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comments7.xml" ContentType="application/vnd.openxmlformats-officedocument.spreadsheetml.comments+xml"/>
  <Override PartName="/xl/comments8.xml" ContentType="application/vnd.openxmlformats-officedocument.spreadsheetml.comments+xml"/>
  <Override PartName="/xl/comments9.xml" ContentType="application/vnd.openxmlformats-officedocument.spreadsheetml.comments+xml"/>
  <Override PartName="/xl/comments10.xml" ContentType="application/vnd.openxmlformats-officedocument.spreadsheetml.comments+xml"/>
  <Override PartName="/xl/comments11.xml" ContentType="application/vnd.openxmlformats-officedocument.spreadsheetml.comments+xml"/>
  <Override PartName="/xl/comments12.xml" ContentType="application/vnd.openxmlformats-officedocument.spreadsheetml.comments+xml"/>
  <Override PartName="/xl/comments13.xml" ContentType="application/vnd.openxmlformats-officedocument.spreadsheetml.comments+xml"/>
  <Override PartName="/xl/comments14.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9126"/>
  <workbookPr showInkAnnotation="0" autoCompressPictures="0"/>
  <mc:AlternateContent xmlns:mc="http://schemas.openxmlformats.org/markup-compatibility/2006">
    <mc:Choice Requires="x15">
      <x15ac:absPath xmlns:x15ac="http://schemas.microsoft.com/office/spreadsheetml/2010/11/ac" url="C:\Users\ansun\Documents\Master data\GitHub__R-stat\AfricanBioServices-Vegetation-and-soils\Termites\Main &amp; CG experiment\"/>
    </mc:Choice>
  </mc:AlternateContent>
  <xr:revisionPtr revIDLastSave="0" documentId="8_{31A63BA1-8196-4BA1-ADD3-D02A4D5CBEBB}" xr6:coauthVersionLast="31" xr6:coauthVersionMax="31" xr10:uidLastSave="{00000000-0000-0000-0000-000000000000}"/>
  <bookViews>
    <workbookView xWindow="0" yWindow="0" windowWidth="28800" windowHeight="11628" xr2:uid="{00000000-000D-0000-FFFF-FFFF00000000}"/>
  </bookViews>
  <sheets>
    <sheet name="Wetseason" sheetId="25" r:id="rId1"/>
    <sheet name="Dryseason" sheetId="31" r:id="rId2"/>
    <sheet name="TBIcalc" sheetId="34" r:id="rId3"/>
    <sheet name="Teabags_used_in_wet" sheetId="22" r:id="rId4"/>
    <sheet name="Ashed_controlls" sheetId="41" r:id="rId5"/>
    <sheet name="Duplicate check" sheetId="32" r:id="rId6"/>
    <sheet name="Ashed teabags dry" sheetId="35" r:id="rId7"/>
    <sheet name="Dry_Litterbag Placem_Collection" sheetId="17" r:id="rId8"/>
    <sheet name="Both teabags AfterDry" sheetId="16" r:id="rId9"/>
    <sheet name="WetLitterbags placem_collection" sheetId="12" r:id="rId10"/>
    <sheet name="Ashed teabags wet" sheetId="23" r:id="rId11"/>
    <sheet name="Both teabags AfterWet" sheetId="11" r:id="rId12"/>
    <sheet name="Ash_Protocol" sheetId="24" r:id="rId13"/>
    <sheet name="Green_rooibos initial weight" sheetId="10" r:id="rId14"/>
    <sheet name="Dry_season" sheetId="19" r:id="rId15"/>
    <sheet name="Wet_season" sheetId="18" r:id="rId16"/>
    <sheet name="TBImanual" sheetId="5" r:id="rId17"/>
    <sheet name="Bugs&amp;Issues" sheetId="4" r:id="rId18"/>
    <sheet name="Things" sheetId="14" r:id="rId19"/>
    <sheet name="TBIWetUnashed" sheetId="44" r:id="rId20"/>
    <sheet name="TBIWet" sheetId="37" r:id="rId21"/>
    <sheet name="TBIDryUnashed" sheetId="45" r:id="rId22"/>
    <sheet name="TBIDry" sheetId="40" r:id="rId23"/>
    <sheet name="Changelog" sheetId="3" state="hidden" r:id="rId24"/>
    <sheet name="DIAGNOSTICS" sheetId="7" state="hidden" r:id="rId25"/>
  </sheets>
  <externalReferences>
    <externalReference r:id="rId26"/>
    <externalReference r:id="rId27"/>
    <externalReference r:id="rId28"/>
  </externalReferences>
  <definedNames>
    <definedName name="_xlnm._FilterDatabase" localSheetId="10" hidden="1">'Ashed teabags wet'!$C$1:$P$823</definedName>
  </definedNames>
  <calcPr calcId="179017"/>
</workbook>
</file>

<file path=xl/calcChain.xml><?xml version="1.0" encoding="utf-8"?>
<calcChain xmlns="http://schemas.openxmlformats.org/spreadsheetml/2006/main">
  <c r="U663" i="31" l="1"/>
  <c r="U664" i="31"/>
  <c r="U665" i="31"/>
  <c r="U666" i="31"/>
  <c r="U667" i="31"/>
  <c r="U668" i="31"/>
  <c r="U669" i="31"/>
  <c r="U670" i="31"/>
  <c r="U671" i="31"/>
  <c r="U672" i="31"/>
  <c r="U673" i="31"/>
  <c r="U674" i="31"/>
  <c r="U675" i="31"/>
  <c r="U676" i="31"/>
  <c r="U677" i="31"/>
  <c r="U678" i="31"/>
  <c r="U679" i="31"/>
  <c r="U680" i="31"/>
  <c r="U681" i="31"/>
  <c r="U682" i="31"/>
  <c r="U683" i="31"/>
  <c r="U684" i="31"/>
  <c r="U685" i="31"/>
  <c r="U686" i="31"/>
  <c r="U687" i="31"/>
  <c r="U688" i="31"/>
  <c r="U689" i="31"/>
  <c r="U690" i="31"/>
  <c r="U691" i="31"/>
  <c r="U692" i="31"/>
  <c r="U693" i="31"/>
  <c r="U694" i="31"/>
  <c r="U695" i="31"/>
  <c r="U696" i="31"/>
  <c r="U697" i="31"/>
  <c r="U698" i="31"/>
  <c r="U699" i="31"/>
  <c r="U700" i="31"/>
  <c r="U701" i="31"/>
  <c r="U702" i="31"/>
  <c r="U703" i="31"/>
  <c r="U704" i="31"/>
  <c r="U705" i="31"/>
  <c r="U706" i="31"/>
  <c r="U707" i="31"/>
  <c r="U708" i="31"/>
  <c r="U709" i="31"/>
  <c r="U710" i="31"/>
  <c r="U711" i="31"/>
  <c r="U712" i="31"/>
  <c r="U713" i="31"/>
  <c r="U714" i="31"/>
  <c r="U715" i="31"/>
  <c r="U716" i="31"/>
  <c r="U717" i="31"/>
  <c r="U718" i="31"/>
  <c r="U719" i="31"/>
  <c r="U720" i="31"/>
  <c r="U721" i="31"/>
  <c r="U722" i="31"/>
  <c r="U723" i="31"/>
  <c r="U724" i="31"/>
  <c r="U725" i="31"/>
  <c r="U726" i="31"/>
  <c r="U727" i="31"/>
  <c r="U728" i="31"/>
  <c r="U729" i="31"/>
  <c r="U730" i="31"/>
  <c r="U731" i="31"/>
  <c r="U732" i="31"/>
  <c r="U733" i="31"/>
  <c r="U734" i="31"/>
  <c r="U735" i="31"/>
  <c r="U736" i="31"/>
  <c r="U737" i="31"/>
  <c r="U738" i="31"/>
  <c r="U739" i="31"/>
  <c r="U740" i="31"/>
  <c r="U741" i="31"/>
  <c r="U742" i="31"/>
  <c r="U743" i="31"/>
  <c r="U744" i="31"/>
  <c r="U745" i="31"/>
  <c r="U746" i="31"/>
  <c r="U747" i="31"/>
  <c r="U748" i="31"/>
  <c r="U749" i="31"/>
  <c r="U750" i="31"/>
  <c r="U751" i="31"/>
  <c r="U752" i="31"/>
  <c r="U753" i="31"/>
  <c r="U754" i="31"/>
  <c r="U755" i="31"/>
  <c r="U756" i="31"/>
  <c r="U757" i="31"/>
  <c r="U758" i="31"/>
  <c r="U759" i="31"/>
  <c r="U760" i="31"/>
  <c r="U761" i="31"/>
  <c r="U762" i="31"/>
  <c r="U763" i="31"/>
  <c r="U764" i="31"/>
  <c r="U765" i="31"/>
  <c r="U766" i="31"/>
  <c r="U767" i="31"/>
  <c r="U768" i="31"/>
  <c r="U769" i="31"/>
  <c r="U770" i="31"/>
  <c r="U771" i="31"/>
  <c r="U772" i="31"/>
  <c r="U773" i="31"/>
  <c r="U774" i="31"/>
  <c r="U775" i="31"/>
  <c r="U776" i="31"/>
  <c r="U777" i="31"/>
  <c r="U778" i="31"/>
  <c r="U779" i="31"/>
  <c r="U780" i="31"/>
  <c r="U781" i="31"/>
  <c r="U782" i="31"/>
  <c r="U783" i="31"/>
  <c r="U784" i="31"/>
  <c r="U785" i="31"/>
  <c r="U786" i="31"/>
  <c r="U787" i="31"/>
  <c r="U788" i="31"/>
  <c r="U789" i="31"/>
  <c r="U790" i="31"/>
  <c r="U791" i="31"/>
  <c r="U792" i="31"/>
  <c r="U793" i="31"/>
  <c r="U794" i="31"/>
  <c r="U795" i="31"/>
  <c r="U796" i="31"/>
  <c r="U797" i="31"/>
  <c r="U798" i="31"/>
  <c r="U799" i="31"/>
  <c r="U800" i="31"/>
  <c r="U801" i="31"/>
  <c r="U802" i="31"/>
  <c r="U803" i="31"/>
  <c r="U804" i="31"/>
  <c r="U805" i="31"/>
  <c r="U806" i="31"/>
  <c r="U807" i="31"/>
  <c r="U808" i="31"/>
  <c r="U809" i="31"/>
  <c r="U810" i="31"/>
  <c r="U811" i="31"/>
  <c r="U812" i="31"/>
  <c r="U813" i="31"/>
  <c r="U814" i="31"/>
  <c r="U815" i="31"/>
  <c r="U816" i="31"/>
  <c r="U817" i="31"/>
  <c r="U818" i="31"/>
  <c r="U819" i="31"/>
  <c r="U820" i="31"/>
  <c r="U821" i="31"/>
  <c r="U822" i="31"/>
  <c r="U823" i="31"/>
  <c r="U824" i="31"/>
  <c r="U825" i="31"/>
  <c r="U826" i="31"/>
  <c r="U827" i="31"/>
  <c r="U828" i="31"/>
  <c r="U829" i="31"/>
  <c r="U830" i="31"/>
  <c r="U831" i="31"/>
  <c r="U832" i="31"/>
  <c r="U833" i="31"/>
  <c r="U834" i="31"/>
  <c r="U835" i="31"/>
  <c r="U836" i="31"/>
  <c r="U837" i="31"/>
  <c r="U838" i="31"/>
  <c r="U839" i="31"/>
  <c r="U840" i="31"/>
  <c r="U841" i="31"/>
  <c r="U842" i="31"/>
  <c r="U843" i="31"/>
  <c r="U844" i="31"/>
  <c r="U845" i="31"/>
  <c r="U846" i="31"/>
  <c r="U847" i="31"/>
  <c r="U848" i="31"/>
  <c r="U849" i="31"/>
  <c r="U850" i="31"/>
  <c r="U851" i="31"/>
  <c r="U852" i="31"/>
  <c r="U853" i="31"/>
  <c r="U854" i="31"/>
  <c r="U855" i="31"/>
  <c r="U856" i="31"/>
  <c r="U857" i="31"/>
  <c r="U858" i="31"/>
  <c r="U859" i="31"/>
  <c r="U860" i="31"/>
  <c r="U861" i="31"/>
  <c r="U862" i="31"/>
  <c r="U863" i="31"/>
  <c r="U864" i="31"/>
  <c r="U865" i="31"/>
  <c r="U866" i="31"/>
  <c r="U867" i="31"/>
  <c r="U868" i="31"/>
  <c r="U869" i="31"/>
  <c r="U870" i="31"/>
  <c r="U871" i="31"/>
  <c r="U872" i="31"/>
  <c r="U873" i="31"/>
  <c r="U874" i="31"/>
  <c r="U875" i="31"/>
  <c r="U876" i="31"/>
  <c r="U877" i="31"/>
  <c r="U878" i="31"/>
  <c r="U879" i="31"/>
  <c r="U880" i="31"/>
  <c r="U881" i="31"/>
  <c r="U662" i="31"/>
  <c r="U443" i="31"/>
  <c r="U444" i="31"/>
  <c r="U445" i="31"/>
  <c r="U446" i="31"/>
  <c r="U447" i="31"/>
  <c r="U448" i="31"/>
  <c r="U449" i="31"/>
  <c r="U450" i="31"/>
  <c r="U451" i="31"/>
  <c r="U452" i="31"/>
  <c r="U453" i="31"/>
  <c r="U454" i="31"/>
  <c r="U455" i="31"/>
  <c r="U456" i="31"/>
  <c r="U457" i="31"/>
  <c r="U458" i="31"/>
  <c r="U459" i="31"/>
  <c r="U460" i="31"/>
  <c r="U461" i="31"/>
  <c r="U462" i="31"/>
  <c r="U463" i="31"/>
  <c r="U464" i="31"/>
  <c r="U465" i="31"/>
  <c r="U466" i="31"/>
  <c r="U467" i="31"/>
  <c r="U468" i="31"/>
  <c r="U469" i="31"/>
  <c r="U470" i="31"/>
  <c r="U471" i="31"/>
  <c r="U472" i="31"/>
  <c r="U473" i="31"/>
  <c r="U474" i="31"/>
  <c r="U475" i="31"/>
  <c r="U476" i="31"/>
  <c r="U477" i="31"/>
  <c r="U478" i="31"/>
  <c r="U479" i="31"/>
  <c r="U480" i="31"/>
  <c r="U481" i="31"/>
  <c r="U482" i="31"/>
  <c r="U483" i="31"/>
  <c r="U484" i="31"/>
  <c r="U485" i="31"/>
  <c r="U486" i="31"/>
  <c r="U487" i="31"/>
  <c r="U488" i="31"/>
  <c r="U489" i="31"/>
  <c r="U490" i="31"/>
  <c r="U491" i="31"/>
  <c r="U492" i="31"/>
  <c r="U493" i="31"/>
  <c r="U494" i="31"/>
  <c r="U495" i="31"/>
  <c r="U496" i="31"/>
  <c r="U497" i="31"/>
  <c r="U498" i="31"/>
  <c r="U499" i="31"/>
  <c r="U500" i="31"/>
  <c r="U501" i="31"/>
  <c r="U502" i="31"/>
  <c r="U503" i="31"/>
  <c r="U504" i="31"/>
  <c r="U505" i="31"/>
  <c r="U506" i="31"/>
  <c r="U507" i="31"/>
  <c r="U508" i="31"/>
  <c r="U509" i="31"/>
  <c r="U510" i="31"/>
  <c r="U511" i="31"/>
  <c r="U512" i="31"/>
  <c r="U513" i="31"/>
  <c r="U514" i="31"/>
  <c r="U515" i="31"/>
  <c r="U516" i="31"/>
  <c r="U517" i="31"/>
  <c r="U518" i="31"/>
  <c r="U519" i="31"/>
  <c r="U520" i="31"/>
  <c r="U521" i="31"/>
  <c r="U522" i="31"/>
  <c r="U523" i="31"/>
  <c r="U524" i="31"/>
  <c r="U525" i="31"/>
  <c r="U526" i="31"/>
  <c r="U527" i="31"/>
  <c r="U528" i="31"/>
  <c r="U529" i="31"/>
  <c r="U530" i="31"/>
  <c r="U531" i="31"/>
  <c r="U532" i="31"/>
  <c r="U533" i="31"/>
  <c r="U534" i="31"/>
  <c r="U535" i="31"/>
  <c r="U536" i="31"/>
  <c r="U537" i="31"/>
  <c r="U538" i="31"/>
  <c r="U539" i="31"/>
  <c r="U540" i="31"/>
  <c r="U541" i="31"/>
  <c r="U542" i="31"/>
  <c r="U543" i="31"/>
  <c r="U544" i="31"/>
  <c r="U545" i="31"/>
  <c r="U546" i="31"/>
  <c r="U547" i="31"/>
  <c r="U548" i="31"/>
  <c r="U549" i="31"/>
  <c r="U550" i="31"/>
  <c r="U551" i="31"/>
  <c r="U552" i="31"/>
  <c r="U553" i="31"/>
  <c r="U554" i="31"/>
  <c r="U555" i="31"/>
  <c r="U556" i="31"/>
  <c r="U557" i="31"/>
  <c r="U558" i="31"/>
  <c r="U559" i="31"/>
  <c r="U560" i="31"/>
  <c r="U561" i="31"/>
  <c r="U562" i="31"/>
  <c r="U563" i="31"/>
  <c r="U564" i="31"/>
  <c r="U565" i="31"/>
  <c r="U566" i="31"/>
  <c r="U567" i="31"/>
  <c r="U568" i="31"/>
  <c r="U569" i="31"/>
  <c r="U570" i="31"/>
  <c r="U571" i="31"/>
  <c r="U572" i="31"/>
  <c r="U573" i="31"/>
  <c r="U574" i="31"/>
  <c r="U575" i="31"/>
  <c r="U576" i="31"/>
  <c r="U577" i="31"/>
  <c r="U578" i="31"/>
  <c r="U579" i="31"/>
  <c r="U580" i="31"/>
  <c r="U581" i="31"/>
  <c r="U582" i="31"/>
  <c r="U583" i="31"/>
  <c r="U584" i="31"/>
  <c r="U585" i="31"/>
  <c r="U586" i="31"/>
  <c r="U587" i="31"/>
  <c r="U588" i="31"/>
  <c r="U589" i="31"/>
  <c r="U590" i="31"/>
  <c r="U591" i="31"/>
  <c r="U592" i="31"/>
  <c r="U593" i="31"/>
  <c r="U594" i="31"/>
  <c r="U595" i="31"/>
  <c r="U596" i="31"/>
  <c r="U597" i="31"/>
  <c r="U598" i="31"/>
  <c r="U599" i="31"/>
  <c r="U600" i="31"/>
  <c r="U601" i="31"/>
  <c r="U602" i="31"/>
  <c r="U603" i="31"/>
  <c r="U604" i="31"/>
  <c r="U605" i="31"/>
  <c r="U606" i="31"/>
  <c r="U607" i="31"/>
  <c r="U608" i="31"/>
  <c r="U609" i="31"/>
  <c r="U610" i="31"/>
  <c r="U611" i="31"/>
  <c r="U612" i="31"/>
  <c r="U613" i="31"/>
  <c r="U614" i="31"/>
  <c r="U615" i="31"/>
  <c r="U616" i="31"/>
  <c r="U617" i="31"/>
  <c r="U618" i="31"/>
  <c r="U619" i="31"/>
  <c r="U620" i="31"/>
  <c r="U621" i="31"/>
  <c r="U622" i="31"/>
  <c r="U623" i="31"/>
  <c r="U624" i="31"/>
  <c r="U625" i="31"/>
  <c r="U626" i="31"/>
  <c r="U627" i="31"/>
  <c r="U628" i="31"/>
  <c r="U629" i="31"/>
  <c r="U630" i="31"/>
  <c r="U631" i="31"/>
  <c r="U632" i="31"/>
  <c r="U633" i="31"/>
  <c r="U634" i="31"/>
  <c r="U635" i="31"/>
  <c r="U636" i="31"/>
  <c r="U637" i="31"/>
  <c r="U638" i="31"/>
  <c r="U639" i="31"/>
  <c r="U640" i="31"/>
  <c r="U641" i="31"/>
  <c r="U642" i="31"/>
  <c r="U643" i="31"/>
  <c r="U644" i="31"/>
  <c r="U645" i="31"/>
  <c r="U646" i="31"/>
  <c r="U647" i="31"/>
  <c r="U648" i="31"/>
  <c r="U649" i="31"/>
  <c r="U650" i="31"/>
  <c r="U651" i="31"/>
  <c r="U652" i="31"/>
  <c r="U653" i="31"/>
  <c r="U654" i="31"/>
  <c r="U655" i="31"/>
  <c r="U656" i="31"/>
  <c r="U657" i="31"/>
  <c r="U658" i="31"/>
  <c r="U659" i="31"/>
  <c r="U660" i="31"/>
  <c r="U661" i="31"/>
  <c r="U442" i="31"/>
  <c r="U223" i="31"/>
  <c r="U224" i="31"/>
  <c r="U225" i="31"/>
  <c r="U226" i="31"/>
  <c r="U227" i="31"/>
  <c r="U228" i="31"/>
  <c r="U229" i="31"/>
  <c r="U230" i="31"/>
  <c r="U231" i="31"/>
  <c r="U232" i="31"/>
  <c r="U233" i="31"/>
  <c r="U234" i="31"/>
  <c r="U235" i="31"/>
  <c r="U236" i="31"/>
  <c r="U237" i="31"/>
  <c r="U238" i="31"/>
  <c r="U239" i="31"/>
  <c r="U240" i="31"/>
  <c r="U241" i="31"/>
  <c r="U242" i="31"/>
  <c r="U243" i="31"/>
  <c r="U244" i="31"/>
  <c r="U245" i="31"/>
  <c r="U246" i="31"/>
  <c r="U247" i="31"/>
  <c r="U248" i="31"/>
  <c r="U249" i="31"/>
  <c r="U250" i="31"/>
  <c r="U251" i="31"/>
  <c r="U252" i="31"/>
  <c r="U253" i="31"/>
  <c r="U254" i="31"/>
  <c r="U255" i="31"/>
  <c r="U256" i="31"/>
  <c r="U257" i="31"/>
  <c r="U258" i="31"/>
  <c r="U259" i="31"/>
  <c r="U260" i="31"/>
  <c r="U261" i="31"/>
  <c r="U262" i="31"/>
  <c r="U263" i="31"/>
  <c r="U264" i="31"/>
  <c r="U265" i="31"/>
  <c r="U266" i="31"/>
  <c r="U267" i="31"/>
  <c r="U268" i="31"/>
  <c r="U269" i="31"/>
  <c r="U270" i="31"/>
  <c r="U271" i="31"/>
  <c r="U272" i="31"/>
  <c r="U273" i="31"/>
  <c r="U274" i="31"/>
  <c r="U275" i="31"/>
  <c r="U276" i="31"/>
  <c r="U277" i="31"/>
  <c r="U278" i="31"/>
  <c r="U279" i="31"/>
  <c r="U280" i="31"/>
  <c r="U281" i="31"/>
  <c r="U282" i="31"/>
  <c r="U283" i="31"/>
  <c r="U284" i="31"/>
  <c r="U285" i="31"/>
  <c r="U286" i="31"/>
  <c r="U287" i="31"/>
  <c r="U288" i="31"/>
  <c r="U289" i="31"/>
  <c r="U290" i="31"/>
  <c r="U291" i="31"/>
  <c r="U292" i="31"/>
  <c r="U293" i="31"/>
  <c r="U294" i="31"/>
  <c r="U295" i="31"/>
  <c r="U296" i="31"/>
  <c r="U297" i="31"/>
  <c r="U298" i="31"/>
  <c r="U299" i="31"/>
  <c r="U300" i="31"/>
  <c r="U301" i="31"/>
  <c r="U302" i="31"/>
  <c r="U303" i="31"/>
  <c r="U304" i="31"/>
  <c r="U305" i="31"/>
  <c r="U306" i="31"/>
  <c r="U307" i="31"/>
  <c r="U308" i="31"/>
  <c r="U309" i="31"/>
  <c r="U310" i="31"/>
  <c r="U311" i="31"/>
  <c r="U312" i="31"/>
  <c r="U313" i="31"/>
  <c r="U314" i="31"/>
  <c r="U315" i="31"/>
  <c r="U316" i="31"/>
  <c r="U317" i="31"/>
  <c r="U318" i="31"/>
  <c r="U319" i="31"/>
  <c r="U320" i="31"/>
  <c r="U321" i="31"/>
  <c r="U322" i="31"/>
  <c r="U323" i="31"/>
  <c r="U324" i="31"/>
  <c r="U325" i="31"/>
  <c r="U326" i="31"/>
  <c r="U327" i="31"/>
  <c r="U328" i="31"/>
  <c r="U329" i="31"/>
  <c r="U330" i="31"/>
  <c r="U331" i="31"/>
  <c r="U332" i="31"/>
  <c r="U333" i="31"/>
  <c r="U334" i="31"/>
  <c r="U335" i="31"/>
  <c r="U336" i="31"/>
  <c r="U337" i="31"/>
  <c r="U338" i="31"/>
  <c r="U339" i="31"/>
  <c r="U340" i="31"/>
  <c r="U341" i="31"/>
  <c r="U342" i="31"/>
  <c r="U343" i="31"/>
  <c r="U344" i="31"/>
  <c r="U345" i="31"/>
  <c r="U346" i="31"/>
  <c r="U347" i="31"/>
  <c r="U348" i="31"/>
  <c r="U349" i="31"/>
  <c r="U350" i="31"/>
  <c r="U351" i="31"/>
  <c r="U352" i="31"/>
  <c r="U353" i="31"/>
  <c r="U354" i="31"/>
  <c r="U355" i="31"/>
  <c r="U356" i="31"/>
  <c r="U357" i="31"/>
  <c r="U358" i="31"/>
  <c r="U359" i="31"/>
  <c r="U360" i="31"/>
  <c r="U361" i="31"/>
  <c r="U362" i="31"/>
  <c r="U363" i="31"/>
  <c r="U364" i="31"/>
  <c r="U365" i="31"/>
  <c r="U366" i="31"/>
  <c r="U367" i="31"/>
  <c r="U368" i="31"/>
  <c r="U369" i="31"/>
  <c r="U370" i="31"/>
  <c r="U371" i="31"/>
  <c r="U372" i="31"/>
  <c r="U373" i="31"/>
  <c r="U374" i="31"/>
  <c r="U375" i="31"/>
  <c r="U376" i="31"/>
  <c r="U377" i="31"/>
  <c r="U378" i="31"/>
  <c r="U379" i="31"/>
  <c r="U380" i="31"/>
  <c r="U381" i="31"/>
  <c r="U382" i="31"/>
  <c r="U383" i="31"/>
  <c r="U384" i="31"/>
  <c r="U385" i="31"/>
  <c r="U386" i="31"/>
  <c r="U387" i="31"/>
  <c r="U388" i="31"/>
  <c r="U389" i="31"/>
  <c r="U390" i="31"/>
  <c r="U391" i="31"/>
  <c r="U392" i="31"/>
  <c r="U393" i="31"/>
  <c r="U394" i="31"/>
  <c r="U395" i="31"/>
  <c r="U396" i="31"/>
  <c r="U397" i="31"/>
  <c r="U398" i="31"/>
  <c r="U399" i="31"/>
  <c r="U400" i="31"/>
  <c r="U401" i="31"/>
  <c r="U402" i="31"/>
  <c r="U403" i="31"/>
  <c r="U404" i="31"/>
  <c r="U405" i="31"/>
  <c r="U406" i="31"/>
  <c r="U407" i="31"/>
  <c r="U408" i="31"/>
  <c r="U409" i="31"/>
  <c r="U410" i="31"/>
  <c r="U411" i="31"/>
  <c r="U412" i="31"/>
  <c r="U413" i="31"/>
  <c r="U414" i="31"/>
  <c r="U415" i="31"/>
  <c r="U416" i="31"/>
  <c r="U417" i="31"/>
  <c r="U418" i="31"/>
  <c r="U419" i="31"/>
  <c r="U420" i="31"/>
  <c r="U421" i="31"/>
  <c r="U422" i="31"/>
  <c r="U423" i="31"/>
  <c r="U424" i="31"/>
  <c r="U425" i="31"/>
  <c r="U426" i="31"/>
  <c r="U427" i="31"/>
  <c r="U428" i="31"/>
  <c r="U429" i="31"/>
  <c r="U430" i="31"/>
  <c r="U431" i="31"/>
  <c r="U432" i="31"/>
  <c r="U433" i="31"/>
  <c r="U434" i="31"/>
  <c r="U435" i="31"/>
  <c r="U436" i="31"/>
  <c r="U437" i="31"/>
  <c r="U438" i="31"/>
  <c r="U439" i="31"/>
  <c r="U440" i="31"/>
  <c r="U441" i="31"/>
  <c r="U222" i="31"/>
  <c r="U3" i="31"/>
  <c r="U4" i="31"/>
  <c r="U5" i="31"/>
  <c r="U6" i="31"/>
  <c r="U7" i="31"/>
  <c r="U8" i="31"/>
  <c r="U9" i="31"/>
  <c r="U10" i="31"/>
  <c r="U11" i="31"/>
  <c r="U12" i="31"/>
  <c r="U13" i="31"/>
  <c r="U14" i="31"/>
  <c r="U15" i="31"/>
  <c r="U16" i="31"/>
  <c r="U17" i="31"/>
  <c r="U18" i="31"/>
  <c r="U19" i="31"/>
  <c r="U20" i="31"/>
  <c r="U21" i="31"/>
  <c r="U22" i="31"/>
  <c r="U23" i="31"/>
  <c r="U24" i="31"/>
  <c r="U25" i="31"/>
  <c r="U26" i="31"/>
  <c r="U27" i="31"/>
  <c r="U28" i="31"/>
  <c r="U29" i="31"/>
  <c r="U30" i="31"/>
  <c r="U31" i="31"/>
  <c r="U32" i="31"/>
  <c r="U33" i="31"/>
  <c r="U34" i="31"/>
  <c r="U35" i="31"/>
  <c r="U36" i="31"/>
  <c r="U37" i="31"/>
  <c r="U38" i="31"/>
  <c r="U39" i="31"/>
  <c r="U40" i="31"/>
  <c r="U41" i="31"/>
  <c r="U42" i="31"/>
  <c r="U43" i="31"/>
  <c r="U44" i="31"/>
  <c r="U45" i="31"/>
  <c r="U46" i="31"/>
  <c r="U47" i="31"/>
  <c r="U48" i="31"/>
  <c r="U49" i="31"/>
  <c r="U50" i="31"/>
  <c r="U51" i="31"/>
  <c r="U52" i="31"/>
  <c r="U53" i="31"/>
  <c r="U54" i="31"/>
  <c r="U55" i="31"/>
  <c r="U56" i="31"/>
  <c r="U57" i="31"/>
  <c r="U58" i="31"/>
  <c r="U59" i="31"/>
  <c r="U60" i="31"/>
  <c r="U61" i="31"/>
  <c r="U62" i="31"/>
  <c r="U63" i="31"/>
  <c r="U64" i="31"/>
  <c r="U65" i="31"/>
  <c r="U66" i="31"/>
  <c r="U67" i="31"/>
  <c r="U68" i="31"/>
  <c r="U69" i="31"/>
  <c r="U70" i="31"/>
  <c r="U71" i="31"/>
  <c r="U72" i="31"/>
  <c r="U73" i="31"/>
  <c r="U74" i="31"/>
  <c r="U75" i="31"/>
  <c r="U76" i="31"/>
  <c r="U77" i="31"/>
  <c r="U78" i="31"/>
  <c r="U79" i="31"/>
  <c r="U80" i="31"/>
  <c r="U81" i="31"/>
  <c r="U82" i="31"/>
  <c r="U83" i="31"/>
  <c r="U84" i="31"/>
  <c r="U85" i="31"/>
  <c r="U86" i="31"/>
  <c r="U87" i="31"/>
  <c r="U88" i="31"/>
  <c r="U89" i="31"/>
  <c r="U90" i="31"/>
  <c r="U91" i="31"/>
  <c r="U92" i="31"/>
  <c r="U93" i="31"/>
  <c r="U94" i="31"/>
  <c r="U95" i="31"/>
  <c r="U96" i="31"/>
  <c r="U97" i="31"/>
  <c r="U98" i="31"/>
  <c r="U99" i="31"/>
  <c r="U100" i="31"/>
  <c r="U101" i="31"/>
  <c r="U102" i="31"/>
  <c r="U103" i="31"/>
  <c r="U104" i="31"/>
  <c r="U105" i="31"/>
  <c r="U106" i="31"/>
  <c r="U107" i="31"/>
  <c r="U108" i="31"/>
  <c r="U109" i="31"/>
  <c r="U110" i="31"/>
  <c r="U111" i="31"/>
  <c r="U112" i="31"/>
  <c r="U113" i="31"/>
  <c r="U114" i="31"/>
  <c r="U115" i="31"/>
  <c r="U116" i="31"/>
  <c r="U117" i="31"/>
  <c r="U118" i="31"/>
  <c r="U119" i="31"/>
  <c r="U120" i="31"/>
  <c r="U121" i="31"/>
  <c r="U122" i="31"/>
  <c r="U123" i="31"/>
  <c r="U124" i="31"/>
  <c r="U125" i="31"/>
  <c r="U126" i="31"/>
  <c r="U127" i="31"/>
  <c r="U128" i="31"/>
  <c r="U129" i="31"/>
  <c r="U130" i="31"/>
  <c r="U131" i="31"/>
  <c r="U132" i="31"/>
  <c r="U133" i="31"/>
  <c r="U134" i="31"/>
  <c r="U135" i="31"/>
  <c r="U136" i="31"/>
  <c r="U137" i="31"/>
  <c r="U138" i="31"/>
  <c r="U139" i="31"/>
  <c r="U140" i="31"/>
  <c r="U141" i="31"/>
  <c r="U142" i="31"/>
  <c r="U143" i="31"/>
  <c r="U144" i="31"/>
  <c r="U145" i="31"/>
  <c r="U146" i="31"/>
  <c r="U147" i="31"/>
  <c r="U148" i="31"/>
  <c r="U149" i="31"/>
  <c r="U150" i="31"/>
  <c r="U151" i="31"/>
  <c r="U152" i="31"/>
  <c r="U153" i="31"/>
  <c r="U154" i="31"/>
  <c r="U155" i="31"/>
  <c r="U156" i="31"/>
  <c r="U157" i="31"/>
  <c r="U158" i="31"/>
  <c r="U159" i="31"/>
  <c r="U160" i="31"/>
  <c r="U161" i="31"/>
  <c r="U162" i="31"/>
  <c r="U163" i="31"/>
  <c r="U164" i="31"/>
  <c r="U165" i="31"/>
  <c r="U166" i="31"/>
  <c r="U167" i="31"/>
  <c r="U168" i="31"/>
  <c r="U169" i="31"/>
  <c r="U170" i="31"/>
  <c r="U171" i="31"/>
  <c r="U172" i="31"/>
  <c r="U173" i="31"/>
  <c r="U174" i="31"/>
  <c r="U175" i="31"/>
  <c r="U176" i="31"/>
  <c r="U177" i="31"/>
  <c r="U178" i="31"/>
  <c r="U179" i="31"/>
  <c r="U180" i="31"/>
  <c r="U181" i="31"/>
  <c r="U182" i="31"/>
  <c r="U183" i="31"/>
  <c r="U184" i="31"/>
  <c r="U185" i="31"/>
  <c r="U186" i="31"/>
  <c r="U187" i="31"/>
  <c r="U188" i="31"/>
  <c r="U189" i="31"/>
  <c r="U190" i="31"/>
  <c r="U191" i="31"/>
  <c r="U192" i="31"/>
  <c r="U193" i="31"/>
  <c r="U194" i="31"/>
  <c r="U195" i="31"/>
  <c r="U196" i="31"/>
  <c r="U197" i="31"/>
  <c r="U198" i="31"/>
  <c r="U199" i="31"/>
  <c r="U200" i="31"/>
  <c r="U201" i="31"/>
  <c r="U202" i="31"/>
  <c r="U203" i="31"/>
  <c r="U204" i="31"/>
  <c r="U205" i="31"/>
  <c r="U206" i="31"/>
  <c r="U207" i="31"/>
  <c r="U208" i="31"/>
  <c r="U209" i="31"/>
  <c r="U210" i="31"/>
  <c r="U211" i="31"/>
  <c r="U212" i="31"/>
  <c r="U213" i="31"/>
  <c r="U214" i="31"/>
  <c r="U215" i="31"/>
  <c r="U216" i="31"/>
  <c r="U217" i="31"/>
  <c r="U218" i="31"/>
  <c r="U219" i="31"/>
  <c r="U220" i="31"/>
  <c r="U221" i="31"/>
  <c r="U2" i="31"/>
  <c r="AN663" i="25"/>
  <c r="AO663" i="25"/>
  <c r="AP663" i="25"/>
  <c r="AN664" i="25"/>
  <c r="AO664" i="25"/>
  <c r="AP664" i="25"/>
  <c r="AN665" i="25"/>
  <c r="AO665" i="25"/>
  <c r="AP665" i="25"/>
  <c r="AN666" i="25"/>
  <c r="AO666" i="25"/>
  <c r="AP666" i="25"/>
  <c r="AN667" i="25"/>
  <c r="AO667" i="25"/>
  <c r="AP667" i="25"/>
  <c r="AN668" i="25"/>
  <c r="AO668" i="25"/>
  <c r="AP668" i="25"/>
  <c r="AN669" i="25"/>
  <c r="AO669" i="25"/>
  <c r="AP669" i="25"/>
  <c r="AN670" i="25"/>
  <c r="AO670" i="25"/>
  <c r="AP670" i="25"/>
  <c r="AN671" i="25"/>
  <c r="AO671" i="25"/>
  <c r="AP671" i="25"/>
  <c r="AN672" i="25"/>
  <c r="AO672" i="25"/>
  <c r="AP672" i="25"/>
  <c r="AN673" i="25"/>
  <c r="AO673" i="25"/>
  <c r="AP673" i="25"/>
  <c r="AN674" i="25"/>
  <c r="AO674" i="25"/>
  <c r="AP674" i="25"/>
  <c r="AN675" i="25"/>
  <c r="AO675" i="25"/>
  <c r="AP675" i="25"/>
  <c r="AN676" i="25"/>
  <c r="AO676" i="25"/>
  <c r="AP676" i="25"/>
  <c r="AN677" i="25"/>
  <c r="AO677" i="25"/>
  <c r="AP677" i="25"/>
  <c r="AN678" i="25"/>
  <c r="AO678" i="25"/>
  <c r="AP678" i="25"/>
  <c r="AN679" i="25"/>
  <c r="AO679" i="25"/>
  <c r="AP679" i="25"/>
  <c r="AN680" i="25"/>
  <c r="AO680" i="25"/>
  <c r="AP680" i="25"/>
  <c r="AN681" i="25"/>
  <c r="AO681" i="25"/>
  <c r="AP681" i="25"/>
  <c r="AN682" i="25"/>
  <c r="AO682" i="25"/>
  <c r="AP682" i="25"/>
  <c r="AN683" i="25"/>
  <c r="AO683" i="25"/>
  <c r="AP683" i="25"/>
  <c r="AN684" i="25"/>
  <c r="AO684" i="25"/>
  <c r="AP684" i="25"/>
  <c r="AN685" i="25"/>
  <c r="AO685" i="25"/>
  <c r="AP685" i="25"/>
  <c r="AN686" i="25"/>
  <c r="AO686" i="25"/>
  <c r="AP686" i="25"/>
  <c r="AN687" i="25"/>
  <c r="AO687" i="25"/>
  <c r="AP687" i="25"/>
  <c r="AN688" i="25"/>
  <c r="AO688" i="25"/>
  <c r="AP688" i="25"/>
  <c r="AN689" i="25"/>
  <c r="AO689" i="25"/>
  <c r="AP689" i="25"/>
  <c r="AN690" i="25"/>
  <c r="AO690" i="25"/>
  <c r="AP690" i="25"/>
  <c r="AN691" i="25"/>
  <c r="AO691" i="25"/>
  <c r="AP691" i="25"/>
  <c r="AN692" i="25"/>
  <c r="AO692" i="25"/>
  <c r="AP692" i="25"/>
  <c r="AN693" i="25"/>
  <c r="AO693" i="25"/>
  <c r="AP693" i="25"/>
  <c r="AN694" i="25"/>
  <c r="AO694" i="25"/>
  <c r="AP694" i="25"/>
  <c r="AN695" i="25"/>
  <c r="AO695" i="25"/>
  <c r="AP695" i="25"/>
  <c r="AN696" i="25"/>
  <c r="AO696" i="25"/>
  <c r="AP696" i="25"/>
  <c r="AN697" i="25"/>
  <c r="AO697" i="25"/>
  <c r="AP697" i="25"/>
  <c r="AN698" i="25"/>
  <c r="AO698" i="25"/>
  <c r="AP698" i="25"/>
  <c r="AN699" i="25"/>
  <c r="AO699" i="25"/>
  <c r="AP699" i="25"/>
  <c r="AN700" i="25"/>
  <c r="AO700" i="25"/>
  <c r="AP700" i="25"/>
  <c r="AN701" i="25"/>
  <c r="AO701" i="25"/>
  <c r="AP701" i="25"/>
  <c r="AN702" i="25"/>
  <c r="AO702" i="25"/>
  <c r="AP702" i="25"/>
  <c r="AN703" i="25"/>
  <c r="AO703" i="25"/>
  <c r="AP703" i="25"/>
  <c r="AN704" i="25"/>
  <c r="AO704" i="25"/>
  <c r="AP704" i="25"/>
  <c r="AN705" i="25"/>
  <c r="AO705" i="25"/>
  <c r="AP705" i="25"/>
  <c r="AN706" i="25"/>
  <c r="AO706" i="25"/>
  <c r="AP706" i="25"/>
  <c r="AN707" i="25"/>
  <c r="AO707" i="25"/>
  <c r="AP707" i="25"/>
  <c r="AN708" i="25"/>
  <c r="AO708" i="25"/>
  <c r="AP708" i="25"/>
  <c r="AN709" i="25"/>
  <c r="AO709" i="25"/>
  <c r="AP709" i="25"/>
  <c r="AN710" i="25"/>
  <c r="AO710" i="25"/>
  <c r="AP710" i="25"/>
  <c r="AN711" i="25"/>
  <c r="AO711" i="25"/>
  <c r="AP711" i="25"/>
  <c r="AN712" i="25"/>
  <c r="AO712" i="25"/>
  <c r="AP712" i="25"/>
  <c r="AN713" i="25"/>
  <c r="AO713" i="25"/>
  <c r="AP713" i="25"/>
  <c r="AN714" i="25"/>
  <c r="AO714" i="25"/>
  <c r="AP714" i="25"/>
  <c r="AN715" i="25"/>
  <c r="AO715" i="25"/>
  <c r="AP715" i="25"/>
  <c r="AN716" i="25"/>
  <c r="AO716" i="25"/>
  <c r="AP716" i="25"/>
  <c r="AN717" i="25"/>
  <c r="AO717" i="25"/>
  <c r="AP717" i="25"/>
  <c r="AN718" i="25"/>
  <c r="AO718" i="25"/>
  <c r="AP718" i="25"/>
  <c r="AN719" i="25"/>
  <c r="AO719" i="25"/>
  <c r="AP719" i="25"/>
  <c r="AN720" i="25"/>
  <c r="AO720" i="25"/>
  <c r="AP720" i="25"/>
  <c r="AN721" i="25"/>
  <c r="AO721" i="25"/>
  <c r="AP721" i="25"/>
  <c r="AN722" i="25"/>
  <c r="AO722" i="25"/>
  <c r="AP722" i="25"/>
  <c r="AN723" i="25"/>
  <c r="AO723" i="25"/>
  <c r="AP723" i="25"/>
  <c r="AN724" i="25"/>
  <c r="AO724" i="25"/>
  <c r="AP724" i="25"/>
  <c r="AN725" i="25"/>
  <c r="AO725" i="25"/>
  <c r="AP725" i="25"/>
  <c r="AN726" i="25"/>
  <c r="AO726" i="25"/>
  <c r="AP726" i="25"/>
  <c r="AN727" i="25"/>
  <c r="AO727" i="25"/>
  <c r="AP727" i="25"/>
  <c r="AN728" i="25"/>
  <c r="AO728" i="25"/>
  <c r="AP728" i="25"/>
  <c r="AN729" i="25"/>
  <c r="AO729" i="25"/>
  <c r="AP729" i="25"/>
  <c r="AN730" i="25"/>
  <c r="AO730" i="25"/>
  <c r="AP730" i="25"/>
  <c r="AN731" i="25"/>
  <c r="AO731" i="25"/>
  <c r="AP731" i="25"/>
  <c r="AN732" i="25"/>
  <c r="AO732" i="25"/>
  <c r="AP732" i="25"/>
  <c r="AN733" i="25"/>
  <c r="AO733" i="25"/>
  <c r="AP733" i="25"/>
  <c r="AN734" i="25"/>
  <c r="AO734" i="25"/>
  <c r="AP734" i="25"/>
  <c r="AN735" i="25"/>
  <c r="AO735" i="25"/>
  <c r="AP735" i="25"/>
  <c r="AN736" i="25"/>
  <c r="AO736" i="25"/>
  <c r="AP736" i="25"/>
  <c r="AN737" i="25"/>
  <c r="AO737" i="25"/>
  <c r="AP737" i="25"/>
  <c r="AN738" i="25"/>
  <c r="AO738" i="25"/>
  <c r="AP738" i="25"/>
  <c r="AN739" i="25"/>
  <c r="AO739" i="25"/>
  <c r="AP739" i="25"/>
  <c r="AN740" i="25"/>
  <c r="AO740" i="25"/>
  <c r="AP740" i="25"/>
  <c r="AN741" i="25"/>
  <c r="AO741" i="25"/>
  <c r="AP741" i="25"/>
  <c r="AN742" i="25"/>
  <c r="AO742" i="25"/>
  <c r="AP742" i="25"/>
  <c r="AN743" i="25"/>
  <c r="AO743" i="25"/>
  <c r="AP743" i="25"/>
  <c r="AN744" i="25"/>
  <c r="AO744" i="25"/>
  <c r="AP744" i="25"/>
  <c r="AN745" i="25"/>
  <c r="AO745" i="25"/>
  <c r="AP745" i="25"/>
  <c r="AN746" i="25"/>
  <c r="AO746" i="25"/>
  <c r="AP746" i="25"/>
  <c r="AN747" i="25"/>
  <c r="AO747" i="25"/>
  <c r="AP747" i="25"/>
  <c r="AN748" i="25"/>
  <c r="AO748" i="25"/>
  <c r="AP748" i="25"/>
  <c r="AN749" i="25"/>
  <c r="AO749" i="25"/>
  <c r="AP749" i="25"/>
  <c r="AN750" i="25"/>
  <c r="AO750" i="25"/>
  <c r="AP750" i="25"/>
  <c r="AN751" i="25"/>
  <c r="AO751" i="25"/>
  <c r="AP751" i="25"/>
  <c r="AN752" i="25"/>
  <c r="AO752" i="25"/>
  <c r="AP752" i="25"/>
  <c r="AN753" i="25"/>
  <c r="AO753" i="25"/>
  <c r="AP753" i="25"/>
  <c r="AN754" i="25"/>
  <c r="AO754" i="25"/>
  <c r="AP754" i="25"/>
  <c r="AN755" i="25"/>
  <c r="AO755" i="25"/>
  <c r="AP755" i="25"/>
  <c r="AN756" i="25"/>
  <c r="AO756" i="25"/>
  <c r="AP756" i="25"/>
  <c r="AN757" i="25"/>
  <c r="AO757" i="25"/>
  <c r="AP757" i="25"/>
  <c r="AN758" i="25"/>
  <c r="AO758" i="25"/>
  <c r="AP758" i="25"/>
  <c r="AN759" i="25"/>
  <c r="AO759" i="25"/>
  <c r="AP759" i="25"/>
  <c r="AN760" i="25"/>
  <c r="AO760" i="25"/>
  <c r="AP760" i="25"/>
  <c r="AN761" i="25"/>
  <c r="AO761" i="25"/>
  <c r="AP761" i="25"/>
  <c r="AN762" i="25"/>
  <c r="AO762" i="25"/>
  <c r="AP762" i="25"/>
  <c r="AN763" i="25"/>
  <c r="AO763" i="25"/>
  <c r="AP763" i="25"/>
  <c r="AN764" i="25"/>
  <c r="AO764" i="25"/>
  <c r="AP764" i="25"/>
  <c r="AN765" i="25"/>
  <c r="AO765" i="25"/>
  <c r="AP765" i="25"/>
  <c r="AN766" i="25"/>
  <c r="AO766" i="25"/>
  <c r="AP766" i="25"/>
  <c r="AN767" i="25"/>
  <c r="AO767" i="25"/>
  <c r="AP767" i="25"/>
  <c r="AN768" i="25"/>
  <c r="AO768" i="25"/>
  <c r="AP768" i="25"/>
  <c r="AN769" i="25"/>
  <c r="AO769" i="25"/>
  <c r="AP769" i="25"/>
  <c r="AN770" i="25"/>
  <c r="AO770" i="25"/>
  <c r="AP770" i="25"/>
  <c r="AN771" i="25"/>
  <c r="AO771" i="25"/>
  <c r="AP771" i="25"/>
  <c r="AN772" i="25"/>
  <c r="AO772" i="25"/>
  <c r="AP772" i="25"/>
  <c r="AN773" i="25"/>
  <c r="AO773" i="25"/>
  <c r="AP773" i="25"/>
  <c r="AN774" i="25"/>
  <c r="AO774" i="25"/>
  <c r="AP774" i="25"/>
  <c r="AN775" i="25"/>
  <c r="AO775" i="25"/>
  <c r="AP775" i="25"/>
  <c r="AN776" i="25"/>
  <c r="AO776" i="25"/>
  <c r="AP776" i="25"/>
  <c r="AN777" i="25"/>
  <c r="AO777" i="25"/>
  <c r="AP777" i="25"/>
  <c r="AN778" i="25"/>
  <c r="AO778" i="25"/>
  <c r="AP778" i="25"/>
  <c r="AN779" i="25"/>
  <c r="AO779" i="25"/>
  <c r="AP779" i="25"/>
  <c r="AN780" i="25"/>
  <c r="AO780" i="25"/>
  <c r="AP780" i="25"/>
  <c r="AN781" i="25"/>
  <c r="AO781" i="25"/>
  <c r="AP781" i="25"/>
  <c r="AN782" i="25"/>
  <c r="AO782" i="25"/>
  <c r="AP782" i="25"/>
  <c r="AN783" i="25"/>
  <c r="AO783" i="25"/>
  <c r="AP783" i="25"/>
  <c r="AN784" i="25"/>
  <c r="AO784" i="25"/>
  <c r="AP784" i="25"/>
  <c r="AN785" i="25"/>
  <c r="AO785" i="25"/>
  <c r="AP785" i="25"/>
  <c r="AN786" i="25"/>
  <c r="AO786" i="25"/>
  <c r="AP786" i="25"/>
  <c r="AN787" i="25"/>
  <c r="AO787" i="25"/>
  <c r="AP787" i="25"/>
  <c r="AN788" i="25"/>
  <c r="AO788" i="25"/>
  <c r="AP788" i="25"/>
  <c r="AN789" i="25"/>
  <c r="AO789" i="25"/>
  <c r="AP789" i="25"/>
  <c r="AN790" i="25"/>
  <c r="AO790" i="25"/>
  <c r="AP790" i="25"/>
  <c r="AN791" i="25"/>
  <c r="AO791" i="25"/>
  <c r="AP791" i="25"/>
  <c r="AN792" i="25"/>
  <c r="AO792" i="25"/>
  <c r="AP792" i="25"/>
  <c r="AN793" i="25"/>
  <c r="AO793" i="25"/>
  <c r="AP793" i="25"/>
  <c r="AN794" i="25"/>
  <c r="AO794" i="25"/>
  <c r="AP794" i="25"/>
  <c r="AN795" i="25"/>
  <c r="AO795" i="25"/>
  <c r="AP795" i="25"/>
  <c r="AN796" i="25"/>
  <c r="AO796" i="25"/>
  <c r="AP796" i="25"/>
  <c r="AN797" i="25"/>
  <c r="AO797" i="25"/>
  <c r="AP797" i="25"/>
  <c r="AN798" i="25"/>
  <c r="AO798" i="25"/>
  <c r="AP798" i="25"/>
  <c r="AN799" i="25"/>
  <c r="AO799" i="25"/>
  <c r="AP799" i="25"/>
  <c r="AN800" i="25"/>
  <c r="AO800" i="25"/>
  <c r="AP800" i="25"/>
  <c r="AN801" i="25"/>
  <c r="AO801" i="25"/>
  <c r="AP801" i="25"/>
  <c r="AN802" i="25"/>
  <c r="AO802" i="25"/>
  <c r="AP802" i="25"/>
  <c r="AN803" i="25"/>
  <c r="AO803" i="25"/>
  <c r="AP803" i="25"/>
  <c r="AN804" i="25"/>
  <c r="AO804" i="25"/>
  <c r="AP804" i="25"/>
  <c r="AN805" i="25"/>
  <c r="AO805" i="25"/>
  <c r="AP805" i="25"/>
  <c r="AN806" i="25"/>
  <c r="AO806" i="25"/>
  <c r="AP806" i="25"/>
  <c r="AN807" i="25"/>
  <c r="AO807" i="25"/>
  <c r="AP807" i="25"/>
  <c r="AN808" i="25"/>
  <c r="AO808" i="25"/>
  <c r="AP808" i="25"/>
  <c r="AN809" i="25"/>
  <c r="AO809" i="25"/>
  <c r="AP809" i="25"/>
  <c r="AN810" i="25"/>
  <c r="AO810" i="25"/>
  <c r="AP810" i="25"/>
  <c r="AN811" i="25"/>
  <c r="AO811" i="25"/>
  <c r="AP811" i="25"/>
  <c r="AN812" i="25"/>
  <c r="AO812" i="25"/>
  <c r="AP812" i="25"/>
  <c r="AN813" i="25"/>
  <c r="AO813" i="25"/>
  <c r="AP813" i="25"/>
  <c r="AN814" i="25"/>
  <c r="AO814" i="25"/>
  <c r="AP814" i="25"/>
  <c r="AN815" i="25"/>
  <c r="AO815" i="25"/>
  <c r="AP815" i="25"/>
  <c r="AN816" i="25"/>
  <c r="AO816" i="25"/>
  <c r="AP816" i="25"/>
  <c r="AN817" i="25"/>
  <c r="AO817" i="25"/>
  <c r="AP817" i="25"/>
  <c r="AN818" i="25"/>
  <c r="AO818" i="25"/>
  <c r="AP818" i="25"/>
  <c r="AN819" i="25"/>
  <c r="AO819" i="25"/>
  <c r="AP819" i="25"/>
  <c r="AN820" i="25"/>
  <c r="AO820" i="25"/>
  <c r="AP820" i="25"/>
  <c r="AN821" i="25"/>
  <c r="AO821" i="25"/>
  <c r="AP821" i="25"/>
  <c r="AN822" i="25"/>
  <c r="AO822" i="25"/>
  <c r="AP822" i="25"/>
  <c r="AN823" i="25"/>
  <c r="AO823" i="25"/>
  <c r="AP823" i="25"/>
  <c r="AN824" i="25"/>
  <c r="AO824" i="25"/>
  <c r="AP824" i="25"/>
  <c r="AN825" i="25"/>
  <c r="AO825" i="25"/>
  <c r="AP825" i="25"/>
  <c r="AN826" i="25"/>
  <c r="AO826" i="25"/>
  <c r="AP826" i="25"/>
  <c r="AN827" i="25"/>
  <c r="AO827" i="25"/>
  <c r="AP827" i="25"/>
  <c r="AN828" i="25"/>
  <c r="AO828" i="25"/>
  <c r="AP828" i="25"/>
  <c r="AN829" i="25"/>
  <c r="AO829" i="25"/>
  <c r="AP829" i="25"/>
  <c r="AN830" i="25"/>
  <c r="AO830" i="25"/>
  <c r="AP830" i="25"/>
  <c r="AN831" i="25"/>
  <c r="AO831" i="25"/>
  <c r="AP831" i="25"/>
  <c r="AN832" i="25"/>
  <c r="AO832" i="25"/>
  <c r="AP832" i="25"/>
  <c r="AN833" i="25"/>
  <c r="AO833" i="25"/>
  <c r="AP833" i="25"/>
  <c r="AN834" i="25"/>
  <c r="AO834" i="25"/>
  <c r="AP834" i="25"/>
  <c r="AN835" i="25"/>
  <c r="AO835" i="25"/>
  <c r="AP835" i="25"/>
  <c r="AN836" i="25"/>
  <c r="AO836" i="25"/>
  <c r="AP836" i="25"/>
  <c r="AN837" i="25"/>
  <c r="AO837" i="25"/>
  <c r="AP837" i="25"/>
  <c r="AN838" i="25"/>
  <c r="AO838" i="25"/>
  <c r="AP838" i="25"/>
  <c r="AN839" i="25"/>
  <c r="AO839" i="25"/>
  <c r="AP839" i="25"/>
  <c r="AN840" i="25"/>
  <c r="AO840" i="25"/>
  <c r="AP840" i="25"/>
  <c r="AN841" i="25"/>
  <c r="AO841" i="25"/>
  <c r="AP841" i="25"/>
  <c r="AN842" i="25"/>
  <c r="AO842" i="25"/>
  <c r="AP842" i="25"/>
  <c r="AN843" i="25"/>
  <c r="AO843" i="25"/>
  <c r="AP843" i="25"/>
  <c r="AN844" i="25"/>
  <c r="AO844" i="25"/>
  <c r="AP844" i="25"/>
  <c r="AN845" i="25"/>
  <c r="AO845" i="25"/>
  <c r="AP845" i="25"/>
  <c r="AN846" i="25"/>
  <c r="AO846" i="25"/>
  <c r="AP846" i="25"/>
  <c r="AN847" i="25"/>
  <c r="AO847" i="25"/>
  <c r="AP847" i="25"/>
  <c r="AN848" i="25"/>
  <c r="AO848" i="25"/>
  <c r="AP848" i="25"/>
  <c r="AN849" i="25"/>
  <c r="AO849" i="25"/>
  <c r="AP849" i="25"/>
  <c r="AN850" i="25"/>
  <c r="AO850" i="25"/>
  <c r="AP850" i="25"/>
  <c r="AN851" i="25"/>
  <c r="AO851" i="25"/>
  <c r="AP851" i="25"/>
  <c r="AN852" i="25"/>
  <c r="AO852" i="25"/>
  <c r="AP852" i="25"/>
  <c r="AN853" i="25"/>
  <c r="AO853" i="25"/>
  <c r="AP853" i="25"/>
  <c r="AN854" i="25"/>
  <c r="AO854" i="25"/>
  <c r="AP854" i="25"/>
  <c r="AN855" i="25"/>
  <c r="AO855" i="25"/>
  <c r="AP855" i="25"/>
  <c r="AN856" i="25"/>
  <c r="AO856" i="25"/>
  <c r="AP856" i="25"/>
  <c r="AN857" i="25"/>
  <c r="AO857" i="25"/>
  <c r="AP857" i="25"/>
  <c r="AN858" i="25"/>
  <c r="AO858" i="25"/>
  <c r="AP858" i="25"/>
  <c r="AN859" i="25"/>
  <c r="AO859" i="25"/>
  <c r="AP859" i="25"/>
  <c r="AN860" i="25"/>
  <c r="AO860" i="25"/>
  <c r="AP860" i="25"/>
  <c r="AN861" i="25"/>
  <c r="AO861" i="25"/>
  <c r="AP861" i="25"/>
  <c r="AN862" i="25"/>
  <c r="AO862" i="25"/>
  <c r="AP862" i="25"/>
  <c r="AN863" i="25"/>
  <c r="AO863" i="25"/>
  <c r="AP863" i="25"/>
  <c r="AN864" i="25"/>
  <c r="AO864" i="25"/>
  <c r="AP864" i="25"/>
  <c r="AN865" i="25"/>
  <c r="AO865" i="25"/>
  <c r="AP865" i="25"/>
  <c r="AN866" i="25"/>
  <c r="AO866" i="25"/>
  <c r="AP866" i="25"/>
  <c r="AN867" i="25"/>
  <c r="AO867" i="25"/>
  <c r="AP867" i="25"/>
  <c r="AN868" i="25"/>
  <c r="AO868" i="25"/>
  <c r="AP868" i="25"/>
  <c r="AN869" i="25"/>
  <c r="AO869" i="25"/>
  <c r="AP869" i="25"/>
  <c r="AN870" i="25"/>
  <c r="AO870" i="25"/>
  <c r="AP870" i="25"/>
  <c r="AN871" i="25"/>
  <c r="AO871" i="25"/>
  <c r="AP871" i="25"/>
  <c r="AN872" i="25"/>
  <c r="AO872" i="25"/>
  <c r="AP872" i="25"/>
  <c r="AN873" i="25"/>
  <c r="AO873" i="25"/>
  <c r="AP873" i="25"/>
  <c r="AN874" i="25"/>
  <c r="AO874" i="25"/>
  <c r="AP874" i="25"/>
  <c r="AN875" i="25"/>
  <c r="AO875" i="25"/>
  <c r="AP875" i="25"/>
  <c r="AN876" i="25"/>
  <c r="AO876" i="25"/>
  <c r="AP876" i="25"/>
  <c r="AN877" i="25"/>
  <c r="AO877" i="25"/>
  <c r="AP877" i="25"/>
  <c r="AN878" i="25"/>
  <c r="AO878" i="25"/>
  <c r="AP878" i="25"/>
  <c r="AN879" i="25"/>
  <c r="AO879" i="25"/>
  <c r="AP879" i="25"/>
  <c r="AN880" i="25"/>
  <c r="AO880" i="25"/>
  <c r="AP880" i="25"/>
  <c r="AN881" i="25"/>
  <c r="AO881" i="25"/>
  <c r="AP881" i="25"/>
  <c r="AP662" i="25"/>
  <c r="AO662" i="25"/>
  <c r="AN662" i="25"/>
  <c r="AN443" i="25"/>
  <c r="AO443" i="25"/>
  <c r="AP443" i="25"/>
  <c r="AN444" i="25"/>
  <c r="AO444" i="25"/>
  <c r="AP444" i="25"/>
  <c r="AN445" i="25"/>
  <c r="AO445" i="25"/>
  <c r="AP445" i="25"/>
  <c r="AN446" i="25"/>
  <c r="AO446" i="25"/>
  <c r="AP446" i="25"/>
  <c r="AN447" i="25"/>
  <c r="AO447" i="25"/>
  <c r="AP447" i="25"/>
  <c r="AN448" i="25"/>
  <c r="AO448" i="25"/>
  <c r="AP448" i="25"/>
  <c r="AN449" i="25"/>
  <c r="AO449" i="25"/>
  <c r="AP449" i="25"/>
  <c r="AN450" i="25"/>
  <c r="AO450" i="25"/>
  <c r="AP450" i="25"/>
  <c r="AN451" i="25"/>
  <c r="AO451" i="25"/>
  <c r="AP451" i="25"/>
  <c r="AN452" i="25"/>
  <c r="AO452" i="25"/>
  <c r="AP452" i="25"/>
  <c r="AN453" i="25"/>
  <c r="AO453" i="25"/>
  <c r="AP453" i="25"/>
  <c r="AN454" i="25"/>
  <c r="AO454" i="25"/>
  <c r="AP454" i="25"/>
  <c r="AN455" i="25"/>
  <c r="AO455" i="25"/>
  <c r="AP455" i="25"/>
  <c r="AN456" i="25"/>
  <c r="AO456" i="25"/>
  <c r="AP456" i="25"/>
  <c r="AN457" i="25"/>
  <c r="AO457" i="25"/>
  <c r="AP457" i="25"/>
  <c r="AN458" i="25"/>
  <c r="AO458" i="25"/>
  <c r="AP458" i="25"/>
  <c r="AN459" i="25"/>
  <c r="AO459" i="25"/>
  <c r="AP459" i="25"/>
  <c r="AN460" i="25"/>
  <c r="AO460" i="25"/>
  <c r="AP460" i="25"/>
  <c r="AN461" i="25"/>
  <c r="AO461" i="25"/>
  <c r="AP461" i="25"/>
  <c r="AN462" i="25"/>
  <c r="AO462" i="25"/>
  <c r="AP462" i="25"/>
  <c r="AN463" i="25"/>
  <c r="AO463" i="25"/>
  <c r="AP463" i="25"/>
  <c r="AN464" i="25"/>
  <c r="AO464" i="25"/>
  <c r="AP464" i="25"/>
  <c r="AN465" i="25"/>
  <c r="AO465" i="25"/>
  <c r="AP465" i="25"/>
  <c r="AN466" i="25"/>
  <c r="AO466" i="25"/>
  <c r="AP466" i="25"/>
  <c r="AN467" i="25"/>
  <c r="AO467" i="25"/>
  <c r="AP467" i="25"/>
  <c r="AN468" i="25"/>
  <c r="AO468" i="25"/>
  <c r="AP468" i="25"/>
  <c r="AN469" i="25"/>
  <c r="AO469" i="25"/>
  <c r="AP469" i="25"/>
  <c r="AN470" i="25"/>
  <c r="AO470" i="25"/>
  <c r="AP470" i="25"/>
  <c r="AN471" i="25"/>
  <c r="AO471" i="25"/>
  <c r="AP471" i="25"/>
  <c r="AN472" i="25"/>
  <c r="AO472" i="25"/>
  <c r="AP472" i="25"/>
  <c r="AN473" i="25"/>
  <c r="AO473" i="25"/>
  <c r="AP473" i="25"/>
  <c r="AN474" i="25"/>
  <c r="AO474" i="25"/>
  <c r="AP474" i="25"/>
  <c r="AN475" i="25"/>
  <c r="AO475" i="25"/>
  <c r="AP475" i="25"/>
  <c r="AN476" i="25"/>
  <c r="AO476" i="25"/>
  <c r="AP476" i="25"/>
  <c r="AN477" i="25"/>
  <c r="AO477" i="25"/>
  <c r="AP477" i="25"/>
  <c r="AN478" i="25"/>
  <c r="AO478" i="25"/>
  <c r="AP478" i="25"/>
  <c r="AN479" i="25"/>
  <c r="AO479" i="25"/>
  <c r="AP479" i="25"/>
  <c r="AN480" i="25"/>
  <c r="AO480" i="25"/>
  <c r="AP480" i="25"/>
  <c r="AN481" i="25"/>
  <c r="AO481" i="25"/>
  <c r="AP481" i="25"/>
  <c r="AN482" i="25"/>
  <c r="AO482" i="25"/>
  <c r="AP482" i="25"/>
  <c r="AN483" i="25"/>
  <c r="AO483" i="25"/>
  <c r="AP483" i="25"/>
  <c r="AN484" i="25"/>
  <c r="AO484" i="25"/>
  <c r="AP484" i="25"/>
  <c r="AN485" i="25"/>
  <c r="AO485" i="25"/>
  <c r="AP485" i="25"/>
  <c r="AN486" i="25"/>
  <c r="AO486" i="25"/>
  <c r="AP486" i="25"/>
  <c r="AN487" i="25"/>
  <c r="AO487" i="25"/>
  <c r="AP487" i="25"/>
  <c r="AN488" i="25"/>
  <c r="AO488" i="25"/>
  <c r="AP488" i="25"/>
  <c r="AN489" i="25"/>
  <c r="AO489" i="25"/>
  <c r="AP489" i="25"/>
  <c r="AN490" i="25"/>
  <c r="AO490" i="25"/>
  <c r="AP490" i="25"/>
  <c r="AN491" i="25"/>
  <c r="AO491" i="25"/>
  <c r="AP491" i="25"/>
  <c r="AN492" i="25"/>
  <c r="AO492" i="25"/>
  <c r="AP492" i="25"/>
  <c r="AN493" i="25"/>
  <c r="AO493" i="25"/>
  <c r="AP493" i="25"/>
  <c r="AN494" i="25"/>
  <c r="AO494" i="25"/>
  <c r="AP494" i="25"/>
  <c r="AN495" i="25"/>
  <c r="AO495" i="25"/>
  <c r="AP495" i="25"/>
  <c r="AN496" i="25"/>
  <c r="AO496" i="25"/>
  <c r="AP496" i="25"/>
  <c r="AN497" i="25"/>
  <c r="AO497" i="25"/>
  <c r="AP497" i="25"/>
  <c r="AN498" i="25"/>
  <c r="AO498" i="25"/>
  <c r="AP498" i="25"/>
  <c r="AN499" i="25"/>
  <c r="AO499" i="25"/>
  <c r="AP499" i="25"/>
  <c r="AN500" i="25"/>
  <c r="AO500" i="25"/>
  <c r="AP500" i="25"/>
  <c r="AN501" i="25"/>
  <c r="AO501" i="25"/>
  <c r="AP501" i="25"/>
  <c r="AN502" i="25"/>
  <c r="AO502" i="25"/>
  <c r="AP502" i="25"/>
  <c r="AN503" i="25"/>
  <c r="AO503" i="25"/>
  <c r="AP503" i="25"/>
  <c r="AN504" i="25"/>
  <c r="AO504" i="25"/>
  <c r="AP504" i="25"/>
  <c r="AN505" i="25"/>
  <c r="AO505" i="25"/>
  <c r="AP505" i="25"/>
  <c r="AN506" i="25"/>
  <c r="AO506" i="25"/>
  <c r="AP506" i="25"/>
  <c r="AN507" i="25"/>
  <c r="AO507" i="25"/>
  <c r="AP507" i="25"/>
  <c r="AN508" i="25"/>
  <c r="AO508" i="25"/>
  <c r="AP508" i="25"/>
  <c r="AN509" i="25"/>
  <c r="AO509" i="25"/>
  <c r="AP509" i="25"/>
  <c r="AN510" i="25"/>
  <c r="AO510" i="25"/>
  <c r="AP510" i="25"/>
  <c r="AN511" i="25"/>
  <c r="AO511" i="25"/>
  <c r="AP511" i="25"/>
  <c r="AN512" i="25"/>
  <c r="AO512" i="25"/>
  <c r="AP512" i="25"/>
  <c r="AN513" i="25"/>
  <c r="AO513" i="25"/>
  <c r="AP513" i="25"/>
  <c r="AN514" i="25"/>
  <c r="AO514" i="25"/>
  <c r="AP514" i="25"/>
  <c r="AN515" i="25"/>
  <c r="AO515" i="25"/>
  <c r="AP515" i="25"/>
  <c r="AN516" i="25"/>
  <c r="AO516" i="25"/>
  <c r="AP516" i="25"/>
  <c r="AN517" i="25"/>
  <c r="AO517" i="25"/>
  <c r="AP517" i="25"/>
  <c r="AN518" i="25"/>
  <c r="AO518" i="25"/>
  <c r="AP518" i="25"/>
  <c r="AN519" i="25"/>
  <c r="AO519" i="25"/>
  <c r="AP519" i="25"/>
  <c r="AN520" i="25"/>
  <c r="AO520" i="25"/>
  <c r="AP520" i="25"/>
  <c r="AN521" i="25"/>
  <c r="AO521" i="25"/>
  <c r="AP521" i="25"/>
  <c r="AN522" i="25"/>
  <c r="AO522" i="25"/>
  <c r="AP522" i="25"/>
  <c r="AN523" i="25"/>
  <c r="AO523" i="25"/>
  <c r="AP523" i="25"/>
  <c r="AN524" i="25"/>
  <c r="AO524" i="25"/>
  <c r="AP524" i="25"/>
  <c r="AN525" i="25"/>
  <c r="AO525" i="25"/>
  <c r="AP525" i="25"/>
  <c r="AN526" i="25"/>
  <c r="AO526" i="25"/>
  <c r="AP526" i="25"/>
  <c r="AN527" i="25"/>
  <c r="AO527" i="25"/>
  <c r="AP527" i="25"/>
  <c r="AN528" i="25"/>
  <c r="AO528" i="25"/>
  <c r="AP528" i="25"/>
  <c r="AN529" i="25"/>
  <c r="AO529" i="25"/>
  <c r="AP529" i="25"/>
  <c r="AN530" i="25"/>
  <c r="AO530" i="25"/>
  <c r="AP530" i="25"/>
  <c r="AN531" i="25"/>
  <c r="AO531" i="25"/>
  <c r="AP531" i="25"/>
  <c r="AN532" i="25"/>
  <c r="AO532" i="25"/>
  <c r="AP532" i="25"/>
  <c r="AN533" i="25"/>
  <c r="AO533" i="25"/>
  <c r="AP533" i="25"/>
  <c r="AN534" i="25"/>
  <c r="AO534" i="25"/>
  <c r="AP534" i="25"/>
  <c r="AN535" i="25"/>
  <c r="AO535" i="25"/>
  <c r="AP535" i="25"/>
  <c r="AN536" i="25"/>
  <c r="AO536" i="25"/>
  <c r="AP536" i="25"/>
  <c r="AN537" i="25"/>
  <c r="AO537" i="25"/>
  <c r="AP537" i="25"/>
  <c r="AN538" i="25"/>
  <c r="AO538" i="25"/>
  <c r="AP538" i="25"/>
  <c r="AN539" i="25"/>
  <c r="AO539" i="25"/>
  <c r="AP539" i="25"/>
  <c r="AN540" i="25"/>
  <c r="AO540" i="25"/>
  <c r="AP540" i="25"/>
  <c r="AN541" i="25"/>
  <c r="AO541" i="25"/>
  <c r="AP541" i="25"/>
  <c r="AN542" i="25"/>
  <c r="AO542" i="25"/>
  <c r="AP542" i="25"/>
  <c r="AN543" i="25"/>
  <c r="AO543" i="25"/>
  <c r="AP543" i="25"/>
  <c r="AN544" i="25"/>
  <c r="AO544" i="25"/>
  <c r="AP544" i="25"/>
  <c r="AN545" i="25"/>
  <c r="AO545" i="25"/>
  <c r="AP545" i="25"/>
  <c r="AN546" i="25"/>
  <c r="AO546" i="25"/>
  <c r="AP546" i="25"/>
  <c r="AN547" i="25"/>
  <c r="AO547" i="25"/>
  <c r="AP547" i="25"/>
  <c r="AN548" i="25"/>
  <c r="AO548" i="25"/>
  <c r="AP548" i="25"/>
  <c r="AN549" i="25"/>
  <c r="AO549" i="25"/>
  <c r="AP549" i="25"/>
  <c r="AN550" i="25"/>
  <c r="AO550" i="25"/>
  <c r="AP550" i="25"/>
  <c r="AN551" i="25"/>
  <c r="AO551" i="25"/>
  <c r="AP551" i="25"/>
  <c r="AN552" i="25"/>
  <c r="AO552" i="25"/>
  <c r="AP552" i="25"/>
  <c r="AN553" i="25"/>
  <c r="AO553" i="25"/>
  <c r="AP553" i="25"/>
  <c r="AN554" i="25"/>
  <c r="AO554" i="25"/>
  <c r="AP554" i="25"/>
  <c r="AN555" i="25"/>
  <c r="AO555" i="25"/>
  <c r="AP555" i="25"/>
  <c r="AN556" i="25"/>
  <c r="AO556" i="25"/>
  <c r="AP556" i="25"/>
  <c r="AN557" i="25"/>
  <c r="AO557" i="25"/>
  <c r="AP557" i="25"/>
  <c r="AN558" i="25"/>
  <c r="AO558" i="25"/>
  <c r="AP558" i="25"/>
  <c r="AN559" i="25"/>
  <c r="AO559" i="25"/>
  <c r="AP559" i="25"/>
  <c r="AN560" i="25"/>
  <c r="AO560" i="25"/>
  <c r="AP560" i="25"/>
  <c r="AN561" i="25"/>
  <c r="AO561" i="25"/>
  <c r="AP561" i="25"/>
  <c r="AN562" i="25"/>
  <c r="AO562" i="25"/>
  <c r="AP562" i="25"/>
  <c r="AN563" i="25"/>
  <c r="AO563" i="25"/>
  <c r="AP563" i="25"/>
  <c r="AN564" i="25"/>
  <c r="AO564" i="25"/>
  <c r="AP564" i="25"/>
  <c r="AN565" i="25"/>
  <c r="AO565" i="25"/>
  <c r="AP565" i="25"/>
  <c r="AN566" i="25"/>
  <c r="AO566" i="25"/>
  <c r="AP566" i="25"/>
  <c r="AN567" i="25"/>
  <c r="AO567" i="25"/>
  <c r="AP567" i="25"/>
  <c r="AN568" i="25"/>
  <c r="AO568" i="25"/>
  <c r="AP568" i="25"/>
  <c r="AN569" i="25"/>
  <c r="AO569" i="25"/>
  <c r="AP569" i="25"/>
  <c r="AN570" i="25"/>
  <c r="AO570" i="25"/>
  <c r="AP570" i="25"/>
  <c r="AN571" i="25"/>
  <c r="AO571" i="25"/>
  <c r="AP571" i="25"/>
  <c r="AN572" i="25"/>
  <c r="AO572" i="25"/>
  <c r="AP572" i="25"/>
  <c r="AN573" i="25"/>
  <c r="AO573" i="25"/>
  <c r="AP573" i="25"/>
  <c r="AN574" i="25"/>
  <c r="AO574" i="25"/>
  <c r="AP574" i="25"/>
  <c r="AN575" i="25"/>
  <c r="AO575" i="25"/>
  <c r="AP575" i="25"/>
  <c r="AN576" i="25"/>
  <c r="AO576" i="25"/>
  <c r="AP576" i="25"/>
  <c r="AN577" i="25"/>
  <c r="AO577" i="25"/>
  <c r="AP577" i="25"/>
  <c r="AN578" i="25"/>
  <c r="AO578" i="25"/>
  <c r="AP578" i="25"/>
  <c r="AN579" i="25"/>
  <c r="AO579" i="25"/>
  <c r="AP579" i="25"/>
  <c r="AN580" i="25"/>
  <c r="AO580" i="25"/>
  <c r="AP580" i="25"/>
  <c r="AN581" i="25"/>
  <c r="AO581" i="25"/>
  <c r="AP581" i="25"/>
  <c r="AN582" i="25"/>
  <c r="AO582" i="25"/>
  <c r="AP582" i="25"/>
  <c r="AN583" i="25"/>
  <c r="AO583" i="25"/>
  <c r="AP583" i="25"/>
  <c r="AN584" i="25"/>
  <c r="AO584" i="25"/>
  <c r="AP584" i="25"/>
  <c r="AN585" i="25"/>
  <c r="AO585" i="25"/>
  <c r="AP585" i="25"/>
  <c r="AN586" i="25"/>
  <c r="AO586" i="25"/>
  <c r="AP586" i="25"/>
  <c r="AN587" i="25"/>
  <c r="AO587" i="25"/>
  <c r="AP587" i="25"/>
  <c r="AN588" i="25"/>
  <c r="AO588" i="25"/>
  <c r="AP588" i="25"/>
  <c r="AN589" i="25"/>
  <c r="AO589" i="25"/>
  <c r="AP589" i="25"/>
  <c r="AN590" i="25"/>
  <c r="AO590" i="25"/>
  <c r="AP590" i="25"/>
  <c r="AN591" i="25"/>
  <c r="AO591" i="25"/>
  <c r="AP591" i="25"/>
  <c r="AN592" i="25"/>
  <c r="AO592" i="25"/>
  <c r="AP592" i="25"/>
  <c r="AN593" i="25"/>
  <c r="AO593" i="25"/>
  <c r="AP593" i="25"/>
  <c r="AN594" i="25"/>
  <c r="AO594" i="25"/>
  <c r="AP594" i="25"/>
  <c r="AN595" i="25"/>
  <c r="AO595" i="25"/>
  <c r="AP595" i="25"/>
  <c r="AN596" i="25"/>
  <c r="AO596" i="25"/>
  <c r="AP596" i="25"/>
  <c r="AN597" i="25"/>
  <c r="AO597" i="25"/>
  <c r="AP597" i="25"/>
  <c r="AN598" i="25"/>
  <c r="AO598" i="25"/>
  <c r="AP598" i="25"/>
  <c r="AN599" i="25"/>
  <c r="AO599" i="25"/>
  <c r="AP599" i="25"/>
  <c r="AN600" i="25"/>
  <c r="AO600" i="25"/>
  <c r="AP600" i="25"/>
  <c r="AN601" i="25"/>
  <c r="AO601" i="25"/>
  <c r="AP601" i="25"/>
  <c r="AN602" i="25"/>
  <c r="AO602" i="25"/>
  <c r="AP602" i="25"/>
  <c r="AN603" i="25"/>
  <c r="AO603" i="25"/>
  <c r="AP603" i="25"/>
  <c r="AN604" i="25"/>
  <c r="AO604" i="25"/>
  <c r="AP604" i="25"/>
  <c r="AN605" i="25"/>
  <c r="AO605" i="25"/>
  <c r="AP605" i="25"/>
  <c r="AN606" i="25"/>
  <c r="AO606" i="25"/>
  <c r="AP606" i="25"/>
  <c r="AN607" i="25"/>
  <c r="AO607" i="25"/>
  <c r="AP607" i="25"/>
  <c r="AN608" i="25"/>
  <c r="AO608" i="25"/>
  <c r="AP608" i="25"/>
  <c r="AN609" i="25"/>
  <c r="AO609" i="25"/>
  <c r="AP609" i="25"/>
  <c r="AN610" i="25"/>
  <c r="AO610" i="25"/>
  <c r="AP610" i="25"/>
  <c r="AN611" i="25"/>
  <c r="AO611" i="25"/>
  <c r="AP611" i="25"/>
  <c r="AN612" i="25"/>
  <c r="AO612" i="25"/>
  <c r="AP612" i="25"/>
  <c r="AN613" i="25"/>
  <c r="AO613" i="25"/>
  <c r="AP613" i="25"/>
  <c r="AN614" i="25"/>
  <c r="AO614" i="25"/>
  <c r="AP614" i="25"/>
  <c r="AN615" i="25"/>
  <c r="AO615" i="25"/>
  <c r="AP615" i="25"/>
  <c r="AN616" i="25"/>
  <c r="AO616" i="25"/>
  <c r="AP616" i="25"/>
  <c r="AN617" i="25"/>
  <c r="AO617" i="25"/>
  <c r="AP617" i="25"/>
  <c r="AN618" i="25"/>
  <c r="AO618" i="25"/>
  <c r="AP618" i="25"/>
  <c r="AN619" i="25"/>
  <c r="AO619" i="25"/>
  <c r="AP619" i="25"/>
  <c r="AN620" i="25"/>
  <c r="AO620" i="25"/>
  <c r="AP620" i="25"/>
  <c r="AN621" i="25"/>
  <c r="AO621" i="25"/>
  <c r="AP621" i="25"/>
  <c r="AN622" i="25"/>
  <c r="AO622" i="25"/>
  <c r="AP622" i="25"/>
  <c r="AN623" i="25"/>
  <c r="AO623" i="25"/>
  <c r="AP623" i="25"/>
  <c r="AN624" i="25"/>
  <c r="AO624" i="25"/>
  <c r="AP624" i="25"/>
  <c r="AN625" i="25"/>
  <c r="AO625" i="25"/>
  <c r="AP625" i="25"/>
  <c r="AN626" i="25"/>
  <c r="AO626" i="25"/>
  <c r="AP626" i="25"/>
  <c r="AN627" i="25"/>
  <c r="AO627" i="25"/>
  <c r="AP627" i="25"/>
  <c r="AN628" i="25"/>
  <c r="AO628" i="25"/>
  <c r="AP628" i="25"/>
  <c r="AN629" i="25"/>
  <c r="AO629" i="25"/>
  <c r="AP629" i="25"/>
  <c r="AN630" i="25"/>
  <c r="AO630" i="25"/>
  <c r="AP630" i="25"/>
  <c r="AN631" i="25"/>
  <c r="AO631" i="25"/>
  <c r="AP631" i="25"/>
  <c r="AN632" i="25"/>
  <c r="AO632" i="25"/>
  <c r="AP632" i="25"/>
  <c r="AN633" i="25"/>
  <c r="AO633" i="25"/>
  <c r="AP633" i="25"/>
  <c r="AN634" i="25"/>
  <c r="AO634" i="25"/>
  <c r="AP634" i="25"/>
  <c r="AN635" i="25"/>
  <c r="AO635" i="25"/>
  <c r="AP635" i="25"/>
  <c r="AN636" i="25"/>
  <c r="AO636" i="25"/>
  <c r="AP636" i="25"/>
  <c r="AN637" i="25"/>
  <c r="AO637" i="25"/>
  <c r="AP637" i="25"/>
  <c r="AN638" i="25"/>
  <c r="AO638" i="25"/>
  <c r="AP638" i="25"/>
  <c r="AN639" i="25"/>
  <c r="AO639" i="25"/>
  <c r="AP639" i="25"/>
  <c r="AN640" i="25"/>
  <c r="AO640" i="25"/>
  <c r="AP640" i="25"/>
  <c r="AN641" i="25"/>
  <c r="AO641" i="25"/>
  <c r="AP641" i="25"/>
  <c r="AN642" i="25"/>
  <c r="AO642" i="25"/>
  <c r="AP642" i="25"/>
  <c r="AN643" i="25"/>
  <c r="AO643" i="25"/>
  <c r="AP643" i="25"/>
  <c r="AN644" i="25"/>
  <c r="AO644" i="25"/>
  <c r="AP644" i="25"/>
  <c r="AN645" i="25"/>
  <c r="AO645" i="25"/>
  <c r="AP645" i="25"/>
  <c r="AN646" i="25"/>
  <c r="AO646" i="25"/>
  <c r="AP646" i="25"/>
  <c r="AN647" i="25"/>
  <c r="AO647" i="25"/>
  <c r="AP647" i="25"/>
  <c r="AN648" i="25"/>
  <c r="AO648" i="25"/>
  <c r="AP648" i="25"/>
  <c r="AN649" i="25"/>
  <c r="AO649" i="25"/>
  <c r="AP649" i="25"/>
  <c r="AN650" i="25"/>
  <c r="AO650" i="25"/>
  <c r="AP650" i="25"/>
  <c r="AN651" i="25"/>
  <c r="AO651" i="25"/>
  <c r="AP651" i="25"/>
  <c r="AN652" i="25"/>
  <c r="AO652" i="25"/>
  <c r="AP652" i="25"/>
  <c r="AN653" i="25"/>
  <c r="AO653" i="25"/>
  <c r="AP653" i="25"/>
  <c r="AN654" i="25"/>
  <c r="AO654" i="25"/>
  <c r="AP654" i="25"/>
  <c r="AN655" i="25"/>
  <c r="AO655" i="25"/>
  <c r="AP655" i="25"/>
  <c r="AN656" i="25"/>
  <c r="AO656" i="25"/>
  <c r="AP656" i="25"/>
  <c r="AN657" i="25"/>
  <c r="AO657" i="25"/>
  <c r="AP657" i="25"/>
  <c r="AN658" i="25"/>
  <c r="AO658" i="25"/>
  <c r="AP658" i="25"/>
  <c r="AN659" i="25"/>
  <c r="AO659" i="25"/>
  <c r="AP659" i="25"/>
  <c r="AN660" i="25"/>
  <c r="AO660" i="25"/>
  <c r="AP660" i="25"/>
  <c r="AN661" i="25"/>
  <c r="AO661" i="25"/>
  <c r="AP661" i="25"/>
  <c r="AP442" i="25"/>
  <c r="AO442" i="25"/>
  <c r="AN442" i="25"/>
  <c r="AN223" i="25"/>
  <c r="AO223" i="25"/>
  <c r="AP223" i="25"/>
  <c r="AN224" i="25"/>
  <c r="AO224" i="25"/>
  <c r="AP224" i="25"/>
  <c r="AN225" i="25"/>
  <c r="AO225" i="25"/>
  <c r="AP225" i="25"/>
  <c r="AN226" i="25"/>
  <c r="AO226" i="25"/>
  <c r="AP226" i="25"/>
  <c r="AN227" i="25"/>
  <c r="AO227" i="25"/>
  <c r="AP227" i="25"/>
  <c r="AN228" i="25"/>
  <c r="AO228" i="25"/>
  <c r="AP228" i="25"/>
  <c r="AN229" i="25"/>
  <c r="AO229" i="25"/>
  <c r="AP229" i="25"/>
  <c r="AN230" i="25"/>
  <c r="AO230" i="25"/>
  <c r="AP230" i="25"/>
  <c r="AN231" i="25"/>
  <c r="AO231" i="25"/>
  <c r="AP231" i="25"/>
  <c r="AN232" i="25"/>
  <c r="AO232" i="25"/>
  <c r="AP232" i="25"/>
  <c r="AN233" i="25"/>
  <c r="AO233" i="25"/>
  <c r="AP233" i="25"/>
  <c r="AN234" i="25"/>
  <c r="AO234" i="25"/>
  <c r="AP234" i="25"/>
  <c r="AN235" i="25"/>
  <c r="AO235" i="25"/>
  <c r="AP235" i="25"/>
  <c r="AN236" i="25"/>
  <c r="AO236" i="25"/>
  <c r="AP236" i="25"/>
  <c r="AN237" i="25"/>
  <c r="AO237" i="25"/>
  <c r="AP237" i="25"/>
  <c r="AN238" i="25"/>
  <c r="AO238" i="25"/>
  <c r="AP238" i="25"/>
  <c r="AN239" i="25"/>
  <c r="AO239" i="25"/>
  <c r="AP239" i="25"/>
  <c r="AN240" i="25"/>
  <c r="AO240" i="25"/>
  <c r="AP240" i="25"/>
  <c r="AN241" i="25"/>
  <c r="AO241" i="25"/>
  <c r="AP241" i="25"/>
  <c r="AN242" i="25"/>
  <c r="AO242" i="25"/>
  <c r="AP242" i="25"/>
  <c r="AN243" i="25"/>
  <c r="AO243" i="25"/>
  <c r="AP243" i="25"/>
  <c r="AN244" i="25"/>
  <c r="AO244" i="25"/>
  <c r="AP244" i="25"/>
  <c r="AN245" i="25"/>
  <c r="AO245" i="25"/>
  <c r="AP245" i="25"/>
  <c r="AN246" i="25"/>
  <c r="AO246" i="25"/>
  <c r="AP246" i="25"/>
  <c r="AN247" i="25"/>
  <c r="AO247" i="25"/>
  <c r="AP247" i="25"/>
  <c r="AN248" i="25"/>
  <c r="AO248" i="25"/>
  <c r="AP248" i="25"/>
  <c r="AN249" i="25"/>
  <c r="AO249" i="25"/>
  <c r="AP249" i="25"/>
  <c r="AN250" i="25"/>
  <c r="AO250" i="25"/>
  <c r="AP250" i="25"/>
  <c r="AN251" i="25"/>
  <c r="AO251" i="25"/>
  <c r="AP251" i="25"/>
  <c r="AN252" i="25"/>
  <c r="AO252" i="25"/>
  <c r="AP252" i="25"/>
  <c r="AN253" i="25"/>
  <c r="AO253" i="25"/>
  <c r="AP253" i="25"/>
  <c r="AN254" i="25"/>
  <c r="AO254" i="25"/>
  <c r="AP254" i="25"/>
  <c r="AN255" i="25"/>
  <c r="AO255" i="25"/>
  <c r="AP255" i="25"/>
  <c r="AN256" i="25"/>
  <c r="AO256" i="25"/>
  <c r="AP256" i="25"/>
  <c r="AN257" i="25"/>
  <c r="AO257" i="25"/>
  <c r="AP257" i="25"/>
  <c r="AN258" i="25"/>
  <c r="AO258" i="25"/>
  <c r="AP258" i="25"/>
  <c r="AN259" i="25"/>
  <c r="AO259" i="25"/>
  <c r="AP259" i="25"/>
  <c r="AN260" i="25"/>
  <c r="AO260" i="25"/>
  <c r="AP260" i="25"/>
  <c r="AN261" i="25"/>
  <c r="AO261" i="25"/>
  <c r="AP261" i="25"/>
  <c r="AN262" i="25"/>
  <c r="AO262" i="25"/>
  <c r="AP262" i="25"/>
  <c r="AN263" i="25"/>
  <c r="AO263" i="25"/>
  <c r="AP263" i="25"/>
  <c r="AN264" i="25"/>
  <c r="AO264" i="25"/>
  <c r="AP264" i="25"/>
  <c r="AN265" i="25"/>
  <c r="AO265" i="25"/>
  <c r="AP265" i="25"/>
  <c r="AN266" i="25"/>
  <c r="AO266" i="25"/>
  <c r="AP266" i="25"/>
  <c r="AN267" i="25"/>
  <c r="AO267" i="25"/>
  <c r="AP267" i="25"/>
  <c r="AN268" i="25"/>
  <c r="AO268" i="25"/>
  <c r="AP268" i="25"/>
  <c r="AN269" i="25"/>
  <c r="AO269" i="25"/>
  <c r="AP269" i="25"/>
  <c r="AN270" i="25"/>
  <c r="AO270" i="25"/>
  <c r="AP270" i="25"/>
  <c r="AN271" i="25"/>
  <c r="AO271" i="25"/>
  <c r="AP271" i="25"/>
  <c r="AN272" i="25"/>
  <c r="AO272" i="25"/>
  <c r="AP272" i="25"/>
  <c r="AN273" i="25"/>
  <c r="AO273" i="25"/>
  <c r="AP273" i="25"/>
  <c r="AN274" i="25"/>
  <c r="AO274" i="25"/>
  <c r="AP274" i="25"/>
  <c r="AN275" i="25"/>
  <c r="AO275" i="25"/>
  <c r="AP275" i="25"/>
  <c r="AN276" i="25"/>
  <c r="AO276" i="25"/>
  <c r="AP276" i="25"/>
  <c r="AN277" i="25"/>
  <c r="AO277" i="25"/>
  <c r="AP277" i="25"/>
  <c r="AN278" i="25"/>
  <c r="AO278" i="25"/>
  <c r="AP278" i="25"/>
  <c r="AN279" i="25"/>
  <c r="AO279" i="25"/>
  <c r="AP279" i="25"/>
  <c r="AN280" i="25"/>
  <c r="AO280" i="25"/>
  <c r="AP280" i="25"/>
  <c r="AN281" i="25"/>
  <c r="AO281" i="25"/>
  <c r="AP281" i="25"/>
  <c r="AN282" i="25"/>
  <c r="AO282" i="25"/>
  <c r="AP282" i="25"/>
  <c r="AN283" i="25"/>
  <c r="AO283" i="25"/>
  <c r="AP283" i="25"/>
  <c r="AN284" i="25"/>
  <c r="AO284" i="25"/>
  <c r="AP284" i="25"/>
  <c r="AN285" i="25"/>
  <c r="AO285" i="25"/>
  <c r="AP285" i="25"/>
  <c r="AN286" i="25"/>
  <c r="AO286" i="25"/>
  <c r="AP286" i="25"/>
  <c r="AN287" i="25"/>
  <c r="AO287" i="25"/>
  <c r="AP287" i="25"/>
  <c r="AN288" i="25"/>
  <c r="AO288" i="25"/>
  <c r="AP288" i="25"/>
  <c r="AN289" i="25"/>
  <c r="AO289" i="25"/>
  <c r="AP289" i="25"/>
  <c r="AN290" i="25"/>
  <c r="AO290" i="25"/>
  <c r="AP290" i="25"/>
  <c r="AN291" i="25"/>
  <c r="AO291" i="25"/>
  <c r="AP291" i="25"/>
  <c r="AN292" i="25"/>
  <c r="AO292" i="25"/>
  <c r="AP292" i="25"/>
  <c r="AN293" i="25"/>
  <c r="AO293" i="25"/>
  <c r="AP293" i="25"/>
  <c r="AN294" i="25"/>
  <c r="AO294" i="25"/>
  <c r="AP294" i="25"/>
  <c r="AN295" i="25"/>
  <c r="AO295" i="25"/>
  <c r="AP295" i="25"/>
  <c r="AN296" i="25"/>
  <c r="AO296" i="25"/>
  <c r="AP296" i="25"/>
  <c r="AN297" i="25"/>
  <c r="AO297" i="25"/>
  <c r="AP297" i="25"/>
  <c r="AN298" i="25"/>
  <c r="AO298" i="25"/>
  <c r="AP298" i="25"/>
  <c r="AN299" i="25"/>
  <c r="AO299" i="25"/>
  <c r="AP299" i="25"/>
  <c r="AN300" i="25"/>
  <c r="AO300" i="25"/>
  <c r="AP300" i="25"/>
  <c r="AN301" i="25"/>
  <c r="AO301" i="25"/>
  <c r="AP301" i="25"/>
  <c r="AN302" i="25"/>
  <c r="AO302" i="25"/>
  <c r="AP302" i="25"/>
  <c r="AN303" i="25"/>
  <c r="AO303" i="25"/>
  <c r="AP303" i="25"/>
  <c r="AN304" i="25"/>
  <c r="AO304" i="25"/>
  <c r="AP304" i="25"/>
  <c r="AN305" i="25"/>
  <c r="AO305" i="25"/>
  <c r="AP305" i="25"/>
  <c r="AN306" i="25"/>
  <c r="AO306" i="25"/>
  <c r="AP306" i="25"/>
  <c r="AN307" i="25"/>
  <c r="AO307" i="25"/>
  <c r="AP307" i="25"/>
  <c r="AN308" i="25"/>
  <c r="AO308" i="25"/>
  <c r="AP308" i="25"/>
  <c r="AN309" i="25"/>
  <c r="AO309" i="25"/>
  <c r="AP309" i="25"/>
  <c r="AN310" i="25"/>
  <c r="AO310" i="25"/>
  <c r="AP310" i="25"/>
  <c r="AN311" i="25"/>
  <c r="AO311" i="25"/>
  <c r="AP311" i="25"/>
  <c r="AN312" i="25"/>
  <c r="AO312" i="25"/>
  <c r="AP312" i="25"/>
  <c r="AN313" i="25"/>
  <c r="AO313" i="25"/>
  <c r="AP313" i="25"/>
  <c r="AN314" i="25"/>
  <c r="AO314" i="25"/>
  <c r="AP314" i="25"/>
  <c r="AN315" i="25"/>
  <c r="AO315" i="25"/>
  <c r="AP315" i="25"/>
  <c r="AN316" i="25"/>
  <c r="AO316" i="25"/>
  <c r="AP316" i="25"/>
  <c r="AN317" i="25"/>
  <c r="AO317" i="25"/>
  <c r="AP317" i="25"/>
  <c r="AN318" i="25"/>
  <c r="AO318" i="25"/>
  <c r="AP318" i="25"/>
  <c r="AN319" i="25"/>
  <c r="AO319" i="25"/>
  <c r="AP319" i="25"/>
  <c r="AN320" i="25"/>
  <c r="AO320" i="25"/>
  <c r="AP320" i="25"/>
  <c r="AN321" i="25"/>
  <c r="AO321" i="25"/>
  <c r="AP321" i="25"/>
  <c r="AN322" i="25"/>
  <c r="AO322" i="25"/>
  <c r="AP322" i="25"/>
  <c r="AN323" i="25"/>
  <c r="AO323" i="25"/>
  <c r="AP323" i="25"/>
  <c r="AN324" i="25"/>
  <c r="AO324" i="25"/>
  <c r="AP324" i="25"/>
  <c r="AN325" i="25"/>
  <c r="AO325" i="25"/>
  <c r="AP325" i="25"/>
  <c r="AN326" i="25"/>
  <c r="AO326" i="25"/>
  <c r="AP326" i="25"/>
  <c r="AN327" i="25"/>
  <c r="AO327" i="25"/>
  <c r="AP327" i="25"/>
  <c r="AN328" i="25"/>
  <c r="AO328" i="25"/>
  <c r="AP328" i="25"/>
  <c r="AN329" i="25"/>
  <c r="AO329" i="25"/>
  <c r="AP329" i="25"/>
  <c r="AN330" i="25"/>
  <c r="AO330" i="25"/>
  <c r="AP330" i="25"/>
  <c r="AN331" i="25"/>
  <c r="AO331" i="25"/>
  <c r="AP331" i="25"/>
  <c r="AN332" i="25"/>
  <c r="AO332" i="25"/>
  <c r="AP332" i="25"/>
  <c r="AN333" i="25"/>
  <c r="AO333" i="25"/>
  <c r="AP333" i="25"/>
  <c r="AN334" i="25"/>
  <c r="AO334" i="25"/>
  <c r="AP334" i="25"/>
  <c r="AN335" i="25"/>
  <c r="AO335" i="25"/>
  <c r="AP335" i="25"/>
  <c r="AN336" i="25"/>
  <c r="AO336" i="25"/>
  <c r="AP336" i="25"/>
  <c r="AN337" i="25"/>
  <c r="AO337" i="25"/>
  <c r="AP337" i="25"/>
  <c r="AN338" i="25"/>
  <c r="AO338" i="25"/>
  <c r="AP338" i="25"/>
  <c r="AN339" i="25"/>
  <c r="AO339" i="25"/>
  <c r="AP339" i="25"/>
  <c r="AN340" i="25"/>
  <c r="AO340" i="25"/>
  <c r="AP340" i="25"/>
  <c r="AN341" i="25"/>
  <c r="AO341" i="25"/>
  <c r="AP341" i="25"/>
  <c r="AN342" i="25"/>
  <c r="AO342" i="25"/>
  <c r="AP342" i="25"/>
  <c r="AN343" i="25"/>
  <c r="AO343" i="25"/>
  <c r="AP343" i="25"/>
  <c r="AN344" i="25"/>
  <c r="AO344" i="25"/>
  <c r="AP344" i="25"/>
  <c r="AN345" i="25"/>
  <c r="AO345" i="25"/>
  <c r="AP345" i="25"/>
  <c r="AN346" i="25"/>
  <c r="AO346" i="25"/>
  <c r="AP346" i="25"/>
  <c r="AN347" i="25"/>
  <c r="AO347" i="25"/>
  <c r="AP347" i="25"/>
  <c r="AN348" i="25"/>
  <c r="AO348" i="25"/>
  <c r="AP348" i="25"/>
  <c r="AN349" i="25"/>
  <c r="AO349" i="25"/>
  <c r="AP349" i="25"/>
  <c r="AN350" i="25"/>
  <c r="AO350" i="25"/>
  <c r="AP350" i="25"/>
  <c r="AN351" i="25"/>
  <c r="AO351" i="25"/>
  <c r="AP351" i="25"/>
  <c r="AN352" i="25"/>
  <c r="AO352" i="25"/>
  <c r="AP352" i="25"/>
  <c r="AN353" i="25"/>
  <c r="AO353" i="25"/>
  <c r="AP353" i="25"/>
  <c r="AN354" i="25"/>
  <c r="AO354" i="25"/>
  <c r="AP354" i="25"/>
  <c r="AN355" i="25"/>
  <c r="AO355" i="25"/>
  <c r="AP355" i="25"/>
  <c r="AN356" i="25"/>
  <c r="AO356" i="25"/>
  <c r="AP356" i="25"/>
  <c r="AN357" i="25"/>
  <c r="AO357" i="25"/>
  <c r="AP357" i="25"/>
  <c r="AN358" i="25"/>
  <c r="AO358" i="25"/>
  <c r="AP358" i="25"/>
  <c r="AN359" i="25"/>
  <c r="AO359" i="25"/>
  <c r="AP359" i="25"/>
  <c r="AN360" i="25"/>
  <c r="AO360" i="25"/>
  <c r="AP360" i="25"/>
  <c r="AN361" i="25"/>
  <c r="AO361" i="25"/>
  <c r="AP361" i="25"/>
  <c r="AN362" i="25"/>
  <c r="AO362" i="25"/>
  <c r="AP362" i="25"/>
  <c r="AN363" i="25"/>
  <c r="AO363" i="25"/>
  <c r="AP363" i="25"/>
  <c r="AN364" i="25"/>
  <c r="AO364" i="25"/>
  <c r="AP364" i="25"/>
  <c r="AN365" i="25"/>
  <c r="AO365" i="25"/>
  <c r="AP365" i="25"/>
  <c r="AN366" i="25"/>
  <c r="AO366" i="25"/>
  <c r="AP366" i="25"/>
  <c r="AN367" i="25"/>
  <c r="AO367" i="25"/>
  <c r="AP367" i="25"/>
  <c r="AN368" i="25"/>
  <c r="AO368" i="25"/>
  <c r="AP368" i="25"/>
  <c r="AN369" i="25"/>
  <c r="AO369" i="25"/>
  <c r="AP369" i="25"/>
  <c r="AN370" i="25"/>
  <c r="AO370" i="25"/>
  <c r="AP370" i="25"/>
  <c r="AN371" i="25"/>
  <c r="AO371" i="25"/>
  <c r="AP371" i="25"/>
  <c r="AN372" i="25"/>
  <c r="AO372" i="25"/>
  <c r="AP372" i="25"/>
  <c r="AN373" i="25"/>
  <c r="AO373" i="25"/>
  <c r="AP373" i="25"/>
  <c r="AN374" i="25"/>
  <c r="AO374" i="25"/>
  <c r="AP374" i="25"/>
  <c r="AN375" i="25"/>
  <c r="AO375" i="25"/>
  <c r="AP375" i="25"/>
  <c r="AN376" i="25"/>
  <c r="AO376" i="25"/>
  <c r="AP376" i="25"/>
  <c r="AN377" i="25"/>
  <c r="AO377" i="25"/>
  <c r="AP377" i="25"/>
  <c r="AN378" i="25"/>
  <c r="AO378" i="25"/>
  <c r="AP378" i="25"/>
  <c r="AN379" i="25"/>
  <c r="AO379" i="25"/>
  <c r="AP379" i="25"/>
  <c r="AN380" i="25"/>
  <c r="AO380" i="25"/>
  <c r="AP380" i="25"/>
  <c r="AN381" i="25"/>
  <c r="AO381" i="25"/>
  <c r="AP381" i="25"/>
  <c r="AN382" i="25"/>
  <c r="AO382" i="25"/>
  <c r="AP382" i="25"/>
  <c r="AN383" i="25"/>
  <c r="AO383" i="25"/>
  <c r="AP383" i="25"/>
  <c r="AN384" i="25"/>
  <c r="AO384" i="25"/>
  <c r="AP384" i="25"/>
  <c r="AN385" i="25"/>
  <c r="AO385" i="25"/>
  <c r="AP385" i="25"/>
  <c r="AN386" i="25"/>
  <c r="AO386" i="25"/>
  <c r="AP386" i="25"/>
  <c r="AN387" i="25"/>
  <c r="AO387" i="25"/>
  <c r="AP387" i="25"/>
  <c r="AN388" i="25"/>
  <c r="AO388" i="25"/>
  <c r="AP388" i="25"/>
  <c r="AN389" i="25"/>
  <c r="AO389" i="25"/>
  <c r="AP389" i="25"/>
  <c r="AN390" i="25"/>
  <c r="AO390" i="25"/>
  <c r="AP390" i="25"/>
  <c r="AN391" i="25"/>
  <c r="AO391" i="25"/>
  <c r="AP391" i="25"/>
  <c r="AN392" i="25"/>
  <c r="AO392" i="25"/>
  <c r="AP392" i="25"/>
  <c r="AN393" i="25"/>
  <c r="AO393" i="25"/>
  <c r="AP393" i="25"/>
  <c r="AN394" i="25"/>
  <c r="AO394" i="25"/>
  <c r="AP394" i="25"/>
  <c r="AN395" i="25"/>
  <c r="AO395" i="25"/>
  <c r="AP395" i="25"/>
  <c r="AN396" i="25"/>
  <c r="AO396" i="25"/>
  <c r="AP396" i="25"/>
  <c r="AN397" i="25"/>
  <c r="AO397" i="25"/>
  <c r="AP397" i="25"/>
  <c r="AN398" i="25"/>
  <c r="AO398" i="25"/>
  <c r="AP398" i="25"/>
  <c r="AN399" i="25"/>
  <c r="AO399" i="25"/>
  <c r="AP399" i="25"/>
  <c r="AN400" i="25"/>
  <c r="AO400" i="25"/>
  <c r="AP400" i="25"/>
  <c r="AN401" i="25"/>
  <c r="AO401" i="25"/>
  <c r="AP401" i="25"/>
  <c r="AN402" i="25"/>
  <c r="AO402" i="25"/>
  <c r="AP402" i="25"/>
  <c r="AN403" i="25"/>
  <c r="AO403" i="25"/>
  <c r="AP403" i="25"/>
  <c r="AN404" i="25"/>
  <c r="AO404" i="25"/>
  <c r="AP404" i="25"/>
  <c r="AN405" i="25"/>
  <c r="AO405" i="25"/>
  <c r="AP405" i="25"/>
  <c r="AN406" i="25"/>
  <c r="AO406" i="25"/>
  <c r="AP406" i="25"/>
  <c r="AN407" i="25"/>
  <c r="AO407" i="25"/>
  <c r="AP407" i="25"/>
  <c r="AN408" i="25"/>
  <c r="AO408" i="25"/>
  <c r="AP408" i="25"/>
  <c r="AN409" i="25"/>
  <c r="AO409" i="25"/>
  <c r="AP409" i="25"/>
  <c r="AN410" i="25"/>
  <c r="AO410" i="25"/>
  <c r="AP410" i="25"/>
  <c r="AN411" i="25"/>
  <c r="AO411" i="25"/>
  <c r="AP411" i="25"/>
  <c r="AN412" i="25"/>
  <c r="AO412" i="25"/>
  <c r="AP412" i="25"/>
  <c r="AN413" i="25"/>
  <c r="AO413" i="25"/>
  <c r="AP413" i="25"/>
  <c r="AN414" i="25"/>
  <c r="AO414" i="25"/>
  <c r="AP414" i="25"/>
  <c r="AN415" i="25"/>
  <c r="AO415" i="25"/>
  <c r="AP415" i="25"/>
  <c r="AN416" i="25"/>
  <c r="AO416" i="25"/>
  <c r="AP416" i="25"/>
  <c r="AN417" i="25"/>
  <c r="AO417" i="25"/>
  <c r="AP417" i="25"/>
  <c r="AN418" i="25"/>
  <c r="AO418" i="25"/>
  <c r="AP418" i="25"/>
  <c r="AN419" i="25"/>
  <c r="AO419" i="25"/>
  <c r="AP419" i="25"/>
  <c r="AN420" i="25"/>
  <c r="AO420" i="25"/>
  <c r="AP420" i="25"/>
  <c r="AN421" i="25"/>
  <c r="AO421" i="25"/>
  <c r="AP421" i="25"/>
  <c r="AN422" i="25"/>
  <c r="AO422" i="25"/>
  <c r="AP422" i="25"/>
  <c r="AN423" i="25"/>
  <c r="AO423" i="25"/>
  <c r="AP423" i="25"/>
  <c r="AN424" i="25"/>
  <c r="AO424" i="25"/>
  <c r="AP424" i="25"/>
  <c r="AN425" i="25"/>
  <c r="AO425" i="25"/>
  <c r="AP425" i="25"/>
  <c r="AN426" i="25"/>
  <c r="AO426" i="25"/>
  <c r="AP426" i="25"/>
  <c r="AN427" i="25"/>
  <c r="AO427" i="25"/>
  <c r="AP427" i="25"/>
  <c r="AN428" i="25"/>
  <c r="AO428" i="25"/>
  <c r="AP428" i="25"/>
  <c r="AN429" i="25"/>
  <c r="AO429" i="25"/>
  <c r="AP429" i="25"/>
  <c r="AN430" i="25"/>
  <c r="AO430" i="25"/>
  <c r="AP430" i="25"/>
  <c r="AN431" i="25"/>
  <c r="AO431" i="25"/>
  <c r="AP431" i="25"/>
  <c r="AN432" i="25"/>
  <c r="AO432" i="25"/>
  <c r="AP432" i="25"/>
  <c r="AN433" i="25"/>
  <c r="AO433" i="25"/>
  <c r="AP433" i="25"/>
  <c r="AN434" i="25"/>
  <c r="AO434" i="25"/>
  <c r="AP434" i="25"/>
  <c r="AN435" i="25"/>
  <c r="AO435" i="25"/>
  <c r="AP435" i="25"/>
  <c r="AN436" i="25"/>
  <c r="AO436" i="25"/>
  <c r="AP436" i="25"/>
  <c r="AN437" i="25"/>
  <c r="AO437" i="25"/>
  <c r="AP437" i="25"/>
  <c r="AN438" i="25"/>
  <c r="AO438" i="25"/>
  <c r="AP438" i="25"/>
  <c r="AN439" i="25"/>
  <c r="AO439" i="25"/>
  <c r="AP439" i="25"/>
  <c r="AN440" i="25"/>
  <c r="AO440" i="25"/>
  <c r="AP440" i="25"/>
  <c r="AN441" i="25"/>
  <c r="AO441" i="25"/>
  <c r="AP441" i="25"/>
  <c r="AP222" i="25"/>
  <c r="AO222" i="25"/>
  <c r="AN222" i="25"/>
  <c r="AN3" i="25"/>
  <c r="AO3" i="25"/>
  <c r="AP3" i="25"/>
  <c r="AN4" i="25"/>
  <c r="AO4" i="25"/>
  <c r="AP4" i="25"/>
  <c r="AN5" i="25"/>
  <c r="AO5" i="25"/>
  <c r="AP5" i="25"/>
  <c r="AN6" i="25"/>
  <c r="AO6" i="25"/>
  <c r="AP6" i="25"/>
  <c r="AN7" i="25"/>
  <c r="AO7" i="25"/>
  <c r="AP7" i="25"/>
  <c r="AN8" i="25"/>
  <c r="AO8" i="25"/>
  <c r="AP8" i="25"/>
  <c r="AN9" i="25"/>
  <c r="AO9" i="25"/>
  <c r="AP9" i="25"/>
  <c r="AN10" i="25"/>
  <c r="AO10" i="25"/>
  <c r="AP10" i="25"/>
  <c r="AN11" i="25"/>
  <c r="AO11" i="25"/>
  <c r="AP11" i="25"/>
  <c r="AN12" i="25"/>
  <c r="AO12" i="25"/>
  <c r="AP12" i="25"/>
  <c r="AN13" i="25"/>
  <c r="AO13" i="25"/>
  <c r="AP13" i="25"/>
  <c r="AN14" i="25"/>
  <c r="AO14" i="25"/>
  <c r="AP14" i="25"/>
  <c r="AN15" i="25"/>
  <c r="AO15" i="25"/>
  <c r="AP15" i="25"/>
  <c r="AN16" i="25"/>
  <c r="AO16" i="25"/>
  <c r="AP16" i="25"/>
  <c r="AN17" i="25"/>
  <c r="AO17" i="25"/>
  <c r="AP17" i="25"/>
  <c r="AN18" i="25"/>
  <c r="AO18" i="25"/>
  <c r="AP18" i="25"/>
  <c r="AN19" i="25"/>
  <c r="AO19" i="25"/>
  <c r="AP19" i="25"/>
  <c r="AN20" i="25"/>
  <c r="AO20" i="25"/>
  <c r="AP20" i="25"/>
  <c r="AN21" i="25"/>
  <c r="AO21" i="25"/>
  <c r="AP21" i="25"/>
  <c r="AN22" i="25"/>
  <c r="AO22" i="25"/>
  <c r="AP22" i="25"/>
  <c r="AN23" i="25"/>
  <c r="AO23" i="25"/>
  <c r="AP23" i="25"/>
  <c r="AN24" i="25"/>
  <c r="AO24" i="25"/>
  <c r="AP24" i="25"/>
  <c r="AN25" i="25"/>
  <c r="AO25" i="25"/>
  <c r="AP25" i="25"/>
  <c r="AN26" i="25"/>
  <c r="AO26" i="25"/>
  <c r="AP26" i="25"/>
  <c r="AN27" i="25"/>
  <c r="AO27" i="25"/>
  <c r="AP27" i="25"/>
  <c r="AN28" i="25"/>
  <c r="AO28" i="25"/>
  <c r="AP28" i="25"/>
  <c r="AN29" i="25"/>
  <c r="AO29" i="25"/>
  <c r="AP29" i="25"/>
  <c r="AN30" i="25"/>
  <c r="AO30" i="25"/>
  <c r="AP30" i="25"/>
  <c r="AN31" i="25"/>
  <c r="AO31" i="25"/>
  <c r="AP31" i="25"/>
  <c r="AN32" i="25"/>
  <c r="AO32" i="25"/>
  <c r="AP32" i="25"/>
  <c r="AN33" i="25"/>
  <c r="AO33" i="25"/>
  <c r="AP33" i="25"/>
  <c r="AN34" i="25"/>
  <c r="AO34" i="25"/>
  <c r="AP34" i="25"/>
  <c r="AN35" i="25"/>
  <c r="AO35" i="25"/>
  <c r="AP35" i="25"/>
  <c r="AN36" i="25"/>
  <c r="AO36" i="25"/>
  <c r="AP36" i="25"/>
  <c r="AN37" i="25"/>
  <c r="AO37" i="25"/>
  <c r="AP37" i="25"/>
  <c r="AN38" i="25"/>
  <c r="AO38" i="25"/>
  <c r="AP38" i="25"/>
  <c r="AN39" i="25"/>
  <c r="AO39" i="25"/>
  <c r="AP39" i="25"/>
  <c r="AN40" i="25"/>
  <c r="AO40" i="25"/>
  <c r="AP40" i="25"/>
  <c r="AN41" i="25"/>
  <c r="AO41" i="25"/>
  <c r="AP41" i="25"/>
  <c r="AN42" i="25"/>
  <c r="AO42" i="25"/>
  <c r="AP42" i="25"/>
  <c r="AN43" i="25"/>
  <c r="AO43" i="25"/>
  <c r="AP43" i="25"/>
  <c r="AN44" i="25"/>
  <c r="AO44" i="25"/>
  <c r="AP44" i="25"/>
  <c r="AN45" i="25"/>
  <c r="AO45" i="25"/>
  <c r="AP45" i="25"/>
  <c r="AN46" i="25"/>
  <c r="AO46" i="25"/>
  <c r="AP46" i="25"/>
  <c r="AN47" i="25"/>
  <c r="AO47" i="25"/>
  <c r="AP47" i="25"/>
  <c r="AN48" i="25"/>
  <c r="AO48" i="25"/>
  <c r="AP48" i="25"/>
  <c r="AN49" i="25"/>
  <c r="AO49" i="25"/>
  <c r="AP49" i="25"/>
  <c r="AN50" i="25"/>
  <c r="AO50" i="25"/>
  <c r="AP50" i="25"/>
  <c r="AN51" i="25"/>
  <c r="AO51" i="25"/>
  <c r="AP51" i="25"/>
  <c r="AN52" i="25"/>
  <c r="AO52" i="25"/>
  <c r="AP52" i="25"/>
  <c r="AN53" i="25"/>
  <c r="AO53" i="25"/>
  <c r="AP53" i="25"/>
  <c r="AN54" i="25"/>
  <c r="AO54" i="25"/>
  <c r="AP54" i="25"/>
  <c r="AN55" i="25"/>
  <c r="AO55" i="25"/>
  <c r="AP55" i="25"/>
  <c r="AN56" i="25"/>
  <c r="AO56" i="25"/>
  <c r="AP56" i="25"/>
  <c r="AN57" i="25"/>
  <c r="AO57" i="25"/>
  <c r="AP57" i="25"/>
  <c r="AN58" i="25"/>
  <c r="AO58" i="25"/>
  <c r="AP58" i="25"/>
  <c r="AN59" i="25"/>
  <c r="AO59" i="25"/>
  <c r="AP59" i="25"/>
  <c r="AN60" i="25"/>
  <c r="AO60" i="25"/>
  <c r="AP60" i="25"/>
  <c r="AN61" i="25"/>
  <c r="AO61" i="25"/>
  <c r="AP61" i="25"/>
  <c r="AN62" i="25"/>
  <c r="AO62" i="25"/>
  <c r="AP62" i="25"/>
  <c r="AN63" i="25"/>
  <c r="AO63" i="25"/>
  <c r="AP63" i="25"/>
  <c r="AN64" i="25"/>
  <c r="AO64" i="25"/>
  <c r="AP64" i="25"/>
  <c r="AN65" i="25"/>
  <c r="AO65" i="25"/>
  <c r="AP65" i="25"/>
  <c r="AN66" i="25"/>
  <c r="AO66" i="25"/>
  <c r="AP66" i="25"/>
  <c r="AN67" i="25"/>
  <c r="AO67" i="25"/>
  <c r="AP67" i="25"/>
  <c r="AN68" i="25"/>
  <c r="AO68" i="25"/>
  <c r="AP68" i="25"/>
  <c r="AN69" i="25"/>
  <c r="AO69" i="25"/>
  <c r="AP69" i="25"/>
  <c r="AN70" i="25"/>
  <c r="AO70" i="25"/>
  <c r="AP70" i="25"/>
  <c r="AN71" i="25"/>
  <c r="AO71" i="25"/>
  <c r="AP71" i="25"/>
  <c r="AN72" i="25"/>
  <c r="AO72" i="25"/>
  <c r="AP72" i="25"/>
  <c r="AN73" i="25"/>
  <c r="AO73" i="25"/>
  <c r="AP73" i="25"/>
  <c r="AN74" i="25"/>
  <c r="AO74" i="25"/>
  <c r="AP74" i="25"/>
  <c r="AN75" i="25"/>
  <c r="AO75" i="25"/>
  <c r="AP75" i="25"/>
  <c r="AN76" i="25"/>
  <c r="AO76" i="25"/>
  <c r="AP76" i="25"/>
  <c r="AN77" i="25"/>
  <c r="AO77" i="25"/>
  <c r="AP77" i="25"/>
  <c r="AN78" i="25"/>
  <c r="AO78" i="25"/>
  <c r="AP78" i="25"/>
  <c r="AN79" i="25"/>
  <c r="AO79" i="25"/>
  <c r="AP79" i="25"/>
  <c r="AN80" i="25"/>
  <c r="AO80" i="25"/>
  <c r="AP80" i="25"/>
  <c r="AN81" i="25"/>
  <c r="AO81" i="25"/>
  <c r="AP81" i="25"/>
  <c r="AN82" i="25"/>
  <c r="AO82" i="25"/>
  <c r="AP82" i="25"/>
  <c r="AN83" i="25"/>
  <c r="AO83" i="25"/>
  <c r="AP83" i="25"/>
  <c r="AN84" i="25"/>
  <c r="AO84" i="25"/>
  <c r="AP84" i="25"/>
  <c r="AN85" i="25"/>
  <c r="AO85" i="25"/>
  <c r="AP85" i="25"/>
  <c r="AN86" i="25"/>
  <c r="AO86" i="25"/>
  <c r="AP86" i="25"/>
  <c r="AN87" i="25"/>
  <c r="AO87" i="25"/>
  <c r="AP87" i="25"/>
  <c r="AN88" i="25"/>
  <c r="AO88" i="25"/>
  <c r="AP88" i="25"/>
  <c r="AN89" i="25"/>
  <c r="AO89" i="25"/>
  <c r="AP89" i="25"/>
  <c r="AN90" i="25"/>
  <c r="AO90" i="25"/>
  <c r="AP90" i="25"/>
  <c r="AN91" i="25"/>
  <c r="AO91" i="25"/>
  <c r="AP91" i="25"/>
  <c r="AN92" i="25"/>
  <c r="AO92" i="25"/>
  <c r="AP92" i="25"/>
  <c r="AN93" i="25"/>
  <c r="AO93" i="25"/>
  <c r="AP93" i="25"/>
  <c r="AN94" i="25"/>
  <c r="AO94" i="25"/>
  <c r="AP94" i="25"/>
  <c r="AN95" i="25"/>
  <c r="AO95" i="25"/>
  <c r="AP95" i="25"/>
  <c r="AN96" i="25"/>
  <c r="AO96" i="25"/>
  <c r="AP96" i="25"/>
  <c r="AN97" i="25"/>
  <c r="AO97" i="25"/>
  <c r="AP97" i="25"/>
  <c r="AN98" i="25"/>
  <c r="AO98" i="25"/>
  <c r="AP98" i="25"/>
  <c r="AN99" i="25"/>
  <c r="AO99" i="25"/>
  <c r="AP99" i="25"/>
  <c r="AN100" i="25"/>
  <c r="AO100" i="25"/>
  <c r="AP100" i="25"/>
  <c r="AN101" i="25"/>
  <c r="AO101" i="25"/>
  <c r="AP101" i="25"/>
  <c r="AN102" i="25"/>
  <c r="AO102" i="25"/>
  <c r="AP102" i="25"/>
  <c r="AN103" i="25"/>
  <c r="AO103" i="25"/>
  <c r="AP103" i="25"/>
  <c r="AN104" i="25"/>
  <c r="AO104" i="25"/>
  <c r="AP104" i="25"/>
  <c r="AN105" i="25"/>
  <c r="AO105" i="25"/>
  <c r="AP105" i="25"/>
  <c r="AN106" i="25"/>
  <c r="AO106" i="25"/>
  <c r="AP106" i="25"/>
  <c r="AN107" i="25"/>
  <c r="AO107" i="25"/>
  <c r="AP107" i="25"/>
  <c r="AN108" i="25"/>
  <c r="AO108" i="25"/>
  <c r="AP108" i="25"/>
  <c r="AN109" i="25"/>
  <c r="AO109" i="25"/>
  <c r="AP109" i="25"/>
  <c r="AN110" i="25"/>
  <c r="AO110" i="25"/>
  <c r="AP110" i="25"/>
  <c r="AN111" i="25"/>
  <c r="AO111" i="25"/>
  <c r="AP111" i="25"/>
  <c r="AN112" i="25"/>
  <c r="AO112" i="25"/>
  <c r="AP112" i="25"/>
  <c r="AN113" i="25"/>
  <c r="AO113" i="25"/>
  <c r="AP113" i="25"/>
  <c r="AN114" i="25"/>
  <c r="AO114" i="25"/>
  <c r="AP114" i="25"/>
  <c r="AN115" i="25"/>
  <c r="AO115" i="25"/>
  <c r="AP115" i="25"/>
  <c r="AN116" i="25"/>
  <c r="AO116" i="25"/>
  <c r="AP116" i="25"/>
  <c r="AN117" i="25"/>
  <c r="AO117" i="25"/>
  <c r="AP117" i="25"/>
  <c r="AN118" i="25"/>
  <c r="AO118" i="25"/>
  <c r="AP118" i="25"/>
  <c r="AN119" i="25"/>
  <c r="AO119" i="25"/>
  <c r="AP119" i="25"/>
  <c r="AN120" i="25"/>
  <c r="AO120" i="25"/>
  <c r="AP120" i="25"/>
  <c r="AN121" i="25"/>
  <c r="AO121" i="25"/>
  <c r="AP121" i="25"/>
  <c r="AN122" i="25"/>
  <c r="AO122" i="25"/>
  <c r="AP122" i="25"/>
  <c r="AN123" i="25"/>
  <c r="AO123" i="25"/>
  <c r="AP123" i="25"/>
  <c r="AN124" i="25"/>
  <c r="AO124" i="25"/>
  <c r="AP124" i="25"/>
  <c r="AN125" i="25"/>
  <c r="AO125" i="25"/>
  <c r="AP125" i="25"/>
  <c r="AN126" i="25"/>
  <c r="AO126" i="25"/>
  <c r="AP126" i="25"/>
  <c r="AN127" i="25"/>
  <c r="AO127" i="25"/>
  <c r="AP127" i="25"/>
  <c r="AN128" i="25"/>
  <c r="AO128" i="25"/>
  <c r="AP128" i="25"/>
  <c r="AN129" i="25"/>
  <c r="AO129" i="25"/>
  <c r="AP129" i="25"/>
  <c r="AN130" i="25"/>
  <c r="AO130" i="25"/>
  <c r="AP130" i="25"/>
  <c r="AN131" i="25"/>
  <c r="AO131" i="25"/>
  <c r="AP131" i="25"/>
  <c r="AN132" i="25"/>
  <c r="AO132" i="25"/>
  <c r="AP132" i="25"/>
  <c r="AN133" i="25"/>
  <c r="AO133" i="25"/>
  <c r="AP133" i="25"/>
  <c r="AN134" i="25"/>
  <c r="AO134" i="25"/>
  <c r="AP134" i="25"/>
  <c r="AN135" i="25"/>
  <c r="AO135" i="25"/>
  <c r="AP135" i="25"/>
  <c r="AN136" i="25"/>
  <c r="AO136" i="25"/>
  <c r="AP136" i="25"/>
  <c r="AN137" i="25"/>
  <c r="AO137" i="25"/>
  <c r="AP137" i="25"/>
  <c r="AN138" i="25"/>
  <c r="AO138" i="25"/>
  <c r="AP138" i="25"/>
  <c r="AN139" i="25"/>
  <c r="AO139" i="25"/>
  <c r="AP139" i="25"/>
  <c r="AN140" i="25"/>
  <c r="AO140" i="25"/>
  <c r="AP140" i="25"/>
  <c r="AN141" i="25"/>
  <c r="AO141" i="25"/>
  <c r="AP141" i="25"/>
  <c r="AN142" i="25"/>
  <c r="AO142" i="25"/>
  <c r="AP142" i="25"/>
  <c r="AN143" i="25"/>
  <c r="AO143" i="25"/>
  <c r="AP143" i="25"/>
  <c r="AN144" i="25"/>
  <c r="AO144" i="25"/>
  <c r="AP144" i="25"/>
  <c r="AN145" i="25"/>
  <c r="AO145" i="25"/>
  <c r="AP145" i="25"/>
  <c r="AN146" i="25"/>
  <c r="AO146" i="25"/>
  <c r="AP146" i="25"/>
  <c r="AN147" i="25"/>
  <c r="AO147" i="25"/>
  <c r="AP147" i="25"/>
  <c r="AN148" i="25"/>
  <c r="AO148" i="25"/>
  <c r="AP148" i="25"/>
  <c r="AN149" i="25"/>
  <c r="AO149" i="25"/>
  <c r="AP149" i="25"/>
  <c r="AN150" i="25"/>
  <c r="AO150" i="25"/>
  <c r="AP150" i="25"/>
  <c r="AN151" i="25"/>
  <c r="AO151" i="25"/>
  <c r="AP151" i="25"/>
  <c r="AN152" i="25"/>
  <c r="AO152" i="25"/>
  <c r="AP152" i="25"/>
  <c r="AN153" i="25"/>
  <c r="AO153" i="25"/>
  <c r="AP153" i="25"/>
  <c r="AN154" i="25"/>
  <c r="AO154" i="25"/>
  <c r="AP154" i="25"/>
  <c r="AN155" i="25"/>
  <c r="AO155" i="25"/>
  <c r="AP155" i="25"/>
  <c r="AN156" i="25"/>
  <c r="AO156" i="25"/>
  <c r="AP156" i="25"/>
  <c r="AN157" i="25"/>
  <c r="AO157" i="25"/>
  <c r="AP157" i="25"/>
  <c r="AN158" i="25"/>
  <c r="AO158" i="25"/>
  <c r="AP158" i="25"/>
  <c r="AN159" i="25"/>
  <c r="AO159" i="25"/>
  <c r="AP159" i="25"/>
  <c r="AN160" i="25"/>
  <c r="AO160" i="25"/>
  <c r="AP160" i="25"/>
  <c r="AN161" i="25"/>
  <c r="AO161" i="25"/>
  <c r="AP161" i="25"/>
  <c r="AN162" i="25"/>
  <c r="AO162" i="25"/>
  <c r="AP162" i="25"/>
  <c r="AN163" i="25"/>
  <c r="AO163" i="25"/>
  <c r="AP163" i="25"/>
  <c r="AN164" i="25"/>
  <c r="AO164" i="25"/>
  <c r="AP164" i="25"/>
  <c r="AN165" i="25"/>
  <c r="AO165" i="25"/>
  <c r="AP165" i="25"/>
  <c r="AN166" i="25"/>
  <c r="AO166" i="25"/>
  <c r="AP166" i="25"/>
  <c r="AN167" i="25"/>
  <c r="AO167" i="25"/>
  <c r="AP167" i="25"/>
  <c r="AN168" i="25"/>
  <c r="AO168" i="25"/>
  <c r="AP168" i="25"/>
  <c r="AN169" i="25"/>
  <c r="AO169" i="25"/>
  <c r="AP169" i="25"/>
  <c r="AN170" i="25"/>
  <c r="AO170" i="25"/>
  <c r="AP170" i="25"/>
  <c r="AN171" i="25"/>
  <c r="AO171" i="25"/>
  <c r="AP171" i="25"/>
  <c r="AN172" i="25"/>
  <c r="AO172" i="25"/>
  <c r="AP172" i="25"/>
  <c r="AN173" i="25"/>
  <c r="AO173" i="25"/>
  <c r="AP173" i="25"/>
  <c r="AN174" i="25"/>
  <c r="AO174" i="25"/>
  <c r="AP174" i="25"/>
  <c r="AN175" i="25"/>
  <c r="AO175" i="25"/>
  <c r="AP175" i="25"/>
  <c r="AN176" i="25"/>
  <c r="AO176" i="25"/>
  <c r="AP176" i="25"/>
  <c r="AN177" i="25"/>
  <c r="AO177" i="25"/>
  <c r="AP177" i="25"/>
  <c r="AN178" i="25"/>
  <c r="AO178" i="25"/>
  <c r="AP178" i="25"/>
  <c r="AN179" i="25"/>
  <c r="AO179" i="25"/>
  <c r="AP179" i="25"/>
  <c r="AN180" i="25"/>
  <c r="AO180" i="25"/>
  <c r="AP180" i="25"/>
  <c r="AN181" i="25"/>
  <c r="AO181" i="25"/>
  <c r="AP181" i="25"/>
  <c r="AN182" i="25"/>
  <c r="AO182" i="25"/>
  <c r="AP182" i="25"/>
  <c r="AN183" i="25"/>
  <c r="AO183" i="25"/>
  <c r="AP183" i="25"/>
  <c r="AN184" i="25"/>
  <c r="AO184" i="25"/>
  <c r="AP184" i="25"/>
  <c r="AN185" i="25"/>
  <c r="AO185" i="25"/>
  <c r="AP185" i="25"/>
  <c r="AN186" i="25"/>
  <c r="AO186" i="25"/>
  <c r="AP186" i="25"/>
  <c r="AN187" i="25"/>
  <c r="AO187" i="25"/>
  <c r="AP187" i="25"/>
  <c r="AN188" i="25"/>
  <c r="AO188" i="25"/>
  <c r="AP188" i="25"/>
  <c r="AN189" i="25"/>
  <c r="AO189" i="25"/>
  <c r="AP189" i="25"/>
  <c r="AN190" i="25"/>
  <c r="AO190" i="25"/>
  <c r="AP190" i="25"/>
  <c r="AN191" i="25"/>
  <c r="AO191" i="25"/>
  <c r="AP191" i="25"/>
  <c r="AN192" i="25"/>
  <c r="AO192" i="25"/>
  <c r="AP192" i="25"/>
  <c r="AN193" i="25"/>
  <c r="AO193" i="25"/>
  <c r="AP193" i="25"/>
  <c r="AN194" i="25"/>
  <c r="AO194" i="25"/>
  <c r="AP194" i="25"/>
  <c r="AN195" i="25"/>
  <c r="AO195" i="25"/>
  <c r="AP195" i="25"/>
  <c r="AN196" i="25"/>
  <c r="AO196" i="25"/>
  <c r="AP196" i="25"/>
  <c r="AN197" i="25"/>
  <c r="AO197" i="25"/>
  <c r="AP197" i="25"/>
  <c r="AN198" i="25"/>
  <c r="AO198" i="25"/>
  <c r="AP198" i="25"/>
  <c r="AN199" i="25"/>
  <c r="AO199" i="25"/>
  <c r="AP199" i="25"/>
  <c r="AN200" i="25"/>
  <c r="AO200" i="25"/>
  <c r="AP200" i="25"/>
  <c r="AN201" i="25"/>
  <c r="AO201" i="25"/>
  <c r="AP201" i="25"/>
  <c r="AN202" i="25"/>
  <c r="AO202" i="25"/>
  <c r="AP202" i="25"/>
  <c r="AN203" i="25"/>
  <c r="AO203" i="25"/>
  <c r="AP203" i="25"/>
  <c r="AN204" i="25"/>
  <c r="AO204" i="25"/>
  <c r="AP204" i="25"/>
  <c r="AN205" i="25"/>
  <c r="AO205" i="25"/>
  <c r="AP205" i="25"/>
  <c r="AN206" i="25"/>
  <c r="AO206" i="25"/>
  <c r="AP206" i="25"/>
  <c r="AN207" i="25"/>
  <c r="AO207" i="25"/>
  <c r="AP207" i="25"/>
  <c r="AN208" i="25"/>
  <c r="AO208" i="25"/>
  <c r="AP208" i="25"/>
  <c r="AN209" i="25"/>
  <c r="AO209" i="25"/>
  <c r="AP209" i="25"/>
  <c r="AN210" i="25"/>
  <c r="AO210" i="25"/>
  <c r="AP210" i="25"/>
  <c r="AN211" i="25"/>
  <c r="AO211" i="25"/>
  <c r="AP211" i="25"/>
  <c r="AN212" i="25"/>
  <c r="AO212" i="25"/>
  <c r="AP212" i="25"/>
  <c r="AN213" i="25"/>
  <c r="AO213" i="25"/>
  <c r="AP213" i="25"/>
  <c r="AN214" i="25"/>
  <c r="AO214" i="25"/>
  <c r="AP214" i="25"/>
  <c r="AN215" i="25"/>
  <c r="AO215" i="25"/>
  <c r="AP215" i="25"/>
  <c r="AN216" i="25"/>
  <c r="AO216" i="25"/>
  <c r="AP216" i="25"/>
  <c r="AN217" i="25"/>
  <c r="AO217" i="25"/>
  <c r="AP217" i="25"/>
  <c r="AN218" i="25"/>
  <c r="AO218" i="25"/>
  <c r="AP218" i="25"/>
  <c r="AN219" i="25"/>
  <c r="AO219" i="25"/>
  <c r="AP219" i="25"/>
  <c r="AN220" i="25"/>
  <c r="AO220" i="25"/>
  <c r="AP220" i="25"/>
  <c r="AN221" i="25"/>
  <c r="AO221" i="25"/>
  <c r="AP221" i="25"/>
  <c r="AP2" i="25"/>
  <c r="AO2" i="25"/>
  <c r="AN2" i="25"/>
  <c r="W6" i="25"/>
  <c r="W14" i="25"/>
  <c r="W22" i="25"/>
  <c r="W30" i="25"/>
  <c r="W38" i="25"/>
  <c r="W46" i="25"/>
  <c r="W54" i="25"/>
  <c r="W62" i="25"/>
  <c r="W70" i="25"/>
  <c r="W78" i="25"/>
  <c r="W86" i="25"/>
  <c r="W94" i="25"/>
  <c r="W102" i="25"/>
  <c r="W110" i="25"/>
  <c r="W118" i="25"/>
  <c r="W126" i="25"/>
  <c r="W134" i="25"/>
  <c r="W142" i="25"/>
  <c r="W150" i="25"/>
  <c r="W158" i="25"/>
  <c r="W166" i="25"/>
  <c r="W174" i="25"/>
  <c r="W198" i="25"/>
  <c r="W222" i="25"/>
  <c r="W230" i="25"/>
  <c r="W238" i="25"/>
  <c r="W246" i="25"/>
  <c r="W254" i="25"/>
  <c r="W262" i="25"/>
  <c r="W270" i="25"/>
  <c r="W278" i="25"/>
  <c r="W286" i="25"/>
  <c r="W294" i="25"/>
  <c r="W302" i="25"/>
  <c r="W310" i="25"/>
  <c r="W443" i="25"/>
  <c r="W447" i="25"/>
  <c r="W451" i="25"/>
  <c r="W455" i="25"/>
  <c r="W459" i="25"/>
  <c r="W463" i="25"/>
  <c r="W467" i="25"/>
  <c r="W471" i="25"/>
  <c r="W475" i="25"/>
  <c r="W479" i="25"/>
  <c r="W483" i="25"/>
  <c r="W487" i="25"/>
  <c r="W491" i="25"/>
  <c r="W495" i="25"/>
  <c r="W499" i="25"/>
  <c r="W503" i="25"/>
  <c r="W507" i="25"/>
  <c r="W511" i="25"/>
  <c r="W515" i="25"/>
  <c r="W519" i="25"/>
  <c r="W523" i="25"/>
  <c r="W527" i="25"/>
  <c r="W531" i="25"/>
  <c r="W535" i="25"/>
  <c r="W539" i="25"/>
  <c r="W543" i="25"/>
  <c r="W547" i="25"/>
  <c r="W551" i="25"/>
  <c r="W555" i="25"/>
  <c r="W559" i="25"/>
  <c r="W563" i="25"/>
  <c r="W567" i="25"/>
  <c r="W571" i="25"/>
  <c r="W575" i="25"/>
  <c r="W579" i="25"/>
  <c r="W583" i="25"/>
  <c r="W587" i="25"/>
  <c r="W591" i="25"/>
  <c r="W595" i="25"/>
  <c r="W599" i="25"/>
  <c r="W603" i="25"/>
  <c r="W607" i="25"/>
  <c r="W611" i="25"/>
  <c r="W615" i="25"/>
  <c r="W619" i="25"/>
  <c r="W623" i="25"/>
  <c r="W627" i="25"/>
  <c r="W631" i="25"/>
  <c r="W635" i="25"/>
  <c r="W639" i="25"/>
  <c r="W643" i="25"/>
  <c r="W647" i="25"/>
  <c r="W651" i="25"/>
  <c r="W655" i="25"/>
  <c r="W659" i="25"/>
  <c r="W666" i="25"/>
  <c r="W667" i="25"/>
  <c r="W670" i="25"/>
  <c r="W674" i="25"/>
  <c r="W675" i="25"/>
  <c r="W678" i="25"/>
  <c r="W682" i="25"/>
  <c r="W683" i="25"/>
  <c r="W686" i="25"/>
  <c r="W690" i="25"/>
  <c r="W691" i="25"/>
  <c r="W694" i="25"/>
  <c r="W698" i="25"/>
  <c r="W699" i="25"/>
  <c r="W702" i="25"/>
  <c r="W706" i="25"/>
  <c r="W707" i="25"/>
  <c r="W710" i="25"/>
  <c r="W714" i="25"/>
  <c r="W715" i="25"/>
  <c r="W718" i="25"/>
  <c r="W722" i="25"/>
  <c r="W723" i="25"/>
  <c r="W726" i="25"/>
  <c r="W730" i="25"/>
  <c r="W731" i="25"/>
  <c r="W734" i="25"/>
  <c r="W738" i="25"/>
  <c r="W739" i="25"/>
  <c r="W742" i="25"/>
  <c r="W746" i="25"/>
  <c r="W747" i="25"/>
  <c r="W750" i="25"/>
  <c r="W754" i="25"/>
  <c r="W755" i="25"/>
  <c r="W758" i="25"/>
  <c r="W762" i="25"/>
  <c r="W763" i="25"/>
  <c r="W766" i="25"/>
  <c r="W770" i="25"/>
  <c r="W771" i="25"/>
  <c r="W774" i="25"/>
  <c r="W778" i="25"/>
  <c r="W779" i="25"/>
  <c r="W782" i="25"/>
  <c r="W786" i="25"/>
  <c r="W787" i="25"/>
  <c r="W790" i="25"/>
  <c r="W794" i="25"/>
  <c r="W795" i="25"/>
  <c r="W798" i="25"/>
  <c r="W802" i="25"/>
  <c r="W803" i="25"/>
  <c r="W806" i="25"/>
  <c r="W810" i="25"/>
  <c r="W811" i="25"/>
  <c r="W814" i="25"/>
  <c r="W818" i="25"/>
  <c r="W819" i="25"/>
  <c r="W822" i="25"/>
  <c r="W826" i="25"/>
  <c r="W827" i="25"/>
  <c r="W843" i="25"/>
  <c r="W859" i="25"/>
  <c r="W875" i="25"/>
  <c r="U663" i="25"/>
  <c r="V663" i="25"/>
  <c r="W663" i="25" s="1"/>
  <c r="U664" i="25"/>
  <c r="V664" i="25"/>
  <c r="W664" i="25" s="1"/>
  <c r="U665" i="25"/>
  <c r="V665" i="25"/>
  <c r="W665" i="25" s="1"/>
  <c r="U666" i="25"/>
  <c r="V666" i="25"/>
  <c r="U667" i="25"/>
  <c r="V667" i="25"/>
  <c r="U668" i="25"/>
  <c r="V668" i="25"/>
  <c r="W668" i="25" s="1"/>
  <c r="U669" i="25"/>
  <c r="V669" i="25"/>
  <c r="W669" i="25" s="1"/>
  <c r="U670" i="25"/>
  <c r="V670" i="25"/>
  <c r="U671" i="25"/>
  <c r="V671" i="25"/>
  <c r="W671" i="25" s="1"/>
  <c r="U672" i="25"/>
  <c r="V672" i="25"/>
  <c r="W672" i="25" s="1"/>
  <c r="U673" i="25"/>
  <c r="V673" i="25"/>
  <c r="W673" i="25" s="1"/>
  <c r="U674" i="25"/>
  <c r="V674" i="25"/>
  <c r="U675" i="25"/>
  <c r="V675" i="25"/>
  <c r="U676" i="25"/>
  <c r="V676" i="25"/>
  <c r="W676" i="25" s="1"/>
  <c r="U677" i="25"/>
  <c r="V677" i="25"/>
  <c r="W677" i="25" s="1"/>
  <c r="U678" i="25"/>
  <c r="V678" i="25"/>
  <c r="U679" i="25"/>
  <c r="V679" i="25"/>
  <c r="W679" i="25" s="1"/>
  <c r="U680" i="25"/>
  <c r="V680" i="25"/>
  <c r="W680" i="25" s="1"/>
  <c r="U681" i="25"/>
  <c r="V681" i="25"/>
  <c r="W681" i="25" s="1"/>
  <c r="U682" i="25"/>
  <c r="V682" i="25"/>
  <c r="U683" i="25"/>
  <c r="V683" i="25"/>
  <c r="U684" i="25"/>
  <c r="V684" i="25"/>
  <c r="W684" i="25" s="1"/>
  <c r="U685" i="25"/>
  <c r="V685" i="25"/>
  <c r="W685" i="25" s="1"/>
  <c r="U686" i="25"/>
  <c r="V686" i="25"/>
  <c r="U687" i="25"/>
  <c r="V687" i="25"/>
  <c r="W687" i="25" s="1"/>
  <c r="U688" i="25"/>
  <c r="V688" i="25"/>
  <c r="W688" i="25" s="1"/>
  <c r="U689" i="25"/>
  <c r="V689" i="25"/>
  <c r="W689" i="25" s="1"/>
  <c r="U690" i="25"/>
  <c r="V690" i="25"/>
  <c r="U691" i="25"/>
  <c r="V691" i="25"/>
  <c r="U692" i="25"/>
  <c r="V692" i="25"/>
  <c r="W692" i="25" s="1"/>
  <c r="U693" i="25"/>
  <c r="V693" i="25"/>
  <c r="W693" i="25" s="1"/>
  <c r="U694" i="25"/>
  <c r="V694" i="25"/>
  <c r="U695" i="25"/>
  <c r="V695" i="25"/>
  <c r="W695" i="25" s="1"/>
  <c r="U696" i="25"/>
  <c r="V696" i="25"/>
  <c r="W696" i="25" s="1"/>
  <c r="U697" i="25"/>
  <c r="V697" i="25"/>
  <c r="W697" i="25" s="1"/>
  <c r="U698" i="25"/>
  <c r="V698" i="25"/>
  <c r="U699" i="25"/>
  <c r="V699" i="25"/>
  <c r="U700" i="25"/>
  <c r="V700" i="25"/>
  <c r="W700" i="25" s="1"/>
  <c r="U701" i="25"/>
  <c r="V701" i="25"/>
  <c r="W701" i="25" s="1"/>
  <c r="U702" i="25"/>
  <c r="V702" i="25"/>
  <c r="U703" i="25"/>
  <c r="V703" i="25"/>
  <c r="W703" i="25" s="1"/>
  <c r="U704" i="25"/>
  <c r="V704" i="25"/>
  <c r="W704" i="25" s="1"/>
  <c r="U705" i="25"/>
  <c r="V705" i="25"/>
  <c r="W705" i="25" s="1"/>
  <c r="U706" i="25"/>
  <c r="V706" i="25"/>
  <c r="U707" i="25"/>
  <c r="V707" i="25"/>
  <c r="U708" i="25"/>
  <c r="V708" i="25"/>
  <c r="W708" i="25" s="1"/>
  <c r="U709" i="25"/>
  <c r="V709" i="25"/>
  <c r="W709" i="25" s="1"/>
  <c r="U710" i="25"/>
  <c r="V710" i="25"/>
  <c r="U711" i="25"/>
  <c r="V711" i="25"/>
  <c r="W711" i="25" s="1"/>
  <c r="U712" i="25"/>
  <c r="V712" i="25"/>
  <c r="W712" i="25" s="1"/>
  <c r="U713" i="25"/>
  <c r="V713" i="25"/>
  <c r="W713" i="25" s="1"/>
  <c r="U714" i="25"/>
  <c r="V714" i="25"/>
  <c r="U715" i="25"/>
  <c r="V715" i="25"/>
  <c r="U716" i="25"/>
  <c r="V716" i="25"/>
  <c r="W716" i="25" s="1"/>
  <c r="U717" i="25"/>
  <c r="V717" i="25"/>
  <c r="W717" i="25" s="1"/>
  <c r="U718" i="25"/>
  <c r="V718" i="25"/>
  <c r="U719" i="25"/>
  <c r="V719" i="25"/>
  <c r="W719" i="25" s="1"/>
  <c r="U720" i="25"/>
  <c r="V720" i="25"/>
  <c r="W720" i="25" s="1"/>
  <c r="U721" i="25"/>
  <c r="V721" i="25"/>
  <c r="W721" i="25" s="1"/>
  <c r="U722" i="25"/>
  <c r="V722" i="25"/>
  <c r="U723" i="25"/>
  <c r="V723" i="25"/>
  <c r="U724" i="25"/>
  <c r="V724" i="25"/>
  <c r="W724" i="25" s="1"/>
  <c r="U725" i="25"/>
  <c r="V725" i="25"/>
  <c r="W725" i="25" s="1"/>
  <c r="U726" i="25"/>
  <c r="V726" i="25"/>
  <c r="U727" i="25"/>
  <c r="V727" i="25"/>
  <c r="W727" i="25" s="1"/>
  <c r="U728" i="25"/>
  <c r="V728" i="25"/>
  <c r="W728" i="25" s="1"/>
  <c r="U729" i="25"/>
  <c r="V729" i="25"/>
  <c r="W729" i="25" s="1"/>
  <c r="U730" i="25"/>
  <c r="V730" i="25"/>
  <c r="U731" i="25"/>
  <c r="V731" i="25"/>
  <c r="U732" i="25"/>
  <c r="V732" i="25"/>
  <c r="W732" i="25" s="1"/>
  <c r="U733" i="25"/>
  <c r="V733" i="25"/>
  <c r="W733" i="25" s="1"/>
  <c r="U734" i="25"/>
  <c r="V734" i="25"/>
  <c r="U735" i="25"/>
  <c r="V735" i="25"/>
  <c r="W735" i="25" s="1"/>
  <c r="U736" i="25"/>
  <c r="V736" i="25"/>
  <c r="W736" i="25" s="1"/>
  <c r="U737" i="25"/>
  <c r="V737" i="25"/>
  <c r="W737" i="25" s="1"/>
  <c r="U738" i="25"/>
  <c r="V738" i="25"/>
  <c r="U739" i="25"/>
  <c r="V739" i="25"/>
  <c r="U740" i="25"/>
  <c r="V740" i="25"/>
  <c r="W740" i="25" s="1"/>
  <c r="U741" i="25"/>
  <c r="V741" i="25"/>
  <c r="W741" i="25" s="1"/>
  <c r="U742" i="25"/>
  <c r="V742" i="25"/>
  <c r="U743" i="25"/>
  <c r="V743" i="25"/>
  <c r="W743" i="25" s="1"/>
  <c r="U744" i="25"/>
  <c r="V744" i="25"/>
  <c r="W744" i="25" s="1"/>
  <c r="U745" i="25"/>
  <c r="V745" i="25"/>
  <c r="W745" i="25" s="1"/>
  <c r="U746" i="25"/>
  <c r="V746" i="25"/>
  <c r="U747" i="25"/>
  <c r="V747" i="25"/>
  <c r="U748" i="25"/>
  <c r="V748" i="25"/>
  <c r="W748" i="25" s="1"/>
  <c r="U749" i="25"/>
  <c r="V749" i="25"/>
  <c r="W749" i="25" s="1"/>
  <c r="U750" i="25"/>
  <c r="V750" i="25"/>
  <c r="U751" i="25"/>
  <c r="V751" i="25"/>
  <c r="W751" i="25" s="1"/>
  <c r="U752" i="25"/>
  <c r="V752" i="25"/>
  <c r="W752" i="25" s="1"/>
  <c r="U753" i="25"/>
  <c r="V753" i="25"/>
  <c r="W753" i="25" s="1"/>
  <c r="U754" i="25"/>
  <c r="V754" i="25"/>
  <c r="U755" i="25"/>
  <c r="V755" i="25"/>
  <c r="U756" i="25"/>
  <c r="V756" i="25"/>
  <c r="W756" i="25" s="1"/>
  <c r="U757" i="25"/>
  <c r="V757" i="25"/>
  <c r="W757" i="25" s="1"/>
  <c r="U758" i="25"/>
  <c r="V758" i="25"/>
  <c r="U759" i="25"/>
  <c r="V759" i="25"/>
  <c r="W759" i="25" s="1"/>
  <c r="U760" i="25"/>
  <c r="V760" i="25"/>
  <c r="W760" i="25" s="1"/>
  <c r="U761" i="25"/>
  <c r="V761" i="25"/>
  <c r="W761" i="25" s="1"/>
  <c r="U762" i="25"/>
  <c r="V762" i="25"/>
  <c r="U763" i="25"/>
  <c r="V763" i="25"/>
  <c r="U764" i="25"/>
  <c r="V764" i="25"/>
  <c r="W764" i="25" s="1"/>
  <c r="U765" i="25"/>
  <c r="V765" i="25"/>
  <c r="W765" i="25" s="1"/>
  <c r="U766" i="25"/>
  <c r="V766" i="25"/>
  <c r="U767" i="25"/>
  <c r="V767" i="25"/>
  <c r="W767" i="25" s="1"/>
  <c r="U768" i="25"/>
  <c r="V768" i="25"/>
  <c r="W768" i="25" s="1"/>
  <c r="U769" i="25"/>
  <c r="V769" i="25"/>
  <c r="W769" i="25" s="1"/>
  <c r="U770" i="25"/>
  <c r="V770" i="25"/>
  <c r="U771" i="25"/>
  <c r="V771" i="25"/>
  <c r="U772" i="25"/>
  <c r="V772" i="25"/>
  <c r="W772" i="25" s="1"/>
  <c r="U773" i="25"/>
  <c r="V773" i="25"/>
  <c r="W773" i="25" s="1"/>
  <c r="U774" i="25"/>
  <c r="V774" i="25"/>
  <c r="U775" i="25"/>
  <c r="V775" i="25"/>
  <c r="W775" i="25" s="1"/>
  <c r="U776" i="25"/>
  <c r="V776" i="25"/>
  <c r="W776" i="25" s="1"/>
  <c r="U777" i="25"/>
  <c r="V777" i="25"/>
  <c r="W777" i="25" s="1"/>
  <c r="U778" i="25"/>
  <c r="V778" i="25"/>
  <c r="U779" i="25"/>
  <c r="V779" i="25"/>
  <c r="U780" i="25"/>
  <c r="V780" i="25"/>
  <c r="W780" i="25" s="1"/>
  <c r="U781" i="25"/>
  <c r="V781" i="25"/>
  <c r="W781" i="25" s="1"/>
  <c r="U782" i="25"/>
  <c r="V782" i="25"/>
  <c r="U783" i="25"/>
  <c r="V783" i="25"/>
  <c r="W783" i="25" s="1"/>
  <c r="U784" i="25"/>
  <c r="V784" i="25"/>
  <c r="W784" i="25" s="1"/>
  <c r="U785" i="25"/>
  <c r="V785" i="25"/>
  <c r="W785" i="25" s="1"/>
  <c r="U786" i="25"/>
  <c r="V786" i="25"/>
  <c r="U787" i="25"/>
  <c r="V787" i="25"/>
  <c r="U788" i="25"/>
  <c r="V788" i="25"/>
  <c r="W788" i="25" s="1"/>
  <c r="U789" i="25"/>
  <c r="V789" i="25"/>
  <c r="W789" i="25" s="1"/>
  <c r="U790" i="25"/>
  <c r="V790" i="25"/>
  <c r="U791" i="25"/>
  <c r="V791" i="25"/>
  <c r="W791" i="25" s="1"/>
  <c r="U792" i="25"/>
  <c r="V792" i="25"/>
  <c r="W792" i="25" s="1"/>
  <c r="U793" i="25"/>
  <c r="V793" i="25"/>
  <c r="W793" i="25" s="1"/>
  <c r="U794" i="25"/>
  <c r="V794" i="25"/>
  <c r="U795" i="25"/>
  <c r="V795" i="25"/>
  <c r="U796" i="25"/>
  <c r="V796" i="25"/>
  <c r="W796" i="25" s="1"/>
  <c r="U797" i="25"/>
  <c r="V797" i="25"/>
  <c r="W797" i="25" s="1"/>
  <c r="U798" i="25"/>
  <c r="V798" i="25"/>
  <c r="U799" i="25"/>
  <c r="V799" i="25"/>
  <c r="W799" i="25" s="1"/>
  <c r="U800" i="25"/>
  <c r="V800" i="25"/>
  <c r="W800" i="25" s="1"/>
  <c r="U801" i="25"/>
  <c r="V801" i="25"/>
  <c r="W801" i="25" s="1"/>
  <c r="U802" i="25"/>
  <c r="V802" i="25"/>
  <c r="U803" i="25"/>
  <c r="V803" i="25"/>
  <c r="U804" i="25"/>
  <c r="V804" i="25"/>
  <c r="W804" i="25" s="1"/>
  <c r="U805" i="25"/>
  <c r="V805" i="25"/>
  <c r="W805" i="25" s="1"/>
  <c r="U806" i="25"/>
  <c r="V806" i="25"/>
  <c r="U807" i="25"/>
  <c r="V807" i="25"/>
  <c r="W807" i="25" s="1"/>
  <c r="U808" i="25"/>
  <c r="V808" i="25"/>
  <c r="W808" i="25" s="1"/>
  <c r="U809" i="25"/>
  <c r="V809" i="25"/>
  <c r="W809" i="25" s="1"/>
  <c r="U810" i="25"/>
  <c r="V810" i="25"/>
  <c r="U811" i="25"/>
  <c r="V811" i="25"/>
  <c r="U812" i="25"/>
  <c r="V812" i="25"/>
  <c r="W812" i="25" s="1"/>
  <c r="U813" i="25"/>
  <c r="V813" i="25"/>
  <c r="W813" i="25" s="1"/>
  <c r="U814" i="25"/>
  <c r="V814" i="25"/>
  <c r="U815" i="25"/>
  <c r="V815" i="25"/>
  <c r="W815" i="25" s="1"/>
  <c r="U816" i="25"/>
  <c r="V816" i="25"/>
  <c r="W816" i="25" s="1"/>
  <c r="U817" i="25"/>
  <c r="V817" i="25"/>
  <c r="W817" i="25" s="1"/>
  <c r="U818" i="25"/>
  <c r="V818" i="25"/>
  <c r="U819" i="25"/>
  <c r="V819" i="25"/>
  <c r="U820" i="25"/>
  <c r="V820" i="25"/>
  <c r="W820" i="25" s="1"/>
  <c r="U821" i="25"/>
  <c r="V821" i="25"/>
  <c r="W821" i="25" s="1"/>
  <c r="U822" i="25"/>
  <c r="V822" i="25"/>
  <c r="U823" i="25"/>
  <c r="V823" i="25"/>
  <c r="W823" i="25" s="1"/>
  <c r="U824" i="25"/>
  <c r="V824" i="25"/>
  <c r="W824" i="25" s="1"/>
  <c r="U825" i="25"/>
  <c r="V825" i="25"/>
  <c r="W825" i="25" s="1"/>
  <c r="U826" i="25"/>
  <c r="V826" i="25"/>
  <c r="U827" i="25"/>
  <c r="V827" i="25"/>
  <c r="U828" i="25"/>
  <c r="V828" i="25"/>
  <c r="W828" i="25" s="1"/>
  <c r="U829" i="25"/>
  <c r="V829" i="25"/>
  <c r="W829" i="25" s="1"/>
  <c r="U830" i="25"/>
  <c r="V830" i="25"/>
  <c r="W830" i="25" s="1"/>
  <c r="U831" i="25"/>
  <c r="V831" i="25"/>
  <c r="W831" i="25" s="1"/>
  <c r="U832" i="25"/>
  <c r="V832" i="25"/>
  <c r="W832" i="25" s="1"/>
  <c r="U833" i="25"/>
  <c r="V833" i="25"/>
  <c r="W833" i="25" s="1"/>
  <c r="U834" i="25"/>
  <c r="V834" i="25"/>
  <c r="W834" i="25" s="1"/>
  <c r="U835" i="25"/>
  <c r="V835" i="25"/>
  <c r="W835" i="25" s="1"/>
  <c r="U836" i="25"/>
  <c r="V836" i="25"/>
  <c r="W836" i="25" s="1"/>
  <c r="U837" i="25"/>
  <c r="V837" i="25"/>
  <c r="W837" i="25" s="1"/>
  <c r="U838" i="25"/>
  <c r="V838" i="25"/>
  <c r="W838" i="25" s="1"/>
  <c r="U839" i="25"/>
  <c r="V839" i="25"/>
  <c r="W839" i="25" s="1"/>
  <c r="U840" i="25"/>
  <c r="V840" i="25"/>
  <c r="W840" i="25" s="1"/>
  <c r="U841" i="25"/>
  <c r="V841" i="25"/>
  <c r="W841" i="25" s="1"/>
  <c r="U842" i="25"/>
  <c r="V842" i="25"/>
  <c r="W842" i="25" s="1"/>
  <c r="U843" i="25"/>
  <c r="V843" i="25"/>
  <c r="U844" i="25"/>
  <c r="V844" i="25"/>
  <c r="W844" i="25" s="1"/>
  <c r="U845" i="25"/>
  <c r="V845" i="25"/>
  <c r="W845" i="25" s="1"/>
  <c r="U846" i="25"/>
  <c r="V846" i="25"/>
  <c r="W846" i="25" s="1"/>
  <c r="U847" i="25"/>
  <c r="V847" i="25"/>
  <c r="W847" i="25" s="1"/>
  <c r="U848" i="25"/>
  <c r="V848" i="25"/>
  <c r="W848" i="25" s="1"/>
  <c r="U849" i="25"/>
  <c r="V849" i="25"/>
  <c r="W849" i="25" s="1"/>
  <c r="U850" i="25"/>
  <c r="V850" i="25"/>
  <c r="W850" i="25" s="1"/>
  <c r="U851" i="25"/>
  <c r="V851" i="25"/>
  <c r="W851" i="25" s="1"/>
  <c r="U852" i="25"/>
  <c r="V852" i="25"/>
  <c r="W852" i="25" s="1"/>
  <c r="U853" i="25"/>
  <c r="V853" i="25"/>
  <c r="W853" i="25" s="1"/>
  <c r="U854" i="25"/>
  <c r="V854" i="25"/>
  <c r="W854" i="25" s="1"/>
  <c r="U855" i="25"/>
  <c r="V855" i="25"/>
  <c r="W855" i="25" s="1"/>
  <c r="U856" i="25"/>
  <c r="V856" i="25"/>
  <c r="W856" i="25" s="1"/>
  <c r="U857" i="25"/>
  <c r="V857" i="25"/>
  <c r="W857" i="25" s="1"/>
  <c r="U858" i="25"/>
  <c r="V858" i="25"/>
  <c r="W858" i="25" s="1"/>
  <c r="U859" i="25"/>
  <c r="V859" i="25"/>
  <c r="U860" i="25"/>
  <c r="V860" i="25"/>
  <c r="W860" i="25" s="1"/>
  <c r="U861" i="25"/>
  <c r="V861" i="25"/>
  <c r="W861" i="25" s="1"/>
  <c r="U862" i="25"/>
  <c r="V862" i="25"/>
  <c r="W862" i="25" s="1"/>
  <c r="U863" i="25"/>
  <c r="V863" i="25"/>
  <c r="W863" i="25" s="1"/>
  <c r="U864" i="25"/>
  <c r="V864" i="25"/>
  <c r="W864" i="25" s="1"/>
  <c r="U865" i="25"/>
  <c r="V865" i="25"/>
  <c r="W865" i="25" s="1"/>
  <c r="U866" i="25"/>
  <c r="V866" i="25"/>
  <c r="W866" i="25" s="1"/>
  <c r="U867" i="25"/>
  <c r="V867" i="25"/>
  <c r="W867" i="25" s="1"/>
  <c r="U868" i="25"/>
  <c r="V868" i="25"/>
  <c r="W868" i="25" s="1"/>
  <c r="U869" i="25"/>
  <c r="V869" i="25"/>
  <c r="W869" i="25" s="1"/>
  <c r="U870" i="25"/>
  <c r="V870" i="25"/>
  <c r="W870" i="25" s="1"/>
  <c r="U871" i="25"/>
  <c r="V871" i="25"/>
  <c r="W871" i="25" s="1"/>
  <c r="U872" i="25"/>
  <c r="V872" i="25"/>
  <c r="W872" i="25" s="1"/>
  <c r="U873" i="25"/>
  <c r="V873" i="25"/>
  <c r="W873" i="25" s="1"/>
  <c r="U874" i="25"/>
  <c r="V874" i="25"/>
  <c r="W874" i="25" s="1"/>
  <c r="U875" i="25"/>
  <c r="V875" i="25"/>
  <c r="U876" i="25"/>
  <c r="V876" i="25"/>
  <c r="W876" i="25" s="1"/>
  <c r="U877" i="25"/>
  <c r="V877" i="25"/>
  <c r="W877" i="25" s="1"/>
  <c r="U878" i="25"/>
  <c r="V878" i="25"/>
  <c r="W878" i="25" s="1"/>
  <c r="U879" i="25"/>
  <c r="V879" i="25"/>
  <c r="W879" i="25" s="1"/>
  <c r="U880" i="25"/>
  <c r="V880" i="25"/>
  <c r="W880" i="25" s="1"/>
  <c r="U881" i="25"/>
  <c r="V881" i="25"/>
  <c r="W881" i="25" s="1"/>
  <c r="U443" i="25"/>
  <c r="V443" i="25"/>
  <c r="U444" i="25"/>
  <c r="V444" i="25"/>
  <c r="W444" i="25" s="1"/>
  <c r="U445" i="25"/>
  <c r="V445" i="25"/>
  <c r="W445" i="25" s="1"/>
  <c r="U446" i="25"/>
  <c r="V446" i="25"/>
  <c r="W446" i="25" s="1"/>
  <c r="U447" i="25"/>
  <c r="V447" i="25"/>
  <c r="U448" i="25"/>
  <c r="V448" i="25"/>
  <c r="W448" i="25" s="1"/>
  <c r="U449" i="25"/>
  <c r="V449" i="25"/>
  <c r="W449" i="25" s="1"/>
  <c r="U450" i="25"/>
  <c r="V450" i="25"/>
  <c r="W450" i="25" s="1"/>
  <c r="U451" i="25"/>
  <c r="V451" i="25"/>
  <c r="U452" i="25"/>
  <c r="V452" i="25"/>
  <c r="W452" i="25" s="1"/>
  <c r="U453" i="25"/>
  <c r="V453" i="25"/>
  <c r="W453" i="25" s="1"/>
  <c r="U454" i="25"/>
  <c r="V454" i="25"/>
  <c r="W454" i="25" s="1"/>
  <c r="U455" i="25"/>
  <c r="V455" i="25"/>
  <c r="U456" i="25"/>
  <c r="V456" i="25"/>
  <c r="W456" i="25" s="1"/>
  <c r="U457" i="25"/>
  <c r="V457" i="25"/>
  <c r="W457" i="25" s="1"/>
  <c r="U458" i="25"/>
  <c r="V458" i="25"/>
  <c r="W458" i="25" s="1"/>
  <c r="U459" i="25"/>
  <c r="V459" i="25"/>
  <c r="U460" i="25"/>
  <c r="V460" i="25"/>
  <c r="W460" i="25" s="1"/>
  <c r="U461" i="25"/>
  <c r="V461" i="25"/>
  <c r="W461" i="25" s="1"/>
  <c r="U462" i="25"/>
  <c r="V462" i="25"/>
  <c r="W462" i="25" s="1"/>
  <c r="U463" i="25"/>
  <c r="V463" i="25"/>
  <c r="U464" i="25"/>
  <c r="V464" i="25"/>
  <c r="W464" i="25" s="1"/>
  <c r="U465" i="25"/>
  <c r="V465" i="25"/>
  <c r="W465" i="25" s="1"/>
  <c r="U466" i="25"/>
  <c r="V466" i="25"/>
  <c r="W466" i="25" s="1"/>
  <c r="U467" i="25"/>
  <c r="V467" i="25"/>
  <c r="U468" i="25"/>
  <c r="V468" i="25"/>
  <c r="W468" i="25" s="1"/>
  <c r="U469" i="25"/>
  <c r="V469" i="25"/>
  <c r="W469" i="25" s="1"/>
  <c r="U470" i="25"/>
  <c r="V470" i="25"/>
  <c r="W470" i="25" s="1"/>
  <c r="U471" i="25"/>
  <c r="V471" i="25"/>
  <c r="U472" i="25"/>
  <c r="V472" i="25"/>
  <c r="W472" i="25" s="1"/>
  <c r="U473" i="25"/>
  <c r="V473" i="25"/>
  <c r="W473" i="25" s="1"/>
  <c r="U474" i="25"/>
  <c r="V474" i="25"/>
  <c r="W474" i="25" s="1"/>
  <c r="U475" i="25"/>
  <c r="V475" i="25"/>
  <c r="U476" i="25"/>
  <c r="V476" i="25"/>
  <c r="W476" i="25" s="1"/>
  <c r="U477" i="25"/>
  <c r="V477" i="25"/>
  <c r="W477" i="25" s="1"/>
  <c r="U478" i="25"/>
  <c r="V478" i="25"/>
  <c r="W478" i="25" s="1"/>
  <c r="U479" i="25"/>
  <c r="V479" i="25"/>
  <c r="U480" i="25"/>
  <c r="V480" i="25"/>
  <c r="W480" i="25" s="1"/>
  <c r="U481" i="25"/>
  <c r="V481" i="25"/>
  <c r="W481" i="25" s="1"/>
  <c r="U482" i="25"/>
  <c r="V482" i="25"/>
  <c r="W482" i="25" s="1"/>
  <c r="U483" i="25"/>
  <c r="V483" i="25"/>
  <c r="U484" i="25"/>
  <c r="V484" i="25"/>
  <c r="W484" i="25" s="1"/>
  <c r="U485" i="25"/>
  <c r="V485" i="25"/>
  <c r="W485" i="25" s="1"/>
  <c r="U486" i="25"/>
  <c r="V486" i="25"/>
  <c r="W486" i="25" s="1"/>
  <c r="U487" i="25"/>
  <c r="V487" i="25"/>
  <c r="U488" i="25"/>
  <c r="V488" i="25"/>
  <c r="W488" i="25" s="1"/>
  <c r="U489" i="25"/>
  <c r="V489" i="25"/>
  <c r="W489" i="25" s="1"/>
  <c r="U490" i="25"/>
  <c r="V490" i="25"/>
  <c r="W490" i="25" s="1"/>
  <c r="U491" i="25"/>
  <c r="V491" i="25"/>
  <c r="U492" i="25"/>
  <c r="V492" i="25"/>
  <c r="W492" i="25" s="1"/>
  <c r="U493" i="25"/>
  <c r="V493" i="25"/>
  <c r="W493" i="25" s="1"/>
  <c r="U494" i="25"/>
  <c r="V494" i="25"/>
  <c r="W494" i="25" s="1"/>
  <c r="U495" i="25"/>
  <c r="V495" i="25"/>
  <c r="U496" i="25"/>
  <c r="V496" i="25"/>
  <c r="W496" i="25" s="1"/>
  <c r="U497" i="25"/>
  <c r="V497" i="25"/>
  <c r="W497" i="25" s="1"/>
  <c r="U498" i="25"/>
  <c r="V498" i="25"/>
  <c r="W498" i="25" s="1"/>
  <c r="U499" i="25"/>
  <c r="V499" i="25"/>
  <c r="U500" i="25"/>
  <c r="V500" i="25"/>
  <c r="W500" i="25" s="1"/>
  <c r="U501" i="25"/>
  <c r="V501" i="25"/>
  <c r="W501" i="25" s="1"/>
  <c r="U502" i="25"/>
  <c r="V502" i="25"/>
  <c r="W502" i="25" s="1"/>
  <c r="U503" i="25"/>
  <c r="V503" i="25"/>
  <c r="U504" i="25"/>
  <c r="V504" i="25"/>
  <c r="W504" i="25" s="1"/>
  <c r="U505" i="25"/>
  <c r="V505" i="25"/>
  <c r="W505" i="25" s="1"/>
  <c r="U506" i="25"/>
  <c r="V506" i="25"/>
  <c r="W506" i="25" s="1"/>
  <c r="U507" i="25"/>
  <c r="V507" i="25"/>
  <c r="U508" i="25"/>
  <c r="V508" i="25"/>
  <c r="W508" i="25" s="1"/>
  <c r="U509" i="25"/>
  <c r="V509" i="25"/>
  <c r="W509" i="25" s="1"/>
  <c r="U510" i="25"/>
  <c r="V510" i="25"/>
  <c r="W510" i="25" s="1"/>
  <c r="U511" i="25"/>
  <c r="V511" i="25"/>
  <c r="U512" i="25"/>
  <c r="V512" i="25"/>
  <c r="W512" i="25" s="1"/>
  <c r="U513" i="25"/>
  <c r="V513" i="25"/>
  <c r="W513" i="25" s="1"/>
  <c r="U514" i="25"/>
  <c r="V514" i="25"/>
  <c r="W514" i="25" s="1"/>
  <c r="U515" i="25"/>
  <c r="V515" i="25"/>
  <c r="U516" i="25"/>
  <c r="V516" i="25"/>
  <c r="W516" i="25" s="1"/>
  <c r="U517" i="25"/>
  <c r="V517" i="25"/>
  <c r="W517" i="25" s="1"/>
  <c r="U518" i="25"/>
  <c r="V518" i="25"/>
  <c r="W518" i="25" s="1"/>
  <c r="U519" i="25"/>
  <c r="V519" i="25"/>
  <c r="U520" i="25"/>
  <c r="V520" i="25"/>
  <c r="W520" i="25" s="1"/>
  <c r="U521" i="25"/>
  <c r="V521" i="25"/>
  <c r="W521" i="25" s="1"/>
  <c r="U522" i="25"/>
  <c r="V522" i="25"/>
  <c r="W522" i="25" s="1"/>
  <c r="U523" i="25"/>
  <c r="V523" i="25"/>
  <c r="U524" i="25"/>
  <c r="V524" i="25"/>
  <c r="W524" i="25" s="1"/>
  <c r="U525" i="25"/>
  <c r="V525" i="25"/>
  <c r="W525" i="25" s="1"/>
  <c r="U526" i="25"/>
  <c r="V526" i="25"/>
  <c r="W526" i="25" s="1"/>
  <c r="U527" i="25"/>
  <c r="V527" i="25"/>
  <c r="U528" i="25"/>
  <c r="V528" i="25"/>
  <c r="W528" i="25" s="1"/>
  <c r="U529" i="25"/>
  <c r="V529" i="25"/>
  <c r="W529" i="25" s="1"/>
  <c r="U530" i="25"/>
  <c r="V530" i="25"/>
  <c r="W530" i="25" s="1"/>
  <c r="U531" i="25"/>
  <c r="V531" i="25"/>
  <c r="U532" i="25"/>
  <c r="V532" i="25"/>
  <c r="W532" i="25" s="1"/>
  <c r="U533" i="25"/>
  <c r="V533" i="25"/>
  <c r="W533" i="25" s="1"/>
  <c r="U534" i="25"/>
  <c r="V534" i="25"/>
  <c r="W534" i="25" s="1"/>
  <c r="U535" i="25"/>
  <c r="V535" i="25"/>
  <c r="U536" i="25"/>
  <c r="V536" i="25"/>
  <c r="W536" i="25" s="1"/>
  <c r="U537" i="25"/>
  <c r="V537" i="25"/>
  <c r="W537" i="25" s="1"/>
  <c r="U538" i="25"/>
  <c r="V538" i="25"/>
  <c r="W538" i="25" s="1"/>
  <c r="U539" i="25"/>
  <c r="V539" i="25"/>
  <c r="U540" i="25"/>
  <c r="V540" i="25"/>
  <c r="W540" i="25" s="1"/>
  <c r="U541" i="25"/>
  <c r="V541" i="25"/>
  <c r="W541" i="25" s="1"/>
  <c r="U542" i="25"/>
  <c r="V542" i="25"/>
  <c r="W542" i="25" s="1"/>
  <c r="U543" i="25"/>
  <c r="V543" i="25"/>
  <c r="U544" i="25"/>
  <c r="V544" i="25"/>
  <c r="W544" i="25" s="1"/>
  <c r="U545" i="25"/>
  <c r="V545" i="25"/>
  <c r="W545" i="25" s="1"/>
  <c r="U546" i="25"/>
  <c r="V546" i="25"/>
  <c r="W546" i="25" s="1"/>
  <c r="U547" i="25"/>
  <c r="V547" i="25"/>
  <c r="U548" i="25"/>
  <c r="V548" i="25"/>
  <c r="W548" i="25" s="1"/>
  <c r="U549" i="25"/>
  <c r="V549" i="25"/>
  <c r="W549" i="25" s="1"/>
  <c r="U550" i="25"/>
  <c r="V550" i="25"/>
  <c r="W550" i="25" s="1"/>
  <c r="U551" i="25"/>
  <c r="V551" i="25"/>
  <c r="U552" i="25"/>
  <c r="V552" i="25"/>
  <c r="W552" i="25" s="1"/>
  <c r="U553" i="25"/>
  <c r="V553" i="25"/>
  <c r="W553" i="25" s="1"/>
  <c r="U554" i="25"/>
  <c r="V554" i="25"/>
  <c r="W554" i="25" s="1"/>
  <c r="U555" i="25"/>
  <c r="V555" i="25"/>
  <c r="U556" i="25"/>
  <c r="V556" i="25"/>
  <c r="W556" i="25" s="1"/>
  <c r="U557" i="25"/>
  <c r="V557" i="25"/>
  <c r="W557" i="25" s="1"/>
  <c r="U558" i="25"/>
  <c r="V558" i="25"/>
  <c r="W558" i="25" s="1"/>
  <c r="U559" i="25"/>
  <c r="V559" i="25"/>
  <c r="U560" i="25"/>
  <c r="V560" i="25"/>
  <c r="W560" i="25" s="1"/>
  <c r="U561" i="25"/>
  <c r="V561" i="25"/>
  <c r="W561" i="25" s="1"/>
  <c r="U562" i="25"/>
  <c r="V562" i="25"/>
  <c r="W562" i="25" s="1"/>
  <c r="U563" i="25"/>
  <c r="V563" i="25"/>
  <c r="U564" i="25"/>
  <c r="V564" i="25"/>
  <c r="W564" i="25" s="1"/>
  <c r="U565" i="25"/>
  <c r="V565" i="25"/>
  <c r="W565" i="25" s="1"/>
  <c r="U566" i="25"/>
  <c r="V566" i="25"/>
  <c r="W566" i="25" s="1"/>
  <c r="U567" i="25"/>
  <c r="V567" i="25"/>
  <c r="U568" i="25"/>
  <c r="V568" i="25"/>
  <c r="W568" i="25" s="1"/>
  <c r="U569" i="25"/>
  <c r="V569" i="25"/>
  <c r="W569" i="25" s="1"/>
  <c r="U570" i="25"/>
  <c r="V570" i="25"/>
  <c r="W570" i="25" s="1"/>
  <c r="U571" i="25"/>
  <c r="V571" i="25"/>
  <c r="U572" i="25"/>
  <c r="V572" i="25"/>
  <c r="W572" i="25" s="1"/>
  <c r="U573" i="25"/>
  <c r="V573" i="25"/>
  <c r="W573" i="25" s="1"/>
  <c r="U574" i="25"/>
  <c r="V574" i="25"/>
  <c r="W574" i="25" s="1"/>
  <c r="U575" i="25"/>
  <c r="V575" i="25"/>
  <c r="U576" i="25"/>
  <c r="V576" i="25"/>
  <c r="W576" i="25" s="1"/>
  <c r="U577" i="25"/>
  <c r="V577" i="25"/>
  <c r="W577" i="25" s="1"/>
  <c r="U578" i="25"/>
  <c r="V578" i="25"/>
  <c r="W578" i="25" s="1"/>
  <c r="U579" i="25"/>
  <c r="V579" i="25"/>
  <c r="U580" i="25"/>
  <c r="V580" i="25"/>
  <c r="W580" i="25" s="1"/>
  <c r="U581" i="25"/>
  <c r="V581" i="25"/>
  <c r="W581" i="25" s="1"/>
  <c r="U582" i="25"/>
  <c r="V582" i="25"/>
  <c r="W582" i="25" s="1"/>
  <c r="U583" i="25"/>
  <c r="V583" i="25"/>
  <c r="U584" i="25"/>
  <c r="V584" i="25"/>
  <c r="W584" i="25" s="1"/>
  <c r="U585" i="25"/>
  <c r="V585" i="25"/>
  <c r="W585" i="25" s="1"/>
  <c r="U586" i="25"/>
  <c r="V586" i="25"/>
  <c r="W586" i="25" s="1"/>
  <c r="U587" i="25"/>
  <c r="V587" i="25"/>
  <c r="U588" i="25"/>
  <c r="V588" i="25"/>
  <c r="W588" i="25" s="1"/>
  <c r="U589" i="25"/>
  <c r="V589" i="25"/>
  <c r="W589" i="25" s="1"/>
  <c r="U590" i="25"/>
  <c r="V590" i="25"/>
  <c r="W590" i="25" s="1"/>
  <c r="U591" i="25"/>
  <c r="V591" i="25"/>
  <c r="U592" i="25"/>
  <c r="V592" i="25"/>
  <c r="W592" i="25" s="1"/>
  <c r="U593" i="25"/>
  <c r="V593" i="25"/>
  <c r="W593" i="25" s="1"/>
  <c r="U594" i="25"/>
  <c r="V594" i="25"/>
  <c r="W594" i="25" s="1"/>
  <c r="U595" i="25"/>
  <c r="V595" i="25"/>
  <c r="U596" i="25"/>
  <c r="V596" i="25"/>
  <c r="W596" i="25" s="1"/>
  <c r="U597" i="25"/>
  <c r="V597" i="25"/>
  <c r="W597" i="25" s="1"/>
  <c r="U598" i="25"/>
  <c r="V598" i="25"/>
  <c r="W598" i="25" s="1"/>
  <c r="U599" i="25"/>
  <c r="V599" i="25"/>
  <c r="U600" i="25"/>
  <c r="V600" i="25"/>
  <c r="W600" i="25" s="1"/>
  <c r="U601" i="25"/>
  <c r="V601" i="25"/>
  <c r="W601" i="25" s="1"/>
  <c r="U602" i="25"/>
  <c r="V602" i="25"/>
  <c r="W602" i="25" s="1"/>
  <c r="U603" i="25"/>
  <c r="V603" i="25"/>
  <c r="U604" i="25"/>
  <c r="V604" i="25"/>
  <c r="W604" i="25" s="1"/>
  <c r="U605" i="25"/>
  <c r="V605" i="25"/>
  <c r="W605" i="25" s="1"/>
  <c r="U606" i="25"/>
  <c r="V606" i="25"/>
  <c r="W606" i="25" s="1"/>
  <c r="U607" i="25"/>
  <c r="V607" i="25"/>
  <c r="U608" i="25"/>
  <c r="V608" i="25"/>
  <c r="W608" i="25" s="1"/>
  <c r="U609" i="25"/>
  <c r="V609" i="25"/>
  <c r="W609" i="25" s="1"/>
  <c r="U610" i="25"/>
  <c r="V610" i="25"/>
  <c r="W610" i="25" s="1"/>
  <c r="U611" i="25"/>
  <c r="V611" i="25"/>
  <c r="U612" i="25"/>
  <c r="V612" i="25"/>
  <c r="W612" i="25" s="1"/>
  <c r="U613" i="25"/>
  <c r="V613" i="25"/>
  <c r="W613" i="25" s="1"/>
  <c r="U614" i="25"/>
  <c r="V614" i="25"/>
  <c r="W614" i="25" s="1"/>
  <c r="U615" i="25"/>
  <c r="V615" i="25"/>
  <c r="U616" i="25"/>
  <c r="V616" i="25"/>
  <c r="W616" i="25" s="1"/>
  <c r="U617" i="25"/>
  <c r="V617" i="25"/>
  <c r="W617" i="25" s="1"/>
  <c r="U618" i="25"/>
  <c r="V618" i="25"/>
  <c r="W618" i="25" s="1"/>
  <c r="U619" i="25"/>
  <c r="V619" i="25"/>
  <c r="U620" i="25"/>
  <c r="V620" i="25"/>
  <c r="W620" i="25" s="1"/>
  <c r="U621" i="25"/>
  <c r="V621" i="25"/>
  <c r="W621" i="25" s="1"/>
  <c r="U622" i="25"/>
  <c r="V622" i="25"/>
  <c r="W622" i="25" s="1"/>
  <c r="U623" i="25"/>
  <c r="V623" i="25"/>
  <c r="U624" i="25"/>
  <c r="V624" i="25"/>
  <c r="W624" i="25" s="1"/>
  <c r="U625" i="25"/>
  <c r="V625" i="25"/>
  <c r="W625" i="25" s="1"/>
  <c r="U626" i="25"/>
  <c r="V626" i="25"/>
  <c r="W626" i="25" s="1"/>
  <c r="U627" i="25"/>
  <c r="V627" i="25"/>
  <c r="U628" i="25"/>
  <c r="V628" i="25"/>
  <c r="W628" i="25" s="1"/>
  <c r="U629" i="25"/>
  <c r="V629" i="25"/>
  <c r="W629" i="25" s="1"/>
  <c r="U630" i="25"/>
  <c r="V630" i="25"/>
  <c r="W630" i="25" s="1"/>
  <c r="U631" i="25"/>
  <c r="V631" i="25"/>
  <c r="U632" i="25"/>
  <c r="V632" i="25"/>
  <c r="W632" i="25" s="1"/>
  <c r="U633" i="25"/>
  <c r="V633" i="25"/>
  <c r="W633" i="25" s="1"/>
  <c r="U634" i="25"/>
  <c r="V634" i="25"/>
  <c r="W634" i="25" s="1"/>
  <c r="U635" i="25"/>
  <c r="V635" i="25"/>
  <c r="U636" i="25"/>
  <c r="V636" i="25"/>
  <c r="W636" i="25" s="1"/>
  <c r="U637" i="25"/>
  <c r="V637" i="25"/>
  <c r="W637" i="25" s="1"/>
  <c r="U638" i="25"/>
  <c r="V638" i="25"/>
  <c r="W638" i="25" s="1"/>
  <c r="U639" i="25"/>
  <c r="V639" i="25"/>
  <c r="U640" i="25"/>
  <c r="V640" i="25"/>
  <c r="W640" i="25" s="1"/>
  <c r="U641" i="25"/>
  <c r="V641" i="25"/>
  <c r="W641" i="25" s="1"/>
  <c r="U642" i="25"/>
  <c r="V642" i="25"/>
  <c r="W642" i="25" s="1"/>
  <c r="U643" i="25"/>
  <c r="V643" i="25"/>
  <c r="U644" i="25"/>
  <c r="V644" i="25"/>
  <c r="W644" i="25" s="1"/>
  <c r="U645" i="25"/>
  <c r="V645" i="25"/>
  <c r="W645" i="25" s="1"/>
  <c r="U646" i="25"/>
  <c r="V646" i="25"/>
  <c r="W646" i="25" s="1"/>
  <c r="U647" i="25"/>
  <c r="V647" i="25"/>
  <c r="U648" i="25"/>
  <c r="V648" i="25"/>
  <c r="W648" i="25" s="1"/>
  <c r="U649" i="25"/>
  <c r="V649" i="25"/>
  <c r="W649" i="25" s="1"/>
  <c r="U650" i="25"/>
  <c r="V650" i="25"/>
  <c r="W650" i="25" s="1"/>
  <c r="U651" i="25"/>
  <c r="V651" i="25"/>
  <c r="U652" i="25"/>
  <c r="V652" i="25"/>
  <c r="W652" i="25" s="1"/>
  <c r="U653" i="25"/>
  <c r="V653" i="25"/>
  <c r="W653" i="25" s="1"/>
  <c r="U654" i="25"/>
  <c r="V654" i="25"/>
  <c r="W654" i="25" s="1"/>
  <c r="U655" i="25"/>
  <c r="V655" i="25"/>
  <c r="U656" i="25"/>
  <c r="V656" i="25"/>
  <c r="W656" i="25" s="1"/>
  <c r="U657" i="25"/>
  <c r="V657" i="25"/>
  <c r="W657" i="25" s="1"/>
  <c r="U658" i="25"/>
  <c r="V658" i="25"/>
  <c r="W658" i="25" s="1"/>
  <c r="U659" i="25"/>
  <c r="V659" i="25"/>
  <c r="U660" i="25"/>
  <c r="V660" i="25"/>
  <c r="W660" i="25" s="1"/>
  <c r="U661" i="25"/>
  <c r="V661" i="25"/>
  <c r="W661" i="25" s="1"/>
  <c r="U223" i="25"/>
  <c r="V223" i="25"/>
  <c r="W223" i="25" s="1"/>
  <c r="U224" i="25"/>
  <c r="V224" i="25"/>
  <c r="W224" i="25" s="1"/>
  <c r="U225" i="25"/>
  <c r="V225" i="25"/>
  <c r="W225" i="25" s="1"/>
  <c r="U226" i="25"/>
  <c r="V226" i="25"/>
  <c r="W226" i="25" s="1"/>
  <c r="U227" i="25"/>
  <c r="V227" i="25"/>
  <c r="W227" i="25" s="1"/>
  <c r="U228" i="25"/>
  <c r="V228" i="25"/>
  <c r="W228" i="25" s="1"/>
  <c r="U229" i="25"/>
  <c r="V229" i="25"/>
  <c r="W229" i="25" s="1"/>
  <c r="U230" i="25"/>
  <c r="V230" i="25"/>
  <c r="U231" i="25"/>
  <c r="V231" i="25"/>
  <c r="W231" i="25" s="1"/>
  <c r="U232" i="25"/>
  <c r="V232" i="25"/>
  <c r="W232" i="25" s="1"/>
  <c r="U233" i="25"/>
  <c r="V233" i="25"/>
  <c r="W233" i="25" s="1"/>
  <c r="U234" i="25"/>
  <c r="V234" i="25"/>
  <c r="W234" i="25" s="1"/>
  <c r="U235" i="25"/>
  <c r="V235" i="25"/>
  <c r="W235" i="25" s="1"/>
  <c r="U236" i="25"/>
  <c r="V236" i="25"/>
  <c r="W236" i="25" s="1"/>
  <c r="U237" i="25"/>
  <c r="V237" i="25"/>
  <c r="W237" i="25" s="1"/>
  <c r="U238" i="25"/>
  <c r="V238" i="25"/>
  <c r="U239" i="25"/>
  <c r="V239" i="25"/>
  <c r="W239" i="25" s="1"/>
  <c r="U240" i="25"/>
  <c r="V240" i="25"/>
  <c r="W240" i="25" s="1"/>
  <c r="U241" i="25"/>
  <c r="V241" i="25"/>
  <c r="W241" i="25" s="1"/>
  <c r="U242" i="25"/>
  <c r="V242" i="25"/>
  <c r="W242" i="25" s="1"/>
  <c r="U243" i="25"/>
  <c r="V243" i="25"/>
  <c r="W243" i="25" s="1"/>
  <c r="U244" i="25"/>
  <c r="V244" i="25"/>
  <c r="W244" i="25" s="1"/>
  <c r="U245" i="25"/>
  <c r="V245" i="25"/>
  <c r="W245" i="25" s="1"/>
  <c r="U246" i="25"/>
  <c r="V246" i="25"/>
  <c r="U247" i="25"/>
  <c r="V247" i="25"/>
  <c r="W247" i="25" s="1"/>
  <c r="U248" i="25"/>
  <c r="V248" i="25"/>
  <c r="W248" i="25" s="1"/>
  <c r="U249" i="25"/>
  <c r="V249" i="25"/>
  <c r="W249" i="25" s="1"/>
  <c r="U250" i="25"/>
  <c r="V250" i="25"/>
  <c r="W250" i="25" s="1"/>
  <c r="U251" i="25"/>
  <c r="V251" i="25"/>
  <c r="W251" i="25" s="1"/>
  <c r="U252" i="25"/>
  <c r="V252" i="25"/>
  <c r="W252" i="25" s="1"/>
  <c r="U253" i="25"/>
  <c r="V253" i="25"/>
  <c r="W253" i="25" s="1"/>
  <c r="U254" i="25"/>
  <c r="V254" i="25"/>
  <c r="U255" i="25"/>
  <c r="V255" i="25"/>
  <c r="W255" i="25" s="1"/>
  <c r="U256" i="25"/>
  <c r="V256" i="25"/>
  <c r="W256" i="25" s="1"/>
  <c r="U257" i="25"/>
  <c r="V257" i="25"/>
  <c r="W257" i="25" s="1"/>
  <c r="U258" i="25"/>
  <c r="V258" i="25"/>
  <c r="W258" i="25" s="1"/>
  <c r="U259" i="25"/>
  <c r="V259" i="25"/>
  <c r="W259" i="25" s="1"/>
  <c r="U260" i="25"/>
  <c r="V260" i="25"/>
  <c r="W260" i="25" s="1"/>
  <c r="U261" i="25"/>
  <c r="V261" i="25"/>
  <c r="W261" i="25" s="1"/>
  <c r="U262" i="25"/>
  <c r="V262" i="25"/>
  <c r="U263" i="25"/>
  <c r="V263" i="25"/>
  <c r="W263" i="25" s="1"/>
  <c r="U264" i="25"/>
  <c r="V264" i="25"/>
  <c r="W264" i="25" s="1"/>
  <c r="U265" i="25"/>
  <c r="V265" i="25"/>
  <c r="W265" i="25" s="1"/>
  <c r="U266" i="25"/>
  <c r="V266" i="25"/>
  <c r="W266" i="25" s="1"/>
  <c r="U267" i="25"/>
  <c r="V267" i="25"/>
  <c r="W267" i="25" s="1"/>
  <c r="U268" i="25"/>
  <c r="V268" i="25"/>
  <c r="W268" i="25" s="1"/>
  <c r="U269" i="25"/>
  <c r="V269" i="25"/>
  <c r="W269" i="25" s="1"/>
  <c r="U270" i="25"/>
  <c r="V270" i="25"/>
  <c r="U271" i="25"/>
  <c r="V271" i="25"/>
  <c r="W271" i="25" s="1"/>
  <c r="U272" i="25"/>
  <c r="V272" i="25"/>
  <c r="W272" i="25" s="1"/>
  <c r="U273" i="25"/>
  <c r="V273" i="25"/>
  <c r="W273" i="25" s="1"/>
  <c r="U274" i="25"/>
  <c r="V274" i="25"/>
  <c r="W274" i="25" s="1"/>
  <c r="U275" i="25"/>
  <c r="V275" i="25"/>
  <c r="W275" i="25" s="1"/>
  <c r="U276" i="25"/>
  <c r="V276" i="25"/>
  <c r="W276" i="25" s="1"/>
  <c r="U277" i="25"/>
  <c r="V277" i="25"/>
  <c r="W277" i="25" s="1"/>
  <c r="U278" i="25"/>
  <c r="V278" i="25"/>
  <c r="U279" i="25"/>
  <c r="V279" i="25"/>
  <c r="W279" i="25" s="1"/>
  <c r="U280" i="25"/>
  <c r="V280" i="25"/>
  <c r="W280" i="25" s="1"/>
  <c r="U281" i="25"/>
  <c r="V281" i="25"/>
  <c r="W281" i="25" s="1"/>
  <c r="U282" i="25"/>
  <c r="V282" i="25"/>
  <c r="W282" i="25" s="1"/>
  <c r="U283" i="25"/>
  <c r="V283" i="25"/>
  <c r="W283" i="25" s="1"/>
  <c r="U284" i="25"/>
  <c r="V284" i="25"/>
  <c r="W284" i="25" s="1"/>
  <c r="U285" i="25"/>
  <c r="V285" i="25"/>
  <c r="W285" i="25" s="1"/>
  <c r="U286" i="25"/>
  <c r="V286" i="25"/>
  <c r="U287" i="25"/>
  <c r="V287" i="25"/>
  <c r="W287" i="25" s="1"/>
  <c r="U288" i="25"/>
  <c r="V288" i="25"/>
  <c r="W288" i="25" s="1"/>
  <c r="U289" i="25"/>
  <c r="V289" i="25"/>
  <c r="W289" i="25" s="1"/>
  <c r="U290" i="25"/>
  <c r="V290" i="25"/>
  <c r="W290" i="25" s="1"/>
  <c r="U291" i="25"/>
  <c r="V291" i="25"/>
  <c r="W291" i="25" s="1"/>
  <c r="U292" i="25"/>
  <c r="V292" i="25"/>
  <c r="W292" i="25" s="1"/>
  <c r="U293" i="25"/>
  <c r="V293" i="25"/>
  <c r="W293" i="25" s="1"/>
  <c r="U294" i="25"/>
  <c r="V294" i="25"/>
  <c r="U295" i="25"/>
  <c r="V295" i="25"/>
  <c r="W295" i="25" s="1"/>
  <c r="U296" i="25"/>
  <c r="V296" i="25"/>
  <c r="W296" i="25" s="1"/>
  <c r="U297" i="25"/>
  <c r="V297" i="25"/>
  <c r="W297" i="25" s="1"/>
  <c r="U298" i="25"/>
  <c r="V298" i="25"/>
  <c r="W298" i="25" s="1"/>
  <c r="U299" i="25"/>
  <c r="V299" i="25"/>
  <c r="W299" i="25" s="1"/>
  <c r="U300" i="25"/>
  <c r="V300" i="25"/>
  <c r="W300" i="25" s="1"/>
  <c r="U301" i="25"/>
  <c r="V301" i="25"/>
  <c r="W301" i="25" s="1"/>
  <c r="U302" i="25"/>
  <c r="V302" i="25"/>
  <c r="U303" i="25"/>
  <c r="V303" i="25"/>
  <c r="W303" i="25" s="1"/>
  <c r="U304" i="25"/>
  <c r="V304" i="25"/>
  <c r="W304" i="25" s="1"/>
  <c r="U305" i="25"/>
  <c r="V305" i="25"/>
  <c r="W305" i="25" s="1"/>
  <c r="U306" i="25"/>
  <c r="V306" i="25"/>
  <c r="W306" i="25" s="1"/>
  <c r="U307" i="25"/>
  <c r="V307" i="25"/>
  <c r="W307" i="25" s="1"/>
  <c r="U308" i="25"/>
  <c r="V308" i="25"/>
  <c r="W308" i="25" s="1"/>
  <c r="U309" i="25"/>
  <c r="V309" i="25"/>
  <c r="W309" i="25" s="1"/>
  <c r="U310" i="25"/>
  <c r="V310" i="25"/>
  <c r="U311" i="25"/>
  <c r="V311" i="25"/>
  <c r="W311" i="25" s="1"/>
  <c r="U312" i="25"/>
  <c r="V312" i="25"/>
  <c r="W312" i="25" s="1"/>
  <c r="U313" i="25"/>
  <c r="V313" i="25"/>
  <c r="W313" i="25" s="1"/>
  <c r="U314" i="25"/>
  <c r="V314" i="25"/>
  <c r="W314" i="25" s="1"/>
  <c r="U315" i="25"/>
  <c r="V315" i="25"/>
  <c r="W315" i="25" s="1"/>
  <c r="U316" i="25"/>
  <c r="V316" i="25"/>
  <c r="W316" i="25" s="1"/>
  <c r="U317" i="25"/>
  <c r="V317" i="25"/>
  <c r="W317" i="25" s="1"/>
  <c r="U318" i="25"/>
  <c r="V318" i="25"/>
  <c r="W318" i="25" s="1"/>
  <c r="U319" i="25"/>
  <c r="V319" i="25"/>
  <c r="W319" i="25" s="1"/>
  <c r="U320" i="25"/>
  <c r="V320" i="25"/>
  <c r="W320" i="25" s="1"/>
  <c r="U321" i="25"/>
  <c r="V321" i="25"/>
  <c r="W321" i="25" s="1"/>
  <c r="U322" i="25"/>
  <c r="V322" i="25"/>
  <c r="W322" i="25" s="1"/>
  <c r="U323" i="25"/>
  <c r="V323" i="25"/>
  <c r="W323" i="25" s="1"/>
  <c r="U324" i="25"/>
  <c r="V324" i="25"/>
  <c r="W324" i="25" s="1"/>
  <c r="U325" i="25"/>
  <c r="V325" i="25"/>
  <c r="W325" i="25" s="1"/>
  <c r="U326" i="25"/>
  <c r="V326" i="25"/>
  <c r="W326" i="25" s="1"/>
  <c r="U327" i="25"/>
  <c r="V327" i="25"/>
  <c r="W327" i="25" s="1"/>
  <c r="U328" i="25"/>
  <c r="V328" i="25"/>
  <c r="W328" i="25" s="1"/>
  <c r="U329" i="25"/>
  <c r="V329" i="25"/>
  <c r="W329" i="25" s="1"/>
  <c r="U330" i="25"/>
  <c r="V330" i="25"/>
  <c r="W330" i="25" s="1"/>
  <c r="U331" i="25"/>
  <c r="V331" i="25"/>
  <c r="W331" i="25" s="1"/>
  <c r="U332" i="25"/>
  <c r="V332" i="25"/>
  <c r="W332" i="25" s="1"/>
  <c r="U333" i="25"/>
  <c r="V333" i="25"/>
  <c r="W333" i="25" s="1"/>
  <c r="U334" i="25"/>
  <c r="V334" i="25"/>
  <c r="W334" i="25" s="1"/>
  <c r="U335" i="25"/>
  <c r="V335" i="25"/>
  <c r="W335" i="25" s="1"/>
  <c r="U336" i="25"/>
  <c r="V336" i="25"/>
  <c r="W336" i="25" s="1"/>
  <c r="U337" i="25"/>
  <c r="V337" i="25"/>
  <c r="W337" i="25" s="1"/>
  <c r="U338" i="25"/>
  <c r="V338" i="25"/>
  <c r="W338" i="25" s="1"/>
  <c r="U339" i="25"/>
  <c r="V339" i="25"/>
  <c r="W339" i="25" s="1"/>
  <c r="U340" i="25"/>
  <c r="V340" i="25"/>
  <c r="W340" i="25" s="1"/>
  <c r="U341" i="25"/>
  <c r="V341" i="25"/>
  <c r="W341" i="25" s="1"/>
  <c r="U342" i="25"/>
  <c r="V342" i="25"/>
  <c r="W342" i="25" s="1"/>
  <c r="U343" i="25"/>
  <c r="V343" i="25"/>
  <c r="W343" i="25" s="1"/>
  <c r="U344" i="25"/>
  <c r="V344" i="25"/>
  <c r="W344" i="25" s="1"/>
  <c r="U345" i="25"/>
  <c r="V345" i="25"/>
  <c r="W345" i="25" s="1"/>
  <c r="U346" i="25"/>
  <c r="V346" i="25"/>
  <c r="W346" i="25" s="1"/>
  <c r="U347" i="25"/>
  <c r="V347" i="25"/>
  <c r="W347" i="25" s="1"/>
  <c r="U348" i="25"/>
  <c r="V348" i="25"/>
  <c r="W348" i="25" s="1"/>
  <c r="U349" i="25"/>
  <c r="V349" i="25"/>
  <c r="W349" i="25" s="1"/>
  <c r="U350" i="25"/>
  <c r="V350" i="25"/>
  <c r="W350" i="25" s="1"/>
  <c r="U351" i="25"/>
  <c r="V351" i="25"/>
  <c r="W351" i="25" s="1"/>
  <c r="U352" i="25"/>
  <c r="V352" i="25"/>
  <c r="W352" i="25" s="1"/>
  <c r="U353" i="25"/>
  <c r="V353" i="25"/>
  <c r="W353" i="25" s="1"/>
  <c r="U354" i="25"/>
  <c r="V354" i="25"/>
  <c r="W354" i="25" s="1"/>
  <c r="U355" i="25"/>
  <c r="V355" i="25"/>
  <c r="W355" i="25" s="1"/>
  <c r="U356" i="25"/>
  <c r="V356" i="25"/>
  <c r="W356" i="25" s="1"/>
  <c r="U357" i="25"/>
  <c r="V357" i="25"/>
  <c r="W357" i="25" s="1"/>
  <c r="U358" i="25"/>
  <c r="V358" i="25"/>
  <c r="W358" i="25" s="1"/>
  <c r="U359" i="25"/>
  <c r="V359" i="25"/>
  <c r="W359" i="25" s="1"/>
  <c r="U360" i="25"/>
  <c r="V360" i="25"/>
  <c r="W360" i="25" s="1"/>
  <c r="U361" i="25"/>
  <c r="V361" i="25"/>
  <c r="W361" i="25" s="1"/>
  <c r="U362" i="25"/>
  <c r="V362" i="25"/>
  <c r="W362" i="25" s="1"/>
  <c r="U363" i="25"/>
  <c r="V363" i="25"/>
  <c r="W363" i="25" s="1"/>
  <c r="U364" i="25"/>
  <c r="V364" i="25"/>
  <c r="W364" i="25" s="1"/>
  <c r="U365" i="25"/>
  <c r="V365" i="25"/>
  <c r="W365" i="25" s="1"/>
  <c r="U366" i="25"/>
  <c r="V366" i="25"/>
  <c r="W366" i="25" s="1"/>
  <c r="U367" i="25"/>
  <c r="V367" i="25"/>
  <c r="W367" i="25" s="1"/>
  <c r="U368" i="25"/>
  <c r="V368" i="25"/>
  <c r="W368" i="25" s="1"/>
  <c r="U369" i="25"/>
  <c r="V369" i="25"/>
  <c r="W369" i="25" s="1"/>
  <c r="U370" i="25"/>
  <c r="V370" i="25"/>
  <c r="W370" i="25" s="1"/>
  <c r="U371" i="25"/>
  <c r="V371" i="25"/>
  <c r="W371" i="25" s="1"/>
  <c r="U372" i="25"/>
  <c r="V372" i="25"/>
  <c r="W372" i="25" s="1"/>
  <c r="U373" i="25"/>
  <c r="V373" i="25"/>
  <c r="W373" i="25" s="1"/>
  <c r="U374" i="25"/>
  <c r="V374" i="25"/>
  <c r="W374" i="25" s="1"/>
  <c r="U375" i="25"/>
  <c r="V375" i="25"/>
  <c r="W375" i="25" s="1"/>
  <c r="U376" i="25"/>
  <c r="V376" i="25"/>
  <c r="W376" i="25" s="1"/>
  <c r="U377" i="25"/>
  <c r="V377" i="25"/>
  <c r="W377" i="25" s="1"/>
  <c r="U378" i="25"/>
  <c r="V378" i="25"/>
  <c r="W378" i="25" s="1"/>
  <c r="U379" i="25"/>
  <c r="V379" i="25"/>
  <c r="W379" i="25" s="1"/>
  <c r="U380" i="25"/>
  <c r="V380" i="25"/>
  <c r="W380" i="25" s="1"/>
  <c r="U381" i="25"/>
  <c r="V381" i="25"/>
  <c r="W381" i="25" s="1"/>
  <c r="U382" i="25"/>
  <c r="V382" i="25"/>
  <c r="W382" i="25" s="1"/>
  <c r="U383" i="25"/>
  <c r="V383" i="25"/>
  <c r="W383" i="25" s="1"/>
  <c r="U384" i="25"/>
  <c r="V384" i="25"/>
  <c r="W384" i="25" s="1"/>
  <c r="U385" i="25"/>
  <c r="V385" i="25"/>
  <c r="W385" i="25" s="1"/>
  <c r="U386" i="25"/>
  <c r="V386" i="25"/>
  <c r="W386" i="25" s="1"/>
  <c r="U387" i="25"/>
  <c r="V387" i="25"/>
  <c r="W387" i="25" s="1"/>
  <c r="U388" i="25"/>
  <c r="V388" i="25"/>
  <c r="W388" i="25" s="1"/>
  <c r="U389" i="25"/>
  <c r="V389" i="25"/>
  <c r="W389" i="25" s="1"/>
  <c r="U390" i="25"/>
  <c r="V390" i="25"/>
  <c r="W390" i="25" s="1"/>
  <c r="U391" i="25"/>
  <c r="V391" i="25"/>
  <c r="W391" i="25" s="1"/>
  <c r="U392" i="25"/>
  <c r="V392" i="25"/>
  <c r="W392" i="25" s="1"/>
  <c r="U393" i="25"/>
  <c r="V393" i="25"/>
  <c r="W393" i="25" s="1"/>
  <c r="U394" i="25"/>
  <c r="V394" i="25"/>
  <c r="W394" i="25" s="1"/>
  <c r="U395" i="25"/>
  <c r="V395" i="25"/>
  <c r="W395" i="25" s="1"/>
  <c r="U396" i="25"/>
  <c r="V396" i="25"/>
  <c r="W396" i="25" s="1"/>
  <c r="U397" i="25"/>
  <c r="V397" i="25"/>
  <c r="W397" i="25" s="1"/>
  <c r="U398" i="25"/>
  <c r="V398" i="25"/>
  <c r="W398" i="25" s="1"/>
  <c r="U399" i="25"/>
  <c r="V399" i="25"/>
  <c r="W399" i="25" s="1"/>
  <c r="U400" i="25"/>
  <c r="V400" i="25"/>
  <c r="W400" i="25" s="1"/>
  <c r="U401" i="25"/>
  <c r="V401" i="25"/>
  <c r="W401" i="25" s="1"/>
  <c r="U402" i="25"/>
  <c r="V402" i="25"/>
  <c r="W402" i="25" s="1"/>
  <c r="U403" i="25"/>
  <c r="V403" i="25"/>
  <c r="W403" i="25" s="1"/>
  <c r="U404" i="25"/>
  <c r="V404" i="25"/>
  <c r="W404" i="25" s="1"/>
  <c r="U405" i="25"/>
  <c r="V405" i="25"/>
  <c r="W405" i="25" s="1"/>
  <c r="U406" i="25"/>
  <c r="V406" i="25"/>
  <c r="W406" i="25" s="1"/>
  <c r="U407" i="25"/>
  <c r="V407" i="25"/>
  <c r="W407" i="25" s="1"/>
  <c r="U408" i="25"/>
  <c r="V408" i="25"/>
  <c r="W408" i="25" s="1"/>
  <c r="U409" i="25"/>
  <c r="V409" i="25"/>
  <c r="W409" i="25" s="1"/>
  <c r="U410" i="25"/>
  <c r="V410" i="25"/>
  <c r="W410" i="25" s="1"/>
  <c r="U411" i="25"/>
  <c r="V411" i="25"/>
  <c r="W411" i="25" s="1"/>
  <c r="U412" i="25"/>
  <c r="V412" i="25"/>
  <c r="W412" i="25" s="1"/>
  <c r="U413" i="25"/>
  <c r="V413" i="25"/>
  <c r="W413" i="25" s="1"/>
  <c r="U414" i="25"/>
  <c r="V414" i="25"/>
  <c r="W414" i="25" s="1"/>
  <c r="U415" i="25"/>
  <c r="V415" i="25"/>
  <c r="W415" i="25" s="1"/>
  <c r="U416" i="25"/>
  <c r="V416" i="25"/>
  <c r="W416" i="25" s="1"/>
  <c r="U417" i="25"/>
  <c r="V417" i="25"/>
  <c r="W417" i="25" s="1"/>
  <c r="U418" i="25"/>
  <c r="V418" i="25"/>
  <c r="W418" i="25" s="1"/>
  <c r="U419" i="25"/>
  <c r="V419" i="25"/>
  <c r="W419" i="25" s="1"/>
  <c r="U420" i="25"/>
  <c r="V420" i="25"/>
  <c r="W420" i="25" s="1"/>
  <c r="U421" i="25"/>
  <c r="V421" i="25"/>
  <c r="W421" i="25" s="1"/>
  <c r="U422" i="25"/>
  <c r="V422" i="25"/>
  <c r="W422" i="25" s="1"/>
  <c r="U423" i="25"/>
  <c r="V423" i="25"/>
  <c r="W423" i="25" s="1"/>
  <c r="U424" i="25"/>
  <c r="V424" i="25"/>
  <c r="W424" i="25" s="1"/>
  <c r="U425" i="25"/>
  <c r="V425" i="25"/>
  <c r="W425" i="25" s="1"/>
  <c r="U426" i="25"/>
  <c r="V426" i="25"/>
  <c r="W426" i="25" s="1"/>
  <c r="U427" i="25"/>
  <c r="V427" i="25"/>
  <c r="W427" i="25" s="1"/>
  <c r="U428" i="25"/>
  <c r="V428" i="25"/>
  <c r="W428" i="25" s="1"/>
  <c r="U429" i="25"/>
  <c r="V429" i="25"/>
  <c r="W429" i="25" s="1"/>
  <c r="U430" i="25"/>
  <c r="V430" i="25"/>
  <c r="W430" i="25" s="1"/>
  <c r="U431" i="25"/>
  <c r="V431" i="25"/>
  <c r="W431" i="25" s="1"/>
  <c r="U432" i="25"/>
  <c r="V432" i="25"/>
  <c r="W432" i="25" s="1"/>
  <c r="U433" i="25"/>
  <c r="V433" i="25"/>
  <c r="W433" i="25" s="1"/>
  <c r="U434" i="25"/>
  <c r="V434" i="25"/>
  <c r="W434" i="25" s="1"/>
  <c r="U435" i="25"/>
  <c r="V435" i="25"/>
  <c r="W435" i="25" s="1"/>
  <c r="U436" i="25"/>
  <c r="V436" i="25"/>
  <c r="W436" i="25" s="1"/>
  <c r="U437" i="25"/>
  <c r="V437" i="25"/>
  <c r="W437" i="25" s="1"/>
  <c r="U438" i="25"/>
  <c r="V438" i="25"/>
  <c r="W438" i="25" s="1"/>
  <c r="U439" i="25"/>
  <c r="V439" i="25"/>
  <c r="W439" i="25" s="1"/>
  <c r="U440" i="25"/>
  <c r="V440" i="25"/>
  <c r="W440" i="25" s="1"/>
  <c r="U441" i="25"/>
  <c r="V441" i="25"/>
  <c r="W441" i="25" s="1"/>
  <c r="V222" i="25"/>
  <c r="U222" i="25"/>
  <c r="U3" i="25"/>
  <c r="V3" i="25"/>
  <c r="W3" i="25" s="1"/>
  <c r="U4" i="25"/>
  <c r="V4" i="25"/>
  <c r="W4" i="25" s="1"/>
  <c r="U5" i="25"/>
  <c r="V5" i="25"/>
  <c r="W5" i="25" s="1"/>
  <c r="U6" i="25"/>
  <c r="V6" i="25"/>
  <c r="U7" i="25"/>
  <c r="V7" i="25"/>
  <c r="W7" i="25" s="1"/>
  <c r="U8" i="25"/>
  <c r="V8" i="25"/>
  <c r="W8" i="25" s="1"/>
  <c r="U9" i="25"/>
  <c r="V9" i="25"/>
  <c r="W9" i="25" s="1"/>
  <c r="U10" i="25"/>
  <c r="V10" i="25"/>
  <c r="W10" i="25" s="1"/>
  <c r="U11" i="25"/>
  <c r="V11" i="25"/>
  <c r="W11" i="25" s="1"/>
  <c r="U12" i="25"/>
  <c r="V12" i="25"/>
  <c r="W12" i="25" s="1"/>
  <c r="U13" i="25"/>
  <c r="V13" i="25"/>
  <c r="W13" i="25" s="1"/>
  <c r="U14" i="25"/>
  <c r="V14" i="25"/>
  <c r="U15" i="25"/>
  <c r="V15" i="25"/>
  <c r="W15" i="25" s="1"/>
  <c r="U16" i="25"/>
  <c r="V16" i="25"/>
  <c r="W16" i="25" s="1"/>
  <c r="U17" i="25"/>
  <c r="V17" i="25"/>
  <c r="W17" i="25" s="1"/>
  <c r="U18" i="25"/>
  <c r="V18" i="25"/>
  <c r="W18" i="25" s="1"/>
  <c r="U19" i="25"/>
  <c r="V19" i="25"/>
  <c r="W19" i="25" s="1"/>
  <c r="U20" i="25"/>
  <c r="V20" i="25"/>
  <c r="W20" i="25" s="1"/>
  <c r="U21" i="25"/>
  <c r="V21" i="25"/>
  <c r="W21" i="25" s="1"/>
  <c r="U22" i="25"/>
  <c r="V22" i="25"/>
  <c r="U23" i="25"/>
  <c r="V23" i="25"/>
  <c r="W23" i="25" s="1"/>
  <c r="U24" i="25"/>
  <c r="V24" i="25"/>
  <c r="W24" i="25" s="1"/>
  <c r="U25" i="25"/>
  <c r="V25" i="25"/>
  <c r="W25" i="25" s="1"/>
  <c r="U26" i="25"/>
  <c r="V26" i="25"/>
  <c r="W26" i="25" s="1"/>
  <c r="U27" i="25"/>
  <c r="V27" i="25"/>
  <c r="W27" i="25" s="1"/>
  <c r="U28" i="25"/>
  <c r="V28" i="25"/>
  <c r="W28" i="25" s="1"/>
  <c r="U29" i="25"/>
  <c r="V29" i="25"/>
  <c r="W29" i="25" s="1"/>
  <c r="U30" i="25"/>
  <c r="V30" i="25"/>
  <c r="U31" i="25"/>
  <c r="V31" i="25"/>
  <c r="W31" i="25" s="1"/>
  <c r="U32" i="25"/>
  <c r="V32" i="25"/>
  <c r="W32" i="25" s="1"/>
  <c r="U33" i="25"/>
  <c r="V33" i="25"/>
  <c r="W33" i="25" s="1"/>
  <c r="U34" i="25"/>
  <c r="V34" i="25"/>
  <c r="W34" i="25" s="1"/>
  <c r="U35" i="25"/>
  <c r="V35" i="25"/>
  <c r="W35" i="25" s="1"/>
  <c r="U36" i="25"/>
  <c r="V36" i="25"/>
  <c r="W36" i="25" s="1"/>
  <c r="U37" i="25"/>
  <c r="V37" i="25"/>
  <c r="W37" i="25" s="1"/>
  <c r="U38" i="25"/>
  <c r="V38" i="25"/>
  <c r="U39" i="25"/>
  <c r="V39" i="25"/>
  <c r="W39" i="25" s="1"/>
  <c r="U40" i="25"/>
  <c r="V40" i="25"/>
  <c r="W40" i="25" s="1"/>
  <c r="U41" i="25"/>
  <c r="V41" i="25"/>
  <c r="W41" i="25" s="1"/>
  <c r="U42" i="25"/>
  <c r="V42" i="25"/>
  <c r="W42" i="25" s="1"/>
  <c r="U43" i="25"/>
  <c r="V43" i="25"/>
  <c r="W43" i="25" s="1"/>
  <c r="U44" i="25"/>
  <c r="V44" i="25"/>
  <c r="W44" i="25" s="1"/>
  <c r="U45" i="25"/>
  <c r="V45" i="25"/>
  <c r="W45" i="25" s="1"/>
  <c r="U46" i="25"/>
  <c r="V46" i="25"/>
  <c r="U47" i="25"/>
  <c r="V47" i="25"/>
  <c r="W47" i="25" s="1"/>
  <c r="U48" i="25"/>
  <c r="V48" i="25"/>
  <c r="W48" i="25" s="1"/>
  <c r="U49" i="25"/>
  <c r="V49" i="25"/>
  <c r="W49" i="25" s="1"/>
  <c r="U50" i="25"/>
  <c r="V50" i="25"/>
  <c r="W50" i="25" s="1"/>
  <c r="U51" i="25"/>
  <c r="V51" i="25"/>
  <c r="W51" i="25" s="1"/>
  <c r="U52" i="25"/>
  <c r="V52" i="25"/>
  <c r="W52" i="25" s="1"/>
  <c r="U53" i="25"/>
  <c r="V53" i="25"/>
  <c r="W53" i="25" s="1"/>
  <c r="U54" i="25"/>
  <c r="V54" i="25"/>
  <c r="U55" i="25"/>
  <c r="V55" i="25"/>
  <c r="W55" i="25" s="1"/>
  <c r="U56" i="25"/>
  <c r="V56" i="25"/>
  <c r="W56" i="25" s="1"/>
  <c r="U57" i="25"/>
  <c r="V57" i="25"/>
  <c r="W57" i="25" s="1"/>
  <c r="U58" i="25"/>
  <c r="V58" i="25"/>
  <c r="W58" i="25" s="1"/>
  <c r="U59" i="25"/>
  <c r="V59" i="25"/>
  <c r="W59" i="25" s="1"/>
  <c r="U60" i="25"/>
  <c r="V60" i="25"/>
  <c r="W60" i="25" s="1"/>
  <c r="U61" i="25"/>
  <c r="V61" i="25"/>
  <c r="W61" i="25" s="1"/>
  <c r="U62" i="25"/>
  <c r="V62" i="25"/>
  <c r="U63" i="25"/>
  <c r="V63" i="25"/>
  <c r="W63" i="25" s="1"/>
  <c r="U64" i="25"/>
  <c r="V64" i="25"/>
  <c r="W64" i="25" s="1"/>
  <c r="U65" i="25"/>
  <c r="V65" i="25"/>
  <c r="W65" i="25" s="1"/>
  <c r="U66" i="25"/>
  <c r="V66" i="25"/>
  <c r="W66" i="25" s="1"/>
  <c r="U67" i="25"/>
  <c r="V67" i="25"/>
  <c r="W67" i="25" s="1"/>
  <c r="U68" i="25"/>
  <c r="V68" i="25"/>
  <c r="W68" i="25" s="1"/>
  <c r="U69" i="25"/>
  <c r="V69" i="25"/>
  <c r="W69" i="25" s="1"/>
  <c r="U70" i="25"/>
  <c r="V70" i="25"/>
  <c r="U71" i="25"/>
  <c r="V71" i="25"/>
  <c r="W71" i="25" s="1"/>
  <c r="U72" i="25"/>
  <c r="V72" i="25"/>
  <c r="W72" i="25" s="1"/>
  <c r="U73" i="25"/>
  <c r="V73" i="25"/>
  <c r="W73" i="25" s="1"/>
  <c r="U74" i="25"/>
  <c r="V74" i="25"/>
  <c r="W74" i="25" s="1"/>
  <c r="U75" i="25"/>
  <c r="V75" i="25"/>
  <c r="W75" i="25" s="1"/>
  <c r="U76" i="25"/>
  <c r="V76" i="25"/>
  <c r="W76" i="25" s="1"/>
  <c r="U77" i="25"/>
  <c r="V77" i="25"/>
  <c r="W77" i="25" s="1"/>
  <c r="U78" i="25"/>
  <c r="V78" i="25"/>
  <c r="U79" i="25"/>
  <c r="V79" i="25"/>
  <c r="W79" i="25" s="1"/>
  <c r="U80" i="25"/>
  <c r="V80" i="25"/>
  <c r="W80" i="25" s="1"/>
  <c r="U81" i="25"/>
  <c r="V81" i="25"/>
  <c r="W81" i="25" s="1"/>
  <c r="U82" i="25"/>
  <c r="V82" i="25"/>
  <c r="W82" i="25" s="1"/>
  <c r="U83" i="25"/>
  <c r="V83" i="25"/>
  <c r="W83" i="25" s="1"/>
  <c r="U84" i="25"/>
  <c r="V84" i="25"/>
  <c r="W84" i="25" s="1"/>
  <c r="U85" i="25"/>
  <c r="V85" i="25"/>
  <c r="W85" i="25" s="1"/>
  <c r="U86" i="25"/>
  <c r="V86" i="25"/>
  <c r="U87" i="25"/>
  <c r="V87" i="25"/>
  <c r="W87" i="25" s="1"/>
  <c r="U88" i="25"/>
  <c r="V88" i="25"/>
  <c r="W88" i="25" s="1"/>
  <c r="U89" i="25"/>
  <c r="V89" i="25"/>
  <c r="W89" i="25" s="1"/>
  <c r="U90" i="25"/>
  <c r="V90" i="25"/>
  <c r="W90" i="25" s="1"/>
  <c r="U91" i="25"/>
  <c r="V91" i="25"/>
  <c r="W91" i="25" s="1"/>
  <c r="U92" i="25"/>
  <c r="V92" i="25"/>
  <c r="W92" i="25" s="1"/>
  <c r="U93" i="25"/>
  <c r="V93" i="25"/>
  <c r="W93" i="25" s="1"/>
  <c r="U94" i="25"/>
  <c r="V94" i="25"/>
  <c r="U95" i="25"/>
  <c r="V95" i="25"/>
  <c r="W95" i="25" s="1"/>
  <c r="U96" i="25"/>
  <c r="V96" i="25"/>
  <c r="W96" i="25" s="1"/>
  <c r="U97" i="25"/>
  <c r="V97" i="25"/>
  <c r="W97" i="25" s="1"/>
  <c r="U98" i="25"/>
  <c r="V98" i="25"/>
  <c r="W98" i="25" s="1"/>
  <c r="U99" i="25"/>
  <c r="V99" i="25"/>
  <c r="W99" i="25" s="1"/>
  <c r="U100" i="25"/>
  <c r="V100" i="25"/>
  <c r="W100" i="25" s="1"/>
  <c r="U101" i="25"/>
  <c r="V101" i="25"/>
  <c r="W101" i="25" s="1"/>
  <c r="U102" i="25"/>
  <c r="V102" i="25"/>
  <c r="U103" i="25"/>
  <c r="V103" i="25"/>
  <c r="W103" i="25" s="1"/>
  <c r="U104" i="25"/>
  <c r="V104" i="25"/>
  <c r="W104" i="25" s="1"/>
  <c r="U105" i="25"/>
  <c r="V105" i="25"/>
  <c r="W105" i="25" s="1"/>
  <c r="U106" i="25"/>
  <c r="V106" i="25"/>
  <c r="W106" i="25" s="1"/>
  <c r="U107" i="25"/>
  <c r="V107" i="25"/>
  <c r="W107" i="25" s="1"/>
  <c r="U108" i="25"/>
  <c r="V108" i="25"/>
  <c r="W108" i="25" s="1"/>
  <c r="U109" i="25"/>
  <c r="V109" i="25"/>
  <c r="W109" i="25" s="1"/>
  <c r="U110" i="25"/>
  <c r="V110" i="25"/>
  <c r="U111" i="25"/>
  <c r="V111" i="25"/>
  <c r="W111" i="25" s="1"/>
  <c r="U112" i="25"/>
  <c r="V112" i="25"/>
  <c r="W112" i="25" s="1"/>
  <c r="U113" i="25"/>
  <c r="V113" i="25"/>
  <c r="W113" i="25" s="1"/>
  <c r="U114" i="25"/>
  <c r="V114" i="25"/>
  <c r="W114" i="25" s="1"/>
  <c r="U115" i="25"/>
  <c r="V115" i="25"/>
  <c r="W115" i="25" s="1"/>
  <c r="U116" i="25"/>
  <c r="V116" i="25"/>
  <c r="W116" i="25" s="1"/>
  <c r="U117" i="25"/>
  <c r="V117" i="25"/>
  <c r="W117" i="25" s="1"/>
  <c r="U118" i="25"/>
  <c r="V118" i="25"/>
  <c r="U119" i="25"/>
  <c r="V119" i="25"/>
  <c r="W119" i="25" s="1"/>
  <c r="U120" i="25"/>
  <c r="V120" i="25"/>
  <c r="W120" i="25" s="1"/>
  <c r="U121" i="25"/>
  <c r="V121" i="25"/>
  <c r="W121" i="25" s="1"/>
  <c r="U122" i="25"/>
  <c r="V122" i="25"/>
  <c r="W122" i="25" s="1"/>
  <c r="U123" i="25"/>
  <c r="V123" i="25"/>
  <c r="W123" i="25" s="1"/>
  <c r="U124" i="25"/>
  <c r="V124" i="25"/>
  <c r="W124" i="25" s="1"/>
  <c r="U125" i="25"/>
  <c r="V125" i="25"/>
  <c r="W125" i="25" s="1"/>
  <c r="U126" i="25"/>
  <c r="V126" i="25"/>
  <c r="U127" i="25"/>
  <c r="V127" i="25"/>
  <c r="W127" i="25" s="1"/>
  <c r="U128" i="25"/>
  <c r="V128" i="25"/>
  <c r="W128" i="25" s="1"/>
  <c r="U129" i="25"/>
  <c r="V129" i="25"/>
  <c r="W129" i="25" s="1"/>
  <c r="U130" i="25"/>
  <c r="V130" i="25"/>
  <c r="W130" i="25" s="1"/>
  <c r="U131" i="25"/>
  <c r="V131" i="25"/>
  <c r="W131" i="25" s="1"/>
  <c r="U132" i="25"/>
  <c r="V132" i="25"/>
  <c r="W132" i="25" s="1"/>
  <c r="U133" i="25"/>
  <c r="V133" i="25"/>
  <c r="W133" i="25" s="1"/>
  <c r="U134" i="25"/>
  <c r="V134" i="25"/>
  <c r="U135" i="25"/>
  <c r="V135" i="25"/>
  <c r="W135" i="25" s="1"/>
  <c r="U136" i="25"/>
  <c r="V136" i="25"/>
  <c r="W136" i="25" s="1"/>
  <c r="U137" i="25"/>
  <c r="V137" i="25"/>
  <c r="W137" i="25" s="1"/>
  <c r="U138" i="25"/>
  <c r="V138" i="25"/>
  <c r="W138" i="25" s="1"/>
  <c r="U139" i="25"/>
  <c r="V139" i="25"/>
  <c r="W139" i="25" s="1"/>
  <c r="U140" i="25"/>
  <c r="V140" i="25"/>
  <c r="W140" i="25" s="1"/>
  <c r="U141" i="25"/>
  <c r="V141" i="25"/>
  <c r="W141" i="25" s="1"/>
  <c r="U142" i="25"/>
  <c r="V142" i="25"/>
  <c r="U143" i="25"/>
  <c r="V143" i="25"/>
  <c r="W143" i="25" s="1"/>
  <c r="U144" i="25"/>
  <c r="V144" i="25"/>
  <c r="W144" i="25" s="1"/>
  <c r="U145" i="25"/>
  <c r="V145" i="25"/>
  <c r="W145" i="25" s="1"/>
  <c r="U146" i="25"/>
  <c r="V146" i="25"/>
  <c r="W146" i="25" s="1"/>
  <c r="U147" i="25"/>
  <c r="V147" i="25"/>
  <c r="W147" i="25" s="1"/>
  <c r="U148" i="25"/>
  <c r="V148" i="25"/>
  <c r="W148" i="25" s="1"/>
  <c r="U149" i="25"/>
  <c r="V149" i="25"/>
  <c r="W149" i="25" s="1"/>
  <c r="U150" i="25"/>
  <c r="V150" i="25"/>
  <c r="U151" i="25"/>
  <c r="V151" i="25"/>
  <c r="W151" i="25" s="1"/>
  <c r="U152" i="25"/>
  <c r="V152" i="25"/>
  <c r="W152" i="25" s="1"/>
  <c r="U153" i="25"/>
  <c r="V153" i="25"/>
  <c r="W153" i="25" s="1"/>
  <c r="U154" i="25"/>
  <c r="V154" i="25"/>
  <c r="W154" i="25" s="1"/>
  <c r="U155" i="25"/>
  <c r="V155" i="25"/>
  <c r="W155" i="25" s="1"/>
  <c r="U156" i="25"/>
  <c r="V156" i="25"/>
  <c r="W156" i="25" s="1"/>
  <c r="U157" i="25"/>
  <c r="V157" i="25"/>
  <c r="W157" i="25" s="1"/>
  <c r="U158" i="25"/>
  <c r="V158" i="25"/>
  <c r="U159" i="25"/>
  <c r="V159" i="25"/>
  <c r="W159" i="25" s="1"/>
  <c r="U160" i="25"/>
  <c r="V160" i="25"/>
  <c r="W160" i="25" s="1"/>
  <c r="U161" i="25"/>
  <c r="V161" i="25"/>
  <c r="W161" i="25" s="1"/>
  <c r="U162" i="25"/>
  <c r="V162" i="25"/>
  <c r="W162" i="25" s="1"/>
  <c r="U163" i="25"/>
  <c r="V163" i="25"/>
  <c r="W163" i="25" s="1"/>
  <c r="U164" i="25"/>
  <c r="V164" i="25"/>
  <c r="W164" i="25" s="1"/>
  <c r="U165" i="25"/>
  <c r="V165" i="25"/>
  <c r="W165" i="25" s="1"/>
  <c r="U166" i="25"/>
  <c r="V166" i="25"/>
  <c r="U167" i="25"/>
  <c r="V167" i="25"/>
  <c r="W167" i="25" s="1"/>
  <c r="U168" i="25"/>
  <c r="V168" i="25"/>
  <c r="W168" i="25" s="1"/>
  <c r="U169" i="25"/>
  <c r="V169" i="25"/>
  <c r="W169" i="25" s="1"/>
  <c r="U170" i="25"/>
  <c r="V170" i="25"/>
  <c r="W170" i="25" s="1"/>
  <c r="U171" i="25"/>
  <c r="V171" i="25"/>
  <c r="W171" i="25" s="1"/>
  <c r="U172" i="25"/>
  <c r="V172" i="25"/>
  <c r="W172" i="25" s="1"/>
  <c r="U173" i="25"/>
  <c r="V173" i="25"/>
  <c r="W173" i="25" s="1"/>
  <c r="U174" i="25"/>
  <c r="V174" i="25"/>
  <c r="U175" i="25"/>
  <c r="V175" i="25"/>
  <c r="W175" i="25" s="1"/>
  <c r="U176" i="25"/>
  <c r="V176" i="25"/>
  <c r="W176" i="25" s="1"/>
  <c r="U177" i="25"/>
  <c r="V177" i="25"/>
  <c r="W177" i="25" s="1"/>
  <c r="U178" i="25"/>
  <c r="V178" i="25"/>
  <c r="W178" i="25" s="1"/>
  <c r="U179" i="25"/>
  <c r="V179" i="25"/>
  <c r="W179" i="25" s="1"/>
  <c r="U180" i="25"/>
  <c r="V180" i="25"/>
  <c r="W180" i="25" s="1"/>
  <c r="U181" i="25"/>
  <c r="V181" i="25"/>
  <c r="W181" i="25" s="1"/>
  <c r="U182" i="25"/>
  <c r="V182" i="25"/>
  <c r="W182" i="25" s="1"/>
  <c r="U183" i="25"/>
  <c r="V183" i="25"/>
  <c r="W183" i="25" s="1"/>
  <c r="U184" i="25"/>
  <c r="V184" i="25"/>
  <c r="W184" i="25" s="1"/>
  <c r="U185" i="25"/>
  <c r="V185" i="25"/>
  <c r="W185" i="25" s="1"/>
  <c r="U186" i="25"/>
  <c r="V186" i="25"/>
  <c r="W186" i="25" s="1"/>
  <c r="U187" i="25"/>
  <c r="V187" i="25"/>
  <c r="W187" i="25" s="1"/>
  <c r="U188" i="25"/>
  <c r="V188" i="25"/>
  <c r="W188" i="25" s="1"/>
  <c r="U189" i="25"/>
  <c r="V189" i="25"/>
  <c r="W189" i="25" s="1"/>
  <c r="U190" i="25"/>
  <c r="V190" i="25"/>
  <c r="W190" i="25" s="1"/>
  <c r="U191" i="25"/>
  <c r="V191" i="25"/>
  <c r="W191" i="25" s="1"/>
  <c r="U192" i="25"/>
  <c r="V192" i="25"/>
  <c r="W192" i="25" s="1"/>
  <c r="U193" i="25"/>
  <c r="V193" i="25"/>
  <c r="W193" i="25" s="1"/>
  <c r="U194" i="25"/>
  <c r="V194" i="25"/>
  <c r="W194" i="25" s="1"/>
  <c r="U195" i="25"/>
  <c r="V195" i="25"/>
  <c r="W195" i="25" s="1"/>
  <c r="U196" i="25"/>
  <c r="V196" i="25"/>
  <c r="W196" i="25" s="1"/>
  <c r="U197" i="25"/>
  <c r="V197" i="25"/>
  <c r="W197" i="25" s="1"/>
  <c r="U198" i="25"/>
  <c r="V198" i="25"/>
  <c r="U199" i="25"/>
  <c r="V199" i="25"/>
  <c r="W199" i="25" s="1"/>
  <c r="U200" i="25"/>
  <c r="V200" i="25"/>
  <c r="W200" i="25" s="1"/>
  <c r="U201" i="25"/>
  <c r="V201" i="25"/>
  <c r="W201" i="25" s="1"/>
  <c r="U202" i="25"/>
  <c r="V202" i="25"/>
  <c r="W202" i="25" s="1"/>
  <c r="U203" i="25"/>
  <c r="V203" i="25"/>
  <c r="W203" i="25" s="1"/>
  <c r="U204" i="25"/>
  <c r="V204" i="25"/>
  <c r="W204" i="25" s="1"/>
  <c r="U205" i="25"/>
  <c r="V205" i="25"/>
  <c r="W205" i="25" s="1"/>
  <c r="U206" i="25"/>
  <c r="V206" i="25"/>
  <c r="W206" i="25" s="1"/>
  <c r="U207" i="25"/>
  <c r="V207" i="25"/>
  <c r="W207" i="25" s="1"/>
  <c r="U208" i="25"/>
  <c r="V208" i="25"/>
  <c r="W208" i="25" s="1"/>
  <c r="U209" i="25"/>
  <c r="V209" i="25"/>
  <c r="W209" i="25" s="1"/>
  <c r="U210" i="25"/>
  <c r="V210" i="25"/>
  <c r="W210" i="25" s="1"/>
  <c r="U211" i="25"/>
  <c r="V211" i="25"/>
  <c r="W211" i="25" s="1"/>
  <c r="U212" i="25"/>
  <c r="V212" i="25"/>
  <c r="W212" i="25" s="1"/>
  <c r="U213" i="25"/>
  <c r="V213" i="25"/>
  <c r="W213" i="25" s="1"/>
  <c r="U214" i="25"/>
  <c r="V214" i="25"/>
  <c r="W214" i="25" s="1"/>
  <c r="U215" i="25"/>
  <c r="V215" i="25"/>
  <c r="W215" i="25" s="1"/>
  <c r="U216" i="25"/>
  <c r="V216" i="25"/>
  <c r="W216" i="25" s="1"/>
  <c r="U217" i="25"/>
  <c r="V217" i="25"/>
  <c r="W217" i="25" s="1"/>
  <c r="U218" i="25"/>
  <c r="V218" i="25"/>
  <c r="W218" i="25" s="1"/>
  <c r="U219" i="25"/>
  <c r="V219" i="25"/>
  <c r="W219" i="25" s="1"/>
  <c r="U220" i="25"/>
  <c r="V220" i="25"/>
  <c r="W220" i="25" s="1"/>
  <c r="U221" i="25"/>
  <c r="V221" i="25"/>
  <c r="W221" i="25" s="1"/>
  <c r="C352" i="11"/>
  <c r="F352" i="11"/>
  <c r="D537" i="11"/>
  <c r="C537" i="11"/>
  <c r="C438" i="11"/>
  <c r="C474" i="11"/>
  <c r="D583" i="11"/>
  <c r="C583" i="11"/>
  <c r="C423" i="11"/>
  <c r="O3" i="25"/>
  <c r="O4" i="25"/>
  <c r="O5" i="25"/>
  <c r="O6" i="25"/>
  <c r="O7" i="25"/>
  <c r="O8" i="25"/>
  <c r="O9" i="25"/>
  <c r="O10" i="25"/>
  <c r="O11" i="25"/>
  <c r="O12" i="25"/>
  <c r="O13" i="25"/>
  <c r="O14" i="25"/>
  <c r="O15" i="25"/>
  <c r="O16" i="25"/>
  <c r="O17" i="25"/>
  <c r="O18" i="25"/>
  <c r="O19" i="25"/>
  <c r="O20" i="25"/>
  <c r="O21" i="25"/>
  <c r="O22" i="25"/>
  <c r="O23" i="25"/>
  <c r="O24" i="25"/>
  <c r="O25" i="25"/>
  <c r="O26" i="25"/>
  <c r="O27" i="25"/>
  <c r="O28" i="25"/>
  <c r="O29" i="25"/>
  <c r="O30" i="25"/>
  <c r="O31" i="25"/>
  <c r="O32" i="25"/>
  <c r="O33" i="25"/>
  <c r="O34" i="25"/>
  <c r="O35" i="25"/>
  <c r="O36" i="25"/>
  <c r="O37" i="25"/>
  <c r="O38" i="25"/>
  <c r="O39" i="25"/>
  <c r="O40" i="25"/>
  <c r="O41" i="25"/>
  <c r="O42" i="25"/>
  <c r="O43" i="25"/>
  <c r="O44" i="25"/>
  <c r="O45" i="25"/>
  <c r="O46" i="25"/>
  <c r="O47" i="25"/>
  <c r="O48" i="25"/>
  <c r="O49" i="25"/>
  <c r="O50" i="25"/>
  <c r="O51" i="25"/>
  <c r="O52" i="25"/>
  <c r="O53" i="25"/>
  <c r="O54" i="25"/>
  <c r="O55" i="25"/>
  <c r="O56" i="25"/>
  <c r="O57" i="25"/>
  <c r="O58" i="25"/>
  <c r="O59" i="25"/>
  <c r="O60" i="25"/>
  <c r="O61" i="25"/>
  <c r="O62" i="25"/>
  <c r="O63" i="25"/>
  <c r="O64" i="25"/>
  <c r="O65" i="25"/>
  <c r="O66" i="25"/>
  <c r="O67" i="25"/>
  <c r="O68" i="25"/>
  <c r="O69" i="25"/>
  <c r="O70" i="25"/>
  <c r="O71" i="25"/>
  <c r="O72" i="25"/>
  <c r="O73" i="25"/>
  <c r="O74" i="25"/>
  <c r="O75" i="25"/>
  <c r="O76" i="25"/>
  <c r="O77" i="25"/>
  <c r="O78" i="25"/>
  <c r="O79" i="25"/>
  <c r="O80" i="25"/>
  <c r="O81" i="25"/>
  <c r="O82" i="25"/>
  <c r="O83" i="25"/>
  <c r="O84" i="25"/>
  <c r="O85" i="25"/>
  <c r="O86" i="25"/>
  <c r="O87" i="25"/>
  <c r="O88" i="25"/>
  <c r="O89" i="25"/>
  <c r="O90" i="25"/>
  <c r="O91" i="25"/>
  <c r="O92" i="25"/>
  <c r="O93" i="25"/>
  <c r="O94" i="25"/>
  <c r="O95" i="25"/>
  <c r="O96" i="25"/>
  <c r="O97" i="25"/>
  <c r="O98" i="25"/>
  <c r="O99" i="25"/>
  <c r="O100" i="25"/>
  <c r="O101" i="25"/>
  <c r="O102" i="25"/>
  <c r="O103" i="25"/>
  <c r="O104" i="25"/>
  <c r="O105" i="25"/>
  <c r="O106" i="25"/>
  <c r="O107" i="25"/>
  <c r="O108" i="25"/>
  <c r="O109" i="25"/>
  <c r="O110" i="25"/>
  <c r="O111" i="25"/>
  <c r="O112" i="25"/>
  <c r="O113" i="25"/>
  <c r="O114" i="25"/>
  <c r="O115" i="25"/>
  <c r="O116" i="25"/>
  <c r="O117" i="25"/>
  <c r="O118" i="25"/>
  <c r="O119" i="25"/>
  <c r="O120" i="25"/>
  <c r="O121" i="25"/>
  <c r="O122" i="25"/>
  <c r="O123" i="25"/>
  <c r="O124" i="25"/>
  <c r="O125" i="25"/>
  <c r="O126" i="25"/>
  <c r="O127" i="25"/>
  <c r="O128" i="25"/>
  <c r="O129" i="25"/>
  <c r="O130" i="25"/>
  <c r="O131" i="25"/>
  <c r="O132" i="25"/>
  <c r="O133" i="25"/>
  <c r="O134" i="25"/>
  <c r="O135" i="25"/>
  <c r="O136" i="25"/>
  <c r="O137" i="25"/>
  <c r="O138" i="25"/>
  <c r="O139" i="25"/>
  <c r="O140" i="25"/>
  <c r="O141" i="25"/>
  <c r="O142" i="25"/>
  <c r="O143" i="25"/>
  <c r="O144" i="25"/>
  <c r="O145" i="25"/>
  <c r="O146" i="25"/>
  <c r="O147" i="25"/>
  <c r="O148" i="25"/>
  <c r="O149" i="25"/>
  <c r="O150" i="25"/>
  <c r="O151" i="25"/>
  <c r="O152" i="25"/>
  <c r="O153" i="25"/>
  <c r="O154" i="25"/>
  <c r="O155" i="25"/>
  <c r="O156" i="25"/>
  <c r="O157" i="25"/>
  <c r="O158" i="25"/>
  <c r="O159" i="25"/>
  <c r="O160" i="25"/>
  <c r="O161" i="25"/>
  <c r="O162" i="25"/>
  <c r="O163" i="25"/>
  <c r="O164" i="25"/>
  <c r="O165" i="25"/>
  <c r="O166" i="25"/>
  <c r="O167" i="25"/>
  <c r="O168" i="25"/>
  <c r="O169" i="25"/>
  <c r="O170" i="25"/>
  <c r="O171" i="25"/>
  <c r="O172" i="25"/>
  <c r="O173" i="25"/>
  <c r="O174" i="25"/>
  <c r="O175" i="25"/>
  <c r="O176" i="25"/>
  <c r="O177" i="25"/>
  <c r="O178" i="25"/>
  <c r="O179" i="25"/>
  <c r="O180" i="25"/>
  <c r="O181" i="25"/>
  <c r="O182" i="25"/>
  <c r="O183" i="25"/>
  <c r="O184" i="25"/>
  <c r="O185" i="25"/>
  <c r="O186" i="25"/>
  <c r="O187" i="25"/>
  <c r="O188" i="25"/>
  <c r="O189" i="25"/>
  <c r="O190" i="25"/>
  <c r="O191" i="25"/>
  <c r="O192" i="25"/>
  <c r="O193" i="25"/>
  <c r="O194" i="25"/>
  <c r="O195" i="25"/>
  <c r="O196" i="25"/>
  <c r="O197" i="25"/>
  <c r="O198" i="25"/>
  <c r="O199" i="25"/>
  <c r="O200" i="25"/>
  <c r="O201" i="25"/>
  <c r="O202" i="25"/>
  <c r="O203" i="25"/>
  <c r="O204" i="25"/>
  <c r="O205" i="25"/>
  <c r="O206" i="25"/>
  <c r="O207" i="25"/>
  <c r="O208" i="25"/>
  <c r="O209" i="25"/>
  <c r="O210" i="25"/>
  <c r="O211" i="25"/>
  <c r="O212" i="25"/>
  <c r="O213" i="25"/>
  <c r="O214" i="25"/>
  <c r="O215" i="25"/>
  <c r="O216" i="25"/>
  <c r="O217" i="25"/>
  <c r="O218" i="25"/>
  <c r="O219" i="25"/>
  <c r="O220" i="25"/>
  <c r="O221" i="25"/>
  <c r="O222" i="25"/>
  <c r="O223" i="25"/>
  <c r="O224" i="25"/>
  <c r="O225" i="25"/>
  <c r="O226" i="25"/>
  <c r="O227" i="25"/>
  <c r="O228" i="25"/>
  <c r="O229" i="25"/>
  <c r="O230" i="25"/>
  <c r="O231" i="25"/>
  <c r="O232" i="25"/>
  <c r="O233" i="25"/>
  <c r="O234" i="25"/>
  <c r="O235" i="25"/>
  <c r="O236" i="25"/>
  <c r="O237" i="25"/>
  <c r="O238" i="25"/>
  <c r="O239" i="25"/>
  <c r="O240" i="25"/>
  <c r="O241" i="25"/>
  <c r="O242" i="25"/>
  <c r="O243" i="25"/>
  <c r="O244" i="25"/>
  <c r="O245" i="25"/>
  <c r="O246" i="25"/>
  <c r="O247" i="25"/>
  <c r="O248" i="25"/>
  <c r="O249" i="25"/>
  <c r="O250" i="25"/>
  <c r="O251" i="25"/>
  <c r="O252" i="25"/>
  <c r="O253" i="25"/>
  <c r="O254" i="25"/>
  <c r="O255" i="25"/>
  <c r="O256" i="25"/>
  <c r="O257" i="25"/>
  <c r="O258" i="25"/>
  <c r="O259" i="25"/>
  <c r="O260" i="25"/>
  <c r="O261" i="25"/>
  <c r="O262" i="25"/>
  <c r="O263" i="25"/>
  <c r="O264" i="25"/>
  <c r="O265" i="25"/>
  <c r="O266" i="25"/>
  <c r="O267" i="25"/>
  <c r="O268" i="25"/>
  <c r="O269" i="25"/>
  <c r="O270" i="25"/>
  <c r="O271" i="25"/>
  <c r="O272" i="25"/>
  <c r="O273" i="25"/>
  <c r="O274" i="25"/>
  <c r="O275" i="25"/>
  <c r="O276" i="25"/>
  <c r="O277" i="25"/>
  <c r="O278" i="25"/>
  <c r="O279" i="25"/>
  <c r="O280" i="25"/>
  <c r="O281" i="25"/>
  <c r="O282" i="25"/>
  <c r="O283" i="25"/>
  <c r="O284" i="25"/>
  <c r="O285" i="25"/>
  <c r="O286" i="25"/>
  <c r="O287" i="25"/>
  <c r="O288" i="25"/>
  <c r="O289" i="25"/>
  <c r="O290" i="25"/>
  <c r="O291" i="25"/>
  <c r="O292" i="25"/>
  <c r="O293" i="25"/>
  <c r="O294" i="25"/>
  <c r="O295" i="25"/>
  <c r="O296" i="25"/>
  <c r="O297" i="25"/>
  <c r="O298" i="25"/>
  <c r="O299" i="25"/>
  <c r="O300" i="25"/>
  <c r="O301" i="25"/>
  <c r="O302" i="25"/>
  <c r="O303" i="25"/>
  <c r="O304" i="25"/>
  <c r="O305" i="25"/>
  <c r="O306" i="25"/>
  <c r="O307" i="25"/>
  <c r="O308" i="25"/>
  <c r="O309" i="25"/>
  <c r="O310" i="25"/>
  <c r="O311" i="25"/>
  <c r="O312" i="25"/>
  <c r="O313" i="25"/>
  <c r="O314" i="25"/>
  <c r="O315" i="25"/>
  <c r="O316" i="25"/>
  <c r="O317" i="25"/>
  <c r="O318" i="25"/>
  <c r="O319" i="25"/>
  <c r="O320" i="25"/>
  <c r="O321" i="25"/>
  <c r="O322" i="25"/>
  <c r="O323" i="25"/>
  <c r="O324" i="25"/>
  <c r="O325" i="25"/>
  <c r="O326" i="25"/>
  <c r="O327" i="25"/>
  <c r="O328" i="25"/>
  <c r="O329" i="25"/>
  <c r="O330" i="25"/>
  <c r="O331" i="25"/>
  <c r="O332" i="25"/>
  <c r="O333" i="25"/>
  <c r="O334" i="25"/>
  <c r="O335" i="25"/>
  <c r="O336" i="25"/>
  <c r="O337" i="25"/>
  <c r="O338" i="25"/>
  <c r="O339" i="25"/>
  <c r="O340" i="25"/>
  <c r="O341" i="25"/>
  <c r="O342" i="25"/>
  <c r="O343" i="25"/>
  <c r="O344" i="25"/>
  <c r="O345" i="25"/>
  <c r="O346" i="25"/>
  <c r="O347" i="25"/>
  <c r="O348" i="25"/>
  <c r="O349" i="25"/>
  <c r="O350" i="25"/>
  <c r="O351" i="25"/>
  <c r="O352" i="25"/>
  <c r="O353" i="25"/>
  <c r="O354" i="25"/>
  <c r="O355" i="25"/>
  <c r="O356" i="25"/>
  <c r="O357" i="25"/>
  <c r="O358" i="25"/>
  <c r="O359" i="25"/>
  <c r="O360" i="25"/>
  <c r="O361" i="25"/>
  <c r="O362" i="25"/>
  <c r="O363" i="25"/>
  <c r="O364" i="25"/>
  <c r="O365" i="25"/>
  <c r="O366" i="25"/>
  <c r="O367" i="25"/>
  <c r="O368" i="25"/>
  <c r="O369" i="25"/>
  <c r="O370" i="25"/>
  <c r="O371" i="25"/>
  <c r="O372" i="25"/>
  <c r="O373" i="25"/>
  <c r="O374" i="25"/>
  <c r="O375" i="25"/>
  <c r="O376" i="25"/>
  <c r="O377" i="25"/>
  <c r="O378" i="25"/>
  <c r="O379" i="25"/>
  <c r="O380" i="25"/>
  <c r="O381" i="25"/>
  <c r="O382" i="25"/>
  <c r="O383" i="25"/>
  <c r="O384" i="25"/>
  <c r="O385" i="25"/>
  <c r="O386" i="25"/>
  <c r="O387" i="25"/>
  <c r="O388" i="25"/>
  <c r="O389" i="25"/>
  <c r="O390" i="25"/>
  <c r="O391" i="25"/>
  <c r="O392" i="25"/>
  <c r="O393" i="25"/>
  <c r="O394" i="25"/>
  <c r="O395" i="25"/>
  <c r="O396" i="25"/>
  <c r="O397" i="25"/>
  <c r="O398" i="25"/>
  <c r="O399" i="25"/>
  <c r="O400" i="25"/>
  <c r="O401" i="25"/>
  <c r="O402" i="25"/>
  <c r="O403" i="25"/>
  <c r="O404" i="25"/>
  <c r="O405" i="25"/>
  <c r="O406" i="25"/>
  <c r="O407" i="25"/>
  <c r="O408" i="25"/>
  <c r="O409" i="25"/>
  <c r="O410" i="25"/>
  <c r="O411" i="25"/>
  <c r="O412" i="25"/>
  <c r="O413" i="25"/>
  <c r="O414" i="25"/>
  <c r="O415" i="25"/>
  <c r="O416" i="25"/>
  <c r="O417" i="25"/>
  <c r="O418" i="25"/>
  <c r="O419" i="25"/>
  <c r="O420" i="25"/>
  <c r="O421" i="25"/>
  <c r="O422" i="25"/>
  <c r="O423" i="25"/>
  <c r="O424" i="25"/>
  <c r="O425" i="25"/>
  <c r="O426" i="25"/>
  <c r="O427" i="25"/>
  <c r="O428" i="25"/>
  <c r="O429" i="25"/>
  <c r="O430" i="25"/>
  <c r="O431" i="25"/>
  <c r="O432" i="25"/>
  <c r="O433" i="25"/>
  <c r="O434" i="25"/>
  <c r="O435" i="25"/>
  <c r="O436" i="25"/>
  <c r="O437" i="25"/>
  <c r="O438" i="25"/>
  <c r="O439" i="25"/>
  <c r="O440" i="25"/>
  <c r="O441" i="25"/>
  <c r="O442" i="25"/>
  <c r="O443" i="25"/>
  <c r="O444" i="25"/>
  <c r="O445" i="25"/>
  <c r="O446" i="25"/>
  <c r="O447" i="25"/>
  <c r="O448" i="25"/>
  <c r="O449" i="25"/>
  <c r="O450" i="25"/>
  <c r="O451" i="25"/>
  <c r="O452" i="25"/>
  <c r="O453" i="25"/>
  <c r="O454" i="25"/>
  <c r="O455" i="25"/>
  <c r="O456" i="25"/>
  <c r="O457" i="25"/>
  <c r="O458" i="25"/>
  <c r="O459" i="25"/>
  <c r="O460" i="25"/>
  <c r="O461" i="25"/>
  <c r="O462" i="25"/>
  <c r="O463" i="25"/>
  <c r="O464" i="25"/>
  <c r="O465" i="25"/>
  <c r="O466" i="25"/>
  <c r="O467" i="25"/>
  <c r="O468" i="25"/>
  <c r="O469" i="25"/>
  <c r="O470" i="25"/>
  <c r="O471" i="25"/>
  <c r="O472" i="25"/>
  <c r="O473" i="25"/>
  <c r="O474" i="25"/>
  <c r="O475" i="25"/>
  <c r="O476" i="25"/>
  <c r="O477" i="25"/>
  <c r="O478" i="25"/>
  <c r="O479" i="25"/>
  <c r="O480" i="25"/>
  <c r="O481" i="25"/>
  <c r="O482" i="25"/>
  <c r="O483" i="25"/>
  <c r="O484" i="25"/>
  <c r="O485" i="25"/>
  <c r="O486" i="25"/>
  <c r="O487" i="25"/>
  <c r="O488" i="25"/>
  <c r="O489" i="25"/>
  <c r="O490" i="25"/>
  <c r="O491" i="25"/>
  <c r="O492" i="25"/>
  <c r="O493" i="25"/>
  <c r="O494" i="25"/>
  <c r="O495" i="25"/>
  <c r="O496" i="25"/>
  <c r="O497" i="25"/>
  <c r="O498" i="25"/>
  <c r="O499" i="25"/>
  <c r="O500" i="25"/>
  <c r="O501" i="25"/>
  <c r="O502" i="25"/>
  <c r="O503" i="25"/>
  <c r="O504" i="25"/>
  <c r="O505" i="25"/>
  <c r="O506" i="25"/>
  <c r="O507" i="25"/>
  <c r="O508" i="25"/>
  <c r="O509" i="25"/>
  <c r="O510" i="25"/>
  <c r="O511" i="25"/>
  <c r="O512" i="25"/>
  <c r="O513" i="25"/>
  <c r="O514" i="25"/>
  <c r="O515" i="25"/>
  <c r="O516" i="25"/>
  <c r="O517" i="25"/>
  <c r="O518" i="25"/>
  <c r="O519" i="25"/>
  <c r="O520" i="25"/>
  <c r="O521" i="25"/>
  <c r="O522" i="25"/>
  <c r="O523" i="25"/>
  <c r="O524" i="25"/>
  <c r="O525" i="25"/>
  <c r="O526" i="25"/>
  <c r="O527" i="25"/>
  <c r="O528" i="25"/>
  <c r="O529" i="25"/>
  <c r="O530" i="25"/>
  <c r="O531" i="25"/>
  <c r="O532" i="25"/>
  <c r="O533" i="25"/>
  <c r="O534" i="25"/>
  <c r="O535" i="25"/>
  <c r="O536" i="25"/>
  <c r="O537" i="25"/>
  <c r="O538" i="25"/>
  <c r="O539" i="25"/>
  <c r="O540" i="25"/>
  <c r="O541" i="25"/>
  <c r="O542" i="25"/>
  <c r="O543" i="25"/>
  <c r="O544" i="25"/>
  <c r="O545" i="25"/>
  <c r="O546" i="25"/>
  <c r="O547" i="25"/>
  <c r="O548" i="25"/>
  <c r="O549" i="25"/>
  <c r="O550" i="25"/>
  <c r="O551" i="25"/>
  <c r="O552" i="25"/>
  <c r="O553" i="25"/>
  <c r="O554" i="25"/>
  <c r="O555" i="25"/>
  <c r="O556" i="25"/>
  <c r="O557" i="25"/>
  <c r="O558" i="25"/>
  <c r="O559" i="25"/>
  <c r="O560" i="25"/>
  <c r="O561" i="25"/>
  <c r="O562" i="25"/>
  <c r="O563" i="25"/>
  <c r="O564" i="25"/>
  <c r="O565" i="25"/>
  <c r="O566" i="25"/>
  <c r="O567" i="25"/>
  <c r="O568" i="25"/>
  <c r="O569" i="25"/>
  <c r="O570" i="25"/>
  <c r="O571" i="25"/>
  <c r="O572" i="25"/>
  <c r="O573" i="25"/>
  <c r="O574" i="25"/>
  <c r="O575" i="25"/>
  <c r="O576" i="25"/>
  <c r="O577" i="25"/>
  <c r="O578" i="25"/>
  <c r="O579" i="25"/>
  <c r="O580" i="25"/>
  <c r="O581" i="25"/>
  <c r="O582" i="25"/>
  <c r="O583" i="25"/>
  <c r="O584" i="25"/>
  <c r="O585" i="25"/>
  <c r="O586" i="25"/>
  <c r="O587" i="25"/>
  <c r="O588" i="25"/>
  <c r="O589" i="25"/>
  <c r="O590" i="25"/>
  <c r="O591" i="25"/>
  <c r="O592" i="25"/>
  <c r="O593" i="25"/>
  <c r="O594" i="25"/>
  <c r="O595" i="25"/>
  <c r="O596" i="25"/>
  <c r="O597" i="25"/>
  <c r="O598" i="25"/>
  <c r="O599" i="25"/>
  <c r="O600" i="25"/>
  <c r="O601" i="25"/>
  <c r="O602" i="25"/>
  <c r="O603" i="25"/>
  <c r="O604" i="25"/>
  <c r="O605" i="25"/>
  <c r="O606" i="25"/>
  <c r="O607" i="25"/>
  <c r="O608" i="25"/>
  <c r="O609" i="25"/>
  <c r="O610" i="25"/>
  <c r="O611" i="25"/>
  <c r="O612" i="25"/>
  <c r="O613" i="25"/>
  <c r="O614" i="25"/>
  <c r="O615" i="25"/>
  <c r="O616" i="25"/>
  <c r="O617" i="25"/>
  <c r="O618" i="25"/>
  <c r="O619" i="25"/>
  <c r="O620" i="25"/>
  <c r="O621" i="25"/>
  <c r="O622" i="25"/>
  <c r="O623" i="25"/>
  <c r="O624" i="25"/>
  <c r="O625" i="25"/>
  <c r="O626" i="25"/>
  <c r="O627" i="25"/>
  <c r="O628" i="25"/>
  <c r="O629" i="25"/>
  <c r="O630" i="25"/>
  <c r="O631" i="25"/>
  <c r="O632" i="25"/>
  <c r="O633" i="25"/>
  <c r="O634" i="25"/>
  <c r="O635" i="25"/>
  <c r="O636" i="25"/>
  <c r="O637" i="25"/>
  <c r="O638" i="25"/>
  <c r="O639" i="25"/>
  <c r="O640" i="25"/>
  <c r="O641" i="25"/>
  <c r="O642" i="25"/>
  <c r="O643" i="25"/>
  <c r="O644" i="25"/>
  <c r="O645" i="25"/>
  <c r="O646" i="25"/>
  <c r="O647" i="25"/>
  <c r="O648" i="25"/>
  <c r="O649" i="25"/>
  <c r="O650" i="25"/>
  <c r="O651" i="25"/>
  <c r="O652" i="25"/>
  <c r="O653" i="25"/>
  <c r="O654" i="25"/>
  <c r="O655" i="25"/>
  <c r="O656" i="25"/>
  <c r="O657" i="25"/>
  <c r="O658" i="25"/>
  <c r="O659" i="25"/>
  <c r="O660" i="25"/>
  <c r="O661" i="25"/>
  <c r="O662" i="25"/>
  <c r="O663" i="25"/>
  <c r="O664" i="25"/>
  <c r="O665" i="25"/>
  <c r="O666" i="25"/>
  <c r="O667" i="25"/>
  <c r="O668" i="25"/>
  <c r="O669" i="25"/>
  <c r="O670" i="25"/>
  <c r="O671" i="25"/>
  <c r="O672" i="25"/>
  <c r="O673" i="25"/>
  <c r="O674" i="25"/>
  <c r="O675" i="25"/>
  <c r="O676" i="25"/>
  <c r="O677" i="25"/>
  <c r="O678" i="25"/>
  <c r="O679" i="25"/>
  <c r="O680" i="25"/>
  <c r="O681" i="25"/>
  <c r="O682" i="25"/>
  <c r="O683" i="25"/>
  <c r="O684" i="25"/>
  <c r="O685" i="25"/>
  <c r="O686" i="25"/>
  <c r="O687" i="25"/>
  <c r="O688" i="25"/>
  <c r="O689" i="25"/>
  <c r="O690" i="25"/>
  <c r="O691" i="25"/>
  <c r="O692" i="25"/>
  <c r="O693" i="25"/>
  <c r="O694" i="25"/>
  <c r="O695" i="25"/>
  <c r="O696" i="25"/>
  <c r="O697" i="25"/>
  <c r="O698" i="25"/>
  <c r="O699" i="25"/>
  <c r="O700" i="25"/>
  <c r="O701" i="25"/>
  <c r="O702" i="25"/>
  <c r="O703" i="25"/>
  <c r="O704" i="25"/>
  <c r="O705" i="25"/>
  <c r="O706" i="25"/>
  <c r="O707" i="25"/>
  <c r="O708" i="25"/>
  <c r="O709" i="25"/>
  <c r="O710" i="25"/>
  <c r="O711" i="25"/>
  <c r="O712" i="25"/>
  <c r="O713" i="25"/>
  <c r="O714" i="25"/>
  <c r="O715" i="25"/>
  <c r="O716" i="25"/>
  <c r="O717" i="25"/>
  <c r="O718" i="25"/>
  <c r="O719" i="25"/>
  <c r="O720" i="25"/>
  <c r="O721" i="25"/>
  <c r="O722" i="25"/>
  <c r="O723" i="25"/>
  <c r="O724" i="25"/>
  <c r="O725" i="25"/>
  <c r="O726" i="25"/>
  <c r="O727" i="25"/>
  <c r="O728" i="25"/>
  <c r="O729" i="25"/>
  <c r="O730" i="25"/>
  <c r="O731" i="25"/>
  <c r="O732" i="25"/>
  <c r="O733" i="25"/>
  <c r="O734" i="25"/>
  <c r="O735" i="25"/>
  <c r="O736" i="25"/>
  <c r="O737" i="25"/>
  <c r="O738" i="25"/>
  <c r="O739" i="25"/>
  <c r="O740" i="25"/>
  <c r="O741" i="25"/>
  <c r="O742" i="25"/>
  <c r="O743" i="25"/>
  <c r="O744" i="25"/>
  <c r="O745" i="25"/>
  <c r="O746" i="25"/>
  <c r="O747" i="25"/>
  <c r="O748" i="25"/>
  <c r="O749" i="25"/>
  <c r="O750" i="25"/>
  <c r="O751" i="25"/>
  <c r="O752" i="25"/>
  <c r="O753" i="25"/>
  <c r="O754" i="25"/>
  <c r="O755" i="25"/>
  <c r="O756" i="25"/>
  <c r="O757" i="25"/>
  <c r="O758" i="25"/>
  <c r="O759" i="25"/>
  <c r="O760" i="25"/>
  <c r="O761" i="25"/>
  <c r="O762" i="25"/>
  <c r="O763" i="25"/>
  <c r="O764" i="25"/>
  <c r="O765" i="25"/>
  <c r="O766" i="25"/>
  <c r="O767" i="25"/>
  <c r="O768" i="25"/>
  <c r="O769" i="25"/>
  <c r="O770" i="25"/>
  <c r="O771" i="25"/>
  <c r="O772" i="25"/>
  <c r="O773" i="25"/>
  <c r="O774" i="25"/>
  <c r="O775" i="25"/>
  <c r="O776" i="25"/>
  <c r="O777" i="25"/>
  <c r="O778" i="25"/>
  <c r="O779" i="25"/>
  <c r="O780" i="25"/>
  <c r="O781" i="25"/>
  <c r="O782" i="25"/>
  <c r="O783" i="25"/>
  <c r="O784" i="25"/>
  <c r="O785" i="25"/>
  <c r="O786" i="25"/>
  <c r="O787" i="25"/>
  <c r="O788" i="25"/>
  <c r="O789" i="25"/>
  <c r="O790" i="25"/>
  <c r="O791" i="25"/>
  <c r="O792" i="25"/>
  <c r="O793" i="25"/>
  <c r="O794" i="25"/>
  <c r="O795" i="25"/>
  <c r="O796" i="25"/>
  <c r="O797" i="25"/>
  <c r="O798" i="25"/>
  <c r="O799" i="25"/>
  <c r="O800" i="25"/>
  <c r="O801" i="25"/>
  <c r="O802" i="25"/>
  <c r="O803" i="25"/>
  <c r="O804" i="25"/>
  <c r="O805" i="25"/>
  <c r="O806" i="25"/>
  <c r="O807" i="25"/>
  <c r="O808" i="25"/>
  <c r="O809" i="25"/>
  <c r="O810" i="25"/>
  <c r="O811" i="25"/>
  <c r="O812" i="25"/>
  <c r="O813" i="25"/>
  <c r="O814" i="25"/>
  <c r="O815" i="25"/>
  <c r="O816" i="25"/>
  <c r="O817" i="25"/>
  <c r="O818" i="25"/>
  <c r="O819" i="25"/>
  <c r="O820" i="25"/>
  <c r="O821" i="25"/>
  <c r="O822" i="25"/>
  <c r="O823" i="25"/>
  <c r="O824" i="25"/>
  <c r="O825" i="25"/>
  <c r="O826" i="25"/>
  <c r="O827" i="25"/>
  <c r="O828" i="25"/>
  <c r="O829" i="25"/>
  <c r="O830" i="25"/>
  <c r="O831" i="25"/>
  <c r="O832" i="25"/>
  <c r="O833" i="25"/>
  <c r="O834" i="25"/>
  <c r="O835" i="25"/>
  <c r="O836" i="25"/>
  <c r="O837" i="25"/>
  <c r="O838" i="25"/>
  <c r="O839" i="25"/>
  <c r="O840" i="25"/>
  <c r="O841" i="25"/>
  <c r="O842" i="25"/>
  <c r="O843" i="25"/>
  <c r="O844" i="25"/>
  <c r="O845" i="25"/>
  <c r="O846" i="25"/>
  <c r="O847" i="25"/>
  <c r="O848" i="25"/>
  <c r="O849" i="25"/>
  <c r="O850" i="25"/>
  <c r="O851" i="25"/>
  <c r="O852" i="25"/>
  <c r="O853" i="25"/>
  <c r="O854" i="25"/>
  <c r="O855" i="25"/>
  <c r="O856" i="25"/>
  <c r="O857" i="25"/>
  <c r="O858" i="25"/>
  <c r="O859" i="25"/>
  <c r="O860" i="25"/>
  <c r="O861" i="25"/>
  <c r="O862" i="25"/>
  <c r="O863" i="25"/>
  <c r="O864" i="25"/>
  <c r="O865" i="25"/>
  <c r="O866" i="25"/>
  <c r="O867" i="25"/>
  <c r="O868" i="25"/>
  <c r="O869" i="25"/>
  <c r="O870" i="25"/>
  <c r="O871" i="25"/>
  <c r="O872" i="25"/>
  <c r="O873" i="25"/>
  <c r="O874" i="25"/>
  <c r="O875" i="25"/>
  <c r="O876" i="25"/>
  <c r="O877" i="25"/>
  <c r="O878" i="25"/>
  <c r="O879" i="25"/>
  <c r="O880" i="25"/>
  <c r="O881" i="25"/>
  <c r="W77" i="45"/>
  <c r="W78" i="45"/>
  <c r="W79" i="45"/>
  <c r="W80" i="45"/>
  <c r="W81" i="45"/>
  <c r="W82" i="45"/>
  <c r="W83" i="45"/>
  <c r="W84" i="45"/>
  <c r="W85" i="45"/>
  <c r="W86" i="45"/>
  <c r="W87" i="45"/>
  <c r="W88" i="45"/>
  <c r="W89" i="45"/>
  <c r="W90" i="45"/>
  <c r="W91" i="45"/>
  <c r="W92" i="45"/>
  <c r="W93" i="45"/>
  <c r="W94" i="45"/>
  <c r="W95" i="45"/>
  <c r="W96" i="45"/>
  <c r="W97" i="45"/>
  <c r="W98" i="45"/>
  <c r="W99" i="45"/>
  <c r="W100" i="45"/>
  <c r="W101" i="45"/>
  <c r="W102" i="45"/>
  <c r="W103" i="45"/>
  <c r="W104" i="45"/>
  <c r="W105" i="45"/>
  <c r="W106" i="45"/>
  <c r="W107" i="45"/>
  <c r="W108" i="45"/>
  <c r="W109" i="45"/>
  <c r="W110" i="45"/>
  <c r="W111" i="45"/>
  <c r="W112" i="45"/>
  <c r="W113" i="45"/>
  <c r="W114" i="45"/>
  <c r="W115" i="45"/>
  <c r="W116" i="45"/>
  <c r="W117" i="45"/>
  <c r="W118" i="45"/>
  <c r="W119" i="45"/>
  <c r="W120" i="45"/>
  <c r="W121" i="45"/>
  <c r="W122" i="45"/>
  <c r="W123" i="45"/>
  <c r="W124" i="45"/>
  <c r="W125" i="45"/>
  <c r="W126" i="45"/>
  <c r="W127" i="45"/>
  <c r="W128" i="45"/>
  <c r="W129" i="45"/>
  <c r="W130" i="45"/>
  <c r="W131" i="45"/>
  <c r="W132" i="45"/>
  <c r="W133" i="45"/>
  <c r="W134" i="45"/>
  <c r="W135" i="45"/>
  <c r="W136" i="45"/>
  <c r="W137" i="45"/>
  <c r="W138" i="45"/>
  <c r="W139" i="45"/>
  <c r="W140" i="45"/>
  <c r="W141" i="45"/>
  <c r="W142" i="45"/>
  <c r="W143" i="45"/>
  <c r="W144" i="45"/>
  <c r="W145" i="45"/>
  <c r="W146" i="45"/>
  <c r="W147" i="45"/>
  <c r="W148" i="45"/>
  <c r="W149" i="45"/>
  <c r="W150" i="45"/>
  <c r="W151" i="45"/>
  <c r="W152" i="45"/>
  <c r="W153" i="45"/>
  <c r="W154" i="45"/>
  <c r="W155" i="45"/>
  <c r="W156" i="45"/>
  <c r="W157" i="45"/>
  <c r="W158" i="45"/>
  <c r="W159" i="45"/>
  <c r="W160" i="45"/>
  <c r="W161" i="45"/>
  <c r="W162" i="45"/>
  <c r="W163" i="45"/>
  <c r="W164" i="45"/>
  <c r="W165" i="45"/>
  <c r="W166" i="45"/>
  <c r="W167" i="45"/>
  <c r="W168" i="45"/>
  <c r="W169" i="45"/>
  <c r="W170" i="45"/>
  <c r="W171" i="45"/>
  <c r="W172" i="45"/>
  <c r="W173" i="45"/>
  <c r="W174" i="45"/>
  <c r="W175" i="45"/>
  <c r="W176" i="45"/>
  <c r="W177" i="45"/>
  <c r="W178" i="45"/>
  <c r="W179" i="45"/>
  <c r="W180" i="45"/>
  <c r="W181" i="45"/>
  <c r="W182" i="45"/>
  <c r="W183" i="45"/>
  <c r="W184" i="45"/>
  <c r="W185" i="45"/>
  <c r="W186" i="45"/>
  <c r="W187" i="45"/>
  <c r="W188" i="45"/>
  <c r="W189" i="45"/>
  <c r="W190" i="45"/>
  <c r="W191" i="45"/>
  <c r="W192" i="45"/>
  <c r="W193" i="45"/>
  <c r="W194" i="45"/>
  <c r="W195" i="45"/>
  <c r="W196" i="45"/>
  <c r="W197" i="45"/>
  <c r="W198" i="45"/>
  <c r="W199" i="45"/>
  <c r="W200" i="45"/>
  <c r="W201" i="45"/>
  <c r="W202" i="45"/>
  <c r="W203" i="45"/>
  <c r="W204" i="45"/>
  <c r="W205" i="45"/>
  <c r="W206" i="45"/>
  <c r="W207" i="45"/>
  <c r="W208" i="45"/>
  <c r="W209" i="45"/>
  <c r="W210" i="45"/>
  <c r="W211" i="45"/>
  <c r="W212" i="45"/>
  <c r="W213" i="45"/>
  <c r="W214" i="45"/>
  <c r="W215" i="45"/>
  <c r="W216" i="45"/>
  <c r="W217" i="45"/>
  <c r="W218" i="45"/>
  <c r="W219" i="45"/>
  <c r="W220" i="45"/>
  <c r="W221" i="45"/>
  <c r="W222" i="45"/>
  <c r="W223" i="45"/>
  <c r="W224" i="45"/>
  <c r="W225" i="45"/>
  <c r="W226" i="45"/>
  <c r="W227" i="45"/>
  <c r="W228" i="45"/>
  <c r="W229" i="45"/>
  <c r="W230" i="45"/>
  <c r="W231" i="45"/>
  <c r="W232" i="45"/>
  <c r="W233" i="45"/>
  <c r="W234" i="45"/>
  <c r="W235" i="45"/>
  <c r="W236" i="45"/>
  <c r="W237" i="45"/>
  <c r="W238" i="45"/>
  <c r="W239" i="45"/>
  <c r="W240" i="45"/>
  <c r="W241" i="45"/>
  <c r="W242" i="45"/>
  <c r="W243" i="45"/>
  <c r="W244" i="45"/>
  <c r="W245" i="45"/>
  <c r="W246" i="45"/>
  <c r="W247" i="45"/>
  <c r="W248" i="45"/>
  <c r="W249" i="45"/>
  <c r="W250" i="45"/>
  <c r="W251" i="45"/>
  <c r="W252" i="45"/>
  <c r="W253" i="45"/>
  <c r="W254" i="45"/>
  <c r="W255" i="45"/>
  <c r="W256" i="45"/>
  <c r="W257" i="45"/>
  <c r="W258" i="45"/>
  <c r="W259" i="45"/>
  <c r="W260" i="45"/>
  <c r="W261" i="45"/>
  <c r="W262" i="45"/>
  <c r="W263" i="45"/>
  <c r="W264" i="45"/>
  <c r="W265" i="45"/>
  <c r="W266" i="45"/>
  <c r="W267" i="45"/>
  <c r="W268" i="45"/>
  <c r="W269" i="45"/>
  <c r="W270" i="45"/>
  <c r="W271" i="45"/>
  <c r="W272" i="45"/>
  <c r="W273" i="45"/>
  <c r="W274" i="45"/>
  <c r="W275" i="45"/>
  <c r="W276" i="45"/>
  <c r="W277" i="45"/>
  <c r="W278" i="45"/>
  <c r="W279" i="45"/>
  <c r="W280" i="45"/>
  <c r="W281" i="45"/>
  <c r="W282" i="45"/>
  <c r="W283" i="45"/>
  <c r="W284" i="45"/>
  <c r="W285" i="45"/>
  <c r="W286" i="45"/>
  <c r="W287" i="45"/>
  <c r="W288" i="45"/>
  <c r="W289" i="45"/>
  <c r="W290" i="45"/>
  <c r="W291" i="45"/>
  <c r="W292" i="45"/>
  <c r="W293" i="45"/>
  <c r="W294" i="45"/>
  <c r="W295" i="45"/>
  <c r="W296" i="45"/>
  <c r="W297" i="45"/>
  <c r="W298" i="45"/>
  <c r="W299" i="45"/>
  <c r="W300" i="45"/>
  <c r="W301" i="45"/>
  <c r="W302" i="45"/>
  <c r="W303" i="45"/>
  <c r="W304" i="45"/>
  <c r="W305" i="45"/>
  <c r="W306" i="45"/>
  <c r="W307" i="45"/>
  <c r="W308" i="45"/>
  <c r="W309" i="45"/>
  <c r="W310" i="45"/>
  <c r="W311" i="45"/>
  <c r="W312" i="45"/>
  <c r="W313" i="45"/>
  <c r="W314" i="45"/>
  <c r="W315" i="45"/>
  <c r="W316" i="45"/>
  <c r="W317" i="45"/>
  <c r="W318" i="45"/>
  <c r="W319" i="45"/>
  <c r="W320" i="45"/>
  <c r="W321" i="45"/>
  <c r="W322" i="45"/>
  <c r="W323" i="45"/>
  <c r="W324" i="45"/>
  <c r="W325" i="45"/>
  <c r="W326" i="45"/>
  <c r="W327" i="45"/>
  <c r="W328" i="45"/>
  <c r="W329" i="45"/>
  <c r="W330" i="45"/>
  <c r="W331" i="45"/>
  <c r="W332" i="45"/>
  <c r="W333" i="45"/>
  <c r="W334" i="45"/>
  <c r="W335" i="45"/>
  <c r="W336" i="45"/>
  <c r="W337" i="45"/>
  <c r="W338" i="45"/>
  <c r="W339" i="45"/>
  <c r="W340" i="45"/>
  <c r="W341" i="45"/>
  <c r="W342" i="45"/>
  <c r="W343" i="45"/>
  <c r="W344" i="45"/>
  <c r="W345" i="45"/>
  <c r="W346" i="45"/>
  <c r="W347" i="45"/>
  <c r="W348" i="45"/>
  <c r="W349" i="45"/>
  <c r="W350" i="45"/>
  <c r="W351" i="45"/>
  <c r="W352" i="45"/>
  <c r="W353" i="45"/>
  <c r="W354" i="45"/>
  <c r="W355" i="45"/>
  <c r="W356" i="45"/>
  <c r="W357" i="45"/>
  <c r="W358" i="45"/>
  <c r="W359" i="45"/>
  <c r="W360" i="45"/>
  <c r="W361" i="45"/>
  <c r="W362" i="45"/>
  <c r="W363" i="45"/>
  <c r="W364" i="45"/>
  <c r="W365" i="45"/>
  <c r="W366" i="45"/>
  <c r="W367" i="45"/>
  <c r="W368" i="45"/>
  <c r="W369" i="45"/>
  <c r="W370" i="45"/>
  <c r="W371" i="45"/>
  <c r="W372" i="45"/>
  <c r="W373" i="45"/>
  <c r="W374" i="45"/>
  <c r="W375" i="45"/>
  <c r="W376" i="45"/>
  <c r="W377" i="45"/>
  <c r="W378" i="45"/>
  <c r="W379" i="45"/>
  <c r="W380" i="45"/>
  <c r="W381" i="45"/>
  <c r="W382" i="45"/>
  <c r="W383" i="45"/>
  <c r="W384" i="45"/>
  <c r="W385" i="45"/>
  <c r="W386" i="45"/>
  <c r="W387" i="45"/>
  <c r="W388" i="45"/>
  <c r="W389" i="45"/>
  <c r="W390" i="45"/>
  <c r="W391" i="45"/>
  <c r="W392" i="45"/>
  <c r="W393" i="45"/>
  <c r="W394" i="45"/>
  <c r="W395" i="45"/>
  <c r="W396" i="45"/>
  <c r="W397" i="45"/>
  <c r="W398" i="45"/>
  <c r="W399" i="45"/>
  <c r="W400" i="45"/>
  <c r="W401" i="45"/>
  <c r="W402" i="45"/>
  <c r="W403" i="45"/>
  <c r="W404" i="45"/>
  <c r="W405" i="45"/>
  <c r="W406" i="45"/>
  <c r="W407" i="45"/>
  <c r="W408" i="45"/>
  <c r="W409" i="45"/>
  <c r="W410" i="45"/>
  <c r="W411" i="45"/>
  <c r="W412" i="45"/>
  <c r="W413" i="45"/>
  <c r="W414" i="45"/>
  <c r="W415" i="45"/>
  <c r="W416" i="45"/>
  <c r="W417" i="45"/>
  <c r="W418" i="45"/>
  <c r="W419" i="45"/>
  <c r="W420" i="45"/>
  <c r="W421" i="45"/>
  <c r="W422" i="45"/>
  <c r="W423" i="45"/>
  <c r="W424" i="45"/>
  <c r="W425" i="45"/>
  <c r="W426" i="45"/>
  <c r="W427" i="45"/>
  <c r="W428" i="45"/>
  <c r="W429" i="45"/>
  <c r="W430" i="45"/>
  <c r="W431" i="45"/>
  <c r="W432" i="45"/>
  <c r="W433" i="45"/>
  <c r="W434" i="45"/>
  <c r="W435" i="45"/>
  <c r="W436" i="45"/>
  <c r="W437" i="45"/>
  <c r="W438" i="45"/>
  <c r="W439" i="45"/>
  <c r="W440" i="45"/>
  <c r="W441" i="45"/>
  <c r="W442" i="45"/>
  <c r="W443" i="45"/>
  <c r="W444" i="45"/>
  <c r="W445" i="45"/>
  <c r="W446" i="45"/>
  <c r="W447" i="45"/>
  <c r="W448" i="45"/>
  <c r="W449" i="45"/>
  <c r="W450" i="45"/>
  <c r="W451" i="45"/>
  <c r="W452" i="45"/>
  <c r="W453" i="45"/>
  <c r="W454" i="45"/>
  <c r="W455" i="45"/>
  <c r="W456" i="45"/>
  <c r="W457" i="45"/>
  <c r="W458" i="45"/>
  <c r="W459" i="45"/>
  <c r="W460" i="45"/>
  <c r="W461" i="45"/>
  <c r="W462" i="45"/>
  <c r="W463" i="45"/>
  <c r="W464" i="45"/>
  <c r="W465" i="45"/>
  <c r="W466" i="45"/>
  <c r="W467" i="45"/>
  <c r="W468" i="45"/>
  <c r="W469" i="45"/>
  <c r="W470" i="45"/>
  <c r="W471" i="45"/>
  <c r="W472" i="45"/>
  <c r="W473" i="45"/>
  <c r="W474" i="45"/>
  <c r="W475" i="45"/>
  <c r="W476" i="45"/>
  <c r="W477" i="45"/>
  <c r="W478" i="45"/>
  <c r="W479" i="45"/>
  <c r="W480" i="45"/>
  <c r="W481" i="45"/>
  <c r="W482" i="45"/>
  <c r="W483" i="45"/>
  <c r="W484" i="45"/>
  <c r="W485" i="45"/>
  <c r="W486" i="45"/>
  <c r="W487" i="45"/>
  <c r="W488" i="45"/>
  <c r="W489" i="45"/>
  <c r="W490" i="45"/>
  <c r="W491" i="45"/>
  <c r="W492" i="45"/>
  <c r="W493" i="45"/>
  <c r="W494" i="45"/>
  <c r="W495" i="45"/>
  <c r="W496" i="45"/>
  <c r="W497" i="45"/>
  <c r="W498" i="45"/>
  <c r="W499" i="45"/>
  <c r="W500" i="45"/>
  <c r="W501" i="45"/>
  <c r="W502" i="45"/>
  <c r="W503" i="45"/>
  <c r="W504" i="45"/>
  <c r="W505" i="45"/>
  <c r="W506" i="45"/>
  <c r="W507" i="45"/>
  <c r="W508" i="45"/>
  <c r="W509" i="45"/>
  <c r="W510" i="45"/>
  <c r="W511" i="45"/>
  <c r="W512" i="45"/>
  <c r="W513" i="45"/>
  <c r="W514" i="45"/>
  <c r="W515" i="45"/>
  <c r="AE515" i="45"/>
  <c r="AD515" i="45"/>
  <c r="AC515" i="45"/>
  <c r="AB515" i="45"/>
  <c r="AA515" i="45"/>
  <c r="Z515" i="45"/>
  <c r="F29" i="45"/>
  <c r="M515" i="45"/>
  <c r="O515" i="45"/>
  <c r="G515" i="45"/>
  <c r="B515" i="45"/>
  <c r="AE514" i="45"/>
  <c r="AD514" i="45"/>
  <c r="AC514" i="45"/>
  <c r="AB514" i="45"/>
  <c r="AA514" i="45"/>
  <c r="Z514" i="45"/>
  <c r="M514" i="45"/>
  <c r="O514" i="45"/>
  <c r="G514" i="45"/>
  <c r="B514" i="45"/>
  <c r="AE513" i="45"/>
  <c r="AD513" i="45"/>
  <c r="AC513" i="45"/>
  <c r="AB513" i="45"/>
  <c r="AA513" i="45"/>
  <c r="Z513" i="45"/>
  <c r="M513" i="45"/>
  <c r="O513" i="45"/>
  <c r="G513" i="45"/>
  <c r="B513" i="45"/>
  <c r="AE512" i="45"/>
  <c r="AD512" i="45"/>
  <c r="AC512" i="45"/>
  <c r="AB512" i="45"/>
  <c r="AA512" i="45"/>
  <c r="Z512" i="45"/>
  <c r="M512" i="45"/>
  <c r="O512" i="45"/>
  <c r="G512" i="45"/>
  <c r="B512" i="45"/>
  <c r="AE511" i="45"/>
  <c r="AD511" i="45"/>
  <c r="AC511" i="45"/>
  <c r="AB511" i="45"/>
  <c r="AA511" i="45"/>
  <c r="Z511" i="45"/>
  <c r="M511" i="45"/>
  <c r="O511" i="45"/>
  <c r="G511" i="45"/>
  <c r="B511" i="45"/>
  <c r="AE510" i="45"/>
  <c r="AD510" i="45"/>
  <c r="AC510" i="45"/>
  <c r="AB510" i="45"/>
  <c r="AA510" i="45"/>
  <c r="Z510" i="45"/>
  <c r="M510" i="45"/>
  <c r="O510" i="45"/>
  <c r="G510" i="45"/>
  <c r="B510" i="45"/>
  <c r="AE509" i="45"/>
  <c r="AD509" i="45"/>
  <c r="AC509" i="45"/>
  <c r="AB509" i="45"/>
  <c r="AA509" i="45"/>
  <c r="Z509" i="45"/>
  <c r="M509" i="45"/>
  <c r="O509" i="45"/>
  <c r="G509" i="45"/>
  <c r="B509" i="45"/>
  <c r="AE508" i="45"/>
  <c r="AD508" i="45"/>
  <c r="AC508" i="45"/>
  <c r="AB508" i="45"/>
  <c r="AA508" i="45"/>
  <c r="Z508" i="45"/>
  <c r="M508" i="45"/>
  <c r="O508" i="45"/>
  <c r="G508" i="45"/>
  <c r="B508" i="45"/>
  <c r="AE507" i="45"/>
  <c r="AD507" i="45"/>
  <c r="AC507" i="45"/>
  <c r="AB507" i="45"/>
  <c r="AA507" i="45"/>
  <c r="Z507" i="45"/>
  <c r="M507" i="45"/>
  <c r="O507" i="45"/>
  <c r="G507" i="45"/>
  <c r="B507" i="45"/>
  <c r="AE506" i="45"/>
  <c r="AD506" i="45"/>
  <c r="AC506" i="45"/>
  <c r="AB506" i="45"/>
  <c r="AA506" i="45"/>
  <c r="Z506" i="45"/>
  <c r="M506" i="45"/>
  <c r="O506" i="45"/>
  <c r="G506" i="45"/>
  <c r="B506" i="45"/>
  <c r="AE505" i="45"/>
  <c r="AD505" i="45"/>
  <c r="AC505" i="45"/>
  <c r="AB505" i="45"/>
  <c r="AA505" i="45"/>
  <c r="Z505" i="45"/>
  <c r="M505" i="45"/>
  <c r="O505" i="45"/>
  <c r="G505" i="45"/>
  <c r="B505" i="45"/>
  <c r="AE504" i="45"/>
  <c r="AD504" i="45"/>
  <c r="AC504" i="45"/>
  <c r="AB504" i="45"/>
  <c r="AA504" i="45"/>
  <c r="Z504" i="45"/>
  <c r="M504" i="45"/>
  <c r="O504" i="45"/>
  <c r="G504" i="45"/>
  <c r="B504" i="45"/>
  <c r="AE503" i="45"/>
  <c r="AD503" i="45"/>
  <c r="AC503" i="45"/>
  <c r="AB503" i="45"/>
  <c r="AA503" i="45"/>
  <c r="Z503" i="45"/>
  <c r="M503" i="45"/>
  <c r="O503" i="45"/>
  <c r="G503" i="45"/>
  <c r="B503" i="45"/>
  <c r="AE502" i="45"/>
  <c r="AD502" i="45"/>
  <c r="AC502" i="45"/>
  <c r="AB502" i="45"/>
  <c r="AA502" i="45"/>
  <c r="Z502" i="45"/>
  <c r="M502" i="45"/>
  <c r="O502" i="45"/>
  <c r="G502" i="45"/>
  <c r="B502" i="45"/>
  <c r="AE501" i="45"/>
  <c r="AD501" i="45"/>
  <c r="AC501" i="45"/>
  <c r="AB501" i="45"/>
  <c r="AA501" i="45"/>
  <c r="Z501" i="45"/>
  <c r="M501" i="45"/>
  <c r="O501" i="45"/>
  <c r="G501" i="45"/>
  <c r="B501" i="45"/>
  <c r="AE500" i="45"/>
  <c r="AD500" i="45"/>
  <c r="AC500" i="45"/>
  <c r="AB500" i="45"/>
  <c r="AA500" i="45"/>
  <c r="Z500" i="45"/>
  <c r="M500" i="45"/>
  <c r="O500" i="45"/>
  <c r="G500" i="45"/>
  <c r="B500" i="45"/>
  <c r="AE499" i="45"/>
  <c r="AD499" i="45"/>
  <c r="AC499" i="45"/>
  <c r="AB499" i="45"/>
  <c r="AA499" i="45"/>
  <c r="Z499" i="45"/>
  <c r="M499" i="45"/>
  <c r="O499" i="45"/>
  <c r="G499" i="45"/>
  <c r="B499" i="45"/>
  <c r="AE498" i="45"/>
  <c r="AD498" i="45"/>
  <c r="AC498" i="45"/>
  <c r="AB498" i="45"/>
  <c r="AA498" i="45"/>
  <c r="Z498" i="45"/>
  <c r="M498" i="45"/>
  <c r="O498" i="45"/>
  <c r="G498" i="45"/>
  <c r="B498" i="45"/>
  <c r="AE497" i="45"/>
  <c r="AD497" i="45"/>
  <c r="AC497" i="45"/>
  <c r="AB497" i="45"/>
  <c r="AA497" i="45"/>
  <c r="Z497" i="45"/>
  <c r="M497" i="45"/>
  <c r="O497" i="45"/>
  <c r="G497" i="45"/>
  <c r="B497" i="45"/>
  <c r="AE496" i="45"/>
  <c r="AD496" i="45"/>
  <c r="AC496" i="45"/>
  <c r="AB496" i="45"/>
  <c r="AA496" i="45"/>
  <c r="Z496" i="45"/>
  <c r="M496" i="45"/>
  <c r="O496" i="45"/>
  <c r="G496" i="45"/>
  <c r="B496" i="45"/>
  <c r="AE495" i="45"/>
  <c r="AD495" i="45"/>
  <c r="AC495" i="45"/>
  <c r="AB495" i="45"/>
  <c r="AA495" i="45"/>
  <c r="Z495" i="45"/>
  <c r="M495" i="45"/>
  <c r="O495" i="45"/>
  <c r="G495" i="45"/>
  <c r="B495" i="45"/>
  <c r="AE494" i="45"/>
  <c r="AD494" i="45"/>
  <c r="AC494" i="45"/>
  <c r="AB494" i="45"/>
  <c r="AA494" i="45"/>
  <c r="Z494" i="45"/>
  <c r="M494" i="45"/>
  <c r="O494" i="45"/>
  <c r="G494" i="45"/>
  <c r="B494" i="45"/>
  <c r="AE493" i="45"/>
  <c r="AD493" i="45"/>
  <c r="AC493" i="45"/>
  <c r="AB493" i="45"/>
  <c r="AA493" i="45"/>
  <c r="Z493" i="45"/>
  <c r="M493" i="45"/>
  <c r="O493" i="45"/>
  <c r="G493" i="45"/>
  <c r="B493" i="45"/>
  <c r="AE492" i="45"/>
  <c r="AD492" i="45"/>
  <c r="AC492" i="45"/>
  <c r="AB492" i="45"/>
  <c r="AA492" i="45"/>
  <c r="Z492" i="45"/>
  <c r="M492" i="45"/>
  <c r="O492" i="45"/>
  <c r="G492" i="45"/>
  <c r="B492" i="45"/>
  <c r="AE491" i="45"/>
  <c r="AD491" i="45"/>
  <c r="AC491" i="45"/>
  <c r="AB491" i="45"/>
  <c r="AA491" i="45"/>
  <c r="Z491" i="45"/>
  <c r="M491" i="45"/>
  <c r="O491" i="45"/>
  <c r="G491" i="45"/>
  <c r="B491" i="45"/>
  <c r="AE490" i="45"/>
  <c r="AD490" i="45"/>
  <c r="AC490" i="45"/>
  <c r="AB490" i="45"/>
  <c r="AA490" i="45"/>
  <c r="Z490" i="45"/>
  <c r="M490" i="45"/>
  <c r="O490" i="45"/>
  <c r="G490" i="45"/>
  <c r="B490" i="45"/>
  <c r="AE489" i="45"/>
  <c r="AD489" i="45"/>
  <c r="AC489" i="45"/>
  <c r="AB489" i="45"/>
  <c r="AA489" i="45"/>
  <c r="Z489" i="45"/>
  <c r="M489" i="45"/>
  <c r="O489" i="45"/>
  <c r="G489" i="45"/>
  <c r="B489" i="45"/>
  <c r="AE488" i="45"/>
  <c r="AD488" i="45"/>
  <c r="AC488" i="45"/>
  <c r="AB488" i="45"/>
  <c r="AA488" i="45"/>
  <c r="Z488" i="45"/>
  <c r="M488" i="45"/>
  <c r="O488" i="45"/>
  <c r="G488" i="45"/>
  <c r="B488" i="45"/>
  <c r="AE487" i="45"/>
  <c r="AD487" i="45"/>
  <c r="AC487" i="45"/>
  <c r="AB487" i="45"/>
  <c r="AA487" i="45"/>
  <c r="Z487" i="45"/>
  <c r="M487" i="45"/>
  <c r="O487" i="45"/>
  <c r="G487" i="45"/>
  <c r="B487" i="45"/>
  <c r="AE486" i="45"/>
  <c r="AD486" i="45"/>
  <c r="AC486" i="45"/>
  <c r="AB486" i="45"/>
  <c r="AA486" i="45"/>
  <c r="Z486" i="45"/>
  <c r="M486" i="45"/>
  <c r="O486" i="45"/>
  <c r="G486" i="45"/>
  <c r="B486" i="45"/>
  <c r="AE485" i="45"/>
  <c r="AD485" i="45"/>
  <c r="AC485" i="45"/>
  <c r="AB485" i="45"/>
  <c r="AA485" i="45"/>
  <c r="Z485" i="45"/>
  <c r="M485" i="45"/>
  <c r="O485" i="45"/>
  <c r="G485" i="45"/>
  <c r="B485" i="45"/>
  <c r="AE484" i="45"/>
  <c r="AD484" i="45"/>
  <c r="AC484" i="45"/>
  <c r="AB484" i="45"/>
  <c r="AA484" i="45"/>
  <c r="Z484" i="45"/>
  <c r="M484" i="45"/>
  <c r="O484" i="45"/>
  <c r="G484" i="45"/>
  <c r="B484" i="45"/>
  <c r="AE483" i="45"/>
  <c r="AD483" i="45"/>
  <c r="AC483" i="45"/>
  <c r="AB483" i="45"/>
  <c r="AA483" i="45"/>
  <c r="Z483" i="45"/>
  <c r="M483" i="45"/>
  <c r="O483" i="45"/>
  <c r="G483" i="45"/>
  <c r="B483" i="45"/>
  <c r="AE482" i="45"/>
  <c r="AD482" i="45"/>
  <c r="AC482" i="45"/>
  <c r="AB482" i="45"/>
  <c r="AA482" i="45"/>
  <c r="Z482" i="45"/>
  <c r="M482" i="45"/>
  <c r="O482" i="45"/>
  <c r="G482" i="45"/>
  <c r="B482" i="45"/>
  <c r="AE481" i="45"/>
  <c r="AD481" i="45"/>
  <c r="AC481" i="45"/>
  <c r="AB481" i="45"/>
  <c r="AA481" i="45"/>
  <c r="Z481" i="45"/>
  <c r="M481" i="45"/>
  <c r="O481" i="45"/>
  <c r="G481" i="45"/>
  <c r="B481" i="45"/>
  <c r="AE480" i="45"/>
  <c r="AD480" i="45"/>
  <c r="AC480" i="45"/>
  <c r="AB480" i="45"/>
  <c r="AA480" i="45"/>
  <c r="Z480" i="45"/>
  <c r="M480" i="45"/>
  <c r="O480" i="45"/>
  <c r="G480" i="45"/>
  <c r="B480" i="45"/>
  <c r="AE479" i="45"/>
  <c r="AD479" i="45"/>
  <c r="AC479" i="45"/>
  <c r="AB479" i="45"/>
  <c r="AA479" i="45"/>
  <c r="Z479" i="45"/>
  <c r="M479" i="45"/>
  <c r="O479" i="45"/>
  <c r="G479" i="45"/>
  <c r="B479" i="45"/>
  <c r="AE478" i="45"/>
  <c r="AD478" i="45"/>
  <c r="AC478" i="45"/>
  <c r="AB478" i="45"/>
  <c r="AA478" i="45"/>
  <c r="Z478" i="45"/>
  <c r="M478" i="45"/>
  <c r="O478" i="45"/>
  <c r="G478" i="45"/>
  <c r="B478" i="45"/>
  <c r="AE477" i="45"/>
  <c r="AD477" i="45"/>
  <c r="AC477" i="45"/>
  <c r="AB477" i="45"/>
  <c r="AA477" i="45"/>
  <c r="Z477" i="45"/>
  <c r="M477" i="45"/>
  <c r="O477" i="45"/>
  <c r="G477" i="45"/>
  <c r="B477" i="45"/>
  <c r="AE476" i="45"/>
  <c r="AD476" i="45"/>
  <c r="AC476" i="45"/>
  <c r="AB476" i="45"/>
  <c r="AA476" i="45"/>
  <c r="Z476" i="45"/>
  <c r="M476" i="45"/>
  <c r="O476" i="45"/>
  <c r="G476" i="45"/>
  <c r="B476" i="45"/>
  <c r="AE475" i="45"/>
  <c r="AD475" i="45"/>
  <c r="AC475" i="45"/>
  <c r="AB475" i="45"/>
  <c r="AA475" i="45"/>
  <c r="Z475" i="45"/>
  <c r="M475" i="45"/>
  <c r="O475" i="45"/>
  <c r="G475" i="45"/>
  <c r="B475" i="45"/>
  <c r="AE474" i="45"/>
  <c r="AD474" i="45"/>
  <c r="AC474" i="45"/>
  <c r="AB474" i="45"/>
  <c r="AA474" i="45"/>
  <c r="Z474" i="45"/>
  <c r="M474" i="45"/>
  <c r="O474" i="45"/>
  <c r="G474" i="45"/>
  <c r="B474" i="45"/>
  <c r="AE473" i="45"/>
  <c r="AD473" i="45"/>
  <c r="AC473" i="45"/>
  <c r="AB473" i="45"/>
  <c r="AA473" i="45"/>
  <c r="Z473" i="45"/>
  <c r="M473" i="45"/>
  <c r="O473" i="45"/>
  <c r="G473" i="45"/>
  <c r="B473" i="45"/>
  <c r="AE472" i="45"/>
  <c r="AD472" i="45"/>
  <c r="AC472" i="45"/>
  <c r="AB472" i="45"/>
  <c r="AA472" i="45"/>
  <c r="Z472" i="45"/>
  <c r="M472" i="45"/>
  <c r="O472" i="45"/>
  <c r="G472" i="45"/>
  <c r="B472" i="45"/>
  <c r="AE471" i="45"/>
  <c r="AD471" i="45"/>
  <c r="AC471" i="45"/>
  <c r="AB471" i="45"/>
  <c r="AA471" i="45"/>
  <c r="Z471" i="45"/>
  <c r="M471" i="45"/>
  <c r="O471" i="45"/>
  <c r="G471" i="45"/>
  <c r="B471" i="45"/>
  <c r="AE470" i="45"/>
  <c r="AD470" i="45"/>
  <c r="AC470" i="45"/>
  <c r="AB470" i="45"/>
  <c r="AA470" i="45"/>
  <c r="Z470" i="45"/>
  <c r="M470" i="45"/>
  <c r="O470" i="45"/>
  <c r="G470" i="45"/>
  <c r="B470" i="45"/>
  <c r="AE469" i="45"/>
  <c r="AD469" i="45"/>
  <c r="AC469" i="45"/>
  <c r="AB469" i="45"/>
  <c r="AA469" i="45"/>
  <c r="Z469" i="45"/>
  <c r="M469" i="45"/>
  <c r="O469" i="45"/>
  <c r="G469" i="45"/>
  <c r="B469" i="45"/>
  <c r="AE468" i="45"/>
  <c r="AD468" i="45"/>
  <c r="AC468" i="45"/>
  <c r="AB468" i="45"/>
  <c r="AA468" i="45"/>
  <c r="Z468" i="45"/>
  <c r="M468" i="45"/>
  <c r="O468" i="45"/>
  <c r="G468" i="45"/>
  <c r="B468" i="45"/>
  <c r="AE467" i="45"/>
  <c r="AD467" i="45"/>
  <c r="AC467" i="45"/>
  <c r="AB467" i="45"/>
  <c r="AA467" i="45"/>
  <c r="Z467" i="45"/>
  <c r="M467" i="45"/>
  <c r="O467" i="45"/>
  <c r="G467" i="45"/>
  <c r="B467" i="45"/>
  <c r="AE466" i="45"/>
  <c r="AD466" i="45"/>
  <c r="AC466" i="45"/>
  <c r="AB466" i="45"/>
  <c r="AA466" i="45"/>
  <c r="Z466" i="45"/>
  <c r="M466" i="45"/>
  <c r="O466" i="45"/>
  <c r="G466" i="45"/>
  <c r="B466" i="45"/>
  <c r="AE465" i="45"/>
  <c r="AD465" i="45"/>
  <c r="AC465" i="45"/>
  <c r="AB465" i="45"/>
  <c r="AA465" i="45"/>
  <c r="Z465" i="45"/>
  <c r="M465" i="45"/>
  <c r="O465" i="45"/>
  <c r="G465" i="45"/>
  <c r="B465" i="45"/>
  <c r="AE464" i="45"/>
  <c r="AD464" i="45"/>
  <c r="AC464" i="45"/>
  <c r="AB464" i="45"/>
  <c r="AA464" i="45"/>
  <c r="Z464" i="45"/>
  <c r="M464" i="45"/>
  <c r="O464" i="45"/>
  <c r="G464" i="45"/>
  <c r="B464" i="45"/>
  <c r="AE463" i="45"/>
  <c r="AD463" i="45"/>
  <c r="AC463" i="45"/>
  <c r="AB463" i="45"/>
  <c r="AA463" i="45"/>
  <c r="Z463" i="45"/>
  <c r="M463" i="45"/>
  <c r="O463" i="45"/>
  <c r="G463" i="45"/>
  <c r="B463" i="45"/>
  <c r="AE462" i="45"/>
  <c r="AD462" i="45"/>
  <c r="AC462" i="45"/>
  <c r="AB462" i="45"/>
  <c r="AA462" i="45"/>
  <c r="Z462" i="45"/>
  <c r="M462" i="45"/>
  <c r="O462" i="45"/>
  <c r="G462" i="45"/>
  <c r="B462" i="45"/>
  <c r="AE461" i="45"/>
  <c r="AD461" i="45"/>
  <c r="AC461" i="45"/>
  <c r="AB461" i="45"/>
  <c r="AA461" i="45"/>
  <c r="Z461" i="45"/>
  <c r="M461" i="45"/>
  <c r="O461" i="45"/>
  <c r="G461" i="45"/>
  <c r="B461" i="45"/>
  <c r="AE460" i="45"/>
  <c r="AD460" i="45"/>
  <c r="AC460" i="45"/>
  <c r="AB460" i="45"/>
  <c r="AA460" i="45"/>
  <c r="Z460" i="45"/>
  <c r="M460" i="45"/>
  <c r="O460" i="45"/>
  <c r="G460" i="45"/>
  <c r="B460" i="45"/>
  <c r="AE459" i="45"/>
  <c r="AD459" i="45"/>
  <c r="AC459" i="45"/>
  <c r="AB459" i="45"/>
  <c r="AA459" i="45"/>
  <c r="Z459" i="45"/>
  <c r="M459" i="45"/>
  <c r="O459" i="45"/>
  <c r="G459" i="45"/>
  <c r="B459" i="45"/>
  <c r="AE458" i="45"/>
  <c r="AD458" i="45"/>
  <c r="AC458" i="45"/>
  <c r="AB458" i="45"/>
  <c r="AA458" i="45"/>
  <c r="Z458" i="45"/>
  <c r="M458" i="45"/>
  <c r="O458" i="45"/>
  <c r="G458" i="45"/>
  <c r="B458" i="45"/>
  <c r="AE457" i="45"/>
  <c r="AD457" i="45"/>
  <c r="AC457" i="45"/>
  <c r="AB457" i="45"/>
  <c r="AA457" i="45"/>
  <c r="Z457" i="45"/>
  <c r="M457" i="45"/>
  <c r="O457" i="45"/>
  <c r="G457" i="45"/>
  <c r="B457" i="45"/>
  <c r="AE456" i="45"/>
  <c r="AD456" i="45"/>
  <c r="AC456" i="45"/>
  <c r="AB456" i="45"/>
  <c r="AA456" i="45"/>
  <c r="Z456" i="45"/>
  <c r="M456" i="45"/>
  <c r="O456" i="45"/>
  <c r="G456" i="45"/>
  <c r="B456" i="45"/>
  <c r="AE455" i="45"/>
  <c r="AD455" i="45"/>
  <c r="AC455" i="45"/>
  <c r="AB455" i="45"/>
  <c r="AA455" i="45"/>
  <c r="Z455" i="45"/>
  <c r="M455" i="45"/>
  <c r="O455" i="45"/>
  <c r="G455" i="45"/>
  <c r="B455" i="45"/>
  <c r="AE454" i="45"/>
  <c r="AD454" i="45"/>
  <c r="AC454" i="45"/>
  <c r="AB454" i="45"/>
  <c r="AA454" i="45"/>
  <c r="Z454" i="45"/>
  <c r="M454" i="45"/>
  <c r="O454" i="45"/>
  <c r="G454" i="45"/>
  <c r="B454" i="45"/>
  <c r="AE453" i="45"/>
  <c r="AD453" i="45"/>
  <c r="AC453" i="45"/>
  <c r="AB453" i="45"/>
  <c r="AA453" i="45"/>
  <c r="Z453" i="45"/>
  <c r="M453" i="45"/>
  <c r="O453" i="45"/>
  <c r="G453" i="45"/>
  <c r="B453" i="45"/>
  <c r="AE452" i="45"/>
  <c r="AD452" i="45"/>
  <c r="AC452" i="45"/>
  <c r="AB452" i="45"/>
  <c r="AA452" i="45"/>
  <c r="Z452" i="45"/>
  <c r="M452" i="45"/>
  <c r="O452" i="45"/>
  <c r="G452" i="45"/>
  <c r="B452" i="45"/>
  <c r="AE451" i="45"/>
  <c r="AD451" i="45"/>
  <c r="AC451" i="45"/>
  <c r="AB451" i="45"/>
  <c r="AA451" i="45"/>
  <c r="Z451" i="45"/>
  <c r="M451" i="45"/>
  <c r="O451" i="45"/>
  <c r="G451" i="45"/>
  <c r="B451" i="45"/>
  <c r="AE450" i="45"/>
  <c r="AD450" i="45"/>
  <c r="AC450" i="45"/>
  <c r="AB450" i="45"/>
  <c r="AA450" i="45"/>
  <c r="Z450" i="45"/>
  <c r="M450" i="45"/>
  <c r="O450" i="45"/>
  <c r="G450" i="45"/>
  <c r="B450" i="45"/>
  <c r="AE449" i="45"/>
  <c r="AD449" i="45"/>
  <c r="AC449" i="45"/>
  <c r="AB449" i="45"/>
  <c r="AA449" i="45"/>
  <c r="Z449" i="45"/>
  <c r="M449" i="45"/>
  <c r="O449" i="45"/>
  <c r="G449" i="45"/>
  <c r="B449" i="45"/>
  <c r="AE448" i="45"/>
  <c r="AD448" i="45"/>
  <c r="AC448" i="45"/>
  <c r="AB448" i="45"/>
  <c r="AA448" i="45"/>
  <c r="Z448" i="45"/>
  <c r="M448" i="45"/>
  <c r="O448" i="45"/>
  <c r="G448" i="45"/>
  <c r="B448" i="45"/>
  <c r="AE447" i="45"/>
  <c r="AD447" i="45"/>
  <c r="AC447" i="45"/>
  <c r="AB447" i="45"/>
  <c r="AA447" i="45"/>
  <c r="Z447" i="45"/>
  <c r="M447" i="45"/>
  <c r="O447" i="45"/>
  <c r="G447" i="45"/>
  <c r="B447" i="45"/>
  <c r="AE446" i="45"/>
  <c r="AD446" i="45"/>
  <c r="AC446" i="45"/>
  <c r="AB446" i="45"/>
  <c r="AA446" i="45"/>
  <c r="Z446" i="45"/>
  <c r="M446" i="45"/>
  <c r="O446" i="45"/>
  <c r="G446" i="45"/>
  <c r="B446" i="45"/>
  <c r="AE445" i="45"/>
  <c r="AD445" i="45"/>
  <c r="AC445" i="45"/>
  <c r="AB445" i="45"/>
  <c r="AA445" i="45"/>
  <c r="Z445" i="45"/>
  <c r="M445" i="45"/>
  <c r="O445" i="45"/>
  <c r="G445" i="45"/>
  <c r="B445" i="45"/>
  <c r="AE444" i="45"/>
  <c r="AD444" i="45"/>
  <c r="AC444" i="45"/>
  <c r="AB444" i="45"/>
  <c r="AA444" i="45"/>
  <c r="Z444" i="45"/>
  <c r="M444" i="45"/>
  <c r="O444" i="45"/>
  <c r="G444" i="45"/>
  <c r="B444" i="45"/>
  <c r="AE443" i="45"/>
  <c r="AD443" i="45"/>
  <c r="AC443" i="45"/>
  <c r="AB443" i="45"/>
  <c r="AA443" i="45"/>
  <c r="Z443" i="45"/>
  <c r="M443" i="45"/>
  <c r="O443" i="45"/>
  <c r="G443" i="45"/>
  <c r="B443" i="45"/>
  <c r="AE442" i="45"/>
  <c r="AD442" i="45"/>
  <c r="AC442" i="45"/>
  <c r="AB442" i="45"/>
  <c r="AA442" i="45"/>
  <c r="Z442" i="45"/>
  <c r="M442" i="45"/>
  <c r="O442" i="45"/>
  <c r="G442" i="45"/>
  <c r="B442" i="45"/>
  <c r="AE441" i="45"/>
  <c r="AD441" i="45"/>
  <c r="AC441" i="45"/>
  <c r="AB441" i="45"/>
  <c r="AA441" i="45"/>
  <c r="Z441" i="45"/>
  <c r="M441" i="45"/>
  <c r="O441" i="45"/>
  <c r="G441" i="45"/>
  <c r="B441" i="45"/>
  <c r="AE440" i="45"/>
  <c r="AD440" i="45"/>
  <c r="AC440" i="45"/>
  <c r="AB440" i="45"/>
  <c r="AA440" i="45"/>
  <c r="Z440" i="45"/>
  <c r="M440" i="45"/>
  <c r="O440" i="45"/>
  <c r="G440" i="45"/>
  <c r="B440" i="45"/>
  <c r="AE439" i="45"/>
  <c r="AD439" i="45"/>
  <c r="AC439" i="45"/>
  <c r="AB439" i="45"/>
  <c r="AA439" i="45"/>
  <c r="Z439" i="45"/>
  <c r="M439" i="45"/>
  <c r="O439" i="45"/>
  <c r="G439" i="45"/>
  <c r="B439" i="45"/>
  <c r="AE438" i="45"/>
  <c r="AD438" i="45"/>
  <c r="AC438" i="45"/>
  <c r="AB438" i="45"/>
  <c r="AA438" i="45"/>
  <c r="Z438" i="45"/>
  <c r="M438" i="45"/>
  <c r="O438" i="45"/>
  <c r="G438" i="45"/>
  <c r="B438" i="45"/>
  <c r="AE437" i="45"/>
  <c r="AD437" i="45"/>
  <c r="AC437" i="45"/>
  <c r="AB437" i="45"/>
  <c r="AA437" i="45"/>
  <c r="Z437" i="45"/>
  <c r="M437" i="45"/>
  <c r="O437" i="45"/>
  <c r="G437" i="45"/>
  <c r="B437" i="45"/>
  <c r="AE436" i="45"/>
  <c r="AD436" i="45"/>
  <c r="AC436" i="45"/>
  <c r="AB436" i="45"/>
  <c r="AA436" i="45"/>
  <c r="Z436" i="45"/>
  <c r="M436" i="45"/>
  <c r="O436" i="45"/>
  <c r="G436" i="45"/>
  <c r="B436" i="45"/>
  <c r="AE435" i="45"/>
  <c r="AD435" i="45"/>
  <c r="AC435" i="45"/>
  <c r="AB435" i="45"/>
  <c r="AA435" i="45"/>
  <c r="Z435" i="45"/>
  <c r="M435" i="45"/>
  <c r="O435" i="45"/>
  <c r="G435" i="45"/>
  <c r="B435" i="45"/>
  <c r="AE434" i="45"/>
  <c r="AD434" i="45"/>
  <c r="AC434" i="45"/>
  <c r="AB434" i="45"/>
  <c r="AA434" i="45"/>
  <c r="Z434" i="45"/>
  <c r="M434" i="45"/>
  <c r="O434" i="45"/>
  <c r="G434" i="45"/>
  <c r="B434" i="45"/>
  <c r="AE433" i="45"/>
  <c r="AD433" i="45"/>
  <c r="AC433" i="45"/>
  <c r="AB433" i="45"/>
  <c r="AA433" i="45"/>
  <c r="Z433" i="45"/>
  <c r="M433" i="45"/>
  <c r="O433" i="45"/>
  <c r="G433" i="45"/>
  <c r="B433" i="45"/>
  <c r="AE432" i="45"/>
  <c r="AD432" i="45"/>
  <c r="AC432" i="45"/>
  <c r="AB432" i="45"/>
  <c r="AA432" i="45"/>
  <c r="Z432" i="45"/>
  <c r="M432" i="45"/>
  <c r="O432" i="45"/>
  <c r="G432" i="45"/>
  <c r="B432" i="45"/>
  <c r="AE431" i="45"/>
  <c r="AD431" i="45"/>
  <c r="AC431" i="45"/>
  <c r="AB431" i="45"/>
  <c r="AA431" i="45"/>
  <c r="Z431" i="45"/>
  <c r="M431" i="45"/>
  <c r="O431" i="45"/>
  <c r="G431" i="45"/>
  <c r="B431" i="45"/>
  <c r="AE430" i="45"/>
  <c r="AD430" i="45"/>
  <c r="AC430" i="45"/>
  <c r="AB430" i="45"/>
  <c r="AA430" i="45"/>
  <c r="Z430" i="45"/>
  <c r="M430" i="45"/>
  <c r="O430" i="45"/>
  <c r="G430" i="45"/>
  <c r="B430" i="45"/>
  <c r="AE429" i="45"/>
  <c r="AD429" i="45"/>
  <c r="AC429" i="45"/>
  <c r="AB429" i="45"/>
  <c r="AA429" i="45"/>
  <c r="Z429" i="45"/>
  <c r="M429" i="45"/>
  <c r="O429" i="45"/>
  <c r="G429" i="45"/>
  <c r="B429" i="45"/>
  <c r="AE428" i="45"/>
  <c r="AD428" i="45"/>
  <c r="AC428" i="45"/>
  <c r="AB428" i="45"/>
  <c r="AA428" i="45"/>
  <c r="Z428" i="45"/>
  <c r="M428" i="45"/>
  <c r="O428" i="45"/>
  <c r="G428" i="45"/>
  <c r="B428" i="45"/>
  <c r="AE427" i="45"/>
  <c r="AD427" i="45"/>
  <c r="AC427" i="45"/>
  <c r="AB427" i="45"/>
  <c r="AA427" i="45"/>
  <c r="Z427" i="45"/>
  <c r="M427" i="45"/>
  <c r="O427" i="45"/>
  <c r="G427" i="45"/>
  <c r="B427" i="45"/>
  <c r="AE426" i="45"/>
  <c r="AD426" i="45"/>
  <c r="AC426" i="45"/>
  <c r="AB426" i="45"/>
  <c r="AA426" i="45"/>
  <c r="Z426" i="45"/>
  <c r="M426" i="45"/>
  <c r="O426" i="45"/>
  <c r="G426" i="45"/>
  <c r="B426" i="45"/>
  <c r="AE425" i="45"/>
  <c r="AD425" i="45"/>
  <c r="AC425" i="45"/>
  <c r="AB425" i="45"/>
  <c r="AA425" i="45"/>
  <c r="Z425" i="45"/>
  <c r="M425" i="45"/>
  <c r="O425" i="45"/>
  <c r="G425" i="45"/>
  <c r="B425" i="45"/>
  <c r="AE424" i="45"/>
  <c r="AD424" i="45"/>
  <c r="AC424" i="45"/>
  <c r="AB424" i="45"/>
  <c r="AA424" i="45"/>
  <c r="Z424" i="45"/>
  <c r="M424" i="45"/>
  <c r="O424" i="45"/>
  <c r="G424" i="45"/>
  <c r="B424" i="45"/>
  <c r="AE423" i="45"/>
  <c r="AD423" i="45"/>
  <c r="AC423" i="45"/>
  <c r="AB423" i="45"/>
  <c r="AA423" i="45"/>
  <c r="Z423" i="45"/>
  <c r="M423" i="45"/>
  <c r="O423" i="45"/>
  <c r="G423" i="45"/>
  <c r="B423" i="45"/>
  <c r="AE422" i="45"/>
  <c r="AD422" i="45"/>
  <c r="AC422" i="45"/>
  <c r="AB422" i="45"/>
  <c r="AA422" i="45"/>
  <c r="Z422" i="45"/>
  <c r="M422" i="45"/>
  <c r="O422" i="45"/>
  <c r="G422" i="45"/>
  <c r="B422" i="45"/>
  <c r="AE421" i="45"/>
  <c r="AD421" i="45"/>
  <c r="AC421" i="45"/>
  <c r="AB421" i="45"/>
  <c r="AA421" i="45"/>
  <c r="Z421" i="45"/>
  <c r="M421" i="45"/>
  <c r="O421" i="45"/>
  <c r="G421" i="45"/>
  <c r="B421" i="45"/>
  <c r="AE420" i="45"/>
  <c r="AD420" i="45"/>
  <c r="AC420" i="45"/>
  <c r="AB420" i="45"/>
  <c r="AA420" i="45"/>
  <c r="Z420" i="45"/>
  <c r="M420" i="45"/>
  <c r="O420" i="45"/>
  <c r="G420" i="45"/>
  <c r="B420" i="45"/>
  <c r="AE419" i="45"/>
  <c r="AD419" i="45"/>
  <c r="AC419" i="45"/>
  <c r="AB419" i="45"/>
  <c r="AA419" i="45"/>
  <c r="Z419" i="45"/>
  <c r="M419" i="45"/>
  <c r="O419" i="45"/>
  <c r="G419" i="45"/>
  <c r="B419" i="45"/>
  <c r="AE418" i="45"/>
  <c r="AD418" i="45"/>
  <c r="AC418" i="45"/>
  <c r="AB418" i="45"/>
  <c r="AA418" i="45"/>
  <c r="Z418" i="45"/>
  <c r="M418" i="45"/>
  <c r="O418" i="45"/>
  <c r="G418" i="45"/>
  <c r="B418" i="45"/>
  <c r="AE417" i="45"/>
  <c r="AD417" i="45"/>
  <c r="AC417" i="45"/>
  <c r="AB417" i="45"/>
  <c r="AA417" i="45"/>
  <c r="Z417" i="45"/>
  <c r="M417" i="45"/>
  <c r="O417" i="45"/>
  <c r="G417" i="45"/>
  <c r="B417" i="45"/>
  <c r="AE416" i="45"/>
  <c r="AD416" i="45"/>
  <c r="AC416" i="45"/>
  <c r="AB416" i="45"/>
  <c r="AA416" i="45"/>
  <c r="Z416" i="45"/>
  <c r="M416" i="45"/>
  <c r="O416" i="45"/>
  <c r="G416" i="45"/>
  <c r="B416" i="45"/>
  <c r="AE415" i="45"/>
  <c r="AD415" i="45"/>
  <c r="AC415" i="45"/>
  <c r="AB415" i="45"/>
  <c r="AA415" i="45"/>
  <c r="Z415" i="45"/>
  <c r="M415" i="45"/>
  <c r="O415" i="45"/>
  <c r="G415" i="45"/>
  <c r="B415" i="45"/>
  <c r="AE414" i="45"/>
  <c r="AD414" i="45"/>
  <c r="AC414" i="45"/>
  <c r="AB414" i="45"/>
  <c r="AA414" i="45"/>
  <c r="Z414" i="45"/>
  <c r="M414" i="45"/>
  <c r="O414" i="45"/>
  <c r="G414" i="45"/>
  <c r="B414" i="45"/>
  <c r="AE413" i="45"/>
  <c r="AD413" i="45"/>
  <c r="AC413" i="45"/>
  <c r="AB413" i="45"/>
  <c r="AA413" i="45"/>
  <c r="Z413" i="45"/>
  <c r="M413" i="45"/>
  <c r="O413" i="45"/>
  <c r="G413" i="45"/>
  <c r="B413" i="45"/>
  <c r="AE412" i="45"/>
  <c r="AD412" i="45"/>
  <c r="AC412" i="45"/>
  <c r="AB412" i="45"/>
  <c r="AA412" i="45"/>
  <c r="Z412" i="45"/>
  <c r="M412" i="45"/>
  <c r="O412" i="45"/>
  <c r="G412" i="45"/>
  <c r="B412" i="45"/>
  <c r="AE411" i="45"/>
  <c r="AD411" i="45"/>
  <c r="AC411" i="45"/>
  <c r="AB411" i="45"/>
  <c r="AA411" i="45"/>
  <c r="Z411" i="45"/>
  <c r="M411" i="45"/>
  <c r="O411" i="45"/>
  <c r="G411" i="45"/>
  <c r="B411" i="45"/>
  <c r="AE410" i="45"/>
  <c r="AD410" i="45"/>
  <c r="AC410" i="45"/>
  <c r="AB410" i="45"/>
  <c r="AA410" i="45"/>
  <c r="Z410" i="45"/>
  <c r="M410" i="45"/>
  <c r="O410" i="45"/>
  <c r="G410" i="45"/>
  <c r="B410" i="45"/>
  <c r="AE409" i="45"/>
  <c r="AD409" i="45"/>
  <c r="AC409" i="45"/>
  <c r="AB409" i="45"/>
  <c r="AA409" i="45"/>
  <c r="Z409" i="45"/>
  <c r="M409" i="45"/>
  <c r="O409" i="45"/>
  <c r="G409" i="45"/>
  <c r="B409" i="45"/>
  <c r="AE408" i="45"/>
  <c r="AD408" i="45"/>
  <c r="AC408" i="45"/>
  <c r="AB408" i="45"/>
  <c r="AA408" i="45"/>
  <c r="Z408" i="45"/>
  <c r="M408" i="45"/>
  <c r="O408" i="45"/>
  <c r="G408" i="45"/>
  <c r="B408" i="45"/>
  <c r="AE407" i="45"/>
  <c r="AD407" i="45"/>
  <c r="AC407" i="45"/>
  <c r="AB407" i="45"/>
  <c r="AA407" i="45"/>
  <c r="Z407" i="45"/>
  <c r="M407" i="45"/>
  <c r="O407" i="45"/>
  <c r="G407" i="45"/>
  <c r="B407" i="45"/>
  <c r="AE406" i="45"/>
  <c r="AD406" i="45"/>
  <c r="AC406" i="45"/>
  <c r="AB406" i="45"/>
  <c r="AA406" i="45"/>
  <c r="Z406" i="45"/>
  <c r="M406" i="45"/>
  <c r="O406" i="45"/>
  <c r="G406" i="45"/>
  <c r="B406" i="45"/>
  <c r="AE405" i="45"/>
  <c r="AD405" i="45"/>
  <c r="AC405" i="45"/>
  <c r="AB405" i="45"/>
  <c r="AA405" i="45"/>
  <c r="Z405" i="45"/>
  <c r="M405" i="45"/>
  <c r="O405" i="45"/>
  <c r="G405" i="45"/>
  <c r="B405" i="45"/>
  <c r="AE404" i="45"/>
  <c r="AD404" i="45"/>
  <c r="AC404" i="45"/>
  <c r="AB404" i="45"/>
  <c r="AA404" i="45"/>
  <c r="Z404" i="45"/>
  <c r="M404" i="45"/>
  <c r="O404" i="45"/>
  <c r="G404" i="45"/>
  <c r="B404" i="45"/>
  <c r="AE403" i="45"/>
  <c r="AD403" i="45"/>
  <c r="AC403" i="45"/>
  <c r="AB403" i="45"/>
  <c r="AA403" i="45"/>
  <c r="Z403" i="45"/>
  <c r="M403" i="45"/>
  <c r="O403" i="45"/>
  <c r="G403" i="45"/>
  <c r="B403" i="45"/>
  <c r="AE402" i="45"/>
  <c r="AD402" i="45"/>
  <c r="AC402" i="45"/>
  <c r="AB402" i="45"/>
  <c r="AA402" i="45"/>
  <c r="Z402" i="45"/>
  <c r="M402" i="45"/>
  <c r="O402" i="45"/>
  <c r="G402" i="45"/>
  <c r="B402" i="45"/>
  <c r="AE401" i="45"/>
  <c r="AD401" i="45"/>
  <c r="AC401" i="45"/>
  <c r="AB401" i="45"/>
  <c r="AA401" i="45"/>
  <c r="Z401" i="45"/>
  <c r="M401" i="45"/>
  <c r="O401" i="45"/>
  <c r="G401" i="45"/>
  <c r="B401" i="45"/>
  <c r="AE400" i="45"/>
  <c r="AD400" i="45"/>
  <c r="AC400" i="45"/>
  <c r="AB400" i="45"/>
  <c r="AA400" i="45"/>
  <c r="Z400" i="45"/>
  <c r="M400" i="45"/>
  <c r="O400" i="45"/>
  <c r="G400" i="45"/>
  <c r="B400" i="45"/>
  <c r="AE399" i="45"/>
  <c r="AD399" i="45"/>
  <c r="AC399" i="45"/>
  <c r="AB399" i="45"/>
  <c r="AA399" i="45"/>
  <c r="Z399" i="45"/>
  <c r="M399" i="45"/>
  <c r="O399" i="45"/>
  <c r="G399" i="45"/>
  <c r="B399" i="45"/>
  <c r="AE398" i="45"/>
  <c r="AD398" i="45"/>
  <c r="AC398" i="45"/>
  <c r="AB398" i="45"/>
  <c r="AA398" i="45"/>
  <c r="Z398" i="45"/>
  <c r="M398" i="45"/>
  <c r="O398" i="45"/>
  <c r="G398" i="45"/>
  <c r="B398" i="45"/>
  <c r="AE397" i="45"/>
  <c r="AD397" i="45"/>
  <c r="AC397" i="45"/>
  <c r="AB397" i="45"/>
  <c r="AA397" i="45"/>
  <c r="Z397" i="45"/>
  <c r="M397" i="45"/>
  <c r="O397" i="45"/>
  <c r="G397" i="45"/>
  <c r="B397" i="45"/>
  <c r="AE396" i="45"/>
  <c r="AD396" i="45"/>
  <c r="AC396" i="45"/>
  <c r="AB396" i="45"/>
  <c r="AA396" i="45"/>
  <c r="Z396" i="45"/>
  <c r="M396" i="45"/>
  <c r="O396" i="45"/>
  <c r="G396" i="45"/>
  <c r="B396" i="45"/>
  <c r="AE395" i="45"/>
  <c r="AD395" i="45"/>
  <c r="AC395" i="45"/>
  <c r="AB395" i="45"/>
  <c r="AA395" i="45"/>
  <c r="Z395" i="45"/>
  <c r="M395" i="45"/>
  <c r="O395" i="45"/>
  <c r="G395" i="45"/>
  <c r="B395" i="45"/>
  <c r="AE394" i="45"/>
  <c r="AD394" i="45"/>
  <c r="AC394" i="45"/>
  <c r="AB394" i="45"/>
  <c r="AA394" i="45"/>
  <c r="Z394" i="45"/>
  <c r="M394" i="45"/>
  <c r="O394" i="45"/>
  <c r="G394" i="45"/>
  <c r="B394" i="45"/>
  <c r="AE393" i="45"/>
  <c r="AD393" i="45"/>
  <c r="AC393" i="45"/>
  <c r="AB393" i="45"/>
  <c r="AA393" i="45"/>
  <c r="Z393" i="45"/>
  <c r="M393" i="45"/>
  <c r="O393" i="45"/>
  <c r="G393" i="45"/>
  <c r="B393" i="45"/>
  <c r="AE392" i="45"/>
  <c r="AD392" i="45"/>
  <c r="AC392" i="45"/>
  <c r="AB392" i="45"/>
  <c r="AA392" i="45"/>
  <c r="Z392" i="45"/>
  <c r="M392" i="45"/>
  <c r="O392" i="45"/>
  <c r="G392" i="45"/>
  <c r="B392" i="45"/>
  <c r="AE391" i="45"/>
  <c r="AD391" i="45"/>
  <c r="AC391" i="45"/>
  <c r="AB391" i="45"/>
  <c r="AA391" i="45"/>
  <c r="Z391" i="45"/>
  <c r="M391" i="45"/>
  <c r="O391" i="45"/>
  <c r="G391" i="45"/>
  <c r="B391" i="45"/>
  <c r="AE390" i="45"/>
  <c r="AD390" i="45"/>
  <c r="AC390" i="45"/>
  <c r="AB390" i="45"/>
  <c r="AA390" i="45"/>
  <c r="Z390" i="45"/>
  <c r="M390" i="45"/>
  <c r="O390" i="45"/>
  <c r="G390" i="45"/>
  <c r="B390" i="45"/>
  <c r="AE389" i="45"/>
  <c r="AD389" i="45"/>
  <c r="AC389" i="45"/>
  <c r="AB389" i="45"/>
  <c r="AA389" i="45"/>
  <c r="Z389" i="45"/>
  <c r="M389" i="45"/>
  <c r="O389" i="45"/>
  <c r="G389" i="45"/>
  <c r="B389" i="45"/>
  <c r="AE388" i="45"/>
  <c r="AD388" i="45"/>
  <c r="AC388" i="45"/>
  <c r="AB388" i="45"/>
  <c r="AA388" i="45"/>
  <c r="Z388" i="45"/>
  <c r="M388" i="45"/>
  <c r="O388" i="45"/>
  <c r="G388" i="45"/>
  <c r="B388" i="45"/>
  <c r="AE387" i="45"/>
  <c r="AD387" i="45"/>
  <c r="AC387" i="45"/>
  <c r="AB387" i="45"/>
  <c r="AA387" i="45"/>
  <c r="Z387" i="45"/>
  <c r="M387" i="45"/>
  <c r="O387" i="45"/>
  <c r="G387" i="45"/>
  <c r="B387" i="45"/>
  <c r="AE386" i="45"/>
  <c r="AD386" i="45"/>
  <c r="AC386" i="45"/>
  <c r="AB386" i="45"/>
  <c r="AA386" i="45"/>
  <c r="Z386" i="45"/>
  <c r="M386" i="45"/>
  <c r="O386" i="45"/>
  <c r="G386" i="45"/>
  <c r="B386" i="45"/>
  <c r="AE385" i="45"/>
  <c r="AD385" i="45"/>
  <c r="AC385" i="45"/>
  <c r="AB385" i="45"/>
  <c r="AA385" i="45"/>
  <c r="Z385" i="45"/>
  <c r="M385" i="45"/>
  <c r="O385" i="45"/>
  <c r="G385" i="45"/>
  <c r="B385" i="45"/>
  <c r="AE384" i="45"/>
  <c r="AD384" i="45"/>
  <c r="AC384" i="45"/>
  <c r="AB384" i="45"/>
  <c r="AA384" i="45"/>
  <c r="Z384" i="45"/>
  <c r="M384" i="45"/>
  <c r="O384" i="45"/>
  <c r="G384" i="45"/>
  <c r="B384" i="45"/>
  <c r="AE383" i="45"/>
  <c r="AD383" i="45"/>
  <c r="AC383" i="45"/>
  <c r="AB383" i="45"/>
  <c r="AA383" i="45"/>
  <c r="Z383" i="45"/>
  <c r="M383" i="45"/>
  <c r="O383" i="45"/>
  <c r="G383" i="45"/>
  <c r="B383" i="45"/>
  <c r="AE382" i="45"/>
  <c r="AD382" i="45"/>
  <c r="AC382" i="45"/>
  <c r="AB382" i="45"/>
  <c r="AA382" i="45"/>
  <c r="Z382" i="45"/>
  <c r="M382" i="45"/>
  <c r="O382" i="45"/>
  <c r="G382" i="45"/>
  <c r="B382" i="45"/>
  <c r="AE381" i="45"/>
  <c r="AD381" i="45"/>
  <c r="AC381" i="45"/>
  <c r="AB381" i="45"/>
  <c r="AA381" i="45"/>
  <c r="Z381" i="45"/>
  <c r="M381" i="45"/>
  <c r="O381" i="45"/>
  <c r="G381" i="45"/>
  <c r="B381" i="45"/>
  <c r="AE380" i="45"/>
  <c r="AD380" i="45"/>
  <c r="AC380" i="45"/>
  <c r="AB380" i="45"/>
  <c r="AA380" i="45"/>
  <c r="Z380" i="45"/>
  <c r="M380" i="45"/>
  <c r="O380" i="45"/>
  <c r="G380" i="45"/>
  <c r="B380" i="45"/>
  <c r="AE379" i="45"/>
  <c r="AD379" i="45"/>
  <c r="AC379" i="45"/>
  <c r="AB379" i="45"/>
  <c r="AA379" i="45"/>
  <c r="Z379" i="45"/>
  <c r="M379" i="45"/>
  <c r="O379" i="45"/>
  <c r="G379" i="45"/>
  <c r="B379" i="45"/>
  <c r="AE378" i="45"/>
  <c r="AD378" i="45"/>
  <c r="AC378" i="45"/>
  <c r="AB378" i="45"/>
  <c r="AA378" i="45"/>
  <c r="Z378" i="45"/>
  <c r="M378" i="45"/>
  <c r="O378" i="45"/>
  <c r="G378" i="45"/>
  <c r="B378" i="45"/>
  <c r="AE377" i="45"/>
  <c r="AD377" i="45"/>
  <c r="AC377" i="45"/>
  <c r="AB377" i="45"/>
  <c r="AA377" i="45"/>
  <c r="Z377" i="45"/>
  <c r="M377" i="45"/>
  <c r="O377" i="45"/>
  <c r="G377" i="45"/>
  <c r="B377" i="45"/>
  <c r="AE376" i="45"/>
  <c r="AD376" i="45"/>
  <c r="AC376" i="45"/>
  <c r="AB376" i="45"/>
  <c r="AA376" i="45"/>
  <c r="Z376" i="45"/>
  <c r="M376" i="45"/>
  <c r="O376" i="45"/>
  <c r="G376" i="45"/>
  <c r="B376" i="45"/>
  <c r="AE375" i="45"/>
  <c r="AD375" i="45"/>
  <c r="AC375" i="45"/>
  <c r="AB375" i="45"/>
  <c r="AA375" i="45"/>
  <c r="Z375" i="45"/>
  <c r="M375" i="45"/>
  <c r="O375" i="45"/>
  <c r="G375" i="45"/>
  <c r="B375" i="45"/>
  <c r="AE374" i="45"/>
  <c r="AD374" i="45"/>
  <c r="AC374" i="45"/>
  <c r="AB374" i="45"/>
  <c r="AA374" i="45"/>
  <c r="Z374" i="45"/>
  <c r="M374" i="45"/>
  <c r="O374" i="45"/>
  <c r="G374" i="45"/>
  <c r="B374" i="45"/>
  <c r="AE373" i="45"/>
  <c r="AD373" i="45"/>
  <c r="AC373" i="45"/>
  <c r="AB373" i="45"/>
  <c r="AA373" i="45"/>
  <c r="Z373" i="45"/>
  <c r="M373" i="45"/>
  <c r="O373" i="45"/>
  <c r="G373" i="45"/>
  <c r="B373" i="45"/>
  <c r="AE372" i="45"/>
  <c r="AD372" i="45"/>
  <c r="AC372" i="45"/>
  <c r="AB372" i="45"/>
  <c r="AA372" i="45"/>
  <c r="Z372" i="45"/>
  <c r="M372" i="45"/>
  <c r="O372" i="45"/>
  <c r="G372" i="45"/>
  <c r="B372" i="45"/>
  <c r="AE371" i="45"/>
  <c r="AD371" i="45"/>
  <c r="AC371" i="45"/>
  <c r="AB371" i="45"/>
  <c r="AA371" i="45"/>
  <c r="Z371" i="45"/>
  <c r="M371" i="45"/>
  <c r="O371" i="45"/>
  <c r="G371" i="45"/>
  <c r="B371" i="45"/>
  <c r="AE370" i="45"/>
  <c r="AD370" i="45"/>
  <c r="AC370" i="45"/>
  <c r="AB370" i="45"/>
  <c r="AA370" i="45"/>
  <c r="Z370" i="45"/>
  <c r="M370" i="45"/>
  <c r="O370" i="45"/>
  <c r="G370" i="45"/>
  <c r="B370" i="45"/>
  <c r="AE369" i="45"/>
  <c r="AD369" i="45"/>
  <c r="AC369" i="45"/>
  <c r="AB369" i="45"/>
  <c r="AA369" i="45"/>
  <c r="Z369" i="45"/>
  <c r="M369" i="45"/>
  <c r="O369" i="45"/>
  <c r="G369" i="45"/>
  <c r="B369" i="45"/>
  <c r="AE368" i="45"/>
  <c r="AD368" i="45"/>
  <c r="AC368" i="45"/>
  <c r="AB368" i="45"/>
  <c r="AA368" i="45"/>
  <c r="Z368" i="45"/>
  <c r="M368" i="45"/>
  <c r="O368" i="45"/>
  <c r="G368" i="45"/>
  <c r="B368" i="45"/>
  <c r="AE367" i="45"/>
  <c r="AD367" i="45"/>
  <c r="AC367" i="45"/>
  <c r="AB367" i="45"/>
  <c r="AA367" i="45"/>
  <c r="Z367" i="45"/>
  <c r="M367" i="45"/>
  <c r="O367" i="45"/>
  <c r="G367" i="45"/>
  <c r="B367" i="45"/>
  <c r="AE366" i="45"/>
  <c r="AD366" i="45"/>
  <c r="AC366" i="45"/>
  <c r="AB366" i="45"/>
  <c r="AA366" i="45"/>
  <c r="Z366" i="45"/>
  <c r="M366" i="45"/>
  <c r="O366" i="45"/>
  <c r="G366" i="45"/>
  <c r="B366" i="45"/>
  <c r="AE365" i="45"/>
  <c r="AD365" i="45"/>
  <c r="AC365" i="45"/>
  <c r="AB365" i="45"/>
  <c r="AA365" i="45"/>
  <c r="Z365" i="45"/>
  <c r="M365" i="45"/>
  <c r="O365" i="45"/>
  <c r="G365" i="45"/>
  <c r="B365" i="45"/>
  <c r="AE364" i="45"/>
  <c r="AD364" i="45"/>
  <c r="AC364" i="45"/>
  <c r="AB364" i="45"/>
  <c r="AA364" i="45"/>
  <c r="Z364" i="45"/>
  <c r="M364" i="45"/>
  <c r="O364" i="45"/>
  <c r="G364" i="45"/>
  <c r="B364" i="45"/>
  <c r="AE363" i="45"/>
  <c r="AD363" i="45"/>
  <c r="AC363" i="45"/>
  <c r="AB363" i="45"/>
  <c r="AA363" i="45"/>
  <c r="Z363" i="45"/>
  <c r="M363" i="45"/>
  <c r="O363" i="45"/>
  <c r="G363" i="45"/>
  <c r="B363" i="45"/>
  <c r="AE362" i="45"/>
  <c r="AD362" i="45"/>
  <c r="AC362" i="45"/>
  <c r="AB362" i="45"/>
  <c r="AA362" i="45"/>
  <c r="Z362" i="45"/>
  <c r="M362" i="45"/>
  <c r="O362" i="45"/>
  <c r="G362" i="45"/>
  <c r="B362" i="45"/>
  <c r="AE361" i="45"/>
  <c r="AD361" i="45"/>
  <c r="AC361" i="45"/>
  <c r="AB361" i="45"/>
  <c r="AA361" i="45"/>
  <c r="Z361" i="45"/>
  <c r="M361" i="45"/>
  <c r="O361" i="45"/>
  <c r="G361" i="45"/>
  <c r="B361" i="45"/>
  <c r="AE360" i="45"/>
  <c r="AD360" i="45"/>
  <c r="AC360" i="45"/>
  <c r="AB360" i="45"/>
  <c r="AA360" i="45"/>
  <c r="Z360" i="45"/>
  <c r="M360" i="45"/>
  <c r="O360" i="45"/>
  <c r="G360" i="45"/>
  <c r="B360" i="45"/>
  <c r="AE359" i="45"/>
  <c r="AD359" i="45"/>
  <c r="AC359" i="45"/>
  <c r="AB359" i="45"/>
  <c r="AA359" i="45"/>
  <c r="Z359" i="45"/>
  <c r="M359" i="45"/>
  <c r="O359" i="45"/>
  <c r="G359" i="45"/>
  <c r="B359" i="45"/>
  <c r="AE358" i="45"/>
  <c r="AD358" i="45"/>
  <c r="AC358" i="45"/>
  <c r="AB358" i="45"/>
  <c r="AA358" i="45"/>
  <c r="Z358" i="45"/>
  <c r="M358" i="45"/>
  <c r="O358" i="45"/>
  <c r="G358" i="45"/>
  <c r="B358" i="45"/>
  <c r="AE357" i="45"/>
  <c r="AD357" i="45"/>
  <c r="AC357" i="45"/>
  <c r="AB357" i="45"/>
  <c r="AA357" i="45"/>
  <c r="Z357" i="45"/>
  <c r="M357" i="45"/>
  <c r="O357" i="45"/>
  <c r="G357" i="45"/>
  <c r="B357" i="45"/>
  <c r="AE356" i="45"/>
  <c r="AD356" i="45"/>
  <c r="AC356" i="45"/>
  <c r="AB356" i="45"/>
  <c r="AA356" i="45"/>
  <c r="Z356" i="45"/>
  <c r="M356" i="45"/>
  <c r="O356" i="45"/>
  <c r="G356" i="45"/>
  <c r="B356" i="45"/>
  <c r="AE355" i="45"/>
  <c r="AD355" i="45"/>
  <c r="AC355" i="45"/>
  <c r="AB355" i="45"/>
  <c r="AA355" i="45"/>
  <c r="Z355" i="45"/>
  <c r="M355" i="45"/>
  <c r="O355" i="45"/>
  <c r="G355" i="45"/>
  <c r="B355" i="45"/>
  <c r="AE354" i="45"/>
  <c r="AD354" i="45"/>
  <c r="AC354" i="45"/>
  <c r="AB354" i="45"/>
  <c r="AA354" i="45"/>
  <c r="Z354" i="45"/>
  <c r="M354" i="45"/>
  <c r="O354" i="45"/>
  <c r="G354" i="45"/>
  <c r="B354" i="45"/>
  <c r="AE353" i="45"/>
  <c r="AD353" i="45"/>
  <c r="AC353" i="45"/>
  <c r="AB353" i="45"/>
  <c r="AA353" i="45"/>
  <c r="Z353" i="45"/>
  <c r="M353" i="45"/>
  <c r="O353" i="45"/>
  <c r="G353" i="45"/>
  <c r="B353" i="45"/>
  <c r="AE352" i="45"/>
  <c r="AD352" i="45"/>
  <c r="AC352" i="45"/>
  <c r="AB352" i="45"/>
  <c r="AA352" i="45"/>
  <c r="Z352" i="45"/>
  <c r="M352" i="45"/>
  <c r="O352" i="45"/>
  <c r="G352" i="45"/>
  <c r="B352" i="45"/>
  <c r="AE351" i="45"/>
  <c r="AD351" i="45"/>
  <c r="AC351" i="45"/>
  <c r="AB351" i="45"/>
  <c r="AA351" i="45"/>
  <c r="Z351" i="45"/>
  <c r="M351" i="45"/>
  <c r="O351" i="45"/>
  <c r="G351" i="45"/>
  <c r="B351" i="45"/>
  <c r="AE350" i="45"/>
  <c r="AD350" i="45"/>
  <c r="AC350" i="45"/>
  <c r="AB350" i="45"/>
  <c r="AA350" i="45"/>
  <c r="Z350" i="45"/>
  <c r="M350" i="45"/>
  <c r="O350" i="45"/>
  <c r="G350" i="45"/>
  <c r="B350" i="45"/>
  <c r="AE349" i="45"/>
  <c r="AD349" i="45"/>
  <c r="AC349" i="45"/>
  <c r="AB349" i="45"/>
  <c r="AA349" i="45"/>
  <c r="Z349" i="45"/>
  <c r="M349" i="45"/>
  <c r="O349" i="45"/>
  <c r="G349" i="45"/>
  <c r="B349" i="45"/>
  <c r="AE348" i="45"/>
  <c r="AD348" i="45"/>
  <c r="AC348" i="45"/>
  <c r="AB348" i="45"/>
  <c r="AA348" i="45"/>
  <c r="Z348" i="45"/>
  <c r="M348" i="45"/>
  <c r="O348" i="45"/>
  <c r="G348" i="45"/>
  <c r="B348" i="45"/>
  <c r="AE347" i="45"/>
  <c r="AD347" i="45"/>
  <c r="AC347" i="45"/>
  <c r="AB347" i="45"/>
  <c r="AA347" i="45"/>
  <c r="Z347" i="45"/>
  <c r="M347" i="45"/>
  <c r="O347" i="45"/>
  <c r="G347" i="45"/>
  <c r="B347" i="45"/>
  <c r="AE346" i="45"/>
  <c r="AD346" i="45"/>
  <c r="AC346" i="45"/>
  <c r="AB346" i="45"/>
  <c r="AA346" i="45"/>
  <c r="Z346" i="45"/>
  <c r="M346" i="45"/>
  <c r="O346" i="45"/>
  <c r="G346" i="45"/>
  <c r="B346" i="45"/>
  <c r="AE345" i="45"/>
  <c r="AD345" i="45"/>
  <c r="AC345" i="45"/>
  <c r="AB345" i="45"/>
  <c r="AA345" i="45"/>
  <c r="Z345" i="45"/>
  <c r="M345" i="45"/>
  <c r="O345" i="45"/>
  <c r="G345" i="45"/>
  <c r="B345" i="45"/>
  <c r="AE344" i="45"/>
  <c r="AD344" i="45"/>
  <c r="AC344" i="45"/>
  <c r="AB344" i="45"/>
  <c r="AA344" i="45"/>
  <c r="Z344" i="45"/>
  <c r="M344" i="45"/>
  <c r="O344" i="45"/>
  <c r="G344" i="45"/>
  <c r="B344" i="45"/>
  <c r="AE343" i="45"/>
  <c r="AD343" i="45"/>
  <c r="AC343" i="45"/>
  <c r="AB343" i="45"/>
  <c r="AA343" i="45"/>
  <c r="Z343" i="45"/>
  <c r="M343" i="45"/>
  <c r="O343" i="45"/>
  <c r="G343" i="45"/>
  <c r="B343" i="45"/>
  <c r="AE342" i="45"/>
  <c r="AD342" i="45"/>
  <c r="AC342" i="45"/>
  <c r="AB342" i="45"/>
  <c r="AA342" i="45"/>
  <c r="Z342" i="45"/>
  <c r="M342" i="45"/>
  <c r="O342" i="45"/>
  <c r="G342" i="45"/>
  <c r="B342" i="45"/>
  <c r="AE341" i="45"/>
  <c r="AD341" i="45"/>
  <c r="AC341" i="45"/>
  <c r="AB341" i="45"/>
  <c r="AA341" i="45"/>
  <c r="Z341" i="45"/>
  <c r="M341" i="45"/>
  <c r="O341" i="45"/>
  <c r="G341" i="45"/>
  <c r="B341" i="45"/>
  <c r="AE340" i="45"/>
  <c r="AD340" i="45"/>
  <c r="AC340" i="45"/>
  <c r="AB340" i="45"/>
  <c r="AA340" i="45"/>
  <c r="Z340" i="45"/>
  <c r="M340" i="45"/>
  <c r="O340" i="45"/>
  <c r="G340" i="45"/>
  <c r="B340" i="45"/>
  <c r="AE339" i="45"/>
  <c r="AD339" i="45"/>
  <c r="AC339" i="45"/>
  <c r="AB339" i="45"/>
  <c r="AA339" i="45"/>
  <c r="Z339" i="45"/>
  <c r="M339" i="45"/>
  <c r="O339" i="45"/>
  <c r="G339" i="45"/>
  <c r="B339" i="45"/>
  <c r="AE338" i="45"/>
  <c r="AD338" i="45"/>
  <c r="AC338" i="45"/>
  <c r="AB338" i="45"/>
  <c r="AA338" i="45"/>
  <c r="Z338" i="45"/>
  <c r="M338" i="45"/>
  <c r="O338" i="45"/>
  <c r="G338" i="45"/>
  <c r="B338" i="45"/>
  <c r="AE337" i="45"/>
  <c r="AD337" i="45"/>
  <c r="AC337" i="45"/>
  <c r="AB337" i="45"/>
  <c r="AA337" i="45"/>
  <c r="Z337" i="45"/>
  <c r="M337" i="45"/>
  <c r="O337" i="45"/>
  <c r="G337" i="45"/>
  <c r="B337" i="45"/>
  <c r="AE336" i="45"/>
  <c r="AD336" i="45"/>
  <c r="AC336" i="45"/>
  <c r="AB336" i="45"/>
  <c r="AA336" i="45"/>
  <c r="Z336" i="45"/>
  <c r="M336" i="45"/>
  <c r="O336" i="45"/>
  <c r="G336" i="45"/>
  <c r="B336" i="45"/>
  <c r="AE335" i="45"/>
  <c r="AD335" i="45"/>
  <c r="AC335" i="45"/>
  <c r="AB335" i="45"/>
  <c r="AA335" i="45"/>
  <c r="Z335" i="45"/>
  <c r="M335" i="45"/>
  <c r="O335" i="45"/>
  <c r="G335" i="45"/>
  <c r="B335" i="45"/>
  <c r="AE334" i="45"/>
  <c r="AD334" i="45"/>
  <c r="AC334" i="45"/>
  <c r="AB334" i="45"/>
  <c r="AA334" i="45"/>
  <c r="Z334" i="45"/>
  <c r="M334" i="45"/>
  <c r="O334" i="45"/>
  <c r="G334" i="45"/>
  <c r="B334" i="45"/>
  <c r="AE333" i="45"/>
  <c r="AD333" i="45"/>
  <c r="AC333" i="45"/>
  <c r="AB333" i="45"/>
  <c r="AA333" i="45"/>
  <c r="Z333" i="45"/>
  <c r="M333" i="45"/>
  <c r="O333" i="45"/>
  <c r="G333" i="45"/>
  <c r="B333" i="45"/>
  <c r="AE332" i="45"/>
  <c r="AD332" i="45"/>
  <c r="AC332" i="45"/>
  <c r="AB332" i="45"/>
  <c r="AA332" i="45"/>
  <c r="Z332" i="45"/>
  <c r="M332" i="45"/>
  <c r="O332" i="45"/>
  <c r="G332" i="45"/>
  <c r="B332" i="45"/>
  <c r="AE331" i="45"/>
  <c r="AD331" i="45"/>
  <c r="AC331" i="45"/>
  <c r="AB331" i="45"/>
  <c r="AA331" i="45"/>
  <c r="Z331" i="45"/>
  <c r="M331" i="45"/>
  <c r="O331" i="45"/>
  <c r="G331" i="45"/>
  <c r="B331" i="45"/>
  <c r="AE330" i="45"/>
  <c r="AD330" i="45"/>
  <c r="AC330" i="45"/>
  <c r="AB330" i="45"/>
  <c r="AA330" i="45"/>
  <c r="Z330" i="45"/>
  <c r="M330" i="45"/>
  <c r="O330" i="45"/>
  <c r="G330" i="45"/>
  <c r="B330" i="45"/>
  <c r="AE329" i="45"/>
  <c r="AD329" i="45"/>
  <c r="AC329" i="45"/>
  <c r="AB329" i="45"/>
  <c r="AA329" i="45"/>
  <c r="Z329" i="45"/>
  <c r="M329" i="45"/>
  <c r="O329" i="45"/>
  <c r="G329" i="45"/>
  <c r="B329" i="45"/>
  <c r="AE328" i="45"/>
  <c r="AD328" i="45"/>
  <c r="AC328" i="45"/>
  <c r="AB328" i="45"/>
  <c r="AA328" i="45"/>
  <c r="Z328" i="45"/>
  <c r="M328" i="45"/>
  <c r="O328" i="45"/>
  <c r="G328" i="45"/>
  <c r="B328" i="45"/>
  <c r="AE327" i="45"/>
  <c r="AD327" i="45"/>
  <c r="AC327" i="45"/>
  <c r="AB327" i="45"/>
  <c r="AA327" i="45"/>
  <c r="Z327" i="45"/>
  <c r="M327" i="45"/>
  <c r="O327" i="45"/>
  <c r="G327" i="45"/>
  <c r="B327" i="45"/>
  <c r="AE326" i="45"/>
  <c r="AD326" i="45"/>
  <c r="AC326" i="45"/>
  <c r="AB326" i="45"/>
  <c r="AA326" i="45"/>
  <c r="Z326" i="45"/>
  <c r="M326" i="45"/>
  <c r="O326" i="45"/>
  <c r="G326" i="45"/>
  <c r="B326" i="45"/>
  <c r="AE325" i="45"/>
  <c r="AD325" i="45"/>
  <c r="AC325" i="45"/>
  <c r="AB325" i="45"/>
  <c r="AA325" i="45"/>
  <c r="Z325" i="45"/>
  <c r="M325" i="45"/>
  <c r="O325" i="45"/>
  <c r="G325" i="45"/>
  <c r="B325" i="45"/>
  <c r="AE324" i="45"/>
  <c r="AD324" i="45"/>
  <c r="AC324" i="45"/>
  <c r="AB324" i="45"/>
  <c r="AA324" i="45"/>
  <c r="Z324" i="45"/>
  <c r="M324" i="45"/>
  <c r="O324" i="45"/>
  <c r="G324" i="45"/>
  <c r="B324" i="45"/>
  <c r="AE323" i="45"/>
  <c r="AD323" i="45"/>
  <c r="AC323" i="45"/>
  <c r="AB323" i="45"/>
  <c r="AA323" i="45"/>
  <c r="Z323" i="45"/>
  <c r="M323" i="45"/>
  <c r="O323" i="45"/>
  <c r="G323" i="45"/>
  <c r="B323" i="45"/>
  <c r="AE322" i="45"/>
  <c r="AD322" i="45"/>
  <c r="AC322" i="45"/>
  <c r="AB322" i="45"/>
  <c r="AA322" i="45"/>
  <c r="Z322" i="45"/>
  <c r="M322" i="45"/>
  <c r="O322" i="45"/>
  <c r="G322" i="45"/>
  <c r="B322" i="45"/>
  <c r="AE321" i="45"/>
  <c r="AD321" i="45"/>
  <c r="AC321" i="45"/>
  <c r="AB321" i="45"/>
  <c r="AA321" i="45"/>
  <c r="Z321" i="45"/>
  <c r="M321" i="45"/>
  <c r="O321" i="45"/>
  <c r="G321" i="45"/>
  <c r="B321" i="45"/>
  <c r="AE320" i="45"/>
  <c r="AD320" i="45"/>
  <c r="AC320" i="45"/>
  <c r="AB320" i="45"/>
  <c r="AA320" i="45"/>
  <c r="Z320" i="45"/>
  <c r="M320" i="45"/>
  <c r="O320" i="45"/>
  <c r="G320" i="45"/>
  <c r="B320" i="45"/>
  <c r="AE319" i="45"/>
  <c r="AD319" i="45"/>
  <c r="AC319" i="45"/>
  <c r="AB319" i="45"/>
  <c r="AA319" i="45"/>
  <c r="Z319" i="45"/>
  <c r="M319" i="45"/>
  <c r="O319" i="45"/>
  <c r="G319" i="45"/>
  <c r="B319" i="45"/>
  <c r="AE318" i="45"/>
  <c r="AD318" i="45"/>
  <c r="AC318" i="45"/>
  <c r="AB318" i="45"/>
  <c r="AA318" i="45"/>
  <c r="Z318" i="45"/>
  <c r="M318" i="45"/>
  <c r="O318" i="45"/>
  <c r="G318" i="45"/>
  <c r="B318" i="45"/>
  <c r="AE317" i="45"/>
  <c r="AD317" i="45"/>
  <c r="AC317" i="45"/>
  <c r="AB317" i="45"/>
  <c r="AA317" i="45"/>
  <c r="Z317" i="45"/>
  <c r="M317" i="45"/>
  <c r="O317" i="45"/>
  <c r="G317" i="45"/>
  <c r="B317" i="45"/>
  <c r="AE316" i="45"/>
  <c r="AD316" i="45"/>
  <c r="AC316" i="45"/>
  <c r="AB316" i="45"/>
  <c r="AA316" i="45"/>
  <c r="Z316" i="45"/>
  <c r="M316" i="45"/>
  <c r="O316" i="45"/>
  <c r="G316" i="45"/>
  <c r="B316" i="45"/>
  <c r="AE315" i="45"/>
  <c r="AD315" i="45"/>
  <c r="AC315" i="45"/>
  <c r="AB315" i="45"/>
  <c r="AA315" i="45"/>
  <c r="Z315" i="45"/>
  <c r="M315" i="45"/>
  <c r="O315" i="45"/>
  <c r="G315" i="45"/>
  <c r="B315" i="45"/>
  <c r="AE314" i="45"/>
  <c r="AD314" i="45"/>
  <c r="AC314" i="45"/>
  <c r="AB314" i="45"/>
  <c r="AA314" i="45"/>
  <c r="Z314" i="45"/>
  <c r="M314" i="45"/>
  <c r="O314" i="45"/>
  <c r="G314" i="45"/>
  <c r="B314" i="45"/>
  <c r="AE313" i="45"/>
  <c r="AD313" i="45"/>
  <c r="AC313" i="45"/>
  <c r="AB313" i="45"/>
  <c r="AA313" i="45"/>
  <c r="Z313" i="45"/>
  <c r="M313" i="45"/>
  <c r="O313" i="45"/>
  <c r="G313" i="45"/>
  <c r="B313" i="45"/>
  <c r="AE312" i="45"/>
  <c r="AD312" i="45"/>
  <c r="AC312" i="45"/>
  <c r="AB312" i="45"/>
  <c r="AA312" i="45"/>
  <c r="Z312" i="45"/>
  <c r="M312" i="45"/>
  <c r="O312" i="45"/>
  <c r="G312" i="45"/>
  <c r="B312" i="45"/>
  <c r="AE311" i="45"/>
  <c r="AD311" i="45"/>
  <c r="AC311" i="45"/>
  <c r="AB311" i="45"/>
  <c r="AA311" i="45"/>
  <c r="Z311" i="45"/>
  <c r="M311" i="45"/>
  <c r="O311" i="45"/>
  <c r="G311" i="45"/>
  <c r="B311" i="45"/>
  <c r="AE310" i="45"/>
  <c r="AD310" i="45"/>
  <c r="AC310" i="45"/>
  <c r="AB310" i="45"/>
  <c r="AA310" i="45"/>
  <c r="Z310" i="45"/>
  <c r="M310" i="45"/>
  <c r="O310" i="45"/>
  <c r="G310" i="45"/>
  <c r="B310" i="45"/>
  <c r="AE309" i="45"/>
  <c r="AD309" i="45"/>
  <c r="AC309" i="45"/>
  <c r="AB309" i="45"/>
  <c r="AA309" i="45"/>
  <c r="Z309" i="45"/>
  <c r="M309" i="45"/>
  <c r="O309" i="45"/>
  <c r="G309" i="45"/>
  <c r="B309" i="45"/>
  <c r="AE308" i="45"/>
  <c r="AD308" i="45"/>
  <c r="AC308" i="45"/>
  <c r="AB308" i="45"/>
  <c r="AA308" i="45"/>
  <c r="Z308" i="45"/>
  <c r="M308" i="45"/>
  <c r="O308" i="45"/>
  <c r="G308" i="45"/>
  <c r="B308" i="45"/>
  <c r="AE307" i="45"/>
  <c r="AD307" i="45"/>
  <c r="AC307" i="45"/>
  <c r="AB307" i="45"/>
  <c r="AA307" i="45"/>
  <c r="Z307" i="45"/>
  <c r="M307" i="45"/>
  <c r="O307" i="45"/>
  <c r="G307" i="45"/>
  <c r="B307" i="45"/>
  <c r="AE306" i="45"/>
  <c r="AD306" i="45"/>
  <c r="AC306" i="45"/>
  <c r="AB306" i="45"/>
  <c r="AA306" i="45"/>
  <c r="Z306" i="45"/>
  <c r="M306" i="45"/>
  <c r="O306" i="45"/>
  <c r="G306" i="45"/>
  <c r="B306" i="45"/>
  <c r="AE305" i="45"/>
  <c r="AD305" i="45"/>
  <c r="AC305" i="45"/>
  <c r="AB305" i="45"/>
  <c r="AA305" i="45"/>
  <c r="Z305" i="45"/>
  <c r="M305" i="45"/>
  <c r="O305" i="45"/>
  <c r="G305" i="45"/>
  <c r="B305" i="45"/>
  <c r="AE304" i="45"/>
  <c r="AD304" i="45"/>
  <c r="AC304" i="45"/>
  <c r="AB304" i="45"/>
  <c r="AA304" i="45"/>
  <c r="Z304" i="45"/>
  <c r="M304" i="45"/>
  <c r="O304" i="45"/>
  <c r="G304" i="45"/>
  <c r="B304" i="45"/>
  <c r="AE303" i="45"/>
  <c r="AD303" i="45"/>
  <c r="AC303" i="45"/>
  <c r="AB303" i="45"/>
  <c r="AA303" i="45"/>
  <c r="Z303" i="45"/>
  <c r="M303" i="45"/>
  <c r="O303" i="45"/>
  <c r="G303" i="45"/>
  <c r="B303" i="45"/>
  <c r="AE302" i="45"/>
  <c r="AD302" i="45"/>
  <c r="AC302" i="45"/>
  <c r="AB302" i="45"/>
  <c r="AA302" i="45"/>
  <c r="Z302" i="45"/>
  <c r="M302" i="45"/>
  <c r="O302" i="45"/>
  <c r="G302" i="45"/>
  <c r="B302" i="45"/>
  <c r="AE301" i="45"/>
  <c r="AD301" i="45"/>
  <c r="AC301" i="45"/>
  <c r="AB301" i="45"/>
  <c r="AA301" i="45"/>
  <c r="Z301" i="45"/>
  <c r="M301" i="45"/>
  <c r="O301" i="45"/>
  <c r="G301" i="45"/>
  <c r="B301" i="45"/>
  <c r="AE300" i="45"/>
  <c r="AD300" i="45"/>
  <c r="AC300" i="45"/>
  <c r="AB300" i="45"/>
  <c r="AA300" i="45"/>
  <c r="Z300" i="45"/>
  <c r="M300" i="45"/>
  <c r="O300" i="45"/>
  <c r="G300" i="45"/>
  <c r="B300" i="45"/>
  <c r="AE299" i="45"/>
  <c r="AD299" i="45"/>
  <c r="AC299" i="45"/>
  <c r="AB299" i="45"/>
  <c r="AA299" i="45"/>
  <c r="Z299" i="45"/>
  <c r="M299" i="45"/>
  <c r="O299" i="45"/>
  <c r="G299" i="45"/>
  <c r="B299" i="45"/>
  <c r="AE298" i="45"/>
  <c r="AD298" i="45"/>
  <c r="AC298" i="45"/>
  <c r="AB298" i="45"/>
  <c r="AA298" i="45"/>
  <c r="Z298" i="45"/>
  <c r="M298" i="45"/>
  <c r="O298" i="45"/>
  <c r="G298" i="45"/>
  <c r="B298" i="45"/>
  <c r="AE297" i="45"/>
  <c r="AD297" i="45"/>
  <c r="AC297" i="45"/>
  <c r="AB297" i="45"/>
  <c r="AA297" i="45"/>
  <c r="Z297" i="45"/>
  <c r="M297" i="45"/>
  <c r="O297" i="45"/>
  <c r="G297" i="45"/>
  <c r="B297" i="45"/>
  <c r="AE296" i="45"/>
  <c r="AD296" i="45"/>
  <c r="AC296" i="45"/>
  <c r="AB296" i="45"/>
  <c r="AA296" i="45"/>
  <c r="Z296" i="45"/>
  <c r="M296" i="45"/>
  <c r="O296" i="45"/>
  <c r="G296" i="45"/>
  <c r="B296" i="45"/>
  <c r="AE295" i="45"/>
  <c r="AD295" i="45"/>
  <c r="AC295" i="45"/>
  <c r="AB295" i="45"/>
  <c r="AA295" i="45"/>
  <c r="Z295" i="45"/>
  <c r="M295" i="45"/>
  <c r="O295" i="45"/>
  <c r="G295" i="45"/>
  <c r="B295" i="45"/>
  <c r="AE294" i="45"/>
  <c r="AD294" i="45"/>
  <c r="AC294" i="45"/>
  <c r="AB294" i="45"/>
  <c r="AA294" i="45"/>
  <c r="Z294" i="45"/>
  <c r="M294" i="45"/>
  <c r="O294" i="45"/>
  <c r="G294" i="45"/>
  <c r="B294" i="45"/>
  <c r="AE293" i="45"/>
  <c r="AD293" i="45"/>
  <c r="AC293" i="45"/>
  <c r="AB293" i="45"/>
  <c r="AA293" i="45"/>
  <c r="Z293" i="45"/>
  <c r="M293" i="45"/>
  <c r="O293" i="45"/>
  <c r="G293" i="45"/>
  <c r="B293" i="45"/>
  <c r="AE292" i="45"/>
  <c r="AD292" i="45"/>
  <c r="AC292" i="45"/>
  <c r="AB292" i="45"/>
  <c r="AA292" i="45"/>
  <c r="Z292" i="45"/>
  <c r="M292" i="45"/>
  <c r="O292" i="45"/>
  <c r="G292" i="45"/>
  <c r="B292" i="45"/>
  <c r="AE291" i="45"/>
  <c r="AD291" i="45"/>
  <c r="AC291" i="45"/>
  <c r="AB291" i="45"/>
  <c r="AA291" i="45"/>
  <c r="Z291" i="45"/>
  <c r="M291" i="45"/>
  <c r="O291" i="45"/>
  <c r="G291" i="45"/>
  <c r="B291" i="45"/>
  <c r="AE290" i="45"/>
  <c r="AD290" i="45"/>
  <c r="AC290" i="45"/>
  <c r="AB290" i="45"/>
  <c r="AA290" i="45"/>
  <c r="Z290" i="45"/>
  <c r="M290" i="45"/>
  <c r="O290" i="45"/>
  <c r="G290" i="45"/>
  <c r="B290" i="45"/>
  <c r="AE289" i="45"/>
  <c r="AD289" i="45"/>
  <c r="AC289" i="45"/>
  <c r="AB289" i="45"/>
  <c r="AA289" i="45"/>
  <c r="Z289" i="45"/>
  <c r="M289" i="45"/>
  <c r="O289" i="45"/>
  <c r="G289" i="45"/>
  <c r="B289" i="45"/>
  <c r="AE288" i="45"/>
  <c r="AD288" i="45"/>
  <c r="AC288" i="45"/>
  <c r="AB288" i="45"/>
  <c r="AA288" i="45"/>
  <c r="Z288" i="45"/>
  <c r="M288" i="45"/>
  <c r="O288" i="45"/>
  <c r="G288" i="45"/>
  <c r="B288" i="45"/>
  <c r="AE287" i="45"/>
  <c r="AD287" i="45"/>
  <c r="AC287" i="45"/>
  <c r="AB287" i="45"/>
  <c r="AA287" i="45"/>
  <c r="Z287" i="45"/>
  <c r="M287" i="45"/>
  <c r="O287" i="45"/>
  <c r="G287" i="45"/>
  <c r="B287" i="45"/>
  <c r="AE286" i="45"/>
  <c r="AD286" i="45"/>
  <c r="AC286" i="45"/>
  <c r="AB286" i="45"/>
  <c r="AA286" i="45"/>
  <c r="Z286" i="45"/>
  <c r="M286" i="45"/>
  <c r="O286" i="45"/>
  <c r="G286" i="45"/>
  <c r="B286" i="45"/>
  <c r="AE285" i="45"/>
  <c r="AD285" i="45"/>
  <c r="AC285" i="45"/>
  <c r="AB285" i="45"/>
  <c r="AA285" i="45"/>
  <c r="Z285" i="45"/>
  <c r="M285" i="45"/>
  <c r="O285" i="45"/>
  <c r="G285" i="45"/>
  <c r="B285" i="45"/>
  <c r="AE284" i="45"/>
  <c r="AD284" i="45"/>
  <c r="AC284" i="45"/>
  <c r="AB284" i="45"/>
  <c r="AA284" i="45"/>
  <c r="Z284" i="45"/>
  <c r="M284" i="45"/>
  <c r="O284" i="45"/>
  <c r="G284" i="45"/>
  <c r="B284" i="45"/>
  <c r="AE283" i="45"/>
  <c r="AD283" i="45"/>
  <c r="AC283" i="45"/>
  <c r="AB283" i="45"/>
  <c r="AA283" i="45"/>
  <c r="Z283" i="45"/>
  <c r="M283" i="45"/>
  <c r="O283" i="45"/>
  <c r="G283" i="45"/>
  <c r="B283" i="45"/>
  <c r="AE282" i="45"/>
  <c r="AD282" i="45"/>
  <c r="AC282" i="45"/>
  <c r="AB282" i="45"/>
  <c r="AA282" i="45"/>
  <c r="Z282" i="45"/>
  <c r="M282" i="45"/>
  <c r="O282" i="45"/>
  <c r="G282" i="45"/>
  <c r="B282" i="45"/>
  <c r="AE281" i="45"/>
  <c r="AD281" i="45"/>
  <c r="AC281" i="45"/>
  <c r="AB281" i="45"/>
  <c r="AA281" i="45"/>
  <c r="Z281" i="45"/>
  <c r="M281" i="45"/>
  <c r="O281" i="45"/>
  <c r="G281" i="45"/>
  <c r="B281" i="45"/>
  <c r="AE280" i="45"/>
  <c r="AD280" i="45"/>
  <c r="AC280" i="45"/>
  <c r="AB280" i="45"/>
  <c r="AA280" i="45"/>
  <c r="Z280" i="45"/>
  <c r="M280" i="45"/>
  <c r="O280" i="45"/>
  <c r="G280" i="45"/>
  <c r="B280" i="45"/>
  <c r="AE279" i="45"/>
  <c r="AD279" i="45"/>
  <c r="AC279" i="45"/>
  <c r="AB279" i="45"/>
  <c r="AA279" i="45"/>
  <c r="Z279" i="45"/>
  <c r="M279" i="45"/>
  <c r="O279" i="45"/>
  <c r="G279" i="45"/>
  <c r="B279" i="45"/>
  <c r="AE278" i="45"/>
  <c r="AD278" i="45"/>
  <c r="AC278" i="45"/>
  <c r="AB278" i="45"/>
  <c r="AA278" i="45"/>
  <c r="Z278" i="45"/>
  <c r="M278" i="45"/>
  <c r="O278" i="45"/>
  <c r="G278" i="45"/>
  <c r="B278" i="45"/>
  <c r="AE277" i="45"/>
  <c r="AD277" i="45"/>
  <c r="AC277" i="45"/>
  <c r="AB277" i="45"/>
  <c r="AA277" i="45"/>
  <c r="Z277" i="45"/>
  <c r="M277" i="45"/>
  <c r="O277" i="45"/>
  <c r="G277" i="45"/>
  <c r="B277" i="45"/>
  <c r="AE276" i="45"/>
  <c r="AD276" i="45"/>
  <c r="AC276" i="45"/>
  <c r="AB276" i="45"/>
  <c r="AA276" i="45"/>
  <c r="Z276" i="45"/>
  <c r="M276" i="45"/>
  <c r="O276" i="45"/>
  <c r="G276" i="45"/>
  <c r="B276" i="45"/>
  <c r="AE275" i="45"/>
  <c r="AD275" i="45"/>
  <c r="AC275" i="45"/>
  <c r="AB275" i="45"/>
  <c r="AA275" i="45"/>
  <c r="Z275" i="45"/>
  <c r="M275" i="45"/>
  <c r="O275" i="45"/>
  <c r="G275" i="45"/>
  <c r="B275" i="45"/>
  <c r="AE274" i="45"/>
  <c r="AD274" i="45"/>
  <c r="AC274" i="45"/>
  <c r="AB274" i="45"/>
  <c r="AA274" i="45"/>
  <c r="Z274" i="45"/>
  <c r="M274" i="45"/>
  <c r="O274" i="45"/>
  <c r="G274" i="45"/>
  <c r="B274" i="45"/>
  <c r="AE273" i="45"/>
  <c r="AD273" i="45"/>
  <c r="AC273" i="45"/>
  <c r="AB273" i="45"/>
  <c r="AA273" i="45"/>
  <c r="Z273" i="45"/>
  <c r="M273" i="45"/>
  <c r="O273" i="45"/>
  <c r="G273" i="45"/>
  <c r="B273" i="45"/>
  <c r="AE272" i="45"/>
  <c r="AD272" i="45"/>
  <c r="AC272" i="45"/>
  <c r="AB272" i="45"/>
  <c r="AA272" i="45"/>
  <c r="Z272" i="45"/>
  <c r="M272" i="45"/>
  <c r="O272" i="45"/>
  <c r="G272" i="45"/>
  <c r="B272" i="45"/>
  <c r="AE271" i="45"/>
  <c r="AD271" i="45"/>
  <c r="AC271" i="45"/>
  <c r="AB271" i="45"/>
  <c r="AA271" i="45"/>
  <c r="Z271" i="45"/>
  <c r="M271" i="45"/>
  <c r="O271" i="45"/>
  <c r="G271" i="45"/>
  <c r="B271" i="45"/>
  <c r="AE270" i="45"/>
  <c r="AD270" i="45"/>
  <c r="AC270" i="45"/>
  <c r="AB270" i="45"/>
  <c r="AA270" i="45"/>
  <c r="Z270" i="45"/>
  <c r="M270" i="45"/>
  <c r="O270" i="45"/>
  <c r="G270" i="45"/>
  <c r="B270" i="45"/>
  <c r="AE269" i="45"/>
  <c r="AD269" i="45"/>
  <c r="AC269" i="45"/>
  <c r="AB269" i="45"/>
  <c r="AA269" i="45"/>
  <c r="Z269" i="45"/>
  <c r="M269" i="45"/>
  <c r="O269" i="45"/>
  <c r="G269" i="45"/>
  <c r="B269" i="45"/>
  <c r="AE268" i="45"/>
  <c r="AD268" i="45"/>
  <c r="AC268" i="45"/>
  <c r="AB268" i="45"/>
  <c r="AA268" i="45"/>
  <c r="Z268" i="45"/>
  <c r="M268" i="45"/>
  <c r="O268" i="45"/>
  <c r="G268" i="45"/>
  <c r="B268" i="45"/>
  <c r="AE267" i="45"/>
  <c r="AD267" i="45"/>
  <c r="AC267" i="45"/>
  <c r="AB267" i="45"/>
  <c r="AA267" i="45"/>
  <c r="Z267" i="45"/>
  <c r="M267" i="45"/>
  <c r="O267" i="45"/>
  <c r="G267" i="45"/>
  <c r="B267" i="45"/>
  <c r="AE266" i="45"/>
  <c r="AD266" i="45"/>
  <c r="AC266" i="45"/>
  <c r="AB266" i="45"/>
  <c r="AA266" i="45"/>
  <c r="Z266" i="45"/>
  <c r="M266" i="45"/>
  <c r="O266" i="45"/>
  <c r="G266" i="45"/>
  <c r="B266" i="45"/>
  <c r="AE265" i="45"/>
  <c r="AD265" i="45"/>
  <c r="AC265" i="45"/>
  <c r="AB265" i="45"/>
  <c r="AA265" i="45"/>
  <c r="Z265" i="45"/>
  <c r="M265" i="45"/>
  <c r="O265" i="45"/>
  <c r="G265" i="45"/>
  <c r="B265" i="45"/>
  <c r="AE264" i="45"/>
  <c r="AD264" i="45"/>
  <c r="AC264" i="45"/>
  <c r="AB264" i="45"/>
  <c r="AA264" i="45"/>
  <c r="Z264" i="45"/>
  <c r="M264" i="45"/>
  <c r="O264" i="45"/>
  <c r="G264" i="45"/>
  <c r="B264" i="45"/>
  <c r="AE263" i="45"/>
  <c r="AD263" i="45"/>
  <c r="AC263" i="45"/>
  <c r="AB263" i="45"/>
  <c r="AA263" i="45"/>
  <c r="Z263" i="45"/>
  <c r="M263" i="45"/>
  <c r="O263" i="45"/>
  <c r="G263" i="45"/>
  <c r="B263" i="45"/>
  <c r="AE262" i="45"/>
  <c r="AD262" i="45"/>
  <c r="AC262" i="45"/>
  <c r="AB262" i="45"/>
  <c r="AA262" i="45"/>
  <c r="Z262" i="45"/>
  <c r="M262" i="45"/>
  <c r="O262" i="45"/>
  <c r="G262" i="45"/>
  <c r="B262" i="45"/>
  <c r="AE261" i="45"/>
  <c r="AD261" i="45"/>
  <c r="AC261" i="45"/>
  <c r="AB261" i="45"/>
  <c r="AA261" i="45"/>
  <c r="Z261" i="45"/>
  <c r="M261" i="45"/>
  <c r="O261" i="45"/>
  <c r="G261" i="45"/>
  <c r="B261" i="45"/>
  <c r="AE260" i="45"/>
  <c r="AD260" i="45"/>
  <c r="AC260" i="45"/>
  <c r="AB260" i="45"/>
  <c r="AA260" i="45"/>
  <c r="Z260" i="45"/>
  <c r="M260" i="45"/>
  <c r="O260" i="45"/>
  <c r="G260" i="45"/>
  <c r="B260" i="45"/>
  <c r="AE259" i="45"/>
  <c r="AD259" i="45"/>
  <c r="AC259" i="45"/>
  <c r="AB259" i="45"/>
  <c r="AA259" i="45"/>
  <c r="Z259" i="45"/>
  <c r="M259" i="45"/>
  <c r="O259" i="45"/>
  <c r="G259" i="45"/>
  <c r="B259" i="45"/>
  <c r="AE258" i="45"/>
  <c r="AD258" i="45"/>
  <c r="AC258" i="45"/>
  <c r="AB258" i="45"/>
  <c r="AA258" i="45"/>
  <c r="Z258" i="45"/>
  <c r="M258" i="45"/>
  <c r="O258" i="45"/>
  <c r="G258" i="45"/>
  <c r="B258" i="45"/>
  <c r="AE257" i="45"/>
  <c r="AD257" i="45"/>
  <c r="AC257" i="45"/>
  <c r="AB257" i="45"/>
  <c r="AA257" i="45"/>
  <c r="Z257" i="45"/>
  <c r="M257" i="45"/>
  <c r="O257" i="45"/>
  <c r="G257" i="45"/>
  <c r="B257" i="45"/>
  <c r="AE256" i="45"/>
  <c r="AD256" i="45"/>
  <c r="AC256" i="45"/>
  <c r="AB256" i="45"/>
  <c r="AA256" i="45"/>
  <c r="Z256" i="45"/>
  <c r="M256" i="45"/>
  <c r="O256" i="45"/>
  <c r="G256" i="45"/>
  <c r="B256" i="45"/>
  <c r="AE255" i="45"/>
  <c r="AD255" i="45"/>
  <c r="AC255" i="45"/>
  <c r="AB255" i="45"/>
  <c r="AA255" i="45"/>
  <c r="Z255" i="45"/>
  <c r="M255" i="45"/>
  <c r="O255" i="45"/>
  <c r="G255" i="45"/>
  <c r="B255" i="45"/>
  <c r="AE254" i="45"/>
  <c r="AD254" i="45"/>
  <c r="AC254" i="45"/>
  <c r="AB254" i="45"/>
  <c r="AA254" i="45"/>
  <c r="Z254" i="45"/>
  <c r="M254" i="45"/>
  <c r="O254" i="45"/>
  <c r="G254" i="45"/>
  <c r="B254" i="45"/>
  <c r="AE253" i="45"/>
  <c r="AD253" i="45"/>
  <c r="AC253" i="45"/>
  <c r="AB253" i="45"/>
  <c r="AA253" i="45"/>
  <c r="Z253" i="45"/>
  <c r="M253" i="45"/>
  <c r="O253" i="45"/>
  <c r="G253" i="45"/>
  <c r="B253" i="45"/>
  <c r="AE252" i="45"/>
  <c r="AD252" i="45"/>
  <c r="AC252" i="45"/>
  <c r="AB252" i="45"/>
  <c r="AA252" i="45"/>
  <c r="Z252" i="45"/>
  <c r="M252" i="45"/>
  <c r="O252" i="45"/>
  <c r="G252" i="45"/>
  <c r="B252" i="45"/>
  <c r="AE251" i="45"/>
  <c r="AD251" i="45"/>
  <c r="AC251" i="45"/>
  <c r="AB251" i="45"/>
  <c r="AA251" i="45"/>
  <c r="Z251" i="45"/>
  <c r="M251" i="45"/>
  <c r="O251" i="45"/>
  <c r="G251" i="45"/>
  <c r="B251" i="45"/>
  <c r="AE250" i="45"/>
  <c r="AD250" i="45"/>
  <c r="AC250" i="45"/>
  <c r="AB250" i="45"/>
  <c r="AA250" i="45"/>
  <c r="Z250" i="45"/>
  <c r="M250" i="45"/>
  <c r="O250" i="45"/>
  <c r="G250" i="45"/>
  <c r="B250" i="45"/>
  <c r="AE249" i="45"/>
  <c r="AD249" i="45"/>
  <c r="AC249" i="45"/>
  <c r="AB249" i="45"/>
  <c r="AA249" i="45"/>
  <c r="Z249" i="45"/>
  <c r="M249" i="45"/>
  <c r="O249" i="45"/>
  <c r="G249" i="45"/>
  <c r="B249" i="45"/>
  <c r="AE248" i="45"/>
  <c r="AD248" i="45"/>
  <c r="AC248" i="45"/>
  <c r="AB248" i="45"/>
  <c r="AA248" i="45"/>
  <c r="Z248" i="45"/>
  <c r="M248" i="45"/>
  <c r="O248" i="45"/>
  <c r="G248" i="45"/>
  <c r="B248" i="45"/>
  <c r="AE247" i="45"/>
  <c r="AD247" i="45"/>
  <c r="AC247" i="45"/>
  <c r="AB247" i="45"/>
  <c r="AA247" i="45"/>
  <c r="Z247" i="45"/>
  <c r="M247" i="45"/>
  <c r="O247" i="45"/>
  <c r="G247" i="45"/>
  <c r="B247" i="45"/>
  <c r="AE246" i="45"/>
  <c r="AD246" i="45"/>
  <c r="AC246" i="45"/>
  <c r="AB246" i="45"/>
  <c r="AA246" i="45"/>
  <c r="Z246" i="45"/>
  <c r="M246" i="45"/>
  <c r="O246" i="45"/>
  <c r="G246" i="45"/>
  <c r="B246" i="45"/>
  <c r="AE245" i="45"/>
  <c r="AD245" i="45"/>
  <c r="AC245" i="45"/>
  <c r="AB245" i="45"/>
  <c r="AA245" i="45"/>
  <c r="Z245" i="45"/>
  <c r="M245" i="45"/>
  <c r="O245" i="45"/>
  <c r="G245" i="45"/>
  <c r="B245" i="45"/>
  <c r="AE244" i="45"/>
  <c r="AD244" i="45"/>
  <c r="AC244" i="45"/>
  <c r="AB244" i="45"/>
  <c r="AA244" i="45"/>
  <c r="Z244" i="45"/>
  <c r="M244" i="45"/>
  <c r="O244" i="45"/>
  <c r="G244" i="45"/>
  <c r="B244" i="45"/>
  <c r="AE243" i="45"/>
  <c r="AD243" i="45"/>
  <c r="AC243" i="45"/>
  <c r="AB243" i="45"/>
  <c r="AA243" i="45"/>
  <c r="Z243" i="45"/>
  <c r="M243" i="45"/>
  <c r="O243" i="45"/>
  <c r="G243" i="45"/>
  <c r="B243" i="45"/>
  <c r="AE242" i="45"/>
  <c r="AD242" i="45"/>
  <c r="AC242" i="45"/>
  <c r="AB242" i="45"/>
  <c r="AA242" i="45"/>
  <c r="Z242" i="45"/>
  <c r="M242" i="45"/>
  <c r="O242" i="45"/>
  <c r="G242" i="45"/>
  <c r="B242" i="45"/>
  <c r="AE241" i="45"/>
  <c r="AD241" i="45"/>
  <c r="AC241" i="45"/>
  <c r="AB241" i="45"/>
  <c r="AA241" i="45"/>
  <c r="Z241" i="45"/>
  <c r="M241" i="45"/>
  <c r="O241" i="45"/>
  <c r="G241" i="45"/>
  <c r="B241" i="45"/>
  <c r="AE240" i="45"/>
  <c r="AD240" i="45"/>
  <c r="AC240" i="45"/>
  <c r="AB240" i="45"/>
  <c r="AA240" i="45"/>
  <c r="Z240" i="45"/>
  <c r="M240" i="45"/>
  <c r="O240" i="45"/>
  <c r="G240" i="45"/>
  <c r="B240" i="45"/>
  <c r="AE239" i="45"/>
  <c r="AD239" i="45"/>
  <c r="AC239" i="45"/>
  <c r="AB239" i="45"/>
  <c r="AA239" i="45"/>
  <c r="Z239" i="45"/>
  <c r="M239" i="45"/>
  <c r="O239" i="45"/>
  <c r="G239" i="45"/>
  <c r="B239" i="45"/>
  <c r="AE238" i="45"/>
  <c r="AD238" i="45"/>
  <c r="AC238" i="45"/>
  <c r="AB238" i="45"/>
  <c r="AA238" i="45"/>
  <c r="Z238" i="45"/>
  <c r="M238" i="45"/>
  <c r="O238" i="45"/>
  <c r="G238" i="45"/>
  <c r="B238" i="45"/>
  <c r="AE237" i="45"/>
  <c r="AD237" i="45"/>
  <c r="AC237" i="45"/>
  <c r="AB237" i="45"/>
  <c r="AA237" i="45"/>
  <c r="Z237" i="45"/>
  <c r="M237" i="45"/>
  <c r="O237" i="45"/>
  <c r="G237" i="45"/>
  <c r="B237" i="45"/>
  <c r="AE236" i="45"/>
  <c r="AD236" i="45"/>
  <c r="AC236" i="45"/>
  <c r="AB236" i="45"/>
  <c r="AA236" i="45"/>
  <c r="Z236" i="45"/>
  <c r="M236" i="45"/>
  <c r="O236" i="45"/>
  <c r="G236" i="45"/>
  <c r="B236" i="45"/>
  <c r="AE235" i="45"/>
  <c r="AD235" i="45"/>
  <c r="AC235" i="45"/>
  <c r="AB235" i="45"/>
  <c r="AA235" i="45"/>
  <c r="Z235" i="45"/>
  <c r="M235" i="45"/>
  <c r="O235" i="45"/>
  <c r="G235" i="45"/>
  <c r="B235" i="45"/>
  <c r="AE234" i="45"/>
  <c r="AD234" i="45"/>
  <c r="AC234" i="45"/>
  <c r="AB234" i="45"/>
  <c r="AA234" i="45"/>
  <c r="Z234" i="45"/>
  <c r="M234" i="45"/>
  <c r="O234" i="45"/>
  <c r="G234" i="45"/>
  <c r="B234" i="45"/>
  <c r="AE233" i="45"/>
  <c r="AD233" i="45"/>
  <c r="AC233" i="45"/>
  <c r="AB233" i="45"/>
  <c r="AA233" i="45"/>
  <c r="Z233" i="45"/>
  <c r="M233" i="45"/>
  <c r="O233" i="45"/>
  <c r="G233" i="45"/>
  <c r="B233" i="45"/>
  <c r="AE232" i="45"/>
  <c r="AD232" i="45"/>
  <c r="AC232" i="45"/>
  <c r="AB232" i="45"/>
  <c r="AA232" i="45"/>
  <c r="Z232" i="45"/>
  <c r="M232" i="45"/>
  <c r="O232" i="45"/>
  <c r="G232" i="45"/>
  <c r="B232" i="45"/>
  <c r="AE231" i="45"/>
  <c r="AD231" i="45"/>
  <c r="AC231" i="45"/>
  <c r="AB231" i="45"/>
  <c r="AA231" i="45"/>
  <c r="Z231" i="45"/>
  <c r="M231" i="45"/>
  <c r="O231" i="45"/>
  <c r="G231" i="45"/>
  <c r="B231" i="45"/>
  <c r="AE230" i="45"/>
  <c r="AD230" i="45"/>
  <c r="AC230" i="45"/>
  <c r="AB230" i="45"/>
  <c r="AA230" i="45"/>
  <c r="Z230" i="45"/>
  <c r="M230" i="45"/>
  <c r="O230" i="45"/>
  <c r="G230" i="45"/>
  <c r="B230" i="45"/>
  <c r="AE229" i="45"/>
  <c r="AD229" i="45"/>
  <c r="AC229" i="45"/>
  <c r="AB229" i="45"/>
  <c r="AA229" i="45"/>
  <c r="Z229" i="45"/>
  <c r="M229" i="45"/>
  <c r="O229" i="45"/>
  <c r="G229" i="45"/>
  <c r="B229" i="45"/>
  <c r="AE228" i="45"/>
  <c r="AD228" i="45"/>
  <c r="AC228" i="45"/>
  <c r="AB228" i="45"/>
  <c r="AA228" i="45"/>
  <c r="Z228" i="45"/>
  <c r="M228" i="45"/>
  <c r="O228" i="45"/>
  <c r="G228" i="45"/>
  <c r="B228" i="45"/>
  <c r="AE227" i="45"/>
  <c r="AD227" i="45"/>
  <c r="AC227" i="45"/>
  <c r="AB227" i="45"/>
  <c r="AA227" i="45"/>
  <c r="Z227" i="45"/>
  <c r="M227" i="45"/>
  <c r="O227" i="45"/>
  <c r="G227" i="45"/>
  <c r="B227" i="45"/>
  <c r="AE226" i="45"/>
  <c r="AD226" i="45"/>
  <c r="AC226" i="45"/>
  <c r="AB226" i="45"/>
  <c r="AA226" i="45"/>
  <c r="Z226" i="45"/>
  <c r="M226" i="45"/>
  <c r="O226" i="45"/>
  <c r="G226" i="45"/>
  <c r="B226" i="45"/>
  <c r="AE225" i="45"/>
  <c r="AD225" i="45"/>
  <c r="AC225" i="45"/>
  <c r="AB225" i="45"/>
  <c r="AA225" i="45"/>
  <c r="Z225" i="45"/>
  <c r="M225" i="45"/>
  <c r="O225" i="45"/>
  <c r="G225" i="45"/>
  <c r="B225" i="45"/>
  <c r="AE224" i="45"/>
  <c r="AD224" i="45"/>
  <c r="AC224" i="45"/>
  <c r="AB224" i="45"/>
  <c r="AA224" i="45"/>
  <c r="Z224" i="45"/>
  <c r="M224" i="45"/>
  <c r="O224" i="45"/>
  <c r="G224" i="45"/>
  <c r="B224" i="45"/>
  <c r="AE223" i="45"/>
  <c r="AD223" i="45"/>
  <c r="AC223" i="45"/>
  <c r="AB223" i="45"/>
  <c r="AA223" i="45"/>
  <c r="Z223" i="45"/>
  <c r="M223" i="45"/>
  <c r="O223" i="45"/>
  <c r="G223" i="45"/>
  <c r="B223" i="45"/>
  <c r="AE222" i="45"/>
  <c r="AD222" i="45"/>
  <c r="AC222" i="45"/>
  <c r="AB222" i="45"/>
  <c r="AA222" i="45"/>
  <c r="Z222" i="45"/>
  <c r="M222" i="45"/>
  <c r="O222" i="45"/>
  <c r="G222" i="45"/>
  <c r="B222" i="45"/>
  <c r="AE221" i="45"/>
  <c r="AD221" i="45"/>
  <c r="AC221" i="45"/>
  <c r="AB221" i="45"/>
  <c r="AA221" i="45"/>
  <c r="Z221" i="45"/>
  <c r="M221" i="45"/>
  <c r="O221" i="45"/>
  <c r="G221" i="45"/>
  <c r="B221" i="45"/>
  <c r="AE220" i="45"/>
  <c r="AD220" i="45"/>
  <c r="AC220" i="45"/>
  <c r="AB220" i="45"/>
  <c r="AA220" i="45"/>
  <c r="Z220" i="45"/>
  <c r="M220" i="45"/>
  <c r="O220" i="45"/>
  <c r="G220" i="45"/>
  <c r="B220" i="45"/>
  <c r="AE219" i="45"/>
  <c r="AD219" i="45"/>
  <c r="AC219" i="45"/>
  <c r="AB219" i="45"/>
  <c r="AA219" i="45"/>
  <c r="Z219" i="45"/>
  <c r="M219" i="45"/>
  <c r="O219" i="45"/>
  <c r="G219" i="45"/>
  <c r="B219" i="45"/>
  <c r="AE218" i="45"/>
  <c r="AD218" i="45"/>
  <c r="AC218" i="45"/>
  <c r="AB218" i="45"/>
  <c r="AA218" i="45"/>
  <c r="Z218" i="45"/>
  <c r="M218" i="45"/>
  <c r="O218" i="45"/>
  <c r="G218" i="45"/>
  <c r="B218" i="45"/>
  <c r="AE217" i="45"/>
  <c r="AD217" i="45"/>
  <c r="AC217" i="45"/>
  <c r="AB217" i="45"/>
  <c r="AA217" i="45"/>
  <c r="Z217" i="45"/>
  <c r="M217" i="45"/>
  <c r="O217" i="45"/>
  <c r="G217" i="45"/>
  <c r="B217" i="45"/>
  <c r="AE216" i="45"/>
  <c r="AD216" i="45"/>
  <c r="AC216" i="45"/>
  <c r="AB216" i="45"/>
  <c r="AA216" i="45"/>
  <c r="Z216" i="45"/>
  <c r="M216" i="45"/>
  <c r="O216" i="45"/>
  <c r="G216" i="45"/>
  <c r="B216" i="45"/>
  <c r="AE215" i="45"/>
  <c r="AD215" i="45"/>
  <c r="AC215" i="45"/>
  <c r="AB215" i="45"/>
  <c r="AA215" i="45"/>
  <c r="Z215" i="45"/>
  <c r="M215" i="45"/>
  <c r="O215" i="45"/>
  <c r="G215" i="45"/>
  <c r="B215" i="45"/>
  <c r="AE214" i="45"/>
  <c r="AD214" i="45"/>
  <c r="AC214" i="45"/>
  <c r="AB214" i="45"/>
  <c r="AA214" i="45"/>
  <c r="Z214" i="45"/>
  <c r="M214" i="45"/>
  <c r="O214" i="45"/>
  <c r="G214" i="45"/>
  <c r="B214" i="45"/>
  <c r="AE213" i="45"/>
  <c r="AD213" i="45"/>
  <c r="AC213" i="45"/>
  <c r="AB213" i="45"/>
  <c r="AA213" i="45"/>
  <c r="Z213" i="45"/>
  <c r="M213" i="45"/>
  <c r="O213" i="45"/>
  <c r="G213" i="45"/>
  <c r="B213" i="45"/>
  <c r="AE212" i="45"/>
  <c r="AD212" i="45"/>
  <c r="AC212" i="45"/>
  <c r="AB212" i="45"/>
  <c r="AA212" i="45"/>
  <c r="Z212" i="45"/>
  <c r="M212" i="45"/>
  <c r="O212" i="45"/>
  <c r="G212" i="45"/>
  <c r="B212" i="45"/>
  <c r="AE211" i="45"/>
  <c r="AD211" i="45"/>
  <c r="AC211" i="45"/>
  <c r="AB211" i="45"/>
  <c r="AA211" i="45"/>
  <c r="Z211" i="45"/>
  <c r="M211" i="45"/>
  <c r="O211" i="45"/>
  <c r="G211" i="45"/>
  <c r="B211" i="45"/>
  <c r="AE210" i="45"/>
  <c r="AD210" i="45"/>
  <c r="AC210" i="45"/>
  <c r="AB210" i="45"/>
  <c r="AA210" i="45"/>
  <c r="Z210" i="45"/>
  <c r="M210" i="45"/>
  <c r="O210" i="45"/>
  <c r="G210" i="45"/>
  <c r="B210" i="45"/>
  <c r="AE209" i="45"/>
  <c r="AD209" i="45"/>
  <c r="AC209" i="45"/>
  <c r="AB209" i="45"/>
  <c r="AA209" i="45"/>
  <c r="Z209" i="45"/>
  <c r="M209" i="45"/>
  <c r="O209" i="45"/>
  <c r="G209" i="45"/>
  <c r="B209" i="45"/>
  <c r="AE208" i="45"/>
  <c r="AD208" i="45"/>
  <c r="AC208" i="45"/>
  <c r="AB208" i="45"/>
  <c r="AA208" i="45"/>
  <c r="Z208" i="45"/>
  <c r="M208" i="45"/>
  <c r="O208" i="45"/>
  <c r="G208" i="45"/>
  <c r="B208" i="45"/>
  <c r="AE207" i="45"/>
  <c r="AD207" i="45"/>
  <c r="AC207" i="45"/>
  <c r="AB207" i="45"/>
  <c r="AA207" i="45"/>
  <c r="Z207" i="45"/>
  <c r="M207" i="45"/>
  <c r="O207" i="45"/>
  <c r="G207" i="45"/>
  <c r="B207" i="45"/>
  <c r="AE206" i="45"/>
  <c r="AD206" i="45"/>
  <c r="AC206" i="45"/>
  <c r="AB206" i="45"/>
  <c r="AA206" i="45"/>
  <c r="Z206" i="45"/>
  <c r="M206" i="45"/>
  <c r="O206" i="45"/>
  <c r="G206" i="45"/>
  <c r="B206" i="45"/>
  <c r="AE205" i="45"/>
  <c r="AD205" i="45"/>
  <c r="AC205" i="45"/>
  <c r="AB205" i="45"/>
  <c r="AA205" i="45"/>
  <c r="Z205" i="45"/>
  <c r="M205" i="45"/>
  <c r="O205" i="45"/>
  <c r="G205" i="45"/>
  <c r="B205" i="45"/>
  <c r="AE204" i="45"/>
  <c r="AD204" i="45"/>
  <c r="AC204" i="45"/>
  <c r="AB204" i="45"/>
  <c r="AA204" i="45"/>
  <c r="Z204" i="45"/>
  <c r="M204" i="45"/>
  <c r="O204" i="45"/>
  <c r="G204" i="45"/>
  <c r="B204" i="45"/>
  <c r="AE203" i="45"/>
  <c r="AD203" i="45"/>
  <c r="AC203" i="45"/>
  <c r="AB203" i="45"/>
  <c r="AA203" i="45"/>
  <c r="Z203" i="45"/>
  <c r="M203" i="45"/>
  <c r="O203" i="45"/>
  <c r="G203" i="45"/>
  <c r="B203" i="45"/>
  <c r="AE202" i="45"/>
  <c r="AD202" i="45"/>
  <c r="AC202" i="45"/>
  <c r="AB202" i="45"/>
  <c r="AA202" i="45"/>
  <c r="Z202" i="45"/>
  <c r="M202" i="45"/>
  <c r="O202" i="45"/>
  <c r="G202" i="45"/>
  <c r="B202" i="45"/>
  <c r="AE201" i="45"/>
  <c r="AD201" i="45"/>
  <c r="AC201" i="45"/>
  <c r="AB201" i="45"/>
  <c r="AA201" i="45"/>
  <c r="Z201" i="45"/>
  <c r="M201" i="45"/>
  <c r="O201" i="45"/>
  <c r="G201" i="45"/>
  <c r="B201" i="45"/>
  <c r="AE200" i="45"/>
  <c r="AD200" i="45"/>
  <c r="AC200" i="45"/>
  <c r="AB200" i="45"/>
  <c r="AA200" i="45"/>
  <c r="Z200" i="45"/>
  <c r="M200" i="45"/>
  <c r="O200" i="45"/>
  <c r="G200" i="45"/>
  <c r="B200" i="45"/>
  <c r="AE199" i="45"/>
  <c r="AD199" i="45"/>
  <c r="AC199" i="45"/>
  <c r="AB199" i="45"/>
  <c r="AA199" i="45"/>
  <c r="Z199" i="45"/>
  <c r="M199" i="45"/>
  <c r="O199" i="45"/>
  <c r="G199" i="45"/>
  <c r="B199" i="45"/>
  <c r="AE198" i="45"/>
  <c r="AD198" i="45"/>
  <c r="AC198" i="45"/>
  <c r="AB198" i="45"/>
  <c r="AA198" i="45"/>
  <c r="Z198" i="45"/>
  <c r="M198" i="45"/>
  <c r="O198" i="45"/>
  <c r="G198" i="45"/>
  <c r="B198" i="45"/>
  <c r="AE197" i="45"/>
  <c r="AD197" i="45"/>
  <c r="AC197" i="45"/>
  <c r="AB197" i="45"/>
  <c r="AA197" i="45"/>
  <c r="Z197" i="45"/>
  <c r="M197" i="45"/>
  <c r="O197" i="45"/>
  <c r="G197" i="45"/>
  <c r="B197" i="45"/>
  <c r="AE196" i="45"/>
  <c r="AD196" i="45"/>
  <c r="AC196" i="45"/>
  <c r="AB196" i="45"/>
  <c r="AA196" i="45"/>
  <c r="Z196" i="45"/>
  <c r="M196" i="45"/>
  <c r="O196" i="45"/>
  <c r="G196" i="45"/>
  <c r="B196" i="45"/>
  <c r="AE195" i="45"/>
  <c r="AD195" i="45"/>
  <c r="AC195" i="45"/>
  <c r="AB195" i="45"/>
  <c r="AA195" i="45"/>
  <c r="Z195" i="45"/>
  <c r="M195" i="45"/>
  <c r="O195" i="45"/>
  <c r="G195" i="45"/>
  <c r="B195" i="45"/>
  <c r="AE194" i="45"/>
  <c r="AD194" i="45"/>
  <c r="AC194" i="45"/>
  <c r="AB194" i="45"/>
  <c r="AA194" i="45"/>
  <c r="Z194" i="45"/>
  <c r="M194" i="45"/>
  <c r="O194" i="45"/>
  <c r="G194" i="45"/>
  <c r="B194" i="45"/>
  <c r="AE193" i="45"/>
  <c r="AD193" i="45"/>
  <c r="AC193" i="45"/>
  <c r="AB193" i="45"/>
  <c r="AA193" i="45"/>
  <c r="Z193" i="45"/>
  <c r="M193" i="45"/>
  <c r="O193" i="45"/>
  <c r="G193" i="45"/>
  <c r="B193" i="45"/>
  <c r="AE192" i="45"/>
  <c r="AD192" i="45"/>
  <c r="AC192" i="45"/>
  <c r="AB192" i="45"/>
  <c r="AA192" i="45"/>
  <c r="Z192" i="45"/>
  <c r="M192" i="45"/>
  <c r="O192" i="45"/>
  <c r="G192" i="45"/>
  <c r="B192" i="45"/>
  <c r="AE191" i="45"/>
  <c r="AD191" i="45"/>
  <c r="AC191" i="45"/>
  <c r="AB191" i="45"/>
  <c r="AA191" i="45"/>
  <c r="Z191" i="45"/>
  <c r="M191" i="45"/>
  <c r="O191" i="45"/>
  <c r="G191" i="45"/>
  <c r="B191" i="45"/>
  <c r="AE190" i="45"/>
  <c r="AD190" i="45"/>
  <c r="AC190" i="45"/>
  <c r="AB190" i="45"/>
  <c r="AA190" i="45"/>
  <c r="Z190" i="45"/>
  <c r="M190" i="45"/>
  <c r="O190" i="45"/>
  <c r="G190" i="45"/>
  <c r="B190" i="45"/>
  <c r="AE189" i="45"/>
  <c r="AD189" i="45"/>
  <c r="AC189" i="45"/>
  <c r="AB189" i="45"/>
  <c r="AA189" i="45"/>
  <c r="Z189" i="45"/>
  <c r="M189" i="45"/>
  <c r="O189" i="45"/>
  <c r="G189" i="45"/>
  <c r="B189" i="45"/>
  <c r="AE188" i="45"/>
  <c r="AD188" i="45"/>
  <c r="AC188" i="45"/>
  <c r="AB188" i="45"/>
  <c r="AA188" i="45"/>
  <c r="Z188" i="45"/>
  <c r="M188" i="45"/>
  <c r="O188" i="45"/>
  <c r="G188" i="45"/>
  <c r="B188" i="45"/>
  <c r="AE187" i="45"/>
  <c r="AD187" i="45"/>
  <c r="AC187" i="45"/>
  <c r="AB187" i="45"/>
  <c r="AA187" i="45"/>
  <c r="Z187" i="45"/>
  <c r="M187" i="45"/>
  <c r="O187" i="45"/>
  <c r="G187" i="45"/>
  <c r="B187" i="45"/>
  <c r="AE186" i="45"/>
  <c r="AD186" i="45"/>
  <c r="AC186" i="45"/>
  <c r="AB186" i="45"/>
  <c r="AA186" i="45"/>
  <c r="Z186" i="45"/>
  <c r="M186" i="45"/>
  <c r="O186" i="45"/>
  <c r="G186" i="45"/>
  <c r="B186" i="45"/>
  <c r="AE185" i="45"/>
  <c r="AD185" i="45"/>
  <c r="AC185" i="45"/>
  <c r="AB185" i="45"/>
  <c r="AA185" i="45"/>
  <c r="Z185" i="45"/>
  <c r="M185" i="45"/>
  <c r="O185" i="45"/>
  <c r="G185" i="45"/>
  <c r="B185" i="45"/>
  <c r="AE184" i="45"/>
  <c r="AD184" i="45"/>
  <c r="AC184" i="45"/>
  <c r="AB184" i="45"/>
  <c r="AA184" i="45"/>
  <c r="Z184" i="45"/>
  <c r="M184" i="45"/>
  <c r="O184" i="45"/>
  <c r="G184" i="45"/>
  <c r="B184" i="45"/>
  <c r="AE183" i="45"/>
  <c r="AD183" i="45"/>
  <c r="AC183" i="45"/>
  <c r="AB183" i="45"/>
  <c r="AA183" i="45"/>
  <c r="Z183" i="45"/>
  <c r="M183" i="45"/>
  <c r="O183" i="45"/>
  <c r="G183" i="45"/>
  <c r="B183" i="45"/>
  <c r="AE182" i="45"/>
  <c r="AD182" i="45"/>
  <c r="AC182" i="45"/>
  <c r="AB182" i="45"/>
  <c r="AA182" i="45"/>
  <c r="Z182" i="45"/>
  <c r="M182" i="45"/>
  <c r="O182" i="45"/>
  <c r="G182" i="45"/>
  <c r="B182" i="45"/>
  <c r="AE181" i="45"/>
  <c r="AD181" i="45"/>
  <c r="AC181" i="45"/>
  <c r="AB181" i="45"/>
  <c r="AA181" i="45"/>
  <c r="Z181" i="45"/>
  <c r="M181" i="45"/>
  <c r="O181" i="45"/>
  <c r="G181" i="45"/>
  <c r="B181" i="45"/>
  <c r="AE180" i="45"/>
  <c r="AD180" i="45"/>
  <c r="AC180" i="45"/>
  <c r="AB180" i="45"/>
  <c r="AA180" i="45"/>
  <c r="Z180" i="45"/>
  <c r="M180" i="45"/>
  <c r="O180" i="45"/>
  <c r="G180" i="45"/>
  <c r="B180" i="45"/>
  <c r="AE179" i="45"/>
  <c r="AD179" i="45"/>
  <c r="AC179" i="45"/>
  <c r="AB179" i="45"/>
  <c r="AA179" i="45"/>
  <c r="Z179" i="45"/>
  <c r="M179" i="45"/>
  <c r="O179" i="45"/>
  <c r="G179" i="45"/>
  <c r="B179" i="45"/>
  <c r="AE178" i="45"/>
  <c r="AD178" i="45"/>
  <c r="AC178" i="45"/>
  <c r="AB178" i="45"/>
  <c r="AA178" i="45"/>
  <c r="Z178" i="45"/>
  <c r="M178" i="45"/>
  <c r="O178" i="45"/>
  <c r="G178" i="45"/>
  <c r="B178" i="45"/>
  <c r="AE177" i="45"/>
  <c r="AD177" i="45"/>
  <c r="AC177" i="45"/>
  <c r="AB177" i="45"/>
  <c r="AA177" i="45"/>
  <c r="Z177" i="45"/>
  <c r="M177" i="45"/>
  <c r="O177" i="45"/>
  <c r="G177" i="45"/>
  <c r="B177" i="45"/>
  <c r="AE176" i="45"/>
  <c r="AD176" i="45"/>
  <c r="AC176" i="45"/>
  <c r="AB176" i="45"/>
  <c r="AA176" i="45"/>
  <c r="Z176" i="45"/>
  <c r="M176" i="45"/>
  <c r="O176" i="45"/>
  <c r="G176" i="45"/>
  <c r="B176" i="45"/>
  <c r="AE175" i="45"/>
  <c r="AD175" i="45"/>
  <c r="AC175" i="45"/>
  <c r="AB175" i="45"/>
  <c r="AA175" i="45"/>
  <c r="Z175" i="45"/>
  <c r="M175" i="45"/>
  <c r="O175" i="45"/>
  <c r="G175" i="45"/>
  <c r="B175" i="45"/>
  <c r="AE174" i="45"/>
  <c r="AD174" i="45"/>
  <c r="AC174" i="45"/>
  <c r="AB174" i="45"/>
  <c r="AA174" i="45"/>
  <c r="Z174" i="45"/>
  <c r="M174" i="45"/>
  <c r="O174" i="45"/>
  <c r="G174" i="45"/>
  <c r="B174" i="45"/>
  <c r="AE173" i="45"/>
  <c r="AD173" i="45"/>
  <c r="AC173" i="45"/>
  <c r="AB173" i="45"/>
  <c r="AA173" i="45"/>
  <c r="Z173" i="45"/>
  <c r="M173" i="45"/>
  <c r="O173" i="45"/>
  <c r="G173" i="45"/>
  <c r="B173" i="45"/>
  <c r="AE172" i="45"/>
  <c r="AD172" i="45"/>
  <c r="AC172" i="45"/>
  <c r="AB172" i="45"/>
  <c r="AA172" i="45"/>
  <c r="Z172" i="45"/>
  <c r="M172" i="45"/>
  <c r="O172" i="45"/>
  <c r="G172" i="45"/>
  <c r="B172" i="45"/>
  <c r="AE171" i="45"/>
  <c r="AD171" i="45"/>
  <c r="AC171" i="45"/>
  <c r="AB171" i="45"/>
  <c r="AA171" i="45"/>
  <c r="Z171" i="45"/>
  <c r="M171" i="45"/>
  <c r="O171" i="45"/>
  <c r="G171" i="45"/>
  <c r="B171" i="45"/>
  <c r="AE170" i="45"/>
  <c r="AD170" i="45"/>
  <c r="AC170" i="45"/>
  <c r="AB170" i="45"/>
  <c r="AA170" i="45"/>
  <c r="Z170" i="45"/>
  <c r="M170" i="45"/>
  <c r="O170" i="45"/>
  <c r="G170" i="45"/>
  <c r="B170" i="45"/>
  <c r="AE169" i="45"/>
  <c r="AD169" i="45"/>
  <c r="AC169" i="45"/>
  <c r="AB169" i="45"/>
  <c r="AA169" i="45"/>
  <c r="Z169" i="45"/>
  <c r="M169" i="45"/>
  <c r="O169" i="45"/>
  <c r="G169" i="45"/>
  <c r="B169" i="45"/>
  <c r="AE168" i="45"/>
  <c r="AD168" i="45"/>
  <c r="AC168" i="45"/>
  <c r="AB168" i="45"/>
  <c r="AA168" i="45"/>
  <c r="Z168" i="45"/>
  <c r="M168" i="45"/>
  <c r="O168" i="45"/>
  <c r="G168" i="45"/>
  <c r="B168" i="45"/>
  <c r="AE167" i="45"/>
  <c r="AD167" i="45"/>
  <c r="AC167" i="45"/>
  <c r="AB167" i="45"/>
  <c r="AA167" i="45"/>
  <c r="Z167" i="45"/>
  <c r="M167" i="45"/>
  <c r="O167" i="45"/>
  <c r="G167" i="45"/>
  <c r="B167" i="45"/>
  <c r="AE166" i="45"/>
  <c r="AD166" i="45"/>
  <c r="AC166" i="45"/>
  <c r="AB166" i="45"/>
  <c r="AA166" i="45"/>
  <c r="Z166" i="45"/>
  <c r="M166" i="45"/>
  <c r="O166" i="45"/>
  <c r="G166" i="45"/>
  <c r="B166" i="45"/>
  <c r="AE165" i="45"/>
  <c r="AD165" i="45"/>
  <c r="AC165" i="45"/>
  <c r="AB165" i="45"/>
  <c r="AA165" i="45"/>
  <c r="Z165" i="45"/>
  <c r="M165" i="45"/>
  <c r="O165" i="45"/>
  <c r="G165" i="45"/>
  <c r="B165" i="45"/>
  <c r="AE164" i="45"/>
  <c r="AD164" i="45"/>
  <c r="AC164" i="45"/>
  <c r="AB164" i="45"/>
  <c r="AA164" i="45"/>
  <c r="Z164" i="45"/>
  <c r="M164" i="45"/>
  <c r="O164" i="45"/>
  <c r="G164" i="45"/>
  <c r="B164" i="45"/>
  <c r="AE163" i="45"/>
  <c r="AD163" i="45"/>
  <c r="AC163" i="45"/>
  <c r="AB163" i="45"/>
  <c r="AA163" i="45"/>
  <c r="Z163" i="45"/>
  <c r="M163" i="45"/>
  <c r="O163" i="45"/>
  <c r="G163" i="45"/>
  <c r="B163" i="45"/>
  <c r="AE162" i="45"/>
  <c r="AD162" i="45"/>
  <c r="AC162" i="45"/>
  <c r="AB162" i="45"/>
  <c r="AA162" i="45"/>
  <c r="Z162" i="45"/>
  <c r="M162" i="45"/>
  <c r="O162" i="45"/>
  <c r="G162" i="45"/>
  <c r="B162" i="45"/>
  <c r="AE161" i="45"/>
  <c r="AD161" i="45"/>
  <c r="AC161" i="45"/>
  <c r="AB161" i="45"/>
  <c r="AA161" i="45"/>
  <c r="Z161" i="45"/>
  <c r="M161" i="45"/>
  <c r="O161" i="45"/>
  <c r="G161" i="45"/>
  <c r="B161" i="45"/>
  <c r="AE160" i="45"/>
  <c r="AD160" i="45"/>
  <c r="AC160" i="45"/>
  <c r="AB160" i="45"/>
  <c r="AA160" i="45"/>
  <c r="Z160" i="45"/>
  <c r="M160" i="45"/>
  <c r="O160" i="45"/>
  <c r="G160" i="45"/>
  <c r="B160" i="45"/>
  <c r="AE159" i="45"/>
  <c r="AD159" i="45"/>
  <c r="AC159" i="45"/>
  <c r="AB159" i="45"/>
  <c r="AA159" i="45"/>
  <c r="Z159" i="45"/>
  <c r="M159" i="45"/>
  <c r="O159" i="45"/>
  <c r="G159" i="45"/>
  <c r="B159" i="45"/>
  <c r="AE158" i="45"/>
  <c r="AD158" i="45"/>
  <c r="AC158" i="45"/>
  <c r="AB158" i="45"/>
  <c r="AA158" i="45"/>
  <c r="Z158" i="45"/>
  <c r="M158" i="45"/>
  <c r="O158" i="45"/>
  <c r="G158" i="45"/>
  <c r="B158" i="45"/>
  <c r="AE157" i="45"/>
  <c r="AD157" i="45"/>
  <c r="AC157" i="45"/>
  <c r="AB157" i="45"/>
  <c r="AA157" i="45"/>
  <c r="Z157" i="45"/>
  <c r="M157" i="45"/>
  <c r="O157" i="45"/>
  <c r="G157" i="45"/>
  <c r="B157" i="45"/>
  <c r="AE156" i="45"/>
  <c r="AD156" i="45"/>
  <c r="AC156" i="45"/>
  <c r="AB156" i="45"/>
  <c r="AA156" i="45"/>
  <c r="Z156" i="45"/>
  <c r="M156" i="45"/>
  <c r="O156" i="45"/>
  <c r="G156" i="45"/>
  <c r="B156" i="45"/>
  <c r="AE155" i="45"/>
  <c r="AD155" i="45"/>
  <c r="AC155" i="45"/>
  <c r="AB155" i="45"/>
  <c r="AA155" i="45"/>
  <c r="Z155" i="45"/>
  <c r="M155" i="45"/>
  <c r="O155" i="45"/>
  <c r="G155" i="45"/>
  <c r="B155" i="45"/>
  <c r="AE154" i="45"/>
  <c r="AD154" i="45"/>
  <c r="AC154" i="45"/>
  <c r="AB154" i="45"/>
  <c r="AA154" i="45"/>
  <c r="Z154" i="45"/>
  <c r="M154" i="45"/>
  <c r="O154" i="45"/>
  <c r="G154" i="45"/>
  <c r="B154" i="45"/>
  <c r="AE153" i="45"/>
  <c r="AD153" i="45"/>
  <c r="AC153" i="45"/>
  <c r="AB153" i="45"/>
  <c r="AA153" i="45"/>
  <c r="Z153" i="45"/>
  <c r="M153" i="45"/>
  <c r="O153" i="45"/>
  <c r="G153" i="45"/>
  <c r="B153" i="45"/>
  <c r="AE152" i="45"/>
  <c r="AD152" i="45"/>
  <c r="AC152" i="45"/>
  <c r="AB152" i="45"/>
  <c r="AA152" i="45"/>
  <c r="Z152" i="45"/>
  <c r="M152" i="45"/>
  <c r="O152" i="45"/>
  <c r="G152" i="45"/>
  <c r="B152" i="45"/>
  <c r="AE151" i="45"/>
  <c r="AD151" i="45"/>
  <c r="AC151" i="45"/>
  <c r="AB151" i="45"/>
  <c r="AA151" i="45"/>
  <c r="Z151" i="45"/>
  <c r="M151" i="45"/>
  <c r="O151" i="45"/>
  <c r="G151" i="45"/>
  <c r="B151" i="45"/>
  <c r="AE150" i="45"/>
  <c r="AD150" i="45"/>
  <c r="AC150" i="45"/>
  <c r="AB150" i="45"/>
  <c r="AA150" i="45"/>
  <c r="Z150" i="45"/>
  <c r="M150" i="45"/>
  <c r="O150" i="45"/>
  <c r="G150" i="45"/>
  <c r="B150" i="45"/>
  <c r="AE149" i="45"/>
  <c r="AD149" i="45"/>
  <c r="AC149" i="45"/>
  <c r="AB149" i="45"/>
  <c r="AA149" i="45"/>
  <c r="Z149" i="45"/>
  <c r="M149" i="45"/>
  <c r="O149" i="45"/>
  <c r="G149" i="45"/>
  <c r="B149" i="45"/>
  <c r="AE148" i="45"/>
  <c r="AD148" i="45"/>
  <c r="AC148" i="45"/>
  <c r="AB148" i="45"/>
  <c r="AA148" i="45"/>
  <c r="Z148" i="45"/>
  <c r="M148" i="45"/>
  <c r="O148" i="45"/>
  <c r="G148" i="45"/>
  <c r="B148" i="45"/>
  <c r="AE147" i="45"/>
  <c r="AD147" i="45"/>
  <c r="AC147" i="45"/>
  <c r="AB147" i="45"/>
  <c r="AA147" i="45"/>
  <c r="Z147" i="45"/>
  <c r="M147" i="45"/>
  <c r="O147" i="45"/>
  <c r="G147" i="45"/>
  <c r="B147" i="45"/>
  <c r="AE146" i="45"/>
  <c r="AD146" i="45"/>
  <c r="AC146" i="45"/>
  <c r="AB146" i="45"/>
  <c r="AA146" i="45"/>
  <c r="Z146" i="45"/>
  <c r="M146" i="45"/>
  <c r="O146" i="45"/>
  <c r="G146" i="45"/>
  <c r="B146" i="45"/>
  <c r="AE145" i="45"/>
  <c r="AD145" i="45"/>
  <c r="AC145" i="45"/>
  <c r="AB145" i="45"/>
  <c r="AA145" i="45"/>
  <c r="Z145" i="45"/>
  <c r="M145" i="45"/>
  <c r="O145" i="45"/>
  <c r="G145" i="45"/>
  <c r="B145" i="45"/>
  <c r="AE144" i="45"/>
  <c r="AD144" i="45"/>
  <c r="AC144" i="45"/>
  <c r="AB144" i="45"/>
  <c r="AA144" i="45"/>
  <c r="Z144" i="45"/>
  <c r="M144" i="45"/>
  <c r="O144" i="45"/>
  <c r="G144" i="45"/>
  <c r="B144" i="45"/>
  <c r="AE143" i="45"/>
  <c r="AD143" i="45"/>
  <c r="AC143" i="45"/>
  <c r="AB143" i="45"/>
  <c r="AA143" i="45"/>
  <c r="Z143" i="45"/>
  <c r="M143" i="45"/>
  <c r="O143" i="45"/>
  <c r="G143" i="45"/>
  <c r="B143" i="45"/>
  <c r="AE142" i="45"/>
  <c r="AD142" i="45"/>
  <c r="AC142" i="45"/>
  <c r="AB142" i="45"/>
  <c r="AA142" i="45"/>
  <c r="Z142" i="45"/>
  <c r="M142" i="45"/>
  <c r="O142" i="45"/>
  <c r="G142" i="45"/>
  <c r="B142" i="45"/>
  <c r="AE141" i="45"/>
  <c r="AD141" i="45"/>
  <c r="AC141" i="45"/>
  <c r="AB141" i="45"/>
  <c r="AA141" i="45"/>
  <c r="Z141" i="45"/>
  <c r="M141" i="45"/>
  <c r="O141" i="45"/>
  <c r="G141" i="45"/>
  <c r="B141" i="45"/>
  <c r="AE140" i="45"/>
  <c r="AD140" i="45"/>
  <c r="AC140" i="45"/>
  <c r="AB140" i="45"/>
  <c r="AA140" i="45"/>
  <c r="Z140" i="45"/>
  <c r="M140" i="45"/>
  <c r="O140" i="45"/>
  <c r="G140" i="45"/>
  <c r="B140" i="45"/>
  <c r="AE139" i="45"/>
  <c r="AD139" i="45"/>
  <c r="AC139" i="45"/>
  <c r="AB139" i="45"/>
  <c r="AA139" i="45"/>
  <c r="Z139" i="45"/>
  <c r="M139" i="45"/>
  <c r="O139" i="45"/>
  <c r="G139" i="45"/>
  <c r="B139" i="45"/>
  <c r="AE138" i="45"/>
  <c r="AD138" i="45"/>
  <c r="AC138" i="45"/>
  <c r="AB138" i="45"/>
  <c r="AA138" i="45"/>
  <c r="Z138" i="45"/>
  <c r="M138" i="45"/>
  <c r="O138" i="45"/>
  <c r="G138" i="45"/>
  <c r="B138" i="45"/>
  <c r="AE137" i="45"/>
  <c r="AD137" i="45"/>
  <c r="AC137" i="45"/>
  <c r="AB137" i="45"/>
  <c r="AA137" i="45"/>
  <c r="Z137" i="45"/>
  <c r="M137" i="45"/>
  <c r="O137" i="45"/>
  <c r="G137" i="45"/>
  <c r="B137" i="45"/>
  <c r="AE136" i="45"/>
  <c r="AD136" i="45"/>
  <c r="AC136" i="45"/>
  <c r="AB136" i="45"/>
  <c r="AA136" i="45"/>
  <c r="Z136" i="45"/>
  <c r="M136" i="45"/>
  <c r="O136" i="45"/>
  <c r="G136" i="45"/>
  <c r="B136" i="45"/>
  <c r="AE135" i="45"/>
  <c r="AD135" i="45"/>
  <c r="AC135" i="45"/>
  <c r="AB135" i="45"/>
  <c r="AA135" i="45"/>
  <c r="Z135" i="45"/>
  <c r="M135" i="45"/>
  <c r="O135" i="45"/>
  <c r="G135" i="45"/>
  <c r="B135" i="45"/>
  <c r="AE134" i="45"/>
  <c r="AD134" i="45"/>
  <c r="AC134" i="45"/>
  <c r="AB134" i="45"/>
  <c r="AA134" i="45"/>
  <c r="Z134" i="45"/>
  <c r="M134" i="45"/>
  <c r="O134" i="45"/>
  <c r="G134" i="45"/>
  <c r="B134" i="45"/>
  <c r="AE133" i="45"/>
  <c r="AD133" i="45"/>
  <c r="AC133" i="45"/>
  <c r="AB133" i="45"/>
  <c r="AA133" i="45"/>
  <c r="Z133" i="45"/>
  <c r="M133" i="45"/>
  <c r="O133" i="45"/>
  <c r="G133" i="45"/>
  <c r="B133" i="45"/>
  <c r="AE132" i="45"/>
  <c r="AD132" i="45"/>
  <c r="AC132" i="45"/>
  <c r="AB132" i="45"/>
  <c r="AA132" i="45"/>
  <c r="Z132" i="45"/>
  <c r="M132" i="45"/>
  <c r="O132" i="45"/>
  <c r="G132" i="45"/>
  <c r="B132" i="45"/>
  <c r="AE131" i="45"/>
  <c r="AD131" i="45"/>
  <c r="AC131" i="45"/>
  <c r="AB131" i="45"/>
  <c r="AA131" i="45"/>
  <c r="Z131" i="45"/>
  <c r="M131" i="45"/>
  <c r="O131" i="45"/>
  <c r="G131" i="45"/>
  <c r="B131" i="45"/>
  <c r="AE130" i="45"/>
  <c r="AD130" i="45"/>
  <c r="AC130" i="45"/>
  <c r="AB130" i="45"/>
  <c r="AA130" i="45"/>
  <c r="Z130" i="45"/>
  <c r="M130" i="45"/>
  <c r="O130" i="45"/>
  <c r="G130" i="45"/>
  <c r="B130" i="45"/>
  <c r="AE129" i="45"/>
  <c r="AD129" i="45"/>
  <c r="AC129" i="45"/>
  <c r="AB129" i="45"/>
  <c r="AA129" i="45"/>
  <c r="Z129" i="45"/>
  <c r="M129" i="45"/>
  <c r="O129" i="45"/>
  <c r="G129" i="45"/>
  <c r="B129" i="45"/>
  <c r="AE128" i="45"/>
  <c r="AD128" i="45"/>
  <c r="AC128" i="45"/>
  <c r="AB128" i="45"/>
  <c r="AA128" i="45"/>
  <c r="Z128" i="45"/>
  <c r="M128" i="45"/>
  <c r="O128" i="45"/>
  <c r="G128" i="45"/>
  <c r="B128" i="45"/>
  <c r="AE127" i="45"/>
  <c r="AD127" i="45"/>
  <c r="AC127" i="45"/>
  <c r="AB127" i="45"/>
  <c r="AA127" i="45"/>
  <c r="Z127" i="45"/>
  <c r="M127" i="45"/>
  <c r="O127" i="45"/>
  <c r="G127" i="45"/>
  <c r="B127" i="45"/>
  <c r="AE126" i="45"/>
  <c r="AD126" i="45"/>
  <c r="AC126" i="45"/>
  <c r="AB126" i="45"/>
  <c r="AA126" i="45"/>
  <c r="Z126" i="45"/>
  <c r="M126" i="45"/>
  <c r="O126" i="45"/>
  <c r="G126" i="45"/>
  <c r="B126" i="45"/>
  <c r="AE125" i="45"/>
  <c r="AD125" i="45"/>
  <c r="AC125" i="45"/>
  <c r="AB125" i="45"/>
  <c r="AA125" i="45"/>
  <c r="Z125" i="45"/>
  <c r="M125" i="45"/>
  <c r="O125" i="45"/>
  <c r="G125" i="45"/>
  <c r="B125" i="45"/>
  <c r="AE124" i="45"/>
  <c r="AD124" i="45"/>
  <c r="AC124" i="45"/>
  <c r="AB124" i="45"/>
  <c r="AA124" i="45"/>
  <c r="Z124" i="45"/>
  <c r="M124" i="45"/>
  <c r="O124" i="45"/>
  <c r="G124" i="45"/>
  <c r="B124" i="45"/>
  <c r="AE123" i="45"/>
  <c r="AD123" i="45"/>
  <c r="AC123" i="45"/>
  <c r="AB123" i="45"/>
  <c r="AA123" i="45"/>
  <c r="Z123" i="45"/>
  <c r="M123" i="45"/>
  <c r="O123" i="45"/>
  <c r="G123" i="45"/>
  <c r="B123" i="45"/>
  <c r="AE122" i="45"/>
  <c r="AD122" i="45"/>
  <c r="AC122" i="45"/>
  <c r="AB122" i="45"/>
  <c r="AA122" i="45"/>
  <c r="Z122" i="45"/>
  <c r="M122" i="45"/>
  <c r="O122" i="45"/>
  <c r="G122" i="45"/>
  <c r="B122" i="45"/>
  <c r="AE121" i="45"/>
  <c r="AD121" i="45"/>
  <c r="AC121" i="45"/>
  <c r="AB121" i="45"/>
  <c r="AA121" i="45"/>
  <c r="Z121" i="45"/>
  <c r="M121" i="45"/>
  <c r="O121" i="45"/>
  <c r="G121" i="45"/>
  <c r="B121" i="45"/>
  <c r="AE120" i="45"/>
  <c r="AD120" i="45"/>
  <c r="AC120" i="45"/>
  <c r="AB120" i="45"/>
  <c r="AA120" i="45"/>
  <c r="Z120" i="45"/>
  <c r="M120" i="45"/>
  <c r="O120" i="45"/>
  <c r="G120" i="45"/>
  <c r="B120" i="45"/>
  <c r="AE119" i="45"/>
  <c r="AD119" i="45"/>
  <c r="AC119" i="45"/>
  <c r="AB119" i="45"/>
  <c r="AA119" i="45"/>
  <c r="Z119" i="45"/>
  <c r="M119" i="45"/>
  <c r="O119" i="45"/>
  <c r="G119" i="45"/>
  <c r="B119" i="45"/>
  <c r="AE118" i="45"/>
  <c r="AD118" i="45"/>
  <c r="AC118" i="45"/>
  <c r="AB118" i="45"/>
  <c r="AA118" i="45"/>
  <c r="Z118" i="45"/>
  <c r="M118" i="45"/>
  <c r="O118" i="45"/>
  <c r="G118" i="45"/>
  <c r="B118" i="45"/>
  <c r="AE117" i="45"/>
  <c r="AD117" i="45"/>
  <c r="AC117" i="45"/>
  <c r="AB117" i="45"/>
  <c r="AA117" i="45"/>
  <c r="Z117" i="45"/>
  <c r="M117" i="45"/>
  <c r="O117" i="45"/>
  <c r="G117" i="45"/>
  <c r="B117" i="45"/>
  <c r="AE116" i="45"/>
  <c r="AD116" i="45"/>
  <c r="AC116" i="45"/>
  <c r="AB116" i="45"/>
  <c r="AA116" i="45"/>
  <c r="Z116" i="45"/>
  <c r="M116" i="45"/>
  <c r="O116" i="45"/>
  <c r="G116" i="45"/>
  <c r="B116" i="45"/>
  <c r="AE115" i="45"/>
  <c r="AD115" i="45"/>
  <c r="AC115" i="45"/>
  <c r="AB115" i="45"/>
  <c r="AA115" i="45"/>
  <c r="Z115" i="45"/>
  <c r="M115" i="45"/>
  <c r="O115" i="45"/>
  <c r="G115" i="45"/>
  <c r="B115" i="45"/>
  <c r="AE114" i="45"/>
  <c r="AD114" i="45"/>
  <c r="AC114" i="45"/>
  <c r="AB114" i="45"/>
  <c r="AA114" i="45"/>
  <c r="Z114" i="45"/>
  <c r="M114" i="45"/>
  <c r="O114" i="45"/>
  <c r="G114" i="45"/>
  <c r="B114" i="45"/>
  <c r="AE113" i="45"/>
  <c r="AD113" i="45"/>
  <c r="AC113" i="45"/>
  <c r="AB113" i="45"/>
  <c r="AA113" i="45"/>
  <c r="Z113" i="45"/>
  <c r="M113" i="45"/>
  <c r="O113" i="45"/>
  <c r="G113" i="45"/>
  <c r="B113" i="45"/>
  <c r="AE112" i="45"/>
  <c r="AD112" i="45"/>
  <c r="AC112" i="45"/>
  <c r="AB112" i="45"/>
  <c r="AA112" i="45"/>
  <c r="Z112" i="45"/>
  <c r="M112" i="45"/>
  <c r="O112" i="45"/>
  <c r="G112" i="45"/>
  <c r="B112" i="45"/>
  <c r="AE111" i="45"/>
  <c r="AD111" i="45"/>
  <c r="AC111" i="45"/>
  <c r="AB111" i="45"/>
  <c r="AA111" i="45"/>
  <c r="Z111" i="45"/>
  <c r="M111" i="45"/>
  <c r="O111" i="45"/>
  <c r="G111" i="45"/>
  <c r="B111" i="45"/>
  <c r="AE110" i="45"/>
  <c r="AD110" i="45"/>
  <c r="AC110" i="45"/>
  <c r="AB110" i="45"/>
  <c r="AA110" i="45"/>
  <c r="Z110" i="45"/>
  <c r="M110" i="45"/>
  <c r="O110" i="45"/>
  <c r="G110" i="45"/>
  <c r="B110" i="45"/>
  <c r="AE109" i="45"/>
  <c r="AD109" i="45"/>
  <c r="AC109" i="45"/>
  <c r="AB109" i="45"/>
  <c r="AA109" i="45"/>
  <c r="Z109" i="45"/>
  <c r="M109" i="45"/>
  <c r="O109" i="45"/>
  <c r="G109" i="45"/>
  <c r="B109" i="45"/>
  <c r="AE108" i="45"/>
  <c r="AD108" i="45"/>
  <c r="AC108" i="45"/>
  <c r="AB108" i="45"/>
  <c r="AA108" i="45"/>
  <c r="Z108" i="45"/>
  <c r="M108" i="45"/>
  <c r="O108" i="45"/>
  <c r="G108" i="45"/>
  <c r="B108" i="45"/>
  <c r="AE107" i="45"/>
  <c r="AD107" i="45"/>
  <c r="AC107" i="45"/>
  <c r="AB107" i="45"/>
  <c r="AA107" i="45"/>
  <c r="Z107" i="45"/>
  <c r="M107" i="45"/>
  <c r="O107" i="45"/>
  <c r="G107" i="45"/>
  <c r="B107" i="45"/>
  <c r="AE106" i="45"/>
  <c r="AD106" i="45"/>
  <c r="AC106" i="45"/>
  <c r="AB106" i="45"/>
  <c r="AA106" i="45"/>
  <c r="Z106" i="45"/>
  <c r="M106" i="45"/>
  <c r="O106" i="45"/>
  <c r="G106" i="45"/>
  <c r="B106" i="45"/>
  <c r="AE105" i="45"/>
  <c r="AD105" i="45"/>
  <c r="AC105" i="45"/>
  <c r="AB105" i="45"/>
  <c r="AA105" i="45"/>
  <c r="Z105" i="45"/>
  <c r="M105" i="45"/>
  <c r="O105" i="45"/>
  <c r="G105" i="45"/>
  <c r="B105" i="45"/>
  <c r="AE104" i="45"/>
  <c r="AD104" i="45"/>
  <c r="AC104" i="45"/>
  <c r="AB104" i="45"/>
  <c r="AA104" i="45"/>
  <c r="Z104" i="45"/>
  <c r="M104" i="45"/>
  <c r="O104" i="45"/>
  <c r="G104" i="45"/>
  <c r="B104" i="45"/>
  <c r="AE103" i="45"/>
  <c r="AD103" i="45"/>
  <c r="AC103" i="45"/>
  <c r="AB103" i="45"/>
  <c r="AA103" i="45"/>
  <c r="Z103" i="45"/>
  <c r="M103" i="45"/>
  <c r="O103" i="45"/>
  <c r="G103" i="45"/>
  <c r="B103" i="45"/>
  <c r="AE102" i="45"/>
  <c r="AD102" i="45"/>
  <c r="AC102" i="45"/>
  <c r="AB102" i="45"/>
  <c r="AA102" i="45"/>
  <c r="Z102" i="45"/>
  <c r="M102" i="45"/>
  <c r="O102" i="45"/>
  <c r="G102" i="45"/>
  <c r="B102" i="45"/>
  <c r="AE101" i="45"/>
  <c r="AD101" i="45"/>
  <c r="AC101" i="45"/>
  <c r="AB101" i="45"/>
  <c r="AA101" i="45"/>
  <c r="Z101" i="45"/>
  <c r="M101" i="45"/>
  <c r="O101" i="45"/>
  <c r="G101" i="45"/>
  <c r="B101" i="45"/>
  <c r="AE100" i="45"/>
  <c r="AD100" i="45"/>
  <c r="AC100" i="45"/>
  <c r="AB100" i="45"/>
  <c r="AA100" i="45"/>
  <c r="Z100" i="45"/>
  <c r="M100" i="45"/>
  <c r="O100" i="45"/>
  <c r="G100" i="45"/>
  <c r="B100" i="45"/>
  <c r="AE99" i="45"/>
  <c r="AD99" i="45"/>
  <c r="AC99" i="45"/>
  <c r="AB99" i="45"/>
  <c r="AA99" i="45"/>
  <c r="Z99" i="45"/>
  <c r="M99" i="45"/>
  <c r="O99" i="45"/>
  <c r="G99" i="45"/>
  <c r="B99" i="45"/>
  <c r="AE98" i="45"/>
  <c r="AD98" i="45"/>
  <c r="AC98" i="45"/>
  <c r="AB98" i="45"/>
  <c r="AA98" i="45"/>
  <c r="Z98" i="45"/>
  <c r="M98" i="45"/>
  <c r="O98" i="45"/>
  <c r="G98" i="45"/>
  <c r="B98" i="45"/>
  <c r="AE97" i="45"/>
  <c r="AD97" i="45"/>
  <c r="AC97" i="45"/>
  <c r="AB97" i="45"/>
  <c r="AA97" i="45"/>
  <c r="Z97" i="45"/>
  <c r="M97" i="45"/>
  <c r="O97" i="45"/>
  <c r="G97" i="45"/>
  <c r="B97" i="45"/>
  <c r="AE96" i="45"/>
  <c r="AD96" i="45"/>
  <c r="AC96" i="45"/>
  <c r="AB96" i="45"/>
  <c r="AA96" i="45"/>
  <c r="Z96" i="45"/>
  <c r="M96" i="45"/>
  <c r="O96" i="45"/>
  <c r="G96" i="45"/>
  <c r="B96" i="45"/>
  <c r="AE95" i="45"/>
  <c r="AD95" i="45"/>
  <c r="AC95" i="45"/>
  <c r="AB95" i="45"/>
  <c r="AA95" i="45"/>
  <c r="Z95" i="45"/>
  <c r="M95" i="45"/>
  <c r="O95" i="45"/>
  <c r="G95" i="45"/>
  <c r="B95" i="45"/>
  <c r="AE94" i="45"/>
  <c r="AD94" i="45"/>
  <c r="AC94" i="45"/>
  <c r="AB94" i="45"/>
  <c r="AA94" i="45"/>
  <c r="Z94" i="45"/>
  <c r="M94" i="45"/>
  <c r="O94" i="45"/>
  <c r="G94" i="45"/>
  <c r="B94" i="45"/>
  <c r="AE93" i="45"/>
  <c r="AD93" i="45"/>
  <c r="AC93" i="45"/>
  <c r="AB93" i="45"/>
  <c r="AA93" i="45"/>
  <c r="Z93" i="45"/>
  <c r="M93" i="45"/>
  <c r="O93" i="45"/>
  <c r="G93" i="45"/>
  <c r="B93" i="45"/>
  <c r="AE92" i="45"/>
  <c r="AD92" i="45"/>
  <c r="AC92" i="45"/>
  <c r="AB92" i="45"/>
  <c r="AA92" i="45"/>
  <c r="Z92" i="45"/>
  <c r="M92" i="45"/>
  <c r="O92" i="45"/>
  <c r="G92" i="45"/>
  <c r="B92" i="45"/>
  <c r="AE91" i="45"/>
  <c r="AD91" i="45"/>
  <c r="AC91" i="45"/>
  <c r="AB91" i="45"/>
  <c r="AA91" i="45"/>
  <c r="Z91" i="45"/>
  <c r="M91" i="45"/>
  <c r="O91" i="45"/>
  <c r="G91" i="45"/>
  <c r="B91" i="45"/>
  <c r="AE90" i="45"/>
  <c r="AD90" i="45"/>
  <c r="AC90" i="45"/>
  <c r="AB90" i="45"/>
  <c r="AA90" i="45"/>
  <c r="Z90" i="45"/>
  <c r="M90" i="45"/>
  <c r="O90" i="45"/>
  <c r="G90" i="45"/>
  <c r="B90" i="45"/>
  <c r="AE89" i="45"/>
  <c r="AD89" i="45"/>
  <c r="AC89" i="45"/>
  <c r="AB89" i="45"/>
  <c r="AA89" i="45"/>
  <c r="Z89" i="45"/>
  <c r="M89" i="45"/>
  <c r="O89" i="45"/>
  <c r="G89" i="45"/>
  <c r="B89" i="45"/>
  <c r="AE88" i="45"/>
  <c r="AD88" i="45"/>
  <c r="AC88" i="45"/>
  <c r="AB88" i="45"/>
  <c r="AA88" i="45"/>
  <c r="Z88" i="45"/>
  <c r="M88" i="45"/>
  <c r="O88" i="45"/>
  <c r="G88" i="45"/>
  <c r="B88" i="45"/>
  <c r="AE87" i="45"/>
  <c r="AD87" i="45"/>
  <c r="AC87" i="45"/>
  <c r="AB87" i="45"/>
  <c r="AA87" i="45"/>
  <c r="Z87" i="45"/>
  <c r="M87" i="45"/>
  <c r="O87" i="45"/>
  <c r="G87" i="45"/>
  <c r="B87" i="45"/>
  <c r="AE86" i="45"/>
  <c r="AD86" i="45"/>
  <c r="AC86" i="45"/>
  <c r="AB86" i="45"/>
  <c r="AA86" i="45"/>
  <c r="Z86" i="45"/>
  <c r="M86" i="45"/>
  <c r="O86" i="45"/>
  <c r="G86" i="45"/>
  <c r="B86" i="45"/>
  <c r="AE85" i="45"/>
  <c r="AD85" i="45"/>
  <c r="AC85" i="45"/>
  <c r="AB85" i="45"/>
  <c r="AA85" i="45"/>
  <c r="Z85" i="45"/>
  <c r="M85" i="45"/>
  <c r="O85" i="45"/>
  <c r="G85" i="45"/>
  <c r="B85" i="45"/>
  <c r="AE84" i="45"/>
  <c r="AD84" i="45"/>
  <c r="AC84" i="45"/>
  <c r="AB84" i="45"/>
  <c r="AA84" i="45"/>
  <c r="Z84" i="45"/>
  <c r="M84" i="45"/>
  <c r="O84" i="45"/>
  <c r="G84" i="45"/>
  <c r="B84" i="45"/>
  <c r="AE83" i="45"/>
  <c r="AD83" i="45"/>
  <c r="AC83" i="45"/>
  <c r="AB83" i="45"/>
  <c r="AA83" i="45"/>
  <c r="Z83" i="45"/>
  <c r="M83" i="45"/>
  <c r="O83" i="45"/>
  <c r="G83" i="45"/>
  <c r="B83" i="45"/>
  <c r="AE82" i="45"/>
  <c r="AD82" i="45"/>
  <c r="AC82" i="45"/>
  <c r="AB82" i="45"/>
  <c r="AA82" i="45"/>
  <c r="Z82" i="45"/>
  <c r="M82" i="45"/>
  <c r="O82" i="45"/>
  <c r="G82" i="45"/>
  <c r="B82" i="45"/>
  <c r="AE81" i="45"/>
  <c r="AD81" i="45"/>
  <c r="AC81" i="45"/>
  <c r="AB81" i="45"/>
  <c r="AA81" i="45"/>
  <c r="Z81" i="45"/>
  <c r="M81" i="45"/>
  <c r="O81" i="45"/>
  <c r="G81" i="45"/>
  <c r="B81" i="45"/>
  <c r="AE80" i="45"/>
  <c r="AD80" i="45"/>
  <c r="AC80" i="45"/>
  <c r="AB80" i="45"/>
  <c r="AA80" i="45"/>
  <c r="Z80" i="45"/>
  <c r="M80" i="45"/>
  <c r="O80" i="45"/>
  <c r="G80" i="45"/>
  <c r="B80" i="45"/>
  <c r="AE79" i="45"/>
  <c r="AD79" i="45"/>
  <c r="AC79" i="45"/>
  <c r="AB79" i="45"/>
  <c r="AA79" i="45"/>
  <c r="Z79" i="45"/>
  <c r="M79" i="45"/>
  <c r="O79" i="45"/>
  <c r="G79" i="45"/>
  <c r="B79" i="45"/>
  <c r="AE78" i="45"/>
  <c r="AD78" i="45"/>
  <c r="AC78" i="45"/>
  <c r="AB78" i="45"/>
  <c r="AA78" i="45"/>
  <c r="Z78" i="45"/>
  <c r="M78" i="45"/>
  <c r="O78" i="45"/>
  <c r="G78" i="45"/>
  <c r="B78" i="45"/>
  <c r="AE77" i="45"/>
  <c r="AD77" i="45"/>
  <c r="AC77" i="45"/>
  <c r="AB77" i="45"/>
  <c r="AA77" i="45"/>
  <c r="Z77" i="45"/>
  <c r="M77" i="45"/>
  <c r="O77" i="45"/>
  <c r="G77" i="45"/>
  <c r="B77" i="45"/>
  <c r="AE76" i="45"/>
  <c r="AD76" i="45"/>
  <c r="AC76" i="45"/>
  <c r="AB76" i="45"/>
  <c r="AA76" i="45"/>
  <c r="Z76" i="45"/>
  <c r="M76" i="45"/>
  <c r="O76" i="45"/>
  <c r="G76" i="45"/>
  <c r="W76" i="45"/>
  <c r="B76" i="45"/>
  <c r="AD515" i="44"/>
  <c r="AC515" i="44"/>
  <c r="AB515" i="44"/>
  <c r="AA515" i="44"/>
  <c r="Z515" i="44"/>
  <c r="Y515" i="44"/>
  <c r="AD514" i="44"/>
  <c r="AC514" i="44"/>
  <c r="AB514" i="44"/>
  <c r="AA514" i="44"/>
  <c r="Z514" i="44"/>
  <c r="Y514" i="44"/>
  <c r="AD513" i="44"/>
  <c r="AC513" i="44"/>
  <c r="AB513" i="44"/>
  <c r="AA513" i="44"/>
  <c r="Z513" i="44"/>
  <c r="Y513" i="44"/>
  <c r="AD512" i="44"/>
  <c r="AC512" i="44"/>
  <c r="AB512" i="44"/>
  <c r="AA512" i="44"/>
  <c r="Z512" i="44"/>
  <c r="Y512" i="44"/>
  <c r="AD511" i="44"/>
  <c r="AC511" i="44"/>
  <c r="AB511" i="44"/>
  <c r="AA511" i="44"/>
  <c r="Z511" i="44"/>
  <c r="Y511" i="44"/>
  <c r="AD510" i="44"/>
  <c r="AC510" i="44"/>
  <c r="AB510" i="44"/>
  <c r="AA510" i="44"/>
  <c r="Z510" i="44"/>
  <c r="Y510" i="44"/>
  <c r="AD509" i="44"/>
  <c r="AC509" i="44"/>
  <c r="AB509" i="44"/>
  <c r="AA509" i="44"/>
  <c r="Z509" i="44"/>
  <c r="Y509" i="44"/>
  <c r="AD508" i="44"/>
  <c r="AC508" i="44"/>
  <c r="AB508" i="44"/>
  <c r="AA508" i="44"/>
  <c r="Z508" i="44"/>
  <c r="Y508" i="44"/>
  <c r="AD507" i="44"/>
  <c r="AC507" i="44"/>
  <c r="AB507" i="44"/>
  <c r="AA507" i="44"/>
  <c r="Z507" i="44"/>
  <c r="Y507" i="44"/>
  <c r="AD506" i="44"/>
  <c r="AC506" i="44"/>
  <c r="AB506" i="44"/>
  <c r="AA506" i="44"/>
  <c r="Z506" i="44"/>
  <c r="Y506" i="44"/>
  <c r="AD505" i="44"/>
  <c r="AC505" i="44"/>
  <c r="AB505" i="44"/>
  <c r="AA505" i="44"/>
  <c r="Z505" i="44"/>
  <c r="Y505" i="44"/>
  <c r="AD504" i="44"/>
  <c r="AC504" i="44"/>
  <c r="AB504" i="44"/>
  <c r="AA504" i="44"/>
  <c r="Z504" i="44"/>
  <c r="Y504" i="44"/>
  <c r="AD503" i="44"/>
  <c r="AC503" i="44"/>
  <c r="AB503" i="44"/>
  <c r="AA503" i="44"/>
  <c r="Z503" i="44"/>
  <c r="Y503" i="44"/>
  <c r="AD502" i="44"/>
  <c r="AC502" i="44"/>
  <c r="AB502" i="44"/>
  <c r="AA502" i="44"/>
  <c r="Z502" i="44"/>
  <c r="Y502" i="44"/>
  <c r="AD501" i="44"/>
  <c r="AC501" i="44"/>
  <c r="AB501" i="44"/>
  <c r="AA501" i="44"/>
  <c r="Z501" i="44"/>
  <c r="Y501" i="44"/>
  <c r="AD500" i="44"/>
  <c r="AC500" i="44"/>
  <c r="AB500" i="44"/>
  <c r="AA500" i="44"/>
  <c r="Z500" i="44"/>
  <c r="Y500" i="44"/>
  <c r="AD499" i="44"/>
  <c r="AC499" i="44"/>
  <c r="AB499" i="44"/>
  <c r="AA499" i="44"/>
  <c r="Z499" i="44"/>
  <c r="Y499" i="44"/>
  <c r="AD498" i="44"/>
  <c r="AC498" i="44"/>
  <c r="AB498" i="44"/>
  <c r="AA498" i="44"/>
  <c r="Z498" i="44"/>
  <c r="Y498" i="44"/>
  <c r="AD497" i="44"/>
  <c r="AC497" i="44"/>
  <c r="AB497" i="44"/>
  <c r="AA497" i="44"/>
  <c r="Z497" i="44"/>
  <c r="Y497" i="44"/>
  <c r="AD496" i="44"/>
  <c r="AC496" i="44"/>
  <c r="AB496" i="44"/>
  <c r="AA496" i="44"/>
  <c r="Z496" i="44"/>
  <c r="Y496" i="44"/>
  <c r="AD495" i="44"/>
  <c r="AC495" i="44"/>
  <c r="AB495" i="44"/>
  <c r="AA495" i="44"/>
  <c r="Z495" i="44"/>
  <c r="Y495" i="44"/>
  <c r="AD494" i="44"/>
  <c r="AC494" i="44"/>
  <c r="AB494" i="44"/>
  <c r="AA494" i="44"/>
  <c r="Z494" i="44"/>
  <c r="Y494" i="44"/>
  <c r="AD493" i="44"/>
  <c r="AC493" i="44"/>
  <c r="AB493" i="44"/>
  <c r="AA493" i="44"/>
  <c r="Z493" i="44"/>
  <c r="Y493" i="44"/>
  <c r="AD492" i="44"/>
  <c r="AC492" i="44"/>
  <c r="AB492" i="44"/>
  <c r="AA492" i="44"/>
  <c r="Z492" i="44"/>
  <c r="Y492" i="44"/>
  <c r="AD491" i="44"/>
  <c r="AC491" i="44"/>
  <c r="AB491" i="44"/>
  <c r="AA491" i="44"/>
  <c r="Z491" i="44"/>
  <c r="Y491" i="44"/>
  <c r="AD490" i="44"/>
  <c r="AC490" i="44"/>
  <c r="AB490" i="44"/>
  <c r="AA490" i="44"/>
  <c r="Z490" i="44"/>
  <c r="Y490" i="44"/>
  <c r="AD489" i="44"/>
  <c r="AC489" i="44"/>
  <c r="AB489" i="44"/>
  <c r="AA489" i="44"/>
  <c r="Z489" i="44"/>
  <c r="Y489" i="44"/>
  <c r="AD488" i="44"/>
  <c r="AC488" i="44"/>
  <c r="AB488" i="44"/>
  <c r="AA488" i="44"/>
  <c r="Z488" i="44"/>
  <c r="Y488" i="44"/>
  <c r="AD487" i="44"/>
  <c r="AC487" i="44"/>
  <c r="AB487" i="44"/>
  <c r="AA487" i="44"/>
  <c r="Z487" i="44"/>
  <c r="Y487" i="44"/>
  <c r="AD486" i="44"/>
  <c r="AC486" i="44"/>
  <c r="AB486" i="44"/>
  <c r="AA486" i="44"/>
  <c r="Z486" i="44"/>
  <c r="Y486" i="44"/>
  <c r="AD485" i="44"/>
  <c r="AC485" i="44"/>
  <c r="AB485" i="44"/>
  <c r="AA485" i="44"/>
  <c r="Z485" i="44"/>
  <c r="Y485" i="44"/>
  <c r="AD484" i="44"/>
  <c r="AC484" i="44"/>
  <c r="AB484" i="44"/>
  <c r="AA484" i="44"/>
  <c r="Z484" i="44"/>
  <c r="Y484" i="44"/>
  <c r="AD483" i="44"/>
  <c r="AC483" i="44"/>
  <c r="AB483" i="44"/>
  <c r="AA483" i="44"/>
  <c r="Z483" i="44"/>
  <c r="Y483" i="44"/>
  <c r="AD482" i="44"/>
  <c r="AC482" i="44"/>
  <c r="AB482" i="44"/>
  <c r="AA482" i="44"/>
  <c r="Z482" i="44"/>
  <c r="Y482" i="44"/>
  <c r="AD481" i="44"/>
  <c r="AC481" i="44"/>
  <c r="AB481" i="44"/>
  <c r="AA481" i="44"/>
  <c r="Z481" i="44"/>
  <c r="Y481" i="44"/>
  <c r="AD480" i="44"/>
  <c r="AC480" i="44"/>
  <c r="AB480" i="44"/>
  <c r="AA480" i="44"/>
  <c r="Z480" i="44"/>
  <c r="Y480" i="44"/>
  <c r="AD479" i="44"/>
  <c r="AC479" i="44"/>
  <c r="AB479" i="44"/>
  <c r="AA479" i="44"/>
  <c r="Z479" i="44"/>
  <c r="Y479" i="44"/>
  <c r="AD478" i="44"/>
  <c r="AC478" i="44"/>
  <c r="AB478" i="44"/>
  <c r="AA478" i="44"/>
  <c r="Z478" i="44"/>
  <c r="Y478" i="44"/>
  <c r="AD477" i="44"/>
  <c r="AC477" i="44"/>
  <c r="AB477" i="44"/>
  <c r="AA477" i="44"/>
  <c r="Z477" i="44"/>
  <c r="Y477" i="44"/>
  <c r="AD476" i="44"/>
  <c r="AC476" i="44"/>
  <c r="AB476" i="44"/>
  <c r="AA476" i="44"/>
  <c r="Z476" i="44"/>
  <c r="Y476" i="44"/>
  <c r="AD475" i="44"/>
  <c r="AC475" i="44"/>
  <c r="AB475" i="44"/>
  <c r="AA475" i="44"/>
  <c r="Z475" i="44"/>
  <c r="Y475" i="44"/>
  <c r="AD474" i="44"/>
  <c r="AC474" i="44"/>
  <c r="AB474" i="44"/>
  <c r="AA474" i="44"/>
  <c r="Z474" i="44"/>
  <c r="Y474" i="44"/>
  <c r="AD473" i="44"/>
  <c r="AC473" i="44"/>
  <c r="AB473" i="44"/>
  <c r="AA473" i="44"/>
  <c r="Z473" i="44"/>
  <c r="Y473" i="44"/>
  <c r="AD472" i="44"/>
  <c r="AC472" i="44"/>
  <c r="AB472" i="44"/>
  <c r="AA472" i="44"/>
  <c r="Z472" i="44"/>
  <c r="Y472" i="44"/>
  <c r="AD471" i="44"/>
  <c r="AC471" i="44"/>
  <c r="AB471" i="44"/>
  <c r="AA471" i="44"/>
  <c r="Z471" i="44"/>
  <c r="Y471" i="44"/>
  <c r="AD470" i="44"/>
  <c r="AC470" i="44"/>
  <c r="AB470" i="44"/>
  <c r="AA470" i="44"/>
  <c r="Z470" i="44"/>
  <c r="Y470" i="44"/>
  <c r="AD469" i="44"/>
  <c r="AC469" i="44"/>
  <c r="AB469" i="44"/>
  <c r="AA469" i="44"/>
  <c r="Z469" i="44"/>
  <c r="Y469" i="44"/>
  <c r="AD468" i="44"/>
  <c r="AC468" i="44"/>
  <c r="AB468" i="44"/>
  <c r="AA468" i="44"/>
  <c r="Z468" i="44"/>
  <c r="Y468" i="44"/>
  <c r="AD467" i="44"/>
  <c r="AC467" i="44"/>
  <c r="AB467" i="44"/>
  <c r="AA467" i="44"/>
  <c r="Z467" i="44"/>
  <c r="Y467" i="44"/>
  <c r="AD466" i="44"/>
  <c r="AC466" i="44"/>
  <c r="AB466" i="44"/>
  <c r="AA466" i="44"/>
  <c r="Z466" i="44"/>
  <c r="Y466" i="44"/>
  <c r="AD465" i="44"/>
  <c r="AC465" i="44"/>
  <c r="AB465" i="44"/>
  <c r="AA465" i="44"/>
  <c r="Z465" i="44"/>
  <c r="Y465" i="44"/>
  <c r="AD464" i="44"/>
  <c r="AC464" i="44"/>
  <c r="AB464" i="44"/>
  <c r="AA464" i="44"/>
  <c r="Z464" i="44"/>
  <c r="Y464" i="44"/>
  <c r="AD463" i="44"/>
  <c r="AC463" i="44"/>
  <c r="AB463" i="44"/>
  <c r="AA463" i="44"/>
  <c r="Z463" i="44"/>
  <c r="Y463" i="44"/>
  <c r="AD462" i="44"/>
  <c r="AC462" i="44"/>
  <c r="AB462" i="44"/>
  <c r="AA462" i="44"/>
  <c r="Z462" i="44"/>
  <c r="Y462" i="44"/>
  <c r="AD461" i="44"/>
  <c r="AC461" i="44"/>
  <c r="AB461" i="44"/>
  <c r="AA461" i="44"/>
  <c r="Z461" i="44"/>
  <c r="Y461" i="44"/>
  <c r="AD460" i="44"/>
  <c r="AC460" i="44"/>
  <c r="AB460" i="44"/>
  <c r="AA460" i="44"/>
  <c r="Z460" i="44"/>
  <c r="Y460" i="44"/>
  <c r="AD459" i="44"/>
  <c r="AC459" i="44"/>
  <c r="AB459" i="44"/>
  <c r="AA459" i="44"/>
  <c r="Z459" i="44"/>
  <c r="Y459" i="44"/>
  <c r="AD458" i="44"/>
  <c r="AC458" i="44"/>
  <c r="AB458" i="44"/>
  <c r="AA458" i="44"/>
  <c r="Z458" i="44"/>
  <c r="Y458" i="44"/>
  <c r="AD457" i="44"/>
  <c r="AC457" i="44"/>
  <c r="AB457" i="44"/>
  <c r="AA457" i="44"/>
  <c r="Z457" i="44"/>
  <c r="Y457" i="44"/>
  <c r="AD456" i="44"/>
  <c r="AC456" i="44"/>
  <c r="AB456" i="44"/>
  <c r="AA456" i="44"/>
  <c r="Z456" i="44"/>
  <c r="Y456" i="44"/>
  <c r="AD455" i="44"/>
  <c r="AC455" i="44"/>
  <c r="AB455" i="44"/>
  <c r="AA455" i="44"/>
  <c r="Z455" i="44"/>
  <c r="Y455" i="44"/>
  <c r="AD454" i="44"/>
  <c r="AC454" i="44"/>
  <c r="AB454" i="44"/>
  <c r="AA454" i="44"/>
  <c r="Z454" i="44"/>
  <c r="Y454" i="44"/>
  <c r="AD453" i="44"/>
  <c r="AC453" i="44"/>
  <c r="AB453" i="44"/>
  <c r="AA453" i="44"/>
  <c r="Z453" i="44"/>
  <c r="Y453" i="44"/>
  <c r="AD452" i="44"/>
  <c r="AC452" i="44"/>
  <c r="AB452" i="44"/>
  <c r="AA452" i="44"/>
  <c r="Z452" i="44"/>
  <c r="Y452" i="44"/>
  <c r="AD451" i="44"/>
  <c r="AC451" i="44"/>
  <c r="AB451" i="44"/>
  <c r="AA451" i="44"/>
  <c r="Z451" i="44"/>
  <c r="Y451" i="44"/>
  <c r="AD450" i="44"/>
  <c r="AC450" i="44"/>
  <c r="AB450" i="44"/>
  <c r="AA450" i="44"/>
  <c r="Z450" i="44"/>
  <c r="Y450" i="44"/>
  <c r="AD449" i="44"/>
  <c r="AC449" i="44"/>
  <c r="AB449" i="44"/>
  <c r="AA449" i="44"/>
  <c r="Z449" i="44"/>
  <c r="Y449" i="44"/>
  <c r="AD448" i="44"/>
  <c r="AC448" i="44"/>
  <c r="AB448" i="44"/>
  <c r="AA448" i="44"/>
  <c r="Z448" i="44"/>
  <c r="Y448" i="44"/>
  <c r="AD447" i="44"/>
  <c r="AC447" i="44"/>
  <c r="AB447" i="44"/>
  <c r="AA447" i="44"/>
  <c r="Z447" i="44"/>
  <c r="Y447" i="44"/>
  <c r="AD446" i="44"/>
  <c r="AC446" i="44"/>
  <c r="AB446" i="44"/>
  <c r="AA446" i="44"/>
  <c r="Z446" i="44"/>
  <c r="Y446" i="44"/>
  <c r="AD445" i="44"/>
  <c r="AC445" i="44"/>
  <c r="AB445" i="44"/>
  <c r="AA445" i="44"/>
  <c r="Z445" i="44"/>
  <c r="Y445" i="44"/>
  <c r="AD444" i="44"/>
  <c r="AC444" i="44"/>
  <c r="AB444" i="44"/>
  <c r="AA444" i="44"/>
  <c r="Z444" i="44"/>
  <c r="Y444" i="44"/>
  <c r="AD443" i="44"/>
  <c r="AC443" i="44"/>
  <c r="AB443" i="44"/>
  <c r="AA443" i="44"/>
  <c r="Z443" i="44"/>
  <c r="Y443" i="44"/>
  <c r="AD442" i="44"/>
  <c r="AC442" i="44"/>
  <c r="AB442" i="44"/>
  <c r="AA442" i="44"/>
  <c r="Z442" i="44"/>
  <c r="Y442" i="44"/>
  <c r="AD441" i="44"/>
  <c r="AC441" i="44"/>
  <c r="AB441" i="44"/>
  <c r="AA441" i="44"/>
  <c r="Z441" i="44"/>
  <c r="Y441" i="44"/>
  <c r="AD440" i="44"/>
  <c r="AC440" i="44"/>
  <c r="AB440" i="44"/>
  <c r="AA440" i="44"/>
  <c r="Z440" i="44"/>
  <c r="Y440" i="44"/>
  <c r="AD439" i="44"/>
  <c r="AC439" i="44"/>
  <c r="AB439" i="44"/>
  <c r="AA439" i="44"/>
  <c r="Z439" i="44"/>
  <c r="Y439" i="44"/>
  <c r="AD438" i="44"/>
  <c r="AC438" i="44"/>
  <c r="AB438" i="44"/>
  <c r="AA438" i="44"/>
  <c r="Z438" i="44"/>
  <c r="Y438" i="44"/>
  <c r="AD437" i="44"/>
  <c r="AC437" i="44"/>
  <c r="AB437" i="44"/>
  <c r="AA437" i="44"/>
  <c r="Z437" i="44"/>
  <c r="Y437" i="44"/>
  <c r="AD436" i="44"/>
  <c r="AC436" i="44"/>
  <c r="AB436" i="44"/>
  <c r="AA436" i="44"/>
  <c r="Z436" i="44"/>
  <c r="Y436" i="44"/>
  <c r="AD435" i="44"/>
  <c r="AC435" i="44"/>
  <c r="AB435" i="44"/>
  <c r="AA435" i="44"/>
  <c r="Z435" i="44"/>
  <c r="Y435" i="44"/>
  <c r="AD434" i="44"/>
  <c r="AC434" i="44"/>
  <c r="AB434" i="44"/>
  <c r="AA434" i="44"/>
  <c r="Z434" i="44"/>
  <c r="Y434" i="44"/>
  <c r="AD433" i="44"/>
  <c r="AC433" i="44"/>
  <c r="AB433" i="44"/>
  <c r="AA433" i="44"/>
  <c r="Z433" i="44"/>
  <c r="Y433" i="44"/>
  <c r="AD432" i="44"/>
  <c r="AC432" i="44"/>
  <c r="AB432" i="44"/>
  <c r="AA432" i="44"/>
  <c r="Z432" i="44"/>
  <c r="Y432" i="44"/>
  <c r="AD431" i="44"/>
  <c r="AC431" i="44"/>
  <c r="AB431" i="44"/>
  <c r="AA431" i="44"/>
  <c r="Z431" i="44"/>
  <c r="Y431" i="44"/>
  <c r="AD430" i="44"/>
  <c r="AC430" i="44"/>
  <c r="AB430" i="44"/>
  <c r="AA430" i="44"/>
  <c r="Z430" i="44"/>
  <c r="Y430" i="44"/>
  <c r="AD429" i="44"/>
  <c r="AC429" i="44"/>
  <c r="AB429" i="44"/>
  <c r="AA429" i="44"/>
  <c r="Z429" i="44"/>
  <c r="Y429" i="44"/>
  <c r="AD428" i="44"/>
  <c r="AC428" i="44"/>
  <c r="AB428" i="44"/>
  <c r="AA428" i="44"/>
  <c r="Z428" i="44"/>
  <c r="Y428" i="44"/>
  <c r="AD427" i="44"/>
  <c r="AC427" i="44"/>
  <c r="AB427" i="44"/>
  <c r="AA427" i="44"/>
  <c r="Z427" i="44"/>
  <c r="Y427" i="44"/>
  <c r="AD426" i="44"/>
  <c r="AC426" i="44"/>
  <c r="AB426" i="44"/>
  <c r="AA426" i="44"/>
  <c r="Z426" i="44"/>
  <c r="Y426" i="44"/>
  <c r="AD425" i="44"/>
  <c r="AC425" i="44"/>
  <c r="AB425" i="44"/>
  <c r="AA425" i="44"/>
  <c r="Z425" i="44"/>
  <c r="Y425" i="44"/>
  <c r="AD424" i="44"/>
  <c r="AC424" i="44"/>
  <c r="AB424" i="44"/>
  <c r="AA424" i="44"/>
  <c r="Z424" i="44"/>
  <c r="Y424" i="44"/>
  <c r="AD423" i="44"/>
  <c r="AC423" i="44"/>
  <c r="AB423" i="44"/>
  <c r="AA423" i="44"/>
  <c r="Z423" i="44"/>
  <c r="Y423" i="44"/>
  <c r="AD422" i="44"/>
  <c r="AC422" i="44"/>
  <c r="AB422" i="44"/>
  <c r="AA422" i="44"/>
  <c r="Z422" i="44"/>
  <c r="Y422" i="44"/>
  <c r="AD421" i="44"/>
  <c r="AC421" i="44"/>
  <c r="AB421" i="44"/>
  <c r="AA421" i="44"/>
  <c r="Z421" i="44"/>
  <c r="Y421" i="44"/>
  <c r="AD420" i="44"/>
  <c r="AC420" i="44"/>
  <c r="AB420" i="44"/>
  <c r="AA420" i="44"/>
  <c r="Z420" i="44"/>
  <c r="Y420" i="44"/>
  <c r="AD419" i="44"/>
  <c r="AC419" i="44"/>
  <c r="AB419" i="44"/>
  <c r="AA419" i="44"/>
  <c r="Z419" i="44"/>
  <c r="Y419" i="44"/>
  <c r="AD418" i="44"/>
  <c r="AC418" i="44"/>
  <c r="AB418" i="44"/>
  <c r="AA418" i="44"/>
  <c r="Z418" i="44"/>
  <c r="Y418" i="44"/>
  <c r="AD417" i="44"/>
  <c r="AC417" i="44"/>
  <c r="AB417" i="44"/>
  <c r="AA417" i="44"/>
  <c r="Z417" i="44"/>
  <c r="Y417" i="44"/>
  <c r="AD416" i="44"/>
  <c r="AC416" i="44"/>
  <c r="AB416" i="44"/>
  <c r="AA416" i="44"/>
  <c r="Z416" i="44"/>
  <c r="Y416" i="44"/>
  <c r="AD415" i="44"/>
  <c r="AC415" i="44"/>
  <c r="AB415" i="44"/>
  <c r="AA415" i="44"/>
  <c r="Z415" i="44"/>
  <c r="Y415" i="44"/>
  <c r="AD414" i="44"/>
  <c r="AC414" i="44"/>
  <c r="AB414" i="44"/>
  <c r="AA414" i="44"/>
  <c r="Z414" i="44"/>
  <c r="Y414" i="44"/>
  <c r="AD413" i="44"/>
  <c r="AC413" i="44"/>
  <c r="AB413" i="44"/>
  <c r="AA413" i="44"/>
  <c r="Z413" i="44"/>
  <c r="Y413" i="44"/>
  <c r="AD412" i="44"/>
  <c r="AC412" i="44"/>
  <c r="AB412" i="44"/>
  <c r="AA412" i="44"/>
  <c r="Z412" i="44"/>
  <c r="Y412" i="44"/>
  <c r="AD411" i="44"/>
  <c r="AC411" i="44"/>
  <c r="AB411" i="44"/>
  <c r="AA411" i="44"/>
  <c r="Z411" i="44"/>
  <c r="Y411" i="44"/>
  <c r="AD410" i="44"/>
  <c r="AC410" i="44"/>
  <c r="AB410" i="44"/>
  <c r="AA410" i="44"/>
  <c r="Z410" i="44"/>
  <c r="Y410" i="44"/>
  <c r="AD409" i="44"/>
  <c r="AC409" i="44"/>
  <c r="AB409" i="44"/>
  <c r="AA409" i="44"/>
  <c r="Z409" i="44"/>
  <c r="Y409" i="44"/>
  <c r="AD408" i="44"/>
  <c r="AC408" i="44"/>
  <c r="AB408" i="44"/>
  <c r="AA408" i="44"/>
  <c r="Z408" i="44"/>
  <c r="Y408" i="44"/>
  <c r="AD407" i="44"/>
  <c r="AC407" i="44"/>
  <c r="AB407" i="44"/>
  <c r="AA407" i="44"/>
  <c r="Z407" i="44"/>
  <c r="Y407" i="44"/>
  <c r="AD406" i="44"/>
  <c r="AC406" i="44"/>
  <c r="AB406" i="44"/>
  <c r="AA406" i="44"/>
  <c r="Z406" i="44"/>
  <c r="Y406" i="44"/>
  <c r="AD405" i="44"/>
  <c r="AC405" i="44"/>
  <c r="AB405" i="44"/>
  <c r="AA405" i="44"/>
  <c r="Z405" i="44"/>
  <c r="Y405" i="44"/>
  <c r="AD404" i="44"/>
  <c r="AC404" i="44"/>
  <c r="AB404" i="44"/>
  <c r="AA404" i="44"/>
  <c r="Z404" i="44"/>
  <c r="Y404" i="44"/>
  <c r="AD403" i="44"/>
  <c r="AC403" i="44"/>
  <c r="AB403" i="44"/>
  <c r="AA403" i="44"/>
  <c r="Z403" i="44"/>
  <c r="Y403" i="44"/>
  <c r="AD402" i="44"/>
  <c r="AC402" i="44"/>
  <c r="AB402" i="44"/>
  <c r="AA402" i="44"/>
  <c r="Z402" i="44"/>
  <c r="Y402" i="44"/>
  <c r="AD401" i="44"/>
  <c r="AC401" i="44"/>
  <c r="AB401" i="44"/>
  <c r="AA401" i="44"/>
  <c r="Z401" i="44"/>
  <c r="Y401" i="44"/>
  <c r="AD400" i="44"/>
  <c r="AC400" i="44"/>
  <c r="AB400" i="44"/>
  <c r="AA400" i="44"/>
  <c r="Z400" i="44"/>
  <c r="Y400" i="44"/>
  <c r="AD399" i="44"/>
  <c r="AC399" i="44"/>
  <c r="AB399" i="44"/>
  <c r="AA399" i="44"/>
  <c r="Z399" i="44"/>
  <c r="Y399" i="44"/>
  <c r="AD398" i="44"/>
  <c r="AC398" i="44"/>
  <c r="AB398" i="44"/>
  <c r="AA398" i="44"/>
  <c r="Z398" i="44"/>
  <c r="Y398" i="44"/>
  <c r="AD397" i="44"/>
  <c r="AC397" i="44"/>
  <c r="AB397" i="44"/>
  <c r="AA397" i="44"/>
  <c r="Z397" i="44"/>
  <c r="Y397" i="44"/>
  <c r="AD396" i="44"/>
  <c r="AC396" i="44"/>
  <c r="AB396" i="44"/>
  <c r="AA396" i="44"/>
  <c r="Z396" i="44"/>
  <c r="Y396" i="44"/>
  <c r="AD395" i="44"/>
  <c r="AC395" i="44"/>
  <c r="AB395" i="44"/>
  <c r="AA395" i="44"/>
  <c r="Z395" i="44"/>
  <c r="Y395" i="44"/>
  <c r="AD394" i="44"/>
  <c r="AC394" i="44"/>
  <c r="AB394" i="44"/>
  <c r="AA394" i="44"/>
  <c r="Z394" i="44"/>
  <c r="Y394" i="44"/>
  <c r="AD393" i="44"/>
  <c r="AC393" i="44"/>
  <c r="AB393" i="44"/>
  <c r="AA393" i="44"/>
  <c r="Z393" i="44"/>
  <c r="Y393" i="44"/>
  <c r="AD392" i="44"/>
  <c r="AC392" i="44"/>
  <c r="AB392" i="44"/>
  <c r="AA392" i="44"/>
  <c r="Z392" i="44"/>
  <c r="Y392" i="44"/>
  <c r="AD391" i="44"/>
  <c r="AC391" i="44"/>
  <c r="AB391" i="44"/>
  <c r="AA391" i="44"/>
  <c r="Z391" i="44"/>
  <c r="Y391" i="44"/>
  <c r="AD390" i="44"/>
  <c r="AC390" i="44"/>
  <c r="AB390" i="44"/>
  <c r="AA390" i="44"/>
  <c r="Z390" i="44"/>
  <c r="Y390" i="44"/>
  <c r="AD389" i="44"/>
  <c r="AC389" i="44"/>
  <c r="AB389" i="44"/>
  <c r="AA389" i="44"/>
  <c r="Z389" i="44"/>
  <c r="Y389" i="44"/>
  <c r="AD388" i="44"/>
  <c r="AC388" i="44"/>
  <c r="AB388" i="44"/>
  <c r="AA388" i="44"/>
  <c r="Z388" i="44"/>
  <c r="Y388" i="44"/>
  <c r="AD387" i="44"/>
  <c r="AC387" i="44"/>
  <c r="AB387" i="44"/>
  <c r="AA387" i="44"/>
  <c r="Z387" i="44"/>
  <c r="Y387" i="44"/>
  <c r="AD386" i="44"/>
  <c r="AC386" i="44"/>
  <c r="AB386" i="44"/>
  <c r="AA386" i="44"/>
  <c r="Z386" i="44"/>
  <c r="Y386" i="44"/>
  <c r="AD385" i="44"/>
  <c r="AC385" i="44"/>
  <c r="AB385" i="44"/>
  <c r="AA385" i="44"/>
  <c r="Z385" i="44"/>
  <c r="Y385" i="44"/>
  <c r="AD384" i="44"/>
  <c r="AC384" i="44"/>
  <c r="AB384" i="44"/>
  <c r="AA384" i="44"/>
  <c r="Z384" i="44"/>
  <c r="Y384" i="44"/>
  <c r="AD383" i="44"/>
  <c r="AC383" i="44"/>
  <c r="AB383" i="44"/>
  <c r="AA383" i="44"/>
  <c r="Z383" i="44"/>
  <c r="Y383" i="44"/>
  <c r="AD382" i="44"/>
  <c r="AC382" i="44"/>
  <c r="AB382" i="44"/>
  <c r="AA382" i="44"/>
  <c r="Z382" i="44"/>
  <c r="Y382" i="44"/>
  <c r="AD381" i="44"/>
  <c r="AC381" i="44"/>
  <c r="AB381" i="44"/>
  <c r="AA381" i="44"/>
  <c r="Z381" i="44"/>
  <c r="Y381" i="44"/>
  <c r="AD380" i="44"/>
  <c r="AC380" i="44"/>
  <c r="AB380" i="44"/>
  <c r="AA380" i="44"/>
  <c r="Z380" i="44"/>
  <c r="Y380" i="44"/>
  <c r="AD379" i="44"/>
  <c r="AC379" i="44"/>
  <c r="AB379" i="44"/>
  <c r="AA379" i="44"/>
  <c r="Z379" i="44"/>
  <c r="Y379" i="44"/>
  <c r="AD378" i="44"/>
  <c r="AC378" i="44"/>
  <c r="AB378" i="44"/>
  <c r="AA378" i="44"/>
  <c r="Z378" i="44"/>
  <c r="Y378" i="44"/>
  <c r="AD377" i="44"/>
  <c r="AC377" i="44"/>
  <c r="AB377" i="44"/>
  <c r="AA377" i="44"/>
  <c r="Z377" i="44"/>
  <c r="Y377" i="44"/>
  <c r="AD376" i="44"/>
  <c r="AC376" i="44"/>
  <c r="AB376" i="44"/>
  <c r="AA376" i="44"/>
  <c r="Z376" i="44"/>
  <c r="Y376" i="44"/>
  <c r="AD375" i="44"/>
  <c r="AC375" i="44"/>
  <c r="AB375" i="44"/>
  <c r="AA375" i="44"/>
  <c r="Z375" i="44"/>
  <c r="Y375" i="44"/>
  <c r="AD374" i="44"/>
  <c r="AC374" i="44"/>
  <c r="AB374" i="44"/>
  <c r="AA374" i="44"/>
  <c r="Z374" i="44"/>
  <c r="Y374" i="44"/>
  <c r="AD373" i="44"/>
  <c r="AC373" i="44"/>
  <c r="AB373" i="44"/>
  <c r="AA373" i="44"/>
  <c r="Z373" i="44"/>
  <c r="Y373" i="44"/>
  <c r="AD372" i="44"/>
  <c r="AC372" i="44"/>
  <c r="AB372" i="44"/>
  <c r="AA372" i="44"/>
  <c r="Z372" i="44"/>
  <c r="Y372" i="44"/>
  <c r="AD371" i="44"/>
  <c r="AC371" i="44"/>
  <c r="AB371" i="44"/>
  <c r="AA371" i="44"/>
  <c r="Z371" i="44"/>
  <c r="Y371" i="44"/>
  <c r="AD370" i="44"/>
  <c r="AC370" i="44"/>
  <c r="AB370" i="44"/>
  <c r="AA370" i="44"/>
  <c r="Z370" i="44"/>
  <c r="Y370" i="44"/>
  <c r="AD369" i="44"/>
  <c r="AC369" i="44"/>
  <c r="AB369" i="44"/>
  <c r="AA369" i="44"/>
  <c r="Z369" i="44"/>
  <c r="Y369" i="44"/>
  <c r="AD368" i="44"/>
  <c r="AC368" i="44"/>
  <c r="AB368" i="44"/>
  <c r="AA368" i="44"/>
  <c r="Z368" i="44"/>
  <c r="Y368" i="44"/>
  <c r="AD367" i="44"/>
  <c r="AC367" i="44"/>
  <c r="AB367" i="44"/>
  <c r="AA367" i="44"/>
  <c r="Z367" i="44"/>
  <c r="Y367" i="44"/>
  <c r="AD366" i="44"/>
  <c r="AC366" i="44"/>
  <c r="AB366" i="44"/>
  <c r="AA366" i="44"/>
  <c r="Z366" i="44"/>
  <c r="Y366" i="44"/>
  <c r="AD365" i="44"/>
  <c r="AC365" i="44"/>
  <c r="AB365" i="44"/>
  <c r="AA365" i="44"/>
  <c r="Z365" i="44"/>
  <c r="Y365" i="44"/>
  <c r="AD364" i="44"/>
  <c r="AC364" i="44"/>
  <c r="AB364" i="44"/>
  <c r="AA364" i="44"/>
  <c r="Z364" i="44"/>
  <c r="Y364" i="44"/>
  <c r="AD363" i="44"/>
  <c r="AC363" i="44"/>
  <c r="AB363" i="44"/>
  <c r="AA363" i="44"/>
  <c r="Z363" i="44"/>
  <c r="Y363" i="44"/>
  <c r="AD362" i="44"/>
  <c r="AC362" i="44"/>
  <c r="AB362" i="44"/>
  <c r="AA362" i="44"/>
  <c r="Z362" i="44"/>
  <c r="Y362" i="44"/>
  <c r="AD361" i="44"/>
  <c r="AC361" i="44"/>
  <c r="AB361" i="44"/>
  <c r="AA361" i="44"/>
  <c r="Z361" i="44"/>
  <c r="Y361" i="44"/>
  <c r="AD360" i="44"/>
  <c r="AC360" i="44"/>
  <c r="AB360" i="44"/>
  <c r="AA360" i="44"/>
  <c r="Z360" i="44"/>
  <c r="Y360" i="44"/>
  <c r="AD359" i="44"/>
  <c r="AC359" i="44"/>
  <c r="AB359" i="44"/>
  <c r="AA359" i="44"/>
  <c r="Z359" i="44"/>
  <c r="Y359" i="44"/>
  <c r="AD358" i="44"/>
  <c r="AC358" i="44"/>
  <c r="AB358" i="44"/>
  <c r="AA358" i="44"/>
  <c r="Z358" i="44"/>
  <c r="Y358" i="44"/>
  <c r="AD357" i="44"/>
  <c r="AC357" i="44"/>
  <c r="AB357" i="44"/>
  <c r="AA357" i="44"/>
  <c r="Z357" i="44"/>
  <c r="Y357" i="44"/>
  <c r="AD356" i="44"/>
  <c r="AC356" i="44"/>
  <c r="AB356" i="44"/>
  <c r="AA356" i="44"/>
  <c r="Z356" i="44"/>
  <c r="Y356" i="44"/>
  <c r="AD355" i="44"/>
  <c r="AC355" i="44"/>
  <c r="AB355" i="44"/>
  <c r="AA355" i="44"/>
  <c r="Z355" i="44"/>
  <c r="Y355" i="44"/>
  <c r="AD354" i="44"/>
  <c r="AC354" i="44"/>
  <c r="AB354" i="44"/>
  <c r="AA354" i="44"/>
  <c r="Z354" i="44"/>
  <c r="Y354" i="44"/>
  <c r="AD353" i="44"/>
  <c r="AC353" i="44"/>
  <c r="AB353" i="44"/>
  <c r="AA353" i="44"/>
  <c r="Z353" i="44"/>
  <c r="Y353" i="44"/>
  <c r="AD352" i="44"/>
  <c r="AC352" i="44"/>
  <c r="AB352" i="44"/>
  <c r="AA352" i="44"/>
  <c r="Z352" i="44"/>
  <c r="Y352" i="44"/>
  <c r="AD351" i="44"/>
  <c r="AC351" i="44"/>
  <c r="AB351" i="44"/>
  <c r="AA351" i="44"/>
  <c r="Z351" i="44"/>
  <c r="Y351" i="44"/>
  <c r="AD350" i="44"/>
  <c r="AC350" i="44"/>
  <c r="AB350" i="44"/>
  <c r="AA350" i="44"/>
  <c r="Z350" i="44"/>
  <c r="Y350" i="44"/>
  <c r="AD349" i="44"/>
  <c r="AC349" i="44"/>
  <c r="AB349" i="44"/>
  <c r="AA349" i="44"/>
  <c r="Z349" i="44"/>
  <c r="Y349" i="44"/>
  <c r="AD348" i="44"/>
  <c r="AC348" i="44"/>
  <c r="AB348" i="44"/>
  <c r="AA348" i="44"/>
  <c r="Z348" i="44"/>
  <c r="Y348" i="44"/>
  <c r="AD347" i="44"/>
  <c r="AC347" i="44"/>
  <c r="AB347" i="44"/>
  <c r="AA347" i="44"/>
  <c r="Z347" i="44"/>
  <c r="Y347" i="44"/>
  <c r="AD346" i="44"/>
  <c r="AC346" i="44"/>
  <c r="AB346" i="44"/>
  <c r="AA346" i="44"/>
  <c r="Z346" i="44"/>
  <c r="Y346" i="44"/>
  <c r="AD345" i="44"/>
  <c r="AC345" i="44"/>
  <c r="AB345" i="44"/>
  <c r="AA345" i="44"/>
  <c r="Z345" i="44"/>
  <c r="Y345" i="44"/>
  <c r="AD344" i="44"/>
  <c r="AC344" i="44"/>
  <c r="AB344" i="44"/>
  <c r="AA344" i="44"/>
  <c r="Z344" i="44"/>
  <c r="Y344" i="44"/>
  <c r="AD343" i="44"/>
  <c r="AC343" i="44"/>
  <c r="AB343" i="44"/>
  <c r="AA343" i="44"/>
  <c r="Z343" i="44"/>
  <c r="Y343" i="44"/>
  <c r="AD342" i="44"/>
  <c r="AC342" i="44"/>
  <c r="AB342" i="44"/>
  <c r="AA342" i="44"/>
  <c r="Z342" i="44"/>
  <c r="Y342" i="44"/>
  <c r="AD341" i="44"/>
  <c r="AC341" i="44"/>
  <c r="AB341" i="44"/>
  <c r="AA341" i="44"/>
  <c r="Z341" i="44"/>
  <c r="Y341" i="44"/>
  <c r="AD340" i="44"/>
  <c r="AC340" i="44"/>
  <c r="AB340" i="44"/>
  <c r="AA340" i="44"/>
  <c r="Z340" i="44"/>
  <c r="Y340" i="44"/>
  <c r="AD339" i="44"/>
  <c r="AC339" i="44"/>
  <c r="AB339" i="44"/>
  <c r="AA339" i="44"/>
  <c r="Z339" i="44"/>
  <c r="Y339" i="44"/>
  <c r="AD338" i="44"/>
  <c r="AC338" i="44"/>
  <c r="AB338" i="44"/>
  <c r="AA338" i="44"/>
  <c r="Z338" i="44"/>
  <c r="Y338" i="44"/>
  <c r="AD337" i="44"/>
  <c r="AC337" i="44"/>
  <c r="AB337" i="44"/>
  <c r="AA337" i="44"/>
  <c r="Z337" i="44"/>
  <c r="Y337" i="44"/>
  <c r="AD336" i="44"/>
  <c r="AC336" i="44"/>
  <c r="AB336" i="44"/>
  <c r="AA336" i="44"/>
  <c r="Z336" i="44"/>
  <c r="Y336" i="44"/>
  <c r="AD335" i="44"/>
  <c r="AC335" i="44"/>
  <c r="AB335" i="44"/>
  <c r="AA335" i="44"/>
  <c r="Z335" i="44"/>
  <c r="Y335" i="44"/>
  <c r="AD334" i="44"/>
  <c r="AC334" i="44"/>
  <c r="AB334" i="44"/>
  <c r="AA334" i="44"/>
  <c r="Z334" i="44"/>
  <c r="Y334" i="44"/>
  <c r="AD333" i="44"/>
  <c r="AC333" i="44"/>
  <c r="AB333" i="44"/>
  <c r="AA333" i="44"/>
  <c r="Z333" i="44"/>
  <c r="Y333" i="44"/>
  <c r="AD332" i="44"/>
  <c r="AC332" i="44"/>
  <c r="AB332" i="44"/>
  <c r="AA332" i="44"/>
  <c r="Z332" i="44"/>
  <c r="Y332" i="44"/>
  <c r="AD331" i="44"/>
  <c r="AC331" i="44"/>
  <c r="AB331" i="44"/>
  <c r="AA331" i="44"/>
  <c r="Z331" i="44"/>
  <c r="Y331" i="44"/>
  <c r="AD330" i="44"/>
  <c r="AC330" i="44"/>
  <c r="AB330" i="44"/>
  <c r="AA330" i="44"/>
  <c r="Z330" i="44"/>
  <c r="Y330" i="44"/>
  <c r="AD329" i="44"/>
  <c r="AC329" i="44"/>
  <c r="AB329" i="44"/>
  <c r="AA329" i="44"/>
  <c r="Z329" i="44"/>
  <c r="Y329" i="44"/>
  <c r="AD328" i="44"/>
  <c r="AC328" i="44"/>
  <c r="AB328" i="44"/>
  <c r="AA328" i="44"/>
  <c r="Z328" i="44"/>
  <c r="Y328" i="44"/>
  <c r="AD327" i="44"/>
  <c r="AC327" i="44"/>
  <c r="AB327" i="44"/>
  <c r="AA327" i="44"/>
  <c r="Z327" i="44"/>
  <c r="Y327" i="44"/>
  <c r="AD326" i="44"/>
  <c r="AC326" i="44"/>
  <c r="AB326" i="44"/>
  <c r="AA326" i="44"/>
  <c r="Z326" i="44"/>
  <c r="Y326" i="44"/>
  <c r="AD325" i="44"/>
  <c r="AC325" i="44"/>
  <c r="AB325" i="44"/>
  <c r="AA325" i="44"/>
  <c r="Z325" i="44"/>
  <c r="Y325" i="44"/>
  <c r="AD324" i="44"/>
  <c r="AC324" i="44"/>
  <c r="AB324" i="44"/>
  <c r="AA324" i="44"/>
  <c r="Z324" i="44"/>
  <c r="Y324" i="44"/>
  <c r="AD323" i="44"/>
  <c r="AC323" i="44"/>
  <c r="AB323" i="44"/>
  <c r="AA323" i="44"/>
  <c r="Z323" i="44"/>
  <c r="Y323" i="44"/>
  <c r="AD322" i="44"/>
  <c r="AC322" i="44"/>
  <c r="AB322" i="44"/>
  <c r="AA322" i="44"/>
  <c r="Z322" i="44"/>
  <c r="Y322" i="44"/>
  <c r="AD321" i="44"/>
  <c r="AC321" i="44"/>
  <c r="AB321" i="44"/>
  <c r="AA321" i="44"/>
  <c r="Z321" i="44"/>
  <c r="Y321" i="44"/>
  <c r="AD320" i="44"/>
  <c r="AC320" i="44"/>
  <c r="AB320" i="44"/>
  <c r="AA320" i="44"/>
  <c r="Z320" i="44"/>
  <c r="Y320" i="44"/>
  <c r="AD319" i="44"/>
  <c r="AC319" i="44"/>
  <c r="AB319" i="44"/>
  <c r="AA319" i="44"/>
  <c r="Z319" i="44"/>
  <c r="Y319" i="44"/>
  <c r="AD318" i="44"/>
  <c r="AC318" i="44"/>
  <c r="AB318" i="44"/>
  <c r="AA318" i="44"/>
  <c r="Z318" i="44"/>
  <c r="Y318" i="44"/>
  <c r="AD317" i="44"/>
  <c r="AC317" i="44"/>
  <c r="AB317" i="44"/>
  <c r="AA317" i="44"/>
  <c r="Z317" i="44"/>
  <c r="Y317" i="44"/>
  <c r="AD316" i="44"/>
  <c r="AC316" i="44"/>
  <c r="AB316" i="44"/>
  <c r="AA316" i="44"/>
  <c r="Z316" i="44"/>
  <c r="Y316" i="44"/>
  <c r="AD315" i="44"/>
  <c r="AC315" i="44"/>
  <c r="AB315" i="44"/>
  <c r="AA315" i="44"/>
  <c r="Z315" i="44"/>
  <c r="Y315" i="44"/>
  <c r="AD314" i="44"/>
  <c r="AC314" i="44"/>
  <c r="AB314" i="44"/>
  <c r="AA314" i="44"/>
  <c r="Z314" i="44"/>
  <c r="Y314" i="44"/>
  <c r="AD313" i="44"/>
  <c r="AC313" i="44"/>
  <c r="AB313" i="44"/>
  <c r="AA313" i="44"/>
  <c r="Z313" i="44"/>
  <c r="Y313" i="44"/>
  <c r="AD312" i="44"/>
  <c r="AC312" i="44"/>
  <c r="AB312" i="44"/>
  <c r="AA312" i="44"/>
  <c r="Z312" i="44"/>
  <c r="Y312" i="44"/>
  <c r="AD311" i="44"/>
  <c r="AC311" i="44"/>
  <c r="AB311" i="44"/>
  <c r="AA311" i="44"/>
  <c r="Z311" i="44"/>
  <c r="Y311" i="44"/>
  <c r="AD310" i="44"/>
  <c r="AC310" i="44"/>
  <c r="AB310" i="44"/>
  <c r="AA310" i="44"/>
  <c r="Z310" i="44"/>
  <c r="Y310" i="44"/>
  <c r="AD309" i="44"/>
  <c r="AC309" i="44"/>
  <c r="AB309" i="44"/>
  <c r="AA309" i="44"/>
  <c r="Z309" i="44"/>
  <c r="Y309" i="44"/>
  <c r="AD308" i="44"/>
  <c r="AC308" i="44"/>
  <c r="AB308" i="44"/>
  <c r="AA308" i="44"/>
  <c r="Z308" i="44"/>
  <c r="Y308" i="44"/>
  <c r="AD307" i="44"/>
  <c r="AC307" i="44"/>
  <c r="AB307" i="44"/>
  <c r="AA307" i="44"/>
  <c r="Z307" i="44"/>
  <c r="Y307" i="44"/>
  <c r="AD306" i="44"/>
  <c r="AC306" i="44"/>
  <c r="AB306" i="44"/>
  <c r="AA306" i="44"/>
  <c r="Z306" i="44"/>
  <c r="Y306" i="44"/>
  <c r="AD305" i="44"/>
  <c r="AC305" i="44"/>
  <c r="AB305" i="44"/>
  <c r="AA305" i="44"/>
  <c r="Z305" i="44"/>
  <c r="Y305" i="44"/>
  <c r="AD304" i="44"/>
  <c r="AC304" i="44"/>
  <c r="AB304" i="44"/>
  <c r="AA304" i="44"/>
  <c r="Z304" i="44"/>
  <c r="Y304" i="44"/>
  <c r="AD303" i="44"/>
  <c r="AC303" i="44"/>
  <c r="AB303" i="44"/>
  <c r="AA303" i="44"/>
  <c r="Z303" i="44"/>
  <c r="Y303" i="44"/>
  <c r="AD302" i="44"/>
  <c r="AC302" i="44"/>
  <c r="AB302" i="44"/>
  <c r="AA302" i="44"/>
  <c r="Z302" i="44"/>
  <c r="Y302" i="44"/>
  <c r="AD301" i="44"/>
  <c r="AC301" i="44"/>
  <c r="AB301" i="44"/>
  <c r="AA301" i="44"/>
  <c r="Z301" i="44"/>
  <c r="Y301" i="44"/>
  <c r="AD300" i="44"/>
  <c r="AC300" i="44"/>
  <c r="AB300" i="44"/>
  <c r="AA300" i="44"/>
  <c r="Z300" i="44"/>
  <c r="Y300" i="44"/>
  <c r="AD299" i="44"/>
  <c r="AC299" i="44"/>
  <c r="AB299" i="44"/>
  <c r="AA299" i="44"/>
  <c r="Z299" i="44"/>
  <c r="Y299" i="44"/>
  <c r="AD298" i="44"/>
  <c r="AC298" i="44"/>
  <c r="AB298" i="44"/>
  <c r="AA298" i="44"/>
  <c r="Z298" i="44"/>
  <c r="Y298" i="44"/>
  <c r="AD297" i="44"/>
  <c r="AC297" i="44"/>
  <c r="AB297" i="44"/>
  <c r="AA297" i="44"/>
  <c r="Z297" i="44"/>
  <c r="Y297" i="44"/>
  <c r="AD296" i="44"/>
  <c r="AC296" i="44"/>
  <c r="AB296" i="44"/>
  <c r="AA296" i="44"/>
  <c r="Z296" i="44"/>
  <c r="Y296" i="44"/>
  <c r="AD295" i="44"/>
  <c r="AC295" i="44"/>
  <c r="AB295" i="44"/>
  <c r="AA295" i="44"/>
  <c r="Z295" i="44"/>
  <c r="Y295" i="44"/>
  <c r="AD294" i="44"/>
  <c r="AC294" i="44"/>
  <c r="AB294" i="44"/>
  <c r="AA294" i="44"/>
  <c r="Z294" i="44"/>
  <c r="Y294" i="44"/>
  <c r="AD293" i="44"/>
  <c r="AC293" i="44"/>
  <c r="AB293" i="44"/>
  <c r="AA293" i="44"/>
  <c r="Z293" i="44"/>
  <c r="Y293" i="44"/>
  <c r="AD292" i="44"/>
  <c r="AC292" i="44"/>
  <c r="AB292" i="44"/>
  <c r="AA292" i="44"/>
  <c r="Z292" i="44"/>
  <c r="Y292" i="44"/>
  <c r="AD291" i="44"/>
  <c r="AC291" i="44"/>
  <c r="AB291" i="44"/>
  <c r="AA291" i="44"/>
  <c r="Z291" i="44"/>
  <c r="Y291" i="44"/>
  <c r="AD290" i="44"/>
  <c r="AC290" i="44"/>
  <c r="AB290" i="44"/>
  <c r="AA290" i="44"/>
  <c r="Z290" i="44"/>
  <c r="Y290" i="44"/>
  <c r="AD289" i="44"/>
  <c r="AC289" i="44"/>
  <c r="AB289" i="44"/>
  <c r="AA289" i="44"/>
  <c r="Z289" i="44"/>
  <c r="Y289" i="44"/>
  <c r="AD288" i="44"/>
  <c r="AC288" i="44"/>
  <c r="AB288" i="44"/>
  <c r="AA288" i="44"/>
  <c r="Z288" i="44"/>
  <c r="Y288" i="44"/>
  <c r="AD287" i="44"/>
  <c r="AC287" i="44"/>
  <c r="AB287" i="44"/>
  <c r="AA287" i="44"/>
  <c r="Z287" i="44"/>
  <c r="Y287" i="44"/>
  <c r="AD286" i="44"/>
  <c r="AC286" i="44"/>
  <c r="AB286" i="44"/>
  <c r="AA286" i="44"/>
  <c r="Z286" i="44"/>
  <c r="Y286" i="44"/>
  <c r="AD285" i="44"/>
  <c r="AC285" i="44"/>
  <c r="AB285" i="44"/>
  <c r="AA285" i="44"/>
  <c r="Z285" i="44"/>
  <c r="Y285" i="44"/>
  <c r="AD284" i="44"/>
  <c r="AC284" i="44"/>
  <c r="AB284" i="44"/>
  <c r="AA284" i="44"/>
  <c r="Z284" i="44"/>
  <c r="Y284" i="44"/>
  <c r="AD283" i="44"/>
  <c r="AC283" i="44"/>
  <c r="AB283" i="44"/>
  <c r="AA283" i="44"/>
  <c r="Z283" i="44"/>
  <c r="Y283" i="44"/>
  <c r="AD282" i="44"/>
  <c r="AC282" i="44"/>
  <c r="AB282" i="44"/>
  <c r="AA282" i="44"/>
  <c r="Z282" i="44"/>
  <c r="Y282" i="44"/>
  <c r="AD281" i="44"/>
  <c r="AC281" i="44"/>
  <c r="AB281" i="44"/>
  <c r="AA281" i="44"/>
  <c r="Z281" i="44"/>
  <c r="Y281" i="44"/>
  <c r="AD280" i="44"/>
  <c r="AC280" i="44"/>
  <c r="AB280" i="44"/>
  <c r="AA280" i="44"/>
  <c r="Z280" i="44"/>
  <c r="Y280" i="44"/>
  <c r="AD279" i="44"/>
  <c r="AC279" i="44"/>
  <c r="AB279" i="44"/>
  <c r="AA279" i="44"/>
  <c r="Z279" i="44"/>
  <c r="Y279" i="44"/>
  <c r="AD278" i="44"/>
  <c r="AC278" i="44"/>
  <c r="AB278" i="44"/>
  <c r="AA278" i="44"/>
  <c r="Z278" i="44"/>
  <c r="Y278" i="44"/>
  <c r="AD277" i="44"/>
  <c r="AC277" i="44"/>
  <c r="AB277" i="44"/>
  <c r="AA277" i="44"/>
  <c r="Z277" i="44"/>
  <c r="Y277" i="44"/>
  <c r="AD276" i="44"/>
  <c r="AC276" i="44"/>
  <c r="AB276" i="44"/>
  <c r="AA276" i="44"/>
  <c r="Z276" i="44"/>
  <c r="Y276" i="44"/>
  <c r="AD275" i="44"/>
  <c r="AC275" i="44"/>
  <c r="AB275" i="44"/>
  <c r="AA275" i="44"/>
  <c r="Z275" i="44"/>
  <c r="Y275" i="44"/>
  <c r="AD274" i="44"/>
  <c r="AC274" i="44"/>
  <c r="AB274" i="44"/>
  <c r="AA274" i="44"/>
  <c r="Z274" i="44"/>
  <c r="Y274" i="44"/>
  <c r="AD273" i="44"/>
  <c r="AC273" i="44"/>
  <c r="AB273" i="44"/>
  <c r="AA273" i="44"/>
  <c r="Z273" i="44"/>
  <c r="Y273" i="44"/>
  <c r="AD272" i="44"/>
  <c r="AC272" i="44"/>
  <c r="AB272" i="44"/>
  <c r="AA272" i="44"/>
  <c r="Z272" i="44"/>
  <c r="Y272" i="44"/>
  <c r="AD271" i="44"/>
  <c r="AC271" i="44"/>
  <c r="AB271" i="44"/>
  <c r="AA271" i="44"/>
  <c r="Z271" i="44"/>
  <c r="Y271" i="44"/>
  <c r="AD270" i="44"/>
  <c r="AC270" i="44"/>
  <c r="AB270" i="44"/>
  <c r="AA270" i="44"/>
  <c r="Z270" i="44"/>
  <c r="Y270" i="44"/>
  <c r="AD269" i="44"/>
  <c r="AC269" i="44"/>
  <c r="AB269" i="44"/>
  <c r="AA269" i="44"/>
  <c r="Z269" i="44"/>
  <c r="Y269" i="44"/>
  <c r="AD268" i="44"/>
  <c r="AC268" i="44"/>
  <c r="AB268" i="44"/>
  <c r="AA268" i="44"/>
  <c r="Z268" i="44"/>
  <c r="Y268" i="44"/>
  <c r="AD267" i="44"/>
  <c r="AC267" i="44"/>
  <c r="AB267" i="44"/>
  <c r="AA267" i="44"/>
  <c r="Z267" i="44"/>
  <c r="Y267" i="44"/>
  <c r="AD266" i="44"/>
  <c r="AC266" i="44"/>
  <c r="AB266" i="44"/>
  <c r="AA266" i="44"/>
  <c r="Z266" i="44"/>
  <c r="Y266" i="44"/>
  <c r="AD265" i="44"/>
  <c r="AC265" i="44"/>
  <c r="AB265" i="44"/>
  <c r="AA265" i="44"/>
  <c r="Z265" i="44"/>
  <c r="Y265" i="44"/>
  <c r="AD264" i="44"/>
  <c r="AC264" i="44"/>
  <c r="AB264" i="44"/>
  <c r="AA264" i="44"/>
  <c r="Z264" i="44"/>
  <c r="Y264" i="44"/>
  <c r="AD263" i="44"/>
  <c r="AC263" i="44"/>
  <c r="AB263" i="44"/>
  <c r="AA263" i="44"/>
  <c r="Z263" i="44"/>
  <c r="Y263" i="44"/>
  <c r="AD262" i="44"/>
  <c r="AC262" i="44"/>
  <c r="AB262" i="44"/>
  <c r="AA262" i="44"/>
  <c r="Z262" i="44"/>
  <c r="Y262" i="44"/>
  <c r="AD261" i="44"/>
  <c r="AC261" i="44"/>
  <c r="AB261" i="44"/>
  <c r="AA261" i="44"/>
  <c r="Z261" i="44"/>
  <c r="Y261" i="44"/>
  <c r="AD260" i="44"/>
  <c r="AC260" i="44"/>
  <c r="AB260" i="44"/>
  <c r="AA260" i="44"/>
  <c r="Z260" i="44"/>
  <c r="Y260" i="44"/>
  <c r="AD259" i="44"/>
  <c r="AC259" i="44"/>
  <c r="AB259" i="44"/>
  <c r="AA259" i="44"/>
  <c r="Z259" i="44"/>
  <c r="Y259" i="44"/>
  <c r="AD258" i="44"/>
  <c r="AC258" i="44"/>
  <c r="AB258" i="44"/>
  <c r="AA258" i="44"/>
  <c r="Z258" i="44"/>
  <c r="Y258" i="44"/>
  <c r="AD257" i="44"/>
  <c r="AC257" i="44"/>
  <c r="AB257" i="44"/>
  <c r="AA257" i="44"/>
  <c r="Z257" i="44"/>
  <c r="Y257" i="44"/>
  <c r="AD256" i="44"/>
  <c r="AC256" i="44"/>
  <c r="AB256" i="44"/>
  <c r="AA256" i="44"/>
  <c r="Z256" i="44"/>
  <c r="Y256" i="44"/>
  <c r="AD255" i="44"/>
  <c r="AC255" i="44"/>
  <c r="AB255" i="44"/>
  <c r="AA255" i="44"/>
  <c r="Z255" i="44"/>
  <c r="Y255" i="44"/>
  <c r="AD254" i="44"/>
  <c r="AC254" i="44"/>
  <c r="AB254" i="44"/>
  <c r="AA254" i="44"/>
  <c r="Z254" i="44"/>
  <c r="Y254" i="44"/>
  <c r="AD253" i="44"/>
  <c r="AC253" i="44"/>
  <c r="AB253" i="44"/>
  <c r="AA253" i="44"/>
  <c r="Z253" i="44"/>
  <c r="Y253" i="44"/>
  <c r="AD252" i="44"/>
  <c r="AC252" i="44"/>
  <c r="AB252" i="44"/>
  <c r="AA252" i="44"/>
  <c r="Z252" i="44"/>
  <c r="Y252" i="44"/>
  <c r="AD251" i="44"/>
  <c r="AC251" i="44"/>
  <c r="AB251" i="44"/>
  <c r="AA251" i="44"/>
  <c r="Z251" i="44"/>
  <c r="Y251" i="44"/>
  <c r="AD250" i="44"/>
  <c r="AC250" i="44"/>
  <c r="AB250" i="44"/>
  <c r="AA250" i="44"/>
  <c r="Z250" i="44"/>
  <c r="Y250" i="44"/>
  <c r="AD249" i="44"/>
  <c r="AC249" i="44"/>
  <c r="AB249" i="44"/>
  <c r="AA249" i="44"/>
  <c r="Z249" i="44"/>
  <c r="Y249" i="44"/>
  <c r="AD248" i="44"/>
  <c r="AC248" i="44"/>
  <c r="AB248" i="44"/>
  <c r="AA248" i="44"/>
  <c r="Z248" i="44"/>
  <c r="Y248" i="44"/>
  <c r="AD247" i="44"/>
  <c r="AC247" i="44"/>
  <c r="AB247" i="44"/>
  <c r="AA247" i="44"/>
  <c r="Z247" i="44"/>
  <c r="Y247" i="44"/>
  <c r="AD246" i="44"/>
  <c r="AC246" i="44"/>
  <c r="AB246" i="44"/>
  <c r="AA246" i="44"/>
  <c r="Z246" i="44"/>
  <c r="Y246" i="44"/>
  <c r="AD245" i="44"/>
  <c r="AC245" i="44"/>
  <c r="AB245" i="44"/>
  <c r="AA245" i="44"/>
  <c r="Z245" i="44"/>
  <c r="Y245" i="44"/>
  <c r="AD244" i="44"/>
  <c r="AC244" i="44"/>
  <c r="AB244" i="44"/>
  <c r="AA244" i="44"/>
  <c r="Z244" i="44"/>
  <c r="Y244" i="44"/>
  <c r="AD243" i="44"/>
  <c r="AC243" i="44"/>
  <c r="AB243" i="44"/>
  <c r="AA243" i="44"/>
  <c r="Z243" i="44"/>
  <c r="Y243" i="44"/>
  <c r="AD242" i="44"/>
  <c r="AC242" i="44"/>
  <c r="AB242" i="44"/>
  <c r="AA242" i="44"/>
  <c r="Z242" i="44"/>
  <c r="Y242" i="44"/>
  <c r="AD241" i="44"/>
  <c r="AC241" i="44"/>
  <c r="AB241" i="44"/>
  <c r="AA241" i="44"/>
  <c r="Z241" i="44"/>
  <c r="Y241" i="44"/>
  <c r="AD240" i="44"/>
  <c r="AC240" i="44"/>
  <c r="AB240" i="44"/>
  <c r="AA240" i="44"/>
  <c r="Z240" i="44"/>
  <c r="Y240" i="44"/>
  <c r="AD239" i="44"/>
  <c r="AC239" i="44"/>
  <c r="AB239" i="44"/>
  <c r="AA239" i="44"/>
  <c r="Z239" i="44"/>
  <c r="Y239" i="44"/>
  <c r="AD238" i="44"/>
  <c r="AC238" i="44"/>
  <c r="AB238" i="44"/>
  <c r="AA238" i="44"/>
  <c r="Z238" i="44"/>
  <c r="Y238" i="44"/>
  <c r="AD237" i="44"/>
  <c r="AC237" i="44"/>
  <c r="AB237" i="44"/>
  <c r="AA237" i="44"/>
  <c r="Z237" i="44"/>
  <c r="Y237" i="44"/>
  <c r="AD236" i="44"/>
  <c r="AC236" i="44"/>
  <c r="AB236" i="44"/>
  <c r="AA236" i="44"/>
  <c r="Z236" i="44"/>
  <c r="Y236" i="44"/>
  <c r="AD235" i="44"/>
  <c r="AC235" i="44"/>
  <c r="AB235" i="44"/>
  <c r="AA235" i="44"/>
  <c r="Z235" i="44"/>
  <c r="Y235" i="44"/>
  <c r="AD234" i="44"/>
  <c r="AC234" i="44"/>
  <c r="AB234" i="44"/>
  <c r="AA234" i="44"/>
  <c r="Z234" i="44"/>
  <c r="Y234" i="44"/>
  <c r="AD233" i="44"/>
  <c r="AC233" i="44"/>
  <c r="AB233" i="44"/>
  <c r="AA233" i="44"/>
  <c r="Z233" i="44"/>
  <c r="Y233" i="44"/>
  <c r="AD232" i="44"/>
  <c r="AC232" i="44"/>
  <c r="AB232" i="44"/>
  <c r="AA232" i="44"/>
  <c r="Z232" i="44"/>
  <c r="Y232" i="44"/>
  <c r="AD231" i="44"/>
  <c r="AC231" i="44"/>
  <c r="AB231" i="44"/>
  <c r="AA231" i="44"/>
  <c r="Z231" i="44"/>
  <c r="Y231" i="44"/>
  <c r="AD230" i="44"/>
  <c r="AC230" i="44"/>
  <c r="AB230" i="44"/>
  <c r="AA230" i="44"/>
  <c r="Z230" i="44"/>
  <c r="Y230" i="44"/>
  <c r="AD229" i="44"/>
  <c r="AC229" i="44"/>
  <c r="AB229" i="44"/>
  <c r="AA229" i="44"/>
  <c r="Z229" i="44"/>
  <c r="Y229" i="44"/>
  <c r="AD228" i="44"/>
  <c r="AC228" i="44"/>
  <c r="AB228" i="44"/>
  <c r="AA228" i="44"/>
  <c r="Z228" i="44"/>
  <c r="Y228" i="44"/>
  <c r="AD227" i="44"/>
  <c r="AC227" i="44"/>
  <c r="AB227" i="44"/>
  <c r="AA227" i="44"/>
  <c r="Z227" i="44"/>
  <c r="Y227" i="44"/>
  <c r="AD226" i="44"/>
  <c r="AC226" i="44"/>
  <c r="AB226" i="44"/>
  <c r="AA226" i="44"/>
  <c r="Z226" i="44"/>
  <c r="Y226" i="44"/>
  <c r="AD225" i="44"/>
  <c r="AC225" i="44"/>
  <c r="AB225" i="44"/>
  <c r="AA225" i="44"/>
  <c r="Z225" i="44"/>
  <c r="Y225" i="44"/>
  <c r="AD224" i="44"/>
  <c r="AC224" i="44"/>
  <c r="AB224" i="44"/>
  <c r="AA224" i="44"/>
  <c r="Z224" i="44"/>
  <c r="Y224" i="44"/>
  <c r="AD223" i="44"/>
  <c r="AC223" i="44"/>
  <c r="AB223" i="44"/>
  <c r="AA223" i="44"/>
  <c r="Z223" i="44"/>
  <c r="Y223" i="44"/>
  <c r="AD222" i="44"/>
  <c r="AC222" i="44"/>
  <c r="AB222" i="44"/>
  <c r="AA222" i="44"/>
  <c r="Z222" i="44"/>
  <c r="Y222" i="44"/>
  <c r="AD221" i="44"/>
  <c r="AC221" i="44"/>
  <c r="AB221" i="44"/>
  <c r="AA221" i="44"/>
  <c r="Z221" i="44"/>
  <c r="Y221" i="44"/>
  <c r="AD220" i="44"/>
  <c r="AC220" i="44"/>
  <c r="AB220" i="44"/>
  <c r="AA220" i="44"/>
  <c r="Z220" i="44"/>
  <c r="Y220" i="44"/>
  <c r="AD219" i="44"/>
  <c r="AC219" i="44"/>
  <c r="AB219" i="44"/>
  <c r="AA219" i="44"/>
  <c r="Z219" i="44"/>
  <c r="Y219" i="44"/>
  <c r="AD218" i="44"/>
  <c r="AC218" i="44"/>
  <c r="AB218" i="44"/>
  <c r="AA218" i="44"/>
  <c r="Z218" i="44"/>
  <c r="Y218" i="44"/>
  <c r="AD217" i="44"/>
  <c r="AC217" i="44"/>
  <c r="AB217" i="44"/>
  <c r="AA217" i="44"/>
  <c r="Z217" i="44"/>
  <c r="Y217" i="44"/>
  <c r="AD216" i="44"/>
  <c r="AC216" i="44"/>
  <c r="AB216" i="44"/>
  <c r="AA216" i="44"/>
  <c r="Z216" i="44"/>
  <c r="Y216" i="44"/>
  <c r="AD215" i="44"/>
  <c r="AC215" i="44"/>
  <c r="AB215" i="44"/>
  <c r="AA215" i="44"/>
  <c r="Z215" i="44"/>
  <c r="Y215" i="44"/>
  <c r="AD214" i="44"/>
  <c r="AC214" i="44"/>
  <c r="AB214" i="44"/>
  <c r="AA214" i="44"/>
  <c r="Z214" i="44"/>
  <c r="Y214" i="44"/>
  <c r="AD213" i="44"/>
  <c r="AC213" i="44"/>
  <c r="AB213" i="44"/>
  <c r="AA213" i="44"/>
  <c r="Z213" i="44"/>
  <c r="Y213" i="44"/>
  <c r="AD212" i="44"/>
  <c r="AC212" i="44"/>
  <c r="AB212" i="44"/>
  <c r="AA212" i="44"/>
  <c r="Z212" i="44"/>
  <c r="Y212" i="44"/>
  <c r="AD211" i="44"/>
  <c r="AC211" i="44"/>
  <c r="AB211" i="44"/>
  <c r="AA211" i="44"/>
  <c r="Z211" i="44"/>
  <c r="Y211" i="44"/>
  <c r="AD210" i="44"/>
  <c r="AC210" i="44"/>
  <c r="AB210" i="44"/>
  <c r="AA210" i="44"/>
  <c r="Z210" i="44"/>
  <c r="Y210" i="44"/>
  <c r="AD209" i="44"/>
  <c r="AC209" i="44"/>
  <c r="AB209" i="44"/>
  <c r="AA209" i="44"/>
  <c r="Z209" i="44"/>
  <c r="Y209" i="44"/>
  <c r="AD208" i="44"/>
  <c r="AC208" i="44"/>
  <c r="AB208" i="44"/>
  <c r="AA208" i="44"/>
  <c r="Z208" i="44"/>
  <c r="Y208" i="44"/>
  <c r="AD207" i="44"/>
  <c r="AC207" i="44"/>
  <c r="AB207" i="44"/>
  <c r="AA207" i="44"/>
  <c r="Z207" i="44"/>
  <c r="Y207" i="44"/>
  <c r="AD206" i="44"/>
  <c r="AC206" i="44"/>
  <c r="AB206" i="44"/>
  <c r="AA206" i="44"/>
  <c r="Z206" i="44"/>
  <c r="Y206" i="44"/>
  <c r="AD205" i="44"/>
  <c r="AC205" i="44"/>
  <c r="AB205" i="44"/>
  <c r="AA205" i="44"/>
  <c r="Z205" i="44"/>
  <c r="Y205" i="44"/>
  <c r="AD204" i="44"/>
  <c r="AC204" i="44"/>
  <c r="AB204" i="44"/>
  <c r="AA204" i="44"/>
  <c r="Z204" i="44"/>
  <c r="Y204" i="44"/>
  <c r="AD203" i="44"/>
  <c r="AC203" i="44"/>
  <c r="AB203" i="44"/>
  <c r="AA203" i="44"/>
  <c r="Z203" i="44"/>
  <c r="Y203" i="44"/>
  <c r="AD202" i="44"/>
  <c r="AC202" i="44"/>
  <c r="AB202" i="44"/>
  <c r="AA202" i="44"/>
  <c r="Z202" i="44"/>
  <c r="Y202" i="44"/>
  <c r="AD201" i="44"/>
  <c r="AC201" i="44"/>
  <c r="AB201" i="44"/>
  <c r="AA201" i="44"/>
  <c r="Z201" i="44"/>
  <c r="Y201" i="44"/>
  <c r="AD200" i="44"/>
  <c r="AC200" i="44"/>
  <c r="AB200" i="44"/>
  <c r="AA200" i="44"/>
  <c r="Z200" i="44"/>
  <c r="Y200" i="44"/>
  <c r="AD199" i="44"/>
  <c r="AC199" i="44"/>
  <c r="AB199" i="44"/>
  <c r="AA199" i="44"/>
  <c r="Z199" i="44"/>
  <c r="Y199" i="44"/>
  <c r="AD198" i="44"/>
  <c r="AC198" i="44"/>
  <c r="AB198" i="44"/>
  <c r="AA198" i="44"/>
  <c r="Z198" i="44"/>
  <c r="Y198" i="44"/>
  <c r="AD197" i="44"/>
  <c r="AC197" i="44"/>
  <c r="AB197" i="44"/>
  <c r="AA197" i="44"/>
  <c r="Z197" i="44"/>
  <c r="Y197" i="44"/>
  <c r="AD196" i="44"/>
  <c r="AC196" i="44"/>
  <c r="AB196" i="44"/>
  <c r="AA196" i="44"/>
  <c r="Z196" i="44"/>
  <c r="Y196" i="44"/>
  <c r="AD195" i="44"/>
  <c r="AC195" i="44"/>
  <c r="AB195" i="44"/>
  <c r="AA195" i="44"/>
  <c r="Z195" i="44"/>
  <c r="Y195" i="44"/>
  <c r="AD194" i="44"/>
  <c r="AC194" i="44"/>
  <c r="AB194" i="44"/>
  <c r="AA194" i="44"/>
  <c r="Z194" i="44"/>
  <c r="Y194" i="44"/>
  <c r="AD193" i="44"/>
  <c r="AC193" i="44"/>
  <c r="AB193" i="44"/>
  <c r="AA193" i="44"/>
  <c r="Z193" i="44"/>
  <c r="Y193" i="44"/>
  <c r="AD192" i="44"/>
  <c r="AC192" i="44"/>
  <c r="AB192" i="44"/>
  <c r="AA192" i="44"/>
  <c r="Z192" i="44"/>
  <c r="Y192" i="44"/>
  <c r="AD191" i="44"/>
  <c r="AC191" i="44"/>
  <c r="AB191" i="44"/>
  <c r="AA191" i="44"/>
  <c r="Z191" i="44"/>
  <c r="Y191" i="44"/>
  <c r="AD190" i="44"/>
  <c r="AC190" i="44"/>
  <c r="AB190" i="44"/>
  <c r="AA190" i="44"/>
  <c r="Z190" i="44"/>
  <c r="Y190" i="44"/>
  <c r="AD189" i="44"/>
  <c r="AC189" i="44"/>
  <c r="AB189" i="44"/>
  <c r="AA189" i="44"/>
  <c r="Z189" i="44"/>
  <c r="Y189" i="44"/>
  <c r="AD188" i="44"/>
  <c r="AC188" i="44"/>
  <c r="AB188" i="44"/>
  <c r="AA188" i="44"/>
  <c r="Z188" i="44"/>
  <c r="Y188" i="44"/>
  <c r="AD187" i="44"/>
  <c r="AC187" i="44"/>
  <c r="AB187" i="44"/>
  <c r="AA187" i="44"/>
  <c r="Z187" i="44"/>
  <c r="Y187" i="44"/>
  <c r="AD186" i="44"/>
  <c r="AC186" i="44"/>
  <c r="AB186" i="44"/>
  <c r="AA186" i="44"/>
  <c r="Z186" i="44"/>
  <c r="Y186" i="44"/>
  <c r="AD185" i="44"/>
  <c r="AC185" i="44"/>
  <c r="AB185" i="44"/>
  <c r="AA185" i="44"/>
  <c r="Z185" i="44"/>
  <c r="Y185" i="44"/>
  <c r="AD184" i="44"/>
  <c r="AC184" i="44"/>
  <c r="AB184" i="44"/>
  <c r="AA184" i="44"/>
  <c r="Z184" i="44"/>
  <c r="Y184" i="44"/>
  <c r="AD183" i="44"/>
  <c r="AC183" i="44"/>
  <c r="AB183" i="44"/>
  <c r="AA183" i="44"/>
  <c r="Z183" i="44"/>
  <c r="Y183" i="44"/>
  <c r="AD182" i="44"/>
  <c r="AC182" i="44"/>
  <c r="AB182" i="44"/>
  <c r="AA182" i="44"/>
  <c r="Z182" i="44"/>
  <c r="Y182" i="44"/>
  <c r="AD181" i="44"/>
  <c r="AC181" i="44"/>
  <c r="AB181" i="44"/>
  <c r="AA181" i="44"/>
  <c r="Z181" i="44"/>
  <c r="Y181" i="44"/>
  <c r="AD180" i="44"/>
  <c r="AC180" i="44"/>
  <c r="AB180" i="44"/>
  <c r="AA180" i="44"/>
  <c r="Z180" i="44"/>
  <c r="Y180" i="44"/>
  <c r="AD179" i="44"/>
  <c r="AC179" i="44"/>
  <c r="AB179" i="44"/>
  <c r="AA179" i="44"/>
  <c r="Z179" i="44"/>
  <c r="Y179" i="44"/>
  <c r="AD178" i="44"/>
  <c r="AC178" i="44"/>
  <c r="AB178" i="44"/>
  <c r="AA178" i="44"/>
  <c r="Z178" i="44"/>
  <c r="Y178" i="44"/>
  <c r="AD177" i="44"/>
  <c r="AC177" i="44"/>
  <c r="AB177" i="44"/>
  <c r="AA177" i="44"/>
  <c r="Z177" i="44"/>
  <c r="Y177" i="44"/>
  <c r="AD176" i="44"/>
  <c r="AC176" i="44"/>
  <c r="AB176" i="44"/>
  <c r="AA176" i="44"/>
  <c r="Z176" i="44"/>
  <c r="Y176" i="44"/>
  <c r="AD175" i="44"/>
  <c r="AC175" i="44"/>
  <c r="AB175" i="44"/>
  <c r="AA175" i="44"/>
  <c r="Z175" i="44"/>
  <c r="Y175" i="44"/>
  <c r="AD174" i="44"/>
  <c r="AC174" i="44"/>
  <c r="AB174" i="44"/>
  <c r="AA174" i="44"/>
  <c r="Z174" i="44"/>
  <c r="Y174" i="44"/>
  <c r="AD173" i="44"/>
  <c r="AC173" i="44"/>
  <c r="AB173" i="44"/>
  <c r="AA173" i="44"/>
  <c r="Z173" i="44"/>
  <c r="Y173" i="44"/>
  <c r="AD172" i="44"/>
  <c r="AC172" i="44"/>
  <c r="AB172" i="44"/>
  <c r="AA172" i="44"/>
  <c r="Z172" i="44"/>
  <c r="Y172" i="44"/>
  <c r="AD171" i="44"/>
  <c r="AC171" i="44"/>
  <c r="AB171" i="44"/>
  <c r="AA171" i="44"/>
  <c r="Z171" i="44"/>
  <c r="Y171" i="44"/>
  <c r="AD170" i="44"/>
  <c r="AC170" i="44"/>
  <c r="AB170" i="44"/>
  <c r="AA170" i="44"/>
  <c r="Z170" i="44"/>
  <c r="Y170" i="44"/>
  <c r="AD169" i="44"/>
  <c r="AC169" i="44"/>
  <c r="AB169" i="44"/>
  <c r="AA169" i="44"/>
  <c r="Z169" i="44"/>
  <c r="Y169" i="44"/>
  <c r="AD168" i="44"/>
  <c r="AC168" i="44"/>
  <c r="AB168" i="44"/>
  <c r="AA168" i="44"/>
  <c r="Z168" i="44"/>
  <c r="Y168" i="44"/>
  <c r="AD167" i="44"/>
  <c r="AC167" i="44"/>
  <c r="AB167" i="44"/>
  <c r="AA167" i="44"/>
  <c r="Z167" i="44"/>
  <c r="Y167" i="44"/>
  <c r="AD166" i="44"/>
  <c r="AC166" i="44"/>
  <c r="AB166" i="44"/>
  <c r="AA166" i="44"/>
  <c r="Z166" i="44"/>
  <c r="Y166" i="44"/>
  <c r="AD165" i="44"/>
  <c r="AC165" i="44"/>
  <c r="AB165" i="44"/>
  <c r="AA165" i="44"/>
  <c r="Z165" i="44"/>
  <c r="Y165" i="44"/>
  <c r="AD164" i="44"/>
  <c r="AC164" i="44"/>
  <c r="AB164" i="44"/>
  <c r="AA164" i="44"/>
  <c r="Z164" i="44"/>
  <c r="Y164" i="44"/>
  <c r="AD163" i="44"/>
  <c r="AC163" i="44"/>
  <c r="AB163" i="44"/>
  <c r="AA163" i="44"/>
  <c r="Z163" i="44"/>
  <c r="Y163" i="44"/>
  <c r="AD162" i="44"/>
  <c r="AC162" i="44"/>
  <c r="AB162" i="44"/>
  <c r="AA162" i="44"/>
  <c r="Z162" i="44"/>
  <c r="Y162" i="44"/>
  <c r="AD161" i="44"/>
  <c r="AC161" i="44"/>
  <c r="AB161" i="44"/>
  <c r="AA161" i="44"/>
  <c r="Z161" i="44"/>
  <c r="Y161" i="44"/>
  <c r="AD160" i="44"/>
  <c r="AC160" i="44"/>
  <c r="AB160" i="44"/>
  <c r="AA160" i="44"/>
  <c r="Z160" i="44"/>
  <c r="Y160" i="44"/>
  <c r="AD159" i="44"/>
  <c r="AC159" i="44"/>
  <c r="AB159" i="44"/>
  <c r="AA159" i="44"/>
  <c r="Z159" i="44"/>
  <c r="Y159" i="44"/>
  <c r="AD158" i="44"/>
  <c r="AC158" i="44"/>
  <c r="AB158" i="44"/>
  <c r="AA158" i="44"/>
  <c r="Z158" i="44"/>
  <c r="Y158" i="44"/>
  <c r="AD157" i="44"/>
  <c r="AC157" i="44"/>
  <c r="AB157" i="44"/>
  <c r="AA157" i="44"/>
  <c r="Z157" i="44"/>
  <c r="Y157" i="44"/>
  <c r="AD156" i="44"/>
  <c r="AC156" i="44"/>
  <c r="AB156" i="44"/>
  <c r="AA156" i="44"/>
  <c r="Z156" i="44"/>
  <c r="Y156" i="44"/>
  <c r="AD155" i="44"/>
  <c r="AC155" i="44"/>
  <c r="AB155" i="44"/>
  <c r="AA155" i="44"/>
  <c r="Z155" i="44"/>
  <c r="Y155" i="44"/>
  <c r="AD154" i="44"/>
  <c r="AC154" i="44"/>
  <c r="AB154" i="44"/>
  <c r="AA154" i="44"/>
  <c r="Z154" i="44"/>
  <c r="Y154" i="44"/>
  <c r="AD153" i="44"/>
  <c r="AC153" i="44"/>
  <c r="AB153" i="44"/>
  <c r="AA153" i="44"/>
  <c r="Z153" i="44"/>
  <c r="Y153" i="44"/>
  <c r="AD152" i="44"/>
  <c r="AC152" i="44"/>
  <c r="AB152" i="44"/>
  <c r="AA152" i="44"/>
  <c r="Z152" i="44"/>
  <c r="Y152" i="44"/>
  <c r="AD151" i="44"/>
  <c r="AC151" i="44"/>
  <c r="AB151" i="44"/>
  <c r="AA151" i="44"/>
  <c r="Z151" i="44"/>
  <c r="Y151" i="44"/>
  <c r="AD150" i="44"/>
  <c r="AC150" i="44"/>
  <c r="AB150" i="44"/>
  <c r="AA150" i="44"/>
  <c r="Z150" i="44"/>
  <c r="Y150" i="44"/>
  <c r="AD149" i="44"/>
  <c r="AC149" i="44"/>
  <c r="AB149" i="44"/>
  <c r="AA149" i="44"/>
  <c r="Z149" i="44"/>
  <c r="Y149" i="44"/>
  <c r="AD148" i="44"/>
  <c r="AC148" i="44"/>
  <c r="AB148" i="44"/>
  <c r="AA148" i="44"/>
  <c r="Z148" i="44"/>
  <c r="Y148" i="44"/>
  <c r="AD147" i="44"/>
  <c r="AC147" i="44"/>
  <c r="AB147" i="44"/>
  <c r="AA147" i="44"/>
  <c r="Z147" i="44"/>
  <c r="Y147" i="44"/>
  <c r="AD146" i="44"/>
  <c r="AC146" i="44"/>
  <c r="AB146" i="44"/>
  <c r="AA146" i="44"/>
  <c r="Z146" i="44"/>
  <c r="Y146" i="44"/>
  <c r="AD145" i="44"/>
  <c r="AC145" i="44"/>
  <c r="AB145" i="44"/>
  <c r="AA145" i="44"/>
  <c r="Z145" i="44"/>
  <c r="Y145" i="44"/>
  <c r="AD144" i="44"/>
  <c r="AC144" i="44"/>
  <c r="AB144" i="44"/>
  <c r="AA144" i="44"/>
  <c r="Z144" i="44"/>
  <c r="Y144" i="44"/>
  <c r="AD143" i="44"/>
  <c r="AC143" i="44"/>
  <c r="AB143" i="44"/>
  <c r="AA143" i="44"/>
  <c r="Z143" i="44"/>
  <c r="Y143" i="44"/>
  <c r="AD142" i="44"/>
  <c r="AC142" i="44"/>
  <c r="AB142" i="44"/>
  <c r="AA142" i="44"/>
  <c r="Z142" i="44"/>
  <c r="Y142" i="44"/>
  <c r="AD141" i="44"/>
  <c r="AC141" i="44"/>
  <c r="AB141" i="44"/>
  <c r="AA141" i="44"/>
  <c r="Z141" i="44"/>
  <c r="Y141" i="44"/>
  <c r="AD140" i="44"/>
  <c r="AC140" i="44"/>
  <c r="AB140" i="44"/>
  <c r="AA140" i="44"/>
  <c r="Z140" i="44"/>
  <c r="Y140" i="44"/>
  <c r="AD139" i="44"/>
  <c r="AC139" i="44"/>
  <c r="AB139" i="44"/>
  <c r="AA139" i="44"/>
  <c r="Z139" i="44"/>
  <c r="Y139" i="44"/>
  <c r="AD138" i="44"/>
  <c r="AC138" i="44"/>
  <c r="AB138" i="44"/>
  <c r="AA138" i="44"/>
  <c r="Z138" i="44"/>
  <c r="Y138" i="44"/>
  <c r="AD137" i="44"/>
  <c r="AC137" i="44"/>
  <c r="AB137" i="44"/>
  <c r="AA137" i="44"/>
  <c r="Z137" i="44"/>
  <c r="Y137" i="44"/>
  <c r="AD136" i="44"/>
  <c r="AC136" i="44"/>
  <c r="AB136" i="44"/>
  <c r="AA136" i="44"/>
  <c r="Z136" i="44"/>
  <c r="Y136" i="44"/>
  <c r="AD135" i="44"/>
  <c r="AC135" i="44"/>
  <c r="AB135" i="44"/>
  <c r="AA135" i="44"/>
  <c r="Z135" i="44"/>
  <c r="Y135" i="44"/>
  <c r="AD134" i="44"/>
  <c r="AC134" i="44"/>
  <c r="AB134" i="44"/>
  <c r="AA134" i="44"/>
  <c r="Z134" i="44"/>
  <c r="Y134" i="44"/>
  <c r="AD133" i="44"/>
  <c r="AC133" i="44"/>
  <c r="AB133" i="44"/>
  <c r="AA133" i="44"/>
  <c r="Z133" i="44"/>
  <c r="Y133" i="44"/>
  <c r="AD132" i="44"/>
  <c r="AC132" i="44"/>
  <c r="AB132" i="44"/>
  <c r="AA132" i="44"/>
  <c r="Z132" i="44"/>
  <c r="Y132" i="44"/>
  <c r="AD131" i="44"/>
  <c r="AC131" i="44"/>
  <c r="AB131" i="44"/>
  <c r="AA131" i="44"/>
  <c r="Z131" i="44"/>
  <c r="Y131" i="44"/>
  <c r="AD130" i="44"/>
  <c r="AC130" i="44"/>
  <c r="AB130" i="44"/>
  <c r="AA130" i="44"/>
  <c r="Z130" i="44"/>
  <c r="Y130" i="44"/>
  <c r="AD129" i="44"/>
  <c r="AC129" i="44"/>
  <c r="AB129" i="44"/>
  <c r="AA129" i="44"/>
  <c r="Z129" i="44"/>
  <c r="Y129" i="44"/>
  <c r="AD128" i="44"/>
  <c r="AC128" i="44"/>
  <c r="AB128" i="44"/>
  <c r="AA128" i="44"/>
  <c r="Z128" i="44"/>
  <c r="Y128" i="44"/>
  <c r="AD127" i="44"/>
  <c r="AC127" i="44"/>
  <c r="AB127" i="44"/>
  <c r="AA127" i="44"/>
  <c r="Z127" i="44"/>
  <c r="Y127" i="44"/>
  <c r="AD126" i="44"/>
  <c r="AC126" i="44"/>
  <c r="AB126" i="44"/>
  <c r="AA126" i="44"/>
  <c r="Z126" i="44"/>
  <c r="Y126" i="44"/>
  <c r="AD125" i="44"/>
  <c r="AC125" i="44"/>
  <c r="AB125" i="44"/>
  <c r="AA125" i="44"/>
  <c r="Z125" i="44"/>
  <c r="Y125" i="44"/>
  <c r="AD124" i="44"/>
  <c r="AC124" i="44"/>
  <c r="AB124" i="44"/>
  <c r="AA124" i="44"/>
  <c r="Z124" i="44"/>
  <c r="Y124" i="44"/>
  <c r="AD123" i="44"/>
  <c r="AC123" i="44"/>
  <c r="AB123" i="44"/>
  <c r="AA123" i="44"/>
  <c r="Z123" i="44"/>
  <c r="Y123" i="44"/>
  <c r="AD122" i="44"/>
  <c r="AC122" i="44"/>
  <c r="AB122" i="44"/>
  <c r="AA122" i="44"/>
  <c r="Z122" i="44"/>
  <c r="Y122" i="44"/>
  <c r="AD121" i="44"/>
  <c r="AC121" i="44"/>
  <c r="AB121" i="44"/>
  <c r="AA121" i="44"/>
  <c r="Z121" i="44"/>
  <c r="Y121" i="44"/>
  <c r="AD120" i="44"/>
  <c r="AC120" i="44"/>
  <c r="AB120" i="44"/>
  <c r="AA120" i="44"/>
  <c r="Z120" i="44"/>
  <c r="Y120" i="44"/>
  <c r="AD119" i="44"/>
  <c r="AC119" i="44"/>
  <c r="AB119" i="44"/>
  <c r="AA119" i="44"/>
  <c r="Z119" i="44"/>
  <c r="Y119" i="44"/>
  <c r="AD118" i="44"/>
  <c r="AC118" i="44"/>
  <c r="AB118" i="44"/>
  <c r="AA118" i="44"/>
  <c r="Z118" i="44"/>
  <c r="Y118" i="44"/>
  <c r="AD117" i="44"/>
  <c r="AC117" i="44"/>
  <c r="AB117" i="44"/>
  <c r="AA117" i="44"/>
  <c r="Z117" i="44"/>
  <c r="Y117" i="44"/>
  <c r="AD116" i="44"/>
  <c r="AC116" i="44"/>
  <c r="AB116" i="44"/>
  <c r="AA116" i="44"/>
  <c r="Z116" i="44"/>
  <c r="Y116" i="44"/>
  <c r="AD115" i="44"/>
  <c r="AC115" i="44"/>
  <c r="AB115" i="44"/>
  <c r="AA115" i="44"/>
  <c r="Z115" i="44"/>
  <c r="Y115" i="44"/>
  <c r="AD114" i="44"/>
  <c r="AC114" i="44"/>
  <c r="AB114" i="44"/>
  <c r="AA114" i="44"/>
  <c r="Z114" i="44"/>
  <c r="Y114" i="44"/>
  <c r="AD113" i="44"/>
  <c r="AC113" i="44"/>
  <c r="AB113" i="44"/>
  <c r="AA113" i="44"/>
  <c r="Z113" i="44"/>
  <c r="Y113" i="44"/>
  <c r="AD112" i="44"/>
  <c r="AC112" i="44"/>
  <c r="AB112" i="44"/>
  <c r="AA112" i="44"/>
  <c r="Z112" i="44"/>
  <c r="Y112" i="44"/>
  <c r="AD111" i="44"/>
  <c r="AC111" i="44"/>
  <c r="AB111" i="44"/>
  <c r="AA111" i="44"/>
  <c r="Z111" i="44"/>
  <c r="Y111" i="44"/>
  <c r="AD110" i="44"/>
  <c r="AC110" i="44"/>
  <c r="AB110" i="44"/>
  <c r="AA110" i="44"/>
  <c r="Z110" i="44"/>
  <c r="Y110" i="44"/>
  <c r="AD109" i="44"/>
  <c r="AC109" i="44"/>
  <c r="AB109" i="44"/>
  <c r="AA109" i="44"/>
  <c r="Z109" i="44"/>
  <c r="Y109" i="44"/>
  <c r="AD108" i="44"/>
  <c r="AC108" i="44"/>
  <c r="AB108" i="44"/>
  <c r="AA108" i="44"/>
  <c r="Z108" i="44"/>
  <c r="Y108" i="44"/>
  <c r="AD107" i="44"/>
  <c r="AC107" i="44"/>
  <c r="AB107" i="44"/>
  <c r="AA107" i="44"/>
  <c r="Z107" i="44"/>
  <c r="Y107" i="44"/>
  <c r="AD106" i="44"/>
  <c r="AC106" i="44"/>
  <c r="AB106" i="44"/>
  <c r="AA106" i="44"/>
  <c r="Z106" i="44"/>
  <c r="Y106" i="44"/>
  <c r="AD105" i="44"/>
  <c r="AC105" i="44"/>
  <c r="AB105" i="44"/>
  <c r="AA105" i="44"/>
  <c r="Z105" i="44"/>
  <c r="Y105" i="44"/>
  <c r="AD104" i="44"/>
  <c r="AC104" i="44"/>
  <c r="AB104" i="44"/>
  <c r="AA104" i="44"/>
  <c r="Z104" i="44"/>
  <c r="Y104" i="44"/>
  <c r="AD103" i="44"/>
  <c r="AC103" i="44"/>
  <c r="AB103" i="44"/>
  <c r="AA103" i="44"/>
  <c r="Z103" i="44"/>
  <c r="Y103" i="44"/>
  <c r="AD102" i="44"/>
  <c r="AC102" i="44"/>
  <c r="AB102" i="44"/>
  <c r="AA102" i="44"/>
  <c r="Z102" i="44"/>
  <c r="Y102" i="44"/>
  <c r="AD101" i="44"/>
  <c r="AC101" i="44"/>
  <c r="AB101" i="44"/>
  <c r="AA101" i="44"/>
  <c r="Z101" i="44"/>
  <c r="Y101" i="44"/>
  <c r="AD100" i="44"/>
  <c r="AC100" i="44"/>
  <c r="AB100" i="44"/>
  <c r="AA100" i="44"/>
  <c r="Z100" i="44"/>
  <c r="Y100" i="44"/>
  <c r="AD99" i="44"/>
  <c r="AC99" i="44"/>
  <c r="AB99" i="44"/>
  <c r="AA99" i="44"/>
  <c r="Z99" i="44"/>
  <c r="Y99" i="44"/>
  <c r="AD98" i="44"/>
  <c r="AC98" i="44"/>
  <c r="AB98" i="44"/>
  <c r="AA98" i="44"/>
  <c r="Z98" i="44"/>
  <c r="Y98" i="44"/>
  <c r="AD97" i="44"/>
  <c r="AC97" i="44"/>
  <c r="AB97" i="44"/>
  <c r="AA97" i="44"/>
  <c r="Z97" i="44"/>
  <c r="Y97" i="44"/>
  <c r="AD96" i="44"/>
  <c r="AC96" i="44"/>
  <c r="AB96" i="44"/>
  <c r="AA96" i="44"/>
  <c r="Z96" i="44"/>
  <c r="Y96" i="44"/>
  <c r="AD95" i="44"/>
  <c r="AC95" i="44"/>
  <c r="AB95" i="44"/>
  <c r="AA95" i="44"/>
  <c r="Z95" i="44"/>
  <c r="Y95" i="44"/>
  <c r="AD94" i="44"/>
  <c r="AC94" i="44"/>
  <c r="AB94" i="44"/>
  <c r="AA94" i="44"/>
  <c r="Z94" i="44"/>
  <c r="Y94" i="44"/>
  <c r="AD93" i="44"/>
  <c r="AC93" i="44"/>
  <c r="AB93" i="44"/>
  <c r="AA93" i="44"/>
  <c r="Z93" i="44"/>
  <c r="Y93" i="44"/>
  <c r="AD92" i="44"/>
  <c r="AC92" i="44"/>
  <c r="AB92" i="44"/>
  <c r="AA92" i="44"/>
  <c r="Z92" i="44"/>
  <c r="Y92" i="44"/>
  <c r="AD91" i="44"/>
  <c r="AC91" i="44"/>
  <c r="AB91" i="44"/>
  <c r="AA91" i="44"/>
  <c r="Z91" i="44"/>
  <c r="Y91" i="44"/>
  <c r="AD90" i="44"/>
  <c r="AC90" i="44"/>
  <c r="AB90" i="44"/>
  <c r="AA90" i="44"/>
  <c r="Z90" i="44"/>
  <c r="Y90" i="44"/>
  <c r="AD89" i="44"/>
  <c r="AC89" i="44"/>
  <c r="AB89" i="44"/>
  <c r="AA89" i="44"/>
  <c r="Z89" i="44"/>
  <c r="Y89" i="44"/>
  <c r="AD88" i="44"/>
  <c r="AC88" i="44"/>
  <c r="AB88" i="44"/>
  <c r="AA88" i="44"/>
  <c r="Z88" i="44"/>
  <c r="Y88" i="44"/>
  <c r="AD87" i="44"/>
  <c r="AC87" i="44"/>
  <c r="AB87" i="44"/>
  <c r="AA87" i="44"/>
  <c r="Z87" i="44"/>
  <c r="Y87" i="44"/>
  <c r="AD86" i="44"/>
  <c r="AC86" i="44"/>
  <c r="AB86" i="44"/>
  <c r="AA86" i="44"/>
  <c r="Z86" i="44"/>
  <c r="Y86" i="44"/>
  <c r="AD85" i="44"/>
  <c r="AC85" i="44"/>
  <c r="AB85" i="44"/>
  <c r="AA85" i="44"/>
  <c r="Z85" i="44"/>
  <c r="Y85" i="44"/>
  <c r="AD84" i="44"/>
  <c r="AC84" i="44"/>
  <c r="AB84" i="44"/>
  <c r="AA84" i="44"/>
  <c r="Z84" i="44"/>
  <c r="Y84" i="44"/>
  <c r="AD83" i="44"/>
  <c r="AC83" i="44"/>
  <c r="AB83" i="44"/>
  <c r="AA83" i="44"/>
  <c r="Z83" i="44"/>
  <c r="Y83" i="44"/>
  <c r="AD82" i="44"/>
  <c r="AC82" i="44"/>
  <c r="AB82" i="44"/>
  <c r="AA82" i="44"/>
  <c r="Z82" i="44"/>
  <c r="Y82" i="44"/>
  <c r="AD81" i="44"/>
  <c r="AC81" i="44"/>
  <c r="AB81" i="44"/>
  <c r="AA81" i="44"/>
  <c r="Z81" i="44"/>
  <c r="Y81" i="44"/>
  <c r="AD80" i="44"/>
  <c r="AC80" i="44"/>
  <c r="AB80" i="44"/>
  <c r="AA80" i="44"/>
  <c r="Z80" i="44"/>
  <c r="Y80" i="44"/>
  <c r="AD79" i="44"/>
  <c r="AC79" i="44"/>
  <c r="AB79" i="44"/>
  <c r="AA79" i="44"/>
  <c r="Z79" i="44"/>
  <c r="Y79" i="44"/>
  <c r="AD78" i="44"/>
  <c r="AC78" i="44"/>
  <c r="AB78" i="44"/>
  <c r="AA78" i="44"/>
  <c r="Z78" i="44"/>
  <c r="Y78" i="44"/>
  <c r="AD77" i="44"/>
  <c r="AC77" i="44"/>
  <c r="AB77" i="44"/>
  <c r="AA77" i="44"/>
  <c r="Z77" i="44"/>
  <c r="Y77" i="44"/>
  <c r="AD76" i="44"/>
  <c r="AC76" i="44"/>
  <c r="AB76" i="44"/>
  <c r="AA76" i="44"/>
  <c r="Z76" i="44"/>
  <c r="Y76" i="44"/>
  <c r="AG297" i="37"/>
  <c r="AH297" i="37"/>
  <c r="AI297" i="37"/>
  <c r="AJ297" i="37"/>
  <c r="AK297" i="37"/>
  <c r="AL297" i="37"/>
  <c r="AG298" i="37"/>
  <c r="AH298" i="37"/>
  <c r="AI298" i="37"/>
  <c r="AJ298" i="37"/>
  <c r="AK298" i="37"/>
  <c r="AL298" i="37"/>
  <c r="AG299" i="37"/>
  <c r="AH299" i="37"/>
  <c r="AI299" i="37"/>
  <c r="AJ299" i="37"/>
  <c r="AK299" i="37"/>
  <c r="AL299" i="37"/>
  <c r="AG300" i="37"/>
  <c r="AH300" i="37"/>
  <c r="AI300" i="37"/>
  <c r="AJ300" i="37"/>
  <c r="AK300" i="37"/>
  <c r="AL300" i="37"/>
  <c r="AG301" i="37"/>
  <c r="AH301" i="37"/>
  <c r="AI301" i="37"/>
  <c r="AJ301" i="37"/>
  <c r="AK301" i="37"/>
  <c r="AL301" i="37"/>
  <c r="AG302" i="37"/>
  <c r="AH302" i="37"/>
  <c r="AI302" i="37"/>
  <c r="AJ302" i="37"/>
  <c r="AK302" i="37"/>
  <c r="AL302" i="37"/>
  <c r="AG303" i="37"/>
  <c r="AH303" i="37"/>
  <c r="AI303" i="37"/>
  <c r="AJ303" i="37"/>
  <c r="AK303" i="37"/>
  <c r="AL303" i="37"/>
  <c r="AG304" i="37"/>
  <c r="AH304" i="37"/>
  <c r="AI304" i="37"/>
  <c r="AJ304" i="37"/>
  <c r="AK304" i="37"/>
  <c r="AL304" i="37"/>
  <c r="AG305" i="37"/>
  <c r="AH305" i="37"/>
  <c r="AI305" i="37"/>
  <c r="AJ305" i="37"/>
  <c r="AK305" i="37"/>
  <c r="AL305" i="37"/>
  <c r="AG306" i="37"/>
  <c r="AH306" i="37"/>
  <c r="AI306" i="37"/>
  <c r="AJ306" i="37"/>
  <c r="AK306" i="37"/>
  <c r="AL306" i="37"/>
  <c r="AG307" i="37"/>
  <c r="AH307" i="37"/>
  <c r="AI307" i="37"/>
  <c r="AJ307" i="37"/>
  <c r="AK307" i="37"/>
  <c r="AL307" i="37"/>
  <c r="AG308" i="37"/>
  <c r="AH308" i="37"/>
  <c r="AI308" i="37"/>
  <c r="AJ308" i="37"/>
  <c r="AK308" i="37"/>
  <c r="AL308" i="37"/>
  <c r="AG309" i="37"/>
  <c r="AH309" i="37"/>
  <c r="AI309" i="37"/>
  <c r="AJ309" i="37"/>
  <c r="AK309" i="37"/>
  <c r="AL309" i="37"/>
  <c r="AG310" i="37"/>
  <c r="AH310" i="37"/>
  <c r="AI310" i="37"/>
  <c r="AJ310" i="37"/>
  <c r="AK310" i="37"/>
  <c r="AL310" i="37"/>
  <c r="AG311" i="37"/>
  <c r="AH311" i="37"/>
  <c r="AI311" i="37"/>
  <c r="AJ311" i="37"/>
  <c r="AK311" i="37"/>
  <c r="AL311" i="37"/>
  <c r="AG312" i="37"/>
  <c r="AH312" i="37"/>
  <c r="AI312" i="37"/>
  <c r="AJ312" i="37"/>
  <c r="AK312" i="37"/>
  <c r="AL312" i="37"/>
  <c r="AG313" i="37"/>
  <c r="AH313" i="37"/>
  <c r="AI313" i="37"/>
  <c r="AJ313" i="37"/>
  <c r="AK313" i="37"/>
  <c r="AL313" i="37"/>
  <c r="AG314" i="37"/>
  <c r="AH314" i="37"/>
  <c r="AI314" i="37"/>
  <c r="AJ314" i="37"/>
  <c r="AK314" i="37"/>
  <c r="AL314" i="37"/>
  <c r="AG315" i="37"/>
  <c r="AH315" i="37"/>
  <c r="AI315" i="37"/>
  <c r="AJ315" i="37"/>
  <c r="AK315" i="37"/>
  <c r="AL315" i="37"/>
  <c r="AG316" i="37"/>
  <c r="AH316" i="37"/>
  <c r="AI316" i="37"/>
  <c r="AJ316" i="37"/>
  <c r="AK316" i="37"/>
  <c r="AL316" i="37"/>
  <c r="AG317" i="37"/>
  <c r="AH317" i="37"/>
  <c r="AI317" i="37"/>
  <c r="AJ317" i="37"/>
  <c r="AK317" i="37"/>
  <c r="AL317" i="37"/>
  <c r="AG318" i="37"/>
  <c r="AH318" i="37"/>
  <c r="AI318" i="37"/>
  <c r="AJ318" i="37"/>
  <c r="AK318" i="37"/>
  <c r="AL318" i="37"/>
  <c r="AG319" i="37"/>
  <c r="AH319" i="37"/>
  <c r="AI319" i="37"/>
  <c r="AJ319" i="37"/>
  <c r="AK319" i="37"/>
  <c r="AL319" i="37"/>
  <c r="AG320" i="37"/>
  <c r="AH320" i="37"/>
  <c r="AI320" i="37"/>
  <c r="AJ320" i="37"/>
  <c r="AK320" i="37"/>
  <c r="AL320" i="37"/>
  <c r="AG321" i="37"/>
  <c r="AH321" i="37"/>
  <c r="AI321" i="37"/>
  <c r="AJ321" i="37"/>
  <c r="AK321" i="37"/>
  <c r="AL321" i="37"/>
  <c r="AG322" i="37"/>
  <c r="AH322" i="37"/>
  <c r="AI322" i="37"/>
  <c r="AJ322" i="37"/>
  <c r="AK322" i="37"/>
  <c r="AL322" i="37"/>
  <c r="AG323" i="37"/>
  <c r="AH323" i="37"/>
  <c r="AI323" i="37"/>
  <c r="AJ323" i="37"/>
  <c r="AK323" i="37"/>
  <c r="AL323" i="37"/>
  <c r="AG324" i="37"/>
  <c r="AH324" i="37"/>
  <c r="AI324" i="37"/>
  <c r="AJ324" i="37"/>
  <c r="AK324" i="37"/>
  <c r="AL324" i="37"/>
  <c r="AG325" i="37"/>
  <c r="AH325" i="37"/>
  <c r="AI325" i="37"/>
  <c r="AJ325" i="37"/>
  <c r="AK325" i="37"/>
  <c r="AL325" i="37"/>
  <c r="AG326" i="37"/>
  <c r="AH326" i="37"/>
  <c r="AI326" i="37"/>
  <c r="AJ326" i="37"/>
  <c r="AK326" i="37"/>
  <c r="AL326" i="37"/>
  <c r="AG327" i="37"/>
  <c r="AH327" i="37"/>
  <c r="AI327" i="37"/>
  <c r="AJ327" i="37"/>
  <c r="AK327" i="37"/>
  <c r="AL327" i="37"/>
  <c r="AG328" i="37"/>
  <c r="AH328" i="37"/>
  <c r="AI328" i="37"/>
  <c r="AJ328" i="37"/>
  <c r="AK328" i="37"/>
  <c r="AL328" i="37"/>
  <c r="AG329" i="37"/>
  <c r="AH329" i="37"/>
  <c r="AI329" i="37"/>
  <c r="AJ329" i="37"/>
  <c r="AK329" i="37"/>
  <c r="AL329" i="37"/>
  <c r="AG330" i="37"/>
  <c r="AH330" i="37"/>
  <c r="AI330" i="37"/>
  <c r="AJ330" i="37"/>
  <c r="AK330" i="37"/>
  <c r="AL330" i="37"/>
  <c r="AG331" i="37"/>
  <c r="AH331" i="37"/>
  <c r="AI331" i="37"/>
  <c r="AJ331" i="37"/>
  <c r="AK331" i="37"/>
  <c r="AL331" i="37"/>
  <c r="AG332" i="37"/>
  <c r="AH332" i="37"/>
  <c r="AI332" i="37"/>
  <c r="AJ332" i="37"/>
  <c r="AK332" i="37"/>
  <c r="AL332" i="37"/>
  <c r="AG333" i="37"/>
  <c r="AH333" i="37"/>
  <c r="AI333" i="37"/>
  <c r="AJ333" i="37"/>
  <c r="AK333" i="37"/>
  <c r="AL333" i="37"/>
  <c r="AG334" i="37"/>
  <c r="AH334" i="37"/>
  <c r="AI334" i="37"/>
  <c r="AJ334" i="37"/>
  <c r="AK334" i="37"/>
  <c r="AL334" i="37"/>
  <c r="AG335" i="37"/>
  <c r="AH335" i="37"/>
  <c r="AI335" i="37"/>
  <c r="AJ335" i="37"/>
  <c r="AK335" i="37"/>
  <c r="AL335" i="37"/>
  <c r="AG336" i="37"/>
  <c r="AH336" i="37"/>
  <c r="AI336" i="37"/>
  <c r="AJ336" i="37"/>
  <c r="AK336" i="37"/>
  <c r="AL336" i="37"/>
  <c r="AG337" i="37"/>
  <c r="AH337" i="37"/>
  <c r="AI337" i="37"/>
  <c r="AJ337" i="37"/>
  <c r="AK337" i="37"/>
  <c r="AL337" i="37"/>
  <c r="AG338" i="37"/>
  <c r="AH338" i="37"/>
  <c r="AI338" i="37"/>
  <c r="AJ338" i="37"/>
  <c r="AK338" i="37"/>
  <c r="AL338" i="37"/>
  <c r="AG339" i="37"/>
  <c r="AH339" i="37"/>
  <c r="AI339" i="37"/>
  <c r="AJ339" i="37"/>
  <c r="AK339" i="37"/>
  <c r="AL339" i="37"/>
  <c r="AG340" i="37"/>
  <c r="AH340" i="37"/>
  <c r="AI340" i="37"/>
  <c r="AJ340" i="37"/>
  <c r="AK340" i="37"/>
  <c r="AL340" i="37"/>
  <c r="AG341" i="37"/>
  <c r="AH341" i="37"/>
  <c r="AI341" i="37"/>
  <c r="AJ341" i="37"/>
  <c r="AK341" i="37"/>
  <c r="AL341" i="37"/>
  <c r="AG342" i="37"/>
  <c r="AH342" i="37"/>
  <c r="AI342" i="37"/>
  <c r="AJ342" i="37"/>
  <c r="AK342" i="37"/>
  <c r="AL342" i="37"/>
  <c r="AG343" i="37"/>
  <c r="AH343" i="37"/>
  <c r="AI343" i="37"/>
  <c r="AJ343" i="37"/>
  <c r="AK343" i="37"/>
  <c r="AL343" i="37"/>
  <c r="AG344" i="37"/>
  <c r="AH344" i="37"/>
  <c r="AI344" i="37"/>
  <c r="AJ344" i="37"/>
  <c r="AK344" i="37"/>
  <c r="AL344" i="37"/>
  <c r="AG345" i="37"/>
  <c r="AH345" i="37"/>
  <c r="AI345" i="37"/>
  <c r="AJ345" i="37"/>
  <c r="AK345" i="37"/>
  <c r="AL345" i="37"/>
  <c r="AG346" i="37"/>
  <c r="AH346" i="37"/>
  <c r="AI346" i="37"/>
  <c r="AJ346" i="37"/>
  <c r="AK346" i="37"/>
  <c r="AL346" i="37"/>
  <c r="AG347" i="37"/>
  <c r="AH347" i="37"/>
  <c r="AI347" i="37"/>
  <c r="AJ347" i="37"/>
  <c r="AK347" i="37"/>
  <c r="AL347" i="37"/>
  <c r="AG348" i="37"/>
  <c r="AH348" i="37"/>
  <c r="AI348" i="37"/>
  <c r="AJ348" i="37"/>
  <c r="AK348" i="37"/>
  <c r="AL348" i="37"/>
  <c r="AG349" i="37"/>
  <c r="AH349" i="37"/>
  <c r="AI349" i="37"/>
  <c r="AJ349" i="37"/>
  <c r="AK349" i="37"/>
  <c r="AL349" i="37"/>
  <c r="AG350" i="37"/>
  <c r="AH350" i="37"/>
  <c r="AI350" i="37"/>
  <c r="AJ350" i="37"/>
  <c r="AK350" i="37"/>
  <c r="AL350" i="37"/>
  <c r="AG351" i="37"/>
  <c r="AH351" i="37"/>
  <c r="AI351" i="37"/>
  <c r="AJ351" i="37"/>
  <c r="AK351" i="37"/>
  <c r="AL351" i="37"/>
  <c r="AG352" i="37"/>
  <c r="AH352" i="37"/>
  <c r="AI352" i="37"/>
  <c r="AJ352" i="37"/>
  <c r="AK352" i="37"/>
  <c r="AL352" i="37"/>
  <c r="AG353" i="37"/>
  <c r="AH353" i="37"/>
  <c r="AI353" i="37"/>
  <c r="AJ353" i="37"/>
  <c r="AK353" i="37"/>
  <c r="AL353" i="37"/>
  <c r="AG354" i="37"/>
  <c r="AH354" i="37"/>
  <c r="AI354" i="37"/>
  <c r="AJ354" i="37"/>
  <c r="AK354" i="37"/>
  <c r="AL354" i="37"/>
  <c r="AG355" i="37"/>
  <c r="AH355" i="37"/>
  <c r="AI355" i="37"/>
  <c r="AJ355" i="37"/>
  <c r="AK355" i="37"/>
  <c r="AL355" i="37"/>
  <c r="AG356" i="37"/>
  <c r="AH356" i="37"/>
  <c r="AI356" i="37"/>
  <c r="AJ356" i="37"/>
  <c r="AK356" i="37"/>
  <c r="AL356" i="37"/>
  <c r="AG357" i="37"/>
  <c r="AH357" i="37"/>
  <c r="AI357" i="37"/>
  <c r="AJ357" i="37"/>
  <c r="AK357" i="37"/>
  <c r="AL357" i="37"/>
  <c r="AG358" i="37"/>
  <c r="AH358" i="37"/>
  <c r="AI358" i="37"/>
  <c r="AJ358" i="37"/>
  <c r="AK358" i="37"/>
  <c r="AL358" i="37"/>
  <c r="AG359" i="37"/>
  <c r="AH359" i="37"/>
  <c r="AI359" i="37"/>
  <c r="AJ359" i="37"/>
  <c r="AK359" i="37"/>
  <c r="AL359" i="37"/>
  <c r="AG360" i="37"/>
  <c r="AH360" i="37"/>
  <c r="AI360" i="37"/>
  <c r="AJ360" i="37"/>
  <c r="AK360" i="37"/>
  <c r="AL360" i="37"/>
  <c r="AG361" i="37"/>
  <c r="AH361" i="37"/>
  <c r="AI361" i="37"/>
  <c r="AJ361" i="37"/>
  <c r="AK361" i="37"/>
  <c r="AL361" i="37"/>
  <c r="AG362" i="37"/>
  <c r="AH362" i="37"/>
  <c r="AI362" i="37"/>
  <c r="AJ362" i="37"/>
  <c r="AK362" i="37"/>
  <c r="AL362" i="37"/>
  <c r="AG363" i="37"/>
  <c r="AH363" i="37"/>
  <c r="AI363" i="37"/>
  <c r="AJ363" i="37"/>
  <c r="AK363" i="37"/>
  <c r="AL363" i="37"/>
  <c r="AG364" i="37"/>
  <c r="AH364" i="37"/>
  <c r="AI364" i="37"/>
  <c r="AJ364" i="37"/>
  <c r="AK364" i="37"/>
  <c r="AL364" i="37"/>
  <c r="AG365" i="37"/>
  <c r="AH365" i="37"/>
  <c r="AI365" i="37"/>
  <c r="AJ365" i="37"/>
  <c r="AK365" i="37"/>
  <c r="AL365" i="37"/>
  <c r="AG366" i="37"/>
  <c r="AH366" i="37"/>
  <c r="AI366" i="37"/>
  <c r="AJ366" i="37"/>
  <c r="AK366" i="37"/>
  <c r="AL366" i="37"/>
  <c r="AG367" i="37"/>
  <c r="AH367" i="37"/>
  <c r="AI367" i="37"/>
  <c r="AJ367" i="37"/>
  <c r="AK367" i="37"/>
  <c r="AL367" i="37"/>
  <c r="AG368" i="37"/>
  <c r="AH368" i="37"/>
  <c r="AI368" i="37"/>
  <c r="AJ368" i="37"/>
  <c r="AK368" i="37"/>
  <c r="AL368" i="37"/>
  <c r="AG369" i="37"/>
  <c r="AH369" i="37"/>
  <c r="AI369" i="37"/>
  <c r="AJ369" i="37"/>
  <c r="AK369" i="37"/>
  <c r="AL369" i="37"/>
  <c r="AG370" i="37"/>
  <c r="AH370" i="37"/>
  <c r="AI370" i="37"/>
  <c r="AJ370" i="37"/>
  <c r="AK370" i="37"/>
  <c r="AL370" i="37"/>
  <c r="AG371" i="37"/>
  <c r="AH371" i="37"/>
  <c r="AI371" i="37"/>
  <c r="AJ371" i="37"/>
  <c r="AK371" i="37"/>
  <c r="AL371" i="37"/>
  <c r="AG372" i="37"/>
  <c r="AH372" i="37"/>
  <c r="AI372" i="37"/>
  <c r="AJ372" i="37"/>
  <c r="AK372" i="37"/>
  <c r="AL372" i="37"/>
  <c r="AG373" i="37"/>
  <c r="AH373" i="37"/>
  <c r="AI373" i="37"/>
  <c r="AJ373" i="37"/>
  <c r="AK373" i="37"/>
  <c r="AL373" i="37"/>
  <c r="AG374" i="37"/>
  <c r="AH374" i="37"/>
  <c r="AI374" i="37"/>
  <c r="AJ374" i="37"/>
  <c r="AK374" i="37"/>
  <c r="AL374" i="37"/>
  <c r="AG375" i="37"/>
  <c r="AH375" i="37"/>
  <c r="AI375" i="37"/>
  <c r="AJ375" i="37"/>
  <c r="AK375" i="37"/>
  <c r="AL375" i="37"/>
  <c r="AG376" i="37"/>
  <c r="AH376" i="37"/>
  <c r="AI376" i="37"/>
  <c r="AJ376" i="37"/>
  <c r="AK376" i="37"/>
  <c r="AL376" i="37"/>
  <c r="AG377" i="37"/>
  <c r="AH377" i="37"/>
  <c r="AI377" i="37"/>
  <c r="AJ377" i="37"/>
  <c r="AK377" i="37"/>
  <c r="AL377" i="37"/>
  <c r="AG378" i="37"/>
  <c r="AH378" i="37"/>
  <c r="AI378" i="37"/>
  <c r="AJ378" i="37"/>
  <c r="AK378" i="37"/>
  <c r="AL378" i="37"/>
  <c r="AG379" i="37"/>
  <c r="AH379" i="37"/>
  <c r="AI379" i="37"/>
  <c r="AJ379" i="37"/>
  <c r="AK379" i="37"/>
  <c r="AL379" i="37"/>
  <c r="AG380" i="37"/>
  <c r="AH380" i="37"/>
  <c r="AI380" i="37"/>
  <c r="AJ380" i="37"/>
  <c r="AK380" i="37"/>
  <c r="AL380" i="37"/>
  <c r="AG381" i="37"/>
  <c r="AH381" i="37"/>
  <c r="AI381" i="37"/>
  <c r="AJ381" i="37"/>
  <c r="AK381" i="37"/>
  <c r="AL381" i="37"/>
  <c r="AG382" i="37"/>
  <c r="AH382" i="37"/>
  <c r="AI382" i="37"/>
  <c r="AJ382" i="37"/>
  <c r="AK382" i="37"/>
  <c r="AL382" i="37"/>
  <c r="AG383" i="37"/>
  <c r="AH383" i="37"/>
  <c r="AI383" i="37"/>
  <c r="AJ383" i="37"/>
  <c r="AK383" i="37"/>
  <c r="AL383" i="37"/>
  <c r="AG384" i="37"/>
  <c r="AH384" i="37"/>
  <c r="AI384" i="37"/>
  <c r="AJ384" i="37"/>
  <c r="AK384" i="37"/>
  <c r="AL384" i="37"/>
  <c r="AG385" i="37"/>
  <c r="AH385" i="37"/>
  <c r="AI385" i="37"/>
  <c r="AJ385" i="37"/>
  <c r="AK385" i="37"/>
  <c r="AL385" i="37"/>
  <c r="AG386" i="37"/>
  <c r="AH386" i="37"/>
  <c r="AI386" i="37"/>
  <c r="AJ386" i="37"/>
  <c r="AK386" i="37"/>
  <c r="AL386" i="37"/>
  <c r="AG387" i="37"/>
  <c r="AH387" i="37"/>
  <c r="AI387" i="37"/>
  <c r="AJ387" i="37"/>
  <c r="AK387" i="37"/>
  <c r="AL387" i="37"/>
  <c r="AG388" i="37"/>
  <c r="AH388" i="37"/>
  <c r="AI388" i="37"/>
  <c r="AJ388" i="37"/>
  <c r="AK388" i="37"/>
  <c r="AL388" i="37"/>
  <c r="AG389" i="37"/>
  <c r="AH389" i="37"/>
  <c r="AI389" i="37"/>
  <c r="AJ389" i="37"/>
  <c r="AK389" i="37"/>
  <c r="AL389" i="37"/>
  <c r="AG390" i="37"/>
  <c r="AH390" i="37"/>
  <c r="AI390" i="37"/>
  <c r="AJ390" i="37"/>
  <c r="AK390" i="37"/>
  <c r="AL390" i="37"/>
  <c r="AG391" i="37"/>
  <c r="AH391" i="37"/>
  <c r="AI391" i="37"/>
  <c r="AJ391" i="37"/>
  <c r="AK391" i="37"/>
  <c r="AL391" i="37"/>
  <c r="AG392" i="37"/>
  <c r="AH392" i="37"/>
  <c r="AI392" i="37"/>
  <c r="AJ392" i="37"/>
  <c r="AK392" i="37"/>
  <c r="AL392" i="37"/>
  <c r="AG393" i="37"/>
  <c r="AH393" i="37"/>
  <c r="AI393" i="37"/>
  <c r="AJ393" i="37"/>
  <c r="AK393" i="37"/>
  <c r="AL393" i="37"/>
  <c r="AG394" i="37"/>
  <c r="AH394" i="37"/>
  <c r="AI394" i="37"/>
  <c r="AJ394" i="37"/>
  <c r="AK394" i="37"/>
  <c r="AL394" i="37"/>
  <c r="AG395" i="37"/>
  <c r="AH395" i="37"/>
  <c r="AI395" i="37"/>
  <c r="AJ395" i="37"/>
  <c r="AK395" i="37"/>
  <c r="AL395" i="37"/>
  <c r="AG396" i="37"/>
  <c r="AH396" i="37"/>
  <c r="AI396" i="37"/>
  <c r="AJ396" i="37"/>
  <c r="AK396" i="37"/>
  <c r="AL396" i="37"/>
  <c r="AG397" i="37"/>
  <c r="AH397" i="37"/>
  <c r="AI397" i="37"/>
  <c r="AJ397" i="37"/>
  <c r="AK397" i="37"/>
  <c r="AL397" i="37"/>
  <c r="AG398" i="37"/>
  <c r="AH398" i="37"/>
  <c r="AI398" i="37"/>
  <c r="AJ398" i="37"/>
  <c r="AK398" i="37"/>
  <c r="AL398" i="37"/>
  <c r="AG399" i="37"/>
  <c r="AH399" i="37"/>
  <c r="AI399" i="37"/>
  <c r="AJ399" i="37"/>
  <c r="AK399" i="37"/>
  <c r="AL399" i="37"/>
  <c r="AG400" i="37"/>
  <c r="AH400" i="37"/>
  <c r="AI400" i="37"/>
  <c r="AJ400" i="37"/>
  <c r="AK400" i="37"/>
  <c r="AL400" i="37"/>
  <c r="AG401" i="37"/>
  <c r="AH401" i="37"/>
  <c r="AI401" i="37"/>
  <c r="AJ401" i="37"/>
  <c r="AK401" i="37"/>
  <c r="AL401" i="37"/>
  <c r="AG402" i="37"/>
  <c r="AH402" i="37"/>
  <c r="AI402" i="37"/>
  <c r="AJ402" i="37"/>
  <c r="AK402" i="37"/>
  <c r="AL402" i="37"/>
  <c r="AG403" i="37"/>
  <c r="AH403" i="37"/>
  <c r="AI403" i="37"/>
  <c r="AJ403" i="37"/>
  <c r="AK403" i="37"/>
  <c r="AL403" i="37"/>
  <c r="AG404" i="37"/>
  <c r="AH404" i="37"/>
  <c r="AI404" i="37"/>
  <c r="AJ404" i="37"/>
  <c r="AK404" i="37"/>
  <c r="AL404" i="37"/>
  <c r="AG405" i="37"/>
  <c r="AH405" i="37"/>
  <c r="AI405" i="37"/>
  <c r="AJ405" i="37"/>
  <c r="AK405" i="37"/>
  <c r="AL405" i="37"/>
  <c r="AG406" i="37"/>
  <c r="AH406" i="37"/>
  <c r="AI406" i="37"/>
  <c r="AJ406" i="37"/>
  <c r="AK406" i="37"/>
  <c r="AL406" i="37"/>
  <c r="AG407" i="37"/>
  <c r="AH407" i="37"/>
  <c r="AI407" i="37"/>
  <c r="AJ407" i="37"/>
  <c r="AK407" i="37"/>
  <c r="AL407" i="37"/>
  <c r="AG408" i="37"/>
  <c r="AH408" i="37"/>
  <c r="AI408" i="37"/>
  <c r="AJ408" i="37"/>
  <c r="AK408" i="37"/>
  <c r="AL408" i="37"/>
  <c r="AG409" i="37"/>
  <c r="AH409" i="37"/>
  <c r="AI409" i="37"/>
  <c r="AJ409" i="37"/>
  <c r="AK409" i="37"/>
  <c r="AL409" i="37"/>
  <c r="AG410" i="37"/>
  <c r="AH410" i="37"/>
  <c r="AI410" i="37"/>
  <c r="AJ410" i="37"/>
  <c r="AK410" i="37"/>
  <c r="AL410" i="37"/>
  <c r="AG411" i="37"/>
  <c r="AH411" i="37"/>
  <c r="AI411" i="37"/>
  <c r="AJ411" i="37"/>
  <c r="AK411" i="37"/>
  <c r="AL411" i="37"/>
  <c r="AG412" i="37"/>
  <c r="AH412" i="37"/>
  <c r="AI412" i="37"/>
  <c r="AJ412" i="37"/>
  <c r="AK412" i="37"/>
  <c r="AL412" i="37"/>
  <c r="AG413" i="37"/>
  <c r="AH413" i="37"/>
  <c r="AI413" i="37"/>
  <c r="AJ413" i="37"/>
  <c r="AK413" i="37"/>
  <c r="AL413" i="37"/>
  <c r="AG414" i="37"/>
  <c r="AH414" i="37"/>
  <c r="AI414" i="37"/>
  <c r="AJ414" i="37"/>
  <c r="AK414" i="37"/>
  <c r="AL414" i="37"/>
  <c r="AG415" i="37"/>
  <c r="AH415" i="37"/>
  <c r="AI415" i="37"/>
  <c r="AJ415" i="37"/>
  <c r="AK415" i="37"/>
  <c r="AL415" i="37"/>
  <c r="AG416" i="37"/>
  <c r="AH416" i="37"/>
  <c r="AI416" i="37"/>
  <c r="AJ416" i="37"/>
  <c r="AK416" i="37"/>
  <c r="AL416" i="37"/>
  <c r="AG417" i="37"/>
  <c r="AH417" i="37"/>
  <c r="AI417" i="37"/>
  <c r="AJ417" i="37"/>
  <c r="AK417" i="37"/>
  <c r="AL417" i="37"/>
  <c r="AG418" i="37"/>
  <c r="AH418" i="37"/>
  <c r="AI418" i="37"/>
  <c r="AJ418" i="37"/>
  <c r="AK418" i="37"/>
  <c r="AL418" i="37"/>
  <c r="AG419" i="37"/>
  <c r="AH419" i="37"/>
  <c r="AI419" i="37"/>
  <c r="AJ419" i="37"/>
  <c r="AK419" i="37"/>
  <c r="AL419" i="37"/>
  <c r="AG420" i="37"/>
  <c r="AH420" i="37"/>
  <c r="AI420" i="37"/>
  <c r="AJ420" i="37"/>
  <c r="AK420" i="37"/>
  <c r="AL420" i="37"/>
  <c r="AG421" i="37"/>
  <c r="AH421" i="37"/>
  <c r="AI421" i="37"/>
  <c r="AJ421" i="37"/>
  <c r="AK421" i="37"/>
  <c r="AL421" i="37"/>
  <c r="AG422" i="37"/>
  <c r="AH422" i="37"/>
  <c r="AI422" i="37"/>
  <c r="AJ422" i="37"/>
  <c r="AK422" i="37"/>
  <c r="AL422" i="37"/>
  <c r="AG423" i="37"/>
  <c r="AH423" i="37"/>
  <c r="AI423" i="37"/>
  <c r="AJ423" i="37"/>
  <c r="AK423" i="37"/>
  <c r="AL423" i="37"/>
  <c r="AG424" i="37"/>
  <c r="AH424" i="37"/>
  <c r="AI424" i="37"/>
  <c r="AJ424" i="37"/>
  <c r="AK424" i="37"/>
  <c r="AL424" i="37"/>
  <c r="AG425" i="37"/>
  <c r="AH425" i="37"/>
  <c r="AI425" i="37"/>
  <c r="AJ425" i="37"/>
  <c r="AK425" i="37"/>
  <c r="AL425" i="37"/>
  <c r="AG426" i="37"/>
  <c r="AH426" i="37"/>
  <c r="AI426" i="37"/>
  <c r="AJ426" i="37"/>
  <c r="AK426" i="37"/>
  <c r="AL426" i="37"/>
  <c r="AG427" i="37"/>
  <c r="AH427" i="37"/>
  <c r="AI427" i="37"/>
  <c r="AJ427" i="37"/>
  <c r="AK427" i="37"/>
  <c r="AL427" i="37"/>
  <c r="AG428" i="37"/>
  <c r="AH428" i="37"/>
  <c r="AI428" i="37"/>
  <c r="AJ428" i="37"/>
  <c r="AK428" i="37"/>
  <c r="AL428" i="37"/>
  <c r="AG429" i="37"/>
  <c r="AH429" i="37"/>
  <c r="AI429" i="37"/>
  <c r="AJ429" i="37"/>
  <c r="AK429" i="37"/>
  <c r="AL429" i="37"/>
  <c r="AG430" i="37"/>
  <c r="AH430" i="37"/>
  <c r="AI430" i="37"/>
  <c r="AJ430" i="37"/>
  <c r="AK430" i="37"/>
  <c r="AL430" i="37"/>
  <c r="AG431" i="37"/>
  <c r="AH431" i="37"/>
  <c r="AI431" i="37"/>
  <c r="AJ431" i="37"/>
  <c r="AK431" i="37"/>
  <c r="AL431" i="37"/>
  <c r="AG432" i="37"/>
  <c r="AH432" i="37"/>
  <c r="AI432" i="37"/>
  <c r="AJ432" i="37"/>
  <c r="AK432" i="37"/>
  <c r="AL432" i="37"/>
  <c r="AG433" i="37"/>
  <c r="AH433" i="37"/>
  <c r="AI433" i="37"/>
  <c r="AJ433" i="37"/>
  <c r="AK433" i="37"/>
  <c r="AL433" i="37"/>
  <c r="AG434" i="37"/>
  <c r="AH434" i="37"/>
  <c r="AI434" i="37"/>
  <c r="AJ434" i="37"/>
  <c r="AK434" i="37"/>
  <c r="AL434" i="37"/>
  <c r="AG435" i="37"/>
  <c r="AH435" i="37"/>
  <c r="AI435" i="37"/>
  <c r="AJ435" i="37"/>
  <c r="AK435" i="37"/>
  <c r="AL435" i="37"/>
  <c r="AG436" i="37"/>
  <c r="AH436" i="37"/>
  <c r="AI436" i="37"/>
  <c r="AJ436" i="37"/>
  <c r="AK436" i="37"/>
  <c r="AL436" i="37"/>
  <c r="AG437" i="37"/>
  <c r="AH437" i="37"/>
  <c r="AI437" i="37"/>
  <c r="AJ437" i="37"/>
  <c r="AK437" i="37"/>
  <c r="AL437" i="37"/>
  <c r="AG438" i="37"/>
  <c r="AH438" i="37"/>
  <c r="AI438" i="37"/>
  <c r="AJ438" i="37"/>
  <c r="AK438" i="37"/>
  <c r="AL438" i="37"/>
  <c r="AG439" i="37"/>
  <c r="AH439" i="37"/>
  <c r="AI439" i="37"/>
  <c r="AJ439" i="37"/>
  <c r="AK439" i="37"/>
  <c r="AL439" i="37"/>
  <c r="AG440" i="37"/>
  <c r="AH440" i="37"/>
  <c r="AI440" i="37"/>
  <c r="AJ440" i="37"/>
  <c r="AK440" i="37"/>
  <c r="AL440" i="37"/>
  <c r="AG441" i="37"/>
  <c r="AH441" i="37"/>
  <c r="AI441" i="37"/>
  <c r="AJ441" i="37"/>
  <c r="AK441" i="37"/>
  <c r="AL441" i="37"/>
  <c r="AG442" i="37"/>
  <c r="AH442" i="37"/>
  <c r="AI442" i="37"/>
  <c r="AJ442" i="37"/>
  <c r="AK442" i="37"/>
  <c r="AL442" i="37"/>
  <c r="AG443" i="37"/>
  <c r="AH443" i="37"/>
  <c r="AI443" i="37"/>
  <c r="AJ443" i="37"/>
  <c r="AK443" i="37"/>
  <c r="AL443" i="37"/>
  <c r="AG444" i="37"/>
  <c r="AH444" i="37"/>
  <c r="AI444" i="37"/>
  <c r="AJ444" i="37"/>
  <c r="AK444" i="37"/>
  <c r="AL444" i="37"/>
  <c r="AG445" i="37"/>
  <c r="AH445" i="37"/>
  <c r="AI445" i="37"/>
  <c r="AJ445" i="37"/>
  <c r="AK445" i="37"/>
  <c r="AL445" i="37"/>
  <c r="AG446" i="37"/>
  <c r="AH446" i="37"/>
  <c r="AI446" i="37"/>
  <c r="AJ446" i="37"/>
  <c r="AK446" i="37"/>
  <c r="AL446" i="37"/>
  <c r="AG447" i="37"/>
  <c r="AH447" i="37"/>
  <c r="AI447" i="37"/>
  <c r="AJ447" i="37"/>
  <c r="AK447" i="37"/>
  <c r="AL447" i="37"/>
  <c r="AG448" i="37"/>
  <c r="AH448" i="37"/>
  <c r="AI448" i="37"/>
  <c r="AJ448" i="37"/>
  <c r="AK448" i="37"/>
  <c r="AL448" i="37"/>
  <c r="AG449" i="37"/>
  <c r="AH449" i="37"/>
  <c r="AI449" i="37"/>
  <c r="AJ449" i="37"/>
  <c r="AK449" i="37"/>
  <c r="AL449" i="37"/>
  <c r="AG450" i="37"/>
  <c r="AH450" i="37"/>
  <c r="AI450" i="37"/>
  <c r="AJ450" i="37"/>
  <c r="AK450" i="37"/>
  <c r="AL450" i="37"/>
  <c r="AG451" i="37"/>
  <c r="AH451" i="37"/>
  <c r="AI451" i="37"/>
  <c r="AJ451" i="37"/>
  <c r="AK451" i="37"/>
  <c r="AL451" i="37"/>
  <c r="AG452" i="37"/>
  <c r="AH452" i="37"/>
  <c r="AI452" i="37"/>
  <c r="AJ452" i="37"/>
  <c r="AK452" i="37"/>
  <c r="AL452" i="37"/>
  <c r="AG453" i="37"/>
  <c r="AH453" i="37"/>
  <c r="AI453" i="37"/>
  <c r="AJ453" i="37"/>
  <c r="AK453" i="37"/>
  <c r="AL453" i="37"/>
  <c r="AG454" i="37"/>
  <c r="AH454" i="37"/>
  <c r="AI454" i="37"/>
  <c r="AJ454" i="37"/>
  <c r="AK454" i="37"/>
  <c r="AL454" i="37"/>
  <c r="AG455" i="37"/>
  <c r="AH455" i="37"/>
  <c r="AI455" i="37"/>
  <c r="AJ455" i="37"/>
  <c r="AK455" i="37"/>
  <c r="AL455" i="37"/>
  <c r="AG456" i="37"/>
  <c r="AH456" i="37"/>
  <c r="AI456" i="37"/>
  <c r="AJ456" i="37"/>
  <c r="AK456" i="37"/>
  <c r="AL456" i="37"/>
  <c r="AG457" i="37"/>
  <c r="AH457" i="37"/>
  <c r="AI457" i="37"/>
  <c r="AJ457" i="37"/>
  <c r="AK457" i="37"/>
  <c r="AL457" i="37"/>
  <c r="AG458" i="37"/>
  <c r="AH458" i="37"/>
  <c r="AI458" i="37"/>
  <c r="AJ458" i="37"/>
  <c r="AK458" i="37"/>
  <c r="AL458" i="37"/>
  <c r="AG459" i="37"/>
  <c r="AH459" i="37"/>
  <c r="AI459" i="37"/>
  <c r="AJ459" i="37"/>
  <c r="AK459" i="37"/>
  <c r="AL459" i="37"/>
  <c r="AG460" i="37"/>
  <c r="AH460" i="37"/>
  <c r="AI460" i="37"/>
  <c r="AJ460" i="37"/>
  <c r="AK460" i="37"/>
  <c r="AL460" i="37"/>
  <c r="AG461" i="37"/>
  <c r="AH461" i="37"/>
  <c r="AI461" i="37"/>
  <c r="AJ461" i="37"/>
  <c r="AK461" i="37"/>
  <c r="AL461" i="37"/>
  <c r="AG462" i="37"/>
  <c r="AH462" i="37"/>
  <c r="AI462" i="37"/>
  <c r="AJ462" i="37"/>
  <c r="AK462" i="37"/>
  <c r="AL462" i="37"/>
  <c r="AG463" i="37"/>
  <c r="AH463" i="37"/>
  <c r="AI463" i="37"/>
  <c r="AJ463" i="37"/>
  <c r="AK463" i="37"/>
  <c r="AL463" i="37"/>
  <c r="AG464" i="37"/>
  <c r="AH464" i="37"/>
  <c r="AI464" i="37"/>
  <c r="AJ464" i="37"/>
  <c r="AK464" i="37"/>
  <c r="AL464" i="37"/>
  <c r="AG465" i="37"/>
  <c r="AH465" i="37"/>
  <c r="AI465" i="37"/>
  <c r="AJ465" i="37"/>
  <c r="AK465" i="37"/>
  <c r="AL465" i="37"/>
  <c r="AG466" i="37"/>
  <c r="AH466" i="37"/>
  <c r="AI466" i="37"/>
  <c r="AJ466" i="37"/>
  <c r="AK466" i="37"/>
  <c r="AL466" i="37"/>
  <c r="AG467" i="37"/>
  <c r="AH467" i="37"/>
  <c r="AI467" i="37"/>
  <c r="AJ467" i="37"/>
  <c r="AK467" i="37"/>
  <c r="AL467" i="37"/>
  <c r="AG468" i="37"/>
  <c r="AH468" i="37"/>
  <c r="AI468" i="37"/>
  <c r="AJ468" i="37"/>
  <c r="AK468" i="37"/>
  <c r="AL468" i="37"/>
  <c r="AG469" i="37"/>
  <c r="AH469" i="37"/>
  <c r="AI469" i="37"/>
  <c r="AJ469" i="37"/>
  <c r="AK469" i="37"/>
  <c r="AL469" i="37"/>
  <c r="AG470" i="37"/>
  <c r="AH470" i="37"/>
  <c r="AI470" i="37"/>
  <c r="AJ470" i="37"/>
  <c r="AK470" i="37"/>
  <c r="AL470" i="37"/>
  <c r="AG471" i="37"/>
  <c r="AH471" i="37"/>
  <c r="AI471" i="37"/>
  <c r="AJ471" i="37"/>
  <c r="AK471" i="37"/>
  <c r="AL471" i="37"/>
  <c r="AG472" i="37"/>
  <c r="AH472" i="37"/>
  <c r="AI472" i="37"/>
  <c r="AJ472" i="37"/>
  <c r="AK472" i="37"/>
  <c r="AL472" i="37"/>
  <c r="AG473" i="37"/>
  <c r="AH473" i="37"/>
  <c r="AI473" i="37"/>
  <c r="AJ473" i="37"/>
  <c r="AK473" i="37"/>
  <c r="AL473" i="37"/>
  <c r="AG474" i="37"/>
  <c r="AH474" i="37"/>
  <c r="AI474" i="37"/>
  <c r="AJ474" i="37"/>
  <c r="AK474" i="37"/>
  <c r="AL474" i="37"/>
  <c r="AG475" i="37"/>
  <c r="AH475" i="37"/>
  <c r="AI475" i="37"/>
  <c r="AJ475" i="37"/>
  <c r="AK475" i="37"/>
  <c r="AL475" i="37"/>
  <c r="AG476" i="37"/>
  <c r="AH476" i="37"/>
  <c r="AI476" i="37"/>
  <c r="AJ476" i="37"/>
  <c r="AK476" i="37"/>
  <c r="AL476" i="37"/>
  <c r="AG477" i="37"/>
  <c r="AH477" i="37"/>
  <c r="AI477" i="37"/>
  <c r="AJ477" i="37"/>
  <c r="AK477" i="37"/>
  <c r="AL477" i="37"/>
  <c r="AG478" i="37"/>
  <c r="AH478" i="37"/>
  <c r="AI478" i="37"/>
  <c r="AJ478" i="37"/>
  <c r="AK478" i="37"/>
  <c r="AL478" i="37"/>
  <c r="AG479" i="37"/>
  <c r="AH479" i="37"/>
  <c r="AI479" i="37"/>
  <c r="AJ479" i="37"/>
  <c r="AK479" i="37"/>
  <c r="AL479" i="37"/>
  <c r="AG480" i="37"/>
  <c r="AH480" i="37"/>
  <c r="AI480" i="37"/>
  <c r="AJ480" i="37"/>
  <c r="AK480" i="37"/>
  <c r="AL480" i="37"/>
  <c r="AG481" i="37"/>
  <c r="AH481" i="37"/>
  <c r="AI481" i="37"/>
  <c r="AJ481" i="37"/>
  <c r="AK481" i="37"/>
  <c r="AL481" i="37"/>
  <c r="AG482" i="37"/>
  <c r="AH482" i="37"/>
  <c r="AI482" i="37"/>
  <c r="AJ482" i="37"/>
  <c r="AK482" i="37"/>
  <c r="AL482" i="37"/>
  <c r="AG483" i="37"/>
  <c r="AH483" i="37"/>
  <c r="AI483" i="37"/>
  <c r="AJ483" i="37"/>
  <c r="AK483" i="37"/>
  <c r="AL483" i="37"/>
  <c r="AG484" i="37"/>
  <c r="AH484" i="37"/>
  <c r="AI484" i="37"/>
  <c r="AJ484" i="37"/>
  <c r="AK484" i="37"/>
  <c r="AL484" i="37"/>
  <c r="AG485" i="37"/>
  <c r="AH485" i="37"/>
  <c r="AI485" i="37"/>
  <c r="AJ485" i="37"/>
  <c r="AK485" i="37"/>
  <c r="AL485" i="37"/>
  <c r="AG486" i="37"/>
  <c r="AH486" i="37"/>
  <c r="AI486" i="37"/>
  <c r="AJ486" i="37"/>
  <c r="AK486" i="37"/>
  <c r="AL486" i="37"/>
  <c r="AG487" i="37"/>
  <c r="AH487" i="37"/>
  <c r="AI487" i="37"/>
  <c r="AJ487" i="37"/>
  <c r="AK487" i="37"/>
  <c r="AL487" i="37"/>
  <c r="AG488" i="37"/>
  <c r="AH488" i="37"/>
  <c r="AI488" i="37"/>
  <c r="AJ488" i="37"/>
  <c r="AK488" i="37"/>
  <c r="AL488" i="37"/>
  <c r="AG489" i="37"/>
  <c r="AH489" i="37"/>
  <c r="AI489" i="37"/>
  <c r="AJ489" i="37"/>
  <c r="AK489" i="37"/>
  <c r="AL489" i="37"/>
  <c r="AG490" i="37"/>
  <c r="AH490" i="37"/>
  <c r="AI490" i="37"/>
  <c r="AJ490" i="37"/>
  <c r="AK490" i="37"/>
  <c r="AL490" i="37"/>
  <c r="AG491" i="37"/>
  <c r="AH491" i="37"/>
  <c r="AI491" i="37"/>
  <c r="AJ491" i="37"/>
  <c r="AK491" i="37"/>
  <c r="AL491" i="37"/>
  <c r="AG492" i="37"/>
  <c r="AH492" i="37"/>
  <c r="AI492" i="37"/>
  <c r="AJ492" i="37"/>
  <c r="AK492" i="37"/>
  <c r="AL492" i="37"/>
  <c r="AG493" i="37"/>
  <c r="AH493" i="37"/>
  <c r="AI493" i="37"/>
  <c r="AJ493" i="37"/>
  <c r="AK493" i="37"/>
  <c r="AL493" i="37"/>
  <c r="AG494" i="37"/>
  <c r="AH494" i="37"/>
  <c r="AI494" i="37"/>
  <c r="AJ494" i="37"/>
  <c r="AK494" i="37"/>
  <c r="AL494" i="37"/>
  <c r="AG495" i="37"/>
  <c r="AH495" i="37"/>
  <c r="AI495" i="37"/>
  <c r="AJ495" i="37"/>
  <c r="AK495" i="37"/>
  <c r="AL495" i="37"/>
  <c r="AG496" i="37"/>
  <c r="AH496" i="37"/>
  <c r="AI496" i="37"/>
  <c r="AJ496" i="37"/>
  <c r="AK496" i="37"/>
  <c r="AL496" i="37"/>
  <c r="AG497" i="37"/>
  <c r="AH497" i="37"/>
  <c r="AI497" i="37"/>
  <c r="AJ497" i="37"/>
  <c r="AK497" i="37"/>
  <c r="AL497" i="37"/>
  <c r="AG498" i="37"/>
  <c r="AH498" i="37"/>
  <c r="AI498" i="37"/>
  <c r="AJ498" i="37"/>
  <c r="AK498" i="37"/>
  <c r="AL498" i="37"/>
  <c r="AG499" i="37"/>
  <c r="AH499" i="37"/>
  <c r="AI499" i="37"/>
  <c r="AJ499" i="37"/>
  <c r="AK499" i="37"/>
  <c r="AL499" i="37"/>
  <c r="AG500" i="37"/>
  <c r="AH500" i="37"/>
  <c r="AI500" i="37"/>
  <c r="AJ500" i="37"/>
  <c r="AK500" i="37"/>
  <c r="AL500" i="37"/>
  <c r="AG501" i="37"/>
  <c r="AH501" i="37"/>
  <c r="AI501" i="37"/>
  <c r="AJ501" i="37"/>
  <c r="AK501" i="37"/>
  <c r="AL501" i="37"/>
  <c r="AG502" i="37"/>
  <c r="AH502" i="37"/>
  <c r="AI502" i="37"/>
  <c r="AJ502" i="37"/>
  <c r="AK502" i="37"/>
  <c r="AL502" i="37"/>
  <c r="AG503" i="37"/>
  <c r="AH503" i="37"/>
  <c r="AI503" i="37"/>
  <c r="AJ503" i="37"/>
  <c r="AK503" i="37"/>
  <c r="AL503" i="37"/>
  <c r="AG504" i="37"/>
  <c r="AH504" i="37"/>
  <c r="AI504" i="37"/>
  <c r="AJ504" i="37"/>
  <c r="AK504" i="37"/>
  <c r="AL504" i="37"/>
  <c r="AG505" i="37"/>
  <c r="AH505" i="37"/>
  <c r="AI505" i="37"/>
  <c r="AJ505" i="37"/>
  <c r="AK505" i="37"/>
  <c r="AL505" i="37"/>
  <c r="AG506" i="37"/>
  <c r="AH506" i="37"/>
  <c r="AI506" i="37"/>
  <c r="AJ506" i="37"/>
  <c r="AK506" i="37"/>
  <c r="AL506" i="37"/>
  <c r="AG507" i="37"/>
  <c r="AH507" i="37"/>
  <c r="AI507" i="37"/>
  <c r="AJ507" i="37"/>
  <c r="AK507" i="37"/>
  <c r="AL507" i="37"/>
  <c r="AG508" i="37"/>
  <c r="AH508" i="37"/>
  <c r="AI508" i="37"/>
  <c r="AJ508" i="37"/>
  <c r="AK508" i="37"/>
  <c r="AL508" i="37"/>
  <c r="AG509" i="37"/>
  <c r="AH509" i="37"/>
  <c r="AI509" i="37"/>
  <c r="AJ509" i="37"/>
  <c r="AK509" i="37"/>
  <c r="AL509" i="37"/>
  <c r="AG510" i="37"/>
  <c r="AH510" i="37"/>
  <c r="AI510" i="37"/>
  <c r="AJ510" i="37"/>
  <c r="AK510" i="37"/>
  <c r="AL510" i="37"/>
  <c r="AG511" i="37"/>
  <c r="AH511" i="37"/>
  <c r="AI511" i="37"/>
  <c r="AJ511" i="37"/>
  <c r="AK511" i="37"/>
  <c r="AL511" i="37"/>
  <c r="AG512" i="37"/>
  <c r="AH512" i="37"/>
  <c r="AI512" i="37"/>
  <c r="AJ512" i="37"/>
  <c r="AK512" i="37"/>
  <c r="AL512" i="37"/>
  <c r="AG513" i="37"/>
  <c r="AH513" i="37"/>
  <c r="AI513" i="37"/>
  <c r="AJ513" i="37"/>
  <c r="AK513" i="37"/>
  <c r="AL513" i="37"/>
  <c r="AG514" i="37"/>
  <c r="AH514" i="37"/>
  <c r="AI514" i="37"/>
  <c r="AJ514" i="37"/>
  <c r="AK514" i="37"/>
  <c r="AL514" i="37"/>
  <c r="AG515" i="37"/>
  <c r="AH515" i="37"/>
  <c r="AI515" i="37"/>
  <c r="AJ515" i="37"/>
  <c r="AK515" i="37"/>
  <c r="AL515" i="37"/>
  <c r="AL296" i="37"/>
  <c r="AK296" i="37"/>
  <c r="AJ296" i="37"/>
  <c r="AI296" i="37"/>
  <c r="AH296" i="37"/>
  <c r="AG296" i="37"/>
  <c r="AG77" i="37"/>
  <c r="AH77" i="37"/>
  <c r="AI77" i="37"/>
  <c r="AJ77" i="37"/>
  <c r="AK77" i="37"/>
  <c r="AL77" i="37"/>
  <c r="AG78" i="37"/>
  <c r="AH78" i="37"/>
  <c r="AI78" i="37"/>
  <c r="AJ78" i="37"/>
  <c r="AK78" i="37"/>
  <c r="AL78" i="37"/>
  <c r="AG79" i="37"/>
  <c r="AH79" i="37"/>
  <c r="AI79" i="37"/>
  <c r="AJ79" i="37"/>
  <c r="AK79" i="37"/>
  <c r="AL79" i="37"/>
  <c r="AG80" i="37"/>
  <c r="AH80" i="37"/>
  <c r="AI80" i="37"/>
  <c r="AJ80" i="37"/>
  <c r="AK80" i="37"/>
  <c r="AL80" i="37"/>
  <c r="AG81" i="37"/>
  <c r="AH81" i="37"/>
  <c r="AI81" i="37"/>
  <c r="AJ81" i="37"/>
  <c r="AK81" i="37"/>
  <c r="AL81" i="37"/>
  <c r="AG82" i="37"/>
  <c r="AH82" i="37"/>
  <c r="AI82" i="37"/>
  <c r="AJ82" i="37"/>
  <c r="AK82" i="37"/>
  <c r="AL82" i="37"/>
  <c r="AG83" i="37"/>
  <c r="AH83" i="37"/>
  <c r="AI83" i="37"/>
  <c r="AJ83" i="37"/>
  <c r="AK83" i="37"/>
  <c r="AL83" i="37"/>
  <c r="AG84" i="37"/>
  <c r="AH84" i="37"/>
  <c r="AI84" i="37"/>
  <c r="AJ84" i="37"/>
  <c r="AK84" i="37"/>
  <c r="AL84" i="37"/>
  <c r="AG85" i="37"/>
  <c r="AH85" i="37"/>
  <c r="AI85" i="37"/>
  <c r="AJ85" i="37"/>
  <c r="AK85" i="37"/>
  <c r="AL85" i="37"/>
  <c r="AG86" i="37"/>
  <c r="AH86" i="37"/>
  <c r="AI86" i="37"/>
  <c r="AJ86" i="37"/>
  <c r="AK86" i="37"/>
  <c r="AL86" i="37"/>
  <c r="AG87" i="37"/>
  <c r="AH87" i="37"/>
  <c r="AI87" i="37"/>
  <c r="AJ87" i="37"/>
  <c r="AK87" i="37"/>
  <c r="AL87" i="37"/>
  <c r="AG88" i="37"/>
  <c r="AH88" i="37"/>
  <c r="AI88" i="37"/>
  <c r="AJ88" i="37"/>
  <c r="AK88" i="37"/>
  <c r="AL88" i="37"/>
  <c r="AG89" i="37"/>
  <c r="AH89" i="37"/>
  <c r="AI89" i="37"/>
  <c r="AJ89" i="37"/>
  <c r="AK89" i="37"/>
  <c r="AL89" i="37"/>
  <c r="AG90" i="37"/>
  <c r="AH90" i="37"/>
  <c r="AI90" i="37"/>
  <c r="AJ90" i="37"/>
  <c r="AK90" i="37"/>
  <c r="AL90" i="37"/>
  <c r="AG91" i="37"/>
  <c r="AH91" i="37"/>
  <c r="AI91" i="37"/>
  <c r="AJ91" i="37"/>
  <c r="AK91" i="37"/>
  <c r="AL91" i="37"/>
  <c r="AG92" i="37"/>
  <c r="AH92" i="37"/>
  <c r="AI92" i="37"/>
  <c r="AJ92" i="37"/>
  <c r="AK92" i="37"/>
  <c r="AL92" i="37"/>
  <c r="AG93" i="37"/>
  <c r="AH93" i="37"/>
  <c r="AI93" i="37"/>
  <c r="AJ93" i="37"/>
  <c r="AK93" i="37"/>
  <c r="AL93" i="37"/>
  <c r="AG94" i="37"/>
  <c r="AH94" i="37"/>
  <c r="AI94" i="37"/>
  <c r="AJ94" i="37"/>
  <c r="AK94" i="37"/>
  <c r="AL94" i="37"/>
  <c r="AG95" i="37"/>
  <c r="AH95" i="37"/>
  <c r="AI95" i="37"/>
  <c r="AJ95" i="37"/>
  <c r="AK95" i="37"/>
  <c r="AL95" i="37"/>
  <c r="AG96" i="37"/>
  <c r="AH96" i="37"/>
  <c r="AI96" i="37"/>
  <c r="AJ96" i="37"/>
  <c r="AK96" i="37"/>
  <c r="AL96" i="37"/>
  <c r="AG97" i="37"/>
  <c r="AH97" i="37"/>
  <c r="AI97" i="37"/>
  <c r="AJ97" i="37"/>
  <c r="AK97" i="37"/>
  <c r="AL97" i="37"/>
  <c r="AG98" i="37"/>
  <c r="AH98" i="37"/>
  <c r="AI98" i="37"/>
  <c r="AJ98" i="37"/>
  <c r="AK98" i="37"/>
  <c r="AL98" i="37"/>
  <c r="AG99" i="37"/>
  <c r="AH99" i="37"/>
  <c r="AI99" i="37"/>
  <c r="AJ99" i="37"/>
  <c r="AK99" i="37"/>
  <c r="AL99" i="37"/>
  <c r="AG100" i="37"/>
  <c r="AH100" i="37"/>
  <c r="AI100" i="37"/>
  <c r="AJ100" i="37"/>
  <c r="AK100" i="37"/>
  <c r="AL100" i="37"/>
  <c r="AG101" i="37"/>
  <c r="AH101" i="37"/>
  <c r="AI101" i="37"/>
  <c r="AJ101" i="37"/>
  <c r="AK101" i="37"/>
  <c r="AL101" i="37"/>
  <c r="AG102" i="37"/>
  <c r="AH102" i="37"/>
  <c r="AI102" i="37"/>
  <c r="AJ102" i="37"/>
  <c r="AK102" i="37"/>
  <c r="AL102" i="37"/>
  <c r="AG103" i="37"/>
  <c r="AH103" i="37"/>
  <c r="AI103" i="37"/>
  <c r="AJ103" i="37"/>
  <c r="AK103" i="37"/>
  <c r="AL103" i="37"/>
  <c r="AG104" i="37"/>
  <c r="AH104" i="37"/>
  <c r="AI104" i="37"/>
  <c r="AJ104" i="37"/>
  <c r="AK104" i="37"/>
  <c r="AL104" i="37"/>
  <c r="AG105" i="37"/>
  <c r="AH105" i="37"/>
  <c r="AI105" i="37"/>
  <c r="AJ105" i="37"/>
  <c r="AK105" i="37"/>
  <c r="AL105" i="37"/>
  <c r="AG106" i="37"/>
  <c r="AH106" i="37"/>
  <c r="AI106" i="37"/>
  <c r="AJ106" i="37"/>
  <c r="AK106" i="37"/>
  <c r="AL106" i="37"/>
  <c r="AG107" i="37"/>
  <c r="AH107" i="37"/>
  <c r="AI107" i="37"/>
  <c r="AJ107" i="37"/>
  <c r="AK107" i="37"/>
  <c r="AL107" i="37"/>
  <c r="AG108" i="37"/>
  <c r="AH108" i="37"/>
  <c r="AI108" i="37"/>
  <c r="AJ108" i="37"/>
  <c r="AK108" i="37"/>
  <c r="AL108" i="37"/>
  <c r="AG109" i="37"/>
  <c r="AH109" i="37"/>
  <c r="AI109" i="37"/>
  <c r="AJ109" i="37"/>
  <c r="AK109" i="37"/>
  <c r="AL109" i="37"/>
  <c r="AG110" i="37"/>
  <c r="AH110" i="37"/>
  <c r="AI110" i="37"/>
  <c r="AJ110" i="37"/>
  <c r="AK110" i="37"/>
  <c r="AL110" i="37"/>
  <c r="AG111" i="37"/>
  <c r="AH111" i="37"/>
  <c r="AI111" i="37"/>
  <c r="AJ111" i="37"/>
  <c r="AK111" i="37"/>
  <c r="AL111" i="37"/>
  <c r="AG112" i="37"/>
  <c r="AH112" i="37"/>
  <c r="AI112" i="37"/>
  <c r="AJ112" i="37"/>
  <c r="AK112" i="37"/>
  <c r="AL112" i="37"/>
  <c r="AG113" i="37"/>
  <c r="AH113" i="37"/>
  <c r="AI113" i="37"/>
  <c r="AJ113" i="37"/>
  <c r="AK113" i="37"/>
  <c r="AL113" i="37"/>
  <c r="AG114" i="37"/>
  <c r="AH114" i="37"/>
  <c r="AI114" i="37"/>
  <c r="AJ114" i="37"/>
  <c r="AK114" i="37"/>
  <c r="AL114" i="37"/>
  <c r="AG115" i="37"/>
  <c r="AH115" i="37"/>
  <c r="AI115" i="37"/>
  <c r="AJ115" i="37"/>
  <c r="AK115" i="37"/>
  <c r="AL115" i="37"/>
  <c r="AG116" i="37"/>
  <c r="AH116" i="37"/>
  <c r="AI116" i="37"/>
  <c r="AJ116" i="37"/>
  <c r="AK116" i="37"/>
  <c r="AL116" i="37"/>
  <c r="AG117" i="37"/>
  <c r="AH117" i="37"/>
  <c r="AI117" i="37"/>
  <c r="AJ117" i="37"/>
  <c r="AK117" i="37"/>
  <c r="AL117" i="37"/>
  <c r="AG118" i="37"/>
  <c r="AH118" i="37"/>
  <c r="AI118" i="37"/>
  <c r="AJ118" i="37"/>
  <c r="AK118" i="37"/>
  <c r="AL118" i="37"/>
  <c r="AG119" i="37"/>
  <c r="AH119" i="37"/>
  <c r="AI119" i="37"/>
  <c r="AJ119" i="37"/>
  <c r="AK119" i="37"/>
  <c r="AL119" i="37"/>
  <c r="AG120" i="37"/>
  <c r="AH120" i="37"/>
  <c r="AI120" i="37"/>
  <c r="AJ120" i="37"/>
  <c r="AK120" i="37"/>
  <c r="AL120" i="37"/>
  <c r="AG121" i="37"/>
  <c r="AH121" i="37"/>
  <c r="AI121" i="37"/>
  <c r="AJ121" i="37"/>
  <c r="AK121" i="37"/>
  <c r="AL121" i="37"/>
  <c r="AG122" i="37"/>
  <c r="AH122" i="37"/>
  <c r="AI122" i="37"/>
  <c r="AJ122" i="37"/>
  <c r="AK122" i="37"/>
  <c r="AL122" i="37"/>
  <c r="AG123" i="37"/>
  <c r="AH123" i="37"/>
  <c r="AI123" i="37"/>
  <c r="AJ123" i="37"/>
  <c r="AK123" i="37"/>
  <c r="AL123" i="37"/>
  <c r="AG124" i="37"/>
  <c r="AH124" i="37"/>
  <c r="AI124" i="37"/>
  <c r="AJ124" i="37"/>
  <c r="AK124" i="37"/>
  <c r="AL124" i="37"/>
  <c r="AG125" i="37"/>
  <c r="AH125" i="37"/>
  <c r="AI125" i="37"/>
  <c r="AJ125" i="37"/>
  <c r="AK125" i="37"/>
  <c r="AL125" i="37"/>
  <c r="AG126" i="37"/>
  <c r="AH126" i="37"/>
  <c r="AI126" i="37"/>
  <c r="AJ126" i="37"/>
  <c r="AK126" i="37"/>
  <c r="AL126" i="37"/>
  <c r="AG127" i="37"/>
  <c r="AH127" i="37"/>
  <c r="AI127" i="37"/>
  <c r="AJ127" i="37"/>
  <c r="AK127" i="37"/>
  <c r="AL127" i="37"/>
  <c r="AG128" i="37"/>
  <c r="AH128" i="37"/>
  <c r="AI128" i="37"/>
  <c r="AJ128" i="37"/>
  <c r="AK128" i="37"/>
  <c r="AL128" i="37"/>
  <c r="AG129" i="37"/>
  <c r="AH129" i="37"/>
  <c r="AI129" i="37"/>
  <c r="AJ129" i="37"/>
  <c r="AK129" i="37"/>
  <c r="AL129" i="37"/>
  <c r="AG130" i="37"/>
  <c r="AH130" i="37"/>
  <c r="AI130" i="37"/>
  <c r="AJ130" i="37"/>
  <c r="AK130" i="37"/>
  <c r="AL130" i="37"/>
  <c r="AG131" i="37"/>
  <c r="AH131" i="37"/>
  <c r="AI131" i="37"/>
  <c r="AJ131" i="37"/>
  <c r="AK131" i="37"/>
  <c r="AL131" i="37"/>
  <c r="AG132" i="37"/>
  <c r="AH132" i="37"/>
  <c r="AI132" i="37"/>
  <c r="AJ132" i="37"/>
  <c r="AK132" i="37"/>
  <c r="AL132" i="37"/>
  <c r="AG133" i="37"/>
  <c r="AH133" i="37"/>
  <c r="AI133" i="37"/>
  <c r="AJ133" i="37"/>
  <c r="AK133" i="37"/>
  <c r="AL133" i="37"/>
  <c r="AG134" i="37"/>
  <c r="AH134" i="37"/>
  <c r="AI134" i="37"/>
  <c r="AJ134" i="37"/>
  <c r="AK134" i="37"/>
  <c r="AL134" i="37"/>
  <c r="AG135" i="37"/>
  <c r="AH135" i="37"/>
  <c r="AI135" i="37"/>
  <c r="AJ135" i="37"/>
  <c r="AK135" i="37"/>
  <c r="AL135" i="37"/>
  <c r="AG136" i="37"/>
  <c r="AH136" i="37"/>
  <c r="AI136" i="37"/>
  <c r="AJ136" i="37"/>
  <c r="AK136" i="37"/>
  <c r="AL136" i="37"/>
  <c r="AG137" i="37"/>
  <c r="AH137" i="37"/>
  <c r="AI137" i="37"/>
  <c r="AJ137" i="37"/>
  <c r="AK137" i="37"/>
  <c r="AL137" i="37"/>
  <c r="AG138" i="37"/>
  <c r="AH138" i="37"/>
  <c r="AI138" i="37"/>
  <c r="AJ138" i="37"/>
  <c r="AK138" i="37"/>
  <c r="AL138" i="37"/>
  <c r="AG139" i="37"/>
  <c r="AH139" i="37"/>
  <c r="AI139" i="37"/>
  <c r="AJ139" i="37"/>
  <c r="AK139" i="37"/>
  <c r="AL139" i="37"/>
  <c r="AG140" i="37"/>
  <c r="AH140" i="37"/>
  <c r="AI140" i="37"/>
  <c r="AJ140" i="37"/>
  <c r="AK140" i="37"/>
  <c r="AL140" i="37"/>
  <c r="AG141" i="37"/>
  <c r="AH141" i="37"/>
  <c r="AI141" i="37"/>
  <c r="AJ141" i="37"/>
  <c r="AK141" i="37"/>
  <c r="AL141" i="37"/>
  <c r="AG142" i="37"/>
  <c r="AH142" i="37"/>
  <c r="AI142" i="37"/>
  <c r="AJ142" i="37"/>
  <c r="AK142" i="37"/>
  <c r="AL142" i="37"/>
  <c r="AG143" i="37"/>
  <c r="AH143" i="37"/>
  <c r="AI143" i="37"/>
  <c r="AJ143" i="37"/>
  <c r="AK143" i="37"/>
  <c r="AL143" i="37"/>
  <c r="AG144" i="37"/>
  <c r="AH144" i="37"/>
  <c r="AI144" i="37"/>
  <c r="AJ144" i="37"/>
  <c r="AK144" i="37"/>
  <c r="AL144" i="37"/>
  <c r="AG145" i="37"/>
  <c r="AH145" i="37"/>
  <c r="AI145" i="37"/>
  <c r="AJ145" i="37"/>
  <c r="AK145" i="37"/>
  <c r="AL145" i="37"/>
  <c r="AG146" i="37"/>
  <c r="AH146" i="37"/>
  <c r="AI146" i="37"/>
  <c r="AJ146" i="37"/>
  <c r="AK146" i="37"/>
  <c r="AL146" i="37"/>
  <c r="AG147" i="37"/>
  <c r="AH147" i="37"/>
  <c r="AI147" i="37"/>
  <c r="AJ147" i="37"/>
  <c r="AK147" i="37"/>
  <c r="AL147" i="37"/>
  <c r="AG148" i="37"/>
  <c r="AH148" i="37"/>
  <c r="AI148" i="37"/>
  <c r="AJ148" i="37"/>
  <c r="AK148" i="37"/>
  <c r="AL148" i="37"/>
  <c r="AG149" i="37"/>
  <c r="AH149" i="37"/>
  <c r="AI149" i="37"/>
  <c r="AJ149" i="37"/>
  <c r="AK149" i="37"/>
  <c r="AL149" i="37"/>
  <c r="AG150" i="37"/>
  <c r="AH150" i="37"/>
  <c r="AI150" i="37"/>
  <c r="AJ150" i="37"/>
  <c r="AK150" i="37"/>
  <c r="AL150" i="37"/>
  <c r="AG151" i="37"/>
  <c r="AH151" i="37"/>
  <c r="AI151" i="37"/>
  <c r="AJ151" i="37"/>
  <c r="AK151" i="37"/>
  <c r="AL151" i="37"/>
  <c r="AG152" i="37"/>
  <c r="AH152" i="37"/>
  <c r="AI152" i="37"/>
  <c r="AJ152" i="37"/>
  <c r="AK152" i="37"/>
  <c r="AL152" i="37"/>
  <c r="AG153" i="37"/>
  <c r="AH153" i="37"/>
  <c r="AI153" i="37"/>
  <c r="AJ153" i="37"/>
  <c r="AK153" i="37"/>
  <c r="AL153" i="37"/>
  <c r="AG154" i="37"/>
  <c r="AH154" i="37"/>
  <c r="AI154" i="37"/>
  <c r="AJ154" i="37"/>
  <c r="AK154" i="37"/>
  <c r="AL154" i="37"/>
  <c r="AG155" i="37"/>
  <c r="AH155" i="37"/>
  <c r="AI155" i="37"/>
  <c r="AJ155" i="37"/>
  <c r="AK155" i="37"/>
  <c r="AL155" i="37"/>
  <c r="AG156" i="37"/>
  <c r="AH156" i="37"/>
  <c r="AI156" i="37"/>
  <c r="AJ156" i="37"/>
  <c r="AK156" i="37"/>
  <c r="AL156" i="37"/>
  <c r="AG157" i="37"/>
  <c r="AH157" i="37"/>
  <c r="AI157" i="37"/>
  <c r="AJ157" i="37"/>
  <c r="AK157" i="37"/>
  <c r="AL157" i="37"/>
  <c r="AG158" i="37"/>
  <c r="AH158" i="37"/>
  <c r="AI158" i="37"/>
  <c r="AJ158" i="37"/>
  <c r="AK158" i="37"/>
  <c r="AL158" i="37"/>
  <c r="AG159" i="37"/>
  <c r="AH159" i="37"/>
  <c r="AI159" i="37"/>
  <c r="AJ159" i="37"/>
  <c r="AK159" i="37"/>
  <c r="AL159" i="37"/>
  <c r="AG160" i="37"/>
  <c r="AH160" i="37"/>
  <c r="AI160" i="37"/>
  <c r="AJ160" i="37"/>
  <c r="AK160" i="37"/>
  <c r="AL160" i="37"/>
  <c r="AG161" i="37"/>
  <c r="AH161" i="37"/>
  <c r="AI161" i="37"/>
  <c r="AJ161" i="37"/>
  <c r="AK161" i="37"/>
  <c r="AL161" i="37"/>
  <c r="AG162" i="37"/>
  <c r="AH162" i="37"/>
  <c r="AI162" i="37"/>
  <c r="AJ162" i="37"/>
  <c r="AK162" i="37"/>
  <c r="AL162" i="37"/>
  <c r="AG163" i="37"/>
  <c r="AH163" i="37"/>
  <c r="AI163" i="37"/>
  <c r="AJ163" i="37"/>
  <c r="AK163" i="37"/>
  <c r="AL163" i="37"/>
  <c r="AG164" i="37"/>
  <c r="AH164" i="37"/>
  <c r="AI164" i="37"/>
  <c r="AJ164" i="37"/>
  <c r="AK164" i="37"/>
  <c r="AL164" i="37"/>
  <c r="AG165" i="37"/>
  <c r="AH165" i="37"/>
  <c r="AI165" i="37"/>
  <c r="AJ165" i="37"/>
  <c r="AK165" i="37"/>
  <c r="AL165" i="37"/>
  <c r="AG166" i="37"/>
  <c r="AH166" i="37"/>
  <c r="AI166" i="37"/>
  <c r="AJ166" i="37"/>
  <c r="AK166" i="37"/>
  <c r="AL166" i="37"/>
  <c r="AG167" i="37"/>
  <c r="AH167" i="37"/>
  <c r="AI167" i="37"/>
  <c r="AJ167" i="37"/>
  <c r="AK167" i="37"/>
  <c r="AL167" i="37"/>
  <c r="AG168" i="37"/>
  <c r="AH168" i="37"/>
  <c r="AI168" i="37"/>
  <c r="AJ168" i="37"/>
  <c r="AK168" i="37"/>
  <c r="AL168" i="37"/>
  <c r="AG169" i="37"/>
  <c r="AH169" i="37"/>
  <c r="AI169" i="37"/>
  <c r="AJ169" i="37"/>
  <c r="AK169" i="37"/>
  <c r="AL169" i="37"/>
  <c r="AG170" i="37"/>
  <c r="AH170" i="37"/>
  <c r="AI170" i="37"/>
  <c r="AJ170" i="37"/>
  <c r="AK170" i="37"/>
  <c r="AL170" i="37"/>
  <c r="AG171" i="37"/>
  <c r="AH171" i="37"/>
  <c r="AI171" i="37"/>
  <c r="AJ171" i="37"/>
  <c r="AK171" i="37"/>
  <c r="AL171" i="37"/>
  <c r="AG172" i="37"/>
  <c r="AH172" i="37"/>
  <c r="AI172" i="37"/>
  <c r="AJ172" i="37"/>
  <c r="AK172" i="37"/>
  <c r="AL172" i="37"/>
  <c r="AG173" i="37"/>
  <c r="AH173" i="37"/>
  <c r="AI173" i="37"/>
  <c r="AJ173" i="37"/>
  <c r="AK173" i="37"/>
  <c r="AL173" i="37"/>
  <c r="AG174" i="37"/>
  <c r="AH174" i="37"/>
  <c r="AI174" i="37"/>
  <c r="AJ174" i="37"/>
  <c r="AK174" i="37"/>
  <c r="AL174" i="37"/>
  <c r="AG175" i="37"/>
  <c r="AH175" i="37"/>
  <c r="AI175" i="37"/>
  <c r="AJ175" i="37"/>
  <c r="AK175" i="37"/>
  <c r="AL175" i="37"/>
  <c r="AG176" i="37"/>
  <c r="AH176" i="37"/>
  <c r="AI176" i="37"/>
  <c r="AJ176" i="37"/>
  <c r="AK176" i="37"/>
  <c r="AL176" i="37"/>
  <c r="AG177" i="37"/>
  <c r="AH177" i="37"/>
  <c r="AI177" i="37"/>
  <c r="AJ177" i="37"/>
  <c r="AK177" i="37"/>
  <c r="AL177" i="37"/>
  <c r="AG178" i="37"/>
  <c r="AH178" i="37"/>
  <c r="AI178" i="37"/>
  <c r="AJ178" i="37"/>
  <c r="AK178" i="37"/>
  <c r="AL178" i="37"/>
  <c r="AG179" i="37"/>
  <c r="AH179" i="37"/>
  <c r="AI179" i="37"/>
  <c r="AJ179" i="37"/>
  <c r="AK179" i="37"/>
  <c r="AL179" i="37"/>
  <c r="AG180" i="37"/>
  <c r="AH180" i="37"/>
  <c r="AI180" i="37"/>
  <c r="AJ180" i="37"/>
  <c r="AK180" i="37"/>
  <c r="AL180" i="37"/>
  <c r="AG181" i="37"/>
  <c r="AH181" i="37"/>
  <c r="AI181" i="37"/>
  <c r="AJ181" i="37"/>
  <c r="AK181" i="37"/>
  <c r="AL181" i="37"/>
  <c r="AG182" i="37"/>
  <c r="AH182" i="37"/>
  <c r="AI182" i="37"/>
  <c r="AJ182" i="37"/>
  <c r="AK182" i="37"/>
  <c r="AL182" i="37"/>
  <c r="AG183" i="37"/>
  <c r="AH183" i="37"/>
  <c r="AI183" i="37"/>
  <c r="AJ183" i="37"/>
  <c r="AK183" i="37"/>
  <c r="AL183" i="37"/>
  <c r="AG184" i="37"/>
  <c r="AH184" i="37"/>
  <c r="AI184" i="37"/>
  <c r="AJ184" i="37"/>
  <c r="AK184" i="37"/>
  <c r="AL184" i="37"/>
  <c r="AG185" i="37"/>
  <c r="AH185" i="37"/>
  <c r="AI185" i="37"/>
  <c r="AJ185" i="37"/>
  <c r="AK185" i="37"/>
  <c r="AL185" i="37"/>
  <c r="AG186" i="37"/>
  <c r="AH186" i="37"/>
  <c r="AI186" i="37"/>
  <c r="AJ186" i="37"/>
  <c r="AK186" i="37"/>
  <c r="AL186" i="37"/>
  <c r="AG187" i="37"/>
  <c r="AH187" i="37"/>
  <c r="AI187" i="37"/>
  <c r="AJ187" i="37"/>
  <c r="AK187" i="37"/>
  <c r="AL187" i="37"/>
  <c r="AG188" i="37"/>
  <c r="AH188" i="37"/>
  <c r="AI188" i="37"/>
  <c r="AJ188" i="37"/>
  <c r="AK188" i="37"/>
  <c r="AL188" i="37"/>
  <c r="AG189" i="37"/>
  <c r="AH189" i="37"/>
  <c r="AI189" i="37"/>
  <c r="AJ189" i="37"/>
  <c r="AK189" i="37"/>
  <c r="AL189" i="37"/>
  <c r="AG190" i="37"/>
  <c r="AH190" i="37"/>
  <c r="AI190" i="37"/>
  <c r="AJ190" i="37"/>
  <c r="AK190" i="37"/>
  <c r="AL190" i="37"/>
  <c r="AG191" i="37"/>
  <c r="AH191" i="37"/>
  <c r="AI191" i="37"/>
  <c r="AJ191" i="37"/>
  <c r="AK191" i="37"/>
  <c r="AL191" i="37"/>
  <c r="AG192" i="37"/>
  <c r="AH192" i="37"/>
  <c r="AI192" i="37"/>
  <c r="AJ192" i="37"/>
  <c r="AK192" i="37"/>
  <c r="AL192" i="37"/>
  <c r="AG193" i="37"/>
  <c r="AH193" i="37"/>
  <c r="AI193" i="37"/>
  <c r="AJ193" i="37"/>
  <c r="AK193" i="37"/>
  <c r="AL193" i="37"/>
  <c r="AG194" i="37"/>
  <c r="AH194" i="37"/>
  <c r="AI194" i="37"/>
  <c r="AJ194" i="37"/>
  <c r="AK194" i="37"/>
  <c r="AL194" i="37"/>
  <c r="AG195" i="37"/>
  <c r="AH195" i="37"/>
  <c r="AI195" i="37"/>
  <c r="AJ195" i="37"/>
  <c r="AK195" i="37"/>
  <c r="AL195" i="37"/>
  <c r="AG196" i="37"/>
  <c r="AH196" i="37"/>
  <c r="AI196" i="37"/>
  <c r="AJ196" i="37"/>
  <c r="AK196" i="37"/>
  <c r="AL196" i="37"/>
  <c r="AG197" i="37"/>
  <c r="AH197" i="37"/>
  <c r="AI197" i="37"/>
  <c r="AJ197" i="37"/>
  <c r="AK197" i="37"/>
  <c r="AL197" i="37"/>
  <c r="AG198" i="37"/>
  <c r="AH198" i="37"/>
  <c r="AI198" i="37"/>
  <c r="AJ198" i="37"/>
  <c r="AK198" i="37"/>
  <c r="AL198" i="37"/>
  <c r="AG199" i="37"/>
  <c r="AH199" i="37"/>
  <c r="AI199" i="37"/>
  <c r="AJ199" i="37"/>
  <c r="AK199" i="37"/>
  <c r="AL199" i="37"/>
  <c r="AG200" i="37"/>
  <c r="AH200" i="37"/>
  <c r="AI200" i="37"/>
  <c r="AJ200" i="37"/>
  <c r="AK200" i="37"/>
  <c r="AL200" i="37"/>
  <c r="AG201" i="37"/>
  <c r="AH201" i="37"/>
  <c r="AI201" i="37"/>
  <c r="AJ201" i="37"/>
  <c r="AK201" i="37"/>
  <c r="AL201" i="37"/>
  <c r="AG202" i="37"/>
  <c r="AH202" i="37"/>
  <c r="AI202" i="37"/>
  <c r="AJ202" i="37"/>
  <c r="AK202" i="37"/>
  <c r="AL202" i="37"/>
  <c r="AG203" i="37"/>
  <c r="AH203" i="37"/>
  <c r="AI203" i="37"/>
  <c r="AJ203" i="37"/>
  <c r="AK203" i="37"/>
  <c r="AL203" i="37"/>
  <c r="AG204" i="37"/>
  <c r="AH204" i="37"/>
  <c r="AI204" i="37"/>
  <c r="AJ204" i="37"/>
  <c r="AK204" i="37"/>
  <c r="AL204" i="37"/>
  <c r="AG205" i="37"/>
  <c r="AH205" i="37"/>
  <c r="AI205" i="37"/>
  <c r="AJ205" i="37"/>
  <c r="AK205" i="37"/>
  <c r="AL205" i="37"/>
  <c r="AG206" i="37"/>
  <c r="AH206" i="37"/>
  <c r="AI206" i="37"/>
  <c r="AJ206" i="37"/>
  <c r="AK206" i="37"/>
  <c r="AL206" i="37"/>
  <c r="AG207" i="37"/>
  <c r="AH207" i="37"/>
  <c r="AI207" i="37"/>
  <c r="AJ207" i="37"/>
  <c r="AK207" i="37"/>
  <c r="AL207" i="37"/>
  <c r="AG208" i="37"/>
  <c r="AH208" i="37"/>
  <c r="AI208" i="37"/>
  <c r="AJ208" i="37"/>
  <c r="AK208" i="37"/>
  <c r="AL208" i="37"/>
  <c r="AG209" i="37"/>
  <c r="AH209" i="37"/>
  <c r="AI209" i="37"/>
  <c r="AJ209" i="37"/>
  <c r="AK209" i="37"/>
  <c r="AL209" i="37"/>
  <c r="AG210" i="37"/>
  <c r="AH210" i="37"/>
  <c r="AI210" i="37"/>
  <c r="AJ210" i="37"/>
  <c r="AK210" i="37"/>
  <c r="AL210" i="37"/>
  <c r="AG211" i="37"/>
  <c r="AH211" i="37"/>
  <c r="AI211" i="37"/>
  <c r="AJ211" i="37"/>
  <c r="AK211" i="37"/>
  <c r="AL211" i="37"/>
  <c r="AG212" i="37"/>
  <c r="AH212" i="37"/>
  <c r="AI212" i="37"/>
  <c r="AJ212" i="37"/>
  <c r="AK212" i="37"/>
  <c r="AL212" i="37"/>
  <c r="AG213" i="37"/>
  <c r="AH213" i="37"/>
  <c r="AI213" i="37"/>
  <c r="AJ213" i="37"/>
  <c r="AK213" i="37"/>
  <c r="AL213" i="37"/>
  <c r="AG214" i="37"/>
  <c r="AH214" i="37"/>
  <c r="AI214" i="37"/>
  <c r="AJ214" i="37"/>
  <c r="AK214" i="37"/>
  <c r="AL214" i="37"/>
  <c r="AG215" i="37"/>
  <c r="AH215" i="37"/>
  <c r="AI215" i="37"/>
  <c r="AJ215" i="37"/>
  <c r="AK215" i="37"/>
  <c r="AL215" i="37"/>
  <c r="AG216" i="37"/>
  <c r="AH216" i="37"/>
  <c r="AI216" i="37"/>
  <c r="AJ216" i="37"/>
  <c r="AK216" i="37"/>
  <c r="AL216" i="37"/>
  <c r="AG217" i="37"/>
  <c r="AH217" i="37"/>
  <c r="AI217" i="37"/>
  <c r="AJ217" i="37"/>
  <c r="AK217" i="37"/>
  <c r="AL217" i="37"/>
  <c r="AG218" i="37"/>
  <c r="AH218" i="37"/>
  <c r="AI218" i="37"/>
  <c r="AJ218" i="37"/>
  <c r="AK218" i="37"/>
  <c r="AL218" i="37"/>
  <c r="AG219" i="37"/>
  <c r="AH219" i="37"/>
  <c r="AI219" i="37"/>
  <c r="AJ219" i="37"/>
  <c r="AK219" i="37"/>
  <c r="AL219" i="37"/>
  <c r="AG220" i="37"/>
  <c r="AH220" i="37"/>
  <c r="AI220" i="37"/>
  <c r="AJ220" i="37"/>
  <c r="AK220" i="37"/>
  <c r="AL220" i="37"/>
  <c r="AG221" i="37"/>
  <c r="AH221" i="37"/>
  <c r="AI221" i="37"/>
  <c r="AJ221" i="37"/>
  <c r="AK221" i="37"/>
  <c r="AL221" i="37"/>
  <c r="AG222" i="37"/>
  <c r="AH222" i="37"/>
  <c r="AI222" i="37"/>
  <c r="AJ222" i="37"/>
  <c r="AK222" i="37"/>
  <c r="AL222" i="37"/>
  <c r="AG223" i="37"/>
  <c r="AH223" i="37"/>
  <c r="AI223" i="37"/>
  <c r="AJ223" i="37"/>
  <c r="AK223" i="37"/>
  <c r="AL223" i="37"/>
  <c r="AG224" i="37"/>
  <c r="AH224" i="37"/>
  <c r="AI224" i="37"/>
  <c r="AJ224" i="37"/>
  <c r="AK224" i="37"/>
  <c r="AL224" i="37"/>
  <c r="AG225" i="37"/>
  <c r="AH225" i="37"/>
  <c r="AI225" i="37"/>
  <c r="AJ225" i="37"/>
  <c r="AK225" i="37"/>
  <c r="AL225" i="37"/>
  <c r="AG226" i="37"/>
  <c r="AH226" i="37"/>
  <c r="AI226" i="37"/>
  <c r="AJ226" i="37"/>
  <c r="AK226" i="37"/>
  <c r="AL226" i="37"/>
  <c r="AG227" i="37"/>
  <c r="AH227" i="37"/>
  <c r="AI227" i="37"/>
  <c r="AJ227" i="37"/>
  <c r="AK227" i="37"/>
  <c r="AL227" i="37"/>
  <c r="AG228" i="37"/>
  <c r="AH228" i="37"/>
  <c r="AI228" i="37"/>
  <c r="AJ228" i="37"/>
  <c r="AK228" i="37"/>
  <c r="AL228" i="37"/>
  <c r="AG229" i="37"/>
  <c r="AH229" i="37"/>
  <c r="AI229" i="37"/>
  <c r="AJ229" i="37"/>
  <c r="AK229" i="37"/>
  <c r="AL229" i="37"/>
  <c r="AG230" i="37"/>
  <c r="AH230" i="37"/>
  <c r="AI230" i="37"/>
  <c r="AJ230" i="37"/>
  <c r="AK230" i="37"/>
  <c r="AL230" i="37"/>
  <c r="AG231" i="37"/>
  <c r="AH231" i="37"/>
  <c r="AI231" i="37"/>
  <c r="AJ231" i="37"/>
  <c r="AK231" i="37"/>
  <c r="AL231" i="37"/>
  <c r="AG232" i="37"/>
  <c r="AH232" i="37"/>
  <c r="AI232" i="37"/>
  <c r="AJ232" i="37"/>
  <c r="AK232" i="37"/>
  <c r="AL232" i="37"/>
  <c r="AG233" i="37"/>
  <c r="AH233" i="37"/>
  <c r="AI233" i="37"/>
  <c r="AJ233" i="37"/>
  <c r="AK233" i="37"/>
  <c r="AL233" i="37"/>
  <c r="AG234" i="37"/>
  <c r="AH234" i="37"/>
  <c r="AI234" i="37"/>
  <c r="AJ234" i="37"/>
  <c r="AK234" i="37"/>
  <c r="AL234" i="37"/>
  <c r="AG235" i="37"/>
  <c r="AH235" i="37"/>
  <c r="AI235" i="37"/>
  <c r="AJ235" i="37"/>
  <c r="AK235" i="37"/>
  <c r="AL235" i="37"/>
  <c r="AG236" i="37"/>
  <c r="AH236" i="37"/>
  <c r="AI236" i="37"/>
  <c r="AJ236" i="37"/>
  <c r="AK236" i="37"/>
  <c r="AL236" i="37"/>
  <c r="AG237" i="37"/>
  <c r="AH237" i="37"/>
  <c r="AI237" i="37"/>
  <c r="AJ237" i="37"/>
  <c r="AK237" i="37"/>
  <c r="AL237" i="37"/>
  <c r="AG238" i="37"/>
  <c r="AH238" i="37"/>
  <c r="AI238" i="37"/>
  <c r="AJ238" i="37"/>
  <c r="AK238" i="37"/>
  <c r="AL238" i="37"/>
  <c r="AG239" i="37"/>
  <c r="AH239" i="37"/>
  <c r="AI239" i="37"/>
  <c r="AJ239" i="37"/>
  <c r="AK239" i="37"/>
  <c r="AL239" i="37"/>
  <c r="AG240" i="37"/>
  <c r="AH240" i="37"/>
  <c r="AI240" i="37"/>
  <c r="AJ240" i="37"/>
  <c r="AK240" i="37"/>
  <c r="AL240" i="37"/>
  <c r="AG241" i="37"/>
  <c r="AH241" i="37"/>
  <c r="AI241" i="37"/>
  <c r="AJ241" i="37"/>
  <c r="AK241" i="37"/>
  <c r="AL241" i="37"/>
  <c r="AG242" i="37"/>
  <c r="AH242" i="37"/>
  <c r="AI242" i="37"/>
  <c r="AJ242" i="37"/>
  <c r="AK242" i="37"/>
  <c r="AL242" i="37"/>
  <c r="AG243" i="37"/>
  <c r="AH243" i="37"/>
  <c r="AI243" i="37"/>
  <c r="AJ243" i="37"/>
  <c r="AK243" i="37"/>
  <c r="AL243" i="37"/>
  <c r="AG244" i="37"/>
  <c r="AH244" i="37"/>
  <c r="AI244" i="37"/>
  <c r="AJ244" i="37"/>
  <c r="AK244" i="37"/>
  <c r="AL244" i="37"/>
  <c r="AG245" i="37"/>
  <c r="AH245" i="37"/>
  <c r="AI245" i="37"/>
  <c r="AJ245" i="37"/>
  <c r="AK245" i="37"/>
  <c r="AL245" i="37"/>
  <c r="AG246" i="37"/>
  <c r="AH246" i="37"/>
  <c r="AI246" i="37"/>
  <c r="AJ246" i="37"/>
  <c r="AK246" i="37"/>
  <c r="AL246" i="37"/>
  <c r="AG247" i="37"/>
  <c r="AH247" i="37"/>
  <c r="AI247" i="37"/>
  <c r="AJ247" i="37"/>
  <c r="AK247" i="37"/>
  <c r="AL247" i="37"/>
  <c r="AG248" i="37"/>
  <c r="AH248" i="37"/>
  <c r="AI248" i="37"/>
  <c r="AJ248" i="37"/>
  <c r="AK248" i="37"/>
  <c r="AL248" i="37"/>
  <c r="AG249" i="37"/>
  <c r="AH249" i="37"/>
  <c r="AI249" i="37"/>
  <c r="AJ249" i="37"/>
  <c r="AK249" i="37"/>
  <c r="AL249" i="37"/>
  <c r="AG250" i="37"/>
  <c r="AH250" i="37"/>
  <c r="AI250" i="37"/>
  <c r="AJ250" i="37"/>
  <c r="AK250" i="37"/>
  <c r="AL250" i="37"/>
  <c r="AG251" i="37"/>
  <c r="AH251" i="37"/>
  <c r="AI251" i="37"/>
  <c r="AJ251" i="37"/>
  <c r="AK251" i="37"/>
  <c r="AL251" i="37"/>
  <c r="AG252" i="37"/>
  <c r="AH252" i="37"/>
  <c r="AI252" i="37"/>
  <c r="AJ252" i="37"/>
  <c r="AK252" i="37"/>
  <c r="AL252" i="37"/>
  <c r="AG253" i="37"/>
  <c r="AH253" i="37"/>
  <c r="AI253" i="37"/>
  <c r="AJ253" i="37"/>
  <c r="AK253" i="37"/>
  <c r="AL253" i="37"/>
  <c r="AG254" i="37"/>
  <c r="AH254" i="37"/>
  <c r="AI254" i="37"/>
  <c r="AJ254" i="37"/>
  <c r="AK254" i="37"/>
  <c r="AL254" i="37"/>
  <c r="AG255" i="37"/>
  <c r="AH255" i="37"/>
  <c r="AI255" i="37"/>
  <c r="AJ255" i="37"/>
  <c r="AK255" i="37"/>
  <c r="AL255" i="37"/>
  <c r="AG256" i="37"/>
  <c r="AH256" i="37"/>
  <c r="AI256" i="37"/>
  <c r="AJ256" i="37"/>
  <c r="AK256" i="37"/>
  <c r="AL256" i="37"/>
  <c r="AG257" i="37"/>
  <c r="AH257" i="37"/>
  <c r="AI257" i="37"/>
  <c r="AJ257" i="37"/>
  <c r="AK257" i="37"/>
  <c r="AL257" i="37"/>
  <c r="AG258" i="37"/>
  <c r="AH258" i="37"/>
  <c r="AI258" i="37"/>
  <c r="AJ258" i="37"/>
  <c r="AK258" i="37"/>
  <c r="AL258" i="37"/>
  <c r="AG259" i="37"/>
  <c r="AH259" i="37"/>
  <c r="AI259" i="37"/>
  <c r="AJ259" i="37"/>
  <c r="AK259" i="37"/>
  <c r="AL259" i="37"/>
  <c r="AG260" i="37"/>
  <c r="AH260" i="37"/>
  <c r="AI260" i="37"/>
  <c r="AJ260" i="37"/>
  <c r="AK260" i="37"/>
  <c r="AL260" i="37"/>
  <c r="AG261" i="37"/>
  <c r="AH261" i="37"/>
  <c r="AI261" i="37"/>
  <c r="AJ261" i="37"/>
  <c r="AK261" i="37"/>
  <c r="AL261" i="37"/>
  <c r="AG262" i="37"/>
  <c r="AH262" i="37"/>
  <c r="AI262" i="37"/>
  <c r="AJ262" i="37"/>
  <c r="AK262" i="37"/>
  <c r="AL262" i="37"/>
  <c r="AG263" i="37"/>
  <c r="AH263" i="37"/>
  <c r="AI263" i="37"/>
  <c r="AJ263" i="37"/>
  <c r="AK263" i="37"/>
  <c r="AL263" i="37"/>
  <c r="AG264" i="37"/>
  <c r="AH264" i="37"/>
  <c r="AI264" i="37"/>
  <c r="AJ264" i="37"/>
  <c r="AK264" i="37"/>
  <c r="AL264" i="37"/>
  <c r="AG265" i="37"/>
  <c r="AH265" i="37"/>
  <c r="AI265" i="37"/>
  <c r="AJ265" i="37"/>
  <c r="AK265" i="37"/>
  <c r="AL265" i="37"/>
  <c r="AG266" i="37"/>
  <c r="AH266" i="37"/>
  <c r="AI266" i="37"/>
  <c r="AJ266" i="37"/>
  <c r="AK266" i="37"/>
  <c r="AL266" i="37"/>
  <c r="AG267" i="37"/>
  <c r="AH267" i="37"/>
  <c r="AI267" i="37"/>
  <c r="AJ267" i="37"/>
  <c r="AK267" i="37"/>
  <c r="AL267" i="37"/>
  <c r="AG268" i="37"/>
  <c r="AH268" i="37"/>
  <c r="AI268" i="37"/>
  <c r="AJ268" i="37"/>
  <c r="AK268" i="37"/>
  <c r="AL268" i="37"/>
  <c r="AG269" i="37"/>
  <c r="AH269" i="37"/>
  <c r="AI269" i="37"/>
  <c r="AJ269" i="37"/>
  <c r="AK269" i="37"/>
  <c r="AL269" i="37"/>
  <c r="AG270" i="37"/>
  <c r="AH270" i="37"/>
  <c r="AI270" i="37"/>
  <c r="AJ270" i="37"/>
  <c r="AK270" i="37"/>
  <c r="AL270" i="37"/>
  <c r="AG271" i="37"/>
  <c r="AH271" i="37"/>
  <c r="AI271" i="37"/>
  <c r="AJ271" i="37"/>
  <c r="AK271" i="37"/>
  <c r="AL271" i="37"/>
  <c r="AG272" i="37"/>
  <c r="AH272" i="37"/>
  <c r="AI272" i="37"/>
  <c r="AJ272" i="37"/>
  <c r="AK272" i="37"/>
  <c r="AL272" i="37"/>
  <c r="AG273" i="37"/>
  <c r="AH273" i="37"/>
  <c r="AI273" i="37"/>
  <c r="AJ273" i="37"/>
  <c r="AK273" i="37"/>
  <c r="AL273" i="37"/>
  <c r="AG274" i="37"/>
  <c r="AH274" i="37"/>
  <c r="AI274" i="37"/>
  <c r="AJ274" i="37"/>
  <c r="AK274" i="37"/>
  <c r="AL274" i="37"/>
  <c r="AG275" i="37"/>
  <c r="AH275" i="37"/>
  <c r="AI275" i="37"/>
  <c r="AJ275" i="37"/>
  <c r="AK275" i="37"/>
  <c r="AL275" i="37"/>
  <c r="AG276" i="37"/>
  <c r="AH276" i="37"/>
  <c r="AI276" i="37"/>
  <c r="AJ276" i="37"/>
  <c r="AK276" i="37"/>
  <c r="AL276" i="37"/>
  <c r="AG277" i="37"/>
  <c r="AH277" i="37"/>
  <c r="AI277" i="37"/>
  <c r="AJ277" i="37"/>
  <c r="AK277" i="37"/>
  <c r="AL277" i="37"/>
  <c r="AG278" i="37"/>
  <c r="AH278" i="37"/>
  <c r="AI278" i="37"/>
  <c r="AJ278" i="37"/>
  <c r="AK278" i="37"/>
  <c r="AL278" i="37"/>
  <c r="AG279" i="37"/>
  <c r="AH279" i="37"/>
  <c r="AI279" i="37"/>
  <c r="AJ279" i="37"/>
  <c r="AK279" i="37"/>
  <c r="AL279" i="37"/>
  <c r="AG280" i="37"/>
  <c r="AH280" i="37"/>
  <c r="AI280" i="37"/>
  <c r="AJ280" i="37"/>
  <c r="AK280" i="37"/>
  <c r="AL280" i="37"/>
  <c r="AG281" i="37"/>
  <c r="AH281" i="37"/>
  <c r="AI281" i="37"/>
  <c r="AJ281" i="37"/>
  <c r="AK281" i="37"/>
  <c r="AL281" i="37"/>
  <c r="AG282" i="37"/>
  <c r="AH282" i="37"/>
  <c r="AI282" i="37"/>
  <c r="AJ282" i="37"/>
  <c r="AK282" i="37"/>
  <c r="AL282" i="37"/>
  <c r="AG283" i="37"/>
  <c r="AH283" i="37"/>
  <c r="AI283" i="37"/>
  <c r="AJ283" i="37"/>
  <c r="AK283" i="37"/>
  <c r="AL283" i="37"/>
  <c r="AG284" i="37"/>
  <c r="AH284" i="37"/>
  <c r="AI284" i="37"/>
  <c r="AJ284" i="37"/>
  <c r="AK284" i="37"/>
  <c r="AL284" i="37"/>
  <c r="AG285" i="37"/>
  <c r="AH285" i="37"/>
  <c r="AI285" i="37"/>
  <c r="AJ285" i="37"/>
  <c r="AK285" i="37"/>
  <c r="AL285" i="37"/>
  <c r="AG286" i="37"/>
  <c r="AH286" i="37"/>
  <c r="AI286" i="37"/>
  <c r="AJ286" i="37"/>
  <c r="AK286" i="37"/>
  <c r="AL286" i="37"/>
  <c r="AG287" i="37"/>
  <c r="AH287" i="37"/>
  <c r="AI287" i="37"/>
  <c r="AJ287" i="37"/>
  <c r="AK287" i="37"/>
  <c r="AL287" i="37"/>
  <c r="AG288" i="37"/>
  <c r="AH288" i="37"/>
  <c r="AI288" i="37"/>
  <c r="AJ288" i="37"/>
  <c r="AK288" i="37"/>
  <c r="AL288" i="37"/>
  <c r="AG289" i="37"/>
  <c r="AH289" i="37"/>
  <c r="AI289" i="37"/>
  <c r="AJ289" i="37"/>
  <c r="AK289" i="37"/>
  <c r="AL289" i="37"/>
  <c r="AG290" i="37"/>
  <c r="AH290" i="37"/>
  <c r="AI290" i="37"/>
  <c r="AJ290" i="37"/>
  <c r="AK290" i="37"/>
  <c r="AL290" i="37"/>
  <c r="AG291" i="37"/>
  <c r="AH291" i="37"/>
  <c r="AI291" i="37"/>
  <c r="AJ291" i="37"/>
  <c r="AK291" i="37"/>
  <c r="AL291" i="37"/>
  <c r="AG292" i="37"/>
  <c r="AH292" i="37"/>
  <c r="AI292" i="37"/>
  <c r="AJ292" i="37"/>
  <c r="AK292" i="37"/>
  <c r="AL292" i="37"/>
  <c r="AG293" i="37"/>
  <c r="AH293" i="37"/>
  <c r="AI293" i="37"/>
  <c r="AJ293" i="37"/>
  <c r="AK293" i="37"/>
  <c r="AL293" i="37"/>
  <c r="AG294" i="37"/>
  <c r="AH294" i="37"/>
  <c r="AI294" i="37"/>
  <c r="AJ294" i="37"/>
  <c r="AK294" i="37"/>
  <c r="AL294" i="37"/>
  <c r="AG295" i="37"/>
  <c r="AH295" i="37"/>
  <c r="AI295" i="37"/>
  <c r="AJ295" i="37"/>
  <c r="AK295" i="37"/>
  <c r="AL295" i="37"/>
  <c r="AL76" i="37"/>
  <c r="AK76" i="37"/>
  <c r="AJ76" i="37"/>
  <c r="AI76" i="37"/>
  <c r="AH76" i="37"/>
  <c r="AG76" i="37"/>
  <c r="AL515" i="40"/>
  <c r="AK515" i="40"/>
  <c r="AJ515" i="40"/>
  <c r="AI515" i="40"/>
  <c r="AH515" i="40"/>
  <c r="AG515" i="40"/>
  <c r="AL514" i="40"/>
  <c r="AK514" i="40"/>
  <c r="AJ514" i="40"/>
  <c r="AI514" i="40"/>
  <c r="AH514" i="40"/>
  <c r="AG514" i="40"/>
  <c r="AL513" i="40"/>
  <c r="AK513" i="40"/>
  <c r="AJ513" i="40"/>
  <c r="AI513" i="40"/>
  <c r="AH513" i="40"/>
  <c r="AG513" i="40"/>
  <c r="AL512" i="40"/>
  <c r="AK512" i="40"/>
  <c r="AJ512" i="40"/>
  <c r="AI512" i="40"/>
  <c r="AH512" i="40"/>
  <c r="AG512" i="40"/>
  <c r="AL511" i="40"/>
  <c r="AK511" i="40"/>
  <c r="AJ511" i="40"/>
  <c r="AI511" i="40"/>
  <c r="AH511" i="40"/>
  <c r="AG511" i="40"/>
  <c r="AL510" i="40"/>
  <c r="AK510" i="40"/>
  <c r="AJ510" i="40"/>
  <c r="AI510" i="40"/>
  <c r="AH510" i="40"/>
  <c r="AG510" i="40"/>
  <c r="AL509" i="40"/>
  <c r="AK509" i="40"/>
  <c r="AJ509" i="40"/>
  <c r="AI509" i="40"/>
  <c r="AH509" i="40"/>
  <c r="AG509" i="40"/>
  <c r="AL508" i="40"/>
  <c r="AK508" i="40"/>
  <c r="AJ508" i="40"/>
  <c r="AI508" i="40"/>
  <c r="AH508" i="40"/>
  <c r="AG508" i="40"/>
  <c r="AL507" i="40"/>
  <c r="AK507" i="40"/>
  <c r="AJ507" i="40"/>
  <c r="AI507" i="40"/>
  <c r="AH507" i="40"/>
  <c r="AG507" i="40"/>
  <c r="AL506" i="40"/>
  <c r="AK506" i="40"/>
  <c r="AJ506" i="40"/>
  <c r="AI506" i="40"/>
  <c r="AH506" i="40"/>
  <c r="AG506" i="40"/>
  <c r="AL505" i="40"/>
  <c r="AK505" i="40"/>
  <c r="AJ505" i="40"/>
  <c r="AI505" i="40"/>
  <c r="AH505" i="40"/>
  <c r="AG505" i="40"/>
  <c r="AL504" i="40"/>
  <c r="AK504" i="40"/>
  <c r="AJ504" i="40"/>
  <c r="AI504" i="40"/>
  <c r="AH504" i="40"/>
  <c r="AG504" i="40"/>
  <c r="AL503" i="40"/>
  <c r="AK503" i="40"/>
  <c r="AJ503" i="40"/>
  <c r="AI503" i="40"/>
  <c r="AH503" i="40"/>
  <c r="AG503" i="40"/>
  <c r="AL502" i="40"/>
  <c r="AK502" i="40"/>
  <c r="AJ502" i="40"/>
  <c r="AI502" i="40"/>
  <c r="AH502" i="40"/>
  <c r="AG502" i="40"/>
  <c r="AL501" i="40"/>
  <c r="AK501" i="40"/>
  <c r="AJ501" i="40"/>
  <c r="AI501" i="40"/>
  <c r="AH501" i="40"/>
  <c r="AG501" i="40"/>
  <c r="AL500" i="40"/>
  <c r="AK500" i="40"/>
  <c r="AJ500" i="40"/>
  <c r="AI500" i="40"/>
  <c r="AH500" i="40"/>
  <c r="AG500" i="40"/>
  <c r="AL499" i="40"/>
  <c r="AK499" i="40"/>
  <c r="AJ499" i="40"/>
  <c r="AI499" i="40"/>
  <c r="AH499" i="40"/>
  <c r="AG499" i="40"/>
  <c r="AL498" i="40"/>
  <c r="AK498" i="40"/>
  <c r="AJ498" i="40"/>
  <c r="AI498" i="40"/>
  <c r="AH498" i="40"/>
  <c r="AG498" i="40"/>
  <c r="AL497" i="40"/>
  <c r="AK497" i="40"/>
  <c r="AJ497" i="40"/>
  <c r="AI497" i="40"/>
  <c r="AH497" i="40"/>
  <c r="AG497" i="40"/>
  <c r="AL496" i="40"/>
  <c r="AK496" i="40"/>
  <c r="AJ496" i="40"/>
  <c r="AI496" i="40"/>
  <c r="AH496" i="40"/>
  <c r="AG496" i="40"/>
  <c r="AL495" i="40"/>
  <c r="AK495" i="40"/>
  <c r="AJ495" i="40"/>
  <c r="AI495" i="40"/>
  <c r="AH495" i="40"/>
  <c r="AG495" i="40"/>
  <c r="AL494" i="40"/>
  <c r="AK494" i="40"/>
  <c r="AJ494" i="40"/>
  <c r="AI494" i="40"/>
  <c r="AH494" i="40"/>
  <c r="AG494" i="40"/>
  <c r="AL493" i="40"/>
  <c r="AK493" i="40"/>
  <c r="AJ493" i="40"/>
  <c r="AI493" i="40"/>
  <c r="AH493" i="40"/>
  <c r="AG493" i="40"/>
  <c r="AL492" i="40"/>
  <c r="AK492" i="40"/>
  <c r="AJ492" i="40"/>
  <c r="AI492" i="40"/>
  <c r="AH492" i="40"/>
  <c r="AG492" i="40"/>
  <c r="AL491" i="40"/>
  <c r="AK491" i="40"/>
  <c r="AJ491" i="40"/>
  <c r="AI491" i="40"/>
  <c r="AH491" i="40"/>
  <c r="AG491" i="40"/>
  <c r="AL490" i="40"/>
  <c r="AK490" i="40"/>
  <c r="AJ490" i="40"/>
  <c r="AI490" i="40"/>
  <c r="AH490" i="40"/>
  <c r="AG490" i="40"/>
  <c r="AL489" i="40"/>
  <c r="AK489" i="40"/>
  <c r="AJ489" i="40"/>
  <c r="AI489" i="40"/>
  <c r="AH489" i="40"/>
  <c r="AG489" i="40"/>
  <c r="AL488" i="40"/>
  <c r="AK488" i="40"/>
  <c r="AJ488" i="40"/>
  <c r="AI488" i="40"/>
  <c r="AH488" i="40"/>
  <c r="AG488" i="40"/>
  <c r="AL487" i="40"/>
  <c r="AK487" i="40"/>
  <c r="AJ487" i="40"/>
  <c r="AI487" i="40"/>
  <c r="AH487" i="40"/>
  <c r="AG487" i="40"/>
  <c r="AL486" i="40"/>
  <c r="AK486" i="40"/>
  <c r="AJ486" i="40"/>
  <c r="AI486" i="40"/>
  <c r="AH486" i="40"/>
  <c r="AG486" i="40"/>
  <c r="AL485" i="40"/>
  <c r="AK485" i="40"/>
  <c r="AJ485" i="40"/>
  <c r="AI485" i="40"/>
  <c r="AH485" i="40"/>
  <c r="AG485" i="40"/>
  <c r="AL484" i="40"/>
  <c r="AK484" i="40"/>
  <c r="AJ484" i="40"/>
  <c r="AI484" i="40"/>
  <c r="AH484" i="40"/>
  <c r="AG484" i="40"/>
  <c r="AL483" i="40"/>
  <c r="AK483" i="40"/>
  <c r="AJ483" i="40"/>
  <c r="AI483" i="40"/>
  <c r="AH483" i="40"/>
  <c r="AG483" i="40"/>
  <c r="AL482" i="40"/>
  <c r="AK482" i="40"/>
  <c r="AJ482" i="40"/>
  <c r="AI482" i="40"/>
  <c r="AH482" i="40"/>
  <c r="AG482" i="40"/>
  <c r="AL481" i="40"/>
  <c r="AK481" i="40"/>
  <c r="AJ481" i="40"/>
  <c r="AI481" i="40"/>
  <c r="AH481" i="40"/>
  <c r="AG481" i="40"/>
  <c r="AL480" i="40"/>
  <c r="AK480" i="40"/>
  <c r="AJ480" i="40"/>
  <c r="AI480" i="40"/>
  <c r="AH480" i="40"/>
  <c r="AG480" i="40"/>
  <c r="AL479" i="40"/>
  <c r="AK479" i="40"/>
  <c r="AJ479" i="40"/>
  <c r="AI479" i="40"/>
  <c r="AH479" i="40"/>
  <c r="AG479" i="40"/>
  <c r="AL478" i="40"/>
  <c r="AK478" i="40"/>
  <c r="AJ478" i="40"/>
  <c r="AI478" i="40"/>
  <c r="AH478" i="40"/>
  <c r="AG478" i="40"/>
  <c r="AL477" i="40"/>
  <c r="AK477" i="40"/>
  <c r="AJ477" i="40"/>
  <c r="AI477" i="40"/>
  <c r="AH477" i="40"/>
  <c r="AG477" i="40"/>
  <c r="AL476" i="40"/>
  <c r="AK476" i="40"/>
  <c r="AJ476" i="40"/>
  <c r="AI476" i="40"/>
  <c r="AH476" i="40"/>
  <c r="AG476" i="40"/>
  <c r="AL475" i="40"/>
  <c r="AK475" i="40"/>
  <c r="AJ475" i="40"/>
  <c r="AI475" i="40"/>
  <c r="AH475" i="40"/>
  <c r="AG475" i="40"/>
  <c r="AL474" i="40"/>
  <c r="AK474" i="40"/>
  <c r="AJ474" i="40"/>
  <c r="AI474" i="40"/>
  <c r="AH474" i="40"/>
  <c r="AG474" i="40"/>
  <c r="AL473" i="40"/>
  <c r="AK473" i="40"/>
  <c r="AJ473" i="40"/>
  <c r="AI473" i="40"/>
  <c r="AH473" i="40"/>
  <c r="AG473" i="40"/>
  <c r="AL472" i="40"/>
  <c r="AK472" i="40"/>
  <c r="AJ472" i="40"/>
  <c r="AI472" i="40"/>
  <c r="AH472" i="40"/>
  <c r="AG472" i="40"/>
  <c r="AL471" i="40"/>
  <c r="AK471" i="40"/>
  <c r="AJ471" i="40"/>
  <c r="AI471" i="40"/>
  <c r="AH471" i="40"/>
  <c r="AG471" i="40"/>
  <c r="AL470" i="40"/>
  <c r="AK470" i="40"/>
  <c r="AJ470" i="40"/>
  <c r="AI470" i="40"/>
  <c r="AH470" i="40"/>
  <c r="AG470" i="40"/>
  <c r="AL469" i="40"/>
  <c r="AK469" i="40"/>
  <c r="AJ469" i="40"/>
  <c r="AI469" i="40"/>
  <c r="AH469" i="40"/>
  <c r="AG469" i="40"/>
  <c r="AL468" i="40"/>
  <c r="AK468" i="40"/>
  <c r="AJ468" i="40"/>
  <c r="AI468" i="40"/>
  <c r="AH468" i="40"/>
  <c r="AG468" i="40"/>
  <c r="AL467" i="40"/>
  <c r="AK467" i="40"/>
  <c r="AJ467" i="40"/>
  <c r="AI467" i="40"/>
  <c r="AH467" i="40"/>
  <c r="AG467" i="40"/>
  <c r="AL466" i="40"/>
  <c r="AK466" i="40"/>
  <c r="AJ466" i="40"/>
  <c r="AI466" i="40"/>
  <c r="AH466" i="40"/>
  <c r="AG466" i="40"/>
  <c r="AL465" i="40"/>
  <c r="AK465" i="40"/>
  <c r="AJ465" i="40"/>
  <c r="AI465" i="40"/>
  <c r="AH465" i="40"/>
  <c r="AG465" i="40"/>
  <c r="AL464" i="40"/>
  <c r="AK464" i="40"/>
  <c r="AJ464" i="40"/>
  <c r="AI464" i="40"/>
  <c r="AH464" i="40"/>
  <c r="AG464" i="40"/>
  <c r="AL463" i="40"/>
  <c r="AK463" i="40"/>
  <c r="AJ463" i="40"/>
  <c r="AI463" i="40"/>
  <c r="AH463" i="40"/>
  <c r="AG463" i="40"/>
  <c r="AL462" i="40"/>
  <c r="AK462" i="40"/>
  <c r="AJ462" i="40"/>
  <c r="AI462" i="40"/>
  <c r="AH462" i="40"/>
  <c r="AG462" i="40"/>
  <c r="AL461" i="40"/>
  <c r="AK461" i="40"/>
  <c r="AJ461" i="40"/>
  <c r="AI461" i="40"/>
  <c r="AH461" i="40"/>
  <c r="AG461" i="40"/>
  <c r="AL460" i="40"/>
  <c r="AK460" i="40"/>
  <c r="AJ460" i="40"/>
  <c r="AI460" i="40"/>
  <c r="AH460" i="40"/>
  <c r="AG460" i="40"/>
  <c r="AL459" i="40"/>
  <c r="AK459" i="40"/>
  <c r="AJ459" i="40"/>
  <c r="AI459" i="40"/>
  <c r="AH459" i="40"/>
  <c r="AG459" i="40"/>
  <c r="AL458" i="40"/>
  <c r="AK458" i="40"/>
  <c r="AJ458" i="40"/>
  <c r="AI458" i="40"/>
  <c r="AH458" i="40"/>
  <c r="AG458" i="40"/>
  <c r="AL457" i="40"/>
  <c r="AK457" i="40"/>
  <c r="AJ457" i="40"/>
  <c r="AI457" i="40"/>
  <c r="AH457" i="40"/>
  <c r="AG457" i="40"/>
  <c r="AL456" i="40"/>
  <c r="AK456" i="40"/>
  <c r="AJ456" i="40"/>
  <c r="AI456" i="40"/>
  <c r="AH456" i="40"/>
  <c r="AG456" i="40"/>
  <c r="AL455" i="40"/>
  <c r="AK455" i="40"/>
  <c r="AJ455" i="40"/>
  <c r="AI455" i="40"/>
  <c r="AH455" i="40"/>
  <c r="AG455" i="40"/>
  <c r="AL454" i="40"/>
  <c r="AK454" i="40"/>
  <c r="AJ454" i="40"/>
  <c r="AI454" i="40"/>
  <c r="AH454" i="40"/>
  <c r="AG454" i="40"/>
  <c r="AL453" i="40"/>
  <c r="AK453" i="40"/>
  <c r="AJ453" i="40"/>
  <c r="AI453" i="40"/>
  <c r="AH453" i="40"/>
  <c r="AG453" i="40"/>
  <c r="AL452" i="40"/>
  <c r="AK452" i="40"/>
  <c r="AJ452" i="40"/>
  <c r="AI452" i="40"/>
  <c r="AH452" i="40"/>
  <c r="AG452" i="40"/>
  <c r="AL451" i="40"/>
  <c r="AK451" i="40"/>
  <c r="AJ451" i="40"/>
  <c r="AI451" i="40"/>
  <c r="AH451" i="40"/>
  <c r="AG451" i="40"/>
  <c r="AL450" i="40"/>
  <c r="AK450" i="40"/>
  <c r="AJ450" i="40"/>
  <c r="AI450" i="40"/>
  <c r="AH450" i="40"/>
  <c r="AG450" i="40"/>
  <c r="AL449" i="40"/>
  <c r="AK449" i="40"/>
  <c r="AJ449" i="40"/>
  <c r="AI449" i="40"/>
  <c r="AH449" i="40"/>
  <c r="AG449" i="40"/>
  <c r="AL448" i="40"/>
  <c r="AK448" i="40"/>
  <c r="AJ448" i="40"/>
  <c r="AI448" i="40"/>
  <c r="AH448" i="40"/>
  <c r="AG448" i="40"/>
  <c r="AL447" i="40"/>
  <c r="AK447" i="40"/>
  <c r="AJ447" i="40"/>
  <c r="AI447" i="40"/>
  <c r="AH447" i="40"/>
  <c r="AG447" i="40"/>
  <c r="AL446" i="40"/>
  <c r="AK446" i="40"/>
  <c r="AJ446" i="40"/>
  <c r="AI446" i="40"/>
  <c r="AH446" i="40"/>
  <c r="AG446" i="40"/>
  <c r="AL445" i="40"/>
  <c r="AK445" i="40"/>
  <c r="AJ445" i="40"/>
  <c r="AI445" i="40"/>
  <c r="AH445" i="40"/>
  <c r="AG445" i="40"/>
  <c r="AL444" i="40"/>
  <c r="AK444" i="40"/>
  <c r="AJ444" i="40"/>
  <c r="AI444" i="40"/>
  <c r="AH444" i="40"/>
  <c r="AG444" i="40"/>
  <c r="AL443" i="40"/>
  <c r="AK443" i="40"/>
  <c r="AJ443" i="40"/>
  <c r="AI443" i="40"/>
  <c r="AH443" i="40"/>
  <c r="AG443" i="40"/>
  <c r="AL442" i="40"/>
  <c r="AK442" i="40"/>
  <c r="AJ442" i="40"/>
  <c r="AI442" i="40"/>
  <c r="AH442" i="40"/>
  <c r="AG442" i="40"/>
  <c r="AL441" i="40"/>
  <c r="AK441" i="40"/>
  <c r="AJ441" i="40"/>
  <c r="AI441" i="40"/>
  <c r="AH441" i="40"/>
  <c r="AG441" i="40"/>
  <c r="AL440" i="40"/>
  <c r="AK440" i="40"/>
  <c r="AJ440" i="40"/>
  <c r="AI440" i="40"/>
  <c r="AH440" i="40"/>
  <c r="AG440" i="40"/>
  <c r="AL439" i="40"/>
  <c r="AK439" i="40"/>
  <c r="AJ439" i="40"/>
  <c r="AI439" i="40"/>
  <c r="AH439" i="40"/>
  <c r="AG439" i="40"/>
  <c r="AL438" i="40"/>
  <c r="AK438" i="40"/>
  <c r="AJ438" i="40"/>
  <c r="AI438" i="40"/>
  <c r="AH438" i="40"/>
  <c r="AG438" i="40"/>
  <c r="AL437" i="40"/>
  <c r="AK437" i="40"/>
  <c r="AJ437" i="40"/>
  <c r="AI437" i="40"/>
  <c r="AH437" i="40"/>
  <c r="AG437" i="40"/>
  <c r="AL436" i="40"/>
  <c r="AK436" i="40"/>
  <c r="AJ436" i="40"/>
  <c r="AI436" i="40"/>
  <c r="AH436" i="40"/>
  <c r="AG436" i="40"/>
  <c r="AL435" i="40"/>
  <c r="AK435" i="40"/>
  <c r="AJ435" i="40"/>
  <c r="AI435" i="40"/>
  <c r="AH435" i="40"/>
  <c r="AG435" i="40"/>
  <c r="AL434" i="40"/>
  <c r="AK434" i="40"/>
  <c r="AJ434" i="40"/>
  <c r="AI434" i="40"/>
  <c r="AH434" i="40"/>
  <c r="AG434" i="40"/>
  <c r="AL433" i="40"/>
  <c r="AK433" i="40"/>
  <c r="AJ433" i="40"/>
  <c r="AI433" i="40"/>
  <c r="AH433" i="40"/>
  <c r="AG433" i="40"/>
  <c r="AL432" i="40"/>
  <c r="AK432" i="40"/>
  <c r="AJ432" i="40"/>
  <c r="AI432" i="40"/>
  <c r="AH432" i="40"/>
  <c r="AG432" i="40"/>
  <c r="AL431" i="40"/>
  <c r="AK431" i="40"/>
  <c r="AJ431" i="40"/>
  <c r="AI431" i="40"/>
  <c r="AH431" i="40"/>
  <c r="AG431" i="40"/>
  <c r="AL430" i="40"/>
  <c r="AK430" i="40"/>
  <c r="AJ430" i="40"/>
  <c r="AI430" i="40"/>
  <c r="AH430" i="40"/>
  <c r="AG430" i="40"/>
  <c r="AL429" i="40"/>
  <c r="AK429" i="40"/>
  <c r="AJ429" i="40"/>
  <c r="AI429" i="40"/>
  <c r="AH429" i="40"/>
  <c r="AG429" i="40"/>
  <c r="AL428" i="40"/>
  <c r="AK428" i="40"/>
  <c r="AJ428" i="40"/>
  <c r="AI428" i="40"/>
  <c r="AH428" i="40"/>
  <c r="AG428" i="40"/>
  <c r="AL427" i="40"/>
  <c r="AK427" i="40"/>
  <c r="AJ427" i="40"/>
  <c r="AI427" i="40"/>
  <c r="AH427" i="40"/>
  <c r="AG427" i="40"/>
  <c r="AL426" i="40"/>
  <c r="AK426" i="40"/>
  <c r="AJ426" i="40"/>
  <c r="AI426" i="40"/>
  <c r="AH426" i="40"/>
  <c r="AG426" i="40"/>
  <c r="AL425" i="40"/>
  <c r="AK425" i="40"/>
  <c r="AJ425" i="40"/>
  <c r="AI425" i="40"/>
  <c r="AH425" i="40"/>
  <c r="AG425" i="40"/>
  <c r="AL424" i="40"/>
  <c r="AK424" i="40"/>
  <c r="AJ424" i="40"/>
  <c r="AI424" i="40"/>
  <c r="AH424" i="40"/>
  <c r="AG424" i="40"/>
  <c r="AL423" i="40"/>
  <c r="AK423" i="40"/>
  <c r="AJ423" i="40"/>
  <c r="AI423" i="40"/>
  <c r="AH423" i="40"/>
  <c r="AG423" i="40"/>
  <c r="AL422" i="40"/>
  <c r="AK422" i="40"/>
  <c r="AJ422" i="40"/>
  <c r="AI422" i="40"/>
  <c r="AH422" i="40"/>
  <c r="AG422" i="40"/>
  <c r="AL421" i="40"/>
  <c r="AK421" i="40"/>
  <c r="AJ421" i="40"/>
  <c r="AI421" i="40"/>
  <c r="AH421" i="40"/>
  <c r="AG421" i="40"/>
  <c r="AL420" i="40"/>
  <c r="AK420" i="40"/>
  <c r="AJ420" i="40"/>
  <c r="AI420" i="40"/>
  <c r="AH420" i="40"/>
  <c r="AG420" i="40"/>
  <c r="AL419" i="40"/>
  <c r="AK419" i="40"/>
  <c r="AJ419" i="40"/>
  <c r="AI419" i="40"/>
  <c r="AH419" i="40"/>
  <c r="AG419" i="40"/>
  <c r="AL418" i="40"/>
  <c r="AK418" i="40"/>
  <c r="AJ418" i="40"/>
  <c r="AI418" i="40"/>
  <c r="AH418" i="40"/>
  <c r="AG418" i="40"/>
  <c r="AL417" i="40"/>
  <c r="AK417" i="40"/>
  <c r="AJ417" i="40"/>
  <c r="AI417" i="40"/>
  <c r="AH417" i="40"/>
  <c r="AG417" i="40"/>
  <c r="AL416" i="40"/>
  <c r="AK416" i="40"/>
  <c r="AJ416" i="40"/>
  <c r="AI416" i="40"/>
  <c r="AH416" i="40"/>
  <c r="AG416" i="40"/>
  <c r="AL415" i="40"/>
  <c r="AK415" i="40"/>
  <c r="AJ415" i="40"/>
  <c r="AI415" i="40"/>
  <c r="AH415" i="40"/>
  <c r="AG415" i="40"/>
  <c r="AL414" i="40"/>
  <c r="AK414" i="40"/>
  <c r="AJ414" i="40"/>
  <c r="AI414" i="40"/>
  <c r="AH414" i="40"/>
  <c r="AG414" i="40"/>
  <c r="AL413" i="40"/>
  <c r="AK413" i="40"/>
  <c r="AJ413" i="40"/>
  <c r="AI413" i="40"/>
  <c r="AH413" i="40"/>
  <c r="AG413" i="40"/>
  <c r="AL412" i="40"/>
  <c r="AK412" i="40"/>
  <c r="AJ412" i="40"/>
  <c r="AI412" i="40"/>
  <c r="AH412" i="40"/>
  <c r="AG412" i="40"/>
  <c r="AL411" i="40"/>
  <c r="AK411" i="40"/>
  <c r="AJ411" i="40"/>
  <c r="AI411" i="40"/>
  <c r="AH411" i="40"/>
  <c r="AG411" i="40"/>
  <c r="AL410" i="40"/>
  <c r="AK410" i="40"/>
  <c r="AJ410" i="40"/>
  <c r="AI410" i="40"/>
  <c r="AH410" i="40"/>
  <c r="AG410" i="40"/>
  <c r="AL409" i="40"/>
  <c r="AK409" i="40"/>
  <c r="AJ409" i="40"/>
  <c r="AI409" i="40"/>
  <c r="AH409" i="40"/>
  <c r="AG409" i="40"/>
  <c r="AL408" i="40"/>
  <c r="AK408" i="40"/>
  <c r="AJ408" i="40"/>
  <c r="AI408" i="40"/>
  <c r="AH408" i="40"/>
  <c r="AG408" i="40"/>
  <c r="AL407" i="40"/>
  <c r="AK407" i="40"/>
  <c r="AJ407" i="40"/>
  <c r="AI407" i="40"/>
  <c r="AH407" i="40"/>
  <c r="AG407" i="40"/>
  <c r="AL406" i="40"/>
  <c r="AK406" i="40"/>
  <c r="AJ406" i="40"/>
  <c r="AI406" i="40"/>
  <c r="AH406" i="40"/>
  <c r="AG406" i="40"/>
  <c r="AL405" i="40"/>
  <c r="AK405" i="40"/>
  <c r="AJ405" i="40"/>
  <c r="AI405" i="40"/>
  <c r="AH405" i="40"/>
  <c r="AG405" i="40"/>
  <c r="AL404" i="40"/>
  <c r="AK404" i="40"/>
  <c r="AJ404" i="40"/>
  <c r="AI404" i="40"/>
  <c r="AH404" i="40"/>
  <c r="AG404" i="40"/>
  <c r="AL403" i="40"/>
  <c r="AK403" i="40"/>
  <c r="AJ403" i="40"/>
  <c r="AI403" i="40"/>
  <c r="AH403" i="40"/>
  <c r="AG403" i="40"/>
  <c r="AL402" i="40"/>
  <c r="AK402" i="40"/>
  <c r="AJ402" i="40"/>
  <c r="AI402" i="40"/>
  <c r="AH402" i="40"/>
  <c r="AG402" i="40"/>
  <c r="AL401" i="40"/>
  <c r="AK401" i="40"/>
  <c r="AJ401" i="40"/>
  <c r="AI401" i="40"/>
  <c r="AH401" i="40"/>
  <c r="AG401" i="40"/>
  <c r="AL400" i="40"/>
  <c r="AK400" i="40"/>
  <c r="AJ400" i="40"/>
  <c r="AI400" i="40"/>
  <c r="AH400" i="40"/>
  <c r="AG400" i="40"/>
  <c r="AL399" i="40"/>
  <c r="AK399" i="40"/>
  <c r="AJ399" i="40"/>
  <c r="AI399" i="40"/>
  <c r="AH399" i="40"/>
  <c r="AG399" i="40"/>
  <c r="AL398" i="40"/>
  <c r="AK398" i="40"/>
  <c r="AJ398" i="40"/>
  <c r="AI398" i="40"/>
  <c r="AH398" i="40"/>
  <c r="AG398" i="40"/>
  <c r="AL397" i="40"/>
  <c r="AK397" i="40"/>
  <c r="AJ397" i="40"/>
  <c r="AI397" i="40"/>
  <c r="AH397" i="40"/>
  <c r="AG397" i="40"/>
  <c r="AL396" i="40"/>
  <c r="AK396" i="40"/>
  <c r="AJ396" i="40"/>
  <c r="AI396" i="40"/>
  <c r="AH396" i="40"/>
  <c r="AG396" i="40"/>
  <c r="AL395" i="40"/>
  <c r="AK395" i="40"/>
  <c r="AJ395" i="40"/>
  <c r="AI395" i="40"/>
  <c r="AH395" i="40"/>
  <c r="AG395" i="40"/>
  <c r="AL394" i="40"/>
  <c r="AK394" i="40"/>
  <c r="AJ394" i="40"/>
  <c r="AI394" i="40"/>
  <c r="AH394" i="40"/>
  <c r="AG394" i="40"/>
  <c r="AL393" i="40"/>
  <c r="AK393" i="40"/>
  <c r="AJ393" i="40"/>
  <c r="AI393" i="40"/>
  <c r="AH393" i="40"/>
  <c r="AG393" i="40"/>
  <c r="AL392" i="40"/>
  <c r="AK392" i="40"/>
  <c r="AJ392" i="40"/>
  <c r="AI392" i="40"/>
  <c r="AH392" i="40"/>
  <c r="AG392" i="40"/>
  <c r="AL391" i="40"/>
  <c r="AK391" i="40"/>
  <c r="AJ391" i="40"/>
  <c r="AI391" i="40"/>
  <c r="AH391" i="40"/>
  <c r="AG391" i="40"/>
  <c r="AL390" i="40"/>
  <c r="AK390" i="40"/>
  <c r="AJ390" i="40"/>
  <c r="AI390" i="40"/>
  <c r="AH390" i="40"/>
  <c r="AG390" i="40"/>
  <c r="AL389" i="40"/>
  <c r="AK389" i="40"/>
  <c r="AJ389" i="40"/>
  <c r="AI389" i="40"/>
  <c r="AH389" i="40"/>
  <c r="AG389" i="40"/>
  <c r="AL388" i="40"/>
  <c r="AK388" i="40"/>
  <c r="AJ388" i="40"/>
  <c r="AI388" i="40"/>
  <c r="AH388" i="40"/>
  <c r="AG388" i="40"/>
  <c r="AL387" i="40"/>
  <c r="AK387" i="40"/>
  <c r="AJ387" i="40"/>
  <c r="AI387" i="40"/>
  <c r="AH387" i="40"/>
  <c r="AG387" i="40"/>
  <c r="AL386" i="40"/>
  <c r="AK386" i="40"/>
  <c r="AJ386" i="40"/>
  <c r="AI386" i="40"/>
  <c r="AH386" i="40"/>
  <c r="AG386" i="40"/>
  <c r="AL385" i="40"/>
  <c r="AK385" i="40"/>
  <c r="AJ385" i="40"/>
  <c r="AI385" i="40"/>
  <c r="AH385" i="40"/>
  <c r="AG385" i="40"/>
  <c r="AL384" i="40"/>
  <c r="AK384" i="40"/>
  <c r="AJ384" i="40"/>
  <c r="AI384" i="40"/>
  <c r="AH384" i="40"/>
  <c r="AG384" i="40"/>
  <c r="AL383" i="40"/>
  <c r="AK383" i="40"/>
  <c r="AJ383" i="40"/>
  <c r="AI383" i="40"/>
  <c r="AH383" i="40"/>
  <c r="AG383" i="40"/>
  <c r="AL382" i="40"/>
  <c r="AK382" i="40"/>
  <c r="AJ382" i="40"/>
  <c r="AI382" i="40"/>
  <c r="AH382" i="40"/>
  <c r="AG382" i="40"/>
  <c r="AL381" i="40"/>
  <c r="AK381" i="40"/>
  <c r="AJ381" i="40"/>
  <c r="AI381" i="40"/>
  <c r="AH381" i="40"/>
  <c r="AG381" i="40"/>
  <c r="AL380" i="40"/>
  <c r="AK380" i="40"/>
  <c r="AJ380" i="40"/>
  <c r="AI380" i="40"/>
  <c r="AH380" i="40"/>
  <c r="AG380" i="40"/>
  <c r="AL379" i="40"/>
  <c r="AK379" i="40"/>
  <c r="AJ379" i="40"/>
  <c r="AI379" i="40"/>
  <c r="AH379" i="40"/>
  <c r="AG379" i="40"/>
  <c r="AL378" i="40"/>
  <c r="AK378" i="40"/>
  <c r="AJ378" i="40"/>
  <c r="AI378" i="40"/>
  <c r="AH378" i="40"/>
  <c r="AG378" i="40"/>
  <c r="AL377" i="40"/>
  <c r="AK377" i="40"/>
  <c r="AJ377" i="40"/>
  <c r="AI377" i="40"/>
  <c r="AH377" i="40"/>
  <c r="AG377" i="40"/>
  <c r="AL376" i="40"/>
  <c r="AK376" i="40"/>
  <c r="AJ376" i="40"/>
  <c r="AI376" i="40"/>
  <c r="AH376" i="40"/>
  <c r="AG376" i="40"/>
  <c r="AL375" i="40"/>
  <c r="AK375" i="40"/>
  <c r="AJ375" i="40"/>
  <c r="AI375" i="40"/>
  <c r="AH375" i="40"/>
  <c r="AG375" i="40"/>
  <c r="AL374" i="40"/>
  <c r="AK374" i="40"/>
  <c r="AJ374" i="40"/>
  <c r="AI374" i="40"/>
  <c r="AH374" i="40"/>
  <c r="AG374" i="40"/>
  <c r="AL373" i="40"/>
  <c r="AK373" i="40"/>
  <c r="AJ373" i="40"/>
  <c r="AI373" i="40"/>
  <c r="AH373" i="40"/>
  <c r="AG373" i="40"/>
  <c r="AL372" i="40"/>
  <c r="AK372" i="40"/>
  <c r="AJ372" i="40"/>
  <c r="AI372" i="40"/>
  <c r="AH372" i="40"/>
  <c r="AG372" i="40"/>
  <c r="AL371" i="40"/>
  <c r="AK371" i="40"/>
  <c r="AJ371" i="40"/>
  <c r="AI371" i="40"/>
  <c r="AH371" i="40"/>
  <c r="AG371" i="40"/>
  <c r="AL370" i="40"/>
  <c r="AK370" i="40"/>
  <c r="AJ370" i="40"/>
  <c r="AI370" i="40"/>
  <c r="AH370" i="40"/>
  <c r="AG370" i="40"/>
  <c r="AL369" i="40"/>
  <c r="AK369" i="40"/>
  <c r="AJ369" i="40"/>
  <c r="AI369" i="40"/>
  <c r="AH369" i="40"/>
  <c r="AG369" i="40"/>
  <c r="AL368" i="40"/>
  <c r="AK368" i="40"/>
  <c r="AJ368" i="40"/>
  <c r="AI368" i="40"/>
  <c r="AH368" i="40"/>
  <c r="AG368" i="40"/>
  <c r="AL367" i="40"/>
  <c r="AK367" i="40"/>
  <c r="AJ367" i="40"/>
  <c r="AI367" i="40"/>
  <c r="AH367" i="40"/>
  <c r="AG367" i="40"/>
  <c r="AL366" i="40"/>
  <c r="AK366" i="40"/>
  <c r="AJ366" i="40"/>
  <c r="AI366" i="40"/>
  <c r="AH366" i="40"/>
  <c r="AG366" i="40"/>
  <c r="AL365" i="40"/>
  <c r="AK365" i="40"/>
  <c r="AJ365" i="40"/>
  <c r="AI365" i="40"/>
  <c r="AH365" i="40"/>
  <c r="AG365" i="40"/>
  <c r="AL364" i="40"/>
  <c r="AK364" i="40"/>
  <c r="AJ364" i="40"/>
  <c r="AI364" i="40"/>
  <c r="AH364" i="40"/>
  <c r="AG364" i="40"/>
  <c r="AL363" i="40"/>
  <c r="AK363" i="40"/>
  <c r="AJ363" i="40"/>
  <c r="AI363" i="40"/>
  <c r="AH363" i="40"/>
  <c r="AG363" i="40"/>
  <c r="AL362" i="40"/>
  <c r="AK362" i="40"/>
  <c r="AJ362" i="40"/>
  <c r="AI362" i="40"/>
  <c r="AH362" i="40"/>
  <c r="AG362" i="40"/>
  <c r="AL361" i="40"/>
  <c r="AK361" i="40"/>
  <c r="AJ361" i="40"/>
  <c r="AI361" i="40"/>
  <c r="AH361" i="40"/>
  <c r="AG361" i="40"/>
  <c r="AL360" i="40"/>
  <c r="AK360" i="40"/>
  <c r="AJ360" i="40"/>
  <c r="AI360" i="40"/>
  <c r="AH360" i="40"/>
  <c r="AG360" i="40"/>
  <c r="AL359" i="40"/>
  <c r="AK359" i="40"/>
  <c r="AJ359" i="40"/>
  <c r="AI359" i="40"/>
  <c r="AH359" i="40"/>
  <c r="AG359" i="40"/>
  <c r="AL358" i="40"/>
  <c r="AK358" i="40"/>
  <c r="AJ358" i="40"/>
  <c r="AI358" i="40"/>
  <c r="AH358" i="40"/>
  <c r="AG358" i="40"/>
  <c r="AL357" i="40"/>
  <c r="AK357" i="40"/>
  <c r="AJ357" i="40"/>
  <c r="AI357" i="40"/>
  <c r="AH357" i="40"/>
  <c r="AG357" i="40"/>
  <c r="AL356" i="40"/>
  <c r="AK356" i="40"/>
  <c r="AJ356" i="40"/>
  <c r="AI356" i="40"/>
  <c r="AH356" i="40"/>
  <c r="AG356" i="40"/>
  <c r="AL355" i="40"/>
  <c r="AK355" i="40"/>
  <c r="AJ355" i="40"/>
  <c r="AI355" i="40"/>
  <c r="AH355" i="40"/>
  <c r="AG355" i="40"/>
  <c r="AL354" i="40"/>
  <c r="AK354" i="40"/>
  <c r="AJ354" i="40"/>
  <c r="AI354" i="40"/>
  <c r="AH354" i="40"/>
  <c r="AG354" i="40"/>
  <c r="AL353" i="40"/>
  <c r="AK353" i="40"/>
  <c r="AJ353" i="40"/>
  <c r="AI353" i="40"/>
  <c r="AH353" i="40"/>
  <c r="AG353" i="40"/>
  <c r="AL352" i="40"/>
  <c r="AK352" i="40"/>
  <c r="AJ352" i="40"/>
  <c r="AI352" i="40"/>
  <c r="AH352" i="40"/>
  <c r="AG352" i="40"/>
  <c r="AL351" i="40"/>
  <c r="AK351" i="40"/>
  <c r="AJ351" i="40"/>
  <c r="AI351" i="40"/>
  <c r="AH351" i="40"/>
  <c r="AG351" i="40"/>
  <c r="AL350" i="40"/>
  <c r="AK350" i="40"/>
  <c r="AJ350" i="40"/>
  <c r="AI350" i="40"/>
  <c r="AH350" i="40"/>
  <c r="AG350" i="40"/>
  <c r="AL349" i="40"/>
  <c r="AK349" i="40"/>
  <c r="AJ349" i="40"/>
  <c r="AI349" i="40"/>
  <c r="AH349" i="40"/>
  <c r="AG349" i="40"/>
  <c r="AL348" i="40"/>
  <c r="AK348" i="40"/>
  <c r="AJ348" i="40"/>
  <c r="AI348" i="40"/>
  <c r="AH348" i="40"/>
  <c r="AG348" i="40"/>
  <c r="AL347" i="40"/>
  <c r="AK347" i="40"/>
  <c r="AJ347" i="40"/>
  <c r="AI347" i="40"/>
  <c r="AH347" i="40"/>
  <c r="AG347" i="40"/>
  <c r="AL346" i="40"/>
  <c r="AK346" i="40"/>
  <c r="AJ346" i="40"/>
  <c r="AI346" i="40"/>
  <c r="AH346" i="40"/>
  <c r="AG346" i="40"/>
  <c r="AL345" i="40"/>
  <c r="AK345" i="40"/>
  <c r="AJ345" i="40"/>
  <c r="AI345" i="40"/>
  <c r="AH345" i="40"/>
  <c r="AG345" i="40"/>
  <c r="AL344" i="40"/>
  <c r="AK344" i="40"/>
  <c r="AJ344" i="40"/>
  <c r="AI344" i="40"/>
  <c r="AH344" i="40"/>
  <c r="AG344" i="40"/>
  <c r="AL343" i="40"/>
  <c r="AK343" i="40"/>
  <c r="AJ343" i="40"/>
  <c r="AI343" i="40"/>
  <c r="AH343" i="40"/>
  <c r="AG343" i="40"/>
  <c r="AL342" i="40"/>
  <c r="AK342" i="40"/>
  <c r="AJ342" i="40"/>
  <c r="AI342" i="40"/>
  <c r="AH342" i="40"/>
  <c r="AG342" i="40"/>
  <c r="AL341" i="40"/>
  <c r="AK341" i="40"/>
  <c r="AJ341" i="40"/>
  <c r="AI341" i="40"/>
  <c r="AH341" i="40"/>
  <c r="AG341" i="40"/>
  <c r="AL340" i="40"/>
  <c r="AK340" i="40"/>
  <c r="AJ340" i="40"/>
  <c r="AI340" i="40"/>
  <c r="AH340" i="40"/>
  <c r="AG340" i="40"/>
  <c r="AL339" i="40"/>
  <c r="AK339" i="40"/>
  <c r="AJ339" i="40"/>
  <c r="AI339" i="40"/>
  <c r="AH339" i="40"/>
  <c r="AG339" i="40"/>
  <c r="AL338" i="40"/>
  <c r="AK338" i="40"/>
  <c r="AJ338" i="40"/>
  <c r="AI338" i="40"/>
  <c r="AH338" i="40"/>
  <c r="AG338" i="40"/>
  <c r="AL337" i="40"/>
  <c r="AK337" i="40"/>
  <c r="AJ337" i="40"/>
  <c r="AI337" i="40"/>
  <c r="AH337" i="40"/>
  <c r="AG337" i="40"/>
  <c r="AL336" i="40"/>
  <c r="AK336" i="40"/>
  <c r="AJ336" i="40"/>
  <c r="AI336" i="40"/>
  <c r="AH336" i="40"/>
  <c r="AG336" i="40"/>
  <c r="AL335" i="40"/>
  <c r="AK335" i="40"/>
  <c r="AJ335" i="40"/>
  <c r="AI335" i="40"/>
  <c r="AH335" i="40"/>
  <c r="AG335" i="40"/>
  <c r="AL334" i="40"/>
  <c r="AK334" i="40"/>
  <c r="AJ334" i="40"/>
  <c r="AI334" i="40"/>
  <c r="AH334" i="40"/>
  <c r="AG334" i="40"/>
  <c r="AL333" i="40"/>
  <c r="AK333" i="40"/>
  <c r="AJ333" i="40"/>
  <c r="AI333" i="40"/>
  <c r="AH333" i="40"/>
  <c r="AG333" i="40"/>
  <c r="AL332" i="40"/>
  <c r="AK332" i="40"/>
  <c r="AJ332" i="40"/>
  <c r="AI332" i="40"/>
  <c r="AH332" i="40"/>
  <c r="AG332" i="40"/>
  <c r="AL331" i="40"/>
  <c r="AK331" i="40"/>
  <c r="AJ331" i="40"/>
  <c r="AI331" i="40"/>
  <c r="AH331" i="40"/>
  <c r="AG331" i="40"/>
  <c r="AL330" i="40"/>
  <c r="AK330" i="40"/>
  <c r="AJ330" i="40"/>
  <c r="AI330" i="40"/>
  <c r="AH330" i="40"/>
  <c r="AG330" i="40"/>
  <c r="AL329" i="40"/>
  <c r="AK329" i="40"/>
  <c r="AJ329" i="40"/>
  <c r="AI329" i="40"/>
  <c r="AH329" i="40"/>
  <c r="AG329" i="40"/>
  <c r="AL328" i="40"/>
  <c r="AK328" i="40"/>
  <c r="AJ328" i="40"/>
  <c r="AI328" i="40"/>
  <c r="AH328" i="40"/>
  <c r="AG328" i="40"/>
  <c r="AL327" i="40"/>
  <c r="AK327" i="40"/>
  <c r="AJ327" i="40"/>
  <c r="AI327" i="40"/>
  <c r="AH327" i="40"/>
  <c r="AG327" i="40"/>
  <c r="AL326" i="40"/>
  <c r="AK326" i="40"/>
  <c r="AJ326" i="40"/>
  <c r="AI326" i="40"/>
  <c r="AH326" i="40"/>
  <c r="AG326" i="40"/>
  <c r="AL325" i="40"/>
  <c r="AK325" i="40"/>
  <c r="AJ325" i="40"/>
  <c r="AI325" i="40"/>
  <c r="AH325" i="40"/>
  <c r="AG325" i="40"/>
  <c r="AL324" i="40"/>
  <c r="AK324" i="40"/>
  <c r="AJ324" i="40"/>
  <c r="AI324" i="40"/>
  <c r="AH324" i="40"/>
  <c r="AG324" i="40"/>
  <c r="AL323" i="40"/>
  <c r="AK323" i="40"/>
  <c r="AJ323" i="40"/>
  <c r="AI323" i="40"/>
  <c r="AH323" i="40"/>
  <c r="AG323" i="40"/>
  <c r="AL322" i="40"/>
  <c r="AK322" i="40"/>
  <c r="AJ322" i="40"/>
  <c r="AI322" i="40"/>
  <c r="AH322" i="40"/>
  <c r="AG322" i="40"/>
  <c r="AL321" i="40"/>
  <c r="AK321" i="40"/>
  <c r="AJ321" i="40"/>
  <c r="AI321" i="40"/>
  <c r="AH321" i="40"/>
  <c r="AG321" i="40"/>
  <c r="AL320" i="40"/>
  <c r="AK320" i="40"/>
  <c r="AJ320" i="40"/>
  <c r="AI320" i="40"/>
  <c r="AH320" i="40"/>
  <c r="AG320" i="40"/>
  <c r="AL319" i="40"/>
  <c r="AK319" i="40"/>
  <c r="AJ319" i="40"/>
  <c r="AI319" i="40"/>
  <c r="AH319" i="40"/>
  <c r="AG319" i="40"/>
  <c r="AL318" i="40"/>
  <c r="AK318" i="40"/>
  <c r="AJ318" i="40"/>
  <c r="AI318" i="40"/>
  <c r="AH318" i="40"/>
  <c r="AG318" i="40"/>
  <c r="AL317" i="40"/>
  <c r="AK317" i="40"/>
  <c r="AJ317" i="40"/>
  <c r="AI317" i="40"/>
  <c r="AH317" i="40"/>
  <c r="AG317" i="40"/>
  <c r="AL316" i="40"/>
  <c r="AK316" i="40"/>
  <c r="AJ316" i="40"/>
  <c r="AI316" i="40"/>
  <c r="AH316" i="40"/>
  <c r="AG316" i="40"/>
  <c r="AL315" i="40"/>
  <c r="AK315" i="40"/>
  <c r="AJ315" i="40"/>
  <c r="AI315" i="40"/>
  <c r="AH315" i="40"/>
  <c r="AG315" i="40"/>
  <c r="AL314" i="40"/>
  <c r="AK314" i="40"/>
  <c r="AJ314" i="40"/>
  <c r="AI314" i="40"/>
  <c r="AH314" i="40"/>
  <c r="AG314" i="40"/>
  <c r="AL313" i="40"/>
  <c r="AK313" i="40"/>
  <c r="AJ313" i="40"/>
  <c r="AI313" i="40"/>
  <c r="AH313" i="40"/>
  <c r="AG313" i="40"/>
  <c r="AL312" i="40"/>
  <c r="AK312" i="40"/>
  <c r="AJ312" i="40"/>
  <c r="AI312" i="40"/>
  <c r="AH312" i="40"/>
  <c r="AG312" i="40"/>
  <c r="AL311" i="40"/>
  <c r="AK311" i="40"/>
  <c r="AJ311" i="40"/>
  <c r="AI311" i="40"/>
  <c r="AH311" i="40"/>
  <c r="AG311" i="40"/>
  <c r="AL310" i="40"/>
  <c r="AK310" i="40"/>
  <c r="AJ310" i="40"/>
  <c r="AI310" i="40"/>
  <c r="AH310" i="40"/>
  <c r="AG310" i="40"/>
  <c r="AL309" i="40"/>
  <c r="AK309" i="40"/>
  <c r="AJ309" i="40"/>
  <c r="AI309" i="40"/>
  <c r="AH309" i="40"/>
  <c r="AG309" i="40"/>
  <c r="AL308" i="40"/>
  <c r="AK308" i="40"/>
  <c r="AJ308" i="40"/>
  <c r="AI308" i="40"/>
  <c r="AH308" i="40"/>
  <c r="AG308" i="40"/>
  <c r="AL307" i="40"/>
  <c r="AK307" i="40"/>
  <c r="AJ307" i="40"/>
  <c r="AI307" i="40"/>
  <c r="AH307" i="40"/>
  <c r="AG307" i="40"/>
  <c r="AL306" i="40"/>
  <c r="AK306" i="40"/>
  <c r="AJ306" i="40"/>
  <c r="AI306" i="40"/>
  <c r="AH306" i="40"/>
  <c r="AG306" i="40"/>
  <c r="AL305" i="40"/>
  <c r="AK305" i="40"/>
  <c r="AJ305" i="40"/>
  <c r="AI305" i="40"/>
  <c r="AH305" i="40"/>
  <c r="AG305" i="40"/>
  <c r="AL304" i="40"/>
  <c r="AK304" i="40"/>
  <c r="AJ304" i="40"/>
  <c r="AI304" i="40"/>
  <c r="AH304" i="40"/>
  <c r="AG304" i="40"/>
  <c r="AL303" i="40"/>
  <c r="AK303" i="40"/>
  <c r="AJ303" i="40"/>
  <c r="AI303" i="40"/>
  <c r="AH303" i="40"/>
  <c r="AG303" i="40"/>
  <c r="AL302" i="40"/>
  <c r="AK302" i="40"/>
  <c r="AJ302" i="40"/>
  <c r="AI302" i="40"/>
  <c r="AH302" i="40"/>
  <c r="AG302" i="40"/>
  <c r="AL301" i="40"/>
  <c r="AK301" i="40"/>
  <c r="AJ301" i="40"/>
  <c r="AI301" i="40"/>
  <c r="AH301" i="40"/>
  <c r="AG301" i="40"/>
  <c r="AL300" i="40"/>
  <c r="AK300" i="40"/>
  <c r="AJ300" i="40"/>
  <c r="AI300" i="40"/>
  <c r="AH300" i="40"/>
  <c r="AG300" i="40"/>
  <c r="AL299" i="40"/>
  <c r="AK299" i="40"/>
  <c r="AJ299" i="40"/>
  <c r="AI299" i="40"/>
  <c r="AH299" i="40"/>
  <c r="AG299" i="40"/>
  <c r="AL298" i="40"/>
  <c r="AK298" i="40"/>
  <c r="AJ298" i="40"/>
  <c r="AI298" i="40"/>
  <c r="AH298" i="40"/>
  <c r="AG298" i="40"/>
  <c r="AL297" i="40"/>
  <c r="AK297" i="40"/>
  <c r="AJ297" i="40"/>
  <c r="AI297" i="40"/>
  <c r="AH297" i="40"/>
  <c r="AG297" i="40"/>
  <c r="AL296" i="40"/>
  <c r="AK296" i="40"/>
  <c r="AJ296" i="40"/>
  <c r="AI296" i="40"/>
  <c r="AH296" i="40"/>
  <c r="AG296" i="40"/>
  <c r="AL295" i="40"/>
  <c r="AK295" i="40"/>
  <c r="AJ295" i="40"/>
  <c r="AI295" i="40"/>
  <c r="AH295" i="40"/>
  <c r="AG295" i="40"/>
  <c r="AL294" i="40"/>
  <c r="AK294" i="40"/>
  <c r="AJ294" i="40"/>
  <c r="AI294" i="40"/>
  <c r="AH294" i="40"/>
  <c r="AG294" i="40"/>
  <c r="AL293" i="40"/>
  <c r="AK293" i="40"/>
  <c r="AJ293" i="40"/>
  <c r="AI293" i="40"/>
  <c r="AH293" i="40"/>
  <c r="AG293" i="40"/>
  <c r="AL292" i="40"/>
  <c r="AK292" i="40"/>
  <c r="AJ292" i="40"/>
  <c r="AI292" i="40"/>
  <c r="AH292" i="40"/>
  <c r="AG292" i="40"/>
  <c r="AL291" i="40"/>
  <c r="AK291" i="40"/>
  <c r="AJ291" i="40"/>
  <c r="AI291" i="40"/>
  <c r="AH291" i="40"/>
  <c r="AG291" i="40"/>
  <c r="AL290" i="40"/>
  <c r="AK290" i="40"/>
  <c r="AJ290" i="40"/>
  <c r="AI290" i="40"/>
  <c r="AH290" i="40"/>
  <c r="AG290" i="40"/>
  <c r="AL289" i="40"/>
  <c r="AK289" i="40"/>
  <c r="AJ289" i="40"/>
  <c r="AI289" i="40"/>
  <c r="AH289" i="40"/>
  <c r="AG289" i="40"/>
  <c r="AL288" i="40"/>
  <c r="AK288" i="40"/>
  <c r="AJ288" i="40"/>
  <c r="AI288" i="40"/>
  <c r="AH288" i="40"/>
  <c r="AG288" i="40"/>
  <c r="AL287" i="40"/>
  <c r="AK287" i="40"/>
  <c r="AJ287" i="40"/>
  <c r="AI287" i="40"/>
  <c r="AH287" i="40"/>
  <c r="AG287" i="40"/>
  <c r="AL286" i="40"/>
  <c r="AK286" i="40"/>
  <c r="AJ286" i="40"/>
  <c r="AI286" i="40"/>
  <c r="AH286" i="40"/>
  <c r="AG286" i="40"/>
  <c r="AL285" i="40"/>
  <c r="AK285" i="40"/>
  <c r="AJ285" i="40"/>
  <c r="AI285" i="40"/>
  <c r="AH285" i="40"/>
  <c r="AG285" i="40"/>
  <c r="AL284" i="40"/>
  <c r="AK284" i="40"/>
  <c r="AJ284" i="40"/>
  <c r="AI284" i="40"/>
  <c r="AH284" i="40"/>
  <c r="AG284" i="40"/>
  <c r="AL283" i="40"/>
  <c r="AK283" i="40"/>
  <c r="AJ283" i="40"/>
  <c r="AI283" i="40"/>
  <c r="AH283" i="40"/>
  <c r="AG283" i="40"/>
  <c r="AL282" i="40"/>
  <c r="AK282" i="40"/>
  <c r="AJ282" i="40"/>
  <c r="AI282" i="40"/>
  <c r="AH282" i="40"/>
  <c r="AG282" i="40"/>
  <c r="AL281" i="40"/>
  <c r="AK281" i="40"/>
  <c r="AJ281" i="40"/>
  <c r="AI281" i="40"/>
  <c r="AH281" i="40"/>
  <c r="AG281" i="40"/>
  <c r="AL280" i="40"/>
  <c r="AK280" i="40"/>
  <c r="AJ280" i="40"/>
  <c r="AI280" i="40"/>
  <c r="AH280" i="40"/>
  <c r="AG280" i="40"/>
  <c r="AL279" i="40"/>
  <c r="AK279" i="40"/>
  <c r="AJ279" i="40"/>
  <c r="AI279" i="40"/>
  <c r="AH279" i="40"/>
  <c r="AG279" i="40"/>
  <c r="AL278" i="40"/>
  <c r="AK278" i="40"/>
  <c r="AJ278" i="40"/>
  <c r="AI278" i="40"/>
  <c r="AH278" i="40"/>
  <c r="AG278" i="40"/>
  <c r="AL277" i="40"/>
  <c r="AK277" i="40"/>
  <c r="AJ277" i="40"/>
  <c r="AI277" i="40"/>
  <c r="AH277" i="40"/>
  <c r="AG277" i="40"/>
  <c r="AL276" i="40"/>
  <c r="AK276" i="40"/>
  <c r="AJ276" i="40"/>
  <c r="AI276" i="40"/>
  <c r="AH276" i="40"/>
  <c r="AG276" i="40"/>
  <c r="AL275" i="40"/>
  <c r="AK275" i="40"/>
  <c r="AJ275" i="40"/>
  <c r="AI275" i="40"/>
  <c r="AH275" i="40"/>
  <c r="AG275" i="40"/>
  <c r="AL274" i="40"/>
  <c r="AK274" i="40"/>
  <c r="AJ274" i="40"/>
  <c r="AI274" i="40"/>
  <c r="AH274" i="40"/>
  <c r="AG274" i="40"/>
  <c r="AL273" i="40"/>
  <c r="AK273" i="40"/>
  <c r="AJ273" i="40"/>
  <c r="AI273" i="40"/>
  <c r="AH273" i="40"/>
  <c r="AG273" i="40"/>
  <c r="AL272" i="40"/>
  <c r="AK272" i="40"/>
  <c r="AJ272" i="40"/>
  <c r="AI272" i="40"/>
  <c r="AH272" i="40"/>
  <c r="AG272" i="40"/>
  <c r="AL271" i="40"/>
  <c r="AK271" i="40"/>
  <c r="AJ271" i="40"/>
  <c r="AI271" i="40"/>
  <c r="AH271" i="40"/>
  <c r="AG271" i="40"/>
  <c r="AL270" i="40"/>
  <c r="AK270" i="40"/>
  <c r="AJ270" i="40"/>
  <c r="AI270" i="40"/>
  <c r="AH270" i="40"/>
  <c r="AG270" i="40"/>
  <c r="AL269" i="40"/>
  <c r="AK269" i="40"/>
  <c r="AJ269" i="40"/>
  <c r="AI269" i="40"/>
  <c r="AH269" i="40"/>
  <c r="AG269" i="40"/>
  <c r="AL268" i="40"/>
  <c r="AK268" i="40"/>
  <c r="AJ268" i="40"/>
  <c r="AI268" i="40"/>
  <c r="AH268" i="40"/>
  <c r="AG268" i="40"/>
  <c r="AL267" i="40"/>
  <c r="AK267" i="40"/>
  <c r="AJ267" i="40"/>
  <c r="AI267" i="40"/>
  <c r="AH267" i="40"/>
  <c r="AG267" i="40"/>
  <c r="AL266" i="40"/>
  <c r="AK266" i="40"/>
  <c r="AJ266" i="40"/>
  <c r="AI266" i="40"/>
  <c r="AH266" i="40"/>
  <c r="AG266" i="40"/>
  <c r="AL265" i="40"/>
  <c r="AK265" i="40"/>
  <c r="AJ265" i="40"/>
  <c r="AI265" i="40"/>
  <c r="AH265" i="40"/>
  <c r="AG265" i="40"/>
  <c r="AL264" i="40"/>
  <c r="AK264" i="40"/>
  <c r="AJ264" i="40"/>
  <c r="AI264" i="40"/>
  <c r="AH264" i="40"/>
  <c r="AG264" i="40"/>
  <c r="AL263" i="40"/>
  <c r="AK263" i="40"/>
  <c r="AJ263" i="40"/>
  <c r="AI263" i="40"/>
  <c r="AH263" i="40"/>
  <c r="AG263" i="40"/>
  <c r="AL262" i="40"/>
  <c r="AK262" i="40"/>
  <c r="AJ262" i="40"/>
  <c r="AI262" i="40"/>
  <c r="AH262" i="40"/>
  <c r="AG262" i="40"/>
  <c r="AL261" i="40"/>
  <c r="AK261" i="40"/>
  <c r="AJ261" i="40"/>
  <c r="AI261" i="40"/>
  <c r="AH261" i="40"/>
  <c r="AG261" i="40"/>
  <c r="AL260" i="40"/>
  <c r="AK260" i="40"/>
  <c r="AJ260" i="40"/>
  <c r="AI260" i="40"/>
  <c r="AH260" i="40"/>
  <c r="AG260" i="40"/>
  <c r="AL259" i="40"/>
  <c r="AK259" i="40"/>
  <c r="AJ259" i="40"/>
  <c r="AI259" i="40"/>
  <c r="AH259" i="40"/>
  <c r="AG259" i="40"/>
  <c r="AL258" i="40"/>
  <c r="AK258" i="40"/>
  <c r="AJ258" i="40"/>
  <c r="AI258" i="40"/>
  <c r="AH258" i="40"/>
  <c r="AG258" i="40"/>
  <c r="AL257" i="40"/>
  <c r="AK257" i="40"/>
  <c r="AJ257" i="40"/>
  <c r="AI257" i="40"/>
  <c r="AH257" i="40"/>
  <c r="AG257" i="40"/>
  <c r="AL256" i="40"/>
  <c r="AK256" i="40"/>
  <c r="AJ256" i="40"/>
  <c r="AI256" i="40"/>
  <c r="AH256" i="40"/>
  <c r="AG256" i="40"/>
  <c r="AL255" i="40"/>
  <c r="AK255" i="40"/>
  <c r="AJ255" i="40"/>
  <c r="AI255" i="40"/>
  <c r="AH255" i="40"/>
  <c r="AG255" i="40"/>
  <c r="AL254" i="40"/>
  <c r="AK254" i="40"/>
  <c r="AJ254" i="40"/>
  <c r="AI254" i="40"/>
  <c r="AH254" i="40"/>
  <c r="AG254" i="40"/>
  <c r="AL253" i="40"/>
  <c r="AK253" i="40"/>
  <c r="AJ253" i="40"/>
  <c r="AI253" i="40"/>
  <c r="AH253" i="40"/>
  <c r="AG253" i="40"/>
  <c r="AL252" i="40"/>
  <c r="AK252" i="40"/>
  <c r="AJ252" i="40"/>
  <c r="AI252" i="40"/>
  <c r="AH252" i="40"/>
  <c r="AG252" i="40"/>
  <c r="AL251" i="40"/>
  <c r="AK251" i="40"/>
  <c r="AJ251" i="40"/>
  <c r="AI251" i="40"/>
  <c r="AH251" i="40"/>
  <c r="AG251" i="40"/>
  <c r="AL250" i="40"/>
  <c r="AK250" i="40"/>
  <c r="AJ250" i="40"/>
  <c r="AI250" i="40"/>
  <c r="AH250" i="40"/>
  <c r="AG250" i="40"/>
  <c r="AL249" i="40"/>
  <c r="AK249" i="40"/>
  <c r="AJ249" i="40"/>
  <c r="AI249" i="40"/>
  <c r="AH249" i="40"/>
  <c r="AG249" i="40"/>
  <c r="AL248" i="40"/>
  <c r="AK248" i="40"/>
  <c r="AJ248" i="40"/>
  <c r="AI248" i="40"/>
  <c r="AH248" i="40"/>
  <c r="AG248" i="40"/>
  <c r="AL247" i="40"/>
  <c r="AK247" i="40"/>
  <c r="AJ247" i="40"/>
  <c r="AI247" i="40"/>
  <c r="AH247" i="40"/>
  <c r="AG247" i="40"/>
  <c r="AL246" i="40"/>
  <c r="AK246" i="40"/>
  <c r="AJ246" i="40"/>
  <c r="AI246" i="40"/>
  <c r="AH246" i="40"/>
  <c r="AG246" i="40"/>
  <c r="AL245" i="40"/>
  <c r="AK245" i="40"/>
  <c r="AJ245" i="40"/>
  <c r="AI245" i="40"/>
  <c r="AH245" i="40"/>
  <c r="AG245" i="40"/>
  <c r="AL244" i="40"/>
  <c r="AK244" i="40"/>
  <c r="AJ244" i="40"/>
  <c r="AI244" i="40"/>
  <c r="AH244" i="40"/>
  <c r="AG244" i="40"/>
  <c r="AL243" i="40"/>
  <c r="AK243" i="40"/>
  <c r="AJ243" i="40"/>
  <c r="AI243" i="40"/>
  <c r="AH243" i="40"/>
  <c r="AG243" i="40"/>
  <c r="AL242" i="40"/>
  <c r="AK242" i="40"/>
  <c r="AJ242" i="40"/>
  <c r="AI242" i="40"/>
  <c r="AH242" i="40"/>
  <c r="AG242" i="40"/>
  <c r="AL241" i="40"/>
  <c r="AK241" i="40"/>
  <c r="AJ241" i="40"/>
  <c r="AI241" i="40"/>
  <c r="AH241" i="40"/>
  <c r="AG241" i="40"/>
  <c r="AL240" i="40"/>
  <c r="AK240" i="40"/>
  <c r="AJ240" i="40"/>
  <c r="AI240" i="40"/>
  <c r="AH240" i="40"/>
  <c r="AG240" i="40"/>
  <c r="AL239" i="40"/>
  <c r="AK239" i="40"/>
  <c r="AJ239" i="40"/>
  <c r="AI239" i="40"/>
  <c r="AH239" i="40"/>
  <c r="AG239" i="40"/>
  <c r="AL238" i="40"/>
  <c r="AK238" i="40"/>
  <c r="AJ238" i="40"/>
  <c r="AI238" i="40"/>
  <c r="AH238" i="40"/>
  <c r="AG238" i="40"/>
  <c r="AL237" i="40"/>
  <c r="AK237" i="40"/>
  <c r="AJ237" i="40"/>
  <c r="AI237" i="40"/>
  <c r="AH237" i="40"/>
  <c r="AG237" i="40"/>
  <c r="AL236" i="40"/>
  <c r="AK236" i="40"/>
  <c r="AJ236" i="40"/>
  <c r="AI236" i="40"/>
  <c r="AH236" i="40"/>
  <c r="AG236" i="40"/>
  <c r="AL235" i="40"/>
  <c r="AK235" i="40"/>
  <c r="AJ235" i="40"/>
  <c r="AI235" i="40"/>
  <c r="AH235" i="40"/>
  <c r="AG235" i="40"/>
  <c r="AL234" i="40"/>
  <c r="AK234" i="40"/>
  <c r="AJ234" i="40"/>
  <c r="AI234" i="40"/>
  <c r="AH234" i="40"/>
  <c r="AG234" i="40"/>
  <c r="AL233" i="40"/>
  <c r="AK233" i="40"/>
  <c r="AJ233" i="40"/>
  <c r="AI233" i="40"/>
  <c r="AH233" i="40"/>
  <c r="AG233" i="40"/>
  <c r="AL232" i="40"/>
  <c r="AK232" i="40"/>
  <c r="AJ232" i="40"/>
  <c r="AI232" i="40"/>
  <c r="AH232" i="40"/>
  <c r="AG232" i="40"/>
  <c r="AL231" i="40"/>
  <c r="AK231" i="40"/>
  <c r="AJ231" i="40"/>
  <c r="AI231" i="40"/>
  <c r="AH231" i="40"/>
  <c r="AG231" i="40"/>
  <c r="AL230" i="40"/>
  <c r="AK230" i="40"/>
  <c r="AJ230" i="40"/>
  <c r="AI230" i="40"/>
  <c r="AH230" i="40"/>
  <c r="AG230" i="40"/>
  <c r="AL229" i="40"/>
  <c r="AK229" i="40"/>
  <c r="AJ229" i="40"/>
  <c r="AI229" i="40"/>
  <c r="AH229" i="40"/>
  <c r="AG229" i="40"/>
  <c r="AL228" i="40"/>
  <c r="AK228" i="40"/>
  <c r="AJ228" i="40"/>
  <c r="AI228" i="40"/>
  <c r="AH228" i="40"/>
  <c r="AG228" i="40"/>
  <c r="AL227" i="40"/>
  <c r="AK227" i="40"/>
  <c r="AJ227" i="40"/>
  <c r="AI227" i="40"/>
  <c r="AH227" i="40"/>
  <c r="AG227" i="40"/>
  <c r="AL226" i="40"/>
  <c r="AK226" i="40"/>
  <c r="AJ226" i="40"/>
  <c r="AI226" i="40"/>
  <c r="AH226" i="40"/>
  <c r="AG226" i="40"/>
  <c r="AL225" i="40"/>
  <c r="AK225" i="40"/>
  <c r="AJ225" i="40"/>
  <c r="AI225" i="40"/>
  <c r="AH225" i="40"/>
  <c r="AG225" i="40"/>
  <c r="AL224" i="40"/>
  <c r="AK224" i="40"/>
  <c r="AJ224" i="40"/>
  <c r="AI224" i="40"/>
  <c r="AH224" i="40"/>
  <c r="AG224" i="40"/>
  <c r="AL223" i="40"/>
  <c r="AK223" i="40"/>
  <c r="AJ223" i="40"/>
  <c r="AI223" i="40"/>
  <c r="AH223" i="40"/>
  <c r="AG223" i="40"/>
  <c r="AL222" i="40"/>
  <c r="AK222" i="40"/>
  <c r="AJ222" i="40"/>
  <c r="AI222" i="40"/>
  <c r="AH222" i="40"/>
  <c r="AG222" i="40"/>
  <c r="AL221" i="40"/>
  <c r="AK221" i="40"/>
  <c r="AJ221" i="40"/>
  <c r="AI221" i="40"/>
  <c r="AH221" i="40"/>
  <c r="AG221" i="40"/>
  <c r="AL220" i="40"/>
  <c r="AK220" i="40"/>
  <c r="AJ220" i="40"/>
  <c r="AI220" i="40"/>
  <c r="AH220" i="40"/>
  <c r="AG220" i="40"/>
  <c r="AL219" i="40"/>
  <c r="AK219" i="40"/>
  <c r="AJ219" i="40"/>
  <c r="AI219" i="40"/>
  <c r="AH219" i="40"/>
  <c r="AG219" i="40"/>
  <c r="AL218" i="40"/>
  <c r="AK218" i="40"/>
  <c r="AJ218" i="40"/>
  <c r="AI218" i="40"/>
  <c r="AH218" i="40"/>
  <c r="AG218" i="40"/>
  <c r="AL217" i="40"/>
  <c r="AK217" i="40"/>
  <c r="AJ217" i="40"/>
  <c r="AI217" i="40"/>
  <c r="AH217" i="40"/>
  <c r="AG217" i="40"/>
  <c r="AL216" i="40"/>
  <c r="AK216" i="40"/>
  <c r="AJ216" i="40"/>
  <c r="AI216" i="40"/>
  <c r="AH216" i="40"/>
  <c r="AG216" i="40"/>
  <c r="AL215" i="40"/>
  <c r="AK215" i="40"/>
  <c r="AJ215" i="40"/>
  <c r="AI215" i="40"/>
  <c r="AH215" i="40"/>
  <c r="AG215" i="40"/>
  <c r="AL214" i="40"/>
  <c r="AK214" i="40"/>
  <c r="AJ214" i="40"/>
  <c r="AI214" i="40"/>
  <c r="AH214" i="40"/>
  <c r="AG214" i="40"/>
  <c r="AL213" i="40"/>
  <c r="AK213" i="40"/>
  <c r="AJ213" i="40"/>
  <c r="AI213" i="40"/>
  <c r="AH213" i="40"/>
  <c r="AG213" i="40"/>
  <c r="AL212" i="40"/>
  <c r="AK212" i="40"/>
  <c r="AJ212" i="40"/>
  <c r="AI212" i="40"/>
  <c r="AH212" i="40"/>
  <c r="AG212" i="40"/>
  <c r="AL211" i="40"/>
  <c r="AK211" i="40"/>
  <c r="AJ211" i="40"/>
  <c r="AI211" i="40"/>
  <c r="AH211" i="40"/>
  <c r="AG211" i="40"/>
  <c r="AL210" i="40"/>
  <c r="AK210" i="40"/>
  <c r="AJ210" i="40"/>
  <c r="AI210" i="40"/>
  <c r="AH210" i="40"/>
  <c r="AG210" i="40"/>
  <c r="AL209" i="40"/>
  <c r="AK209" i="40"/>
  <c r="AJ209" i="40"/>
  <c r="AI209" i="40"/>
  <c r="AH209" i="40"/>
  <c r="AG209" i="40"/>
  <c r="AL208" i="40"/>
  <c r="AK208" i="40"/>
  <c r="AJ208" i="40"/>
  <c r="AI208" i="40"/>
  <c r="AH208" i="40"/>
  <c r="AG208" i="40"/>
  <c r="AL207" i="40"/>
  <c r="AK207" i="40"/>
  <c r="AJ207" i="40"/>
  <c r="AI207" i="40"/>
  <c r="AH207" i="40"/>
  <c r="AG207" i="40"/>
  <c r="AL206" i="40"/>
  <c r="AK206" i="40"/>
  <c r="AJ206" i="40"/>
  <c r="AI206" i="40"/>
  <c r="AH206" i="40"/>
  <c r="AG206" i="40"/>
  <c r="AL205" i="40"/>
  <c r="AK205" i="40"/>
  <c r="AJ205" i="40"/>
  <c r="AI205" i="40"/>
  <c r="AH205" i="40"/>
  <c r="AG205" i="40"/>
  <c r="AL204" i="40"/>
  <c r="AK204" i="40"/>
  <c r="AJ204" i="40"/>
  <c r="AI204" i="40"/>
  <c r="AH204" i="40"/>
  <c r="AG204" i="40"/>
  <c r="AL203" i="40"/>
  <c r="AK203" i="40"/>
  <c r="AJ203" i="40"/>
  <c r="AI203" i="40"/>
  <c r="AH203" i="40"/>
  <c r="AG203" i="40"/>
  <c r="AL202" i="40"/>
  <c r="AK202" i="40"/>
  <c r="AJ202" i="40"/>
  <c r="AI202" i="40"/>
  <c r="AH202" i="40"/>
  <c r="AG202" i="40"/>
  <c r="AL201" i="40"/>
  <c r="AK201" i="40"/>
  <c r="AJ201" i="40"/>
  <c r="AI201" i="40"/>
  <c r="AH201" i="40"/>
  <c r="AG201" i="40"/>
  <c r="AL200" i="40"/>
  <c r="AK200" i="40"/>
  <c r="AJ200" i="40"/>
  <c r="AI200" i="40"/>
  <c r="AH200" i="40"/>
  <c r="AG200" i="40"/>
  <c r="AL199" i="40"/>
  <c r="AK199" i="40"/>
  <c r="AJ199" i="40"/>
  <c r="AI199" i="40"/>
  <c r="AH199" i="40"/>
  <c r="AG199" i="40"/>
  <c r="AL198" i="40"/>
  <c r="AK198" i="40"/>
  <c r="AJ198" i="40"/>
  <c r="AI198" i="40"/>
  <c r="AH198" i="40"/>
  <c r="AG198" i="40"/>
  <c r="AL197" i="40"/>
  <c r="AK197" i="40"/>
  <c r="AJ197" i="40"/>
  <c r="AI197" i="40"/>
  <c r="AH197" i="40"/>
  <c r="AG197" i="40"/>
  <c r="AL196" i="40"/>
  <c r="AK196" i="40"/>
  <c r="AJ196" i="40"/>
  <c r="AI196" i="40"/>
  <c r="AH196" i="40"/>
  <c r="AG196" i="40"/>
  <c r="AL195" i="40"/>
  <c r="AK195" i="40"/>
  <c r="AJ195" i="40"/>
  <c r="AI195" i="40"/>
  <c r="AH195" i="40"/>
  <c r="AG195" i="40"/>
  <c r="AL194" i="40"/>
  <c r="AK194" i="40"/>
  <c r="AJ194" i="40"/>
  <c r="AI194" i="40"/>
  <c r="AH194" i="40"/>
  <c r="AG194" i="40"/>
  <c r="AL193" i="40"/>
  <c r="AK193" i="40"/>
  <c r="AJ193" i="40"/>
  <c r="AI193" i="40"/>
  <c r="AH193" i="40"/>
  <c r="AG193" i="40"/>
  <c r="AL192" i="40"/>
  <c r="AK192" i="40"/>
  <c r="AJ192" i="40"/>
  <c r="AI192" i="40"/>
  <c r="AH192" i="40"/>
  <c r="AG192" i="40"/>
  <c r="AL191" i="40"/>
  <c r="AK191" i="40"/>
  <c r="AJ191" i="40"/>
  <c r="AI191" i="40"/>
  <c r="AH191" i="40"/>
  <c r="AG191" i="40"/>
  <c r="AL190" i="40"/>
  <c r="AK190" i="40"/>
  <c r="AJ190" i="40"/>
  <c r="AI190" i="40"/>
  <c r="AH190" i="40"/>
  <c r="AG190" i="40"/>
  <c r="AL189" i="40"/>
  <c r="AK189" i="40"/>
  <c r="AJ189" i="40"/>
  <c r="AI189" i="40"/>
  <c r="AH189" i="40"/>
  <c r="AG189" i="40"/>
  <c r="AL188" i="40"/>
  <c r="AK188" i="40"/>
  <c r="AJ188" i="40"/>
  <c r="AI188" i="40"/>
  <c r="AH188" i="40"/>
  <c r="AG188" i="40"/>
  <c r="AL187" i="40"/>
  <c r="AK187" i="40"/>
  <c r="AJ187" i="40"/>
  <c r="AI187" i="40"/>
  <c r="AH187" i="40"/>
  <c r="AG187" i="40"/>
  <c r="AL186" i="40"/>
  <c r="AK186" i="40"/>
  <c r="AJ186" i="40"/>
  <c r="AI186" i="40"/>
  <c r="AH186" i="40"/>
  <c r="AG186" i="40"/>
  <c r="AL185" i="40"/>
  <c r="AK185" i="40"/>
  <c r="AJ185" i="40"/>
  <c r="AI185" i="40"/>
  <c r="AH185" i="40"/>
  <c r="AG185" i="40"/>
  <c r="AL184" i="40"/>
  <c r="AK184" i="40"/>
  <c r="AJ184" i="40"/>
  <c r="AI184" i="40"/>
  <c r="AH184" i="40"/>
  <c r="AG184" i="40"/>
  <c r="AL183" i="40"/>
  <c r="AK183" i="40"/>
  <c r="AJ183" i="40"/>
  <c r="AI183" i="40"/>
  <c r="AH183" i="40"/>
  <c r="AG183" i="40"/>
  <c r="AL182" i="40"/>
  <c r="AK182" i="40"/>
  <c r="AJ182" i="40"/>
  <c r="AI182" i="40"/>
  <c r="AH182" i="40"/>
  <c r="AG182" i="40"/>
  <c r="AL181" i="40"/>
  <c r="AK181" i="40"/>
  <c r="AJ181" i="40"/>
  <c r="AI181" i="40"/>
  <c r="AH181" i="40"/>
  <c r="AG181" i="40"/>
  <c r="AL180" i="40"/>
  <c r="AK180" i="40"/>
  <c r="AJ180" i="40"/>
  <c r="AI180" i="40"/>
  <c r="AH180" i="40"/>
  <c r="AG180" i="40"/>
  <c r="AL179" i="40"/>
  <c r="AK179" i="40"/>
  <c r="AJ179" i="40"/>
  <c r="AI179" i="40"/>
  <c r="AH179" i="40"/>
  <c r="AG179" i="40"/>
  <c r="AL178" i="40"/>
  <c r="AK178" i="40"/>
  <c r="AJ178" i="40"/>
  <c r="AI178" i="40"/>
  <c r="AH178" i="40"/>
  <c r="AG178" i="40"/>
  <c r="AL177" i="40"/>
  <c r="AK177" i="40"/>
  <c r="AJ177" i="40"/>
  <c r="AI177" i="40"/>
  <c r="AH177" i="40"/>
  <c r="AG177" i="40"/>
  <c r="AL176" i="40"/>
  <c r="AK176" i="40"/>
  <c r="AJ176" i="40"/>
  <c r="AI176" i="40"/>
  <c r="AH176" i="40"/>
  <c r="AG176" i="40"/>
  <c r="AL175" i="40"/>
  <c r="AK175" i="40"/>
  <c r="AJ175" i="40"/>
  <c r="AI175" i="40"/>
  <c r="AH175" i="40"/>
  <c r="AG175" i="40"/>
  <c r="AL174" i="40"/>
  <c r="AK174" i="40"/>
  <c r="AJ174" i="40"/>
  <c r="AI174" i="40"/>
  <c r="AH174" i="40"/>
  <c r="AG174" i="40"/>
  <c r="AL173" i="40"/>
  <c r="AK173" i="40"/>
  <c r="AJ173" i="40"/>
  <c r="AI173" i="40"/>
  <c r="AH173" i="40"/>
  <c r="AG173" i="40"/>
  <c r="AL172" i="40"/>
  <c r="AK172" i="40"/>
  <c r="AJ172" i="40"/>
  <c r="AI172" i="40"/>
  <c r="AH172" i="40"/>
  <c r="AG172" i="40"/>
  <c r="AL171" i="40"/>
  <c r="AK171" i="40"/>
  <c r="AJ171" i="40"/>
  <c r="AI171" i="40"/>
  <c r="AH171" i="40"/>
  <c r="AG171" i="40"/>
  <c r="AL170" i="40"/>
  <c r="AK170" i="40"/>
  <c r="AJ170" i="40"/>
  <c r="AI170" i="40"/>
  <c r="AH170" i="40"/>
  <c r="AG170" i="40"/>
  <c r="AL169" i="40"/>
  <c r="AK169" i="40"/>
  <c r="AJ169" i="40"/>
  <c r="AI169" i="40"/>
  <c r="AH169" i="40"/>
  <c r="AG169" i="40"/>
  <c r="AL168" i="40"/>
  <c r="AK168" i="40"/>
  <c r="AJ168" i="40"/>
  <c r="AI168" i="40"/>
  <c r="AH168" i="40"/>
  <c r="AG168" i="40"/>
  <c r="AL167" i="40"/>
  <c r="AK167" i="40"/>
  <c r="AJ167" i="40"/>
  <c r="AI167" i="40"/>
  <c r="AH167" i="40"/>
  <c r="AG167" i="40"/>
  <c r="AL166" i="40"/>
  <c r="AK166" i="40"/>
  <c r="AJ166" i="40"/>
  <c r="AI166" i="40"/>
  <c r="AH166" i="40"/>
  <c r="AG166" i="40"/>
  <c r="AL165" i="40"/>
  <c r="AK165" i="40"/>
  <c r="AJ165" i="40"/>
  <c r="AI165" i="40"/>
  <c r="AH165" i="40"/>
  <c r="AG165" i="40"/>
  <c r="AL164" i="40"/>
  <c r="AK164" i="40"/>
  <c r="AJ164" i="40"/>
  <c r="AI164" i="40"/>
  <c r="AH164" i="40"/>
  <c r="AG164" i="40"/>
  <c r="AL163" i="40"/>
  <c r="AK163" i="40"/>
  <c r="AJ163" i="40"/>
  <c r="AI163" i="40"/>
  <c r="AH163" i="40"/>
  <c r="AG163" i="40"/>
  <c r="AL162" i="40"/>
  <c r="AK162" i="40"/>
  <c r="AJ162" i="40"/>
  <c r="AI162" i="40"/>
  <c r="AH162" i="40"/>
  <c r="AG162" i="40"/>
  <c r="AL161" i="40"/>
  <c r="AK161" i="40"/>
  <c r="AJ161" i="40"/>
  <c r="AI161" i="40"/>
  <c r="AH161" i="40"/>
  <c r="AG161" i="40"/>
  <c r="AL160" i="40"/>
  <c r="AK160" i="40"/>
  <c r="AJ160" i="40"/>
  <c r="AI160" i="40"/>
  <c r="AH160" i="40"/>
  <c r="AG160" i="40"/>
  <c r="AL159" i="40"/>
  <c r="AK159" i="40"/>
  <c r="AJ159" i="40"/>
  <c r="AI159" i="40"/>
  <c r="AH159" i="40"/>
  <c r="AG159" i="40"/>
  <c r="AL158" i="40"/>
  <c r="AK158" i="40"/>
  <c r="AJ158" i="40"/>
  <c r="AI158" i="40"/>
  <c r="AH158" i="40"/>
  <c r="AG158" i="40"/>
  <c r="AL157" i="40"/>
  <c r="AK157" i="40"/>
  <c r="AJ157" i="40"/>
  <c r="AI157" i="40"/>
  <c r="AH157" i="40"/>
  <c r="AG157" i="40"/>
  <c r="AL156" i="40"/>
  <c r="AK156" i="40"/>
  <c r="AJ156" i="40"/>
  <c r="AI156" i="40"/>
  <c r="AH156" i="40"/>
  <c r="AG156" i="40"/>
  <c r="AL155" i="40"/>
  <c r="AK155" i="40"/>
  <c r="AJ155" i="40"/>
  <c r="AI155" i="40"/>
  <c r="AH155" i="40"/>
  <c r="AG155" i="40"/>
  <c r="AL154" i="40"/>
  <c r="AK154" i="40"/>
  <c r="AJ154" i="40"/>
  <c r="AI154" i="40"/>
  <c r="AH154" i="40"/>
  <c r="AG154" i="40"/>
  <c r="AL153" i="40"/>
  <c r="AK153" i="40"/>
  <c r="AJ153" i="40"/>
  <c r="AI153" i="40"/>
  <c r="AH153" i="40"/>
  <c r="AG153" i="40"/>
  <c r="AL152" i="40"/>
  <c r="AK152" i="40"/>
  <c r="AJ152" i="40"/>
  <c r="AI152" i="40"/>
  <c r="AH152" i="40"/>
  <c r="AG152" i="40"/>
  <c r="AL151" i="40"/>
  <c r="AK151" i="40"/>
  <c r="AJ151" i="40"/>
  <c r="AI151" i="40"/>
  <c r="AH151" i="40"/>
  <c r="AG151" i="40"/>
  <c r="AL150" i="40"/>
  <c r="AK150" i="40"/>
  <c r="AJ150" i="40"/>
  <c r="AI150" i="40"/>
  <c r="AH150" i="40"/>
  <c r="AG150" i="40"/>
  <c r="AL149" i="40"/>
  <c r="AK149" i="40"/>
  <c r="AJ149" i="40"/>
  <c r="AI149" i="40"/>
  <c r="AH149" i="40"/>
  <c r="AG149" i="40"/>
  <c r="AL148" i="40"/>
  <c r="AK148" i="40"/>
  <c r="AJ148" i="40"/>
  <c r="AI148" i="40"/>
  <c r="AH148" i="40"/>
  <c r="AG148" i="40"/>
  <c r="AL147" i="40"/>
  <c r="AK147" i="40"/>
  <c r="AJ147" i="40"/>
  <c r="AI147" i="40"/>
  <c r="AH147" i="40"/>
  <c r="AG147" i="40"/>
  <c r="AL146" i="40"/>
  <c r="AK146" i="40"/>
  <c r="AJ146" i="40"/>
  <c r="AI146" i="40"/>
  <c r="AH146" i="40"/>
  <c r="AG146" i="40"/>
  <c r="AL145" i="40"/>
  <c r="AK145" i="40"/>
  <c r="AJ145" i="40"/>
  <c r="AI145" i="40"/>
  <c r="AH145" i="40"/>
  <c r="AG145" i="40"/>
  <c r="AL144" i="40"/>
  <c r="AK144" i="40"/>
  <c r="AJ144" i="40"/>
  <c r="AI144" i="40"/>
  <c r="AH144" i="40"/>
  <c r="AG144" i="40"/>
  <c r="AL143" i="40"/>
  <c r="AK143" i="40"/>
  <c r="AJ143" i="40"/>
  <c r="AI143" i="40"/>
  <c r="AH143" i="40"/>
  <c r="AG143" i="40"/>
  <c r="AL142" i="40"/>
  <c r="AK142" i="40"/>
  <c r="AJ142" i="40"/>
  <c r="AI142" i="40"/>
  <c r="AH142" i="40"/>
  <c r="AG142" i="40"/>
  <c r="AL141" i="40"/>
  <c r="AK141" i="40"/>
  <c r="AJ141" i="40"/>
  <c r="AI141" i="40"/>
  <c r="AH141" i="40"/>
  <c r="AG141" i="40"/>
  <c r="AL140" i="40"/>
  <c r="AK140" i="40"/>
  <c r="AJ140" i="40"/>
  <c r="AI140" i="40"/>
  <c r="AH140" i="40"/>
  <c r="AG140" i="40"/>
  <c r="AL139" i="40"/>
  <c r="AK139" i="40"/>
  <c r="AJ139" i="40"/>
  <c r="AI139" i="40"/>
  <c r="AH139" i="40"/>
  <c r="AG139" i="40"/>
  <c r="AL138" i="40"/>
  <c r="AK138" i="40"/>
  <c r="AJ138" i="40"/>
  <c r="AI138" i="40"/>
  <c r="AH138" i="40"/>
  <c r="AG138" i="40"/>
  <c r="AL137" i="40"/>
  <c r="AK137" i="40"/>
  <c r="AJ137" i="40"/>
  <c r="AI137" i="40"/>
  <c r="AH137" i="40"/>
  <c r="AG137" i="40"/>
  <c r="AL136" i="40"/>
  <c r="AK136" i="40"/>
  <c r="AJ136" i="40"/>
  <c r="AI136" i="40"/>
  <c r="AH136" i="40"/>
  <c r="AG136" i="40"/>
  <c r="AL135" i="40"/>
  <c r="AK135" i="40"/>
  <c r="AJ135" i="40"/>
  <c r="AI135" i="40"/>
  <c r="AH135" i="40"/>
  <c r="AG135" i="40"/>
  <c r="AL134" i="40"/>
  <c r="AK134" i="40"/>
  <c r="AJ134" i="40"/>
  <c r="AI134" i="40"/>
  <c r="AH134" i="40"/>
  <c r="AG134" i="40"/>
  <c r="AL133" i="40"/>
  <c r="AK133" i="40"/>
  <c r="AJ133" i="40"/>
  <c r="AI133" i="40"/>
  <c r="AH133" i="40"/>
  <c r="AG133" i="40"/>
  <c r="AL132" i="40"/>
  <c r="AK132" i="40"/>
  <c r="AJ132" i="40"/>
  <c r="AI132" i="40"/>
  <c r="AH132" i="40"/>
  <c r="AG132" i="40"/>
  <c r="AL131" i="40"/>
  <c r="AK131" i="40"/>
  <c r="AJ131" i="40"/>
  <c r="AI131" i="40"/>
  <c r="AH131" i="40"/>
  <c r="AG131" i="40"/>
  <c r="AL130" i="40"/>
  <c r="AK130" i="40"/>
  <c r="AJ130" i="40"/>
  <c r="AI130" i="40"/>
  <c r="AH130" i="40"/>
  <c r="AG130" i="40"/>
  <c r="AL129" i="40"/>
  <c r="AK129" i="40"/>
  <c r="AJ129" i="40"/>
  <c r="AI129" i="40"/>
  <c r="AH129" i="40"/>
  <c r="AG129" i="40"/>
  <c r="AL128" i="40"/>
  <c r="AK128" i="40"/>
  <c r="AJ128" i="40"/>
  <c r="AI128" i="40"/>
  <c r="AH128" i="40"/>
  <c r="AG128" i="40"/>
  <c r="AL127" i="40"/>
  <c r="AK127" i="40"/>
  <c r="AJ127" i="40"/>
  <c r="AI127" i="40"/>
  <c r="AH127" i="40"/>
  <c r="AG127" i="40"/>
  <c r="AL126" i="40"/>
  <c r="AK126" i="40"/>
  <c r="AJ126" i="40"/>
  <c r="AI126" i="40"/>
  <c r="AH126" i="40"/>
  <c r="AG126" i="40"/>
  <c r="AL125" i="40"/>
  <c r="AK125" i="40"/>
  <c r="AJ125" i="40"/>
  <c r="AI125" i="40"/>
  <c r="AH125" i="40"/>
  <c r="AG125" i="40"/>
  <c r="AL124" i="40"/>
  <c r="AK124" i="40"/>
  <c r="AJ124" i="40"/>
  <c r="AI124" i="40"/>
  <c r="AH124" i="40"/>
  <c r="AG124" i="40"/>
  <c r="AL123" i="40"/>
  <c r="AK123" i="40"/>
  <c r="AJ123" i="40"/>
  <c r="AI123" i="40"/>
  <c r="AH123" i="40"/>
  <c r="AG123" i="40"/>
  <c r="AL122" i="40"/>
  <c r="AK122" i="40"/>
  <c r="AJ122" i="40"/>
  <c r="AI122" i="40"/>
  <c r="AH122" i="40"/>
  <c r="AG122" i="40"/>
  <c r="AL121" i="40"/>
  <c r="AK121" i="40"/>
  <c r="AJ121" i="40"/>
  <c r="AI121" i="40"/>
  <c r="AH121" i="40"/>
  <c r="AG121" i="40"/>
  <c r="AL120" i="40"/>
  <c r="AK120" i="40"/>
  <c r="AJ120" i="40"/>
  <c r="AI120" i="40"/>
  <c r="AH120" i="40"/>
  <c r="AG120" i="40"/>
  <c r="AL119" i="40"/>
  <c r="AK119" i="40"/>
  <c r="AJ119" i="40"/>
  <c r="AI119" i="40"/>
  <c r="AH119" i="40"/>
  <c r="AG119" i="40"/>
  <c r="AL118" i="40"/>
  <c r="AK118" i="40"/>
  <c r="AJ118" i="40"/>
  <c r="AI118" i="40"/>
  <c r="AH118" i="40"/>
  <c r="AG118" i="40"/>
  <c r="AL117" i="40"/>
  <c r="AK117" i="40"/>
  <c r="AJ117" i="40"/>
  <c r="AI117" i="40"/>
  <c r="AH117" i="40"/>
  <c r="AG117" i="40"/>
  <c r="AL116" i="40"/>
  <c r="AK116" i="40"/>
  <c r="AJ116" i="40"/>
  <c r="AI116" i="40"/>
  <c r="AH116" i="40"/>
  <c r="AG116" i="40"/>
  <c r="AL115" i="40"/>
  <c r="AK115" i="40"/>
  <c r="AJ115" i="40"/>
  <c r="AI115" i="40"/>
  <c r="AH115" i="40"/>
  <c r="AG115" i="40"/>
  <c r="AL114" i="40"/>
  <c r="AK114" i="40"/>
  <c r="AJ114" i="40"/>
  <c r="AI114" i="40"/>
  <c r="AH114" i="40"/>
  <c r="AG114" i="40"/>
  <c r="AL113" i="40"/>
  <c r="AK113" i="40"/>
  <c r="AJ113" i="40"/>
  <c r="AI113" i="40"/>
  <c r="AH113" i="40"/>
  <c r="AG113" i="40"/>
  <c r="AL112" i="40"/>
  <c r="AK112" i="40"/>
  <c r="AJ112" i="40"/>
  <c r="AI112" i="40"/>
  <c r="AH112" i="40"/>
  <c r="AG112" i="40"/>
  <c r="AL111" i="40"/>
  <c r="AK111" i="40"/>
  <c r="AJ111" i="40"/>
  <c r="AI111" i="40"/>
  <c r="AH111" i="40"/>
  <c r="AG111" i="40"/>
  <c r="AL110" i="40"/>
  <c r="AK110" i="40"/>
  <c r="AJ110" i="40"/>
  <c r="AI110" i="40"/>
  <c r="AH110" i="40"/>
  <c r="AG110" i="40"/>
  <c r="AL109" i="40"/>
  <c r="AK109" i="40"/>
  <c r="AJ109" i="40"/>
  <c r="AI109" i="40"/>
  <c r="AH109" i="40"/>
  <c r="AG109" i="40"/>
  <c r="AL108" i="40"/>
  <c r="AK108" i="40"/>
  <c r="AJ108" i="40"/>
  <c r="AI108" i="40"/>
  <c r="AH108" i="40"/>
  <c r="AG108" i="40"/>
  <c r="AL107" i="40"/>
  <c r="AK107" i="40"/>
  <c r="AJ107" i="40"/>
  <c r="AI107" i="40"/>
  <c r="AH107" i="40"/>
  <c r="AG107" i="40"/>
  <c r="AL106" i="40"/>
  <c r="AK106" i="40"/>
  <c r="AJ106" i="40"/>
  <c r="AI106" i="40"/>
  <c r="AH106" i="40"/>
  <c r="AG106" i="40"/>
  <c r="AL105" i="40"/>
  <c r="AK105" i="40"/>
  <c r="AJ105" i="40"/>
  <c r="AI105" i="40"/>
  <c r="AH105" i="40"/>
  <c r="AG105" i="40"/>
  <c r="AL104" i="40"/>
  <c r="AK104" i="40"/>
  <c r="AJ104" i="40"/>
  <c r="AI104" i="40"/>
  <c r="AH104" i="40"/>
  <c r="AG104" i="40"/>
  <c r="AL103" i="40"/>
  <c r="AK103" i="40"/>
  <c r="AJ103" i="40"/>
  <c r="AI103" i="40"/>
  <c r="AH103" i="40"/>
  <c r="AG103" i="40"/>
  <c r="AL102" i="40"/>
  <c r="AK102" i="40"/>
  <c r="AJ102" i="40"/>
  <c r="AI102" i="40"/>
  <c r="AH102" i="40"/>
  <c r="AG102" i="40"/>
  <c r="AL101" i="40"/>
  <c r="AK101" i="40"/>
  <c r="AJ101" i="40"/>
  <c r="AI101" i="40"/>
  <c r="AH101" i="40"/>
  <c r="AG101" i="40"/>
  <c r="AL100" i="40"/>
  <c r="AK100" i="40"/>
  <c r="AJ100" i="40"/>
  <c r="AI100" i="40"/>
  <c r="AH100" i="40"/>
  <c r="AG100" i="40"/>
  <c r="AL99" i="40"/>
  <c r="AK99" i="40"/>
  <c r="AJ99" i="40"/>
  <c r="AI99" i="40"/>
  <c r="AH99" i="40"/>
  <c r="AG99" i="40"/>
  <c r="AL98" i="40"/>
  <c r="AK98" i="40"/>
  <c r="AJ98" i="40"/>
  <c r="AI98" i="40"/>
  <c r="AH98" i="40"/>
  <c r="AG98" i="40"/>
  <c r="AL97" i="40"/>
  <c r="AK97" i="40"/>
  <c r="AJ97" i="40"/>
  <c r="AI97" i="40"/>
  <c r="AH97" i="40"/>
  <c r="AG97" i="40"/>
  <c r="AL96" i="40"/>
  <c r="AK96" i="40"/>
  <c r="AJ96" i="40"/>
  <c r="AI96" i="40"/>
  <c r="AH96" i="40"/>
  <c r="AG96" i="40"/>
  <c r="AL95" i="40"/>
  <c r="AK95" i="40"/>
  <c r="AJ95" i="40"/>
  <c r="AI95" i="40"/>
  <c r="AH95" i="40"/>
  <c r="AG95" i="40"/>
  <c r="AL94" i="40"/>
  <c r="AK94" i="40"/>
  <c r="AJ94" i="40"/>
  <c r="AI94" i="40"/>
  <c r="AH94" i="40"/>
  <c r="AG94" i="40"/>
  <c r="AL93" i="40"/>
  <c r="AK93" i="40"/>
  <c r="AJ93" i="40"/>
  <c r="AI93" i="40"/>
  <c r="AH93" i="40"/>
  <c r="AG93" i="40"/>
  <c r="AL92" i="40"/>
  <c r="AK92" i="40"/>
  <c r="AJ92" i="40"/>
  <c r="AI92" i="40"/>
  <c r="AH92" i="40"/>
  <c r="AG92" i="40"/>
  <c r="AL91" i="40"/>
  <c r="AK91" i="40"/>
  <c r="AJ91" i="40"/>
  <c r="AI91" i="40"/>
  <c r="AH91" i="40"/>
  <c r="AG91" i="40"/>
  <c r="AL90" i="40"/>
  <c r="AK90" i="40"/>
  <c r="AJ90" i="40"/>
  <c r="AI90" i="40"/>
  <c r="AH90" i="40"/>
  <c r="AG90" i="40"/>
  <c r="AL89" i="40"/>
  <c r="AK89" i="40"/>
  <c r="AJ89" i="40"/>
  <c r="AI89" i="40"/>
  <c r="AH89" i="40"/>
  <c r="AG89" i="40"/>
  <c r="AL88" i="40"/>
  <c r="AK88" i="40"/>
  <c r="AJ88" i="40"/>
  <c r="AI88" i="40"/>
  <c r="AH88" i="40"/>
  <c r="AG88" i="40"/>
  <c r="AL87" i="40"/>
  <c r="AK87" i="40"/>
  <c r="AJ87" i="40"/>
  <c r="AI87" i="40"/>
  <c r="AH87" i="40"/>
  <c r="AG87" i="40"/>
  <c r="AL86" i="40"/>
  <c r="AK86" i="40"/>
  <c r="AJ86" i="40"/>
  <c r="AI86" i="40"/>
  <c r="AH86" i="40"/>
  <c r="AG86" i="40"/>
  <c r="AL85" i="40"/>
  <c r="AK85" i="40"/>
  <c r="AJ85" i="40"/>
  <c r="AI85" i="40"/>
  <c r="AH85" i="40"/>
  <c r="AG85" i="40"/>
  <c r="AL84" i="40"/>
  <c r="AK84" i="40"/>
  <c r="AJ84" i="40"/>
  <c r="AI84" i="40"/>
  <c r="AH84" i="40"/>
  <c r="AG84" i="40"/>
  <c r="AL83" i="40"/>
  <c r="AK83" i="40"/>
  <c r="AJ83" i="40"/>
  <c r="AI83" i="40"/>
  <c r="AH83" i="40"/>
  <c r="AG83" i="40"/>
  <c r="AL82" i="40"/>
  <c r="AK82" i="40"/>
  <c r="AJ82" i="40"/>
  <c r="AI82" i="40"/>
  <c r="AH82" i="40"/>
  <c r="AG82" i="40"/>
  <c r="AL81" i="40"/>
  <c r="AK81" i="40"/>
  <c r="AJ81" i="40"/>
  <c r="AI81" i="40"/>
  <c r="AH81" i="40"/>
  <c r="AG81" i="40"/>
  <c r="AL80" i="40"/>
  <c r="AK80" i="40"/>
  <c r="AJ80" i="40"/>
  <c r="AI80" i="40"/>
  <c r="AH80" i="40"/>
  <c r="AG80" i="40"/>
  <c r="AL79" i="40"/>
  <c r="AK79" i="40"/>
  <c r="AJ79" i="40"/>
  <c r="AI79" i="40"/>
  <c r="AH79" i="40"/>
  <c r="AG79" i="40"/>
  <c r="AL78" i="40"/>
  <c r="AK78" i="40"/>
  <c r="AJ78" i="40"/>
  <c r="AI78" i="40"/>
  <c r="AH78" i="40"/>
  <c r="AG78" i="40"/>
  <c r="AL77" i="40"/>
  <c r="AK77" i="40"/>
  <c r="AJ77" i="40"/>
  <c r="AI77" i="40"/>
  <c r="AH77" i="40"/>
  <c r="AG77" i="40"/>
  <c r="AL76" i="40"/>
  <c r="AK76" i="40"/>
  <c r="AJ76" i="40"/>
  <c r="AI76" i="40"/>
  <c r="AH76" i="40"/>
  <c r="AG76" i="40"/>
  <c r="F29" i="40"/>
  <c r="M76" i="40"/>
  <c r="P76" i="40"/>
  <c r="R76" i="40"/>
  <c r="G76" i="40"/>
  <c r="AD76" i="40"/>
  <c r="M77" i="40"/>
  <c r="P77" i="40"/>
  <c r="R77" i="40"/>
  <c r="G77" i="40"/>
  <c r="AD77" i="40"/>
  <c r="M78" i="40"/>
  <c r="P78" i="40"/>
  <c r="R78" i="40"/>
  <c r="G78" i="40"/>
  <c r="AD78" i="40"/>
  <c r="M79" i="40"/>
  <c r="P79" i="40"/>
  <c r="R79" i="40"/>
  <c r="G79" i="40"/>
  <c r="AD79" i="40"/>
  <c r="M80" i="40"/>
  <c r="P80" i="40"/>
  <c r="R80" i="40"/>
  <c r="G80" i="40"/>
  <c r="AD80" i="40"/>
  <c r="M81" i="40"/>
  <c r="P81" i="40"/>
  <c r="R81" i="40"/>
  <c r="G81" i="40"/>
  <c r="AD81" i="40"/>
  <c r="M82" i="40"/>
  <c r="P82" i="40"/>
  <c r="R82" i="40"/>
  <c r="G82" i="40"/>
  <c r="AD82" i="40"/>
  <c r="M83" i="40"/>
  <c r="P83" i="40"/>
  <c r="R83" i="40"/>
  <c r="G83" i="40"/>
  <c r="AD83" i="40"/>
  <c r="M84" i="40"/>
  <c r="P84" i="40"/>
  <c r="R84" i="40"/>
  <c r="G84" i="40"/>
  <c r="AD84" i="40"/>
  <c r="M85" i="40"/>
  <c r="P85" i="40"/>
  <c r="R85" i="40"/>
  <c r="G85" i="40"/>
  <c r="AD85" i="40"/>
  <c r="M86" i="40"/>
  <c r="P86" i="40"/>
  <c r="R86" i="40"/>
  <c r="G86" i="40"/>
  <c r="AD86" i="40"/>
  <c r="M87" i="40"/>
  <c r="P87" i="40"/>
  <c r="R87" i="40"/>
  <c r="G87" i="40"/>
  <c r="AD87" i="40"/>
  <c r="M88" i="40"/>
  <c r="P88" i="40"/>
  <c r="R88" i="40"/>
  <c r="G88" i="40"/>
  <c r="AD88" i="40"/>
  <c r="M89" i="40"/>
  <c r="P89" i="40"/>
  <c r="R89" i="40"/>
  <c r="G89" i="40"/>
  <c r="AD89" i="40"/>
  <c r="M90" i="40"/>
  <c r="P90" i="40"/>
  <c r="R90" i="40"/>
  <c r="G90" i="40"/>
  <c r="AD90" i="40"/>
  <c r="M91" i="40"/>
  <c r="P91" i="40"/>
  <c r="R91" i="40"/>
  <c r="G91" i="40"/>
  <c r="AD91" i="40"/>
  <c r="M92" i="40"/>
  <c r="P92" i="40"/>
  <c r="R92" i="40"/>
  <c r="G92" i="40"/>
  <c r="AD92" i="40"/>
  <c r="M93" i="40"/>
  <c r="P93" i="40"/>
  <c r="R93" i="40"/>
  <c r="G93" i="40"/>
  <c r="AD93" i="40"/>
  <c r="M94" i="40"/>
  <c r="P94" i="40"/>
  <c r="R94" i="40"/>
  <c r="G94" i="40"/>
  <c r="AD94" i="40"/>
  <c r="M95" i="40"/>
  <c r="P95" i="40"/>
  <c r="R95" i="40"/>
  <c r="G95" i="40"/>
  <c r="AD95" i="40"/>
  <c r="M96" i="40"/>
  <c r="P96" i="40"/>
  <c r="R96" i="40"/>
  <c r="G96" i="40"/>
  <c r="AD96" i="40"/>
  <c r="M97" i="40"/>
  <c r="P97" i="40"/>
  <c r="R97" i="40"/>
  <c r="G97" i="40"/>
  <c r="AD97" i="40"/>
  <c r="M98" i="40"/>
  <c r="P98" i="40"/>
  <c r="R98" i="40"/>
  <c r="G98" i="40"/>
  <c r="AD98" i="40"/>
  <c r="M99" i="40"/>
  <c r="P99" i="40"/>
  <c r="R99" i="40"/>
  <c r="G99" i="40"/>
  <c r="AD99" i="40"/>
  <c r="M100" i="40"/>
  <c r="P100" i="40"/>
  <c r="R100" i="40"/>
  <c r="G100" i="40"/>
  <c r="AD100" i="40"/>
  <c r="M101" i="40"/>
  <c r="P101" i="40"/>
  <c r="R101" i="40"/>
  <c r="G101" i="40"/>
  <c r="AD101" i="40"/>
  <c r="M102" i="40"/>
  <c r="P102" i="40"/>
  <c r="R102" i="40"/>
  <c r="G102" i="40"/>
  <c r="AD102" i="40"/>
  <c r="M103" i="40"/>
  <c r="P103" i="40"/>
  <c r="R103" i="40"/>
  <c r="G103" i="40"/>
  <c r="AD103" i="40"/>
  <c r="M104" i="40"/>
  <c r="P104" i="40"/>
  <c r="R104" i="40"/>
  <c r="G104" i="40"/>
  <c r="AD104" i="40"/>
  <c r="M105" i="40"/>
  <c r="P105" i="40"/>
  <c r="R105" i="40"/>
  <c r="G105" i="40"/>
  <c r="AD105" i="40"/>
  <c r="M106" i="40"/>
  <c r="P106" i="40"/>
  <c r="R106" i="40"/>
  <c r="G106" i="40"/>
  <c r="AD106" i="40"/>
  <c r="M107" i="40"/>
  <c r="P107" i="40"/>
  <c r="R107" i="40"/>
  <c r="G107" i="40"/>
  <c r="AD107" i="40"/>
  <c r="M108" i="40"/>
  <c r="P108" i="40"/>
  <c r="R108" i="40"/>
  <c r="G108" i="40"/>
  <c r="AD108" i="40"/>
  <c r="M109" i="40"/>
  <c r="P109" i="40"/>
  <c r="R109" i="40"/>
  <c r="G109" i="40"/>
  <c r="AD109" i="40"/>
  <c r="M110" i="40"/>
  <c r="P110" i="40"/>
  <c r="R110" i="40"/>
  <c r="G110" i="40"/>
  <c r="AD110" i="40"/>
  <c r="M111" i="40"/>
  <c r="P111" i="40"/>
  <c r="R111" i="40"/>
  <c r="G111" i="40"/>
  <c r="AD111" i="40"/>
  <c r="M112" i="40"/>
  <c r="P112" i="40"/>
  <c r="R112" i="40"/>
  <c r="G112" i="40"/>
  <c r="AD112" i="40"/>
  <c r="M113" i="40"/>
  <c r="P113" i="40"/>
  <c r="R113" i="40"/>
  <c r="G113" i="40"/>
  <c r="AD113" i="40"/>
  <c r="M114" i="40"/>
  <c r="P114" i="40"/>
  <c r="R114" i="40"/>
  <c r="G114" i="40"/>
  <c r="AD114" i="40"/>
  <c r="M115" i="40"/>
  <c r="P115" i="40"/>
  <c r="R115" i="40"/>
  <c r="G115" i="40"/>
  <c r="AD115" i="40"/>
  <c r="M116" i="40"/>
  <c r="P116" i="40"/>
  <c r="R116" i="40"/>
  <c r="G116" i="40"/>
  <c r="AD116" i="40"/>
  <c r="M117" i="40"/>
  <c r="P117" i="40"/>
  <c r="R117" i="40"/>
  <c r="G117" i="40"/>
  <c r="AD117" i="40"/>
  <c r="M118" i="40"/>
  <c r="P118" i="40"/>
  <c r="R118" i="40"/>
  <c r="G118" i="40"/>
  <c r="AD118" i="40"/>
  <c r="M119" i="40"/>
  <c r="P119" i="40"/>
  <c r="R119" i="40"/>
  <c r="G119" i="40"/>
  <c r="AD119" i="40"/>
  <c r="M120" i="40"/>
  <c r="P120" i="40"/>
  <c r="R120" i="40"/>
  <c r="G120" i="40"/>
  <c r="AD120" i="40"/>
  <c r="M121" i="40"/>
  <c r="P121" i="40"/>
  <c r="R121" i="40"/>
  <c r="G121" i="40"/>
  <c r="AD121" i="40"/>
  <c r="M122" i="40"/>
  <c r="P122" i="40"/>
  <c r="R122" i="40"/>
  <c r="G122" i="40"/>
  <c r="AD122" i="40"/>
  <c r="M123" i="40"/>
  <c r="P123" i="40"/>
  <c r="R123" i="40"/>
  <c r="G123" i="40"/>
  <c r="AD123" i="40"/>
  <c r="M124" i="40"/>
  <c r="P124" i="40"/>
  <c r="R124" i="40"/>
  <c r="G124" i="40"/>
  <c r="AD124" i="40"/>
  <c r="M125" i="40"/>
  <c r="P125" i="40"/>
  <c r="R125" i="40"/>
  <c r="G125" i="40"/>
  <c r="AD125" i="40"/>
  <c r="M126" i="40"/>
  <c r="P126" i="40"/>
  <c r="R126" i="40"/>
  <c r="G126" i="40"/>
  <c r="AD126" i="40"/>
  <c r="M127" i="40"/>
  <c r="P127" i="40"/>
  <c r="R127" i="40"/>
  <c r="G127" i="40"/>
  <c r="AD127" i="40"/>
  <c r="M128" i="40"/>
  <c r="P128" i="40"/>
  <c r="R128" i="40"/>
  <c r="G128" i="40"/>
  <c r="AD128" i="40"/>
  <c r="M129" i="40"/>
  <c r="P129" i="40"/>
  <c r="R129" i="40"/>
  <c r="G129" i="40"/>
  <c r="AD129" i="40"/>
  <c r="M130" i="40"/>
  <c r="P130" i="40"/>
  <c r="R130" i="40"/>
  <c r="G130" i="40"/>
  <c r="AD130" i="40"/>
  <c r="M131" i="40"/>
  <c r="P131" i="40"/>
  <c r="R131" i="40"/>
  <c r="G131" i="40"/>
  <c r="AD131" i="40"/>
  <c r="M132" i="40"/>
  <c r="P132" i="40"/>
  <c r="R132" i="40"/>
  <c r="G132" i="40"/>
  <c r="AD132" i="40"/>
  <c r="M133" i="40"/>
  <c r="P133" i="40"/>
  <c r="R133" i="40"/>
  <c r="G133" i="40"/>
  <c r="AD133" i="40"/>
  <c r="M134" i="40"/>
  <c r="P134" i="40"/>
  <c r="R134" i="40"/>
  <c r="G134" i="40"/>
  <c r="AD134" i="40"/>
  <c r="M135" i="40"/>
  <c r="P135" i="40"/>
  <c r="R135" i="40"/>
  <c r="G135" i="40"/>
  <c r="AD135" i="40"/>
  <c r="M136" i="40"/>
  <c r="P136" i="40"/>
  <c r="R136" i="40"/>
  <c r="G136" i="40"/>
  <c r="AD136" i="40"/>
  <c r="M137" i="40"/>
  <c r="P137" i="40"/>
  <c r="R137" i="40"/>
  <c r="G137" i="40"/>
  <c r="AD137" i="40"/>
  <c r="M138" i="40"/>
  <c r="P138" i="40"/>
  <c r="R138" i="40"/>
  <c r="G138" i="40"/>
  <c r="AD138" i="40"/>
  <c r="M139" i="40"/>
  <c r="P139" i="40"/>
  <c r="R139" i="40"/>
  <c r="G139" i="40"/>
  <c r="AD139" i="40"/>
  <c r="M140" i="40"/>
  <c r="P140" i="40"/>
  <c r="R140" i="40"/>
  <c r="G140" i="40"/>
  <c r="AD140" i="40"/>
  <c r="M141" i="40"/>
  <c r="P141" i="40"/>
  <c r="R141" i="40"/>
  <c r="G141" i="40"/>
  <c r="AD141" i="40"/>
  <c r="M142" i="40"/>
  <c r="P142" i="40"/>
  <c r="R142" i="40"/>
  <c r="G142" i="40"/>
  <c r="AD142" i="40"/>
  <c r="M143" i="40"/>
  <c r="P143" i="40"/>
  <c r="R143" i="40"/>
  <c r="G143" i="40"/>
  <c r="AD143" i="40"/>
  <c r="M144" i="40"/>
  <c r="P144" i="40"/>
  <c r="R144" i="40"/>
  <c r="G144" i="40"/>
  <c r="AD144" i="40"/>
  <c r="M145" i="40"/>
  <c r="P145" i="40"/>
  <c r="R145" i="40"/>
  <c r="G145" i="40"/>
  <c r="AD145" i="40"/>
  <c r="M146" i="40"/>
  <c r="P146" i="40"/>
  <c r="R146" i="40"/>
  <c r="G146" i="40"/>
  <c r="AD146" i="40"/>
  <c r="M147" i="40"/>
  <c r="P147" i="40"/>
  <c r="R147" i="40"/>
  <c r="G147" i="40"/>
  <c r="AD147" i="40"/>
  <c r="M148" i="40"/>
  <c r="P148" i="40"/>
  <c r="R148" i="40"/>
  <c r="G148" i="40"/>
  <c r="AD148" i="40"/>
  <c r="M149" i="40"/>
  <c r="P149" i="40"/>
  <c r="R149" i="40"/>
  <c r="G149" i="40"/>
  <c r="AD149" i="40"/>
  <c r="M150" i="40"/>
  <c r="P150" i="40"/>
  <c r="R150" i="40"/>
  <c r="G150" i="40"/>
  <c r="AD150" i="40"/>
  <c r="M151" i="40"/>
  <c r="P151" i="40"/>
  <c r="R151" i="40"/>
  <c r="G151" i="40"/>
  <c r="AD151" i="40"/>
  <c r="M152" i="40"/>
  <c r="P152" i="40"/>
  <c r="R152" i="40"/>
  <c r="G152" i="40"/>
  <c r="AD152" i="40"/>
  <c r="M153" i="40"/>
  <c r="P153" i="40"/>
  <c r="R153" i="40"/>
  <c r="G153" i="40"/>
  <c r="AD153" i="40"/>
  <c r="M154" i="40"/>
  <c r="P154" i="40"/>
  <c r="R154" i="40"/>
  <c r="G154" i="40"/>
  <c r="AD154" i="40"/>
  <c r="M155" i="40"/>
  <c r="I155" i="40"/>
  <c r="P155" i="40"/>
  <c r="R155" i="40"/>
  <c r="G155" i="40"/>
  <c r="AD155" i="40"/>
  <c r="M156" i="40"/>
  <c r="P156" i="40"/>
  <c r="R156" i="40"/>
  <c r="G156" i="40"/>
  <c r="AD156" i="40"/>
  <c r="M157" i="40"/>
  <c r="P157" i="40"/>
  <c r="R157" i="40"/>
  <c r="G157" i="40"/>
  <c r="AD157" i="40"/>
  <c r="M158" i="40"/>
  <c r="P158" i="40"/>
  <c r="R158" i="40"/>
  <c r="G158" i="40"/>
  <c r="AD158" i="40"/>
  <c r="M159" i="40"/>
  <c r="P159" i="40"/>
  <c r="R159" i="40"/>
  <c r="G159" i="40"/>
  <c r="AD159" i="40"/>
  <c r="M160" i="40"/>
  <c r="P160" i="40"/>
  <c r="R160" i="40"/>
  <c r="G160" i="40"/>
  <c r="AD160" i="40"/>
  <c r="M161" i="40"/>
  <c r="P161" i="40"/>
  <c r="R161" i="40"/>
  <c r="G161" i="40"/>
  <c r="AD161" i="40"/>
  <c r="M162" i="40"/>
  <c r="P162" i="40"/>
  <c r="R162" i="40"/>
  <c r="G162" i="40"/>
  <c r="AD162" i="40"/>
  <c r="M163" i="40"/>
  <c r="P163" i="40"/>
  <c r="R163" i="40"/>
  <c r="G163" i="40"/>
  <c r="AD163" i="40"/>
  <c r="M164" i="40"/>
  <c r="P164" i="40"/>
  <c r="R164" i="40"/>
  <c r="G164" i="40"/>
  <c r="AD164" i="40"/>
  <c r="M165" i="40"/>
  <c r="P165" i="40"/>
  <c r="R165" i="40"/>
  <c r="G165" i="40"/>
  <c r="AD165" i="40"/>
  <c r="M166" i="40"/>
  <c r="P166" i="40"/>
  <c r="R166" i="40"/>
  <c r="G166" i="40"/>
  <c r="AD166" i="40"/>
  <c r="M167" i="40"/>
  <c r="P167" i="40"/>
  <c r="R167" i="40"/>
  <c r="G167" i="40"/>
  <c r="AD167" i="40"/>
  <c r="M168" i="40"/>
  <c r="P168" i="40"/>
  <c r="R168" i="40"/>
  <c r="G168" i="40"/>
  <c r="AD168" i="40"/>
  <c r="M169" i="40"/>
  <c r="P169" i="40"/>
  <c r="R169" i="40"/>
  <c r="G169" i="40"/>
  <c r="AD169" i="40"/>
  <c r="M170" i="40"/>
  <c r="P170" i="40"/>
  <c r="R170" i="40"/>
  <c r="G170" i="40"/>
  <c r="AD170" i="40"/>
  <c r="M171" i="40"/>
  <c r="P171" i="40"/>
  <c r="R171" i="40"/>
  <c r="G171" i="40"/>
  <c r="AD171" i="40"/>
  <c r="M172" i="40"/>
  <c r="P172" i="40"/>
  <c r="R172" i="40"/>
  <c r="G172" i="40"/>
  <c r="AD172" i="40"/>
  <c r="M173" i="40"/>
  <c r="P173" i="40"/>
  <c r="R173" i="40"/>
  <c r="G173" i="40"/>
  <c r="AD173" i="40"/>
  <c r="M174" i="40"/>
  <c r="P174" i="40"/>
  <c r="R174" i="40"/>
  <c r="G174" i="40"/>
  <c r="AD174" i="40"/>
  <c r="M175" i="40"/>
  <c r="P175" i="40"/>
  <c r="R175" i="40"/>
  <c r="G175" i="40"/>
  <c r="AD175" i="40"/>
  <c r="M176" i="40"/>
  <c r="P176" i="40"/>
  <c r="R176" i="40"/>
  <c r="G176" i="40"/>
  <c r="AD176" i="40"/>
  <c r="M177" i="40"/>
  <c r="P177" i="40"/>
  <c r="R177" i="40"/>
  <c r="G177" i="40"/>
  <c r="AD177" i="40"/>
  <c r="M178" i="40"/>
  <c r="P178" i="40"/>
  <c r="R178" i="40"/>
  <c r="G178" i="40"/>
  <c r="AD178" i="40"/>
  <c r="M179" i="40"/>
  <c r="P179" i="40"/>
  <c r="R179" i="40"/>
  <c r="G179" i="40"/>
  <c r="AD179" i="40"/>
  <c r="M180" i="40"/>
  <c r="P180" i="40"/>
  <c r="R180" i="40"/>
  <c r="G180" i="40"/>
  <c r="AD180" i="40"/>
  <c r="H181" i="40"/>
  <c r="M181" i="40"/>
  <c r="P181" i="40"/>
  <c r="R181" i="40"/>
  <c r="G181" i="40"/>
  <c r="AD181" i="40"/>
  <c r="M182" i="40"/>
  <c r="P182" i="40"/>
  <c r="R182" i="40"/>
  <c r="G182" i="40"/>
  <c r="AD182" i="40"/>
  <c r="M183" i="40"/>
  <c r="P183" i="40"/>
  <c r="R183" i="40"/>
  <c r="G183" i="40"/>
  <c r="AD183" i="40"/>
  <c r="M184" i="40"/>
  <c r="P184" i="40"/>
  <c r="R184" i="40"/>
  <c r="G184" i="40"/>
  <c r="AD184" i="40"/>
  <c r="M185" i="40"/>
  <c r="P185" i="40"/>
  <c r="R185" i="40"/>
  <c r="G185" i="40"/>
  <c r="AD185" i="40"/>
  <c r="M186" i="40"/>
  <c r="P186" i="40"/>
  <c r="R186" i="40"/>
  <c r="G186" i="40"/>
  <c r="AD186" i="40"/>
  <c r="M187" i="40"/>
  <c r="P187" i="40"/>
  <c r="R187" i="40"/>
  <c r="G187" i="40"/>
  <c r="AD187" i="40"/>
  <c r="M188" i="40"/>
  <c r="P188" i="40"/>
  <c r="R188" i="40"/>
  <c r="G188" i="40"/>
  <c r="AD188" i="40"/>
  <c r="M189" i="40"/>
  <c r="P189" i="40"/>
  <c r="R189" i="40"/>
  <c r="G189" i="40"/>
  <c r="AD189" i="40"/>
  <c r="M190" i="40"/>
  <c r="P190" i="40"/>
  <c r="R190" i="40"/>
  <c r="G190" i="40"/>
  <c r="AD190" i="40"/>
  <c r="M191" i="40"/>
  <c r="P191" i="40"/>
  <c r="R191" i="40"/>
  <c r="G191" i="40"/>
  <c r="AD191" i="40"/>
  <c r="M192" i="40"/>
  <c r="P192" i="40"/>
  <c r="R192" i="40"/>
  <c r="G192" i="40"/>
  <c r="AD192" i="40"/>
  <c r="M193" i="40"/>
  <c r="P193" i="40"/>
  <c r="R193" i="40"/>
  <c r="G193" i="40"/>
  <c r="AD193" i="40"/>
  <c r="M194" i="40"/>
  <c r="P194" i="40"/>
  <c r="R194" i="40"/>
  <c r="G194" i="40"/>
  <c r="AD194" i="40"/>
  <c r="M195" i="40"/>
  <c r="P195" i="40"/>
  <c r="R195" i="40"/>
  <c r="G195" i="40"/>
  <c r="AD195" i="40"/>
  <c r="M196" i="40"/>
  <c r="P196" i="40"/>
  <c r="R196" i="40"/>
  <c r="G196" i="40"/>
  <c r="AD196" i="40"/>
  <c r="M197" i="40"/>
  <c r="P197" i="40"/>
  <c r="R197" i="40"/>
  <c r="G197" i="40"/>
  <c r="AD197" i="40"/>
  <c r="M198" i="40"/>
  <c r="P198" i="40"/>
  <c r="R198" i="40"/>
  <c r="G198" i="40"/>
  <c r="AD198" i="40"/>
  <c r="M199" i="40"/>
  <c r="P199" i="40"/>
  <c r="R199" i="40"/>
  <c r="G199" i="40"/>
  <c r="AD199" i="40"/>
  <c r="M200" i="40"/>
  <c r="P200" i="40"/>
  <c r="R200" i="40"/>
  <c r="G200" i="40"/>
  <c r="AD200" i="40"/>
  <c r="M201" i="40"/>
  <c r="P201" i="40"/>
  <c r="R201" i="40"/>
  <c r="G201" i="40"/>
  <c r="AD201" i="40"/>
  <c r="M202" i="40"/>
  <c r="P202" i="40"/>
  <c r="R202" i="40"/>
  <c r="G202" i="40"/>
  <c r="AD202" i="40"/>
  <c r="M203" i="40"/>
  <c r="P203" i="40"/>
  <c r="R203" i="40"/>
  <c r="G203" i="40"/>
  <c r="AD203" i="40"/>
  <c r="M204" i="40"/>
  <c r="P204" i="40"/>
  <c r="R204" i="40"/>
  <c r="G204" i="40"/>
  <c r="AD204" i="40"/>
  <c r="M205" i="40"/>
  <c r="P205" i="40"/>
  <c r="R205" i="40"/>
  <c r="G205" i="40"/>
  <c r="AD205" i="40"/>
  <c r="M206" i="40"/>
  <c r="P206" i="40"/>
  <c r="R206" i="40"/>
  <c r="G206" i="40"/>
  <c r="AD206" i="40"/>
  <c r="M207" i="40"/>
  <c r="P207" i="40"/>
  <c r="R207" i="40"/>
  <c r="G207" i="40"/>
  <c r="AD207" i="40"/>
  <c r="M208" i="40"/>
  <c r="P208" i="40"/>
  <c r="R208" i="40"/>
  <c r="G208" i="40"/>
  <c r="AD208" i="40"/>
  <c r="M209" i="40"/>
  <c r="P209" i="40"/>
  <c r="R209" i="40"/>
  <c r="G209" i="40"/>
  <c r="AD209" i="40"/>
  <c r="M210" i="40"/>
  <c r="P210" i="40"/>
  <c r="R210" i="40"/>
  <c r="G210" i="40"/>
  <c r="AD210" i="40"/>
  <c r="M211" i="40"/>
  <c r="P211" i="40"/>
  <c r="R211" i="40"/>
  <c r="G211" i="40"/>
  <c r="AD211" i="40"/>
  <c r="M212" i="40"/>
  <c r="P212" i="40"/>
  <c r="R212" i="40"/>
  <c r="G212" i="40"/>
  <c r="AD212" i="40"/>
  <c r="M213" i="40"/>
  <c r="P213" i="40"/>
  <c r="R213" i="40"/>
  <c r="G213" i="40"/>
  <c r="AD213" i="40"/>
  <c r="M214" i="40"/>
  <c r="P214" i="40"/>
  <c r="R214" i="40"/>
  <c r="G214" i="40"/>
  <c r="AD214" i="40"/>
  <c r="M215" i="40"/>
  <c r="P215" i="40"/>
  <c r="R215" i="40"/>
  <c r="G215" i="40"/>
  <c r="AD215" i="40"/>
  <c r="H216" i="40"/>
  <c r="M216" i="40"/>
  <c r="P216" i="40"/>
  <c r="R216" i="40"/>
  <c r="G216" i="40"/>
  <c r="AD216" i="40"/>
  <c r="M217" i="40"/>
  <c r="P217" i="40"/>
  <c r="R217" i="40"/>
  <c r="G217" i="40"/>
  <c r="AD217" i="40"/>
  <c r="M218" i="40"/>
  <c r="P218" i="40"/>
  <c r="R218" i="40"/>
  <c r="G218" i="40"/>
  <c r="AD218" i="40"/>
  <c r="M219" i="40"/>
  <c r="P219" i="40"/>
  <c r="R219" i="40"/>
  <c r="G219" i="40"/>
  <c r="AD219" i="40"/>
  <c r="M220" i="40"/>
  <c r="P220" i="40"/>
  <c r="R220" i="40"/>
  <c r="G220" i="40"/>
  <c r="AD220" i="40"/>
  <c r="M221" i="40"/>
  <c r="P221" i="40"/>
  <c r="R221" i="40"/>
  <c r="G221" i="40"/>
  <c r="AD221" i="40"/>
  <c r="M222" i="40"/>
  <c r="P222" i="40"/>
  <c r="R222" i="40"/>
  <c r="G222" i="40"/>
  <c r="AD222" i="40"/>
  <c r="M223" i="40"/>
  <c r="P223" i="40"/>
  <c r="R223" i="40"/>
  <c r="G223" i="40"/>
  <c r="AD223" i="40"/>
  <c r="M224" i="40"/>
  <c r="P224" i="40"/>
  <c r="R224" i="40"/>
  <c r="G224" i="40"/>
  <c r="AD224" i="40"/>
  <c r="M225" i="40"/>
  <c r="P225" i="40"/>
  <c r="R225" i="40"/>
  <c r="G225" i="40"/>
  <c r="AD225" i="40"/>
  <c r="M226" i="40"/>
  <c r="P226" i="40"/>
  <c r="R226" i="40"/>
  <c r="G226" i="40"/>
  <c r="AD226" i="40"/>
  <c r="M227" i="40"/>
  <c r="P227" i="40"/>
  <c r="R227" i="40"/>
  <c r="G227" i="40"/>
  <c r="AD227" i="40"/>
  <c r="M228" i="40"/>
  <c r="P228" i="40"/>
  <c r="R228" i="40"/>
  <c r="G228" i="40"/>
  <c r="AD228" i="40"/>
  <c r="M229" i="40"/>
  <c r="P229" i="40"/>
  <c r="R229" i="40"/>
  <c r="G229" i="40"/>
  <c r="AD229" i="40"/>
  <c r="M230" i="40"/>
  <c r="P230" i="40"/>
  <c r="R230" i="40"/>
  <c r="G230" i="40"/>
  <c r="AD230" i="40"/>
  <c r="M231" i="40"/>
  <c r="P231" i="40"/>
  <c r="R231" i="40"/>
  <c r="G231" i="40"/>
  <c r="AD231" i="40"/>
  <c r="M232" i="40"/>
  <c r="I232" i="40"/>
  <c r="P232" i="40"/>
  <c r="R232" i="40"/>
  <c r="G232" i="40"/>
  <c r="AD232" i="40"/>
  <c r="M233" i="40"/>
  <c r="P233" i="40"/>
  <c r="R233" i="40"/>
  <c r="G233" i="40"/>
  <c r="AD233" i="40"/>
  <c r="M234" i="40"/>
  <c r="P234" i="40"/>
  <c r="R234" i="40"/>
  <c r="G234" i="40"/>
  <c r="AD234" i="40"/>
  <c r="M235" i="40"/>
  <c r="P235" i="40"/>
  <c r="R235" i="40"/>
  <c r="G235" i="40"/>
  <c r="AD235" i="40"/>
  <c r="M236" i="40"/>
  <c r="P236" i="40"/>
  <c r="R236" i="40"/>
  <c r="G236" i="40"/>
  <c r="AD236" i="40"/>
  <c r="M237" i="40"/>
  <c r="P237" i="40"/>
  <c r="R237" i="40"/>
  <c r="G237" i="40"/>
  <c r="AD237" i="40"/>
  <c r="M238" i="40"/>
  <c r="P238" i="40"/>
  <c r="R238" i="40"/>
  <c r="G238" i="40"/>
  <c r="AD238" i="40"/>
  <c r="M239" i="40"/>
  <c r="P239" i="40"/>
  <c r="R239" i="40"/>
  <c r="G239" i="40"/>
  <c r="AD239" i="40"/>
  <c r="M240" i="40"/>
  <c r="P240" i="40"/>
  <c r="R240" i="40"/>
  <c r="G240" i="40"/>
  <c r="AD240" i="40"/>
  <c r="M241" i="40"/>
  <c r="P241" i="40"/>
  <c r="R241" i="40"/>
  <c r="G241" i="40"/>
  <c r="AD241" i="40"/>
  <c r="M242" i="40"/>
  <c r="P242" i="40"/>
  <c r="R242" i="40"/>
  <c r="G242" i="40"/>
  <c r="AD242" i="40"/>
  <c r="M243" i="40"/>
  <c r="P243" i="40"/>
  <c r="R243" i="40"/>
  <c r="G243" i="40"/>
  <c r="AD243" i="40"/>
  <c r="M244" i="40"/>
  <c r="P244" i="40"/>
  <c r="R244" i="40"/>
  <c r="G244" i="40"/>
  <c r="AD244" i="40"/>
  <c r="M245" i="40"/>
  <c r="P245" i="40"/>
  <c r="R245" i="40"/>
  <c r="G245" i="40"/>
  <c r="AD245" i="40"/>
  <c r="M246" i="40"/>
  <c r="P246" i="40"/>
  <c r="R246" i="40"/>
  <c r="G246" i="40"/>
  <c r="AD246" i="40"/>
  <c r="M247" i="40"/>
  <c r="P247" i="40"/>
  <c r="R247" i="40"/>
  <c r="G247" i="40"/>
  <c r="AD247" i="40"/>
  <c r="H248" i="40"/>
  <c r="M248" i="40"/>
  <c r="P248" i="40"/>
  <c r="R248" i="40"/>
  <c r="G248" i="40"/>
  <c r="AD248" i="40"/>
  <c r="M249" i="40"/>
  <c r="P249" i="40"/>
  <c r="R249" i="40"/>
  <c r="G249" i="40"/>
  <c r="AD249" i="40"/>
  <c r="M250" i="40"/>
  <c r="P250" i="40"/>
  <c r="R250" i="40"/>
  <c r="G250" i="40"/>
  <c r="AD250" i="40"/>
  <c r="M251" i="40"/>
  <c r="P251" i="40"/>
  <c r="R251" i="40"/>
  <c r="G251" i="40"/>
  <c r="AD251" i="40"/>
  <c r="M252" i="40"/>
  <c r="P252" i="40"/>
  <c r="R252" i="40"/>
  <c r="G252" i="40"/>
  <c r="AD252" i="40"/>
  <c r="M253" i="40"/>
  <c r="P253" i="40"/>
  <c r="R253" i="40"/>
  <c r="G253" i="40"/>
  <c r="AD253" i="40"/>
  <c r="M254" i="40"/>
  <c r="P254" i="40"/>
  <c r="R254" i="40"/>
  <c r="G254" i="40"/>
  <c r="AD254" i="40"/>
  <c r="M255" i="40"/>
  <c r="P255" i="40"/>
  <c r="R255" i="40"/>
  <c r="G255" i="40"/>
  <c r="AD255" i="40"/>
  <c r="M256" i="40"/>
  <c r="P256" i="40"/>
  <c r="R256" i="40"/>
  <c r="G256" i="40"/>
  <c r="AD256" i="40"/>
  <c r="M257" i="40"/>
  <c r="P257" i="40"/>
  <c r="R257" i="40"/>
  <c r="G257" i="40"/>
  <c r="AD257" i="40"/>
  <c r="M258" i="40"/>
  <c r="P258" i="40"/>
  <c r="R258" i="40"/>
  <c r="G258" i="40"/>
  <c r="AD258" i="40"/>
  <c r="M259" i="40"/>
  <c r="P259" i="40"/>
  <c r="R259" i="40"/>
  <c r="G259" i="40"/>
  <c r="AD259" i="40"/>
  <c r="M260" i="40"/>
  <c r="P260" i="40"/>
  <c r="R260" i="40"/>
  <c r="G260" i="40"/>
  <c r="AD260" i="40"/>
  <c r="M261" i="40"/>
  <c r="P261" i="40"/>
  <c r="R261" i="40"/>
  <c r="G261" i="40"/>
  <c r="AD261" i="40"/>
  <c r="M262" i="40"/>
  <c r="P262" i="40"/>
  <c r="R262" i="40"/>
  <c r="G262" i="40"/>
  <c r="AD262" i="40"/>
  <c r="M263" i="40"/>
  <c r="P263" i="40"/>
  <c r="R263" i="40"/>
  <c r="G263" i="40"/>
  <c r="AD263" i="40"/>
  <c r="M264" i="40"/>
  <c r="I264" i="40"/>
  <c r="P264" i="40"/>
  <c r="R264" i="40"/>
  <c r="G264" i="40"/>
  <c r="AD264" i="40"/>
  <c r="M265" i="40"/>
  <c r="P265" i="40"/>
  <c r="R265" i="40"/>
  <c r="G265" i="40"/>
  <c r="AD265" i="40"/>
  <c r="M266" i="40"/>
  <c r="P266" i="40"/>
  <c r="R266" i="40"/>
  <c r="G266" i="40"/>
  <c r="AD266" i="40"/>
  <c r="M267" i="40"/>
  <c r="P267" i="40"/>
  <c r="R267" i="40"/>
  <c r="G267" i="40"/>
  <c r="AD267" i="40"/>
  <c r="M268" i="40"/>
  <c r="P268" i="40"/>
  <c r="R268" i="40"/>
  <c r="G268" i="40"/>
  <c r="AD268" i="40"/>
  <c r="M269" i="40"/>
  <c r="P269" i="40"/>
  <c r="R269" i="40"/>
  <c r="G269" i="40"/>
  <c r="AD269" i="40"/>
  <c r="M270" i="40"/>
  <c r="P270" i="40"/>
  <c r="R270" i="40"/>
  <c r="G270" i="40"/>
  <c r="AD270" i="40"/>
  <c r="M271" i="40"/>
  <c r="P271" i="40"/>
  <c r="R271" i="40"/>
  <c r="G271" i="40"/>
  <c r="AD271" i="40"/>
  <c r="M272" i="40"/>
  <c r="P272" i="40"/>
  <c r="R272" i="40"/>
  <c r="G272" i="40"/>
  <c r="AD272" i="40"/>
  <c r="M273" i="40"/>
  <c r="P273" i="40"/>
  <c r="R273" i="40"/>
  <c r="G273" i="40"/>
  <c r="AD273" i="40"/>
  <c r="M274" i="40"/>
  <c r="I274" i="40"/>
  <c r="P274" i="40"/>
  <c r="R274" i="40"/>
  <c r="G274" i="40"/>
  <c r="AD274" i="40"/>
  <c r="M275" i="40"/>
  <c r="P275" i="40"/>
  <c r="R275" i="40"/>
  <c r="G275" i="40"/>
  <c r="AD275" i="40"/>
  <c r="M276" i="40"/>
  <c r="P276" i="40"/>
  <c r="R276" i="40"/>
  <c r="G276" i="40"/>
  <c r="AD276" i="40"/>
  <c r="M277" i="40"/>
  <c r="P277" i="40"/>
  <c r="R277" i="40"/>
  <c r="G277" i="40"/>
  <c r="AD277" i="40"/>
  <c r="M278" i="40"/>
  <c r="P278" i="40"/>
  <c r="R278" i="40"/>
  <c r="G278" i="40"/>
  <c r="AD278" i="40"/>
  <c r="M279" i="40"/>
  <c r="P279" i="40"/>
  <c r="R279" i="40"/>
  <c r="G279" i="40"/>
  <c r="AD279" i="40"/>
  <c r="M280" i="40"/>
  <c r="P280" i="40"/>
  <c r="R280" i="40"/>
  <c r="G280" i="40"/>
  <c r="AD280" i="40"/>
  <c r="M281" i="40"/>
  <c r="P281" i="40"/>
  <c r="R281" i="40"/>
  <c r="G281" i="40"/>
  <c r="AD281" i="40"/>
  <c r="M282" i="40"/>
  <c r="P282" i="40"/>
  <c r="R282" i="40"/>
  <c r="G282" i="40"/>
  <c r="AD282" i="40"/>
  <c r="M283" i="40"/>
  <c r="P283" i="40"/>
  <c r="R283" i="40"/>
  <c r="G283" i="40"/>
  <c r="AD283" i="40"/>
  <c r="M284" i="40"/>
  <c r="P284" i="40"/>
  <c r="R284" i="40"/>
  <c r="G284" i="40"/>
  <c r="AD284" i="40"/>
  <c r="M285" i="40"/>
  <c r="P285" i="40"/>
  <c r="R285" i="40"/>
  <c r="G285" i="40"/>
  <c r="AD285" i="40"/>
  <c r="M286" i="40"/>
  <c r="P286" i="40"/>
  <c r="R286" i="40"/>
  <c r="G286" i="40"/>
  <c r="AD286" i="40"/>
  <c r="M287" i="40"/>
  <c r="P287" i="40"/>
  <c r="R287" i="40"/>
  <c r="G287" i="40"/>
  <c r="AD287" i="40"/>
  <c r="M288" i="40"/>
  <c r="P288" i="40"/>
  <c r="R288" i="40"/>
  <c r="G288" i="40"/>
  <c r="AD288" i="40"/>
  <c r="M289" i="40"/>
  <c r="P289" i="40"/>
  <c r="R289" i="40"/>
  <c r="G289" i="40"/>
  <c r="AD289" i="40"/>
  <c r="M290" i="40"/>
  <c r="P290" i="40"/>
  <c r="R290" i="40"/>
  <c r="G290" i="40"/>
  <c r="AD290" i="40"/>
  <c r="M291" i="40"/>
  <c r="P291" i="40"/>
  <c r="R291" i="40"/>
  <c r="G291" i="40"/>
  <c r="AD291" i="40"/>
  <c r="M292" i="40"/>
  <c r="P292" i="40"/>
  <c r="R292" i="40"/>
  <c r="G292" i="40"/>
  <c r="AD292" i="40"/>
  <c r="M293" i="40"/>
  <c r="P293" i="40"/>
  <c r="R293" i="40"/>
  <c r="G293" i="40"/>
  <c r="AD293" i="40"/>
  <c r="M294" i="40"/>
  <c r="P294" i="40"/>
  <c r="R294" i="40"/>
  <c r="G294" i="40"/>
  <c r="AD294" i="40"/>
  <c r="M295" i="40"/>
  <c r="P295" i="40"/>
  <c r="R295" i="40"/>
  <c r="G295" i="40"/>
  <c r="AD295" i="40"/>
  <c r="M296" i="40"/>
  <c r="P296" i="40"/>
  <c r="R296" i="40"/>
  <c r="G296" i="40"/>
  <c r="AD296" i="40"/>
  <c r="M297" i="40"/>
  <c r="P297" i="40"/>
  <c r="R297" i="40"/>
  <c r="G297" i="40"/>
  <c r="AD297" i="40"/>
  <c r="M298" i="40"/>
  <c r="P298" i="40"/>
  <c r="R298" i="40"/>
  <c r="G298" i="40"/>
  <c r="AD298" i="40"/>
  <c r="M299" i="40"/>
  <c r="P299" i="40"/>
  <c r="R299" i="40"/>
  <c r="G299" i="40"/>
  <c r="AD299" i="40"/>
  <c r="M300" i="40"/>
  <c r="P300" i="40"/>
  <c r="R300" i="40"/>
  <c r="G300" i="40"/>
  <c r="AD300" i="40"/>
  <c r="M301" i="40"/>
  <c r="P301" i="40"/>
  <c r="R301" i="40"/>
  <c r="G301" i="40"/>
  <c r="AD301" i="40"/>
  <c r="H302" i="40"/>
  <c r="M302" i="40"/>
  <c r="P302" i="40"/>
  <c r="R302" i="40"/>
  <c r="G302" i="40"/>
  <c r="AD302" i="40"/>
  <c r="M303" i="40"/>
  <c r="P303" i="40"/>
  <c r="R303" i="40"/>
  <c r="G303" i="40"/>
  <c r="AD303" i="40"/>
  <c r="M304" i="40"/>
  <c r="P304" i="40"/>
  <c r="R304" i="40"/>
  <c r="G304" i="40"/>
  <c r="AD304" i="40"/>
  <c r="M305" i="40"/>
  <c r="P305" i="40"/>
  <c r="R305" i="40"/>
  <c r="G305" i="40"/>
  <c r="AD305" i="40"/>
  <c r="M306" i="40"/>
  <c r="I306" i="40"/>
  <c r="P306" i="40"/>
  <c r="R306" i="40"/>
  <c r="G306" i="40"/>
  <c r="AD306" i="40"/>
  <c r="M307" i="40"/>
  <c r="P307" i="40"/>
  <c r="R307" i="40"/>
  <c r="G307" i="40"/>
  <c r="AD307" i="40"/>
  <c r="M308" i="40"/>
  <c r="P308" i="40"/>
  <c r="R308" i="40"/>
  <c r="G308" i="40"/>
  <c r="AD308" i="40"/>
  <c r="M309" i="40"/>
  <c r="P309" i="40"/>
  <c r="R309" i="40"/>
  <c r="G309" i="40"/>
  <c r="AD309" i="40"/>
  <c r="M310" i="40"/>
  <c r="P310" i="40"/>
  <c r="R310" i="40"/>
  <c r="G310" i="40"/>
  <c r="AD310" i="40"/>
  <c r="M311" i="40"/>
  <c r="P311" i="40"/>
  <c r="R311" i="40"/>
  <c r="G311" i="40"/>
  <c r="AD311" i="40"/>
  <c r="M312" i="40"/>
  <c r="P312" i="40"/>
  <c r="R312" i="40"/>
  <c r="G312" i="40"/>
  <c r="AD312" i="40"/>
  <c r="M313" i="40"/>
  <c r="P313" i="40"/>
  <c r="R313" i="40"/>
  <c r="G313" i="40"/>
  <c r="AD313" i="40"/>
  <c r="M314" i="40"/>
  <c r="P314" i="40"/>
  <c r="R314" i="40"/>
  <c r="G314" i="40"/>
  <c r="AD314" i="40"/>
  <c r="M315" i="40"/>
  <c r="P315" i="40"/>
  <c r="R315" i="40"/>
  <c r="G315" i="40"/>
  <c r="AD315" i="40"/>
  <c r="M316" i="40"/>
  <c r="P316" i="40"/>
  <c r="R316" i="40"/>
  <c r="G316" i="40"/>
  <c r="AD316" i="40"/>
  <c r="M317" i="40"/>
  <c r="P317" i="40"/>
  <c r="R317" i="40"/>
  <c r="G317" i="40"/>
  <c r="AD317" i="40"/>
  <c r="M318" i="40"/>
  <c r="P318" i="40"/>
  <c r="R318" i="40"/>
  <c r="G318" i="40"/>
  <c r="AD318" i="40"/>
  <c r="M319" i="40"/>
  <c r="P319" i="40"/>
  <c r="R319" i="40"/>
  <c r="G319" i="40"/>
  <c r="AD319" i="40"/>
  <c r="M320" i="40"/>
  <c r="P320" i="40"/>
  <c r="R320" i="40"/>
  <c r="G320" i="40"/>
  <c r="AD320" i="40"/>
  <c r="M321" i="40"/>
  <c r="P321" i="40"/>
  <c r="R321" i="40"/>
  <c r="G321" i="40"/>
  <c r="AD321" i="40"/>
  <c r="M322" i="40"/>
  <c r="P322" i="40"/>
  <c r="R322" i="40"/>
  <c r="G322" i="40"/>
  <c r="AD322" i="40"/>
  <c r="M323" i="40"/>
  <c r="P323" i="40"/>
  <c r="R323" i="40"/>
  <c r="G323" i="40"/>
  <c r="AD323" i="40"/>
  <c r="M324" i="40"/>
  <c r="P324" i="40"/>
  <c r="R324" i="40"/>
  <c r="G324" i="40"/>
  <c r="AD324" i="40"/>
  <c r="M325" i="40"/>
  <c r="P325" i="40"/>
  <c r="R325" i="40"/>
  <c r="G325" i="40"/>
  <c r="AD325" i="40"/>
  <c r="M326" i="40"/>
  <c r="P326" i="40"/>
  <c r="R326" i="40"/>
  <c r="G326" i="40"/>
  <c r="AD326" i="40"/>
  <c r="M327" i="40"/>
  <c r="P327" i="40"/>
  <c r="R327" i="40"/>
  <c r="G327" i="40"/>
  <c r="AD327" i="40"/>
  <c r="M328" i="40"/>
  <c r="P328" i="40"/>
  <c r="R328" i="40"/>
  <c r="G328" i="40"/>
  <c r="AD328" i="40"/>
  <c r="M329" i="40"/>
  <c r="P329" i="40"/>
  <c r="R329" i="40"/>
  <c r="G329" i="40"/>
  <c r="AD329" i="40"/>
  <c r="M330" i="40"/>
  <c r="P330" i="40"/>
  <c r="R330" i="40"/>
  <c r="G330" i="40"/>
  <c r="AD330" i="40"/>
  <c r="M331" i="40"/>
  <c r="P331" i="40"/>
  <c r="R331" i="40"/>
  <c r="G331" i="40"/>
  <c r="AD331" i="40"/>
  <c r="M332" i="40"/>
  <c r="P332" i="40"/>
  <c r="R332" i="40"/>
  <c r="G332" i="40"/>
  <c r="AD332" i="40"/>
  <c r="M333" i="40"/>
  <c r="P333" i="40"/>
  <c r="R333" i="40"/>
  <c r="G333" i="40"/>
  <c r="AD333" i="40"/>
  <c r="M334" i="40"/>
  <c r="P334" i="40"/>
  <c r="R334" i="40"/>
  <c r="G334" i="40"/>
  <c r="AD334" i="40"/>
  <c r="M335" i="40"/>
  <c r="P335" i="40"/>
  <c r="R335" i="40"/>
  <c r="G335" i="40"/>
  <c r="AD335" i="40"/>
  <c r="M336" i="40"/>
  <c r="P336" i="40"/>
  <c r="R336" i="40"/>
  <c r="G336" i="40"/>
  <c r="AD336" i="40"/>
  <c r="M337" i="40"/>
  <c r="P337" i="40"/>
  <c r="R337" i="40"/>
  <c r="G337" i="40"/>
  <c r="AD337" i="40"/>
  <c r="M338" i="40"/>
  <c r="P338" i="40"/>
  <c r="R338" i="40"/>
  <c r="G338" i="40"/>
  <c r="AD338" i="40"/>
  <c r="M339" i="40"/>
  <c r="P339" i="40"/>
  <c r="R339" i="40"/>
  <c r="G339" i="40"/>
  <c r="AD339" i="40"/>
  <c r="M340" i="40"/>
  <c r="P340" i="40"/>
  <c r="R340" i="40"/>
  <c r="G340" i="40"/>
  <c r="AD340" i="40"/>
  <c r="M341" i="40"/>
  <c r="P341" i="40"/>
  <c r="R341" i="40"/>
  <c r="G341" i="40"/>
  <c r="AD341" i="40"/>
  <c r="M342" i="40"/>
  <c r="P342" i="40"/>
  <c r="R342" i="40"/>
  <c r="G342" i="40"/>
  <c r="AD342" i="40"/>
  <c r="M343" i="40"/>
  <c r="P343" i="40"/>
  <c r="R343" i="40"/>
  <c r="G343" i="40"/>
  <c r="AD343" i="40"/>
  <c r="M344" i="40"/>
  <c r="P344" i="40"/>
  <c r="R344" i="40"/>
  <c r="G344" i="40"/>
  <c r="AD344" i="40"/>
  <c r="M345" i="40"/>
  <c r="P345" i="40"/>
  <c r="R345" i="40"/>
  <c r="G345" i="40"/>
  <c r="AD345" i="40"/>
  <c r="M346" i="40"/>
  <c r="P346" i="40"/>
  <c r="R346" i="40"/>
  <c r="G346" i="40"/>
  <c r="AD346" i="40"/>
  <c r="M347" i="40"/>
  <c r="P347" i="40"/>
  <c r="R347" i="40"/>
  <c r="G347" i="40"/>
  <c r="AD347" i="40"/>
  <c r="M348" i="40"/>
  <c r="P348" i="40"/>
  <c r="R348" i="40"/>
  <c r="G348" i="40"/>
  <c r="AD348" i="40"/>
  <c r="M349" i="40"/>
  <c r="P349" i="40"/>
  <c r="R349" i="40"/>
  <c r="G349" i="40"/>
  <c r="AD349" i="40"/>
  <c r="M350" i="40"/>
  <c r="P350" i="40"/>
  <c r="R350" i="40"/>
  <c r="G350" i="40"/>
  <c r="AD350" i="40"/>
  <c r="M351" i="40"/>
  <c r="I351" i="40"/>
  <c r="P351" i="40"/>
  <c r="R351" i="40"/>
  <c r="G351" i="40"/>
  <c r="AD351" i="40"/>
  <c r="M352" i="40"/>
  <c r="P352" i="40"/>
  <c r="R352" i="40"/>
  <c r="G352" i="40"/>
  <c r="AD352" i="40"/>
  <c r="M353" i="40"/>
  <c r="P353" i="40"/>
  <c r="R353" i="40"/>
  <c r="G353" i="40"/>
  <c r="AD353" i="40"/>
  <c r="M354" i="40"/>
  <c r="P354" i="40"/>
  <c r="R354" i="40"/>
  <c r="G354" i="40"/>
  <c r="AD354" i="40"/>
  <c r="M355" i="40"/>
  <c r="P355" i="40"/>
  <c r="R355" i="40"/>
  <c r="G355" i="40"/>
  <c r="AD355" i="40"/>
  <c r="M356" i="40"/>
  <c r="P356" i="40"/>
  <c r="R356" i="40"/>
  <c r="G356" i="40"/>
  <c r="AD356" i="40"/>
  <c r="M357" i="40"/>
  <c r="P357" i="40"/>
  <c r="R357" i="40"/>
  <c r="G357" i="40"/>
  <c r="AD357" i="40"/>
  <c r="M358" i="40"/>
  <c r="P358" i="40"/>
  <c r="R358" i="40"/>
  <c r="G358" i="40"/>
  <c r="AD358" i="40"/>
  <c r="M359" i="40"/>
  <c r="I359" i="40"/>
  <c r="P359" i="40"/>
  <c r="R359" i="40"/>
  <c r="G359" i="40"/>
  <c r="AD359" i="40"/>
  <c r="M360" i="40"/>
  <c r="P360" i="40"/>
  <c r="R360" i="40"/>
  <c r="G360" i="40"/>
  <c r="AD360" i="40"/>
  <c r="M361" i="40"/>
  <c r="P361" i="40"/>
  <c r="R361" i="40"/>
  <c r="G361" i="40"/>
  <c r="AD361" i="40"/>
  <c r="M362" i="40"/>
  <c r="P362" i="40"/>
  <c r="R362" i="40"/>
  <c r="G362" i="40"/>
  <c r="AD362" i="40"/>
  <c r="M363" i="40"/>
  <c r="P363" i="40"/>
  <c r="R363" i="40"/>
  <c r="G363" i="40"/>
  <c r="AD363" i="40"/>
  <c r="M364" i="40"/>
  <c r="P364" i="40"/>
  <c r="R364" i="40"/>
  <c r="G364" i="40"/>
  <c r="AD364" i="40"/>
  <c r="M365" i="40"/>
  <c r="P365" i="40"/>
  <c r="R365" i="40"/>
  <c r="G365" i="40"/>
  <c r="AD365" i="40"/>
  <c r="M366" i="40"/>
  <c r="P366" i="40"/>
  <c r="R366" i="40"/>
  <c r="G366" i="40"/>
  <c r="AD366" i="40"/>
  <c r="M367" i="40"/>
  <c r="I367" i="40"/>
  <c r="P367" i="40"/>
  <c r="R367" i="40"/>
  <c r="G367" i="40"/>
  <c r="AD367" i="40"/>
  <c r="M368" i="40"/>
  <c r="P368" i="40"/>
  <c r="R368" i="40"/>
  <c r="G368" i="40"/>
  <c r="AD368" i="40"/>
  <c r="M369" i="40"/>
  <c r="P369" i="40"/>
  <c r="R369" i="40"/>
  <c r="G369" i="40"/>
  <c r="AD369" i="40"/>
  <c r="M370" i="40"/>
  <c r="P370" i="40"/>
  <c r="R370" i="40"/>
  <c r="G370" i="40"/>
  <c r="AD370" i="40"/>
  <c r="M371" i="40"/>
  <c r="P371" i="40"/>
  <c r="R371" i="40"/>
  <c r="G371" i="40"/>
  <c r="AD371" i="40"/>
  <c r="M372" i="40"/>
  <c r="P372" i="40"/>
  <c r="R372" i="40"/>
  <c r="G372" i="40"/>
  <c r="AD372" i="40"/>
  <c r="M373" i="40"/>
  <c r="P373" i="40"/>
  <c r="R373" i="40"/>
  <c r="G373" i="40"/>
  <c r="AD373" i="40"/>
  <c r="M374" i="40"/>
  <c r="P374" i="40"/>
  <c r="R374" i="40"/>
  <c r="G374" i="40"/>
  <c r="AD374" i="40"/>
  <c r="M375" i="40"/>
  <c r="I375" i="40"/>
  <c r="P375" i="40"/>
  <c r="R375" i="40"/>
  <c r="G375" i="40"/>
  <c r="AD375" i="40"/>
  <c r="M376" i="40"/>
  <c r="P376" i="40"/>
  <c r="R376" i="40"/>
  <c r="G376" i="40"/>
  <c r="AD376" i="40"/>
  <c r="M377" i="40"/>
  <c r="P377" i="40"/>
  <c r="R377" i="40"/>
  <c r="G377" i="40"/>
  <c r="AD377" i="40"/>
  <c r="M378" i="40"/>
  <c r="P378" i="40"/>
  <c r="R378" i="40"/>
  <c r="G378" i="40"/>
  <c r="AD378" i="40"/>
  <c r="M379" i="40"/>
  <c r="P379" i="40"/>
  <c r="R379" i="40"/>
  <c r="G379" i="40"/>
  <c r="AD379" i="40"/>
  <c r="M380" i="40"/>
  <c r="P380" i="40"/>
  <c r="R380" i="40"/>
  <c r="G380" i="40"/>
  <c r="AD380" i="40"/>
  <c r="M381" i="40"/>
  <c r="P381" i="40"/>
  <c r="R381" i="40"/>
  <c r="G381" i="40"/>
  <c r="AD381" i="40"/>
  <c r="M382" i="40"/>
  <c r="P382" i="40"/>
  <c r="R382" i="40"/>
  <c r="G382" i="40"/>
  <c r="AD382" i="40"/>
  <c r="M383" i="40"/>
  <c r="I383" i="40"/>
  <c r="P383" i="40"/>
  <c r="R383" i="40"/>
  <c r="G383" i="40"/>
  <c r="AD383" i="40"/>
  <c r="M384" i="40"/>
  <c r="P384" i="40"/>
  <c r="R384" i="40"/>
  <c r="G384" i="40"/>
  <c r="AD384" i="40"/>
  <c r="M385" i="40"/>
  <c r="P385" i="40"/>
  <c r="R385" i="40"/>
  <c r="G385" i="40"/>
  <c r="AD385" i="40"/>
  <c r="M386" i="40"/>
  <c r="P386" i="40"/>
  <c r="R386" i="40"/>
  <c r="G386" i="40"/>
  <c r="AD386" i="40"/>
  <c r="M387" i="40"/>
  <c r="P387" i="40"/>
  <c r="R387" i="40"/>
  <c r="G387" i="40"/>
  <c r="AD387" i="40"/>
  <c r="M388" i="40"/>
  <c r="P388" i="40"/>
  <c r="R388" i="40"/>
  <c r="G388" i="40"/>
  <c r="AD388" i="40"/>
  <c r="M389" i="40"/>
  <c r="P389" i="40"/>
  <c r="R389" i="40"/>
  <c r="G389" i="40"/>
  <c r="AD389" i="40"/>
  <c r="M390" i="40"/>
  <c r="P390" i="40"/>
  <c r="R390" i="40"/>
  <c r="G390" i="40"/>
  <c r="AD390" i="40"/>
  <c r="M391" i="40"/>
  <c r="I391" i="40"/>
  <c r="P391" i="40"/>
  <c r="R391" i="40"/>
  <c r="G391" i="40"/>
  <c r="AD391" i="40"/>
  <c r="M392" i="40"/>
  <c r="P392" i="40"/>
  <c r="R392" i="40"/>
  <c r="G392" i="40"/>
  <c r="AD392" i="40"/>
  <c r="M393" i="40"/>
  <c r="P393" i="40"/>
  <c r="R393" i="40"/>
  <c r="G393" i="40"/>
  <c r="AD393" i="40"/>
  <c r="M394" i="40"/>
  <c r="P394" i="40"/>
  <c r="R394" i="40"/>
  <c r="G394" i="40"/>
  <c r="AD394" i="40"/>
  <c r="M395" i="40"/>
  <c r="P395" i="40"/>
  <c r="R395" i="40"/>
  <c r="G395" i="40"/>
  <c r="AD395" i="40"/>
  <c r="M396" i="40"/>
  <c r="P396" i="40"/>
  <c r="R396" i="40"/>
  <c r="G396" i="40"/>
  <c r="AD396" i="40"/>
  <c r="M397" i="40"/>
  <c r="P397" i="40"/>
  <c r="R397" i="40"/>
  <c r="G397" i="40"/>
  <c r="AD397" i="40"/>
  <c r="M398" i="40"/>
  <c r="P398" i="40"/>
  <c r="R398" i="40"/>
  <c r="G398" i="40"/>
  <c r="AD398" i="40"/>
  <c r="M399" i="40"/>
  <c r="I399" i="40"/>
  <c r="P399" i="40"/>
  <c r="R399" i="40"/>
  <c r="G399" i="40"/>
  <c r="AD399" i="40"/>
  <c r="M400" i="40"/>
  <c r="P400" i="40"/>
  <c r="R400" i="40"/>
  <c r="G400" i="40"/>
  <c r="AD400" i="40"/>
  <c r="M401" i="40"/>
  <c r="P401" i="40"/>
  <c r="R401" i="40"/>
  <c r="G401" i="40"/>
  <c r="AD401" i="40"/>
  <c r="M402" i="40"/>
  <c r="P402" i="40"/>
  <c r="R402" i="40"/>
  <c r="G402" i="40"/>
  <c r="AD402" i="40"/>
  <c r="M403" i="40"/>
  <c r="P403" i="40"/>
  <c r="R403" i="40"/>
  <c r="G403" i="40"/>
  <c r="AD403" i="40"/>
  <c r="M404" i="40"/>
  <c r="P404" i="40"/>
  <c r="R404" i="40"/>
  <c r="G404" i="40"/>
  <c r="AD404" i="40"/>
  <c r="M405" i="40"/>
  <c r="P405" i="40"/>
  <c r="R405" i="40"/>
  <c r="G405" i="40"/>
  <c r="AD405" i="40"/>
  <c r="M406" i="40"/>
  <c r="P406" i="40"/>
  <c r="R406" i="40"/>
  <c r="G406" i="40"/>
  <c r="AD406" i="40"/>
  <c r="M407" i="40"/>
  <c r="I407" i="40"/>
  <c r="P407" i="40"/>
  <c r="R407" i="40"/>
  <c r="G407" i="40"/>
  <c r="AD407" i="40"/>
  <c r="M408" i="40"/>
  <c r="P408" i="40"/>
  <c r="R408" i="40"/>
  <c r="G408" i="40"/>
  <c r="AD408" i="40"/>
  <c r="M409" i="40"/>
  <c r="P409" i="40"/>
  <c r="R409" i="40"/>
  <c r="G409" i="40"/>
  <c r="AD409" i="40"/>
  <c r="M410" i="40"/>
  <c r="P410" i="40"/>
  <c r="R410" i="40"/>
  <c r="G410" i="40"/>
  <c r="AD410" i="40"/>
  <c r="M411" i="40"/>
  <c r="P411" i="40"/>
  <c r="R411" i="40"/>
  <c r="G411" i="40"/>
  <c r="AD411" i="40"/>
  <c r="M412" i="40"/>
  <c r="P412" i="40"/>
  <c r="R412" i="40"/>
  <c r="G412" i="40"/>
  <c r="AD412" i="40"/>
  <c r="M413" i="40"/>
  <c r="P413" i="40"/>
  <c r="R413" i="40"/>
  <c r="G413" i="40"/>
  <c r="AD413" i="40"/>
  <c r="M414" i="40"/>
  <c r="P414" i="40"/>
  <c r="R414" i="40"/>
  <c r="G414" i="40"/>
  <c r="AD414" i="40"/>
  <c r="M415" i="40"/>
  <c r="I415" i="40"/>
  <c r="P415" i="40"/>
  <c r="R415" i="40"/>
  <c r="G415" i="40"/>
  <c r="AD415" i="40"/>
  <c r="M416" i="40"/>
  <c r="P416" i="40"/>
  <c r="R416" i="40"/>
  <c r="G416" i="40"/>
  <c r="AD416" i="40"/>
  <c r="M417" i="40"/>
  <c r="P417" i="40"/>
  <c r="R417" i="40"/>
  <c r="G417" i="40"/>
  <c r="AD417" i="40"/>
  <c r="M418" i="40"/>
  <c r="P418" i="40"/>
  <c r="R418" i="40"/>
  <c r="G418" i="40"/>
  <c r="AD418" i="40"/>
  <c r="M419" i="40"/>
  <c r="P419" i="40"/>
  <c r="R419" i="40"/>
  <c r="G419" i="40"/>
  <c r="AD419" i="40"/>
  <c r="M420" i="40"/>
  <c r="P420" i="40"/>
  <c r="R420" i="40"/>
  <c r="G420" i="40"/>
  <c r="AD420" i="40"/>
  <c r="M421" i="40"/>
  <c r="P421" i="40"/>
  <c r="R421" i="40"/>
  <c r="G421" i="40"/>
  <c r="AD421" i="40"/>
  <c r="M422" i="40"/>
  <c r="P422" i="40"/>
  <c r="R422" i="40"/>
  <c r="G422" i="40"/>
  <c r="AD422" i="40"/>
  <c r="M423" i="40"/>
  <c r="I423" i="40"/>
  <c r="P423" i="40"/>
  <c r="R423" i="40"/>
  <c r="G423" i="40"/>
  <c r="AD423" i="40"/>
  <c r="M424" i="40"/>
  <c r="P424" i="40"/>
  <c r="R424" i="40"/>
  <c r="G424" i="40"/>
  <c r="AD424" i="40"/>
  <c r="M425" i="40"/>
  <c r="P425" i="40"/>
  <c r="R425" i="40"/>
  <c r="G425" i="40"/>
  <c r="AD425" i="40"/>
  <c r="M426" i="40"/>
  <c r="P426" i="40"/>
  <c r="R426" i="40"/>
  <c r="G426" i="40"/>
  <c r="AD426" i="40"/>
  <c r="M427" i="40"/>
  <c r="P427" i="40"/>
  <c r="R427" i="40"/>
  <c r="G427" i="40"/>
  <c r="AD427" i="40"/>
  <c r="M428" i="40"/>
  <c r="P428" i="40"/>
  <c r="R428" i="40"/>
  <c r="G428" i="40"/>
  <c r="AD428" i="40"/>
  <c r="M429" i="40"/>
  <c r="P429" i="40"/>
  <c r="R429" i="40"/>
  <c r="G429" i="40"/>
  <c r="AD429" i="40"/>
  <c r="M430" i="40"/>
  <c r="P430" i="40"/>
  <c r="R430" i="40"/>
  <c r="G430" i="40"/>
  <c r="AD430" i="40"/>
  <c r="M431" i="40"/>
  <c r="I431" i="40"/>
  <c r="P431" i="40"/>
  <c r="R431" i="40"/>
  <c r="G431" i="40"/>
  <c r="AD431" i="40"/>
  <c r="M432" i="40"/>
  <c r="P432" i="40"/>
  <c r="R432" i="40"/>
  <c r="G432" i="40"/>
  <c r="AD432" i="40"/>
  <c r="M433" i="40"/>
  <c r="P433" i="40"/>
  <c r="R433" i="40"/>
  <c r="G433" i="40"/>
  <c r="AD433" i="40"/>
  <c r="M434" i="40"/>
  <c r="P434" i="40"/>
  <c r="R434" i="40"/>
  <c r="G434" i="40"/>
  <c r="AD434" i="40"/>
  <c r="M435" i="40"/>
  <c r="P435" i="40"/>
  <c r="R435" i="40"/>
  <c r="G435" i="40"/>
  <c r="AD435" i="40"/>
  <c r="M436" i="40"/>
  <c r="P436" i="40"/>
  <c r="R436" i="40"/>
  <c r="G436" i="40"/>
  <c r="AD436" i="40"/>
  <c r="M437" i="40"/>
  <c r="P437" i="40"/>
  <c r="R437" i="40"/>
  <c r="G437" i="40"/>
  <c r="AD437" i="40"/>
  <c r="M438" i="40"/>
  <c r="P438" i="40"/>
  <c r="R438" i="40"/>
  <c r="G438" i="40"/>
  <c r="AD438" i="40"/>
  <c r="M439" i="40"/>
  <c r="I439" i="40"/>
  <c r="P439" i="40"/>
  <c r="R439" i="40"/>
  <c r="G439" i="40"/>
  <c r="AD439" i="40"/>
  <c r="M440" i="40"/>
  <c r="P440" i="40"/>
  <c r="R440" i="40"/>
  <c r="G440" i="40"/>
  <c r="AD440" i="40"/>
  <c r="M441" i="40"/>
  <c r="P441" i="40"/>
  <c r="R441" i="40"/>
  <c r="G441" i="40"/>
  <c r="AD441" i="40"/>
  <c r="M442" i="40"/>
  <c r="P442" i="40"/>
  <c r="R442" i="40"/>
  <c r="G442" i="40"/>
  <c r="AD442" i="40"/>
  <c r="M443" i="40"/>
  <c r="P443" i="40"/>
  <c r="R443" i="40"/>
  <c r="G443" i="40"/>
  <c r="AD443" i="40"/>
  <c r="M444" i="40"/>
  <c r="P444" i="40"/>
  <c r="R444" i="40"/>
  <c r="G444" i="40"/>
  <c r="AD444" i="40"/>
  <c r="M445" i="40"/>
  <c r="P445" i="40"/>
  <c r="R445" i="40"/>
  <c r="G445" i="40"/>
  <c r="AD445" i="40"/>
  <c r="M446" i="40"/>
  <c r="P446" i="40"/>
  <c r="R446" i="40"/>
  <c r="G446" i="40"/>
  <c r="AD446" i="40"/>
  <c r="M447" i="40"/>
  <c r="I447" i="40"/>
  <c r="P447" i="40"/>
  <c r="R447" i="40"/>
  <c r="G447" i="40"/>
  <c r="AD447" i="40"/>
  <c r="M448" i="40"/>
  <c r="P448" i="40"/>
  <c r="R448" i="40"/>
  <c r="G448" i="40"/>
  <c r="AD448" i="40"/>
  <c r="M449" i="40"/>
  <c r="P449" i="40"/>
  <c r="R449" i="40"/>
  <c r="G449" i="40"/>
  <c r="AD449" i="40"/>
  <c r="M450" i="40"/>
  <c r="P450" i="40"/>
  <c r="R450" i="40"/>
  <c r="G450" i="40"/>
  <c r="AD450" i="40"/>
  <c r="M451" i="40"/>
  <c r="P451" i="40"/>
  <c r="R451" i="40"/>
  <c r="G451" i="40"/>
  <c r="AD451" i="40"/>
  <c r="M452" i="40"/>
  <c r="P452" i="40"/>
  <c r="R452" i="40"/>
  <c r="G452" i="40"/>
  <c r="AD452" i="40"/>
  <c r="M453" i="40"/>
  <c r="P453" i="40"/>
  <c r="R453" i="40"/>
  <c r="G453" i="40"/>
  <c r="AD453" i="40"/>
  <c r="M454" i="40"/>
  <c r="P454" i="40"/>
  <c r="R454" i="40"/>
  <c r="G454" i="40"/>
  <c r="AD454" i="40"/>
  <c r="M455" i="40"/>
  <c r="I455" i="40"/>
  <c r="P455" i="40"/>
  <c r="R455" i="40"/>
  <c r="G455" i="40"/>
  <c r="AD455" i="40"/>
  <c r="M456" i="40"/>
  <c r="P456" i="40"/>
  <c r="R456" i="40"/>
  <c r="G456" i="40"/>
  <c r="AD456" i="40"/>
  <c r="M457" i="40"/>
  <c r="P457" i="40"/>
  <c r="R457" i="40"/>
  <c r="G457" i="40"/>
  <c r="AD457" i="40"/>
  <c r="M458" i="40"/>
  <c r="P458" i="40"/>
  <c r="R458" i="40"/>
  <c r="G458" i="40"/>
  <c r="AD458" i="40"/>
  <c r="M459" i="40"/>
  <c r="P459" i="40"/>
  <c r="R459" i="40"/>
  <c r="G459" i="40"/>
  <c r="AD459" i="40"/>
  <c r="M460" i="40"/>
  <c r="P460" i="40"/>
  <c r="R460" i="40"/>
  <c r="G460" i="40"/>
  <c r="AD460" i="40"/>
  <c r="M461" i="40"/>
  <c r="P461" i="40"/>
  <c r="R461" i="40"/>
  <c r="G461" i="40"/>
  <c r="AD461" i="40"/>
  <c r="M462" i="40"/>
  <c r="P462" i="40"/>
  <c r="R462" i="40"/>
  <c r="G462" i="40"/>
  <c r="AD462" i="40"/>
  <c r="M463" i="40"/>
  <c r="I463" i="40"/>
  <c r="P463" i="40"/>
  <c r="R463" i="40"/>
  <c r="G463" i="40"/>
  <c r="AD463" i="40"/>
  <c r="M464" i="40"/>
  <c r="P464" i="40"/>
  <c r="R464" i="40"/>
  <c r="G464" i="40"/>
  <c r="AD464" i="40"/>
  <c r="M465" i="40"/>
  <c r="P465" i="40"/>
  <c r="R465" i="40"/>
  <c r="G465" i="40"/>
  <c r="AD465" i="40"/>
  <c r="M466" i="40"/>
  <c r="P466" i="40"/>
  <c r="R466" i="40"/>
  <c r="G466" i="40"/>
  <c r="AD466" i="40"/>
  <c r="M467" i="40"/>
  <c r="P467" i="40"/>
  <c r="R467" i="40"/>
  <c r="G467" i="40"/>
  <c r="AD467" i="40"/>
  <c r="M468" i="40"/>
  <c r="P468" i="40"/>
  <c r="R468" i="40"/>
  <c r="G468" i="40"/>
  <c r="AD468" i="40"/>
  <c r="M469" i="40"/>
  <c r="P469" i="40"/>
  <c r="R469" i="40"/>
  <c r="G469" i="40"/>
  <c r="AD469" i="40"/>
  <c r="M470" i="40"/>
  <c r="P470" i="40"/>
  <c r="R470" i="40"/>
  <c r="G470" i="40"/>
  <c r="AD470" i="40"/>
  <c r="M471" i="40"/>
  <c r="I471" i="40"/>
  <c r="P471" i="40"/>
  <c r="R471" i="40"/>
  <c r="G471" i="40"/>
  <c r="AD471" i="40"/>
  <c r="M472" i="40"/>
  <c r="P472" i="40"/>
  <c r="R472" i="40"/>
  <c r="G472" i="40"/>
  <c r="AD472" i="40"/>
  <c r="M473" i="40"/>
  <c r="P473" i="40"/>
  <c r="R473" i="40"/>
  <c r="G473" i="40"/>
  <c r="AD473" i="40"/>
  <c r="M474" i="40"/>
  <c r="P474" i="40"/>
  <c r="R474" i="40"/>
  <c r="G474" i="40"/>
  <c r="AD474" i="40"/>
  <c r="M475" i="40"/>
  <c r="P475" i="40"/>
  <c r="R475" i="40"/>
  <c r="G475" i="40"/>
  <c r="AD475" i="40"/>
  <c r="M476" i="40"/>
  <c r="P476" i="40"/>
  <c r="R476" i="40"/>
  <c r="G476" i="40"/>
  <c r="AD476" i="40"/>
  <c r="M477" i="40"/>
  <c r="P477" i="40"/>
  <c r="R477" i="40"/>
  <c r="G477" i="40"/>
  <c r="AD477" i="40"/>
  <c r="M478" i="40"/>
  <c r="P478" i="40"/>
  <c r="R478" i="40"/>
  <c r="G478" i="40"/>
  <c r="AD478" i="40"/>
  <c r="M479" i="40"/>
  <c r="I479" i="40"/>
  <c r="P479" i="40"/>
  <c r="R479" i="40"/>
  <c r="G479" i="40"/>
  <c r="AD479" i="40"/>
  <c r="M480" i="40"/>
  <c r="P480" i="40"/>
  <c r="R480" i="40"/>
  <c r="G480" i="40"/>
  <c r="AD480" i="40"/>
  <c r="M481" i="40"/>
  <c r="P481" i="40"/>
  <c r="R481" i="40"/>
  <c r="G481" i="40"/>
  <c r="AD481" i="40"/>
  <c r="M482" i="40"/>
  <c r="P482" i="40"/>
  <c r="R482" i="40"/>
  <c r="G482" i="40"/>
  <c r="AD482" i="40"/>
  <c r="M483" i="40"/>
  <c r="P483" i="40"/>
  <c r="R483" i="40"/>
  <c r="G483" i="40"/>
  <c r="AD483" i="40"/>
  <c r="M484" i="40"/>
  <c r="P484" i="40"/>
  <c r="R484" i="40"/>
  <c r="G484" i="40"/>
  <c r="AD484" i="40"/>
  <c r="M485" i="40"/>
  <c r="P485" i="40"/>
  <c r="R485" i="40"/>
  <c r="G485" i="40"/>
  <c r="AD485" i="40"/>
  <c r="M486" i="40"/>
  <c r="P486" i="40"/>
  <c r="R486" i="40"/>
  <c r="G486" i="40"/>
  <c r="AD486" i="40"/>
  <c r="M487" i="40"/>
  <c r="I487" i="40"/>
  <c r="P487" i="40"/>
  <c r="R487" i="40"/>
  <c r="G487" i="40"/>
  <c r="AD487" i="40"/>
  <c r="M488" i="40"/>
  <c r="P488" i="40"/>
  <c r="R488" i="40"/>
  <c r="G488" i="40"/>
  <c r="AD488" i="40"/>
  <c r="M489" i="40"/>
  <c r="P489" i="40"/>
  <c r="R489" i="40"/>
  <c r="G489" i="40"/>
  <c r="AD489" i="40"/>
  <c r="M490" i="40"/>
  <c r="P490" i="40"/>
  <c r="R490" i="40"/>
  <c r="G490" i="40"/>
  <c r="AD490" i="40"/>
  <c r="M491" i="40"/>
  <c r="P491" i="40"/>
  <c r="R491" i="40"/>
  <c r="G491" i="40"/>
  <c r="AD491" i="40"/>
  <c r="M492" i="40"/>
  <c r="P492" i="40"/>
  <c r="R492" i="40"/>
  <c r="G492" i="40"/>
  <c r="AD492" i="40"/>
  <c r="M493" i="40"/>
  <c r="P493" i="40"/>
  <c r="R493" i="40"/>
  <c r="G493" i="40"/>
  <c r="AD493" i="40"/>
  <c r="M494" i="40"/>
  <c r="P494" i="40"/>
  <c r="R494" i="40"/>
  <c r="G494" i="40"/>
  <c r="AD494" i="40"/>
  <c r="M495" i="40"/>
  <c r="I495" i="40"/>
  <c r="P495" i="40"/>
  <c r="R495" i="40"/>
  <c r="G495" i="40"/>
  <c r="AD495" i="40"/>
  <c r="M496" i="40"/>
  <c r="P496" i="40"/>
  <c r="R496" i="40"/>
  <c r="G496" i="40"/>
  <c r="AD496" i="40"/>
  <c r="M497" i="40"/>
  <c r="P497" i="40"/>
  <c r="R497" i="40"/>
  <c r="G497" i="40"/>
  <c r="AD497" i="40"/>
  <c r="M498" i="40"/>
  <c r="P498" i="40"/>
  <c r="R498" i="40"/>
  <c r="G498" i="40"/>
  <c r="AD498" i="40"/>
  <c r="M499" i="40"/>
  <c r="P499" i="40"/>
  <c r="R499" i="40"/>
  <c r="G499" i="40"/>
  <c r="AD499" i="40"/>
  <c r="M500" i="40"/>
  <c r="P500" i="40"/>
  <c r="R500" i="40"/>
  <c r="G500" i="40"/>
  <c r="AD500" i="40"/>
  <c r="M501" i="40"/>
  <c r="P501" i="40"/>
  <c r="R501" i="40"/>
  <c r="G501" i="40"/>
  <c r="AD501" i="40"/>
  <c r="M502" i="40"/>
  <c r="P502" i="40"/>
  <c r="R502" i="40"/>
  <c r="G502" i="40"/>
  <c r="AD502" i="40"/>
  <c r="M503" i="40"/>
  <c r="I503" i="40"/>
  <c r="P503" i="40"/>
  <c r="R503" i="40"/>
  <c r="G503" i="40"/>
  <c r="AD503" i="40"/>
  <c r="M504" i="40"/>
  <c r="P504" i="40"/>
  <c r="R504" i="40"/>
  <c r="G504" i="40"/>
  <c r="AD504" i="40"/>
  <c r="M505" i="40"/>
  <c r="P505" i="40"/>
  <c r="R505" i="40"/>
  <c r="G505" i="40"/>
  <c r="AD505" i="40"/>
  <c r="M506" i="40"/>
  <c r="P506" i="40"/>
  <c r="R506" i="40"/>
  <c r="G506" i="40"/>
  <c r="AD506" i="40"/>
  <c r="M507" i="40"/>
  <c r="P507" i="40"/>
  <c r="R507" i="40"/>
  <c r="G507" i="40"/>
  <c r="AD507" i="40"/>
  <c r="M508" i="40"/>
  <c r="P508" i="40"/>
  <c r="R508" i="40"/>
  <c r="G508" i="40"/>
  <c r="AD508" i="40"/>
  <c r="M509" i="40"/>
  <c r="P509" i="40"/>
  <c r="R509" i="40"/>
  <c r="G509" i="40"/>
  <c r="AD509" i="40"/>
  <c r="M510" i="40"/>
  <c r="P510" i="40"/>
  <c r="R510" i="40"/>
  <c r="G510" i="40"/>
  <c r="AD510" i="40"/>
  <c r="M511" i="40"/>
  <c r="I511" i="40"/>
  <c r="P511" i="40"/>
  <c r="R511" i="40"/>
  <c r="G511" i="40"/>
  <c r="AD511" i="40"/>
  <c r="M512" i="40"/>
  <c r="P512" i="40"/>
  <c r="R512" i="40"/>
  <c r="G512" i="40"/>
  <c r="AD512" i="40"/>
  <c r="M513" i="40"/>
  <c r="P513" i="40"/>
  <c r="R513" i="40"/>
  <c r="G513" i="40"/>
  <c r="AD513" i="40"/>
  <c r="M514" i="40"/>
  <c r="P514" i="40"/>
  <c r="R514" i="40"/>
  <c r="G514" i="40"/>
  <c r="AD514" i="40"/>
  <c r="M515" i="40"/>
  <c r="P515" i="40"/>
  <c r="R515" i="40"/>
  <c r="G515" i="40"/>
  <c r="AD515" i="40"/>
  <c r="F29" i="44"/>
  <c r="N515" i="44"/>
  <c r="G515" i="44"/>
  <c r="V515" i="44"/>
  <c r="B515" i="44"/>
  <c r="N514" i="44"/>
  <c r="G514" i="44"/>
  <c r="V514" i="44"/>
  <c r="B514" i="44"/>
  <c r="N513" i="44"/>
  <c r="G513" i="44"/>
  <c r="V513" i="44"/>
  <c r="B513" i="44"/>
  <c r="N512" i="44"/>
  <c r="G512" i="44"/>
  <c r="V512" i="44"/>
  <c r="B512" i="44"/>
  <c r="N511" i="44"/>
  <c r="G511" i="44"/>
  <c r="V511" i="44"/>
  <c r="B511" i="44"/>
  <c r="N510" i="44"/>
  <c r="G510" i="44"/>
  <c r="V510" i="44"/>
  <c r="B510" i="44"/>
  <c r="N509" i="44"/>
  <c r="G509" i="44"/>
  <c r="V509" i="44"/>
  <c r="B509" i="44"/>
  <c r="N508" i="44"/>
  <c r="G508" i="44"/>
  <c r="V508" i="44"/>
  <c r="B508" i="44"/>
  <c r="N507" i="44"/>
  <c r="G507" i="44"/>
  <c r="V507" i="44"/>
  <c r="B507" i="44"/>
  <c r="N506" i="44"/>
  <c r="G506" i="44"/>
  <c r="V506" i="44"/>
  <c r="B506" i="44"/>
  <c r="N505" i="44"/>
  <c r="G505" i="44"/>
  <c r="V505" i="44"/>
  <c r="B505" i="44"/>
  <c r="N504" i="44"/>
  <c r="G504" i="44"/>
  <c r="V504" i="44"/>
  <c r="B504" i="44"/>
  <c r="N503" i="44"/>
  <c r="G503" i="44"/>
  <c r="V503" i="44"/>
  <c r="B503" i="44"/>
  <c r="N502" i="44"/>
  <c r="G502" i="44"/>
  <c r="V502" i="44"/>
  <c r="B502" i="44"/>
  <c r="N501" i="44"/>
  <c r="G501" i="44"/>
  <c r="V501" i="44"/>
  <c r="B501" i="44"/>
  <c r="N500" i="44"/>
  <c r="G500" i="44"/>
  <c r="V500" i="44"/>
  <c r="B500" i="44"/>
  <c r="N499" i="44"/>
  <c r="G499" i="44"/>
  <c r="V499" i="44"/>
  <c r="B499" i="44"/>
  <c r="N498" i="44"/>
  <c r="G498" i="44"/>
  <c r="V498" i="44"/>
  <c r="B498" i="44"/>
  <c r="N497" i="44"/>
  <c r="G497" i="44"/>
  <c r="V497" i="44"/>
  <c r="B497" i="44"/>
  <c r="N496" i="44"/>
  <c r="G496" i="44"/>
  <c r="V496" i="44"/>
  <c r="B496" i="44"/>
  <c r="N495" i="44"/>
  <c r="G495" i="44"/>
  <c r="V495" i="44"/>
  <c r="B495" i="44"/>
  <c r="N494" i="44"/>
  <c r="G494" i="44"/>
  <c r="V494" i="44"/>
  <c r="B494" i="44"/>
  <c r="N493" i="44"/>
  <c r="G493" i="44"/>
  <c r="V493" i="44"/>
  <c r="B493" i="44"/>
  <c r="N492" i="44"/>
  <c r="G492" i="44"/>
  <c r="V492" i="44"/>
  <c r="B492" i="44"/>
  <c r="N491" i="44"/>
  <c r="G491" i="44"/>
  <c r="V491" i="44"/>
  <c r="B491" i="44"/>
  <c r="N490" i="44"/>
  <c r="G490" i="44"/>
  <c r="V490" i="44"/>
  <c r="B490" i="44"/>
  <c r="N489" i="44"/>
  <c r="G489" i="44"/>
  <c r="V489" i="44"/>
  <c r="B489" i="44"/>
  <c r="N488" i="44"/>
  <c r="G488" i="44"/>
  <c r="V488" i="44"/>
  <c r="B488" i="44"/>
  <c r="N487" i="44"/>
  <c r="G487" i="44"/>
  <c r="V487" i="44"/>
  <c r="B487" i="44"/>
  <c r="N486" i="44"/>
  <c r="G486" i="44"/>
  <c r="V486" i="44"/>
  <c r="B486" i="44"/>
  <c r="N485" i="44"/>
  <c r="G485" i="44"/>
  <c r="V485" i="44"/>
  <c r="B485" i="44"/>
  <c r="N484" i="44"/>
  <c r="G484" i="44"/>
  <c r="V484" i="44"/>
  <c r="B484" i="44"/>
  <c r="N483" i="44"/>
  <c r="G483" i="44"/>
  <c r="V483" i="44"/>
  <c r="B483" i="44"/>
  <c r="N482" i="44"/>
  <c r="G482" i="44"/>
  <c r="V482" i="44"/>
  <c r="B482" i="44"/>
  <c r="N481" i="44"/>
  <c r="G481" i="44"/>
  <c r="V481" i="44"/>
  <c r="B481" i="44"/>
  <c r="N480" i="44"/>
  <c r="G480" i="44"/>
  <c r="V480" i="44"/>
  <c r="B480" i="44"/>
  <c r="N479" i="44"/>
  <c r="G479" i="44"/>
  <c r="V479" i="44"/>
  <c r="B479" i="44"/>
  <c r="N478" i="44"/>
  <c r="G478" i="44"/>
  <c r="V478" i="44"/>
  <c r="B478" i="44"/>
  <c r="N477" i="44"/>
  <c r="G477" i="44"/>
  <c r="V477" i="44"/>
  <c r="B477" i="44"/>
  <c r="N476" i="44"/>
  <c r="G476" i="44"/>
  <c r="V476" i="44"/>
  <c r="B476" i="44"/>
  <c r="N475" i="44"/>
  <c r="G475" i="44"/>
  <c r="V475" i="44"/>
  <c r="B475" i="44"/>
  <c r="N474" i="44"/>
  <c r="G474" i="44"/>
  <c r="V474" i="44"/>
  <c r="B474" i="44"/>
  <c r="N473" i="44"/>
  <c r="G473" i="44"/>
  <c r="V473" i="44"/>
  <c r="B473" i="44"/>
  <c r="N472" i="44"/>
  <c r="G472" i="44"/>
  <c r="V472" i="44"/>
  <c r="B472" i="44"/>
  <c r="N471" i="44"/>
  <c r="G471" i="44"/>
  <c r="V471" i="44"/>
  <c r="B471" i="44"/>
  <c r="N470" i="44"/>
  <c r="G470" i="44"/>
  <c r="V470" i="44"/>
  <c r="B470" i="44"/>
  <c r="N469" i="44"/>
  <c r="G469" i="44"/>
  <c r="V469" i="44"/>
  <c r="B469" i="44"/>
  <c r="N468" i="44"/>
  <c r="G468" i="44"/>
  <c r="V468" i="44"/>
  <c r="B468" i="44"/>
  <c r="N467" i="44"/>
  <c r="G467" i="44"/>
  <c r="V467" i="44"/>
  <c r="B467" i="44"/>
  <c r="N466" i="44"/>
  <c r="G466" i="44"/>
  <c r="V466" i="44"/>
  <c r="B466" i="44"/>
  <c r="N465" i="44"/>
  <c r="G465" i="44"/>
  <c r="V465" i="44"/>
  <c r="B465" i="44"/>
  <c r="N464" i="44"/>
  <c r="G464" i="44"/>
  <c r="V464" i="44"/>
  <c r="B464" i="44"/>
  <c r="N463" i="44"/>
  <c r="G463" i="44"/>
  <c r="V463" i="44"/>
  <c r="B463" i="44"/>
  <c r="N462" i="44"/>
  <c r="G462" i="44"/>
  <c r="V462" i="44"/>
  <c r="B462" i="44"/>
  <c r="N461" i="44"/>
  <c r="G461" i="44"/>
  <c r="V461" i="44"/>
  <c r="B461" i="44"/>
  <c r="N460" i="44"/>
  <c r="G460" i="44"/>
  <c r="V460" i="44"/>
  <c r="B460" i="44"/>
  <c r="N459" i="44"/>
  <c r="G459" i="44"/>
  <c r="V459" i="44"/>
  <c r="B459" i="44"/>
  <c r="N458" i="44"/>
  <c r="G458" i="44"/>
  <c r="V458" i="44"/>
  <c r="B458" i="44"/>
  <c r="N457" i="44"/>
  <c r="G457" i="44"/>
  <c r="V457" i="44"/>
  <c r="B457" i="44"/>
  <c r="N456" i="44"/>
  <c r="G456" i="44"/>
  <c r="V456" i="44"/>
  <c r="B456" i="44"/>
  <c r="N455" i="44"/>
  <c r="G455" i="44"/>
  <c r="V455" i="44"/>
  <c r="B455" i="44"/>
  <c r="N454" i="44"/>
  <c r="G454" i="44"/>
  <c r="V454" i="44"/>
  <c r="B454" i="44"/>
  <c r="N453" i="44"/>
  <c r="G453" i="44"/>
  <c r="V453" i="44"/>
  <c r="B453" i="44"/>
  <c r="N452" i="44"/>
  <c r="G452" i="44"/>
  <c r="V452" i="44"/>
  <c r="B452" i="44"/>
  <c r="N451" i="44"/>
  <c r="G451" i="44"/>
  <c r="V451" i="44"/>
  <c r="B451" i="44"/>
  <c r="N450" i="44"/>
  <c r="G450" i="44"/>
  <c r="V450" i="44"/>
  <c r="B450" i="44"/>
  <c r="N449" i="44"/>
  <c r="G449" i="44"/>
  <c r="V449" i="44"/>
  <c r="B449" i="44"/>
  <c r="N448" i="44"/>
  <c r="G448" i="44"/>
  <c r="V448" i="44"/>
  <c r="B448" i="44"/>
  <c r="N447" i="44"/>
  <c r="G447" i="44"/>
  <c r="V447" i="44"/>
  <c r="B447" i="44"/>
  <c r="N446" i="44"/>
  <c r="G446" i="44"/>
  <c r="V446" i="44"/>
  <c r="B446" i="44"/>
  <c r="N445" i="44"/>
  <c r="G445" i="44"/>
  <c r="V445" i="44"/>
  <c r="B445" i="44"/>
  <c r="N444" i="44"/>
  <c r="G444" i="44"/>
  <c r="V444" i="44"/>
  <c r="B444" i="44"/>
  <c r="N443" i="44"/>
  <c r="G443" i="44"/>
  <c r="V443" i="44"/>
  <c r="B443" i="44"/>
  <c r="N442" i="44"/>
  <c r="G442" i="44"/>
  <c r="V442" i="44"/>
  <c r="B442" i="44"/>
  <c r="N441" i="44"/>
  <c r="G441" i="44"/>
  <c r="V441" i="44"/>
  <c r="B441" i="44"/>
  <c r="N440" i="44"/>
  <c r="G440" i="44"/>
  <c r="V440" i="44"/>
  <c r="B440" i="44"/>
  <c r="N439" i="44"/>
  <c r="G439" i="44"/>
  <c r="V439" i="44"/>
  <c r="B439" i="44"/>
  <c r="N438" i="44"/>
  <c r="G438" i="44"/>
  <c r="V438" i="44"/>
  <c r="B438" i="44"/>
  <c r="N437" i="44"/>
  <c r="G437" i="44"/>
  <c r="V437" i="44"/>
  <c r="B437" i="44"/>
  <c r="N436" i="44"/>
  <c r="G436" i="44"/>
  <c r="V436" i="44"/>
  <c r="B436" i="44"/>
  <c r="N435" i="44"/>
  <c r="G435" i="44"/>
  <c r="V435" i="44"/>
  <c r="B435" i="44"/>
  <c r="N434" i="44"/>
  <c r="G434" i="44"/>
  <c r="V434" i="44"/>
  <c r="B434" i="44"/>
  <c r="N433" i="44"/>
  <c r="G433" i="44"/>
  <c r="V433" i="44"/>
  <c r="B433" i="44"/>
  <c r="N432" i="44"/>
  <c r="G432" i="44"/>
  <c r="V432" i="44"/>
  <c r="B432" i="44"/>
  <c r="N431" i="44"/>
  <c r="G431" i="44"/>
  <c r="V431" i="44"/>
  <c r="B431" i="44"/>
  <c r="I430" i="44"/>
  <c r="N430" i="44"/>
  <c r="G430" i="44"/>
  <c r="V430" i="44"/>
  <c r="B430" i="44"/>
  <c r="N429" i="44"/>
  <c r="G429" i="44"/>
  <c r="V429" i="44"/>
  <c r="B429" i="44"/>
  <c r="N428" i="44"/>
  <c r="G428" i="44"/>
  <c r="V428" i="44"/>
  <c r="B428" i="44"/>
  <c r="N427" i="44"/>
  <c r="G427" i="44"/>
  <c r="V427" i="44"/>
  <c r="B427" i="44"/>
  <c r="N426" i="44"/>
  <c r="G426" i="44"/>
  <c r="V426" i="44"/>
  <c r="B426" i="44"/>
  <c r="N425" i="44"/>
  <c r="G425" i="44"/>
  <c r="V425" i="44"/>
  <c r="B425" i="44"/>
  <c r="N424" i="44"/>
  <c r="G424" i="44"/>
  <c r="V424" i="44"/>
  <c r="B424" i="44"/>
  <c r="N423" i="44"/>
  <c r="G423" i="44"/>
  <c r="V423" i="44"/>
  <c r="B423" i="44"/>
  <c r="N422" i="44"/>
  <c r="G422" i="44"/>
  <c r="V422" i="44"/>
  <c r="B422" i="44"/>
  <c r="N421" i="44"/>
  <c r="G421" i="44"/>
  <c r="V421" i="44"/>
  <c r="B421" i="44"/>
  <c r="N420" i="44"/>
  <c r="G420" i="44"/>
  <c r="V420" i="44"/>
  <c r="B420" i="44"/>
  <c r="N419" i="44"/>
  <c r="G419" i="44"/>
  <c r="V419" i="44"/>
  <c r="B419" i="44"/>
  <c r="N418" i="44"/>
  <c r="G418" i="44"/>
  <c r="V418" i="44"/>
  <c r="B418" i="44"/>
  <c r="N417" i="44"/>
  <c r="G417" i="44"/>
  <c r="V417" i="44"/>
  <c r="B417" i="44"/>
  <c r="N416" i="44"/>
  <c r="G416" i="44"/>
  <c r="V416" i="44"/>
  <c r="B416" i="44"/>
  <c r="N415" i="44"/>
  <c r="G415" i="44"/>
  <c r="V415" i="44"/>
  <c r="B415" i="44"/>
  <c r="N414" i="44"/>
  <c r="G414" i="44"/>
  <c r="V414" i="44"/>
  <c r="B414" i="44"/>
  <c r="N413" i="44"/>
  <c r="G413" i="44"/>
  <c r="V413" i="44"/>
  <c r="B413" i="44"/>
  <c r="N412" i="44"/>
  <c r="G412" i="44"/>
  <c r="V412" i="44"/>
  <c r="B412" i="44"/>
  <c r="N411" i="44"/>
  <c r="G411" i="44"/>
  <c r="V411" i="44"/>
  <c r="B411" i="44"/>
  <c r="N410" i="44"/>
  <c r="G410" i="44"/>
  <c r="V410" i="44"/>
  <c r="B410" i="44"/>
  <c r="N409" i="44"/>
  <c r="G409" i="44"/>
  <c r="V409" i="44"/>
  <c r="B409" i="44"/>
  <c r="N408" i="44"/>
  <c r="G408" i="44"/>
  <c r="V408" i="44"/>
  <c r="B408" i="44"/>
  <c r="N407" i="44"/>
  <c r="G407" i="44"/>
  <c r="V407" i="44"/>
  <c r="B407" i="44"/>
  <c r="N406" i="44"/>
  <c r="G406" i="44"/>
  <c r="V406" i="44"/>
  <c r="B406" i="44"/>
  <c r="N405" i="44"/>
  <c r="G405" i="44"/>
  <c r="V405" i="44"/>
  <c r="B405" i="44"/>
  <c r="N404" i="44"/>
  <c r="G404" i="44"/>
  <c r="V404" i="44"/>
  <c r="B404" i="44"/>
  <c r="N403" i="44"/>
  <c r="G403" i="44"/>
  <c r="V403" i="44"/>
  <c r="B403" i="44"/>
  <c r="N402" i="44"/>
  <c r="G402" i="44"/>
  <c r="V402" i="44"/>
  <c r="B402" i="44"/>
  <c r="N401" i="44"/>
  <c r="G401" i="44"/>
  <c r="V401" i="44"/>
  <c r="B401" i="44"/>
  <c r="N400" i="44"/>
  <c r="G400" i="44"/>
  <c r="V400" i="44"/>
  <c r="B400" i="44"/>
  <c r="N399" i="44"/>
  <c r="G399" i="44"/>
  <c r="V399" i="44"/>
  <c r="B399" i="44"/>
  <c r="I398" i="44"/>
  <c r="N398" i="44"/>
  <c r="G398" i="44"/>
  <c r="V398" i="44"/>
  <c r="B398" i="44"/>
  <c r="N397" i="44"/>
  <c r="G397" i="44"/>
  <c r="V397" i="44"/>
  <c r="B397" i="44"/>
  <c r="N396" i="44"/>
  <c r="G396" i="44"/>
  <c r="V396" i="44"/>
  <c r="B396" i="44"/>
  <c r="N395" i="44"/>
  <c r="G395" i="44"/>
  <c r="V395" i="44"/>
  <c r="B395" i="44"/>
  <c r="N394" i="44"/>
  <c r="G394" i="44"/>
  <c r="V394" i="44"/>
  <c r="B394" i="44"/>
  <c r="N393" i="44"/>
  <c r="G393" i="44"/>
  <c r="V393" i="44"/>
  <c r="B393" i="44"/>
  <c r="N392" i="44"/>
  <c r="G392" i="44"/>
  <c r="V392" i="44"/>
  <c r="B392" i="44"/>
  <c r="N391" i="44"/>
  <c r="G391" i="44"/>
  <c r="V391" i="44"/>
  <c r="B391" i="44"/>
  <c r="N390" i="44"/>
  <c r="G390" i="44"/>
  <c r="V390" i="44"/>
  <c r="B390" i="44"/>
  <c r="N389" i="44"/>
  <c r="G389" i="44"/>
  <c r="V389" i="44"/>
  <c r="B389" i="44"/>
  <c r="N388" i="44"/>
  <c r="G388" i="44"/>
  <c r="V388" i="44"/>
  <c r="B388" i="44"/>
  <c r="N387" i="44"/>
  <c r="G387" i="44"/>
  <c r="V387" i="44"/>
  <c r="B387" i="44"/>
  <c r="N386" i="44"/>
  <c r="G386" i="44"/>
  <c r="V386" i="44"/>
  <c r="B386" i="44"/>
  <c r="N385" i="44"/>
  <c r="G385" i="44"/>
  <c r="V385" i="44"/>
  <c r="B385" i="44"/>
  <c r="N384" i="44"/>
  <c r="G384" i="44"/>
  <c r="V384" i="44"/>
  <c r="B384" i="44"/>
  <c r="N383" i="44"/>
  <c r="G383" i="44"/>
  <c r="V383" i="44"/>
  <c r="B383" i="44"/>
  <c r="N382" i="44"/>
  <c r="G382" i="44"/>
  <c r="V382" i="44"/>
  <c r="B382" i="44"/>
  <c r="N381" i="44"/>
  <c r="G381" i="44"/>
  <c r="V381" i="44"/>
  <c r="B381" i="44"/>
  <c r="N380" i="44"/>
  <c r="G380" i="44"/>
  <c r="V380" i="44"/>
  <c r="B380" i="44"/>
  <c r="N379" i="44"/>
  <c r="G379" i="44"/>
  <c r="V379" i="44"/>
  <c r="B379" i="44"/>
  <c r="N378" i="44"/>
  <c r="G378" i="44"/>
  <c r="V378" i="44"/>
  <c r="B378" i="44"/>
  <c r="N377" i="44"/>
  <c r="G377" i="44"/>
  <c r="V377" i="44"/>
  <c r="B377" i="44"/>
  <c r="N376" i="44"/>
  <c r="G376" i="44"/>
  <c r="V376" i="44"/>
  <c r="B376" i="44"/>
  <c r="N375" i="44"/>
  <c r="G375" i="44"/>
  <c r="V375" i="44"/>
  <c r="B375" i="44"/>
  <c r="N374" i="44"/>
  <c r="G374" i="44"/>
  <c r="V374" i="44"/>
  <c r="B374" i="44"/>
  <c r="N373" i="44"/>
  <c r="G373" i="44"/>
  <c r="V373" i="44"/>
  <c r="B373" i="44"/>
  <c r="N372" i="44"/>
  <c r="G372" i="44"/>
  <c r="V372" i="44"/>
  <c r="B372" i="44"/>
  <c r="N371" i="44"/>
  <c r="G371" i="44"/>
  <c r="V371" i="44"/>
  <c r="B371" i="44"/>
  <c r="N370" i="44"/>
  <c r="G370" i="44"/>
  <c r="V370" i="44"/>
  <c r="B370" i="44"/>
  <c r="N369" i="44"/>
  <c r="G369" i="44"/>
  <c r="V369" i="44"/>
  <c r="B369" i="44"/>
  <c r="N368" i="44"/>
  <c r="G368" i="44"/>
  <c r="V368" i="44"/>
  <c r="B368" i="44"/>
  <c r="N367" i="44"/>
  <c r="G367" i="44"/>
  <c r="V367" i="44"/>
  <c r="B367" i="44"/>
  <c r="I366" i="44"/>
  <c r="N366" i="44"/>
  <c r="G366" i="44"/>
  <c r="V366" i="44"/>
  <c r="B366" i="44"/>
  <c r="N365" i="44"/>
  <c r="G365" i="44"/>
  <c r="V365" i="44"/>
  <c r="B365" i="44"/>
  <c r="N364" i="44"/>
  <c r="G364" i="44"/>
  <c r="V364" i="44"/>
  <c r="B364" i="44"/>
  <c r="N363" i="44"/>
  <c r="G363" i="44"/>
  <c r="V363" i="44"/>
  <c r="B363" i="44"/>
  <c r="N362" i="44"/>
  <c r="G362" i="44"/>
  <c r="V362" i="44"/>
  <c r="B362" i="44"/>
  <c r="N361" i="44"/>
  <c r="G361" i="44"/>
  <c r="V361" i="44"/>
  <c r="B361" i="44"/>
  <c r="N360" i="44"/>
  <c r="G360" i="44"/>
  <c r="V360" i="44"/>
  <c r="B360" i="44"/>
  <c r="N359" i="44"/>
  <c r="G359" i="44"/>
  <c r="V359" i="44"/>
  <c r="B359" i="44"/>
  <c r="N358" i="44"/>
  <c r="G358" i="44"/>
  <c r="V358" i="44"/>
  <c r="B358" i="44"/>
  <c r="N357" i="44"/>
  <c r="G357" i="44"/>
  <c r="V357" i="44"/>
  <c r="B357" i="44"/>
  <c r="N356" i="44"/>
  <c r="G356" i="44"/>
  <c r="V356" i="44"/>
  <c r="B356" i="44"/>
  <c r="N355" i="44"/>
  <c r="G355" i="44"/>
  <c r="V355" i="44"/>
  <c r="B355" i="44"/>
  <c r="N354" i="44"/>
  <c r="G354" i="44"/>
  <c r="V354" i="44"/>
  <c r="B354" i="44"/>
  <c r="N353" i="44"/>
  <c r="G353" i="44"/>
  <c r="V353" i="44"/>
  <c r="B353" i="44"/>
  <c r="N352" i="44"/>
  <c r="G352" i="44"/>
  <c r="V352" i="44"/>
  <c r="B352" i="44"/>
  <c r="N351" i="44"/>
  <c r="G351" i="44"/>
  <c r="V351" i="44"/>
  <c r="B351" i="44"/>
  <c r="N350" i="44"/>
  <c r="G350" i="44"/>
  <c r="V350" i="44"/>
  <c r="B350" i="44"/>
  <c r="N349" i="44"/>
  <c r="G349" i="44"/>
  <c r="V349" i="44"/>
  <c r="B349" i="44"/>
  <c r="N348" i="44"/>
  <c r="G348" i="44"/>
  <c r="V348" i="44"/>
  <c r="B348" i="44"/>
  <c r="N347" i="44"/>
  <c r="G347" i="44"/>
  <c r="V347" i="44"/>
  <c r="B347" i="44"/>
  <c r="N346" i="44"/>
  <c r="G346" i="44"/>
  <c r="V346" i="44"/>
  <c r="B346" i="44"/>
  <c r="N345" i="44"/>
  <c r="G345" i="44"/>
  <c r="V345" i="44"/>
  <c r="B345" i="44"/>
  <c r="N344" i="44"/>
  <c r="G344" i="44"/>
  <c r="V344" i="44"/>
  <c r="B344" i="44"/>
  <c r="N343" i="44"/>
  <c r="G343" i="44"/>
  <c r="V343" i="44"/>
  <c r="B343" i="44"/>
  <c r="N342" i="44"/>
  <c r="G342" i="44"/>
  <c r="V342" i="44"/>
  <c r="B342" i="44"/>
  <c r="N341" i="44"/>
  <c r="G341" i="44"/>
  <c r="V341" i="44"/>
  <c r="B341" i="44"/>
  <c r="N340" i="44"/>
  <c r="G340" i="44"/>
  <c r="V340" i="44"/>
  <c r="B340" i="44"/>
  <c r="N339" i="44"/>
  <c r="G339" i="44"/>
  <c r="V339" i="44"/>
  <c r="B339" i="44"/>
  <c r="N338" i="44"/>
  <c r="G338" i="44"/>
  <c r="V338" i="44"/>
  <c r="B338" i="44"/>
  <c r="N337" i="44"/>
  <c r="G337" i="44"/>
  <c r="V337" i="44"/>
  <c r="B337" i="44"/>
  <c r="N336" i="44"/>
  <c r="G336" i="44"/>
  <c r="V336" i="44"/>
  <c r="B336" i="44"/>
  <c r="N335" i="44"/>
  <c r="G335" i="44"/>
  <c r="V335" i="44"/>
  <c r="B335" i="44"/>
  <c r="N334" i="44"/>
  <c r="G334" i="44"/>
  <c r="V334" i="44"/>
  <c r="B334" i="44"/>
  <c r="N333" i="44"/>
  <c r="G333" i="44"/>
  <c r="V333" i="44"/>
  <c r="B333" i="44"/>
  <c r="N332" i="44"/>
  <c r="G332" i="44"/>
  <c r="V332" i="44"/>
  <c r="B332" i="44"/>
  <c r="N331" i="44"/>
  <c r="G331" i="44"/>
  <c r="V331" i="44"/>
  <c r="B331" i="44"/>
  <c r="N330" i="44"/>
  <c r="G330" i="44"/>
  <c r="V330" i="44"/>
  <c r="B330" i="44"/>
  <c r="N329" i="44"/>
  <c r="G329" i="44"/>
  <c r="V329" i="44"/>
  <c r="B329" i="44"/>
  <c r="N328" i="44"/>
  <c r="G328" i="44"/>
  <c r="V328" i="44"/>
  <c r="B328" i="44"/>
  <c r="N327" i="44"/>
  <c r="G327" i="44"/>
  <c r="V327" i="44"/>
  <c r="B327" i="44"/>
  <c r="N326" i="44"/>
  <c r="G326" i="44"/>
  <c r="V326" i="44"/>
  <c r="B326" i="44"/>
  <c r="N325" i="44"/>
  <c r="G325" i="44"/>
  <c r="V325" i="44"/>
  <c r="B325" i="44"/>
  <c r="N324" i="44"/>
  <c r="G324" i="44"/>
  <c r="V324" i="44"/>
  <c r="B324" i="44"/>
  <c r="N323" i="44"/>
  <c r="G323" i="44"/>
  <c r="V323" i="44"/>
  <c r="B323" i="44"/>
  <c r="N322" i="44"/>
  <c r="G322" i="44"/>
  <c r="V322" i="44"/>
  <c r="B322" i="44"/>
  <c r="N321" i="44"/>
  <c r="G321" i="44"/>
  <c r="V321" i="44"/>
  <c r="B321" i="44"/>
  <c r="N320" i="44"/>
  <c r="G320" i="44"/>
  <c r="V320" i="44"/>
  <c r="B320" i="44"/>
  <c r="N319" i="44"/>
  <c r="G319" i="44"/>
  <c r="V319" i="44"/>
  <c r="B319" i="44"/>
  <c r="N318" i="44"/>
  <c r="G318" i="44"/>
  <c r="V318" i="44"/>
  <c r="B318" i="44"/>
  <c r="N317" i="44"/>
  <c r="G317" i="44"/>
  <c r="V317" i="44"/>
  <c r="B317" i="44"/>
  <c r="N316" i="44"/>
  <c r="G316" i="44"/>
  <c r="V316" i="44"/>
  <c r="B316" i="44"/>
  <c r="N315" i="44"/>
  <c r="G315" i="44"/>
  <c r="V315" i="44"/>
  <c r="B315" i="44"/>
  <c r="N314" i="44"/>
  <c r="G314" i="44"/>
  <c r="V314" i="44"/>
  <c r="B314" i="44"/>
  <c r="N313" i="44"/>
  <c r="G313" i="44"/>
  <c r="V313" i="44"/>
  <c r="B313" i="44"/>
  <c r="N312" i="44"/>
  <c r="G312" i="44"/>
  <c r="V312" i="44"/>
  <c r="B312" i="44"/>
  <c r="N311" i="44"/>
  <c r="G311" i="44"/>
  <c r="V311" i="44"/>
  <c r="B311" i="44"/>
  <c r="N310" i="44"/>
  <c r="G310" i="44"/>
  <c r="V310" i="44"/>
  <c r="B310" i="44"/>
  <c r="N309" i="44"/>
  <c r="G309" i="44"/>
  <c r="V309" i="44"/>
  <c r="B309" i="44"/>
  <c r="N308" i="44"/>
  <c r="G308" i="44"/>
  <c r="V308" i="44"/>
  <c r="B308" i="44"/>
  <c r="N307" i="44"/>
  <c r="G307" i="44"/>
  <c r="V307" i="44"/>
  <c r="B307" i="44"/>
  <c r="N306" i="44"/>
  <c r="G306" i="44"/>
  <c r="V306" i="44"/>
  <c r="B306" i="44"/>
  <c r="N305" i="44"/>
  <c r="G305" i="44"/>
  <c r="V305" i="44"/>
  <c r="B305" i="44"/>
  <c r="N304" i="44"/>
  <c r="G304" i="44"/>
  <c r="V304" i="44"/>
  <c r="B304" i="44"/>
  <c r="N303" i="44"/>
  <c r="G303" i="44"/>
  <c r="V303" i="44"/>
  <c r="B303" i="44"/>
  <c r="N302" i="44"/>
  <c r="G302" i="44"/>
  <c r="V302" i="44"/>
  <c r="B302" i="44"/>
  <c r="N301" i="44"/>
  <c r="G301" i="44"/>
  <c r="V301" i="44"/>
  <c r="B301" i="44"/>
  <c r="N300" i="44"/>
  <c r="G300" i="44"/>
  <c r="V300" i="44"/>
  <c r="B300" i="44"/>
  <c r="N299" i="44"/>
  <c r="G299" i="44"/>
  <c r="V299" i="44"/>
  <c r="B299" i="44"/>
  <c r="N298" i="44"/>
  <c r="G298" i="44"/>
  <c r="V298" i="44"/>
  <c r="B298" i="44"/>
  <c r="N297" i="44"/>
  <c r="G297" i="44"/>
  <c r="V297" i="44"/>
  <c r="B297" i="44"/>
  <c r="N296" i="44"/>
  <c r="G296" i="44"/>
  <c r="V296" i="44"/>
  <c r="B296" i="44"/>
  <c r="N295" i="44"/>
  <c r="G295" i="44"/>
  <c r="V295" i="44"/>
  <c r="B295" i="44"/>
  <c r="N294" i="44"/>
  <c r="G294" i="44"/>
  <c r="V294" i="44"/>
  <c r="B294" i="44"/>
  <c r="N293" i="44"/>
  <c r="G293" i="44"/>
  <c r="V293" i="44"/>
  <c r="B293" i="44"/>
  <c r="N292" i="44"/>
  <c r="G292" i="44"/>
  <c r="V292" i="44"/>
  <c r="B292" i="44"/>
  <c r="N291" i="44"/>
  <c r="G291" i="44"/>
  <c r="V291" i="44"/>
  <c r="B291" i="44"/>
  <c r="N290" i="44"/>
  <c r="G290" i="44"/>
  <c r="V290" i="44"/>
  <c r="B290" i="44"/>
  <c r="N289" i="44"/>
  <c r="G289" i="44"/>
  <c r="V289" i="44"/>
  <c r="B289" i="44"/>
  <c r="N288" i="44"/>
  <c r="G288" i="44"/>
  <c r="V288" i="44"/>
  <c r="B288" i="44"/>
  <c r="N287" i="44"/>
  <c r="G287" i="44"/>
  <c r="V287" i="44"/>
  <c r="B287" i="44"/>
  <c r="N286" i="44"/>
  <c r="G286" i="44"/>
  <c r="V286" i="44"/>
  <c r="B286" i="44"/>
  <c r="N285" i="44"/>
  <c r="G285" i="44"/>
  <c r="V285" i="44"/>
  <c r="B285" i="44"/>
  <c r="N284" i="44"/>
  <c r="G284" i="44"/>
  <c r="V284" i="44"/>
  <c r="B284" i="44"/>
  <c r="N283" i="44"/>
  <c r="G283" i="44"/>
  <c r="V283" i="44"/>
  <c r="B283" i="44"/>
  <c r="N282" i="44"/>
  <c r="G282" i="44"/>
  <c r="V282" i="44"/>
  <c r="B282" i="44"/>
  <c r="N281" i="44"/>
  <c r="G281" i="44"/>
  <c r="V281" i="44"/>
  <c r="B281" i="44"/>
  <c r="N280" i="44"/>
  <c r="G280" i="44"/>
  <c r="V280" i="44"/>
  <c r="B280" i="44"/>
  <c r="N279" i="44"/>
  <c r="G279" i="44"/>
  <c r="V279" i="44"/>
  <c r="B279" i="44"/>
  <c r="N278" i="44"/>
  <c r="G278" i="44"/>
  <c r="V278" i="44"/>
  <c r="B278" i="44"/>
  <c r="N277" i="44"/>
  <c r="G277" i="44"/>
  <c r="V277" i="44"/>
  <c r="B277" i="44"/>
  <c r="N276" i="44"/>
  <c r="G276" i="44"/>
  <c r="V276" i="44"/>
  <c r="B276" i="44"/>
  <c r="N275" i="44"/>
  <c r="G275" i="44"/>
  <c r="V275" i="44"/>
  <c r="B275" i="44"/>
  <c r="N274" i="44"/>
  <c r="G274" i="44"/>
  <c r="V274" i="44"/>
  <c r="B274" i="44"/>
  <c r="N273" i="44"/>
  <c r="G273" i="44"/>
  <c r="V273" i="44"/>
  <c r="B273" i="44"/>
  <c r="N272" i="44"/>
  <c r="G272" i="44"/>
  <c r="V272" i="44"/>
  <c r="B272" i="44"/>
  <c r="N271" i="44"/>
  <c r="G271" i="44"/>
  <c r="V271" i="44"/>
  <c r="B271" i="44"/>
  <c r="N270" i="44"/>
  <c r="G270" i="44"/>
  <c r="V270" i="44"/>
  <c r="B270" i="44"/>
  <c r="N269" i="44"/>
  <c r="G269" i="44"/>
  <c r="V269" i="44"/>
  <c r="B269" i="44"/>
  <c r="N268" i="44"/>
  <c r="G268" i="44"/>
  <c r="V268" i="44"/>
  <c r="B268" i="44"/>
  <c r="N267" i="44"/>
  <c r="G267" i="44"/>
  <c r="V267" i="44"/>
  <c r="B267" i="44"/>
  <c r="N266" i="44"/>
  <c r="G266" i="44"/>
  <c r="V266" i="44"/>
  <c r="B266" i="44"/>
  <c r="N265" i="44"/>
  <c r="G265" i="44"/>
  <c r="V265" i="44"/>
  <c r="B265" i="44"/>
  <c r="N264" i="44"/>
  <c r="G264" i="44"/>
  <c r="V264" i="44"/>
  <c r="B264" i="44"/>
  <c r="N263" i="44"/>
  <c r="G263" i="44"/>
  <c r="V263" i="44"/>
  <c r="B263" i="44"/>
  <c r="N262" i="44"/>
  <c r="G262" i="44"/>
  <c r="V262" i="44"/>
  <c r="B262" i="44"/>
  <c r="N261" i="44"/>
  <c r="G261" i="44"/>
  <c r="V261" i="44"/>
  <c r="B261" i="44"/>
  <c r="N260" i="44"/>
  <c r="G260" i="44"/>
  <c r="V260" i="44"/>
  <c r="B260" i="44"/>
  <c r="N259" i="44"/>
  <c r="G259" i="44"/>
  <c r="V259" i="44"/>
  <c r="B259" i="44"/>
  <c r="N258" i="44"/>
  <c r="G258" i="44"/>
  <c r="V258" i="44"/>
  <c r="B258" i="44"/>
  <c r="N257" i="44"/>
  <c r="G257" i="44"/>
  <c r="V257" i="44"/>
  <c r="B257" i="44"/>
  <c r="N256" i="44"/>
  <c r="G256" i="44"/>
  <c r="V256" i="44"/>
  <c r="B256" i="44"/>
  <c r="N255" i="44"/>
  <c r="G255" i="44"/>
  <c r="V255" i="44"/>
  <c r="B255" i="44"/>
  <c r="N254" i="44"/>
  <c r="G254" i="44"/>
  <c r="V254" i="44"/>
  <c r="B254" i="44"/>
  <c r="N253" i="44"/>
  <c r="G253" i="44"/>
  <c r="V253" i="44"/>
  <c r="B253" i="44"/>
  <c r="N252" i="44"/>
  <c r="G252" i="44"/>
  <c r="V252" i="44"/>
  <c r="B252" i="44"/>
  <c r="N251" i="44"/>
  <c r="G251" i="44"/>
  <c r="V251" i="44"/>
  <c r="B251" i="44"/>
  <c r="N250" i="44"/>
  <c r="G250" i="44"/>
  <c r="V250" i="44"/>
  <c r="B250" i="44"/>
  <c r="N249" i="44"/>
  <c r="G249" i="44"/>
  <c r="V249" i="44"/>
  <c r="B249" i="44"/>
  <c r="N248" i="44"/>
  <c r="G248" i="44"/>
  <c r="V248" i="44"/>
  <c r="B248" i="44"/>
  <c r="N247" i="44"/>
  <c r="G247" i="44"/>
  <c r="V247" i="44"/>
  <c r="B247" i="44"/>
  <c r="N246" i="44"/>
  <c r="G246" i="44"/>
  <c r="V246" i="44"/>
  <c r="B246" i="44"/>
  <c r="N245" i="44"/>
  <c r="G245" i="44"/>
  <c r="V245" i="44"/>
  <c r="B245" i="44"/>
  <c r="N244" i="44"/>
  <c r="G244" i="44"/>
  <c r="V244" i="44"/>
  <c r="B244" i="44"/>
  <c r="N243" i="44"/>
  <c r="G243" i="44"/>
  <c r="V243" i="44"/>
  <c r="B243" i="44"/>
  <c r="N242" i="44"/>
  <c r="G242" i="44"/>
  <c r="V242" i="44"/>
  <c r="B242" i="44"/>
  <c r="N241" i="44"/>
  <c r="G241" i="44"/>
  <c r="V241" i="44"/>
  <c r="B241" i="44"/>
  <c r="N240" i="44"/>
  <c r="G240" i="44"/>
  <c r="V240" i="44"/>
  <c r="B240" i="44"/>
  <c r="N239" i="44"/>
  <c r="G239" i="44"/>
  <c r="V239" i="44"/>
  <c r="B239" i="44"/>
  <c r="N238" i="44"/>
  <c r="G238" i="44"/>
  <c r="V238" i="44"/>
  <c r="B238" i="44"/>
  <c r="N237" i="44"/>
  <c r="G237" i="44"/>
  <c r="V237" i="44"/>
  <c r="B237" i="44"/>
  <c r="N236" i="44"/>
  <c r="G236" i="44"/>
  <c r="V236" i="44"/>
  <c r="B236" i="44"/>
  <c r="N235" i="44"/>
  <c r="G235" i="44"/>
  <c r="V235" i="44"/>
  <c r="B235" i="44"/>
  <c r="N234" i="44"/>
  <c r="G234" i="44"/>
  <c r="V234" i="44"/>
  <c r="B234" i="44"/>
  <c r="N233" i="44"/>
  <c r="G233" i="44"/>
  <c r="V233" i="44"/>
  <c r="B233" i="44"/>
  <c r="N232" i="44"/>
  <c r="G232" i="44"/>
  <c r="V232" i="44"/>
  <c r="B232" i="44"/>
  <c r="N231" i="44"/>
  <c r="G231" i="44"/>
  <c r="V231" i="44"/>
  <c r="B231" i="44"/>
  <c r="N230" i="44"/>
  <c r="G230" i="44"/>
  <c r="V230" i="44"/>
  <c r="B230" i="44"/>
  <c r="N229" i="44"/>
  <c r="G229" i="44"/>
  <c r="V229" i="44"/>
  <c r="B229" i="44"/>
  <c r="N228" i="44"/>
  <c r="G228" i="44"/>
  <c r="V228" i="44"/>
  <c r="B228" i="44"/>
  <c r="N227" i="44"/>
  <c r="G227" i="44"/>
  <c r="V227" i="44"/>
  <c r="B227" i="44"/>
  <c r="N226" i="44"/>
  <c r="G226" i="44"/>
  <c r="V226" i="44"/>
  <c r="B226" i="44"/>
  <c r="N225" i="44"/>
  <c r="G225" i="44"/>
  <c r="V225" i="44"/>
  <c r="B225" i="44"/>
  <c r="N224" i="44"/>
  <c r="G224" i="44"/>
  <c r="V224" i="44"/>
  <c r="B224" i="44"/>
  <c r="N223" i="44"/>
  <c r="G223" i="44"/>
  <c r="V223" i="44"/>
  <c r="B223" i="44"/>
  <c r="N222" i="44"/>
  <c r="G222" i="44"/>
  <c r="V222" i="44"/>
  <c r="B222" i="44"/>
  <c r="N221" i="44"/>
  <c r="G221" i="44"/>
  <c r="V221" i="44"/>
  <c r="B221" i="44"/>
  <c r="N220" i="44"/>
  <c r="G220" i="44"/>
  <c r="V220" i="44"/>
  <c r="B220" i="44"/>
  <c r="N219" i="44"/>
  <c r="G219" i="44"/>
  <c r="V219" i="44"/>
  <c r="B219" i="44"/>
  <c r="N218" i="44"/>
  <c r="G218" i="44"/>
  <c r="V218" i="44"/>
  <c r="B218" i="44"/>
  <c r="N217" i="44"/>
  <c r="G217" i="44"/>
  <c r="V217" i="44"/>
  <c r="B217" i="44"/>
  <c r="N216" i="44"/>
  <c r="G216" i="44"/>
  <c r="V216" i="44"/>
  <c r="B216" i="44"/>
  <c r="N215" i="44"/>
  <c r="G215" i="44"/>
  <c r="V215" i="44"/>
  <c r="B215" i="44"/>
  <c r="N214" i="44"/>
  <c r="G214" i="44"/>
  <c r="V214" i="44"/>
  <c r="B214" i="44"/>
  <c r="N213" i="44"/>
  <c r="G213" i="44"/>
  <c r="V213" i="44"/>
  <c r="B213" i="44"/>
  <c r="N212" i="44"/>
  <c r="G212" i="44"/>
  <c r="V212" i="44"/>
  <c r="B212" i="44"/>
  <c r="N211" i="44"/>
  <c r="G211" i="44"/>
  <c r="V211" i="44"/>
  <c r="B211" i="44"/>
  <c r="N210" i="44"/>
  <c r="G210" i="44"/>
  <c r="V210" i="44"/>
  <c r="B210" i="44"/>
  <c r="N209" i="44"/>
  <c r="G209" i="44"/>
  <c r="V209" i="44"/>
  <c r="B209" i="44"/>
  <c r="N208" i="44"/>
  <c r="G208" i="44"/>
  <c r="V208" i="44"/>
  <c r="B208" i="44"/>
  <c r="N207" i="44"/>
  <c r="G207" i="44"/>
  <c r="V207" i="44"/>
  <c r="B207" i="44"/>
  <c r="N206" i="44"/>
  <c r="G206" i="44"/>
  <c r="V206" i="44"/>
  <c r="B206" i="44"/>
  <c r="N205" i="44"/>
  <c r="G205" i="44"/>
  <c r="V205" i="44"/>
  <c r="B205" i="44"/>
  <c r="N204" i="44"/>
  <c r="G204" i="44"/>
  <c r="V204" i="44"/>
  <c r="B204" i="44"/>
  <c r="N203" i="44"/>
  <c r="G203" i="44"/>
  <c r="V203" i="44"/>
  <c r="B203" i="44"/>
  <c r="N202" i="44"/>
  <c r="G202" i="44"/>
  <c r="V202" i="44"/>
  <c r="B202" i="44"/>
  <c r="N201" i="44"/>
  <c r="G201" i="44"/>
  <c r="V201" i="44"/>
  <c r="B201" i="44"/>
  <c r="N200" i="44"/>
  <c r="G200" i="44"/>
  <c r="V200" i="44"/>
  <c r="B200" i="44"/>
  <c r="N199" i="44"/>
  <c r="G199" i="44"/>
  <c r="V199" i="44"/>
  <c r="B199" i="44"/>
  <c r="N198" i="44"/>
  <c r="G198" i="44"/>
  <c r="V198" i="44"/>
  <c r="B198" i="44"/>
  <c r="N197" i="44"/>
  <c r="G197" i="44"/>
  <c r="V197" i="44"/>
  <c r="B197" i="44"/>
  <c r="N196" i="44"/>
  <c r="G196" i="44"/>
  <c r="V196" i="44"/>
  <c r="B196" i="44"/>
  <c r="N195" i="44"/>
  <c r="G195" i="44"/>
  <c r="V195" i="44"/>
  <c r="B195" i="44"/>
  <c r="N194" i="44"/>
  <c r="G194" i="44"/>
  <c r="V194" i="44"/>
  <c r="B194" i="44"/>
  <c r="N193" i="44"/>
  <c r="G193" i="44"/>
  <c r="V193" i="44"/>
  <c r="B193" i="44"/>
  <c r="N192" i="44"/>
  <c r="G192" i="44"/>
  <c r="V192" i="44"/>
  <c r="B192" i="44"/>
  <c r="N191" i="44"/>
  <c r="G191" i="44"/>
  <c r="V191" i="44"/>
  <c r="B191" i="44"/>
  <c r="N190" i="44"/>
  <c r="G190" i="44"/>
  <c r="V190" i="44"/>
  <c r="B190" i="44"/>
  <c r="N189" i="44"/>
  <c r="G189" i="44"/>
  <c r="V189" i="44"/>
  <c r="B189" i="44"/>
  <c r="N188" i="44"/>
  <c r="G188" i="44"/>
  <c r="V188" i="44"/>
  <c r="B188" i="44"/>
  <c r="N187" i="44"/>
  <c r="G187" i="44"/>
  <c r="V187" i="44"/>
  <c r="B187" i="44"/>
  <c r="N186" i="44"/>
  <c r="G186" i="44"/>
  <c r="V186" i="44"/>
  <c r="B186" i="44"/>
  <c r="N185" i="44"/>
  <c r="G185" i="44"/>
  <c r="V185" i="44"/>
  <c r="B185" i="44"/>
  <c r="N184" i="44"/>
  <c r="G184" i="44"/>
  <c r="V184" i="44"/>
  <c r="B184" i="44"/>
  <c r="N183" i="44"/>
  <c r="G183" i="44"/>
  <c r="V183" i="44"/>
  <c r="B183" i="44"/>
  <c r="N182" i="44"/>
  <c r="G182" i="44"/>
  <c r="V182" i="44"/>
  <c r="B182" i="44"/>
  <c r="N181" i="44"/>
  <c r="G181" i="44"/>
  <c r="V181" i="44"/>
  <c r="B181" i="44"/>
  <c r="N180" i="44"/>
  <c r="G180" i="44"/>
  <c r="V180" i="44"/>
  <c r="B180" i="44"/>
  <c r="N179" i="44"/>
  <c r="G179" i="44"/>
  <c r="V179" i="44"/>
  <c r="B179" i="44"/>
  <c r="N178" i="44"/>
  <c r="G178" i="44"/>
  <c r="V178" i="44"/>
  <c r="B178" i="44"/>
  <c r="N177" i="44"/>
  <c r="G177" i="44"/>
  <c r="V177" i="44"/>
  <c r="B177" i="44"/>
  <c r="N176" i="44"/>
  <c r="G176" i="44"/>
  <c r="V176" i="44"/>
  <c r="B176" i="44"/>
  <c r="N175" i="44"/>
  <c r="G175" i="44"/>
  <c r="V175" i="44"/>
  <c r="B175" i="44"/>
  <c r="N174" i="44"/>
  <c r="G174" i="44"/>
  <c r="V174" i="44"/>
  <c r="B174" i="44"/>
  <c r="N173" i="44"/>
  <c r="G173" i="44"/>
  <c r="V173" i="44"/>
  <c r="B173" i="44"/>
  <c r="N172" i="44"/>
  <c r="G172" i="44"/>
  <c r="V172" i="44"/>
  <c r="B172" i="44"/>
  <c r="N171" i="44"/>
  <c r="G171" i="44"/>
  <c r="V171" i="44"/>
  <c r="B171" i="44"/>
  <c r="N170" i="44"/>
  <c r="G170" i="44"/>
  <c r="V170" i="44"/>
  <c r="B170" i="44"/>
  <c r="N169" i="44"/>
  <c r="G169" i="44"/>
  <c r="V169" i="44"/>
  <c r="B169" i="44"/>
  <c r="N168" i="44"/>
  <c r="G168" i="44"/>
  <c r="V168" i="44"/>
  <c r="B168" i="44"/>
  <c r="N167" i="44"/>
  <c r="G167" i="44"/>
  <c r="V167" i="44"/>
  <c r="B167" i="44"/>
  <c r="N166" i="44"/>
  <c r="G166" i="44"/>
  <c r="V166" i="44"/>
  <c r="B166" i="44"/>
  <c r="N165" i="44"/>
  <c r="G165" i="44"/>
  <c r="V165" i="44"/>
  <c r="B165" i="44"/>
  <c r="N164" i="44"/>
  <c r="G164" i="44"/>
  <c r="V164" i="44"/>
  <c r="B164" i="44"/>
  <c r="N163" i="44"/>
  <c r="G163" i="44"/>
  <c r="V163" i="44"/>
  <c r="B163" i="44"/>
  <c r="N162" i="44"/>
  <c r="G162" i="44"/>
  <c r="V162" i="44"/>
  <c r="B162" i="44"/>
  <c r="N161" i="44"/>
  <c r="G161" i="44"/>
  <c r="V161" i="44"/>
  <c r="B161" i="44"/>
  <c r="N160" i="44"/>
  <c r="G160" i="44"/>
  <c r="V160" i="44"/>
  <c r="B160" i="44"/>
  <c r="N159" i="44"/>
  <c r="G159" i="44"/>
  <c r="V159" i="44"/>
  <c r="B159" i="44"/>
  <c r="N158" i="44"/>
  <c r="G158" i="44"/>
  <c r="V158" i="44"/>
  <c r="B158" i="44"/>
  <c r="N157" i="44"/>
  <c r="G157" i="44"/>
  <c r="V157" i="44"/>
  <c r="B157" i="44"/>
  <c r="N156" i="44"/>
  <c r="G156" i="44"/>
  <c r="V156" i="44"/>
  <c r="B156" i="44"/>
  <c r="N155" i="44"/>
  <c r="G155" i="44"/>
  <c r="V155" i="44"/>
  <c r="B155" i="44"/>
  <c r="N154" i="44"/>
  <c r="G154" i="44"/>
  <c r="V154" i="44"/>
  <c r="B154" i="44"/>
  <c r="N153" i="44"/>
  <c r="G153" i="44"/>
  <c r="V153" i="44"/>
  <c r="B153" i="44"/>
  <c r="N152" i="44"/>
  <c r="G152" i="44"/>
  <c r="V152" i="44"/>
  <c r="B152" i="44"/>
  <c r="N151" i="44"/>
  <c r="G151" i="44"/>
  <c r="V151" i="44"/>
  <c r="B151" i="44"/>
  <c r="N150" i="44"/>
  <c r="G150" i="44"/>
  <c r="V150" i="44"/>
  <c r="B150" i="44"/>
  <c r="N149" i="44"/>
  <c r="G149" i="44"/>
  <c r="V149" i="44"/>
  <c r="B149" i="44"/>
  <c r="N148" i="44"/>
  <c r="G148" i="44"/>
  <c r="V148" i="44"/>
  <c r="B148" i="44"/>
  <c r="N147" i="44"/>
  <c r="G147" i="44"/>
  <c r="V147" i="44"/>
  <c r="B147" i="44"/>
  <c r="N146" i="44"/>
  <c r="G146" i="44"/>
  <c r="V146" i="44"/>
  <c r="B146" i="44"/>
  <c r="N145" i="44"/>
  <c r="G145" i="44"/>
  <c r="V145" i="44"/>
  <c r="B145" i="44"/>
  <c r="N144" i="44"/>
  <c r="G144" i="44"/>
  <c r="V144" i="44"/>
  <c r="B144" i="44"/>
  <c r="N143" i="44"/>
  <c r="G143" i="44"/>
  <c r="V143" i="44"/>
  <c r="B143" i="44"/>
  <c r="N142" i="44"/>
  <c r="G142" i="44"/>
  <c r="V142" i="44"/>
  <c r="B142" i="44"/>
  <c r="N141" i="44"/>
  <c r="G141" i="44"/>
  <c r="V141" i="44"/>
  <c r="B141" i="44"/>
  <c r="N140" i="44"/>
  <c r="G140" i="44"/>
  <c r="V140" i="44"/>
  <c r="B140" i="44"/>
  <c r="N139" i="44"/>
  <c r="G139" i="44"/>
  <c r="V139" i="44"/>
  <c r="B139" i="44"/>
  <c r="N138" i="44"/>
  <c r="G138" i="44"/>
  <c r="V138" i="44"/>
  <c r="B138" i="44"/>
  <c r="N137" i="44"/>
  <c r="G137" i="44"/>
  <c r="V137" i="44"/>
  <c r="B137" i="44"/>
  <c r="N136" i="44"/>
  <c r="G136" i="44"/>
  <c r="V136" i="44"/>
  <c r="B136" i="44"/>
  <c r="N135" i="44"/>
  <c r="G135" i="44"/>
  <c r="V135" i="44"/>
  <c r="B135" i="44"/>
  <c r="N134" i="44"/>
  <c r="G134" i="44"/>
  <c r="V134" i="44"/>
  <c r="B134" i="44"/>
  <c r="N133" i="44"/>
  <c r="G133" i="44"/>
  <c r="V133" i="44"/>
  <c r="B133" i="44"/>
  <c r="N132" i="44"/>
  <c r="G132" i="44"/>
  <c r="V132" i="44"/>
  <c r="B132" i="44"/>
  <c r="N131" i="44"/>
  <c r="G131" i="44"/>
  <c r="V131" i="44"/>
  <c r="B131" i="44"/>
  <c r="N130" i="44"/>
  <c r="G130" i="44"/>
  <c r="V130" i="44"/>
  <c r="B130" i="44"/>
  <c r="N129" i="44"/>
  <c r="G129" i="44"/>
  <c r="V129" i="44"/>
  <c r="B129" i="44"/>
  <c r="N128" i="44"/>
  <c r="G128" i="44"/>
  <c r="V128" i="44"/>
  <c r="B128" i="44"/>
  <c r="N127" i="44"/>
  <c r="G127" i="44"/>
  <c r="V127" i="44"/>
  <c r="B127" i="44"/>
  <c r="N126" i="44"/>
  <c r="G126" i="44"/>
  <c r="V126" i="44"/>
  <c r="B126" i="44"/>
  <c r="N125" i="44"/>
  <c r="G125" i="44"/>
  <c r="V125" i="44"/>
  <c r="B125" i="44"/>
  <c r="N124" i="44"/>
  <c r="G124" i="44"/>
  <c r="V124" i="44"/>
  <c r="B124" i="44"/>
  <c r="N123" i="44"/>
  <c r="G123" i="44"/>
  <c r="V123" i="44"/>
  <c r="B123" i="44"/>
  <c r="N122" i="44"/>
  <c r="G122" i="44"/>
  <c r="V122" i="44"/>
  <c r="B122" i="44"/>
  <c r="N121" i="44"/>
  <c r="G121" i="44"/>
  <c r="V121" i="44"/>
  <c r="B121" i="44"/>
  <c r="N120" i="44"/>
  <c r="G120" i="44"/>
  <c r="V120" i="44"/>
  <c r="B120" i="44"/>
  <c r="N119" i="44"/>
  <c r="G119" i="44"/>
  <c r="V119" i="44"/>
  <c r="B119" i="44"/>
  <c r="N118" i="44"/>
  <c r="G118" i="44"/>
  <c r="V118" i="44"/>
  <c r="B118" i="44"/>
  <c r="N117" i="44"/>
  <c r="G117" i="44"/>
  <c r="V117" i="44"/>
  <c r="B117" i="44"/>
  <c r="N116" i="44"/>
  <c r="G116" i="44"/>
  <c r="V116" i="44"/>
  <c r="B116" i="44"/>
  <c r="N115" i="44"/>
  <c r="G115" i="44"/>
  <c r="V115" i="44"/>
  <c r="B115" i="44"/>
  <c r="N114" i="44"/>
  <c r="G114" i="44"/>
  <c r="V114" i="44"/>
  <c r="B114" i="44"/>
  <c r="N113" i="44"/>
  <c r="G113" i="44"/>
  <c r="V113" i="44"/>
  <c r="B113" i="44"/>
  <c r="N112" i="44"/>
  <c r="G112" i="44"/>
  <c r="V112" i="44"/>
  <c r="B112" i="44"/>
  <c r="N111" i="44"/>
  <c r="G111" i="44"/>
  <c r="V111" i="44"/>
  <c r="B111" i="44"/>
  <c r="N110" i="44"/>
  <c r="G110" i="44"/>
  <c r="V110" i="44"/>
  <c r="B110" i="44"/>
  <c r="N109" i="44"/>
  <c r="G109" i="44"/>
  <c r="V109" i="44"/>
  <c r="B109" i="44"/>
  <c r="N108" i="44"/>
  <c r="G108" i="44"/>
  <c r="V108" i="44"/>
  <c r="B108" i="44"/>
  <c r="N107" i="44"/>
  <c r="G107" i="44"/>
  <c r="V107" i="44"/>
  <c r="B107" i="44"/>
  <c r="N106" i="44"/>
  <c r="G106" i="44"/>
  <c r="V106" i="44"/>
  <c r="B106" i="44"/>
  <c r="N105" i="44"/>
  <c r="G105" i="44"/>
  <c r="V105" i="44"/>
  <c r="B105" i="44"/>
  <c r="N104" i="44"/>
  <c r="G104" i="44"/>
  <c r="V104" i="44"/>
  <c r="B104" i="44"/>
  <c r="N103" i="44"/>
  <c r="G103" i="44"/>
  <c r="V103" i="44"/>
  <c r="B103" i="44"/>
  <c r="N102" i="44"/>
  <c r="G102" i="44"/>
  <c r="V102" i="44"/>
  <c r="B102" i="44"/>
  <c r="N101" i="44"/>
  <c r="G101" i="44"/>
  <c r="V101" i="44"/>
  <c r="B101" i="44"/>
  <c r="N100" i="44"/>
  <c r="G100" i="44"/>
  <c r="V100" i="44"/>
  <c r="B100" i="44"/>
  <c r="N99" i="44"/>
  <c r="G99" i="44"/>
  <c r="V99" i="44"/>
  <c r="B99" i="44"/>
  <c r="N98" i="44"/>
  <c r="G98" i="44"/>
  <c r="V98" i="44"/>
  <c r="B98" i="44"/>
  <c r="N97" i="44"/>
  <c r="G97" i="44"/>
  <c r="V97" i="44"/>
  <c r="B97" i="44"/>
  <c r="N96" i="44"/>
  <c r="G96" i="44"/>
  <c r="V96" i="44"/>
  <c r="B96" i="44"/>
  <c r="N95" i="44"/>
  <c r="G95" i="44"/>
  <c r="V95" i="44"/>
  <c r="B95" i="44"/>
  <c r="N94" i="44"/>
  <c r="G94" i="44"/>
  <c r="V94" i="44"/>
  <c r="B94" i="44"/>
  <c r="N93" i="44"/>
  <c r="G93" i="44"/>
  <c r="V93" i="44"/>
  <c r="B93" i="44"/>
  <c r="N92" i="44"/>
  <c r="G92" i="44"/>
  <c r="V92" i="44"/>
  <c r="B92" i="44"/>
  <c r="N91" i="44"/>
  <c r="G91" i="44"/>
  <c r="V91" i="44"/>
  <c r="B91" i="44"/>
  <c r="N90" i="44"/>
  <c r="G90" i="44"/>
  <c r="V90" i="44"/>
  <c r="B90" i="44"/>
  <c r="N89" i="44"/>
  <c r="G89" i="44"/>
  <c r="V89" i="44"/>
  <c r="B89" i="44"/>
  <c r="N88" i="44"/>
  <c r="G88" i="44"/>
  <c r="V88" i="44"/>
  <c r="B88" i="44"/>
  <c r="N87" i="44"/>
  <c r="G87" i="44"/>
  <c r="V87" i="44"/>
  <c r="B87" i="44"/>
  <c r="N86" i="44"/>
  <c r="G86" i="44"/>
  <c r="V86" i="44"/>
  <c r="B86" i="44"/>
  <c r="N85" i="44"/>
  <c r="G85" i="44"/>
  <c r="V85" i="44"/>
  <c r="B85" i="44"/>
  <c r="N84" i="44"/>
  <c r="G84" i="44"/>
  <c r="V84" i="44"/>
  <c r="B84" i="44"/>
  <c r="N83" i="44"/>
  <c r="G83" i="44"/>
  <c r="V83" i="44"/>
  <c r="B83" i="44"/>
  <c r="N82" i="44"/>
  <c r="G82" i="44"/>
  <c r="V82" i="44"/>
  <c r="B82" i="44"/>
  <c r="N81" i="44"/>
  <c r="G81" i="44"/>
  <c r="V81" i="44"/>
  <c r="B81" i="44"/>
  <c r="N80" i="44"/>
  <c r="G80" i="44"/>
  <c r="V80" i="44"/>
  <c r="B80" i="44"/>
  <c r="N79" i="44"/>
  <c r="G79" i="44"/>
  <c r="V79" i="44"/>
  <c r="B79" i="44"/>
  <c r="N78" i="44"/>
  <c r="G78" i="44"/>
  <c r="V78" i="44"/>
  <c r="B78" i="44"/>
  <c r="N77" i="44"/>
  <c r="G77" i="44"/>
  <c r="V77" i="44"/>
  <c r="B77" i="44"/>
  <c r="I76" i="44"/>
  <c r="N76" i="44"/>
  <c r="G76" i="44"/>
  <c r="V76" i="44"/>
  <c r="B76" i="44"/>
  <c r="T127" i="37"/>
  <c r="V127" i="37" s="1"/>
  <c r="T191" i="37"/>
  <c r="V191" i="37" s="1"/>
  <c r="T255" i="37"/>
  <c r="V255" i="37" s="1"/>
  <c r="T320" i="37"/>
  <c r="V320" i="37" s="1"/>
  <c r="T328" i="37"/>
  <c r="V328" i="37" s="1"/>
  <c r="T336" i="37"/>
  <c r="V336" i="37" s="1"/>
  <c r="T344" i="37"/>
  <c r="V344" i="37" s="1"/>
  <c r="V349" i="37"/>
  <c r="Z349" i="37" s="1"/>
  <c r="V357" i="37"/>
  <c r="V365" i="37"/>
  <c r="AD77" i="37"/>
  <c r="AD78" i="37"/>
  <c r="AD79" i="37"/>
  <c r="AD80" i="37"/>
  <c r="AD81" i="37"/>
  <c r="AD82" i="37"/>
  <c r="AD83" i="37"/>
  <c r="AD84" i="37"/>
  <c r="AD85" i="37"/>
  <c r="AD86" i="37"/>
  <c r="AD87" i="37"/>
  <c r="AD88" i="37"/>
  <c r="AD89" i="37"/>
  <c r="AD90" i="37"/>
  <c r="AD91" i="37"/>
  <c r="AD92" i="37"/>
  <c r="AD93" i="37"/>
  <c r="AD94" i="37"/>
  <c r="AD95" i="37"/>
  <c r="AD96" i="37"/>
  <c r="AD97" i="37"/>
  <c r="AD98" i="37"/>
  <c r="AD99" i="37"/>
  <c r="AD100" i="37"/>
  <c r="AD101" i="37"/>
  <c r="AD102" i="37"/>
  <c r="AD103" i="37"/>
  <c r="AD104" i="37"/>
  <c r="AD105" i="37"/>
  <c r="AD106" i="37"/>
  <c r="AD107" i="37"/>
  <c r="AD108" i="37"/>
  <c r="AD109" i="37"/>
  <c r="AD110" i="37"/>
  <c r="AD111" i="37"/>
  <c r="AD112" i="37"/>
  <c r="AD113" i="37"/>
  <c r="AD114" i="37"/>
  <c r="AD115" i="37"/>
  <c r="AD116" i="37"/>
  <c r="AD117" i="37"/>
  <c r="AD118" i="37"/>
  <c r="AD119" i="37"/>
  <c r="AD120" i="37"/>
  <c r="AD121" i="37"/>
  <c r="AD122" i="37"/>
  <c r="AD123" i="37"/>
  <c r="AD124" i="37"/>
  <c r="AD125" i="37"/>
  <c r="AD126" i="37"/>
  <c r="AD127" i="37"/>
  <c r="AD128" i="37"/>
  <c r="AD129" i="37"/>
  <c r="AD130" i="37"/>
  <c r="AD131" i="37"/>
  <c r="AD132" i="37"/>
  <c r="AD133" i="37"/>
  <c r="AD134" i="37"/>
  <c r="AD135" i="37"/>
  <c r="AD136" i="37"/>
  <c r="AD137" i="37"/>
  <c r="AD138" i="37"/>
  <c r="AD139" i="37"/>
  <c r="AD140" i="37"/>
  <c r="AD141" i="37"/>
  <c r="AD142" i="37"/>
  <c r="AD143" i="37"/>
  <c r="AD144" i="37"/>
  <c r="AD145" i="37"/>
  <c r="AD146" i="37"/>
  <c r="AD147" i="37"/>
  <c r="AD148" i="37"/>
  <c r="AD149" i="37"/>
  <c r="AD150" i="37"/>
  <c r="AD151" i="37"/>
  <c r="AD152" i="37"/>
  <c r="AD153" i="37"/>
  <c r="AD154" i="37"/>
  <c r="AD155" i="37"/>
  <c r="AD156" i="37"/>
  <c r="AD157" i="37"/>
  <c r="AD158" i="37"/>
  <c r="AD159" i="37"/>
  <c r="AD160" i="37"/>
  <c r="AD161" i="37"/>
  <c r="AD162" i="37"/>
  <c r="AD163" i="37"/>
  <c r="AD164" i="37"/>
  <c r="AD165" i="37"/>
  <c r="AD166" i="37"/>
  <c r="AD167" i="37"/>
  <c r="AD168" i="37"/>
  <c r="AD169" i="37"/>
  <c r="AD170" i="37"/>
  <c r="AD171" i="37"/>
  <c r="AD172" i="37"/>
  <c r="AD173" i="37"/>
  <c r="AD174" i="37"/>
  <c r="AD175" i="37"/>
  <c r="AD176" i="37"/>
  <c r="AD177" i="37"/>
  <c r="AD178" i="37"/>
  <c r="AD179" i="37"/>
  <c r="AD180" i="37"/>
  <c r="AD181" i="37"/>
  <c r="AD182" i="37"/>
  <c r="AD183" i="37"/>
  <c r="AD184" i="37"/>
  <c r="AD185" i="37"/>
  <c r="AD186" i="37"/>
  <c r="AD187" i="37"/>
  <c r="AD188" i="37"/>
  <c r="AD189" i="37"/>
  <c r="AD190" i="37"/>
  <c r="AD191" i="37"/>
  <c r="AD192" i="37"/>
  <c r="AD193" i="37"/>
  <c r="AD194" i="37"/>
  <c r="AD195" i="37"/>
  <c r="AD196" i="37"/>
  <c r="AD197" i="37"/>
  <c r="AD198" i="37"/>
  <c r="AD199" i="37"/>
  <c r="AD200" i="37"/>
  <c r="AD201" i="37"/>
  <c r="AD202" i="37"/>
  <c r="AD203" i="37"/>
  <c r="AD204" i="37"/>
  <c r="AD205" i="37"/>
  <c r="AD206" i="37"/>
  <c r="AD207" i="37"/>
  <c r="AD208" i="37"/>
  <c r="AD209" i="37"/>
  <c r="AD210" i="37"/>
  <c r="AD211" i="37"/>
  <c r="AD212" i="37"/>
  <c r="AD213" i="37"/>
  <c r="AD214" i="37"/>
  <c r="AD215" i="37"/>
  <c r="AD216" i="37"/>
  <c r="AD217" i="37"/>
  <c r="AD218" i="37"/>
  <c r="AD219" i="37"/>
  <c r="AD220" i="37"/>
  <c r="AD221" i="37"/>
  <c r="AD222" i="37"/>
  <c r="AD223" i="37"/>
  <c r="AD224" i="37"/>
  <c r="AD225" i="37"/>
  <c r="AD226" i="37"/>
  <c r="AD227" i="37"/>
  <c r="AD228" i="37"/>
  <c r="AD229" i="37"/>
  <c r="AD230" i="37"/>
  <c r="AD231" i="37"/>
  <c r="AD232" i="37"/>
  <c r="AD233" i="37"/>
  <c r="AD234" i="37"/>
  <c r="AD235" i="37"/>
  <c r="AD236" i="37"/>
  <c r="AD237" i="37"/>
  <c r="AD238" i="37"/>
  <c r="AD239" i="37"/>
  <c r="AD240" i="37"/>
  <c r="AD241" i="37"/>
  <c r="AD242" i="37"/>
  <c r="AD243" i="37"/>
  <c r="AD244" i="37"/>
  <c r="AD245" i="37"/>
  <c r="AD246" i="37"/>
  <c r="AD247" i="37"/>
  <c r="AD248" i="37"/>
  <c r="AD249" i="37"/>
  <c r="AD250" i="37"/>
  <c r="AD251" i="37"/>
  <c r="AD252" i="37"/>
  <c r="AD253" i="37"/>
  <c r="AD254" i="37"/>
  <c r="AD255" i="37"/>
  <c r="AD256" i="37"/>
  <c r="AD257" i="37"/>
  <c r="AD258" i="37"/>
  <c r="AD259" i="37"/>
  <c r="AD260" i="37"/>
  <c r="AD261" i="37"/>
  <c r="AD262" i="37"/>
  <c r="AD263" i="37"/>
  <c r="AD264" i="37"/>
  <c r="AD265" i="37"/>
  <c r="AD266" i="37"/>
  <c r="AD267" i="37"/>
  <c r="AD268" i="37"/>
  <c r="AD269" i="37"/>
  <c r="AD270" i="37"/>
  <c r="AD271" i="37"/>
  <c r="AD272" i="37"/>
  <c r="AD273" i="37"/>
  <c r="AD274" i="37"/>
  <c r="AD275" i="37"/>
  <c r="AD276" i="37"/>
  <c r="AD277" i="37"/>
  <c r="AD278" i="37"/>
  <c r="AD279" i="37"/>
  <c r="AD280" i="37"/>
  <c r="AD281" i="37"/>
  <c r="AD282" i="37"/>
  <c r="AD283" i="37"/>
  <c r="AD284" i="37"/>
  <c r="AD285" i="37"/>
  <c r="AD286" i="37"/>
  <c r="AD287" i="37"/>
  <c r="AD288" i="37"/>
  <c r="AD289" i="37"/>
  <c r="AD290" i="37"/>
  <c r="AD291" i="37"/>
  <c r="AD292" i="37"/>
  <c r="AD293" i="37"/>
  <c r="AD294" i="37"/>
  <c r="AD295" i="37"/>
  <c r="AD296" i="37"/>
  <c r="AD297" i="37"/>
  <c r="AD298" i="37"/>
  <c r="AD299" i="37"/>
  <c r="AD300" i="37"/>
  <c r="AD301" i="37"/>
  <c r="AD302" i="37"/>
  <c r="AD303" i="37"/>
  <c r="AD304" i="37"/>
  <c r="AD305" i="37"/>
  <c r="AD306" i="37"/>
  <c r="AD307" i="37"/>
  <c r="AD308" i="37"/>
  <c r="AD309" i="37"/>
  <c r="AD310" i="37"/>
  <c r="AD311" i="37"/>
  <c r="AD312" i="37"/>
  <c r="AD313" i="37"/>
  <c r="AD314" i="37"/>
  <c r="AD315" i="37"/>
  <c r="AD316" i="37"/>
  <c r="AD317" i="37"/>
  <c r="AD318" i="37"/>
  <c r="AD319" i="37"/>
  <c r="AD320" i="37"/>
  <c r="AD321" i="37"/>
  <c r="AD322" i="37"/>
  <c r="AD323" i="37"/>
  <c r="AD324" i="37"/>
  <c r="AD325" i="37"/>
  <c r="AD326" i="37"/>
  <c r="AD327" i="37"/>
  <c r="AD328" i="37"/>
  <c r="AD329" i="37"/>
  <c r="AD330" i="37"/>
  <c r="AD331" i="37"/>
  <c r="AD332" i="37"/>
  <c r="AD333" i="37"/>
  <c r="AD334" i="37"/>
  <c r="AD335" i="37"/>
  <c r="AD336" i="37"/>
  <c r="AD337" i="37"/>
  <c r="AD338" i="37"/>
  <c r="AD339" i="37"/>
  <c r="AD340" i="37"/>
  <c r="AD341" i="37"/>
  <c r="AD342" i="37"/>
  <c r="AD343" i="37"/>
  <c r="AD344" i="37"/>
  <c r="AD345" i="37"/>
  <c r="AD346" i="37"/>
  <c r="AD347" i="37"/>
  <c r="AD348" i="37"/>
  <c r="AD349" i="37"/>
  <c r="AD350" i="37"/>
  <c r="AD351" i="37"/>
  <c r="AD352" i="37"/>
  <c r="AD353" i="37"/>
  <c r="AD354" i="37"/>
  <c r="AD355" i="37"/>
  <c r="AD356" i="37"/>
  <c r="AD357" i="37"/>
  <c r="AD358" i="37"/>
  <c r="AD359" i="37"/>
  <c r="AD360" i="37"/>
  <c r="AD361" i="37"/>
  <c r="AD362" i="37"/>
  <c r="AD363" i="37"/>
  <c r="AD364" i="37"/>
  <c r="AD365" i="37"/>
  <c r="AD366" i="37"/>
  <c r="AD367" i="37"/>
  <c r="AD368" i="37"/>
  <c r="AD369" i="37"/>
  <c r="AD370" i="37"/>
  <c r="AD371" i="37"/>
  <c r="AD372" i="37"/>
  <c r="AD373" i="37"/>
  <c r="AD374" i="37"/>
  <c r="AD375" i="37"/>
  <c r="AD376" i="37"/>
  <c r="AD377" i="37"/>
  <c r="AD378" i="37"/>
  <c r="AD379" i="37"/>
  <c r="AD380" i="37"/>
  <c r="AD381" i="37"/>
  <c r="AD382" i="37"/>
  <c r="AD383" i="37"/>
  <c r="AD384" i="37"/>
  <c r="AD385" i="37"/>
  <c r="AD386" i="37"/>
  <c r="AD387" i="37"/>
  <c r="AD388" i="37"/>
  <c r="AD389" i="37"/>
  <c r="AD390" i="37"/>
  <c r="AD391" i="37"/>
  <c r="AD392" i="37"/>
  <c r="AD393" i="37"/>
  <c r="AD394" i="37"/>
  <c r="AD395" i="37"/>
  <c r="AD396" i="37"/>
  <c r="AD397" i="37"/>
  <c r="AD398" i="37"/>
  <c r="AD399" i="37"/>
  <c r="AD400" i="37"/>
  <c r="AD401" i="37"/>
  <c r="AD402" i="37"/>
  <c r="AD403" i="37"/>
  <c r="AD404" i="37"/>
  <c r="AD405" i="37"/>
  <c r="AD406" i="37"/>
  <c r="AD407" i="37"/>
  <c r="AD408" i="37"/>
  <c r="AD409" i="37"/>
  <c r="AD410" i="37"/>
  <c r="AD411" i="37"/>
  <c r="AD412" i="37"/>
  <c r="AD413" i="37"/>
  <c r="AD414" i="37"/>
  <c r="AD415" i="37"/>
  <c r="AD416" i="37"/>
  <c r="AD417" i="37"/>
  <c r="AD418" i="37"/>
  <c r="AD419" i="37"/>
  <c r="AD420" i="37"/>
  <c r="AD421" i="37"/>
  <c r="AD422" i="37"/>
  <c r="AD423" i="37"/>
  <c r="AD424" i="37"/>
  <c r="AD425" i="37"/>
  <c r="AD426" i="37"/>
  <c r="AD427" i="37"/>
  <c r="AD428" i="37"/>
  <c r="AD429" i="37"/>
  <c r="AD430" i="37"/>
  <c r="AD431" i="37"/>
  <c r="AD432" i="37"/>
  <c r="AD433" i="37"/>
  <c r="AD434" i="37"/>
  <c r="AD435" i="37"/>
  <c r="AD436" i="37"/>
  <c r="AD437" i="37"/>
  <c r="AD438" i="37"/>
  <c r="AD439" i="37"/>
  <c r="AD440" i="37"/>
  <c r="AD441" i="37"/>
  <c r="AD442" i="37"/>
  <c r="AD443" i="37"/>
  <c r="AD444" i="37"/>
  <c r="AD445" i="37"/>
  <c r="AD446" i="37"/>
  <c r="AD447" i="37"/>
  <c r="AD448" i="37"/>
  <c r="AD449" i="37"/>
  <c r="AD450" i="37"/>
  <c r="AD451" i="37"/>
  <c r="AD452" i="37"/>
  <c r="AD453" i="37"/>
  <c r="AD454" i="37"/>
  <c r="AD455" i="37"/>
  <c r="AD456" i="37"/>
  <c r="AD457" i="37"/>
  <c r="AD458" i="37"/>
  <c r="AD459" i="37"/>
  <c r="AD460" i="37"/>
  <c r="AD461" i="37"/>
  <c r="AD462" i="37"/>
  <c r="AD463" i="37"/>
  <c r="AD464" i="37"/>
  <c r="AD465" i="37"/>
  <c r="AD466" i="37"/>
  <c r="AD467" i="37"/>
  <c r="AD468" i="37"/>
  <c r="AD469" i="37"/>
  <c r="AD470" i="37"/>
  <c r="AD471" i="37"/>
  <c r="AD472" i="37"/>
  <c r="AD473" i="37"/>
  <c r="AD474" i="37"/>
  <c r="AD475" i="37"/>
  <c r="AD476" i="37"/>
  <c r="AD477" i="37"/>
  <c r="AD478" i="37"/>
  <c r="AD479" i="37"/>
  <c r="AD480" i="37"/>
  <c r="AD481" i="37"/>
  <c r="AD482" i="37"/>
  <c r="AD483" i="37"/>
  <c r="AD484" i="37"/>
  <c r="AD485" i="37"/>
  <c r="AD486" i="37"/>
  <c r="AD487" i="37"/>
  <c r="AD488" i="37"/>
  <c r="AD489" i="37"/>
  <c r="AD490" i="37"/>
  <c r="AD491" i="37"/>
  <c r="AD492" i="37"/>
  <c r="AD493" i="37"/>
  <c r="AD494" i="37"/>
  <c r="AD495" i="37"/>
  <c r="AD496" i="37"/>
  <c r="AD497" i="37"/>
  <c r="AD498" i="37"/>
  <c r="AD499" i="37"/>
  <c r="AD500" i="37"/>
  <c r="AD501" i="37"/>
  <c r="AD502" i="37"/>
  <c r="AD503" i="37"/>
  <c r="AD504" i="37"/>
  <c r="AD505" i="37"/>
  <c r="AD506" i="37"/>
  <c r="AD507" i="37"/>
  <c r="AD508" i="37"/>
  <c r="AD509" i="37"/>
  <c r="AD510" i="37"/>
  <c r="AD511" i="37"/>
  <c r="AD512" i="37"/>
  <c r="AD513" i="37"/>
  <c r="AD514" i="37"/>
  <c r="AD515" i="37"/>
  <c r="X312" i="37"/>
  <c r="X320" i="37"/>
  <c r="X328" i="37"/>
  <c r="X336" i="37"/>
  <c r="X344" i="37"/>
  <c r="X349" i="37"/>
  <c r="X353" i="37"/>
  <c r="X357" i="37"/>
  <c r="X361" i="37"/>
  <c r="X365" i="37"/>
  <c r="X369" i="37"/>
  <c r="X407" i="37"/>
  <c r="X411" i="37"/>
  <c r="X415" i="37"/>
  <c r="X419" i="37"/>
  <c r="X423" i="37"/>
  <c r="X427" i="37"/>
  <c r="X431" i="37"/>
  <c r="X435" i="37"/>
  <c r="AD76" i="37"/>
  <c r="R78" i="37"/>
  <c r="R87" i="37"/>
  <c r="R163" i="37"/>
  <c r="R169" i="37"/>
  <c r="R298" i="37"/>
  <c r="R307" i="37"/>
  <c r="R383" i="37"/>
  <c r="R389" i="37"/>
  <c r="R77" i="37"/>
  <c r="R79" i="37"/>
  <c r="R80" i="37"/>
  <c r="R81" i="37"/>
  <c r="R82" i="37"/>
  <c r="R83" i="37"/>
  <c r="R84" i="37"/>
  <c r="R85" i="37"/>
  <c r="R86" i="37"/>
  <c r="R88" i="37"/>
  <c r="R89" i="37"/>
  <c r="R90" i="37"/>
  <c r="R91" i="37"/>
  <c r="R92" i="37"/>
  <c r="R93" i="37"/>
  <c r="R94" i="37"/>
  <c r="R95" i="37"/>
  <c r="R96" i="37"/>
  <c r="R97" i="37"/>
  <c r="R98" i="37"/>
  <c r="R99" i="37"/>
  <c r="R100" i="37"/>
  <c r="R101" i="37"/>
  <c r="R102" i="37"/>
  <c r="R103" i="37"/>
  <c r="R104" i="37"/>
  <c r="R105" i="37"/>
  <c r="R106" i="37"/>
  <c r="R107" i="37"/>
  <c r="R108" i="37"/>
  <c r="R109" i="37"/>
  <c r="R110" i="37"/>
  <c r="R111" i="37"/>
  <c r="R112" i="37"/>
  <c r="R113" i="37"/>
  <c r="R114" i="37"/>
  <c r="R115" i="37"/>
  <c r="R116" i="37"/>
  <c r="R117" i="37"/>
  <c r="R118" i="37"/>
  <c r="R119" i="37"/>
  <c r="R120" i="37"/>
  <c r="R121" i="37"/>
  <c r="R122" i="37"/>
  <c r="R123" i="37"/>
  <c r="R124" i="37"/>
  <c r="R125" i="37"/>
  <c r="R126" i="37"/>
  <c r="R127" i="37"/>
  <c r="R128" i="37"/>
  <c r="R129" i="37"/>
  <c r="R130" i="37"/>
  <c r="R131" i="37"/>
  <c r="R132" i="37"/>
  <c r="R133" i="37"/>
  <c r="R134" i="37"/>
  <c r="R135" i="37"/>
  <c r="R136" i="37"/>
  <c r="R137" i="37"/>
  <c r="R138" i="37"/>
  <c r="R139" i="37"/>
  <c r="R140" i="37"/>
  <c r="R141" i="37"/>
  <c r="R142" i="37"/>
  <c r="R143" i="37"/>
  <c r="R144" i="37"/>
  <c r="R145" i="37"/>
  <c r="R146" i="37"/>
  <c r="R147" i="37"/>
  <c r="R148" i="37"/>
  <c r="R149" i="37"/>
  <c r="R150" i="37"/>
  <c r="R151" i="37"/>
  <c r="R152" i="37"/>
  <c r="R153" i="37"/>
  <c r="R154" i="37"/>
  <c r="R155" i="37"/>
  <c r="R156" i="37"/>
  <c r="R157" i="37"/>
  <c r="R158" i="37"/>
  <c r="R159" i="37"/>
  <c r="R160" i="37"/>
  <c r="R161" i="37"/>
  <c r="R162" i="37"/>
  <c r="R164" i="37"/>
  <c r="R165" i="37"/>
  <c r="R166" i="37"/>
  <c r="R167" i="37"/>
  <c r="R168" i="37"/>
  <c r="R170" i="37"/>
  <c r="R171" i="37"/>
  <c r="R172" i="37"/>
  <c r="R173" i="37"/>
  <c r="R174" i="37"/>
  <c r="R175" i="37"/>
  <c r="R176" i="37"/>
  <c r="R177" i="37"/>
  <c r="R178" i="37"/>
  <c r="R179" i="37"/>
  <c r="R180" i="37"/>
  <c r="R181" i="37"/>
  <c r="R182" i="37"/>
  <c r="R183" i="37"/>
  <c r="R184" i="37"/>
  <c r="R185" i="37"/>
  <c r="R186" i="37"/>
  <c r="R187" i="37"/>
  <c r="R188" i="37"/>
  <c r="R189" i="37"/>
  <c r="R190" i="37"/>
  <c r="R191" i="37"/>
  <c r="R192" i="37"/>
  <c r="R193" i="37"/>
  <c r="R194" i="37"/>
  <c r="R195" i="37"/>
  <c r="R196" i="37"/>
  <c r="R197" i="37"/>
  <c r="R198" i="37"/>
  <c r="R199" i="37"/>
  <c r="R200" i="37"/>
  <c r="R201" i="37"/>
  <c r="R202" i="37"/>
  <c r="R203" i="37"/>
  <c r="R204" i="37"/>
  <c r="R205" i="37"/>
  <c r="R206" i="37"/>
  <c r="R207" i="37"/>
  <c r="R208" i="37"/>
  <c r="R209" i="37"/>
  <c r="R210" i="37"/>
  <c r="R211" i="37"/>
  <c r="R212" i="37"/>
  <c r="R213" i="37"/>
  <c r="R214" i="37"/>
  <c r="R215" i="37"/>
  <c r="R216" i="37"/>
  <c r="R217" i="37"/>
  <c r="R218" i="37"/>
  <c r="R219" i="37"/>
  <c r="R220" i="37"/>
  <c r="R221" i="37"/>
  <c r="R222" i="37"/>
  <c r="R223" i="37"/>
  <c r="R224" i="37"/>
  <c r="R225" i="37"/>
  <c r="R226" i="37"/>
  <c r="R227" i="37"/>
  <c r="R228" i="37"/>
  <c r="R229" i="37"/>
  <c r="R230" i="37"/>
  <c r="R231" i="37"/>
  <c r="R232" i="37"/>
  <c r="R233" i="37"/>
  <c r="R234" i="37"/>
  <c r="R235" i="37"/>
  <c r="R236" i="37"/>
  <c r="R237" i="37"/>
  <c r="R238" i="37"/>
  <c r="R239" i="37"/>
  <c r="R240" i="37"/>
  <c r="R241" i="37"/>
  <c r="R242" i="37"/>
  <c r="R243" i="37"/>
  <c r="R244" i="37"/>
  <c r="R245" i="37"/>
  <c r="R246" i="37"/>
  <c r="R247" i="37"/>
  <c r="R248" i="37"/>
  <c r="R249" i="37"/>
  <c r="R250" i="37"/>
  <c r="R251" i="37"/>
  <c r="R252" i="37"/>
  <c r="R253" i="37"/>
  <c r="R254" i="37"/>
  <c r="R255" i="37"/>
  <c r="R256" i="37"/>
  <c r="R257" i="37"/>
  <c r="R258" i="37"/>
  <c r="R259" i="37"/>
  <c r="R260" i="37"/>
  <c r="R261" i="37"/>
  <c r="R262" i="37"/>
  <c r="R263" i="37"/>
  <c r="R264" i="37"/>
  <c r="R265" i="37"/>
  <c r="R266" i="37"/>
  <c r="R267" i="37"/>
  <c r="R268" i="37"/>
  <c r="R269" i="37"/>
  <c r="R270" i="37"/>
  <c r="R271" i="37"/>
  <c r="R272" i="37"/>
  <c r="R273" i="37"/>
  <c r="R274" i="37"/>
  <c r="R275" i="37"/>
  <c r="R276" i="37"/>
  <c r="R277" i="37"/>
  <c r="R278" i="37"/>
  <c r="R279" i="37"/>
  <c r="R280" i="37"/>
  <c r="R281" i="37"/>
  <c r="R282" i="37"/>
  <c r="R283" i="37"/>
  <c r="R284" i="37"/>
  <c r="R285" i="37"/>
  <c r="R286" i="37"/>
  <c r="R287" i="37"/>
  <c r="R288" i="37"/>
  <c r="R289" i="37"/>
  <c r="R290" i="37"/>
  <c r="R291" i="37"/>
  <c r="R292" i="37"/>
  <c r="R293" i="37"/>
  <c r="R294" i="37"/>
  <c r="R295" i="37"/>
  <c r="R76" i="37"/>
  <c r="R296" i="37"/>
  <c r="R297" i="37"/>
  <c r="R299" i="37"/>
  <c r="R300" i="37"/>
  <c r="R301" i="37"/>
  <c r="R302" i="37"/>
  <c r="R303" i="37"/>
  <c r="R304" i="37"/>
  <c r="R305" i="37"/>
  <c r="R306" i="37"/>
  <c r="R308" i="37"/>
  <c r="R309" i="37"/>
  <c r="R310" i="37"/>
  <c r="R311" i="37"/>
  <c r="R312" i="37"/>
  <c r="R313" i="37"/>
  <c r="R314" i="37"/>
  <c r="R315" i="37"/>
  <c r="R316" i="37"/>
  <c r="R317" i="37"/>
  <c r="R318" i="37"/>
  <c r="R319" i="37"/>
  <c r="R320" i="37"/>
  <c r="R321" i="37"/>
  <c r="R322" i="37"/>
  <c r="R323" i="37"/>
  <c r="R324" i="37"/>
  <c r="R325" i="37"/>
  <c r="R326" i="37"/>
  <c r="R327" i="37"/>
  <c r="R328" i="37"/>
  <c r="R329" i="37"/>
  <c r="R330" i="37"/>
  <c r="R331" i="37"/>
  <c r="R332" i="37"/>
  <c r="R333" i="37"/>
  <c r="R334" i="37"/>
  <c r="R335" i="37"/>
  <c r="R336" i="37"/>
  <c r="R337" i="37"/>
  <c r="R338" i="37"/>
  <c r="R339" i="37"/>
  <c r="R340" i="37"/>
  <c r="R341" i="37"/>
  <c r="R342" i="37"/>
  <c r="R343" i="37"/>
  <c r="R344" i="37"/>
  <c r="R345" i="37"/>
  <c r="R346" i="37"/>
  <c r="R347" i="37"/>
  <c r="R348" i="37"/>
  <c r="R349" i="37"/>
  <c r="R350" i="37"/>
  <c r="R351" i="37"/>
  <c r="R352" i="37"/>
  <c r="R353" i="37"/>
  <c r="R354" i="37"/>
  <c r="R355" i="37"/>
  <c r="R356" i="37"/>
  <c r="R357" i="37"/>
  <c r="R358" i="37"/>
  <c r="R359" i="37"/>
  <c r="R360" i="37"/>
  <c r="R361" i="37"/>
  <c r="R362" i="37"/>
  <c r="R363" i="37"/>
  <c r="R364" i="37"/>
  <c r="R365" i="37"/>
  <c r="R366" i="37"/>
  <c r="R367" i="37"/>
  <c r="R368" i="37"/>
  <c r="R369" i="37"/>
  <c r="R370" i="37"/>
  <c r="R371" i="37"/>
  <c r="R372" i="37"/>
  <c r="R373" i="37"/>
  <c r="R374" i="37"/>
  <c r="R375" i="37"/>
  <c r="R376" i="37"/>
  <c r="R377" i="37"/>
  <c r="R378" i="37"/>
  <c r="R379" i="37"/>
  <c r="R380" i="37"/>
  <c r="R381" i="37"/>
  <c r="R382" i="37"/>
  <c r="R384" i="37"/>
  <c r="R385" i="37"/>
  <c r="R386" i="37"/>
  <c r="R387" i="37"/>
  <c r="R388" i="37"/>
  <c r="R390" i="37"/>
  <c r="R391" i="37"/>
  <c r="R392" i="37"/>
  <c r="R393" i="37"/>
  <c r="R394" i="37"/>
  <c r="R395" i="37"/>
  <c r="R396" i="37"/>
  <c r="R397" i="37"/>
  <c r="R398" i="37"/>
  <c r="R399" i="37"/>
  <c r="R400" i="37"/>
  <c r="R401" i="37"/>
  <c r="R402" i="37"/>
  <c r="R403" i="37"/>
  <c r="R404" i="37"/>
  <c r="R405" i="37"/>
  <c r="R406" i="37"/>
  <c r="R407" i="37"/>
  <c r="R408" i="37"/>
  <c r="R409" i="37"/>
  <c r="R410" i="37"/>
  <c r="R411" i="37"/>
  <c r="R412" i="37"/>
  <c r="R413" i="37"/>
  <c r="R414" i="37"/>
  <c r="R415" i="37"/>
  <c r="R416" i="37"/>
  <c r="R417" i="37"/>
  <c r="R418" i="37"/>
  <c r="R419" i="37"/>
  <c r="R420" i="37"/>
  <c r="R421" i="37"/>
  <c r="R422" i="37"/>
  <c r="R423" i="37"/>
  <c r="R424" i="37"/>
  <c r="R425" i="37"/>
  <c r="R426" i="37"/>
  <c r="R427" i="37"/>
  <c r="R428" i="37"/>
  <c r="R429" i="37"/>
  <c r="R430" i="37"/>
  <c r="R431" i="37"/>
  <c r="R432" i="37"/>
  <c r="R433" i="37"/>
  <c r="R434" i="37"/>
  <c r="R435" i="37"/>
  <c r="R436" i="37"/>
  <c r="R437" i="37"/>
  <c r="R438" i="37"/>
  <c r="R439" i="37"/>
  <c r="R440" i="37"/>
  <c r="R441" i="37"/>
  <c r="R442" i="37"/>
  <c r="R443" i="37"/>
  <c r="R444" i="37"/>
  <c r="R445" i="37"/>
  <c r="R446" i="37"/>
  <c r="R447" i="37"/>
  <c r="R448" i="37"/>
  <c r="R449" i="37"/>
  <c r="R450" i="37"/>
  <c r="R451" i="37"/>
  <c r="R452" i="37"/>
  <c r="R453" i="37"/>
  <c r="R454" i="37"/>
  <c r="R455" i="37"/>
  <c r="R456" i="37"/>
  <c r="R457" i="37"/>
  <c r="R458" i="37"/>
  <c r="R459" i="37"/>
  <c r="R460" i="37"/>
  <c r="R461" i="37"/>
  <c r="R462" i="37"/>
  <c r="R463" i="37"/>
  <c r="R464" i="37"/>
  <c r="R465" i="37"/>
  <c r="R466" i="37"/>
  <c r="R467" i="37"/>
  <c r="R468" i="37"/>
  <c r="R469" i="37"/>
  <c r="R470" i="37"/>
  <c r="R471" i="37"/>
  <c r="R472" i="37"/>
  <c r="R473" i="37"/>
  <c r="R474" i="37"/>
  <c r="R475" i="37"/>
  <c r="R476" i="37"/>
  <c r="R477" i="37"/>
  <c r="R478" i="37"/>
  <c r="R479" i="37"/>
  <c r="R480" i="37"/>
  <c r="R481" i="37"/>
  <c r="R482" i="37"/>
  <c r="R483" i="37"/>
  <c r="R484" i="37"/>
  <c r="R485" i="37"/>
  <c r="R486" i="37"/>
  <c r="R487" i="37"/>
  <c r="R488" i="37"/>
  <c r="R489" i="37"/>
  <c r="R490" i="37"/>
  <c r="R491" i="37"/>
  <c r="R492" i="37"/>
  <c r="R493" i="37"/>
  <c r="R494" i="37"/>
  <c r="R495" i="37"/>
  <c r="R496" i="37"/>
  <c r="R497" i="37"/>
  <c r="R498" i="37"/>
  <c r="R499" i="37"/>
  <c r="R500" i="37"/>
  <c r="R501" i="37"/>
  <c r="R502" i="37"/>
  <c r="R503" i="37"/>
  <c r="R504" i="37"/>
  <c r="R505" i="37"/>
  <c r="R506" i="37"/>
  <c r="R507" i="37"/>
  <c r="R508" i="37"/>
  <c r="R509" i="37"/>
  <c r="R510" i="37"/>
  <c r="R511" i="37"/>
  <c r="R512" i="37"/>
  <c r="R513" i="37"/>
  <c r="R514" i="37"/>
  <c r="R515" i="37"/>
  <c r="O89" i="37"/>
  <c r="Q89" i="37" s="1"/>
  <c r="O105" i="37"/>
  <c r="Q105" i="37" s="1"/>
  <c r="O121" i="37"/>
  <c r="Q121" i="37" s="1"/>
  <c r="O137" i="37"/>
  <c r="Q137" i="37" s="1"/>
  <c r="O153" i="37"/>
  <c r="Q153" i="37" s="1"/>
  <c r="O169" i="37"/>
  <c r="Q169" i="37" s="1"/>
  <c r="O185" i="37"/>
  <c r="Q185" i="37" s="1"/>
  <c r="O201" i="37"/>
  <c r="Q201" i="37" s="1"/>
  <c r="O217" i="37"/>
  <c r="Q217" i="37" s="1"/>
  <c r="CV6" i="32"/>
  <c r="CV7" i="32"/>
  <c r="CV8" i="32"/>
  <c r="CV9" i="32"/>
  <c r="CV10" i="32"/>
  <c r="CV11" i="32"/>
  <c r="CV12" i="32"/>
  <c r="CV13" i="32"/>
  <c r="CV14" i="32"/>
  <c r="CV15" i="32"/>
  <c r="CV16" i="32"/>
  <c r="CV17" i="32"/>
  <c r="CV18" i="32"/>
  <c r="CV19" i="32"/>
  <c r="CV20" i="32"/>
  <c r="CV21" i="32"/>
  <c r="CV22" i="32"/>
  <c r="CV23" i="32"/>
  <c r="CV24" i="32"/>
  <c r="CV25" i="32"/>
  <c r="CV26" i="32"/>
  <c r="CV27" i="32"/>
  <c r="CV28" i="32"/>
  <c r="CV29" i="32"/>
  <c r="CV30" i="32"/>
  <c r="CV31" i="32"/>
  <c r="CV32" i="32"/>
  <c r="CV33" i="32"/>
  <c r="CV34" i="32"/>
  <c r="CV35" i="32"/>
  <c r="CV36" i="32"/>
  <c r="CV37" i="32"/>
  <c r="CV38" i="32"/>
  <c r="CV39" i="32"/>
  <c r="CV40" i="32"/>
  <c r="CV41" i="32"/>
  <c r="CV42" i="32"/>
  <c r="CV43" i="32"/>
  <c r="CV44" i="32"/>
  <c r="CV45" i="32"/>
  <c r="CV46" i="32"/>
  <c r="CV47" i="32"/>
  <c r="CV48" i="32"/>
  <c r="CV49" i="32"/>
  <c r="CV50" i="32"/>
  <c r="CV51" i="32"/>
  <c r="CV52" i="32"/>
  <c r="CV53" i="32"/>
  <c r="CV54" i="32"/>
  <c r="CV55" i="32"/>
  <c r="CV56" i="32"/>
  <c r="CV57" i="32"/>
  <c r="CV58" i="32"/>
  <c r="CV59" i="32"/>
  <c r="CV60" i="32"/>
  <c r="CV61" i="32"/>
  <c r="CV62" i="32"/>
  <c r="CV63" i="32"/>
  <c r="CV64" i="32"/>
  <c r="CV65" i="32"/>
  <c r="CV66" i="32"/>
  <c r="CV67" i="32"/>
  <c r="CV68" i="32"/>
  <c r="CV69" i="32"/>
  <c r="CV70" i="32"/>
  <c r="CV71" i="32"/>
  <c r="CV72" i="32"/>
  <c r="CV73" i="32"/>
  <c r="CV74" i="32"/>
  <c r="CV75" i="32"/>
  <c r="CV76" i="32"/>
  <c r="CV77" i="32"/>
  <c r="CV78" i="32"/>
  <c r="CV79" i="32"/>
  <c r="CV80" i="32"/>
  <c r="CV81" i="32"/>
  <c r="CV82" i="32"/>
  <c r="CV83" i="32"/>
  <c r="CV84" i="32"/>
  <c r="CV85" i="32"/>
  <c r="CV86" i="32"/>
  <c r="CV87" i="32"/>
  <c r="CV88" i="32"/>
  <c r="CV89" i="32"/>
  <c r="CV90" i="32"/>
  <c r="CV91" i="32"/>
  <c r="CV92" i="32"/>
  <c r="CV93" i="32"/>
  <c r="CV94" i="32"/>
  <c r="CV95" i="32"/>
  <c r="CV96" i="32"/>
  <c r="CV97" i="32"/>
  <c r="CV98" i="32"/>
  <c r="CV99" i="32"/>
  <c r="CV100" i="32"/>
  <c r="CV101" i="32"/>
  <c r="CV102" i="32"/>
  <c r="CV103" i="32"/>
  <c r="CV104" i="32"/>
  <c r="CV105" i="32"/>
  <c r="CV106" i="32"/>
  <c r="CV107" i="32"/>
  <c r="CV108" i="32"/>
  <c r="CV109" i="32"/>
  <c r="CV110" i="32"/>
  <c r="CV111" i="32"/>
  <c r="CV112" i="32"/>
  <c r="CV113" i="32"/>
  <c r="CV114" i="32"/>
  <c r="CV115" i="32"/>
  <c r="CV116" i="32"/>
  <c r="CV117" i="32"/>
  <c r="CV118" i="32"/>
  <c r="CV119" i="32"/>
  <c r="CV120" i="32"/>
  <c r="CV121" i="32"/>
  <c r="CV122" i="32"/>
  <c r="CV123" i="32"/>
  <c r="CV124" i="32"/>
  <c r="CV125" i="32"/>
  <c r="CV126" i="32"/>
  <c r="CV127" i="32"/>
  <c r="CV128" i="32"/>
  <c r="CV129" i="32"/>
  <c r="CV130" i="32"/>
  <c r="CV131" i="32"/>
  <c r="CV132" i="32"/>
  <c r="CV133" i="32"/>
  <c r="CV134" i="32"/>
  <c r="CV135" i="32"/>
  <c r="CV136" i="32"/>
  <c r="CV137" i="32"/>
  <c r="CV138" i="32"/>
  <c r="CV139" i="32"/>
  <c r="CV140" i="32"/>
  <c r="CV141" i="32"/>
  <c r="CV142" i="32"/>
  <c r="CV143" i="32"/>
  <c r="CV144" i="32"/>
  <c r="CV145" i="32"/>
  <c r="CV146" i="32"/>
  <c r="CV147" i="32"/>
  <c r="CV148" i="32"/>
  <c r="CV149" i="32"/>
  <c r="CV150" i="32"/>
  <c r="CV151" i="32"/>
  <c r="CV152" i="32"/>
  <c r="CV153" i="32"/>
  <c r="CV154" i="32"/>
  <c r="CV155" i="32"/>
  <c r="CV156" i="32"/>
  <c r="CV157" i="32"/>
  <c r="CV158" i="32"/>
  <c r="CV159" i="32"/>
  <c r="CV160" i="32"/>
  <c r="CV161" i="32"/>
  <c r="CV162" i="32"/>
  <c r="CV163" i="32"/>
  <c r="CV164" i="32"/>
  <c r="CV165" i="32"/>
  <c r="CV166" i="32"/>
  <c r="CV167" i="32"/>
  <c r="CV168" i="32"/>
  <c r="CV169" i="32"/>
  <c r="CV170" i="32"/>
  <c r="CV171" i="32"/>
  <c r="CV172" i="32"/>
  <c r="CV173" i="32"/>
  <c r="CV174" i="32"/>
  <c r="CV175" i="32"/>
  <c r="CV176" i="32"/>
  <c r="CV177" i="32"/>
  <c r="CV178" i="32"/>
  <c r="CV179" i="32"/>
  <c r="CV180" i="32"/>
  <c r="CV181" i="32"/>
  <c r="CV182" i="32"/>
  <c r="CV183" i="32"/>
  <c r="CV184" i="32"/>
  <c r="CV185" i="32"/>
  <c r="CV186" i="32"/>
  <c r="CV187" i="32"/>
  <c r="CV188" i="32"/>
  <c r="CV189" i="32"/>
  <c r="CV190" i="32"/>
  <c r="CV191" i="32"/>
  <c r="CV192" i="32"/>
  <c r="CV193" i="32"/>
  <c r="CV194" i="32"/>
  <c r="CV195" i="32"/>
  <c r="CV196" i="32"/>
  <c r="CV197" i="32"/>
  <c r="CV198" i="32"/>
  <c r="CV199" i="32"/>
  <c r="CV200" i="32"/>
  <c r="CV201" i="32"/>
  <c r="CV202" i="32"/>
  <c r="CV203" i="32"/>
  <c r="CV204" i="32"/>
  <c r="CV205" i="32"/>
  <c r="CV206" i="32"/>
  <c r="CV207" i="32"/>
  <c r="CV208" i="32"/>
  <c r="CV209" i="32"/>
  <c r="CV210" i="32"/>
  <c r="CV211" i="32"/>
  <c r="CV212" i="32"/>
  <c r="CV213" i="32"/>
  <c r="CV214" i="32"/>
  <c r="CV215" i="32"/>
  <c r="CV216" i="32"/>
  <c r="CV217" i="32"/>
  <c r="CV218" i="32"/>
  <c r="CV219" i="32"/>
  <c r="CV220" i="32"/>
  <c r="CV221" i="32"/>
  <c r="CV222" i="32"/>
  <c r="CV223" i="32"/>
  <c r="CV224" i="32"/>
  <c r="CV225" i="32"/>
  <c r="CV226" i="32"/>
  <c r="CV227" i="32"/>
  <c r="CV228" i="32"/>
  <c r="CV229" i="32"/>
  <c r="CV230" i="32"/>
  <c r="CV231" i="32"/>
  <c r="CV232" i="32"/>
  <c r="CV233" i="32"/>
  <c r="CV234" i="32"/>
  <c r="CV235" i="32"/>
  <c r="CV236" i="32"/>
  <c r="CV237" i="32"/>
  <c r="CV238" i="32"/>
  <c r="CV239" i="32"/>
  <c r="CV240" i="32"/>
  <c r="CV241" i="32"/>
  <c r="CV242" i="32"/>
  <c r="CV243" i="32"/>
  <c r="CV244" i="32"/>
  <c r="CV245" i="32"/>
  <c r="CV246" i="32"/>
  <c r="CV247" i="32"/>
  <c r="CV248" i="32"/>
  <c r="CV249" i="32"/>
  <c r="CV250" i="32"/>
  <c r="CV251" i="32"/>
  <c r="CV252" i="32"/>
  <c r="CV253" i="32"/>
  <c r="CV254" i="32"/>
  <c r="CV255" i="32"/>
  <c r="CV256" i="32"/>
  <c r="CV257" i="32"/>
  <c r="CV258" i="32"/>
  <c r="CV259" i="32"/>
  <c r="CV260" i="32"/>
  <c r="CV261" i="32"/>
  <c r="CV262" i="32"/>
  <c r="CV263" i="32"/>
  <c r="CV264" i="32"/>
  <c r="CV265" i="32"/>
  <c r="CV266" i="32"/>
  <c r="CV267" i="32"/>
  <c r="CV268" i="32"/>
  <c r="CV269" i="32"/>
  <c r="CV270" i="32"/>
  <c r="CV271" i="32"/>
  <c r="CV272" i="32"/>
  <c r="CV273" i="32"/>
  <c r="CV274" i="32"/>
  <c r="CV275" i="32"/>
  <c r="CV276" i="32"/>
  <c r="CV277" i="32"/>
  <c r="CV278" i="32"/>
  <c r="CV279" i="32"/>
  <c r="CV280" i="32"/>
  <c r="CV281" i="32"/>
  <c r="CV282" i="32"/>
  <c r="CV283" i="32"/>
  <c r="CV284" i="32"/>
  <c r="CV285" i="32"/>
  <c r="CV286" i="32"/>
  <c r="CV287" i="32"/>
  <c r="CV288" i="32"/>
  <c r="CV289" i="32"/>
  <c r="CV290" i="32"/>
  <c r="CV291" i="32"/>
  <c r="CV292" i="32"/>
  <c r="CV293" i="32"/>
  <c r="CV294" i="32"/>
  <c r="CV295" i="32"/>
  <c r="CV296" i="32"/>
  <c r="CV297" i="32"/>
  <c r="CV298" i="32"/>
  <c r="CV299" i="32"/>
  <c r="CV300" i="32"/>
  <c r="CV301" i="32"/>
  <c r="CV302" i="32"/>
  <c r="CV303" i="32"/>
  <c r="CV304" i="32"/>
  <c r="CV305" i="32"/>
  <c r="CV306" i="32"/>
  <c r="CV307" i="32"/>
  <c r="CV308" i="32"/>
  <c r="CV309" i="32"/>
  <c r="CV310" i="32"/>
  <c r="CV311" i="32"/>
  <c r="CV312" i="32"/>
  <c r="CV313" i="32"/>
  <c r="CV314" i="32"/>
  <c r="CV315" i="32"/>
  <c r="CV316" i="32"/>
  <c r="CV317" i="32"/>
  <c r="CV318" i="32"/>
  <c r="CV319" i="32"/>
  <c r="CV320" i="32"/>
  <c r="CV321" i="32"/>
  <c r="CV322" i="32"/>
  <c r="CV323" i="32"/>
  <c r="CV324" i="32"/>
  <c r="CV325" i="32"/>
  <c r="CV326" i="32"/>
  <c r="CV327" i="32"/>
  <c r="CV328" i="32"/>
  <c r="CV329" i="32"/>
  <c r="CV330" i="32"/>
  <c r="CV331" i="32"/>
  <c r="CV332" i="32"/>
  <c r="CV333" i="32"/>
  <c r="CV334" i="32"/>
  <c r="CV335" i="32"/>
  <c r="CV336" i="32"/>
  <c r="CV337" i="32"/>
  <c r="CV338" i="32"/>
  <c r="CV339" i="32"/>
  <c r="CV340" i="32"/>
  <c r="CV341" i="32"/>
  <c r="CV342" i="32"/>
  <c r="CV343" i="32"/>
  <c r="CV344" i="32"/>
  <c r="CV345" i="32"/>
  <c r="CV346" i="32"/>
  <c r="CV347" i="32"/>
  <c r="CV348" i="32"/>
  <c r="CV349" i="32"/>
  <c r="CV350" i="32"/>
  <c r="CV351" i="32"/>
  <c r="CV352" i="32"/>
  <c r="CV353" i="32"/>
  <c r="CV354" i="32"/>
  <c r="CV355" i="32"/>
  <c r="CV356" i="32"/>
  <c r="CV357" i="32"/>
  <c r="CV358" i="32"/>
  <c r="CV359" i="32"/>
  <c r="CV360" i="32"/>
  <c r="CV361" i="32"/>
  <c r="CV362" i="32"/>
  <c r="CV363" i="32"/>
  <c r="CV364" i="32"/>
  <c r="CV365" i="32"/>
  <c r="CV366" i="32"/>
  <c r="CV367" i="32"/>
  <c r="CV368" i="32"/>
  <c r="CV369" i="32"/>
  <c r="CV370" i="32"/>
  <c r="CV371" i="32"/>
  <c r="CV372" i="32"/>
  <c r="CV373" i="32"/>
  <c r="CV374" i="32"/>
  <c r="CV375" i="32"/>
  <c r="CV376" i="32"/>
  <c r="CV377" i="32"/>
  <c r="CV378" i="32"/>
  <c r="CV379" i="32"/>
  <c r="CV380" i="32"/>
  <c r="CV381" i="32"/>
  <c r="CV382" i="32"/>
  <c r="CV383" i="32"/>
  <c r="CV384" i="32"/>
  <c r="CV385" i="32"/>
  <c r="CV386" i="32"/>
  <c r="CV387" i="32"/>
  <c r="CV388" i="32"/>
  <c r="CV389" i="32"/>
  <c r="CV390" i="32"/>
  <c r="CV391" i="32"/>
  <c r="CV392" i="32"/>
  <c r="CV393" i="32"/>
  <c r="CV394" i="32"/>
  <c r="CV395" i="32"/>
  <c r="CV396" i="32"/>
  <c r="CV397" i="32"/>
  <c r="CV398" i="32"/>
  <c r="CV399" i="32"/>
  <c r="CV400" i="32"/>
  <c r="CV401" i="32"/>
  <c r="CV402" i="32"/>
  <c r="CV403" i="32"/>
  <c r="CV404" i="32"/>
  <c r="CV405" i="32"/>
  <c r="CV406" i="32"/>
  <c r="CV407" i="32"/>
  <c r="CV408" i="32"/>
  <c r="CV409" i="32"/>
  <c r="CV410" i="32"/>
  <c r="CV411" i="32"/>
  <c r="CV412" i="32"/>
  <c r="CV413" i="32"/>
  <c r="CV414" i="32"/>
  <c r="CV415" i="32"/>
  <c r="CV416" i="32"/>
  <c r="CV417" i="32"/>
  <c r="CV418" i="32"/>
  <c r="CV419" i="32"/>
  <c r="CV420" i="32"/>
  <c r="CV421" i="32"/>
  <c r="CV422" i="32"/>
  <c r="CV423" i="32"/>
  <c r="CV424" i="32"/>
  <c r="CV425" i="32"/>
  <c r="CV426" i="32"/>
  <c r="CV427" i="32"/>
  <c r="CV428" i="32"/>
  <c r="CV5" i="32"/>
  <c r="M5" i="32"/>
  <c r="CP6" i="32"/>
  <c r="M6" i="32"/>
  <c r="CP7" i="32"/>
  <c r="M7" i="32"/>
  <c r="CP8" i="32"/>
  <c r="M8" i="32"/>
  <c r="CP9" i="32"/>
  <c r="M9" i="32"/>
  <c r="CP10" i="32"/>
  <c r="M10" i="32"/>
  <c r="CP11" i="32"/>
  <c r="M11" i="32"/>
  <c r="CP12" i="32"/>
  <c r="M12" i="32"/>
  <c r="CP13" i="32"/>
  <c r="M13" i="32"/>
  <c r="CP14" i="32"/>
  <c r="M14" i="32"/>
  <c r="CP15" i="32"/>
  <c r="M15" i="32"/>
  <c r="CP16" i="32"/>
  <c r="M16" i="32"/>
  <c r="CP17" i="32"/>
  <c r="M17" i="32"/>
  <c r="CP18" i="32"/>
  <c r="M18" i="32"/>
  <c r="CP19" i="32"/>
  <c r="M19" i="32"/>
  <c r="CP20" i="32"/>
  <c r="M20" i="32"/>
  <c r="CP21" i="32"/>
  <c r="M21" i="32"/>
  <c r="CP22" i="32"/>
  <c r="M22" i="32"/>
  <c r="CP23" i="32"/>
  <c r="M23" i="32"/>
  <c r="CP24" i="32"/>
  <c r="M24" i="32"/>
  <c r="CP25" i="32"/>
  <c r="M25" i="32"/>
  <c r="CP26" i="32"/>
  <c r="M26" i="32"/>
  <c r="CP27" i="32"/>
  <c r="M27" i="32"/>
  <c r="CP28" i="32"/>
  <c r="M28" i="32"/>
  <c r="CP29" i="32"/>
  <c r="M29" i="32"/>
  <c r="CP30" i="32"/>
  <c r="M30" i="32"/>
  <c r="CP31" i="32"/>
  <c r="M31" i="32"/>
  <c r="CP32" i="32"/>
  <c r="M32" i="32"/>
  <c r="CP33" i="32"/>
  <c r="M33" i="32"/>
  <c r="CP34" i="32"/>
  <c r="M34" i="32"/>
  <c r="CP35" i="32"/>
  <c r="M35" i="32"/>
  <c r="CP36" i="32"/>
  <c r="M36" i="32"/>
  <c r="CP37" i="32"/>
  <c r="M37" i="32"/>
  <c r="CP38" i="32"/>
  <c r="M38" i="32"/>
  <c r="CP39" i="32"/>
  <c r="M39" i="32"/>
  <c r="CP40" i="32"/>
  <c r="M40" i="32"/>
  <c r="CP41" i="32"/>
  <c r="M41" i="32"/>
  <c r="CP42" i="32"/>
  <c r="M42" i="32"/>
  <c r="CP43" i="32"/>
  <c r="M43" i="32"/>
  <c r="CP44" i="32"/>
  <c r="M44" i="32"/>
  <c r="CP45" i="32"/>
  <c r="M45" i="32"/>
  <c r="CP46" i="32"/>
  <c r="M46" i="32"/>
  <c r="CP47" i="32"/>
  <c r="M47" i="32"/>
  <c r="CP48" i="32"/>
  <c r="M48" i="32"/>
  <c r="CP49" i="32"/>
  <c r="M49" i="32"/>
  <c r="CP50" i="32"/>
  <c r="M50" i="32"/>
  <c r="CP51" i="32"/>
  <c r="M51" i="32"/>
  <c r="CP52" i="32"/>
  <c r="M52" i="32"/>
  <c r="CP53" i="32"/>
  <c r="M53" i="32"/>
  <c r="CP54" i="32"/>
  <c r="M54" i="32"/>
  <c r="CP55" i="32"/>
  <c r="M55" i="32"/>
  <c r="CP56" i="32"/>
  <c r="M56" i="32"/>
  <c r="CP57" i="32"/>
  <c r="M57" i="32"/>
  <c r="CP58" i="32"/>
  <c r="M58" i="32"/>
  <c r="CP59" i="32"/>
  <c r="M59" i="32"/>
  <c r="CP60" i="32"/>
  <c r="M60" i="32"/>
  <c r="CP61" i="32"/>
  <c r="M61" i="32"/>
  <c r="CP62" i="32"/>
  <c r="M62" i="32"/>
  <c r="CP63" i="32"/>
  <c r="M63" i="32"/>
  <c r="CP64" i="32"/>
  <c r="M64" i="32"/>
  <c r="CP65" i="32"/>
  <c r="M65" i="32"/>
  <c r="CP66" i="32"/>
  <c r="M66" i="32"/>
  <c r="CP67" i="32"/>
  <c r="M67" i="32"/>
  <c r="CP68" i="32"/>
  <c r="M68" i="32"/>
  <c r="CP69" i="32"/>
  <c r="M69" i="32"/>
  <c r="CP70" i="32"/>
  <c r="M70" i="32"/>
  <c r="CP71" i="32"/>
  <c r="M71" i="32"/>
  <c r="CP72" i="32"/>
  <c r="M72" i="32"/>
  <c r="CP73" i="32"/>
  <c r="M73" i="32"/>
  <c r="CP74" i="32"/>
  <c r="M74" i="32"/>
  <c r="CP75" i="32"/>
  <c r="M75" i="32"/>
  <c r="CP76" i="32"/>
  <c r="M76" i="32"/>
  <c r="CP77" i="32"/>
  <c r="M77" i="32"/>
  <c r="CP78" i="32"/>
  <c r="M78" i="32"/>
  <c r="CP79" i="32"/>
  <c r="M79" i="32"/>
  <c r="CP80" i="32"/>
  <c r="M80" i="32"/>
  <c r="CP81" i="32"/>
  <c r="M81" i="32"/>
  <c r="CP82" i="32"/>
  <c r="M82" i="32"/>
  <c r="CP83" i="32"/>
  <c r="M83" i="32"/>
  <c r="CP84" i="32"/>
  <c r="M84" i="32"/>
  <c r="CP85" i="32"/>
  <c r="M85" i="32"/>
  <c r="CP86" i="32"/>
  <c r="M86" i="32"/>
  <c r="CP87" i="32"/>
  <c r="M87" i="32"/>
  <c r="CP88" i="32"/>
  <c r="M88" i="32"/>
  <c r="CP89" i="32"/>
  <c r="M89" i="32"/>
  <c r="CP90" i="32"/>
  <c r="M90" i="32"/>
  <c r="CP91" i="32"/>
  <c r="M91" i="32"/>
  <c r="CP92" i="32"/>
  <c r="M92" i="32"/>
  <c r="CP93" i="32"/>
  <c r="M93" i="32"/>
  <c r="CP94" i="32"/>
  <c r="M94" i="32"/>
  <c r="CP95" i="32"/>
  <c r="M95" i="32"/>
  <c r="CP96" i="32"/>
  <c r="M96" i="32"/>
  <c r="CP97" i="32"/>
  <c r="M97" i="32"/>
  <c r="CP98" i="32"/>
  <c r="M98" i="32"/>
  <c r="CP99" i="32"/>
  <c r="M99" i="32"/>
  <c r="CP100" i="32"/>
  <c r="M100" i="32"/>
  <c r="CP101" i="32"/>
  <c r="M101" i="32"/>
  <c r="CP102" i="32"/>
  <c r="M102" i="32"/>
  <c r="CP103" i="32"/>
  <c r="M103" i="32"/>
  <c r="CP104" i="32"/>
  <c r="M104" i="32"/>
  <c r="CP105" i="32"/>
  <c r="M105" i="32"/>
  <c r="CP106" i="32"/>
  <c r="M106" i="32"/>
  <c r="CP107" i="32"/>
  <c r="M107" i="32"/>
  <c r="CP108" i="32"/>
  <c r="M108" i="32"/>
  <c r="CP109" i="32"/>
  <c r="M109" i="32"/>
  <c r="CP110" i="32"/>
  <c r="M110" i="32"/>
  <c r="CP111" i="32"/>
  <c r="M111" i="32"/>
  <c r="CP112" i="32"/>
  <c r="M112" i="32"/>
  <c r="CP113" i="32"/>
  <c r="M113" i="32"/>
  <c r="CP114" i="32"/>
  <c r="M114" i="32"/>
  <c r="CP115" i="32"/>
  <c r="M115" i="32"/>
  <c r="CP116" i="32"/>
  <c r="M116" i="32"/>
  <c r="CP117" i="32"/>
  <c r="M117" i="32"/>
  <c r="CP118" i="32"/>
  <c r="M118" i="32"/>
  <c r="CP119" i="32"/>
  <c r="M119" i="32"/>
  <c r="CP120" i="32"/>
  <c r="M120" i="32"/>
  <c r="CP121" i="32"/>
  <c r="M121" i="32"/>
  <c r="CP122" i="32"/>
  <c r="M122" i="32"/>
  <c r="CP123" i="32"/>
  <c r="M123" i="32"/>
  <c r="CP124" i="32"/>
  <c r="M124" i="32"/>
  <c r="CP125" i="32"/>
  <c r="M125" i="32"/>
  <c r="CP126" i="32"/>
  <c r="M126" i="32"/>
  <c r="CP127" i="32"/>
  <c r="M127" i="32"/>
  <c r="CP128" i="32"/>
  <c r="M128" i="32"/>
  <c r="CP129" i="32"/>
  <c r="M129" i="32"/>
  <c r="CP130" i="32"/>
  <c r="M130" i="32"/>
  <c r="CP131" i="32"/>
  <c r="M131" i="32"/>
  <c r="CP132" i="32"/>
  <c r="M132" i="32"/>
  <c r="CP133" i="32"/>
  <c r="M133" i="32"/>
  <c r="CP134" i="32"/>
  <c r="M134" i="32"/>
  <c r="CP135" i="32"/>
  <c r="M135" i="32"/>
  <c r="CP136" i="32"/>
  <c r="M136" i="32"/>
  <c r="CP137" i="32"/>
  <c r="M137" i="32"/>
  <c r="CP138" i="32"/>
  <c r="M138" i="32"/>
  <c r="CP139" i="32"/>
  <c r="M139" i="32"/>
  <c r="CP140" i="32"/>
  <c r="M140" i="32"/>
  <c r="CP141" i="32"/>
  <c r="M141" i="32"/>
  <c r="CP142" i="32"/>
  <c r="M142" i="32"/>
  <c r="CP143" i="32"/>
  <c r="M143" i="32"/>
  <c r="CP144" i="32"/>
  <c r="M144" i="32"/>
  <c r="CP145" i="32"/>
  <c r="M145" i="32"/>
  <c r="CP146" i="32"/>
  <c r="M146" i="32"/>
  <c r="CP147" i="32"/>
  <c r="M147" i="32"/>
  <c r="CP148" i="32"/>
  <c r="M148" i="32"/>
  <c r="CP149" i="32"/>
  <c r="M149" i="32"/>
  <c r="CP150" i="32"/>
  <c r="M150" i="32"/>
  <c r="CP151" i="32"/>
  <c r="M151" i="32"/>
  <c r="CP152" i="32"/>
  <c r="M152" i="32"/>
  <c r="CP153" i="32"/>
  <c r="M153" i="32"/>
  <c r="CP154" i="32"/>
  <c r="M154" i="32"/>
  <c r="CP155" i="32"/>
  <c r="M155" i="32"/>
  <c r="CP156" i="32"/>
  <c r="M156" i="32"/>
  <c r="CP157" i="32"/>
  <c r="M157" i="32"/>
  <c r="CP158" i="32"/>
  <c r="M158" i="32"/>
  <c r="CP159" i="32"/>
  <c r="M159" i="32"/>
  <c r="CP160" i="32"/>
  <c r="M160" i="32"/>
  <c r="CP161" i="32"/>
  <c r="M161" i="32"/>
  <c r="CP162" i="32"/>
  <c r="M162" i="32"/>
  <c r="CP163" i="32"/>
  <c r="M163" i="32"/>
  <c r="CP164" i="32"/>
  <c r="M164" i="32"/>
  <c r="CP165" i="32"/>
  <c r="M165" i="32"/>
  <c r="CP166" i="32"/>
  <c r="M166" i="32"/>
  <c r="CP167" i="32"/>
  <c r="M167" i="32"/>
  <c r="CP168" i="32"/>
  <c r="M168" i="32"/>
  <c r="CP169" i="32"/>
  <c r="M169" i="32"/>
  <c r="CP170" i="32"/>
  <c r="M170" i="32"/>
  <c r="CP171" i="32"/>
  <c r="M171" i="32"/>
  <c r="CP172" i="32"/>
  <c r="M172" i="32"/>
  <c r="CP173" i="32"/>
  <c r="M173" i="32"/>
  <c r="CP174" i="32"/>
  <c r="M174" i="32"/>
  <c r="CP175" i="32"/>
  <c r="M175" i="32"/>
  <c r="CP176" i="32"/>
  <c r="M176" i="32"/>
  <c r="CP177" i="32"/>
  <c r="M177" i="32"/>
  <c r="CP178" i="32"/>
  <c r="M178" i="32"/>
  <c r="CP179" i="32"/>
  <c r="M179" i="32"/>
  <c r="CP180" i="32"/>
  <c r="M180" i="32"/>
  <c r="CP181" i="32"/>
  <c r="M181" i="32"/>
  <c r="CP182" i="32"/>
  <c r="M182" i="32"/>
  <c r="CP183" i="32"/>
  <c r="M183" i="32"/>
  <c r="CP184" i="32"/>
  <c r="M184" i="32"/>
  <c r="CP185" i="32"/>
  <c r="M185" i="32"/>
  <c r="CP186" i="32"/>
  <c r="M186" i="32"/>
  <c r="CP187" i="32"/>
  <c r="M187" i="32"/>
  <c r="CP188" i="32"/>
  <c r="M188" i="32"/>
  <c r="CP189" i="32"/>
  <c r="M189" i="32"/>
  <c r="CP190" i="32"/>
  <c r="M190" i="32"/>
  <c r="CP191" i="32"/>
  <c r="M191" i="32"/>
  <c r="CP192" i="32"/>
  <c r="M192" i="32"/>
  <c r="CP193" i="32"/>
  <c r="M193" i="32"/>
  <c r="CP194" i="32"/>
  <c r="M194" i="32"/>
  <c r="CP195" i="32"/>
  <c r="M195" i="32"/>
  <c r="CP196" i="32"/>
  <c r="M196" i="32"/>
  <c r="CP197" i="32"/>
  <c r="M197" i="32"/>
  <c r="CP198" i="32"/>
  <c r="M198" i="32"/>
  <c r="CP199" i="32"/>
  <c r="M199" i="32"/>
  <c r="CP200" i="32"/>
  <c r="M200" i="32"/>
  <c r="CP201" i="32"/>
  <c r="M201" i="32"/>
  <c r="CP202" i="32"/>
  <c r="M202" i="32"/>
  <c r="CP203" i="32"/>
  <c r="M203" i="32"/>
  <c r="CP204" i="32"/>
  <c r="M204" i="32"/>
  <c r="CP205" i="32"/>
  <c r="M205" i="32"/>
  <c r="CP206" i="32"/>
  <c r="M206" i="32"/>
  <c r="CP207" i="32"/>
  <c r="M207" i="32"/>
  <c r="CP208" i="32"/>
  <c r="M208" i="32"/>
  <c r="CP209" i="32"/>
  <c r="M209" i="32"/>
  <c r="CP210" i="32"/>
  <c r="M210" i="32"/>
  <c r="CP211" i="32"/>
  <c r="M211" i="32"/>
  <c r="CP212" i="32"/>
  <c r="M212" i="32"/>
  <c r="CP213" i="32"/>
  <c r="M213" i="32"/>
  <c r="CP214" i="32"/>
  <c r="M214" i="32"/>
  <c r="CP215" i="32"/>
  <c r="M215" i="32"/>
  <c r="CP216" i="32"/>
  <c r="M216" i="32"/>
  <c r="CP217" i="32"/>
  <c r="M217" i="32"/>
  <c r="CP218" i="32"/>
  <c r="M218" i="32"/>
  <c r="CP219" i="32"/>
  <c r="M219" i="32"/>
  <c r="CP220" i="32"/>
  <c r="M220" i="32"/>
  <c r="CP221" i="32"/>
  <c r="M221" i="32"/>
  <c r="CP222" i="32"/>
  <c r="M222" i="32"/>
  <c r="CP223" i="32"/>
  <c r="M223" i="32"/>
  <c r="CP224" i="32"/>
  <c r="M224" i="32"/>
  <c r="CP225" i="32"/>
  <c r="M225" i="32"/>
  <c r="CP226" i="32"/>
  <c r="M226" i="32"/>
  <c r="CP227" i="32"/>
  <c r="M227" i="32"/>
  <c r="CP228" i="32"/>
  <c r="M228" i="32"/>
  <c r="CP229" i="32"/>
  <c r="M229" i="32"/>
  <c r="CP230" i="32"/>
  <c r="M230" i="32"/>
  <c r="CP231" i="32"/>
  <c r="M231" i="32"/>
  <c r="CP232" i="32"/>
  <c r="M232" i="32"/>
  <c r="CP233" i="32"/>
  <c r="M233" i="32"/>
  <c r="CP234" i="32"/>
  <c r="M234" i="32"/>
  <c r="CP235" i="32"/>
  <c r="M235" i="32"/>
  <c r="CP236" i="32"/>
  <c r="M236" i="32"/>
  <c r="CP237" i="32"/>
  <c r="M237" i="32"/>
  <c r="CP238" i="32"/>
  <c r="M238" i="32"/>
  <c r="CP239" i="32"/>
  <c r="M239" i="32"/>
  <c r="CP240" i="32"/>
  <c r="M240" i="32"/>
  <c r="CP241" i="32"/>
  <c r="M241" i="32"/>
  <c r="CP242" i="32"/>
  <c r="M242" i="32"/>
  <c r="CP243" i="32"/>
  <c r="M243" i="32"/>
  <c r="CP244" i="32"/>
  <c r="M244" i="32"/>
  <c r="CP245" i="32"/>
  <c r="M245" i="32"/>
  <c r="CP246" i="32"/>
  <c r="M246" i="32"/>
  <c r="CP247" i="32"/>
  <c r="M247" i="32"/>
  <c r="CP248" i="32"/>
  <c r="M248" i="32"/>
  <c r="CP249" i="32"/>
  <c r="M249" i="32"/>
  <c r="CP250" i="32"/>
  <c r="M250" i="32"/>
  <c r="CP251" i="32"/>
  <c r="M251" i="32"/>
  <c r="CP252" i="32"/>
  <c r="M252" i="32"/>
  <c r="CP253" i="32"/>
  <c r="M253" i="32"/>
  <c r="CP254" i="32"/>
  <c r="M254" i="32"/>
  <c r="CP255" i="32"/>
  <c r="M255" i="32"/>
  <c r="CP256" i="32"/>
  <c r="M256" i="32"/>
  <c r="CP257" i="32"/>
  <c r="M257" i="32"/>
  <c r="CP258" i="32"/>
  <c r="M258" i="32"/>
  <c r="CP259" i="32"/>
  <c r="M259" i="32"/>
  <c r="CP260" i="32"/>
  <c r="M260" i="32"/>
  <c r="CP261" i="32"/>
  <c r="M261" i="32"/>
  <c r="CP262" i="32"/>
  <c r="M262" i="32"/>
  <c r="CP263" i="32"/>
  <c r="M263" i="32"/>
  <c r="CP264" i="32"/>
  <c r="M264" i="32"/>
  <c r="CP265" i="32"/>
  <c r="M265" i="32"/>
  <c r="CP266" i="32"/>
  <c r="M266" i="32"/>
  <c r="CP267" i="32"/>
  <c r="M267" i="32"/>
  <c r="CP268" i="32"/>
  <c r="M268" i="32"/>
  <c r="CP269" i="32"/>
  <c r="M269" i="32"/>
  <c r="CP270" i="32"/>
  <c r="M270" i="32"/>
  <c r="CP271" i="32"/>
  <c r="M271" i="32"/>
  <c r="CP272" i="32"/>
  <c r="M272" i="32"/>
  <c r="CP273" i="32"/>
  <c r="M273" i="32"/>
  <c r="CP274" i="32"/>
  <c r="M274" i="32"/>
  <c r="CP275" i="32"/>
  <c r="M275" i="32"/>
  <c r="CP276" i="32"/>
  <c r="M276" i="32"/>
  <c r="CP277" i="32"/>
  <c r="M277" i="32"/>
  <c r="CP278" i="32"/>
  <c r="M278" i="32"/>
  <c r="CP279" i="32"/>
  <c r="M279" i="32"/>
  <c r="CP280" i="32"/>
  <c r="M280" i="32"/>
  <c r="CP281" i="32"/>
  <c r="M281" i="32"/>
  <c r="CP282" i="32"/>
  <c r="M282" i="32"/>
  <c r="CP283" i="32"/>
  <c r="M283" i="32"/>
  <c r="CP284" i="32"/>
  <c r="M284" i="32"/>
  <c r="CP285" i="32"/>
  <c r="M285" i="32"/>
  <c r="CP286" i="32"/>
  <c r="M286" i="32"/>
  <c r="CP287" i="32"/>
  <c r="M287" i="32"/>
  <c r="CP288" i="32"/>
  <c r="M288" i="32"/>
  <c r="CP289" i="32"/>
  <c r="M289" i="32"/>
  <c r="CP290" i="32"/>
  <c r="M290" i="32"/>
  <c r="CP291" i="32"/>
  <c r="M291" i="32"/>
  <c r="CP292" i="32"/>
  <c r="M292" i="32"/>
  <c r="CP293" i="32"/>
  <c r="M293" i="32"/>
  <c r="CP294" i="32"/>
  <c r="M294" i="32"/>
  <c r="CP295" i="32"/>
  <c r="M295" i="32"/>
  <c r="CP296" i="32"/>
  <c r="M296" i="32"/>
  <c r="CP297" i="32"/>
  <c r="M297" i="32"/>
  <c r="CP298" i="32"/>
  <c r="M298" i="32"/>
  <c r="CP299" i="32"/>
  <c r="M299" i="32"/>
  <c r="CP300" i="32"/>
  <c r="M300" i="32"/>
  <c r="CP301" i="32"/>
  <c r="M301" i="32"/>
  <c r="CP302" i="32"/>
  <c r="M302" i="32"/>
  <c r="CP303" i="32"/>
  <c r="M303" i="32"/>
  <c r="CP304" i="32"/>
  <c r="M304" i="32"/>
  <c r="CP305" i="32"/>
  <c r="M305" i="32"/>
  <c r="CP306" i="32"/>
  <c r="M306" i="32"/>
  <c r="CP307" i="32"/>
  <c r="M307" i="32"/>
  <c r="CP308" i="32"/>
  <c r="M308" i="32"/>
  <c r="CP309" i="32"/>
  <c r="M309" i="32"/>
  <c r="CP310" i="32"/>
  <c r="M310" i="32"/>
  <c r="CP311" i="32"/>
  <c r="M311" i="32"/>
  <c r="CP312" i="32"/>
  <c r="M312" i="32"/>
  <c r="CP313" i="32"/>
  <c r="M313" i="32"/>
  <c r="CP314" i="32"/>
  <c r="M314" i="32"/>
  <c r="CP315" i="32"/>
  <c r="M315" i="32"/>
  <c r="CP316" i="32"/>
  <c r="M316" i="32"/>
  <c r="CP317" i="32"/>
  <c r="M317" i="32"/>
  <c r="CP318" i="32"/>
  <c r="M318" i="32"/>
  <c r="CP319" i="32"/>
  <c r="M319" i="32"/>
  <c r="CP320" i="32"/>
  <c r="M320" i="32"/>
  <c r="CP321" i="32"/>
  <c r="M321" i="32"/>
  <c r="CP322" i="32"/>
  <c r="M322" i="32"/>
  <c r="CP323" i="32"/>
  <c r="M323" i="32"/>
  <c r="CP324" i="32"/>
  <c r="M324" i="32"/>
  <c r="CP325" i="32"/>
  <c r="M325" i="32"/>
  <c r="CP326" i="32"/>
  <c r="M326" i="32"/>
  <c r="CP327" i="32"/>
  <c r="M327" i="32"/>
  <c r="CP328" i="32"/>
  <c r="M328" i="32"/>
  <c r="CP329" i="32"/>
  <c r="M329" i="32"/>
  <c r="CP330" i="32"/>
  <c r="M330" i="32"/>
  <c r="CP331" i="32"/>
  <c r="M331" i="32"/>
  <c r="CP332" i="32"/>
  <c r="M332" i="32"/>
  <c r="CP333" i="32"/>
  <c r="M333" i="32"/>
  <c r="CP334" i="32"/>
  <c r="M334" i="32"/>
  <c r="CP335" i="32"/>
  <c r="M335" i="32"/>
  <c r="CP336" i="32"/>
  <c r="M336" i="32"/>
  <c r="CP337" i="32"/>
  <c r="M337" i="32"/>
  <c r="CP338" i="32"/>
  <c r="M338" i="32"/>
  <c r="CP339" i="32"/>
  <c r="M339" i="32"/>
  <c r="CP340" i="32"/>
  <c r="M340" i="32"/>
  <c r="CP341" i="32"/>
  <c r="M341" i="32"/>
  <c r="CP342" i="32"/>
  <c r="M342" i="32"/>
  <c r="CP343" i="32"/>
  <c r="M343" i="32"/>
  <c r="CP344" i="32"/>
  <c r="M344" i="32"/>
  <c r="CP345" i="32"/>
  <c r="M345" i="32"/>
  <c r="CP346" i="32"/>
  <c r="M346" i="32"/>
  <c r="CP347" i="32"/>
  <c r="M347" i="32"/>
  <c r="CP348" i="32"/>
  <c r="M348" i="32"/>
  <c r="CP349" i="32"/>
  <c r="M349" i="32"/>
  <c r="CP350" i="32"/>
  <c r="M350" i="32"/>
  <c r="CP351" i="32"/>
  <c r="M351" i="32"/>
  <c r="CP352" i="32"/>
  <c r="M352" i="32"/>
  <c r="CP353" i="32"/>
  <c r="M353" i="32"/>
  <c r="CP354" i="32"/>
  <c r="M354" i="32"/>
  <c r="CP355" i="32"/>
  <c r="M355" i="32"/>
  <c r="CP356" i="32"/>
  <c r="M356" i="32"/>
  <c r="CP357" i="32"/>
  <c r="M357" i="32"/>
  <c r="CP358" i="32"/>
  <c r="M358" i="32"/>
  <c r="CP359" i="32"/>
  <c r="M359" i="32"/>
  <c r="CP360" i="32"/>
  <c r="M360" i="32"/>
  <c r="CP361" i="32"/>
  <c r="M361" i="32"/>
  <c r="CP362" i="32"/>
  <c r="M362" i="32"/>
  <c r="CP363" i="32"/>
  <c r="M363" i="32"/>
  <c r="CP364" i="32"/>
  <c r="M364" i="32"/>
  <c r="CP365" i="32"/>
  <c r="M365" i="32"/>
  <c r="CP366" i="32"/>
  <c r="M366" i="32"/>
  <c r="CP367" i="32"/>
  <c r="M367" i="32"/>
  <c r="CP368" i="32"/>
  <c r="M368" i="32"/>
  <c r="CP369" i="32"/>
  <c r="M369" i="32"/>
  <c r="CP370" i="32"/>
  <c r="M370" i="32"/>
  <c r="CP371" i="32"/>
  <c r="M371" i="32"/>
  <c r="CP372" i="32"/>
  <c r="M372" i="32"/>
  <c r="CP373" i="32"/>
  <c r="M373" i="32"/>
  <c r="CP374" i="32"/>
  <c r="M374" i="32"/>
  <c r="CP375" i="32"/>
  <c r="M375" i="32"/>
  <c r="CP376" i="32"/>
  <c r="M376" i="32"/>
  <c r="CP377" i="32"/>
  <c r="M377" i="32"/>
  <c r="CP378" i="32"/>
  <c r="M378" i="32"/>
  <c r="CP379" i="32"/>
  <c r="M379" i="32"/>
  <c r="CP380" i="32"/>
  <c r="M380" i="32"/>
  <c r="CP381" i="32"/>
  <c r="M381" i="32"/>
  <c r="CP382" i="32"/>
  <c r="M382" i="32"/>
  <c r="CP383" i="32"/>
  <c r="M383" i="32"/>
  <c r="CP384" i="32"/>
  <c r="M384" i="32"/>
  <c r="CP385" i="32"/>
  <c r="M385" i="32"/>
  <c r="CP386" i="32"/>
  <c r="M386" i="32"/>
  <c r="CP387" i="32"/>
  <c r="M387" i="32"/>
  <c r="CP388" i="32"/>
  <c r="M388" i="32"/>
  <c r="CP389" i="32"/>
  <c r="M389" i="32"/>
  <c r="CP390" i="32"/>
  <c r="M390" i="32"/>
  <c r="CP391" i="32"/>
  <c r="M391" i="32"/>
  <c r="CP392" i="32"/>
  <c r="M392" i="32"/>
  <c r="CP393" i="32"/>
  <c r="M393" i="32"/>
  <c r="CP394" i="32"/>
  <c r="M394" i="32"/>
  <c r="CP395" i="32"/>
  <c r="M395" i="32"/>
  <c r="CP396" i="32"/>
  <c r="M396" i="32"/>
  <c r="CP397" i="32"/>
  <c r="M397" i="32"/>
  <c r="CP398" i="32"/>
  <c r="M398" i="32"/>
  <c r="CP399" i="32"/>
  <c r="M399" i="32"/>
  <c r="CP400" i="32"/>
  <c r="M400" i="32"/>
  <c r="CP401" i="32"/>
  <c r="M401" i="32"/>
  <c r="CP402" i="32"/>
  <c r="M402" i="32"/>
  <c r="CP403" i="32"/>
  <c r="M403" i="32"/>
  <c r="CP404" i="32"/>
  <c r="M404" i="32"/>
  <c r="CP405" i="32"/>
  <c r="M405" i="32"/>
  <c r="CP406" i="32"/>
  <c r="M406" i="32"/>
  <c r="CP407" i="32"/>
  <c r="M407" i="32"/>
  <c r="CP408" i="32"/>
  <c r="M408" i="32"/>
  <c r="CP409" i="32"/>
  <c r="M409" i="32"/>
  <c r="CP410" i="32"/>
  <c r="M410" i="32"/>
  <c r="CP411" i="32"/>
  <c r="M411" i="32"/>
  <c r="CP412" i="32"/>
  <c r="M412" i="32"/>
  <c r="CP413" i="32"/>
  <c r="M413" i="32"/>
  <c r="CP414" i="32"/>
  <c r="M414" i="32"/>
  <c r="CP415" i="32"/>
  <c r="M415" i="32"/>
  <c r="CP416" i="32"/>
  <c r="M416" i="32"/>
  <c r="CP417" i="32"/>
  <c r="M417" i="32"/>
  <c r="CP418" i="32"/>
  <c r="M418" i="32"/>
  <c r="CP419" i="32"/>
  <c r="M419" i="32"/>
  <c r="CP420" i="32"/>
  <c r="M420" i="32"/>
  <c r="CP421" i="32"/>
  <c r="M421" i="32"/>
  <c r="CP422" i="32"/>
  <c r="M422" i="32"/>
  <c r="CP423" i="32"/>
  <c r="M423" i="32"/>
  <c r="CP424" i="32"/>
  <c r="M424" i="32"/>
  <c r="CP425" i="32"/>
  <c r="M425" i="32"/>
  <c r="CP426" i="32"/>
  <c r="M426" i="32"/>
  <c r="CP427" i="32"/>
  <c r="M427" i="32"/>
  <c r="CP428" i="32"/>
  <c r="CO6" i="32"/>
  <c r="CO7" i="32"/>
  <c r="CO8" i="32"/>
  <c r="CO9" i="32"/>
  <c r="CO10" i="32"/>
  <c r="CO11" i="32"/>
  <c r="CO12" i="32"/>
  <c r="CO13" i="32"/>
  <c r="CO14" i="32"/>
  <c r="CO15" i="32"/>
  <c r="CO16" i="32"/>
  <c r="CO17" i="32"/>
  <c r="CO18" i="32"/>
  <c r="CO19" i="32"/>
  <c r="CO20" i="32"/>
  <c r="CO21" i="32"/>
  <c r="CO22" i="32"/>
  <c r="CO23" i="32"/>
  <c r="CO24" i="32"/>
  <c r="CO25" i="32"/>
  <c r="CO26" i="32"/>
  <c r="CO27" i="32"/>
  <c r="CO28" i="32"/>
  <c r="CO29" i="32"/>
  <c r="CO30" i="32"/>
  <c r="CO31" i="32"/>
  <c r="CO32" i="32"/>
  <c r="CO33" i="32"/>
  <c r="CO34" i="32"/>
  <c r="CO35" i="32"/>
  <c r="CO36" i="32"/>
  <c r="CO37" i="32"/>
  <c r="CO38" i="32"/>
  <c r="CO39" i="32"/>
  <c r="CO40" i="32"/>
  <c r="CO41" i="32"/>
  <c r="CO42" i="32"/>
  <c r="CO43" i="32"/>
  <c r="CO44" i="32"/>
  <c r="CO45" i="32"/>
  <c r="CO46" i="32"/>
  <c r="CO47" i="32"/>
  <c r="CO48" i="32"/>
  <c r="CO49" i="32"/>
  <c r="CO50" i="32"/>
  <c r="CO51" i="32"/>
  <c r="CO52" i="32"/>
  <c r="CO53" i="32"/>
  <c r="CO54" i="32"/>
  <c r="CO55" i="32"/>
  <c r="CO56" i="32"/>
  <c r="CO57" i="32"/>
  <c r="CO58" i="32"/>
  <c r="CO59" i="32"/>
  <c r="CO60" i="32"/>
  <c r="CO61" i="32"/>
  <c r="CO62" i="32"/>
  <c r="CO63" i="32"/>
  <c r="CO64" i="32"/>
  <c r="CO65" i="32"/>
  <c r="CO66" i="32"/>
  <c r="CO67" i="32"/>
  <c r="CO68" i="32"/>
  <c r="CO69" i="32"/>
  <c r="CO70" i="32"/>
  <c r="CO71" i="32"/>
  <c r="CO72" i="32"/>
  <c r="CO73" i="32"/>
  <c r="CO74" i="32"/>
  <c r="CO75" i="32"/>
  <c r="CO76" i="32"/>
  <c r="CO77" i="32"/>
  <c r="CO78" i="32"/>
  <c r="CO79" i="32"/>
  <c r="CO80" i="32"/>
  <c r="CO81" i="32"/>
  <c r="CO82" i="32"/>
  <c r="CO83" i="32"/>
  <c r="CO84" i="32"/>
  <c r="CO85" i="32"/>
  <c r="CO86" i="32"/>
  <c r="CO87" i="32"/>
  <c r="CO88" i="32"/>
  <c r="CO89" i="32"/>
  <c r="CO90" i="32"/>
  <c r="CO91" i="32"/>
  <c r="CO92" i="32"/>
  <c r="CO93" i="32"/>
  <c r="CO94" i="32"/>
  <c r="CO95" i="32"/>
  <c r="CO96" i="32"/>
  <c r="CO97" i="32"/>
  <c r="CO98" i="32"/>
  <c r="CO99" i="32"/>
  <c r="CO100" i="32"/>
  <c r="CO101" i="32"/>
  <c r="CO102" i="32"/>
  <c r="CO103" i="32"/>
  <c r="CO104" i="32"/>
  <c r="CO105" i="32"/>
  <c r="CO106" i="32"/>
  <c r="CO107" i="32"/>
  <c r="CO108" i="32"/>
  <c r="CO109" i="32"/>
  <c r="CO110" i="32"/>
  <c r="CO111" i="32"/>
  <c r="CO112" i="32"/>
  <c r="CO113" i="32"/>
  <c r="CO114" i="32"/>
  <c r="CO115" i="32"/>
  <c r="CO116" i="32"/>
  <c r="CO117" i="32"/>
  <c r="CO118" i="32"/>
  <c r="CO119" i="32"/>
  <c r="CO120" i="32"/>
  <c r="CO121" i="32"/>
  <c r="CO122" i="32"/>
  <c r="CO123" i="32"/>
  <c r="CO124" i="32"/>
  <c r="CO125" i="32"/>
  <c r="CO126" i="32"/>
  <c r="CO127" i="32"/>
  <c r="CO128" i="32"/>
  <c r="CO129" i="32"/>
  <c r="CO130" i="32"/>
  <c r="CO131" i="32"/>
  <c r="CO132" i="32"/>
  <c r="CO133" i="32"/>
  <c r="CO134" i="32"/>
  <c r="CO135" i="32"/>
  <c r="CO136" i="32"/>
  <c r="CO137" i="32"/>
  <c r="CO138" i="32"/>
  <c r="CO139" i="32"/>
  <c r="CO140" i="32"/>
  <c r="CO141" i="32"/>
  <c r="CO142" i="32"/>
  <c r="CO143" i="32"/>
  <c r="CO144" i="32"/>
  <c r="CO145" i="32"/>
  <c r="CO146" i="32"/>
  <c r="CO147" i="32"/>
  <c r="CO148" i="32"/>
  <c r="CO149" i="32"/>
  <c r="CO150" i="32"/>
  <c r="CO151" i="32"/>
  <c r="CO152" i="32"/>
  <c r="CO153" i="32"/>
  <c r="CO154" i="32"/>
  <c r="CO155" i="32"/>
  <c r="CO156" i="32"/>
  <c r="CO157" i="32"/>
  <c r="CO158" i="32"/>
  <c r="CO159" i="32"/>
  <c r="CO160" i="32"/>
  <c r="CO161" i="32"/>
  <c r="CO162" i="32"/>
  <c r="CO163" i="32"/>
  <c r="CO164" i="32"/>
  <c r="CO165" i="32"/>
  <c r="CO166" i="32"/>
  <c r="CO167" i="32"/>
  <c r="CO168" i="32"/>
  <c r="CO169" i="32"/>
  <c r="CO170" i="32"/>
  <c r="CO171" i="32"/>
  <c r="CO172" i="32"/>
  <c r="CO173" i="32"/>
  <c r="CO174" i="32"/>
  <c r="CO175" i="32"/>
  <c r="CO176" i="32"/>
  <c r="CO177" i="32"/>
  <c r="CO178" i="32"/>
  <c r="CO179" i="32"/>
  <c r="CO180" i="32"/>
  <c r="CO181" i="32"/>
  <c r="CO182" i="32"/>
  <c r="CO183" i="32"/>
  <c r="CO184" i="32"/>
  <c r="CO185" i="32"/>
  <c r="CO186" i="32"/>
  <c r="CO187" i="32"/>
  <c r="CO188" i="32"/>
  <c r="CO189" i="32"/>
  <c r="CO190" i="32"/>
  <c r="CO191" i="32"/>
  <c r="CO192" i="32"/>
  <c r="CO193" i="32"/>
  <c r="CO194" i="32"/>
  <c r="CO195" i="32"/>
  <c r="CO196" i="32"/>
  <c r="CO197" i="32"/>
  <c r="CO198" i="32"/>
  <c r="CO199" i="32"/>
  <c r="CO200" i="32"/>
  <c r="CO201" i="32"/>
  <c r="CO202" i="32"/>
  <c r="CO203" i="32"/>
  <c r="CO204" i="32"/>
  <c r="CO205" i="32"/>
  <c r="CO206" i="32"/>
  <c r="CO207" i="32"/>
  <c r="CO208" i="32"/>
  <c r="CO209" i="32"/>
  <c r="CO210" i="32"/>
  <c r="CO211" i="32"/>
  <c r="CO212" i="32"/>
  <c r="CO213" i="32"/>
  <c r="CO214" i="32"/>
  <c r="CO215" i="32"/>
  <c r="CO216" i="32"/>
  <c r="CO217" i="32"/>
  <c r="CO218" i="32"/>
  <c r="CO219" i="32"/>
  <c r="CO220" i="32"/>
  <c r="CO221" i="32"/>
  <c r="CO222" i="32"/>
  <c r="CO223" i="32"/>
  <c r="CO224" i="32"/>
  <c r="CO225" i="32"/>
  <c r="CO226" i="32"/>
  <c r="CO227" i="32"/>
  <c r="CO228" i="32"/>
  <c r="CO229" i="32"/>
  <c r="CO230" i="32"/>
  <c r="CO231" i="32"/>
  <c r="CO232" i="32"/>
  <c r="CO233" i="32"/>
  <c r="CO234" i="32"/>
  <c r="CO235" i="32"/>
  <c r="CO236" i="32"/>
  <c r="CO237" i="32"/>
  <c r="CO238" i="32"/>
  <c r="CO239" i="32"/>
  <c r="CO240" i="32"/>
  <c r="CO241" i="32"/>
  <c r="CO242" i="32"/>
  <c r="CO243" i="32"/>
  <c r="CO244" i="32"/>
  <c r="CO245" i="32"/>
  <c r="CO246" i="32"/>
  <c r="CO247" i="32"/>
  <c r="CO248" i="32"/>
  <c r="CO249" i="32"/>
  <c r="CO250" i="32"/>
  <c r="CO251" i="32"/>
  <c r="CO252" i="32"/>
  <c r="CO253" i="32"/>
  <c r="CO254" i="32"/>
  <c r="CO255" i="32"/>
  <c r="CO256" i="32"/>
  <c r="CO257" i="32"/>
  <c r="CO258" i="32"/>
  <c r="CO259" i="32"/>
  <c r="CO260" i="32"/>
  <c r="CO261" i="32"/>
  <c r="CO262" i="32"/>
  <c r="CO263" i="32"/>
  <c r="CO264" i="32"/>
  <c r="CO265" i="32"/>
  <c r="CO266" i="32"/>
  <c r="CO267" i="32"/>
  <c r="CO268" i="32"/>
  <c r="CO269" i="32"/>
  <c r="CO270" i="32"/>
  <c r="CO271" i="32"/>
  <c r="CO272" i="32"/>
  <c r="CO273" i="32"/>
  <c r="CO274" i="32"/>
  <c r="CO275" i="32"/>
  <c r="CO276" i="32"/>
  <c r="CO277" i="32"/>
  <c r="CO278" i="32"/>
  <c r="CO279" i="32"/>
  <c r="CO280" i="32"/>
  <c r="CO281" i="32"/>
  <c r="CO282" i="32"/>
  <c r="CO283" i="32"/>
  <c r="CO284" i="32"/>
  <c r="CO285" i="32"/>
  <c r="CO286" i="32"/>
  <c r="CO287" i="32"/>
  <c r="CO288" i="32"/>
  <c r="CO289" i="32"/>
  <c r="CO290" i="32"/>
  <c r="CO291" i="32"/>
  <c r="CO292" i="32"/>
  <c r="CO293" i="32"/>
  <c r="CO294" i="32"/>
  <c r="CO295" i="32"/>
  <c r="CO296" i="32"/>
  <c r="CO297" i="32"/>
  <c r="CO298" i="32"/>
  <c r="CO299" i="32"/>
  <c r="CO300" i="32"/>
  <c r="CO301" i="32"/>
  <c r="CO302" i="32"/>
  <c r="CO303" i="32"/>
  <c r="CO304" i="32"/>
  <c r="CO305" i="32"/>
  <c r="CO306" i="32"/>
  <c r="CO307" i="32"/>
  <c r="CO308" i="32"/>
  <c r="CO309" i="32"/>
  <c r="CO310" i="32"/>
  <c r="CO311" i="32"/>
  <c r="CO312" i="32"/>
  <c r="CO313" i="32"/>
  <c r="CO314" i="32"/>
  <c r="CO315" i="32"/>
  <c r="CO316" i="32"/>
  <c r="CO317" i="32"/>
  <c r="CO318" i="32"/>
  <c r="CO319" i="32"/>
  <c r="CO320" i="32"/>
  <c r="CO321" i="32"/>
  <c r="CO322" i="32"/>
  <c r="CO323" i="32"/>
  <c r="CO324" i="32"/>
  <c r="CO325" i="32"/>
  <c r="CO326" i="32"/>
  <c r="CO327" i="32"/>
  <c r="CO328" i="32"/>
  <c r="CO329" i="32"/>
  <c r="CO330" i="32"/>
  <c r="CO331" i="32"/>
  <c r="CO332" i="32"/>
  <c r="CO333" i="32"/>
  <c r="CO334" i="32"/>
  <c r="CO335" i="32"/>
  <c r="CO336" i="32"/>
  <c r="CO337" i="32"/>
  <c r="CO338" i="32"/>
  <c r="CO339" i="32"/>
  <c r="CO340" i="32"/>
  <c r="CO341" i="32"/>
  <c r="CO342" i="32"/>
  <c r="CO343" i="32"/>
  <c r="CO344" i="32"/>
  <c r="CO345" i="32"/>
  <c r="CO346" i="32"/>
  <c r="CO347" i="32"/>
  <c r="CO348" i="32"/>
  <c r="CO349" i="32"/>
  <c r="CO350" i="32"/>
  <c r="CO351" i="32"/>
  <c r="CO352" i="32"/>
  <c r="CO353" i="32"/>
  <c r="CO354" i="32"/>
  <c r="CO355" i="32"/>
  <c r="CO356" i="32"/>
  <c r="CO357" i="32"/>
  <c r="CO358" i="32"/>
  <c r="CO359" i="32"/>
  <c r="CO360" i="32"/>
  <c r="CO361" i="32"/>
  <c r="CO362" i="32"/>
  <c r="CO363" i="32"/>
  <c r="CO364" i="32"/>
  <c r="CO365" i="32"/>
  <c r="CO366" i="32"/>
  <c r="CO367" i="32"/>
  <c r="CO368" i="32"/>
  <c r="CO369" i="32"/>
  <c r="CO370" i="32"/>
  <c r="CO371" i="32"/>
  <c r="CO372" i="32"/>
  <c r="CO373" i="32"/>
  <c r="CO374" i="32"/>
  <c r="CO375" i="32"/>
  <c r="CO376" i="32"/>
  <c r="CO377" i="32"/>
  <c r="CO378" i="32"/>
  <c r="CO379" i="32"/>
  <c r="CO380" i="32"/>
  <c r="CO381" i="32"/>
  <c r="CO382" i="32"/>
  <c r="CO383" i="32"/>
  <c r="CO384" i="32"/>
  <c r="CO385" i="32"/>
  <c r="CO386" i="32"/>
  <c r="CO387" i="32"/>
  <c r="CO388" i="32"/>
  <c r="CO389" i="32"/>
  <c r="CO390" i="32"/>
  <c r="CO391" i="32"/>
  <c r="CO392" i="32"/>
  <c r="CO393" i="32"/>
  <c r="CO394" i="32"/>
  <c r="CO395" i="32"/>
  <c r="CO396" i="32"/>
  <c r="CO397" i="32"/>
  <c r="CO398" i="32"/>
  <c r="CO399" i="32"/>
  <c r="CO400" i="32"/>
  <c r="CO401" i="32"/>
  <c r="CO402" i="32"/>
  <c r="CO403" i="32"/>
  <c r="CO404" i="32"/>
  <c r="CO405" i="32"/>
  <c r="CO406" i="32"/>
  <c r="CO407" i="32"/>
  <c r="CO408" i="32"/>
  <c r="CO409" i="32"/>
  <c r="CO410" i="32"/>
  <c r="CO411" i="32"/>
  <c r="CO412" i="32"/>
  <c r="CO413" i="32"/>
  <c r="CO414" i="32"/>
  <c r="CO415" i="32"/>
  <c r="CO416" i="32"/>
  <c r="CO417" i="32"/>
  <c r="CO418" i="32"/>
  <c r="CO419" i="32"/>
  <c r="CO420" i="32"/>
  <c r="CO421" i="32"/>
  <c r="BB421" i="32"/>
  <c r="CO422" i="32"/>
  <c r="CO423" i="32"/>
  <c r="CO424" i="32"/>
  <c r="CO425" i="32"/>
  <c r="CO426" i="32"/>
  <c r="CO427" i="32"/>
  <c r="CO428" i="32"/>
  <c r="CN6" i="32"/>
  <c r="CN7" i="32"/>
  <c r="CN8" i="32"/>
  <c r="CN9" i="32"/>
  <c r="CN10" i="32"/>
  <c r="CN11" i="32"/>
  <c r="CN12" i="32"/>
  <c r="CN13" i="32"/>
  <c r="CN14" i="32"/>
  <c r="CN15" i="32"/>
  <c r="CN16" i="32"/>
  <c r="CN17" i="32"/>
  <c r="CN18" i="32"/>
  <c r="CN19" i="32"/>
  <c r="CN20" i="32"/>
  <c r="CN21" i="32"/>
  <c r="CN22" i="32"/>
  <c r="CN23" i="32"/>
  <c r="CN24" i="32"/>
  <c r="CN25" i="32"/>
  <c r="CN26" i="32"/>
  <c r="CN27" i="32"/>
  <c r="CN28" i="32"/>
  <c r="CN29" i="32"/>
  <c r="CN30" i="32"/>
  <c r="CN31" i="32"/>
  <c r="CN32" i="32"/>
  <c r="CN33" i="32"/>
  <c r="CN34" i="32"/>
  <c r="CN35" i="32"/>
  <c r="CN36" i="32"/>
  <c r="CN37" i="32"/>
  <c r="CN38" i="32"/>
  <c r="CN39" i="32"/>
  <c r="CN40" i="32"/>
  <c r="CN41" i="32"/>
  <c r="CN42" i="32"/>
  <c r="CN43" i="32"/>
  <c r="CN44" i="32"/>
  <c r="CN45" i="32"/>
  <c r="CN46" i="32"/>
  <c r="CN47" i="32"/>
  <c r="CN48" i="32"/>
  <c r="CN49" i="32"/>
  <c r="CN50" i="32"/>
  <c r="CN51" i="32"/>
  <c r="CN52" i="32"/>
  <c r="CN53" i="32"/>
  <c r="CN54" i="32"/>
  <c r="CN55" i="32"/>
  <c r="CN56" i="32"/>
  <c r="CN57" i="32"/>
  <c r="CN58" i="32"/>
  <c r="CN59" i="32"/>
  <c r="CN60" i="32"/>
  <c r="CN61" i="32"/>
  <c r="CN62" i="32"/>
  <c r="CN63" i="32"/>
  <c r="CN64" i="32"/>
  <c r="CN65" i="32"/>
  <c r="CN66" i="32"/>
  <c r="CN67" i="32"/>
  <c r="CN68" i="32"/>
  <c r="CN69" i="32"/>
  <c r="CN70" i="32"/>
  <c r="CN71" i="32"/>
  <c r="CN72" i="32"/>
  <c r="CN73" i="32"/>
  <c r="CN74" i="32"/>
  <c r="CN75" i="32"/>
  <c r="CN76" i="32"/>
  <c r="CN77" i="32"/>
  <c r="CN78" i="32"/>
  <c r="CN79" i="32"/>
  <c r="CN80" i="32"/>
  <c r="CN81" i="32"/>
  <c r="CN82" i="32"/>
  <c r="CN83" i="32"/>
  <c r="CN84" i="32"/>
  <c r="CN85" i="32"/>
  <c r="CN86" i="32"/>
  <c r="CN87" i="32"/>
  <c r="CN88" i="32"/>
  <c r="CN89" i="32"/>
  <c r="CN90" i="32"/>
  <c r="CN91" i="32"/>
  <c r="CN92" i="32"/>
  <c r="CN93" i="32"/>
  <c r="CN94" i="32"/>
  <c r="CN95" i="32"/>
  <c r="CN96" i="32"/>
  <c r="CN97" i="32"/>
  <c r="CN98" i="32"/>
  <c r="CN99" i="32"/>
  <c r="CN100" i="32"/>
  <c r="CN101" i="32"/>
  <c r="CN102" i="32"/>
  <c r="CN103" i="32"/>
  <c r="CN104" i="32"/>
  <c r="CN105" i="32"/>
  <c r="CN106" i="32"/>
  <c r="CN107" i="32"/>
  <c r="CN108" i="32"/>
  <c r="CN109" i="32"/>
  <c r="CN110" i="32"/>
  <c r="CN111" i="32"/>
  <c r="CN112" i="32"/>
  <c r="CN113" i="32"/>
  <c r="CN114" i="32"/>
  <c r="CN115" i="32"/>
  <c r="CN116" i="32"/>
  <c r="CN117" i="32"/>
  <c r="CN118" i="32"/>
  <c r="CN119" i="32"/>
  <c r="CN120" i="32"/>
  <c r="CN121" i="32"/>
  <c r="CN122" i="32"/>
  <c r="CN123" i="32"/>
  <c r="CN124" i="32"/>
  <c r="CN125" i="32"/>
  <c r="CN126" i="32"/>
  <c r="CN127" i="32"/>
  <c r="CN128" i="32"/>
  <c r="CN129" i="32"/>
  <c r="CN130" i="32"/>
  <c r="CN131" i="32"/>
  <c r="CN132" i="32"/>
  <c r="CN133" i="32"/>
  <c r="CN134" i="32"/>
  <c r="CN135" i="32"/>
  <c r="CN136" i="32"/>
  <c r="CN137" i="32"/>
  <c r="CN138" i="32"/>
  <c r="CN139" i="32"/>
  <c r="CN140" i="32"/>
  <c r="CN141" i="32"/>
  <c r="CN142" i="32"/>
  <c r="CN143" i="32"/>
  <c r="CN144" i="32"/>
  <c r="CN145" i="32"/>
  <c r="CN146" i="32"/>
  <c r="CN147" i="32"/>
  <c r="CN148" i="32"/>
  <c r="CN149" i="32"/>
  <c r="CN150" i="32"/>
  <c r="CN151" i="32"/>
  <c r="CN152" i="32"/>
  <c r="CN153" i="32"/>
  <c r="CN154" i="32"/>
  <c r="CN155" i="32"/>
  <c r="CN156" i="32"/>
  <c r="CN157" i="32"/>
  <c r="CN158" i="32"/>
  <c r="CN159" i="32"/>
  <c r="CN160" i="32"/>
  <c r="CN161" i="32"/>
  <c r="CN162" i="32"/>
  <c r="CN163" i="32"/>
  <c r="CN164" i="32"/>
  <c r="CN165" i="32"/>
  <c r="CN166" i="32"/>
  <c r="CN167" i="32"/>
  <c r="CN168" i="32"/>
  <c r="CN169" i="32"/>
  <c r="CN170" i="32"/>
  <c r="CN171" i="32"/>
  <c r="CN172" i="32"/>
  <c r="CN173" i="32"/>
  <c r="CN174" i="32"/>
  <c r="CN175" i="32"/>
  <c r="CN176" i="32"/>
  <c r="CN177" i="32"/>
  <c r="CN178" i="32"/>
  <c r="CN179" i="32"/>
  <c r="CN180" i="32"/>
  <c r="CN181" i="32"/>
  <c r="CN182" i="32"/>
  <c r="CN183" i="32"/>
  <c r="CN184" i="32"/>
  <c r="CN185" i="32"/>
  <c r="CN186" i="32"/>
  <c r="CN187" i="32"/>
  <c r="CN188" i="32"/>
  <c r="CN189" i="32"/>
  <c r="CN190" i="32"/>
  <c r="CN191" i="32"/>
  <c r="CN192" i="32"/>
  <c r="CN193" i="32"/>
  <c r="CN194" i="32"/>
  <c r="CN195" i="32"/>
  <c r="CN196" i="32"/>
  <c r="CN197" i="32"/>
  <c r="CN198" i="32"/>
  <c r="CN199" i="32"/>
  <c r="CN200" i="32"/>
  <c r="CN201" i="32"/>
  <c r="CN202" i="32"/>
  <c r="CN203" i="32"/>
  <c r="CN204" i="32"/>
  <c r="CN205" i="32"/>
  <c r="CN206" i="32"/>
  <c r="CN207" i="32"/>
  <c r="CN208" i="32"/>
  <c r="CN209" i="32"/>
  <c r="CN210" i="32"/>
  <c r="CN211" i="32"/>
  <c r="CN212" i="32"/>
  <c r="CN213" i="32"/>
  <c r="CN214" i="32"/>
  <c r="CN215" i="32"/>
  <c r="CN216" i="32"/>
  <c r="CN217" i="32"/>
  <c r="CN218" i="32"/>
  <c r="CN219" i="32"/>
  <c r="CN220" i="32"/>
  <c r="CN221" i="32"/>
  <c r="CN222" i="32"/>
  <c r="CN223" i="32"/>
  <c r="CN224" i="32"/>
  <c r="CN225" i="32"/>
  <c r="CN226" i="32"/>
  <c r="CN227" i="32"/>
  <c r="CN228" i="32"/>
  <c r="CN229" i="32"/>
  <c r="CN230" i="32"/>
  <c r="CN231" i="32"/>
  <c r="CN232" i="32"/>
  <c r="CN233" i="32"/>
  <c r="CN234" i="32"/>
  <c r="CN235" i="32"/>
  <c r="CN236" i="32"/>
  <c r="CN237" i="32"/>
  <c r="CN238" i="32"/>
  <c r="CN239" i="32"/>
  <c r="CN240" i="32"/>
  <c r="CN241" i="32"/>
  <c r="CN242" i="32"/>
  <c r="CN243" i="32"/>
  <c r="CN244" i="32"/>
  <c r="CN245" i="32"/>
  <c r="CN246" i="32"/>
  <c r="CN247" i="32"/>
  <c r="CN248" i="32"/>
  <c r="CN249" i="32"/>
  <c r="CN250" i="32"/>
  <c r="CN251" i="32"/>
  <c r="CN252" i="32"/>
  <c r="CN253" i="32"/>
  <c r="CN254" i="32"/>
  <c r="CN255" i="32"/>
  <c r="CN256" i="32"/>
  <c r="CN257" i="32"/>
  <c r="CN258" i="32"/>
  <c r="CN259" i="32"/>
  <c r="CN260" i="32"/>
  <c r="CN261" i="32"/>
  <c r="CN262" i="32"/>
  <c r="CN263" i="32"/>
  <c r="CN264" i="32"/>
  <c r="CN265" i="32"/>
  <c r="CN266" i="32"/>
  <c r="CN267" i="32"/>
  <c r="CN268" i="32"/>
  <c r="CN269" i="32"/>
  <c r="CN270" i="32"/>
  <c r="CN271" i="32"/>
  <c r="CN272" i="32"/>
  <c r="CN273" i="32"/>
  <c r="CN274" i="32"/>
  <c r="CN275" i="32"/>
  <c r="CN276" i="32"/>
  <c r="CN277" i="32"/>
  <c r="CN278" i="32"/>
  <c r="CN279" i="32"/>
  <c r="CN280" i="32"/>
  <c r="CN281" i="32"/>
  <c r="CN282" i="32"/>
  <c r="CN283" i="32"/>
  <c r="CN284" i="32"/>
  <c r="CN285" i="32"/>
  <c r="CN286" i="32"/>
  <c r="CN287" i="32"/>
  <c r="CN288" i="32"/>
  <c r="CN289" i="32"/>
  <c r="CN290" i="32"/>
  <c r="CN291" i="32"/>
  <c r="CN292" i="32"/>
  <c r="CN293" i="32"/>
  <c r="CN294" i="32"/>
  <c r="CN295" i="32"/>
  <c r="CN296" i="32"/>
  <c r="CN297" i="32"/>
  <c r="CN298" i="32"/>
  <c r="CN299" i="32"/>
  <c r="CN300" i="32"/>
  <c r="CN301" i="32"/>
  <c r="CN302" i="32"/>
  <c r="CN303" i="32"/>
  <c r="CN304" i="32"/>
  <c r="CN305" i="32"/>
  <c r="CN306" i="32"/>
  <c r="CN307" i="32"/>
  <c r="CN308" i="32"/>
  <c r="CN309" i="32"/>
  <c r="CN310" i="32"/>
  <c r="CN311" i="32"/>
  <c r="CN312" i="32"/>
  <c r="CN313" i="32"/>
  <c r="CN314" i="32"/>
  <c r="CN315" i="32"/>
  <c r="CN316" i="32"/>
  <c r="CN317" i="32"/>
  <c r="CN318" i="32"/>
  <c r="CN319" i="32"/>
  <c r="CN320" i="32"/>
  <c r="CN321" i="32"/>
  <c r="CN322" i="32"/>
  <c r="CN323" i="32"/>
  <c r="CN324" i="32"/>
  <c r="CN325" i="32"/>
  <c r="CN326" i="32"/>
  <c r="CN327" i="32"/>
  <c r="CN328" i="32"/>
  <c r="CN329" i="32"/>
  <c r="CN330" i="32"/>
  <c r="CN331" i="32"/>
  <c r="CN332" i="32"/>
  <c r="CN333" i="32"/>
  <c r="CN334" i="32"/>
  <c r="CN335" i="32"/>
  <c r="CN336" i="32"/>
  <c r="CN337" i="32"/>
  <c r="CN338" i="32"/>
  <c r="CN339" i="32"/>
  <c r="CN340" i="32"/>
  <c r="CN341" i="32"/>
  <c r="CN342" i="32"/>
  <c r="CN343" i="32"/>
  <c r="CN344" i="32"/>
  <c r="CN345" i="32"/>
  <c r="CN346" i="32"/>
  <c r="CN347" i="32"/>
  <c r="CN348" i="32"/>
  <c r="CN349" i="32"/>
  <c r="CN350" i="32"/>
  <c r="CN351" i="32"/>
  <c r="CN352" i="32"/>
  <c r="CN353" i="32"/>
  <c r="CN354" i="32"/>
  <c r="CN355" i="32"/>
  <c r="CN356" i="32"/>
  <c r="CN357" i="32"/>
  <c r="CN358" i="32"/>
  <c r="CN359" i="32"/>
  <c r="CN360" i="32"/>
  <c r="CN361" i="32"/>
  <c r="CN362" i="32"/>
  <c r="CN363" i="32"/>
  <c r="CN364" i="32"/>
  <c r="CN365" i="32"/>
  <c r="CN366" i="32"/>
  <c r="CN367" i="32"/>
  <c r="CN368" i="32"/>
  <c r="CN369" i="32"/>
  <c r="CN370" i="32"/>
  <c r="CN371" i="32"/>
  <c r="CN372" i="32"/>
  <c r="CN373" i="32"/>
  <c r="CN374" i="32"/>
  <c r="CN375" i="32"/>
  <c r="CN376" i="32"/>
  <c r="CN377" i="32"/>
  <c r="CN378" i="32"/>
  <c r="CN379" i="32"/>
  <c r="CN380" i="32"/>
  <c r="CN381" i="32"/>
  <c r="CN382" i="32"/>
  <c r="CN383" i="32"/>
  <c r="CN384" i="32"/>
  <c r="CN385" i="32"/>
  <c r="CN386" i="32"/>
  <c r="CN387" i="32"/>
  <c r="CN388" i="32"/>
  <c r="CN389" i="32"/>
  <c r="CN390" i="32"/>
  <c r="CN391" i="32"/>
  <c r="CN392" i="32"/>
  <c r="CN393" i="32"/>
  <c r="CN394" i="32"/>
  <c r="CN395" i="32"/>
  <c r="CN396" i="32"/>
  <c r="CN397" i="32"/>
  <c r="CN398" i="32"/>
  <c r="CN399" i="32"/>
  <c r="CN400" i="32"/>
  <c r="CN401" i="32"/>
  <c r="CN402" i="32"/>
  <c r="CN403" i="32"/>
  <c r="CN404" i="32"/>
  <c r="CN405" i="32"/>
  <c r="CN406" i="32"/>
  <c r="CN407" i="32"/>
  <c r="CN408" i="32"/>
  <c r="CN409" i="32"/>
  <c r="CN410" i="32"/>
  <c r="CN411" i="32"/>
  <c r="CN412" i="32"/>
  <c r="CN413" i="32"/>
  <c r="CN414" i="32"/>
  <c r="CN415" i="32"/>
  <c r="CN416" i="32"/>
  <c r="CN417" i="32"/>
  <c r="CN418" i="32"/>
  <c r="CN419" i="32"/>
  <c r="CN420" i="32"/>
  <c r="CN421" i="32"/>
  <c r="CN422" i="32"/>
  <c r="CN423" i="32"/>
  <c r="CN424" i="32"/>
  <c r="CN5" i="32"/>
  <c r="L5" i="32"/>
  <c r="CH6" i="32"/>
  <c r="L6" i="32"/>
  <c r="CH7" i="32"/>
  <c r="L7" i="32"/>
  <c r="CH8" i="32"/>
  <c r="L8" i="32"/>
  <c r="CH9" i="32"/>
  <c r="L9" i="32"/>
  <c r="CH10" i="32"/>
  <c r="L10" i="32"/>
  <c r="CH11" i="32"/>
  <c r="L11" i="32"/>
  <c r="CH12" i="32"/>
  <c r="L12" i="32"/>
  <c r="CH13" i="32"/>
  <c r="L13" i="32"/>
  <c r="CH14" i="32"/>
  <c r="L14" i="32"/>
  <c r="CH15" i="32"/>
  <c r="L15" i="32"/>
  <c r="CH16" i="32"/>
  <c r="L16" i="32"/>
  <c r="CH17" i="32"/>
  <c r="L17" i="32"/>
  <c r="CH18" i="32"/>
  <c r="L18" i="32"/>
  <c r="CH19" i="32"/>
  <c r="L19" i="32"/>
  <c r="CH20" i="32"/>
  <c r="L20" i="32"/>
  <c r="CH21" i="32"/>
  <c r="L21" i="32"/>
  <c r="CH22" i="32"/>
  <c r="L22" i="32"/>
  <c r="CH23" i="32"/>
  <c r="L23" i="32"/>
  <c r="CH24" i="32"/>
  <c r="L24" i="32"/>
  <c r="CH25" i="32"/>
  <c r="L25" i="32"/>
  <c r="CH26" i="32"/>
  <c r="L26" i="32"/>
  <c r="CH27" i="32"/>
  <c r="L27" i="32"/>
  <c r="CH28" i="32"/>
  <c r="L28" i="32"/>
  <c r="CH29" i="32"/>
  <c r="L29" i="32"/>
  <c r="CH30" i="32"/>
  <c r="L30" i="32"/>
  <c r="CH31" i="32"/>
  <c r="L31" i="32"/>
  <c r="CH32" i="32"/>
  <c r="L32" i="32"/>
  <c r="CH33" i="32"/>
  <c r="L33" i="32"/>
  <c r="CH34" i="32"/>
  <c r="L34" i="32"/>
  <c r="CH35" i="32"/>
  <c r="L35" i="32"/>
  <c r="CH36" i="32"/>
  <c r="L36" i="32"/>
  <c r="CH37" i="32"/>
  <c r="L37" i="32"/>
  <c r="CH38" i="32"/>
  <c r="L38" i="32"/>
  <c r="CH39" i="32"/>
  <c r="L39" i="32"/>
  <c r="CH40" i="32"/>
  <c r="L40" i="32"/>
  <c r="CH41" i="32"/>
  <c r="L41" i="32"/>
  <c r="CH42" i="32"/>
  <c r="L42" i="32"/>
  <c r="CH43" i="32"/>
  <c r="L43" i="32"/>
  <c r="CH44" i="32"/>
  <c r="L44" i="32"/>
  <c r="CH45" i="32"/>
  <c r="L45" i="32"/>
  <c r="CH46" i="32"/>
  <c r="L46" i="32"/>
  <c r="CH47" i="32"/>
  <c r="L47" i="32"/>
  <c r="CH48" i="32"/>
  <c r="L48" i="32"/>
  <c r="CH49" i="32"/>
  <c r="L49" i="32"/>
  <c r="CH50" i="32"/>
  <c r="L50" i="32"/>
  <c r="CH51" i="32"/>
  <c r="L51" i="32"/>
  <c r="CH52" i="32"/>
  <c r="L52" i="32"/>
  <c r="CH53" i="32"/>
  <c r="L53" i="32"/>
  <c r="CH54" i="32"/>
  <c r="L54" i="32"/>
  <c r="CH55" i="32"/>
  <c r="L55" i="32"/>
  <c r="CH56" i="32"/>
  <c r="L56" i="32"/>
  <c r="CH57" i="32"/>
  <c r="L57" i="32"/>
  <c r="CH58" i="32"/>
  <c r="L58" i="32"/>
  <c r="CH59" i="32"/>
  <c r="L59" i="32"/>
  <c r="CH60" i="32"/>
  <c r="L60" i="32"/>
  <c r="CH61" i="32"/>
  <c r="L61" i="32"/>
  <c r="CH62" i="32"/>
  <c r="L62" i="32"/>
  <c r="CH63" i="32"/>
  <c r="L63" i="32"/>
  <c r="CH64" i="32"/>
  <c r="L64" i="32"/>
  <c r="CH65" i="32"/>
  <c r="L65" i="32"/>
  <c r="CH66" i="32"/>
  <c r="L66" i="32"/>
  <c r="CH67" i="32"/>
  <c r="L67" i="32"/>
  <c r="CH68" i="32"/>
  <c r="L68" i="32"/>
  <c r="CH69" i="32"/>
  <c r="L69" i="32"/>
  <c r="CH70" i="32"/>
  <c r="L70" i="32"/>
  <c r="CH71" i="32"/>
  <c r="L71" i="32"/>
  <c r="CH72" i="32"/>
  <c r="L72" i="32"/>
  <c r="CH73" i="32"/>
  <c r="L73" i="32"/>
  <c r="CH74" i="32"/>
  <c r="L74" i="32"/>
  <c r="CH75" i="32"/>
  <c r="L75" i="32"/>
  <c r="CH76" i="32"/>
  <c r="L76" i="32"/>
  <c r="CH77" i="32"/>
  <c r="L77" i="32"/>
  <c r="CH78" i="32"/>
  <c r="L78" i="32"/>
  <c r="CH79" i="32"/>
  <c r="L79" i="32"/>
  <c r="CH80" i="32"/>
  <c r="L80" i="32"/>
  <c r="CH81" i="32"/>
  <c r="L81" i="32"/>
  <c r="CH82" i="32"/>
  <c r="L82" i="32"/>
  <c r="CH83" i="32"/>
  <c r="L83" i="32"/>
  <c r="CH84" i="32"/>
  <c r="L84" i="32"/>
  <c r="CH85" i="32"/>
  <c r="L85" i="32"/>
  <c r="CH86" i="32"/>
  <c r="L86" i="32"/>
  <c r="CH87" i="32"/>
  <c r="L87" i="32"/>
  <c r="CH88" i="32"/>
  <c r="L88" i="32"/>
  <c r="CH89" i="32"/>
  <c r="L89" i="32"/>
  <c r="CH90" i="32"/>
  <c r="L90" i="32"/>
  <c r="CH91" i="32"/>
  <c r="L91" i="32"/>
  <c r="CH92" i="32"/>
  <c r="L92" i="32"/>
  <c r="CH93" i="32"/>
  <c r="L93" i="32"/>
  <c r="CH94" i="32"/>
  <c r="L94" i="32"/>
  <c r="CH95" i="32"/>
  <c r="L95" i="32"/>
  <c r="CH96" i="32"/>
  <c r="L96" i="32"/>
  <c r="CH97" i="32"/>
  <c r="L97" i="32"/>
  <c r="CH98" i="32"/>
  <c r="L98" i="32"/>
  <c r="CH99" i="32"/>
  <c r="L99" i="32"/>
  <c r="CH100" i="32"/>
  <c r="L100" i="32"/>
  <c r="CH101" i="32"/>
  <c r="L101" i="32"/>
  <c r="CH102" i="32"/>
  <c r="L102" i="32"/>
  <c r="CH103" i="32"/>
  <c r="L103" i="32"/>
  <c r="CH104" i="32"/>
  <c r="L104" i="32"/>
  <c r="CH105" i="32"/>
  <c r="L105" i="32"/>
  <c r="CH106" i="32"/>
  <c r="L106" i="32"/>
  <c r="CH107" i="32"/>
  <c r="L107" i="32"/>
  <c r="CH108" i="32"/>
  <c r="L108" i="32"/>
  <c r="CH109" i="32"/>
  <c r="L109" i="32"/>
  <c r="CH110" i="32"/>
  <c r="L110" i="32"/>
  <c r="CH111" i="32"/>
  <c r="L111" i="32"/>
  <c r="CH112" i="32"/>
  <c r="L112" i="32"/>
  <c r="CH113" i="32"/>
  <c r="L113" i="32"/>
  <c r="CH114" i="32"/>
  <c r="L114" i="32"/>
  <c r="CH115" i="32"/>
  <c r="L115" i="32"/>
  <c r="CH116" i="32"/>
  <c r="L116" i="32"/>
  <c r="CH117" i="32"/>
  <c r="L117" i="32"/>
  <c r="CH118" i="32"/>
  <c r="L118" i="32"/>
  <c r="CH119" i="32"/>
  <c r="L119" i="32"/>
  <c r="CH120" i="32"/>
  <c r="L120" i="32"/>
  <c r="CH121" i="32"/>
  <c r="L121" i="32"/>
  <c r="CH122" i="32"/>
  <c r="L122" i="32"/>
  <c r="CH123" i="32"/>
  <c r="L123" i="32"/>
  <c r="CH124" i="32"/>
  <c r="L124" i="32"/>
  <c r="CH125" i="32"/>
  <c r="L125" i="32"/>
  <c r="CH126" i="32"/>
  <c r="L126" i="32"/>
  <c r="CH127" i="32"/>
  <c r="L127" i="32"/>
  <c r="CH128" i="32"/>
  <c r="L128" i="32"/>
  <c r="CH129" i="32"/>
  <c r="L129" i="32"/>
  <c r="CH130" i="32"/>
  <c r="L130" i="32"/>
  <c r="CH131" i="32"/>
  <c r="L131" i="32"/>
  <c r="CH132" i="32"/>
  <c r="L132" i="32"/>
  <c r="CH133" i="32"/>
  <c r="L133" i="32"/>
  <c r="CH134" i="32"/>
  <c r="L134" i="32"/>
  <c r="CH135" i="32"/>
  <c r="L135" i="32"/>
  <c r="CH136" i="32"/>
  <c r="L136" i="32"/>
  <c r="CH137" i="32"/>
  <c r="L137" i="32"/>
  <c r="CH138" i="32"/>
  <c r="L138" i="32"/>
  <c r="CH139" i="32"/>
  <c r="L139" i="32"/>
  <c r="CH140" i="32"/>
  <c r="L140" i="32"/>
  <c r="CH141" i="32"/>
  <c r="L141" i="32"/>
  <c r="CH142" i="32"/>
  <c r="L142" i="32"/>
  <c r="CH143" i="32"/>
  <c r="L143" i="32"/>
  <c r="CH144" i="32"/>
  <c r="L144" i="32"/>
  <c r="CH145" i="32"/>
  <c r="L145" i="32"/>
  <c r="CH146" i="32"/>
  <c r="L146" i="32"/>
  <c r="CH147" i="32"/>
  <c r="L147" i="32"/>
  <c r="CH148" i="32"/>
  <c r="L148" i="32"/>
  <c r="CH149" i="32"/>
  <c r="L149" i="32"/>
  <c r="CH150" i="32"/>
  <c r="L150" i="32"/>
  <c r="CH151" i="32"/>
  <c r="L151" i="32"/>
  <c r="CH152" i="32"/>
  <c r="L152" i="32"/>
  <c r="CH153" i="32"/>
  <c r="L153" i="32"/>
  <c r="CH154" i="32"/>
  <c r="L154" i="32"/>
  <c r="CH155" i="32"/>
  <c r="L155" i="32"/>
  <c r="CH156" i="32"/>
  <c r="L156" i="32"/>
  <c r="CH157" i="32"/>
  <c r="L157" i="32"/>
  <c r="CH158" i="32"/>
  <c r="L158" i="32"/>
  <c r="CH159" i="32"/>
  <c r="L159" i="32"/>
  <c r="CH160" i="32"/>
  <c r="L160" i="32"/>
  <c r="CH161" i="32"/>
  <c r="L161" i="32"/>
  <c r="CH162" i="32"/>
  <c r="L162" i="32"/>
  <c r="CH163" i="32"/>
  <c r="L163" i="32"/>
  <c r="CH164" i="32"/>
  <c r="L164" i="32"/>
  <c r="CH165" i="32"/>
  <c r="L165" i="32"/>
  <c r="CH166" i="32"/>
  <c r="L166" i="32"/>
  <c r="CH167" i="32"/>
  <c r="L167" i="32"/>
  <c r="CH168" i="32"/>
  <c r="L168" i="32"/>
  <c r="CH169" i="32"/>
  <c r="L169" i="32"/>
  <c r="CH170" i="32"/>
  <c r="L170" i="32"/>
  <c r="CH171" i="32"/>
  <c r="L171" i="32"/>
  <c r="CH172" i="32"/>
  <c r="L172" i="32"/>
  <c r="CH173" i="32"/>
  <c r="L173" i="32"/>
  <c r="CH174" i="32"/>
  <c r="L174" i="32"/>
  <c r="CH175" i="32"/>
  <c r="L175" i="32"/>
  <c r="CH176" i="32"/>
  <c r="L176" i="32"/>
  <c r="CH177" i="32"/>
  <c r="L177" i="32"/>
  <c r="CH178" i="32"/>
  <c r="L178" i="32"/>
  <c r="CH179" i="32"/>
  <c r="L179" i="32"/>
  <c r="CH180" i="32"/>
  <c r="L180" i="32"/>
  <c r="CH181" i="32"/>
  <c r="L181" i="32"/>
  <c r="CH182" i="32"/>
  <c r="L182" i="32"/>
  <c r="CH183" i="32"/>
  <c r="L183" i="32"/>
  <c r="CH184" i="32"/>
  <c r="L184" i="32"/>
  <c r="CH185" i="32"/>
  <c r="L185" i="32"/>
  <c r="CH186" i="32"/>
  <c r="L186" i="32"/>
  <c r="CH187" i="32"/>
  <c r="L187" i="32"/>
  <c r="CH188" i="32"/>
  <c r="L188" i="32"/>
  <c r="CH189" i="32"/>
  <c r="L189" i="32"/>
  <c r="CH190" i="32"/>
  <c r="L190" i="32"/>
  <c r="CH191" i="32"/>
  <c r="L191" i="32"/>
  <c r="CH192" i="32"/>
  <c r="L192" i="32"/>
  <c r="CH193" i="32"/>
  <c r="L193" i="32"/>
  <c r="CH194" i="32"/>
  <c r="L194" i="32"/>
  <c r="CH195" i="32"/>
  <c r="L195" i="32"/>
  <c r="CH196" i="32"/>
  <c r="L196" i="32"/>
  <c r="CH197" i="32"/>
  <c r="L197" i="32"/>
  <c r="CH198" i="32"/>
  <c r="L198" i="32"/>
  <c r="CH199" i="32"/>
  <c r="L199" i="32"/>
  <c r="CH200" i="32"/>
  <c r="L200" i="32"/>
  <c r="CH201" i="32"/>
  <c r="L201" i="32"/>
  <c r="CH202" i="32"/>
  <c r="L202" i="32"/>
  <c r="CH203" i="32"/>
  <c r="L203" i="32"/>
  <c r="CH204" i="32"/>
  <c r="L204" i="32"/>
  <c r="CH205" i="32"/>
  <c r="L205" i="32"/>
  <c r="CH206" i="32"/>
  <c r="L206" i="32"/>
  <c r="CH207" i="32"/>
  <c r="L207" i="32"/>
  <c r="CH208" i="32"/>
  <c r="L208" i="32"/>
  <c r="CH209" i="32"/>
  <c r="L209" i="32"/>
  <c r="CH210" i="32"/>
  <c r="L210" i="32"/>
  <c r="CH211" i="32"/>
  <c r="L211" i="32"/>
  <c r="CH212" i="32"/>
  <c r="L212" i="32"/>
  <c r="CH213" i="32"/>
  <c r="L213" i="32"/>
  <c r="CH214" i="32"/>
  <c r="L214" i="32"/>
  <c r="CH215" i="32"/>
  <c r="L215" i="32"/>
  <c r="CH216" i="32"/>
  <c r="L216" i="32"/>
  <c r="CH217" i="32"/>
  <c r="L217" i="32"/>
  <c r="CH218" i="32"/>
  <c r="L218" i="32"/>
  <c r="CH219" i="32"/>
  <c r="L219" i="32"/>
  <c r="CH220" i="32"/>
  <c r="L220" i="32"/>
  <c r="CH221" i="32"/>
  <c r="L221" i="32"/>
  <c r="CH222" i="32"/>
  <c r="L222" i="32"/>
  <c r="CH223" i="32"/>
  <c r="L223" i="32"/>
  <c r="CH224" i="32"/>
  <c r="L224" i="32"/>
  <c r="CH225" i="32"/>
  <c r="L225" i="32"/>
  <c r="CH226" i="32"/>
  <c r="L226" i="32"/>
  <c r="CH227" i="32"/>
  <c r="L227" i="32"/>
  <c r="CH228" i="32"/>
  <c r="L228" i="32"/>
  <c r="CH229" i="32"/>
  <c r="L229" i="32"/>
  <c r="CH230" i="32"/>
  <c r="L230" i="32"/>
  <c r="CH231" i="32"/>
  <c r="L231" i="32"/>
  <c r="CH232" i="32"/>
  <c r="L232" i="32"/>
  <c r="CH233" i="32"/>
  <c r="L233" i="32"/>
  <c r="CH234" i="32"/>
  <c r="L234" i="32"/>
  <c r="CH235" i="32"/>
  <c r="L235" i="32"/>
  <c r="CH236" i="32"/>
  <c r="L236" i="32"/>
  <c r="CH237" i="32"/>
  <c r="L237" i="32"/>
  <c r="CH238" i="32"/>
  <c r="L238" i="32"/>
  <c r="CH239" i="32"/>
  <c r="L239" i="32"/>
  <c r="CH240" i="32"/>
  <c r="L240" i="32"/>
  <c r="CH241" i="32"/>
  <c r="L241" i="32"/>
  <c r="CH242" i="32"/>
  <c r="L242" i="32"/>
  <c r="CH243" i="32"/>
  <c r="L243" i="32"/>
  <c r="CH244" i="32"/>
  <c r="L244" i="32"/>
  <c r="CH245" i="32"/>
  <c r="L245" i="32"/>
  <c r="CH246" i="32"/>
  <c r="L246" i="32"/>
  <c r="CH247" i="32"/>
  <c r="L247" i="32"/>
  <c r="CH248" i="32"/>
  <c r="L248" i="32"/>
  <c r="CH249" i="32"/>
  <c r="L249" i="32"/>
  <c r="CH250" i="32"/>
  <c r="L250" i="32"/>
  <c r="CH251" i="32"/>
  <c r="L251" i="32"/>
  <c r="CH252" i="32"/>
  <c r="L252" i="32"/>
  <c r="CH253" i="32"/>
  <c r="L253" i="32"/>
  <c r="CH254" i="32"/>
  <c r="L254" i="32"/>
  <c r="CH255" i="32"/>
  <c r="L255" i="32"/>
  <c r="CH256" i="32"/>
  <c r="L256" i="32"/>
  <c r="CH257" i="32"/>
  <c r="L257" i="32"/>
  <c r="CH258" i="32"/>
  <c r="L258" i="32"/>
  <c r="CH259" i="32"/>
  <c r="L259" i="32"/>
  <c r="CH260" i="32"/>
  <c r="L260" i="32"/>
  <c r="CH261" i="32"/>
  <c r="L261" i="32"/>
  <c r="CH262" i="32"/>
  <c r="L262" i="32"/>
  <c r="CH263" i="32"/>
  <c r="L263" i="32"/>
  <c r="CH264" i="32"/>
  <c r="L264" i="32"/>
  <c r="CH265" i="32"/>
  <c r="L265" i="32"/>
  <c r="CH266" i="32"/>
  <c r="L266" i="32"/>
  <c r="CH267" i="32"/>
  <c r="L267" i="32"/>
  <c r="CH268" i="32"/>
  <c r="L268" i="32"/>
  <c r="CH269" i="32"/>
  <c r="L269" i="32"/>
  <c r="CH270" i="32"/>
  <c r="L270" i="32"/>
  <c r="CH271" i="32"/>
  <c r="L271" i="32"/>
  <c r="CH272" i="32"/>
  <c r="L272" i="32"/>
  <c r="CH273" i="32"/>
  <c r="L273" i="32"/>
  <c r="CH274" i="32"/>
  <c r="L274" i="32"/>
  <c r="CH275" i="32"/>
  <c r="L275" i="32"/>
  <c r="CH276" i="32"/>
  <c r="L276" i="32"/>
  <c r="CH277" i="32"/>
  <c r="L277" i="32"/>
  <c r="CH278" i="32"/>
  <c r="L278" i="32"/>
  <c r="CH279" i="32"/>
  <c r="L279" i="32"/>
  <c r="CH280" i="32"/>
  <c r="L280" i="32"/>
  <c r="CH281" i="32"/>
  <c r="L281" i="32"/>
  <c r="CH282" i="32"/>
  <c r="L282" i="32"/>
  <c r="CH283" i="32"/>
  <c r="L283" i="32"/>
  <c r="CH284" i="32"/>
  <c r="L284" i="32"/>
  <c r="CH285" i="32"/>
  <c r="L285" i="32"/>
  <c r="CH286" i="32"/>
  <c r="L286" i="32"/>
  <c r="CH287" i="32"/>
  <c r="L287" i="32"/>
  <c r="CH288" i="32"/>
  <c r="L288" i="32"/>
  <c r="CH289" i="32"/>
  <c r="L289" i="32"/>
  <c r="CH290" i="32"/>
  <c r="L290" i="32"/>
  <c r="CH291" i="32"/>
  <c r="L291" i="32"/>
  <c r="CH292" i="32"/>
  <c r="L292" i="32"/>
  <c r="CH293" i="32"/>
  <c r="L293" i="32"/>
  <c r="CH294" i="32"/>
  <c r="L294" i="32"/>
  <c r="CH295" i="32"/>
  <c r="L295" i="32"/>
  <c r="CH296" i="32"/>
  <c r="L296" i="32"/>
  <c r="CH297" i="32"/>
  <c r="L297" i="32"/>
  <c r="CH298" i="32"/>
  <c r="L298" i="32"/>
  <c r="CH299" i="32"/>
  <c r="L299" i="32"/>
  <c r="CH300" i="32"/>
  <c r="L300" i="32"/>
  <c r="CH301" i="32"/>
  <c r="L301" i="32"/>
  <c r="CH302" i="32"/>
  <c r="L302" i="32"/>
  <c r="CH303" i="32"/>
  <c r="L303" i="32"/>
  <c r="CH304" i="32"/>
  <c r="L304" i="32"/>
  <c r="CH305" i="32"/>
  <c r="L305" i="32"/>
  <c r="CH306" i="32"/>
  <c r="L306" i="32"/>
  <c r="CH307" i="32"/>
  <c r="L307" i="32"/>
  <c r="CH308" i="32"/>
  <c r="L308" i="32"/>
  <c r="CH309" i="32"/>
  <c r="L309" i="32"/>
  <c r="CH310" i="32"/>
  <c r="L310" i="32"/>
  <c r="CH311" i="32"/>
  <c r="L311" i="32"/>
  <c r="CH312" i="32"/>
  <c r="L312" i="32"/>
  <c r="CH313" i="32"/>
  <c r="L313" i="32"/>
  <c r="CH314" i="32"/>
  <c r="L314" i="32"/>
  <c r="CH315" i="32"/>
  <c r="L315" i="32"/>
  <c r="CH316" i="32"/>
  <c r="L316" i="32"/>
  <c r="CH317" i="32"/>
  <c r="L317" i="32"/>
  <c r="CH318" i="32"/>
  <c r="L318" i="32"/>
  <c r="CH319" i="32"/>
  <c r="L319" i="32"/>
  <c r="CH320" i="32"/>
  <c r="L320" i="32"/>
  <c r="CH321" i="32"/>
  <c r="L321" i="32"/>
  <c r="CH322" i="32"/>
  <c r="L322" i="32"/>
  <c r="CH323" i="32"/>
  <c r="L323" i="32"/>
  <c r="CH324" i="32"/>
  <c r="L324" i="32"/>
  <c r="CH325" i="32"/>
  <c r="L325" i="32"/>
  <c r="CH326" i="32"/>
  <c r="L326" i="32"/>
  <c r="CH327" i="32"/>
  <c r="L327" i="32"/>
  <c r="CH328" i="32"/>
  <c r="L328" i="32"/>
  <c r="CH329" i="32"/>
  <c r="L329" i="32"/>
  <c r="CH330" i="32"/>
  <c r="L330" i="32"/>
  <c r="CH331" i="32"/>
  <c r="L331" i="32"/>
  <c r="CH332" i="32"/>
  <c r="L332" i="32"/>
  <c r="CH333" i="32"/>
  <c r="L333" i="32"/>
  <c r="CH334" i="32"/>
  <c r="L334" i="32"/>
  <c r="CH335" i="32"/>
  <c r="L335" i="32"/>
  <c r="CH336" i="32"/>
  <c r="L336" i="32"/>
  <c r="CH337" i="32"/>
  <c r="L337" i="32"/>
  <c r="CH338" i="32"/>
  <c r="L338" i="32"/>
  <c r="CH339" i="32"/>
  <c r="L339" i="32"/>
  <c r="CH340" i="32"/>
  <c r="L340" i="32"/>
  <c r="CH341" i="32"/>
  <c r="L341" i="32"/>
  <c r="CH342" i="32"/>
  <c r="L342" i="32"/>
  <c r="CH343" i="32"/>
  <c r="L343" i="32"/>
  <c r="CH344" i="32"/>
  <c r="L344" i="32"/>
  <c r="CH345" i="32"/>
  <c r="L345" i="32"/>
  <c r="CH346" i="32"/>
  <c r="L346" i="32"/>
  <c r="CH347" i="32"/>
  <c r="L347" i="32"/>
  <c r="CH348" i="32"/>
  <c r="L348" i="32"/>
  <c r="CH349" i="32"/>
  <c r="L349" i="32"/>
  <c r="CH350" i="32"/>
  <c r="L350" i="32"/>
  <c r="CH351" i="32"/>
  <c r="L351" i="32"/>
  <c r="CH352" i="32"/>
  <c r="L352" i="32"/>
  <c r="CH353" i="32"/>
  <c r="L353" i="32"/>
  <c r="CH354" i="32"/>
  <c r="L354" i="32"/>
  <c r="CH355" i="32"/>
  <c r="L355" i="32"/>
  <c r="CH356" i="32"/>
  <c r="L356" i="32"/>
  <c r="CH357" i="32"/>
  <c r="L357" i="32"/>
  <c r="CH358" i="32"/>
  <c r="L358" i="32"/>
  <c r="CH359" i="32"/>
  <c r="L359" i="32"/>
  <c r="CH360" i="32"/>
  <c r="L360" i="32"/>
  <c r="CH361" i="32"/>
  <c r="L361" i="32"/>
  <c r="CH362" i="32"/>
  <c r="L362" i="32"/>
  <c r="CH363" i="32"/>
  <c r="L363" i="32"/>
  <c r="CH364" i="32"/>
  <c r="L364" i="32"/>
  <c r="CH365" i="32"/>
  <c r="L365" i="32"/>
  <c r="CH366" i="32"/>
  <c r="L366" i="32"/>
  <c r="CH367" i="32"/>
  <c r="L367" i="32"/>
  <c r="CH368" i="32"/>
  <c r="L368" i="32"/>
  <c r="CH369" i="32"/>
  <c r="L369" i="32"/>
  <c r="CH370" i="32"/>
  <c r="L370" i="32"/>
  <c r="CH371" i="32"/>
  <c r="L371" i="32"/>
  <c r="CH372" i="32"/>
  <c r="L372" i="32"/>
  <c r="CH373" i="32"/>
  <c r="L373" i="32"/>
  <c r="CH374" i="32"/>
  <c r="L374" i="32"/>
  <c r="CH375" i="32"/>
  <c r="L375" i="32"/>
  <c r="CH376" i="32"/>
  <c r="L376" i="32"/>
  <c r="CH377" i="32"/>
  <c r="L377" i="32"/>
  <c r="CH378" i="32"/>
  <c r="L378" i="32"/>
  <c r="CH379" i="32"/>
  <c r="L379" i="32"/>
  <c r="CH380" i="32"/>
  <c r="L380" i="32"/>
  <c r="CH381" i="32"/>
  <c r="L381" i="32"/>
  <c r="CH382" i="32"/>
  <c r="L382" i="32"/>
  <c r="CH383" i="32"/>
  <c r="L383" i="32"/>
  <c r="CH384" i="32"/>
  <c r="L384" i="32"/>
  <c r="CH385" i="32"/>
  <c r="L385" i="32"/>
  <c r="CH386" i="32"/>
  <c r="L386" i="32"/>
  <c r="CH387" i="32"/>
  <c r="L387" i="32"/>
  <c r="CH388" i="32"/>
  <c r="L388" i="32"/>
  <c r="CH389" i="32"/>
  <c r="L389" i="32"/>
  <c r="CH390" i="32"/>
  <c r="L390" i="32"/>
  <c r="CH391" i="32"/>
  <c r="L391" i="32"/>
  <c r="CH392" i="32"/>
  <c r="L392" i="32"/>
  <c r="CH393" i="32"/>
  <c r="L393" i="32"/>
  <c r="CH394" i="32"/>
  <c r="L394" i="32"/>
  <c r="CH395" i="32"/>
  <c r="L395" i="32"/>
  <c r="CH396" i="32"/>
  <c r="L396" i="32"/>
  <c r="CH397" i="32"/>
  <c r="L397" i="32"/>
  <c r="CH398" i="32"/>
  <c r="L398" i="32"/>
  <c r="CH399" i="32"/>
  <c r="L399" i="32"/>
  <c r="CH400" i="32"/>
  <c r="L400" i="32"/>
  <c r="CH401" i="32"/>
  <c r="L401" i="32"/>
  <c r="CH402" i="32"/>
  <c r="L402" i="32"/>
  <c r="CH403" i="32"/>
  <c r="L403" i="32"/>
  <c r="CH404" i="32"/>
  <c r="L404" i="32"/>
  <c r="CH405" i="32"/>
  <c r="L405" i="32"/>
  <c r="CH406" i="32"/>
  <c r="L406" i="32"/>
  <c r="CH407" i="32"/>
  <c r="L407" i="32"/>
  <c r="CH408" i="32"/>
  <c r="L408" i="32"/>
  <c r="CH409" i="32"/>
  <c r="L409" i="32"/>
  <c r="CH410" i="32"/>
  <c r="L410" i="32"/>
  <c r="CH411" i="32"/>
  <c r="L411" i="32"/>
  <c r="CH412" i="32"/>
  <c r="L412" i="32"/>
  <c r="CH413" i="32"/>
  <c r="L413" i="32"/>
  <c r="CH414" i="32"/>
  <c r="L414" i="32"/>
  <c r="CH415" i="32"/>
  <c r="L415" i="32"/>
  <c r="CH416" i="32"/>
  <c r="L416" i="32"/>
  <c r="CH417" i="32"/>
  <c r="L417" i="32"/>
  <c r="CH418" i="32"/>
  <c r="L418" i="32"/>
  <c r="CH419" i="32"/>
  <c r="L419" i="32"/>
  <c r="CH420" i="32"/>
  <c r="L420" i="32"/>
  <c r="CH421" i="32"/>
  <c r="L421" i="32"/>
  <c r="CH422" i="32"/>
  <c r="L422" i="32"/>
  <c r="CH423" i="32"/>
  <c r="L423" i="32"/>
  <c r="CH424" i="32"/>
  <c r="CG6" i="32"/>
  <c r="CG7" i="32"/>
  <c r="CG8" i="32"/>
  <c r="CG9" i="32"/>
  <c r="CG10" i="32"/>
  <c r="CG11" i="32"/>
  <c r="CG12" i="32"/>
  <c r="CG13" i="32"/>
  <c r="CG14" i="32"/>
  <c r="CG15" i="32"/>
  <c r="CG16" i="32"/>
  <c r="CG17" i="32"/>
  <c r="CG18" i="32"/>
  <c r="CG19" i="32"/>
  <c r="CG20" i="32"/>
  <c r="CG21" i="32"/>
  <c r="CG22" i="32"/>
  <c r="CG23" i="32"/>
  <c r="CG24" i="32"/>
  <c r="CG25" i="32"/>
  <c r="CG26" i="32"/>
  <c r="CG27" i="32"/>
  <c r="CG28" i="32"/>
  <c r="CG29" i="32"/>
  <c r="CG30" i="32"/>
  <c r="CG31" i="32"/>
  <c r="CG32" i="32"/>
  <c r="CG33" i="32"/>
  <c r="CG34" i="32"/>
  <c r="CG35" i="32"/>
  <c r="CG36" i="32"/>
  <c r="CG37" i="32"/>
  <c r="CG38" i="32"/>
  <c r="CG39" i="32"/>
  <c r="CG40" i="32"/>
  <c r="CG41" i="32"/>
  <c r="CG42" i="32"/>
  <c r="CG43" i="32"/>
  <c r="CG44" i="32"/>
  <c r="CG45" i="32"/>
  <c r="CG46" i="32"/>
  <c r="CG47" i="32"/>
  <c r="CG48" i="32"/>
  <c r="CG49" i="32"/>
  <c r="CG50" i="32"/>
  <c r="CG51" i="32"/>
  <c r="CG52" i="32"/>
  <c r="CG53" i="32"/>
  <c r="CG54" i="32"/>
  <c r="CG55" i="32"/>
  <c r="CG56" i="32"/>
  <c r="CG57" i="32"/>
  <c r="CG58" i="32"/>
  <c r="CG59" i="32"/>
  <c r="CG60" i="32"/>
  <c r="CG61" i="32"/>
  <c r="CG62" i="32"/>
  <c r="CG63" i="32"/>
  <c r="CG64" i="32"/>
  <c r="CG65" i="32"/>
  <c r="CG66" i="32"/>
  <c r="CG67" i="32"/>
  <c r="CG68" i="32"/>
  <c r="CG69" i="32"/>
  <c r="CG70" i="32"/>
  <c r="CG71" i="32"/>
  <c r="CG72" i="32"/>
  <c r="CG73" i="32"/>
  <c r="CG74" i="32"/>
  <c r="CG75" i="32"/>
  <c r="CG76" i="32"/>
  <c r="CG77" i="32"/>
  <c r="CG78" i="32"/>
  <c r="CG79" i="32"/>
  <c r="CG80" i="32"/>
  <c r="CG81" i="32"/>
  <c r="CG82" i="32"/>
  <c r="CG83" i="32"/>
  <c r="CG84" i="32"/>
  <c r="CG85" i="32"/>
  <c r="CG86" i="32"/>
  <c r="CG87" i="32"/>
  <c r="CG88" i="32"/>
  <c r="CG89" i="32"/>
  <c r="CG90" i="32"/>
  <c r="CG91" i="32"/>
  <c r="CG92" i="32"/>
  <c r="CG93" i="32"/>
  <c r="CG94" i="32"/>
  <c r="CG95" i="32"/>
  <c r="CG96" i="32"/>
  <c r="CG97" i="32"/>
  <c r="CG98" i="32"/>
  <c r="CG99" i="32"/>
  <c r="CG100" i="32"/>
  <c r="CG101" i="32"/>
  <c r="CG102" i="32"/>
  <c r="CG103" i="32"/>
  <c r="CG104" i="32"/>
  <c r="CG105" i="32"/>
  <c r="CG106" i="32"/>
  <c r="CG107" i="32"/>
  <c r="CG108" i="32"/>
  <c r="CG109" i="32"/>
  <c r="CG110" i="32"/>
  <c r="CG111" i="32"/>
  <c r="CG112" i="32"/>
  <c r="CG113" i="32"/>
  <c r="CG114" i="32"/>
  <c r="CG115" i="32"/>
  <c r="CG116" i="32"/>
  <c r="CG117" i="32"/>
  <c r="CG118" i="32"/>
  <c r="CG119" i="32"/>
  <c r="CG120" i="32"/>
  <c r="CG121" i="32"/>
  <c r="CG122" i="32"/>
  <c r="CG123" i="32"/>
  <c r="CG124" i="32"/>
  <c r="CG125" i="32"/>
  <c r="CG126" i="32"/>
  <c r="CG127" i="32"/>
  <c r="CG128" i="32"/>
  <c r="CG129" i="32"/>
  <c r="CG130" i="32"/>
  <c r="CG131" i="32"/>
  <c r="CG132" i="32"/>
  <c r="CG133" i="32"/>
  <c r="CG134" i="32"/>
  <c r="CG135" i="32"/>
  <c r="CG136" i="32"/>
  <c r="CG137" i="32"/>
  <c r="CG138" i="32"/>
  <c r="CG139" i="32"/>
  <c r="CG140" i="32"/>
  <c r="CG141" i="32"/>
  <c r="CG142" i="32"/>
  <c r="CG143" i="32"/>
  <c r="CG144" i="32"/>
  <c r="CG145" i="32"/>
  <c r="CG146" i="32"/>
  <c r="CG147" i="32"/>
  <c r="CG148" i="32"/>
  <c r="CG149" i="32"/>
  <c r="CG150" i="32"/>
  <c r="CG151" i="32"/>
  <c r="CG152" i="32"/>
  <c r="CG153" i="32"/>
  <c r="CG154" i="32"/>
  <c r="CG155" i="32"/>
  <c r="CG156" i="32"/>
  <c r="CG157" i="32"/>
  <c r="CG158" i="32"/>
  <c r="CG159" i="32"/>
  <c r="CG160" i="32"/>
  <c r="CG161" i="32"/>
  <c r="CG162" i="32"/>
  <c r="CG163" i="32"/>
  <c r="CG164" i="32"/>
  <c r="CG165" i="32"/>
  <c r="CG166" i="32"/>
  <c r="CG167" i="32"/>
  <c r="CG168" i="32"/>
  <c r="CG169" i="32"/>
  <c r="CG170" i="32"/>
  <c r="CG171" i="32"/>
  <c r="CG172" i="32"/>
  <c r="CG173" i="32"/>
  <c r="CG174" i="32"/>
  <c r="CG175" i="32"/>
  <c r="CG176" i="32"/>
  <c r="CG177" i="32"/>
  <c r="CG178" i="32"/>
  <c r="CG179" i="32"/>
  <c r="CG180" i="32"/>
  <c r="CG181" i="32"/>
  <c r="CG182" i="32"/>
  <c r="CG183" i="32"/>
  <c r="CG184" i="32"/>
  <c r="CG185" i="32"/>
  <c r="CG186" i="32"/>
  <c r="CG187" i="32"/>
  <c r="CG188" i="32"/>
  <c r="CG189" i="32"/>
  <c r="CG190" i="32"/>
  <c r="CG191" i="32"/>
  <c r="CG192" i="32"/>
  <c r="CG193" i="32"/>
  <c r="CG194" i="32"/>
  <c r="CG195" i="32"/>
  <c r="CG196" i="32"/>
  <c r="CG197" i="32"/>
  <c r="CG198" i="32"/>
  <c r="CG199" i="32"/>
  <c r="CG200" i="32"/>
  <c r="CG201" i="32"/>
  <c r="CG202" i="32"/>
  <c r="CG203" i="32"/>
  <c r="CG204" i="32"/>
  <c r="CG205" i="32"/>
  <c r="CG206" i="32"/>
  <c r="CG207" i="32"/>
  <c r="CG208" i="32"/>
  <c r="CG209" i="32"/>
  <c r="CG210" i="32"/>
  <c r="CG211" i="32"/>
  <c r="CG212" i="32"/>
  <c r="CG213" i="32"/>
  <c r="CG214" i="32"/>
  <c r="CG215" i="32"/>
  <c r="CG216" i="32"/>
  <c r="CG217" i="32"/>
  <c r="CG218" i="32"/>
  <c r="CG219" i="32"/>
  <c r="CG220" i="32"/>
  <c r="CG221" i="32"/>
  <c r="CG222" i="32"/>
  <c r="CG223" i="32"/>
  <c r="CG224" i="32"/>
  <c r="CG225" i="32"/>
  <c r="CG226" i="32"/>
  <c r="CG227" i="32"/>
  <c r="CG228" i="32"/>
  <c r="CG229" i="32"/>
  <c r="CG230" i="32"/>
  <c r="CG231" i="32"/>
  <c r="CG232" i="32"/>
  <c r="CG233" i="32"/>
  <c r="CG234" i="32"/>
  <c r="CG235" i="32"/>
  <c r="CG236" i="32"/>
  <c r="CG237" i="32"/>
  <c r="CG238" i="32"/>
  <c r="CG239" i="32"/>
  <c r="CG240" i="32"/>
  <c r="CG241" i="32"/>
  <c r="CG242" i="32"/>
  <c r="CG243" i="32"/>
  <c r="CG244" i="32"/>
  <c r="CG245" i="32"/>
  <c r="CG246" i="32"/>
  <c r="CG247" i="32"/>
  <c r="CG248" i="32"/>
  <c r="CG249" i="32"/>
  <c r="CG250" i="32"/>
  <c r="CG251" i="32"/>
  <c r="CG252" i="32"/>
  <c r="CG253" i="32"/>
  <c r="CG254" i="32"/>
  <c r="CG255" i="32"/>
  <c r="CG256" i="32"/>
  <c r="CG257" i="32"/>
  <c r="CG258" i="32"/>
  <c r="CG259" i="32"/>
  <c r="CG260" i="32"/>
  <c r="CG261" i="32"/>
  <c r="CG262" i="32"/>
  <c r="CG263" i="32"/>
  <c r="CG264" i="32"/>
  <c r="CG265" i="32"/>
  <c r="CG266" i="32"/>
  <c r="CG267" i="32"/>
  <c r="CG268" i="32"/>
  <c r="CG269" i="32"/>
  <c r="CG270" i="32"/>
  <c r="CG271" i="32"/>
  <c r="CG272" i="32"/>
  <c r="CG273" i="32"/>
  <c r="CG274" i="32"/>
  <c r="CG275" i="32"/>
  <c r="CG276" i="32"/>
  <c r="CG277" i="32"/>
  <c r="CG278" i="32"/>
  <c r="CG279" i="32"/>
  <c r="CG280" i="32"/>
  <c r="CG281" i="32"/>
  <c r="CG282" i="32"/>
  <c r="CG283" i="32"/>
  <c r="CG284" i="32"/>
  <c r="CG285" i="32"/>
  <c r="CG286" i="32"/>
  <c r="CG287" i="32"/>
  <c r="CG288" i="32"/>
  <c r="CG289" i="32"/>
  <c r="CG290" i="32"/>
  <c r="CG291" i="32"/>
  <c r="CG292" i="32"/>
  <c r="CG293" i="32"/>
  <c r="CG294" i="32"/>
  <c r="CG295" i="32"/>
  <c r="CG296" i="32"/>
  <c r="CG297" i="32"/>
  <c r="CG298" i="32"/>
  <c r="CG299" i="32"/>
  <c r="CG300" i="32"/>
  <c r="CG301" i="32"/>
  <c r="CG302" i="32"/>
  <c r="CG303" i="32"/>
  <c r="CG304" i="32"/>
  <c r="CG305" i="32"/>
  <c r="CG306" i="32"/>
  <c r="CG307" i="32"/>
  <c r="CG308" i="32"/>
  <c r="CG309" i="32"/>
  <c r="CG310" i="32"/>
  <c r="CG311" i="32"/>
  <c r="CG312" i="32"/>
  <c r="CG313" i="32"/>
  <c r="CG314" i="32"/>
  <c r="CG315" i="32"/>
  <c r="CG316" i="32"/>
  <c r="CG317" i="32"/>
  <c r="CG318" i="32"/>
  <c r="CG319" i="32"/>
  <c r="CG320" i="32"/>
  <c r="CG321" i="32"/>
  <c r="CG322" i="32"/>
  <c r="CG323" i="32"/>
  <c r="CG324" i="32"/>
  <c r="CG325" i="32"/>
  <c r="CG326" i="32"/>
  <c r="CG327" i="32"/>
  <c r="CG328" i="32"/>
  <c r="CG329" i="32"/>
  <c r="CG330" i="32"/>
  <c r="CG331" i="32"/>
  <c r="CG332" i="32"/>
  <c r="CG333" i="32"/>
  <c r="CG334" i="32"/>
  <c r="CG335" i="32"/>
  <c r="CG336" i="32"/>
  <c r="CG337" i="32"/>
  <c r="CG338" i="32"/>
  <c r="CG339" i="32"/>
  <c r="CG340" i="32"/>
  <c r="CG341" i="32"/>
  <c r="CG342" i="32"/>
  <c r="CG343" i="32"/>
  <c r="CG344" i="32"/>
  <c r="CG345" i="32"/>
  <c r="CG346" i="32"/>
  <c r="CG347" i="32"/>
  <c r="CG348" i="32"/>
  <c r="CG349" i="32"/>
  <c r="CG350" i="32"/>
  <c r="CG351" i="32"/>
  <c r="CG352" i="32"/>
  <c r="CG353" i="32"/>
  <c r="CG354" i="32"/>
  <c r="CG355" i="32"/>
  <c r="CG356" i="32"/>
  <c r="CG357" i="32"/>
  <c r="CG358" i="32"/>
  <c r="CG359" i="32"/>
  <c r="CG360" i="32"/>
  <c r="CG361" i="32"/>
  <c r="CG362" i="32"/>
  <c r="CG363" i="32"/>
  <c r="CG364" i="32"/>
  <c r="CG365" i="32"/>
  <c r="CG366" i="32"/>
  <c r="CG367" i="32"/>
  <c r="CG368" i="32"/>
  <c r="CG369" i="32"/>
  <c r="CG370" i="32"/>
  <c r="CG371" i="32"/>
  <c r="CG372" i="32"/>
  <c r="CG373" i="32"/>
  <c r="CG374" i="32"/>
  <c r="CG375" i="32"/>
  <c r="CG376" i="32"/>
  <c r="CG377" i="32"/>
  <c r="CG378" i="32"/>
  <c r="CG379" i="32"/>
  <c r="CG380" i="32"/>
  <c r="CG381" i="32"/>
  <c r="CG382" i="32"/>
  <c r="CG383" i="32"/>
  <c r="CG384" i="32"/>
  <c r="CG385" i="32"/>
  <c r="CG386" i="32"/>
  <c r="CG387" i="32"/>
  <c r="CG388" i="32"/>
  <c r="CG389" i="32"/>
  <c r="CG390" i="32"/>
  <c r="CG391" i="32"/>
  <c r="CG392" i="32"/>
  <c r="CG393" i="32"/>
  <c r="CG394" i="32"/>
  <c r="CG395" i="32"/>
  <c r="CG396" i="32"/>
  <c r="CG397" i="32"/>
  <c r="CG398" i="32"/>
  <c r="CG399" i="32"/>
  <c r="CG400" i="32"/>
  <c r="CG401" i="32"/>
  <c r="CG402" i="32"/>
  <c r="CG403" i="32"/>
  <c r="CG404" i="32"/>
  <c r="CG405" i="32"/>
  <c r="CG406" i="32"/>
  <c r="CG407" i="32"/>
  <c r="CG408" i="32"/>
  <c r="CG409" i="32"/>
  <c r="CG410" i="32"/>
  <c r="CG411" i="32"/>
  <c r="CG412" i="32"/>
  <c r="CG413" i="32"/>
  <c r="CG414" i="32"/>
  <c r="CG415" i="32"/>
  <c r="CG416" i="32"/>
  <c r="CG417" i="32"/>
  <c r="CG418" i="32"/>
  <c r="CG419" i="32"/>
  <c r="CG420" i="32"/>
  <c r="CG421" i="32"/>
  <c r="CG422" i="32"/>
  <c r="CG423" i="32"/>
  <c r="CG424" i="32"/>
  <c r="BU338" i="32"/>
  <c r="BU6" i="32"/>
  <c r="BU7" i="32"/>
  <c r="BU8" i="32"/>
  <c r="BU9" i="32"/>
  <c r="BU10" i="32"/>
  <c r="BU11" i="32"/>
  <c r="BU12" i="32"/>
  <c r="BU13" i="32"/>
  <c r="BU14" i="32"/>
  <c r="BU15" i="32"/>
  <c r="BU16" i="32"/>
  <c r="BU17" i="32"/>
  <c r="BU18" i="32"/>
  <c r="BU19" i="32"/>
  <c r="BU20" i="32"/>
  <c r="BU21" i="32"/>
  <c r="BU22" i="32"/>
  <c r="BU23" i="32"/>
  <c r="BU24" i="32"/>
  <c r="BU25" i="32"/>
  <c r="BU26" i="32"/>
  <c r="BU27" i="32"/>
  <c r="BU28" i="32"/>
  <c r="BU29" i="32"/>
  <c r="BU30" i="32"/>
  <c r="BU31" i="32"/>
  <c r="BU32" i="32"/>
  <c r="BU33" i="32"/>
  <c r="BU34" i="32"/>
  <c r="BU35" i="32"/>
  <c r="BU36" i="32"/>
  <c r="BU37" i="32"/>
  <c r="BU38" i="32"/>
  <c r="BU39" i="32"/>
  <c r="BU40" i="32"/>
  <c r="BU41" i="32"/>
  <c r="BU42" i="32"/>
  <c r="BU43" i="32"/>
  <c r="BU44" i="32"/>
  <c r="BU45" i="32"/>
  <c r="BU46" i="32"/>
  <c r="BU47" i="32"/>
  <c r="BU48" i="32"/>
  <c r="BU49" i="32"/>
  <c r="BU50" i="32"/>
  <c r="BU51" i="32"/>
  <c r="BU52" i="32"/>
  <c r="BU53" i="32"/>
  <c r="BU54" i="32"/>
  <c r="BU55" i="32"/>
  <c r="BU56" i="32"/>
  <c r="BU57" i="32"/>
  <c r="BU58" i="32"/>
  <c r="BU59" i="32"/>
  <c r="BU60" i="32"/>
  <c r="BU61" i="32"/>
  <c r="BU62" i="32"/>
  <c r="BU63" i="32"/>
  <c r="BU64" i="32"/>
  <c r="BU65" i="32"/>
  <c r="BU66" i="32"/>
  <c r="BU67" i="32"/>
  <c r="BU68" i="32"/>
  <c r="BU69" i="32"/>
  <c r="BU70" i="32"/>
  <c r="BU71" i="32"/>
  <c r="BU72" i="32"/>
  <c r="BU73" i="32"/>
  <c r="BU74" i="32"/>
  <c r="BU75" i="32"/>
  <c r="BU76" i="32"/>
  <c r="BU77" i="32"/>
  <c r="BU78" i="32"/>
  <c r="BU79" i="32"/>
  <c r="BU80" i="32"/>
  <c r="BU81" i="32"/>
  <c r="BU82" i="32"/>
  <c r="BU83" i="32"/>
  <c r="BU84" i="32"/>
  <c r="BU85" i="32"/>
  <c r="BU86" i="32"/>
  <c r="BU87" i="32"/>
  <c r="BU88" i="32"/>
  <c r="BU89" i="32"/>
  <c r="BU90" i="32"/>
  <c r="BU91" i="32"/>
  <c r="BU92" i="32"/>
  <c r="BU93" i="32"/>
  <c r="BU94" i="32"/>
  <c r="BU95" i="32"/>
  <c r="BU96" i="32"/>
  <c r="BU97" i="32"/>
  <c r="BU98" i="32"/>
  <c r="BU99" i="32"/>
  <c r="BU100" i="32"/>
  <c r="BU101" i="32"/>
  <c r="BU102" i="32"/>
  <c r="BU103" i="32"/>
  <c r="BU104" i="32"/>
  <c r="BU105" i="32"/>
  <c r="BU106" i="32"/>
  <c r="BU107" i="32"/>
  <c r="BU108" i="32"/>
  <c r="BU109" i="32"/>
  <c r="BU110" i="32"/>
  <c r="BU111" i="32"/>
  <c r="BU112" i="32"/>
  <c r="BU113" i="32"/>
  <c r="BU114" i="32"/>
  <c r="BU115" i="32"/>
  <c r="BU116" i="32"/>
  <c r="BU117" i="32"/>
  <c r="BU118" i="32"/>
  <c r="BU119" i="32"/>
  <c r="BU120" i="32"/>
  <c r="BU121" i="32"/>
  <c r="BU122" i="32"/>
  <c r="BU123" i="32"/>
  <c r="BU124" i="32"/>
  <c r="BU125" i="32"/>
  <c r="BU126" i="32"/>
  <c r="BU127" i="32"/>
  <c r="BU128" i="32"/>
  <c r="BU129" i="32"/>
  <c r="BU130" i="32"/>
  <c r="BU131" i="32"/>
  <c r="BU132" i="32"/>
  <c r="BU133" i="32"/>
  <c r="BU134" i="32"/>
  <c r="BU135" i="32"/>
  <c r="BU136" i="32"/>
  <c r="BU137" i="32"/>
  <c r="BU138" i="32"/>
  <c r="BU139" i="32"/>
  <c r="BU140" i="32"/>
  <c r="BU141" i="32"/>
  <c r="BU142" i="32"/>
  <c r="BU143" i="32"/>
  <c r="BU144" i="32"/>
  <c r="BU145" i="32"/>
  <c r="BU146" i="32"/>
  <c r="BU147" i="32"/>
  <c r="BU148" i="32"/>
  <c r="BU149" i="32"/>
  <c r="BU150" i="32"/>
  <c r="BU151" i="32"/>
  <c r="BU152" i="32"/>
  <c r="BU153" i="32"/>
  <c r="BU154" i="32"/>
  <c r="BU155" i="32"/>
  <c r="BU156" i="32"/>
  <c r="BU157" i="32"/>
  <c r="BU158" i="32"/>
  <c r="BU159" i="32"/>
  <c r="BU160" i="32"/>
  <c r="BU161" i="32"/>
  <c r="BU162" i="32"/>
  <c r="BU163" i="32"/>
  <c r="BU164" i="32"/>
  <c r="BU165" i="32"/>
  <c r="BU166" i="32"/>
  <c r="BU167" i="32"/>
  <c r="BU168" i="32"/>
  <c r="BU169" i="32"/>
  <c r="BU170" i="32"/>
  <c r="BU171" i="32"/>
  <c r="BU172" i="32"/>
  <c r="BU173" i="32"/>
  <c r="BU174" i="32"/>
  <c r="BU175" i="32"/>
  <c r="BU176" i="32"/>
  <c r="BU177" i="32"/>
  <c r="BU178" i="32"/>
  <c r="BU179" i="32"/>
  <c r="BU180" i="32"/>
  <c r="BU181" i="32"/>
  <c r="BU182" i="32"/>
  <c r="BU183" i="32"/>
  <c r="BU184" i="32"/>
  <c r="BU185" i="32"/>
  <c r="BU186" i="32"/>
  <c r="BU187" i="32"/>
  <c r="BU188" i="32"/>
  <c r="BU189" i="32"/>
  <c r="BU190" i="32"/>
  <c r="BU191" i="32"/>
  <c r="BU192" i="32"/>
  <c r="BU193" i="32"/>
  <c r="BU194" i="32"/>
  <c r="BU195" i="32"/>
  <c r="BU196" i="32"/>
  <c r="BU197" i="32"/>
  <c r="BU198" i="32"/>
  <c r="BU199" i="32"/>
  <c r="BU200" i="32"/>
  <c r="BU201" i="32"/>
  <c r="BU202" i="32"/>
  <c r="BU203" i="32"/>
  <c r="BU204" i="32"/>
  <c r="BU205" i="32"/>
  <c r="BU206" i="32"/>
  <c r="BU207" i="32"/>
  <c r="BU208" i="32"/>
  <c r="BU209" i="32"/>
  <c r="BU210" i="32"/>
  <c r="BU211" i="32"/>
  <c r="BU212" i="32"/>
  <c r="BU213" i="32"/>
  <c r="BU214" i="32"/>
  <c r="BU215" i="32"/>
  <c r="BU216" i="32"/>
  <c r="BU217" i="32"/>
  <c r="BU218" i="32"/>
  <c r="BU219" i="32"/>
  <c r="BU220" i="32"/>
  <c r="BU221" i="32"/>
  <c r="BU222" i="32"/>
  <c r="BU223" i="32"/>
  <c r="BU224" i="32"/>
  <c r="BU225" i="32"/>
  <c r="BU226" i="32"/>
  <c r="BU227" i="32"/>
  <c r="BU228" i="32"/>
  <c r="BU229" i="32"/>
  <c r="BU230" i="32"/>
  <c r="BU231" i="32"/>
  <c r="BU232" i="32"/>
  <c r="BU233" i="32"/>
  <c r="BU234" i="32"/>
  <c r="BU235" i="32"/>
  <c r="BU236" i="32"/>
  <c r="BU237" i="32"/>
  <c r="BU238" i="32"/>
  <c r="BU239" i="32"/>
  <c r="BU240" i="32"/>
  <c r="BU241" i="32"/>
  <c r="BU242" i="32"/>
  <c r="BU243" i="32"/>
  <c r="BU244" i="32"/>
  <c r="BU245" i="32"/>
  <c r="BU246" i="32"/>
  <c r="BU247" i="32"/>
  <c r="BU248" i="32"/>
  <c r="BU249" i="32"/>
  <c r="BU250" i="32"/>
  <c r="BU251" i="32"/>
  <c r="BU252" i="32"/>
  <c r="BU253" i="32"/>
  <c r="BU254" i="32"/>
  <c r="BU255" i="32"/>
  <c r="BU256" i="32"/>
  <c r="BU257" i="32"/>
  <c r="BU258" i="32"/>
  <c r="BU259" i="32"/>
  <c r="BU260" i="32"/>
  <c r="BU261" i="32"/>
  <c r="BU262" i="32"/>
  <c r="BU263" i="32"/>
  <c r="BU264" i="32"/>
  <c r="BU265" i="32"/>
  <c r="BU266" i="32"/>
  <c r="BU267" i="32"/>
  <c r="BU268" i="32"/>
  <c r="BU269" i="32"/>
  <c r="BU270" i="32"/>
  <c r="BU271" i="32"/>
  <c r="BU272" i="32"/>
  <c r="BU273" i="32"/>
  <c r="BU274" i="32"/>
  <c r="BU275" i="32"/>
  <c r="BU276" i="32"/>
  <c r="BU277" i="32"/>
  <c r="BU278" i="32"/>
  <c r="BU279" i="32"/>
  <c r="BU280" i="32"/>
  <c r="BU281" i="32"/>
  <c r="BU282" i="32"/>
  <c r="BU283" i="32"/>
  <c r="BU284" i="32"/>
  <c r="BU285" i="32"/>
  <c r="BU286" i="32"/>
  <c r="BU287" i="32"/>
  <c r="BU288" i="32"/>
  <c r="BU289" i="32"/>
  <c r="BU290" i="32"/>
  <c r="BU291" i="32"/>
  <c r="BU292" i="32"/>
  <c r="BU293" i="32"/>
  <c r="BU294" i="32"/>
  <c r="BU295" i="32"/>
  <c r="BU296" i="32"/>
  <c r="BU297" i="32"/>
  <c r="BU298" i="32"/>
  <c r="BU299" i="32"/>
  <c r="BU300" i="32"/>
  <c r="BU301" i="32"/>
  <c r="BU302" i="32"/>
  <c r="BU303" i="32"/>
  <c r="BU304" i="32"/>
  <c r="BU305" i="32"/>
  <c r="BU306" i="32"/>
  <c r="BU307" i="32"/>
  <c r="BU308" i="32"/>
  <c r="BU309" i="32"/>
  <c r="BU310" i="32"/>
  <c r="BU311" i="32"/>
  <c r="BU312" i="32"/>
  <c r="BU313" i="32"/>
  <c r="BU314" i="32"/>
  <c r="BU315" i="32"/>
  <c r="BU316" i="32"/>
  <c r="BU317" i="32"/>
  <c r="BU318" i="32"/>
  <c r="BU319" i="32"/>
  <c r="BU320" i="32"/>
  <c r="BU321" i="32"/>
  <c r="BU322" i="32"/>
  <c r="BU323" i="32"/>
  <c r="BU324" i="32"/>
  <c r="BU325" i="32"/>
  <c r="BU326" i="32"/>
  <c r="BU327" i="32"/>
  <c r="BU328" i="32"/>
  <c r="BU329" i="32"/>
  <c r="BU330" i="32"/>
  <c r="BU331" i="32"/>
  <c r="BU332" i="32"/>
  <c r="BU333" i="32"/>
  <c r="BU334" i="32"/>
  <c r="BU335" i="32"/>
  <c r="BU336" i="32"/>
  <c r="BU337" i="32"/>
  <c r="BU339" i="32"/>
  <c r="BU5" i="32"/>
  <c r="BN6" i="32"/>
  <c r="BN7" i="32"/>
  <c r="BN8" i="32"/>
  <c r="BN9" i="32"/>
  <c r="BN10" i="32"/>
  <c r="BN11" i="32"/>
  <c r="BN12" i="32"/>
  <c r="BN13" i="32"/>
  <c r="BN14" i="32"/>
  <c r="BN15" i="32"/>
  <c r="BN16" i="32"/>
  <c r="BN17" i="32"/>
  <c r="BN18" i="32"/>
  <c r="BN19" i="32"/>
  <c r="BN20" i="32"/>
  <c r="BN21" i="32"/>
  <c r="BN22" i="32"/>
  <c r="BN23" i="32"/>
  <c r="BN24" i="32"/>
  <c r="BN25" i="32"/>
  <c r="BN26" i="32"/>
  <c r="BN27" i="32"/>
  <c r="BN28" i="32"/>
  <c r="BN29" i="32"/>
  <c r="BN30" i="32"/>
  <c r="BN31" i="32"/>
  <c r="BN32" i="32"/>
  <c r="BN33" i="32"/>
  <c r="BN34" i="32"/>
  <c r="BN35" i="32"/>
  <c r="BN36" i="32"/>
  <c r="BN37" i="32"/>
  <c r="BN38" i="32"/>
  <c r="BN39" i="32"/>
  <c r="BN40" i="32"/>
  <c r="BN41" i="32"/>
  <c r="BN42" i="32"/>
  <c r="BN43" i="32"/>
  <c r="BN44" i="32"/>
  <c r="BN45" i="32"/>
  <c r="BN46" i="32"/>
  <c r="BN47" i="32"/>
  <c r="BN48" i="32"/>
  <c r="BN49" i="32"/>
  <c r="BN50" i="32"/>
  <c r="BN51" i="32"/>
  <c r="BN52" i="32"/>
  <c r="BN53" i="32"/>
  <c r="BN54" i="32"/>
  <c r="BN55" i="32"/>
  <c r="BN56" i="32"/>
  <c r="BN57" i="32"/>
  <c r="BN58" i="32"/>
  <c r="BN59" i="32"/>
  <c r="BN60" i="32"/>
  <c r="BN61" i="32"/>
  <c r="BN62" i="32"/>
  <c r="BN63" i="32"/>
  <c r="BN64" i="32"/>
  <c r="BN65" i="32"/>
  <c r="BN66" i="32"/>
  <c r="BN67" i="32"/>
  <c r="BN68" i="32"/>
  <c r="BN69" i="32"/>
  <c r="BN70" i="32"/>
  <c r="BN71" i="32"/>
  <c r="BN72" i="32"/>
  <c r="BN73" i="32"/>
  <c r="BN74" i="32"/>
  <c r="BN75" i="32"/>
  <c r="BN76" i="32"/>
  <c r="BN77" i="32"/>
  <c r="BN78" i="32"/>
  <c r="BN79" i="32"/>
  <c r="BN80" i="32"/>
  <c r="BN81" i="32"/>
  <c r="BN82" i="32"/>
  <c r="BN83" i="32"/>
  <c r="BN84" i="32"/>
  <c r="BN85" i="32"/>
  <c r="BN86" i="32"/>
  <c r="BN87" i="32"/>
  <c r="BN88" i="32"/>
  <c r="BN89" i="32"/>
  <c r="BN90" i="32"/>
  <c r="BN91" i="32"/>
  <c r="BN92" i="32"/>
  <c r="BN93" i="32"/>
  <c r="BN94" i="32"/>
  <c r="BN95" i="32"/>
  <c r="BN96" i="32"/>
  <c r="BN97" i="32"/>
  <c r="BN98" i="32"/>
  <c r="BN99" i="32"/>
  <c r="BN100" i="32"/>
  <c r="BN101" i="32"/>
  <c r="BN102" i="32"/>
  <c r="BN103" i="32"/>
  <c r="BN104" i="32"/>
  <c r="BN105" i="32"/>
  <c r="BN106" i="32"/>
  <c r="BN107" i="32"/>
  <c r="BN108" i="32"/>
  <c r="BN109" i="32"/>
  <c r="BN110" i="32"/>
  <c r="BN111" i="32"/>
  <c r="BN112" i="32"/>
  <c r="BN113" i="32"/>
  <c r="BN114" i="32"/>
  <c r="BN115" i="32"/>
  <c r="BN116" i="32"/>
  <c r="BN117" i="32"/>
  <c r="BN118" i="32"/>
  <c r="BN119" i="32"/>
  <c r="BN120" i="32"/>
  <c r="BN121" i="32"/>
  <c r="BN122" i="32"/>
  <c r="BN123" i="32"/>
  <c r="BN124" i="32"/>
  <c r="BN125" i="32"/>
  <c r="BN126" i="32"/>
  <c r="BN127" i="32"/>
  <c r="BN128" i="32"/>
  <c r="BN129" i="32"/>
  <c r="BN130" i="32"/>
  <c r="BN131" i="32"/>
  <c r="BN132" i="32"/>
  <c r="BN133" i="32"/>
  <c r="BN134" i="32"/>
  <c r="BN135" i="32"/>
  <c r="BN136" i="32"/>
  <c r="BN137" i="32"/>
  <c r="BN138" i="32"/>
  <c r="BN139" i="32"/>
  <c r="BN140" i="32"/>
  <c r="BN141" i="32"/>
  <c r="BN142" i="32"/>
  <c r="BN143" i="32"/>
  <c r="BN144" i="32"/>
  <c r="BN145" i="32"/>
  <c r="BN146" i="32"/>
  <c r="BN147" i="32"/>
  <c r="BN148" i="32"/>
  <c r="BN149" i="32"/>
  <c r="BN150" i="32"/>
  <c r="BN151" i="32"/>
  <c r="BN152" i="32"/>
  <c r="BN153" i="32"/>
  <c r="BN154" i="32"/>
  <c r="BN155" i="32"/>
  <c r="BN156" i="32"/>
  <c r="BN157" i="32"/>
  <c r="BN158" i="32"/>
  <c r="BN159" i="32"/>
  <c r="BN160" i="32"/>
  <c r="BN161" i="32"/>
  <c r="BN162" i="32"/>
  <c r="BN163" i="32"/>
  <c r="BN164" i="32"/>
  <c r="BN165" i="32"/>
  <c r="BN166" i="32"/>
  <c r="BN167" i="32"/>
  <c r="BN168" i="32"/>
  <c r="BN169" i="32"/>
  <c r="BN170" i="32"/>
  <c r="BN171" i="32"/>
  <c r="BN172" i="32"/>
  <c r="BN173" i="32"/>
  <c r="BN174" i="32"/>
  <c r="BN175" i="32"/>
  <c r="BN176" i="32"/>
  <c r="BN177" i="32"/>
  <c r="BN178" i="32"/>
  <c r="BN179" i="32"/>
  <c r="BN180" i="32"/>
  <c r="BN181" i="32"/>
  <c r="BN182" i="32"/>
  <c r="BN183" i="32"/>
  <c r="BN184" i="32"/>
  <c r="BN185" i="32"/>
  <c r="BN186" i="32"/>
  <c r="BN187" i="32"/>
  <c r="BN188" i="32"/>
  <c r="BN189" i="32"/>
  <c r="BN190" i="32"/>
  <c r="BN191" i="32"/>
  <c r="BN192" i="32"/>
  <c r="BN193" i="32"/>
  <c r="BN194" i="32"/>
  <c r="BN195" i="32"/>
  <c r="BN196" i="32"/>
  <c r="BN197" i="32"/>
  <c r="BN198" i="32"/>
  <c r="BN199" i="32"/>
  <c r="BN200" i="32"/>
  <c r="BN201" i="32"/>
  <c r="BN202" i="32"/>
  <c r="BN203" i="32"/>
  <c r="BN204" i="32"/>
  <c r="BN205" i="32"/>
  <c r="BN206" i="32"/>
  <c r="BN207" i="32"/>
  <c r="BN208" i="32"/>
  <c r="BN209" i="32"/>
  <c r="BN210" i="32"/>
  <c r="BN211" i="32"/>
  <c r="BN212" i="32"/>
  <c r="BN213" i="32"/>
  <c r="BN214" i="32"/>
  <c r="BN215" i="32"/>
  <c r="BN216" i="32"/>
  <c r="BN217" i="32"/>
  <c r="BN218" i="32"/>
  <c r="BN219" i="32"/>
  <c r="BN220" i="32"/>
  <c r="BN221" i="32"/>
  <c r="BN222" i="32"/>
  <c r="BN223" i="32"/>
  <c r="BN224" i="32"/>
  <c r="BN225" i="32"/>
  <c r="BN226" i="32"/>
  <c r="BN227" i="32"/>
  <c r="BN228" i="32"/>
  <c r="BN229" i="32"/>
  <c r="BN230" i="32"/>
  <c r="BN231" i="32"/>
  <c r="BN232" i="32"/>
  <c r="BN233" i="32"/>
  <c r="BN234" i="32"/>
  <c r="BN235" i="32"/>
  <c r="BN236" i="32"/>
  <c r="BN237" i="32"/>
  <c r="BN238" i="32"/>
  <c r="BN239" i="32"/>
  <c r="BN240" i="32"/>
  <c r="BN241" i="32"/>
  <c r="BN242" i="32"/>
  <c r="BN243" i="32"/>
  <c r="BN244" i="32"/>
  <c r="BN245" i="32"/>
  <c r="BN246" i="32"/>
  <c r="BN247" i="32"/>
  <c r="BN248" i="32"/>
  <c r="BN249" i="32"/>
  <c r="BN250" i="32"/>
  <c r="BN251" i="32"/>
  <c r="BN252" i="32"/>
  <c r="BN253" i="32"/>
  <c r="BN254" i="32"/>
  <c r="BN255" i="32"/>
  <c r="BN256" i="32"/>
  <c r="BN257" i="32"/>
  <c r="BN258" i="32"/>
  <c r="BN259" i="32"/>
  <c r="BN260" i="32"/>
  <c r="BN261" i="32"/>
  <c r="BN262" i="32"/>
  <c r="BN263" i="32"/>
  <c r="BN264" i="32"/>
  <c r="BN265" i="32"/>
  <c r="BN266" i="32"/>
  <c r="BN267" i="32"/>
  <c r="BN268" i="32"/>
  <c r="BN269" i="32"/>
  <c r="BN270" i="32"/>
  <c r="BN271" i="32"/>
  <c r="BN272" i="32"/>
  <c r="BN273" i="32"/>
  <c r="BN274" i="32"/>
  <c r="BN275" i="32"/>
  <c r="BN276" i="32"/>
  <c r="BN277" i="32"/>
  <c r="BN278" i="32"/>
  <c r="BN279" i="32"/>
  <c r="BN280" i="32"/>
  <c r="BN281" i="32"/>
  <c r="BN282" i="32"/>
  <c r="BN283" i="32"/>
  <c r="BN284" i="32"/>
  <c r="BN285" i="32"/>
  <c r="BN286" i="32"/>
  <c r="BN287" i="32"/>
  <c r="BN288" i="32"/>
  <c r="BN289" i="32"/>
  <c r="BN290" i="32"/>
  <c r="BN291" i="32"/>
  <c r="BN292" i="32"/>
  <c r="BN293" i="32"/>
  <c r="BN294" i="32"/>
  <c r="BN295" i="32"/>
  <c r="BN296" i="32"/>
  <c r="BN297" i="32"/>
  <c r="BN298" i="32"/>
  <c r="BN299" i="32"/>
  <c r="BN300" i="32"/>
  <c r="BN301" i="32"/>
  <c r="BN302" i="32"/>
  <c r="BN303" i="32"/>
  <c r="BN304" i="32"/>
  <c r="BN305" i="32"/>
  <c r="BN306" i="32"/>
  <c r="BN307" i="32"/>
  <c r="BN308" i="32"/>
  <c r="BN309" i="32"/>
  <c r="BN310" i="32"/>
  <c r="BN311" i="32"/>
  <c r="BN312" i="32"/>
  <c r="BN313" i="32"/>
  <c r="BN314" i="32"/>
  <c r="BN315" i="32"/>
  <c r="BN316" i="32"/>
  <c r="BN317" i="32"/>
  <c r="BN318" i="32"/>
  <c r="BN319" i="32"/>
  <c r="BN320" i="32"/>
  <c r="BN321" i="32"/>
  <c r="BN322" i="32"/>
  <c r="BN323" i="32"/>
  <c r="BN324" i="32"/>
  <c r="BN325" i="32"/>
  <c r="BN326" i="32"/>
  <c r="BN327" i="32"/>
  <c r="BN328" i="32"/>
  <c r="BN329" i="32"/>
  <c r="BN330" i="32"/>
  <c r="BN331" i="32"/>
  <c r="BN332" i="32"/>
  <c r="BN333" i="32"/>
  <c r="BN334" i="32"/>
  <c r="BN335" i="32"/>
  <c r="BN336" i="32"/>
  <c r="BN337" i="32"/>
  <c r="BN338" i="32"/>
  <c r="BN339" i="32"/>
  <c r="BN5" i="32"/>
  <c r="BM6" i="32"/>
  <c r="BM7" i="32"/>
  <c r="BM8" i="32"/>
  <c r="BM9" i="32"/>
  <c r="BM10" i="32"/>
  <c r="BM11" i="32"/>
  <c r="BM12" i="32"/>
  <c r="BM13" i="32"/>
  <c r="BM14" i="32"/>
  <c r="BM15" i="32"/>
  <c r="BM16" i="32"/>
  <c r="BM17" i="32"/>
  <c r="BM18" i="32"/>
  <c r="BM19" i="32"/>
  <c r="BM20" i="32"/>
  <c r="BM21" i="32"/>
  <c r="BM22" i="32"/>
  <c r="BM23" i="32"/>
  <c r="BM24" i="32"/>
  <c r="BM25" i="32"/>
  <c r="BM26" i="32"/>
  <c r="BM27" i="32"/>
  <c r="BM28" i="32"/>
  <c r="BM29" i="32"/>
  <c r="BM30" i="32"/>
  <c r="BM31" i="32"/>
  <c r="BM32" i="32"/>
  <c r="BM33" i="32"/>
  <c r="BM34" i="32"/>
  <c r="BM35" i="32"/>
  <c r="BM36" i="32"/>
  <c r="BM37" i="32"/>
  <c r="BM38" i="32"/>
  <c r="BM39" i="32"/>
  <c r="BM40" i="32"/>
  <c r="BM41" i="32"/>
  <c r="BM42" i="32"/>
  <c r="BM43" i="32"/>
  <c r="BM44" i="32"/>
  <c r="BM45" i="32"/>
  <c r="BM46" i="32"/>
  <c r="BM47" i="32"/>
  <c r="BM48" i="32"/>
  <c r="BM49" i="32"/>
  <c r="BM50" i="32"/>
  <c r="BM51" i="32"/>
  <c r="BM52" i="32"/>
  <c r="BM53" i="32"/>
  <c r="BM54" i="32"/>
  <c r="BM55" i="32"/>
  <c r="BM56" i="32"/>
  <c r="BM57" i="32"/>
  <c r="BM58" i="32"/>
  <c r="BM59" i="32"/>
  <c r="BM60" i="32"/>
  <c r="BM61" i="32"/>
  <c r="BM62" i="32"/>
  <c r="BM63" i="32"/>
  <c r="BM64" i="32"/>
  <c r="BM65" i="32"/>
  <c r="BM66" i="32"/>
  <c r="BM67" i="32"/>
  <c r="BM68" i="32"/>
  <c r="BM69" i="32"/>
  <c r="BM70" i="32"/>
  <c r="BM71" i="32"/>
  <c r="BM72" i="32"/>
  <c r="BM73" i="32"/>
  <c r="BM74" i="32"/>
  <c r="BM75" i="32"/>
  <c r="BM76" i="32"/>
  <c r="BM77" i="32"/>
  <c r="BM78" i="32"/>
  <c r="BM79" i="32"/>
  <c r="BM80" i="32"/>
  <c r="BM81" i="32"/>
  <c r="BM82" i="32"/>
  <c r="BM83" i="32"/>
  <c r="BM84" i="32"/>
  <c r="BM85" i="32"/>
  <c r="BM86" i="32"/>
  <c r="BM87" i="32"/>
  <c r="BM88" i="32"/>
  <c r="BM89" i="32"/>
  <c r="BM90" i="32"/>
  <c r="BM91" i="32"/>
  <c r="BM92" i="32"/>
  <c r="BM93" i="32"/>
  <c r="BM94" i="32"/>
  <c r="BM95" i="32"/>
  <c r="BM96" i="32"/>
  <c r="BM97" i="32"/>
  <c r="BM98" i="32"/>
  <c r="BM99" i="32"/>
  <c r="BM100" i="32"/>
  <c r="BM101" i="32"/>
  <c r="BM102" i="32"/>
  <c r="BM103" i="32"/>
  <c r="BM104" i="32"/>
  <c r="BM105" i="32"/>
  <c r="BM106" i="32"/>
  <c r="BM107" i="32"/>
  <c r="BM108" i="32"/>
  <c r="BM109" i="32"/>
  <c r="BM110" i="32"/>
  <c r="BM111" i="32"/>
  <c r="BM112" i="32"/>
  <c r="BM113" i="32"/>
  <c r="BM114" i="32"/>
  <c r="BM115" i="32"/>
  <c r="BM116" i="32"/>
  <c r="BM117" i="32"/>
  <c r="BM118" i="32"/>
  <c r="BM119" i="32"/>
  <c r="BM120" i="32"/>
  <c r="BM121" i="32"/>
  <c r="BM122" i="32"/>
  <c r="BM123" i="32"/>
  <c r="BM124" i="32"/>
  <c r="BM125" i="32"/>
  <c r="BM126" i="32"/>
  <c r="BM127" i="32"/>
  <c r="BM128" i="32"/>
  <c r="BM129" i="32"/>
  <c r="BM130" i="32"/>
  <c r="BM131" i="32"/>
  <c r="BM132" i="32"/>
  <c r="BM133" i="32"/>
  <c r="BM134" i="32"/>
  <c r="BM135" i="32"/>
  <c r="BM136" i="32"/>
  <c r="BM137" i="32"/>
  <c r="BM138" i="32"/>
  <c r="BM139" i="32"/>
  <c r="BM140" i="32"/>
  <c r="BM141" i="32"/>
  <c r="BM142" i="32"/>
  <c r="BM143" i="32"/>
  <c r="BM144" i="32"/>
  <c r="BM145" i="32"/>
  <c r="BM146" i="32"/>
  <c r="BM147" i="32"/>
  <c r="BM148" i="32"/>
  <c r="BM149" i="32"/>
  <c r="BM150" i="32"/>
  <c r="BM151" i="32"/>
  <c r="BM152" i="32"/>
  <c r="BM153" i="32"/>
  <c r="BM154" i="32"/>
  <c r="BM155" i="32"/>
  <c r="BM156" i="32"/>
  <c r="BM157" i="32"/>
  <c r="BM158" i="32"/>
  <c r="BM159" i="32"/>
  <c r="BM160" i="32"/>
  <c r="BM161" i="32"/>
  <c r="BM162" i="32"/>
  <c r="BM163" i="32"/>
  <c r="BM164" i="32"/>
  <c r="BM165" i="32"/>
  <c r="BM166" i="32"/>
  <c r="BM167" i="32"/>
  <c r="BM168" i="32"/>
  <c r="BM169" i="32"/>
  <c r="BM170" i="32"/>
  <c r="BM171" i="32"/>
  <c r="BM172" i="32"/>
  <c r="BM173" i="32"/>
  <c r="BM174" i="32"/>
  <c r="BM175" i="32"/>
  <c r="BM176" i="32"/>
  <c r="BM177" i="32"/>
  <c r="BM178" i="32"/>
  <c r="BM179" i="32"/>
  <c r="BM180" i="32"/>
  <c r="BM181" i="32"/>
  <c r="BM182" i="32"/>
  <c r="BM183" i="32"/>
  <c r="BM184" i="32"/>
  <c r="BM185" i="32"/>
  <c r="BM186" i="32"/>
  <c r="BM187" i="32"/>
  <c r="BM188" i="32"/>
  <c r="BM189" i="32"/>
  <c r="BM190" i="32"/>
  <c r="BM191" i="32"/>
  <c r="BM192" i="32"/>
  <c r="BM193" i="32"/>
  <c r="BM194" i="32"/>
  <c r="BM195" i="32"/>
  <c r="BM196" i="32"/>
  <c r="BM197" i="32"/>
  <c r="BM198" i="32"/>
  <c r="BM199" i="32"/>
  <c r="BM200" i="32"/>
  <c r="BM201" i="32"/>
  <c r="BM202" i="32"/>
  <c r="BM203" i="32"/>
  <c r="BM204" i="32"/>
  <c r="BM205" i="32"/>
  <c r="BM206" i="32"/>
  <c r="BM207" i="32"/>
  <c r="BM208" i="32"/>
  <c r="BM209" i="32"/>
  <c r="BM210" i="32"/>
  <c r="BM211" i="32"/>
  <c r="BM212" i="32"/>
  <c r="BM213" i="32"/>
  <c r="BM214" i="32"/>
  <c r="BM215" i="32"/>
  <c r="BM216" i="32"/>
  <c r="BM217" i="32"/>
  <c r="BM218" i="32"/>
  <c r="BM219" i="32"/>
  <c r="BM220" i="32"/>
  <c r="BM221" i="32"/>
  <c r="BM222" i="32"/>
  <c r="BM223" i="32"/>
  <c r="BM224" i="32"/>
  <c r="BM225" i="32"/>
  <c r="BM226" i="32"/>
  <c r="BM227" i="32"/>
  <c r="BM228" i="32"/>
  <c r="BM229" i="32"/>
  <c r="BM230" i="32"/>
  <c r="BM231" i="32"/>
  <c r="BM232" i="32"/>
  <c r="BM233" i="32"/>
  <c r="BM234" i="32"/>
  <c r="BM235" i="32"/>
  <c r="BM236" i="32"/>
  <c r="BM237" i="32"/>
  <c r="BM238" i="32"/>
  <c r="BM239" i="32"/>
  <c r="BM240" i="32"/>
  <c r="BM241" i="32"/>
  <c r="BM242" i="32"/>
  <c r="BM243" i="32"/>
  <c r="BM244" i="32"/>
  <c r="BM245" i="32"/>
  <c r="BM246" i="32"/>
  <c r="BM247" i="32"/>
  <c r="BM248" i="32"/>
  <c r="BM249" i="32"/>
  <c r="BM250" i="32"/>
  <c r="BM251" i="32"/>
  <c r="BM252" i="32"/>
  <c r="BM253" i="32"/>
  <c r="BM254" i="32"/>
  <c r="BM255" i="32"/>
  <c r="BM256" i="32"/>
  <c r="BM257" i="32"/>
  <c r="BM258" i="32"/>
  <c r="BM259" i="32"/>
  <c r="BM260" i="32"/>
  <c r="BM261" i="32"/>
  <c r="BM262" i="32"/>
  <c r="BM263" i="32"/>
  <c r="BM264" i="32"/>
  <c r="BM265" i="32"/>
  <c r="BM266" i="32"/>
  <c r="BM267" i="32"/>
  <c r="BM268" i="32"/>
  <c r="BM269" i="32"/>
  <c r="BM270" i="32"/>
  <c r="BM271" i="32"/>
  <c r="BM272" i="32"/>
  <c r="BM273" i="32"/>
  <c r="BM274" i="32"/>
  <c r="BM275" i="32"/>
  <c r="BM276" i="32"/>
  <c r="BM277" i="32"/>
  <c r="BM278" i="32"/>
  <c r="BM279" i="32"/>
  <c r="BM280" i="32"/>
  <c r="BM281" i="32"/>
  <c r="BM282" i="32"/>
  <c r="BM283" i="32"/>
  <c r="BM284" i="32"/>
  <c r="BM285" i="32"/>
  <c r="BM286" i="32"/>
  <c r="BM287" i="32"/>
  <c r="BM288" i="32"/>
  <c r="BM289" i="32"/>
  <c r="BM290" i="32"/>
  <c r="BM291" i="32"/>
  <c r="BM292" i="32"/>
  <c r="BM293" i="32"/>
  <c r="BM294" i="32"/>
  <c r="BM295" i="32"/>
  <c r="BM296" i="32"/>
  <c r="BM297" i="32"/>
  <c r="BM298" i="32"/>
  <c r="BM299" i="32"/>
  <c r="BM300" i="32"/>
  <c r="BM301" i="32"/>
  <c r="BM302" i="32"/>
  <c r="BM303" i="32"/>
  <c r="BM304" i="32"/>
  <c r="BM305" i="32"/>
  <c r="BM306" i="32"/>
  <c r="BM307" i="32"/>
  <c r="BM308" i="32"/>
  <c r="BM309" i="32"/>
  <c r="BM310" i="32"/>
  <c r="BM311" i="32"/>
  <c r="BM312" i="32"/>
  <c r="BM313" i="32"/>
  <c r="BM314" i="32"/>
  <c r="BM315" i="32"/>
  <c r="BM316" i="32"/>
  <c r="BM317" i="32"/>
  <c r="BM318" i="32"/>
  <c r="BM319" i="32"/>
  <c r="BM320" i="32"/>
  <c r="BM321" i="32"/>
  <c r="BM322" i="32"/>
  <c r="BM323" i="32"/>
  <c r="BM324" i="32"/>
  <c r="BM325" i="32"/>
  <c r="BM326" i="32"/>
  <c r="BM327" i="32"/>
  <c r="BM328" i="32"/>
  <c r="BM329" i="32"/>
  <c r="BM330" i="32"/>
  <c r="BM331" i="32"/>
  <c r="BM332" i="32"/>
  <c r="BM333" i="32"/>
  <c r="BM334" i="32"/>
  <c r="BM335" i="32"/>
  <c r="BM336" i="32"/>
  <c r="BM337" i="32"/>
  <c r="BM338" i="32"/>
  <c r="BM339" i="32"/>
  <c r="BM5" i="32"/>
  <c r="AY5" i="32"/>
  <c r="AY6" i="32"/>
  <c r="AY7" i="32"/>
  <c r="AY8" i="32"/>
  <c r="AY9" i="32"/>
  <c r="AY10" i="32"/>
  <c r="AY11" i="32"/>
  <c r="AY12" i="32"/>
  <c r="AY13" i="32"/>
  <c r="AY14" i="32"/>
  <c r="AY15" i="32"/>
  <c r="AY16" i="32"/>
  <c r="AY17" i="32"/>
  <c r="AY18" i="32"/>
  <c r="AY19" i="32"/>
  <c r="AY20" i="32"/>
  <c r="AY21" i="32"/>
  <c r="AY22" i="32"/>
  <c r="AY23" i="32"/>
  <c r="AY24" i="32"/>
  <c r="AY25" i="32"/>
  <c r="AY26" i="32"/>
  <c r="AY27" i="32"/>
  <c r="AY28" i="32"/>
  <c r="AY29" i="32"/>
  <c r="AY30" i="32"/>
  <c r="AY31" i="32"/>
  <c r="AY32" i="32"/>
  <c r="AY33" i="32"/>
  <c r="AY34" i="32"/>
  <c r="AY35" i="32"/>
  <c r="AY36" i="32"/>
  <c r="AY37" i="32"/>
  <c r="AY38" i="32"/>
  <c r="AY39" i="32"/>
  <c r="AY40" i="32"/>
  <c r="AY41" i="32"/>
  <c r="AY42" i="32"/>
  <c r="AY43" i="32"/>
  <c r="AY44" i="32"/>
  <c r="AY45" i="32"/>
  <c r="AY46" i="32"/>
  <c r="AY47" i="32"/>
  <c r="AY48" i="32"/>
  <c r="AY49" i="32"/>
  <c r="AY50" i="32"/>
  <c r="AY51" i="32"/>
  <c r="AY52" i="32"/>
  <c r="AY53" i="32"/>
  <c r="AY54" i="32"/>
  <c r="AY55" i="32"/>
  <c r="AY56" i="32"/>
  <c r="AY57" i="32"/>
  <c r="AY58" i="32"/>
  <c r="AY59" i="32"/>
  <c r="AY60" i="32"/>
  <c r="AY61" i="32"/>
  <c r="AY62" i="32"/>
  <c r="AY63" i="32"/>
  <c r="AY64" i="32"/>
  <c r="AY65" i="32"/>
  <c r="AY66" i="32"/>
  <c r="AY67" i="32"/>
  <c r="AY68" i="32"/>
  <c r="AY69" i="32"/>
  <c r="AY70" i="32"/>
  <c r="AY71" i="32"/>
  <c r="AY72" i="32"/>
  <c r="AY73" i="32"/>
  <c r="AY74" i="32"/>
  <c r="AY75" i="32"/>
  <c r="AY76" i="32"/>
  <c r="AY77" i="32"/>
  <c r="AY78" i="32"/>
  <c r="AY79" i="32"/>
  <c r="AY80" i="32"/>
  <c r="AY81" i="32"/>
  <c r="AY82" i="32"/>
  <c r="AY83" i="32"/>
  <c r="AY84" i="32"/>
  <c r="AY85" i="32"/>
  <c r="AY86" i="32"/>
  <c r="AY87" i="32"/>
  <c r="AY88" i="32"/>
  <c r="AY89" i="32"/>
  <c r="AY90" i="32"/>
  <c r="AY91" i="32"/>
  <c r="AY92" i="32"/>
  <c r="AY93" i="32"/>
  <c r="AY94" i="32"/>
  <c r="AY95" i="32"/>
  <c r="AY96" i="32"/>
  <c r="AY97" i="32"/>
  <c r="AY98" i="32"/>
  <c r="AY99" i="32"/>
  <c r="AY100" i="32"/>
  <c r="AY101" i="32"/>
  <c r="AY102" i="32"/>
  <c r="AY103" i="32"/>
  <c r="AY104" i="32"/>
  <c r="AY105" i="32"/>
  <c r="AY106" i="32"/>
  <c r="AY107" i="32"/>
  <c r="AY108" i="32"/>
  <c r="AY109" i="32"/>
  <c r="AY110" i="32"/>
  <c r="AY111" i="32"/>
  <c r="AY112" i="32"/>
  <c r="AY113" i="32"/>
  <c r="AY114" i="32"/>
  <c r="AY115" i="32"/>
  <c r="AY116" i="32"/>
  <c r="AY117" i="32"/>
  <c r="AY118" i="32"/>
  <c r="AY119" i="32"/>
  <c r="AY120" i="32"/>
  <c r="AY121" i="32"/>
  <c r="AY122" i="32"/>
  <c r="AY123" i="32"/>
  <c r="AY124" i="32"/>
  <c r="AY125" i="32"/>
  <c r="AY126" i="32"/>
  <c r="AY127" i="32"/>
  <c r="AY128" i="32"/>
  <c r="AY129" i="32"/>
  <c r="AY130" i="32"/>
  <c r="AY131" i="32"/>
  <c r="AY132" i="32"/>
  <c r="AY133" i="32"/>
  <c r="AY134" i="32"/>
  <c r="AY135" i="32"/>
  <c r="AY136" i="32"/>
  <c r="AY137" i="32"/>
  <c r="AY138" i="32"/>
  <c r="AY139" i="32"/>
  <c r="AY140" i="32"/>
  <c r="AY141" i="32"/>
  <c r="AY142" i="32"/>
  <c r="AY143" i="32"/>
  <c r="AY144" i="32"/>
  <c r="AY145" i="32"/>
  <c r="AY146" i="32"/>
  <c r="AY147" i="32"/>
  <c r="AY148" i="32"/>
  <c r="AY149" i="32"/>
  <c r="AY150" i="32"/>
  <c r="AY151" i="32"/>
  <c r="AY152" i="32"/>
  <c r="AY153" i="32"/>
  <c r="AY154" i="32"/>
  <c r="AY155" i="32"/>
  <c r="AY156" i="32"/>
  <c r="AY157" i="32"/>
  <c r="AY158" i="32"/>
  <c r="AY159" i="32"/>
  <c r="AY160" i="32"/>
  <c r="AY161" i="32"/>
  <c r="AY162" i="32"/>
  <c r="AY163" i="32"/>
  <c r="AY164" i="32"/>
  <c r="AY165" i="32"/>
  <c r="AY166" i="32"/>
  <c r="AY167" i="32"/>
  <c r="AY168" i="32"/>
  <c r="AY169" i="32"/>
  <c r="AY170" i="32"/>
  <c r="AY171" i="32"/>
  <c r="AY172" i="32"/>
  <c r="AY173" i="32"/>
  <c r="AY174" i="32"/>
  <c r="AY175" i="32"/>
  <c r="AY176" i="32"/>
  <c r="AY177" i="32"/>
  <c r="AY178" i="32"/>
  <c r="AY179" i="32"/>
  <c r="AY180" i="32"/>
  <c r="AY181" i="32"/>
  <c r="AY182" i="32"/>
  <c r="AY183" i="32"/>
  <c r="AY184" i="32"/>
  <c r="AY185" i="32"/>
  <c r="AY186" i="32"/>
  <c r="AY187" i="32"/>
  <c r="AY188" i="32"/>
  <c r="AY189" i="32"/>
  <c r="AY190" i="32"/>
  <c r="AY191" i="32"/>
  <c r="AY192" i="32"/>
  <c r="AY193" i="32"/>
  <c r="AY194" i="32"/>
  <c r="AY195" i="32"/>
  <c r="AY196" i="32"/>
  <c r="AY197" i="32"/>
  <c r="AY198" i="32"/>
  <c r="AY199" i="32"/>
  <c r="AY200" i="32"/>
  <c r="AY201" i="32"/>
  <c r="AY202" i="32"/>
  <c r="AY203" i="32"/>
  <c r="AY204" i="32"/>
  <c r="AY205" i="32"/>
  <c r="AY206" i="32"/>
  <c r="AY207" i="32"/>
  <c r="AY208" i="32"/>
  <c r="AY209" i="32"/>
  <c r="AY210" i="32"/>
  <c r="AY211" i="32"/>
  <c r="AY212" i="32"/>
  <c r="AY213" i="32"/>
  <c r="AY214" i="32"/>
  <c r="AY215" i="32"/>
  <c r="AY216" i="32"/>
  <c r="AY217" i="32"/>
  <c r="AY218" i="32"/>
  <c r="AY219" i="32"/>
  <c r="AY220" i="32"/>
  <c r="AY221" i="32"/>
  <c r="AY222" i="32"/>
  <c r="AY223" i="32"/>
  <c r="AY224" i="32"/>
  <c r="AY225" i="32"/>
  <c r="AY226" i="32"/>
  <c r="AY227" i="32"/>
  <c r="AY228" i="32"/>
  <c r="AY229" i="32"/>
  <c r="AY230" i="32"/>
  <c r="AY231" i="32"/>
  <c r="AY232" i="32"/>
  <c r="AY233" i="32"/>
  <c r="AY234" i="32"/>
  <c r="AY235" i="32"/>
  <c r="AY236" i="32"/>
  <c r="AY237" i="32"/>
  <c r="AY238" i="32"/>
  <c r="AY239" i="32"/>
  <c r="AY240" i="32"/>
  <c r="AY241" i="32"/>
  <c r="AY242" i="32"/>
  <c r="AY243" i="32"/>
  <c r="AY244" i="32"/>
  <c r="AY245" i="32"/>
  <c r="AY246" i="32"/>
  <c r="AY247" i="32"/>
  <c r="AY248" i="32"/>
  <c r="AY249" i="32"/>
  <c r="AY250" i="32"/>
  <c r="AY251" i="32"/>
  <c r="AY252" i="32"/>
  <c r="AY253" i="32"/>
  <c r="AY254" i="32"/>
  <c r="AY255" i="32"/>
  <c r="AY256" i="32"/>
  <c r="AY257" i="32"/>
  <c r="AY258" i="32"/>
  <c r="AY259" i="32"/>
  <c r="AY260" i="32"/>
  <c r="AY261" i="32"/>
  <c r="AY262" i="32"/>
  <c r="AY263" i="32"/>
  <c r="AY264" i="32"/>
  <c r="AY265" i="32"/>
  <c r="AY266" i="32"/>
  <c r="AY267" i="32"/>
  <c r="AY268" i="32"/>
  <c r="AY269" i="32"/>
  <c r="AY270" i="32"/>
  <c r="AY271" i="32"/>
  <c r="AY272" i="32"/>
  <c r="AY273" i="32"/>
  <c r="AY274" i="32"/>
  <c r="AY275" i="32"/>
  <c r="AY276" i="32"/>
  <c r="AY277" i="32"/>
  <c r="AY278" i="32"/>
  <c r="AY279" i="32"/>
  <c r="AY280" i="32"/>
  <c r="AY281" i="32"/>
  <c r="AY282" i="32"/>
  <c r="AY283" i="32"/>
  <c r="AY284" i="32"/>
  <c r="AY285" i="32"/>
  <c r="AY286" i="32"/>
  <c r="AY287" i="32"/>
  <c r="AY288" i="32"/>
  <c r="AY289" i="32"/>
  <c r="AY290" i="32"/>
  <c r="AY291" i="32"/>
  <c r="AY292" i="32"/>
  <c r="AY293" i="32"/>
  <c r="AY294" i="32"/>
  <c r="AY295" i="32"/>
  <c r="AY296" i="32"/>
  <c r="AY297" i="32"/>
  <c r="AY298" i="32"/>
  <c r="AY299" i="32"/>
  <c r="AY300" i="32"/>
  <c r="AY301" i="32"/>
  <c r="AY302" i="32"/>
  <c r="AY303" i="32"/>
  <c r="AY304" i="32"/>
  <c r="AY305" i="32"/>
  <c r="AY306" i="32"/>
  <c r="AY307" i="32"/>
  <c r="AY308" i="32"/>
  <c r="AY309" i="32"/>
  <c r="AY310" i="32"/>
  <c r="AY311" i="32"/>
  <c r="AY312" i="32"/>
  <c r="AY313" i="32"/>
  <c r="AY314" i="32"/>
  <c r="AY315" i="32"/>
  <c r="AY316" i="32"/>
  <c r="AY317" i="32"/>
  <c r="AY318" i="32"/>
  <c r="AY319" i="32"/>
  <c r="AY320" i="32"/>
  <c r="AY321" i="32"/>
  <c r="AY322" i="32"/>
  <c r="AY323" i="32"/>
  <c r="AY324" i="32"/>
  <c r="AY325" i="32"/>
  <c r="AY326" i="32"/>
  <c r="AY327" i="32"/>
  <c r="AY328" i="32"/>
  <c r="AY329" i="32"/>
  <c r="AY330" i="32"/>
  <c r="AY331" i="32"/>
  <c r="AY332" i="32"/>
  <c r="AY333" i="32"/>
  <c r="AY334" i="32"/>
  <c r="AY335" i="32"/>
  <c r="AY336" i="32"/>
  <c r="AY337" i="32"/>
  <c r="AY338" i="32"/>
  <c r="AY339" i="32"/>
  <c r="AY340" i="32"/>
  <c r="AY341" i="32"/>
  <c r="AY342" i="32"/>
  <c r="AY343" i="32"/>
  <c r="AY344" i="32"/>
  <c r="AY345" i="32"/>
  <c r="AY346" i="32"/>
  <c r="AY347" i="32"/>
  <c r="AY348" i="32"/>
  <c r="AY349" i="32"/>
  <c r="AY350" i="32"/>
  <c r="AY351" i="32"/>
  <c r="AY352" i="32"/>
  <c r="AY353" i="32"/>
  <c r="AY354" i="32"/>
  <c r="AY355" i="32"/>
  <c r="AY356" i="32"/>
  <c r="AY357" i="32"/>
  <c r="AY358" i="32"/>
  <c r="AY359" i="32"/>
  <c r="AY360" i="32"/>
  <c r="AY361" i="32"/>
  <c r="AY362" i="32"/>
  <c r="AY363" i="32"/>
  <c r="AY364" i="32"/>
  <c r="AY365" i="32"/>
  <c r="AY366" i="32"/>
  <c r="AY367" i="32"/>
  <c r="AY368" i="32"/>
  <c r="AY369" i="32"/>
  <c r="AY370" i="32"/>
  <c r="AY371" i="32"/>
  <c r="AY372" i="32"/>
  <c r="AY373" i="32"/>
  <c r="AY374" i="32"/>
  <c r="AY375" i="32"/>
  <c r="AY376" i="32"/>
  <c r="AY377" i="32"/>
  <c r="AY378" i="32"/>
  <c r="AY379" i="32"/>
  <c r="AY380" i="32"/>
  <c r="AY381" i="32"/>
  <c r="AY382" i="32"/>
  <c r="AY383" i="32"/>
  <c r="AY384" i="32"/>
  <c r="AY385" i="32"/>
  <c r="AY386" i="32"/>
  <c r="AY387" i="32"/>
  <c r="AY388" i="32"/>
  <c r="AY389" i="32"/>
  <c r="AY390" i="32"/>
  <c r="AY391" i="32"/>
  <c r="AY392" i="32"/>
  <c r="AY393" i="32"/>
  <c r="AY394" i="32"/>
  <c r="AY395" i="32"/>
  <c r="AY396" i="32"/>
  <c r="AY397" i="32"/>
  <c r="AY398" i="32"/>
  <c r="AY399" i="32"/>
  <c r="AY400" i="32"/>
  <c r="AY401" i="32"/>
  <c r="AY402" i="32"/>
  <c r="AY403" i="32"/>
  <c r="AY404" i="32"/>
  <c r="AY405" i="32"/>
  <c r="AY406" i="32"/>
  <c r="AY407" i="32"/>
  <c r="AY408" i="32"/>
  <c r="AY409" i="32"/>
  <c r="AY410" i="32"/>
  <c r="AY411" i="32"/>
  <c r="AY412" i="32"/>
  <c r="AY413" i="32"/>
  <c r="AY414" i="32"/>
  <c r="AY415" i="32"/>
  <c r="AY416" i="32"/>
  <c r="AY417" i="32"/>
  <c r="AY418" i="32"/>
  <c r="AY419" i="32"/>
  <c r="AY420" i="32"/>
  <c r="AY421" i="32"/>
  <c r="AY422" i="32"/>
  <c r="AY423" i="32"/>
  <c r="AY424" i="32"/>
  <c r="AY425" i="32"/>
  <c r="AY426" i="32"/>
  <c r="AY427" i="32"/>
  <c r="AY428" i="32"/>
  <c r="AY429" i="32"/>
  <c r="AY430" i="32"/>
  <c r="AY431" i="32"/>
  <c r="AY432" i="32"/>
  <c r="AY433" i="32"/>
  <c r="AY434" i="32"/>
  <c r="AY435" i="32"/>
  <c r="AY436" i="32"/>
  <c r="AY437" i="32"/>
  <c r="AY438" i="32"/>
  <c r="AY439" i="32"/>
  <c r="AY440" i="32"/>
  <c r="AY441" i="32"/>
  <c r="AY442" i="32"/>
  <c r="AY443" i="32"/>
  <c r="AY444" i="32"/>
  <c r="AY445" i="32"/>
  <c r="AY446" i="32"/>
  <c r="AY447" i="32"/>
  <c r="AY448" i="32"/>
  <c r="AY449" i="32"/>
  <c r="AY450" i="32"/>
  <c r="AY451" i="32"/>
  <c r="AY452" i="32"/>
  <c r="AY453" i="32"/>
  <c r="AY454" i="32"/>
  <c r="AY455" i="32"/>
  <c r="AY456" i="32"/>
  <c r="AY457" i="32"/>
  <c r="AY458" i="32"/>
  <c r="AY459" i="32"/>
  <c r="AY460" i="32"/>
  <c r="AY461" i="32"/>
  <c r="AY462" i="32"/>
  <c r="AY463" i="32"/>
  <c r="AY464" i="32"/>
  <c r="AY465" i="32"/>
  <c r="AY466" i="32"/>
  <c r="AY467" i="32"/>
  <c r="AY468" i="32"/>
  <c r="AY469" i="32"/>
  <c r="AY470" i="32"/>
  <c r="AY471" i="32"/>
  <c r="AY472" i="32"/>
  <c r="AY473" i="32"/>
  <c r="AY474" i="32"/>
  <c r="AY475" i="32"/>
  <c r="AY476" i="32"/>
  <c r="AY477" i="32"/>
  <c r="AY478" i="32"/>
  <c r="AY479" i="32"/>
  <c r="AY480" i="32"/>
  <c r="AY481" i="32"/>
  <c r="AY482" i="32"/>
  <c r="AY483" i="32"/>
  <c r="AY484" i="32"/>
  <c r="AY485" i="32"/>
  <c r="AY486" i="32"/>
  <c r="AY487" i="32"/>
  <c r="AY488" i="32"/>
  <c r="AY489" i="32"/>
  <c r="AY490" i="32"/>
  <c r="AY491" i="32"/>
  <c r="AY492" i="32"/>
  <c r="AY493" i="32"/>
  <c r="AY494" i="32"/>
  <c r="AY495" i="32"/>
  <c r="AY496" i="32"/>
  <c r="AY497" i="32"/>
  <c r="AY498" i="32"/>
  <c r="AY499" i="32"/>
  <c r="AY500" i="32"/>
  <c r="AY501" i="32"/>
  <c r="AY502" i="32"/>
  <c r="AY503" i="32"/>
  <c r="AY504" i="32"/>
  <c r="AY505" i="32"/>
  <c r="AY506" i="32"/>
  <c r="AY507" i="32"/>
  <c r="AY508" i="32"/>
  <c r="AY509" i="32"/>
  <c r="AY510" i="32"/>
  <c r="AY511" i="32"/>
  <c r="AY512" i="32"/>
  <c r="AY513" i="32"/>
  <c r="AY514" i="32"/>
  <c r="AY515" i="32"/>
  <c r="AY516" i="32"/>
  <c r="AY517" i="32"/>
  <c r="AY518" i="32"/>
  <c r="AY519" i="32"/>
  <c r="AY520" i="32"/>
  <c r="AY521" i="32"/>
  <c r="AY522" i="32"/>
  <c r="AY523" i="32"/>
  <c r="AY524" i="32"/>
  <c r="AY525" i="32"/>
  <c r="AY4" i="32"/>
  <c r="AX5" i="32"/>
  <c r="AX6" i="32"/>
  <c r="AX7" i="32"/>
  <c r="AX8" i="32"/>
  <c r="AX9" i="32"/>
  <c r="AX10" i="32"/>
  <c r="AX11" i="32"/>
  <c r="AX12" i="32"/>
  <c r="AX13" i="32"/>
  <c r="AX14" i="32"/>
  <c r="AX15" i="32"/>
  <c r="AX16" i="32"/>
  <c r="AX17" i="32"/>
  <c r="AX18" i="32"/>
  <c r="AX19" i="32"/>
  <c r="AX20" i="32"/>
  <c r="AX21" i="32"/>
  <c r="AX22" i="32"/>
  <c r="AX23" i="32"/>
  <c r="AX24" i="32"/>
  <c r="AX25" i="32"/>
  <c r="AX26" i="32"/>
  <c r="AX27" i="32"/>
  <c r="AX28" i="32"/>
  <c r="AX29" i="32"/>
  <c r="AX30" i="32"/>
  <c r="AX31" i="32"/>
  <c r="AX32" i="32"/>
  <c r="AX33" i="32"/>
  <c r="AX34" i="32"/>
  <c r="AX35" i="32"/>
  <c r="AX36" i="32"/>
  <c r="AX37" i="32"/>
  <c r="AX38" i="32"/>
  <c r="AX39" i="32"/>
  <c r="AX40" i="32"/>
  <c r="AX41" i="32"/>
  <c r="AX42" i="32"/>
  <c r="AX43" i="32"/>
  <c r="AX44" i="32"/>
  <c r="AX45" i="32"/>
  <c r="AX46" i="32"/>
  <c r="AX47" i="32"/>
  <c r="AX48" i="32"/>
  <c r="AX49" i="32"/>
  <c r="AX50" i="32"/>
  <c r="AX51" i="32"/>
  <c r="AX52" i="32"/>
  <c r="AX53" i="32"/>
  <c r="AX54" i="32"/>
  <c r="AX55" i="32"/>
  <c r="AX56" i="32"/>
  <c r="AX57" i="32"/>
  <c r="AX58" i="32"/>
  <c r="AX59" i="32"/>
  <c r="AX60" i="32"/>
  <c r="AX61" i="32"/>
  <c r="AX62" i="32"/>
  <c r="AX63" i="32"/>
  <c r="AX64" i="32"/>
  <c r="AX65" i="32"/>
  <c r="AX66" i="32"/>
  <c r="AX67" i="32"/>
  <c r="AX68" i="32"/>
  <c r="AX69" i="32"/>
  <c r="AX70" i="32"/>
  <c r="AX71" i="32"/>
  <c r="AX72" i="32"/>
  <c r="AX73" i="32"/>
  <c r="AX74" i="32"/>
  <c r="AX75" i="32"/>
  <c r="AX76" i="32"/>
  <c r="AX77" i="32"/>
  <c r="AX78" i="32"/>
  <c r="AX79" i="32"/>
  <c r="AX80" i="32"/>
  <c r="AX81" i="32"/>
  <c r="AX82" i="32"/>
  <c r="AX83" i="32"/>
  <c r="AX84" i="32"/>
  <c r="AX85" i="32"/>
  <c r="AX86" i="32"/>
  <c r="AX87" i="32"/>
  <c r="AX88" i="32"/>
  <c r="AX89" i="32"/>
  <c r="AX90" i="32"/>
  <c r="AX91" i="32"/>
  <c r="AX92" i="32"/>
  <c r="AX93" i="32"/>
  <c r="AX94" i="32"/>
  <c r="AX95" i="32"/>
  <c r="AX96" i="32"/>
  <c r="AX97" i="32"/>
  <c r="AX98" i="32"/>
  <c r="AX99" i="32"/>
  <c r="AX100" i="32"/>
  <c r="AX101" i="32"/>
  <c r="AX102" i="32"/>
  <c r="AX103" i="32"/>
  <c r="AX104" i="32"/>
  <c r="AX105" i="32"/>
  <c r="AX106" i="32"/>
  <c r="AX107" i="32"/>
  <c r="AX108" i="32"/>
  <c r="AX109" i="32"/>
  <c r="AX110" i="32"/>
  <c r="AX111" i="32"/>
  <c r="AX112" i="32"/>
  <c r="AX113" i="32"/>
  <c r="AX114" i="32"/>
  <c r="AX115" i="32"/>
  <c r="AX116" i="32"/>
  <c r="AX117" i="32"/>
  <c r="AX118" i="32"/>
  <c r="AX119" i="32"/>
  <c r="AX120" i="32"/>
  <c r="AX121" i="32"/>
  <c r="AX122" i="32"/>
  <c r="AX123" i="32"/>
  <c r="AX124" i="32"/>
  <c r="AX125" i="32"/>
  <c r="AX126" i="32"/>
  <c r="AX127" i="32"/>
  <c r="AX128" i="32"/>
  <c r="AX129" i="32"/>
  <c r="AX130" i="32"/>
  <c r="AX131" i="32"/>
  <c r="AX132" i="32"/>
  <c r="AX133" i="32"/>
  <c r="AX134" i="32"/>
  <c r="AX135" i="32"/>
  <c r="AX136" i="32"/>
  <c r="AX137" i="32"/>
  <c r="AX138" i="32"/>
  <c r="AX139" i="32"/>
  <c r="AX140" i="32"/>
  <c r="AX141" i="32"/>
  <c r="AX142" i="32"/>
  <c r="AX143" i="32"/>
  <c r="AX144" i="32"/>
  <c r="AX145" i="32"/>
  <c r="AX146" i="32"/>
  <c r="AX147" i="32"/>
  <c r="AX148" i="32"/>
  <c r="AX149" i="32"/>
  <c r="AX150" i="32"/>
  <c r="AX151" i="32"/>
  <c r="AX152" i="32"/>
  <c r="AX153" i="32"/>
  <c r="AX154" i="32"/>
  <c r="AX155" i="32"/>
  <c r="AX156" i="32"/>
  <c r="AX157" i="32"/>
  <c r="AX158" i="32"/>
  <c r="AX159" i="32"/>
  <c r="AX160" i="32"/>
  <c r="AX161" i="32"/>
  <c r="AX162" i="32"/>
  <c r="AX163" i="32"/>
  <c r="AX164" i="32"/>
  <c r="AX165" i="32"/>
  <c r="AX166" i="32"/>
  <c r="AX167" i="32"/>
  <c r="AX168" i="32"/>
  <c r="AX169" i="32"/>
  <c r="AX170" i="32"/>
  <c r="AX171" i="32"/>
  <c r="AX172" i="32"/>
  <c r="AX173" i="32"/>
  <c r="AX174" i="32"/>
  <c r="AX175" i="32"/>
  <c r="AX176" i="32"/>
  <c r="AX177" i="32"/>
  <c r="AX178" i="32"/>
  <c r="AX179" i="32"/>
  <c r="AX180" i="32"/>
  <c r="AX181" i="32"/>
  <c r="AX182" i="32"/>
  <c r="AX183" i="32"/>
  <c r="AX184" i="32"/>
  <c r="AX185" i="32"/>
  <c r="AX186" i="32"/>
  <c r="AX187" i="32"/>
  <c r="AX188" i="32"/>
  <c r="AX189" i="32"/>
  <c r="AX190" i="32"/>
  <c r="AX191" i="32"/>
  <c r="AX192" i="32"/>
  <c r="AX193" i="32"/>
  <c r="AX194" i="32"/>
  <c r="AX195" i="32"/>
  <c r="AX196" i="32"/>
  <c r="AX197" i="32"/>
  <c r="AX198" i="32"/>
  <c r="AX199" i="32"/>
  <c r="AX200" i="32"/>
  <c r="AX201" i="32"/>
  <c r="AX202" i="32"/>
  <c r="AX203" i="32"/>
  <c r="AX204" i="32"/>
  <c r="AX205" i="32"/>
  <c r="AX206" i="32"/>
  <c r="AX207" i="32"/>
  <c r="AX208" i="32"/>
  <c r="AX209" i="32"/>
  <c r="AX210" i="32"/>
  <c r="AX211" i="32"/>
  <c r="AX212" i="32"/>
  <c r="AX213" i="32"/>
  <c r="AX214" i="32"/>
  <c r="AX215" i="32"/>
  <c r="AX216" i="32"/>
  <c r="AX217" i="32"/>
  <c r="AX218" i="32"/>
  <c r="AX219" i="32"/>
  <c r="AX220" i="32"/>
  <c r="AX221" i="32"/>
  <c r="AX222" i="32"/>
  <c r="AX223" i="32"/>
  <c r="AX224" i="32"/>
  <c r="AX225" i="32"/>
  <c r="AX226" i="32"/>
  <c r="AX227" i="32"/>
  <c r="AX228" i="32"/>
  <c r="AX229" i="32"/>
  <c r="AX230" i="32"/>
  <c r="AX231" i="32"/>
  <c r="AX232" i="32"/>
  <c r="AX233" i="32"/>
  <c r="AX234" i="32"/>
  <c r="AX235" i="32"/>
  <c r="AX236" i="32"/>
  <c r="AX237" i="32"/>
  <c r="AX238" i="32"/>
  <c r="AX239" i="32"/>
  <c r="AX240" i="32"/>
  <c r="AX241" i="32"/>
  <c r="AX242" i="32"/>
  <c r="AX243" i="32"/>
  <c r="AX244" i="32"/>
  <c r="AX245" i="32"/>
  <c r="AX246" i="32"/>
  <c r="AX247" i="32"/>
  <c r="AX248" i="32"/>
  <c r="AX249" i="32"/>
  <c r="AX250" i="32"/>
  <c r="AX251" i="32"/>
  <c r="AX252" i="32"/>
  <c r="AX253" i="32"/>
  <c r="AX254" i="32"/>
  <c r="AX255" i="32"/>
  <c r="AX256" i="32"/>
  <c r="AX257" i="32"/>
  <c r="AX258" i="32"/>
  <c r="AX259" i="32"/>
  <c r="AX260" i="32"/>
  <c r="AX261" i="32"/>
  <c r="AX262" i="32"/>
  <c r="AX263" i="32"/>
  <c r="AX264" i="32"/>
  <c r="AX265" i="32"/>
  <c r="AX266" i="32"/>
  <c r="AX267" i="32"/>
  <c r="AX268" i="32"/>
  <c r="AX269" i="32"/>
  <c r="AX270" i="32"/>
  <c r="AX271" i="32"/>
  <c r="AX272" i="32"/>
  <c r="AX273" i="32"/>
  <c r="AX274" i="32"/>
  <c r="AX275" i="32"/>
  <c r="AX276" i="32"/>
  <c r="AX277" i="32"/>
  <c r="AX278" i="32"/>
  <c r="AX279" i="32"/>
  <c r="AX280" i="32"/>
  <c r="AX281" i="32"/>
  <c r="AX282" i="32"/>
  <c r="AX283" i="32"/>
  <c r="AX284" i="32"/>
  <c r="AX285" i="32"/>
  <c r="AX286" i="32"/>
  <c r="AX287" i="32"/>
  <c r="AX288" i="32"/>
  <c r="AX289" i="32"/>
  <c r="AX290" i="32"/>
  <c r="AX291" i="32"/>
  <c r="AX292" i="32"/>
  <c r="AX293" i="32"/>
  <c r="AX294" i="32"/>
  <c r="AX295" i="32"/>
  <c r="AX296" i="32"/>
  <c r="AX297" i="32"/>
  <c r="AX298" i="32"/>
  <c r="AX299" i="32"/>
  <c r="AX300" i="32"/>
  <c r="AX301" i="32"/>
  <c r="AX302" i="32"/>
  <c r="AX303" i="32"/>
  <c r="AX304" i="32"/>
  <c r="AX305" i="32"/>
  <c r="AX306" i="32"/>
  <c r="AX307" i="32"/>
  <c r="AX308" i="32"/>
  <c r="AX309" i="32"/>
  <c r="AX310" i="32"/>
  <c r="AX311" i="32"/>
  <c r="AX312" i="32"/>
  <c r="AX313" i="32"/>
  <c r="AX314" i="32"/>
  <c r="AX315" i="32"/>
  <c r="AX316" i="32"/>
  <c r="AX317" i="32"/>
  <c r="AX318" i="32"/>
  <c r="AX319" i="32"/>
  <c r="AX320" i="32"/>
  <c r="AX321" i="32"/>
  <c r="AX322" i="32"/>
  <c r="AX323" i="32"/>
  <c r="AX324" i="32"/>
  <c r="AX325" i="32"/>
  <c r="AX326" i="32"/>
  <c r="AX327" i="32"/>
  <c r="AX328" i="32"/>
  <c r="AX329" i="32"/>
  <c r="AX330" i="32"/>
  <c r="AX331" i="32"/>
  <c r="AX332" i="32"/>
  <c r="AX333" i="32"/>
  <c r="AX334" i="32"/>
  <c r="AX335" i="32"/>
  <c r="AX336" i="32"/>
  <c r="AX337" i="32"/>
  <c r="AX338" i="32"/>
  <c r="AX339" i="32"/>
  <c r="AX340" i="32"/>
  <c r="AX341" i="32"/>
  <c r="AX342" i="32"/>
  <c r="AX343" i="32"/>
  <c r="AX344" i="32"/>
  <c r="AX345" i="32"/>
  <c r="AX346" i="32"/>
  <c r="AX347" i="32"/>
  <c r="AX348" i="32"/>
  <c r="AX349" i="32"/>
  <c r="AX350" i="32"/>
  <c r="AX351" i="32"/>
  <c r="AX352" i="32"/>
  <c r="AX353" i="32"/>
  <c r="AX354" i="32"/>
  <c r="AX355" i="32"/>
  <c r="AX356" i="32"/>
  <c r="AX357" i="32"/>
  <c r="AX358" i="32"/>
  <c r="AX359" i="32"/>
  <c r="AX360" i="32"/>
  <c r="AX361" i="32"/>
  <c r="AX362" i="32"/>
  <c r="AX363" i="32"/>
  <c r="AX364" i="32"/>
  <c r="AX365" i="32"/>
  <c r="AX366" i="32"/>
  <c r="AX367" i="32"/>
  <c r="AX368" i="32"/>
  <c r="AX369" i="32"/>
  <c r="AX370" i="32"/>
  <c r="AX371" i="32"/>
  <c r="AX372" i="32"/>
  <c r="AX373" i="32"/>
  <c r="AX374" i="32"/>
  <c r="AX375" i="32"/>
  <c r="AX376" i="32"/>
  <c r="AX377" i="32"/>
  <c r="AX378" i="32"/>
  <c r="AX379" i="32"/>
  <c r="AX380" i="32"/>
  <c r="AX381" i="32"/>
  <c r="AX382" i="32"/>
  <c r="AX383" i="32"/>
  <c r="AX384" i="32"/>
  <c r="AX385" i="32"/>
  <c r="AX386" i="32"/>
  <c r="AX387" i="32"/>
  <c r="AX388" i="32"/>
  <c r="AX389" i="32"/>
  <c r="AX390" i="32"/>
  <c r="AX391" i="32"/>
  <c r="AX392" i="32"/>
  <c r="AX393" i="32"/>
  <c r="AX394" i="32"/>
  <c r="AX395" i="32"/>
  <c r="AX396" i="32"/>
  <c r="AX397" i="32"/>
  <c r="AX398" i="32"/>
  <c r="AX399" i="32"/>
  <c r="AX400" i="32"/>
  <c r="AX401" i="32"/>
  <c r="AX402" i="32"/>
  <c r="AX403" i="32"/>
  <c r="AX404" i="32"/>
  <c r="AX405" i="32"/>
  <c r="AX406" i="32"/>
  <c r="AX407" i="32"/>
  <c r="AX408" i="32"/>
  <c r="AX409" i="32"/>
  <c r="AX410" i="32"/>
  <c r="AX411" i="32"/>
  <c r="AX412" i="32"/>
  <c r="AX413" i="32"/>
  <c r="AX414" i="32"/>
  <c r="AX415" i="32"/>
  <c r="AX416" i="32"/>
  <c r="AX417" i="32"/>
  <c r="AX418" i="32"/>
  <c r="AX419" i="32"/>
  <c r="AX420" i="32"/>
  <c r="AX421" i="32"/>
  <c r="AX422" i="32"/>
  <c r="AX423" i="32"/>
  <c r="AX424" i="32"/>
  <c r="AX425" i="32"/>
  <c r="AX426" i="32"/>
  <c r="AX427" i="32"/>
  <c r="AX428" i="32"/>
  <c r="AX429" i="32"/>
  <c r="AX430" i="32"/>
  <c r="AX431" i="32"/>
  <c r="AX432" i="32"/>
  <c r="AX433" i="32"/>
  <c r="AX434" i="32"/>
  <c r="AX435" i="32"/>
  <c r="AX436" i="32"/>
  <c r="AX437" i="32"/>
  <c r="AX438" i="32"/>
  <c r="AX439" i="32"/>
  <c r="AX440" i="32"/>
  <c r="AX441" i="32"/>
  <c r="AX442" i="32"/>
  <c r="AX443" i="32"/>
  <c r="AX444" i="32"/>
  <c r="AX445" i="32"/>
  <c r="AX446" i="32"/>
  <c r="AX447" i="32"/>
  <c r="AX448" i="32"/>
  <c r="AX449" i="32"/>
  <c r="AX450" i="32"/>
  <c r="AX451" i="32"/>
  <c r="AX452" i="32"/>
  <c r="AX453" i="32"/>
  <c r="AX454" i="32"/>
  <c r="AX455" i="32"/>
  <c r="AX456" i="32"/>
  <c r="AX457" i="32"/>
  <c r="AX458" i="32"/>
  <c r="AX459" i="32"/>
  <c r="AX460" i="32"/>
  <c r="AX461" i="32"/>
  <c r="AX462" i="32"/>
  <c r="AX463" i="32"/>
  <c r="AX464" i="32"/>
  <c r="AX465" i="32"/>
  <c r="AX466" i="32"/>
  <c r="AX467" i="32"/>
  <c r="AX468" i="32"/>
  <c r="AX469" i="32"/>
  <c r="AX470" i="32"/>
  <c r="AX471" i="32"/>
  <c r="AX472" i="32"/>
  <c r="AX473" i="32"/>
  <c r="AX474" i="32"/>
  <c r="AX475" i="32"/>
  <c r="AX476" i="32"/>
  <c r="AX477" i="32"/>
  <c r="AX478" i="32"/>
  <c r="AX479" i="32"/>
  <c r="AX480" i="32"/>
  <c r="AX481" i="32"/>
  <c r="AX482" i="32"/>
  <c r="AX483" i="32"/>
  <c r="AX484" i="32"/>
  <c r="AX485" i="32"/>
  <c r="AX486" i="32"/>
  <c r="AX487" i="32"/>
  <c r="AX488" i="32"/>
  <c r="AX489" i="32"/>
  <c r="AX490" i="32"/>
  <c r="AX491" i="32"/>
  <c r="AX492" i="32"/>
  <c r="AX493" i="32"/>
  <c r="AX494" i="32"/>
  <c r="AX495" i="32"/>
  <c r="AX496" i="32"/>
  <c r="AX497" i="32"/>
  <c r="AX498" i="32"/>
  <c r="AX499" i="32"/>
  <c r="AX500" i="32"/>
  <c r="AX501" i="32"/>
  <c r="AX502" i="32"/>
  <c r="AX503" i="32"/>
  <c r="AX504" i="32"/>
  <c r="AX505" i="32"/>
  <c r="AX506" i="32"/>
  <c r="AX507" i="32"/>
  <c r="AX508" i="32"/>
  <c r="AX509" i="32"/>
  <c r="AX510" i="32"/>
  <c r="AX511" i="32"/>
  <c r="AX512" i="32"/>
  <c r="AX513" i="32"/>
  <c r="AX514" i="32"/>
  <c r="AX515" i="32"/>
  <c r="AX516" i="32"/>
  <c r="AX517" i="32"/>
  <c r="AX518" i="32"/>
  <c r="AX519" i="32"/>
  <c r="AX520" i="32"/>
  <c r="AX521" i="32"/>
  <c r="AX522" i="32"/>
  <c r="AX523" i="32"/>
  <c r="AX524" i="32"/>
  <c r="AX525" i="32"/>
  <c r="AT5" i="32"/>
  <c r="AT6" i="32"/>
  <c r="AT7" i="32"/>
  <c r="AT8" i="32"/>
  <c r="AT9" i="32"/>
  <c r="AT10" i="32"/>
  <c r="AT11" i="32"/>
  <c r="AT12" i="32"/>
  <c r="AT13" i="32"/>
  <c r="AT14" i="32"/>
  <c r="AT15" i="32"/>
  <c r="AT16" i="32"/>
  <c r="AT17" i="32"/>
  <c r="AT18" i="32"/>
  <c r="AT19" i="32"/>
  <c r="AT20" i="32"/>
  <c r="AT21" i="32"/>
  <c r="AT22" i="32"/>
  <c r="AT23" i="32"/>
  <c r="AT24" i="32"/>
  <c r="AT25" i="32"/>
  <c r="AT26" i="32"/>
  <c r="AT27" i="32"/>
  <c r="AT28" i="32"/>
  <c r="AT29" i="32"/>
  <c r="AT30" i="32"/>
  <c r="AT31" i="32"/>
  <c r="AT32" i="32"/>
  <c r="AT33" i="32"/>
  <c r="AT34" i="32"/>
  <c r="AT35" i="32"/>
  <c r="AT36" i="32"/>
  <c r="AT37" i="32"/>
  <c r="AT38" i="32"/>
  <c r="AT39" i="32"/>
  <c r="AT40" i="32"/>
  <c r="AT41" i="32"/>
  <c r="AT42" i="32"/>
  <c r="AT43" i="32"/>
  <c r="AT44" i="32"/>
  <c r="AT45" i="32"/>
  <c r="AT46" i="32"/>
  <c r="AT47" i="32"/>
  <c r="AT48" i="32"/>
  <c r="AT49" i="32"/>
  <c r="AT50" i="32"/>
  <c r="AT51" i="32"/>
  <c r="AT52" i="32"/>
  <c r="AT53" i="32"/>
  <c r="AT54" i="32"/>
  <c r="AT55" i="32"/>
  <c r="AT56" i="32"/>
  <c r="AT57" i="32"/>
  <c r="AT58" i="32"/>
  <c r="AT59" i="32"/>
  <c r="AT60" i="32"/>
  <c r="AT61" i="32"/>
  <c r="AT62" i="32"/>
  <c r="AT63" i="32"/>
  <c r="AT64" i="32"/>
  <c r="AT65" i="32"/>
  <c r="AT66" i="32"/>
  <c r="AT67" i="32"/>
  <c r="AT68" i="32"/>
  <c r="AT69" i="32"/>
  <c r="AT70" i="32"/>
  <c r="AT71" i="32"/>
  <c r="AT72" i="32"/>
  <c r="AT73" i="32"/>
  <c r="AT74" i="32"/>
  <c r="AT75" i="32"/>
  <c r="AT76" i="32"/>
  <c r="AT77" i="32"/>
  <c r="AT78" i="32"/>
  <c r="AT79" i="32"/>
  <c r="AT80" i="32"/>
  <c r="AT81" i="32"/>
  <c r="AT82" i="32"/>
  <c r="AT83" i="32"/>
  <c r="AT84" i="32"/>
  <c r="AT85" i="32"/>
  <c r="AT86" i="32"/>
  <c r="AT87" i="32"/>
  <c r="AT88" i="32"/>
  <c r="AT89" i="32"/>
  <c r="AT90" i="32"/>
  <c r="AT91" i="32"/>
  <c r="AT92" i="32"/>
  <c r="AT93" i="32"/>
  <c r="AT94" i="32"/>
  <c r="AT95" i="32"/>
  <c r="AT96" i="32"/>
  <c r="AT97" i="32"/>
  <c r="AT98" i="32"/>
  <c r="AT99" i="32"/>
  <c r="AT100" i="32"/>
  <c r="AT101" i="32"/>
  <c r="AT102" i="32"/>
  <c r="AT103" i="32"/>
  <c r="AT104" i="32"/>
  <c r="AT105" i="32"/>
  <c r="AT106" i="32"/>
  <c r="AT107" i="32"/>
  <c r="AT108" i="32"/>
  <c r="AT109" i="32"/>
  <c r="AT110" i="32"/>
  <c r="AT111" i="32"/>
  <c r="AT112" i="32"/>
  <c r="AT113" i="32"/>
  <c r="AT114" i="32"/>
  <c r="AT115" i="32"/>
  <c r="AT116" i="32"/>
  <c r="AT117" i="32"/>
  <c r="AT118" i="32"/>
  <c r="AT119" i="32"/>
  <c r="AT120" i="32"/>
  <c r="AT121" i="32"/>
  <c r="AT122" i="32"/>
  <c r="AT123" i="32"/>
  <c r="AT124" i="32"/>
  <c r="AT125" i="32"/>
  <c r="AT126" i="32"/>
  <c r="AT127" i="32"/>
  <c r="AT128" i="32"/>
  <c r="AT129" i="32"/>
  <c r="AT130" i="32"/>
  <c r="AT131" i="32"/>
  <c r="AT132" i="32"/>
  <c r="AT133" i="32"/>
  <c r="AT134" i="32"/>
  <c r="AT135" i="32"/>
  <c r="AT136" i="32"/>
  <c r="AT137" i="32"/>
  <c r="AT138" i="32"/>
  <c r="AT139" i="32"/>
  <c r="AT140" i="32"/>
  <c r="AT141" i="32"/>
  <c r="AT142" i="32"/>
  <c r="AT143" i="32"/>
  <c r="AT144" i="32"/>
  <c r="AT145" i="32"/>
  <c r="AT146" i="32"/>
  <c r="AT147" i="32"/>
  <c r="AT148" i="32"/>
  <c r="AT149" i="32"/>
  <c r="AT150" i="32"/>
  <c r="AT151" i="32"/>
  <c r="AT152" i="32"/>
  <c r="AT153" i="32"/>
  <c r="AT154" i="32"/>
  <c r="AT155" i="32"/>
  <c r="AT156" i="32"/>
  <c r="AT157" i="32"/>
  <c r="AT158" i="32"/>
  <c r="AT159" i="32"/>
  <c r="AT160" i="32"/>
  <c r="AT161" i="32"/>
  <c r="AT162" i="32"/>
  <c r="AT163" i="32"/>
  <c r="AT164" i="32"/>
  <c r="AT165" i="32"/>
  <c r="AT166" i="32"/>
  <c r="AT167" i="32"/>
  <c r="AT168" i="32"/>
  <c r="AT169" i="32"/>
  <c r="AT170" i="32"/>
  <c r="AT171" i="32"/>
  <c r="AT172" i="32"/>
  <c r="AT173" i="32"/>
  <c r="AT174" i="32"/>
  <c r="AT175" i="32"/>
  <c r="AT176" i="32"/>
  <c r="AT177" i="32"/>
  <c r="AT178" i="32"/>
  <c r="AT179" i="32"/>
  <c r="AT180" i="32"/>
  <c r="AT181" i="32"/>
  <c r="AT182" i="32"/>
  <c r="AT183" i="32"/>
  <c r="AT184" i="32"/>
  <c r="AT185" i="32"/>
  <c r="AT186" i="32"/>
  <c r="AT187" i="32"/>
  <c r="AT188" i="32"/>
  <c r="AT189" i="32"/>
  <c r="AT190" i="32"/>
  <c r="AT191" i="32"/>
  <c r="AT192" i="32"/>
  <c r="AT193" i="32"/>
  <c r="AT194" i="32"/>
  <c r="AT195" i="32"/>
  <c r="AT196" i="32"/>
  <c r="AT197" i="32"/>
  <c r="AT198" i="32"/>
  <c r="AT199" i="32"/>
  <c r="AT200" i="32"/>
  <c r="AT201" i="32"/>
  <c r="AT202" i="32"/>
  <c r="AT203" i="32"/>
  <c r="AT204" i="32"/>
  <c r="AT205" i="32"/>
  <c r="AT206" i="32"/>
  <c r="AT207" i="32"/>
  <c r="AT208" i="32"/>
  <c r="AT209" i="32"/>
  <c r="AT210" i="32"/>
  <c r="AT211" i="32"/>
  <c r="AT212" i="32"/>
  <c r="AT213" i="32"/>
  <c r="AT214" i="32"/>
  <c r="AT215" i="32"/>
  <c r="AT216" i="32"/>
  <c r="AT217" i="32"/>
  <c r="AT218" i="32"/>
  <c r="AT219" i="32"/>
  <c r="AT220" i="32"/>
  <c r="AT221" i="32"/>
  <c r="AT222" i="32"/>
  <c r="AT223" i="32"/>
  <c r="AT224" i="32"/>
  <c r="AT225" i="32"/>
  <c r="AT226" i="32"/>
  <c r="AT227" i="32"/>
  <c r="AT228" i="32"/>
  <c r="AT229" i="32"/>
  <c r="AT230" i="32"/>
  <c r="AT231" i="32"/>
  <c r="AT232" i="32"/>
  <c r="AT233" i="32"/>
  <c r="AT234" i="32"/>
  <c r="AT235" i="32"/>
  <c r="AT236" i="32"/>
  <c r="AT237" i="32"/>
  <c r="AT238" i="32"/>
  <c r="AT239" i="32"/>
  <c r="AT240" i="32"/>
  <c r="AT241" i="32"/>
  <c r="AT242" i="32"/>
  <c r="AT243" i="32"/>
  <c r="AT244" i="32"/>
  <c r="AT245" i="32"/>
  <c r="AT246" i="32"/>
  <c r="AT247" i="32"/>
  <c r="AT248" i="32"/>
  <c r="AT249" i="32"/>
  <c r="AT250" i="32"/>
  <c r="AT251" i="32"/>
  <c r="AT252" i="32"/>
  <c r="AT253" i="32"/>
  <c r="AT254" i="32"/>
  <c r="AT255" i="32"/>
  <c r="AT256" i="32"/>
  <c r="AT257" i="32"/>
  <c r="AT258" i="32"/>
  <c r="AT259" i="32"/>
  <c r="AT260" i="32"/>
  <c r="AT261" i="32"/>
  <c r="AT262" i="32"/>
  <c r="AT263" i="32"/>
  <c r="AT264" i="32"/>
  <c r="AT265" i="32"/>
  <c r="AT266" i="32"/>
  <c r="AT267" i="32"/>
  <c r="AT268" i="32"/>
  <c r="AT269" i="32"/>
  <c r="AT270" i="32"/>
  <c r="AT271" i="32"/>
  <c r="AT272" i="32"/>
  <c r="AT273" i="32"/>
  <c r="AT274" i="32"/>
  <c r="AT275" i="32"/>
  <c r="AT276" i="32"/>
  <c r="AT277" i="32"/>
  <c r="AT278" i="32"/>
  <c r="AT279" i="32"/>
  <c r="AT280" i="32"/>
  <c r="AT281" i="32"/>
  <c r="AT282" i="32"/>
  <c r="AT283" i="32"/>
  <c r="AT284" i="32"/>
  <c r="AT285" i="32"/>
  <c r="AT286" i="32"/>
  <c r="AT287" i="32"/>
  <c r="AT288" i="32"/>
  <c r="AT289" i="32"/>
  <c r="AT290" i="32"/>
  <c r="AT291" i="32"/>
  <c r="AT292" i="32"/>
  <c r="AT293" i="32"/>
  <c r="AT294" i="32"/>
  <c r="AT295" i="32"/>
  <c r="AT296" i="32"/>
  <c r="AT297" i="32"/>
  <c r="AT298" i="32"/>
  <c r="AT299" i="32"/>
  <c r="AT300" i="32"/>
  <c r="AT301" i="32"/>
  <c r="AT302" i="32"/>
  <c r="AT303" i="32"/>
  <c r="AT304" i="32"/>
  <c r="AT305" i="32"/>
  <c r="AT306" i="32"/>
  <c r="AT307" i="32"/>
  <c r="AT308" i="32"/>
  <c r="AT309" i="32"/>
  <c r="AT310" i="32"/>
  <c r="AT311" i="32"/>
  <c r="AT312" i="32"/>
  <c r="AT313" i="32"/>
  <c r="AT314" i="32"/>
  <c r="AT315" i="32"/>
  <c r="AT316" i="32"/>
  <c r="AT317" i="32"/>
  <c r="AT318" i="32"/>
  <c r="AT319" i="32"/>
  <c r="AT320" i="32"/>
  <c r="AT321" i="32"/>
  <c r="AT322" i="32"/>
  <c r="AT323" i="32"/>
  <c r="AT324" i="32"/>
  <c r="AT325" i="32"/>
  <c r="AT326" i="32"/>
  <c r="AT327" i="32"/>
  <c r="AT328" i="32"/>
  <c r="AT329" i="32"/>
  <c r="AT330" i="32"/>
  <c r="AT331" i="32"/>
  <c r="AT332" i="32"/>
  <c r="AT333" i="32"/>
  <c r="AT334" i="32"/>
  <c r="AT335" i="32"/>
  <c r="AT336" i="32"/>
  <c r="AT337" i="32"/>
  <c r="AT338" i="32"/>
  <c r="AT339" i="32"/>
  <c r="AN225" i="32"/>
  <c r="AN226" i="32"/>
  <c r="AN227" i="32"/>
  <c r="AN228" i="32"/>
  <c r="AN229" i="32"/>
  <c r="AN230" i="32"/>
  <c r="AN231" i="32"/>
  <c r="AN232" i="32"/>
  <c r="AN233" i="32"/>
  <c r="AN234" i="32"/>
  <c r="AN235" i="32"/>
  <c r="AN236" i="32"/>
  <c r="AN237" i="32"/>
  <c r="AN238" i="32"/>
  <c r="AN239" i="32"/>
  <c r="AN240" i="32"/>
  <c r="AN241" i="32"/>
  <c r="AN242" i="32"/>
  <c r="AN243" i="32"/>
  <c r="AN244" i="32"/>
  <c r="AN245" i="32"/>
  <c r="AN246" i="32"/>
  <c r="AN247" i="32"/>
  <c r="AN248" i="32"/>
  <c r="AN249" i="32"/>
  <c r="AN250" i="32"/>
  <c r="AN251" i="32"/>
  <c r="AN252" i="32"/>
  <c r="AN253" i="32"/>
  <c r="AN254" i="32"/>
  <c r="AN255" i="32"/>
  <c r="AN256" i="32"/>
  <c r="AN257" i="32"/>
  <c r="AN258" i="32"/>
  <c r="AN259" i="32"/>
  <c r="AN260" i="32"/>
  <c r="AN261" i="32"/>
  <c r="AN262" i="32"/>
  <c r="AN263" i="32"/>
  <c r="AN264" i="32"/>
  <c r="AN265" i="32"/>
  <c r="AN266" i="32"/>
  <c r="AN267" i="32"/>
  <c r="AN268" i="32"/>
  <c r="AN269" i="32"/>
  <c r="AN270" i="32"/>
  <c r="AN271" i="32"/>
  <c r="AN272" i="32"/>
  <c r="AN273" i="32"/>
  <c r="AN274" i="32"/>
  <c r="AN275" i="32"/>
  <c r="AN276" i="32"/>
  <c r="AN277" i="32"/>
  <c r="AN278" i="32"/>
  <c r="AN279" i="32"/>
  <c r="AN280" i="32"/>
  <c r="AN281" i="32"/>
  <c r="AN282" i="32"/>
  <c r="AN283" i="32"/>
  <c r="AN284" i="32"/>
  <c r="AN285" i="32"/>
  <c r="AN286" i="32"/>
  <c r="AN287" i="32"/>
  <c r="AN288" i="32"/>
  <c r="AN289" i="32"/>
  <c r="AN290" i="32"/>
  <c r="AN291" i="32"/>
  <c r="AN292" i="32"/>
  <c r="AN293" i="32"/>
  <c r="AN294" i="32"/>
  <c r="AN295" i="32"/>
  <c r="AN296" i="32"/>
  <c r="AN297" i="32"/>
  <c r="AN298" i="32"/>
  <c r="AN299" i="32"/>
  <c r="AN300" i="32"/>
  <c r="AN301" i="32"/>
  <c r="AN302" i="32"/>
  <c r="AN303" i="32"/>
  <c r="AN304" i="32"/>
  <c r="AN305" i="32"/>
  <c r="AN306" i="32"/>
  <c r="AN307" i="32"/>
  <c r="AN308" i="32"/>
  <c r="AN309" i="32"/>
  <c r="AN310" i="32"/>
  <c r="AN311" i="32"/>
  <c r="AN312" i="32"/>
  <c r="AN313" i="32"/>
  <c r="AN314" i="32"/>
  <c r="AN315" i="32"/>
  <c r="AN316" i="32"/>
  <c r="AN317" i="32"/>
  <c r="AN318" i="32"/>
  <c r="AN319" i="32"/>
  <c r="AN320" i="32"/>
  <c r="AN321" i="32"/>
  <c r="AN322" i="32"/>
  <c r="AN323" i="32"/>
  <c r="AN324" i="32"/>
  <c r="AN325" i="32"/>
  <c r="AN326" i="32"/>
  <c r="AN327" i="32"/>
  <c r="AN328" i="32"/>
  <c r="AN329" i="32"/>
  <c r="AN330" i="32"/>
  <c r="AN331" i="32"/>
  <c r="AN332" i="32"/>
  <c r="AN333" i="32"/>
  <c r="AN334" i="32"/>
  <c r="AN335" i="32"/>
  <c r="AN336" i="32"/>
  <c r="AN337" i="32"/>
  <c r="AN338" i="32"/>
  <c r="AN339" i="32"/>
  <c r="AN340" i="32"/>
  <c r="AN341" i="32"/>
  <c r="AN342" i="32"/>
  <c r="AN343" i="32"/>
  <c r="AN344" i="32"/>
  <c r="AN345" i="32"/>
  <c r="AN346" i="32"/>
  <c r="AN347" i="32"/>
  <c r="AN348" i="32"/>
  <c r="AN349" i="32"/>
  <c r="AN350" i="32"/>
  <c r="AN351" i="32"/>
  <c r="AN352" i="32"/>
  <c r="AN353" i="32"/>
  <c r="AN354" i="32"/>
  <c r="AN355" i="32"/>
  <c r="AN356" i="32"/>
  <c r="AN357" i="32"/>
  <c r="AN358" i="32"/>
  <c r="AN359" i="32"/>
  <c r="AN360" i="32"/>
  <c r="AN361" i="32"/>
  <c r="AN362" i="32"/>
  <c r="AN363" i="32"/>
  <c r="AN364" i="32"/>
  <c r="AN365" i="32"/>
  <c r="AN366" i="32"/>
  <c r="AN367" i="32"/>
  <c r="AN368" i="32"/>
  <c r="AN369" i="32"/>
  <c r="AN370" i="32"/>
  <c r="AN371" i="32"/>
  <c r="AN372" i="32"/>
  <c r="AN373" i="32"/>
  <c r="AN374" i="32"/>
  <c r="AN375" i="32"/>
  <c r="AN376" i="32"/>
  <c r="AN377" i="32"/>
  <c r="AN378" i="32"/>
  <c r="AN379" i="32"/>
  <c r="AN380" i="32"/>
  <c r="AN381" i="32"/>
  <c r="AN382" i="32"/>
  <c r="AN383" i="32"/>
  <c r="AN384" i="32"/>
  <c r="AN385" i="32"/>
  <c r="AN386" i="32"/>
  <c r="AN387" i="32"/>
  <c r="AN388" i="32"/>
  <c r="AN389" i="32"/>
  <c r="AN390" i="32"/>
  <c r="AN391" i="32"/>
  <c r="AN392" i="32"/>
  <c r="AN393" i="32"/>
  <c r="AN394" i="32"/>
  <c r="AN395" i="32"/>
  <c r="AN396" i="32"/>
  <c r="AN397" i="32"/>
  <c r="AN398" i="32"/>
  <c r="AN399" i="32"/>
  <c r="AN400" i="32"/>
  <c r="AN401" i="32"/>
  <c r="AN402" i="32"/>
  <c r="AN403" i="32"/>
  <c r="AN404" i="32"/>
  <c r="AN405" i="32"/>
  <c r="AN406" i="32"/>
  <c r="AN407" i="32"/>
  <c r="AN408" i="32"/>
  <c r="AN409" i="32"/>
  <c r="AN410" i="32"/>
  <c r="AN411" i="32"/>
  <c r="AN412" i="32"/>
  <c r="AN413" i="32"/>
  <c r="AN414" i="32"/>
  <c r="AN415" i="32"/>
  <c r="AN416" i="32"/>
  <c r="AN417" i="32"/>
  <c r="AN418" i="32"/>
  <c r="AN419" i="32"/>
  <c r="AN420" i="32"/>
  <c r="AN421" i="32"/>
  <c r="AN422" i="32"/>
  <c r="AN423" i="32"/>
  <c r="AN424" i="32"/>
  <c r="AN425" i="32"/>
  <c r="AN426" i="32"/>
  <c r="AN427" i="32"/>
  <c r="AN428" i="32"/>
  <c r="AN429" i="32"/>
  <c r="AN430" i="32"/>
  <c r="AN431" i="32"/>
  <c r="AN432" i="32"/>
  <c r="AN433" i="32"/>
  <c r="AN434" i="32"/>
  <c r="AN435" i="32"/>
  <c r="AN436" i="32"/>
  <c r="AN437" i="32"/>
  <c r="AN438" i="32"/>
  <c r="AN439" i="32"/>
  <c r="AN440" i="32"/>
  <c r="AN441" i="32"/>
  <c r="AN442" i="32"/>
  <c r="AN443" i="32"/>
  <c r="AN444" i="32"/>
  <c r="AN224" i="32"/>
  <c r="AN5" i="32"/>
  <c r="AN6" i="32"/>
  <c r="AN7" i="32"/>
  <c r="AN8" i="32"/>
  <c r="AN9" i="32"/>
  <c r="AN10" i="32"/>
  <c r="AN11" i="32"/>
  <c r="AN12" i="32"/>
  <c r="AN13" i="32"/>
  <c r="AN14" i="32"/>
  <c r="AN15" i="32"/>
  <c r="AN16" i="32"/>
  <c r="AN17" i="32"/>
  <c r="AN18" i="32"/>
  <c r="AN19" i="32"/>
  <c r="AN20" i="32"/>
  <c r="AN21" i="32"/>
  <c r="AN22" i="32"/>
  <c r="AN23" i="32"/>
  <c r="AN24" i="32"/>
  <c r="AN25" i="32"/>
  <c r="AN26" i="32"/>
  <c r="AN27" i="32"/>
  <c r="AN28" i="32"/>
  <c r="AN29" i="32"/>
  <c r="AN30" i="32"/>
  <c r="AN31" i="32"/>
  <c r="AN32" i="32"/>
  <c r="AN33" i="32"/>
  <c r="AN34" i="32"/>
  <c r="AN35" i="32"/>
  <c r="AN36" i="32"/>
  <c r="AN37" i="32"/>
  <c r="AN38" i="32"/>
  <c r="AN39" i="32"/>
  <c r="AN40" i="32"/>
  <c r="AN41" i="32"/>
  <c r="AN42" i="32"/>
  <c r="AN43" i="32"/>
  <c r="AN44" i="32"/>
  <c r="AN45" i="32"/>
  <c r="AN46" i="32"/>
  <c r="AN47" i="32"/>
  <c r="AN48" i="32"/>
  <c r="AN49" i="32"/>
  <c r="AN50" i="32"/>
  <c r="AN51" i="32"/>
  <c r="AN52" i="32"/>
  <c r="AN53" i="32"/>
  <c r="AN54" i="32"/>
  <c r="AN55" i="32"/>
  <c r="AN56" i="32"/>
  <c r="AN57" i="32"/>
  <c r="AN58" i="32"/>
  <c r="AN59" i="32"/>
  <c r="AN60" i="32"/>
  <c r="AN61" i="32"/>
  <c r="AN62" i="32"/>
  <c r="AN63" i="32"/>
  <c r="AN64" i="32"/>
  <c r="AN65" i="32"/>
  <c r="AN66" i="32"/>
  <c r="AN67" i="32"/>
  <c r="AN68" i="32"/>
  <c r="AN69" i="32"/>
  <c r="AN70" i="32"/>
  <c r="AN71" i="32"/>
  <c r="AN72" i="32"/>
  <c r="AN73" i="32"/>
  <c r="AN74" i="32"/>
  <c r="AN75" i="32"/>
  <c r="AN76" i="32"/>
  <c r="AN77" i="32"/>
  <c r="AN78" i="32"/>
  <c r="AN79" i="32"/>
  <c r="AN80" i="32"/>
  <c r="AN81" i="32"/>
  <c r="AN82" i="32"/>
  <c r="AN83" i="32"/>
  <c r="AN84" i="32"/>
  <c r="AN85" i="32"/>
  <c r="AN86" i="32"/>
  <c r="AN87" i="32"/>
  <c r="AN88" i="32"/>
  <c r="AN89" i="32"/>
  <c r="AN90" i="32"/>
  <c r="AN91" i="32"/>
  <c r="AN92" i="32"/>
  <c r="AN93" i="32"/>
  <c r="AN94" i="32"/>
  <c r="AN95" i="32"/>
  <c r="AN96" i="32"/>
  <c r="AN97" i="32"/>
  <c r="AN98" i="32"/>
  <c r="AN99" i="32"/>
  <c r="AN100" i="32"/>
  <c r="AN101" i="32"/>
  <c r="AN102" i="32"/>
  <c r="AN103" i="32"/>
  <c r="AN104" i="32"/>
  <c r="AN105" i="32"/>
  <c r="AN106" i="32"/>
  <c r="AN107" i="32"/>
  <c r="AN108" i="32"/>
  <c r="AN109" i="32"/>
  <c r="AN110" i="32"/>
  <c r="AN111" i="32"/>
  <c r="AN112" i="32"/>
  <c r="AN113" i="32"/>
  <c r="AN114" i="32"/>
  <c r="AN115" i="32"/>
  <c r="AN116" i="32"/>
  <c r="AN117" i="32"/>
  <c r="AN118" i="32"/>
  <c r="AN119" i="32"/>
  <c r="AN120" i="32"/>
  <c r="AN121" i="32"/>
  <c r="AN122" i="32"/>
  <c r="AN123" i="32"/>
  <c r="AN124" i="32"/>
  <c r="AN125" i="32"/>
  <c r="AN126" i="32"/>
  <c r="AN127" i="32"/>
  <c r="AN128" i="32"/>
  <c r="AN129" i="32"/>
  <c r="AN130" i="32"/>
  <c r="AN131" i="32"/>
  <c r="AN132" i="32"/>
  <c r="AN133" i="32"/>
  <c r="AN134" i="32"/>
  <c r="AN135" i="32"/>
  <c r="AN136" i="32"/>
  <c r="AN137" i="32"/>
  <c r="AN138" i="32"/>
  <c r="AN139" i="32"/>
  <c r="AN140" i="32"/>
  <c r="AN141" i="32"/>
  <c r="AN142" i="32"/>
  <c r="AN143" i="32"/>
  <c r="AN144" i="32"/>
  <c r="AN145" i="32"/>
  <c r="AN146" i="32"/>
  <c r="AN147" i="32"/>
  <c r="AN148" i="32"/>
  <c r="AN149" i="32"/>
  <c r="AN150" i="32"/>
  <c r="AN151" i="32"/>
  <c r="AN152" i="32"/>
  <c r="AN153" i="32"/>
  <c r="AN154" i="32"/>
  <c r="AN155" i="32"/>
  <c r="AN156" i="32"/>
  <c r="AN157" i="32"/>
  <c r="AN158" i="32"/>
  <c r="AN159" i="32"/>
  <c r="AN160" i="32"/>
  <c r="AN161" i="32"/>
  <c r="AN162" i="32"/>
  <c r="AN163" i="32"/>
  <c r="AN164" i="32"/>
  <c r="AN165" i="32"/>
  <c r="AN166" i="32"/>
  <c r="AN167" i="32"/>
  <c r="AN168" i="32"/>
  <c r="AN169" i="32"/>
  <c r="AN170" i="32"/>
  <c r="AN171" i="32"/>
  <c r="AN172" i="32"/>
  <c r="AN173" i="32"/>
  <c r="AN174" i="32"/>
  <c r="AN175" i="32"/>
  <c r="AN176" i="32"/>
  <c r="AN177" i="32"/>
  <c r="AN178" i="32"/>
  <c r="AN179" i="32"/>
  <c r="AN180" i="32"/>
  <c r="AN181" i="32"/>
  <c r="AN182" i="32"/>
  <c r="AN183" i="32"/>
  <c r="AN184" i="32"/>
  <c r="AN185" i="32"/>
  <c r="AN186" i="32"/>
  <c r="AN187" i="32"/>
  <c r="AN188" i="32"/>
  <c r="AN189" i="32"/>
  <c r="AN190" i="32"/>
  <c r="AN191" i="32"/>
  <c r="AN192" i="32"/>
  <c r="AN193" i="32"/>
  <c r="AN194" i="32"/>
  <c r="AN195" i="32"/>
  <c r="AN196" i="32"/>
  <c r="AN197" i="32"/>
  <c r="AN198" i="32"/>
  <c r="AN199" i="32"/>
  <c r="AN200" i="32"/>
  <c r="AN201" i="32"/>
  <c r="AN202" i="32"/>
  <c r="AN203" i="32"/>
  <c r="AN204" i="32"/>
  <c r="AN205" i="32"/>
  <c r="AN206" i="32"/>
  <c r="AN207" i="32"/>
  <c r="AN208" i="32"/>
  <c r="AN209" i="32"/>
  <c r="AN210" i="32"/>
  <c r="AN211" i="32"/>
  <c r="AN212" i="32"/>
  <c r="AN213" i="32"/>
  <c r="AN214" i="32"/>
  <c r="AN215" i="32"/>
  <c r="AN216" i="32"/>
  <c r="AN217" i="32"/>
  <c r="AN218" i="32"/>
  <c r="AN219" i="32"/>
  <c r="AN220" i="32"/>
  <c r="AN221" i="32"/>
  <c r="AN222" i="32"/>
  <c r="AN223" i="32"/>
  <c r="AP4" i="32"/>
  <c r="AP224" i="32"/>
  <c r="AO4" i="32"/>
  <c r="AO5" i="32"/>
  <c r="AO6" i="32"/>
  <c r="AO7" i="32"/>
  <c r="AK5" i="32"/>
  <c r="AK6" i="32"/>
  <c r="AK7" i="32"/>
  <c r="AK8" i="32"/>
  <c r="AK9" i="32"/>
  <c r="AK10" i="32"/>
  <c r="AK11" i="32"/>
  <c r="AK12" i="32"/>
  <c r="AK13" i="32"/>
  <c r="AK14" i="32"/>
  <c r="AK15" i="32"/>
  <c r="AK16" i="32"/>
  <c r="AK17" i="32"/>
  <c r="AK18" i="32"/>
  <c r="AK19" i="32"/>
  <c r="AK20" i="32"/>
  <c r="AK21" i="32"/>
  <c r="AK22" i="32"/>
  <c r="AK23" i="32"/>
  <c r="AK24" i="32"/>
  <c r="AK25" i="32"/>
  <c r="AK26" i="32"/>
  <c r="AK27" i="32"/>
  <c r="AK28" i="32"/>
  <c r="AK29" i="32"/>
  <c r="AK30" i="32"/>
  <c r="AK31" i="32"/>
  <c r="AK32" i="32"/>
  <c r="AK33" i="32"/>
  <c r="AK34" i="32"/>
  <c r="AK35" i="32"/>
  <c r="AK36" i="32"/>
  <c r="AK37" i="32"/>
  <c r="AK38" i="32"/>
  <c r="AK39" i="32"/>
  <c r="AK40" i="32"/>
  <c r="AK41" i="32"/>
  <c r="AK42" i="32"/>
  <c r="AK43" i="32"/>
  <c r="AK44" i="32"/>
  <c r="AK45" i="32"/>
  <c r="AK46" i="32"/>
  <c r="AK47" i="32"/>
  <c r="AK48" i="32"/>
  <c r="AK49" i="32"/>
  <c r="AK50" i="32"/>
  <c r="AK51" i="32"/>
  <c r="AK52" i="32"/>
  <c r="AK53" i="32"/>
  <c r="AK54" i="32"/>
  <c r="AK55" i="32"/>
  <c r="AK56" i="32"/>
  <c r="AK57" i="32"/>
  <c r="AK58" i="32"/>
  <c r="AK59" i="32"/>
  <c r="AK60" i="32"/>
  <c r="AK61" i="32"/>
  <c r="AK62" i="32"/>
  <c r="AK63" i="32"/>
  <c r="AK64" i="32"/>
  <c r="AK65" i="32"/>
  <c r="AK66" i="32"/>
  <c r="AK67" i="32"/>
  <c r="AK68" i="32"/>
  <c r="AK69" i="32"/>
  <c r="AK70" i="32"/>
  <c r="AK71" i="32"/>
  <c r="AK72" i="32"/>
  <c r="AK73" i="32"/>
  <c r="AK74" i="32"/>
  <c r="AK75" i="32"/>
  <c r="AK76" i="32"/>
  <c r="AK77" i="32"/>
  <c r="AK78" i="32"/>
  <c r="AK79" i="32"/>
  <c r="AK80" i="32"/>
  <c r="AK81" i="32"/>
  <c r="AK82" i="32"/>
  <c r="AK83" i="32"/>
  <c r="AK84" i="32"/>
  <c r="AK85" i="32"/>
  <c r="AK86" i="32"/>
  <c r="AK87" i="32"/>
  <c r="AK88" i="32"/>
  <c r="AK89" i="32"/>
  <c r="AK90" i="32"/>
  <c r="AK91" i="32"/>
  <c r="AK92" i="32"/>
  <c r="AK93" i="32"/>
  <c r="AK94" i="32"/>
  <c r="AK95" i="32"/>
  <c r="AK96" i="32"/>
  <c r="AK97" i="32"/>
  <c r="AK98" i="32"/>
  <c r="AK99" i="32"/>
  <c r="AK100" i="32"/>
  <c r="AK101" i="32"/>
  <c r="AK102" i="32"/>
  <c r="AK103" i="32"/>
  <c r="AK104" i="32"/>
  <c r="AK105" i="32"/>
  <c r="AK106" i="32"/>
  <c r="AK107" i="32"/>
  <c r="AK108" i="32"/>
  <c r="AK109" i="32"/>
  <c r="AK110" i="32"/>
  <c r="AK111" i="32"/>
  <c r="AK112" i="32"/>
  <c r="AK113" i="32"/>
  <c r="AK114" i="32"/>
  <c r="AK115" i="32"/>
  <c r="AK116" i="32"/>
  <c r="AK117" i="32"/>
  <c r="AK118" i="32"/>
  <c r="AK119" i="32"/>
  <c r="AK120" i="32"/>
  <c r="AK121" i="32"/>
  <c r="AK122" i="32"/>
  <c r="AK123" i="32"/>
  <c r="AK124" i="32"/>
  <c r="AK125" i="32"/>
  <c r="AK126" i="32"/>
  <c r="AK127" i="32"/>
  <c r="AK128" i="32"/>
  <c r="AK129" i="32"/>
  <c r="AK130" i="32"/>
  <c r="AK131" i="32"/>
  <c r="AK132" i="32"/>
  <c r="AK133" i="32"/>
  <c r="AK134" i="32"/>
  <c r="AK135" i="32"/>
  <c r="AK136" i="32"/>
  <c r="AK137" i="32"/>
  <c r="AK138" i="32"/>
  <c r="AK139" i="32"/>
  <c r="AK140" i="32"/>
  <c r="AK141" i="32"/>
  <c r="AK142" i="32"/>
  <c r="AK143" i="32"/>
  <c r="AK144" i="32"/>
  <c r="AK145" i="32"/>
  <c r="AK146" i="32"/>
  <c r="AK147" i="32"/>
  <c r="AK148" i="32"/>
  <c r="AK149" i="32"/>
  <c r="AK150" i="32"/>
  <c r="AK151" i="32"/>
  <c r="AK152" i="32"/>
  <c r="AK153" i="32"/>
  <c r="AK154" i="32"/>
  <c r="AK155" i="32"/>
  <c r="AK156" i="32"/>
  <c r="AK157" i="32"/>
  <c r="AK158" i="32"/>
  <c r="AK159" i="32"/>
  <c r="AK160" i="32"/>
  <c r="AK161" i="32"/>
  <c r="AK162" i="32"/>
  <c r="AK163" i="32"/>
  <c r="AK164" i="32"/>
  <c r="AK165" i="32"/>
  <c r="AK166" i="32"/>
  <c r="AK167" i="32"/>
  <c r="AK168" i="32"/>
  <c r="AK169" i="32"/>
  <c r="AK170" i="32"/>
  <c r="AK171" i="32"/>
  <c r="AK172" i="32"/>
  <c r="AK173" i="32"/>
  <c r="AK174" i="32"/>
  <c r="AK175" i="32"/>
  <c r="AK176" i="32"/>
  <c r="AK177" i="32"/>
  <c r="AK178" i="32"/>
  <c r="AK179" i="32"/>
  <c r="AK180" i="32"/>
  <c r="AK181" i="32"/>
  <c r="AK182" i="32"/>
  <c r="AK183" i="32"/>
  <c r="AK184" i="32"/>
  <c r="AK185" i="32"/>
  <c r="AK186" i="32"/>
  <c r="AK187" i="32"/>
  <c r="AK188" i="32"/>
  <c r="AK189" i="32"/>
  <c r="AK190" i="32"/>
  <c r="AK191" i="32"/>
  <c r="AK192" i="32"/>
  <c r="AK193" i="32"/>
  <c r="AK194" i="32"/>
  <c r="AK195" i="32"/>
  <c r="AK196" i="32"/>
  <c r="AK197" i="32"/>
  <c r="AK198" i="32"/>
  <c r="AK199" i="32"/>
  <c r="AK200" i="32"/>
  <c r="AK201" i="32"/>
  <c r="AK202" i="32"/>
  <c r="AK203" i="32"/>
  <c r="AK204" i="32"/>
  <c r="AK205" i="32"/>
  <c r="AK206" i="32"/>
  <c r="AK207" i="32"/>
  <c r="AK208" i="32"/>
  <c r="AK209" i="32"/>
  <c r="AK210" i="32"/>
  <c r="AK211" i="32"/>
  <c r="AK212" i="32"/>
  <c r="AK213" i="32"/>
  <c r="AK214" i="32"/>
  <c r="AK215" i="32"/>
  <c r="AK216" i="32"/>
  <c r="AK217" i="32"/>
  <c r="AK218" i="32"/>
  <c r="AK219" i="32"/>
  <c r="AK220" i="32"/>
  <c r="AK221" i="32"/>
  <c r="AK222" i="32"/>
  <c r="AK223" i="32"/>
  <c r="AK224" i="32"/>
  <c r="AK225" i="32"/>
  <c r="AK226" i="32"/>
  <c r="AK227" i="32"/>
  <c r="AK228" i="32"/>
  <c r="AK229" i="32"/>
  <c r="AK230" i="32"/>
  <c r="AK231" i="32"/>
  <c r="AK232" i="32"/>
  <c r="AK233" i="32"/>
  <c r="AK234" i="32"/>
  <c r="AK235" i="32"/>
  <c r="AK236" i="32"/>
  <c r="AK237" i="32"/>
  <c r="AK238" i="32"/>
  <c r="AK239" i="32"/>
  <c r="AK240" i="32"/>
  <c r="AK241" i="32"/>
  <c r="AK242" i="32"/>
  <c r="AK243" i="32"/>
  <c r="AK244" i="32"/>
  <c r="AK245" i="32"/>
  <c r="AK246" i="32"/>
  <c r="AK247" i="32"/>
  <c r="AK248" i="32"/>
  <c r="AK249" i="32"/>
  <c r="AK250" i="32"/>
  <c r="AK251" i="32"/>
  <c r="AK252" i="32"/>
  <c r="AK253" i="32"/>
  <c r="AK254" i="32"/>
  <c r="AK255" i="32"/>
  <c r="AK256" i="32"/>
  <c r="AK257" i="32"/>
  <c r="AK258" i="32"/>
  <c r="AK259" i="32"/>
  <c r="AK260" i="32"/>
  <c r="AK261" i="32"/>
  <c r="AK262" i="32"/>
  <c r="AK263" i="32"/>
  <c r="AK264" i="32"/>
  <c r="AK265" i="32"/>
  <c r="AK266" i="32"/>
  <c r="AK267" i="32"/>
  <c r="AK268" i="32"/>
  <c r="AK269" i="32"/>
  <c r="AK270" i="32"/>
  <c r="AK271" i="32"/>
  <c r="AK272" i="32"/>
  <c r="AK273" i="32"/>
  <c r="AK274" i="32"/>
  <c r="AK275" i="32"/>
  <c r="AK276" i="32"/>
  <c r="AK277" i="32"/>
  <c r="AK278" i="32"/>
  <c r="AK279" i="32"/>
  <c r="AK280" i="32"/>
  <c r="AK281" i="32"/>
  <c r="AK282" i="32"/>
  <c r="AK283" i="32"/>
  <c r="AK284" i="32"/>
  <c r="AK285" i="32"/>
  <c r="AK286" i="32"/>
  <c r="AK287" i="32"/>
  <c r="AK288" i="32"/>
  <c r="AK289" i="32"/>
  <c r="AK290" i="32"/>
  <c r="AK291" i="32"/>
  <c r="AK292" i="32"/>
  <c r="AK293" i="32"/>
  <c r="AK294" i="32"/>
  <c r="AK295" i="32"/>
  <c r="AK296" i="32"/>
  <c r="AK297" i="32"/>
  <c r="AK298" i="32"/>
  <c r="AK299" i="32"/>
  <c r="AK300" i="32"/>
  <c r="AK301" i="32"/>
  <c r="AK302" i="32"/>
  <c r="AK303" i="32"/>
  <c r="AK304" i="32"/>
  <c r="AK305" i="32"/>
  <c r="AK306" i="32"/>
  <c r="AK307" i="32"/>
  <c r="AK308" i="32"/>
  <c r="AK309" i="32"/>
  <c r="AK310" i="32"/>
  <c r="AK311" i="32"/>
  <c r="AK312" i="32"/>
  <c r="AK313" i="32"/>
  <c r="AK314" i="32"/>
  <c r="AK315" i="32"/>
  <c r="AK316" i="32"/>
  <c r="AK317" i="32"/>
  <c r="AK318" i="32"/>
  <c r="AK319" i="32"/>
  <c r="AK320" i="32"/>
  <c r="AK321" i="32"/>
  <c r="AK322" i="32"/>
  <c r="AK323" i="32"/>
  <c r="AK324" i="32"/>
  <c r="AK325" i="32"/>
  <c r="AK326" i="32"/>
  <c r="AK327" i="32"/>
  <c r="AK328" i="32"/>
  <c r="AK329" i="32"/>
  <c r="AK330" i="32"/>
  <c r="AK331" i="32"/>
  <c r="AK332" i="32"/>
  <c r="AK333" i="32"/>
  <c r="AK334" i="32"/>
  <c r="AK335" i="32"/>
  <c r="AK336" i="32"/>
  <c r="AK337" i="32"/>
  <c r="AK338" i="32"/>
  <c r="AK339" i="32"/>
  <c r="AK340" i="32"/>
  <c r="AK341" i="32"/>
  <c r="AK342" i="32"/>
  <c r="AK343" i="32"/>
  <c r="AK344" i="32"/>
  <c r="AK345" i="32"/>
  <c r="AK346" i="32"/>
  <c r="AK347" i="32"/>
  <c r="AK348" i="32"/>
  <c r="AK349" i="32"/>
  <c r="AK350" i="32"/>
  <c r="AK351" i="32"/>
  <c r="AK352" i="32"/>
  <c r="AK353" i="32"/>
  <c r="AK354" i="32"/>
  <c r="AK355" i="32"/>
  <c r="AK356" i="32"/>
  <c r="AK357" i="32"/>
  <c r="AK358" i="32"/>
  <c r="AK359" i="32"/>
  <c r="AK360" i="32"/>
  <c r="AK361" i="32"/>
  <c r="AK362" i="32"/>
  <c r="AK363" i="32"/>
  <c r="AK364" i="32"/>
  <c r="AK365" i="32"/>
  <c r="AK366" i="32"/>
  <c r="AK367" i="32"/>
  <c r="AK368" i="32"/>
  <c r="AK369" i="32"/>
  <c r="AK370" i="32"/>
  <c r="AK371" i="32"/>
  <c r="AK372" i="32"/>
  <c r="AK373" i="32"/>
  <c r="AK374" i="32"/>
  <c r="AK375" i="32"/>
  <c r="AK376" i="32"/>
  <c r="AK377" i="32"/>
  <c r="AK378" i="32"/>
  <c r="AK379" i="32"/>
  <c r="AK380" i="32"/>
  <c r="AK381" i="32"/>
  <c r="AK382" i="32"/>
  <c r="AK383" i="32"/>
  <c r="AK384" i="32"/>
  <c r="AK385" i="32"/>
  <c r="AK386" i="32"/>
  <c r="AK387" i="32"/>
  <c r="AK388" i="32"/>
  <c r="AK389" i="32"/>
  <c r="AK390" i="32"/>
  <c r="AK391" i="32"/>
  <c r="AK392" i="32"/>
  <c r="AK393" i="32"/>
  <c r="AK394" i="32"/>
  <c r="AK395" i="32"/>
  <c r="AK396" i="32"/>
  <c r="AK397" i="32"/>
  <c r="AK398" i="32"/>
  <c r="AK399" i="32"/>
  <c r="AK400" i="32"/>
  <c r="AK401" i="32"/>
  <c r="AK402" i="32"/>
  <c r="AK403" i="32"/>
  <c r="AK404" i="32"/>
  <c r="AK405" i="32"/>
  <c r="AK406" i="32"/>
  <c r="AK407" i="32"/>
  <c r="AK408" i="32"/>
  <c r="AK409" i="32"/>
  <c r="AK410" i="32"/>
  <c r="AK411" i="32"/>
  <c r="AK412" i="32"/>
  <c r="AK413" i="32"/>
  <c r="AK414" i="32"/>
  <c r="AK415" i="32"/>
  <c r="AK416" i="32"/>
  <c r="AK417" i="32"/>
  <c r="AK418" i="32"/>
  <c r="AK419" i="32"/>
  <c r="AK420" i="32"/>
  <c r="AK421" i="32"/>
  <c r="AK422" i="32"/>
  <c r="AK423" i="32"/>
  <c r="AK424" i="32"/>
  <c r="AK425" i="32"/>
  <c r="AK426" i="32"/>
  <c r="AK427" i="32"/>
  <c r="AK428" i="32"/>
  <c r="AK429" i="32"/>
  <c r="AK430" i="32"/>
  <c r="AK431" i="32"/>
  <c r="AK432" i="32"/>
  <c r="AK433" i="32"/>
  <c r="AK434" i="32"/>
  <c r="AK435" i="32"/>
  <c r="AK436" i="32"/>
  <c r="AK437" i="32"/>
  <c r="AK438" i="32"/>
  <c r="AK439" i="32"/>
  <c r="AK440" i="32"/>
  <c r="AK441" i="32"/>
  <c r="AK442" i="32"/>
  <c r="AK443" i="32"/>
  <c r="AK444" i="32"/>
  <c r="AK445" i="32"/>
  <c r="AK446" i="32"/>
  <c r="AK447" i="32"/>
  <c r="AK448" i="32"/>
  <c r="AK449" i="32"/>
  <c r="AK450" i="32"/>
  <c r="AK451" i="32"/>
  <c r="AJ5" i="32"/>
  <c r="AJ6" i="32"/>
  <c r="AJ7" i="32"/>
  <c r="AJ8" i="32"/>
  <c r="AJ9" i="32"/>
  <c r="AJ10" i="32"/>
  <c r="AJ11" i="32"/>
  <c r="AJ12" i="32"/>
  <c r="AJ13" i="32"/>
  <c r="AJ14" i="32"/>
  <c r="AJ15" i="32"/>
  <c r="AJ16" i="32"/>
  <c r="AJ17" i="32"/>
  <c r="AJ18" i="32"/>
  <c r="AJ19" i="32"/>
  <c r="AJ20" i="32"/>
  <c r="AJ21" i="32"/>
  <c r="AJ22" i="32"/>
  <c r="AJ23" i="32"/>
  <c r="AJ24" i="32"/>
  <c r="AJ25" i="32"/>
  <c r="AJ26" i="32"/>
  <c r="AJ27" i="32"/>
  <c r="AJ28" i="32"/>
  <c r="AJ29" i="32"/>
  <c r="AJ30" i="32"/>
  <c r="AJ31" i="32"/>
  <c r="AJ32" i="32"/>
  <c r="AJ33" i="32"/>
  <c r="AJ34" i="32"/>
  <c r="AJ35" i="32"/>
  <c r="AJ36" i="32"/>
  <c r="AJ37" i="32"/>
  <c r="AJ38" i="32"/>
  <c r="AJ39" i="32"/>
  <c r="AJ40" i="32"/>
  <c r="AJ41" i="32"/>
  <c r="AJ42" i="32"/>
  <c r="AJ43" i="32"/>
  <c r="AJ44" i="32"/>
  <c r="AJ45" i="32"/>
  <c r="AJ46" i="32"/>
  <c r="AJ47" i="32"/>
  <c r="AJ48" i="32"/>
  <c r="AJ49" i="32"/>
  <c r="AJ50" i="32"/>
  <c r="AJ51" i="32"/>
  <c r="AJ52" i="32"/>
  <c r="AJ53" i="32"/>
  <c r="AJ54" i="32"/>
  <c r="AJ55" i="32"/>
  <c r="AJ56" i="32"/>
  <c r="AJ57" i="32"/>
  <c r="AJ58" i="32"/>
  <c r="AJ59" i="32"/>
  <c r="AJ60" i="32"/>
  <c r="AJ61" i="32"/>
  <c r="AJ62" i="32"/>
  <c r="AJ63" i="32"/>
  <c r="AJ64" i="32"/>
  <c r="AJ65" i="32"/>
  <c r="AJ66" i="32"/>
  <c r="AJ67" i="32"/>
  <c r="AJ68" i="32"/>
  <c r="AJ69" i="32"/>
  <c r="AJ70" i="32"/>
  <c r="AJ71" i="32"/>
  <c r="AJ72" i="32"/>
  <c r="AJ73" i="32"/>
  <c r="AJ74" i="32"/>
  <c r="AJ75" i="32"/>
  <c r="AJ76" i="32"/>
  <c r="AJ77" i="32"/>
  <c r="AJ78" i="32"/>
  <c r="AJ79" i="32"/>
  <c r="AJ80" i="32"/>
  <c r="AJ81" i="32"/>
  <c r="AJ82" i="32"/>
  <c r="AJ83" i="32"/>
  <c r="AJ84" i="32"/>
  <c r="AJ85" i="32"/>
  <c r="AJ86" i="32"/>
  <c r="AJ87" i="32"/>
  <c r="AJ88" i="32"/>
  <c r="AJ89" i="32"/>
  <c r="AJ90" i="32"/>
  <c r="AJ91" i="32"/>
  <c r="AJ92" i="32"/>
  <c r="AJ93" i="32"/>
  <c r="AJ94" i="32"/>
  <c r="AJ95" i="32"/>
  <c r="AJ96" i="32"/>
  <c r="AJ97" i="32"/>
  <c r="AJ98" i="32"/>
  <c r="AJ99" i="32"/>
  <c r="AJ100" i="32"/>
  <c r="AJ101" i="32"/>
  <c r="AJ102" i="32"/>
  <c r="AJ103" i="32"/>
  <c r="AJ104" i="32"/>
  <c r="AJ105" i="32"/>
  <c r="AJ106" i="32"/>
  <c r="AJ107" i="32"/>
  <c r="AJ108" i="32"/>
  <c r="AJ109" i="32"/>
  <c r="AJ110" i="32"/>
  <c r="AJ111" i="32"/>
  <c r="AJ112" i="32"/>
  <c r="AJ113" i="32"/>
  <c r="AJ114" i="32"/>
  <c r="AJ115" i="32"/>
  <c r="AJ116" i="32"/>
  <c r="AJ117" i="32"/>
  <c r="AJ118" i="32"/>
  <c r="AJ119" i="32"/>
  <c r="AJ120" i="32"/>
  <c r="AJ121" i="32"/>
  <c r="AJ122" i="32"/>
  <c r="AJ123" i="32"/>
  <c r="AJ124" i="32"/>
  <c r="AJ125" i="32"/>
  <c r="AJ126" i="32"/>
  <c r="AJ127" i="32"/>
  <c r="AJ128" i="32"/>
  <c r="AJ129" i="32"/>
  <c r="AJ130" i="32"/>
  <c r="AJ131" i="32"/>
  <c r="AJ132" i="32"/>
  <c r="AJ133" i="32"/>
  <c r="AJ134" i="32"/>
  <c r="AJ135" i="32"/>
  <c r="AJ136" i="32"/>
  <c r="AJ137" i="32"/>
  <c r="AJ138" i="32"/>
  <c r="AJ139" i="32"/>
  <c r="AJ140" i="32"/>
  <c r="AJ141" i="32"/>
  <c r="AJ142" i="32"/>
  <c r="AJ143" i="32"/>
  <c r="AJ144" i="32"/>
  <c r="AJ145" i="32"/>
  <c r="AJ146" i="32"/>
  <c r="AJ147" i="32"/>
  <c r="AJ148" i="32"/>
  <c r="AJ149" i="32"/>
  <c r="AJ150" i="32"/>
  <c r="AJ151" i="32"/>
  <c r="AJ152" i="32"/>
  <c r="AJ153" i="32"/>
  <c r="AJ154" i="32"/>
  <c r="AJ155" i="32"/>
  <c r="AJ156" i="32"/>
  <c r="AJ157" i="32"/>
  <c r="AJ158" i="32"/>
  <c r="AJ159" i="32"/>
  <c r="AJ160" i="32"/>
  <c r="AJ161" i="32"/>
  <c r="AJ162" i="32"/>
  <c r="AJ163" i="32"/>
  <c r="AJ164" i="32"/>
  <c r="AJ165" i="32"/>
  <c r="AJ166" i="32"/>
  <c r="AJ167" i="32"/>
  <c r="AJ168" i="32"/>
  <c r="AJ169" i="32"/>
  <c r="AJ170" i="32"/>
  <c r="AJ171" i="32"/>
  <c r="AJ172" i="32"/>
  <c r="AJ173" i="32"/>
  <c r="AJ174" i="32"/>
  <c r="AJ175" i="32"/>
  <c r="AJ176" i="32"/>
  <c r="AJ177" i="32"/>
  <c r="AJ178" i="32"/>
  <c r="AJ179" i="32"/>
  <c r="AJ180" i="32"/>
  <c r="AJ181" i="32"/>
  <c r="AJ182" i="32"/>
  <c r="AJ183" i="32"/>
  <c r="AJ184" i="32"/>
  <c r="AJ185" i="32"/>
  <c r="AJ186" i="32"/>
  <c r="AJ187" i="32"/>
  <c r="AJ188" i="32"/>
  <c r="AJ189" i="32"/>
  <c r="AJ190" i="32"/>
  <c r="AJ191" i="32"/>
  <c r="AJ192" i="32"/>
  <c r="AJ193" i="32"/>
  <c r="AJ194" i="32"/>
  <c r="AJ195" i="32"/>
  <c r="AJ196" i="32"/>
  <c r="AJ197" i="32"/>
  <c r="AJ198" i="32"/>
  <c r="AJ199" i="32"/>
  <c r="AJ200" i="32"/>
  <c r="AJ201" i="32"/>
  <c r="AJ202" i="32"/>
  <c r="AJ203" i="32"/>
  <c r="AJ204" i="32"/>
  <c r="AJ205" i="32"/>
  <c r="AJ206" i="32"/>
  <c r="AJ207" i="32"/>
  <c r="AJ208" i="32"/>
  <c r="AJ209" i="32"/>
  <c r="AJ210" i="32"/>
  <c r="AJ211" i="32"/>
  <c r="AJ212" i="32"/>
  <c r="AJ213" i="32"/>
  <c r="AJ214" i="32"/>
  <c r="AJ215" i="32"/>
  <c r="AJ216" i="32"/>
  <c r="AJ217" i="32"/>
  <c r="AJ218" i="32"/>
  <c r="AJ219" i="32"/>
  <c r="AJ220" i="32"/>
  <c r="AJ221" i="32"/>
  <c r="AJ222" i="32"/>
  <c r="AJ223" i="32"/>
  <c r="AJ224" i="32"/>
  <c r="AJ225" i="32"/>
  <c r="AJ226" i="32"/>
  <c r="AJ227" i="32"/>
  <c r="AJ228" i="32"/>
  <c r="AJ229" i="32"/>
  <c r="AJ230" i="32"/>
  <c r="AJ231" i="32"/>
  <c r="AJ232" i="32"/>
  <c r="AJ233" i="32"/>
  <c r="AJ234" i="32"/>
  <c r="AJ235" i="32"/>
  <c r="AJ236" i="32"/>
  <c r="AJ237" i="32"/>
  <c r="AJ238" i="32"/>
  <c r="AJ239" i="32"/>
  <c r="AJ240" i="32"/>
  <c r="AJ241" i="32"/>
  <c r="AJ242" i="32"/>
  <c r="AJ243" i="32"/>
  <c r="AJ244" i="32"/>
  <c r="AJ245" i="32"/>
  <c r="AJ246" i="32"/>
  <c r="AJ247" i="32"/>
  <c r="AJ248" i="32"/>
  <c r="AJ249" i="32"/>
  <c r="AJ250" i="32"/>
  <c r="AJ251" i="32"/>
  <c r="AJ252" i="32"/>
  <c r="AJ253" i="32"/>
  <c r="AJ254" i="32"/>
  <c r="AJ255" i="32"/>
  <c r="AJ256" i="32"/>
  <c r="AJ257" i="32"/>
  <c r="AJ258" i="32"/>
  <c r="AJ259" i="32"/>
  <c r="AJ260" i="32"/>
  <c r="AJ261" i="32"/>
  <c r="AJ262" i="32"/>
  <c r="AJ263" i="32"/>
  <c r="AJ264" i="32"/>
  <c r="AJ265" i="32"/>
  <c r="AJ266" i="32"/>
  <c r="AJ267" i="32"/>
  <c r="AJ268" i="32"/>
  <c r="AJ269" i="32"/>
  <c r="AJ270" i="32"/>
  <c r="AJ271" i="32"/>
  <c r="AJ272" i="32"/>
  <c r="AJ273" i="32"/>
  <c r="AJ274" i="32"/>
  <c r="AJ275" i="32"/>
  <c r="AJ276" i="32"/>
  <c r="AJ277" i="32"/>
  <c r="AJ278" i="32"/>
  <c r="AJ279" i="32"/>
  <c r="AJ280" i="32"/>
  <c r="AJ281" i="32"/>
  <c r="AJ282" i="32"/>
  <c r="AJ283" i="32"/>
  <c r="AJ284" i="32"/>
  <c r="AJ285" i="32"/>
  <c r="AJ286" i="32"/>
  <c r="AJ287" i="32"/>
  <c r="AJ288" i="32"/>
  <c r="AJ289" i="32"/>
  <c r="AJ290" i="32"/>
  <c r="AJ291" i="32"/>
  <c r="AJ292" i="32"/>
  <c r="AJ293" i="32"/>
  <c r="AJ294" i="32"/>
  <c r="AJ295" i="32"/>
  <c r="AJ296" i="32"/>
  <c r="AJ297" i="32"/>
  <c r="AJ298" i="32"/>
  <c r="AJ299" i="32"/>
  <c r="AJ300" i="32"/>
  <c r="AJ301" i="32"/>
  <c r="AJ302" i="32"/>
  <c r="AJ303" i="32"/>
  <c r="AJ304" i="32"/>
  <c r="AJ305" i="32"/>
  <c r="AJ306" i="32"/>
  <c r="AJ307" i="32"/>
  <c r="AJ308" i="32"/>
  <c r="AJ309" i="32"/>
  <c r="AJ310" i="32"/>
  <c r="AJ311" i="32"/>
  <c r="AJ312" i="32"/>
  <c r="AJ313" i="32"/>
  <c r="AJ314" i="32"/>
  <c r="AJ315" i="32"/>
  <c r="AJ316" i="32"/>
  <c r="AJ317" i="32"/>
  <c r="AJ318" i="32"/>
  <c r="AJ319" i="32"/>
  <c r="AJ320" i="32"/>
  <c r="AJ321" i="32"/>
  <c r="AJ322" i="32"/>
  <c r="AJ323" i="32"/>
  <c r="AJ324" i="32"/>
  <c r="AJ325" i="32"/>
  <c r="AJ326" i="32"/>
  <c r="AJ327" i="32"/>
  <c r="AJ328" i="32"/>
  <c r="AJ329" i="32"/>
  <c r="AJ330" i="32"/>
  <c r="AJ331" i="32"/>
  <c r="AJ332" i="32"/>
  <c r="AJ333" i="32"/>
  <c r="AJ334" i="32"/>
  <c r="AJ335" i="32"/>
  <c r="AJ336" i="32"/>
  <c r="AJ337" i="32"/>
  <c r="AJ338" i="32"/>
  <c r="AJ339" i="32"/>
  <c r="AJ340" i="32"/>
  <c r="AJ341" i="32"/>
  <c r="AJ342" i="32"/>
  <c r="AJ343" i="32"/>
  <c r="AJ344" i="32"/>
  <c r="AJ345" i="32"/>
  <c r="AJ346" i="32"/>
  <c r="AJ347" i="32"/>
  <c r="AJ348" i="32"/>
  <c r="AJ349" i="32"/>
  <c r="AJ350" i="32"/>
  <c r="AJ351" i="32"/>
  <c r="AJ352" i="32"/>
  <c r="AJ353" i="32"/>
  <c r="AJ354" i="32"/>
  <c r="AJ355" i="32"/>
  <c r="AJ356" i="32"/>
  <c r="AJ357" i="32"/>
  <c r="AJ358" i="32"/>
  <c r="AJ359" i="32"/>
  <c r="AJ360" i="32"/>
  <c r="AJ361" i="32"/>
  <c r="AJ362" i="32"/>
  <c r="AJ363" i="32"/>
  <c r="AJ364" i="32"/>
  <c r="AJ365" i="32"/>
  <c r="AJ366" i="32"/>
  <c r="AJ367" i="32"/>
  <c r="AJ368" i="32"/>
  <c r="AJ369" i="32"/>
  <c r="AJ370" i="32"/>
  <c r="AJ371" i="32"/>
  <c r="AJ372" i="32"/>
  <c r="AJ373" i="32"/>
  <c r="AJ374" i="32"/>
  <c r="AJ375" i="32"/>
  <c r="AJ376" i="32"/>
  <c r="AJ377" i="32"/>
  <c r="AJ378" i="32"/>
  <c r="AJ379" i="32"/>
  <c r="AJ380" i="32"/>
  <c r="AJ381" i="32"/>
  <c r="AJ382" i="32"/>
  <c r="AJ383" i="32"/>
  <c r="AJ384" i="32"/>
  <c r="AJ385" i="32"/>
  <c r="AJ386" i="32"/>
  <c r="AJ387" i="32"/>
  <c r="AJ388" i="32"/>
  <c r="AJ389" i="32"/>
  <c r="AJ390" i="32"/>
  <c r="AJ391" i="32"/>
  <c r="AJ392" i="32"/>
  <c r="AJ393" i="32"/>
  <c r="AJ394" i="32"/>
  <c r="AJ395" i="32"/>
  <c r="AJ396" i="32"/>
  <c r="AJ397" i="32"/>
  <c r="AJ398" i="32"/>
  <c r="AJ399" i="32"/>
  <c r="AJ400" i="32"/>
  <c r="AJ401" i="32"/>
  <c r="AJ402" i="32"/>
  <c r="AJ403" i="32"/>
  <c r="AJ404" i="32"/>
  <c r="AJ405" i="32"/>
  <c r="AJ406" i="32"/>
  <c r="AJ407" i="32"/>
  <c r="AJ408" i="32"/>
  <c r="AJ409" i="32"/>
  <c r="AJ410" i="32"/>
  <c r="AJ411" i="32"/>
  <c r="AJ412" i="32"/>
  <c r="AJ413" i="32"/>
  <c r="AJ414" i="32"/>
  <c r="AJ415" i="32"/>
  <c r="AJ416" i="32"/>
  <c r="AJ417" i="32"/>
  <c r="AJ418" i="32"/>
  <c r="AJ419" i="32"/>
  <c r="AJ420" i="32"/>
  <c r="AJ421" i="32"/>
  <c r="AJ422" i="32"/>
  <c r="AJ423" i="32"/>
  <c r="AJ424" i="32"/>
  <c r="AJ425" i="32"/>
  <c r="AJ426" i="32"/>
  <c r="AJ427" i="32"/>
  <c r="AJ428" i="32"/>
  <c r="AJ429" i="32"/>
  <c r="AJ430" i="32"/>
  <c r="AJ431" i="32"/>
  <c r="AJ432" i="32"/>
  <c r="AJ433" i="32"/>
  <c r="AJ434" i="32"/>
  <c r="AJ435" i="32"/>
  <c r="AJ436" i="32"/>
  <c r="AJ437" i="32"/>
  <c r="AJ438" i="32"/>
  <c r="AJ439" i="32"/>
  <c r="AJ440" i="32"/>
  <c r="AJ441" i="32"/>
  <c r="AJ442" i="32"/>
  <c r="AJ443" i="32"/>
  <c r="AJ444" i="32"/>
  <c r="AJ445" i="32"/>
  <c r="AJ446" i="32"/>
  <c r="AJ447" i="32"/>
  <c r="AJ448" i="32"/>
  <c r="AJ449" i="32"/>
  <c r="AJ450" i="32"/>
  <c r="AJ451" i="32"/>
  <c r="AJ4" i="32"/>
  <c r="T244" i="32"/>
  <c r="O14" i="12"/>
  <c r="L453" i="25"/>
  <c r="H307" i="37" s="1"/>
  <c r="Q57" i="12"/>
  <c r="L716" i="25"/>
  <c r="I350" i="44" s="1"/>
  <c r="Q112" i="12"/>
  <c r="L771" i="25"/>
  <c r="I405" i="37" s="1"/>
  <c r="L838" i="31"/>
  <c r="C287" i="32"/>
  <c r="C295" i="32"/>
  <c r="C311" i="32"/>
  <c r="C319" i="32"/>
  <c r="C327" i="32"/>
  <c r="C343" i="32"/>
  <c r="C351" i="32"/>
  <c r="C359" i="32"/>
  <c r="C375" i="32"/>
  <c r="C383" i="32"/>
  <c r="C391" i="32"/>
  <c r="C444" i="32"/>
  <c r="C445" i="32"/>
  <c r="C446" i="32"/>
  <c r="C447" i="32"/>
  <c r="C448" i="32"/>
  <c r="C449" i="32"/>
  <c r="C450" i="32"/>
  <c r="C451" i="32"/>
  <c r="C452" i="32"/>
  <c r="C453" i="32"/>
  <c r="C454" i="32"/>
  <c r="C455" i="32"/>
  <c r="C456" i="32"/>
  <c r="C457" i="32"/>
  <c r="C458" i="32"/>
  <c r="C459" i="32"/>
  <c r="C460" i="32"/>
  <c r="C461" i="32"/>
  <c r="C462" i="32"/>
  <c r="C463" i="32"/>
  <c r="C464" i="32"/>
  <c r="C465" i="32"/>
  <c r="C466" i="32"/>
  <c r="C467" i="32"/>
  <c r="C468" i="32"/>
  <c r="C469" i="32"/>
  <c r="C470" i="32"/>
  <c r="C471" i="32"/>
  <c r="C472" i="32"/>
  <c r="C473" i="32"/>
  <c r="C474" i="32"/>
  <c r="C475" i="32"/>
  <c r="C476" i="32"/>
  <c r="C477" i="32"/>
  <c r="C478" i="32"/>
  <c r="C479" i="32"/>
  <c r="C480" i="32"/>
  <c r="C481" i="32"/>
  <c r="C482" i="32"/>
  <c r="C483" i="32"/>
  <c r="C484" i="32"/>
  <c r="C485" i="32"/>
  <c r="C486" i="32"/>
  <c r="C487" i="32"/>
  <c r="C488" i="32"/>
  <c r="C489" i="32"/>
  <c r="C490" i="32"/>
  <c r="C491" i="32"/>
  <c r="C492" i="32"/>
  <c r="C493" i="32"/>
  <c r="C494" i="32"/>
  <c r="C495" i="32"/>
  <c r="C496" i="32"/>
  <c r="C497" i="32"/>
  <c r="C498" i="32"/>
  <c r="C499" i="32"/>
  <c r="C500" i="32"/>
  <c r="C501" i="32"/>
  <c r="C502" i="32"/>
  <c r="C503" i="32"/>
  <c r="C504" i="32"/>
  <c r="C505" i="32"/>
  <c r="C506" i="32"/>
  <c r="C507" i="32"/>
  <c r="C508" i="32"/>
  <c r="C509" i="32"/>
  <c r="C510" i="32"/>
  <c r="C511" i="32"/>
  <c r="C512" i="32"/>
  <c r="C513" i="32"/>
  <c r="C514" i="32"/>
  <c r="C515" i="32"/>
  <c r="C516" i="32"/>
  <c r="C517" i="32"/>
  <c r="C518" i="32"/>
  <c r="C519" i="32"/>
  <c r="C520" i="32"/>
  <c r="C521" i="32"/>
  <c r="C522" i="32"/>
  <c r="C523" i="32"/>
  <c r="C524" i="32"/>
  <c r="C525" i="32"/>
  <c r="C526" i="32"/>
  <c r="C527" i="32"/>
  <c r="C528" i="32"/>
  <c r="C529" i="32"/>
  <c r="C530" i="32"/>
  <c r="C531" i="32"/>
  <c r="C532" i="32"/>
  <c r="C533" i="32"/>
  <c r="C534" i="32"/>
  <c r="C535" i="32"/>
  <c r="C536" i="32"/>
  <c r="C537" i="32"/>
  <c r="C538" i="32"/>
  <c r="C539" i="32"/>
  <c r="C540" i="32"/>
  <c r="C541" i="32"/>
  <c r="C542" i="32"/>
  <c r="C543" i="32"/>
  <c r="C544" i="32"/>
  <c r="C545" i="32"/>
  <c r="C546" i="32"/>
  <c r="C547" i="32"/>
  <c r="C548" i="32"/>
  <c r="C549" i="32"/>
  <c r="C550" i="32"/>
  <c r="C551" i="32"/>
  <c r="C552" i="32"/>
  <c r="C553" i="32"/>
  <c r="C554" i="32"/>
  <c r="C555" i="32"/>
  <c r="C556" i="32"/>
  <c r="C557" i="32"/>
  <c r="C558" i="32"/>
  <c r="C559" i="32"/>
  <c r="C560" i="32"/>
  <c r="C561" i="32"/>
  <c r="C562" i="32"/>
  <c r="C563" i="32"/>
  <c r="C564" i="32"/>
  <c r="C565" i="32"/>
  <c r="C566" i="32"/>
  <c r="C567" i="32"/>
  <c r="C568" i="32"/>
  <c r="C569" i="32"/>
  <c r="C570" i="32"/>
  <c r="C571" i="32"/>
  <c r="C572" i="32"/>
  <c r="C573" i="32"/>
  <c r="C574" i="32"/>
  <c r="C575" i="32"/>
  <c r="C576" i="32"/>
  <c r="C577" i="32"/>
  <c r="C578" i="32"/>
  <c r="C579" i="32"/>
  <c r="C580" i="32"/>
  <c r="C581" i="32"/>
  <c r="C582" i="32"/>
  <c r="C583" i="32"/>
  <c r="C584" i="32"/>
  <c r="C585" i="32"/>
  <c r="C586" i="32"/>
  <c r="C587" i="32"/>
  <c r="C588" i="32"/>
  <c r="C589" i="32"/>
  <c r="C590" i="32"/>
  <c r="C591" i="32"/>
  <c r="C592" i="32"/>
  <c r="C593" i="32"/>
  <c r="C594" i="32"/>
  <c r="C595" i="32"/>
  <c r="C596" i="32"/>
  <c r="C597" i="32"/>
  <c r="C598" i="32"/>
  <c r="C599" i="32"/>
  <c r="C600" i="32"/>
  <c r="C601" i="32"/>
  <c r="C602" i="32"/>
  <c r="C603" i="32"/>
  <c r="C604" i="32"/>
  <c r="C605" i="32"/>
  <c r="C606" i="32"/>
  <c r="C607" i="32"/>
  <c r="C608" i="32"/>
  <c r="C609" i="32"/>
  <c r="C610" i="32"/>
  <c r="C611" i="32"/>
  <c r="C612" i="32"/>
  <c r="C613" i="32"/>
  <c r="C614" i="32"/>
  <c r="C615" i="32"/>
  <c r="C616" i="32"/>
  <c r="C617" i="32"/>
  <c r="C618" i="32"/>
  <c r="C619" i="32"/>
  <c r="C620" i="32"/>
  <c r="C621" i="32"/>
  <c r="C622" i="32"/>
  <c r="C623" i="32"/>
  <c r="C624" i="32"/>
  <c r="C625" i="32"/>
  <c r="C626" i="32"/>
  <c r="C627" i="32"/>
  <c r="C628" i="32"/>
  <c r="C629" i="32"/>
  <c r="C630" i="32"/>
  <c r="C631" i="32"/>
  <c r="C632" i="32"/>
  <c r="C633" i="32"/>
  <c r="C634" i="32"/>
  <c r="C635" i="32"/>
  <c r="C636" i="32"/>
  <c r="C637" i="32"/>
  <c r="C638" i="32"/>
  <c r="C639" i="32"/>
  <c r="C640" i="32"/>
  <c r="C641" i="32"/>
  <c r="C642" i="32"/>
  <c r="C643" i="32"/>
  <c r="C644" i="32"/>
  <c r="C645" i="32"/>
  <c r="C646" i="32"/>
  <c r="C647" i="32"/>
  <c r="C648" i="32"/>
  <c r="C649" i="32"/>
  <c r="C650" i="32"/>
  <c r="C651" i="32"/>
  <c r="C652" i="32"/>
  <c r="C653" i="32"/>
  <c r="C654" i="32"/>
  <c r="C655" i="32"/>
  <c r="C656" i="32"/>
  <c r="C657" i="32"/>
  <c r="C658" i="32"/>
  <c r="C659" i="32"/>
  <c r="C660" i="32"/>
  <c r="C661" i="32"/>
  <c r="C662" i="32"/>
  <c r="M27" i="12"/>
  <c r="AF28" i="32"/>
  <c r="AN4" i="32"/>
  <c r="K4" i="12"/>
  <c r="AE5" i="32"/>
  <c r="AM4" i="32"/>
  <c r="AM5" i="32"/>
  <c r="AM6" i="32"/>
  <c r="AM7" i="32"/>
  <c r="AM8" i="32"/>
  <c r="AM9" i="32"/>
  <c r="AM10" i="32"/>
  <c r="AM11" i="32"/>
  <c r="AM12" i="32"/>
  <c r="AM13" i="32"/>
  <c r="AM14" i="32"/>
  <c r="AM15" i="32"/>
  <c r="AM16" i="32"/>
  <c r="AM17" i="32"/>
  <c r="AM18" i="32"/>
  <c r="AM19" i="32"/>
  <c r="AM20" i="32"/>
  <c r="AM21" i="32"/>
  <c r="AM22" i="32"/>
  <c r="AM23" i="32"/>
  <c r="AM24" i="32"/>
  <c r="AM25" i="32"/>
  <c r="AM26" i="32"/>
  <c r="AM27" i="32"/>
  <c r="AM28" i="32"/>
  <c r="AM29" i="32"/>
  <c r="AM30" i="32"/>
  <c r="AM31" i="32"/>
  <c r="AM32" i="32"/>
  <c r="AM33" i="32"/>
  <c r="AM34" i="32"/>
  <c r="AM35" i="32"/>
  <c r="AM36" i="32"/>
  <c r="AM37" i="32"/>
  <c r="AM38" i="32"/>
  <c r="AM39" i="32"/>
  <c r="AM40" i="32"/>
  <c r="AM41" i="32"/>
  <c r="AM42" i="32"/>
  <c r="AM43" i="32"/>
  <c r="AM44" i="32"/>
  <c r="AM45" i="32"/>
  <c r="AM46" i="32"/>
  <c r="AM47" i="32"/>
  <c r="AM48" i="32"/>
  <c r="AM49" i="32"/>
  <c r="AM50" i="32"/>
  <c r="AM51" i="32"/>
  <c r="AM52" i="32"/>
  <c r="AM53" i="32"/>
  <c r="AM54" i="32"/>
  <c r="AM55" i="32"/>
  <c r="AM56" i="32"/>
  <c r="AM57" i="32"/>
  <c r="AM58" i="32"/>
  <c r="AM59" i="32"/>
  <c r="AM60" i="32"/>
  <c r="AM61" i="32"/>
  <c r="AM62" i="32"/>
  <c r="AM63" i="32"/>
  <c r="AM64" i="32"/>
  <c r="AM65" i="32"/>
  <c r="AM66" i="32"/>
  <c r="AM67" i="32"/>
  <c r="AM68" i="32"/>
  <c r="AM69" i="32"/>
  <c r="AM70" i="32"/>
  <c r="AM71" i="32"/>
  <c r="AM72" i="32"/>
  <c r="AM73" i="32"/>
  <c r="AM74" i="32"/>
  <c r="AM75" i="32"/>
  <c r="AM76" i="32"/>
  <c r="AM77" i="32"/>
  <c r="AM78" i="32"/>
  <c r="AM79" i="32"/>
  <c r="AM80" i="32"/>
  <c r="AM81" i="32"/>
  <c r="AM82" i="32"/>
  <c r="AM83" i="32"/>
  <c r="AM84" i="32"/>
  <c r="AM85" i="32"/>
  <c r="AM86" i="32"/>
  <c r="AM87" i="32"/>
  <c r="AM88" i="32"/>
  <c r="AM89" i="32"/>
  <c r="AM90" i="32"/>
  <c r="AM91" i="32"/>
  <c r="AM92" i="32"/>
  <c r="AM93" i="32"/>
  <c r="AM94" i="32"/>
  <c r="AM95" i="32"/>
  <c r="AM96" i="32"/>
  <c r="AM97" i="32"/>
  <c r="AM98" i="32"/>
  <c r="AM99" i="32"/>
  <c r="AM100" i="32"/>
  <c r="AM101" i="32"/>
  <c r="AM102" i="32"/>
  <c r="AM103" i="32"/>
  <c r="AM104" i="32"/>
  <c r="AM105" i="32"/>
  <c r="AM106" i="32"/>
  <c r="AM107" i="32"/>
  <c r="AM108" i="32"/>
  <c r="AM109" i="32"/>
  <c r="AM110" i="32"/>
  <c r="AM111" i="32"/>
  <c r="AM112" i="32"/>
  <c r="AM113" i="32"/>
  <c r="AM114" i="32"/>
  <c r="AM115" i="32"/>
  <c r="AM116" i="32"/>
  <c r="AM117" i="32"/>
  <c r="AM118" i="32"/>
  <c r="AM119" i="32"/>
  <c r="AM120" i="32"/>
  <c r="AM121" i="32"/>
  <c r="AM122" i="32"/>
  <c r="AM123" i="32"/>
  <c r="AM124" i="32"/>
  <c r="AM125" i="32"/>
  <c r="AM126" i="32"/>
  <c r="AM127" i="32"/>
  <c r="AM128" i="32"/>
  <c r="AM129" i="32"/>
  <c r="AM130" i="32"/>
  <c r="AM131" i="32"/>
  <c r="AM132" i="32"/>
  <c r="AM133" i="32"/>
  <c r="AM134" i="32"/>
  <c r="AM135" i="32"/>
  <c r="AM136" i="32"/>
  <c r="AM137" i="32"/>
  <c r="AM138" i="32"/>
  <c r="AM139" i="32"/>
  <c r="AM140" i="32"/>
  <c r="AM141" i="32"/>
  <c r="AM142" i="32"/>
  <c r="AM143" i="32"/>
  <c r="AM144" i="32"/>
  <c r="AM145" i="32"/>
  <c r="AM146" i="32"/>
  <c r="AM147" i="32"/>
  <c r="AM148" i="32"/>
  <c r="AM149" i="32"/>
  <c r="AM150" i="32"/>
  <c r="AM151" i="32"/>
  <c r="AM152" i="32"/>
  <c r="AM153" i="32"/>
  <c r="AM154" i="32"/>
  <c r="AM155" i="32"/>
  <c r="AM156" i="32"/>
  <c r="AM157" i="32"/>
  <c r="AM158" i="32"/>
  <c r="AM159" i="32"/>
  <c r="AM160" i="32"/>
  <c r="AM161" i="32"/>
  <c r="AM162" i="32"/>
  <c r="AM163" i="32"/>
  <c r="AM164" i="32"/>
  <c r="AM165" i="32"/>
  <c r="AM166" i="32"/>
  <c r="AM167" i="32"/>
  <c r="AM168" i="32"/>
  <c r="AM169" i="32"/>
  <c r="AM170" i="32"/>
  <c r="AM171" i="32"/>
  <c r="AM172" i="32"/>
  <c r="AM173" i="32"/>
  <c r="AM174" i="32"/>
  <c r="AM175" i="32"/>
  <c r="AM176" i="32"/>
  <c r="AM177" i="32"/>
  <c r="AM178" i="32"/>
  <c r="AM179" i="32"/>
  <c r="AM180" i="32"/>
  <c r="AM181" i="32"/>
  <c r="AM182" i="32"/>
  <c r="AM183" i="32"/>
  <c r="AM184" i="32"/>
  <c r="AM185" i="32"/>
  <c r="AM186" i="32"/>
  <c r="AM187" i="32"/>
  <c r="AM188" i="32"/>
  <c r="AM189" i="32"/>
  <c r="AM190" i="32"/>
  <c r="AM191" i="32"/>
  <c r="AM192" i="32"/>
  <c r="AM193" i="32"/>
  <c r="AM194" i="32"/>
  <c r="AM195" i="32"/>
  <c r="AM196" i="32"/>
  <c r="AM197" i="32"/>
  <c r="AM198" i="32"/>
  <c r="AM199" i="32"/>
  <c r="AM200" i="32"/>
  <c r="AM201" i="32"/>
  <c r="AM202" i="32"/>
  <c r="AM203" i="32"/>
  <c r="AM204" i="32"/>
  <c r="AM205" i="32"/>
  <c r="AM206" i="32"/>
  <c r="AM207" i="32"/>
  <c r="AM208" i="32"/>
  <c r="AM209" i="32"/>
  <c r="AM210" i="32"/>
  <c r="AM211" i="32"/>
  <c r="AM212" i="32"/>
  <c r="AM213" i="32"/>
  <c r="AM214" i="32"/>
  <c r="AM215" i="32"/>
  <c r="AM216" i="32"/>
  <c r="AM217" i="32"/>
  <c r="AM218" i="32"/>
  <c r="AM219" i="32"/>
  <c r="AM220" i="32"/>
  <c r="AM221" i="32"/>
  <c r="AM222" i="32"/>
  <c r="AM223" i="32"/>
  <c r="AM224" i="32"/>
  <c r="AM225" i="32"/>
  <c r="AM226" i="32"/>
  <c r="AM227" i="32"/>
  <c r="AM228" i="32"/>
  <c r="AM229" i="32"/>
  <c r="AM230" i="32"/>
  <c r="AM231" i="32"/>
  <c r="AM232" i="32"/>
  <c r="AM233" i="32"/>
  <c r="AM234" i="32"/>
  <c r="AM235" i="32"/>
  <c r="AM236" i="32"/>
  <c r="AM237" i="32"/>
  <c r="AM238" i="32"/>
  <c r="AM239" i="32"/>
  <c r="AM240" i="32"/>
  <c r="AM241" i="32"/>
  <c r="AM242" i="32"/>
  <c r="AM243" i="32"/>
  <c r="AM244" i="32"/>
  <c r="AM245" i="32"/>
  <c r="AM246" i="32"/>
  <c r="AM247" i="32"/>
  <c r="AM248" i="32"/>
  <c r="AM249" i="32"/>
  <c r="AM250" i="32"/>
  <c r="AM251" i="32"/>
  <c r="AM252" i="32"/>
  <c r="AM253" i="32"/>
  <c r="AM254" i="32"/>
  <c r="AM255" i="32"/>
  <c r="AM256" i="32"/>
  <c r="AM257" i="32"/>
  <c r="AM258" i="32"/>
  <c r="AM259" i="32"/>
  <c r="AM260" i="32"/>
  <c r="AM261" i="32"/>
  <c r="AM262" i="32"/>
  <c r="AM263" i="32"/>
  <c r="AM264" i="32"/>
  <c r="AM265" i="32"/>
  <c r="AM266" i="32"/>
  <c r="AM267" i="32"/>
  <c r="AM268" i="32"/>
  <c r="AM269" i="32"/>
  <c r="AM270" i="32"/>
  <c r="AM271" i="32"/>
  <c r="AM272" i="32"/>
  <c r="AM273" i="32"/>
  <c r="AM274" i="32"/>
  <c r="AM275" i="32"/>
  <c r="AM276" i="32"/>
  <c r="AM277" i="32"/>
  <c r="AM278" i="32"/>
  <c r="AM279" i="32"/>
  <c r="AM280" i="32"/>
  <c r="AM281" i="32"/>
  <c r="AM282" i="32"/>
  <c r="AM283" i="32"/>
  <c r="AM284" i="32"/>
  <c r="AM285" i="32"/>
  <c r="AM286" i="32"/>
  <c r="AM287" i="32"/>
  <c r="AM288" i="32"/>
  <c r="AM289" i="32"/>
  <c r="AM290" i="32"/>
  <c r="AM291" i="32"/>
  <c r="AM292" i="32"/>
  <c r="AM293" i="32"/>
  <c r="AM294" i="32"/>
  <c r="AM295" i="32"/>
  <c r="AM296" i="32"/>
  <c r="AM297" i="32"/>
  <c r="AM298" i="32"/>
  <c r="AM299" i="32"/>
  <c r="AM300" i="32"/>
  <c r="AM301" i="32"/>
  <c r="AM302" i="32"/>
  <c r="AM303" i="32"/>
  <c r="AM304" i="32"/>
  <c r="AM305" i="32"/>
  <c r="AM306" i="32"/>
  <c r="AM307" i="32"/>
  <c r="AM308" i="32"/>
  <c r="AM309" i="32"/>
  <c r="AM310" i="32"/>
  <c r="AM311" i="32"/>
  <c r="AM312" i="32"/>
  <c r="AM313" i="32"/>
  <c r="AM314" i="32"/>
  <c r="AM315" i="32"/>
  <c r="AM316" i="32"/>
  <c r="AM317" i="32"/>
  <c r="AM318" i="32"/>
  <c r="AM319" i="32"/>
  <c r="AM320" i="32"/>
  <c r="AM321" i="32"/>
  <c r="AM322" i="32"/>
  <c r="AM323" i="32"/>
  <c r="AM324" i="32"/>
  <c r="AM325" i="32"/>
  <c r="AM326" i="32"/>
  <c r="AM327" i="32"/>
  <c r="AM328" i="32"/>
  <c r="AM329" i="32"/>
  <c r="AM330" i="32"/>
  <c r="AM331" i="32"/>
  <c r="AM332" i="32"/>
  <c r="AM333" i="32"/>
  <c r="AM334" i="32"/>
  <c r="AM335" i="32"/>
  <c r="AM336" i="32"/>
  <c r="AM337" i="32"/>
  <c r="AM338" i="32"/>
  <c r="AM339" i="32"/>
  <c r="AM340" i="32"/>
  <c r="AM341" i="32"/>
  <c r="AM342" i="32"/>
  <c r="AM343" i="32"/>
  <c r="AM344" i="32"/>
  <c r="AM345" i="32"/>
  <c r="AM346" i="32"/>
  <c r="AM347" i="32"/>
  <c r="AM348" i="32"/>
  <c r="AM349" i="32"/>
  <c r="AM350" i="32"/>
  <c r="AM351" i="32"/>
  <c r="AM352" i="32"/>
  <c r="AM353" i="32"/>
  <c r="AM354" i="32"/>
  <c r="AM355" i="32"/>
  <c r="AM356" i="32"/>
  <c r="AM357" i="32"/>
  <c r="AM358" i="32"/>
  <c r="AM359" i="32"/>
  <c r="AM360" i="32"/>
  <c r="AM361" i="32"/>
  <c r="AM362" i="32"/>
  <c r="AM363" i="32"/>
  <c r="AM364" i="32"/>
  <c r="AM365" i="32"/>
  <c r="AM366" i="32"/>
  <c r="AM367" i="32"/>
  <c r="AM368" i="32"/>
  <c r="AM369" i="32"/>
  <c r="AM370" i="32"/>
  <c r="AM371" i="32"/>
  <c r="AM372" i="32"/>
  <c r="AM373" i="32"/>
  <c r="AM374" i="32"/>
  <c r="AM375" i="32"/>
  <c r="AM376" i="32"/>
  <c r="AM377" i="32"/>
  <c r="AM378" i="32"/>
  <c r="AM379" i="32"/>
  <c r="AM380" i="32"/>
  <c r="AM381" i="32"/>
  <c r="AM382" i="32"/>
  <c r="AM383" i="32"/>
  <c r="AM384" i="32"/>
  <c r="AM385" i="32"/>
  <c r="AM386" i="32"/>
  <c r="AM387" i="32"/>
  <c r="AM388" i="32"/>
  <c r="AM389" i="32"/>
  <c r="AM390" i="32"/>
  <c r="AM391" i="32"/>
  <c r="AM392" i="32"/>
  <c r="AM393" i="32"/>
  <c r="AM394" i="32"/>
  <c r="AM395" i="32"/>
  <c r="AM396" i="32"/>
  <c r="AM397" i="32"/>
  <c r="AM398" i="32"/>
  <c r="AM399" i="32"/>
  <c r="AM400" i="32"/>
  <c r="AM401" i="32"/>
  <c r="AM402" i="32"/>
  <c r="AM403" i="32"/>
  <c r="AM404" i="32"/>
  <c r="AM405" i="32"/>
  <c r="AM406" i="32"/>
  <c r="AM407" i="32"/>
  <c r="AM408" i="32"/>
  <c r="AM409" i="32"/>
  <c r="AM410" i="32"/>
  <c r="AM411" i="32"/>
  <c r="AM412" i="32"/>
  <c r="AM413" i="32"/>
  <c r="AM414" i="32"/>
  <c r="AM415" i="32"/>
  <c r="AM416" i="32"/>
  <c r="AM417" i="32"/>
  <c r="AM418" i="32"/>
  <c r="AM419" i="32"/>
  <c r="AM420" i="32"/>
  <c r="AM421" i="32"/>
  <c r="AM422" i="32"/>
  <c r="AM423" i="32"/>
  <c r="AM424" i="32"/>
  <c r="AM425" i="32"/>
  <c r="AM426" i="32"/>
  <c r="AM427" i="32"/>
  <c r="AM428" i="32"/>
  <c r="AM429" i="32"/>
  <c r="AM430" i="32"/>
  <c r="AM431" i="32"/>
  <c r="AM432" i="32"/>
  <c r="AM433" i="32"/>
  <c r="AM434" i="32"/>
  <c r="AM435" i="32"/>
  <c r="AM436" i="32"/>
  <c r="AM437" i="32"/>
  <c r="AM438" i="32"/>
  <c r="AM439" i="32"/>
  <c r="AM440" i="32"/>
  <c r="AM441" i="32"/>
  <c r="AM442" i="32"/>
  <c r="AM443" i="32"/>
  <c r="AM444" i="32"/>
  <c r="AM445" i="32"/>
  <c r="AM446" i="32"/>
  <c r="AM447" i="32"/>
  <c r="K5" i="12"/>
  <c r="AE6" i="32"/>
  <c r="K6" i="12"/>
  <c r="AE7" i="32"/>
  <c r="K7" i="12"/>
  <c r="AE8" i="32"/>
  <c r="K8" i="12"/>
  <c r="AE9" i="32"/>
  <c r="K9" i="12"/>
  <c r="AE10" i="32"/>
  <c r="K10" i="12"/>
  <c r="AE11" i="32"/>
  <c r="K11" i="12"/>
  <c r="AE12" i="32"/>
  <c r="K12" i="12"/>
  <c r="AE13" i="32"/>
  <c r="K13" i="12"/>
  <c r="AE14" i="32"/>
  <c r="K14" i="12"/>
  <c r="AE15" i="32"/>
  <c r="K15" i="12"/>
  <c r="AE16" i="32"/>
  <c r="K16" i="12"/>
  <c r="AE17" i="32"/>
  <c r="K17" i="12"/>
  <c r="AE18" i="32"/>
  <c r="K18" i="12"/>
  <c r="AE19" i="32"/>
  <c r="K19" i="12"/>
  <c r="AE20" i="32"/>
  <c r="K20" i="12"/>
  <c r="AE21" i="32"/>
  <c r="K21" i="12"/>
  <c r="AE22" i="32"/>
  <c r="K22" i="12"/>
  <c r="AE23" i="32"/>
  <c r="K23" i="12"/>
  <c r="AE24" i="32"/>
  <c r="K24" i="12"/>
  <c r="AE25" i="32"/>
  <c r="K25" i="12"/>
  <c r="AE26" i="32"/>
  <c r="K26" i="12"/>
  <c r="AE27" i="32"/>
  <c r="K27" i="12"/>
  <c r="AE28" i="32"/>
  <c r="K28" i="12"/>
  <c r="AE29" i="32"/>
  <c r="K29" i="12"/>
  <c r="AE30" i="32"/>
  <c r="K30" i="12"/>
  <c r="AE31" i="32"/>
  <c r="K31" i="12"/>
  <c r="AE32" i="32"/>
  <c r="K32" i="12"/>
  <c r="AE33" i="32"/>
  <c r="K33" i="12"/>
  <c r="AE34" i="32"/>
  <c r="K34" i="12"/>
  <c r="AE35" i="32"/>
  <c r="K35" i="12"/>
  <c r="AE36" i="32"/>
  <c r="K36" i="12"/>
  <c r="AE37" i="32"/>
  <c r="K37" i="12"/>
  <c r="AE38" i="32"/>
  <c r="K38" i="12"/>
  <c r="AE39" i="32"/>
  <c r="K39" i="12"/>
  <c r="AE40" i="32"/>
  <c r="K40" i="12"/>
  <c r="AE41" i="32"/>
  <c r="K41" i="12"/>
  <c r="AE42" i="32"/>
  <c r="K42" i="12"/>
  <c r="AE43" i="32"/>
  <c r="K43" i="12"/>
  <c r="AE44" i="32"/>
  <c r="K44" i="12"/>
  <c r="AE45" i="32"/>
  <c r="K45" i="12"/>
  <c r="AE46" i="32"/>
  <c r="K46" i="12"/>
  <c r="AE47" i="32"/>
  <c r="K47" i="12"/>
  <c r="AE48" i="32"/>
  <c r="K48" i="12"/>
  <c r="AE49" i="32"/>
  <c r="K49" i="12"/>
  <c r="AE50" i="32"/>
  <c r="K50" i="12"/>
  <c r="AE51" i="32"/>
  <c r="K51" i="12"/>
  <c r="AE52" i="32"/>
  <c r="K52" i="12"/>
  <c r="AE53" i="32"/>
  <c r="K53" i="12"/>
  <c r="AE54" i="32"/>
  <c r="K54" i="12"/>
  <c r="AE55" i="32"/>
  <c r="K55" i="12"/>
  <c r="AE56" i="32"/>
  <c r="K56" i="12"/>
  <c r="AE57" i="32"/>
  <c r="K57" i="12"/>
  <c r="AE58" i="32"/>
  <c r="K58" i="12"/>
  <c r="AE59" i="32"/>
  <c r="K59" i="12"/>
  <c r="AE60" i="32"/>
  <c r="K60" i="12"/>
  <c r="AE61" i="32"/>
  <c r="K61" i="12"/>
  <c r="AE62" i="32"/>
  <c r="K62" i="12"/>
  <c r="AE63" i="32"/>
  <c r="K63" i="12"/>
  <c r="AE64" i="32"/>
  <c r="K64" i="12"/>
  <c r="AE65" i="32"/>
  <c r="K65" i="12"/>
  <c r="AE66" i="32"/>
  <c r="K66" i="12"/>
  <c r="AE67" i="32"/>
  <c r="K67" i="12"/>
  <c r="AE68" i="32"/>
  <c r="K68" i="12"/>
  <c r="AE69" i="32"/>
  <c r="K69" i="12"/>
  <c r="AE70" i="32"/>
  <c r="K70" i="12"/>
  <c r="AE71" i="32"/>
  <c r="K71" i="12"/>
  <c r="AE72" i="32"/>
  <c r="K72" i="12"/>
  <c r="AE73" i="32"/>
  <c r="K73" i="12"/>
  <c r="AE74" i="32"/>
  <c r="K74" i="12"/>
  <c r="AE75" i="32"/>
  <c r="K75" i="12"/>
  <c r="AE76" i="32"/>
  <c r="K76" i="12"/>
  <c r="AE77" i="32"/>
  <c r="K77" i="12"/>
  <c r="AE78" i="32"/>
  <c r="K78" i="12"/>
  <c r="AE79" i="32"/>
  <c r="K79" i="12"/>
  <c r="AE80" i="32"/>
  <c r="K80" i="12"/>
  <c r="AE81" i="32"/>
  <c r="K81" i="12"/>
  <c r="AE82" i="32"/>
  <c r="K82" i="12"/>
  <c r="AE83" i="32"/>
  <c r="K83" i="12"/>
  <c r="AE84" i="32"/>
  <c r="K84" i="12"/>
  <c r="AE85" i="32"/>
  <c r="K85" i="12"/>
  <c r="AE86" i="32"/>
  <c r="K86" i="12"/>
  <c r="AE87" i="32"/>
  <c r="K87" i="12"/>
  <c r="AE88" i="32"/>
  <c r="K88" i="12"/>
  <c r="AE89" i="32"/>
  <c r="K89" i="12"/>
  <c r="AE90" i="32"/>
  <c r="K90" i="12"/>
  <c r="AE91" i="32"/>
  <c r="K91" i="12"/>
  <c r="AE92" i="32"/>
  <c r="K92" i="12"/>
  <c r="AE93" i="32"/>
  <c r="K93" i="12"/>
  <c r="AE94" i="32"/>
  <c r="K94" i="12"/>
  <c r="AE95" i="32"/>
  <c r="K95" i="12"/>
  <c r="AE96" i="32"/>
  <c r="K96" i="12"/>
  <c r="AE97" i="32"/>
  <c r="K97" i="12"/>
  <c r="AE98" i="32"/>
  <c r="K98" i="12"/>
  <c r="AE99" i="32"/>
  <c r="K99" i="12"/>
  <c r="AE100" i="32"/>
  <c r="K100" i="12"/>
  <c r="AE101" i="32"/>
  <c r="K101" i="12"/>
  <c r="AE102" i="32"/>
  <c r="K102" i="12"/>
  <c r="AE103" i="32"/>
  <c r="K103" i="12"/>
  <c r="AE104" i="32"/>
  <c r="K104" i="12"/>
  <c r="AE105" i="32"/>
  <c r="K105" i="12"/>
  <c r="AE106" i="32"/>
  <c r="K106" i="12"/>
  <c r="AE107" i="32"/>
  <c r="K107" i="12"/>
  <c r="AE108" i="32"/>
  <c r="K108" i="12"/>
  <c r="AE109" i="32"/>
  <c r="K109" i="12"/>
  <c r="AE110" i="32"/>
  <c r="K110" i="12"/>
  <c r="AE111" i="32"/>
  <c r="K111" i="12"/>
  <c r="AE112" i="32"/>
  <c r="K112" i="12"/>
  <c r="AE113" i="32"/>
  <c r="K113" i="12"/>
  <c r="AE114" i="32"/>
  <c r="K114" i="12"/>
  <c r="AE115" i="32"/>
  <c r="K115" i="12"/>
  <c r="AE116" i="32"/>
  <c r="K116" i="12"/>
  <c r="AE117" i="32"/>
  <c r="K117" i="12"/>
  <c r="AE118" i="32"/>
  <c r="K118" i="12"/>
  <c r="AE119" i="32"/>
  <c r="K119" i="12"/>
  <c r="AE120" i="32"/>
  <c r="K120" i="12"/>
  <c r="AE121" i="32"/>
  <c r="K121" i="12"/>
  <c r="AE122" i="32"/>
  <c r="K122" i="12"/>
  <c r="AE123" i="32"/>
  <c r="K123" i="12"/>
  <c r="AE124" i="32"/>
  <c r="K124" i="12"/>
  <c r="AE125" i="32"/>
  <c r="K125" i="12"/>
  <c r="AE126" i="32"/>
  <c r="K126" i="12"/>
  <c r="AE127" i="32"/>
  <c r="K127" i="12"/>
  <c r="AE128" i="32"/>
  <c r="K128" i="12"/>
  <c r="AE129" i="32"/>
  <c r="K129" i="12"/>
  <c r="AE130" i="32"/>
  <c r="K130" i="12"/>
  <c r="AE131" i="32"/>
  <c r="K131" i="12"/>
  <c r="AE132" i="32"/>
  <c r="K132" i="12"/>
  <c r="AE133" i="32"/>
  <c r="K133" i="12"/>
  <c r="AE134" i="32"/>
  <c r="K134" i="12"/>
  <c r="AE135" i="32"/>
  <c r="K135" i="12"/>
  <c r="AE136" i="32"/>
  <c r="K136" i="12"/>
  <c r="AE137" i="32"/>
  <c r="K137" i="12"/>
  <c r="AE138" i="32"/>
  <c r="K138" i="12"/>
  <c r="AE139" i="32"/>
  <c r="K139" i="12"/>
  <c r="AE140" i="32"/>
  <c r="K140" i="12"/>
  <c r="AE141" i="32"/>
  <c r="K141" i="12"/>
  <c r="AE142" i="32"/>
  <c r="K142" i="12"/>
  <c r="AE143" i="32"/>
  <c r="K143" i="12"/>
  <c r="AE144" i="32"/>
  <c r="K144" i="12"/>
  <c r="AE145" i="32"/>
  <c r="K145" i="12"/>
  <c r="AE146" i="32"/>
  <c r="K146" i="12"/>
  <c r="AE147" i="32"/>
  <c r="K147" i="12"/>
  <c r="AE148" i="32"/>
  <c r="K148" i="12"/>
  <c r="AE149" i="32"/>
  <c r="K149" i="12"/>
  <c r="AE150" i="32"/>
  <c r="K150" i="12"/>
  <c r="AE151" i="32"/>
  <c r="K151" i="12"/>
  <c r="AE152" i="32"/>
  <c r="K152" i="12"/>
  <c r="AE153" i="32"/>
  <c r="K153" i="12"/>
  <c r="AE154" i="32"/>
  <c r="K154" i="12"/>
  <c r="AE155" i="32"/>
  <c r="K155" i="12"/>
  <c r="AE156" i="32"/>
  <c r="K156" i="12"/>
  <c r="AE157" i="32"/>
  <c r="K157" i="12"/>
  <c r="AE158" i="32"/>
  <c r="K158" i="12"/>
  <c r="AE159" i="32"/>
  <c r="K159" i="12"/>
  <c r="AE160" i="32"/>
  <c r="K160" i="12"/>
  <c r="AE161" i="32"/>
  <c r="K161" i="12"/>
  <c r="AE162" i="32"/>
  <c r="K162" i="12"/>
  <c r="AE163" i="32"/>
  <c r="K163" i="12"/>
  <c r="AE164" i="32"/>
  <c r="K164" i="12"/>
  <c r="AE165" i="32"/>
  <c r="K165" i="12"/>
  <c r="AE166" i="32"/>
  <c r="K166" i="12"/>
  <c r="AE167" i="32"/>
  <c r="K167" i="12"/>
  <c r="AE168" i="32"/>
  <c r="K168" i="12"/>
  <c r="AE169" i="32"/>
  <c r="K169" i="12"/>
  <c r="AE170" i="32"/>
  <c r="K170" i="12"/>
  <c r="AE171" i="32"/>
  <c r="K171" i="12"/>
  <c r="AE172" i="32"/>
  <c r="K172" i="12"/>
  <c r="AE173" i="32"/>
  <c r="K173" i="12"/>
  <c r="AE174" i="32"/>
  <c r="K174" i="12"/>
  <c r="AE175" i="32"/>
  <c r="K175" i="12"/>
  <c r="AE176" i="32"/>
  <c r="K176" i="12"/>
  <c r="AE177" i="32"/>
  <c r="K177" i="12"/>
  <c r="AE178" i="32"/>
  <c r="K178" i="12"/>
  <c r="AE179" i="32"/>
  <c r="K179" i="12"/>
  <c r="AE180" i="32"/>
  <c r="K180" i="12"/>
  <c r="AE181" i="32"/>
  <c r="K181" i="12"/>
  <c r="AE182" i="32"/>
  <c r="K182" i="12"/>
  <c r="AE183" i="32"/>
  <c r="K183" i="12"/>
  <c r="AE184" i="32"/>
  <c r="K184" i="12"/>
  <c r="AE185" i="32"/>
  <c r="K185" i="12"/>
  <c r="AE186" i="32"/>
  <c r="K186" i="12"/>
  <c r="AE187" i="32"/>
  <c r="K187" i="12"/>
  <c r="AE188" i="32"/>
  <c r="K188" i="12"/>
  <c r="AE189" i="32"/>
  <c r="K189" i="12"/>
  <c r="AE190" i="32"/>
  <c r="K190" i="12"/>
  <c r="AE191" i="32"/>
  <c r="K191" i="12"/>
  <c r="AE192" i="32"/>
  <c r="K192" i="12"/>
  <c r="AE193" i="32"/>
  <c r="K193" i="12"/>
  <c r="AE194" i="32"/>
  <c r="K194" i="12"/>
  <c r="AE195" i="32"/>
  <c r="K195" i="12"/>
  <c r="AE196" i="32"/>
  <c r="K196" i="12"/>
  <c r="AE197" i="32"/>
  <c r="K197" i="12"/>
  <c r="AE198" i="32"/>
  <c r="K198" i="12"/>
  <c r="AE199" i="32"/>
  <c r="K199" i="12"/>
  <c r="AE200" i="32"/>
  <c r="K200" i="12"/>
  <c r="AE201" i="32"/>
  <c r="K201" i="12"/>
  <c r="AE202" i="32"/>
  <c r="K202" i="12"/>
  <c r="AE203" i="32"/>
  <c r="K203" i="12"/>
  <c r="AE204" i="32"/>
  <c r="K204" i="12"/>
  <c r="AE205" i="32"/>
  <c r="K205" i="12"/>
  <c r="AE206" i="32"/>
  <c r="K206" i="12"/>
  <c r="AE207" i="32"/>
  <c r="K207" i="12"/>
  <c r="AE208" i="32"/>
  <c r="K208" i="12"/>
  <c r="AE209" i="32"/>
  <c r="K209" i="12"/>
  <c r="AE210" i="32"/>
  <c r="K210" i="12"/>
  <c r="AE211" i="32"/>
  <c r="K211" i="12"/>
  <c r="AE212" i="32"/>
  <c r="K212" i="12"/>
  <c r="AE213" i="32"/>
  <c r="K213" i="12"/>
  <c r="AE214" i="32"/>
  <c r="K214" i="12"/>
  <c r="AE215" i="32"/>
  <c r="K215" i="12"/>
  <c r="AE216" i="32"/>
  <c r="K216" i="12"/>
  <c r="AE217" i="32"/>
  <c r="K217" i="12"/>
  <c r="AE218" i="32"/>
  <c r="K218" i="12"/>
  <c r="AE219" i="32"/>
  <c r="K219" i="12"/>
  <c r="AE220" i="32"/>
  <c r="K220" i="12"/>
  <c r="AE221" i="32"/>
  <c r="K221" i="12"/>
  <c r="AE222" i="32"/>
  <c r="K222" i="12"/>
  <c r="AE223" i="32"/>
  <c r="O3" i="12"/>
  <c r="AE224" i="32"/>
  <c r="O4" i="12"/>
  <c r="AE225" i="32"/>
  <c r="O5" i="12"/>
  <c r="AE226" i="32"/>
  <c r="O6" i="12"/>
  <c r="AE227" i="32"/>
  <c r="O7" i="12"/>
  <c r="AE228" i="32"/>
  <c r="O8" i="12"/>
  <c r="AE229" i="32"/>
  <c r="O9" i="12"/>
  <c r="AE230" i="32"/>
  <c r="O10" i="12"/>
  <c r="AE231" i="32"/>
  <c r="O11" i="12"/>
  <c r="AE232" i="32"/>
  <c r="O12" i="12"/>
  <c r="AE233" i="32"/>
  <c r="O13" i="12"/>
  <c r="AE234" i="32"/>
  <c r="AE235" i="32"/>
  <c r="O15" i="12"/>
  <c r="AE236" i="32"/>
  <c r="O16" i="12"/>
  <c r="AE237" i="32"/>
  <c r="O17" i="12"/>
  <c r="AE238" i="32"/>
  <c r="O18" i="12"/>
  <c r="AE239" i="32"/>
  <c r="O19" i="12"/>
  <c r="AE240" i="32"/>
  <c r="O20" i="12"/>
  <c r="AE241" i="32"/>
  <c r="O21" i="12"/>
  <c r="AE242" i="32"/>
  <c r="O22" i="12"/>
  <c r="AE243" i="32"/>
  <c r="O23" i="12"/>
  <c r="AE244" i="32"/>
  <c r="O24" i="12"/>
  <c r="AE245" i="32"/>
  <c r="O25" i="12"/>
  <c r="AE246" i="32"/>
  <c r="O26" i="12"/>
  <c r="AE247" i="32"/>
  <c r="O27" i="12"/>
  <c r="AE248" i="32"/>
  <c r="O28" i="12"/>
  <c r="AE249" i="32"/>
  <c r="O29" i="12"/>
  <c r="AE250" i="32"/>
  <c r="O30" i="12"/>
  <c r="AE251" i="32"/>
  <c r="O31" i="12"/>
  <c r="AE252" i="32"/>
  <c r="O32" i="12"/>
  <c r="AE253" i="32"/>
  <c r="O33" i="12"/>
  <c r="AE254" i="32"/>
  <c r="O34" i="12"/>
  <c r="AE255" i="32"/>
  <c r="O35" i="12"/>
  <c r="AE256" i="32"/>
  <c r="O36" i="12"/>
  <c r="AE257" i="32"/>
  <c r="O37" i="12"/>
  <c r="AE258" i="32"/>
  <c r="O38" i="12"/>
  <c r="AE259" i="32"/>
  <c r="O39" i="12"/>
  <c r="AE260" i="32"/>
  <c r="O40" i="12"/>
  <c r="AE261" i="32"/>
  <c r="O41" i="12"/>
  <c r="AE262" i="32"/>
  <c r="O42" i="12"/>
  <c r="AE263" i="32"/>
  <c r="O43" i="12"/>
  <c r="AE264" i="32"/>
  <c r="O44" i="12"/>
  <c r="AE265" i="32"/>
  <c r="O45" i="12"/>
  <c r="AE266" i="32"/>
  <c r="O46" i="12"/>
  <c r="AE267" i="32"/>
  <c r="O47" i="12"/>
  <c r="AE268" i="32"/>
  <c r="O48" i="12"/>
  <c r="AE269" i="32"/>
  <c r="O49" i="12"/>
  <c r="AE270" i="32"/>
  <c r="O50" i="12"/>
  <c r="AE271" i="32"/>
  <c r="O51" i="12"/>
  <c r="AE272" i="32"/>
  <c r="O52" i="12"/>
  <c r="AE273" i="32"/>
  <c r="O53" i="12"/>
  <c r="AE274" i="32"/>
  <c r="O54" i="12"/>
  <c r="AE275" i="32"/>
  <c r="O55" i="12"/>
  <c r="AE276" i="32"/>
  <c r="O56" i="12"/>
  <c r="AE277" i="32"/>
  <c r="O57" i="12"/>
  <c r="AE278" i="32"/>
  <c r="O58" i="12"/>
  <c r="AE279" i="32"/>
  <c r="O59" i="12"/>
  <c r="AE280" i="32"/>
  <c r="O60" i="12"/>
  <c r="AE281" i="32"/>
  <c r="O61" i="12"/>
  <c r="AE282" i="32"/>
  <c r="O62" i="12"/>
  <c r="AE283" i="32"/>
  <c r="O63" i="12"/>
  <c r="AE284" i="32"/>
  <c r="O64" i="12"/>
  <c r="AE285" i="32"/>
  <c r="O65" i="12"/>
  <c r="AE286" i="32"/>
  <c r="O66" i="12"/>
  <c r="AE287" i="32"/>
  <c r="O67" i="12"/>
  <c r="AE288" i="32"/>
  <c r="O68" i="12"/>
  <c r="AE289" i="32"/>
  <c r="O69" i="12"/>
  <c r="AE290" i="32"/>
  <c r="O70" i="12"/>
  <c r="AE291" i="32"/>
  <c r="O71" i="12"/>
  <c r="AE292" i="32"/>
  <c r="O72" i="12"/>
  <c r="AE293" i="32"/>
  <c r="O73" i="12"/>
  <c r="AE294" i="32"/>
  <c r="O74" i="12"/>
  <c r="AE295" i="32"/>
  <c r="O75" i="12"/>
  <c r="AE296" i="32"/>
  <c r="O76" i="12"/>
  <c r="AE297" i="32"/>
  <c r="O77" i="12"/>
  <c r="AE298" i="32"/>
  <c r="O78" i="12"/>
  <c r="AE299" i="32"/>
  <c r="O79" i="12"/>
  <c r="AE300" i="32"/>
  <c r="O80" i="12"/>
  <c r="AE301" i="32"/>
  <c r="O81" i="12"/>
  <c r="AE302" i="32"/>
  <c r="O82" i="12"/>
  <c r="AE303" i="32"/>
  <c r="O83" i="12"/>
  <c r="AE304" i="32"/>
  <c r="O84" i="12"/>
  <c r="AE305" i="32"/>
  <c r="O85" i="12"/>
  <c r="AE306" i="32"/>
  <c r="O86" i="12"/>
  <c r="AE307" i="32"/>
  <c r="O87" i="12"/>
  <c r="AE308" i="32"/>
  <c r="O88" i="12"/>
  <c r="AE309" i="32"/>
  <c r="O89" i="12"/>
  <c r="AE310" i="32"/>
  <c r="O90" i="12"/>
  <c r="AE311" i="32"/>
  <c r="O91" i="12"/>
  <c r="AE312" i="32"/>
  <c r="O92" i="12"/>
  <c r="AE313" i="32"/>
  <c r="O93" i="12"/>
  <c r="AE314" i="32"/>
  <c r="O94" i="12"/>
  <c r="AE315" i="32"/>
  <c r="O95" i="12"/>
  <c r="AE316" i="32"/>
  <c r="O96" i="12"/>
  <c r="AE317" i="32"/>
  <c r="O97" i="12"/>
  <c r="AE318" i="32"/>
  <c r="O98" i="12"/>
  <c r="AE319" i="32"/>
  <c r="O99" i="12"/>
  <c r="AE320" i="32"/>
  <c r="O100" i="12"/>
  <c r="AE321" i="32"/>
  <c r="O101" i="12"/>
  <c r="AE322" i="32"/>
  <c r="O102" i="12"/>
  <c r="AE323" i="32"/>
  <c r="O103" i="12"/>
  <c r="AE324" i="32"/>
  <c r="O104" i="12"/>
  <c r="AE325" i="32"/>
  <c r="O105" i="12"/>
  <c r="AE326" i="32"/>
  <c r="O106" i="12"/>
  <c r="AE327" i="32"/>
  <c r="O107" i="12"/>
  <c r="AE328" i="32"/>
  <c r="O108" i="12"/>
  <c r="AE329" i="32"/>
  <c r="O109" i="12"/>
  <c r="AE330" i="32"/>
  <c r="O110" i="12"/>
  <c r="AE331" i="32"/>
  <c r="O111" i="12"/>
  <c r="AE332" i="32"/>
  <c r="O112" i="12"/>
  <c r="AE333" i="32"/>
  <c r="O113" i="12"/>
  <c r="AE334" i="32"/>
  <c r="O114" i="12"/>
  <c r="AE335" i="32"/>
  <c r="O115" i="12"/>
  <c r="AE336" i="32"/>
  <c r="O116" i="12"/>
  <c r="AE337" i="32"/>
  <c r="O117" i="12"/>
  <c r="AE338" i="32"/>
  <c r="O118" i="12"/>
  <c r="AE339" i="32"/>
  <c r="O119" i="12"/>
  <c r="AE340" i="32"/>
  <c r="O120" i="12"/>
  <c r="AE341" i="32"/>
  <c r="O121" i="12"/>
  <c r="AE342" i="32"/>
  <c r="O122" i="12"/>
  <c r="AE343" i="32"/>
  <c r="O123" i="12"/>
  <c r="AE344" i="32"/>
  <c r="O124" i="12"/>
  <c r="AE345" i="32"/>
  <c r="O125" i="12"/>
  <c r="AE346" i="32"/>
  <c r="O126" i="12"/>
  <c r="AE347" i="32"/>
  <c r="O127" i="12"/>
  <c r="AE348" i="32"/>
  <c r="O128" i="12"/>
  <c r="AE349" i="32"/>
  <c r="O129" i="12"/>
  <c r="AE350" i="32"/>
  <c r="O130" i="12"/>
  <c r="AE351" i="32"/>
  <c r="O131" i="12"/>
  <c r="AE352" i="32"/>
  <c r="O132" i="12"/>
  <c r="AE353" i="32"/>
  <c r="O133" i="12"/>
  <c r="AE354" i="32"/>
  <c r="O134" i="12"/>
  <c r="AE355" i="32"/>
  <c r="O135" i="12"/>
  <c r="AE356" i="32"/>
  <c r="O136" i="12"/>
  <c r="AE357" i="32"/>
  <c r="O137" i="12"/>
  <c r="AE358" i="32"/>
  <c r="O138" i="12"/>
  <c r="AE359" i="32"/>
  <c r="O139" i="12"/>
  <c r="AE360" i="32"/>
  <c r="O140" i="12"/>
  <c r="AE361" i="32"/>
  <c r="O141" i="12"/>
  <c r="AE362" i="32"/>
  <c r="O142" i="12"/>
  <c r="AE363" i="32"/>
  <c r="O143" i="12"/>
  <c r="AE364" i="32"/>
  <c r="O144" i="12"/>
  <c r="AE365" i="32"/>
  <c r="O145" i="12"/>
  <c r="AE366" i="32"/>
  <c r="O146" i="12"/>
  <c r="AE367" i="32"/>
  <c r="O147" i="12"/>
  <c r="AE368" i="32"/>
  <c r="O148" i="12"/>
  <c r="AE369" i="32"/>
  <c r="O149" i="12"/>
  <c r="AE370" i="32"/>
  <c r="O150" i="12"/>
  <c r="AE371" i="32"/>
  <c r="O151" i="12"/>
  <c r="AE372" i="32"/>
  <c r="O152" i="12"/>
  <c r="AE373" i="32"/>
  <c r="O153" i="12"/>
  <c r="AE374" i="32"/>
  <c r="O154" i="12"/>
  <c r="AE375" i="32"/>
  <c r="O155" i="12"/>
  <c r="AE376" i="32"/>
  <c r="O156" i="12"/>
  <c r="AE377" i="32"/>
  <c r="O157" i="12"/>
  <c r="AE378" i="32"/>
  <c r="O158" i="12"/>
  <c r="AE379" i="32"/>
  <c r="O159" i="12"/>
  <c r="AE380" i="32"/>
  <c r="O160" i="12"/>
  <c r="AE381" i="32"/>
  <c r="O161" i="12"/>
  <c r="AE382" i="32"/>
  <c r="O162" i="12"/>
  <c r="AE383" i="32"/>
  <c r="O163" i="12"/>
  <c r="AE384" i="32"/>
  <c r="O164" i="12"/>
  <c r="AE385" i="32"/>
  <c r="O165" i="12"/>
  <c r="AE386" i="32"/>
  <c r="O166" i="12"/>
  <c r="AE387" i="32"/>
  <c r="O167" i="12"/>
  <c r="AE388" i="32"/>
  <c r="O168" i="12"/>
  <c r="AE389" i="32"/>
  <c r="O169" i="12"/>
  <c r="AE390" i="32"/>
  <c r="O170" i="12"/>
  <c r="AE391" i="32"/>
  <c r="O171" i="12"/>
  <c r="AE392" i="32"/>
  <c r="O172" i="12"/>
  <c r="AE393" i="32"/>
  <c r="O173" i="12"/>
  <c r="AE394" i="32"/>
  <c r="O174" i="12"/>
  <c r="AE395" i="32"/>
  <c r="O175" i="12"/>
  <c r="AE396" i="32"/>
  <c r="O176" i="12"/>
  <c r="AE397" i="32"/>
  <c r="O177" i="12"/>
  <c r="AE398" i="32"/>
  <c r="O178" i="12"/>
  <c r="AE399" i="32"/>
  <c r="O179" i="12"/>
  <c r="AE400" i="32"/>
  <c r="O180" i="12"/>
  <c r="AE401" i="32"/>
  <c r="O181" i="12"/>
  <c r="AE402" i="32"/>
  <c r="O182" i="12"/>
  <c r="AE403" i="32"/>
  <c r="O183" i="12"/>
  <c r="AE404" i="32"/>
  <c r="O184" i="12"/>
  <c r="AE405" i="32"/>
  <c r="O185" i="12"/>
  <c r="AE406" i="32"/>
  <c r="O186" i="12"/>
  <c r="AE407" i="32"/>
  <c r="O187" i="12"/>
  <c r="AE408" i="32"/>
  <c r="O188" i="12"/>
  <c r="AE409" i="32"/>
  <c r="O189" i="12"/>
  <c r="AE410" i="32"/>
  <c r="O190" i="12"/>
  <c r="AE411" i="32"/>
  <c r="O191" i="12"/>
  <c r="AE412" i="32"/>
  <c r="O192" i="12"/>
  <c r="AE413" i="32"/>
  <c r="O193" i="12"/>
  <c r="AE414" i="32"/>
  <c r="O194" i="12"/>
  <c r="AE415" i="32"/>
  <c r="O195" i="12"/>
  <c r="AE416" i="32"/>
  <c r="O196" i="12"/>
  <c r="AE417" i="32"/>
  <c r="O197" i="12"/>
  <c r="AE418" i="32"/>
  <c r="O198" i="12"/>
  <c r="AE419" i="32"/>
  <c r="O199" i="12"/>
  <c r="AE420" i="32"/>
  <c r="O200" i="12"/>
  <c r="AE421" i="32"/>
  <c r="O201" i="12"/>
  <c r="AE422" i="32"/>
  <c r="O202" i="12"/>
  <c r="AE423" i="32"/>
  <c r="O203" i="12"/>
  <c r="AE424" i="32"/>
  <c r="O204" i="12"/>
  <c r="AE425" i="32"/>
  <c r="O205" i="12"/>
  <c r="AE426" i="32"/>
  <c r="O206" i="12"/>
  <c r="AE427" i="32"/>
  <c r="O207" i="12"/>
  <c r="AE428" i="32"/>
  <c r="O208" i="12"/>
  <c r="AE429" i="32"/>
  <c r="O209" i="12"/>
  <c r="AE430" i="32"/>
  <c r="O210" i="12"/>
  <c r="AE431" i="32"/>
  <c r="O211" i="12"/>
  <c r="AE432" i="32"/>
  <c r="O212" i="12"/>
  <c r="AE433" i="32"/>
  <c r="O213" i="12"/>
  <c r="AE434" i="32"/>
  <c r="O214" i="12"/>
  <c r="AE435" i="32"/>
  <c r="O215" i="12"/>
  <c r="AE436" i="32"/>
  <c r="O216" i="12"/>
  <c r="AE437" i="32"/>
  <c r="O217" i="12"/>
  <c r="AE438" i="32"/>
  <c r="O218" i="12"/>
  <c r="AE439" i="32"/>
  <c r="O219" i="12"/>
  <c r="AE440" i="32"/>
  <c r="O220" i="12"/>
  <c r="AE441" i="32"/>
  <c r="O221" i="12"/>
  <c r="AE442" i="32"/>
  <c r="O222" i="12"/>
  <c r="AE443" i="32"/>
  <c r="M4" i="12"/>
  <c r="AF5" i="32"/>
  <c r="M5" i="12"/>
  <c r="AF6" i="32"/>
  <c r="M6" i="12"/>
  <c r="AF7" i="32"/>
  <c r="M7" i="12"/>
  <c r="AF8" i="32"/>
  <c r="M8" i="12"/>
  <c r="AF9" i="32"/>
  <c r="M9" i="12"/>
  <c r="AF10" i="32"/>
  <c r="M10" i="12"/>
  <c r="AF11" i="32"/>
  <c r="M11" i="12"/>
  <c r="AF12" i="32"/>
  <c r="M12" i="12"/>
  <c r="AF13" i="32"/>
  <c r="M13" i="12"/>
  <c r="AF14" i="32"/>
  <c r="M14" i="12"/>
  <c r="AF15" i="32"/>
  <c r="M15" i="12"/>
  <c r="AF16" i="32"/>
  <c r="M16" i="12"/>
  <c r="AF17" i="32"/>
  <c r="M17" i="12"/>
  <c r="AF18" i="32"/>
  <c r="M18" i="12"/>
  <c r="AF19" i="32"/>
  <c r="M19" i="12"/>
  <c r="AF20" i="32"/>
  <c r="M20" i="12"/>
  <c r="AF21" i="32"/>
  <c r="M21" i="12"/>
  <c r="AF22" i="32"/>
  <c r="M22" i="12"/>
  <c r="AF23" i="32"/>
  <c r="M23" i="12"/>
  <c r="AF24" i="32"/>
  <c r="M24" i="12"/>
  <c r="AF25" i="32"/>
  <c r="M25" i="12"/>
  <c r="AF26" i="32"/>
  <c r="M26" i="12"/>
  <c r="AF27" i="32"/>
  <c r="M28" i="12"/>
  <c r="AF29" i="32"/>
  <c r="M29" i="12"/>
  <c r="AF30" i="32"/>
  <c r="M30" i="12"/>
  <c r="AF31" i="32"/>
  <c r="M31" i="12"/>
  <c r="AF32" i="32"/>
  <c r="M32" i="12"/>
  <c r="AF33" i="32"/>
  <c r="M33" i="12"/>
  <c r="AF34" i="32"/>
  <c r="M34" i="12"/>
  <c r="AF35" i="32"/>
  <c r="M35" i="12"/>
  <c r="AF36" i="32"/>
  <c r="M36" i="12"/>
  <c r="AF37" i="32"/>
  <c r="M37" i="12"/>
  <c r="AF38" i="32"/>
  <c r="M38" i="12"/>
  <c r="AF39" i="32"/>
  <c r="M39" i="12"/>
  <c r="AF40" i="32"/>
  <c r="M40" i="12"/>
  <c r="AF41" i="32"/>
  <c r="M41" i="12"/>
  <c r="AF42" i="32"/>
  <c r="M42" i="12"/>
  <c r="AF43" i="32"/>
  <c r="M43" i="12"/>
  <c r="AF44" i="32"/>
  <c r="M44" i="12"/>
  <c r="AF45" i="32"/>
  <c r="M45" i="12"/>
  <c r="AF46" i="32"/>
  <c r="M46" i="12"/>
  <c r="AF47" i="32"/>
  <c r="M47" i="12"/>
  <c r="AF48" i="32"/>
  <c r="M48" i="12"/>
  <c r="AF49" i="32"/>
  <c r="M49" i="12"/>
  <c r="AF50" i="32"/>
  <c r="M50" i="12"/>
  <c r="AF51" i="32"/>
  <c r="M51" i="12"/>
  <c r="AF52" i="32"/>
  <c r="M52" i="12"/>
  <c r="AF53" i="32"/>
  <c r="M53" i="12"/>
  <c r="AF54" i="32"/>
  <c r="M54" i="12"/>
  <c r="AF55" i="32"/>
  <c r="M55" i="12"/>
  <c r="AF56" i="32"/>
  <c r="M56" i="12"/>
  <c r="AF57" i="32"/>
  <c r="M57" i="12"/>
  <c r="AF58" i="32"/>
  <c r="M58" i="12"/>
  <c r="AF59" i="32"/>
  <c r="M59" i="12"/>
  <c r="AF60" i="32"/>
  <c r="M60" i="12"/>
  <c r="AF61" i="32"/>
  <c r="M61" i="12"/>
  <c r="AF62" i="32"/>
  <c r="M62" i="12"/>
  <c r="AF63" i="32"/>
  <c r="M63" i="12"/>
  <c r="AF64" i="32"/>
  <c r="M64" i="12"/>
  <c r="AF65" i="32"/>
  <c r="M65" i="12"/>
  <c r="AF66" i="32"/>
  <c r="M66" i="12"/>
  <c r="AF67" i="32"/>
  <c r="M67" i="12"/>
  <c r="AF68" i="32"/>
  <c r="M68" i="12"/>
  <c r="AF69" i="32"/>
  <c r="M69" i="12"/>
  <c r="AF70" i="32"/>
  <c r="M70" i="12"/>
  <c r="AF71" i="32"/>
  <c r="M71" i="12"/>
  <c r="AF72" i="32"/>
  <c r="M72" i="12"/>
  <c r="AF73" i="32"/>
  <c r="M73" i="12"/>
  <c r="AF74" i="32"/>
  <c r="M74" i="12"/>
  <c r="AF75" i="32"/>
  <c r="M75" i="12"/>
  <c r="AF76" i="32"/>
  <c r="M76" i="12"/>
  <c r="AF77" i="32"/>
  <c r="M77" i="12"/>
  <c r="AF78" i="32"/>
  <c r="M78" i="12"/>
  <c r="AF79" i="32"/>
  <c r="M79" i="12"/>
  <c r="AF80" i="32"/>
  <c r="M80" i="12"/>
  <c r="AF81" i="32"/>
  <c r="M81" i="12"/>
  <c r="AF82" i="32"/>
  <c r="M82" i="12"/>
  <c r="AF83" i="32"/>
  <c r="M83" i="12"/>
  <c r="AF84" i="32"/>
  <c r="M84" i="12"/>
  <c r="AF85" i="32"/>
  <c r="M85" i="12"/>
  <c r="AF86" i="32"/>
  <c r="M86" i="12"/>
  <c r="AF87" i="32"/>
  <c r="M87" i="12"/>
  <c r="AF88" i="32"/>
  <c r="M88" i="12"/>
  <c r="AF89" i="32"/>
  <c r="M89" i="12"/>
  <c r="AF90" i="32"/>
  <c r="M90" i="12"/>
  <c r="AF91" i="32"/>
  <c r="M91" i="12"/>
  <c r="AF92" i="32"/>
  <c r="M92" i="12"/>
  <c r="AF93" i="32"/>
  <c r="M93" i="12"/>
  <c r="AF94" i="32"/>
  <c r="M94" i="12"/>
  <c r="AF95" i="32"/>
  <c r="M95" i="12"/>
  <c r="AF96" i="32"/>
  <c r="M96" i="12"/>
  <c r="AF97" i="32"/>
  <c r="M97" i="12"/>
  <c r="AF98" i="32"/>
  <c r="M98" i="12"/>
  <c r="AF99" i="32"/>
  <c r="M99" i="12"/>
  <c r="AF100" i="32"/>
  <c r="M100" i="12"/>
  <c r="AF101" i="32"/>
  <c r="M101" i="12"/>
  <c r="AF102" i="32"/>
  <c r="M102" i="12"/>
  <c r="AF103" i="32"/>
  <c r="M103" i="12"/>
  <c r="AF104" i="32"/>
  <c r="M104" i="12"/>
  <c r="AF105" i="32"/>
  <c r="M105" i="12"/>
  <c r="AF106" i="32"/>
  <c r="M106" i="12"/>
  <c r="AF107" i="32"/>
  <c r="M107" i="12"/>
  <c r="AF108" i="32"/>
  <c r="M108" i="12"/>
  <c r="AF109" i="32"/>
  <c r="M109" i="12"/>
  <c r="AF110" i="32"/>
  <c r="M110" i="12"/>
  <c r="AF111" i="32"/>
  <c r="M111" i="12"/>
  <c r="AF112" i="32"/>
  <c r="M112" i="12"/>
  <c r="AF113" i="32"/>
  <c r="M113" i="12"/>
  <c r="AF114" i="32"/>
  <c r="M114" i="12"/>
  <c r="AF115" i="32"/>
  <c r="M115" i="12"/>
  <c r="AF116" i="32"/>
  <c r="M116" i="12"/>
  <c r="AF117" i="32"/>
  <c r="M117" i="12"/>
  <c r="AF118" i="32"/>
  <c r="M118" i="12"/>
  <c r="AF119" i="32"/>
  <c r="M119" i="12"/>
  <c r="AF120" i="32"/>
  <c r="M120" i="12"/>
  <c r="AF121" i="32"/>
  <c r="M121" i="12"/>
  <c r="AF122" i="32"/>
  <c r="M122" i="12"/>
  <c r="AF123" i="32"/>
  <c r="M123" i="12"/>
  <c r="AF124" i="32"/>
  <c r="M124" i="12"/>
  <c r="AF125" i="32"/>
  <c r="M125" i="12"/>
  <c r="AF126" i="32"/>
  <c r="M126" i="12"/>
  <c r="AF127" i="32"/>
  <c r="M127" i="12"/>
  <c r="AF128" i="32"/>
  <c r="M128" i="12"/>
  <c r="AF129" i="32"/>
  <c r="M129" i="12"/>
  <c r="AF130" i="32"/>
  <c r="M130" i="12"/>
  <c r="AF131" i="32"/>
  <c r="M131" i="12"/>
  <c r="AF132" i="32"/>
  <c r="M132" i="12"/>
  <c r="AF133" i="32"/>
  <c r="M133" i="12"/>
  <c r="AF134" i="32"/>
  <c r="M134" i="12"/>
  <c r="AF135" i="32"/>
  <c r="M135" i="12"/>
  <c r="AF136" i="32"/>
  <c r="M136" i="12"/>
  <c r="AF137" i="32"/>
  <c r="M137" i="12"/>
  <c r="AF138" i="32"/>
  <c r="M138" i="12"/>
  <c r="AF139" i="32"/>
  <c r="M139" i="12"/>
  <c r="AF140" i="32"/>
  <c r="M140" i="12"/>
  <c r="AF141" i="32"/>
  <c r="M141" i="12"/>
  <c r="AF142" i="32"/>
  <c r="M142" i="12"/>
  <c r="AF143" i="32"/>
  <c r="M143" i="12"/>
  <c r="AF144" i="32"/>
  <c r="M144" i="12"/>
  <c r="AF145" i="32"/>
  <c r="M145" i="12"/>
  <c r="AF146" i="32"/>
  <c r="M146" i="12"/>
  <c r="AF147" i="32"/>
  <c r="M147" i="12"/>
  <c r="AF148" i="32"/>
  <c r="M148" i="12"/>
  <c r="AF149" i="32"/>
  <c r="M149" i="12"/>
  <c r="AF150" i="32"/>
  <c r="M150" i="12"/>
  <c r="AF151" i="32"/>
  <c r="M151" i="12"/>
  <c r="AF152" i="32"/>
  <c r="M152" i="12"/>
  <c r="AF153" i="32"/>
  <c r="M153" i="12"/>
  <c r="AF154" i="32"/>
  <c r="M154" i="12"/>
  <c r="AF155" i="32"/>
  <c r="M155" i="12"/>
  <c r="AF156" i="32"/>
  <c r="M156" i="12"/>
  <c r="AF157" i="32"/>
  <c r="M157" i="12"/>
  <c r="AF158" i="32"/>
  <c r="M158" i="12"/>
  <c r="AF159" i="32"/>
  <c r="M159" i="12"/>
  <c r="AF160" i="32"/>
  <c r="M160" i="12"/>
  <c r="AF161" i="32"/>
  <c r="M161" i="12"/>
  <c r="AF162" i="32"/>
  <c r="M162" i="12"/>
  <c r="AF163" i="32"/>
  <c r="M163" i="12"/>
  <c r="AF164" i="32"/>
  <c r="M164" i="12"/>
  <c r="AF165" i="32"/>
  <c r="M165" i="12"/>
  <c r="AF166" i="32"/>
  <c r="M166" i="12"/>
  <c r="AF167" i="32"/>
  <c r="M167" i="12"/>
  <c r="AF168" i="32"/>
  <c r="M168" i="12"/>
  <c r="AF169" i="32"/>
  <c r="M169" i="12"/>
  <c r="AF170" i="32"/>
  <c r="M170" i="12"/>
  <c r="AF171" i="32"/>
  <c r="M171" i="12"/>
  <c r="AF172" i="32"/>
  <c r="M172" i="12"/>
  <c r="AF173" i="32"/>
  <c r="M173" i="12"/>
  <c r="AF174" i="32"/>
  <c r="M174" i="12"/>
  <c r="AF175" i="32"/>
  <c r="M175" i="12"/>
  <c r="AF176" i="32"/>
  <c r="M176" i="12"/>
  <c r="AF177" i="32"/>
  <c r="M177" i="12"/>
  <c r="AF178" i="32"/>
  <c r="M178" i="12"/>
  <c r="AF179" i="32"/>
  <c r="M179" i="12"/>
  <c r="AF180" i="32"/>
  <c r="M180" i="12"/>
  <c r="AF181" i="32"/>
  <c r="M181" i="12"/>
  <c r="AF182" i="32"/>
  <c r="M182" i="12"/>
  <c r="AF183" i="32"/>
  <c r="M183" i="12"/>
  <c r="AF184" i="32"/>
  <c r="M184" i="12"/>
  <c r="AF185" i="32"/>
  <c r="M185" i="12"/>
  <c r="AF186" i="32"/>
  <c r="M186" i="12"/>
  <c r="AF187" i="32"/>
  <c r="M187" i="12"/>
  <c r="AF188" i="32"/>
  <c r="M188" i="12"/>
  <c r="AF189" i="32"/>
  <c r="M189" i="12"/>
  <c r="AF190" i="32"/>
  <c r="M190" i="12"/>
  <c r="AF191" i="32"/>
  <c r="M191" i="12"/>
  <c r="AF192" i="32"/>
  <c r="M192" i="12"/>
  <c r="AF193" i="32"/>
  <c r="M193" i="12"/>
  <c r="AF194" i="32"/>
  <c r="M194" i="12"/>
  <c r="AF195" i="32"/>
  <c r="M195" i="12"/>
  <c r="AF196" i="32"/>
  <c r="M196" i="12"/>
  <c r="AF197" i="32"/>
  <c r="M197" i="12"/>
  <c r="AF198" i="32"/>
  <c r="M198" i="12"/>
  <c r="AF199" i="32"/>
  <c r="M199" i="12"/>
  <c r="AF200" i="32"/>
  <c r="M200" i="12"/>
  <c r="AF201" i="32"/>
  <c r="M201" i="12"/>
  <c r="AF202" i="32"/>
  <c r="M202" i="12"/>
  <c r="AF203" i="32"/>
  <c r="M203" i="12"/>
  <c r="AF204" i="32"/>
  <c r="M204" i="12"/>
  <c r="AF205" i="32"/>
  <c r="M205" i="12"/>
  <c r="AF206" i="32"/>
  <c r="M206" i="12"/>
  <c r="AF207" i="32"/>
  <c r="M207" i="12"/>
  <c r="AF208" i="32"/>
  <c r="M208" i="12"/>
  <c r="AF209" i="32"/>
  <c r="M209" i="12"/>
  <c r="AF210" i="32"/>
  <c r="M210" i="12"/>
  <c r="AF211" i="32"/>
  <c r="M211" i="12"/>
  <c r="AF212" i="32"/>
  <c r="M212" i="12"/>
  <c r="AF213" i="32"/>
  <c r="M213" i="12"/>
  <c r="AF214" i="32"/>
  <c r="M214" i="12"/>
  <c r="AF215" i="32"/>
  <c r="M215" i="12"/>
  <c r="AF216" i="32"/>
  <c r="M216" i="12"/>
  <c r="AF217" i="32"/>
  <c r="M217" i="12"/>
  <c r="AF218" i="32"/>
  <c r="M218" i="12"/>
  <c r="AF219" i="32"/>
  <c r="M219" i="12"/>
  <c r="AF220" i="32"/>
  <c r="M220" i="12"/>
  <c r="AF221" i="32"/>
  <c r="M221" i="12"/>
  <c r="AF222" i="32"/>
  <c r="M222" i="12"/>
  <c r="AF223" i="32"/>
  <c r="Q3" i="12"/>
  <c r="AF224" i="32"/>
  <c r="Q4" i="12"/>
  <c r="AF225" i="32"/>
  <c r="Q5" i="12"/>
  <c r="AF226" i="32"/>
  <c r="Q6" i="12"/>
  <c r="AF227" i="32"/>
  <c r="Q7" i="12"/>
  <c r="AF228" i="32"/>
  <c r="Q8" i="12"/>
  <c r="AF229" i="32"/>
  <c r="Q9" i="12"/>
  <c r="AF230" i="32"/>
  <c r="Q10" i="12"/>
  <c r="AF231" i="32"/>
  <c r="Q11" i="12"/>
  <c r="AF232" i="32"/>
  <c r="Q12" i="12"/>
  <c r="AF233" i="32"/>
  <c r="Q13" i="12"/>
  <c r="AF234" i="32"/>
  <c r="Q14" i="12"/>
  <c r="AF235" i="32"/>
  <c r="Q15" i="12"/>
  <c r="AF236" i="32"/>
  <c r="Q16" i="12"/>
  <c r="AF237" i="32"/>
  <c r="Q17" i="12"/>
  <c r="AF238" i="32"/>
  <c r="Q18" i="12"/>
  <c r="AF239" i="32"/>
  <c r="Q19" i="12"/>
  <c r="AF240" i="32"/>
  <c r="Q20" i="12"/>
  <c r="AF241" i="32"/>
  <c r="Q21" i="12"/>
  <c r="AF242" i="32"/>
  <c r="Q22" i="12"/>
  <c r="AF243" i="32"/>
  <c r="Q23" i="12"/>
  <c r="AF244" i="32"/>
  <c r="Q24" i="12"/>
  <c r="AF245" i="32"/>
  <c r="Q25" i="12"/>
  <c r="AF246" i="32"/>
  <c r="Q26" i="12"/>
  <c r="AF247" i="32"/>
  <c r="Q27" i="12"/>
  <c r="AF248" i="32"/>
  <c r="Q28" i="12"/>
  <c r="AF249" i="32"/>
  <c r="Q29" i="12"/>
  <c r="AF250" i="32"/>
  <c r="Q30" i="12"/>
  <c r="AF251" i="32"/>
  <c r="Q31" i="12"/>
  <c r="AF252" i="32"/>
  <c r="Q32" i="12"/>
  <c r="AF253" i="32"/>
  <c r="Q33" i="12"/>
  <c r="AF254" i="32"/>
  <c r="Q34" i="12"/>
  <c r="AF255" i="32"/>
  <c r="Q35" i="12"/>
  <c r="AF256" i="32"/>
  <c r="Q36" i="12"/>
  <c r="AF257" i="32"/>
  <c r="Q37" i="12"/>
  <c r="AF258" i="32"/>
  <c r="Q38" i="12"/>
  <c r="AF259" i="32"/>
  <c r="Q39" i="12"/>
  <c r="AF260" i="32"/>
  <c r="Q40" i="12"/>
  <c r="AF261" i="32"/>
  <c r="Q41" i="12"/>
  <c r="AF262" i="32"/>
  <c r="Q42" i="12"/>
  <c r="AF263" i="32"/>
  <c r="Q43" i="12"/>
  <c r="AF264" i="32"/>
  <c r="Q44" i="12"/>
  <c r="AF265" i="32"/>
  <c r="Q45" i="12"/>
  <c r="AF266" i="32"/>
  <c r="Q46" i="12"/>
  <c r="AF267" i="32"/>
  <c r="Q47" i="12"/>
  <c r="AF268" i="32"/>
  <c r="Q48" i="12"/>
  <c r="AF269" i="32"/>
  <c r="Q49" i="12"/>
  <c r="AF270" i="32"/>
  <c r="Q50" i="12"/>
  <c r="AF271" i="32"/>
  <c r="Q51" i="12"/>
  <c r="AF272" i="32"/>
  <c r="Q52" i="12"/>
  <c r="AF273" i="32"/>
  <c r="Q53" i="12"/>
  <c r="AF274" i="32"/>
  <c r="Q54" i="12"/>
  <c r="AF275" i="32"/>
  <c r="Q55" i="12"/>
  <c r="AF276" i="32"/>
  <c r="Q56" i="12"/>
  <c r="AF277" i="32"/>
  <c r="AF278" i="32"/>
  <c r="Q58" i="12"/>
  <c r="AF279" i="32"/>
  <c r="Q59" i="12"/>
  <c r="AF280" i="32"/>
  <c r="Q60" i="12"/>
  <c r="AF281" i="32"/>
  <c r="Q61" i="12"/>
  <c r="AF282" i="32"/>
  <c r="Q62" i="12"/>
  <c r="AF283" i="32"/>
  <c r="Q63" i="12"/>
  <c r="AF284" i="32"/>
  <c r="Q64" i="12"/>
  <c r="AF285" i="32"/>
  <c r="Q65" i="12"/>
  <c r="AF286" i="32"/>
  <c r="Q66" i="12"/>
  <c r="AF287" i="32"/>
  <c r="Q67" i="12"/>
  <c r="AF288" i="32"/>
  <c r="Q68" i="12"/>
  <c r="AF289" i="32"/>
  <c r="Q69" i="12"/>
  <c r="AF290" i="32"/>
  <c r="Q70" i="12"/>
  <c r="AF291" i="32"/>
  <c r="Q71" i="12"/>
  <c r="AF292" i="32"/>
  <c r="Q72" i="12"/>
  <c r="AF293" i="32"/>
  <c r="Q73" i="12"/>
  <c r="AF294" i="32"/>
  <c r="Q74" i="12"/>
  <c r="AF295" i="32"/>
  <c r="Q75" i="12"/>
  <c r="AF296" i="32"/>
  <c r="Q76" i="12"/>
  <c r="AF297" i="32"/>
  <c r="Q77" i="12"/>
  <c r="AF298" i="32"/>
  <c r="Q78" i="12"/>
  <c r="AF299" i="32"/>
  <c r="Q79" i="12"/>
  <c r="AF300" i="32"/>
  <c r="Q80" i="12"/>
  <c r="AF301" i="32"/>
  <c r="Q81" i="12"/>
  <c r="AF302" i="32"/>
  <c r="Q82" i="12"/>
  <c r="AF303" i="32"/>
  <c r="Q83" i="12"/>
  <c r="AF304" i="32"/>
  <c r="Q84" i="12"/>
  <c r="AF305" i="32"/>
  <c r="Q85" i="12"/>
  <c r="AF306" i="32"/>
  <c r="Q86" i="12"/>
  <c r="AF307" i="32"/>
  <c r="Q87" i="12"/>
  <c r="AF308" i="32"/>
  <c r="Q88" i="12"/>
  <c r="AF309" i="32"/>
  <c r="Q89" i="12"/>
  <c r="AF310" i="32"/>
  <c r="Q90" i="12"/>
  <c r="AF311" i="32"/>
  <c r="Q91" i="12"/>
  <c r="AF312" i="32"/>
  <c r="Q92" i="12"/>
  <c r="AF313" i="32"/>
  <c r="Q93" i="12"/>
  <c r="AF314" i="32"/>
  <c r="Q94" i="12"/>
  <c r="AF315" i="32"/>
  <c r="Q95" i="12"/>
  <c r="AF316" i="32"/>
  <c r="Q96" i="12"/>
  <c r="AF317" i="32"/>
  <c r="Q97" i="12"/>
  <c r="AF318" i="32"/>
  <c r="Q98" i="12"/>
  <c r="AF319" i="32"/>
  <c r="Q99" i="12"/>
  <c r="AF320" i="32"/>
  <c r="Q100" i="12"/>
  <c r="AF321" i="32"/>
  <c r="Q101" i="12"/>
  <c r="AF322" i="32"/>
  <c r="Q102" i="12"/>
  <c r="AF323" i="32"/>
  <c r="Q103" i="12"/>
  <c r="AF324" i="32"/>
  <c r="Q104" i="12"/>
  <c r="AF325" i="32"/>
  <c r="Q105" i="12"/>
  <c r="AF326" i="32"/>
  <c r="Q106" i="12"/>
  <c r="AF327" i="32"/>
  <c r="Q107" i="12"/>
  <c r="AF328" i="32"/>
  <c r="Q108" i="12"/>
  <c r="AF329" i="32"/>
  <c r="Q109" i="12"/>
  <c r="AF330" i="32"/>
  <c r="Q110" i="12"/>
  <c r="AF331" i="32"/>
  <c r="Q111" i="12"/>
  <c r="AF332" i="32"/>
  <c r="AF333" i="32"/>
  <c r="Q113" i="12"/>
  <c r="AF334" i="32"/>
  <c r="Q114" i="12"/>
  <c r="AF335" i="32"/>
  <c r="Q115" i="12"/>
  <c r="AF336" i="32"/>
  <c r="Q116" i="12"/>
  <c r="AF337" i="32"/>
  <c r="Q117" i="12"/>
  <c r="AF338" i="32"/>
  <c r="Q118" i="12"/>
  <c r="AF339" i="32"/>
  <c r="Q119" i="12"/>
  <c r="AF340" i="32"/>
  <c r="Q120" i="12"/>
  <c r="AF341" i="32"/>
  <c r="Q121" i="12"/>
  <c r="AF342" i="32"/>
  <c r="Q122" i="12"/>
  <c r="AF343" i="32"/>
  <c r="Q123" i="12"/>
  <c r="AF344" i="32"/>
  <c r="Q124" i="12"/>
  <c r="AF345" i="32"/>
  <c r="Q125" i="12"/>
  <c r="AF346" i="32"/>
  <c r="Q126" i="12"/>
  <c r="AF347" i="32"/>
  <c r="Q127" i="12"/>
  <c r="AF348" i="32"/>
  <c r="Q128" i="12"/>
  <c r="AF349" i="32"/>
  <c r="Q129" i="12"/>
  <c r="AF350" i="32"/>
  <c r="Q130" i="12"/>
  <c r="AF351" i="32"/>
  <c r="Q131" i="12"/>
  <c r="AF352" i="32"/>
  <c r="Q132" i="12"/>
  <c r="AF353" i="32"/>
  <c r="Q133" i="12"/>
  <c r="AF354" i="32"/>
  <c r="Q134" i="12"/>
  <c r="AF355" i="32"/>
  <c r="Q135" i="12"/>
  <c r="AF356" i="32"/>
  <c r="Q136" i="12"/>
  <c r="AF357" i="32"/>
  <c r="Q137" i="12"/>
  <c r="AF358" i="32"/>
  <c r="Q138" i="12"/>
  <c r="AF359" i="32"/>
  <c r="Q139" i="12"/>
  <c r="AF360" i="32"/>
  <c r="Q140" i="12"/>
  <c r="AF361" i="32"/>
  <c r="Q141" i="12"/>
  <c r="AF362" i="32"/>
  <c r="Q142" i="12"/>
  <c r="AF363" i="32"/>
  <c r="Q143" i="12"/>
  <c r="AF364" i="32"/>
  <c r="Q144" i="12"/>
  <c r="AF365" i="32"/>
  <c r="Q145" i="12"/>
  <c r="AF366" i="32"/>
  <c r="Q146" i="12"/>
  <c r="AF367" i="32"/>
  <c r="Q147" i="12"/>
  <c r="AF368" i="32"/>
  <c r="Q148" i="12"/>
  <c r="AF369" i="32"/>
  <c r="Q149" i="12"/>
  <c r="AF370" i="32"/>
  <c r="Q150" i="12"/>
  <c r="AF371" i="32"/>
  <c r="Q151" i="12"/>
  <c r="AF372" i="32"/>
  <c r="Q152" i="12"/>
  <c r="AF373" i="32"/>
  <c r="Q153" i="12"/>
  <c r="AF374" i="32"/>
  <c r="Q154" i="12"/>
  <c r="AF375" i="32"/>
  <c r="Q155" i="12"/>
  <c r="AF376" i="32"/>
  <c r="Q156" i="12"/>
  <c r="AF377" i="32"/>
  <c r="Q157" i="12"/>
  <c r="AF378" i="32"/>
  <c r="Q158" i="12"/>
  <c r="AF379" i="32"/>
  <c r="Q159" i="12"/>
  <c r="AF380" i="32"/>
  <c r="Q160" i="12"/>
  <c r="AF381" i="32"/>
  <c r="Q161" i="12"/>
  <c r="AF382" i="32"/>
  <c r="Q162" i="12"/>
  <c r="AF383" i="32"/>
  <c r="Q163" i="12"/>
  <c r="AF384" i="32"/>
  <c r="Q164" i="12"/>
  <c r="AF385" i="32"/>
  <c r="Q165" i="12"/>
  <c r="AF386" i="32"/>
  <c r="Q166" i="12"/>
  <c r="AF387" i="32"/>
  <c r="Q167" i="12"/>
  <c r="AF388" i="32"/>
  <c r="Q168" i="12"/>
  <c r="AF389" i="32"/>
  <c r="Q169" i="12"/>
  <c r="AF390" i="32"/>
  <c r="Q170" i="12"/>
  <c r="AF391" i="32"/>
  <c r="Q171" i="12"/>
  <c r="AF392" i="32"/>
  <c r="Q172" i="12"/>
  <c r="AF393" i="32"/>
  <c r="Q173" i="12"/>
  <c r="AF394" i="32"/>
  <c r="Q174" i="12"/>
  <c r="AF395" i="32"/>
  <c r="Q175" i="12"/>
  <c r="AF396" i="32"/>
  <c r="Q176" i="12"/>
  <c r="AF397" i="32"/>
  <c r="Q177" i="12"/>
  <c r="AF398" i="32"/>
  <c r="Q178" i="12"/>
  <c r="AF399" i="32"/>
  <c r="Q179" i="12"/>
  <c r="AF400" i="32"/>
  <c r="Q180" i="12"/>
  <c r="AF401" i="32"/>
  <c r="Q181" i="12"/>
  <c r="AF402" i="32"/>
  <c r="Q182" i="12"/>
  <c r="AF403" i="32"/>
  <c r="Q183" i="12"/>
  <c r="AF404" i="32"/>
  <c r="Q184" i="12"/>
  <c r="AF405" i="32"/>
  <c r="Q185" i="12"/>
  <c r="AF406" i="32"/>
  <c r="Q186" i="12"/>
  <c r="AF407" i="32"/>
  <c r="Q187" i="12"/>
  <c r="AF408" i="32"/>
  <c r="Q188" i="12"/>
  <c r="AF409" i="32"/>
  <c r="Q189" i="12"/>
  <c r="AF410" i="32"/>
  <c r="Q190" i="12"/>
  <c r="AF411" i="32"/>
  <c r="Q191" i="12"/>
  <c r="AF412" i="32"/>
  <c r="Q192" i="12"/>
  <c r="AF413" i="32"/>
  <c r="Q193" i="12"/>
  <c r="AF414" i="32"/>
  <c r="Q194" i="12"/>
  <c r="AF415" i="32"/>
  <c r="Q195" i="12"/>
  <c r="AF416" i="32"/>
  <c r="Q196" i="12"/>
  <c r="AF417" i="32"/>
  <c r="Q197" i="12"/>
  <c r="AF418" i="32"/>
  <c r="Q198" i="12"/>
  <c r="AF419" i="32"/>
  <c r="Q199" i="12"/>
  <c r="AF420" i="32"/>
  <c r="Q200" i="12"/>
  <c r="AF421" i="32"/>
  <c r="Q201" i="12"/>
  <c r="AF422" i="32"/>
  <c r="Q202" i="12"/>
  <c r="AF423" i="32"/>
  <c r="Q203" i="12"/>
  <c r="AF424" i="32"/>
  <c r="Q204" i="12"/>
  <c r="AF425" i="32"/>
  <c r="Q205" i="12"/>
  <c r="AF426" i="32"/>
  <c r="Q206" i="12"/>
  <c r="AF427" i="32"/>
  <c r="Q207" i="12"/>
  <c r="AF428" i="32"/>
  <c r="Q208" i="12"/>
  <c r="AF429" i="32"/>
  <c r="Q209" i="12"/>
  <c r="AF430" i="32"/>
  <c r="Q210" i="12"/>
  <c r="AF431" i="32"/>
  <c r="Q211" i="12"/>
  <c r="AF432" i="32"/>
  <c r="Q212" i="12"/>
  <c r="AF433" i="32"/>
  <c r="Q213" i="12"/>
  <c r="AF434" i="32"/>
  <c r="Q214" i="12"/>
  <c r="AF435" i="32"/>
  <c r="Q215" i="12"/>
  <c r="AF436" i="32"/>
  <c r="Q216" i="12"/>
  <c r="AF437" i="32"/>
  <c r="Q217" i="12"/>
  <c r="AF438" i="32"/>
  <c r="Q218" i="12"/>
  <c r="AF439" i="32"/>
  <c r="Q219" i="12"/>
  <c r="AF440" i="32"/>
  <c r="Q220" i="12"/>
  <c r="AF441" i="32"/>
  <c r="Q221" i="12"/>
  <c r="AF442" i="32"/>
  <c r="Q222" i="12"/>
  <c r="AF443" i="32"/>
  <c r="AS5" i="32"/>
  <c r="BA4" i="32"/>
  <c r="BA5" i="32"/>
  <c r="BA6" i="32"/>
  <c r="BA7" i="32"/>
  <c r="BA8" i="32"/>
  <c r="BA9" i="32"/>
  <c r="BA10" i="32"/>
  <c r="BA11" i="32"/>
  <c r="BA12" i="32"/>
  <c r="BA13" i="32"/>
  <c r="BA14" i="32"/>
  <c r="BA15" i="32"/>
  <c r="BA16" i="32"/>
  <c r="BA17" i="32"/>
  <c r="BA18" i="32"/>
  <c r="BA19" i="32"/>
  <c r="BA20" i="32"/>
  <c r="BA21" i="32"/>
  <c r="BA22" i="32"/>
  <c r="BA23" i="32"/>
  <c r="BA24" i="32"/>
  <c r="BA25" i="32"/>
  <c r="BA26" i="32"/>
  <c r="BA27" i="32"/>
  <c r="BA28" i="32"/>
  <c r="BA29" i="32"/>
  <c r="BA30" i="32"/>
  <c r="BA31" i="32"/>
  <c r="BA32" i="32"/>
  <c r="BA33" i="32"/>
  <c r="BA34" i="32"/>
  <c r="BA35" i="32"/>
  <c r="BA36" i="32"/>
  <c r="BA37" i="32"/>
  <c r="BA38" i="32"/>
  <c r="BA39" i="32"/>
  <c r="BA40" i="32"/>
  <c r="BA41" i="32"/>
  <c r="BA42" i="32"/>
  <c r="BA43" i="32"/>
  <c r="BA44" i="32"/>
  <c r="BA45" i="32"/>
  <c r="BA46" i="32"/>
  <c r="BA47" i="32"/>
  <c r="BA48" i="32"/>
  <c r="BA49" i="32"/>
  <c r="BA50" i="32"/>
  <c r="BA51" i="32"/>
  <c r="BA52" i="32"/>
  <c r="BA53" i="32"/>
  <c r="BA54" i="32"/>
  <c r="BA55" i="32"/>
  <c r="BA56" i="32"/>
  <c r="BA57" i="32"/>
  <c r="BA58" i="32"/>
  <c r="BA59" i="32"/>
  <c r="BA60" i="32"/>
  <c r="BA61" i="32"/>
  <c r="BA62" i="32"/>
  <c r="BA63" i="32"/>
  <c r="BA64" i="32"/>
  <c r="BA65" i="32"/>
  <c r="BA66" i="32"/>
  <c r="BA67" i="32"/>
  <c r="BA68" i="32"/>
  <c r="BA69" i="32"/>
  <c r="BA70" i="32"/>
  <c r="BA71" i="32"/>
  <c r="BA72" i="32"/>
  <c r="BA73" i="32"/>
  <c r="BA74" i="32"/>
  <c r="BA75" i="32"/>
  <c r="BA76" i="32"/>
  <c r="BA77" i="32"/>
  <c r="BA78" i="32"/>
  <c r="BA79" i="32"/>
  <c r="BA80" i="32"/>
  <c r="BA81" i="32"/>
  <c r="BA82" i="32"/>
  <c r="BA83" i="32"/>
  <c r="BA84" i="32"/>
  <c r="BA85" i="32"/>
  <c r="BA86" i="32"/>
  <c r="BA87" i="32"/>
  <c r="BA88" i="32"/>
  <c r="BA89" i="32"/>
  <c r="BA90" i="32"/>
  <c r="BA91" i="32"/>
  <c r="BA92" i="32"/>
  <c r="BA93" i="32"/>
  <c r="BA94" i="32"/>
  <c r="BA95" i="32"/>
  <c r="BA96" i="32"/>
  <c r="BA97" i="32"/>
  <c r="BA98" i="32"/>
  <c r="BA99" i="32"/>
  <c r="BA100" i="32"/>
  <c r="BA101" i="32"/>
  <c r="BA102" i="32"/>
  <c r="BA103" i="32"/>
  <c r="BA104" i="32"/>
  <c r="BA105" i="32"/>
  <c r="BA106" i="32"/>
  <c r="BA107" i="32"/>
  <c r="BA108" i="32"/>
  <c r="BA109" i="32"/>
  <c r="BA110" i="32"/>
  <c r="BA111" i="32"/>
  <c r="BA112" i="32"/>
  <c r="BA113" i="32"/>
  <c r="BA114" i="32"/>
  <c r="BA115" i="32"/>
  <c r="BA116" i="32"/>
  <c r="BA117" i="32"/>
  <c r="BA118" i="32"/>
  <c r="BA119" i="32"/>
  <c r="BA120" i="32"/>
  <c r="BA121" i="32"/>
  <c r="BA122" i="32"/>
  <c r="BA123" i="32"/>
  <c r="BA124" i="32"/>
  <c r="BA125" i="32"/>
  <c r="BA126" i="32"/>
  <c r="BA127" i="32"/>
  <c r="BA128" i="32"/>
  <c r="BA129" i="32"/>
  <c r="BA130" i="32"/>
  <c r="BA131" i="32"/>
  <c r="BA132" i="32"/>
  <c r="BA133" i="32"/>
  <c r="BA134" i="32"/>
  <c r="BA135" i="32"/>
  <c r="BA136" i="32"/>
  <c r="BA137" i="32"/>
  <c r="BA138" i="32"/>
  <c r="BA139" i="32"/>
  <c r="BA140" i="32"/>
  <c r="BA141" i="32"/>
  <c r="BA142" i="32"/>
  <c r="BA143" i="32"/>
  <c r="BA144" i="32"/>
  <c r="BA145" i="32"/>
  <c r="BA146" i="32"/>
  <c r="BA147" i="32"/>
  <c r="BA148" i="32"/>
  <c r="BA149" i="32"/>
  <c r="BA150" i="32"/>
  <c r="BA151" i="32"/>
  <c r="BA152" i="32"/>
  <c r="BA153" i="32"/>
  <c r="BA154" i="32"/>
  <c r="BA155" i="32"/>
  <c r="BA156" i="32"/>
  <c r="BA157" i="32"/>
  <c r="BA158" i="32"/>
  <c r="BA159" i="32"/>
  <c r="BA160" i="32"/>
  <c r="BA161" i="32"/>
  <c r="BA162" i="32"/>
  <c r="BA163" i="32"/>
  <c r="BA164" i="32"/>
  <c r="BA165" i="32"/>
  <c r="BA166" i="32"/>
  <c r="BA167" i="32"/>
  <c r="BA168" i="32"/>
  <c r="BA169" i="32"/>
  <c r="BA170" i="32"/>
  <c r="BA171" i="32"/>
  <c r="BA172" i="32"/>
  <c r="BA173" i="32"/>
  <c r="BA174" i="32"/>
  <c r="BA175" i="32"/>
  <c r="BA176" i="32"/>
  <c r="BA177" i="32"/>
  <c r="BA178" i="32"/>
  <c r="BA179" i="32"/>
  <c r="BA180" i="32"/>
  <c r="BA181" i="32"/>
  <c r="BA182" i="32"/>
  <c r="BA183" i="32"/>
  <c r="BA184" i="32"/>
  <c r="BA185" i="32"/>
  <c r="BA186" i="32"/>
  <c r="BA187" i="32"/>
  <c r="BA188" i="32"/>
  <c r="BA189" i="32"/>
  <c r="BA190" i="32"/>
  <c r="BA191" i="32"/>
  <c r="BA192" i="32"/>
  <c r="BA193" i="32"/>
  <c r="BA194" i="32"/>
  <c r="BA195" i="32"/>
  <c r="BA196" i="32"/>
  <c r="BA197" i="32"/>
  <c r="BA198" i="32"/>
  <c r="BA199" i="32"/>
  <c r="BA200" i="32"/>
  <c r="BA201" i="32"/>
  <c r="BA202" i="32"/>
  <c r="BA203" i="32"/>
  <c r="BA204" i="32"/>
  <c r="BA205" i="32"/>
  <c r="BA206" i="32"/>
  <c r="BA207" i="32"/>
  <c r="BA208" i="32"/>
  <c r="BA209" i="32"/>
  <c r="BA210" i="32"/>
  <c r="BA211" i="32"/>
  <c r="BA212" i="32"/>
  <c r="BA213" i="32"/>
  <c r="BA214" i="32"/>
  <c r="BA215" i="32"/>
  <c r="BA216" i="32"/>
  <c r="BA217" i="32"/>
  <c r="BA218" i="32"/>
  <c r="BA219" i="32"/>
  <c r="BA220" i="32"/>
  <c r="BA221" i="32"/>
  <c r="BA222" i="32"/>
  <c r="BA223" i="32"/>
  <c r="BA224" i="32"/>
  <c r="BA225" i="32"/>
  <c r="BA226" i="32"/>
  <c r="BA227" i="32"/>
  <c r="BA228" i="32"/>
  <c r="BA229" i="32"/>
  <c r="BA230" i="32"/>
  <c r="BA231" i="32"/>
  <c r="BA232" i="32"/>
  <c r="BA233" i="32"/>
  <c r="BA234" i="32"/>
  <c r="BA235" i="32"/>
  <c r="BA236" i="32"/>
  <c r="BA237" i="32"/>
  <c r="BA238" i="32"/>
  <c r="BA239" i="32"/>
  <c r="BA240" i="32"/>
  <c r="BA241" i="32"/>
  <c r="BA242" i="32"/>
  <c r="BA243" i="32"/>
  <c r="BA244" i="32"/>
  <c r="BA245" i="32"/>
  <c r="BA246" i="32"/>
  <c r="BA247" i="32"/>
  <c r="BA248" i="32"/>
  <c r="BA249" i="32"/>
  <c r="BA250" i="32"/>
  <c r="BA251" i="32"/>
  <c r="BA252" i="32"/>
  <c r="BA253" i="32"/>
  <c r="BA254" i="32"/>
  <c r="BA255" i="32"/>
  <c r="BA256" i="32"/>
  <c r="BA257" i="32"/>
  <c r="BA258" i="32"/>
  <c r="BA259" i="32"/>
  <c r="BA260" i="32"/>
  <c r="BA261" i="32"/>
  <c r="BA262" i="32"/>
  <c r="BA263" i="32"/>
  <c r="BA264" i="32"/>
  <c r="BA265" i="32"/>
  <c r="BA266" i="32"/>
  <c r="BA267" i="32"/>
  <c r="BA268" i="32"/>
  <c r="BA269" i="32"/>
  <c r="BA270" i="32"/>
  <c r="BA271" i="32"/>
  <c r="BA272" i="32"/>
  <c r="BA273" i="32"/>
  <c r="BA274" i="32"/>
  <c r="BA275" i="32"/>
  <c r="BA276" i="32"/>
  <c r="BA277" i="32"/>
  <c r="BA278" i="32"/>
  <c r="BA279" i="32"/>
  <c r="BA280" i="32"/>
  <c r="BA281" i="32"/>
  <c r="BA282" i="32"/>
  <c r="BA283" i="32"/>
  <c r="BA284" i="32"/>
  <c r="BA285" i="32"/>
  <c r="BA286" i="32"/>
  <c r="BA287" i="32"/>
  <c r="BA288" i="32"/>
  <c r="BA289" i="32"/>
  <c r="BA290" i="32"/>
  <c r="BA291" i="32"/>
  <c r="BA292" i="32"/>
  <c r="BA293" i="32"/>
  <c r="BA294" i="32"/>
  <c r="BA295" i="32"/>
  <c r="BA296" i="32"/>
  <c r="BA297" i="32"/>
  <c r="BA298" i="32"/>
  <c r="BA299" i="32"/>
  <c r="BA300" i="32"/>
  <c r="BA301" i="32"/>
  <c r="BA302" i="32"/>
  <c r="BA303" i="32"/>
  <c r="BA304" i="32"/>
  <c r="BA305" i="32"/>
  <c r="BA306" i="32"/>
  <c r="BA307" i="32"/>
  <c r="BA308" i="32"/>
  <c r="BA309" i="32"/>
  <c r="BA310" i="32"/>
  <c r="BA311" i="32"/>
  <c r="BA312" i="32"/>
  <c r="BA313" i="32"/>
  <c r="BA314" i="32"/>
  <c r="BA315" i="32"/>
  <c r="BA316" i="32"/>
  <c r="BA317" i="32"/>
  <c r="BA318" i="32"/>
  <c r="BA319" i="32"/>
  <c r="BA320" i="32"/>
  <c r="BA321" i="32"/>
  <c r="BA322" i="32"/>
  <c r="BA323" i="32"/>
  <c r="BA324" i="32"/>
  <c r="BA325" i="32"/>
  <c r="BA326" i="32"/>
  <c r="BA327" i="32"/>
  <c r="BA328" i="32"/>
  <c r="BA329" i="32"/>
  <c r="BA330" i="32"/>
  <c r="BA331" i="32"/>
  <c r="BA332" i="32"/>
  <c r="BA333" i="32"/>
  <c r="BA334" i="32"/>
  <c r="BA335" i="32"/>
  <c r="BA336" i="32"/>
  <c r="BA337" i="32"/>
  <c r="BA338" i="32"/>
  <c r="BA339" i="32"/>
  <c r="BA340" i="32"/>
  <c r="BA341" i="32"/>
  <c r="BA342" i="32"/>
  <c r="BA343" i="32"/>
  <c r="BA344" i="32"/>
  <c r="BA345" i="32"/>
  <c r="BA346" i="32"/>
  <c r="BA347" i="32"/>
  <c r="BA348" i="32"/>
  <c r="BA349" i="32"/>
  <c r="BA350" i="32"/>
  <c r="BA351" i="32"/>
  <c r="BA352" i="32"/>
  <c r="BA353" i="32"/>
  <c r="BA354" i="32"/>
  <c r="BA355" i="32"/>
  <c r="BA356" i="32"/>
  <c r="BA357" i="32"/>
  <c r="BA358" i="32"/>
  <c r="BA359" i="32"/>
  <c r="BA360" i="32"/>
  <c r="BA361" i="32"/>
  <c r="BA362" i="32"/>
  <c r="BA363" i="32"/>
  <c r="BA364" i="32"/>
  <c r="BA365" i="32"/>
  <c r="BA366" i="32"/>
  <c r="BA367" i="32"/>
  <c r="BA368" i="32"/>
  <c r="BA369" i="32"/>
  <c r="BA370" i="32"/>
  <c r="BA371" i="32"/>
  <c r="BA372" i="32"/>
  <c r="BA373" i="32"/>
  <c r="BA374" i="32"/>
  <c r="BA375" i="32"/>
  <c r="BA376" i="32"/>
  <c r="BA377" i="32"/>
  <c r="BA378" i="32"/>
  <c r="BA379" i="32"/>
  <c r="BA380" i="32"/>
  <c r="BA381" i="32"/>
  <c r="BA382" i="32"/>
  <c r="BA383" i="32"/>
  <c r="BA384" i="32"/>
  <c r="BA385" i="32"/>
  <c r="BA386" i="32"/>
  <c r="BA387" i="32"/>
  <c r="BA388" i="32"/>
  <c r="BA389" i="32"/>
  <c r="BA390" i="32"/>
  <c r="BA391" i="32"/>
  <c r="BA392" i="32"/>
  <c r="BA393" i="32"/>
  <c r="BA394" i="32"/>
  <c r="BA395" i="32"/>
  <c r="BA396" i="32"/>
  <c r="BA397" i="32"/>
  <c r="BA398" i="32"/>
  <c r="BA399" i="32"/>
  <c r="BA400" i="32"/>
  <c r="BA401" i="32"/>
  <c r="BA402" i="32"/>
  <c r="BA403" i="32"/>
  <c r="BA404" i="32"/>
  <c r="BA405" i="32"/>
  <c r="BA406" i="32"/>
  <c r="BA407" i="32"/>
  <c r="BA408" i="32"/>
  <c r="BA409" i="32"/>
  <c r="BA410" i="32"/>
  <c r="BA411" i="32"/>
  <c r="BA412" i="32"/>
  <c r="BA413" i="32"/>
  <c r="BA414" i="32"/>
  <c r="BA415" i="32"/>
  <c r="BA416" i="32"/>
  <c r="BA417" i="32"/>
  <c r="BA418" i="32"/>
  <c r="BA419" i="32"/>
  <c r="BA420" i="32"/>
  <c r="BA421" i="32"/>
  <c r="BA422" i="32"/>
  <c r="BA423" i="32"/>
  <c r="BB4" i="32"/>
  <c r="BB5" i="32"/>
  <c r="BB6" i="32"/>
  <c r="BB7" i="32"/>
  <c r="BB8" i="32"/>
  <c r="BB9" i="32"/>
  <c r="BB10" i="32"/>
  <c r="BB11" i="32"/>
  <c r="BB12" i="32"/>
  <c r="BB13" i="32"/>
  <c r="BB14" i="32"/>
  <c r="BB15" i="32"/>
  <c r="BB16" i="32"/>
  <c r="BB17" i="32"/>
  <c r="BB18" i="32"/>
  <c r="BB19" i="32"/>
  <c r="BB20" i="32"/>
  <c r="BB21" i="32"/>
  <c r="BB22" i="32"/>
  <c r="BB23" i="32"/>
  <c r="BB24" i="32"/>
  <c r="BB25" i="32"/>
  <c r="BB26" i="32"/>
  <c r="BB27" i="32"/>
  <c r="BB28" i="32"/>
  <c r="BB29" i="32"/>
  <c r="BB30" i="32"/>
  <c r="BB31" i="32"/>
  <c r="BB32" i="32"/>
  <c r="BB33" i="32"/>
  <c r="BB34" i="32"/>
  <c r="BB35" i="32"/>
  <c r="BB36" i="32"/>
  <c r="BB37" i="32"/>
  <c r="BB38" i="32"/>
  <c r="BB39" i="32"/>
  <c r="BB40" i="32"/>
  <c r="BB41" i="32"/>
  <c r="BB42" i="32"/>
  <c r="BB43" i="32"/>
  <c r="BB44" i="32"/>
  <c r="BB45" i="32"/>
  <c r="BB46" i="32"/>
  <c r="BB47" i="32"/>
  <c r="BB48" i="32"/>
  <c r="BB49" i="32"/>
  <c r="BB50" i="32"/>
  <c r="BB51" i="32"/>
  <c r="BB52" i="32"/>
  <c r="BB53" i="32"/>
  <c r="BB54" i="32"/>
  <c r="BB55" i="32"/>
  <c r="BB56" i="32"/>
  <c r="BB57" i="32"/>
  <c r="BB58" i="32"/>
  <c r="BB59" i="32"/>
  <c r="BB60" i="32"/>
  <c r="BB61" i="32"/>
  <c r="BB62" i="32"/>
  <c r="BB63" i="32"/>
  <c r="BB64" i="32"/>
  <c r="BB65" i="32"/>
  <c r="BB66" i="32"/>
  <c r="BB67" i="32"/>
  <c r="BB68" i="32"/>
  <c r="BB69" i="32"/>
  <c r="BB70" i="32"/>
  <c r="BB71" i="32"/>
  <c r="BB72" i="32"/>
  <c r="BB73" i="32"/>
  <c r="BB74" i="32"/>
  <c r="BB75" i="32"/>
  <c r="BB76" i="32"/>
  <c r="BB77" i="32"/>
  <c r="BB78" i="32"/>
  <c r="BB79" i="32"/>
  <c r="BB80" i="32"/>
  <c r="BB81" i="32"/>
  <c r="BB82" i="32"/>
  <c r="BB83" i="32"/>
  <c r="BB84" i="32"/>
  <c r="BB85" i="32"/>
  <c r="BB86" i="32"/>
  <c r="BB87" i="32"/>
  <c r="BB88" i="32"/>
  <c r="BB89" i="32"/>
  <c r="BB90" i="32"/>
  <c r="BB91" i="32"/>
  <c r="BB92" i="32"/>
  <c r="BB93" i="32"/>
  <c r="BB94" i="32"/>
  <c r="BB95" i="32"/>
  <c r="BB96" i="32"/>
  <c r="BB97" i="32"/>
  <c r="BB98" i="32"/>
  <c r="BB99" i="32"/>
  <c r="BB100" i="32"/>
  <c r="BB101" i="32"/>
  <c r="BB102" i="32"/>
  <c r="BB103" i="32"/>
  <c r="BB104" i="32"/>
  <c r="BB105" i="32"/>
  <c r="BB106" i="32"/>
  <c r="BB107" i="32"/>
  <c r="BB108" i="32"/>
  <c r="BB109" i="32"/>
  <c r="BB110" i="32"/>
  <c r="BB111" i="32"/>
  <c r="BB112" i="32"/>
  <c r="BB113" i="32"/>
  <c r="BB114" i="32"/>
  <c r="BB115" i="32"/>
  <c r="BB116" i="32"/>
  <c r="BB117" i="32"/>
  <c r="BB118" i="32"/>
  <c r="BB119" i="32"/>
  <c r="BB120" i="32"/>
  <c r="BB121" i="32"/>
  <c r="BB122" i="32"/>
  <c r="BB123" i="32"/>
  <c r="BB124" i="32"/>
  <c r="BB125" i="32"/>
  <c r="BB126" i="32"/>
  <c r="BB127" i="32"/>
  <c r="BB128" i="32"/>
  <c r="BB129" i="32"/>
  <c r="BB130" i="32"/>
  <c r="BB131" i="32"/>
  <c r="BB132" i="32"/>
  <c r="BB133" i="32"/>
  <c r="BB134" i="32"/>
  <c r="BB135" i="32"/>
  <c r="BB136" i="32"/>
  <c r="BB137" i="32"/>
  <c r="BB138" i="32"/>
  <c r="BB139" i="32"/>
  <c r="BB140" i="32"/>
  <c r="BB141" i="32"/>
  <c r="BB142" i="32"/>
  <c r="BB143" i="32"/>
  <c r="BB144" i="32"/>
  <c r="BB145" i="32"/>
  <c r="BB146" i="32"/>
  <c r="BB147" i="32"/>
  <c r="BB148" i="32"/>
  <c r="BB149" i="32"/>
  <c r="BB150" i="32"/>
  <c r="BB151" i="32"/>
  <c r="BB152" i="32"/>
  <c r="BB153" i="32"/>
  <c r="BB154" i="32"/>
  <c r="BB155" i="32"/>
  <c r="BB156" i="32"/>
  <c r="BB157" i="32"/>
  <c r="BB158" i="32"/>
  <c r="BB159" i="32"/>
  <c r="BB160" i="32"/>
  <c r="BB161" i="32"/>
  <c r="BB162" i="32"/>
  <c r="BB163" i="32"/>
  <c r="BB164" i="32"/>
  <c r="BB165" i="32"/>
  <c r="BB166" i="32"/>
  <c r="BB167" i="32"/>
  <c r="BB168" i="32"/>
  <c r="BB169" i="32"/>
  <c r="BB170" i="32"/>
  <c r="BB171" i="32"/>
  <c r="BB172" i="32"/>
  <c r="BB173" i="32"/>
  <c r="BB174" i="32"/>
  <c r="BB175" i="32"/>
  <c r="BB176" i="32"/>
  <c r="BB177" i="32"/>
  <c r="BB178" i="32"/>
  <c r="BB179" i="32"/>
  <c r="BB180" i="32"/>
  <c r="BB181" i="32"/>
  <c r="BB182" i="32"/>
  <c r="BB183" i="32"/>
  <c r="BB184" i="32"/>
  <c r="BB185" i="32"/>
  <c r="BB186" i="32"/>
  <c r="BB187" i="32"/>
  <c r="BB188" i="32"/>
  <c r="BB189" i="32"/>
  <c r="BB190" i="32"/>
  <c r="BB191" i="32"/>
  <c r="BB192" i="32"/>
  <c r="BB193" i="32"/>
  <c r="BB194" i="32"/>
  <c r="BB195" i="32"/>
  <c r="BB196" i="32"/>
  <c r="BB197" i="32"/>
  <c r="BB198" i="32"/>
  <c r="BB199" i="32"/>
  <c r="BB200" i="32"/>
  <c r="BB201" i="32"/>
  <c r="BB202" i="32"/>
  <c r="BB203" i="32"/>
  <c r="BB204" i="32"/>
  <c r="BB205" i="32"/>
  <c r="BB206" i="32"/>
  <c r="BB207" i="32"/>
  <c r="BB208" i="32"/>
  <c r="BB209" i="32"/>
  <c r="BB210" i="32"/>
  <c r="BB211" i="32"/>
  <c r="BB212" i="32"/>
  <c r="BB213" i="32"/>
  <c r="BB214" i="32"/>
  <c r="BB215" i="32"/>
  <c r="BB216" i="32"/>
  <c r="BB217" i="32"/>
  <c r="BB218" i="32"/>
  <c r="BB219" i="32"/>
  <c r="BB220" i="32"/>
  <c r="BB221" i="32"/>
  <c r="BB222" i="32"/>
  <c r="BB223" i="32"/>
  <c r="BB224" i="32"/>
  <c r="BB225" i="32"/>
  <c r="BB226" i="32"/>
  <c r="BB227" i="32"/>
  <c r="BB228" i="32"/>
  <c r="BB229" i="32"/>
  <c r="BB230" i="32"/>
  <c r="BB231" i="32"/>
  <c r="BB232" i="32"/>
  <c r="BB233" i="32"/>
  <c r="BB234" i="32"/>
  <c r="BB235" i="32"/>
  <c r="BB236" i="32"/>
  <c r="BB237" i="32"/>
  <c r="BB238" i="32"/>
  <c r="BB239" i="32"/>
  <c r="BB240" i="32"/>
  <c r="BB241" i="32"/>
  <c r="BB242" i="32"/>
  <c r="BB243" i="32"/>
  <c r="BB244" i="32"/>
  <c r="BB245" i="32"/>
  <c r="BB246" i="32"/>
  <c r="BB247" i="32"/>
  <c r="BB248" i="32"/>
  <c r="BB249" i="32"/>
  <c r="BB250" i="32"/>
  <c r="BB251" i="32"/>
  <c r="BB252" i="32"/>
  <c r="BB253" i="32"/>
  <c r="BB254" i="32"/>
  <c r="BB255" i="32"/>
  <c r="BB256" i="32"/>
  <c r="BB257" i="32"/>
  <c r="BB258" i="32"/>
  <c r="BB259" i="32"/>
  <c r="BB260" i="32"/>
  <c r="BB261" i="32"/>
  <c r="BB262" i="32"/>
  <c r="BB263" i="32"/>
  <c r="BB264" i="32"/>
  <c r="BB265" i="32"/>
  <c r="BB266" i="32"/>
  <c r="BB267" i="32"/>
  <c r="BB268" i="32"/>
  <c r="BB269" i="32"/>
  <c r="BB270" i="32"/>
  <c r="BB271" i="32"/>
  <c r="BB272" i="32"/>
  <c r="BB273" i="32"/>
  <c r="BB274" i="32"/>
  <c r="BB275" i="32"/>
  <c r="BB276" i="32"/>
  <c r="BB277" i="32"/>
  <c r="BB278" i="32"/>
  <c r="BB279" i="32"/>
  <c r="BB280" i="32"/>
  <c r="BB281" i="32"/>
  <c r="BB282" i="32"/>
  <c r="BB283" i="32"/>
  <c r="BB284" i="32"/>
  <c r="BB285" i="32"/>
  <c r="BB286" i="32"/>
  <c r="BB287" i="32"/>
  <c r="BB288" i="32"/>
  <c r="BB289" i="32"/>
  <c r="BB290" i="32"/>
  <c r="BB291" i="32"/>
  <c r="BB292" i="32"/>
  <c r="BB293" i="32"/>
  <c r="BB294" i="32"/>
  <c r="BB295" i="32"/>
  <c r="BB296" i="32"/>
  <c r="BB297" i="32"/>
  <c r="BB298" i="32"/>
  <c r="BB299" i="32"/>
  <c r="BB300" i="32"/>
  <c r="BB301" i="32"/>
  <c r="BB302" i="32"/>
  <c r="BB303" i="32"/>
  <c r="BB304" i="32"/>
  <c r="BB305" i="32"/>
  <c r="BB306" i="32"/>
  <c r="BB307" i="32"/>
  <c r="BB308" i="32"/>
  <c r="BB309" i="32"/>
  <c r="BB310" i="32"/>
  <c r="BB311" i="32"/>
  <c r="BB312" i="32"/>
  <c r="BB313" i="32"/>
  <c r="BB314" i="32"/>
  <c r="BB315" i="32"/>
  <c r="BB316" i="32"/>
  <c r="BB317" i="32"/>
  <c r="BB318" i="32"/>
  <c r="BB319" i="32"/>
  <c r="BB320" i="32"/>
  <c r="BB321" i="32"/>
  <c r="BB322" i="32"/>
  <c r="BB323" i="32"/>
  <c r="BB324" i="32"/>
  <c r="BB325" i="32"/>
  <c r="BB326" i="32"/>
  <c r="BB327" i="32"/>
  <c r="BB328" i="32"/>
  <c r="BB329" i="32"/>
  <c r="BB330" i="32"/>
  <c r="BB331" i="32"/>
  <c r="BB332" i="32"/>
  <c r="BB333" i="32"/>
  <c r="BB334" i="32"/>
  <c r="BB335" i="32"/>
  <c r="BB336" i="32"/>
  <c r="BB337" i="32"/>
  <c r="BB338" i="32"/>
  <c r="BB339" i="32"/>
  <c r="BB340" i="32"/>
  <c r="BB341" i="32"/>
  <c r="BB342" i="32"/>
  <c r="BB343" i="32"/>
  <c r="BB344" i="32"/>
  <c r="BB345" i="32"/>
  <c r="BB346" i="32"/>
  <c r="BB347" i="32"/>
  <c r="BB348" i="32"/>
  <c r="BB349" i="32"/>
  <c r="BB350" i="32"/>
  <c r="BB351" i="32"/>
  <c r="BB352" i="32"/>
  <c r="BB353" i="32"/>
  <c r="BB354" i="32"/>
  <c r="BB355" i="32"/>
  <c r="BB356" i="32"/>
  <c r="BB357" i="32"/>
  <c r="BB358" i="32"/>
  <c r="BB359" i="32"/>
  <c r="BB360" i="32"/>
  <c r="BB361" i="32"/>
  <c r="BB362" i="32"/>
  <c r="BB363" i="32"/>
  <c r="BB364" i="32"/>
  <c r="BB365" i="32"/>
  <c r="BB366" i="32"/>
  <c r="BB367" i="32"/>
  <c r="BB368" i="32"/>
  <c r="BB369" i="32"/>
  <c r="BB370" i="32"/>
  <c r="BB371" i="32"/>
  <c r="BB372" i="32"/>
  <c r="BB373" i="32"/>
  <c r="BB374" i="32"/>
  <c r="BB375" i="32"/>
  <c r="BB376" i="32"/>
  <c r="BB377" i="32"/>
  <c r="BB378" i="32"/>
  <c r="BB379" i="32"/>
  <c r="BB380" i="32"/>
  <c r="BB381" i="32"/>
  <c r="BB382" i="32"/>
  <c r="BB383" i="32"/>
  <c r="BB384" i="32"/>
  <c r="BB385" i="32"/>
  <c r="BB386" i="32"/>
  <c r="BB387" i="32"/>
  <c r="BB388" i="32"/>
  <c r="BB389" i="32"/>
  <c r="BB390" i="32"/>
  <c r="BB391" i="32"/>
  <c r="BB392" i="32"/>
  <c r="BB393" i="32"/>
  <c r="BB394" i="32"/>
  <c r="BB395" i="32"/>
  <c r="BB396" i="32"/>
  <c r="BB397" i="32"/>
  <c r="BB398" i="32"/>
  <c r="BB399" i="32"/>
  <c r="BB400" i="32"/>
  <c r="BB401" i="32"/>
  <c r="BB402" i="32"/>
  <c r="BB403" i="32"/>
  <c r="BB404" i="32"/>
  <c r="BB405" i="32"/>
  <c r="BB406" i="32"/>
  <c r="BB407" i="32"/>
  <c r="BB408" i="32"/>
  <c r="BB409" i="32"/>
  <c r="BB410" i="32"/>
  <c r="BB411" i="32"/>
  <c r="BB412" i="32"/>
  <c r="BB413" i="32"/>
  <c r="BB414" i="32"/>
  <c r="BB415" i="32"/>
  <c r="BB416" i="32"/>
  <c r="BB417" i="32"/>
  <c r="BB418" i="32"/>
  <c r="BB419" i="32"/>
  <c r="BB420" i="32"/>
  <c r="BB422" i="32"/>
  <c r="BB423" i="32"/>
  <c r="BB424" i="32"/>
  <c r="BB425" i="32"/>
  <c r="BB426" i="32"/>
  <c r="BB427" i="32"/>
  <c r="AS6" i="32"/>
  <c r="AS7" i="32"/>
  <c r="AS8" i="32"/>
  <c r="AS9" i="32"/>
  <c r="AS10" i="32"/>
  <c r="AS11" i="32"/>
  <c r="AS12" i="32"/>
  <c r="AS13" i="32"/>
  <c r="AS14" i="32"/>
  <c r="AS15" i="32"/>
  <c r="AS16" i="32"/>
  <c r="AS17" i="32"/>
  <c r="AS18" i="32"/>
  <c r="AS19" i="32"/>
  <c r="AS20" i="32"/>
  <c r="AS21" i="32"/>
  <c r="AS22" i="32"/>
  <c r="AS23" i="32"/>
  <c r="AS24" i="32"/>
  <c r="AS25" i="32"/>
  <c r="AS26" i="32"/>
  <c r="AS27" i="32"/>
  <c r="AS28" i="32"/>
  <c r="AS29" i="32"/>
  <c r="AS30" i="32"/>
  <c r="AS31" i="32"/>
  <c r="AS32" i="32"/>
  <c r="AS33" i="32"/>
  <c r="AS34" i="32"/>
  <c r="AS35" i="32"/>
  <c r="AS36" i="32"/>
  <c r="AS37" i="32"/>
  <c r="AS38" i="32"/>
  <c r="AS39" i="32"/>
  <c r="AS40" i="32"/>
  <c r="AS41" i="32"/>
  <c r="AS42" i="32"/>
  <c r="AS43" i="32"/>
  <c r="AS44" i="32"/>
  <c r="AS45" i="32"/>
  <c r="AS46" i="32"/>
  <c r="AS47" i="32"/>
  <c r="AS48" i="32"/>
  <c r="AS49" i="32"/>
  <c r="AS50" i="32"/>
  <c r="AS51" i="32"/>
  <c r="AS52" i="32"/>
  <c r="AS53" i="32"/>
  <c r="AS54" i="32"/>
  <c r="AS55" i="32"/>
  <c r="AS56" i="32"/>
  <c r="AS57" i="32"/>
  <c r="AS58" i="32"/>
  <c r="AS59" i="32"/>
  <c r="AS60" i="32"/>
  <c r="AS61" i="32"/>
  <c r="AS62" i="32"/>
  <c r="AS63" i="32"/>
  <c r="AS64" i="32"/>
  <c r="AS65" i="32"/>
  <c r="AS66" i="32"/>
  <c r="AS67" i="32"/>
  <c r="AS68" i="32"/>
  <c r="AS69" i="32"/>
  <c r="AS70" i="32"/>
  <c r="AS71" i="32"/>
  <c r="AS72" i="32"/>
  <c r="AS73" i="32"/>
  <c r="AS74" i="32"/>
  <c r="AS75" i="32"/>
  <c r="AS76" i="32"/>
  <c r="AS77" i="32"/>
  <c r="AS78" i="32"/>
  <c r="AS79" i="32"/>
  <c r="AS80" i="32"/>
  <c r="AS81" i="32"/>
  <c r="AS82" i="32"/>
  <c r="AS83" i="32"/>
  <c r="AS84" i="32"/>
  <c r="AS85" i="32"/>
  <c r="AS86" i="32"/>
  <c r="AS87" i="32"/>
  <c r="AS88" i="32"/>
  <c r="AS89" i="32"/>
  <c r="AS90" i="32"/>
  <c r="AS91" i="32"/>
  <c r="AS92" i="32"/>
  <c r="AS93" i="32"/>
  <c r="AS94" i="32"/>
  <c r="AS95" i="32"/>
  <c r="AS96" i="32"/>
  <c r="AS97" i="32"/>
  <c r="AS98" i="32"/>
  <c r="AS99" i="32"/>
  <c r="AS100" i="32"/>
  <c r="AS101" i="32"/>
  <c r="AS102" i="32"/>
  <c r="AS103" i="32"/>
  <c r="AS104" i="32"/>
  <c r="AS105" i="32"/>
  <c r="AS106" i="32"/>
  <c r="AS107" i="32"/>
  <c r="AS108" i="32"/>
  <c r="AS109" i="32"/>
  <c r="AS110" i="32"/>
  <c r="AS111" i="32"/>
  <c r="AS112" i="32"/>
  <c r="AS113" i="32"/>
  <c r="AS114" i="32"/>
  <c r="AS115" i="32"/>
  <c r="AS116" i="32"/>
  <c r="AS117" i="32"/>
  <c r="AS118" i="32"/>
  <c r="AS119" i="32"/>
  <c r="AS120" i="32"/>
  <c r="AS121" i="32"/>
  <c r="AS122" i="32"/>
  <c r="AS123" i="32"/>
  <c r="AS124" i="32"/>
  <c r="AS125" i="32"/>
  <c r="AS126" i="32"/>
  <c r="AS127" i="32"/>
  <c r="AS128" i="32"/>
  <c r="AS129" i="32"/>
  <c r="AS130" i="32"/>
  <c r="AS131" i="32"/>
  <c r="AS132" i="32"/>
  <c r="AS133" i="32"/>
  <c r="AS134" i="32"/>
  <c r="AS135" i="32"/>
  <c r="AS136" i="32"/>
  <c r="AS137" i="32"/>
  <c r="AS138" i="32"/>
  <c r="AS139" i="32"/>
  <c r="AS140" i="32"/>
  <c r="AS141" i="32"/>
  <c r="AS142" i="32"/>
  <c r="AS143" i="32"/>
  <c r="AS144" i="32"/>
  <c r="AS145" i="32"/>
  <c r="AS146" i="32"/>
  <c r="AS147" i="32"/>
  <c r="AS148" i="32"/>
  <c r="AS149" i="32"/>
  <c r="AS150" i="32"/>
  <c r="AS151" i="32"/>
  <c r="AS152" i="32"/>
  <c r="AS153" i="32"/>
  <c r="AS154" i="32"/>
  <c r="AS155" i="32"/>
  <c r="AS156" i="32"/>
  <c r="AS157" i="32"/>
  <c r="AS158" i="32"/>
  <c r="AS159" i="32"/>
  <c r="AS160" i="32"/>
  <c r="AS161" i="32"/>
  <c r="AS162" i="32"/>
  <c r="AS163" i="32"/>
  <c r="AS164" i="32"/>
  <c r="AS165" i="32"/>
  <c r="AS166" i="32"/>
  <c r="AS167" i="32"/>
  <c r="AS168" i="32"/>
  <c r="AS169" i="32"/>
  <c r="AS170" i="32"/>
  <c r="AS171" i="32"/>
  <c r="AS172" i="32"/>
  <c r="AS173" i="32"/>
  <c r="AS174" i="32"/>
  <c r="AS175" i="32"/>
  <c r="AS176" i="32"/>
  <c r="AS177" i="32"/>
  <c r="AS178" i="32"/>
  <c r="AS179" i="32"/>
  <c r="AS180" i="32"/>
  <c r="AS181" i="32"/>
  <c r="AS182" i="32"/>
  <c r="AS183" i="32"/>
  <c r="AS184" i="32"/>
  <c r="AS185" i="32"/>
  <c r="AS186" i="32"/>
  <c r="AS187" i="32"/>
  <c r="AS188" i="32"/>
  <c r="AS189" i="32"/>
  <c r="AS190" i="32"/>
  <c r="AS191" i="32"/>
  <c r="AS192" i="32"/>
  <c r="AS193" i="32"/>
  <c r="AS194" i="32"/>
  <c r="AS195" i="32"/>
  <c r="AS196" i="32"/>
  <c r="AS197" i="32"/>
  <c r="AS198" i="32"/>
  <c r="AS199" i="32"/>
  <c r="AS200" i="32"/>
  <c r="AS201" i="32"/>
  <c r="AS202" i="32"/>
  <c r="AS203" i="32"/>
  <c r="AS204" i="32"/>
  <c r="AS205" i="32"/>
  <c r="AS206" i="32"/>
  <c r="AS207" i="32"/>
  <c r="AS208" i="32"/>
  <c r="AS209" i="32"/>
  <c r="AS210" i="32"/>
  <c r="AS211" i="32"/>
  <c r="AS212" i="32"/>
  <c r="AS213" i="32"/>
  <c r="AS214" i="32"/>
  <c r="AS215" i="32"/>
  <c r="AS216" i="32"/>
  <c r="AS217" i="32"/>
  <c r="AS218" i="32"/>
  <c r="AS219" i="32"/>
  <c r="AS220" i="32"/>
  <c r="AS221" i="32"/>
  <c r="AS222" i="32"/>
  <c r="AS223" i="32"/>
  <c r="AS224" i="32"/>
  <c r="AS225" i="32"/>
  <c r="AS226" i="32"/>
  <c r="AS227" i="32"/>
  <c r="AS228" i="32"/>
  <c r="AS229" i="32"/>
  <c r="AS230" i="32"/>
  <c r="AS231" i="32"/>
  <c r="AS232" i="32"/>
  <c r="AS233" i="32"/>
  <c r="AS234" i="32"/>
  <c r="AS235" i="32"/>
  <c r="AS236" i="32"/>
  <c r="AS237" i="32"/>
  <c r="AS238" i="32"/>
  <c r="AS239" i="32"/>
  <c r="AS240" i="32"/>
  <c r="AS241" i="32"/>
  <c r="AS242" i="32"/>
  <c r="AS243" i="32"/>
  <c r="AS244" i="32"/>
  <c r="AS245" i="32"/>
  <c r="AS246" i="32"/>
  <c r="AS247" i="32"/>
  <c r="AS248" i="32"/>
  <c r="AS249" i="32"/>
  <c r="AS250" i="32"/>
  <c r="AS251" i="32"/>
  <c r="AS252" i="32"/>
  <c r="AS253" i="32"/>
  <c r="AS254" i="32"/>
  <c r="AS255" i="32"/>
  <c r="AS256" i="32"/>
  <c r="AS257" i="32"/>
  <c r="AS258" i="32"/>
  <c r="AS259" i="32"/>
  <c r="AS260" i="32"/>
  <c r="AS261" i="32"/>
  <c r="AS262" i="32"/>
  <c r="AS263" i="32"/>
  <c r="AS264" i="32"/>
  <c r="AS265" i="32"/>
  <c r="AS266" i="32"/>
  <c r="AS267" i="32"/>
  <c r="AS268" i="32"/>
  <c r="AS269" i="32"/>
  <c r="AS270" i="32"/>
  <c r="AS271" i="32"/>
  <c r="AS272" i="32"/>
  <c r="AS273" i="32"/>
  <c r="AS274" i="32"/>
  <c r="AS275" i="32"/>
  <c r="AS276" i="32"/>
  <c r="AS277" i="32"/>
  <c r="AS278" i="32"/>
  <c r="AS279" i="32"/>
  <c r="AS280" i="32"/>
  <c r="AS281" i="32"/>
  <c r="AS282" i="32"/>
  <c r="AS283" i="32"/>
  <c r="AS284" i="32"/>
  <c r="AS285" i="32"/>
  <c r="AS286" i="32"/>
  <c r="AS287" i="32"/>
  <c r="AS288" i="32"/>
  <c r="AS289" i="32"/>
  <c r="AS290" i="32"/>
  <c r="AS291" i="32"/>
  <c r="AS292" i="32"/>
  <c r="AS293" i="32"/>
  <c r="AS294" i="32"/>
  <c r="AS295" i="32"/>
  <c r="AS296" i="32"/>
  <c r="AS297" i="32"/>
  <c r="AS298" i="32"/>
  <c r="AS299" i="32"/>
  <c r="AS300" i="32"/>
  <c r="AS301" i="32"/>
  <c r="AS302" i="32"/>
  <c r="AS303" i="32"/>
  <c r="AS304" i="32"/>
  <c r="AS305" i="32"/>
  <c r="AS306" i="32"/>
  <c r="AS307" i="32"/>
  <c r="AS308" i="32"/>
  <c r="AS309" i="32"/>
  <c r="AS310" i="32"/>
  <c r="AS311" i="32"/>
  <c r="AS312" i="32"/>
  <c r="AS313" i="32"/>
  <c r="AS314" i="32"/>
  <c r="AS315" i="32"/>
  <c r="AS316" i="32"/>
  <c r="AS317" i="32"/>
  <c r="AS318" i="32"/>
  <c r="AS319" i="32"/>
  <c r="AS320" i="32"/>
  <c r="AS321" i="32"/>
  <c r="AS322" i="32"/>
  <c r="AS323" i="32"/>
  <c r="AS324" i="32"/>
  <c r="AS325" i="32"/>
  <c r="AS326" i="32"/>
  <c r="AS327" i="32"/>
  <c r="AS328" i="32"/>
  <c r="AS329" i="32"/>
  <c r="AS330" i="32"/>
  <c r="AS331" i="32"/>
  <c r="AS332" i="32"/>
  <c r="AS333" i="32"/>
  <c r="AS334" i="32"/>
  <c r="AS335" i="32"/>
  <c r="AS336" i="32"/>
  <c r="AS337" i="32"/>
  <c r="AS338" i="32"/>
  <c r="AT4" i="32"/>
  <c r="AS4" i="32"/>
  <c r="AX4" i="32"/>
  <c r="M3" i="12"/>
  <c r="AF4" i="32"/>
  <c r="AK4" i="32"/>
  <c r="K3" i="12"/>
  <c r="AE4" i="32"/>
  <c r="U131" i="32"/>
  <c r="U4" i="32"/>
  <c r="U5" i="32"/>
  <c r="U6" i="32"/>
  <c r="U7" i="32"/>
  <c r="U8" i="32"/>
  <c r="U9" i="32"/>
  <c r="U10" i="32"/>
  <c r="U11" i="32"/>
  <c r="U12" i="32"/>
  <c r="U13" i="32"/>
  <c r="U14" i="32"/>
  <c r="U15" i="32"/>
  <c r="U16" i="32"/>
  <c r="U17" i="32"/>
  <c r="U18" i="32"/>
  <c r="U19" i="32"/>
  <c r="U20" i="32"/>
  <c r="U21" i="32"/>
  <c r="U22" i="32"/>
  <c r="U23" i="32"/>
  <c r="U24" i="32"/>
  <c r="U25" i="32"/>
  <c r="U26" i="32"/>
  <c r="U27" i="32"/>
  <c r="U28" i="32"/>
  <c r="U29" i="32"/>
  <c r="U30" i="32"/>
  <c r="U31" i="32"/>
  <c r="U32" i="32"/>
  <c r="U33" i="32"/>
  <c r="U34" i="32"/>
  <c r="U35" i="32"/>
  <c r="U36" i="32"/>
  <c r="U37" i="32"/>
  <c r="U38" i="32"/>
  <c r="U39" i="32"/>
  <c r="U40" i="32"/>
  <c r="U41" i="32"/>
  <c r="U42" i="32"/>
  <c r="U43" i="32"/>
  <c r="U44" i="32"/>
  <c r="U45" i="32"/>
  <c r="U46" i="32"/>
  <c r="U47" i="32"/>
  <c r="U48" i="32"/>
  <c r="U49" i="32"/>
  <c r="U50" i="32"/>
  <c r="U51" i="32"/>
  <c r="U52" i="32"/>
  <c r="U53" i="32"/>
  <c r="U54" i="32"/>
  <c r="U55" i="32"/>
  <c r="U56" i="32"/>
  <c r="U57" i="32"/>
  <c r="U58" i="32"/>
  <c r="U59" i="32"/>
  <c r="U60" i="32"/>
  <c r="U61" i="32"/>
  <c r="U62" i="32"/>
  <c r="U63" i="32"/>
  <c r="U64" i="32"/>
  <c r="U65" i="32"/>
  <c r="U66" i="32"/>
  <c r="U67" i="32"/>
  <c r="U68" i="32"/>
  <c r="U69" i="32"/>
  <c r="U70" i="32"/>
  <c r="U71" i="32"/>
  <c r="U72" i="32"/>
  <c r="U73" i="32"/>
  <c r="U74" i="32"/>
  <c r="U75" i="32"/>
  <c r="U76" i="32"/>
  <c r="U77" i="32"/>
  <c r="U78" i="32"/>
  <c r="U79" i="32"/>
  <c r="U80" i="32"/>
  <c r="U81" i="32"/>
  <c r="U82" i="32"/>
  <c r="U83" i="32"/>
  <c r="U84" i="32"/>
  <c r="U85" i="32"/>
  <c r="U86" i="32"/>
  <c r="U87" i="32"/>
  <c r="U88" i="32"/>
  <c r="U89" i="32"/>
  <c r="U90" i="32"/>
  <c r="U91" i="32"/>
  <c r="U92" i="32"/>
  <c r="U93" i="32"/>
  <c r="U94" i="32"/>
  <c r="U95" i="32"/>
  <c r="U96" i="32"/>
  <c r="U97" i="32"/>
  <c r="U98" i="32"/>
  <c r="U99" i="32"/>
  <c r="U100" i="32"/>
  <c r="U101" i="32"/>
  <c r="U102" i="32"/>
  <c r="U103" i="32"/>
  <c r="U104" i="32"/>
  <c r="U105" i="32"/>
  <c r="U106" i="32"/>
  <c r="U107" i="32"/>
  <c r="U108" i="32"/>
  <c r="U109" i="32"/>
  <c r="U110" i="32"/>
  <c r="U111" i="32"/>
  <c r="U112" i="32"/>
  <c r="U113" i="32"/>
  <c r="U114" i="32"/>
  <c r="U115" i="32"/>
  <c r="U116" i="32"/>
  <c r="U117" i="32"/>
  <c r="U118" i="32"/>
  <c r="U119" i="32"/>
  <c r="U120" i="32"/>
  <c r="U121" i="32"/>
  <c r="U122" i="32"/>
  <c r="U123" i="32"/>
  <c r="U124" i="32"/>
  <c r="U125" i="32"/>
  <c r="U126" i="32"/>
  <c r="U127" i="32"/>
  <c r="U128" i="32"/>
  <c r="U129" i="32"/>
  <c r="U130" i="32"/>
  <c r="U132" i="32"/>
  <c r="U133" i="32"/>
  <c r="U134" i="32"/>
  <c r="U135" i="32"/>
  <c r="U136" i="32"/>
  <c r="U137" i="32"/>
  <c r="U138" i="32"/>
  <c r="U139" i="32"/>
  <c r="U140" i="32"/>
  <c r="U141" i="32"/>
  <c r="U142" i="32"/>
  <c r="U143" i="32"/>
  <c r="U144" i="32"/>
  <c r="U145" i="32"/>
  <c r="U146" i="32"/>
  <c r="U147" i="32"/>
  <c r="U148" i="32"/>
  <c r="U149" i="32"/>
  <c r="U150" i="32"/>
  <c r="U151" i="32"/>
  <c r="U152" i="32"/>
  <c r="U153" i="32"/>
  <c r="U154" i="32"/>
  <c r="U155" i="32"/>
  <c r="U156" i="32"/>
  <c r="U157" i="32"/>
  <c r="U158" i="32"/>
  <c r="U159" i="32"/>
  <c r="U160" i="32"/>
  <c r="U161" i="32"/>
  <c r="U162" i="32"/>
  <c r="U163" i="32"/>
  <c r="U164" i="32"/>
  <c r="U165" i="32"/>
  <c r="U166" i="32"/>
  <c r="U167" i="32"/>
  <c r="U168" i="32"/>
  <c r="U169" i="32"/>
  <c r="U170" i="32"/>
  <c r="U171" i="32"/>
  <c r="U172" i="32"/>
  <c r="U173" i="32"/>
  <c r="U174" i="32"/>
  <c r="U175" i="32"/>
  <c r="U176" i="32"/>
  <c r="U177" i="32"/>
  <c r="U178" i="32"/>
  <c r="U179" i="32"/>
  <c r="U180" i="32"/>
  <c r="U181" i="32"/>
  <c r="U182" i="32"/>
  <c r="U183" i="32"/>
  <c r="U184" i="32"/>
  <c r="U185" i="32"/>
  <c r="U186" i="32"/>
  <c r="U187" i="32"/>
  <c r="U188" i="32"/>
  <c r="U189" i="32"/>
  <c r="U190" i="32"/>
  <c r="U191" i="32"/>
  <c r="U192" i="32"/>
  <c r="U193" i="32"/>
  <c r="U194" i="32"/>
  <c r="U195" i="32"/>
  <c r="U196" i="32"/>
  <c r="U197" i="32"/>
  <c r="U198" i="32"/>
  <c r="U199" i="32"/>
  <c r="U200" i="32"/>
  <c r="U201" i="32"/>
  <c r="U202" i="32"/>
  <c r="U203" i="32"/>
  <c r="U204" i="32"/>
  <c r="U205" i="32"/>
  <c r="U206" i="32"/>
  <c r="U207" i="32"/>
  <c r="U208" i="32"/>
  <c r="U209" i="32"/>
  <c r="U210" i="32"/>
  <c r="U211" i="32"/>
  <c r="U212" i="32"/>
  <c r="U213" i="32"/>
  <c r="U214" i="32"/>
  <c r="U215" i="32"/>
  <c r="U216" i="32"/>
  <c r="U217" i="32"/>
  <c r="U218" i="32"/>
  <c r="U219" i="32"/>
  <c r="U220" i="32"/>
  <c r="U221" i="32"/>
  <c r="U222" i="32"/>
  <c r="U223" i="32"/>
  <c r="U224" i="32"/>
  <c r="U225" i="32"/>
  <c r="U226" i="32"/>
  <c r="U227" i="32"/>
  <c r="U228" i="32"/>
  <c r="U229" i="32"/>
  <c r="U230" i="32"/>
  <c r="U231" i="32"/>
  <c r="U232" i="32"/>
  <c r="U233" i="32"/>
  <c r="U234" i="32"/>
  <c r="U235" i="32"/>
  <c r="U236" i="32"/>
  <c r="U237" i="32"/>
  <c r="U238" i="32"/>
  <c r="U239" i="32"/>
  <c r="U240" i="32"/>
  <c r="U241" i="32"/>
  <c r="U242" i="32"/>
  <c r="U243" i="32"/>
  <c r="U244" i="32"/>
  <c r="U245" i="32"/>
  <c r="U246" i="32"/>
  <c r="U247" i="32"/>
  <c r="U248" i="32"/>
  <c r="U249" i="32"/>
  <c r="U250" i="32"/>
  <c r="U251" i="32"/>
  <c r="U252" i="32"/>
  <c r="U253" i="32"/>
  <c r="U254" i="32"/>
  <c r="U255" i="32"/>
  <c r="U256" i="32"/>
  <c r="U257" i="32"/>
  <c r="U258" i="32"/>
  <c r="U259" i="32"/>
  <c r="U260" i="32"/>
  <c r="U261" i="32"/>
  <c r="U262" i="32"/>
  <c r="U263" i="32"/>
  <c r="U264" i="32"/>
  <c r="U265" i="32"/>
  <c r="U266" i="32"/>
  <c r="U267" i="32"/>
  <c r="U268" i="32"/>
  <c r="U269" i="32"/>
  <c r="U270" i="32"/>
  <c r="U271" i="32"/>
  <c r="U272" i="32"/>
  <c r="U273" i="32"/>
  <c r="U274" i="32"/>
  <c r="U275" i="32"/>
  <c r="U276" i="32"/>
  <c r="U277" i="32"/>
  <c r="U278" i="32"/>
  <c r="U279" i="32"/>
  <c r="U280" i="32"/>
  <c r="U281" i="32"/>
  <c r="U282" i="32"/>
  <c r="U283" i="32"/>
  <c r="U284" i="32"/>
  <c r="U285" i="32"/>
  <c r="U286" i="32"/>
  <c r="U287" i="32"/>
  <c r="U288" i="32"/>
  <c r="U289" i="32"/>
  <c r="U290" i="32"/>
  <c r="U291" i="32"/>
  <c r="U292" i="32"/>
  <c r="U293" i="32"/>
  <c r="U294" i="32"/>
  <c r="U295" i="32"/>
  <c r="U296" i="32"/>
  <c r="U297" i="32"/>
  <c r="U298" i="32"/>
  <c r="U299" i="32"/>
  <c r="U300" i="32"/>
  <c r="U301" i="32"/>
  <c r="U302" i="32"/>
  <c r="U303" i="32"/>
  <c r="U304" i="32"/>
  <c r="U305" i="32"/>
  <c r="U306" i="32"/>
  <c r="U307" i="32"/>
  <c r="U308" i="32"/>
  <c r="U309" i="32"/>
  <c r="U310" i="32"/>
  <c r="U311" i="32"/>
  <c r="U312" i="32"/>
  <c r="U313" i="32"/>
  <c r="U314" i="32"/>
  <c r="U315" i="32"/>
  <c r="U316" i="32"/>
  <c r="U317" i="32"/>
  <c r="U318" i="32"/>
  <c r="U319" i="32"/>
  <c r="U320" i="32"/>
  <c r="U321" i="32"/>
  <c r="U322" i="32"/>
  <c r="U323" i="32"/>
  <c r="U324" i="32"/>
  <c r="U325" i="32"/>
  <c r="U326" i="32"/>
  <c r="U327" i="32"/>
  <c r="U328" i="32"/>
  <c r="U329" i="32"/>
  <c r="U330" i="32"/>
  <c r="U331" i="32"/>
  <c r="U332" i="32"/>
  <c r="U333" i="32"/>
  <c r="U334" i="32"/>
  <c r="U335" i="32"/>
  <c r="U336" i="32"/>
  <c r="U337" i="32"/>
  <c r="U338" i="32"/>
  <c r="R395" i="32"/>
  <c r="R5" i="32"/>
  <c r="R6" i="32"/>
  <c r="R7" i="32"/>
  <c r="R8" i="32"/>
  <c r="R9" i="32"/>
  <c r="R10" i="32"/>
  <c r="R11" i="32"/>
  <c r="R12" i="32"/>
  <c r="R13" i="32"/>
  <c r="R14" i="32"/>
  <c r="R15" i="32"/>
  <c r="R16" i="32"/>
  <c r="R17" i="32"/>
  <c r="R18" i="32"/>
  <c r="R19" i="32"/>
  <c r="R20" i="32"/>
  <c r="R21" i="32"/>
  <c r="R22" i="32"/>
  <c r="R23" i="32"/>
  <c r="R24" i="32"/>
  <c r="R25" i="32"/>
  <c r="R26" i="32"/>
  <c r="R27" i="32"/>
  <c r="R28" i="32"/>
  <c r="R29" i="32"/>
  <c r="R30" i="32"/>
  <c r="R31" i="32"/>
  <c r="R32" i="32"/>
  <c r="R33" i="32"/>
  <c r="R34" i="32"/>
  <c r="R35" i="32"/>
  <c r="R36" i="32"/>
  <c r="R37" i="32"/>
  <c r="R38" i="32"/>
  <c r="R39" i="32"/>
  <c r="R40" i="32"/>
  <c r="R41" i="32"/>
  <c r="R42" i="32"/>
  <c r="R43" i="32"/>
  <c r="R44" i="32"/>
  <c r="R45" i="32"/>
  <c r="R46" i="32"/>
  <c r="R47" i="32"/>
  <c r="R48" i="32"/>
  <c r="R49" i="32"/>
  <c r="R50" i="32"/>
  <c r="R51" i="32"/>
  <c r="R52" i="32"/>
  <c r="R53" i="32"/>
  <c r="R54" i="32"/>
  <c r="R55" i="32"/>
  <c r="R56" i="32"/>
  <c r="R57" i="32"/>
  <c r="R58" i="32"/>
  <c r="R59" i="32"/>
  <c r="R60" i="32"/>
  <c r="R61" i="32"/>
  <c r="R62" i="32"/>
  <c r="R63" i="32"/>
  <c r="R64" i="32"/>
  <c r="R65" i="32"/>
  <c r="R66" i="32"/>
  <c r="R67" i="32"/>
  <c r="R68" i="32"/>
  <c r="R69" i="32"/>
  <c r="R70" i="32"/>
  <c r="R71" i="32"/>
  <c r="R72" i="32"/>
  <c r="R73" i="32"/>
  <c r="R74" i="32"/>
  <c r="R75" i="32"/>
  <c r="R76" i="32"/>
  <c r="R77" i="32"/>
  <c r="R78" i="32"/>
  <c r="R79" i="32"/>
  <c r="R80" i="32"/>
  <c r="R81" i="32"/>
  <c r="R82" i="32"/>
  <c r="R83" i="32"/>
  <c r="R84" i="32"/>
  <c r="R85" i="32"/>
  <c r="R86" i="32"/>
  <c r="R87" i="32"/>
  <c r="R88" i="32"/>
  <c r="R89" i="32"/>
  <c r="R90" i="32"/>
  <c r="R91" i="32"/>
  <c r="R92" i="32"/>
  <c r="R93" i="32"/>
  <c r="R94" i="32"/>
  <c r="R95" i="32"/>
  <c r="R96" i="32"/>
  <c r="R97" i="32"/>
  <c r="R98" i="32"/>
  <c r="R99" i="32"/>
  <c r="R100" i="32"/>
  <c r="R101" i="32"/>
  <c r="R102" i="32"/>
  <c r="R103" i="32"/>
  <c r="R104" i="32"/>
  <c r="R105" i="32"/>
  <c r="R106" i="32"/>
  <c r="R107" i="32"/>
  <c r="R108" i="32"/>
  <c r="R109" i="32"/>
  <c r="R110" i="32"/>
  <c r="R111" i="32"/>
  <c r="R112" i="32"/>
  <c r="R113" i="32"/>
  <c r="R114" i="32"/>
  <c r="R115" i="32"/>
  <c r="R116" i="32"/>
  <c r="R117" i="32"/>
  <c r="R118" i="32"/>
  <c r="R119" i="32"/>
  <c r="R120" i="32"/>
  <c r="R121" i="32"/>
  <c r="R122" i="32"/>
  <c r="R123" i="32"/>
  <c r="R124" i="32"/>
  <c r="R125" i="32"/>
  <c r="R126" i="32"/>
  <c r="R127" i="32"/>
  <c r="R128" i="32"/>
  <c r="R129" i="32"/>
  <c r="R130" i="32"/>
  <c r="R131" i="32"/>
  <c r="R132" i="32"/>
  <c r="R133" i="32"/>
  <c r="R134" i="32"/>
  <c r="R135" i="32"/>
  <c r="R136" i="32"/>
  <c r="R137" i="32"/>
  <c r="R138" i="32"/>
  <c r="R139" i="32"/>
  <c r="R140" i="32"/>
  <c r="R141" i="32"/>
  <c r="R142" i="32"/>
  <c r="R143" i="32"/>
  <c r="R144" i="32"/>
  <c r="R145" i="32"/>
  <c r="R146" i="32"/>
  <c r="R147" i="32"/>
  <c r="R148" i="32"/>
  <c r="R149" i="32"/>
  <c r="R150" i="32"/>
  <c r="R151" i="32"/>
  <c r="R152" i="32"/>
  <c r="R153" i="32"/>
  <c r="R154" i="32"/>
  <c r="R155" i="32"/>
  <c r="R156" i="32"/>
  <c r="R157" i="32"/>
  <c r="R158" i="32"/>
  <c r="R159" i="32"/>
  <c r="R160" i="32"/>
  <c r="R161" i="32"/>
  <c r="R162" i="32"/>
  <c r="R163" i="32"/>
  <c r="R164" i="32"/>
  <c r="R165" i="32"/>
  <c r="R166" i="32"/>
  <c r="R167" i="32"/>
  <c r="R168" i="32"/>
  <c r="R169" i="32"/>
  <c r="R170" i="32"/>
  <c r="R171" i="32"/>
  <c r="R172" i="32"/>
  <c r="R173" i="32"/>
  <c r="R174" i="32"/>
  <c r="R175" i="32"/>
  <c r="R176" i="32"/>
  <c r="R177" i="32"/>
  <c r="R178" i="32"/>
  <c r="R179" i="32"/>
  <c r="R180" i="32"/>
  <c r="R181" i="32"/>
  <c r="R182" i="32"/>
  <c r="R183" i="32"/>
  <c r="R184" i="32"/>
  <c r="R185" i="32"/>
  <c r="R186" i="32"/>
  <c r="R187" i="32"/>
  <c r="R188" i="32"/>
  <c r="R189" i="32"/>
  <c r="R190" i="32"/>
  <c r="R191" i="32"/>
  <c r="R192" i="32"/>
  <c r="R193" i="32"/>
  <c r="R194" i="32"/>
  <c r="R195" i="32"/>
  <c r="R196" i="32"/>
  <c r="R197" i="32"/>
  <c r="R198" i="32"/>
  <c r="R199" i="32"/>
  <c r="R200" i="32"/>
  <c r="R201" i="32"/>
  <c r="R202" i="32"/>
  <c r="R203" i="32"/>
  <c r="R204" i="32"/>
  <c r="R205" i="32"/>
  <c r="R206" i="32"/>
  <c r="R207" i="32"/>
  <c r="R208" i="32"/>
  <c r="R209" i="32"/>
  <c r="R210" i="32"/>
  <c r="R211" i="32"/>
  <c r="R212" i="32"/>
  <c r="R213" i="32"/>
  <c r="R214" i="32"/>
  <c r="R215" i="32"/>
  <c r="R216" i="32"/>
  <c r="R217" i="32"/>
  <c r="R218" i="32"/>
  <c r="R219" i="32"/>
  <c r="R220" i="32"/>
  <c r="R221" i="32"/>
  <c r="R222" i="32"/>
  <c r="R223" i="32"/>
  <c r="R224" i="32"/>
  <c r="R225" i="32"/>
  <c r="R226" i="32"/>
  <c r="R227" i="32"/>
  <c r="R228" i="32"/>
  <c r="R229" i="32"/>
  <c r="R230" i="32"/>
  <c r="R231" i="32"/>
  <c r="R232" i="32"/>
  <c r="R233" i="32"/>
  <c r="R234" i="32"/>
  <c r="R235" i="32"/>
  <c r="R236" i="32"/>
  <c r="R237" i="32"/>
  <c r="R238" i="32"/>
  <c r="R239" i="32"/>
  <c r="R240" i="32"/>
  <c r="R241" i="32"/>
  <c r="R242" i="32"/>
  <c r="R243" i="32"/>
  <c r="R244" i="32"/>
  <c r="R245" i="32"/>
  <c r="R246" i="32"/>
  <c r="R247" i="32"/>
  <c r="R248" i="32"/>
  <c r="R249" i="32"/>
  <c r="R250" i="32"/>
  <c r="R251" i="32"/>
  <c r="R252" i="32"/>
  <c r="R253" i="32"/>
  <c r="R254" i="32"/>
  <c r="R255" i="32"/>
  <c r="R256" i="32"/>
  <c r="R257" i="32"/>
  <c r="R258" i="32"/>
  <c r="R259" i="32"/>
  <c r="R260" i="32"/>
  <c r="R261" i="32"/>
  <c r="R262" i="32"/>
  <c r="R263" i="32"/>
  <c r="R264" i="32"/>
  <c r="R265" i="32"/>
  <c r="R266" i="32"/>
  <c r="R267" i="32"/>
  <c r="R268" i="32"/>
  <c r="R269" i="32"/>
  <c r="R270" i="32"/>
  <c r="R271" i="32"/>
  <c r="R272" i="32"/>
  <c r="R273" i="32"/>
  <c r="R274" i="32"/>
  <c r="R275" i="32"/>
  <c r="R276" i="32"/>
  <c r="R277" i="32"/>
  <c r="R278" i="32"/>
  <c r="R279" i="32"/>
  <c r="R280" i="32"/>
  <c r="R281" i="32"/>
  <c r="R282" i="32"/>
  <c r="R283" i="32"/>
  <c r="R284" i="32"/>
  <c r="R285" i="32"/>
  <c r="R286" i="32"/>
  <c r="R287" i="32"/>
  <c r="R288" i="32"/>
  <c r="R289" i="32"/>
  <c r="R290" i="32"/>
  <c r="R291" i="32"/>
  <c r="R292" i="32"/>
  <c r="R293" i="32"/>
  <c r="R294" i="32"/>
  <c r="R295" i="32"/>
  <c r="R296" i="32"/>
  <c r="R297" i="32"/>
  <c r="R298" i="32"/>
  <c r="R299" i="32"/>
  <c r="R300" i="32"/>
  <c r="R301" i="32"/>
  <c r="R302" i="32"/>
  <c r="R303" i="32"/>
  <c r="R304" i="32"/>
  <c r="R305" i="32"/>
  <c r="R306" i="32"/>
  <c r="R307" i="32"/>
  <c r="R308" i="32"/>
  <c r="R309" i="32"/>
  <c r="R310" i="32"/>
  <c r="R311" i="32"/>
  <c r="R312" i="32"/>
  <c r="R313" i="32"/>
  <c r="R314" i="32"/>
  <c r="R315" i="32"/>
  <c r="R316" i="32"/>
  <c r="R317" i="32"/>
  <c r="R318" i="32"/>
  <c r="R319" i="32"/>
  <c r="R320" i="32"/>
  <c r="R321" i="32"/>
  <c r="R322" i="32"/>
  <c r="R323" i="32"/>
  <c r="R324" i="32"/>
  <c r="R325" i="32"/>
  <c r="R326" i="32"/>
  <c r="R327" i="32"/>
  <c r="R328" i="32"/>
  <c r="R329" i="32"/>
  <c r="R330" i="32"/>
  <c r="R331" i="32"/>
  <c r="R332" i="32"/>
  <c r="R333" i="32"/>
  <c r="R334" i="32"/>
  <c r="R335" i="32"/>
  <c r="R336" i="32"/>
  <c r="R337" i="32"/>
  <c r="R338" i="32"/>
  <c r="R339" i="32"/>
  <c r="R340" i="32"/>
  <c r="R341" i="32"/>
  <c r="R342" i="32"/>
  <c r="R343" i="32"/>
  <c r="R344" i="32"/>
  <c r="R345" i="32"/>
  <c r="R346" i="32"/>
  <c r="R347" i="32"/>
  <c r="R348" i="32"/>
  <c r="R349" i="32"/>
  <c r="R350" i="32"/>
  <c r="R351" i="32"/>
  <c r="R352" i="32"/>
  <c r="R353" i="32"/>
  <c r="R354" i="32"/>
  <c r="R355" i="32"/>
  <c r="R356" i="32"/>
  <c r="R357" i="32"/>
  <c r="R358" i="32"/>
  <c r="R359" i="32"/>
  <c r="R360" i="32"/>
  <c r="R361" i="32"/>
  <c r="R362" i="32"/>
  <c r="R363" i="32"/>
  <c r="R364" i="32"/>
  <c r="R365" i="32"/>
  <c r="R366" i="32"/>
  <c r="R367" i="32"/>
  <c r="R368" i="32"/>
  <c r="R369" i="32"/>
  <c r="R370" i="32"/>
  <c r="R371" i="32"/>
  <c r="R372" i="32"/>
  <c r="R373" i="32"/>
  <c r="R374" i="32"/>
  <c r="R375" i="32"/>
  <c r="R376" i="32"/>
  <c r="R377" i="32"/>
  <c r="R378" i="32"/>
  <c r="R379" i="32"/>
  <c r="R380" i="32"/>
  <c r="R381" i="32"/>
  <c r="R382" i="32"/>
  <c r="R383" i="32"/>
  <c r="R384" i="32"/>
  <c r="R385" i="32"/>
  <c r="R386" i="32"/>
  <c r="R387" i="32"/>
  <c r="R388" i="32"/>
  <c r="R389" i="32"/>
  <c r="R390" i="32"/>
  <c r="R391" i="32"/>
  <c r="R392" i="32"/>
  <c r="R393" i="32"/>
  <c r="R394" i="32"/>
  <c r="R396" i="32"/>
  <c r="R397" i="32"/>
  <c r="R398" i="32"/>
  <c r="R399" i="32"/>
  <c r="R400" i="32"/>
  <c r="R401" i="32"/>
  <c r="R402" i="32"/>
  <c r="R403" i="32"/>
  <c r="R404" i="32"/>
  <c r="R405" i="32"/>
  <c r="R406" i="32"/>
  <c r="R407" i="32"/>
  <c r="R408" i="32"/>
  <c r="R409" i="32"/>
  <c r="R410" i="32"/>
  <c r="R411" i="32"/>
  <c r="R412" i="32"/>
  <c r="R413" i="32"/>
  <c r="R414" i="32"/>
  <c r="R415" i="32"/>
  <c r="R416" i="32"/>
  <c r="R417" i="32"/>
  <c r="R418" i="32"/>
  <c r="R419" i="32"/>
  <c r="R420" i="32"/>
  <c r="R421" i="32"/>
  <c r="R422" i="32"/>
  <c r="R423" i="32"/>
  <c r="R424" i="32"/>
  <c r="R425" i="32"/>
  <c r="R426" i="32"/>
  <c r="R427" i="32"/>
  <c r="R428" i="32"/>
  <c r="R429" i="32"/>
  <c r="R430" i="32"/>
  <c r="R431" i="32"/>
  <c r="R432" i="32"/>
  <c r="R433" i="32"/>
  <c r="R434" i="32"/>
  <c r="R435" i="32"/>
  <c r="R436" i="32"/>
  <c r="R437" i="32"/>
  <c r="R438" i="32"/>
  <c r="R439" i="32"/>
  <c r="R440" i="32"/>
  <c r="R441" i="32"/>
  <c r="R442" i="32"/>
  <c r="R443" i="32"/>
  <c r="R444" i="32"/>
  <c r="R445" i="32"/>
  <c r="R446" i="32"/>
  <c r="R447" i="32"/>
  <c r="R448" i="32"/>
  <c r="R449" i="32"/>
  <c r="R450" i="32"/>
  <c r="R451" i="32"/>
  <c r="R452" i="32"/>
  <c r="R453" i="32"/>
  <c r="R454" i="32"/>
  <c r="R455" i="32"/>
  <c r="R456" i="32"/>
  <c r="R457" i="32"/>
  <c r="R458" i="32"/>
  <c r="R459" i="32"/>
  <c r="R460" i="32"/>
  <c r="R461" i="32"/>
  <c r="R462" i="32"/>
  <c r="R463" i="32"/>
  <c r="R464" i="32"/>
  <c r="R465" i="32"/>
  <c r="R466" i="32"/>
  <c r="R467" i="32"/>
  <c r="R468" i="32"/>
  <c r="R469" i="32"/>
  <c r="R470" i="32"/>
  <c r="R471" i="32"/>
  <c r="R472" i="32"/>
  <c r="R473" i="32"/>
  <c r="R474" i="32"/>
  <c r="R475" i="32"/>
  <c r="R476" i="32"/>
  <c r="R477" i="32"/>
  <c r="R478" i="32"/>
  <c r="R479" i="32"/>
  <c r="R480" i="32"/>
  <c r="R481" i="32"/>
  <c r="R482" i="32"/>
  <c r="R483" i="32"/>
  <c r="R484" i="32"/>
  <c r="R485" i="32"/>
  <c r="R486" i="32"/>
  <c r="R487" i="32"/>
  <c r="R488" i="32"/>
  <c r="R489" i="32"/>
  <c r="R490" i="32"/>
  <c r="R491" i="32"/>
  <c r="R492" i="32"/>
  <c r="R493" i="32"/>
  <c r="R494" i="32"/>
  <c r="R495" i="32"/>
  <c r="R496" i="32"/>
  <c r="R497" i="32"/>
  <c r="R498" i="32"/>
  <c r="R499" i="32"/>
  <c r="R500" i="32"/>
  <c r="R501" i="32"/>
  <c r="R502" i="32"/>
  <c r="R503" i="32"/>
  <c r="R504" i="32"/>
  <c r="R505" i="32"/>
  <c r="R506" i="32"/>
  <c r="R507" i="32"/>
  <c r="R508" i="32"/>
  <c r="R509" i="32"/>
  <c r="R510" i="32"/>
  <c r="R511" i="32"/>
  <c r="R512" i="32"/>
  <c r="R513" i="32"/>
  <c r="R514" i="32"/>
  <c r="R515" i="32"/>
  <c r="R516" i="32"/>
  <c r="R517" i="32"/>
  <c r="R518" i="32"/>
  <c r="R519" i="32"/>
  <c r="R520" i="32"/>
  <c r="R521" i="32"/>
  <c r="R522" i="32"/>
  <c r="R523" i="32"/>
  <c r="R524" i="32"/>
  <c r="R525" i="32"/>
  <c r="M4" i="32"/>
  <c r="R4" i="32"/>
  <c r="T4" i="32"/>
  <c r="T5" i="32"/>
  <c r="T6" i="32"/>
  <c r="T7" i="32"/>
  <c r="T8" i="32"/>
  <c r="T9" i="32"/>
  <c r="T10" i="32"/>
  <c r="T11" i="32"/>
  <c r="T12" i="32"/>
  <c r="T13" i="32"/>
  <c r="T14" i="32"/>
  <c r="T15" i="32"/>
  <c r="T16" i="32"/>
  <c r="T17" i="32"/>
  <c r="T18" i="32"/>
  <c r="T19" i="32"/>
  <c r="T20" i="32"/>
  <c r="T21" i="32"/>
  <c r="T22" i="32"/>
  <c r="T23" i="32"/>
  <c r="T24" i="32"/>
  <c r="T25" i="32"/>
  <c r="T26" i="32"/>
  <c r="T27" i="32"/>
  <c r="T28" i="32"/>
  <c r="T29" i="32"/>
  <c r="T30" i="32"/>
  <c r="T31" i="32"/>
  <c r="T32" i="32"/>
  <c r="T33" i="32"/>
  <c r="T34" i="32"/>
  <c r="T35" i="32"/>
  <c r="T36" i="32"/>
  <c r="T37" i="32"/>
  <c r="T38" i="32"/>
  <c r="T39" i="32"/>
  <c r="T40" i="32"/>
  <c r="T41" i="32"/>
  <c r="T42" i="32"/>
  <c r="T43" i="32"/>
  <c r="T44" i="32"/>
  <c r="T45" i="32"/>
  <c r="T46" i="32"/>
  <c r="T47" i="32"/>
  <c r="T48" i="32"/>
  <c r="T49" i="32"/>
  <c r="T50" i="32"/>
  <c r="T51" i="32"/>
  <c r="T52" i="32"/>
  <c r="T53" i="32"/>
  <c r="T54" i="32"/>
  <c r="T55" i="32"/>
  <c r="T56" i="32"/>
  <c r="T57" i="32"/>
  <c r="T58" i="32"/>
  <c r="T59" i="32"/>
  <c r="T60" i="32"/>
  <c r="T61" i="32"/>
  <c r="T62" i="32"/>
  <c r="T63" i="32"/>
  <c r="T64" i="32"/>
  <c r="T65" i="32"/>
  <c r="T66" i="32"/>
  <c r="T67" i="32"/>
  <c r="T68" i="32"/>
  <c r="T69" i="32"/>
  <c r="T70" i="32"/>
  <c r="T71" i="32"/>
  <c r="T72" i="32"/>
  <c r="T73" i="32"/>
  <c r="T74" i="32"/>
  <c r="T75" i="32"/>
  <c r="T76" i="32"/>
  <c r="T77" i="32"/>
  <c r="T78" i="32"/>
  <c r="T79" i="32"/>
  <c r="T80" i="32"/>
  <c r="T81" i="32"/>
  <c r="T82" i="32"/>
  <c r="T83" i="32"/>
  <c r="T84" i="32"/>
  <c r="T85" i="32"/>
  <c r="T86" i="32"/>
  <c r="T87" i="32"/>
  <c r="T88" i="32"/>
  <c r="T89" i="32"/>
  <c r="T90" i="32"/>
  <c r="T91" i="32"/>
  <c r="T92" i="32"/>
  <c r="T93" i="32"/>
  <c r="T94" i="32"/>
  <c r="T95" i="32"/>
  <c r="T96" i="32"/>
  <c r="T97" i="32"/>
  <c r="T98" i="32"/>
  <c r="T99" i="32"/>
  <c r="T100" i="32"/>
  <c r="T101" i="32"/>
  <c r="T102" i="32"/>
  <c r="T103" i="32"/>
  <c r="T104" i="32"/>
  <c r="T105" i="32"/>
  <c r="T106" i="32"/>
  <c r="T107" i="32"/>
  <c r="T108" i="32"/>
  <c r="T109" i="32"/>
  <c r="T110" i="32"/>
  <c r="T111" i="32"/>
  <c r="T112" i="32"/>
  <c r="T113" i="32"/>
  <c r="T114" i="32"/>
  <c r="T115" i="32"/>
  <c r="T116" i="32"/>
  <c r="T117" i="32"/>
  <c r="T118" i="32"/>
  <c r="T119" i="32"/>
  <c r="T120" i="32"/>
  <c r="T121" i="32"/>
  <c r="T122" i="32"/>
  <c r="T123" i="32"/>
  <c r="T124" i="32"/>
  <c r="T125" i="32"/>
  <c r="T126" i="32"/>
  <c r="T127" i="32"/>
  <c r="T128" i="32"/>
  <c r="T129" i="32"/>
  <c r="T130" i="32"/>
  <c r="T131" i="32"/>
  <c r="T132" i="32"/>
  <c r="T133" i="32"/>
  <c r="T134" i="32"/>
  <c r="T135" i="32"/>
  <c r="T136" i="32"/>
  <c r="T137" i="32"/>
  <c r="T138" i="32"/>
  <c r="T139" i="32"/>
  <c r="T140" i="32"/>
  <c r="T141" i="32"/>
  <c r="T142" i="32"/>
  <c r="T143" i="32"/>
  <c r="T144" i="32"/>
  <c r="T145" i="32"/>
  <c r="T146" i="32"/>
  <c r="T147" i="32"/>
  <c r="T148" i="32"/>
  <c r="T149" i="32"/>
  <c r="T150" i="32"/>
  <c r="T151" i="32"/>
  <c r="T152" i="32"/>
  <c r="T153" i="32"/>
  <c r="T154" i="32"/>
  <c r="T155" i="32"/>
  <c r="T156" i="32"/>
  <c r="T157" i="32"/>
  <c r="T158" i="32"/>
  <c r="T159" i="32"/>
  <c r="T160" i="32"/>
  <c r="T161" i="32"/>
  <c r="T162" i="32"/>
  <c r="T163" i="32"/>
  <c r="T164" i="32"/>
  <c r="T165" i="32"/>
  <c r="T166" i="32"/>
  <c r="T167" i="32"/>
  <c r="T168" i="32"/>
  <c r="T169" i="32"/>
  <c r="T170" i="32"/>
  <c r="T171" i="32"/>
  <c r="T172" i="32"/>
  <c r="T173" i="32"/>
  <c r="T174" i="32"/>
  <c r="T175" i="32"/>
  <c r="T176" i="32"/>
  <c r="T177" i="32"/>
  <c r="T178" i="32"/>
  <c r="T179" i="32"/>
  <c r="T180" i="32"/>
  <c r="T181" i="32"/>
  <c r="T182" i="32"/>
  <c r="T183" i="32"/>
  <c r="T184" i="32"/>
  <c r="T185" i="32"/>
  <c r="T186" i="32"/>
  <c r="T187" i="32"/>
  <c r="T188" i="32"/>
  <c r="T189" i="32"/>
  <c r="T190" i="32"/>
  <c r="T191" i="32"/>
  <c r="T192" i="32"/>
  <c r="T193" i="32"/>
  <c r="T194" i="32"/>
  <c r="T195" i="32"/>
  <c r="T196" i="32"/>
  <c r="T197" i="32"/>
  <c r="T198" i="32"/>
  <c r="T199" i="32"/>
  <c r="T200" i="32"/>
  <c r="T201" i="32"/>
  <c r="T202" i="32"/>
  <c r="T203" i="32"/>
  <c r="T204" i="32"/>
  <c r="T205" i="32"/>
  <c r="T206" i="32"/>
  <c r="T207" i="32"/>
  <c r="T208" i="32"/>
  <c r="T209" i="32"/>
  <c r="T210" i="32"/>
  <c r="T211" i="32"/>
  <c r="T212" i="32"/>
  <c r="T213" i="32"/>
  <c r="T214" i="32"/>
  <c r="T215" i="32"/>
  <c r="T216" i="32"/>
  <c r="T217" i="32"/>
  <c r="T218" i="32"/>
  <c r="T219" i="32"/>
  <c r="T220" i="32"/>
  <c r="T221" i="32"/>
  <c r="T222" i="32"/>
  <c r="T223" i="32"/>
  <c r="T224" i="32"/>
  <c r="T225" i="32"/>
  <c r="T226" i="32"/>
  <c r="T227" i="32"/>
  <c r="T228" i="32"/>
  <c r="T229" i="32"/>
  <c r="T230" i="32"/>
  <c r="T231" i="32"/>
  <c r="T232" i="32"/>
  <c r="T233" i="32"/>
  <c r="T234" i="32"/>
  <c r="T235" i="32"/>
  <c r="T236" i="32"/>
  <c r="T237" i="32"/>
  <c r="T238" i="32"/>
  <c r="T239" i="32"/>
  <c r="T240" i="32"/>
  <c r="T241" i="32"/>
  <c r="T242" i="32"/>
  <c r="T243" i="32"/>
  <c r="T245" i="32"/>
  <c r="T246" i="32"/>
  <c r="T247" i="32"/>
  <c r="T248" i="32"/>
  <c r="T249" i="32"/>
  <c r="T250" i="32"/>
  <c r="T251" i="32"/>
  <c r="T252" i="32"/>
  <c r="T253" i="32"/>
  <c r="T254" i="32"/>
  <c r="T255" i="32"/>
  <c r="T256" i="32"/>
  <c r="T257" i="32"/>
  <c r="T258" i="32"/>
  <c r="T259" i="32"/>
  <c r="T260" i="32"/>
  <c r="T261" i="32"/>
  <c r="T262" i="32"/>
  <c r="T263" i="32"/>
  <c r="T264" i="32"/>
  <c r="T265" i="32"/>
  <c r="T266" i="32"/>
  <c r="T267" i="32"/>
  <c r="T268" i="32"/>
  <c r="T269" i="32"/>
  <c r="T270" i="32"/>
  <c r="T271" i="32"/>
  <c r="T272" i="32"/>
  <c r="T273" i="32"/>
  <c r="T274" i="32"/>
  <c r="T275" i="32"/>
  <c r="T276" i="32"/>
  <c r="T277" i="32"/>
  <c r="T278" i="32"/>
  <c r="T279" i="32"/>
  <c r="T280" i="32"/>
  <c r="T281" i="32"/>
  <c r="T282" i="32"/>
  <c r="T283" i="32"/>
  <c r="T284" i="32"/>
  <c r="T285" i="32"/>
  <c r="T286" i="32"/>
  <c r="T287" i="32"/>
  <c r="T288" i="32"/>
  <c r="T289" i="32"/>
  <c r="T290" i="32"/>
  <c r="T291" i="32"/>
  <c r="T292" i="32"/>
  <c r="T293" i="32"/>
  <c r="T294" i="32"/>
  <c r="T295" i="32"/>
  <c r="T296" i="32"/>
  <c r="T297" i="32"/>
  <c r="T298" i="32"/>
  <c r="T299" i="32"/>
  <c r="T300" i="32"/>
  <c r="T301" i="32"/>
  <c r="T302" i="32"/>
  <c r="T303" i="32"/>
  <c r="T304" i="32"/>
  <c r="T305" i="32"/>
  <c r="T306" i="32"/>
  <c r="T307" i="32"/>
  <c r="T308" i="32"/>
  <c r="T309" i="32"/>
  <c r="T310" i="32"/>
  <c r="T311" i="32"/>
  <c r="T312" i="32"/>
  <c r="T313" i="32"/>
  <c r="T314" i="32"/>
  <c r="T315" i="32"/>
  <c r="T316" i="32"/>
  <c r="T317" i="32"/>
  <c r="T318" i="32"/>
  <c r="T319" i="32"/>
  <c r="T320" i="32"/>
  <c r="T321" i="32"/>
  <c r="T322" i="32"/>
  <c r="T323" i="32"/>
  <c r="T324" i="32"/>
  <c r="T325" i="32"/>
  <c r="T326" i="32"/>
  <c r="T327" i="32"/>
  <c r="T328" i="32"/>
  <c r="T329" i="32"/>
  <c r="T330" i="32"/>
  <c r="T331" i="32"/>
  <c r="T332" i="32"/>
  <c r="T333" i="32"/>
  <c r="T334" i="32"/>
  <c r="T335" i="32"/>
  <c r="T336" i="32"/>
  <c r="T337" i="32"/>
  <c r="T338" i="32"/>
  <c r="T339" i="32"/>
  <c r="T340" i="32"/>
  <c r="Q5" i="32"/>
  <c r="Q6" i="32"/>
  <c r="Q7" i="32"/>
  <c r="Q8" i="32"/>
  <c r="Q9" i="32"/>
  <c r="Q10" i="32"/>
  <c r="Q11" i="32"/>
  <c r="Q12" i="32"/>
  <c r="Q13" i="32"/>
  <c r="Q14" i="32"/>
  <c r="Q15" i="32"/>
  <c r="Q16" i="32"/>
  <c r="Q17" i="32"/>
  <c r="Q18" i="32"/>
  <c r="Q19" i="32"/>
  <c r="Q20" i="32"/>
  <c r="Q21" i="32"/>
  <c r="Q22" i="32"/>
  <c r="Q23" i="32"/>
  <c r="Q24" i="32"/>
  <c r="Q25" i="32"/>
  <c r="Q26" i="32"/>
  <c r="Q27" i="32"/>
  <c r="Q28" i="32"/>
  <c r="Q29" i="32"/>
  <c r="Q30" i="32"/>
  <c r="Q31" i="32"/>
  <c r="Q32" i="32"/>
  <c r="Q33" i="32"/>
  <c r="Q34" i="32"/>
  <c r="Q35" i="32"/>
  <c r="Q36" i="32"/>
  <c r="Q37" i="32"/>
  <c r="Q38" i="32"/>
  <c r="Q39" i="32"/>
  <c r="Q40" i="32"/>
  <c r="Q41" i="32"/>
  <c r="Q42" i="32"/>
  <c r="Q43" i="32"/>
  <c r="Q44" i="32"/>
  <c r="Q45" i="32"/>
  <c r="Q46" i="32"/>
  <c r="Q47" i="32"/>
  <c r="Q48" i="32"/>
  <c r="Q49" i="32"/>
  <c r="Q50" i="32"/>
  <c r="Q51" i="32"/>
  <c r="Q52" i="32"/>
  <c r="Q53" i="32"/>
  <c r="Q54" i="32"/>
  <c r="Q55" i="32"/>
  <c r="Q56" i="32"/>
  <c r="Q57" i="32"/>
  <c r="Q58" i="32"/>
  <c r="Q59" i="32"/>
  <c r="Q60" i="32"/>
  <c r="Q61" i="32"/>
  <c r="Q62" i="32"/>
  <c r="Q63" i="32"/>
  <c r="Q64" i="32"/>
  <c r="Q65" i="32"/>
  <c r="Q66" i="32"/>
  <c r="Q67" i="32"/>
  <c r="Q68" i="32"/>
  <c r="Q69" i="32"/>
  <c r="Q70" i="32"/>
  <c r="Q71" i="32"/>
  <c r="Q72" i="32"/>
  <c r="Q73" i="32"/>
  <c r="Q74" i="32"/>
  <c r="Q75" i="32"/>
  <c r="Q76" i="32"/>
  <c r="Q77" i="32"/>
  <c r="Q78" i="32"/>
  <c r="Q79" i="32"/>
  <c r="Q80" i="32"/>
  <c r="Q81" i="32"/>
  <c r="Q82" i="32"/>
  <c r="Q83" i="32"/>
  <c r="Q84" i="32"/>
  <c r="Q85" i="32"/>
  <c r="Q86" i="32"/>
  <c r="Q87" i="32"/>
  <c r="Q88" i="32"/>
  <c r="Q89" i="32"/>
  <c r="Q90" i="32"/>
  <c r="Q91" i="32"/>
  <c r="Q92" i="32"/>
  <c r="Q93" i="32"/>
  <c r="Q94" i="32"/>
  <c r="Q95" i="32"/>
  <c r="Q96" i="32"/>
  <c r="Q97" i="32"/>
  <c r="Q98" i="32"/>
  <c r="Q99" i="32"/>
  <c r="Q100" i="32"/>
  <c r="Q101" i="32"/>
  <c r="Q102" i="32"/>
  <c r="Q103" i="32"/>
  <c r="Q104" i="32"/>
  <c r="Q105" i="32"/>
  <c r="Q106" i="32"/>
  <c r="Q107" i="32"/>
  <c r="Q108" i="32"/>
  <c r="Q109" i="32"/>
  <c r="Q110" i="32"/>
  <c r="Q111" i="32"/>
  <c r="Q112" i="32"/>
  <c r="Q113" i="32"/>
  <c r="Q114" i="32"/>
  <c r="Q115" i="32"/>
  <c r="Q116" i="32"/>
  <c r="Q117" i="32"/>
  <c r="Q118" i="32"/>
  <c r="Q119" i="32"/>
  <c r="Q120" i="32"/>
  <c r="Q121" i="32"/>
  <c r="Q122" i="32"/>
  <c r="Q123" i="32"/>
  <c r="Q124" i="32"/>
  <c r="Q125" i="32"/>
  <c r="Q126" i="32"/>
  <c r="Q127" i="32"/>
  <c r="Q128" i="32"/>
  <c r="Q129" i="32"/>
  <c r="Q130" i="32"/>
  <c r="Q131" i="32"/>
  <c r="Q132" i="32"/>
  <c r="Q133" i="32"/>
  <c r="Q134" i="32"/>
  <c r="Q135" i="32"/>
  <c r="Q136" i="32"/>
  <c r="Q137" i="32"/>
  <c r="Q138" i="32"/>
  <c r="Q139" i="32"/>
  <c r="Q140" i="32"/>
  <c r="Q141" i="32"/>
  <c r="Q142" i="32"/>
  <c r="Q143" i="32"/>
  <c r="Q144" i="32"/>
  <c r="Q145" i="32"/>
  <c r="Q146" i="32"/>
  <c r="Q147" i="32"/>
  <c r="Q148" i="32"/>
  <c r="Q149" i="32"/>
  <c r="Q150" i="32"/>
  <c r="Q151" i="32"/>
  <c r="Q152" i="32"/>
  <c r="Q153" i="32"/>
  <c r="Q154" i="32"/>
  <c r="Q155" i="32"/>
  <c r="Q156" i="32"/>
  <c r="Q157" i="32"/>
  <c r="Q158" i="32"/>
  <c r="Q159" i="32"/>
  <c r="Q160" i="32"/>
  <c r="Q161" i="32"/>
  <c r="Q162" i="32"/>
  <c r="Q163" i="32"/>
  <c r="Q164" i="32"/>
  <c r="Q165" i="32"/>
  <c r="Q166" i="32"/>
  <c r="Q167" i="32"/>
  <c r="Q168" i="32"/>
  <c r="Q169" i="32"/>
  <c r="Q170" i="32"/>
  <c r="Q171" i="32"/>
  <c r="Q172" i="32"/>
  <c r="Q173" i="32"/>
  <c r="Q174" i="32"/>
  <c r="Q175" i="32"/>
  <c r="Q176" i="32"/>
  <c r="Q177" i="32"/>
  <c r="Q178" i="32"/>
  <c r="Q179" i="32"/>
  <c r="Q180" i="32"/>
  <c r="Q181" i="32"/>
  <c r="Q182" i="32"/>
  <c r="Q183" i="32"/>
  <c r="Q184" i="32"/>
  <c r="Q185" i="32"/>
  <c r="Q186" i="32"/>
  <c r="Q187" i="32"/>
  <c r="Q188" i="32"/>
  <c r="Q189" i="32"/>
  <c r="Q190" i="32"/>
  <c r="Q191" i="32"/>
  <c r="Q192" i="32"/>
  <c r="Q193" i="32"/>
  <c r="Q194" i="32"/>
  <c r="Q195" i="32"/>
  <c r="Q196" i="32"/>
  <c r="Q197" i="32"/>
  <c r="Q198" i="32"/>
  <c r="Q199" i="32"/>
  <c r="Q200" i="32"/>
  <c r="Q201" i="32"/>
  <c r="Q202" i="32"/>
  <c r="Q203" i="32"/>
  <c r="Q204" i="32"/>
  <c r="Q205" i="32"/>
  <c r="Q206" i="32"/>
  <c r="Q207" i="32"/>
  <c r="Q208" i="32"/>
  <c r="Q209" i="32"/>
  <c r="Q210" i="32"/>
  <c r="Q211" i="32"/>
  <c r="Q212" i="32"/>
  <c r="Q213" i="32"/>
  <c r="Q214" i="32"/>
  <c r="Q215" i="32"/>
  <c r="Q216" i="32"/>
  <c r="Q217" i="32"/>
  <c r="Q218" i="32"/>
  <c r="Q219" i="32"/>
  <c r="Q220" i="32"/>
  <c r="Q221" i="32"/>
  <c r="Q222" i="32"/>
  <c r="Q223" i="32"/>
  <c r="Q224" i="32"/>
  <c r="Q225" i="32"/>
  <c r="Q226" i="32"/>
  <c r="Q227" i="32"/>
  <c r="Q228" i="32"/>
  <c r="Q229" i="32"/>
  <c r="Q230" i="32"/>
  <c r="Q231" i="32"/>
  <c r="Q232" i="32"/>
  <c r="Q233" i="32"/>
  <c r="Q234" i="32"/>
  <c r="Q235" i="32"/>
  <c r="Q236" i="32"/>
  <c r="Q237" i="32"/>
  <c r="Q238" i="32"/>
  <c r="Q239" i="32"/>
  <c r="Q240" i="32"/>
  <c r="Q241" i="32"/>
  <c r="Q242" i="32"/>
  <c r="Q243" i="32"/>
  <c r="Q244" i="32"/>
  <c r="Q245" i="32"/>
  <c r="Q246" i="32"/>
  <c r="Q247" i="32"/>
  <c r="Q248" i="32"/>
  <c r="Q249" i="32"/>
  <c r="Q250" i="32"/>
  <c r="Q251" i="32"/>
  <c r="Q252" i="32"/>
  <c r="Q253" i="32"/>
  <c r="Q254" i="32"/>
  <c r="Q255" i="32"/>
  <c r="Q256" i="32"/>
  <c r="Q257" i="32"/>
  <c r="Q258" i="32"/>
  <c r="Q259" i="32"/>
  <c r="Q260" i="32"/>
  <c r="Q261" i="32"/>
  <c r="Q262" i="32"/>
  <c r="Q263" i="32"/>
  <c r="Q264" i="32"/>
  <c r="Q265" i="32"/>
  <c r="Q266" i="32"/>
  <c r="Q267" i="32"/>
  <c r="Q268" i="32"/>
  <c r="Q269" i="32"/>
  <c r="Q270" i="32"/>
  <c r="Q271" i="32"/>
  <c r="Q272" i="32"/>
  <c r="Q273" i="32"/>
  <c r="Q274" i="32"/>
  <c r="Q275" i="32"/>
  <c r="Q276" i="32"/>
  <c r="Q277" i="32"/>
  <c r="Q278" i="32"/>
  <c r="Q279" i="32"/>
  <c r="Q280" i="32"/>
  <c r="Q281" i="32"/>
  <c r="Q282" i="32"/>
  <c r="Q283" i="32"/>
  <c r="Q284" i="32"/>
  <c r="Q285" i="32"/>
  <c r="Q286" i="32"/>
  <c r="Q287" i="32"/>
  <c r="Q288" i="32"/>
  <c r="Q289" i="32"/>
  <c r="Q290" i="32"/>
  <c r="Q291" i="32"/>
  <c r="Q292" i="32"/>
  <c r="Q293" i="32"/>
  <c r="Q294" i="32"/>
  <c r="Q295" i="32"/>
  <c r="Q296" i="32"/>
  <c r="Q297" i="32"/>
  <c r="Q298" i="32"/>
  <c r="Q299" i="32"/>
  <c r="Q300" i="32"/>
  <c r="Q301" i="32"/>
  <c r="Q302" i="32"/>
  <c r="Q303" i="32"/>
  <c r="Q304" i="32"/>
  <c r="Q305" i="32"/>
  <c r="Q306" i="32"/>
  <c r="Q307" i="32"/>
  <c r="Q308" i="32"/>
  <c r="Q309" i="32"/>
  <c r="Q310" i="32"/>
  <c r="Q311" i="32"/>
  <c r="Q312" i="32"/>
  <c r="Q313" i="32"/>
  <c r="Q314" i="32"/>
  <c r="Q315" i="32"/>
  <c r="Q316" i="32"/>
  <c r="Q317" i="32"/>
  <c r="Q318" i="32"/>
  <c r="Q319" i="32"/>
  <c r="Q320" i="32"/>
  <c r="Q321" i="32"/>
  <c r="Q322" i="32"/>
  <c r="Q323" i="32"/>
  <c r="Q324" i="32"/>
  <c r="Q325" i="32"/>
  <c r="Q326" i="32"/>
  <c r="Q327" i="32"/>
  <c r="Q328" i="32"/>
  <c r="Q329" i="32"/>
  <c r="Q330" i="32"/>
  <c r="Q331" i="32"/>
  <c r="Q332" i="32"/>
  <c r="Q333" i="32"/>
  <c r="Q334" i="32"/>
  <c r="Q335" i="32"/>
  <c r="Q336" i="32"/>
  <c r="Q337" i="32"/>
  <c r="Q338" i="32"/>
  <c r="Q339" i="32"/>
  <c r="Q340" i="32"/>
  <c r="Q341" i="32"/>
  <c r="Q342" i="32"/>
  <c r="Q343" i="32"/>
  <c r="Q344" i="32"/>
  <c r="Q345" i="32"/>
  <c r="Q346" i="32"/>
  <c r="Q347" i="32"/>
  <c r="Q348" i="32"/>
  <c r="Q349" i="32"/>
  <c r="Q350" i="32"/>
  <c r="Q351" i="32"/>
  <c r="Q352" i="32"/>
  <c r="Q353" i="32"/>
  <c r="Q354" i="32"/>
  <c r="Q355" i="32"/>
  <c r="Q356" i="32"/>
  <c r="Q357" i="32"/>
  <c r="Q358" i="32"/>
  <c r="Q359" i="32"/>
  <c r="Q360" i="32"/>
  <c r="Q361" i="32"/>
  <c r="Q362" i="32"/>
  <c r="Q363" i="32"/>
  <c r="Q364" i="32"/>
  <c r="Q365" i="32"/>
  <c r="Q366" i="32"/>
  <c r="Q367" i="32"/>
  <c r="Q368" i="32"/>
  <c r="Q369" i="32"/>
  <c r="Q370" i="32"/>
  <c r="Q371" i="32"/>
  <c r="Q372" i="32"/>
  <c r="Q373" i="32"/>
  <c r="Q374" i="32"/>
  <c r="Q375" i="32"/>
  <c r="Q376" i="32"/>
  <c r="Q377" i="32"/>
  <c r="Q378" i="32"/>
  <c r="Q379" i="32"/>
  <c r="Q380" i="32"/>
  <c r="Q381" i="32"/>
  <c r="Q382" i="32"/>
  <c r="Q383" i="32"/>
  <c r="Q384" i="32"/>
  <c r="Q385" i="32"/>
  <c r="Q386" i="32"/>
  <c r="Q387" i="32"/>
  <c r="Q388" i="32"/>
  <c r="Q389" i="32"/>
  <c r="Q390" i="32"/>
  <c r="Q391" i="32"/>
  <c r="Q392" i="32"/>
  <c r="Q393" i="32"/>
  <c r="Q394" i="32"/>
  <c r="Q395" i="32"/>
  <c r="Q396" i="32"/>
  <c r="Q397" i="32"/>
  <c r="Q398" i="32"/>
  <c r="Q399" i="32"/>
  <c r="Q400" i="32"/>
  <c r="Q401" i="32"/>
  <c r="Q402" i="32"/>
  <c r="Q403" i="32"/>
  <c r="Q404" i="32"/>
  <c r="Q405" i="32"/>
  <c r="Q406" i="32"/>
  <c r="Q407" i="32"/>
  <c r="Q408" i="32"/>
  <c r="Q409" i="32"/>
  <c r="Q410" i="32"/>
  <c r="Q411" i="32"/>
  <c r="Q412" i="32"/>
  <c r="Q413" i="32"/>
  <c r="Q414" i="32"/>
  <c r="Q415" i="32"/>
  <c r="Q416" i="32"/>
  <c r="Q417" i="32"/>
  <c r="Q418" i="32"/>
  <c r="Q419" i="32"/>
  <c r="Q420" i="32"/>
  <c r="Q421" i="32"/>
  <c r="Q422" i="32"/>
  <c r="Q423" i="32"/>
  <c r="Q424" i="32"/>
  <c r="Q425" i="32"/>
  <c r="Q426" i="32"/>
  <c r="Q427" i="32"/>
  <c r="Q428" i="32"/>
  <c r="Q429" i="32"/>
  <c r="Q430" i="32"/>
  <c r="Q431" i="32"/>
  <c r="Q432" i="32"/>
  <c r="Q433" i="32"/>
  <c r="Q434" i="32"/>
  <c r="Q435" i="32"/>
  <c r="Q436" i="32"/>
  <c r="Q437" i="32"/>
  <c r="Q438" i="32"/>
  <c r="Q439" i="32"/>
  <c r="Q440" i="32"/>
  <c r="Q441" i="32"/>
  <c r="Q442" i="32"/>
  <c r="Q443" i="32"/>
  <c r="Q444" i="32"/>
  <c r="Q445" i="32"/>
  <c r="Q446" i="32"/>
  <c r="Q447" i="32"/>
  <c r="Q448" i="32"/>
  <c r="Q449" i="32"/>
  <c r="Q450" i="32"/>
  <c r="Q451" i="32"/>
  <c r="Q452" i="32"/>
  <c r="Q453" i="32"/>
  <c r="Q454" i="32"/>
  <c r="Q455" i="32"/>
  <c r="Q456" i="32"/>
  <c r="Q457" i="32"/>
  <c r="Q458" i="32"/>
  <c r="Q459" i="32"/>
  <c r="Q460" i="32"/>
  <c r="Q461" i="32"/>
  <c r="Q462" i="32"/>
  <c r="Q463" i="32"/>
  <c r="Q464" i="32"/>
  <c r="Q465" i="32"/>
  <c r="Q466" i="32"/>
  <c r="Q467" i="32"/>
  <c r="Q468" i="32"/>
  <c r="Q469" i="32"/>
  <c r="Q470" i="32"/>
  <c r="Q471" i="32"/>
  <c r="Q472" i="32"/>
  <c r="Q473" i="32"/>
  <c r="Q474" i="32"/>
  <c r="Q475" i="32"/>
  <c r="Q476" i="32"/>
  <c r="Q477" i="32"/>
  <c r="Q478" i="32"/>
  <c r="Q479" i="32"/>
  <c r="Q480" i="32"/>
  <c r="Q481" i="32"/>
  <c r="Q482" i="32"/>
  <c r="Q483" i="32"/>
  <c r="Q484" i="32"/>
  <c r="Q485" i="32"/>
  <c r="Q486" i="32"/>
  <c r="Q487" i="32"/>
  <c r="Q488" i="32"/>
  <c r="Q489" i="32"/>
  <c r="Q490" i="32"/>
  <c r="Q491" i="32"/>
  <c r="Q492" i="32"/>
  <c r="Q493" i="32"/>
  <c r="Q494" i="32"/>
  <c r="Q495" i="32"/>
  <c r="Q496" i="32"/>
  <c r="Q497" i="32"/>
  <c r="Q498" i="32"/>
  <c r="Q499" i="32"/>
  <c r="Q500" i="32"/>
  <c r="Q501" i="32"/>
  <c r="Q502" i="32"/>
  <c r="Q503" i="32"/>
  <c r="Q504" i="32"/>
  <c r="Q505" i="32"/>
  <c r="Q506" i="32"/>
  <c r="Q507" i="32"/>
  <c r="Q508" i="32"/>
  <c r="Q509" i="32"/>
  <c r="Q510" i="32"/>
  <c r="Q511" i="32"/>
  <c r="Q512" i="32"/>
  <c r="Q513" i="32"/>
  <c r="Q514" i="32"/>
  <c r="Q515" i="32"/>
  <c r="Q516" i="32"/>
  <c r="Q517" i="32"/>
  <c r="Q518" i="32"/>
  <c r="Q519" i="32"/>
  <c r="Q520" i="32"/>
  <c r="Q521" i="32"/>
  <c r="Q522" i="32"/>
  <c r="Q523" i="32"/>
  <c r="Q524" i="32"/>
  <c r="Q525" i="32"/>
  <c r="CQ6" i="32"/>
  <c r="CQ7" i="32"/>
  <c r="CQ8" i="32"/>
  <c r="CQ9" i="32"/>
  <c r="CQ10" i="32"/>
  <c r="CQ11" i="32"/>
  <c r="CQ12" i="32"/>
  <c r="CQ13" i="32"/>
  <c r="CQ14" i="32"/>
  <c r="CQ15" i="32"/>
  <c r="CQ16" i="32"/>
  <c r="CQ17" i="32"/>
  <c r="CQ18" i="32"/>
  <c r="CQ19" i="32"/>
  <c r="CQ20" i="32"/>
  <c r="CQ21" i="32"/>
  <c r="CQ22" i="32"/>
  <c r="CQ23" i="32"/>
  <c r="CQ24" i="32"/>
  <c r="CQ25" i="32"/>
  <c r="CQ26" i="32"/>
  <c r="CQ27" i="32"/>
  <c r="CQ28" i="32"/>
  <c r="CQ29" i="32"/>
  <c r="CQ30" i="32"/>
  <c r="CQ31" i="32"/>
  <c r="CQ32" i="32"/>
  <c r="CQ33" i="32"/>
  <c r="CQ34" i="32"/>
  <c r="CQ35" i="32"/>
  <c r="CQ36" i="32"/>
  <c r="CQ37" i="32"/>
  <c r="CQ38" i="32"/>
  <c r="CQ39" i="32"/>
  <c r="CQ40" i="32"/>
  <c r="CQ41" i="32"/>
  <c r="CQ42" i="32"/>
  <c r="CQ43" i="32"/>
  <c r="CQ44" i="32"/>
  <c r="CQ45" i="32"/>
  <c r="CQ46" i="32"/>
  <c r="CQ47" i="32"/>
  <c r="CQ48" i="32"/>
  <c r="CQ49" i="32"/>
  <c r="CQ50" i="32"/>
  <c r="CQ51" i="32"/>
  <c r="CQ52" i="32"/>
  <c r="CQ53" i="32"/>
  <c r="CQ54" i="32"/>
  <c r="CQ55" i="32"/>
  <c r="CQ56" i="32"/>
  <c r="CQ57" i="32"/>
  <c r="CQ58" i="32"/>
  <c r="CQ59" i="32"/>
  <c r="CQ60" i="32"/>
  <c r="CQ61" i="32"/>
  <c r="CQ62" i="32"/>
  <c r="CQ63" i="32"/>
  <c r="CQ64" i="32"/>
  <c r="CQ65" i="32"/>
  <c r="CQ66" i="32"/>
  <c r="CQ67" i="32"/>
  <c r="CQ68" i="32"/>
  <c r="CQ69" i="32"/>
  <c r="CQ70" i="32"/>
  <c r="CQ71" i="32"/>
  <c r="CQ72" i="32"/>
  <c r="CQ73" i="32"/>
  <c r="CQ74" i="32"/>
  <c r="CQ75" i="32"/>
  <c r="CQ76" i="32"/>
  <c r="CQ77" i="32"/>
  <c r="CQ78" i="32"/>
  <c r="CQ79" i="32"/>
  <c r="CQ80" i="32"/>
  <c r="CQ81" i="32"/>
  <c r="CQ82" i="32"/>
  <c r="CQ83" i="32"/>
  <c r="CQ84" i="32"/>
  <c r="CQ85" i="32"/>
  <c r="CQ86" i="32"/>
  <c r="CQ87" i="32"/>
  <c r="CQ88" i="32"/>
  <c r="CQ89" i="32"/>
  <c r="CQ90" i="32"/>
  <c r="CQ91" i="32"/>
  <c r="CQ92" i="32"/>
  <c r="CQ93" i="32"/>
  <c r="CQ94" i="32"/>
  <c r="CQ95" i="32"/>
  <c r="CQ96" i="32"/>
  <c r="CQ97" i="32"/>
  <c r="CQ98" i="32"/>
  <c r="CQ99" i="32"/>
  <c r="CQ100" i="32"/>
  <c r="CQ101" i="32"/>
  <c r="CQ102" i="32"/>
  <c r="CQ103" i="32"/>
  <c r="CQ104" i="32"/>
  <c r="CQ105" i="32"/>
  <c r="CQ106" i="32"/>
  <c r="CQ107" i="32"/>
  <c r="CQ108" i="32"/>
  <c r="CQ109" i="32"/>
  <c r="CQ110" i="32"/>
  <c r="CQ111" i="32"/>
  <c r="CQ112" i="32"/>
  <c r="CQ113" i="32"/>
  <c r="CQ114" i="32"/>
  <c r="CQ115" i="32"/>
  <c r="CQ116" i="32"/>
  <c r="CQ117" i="32"/>
  <c r="CQ118" i="32"/>
  <c r="CQ119" i="32"/>
  <c r="CQ120" i="32"/>
  <c r="CQ121" i="32"/>
  <c r="CQ122" i="32"/>
  <c r="CQ123" i="32"/>
  <c r="CQ124" i="32"/>
  <c r="CQ125" i="32"/>
  <c r="CQ126" i="32"/>
  <c r="CQ127" i="32"/>
  <c r="CQ128" i="32"/>
  <c r="CQ129" i="32"/>
  <c r="CQ130" i="32"/>
  <c r="CQ131" i="32"/>
  <c r="CQ132" i="32"/>
  <c r="CQ133" i="32"/>
  <c r="CQ134" i="32"/>
  <c r="CQ135" i="32"/>
  <c r="CQ136" i="32"/>
  <c r="CQ137" i="32"/>
  <c r="CQ138" i="32"/>
  <c r="CQ139" i="32"/>
  <c r="CQ140" i="32"/>
  <c r="CQ141" i="32"/>
  <c r="CQ142" i="32"/>
  <c r="CQ143" i="32"/>
  <c r="CQ144" i="32"/>
  <c r="CQ145" i="32"/>
  <c r="CQ146" i="32"/>
  <c r="CQ147" i="32"/>
  <c r="CQ148" i="32"/>
  <c r="CQ149" i="32"/>
  <c r="CQ150" i="32"/>
  <c r="CQ151" i="32"/>
  <c r="CQ152" i="32"/>
  <c r="CQ153" i="32"/>
  <c r="CQ154" i="32"/>
  <c r="CQ155" i="32"/>
  <c r="CQ156" i="32"/>
  <c r="CQ157" i="32"/>
  <c r="CQ158" i="32"/>
  <c r="CQ159" i="32"/>
  <c r="CQ160" i="32"/>
  <c r="CQ161" i="32"/>
  <c r="CQ162" i="32"/>
  <c r="CQ163" i="32"/>
  <c r="CQ164" i="32"/>
  <c r="CQ165" i="32"/>
  <c r="CQ166" i="32"/>
  <c r="CQ167" i="32"/>
  <c r="CQ168" i="32"/>
  <c r="CQ169" i="32"/>
  <c r="CQ170" i="32"/>
  <c r="CQ171" i="32"/>
  <c r="CQ172" i="32"/>
  <c r="CQ173" i="32"/>
  <c r="CQ174" i="32"/>
  <c r="CQ175" i="32"/>
  <c r="CQ176" i="32"/>
  <c r="CQ177" i="32"/>
  <c r="CQ178" i="32"/>
  <c r="CQ179" i="32"/>
  <c r="CQ180" i="32"/>
  <c r="CQ181" i="32"/>
  <c r="CQ182" i="32"/>
  <c r="CQ183" i="32"/>
  <c r="CQ184" i="32"/>
  <c r="CQ185" i="32"/>
  <c r="CQ186" i="32"/>
  <c r="CQ187" i="32"/>
  <c r="CQ188" i="32"/>
  <c r="CQ189" i="32"/>
  <c r="CQ190" i="32"/>
  <c r="CQ191" i="32"/>
  <c r="CQ192" i="32"/>
  <c r="CQ193" i="32"/>
  <c r="CQ194" i="32"/>
  <c r="CQ195" i="32"/>
  <c r="CQ196" i="32"/>
  <c r="CQ197" i="32"/>
  <c r="CQ198" i="32"/>
  <c r="CQ199" i="32"/>
  <c r="CQ200" i="32"/>
  <c r="CQ201" i="32"/>
  <c r="CQ202" i="32"/>
  <c r="CQ203" i="32"/>
  <c r="CQ204" i="32"/>
  <c r="CQ205" i="32"/>
  <c r="CQ206" i="32"/>
  <c r="CQ207" i="32"/>
  <c r="CQ208" i="32"/>
  <c r="CQ209" i="32"/>
  <c r="CQ210" i="32"/>
  <c r="CQ211" i="32"/>
  <c r="CQ212" i="32"/>
  <c r="CQ213" i="32"/>
  <c r="CQ214" i="32"/>
  <c r="CQ215" i="32"/>
  <c r="CQ216" i="32"/>
  <c r="CQ217" i="32"/>
  <c r="CQ218" i="32"/>
  <c r="CQ219" i="32"/>
  <c r="CQ220" i="32"/>
  <c r="CQ221" i="32"/>
  <c r="CQ222" i="32"/>
  <c r="CQ223" i="32"/>
  <c r="CQ224" i="32"/>
  <c r="CQ225" i="32"/>
  <c r="CQ226" i="32"/>
  <c r="CQ227" i="32"/>
  <c r="CQ228" i="32"/>
  <c r="CQ229" i="32"/>
  <c r="CQ230" i="32"/>
  <c r="CQ231" i="32"/>
  <c r="CQ232" i="32"/>
  <c r="CQ233" i="32"/>
  <c r="CQ234" i="32"/>
  <c r="CQ235" i="32"/>
  <c r="CQ236" i="32"/>
  <c r="CQ237" i="32"/>
  <c r="CQ238" i="32"/>
  <c r="CQ239" i="32"/>
  <c r="CQ240" i="32"/>
  <c r="CQ241" i="32"/>
  <c r="CQ242" i="32"/>
  <c r="CQ243" i="32"/>
  <c r="CQ244" i="32"/>
  <c r="CQ245" i="32"/>
  <c r="CQ246" i="32"/>
  <c r="CQ247" i="32"/>
  <c r="CQ248" i="32"/>
  <c r="CQ249" i="32"/>
  <c r="CQ250" i="32"/>
  <c r="CQ251" i="32"/>
  <c r="CQ252" i="32"/>
  <c r="CQ253" i="32"/>
  <c r="CQ254" i="32"/>
  <c r="CQ255" i="32"/>
  <c r="CQ256" i="32"/>
  <c r="CQ257" i="32"/>
  <c r="CQ258" i="32"/>
  <c r="CQ259" i="32"/>
  <c r="CQ260" i="32"/>
  <c r="CQ261" i="32"/>
  <c r="CQ262" i="32"/>
  <c r="CQ263" i="32"/>
  <c r="CQ264" i="32"/>
  <c r="CQ265" i="32"/>
  <c r="CQ266" i="32"/>
  <c r="CQ267" i="32"/>
  <c r="CQ268" i="32"/>
  <c r="CQ269" i="32"/>
  <c r="CQ270" i="32"/>
  <c r="CQ271" i="32"/>
  <c r="CQ272" i="32"/>
  <c r="CQ273" i="32"/>
  <c r="CQ274" i="32"/>
  <c r="CQ275" i="32"/>
  <c r="CQ276" i="32"/>
  <c r="CQ277" i="32"/>
  <c r="CQ278" i="32"/>
  <c r="CQ279" i="32"/>
  <c r="CQ280" i="32"/>
  <c r="CQ281" i="32"/>
  <c r="CQ282" i="32"/>
  <c r="CQ283" i="32"/>
  <c r="CQ284" i="32"/>
  <c r="CQ285" i="32"/>
  <c r="CQ286" i="32"/>
  <c r="CQ287" i="32"/>
  <c r="CQ288" i="32"/>
  <c r="CQ289" i="32"/>
  <c r="CQ290" i="32"/>
  <c r="CQ291" i="32"/>
  <c r="CQ292" i="32"/>
  <c r="CQ293" i="32"/>
  <c r="CQ294" i="32"/>
  <c r="CQ295" i="32"/>
  <c r="CQ296" i="32"/>
  <c r="CQ297" i="32"/>
  <c r="CQ298" i="32"/>
  <c r="CQ299" i="32"/>
  <c r="CQ300" i="32"/>
  <c r="CQ301" i="32"/>
  <c r="CQ302" i="32"/>
  <c r="CQ303" i="32"/>
  <c r="CQ304" i="32"/>
  <c r="CQ305" i="32"/>
  <c r="CQ306" i="32"/>
  <c r="CQ307" i="32"/>
  <c r="CQ308" i="32"/>
  <c r="CQ309" i="32"/>
  <c r="CQ310" i="32"/>
  <c r="CQ311" i="32"/>
  <c r="CQ312" i="32"/>
  <c r="CQ313" i="32"/>
  <c r="CQ314" i="32"/>
  <c r="CQ315" i="32"/>
  <c r="CQ316" i="32"/>
  <c r="CQ317" i="32"/>
  <c r="CQ318" i="32"/>
  <c r="CQ319" i="32"/>
  <c r="CQ320" i="32"/>
  <c r="CQ321" i="32"/>
  <c r="CQ322" i="32"/>
  <c r="CQ323" i="32"/>
  <c r="CQ324" i="32"/>
  <c r="CQ325" i="32"/>
  <c r="CQ326" i="32"/>
  <c r="CQ327" i="32"/>
  <c r="CQ328" i="32"/>
  <c r="CQ329" i="32"/>
  <c r="CQ330" i="32"/>
  <c r="CQ331" i="32"/>
  <c r="CQ332" i="32"/>
  <c r="CQ333" i="32"/>
  <c r="CQ334" i="32"/>
  <c r="CQ335" i="32"/>
  <c r="CQ336" i="32"/>
  <c r="CQ337" i="32"/>
  <c r="CQ338" i="32"/>
  <c r="CQ339" i="32"/>
  <c r="CQ340" i="32"/>
  <c r="CQ341" i="32"/>
  <c r="CQ342" i="32"/>
  <c r="CQ343" i="32"/>
  <c r="CQ344" i="32"/>
  <c r="CQ345" i="32"/>
  <c r="CQ346" i="32"/>
  <c r="CQ347" i="32"/>
  <c r="CQ348" i="32"/>
  <c r="CQ349" i="32"/>
  <c r="CQ350" i="32"/>
  <c r="CQ351" i="32"/>
  <c r="CQ352" i="32"/>
  <c r="CQ353" i="32"/>
  <c r="CQ354" i="32"/>
  <c r="CQ355" i="32"/>
  <c r="CQ356" i="32"/>
  <c r="CQ357" i="32"/>
  <c r="CQ358" i="32"/>
  <c r="CQ359" i="32"/>
  <c r="CQ360" i="32"/>
  <c r="CQ361" i="32"/>
  <c r="CQ362" i="32"/>
  <c r="CQ363" i="32"/>
  <c r="CQ364" i="32"/>
  <c r="CQ365" i="32"/>
  <c r="CQ366" i="32"/>
  <c r="CQ367" i="32"/>
  <c r="CQ368" i="32"/>
  <c r="CQ369" i="32"/>
  <c r="CQ370" i="32"/>
  <c r="CQ371" i="32"/>
  <c r="CQ372" i="32"/>
  <c r="CQ373" i="32"/>
  <c r="CQ374" i="32"/>
  <c r="CQ375" i="32"/>
  <c r="CQ376" i="32"/>
  <c r="CQ377" i="32"/>
  <c r="CQ378" i="32"/>
  <c r="CQ379" i="32"/>
  <c r="CQ380" i="32"/>
  <c r="CQ381" i="32"/>
  <c r="CQ382" i="32"/>
  <c r="CQ383" i="32"/>
  <c r="CQ384" i="32"/>
  <c r="CQ385" i="32"/>
  <c r="CQ386" i="32"/>
  <c r="CQ387" i="32"/>
  <c r="CQ388" i="32"/>
  <c r="CQ389" i="32"/>
  <c r="CQ390" i="32"/>
  <c r="CQ391" i="32"/>
  <c r="CQ392" i="32"/>
  <c r="CQ393" i="32"/>
  <c r="CQ394" i="32"/>
  <c r="CQ395" i="32"/>
  <c r="CQ396" i="32"/>
  <c r="CQ397" i="32"/>
  <c r="CQ398" i="32"/>
  <c r="CQ399" i="32"/>
  <c r="CQ400" i="32"/>
  <c r="CQ401" i="32"/>
  <c r="CQ402" i="32"/>
  <c r="CQ403" i="32"/>
  <c r="CQ404" i="32"/>
  <c r="CQ405" i="32"/>
  <c r="CQ406" i="32"/>
  <c r="CQ407" i="32"/>
  <c r="CQ408" i="32"/>
  <c r="CQ409" i="32"/>
  <c r="CQ410" i="32"/>
  <c r="CQ411" i="32"/>
  <c r="CQ412" i="32"/>
  <c r="CQ413" i="32"/>
  <c r="CQ414" i="32"/>
  <c r="CQ415" i="32"/>
  <c r="CQ416" i="32"/>
  <c r="CQ417" i="32"/>
  <c r="CQ418" i="32"/>
  <c r="CQ419" i="32"/>
  <c r="CQ420" i="32"/>
  <c r="CQ421" i="32"/>
  <c r="CQ422" i="32"/>
  <c r="CQ423" i="32"/>
  <c r="CQ424" i="32"/>
  <c r="CQ425" i="32"/>
  <c r="CQ426" i="32"/>
  <c r="CQ427" i="32"/>
  <c r="CQ428" i="32"/>
  <c r="CQ429" i="32"/>
  <c r="CQ430" i="32"/>
  <c r="CQ431" i="32"/>
  <c r="CQ432" i="32"/>
  <c r="CQ433" i="32"/>
  <c r="CQ434" i="32"/>
  <c r="CQ435" i="32"/>
  <c r="CQ436" i="32"/>
  <c r="CQ437" i="32"/>
  <c r="CQ438" i="32"/>
  <c r="CQ439" i="32"/>
  <c r="CQ440" i="32"/>
  <c r="CQ441" i="32"/>
  <c r="CQ442" i="32"/>
  <c r="CQ443" i="32"/>
  <c r="CQ444" i="32"/>
  <c r="CP5" i="32"/>
  <c r="CO5" i="32"/>
  <c r="D571" i="35"/>
  <c r="D571" i="16"/>
  <c r="L750" i="31"/>
  <c r="CA445" i="32"/>
  <c r="BC5" i="32"/>
  <c r="BC6" i="32"/>
  <c r="BC7" i="32"/>
  <c r="BC8" i="32"/>
  <c r="BC9" i="32"/>
  <c r="BC10" i="32"/>
  <c r="BC11" i="32"/>
  <c r="BC12" i="32"/>
  <c r="BC13" i="32"/>
  <c r="BC14" i="32"/>
  <c r="BC15" i="32"/>
  <c r="BC16" i="32"/>
  <c r="BC17" i="32"/>
  <c r="BC18" i="32"/>
  <c r="BC19" i="32"/>
  <c r="BC20" i="32"/>
  <c r="BC21" i="32"/>
  <c r="BC22" i="32"/>
  <c r="BC23" i="32"/>
  <c r="BC24" i="32"/>
  <c r="BC25" i="32"/>
  <c r="BC26" i="32"/>
  <c r="BC27" i="32"/>
  <c r="BC28" i="32"/>
  <c r="BC29" i="32"/>
  <c r="BC30" i="32"/>
  <c r="BC31" i="32"/>
  <c r="BC32" i="32"/>
  <c r="BC33" i="32"/>
  <c r="BC34" i="32"/>
  <c r="BC35" i="32"/>
  <c r="BC36" i="32"/>
  <c r="BC37" i="32"/>
  <c r="BC38" i="32"/>
  <c r="BC39" i="32"/>
  <c r="BC40" i="32"/>
  <c r="BC41" i="32"/>
  <c r="BC42" i="32"/>
  <c r="BC43" i="32"/>
  <c r="BC44" i="32"/>
  <c r="BC45" i="32"/>
  <c r="BC46" i="32"/>
  <c r="BC47" i="32"/>
  <c r="BC48" i="32"/>
  <c r="BC49" i="32"/>
  <c r="BC50" i="32"/>
  <c r="BC51" i="32"/>
  <c r="BC52" i="32"/>
  <c r="BC53" i="32"/>
  <c r="BC54" i="32"/>
  <c r="BC55" i="32"/>
  <c r="BC56" i="32"/>
  <c r="BC57" i="32"/>
  <c r="BC58" i="32"/>
  <c r="BC59" i="32"/>
  <c r="BC60" i="32"/>
  <c r="BC61" i="32"/>
  <c r="BC62" i="32"/>
  <c r="BC63" i="32"/>
  <c r="BC64" i="32"/>
  <c r="BC65" i="32"/>
  <c r="BC66" i="32"/>
  <c r="BC67" i="32"/>
  <c r="BC68" i="32"/>
  <c r="BC69" i="32"/>
  <c r="BC70" i="32"/>
  <c r="BC71" i="32"/>
  <c r="BC72" i="32"/>
  <c r="BC73" i="32"/>
  <c r="BC74" i="32"/>
  <c r="BC75" i="32"/>
  <c r="BC76" i="32"/>
  <c r="BC77" i="32"/>
  <c r="BC78" i="32"/>
  <c r="BC79" i="32"/>
  <c r="BC80" i="32"/>
  <c r="BC81" i="32"/>
  <c r="BC82" i="32"/>
  <c r="BC83" i="32"/>
  <c r="BC84" i="32"/>
  <c r="BC85" i="32"/>
  <c r="BC86" i="32"/>
  <c r="BC87" i="32"/>
  <c r="BC88" i="32"/>
  <c r="BC89" i="32"/>
  <c r="BC90" i="32"/>
  <c r="BC91" i="32"/>
  <c r="BC92" i="32"/>
  <c r="BC93" i="32"/>
  <c r="BC94" i="32"/>
  <c r="BC95" i="32"/>
  <c r="BC96" i="32"/>
  <c r="BC97" i="32"/>
  <c r="BC98" i="32"/>
  <c r="BC99" i="32"/>
  <c r="BC100" i="32"/>
  <c r="BC101" i="32"/>
  <c r="BC102" i="32"/>
  <c r="BC103" i="32"/>
  <c r="BC104" i="32"/>
  <c r="BC105" i="32"/>
  <c r="BC106" i="32"/>
  <c r="BC107" i="32"/>
  <c r="BC108" i="32"/>
  <c r="BC109" i="32"/>
  <c r="BC110" i="32"/>
  <c r="BC111" i="32"/>
  <c r="BC112" i="32"/>
  <c r="BC113" i="32"/>
  <c r="BC114" i="32"/>
  <c r="BC115" i="32"/>
  <c r="BC116" i="32"/>
  <c r="BC117" i="32"/>
  <c r="BC118" i="32"/>
  <c r="BC119" i="32"/>
  <c r="BC120" i="32"/>
  <c r="BC121" i="32"/>
  <c r="BC122" i="32"/>
  <c r="BC123" i="32"/>
  <c r="BC124" i="32"/>
  <c r="BC125" i="32"/>
  <c r="BC126" i="32"/>
  <c r="BC127" i="32"/>
  <c r="BC128" i="32"/>
  <c r="BC129" i="32"/>
  <c r="BC130" i="32"/>
  <c r="BC131" i="32"/>
  <c r="BC132" i="32"/>
  <c r="BC133" i="32"/>
  <c r="BC134" i="32"/>
  <c r="BC135" i="32"/>
  <c r="BC136" i="32"/>
  <c r="BC137" i="32"/>
  <c r="BC138" i="32"/>
  <c r="BC139" i="32"/>
  <c r="BC140" i="32"/>
  <c r="BC141" i="32"/>
  <c r="BC142" i="32"/>
  <c r="BC143" i="32"/>
  <c r="BC144" i="32"/>
  <c r="BC145" i="32"/>
  <c r="BC146" i="32"/>
  <c r="BC147" i="32"/>
  <c r="BC148" i="32"/>
  <c r="BC149" i="32"/>
  <c r="BC150" i="32"/>
  <c r="BC151" i="32"/>
  <c r="BC152" i="32"/>
  <c r="BC153" i="32"/>
  <c r="BC154" i="32"/>
  <c r="BC155" i="32"/>
  <c r="BC156" i="32"/>
  <c r="BC157" i="32"/>
  <c r="BC158" i="32"/>
  <c r="BC159" i="32"/>
  <c r="BC160" i="32"/>
  <c r="BC161" i="32"/>
  <c r="BC162" i="32"/>
  <c r="BC163" i="32"/>
  <c r="BC164" i="32"/>
  <c r="BC165" i="32"/>
  <c r="BC166" i="32"/>
  <c r="BC167" i="32"/>
  <c r="BC168" i="32"/>
  <c r="BC169" i="32"/>
  <c r="BC170" i="32"/>
  <c r="BC171" i="32"/>
  <c r="BC172" i="32"/>
  <c r="BC173" i="32"/>
  <c r="BC174" i="32"/>
  <c r="BC175" i="32"/>
  <c r="BC176" i="32"/>
  <c r="BC177" i="32"/>
  <c r="BC178" i="32"/>
  <c r="BC179" i="32"/>
  <c r="BC180" i="32"/>
  <c r="BC181" i="32"/>
  <c r="BC182" i="32"/>
  <c r="BC183" i="32"/>
  <c r="BC184" i="32"/>
  <c r="BC185" i="32"/>
  <c r="BC186" i="32"/>
  <c r="BC187" i="32"/>
  <c r="BC188" i="32"/>
  <c r="BC189" i="32"/>
  <c r="BC190" i="32"/>
  <c r="BC191" i="32"/>
  <c r="BC192" i="32"/>
  <c r="BC193" i="32"/>
  <c r="BC194" i="32"/>
  <c r="BC195" i="32"/>
  <c r="BC196" i="32"/>
  <c r="BC197" i="32"/>
  <c r="BC198" i="32"/>
  <c r="BC199" i="32"/>
  <c r="BC200" i="32"/>
  <c r="BC201" i="32"/>
  <c r="BC202" i="32"/>
  <c r="BC203" i="32"/>
  <c r="BC204" i="32"/>
  <c r="BC205" i="32"/>
  <c r="BC206" i="32"/>
  <c r="BC207" i="32"/>
  <c r="BC208" i="32"/>
  <c r="BC209" i="32"/>
  <c r="BC210" i="32"/>
  <c r="BC211" i="32"/>
  <c r="BC212" i="32"/>
  <c r="BC213" i="32"/>
  <c r="BC214" i="32"/>
  <c r="BC215" i="32"/>
  <c r="BC216" i="32"/>
  <c r="BC217" i="32"/>
  <c r="BC218" i="32"/>
  <c r="BC219" i="32"/>
  <c r="BC220" i="32"/>
  <c r="BC221" i="32"/>
  <c r="BC222" i="32"/>
  <c r="BC223" i="32"/>
  <c r="BC224" i="32"/>
  <c r="BC225" i="32"/>
  <c r="BC226" i="32"/>
  <c r="BC227" i="32"/>
  <c r="BC228" i="32"/>
  <c r="BC229" i="32"/>
  <c r="BC230" i="32"/>
  <c r="BC231" i="32"/>
  <c r="BC232" i="32"/>
  <c r="BC233" i="32"/>
  <c r="BC234" i="32"/>
  <c r="BC235" i="32"/>
  <c r="BC236" i="32"/>
  <c r="BC237" i="32"/>
  <c r="BC238" i="32"/>
  <c r="BC239" i="32"/>
  <c r="BC240" i="32"/>
  <c r="BC241" i="32"/>
  <c r="BC242" i="32"/>
  <c r="BC243" i="32"/>
  <c r="BC244" i="32"/>
  <c r="BC245" i="32"/>
  <c r="BC246" i="32"/>
  <c r="BC247" i="32"/>
  <c r="BC248" i="32"/>
  <c r="BC249" i="32"/>
  <c r="BC250" i="32"/>
  <c r="BC251" i="32"/>
  <c r="BC252" i="32"/>
  <c r="BC253" i="32"/>
  <c r="BC254" i="32"/>
  <c r="BC255" i="32"/>
  <c r="BC256" i="32"/>
  <c r="BC257" i="32"/>
  <c r="BC258" i="32"/>
  <c r="BC259" i="32"/>
  <c r="BC260" i="32"/>
  <c r="BC261" i="32"/>
  <c r="BC262" i="32"/>
  <c r="BC263" i="32"/>
  <c r="BC264" i="32"/>
  <c r="BC265" i="32"/>
  <c r="BC266" i="32"/>
  <c r="BC267" i="32"/>
  <c r="BC268" i="32"/>
  <c r="BC269" i="32"/>
  <c r="BC270" i="32"/>
  <c r="BC271" i="32"/>
  <c r="BC272" i="32"/>
  <c r="BC273" i="32"/>
  <c r="BC274" i="32"/>
  <c r="BC275" i="32"/>
  <c r="BC276" i="32"/>
  <c r="BC277" i="32"/>
  <c r="BC278" i="32"/>
  <c r="BC279" i="32"/>
  <c r="BC280" i="32"/>
  <c r="BC281" i="32"/>
  <c r="BC282" i="32"/>
  <c r="BC283" i="32"/>
  <c r="BC284" i="32"/>
  <c r="BC285" i="32"/>
  <c r="BC286" i="32"/>
  <c r="BC287" i="32"/>
  <c r="BC288" i="32"/>
  <c r="BC289" i="32"/>
  <c r="BC290" i="32"/>
  <c r="BC291" i="32"/>
  <c r="BC292" i="32"/>
  <c r="BC293" i="32"/>
  <c r="BC294" i="32"/>
  <c r="BC295" i="32"/>
  <c r="BC296" i="32"/>
  <c r="BC297" i="32"/>
  <c r="BC298" i="32"/>
  <c r="BC299" i="32"/>
  <c r="BC300" i="32"/>
  <c r="BC301" i="32"/>
  <c r="BC302" i="32"/>
  <c r="BC303" i="32"/>
  <c r="BC304" i="32"/>
  <c r="BC305" i="32"/>
  <c r="BC306" i="32"/>
  <c r="BC307" i="32"/>
  <c r="BC308" i="32"/>
  <c r="BC309" i="32"/>
  <c r="BC310" i="32"/>
  <c r="BC311" i="32"/>
  <c r="BC312" i="32"/>
  <c r="BC313" i="32"/>
  <c r="BC314" i="32"/>
  <c r="BC315" i="32"/>
  <c r="BC316" i="32"/>
  <c r="BC317" i="32"/>
  <c r="BC318" i="32"/>
  <c r="BC319" i="32"/>
  <c r="BC320" i="32"/>
  <c r="BC321" i="32"/>
  <c r="BC322" i="32"/>
  <c r="BC323" i="32"/>
  <c r="BC324" i="32"/>
  <c r="BC325" i="32"/>
  <c r="BC326" i="32"/>
  <c r="BC327" i="32"/>
  <c r="BC328" i="32"/>
  <c r="BC329" i="32"/>
  <c r="BC330" i="32"/>
  <c r="BC331" i="32"/>
  <c r="BC332" i="32"/>
  <c r="BC333" i="32"/>
  <c r="BC334" i="32"/>
  <c r="BC335" i="32"/>
  <c r="BC336" i="32"/>
  <c r="BC337" i="32"/>
  <c r="BC338" i="32"/>
  <c r="BC339" i="32"/>
  <c r="BC340" i="32"/>
  <c r="BC341" i="32"/>
  <c r="BC342" i="32"/>
  <c r="BC343" i="32"/>
  <c r="BC344" i="32"/>
  <c r="BC345" i="32"/>
  <c r="BC346" i="32"/>
  <c r="BC347" i="32"/>
  <c r="BC348" i="32"/>
  <c r="BC349" i="32"/>
  <c r="BC350" i="32"/>
  <c r="BC351" i="32"/>
  <c r="BC352" i="32"/>
  <c r="BC353" i="32"/>
  <c r="BC354" i="32"/>
  <c r="BC355" i="32"/>
  <c r="BC356" i="32"/>
  <c r="BC357" i="32"/>
  <c r="BC358" i="32"/>
  <c r="BC359" i="32"/>
  <c r="BC360" i="32"/>
  <c r="BC361" i="32"/>
  <c r="BC362" i="32"/>
  <c r="BC363" i="32"/>
  <c r="BC364" i="32"/>
  <c r="BC365" i="32"/>
  <c r="BC366" i="32"/>
  <c r="BC367" i="32"/>
  <c r="BC368" i="32"/>
  <c r="BC369" i="32"/>
  <c r="BC370" i="32"/>
  <c r="BC371" i="32"/>
  <c r="BC372" i="32"/>
  <c r="BC373" i="32"/>
  <c r="BC374" i="32"/>
  <c r="BC375" i="32"/>
  <c r="BC376" i="32"/>
  <c r="BC377" i="32"/>
  <c r="BC378" i="32"/>
  <c r="BC379" i="32"/>
  <c r="BC380" i="32"/>
  <c r="BC381" i="32"/>
  <c r="BC382" i="32"/>
  <c r="BC383" i="32"/>
  <c r="BC384" i="32"/>
  <c r="BC385" i="32"/>
  <c r="BC386" i="32"/>
  <c r="BC387" i="32"/>
  <c r="BC388" i="32"/>
  <c r="BC389" i="32"/>
  <c r="BC390" i="32"/>
  <c r="BC391" i="32"/>
  <c r="BC392" i="32"/>
  <c r="BC393" i="32"/>
  <c r="BC394" i="32"/>
  <c r="BC395" i="32"/>
  <c r="BC396" i="32"/>
  <c r="BC397" i="32"/>
  <c r="BC398" i="32"/>
  <c r="BC399" i="32"/>
  <c r="BC400" i="32"/>
  <c r="BC401" i="32"/>
  <c r="BC402" i="32"/>
  <c r="BC403" i="32"/>
  <c r="BC404" i="32"/>
  <c r="BC405" i="32"/>
  <c r="BC406" i="32"/>
  <c r="BC407" i="32"/>
  <c r="BC408" i="32"/>
  <c r="BC409" i="32"/>
  <c r="BC410" i="32"/>
  <c r="BC411" i="32"/>
  <c r="BC412" i="32"/>
  <c r="BC413" i="32"/>
  <c r="BC414" i="32"/>
  <c r="BC415" i="32"/>
  <c r="BC416" i="32"/>
  <c r="BC417" i="32"/>
  <c r="BC418" i="32"/>
  <c r="BC419" i="32"/>
  <c r="BC420" i="32"/>
  <c r="BC4" i="32"/>
  <c r="BD5" i="32"/>
  <c r="BD6" i="32"/>
  <c r="BD7" i="32"/>
  <c r="BD8" i="32"/>
  <c r="BD9" i="32"/>
  <c r="BD10" i="32"/>
  <c r="BD11" i="32"/>
  <c r="BD12" i="32"/>
  <c r="BD13" i="32"/>
  <c r="BD14" i="32"/>
  <c r="BD15" i="32"/>
  <c r="BD16" i="32"/>
  <c r="BD17" i="32"/>
  <c r="BD18" i="32"/>
  <c r="BD19" i="32"/>
  <c r="BD20" i="32"/>
  <c r="BD21" i="32"/>
  <c r="BD22" i="32"/>
  <c r="BD23" i="32"/>
  <c r="BD24" i="32"/>
  <c r="BD25" i="32"/>
  <c r="BD26" i="32"/>
  <c r="BD27" i="32"/>
  <c r="BD28" i="32"/>
  <c r="BD29" i="32"/>
  <c r="BD30" i="32"/>
  <c r="BD31" i="32"/>
  <c r="BD32" i="32"/>
  <c r="BD33" i="32"/>
  <c r="BD34" i="32"/>
  <c r="BD35" i="32"/>
  <c r="BD36" i="32"/>
  <c r="BD37" i="32"/>
  <c r="BD38" i="32"/>
  <c r="BD39" i="32"/>
  <c r="BD40" i="32"/>
  <c r="BD41" i="32"/>
  <c r="BD42" i="32"/>
  <c r="BD43" i="32"/>
  <c r="BD44" i="32"/>
  <c r="BD45" i="32"/>
  <c r="BD46" i="32"/>
  <c r="BD47" i="32"/>
  <c r="BD48" i="32"/>
  <c r="BD49" i="32"/>
  <c r="BD50" i="32"/>
  <c r="BD51" i="32"/>
  <c r="BD52" i="32"/>
  <c r="BD53" i="32"/>
  <c r="BD54" i="32"/>
  <c r="BD55" i="32"/>
  <c r="BD56" i="32"/>
  <c r="BD57" i="32"/>
  <c r="BD58" i="32"/>
  <c r="BD59" i="32"/>
  <c r="BD60" i="32"/>
  <c r="BD61" i="32"/>
  <c r="BD62" i="32"/>
  <c r="BD63" i="32"/>
  <c r="BD64" i="32"/>
  <c r="BD65" i="32"/>
  <c r="BD66" i="32"/>
  <c r="BD67" i="32"/>
  <c r="BD68" i="32"/>
  <c r="BD69" i="32"/>
  <c r="BD70" i="32"/>
  <c r="BD71" i="32"/>
  <c r="BD72" i="32"/>
  <c r="BD73" i="32"/>
  <c r="BD74" i="32"/>
  <c r="BD75" i="32"/>
  <c r="BD76" i="32"/>
  <c r="BD77" i="32"/>
  <c r="BD78" i="32"/>
  <c r="BD79" i="32"/>
  <c r="BD80" i="32"/>
  <c r="BD81" i="32"/>
  <c r="BD82" i="32"/>
  <c r="BD83" i="32"/>
  <c r="BD84" i="32"/>
  <c r="BD85" i="32"/>
  <c r="BD86" i="32"/>
  <c r="BD87" i="32"/>
  <c r="BD88" i="32"/>
  <c r="BD89" i="32"/>
  <c r="BD90" i="32"/>
  <c r="BD91" i="32"/>
  <c r="BD92" i="32"/>
  <c r="BD93" i="32"/>
  <c r="BD94" i="32"/>
  <c r="BD95" i="32"/>
  <c r="BD96" i="32"/>
  <c r="BD97" i="32"/>
  <c r="BD98" i="32"/>
  <c r="BD99" i="32"/>
  <c r="BD100" i="32"/>
  <c r="BD101" i="32"/>
  <c r="BD102" i="32"/>
  <c r="BD103" i="32"/>
  <c r="BD104" i="32"/>
  <c r="BD105" i="32"/>
  <c r="BD106" i="32"/>
  <c r="BD107" i="32"/>
  <c r="BD108" i="32"/>
  <c r="BD109" i="32"/>
  <c r="BD110" i="32"/>
  <c r="BD111" i="32"/>
  <c r="BD112" i="32"/>
  <c r="BD113" i="32"/>
  <c r="BD114" i="32"/>
  <c r="BD115" i="32"/>
  <c r="BD116" i="32"/>
  <c r="BD117" i="32"/>
  <c r="BD118" i="32"/>
  <c r="BD119" i="32"/>
  <c r="BD120" i="32"/>
  <c r="BD121" i="32"/>
  <c r="BD122" i="32"/>
  <c r="BD123" i="32"/>
  <c r="BD124" i="32"/>
  <c r="BD125" i="32"/>
  <c r="BD126" i="32"/>
  <c r="BD127" i="32"/>
  <c r="BD128" i="32"/>
  <c r="BD129" i="32"/>
  <c r="BD130" i="32"/>
  <c r="BD131" i="32"/>
  <c r="BD132" i="32"/>
  <c r="BD133" i="32"/>
  <c r="BD134" i="32"/>
  <c r="BD135" i="32"/>
  <c r="BD136" i="32"/>
  <c r="BD137" i="32"/>
  <c r="BD138" i="32"/>
  <c r="BD139" i="32"/>
  <c r="BD140" i="32"/>
  <c r="BD141" i="32"/>
  <c r="BD142" i="32"/>
  <c r="BD143" i="32"/>
  <c r="BD144" i="32"/>
  <c r="BD145" i="32"/>
  <c r="BD146" i="32"/>
  <c r="BD147" i="32"/>
  <c r="BD148" i="32"/>
  <c r="BD149" i="32"/>
  <c r="BD150" i="32"/>
  <c r="BD151" i="32"/>
  <c r="BD152" i="32"/>
  <c r="BD153" i="32"/>
  <c r="BD154" i="32"/>
  <c r="BD155" i="32"/>
  <c r="BD156" i="32"/>
  <c r="BD157" i="32"/>
  <c r="BD158" i="32"/>
  <c r="BD159" i="32"/>
  <c r="BD160" i="32"/>
  <c r="BD161" i="32"/>
  <c r="BD162" i="32"/>
  <c r="BD163" i="32"/>
  <c r="BD164" i="32"/>
  <c r="BD165" i="32"/>
  <c r="BD166" i="32"/>
  <c r="BD167" i="32"/>
  <c r="BD168" i="32"/>
  <c r="BD169" i="32"/>
  <c r="BD170" i="32"/>
  <c r="BD171" i="32"/>
  <c r="BD172" i="32"/>
  <c r="BD173" i="32"/>
  <c r="BD174" i="32"/>
  <c r="BD175" i="32"/>
  <c r="BD176" i="32"/>
  <c r="BD177" i="32"/>
  <c r="BD178" i="32"/>
  <c r="BD179" i="32"/>
  <c r="BD180" i="32"/>
  <c r="BD181" i="32"/>
  <c r="BD182" i="32"/>
  <c r="BD183" i="32"/>
  <c r="BD184" i="32"/>
  <c r="BD185" i="32"/>
  <c r="BD186" i="32"/>
  <c r="BD187" i="32"/>
  <c r="BD188" i="32"/>
  <c r="BD189" i="32"/>
  <c r="BD190" i="32"/>
  <c r="BD191" i="32"/>
  <c r="BD192" i="32"/>
  <c r="BD193" i="32"/>
  <c r="BD194" i="32"/>
  <c r="BD195" i="32"/>
  <c r="BD196" i="32"/>
  <c r="BD197" i="32"/>
  <c r="BD198" i="32"/>
  <c r="BD199" i="32"/>
  <c r="BD200" i="32"/>
  <c r="BD201" i="32"/>
  <c r="BD202" i="32"/>
  <c r="BD203" i="32"/>
  <c r="BD204" i="32"/>
  <c r="BD205" i="32"/>
  <c r="BD206" i="32"/>
  <c r="BD207" i="32"/>
  <c r="BD208" i="32"/>
  <c r="BD209" i="32"/>
  <c r="BD210" i="32"/>
  <c r="BD211" i="32"/>
  <c r="BD212" i="32"/>
  <c r="BD213" i="32"/>
  <c r="BD214" i="32"/>
  <c r="BD215" i="32"/>
  <c r="BD216" i="32"/>
  <c r="BD217" i="32"/>
  <c r="BD218" i="32"/>
  <c r="BD219" i="32"/>
  <c r="BD220" i="32"/>
  <c r="BD221" i="32"/>
  <c r="BD222" i="32"/>
  <c r="BD223" i="32"/>
  <c r="BD224" i="32"/>
  <c r="BD225" i="32"/>
  <c r="BD226" i="32"/>
  <c r="BD227" i="32"/>
  <c r="BD228" i="32"/>
  <c r="BD229" i="32"/>
  <c r="BD230" i="32"/>
  <c r="BD231" i="32"/>
  <c r="BD232" i="32"/>
  <c r="BD233" i="32"/>
  <c r="BD234" i="32"/>
  <c r="BD235" i="32"/>
  <c r="BD236" i="32"/>
  <c r="BD237" i="32"/>
  <c r="BD238" i="32"/>
  <c r="BD239" i="32"/>
  <c r="BD240" i="32"/>
  <c r="BD241" i="32"/>
  <c r="BD242" i="32"/>
  <c r="BD243" i="32"/>
  <c r="BD244" i="32"/>
  <c r="BD245" i="32"/>
  <c r="BD246" i="32"/>
  <c r="BD247" i="32"/>
  <c r="BD248" i="32"/>
  <c r="BD249" i="32"/>
  <c r="BD250" i="32"/>
  <c r="BD251" i="32"/>
  <c r="BD252" i="32"/>
  <c r="BD253" i="32"/>
  <c r="BD254" i="32"/>
  <c r="BD255" i="32"/>
  <c r="BD256" i="32"/>
  <c r="BD257" i="32"/>
  <c r="BD258" i="32"/>
  <c r="BD259" i="32"/>
  <c r="BD260" i="32"/>
  <c r="BD261" i="32"/>
  <c r="BD262" i="32"/>
  <c r="BD263" i="32"/>
  <c r="BD264" i="32"/>
  <c r="BD265" i="32"/>
  <c r="BD266" i="32"/>
  <c r="BD267" i="32"/>
  <c r="BD268" i="32"/>
  <c r="BD269" i="32"/>
  <c r="BD270" i="32"/>
  <c r="BD271" i="32"/>
  <c r="BD272" i="32"/>
  <c r="BD273" i="32"/>
  <c r="BD274" i="32"/>
  <c r="BD275" i="32"/>
  <c r="BD276" i="32"/>
  <c r="BD277" i="32"/>
  <c r="BD278" i="32"/>
  <c r="BD279" i="32"/>
  <c r="BD280" i="32"/>
  <c r="BD281" i="32"/>
  <c r="BD282" i="32"/>
  <c r="BD283" i="32"/>
  <c r="BD284" i="32"/>
  <c r="BD285" i="32"/>
  <c r="BD286" i="32"/>
  <c r="BD287" i="32"/>
  <c r="BD288" i="32"/>
  <c r="BD289" i="32"/>
  <c r="BD290" i="32"/>
  <c r="BD291" i="32"/>
  <c r="BD292" i="32"/>
  <c r="BD293" i="32"/>
  <c r="BD294" i="32"/>
  <c r="BD295" i="32"/>
  <c r="BD296" i="32"/>
  <c r="BD297" i="32"/>
  <c r="BD298" i="32"/>
  <c r="BD299" i="32"/>
  <c r="BD300" i="32"/>
  <c r="BD301" i="32"/>
  <c r="BD302" i="32"/>
  <c r="BD303" i="32"/>
  <c r="BD304" i="32"/>
  <c r="BD305" i="32"/>
  <c r="BD306" i="32"/>
  <c r="BD307" i="32"/>
  <c r="BD308" i="32"/>
  <c r="BD309" i="32"/>
  <c r="BD310" i="32"/>
  <c r="BD311" i="32"/>
  <c r="BD312" i="32"/>
  <c r="BD313" i="32"/>
  <c r="BD314" i="32"/>
  <c r="BD315" i="32"/>
  <c r="BD316" i="32"/>
  <c r="BD317" i="32"/>
  <c r="BD318" i="32"/>
  <c r="BD319" i="32"/>
  <c r="BD320" i="32"/>
  <c r="BD321" i="32"/>
  <c r="BD322" i="32"/>
  <c r="BD323" i="32"/>
  <c r="BD324" i="32"/>
  <c r="BD325" i="32"/>
  <c r="BD326" i="32"/>
  <c r="BD327" i="32"/>
  <c r="BD328" i="32"/>
  <c r="BD329" i="32"/>
  <c r="BD330" i="32"/>
  <c r="BD331" i="32"/>
  <c r="BD332" i="32"/>
  <c r="BD333" i="32"/>
  <c r="BD334" i="32"/>
  <c r="BD335" i="32"/>
  <c r="BD336" i="32"/>
  <c r="BD337" i="32"/>
  <c r="BD338" i="32"/>
  <c r="BD339" i="32"/>
  <c r="BD340" i="32"/>
  <c r="BD341" i="32"/>
  <c r="BD342" i="32"/>
  <c r="BD343" i="32"/>
  <c r="BD344" i="32"/>
  <c r="BD345" i="32"/>
  <c r="BD346" i="32"/>
  <c r="BD347" i="32"/>
  <c r="BD348" i="32"/>
  <c r="BD349" i="32"/>
  <c r="BD350" i="32"/>
  <c r="BD351" i="32"/>
  <c r="BD352" i="32"/>
  <c r="BD353" i="32"/>
  <c r="BD354" i="32"/>
  <c r="BD355" i="32"/>
  <c r="BD356" i="32"/>
  <c r="BD357" i="32"/>
  <c r="BD358" i="32"/>
  <c r="BD359" i="32"/>
  <c r="BD360" i="32"/>
  <c r="BD361" i="32"/>
  <c r="BD362" i="32"/>
  <c r="BD363" i="32"/>
  <c r="BD364" i="32"/>
  <c r="BD365" i="32"/>
  <c r="BD366" i="32"/>
  <c r="BD367" i="32"/>
  <c r="BD368" i="32"/>
  <c r="BD369" i="32"/>
  <c r="BD370" i="32"/>
  <c r="BD371" i="32"/>
  <c r="BD372" i="32"/>
  <c r="BD373" i="32"/>
  <c r="BD374" i="32"/>
  <c r="BD375" i="32"/>
  <c r="BD376" i="32"/>
  <c r="BD377" i="32"/>
  <c r="BD378" i="32"/>
  <c r="BD379" i="32"/>
  <c r="BD380" i="32"/>
  <c r="BD381" i="32"/>
  <c r="BD382" i="32"/>
  <c r="BD383" i="32"/>
  <c r="BD384" i="32"/>
  <c r="BD385" i="32"/>
  <c r="BD386" i="32"/>
  <c r="BD387" i="32"/>
  <c r="BD388" i="32"/>
  <c r="BD389" i="32"/>
  <c r="BD390" i="32"/>
  <c r="BD391" i="32"/>
  <c r="BD392" i="32"/>
  <c r="BD393" i="32"/>
  <c r="BD394" i="32"/>
  <c r="BD395" i="32"/>
  <c r="BD396" i="32"/>
  <c r="BD397" i="32"/>
  <c r="BD398" i="32"/>
  <c r="BD399" i="32"/>
  <c r="BD400" i="32"/>
  <c r="BD401" i="32"/>
  <c r="BD402" i="32"/>
  <c r="BD403" i="32"/>
  <c r="BD404" i="32"/>
  <c r="BD405" i="32"/>
  <c r="BD406" i="32"/>
  <c r="BD407" i="32"/>
  <c r="BD408" i="32"/>
  <c r="BD409" i="32"/>
  <c r="BD410" i="32"/>
  <c r="BD411" i="32"/>
  <c r="BD412" i="32"/>
  <c r="BD413" i="32"/>
  <c r="BD414" i="32"/>
  <c r="BD415" i="32"/>
  <c r="BD416" i="32"/>
  <c r="BD417" i="32"/>
  <c r="BD418" i="32"/>
  <c r="BD419" i="32"/>
  <c r="BD420" i="32"/>
  <c r="BD4" i="32"/>
  <c r="G162" i="23"/>
  <c r="I162" i="23"/>
  <c r="J162" i="23"/>
  <c r="K162" i="23"/>
  <c r="G193" i="23"/>
  <c r="I193" i="23"/>
  <c r="J193" i="23"/>
  <c r="K193" i="23"/>
  <c r="G542" i="23"/>
  <c r="I542" i="23"/>
  <c r="J542" i="23"/>
  <c r="K542" i="23"/>
  <c r="BO5" i="32"/>
  <c r="BO6" i="32"/>
  <c r="BF5" i="32"/>
  <c r="BG5" i="32"/>
  <c r="BF6" i="32"/>
  <c r="BG6" i="32"/>
  <c r="BF7" i="32"/>
  <c r="BG7" i="32"/>
  <c r="BF8" i="32"/>
  <c r="BG8" i="32"/>
  <c r="BF9" i="32"/>
  <c r="BG9" i="32"/>
  <c r="BF10" i="32"/>
  <c r="BG10" i="32"/>
  <c r="BF11" i="32"/>
  <c r="BG11" i="32"/>
  <c r="BF12" i="32"/>
  <c r="BG12" i="32"/>
  <c r="BF13" i="32"/>
  <c r="BG13" i="32"/>
  <c r="BF14" i="32"/>
  <c r="BG14" i="32"/>
  <c r="BF15" i="32"/>
  <c r="BG15" i="32"/>
  <c r="BF16" i="32"/>
  <c r="BG16" i="32"/>
  <c r="BF17" i="32"/>
  <c r="BG17" i="32"/>
  <c r="BF18" i="32"/>
  <c r="BG18" i="32"/>
  <c r="BF19" i="32"/>
  <c r="BG19" i="32"/>
  <c r="BF20" i="32"/>
  <c r="BG20" i="32"/>
  <c r="BF21" i="32"/>
  <c r="BG21" i="32"/>
  <c r="BF22" i="32"/>
  <c r="BG22" i="32"/>
  <c r="BF23" i="32"/>
  <c r="BG23" i="32"/>
  <c r="BF24" i="32"/>
  <c r="BG24" i="32"/>
  <c r="BF25" i="32"/>
  <c r="BG25" i="32"/>
  <c r="BF26" i="32"/>
  <c r="BG26" i="32"/>
  <c r="BF27" i="32"/>
  <c r="BG27" i="32"/>
  <c r="BF28" i="32"/>
  <c r="BG28" i="32"/>
  <c r="BF29" i="32"/>
  <c r="BG29" i="32"/>
  <c r="BF30" i="32"/>
  <c r="BG30" i="32"/>
  <c r="BF31" i="32"/>
  <c r="BG31" i="32"/>
  <c r="BF32" i="32"/>
  <c r="BG32" i="32"/>
  <c r="BF33" i="32"/>
  <c r="BG33" i="32"/>
  <c r="BF34" i="32"/>
  <c r="BG34" i="32"/>
  <c r="BF35" i="32"/>
  <c r="BG35" i="32"/>
  <c r="BF36" i="32"/>
  <c r="BG36" i="32"/>
  <c r="BF37" i="32"/>
  <c r="BG37" i="32"/>
  <c r="BF38" i="32"/>
  <c r="BG38" i="32"/>
  <c r="BF39" i="32"/>
  <c r="BG39" i="32"/>
  <c r="BF40" i="32"/>
  <c r="BG40" i="32"/>
  <c r="BF41" i="32"/>
  <c r="BG41" i="32"/>
  <c r="BF42" i="32"/>
  <c r="BG42" i="32"/>
  <c r="BF43" i="32"/>
  <c r="BG43" i="32"/>
  <c r="BF44" i="32"/>
  <c r="BG44" i="32"/>
  <c r="BF45" i="32"/>
  <c r="BG45" i="32"/>
  <c r="BF46" i="32"/>
  <c r="BG46" i="32"/>
  <c r="BF47" i="32"/>
  <c r="BG47" i="32"/>
  <c r="BF48" i="32"/>
  <c r="BG48" i="32"/>
  <c r="BF49" i="32"/>
  <c r="BG49" i="32"/>
  <c r="BF50" i="32"/>
  <c r="BG50" i="32"/>
  <c r="BF51" i="32"/>
  <c r="BG51" i="32"/>
  <c r="BF52" i="32"/>
  <c r="BG52" i="32"/>
  <c r="BF53" i="32"/>
  <c r="BG53" i="32"/>
  <c r="BF54" i="32"/>
  <c r="BG54" i="32"/>
  <c r="BF55" i="32"/>
  <c r="BG55" i="32"/>
  <c r="BF56" i="32"/>
  <c r="BG56" i="32"/>
  <c r="BF57" i="32"/>
  <c r="BG57" i="32"/>
  <c r="BF58" i="32"/>
  <c r="BG58" i="32"/>
  <c r="BF59" i="32"/>
  <c r="BG59" i="32"/>
  <c r="BF60" i="32"/>
  <c r="BG60" i="32"/>
  <c r="BF61" i="32"/>
  <c r="BG61" i="32"/>
  <c r="BF62" i="32"/>
  <c r="BG62" i="32"/>
  <c r="BF63" i="32"/>
  <c r="BG63" i="32"/>
  <c r="BF64" i="32"/>
  <c r="BG64" i="32"/>
  <c r="BF65" i="32"/>
  <c r="BG65" i="32"/>
  <c r="BF66" i="32"/>
  <c r="BG66" i="32"/>
  <c r="BF67" i="32"/>
  <c r="BG67" i="32"/>
  <c r="BF68" i="32"/>
  <c r="BG68" i="32"/>
  <c r="BF69" i="32"/>
  <c r="BG69" i="32"/>
  <c r="BF70" i="32"/>
  <c r="BG70" i="32"/>
  <c r="BF71" i="32"/>
  <c r="BG71" i="32"/>
  <c r="BF72" i="32"/>
  <c r="BG72" i="32"/>
  <c r="BF73" i="32"/>
  <c r="BG73" i="32"/>
  <c r="BF74" i="32"/>
  <c r="BG74" i="32"/>
  <c r="BF75" i="32"/>
  <c r="BG75" i="32"/>
  <c r="BF76" i="32"/>
  <c r="BG76" i="32"/>
  <c r="BF77" i="32"/>
  <c r="BG77" i="32"/>
  <c r="BF78" i="32"/>
  <c r="BG78" i="32"/>
  <c r="BF79" i="32"/>
  <c r="BG79" i="32"/>
  <c r="BF80" i="32"/>
  <c r="BG80" i="32"/>
  <c r="BF81" i="32"/>
  <c r="BG81" i="32"/>
  <c r="BF82" i="32"/>
  <c r="BG82" i="32"/>
  <c r="BF83" i="32"/>
  <c r="BG83" i="32"/>
  <c r="BF84" i="32"/>
  <c r="BG84" i="32"/>
  <c r="BF85" i="32"/>
  <c r="BG85" i="32"/>
  <c r="BF86" i="32"/>
  <c r="BG86" i="32"/>
  <c r="BF87" i="32"/>
  <c r="BG87" i="32"/>
  <c r="BF88" i="32"/>
  <c r="BG88" i="32"/>
  <c r="BF89" i="32"/>
  <c r="BG89" i="32"/>
  <c r="BF90" i="32"/>
  <c r="BG90" i="32"/>
  <c r="BF91" i="32"/>
  <c r="BG91" i="32"/>
  <c r="BF92" i="32"/>
  <c r="BG92" i="32"/>
  <c r="BF93" i="32"/>
  <c r="BG93" i="32"/>
  <c r="BF94" i="32"/>
  <c r="BG94" i="32"/>
  <c r="BF95" i="32"/>
  <c r="BG95" i="32"/>
  <c r="BF96" i="32"/>
  <c r="BG96" i="32"/>
  <c r="BF97" i="32"/>
  <c r="BG97" i="32"/>
  <c r="BF98" i="32"/>
  <c r="BG98" i="32"/>
  <c r="BF99" i="32"/>
  <c r="BG99" i="32"/>
  <c r="BF100" i="32"/>
  <c r="BG100" i="32"/>
  <c r="BF101" i="32"/>
  <c r="BG101" i="32"/>
  <c r="BF102" i="32"/>
  <c r="BG102" i="32"/>
  <c r="BF103" i="32"/>
  <c r="BG103" i="32"/>
  <c r="BF104" i="32"/>
  <c r="BG104" i="32"/>
  <c r="BF105" i="32"/>
  <c r="BG105" i="32"/>
  <c r="BF106" i="32"/>
  <c r="BG106" i="32"/>
  <c r="BF107" i="32"/>
  <c r="BG107" i="32"/>
  <c r="BF108" i="32"/>
  <c r="BG108" i="32"/>
  <c r="BF109" i="32"/>
  <c r="BG109" i="32"/>
  <c r="BF110" i="32"/>
  <c r="BG110" i="32"/>
  <c r="BF111" i="32"/>
  <c r="BG111" i="32"/>
  <c r="BF112" i="32"/>
  <c r="BG112" i="32"/>
  <c r="BF113" i="32"/>
  <c r="BG113" i="32"/>
  <c r="BF114" i="32"/>
  <c r="BG114" i="32"/>
  <c r="BF115" i="32"/>
  <c r="BG115" i="32"/>
  <c r="BF116" i="32"/>
  <c r="BG116" i="32"/>
  <c r="BF117" i="32"/>
  <c r="BG117" i="32"/>
  <c r="BF118" i="32"/>
  <c r="BG118" i="32"/>
  <c r="BF119" i="32"/>
  <c r="BG119" i="32"/>
  <c r="BF120" i="32"/>
  <c r="BG120" i="32"/>
  <c r="BF121" i="32"/>
  <c r="BG121" i="32"/>
  <c r="BF122" i="32"/>
  <c r="BG122" i="32"/>
  <c r="BF123" i="32"/>
  <c r="BG123" i="32"/>
  <c r="BF124" i="32"/>
  <c r="BG124" i="32"/>
  <c r="BF125" i="32"/>
  <c r="BG125" i="32"/>
  <c r="BF126" i="32"/>
  <c r="BG126" i="32"/>
  <c r="BF127" i="32"/>
  <c r="BG127" i="32"/>
  <c r="BF128" i="32"/>
  <c r="BG128" i="32"/>
  <c r="BF129" i="32"/>
  <c r="BG129" i="32"/>
  <c r="BF130" i="32"/>
  <c r="BG130" i="32"/>
  <c r="BF131" i="32"/>
  <c r="BG131" i="32"/>
  <c r="BF132" i="32"/>
  <c r="BG132" i="32"/>
  <c r="BF133" i="32"/>
  <c r="BG133" i="32"/>
  <c r="BF134" i="32"/>
  <c r="BG134" i="32"/>
  <c r="BF135" i="32"/>
  <c r="BG135" i="32"/>
  <c r="BF136" i="32"/>
  <c r="BG136" i="32"/>
  <c r="BF137" i="32"/>
  <c r="BG137" i="32"/>
  <c r="BF138" i="32"/>
  <c r="BG138" i="32"/>
  <c r="BF139" i="32"/>
  <c r="BG139" i="32"/>
  <c r="BF140" i="32"/>
  <c r="BG140" i="32"/>
  <c r="BF141" i="32"/>
  <c r="BG141" i="32"/>
  <c r="BF142" i="32"/>
  <c r="BG142" i="32"/>
  <c r="BF143" i="32"/>
  <c r="BG143" i="32"/>
  <c r="BF144" i="32"/>
  <c r="BG144" i="32"/>
  <c r="BF145" i="32"/>
  <c r="BG145" i="32"/>
  <c r="BF146" i="32"/>
  <c r="BG146" i="32"/>
  <c r="BF147" i="32"/>
  <c r="BG147" i="32"/>
  <c r="BF148" i="32"/>
  <c r="BG148" i="32"/>
  <c r="BF149" i="32"/>
  <c r="BG149" i="32"/>
  <c r="BF150" i="32"/>
  <c r="BG150" i="32"/>
  <c r="BF151" i="32"/>
  <c r="BG151" i="32"/>
  <c r="BF152" i="32"/>
  <c r="BG152" i="32"/>
  <c r="BF153" i="32"/>
  <c r="BG153" i="32"/>
  <c r="BF154" i="32"/>
  <c r="BG154" i="32"/>
  <c r="BF155" i="32"/>
  <c r="BG155" i="32"/>
  <c r="BF156" i="32"/>
  <c r="BG156" i="32"/>
  <c r="BF157" i="32"/>
  <c r="BG157" i="32"/>
  <c r="BF158" i="32"/>
  <c r="BG158" i="32"/>
  <c r="BF159" i="32"/>
  <c r="BG159" i="32"/>
  <c r="BF160" i="32"/>
  <c r="BG160" i="32"/>
  <c r="BF161" i="32"/>
  <c r="BG161" i="32"/>
  <c r="BF162" i="32"/>
  <c r="BG162" i="32"/>
  <c r="BF163" i="32"/>
  <c r="BG163" i="32"/>
  <c r="BF164" i="32"/>
  <c r="BG164" i="32"/>
  <c r="BF165" i="32"/>
  <c r="BG165" i="32"/>
  <c r="BF166" i="32"/>
  <c r="BG166" i="32"/>
  <c r="BF167" i="32"/>
  <c r="BG167" i="32"/>
  <c r="BF168" i="32"/>
  <c r="BG168" i="32"/>
  <c r="BF169" i="32"/>
  <c r="BG169" i="32"/>
  <c r="BF170" i="32"/>
  <c r="BG170" i="32"/>
  <c r="BF171" i="32"/>
  <c r="BG171" i="32"/>
  <c r="BF172" i="32"/>
  <c r="BG172" i="32"/>
  <c r="BF173" i="32"/>
  <c r="BG173" i="32"/>
  <c r="BF174" i="32"/>
  <c r="BG174" i="32"/>
  <c r="BF175" i="32"/>
  <c r="BG175" i="32"/>
  <c r="BF176" i="32"/>
  <c r="BG176" i="32"/>
  <c r="BF177" i="32"/>
  <c r="BG177" i="32"/>
  <c r="BF178" i="32"/>
  <c r="BG178" i="32"/>
  <c r="BF179" i="32"/>
  <c r="BG179" i="32"/>
  <c r="BF180" i="32"/>
  <c r="BG180" i="32"/>
  <c r="BF181" i="32"/>
  <c r="BG181" i="32"/>
  <c r="BF182" i="32"/>
  <c r="BG182" i="32"/>
  <c r="BF183" i="32"/>
  <c r="BG183" i="32"/>
  <c r="BF184" i="32"/>
  <c r="BG184" i="32"/>
  <c r="BF185" i="32"/>
  <c r="BG185" i="32"/>
  <c r="BF186" i="32"/>
  <c r="BG186" i="32"/>
  <c r="BF187" i="32"/>
  <c r="BG187" i="32"/>
  <c r="BF188" i="32"/>
  <c r="BG188" i="32"/>
  <c r="BF189" i="32"/>
  <c r="BG189" i="32"/>
  <c r="BF190" i="32"/>
  <c r="BG190" i="32"/>
  <c r="BF191" i="32"/>
  <c r="BG191" i="32"/>
  <c r="BF192" i="32"/>
  <c r="BG192" i="32"/>
  <c r="BF193" i="32"/>
  <c r="BG193" i="32"/>
  <c r="BF194" i="32"/>
  <c r="BG194" i="32"/>
  <c r="BF195" i="32"/>
  <c r="BG195" i="32"/>
  <c r="BF196" i="32"/>
  <c r="BG196" i="32"/>
  <c r="BF197" i="32"/>
  <c r="BG197" i="32"/>
  <c r="BF198" i="32"/>
  <c r="BG198" i="32"/>
  <c r="BF199" i="32"/>
  <c r="BG199" i="32"/>
  <c r="BF200" i="32"/>
  <c r="BG200" i="32"/>
  <c r="BF201" i="32"/>
  <c r="BG201" i="32"/>
  <c r="BF202" i="32"/>
  <c r="BG202" i="32"/>
  <c r="BF203" i="32"/>
  <c r="BG203" i="32"/>
  <c r="BF204" i="32"/>
  <c r="BG204" i="32"/>
  <c r="BF205" i="32"/>
  <c r="BG205" i="32"/>
  <c r="BF206" i="32"/>
  <c r="BG206" i="32"/>
  <c r="BF207" i="32"/>
  <c r="BG207" i="32"/>
  <c r="BF208" i="32"/>
  <c r="BG208" i="32"/>
  <c r="BF209" i="32"/>
  <c r="BG209" i="32"/>
  <c r="BF210" i="32"/>
  <c r="BG210" i="32"/>
  <c r="BF211" i="32"/>
  <c r="BG211" i="32"/>
  <c r="BF212" i="32"/>
  <c r="BG212" i="32"/>
  <c r="BF213" i="32"/>
  <c r="BG213" i="32"/>
  <c r="BF214" i="32"/>
  <c r="BG214" i="32"/>
  <c r="BF215" i="32"/>
  <c r="BG215" i="32"/>
  <c r="BF216" i="32"/>
  <c r="BG216" i="32"/>
  <c r="BF217" i="32"/>
  <c r="BG217" i="32"/>
  <c r="BF218" i="32"/>
  <c r="BG218" i="32"/>
  <c r="BF219" i="32"/>
  <c r="BG219" i="32"/>
  <c r="BF220" i="32"/>
  <c r="BG220" i="32"/>
  <c r="BF221" i="32"/>
  <c r="BG221" i="32"/>
  <c r="BF222" i="32"/>
  <c r="BG222" i="32"/>
  <c r="BF223" i="32"/>
  <c r="BG223" i="32"/>
  <c r="BF224" i="32"/>
  <c r="BG224" i="32"/>
  <c r="BF225" i="32"/>
  <c r="BG225" i="32"/>
  <c r="BF226" i="32"/>
  <c r="BG226" i="32"/>
  <c r="BF227" i="32"/>
  <c r="BG227" i="32"/>
  <c r="BF228" i="32"/>
  <c r="BG228" i="32"/>
  <c r="BF229" i="32"/>
  <c r="BG229" i="32"/>
  <c r="BF230" i="32"/>
  <c r="BG230" i="32"/>
  <c r="BF231" i="32"/>
  <c r="BG231" i="32"/>
  <c r="BF232" i="32"/>
  <c r="BG232" i="32"/>
  <c r="BF233" i="32"/>
  <c r="BG233" i="32"/>
  <c r="BF234" i="32"/>
  <c r="BG234" i="32"/>
  <c r="BF235" i="32"/>
  <c r="BG235" i="32"/>
  <c r="BF236" i="32"/>
  <c r="BG236" i="32"/>
  <c r="BF237" i="32"/>
  <c r="BG237" i="32"/>
  <c r="BF238" i="32"/>
  <c r="BG238" i="32"/>
  <c r="BF239" i="32"/>
  <c r="BG239" i="32"/>
  <c r="BF240" i="32"/>
  <c r="BG240" i="32"/>
  <c r="BF241" i="32"/>
  <c r="BG241" i="32"/>
  <c r="BF242" i="32"/>
  <c r="BG242" i="32"/>
  <c r="BF243" i="32"/>
  <c r="BG243" i="32"/>
  <c r="BF244" i="32"/>
  <c r="BG244" i="32"/>
  <c r="BF245" i="32"/>
  <c r="BG245" i="32"/>
  <c r="BF246" i="32"/>
  <c r="BG246" i="32"/>
  <c r="BF247" i="32"/>
  <c r="BG247" i="32"/>
  <c r="BF248" i="32"/>
  <c r="BG248" i="32"/>
  <c r="BF249" i="32"/>
  <c r="BG249" i="32"/>
  <c r="BF250" i="32"/>
  <c r="BG250" i="32"/>
  <c r="BF251" i="32"/>
  <c r="BG251" i="32"/>
  <c r="BF252" i="32"/>
  <c r="BG252" i="32"/>
  <c r="BF253" i="32"/>
  <c r="BG253" i="32"/>
  <c r="BF254" i="32"/>
  <c r="BG254" i="32"/>
  <c r="BF255" i="32"/>
  <c r="BG255" i="32"/>
  <c r="BF256" i="32"/>
  <c r="BG256" i="32"/>
  <c r="BF257" i="32"/>
  <c r="BG257" i="32"/>
  <c r="BF258" i="32"/>
  <c r="BG258" i="32"/>
  <c r="BF259" i="32"/>
  <c r="BG259" i="32"/>
  <c r="BF260" i="32"/>
  <c r="BG260" i="32"/>
  <c r="BF261" i="32"/>
  <c r="BG261" i="32"/>
  <c r="BF262" i="32"/>
  <c r="BG262" i="32"/>
  <c r="BF263" i="32"/>
  <c r="BG263" i="32"/>
  <c r="BF264" i="32"/>
  <c r="BG264" i="32"/>
  <c r="BF265" i="32"/>
  <c r="BG265" i="32"/>
  <c r="BF266" i="32"/>
  <c r="BG266" i="32"/>
  <c r="BF267" i="32"/>
  <c r="BG267" i="32"/>
  <c r="BF268" i="32"/>
  <c r="BG268" i="32"/>
  <c r="BF269" i="32"/>
  <c r="BG269" i="32"/>
  <c r="BF270" i="32"/>
  <c r="BG270" i="32"/>
  <c r="BF271" i="32"/>
  <c r="BG271" i="32"/>
  <c r="BF272" i="32"/>
  <c r="BG272" i="32"/>
  <c r="BF273" i="32"/>
  <c r="BG273" i="32"/>
  <c r="BF274" i="32"/>
  <c r="BG274" i="32"/>
  <c r="BF275" i="32"/>
  <c r="BG275" i="32"/>
  <c r="BF276" i="32"/>
  <c r="BG276" i="32"/>
  <c r="BF277" i="32"/>
  <c r="BG277" i="32"/>
  <c r="BF278" i="32"/>
  <c r="BG278" i="32"/>
  <c r="BF279" i="32"/>
  <c r="BG279" i="32"/>
  <c r="BF280" i="32"/>
  <c r="BG280" i="32"/>
  <c r="BF281" i="32"/>
  <c r="BG281" i="32"/>
  <c r="BF282" i="32"/>
  <c r="BG282" i="32"/>
  <c r="BF283" i="32"/>
  <c r="BG283" i="32"/>
  <c r="BF284" i="32"/>
  <c r="BG284" i="32"/>
  <c r="BF285" i="32"/>
  <c r="BG285" i="32"/>
  <c r="BF286" i="32"/>
  <c r="BG286" i="32"/>
  <c r="BF287" i="32"/>
  <c r="BG287" i="32"/>
  <c r="BF288" i="32"/>
  <c r="BG288" i="32"/>
  <c r="BF289" i="32"/>
  <c r="BG289" i="32"/>
  <c r="BF290" i="32"/>
  <c r="BG290" i="32"/>
  <c r="BF291" i="32"/>
  <c r="BG291" i="32"/>
  <c r="BF292" i="32"/>
  <c r="BG292" i="32"/>
  <c r="BF293" i="32"/>
  <c r="BG293" i="32"/>
  <c r="BF294" i="32"/>
  <c r="BG294" i="32"/>
  <c r="BF295" i="32"/>
  <c r="BG295" i="32"/>
  <c r="BF296" i="32"/>
  <c r="BG296" i="32"/>
  <c r="BF297" i="32"/>
  <c r="BG297" i="32"/>
  <c r="BF298" i="32"/>
  <c r="BG298" i="32"/>
  <c r="BF299" i="32"/>
  <c r="BG299" i="32"/>
  <c r="BF300" i="32"/>
  <c r="BG300" i="32"/>
  <c r="BF301" i="32"/>
  <c r="BG301" i="32"/>
  <c r="BF302" i="32"/>
  <c r="BG302" i="32"/>
  <c r="BF303" i="32"/>
  <c r="BG303" i="32"/>
  <c r="BF304" i="32"/>
  <c r="BG304" i="32"/>
  <c r="BF305" i="32"/>
  <c r="BG305" i="32"/>
  <c r="BF306" i="32"/>
  <c r="BG306" i="32"/>
  <c r="BF307" i="32"/>
  <c r="BG307" i="32"/>
  <c r="BF308" i="32"/>
  <c r="BG308" i="32"/>
  <c r="BF309" i="32"/>
  <c r="BG309" i="32"/>
  <c r="BF310" i="32"/>
  <c r="BG310" i="32"/>
  <c r="BF311" i="32"/>
  <c r="BG311" i="32"/>
  <c r="BF312" i="32"/>
  <c r="BG312" i="32"/>
  <c r="BF313" i="32"/>
  <c r="BG313" i="32"/>
  <c r="BF314" i="32"/>
  <c r="BG314" i="32"/>
  <c r="BF315" i="32"/>
  <c r="BG315" i="32"/>
  <c r="BF316" i="32"/>
  <c r="BG316" i="32"/>
  <c r="BF317" i="32"/>
  <c r="BG317" i="32"/>
  <c r="BF318" i="32"/>
  <c r="BG318" i="32"/>
  <c r="BF319" i="32"/>
  <c r="BG319" i="32"/>
  <c r="BF320" i="32"/>
  <c r="BG320" i="32"/>
  <c r="BF321" i="32"/>
  <c r="BG321" i="32"/>
  <c r="BF322" i="32"/>
  <c r="BG322" i="32"/>
  <c r="BF323" i="32"/>
  <c r="BG323" i="32"/>
  <c r="BF324" i="32"/>
  <c r="BG324" i="32"/>
  <c r="BF325" i="32"/>
  <c r="BG325" i="32"/>
  <c r="BF326" i="32"/>
  <c r="BG326" i="32"/>
  <c r="BF327" i="32"/>
  <c r="BG327" i="32"/>
  <c r="BF328" i="32"/>
  <c r="BG328" i="32"/>
  <c r="BF329" i="32"/>
  <c r="BG329" i="32"/>
  <c r="BF330" i="32"/>
  <c r="BG330" i="32"/>
  <c r="BF331" i="32"/>
  <c r="BG331" i="32"/>
  <c r="BF332" i="32"/>
  <c r="BG332" i="32"/>
  <c r="BF333" i="32"/>
  <c r="BG333" i="32"/>
  <c r="BF334" i="32"/>
  <c r="BG334" i="32"/>
  <c r="BF335" i="32"/>
  <c r="BG335" i="32"/>
  <c r="BF336" i="32"/>
  <c r="BG336" i="32"/>
  <c r="BF337" i="32"/>
  <c r="BG337" i="32"/>
  <c r="BF338" i="32"/>
  <c r="BG338" i="32"/>
  <c r="BF339" i="32"/>
  <c r="BG339" i="32"/>
  <c r="B444" i="32"/>
  <c r="BH445" i="32"/>
  <c r="CB445" i="32"/>
  <c r="CB446" i="32"/>
  <c r="BI446" i="32"/>
  <c r="B445" i="32"/>
  <c r="BH446" i="32"/>
  <c r="B446" i="32"/>
  <c r="BH447" i="32"/>
  <c r="B447" i="32"/>
  <c r="BH448" i="32"/>
  <c r="B448" i="32"/>
  <c r="BH449" i="32"/>
  <c r="B449" i="32"/>
  <c r="BH450" i="32"/>
  <c r="B450" i="32"/>
  <c r="BH451" i="32"/>
  <c r="B451" i="32"/>
  <c r="BH452" i="32"/>
  <c r="B452" i="32"/>
  <c r="BH453" i="32"/>
  <c r="B453" i="32"/>
  <c r="BH454" i="32"/>
  <c r="B454" i="32"/>
  <c r="BH455" i="32"/>
  <c r="B455" i="32"/>
  <c r="BH456" i="32"/>
  <c r="B456" i="32"/>
  <c r="BH457" i="32"/>
  <c r="B457" i="32"/>
  <c r="BH458" i="32"/>
  <c r="B458" i="32"/>
  <c r="BH459" i="32"/>
  <c r="B459" i="32"/>
  <c r="BH460" i="32"/>
  <c r="B460" i="32"/>
  <c r="BH461" i="32"/>
  <c r="B461" i="32"/>
  <c r="BH462" i="32"/>
  <c r="B462" i="32"/>
  <c r="BH463" i="32"/>
  <c r="B463" i="32"/>
  <c r="BH464" i="32"/>
  <c r="B464" i="32"/>
  <c r="BH465" i="32"/>
  <c r="B465" i="32"/>
  <c r="BH466" i="32"/>
  <c r="B466" i="32"/>
  <c r="BH467" i="32"/>
  <c r="B467" i="32"/>
  <c r="BH468" i="32"/>
  <c r="B468" i="32"/>
  <c r="BH469" i="32"/>
  <c r="B469" i="32"/>
  <c r="BH470" i="32"/>
  <c r="B470" i="32"/>
  <c r="BH471" i="32"/>
  <c r="B471" i="32"/>
  <c r="BH472" i="32"/>
  <c r="B472" i="32"/>
  <c r="BH473" i="32"/>
  <c r="B473" i="32"/>
  <c r="BH474" i="32"/>
  <c r="B474" i="32"/>
  <c r="BH475" i="32"/>
  <c r="B475" i="32"/>
  <c r="BH476" i="32"/>
  <c r="B476" i="32"/>
  <c r="BH477" i="32"/>
  <c r="B477" i="32"/>
  <c r="BH478" i="32"/>
  <c r="B478" i="32"/>
  <c r="BH479" i="32"/>
  <c r="B479" i="32"/>
  <c r="BH480" i="32"/>
  <c r="B480" i="32"/>
  <c r="BH481" i="32"/>
  <c r="B481" i="32"/>
  <c r="BH482" i="32"/>
  <c r="B482" i="32"/>
  <c r="BH483" i="32"/>
  <c r="B483" i="32"/>
  <c r="BH484" i="32"/>
  <c r="B484" i="32"/>
  <c r="BH485" i="32"/>
  <c r="B485" i="32"/>
  <c r="BH486" i="32"/>
  <c r="B486" i="32"/>
  <c r="BH487" i="32"/>
  <c r="B487" i="32"/>
  <c r="BH488" i="32"/>
  <c r="B488" i="32"/>
  <c r="BH489" i="32"/>
  <c r="B489" i="32"/>
  <c r="BH490" i="32"/>
  <c r="B490" i="32"/>
  <c r="BH491" i="32"/>
  <c r="B491" i="32"/>
  <c r="BH492" i="32"/>
  <c r="B492" i="32"/>
  <c r="BH493" i="32"/>
  <c r="B493" i="32"/>
  <c r="BH494" i="32"/>
  <c r="B494" i="32"/>
  <c r="BH495" i="32"/>
  <c r="B495" i="32"/>
  <c r="BH496" i="32"/>
  <c r="B496" i="32"/>
  <c r="BH497" i="32"/>
  <c r="B497" i="32"/>
  <c r="BH498" i="32"/>
  <c r="B498" i="32"/>
  <c r="BH499" i="32"/>
  <c r="B499" i="32"/>
  <c r="BH500" i="32"/>
  <c r="B500" i="32"/>
  <c r="BH501" i="32"/>
  <c r="B501" i="32"/>
  <c r="BH502" i="32"/>
  <c r="B502" i="32"/>
  <c r="BH503" i="32"/>
  <c r="B503" i="32"/>
  <c r="BH504" i="32"/>
  <c r="B504" i="32"/>
  <c r="BH505" i="32"/>
  <c r="B505" i="32"/>
  <c r="BH506" i="32"/>
  <c r="B506" i="32"/>
  <c r="BH507" i="32"/>
  <c r="B507" i="32"/>
  <c r="BH508" i="32"/>
  <c r="B508" i="32"/>
  <c r="BH509" i="32"/>
  <c r="B509" i="32"/>
  <c r="BH510" i="32"/>
  <c r="B510" i="32"/>
  <c r="BH511" i="32"/>
  <c r="B511" i="32"/>
  <c r="BH512" i="32"/>
  <c r="B512" i="32"/>
  <c r="BH513" i="32"/>
  <c r="B513" i="32"/>
  <c r="BH514" i="32"/>
  <c r="B514" i="32"/>
  <c r="BH515" i="32"/>
  <c r="B515" i="32"/>
  <c r="BH516" i="32"/>
  <c r="B516" i="32"/>
  <c r="BH517" i="32"/>
  <c r="B517" i="32"/>
  <c r="BH518" i="32"/>
  <c r="B518" i="32"/>
  <c r="BH519" i="32"/>
  <c r="B519" i="32"/>
  <c r="BH520" i="32"/>
  <c r="B520" i="32"/>
  <c r="BH521" i="32"/>
  <c r="B521" i="32"/>
  <c r="BH522" i="32"/>
  <c r="B522" i="32"/>
  <c r="BH523" i="32"/>
  <c r="B523" i="32"/>
  <c r="BH524" i="32"/>
  <c r="B524" i="32"/>
  <c r="BH525" i="32"/>
  <c r="B525" i="32"/>
  <c r="BH526" i="32"/>
  <c r="B526" i="32"/>
  <c r="BH527" i="32"/>
  <c r="B527" i="32"/>
  <c r="BH528" i="32"/>
  <c r="B528" i="32"/>
  <c r="BH529" i="32"/>
  <c r="B529" i="32"/>
  <c r="BH530" i="32"/>
  <c r="B530" i="32"/>
  <c r="BH531" i="32"/>
  <c r="B531" i="32"/>
  <c r="BH532" i="32"/>
  <c r="B532" i="32"/>
  <c r="BH533" i="32"/>
  <c r="B533" i="32"/>
  <c r="BH534" i="32"/>
  <c r="B534" i="32"/>
  <c r="BH535" i="32"/>
  <c r="B535" i="32"/>
  <c r="BH536" i="32"/>
  <c r="B536" i="32"/>
  <c r="BH537" i="32"/>
  <c r="B537" i="32"/>
  <c r="BH538" i="32"/>
  <c r="B538" i="32"/>
  <c r="BH539" i="32"/>
  <c r="B539" i="32"/>
  <c r="BH540" i="32"/>
  <c r="B540" i="32"/>
  <c r="BH541" i="32"/>
  <c r="B541" i="32"/>
  <c r="BH542" i="32"/>
  <c r="B542" i="32"/>
  <c r="BH543" i="32"/>
  <c r="B543" i="32"/>
  <c r="BH544" i="32"/>
  <c r="B544" i="32"/>
  <c r="BH545" i="32"/>
  <c r="B545" i="32"/>
  <c r="BH546" i="32"/>
  <c r="B546" i="32"/>
  <c r="BH547" i="32"/>
  <c r="B547" i="32"/>
  <c r="BH548" i="32"/>
  <c r="B548" i="32"/>
  <c r="BH549" i="32"/>
  <c r="B549" i="32"/>
  <c r="BH550" i="32"/>
  <c r="B550" i="32"/>
  <c r="BH551" i="32"/>
  <c r="B551" i="32"/>
  <c r="BH552" i="32"/>
  <c r="B552" i="32"/>
  <c r="BH553" i="32"/>
  <c r="B553" i="32"/>
  <c r="BH554" i="32"/>
  <c r="B554" i="32"/>
  <c r="BH555" i="32"/>
  <c r="B555" i="32"/>
  <c r="BH556" i="32"/>
  <c r="B556" i="32"/>
  <c r="BH557" i="32"/>
  <c r="B557" i="32"/>
  <c r="BH558" i="32"/>
  <c r="B558" i="32"/>
  <c r="BH559" i="32"/>
  <c r="B559" i="32"/>
  <c r="BH560" i="32"/>
  <c r="B560" i="32"/>
  <c r="BH561" i="32"/>
  <c r="B561" i="32"/>
  <c r="BH562" i="32"/>
  <c r="B562" i="32"/>
  <c r="BH563" i="32"/>
  <c r="B563" i="32"/>
  <c r="BH564" i="32"/>
  <c r="B564" i="32"/>
  <c r="BH565" i="32"/>
  <c r="B565" i="32"/>
  <c r="BH566" i="32"/>
  <c r="B566" i="32"/>
  <c r="BH567" i="32"/>
  <c r="B567" i="32"/>
  <c r="BH568" i="32"/>
  <c r="B568" i="32"/>
  <c r="BH569" i="32"/>
  <c r="B569" i="32"/>
  <c r="BH570" i="32"/>
  <c r="B570" i="32"/>
  <c r="BH571" i="32"/>
  <c r="B571" i="32"/>
  <c r="BH572" i="32"/>
  <c r="B572" i="32"/>
  <c r="BH573" i="32"/>
  <c r="B573" i="32"/>
  <c r="BH574" i="32"/>
  <c r="B574" i="32"/>
  <c r="BH575" i="32"/>
  <c r="B575" i="32"/>
  <c r="BH576" i="32"/>
  <c r="B576" i="32"/>
  <c r="BH577" i="32"/>
  <c r="B577" i="32"/>
  <c r="BH578" i="32"/>
  <c r="B578" i="32"/>
  <c r="BH579" i="32"/>
  <c r="B579" i="32"/>
  <c r="BH580" i="32"/>
  <c r="B580" i="32"/>
  <c r="BH581" i="32"/>
  <c r="B581" i="32"/>
  <c r="BH582" i="32"/>
  <c r="B582" i="32"/>
  <c r="BH583" i="32"/>
  <c r="B583" i="32"/>
  <c r="BH584" i="32"/>
  <c r="B584" i="32"/>
  <c r="BH585" i="32"/>
  <c r="B585" i="32"/>
  <c r="BH586" i="32"/>
  <c r="B586" i="32"/>
  <c r="BH587" i="32"/>
  <c r="B587" i="32"/>
  <c r="BH588" i="32"/>
  <c r="B588" i="32"/>
  <c r="BH589" i="32"/>
  <c r="B589" i="32"/>
  <c r="BH590" i="32"/>
  <c r="B590" i="32"/>
  <c r="BH591" i="32"/>
  <c r="B591" i="32"/>
  <c r="BH592" i="32"/>
  <c r="B592" i="32"/>
  <c r="BH593" i="32"/>
  <c r="B593" i="32"/>
  <c r="BH594" i="32"/>
  <c r="B594" i="32"/>
  <c r="BH595" i="32"/>
  <c r="B595" i="32"/>
  <c r="BH596" i="32"/>
  <c r="B596" i="32"/>
  <c r="BH597" i="32"/>
  <c r="B597" i="32"/>
  <c r="BH598" i="32"/>
  <c r="B598" i="32"/>
  <c r="BH599" i="32"/>
  <c r="B599" i="32"/>
  <c r="BH600" i="32"/>
  <c r="B600" i="32"/>
  <c r="BH601" i="32"/>
  <c r="B601" i="32"/>
  <c r="BH602" i="32"/>
  <c r="B602" i="32"/>
  <c r="BH603" i="32"/>
  <c r="B603" i="32"/>
  <c r="BH604" i="32"/>
  <c r="B604" i="32"/>
  <c r="BH605" i="32"/>
  <c r="B605" i="32"/>
  <c r="BH606" i="32"/>
  <c r="B606" i="32"/>
  <c r="BH607" i="32"/>
  <c r="B607" i="32"/>
  <c r="BH608" i="32"/>
  <c r="B608" i="32"/>
  <c r="BH609" i="32"/>
  <c r="B609" i="32"/>
  <c r="BH610" i="32"/>
  <c r="B610" i="32"/>
  <c r="BH611" i="32"/>
  <c r="B611" i="32"/>
  <c r="BH612" i="32"/>
  <c r="B612" i="32"/>
  <c r="BH613" i="32"/>
  <c r="B613" i="32"/>
  <c r="BH614" i="32"/>
  <c r="B614" i="32"/>
  <c r="BH615" i="32"/>
  <c r="B615" i="32"/>
  <c r="BH616" i="32"/>
  <c r="B616" i="32"/>
  <c r="BH617" i="32"/>
  <c r="B617" i="32"/>
  <c r="BH618" i="32"/>
  <c r="B618" i="32"/>
  <c r="BH619" i="32"/>
  <c r="B619" i="32"/>
  <c r="BH620" i="32"/>
  <c r="B620" i="32"/>
  <c r="BH621" i="32"/>
  <c r="B621" i="32"/>
  <c r="BH622" i="32"/>
  <c r="B622" i="32"/>
  <c r="BH623" i="32"/>
  <c r="B623" i="32"/>
  <c r="BH624" i="32"/>
  <c r="B624" i="32"/>
  <c r="BH625" i="32"/>
  <c r="B625" i="32"/>
  <c r="BH626" i="32"/>
  <c r="B626" i="32"/>
  <c r="BH627" i="32"/>
  <c r="B627" i="32"/>
  <c r="BH628" i="32"/>
  <c r="B628" i="32"/>
  <c r="BH629" i="32"/>
  <c r="B629" i="32"/>
  <c r="BH630" i="32"/>
  <c r="B630" i="32"/>
  <c r="BH631" i="32"/>
  <c r="B631" i="32"/>
  <c r="BH632" i="32"/>
  <c r="B632" i="32"/>
  <c r="BH633" i="32"/>
  <c r="B633" i="32"/>
  <c r="BH634" i="32"/>
  <c r="B634" i="32"/>
  <c r="BH635" i="32"/>
  <c r="B635" i="32"/>
  <c r="BH636" i="32"/>
  <c r="B636" i="32"/>
  <c r="BH637" i="32"/>
  <c r="B637" i="32"/>
  <c r="BH638" i="32"/>
  <c r="B638" i="32"/>
  <c r="BH639" i="32"/>
  <c r="B639" i="32"/>
  <c r="BH640" i="32"/>
  <c r="B640" i="32"/>
  <c r="BH641" i="32"/>
  <c r="B641" i="32"/>
  <c r="BH642" i="32"/>
  <c r="B642" i="32"/>
  <c r="BH643" i="32"/>
  <c r="B643" i="32"/>
  <c r="BH644" i="32"/>
  <c r="B644" i="32"/>
  <c r="BH645" i="32"/>
  <c r="B645" i="32"/>
  <c r="BH646" i="32"/>
  <c r="B646" i="32"/>
  <c r="BH647" i="32"/>
  <c r="B647" i="32"/>
  <c r="BH648" i="32"/>
  <c r="B648" i="32"/>
  <c r="BH649" i="32"/>
  <c r="B649" i="32"/>
  <c r="BH650" i="32"/>
  <c r="B650" i="32"/>
  <c r="BH651" i="32"/>
  <c r="B651" i="32"/>
  <c r="BH652" i="32"/>
  <c r="B652" i="32"/>
  <c r="BH653" i="32"/>
  <c r="B653" i="32"/>
  <c r="BH654" i="32"/>
  <c r="B654" i="32"/>
  <c r="BH655" i="32"/>
  <c r="B655" i="32"/>
  <c r="BH656" i="32"/>
  <c r="B656" i="32"/>
  <c r="BH657" i="32"/>
  <c r="B657" i="32"/>
  <c r="BH658" i="32"/>
  <c r="B658" i="32"/>
  <c r="BH659" i="32"/>
  <c r="B659" i="32"/>
  <c r="BH660" i="32"/>
  <c r="B660" i="32"/>
  <c r="BH661" i="32"/>
  <c r="B661" i="32"/>
  <c r="BH662" i="32"/>
  <c r="B662" i="32"/>
  <c r="BH663" i="32"/>
  <c r="L309" i="31"/>
  <c r="L713" i="31"/>
  <c r="I347" i="40" s="1"/>
  <c r="CD445" i="32"/>
  <c r="CE445" i="32"/>
  <c r="CD446" i="32"/>
  <c r="CE446" i="32"/>
  <c r="BO7" i="32"/>
  <c r="BO8" i="32"/>
  <c r="BO9" i="32"/>
  <c r="BO10" i="32"/>
  <c r="BO11" i="32"/>
  <c r="BO12" i="32"/>
  <c r="BO13" i="32"/>
  <c r="BO14" i="32"/>
  <c r="BO15" i="32"/>
  <c r="BO16" i="32"/>
  <c r="BO17" i="32"/>
  <c r="BO18" i="32"/>
  <c r="BO19" i="32"/>
  <c r="BO20" i="32"/>
  <c r="BO21" i="32"/>
  <c r="BO22" i="32"/>
  <c r="BO23" i="32"/>
  <c r="BO24" i="32"/>
  <c r="BO25" i="32"/>
  <c r="BO26" i="32"/>
  <c r="BO27" i="32"/>
  <c r="BO28" i="32"/>
  <c r="BO29" i="32"/>
  <c r="BO30" i="32"/>
  <c r="BO31" i="32"/>
  <c r="BO32" i="32"/>
  <c r="BO33" i="32"/>
  <c r="BO34" i="32"/>
  <c r="BO35" i="32"/>
  <c r="BO36" i="32"/>
  <c r="BO37" i="32"/>
  <c r="BO38" i="32"/>
  <c r="BO39" i="32"/>
  <c r="BO40" i="32"/>
  <c r="BO41" i="32"/>
  <c r="BO42" i="32"/>
  <c r="BO43" i="32"/>
  <c r="BO44" i="32"/>
  <c r="BO45" i="32"/>
  <c r="BO46" i="32"/>
  <c r="BO47" i="32"/>
  <c r="BO48" i="32"/>
  <c r="BO49" i="32"/>
  <c r="BO50" i="32"/>
  <c r="BO51" i="32"/>
  <c r="BO52" i="32"/>
  <c r="BO53" i="32"/>
  <c r="BO54" i="32"/>
  <c r="BO55" i="32"/>
  <c r="BO56" i="32"/>
  <c r="BO57" i="32"/>
  <c r="BO58" i="32"/>
  <c r="BO59" i="32"/>
  <c r="BO60" i="32"/>
  <c r="BO61" i="32"/>
  <c r="BO62" i="32"/>
  <c r="BO63" i="32"/>
  <c r="BO64" i="32"/>
  <c r="BO65" i="32"/>
  <c r="BO66" i="32"/>
  <c r="BO67" i="32"/>
  <c r="BO68" i="32"/>
  <c r="BO69" i="32"/>
  <c r="BO70" i="32"/>
  <c r="BO71" i="32"/>
  <c r="BO72" i="32"/>
  <c r="BO73" i="32"/>
  <c r="BO74" i="32"/>
  <c r="BO75" i="32"/>
  <c r="BO76" i="32"/>
  <c r="BO77" i="32"/>
  <c r="BO78" i="32"/>
  <c r="BO79" i="32"/>
  <c r="BO80" i="32"/>
  <c r="BO81" i="32"/>
  <c r="BO82" i="32"/>
  <c r="BO83" i="32"/>
  <c r="BO84" i="32"/>
  <c r="BO85" i="32"/>
  <c r="BO86" i="32"/>
  <c r="BO87" i="32"/>
  <c r="BO88" i="32"/>
  <c r="BO89" i="32"/>
  <c r="BO90" i="32"/>
  <c r="BO91" i="32"/>
  <c r="BO92" i="32"/>
  <c r="BO93" i="32"/>
  <c r="BO94" i="32"/>
  <c r="BO95" i="32"/>
  <c r="BO96" i="32"/>
  <c r="BO97" i="32"/>
  <c r="BO98" i="32"/>
  <c r="BO99" i="32"/>
  <c r="BO100" i="32"/>
  <c r="BO101" i="32"/>
  <c r="BO102" i="32"/>
  <c r="BO103" i="32"/>
  <c r="BO104" i="32"/>
  <c r="BO105" i="32"/>
  <c r="BO106" i="32"/>
  <c r="BO107" i="32"/>
  <c r="BO108" i="32"/>
  <c r="BO109" i="32"/>
  <c r="BO110" i="32"/>
  <c r="BO111" i="32"/>
  <c r="BO112" i="32"/>
  <c r="BO113" i="32"/>
  <c r="BO114" i="32"/>
  <c r="BO115" i="32"/>
  <c r="BO116" i="32"/>
  <c r="BO117" i="32"/>
  <c r="BO118" i="32"/>
  <c r="BO119" i="32"/>
  <c r="BO120" i="32"/>
  <c r="BO121" i="32"/>
  <c r="BO122" i="32"/>
  <c r="BO123" i="32"/>
  <c r="BO124" i="32"/>
  <c r="BO125" i="32"/>
  <c r="BO126" i="32"/>
  <c r="BO127" i="32"/>
  <c r="BO128" i="32"/>
  <c r="BO129" i="32"/>
  <c r="BO130" i="32"/>
  <c r="BO131" i="32"/>
  <c r="BO132" i="32"/>
  <c r="BO133" i="32"/>
  <c r="BO134" i="32"/>
  <c r="BO135" i="32"/>
  <c r="BO136" i="32"/>
  <c r="BO137" i="32"/>
  <c r="BO138" i="32"/>
  <c r="BO139" i="32"/>
  <c r="BO140" i="32"/>
  <c r="BO141" i="32"/>
  <c r="BO142" i="32"/>
  <c r="BO143" i="32"/>
  <c r="BO144" i="32"/>
  <c r="BO145" i="32"/>
  <c r="BO146" i="32"/>
  <c r="BO147" i="32"/>
  <c r="BO148" i="32"/>
  <c r="BO149" i="32"/>
  <c r="BO150" i="32"/>
  <c r="BO151" i="32"/>
  <c r="BO152" i="32"/>
  <c r="BO153" i="32"/>
  <c r="BO154" i="32"/>
  <c r="BO155" i="32"/>
  <c r="BO156" i="32"/>
  <c r="BO157" i="32"/>
  <c r="BO158" i="32"/>
  <c r="BO159" i="32"/>
  <c r="BO160" i="32"/>
  <c r="BO161" i="32"/>
  <c r="BO162" i="32"/>
  <c r="BO163" i="32"/>
  <c r="BO164" i="32"/>
  <c r="BO165" i="32"/>
  <c r="BO166" i="32"/>
  <c r="BO167" i="32"/>
  <c r="BO168" i="32"/>
  <c r="BO169" i="32"/>
  <c r="BO170" i="32"/>
  <c r="BO171" i="32"/>
  <c r="BO172" i="32"/>
  <c r="BO173" i="32"/>
  <c r="BO174" i="32"/>
  <c r="BO175" i="32"/>
  <c r="BO176" i="32"/>
  <c r="BO177" i="32"/>
  <c r="BO178" i="32"/>
  <c r="BO179" i="32"/>
  <c r="BO180" i="32"/>
  <c r="BO181" i="32"/>
  <c r="BO182" i="32"/>
  <c r="BO183" i="32"/>
  <c r="BO184" i="32"/>
  <c r="BO185" i="32"/>
  <c r="BO186" i="32"/>
  <c r="BO187" i="32"/>
  <c r="BO188" i="32"/>
  <c r="BO189" i="32"/>
  <c r="BO190" i="32"/>
  <c r="BO191" i="32"/>
  <c r="BO192" i="32"/>
  <c r="BO193" i="32"/>
  <c r="BO194" i="32"/>
  <c r="BO195" i="32"/>
  <c r="BO196" i="32"/>
  <c r="BO197" i="32"/>
  <c r="BO198" i="32"/>
  <c r="BO199" i="32"/>
  <c r="BO200" i="32"/>
  <c r="BO201" i="32"/>
  <c r="BO202" i="32"/>
  <c r="BO203" i="32"/>
  <c r="BO204" i="32"/>
  <c r="BO205" i="32"/>
  <c r="BO206" i="32"/>
  <c r="BO207" i="32"/>
  <c r="BO208" i="32"/>
  <c r="BO209" i="32"/>
  <c r="BO210" i="32"/>
  <c r="BO211" i="32"/>
  <c r="BO212" i="32"/>
  <c r="BO213" i="32"/>
  <c r="BO214" i="32"/>
  <c r="BO215" i="32"/>
  <c r="BO216" i="32"/>
  <c r="BO217" i="32"/>
  <c r="BO218" i="32"/>
  <c r="BO219" i="32"/>
  <c r="BO220" i="32"/>
  <c r="BO221" i="32"/>
  <c r="BO222" i="32"/>
  <c r="BO223" i="32"/>
  <c r="BO224" i="32"/>
  <c r="BO225" i="32"/>
  <c r="BO226" i="32"/>
  <c r="BO227" i="32"/>
  <c r="BO228" i="32"/>
  <c r="BO229" i="32"/>
  <c r="BO230" i="32"/>
  <c r="BO231" i="32"/>
  <c r="BO232" i="32"/>
  <c r="BO233" i="32"/>
  <c r="BO234" i="32"/>
  <c r="BO235" i="32"/>
  <c r="BO236" i="32"/>
  <c r="BO237" i="32"/>
  <c r="BO238" i="32"/>
  <c r="BO239" i="32"/>
  <c r="BO240" i="32"/>
  <c r="BO241" i="32"/>
  <c r="BO242" i="32"/>
  <c r="BO243" i="32"/>
  <c r="BO244" i="32"/>
  <c r="BO245" i="32"/>
  <c r="BO246" i="32"/>
  <c r="BO247" i="32"/>
  <c r="BO248" i="32"/>
  <c r="BO249" i="32"/>
  <c r="BO250" i="32"/>
  <c r="BO251" i="32"/>
  <c r="BO252" i="32"/>
  <c r="BO253" i="32"/>
  <c r="BO254" i="32"/>
  <c r="BO255" i="32"/>
  <c r="BO256" i="32"/>
  <c r="BO257" i="32"/>
  <c r="BO258" i="32"/>
  <c r="BO259" i="32"/>
  <c r="BO260" i="32"/>
  <c r="BO261" i="32"/>
  <c r="BO262" i="32"/>
  <c r="BO263" i="32"/>
  <c r="BO264" i="32"/>
  <c r="BO265" i="32"/>
  <c r="BO266" i="32"/>
  <c r="BO267" i="32"/>
  <c r="BO268" i="32"/>
  <c r="BO269" i="32"/>
  <c r="BO270" i="32"/>
  <c r="BO271" i="32"/>
  <c r="BO272" i="32"/>
  <c r="BO273" i="32"/>
  <c r="BO274" i="32"/>
  <c r="BO275" i="32"/>
  <c r="BO276" i="32"/>
  <c r="BO277" i="32"/>
  <c r="BO278" i="32"/>
  <c r="BO279" i="32"/>
  <c r="BO280" i="32"/>
  <c r="BO281" i="32"/>
  <c r="BO282" i="32"/>
  <c r="BO283" i="32"/>
  <c r="BO284" i="32"/>
  <c r="BO285" i="32"/>
  <c r="BO286" i="32"/>
  <c r="BO287" i="32"/>
  <c r="BO288" i="32"/>
  <c r="BO289" i="32"/>
  <c r="BO290" i="32"/>
  <c r="BO291" i="32"/>
  <c r="BO292" i="32"/>
  <c r="BO293" i="32"/>
  <c r="BO294" i="32"/>
  <c r="BO295" i="32"/>
  <c r="BO296" i="32"/>
  <c r="BO297" i="32"/>
  <c r="BO298" i="32"/>
  <c r="BO299" i="32"/>
  <c r="BO300" i="32"/>
  <c r="BO301" i="32"/>
  <c r="BO302" i="32"/>
  <c r="BO303" i="32"/>
  <c r="BO304" i="32"/>
  <c r="BO305" i="32"/>
  <c r="BO306" i="32"/>
  <c r="BO307" i="32"/>
  <c r="BO308" i="32"/>
  <c r="BO309" i="32"/>
  <c r="BO310" i="32"/>
  <c r="BO311" i="32"/>
  <c r="BO312" i="32"/>
  <c r="BO313" i="32"/>
  <c r="BO314" i="32"/>
  <c r="BO315" i="32"/>
  <c r="BO316" i="32"/>
  <c r="BO317" i="32"/>
  <c r="BO318" i="32"/>
  <c r="BO319" i="32"/>
  <c r="BO320" i="32"/>
  <c r="BO321" i="32"/>
  <c r="BO322" i="32"/>
  <c r="BO323" i="32"/>
  <c r="BO324" i="32"/>
  <c r="BO325" i="32"/>
  <c r="BO326" i="32"/>
  <c r="BO327" i="32"/>
  <c r="BO328" i="32"/>
  <c r="BO329" i="32"/>
  <c r="BO330" i="32"/>
  <c r="BO331" i="32"/>
  <c r="BO332" i="32"/>
  <c r="BO333" i="32"/>
  <c r="BO334" i="32"/>
  <c r="BO335" i="32"/>
  <c r="BO336" i="32"/>
  <c r="BO337" i="32"/>
  <c r="BO338" i="32"/>
  <c r="BO339" i="32"/>
  <c r="CQ5" i="32"/>
  <c r="DF5" i="32"/>
  <c r="DG5" i="32"/>
  <c r="DH5" i="32"/>
  <c r="CR5" i="32"/>
  <c r="L4" i="32"/>
  <c r="CH5" i="32"/>
  <c r="CI5" i="32"/>
  <c r="DC5" i="32"/>
  <c r="CI6" i="32"/>
  <c r="DC6" i="32"/>
  <c r="CI7" i="32"/>
  <c r="DC7" i="32"/>
  <c r="CI8" i="32"/>
  <c r="DC8" i="32"/>
  <c r="CI9" i="32"/>
  <c r="DC9" i="32"/>
  <c r="CI10" i="32"/>
  <c r="DC10" i="32"/>
  <c r="CI11" i="32"/>
  <c r="DC11" i="32"/>
  <c r="CI12" i="32"/>
  <c r="DC12" i="32"/>
  <c r="CI13" i="32"/>
  <c r="DC13" i="32"/>
  <c r="CI14" i="32"/>
  <c r="DC14" i="32"/>
  <c r="CI15" i="32"/>
  <c r="DC15" i="32"/>
  <c r="CI16" i="32"/>
  <c r="DC16" i="32"/>
  <c r="CI17" i="32"/>
  <c r="DC17" i="32"/>
  <c r="CI18" i="32"/>
  <c r="DC18" i="32"/>
  <c r="CI19" i="32"/>
  <c r="DC19" i="32"/>
  <c r="CI20" i="32"/>
  <c r="DC20" i="32"/>
  <c r="CI21" i="32"/>
  <c r="DC21" i="32"/>
  <c r="CI22" i="32"/>
  <c r="DC22" i="32"/>
  <c r="CI23" i="32"/>
  <c r="DC23" i="32"/>
  <c r="CI24" i="32"/>
  <c r="DC24" i="32"/>
  <c r="CI25" i="32"/>
  <c r="DC25" i="32"/>
  <c r="CI26" i="32"/>
  <c r="DC26" i="32"/>
  <c r="CI27" i="32"/>
  <c r="DC27" i="32"/>
  <c r="CI28" i="32"/>
  <c r="DC28" i="32"/>
  <c r="CI29" i="32"/>
  <c r="DC29" i="32"/>
  <c r="CI30" i="32"/>
  <c r="DC30" i="32"/>
  <c r="CI31" i="32"/>
  <c r="DC31" i="32"/>
  <c r="CI32" i="32"/>
  <c r="DC32" i="32"/>
  <c r="CI33" i="32"/>
  <c r="DC33" i="32"/>
  <c r="CI34" i="32"/>
  <c r="DC34" i="32"/>
  <c r="CI35" i="32"/>
  <c r="DC35" i="32"/>
  <c r="CI36" i="32"/>
  <c r="DC36" i="32"/>
  <c r="CI37" i="32"/>
  <c r="DC37" i="32"/>
  <c r="CI38" i="32"/>
  <c r="DC38" i="32"/>
  <c r="CI39" i="32"/>
  <c r="DC39" i="32"/>
  <c r="CI40" i="32"/>
  <c r="DC40" i="32"/>
  <c r="CI41" i="32"/>
  <c r="DC41" i="32"/>
  <c r="CI42" i="32"/>
  <c r="DC42" i="32"/>
  <c r="CI43" i="32"/>
  <c r="DC43" i="32"/>
  <c r="CI44" i="32"/>
  <c r="DC44" i="32"/>
  <c r="CI45" i="32"/>
  <c r="DC45" i="32"/>
  <c r="CI46" i="32"/>
  <c r="DC46" i="32"/>
  <c r="CI47" i="32"/>
  <c r="DC47" i="32"/>
  <c r="CI48" i="32"/>
  <c r="DC48" i="32"/>
  <c r="CI49" i="32"/>
  <c r="DC49" i="32"/>
  <c r="CI50" i="32"/>
  <c r="DC50" i="32"/>
  <c r="CI51" i="32"/>
  <c r="DC51" i="32"/>
  <c r="CI52" i="32"/>
  <c r="DC52" i="32"/>
  <c r="CI53" i="32"/>
  <c r="DC53" i="32"/>
  <c r="CI54" i="32"/>
  <c r="DC54" i="32"/>
  <c r="CI55" i="32"/>
  <c r="DC55" i="32"/>
  <c r="CI56" i="32"/>
  <c r="DC56" i="32"/>
  <c r="CI57" i="32"/>
  <c r="DC57" i="32"/>
  <c r="CI58" i="32"/>
  <c r="DC58" i="32"/>
  <c r="CI59" i="32"/>
  <c r="DC59" i="32"/>
  <c r="CI60" i="32"/>
  <c r="DC60" i="32"/>
  <c r="CI61" i="32"/>
  <c r="DC61" i="32"/>
  <c r="CI62" i="32"/>
  <c r="DC62" i="32"/>
  <c r="CI63" i="32"/>
  <c r="DC63" i="32"/>
  <c r="CI64" i="32"/>
  <c r="DC64" i="32"/>
  <c r="CI65" i="32"/>
  <c r="DC65" i="32"/>
  <c r="CI66" i="32"/>
  <c r="DC66" i="32"/>
  <c r="CI67" i="32"/>
  <c r="DC67" i="32"/>
  <c r="CI68" i="32"/>
  <c r="DC68" i="32"/>
  <c r="CI69" i="32"/>
  <c r="DC69" i="32"/>
  <c r="CI70" i="32"/>
  <c r="DC70" i="32"/>
  <c r="CI71" i="32"/>
  <c r="DC71" i="32"/>
  <c r="CI72" i="32"/>
  <c r="DC72" i="32"/>
  <c r="CI73" i="32"/>
  <c r="DC73" i="32"/>
  <c r="CI74" i="32"/>
  <c r="DC74" i="32"/>
  <c r="CI75" i="32"/>
  <c r="DC75" i="32"/>
  <c r="CI76" i="32"/>
  <c r="DC76" i="32"/>
  <c r="CI77" i="32"/>
  <c r="DC77" i="32"/>
  <c r="CI78" i="32"/>
  <c r="DC78" i="32"/>
  <c r="CI79" i="32"/>
  <c r="DC79" i="32"/>
  <c r="CI80" i="32"/>
  <c r="DC80" i="32"/>
  <c r="CI81" i="32"/>
  <c r="DC81" i="32"/>
  <c r="CI82" i="32"/>
  <c r="DC82" i="32"/>
  <c r="CI83" i="32"/>
  <c r="DC83" i="32"/>
  <c r="CI84" i="32"/>
  <c r="DC84" i="32"/>
  <c r="CI85" i="32"/>
  <c r="DC85" i="32"/>
  <c r="CI86" i="32"/>
  <c r="DC86" i="32"/>
  <c r="CI87" i="32"/>
  <c r="DC87" i="32"/>
  <c r="CI88" i="32"/>
  <c r="DC88" i="32"/>
  <c r="CI89" i="32"/>
  <c r="DC89" i="32"/>
  <c r="CI90" i="32"/>
  <c r="DC90" i="32"/>
  <c r="CI91" i="32"/>
  <c r="DC91" i="32"/>
  <c r="CI92" i="32"/>
  <c r="DC92" i="32"/>
  <c r="CI93" i="32"/>
  <c r="DC93" i="32"/>
  <c r="CI94" i="32"/>
  <c r="DC94" i="32"/>
  <c r="CI95" i="32"/>
  <c r="DC95" i="32"/>
  <c r="CI96" i="32"/>
  <c r="DC96" i="32"/>
  <c r="CI97" i="32"/>
  <c r="DC97" i="32"/>
  <c r="CI98" i="32"/>
  <c r="DC98" i="32"/>
  <c r="CI99" i="32"/>
  <c r="DC99" i="32"/>
  <c r="CI100" i="32"/>
  <c r="DC100" i="32"/>
  <c r="CI101" i="32"/>
  <c r="DC101" i="32"/>
  <c r="CI102" i="32"/>
  <c r="DC102" i="32"/>
  <c r="CI103" i="32"/>
  <c r="DC103" i="32"/>
  <c r="CI104" i="32"/>
  <c r="DC104" i="32"/>
  <c r="CI105" i="32"/>
  <c r="DC105" i="32"/>
  <c r="CI106" i="32"/>
  <c r="DC106" i="32"/>
  <c r="CI107" i="32"/>
  <c r="DC107" i="32"/>
  <c r="CI108" i="32"/>
  <c r="DC108" i="32"/>
  <c r="CI109" i="32"/>
  <c r="DC109" i="32"/>
  <c r="CI110" i="32"/>
  <c r="DC110" i="32"/>
  <c r="CI111" i="32"/>
  <c r="DC111" i="32"/>
  <c r="CI112" i="32"/>
  <c r="DC112" i="32"/>
  <c r="CI113" i="32"/>
  <c r="DC113" i="32"/>
  <c r="CI114" i="32"/>
  <c r="DC114" i="32"/>
  <c r="CI115" i="32"/>
  <c r="DC115" i="32"/>
  <c r="CI116" i="32"/>
  <c r="DC116" i="32"/>
  <c r="CI117" i="32"/>
  <c r="DC117" i="32"/>
  <c r="CI118" i="32"/>
  <c r="DC118" i="32"/>
  <c r="CI119" i="32"/>
  <c r="DC119" i="32"/>
  <c r="CI120" i="32"/>
  <c r="DC120" i="32"/>
  <c r="CI121" i="32"/>
  <c r="DC121" i="32"/>
  <c r="CI122" i="32"/>
  <c r="DC122" i="32"/>
  <c r="CI123" i="32"/>
  <c r="DC123" i="32"/>
  <c r="CI124" i="32"/>
  <c r="DC124" i="32"/>
  <c r="CI125" i="32"/>
  <c r="DC125" i="32"/>
  <c r="CI126" i="32"/>
  <c r="DC126" i="32"/>
  <c r="CI127" i="32"/>
  <c r="DC127" i="32"/>
  <c r="CI128" i="32"/>
  <c r="DC128" i="32"/>
  <c r="CI129" i="32"/>
  <c r="DC129" i="32"/>
  <c r="CI130" i="32"/>
  <c r="DC130" i="32"/>
  <c r="CI131" i="32"/>
  <c r="DC131" i="32"/>
  <c r="CI132" i="32"/>
  <c r="DC132" i="32"/>
  <c r="CI133" i="32"/>
  <c r="DC133" i="32"/>
  <c r="CI134" i="32"/>
  <c r="DC134" i="32"/>
  <c r="CI135" i="32"/>
  <c r="DC135" i="32"/>
  <c r="CI136" i="32"/>
  <c r="DC136" i="32"/>
  <c r="CI137" i="32"/>
  <c r="DC137" i="32"/>
  <c r="CI138" i="32"/>
  <c r="DC138" i="32"/>
  <c r="CI139" i="32"/>
  <c r="DC139" i="32"/>
  <c r="CI140" i="32"/>
  <c r="DC140" i="32"/>
  <c r="CI141" i="32"/>
  <c r="DC141" i="32"/>
  <c r="CI142" i="32"/>
  <c r="DC142" i="32"/>
  <c r="CI143" i="32"/>
  <c r="DC143" i="32"/>
  <c r="CI144" i="32"/>
  <c r="DC144" i="32"/>
  <c r="CI145" i="32"/>
  <c r="DC145" i="32"/>
  <c r="CI146" i="32"/>
  <c r="DC146" i="32"/>
  <c r="CI147" i="32"/>
  <c r="DC147" i="32"/>
  <c r="CI148" i="32"/>
  <c r="DC148" i="32"/>
  <c r="CI149" i="32"/>
  <c r="DC149" i="32"/>
  <c r="CI150" i="32"/>
  <c r="DC150" i="32"/>
  <c r="CI151" i="32"/>
  <c r="DC151" i="32"/>
  <c r="CI152" i="32"/>
  <c r="DC152" i="32"/>
  <c r="CI153" i="32"/>
  <c r="DC153" i="32"/>
  <c r="CI154" i="32"/>
  <c r="DC154" i="32"/>
  <c r="CI155" i="32"/>
  <c r="DC155" i="32"/>
  <c r="CI156" i="32"/>
  <c r="DC156" i="32"/>
  <c r="CI157" i="32"/>
  <c r="DC157" i="32"/>
  <c r="CI158" i="32"/>
  <c r="DC158" i="32"/>
  <c r="CI159" i="32"/>
  <c r="DC159" i="32"/>
  <c r="CI160" i="32"/>
  <c r="DC160" i="32"/>
  <c r="CI161" i="32"/>
  <c r="DC161" i="32"/>
  <c r="CI162" i="32"/>
  <c r="DC162" i="32"/>
  <c r="CI163" i="32"/>
  <c r="DC163" i="32"/>
  <c r="CI164" i="32"/>
  <c r="DC164" i="32"/>
  <c r="CI165" i="32"/>
  <c r="DC165" i="32"/>
  <c r="CI166" i="32"/>
  <c r="DC166" i="32"/>
  <c r="CI167" i="32"/>
  <c r="DC167" i="32"/>
  <c r="CI168" i="32"/>
  <c r="DC168" i="32"/>
  <c r="CI169" i="32"/>
  <c r="DC169" i="32"/>
  <c r="CI170" i="32"/>
  <c r="DC170" i="32"/>
  <c r="CI171" i="32"/>
  <c r="DC171" i="32"/>
  <c r="CI172" i="32"/>
  <c r="DC172" i="32"/>
  <c r="CI173" i="32"/>
  <c r="DC173" i="32"/>
  <c r="CI174" i="32"/>
  <c r="DC174" i="32"/>
  <c r="CI175" i="32"/>
  <c r="DC175" i="32"/>
  <c r="CI176" i="32"/>
  <c r="DC176" i="32"/>
  <c r="CI177" i="32"/>
  <c r="DC177" i="32"/>
  <c r="CI178" i="32"/>
  <c r="DC178" i="32"/>
  <c r="CI179" i="32"/>
  <c r="DC179" i="32"/>
  <c r="CI180" i="32"/>
  <c r="DC180" i="32"/>
  <c r="CI181" i="32"/>
  <c r="DC181" i="32"/>
  <c r="CI182" i="32"/>
  <c r="DC182" i="32"/>
  <c r="CI183" i="32"/>
  <c r="DC183" i="32"/>
  <c r="CI184" i="32"/>
  <c r="DC184" i="32"/>
  <c r="CI185" i="32"/>
  <c r="DC185" i="32"/>
  <c r="CI186" i="32"/>
  <c r="DC186" i="32"/>
  <c r="CI187" i="32"/>
  <c r="DC187" i="32"/>
  <c r="CI188" i="32"/>
  <c r="DC188" i="32"/>
  <c r="CI189" i="32"/>
  <c r="DC189" i="32"/>
  <c r="CI190" i="32"/>
  <c r="DC190" i="32"/>
  <c r="CI191" i="32"/>
  <c r="DC191" i="32"/>
  <c r="CI192" i="32"/>
  <c r="DC192" i="32"/>
  <c r="CI193" i="32"/>
  <c r="DC193" i="32"/>
  <c r="CI194" i="32"/>
  <c r="DC194" i="32"/>
  <c r="CI195" i="32"/>
  <c r="DC195" i="32"/>
  <c r="CI196" i="32"/>
  <c r="DC196" i="32"/>
  <c r="CI197" i="32"/>
  <c r="DC197" i="32"/>
  <c r="CI198" i="32"/>
  <c r="DC198" i="32"/>
  <c r="CI199" i="32"/>
  <c r="DC199" i="32"/>
  <c r="CI200" i="32"/>
  <c r="DC200" i="32"/>
  <c r="CI201" i="32"/>
  <c r="DC201" i="32"/>
  <c r="CI202" i="32"/>
  <c r="DC202" i="32"/>
  <c r="CI203" i="32"/>
  <c r="DC203" i="32"/>
  <c r="CI204" i="32"/>
  <c r="DC204" i="32"/>
  <c r="CI205" i="32"/>
  <c r="DC205" i="32"/>
  <c r="CI206" i="32"/>
  <c r="DC206" i="32"/>
  <c r="CI207" i="32"/>
  <c r="DC207" i="32"/>
  <c r="CI208" i="32"/>
  <c r="DC208" i="32"/>
  <c r="CI209" i="32"/>
  <c r="DC209" i="32"/>
  <c r="CI210" i="32"/>
  <c r="DC210" i="32"/>
  <c r="CI211" i="32"/>
  <c r="DC211" i="32"/>
  <c r="CI212" i="32"/>
  <c r="DC212" i="32"/>
  <c r="CI213" i="32"/>
  <c r="DC213" i="32"/>
  <c r="CI214" i="32"/>
  <c r="DC214" i="32"/>
  <c r="CI215" i="32"/>
  <c r="DC215" i="32"/>
  <c r="CI216" i="32"/>
  <c r="DC216" i="32"/>
  <c r="CI217" i="32"/>
  <c r="DC217" i="32"/>
  <c r="CI218" i="32"/>
  <c r="DC218" i="32"/>
  <c r="CI219" i="32"/>
  <c r="DC219" i="32"/>
  <c r="CI220" i="32"/>
  <c r="DC220" i="32"/>
  <c r="CI221" i="32"/>
  <c r="DC221" i="32"/>
  <c r="CI222" i="32"/>
  <c r="DC222" i="32"/>
  <c r="CI223" i="32"/>
  <c r="DC223" i="32"/>
  <c r="CI224" i="32"/>
  <c r="DC224" i="32"/>
  <c r="CI225" i="32"/>
  <c r="DC225" i="32"/>
  <c r="CI226" i="32"/>
  <c r="DC226" i="32"/>
  <c r="CI227" i="32"/>
  <c r="DC227" i="32"/>
  <c r="CI228" i="32"/>
  <c r="DC228" i="32"/>
  <c r="CI229" i="32"/>
  <c r="DC229" i="32"/>
  <c r="CI230" i="32"/>
  <c r="DC230" i="32"/>
  <c r="CI231" i="32"/>
  <c r="DC231" i="32"/>
  <c r="CI232" i="32"/>
  <c r="DC232" i="32"/>
  <c r="CI233" i="32"/>
  <c r="DC233" i="32"/>
  <c r="CI234" i="32"/>
  <c r="DC234" i="32"/>
  <c r="CI235" i="32"/>
  <c r="DC235" i="32"/>
  <c r="CI236" i="32"/>
  <c r="DC236" i="32"/>
  <c r="CI237" i="32"/>
  <c r="DC237" i="32"/>
  <c r="CI238" i="32"/>
  <c r="DC238" i="32"/>
  <c r="CI239" i="32"/>
  <c r="DC239" i="32"/>
  <c r="CI240" i="32"/>
  <c r="DC240" i="32"/>
  <c r="CI241" i="32"/>
  <c r="DC241" i="32"/>
  <c r="CI242" i="32"/>
  <c r="DC242" i="32"/>
  <c r="CI243" i="32"/>
  <c r="DC243" i="32"/>
  <c r="CI244" i="32"/>
  <c r="DC244" i="32"/>
  <c r="CI245" i="32"/>
  <c r="DC245" i="32"/>
  <c r="CI246" i="32"/>
  <c r="DC246" i="32"/>
  <c r="CI247" i="32"/>
  <c r="DC247" i="32"/>
  <c r="CI248" i="32"/>
  <c r="DC248" i="32"/>
  <c r="CI249" i="32"/>
  <c r="DC249" i="32"/>
  <c r="CI250" i="32"/>
  <c r="DC250" i="32"/>
  <c r="CI251" i="32"/>
  <c r="DC251" i="32"/>
  <c r="CI252" i="32"/>
  <c r="DC252" i="32"/>
  <c r="CI253" i="32"/>
  <c r="DC253" i="32"/>
  <c r="CI254" i="32"/>
  <c r="DC254" i="32"/>
  <c r="CI255" i="32"/>
  <c r="DC255" i="32"/>
  <c r="CI256" i="32"/>
  <c r="DC256" i="32"/>
  <c r="CI257" i="32"/>
  <c r="DC257" i="32"/>
  <c r="CI258" i="32"/>
  <c r="DC258" i="32"/>
  <c r="CI259" i="32"/>
  <c r="DC259" i="32"/>
  <c r="CI260" i="32"/>
  <c r="DC260" i="32"/>
  <c r="CI261" i="32"/>
  <c r="DC261" i="32"/>
  <c r="CI262" i="32"/>
  <c r="DC262" i="32"/>
  <c r="CI263" i="32"/>
  <c r="DC263" i="32"/>
  <c r="CI264" i="32"/>
  <c r="DC264" i="32"/>
  <c r="CI265" i="32"/>
  <c r="DC265" i="32"/>
  <c r="CI266" i="32"/>
  <c r="DC266" i="32"/>
  <c r="CI267" i="32"/>
  <c r="DC267" i="32"/>
  <c r="CI268" i="32"/>
  <c r="DC268" i="32"/>
  <c r="CI269" i="32"/>
  <c r="DC269" i="32"/>
  <c r="CI270" i="32"/>
  <c r="DC270" i="32"/>
  <c r="CI271" i="32"/>
  <c r="DC271" i="32"/>
  <c r="CI272" i="32"/>
  <c r="DC272" i="32"/>
  <c r="CI273" i="32"/>
  <c r="DC273" i="32"/>
  <c r="CI274" i="32"/>
  <c r="DC274" i="32"/>
  <c r="CI275" i="32"/>
  <c r="DC275" i="32"/>
  <c r="CI276" i="32"/>
  <c r="DC276" i="32"/>
  <c r="CI277" i="32"/>
  <c r="DC277" i="32"/>
  <c r="CI278" i="32"/>
  <c r="DC278" i="32"/>
  <c r="CI279" i="32"/>
  <c r="DC279" i="32"/>
  <c r="CI280" i="32"/>
  <c r="DC280" i="32"/>
  <c r="CI281" i="32"/>
  <c r="DC281" i="32"/>
  <c r="CI282" i="32"/>
  <c r="DC282" i="32"/>
  <c r="CI283" i="32"/>
  <c r="DC283" i="32"/>
  <c r="CI284" i="32"/>
  <c r="DC284" i="32"/>
  <c r="CI285" i="32"/>
  <c r="DC285" i="32"/>
  <c r="CI286" i="32"/>
  <c r="DC286" i="32"/>
  <c r="CI287" i="32"/>
  <c r="DC287" i="32"/>
  <c r="CI288" i="32"/>
  <c r="DC288" i="32"/>
  <c r="CI289" i="32"/>
  <c r="DC289" i="32"/>
  <c r="CI290" i="32"/>
  <c r="DC290" i="32"/>
  <c r="CI291" i="32"/>
  <c r="DC291" i="32"/>
  <c r="CI292" i="32"/>
  <c r="DC292" i="32"/>
  <c r="CI293" i="32"/>
  <c r="DC293" i="32"/>
  <c r="CI294" i="32"/>
  <c r="DC294" i="32"/>
  <c r="CI295" i="32"/>
  <c r="DC295" i="32"/>
  <c r="CI296" i="32"/>
  <c r="DC296" i="32"/>
  <c r="CI297" i="32"/>
  <c r="DC297" i="32"/>
  <c r="CI298" i="32"/>
  <c r="DC298" i="32"/>
  <c r="CI299" i="32"/>
  <c r="DC299" i="32"/>
  <c r="CI300" i="32"/>
  <c r="DC300" i="32"/>
  <c r="CI301" i="32"/>
  <c r="DC301" i="32"/>
  <c r="CI302" i="32"/>
  <c r="DC302" i="32"/>
  <c r="CI303" i="32"/>
  <c r="DC303" i="32"/>
  <c r="CI304" i="32"/>
  <c r="DC304" i="32"/>
  <c r="CI305" i="32"/>
  <c r="DC305" i="32"/>
  <c r="CI306" i="32"/>
  <c r="DC306" i="32"/>
  <c r="CI307" i="32"/>
  <c r="DC307" i="32"/>
  <c r="CI308" i="32"/>
  <c r="DC308" i="32"/>
  <c r="CI309" i="32"/>
  <c r="DC309" i="32"/>
  <c r="CI310" i="32"/>
  <c r="DC310" i="32"/>
  <c r="CI311" i="32"/>
  <c r="DC311" i="32"/>
  <c r="CI312" i="32"/>
  <c r="DC312" i="32"/>
  <c r="CI313" i="32"/>
  <c r="DC313" i="32"/>
  <c r="CI314" i="32"/>
  <c r="DC314" i="32"/>
  <c r="CI315" i="32"/>
  <c r="DC315" i="32"/>
  <c r="CI316" i="32"/>
  <c r="DC316" i="32"/>
  <c r="CI317" i="32"/>
  <c r="DC317" i="32"/>
  <c r="CI318" i="32"/>
  <c r="DC318" i="32"/>
  <c r="CI319" i="32"/>
  <c r="DC319" i="32"/>
  <c r="CI320" i="32"/>
  <c r="DC320" i="32"/>
  <c r="CI321" i="32"/>
  <c r="DC321" i="32"/>
  <c r="CI322" i="32"/>
  <c r="DC322" i="32"/>
  <c r="CI323" i="32"/>
  <c r="DC323" i="32"/>
  <c r="CI324" i="32"/>
  <c r="DC324" i="32"/>
  <c r="CI325" i="32"/>
  <c r="DC325" i="32"/>
  <c r="CI326" i="32"/>
  <c r="DC326" i="32"/>
  <c r="CI327" i="32"/>
  <c r="DC327" i="32"/>
  <c r="CI328" i="32"/>
  <c r="DC328" i="32"/>
  <c r="CI329" i="32"/>
  <c r="DC329" i="32"/>
  <c r="CI330" i="32"/>
  <c r="DC330" i="32"/>
  <c r="CI331" i="32"/>
  <c r="DC331" i="32"/>
  <c r="CI332" i="32"/>
  <c r="DC332" i="32"/>
  <c r="CI333" i="32"/>
  <c r="DC333" i="32"/>
  <c r="CI334" i="32"/>
  <c r="DC334" i="32"/>
  <c r="CI335" i="32"/>
  <c r="DC335" i="32"/>
  <c r="CI336" i="32"/>
  <c r="DC336" i="32"/>
  <c r="CI337" i="32"/>
  <c r="DC337" i="32"/>
  <c r="CI338" i="32"/>
  <c r="DC338" i="32"/>
  <c r="CI339" i="32"/>
  <c r="DC339" i="32"/>
  <c r="CI340" i="32"/>
  <c r="DC340" i="32"/>
  <c r="CI341" i="32"/>
  <c r="DC341" i="32"/>
  <c r="CI342" i="32"/>
  <c r="DC342" i="32"/>
  <c r="CI343" i="32"/>
  <c r="DC343" i="32"/>
  <c r="CI344" i="32"/>
  <c r="DC344" i="32"/>
  <c r="CI345" i="32"/>
  <c r="DC345" i="32"/>
  <c r="CI346" i="32"/>
  <c r="DC346" i="32"/>
  <c r="CI347" i="32"/>
  <c r="DC347" i="32"/>
  <c r="CI348" i="32"/>
  <c r="DC348" i="32"/>
  <c r="CI349" i="32"/>
  <c r="DC349" i="32"/>
  <c r="CI350" i="32"/>
  <c r="DC350" i="32"/>
  <c r="CI351" i="32"/>
  <c r="DC351" i="32"/>
  <c r="CI352" i="32"/>
  <c r="DC352" i="32"/>
  <c r="CI353" i="32"/>
  <c r="DC353" i="32"/>
  <c r="CI354" i="32"/>
  <c r="DC354" i="32"/>
  <c r="CI355" i="32"/>
  <c r="DC355" i="32"/>
  <c r="CI356" i="32"/>
  <c r="DC356" i="32"/>
  <c r="CI357" i="32"/>
  <c r="DC357" i="32"/>
  <c r="CI358" i="32"/>
  <c r="DC358" i="32"/>
  <c r="CI359" i="32"/>
  <c r="DC359" i="32"/>
  <c r="CI360" i="32"/>
  <c r="DC360" i="32"/>
  <c r="CI361" i="32"/>
  <c r="DC361" i="32"/>
  <c r="CI362" i="32"/>
  <c r="DC362" i="32"/>
  <c r="CI363" i="32"/>
  <c r="DC363" i="32"/>
  <c r="CI364" i="32"/>
  <c r="DC364" i="32"/>
  <c r="CI365" i="32"/>
  <c r="DC365" i="32"/>
  <c r="CI366" i="32"/>
  <c r="DC366" i="32"/>
  <c r="CI367" i="32"/>
  <c r="DC367" i="32"/>
  <c r="CI368" i="32"/>
  <c r="DC368" i="32"/>
  <c r="CI369" i="32"/>
  <c r="DC369" i="32"/>
  <c r="CI370" i="32"/>
  <c r="DC370" i="32"/>
  <c r="CI371" i="32"/>
  <c r="DC371" i="32"/>
  <c r="CI372" i="32"/>
  <c r="DC372" i="32"/>
  <c r="CI373" i="32"/>
  <c r="DC373" i="32"/>
  <c r="CI374" i="32"/>
  <c r="DC374" i="32"/>
  <c r="CI375" i="32"/>
  <c r="DC375" i="32"/>
  <c r="CI376" i="32"/>
  <c r="DC376" i="32"/>
  <c r="CI377" i="32"/>
  <c r="DC377" i="32"/>
  <c r="CI378" i="32"/>
  <c r="DC378" i="32"/>
  <c r="CI379" i="32"/>
  <c r="DC379" i="32"/>
  <c r="CI380" i="32"/>
  <c r="DC380" i="32"/>
  <c r="CI381" i="32"/>
  <c r="DC381" i="32"/>
  <c r="CI382" i="32"/>
  <c r="DC382" i="32"/>
  <c r="CI383" i="32"/>
  <c r="DC383" i="32"/>
  <c r="CI384" i="32"/>
  <c r="DC384" i="32"/>
  <c r="CI385" i="32"/>
  <c r="DC385" i="32"/>
  <c r="CI386" i="32"/>
  <c r="DC386" i="32"/>
  <c r="CI387" i="32"/>
  <c r="DC387" i="32"/>
  <c r="CI388" i="32"/>
  <c r="DC388" i="32"/>
  <c r="CI389" i="32"/>
  <c r="DC389" i="32"/>
  <c r="CI390" i="32"/>
  <c r="DC390" i="32"/>
  <c r="CI391" i="32"/>
  <c r="DC391" i="32"/>
  <c r="CI392" i="32"/>
  <c r="DC392" i="32"/>
  <c r="CI393" i="32"/>
  <c r="DC393" i="32"/>
  <c r="CI394" i="32"/>
  <c r="DC394" i="32"/>
  <c r="CI395" i="32"/>
  <c r="DC395" i="32"/>
  <c r="CI396" i="32"/>
  <c r="DC396" i="32"/>
  <c r="CI397" i="32"/>
  <c r="DC397" i="32"/>
  <c r="CI398" i="32"/>
  <c r="DC398" i="32"/>
  <c r="CI399" i="32"/>
  <c r="DC399" i="32"/>
  <c r="CI400" i="32"/>
  <c r="DC400" i="32"/>
  <c r="CI401" i="32"/>
  <c r="DC401" i="32"/>
  <c r="CI402" i="32"/>
  <c r="DC402" i="32"/>
  <c r="CI403" i="32"/>
  <c r="DC403" i="32"/>
  <c r="CI404" i="32"/>
  <c r="DC404" i="32"/>
  <c r="CI405" i="32"/>
  <c r="DC405" i="32"/>
  <c r="CI406" i="32"/>
  <c r="DC406" i="32"/>
  <c r="CI407" i="32"/>
  <c r="DC407" i="32"/>
  <c r="CI408" i="32"/>
  <c r="DC408" i="32"/>
  <c r="CI409" i="32"/>
  <c r="DC409" i="32"/>
  <c r="CI410" i="32"/>
  <c r="DC410" i="32"/>
  <c r="CI411" i="32"/>
  <c r="DC411" i="32"/>
  <c r="CI412" i="32"/>
  <c r="DC412" i="32"/>
  <c r="CI413" i="32"/>
  <c r="DC413" i="32"/>
  <c r="CI414" i="32"/>
  <c r="DC414" i="32"/>
  <c r="CI415" i="32"/>
  <c r="DC415" i="32"/>
  <c r="CI416" i="32"/>
  <c r="DC416" i="32"/>
  <c r="CI417" i="32"/>
  <c r="DC417" i="32"/>
  <c r="CI418" i="32"/>
  <c r="DC418" i="32"/>
  <c r="CI419" i="32"/>
  <c r="DC419" i="32"/>
  <c r="CI420" i="32"/>
  <c r="DC420" i="32"/>
  <c r="CI421" i="32"/>
  <c r="DC421" i="32"/>
  <c r="CI422" i="32"/>
  <c r="DC422" i="32"/>
  <c r="CI423" i="32"/>
  <c r="DC423" i="32"/>
  <c r="CI424" i="32"/>
  <c r="DC424" i="32"/>
  <c r="CI425" i="32"/>
  <c r="DC425" i="32"/>
  <c r="CI426" i="32"/>
  <c r="DC426" i="32"/>
  <c r="CI427" i="32"/>
  <c r="DC427" i="32"/>
  <c r="CI428" i="32"/>
  <c r="DC428" i="32"/>
  <c r="CI429" i="32"/>
  <c r="DC429" i="32"/>
  <c r="CI430" i="32"/>
  <c r="DC430" i="32"/>
  <c r="CI431" i="32"/>
  <c r="DC431" i="32"/>
  <c r="CI432" i="32"/>
  <c r="DC432" i="32"/>
  <c r="CI433" i="32"/>
  <c r="DC433" i="32"/>
  <c r="CI434" i="32"/>
  <c r="DC434" i="32"/>
  <c r="CI435" i="32"/>
  <c r="DC435" i="32"/>
  <c r="CI436" i="32"/>
  <c r="DC436" i="32"/>
  <c r="CI437" i="32"/>
  <c r="DC437" i="32"/>
  <c r="CI438" i="32"/>
  <c r="DC438" i="32"/>
  <c r="CI439" i="32"/>
  <c r="DC439" i="32"/>
  <c r="CI440" i="32"/>
  <c r="DC440" i="32"/>
  <c r="CI441" i="32"/>
  <c r="DC441" i="32"/>
  <c r="CI442" i="32"/>
  <c r="DC442" i="32"/>
  <c r="CI443" i="32"/>
  <c r="DC443" i="32"/>
  <c r="CI444" i="32"/>
  <c r="DC444" i="32"/>
  <c r="DD5" i="32"/>
  <c r="DE5" i="32"/>
  <c r="CJ5" i="32"/>
  <c r="DD6" i="32"/>
  <c r="DE6" i="32"/>
  <c r="CJ6" i="32"/>
  <c r="DD7" i="32"/>
  <c r="DE7" i="32"/>
  <c r="CJ7" i="32"/>
  <c r="DD8" i="32"/>
  <c r="DE8" i="32"/>
  <c r="CJ8" i="32"/>
  <c r="DD9" i="32"/>
  <c r="DE9" i="32"/>
  <c r="CJ9" i="32"/>
  <c r="DD10" i="32"/>
  <c r="DE10" i="32"/>
  <c r="CJ10" i="32"/>
  <c r="DD11" i="32"/>
  <c r="DE11" i="32"/>
  <c r="CJ11" i="32"/>
  <c r="DD12" i="32"/>
  <c r="DE12" i="32"/>
  <c r="CJ12" i="32"/>
  <c r="DD13" i="32"/>
  <c r="DE13" i="32"/>
  <c r="CJ13" i="32"/>
  <c r="DD14" i="32"/>
  <c r="DE14" i="32"/>
  <c r="CJ14" i="32"/>
  <c r="DD15" i="32"/>
  <c r="DE15" i="32"/>
  <c r="CJ15" i="32"/>
  <c r="DD16" i="32"/>
  <c r="DE16" i="32"/>
  <c r="CJ16" i="32"/>
  <c r="DD17" i="32"/>
  <c r="DE17" i="32"/>
  <c r="CJ17" i="32"/>
  <c r="DD18" i="32"/>
  <c r="DE18" i="32"/>
  <c r="CJ18" i="32"/>
  <c r="DD19" i="32"/>
  <c r="DE19" i="32"/>
  <c r="CJ19" i="32"/>
  <c r="DD20" i="32"/>
  <c r="DE20" i="32"/>
  <c r="CJ20" i="32"/>
  <c r="DD21" i="32"/>
  <c r="DE21" i="32"/>
  <c r="CJ21" i="32"/>
  <c r="DD22" i="32"/>
  <c r="DE22" i="32"/>
  <c r="CJ22" i="32"/>
  <c r="DD23" i="32"/>
  <c r="DE23" i="32"/>
  <c r="CJ23" i="32"/>
  <c r="DD24" i="32"/>
  <c r="DE24" i="32"/>
  <c r="CJ24" i="32"/>
  <c r="DD25" i="32"/>
  <c r="DE25" i="32"/>
  <c r="CJ25" i="32"/>
  <c r="DD26" i="32"/>
  <c r="DE26" i="32"/>
  <c r="CJ26" i="32"/>
  <c r="DD27" i="32"/>
  <c r="DE27" i="32"/>
  <c r="CJ27" i="32"/>
  <c r="DD28" i="32"/>
  <c r="DE28" i="32"/>
  <c r="CJ28" i="32"/>
  <c r="DD29" i="32"/>
  <c r="DE29" i="32"/>
  <c r="CJ29" i="32"/>
  <c r="DD30" i="32"/>
  <c r="DE30" i="32"/>
  <c r="CJ30" i="32"/>
  <c r="DD31" i="32"/>
  <c r="DE31" i="32"/>
  <c r="CJ31" i="32"/>
  <c r="DD32" i="32"/>
  <c r="DE32" i="32"/>
  <c r="CJ32" i="32"/>
  <c r="DD33" i="32"/>
  <c r="DE33" i="32"/>
  <c r="CJ33" i="32"/>
  <c r="DD34" i="32"/>
  <c r="DE34" i="32"/>
  <c r="CJ34" i="32"/>
  <c r="DD35" i="32"/>
  <c r="DE35" i="32"/>
  <c r="CJ35" i="32"/>
  <c r="DD36" i="32"/>
  <c r="DE36" i="32"/>
  <c r="CJ36" i="32"/>
  <c r="DD37" i="32"/>
  <c r="DE37" i="32"/>
  <c r="CJ37" i="32"/>
  <c r="DD38" i="32"/>
  <c r="DE38" i="32"/>
  <c r="CJ38" i="32"/>
  <c r="DD39" i="32"/>
  <c r="DE39" i="32"/>
  <c r="CJ39" i="32"/>
  <c r="DD40" i="32"/>
  <c r="DE40" i="32"/>
  <c r="CJ40" i="32"/>
  <c r="DD41" i="32"/>
  <c r="DE41" i="32"/>
  <c r="CJ41" i="32"/>
  <c r="DD42" i="32"/>
  <c r="DE42" i="32"/>
  <c r="CJ42" i="32"/>
  <c r="DD43" i="32"/>
  <c r="DE43" i="32"/>
  <c r="CJ43" i="32"/>
  <c r="DD44" i="32"/>
  <c r="DE44" i="32"/>
  <c r="CJ44" i="32"/>
  <c r="DD45" i="32"/>
  <c r="DE45" i="32"/>
  <c r="CJ45" i="32"/>
  <c r="DD46" i="32"/>
  <c r="DE46" i="32"/>
  <c r="CJ46" i="32"/>
  <c r="DD47" i="32"/>
  <c r="DE47" i="32"/>
  <c r="CJ47" i="32"/>
  <c r="DD48" i="32"/>
  <c r="DE48" i="32"/>
  <c r="CJ48" i="32"/>
  <c r="DD49" i="32"/>
  <c r="DE49" i="32"/>
  <c r="CJ49" i="32"/>
  <c r="DD50" i="32"/>
  <c r="DE50" i="32"/>
  <c r="CJ50" i="32"/>
  <c r="DD51" i="32"/>
  <c r="DE51" i="32"/>
  <c r="CJ51" i="32"/>
  <c r="DD52" i="32"/>
  <c r="DE52" i="32"/>
  <c r="CJ52" i="32"/>
  <c r="DD53" i="32"/>
  <c r="DE53" i="32"/>
  <c r="CJ53" i="32"/>
  <c r="DD54" i="32"/>
  <c r="DE54" i="32"/>
  <c r="CJ54" i="32"/>
  <c r="DD55" i="32"/>
  <c r="DE55" i="32"/>
  <c r="CJ55" i="32"/>
  <c r="DD56" i="32"/>
  <c r="DE56" i="32"/>
  <c r="CJ56" i="32"/>
  <c r="DD57" i="32"/>
  <c r="DE57" i="32"/>
  <c r="CJ57" i="32"/>
  <c r="DD58" i="32"/>
  <c r="DE58" i="32"/>
  <c r="CJ58" i="32"/>
  <c r="DD59" i="32"/>
  <c r="DE59" i="32"/>
  <c r="CJ59" i="32"/>
  <c r="DD60" i="32"/>
  <c r="DE60" i="32"/>
  <c r="CJ60" i="32"/>
  <c r="DD61" i="32"/>
  <c r="DE61" i="32"/>
  <c r="CJ61" i="32"/>
  <c r="DD62" i="32"/>
  <c r="DE62" i="32"/>
  <c r="CJ62" i="32"/>
  <c r="DD63" i="32"/>
  <c r="DE63" i="32"/>
  <c r="CJ63" i="32"/>
  <c r="DD64" i="32"/>
  <c r="DE64" i="32"/>
  <c r="CJ64" i="32"/>
  <c r="DD65" i="32"/>
  <c r="DE65" i="32"/>
  <c r="CJ65" i="32"/>
  <c r="DD66" i="32"/>
  <c r="DE66" i="32"/>
  <c r="CJ66" i="32"/>
  <c r="DD67" i="32"/>
  <c r="DE67" i="32"/>
  <c r="CJ67" i="32"/>
  <c r="DD68" i="32"/>
  <c r="DE68" i="32"/>
  <c r="CJ68" i="32"/>
  <c r="DD69" i="32"/>
  <c r="DE69" i="32"/>
  <c r="CJ69" i="32"/>
  <c r="DD70" i="32"/>
  <c r="DE70" i="32"/>
  <c r="CJ70" i="32"/>
  <c r="DD71" i="32"/>
  <c r="DE71" i="32"/>
  <c r="CJ71" i="32"/>
  <c r="DD72" i="32"/>
  <c r="DE72" i="32"/>
  <c r="CJ72" i="32"/>
  <c r="DD73" i="32"/>
  <c r="DE73" i="32"/>
  <c r="CJ73" i="32"/>
  <c r="DD74" i="32"/>
  <c r="DE74" i="32"/>
  <c r="CJ74" i="32"/>
  <c r="DD75" i="32"/>
  <c r="DE75" i="32"/>
  <c r="CJ75" i="32"/>
  <c r="DD76" i="32"/>
  <c r="DE76" i="32"/>
  <c r="CJ76" i="32"/>
  <c r="DD77" i="32"/>
  <c r="DE77" i="32"/>
  <c r="CJ77" i="32"/>
  <c r="DD78" i="32"/>
  <c r="DE78" i="32"/>
  <c r="CJ78" i="32"/>
  <c r="DD79" i="32"/>
  <c r="DE79" i="32"/>
  <c r="CJ79" i="32"/>
  <c r="DD80" i="32"/>
  <c r="DE80" i="32"/>
  <c r="CJ80" i="32"/>
  <c r="DD81" i="32"/>
  <c r="DE81" i="32"/>
  <c r="CJ81" i="32"/>
  <c r="DD82" i="32"/>
  <c r="DE82" i="32"/>
  <c r="CJ82" i="32"/>
  <c r="DD83" i="32"/>
  <c r="DE83" i="32"/>
  <c r="CJ83" i="32"/>
  <c r="DD84" i="32"/>
  <c r="DE84" i="32"/>
  <c r="CJ84" i="32"/>
  <c r="DD85" i="32"/>
  <c r="DE85" i="32"/>
  <c r="CJ85" i="32"/>
  <c r="DD86" i="32"/>
  <c r="DE86" i="32"/>
  <c r="CJ86" i="32"/>
  <c r="DD87" i="32"/>
  <c r="DE87" i="32"/>
  <c r="CJ87" i="32"/>
  <c r="DD88" i="32"/>
  <c r="DE88" i="32"/>
  <c r="CJ88" i="32"/>
  <c r="DD89" i="32"/>
  <c r="DE89" i="32"/>
  <c r="CJ89" i="32"/>
  <c r="DD90" i="32"/>
  <c r="DE90" i="32"/>
  <c r="CJ90" i="32"/>
  <c r="DD91" i="32"/>
  <c r="DE91" i="32"/>
  <c r="CJ91" i="32"/>
  <c r="DD92" i="32"/>
  <c r="DE92" i="32"/>
  <c r="CJ92" i="32"/>
  <c r="DD93" i="32"/>
  <c r="DE93" i="32"/>
  <c r="CJ93" i="32"/>
  <c r="DD94" i="32"/>
  <c r="DE94" i="32"/>
  <c r="CJ94" i="32"/>
  <c r="DD95" i="32"/>
  <c r="DE95" i="32"/>
  <c r="CJ95" i="32"/>
  <c r="DD96" i="32"/>
  <c r="DE96" i="32"/>
  <c r="CJ96" i="32"/>
  <c r="DD97" i="32"/>
  <c r="DE97" i="32"/>
  <c r="CJ97" i="32"/>
  <c r="DD98" i="32"/>
  <c r="DE98" i="32"/>
  <c r="CJ98" i="32"/>
  <c r="DD99" i="32"/>
  <c r="DE99" i="32"/>
  <c r="CJ99" i="32"/>
  <c r="DD100" i="32"/>
  <c r="DE100" i="32"/>
  <c r="CJ100" i="32"/>
  <c r="DD101" i="32"/>
  <c r="DE101" i="32"/>
  <c r="CJ101" i="32"/>
  <c r="DD102" i="32"/>
  <c r="DE102" i="32"/>
  <c r="CJ102" i="32"/>
  <c r="DD103" i="32"/>
  <c r="DE103" i="32"/>
  <c r="CJ103" i="32"/>
  <c r="DD104" i="32"/>
  <c r="DE104" i="32"/>
  <c r="CJ104" i="32"/>
  <c r="DD105" i="32"/>
  <c r="DE105" i="32"/>
  <c r="CJ105" i="32"/>
  <c r="DD106" i="32"/>
  <c r="DE106" i="32"/>
  <c r="CJ106" i="32"/>
  <c r="DD107" i="32"/>
  <c r="DE107" i="32"/>
  <c r="CJ107" i="32"/>
  <c r="DD108" i="32"/>
  <c r="DE108" i="32"/>
  <c r="CJ108" i="32"/>
  <c r="DD109" i="32"/>
  <c r="DE109" i="32"/>
  <c r="CJ109" i="32"/>
  <c r="DD110" i="32"/>
  <c r="DE110" i="32"/>
  <c r="CJ110" i="32"/>
  <c r="DD111" i="32"/>
  <c r="DE111" i="32"/>
  <c r="CJ111" i="32"/>
  <c r="DD112" i="32"/>
  <c r="DE112" i="32"/>
  <c r="CJ112" i="32"/>
  <c r="DD113" i="32"/>
  <c r="DE113" i="32"/>
  <c r="CJ113" i="32"/>
  <c r="DD114" i="32"/>
  <c r="DE114" i="32"/>
  <c r="CJ114" i="32"/>
  <c r="DD115" i="32"/>
  <c r="DE115" i="32"/>
  <c r="CJ115" i="32"/>
  <c r="DD116" i="32"/>
  <c r="DE116" i="32"/>
  <c r="CJ116" i="32"/>
  <c r="DD117" i="32"/>
  <c r="DE117" i="32"/>
  <c r="CJ117" i="32"/>
  <c r="DD118" i="32"/>
  <c r="DE118" i="32"/>
  <c r="CJ118" i="32"/>
  <c r="DD119" i="32"/>
  <c r="DE119" i="32"/>
  <c r="CJ119" i="32"/>
  <c r="DD120" i="32"/>
  <c r="DE120" i="32"/>
  <c r="CJ120" i="32"/>
  <c r="DD121" i="32"/>
  <c r="DE121" i="32"/>
  <c r="CJ121" i="32"/>
  <c r="DD122" i="32"/>
  <c r="DE122" i="32"/>
  <c r="CJ122" i="32"/>
  <c r="DD123" i="32"/>
  <c r="DE123" i="32"/>
  <c r="CJ123" i="32"/>
  <c r="DD124" i="32"/>
  <c r="DE124" i="32"/>
  <c r="CJ124" i="32"/>
  <c r="DD125" i="32"/>
  <c r="DE125" i="32"/>
  <c r="CJ125" i="32"/>
  <c r="DD126" i="32"/>
  <c r="DE126" i="32"/>
  <c r="CJ126" i="32"/>
  <c r="DD127" i="32"/>
  <c r="DE127" i="32"/>
  <c r="CJ127" i="32"/>
  <c r="DD128" i="32"/>
  <c r="DE128" i="32"/>
  <c r="CJ128" i="32"/>
  <c r="DD129" i="32"/>
  <c r="DE129" i="32"/>
  <c r="CJ129" i="32"/>
  <c r="DD130" i="32"/>
  <c r="DE130" i="32"/>
  <c r="CJ130" i="32"/>
  <c r="DD131" i="32"/>
  <c r="DE131" i="32"/>
  <c r="CJ131" i="32"/>
  <c r="DD132" i="32"/>
  <c r="DE132" i="32"/>
  <c r="CJ132" i="32"/>
  <c r="DD133" i="32"/>
  <c r="DE133" i="32"/>
  <c r="CJ133" i="32"/>
  <c r="DD134" i="32"/>
  <c r="DE134" i="32"/>
  <c r="CJ134" i="32"/>
  <c r="DD135" i="32"/>
  <c r="DE135" i="32"/>
  <c r="CJ135" i="32"/>
  <c r="DD136" i="32"/>
  <c r="DE136" i="32"/>
  <c r="CJ136" i="32"/>
  <c r="DD137" i="32"/>
  <c r="DE137" i="32"/>
  <c r="CJ137" i="32"/>
  <c r="DD138" i="32"/>
  <c r="DE138" i="32"/>
  <c r="CJ138" i="32"/>
  <c r="DD139" i="32"/>
  <c r="DE139" i="32"/>
  <c r="CJ139" i="32"/>
  <c r="DD140" i="32"/>
  <c r="DE140" i="32"/>
  <c r="CJ140" i="32"/>
  <c r="DD141" i="32"/>
  <c r="DE141" i="32"/>
  <c r="CJ141" i="32"/>
  <c r="DD142" i="32"/>
  <c r="DE142" i="32"/>
  <c r="CJ142" i="32"/>
  <c r="DD143" i="32"/>
  <c r="DE143" i="32"/>
  <c r="CJ143" i="32"/>
  <c r="DD144" i="32"/>
  <c r="DE144" i="32"/>
  <c r="CJ144" i="32"/>
  <c r="DD145" i="32"/>
  <c r="DE145" i="32"/>
  <c r="CJ145" i="32"/>
  <c r="DD146" i="32"/>
  <c r="DE146" i="32"/>
  <c r="CJ146" i="32"/>
  <c r="DD147" i="32"/>
  <c r="DE147" i="32"/>
  <c r="CJ147" i="32"/>
  <c r="DD148" i="32"/>
  <c r="DE148" i="32"/>
  <c r="CJ148" i="32"/>
  <c r="DD149" i="32"/>
  <c r="DE149" i="32"/>
  <c r="CJ149" i="32"/>
  <c r="DD150" i="32"/>
  <c r="DE150" i="32"/>
  <c r="CJ150" i="32"/>
  <c r="DD151" i="32"/>
  <c r="DE151" i="32"/>
  <c r="CJ151" i="32"/>
  <c r="DD152" i="32"/>
  <c r="DE152" i="32"/>
  <c r="CJ152" i="32"/>
  <c r="DD153" i="32"/>
  <c r="DE153" i="32"/>
  <c r="CJ153" i="32"/>
  <c r="DD154" i="32"/>
  <c r="DE154" i="32"/>
  <c r="CJ154" i="32"/>
  <c r="DD155" i="32"/>
  <c r="DE155" i="32"/>
  <c r="CJ155" i="32"/>
  <c r="DD156" i="32"/>
  <c r="DE156" i="32"/>
  <c r="CJ156" i="32"/>
  <c r="DD157" i="32"/>
  <c r="DE157" i="32"/>
  <c r="CJ157" i="32"/>
  <c r="DD158" i="32"/>
  <c r="DE158" i="32"/>
  <c r="CJ158" i="32"/>
  <c r="DD159" i="32"/>
  <c r="DE159" i="32"/>
  <c r="CJ159" i="32"/>
  <c r="DD160" i="32"/>
  <c r="DE160" i="32"/>
  <c r="CJ160" i="32"/>
  <c r="DD161" i="32"/>
  <c r="DE161" i="32"/>
  <c r="CJ161" i="32"/>
  <c r="DD162" i="32"/>
  <c r="DE162" i="32"/>
  <c r="CJ162" i="32"/>
  <c r="DD163" i="32"/>
  <c r="DE163" i="32"/>
  <c r="CJ163" i="32"/>
  <c r="DD164" i="32"/>
  <c r="DE164" i="32"/>
  <c r="CJ164" i="32"/>
  <c r="DD165" i="32"/>
  <c r="DE165" i="32"/>
  <c r="CJ165" i="32"/>
  <c r="DD166" i="32"/>
  <c r="DE166" i="32"/>
  <c r="CJ166" i="32"/>
  <c r="DD167" i="32"/>
  <c r="DE167" i="32"/>
  <c r="CJ167" i="32"/>
  <c r="DD168" i="32"/>
  <c r="DE168" i="32"/>
  <c r="CJ168" i="32"/>
  <c r="DD169" i="32"/>
  <c r="DE169" i="32"/>
  <c r="CJ169" i="32"/>
  <c r="DD170" i="32"/>
  <c r="DE170" i="32"/>
  <c r="CJ170" i="32"/>
  <c r="DD171" i="32"/>
  <c r="DE171" i="32"/>
  <c r="CJ171" i="32"/>
  <c r="DD172" i="32"/>
  <c r="DE172" i="32"/>
  <c r="CJ172" i="32"/>
  <c r="DD173" i="32"/>
  <c r="DE173" i="32"/>
  <c r="CJ173" i="32"/>
  <c r="DD174" i="32"/>
  <c r="DE174" i="32"/>
  <c r="CJ174" i="32"/>
  <c r="DD175" i="32"/>
  <c r="DE175" i="32"/>
  <c r="CJ175" i="32"/>
  <c r="DD176" i="32"/>
  <c r="DE176" i="32"/>
  <c r="CJ176" i="32"/>
  <c r="DD177" i="32"/>
  <c r="DE177" i="32"/>
  <c r="CJ177" i="32"/>
  <c r="DD178" i="32"/>
  <c r="DE178" i="32"/>
  <c r="CJ178" i="32"/>
  <c r="DD179" i="32"/>
  <c r="DE179" i="32"/>
  <c r="CJ179" i="32"/>
  <c r="DD180" i="32"/>
  <c r="DE180" i="32"/>
  <c r="CJ180" i="32"/>
  <c r="DD181" i="32"/>
  <c r="DE181" i="32"/>
  <c r="CJ181" i="32"/>
  <c r="DD182" i="32"/>
  <c r="DE182" i="32"/>
  <c r="CJ182" i="32"/>
  <c r="DD183" i="32"/>
  <c r="DE183" i="32"/>
  <c r="CJ183" i="32"/>
  <c r="DD184" i="32"/>
  <c r="DE184" i="32"/>
  <c r="CJ184" i="32"/>
  <c r="DD185" i="32"/>
  <c r="DE185" i="32"/>
  <c r="CJ185" i="32"/>
  <c r="DD186" i="32"/>
  <c r="DE186" i="32"/>
  <c r="CJ186" i="32"/>
  <c r="DD187" i="32"/>
  <c r="DE187" i="32"/>
  <c r="CJ187" i="32"/>
  <c r="DD188" i="32"/>
  <c r="DE188" i="32"/>
  <c r="CJ188" i="32"/>
  <c r="DD189" i="32"/>
  <c r="DE189" i="32"/>
  <c r="CJ189" i="32"/>
  <c r="DD190" i="32"/>
  <c r="DE190" i="32"/>
  <c r="CJ190" i="32"/>
  <c r="DD191" i="32"/>
  <c r="DE191" i="32"/>
  <c r="CJ191" i="32"/>
  <c r="DD192" i="32"/>
  <c r="DE192" i="32"/>
  <c r="CJ192" i="32"/>
  <c r="DD193" i="32"/>
  <c r="DE193" i="32"/>
  <c r="CJ193" i="32"/>
  <c r="DD194" i="32"/>
  <c r="DE194" i="32"/>
  <c r="CJ194" i="32"/>
  <c r="DD195" i="32"/>
  <c r="DE195" i="32"/>
  <c r="CJ195" i="32"/>
  <c r="DD196" i="32"/>
  <c r="DE196" i="32"/>
  <c r="CJ196" i="32"/>
  <c r="DD197" i="32"/>
  <c r="DE197" i="32"/>
  <c r="CJ197" i="32"/>
  <c r="DD198" i="32"/>
  <c r="DE198" i="32"/>
  <c r="CJ198" i="32"/>
  <c r="DD199" i="32"/>
  <c r="DE199" i="32"/>
  <c r="CJ199" i="32"/>
  <c r="DD200" i="32"/>
  <c r="DE200" i="32"/>
  <c r="CJ200" i="32"/>
  <c r="DD201" i="32"/>
  <c r="DE201" i="32"/>
  <c r="CJ201" i="32"/>
  <c r="DD202" i="32"/>
  <c r="DE202" i="32"/>
  <c r="CJ202" i="32"/>
  <c r="DD203" i="32"/>
  <c r="DE203" i="32"/>
  <c r="CJ203" i="32"/>
  <c r="DD204" i="32"/>
  <c r="DE204" i="32"/>
  <c r="CJ204" i="32"/>
  <c r="DD205" i="32"/>
  <c r="DE205" i="32"/>
  <c r="CJ205" i="32"/>
  <c r="DD206" i="32"/>
  <c r="DE206" i="32"/>
  <c r="CJ206" i="32"/>
  <c r="DD207" i="32"/>
  <c r="DE207" i="32"/>
  <c r="CJ207" i="32"/>
  <c r="DD208" i="32"/>
  <c r="DE208" i="32"/>
  <c r="CJ208" i="32"/>
  <c r="DD209" i="32"/>
  <c r="DE209" i="32"/>
  <c r="CJ209" i="32"/>
  <c r="DD210" i="32"/>
  <c r="DE210" i="32"/>
  <c r="CJ210" i="32"/>
  <c r="DD211" i="32"/>
  <c r="DE211" i="32"/>
  <c r="CJ211" i="32"/>
  <c r="DD212" i="32"/>
  <c r="DE212" i="32"/>
  <c r="CJ212" i="32"/>
  <c r="DD213" i="32"/>
  <c r="DE213" i="32"/>
  <c r="CJ213" i="32"/>
  <c r="DD214" i="32"/>
  <c r="DE214" i="32"/>
  <c r="CJ214" i="32"/>
  <c r="DD215" i="32"/>
  <c r="DE215" i="32"/>
  <c r="CJ215" i="32"/>
  <c r="DD216" i="32"/>
  <c r="DE216" i="32"/>
  <c r="CJ216" i="32"/>
  <c r="DD217" i="32"/>
  <c r="DE217" i="32"/>
  <c r="CJ217" i="32"/>
  <c r="DD218" i="32"/>
  <c r="DE218" i="32"/>
  <c r="CJ218" i="32"/>
  <c r="DD219" i="32"/>
  <c r="DE219" i="32"/>
  <c r="CJ219" i="32"/>
  <c r="DD220" i="32"/>
  <c r="DE220" i="32"/>
  <c r="CJ220" i="32"/>
  <c r="DD221" i="32"/>
  <c r="DE221" i="32"/>
  <c r="CJ221" i="32"/>
  <c r="DD222" i="32"/>
  <c r="DE222" i="32"/>
  <c r="CJ222" i="32"/>
  <c r="DD223" i="32"/>
  <c r="DE223" i="32"/>
  <c r="CJ223" i="32"/>
  <c r="DD224" i="32"/>
  <c r="DE224" i="32"/>
  <c r="CJ224" i="32"/>
  <c r="DD225" i="32"/>
  <c r="DE225" i="32"/>
  <c r="CJ225" i="32"/>
  <c r="DD226" i="32"/>
  <c r="DE226" i="32"/>
  <c r="CJ226" i="32"/>
  <c r="DD227" i="32"/>
  <c r="DE227" i="32"/>
  <c r="CJ227" i="32"/>
  <c r="DD228" i="32"/>
  <c r="DE228" i="32"/>
  <c r="CJ228" i="32"/>
  <c r="DD229" i="32"/>
  <c r="DE229" i="32"/>
  <c r="CJ229" i="32"/>
  <c r="DD230" i="32"/>
  <c r="DE230" i="32"/>
  <c r="CJ230" i="32"/>
  <c r="DD231" i="32"/>
  <c r="DE231" i="32"/>
  <c r="CJ231" i="32"/>
  <c r="DD232" i="32"/>
  <c r="DE232" i="32"/>
  <c r="CJ232" i="32"/>
  <c r="DD233" i="32"/>
  <c r="DE233" i="32"/>
  <c r="CJ233" i="32"/>
  <c r="DD234" i="32"/>
  <c r="DE234" i="32"/>
  <c r="CJ234" i="32"/>
  <c r="DD235" i="32"/>
  <c r="DE235" i="32"/>
  <c r="CJ235" i="32"/>
  <c r="DD236" i="32"/>
  <c r="DE236" i="32"/>
  <c r="CJ236" i="32"/>
  <c r="DD237" i="32"/>
  <c r="DE237" i="32"/>
  <c r="CJ237" i="32"/>
  <c r="DD238" i="32"/>
  <c r="DE238" i="32"/>
  <c r="CJ238" i="32"/>
  <c r="DD239" i="32"/>
  <c r="DE239" i="32"/>
  <c r="CJ239" i="32"/>
  <c r="DD240" i="32"/>
  <c r="DE240" i="32"/>
  <c r="CJ240" i="32"/>
  <c r="DD241" i="32"/>
  <c r="DE241" i="32"/>
  <c r="CJ241" i="32"/>
  <c r="DD242" i="32"/>
  <c r="DE242" i="32"/>
  <c r="CJ242" i="32"/>
  <c r="DD243" i="32"/>
  <c r="DE243" i="32"/>
  <c r="CJ243" i="32"/>
  <c r="DD244" i="32"/>
  <c r="DE244" i="32"/>
  <c r="CJ244" i="32"/>
  <c r="DD245" i="32"/>
  <c r="DE245" i="32"/>
  <c r="CJ245" i="32"/>
  <c r="DD246" i="32"/>
  <c r="DE246" i="32"/>
  <c r="CJ246" i="32"/>
  <c r="DD247" i="32"/>
  <c r="DE247" i="32"/>
  <c r="CJ247" i="32"/>
  <c r="DD248" i="32"/>
  <c r="DE248" i="32"/>
  <c r="CJ248" i="32"/>
  <c r="DD249" i="32"/>
  <c r="DE249" i="32"/>
  <c r="CJ249" i="32"/>
  <c r="DD250" i="32"/>
  <c r="DE250" i="32"/>
  <c r="CJ250" i="32"/>
  <c r="DD251" i="32"/>
  <c r="DE251" i="32"/>
  <c r="CJ251" i="32"/>
  <c r="DD252" i="32"/>
  <c r="DE252" i="32"/>
  <c r="CJ252" i="32"/>
  <c r="DD253" i="32"/>
  <c r="DE253" i="32"/>
  <c r="CJ253" i="32"/>
  <c r="DD254" i="32"/>
  <c r="DE254" i="32"/>
  <c r="CJ254" i="32"/>
  <c r="DD255" i="32"/>
  <c r="DE255" i="32"/>
  <c r="CJ255" i="32"/>
  <c r="DD256" i="32"/>
  <c r="DE256" i="32"/>
  <c r="CJ256" i="32"/>
  <c r="DD257" i="32"/>
  <c r="DE257" i="32"/>
  <c r="CJ257" i="32"/>
  <c r="DD258" i="32"/>
  <c r="DE258" i="32"/>
  <c r="CJ258" i="32"/>
  <c r="DD259" i="32"/>
  <c r="DE259" i="32"/>
  <c r="CJ259" i="32"/>
  <c r="DD260" i="32"/>
  <c r="DE260" i="32"/>
  <c r="CJ260" i="32"/>
  <c r="DD261" i="32"/>
  <c r="DE261" i="32"/>
  <c r="CJ261" i="32"/>
  <c r="DD262" i="32"/>
  <c r="DE262" i="32"/>
  <c r="CJ262" i="32"/>
  <c r="DD263" i="32"/>
  <c r="DE263" i="32"/>
  <c r="CJ263" i="32"/>
  <c r="DD264" i="32"/>
  <c r="DE264" i="32"/>
  <c r="CJ264" i="32"/>
  <c r="DD265" i="32"/>
  <c r="DE265" i="32"/>
  <c r="CJ265" i="32"/>
  <c r="DD266" i="32"/>
  <c r="DE266" i="32"/>
  <c r="CJ266" i="32"/>
  <c r="DD267" i="32"/>
  <c r="DE267" i="32"/>
  <c r="CJ267" i="32"/>
  <c r="DD268" i="32"/>
  <c r="DE268" i="32"/>
  <c r="CJ268" i="32"/>
  <c r="DD269" i="32"/>
  <c r="DE269" i="32"/>
  <c r="CJ269" i="32"/>
  <c r="DD270" i="32"/>
  <c r="DE270" i="32"/>
  <c r="CJ270" i="32"/>
  <c r="DD271" i="32"/>
  <c r="DE271" i="32"/>
  <c r="CJ271" i="32"/>
  <c r="DD272" i="32"/>
  <c r="DE272" i="32"/>
  <c r="CJ272" i="32"/>
  <c r="DD273" i="32"/>
  <c r="DE273" i="32"/>
  <c r="CJ273" i="32"/>
  <c r="DD274" i="32"/>
  <c r="DE274" i="32"/>
  <c r="CJ274" i="32"/>
  <c r="DD275" i="32"/>
  <c r="DE275" i="32"/>
  <c r="CJ275" i="32"/>
  <c r="DD276" i="32"/>
  <c r="DE276" i="32"/>
  <c r="CJ276" i="32"/>
  <c r="DD277" i="32"/>
  <c r="DE277" i="32"/>
  <c r="CJ277" i="32"/>
  <c r="DD278" i="32"/>
  <c r="DE278" i="32"/>
  <c r="CJ278" i="32"/>
  <c r="DD279" i="32"/>
  <c r="DE279" i="32"/>
  <c r="CJ279" i="32"/>
  <c r="DD280" i="32"/>
  <c r="DE280" i="32"/>
  <c r="CJ280" i="32"/>
  <c r="DD281" i="32"/>
  <c r="DE281" i="32"/>
  <c r="CJ281" i="32"/>
  <c r="DD282" i="32"/>
  <c r="DE282" i="32"/>
  <c r="CJ282" i="32"/>
  <c r="DD283" i="32"/>
  <c r="DE283" i="32"/>
  <c r="CJ283" i="32"/>
  <c r="DD284" i="32"/>
  <c r="DE284" i="32"/>
  <c r="CJ284" i="32"/>
  <c r="DD285" i="32"/>
  <c r="DE285" i="32"/>
  <c r="CJ285" i="32"/>
  <c r="DD286" i="32"/>
  <c r="DE286" i="32"/>
  <c r="CJ286" i="32"/>
  <c r="DD287" i="32"/>
  <c r="DE287" i="32"/>
  <c r="CJ287" i="32"/>
  <c r="DD288" i="32"/>
  <c r="DE288" i="32"/>
  <c r="CJ288" i="32"/>
  <c r="DD289" i="32"/>
  <c r="DE289" i="32"/>
  <c r="CJ289" i="32"/>
  <c r="DD290" i="32"/>
  <c r="DE290" i="32"/>
  <c r="CJ290" i="32"/>
  <c r="DD291" i="32"/>
  <c r="DE291" i="32"/>
  <c r="CJ291" i="32"/>
  <c r="DD292" i="32"/>
  <c r="DE292" i="32"/>
  <c r="CJ292" i="32"/>
  <c r="DD293" i="32"/>
  <c r="DE293" i="32"/>
  <c r="CJ293" i="32"/>
  <c r="DD294" i="32"/>
  <c r="DE294" i="32"/>
  <c r="CJ294" i="32"/>
  <c r="DD295" i="32"/>
  <c r="DE295" i="32"/>
  <c r="CJ295" i="32"/>
  <c r="DD296" i="32"/>
  <c r="DE296" i="32"/>
  <c r="CJ296" i="32"/>
  <c r="DD297" i="32"/>
  <c r="DE297" i="32"/>
  <c r="CJ297" i="32"/>
  <c r="DD298" i="32"/>
  <c r="DE298" i="32"/>
  <c r="CJ298" i="32"/>
  <c r="DD299" i="32"/>
  <c r="DE299" i="32"/>
  <c r="CJ299" i="32"/>
  <c r="DD300" i="32"/>
  <c r="DE300" i="32"/>
  <c r="CJ300" i="32"/>
  <c r="DD301" i="32"/>
  <c r="DE301" i="32"/>
  <c r="CJ301" i="32"/>
  <c r="DD302" i="32"/>
  <c r="DE302" i="32"/>
  <c r="CJ302" i="32"/>
  <c r="DD303" i="32"/>
  <c r="DE303" i="32"/>
  <c r="CJ303" i="32"/>
  <c r="DD304" i="32"/>
  <c r="DE304" i="32"/>
  <c r="CJ304" i="32"/>
  <c r="DD305" i="32"/>
  <c r="DE305" i="32"/>
  <c r="CJ305" i="32"/>
  <c r="DD306" i="32"/>
  <c r="DE306" i="32"/>
  <c r="CJ306" i="32"/>
  <c r="DD307" i="32"/>
  <c r="DE307" i="32"/>
  <c r="CJ307" i="32"/>
  <c r="DD308" i="32"/>
  <c r="DE308" i="32"/>
  <c r="CJ308" i="32"/>
  <c r="DD309" i="32"/>
  <c r="DE309" i="32"/>
  <c r="CJ309" i="32"/>
  <c r="DD310" i="32"/>
  <c r="DE310" i="32"/>
  <c r="CJ310" i="32"/>
  <c r="DD311" i="32"/>
  <c r="DE311" i="32"/>
  <c r="CJ311" i="32"/>
  <c r="DD312" i="32"/>
  <c r="DE312" i="32"/>
  <c r="CJ312" i="32"/>
  <c r="DD313" i="32"/>
  <c r="DE313" i="32"/>
  <c r="CJ313" i="32"/>
  <c r="DD314" i="32"/>
  <c r="DE314" i="32"/>
  <c r="CJ314" i="32"/>
  <c r="DD315" i="32"/>
  <c r="DE315" i="32"/>
  <c r="CJ315" i="32"/>
  <c r="DD316" i="32"/>
  <c r="DE316" i="32"/>
  <c r="CJ316" i="32"/>
  <c r="DD317" i="32"/>
  <c r="DE317" i="32"/>
  <c r="CJ317" i="32"/>
  <c r="DD318" i="32"/>
  <c r="DE318" i="32"/>
  <c r="CJ318" i="32"/>
  <c r="DD319" i="32"/>
  <c r="DE319" i="32"/>
  <c r="CJ319" i="32"/>
  <c r="DD320" i="32"/>
  <c r="DE320" i="32"/>
  <c r="CJ320" i="32"/>
  <c r="DD321" i="32"/>
  <c r="DE321" i="32"/>
  <c r="CJ321" i="32"/>
  <c r="DD322" i="32"/>
  <c r="DE322" i="32"/>
  <c r="CJ322" i="32"/>
  <c r="DD323" i="32"/>
  <c r="DE323" i="32"/>
  <c r="CJ323" i="32"/>
  <c r="DD324" i="32"/>
  <c r="DE324" i="32"/>
  <c r="CJ324" i="32"/>
  <c r="DD325" i="32"/>
  <c r="DE325" i="32"/>
  <c r="CJ325" i="32"/>
  <c r="DD326" i="32"/>
  <c r="DE326" i="32"/>
  <c r="CJ326" i="32"/>
  <c r="DD327" i="32"/>
  <c r="DE327" i="32"/>
  <c r="CJ327" i="32"/>
  <c r="DD328" i="32"/>
  <c r="DE328" i="32"/>
  <c r="CJ328" i="32"/>
  <c r="DD329" i="32"/>
  <c r="DE329" i="32"/>
  <c r="CJ329" i="32"/>
  <c r="DD330" i="32"/>
  <c r="DE330" i="32"/>
  <c r="CJ330" i="32"/>
  <c r="DD331" i="32"/>
  <c r="DE331" i="32"/>
  <c r="CJ331" i="32"/>
  <c r="DD332" i="32"/>
  <c r="DE332" i="32"/>
  <c r="CJ332" i="32"/>
  <c r="DD333" i="32"/>
  <c r="DE333" i="32"/>
  <c r="CJ333" i="32"/>
  <c r="DD334" i="32"/>
  <c r="DE334" i="32"/>
  <c r="CJ334" i="32"/>
  <c r="DD335" i="32"/>
  <c r="DE335" i="32"/>
  <c r="CJ335" i="32"/>
  <c r="DD336" i="32"/>
  <c r="DE336" i="32"/>
  <c r="CJ336" i="32"/>
  <c r="DD337" i="32"/>
  <c r="DE337" i="32"/>
  <c r="CJ337" i="32"/>
  <c r="DD338" i="32"/>
  <c r="DE338" i="32"/>
  <c r="CJ338" i="32"/>
  <c r="DD339" i="32"/>
  <c r="DE339" i="32"/>
  <c r="CJ339" i="32"/>
  <c r="DD340" i="32"/>
  <c r="DE340" i="32"/>
  <c r="CJ340" i="32"/>
  <c r="DD341" i="32"/>
  <c r="DE341" i="32"/>
  <c r="CJ341" i="32"/>
  <c r="DD342" i="32"/>
  <c r="DE342" i="32"/>
  <c r="CJ342" i="32"/>
  <c r="DD343" i="32"/>
  <c r="DE343" i="32"/>
  <c r="CJ343" i="32"/>
  <c r="DD344" i="32"/>
  <c r="DE344" i="32"/>
  <c r="CJ344" i="32"/>
  <c r="DD345" i="32"/>
  <c r="DE345" i="32"/>
  <c r="CJ345" i="32"/>
  <c r="DD346" i="32"/>
  <c r="DE346" i="32"/>
  <c r="CJ346" i="32"/>
  <c r="DD347" i="32"/>
  <c r="DE347" i="32"/>
  <c r="CJ347" i="32"/>
  <c r="DD348" i="32"/>
  <c r="DE348" i="32"/>
  <c r="CJ348" i="32"/>
  <c r="DD349" i="32"/>
  <c r="DE349" i="32"/>
  <c r="CJ349" i="32"/>
  <c r="DD350" i="32"/>
  <c r="DE350" i="32"/>
  <c r="CJ350" i="32"/>
  <c r="DD351" i="32"/>
  <c r="DE351" i="32"/>
  <c r="CJ351" i="32"/>
  <c r="DD352" i="32"/>
  <c r="DE352" i="32"/>
  <c r="CJ352" i="32"/>
  <c r="DD353" i="32"/>
  <c r="DE353" i="32"/>
  <c r="CJ353" i="32"/>
  <c r="DD354" i="32"/>
  <c r="DE354" i="32"/>
  <c r="CJ354" i="32"/>
  <c r="DD355" i="32"/>
  <c r="DE355" i="32"/>
  <c r="CJ355" i="32"/>
  <c r="DD356" i="32"/>
  <c r="DE356" i="32"/>
  <c r="CJ356" i="32"/>
  <c r="DD357" i="32"/>
  <c r="DE357" i="32"/>
  <c r="CJ357" i="32"/>
  <c r="DD358" i="32"/>
  <c r="DE358" i="32"/>
  <c r="CJ358" i="32"/>
  <c r="DD359" i="32"/>
  <c r="DE359" i="32"/>
  <c r="CJ359" i="32"/>
  <c r="DD360" i="32"/>
  <c r="DE360" i="32"/>
  <c r="CJ360" i="32"/>
  <c r="DD361" i="32"/>
  <c r="DE361" i="32"/>
  <c r="CJ361" i="32"/>
  <c r="DD362" i="32"/>
  <c r="DE362" i="32"/>
  <c r="CJ362" i="32"/>
  <c r="DD363" i="32"/>
  <c r="DE363" i="32"/>
  <c r="CJ363" i="32"/>
  <c r="DD364" i="32"/>
  <c r="DE364" i="32"/>
  <c r="CJ364" i="32"/>
  <c r="DD365" i="32"/>
  <c r="DE365" i="32"/>
  <c r="CJ365" i="32"/>
  <c r="DD366" i="32"/>
  <c r="DE366" i="32"/>
  <c r="CJ366" i="32"/>
  <c r="DD367" i="32"/>
  <c r="DE367" i="32"/>
  <c r="CJ367" i="32"/>
  <c r="DD368" i="32"/>
  <c r="DE368" i="32"/>
  <c r="CJ368" i="32"/>
  <c r="DD369" i="32"/>
  <c r="DE369" i="32"/>
  <c r="CJ369" i="32"/>
  <c r="DD370" i="32"/>
  <c r="DE370" i="32"/>
  <c r="CJ370" i="32"/>
  <c r="DD371" i="32"/>
  <c r="DE371" i="32"/>
  <c r="CJ371" i="32"/>
  <c r="DD372" i="32"/>
  <c r="DE372" i="32"/>
  <c r="CJ372" i="32"/>
  <c r="DD373" i="32"/>
  <c r="DE373" i="32"/>
  <c r="CJ373" i="32"/>
  <c r="DD374" i="32"/>
  <c r="DE374" i="32"/>
  <c r="CJ374" i="32"/>
  <c r="DD375" i="32"/>
  <c r="DE375" i="32"/>
  <c r="CJ375" i="32"/>
  <c r="DD376" i="32"/>
  <c r="DE376" i="32"/>
  <c r="CJ376" i="32"/>
  <c r="DD377" i="32"/>
  <c r="DE377" i="32"/>
  <c r="CJ377" i="32"/>
  <c r="DD378" i="32"/>
  <c r="DE378" i="32"/>
  <c r="CJ378" i="32"/>
  <c r="DD379" i="32"/>
  <c r="DE379" i="32"/>
  <c r="CJ379" i="32"/>
  <c r="DD380" i="32"/>
  <c r="DE380" i="32"/>
  <c r="CJ380" i="32"/>
  <c r="DD381" i="32"/>
  <c r="DE381" i="32"/>
  <c r="CJ381" i="32"/>
  <c r="DD382" i="32"/>
  <c r="DE382" i="32"/>
  <c r="CJ382" i="32"/>
  <c r="DD383" i="32"/>
  <c r="DE383" i="32"/>
  <c r="CJ383" i="32"/>
  <c r="DD384" i="32"/>
  <c r="DE384" i="32"/>
  <c r="CJ384" i="32"/>
  <c r="DD385" i="32"/>
  <c r="DE385" i="32"/>
  <c r="CJ385" i="32"/>
  <c r="DD386" i="32"/>
  <c r="DE386" i="32"/>
  <c r="CJ386" i="32"/>
  <c r="DD387" i="32"/>
  <c r="DE387" i="32"/>
  <c r="CJ387" i="32"/>
  <c r="DD388" i="32"/>
  <c r="DE388" i="32"/>
  <c r="CJ388" i="32"/>
  <c r="DD389" i="32"/>
  <c r="DE389" i="32"/>
  <c r="CJ389" i="32"/>
  <c r="DD390" i="32"/>
  <c r="DE390" i="32"/>
  <c r="CJ390" i="32"/>
  <c r="DD391" i="32"/>
  <c r="DE391" i="32"/>
  <c r="CJ391" i="32"/>
  <c r="DD392" i="32"/>
  <c r="DE392" i="32"/>
  <c r="CJ392" i="32"/>
  <c r="DD393" i="32"/>
  <c r="DE393" i="32"/>
  <c r="CJ393" i="32"/>
  <c r="DD394" i="32"/>
  <c r="DE394" i="32"/>
  <c r="CJ394" i="32"/>
  <c r="DD395" i="32"/>
  <c r="DE395" i="32"/>
  <c r="CJ395" i="32"/>
  <c r="DD396" i="32"/>
  <c r="DE396" i="32"/>
  <c r="CJ396" i="32"/>
  <c r="DD397" i="32"/>
  <c r="DE397" i="32"/>
  <c r="CJ397" i="32"/>
  <c r="DD398" i="32"/>
  <c r="DE398" i="32"/>
  <c r="CJ398" i="32"/>
  <c r="DD399" i="32"/>
  <c r="DE399" i="32"/>
  <c r="CJ399" i="32"/>
  <c r="DD400" i="32"/>
  <c r="DE400" i="32"/>
  <c r="CJ400" i="32"/>
  <c r="DD401" i="32"/>
  <c r="DE401" i="32"/>
  <c r="CJ401" i="32"/>
  <c r="DD402" i="32"/>
  <c r="DE402" i="32"/>
  <c r="CJ402" i="32"/>
  <c r="DD403" i="32"/>
  <c r="DE403" i="32"/>
  <c r="CJ403" i="32"/>
  <c r="DD404" i="32"/>
  <c r="DE404" i="32"/>
  <c r="CJ404" i="32"/>
  <c r="DD405" i="32"/>
  <c r="DE405" i="32"/>
  <c r="CJ405" i="32"/>
  <c r="DD406" i="32"/>
  <c r="DE406" i="32"/>
  <c r="CJ406" i="32"/>
  <c r="DD407" i="32"/>
  <c r="DE407" i="32"/>
  <c r="CJ407" i="32"/>
  <c r="DD408" i="32"/>
  <c r="DE408" i="32"/>
  <c r="CJ408" i="32"/>
  <c r="DD409" i="32"/>
  <c r="DE409" i="32"/>
  <c r="CJ409" i="32"/>
  <c r="DD410" i="32"/>
  <c r="DE410" i="32"/>
  <c r="CJ410" i="32"/>
  <c r="DD411" i="32"/>
  <c r="DE411" i="32"/>
  <c r="CJ411" i="32"/>
  <c r="DD412" i="32"/>
  <c r="DE412" i="32"/>
  <c r="CJ412" i="32"/>
  <c r="DD413" i="32"/>
  <c r="DE413" i="32"/>
  <c r="CJ413" i="32"/>
  <c r="DD414" i="32"/>
  <c r="DE414" i="32"/>
  <c r="CJ414" i="32"/>
  <c r="DD415" i="32"/>
  <c r="DE415" i="32"/>
  <c r="CJ415" i="32"/>
  <c r="DD416" i="32"/>
  <c r="DE416" i="32"/>
  <c r="CJ416" i="32"/>
  <c r="DD417" i="32"/>
  <c r="DE417" i="32"/>
  <c r="CJ417" i="32"/>
  <c r="DD418" i="32"/>
  <c r="DE418" i="32"/>
  <c r="CJ418" i="32"/>
  <c r="DD419" i="32"/>
  <c r="DE419" i="32"/>
  <c r="CJ419" i="32"/>
  <c r="DD420" i="32"/>
  <c r="DE420" i="32"/>
  <c r="CJ420" i="32"/>
  <c r="DD421" i="32"/>
  <c r="DE421" i="32"/>
  <c r="CJ421" i="32"/>
  <c r="DD422" i="32"/>
  <c r="DE422" i="32"/>
  <c r="CJ422" i="32"/>
  <c r="DD423" i="32"/>
  <c r="DE423" i="32"/>
  <c r="CJ423" i="32"/>
  <c r="DD424" i="32"/>
  <c r="DE424" i="32"/>
  <c r="CJ424" i="32"/>
  <c r="DD425" i="32"/>
  <c r="DE425" i="32"/>
  <c r="CJ425" i="32"/>
  <c r="DD426" i="32"/>
  <c r="DE426" i="32"/>
  <c r="CJ426" i="32"/>
  <c r="DD427" i="32"/>
  <c r="DE427" i="32"/>
  <c r="CJ427" i="32"/>
  <c r="DD428" i="32"/>
  <c r="DE428" i="32"/>
  <c r="CJ428" i="32"/>
  <c r="DD429" i="32"/>
  <c r="DE429" i="32"/>
  <c r="CJ429" i="32"/>
  <c r="DD430" i="32"/>
  <c r="DE430" i="32"/>
  <c r="CJ430" i="32"/>
  <c r="DD431" i="32"/>
  <c r="DE431" i="32"/>
  <c r="CJ431" i="32"/>
  <c r="DD432" i="32"/>
  <c r="DE432" i="32"/>
  <c r="CJ432" i="32"/>
  <c r="DD433" i="32"/>
  <c r="DE433" i="32"/>
  <c r="CJ433" i="32"/>
  <c r="DD434" i="32"/>
  <c r="DE434" i="32"/>
  <c r="CJ434" i="32"/>
  <c r="DD435" i="32"/>
  <c r="DE435" i="32"/>
  <c r="CJ435" i="32"/>
  <c r="DD436" i="32"/>
  <c r="DE436" i="32"/>
  <c r="CJ436" i="32"/>
  <c r="DD437" i="32"/>
  <c r="DE437" i="32"/>
  <c r="CJ437" i="32"/>
  <c r="DD438" i="32"/>
  <c r="DE438" i="32"/>
  <c r="CJ438" i="32"/>
  <c r="DD439" i="32"/>
  <c r="DE439" i="32"/>
  <c r="CJ439" i="32"/>
  <c r="DD440" i="32"/>
  <c r="DE440" i="32"/>
  <c r="CJ440" i="32"/>
  <c r="DD441" i="32"/>
  <c r="DE441" i="32"/>
  <c r="CJ441" i="32"/>
  <c r="DD442" i="32"/>
  <c r="DE442" i="32"/>
  <c r="CJ442" i="32"/>
  <c r="DD443" i="32"/>
  <c r="DE443" i="32"/>
  <c r="CJ443" i="32"/>
  <c r="DD444" i="32"/>
  <c r="DE444" i="32"/>
  <c r="CJ444" i="32"/>
  <c r="DC445" i="32"/>
  <c r="DC446" i="32"/>
  <c r="DC447" i="32"/>
  <c r="DC448" i="32"/>
  <c r="DC449" i="32"/>
  <c r="DC450" i="32"/>
  <c r="DC451" i="32"/>
  <c r="DC452" i="32"/>
  <c r="DC453" i="32"/>
  <c r="DC454" i="32"/>
  <c r="DC455" i="32"/>
  <c r="DC456" i="32"/>
  <c r="DC457" i="32"/>
  <c r="DC458" i="32"/>
  <c r="DC459" i="32"/>
  <c r="DC460" i="32"/>
  <c r="DC461" i="32"/>
  <c r="DC462" i="32"/>
  <c r="DC463" i="32"/>
  <c r="DC464" i="32"/>
  <c r="DC465" i="32"/>
  <c r="DC466" i="32"/>
  <c r="DC467" i="32"/>
  <c r="DC468" i="32"/>
  <c r="DC469" i="32"/>
  <c r="DC470" i="32"/>
  <c r="DC471" i="32"/>
  <c r="DC472" i="32"/>
  <c r="DC473" i="32"/>
  <c r="DC474" i="32"/>
  <c r="DC475" i="32"/>
  <c r="DC476" i="32"/>
  <c r="DC477" i="32"/>
  <c r="DC478" i="32"/>
  <c r="CG5" i="32"/>
  <c r="CZ6" i="32"/>
  <c r="CZ7" i="32"/>
  <c r="CZ8" i="32"/>
  <c r="CZ9" i="32"/>
  <c r="CZ10" i="32"/>
  <c r="CZ11" i="32"/>
  <c r="CZ12" i="32"/>
  <c r="CZ13" i="32"/>
  <c r="CZ14" i="32"/>
  <c r="CZ15" i="32"/>
  <c r="CZ16" i="32"/>
  <c r="CZ17" i="32"/>
  <c r="CZ18" i="32"/>
  <c r="CZ19" i="32"/>
  <c r="CZ20" i="32"/>
  <c r="CZ5" i="32"/>
  <c r="CX6" i="32"/>
  <c r="CX5" i="32"/>
  <c r="DF6" i="32"/>
  <c r="DG6" i="32"/>
  <c r="DH6" i="32"/>
  <c r="CR6" i="32"/>
  <c r="DF7" i="32"/>
  <c r="DG7" i="32"/>
  <c r="DH7" i="32"/>
  <c r="CR7" i="32"/>
  <c r="DF8" i="32"/>
  <c r="DG8" i="32"/>
  <c r="DH8" i="32"/>
  <c r="CR8" i="32"/>
  <c r="DF9" i="32"/>
  <c r="DG9" i="32"/>
  <c r="DH9" i="32"/>
  <c r="CR9" i="32"/>
  <c r="DF10" i="32"/>
  <c r="DG10" i="32"/>
  <c r="DH10" i="32"/>
  <c r="CR10" i="32"/>
  <c r="DF11" i="32"/>
  <c r="DG11" i="32"/>
  <c r="DH11" i="32"/>
  <c r="CR11" i="32"/>
  <c r="DF12" i="32"/>
  <c r="DG12" i="32"/>
  <c r="DH12" i="32"/>
  <c r="CR12" i="32"/>
  <c r="DF13" i="32"/>
  <c r="DG13" i="32"/>
  <c r="DH13" i="32"/>
  <c r="CR13" i="32"/>
  <c r="DF14" i="32"/>
  <c r="DG14" i="32"/>
  <c r="DH14" i="32"/>
  <c r="CR14" i="32"/>
  <c r="DF15" i="32"/>
  <c r="DG15" i="32"/>
  <c r="DH15" i="32"/>
  <c r="CR15" i="32"/>
  <c r="DF16" i="32"/>
  <c r="DG16" i="32"/>
  <c r="DH16" i="32"/>
  <c r="CR16" i="32"/>
  <c r="DF17" i="32"/>
  <c r="DG17" i="32"/>
  <c r="DH17" i="32"/>
  <c r="CR17" i="32"/>
  <c r="DF18" i="32"/>
  <c r="DG18" i="32"/>
  <c r="DH18" i="32"/>
  <c r="CR18" i="32"/>
  <c r="DF19" i="32"/>
  <c r="DG19" i="32"/>
  <c r="DH19" i="32"/>
  <c r="CR19" i="32"/>
  <c r="DF20" i="32"/>
  <c r="DG20" i="32"/>
  <c r="DH20" i="32"/>
  <c r="CR20" i="32"/>
  <c r="DF21" i="32"/>
  <c r="DG21" i="32"/>
  <c r="DH21" i="32"/>
  <c r="CR21" i="32"/>
  <c r="DF22" i="32"/>
  <c r="DG22" i="32"/>
  <c r="DH22" i="32"/>
  <c r="CR22" i="32"/>
  <c r="DF23" i="32"/>
  <c r="DG23" i="32"/>
  <c r="DH23" i="32"/>
  <c r="CR23" i="32"/>
  <c r="DF24" i="32"/>
  <c r="DG24" i="32"/>
  <c r="DH24" i="32"/>
  <c r="CR24" i="32"/>
  <c r="DF25" i="32"/>
  <c r="DG25" i="32"/>
  <c r="DH25" i="32"/>
  <c r="CR25" i="32"/>
  <c r="DF26" i="32"/>
  <c r="DG26" i="32"/>
  <c r="DH26" i="32"/>
  <c r="CR26" i="32"/>
  <c r="DF27" i="32"/>
  <c r="DG27" i="32"/>
  <c r="DH27" i="32"/>
  <c r="CR27" i="32"/>
  <c r="DF28" i="32"/>
  <c r="DG28" i="32"/>
  <c r="DH28" i="32"/>
  <c r="CR28" i="32"/>
  <c r="DF29" i="32"/>
  <c r="DG29" i="32"/>
  <c r="DH29" i="32"/>
  <c r="CR29" i="32"/>
  <c r="DF30" i="32"/>
  <c r="DG30" i="32"/>
  <c r="DH30" i="32"/>
  <c r="CR30" i="32"/>
  <c r="DF31" i="32"/>
  <c r="DG31" i="32"/>
  <c r="DH31" i="32"/>
  <c r="CR31" i="32"/>
  <c r="DF32" i="32"/>
  <c r="DG32" i="32"/>
  <c r="DH32" i="32"/>
  <c r="CR32" i="32"/>
  <c r="DF33" i="32"/>
  <c r="DG33" i="32"/>
  <c r="DH33" i="32"/>
  <c r="CR33" i="32"/>
  <c r="DF34" i="32"/>
  <c r="DG34" i="32"/>
  <c r="DH34" i="32"/>
  <c r="CR34" i="32"/>
  <c r="DF35" i="32"/>
  <c r="DG35" i="32"/>
  <c r="DH35" i="32"/>
  <c r="CR35" i="32"/>
  <c r="DF36" i="32"/>
  <c r="DG36" i="32"/>
  <c r="DH36" i="32"/>
  <c r="CR36" i="32"/>
  <c r="DF37" i="32"/>
  <c r="DG37" i="32"/>
  <c r="DH37" i="32"/>
  <c r="CR37" i="32"/>
  <c r="DF38" i="32"/>
  <c r="DG38" i="32"/>
  <c r="DH38" i="32"/>
  <c r="CR38" i="32"/>
  <c r="DF39" i="32"/>
  <c r="DG39" i="32"/>
  <c r="DH39" i="32"/>
  <c r="CR39" i="32"/>
  <c r="DF40" i="32"/>
  <c r="DG40" i="32"/>
  <c r="DH40" i="32"/>
  <c r="CR40" i="32"/>
  <c r="DF41" i="32"/>
  <c r="DG41" i="32"/>
  <c r="DH41" i="32"/>
  <c r="CR41" i="32"/>
  <c r="DF42" i="32"/>
  <c r="DG42" i="32"/>
  <c r="DH42" i="32"/>
  <c r="CR42" i="32"/>
  <c r="DF43" i="32"/>
  <c r="DG43" i="32"/>
  <c r="DH43" i="32"/>
  <c r="CR43" i="32"/>
  <c r="DF44" i="32"/>
  <c r="DG44" i="32"/>
  <c r="DH44" i="32"/>
  <c r="CR44" i="32"/>
  <c r="DF45" i="32"/>
  <c r="DG45" i="32"/>
  <c r="DH45" i="32"/>
  <c r="CR45" i="32"/>
  <c r="DF46" i="32"/>
  <c r="DG46" i="32"/>
  <c r="DH46" i="32"/>
  <c r="CR46" i="32"/>
  <c r="DF47" i="32"/>
  <c r="DG47" i="32"/>
  <c r="DH47" i="32"/>
  <c r="CR47" i="32"/>
  <c r="DF48" i="32"/>
  <c r="DG48" i="32"/>
  <c r="DH48" i="32"/>
  <c r="CR48" i="32"/>
  <c r="DF49" i="32"/>
  <c r="DG49" i="32"/>
  <c r="DH49" i="32"/>
  <c r="CR49" i="32"/>
  <c r="DF50" i="32"/>
  <c r="DG50" i="32"/>
  <c r="DH50" i="32"/>
  <c r="CR50" i="32"/>
  <c r="DF51" i="32"/>
  <c r="DG51" i="32"/>
  <c r="DH51" i="32"/>
  <c r="CR51" i="32"/>
  <c r="DF52" i="32"/>
  <c r="DG52" i="32"/>
  <c r="DH52" i="32"/>
  <c r="CR52" i="32"/>
  <c r="DF53" i="32"/>
  <c r="DG53" i="32"/>
  <c r="DH53" i="32"/>
  <c r="CR53" i="32"/>
  <c r="DF54" i="32"/>
  <c r="DG54" i="32"/>
  <c r="DH54" i="32"/>
  <c r="CR54" i="32"/>
  <c r="DF55" i="32"/>
  <c r="DG55" i="32"/>
  <c r="DH55" i="32"/>
  <c r="CR55" i="32"/>
  <c r="DF56" i="32"/>
  <c r="DG56" i="32"/>
  <c r="DH56" i="32"/>
  <c r="CR56" i="32"/>
  <c r="DF57" i="32"/>
  <c r="DG57" i="32"/>
  <c r="DH57" i="32"/>
  <c r="CR57" i="32"/>
  <c r="DF58" i="32"/>
  <c r="DG58" i="32"/>
  <c r="DH58" i="32"/>
  <c r="CR58" i="32"/>
  <c r="DF59" i="32"/>
  <c r="DG59" i="32"/>
  <c r="DH59" i="32"/>
  <c r="CR59" i="32"/>
  <c r="DF60" i="32"/>
  <c r="DG60" i="32"/>
  <c r="DH60" i="32"/>
  <c r="CR60" i="32"/>
  <c r="DF61" i="32"/>
  <c r="DG61" i="32"/>
  <c r="DH61" i="32"/>
  <c r="CR61" i="32"/>
  <c r="DF62" i="32"/>
  <c r="DG62" i="32"/>
  <c r="DH62" i="32"/>
  <c r="CR62" i="32"/>
  <c r="DF63" i="32"/>
  <c r="DG63" i="32"/>
  <c r="DH63" i="32"/>
  <c r="CR63" i="32"/>
  <c r="DF64" i="32"/>
  <c r="DG64" i="32"/>
  <c r="DH64" i="32"/>
  <c r="CR64" i="32"/>
  <c r="DF65" i="32"/>
  <c r="DG65" i="32"/>
  <c r="DH65" i="32"/>
  <c r="CR65" i="32"/>
  <c r="DF66" i="32"/>
  <c r="DG66" i="32"/>
  <c r="DH66" i="32"/>
  <c r="CR66" i="32"/>
  <c r="DF67" i="32"/>
  <c r="DG67" i="32"/>
  <c r="DH67" i="32"/>
  <c r="CR67" i="32"/>
  <c r="DF68" i="32"/>
  <c r="DG68" i="32"/>
  <c r="DH68" i="32"/>
  <c r="CR68" i="32"/>
  <c r="DF69" i="32"/>
  <c r="DG69" i="32"/>
  <c r="DH69" i="32"/>
  <c r="CR69" i="32"/>
  <c r="DF70" i="32"/>
  <c r="DG70" i="32"/>
  <c r="DH70" i="32"/>
  <c r="CR70" i="32"/>
  <c r="DF71" i="32"/>
  <c r="DG71" i="32"/>
  <c r="DH71" i="32"/>
  <c r="CR71" i="32"/>
  <c r="DF72" i="32"/>
  <c r="DG72" i="32"/>
  <c r="DH72" i="32"/>
  <c r="CR72" i="32"/>
  <c r="DF73" i="32"/>
  <c r="DG73" i="32"/>
  <c r="DH73" i="32"/>
  <c r="CR73" i="32"/>
  <c r="DF74" i="32"/>
  <c r="DG74" i="32"/>
  <c r="DH74" i="32"/>
  <c r="CR74" i="32"/>
  <c r="DF75" i="32"/>
  <c r="DG75" i="32"/>
  <c r="DH75" i="32"/>
  <c r="CR75" i="32"/>
  <c r="DF76" i="32"/>
  <c r="DG76" i="32"/>
  <c r="DH76" i="32"/>
  <c r="CR76" i="32"/>
  <c r="DF77" i="32"/>
  <c r="DG77" i="32"/>
  <c r="DH77" i="32"/>
  <c r="CR77" i="32"/>
  <c r="DF78" i="32"/>
  <c r="DG78" i="32"/>
  <c r="DH78" i="32"/>
  <c r="CR78" i="32"/>
  <c r="DF79" i="32"/>
  <c r="DG79" i="32"/>
  <c r="DH79" i="32"/>
  <c r="CR79" i="32"/>
  <c r="DF80" i="32"/>
  <c r="DG80" i="32"/>
  <c r="DH80" i="32"/>
  <c r="CR80" i="32"/>
  <c r="DF81" i="32"/>
  <c r="DG81" i="32"/>
  <c r="DH81" i="32"/>
  <c r="CR81" i="32"/>
  <c r="DF82" i="32"/>
  <c r="DG82" i="32"/>
  <c r="DH82" i="32"/>
  <c r="CR82" i="32"/>
  <c r="DF83" i="32"/>
  <c r="DG83" i="32"/>
  <c r="DH83" i="32"/>
  <c r="CR83" i="32"/>
  <c r="DF84" i="32"/>
  <c r="DG84" i="32"/>
  <c r="DH84" i="32"/>
  <c r="CR84" i="32"/>
  <c r="DF85" i="32"/>
  <c r="DG85" i="32"/>
  <c r="DH85" i="32"/>
  <c r="CR85" i="32"/>
  <c r="DF86" i="32"/>
  <c r="DG86" i="32"/>
  <c r="DH86" i="32"/>
  <c r="CR86" i="32"/>
  <c r="DF87" i="32"/>
  <c r="DG87" i="32"/>
  <c r="DH87" i="32"/>
  <c r="CR87" i="32"/>
  <c r="DF88" i="32"/>
  <c r="DG88" i="32"/>
  <c r="DH88" i="32"/>
  <c r="CR88" i="32"/>
  <c r="DF89" i="32"/>
  <c r="DG89" i="32"/>
  <c r="DH89" i="32"/>
  <c r="CR89" i="32"/>
  <c r="DF90" i="32"/>
  <c r="DG90" i="32"/>
  <c r="DH90" i="32"/>
  <c r="CR90" i="32"/>
  <c r="DF91" i="32"/>
  <c r="DG91" i="32"/>
  <c r="DH91" i="32"/>
  <c r="CR91" i="32"/>
  <c r="DF92" i="32"/>
  <c r="DG92" i="32"/>
  <c r="DH92" i="32"/>
  <c r="CR92" i="32"/>
  <c r="DF93" i="32"/>
  <c r="DG93" i="32"/>
  <c r="DH93" i="32"/>
  <c r="CR93" i="32"/>
  <c r="DF94" i="32"/>
  <c r="DG94" i="32"/>
  <c r="DH94" i="32"/>
  <c r="CR94" i="32"/>
  <c r="DF95" i="32"/>
  <c r="DG95" i="32"/>
  <c r="DH95" i="32"/>
  <c r="CR95" i="32"/>
  <c r="DF96" i="32"/>
  <c r="DG96" i="32"/>
  <c r="DH96" i="32"/>
  <c r="CR96" i="32"/>
  <c r="DF97" i="32"/>
  <c r="DG97" i="32"/>
  <c r="DH97" i="32"/>
  <c r="CR97" i="32"/>
  <c r="DF98" i="32"/>
  <c r="DG98" i="32"/>
  <c r="DH98" i="32"/>
  <c r="CR98" i="32"/>
  <c r="DF99" i="32"/>
  <c r="DG99" i="32"/>
  <c r="DH99" i="32"/>
  <c r="CR99" i="32"/>
  <c r="DF100" i="32"/>
  <c r="DG100" i="32"/>
  <c r="DH100" i="32"/>
  <c r="CR100" i="32"/>
  <c r="DF101" i="32"/>
  <c r="DG101" i="32"/>
  <c r="DH101" i="32"/>
  <c r="CR101" i="32"/>
  <c r="DF102" i="32"/>
  <c r="DG102" i="32"/>
  <c r="DH102" i="32"/>
  <c r="CR102" i="32"/>
  <c r="DF103" i="32"/>
  <c r="DG103" i="32"/>
  <c r="DH103" i="32"/>
  <c r="CR103" i="32"/>
  <c r="DF104" i="32"/>
  <c r="DG104" i="32"/>
  <c r="DH104" i="32"/>
  <c r="CR104" i="32"/>
  <c r="DF105" i="32"/>
  <c r="DG105" i="32"/>
  <c r="DH105" i="32"/>
  <c r="CR105" i="32"/>
  <c r="DF106" i="32"/>
  <c r="DG106" i="32"/>
  <c r="DH106" i="32"/>
  <c r="CR106" i="32"/>
  <c r="DF107" i="32"/>
  <c r="DG107" i="32"/>
  <c r="DH107" i="32"/>
  <c r="CR107" i="32"/>
  <c r="DF108" i="32"/>
  <c r="DG108" i="32"/>
  <c r="DH108" i="32"/>
  <c r="CR108" i="32"/>
  <c r="DF109" i="32"/>
  <c r="DG109" i="32"/>
  <c r="DH109" i="32"/>
  <c r="CR109" i="32"/>
  <c r="DF110" i="32"/>
  <c r="DG110" i="32"/>
  <c r="DH110" i="32"/>
  <c r="CR110" i="32"/>
  <c r="DF111" i="32"/>
  <c r="DG111" i="32"/>
  <c r="DH111" i="32"/>
  <c r="CR111" i="32"/>
  <c r="DF112" i="32"/>
  <c r="DG112" i="32"/>
  <c r="DH112" i="32"/>
  <c r="CR112" i="32"/>
  <c r="DF113" i="32"/>
  <c r="DG113" i="32"/>
  <c r="DH113" i="32"/>
  <c r="CR113" i="32"/>
  <c r="DF114" i="32"/>
  <c r="DG114" i="32"/>
  <c r="DH114" i="32"/>
  <c r="CR114" i="32"/>
  <c r="DF115" i="32"/>
  <c r="DG115" i="32"/>
  <c r="DH115" i="32"/>
  <c r="CR115" i="32"/>
  <c r="DF116" i="32"/>
  <c r="DG116" i="32"/>
  <c r="DH116" i="32"/>
  <c r="CR116" i="32"/>
  <c r="DF117" i="32"/>
  <c r="DG117" i="32"/>
  <c r="DH117" i="32"/>
  <c r="CR117" i="32"/>
  <c r="DF118" i="32"/>
  <c r="DG118" i="32"/>
  <c r="DH118" i="32"/>
  <c r="CR118" i="32"/>
  <c r="DF119" i="32"/>
  <c r="DG119" i="32"/>
  <c r="DH119" i="32"/>
  <c r="CR119" i="32"/>
  <c r="DF120" i="32"/>
  <c r="DG120" i="32"/>
  <c r="DH120" i="32"/>
  <c r="CR120" i="32"/>
  <c r="DF121" i="32"/>
  <c r="DG121" i="32"/>
  <c r="DH121" i="32"/>
  <c r="CR121" i="32"/>
  <c r="DF122" i="32"/>
  <c r="DG122" i="32"/>
  <c r="DH122" i="32"/>
  <c r="CR122" i="32"/>
  <c r="DF123" i="32"/>
  <c r="DG123" i="32"/>
  <c r="DH123" i="32"/>
  <c r="CR123" i="32"/>
  <c r="DF124" i="32"/>
  <c r="DG124" i="32"/>
  <c r="DH124" i="32"/>
  <c r="CR124" i="32"/>
  <c r="DF125" i="32"/>
  <c r="DG125" i="32"/>
  <c r="DH125" i="32"/>
  <c r="CR125" i="32"/>
  <c r="DF126" i="32"/>
  <c r="DG126" i="32"/>
  <c r="DH126" i="32"/>
  <c r="CR126" i="32"/>
  <c r="DF127" i="32"/>
  <c r="DG127" i="32"/>
  <c r="DH127" i="32"/>
  <c r="CR127" i="32"/>
  <c r="DF128" i="32"/>
  <c r="DG128" i="32"/>
  <c r="DH128" i="32"/>
  <c r="CR128" i="32"/>
  <c r="DF129" i="32"/>
  <c r="DG129" i="32"/>
  <c r="DH129" i="32"/>
  <c r="CR129" i="32"/>
  <c r="DF130" i="32"/>
  <c r="DG130" i="32"/>
  <c r="DH130" i="32"/>
  <c r="CR130" i="32"/>
  <c r="DF131" i="32"/>
  <c r="DG131" i="32"/>
  <c r="DH131" i="32"/>
  <c r="CR131" i="32"/>
  <c r="DF132" i="32"/>
  <c r="DG132" i="32"/>
  <c r="DH132" i="32"/>
  <c r="CR132" i="32"/>
  <c r="DF133" i="32"/>
  <c r="DG133" i="32"/>
  <c r="DH133" i="32"/>
  <c r="CR133" i="32"/>
  <c r="DF134" i="32"/>
  <c r="DG134" i="32"/>
  <c r="DH134" i="32"/>
  <c r="CR134" i="32"/>
  <c r="DF135" i="32"/>
  <c r="DG135" i="32"/>
  <c r="DH135" i="32"/>
  <c r="CR135" i="32"/>
  <c r="DF136" i="32"/>
  <c r="DG136" i="32"/>
  <c r="DH136" i="32"/>
  <c r="CR136" i="32"/>
  <c r="DF137" i="32"/>
  <c r="DG137" i="32"/>
  <c r="DH137" i="32"/>
  <c r="CR137" i="32"/>
  <c r="DF138" i="32"/>
  <c r="DG138" i="32"/>
  <c r="DH138" i="32"/>
  <c r="CR138" i="32"/>
  <c r="DF139" i="32"/>
  <c r="DG139" i="32"/>
  <c r="DH139" i="32"/>
  <c r="CR139" i="32"/>
  <c r="DF140" i="32"/>
  <c r="DG140" i="32"/>
  <c r="DH140" i="32"/>
  <c r="CR140" i="32"/>
  <c r="DF141" i="32"/>
  <c r="DG141" i="32"/>
  <c r="DH141" i="32"/>
  <c r="CR141" i="32"/>
  <c r="DF142" i="32"/>
  <c r="DG142" i="32"/>
  <c r="DH142" i="32"/>
  <c r="CR142" i="32"/>
  <c r="DF143" i="32"/>
  <c r="DG143" i="32"/>
  <c r="DH143" i="32"/>
  <c r="CR143" i="32"/>
  <c r="DF144" i="32"/>
  <c r="DG144" i="32"/>
  <c r="DH144" i="32"/>
  <c r="CR144" i="32"/>
  <c r="DF145" i="32"/>
  <c r="DG145" i="32"/>
  <c r="DH145" i="32"/>
  <c r="CR145" i="32"/>
  <c r="DF146" i="32"/>
  <c r="DG146" i="32"/>
  <c r="DH146" i="32"/>
  <c r="CR146" i="32"/>
  <c r="DF147" i="32"/>
  <c r="DG147" i="32"/>
  <c r="DH147" i="32"/>
  <c r="CR147" i="32"/>
  <c r="DF148" i="32"/>
  <c r="DG148" i="32"/>
  <c r="DH148" i="32"/>
  <c r="CR148" i="32"/>
  <c r="DF149" i="32"/>
  <c r="DG149" i="32"/>
  <c r="DH149" i="32"/>
  <c r="CR149" i="32"/>
  <c r="DF150" i="32"/>
  <c r="DG150" i="32"/>
  <c r="DH150" i="32"/>
  <c r="CR150" i="32"/>
  <c r="DF151" i="32"/>
  <c r="DG151" i="32"/>
  <c r="DH151" i="32"/>
  <c r="CR151" i="32"/>
  <c r="DF152" i="32"/>
  <c r="DG152" i="32"/>
  <c r="DH152" i="32"/>
  <c r="CR152" i="32"/>
  <c r="DF153" i="32"/>
  <c r="DG153" i="32"/>
  <c r="DH153" i="32"/>
  <c r="CR153" i="32"/>
  <c r="DF154" i="32"/>
  <c r="DG154" i="32"/>
  <c r="DH154" i="32"/>
  <c r="CR154" i="32"/>
  <c r="DF155" i="32"/>
  <c r="DG155" i="32"/>
  <c r="DH155" i="32"/>
  <c r="CR155" i="32"/>
  <c r="DF156" i="32"/>
  <c r="DG156" i="32"/>
  <c r="DH156" i="32"/>
  <c r="CR156" i="32"/>
  <c r="DF157" i="32"/>
  <c r="DG157" i="32"/>
  <c r="DH157" i="32"/>
  <c r="CR157" i="32"/>
  <c r="DF158" i="32"/>
  <c r="DG158" i="32"/>
  <c r="DH158" i="32"/>
  <c r="CR158" i="32"/>
  <c r="DF159" i="32"/>
  <c r="DG159" i="32"/>
  <c r="DH159" i="32"/>
  <c r="CR159" i="32"/>
  <c r="DF160" i="32"/>
  <c r="DG160" i="32"/>
  <c r="DH160" i="32"/>
  <c r="CR160" i="32"/>
  <c r="DF161" i="32"/>
  <c r="DG161" i="32"/>
  <c r="DH161" i="32"/>
  <c r="CR161" i="32"/>
  <c r="DF162" i="32"/>
  <c r="DG162" i="32"/>
  <c r="DH162" i="32"/>
  <c r="CR162" i="32"/>
  <c r="DF163" i="32"/>
  <c r="DG163" i="32"/>
  <c r="DH163" i="32"/>
  <c r="CR163" i="32"/>
  <c r="DF164" i="32"/>
  <c r="DG164" i="32"/>
  <c r="DH164" i="32"/>
  <c r="CR164" i="32"/>
  <c r="DF165" i="32"/>
  <c r="DG165" i="32"/>
  <c r="DH165" i="32"/>
  <c r="CR165" i="32"/>
  <c r="DF166" i="32"/>
  <c r="DG166" i="32"/>
  <c r="DH166" i="32"/>
  <c r="CR166" i="32"/>
  <c r="DF167" i="32"/>
  <c r="DG167" i="32"/>
  <c r="DH167" i="32"/>
  <c r="CR167" i="32"/>
  <c r="DF168" i="32"/>
  <c r="DG168" i="32"/>
  <c r="DH168" i="32"/>
  <c r="CR168" i="32"/>
  <c r="DF169" i="32"/>
  <c r="DG169" i="32"/>
  <c r="DH169" i="32"/>
  <c r="CR169" i="32"/>
  <c r="DF170" i="32"/>
  <c r="DG170" i="32"/>
  <c r="DH170" i="32"/>
  <c r="CR170" i="32"/>
  <c r="DF171" i="32"/>
  <c r="DG171" i="32"/>
  <c r="DH171" i="32"/>
  <c r="CR171" i="32"/>
  <c r="DF172" i="32"/>
  <c r="DG172" i="32"/>
  <c r="DH172" i="32"/>
  <c r="CR172" i="32"/>
  <c r="DF173" i="32"/>
  <c r="DG173" i="32"/>
  <c r="DH173" i="32"/>
  <c r="CR173" i="32"/>
  <c r="DF174" i="32"/>
  <c r="DG174" i="32"/>
  <c r="DH174" i="32"/>
  <c r="CR174" i="32"/>
  <c r="DF175" i="32"/>
  <c r="DG175" i="32"/>
  <c r="DH175" i="32"/>
  <c r="CR175" i="32"/>
  <c r="DF176" i="32"/>
  <c r="DG176" i="32"/>
  <c r="DH176" i="32"/>
  <c r="CR176" i="32"/>
  <c r="DF177" i="32"/>
  <c r="DG177" i="32"/>
  <c r="DH177" i="32"/>
  <c r="CR177" i="32"/>
  <c r="DF178" i="32"/>
  <c r="DG178" i="32"/>
  <c r="DH178" i="32"/>
  <c r="CR178" i="32"/>
  <c r="DF179" i="32"/>
  <c r="DG179" i="32"/>
  <c r="DH179" i="32"/>
  <c r="CR179" i="32"/>
  <c r="DF180" i="32"/>
  <c r="DG180" i="32"/>
  <c r="DH180" i="32"/>
  <c r="CR180" i="32"/>
  <c r="DF181" i="32"/>
  <c r="DG181" i="32"/>
  <c r="DH181" i="32"/>
  <c r="CR181" i="32"/>
  <c r="DF182" i="32"/>
  <c r="DG182" i="32"/>
  <c r="DH182" i="32"/>
  <c r="CR182" i="32"/>
  <c r="DF183" i="32"/>
  <c r="DG183" i="32"/>
  <c r="DH183" i="32"/>
  <c r="CR183" i="32"/>
  <c r="DF184" i="32"/>
  <c r="DG184" i="32"/>
  <c r="DH184" i="32"/>
  <c r="CR184" i="32"/>
  <c r="DF185" i="32"/>
  <c r="DG185" i="32"/>
  <c r="DH185" i="32"/>
  <c r="CR185" i="32"/>
  <c r="DF186" i="32"/>
  <c r="DG186" i="32"/>
  <c r="DH186" i="32"/>
  <c r="CR186" i="32"/>
  <c r="DF187" i="32"/>
  <c r="DG187" i="32"/>
  <c r="DH187" i="32"/>
  <c r="CR187" i="32"/>
  <c r="DF188" i="32"/>
  <c r="DG188" i="32"/>
  <c r="DH188" i="32"/>
  <c r="CR188" i="32"/>
  <c r="DF189" i="32"/>
  <c r="DG189" i="32"/>
  <c r="DH189" i="32"/>
  <c r="CR189" i="32"/>
  <c r="DF190" i="32"/>
  <c r="DG190" i="32"/>
  <c r="DH190" i="32"/>
  <c r="CR190" i="32"/>
  <c r="DF191" i="32"/>
  <c r="DG191" i="32"/>
  <c r="DH191" i="32"/>
  <c r="CR191" i="32"/>
  <c r="DF192" i="32"/>
  <c r="DG192" i="32"/>
  <c r="DH192" i="32"/>
  <c r="CR192" i="32"/>
  <c r="DF193" i="32"/>
  <c r="DG193" i="32"/>
  <c r="DH193" i="32"/>
  <c r="CR193" i="32"/>
  <c r="DF194" i="32"/>
  <c r="DG194" i="32"/>
  <c r="DH194" i="32"/>
  <c r="CR194" i="32"/>
  <c r="DF195" i="32"/>
  <c r="DG195" i="32"/>
  <c r="DH195" i="32"/>
  <c r="CR195" i="32"/>
  <c r="DF196" i="32"/>
  <c r="DG196" i="32"/>
  <c r="DH196" i="32"/>
  <c r="CR196" i="32"/>
  <c r="DF197" i="32"/>
  <c r="DG197" i="32"/>
  <c r="DH197" i="32"/>
  <c r="CR197" i="32"/>
  <c r="DF198" i="32"/>
  <c r="DG198" i="32"/>
  <c r="DH198" i="32"/>
  <c r="CR198" i="32"/>
  <c r="DF199" i="32"/>
  <c r="DG199" i="32"/>
  <c r="DH199" i="32"/>
  <c r="CR199" i="32"/>
  <c r="DF200" i="32"/>
  <c r="DG200" i="32"/>
  <c r="DH200" i="32"/>
  <c r="CR200" i="32"/>
  <c r="DF201" i="32"/>
  <c r="DG201" i="32"/>
  <c r="DH201" i="32"/>
  <c r="CR201" i="32"/>
  <c r="DF202" i="32"/>
  <c r="DG202" i="32"/>
  <c r="DH202" i="32"/>
  <c r="CR202" i="32"/>
  <c r="DF203" i="32"/>
  <c r="DG203" i="32"/>
  <c r="DH203" i="32"/>
  <c r="CR203" i="32"/>
  <c r="DF204" i="32"/>
  <c r="DG204" i="32"/>
  <c r="DH204" i="32"/>
  <c r="CR204" i="32"/>
  <c r="DF205" i="32"/>
  <c r="DG205" i="32"/>
  <c r="DH205" i="32"/>
  <c r="CR205" i="32"/>
  <c r="DF206" i="32"/>
  <c r="DG206" i="32"/>
  <c r="DH206" i="32"/>
  <c r="CR206" i="32"/>
  <c r="DF207" i="32"/>
  <c r="DG207" i="32"/>
  <c r="DH207" i="32"/>
  <c r="CR207" i="32"/>
  <c r="DF208" i="32"/>
  <c r="DG208" i="32"/>
  <c r="DH208" i="32"/>
  <c r="CR208" i="32"/>
  <c r="DF209" i="32"/>
  <c r="DG209" i="32"/>
  <c r="DH209" i="32"/>
  <c r="CR209" i="32"/>
  <c r="DF210" i="32"/>
  <c r="DG210" i="32"/>
  <c r="DH210" i="32"/>
  <c r="CR210" i="32"/>
  <c r="DF211" i="32"/>
  <c r="DG211" i="32"/>
  <c r="DH211" i="32"/>
  <c r="CR211" i="32"/>
  <c r="DF212" i="32"/>
  <c r="DG212" i="32"/>
  <c r="DH212" i="32"/>
  <c r="CR212" i="32"/>
  <c r="DF213" i="32"/>
  <c r="DG213" i="32"/>
  <c r="DH213" i="32"/>
  <c r="CR213" i="32"/>
  <c r="DF214" i="32"/>
  <c r="DG214" i="32"/>
  <c r="DH214" i="32"/>
  <c r="CR214" i="32"/>
  <c r="DF215" i="32"/>
  <c r="DG215" i="32"/>
  <c r="DH215" i="32"/>
  <c r="CR215" i="32"/>
  <c r="DF216" i="32"/>
  <c r="DG216" i="32"/>
  <c r="DH216" i="32"/>
  <c r="CR216" i="32"/>
  <c r="DF217" i="32"/>
  <c r="DG217" i="32"/>
  <c r="DH217" i="32"/>
  <c r="CR217" i="32"/>
  <c r="DF218" i="32"/>
  <c r="DG218" i="32"/>
  <c r="DH218" i="32"/>
  <c r="CR218" i="32"/>
  <c r="DF219" i="32"/>
  <c r="DG219" i="32"/>
  <c r="DH219" i="32"/>
  <c r="CR219" i="32"/>
  <c r="DF220" i="32"/>
  <c r="DG220" i="32"/>
  <c r="DH220" i="32"/>
  <c r="CR220" i="32"/>
  <c r="DF221" i="32"/>
  <c r="DG221" i="32"/>
  <c r="DH221" i="32"/>
  <c r="CR221" i="32"/>
  <c r="DF222" i="32"/>
  <c r="DG222" i="32"/>
  <c r="DH222" i="32"/>
  <c r="CR222" i="32"/>
  <c r="DF223" i="32"/>
  <c r="DG223" i="32"/>
  <c r="DH223" i="32"/>
  <c r="CR223" i="32"/>
  <c r="DF224" i="32"/>
  <c r="DG224" i="32"/>
  <c r="DH224" i="32"/>
  <c r="CR224" i="32"/>
  <c r="DF225" i="32"/>
  <c r="DG225" i="32"/>
  <c r="DH225" i="32"/>
  <c r="CR225" i="32"/>
  <c r="DF226" i="32"/>
  <c r="DG226" i="32"/>
  <c r="DH226" i="32"/>
  <c r="CR226" i="32"/>
  <c r="DF227" i="32"/>
  <c r="DG227" i="32"/>
  <c r="DH227" i="32"/>
  <c r="CR227" i="32"/>
  <c r="DF228" i="32"/>
  <c r="DG228" i="32"/>
  <c r="DH228" i="32"/>
  <c r="CR228" i="32"/>
  <c r="DF229" i="32"/>
  <c r="DG229" i="32"/>
  <c r="DH229" i="32"/>
  <c r="CR229" i="32"/>
  <c r="DF230" i="32"/>
  <c r="DG230" i="32"/>
  <c r="DH230" i="32"/>
  <c r="CR230" i="32"/>
  <c r="DF231" i="32"/>
  <c r="DG231" i="32"/>
  <c r="DH231" i="32"/>
  <c r="CR231" i="32"/>
  <c r="DF232" i="32"/>
  <c r="DG232" i="32"/>
  <c r="DH232" i="32"/>
  <c r="CR232" i="32"/>
  <c r="DF233" i="32"/>
  <c r="DG233" i="32"/>
  <c r="DH233" i="32"/>
  <c r="CR233" i="32"/>
  <c r="DF234" i="32"/>
  <c r="DG234" i="32"/>
  <c r="DH234" i="32"/>
  <c r="CR234" i="32"/>
  <c r="DF235" i="32"/>
  <c r="DG235" i="32"/>
  <c r="DH235" i="32"/>
  <c r="CR235" i="32"/>
  <c r="DF236" i="32"/>
  <c r="DG236" i="32"/>
  <c r="DH236" i="32"/>
  <c r="CR236" i="32"/>
  <c r="DF237" i="32"/>
  <c r="DG237" i="32"/>
  <c r="DH237" i="32"/>
  <c r="CR237" i="32"/>
  <c r="DF238" i="32"/>
  <c r="DG238" i="32"/>
  <c r="DH238" i="32"/>
  <c r="CR238" i="32"/>
  <c r="DF239" i="32"/>
  <c r="DG239" i="32"/>
  <c r="DH239" i="32"/>
  <c r="CR239" i="32"/>
  <c r="DF240" i="32"/>
  <c r="DG240" i="32"/>
  <c r="DH240" i="32"/>
  <c r="CR240" i="32"/>
  <c r="DF241" i="32"/>
  <c r="DG241" i="32"/>
  <c r="DH241" i="32"/>
  <c r="CR241" i="32"/>
  <c r="DF242" i="32"/>
  <c r="DG242" i="32"/>
  <c r="DH242" i="32"/>
  <c r="CR242" i="32"/>
  <c r="DF243" i="32"/>
  <c r="DG243" i="32"/>
  <c r="DH243" i="32"/>
  <c r="CR243" i="32"/>
  <c r="DF244" i="32"/>
  <c r="DG244" i="32"/>
  <c r="DH244" i="32"/>
  <c r="CR244" i="32"/>
  <c r="DF245" i="32"/>
  <c r="DG245" i="32"/>
  <c r="DH245" i="32"/>
  <c r="CR245" i="32"/>
  <c r="DF246" i="32"/>
  <c r="DG246" i="32"/>
  <c r="DH246" i="32"/>
  <c r="CR246" i="32"/>
  <c r="DF247" i="32"/>
  <c r="DG247" i="32"/>
  <c r="DH247" i="32"/>
  <c r="CR247" i="32"/>
  <c r="DF248" i="32"/>
  <c r="DG248" i="32"/>
  <c r="DH248" i="32"/>
  <c r="CR248" i="32"/>
  <c r="DF249" i="32"/>
  <c r="DG249" i="32"/>
  <c r="DH249" i="32"/>
  <c r="CR249" i="32"/>
  <c r="DF250" i="32"/>
  <c r="DG250" i="32"/>
  <c r="DH250" i="32"/>
  <c r="CR250" i="32"/>
  <c r="DF251" i="32"/>
  <c r="DG251" i="32"/>
  <c r="DH251" i="32"/>
  <c r="CR251" i="32"/>
  <c r="DF252" i="32"/>
  <c r="DG252" i="32"/>
  <c r="DH252" i="32"/>
  <c r="CR252" i="32"/>
  <c r="DF253" i="32"/>
  <c r="DG253" i="32"/>
  <c r="DH253" i="32"/>
  <c r="CR253" i="32"/>
  <c r="DF254" i="32"/>
  <c r="DG254" i="32"/>
  <c r="DH254" i="32"/>
  <c r="CR254" i="32"/>
  <c r="DF255" i="32"/>
  <c r="DG255" i="32"/>
  <c r="DH255" i="32"/>
  <c r="CR255" i="32"/>
  <c r="DF256" i="32"/>
  <c r="DG256" i="32"/>
  <c r="DH256" i="32"/>
  <c r="CR256" i="32"/>
  <c r="DF257" i="32"/>
  <c r="DG257" i="32"/>
  <c r="DH257" i="32"/>
  <c r="CR257" i="32"/>
  <c r="DF258" i="32"/>
  <c r="DG258" i="32"/>
  <c r="DH258" i="32"/>
  <c r="CR258" i="32"/>
  <c r="DF259" i="32"/>
  <c r="DG259" i="32"/>
  <c r="DH259" i="32"/>
  <c r="CR259" i="32"/>
  <c r="DF260" i="32"/>
  <c r="DG260" i="32"/>
  <c r="DH260" i="32"/>
  <c r="CR260" i="32"/>
  <c r="DF261" i="32"/>
  <c r="DG261" i="32"/>
  <c r="DH261" i="32"/>
  <c r="CR261" i="32"/>
  <c r="DF262" i="32"/>
  <c r="DG262" i="32"/>
  <c r="DH262" i="32"/>
  <c r="CR262" i="32"/>
  <c r="DF263" i="32"/>
  <c r="DG263" i="32"/>
  <c r="DH263" i="32"/>
  <c r="CR263" i="32"/>
  <c r="DF264" i="32"/>
  <c r="DG264" i="32"/>
  <c r="DH264" i="32"/>
  <c r="CR264" i="32"/>
  <c r="DF265" i="32"/>
  <c r="DG265" i="32"/>
  <c r="DH265" i="32"/>
  <c r="CR265" i="32"/>
  <c r="DF266" i="32"/>
  <c r="DG266" i="32"/>
  <c r="DH266" i="32"/>
  <c r="CR266" i="32"/>
  <c r="DF267" i="32"/>
  <c r="DG267" i="32"/>
  <c r="DH267" i="32"/>
  <c r="CR267" i="32"/>
  <c r="DF268" i="32"/>
  <c r="DG268" i="32"/>
  <c r="DH268" i="32"/>
  <c r="CR268" i="32"/>
  <c r="DF269" i="32"/>
  <c r="DG269" i="32"/>
  <c r="DH269" i="32"/>
  <c r="CR269" i="32"/>
  <c r="DF270" i="32"/>
  <c r="DG270" i="32"/>
  <c r="DH270" i="32"/>
  <c r="CR270" i="32"/>
  <c r="DF271" i="32"/>
  <c r="DG271" i="32"/>
  <c r="DH271" i="32"/>
  <c r="CR271" i="32"/>
  <c r="DF272" i="32"/>
  <c r="DG272" i="32"/>
  <c r="DH272" i="32"/>
  <c r="CR272" i="32"/>
  <c r="DF273" i="32"/>
  <c r="DG273" i="32"/>
  <c r="DH273" i="32"/>
  <c r="CR273" i="32"/>
  <c r="DF274" i="32"/>
  <c r="DG274" i="32"/>
  <c r="DH274" i="32"/>
  <c r="CR274" i="32"/>
  <c r="DF275" i="32"/>
  <c r="DG275" i="32"/>
  <c r="DH275" i="32"/>
  <c r="CR275" i="32"/>
  <c r="DF276" i="32"/>
  <c r="DG276" i="32"/>
  <c r="DH276" i="32"/>
  <c r="CR276" i="32"/>
  <c r="DF277" i="32"/>
  <c r="DG277" i="32"/>
  <c r="DH277" i="32"/>
  <c r="CR277" i="32"/>
  <c r="DF278" i="32"/>
  <c r="DG278" i="32"/>
  <c r="DH278" i="32"/>
  <c r="CR278" i="32"/>
  <c r="DF279" i="32"/>
  <c r="DG279" i="32"/>
  <c r="DH279" i="32"/>
  <c r="CR279" i="32"/>
  <c r="DF280" i="32"/>
  <c r="DG280" i="32"/>
  <c r="DH280" i="32"/>
  <c r="CR280" i="32"/>
  <c r="DF281" i="32"/>
  <c r="DG281" i="32"/>
  <c r="DH281" i="32"/>
  <c r="CR281" i="32"/>
  <c r="DF282" i="32"/>
  <c r="DG282" i="32"/>
  <c r="DH282" i="32"/>
  <c r="CR282" i="32"/>
  <c r="DF283" i="32"/>
  <c r="DG283" i="32"/>
  <c r="DH283" i="32"/>
  <c r="CR283" i="32"/>
  <c r="DF284" i="32"/>
  <c r="DG284" i="32"/>
  <c r="DH284" i="32"/>
  <c r="CR284" i="32"/>
  <c r="DF285" i="32"/>
  <c r="DG285" i="32"/>
  <c r="DH285" i="32"/>
  <c r="CR285" i="32"/>
  <c r="DF286" i="32"/>
  <c r="DG286" i="32"/>
  <c r="DH286" i="32"/>
  <c r="CR286" i="32"/>
  <c r="DF287" i="32"/>
  <c r="DG287" i="32"/>
  <c r="DH287" i="32"/>
  <c r="CR287" i="32"/>
  <c r="DF288" i="32"/>
  <c r="DG288" i="32"/>
  <c r="DH288" i="32"/>
  <c r="CR288" i="32"/>
  <c r="DF289" i="32"/>
  <c r="DG289" i="32"/>
  <c r="DH289" i="32"/>
  <c r="CR289" i="32"/>
  <c r="DF290" i="32"/>
  <c r="DG290" i="32"/>
  <c r="DH290" i="32"/>
  <c r="CR290" i="32"/>
  <c r="DF291" i="32"/>
  <c r="DG291" i="32"/>
  <c r="DH291" i="32"/>
  <c r="CR291" i="32"/>
  <c r="DF292" i="32"/>
  <c r="DG292" i="32"/>
  <c r="DH292" i="32"/>
  <c r="CR292" i="32"/>
  <c r="DF293" i="32"/>
  <c r="DG293" i="32"/>
  <c r="DH293" i="32"/>
  <c r="CR293" i="32"/>
  <c r="DF294" i="32"/>
  <c r="DG294" i="32"/>
  <c r="DH294" i="32"/>
  <c r="CR294" i="32"/>
  <c r="DF295" i="32"/>
  <c r="DG295" i="32"/>
  <c r="DH295" i="32"/>
  <c r="CR295" i="32"/>
  <c r="DF296" i="32"/>
  <c r="DG296" i="32"/>
  <c r="DH296" i="32"/>
  <c r="CR296" i="32"/>
  <c r="DF297" i="32"/>
  <c r="DG297" i="32"/>
  <c r="DH297" i="32"/>
  <c r="CR297" i="32"/>
  <c r="DF298" i="32"/>
  <c r="DG298" i="32"/>
  <c r="DH298" i="32"/>
  <c r="CR298" i="32"/>
  <c r="DF299" i="32"/>
  <c r="DG299" i="32"/>
  <c r="DH299" i="32"/>
  <c r="CR299" i="32"/>
  <c r="DF300" i="32"/>
  <c r="DG300" i="32"/>
  <c r="DH300" i="32"/>
  <c r="CR300" i="32"/>
  <c r="DF301" i="32"/>
  <c r="DG301" i="32"/>
  <c r="DH301" i="32"/>
  <c r="CR301" i="32"/>
  <c r="DF302" i="32"/>
  <c r="DG302" i="32"/>
  <c r="DH302" i="32"/>
  <c r="CR302" i="32"/>
  <c r="DF303" i="32"/>
  <c r="DG303" i="32"/>
  <c r="DH303" i="32"/>
  <c r="CR303" i="32"/>
  <c r="DF304" i="32"/>
  <c r="DG304" i="32"/>
  <c r="DH304" i="32"/>
  <c r="CR304" i="32"/>
  <c r="DF305" i="32"/>
  <c r="DG305" i="32"/>
  <c r="DH305" i="32"/>
  <c r="CR305" i="32"/>
  <c r="DF306" i="32"/>
  <c r="DG306" i="32"/>
  <c r="DH306" i="32"/>
  <c r="CR306" i="32"/>
  <c r="DF307" i="32"/>
  <c r="DG307" i="32"/>
  <c r="DH307" i="32"/>
  <c r="CR307" i="32"/>
  <c r="DF308" i="32"/>
  <c r="DG308" i="32"/>
  <c r="DH308" i="32"/>
  <c r="CR308" i="32"/>
  <c r="DF309" i="32"/>
  <c r="DG309" i="32"/>
  <c r="DH309" i="32"/>
  <c r="CR309" i="32"/>
  <c r="DF310" i="32"/>
  <c r="DG310" i="32"/>
  <c r="DH310" i="32"/>
  <c r="CR310" i="32"/>
  <c r="DF311" i="32"/>
  <c r="DG311" i="32"/>
  <c r="DH311" i="32"/>
  <c r="CR311" i="32"/>
  <c r="DF312" i="32"/>
  <c r="DG312" i="32"/>
  <c r="DH312" i="32"/>
  <c r="CR312" i="32"/>
  <c r="DF313" i="32"/>
  <c r="DG313" i="32"/>
  <c r="DH313" i="32"/>
  <c r="CR313" i="32"/>
  <c r="DF314" i="32"/>
  <c r="DG314" i="32"/>
  <c r="DH314" i="32"/>
  <c r="CR314" i="32"/>
  <c r="DF315" i="32"/>
  <c r="DG315" i="32"/>
  <c r="DH315" i="32"/>
  <c r="CR315" i="32"/>
  <c r="DF316" i="32"/>
  <c r="DG316" i="32"/>
  <c r="DH316" i="32"/>
  <c r="CR316" i="32"/>
  <c r="DF317" i="32"/>
  <c r="DG317" i="32"/>
  <c r="DH317" i="32"/>
  <c r="CR317" i="32"/>
  <c r="DF318" i="32"/>
  <c r="DG318" i="32"/>
  <c r="DH318" i="32"/>
  <c r="CR318" i="32"/>
  <c r="DF319" i="32"/>
  <c r="DG319" i="32"/>
  <c r="DH319" i="32"/>
  <c r="CR319" i="32"/>
  <c r="DF320" i="32"/>
  <c r="DG320" i="32"/>
  <c r="DH320" i="32"/>
  <c r="CR320" i="32"/>
  <c r="DF321" i="32"/>
  <c r="DG321" i="32"/>
  <c r="DH321" i="32"/>
  <c r="CR321" i="32"/>
  <c r="DF322" i="32"/>
  <c r="DG322" i="32"/>
  <c r="DH322" i="32"/>
  <c r="CR322" i="32"/>
  <c r="DF323" i="32"/>
  <c r="DG323" i="32"/>
  <c r="DH323" i="32"/>
  <c r="CR323" i="32"/>
  <c r="DF324" i="32"/>
  <c r="DG324" i="32"/>
  <c r="DH324" i="32"/>
  <c r="CR324" i="32"/>
  <c r="DF325" i="32"/>
  <c r="DG325" i="32"/>
  <c r="DH325" i="32"/>
  <c r="CR325" i="32"/>
  <c r="DF326" i="32"/>
  <c r="DG326" i="32"/>
  <c r="DH326" i="32"/>
  <c r="CR326" i="32"/>
  <c r="DF327" i="32"/>
  <c r="DG327" i="32"/>
  <c r="DH327" i="32"/>
  <c r="CR327" i="32"/>
  <c r="DF328" i="32"/>
  <c r="DG328" i="32"/>
  <c r="DH328" i="32"/>
  <c r="CR328" i="32"/>
  <c r="DF329" i="32"/>
  <c r="DG329" i="32"/>
  <c r="DH329" i="32"/>
  <c r="CR329" i="32"/>
  <c r="DF330" i="32"/>
  <c r="DG330" i="32"/>
  <c r="DH330" i="32"/>
  <c r="CR330" i="32"/>
  <c r="DF331" i="32"/>
  <c r="DG331" i="32"/>
  <c r="DH331" i="32"/>
  <c r="CR331" i="32"/>
  <c r="DF332" i="32"/>
  <c r="DG332" i="32"/>
  <c r="DH332" i="32"/>
  <c r="CR332" i="32"/>
  <c r="DF333" i="32"/>
  <c r="DG333" i="32"/>
  <c r="DH333" i="32"/>
  <c r="CR333" i="32"/>
  <c r="DF334" i="32"/>
  <c r="DG334" i="32"/>
  <c r="DH334" i="32"/>
  <c r="CR334" i="32"/>
  <c r="DF335" i="32"/>
  <c r="DG335" i="32"/>
  <c r="DH335" i="32"/>
  <c r="CR335" i="32"/>
  <c r="DF336" i="32"/>
  <c r="DG336" i="32"/>
  <c r="DH336" i="32"/>
  <c r="CR336" i="32"/>
  <c r="DF337" i="32"/>
  <c r="DG337" i="32"/>
  <c r="DH337" i="32"/>
  <c r="CR337" i="32"/>
  <c r="DF338" i="32"/>
  <c r="DG338" i="32"/>
  <c r="DH338" i="32"/>
  <c r="CR338" i="32"/>
  <c r="DF339" i="32"/>
  <c r="DG339" i="32"/>
  <c r="DH339" i="32"/>
  <c r="CR339" i="32"/>
  <c r="DF340" i="32"/>
  <c r="DG340" i="32"/>
  <c r="DH340" i="32"/>
  <c r="CR340" i="32"/>
  <c r="DF341" i="32"/>
  <c r="DG341" i="32"/>
  <c r="DH341" i="32"/>
  <c r="CR341" i="32"/>
  <c r="DF342" i="32"/>
  <c r="DG342" i="32"/>
  <c r="DH342" i="32"/>
  <c r="CR342" i="32"/>
  <c r="DF343" i="32"/>
  <c r="DG343" i="32"/>
  <c r="DH343" i="32"/>
  <c r="CR343" i="32"/>
  <c r="DF344" i="32"/>
  <c r="DG344" i="32"/>
  <c r="DH344" i="32"/>
  <c r="CR344" i="32"/>
  <c r="DF345" i="32"/>
  <c r="DG345" i="32"/>
  <c r="DH345" i="32"/>
  <c r="CR345" i="32"/>
  <c r="DF346" i="32"/>
  <c r="DG346" i="32"/>
  <c r="DH346" i="32"/>
  <c r="CR346" i="32"/>
  <c r="DF347" i="32"/>
  <c r="DG347" i="32"/>
  <c r="DH347" i="32"/>
  <c r="CR347" i="32"/>
  <c r="DF348" i="32"/>
  <c r="DG348" i="32"/>
  <c r="DH348" i="32"/>
  <c r="CR348" i="32"/>
  <c r="DF349" i="32"/>
  <c r="DG349" i="32"/>
  <c r="DH349" i="32"/>
  <c r="CR349" i="32"/>
  <c r="DF350" i="32"/>
  <c r="DG350" i="32"/>
  <c r="DH350" i="32"/>
  <c r="CR350" i="32"/>
  <c r="DF351" i="32"/>
  <c r="DG351" i="32"/>
  <c r="DH351" i="32"/>
  <c r="CR351" i="32"/>
  <c r="DF352" i="32"/>
  <c r="DG352" i="32"/>
  <c r="DH352" i="32"/>
  <c r="CR352" i="32"/>
  <c r="DF353" i="32"/>
  <c r="DG353" i="32"/>
  <c r="DH353" i="32"/>
  <c r="CR353" i="32"/>
  <c r="DF354" i="32"/>
  <c r="DG354" i="32"/>
  <c r="DH354" i="32"/>
  <c r="CR354" i="32"/>
  <c r="DF355" i="32"/>
  <c r="DG355" i="32"/>
  <c r="DH355" i="32"/>
  <c r="CR355" i="32"/>
  <c r="DF356" i="32"/>
  <c r="DG356" i="32"/>
  <c r="DH356" i="32"/>
  <c r="CR356" i="32"/>
  <c r="DF357" i="32"/>
  <c r="DG357" i="32"/>
  <c r="DH357" i="32"/>
  <c r="CR357" i="32"/>
  <c r="DF358" i="32"/>
  <c r="DG358" i="32"/>
  <c r="DH358" i="32"/>
  <c r="CR358" i="32"/>
  <c r="DF359" i="32"/>
  <c r="DG359" i="32"/>
  <c r="DH359" i="32"/>
  <c r="CR359" i="32"/>
  <c r="DF360" i="32"/>
  <c r="DG360" i="32"/>
  <c r="DH360" i="32"/>
  <c r="CR360" i="32"/>
  <c r="DF361" i="32"/>
  <c r="DG361" i="32"/>
  <c r="DH361" i="32"/>
  <c r="CR361" i="32"/>
  <c r="DF362" i="32"/>
  <c r="DG362" i="32"/>
  <c r="DH362" i="32"/>
  <c r="CR362" i="32"/>
  <c r="DF363" i="32"/>
  <c r="DG363" i="32"/>
  <c r="DH363" i="32"/>
  <c r="CR363" i="32"/>
  <c r="DF364" i="32"/>
  <c r="DG364" i="32"/>
  <c r="DH364" i="32"/>
  <c r="CR364" i="32"/>
  <c r="DF365" i="32"/>
  <c r="DG365" i="32"/>
  <c r="DH365" i="32"/>
  <c r="CR365" i="32"/>
  <c r="DF366" i="32"/>
  <c r="DG366" i="32"/>
  <c r="DH366" i="32"/>
  <c r="CR366" i="32"/>
  <c r="DF367" i="32"/>
  <c r="DG367" i="32"/>
  <c r="DH367" i="32"/>
  <c r="CR367" i="32"/>
  <c r="DF368" i="32"/>
  <c r="DG368" i="32"/>
  <c r="DH368" i="32"/>
  <c r="CR368" i="32"/>
  <c r="DF369" i="32"/>
  <c r="DG369" i="32"/>
  <c r="DH369" i="32"/>
  <c r="CR369" i="32"/>
  <c r="DF370" i="32"/>
  <c r="DG370" i="32"/>
  <c r="DH370" i="32"/>
  <c r="CR370" i="32"/>
  <c r="DF371" i="32"/>
  <c r="DG371" i="32"/>
  <c r="DH371" i="32"/>
  <c r="CR371" i="32"/>
  <c r="DF372" i="32"/>
  <c r="DG372" i="32"/>
  <c r="DH372" i="32"/>
  <c r="CR372" i="32"/>
  <c r="DF373" i="32"/>
  <c r="DG373" i="32"/>
  <c r="DH373" i="32"/>
  <c r="CR373" i="32"/>
  <c r="DF374" i="32"/>
  <c r="DG374" i="32"/>
  <c r="DH374" i="32"/>
  <c r="CR374" i="32"/>
  <c r="DF375" i="32"/>
  <c r="DG375" i="32"/>
  <c r="DH375" i="32"/>
  <c r="CR375" i="32"/>
  <c r="DF376" i="32"/>
  <c r="DG376" i="32"/>
  <c r="DH376" i="32"/>
  <c r="CR376" i="32"/>
  <c r="DF377" i="32"/>
  <c r="DG377" i="32"/>
  <c r="DH377" i="32"/>
  <c r="CR377" i="32"/>
  <c r="DF378" i="32"/>
  <c r="DG378" i="32"/>
  <c r="DH378" i="32"/>
  <c r="CR378" i="32"/>
  <c r="DF379" i="32"/>
  <c r="DG379" i="32"/>
  <c r="DH379" i="32"/>
  <c r="CR379" i="32"/>
  <c r="DF380" i="32"/>
  <c r="DG380" i="32"/>
  <c r="DH380" i="32"/>
  <c r="CR380" i="32"/>
  <c r="DF381" i="32"/>
  <c r="DG381" i="32"/>
  <c r="DH381" i="32"/>
  <c r="CR381" i="32"/>
  <c r="DF382" i="32"/>
  <c r="DG382" i="32"/>
  <c r="DH382" i="32"/>
  <c r="CR382" i="32"/>
  <c r="DF383" i="32"/>
  <c r="DG383" i="32"/>
  <c r="DH383" i="32"/>
  <c r="CR383" i="32"/>
  <c r="DF384" i="32"/>
  <c r="DG384" i="32"/>
  <c r="DH384" i="32"/>
  <c r="CR384" i="32"/>
  <c r="DF385" i="32"/>
  <c r="DG385" i="32"/>
  <c r="DH385" i="32"/>
  <c r="CR385" i="32"/>
  <c r="DF386" i="32"/>
  <c r="DG386" i="32"/>
  <c r="DH386" i="32"/>
  <c r="CR386" i="32"/>
  <c r="DF387" i="32"/>
  <c r="DG387" i="32"/>
  <c r="DH387" i="32"/>
  <c r="CR387" i="32"/>
  <c r="DF388" i="32"/>
  <c r="DG388" i="32"/>
  <c r="DH388" i="32"/>
  <c r="CR388" i="32"/>
  <c r="DF389" i="32"/>
  <c r="DG389" i="32"/>
  <c r="DH389" i="32"/>
  <c r="CR389" i="32"/>
  <c r="DF390" i="32"/>
  <c r="DG390" i="32"/>
  <c r="DH390" i="32"/>
  <c r="CR390" i="32"/>
  <c r="DF391" i="32"/>
  <c r="DG391" i="32"/>
  <c r="DH391" i="32"/>
  <c r="CR391" i="32"/>
  <c r="DF392" i="32"/>
  <c r="DG392" i="32"/>
  <c r="DH392" i="32"/>
  <c r="CR392" i="32"/>
  <c r="DF393" i="32"/>
  <c r="DG393" i="32"/>
  <c r="DH393" i="32"/>
  <c r="CR393" i="32"/>
  <c r="DF394" i="32"/>
  <c r="DG394" i="32"/>
  <c r="DH394" i="32"/>
  <c r="CR394" i="32"/>
  <c r="DF395" i="32"/>
  <c r="DG395" i="32"/>
  <c r="DH395" i="32"/>
  <c r="CR395" i="32"/>
  <c r="DF396" i="32"/>
  <c r="DG396" i="32"/>
  <c r="DH396" i="32"/>
  <c r="CR396" i="32"/>
  <c r="DF397" i="32"/>
  <c r="DG397" i="32"/>
  <c r="DH397" i="32"/>
  <c r="CR397" i="32"/>
  <c r="DF398" i="32"/>
  <c r="DG398" i="32"/>
  <c r="DH398" i="32"/>
  <c r="CR398" i="32"/>
  <c r="DF399" i="32"/>
  <c r="DG399" i="32"/>
  <c r="DH399" i="32"/>
  <c r="CR399" i="32"/>
  <c r="DF400" i="32"/>
  <c r="DG400" i="32"/>
  <c r="DH400" i="32"/>
  <c r="CR400" i="32"/>
  <c r="DF401" i="32"/>
  <c r="DG401" i="32"/>
  <c r="DH401" i="32"/>
  <c r="CR401" i="32"/>
  <c r="DF402" i="32"/>
  <c r="DG402" i="32"/>
  <c r="DH402" i="32"/>
  <c r="CR402" i="32"/>
  <c r="DF403" i="32"/>
  <c r="DG403" i="32"/>
  <c r="DH403" i="32"/>
  <c r="CR403" i="32"/>
  <c r="DF404" i="32"/>
  <c r="DG404" i="32"/>
  <c r="DH404" i="32"/>
  <c r="CR404" i="32"/>
  <c r="DF405" i="32"/>
  <c r="DG405" i="32"/>
  <c r="DH405" i="32"/>
  <c r="CR405" i="32"/>
  <c r="DF406" i="32"/>
  <c r="DG406" i="32"/>
  <c r="DH406" i="32"/>
  <c r="CR406" i="32"/>
  <c r="DF407" i="32"/>
  <c r="DG407" i="32"/>
  <c r="DH407" i="32"/>
  <c r="CR407" i="32"/>
  <c r="DF408" i="32"/>
  <c r="DG408" i="32"/>
  <c r="DH408" i="32"/>
  <c r="CR408" i="32"/>
  <c r="DF409" i="32"/>
  <c r="DG409" i="32"/>
  <c r="DH409" i="32"/>
  <c r="CR409" i="32"/>
  <c r="DF410" i="32"/>
  <c r="DG410" i="32"/>
  <c r="DH410" i="32"/>
  <c r="CR410" i="32"/>
  <c r="DF411" i="32"/>
  <c r="DG411" i="32"/>
  <c r="DH411" i="32"/>
  <c r="CR411" i="32"/>
  <c r="DF412" i="32"/>
  <c r="DG412" i="32"/>
  <c r="DH412" i="32"/>
  <c r="CR412" i="32"/>
  <c r="DF413" i="32"/>
  <c r="DG413" i="32"/>
  <c r="DH413" i="32"/>
  <c r="CR413" i="32"/>
  <c r="DF414" i="32"/>
  <c r="DG414" i="32"/>
  <c r="DH414" i="32"/>
  <c r="CR414" i="32"/>
  <c r="DF415" i="32"/>
  <c r="DG415" i="32"/>
  <c r="DH415" i="32"/>
  <c r="CR415" i="32"/>
  <c r="DF416" i="32"/>
  <c r="DG416" i="32"/>
  <c r="DH416" i="32"/>
  <c r="CR416" i="32"/>
  <c r="DF417" i="32"/>
  <c r="DG417" i="32"/>
  <c r="DH417" i="32"/>
  <c r="CR417" i="32"/>
  <c r="DF418" i="32"/>
  <c r="DG418" i="32"/>
  <c r="DH418" i="32"/>
  <c r="CR418" i="32"/>
  <c r="DF419" i="32"/>
  <c r="DG419" i="32"/>
  <c r="DH419" i="32"/>
  <c r="CR419" i="32"/>
  <c r="DF420" i="32"/>
  <c r="DG420" i="32"/>
  <c r="DH420" i="32"/>
  <c r="CR420" i="32"/>
  <c r="DF421" i="32"/>
  <c r="DG421" i="32"/>
  <c r="DH421" i="32"/>
  <c r="CR421" i="32"/>
  <c r="DF422" i="32"/>
  <c r="DG422" i="32"/>
  <c r="DH422" i="32"/>
  <c r="CR422" i="32"/>
  <c r="DF423" i="32"/>
  <c r="DG423" i="32"/>
  <c r="DH423" i="32"/>
  <c r="CR423" i="32"/>
  <c r="DF424" i="32"/>
  <c r="DG424" i="32"/>
  <c r="DH424" i="32"/>
  <c r="CR424" i="32"/>
  <c r="DF425" i="32"/>
  <c r="DG425" i="32"/>
  <c r="DH425" i="32"/>
  <c r="CR425" i="32"/>
  <c r="DF426" i="32"/>
  <c r="DG426" i="32"/>
  <c r="DH426" i="32"/>
  <c r="CR426" i="32"/>
  <c r="DF427" i="32"/>
  <c r="DG427" i="32"/>
  <c r="DH427" i="32"/>
  <c r="CR427" i="32"/>
  <c r="DF428" i="32"/>
  <c r="DG428" i="32"/>
  <c r="DH428" i="32"/>
  <c r="CR428" i="32"/>
  <c r="DF429" i="32"/>
  <c r="DG429" i="32"/>
  <c r="DH429" i="32"/>
  <c r="CR429" i="32"/>
  <c r="DF430" i="32"/>
  <c r="DG430" i="32"/>
  <c r="DH430" i="32"/>
  <c r="CR430" i="32"/>
  <c r="DF431" i="32"/>
  <c r="DG431" i="32"/>
  <c r="DH431" i="32"/>
  <c r="CR431" i="32"/>
  <c r="DF432" i="32"/>
  <c r="DG432" i="32"/>
  <c r="DH432" i="32"/>
  <c r="CR432" i="32"/>
  <c r="DF433" i="32"/>
  <c r="DG433" i="32"/>
  <c r="DH433" i="32"/>
  <c r="CR433" i="32"/>
  <c r="DF434" i="32"/>
  <c r="DG434" i="32"/>
  <c r="DH434" i="32"/>
  <c r="CR434" i="32"/>
  <c r="DF435" i="32"/>
  <c r="DG435" i="32"/>
  <c r="DH435" i="32"/>
  <c r="CR435" i="32"/>
  <c r="DF436" i="32"/>
  <c r="DG436" i="32"/>
  <c r="DH436" i="32"/>
  <c r="CR436" i="32"/>
  <c r="DF437" i="32"/>
  <c r="DG437" i="32"/>
  <c r="DH437" i="32"/>
  <c r="CR437" i="32"/>
  <c r="DF438" i="32"/>
  <c r="DG438" i="32"/>
  <c r="DH438" i="32"/>
  <c r="CR438" i="32"/>
  <c r="DF439" i="32"/>
  <c r="DG439" i="32"/>
  <c r="DH439" i="32"/>
  <c r="CR439" i="32"/>
  <c r="DF440" i="32"/>
  <c r="DG440" i="32"/>
  <c r="DH440" i="32"/>
  <c r="CR440" i="32"/>
  <c r="DF441" i="32"/>
  <c r="DG441" i="32"/>
  <c r="DH441" i="32"/>
  <c r="CR441" i="32"/>
  <c r="DF442" i="32"/>
  <c r="DG442" i="32"/>
  <c r="DH442" i="32"/>
  <c r="CR442" i="32"/>
  <c r="DF443" i="32"/>
  <c r="DG443" i="32"/>
  <c r="DH443" i="32"/>
  <c r="CR443" i="32"/>
  <c r="DF444" i="32"/>
  <c r="DG444" i="32"/>
  <c r="DH444" i="32"/>
  <c r="CR444" i="32"/>
  <c r="CX24" i="32"/>
  <c r="CX21" i="32"/>
  <c r="CX22" i="32"/>
  <c r="CX23" i="32"/>
  <c r="CX7" i="32"/>
  <c r="CX8" i="32"/>
  <c r="CX9" i="32"/>
  <c r="CX10" i="32"/>
  <c r="CX11" i="32"/>
  <c r="CX12" i="32"/>
  <c r="CX13" i="32"/>
  <c r="CX14" i="32"/>
  <c r="CX15" i="32"/>
  <c r="CX16" i="32"/>
  <c r="CX17" i="32"/>
  <c r="CX18" i="32"/>
  <c r="CX19" i="32"/>
  <c r="CX20" i="32"/>
  <c r="Q4" i="32"/>
  <c r="AX4" i="23"/>
  <c r="T3" i="35"/>
  <c r="T4" i="35"/>
  <c r="T5" i="35"/>
  <c r="T6" i="35"/>
  <c r="T7" i="35"/>
  <c r="AU5" i="32"/>
  <c r="AV5" i="32"/>
  <c r="AU6" i="32"/>
  <c r="AV6" i="32"/>
  <c r="AU7" i="32"/>
  <c r="AV7" i="32"/>
  <c r="AU8" i="32"/>
  <c r="AV8" i="32"/>
  <c r="AU9" i="32"/>
  <c r="AV9" i="32"/>
  <c r="AU10" i="32"/>
  <c r="AV10" i="32"/>
  <c r="AU11" i="32"/>
  <c r="AV11" i="32"/>
  <c r="AU12" i="32"/>
  <c r="AV12" i="32"/>
  <c r="AU13" i="32"/>
  <c r="AV13" i="32"/>
  <c r="AU14" i="32"/>
  <c r="AV14" i="32"/>
  <c r="AU15" i="32"/>
  <c r="AV15" i="32"/>
  <c r="AU16" i="32"/>
  <c r="AV16" i="32"/>
  <c r="AU17" i="32"/>
  <c r="AV17" i="32"/>
  <c r="AU18" i="32"/>
  <c r="AV18" i="32"/>
  <c r="AU19" i="32"/>
  <c r="AV19" i="32"/>
  <c r="AU20" i="32"/>
  <c r="AV20" i="32"/>
  <c r="AU21" i="32"/>
  <c r="AV21" i="32"/>
  <c r="AU22" i="32"/>
  <c r="AV22" i="32"/>
  <c r="AU23" i="32"/>
  <c r="AV23" i="32"/>
  <c r="AU24" i="32"/>
  <c r="AV24" i="32"/>
  <c r="AU25" i="32"/>
  <c r="AV25" i="32"/>
  <c r="AU26" i="32"/>
  <c r="AV26" i="32"/>
  <c r="AU27" i="32"/>
  <c r="AV27" i="32"/>
  <c r="AU28" i="32"/>
  <c r="AV28" i="32"/>
  <c r="AU29" i="32"/>
  <c r="AV29" i="32"/>
  <c r="AU30" i="32"/>
  <c r="AV30" i="32"/>
  <c r="AU31" i="32"/>
  <c r="AV31" i="32"/>
  <c r="AU32" i="32"/>
  <c r="AV32" i="32"/>
  <c r="AU33" i="32"/>
  <c r="AV33" i="32"/>
  <c r="AU34" i="32"/>
  <c r="AV34" i="32"/>
  <c r="AU35" i="32"/>
  <c r="AV35" i="32"/>
  <c r="AU36" i="32"/>
  <c r="AV36" i="32"/>
  <c r="AU37" i="32"/>
  <c r="AV37" i="32"/>
  <c r="AU38" i="32"/>
  <c r="AV38" i="32"/>
  <c r="AU39" i="32"/>
  <c r="AV39" i="32"/>
  <c r="AU40" i="32"/>
  <c r="AV40" i="32"/>
  <c r="AU41" i="32"/>
  <c r="AV41" i="32"/>
  <c r="AU42" i="32"/>
  <c r="AV42" i="32"/>
  <c r="AU43" i="32"/>
  <c r="AV43" i="32"/>
  <c r="AU44" i="32"/>
  <c r="AV44" i="32"/>
  <c r="AU45" i="32"/>
  <c r="AV45" i="32"/>
  <c r="AU46" i="32"/>
  <c r="AV46" i="32"/>
  <c r="AU47" i="32"/>
  <c r="AV47" i="32"/>
  <c r="AU48" i="32"/>
  <c r="AV48" i="32"/>
  <c r="AU49" i="32"/>
  <c r="AV49" i="32"/>
  <c r="AU50" i="32"/>
  <c r="AV50" i="32"/>
  <c r="AU51" i="32"/>
  <c r="AV51" i="32"/>
  <c r="AU52" i="32"/>
  <c r="AV52" i="32"/>
  <c r="AU53" i="32"/>
  <c r="AV53" i="32"/>
  <c r="AU54" i="32"/>
  <c r="AV54" i="32"/>
  <c r="AU55" i="32"/>
  <c r="AV55" i="32"/>
  <c r="AU56" i="32"/>
  <c r="AV56" i="32"/>
  <c r="AU57" i="32"/>
  <c r="AV57" i="32"/>
  <c r="AU58" i="32"/>
  <c r="AV58" i="32"/>
  <c r="AU59" i="32"/>
  <c r="AV59" i="32"/>
  <c r="AU60" i="32"/>
  <c r="AV60" i="32"/>
  <c r="AU61" i="32"/>
  <c r="AV61" i="32"/>
  <c r="AU62" i="32"/>
  <c r="AV62" i="32"/>
  <c r="AU63" i="32"/>
  <c r="AV63" i="32"/>
  <c r="AU64" i="32"/>
  <c r="AV64" i="32"/>
  <c r="AU65" i="32"/>
  <c r="AV65" i="32"/>
  <c r="AU66" i="32"/>
  <c r="AV66" i="32"/>
  <c r="AU67" i="32"/>
  <c r="AV67" i="32"/>
  <c r="AU68" i="32"/>
  <c r="AV68" i="32"/>
  <c r="AU69" i="32"/>
  <c r="AV69" i="32"/>
  <c r="AU70" i="32"/>
  <c r="AV70" i="32"/>
  <c r="AU71" i="32"/>
  <c r="AV71" i="32"/>
  <c r="AU72" i="32"/>
  <c r="AV72" i="32"/>
  <c r="AU73" i="32"/>
  <c r="AV73" i="32"/>
  <c r="AU74" i="32"/>
  <c r="AV74" i="32"/>
  <c r="AU75" i="32"/>
  <c r="AV75" i="32"/>
  <c r="AU76" i="32"/>
  <c r="AV76" i="32"/>
  <c r="AU77" i="32"/>
  <c r="AV77" i="32"/>
  <c r="AU78" i="32"/>
  <c r="AV78" i="32"/>
  <c r="AU79" i="32"/>
  <c r="AV79" i="32"/>
  <c r="AU80" i="32"/>
  <c r="AV80" i="32"/>
  <c r="AU81" i="32"/>
  <c r="AV81" i="32"/>
  <c r="AU82" i="32"/>
  <c r="AV82" i="32"/>
  <c r="AU83" i="32"/>
  <c r="AV83" i="32"/>
  <c r="AU84" i="32"/>
  <c r="AV84" i="32"/>
  <c r="AU85" i="32"/>
  <c r="AV85" i="32"/>
  <c r="AU86" i="32"/>
  <c r="AV86" i="32"/>
  <c r="AU87" i="32"/>
  <c r="AV87" i="32"/>
  <c r="AU88" i="32"/>
  <c r="AV88" i="32"/>
  <c r="AU89" i="32"/>
  <c r="AV89" i="32"/>
  <c r="AU90" i="32"/>
  <c r="AV90" i="32"/>
  <c r="AU91" i="32"/>
  <c r="AV91" i="32"/>
  <c r="AU92" i="32"/>
  <c r="AV92" i="32"/>
  <c r="AU93" i="32"/>
  <c r="AV93" i="32"/>
  <c r="AU94" i="32"/>
  <c r="AV94" i="32"/>
  <c r="AU95" i="32"/>
  <c r="AV95" i="32"/>
  <c r="AU96" i="32"/>
  <c r="AV96" i="32"/>
  <c r="AU97" i="32"/>
  <c r="AV97" i="32"/>
  <c r="AU98" i="32"/>
  <c r="AV98" i="32"/>
  <c r="AU99" i="32"/>
  <c r="AV99" i="32"/>
  <c r="AU100" i="32"/>
  <c r="AV100" i="32"/>
  <c r="AU101" i="32"/>
  <c r="AV101" i="32"/>
  <c r="AU102" i="32"/>
  <c r="AV102" i="32"/>
  <c r="AU103" i="32"/>
  <c r="AV103" i="32"/>
  <c r="AU104" i="32"/>
  <c r="AV104" i="32"/>
  <c r="AU105" i="32"/>
  <c r="AV105" i="32"/>
  <c r="AU106" i="32"/>
  <c r="AV106" i="32"/>
  <c r="AU107" i="32"/>
  <c r="AV107" i="32"/>
  <c r="AU108" i="32"/>
  <c r="AV108" i="32"/>
  <c r="AU109" i="32"/>
  <c r="AV109" i="32"/>
  <c r="AU110" i="32"/>
  <c r="AV110" i="32"/>
  <c r="AU111" i="32"/>
  <c r="AV111" i="32"/>
  <c r="AU112" i="32"/>
  <c r="AV112" i="32"/>
  <c r="AU113" i="32"/>
  <c r="AV113" i="32"/>
  <c r="AU114" i="32"/>
  <c r="AV114" i="32"/>
  <c r="AU115" i="32"/>
  <c r="AV115" i="32"/>
  <c r="AU116" i="32"/>
  <c r="AV116" i="32"/>
  <c r="AU117" i="32"/>
  <c r="AV117" i="32"/>
  <c r="AU118" i="32"/>
  <c r="AV118" i="32"/>
  <c r="AU119" i="32"/>
  <c r="AV119" i="32"/>
  <c r="AU120" i="32"/>
  <c r="AV120" i="32"/>
  <c r="AU121" i="32"/>
  <c r="AV121" i="32"/>
  <c r="AU122" i="32"/>
  <c r="AV122" i="32"/>
  <c r="AU123" i="32"/>
  <c r="AV123" i="32"/>
  <c r="AU124" i="32"/>
  <c r="AV124" i="32"/>
  <c r="AU125" i="32"/>
  <c r="AV125" i="32"/>
  <c r="AU126" i="32"/>
  <c r="AV126" i="32"/>
  <c r="AU127" i="32"/>
  <c r="AV127" i="32"/>
  <c r="AU128" i="32"/>
  <c r="AV128" i="32"/>
  <c r="AU129" i="32"/>
  <c r="AV129" i="32"/>
  <c r="AU130" i="32"/>
  <c r="AV130" i="32"/>
  <c r="AU131" i="32"/>
  <c r="AV131" i="32"/>
  <c r="AU132" i="32"/>
  <c r="AV132" i="32"/>
  <c r="AU133" i="32"/>
  <c r="AV133" i="32"/>
  <c r="AU134" i="32"/>
  <c r="AV134" i="32"/>
  <c r="AU135" i="32"/>
  <c r="AV135" i="32"/>
  <c r="AU136" i="32"/>
  <c r="AV136" i="32"/>
  <c r="AU137" i="32"/>
  <c r="AV137" i="32"/>
  <c r="AU138" i="32"/>
  <c r="AV138" i="32"/>
  <c r="AU139" i="32"/>
  <c r="AV139" i="32"/>
  <c r="AU140" i="32"/>
  <c r="AV140" i="32"/>
  <c r="AU141" i="32"/>
  <c r="AV141" i="32"/>
  <c r="AU142" i="32"/>
  <c r="AV142" i="32"/>
  <c r="AU143" i="32"/>
  <c r="AV143" i="32"/>
  <c r="AU144" i="32"/>
  <c r="AV144" i="32"/>
  <c r="AU145" i="32"/>
  <c r="AV145" i="32"/>
  <c r="AU146" i="32"/>
  <c r="AV146" i="32"/>
  <c r="AU147" i="32"/>
  <c r="AV147" i="32"/>
  <c r="AU148" i="32"/>
  <c r="AV148" i="32"/>
  <c r="AU149" i="32"/>
  <c r="AV149" i="32"/>
  <c r="AU150" i="32"/>
  <c r="AV150" i="32"/>
  <c r="AU151" i="32"/>
  <c r="AV151" i="32"/>
  <c r="AU152" i="32"/>
  <c r="AV152" i="32"/>
  <c r="AU153" i="32"/>
  <c r="AV153" i="32"/>
  <c r="AU154" i="32"/>
  <c r="AV154" i="32"/>
  <c r="AU155" i="32"/>
  <c r="AV155" i="32"/>
  <c r="AU156" i="32"/>
  <c r="AV156" i="32"/>
  <c r="AU157" i="32"/>
  <c r="AV157" i="32"/>
  <c r="AU158" i="32"/>
  <c r="AV158" i="32"/>
  <c r="AU159" i="32"/>
  <c r="AV159" i="32"/>
  <c r="AU160" i="32"/>
  <c r="AV160" i="32"/>
  <c r="AU161" i="32"/>
  <c r="AV161" i="32"/>
  <c r="AU162" i="32"/>
  <c r="AV162" i="32"/>
  <c r="AU163" i="32"/>
  <c r="AV163" i="32"/>
  <c r="AU164" i="32"/>
  <c r="AV164" i="32"/>
  <c r="AU165" i="32"/>
  <c r="AV165" i="32"/>
  <c r="AU166" i="32"/>
  <c r="AV166" i="32"/>
  <c r="AU167" i="32"/>
  <c r="AV167" i="32"/>
  <c r="AU168" i="32"/>
  <c r="AV168" i="32"/>
  <c r="AU169" i="32"/>
  <c r="AV169" i="32"/>
  <c r="AU170" i="32"/>
  <c r="AV170" i="32"/>
  <c r="AU171" i="32"/>
  <c r="AV171" i="32"/>
  <c r="AU172" i="32"/>
  <c r="AV172" i="32"/>
  <c r="AU173" i="32"/>
  <c r="AV173" i="32"/>
  <c r="AU174" i="32"/>
  <c r="AV174" i="32"/>
  <c r="AU175" i="32"/>
  <c r="AV175" i="32"/>
  <c r="AU176" i="32"/>
  <c r="AV176" i="32"/>
  <c r="AU177" i="32"/>
  <c r="AV177" i="32"/>
  <c r="AU178" i="32"/>
  <c r="AV178" i="32"/>
  <c r="AU179" i="32"/>
  <c r="AV179" i="32"/>
  <c r="AU180" i="32"/>
  <c r="AV180" i="32"/>
  <c r="AU181" i="32"/>
  <c r="AV181" i="32"/>
  <c r="AU182" i="32"/>
  <c r="AV182" i="32"/>
  <c r="AU183" i="32"/>
  <c r="AV183" i="32"/>
  <c r="AU184" i="32"/>
  <c r="AV184" i="32"/>
  <c r="AU185" i="32"/>
  <c r="AV185" i="32"/>
  <c r="AU186" i="32"/>
  <c r="AV186" i="32"/>
  <c r="AU187" i="32"/>
  <c r="AV187" i="32"/>
  <c r="AU188" i="32"/>
  <c r="AV188" i="32"/>
  <c r="AU189" i="32"/>
  <c r="AV189" i="32"/>
  <c r="AU190" i="32"/>
  <c r="AV190" i="32"/>
  <c r="AU191" i="32"/>
  <c r="AV191" i="32"/>
  <c r="AU192" i="32"/>
  <c r="AV192" i="32"/>
  <c r="AU193" i="32"/>
  <c r="AV193" i="32"/>
  <c r="AU194" i="32"/>
  <c r="AV194" i="32"/>
  <c r="AU195" i="32"/>
  <c r="AV195" i="32"/>
  <c r="AU196" i="32"/>
  <c r="AV196" i="32"/>
  <c r="AU197" i="32"/>
  <c r="AV197" i="32"/>
  <c r="AU198" i="32"/>
  <c r="AV198" i="32"/>
  <c r="AU199" i="32"/>
  <c r="AV199" i="32"/>
  <c r="AU200" i="32"/>
  <c r="AV200" i="32"/>
  <c r="AU201" i="32"/>
  <c r="AV201" i="32"/>
  <c r="AU202" i="32"/>
  <c r="AV202" i="32"/>
  <c r="AU203" i="32"/>
  <c r="AV203" i="32"/>
  <c r="AU204" i="32"/>
  <c r="AV204" i="32"/>
  <c r="AU205" i="32"/>
  <c r="AV205" i="32"/>
  <c r="AU206" i="32"/>
  <c r="AV206" i="32"/>
  <c r="AU207" i="32"/>
  <c r="AV207" i="32"/>
  <c r="AU208" i="32"/>
  <c r="AV208" i="32"/>
  <c r="AU209" i="32"/>
  <c r="AV209" i="32"/>
  <c r="AU210" i="32"/>
  <c r="AV210" i="32"/>
  <c r="AU211" i="32"/>
  <c r="AV211" i="32"/>
  <c r="AU212" i="32"/>
  <c r="AV212" i="32"/>
  <c r="AU213" i="32"/>
  <c r="AV213" i="32"/>
  <c r="AU214" i="32"/>
  <c r="AV214" i="32"/>
  <c r="AU215" i="32"/>
  <c r="AV215" i="32"/>
  <c r="AU216" i="32"/>
  <c r="AV216" i="32"/>
  <c r="AU217" i="32"/>
  <c r="AV217" i="32"/>
  <c r="AU218" i="32"/>
  <c r="AV218" i="32"/>
  <c r="AU219" i="32"/>
  <c r="AV219" i="32"/>
  <c r="AU220" i="32"/>
  <c r="AV220" i="32"/>
  <c r="AU221" i="32"/>
  <c r="AV221" i="32"/>
  <c r="AU222" i="32"/>
  <c r="AV222" i="32"/>
  <c r="AU223" i="32"/>
  <c r="AV223" i="32"/>
  <c r="AU224" i="32"/>
  <c r="AV224" i="32"/>
  <c r="AU225" i="32"/>
  <c r="AV225" i="32"/>
  <c r="AU226" i="32"/>
  <c r="AV226" i="32"/>
  <c r="AU227" i="32"/>
  <c r="AV227" i="32"/>
  <c r="AU228" i="32"/>
  <c r="AV228" i="32"/>
  <c r="AU229" i="32"/>
  <c r="AV229" i="32"/>
  <c r="AU230" i="32"/>
  <c r="AV230" i="32"/>
  <c r="AU231" i="32"/>
  <c r="AV231" i="32"/>
  <c r="AU232" i="32"/>
  <c r="AV232" i="32"/>
  <c r="AU233" i="32"/>
  <c r="AV233" i="32"/>
  <c r="AU234" i="32"/>
  <c r="AV234" i="32"/>
  <c r="AU235" i="32"/>
  <c r="AV235" i="32"/>
  <c r="AU236" i="32"/>
  <c r="AV236" i="32"/>
  <c r="AU237" i="32"/>
  <c r="AV237" i="32"/>
  <c r="AU238" i="32"/>
  <c r="AV238" i="32"/>
  <c r="AU239" i="32"/>
  <c r="AV239" i="32"/>
  <c r="AU240" i="32"/>
  <c r="AV240" i="32"/>
  <c r="AU241" i="32"/>
  <c r="AV241" i="32"/>
  <c r="AU242" i="32"/>
  <c r="AV242" i="32"/>
  <c r="AU243" i="32"/>
  <c r="AV243" i="32"/>
  <c r="AU244" i="32"/>
  <c r="AV244" i="32"/>
  <c r="AU245" i="32"/>
  <c r="AV245" i="32"/>
  <c r="AU246" i="32"/>
  <c r="AV246" i="32"/>
  <c r="AU247" i="32"/>
  <c r="AV247" i="32"/>
  <c r="AU248" i="32"/>
  <c r="AV248" i="32"/>
  <c r="AU249" i="32"/>
  <c r="AV249" i="32"/>
  <c r="AU250" i="32"/>
  <c r="AV250" i="32"/>
  <c r="AU251" i="32"/>
  <c r="AV251" i="32"/>
  <c r="AU252" i="32"/>
  <c r="AV252" i="32"/>
  <c r="AU253" i="32"/>
  <c r="AV253" i="32"/>
  <c r="AU254" i="32"/>
  <c r="AV254" i="32"/>
  <c r="AU255" i="32"/>
  <c r="AV255" i="32"/>
  <c r="AU256" i="32"/>
  <c r="AV256" i="32"/>
  <c r="AU257" i="32"/>
  <c r="AV257" i="32"/>
  <c r="AU258" i="32"/>
  <c r="AV258" i="32"/>
  <c r="AU259" i="32"/>
  <c r="AV259" i="32"/>
  <c r="AU260" i="32"/>
  <c r="AV260" i="32"/>
  <c r="AU261" i="32"/>
  <c r="AV261" i="32"/>
  <c r="AU262" i="32"/>
  <c r="AV262" i="32"/>
  <c r="AU263" i="32"/>
  <c r="AV263" i="32"/>
  <c r="AU264" i="32"/>
  <c r="AV264" i="32"/>
  <c r="AU265" i="32"/>
  <c r="AV265" i="32"/>
  <c r="AU266" i="32"/>
  <c r="AV266" i="32"/>
  <c r="AU267" i="32"/>
  <c r="AV267" i="32"/>
  <c r="AU268" i="32"/>
  <c r="AV268" i="32"/>
  <c r="AU269" i="32"/>
  <c r="AV269" i="32"/>
  <c r="AU270" i="32"/>
  <c r="AV270" i="32"/>
  <c r="AU271" i="32"/>
  <c r="AV271" i="32"/>
  <c r="AU272" i="32"/>
  <c r="AV272" i="32"/>
  <c r="AU273" i="32"/>
  <c r="AV273" i="32"/>
  <c r="AU274" i="32"/>
  <c r="AV274" i="32"/>
  <c r="AU275" i="32"/>
  <c r="AV275" i="32"/>
  <c r="AU276" i="32"/>
  <c r="AV276" i="32"/>
  <c r="AU277" i="32"/>
  <c r="AV277" i="32"/>
  <c r="AU278" i="32"/>
  <c r="AV278" i="32"/>
  <c r="AU279" i="32"/>
  <c r="AV279" i="32"/>
  <c r="AU280" i="32"/>
  <c r="AV280" i="32"/>
  <c r="AU281" i="32"/>
  <c r="AV281" i="32"/>
  <c r="AU282" i="32"/>
  <c r="AV282" i="32"/>
  <c r="AU283" i="32"/>
  <c r="AV283" i="32"/>
  <c r="AU284" i="32"/>
  <c r="AV284" i="32"/>
  <c r="AU285" i="32"/>
  <c r="AV285" i="32"/>
  <c r="AU286" i="32"/>
  <c r="AV286" i="32"/>
  <c r="AU287" i="32"/>
  <c r="AV287" i="32"/>
  <c r="AU288" i="32"/>
  <c r="AV288" i="32"/>
  <c r="AU289" i="32"/>
  <c r="AV289" i="32"/>
  <c r="AU290" i="32"/>
  <c r="AV290" i="32"/>
  <c r="AU291" i="32"/>
  <c r="AV291" i="32"/>
  <c r="AU292" i="32"/>
  <c r="AV292" i="32"/>
  <c r="AU293" i="32"/>
  <c r="AV293" i="32"/>
  <c r="AU294" i="32"/>
  <c r="AV294" i="32"/>
  <c r="AU295" i="32"/>
  <c r="AV295" i="32"/>
  <c r="AU296" i="32"/>
  <c r="AV296" i="32"/>
  <c r="AU297" i="32"/>
  <c r="AV297" i="32"/>
  <c r="AU298" i="32"/>
  <c r="AV298" i="32"/>
  <c r="AU299" i="32"/>
  <c r="AV299" i="32"/>
  <c r="AU300" i="32"/>
  <c r="AV300" i="32"/>
  <c r="AU301" i="32"/>
  <c r="AV301" i="32"/>
  <c r="AU302" i="32"/>
  <c r="AV302" i="32"/>
  <c r="AU303" i="32"/>
  <c r="AV303" i="32"/>
  <c r="AU304" i="32"/>
  <c r="AV304" i="32"/>
  <c r="AU305" i="32"/>
  <c r="AV305" i="32"/>
  <c r="AU306" i="32"/>
  <c r="AV306" i="32"/>
  <c r="AU307" i="32"/>
  <c r="AV307" i="32"/>
  <c r="AU308" i="32"/>
  <c r="AV308" i="32"/>
  <c r="AU309" i="32"/>
  <c r="AV309" i="32"/>
  <c r="AU310" i="32"/>
  <c r="AV310" i="32"/>
  <c r="AU311" i="32"/>
  <c r="AV311" i="32"/>
  <c r="AU312" i="32"/>
  <c r="AV312" i="32"/>
  <c r="AU313" i="32"/>
  <c r="AV313" i="32"/>
  <c r="AU314" i="32"/>
  <c r="AV314" i="32"/>
  <c r="AU315" i="32"/>
  <c r="AV315" i="32"/>
  <c r="AU316" i="32"/>
  <c r="AV316" i="32"/>
  <c r="AU317" i="32"/>
  <c r="AV317" i="32"/>
  <c r="AU318" i="32"/>
  <c r="AV318" i="32"/>
  <c r="AU319" i="32"/>
  <c r="AV319" i="32"/>
  <c r="AU320" i="32"/>
  <c r="AV320" i="32"/>
  <c r="AU321" i="32"/>
  <c r="AV321" i="32"/>
  <c r="AU322" i="32"/>
  <c r="AV322" i="32"/>
  <c r="AU323" i="32"/>
  <c r="AV323" i="32"/>
  <c r="AU324" i="32"/>
  <c r="AV324" i="32"/>
  <c r="AU325" i="32"/>
  <c r="AV325" i="32"/>
  <c r="AU326" i="32"/>
  <c r="AV326" i="32"/>
  <c r="AU327" i="32"/>
  <c r="AV327" i="32"/>
  <c r="AU328" i="32"/>
  <c r="AV328" i="32"/>
  <c r="AU329" i="32"/>
  <c r="AV329" i="32"/>
  <c r="AU330" i="32"/>
  <c r="AV330" i="32"/>
  <c r="AU331" i="32"/>
  <c r="AV331" i="32"/>
  <c r="AU332" i="32"/>
  <c r="AV332" i="32"/>
  <c r="AU333" i="32"/>
  <c r="AV333" i="32"/>
  <c r="AU334" i="32"/>
  <c r="AV334" i="32"/>
  <c r="AU335" i="32"/>
  <c r="AV335" i="32"/>
  <c r="AU336" i="32"/>
  <c r="AV336" i="32"/>
  <c r="AU337" i="32"/>
  <c r="AV337" i="32"/>
  <c r="AU338" i="32"/>
  <c r="AV338" i="32"/>
  <c r="AU339" i="32"/>
  <c r="AV339" i="32"/>
  <c r="AU340" i="32"/>
  <c r="AV340" i="32"/>
  <c r="AV4" i="32"/>
  <c r="AU4" i="32"/>
  <c r="L223" i="31"/>
  <c r="L222" i="31"/>
  <c r="L224" i="31"/>
  <c r="L225" i="31"/>
  <c r="L226" i="31"/>
  <c r="L227" i="31"/>
  <c r="L228" i="31"/>
  <c r="L229" i="31"/>
  <c r="L230" i="31"/>
  <c r="L231" i="31"/>
  <c r="L232" i="31"/>
  <c r="L233" i="31"/>
  <c r="L234" i="31"/>
  <c r="L235" i="31"/>
  <c r="L236" i="31"/>
  <c r="L237" i="31"/>
  <c r="L238" i="31"/>
  <c r="L239" i="31"/>
  <c r="L240" i="31"/>
  <c r="L241" i="31"/>
  <c r="L242" i="31"/>
  <c r="L243" i="31"/>
  <c r="L244" i="31"/>
  <c r="L245" i="31"/>
  <c r="L246" i="31"/>
  <c r="L247" i="31"/>
  <c r="L248" i="31"/>
  <c r="L249" i="31"/>
  <c r="L250" i="31"/>
  <c r="L251" i="31"/>
  <c r="L252" i="31"/>
  <c r="L253" i="31"/>
  <c r="L254" i="31"/>
  <c r="L255" i="31"/>
  <c r="L256" i="31"/>
  <c r="L257" i="31"/>
  <c r="L258" i="31"/>
  <c r="L259" i="31"/>
  <c r="L260" i="31"/>
  <c r="L261" i="31"/>
  <c r="L262" i="31"/>
  <c r="L263" i="31"/>
  <c r="L264" i="31"/>
  <c r="L265" i="31"/>
  <c r="L266" i="31"/>
  <c r="L267" i="31"/>
  <c r="L268" i="31"/>
  <c r="L269" i="31"/>
  <c r="L270" i="31"/>
  <c r="L271" i="31"/>
  <c r="L272" i="31"/>
  <c r="L273" i="31"/>
  <c r="L274" i="31"/>
  <c r="L275" i="31"/>
  <c r="L276" i="31"/>
  <c r="L277" i="31"/>
  <c r="L278" i="31"/>
  <c r="L279" i="31"/>
  <c r="L280" i="31"/>
  <c r="L281" i="31"/>
  <c r="L282" i="31"/>
  <c r="L283" i="31"/>
  <c r="L284" i="31"/>
  <c r="L285" i="31"/>
  <c r="L286" i="31"/>
  <c r="L287" i="31"/>
  <c r="L288" i="31"/>
  <c r="L289" i="31"/>
  <c r="L290" i="31"/>
  <c r="L291" i="31"/>
  <c r="L292" i="31"/>
  <c r="L293" i="31"/>
  <c r="L294" i="31"/>
  <c r="L295" i="31"/>
  <c r="L296" i="31"/>
  <c r="L297" i="31"/>
  <c r="L298" i="31"/>
  <c r="L299" i="31"/>
  <c r="L300" i="31"/>
  <c r="L301" i="31"/>
  <c r="L302" i="31"/>
  <c r="L303" i="31"/>
  <c r="L304" i="31"/>
  <c r="L305" i="31"/>
  <c r="L306" i="31"/>
  <c r="L307" i="31"/>
  <c r="L308" i="31"/>
  <c r="L310" i="31"/>
  <c r="L311" i="31"/>
  <c r="L312" i="31"/>
  <c r="L313" i="31"/>
  <c r="L314" i="31"/>
  <c r="L315" i="31"/>
  <c r="L316" i="31"/>
  <c r="L317" i="31"/>
  <c r="L318" i="31"/>
  <c r="L319" i="31"/>
  <c r="L320" i="31"/>
  <c r="L321" i="31"/>
  <c r="L322" i="31"/>
  <c r="L323" i="31"/>
  <c r="L324" i="31"/>
  <c r="L325" i="31"/>
  <c r="L326" i="31"/>
  <c r="L327" i="31"/>
  <c r="L328" i="31"/>
  <c r="L329" i="31"/>
  <c r="L330" i="31"/>
  <c r="L331" i="31"/>
  <c r="L332" i="31"/>
  <c r="L333" i="31"/>
  <c r="L334" i="31"/>
  <c r="L335" i="31"/>
  <c r="L336" i="31"/>
  <c r="L337" i="31"/>
  <c r="L338" i="31"/>
  <c r="L339" i="31"/>
  <c r="L340" i="31"/>
  <c r="L341" i="31"/>
  <c r="L342" i="31"/>
  <c r="L343" i="31"/>
  <c r="L344" i="31"/>
  <c r="L345" i="31"/>
  <c r="L346" i="31"/>
  <c r="L347" i="31"/>
  <c r="L348" i="31"/>
  <c r="L349" i="31"/>
  <c r="L350" i="31"/>
  <c r="L351" i="31"/>
  <c r="L352" i="31"/>
  <c r="L353" i="31"/>
  <c r="L354" i="31"/>
  <c r="I208" i="40" s="1"/>
  <c r="L355" i="31"/>
  <c r="L356" i="31"/>
  <c r="L357" i="31"/>
  <c r="L358" i="31"/>
  <c r="L359" i="31"/>
  <c r="L360" i="31"/>
  <c r="L361" i="31"/>
  <c r="L362" i="31"/>
  <c r="I216" i="40" s="1"/>
  <c r="L363" i="31"/>
  <c r="L364" i="31"/>
  <c r="L365" i="31"/>
  <c r="L366" i="31"/>
  <c r="L367" i="31"/>
  <c r="L368" i="31"/>
  <c r="L369" i="31"/>
  <c r="L370" i="31"/>
  <c r="L371" i="31"/>
  <c r="L372" i="31"/>
  <c r="L373" i="31"/>
  <c r="L374" i="31"/>
  <c r="L375" i="31"/>
  <c r="L376" i="31"/>
  <c r="L377" i="31"/>
  <c r="L378" i="31"/>
  <c r="L379" i="31"/>
  <c r="L380" i="31"/>
  <c r="L381" i="31"/>
  <c r="L382" i="31"/>
  <c r="L383" i="31"/>
  <c r="L384" i="31"/>
  <c r="L385" i="31"/>
  <c r="L386" i="31"/>
  <c r="I240" i="40" s="1"/>
  <c r="L387" i="31"/>
  <c r="L388" i="31"/>
  <c r="L389" i="31"/>
  <c r="L390" i="31"/>
  <c r="L391" i="31"/>
  <c r="L392" i="31"/>
  <c r="L393" i="31"/>
  <c r="L394" i="31"/>
  <c r="I248" i="40" s="1"/>
  <c r="L395" i="31"/>
  <c r="L396" i="31"/>
  <c r="L397" i="31"/>
  <c r="L398" i="31"/>
  <c r="L399" i="31"/>
  <c r="L400" i="31"/>
  <c r="L401" i="31"/>
  <c r="L402" i="31"/>
  <c r="L403" i="31"/>
  <c r="L404" i="31"/>
  <c r="L405" i="31"/>
  <c r="L406" i="31"/>
  <c r="L407" i="31"/>
  <c r="L408" i="31"/>
  <c r="L409" i="31"/>
  <c r="L410" i="31"/>
  <c r="L411" i="31"/>
  <c r="L412" i="31"/>
  <c r="L413" i="31"/>
  <c r="L414" i="31"/>
  <c r="L415" i="31"/>
  <c r="L416" i="31"/>
  <c r="L417" i="31"/>
  <c r="L418" i="31"/>
  <c r="L419" i="31"/>
  <c r="L420" i="31"/>
  <c r="L421" i="31"/>
  <c r="L422" i="31"/>
  <c r="L423" i="31"/>
  <c r="L424" i="31"/>
  <c r="L425" i="31"/>
  <c r="L426" i="31"/>
  <c r="L427" i="31"/>
  <c r="L428" i="31"/>
  <c r="L429" i="31"/>
  <c r="L430" i="31"/>
  <c r="L431" i="31"/>
  <c r="L432" i="31"/>
  <c r="L433" i="31"/>
  <c r="L434" i="31"/>
  <c r="L435" i="31"/>
  <c r="L436" i="31"/>
  <c r="L437" i="31"/>
  <c r="L438" i="31"/>
  <c r="L439" i="31"/>
  <c r="L440" i="31"/>
  <c r="L441" i="31"/>
  <c r="L662" i="31"/>
  <c r="L663" i="31"/>
  <c r="L664" i="31"/>
  <c r="L665" i="31"/>
  <c r="L666" i="31"/>
  <c r="L667" i="31"/>
  <c r="L668" i="31"/>
  <c r="L669" i="31"/>
  <c r="L670" i="31"/>
  <c r="L671" i="31"/>
  <c r="L672" i="31"/>
  <c r="L673" i="31"/>
  <c r="L674" i="31"/>
  <c r="L675" i="31"/>
  <c r="L676" i="31"/>
  <c r="L677" i="31"/>
  <c r="L678" i="31"/>
  <c r="L679" i="31"/>
  <c r="L680" i="31"/>
  <c r="L681" i="31"/>
  <c r="L682" i="31"/>
  <c r="L683" i="31"/>
  <c r="L684" i="31"/>
  <c r="L685" i="31"/>
  <c r="L686" i="31"/>
  <c r="L687" i="31"/>
  <c r="L688" i="31"/>
  <c r="L689" i="31"/>
  <c r="L690" i="31"/>
  <c r="L691" i="31"/>
  <c r="I325" i="40" s="1"/>
  <c r="L692" i="31"/>
  <c r="L693" i="31"/>
  <c r="L694" i="31"/>
  <c r="L695" i="31"/>
  <c r="L696" i="31"/>
  <c r="L697" i="31"/>
  <c r="L698" i="31"/>
  <c r="L699" i="31"/>
  <c r="I333" i="40" s="1"/>
  <c r="L700" i="31"/>
  <c r="L701" i="31"/>
  <c r="L702" i="31"/>
  <c r="L703" i="31"/>
  <c r="L704" i="31"/>
  <c r="L705" i="31"/>
  <c r="L706" i="31"/>
  <c r="L707" i="31"/>
  <c r="I341" i="40" s="1"/>
  <c r="L708" i="31"/>
  <c r="L709" i="31"/>
  <c r="L710" i="31"/>
  <c r="L711" i="31"/>
  <c r="L712" i="31"/>
  <c r="L714" i="31"/>
  <c r="L715" i="31"/>
  <c r="I349" i="40" s="1"/>
  <c r="L716" i="31"/>
  <c r="L717" i="31"/>
  <c r="L718" i="31"/>
  <c r="L719" i="31"/>
  <c r="L720" i="31"/>
  <c r="L721" i="31"/>
  <c r="L722" i="31"/>
  <c r="L723" i="31"/>
  <c r="I357" i="40" s="1"/>
  <c r="L724" i="31"/>
  <c r="L725" i="31"/>
  <c r="L726" i="31"/>
  <c r="L727" i="31"/>
  <c r="L728" i="31"/>
  <c r="L729" i="31"/>
  <c r="L730" i="31"/>
  <c r="L731" i="31"/>
  <c r="I365" i="40" s="1"/>
  <c r="L732" i="31"/>
  <c r="L733" i="31"/>
  <c r="L734" i="31"/>
  <c r="L735" i="31"/>
  <c r="L736" i="31"/>
  <c r="L737" i="31"/>
  <c r="L738" i="31"/>
  <c r="L739" i="31"/>
  <c r="I373" i="40" s="1"/>
  <c r="L740" i="31"/>
  <c r="L741" i="31"/>
  <c r="L742" i="31"/>
  <c r="L743" i="31"/>
  <c r="L744" i="31"/>
  <c r="L745" i="31"/>
  <c r="L746" i="31"/>
  <c r="L747" i="31"/>
  <c r="I381" i="40" s="1"/>
  <c r="L748" i="31"/>
  <c r="L749" i="31"/>
  <c r="L751" i="31"/>
  <c r="L752" i="31"/>
  <c r="L753" i="31"/>
  <c r="L754" i="31"/>
  <c r="L755" i="31"/>
  <c r="L756" i="31"/>
  <c r="L757" i="31"/>
  <c r="L758" i="31"/>
  <c r="L759" i="31"/>
  <c r="L760" i="31"/>
  <c r="L761" i="31"/>
  <c r="L762" i="31"/>
  <c r="L763" i="31"/>
  <c r="L764" i="31"/>
  <c r="L765" i="31"/>
  <c r="L766" i="31"/>
  <c r="L767" i="31"/>
  <c r="L768" i="31"/>
  <c r="L769" i="31"/>
  <c r="L770" i="31"/>
  <c r="L771" i="31"/>
  <c r="L772" i="31"/>
  <c r="L773" i="31"/>
  <c r="L774" i="31"/>
  <c r="L775" i="31"/>
  <c r="L776" i="31"/>
  <c r="L777" i="31"/>
  <c r="L778" i="31"/>
  <c r="L779" i="31"/>
  <c r="L780" i="31"/>
  <c r="L781" i="31"/>
  <c r="L782" i="31"/>
  <c r="L783" i="31"/>
  <c r="L784" i="31"/>
  <c r="L785" i="31"/>
  <c r="L786" i="31"/>
  <c r="L787" i="31"/>
  <c r="L788" i="31"/>
  <c r="L789" i="31"/>
  <c r="L790" i="31"/>
  <c r="L791" i="31"/>
  <c r="L792" i="31"/>
  <c r="L793" i="31"/>
  <c r="L794" i="31"/>
  <c r="L795" i="31"/>
  <c r="L796" i="31"/>
  <c r="L797" i="31"/>
  <c r="L798" i="31"/>
  <c r="L799" i="31"/>
  <c r="L800" i="31"/>
  <c r="L801" i="31"/>
  <c r="L802" i="31"/>
  <c r="L803" i="31"/>
  <c r="L804" i="31"/>
  <c r="L805" i="31"/>
  <c r="L806" i="31"/>
  <c r="L807" i="31"/>
  <c r="L808" i="31"/>
  <c r="L809" i="31"/>
  <c r="L810" i="31"/>
  <c r="L811" i="31"/>
  <c r="L812" i="31"/>
  <c r="L813" i="31"/>
  <c r="L814" i="31"/>
  <c r="L815" i="31"/>
  <c r="L816" i="31"/>
  <c r="L817" i="31"/>
  <c r="L818" i="31"/>
  <c r="L819" i="31"/>
  <c r="L820" i="31"/>
  <c r="L821" i="31"/>
  <c r="L822" i="31"/>
  <c r="L823" i="31"/>
  <c r="L824" i="31"/>
  <c r="L825" i="31"/>
  <c r="L826" i="31"/>
  <c r="L827" i="31"/>
  <c r="L828" i="31"/>
  <c r="L829" i="31"/>
  <c r="L830" i="31"/>
  <c r="L831" i="31"/>
  <c r="L832" i="31"/>
  <c r="L833" i="31"/>
  <c r="L834" i="31"/>
  <c r="L835" i="31"/>
  <c r="L836" i="31"/>
  <c r="L837" i="31"/>
  <c r="L839" i="31"/>
  <c r="L840" i="31"/>
  <c r="L841" i="31"/>
  <c r="I475" i="40" s="1"/>
  <c r="L842" i="31"/>
  <c r="L843" i="31"/>
  <c r="L844" i="31"/>
  <c r="L845" i="31"/>
  <c r="L846" i="31"/>
  <c r="L847" i="31"/>
  <c r="L848" i="31"/>
  <c r="L849" i="31"/>
  <c r="I483" i="40" s="1"/>
  <c r="L850" i="31"/>
  <c r="L851" i="31"/>
  <c r="L852" i="31"/>
  <c r="L853" i="31"/>
  <c r="L854" i="31"/>
  <c r="L855" i="31"/>
  <c r="L856" i="31"/>
  <c r="L857" i="31"/>
  <c r="I491" i="40" s="1"/>
  <c r="L858" i="31"/>
  <c r="L859" i="31"/>
  <c r="L860" i="31"/>
  <c r="L861" i="31"/>
  <c r="L862" i="31"/>
  <c r="L863" i="31"/>
  <c r="L864" i="31"/>
  <c r="L865" i="31"/>
  <c r="I499" i="40" s="1"/>
  <c r="L866" i="31"/>
  <c r="L867" i="31"/>
  <c r="L868" i="31"/>
  <c r="L869" i="31"/>
  <c r="L870" i="31"/>
  <c r="L871" i="31"/>
  <c r="L872" i="31"/>
  <c r="L873" i="31"/>
  <c r="I507" i="40" s="1"/>
  <c r="L874" i="31"/>
  <c r="L875" i="31"/>
  <c r="L876" i="31"/>
  <c r="L877" i="31"/>
  <c r="L878" i="31"/>
  <c r="L879" i="31"/>
  <c r="L880" i="31"/>
  <c r="L881" i="31"/>
  <c r="I515" i="40" s="1"/>
  <c r="AP5" i="32"/>
  <c r="AP6" i="32"/>
  <c r="AP7" i="32"/>
  <c r="AO8" i="32"/>
  <c r="AP8" i="32"/>
  <c r="AO9" i="32"/>
  <c r="AP9" i="32"/>
  <c r="AO10" i="32"/>
  <c r="AP10" i="32"/>
  <c r="AO11" i="32"/>
  <c r="AP11" i="32"/>
  <c r="AO12" i="32"/>
  <c r="AP12" i="32"/>
  <c r="AO13" i="32"/>
  <c r="AP13" i="32"/>
  <c r="AO14" i="32"/>
  <c r="AP14" i="32"/>
  <c r="AO15" i="32"/>
  <c r="AP15" i="32"/>
  <c r="AO16" i="32"/>
  <c r="AP16" i="32"/>
  <c r="AO17" i="32"/>
  <c r="AP17" i="32"/>
  <c r="AO18" i="32"/>
  <c r="AP18" i="32"/>
  <c r="AO19" i="32"/>
  <c r="AP19" i="32"/>
  <c r="AO20" i="32"/>
  <c r="AP20" i="32"/>
  <c r="AO21" i="32"/>
  <c r="AP21" i="32"/>
  <c r="AO22" i="32"/>
  <c r="AP22" i="32"/>
  <c r="AO23" i="32"/>
  <c r="AP23" i="32"/>
  <c r="AO24" i="32"/>
  <c r="AP24" i="32"/>
  <c r="AO25" i="32"/>
  <c r="AP25" i="32"/>
  <c r="AO26" i="32"/>
  <c r="AP26" i="32"/>
  <c r="AO27" i="32"/>
  <c r="AP27" i="32"/>
  <c r="AO28" i="32"/>
  <c r="AP28" i="32"/>
  <c r="AO29" i="32"/>
  <c r="AP29" i="32"/>
  <c r="AO30" i="32"/>
  <c r="AP30" i="32"/>
  <c r="AO31" i="32"/>
  <c r="AP31" i="32"/>
  <c r="AO32" i="32"/>
  <c r="AP32" i="32"/>
  <c r="AO33" i="32"/>
  <c r="AP33" i="32"/>
  <c r="AO34" i="32"/>
  <c r="AP34" i="32"/>
  <c r="AO35" i="32"/>
  <c r="AP35" i="32"/>
  <c r="AO36" i="32"/>
  <c r="AP36" i="32"/>
  <c r="AO37" i="32"/>
  <c r="AP37" i="32"/>
  <c r="AO38" i="32"/>
  <c r="AP38" i="32"/>
  <c r="AO39" i="32"/>
  <c r="AP39" i="32"/>
  <c r="AO40" i="32"/>
  <c r="AP40" i="32"/>
  <c r="AO41" i="32"/>
  <c r="AP41" i="32"/>
  <c r="AO42" i="32"/>
  <c r="AP42" i="32"/>
  <c r="AO43" i="32"/>
  <c r="AP43" i="32"/>
  <c r="AO44" i="32"/>
  <c r="AP44" i="32"/>
  <c r="AO45" i="32"/>
  <c r="AP45" i="32"/>
  <c r="AO46" i="32"/>
  <c r="AP46" i="32"/>
  <c r="AO47" i="32"/>
  <c r="AP47" i="32"/>
  <c r="AO48" i="32"/>
  <c r="AP48" i="32"/>
  <c r="AO49" i="32"/>
  <c r="AP49" i="32"/>
  <c r="AO50" i="32"/>
  <c r="AP50" i="32"/>
  <c r="AO51" i="32"/>
  <c r="AP51" i="32"/>
  <c r="AO52" i="32"/>
  <c r="AP52" i="32"/>
  <c r="AO53" i="32"/>
  <c r="AP53" i="32"/>
  <c r="AO54" i="32"/>
  <c r="AP54" i="32"/>
  <c r="AO55" i="32"/>
  <c r="AP55" i="32"/>
  <c r="AO56" i="32"/>
  <c r="AP56" i="32"/>
  <c r="AO57" i="32"/>
  <c r="AP57" i="32"/>
  <c r="AO58" i="32"/>
  <c r="AP58" i="32"/>
  <c r="AO59" i="32"/>
  <c r="AP59" i="32"/>
  <c r="AO60" i="32"/>
  <c r="AP60" i="32"/>
  <c r="AO61" i="32"/>
  <c r="AP61" i="32"/>
  <c r="AO62" i="32"/>
  <c r="AP62" i="32"/>
  <c r="AO63" i="32"/>
  <c r="AP63" i="32"/>
  <c r="AO64" i="32"/>
  <c r="AP64" i="32"/>
  <c r="AO65" i="32"/>
  <c r="AP65" i="32"/>
  <c r="AO66" i="32"/>
  <c r="AP66" i="32"/>
  <c r="AO67" i="32"/>
  <c r="AP67" i="32"/>
  <c r="AO68" i="32"/>
  <c r="AP68" i="32"/>
  <c r="AO69" i="32"/>
  <c r="AP69" i="32"/>
  <c r="AO70" i="32"/>
  <c r="AP70" i="32"/>
  <c r="AO71" i="32"/>
  <c r="AP71" i="32"/>
  <c r="AO72" i="32"/>
  <c r="AP72" i="32"/>
  <c r="AO73" i="32"/>
  <c r="AP73" i="32"/>
  <c r="AO74" i="32"/>
  <c r="AP74" i="32"/>
  <c r="AO75" i="32"/>
  <c r="AP75" i="32"/>
  <c r="AO76" i="32"/>
  <c r="AP76" i="32"/>
  <c r="AO77" i="32"/>
  <c r="AP77" i="32"/>
  <c r="AO78" i="32"/>
  <c r="AP78" i="32"/>
  <c r="AO79" i="32"/>
  <c r="AP79" i="32"/>
  <c r="AO80" i="32"/>
  <c r="AP80" i="32"/>
  <c r="AO81" i="32"/>
  <c r="AP81" i="32"/>
  <c r="AO82" i="32"/>
  <c r="AP82" i="32"/>
  <c r="AO83" i="32"/>
  <c r="AP83" i="32"/>
  <c r="AO84" i="32"/>
  <c r="AP84" i="32"/>
  <c r="AO85" i="32"/>
  <c r="AP85" i="32"/>
  <c r="AO86" i="32"/>
  <c r="AP86" i="32"/>
  <c r="AO87" i="32"/>
  <c r="AP87" i="32"/>
  <c r="AO88" i="32"/>
  <c r="AP88" i="32"/>
  <c r="AO89" i="32"/>
  <c r="AP89" i="32"/>
  <c r="AO90" i="32"/>
  <c r="AP90" i="32"/>
  <c r="AO91" i="32"/>
  <c r="AP91" i="32"/>
  <c r="AO92" i="32"/>
  <c r="AP92" i="32"/>
  <c r="AO93" i="32"/>
  <c r="AP93" i="32"/>
  <c r="AO94" i="32"/>
  <c r="AP94" i="32"/>
  <c r="AO95" i="32"/>
  <c r="AP95" i="32"/>
  <c r="AO96" i="32"/>
  <c r="AP96" i="32"/>
  <c r="AO97" i="32"/>
  <c r="AP97" i="32"/>
  <c r="AO98" i="32"/>
  <c r="AP98" i="32"/>
  <c r="AO99" i="32"/>
  <c r="AP99" i="32"/>
  <c r="AO100" i="32"/>
  <c r="AP100" i="32"/>
  <c r="AO101" i="32"/>
  <c r="AP101" i="32"/>
  <c r="AO102" i="32"/>
  <c r="AP102" i="32"/>
  <c r="AO103" i="32"/>
  <c r="AP103" i="32"/>
  <c r="AO104" i="32"/>
  <c r="AP104" i="32"/>
  <c r="AO105" i="32"/>
  <c r="AP105" i="32"/>
  <c r="AO106" i="32"/>
  <c r="AP106" i="32"/>
  <c r="AO107" i="32"/>
  <c r="AP107" i="32"/>
  <c r="AO108" i="32"/>
  <c r="AP108" i="32"/>
  <c r="AO109" i="32"/>
  <c r="AP109" i="32"/>
  <c r="AO110" i="32"/>
  <c r="AP110" i="32"/>
  <c r="AO111" i="32"/>
  <c r="AP111" i="32"/>
  <c r="AO112" i="32"/>
  <c r="AP112" i="32"/>
  <c r="AO113" i="32"/>
  <c r="AP113" i="32"/>
  <c r="AO114" i="32"/>
  <c r="AP114" i="32"/>
  <c r="AO115" i="32"/>
  <c r="AP115" i="32"/>
  <c r="AO116" i="32"/>
  <c r="AP116" i="32"/>
  <c r="AO117" i="32"/>
  <c r="AP117" i="32"/>
  <c r="AO118" i="32"/>
  <c r="AP118" i="32"/>
  <c r="AO119" i="32"/>
  <c r="AP119" i="32"/>
  <c r="AO120" i="32"/>
  <c r="AP120" i="32"/>
  <c r="AO121" i="32"/>
  <c r="AP121" i="32"/>
  <c r="AO122" i="32"/>
  <c r="AP122" i="32"/>
  <c r="AO123" i="32"/>
  <c r="AP123" i="32"/>
  <c r="AO124" i="32"/>
  <c r="AP124" i="32"/>
  <c r="AO125" i="32"/>
  <c r="AP125" i="32"/>
  <c r="AO126" i="32"/>
  <c r="AP126" i="32"/>
  <c r="AO127" i="32"/>
  <c r="AP127" i="32"/>
  <c r="AO128" i="32"/>
  <c r="AP128" i="32"/>
  <c r="AO129" i="32"/>
  <c r="AP129" i="32"/>
  <c r="AO130" i="32"/>
  <c r="AP130" i="32"/>
  <c r="AO131" i="32"/>
  <c r="AP131" i="32"/>
  <c r="AO132" i="32"/>
  <c r="AP132" i="32"/>
  <c r="AO133" i="32"/>
  <c r="AP133" i="32"/>
  <c r="AO134" i="32"/>
  <c r="AP134" i="32"/>
  <c r="AO135" i="32"/>
  <c r="AP135" i="32"/>
  <c r="AO136" i="32"/>
  <c r="AP136" i="32"/>
  <c r="AO137" i="32"/>
  <c r="AP137" i="32"/>
  <c r="AO138" i="32"/>
  <c r="AP138" i="32"/>
  <c r="AO139" i="32"/>
  <c r="AP139" i="32"/>
  <c r="AO140" i="32"/>
  <c r="AP140" i="32"/>
  <c r="AO141" i="32"/>
  <c r="AP141" i="32"/>
  <c r="AO142" i="32"/>
  <c r="AP142" i="32"/>
  <c r="AO143" i="32"/>
  <c r="AP143" i="32"/>
  <c r="AO144" i="32"/>
  <c r="AP144" i="32"/>
  <c r="AO145" i="32"/>
  <c r="AP145" i="32"/>
  <c r="AO146" i="32"/>
  <c r="AP146" i="32"/>
  <c r="AO147" i="32"/>
  <c r="AP147" i="32"/>
  <c r="AO148" i="32"/>
  <c r="AP148" i="32"/>
  <c r="AO149" i="32"/>
  <c r="AP149" i="32"/>
  <c r="AO150" i="32"/>
  <c r="AP150" i="32"/>
  <c r="AO151" i="32"/>
  <c r="AP151" i="32"/>
  <c r="AO152" i="32"/>
  <c r="AP152" i="32"/>
  <c r="AO153" i="32"/>
  <c r="AP153" i="32"/>
  <c r="AO154" i="32"/>
  <c r="AP154" i="32"/>
  <c r="AO155" i="32"/>
  <c r="AP155" i="32"/>
  <c r="AO156" i="32"/>
  <c r="AP156" i="32"/>
  <c r="AO157" i="32"/>
  <c r="AP157" i="32"/>
  <c r="AO158" i="32"/>
  <c r="AP158" i="32"/>
  <c r="AO159" i="32"/>
  <c r="AP159" i="32"/>
  <c r="AO160" i="32"/>
  <c r="AP160" i="32"/>
  <c r="AO161" i="32"/>
  <c r="AP161" i="32"/>
  <c r="AO162" i="32"/>
  <c r="AP162" i="32"/>
  <c r="AO163" i="32"/>
  <c r="AP163" i="32"/>
  <c r="AO164" i="32"/>
  <c r="AP164" i="32"/>
  <c r="AO165" i="32"/>
  <c r="AP165" i="32"/>
  <c r="AO166" i="32"/>
  <c r="AP166" i="32"/>
  <c r="AO167" i="32"/>
  <c r="AP167" i="32"/>
  <c r="AO168" i="32"/>
  <c r="AP168" i="32"/>
  <c r="AO169" i="32"/>
  <c r="AP169" i="32"/>
  <c r="AO170" i="32"/>
  <c r="AP170" i="32"/>
  <c r="AO171" i="32"/>
  <c r="AP171" i="32"/>
  <c r="AO172" i="32"/>
  <c r="AP172" i="32"/>
  <c r="AO173" i="32"/>
  <c r="AP173" i="32"/>
  <c r="AO174" i="32"/>
  <c r="AP174" i="32"/>
  <c r="AO175" i="32"/>
  <c r="AP175" i="32"/>
  <c r="AO176" i="32"/>
  <c r="AP176" i="32"/>
  <c r="AO177" i="32"/>
  <c r="AP177" i="32"/>
  <c r="AO178" i="32"/>
  <c r="AP178" i="32"/>
  <c r="AO179" i="32"/>
  <c r="AP179" i="32"/>
  <c r="AO180" i="32"/>
  <c r="AP180" i="32"/>
  <c r="AO181" i="32"/>
  <c r="AP181" i="32"/>
  <c r="AO182" i="32"/>
  <c r="AP182" i="32"/>
  <c r="AO183" i="32"/>
  <c r="AP183" i="32"/>
  <c r="AO184" i="32"/>
  <c r="AP184" i="32"/>
  <c r="AO185" i="32"/>
  <c r="AP185" i="32"/>
  <c r="AO186" i="32"/>
  <c r="AP186" i="32"/>
  <c r="AO187" i="32"/>
  <c r="AP187" i="32"/>
  <c r="AO188" i="32"/>
  <c r="AP188" i="32"/>
  <c r="AO189" i="32"/>
  <c r="AP189" i="32"/>
  <c r="AO190" i="32"/>
  <c r="AP190" i="32"/>
  <c r="AO191" i="32"/>
  <c r="AP191" i="32"/>
  <c r="AO192" i="32"/>
  <c r="AP192" i="32"/>
  <c r="AO193" i="32"/>
  <c r="AP193" i="32"/>
  <c r="AO194" i="32"/>
  <c r="AP194" i="32"/>
  <c r="AO195" i="32"/>
  <c r="AP195" i="32"/>
  <c r="AO196" i="32"/>
  <c r="AP196" i="32"/>
  <c r="AO197" i="32"/>
  <c r="AP197" i="32"/>
  <c r="AO198" i="32"/>
  <c r="AP198" i="32"/>
  <c r="AO199" i="32"/>
  <c r="AP199" i="32"/>
  <c r="AO200" i="32"/>
  <c r="AP200" i="32"/>
  <c r="AO201" i="32"/>
  <c r="AP201" i="32"/>
  <c r="AO202" i="32"/>
  <c r="AP202" i="32"/>
  <c r="AO203" i="32"/>
  <c r="AP203" i="32"/>
  <c r="AO204" i="32"/>
  <c r="AP204" i="32"/>
  <c r="AO205" i="32"/>
  <c r="AP205" i="32"/>
  <c r="AO206" i="32"/>
  <c r="AP206" i="32"/>
  <c r="AO207" i="32"/>
  <c r="AP207" i="32"/>
  <c r="AO208" i="32"/>
  <c r="AP208" i="32"/>
  <c r="AO209" i="32"/>
  <c r="AP209" i="32"/>
  <c r="AO210" i="32"/>
  <c r="AP210" i="32"/>
  <c r="AO211" i="32"/>
  <c r="AP211" i="32"/>
  <c r="AO212" i="32"/>
  <c r="AP212" i="32"/>
  <c r="AO213" i="32"/>
  <c r="AP213" i="32"/>
  <c r="AO214" i="32"/>
  <c r="AP214" i="32"/>
  <c r="AO215" i="32"/>
  <c r="AP215" i="32"/>
  <c r="AO216" i="32"/>
  <c r="AP216" i="32"/>
  <c r="AO217" i="32"/>
  <c r="AP217" i="32"/>
  <c r="AO218" i="32"/>
  <c r="AP218" i="32"/>
  <c r="AO219" i="32"/>
  <c r="AP219" i="32"/>
  <c r="AO220" i="32"/>
  <c r="AP220" i="32"/>
  <c r="AO221" i="32"/>
  <c r="AP221" i="32"/>
  <c r="AO222" i="32"/>
  <c r="AP222" i="32"/>
  <c r="AO223" i="32"/>
  <c r="AP223" i="32"/>
  <c r="AO224" i="32"/>
  <c r="AO225" i="32"/>
  <c r="AP225" i="32"/>
  <c r="AO226" i="32"/>
  <c r="AP226" i="32"/>
  <c r="AO227" i="32"/>
  <c r="AP227" i="32"/>
  <c r="AO228" i="32"/>
  <c r="AP228" i="32"/>
  <c r="AO229" i="32"/>
  <c r="AP229" i="32"/>
  <c r="AO230" i="32"/>
  <c r="AP230" i="32"/>
  <c r="AO231" i="32"/>
  <c r="AP231" i="32"/>
  <c r="AO232" i="32"/>
  <c r="AP232" i="32"/>
  <c r="AO233" i="32"/>
  <c r="AP233" i="32"/>
  <c r="AO234" i="32"/>
  <c r="AP234" i="32"/>
  <c r="AO235" i="32"/>
  <c r="AP235" i="32"/>
  <c r="AO236" i="32"/>
  <c r="AP236" i="32"/>
  <c r="AO237" i="32"/>
  <c r="AP237" i="32"/>
  <c r="AO238" i="32"/>
  <c r="AP238" i="32"/>
  <c r="AO239" i="32"/>
  <c r="AP239" i="32"/>
  <c r="AO240" i="32"/>
  <c r="AP240" i="32"/>
  <c r="AO241" i="32"/>
  <c r="AP241" i="32"/>
  <c r="AO242" i="32"/>
  <c r="AP242" i="32"/>
  <c r="AO243" i="32"/>
  <c r="AP243" i="32"/>
  <c r="AO244" i="32"/>
  <c r="AP244" i="32"/>
  <c r="AO245" i="32"/>
  <c r="AP245" i="32"/>
  <c r="AO246" i="32"/>
  <c r="AP246" i="32"/>
  <c r="AO247" i="32"/>
  <c r="AP247" i="32"/>
  <c r="AO248" i="32"/>
  <c r="AP248" i="32"/>
  <c r="AO249" i="32"/>
  <c r="AP249" i="32"/>
  <c r="AO250" i="32"/>
  <c r="AP250" i="32"/>
  <c r="AO251" i="32"/>
  <c r="AP251" i="32"/>
  <c r="AO252" i="32"/>
  <c r="AP252" i="32"/>
  <c r="AO253" i="32"/>
  <c r="AP253" i="32"/>
  <c r="AO254" i="32"/>
  <c r="AP254" i="32"/>
  <c r="AO255" i="32"/>
  <c r="AP255" i="32"/>
  <c r="AO256" i="32"/>
  <c r="AP256" i="32"/>
  <c r="AO257" i="32"/>
  <c r="AP257" i="32"/>
  <c r="AO258" i="32"/>
  <c r="AP258" i="32"/>
  <c r="AO259" i="32"/>
  <c r="AP259" i="32"/>
  <c r="AO260" i="32"/>
  <c r="AP260" i="32"/>
  <c r="AO261" i="32"/>
  <c r="AP261" i="32"/>
  <c r="AO262" i="32"/>
  <c r="AP262" i="32"/>
  <c r="AO263" i="32"/>
  <c r="AP263" i="32"/>
  <c r="AO264" i="32"/>
  <c r="AP264" i="32"/>
  <c r="AO265" i="32"/>
  <c r="AP265" i="32"/>
  <c r="AO266" i="32"/>
  <c r="AP266" i="32"/>
  <c r="AO267" i="32"/>
  <c r="AP267" i="32"/>
  <c r="AO268" i="32"/>
  <c r="AP268" i="32"/>
  <c r="AO269" i="32"/>
  <c r="AP269" i="32"/>
  <c r="AO270" i="32"/>
  <c r="AP270" i="32"/>
  <c r="AO271" i="32"/>
  <c r="AP271" i="32"/>
  <c r="AO272" i="32"/>
  <c r="AP272" i="32"/>
  <c r="AO273" i="32"/>
  <c r="AP273" i="32"/>
  <c r="AO274" i="32"/>
  <c r="AP274" i="32"/>
  <c r="AO275" i="32"/>
  <c r="AP275" i="32"/>
  <c r="AO276" i="32"/>
  <c r="AP276" i="32"/>
  <c r="AO277" i="32"/>
  <c r="AP277" i="32"/>
  <c r="AO278" i="32"/>
  <c r="AP278" i="32"/>
  <c r="AO279" i="32"/>
  <c r="AP279" i="32"/>
  <c r="AO280" i="32"/>
  <c r="AP280" i="32"/>
  <c r="AO281" i="32"/>
  <c r="AP281" i="32"/>
  <c r="AO282" i="32"/>
  <c r="AP282" i="32"/>
  <c r="AO283" i="32"/>
  <c r="AP283" i="32"/>
  <c r="AO284" i="32"/>
  <c r="AP284" i="32"/>
  <c r="AO285" i="32"/>
  <c r="AP285" i="32"/>
  <c r="AO286" i="32"/>
  <c r="AP286" i="32"/>
  <c r="AO287" i="32"/>
  <c r="AP287" i="32"/>
  <c r="AO288" i="32"/>
  <c r="AP288" i="32"/>
  <c r="AO289" i="32"/>
  <c r="AP289" i="32"/>
  <c r="AO290" i="32"/>
  <c r="AP290" i="32"/>
  <c r="AO291" i="32"/>
  <c r="AP291" i="32"/>
  <c r="AO292" i="32"/>
  <c r="AP292" i="32"/>
  <c r="AO293" i="32"/>
  <c r="AP293" i="32"/>
  <c r="AO294" i="32"/>
  <c r="AP294" i="32"/>
  <c r="AO295" i="32"/>
  <c r="AP295" i="32"/>
  <c r="AO296" i="32"/>
  <c r="AP296" i="32"/>
  <c r="AO297" i="32"/>
  <c r="AP297" i="32"/>
  <c r="AO298" i="32"/>
  <c r="AP298" i="32"/>
  <c r="AO299" i="32"/>
  <c r="AP299" i="32"/>
  <c r="AO300" i="32"/>
  <c r="AP300" i="32"/>
  <c r="AO301" i="32"/>
  <c r="AP301" i="32"/>
  <c r="AO302" i="32"/>
  <c r="AP302" i="32"/>
  <c r="AO303" i="32"/>
  <c r="AP303" i="32"/>
  <c r="AO304" i="32"/>
  <c r="AP304" i="32"/>
  <c r="AO305" i="32"/>
  <c r="AP305" i="32"/>
  <c r="AO306" i="32"/>
  <c r="AP306" i="32"/>
  <c r="AO307" i="32"/>
  <c r="AP307" i="32"/>
  <c r="AO308" i="32"/>
  <c r="AP308" i="32"/>
  <c r="AO309" i="32"/>
  <c r="AP309" i="32"/>
  <c r="AO310" i="32"/>
  <c r="AP310" i="32"/>
  <c r="AO311" i="32"/>
  <c r="AP311" i="32"/>
  <c r="AO312" i="32"/>
  <c r="AP312" i="32"/>
  <c r="AO313" i="32"/>
  <c r="AP313" i="32"/>
  <c r="AO314" i="32"/>
  <c r="AP314" i="32"/>
  <c r="AO315" i="32"/>
  <c r="AP315" i="32"/>
  <c r="AO316" i="32"/>
  <c r="AP316" i="32"/>
  <c r="AO317" i="32"/>
  <c r="AP317" i="32"/>
  <c r="AO318" i="32"/>
  <c r="AP318" i="32"/>
  <c r="AO319" i="32"/>
  <c r="AP319" i="32"/>
  <c r="AO320" i="32"/>
  <c r="AP320" i="32"/>
  <c r="AO321" i="32"/>
  <c r="AP321" i="32"/>
  <c r="AO322" i="32"/>
  <c r="AP322" i="32"/>
  <c r="AO323" i="32"/>
  <c r="AP323" i="32"/>
  <c r="AO324" i="32"/>
  <c r="AP324" i="32"/>
  <c r="AO325" i="32"/>
  <c r="AP325" i="32"/>
  <c r="AO326" i="32"/>
  <c r="AP326" i="32"/>
  <c r="AO327" i="32"/>
  <c r="AP327" i="32"/>
  <c r="AO328" i="32"/>
  <c r="AP328" i="32"/>
  <c r="AO329" i="32"/>
  <c r="AP329" i="32"/>
  <c r="AO330" i="32"/>
  <c r="AP330" i="32"/>
  <c r="AO331" i="32"/>
  <c r="AP331" i="32"/>
  <c r="AO332" i="32"/>
  <c r="AP332" i="32"/>
  <c r="AO333" i="32"/>
  <c r="AP333" i="32"/>
  <c r="AO334" i="32"/>
  <c r="AP334" i="32"/>
  <c r="AO335" i="32"/>
  <c r="AP335" i="32"/>
  <c r="AO336" i="32"/>
  <c r="AP336" i="32"/>
  <c r="AO337" i="32"/>
  <c r="AP337" i="32"/>
  <c r="AO338" i="32"/>
  <c r="AP338" i="32"/>
  <c r="AO339" i="32"/>
  <c r="AP339" i="32"/>
  <c r="AO340" i="32"/>
  <c r="AP340" i="32"/>
  <c r="AO341" i="32"/>
  <c r="AP341" i="32"/>
  <c r="AO342" i="32"/>
  <c r="AP342" i="32"/>
  <c r="AO343" i="32"/>
  <c r="AP343" i="32"/>
  <c r="AO344" i="32"/>
  <c r="AP344" i="32"/>
  <c r="AO345" i="32"/>
  <c r="AP345" i="32"/>
  <c r="AO346" i="32"/>
  <c r="AP346" i="32"/>
  <c r="AO347" i="32"/>
  <c r="AP347" i="32"/>
  <c r="AO348" i="32"/>
  <c r="AP348" i="32"/>
  <c r="AO349" i="32"/>
  <c r="AP349" i="32"/>
  <c r="AO350" i="32"/>
  <c r="AP350" i="32"/>
  <c r="AO351" i="32"/>
  <c r="AP351" i="32"/>
  <c r="AO352" i="32"/>
  <c r="AP352" i="32"/>
  <c r="AO353" i="32"/>
  <c r="AP353" i="32"/>
  <c r="AO354" i="32"/>
  <c r="AP354" i="32"/>
  <c r="AO355" i="32"/>
  <c r="AP355" i="32"/>
  <c r="AO356" i="32"/>
  <c r="AP356" i="32"/>
  <c r="AO357" i="32"/>
  <c r="AP357" i="32"/>
  <c r="AO358" i="32"/>
  <c r="AP358" i="32"/>
  <c r="AO359" i="32"/>
  <c r="AP359" i="32"/>
  <c r="AO360" i="32"/>
  <c r="AP360" i="32"/>
  <c r="AO361" i="32"/>
  <c r="AP361" i="32"/>
  <c r="AO362" i="32"/>
  <c r="AP362" i="32"/>
  <c r="AO363" i="32"/>
  <c r="AP363" i="32"/>
  <c r="AO364" i="32"/>
  <c r="AP364" i="32"/>
  <c r="AO365" i="32"/>
  <c r="AP365" i="32"/>
  <c r="AO366" i="32"/>
  <c r="AP366" i="32"/>
  <c r="AO367" i="32"/>
  <c r="AP367" i="32"/>
  <c r="AO368" i="32"/>
  <c r="AP368" i="32"/>
  <c r="AO369" i="32"/>
  <c r="AP369" i="32"/>
  <c r="AO370" i="32"/>
  <c r="AP370" i="32"/>
  <c r="AO371" i="32"/>
  <c r="AP371" i="32"/>
  <c r="AO372" i="32"/>
  <c r="AP372" i="32"/>
  <c r="AO373" i="32"/>
  <c r="AP373" i="32"/>
  <c r="AO374" i="32"/>
  <c r="AP374" i="32"/>
  <c r="AO375" i="32"/>
  <c r="AP375" i="32"/>
  <c r="AO376" i="32"/>
  <c r="AP376" i="32"/>
  <c r="AO377" i="32"/>
  <c r="AP377" i="32"/>
  <c r="AO378" i="32"/>
  <c r="AP378" i="32"/>
  <c r="AO379" i="32"/>
  <c r="AP379" i="32"/>
  <c r="AO380" i="32"/>
  <c r="AP380" i="32"/>
  <c r="AO381" i="32"/>
  <c r="AP381" i="32"/>
  <c r="AO382" i="32"/>
  <c r="AP382" i="32"/>
  <c r="AO383" i="32"/>
  <c r="AP383" i="32"/>
  <c r="AO384" i="32"/>
  <c r="AP384" i="32"/>
  <c r="AO385" i="32"/>
  <c r="AP385" i="32"/>
  <c r="AO386" i="32"/>
  <c r="AP386" i="32"/>
  <c r="AO387" i="32"/>
  <c r="AP387" i="32"/>
  <c r="AO388" i="32"/>
  <c r="AP388" i="32"/>
  <c r="AO389" i="32"/>
  <c r="AP389" i="32"/>
  <c r="AO390" i="32"/>
  <c r="AP390" i="32"/>
  <c r="AO391" i="32"/>
  <c r="AP391" i="32"/>
  <c r="AO392" i="32"/>
  <c r="AP392" i="32"/>
  <c r="AO393" i="32"/>
  <c r="AP393" i="32"/>
  <c r="AO394" i="32"/>
  <c r="AP394" i="32"/>
  <c r="AO395" i="32"/>
  <c r="AP395" i="32"/>
  <c r="AO396" i="32"/>
  <c r="AP396" i="32"/>
  <c r="AO397" i="32"/>
  <c r="AP397" i="32"/>
  <c r="AO398" i="32"/>
  <c r="AP398" i="32"/>
  <c r="AO399" i="32"/>
  <c r="AP399" i="32"/>
  <c r="AO400" i="32"/>
  <c r="AP400" i="32"/>
  <c r="AO401" i="32"/>
  <c r="AP401" i="32"/>
  <c r="AO402" i="32"/>
  <c r="AP402" i="32"/>
  <c r="AO403" i="32"/>
  <c r="AP403" i="32"/>
  <c r="AO404" i="32"/>
  <c r="AP404" i="32"/>
  <c r="AO405" i="32"/>
  <c r="AP405" i="32"/>
  <c r="AO406" i="32"/>
  <c r="AP406" i="32"/>
  <c r="AO407" i="32"/>
  <c r="AP407" i="32"/>
  <c r="AO408" i="32"/>
  <c r="AP408" i="32"/>
  <c r="AO409" i="32"/>
  <c r="AP409" i="32"/>
  <c r="AO410" i="32"/>
  <c r="AP410" i="32"/>
  <c r="AO411" i="32"/>
  <c r="AP411" i="32"/>
  <c r="AO412" i="32"/>
  <c r="AP412" i="32"/>
  <c r="AO413" i="32"/>
  <c r="AP413" i="32"/>
  <c r="AO414" i="32"/>
  <c r="AP414" i="32"/>
  <c r="AO415" i="32"/>
  <c r="AP415" i="32"/>
  <c r="AO416" i="32"/>
  <c r="AP416" i="32"/>
  <c r="AO417" i="32"/>
  <c r="AP417" i="32"/>
  <c r="AO418" i="32"/>
  <c r="AP418" i="32"/>
  <c r="AO419" i="32"/>
  <c r="AP419" i="32"/>
  <c r="AO420" i="32"/>
  <c r="AP420" i="32"/>
  <c r="AO421" i="32"/>
  <c r="AP421" i="32"/>
  <c r="AO422" i="32"/>
  <c r="AP422" i="32"/>
  <c r="AO423" i="32"/>
  <c r="AP423" i="32"/>
  <c r="AO424" i="32"/>
  <c r="AP424" i="32"/>
  <c r="AO425" i="32"/>
  <c r="AP425" i="32"/>
  <c r="AO426" i="32"/>
  <c r="AP426" i="32"/>
  <c r="AO427" i="32"/>
  <c r="AP427" i="32"/>
  <c r="AO428" i="32"/>
  <c r="AP428" i="32"/>
  <c r="AO429" i="32"/>
  <c r="AP429" i="32"/>
  <c r="AO430" i="32"/>
  <c r="AP430" i="32"/>
  <c r="AO431" i="32"/>
  <c r="AP431" i="32"/>
  <c r="AO432" i="32"/>
  <c r="AP432" i="32"/>
  <c r="AO433" i="32"/>
  <c r="AP433" i="32"/>
  <c r="AO434" i="32"/>
  <c r="AP434" i="32"/>
  <c r="AO435" i="32"/>
  <c r="AP435" i="32"/>
  <c r="AO436" i="32"/>
  <c r="AP436" i="32"/>
  <c r="AO437" i="32"/>
  <c r="AP437" i="32"/>
  <c r="AO438" i="32"/>
  <c r="AP438" i="32"/>
  <c r="AO439" i="32"/>
  <c r="AP439" i="32"/>
  <c r="AO440" i="32"/>
  <c r="AP440" i="32"/>
  <c r="AO441" i="32"/>
  <c r="AP441" i="32"/>
  <c r="AO442" i="32"/>
  <c r="AP442" i="32"/>
  <c r="AO443" i="32"/>
  <c r="AP443" i="32"/>
  <c r="AH4" i="32"/>
  <c r="AG5" i="32"/>
  <c r="AH5" i="32"/>
  <c r="AG6" i="32"/>
  <c r="AH6" i="32"/>
  <c r="AG7" i="32"/>
  <c r="AH7" i="32"/>
  <c r="AG8" i="32"/>
  <c r="AH8" i="32"/>
  <c r="AG9" i="32"/>
  <c r="AH9" i="32"/>
  <c r="AG10" i="32"/>
  <c r="AH10" i="32"/>
  <c r="AG11" i="32"/>
  <c r="AH11" i="32"/>
  <c r="AG12" i="32"/>
  <c r="AH12" i="32"/>
  <c r="AG13" i="32"/>
  <c r="AH13" i="32"/>
  <c r="AG14" i="32"/>
  <c r="AH14" i="32"/>
  <c r="AG15" i="32"/>
  <c r="AH15" i="32"/>
  <c r="AG16" i="32"/>
  <c r="AH16" i="32"/>
  <c r="AG17" i="32"/>
  <c r="AH17" i="32"/>
  <c r="AG18" i="32"/>
  <c r="AH18" i="32"/>
  <c r="AG19" i="32"/>
  <c r="AH19" i="32"/>
  <c r="AG20" i="32"/>
  <c r="AH20" i="32"/>
  <c r="AG21" i="32"/>
  <c r="AH21" i="32"/>
  <c r="AG22" i="32"/>
  <c r="AH22" i="32"/>
  <c r="AG23" i="32"/>
  <c r="AH23" i="32"/>
  <c r="AG24" i="32"/>
  <c r="AH24" i="32"/>
  <c r="AG25" i="32"/>
  <c r="AH25" i="32"/>
  <c r="AG26" i="32"/>
  <c r="AH26" i="32"/>
  <c r="AG27" i="32"/>
  <c r="AH27" i="32"/>
  <c r="AG28" i="32"/>
  <c r="AH28" i="32"/>
  <c r="AG29" i="32"/>
  <c r="AH29" i="32"/>
  <c r="AG30" i="32"/>
  <c r="AH30" i="32"/>
  <c r="AG31" i="32"/>
  <c r="AH31" i="32"/>
  <c r="AG32" i="32"/>
  <c r="AH32" i="32"/>
  <c r="AG33" i="32"/>
  <c r="AH33" i="32"/>
  <c r="AG34" i="32"/>
  <c r="AH34" i="32"/>
  <c r="AG35" i="32"/>
  <c r="AH35" i="32"/>
  <c r="AG36" i="32"/>
  <c r="AH36" i="32"/>
  <c r="AG37" i="32"/>
  <c r="AH37" i="32"/>
  <c r="AG38" i="32"/>
  <c r="AH38" i="32"/>
  <c r="AG39" i="32"/>
  <c r="AH39" i="32"/>
  <c r="AG40" i="32"/>
  <c r="AH40" i="32"/>
  <c r="AG41" i="32"/>
  <c r="AH41" i="32"/>
  <c r="AG42" i="32"/>
  <c r="AH42" i="32"/>
  <c r="AG43" i="32"/>
  <c r="AH43" i="32"/>
  <c r="AG44" i="32"/>
  <c r="AH44" i="32"/>
  <c r="AG45" i="32"/>
  <c r="AH45" i="32"/>
  <c r="AG46" i="32"/>
  <c r="AH46" i="32"/>
  <c r="AG47" i="32"/>
  <c r="AH47" i="32"/>
  <c r="AG48" i="32"/>
  <c r="AH48" i="32"/>
  <c r="AG49" i="32"/>
  <c r="AH49" i="32"/>
  <c r="AG50" i="32"/>
  <c r="AH50" i="32"/>
  <c r="AG51" i="32"/>
  <c r="AH51" i="32"/>
  <c r="AG52" i="32"/>
  <c r="AH52" i="32"/>
  <c r="AG53" i="32"/>
  <c r="AH53" i="32"/>
  <c r="AG54" i="32"/>
  <c r="AH54" i="32"/>
  <c r="AG55" i="32"/>
  <c r="AH55" i="32"/>
  <c r="AG56" i="32"/>
  <c r="AH56" i="32"/>
  <c r="AG57" i="32"/>
  <c r="AH57" i="32"/>
  <c r="AG58" i="32"/>
  <c r="AH58" i="32"/>
  <c r="AG59" i="32"/>
  <c r="AH59" i="32"/>
  <c r="AG60" i="32"/>
  <c r="AH60" i="32"/>
  <c r="AG61" i="32"/>
  <c r="AH61" i="32"/>
  <c r="AG62" i="32"/>
  <c r="AH62" i="32"/>
  <c r="AG63" i="32"/>
  <c r="AH63" i="32"/>
  <c r="AG64" i="32"/>
  <c r="AH64" i="32"/>
  <c r="AG65" i="32"/>
  <c r="AH65" i="32"/>
  <c r="AG66" i="32"/>
  <c r="AH66" i="32"/>
  <c r="AG67" i="32"/>
  <c r="AH67" i="32"/>
  <c r="AG68" i="32"/>
  <c r="AH68" i="32"/>
  <c r="AG69" i="32"/>
  <c r="AH69" i="32"/>
  <c r="AG70" i="32"/>
  <c r="AH70" i="32"/>
  <c r="AG71" i="32"/>
  <c r="AH71" i="32"/>
  <c r="AG72" i="32"/>
  <c r="AH72" i="32"/>
  <c r="AG73" i="32"/>
  <c r="AH73" i="32"/>
  <c r="AG74" i="32"/>
  <c r="AH74" i="32"/>
  <c r="AG75" i="32"/>
  <c r="AH75" i="32"/>
  <c r="AG76" i="32"/>
  <c r="AH76" i="32"/>
  <c r="AG77" i="32"/>
  <c r="AH77" i="32"/>
  <c r="AG78" i="32"/>
  <c r="AH78" i="32"/>
  <c r="AG79" i="32"/>
  <c r="AH79" i="32"/>
  <c r="AG80" i="32"/>
  <c r="AH80" i="32"/>
  <c r="AG81" i="32"/>
  <c r="AH81" i="32"/>
  <c r="AG82" i="32"/>
  <c r="AH82" i="32"/>
  <c r="AG83" i="32"/>
  <c r="AH83" i="32"/>
  <c r="AG84" i="32"/>
  <c r="AH84" i="32"/>
  <c r="AG85" i="32"/>
  <c r="AH85" i="32"/>
  <c r="AG86" i="32"/>
  <c r="AH86" i="32"/>
  <c r="AG87" i="32"/>
  <c r="AH87" i="32"/>
  <c r="AG88" i="32"/>
  <c r="AH88" i="32"/>
  <c r="AG89" i="32"/>
  <c r="AH89" i="32"/>
  <c r="AG90" i="32"/>
  <c r="AH90" i="32"/>
  <c r="AG91" i="32"/>
  <c r="AH91" i="32"/>
  <c r="AG92" i="32"/>
  <c r="AH92" i="32"/>
  <c r="AG93" i="32"/>
  <c r="AH93" i="32"/>
  <c r="AG94" i="32"/>
  <c r="AH94" i="32"/>
  <c r="AG95" i="32"/>
  <c r="AH95" i="32"/>
  <c r="AG96" i="32"/>
  <c r="AH96" i="32"/>
  <c r="AG97" i="32"/>
  <c r="AH97" i="32"/>
  <c r="AG98" i="32"/>
  <c r="AH98" i="32"/>
  <c r="AG99" i="32"/>
  <c r="AH99" i="32"/>
  <c r="AG100" i="32"/>
  <c r="AH100" i="32"/>
  <c r="AG101" i="32"/>
  <c r="AH101" i="32"/>
  <c r="AG102" i="32"/>
  <c r="AH102" i="32"/>
  <c r="AG103" i="32"/>
  <c r="AH103" i="32"/>
  <c r="AG104" i="32"/>
  <c r="AH104" i="32"/>
  <c r="AG105" i="32"/>
  <c r="AH105" i="32"/>
  <c r="AG106" i="32"/>
  <c r="AH106" i="32"/>
  <c r="AG107" i="32"/>
  <c r="AH107" i="32"/>
  <c r="AG108" i="32"/>
  <c r="AH108" i="32"/>
  <c r="AG109" i="32"/>
  <c r="AH109" i="32"/>
  <c r="AG110" i="32"/>
  <c r="AH110" i="32"/>
  <c r="AG111" i="32"/>
  <c r="AH111" i="32"/>
  <c r="AG112" i="32"/>
  <c r="AH112" i="32"/>
  <c r="AG113" i="32"/>
  <c r="AH113" i="32"/>
  <c r="AG114" i="32"/>
  <c r="AH114" i="32"/>
  <c r="AG115" i="32"/>
  <c r="AH115" i="32"/>
  <c r="AG116" i="32"/>
  <c r="AH116" i="32"/>
  <c r="AG117" i="32"/>
  <c r="AH117" i="32"/>
  <c r="AG118" i="32"/>
  <c r="AH118" i="32"/>
  <c r="AG119" i="32"/>
  <c r="AH119" i="32"/>
  <c r="AG120" i="32"/>
  <c r="AH120" i="32"/>
  <c r="AG121" i="32"/>
  <c r="AH121" i="32"/>
  <c r="AG122" i="32"/>
  <c r="AH122" i="32"/>
  <c r="AG123" i="32"/>
  <c r="AH123" i="32"/>
  <c r="AG124" i="32"/>
  <c r="AH124" i="32"/>
  <c r="AG125" i="32"/>
  <c r="AH125" i="32"/>
  <c r="AG126" i="32"/>
  <c r="AH126" i="32"/>
  <c r="AG127" i="32"/>
  <c r="AH127" i="32"/>
  <c r="AG128" i="32"/>
  <c r="AH128" i="32"/>
  <c r="AG129" i="32"/>
  <c r="AH129" i="32"/>
  <c r="AG130" i="32"/>
  <c r="AH130" i="32"/>
  <c r="AG131" i="32"/>
  <c r="AH131" i="32"/>
  <c r="AG132" i="32"/>
  <c r="AH132" i="32"/>
  <c r="AG133" i="32"/>
  <c r="AH133" i="32"/>
  <c r="AG134" i="32"/>
  <c r="AH134" i="32"/>
  <c r="AG135" i="32"/>
  <c r="AH135" i="32"/>
  <c r="AG136" i="32"/>
  <c r="AH136" i="32"/>
  <c r="AG137" i="32"/>
  <c r="AH137" i="32"/>
  <c r="AG138" i="32"/>
  <c r="AH138" i="32"/>
  <c r="AG139" i="32"/>
  <c r="AH139" i="32"/>
  <c r="AG140" i="32"/>
  <c r="AH140" i="32"/>
  <c r="AG141" i="32"/>
  <c r="AH141" i="32"/>
  <c r="AG142" i="32"/>
  <c r="AH142" i="32"/>
  <c r="AG143" i="32"/>
  <c r="AH143" i="32"/>
  <c r="AG144" i="32"/>
  <c r="AH144" i="32"/>
  <c r="AG145" i="32"/>
  <c r="AH145" i="32"/>
  <c r="AG146" i="32"/>
  <c r="AH146" i="32"/>
  <c r="AG147" i="32"/>
  <c r="AH147" i="32"/>
  <c r="AG148" i="32"/>
  <c r="AH148" i="32"/>
  <c r="AG149" i="32"/>
  <c r="AH149" i="32"/>
  <c r="AG150" i="32"/>
  <c r="AH150" i="32"/>
  <c r="AG151" i="32"/>
  <c r="AH151" i="32"/>
  <c r="AG152" i="32"/>
  <c r="AH152" i="32"/>
  <c r="AG153" i="32"/>
  <c r="AH153" i="32"/>
  <c r="AG154" i="32"/>
  <c r="AH154" i="32"/>
  <c r="AG155" i="32"/>
  <c r="AH155" i="32"/>
  <c r="AG156" i="32"/>
  <c r="AH156" i="32"/>
  <c r="AG157" i="32"/>
  <c r="AH157" i="32"/>
  <c r="AG158" i="32"/>
  <c r="AH158" i="32"/>
  <c r="AG159" i="32"/>
  <c r="AH159" i="32"/>
  <c r="AG160" i="32"/>
  <c r="AH160" i="32"/>
  <c r="AG161" i="32"/>
  <c r="AH161" i="32"/>
  <c r="AG162" i="32"/>
  <c r="AH162" i="32"/>
  <c r="AG163" i="32"/>
  <c r="AH163" i="32"/>
  <c r="AG164" i="32"/>
  <c r="AH164" i="32"/>
  <c r="AG165" i="32"/>
  <c r="AH165" i="32"/>
  <c r="AG166" i="32"/>
  <c r="AH166" i="32"/>
  <c r="AG167" i="32"/>
  <c r="AH167" i="32"/>
  <c r="AG168" i="32"/>
  <c r="AH168" i="32"/>
  <c r="AG169" i="32"/>
  <c r="AH169" i="32"/>
  <c r="AG170" i="32"/>
  <c r="AH170" i="32"/>
  <c r="AG171" i="32"/>
  <c r="AH171" i="32"/>
  <c r="AG172" i="32"/>
  <c r="AH172" i="32"/>
  <c r="AG173" i="32"/>
  <c r="AH173" i="32"/>
  <c r="AG174" i="32"/>
  <c r="AH174" i="32"/>
  <c r="AG175" i="32"/>
  <c r="AH175" i="32"/>
  <c r="AG176" i="32"/>
  <c r="AH176" i="32"/>
  <c r="AG177" i="32"/>
  <c r="AH177" i="32"/>
  <c r="AG178" i="32"/>
  <c r="AH178" i="32"/>
  <c r="AG179" i="32"/>
  <c r="AH179" i="32"/>
  <c r="AG180" i="32"/>
  <c r="AH180" i="32"/>
  <c r="AG181" i="32"/>
  <c r="AH181" i="32"/>
  <c r="AG182" i="32"/>
  <c r="AH182" i="32"/>
  <c r="AG183" i="32"/>
  <c r="AH183" i="32"/>
  <c r="AG184" i="32"/>
  <c r="AH184" i="32"/>
  <c r="AG185" i="32"/>
  <c r="AH185" i="32"/>
  <c r="AG186" i="32"/>
  <c r="AH186" i="32"/>
  <c r="AG187" i="32"/>
  <c r="AH187" i="32"/>
  <c r="AG188" i="32"/>
  <c r="AH188" i="32"/>
  <c r="AG189" i="32"/>
  <c r="AH189" i="32"/>
  <c r="AG190" i="32"/>
  <c r="AH190" i="32"/>
  <c r="AG191" i="32"/>
  <c r="AH191" i="32"/>
  <c r="AG192" i="32"/>
  <c r="AH192" i="32"/>
  <c r="AG193" i="32"/>
  <c r="AH193" i="32"/>
  <c r="AG194" i="32"/>
  <c r="AH194" i="32"/>
  <c r="AG195" i="32"/>
  <c r="AH195" i="32"/>
  <c r="AG196" i="32"/>
  <c r="AH196" i="32"/>
  <c r="AG197" i="32"/>
  <c r="AH197" i="32"/>
  <c r="AG198" i="32"/>
  <c r="AH198" i="32"/>
  <c r="AG199" i="32"/>
  <c r="AH199" i="32"/>
  <c r="AG200" i="32"/>
  <c r="AH200" i="32"/>
  <c r="AG201" i="32"/>
  <c r="AH201" i="32"/>
  <c r="AG202" i="32"/>
  <c r="AH202" i="32"/>
  <c r="AG203" i="32"/>
  <c r="AH203" i="32"/>
  <c r="AG204" i="32"/>
  <c r="AH204" i="32"/>
  <c r="AG205" i="32"/>
  <c r="AH205" i="32"/>
  <c r="AG206" i="32"/>
  <c r="AH206" i="32"/>
  <c r="AG207" i="32"/>
  <c r="AH207" i="32"/>
  <c r="AG208" i="32"/>
  <c r="AH208" i="32"/>
  <c r="AG209" i="32"/>
  <c r="AH209" i="32"/>
  <c r="AG210" i="32"/>
  <c r="AH210" i="32"/>
  <c r="AG211" i="32"/>
  <c r="AH211" i="32"/>
  <c r="AG212" i="32"/>
  <c r="AH212" i="32"/>
  <c r="AG213" i="32"/>
  <c r="AH213" i="32"/>
  <c r="AG214" i="32"/>
  <c r="AH214" i="32"/>
  <c r="AG215" i="32"/>
  <c r="AH215" i="32"/>
  <c r="AG216" i="32"/>
  <c r="AH216" i="32"/>
  <c r="AG217" i="32"/>
  <c r="AH217" i="32"/>
  <c r="AG218" i="32"/>
  <c r="AH218" i="32"/>
  <c r="AG219" i="32"/>
  <c r="AH219" i="32"/>
  <c r="AG220" i="32"/>
  <c r="AH220" i="32"/>
  <c r="AG221" i="32"/>
  <c r="AH221" i="32"/>
  <c r="AG222" i="32"/>
  <c r="AH222" i="32"/>
  <c r="AG223" i="32"/>
  <c r="AH223" i="32"/>
  <c r="AG224" i="32"/>
  <c r="AH224" i="32"/>
  <c r="AG225" i="32"/>
  <c r="AH225" i="32"/>
  <c r="AG226" i="32"/>
  <c r="AH226" i="32"/>
  <c r="AG227" i="32"/>
  <c r="AH227" i="32"/>
  <c r="AG228" i="32"/>
  <c r="AH228" i="32"/>
  <c r="AG229" i="32"/>
  <c r="AH229" i="32"/>
  <c r="AG230" i="32"/>
  <c r="AH230" i="32"/>
  <c r="AG231" i="32"/>
  <c r="AH231" i="32"/>
  <c r="AG232" i="32"/>
  <c r="AH232" i="32"/>
  <c r="AG233" i="32"/>
  <c r="AH233" i="32"/>
  <c r="AG234" i="32"/>
  <c r="AH234" i="32"/>
  <c r="AG235" i="32"/>
  <c r="AH235" i="32"/>
  <c r="AG236" i="32"/>
  <c r="AH236" i="32"/>
  <c r="AG237" i="32"/>
  <c r="AH237" i="32"/>
  <c r="AG238" i="32"/>
  <c r="AH238" i="32"/>
  <c r="AG239" i="32"/>
  <c r="AH239" i="32"/>
  <c r="AG240" i="32"/>
  <c r="AH240" i="32"/>
  <c r="AG241" i="32"/>
  <c r="AH241" i="32"/>
  <c r="AG242" i="32"/>
  <c r="AH242" i="32"/>
  <c r="AG243" i="32"/>
  <c r="AH243" i="32"/>
  <c r="AG244" i="32"/>
  <c r="AH244" i="32"/>
  <c r="AG245" i="32"/>
  <c r="AH245" i="32"/>
  <c r="AG246" i="32"/>
  <c r="AH246" i="32"/>
  <c r="AG247" i="32"/>
  <c r="AH247" i="32"/>
  <c r="AG248" i="32"/>
  <c r="AH248" i="32"/>
  <c r="AG249" i="32"/>
  <c r="AH249" i="32"/>
  <c r="AG250" i="32"/>
  <c r="AH250" i="32"/>
  <c r="AG251" i="32"/>
  <c r="AH251" i="32"/>
  <c r="AG252" i="32"/>
  <c r="AH252" i="32"/>
  <c r="AG253" i="32"/>
  <c r="AH253" i="32"/>
  <c r="AG254" i="32"/>
  <c r="AH254" i="32"/>
  <c r="AG255" i="32"/>
  <c r="AH255" i="32"/>
  <c r="AG256" i="32"/>
  <c r="AH256" i="32"/>
  <c r="AG257" i="32"/>
  <c r="AH257" i="32"/>
  <c r="AG258" i="32"/>
  <c r="AH258" i="32"/>
  <c r="AG259" i="32"/>
  <c r="AH259" i="32"/>
  <c r="AG260" i="32"/>
  <c r="AH260" i="32"/>
  <c r="AG261" i="32"/>
  <c r="AH261" i="32"/>
  <c r="AG262" i="32"/>
  <c r="AH262" i="32"/>
  <c r="AG263" i="32"/>
  <c r="AH263" i="32"/>
  <c r="AG264" i="32"/>
  <c r="AH264" i="32"/>
  <c r="AG265" i="32"/>
  <c r="AH265" i="32"/>
  <c r="AG266" i="32"/>
  <c r="AH266" i="32"/>
  <c r="AG267" i="32"/>
  <c r="AH267" i="32"/>
  <c r="AG268" i="32"/>
  <c r="AH268" i="32"/>
  <c r="AG269" i="32"/>
  <c r="AH269" i="32"/>
  <c r="AG270" i="32"/>
  <c r="AH270" i="32"/>
  <c r="AG271" i="32"/>
  <c r="AH271" i="32"/>
  <c r="AG272" i="32"/>
  <c r="AH272" i="32"/>
  <c r="AG273" i="32"/>
  <c r="AH273" i="32"/>
  <c r="AG274" i="32"/>
  <c r="AH274" i="32"/>
  <c r="AG275" i="32"/>
  <c r="AH275" i="32"/>
  <c r="AG276" i="32"/>
  <c r="AH276" i="32"/>
  <c r="AG277" i="32"/>
  <c r="AH277" i="32"/>
  <c r="AG278" i="32"/>
  <c r="AH278" i="32"/>
  <c r="AG279" i="32"/>
  <c r="AH279" i="32"/>
  <c r="AG280" i="32"/>
  <c r="AH280" i="32"/>
  <c r="AG281" i="32"/>
  <c r="AH281" i="32"/>
  <c r="AG282" i="32"/>
  <c r="AH282" i="32"/>
  <c r="AG283" i="32"/>
  <c r="AH283" i="32"/>
  <c r="AG284" i="32"/>
  <c r="AH284" i="32"/>
  <c r="AG285" i="32"/>
  <c r="AH285" i="32"/>
  <c r="AG286" i="32"/>
  <c r="AH286" i="32"/>
  <c r="AG287" i="32"/>
  <c r="AH287" i="32"/>
  <c r="AG288" i="32"/>
  <c r="AH288" i="32"/>
  <c r="AG289" i="32"/>
  <c r="AH289" i="32"/>
  <c r="AG290" i="32"/>
  <c r="AH290" i="32"/>
  <c r="AG291" i="32"/>
  <c r="AH291" i="32"/>
  <c r="AG292" i="32"/>
  <c r="AH292" i="32"/>
  <c r="AG293" i="32"/>
  <c r="AH293" i="32"/>
  <c r="AG294" i="32"/>
  <c r="AH294" i="32"/>
  <c r="AG295" i="32"/>
  <c r="AH295" i="32"/>
  <c r="AG296" i="32"/>
  <c r="AH296" i="32"/>
  <c r="AG297" i="32"/>
  <c r="AH297" i="32"/>
  <c r="AG298" i="32"/>
  <c r="AH298" i="32"/>
  <c r="AG299" i="32"/>
  <c r="AH299" i="32"/>
  <c r="AG300" i="32"/>
  <c r="AH300" i="32"/>
  <c r="AG301" i="32"/>
  <c r="AH301" i="32"/>
  <c r="AG302" i="32"/>
  <c r="AH302" i="32"/>
  <c r="AG303" i="32"/>
  <c r="AH303" i="32"/>
  <c r="AG304" i="32"/>
  <c r="AH304" i="32"/>
  <c r="AG305" i="32"/>
  <c r="AH305" i="32"/>
  <c r="AG306" i="32"/>
  <c r="AH306" i="32"/>
  <c r="AG307" i="32"/>
  <c r="AH307" i="32"/>
  <c r="AG308" i="32"/>
  <c r="AH308" i="32"/>
  <c r="AG309" i="32"/>
  <c r="AH309" i="32"/>
  <c r="AG310" i="32"/>
  <c r="AH310" i="32"/>
  <c r="AG311" i="32"/>
  <c r="AH311" i="32"/>
  <c r="AG312" i="32"/>
  <c r="AH312" i="32"/>
  <c r="AG313" i="32"/>
  <c r="AH313" i="32"/>
  <c r="AG314" i="32"/>
  <c r="AH314" i="32"/>
  <c r="AG315" i="32"/>
  <c r="AH315" i="32"/>
  <c r="AG316" i="32"/>
  <c r="AH316" i="32"/>
  <c r="AG317" i="32"/>
  <c r="AH317" i="32"/>
  <c r="AG318" i="32"/>
  <c r="AH318" i="32"/>
  <c r="AG319" i="32"/>
  <c r="AH319" i="32"/>
  <c r="AG320" i="32"/>
  <c r="AH320" i="32"/>
  <c r="AG321" i="32"/>
  <c r="AH321" i="32"/>
  <c r="AG322" i="32"/>
  <c r="AH322" i="32"/>
  <c r="AG323" i="32"/>
  <c r="AH323" i="32"/>
  <c r="AG324" i="32"/>
  <c r="AH324" i="32"/>
  <c r="AG325" i="32"/>
  <c r="AH325" i="32"/>
  <c r="AG326" i="32"/>
  <c r="AH326" i="32"/>
  <c r="AG327" i="32"/>
  <c r="AH327" i="32"/>
  <c r="AG328" i="32"/>
  <c r="AH328" i="32"/>
  <c r="AG329" i="32"/>
  <c r="AH329" i="32"/>
  <c r="AG330" i="32"/>
  <c r="AH330" i="32"/>
  <c r="AG331" i="32"/>
  <c r="AH331" i="32"/>
  <c r="AG332" i="32"/>
  <c r="AH332" i="32"/>
  <c r="AG333" i="32"/>
  <c r="AH333" i="32"/>
  <c r="AG334" i="32"/>
  <c r="AH334" i="32"/>
  <c r="AG335" i="32"/>
  <c r="AH335" i="32"/>
  <c r="AG336" i="32"/>
  <c r="AH336" i="32"/>
  <c r="AG337" i="32"/>
  <c r="AH337" i="32"/>
  <c r="AG338" i="32"/>
  <c r="AH338" i="32"/>
  <c r="AG339" i="32"/>
  <c r="AH339" i="32"/>
  <c r="AG340" i="32"/>
  <c r="AH340" i="32"/>
  <c r="AG341" i="32"/>
  <c r="AH341" i="32"/>
  <c r="AG342" i="32"/>
  <c r="AH342" i="32"/>
  <c r="AG343" i="32"/>
  <c r="AH343" i="32"/>
  <c r="AG344" i="32"/>
  <c r="AH344" i="32"/>
  <c r="AG345" i="32"/>
  <c r="AH345" i="32"/>
  <c r="AG346" i="32"/>
  <c r="AH346" i="32"/>
  <c r="AG347" i="32"/>
  <c r="AH347" i="32"/>
  <c r="AG348" i="32"/>
  <c r="AH348" i="32"/>
  <c r="AG349" i="32"/>
  <c r="AH349" i="32"/>
  <c r="AG350" i="32"/>
  <c r="AH350" i="32"/>
  <c r="AG351" i="32"/>
  <c r="AH351" i="32"/>
  <c r="AG352" i="32"/>
  <c r="AH352" i="32"/>
  <c r="AG353" i="32"/>
  <c r="AH353" i="32"/>
  <c r="AG354" i="32"/>
  <c r="AH354" i="32"/>
  <c r="AG355" i="32"/>
  <c r="AH355" i="32"/>
  <c r="AG356" i="32"/>
  <c r="AH356" i="32"/>
  <c r="AG357" i="32"/>
  <c r="AH357" i="32"/>
  <c r="AG358" i="32"/>
  <c r="AH358" i="32"/>
  <c r="AG359" i="32"/>
  <c r="AH359" i="32"/>
  <c r="AG360" i="32"/>
  <c r="AH360" i="32"/>
  <c r="AG361" i="32"/>
  <c r="AH361" i="32"/>
  <c r="AG362" i="32"/>
  <c r="AH362" i="32"/>
  <c r="AG363" i="32"/>
  <c r="AH363" i="32"/>
  <c r="AG364" i="32"/>
  <c r="AH364" i="32"/>
  <c r="AG365" i="32"/>
  <c r="AH365" i="32"/>
  <c r="AG366" i="32"/>
  <c r="AH366" i="32"/>
  <c r="AG367" i="32"/>
  <c r="AH367" i="32"/>
  <c r="AG368" i="32"/>
  <c r="AH368" i="32"/>
  <c r="AG369" i="32"/>
  <c r="AH369" i="32"/>
  <c r="AG370" i="32"/>
  <c r="AH370" i="32"/>
  <c r="AG371" i="32"/>
  <c r="AH371" i="32"/>
  <c r="AG372" i="32"/>
  <c r="AH372" i="32"/>
  <c r="AG373" i="32"/>
  <c r="AH373" i="32"/>
  <c r="AG374" i="32"/>
  <c r="AH374" i="32"/>
  <c r="AG375" i="32"/>
  <c r="AH375" i="32"/>
  <c r="AG376" i="32"/>
  <c r="AH376" i="32"/>
  <c r="AG377" i="32"/>
  <c r="AH377" i="32"/>
  <c r="AG378" i="32"/>
  <c r="AH378" i="32"/>
  <c r="AG379" i="32"/>
  <c r="AH379" i="32"/>
  <c r="AG380" i="32"/>
  <c r="AH380" i="32"/>
  <c r="AG381" i="32"/>
  <c r="AH381" i="32"/>
  <c r="AG382" i="32"/>
  <c r="AH382" i="32"/>
  <c r="AG383" i="32"/>
  <c r="AH383" i="32"/>
  <c r="AG384" i="32"/>
  <c r="AH384" i="32"/>
  <c r="AG385" i="32"/>
  <c r="AH385" i="32"/>
  <c r="AG386" i="32"/>
  <c r="AH386" i="32"/>
  <c r="AG387" i="32"/>
  <c r="AH387" i="32"/>
  <c r="AG388" i="32"/>
  <c r="AH388" i="32"/>
  <c r="AG389" i="32"/>
  <c r="AH389" i="32"/>
  <c r="AG390" i="32"/>
  <c r="AH390" i="32"/>
  <c r="AG391" i="32"/>
  <c r="AH391" i="32"/>
  <c r="AG392" i="32"/>
  <c r="AH392" i="32"/>
  <c r="AG393" i="32"/>
  <c r="AH393" i="32"/>
  <c r="AG394" i="32"/>
  <c r="AH394" i="32"/>
  <c r="AG395" i="32"/>
  <c r="AH395" i="32"/>
  <c r="AG396" i="32"/>
  <c r="AH396" i="32"/>
  <c r="AG397" i="32"/>
  <c r="AH397" i="32"/>
  <c r="AG398" i="32"/>
  <c r="AH398" i="32"/>
  <c r="AG399" i="32"/>
  <c r="AH399" i="32"/>
  <c r="AG400" i="32"/>
  <c r="AH400" i="32"/>
  <c r="AG401" i="32"/>
  <c r="AH401" i="32"/>
  <c r="AG402" i="32"/>
  <c r="AH402" i="32"/>
  <c r="AG403" i="32"/>
  <c r="AH403" i="32"/>
  <c r="AG404" i="32"/>
  <c r="AH404" i="32"/>
  <c r="AG405" i="32"/>
  <c r="AH405" i="32"/>
  <c r="AG406" i="32"/>
  <c r="AH406" i="32"/>
  <c r="AG407" i="32"/>
  <c r="AH407" i="32"/>
  <c r="AG408" i="32"/>
  <c r="AH408" i="32"/>
  <c r="AG409" i="32"/>
  <c r="AH409" i="32"/>
  <c r="AG410" i="32"/>
  <c r="AH410" i="32"/>
  <c r="AG411" i="32"/>
  <c r="AH411" i="32"/>
  <c r="AG412" i="32"/>
  <c r="AH412" i="32"/>
  <c r="AG413" i="32"/>
  <c r="AH413" i="32"/>
  <c r="AG414" i="32"/>
  <c r="AH414" i="32"/>
  <c r="AG415" i="32"/>
  <c r="AH415" i="32"/>
  <c r="AG416" i="32"/>
  <c r="AH416" i="32"/>
  <c r="AG417" i="32"/>
  <c r="AH417" i="32"/>
  <c r="AG418" i="32"/>
  <c r="AH418" i="32"/>
  <c r="AG419" i="32"/>
  <c r="AH419" i="32"/>
  <c r="AG420" i="32"/>
  <c r="AH420" i="32"/>
  <c r="AG421" i="32"/>
  <c r="AH421" i="32"/>
  <c r="AG422" i="32"/>
  <c r="AH422" i="32"/>
  <c r="AG423" i="32"/>
  <c r="AH423" i="32"/>
  <c r="AG424" i="32"/>
  <c r="AH424" i="32"/>
  <c r="AG425" i="32"/>
  <c r="AH425" i="32"/>
  <c r="AG426" i="32"/>
  <c r="AH426" i="32"/>
  <c r="AG427" i="32"/>
  <c r="AH427" i="32"/>
  <c r="AG428" i="32"/>
  <c r="AH428" i="32"/>
  <c r="AG429" i="32"/>
  <c r="AH429" i="32"/>
  <c r="AG430" i="32"/>
  <c r="AH430" i="32"/>
  <c r="AG431" i="32"/>
  <c r="AH431" i="32"/>
  <c r="AG432" i="32"/>
  <c r="AH432" i="32"/>
  <c r="AG433" i="32"/>
  <c r="AH433" i="32"/>
  <c r="AG434" i="32"/>
  <c r="AH434" i="32"/>
  <c r="AG435" i="32"/>
  <c r="AH435" i="32"/>
  <c r="AG436" i="32"/>
  <c r="AH436" i="32"/>
  <c r="AG437" i="32"/>
  <c r="AH437" i="32"/>
  <c r="AG438" i="32"/>
  <c r="AH438" i="32"/>
  <c r="AG439" i="32"/>
  <c r="AH439" i="32"/>
  <c r="AG440" i="32"/>
  <c r="AH440" i="32"/>
  <c r="AG441" i="32"/>
  <c r="AH441" i="32"/>
  <c r="AG442" i="32"/>
  <c r="AH442" i="32"/>
  <c r="AG443" i="32"/>
  <c r="AH443" i="32"/>
  <c r="AG4" i="32"/>
  <c r="Y5" i="32"/>
  <c r="Y4" i="32"/>
  <c r="Y6" i="32"/>
  <c r="Y7" i="32"/>
  <c r="Y8" i="32"/>
  <c r="Y9" i="32"/>
  <c r="Y10" i="32"/>
  <c r="Y11" i="32"/>
  <c r="Y12" i="32"/>
  <c r="Y13" i="32"/>
  <c r="Y14" i="32"/>
  <c r="Y15" i="32"/>
  <c r="Y16" i="32"/>
  <c r="Y17" i="32"/>
  <c r="Y18" i="32"/>
  <c r="Y19" i="32"/>
  <c r="Y20" i="32"/>
  <c r="Y21" i="32"/>
  <c r="Y22" i="32"/>
  <c r="Y23" i="32"/>
  <c r="Y24" i="32"/>
  <c r="Y25" i="32"/>
  <c r="Y26" i="32"/>
  <c r="Y27" i="32"/>
  <c r="Y28" i="32"/>
  <c r="Y29" i="32"/>
  <c r="Y30" i="32"/>
  <c r="Y31" i="32"/>
  <c r="Y32" i="32"/>
  <c r="Y33" i="32"/>
  <c r="Y34" i="32"/>
  <c r="Y35" i="32"/>
  <c r="Y36" i="32"/>
  <c r="Y37" i="32"/>
  <c r="Y38" i="32"/>
  <c r="Y39" i="32"/>
  <c r="Y40" i="32"/>
  <c r="Y41" i="32"/>
  <c r="Y42" i="32"/>
  <c r="Y43" i="32"/>
  <c r="Y44" i="32"/>
  <c r="Y45" i="32"/>
  <c r="Y46" i="32"/>
  <c r="Y47" i="32"/>
  <c r="Y48" i="32"/>
  <c r="Y49" i="32"/>
  <c r="Y50" i="32"/>
  <c r="Y51" i="32"/>
  <c r="Y52" i="32"/>
  <c r="Y53" i="32"/>
  <c r="Y54" i="32"/>
  <c r="Y55" i="32"/>
  <c r="Y56" i="32"/>
  <c r="Y57" i="32"/>
  <c r="Y58" i="32"/>
  <c r="Y59" i="32"/>
  <c r="Y60" i="32"/>
  <c r="Y61" i="32"/>
  <c r="Y62" i="32"/>
  <c r="Y63" i="32"/>
  <c r="Y64" i="32"/>
  <c r="Y65" i="32"/>
  <c r="Y66" i="32"/>
  <c r="Y67" i="32"/>
  <c r="Y68" i="32"/>
  <c r="Y69" i="32"/>
  <c r="Y70" i="32"/>
  <c r="Y71" i="32"/>
  <c r="Y72" i="32"/>
  <c r="Y73" i="32"/>
  <c r="Y74" i="32"/>
  <c r="Y75" i="32"/>
  <c r="Y76" i="32"/>
  <c r="Y77" i="32"/>
  <c r="Y78" i="32"/>
  <c r="Y79" i="32"/>
  <c r="Y80" i="32"/>
  <c r="Y81" i="32"/>
  <c r="Y82" i="32"/>
  <c r="Y83" i="32"/>
  <c r="Y84" i="32"/>
  <c r="Y85" i="32"/>
  <c r="Y86" i="32"/>
  <c r="Y87" i="32"/>
  <c r="Y88" i="32"/>
  <c r="Y89" i="32"/>
  <c r="Y90" i="32"/>
  <c r="Y91" i="32"/>
  <c r="Y92" i="32"/>
  <c r="Y93" i="32"/>
  <c r="Y94" i="32"/>
  <c r="Y95" i="32"/>
  <c r="Y96" i="32"/>
  <c r="Y97" i="32"/>
  <c r="Y98" i="32"/>
  <c r="Y99" i="32"/>
  <c r="Y100" i="32"/>
  <c r="Y101" i="32"/>
  <c r="Y102" i="32"/>
  <c r="Y103" i="32"/>
  <c r="Y104" i="32"/>
  <c r="Y105" i="32"/>
  <c r="Y106" i="32"/>
  <c r="Y107" i="32"/>
  <c r="Y108" i="32"/>
  <c r="Y109" i="32"/>
  <c r="Y110" i="32"/>
  <c r="Y111" i="32"/>
  <c r="Y112" i="32"/>
  <c r="Y113" i="32"/>
  <c r="Y114" i="32"/>
  <c r="Y115" i="32"/>
  <c r="Y116" i="32"/>
  <c r="Y117" i="32"/>
  <c r="Y118" i="32"/>
  <c r="Y119" i="32"/>
  <c r="Y120" i="32"/>
  <c r="Y121" i="32"/>
  <c r="Y122" i="32"/>
  <c r="Y123" i="32"/>
  <c r="Y124" i="32"/>
  <c r="Y125" i="32"/>
  <c r="Y126" i="32"/>
  <c r="Y127" i="32"/>
  <c r="Y128" i="32"/>
  <c r="Y129" i="32"/>
  <c r="Y130" i="32"/>
  <c r="Y131" i="32"/>
  <c r="Y132" i="32"/>
  <c r="Y133" i="32"/>
  <c r="Y134" i="32"/>
  <c r="Y135" i="32"/>
  <c r="Y136" i="32"/>
  <c r="Y137" i="32"/>
  <c r="Y138" i="32"/>
  <c r="Y139" i="32"/>
  <c r="Y140" i="32"/>
  <c r="Y141" i="32"/>
  <c r="Y142" i="32"/>
  <c r="Y143" i="32"/>
  <c r="Y144" i="32"/>
  <c r="Y145" i="32"/>
  <c r="Y146" i="32"/>
  <c r="Y147" i="32"/>
  <c r="Y148" i="32"/>
  <c r="Y149" i="32"/>
  <c r="Y150" i="32"/>
  <c r="Y151" i="32"/>
  <c r="Y152" i="32"/>
  <c r="Y153" i="32"/>
  <c r="Y154" i="32"/>
  <c r="Y155" i="32"/>
  <c r="Y156" i="32"/>
  <c r="Y157" i="32"/>
  <c r="Y158" i="32"/>
  <c r="Y159" i="32"/>
  <c r="Y160" i="32"/>
  <c r="Y161" i="32"/>
  <c r="Y162" i="32"/>
  <c r="Y163" i="32"/>
  <c r="Y164" i="32"/>
  <c r="Y165" i="32"/>
  <c r="Y166" i="32"/>
  <c r="Y167" i="32"/>
  <c r="Y168" i="32"/>
  <c r="Y169" i="32"/>
  <c r="Y170" i="32"/>
  <c r="Y171" i="32"/>
  <c r="Y172" i="32"/>
  <c r="Y173" i="32"/>
  <c r="Y174" i="32"/>
  <c r="Y175" i="32"/>
  <c r="Y176" i="32"/>
  <c r="Y177" i="32"/>
  <c r="Y178" i="32"/>
  <c r="Y179" i="32"/>
  <c r="Y180" i="32"/>
  <c r="Y181" i="32"/>
  <c r="Y182" i="32"/>
  <c r="Y183" i="32"/>
  <c r="Y184" i="32"/>
  <c r="Y185" i="32"/>
  <c r="Y186" i="32"/>
  <c r="Y187" i="32"/>
  <c r="Y188" i="32"/>
  <c r="Y189" i="32"/>
  <c r="Y190" i="32"/>
  <c r="Y191" i="32"/>
  <c r="Y192" i="32"/>
  <c r="Y193" i="32"/>
  <c r="Y194" i="32"/>
  <c r="Y195" i="32"/>
  <c r="Y196" i="32"/>
  <c r="Y197" i="32"/>
  <c r="Y198" i="32"/>
  <c r="Y199" i="32"/>
  <c r="Y200" i="32"/>
  <c r="Y201" i="32"/>
  <c r="Y202" i="32"/>
  <c r="Y203" i="32"/>
  <c r="Y204" i="32"/>
  <c r="Y205" i="32"/>
  <c r="Y206" i="32"/>
  <c r="Y207" i="32"/>
  <c r="Y208" i="32"/>
  <c r="Y209" i="32"/>
  <c r="Y210" i="32"/>
  <c r="Y211" i="32"/>
  <c r="Y212" i="32"/>
  <c r="Y213" i="32"/>
  <c r="Y214" i="32"/>
  <c r="Y215" i="32"/>
  <c r="Y216" i="32"/>
  <c r="Y217" i="32"/>
  <c r="Y218" i="32"/>
  <c r="Y219" i="32"/>
  <c r="Y220" i="32"/>
  <c r="Y221" i="32"/>
  <c r="Y222" i="32"/>
  <c r="Y223" i="32"/>
  <c r="Y224" i="32"/>
  <c r="Y225" i="32"/>
  <c r="Y226" i="32"/>
  <c r="Y227" i="32"/>
  <c r="Y228" i="32"/>
  <c r="Y229" i="32"/>
  <c r="Y230" i="32"/>
  <c r="Y231" i="32"/>
  <c r="Y232" i="32"/>
  <c r="Y233" i="32"/>
  <c r="Y234" i="32"/>
  <c r="Y235" i="32"/>
  <c r="Y236" i="32"/>
  <c r="Y237" i="32"/>
  <c r="Y238" i="32"/>
  <c r="Y239" i="32"/>
  <c r="Y240" i="32"/>
  <c r="Y241" i="32"/>
  <c r="Y242" i="32"/>
  <c r="Y243" i="32"/>
  <c r="Y244" i="32"/>
  <c r="Y245" i="32"/>
  <c r="Y246" i="32"/>
  <c r="Y247" i="32"/>
  <c r="Y248" i="32"/>
  <c r="Y249" i="32"/>
  <c r="Y250" i="32"/>
  <c r="Y251" i="32"/>
  <c r="Y252" i="32"/>
  <c r="Y253" i="32"/>
  <c r="Y254" i="32"/>
  <c r="Y255" i="32"/>
  <c r="Y256" i="32"/>
  <c r="Y257" i="32"/>
  <c r="Y258" i="32"/>
  <c r="Y259" i="32"/>
  <c r="Y260" i="32"/>
  <c r="Y261" i="32"/>
  <c r="Y262" i="32"/>
  <c r="Y263" i="32"/>
  <c r="Y264" i="32"/>
  <c r="Y265" i="32"/>
  <c r="Y266" i="32"/>
  <c r="Y267" i="32"/>
  <c r="Y268" i="32"/>
  <c r="Y269" i="32"/>
  <c r="Y270" i="32"/>
  <c r="Y271" i="32"/>
  <c r="Y272" i="32"/>
  <c r="Y273" i="32"/>
  <c r="Y274" i="32"/>
  <c r="Y275" i="32"/>
  <c r="Y276" i="32"/>
  <c r="Y277" i="32"/>
  <c r="Y278" i="32"/>
  <c r="Y279" i="32"/>
  <c r="Y280" i="32"/>
  <c r="Y281" i="32"/>
  <c r="Y282" i="32"/>
  <c r="Y283" i="32"/>
  <c r="Y284" i="32"/>
  <c r="Y285" i="32"/>
  <c r="Y286" i="32"/>
  <c r="Y287" i="32"/>
  <c r="Y288" i="32"/>
  <c r="Y289" i="32"/>
  <c r="Y290" i="32"/>
  <c r="Y291" i="32"/>
  <c r="Y292" i="32"/>
  <c r="Y293" i="32"/>
  <c r="Y294" i="32"/>
  <c r="Y295" i="32"/>
  <c r="Y296" i="32"/>
  <c r="Y297" i="32"/>
  <c r="Y298" i="32"/>
  <c r="Y299" i="32"/>
  <c r="Y300" i="32"/>
  <c r="Y301" i="32"/>
  <c r="Y302" i="32"/>
  <c r="Y303" i="32"/>
  <c r="Y304" i="32"/>
  <c r="Y305" i="32"/>
  <c r="Y306" i="32"/>
  <c r="Y307" i="32"/>
  <c r="Y308" i="32"/>
  <c r="Y309" i="32"/>
  <c r="Y310" i="32"/>
  <c r="Y311" i="32"/>
  <c r="Y312" i="32"/>
  <c r="Y313" i="32"/>
  <c r="Y314" i="32"/>
  <c r="Y315" i="32"/>
  <c r="Y316" i="32"/>
  <c r="Y317" i="32"/>
  <c r="Y318" i="32"/>
  <c r="Y319" i="32"/>
  <c r="Y320" i="32"/>
  <c r="Y321" i="32"/>
  <c r="Y322" i="32"/>
  <c r="Y323" i="32"/>
  <c r="Y324" i="32"/>
  <c r="Y325" i="32"/>
  <c r="Y326" i="32"/>
  <c r="Y327" i="32"/>
  <c r="Y328" i="32"/>
  <c r="Y329" i="32"/>
  <c r="Y330" i="32"/>
  <c r="Y331" i="32"/>
  <c r="Y332" i="32"/>
  <c r="Y333" i="32"/>
  <c r="Y334" i="32"/>
  <c r="Y335" i="32"/>
  <c r="Y336" i="32"/>
  <c r="Y337" i="32"/>
  <c r="Y338" i="32"/>
  <c r="Y339" i="32"/>
  <c r="Y340" i="32"/>
  <c r="Y341" i="32"/>
  <c r="Y342" i="32"/>
  <c r="Y343" i="32"/>
  <c r="Y344" i="32"/>
  <c r="Y345" i="32"/>
  <c r="Y346" i="32"/>
  <c r="Y347" i="32"/>
  <c r="Y348" i="32"/>
  <c r="Y349" i="32"/>
  <c r="Y350" i="32"/>
  <c r="Y351" i="32"/>
  <c r="Y352" i="32"/>
  <c r="Y353" i="32"/>
  <c r="Y354" i="32"/>
  <c r="Y355" i="32"/>
  <c r="Y356" i="32"/>
  <c r="Y357" i="32"/>
  <c r="Y358" i="32"/>
  <c r="Y359" i="32"/>
  <c r="Y360" i="32"/>
  <c r="Y361" i="32"/>
  <c r="Y362" i="32"/>
  <c r="Y363" i="32"/>
  <c r="Y364" i="32"/>
  <c r="Y365" i="32"/>
  <c r="Y366" i="32"/>
  <c r="Y367" i="32"/>
  <c r="Y368" i="32"/>
  <c r="Y369" i="32"/>
  <c r="Y370" i="32"/>
  <c r="Y371" i="32"/>
  <c r="Y372" i="32"/>
  <c r="Y373" i="32"/>
  <c r="Y374" i="32"/>
  <c r="Y375" i="32"/>
  <c r="Y376" i="32"/>
  <c r="Y377" i="32"/>
  <c r="Y378" i="32"/>
  <c r="Y379" i="32"/>
  <c r="Y380" i="32"/>
  <c r="Y381" i="32"/>
  <c r="Y382" i="32"/>
  <c r="Y383" i="32"/>
  <c r="Y384" i="32"/>
  <c r="Y385" i="32"/>
  <c r="Y386" i="32"/>
  <c r="Y387" i="32"/>
  <c r="Y388" i="32"/>
  <c r="Y389" i="32"/>
  <c r="Y390" i="32"/>
  <c r="Y391" i="32"/>
  <c r="Y392" i="32"/>
  <c r="Y393" i="32"/>
  <c r="Y394" i="32"/>
  <c r="Y395" i="32"/>
  <c r="Y396" i="32"/>
  <c r="Y397" i="32"/>
  <c r="Y398" i="32"/>
  <c r="Y399" i="32"/>
  <c r="Y400" i="32"/>
  <c r="Y401" i="32"/>
  <c r="Y402" i="32"/>
  <c r="Y403" i="32"/>
  <c r="Y404" i="32"/>
  <c r="Y405" i="32"/>
  <c r="Y406" i="32"/>
  <c r="Y407" i="32"/>
  <c r="Y408" i="32"/>
  <c r="Y409" i="32"/>
  <c r="Y410" i="32"/>
  <c r="Y411" i="32"/>
  <c r="Y412" i="32"/>
  <c r="Y413" i="32"/>
  <c r="Y414" i="32"/>
  <c r="Y415" i="32"/>
  <c r="Y416" i="32"/>
  <c r="Y417" i="32"/>
  <c r="Y418" i="32"/>
  <c r="Y419" i="32"/>
  <c r="Y420" i="32"/>
  <c r="Y421" i="32"/>
  <c r="Y422" i="32"/>
  <c r="Y423" i="32"/>
  <c r="Y424" i="32"/>
  <c r="Y425" i="32"/>
  <c r="Y426" i="32"/>
  <c r="Y427" i="32"/>
  <c r="Y428" i="32"/>
  <c r="Y429" i="32"/>
  <c r="Y430" i="32"/>
  <c r="Y431" i="32"/>
  <c r="Y432" i="32"/>
  <c r="Y433" i="32"/>
  <c r="Y434" i="32"/>
  <c r="Y435" i="32"/>
  <c r="Y436" i="32"/>
  <c r="Y437" i="32"/>
  <c r="Y438" i="32"/>
  <c r="Y439" i="32"/>
  <c r="Y440" i="32"/>
  <c r="Y441" i="32"/>
  <c r="Y442" i="32"/>
  <c r="Y443" i="32"/>
  <c r="Y444" i="32"/>
  <c r="Y445" i="32"/>
  <c r="Y446" i="32"/>
  <c r="Y447" i="32"/>
  <c r="Y448" i="32"/>
  <c r="Y449" i="32"/>
  <c r="Y450" i="32"/>
  <c r="Y451" i="32"/>
  <c r="Y452" i="32"/>
  <c r="Y453" i="32"/>
  <c r="Y454" i="32"/>
  <c r="Y455" i="32"/>
  <c r="Y456" i="32"/>
  <c r="Y457" i="32"/>
  <c r="Y458" i="32"/>
  <c r="Y459" i="32"/>
  <c r="Y460" i="32"/>
  <c r="Y461" i="32"/>
  <c r="Y462" i="32"/>
  <c r="Y463" i="32"/>
  <c r="Y464" i="32"/>
  <c r="Y465" i="32"/>
  <c r="Y466" i="32"/>
  <c r="Y467" i="32"/>
  <c r="Y468" i="32"/>
  <c r="Y469" i="32"/>
  <c r="Y470" i="32"/>
  <c r="Y471" i="32"/>
  <c r="Y472" i="32"/>
  <c r="Y473" i="32"/>
  <c r="Y474" i="32"/>
  <c r="Y475" i="32"/>
  <c r="Y476" i="32"/>
  <c r="Y477" i="32"/>
  <c r="Y478" i="32"/>
  <c r="Y479" i="32"/>
  <c r="Y480" i="32"/>
  <c r="Y481" i="32"/>
  <c r="Y482" i="32"/>
  <c r="Y483" i="32"/>
  <c r="Y484" i="32"/>
  <c r="Y485" i="32"/>
  <c r="Y486" i="32"/>
  <c r="Y487" i="32"/>
  <c r="Y488" i="32"/>
  <c r="Y489" i="32"/>
  <c r="Y490" i="32"/>
  <c r="Y491" i="32"/>
  <c r="Y492" i="32"/>
  <c r="Y493" i="32"/>
  <c r="Y494" i="32"/>
  <c r="Y495" i="32"/>
  <c r="Y496" i="32"/>
  <c r="Y497" i="32"/>
  <c r="Y498" i="32"/>
  <c r="Y499" i="32"/>
  <c r="Y500" i="32"/>
  <c r="Y501" i="32"/>
  <c r="Y502" i="32"/>
  <c r="Y503" i="32"/>
  <c r="Y504" i="32"/>
  <c r="Y505" i="32"/>
  <c r="Y506" i="32"/>
  <c r="Y507" i="32"/>
  <c r="Y508" i="32"/>
  <c r="Y509" i="32"/>
  <c r="Y510" i="32"/>
  <c r="Y511" i="32"/>
  <c r="Y512" i="32"/>
  <c r="Y513" i="32"/>
  <c r="Y514" i="32"/>
  <c r="Y515" i="32"/>
  <c r="Y516" i="32"/>
  <c r="Y517" i="32"/>
  <c r="Y518" i="32"/>
  <c r="Y519" i="32"/>
  <c r="Y520" i="32"/>
  <c r="Y521" i="32"/>
  <c r="Y522" i="32"/>
  <c r="Y523" i="32"/>
  <c r="Y524" i="32"/>
  <c r="Y525" i="32"/>
  <c r="Y526" i="32"/>
  <c r="Y527" i="32"/>
  <c r="Y528" i="32"/>
  <c r="Y529" i="32"/>
  <c r="Y530" i="32"/>
  <c r="Y531" i="32"/>
  <c r="Y532" i="32"/>
  <c r="Y533" i="32"/>
  <c r="Y534" i="32"/>
  <c r="Y535" i="32"/>
  <c r="Y536" i="32"/>
  <c r="Y537" i="32"/>
  <c r="Y538" i="32"/>
  <c r="Y539" i="32"/>
  <c r="Y540" i="32"/>
  <c r="Y541" i="32"/>
  <c r="Y542" i="32"/>
  <c r="Y543" i="32"/>
  <c r="Y544" i="32"/>
  <c r="Y545" i="32"/>
  <c r="Y546" i="32"/>
  <c r="Y547" i="32"/>
  <c r="Y548" i="32"/>
  <c r="Y549" i="32"/>
  <c r="Y550" i="32"/>
  <c r="Y551" i="32"/>
  <c r="Y552" i="32"/>
  <c r="Y553" i="32"/>
  <c r="Y554" i="32"/>
  <c r="Y555" i="32"/>
  <c r="Y556" i="32"/>
  <c r="Y557" i="32"/>
  <c r="Y558" i="32"/>
  <c r="Y559" i="32"/>
  <c r="Y560" i="32"/>
  <c r="Y561" i="32"/>
  <c r="Y562" i="32"/>
  <c r="Y563" i="32"/>
  <c r="Y564" i="32"/>
  <c r="Y565" i="32"/>
  <c r="Y566" i="32"/>
  <c r="Y567" i="32"/>
  <c r="Y568" i="32"/>
  <c r="Y569" i="32"/>
  <c r="Y570" i="32"/>
  <c r="Y571" i="32"/>
  <c r="Y572" i="32"/>
  <c r="Y573" i="32"/>
  <c r="Y574" i="32"/>
  <c r="Y575" i="32"/>
  <c r="Y576" i="32"/>
  <c r="Y577" i="32"/>
  <c r="Y578" i="32"/>
  <c r="Y579" i="32"/>
  <c r="Y580" i="32"/>
  <c r="Y581" i="32"/>
  <c r="Y582" i="32"/>
  <c r="Y583" i="32"/>
  <c r="Y584" i="32"/>
  <c r="Y585" i="32"/>
  <c r="Y586" i="32"/>
  <c r="Y587" i="32"/>
  <c r="Y588" i="32"/>
  <c r="Y589" i="32"/>
  <c r="Y590" i="32"/>
  <c r="Y591" i="32"/>
  <c r="Y592" i="32"/>
  <c r="Y593" i="32"/>
  <c r="Y594" i="32"/>
  <c r="Y595" i="32"/>
  <c r="Y596" i="32"/>
  <c r="Y597" i="32"/>
  <c r="Y598" i="32"/>
  <c r="Y599" i="32"/>
  <c r="Y600" i="32"/>
  <c r="Y601" i="32"/>
  <c r="Y602" i="32"/>
  <c r="Y603" i="32"/>
  <c r="Y604" i="32"/>
  <c r="Y605" i="32"/>
  <c r="Y606" i="32"/>
  <c r="Y607" i="32"/>
  <c r="Y608" i="32"/>
  <c r="Y609" i="32"/>
  <c r="Y610" i="32"/>
  <c r="Y611" i="32"/>
  <c r="Y612" i="32"/>
  <c r="Y613" i="32"/>
  <c r="Y614" i="32"/>
  <c r="Y615" i="32"/>
  <c r="Y616" i="32"/>
  <c r="Y617" i="32"/>
  <c r="Y618" i="32"/>
  <c r="Y619" i="32"/>
  <c r="Y620" i="32"/>
  <c r="Y621" i="32"/>
  <c r="Y622" i="32"/>
  <c r="Y623" i="32"/>
  <c r="Y624" i="32"/>
  <c r="Y625" i="32"/>
  <c r="Y626" i="32"/>
  <c r="Y627" i="32"/>
  <c r="Y628" i="32"/>
  <c r="Y629" i="32"/>
  <c r="Y630" i="32"/>
  <c r="Y631" i="32"/>
  <c r="Y632" i="32"/>
  <c r="Y633" i="32"/>
  <c r="Y634" i="32"/>
  <c r="Y635" i="32"/>
  <c r="Y636" i="32"/>
  <c r="Y637" i="32"/>
  <c r="Y638" i="32"/>
  <c r="Y639" i="32"/>
  <c r="Y640" i="32"/>
  <c r="Y641" i="32"/>
  <c r="Y642" i="32"/>
  <c r="Y643" i="32"/>
  <c r="Y644" i="32"/>
  <c r="Y645" i="32"/>
  <c r="Y646" i="32"/>
  <c r="Y647" i="32"/>
  <c r="Y648" i="32"/>
  <c r="Y649" i="32"/>
  <c r="Y650" i="32"/>
  <c r="Y651" i="32"/>
  <c r="Y652" i="32"/>
  <c r="Y653" i="32"/>
  <c r="Y654" i="32"/>
  <c r="Y655" i="32"/>
  <c r="Y656" i="32"/>
  <c r="Y657" i="32"/>
  <c r="Y658" i="32"/>
  <c r="Y659" i="32"/>
  <c r="Y660" i="32"/>
  <c r="Y661" i="32"/>
  <c r="Y662" i="32"/>
  <c r="Y663" i="32"/>
  <c r="Y664" i="32"/>
  <c r="Y665" i="32"/>
  <c r="Y666" i="32"/>
  <c r="Y667" i="32"/>
  <c r="Y668" i="32"/>
  <c r="Y669" i="32"/>
  <c r="Y670" i="32"/>
  <c r="Y671" i="32"/>
  <c r="Y672" i="32"/>
  <c r="Y673" i="32"/>
  <c r="Y674" i="32"/>
  <c r="Y675" i="32"/>
  <c r="Y676" i="32"/>
  <c r="Y677" i="32"/>
  <c r="Y678" i="32"/>
  <c r="Y679" i="32"/>
  <c r="Y680" i="32"/>
  <c r="Y681" i="32"/>
  <c r="Y682" i="32"/>
  <c r="Y683" i="32"/>
  <c r="Y684" i="32"/>
  <c r="Y685" i="32"/>
  <c r="Y686" i="32"/>
  <c r="Y687" i="32"/>
  <c r="Y688" i="32"/>
  <c r="Y689" i="32"/>
  <c r="Y690" i="32"/>
  <c r="Y691" i="32"/>
  <c r="Y692" i="32"/>
  <c r="Y693" i="32"/>
  <c r="Y694" i="32"/>
  <c r="Y695" i="32"/>
  <c r="Y696" i="32"/>
  <c r="Y697" i="32"/>
  <c r="Y698" i="32"/>
  <c r="Y699" i="32"/>
  <c r="Y700" i="32"/>
  <c r="Y701" i="32"/>
  <c r="Y702" i="32"/>
  <c r="Y703" i="32"/>
  <c r="Y704" i="32"/>
  <c r="Y705" i="32"/>
  <c r="Y706" i="32"/>
  <c r="Y707" i="32"/>
  <c r="Y708" i="32"/>
  <c r="Y709" i="32"/>
  <c r="Y710" i="32"/>
  <c r="Y711" i="32"/>
  <c r="Y712" i="32"/>
  <c r="Y713" i="32"/>
  <c r="Y714" i="32"/>
  <c r="Y715" i="32"/>
  <c r="Y716" i="32"/>
  <c r="Y717" i="32"/>
  <c r="Y718" i="32"/>
  <c r="Y719" i="32"/>
  <c r="Y720" i="32"/>
  <c r="Y721" i="32"/>
  <c r="Y722" i="32"/>
  <c r="Y723" i="32"/>
  <c r="Y724" i="32"/>
  <c r="Y725" i="32"/>
  <c r="Y726" i="32"/>
  <c r="Y727" i="32"/>
  <c r="Y728" i="32"/>
  <c r="Y729" i="32"/>
  <c r="Y730" i="32"/>
  <c r="Y731" i="32"/>
  <c r="Y732" i="32"/>
  <c r="Y733" i="32"/>
  <c r="Y734" i="32"/>
  <c r="Y735" i="32"/>
  <c r="Y736" i="32"/>
  <c r="Y737" i="32"/>
  <c r="Y738" i="32"/>
  <c r="Y739" i="32"/>
  <c r="Y740" i="32"/>
  <c r="Y741" i="32"/>
  <c r="Y742" i="32"/>
  <c r="Y743" i="32"/>
  <c r="Y744" i="32"/>
  <c r="Y745" i="32"/>
  <c r="Y746" i="32"/>
  <c r="Y747" i="32"/>
  <c r="Y748" i="32"/>
  <c r="Y749" i="32"/>
  <c r="Y750" i="32"/>
  <c r="Y751" i="32"/>
  <c r="Y752" i="32"/>
  <c r="Y753" i="32"/>
  <c r="Y754" i="32"/>
  <c r="Y755" i="32"/>
  <c r="Y756" i="32"/>
  <c r="Y757" i="32"/>
  <c r="Y758" i="32"/>
  <c r="Y759" i="32"/>
  <c r="Y760" i="32"/>
  <c r="Y761" i="32"/>
  <c r="Y762" i="32"/>
  <c r="Y763" i="32"/>
  <c r="Y764" i="32"/>
  <c r="Y765" i="32"/>
  <c r="Y766" i="32"/>
  <c r="Y767" i="32"/>
  <c r="Y768" i="32"/>
  <c r="Y769" i="32"/>
  <c r="Y770" i="32"/>
  <c r="Y771" i="32"/>
  <c r="Y772" i="32"/>
  <c r="Y773" i="32"/>
  <c r="Y774" i="32"/>
  <c r="Y775" i="32"/>
  <c r="Y776" i="32"/>
  <c r="Y777" i="32"/>
  <c r="Y778" i="32"/>
  <c r="Y779" i="32"/>
  <c r="Y780" i="32"/>
  <c r="Y781" i="32"/>
  <c r="Y782" i="32"/>
  <c r="Y783" i="32"/>
  <c r="Y784" i="32"/>
  <c r="Y785" i="32"/>
  <c r="Y786" i="32"/>
  <c r="Y787" i="32"/>
  <c r="Y788" i="32"/>
  <c r="Y789" i="32"/>
  <c r="Y790" i="32"/>
  <c r="Y791" i="32"/>
  <c r="Y792" i="32"/>
  <c r="Y793" i="32"/>
  <c r="Y794" i="32"/>
  <c r="Y795" i="32"/>
  <c r="Y796" i="32"/>
  <c r="Y797" i="32"/>
  <c r="Y798" i="32"/>
  <c r="Y799" i="32"/>
  <c r="Y800" i="32"/>
  <c r="Y801" i="32"/>
  <c r="Y802" i="32"/>
  <c r="Y803" i="32"/>
  <c r="Y804" i="32"/>
  <c r="Y805" i="32"/>
  <c r="Y806" i="32"/>
  <c r="Y807" i="32"/>
  <c r="Y808" i="32"/>
  <c r="Y809" i="32"/>
  <c r="Y810" i="32"/>
  <c r="Y811" i="32"/>
  <c r="Y812" i="32"/>
  <c r="Y813" i="32"/>
  <c r="Y814" i="32"/>
  <c r="Y815" i="32"/>
  <c r="Y816" i="32"/>
  <c r="Y817" i="32"/>
  <c r="Y818" i="32"/>
  <c r="Y819" i="32"/>
  <c r="Y820" i="32"/>
  <c r="Y821" i="32"/>
  <c r="Y822" i="32"/>
  <c r="Y823" i="32"/>
  <c r="Y824" i="32"/>
  <c r="Y825" i="32"/>
  <c r="Y826" i="32"/>
  <c r="Y827" i="32"/>
  <c r="Y828" i="32"/>
  <c r="Y829" i="32"/>
  <c r="Y830" i="32"/>
  <c r="Y831" i="32"/>
  <c r="Y832" i="32"/>
  <c r="Y833" i="32"/>
  <c r="Y834" i="32"/>
  <c r="Y835" i="32"/>
  <c r="Y836" i="32"/>
  <c r="Y837" i="32"/>
  <c r="Y838" i="32"/>
  <c r="Y839" i="32"/>
  <c r="Y840" i="32"/>
  <c r="Y841" i="32"/>
  <c r="Y842" i="32"/>
  <c r="Y843" i="32"/>
  <c r="Y844" i="32"/>
  <c r="Y845" i="32"/>
  <c r="Y846" i="32"/>
  <c r="Y847" i="32"/>
  <c r="Y848" i="32"/>
  <c r="Y849" i="32"/>
  <c r="Y850" i="32"/>
  <c r="Y851" i="32"/>
  <c r="Y852" i="32"/>
  <c r="Y853" i="32"/>
  <c r="Y854" i="32"/>
  <c r="Y855" i="32"/>
  <c r="Y856" i="32"/>
  <c r="Y857" i="32"/>
  <c r="Y858" i="32"/>
  <c r="Y859" i="32"/>
  <c r="Y860" i="32"/>
  <c r="Y861" i="32"/>
  <c r="Y862" i="32"/>
  <c r="Y863" i="32"/>
  <c r="Y864" i="32"/>
  <c r="Y865" i="32"/>
  <c r="Y866" i="32"/>
  <c r="Y867" i="32"/>
  <c r="Y868" i="32"/>
  <c r="Y869" i="32"/>
  <c r="Y870" i="32"/>
  <c r="Y871" i="32"/>
  <c r="Y872" i="32"/>
  <c r="Y873" i="32"/>
  <c r="Y874" i="32"/>
  <c r="Y875" i="32"/>
  <c r="Y876" i="32"/>
  <c r="Y877" i="32"/>
  <c r="Y878" i="32"/>
  <c r="Y879" i="32"/>
  <c r="Y880" i="32"/>
  <c r="Y881" i="32"/>
  <c r="Y882" i="32"/>
  <c r="Y883" i="32"/>
  <c r="Y884" i="32"/>
  <c r="Y885" i="32"/>
  <c r="Y886" i="32"/>
  <c r="Y887" i="32"/>
  <c r="Y888" i="32"/>
  <c r="Y889" i="32"/>
  <c r="Y890" i="32"/>
  <c r="Y891" i="32"/>
  <c r="Y892" i="32"/>
  <c r="Y893" i="32"/>
  <c r="Y894" i="32"/>
  <c r="Y895" i="32"/>
  <c r="Y896" i="32"/>
  <c r="Y897" i="32"/>
  <c r="Y898" i="32"/>
  <c r="Y899" i="32"/>
  <c r="Y900" i="32"/>
  <c r="Y901" i="32"/>
  <c r="Y902" i="32"/>
  <c r="Y903" i="32"/>
  <c r="Y904" i="32"/>
  <c r="Y905" i="32"/>
  <c r="Y906" i="32"/>
  <c r="Y907" i="32"/>
  <c r="AA5" i="32"/>
  <c r="Z605" i="32"/>
  <c r="Z5" i="32"/>
  <c r="Z4" i="32"/>
  <c r="Z6" i="32"/>
  <c r="Z7" i="32"/>
  <c r="Z8" i="32"/>
  <c r="Z9" i="32"/>
  <c r="Z10" i="32"/>
  <c r="Z11" i="32"/>
  <c r="Z12" i="32"/>
  <c r="Z13" i="32"/>
  <c r="Z14" i="32"/>
  <c r="Z15" i="32"/>
  <c r="Z16" i="32"/>
  <c r="Z17" i="32"/>
  <c r="Z18" i="32"/>
  <c r="Z19" i="32"/>
  <c r="Z20" i="32"/>
  <c r="Z21" i="32"/>
  <c r="Z22" i="32"/>
  <c r="Z23" i="32"/>
  <c r="Z24" i="32"/>
  <c r="Z25" i="32"/>
  <c r="Z26" i="32"/>
  <c r="Z27" i="32"/>
  <c r="Z28" i="32"/>
  <c r="Z29" i="32"/>
  <c r="Z30" i="32"/>
  <c r="Z31" i="32"/>
  <c r="Z32" i="32"/>
  <c r="Z33" i="32"/>
  <c r="Z34" i="32"/>
  <c r="Z35" i="32"/>
  <c r="Z36" i="32"/>
  <c r="Z37" i="32"/>
  <c r="Z38" i="32"/>
  <c r="Z39" i="32"/>
  <c r="Z40" i="32"/>
  <c r="Z41" i="32"/>
  <c r="Z42" i="32"/>
  <c r="Z43" i="32"/>
  <c r="Z44" i="32"/>
  <c r="Z45" i="32"/>
  <c r="Z46" i="32"/>
  <c r="Z47" i="32"/>
  <c r="Z48" i="32"/>
  <c r="Z49" i="32"/>
  <c r="Z50" i="32"/>
  <c r="Z51" i="32"/>
  <c r="Z52" i="32"/>
  <c r="Z53" i="32"/>
  <c r="Z54" i="32"/>
  <c r="Z55" i="32"/>
  <c r="Z56" i="32"/>
  <c r="Z57" i="32"/>
  <c r="Z58" i="32"/>
  <c r="Z59" i="32"/>
  <c r="Z60" i="32"/>
  <c r="Z61" i="32"/>
  <c r="Z62" i="32"/>
  <c r="Z63" i="32"/>
  <c r="Z64" i="32"/>
  <c r="Z65" i="32"/>
  <c r="Z66" i="32"/>
  <c r="Z67" i="32"/>
  <c r="Z68" i="32"/>
  <c r="Z69" i="32"/>
  <c r="Z70" i="32"/>
  <c r="Z71" i="32"/>
  <c r="Z72" i="32"/>
  <c r="Z73" i="32"/>
  <c r="Z74" i="32"/>
  <c r="Z75" i="32"/>
  <c r="Z76" i="32"/>
  <c r="Z77" i="32"/>
  <c r="Z78" i="32"/>
  <c r="Z79" i="32"/>
  <c r="Z80" i="32"/>
  <c r="Z81" i="32"/>
  <c r="Z82" i="32"/>
  <c r="Z83" i="32"/>
  <c r="Z84" i="32"/>
  <c r="Z85" i="32"/>
  <c r="Z86" i="32"/>
  <c r="Z87" i="32"/>
  <c r="Z88" i="32"/>
  <c r="Z89" i="32"/>
  <c r="Z90" i="32"/>
  <c r="Z91" i="32"/>
  <c r="Z92" i="32"/>
  <c r="Z93" i="32"/>
  <c r="Z94" i="32"/>
  <c r="Z95" i="32"/>
  <c r="Z96" i="32"/>
  <c r="Z97" i="32"/>
  <c r="Z98" i="32"/>
  <c r="Z99" i="32"/>
  <c r="Z100" i="32"/>
  <c r="Z101" i="32"/>
  <c r="Z102" i="32"/>
  <c r="Z103" i="32"/>
  <c r="Z104" i="32"/>
  <c r="Z105" i="32"/>
  <c r="Z106" i="32"/>
  <c r="Z107" i="32"/>
  <c r="Z108" i="32"/>
  <c r="Z109" i="32"/>
  <c r="Z110" i="32"/>
  <c r="Z111" i="32"/>
  <c r="Z112" i="32"/>
  <c r="Z113" i="32"/>
  <c r="Z114" i="32"/>
  <c r="Z115" i="32"/>
  <c r="Z116" i="32"/>
  <c r="Z117" i="32"/>
  <c r="Z118" i="32"/>
  <c r="Z119" i="32"/>
  <c r="Z120" i="32"/>
  <c r="Z121" i="32"/>
  <c r="Z122" i="32"/>
  <c r="Z123" i="32"/>
  <c r="Z124" i="32"/>
  <c r="Z125" i="32"/>
  <c r="Z126" i="32"/>
  <c r="Z127" i="32"/>
  <c r="Z128" i="32"/>
  <c r="Z129" i="32"/>
  <c r="Z130" i="32"/>
  <c r="Z131" i="32"/>
  <c r="Z132" i="32"/>
  <c r="Z133" i="32"/>
  <c r="Z134" i="32"/>
  <c r="Z135" i="32"/>
  <c r="Z136" i="32"/>
  <c r="Z137" i="32"/>
  <c r="Z138" i="32"/>
  <c r="Z139" i="32"/>
  <c r="Z140" i="32"/>
  <c r="Z141" i="32"/>
  <c r="Z142" i="32"/>
  <c r="Z143" i="32"/>
  <c r="Z144" i="32"/>
  <c r="Z145" i="32"/>
  <c r="Z146" i="32"/>
  <c r="Z147" i="32"/>
  <c r="Z148" i="32"/>
  <c r="Z149" i="32"/>
  <c r="Z150" i="32"/>
  <c r="Z151" i="32"/>
  <c r="Z152" i="32"/>
  <c r="Z153" i="32"/>
  <c r="Z154" i="32"/>
  <c r="Z155" i="32"/>
  <c r="Z156" i="32"/>
  <c r="Z157" i="32"/>
  <c r="Z158" i="32"/>
  <c r="Z159" i="32"/>
  <c r="Z160" i="32"/>
  <c r="Z161" i="32"/>
  <c r="Z162" i="32"/>
  <c r="Z163" i="32"/>
  <c r="Z164" i="32"/>
  <c r="Z165" i="32"/>
  <c r="Z166" i="32"/>
  <c r="Z167" i="32"/>
  <c r="Z168" i="32"/>
  <c r="Z169" i="32"/>
  <c r="Z170" i="32"/>
  <c r="Z171" i="32"/>
  <c r="Z172" i="32"/>
  <c r="Z173" i="32"/>
  <c r="Z174" i="32"/>
  <c r="Z175" i="32"/>
  <c r="Z176" i="32"/>
  <c r="Z177" i="32"/>
  <c r="Z178" i="32"/>
  <c r="Z179" i="32"/>
  <c r="Z180" i="32"/>
  <c r="Z181" i="32"/>
  <c r="Z182" i="32"/>
  <c r="Z183" i="32"/>
  <c r="Z184" i="32"/>
  <c r="Z185" i="32"/>
  <c r="Z186" i="32"/>
  <c r="Z187" i="32"/>
  <c r="Z188" i="32"/>
  <c r="Z189" i="32"/>
  <c r="Z190" i="32"/>
  <c r="Z191" i="32"/>
  <c r="Z192" i="32"/>
  <c r="Z193" i="32"/>
  <c r="Z194" i="32"/>
  <c r="Z195" i="32"/>
  <c r="Z196" i="32"/>
  <c r="Z197" i="32"/>
  <c r="Z198" i="32"/>
  <c r="Z199" i="32"/>
  <c r="Z200" i="32"/>
  <c r="Z201" i="32"/>
  <c r="Z202" i="32"/>
  <c r="Z203" i="32"/>
  <c r="Z204" i="32"/>
  <c r="Z205" i="32"/>
  <c r="Z206" i="32"/>
  <c r="Z207" i="32"/>
  <c r="Z208" i="32"/>
  <c r="Z209" i="32"/>
  <c r="Z210" i="32"/>
  <c r="Z211" i="32"/>
  <c r="Z212" i="32"/>
  <c r="Z213" i="32"/>
  <c r="Z214" i="32"/>
  <c r="Z215" i="32"/>
  <c r="Z216" i="32"/>
  <c r="Z217" i="32"/>
  <c r="Z218" i="32"/>
  <c r="Z219" i="32"/>
  <c r="Z220" i="32"/>
  <c r="Z221" i="32"/>
  <c r="Z222" i="32"/>
  <c r="Z223" i="32"/>
  <c r="Z224" i="32"/>
  <c r="Z225" i="32"/>
  <c r="Z226" i="32"/>
  <c r="Z227" i="32"/>
  <c r="Z228" i="32"/>
  <c r="Z229" i="32"/>
  <c r="Z230" i="32"/>
  <c r="Z231" i="32"/>
  <c r="Z232" i="32"/>
  <c r="Z233" i="32"/>
  <c r="Z234" i="32"/>
  <c r="Z235" i="32"/>
  <c r="Z236" i="32"/>
  <c r="Z237" i="32"/>
  <c r="Z238" i="32"/>
  <c r="Z239" i="32"/>
  <c r="Z240" i="32"/>
  <c r="Z241" i="32"/>
  <c r="Z242" i="32"/>
  <c r="Z243" i="32"/>
  <c r="Z244" i="32"/>
  <c r="Z245" i="32"/>
  <c r="Z246" i="32"/>
  <c r="Z247" i="32"/>
  <c r="Z248" i="32"/>
  <c r="Z249" i="32"/>
  <c r="Z250" i="32"/>
  <c r="Z251" i="32"/>
  <c r="Z252" i="32"/>
  <c r="Z253" i="32"/>
  <c r="Z254" i="32"/>
  <c r="Z255" i="32"/>
  <c r="Z256" i="32"/>
  <c r="Z257" i="32"/>
  <c r="Z258" i="32"/>
  <c r="Z259" i="32"/>
  <c r="Z260" i="32"/>
  <c r="Z261" i="32"/>
  <c r="Z262" i="32"/>
  <c r="Z263" i="32"/>
  <c r="Z264" i="32"/>
  <c r="Z265" i="32"/>
  <c r="Z266" i="32"/>
  <c r="Z267" i="32"/>
  <c r="Z268" i="32"/>
  <c r="Z269" i="32"/>
  <c r="Z270" i="32"/>
  <c r="Z271" i="32"/>
  <c r="Z272" i="32"/>
  <c r="Z273" i="32"/>
  <c r="Z274" i="32"/>
  <c r="Z275" i="32"/>
  <c r="Z276" i="32"/>
  <c r="Z277" i="32"/>
  <c r="Z278" i="32"/>
  <c r="Z279" i="32"/>
  <c r="Z280" i="32"/>
  <c r="Z281" i="32"/>
  <c r="Z282" i="32"/>
  <c r="Z283" i="32"/>
  <c r="Z284" i="32"/>
  <c r="Z285" i="32"/>
  <c r="Z286" i="32"/>
  <c r="Z287" i="32"/>
  <c r="Z288" i="32"/>
  <c r="Z289" i="32"/>
  <c r="Z290" i="32"/>
  <c r="Z291" i="32"/>
  <c r="Z292" i="32"/>
  <c r="Z293" i="32"/>
  <c r="Z294" i="32"/>
  <c r="Z295" i="32"/>
  <c r="Z296" i="32"/>
  <c r="Z297" i="32"/>
  <c r="Z298" i="32"/>
  <c r="Z299" i="32"/>
  <c r="Z300" i="32"/>
  <c r="Z301" i="32"/>
  <c r="Z302" i="32"/>
  <c r="Z303" i="32"/>
  <c r="Z304" i="32"/>
  <c r="Z305" i="32"/>
  <c r="Z306" i="32"/>
  <c r="Z307" i="32"/>
  <c r="Z308" i="32"/>
  <c r="Z309" i="32"/>
  <c r="Z310" i="32"/>
  <c r="Z311" i="32"/>
  <c r="Z312" i="32"/>
  <c r="Z313" i="32"/>
  <c r="Z314" i="32"/>
  <c r="Z315" i="32"/>
  <c r="Z316" i="32"/>
  <c r="Z317" i="32"/>
  <c r="Z318" i="32"/>
  <c r="Z319" i="32"/>
  <c r="Z320" i="32"/>
  <c r="Z321" i="32"/>
  <c r="Z322" i="32"/>
  <c r="Z323" i="32"/>
  <c r="Z324" i="32"/>
  <c r="Z325" i="32"/>
  <c r="Z326" i="32"/>
  <c r="Z327" i="32"/>
  <c r="Z328" i="32"/>
  <c r="Z329" i="32"/>
  <c r="Z330" i="32"/>
  <c r="Z331" i="32"/>
  <c r="Z332" i="32"/>
  <c r="Z333" i="32"/>
  <c r="Z334" i="32"/>
  <c r="Z335" i="32"/>
  <c r="Z336" i="32"/>
  <c r="Z337" i="32"/>
  <c r="Z338" i="32"/>
  <c r="Z339" i="32"/>
  <c r="Z340" i="32"/>
  <c r="Z341" i="32"/>
  <c r="Z342" i="32"/>
  <c r="Z343" i="32"/>
  <c r="Z344" i="32"/>
  <c r="Z345" i="32"/>
  <c r="Z346" i="32"/>
  <c r="Z347" i="32"/>
  <c r="Z348" i="32"/>
  <c r="Z349" i="32"/>
  <c r="Z350" i="32"/>
  <c r="Z351" i="32"/>
  <c r="Z352" i="32"/>
  <c r="Z353" i="32"/>
  <c r="Z354" i="32"/>
  <c r="Z355" i="32"/>
  <c r="Z356" i="32"/>
  <c r="Z357" i="32"/>
  <c r="Z358" i="32"/>
  <c r="Z359" i="32"/>
  <c r="Z360" i="32"/>
  <c r="Z361" i="32"/>
  <c r="Z362" i="32"/>
  <c r="Z363" i="32"/>
  <c r="Z364" i="32"/>
  <c r="Z365" i="32"/>
  <c r="Z366" i="32"/>
  <c r="Z367" i="32"/>
  <c r="Z368" i="32"/>
  <c r="Z369" i="32"/>
  <c r="Z370" i="32"/>
  <c r="Z371" i="32"/>
  <c r="Z372" i="32"/>
  <c r="Z373" i="32"/>
  <c r="Z374" i="32"/>
  <c r="Z375" i="32"/>
  <c r="Z376" i="32"/>
  <c r="Z377" i="32"/>
  <c r="Z378" i="32"/>
  <c r="Z379" i="32"/>
  <c r="Z380" i="32"/>
  <c r="Z381" i="32"/>
  <c r="Z382" i="32"/>
  <c r="Z383" i="32"/>
  <c r="Z384" i="32"/>
  <c r="Z385" i="32"/>
  <c r="Z386" i="32"/>
  <c r="Z387" i="32"/>
  <c r="Z388" i="32"/>
  <c r="Z389" i="32"/>
  <c r="Z390" i="32"/>
  <c r="Z391" i="32"/>
  <c r="Z392" i="32"/>
  <c r="Z393" i="32"/>
  <c r="Z394" i="32"/>
  <c r="Z395" i="32"/>
  <c r="Z396" i="32"/>
  <c r="Z397" i="32"/>
  <c r="Z398" i="32"/>
  <c r="Z399" i="32"/>
  <c r="Z400" i="32"/>
  <c r="Z401" i="32"/>
  <c r="Z402" i="32"/>
  <c r="Z403" i="32"/>
  <c r="Z404" i="32"/>
  <c r="Z405" i="32"/>
  <c r="Z406" i="32"/>
  <c r="Z407" i="32"/>
  <c r="Z408" i="32"/>
  <c r="Z409" i="32"/>
  <c r="Z410" i="32"/>
  <c r="Z411" i="32"/>
  <c r="Z412" i="32"/>
  <c r="Z413" i="32"/>
  <c r="Z414" i="32"/>
  <c r="Z415" i="32"/>
  <c r="Z416" i="32"/>
  <c r="Z417" i="32"/>
  <c r="Z418" i="32"/>
  <c r="Z419" i="32"/>
  <c r="Z420" i="32"/>
  <c r="Z421" i="32"/>
  <c r="Z422" i="32"/>
  <c r="Z423" i="32"/>
  <c r="Z424" i="32"/>
  <c r="Z425" i="32"/>
  <c r="Z426" i="32"/>
  <c r="Z427" i="32"/>
  <c r="Z428" i="32"/>
  <c r="Z429" i="32"/>
  <c r="Z430" i="32"/>
  <c r="Z431" i="32"/>
  <c r="Z432" i="32"/>
  <c r="Z433" i="32"/>
  <c r="Z434" i="32"/>
  <c r="Z435" i="32"/>
  <c r="Z436" i="32"/>
  <c r="Z437" i="32"/>
  <c r="Z438" i="32"/>
  <c r="Z439" i="32"/>
  <c r="Z440" i="32"/>
  <c r="Z441" i="32"/>
  <c r="Z442" i="32"/>
  <c r="Z443" i="32"/>
  <c r="Z444" i="32"/>
  <c r="Z445" i="32"/>
  <c r="Z446" i="32"/>
  <c r="Z447" i="32"/>
  <c r="Z448" i="32"/>
  <c r="Z449" i="32"/>
  <c r="Z450" i="32"/>
  <c r="Z451" i="32"/>
  <c r="Z452" i="32"/>
  <c r="Z453" i="32"/>
  <c r="Z454" i="32"/>
  <c r="Z455" i="32"/>
  <c r="Z456" i="32"/>
  <c r="Z457" i="32"/>
  <c r="Z458" i="32"/>
  <c r="Z459" i="32"/>
  <c r="Z460" i="32"/>
  <c r="Z461" i="32"/>
  <c r="Z462" i="32"/>
  <c r="Z463" i="32"/>
  <c r="Z464" i="32"/>
  <c r="Z465" i="32"/>
  <c r="Z466" i="32"/>
  <c r="Z467" i="32"/>
  <c r="Z468" i="32"/>
  <c r="Z469" i="32"/>
  <c r="Z470" i="32"/>
  <c r="Z471" i="32"/>
  <c r="Z472" i="32"/>
  <c r="Z473" i="32"/>
  <c r="Z474" i="32"/>
  <c r="Z475" i="32"/>
  <c r="Z476" i="32"/>
  <c r="Z477" i="32"/>
  <c r="Z478" i="32"/>
  <c r="Z479" i="32"/>
  <c r="Z480" i="32"/>
  <c r="Z481" i="32"/>
  <c r="Z482" i="32"/>
  <c r="Z483" i="32"/>
  <c r="Z484" i="32"/>
  <c r="Z485" i="32"/>
  <c r="Z486" i="32"/>
  <c r="Z487" i="32"/>
  <c r="Z488" i="32"/>
  <c r="Z489" i="32"/>
  <c r="Z490" i="32"/>
  <c r="Z491" i="32"/>
  <c r="Z492" i="32"/>
  <c r="Z493" i="32"/>
  <c r="Z494" i="32"/>
  <c r="Z495" i="32"/>
  <c r="Z496" i="32"/>
  <c r="Z497" i="32"/>
  <c r="Z498" i="32"/>
  <c r="Z499" i="32"/>
  <c r="Z500" i="32"/>
  <c r="Z501" i="32"/>
  <c r="Z502" i="32"/>
  <c r="Z503" i="32"/>
  <c r="Z504" i="32"/>
  <c r="Z505" i="32"/>
  <c r="Z506" i="32"/>
  <c r="Z507" i="32"/>
  <c r="Z508" i="32"/>
  <c r="Z509" i="32"/>
  <c r="Z510" i="32"/>
  <c r="Z511" i="32"/>
  <c r="Z512" i="32"/>
  <c r="Z513" i="32"/>
  <c r="Z514" i="32"/>
  <c r="Z515" i="32"/>
  <c r="Z516" i="32"/>
  <c r="Z517" i="32"/>
  <c r="Z518" i="32"/>
  <c r="Z519" i="32"/>
  <c r="Z520" i="32"/>
  <c r="Z521" i="32"/>
  <c r="Z522" i="32"/>
  <c r="Z523" i="32"/>
  <c r="Z524" i="32"/>
  <c r="Z525" i="32"/>
  <c r="Z526" i="32"/>
  <c r="Z527" i="32"/>
  <c r="Z528" i="32"/>
  <c r="Z529" i="32"/>
  <c r="Z530" i="32"/>
  <c r="Z531" i="32"/>
  <c r="Z532" i="32"/>
  <c r="Z533" i="32"/>
  <c r="Z534" i="32"/>
  <c r="Z535" i="32"/>
  <c r="Z536" i="32"/>
  <c r="Z537" i="32"/>
  <c r="Z538" i="32"/>
  <c r="Z539" i="32"/>
  <c r="Z540" i="32"/>
  <c r="Z541" i="32"/>
  <c r="Z542" i="32"/>
  <c r="Z543" i="32"/>
  <c r="Z544" i="32"/>
  <c r="Z545" i="32"/>
  <c r="Z546" i="32"/>
  <c r="Z547" i="32"/>
  <c r="Z548" i="32"/>
  <c r="Z549" i="32"/>
  <c r="Z550" i="32"/>
  <c r="Z551" i="32"/>
  <c r="Z552" i="32"/>
  <c r="Z553" i="32"/>
  <c r="Z554" i="32"/>
  <c r="Z555" i="32"/>
  <c r="Z556" i="32"/>
  <c r="Z557" i="32"/>
  <c r="Z558" i="32"/>
  <c r="Z559" i="32"/>
  <c r="Z560" i="32"/>
  <c r="Z561" i="32"/>
  <c r="Z562" i="32"/>
  <c r="Z563" i="32"/>
  <c r="Z564" i="32"/>
  <c r="Z565" i="32"/>
  <c r="Z566" i="32"/>
  <c r="Z567" i="32"/>
  <c r="Z568" i="32"/>
  <c r="Z569" i="32"/>
  <c r="Z570" i="32"/>
  <c r="Z571" i="32"/>
  <c r="Z572" i="32"/>
  <c r="Z573" i="32"/>
  <c r="Z574" i="32"/>
  <c r="Z575" i="32"/>
  <c r="Z576" i="32"/>
  <c r="Z577" i="32"/>
  <c r="Z578" i="32"/>
  <c r="Z579" i="32"/>
  <c r="Z580" i="32"/>
  <c r="Z581" i="32"/>
  <c r="Z582" i="32"/>
  <c r="Z583" i="32"/>
  <c r="Z584" i="32"/>
  <c r="Z585" i="32"/>
  <c r="Z586" i="32"/>
  <c r="Z587" i="32"/>
  <c r="Z588" i="32"/>
  <c r="Z589" i="32"/>
  <c r="Z590" i="32"/>
  <c r="Z591" i="32"/>
  <c r="Z592" i="32"/>
  <c r="Z593" i="32"/>
  <c r="Z594" i="32"/>
  <c r="Z595" i="32"/>
  <c r="Z596" i="32"/>
  <c r="Z597" i="32"/>
  <c r="Z598" i="32"/>
  <c r="Z599" i="32"/>
  <c r="Z600" i="32"/>
  <c r="Z601" i="32"/>
  <c r="Z602" i="32"/>
  <c r="Z603" i="32"/>
  <c r="Z604" i="32"/>
  <c r="Z606" i="32"/>
  <c r="Z607" i="32"/>
  <c r="Z608" i="32"/>
  <c r="Z609" i="32"/>
  <c r="Z610" i="32"/>
  <c r="Z611" i="32"/>
  <c r="Z612" i="32"/>
  <c r="Z613" i="32"/>
  <c r="Z614" i="32"/>
  <c r="Z615" i="32"/>
  <c r="Z616" i="32"/>
  <c r="Z617" i="32"/>
  <c r="Z618" i="32"/>
  <c r="Z619" i="32"/>
  <c r="Z620" i="32"/>
  <c r="Z621" i="32"/>
  <c r="Z622" i="32"/>
  <c r="Z623" i="32"/>
  <c r="Z624" i="32"/>
  <c r="Z625" i="32"/>
  <c r="Z626" i="32"/>
  <c r="Z627" i="32"/>
  <c r="Z628" i="32"/>
  <c r="Z629" i="32"/>
  <c r="Z630" i="32"/>
  <c r="Z631" i="32"/>
  <c r="Z632" i="32"/>
  <c r="Z633" i="32"/>
  <c r="Z634" i="32"/>
  <c r="Z635" i="32"/>
  <c r="Z636" i="32"/>
  <c r="Z637" i="32"/>
  <c r="Z638" i="32"/>
  <c r="Z639" i="32"/>
  <c r="Z640" i="32"/>
  <c r="Z641" i="32"/>
  <c r="Z642" i="32"/>
  <c r="Z643" i="32"/>
  <c r="Z644" i="32"/>
  <c r="Z645" i="32"/>
  <c r="Z646" i="32"/>
  <c r="Z647" i="32"/>
  <c r="Z648" i="32"/>
  <c r="Z649" i="32"/>
  <c r="Z650" i="32"/>
  <c r="Z651" i="32"/>
  <c r="Z652" i="32"/>
  <c r="Z653" i="32"/>
  <c r="Z654" i="32"/>
  <c r="Z655" i="32"/>
  <c r="Z656" i="32"/>
  <c r="Z657" i="32"/>
  <c r="Z658" i="32"/>
  <c r="Z659" i="32"/>
  <c r="Z660" i="32"/>
  <c r="Z661" i="32"/>
  <c r="Z662" i="32"/>
  <c r="Z663" i="32"/>
  <c r="Z664" i="32"/>
  <c r="Z665" i="32"/>
  <c r="Z666" i="32"/>
  <c r="Z667" i="32"/>
  <c r="Z668" i="32"/>
  <c r="Z669" i="32"/>
  <c r="Z670" i="32"/>
  <c r="Z671" i="32"/>
  <c r="Z672" i="32"/>
  <c r="Z673" i="32"/>
  <c r="Z674" i="32"/>
  <c r="Z675" i="32"/>
  <c r="Z676" i="32"/>
  <c r="Z677" i="32"/>
  <c r="Z678" i="32"/>
  <c r="Z679" i="32"/>
  <c r="Z680" i="32"/>
  <c r="Z681" i="32"/>
  <c r="Z682" i="32"/>
  <c r="Z683" i="32"/>
  <c r="Z684" i="32"/>
  <c r="Z685" i="32"/>
  <c r="Z686" i="32"/>
  <c r="Z687" i="32"/>
  <c r="Z688" i="32"/>
  <c r="Z689" i="32"/>
  <c r="Z690" i="32"/>
  <c r="Z691" i="32"/>
  <c r="Z692" i="32"/>
  <c r="Z693" i="32"/>
  <c r="Z694" i="32"/>
  <c r="Z695" i="32"/>
  <c r="Z696" i="32"/>
  <c r="Z697" i="32"/>
  <c r="Z698" i="32"/>
  <c r="Z699" i="32"/>
  <c r="Z700" i="32"/>
  <c r="Z701" i="32"/>
  <c r="Z702" i="32"/>
  <c r="Z703" i="32"/>
  <c r="Z704" i="32"/>
  <c r="Z705" i="32"/>
  <c r="Z706" i="32"/>
  <c r="Z707" i="32"/>
  <c r="Z708" i="32"/>
  <c r="Z709" i="32"/>
  <c r="Z710" i="32"/>
  <c r="Z711" i="32"/>
  <c r="Z712" i="32"/>
  <c r="Z713" i="32"/>
  <c r="Z714" i="32"/>
  <c r="Z715" i="32"/>
  <c r="Z716" i="32"/>
  <c r="Z717" i="32"/>
  <c r="Z718" i="32"/>
  <c r="Z719" i="32"/>
  <c r="Z720" i="32"/>
  <c r="Z721" i="32"/>
  <c r="Z722" i="32"/>
  <c r="Z723" i="32"/>
  <c r="Z724" i="32"/>
  <c r="Z725" i="32"/>
  <c r="Z726" i="32"/>
  <c r="Z727" i="32"/>
  <c r="Z728" i="32"/>
  <c r="Z729" i="32"/>
  <c r="Z730" i="32"/>
  <c r="Z731" i="32"/>
  <c r="Z732" i="32"/>
  <c r="Z733" i="32"/>
  <c r="Z734" i="32"/>
  <c r="Z735" i="32"/>
  <c r="Z736" i="32"/>
  <c r="Z737" i="32"/>
  <c r="Z738" i="32"/>
  <c r="Z739" i="32"/>
  <c r="Z740" i="32"/>
  <c r="Z741" i="32"/>
  <c r="Z742" i="32"/>
  <c r="Z743" i="32"/>
  <c r="Z744" i="32"/>
  <c r="Z745" i="32"/>
  <c r="Z746" i="32"/>
  <c r="Z747" i="32"/>
  <c r="Z748" i="32"/>
  <c r="Z749" i="32"/>
  <c r="Z750" i="32"/>
  <c r="Z751" i="32"/>
  <c r="Z752" i="32"/>
  <c r="Z753" i="32"/>
  <c r="Z754" i="32"/>
  <c r="Z755" i="32"/>
  <c r="Z756" i="32"/>
  <c r="Z757" i="32"/>
  <c r="Z758" i="32"/>
  <c r="Z759" i="32"/>
  <c r="Z760" i="32"/>
  <c r="Z761" i="32"/>
  <c r="Z762" i="32"/>
  <c r="Z763" i="32"/>
  <c r="Z764" i="32"/>
  <c r="Z765" i="32"/>
  <c r="Z766" i="32"/>
  <c r="Z767" i="32"/>
  <c r="Z768" i="32"/>
  <c r="Z769" i="32"/>
  <c r="Z770" i="32"/>
  <c r="Z771" i="32"/>
  <c r="Z772" i="32"/>
  <c r="Z773" i="32"/>
  <c r="Z774" i="32"/>
  <c r="Z775" i="32"/>
  <c r="Z776" i="32"/>
  <c r="Z777" i="32"/>
  <c r="Z778" i="32"/>
  <c r="Z779" i="32"/>
  <c r="Z780" i="32"/>
  <c r="Z781" i="32"/>
  <c r="Z782" i="32"/>
  <c r="Z783" i="32"/>
  <c r="Z784" i="32"/>
  <c r="Z785" i="32"/>
  <c r="Z786" i="32"/>
  <c r="Z787" i="32"/>
  <c r="Z788" i="32"/>
  <c r="Z789" i="32"/>
  <c r="Z790" i="32"/>
  <c r="Z791" i="32"/>
  <c r="Z792" i="32"/>
  <c r="Z793" i="32"/>
  <c r="Z794" i="32"/>
  <c r="Z795" i="32"/>
  <c r="Z796" i="32"/>
  <c r="Z797" i="32"/>
  <c r="Z798" i="32"/>
  <c r="Z799" i="32"/>
  <c r="Z800" i="32"/>
  <c r="Z801" i="32"/>
  <c r="Z802" i="32"/>
  <c r="Z803" i="32"/>
  <c r="Z804" i="32"/>
  <c r="Z805" i="32"/>
  <c r="Z806" i="32"/>
  <c r="Z807" i="32"/>
  <c r="Z808" i="32"/>
  <c r="Z809" i="32"/>
  <c r="Z810" i="32"/>
  <c r="Z811" i="32"/>
  <c r="Z812" i="32"/>
  <c r="Z813" i="32"/>
  <c r="Z814" i="32"/>
  <c r="Z815" i="32"/>
  <c r="Z816" i="32"/>
  <c r="Z817" i="32"/>
  <c r="Z818" i="32"/>
  <c r="Z819" i="32"/>
  <c r="Z820" i="32"/>
  <c r="Z821" i="32"/>
  <c r="Z822" i="32"/>
  <c r="Z823" i="32"/>
  <c r="Z824" i="32"/>
  <c r="Z825" i="32"/>
  <c r="Z826" i="32"/>
  <c r="Z827" i="32"/>
  <c r="Z828" i="32"/>
  <c r="Z829" i="32"/>
  <c r="Z830" i="32"/>
  <c r="Z831" i="32"/>
  <c r="Z832" i="32"/>
  <c r="Z833" i="32"/>
  <c r="Z834" i="32"/>
  <c r="Z835" i="32"/>
  <c r="Z836" i="32"/>
  <c r="Z837" i="32"/>
  <c r="Z838" i="32"/>
  <c r="Z839" i="32"/>
  <c r="Z840" i="32"/>
  <c r="Z841" i="32"/>
  <c r="Z842" i="32"/>
  <c r="Z843" i="32"/>
  <c r="Z844" i="32"/>
  <c r="Z845" i="32"/>
  <c r="Z846" i="32"/>
  <c r="Z847" i="32"/>
  <c r="Z848" i="32"/>
  <c r="Z849" i="32"/>
  <c r="Z850" i="32"/>
  <c r="Z851" i="32"/>
  <c r="Z852" i="32"/>
  <c r="Z853" i="32"/>
  <c r="Z854" i="32"/>
  <c r="Z855" i="32"/>
  <c r="Z856" i="32"/>
  <c r="Z857" i="32"/>
  <c r="Z858" i="32"/>
  <c r="Z859" i="32"/>
  <c r="Z860" i="32"/>
  <c r="Z861" i="32"/>
  <c r="Z862" i="32"/>
  <c r="Z863" i="32"/>
  <c r="Z864" i="32"/>
  <c r="Z865" i="32"/>
  <c r="Z866" i="32"/>
  <c r="Z867" i="32"/>
  <c r="Z868" i="32"/>
  <c r="Z869" i="32"/>
  <c r="Z870" i="32"/>
  <c r="Z871" i="32"/>
  <c r="Z872" i="32"/>
  <c r="Z873" i="32"/>
  <c r="Z874" i="32"/>
  <c r="Z875" i="32"/>
  <c r="Z876" i="32"/>
  <c r="Z877" i="32"/>
  <c r="Z878" i="32"/>
  <c r="Z879" i="32"/>
  <c r="Z880" i="32"/>
  <c r="Z881" i="32"/>
  <c r="Z882" i="32"/>
  <c r="Z883" i="32"/>
  <c r="Z884" i="32"/>
  <c r="Z885" i="32"/>
  <c r="Z886" i="32"/>
  <c r="Z887" i="32"/>
  <c r="Z888" i="32"/>
  <c r="Z889" i="32"/>
  <c r="Z890" i="32"/>
  <c r="Z891" i="32"/>
  <c r="Z892" i="32"/>
  <c r="Z893" i="32"/>
  <c r="Z894" i="32"/>
  <c r="AB5" i="32"/>
  <c r="AA6" i="32"/>
  <c r="AB6" i="32"/>
  <c r="AA7" i="32"/>
  <c r="AB7" i="32"/>
  <c r="AA8" i="32"/>
  <c r="AB8" i="32"/>
  <c r="AA9" i="32"/>
  <c r="AB9" i="32"/>
  <c r="AA10" i="32"/>
  <c r="AB10" i="32"/>
  <c r="AA11" i="32"/>
  <c r="AB11" i="32"/>
  <c r="AA12" i="32"/>
  <c r="AB12" i="32"/>
  <c r="AA13" i="32"/>
  <c r="AB13" i="32"/>
  <c r="AA14" i="32"/>
  <c r="AB14" i="32"/>
  <c r="AA15" i="32"/>
  <c r="AB15" i="32"/>
  <c r="AA16" i="32"/>
  <c r="AB16" i="32"/>
  <c r="AA17" i="32"/>
  <c r="AB17" i="32"/>
  <c r="AA18" i="32"/>
  <c r="AB18" i="32"/>
  <c r="AA19" i="32"/>
  <c r="AB19" i="32"/>
  <c r="AA20" i="32"/>
  <c r="AB20" i="32"/>
  <c r="AA21" i="32"/>
  <c r="AB21" i="32"/>
  <c r="AA22" i="32"/>
  <c r="AB22" i="32"/>
  <c r="AA23" i="32"/>
  <c r="AB23" i="32"/>
  <c r="AA24" i="32"/>
  <c r="AB24" i="32"/>
  <c r="AA25" i="32"/>
  <c r="AB25" i="32"/>
  <c r="AA26" i="32"/>
  <c r="AB26" i="32"/>
  <c r="AA27" i="32"/>
  <c r="AB27" i="32"/>
  <c r="AA28" i="32"/>
  <c r="AB28" i="32"/>
  <c r="AA29" i="32"/>
  <c r="AB29" i="32"/>
  <c r="AA30" i="32"/>
  <c r="AB30" i="32"/>
  <c r="AA31" i="32"/>
  <c r="AB31" i="32"/>
  <c r="AA32" i="32"/>
  <c r="AB32" i="32"/>
  <c r="AA33" i="32"/>
  <c r="AB33" i="32"/>
  <c r="AA34" i="32"/>
  <c r="AB34" i="32"/>
  <c r="AA35" i="32"/>
  <c r="AB35" i="32"/>
  <c r="AA36" i="32"/>
  <c r="AB36" i="32"/>
  <c r="AA37" i="32"/>
  <c r="AB37" i="32"/>
  <c r="AA38" i="32"/>
  <c r="AB38" i="32"/>
  <c r="AA39" i="32"/>
  <c r="AB39" i="32"/>
  <c r="AA40" i="32"/>
  <c r="AB40" i="32"/>
  <c r="AA41" i="32"/>
  <c r="AB41" i="32"/>
  <c r="AA42" i="32"/>
  <c r="AB42" i="32"/>
  <c r="AA43" i="32"/>
  <c r="AB43" i="32"/>
  <c r="AA44" i="32"/>
  <c r="AB44" i="32"/>
  <c r="AA45" i="32"/>
  <c r="AB45" i="32"/>
  <c r="AA46" i="32"/>
  <c r="AB46" i="32"/>
  <c r="AA47" i="32"/>
  <c r="AB47" i="32"/>
  <c r="AA48" i="32"/>
  <c r="AB48" i="32"/>
  <c r="AA49" i="32"/>
  <c r="AB49" i="32"/>
  <c r="AA50" i="32"/>
  <c r="AB50" i="32"/>
  <c r="AA51" i="32"/>
  <c r="AB51" i="32"/>
  <c r="AA52" i="32"/>
  <c r="AB52" i="32"/>
  <c r="AA53" i="32"/>
  <c r="AB53" i="32"/>
  <c r="AA54" i="32"/>
  <c r="AB54" i="32"/>
  <c r="AA55" i="32"/>
  <c r="AB55" i="32"/>
  <c r="AA56" i="32"/>
  <c r="AB56" i="32"/>
  <c r="AA57" i="32"/>
  <c r="AB57" i="32"/>
  <c r="AA58" i="32"/>
  <c r="AB58" i="32"/>
  <c r="AA59" i="32"/>
  <c r="AB59" i="32"/>
  <c r="AA60" i="32"/>
  <c r="AB60" i="32"/>
  <c r="AA61" i="32"/>
  <c r="AB61" i="32"/>
  <c r="AA62" i="32"/>
  <c r="AB62" i="32"/>
  <c r="AA63" i="32"/>
  <c r="AB63" i="32"/>
  <c r="AA64" i="32"/>
  <c r="AB64" i="32"/>
  <c r="AA65" i="32"/>
  <c r="AB65" i="32"/>
  <c r="AA66" i="32"/>
  <c r="AB66" i="32"/>
  <c r="AA67" i="32"/>
  <c r="AB67" i="32"/>
  <c r="AA68" i="32"/>
  <c r="AB68" i="32"/>
  <c r="AA69" i="32"/>
  <c r="AB69" i="32"/>
  <c r="AA70" i="32"/>
  <c r="AB70" i="32"/>
  <c r="AA71" i="32"/>
  <c r="AB71" i="32"/>
  <c r="AA72" i="32"/>
  <c r="AB72" i="32"/>
  <c r="AA73" i="32"/>
  <c r="AB73" i="32"/>
  <c r="AA74" i="32"/>
  <c r="AB74" i="32"/>
  <c r="AA75" i="32"/>
  <c r="AB75" i="32"/>
  <c r="AA76" i="32"/>
  <c r="AB76" i="32"/>
  <c r="AA77" i="32"/>
  <c r="AB77" i="32"/>
  <c r="AA78" i="32"/>
  <c r="AB78" i="32"/>
  <c r="AA79" i="32"/>
  <c r="AB79" i="32"/>
  <c r="AA80" i="32"/>
  <c r="AB80" i="32"/>
  <c r="AA81" i="32"/>
  <c r="AB81" i="32"/>
  <c r="AA82" i="32"/>
  <c r="AB82" i="32"/>
  <c r="AA83" i="32"/>
  <c r="AB83" i="32"/>
  <c r="AA84" i="32"/>
  <c r="AB84" i="32"/>
  <c r="AA85" i="32"/>
  <c r="AB85" i="32"/>
  <c r="AA86" i="32"/>
  <c r="AB86" i="32"/>
  <c r="AA87" i="32"/>
  <c r="AB87" i="32"/>
  <c r="AA88" i="32"/>
  <c r="AB88" i="32"/>
  <c r="AA89" i="32"/>
  <c r="AB89" i="32"/>
  <c r="AA90" i="32"/>
  <c r="AB90" i="32"/>
  <c r="AA91" i="32"/>
  <c r="AB91" i="32"/>
  <c r="AA92" i="32"/>
  <c r="AB92" i="32"/>
  <c r="AA93" i="32"/>
  <c r="AB93" i="32"/>
  <c r="AA94" i="32"/>
  <c r="AB94" i="32"/>
  <c r="AA95" i="32"/>
  <c r="AB95" i="32"/>
  <c r="AA96" i="32"/>
  <c r="AB96" i="32"/>
  <c r="AA97" i="32"/>
  <c r="AB97" i="32"/>
  <c r="AA98" i="32"/>
  <c r="AB98" i="32"/>
  <c r="AA99" i="32"/>
  <c r="AB99" i="32"/>
  <c r="AA100" i="32"/>
  <c r="AB100" i="32"/>
  <c r="AA101" i="32"/>
  <c r="AB101" i="32"/>
  <c r="AA102" i="32"/>
  <c r="AB102" i="32"/>
  <c r="AA103" i="32"/>
  <c r="AB103" i="32"/>
  <c r="AA104" i="32"/>
  <c r="AB104" i="32"/>
  <c r="AA105" i="32"/>
  <c r="AB105" i="32"/>
  <c r="AA106" i="32"/>
  <c r="AB106" i="32"/>
  <c r="AA107" i="32"/>
  <c r="AB107" i="32"/>
  <c r="AA108" i="32"/>
  <c r="AB108" i="32"/>
  <c r="AA109" i="32"/>
  <c r="AB109" i="32"/>
  <c r="AA110" i="32"/>
  <c r="AB110" i="32"/>
  <c r="AA111" i="32"/>
  <c r="AB111" i="32"/>
  <c r="AA112" i="32"/>
  <c r="AB112" i="32"/>
  <c r="AA113" i="32"/>
  <c r="AB113" i="32"/>
  <c r="AA114" i="32"/>
  <c r="AB114" i="32"/>
  <c r="AA115" i="32"/>
  <c r="AB115" i="32"/>
  <c r="AA116" i="32"/>
  <c r="AB116" i="32"/>
  <c r="AA117" i="32"/>
  <c r="AB117" i="32"/>
  <c r="AA118" i="32"/>
  <c r="AB118" i="32"/>
  <c r="AA119" i="32"/>
  <c r="AB119" i="32"/>
  <c r="AA120" i="32"/>
  <c r="AB120" i="32"/>
  <c r="AA121" i="32"/>
  <c r="AB121" i="32"/>
  <c r="AA122" i="32"/>
  <c r="AB122" i="32"/>
  <c r="AA123" i="32"/>
  <c r="AB123" i="32"/>
  <c r="AA124" i="32"/>
  <c r="AB124" i="32"/>
  <c r="AA125" i="32"/>
  <c r="AB125" i="32"/>
  <c r="AA126" i="32"/>
  <c r="AB126" i="32"/>
  <c r="AA127" i="32"/>
  <c r="AB127" i="32"/>
  <c r="AA128" i="32"/>
  <c r="AB128" i="32"/>
  <c r="AA129" i="32"/>
  <c r="AB129" i="32"/>
  <c r="AA130" i="32"/>
  <c r="AB130" i="32"/>
  <c r="AA131" i="32"/>
  <c r="AB131" i="32"/>
  <c r="AA132" i="32"/>
  <c r="AB132" i="32"/>
  <c r="AA133" i="32"/>
  <c r="AB133" i="32"/>
  <c r="AA134" i="32"/>
  <c r="AB134" i="32"/>
  <c r="AA135" i="32"/>
  <c r="AB135" i="32"/>
  <c r="AA136" i="32"/>
  <c r="AB136" i="32"/>
  <c r="AA137" i="32"/>
  <c r="AB137" i="32"/>
  <c r="AA138" i="32"/>
  <c r="AB138" i="32"/>
  <c r="AA139" i="32"/>
  <c r="AB139" i="32"/>
  <c r="AA140" i="32"/>
  <c r="AB140" i="32"/>
  <c r="AA141" i="32"/>
  <c r="AB141" i="32"/>
  <c r="AA142" i="32"/>
  <c r="AB142" i="32"/>
  <c r="AA143" i="32"/>
  <c r="AB143" i="32"/>
  <c r="AA144" i="32"/>
  <c r="AB144" i="32"/>
  <c r="AA145" i="32"/>
  <c r="AB145" i="32"/>
  <c r="AA146" i="32"/>
  <c r="AB146" i="32"/>
  <c r="AA147" i="32"/>
  <c r="AB147" i="32"/>
  <c r="AA148" i="32"/>
  <c r="AB148" i="32"/>
  <c r="AA149" i="32"/>
  <c r="AB149" i="32"/>
  <c r="AA150" i="32"/>
  <c r="AB150" i="32"/>
  <c r="AA151" i="32"/>
  <c r="AB151" i="32"/>
  <c r="AA152" i="32"/>
  <c r="AB152" i="32"/>
  <c r="AA153" i="32"/>
  <c r="AB153" i="32"/>
  <c r="AA154" i="32"/>
  <c r="AB154" i="32"/>
  <c r="AA155" i="32"/>
  <c r="AB155" i="32"/>
  <c r="AA156" i="32"/>
  <c r="AB156" i="32"/>
  <c r="AA157" i="32"/>
  <c r="AB157" i="32"/>
  <c r="AA158" i="32"/>
  <c r="AB158" i="32"/>
  <c r="AA159" i="32"/>
  <c r="AB159" i="32"/>
  <c r="AA160" i="32"/>
  <c r="AB160" i="32"/>
  <c r="AA161" i="32"/>
  <c r="AB161" i="32"/>
  <c r="AA162" i="32"/>
  <c r="AB162" i="32"/>
  <c r="AA163" i="32"/>
  <c r="AB163" i="32"/>
  <c r="AA164" i="32"/>
  <c r="AB164" i="32"/>
  <c r="AA165" i="32"/>
  <c r="AB165" i="32"/>
  <c r="AA166" i="32"/>
  <c r="AB166" i="32"/>
  <c r="AA167" i="32"/>
  <c r="AB167" i="32"/>
  <c r="AA168" i="32"/>
  <c r="AB168" i="32"/>
  <c r="AA169" i="32"/>
  <c r="AB169" i="32"/>
  <c r="AA170" i="32"/>
  <c r="AB170" i="32"/>
  <c r="AA171" i="32"/>
  <c r="AB171" i="32"/>
  <c r="AA172" i="32"/>
  <c r="AB172" i="32"/>
  <c r="AA173" i="32"/>
  <c r="AB173" i="32"/>
  <c r="AA174" i="32"/>
  <c r="AB174" i="32"/>
  <c r="AA175" i="32"/>
  <c r="AB175" i="32"/>
  <c r="AA176" i="32"/>
  <c r="AB176" i="32"/>
  <c r="AA177" i="32"/>
  <c r="AB177" i="32"/>
  <c r="AA178" i="32"/>
  <c r="AB178" i="32"/>
  <c r="AA179" i="32"/>
  <c r="AB179" i="32"/>
  <c r="AA180" i="32"/>
  <c r="AB180" i="32"/>
  <c r="AA181" i="32"/>
  <c r="AB181" i="32"/>
  <c r="AA182" i="32"/>
  <c r="AB182" i="32"/>
  <c r="AA183" i="32"/>
  <c r="AB183" i="32"/>
  <c r="AA184" i="32"/>
  <c r="AB184" i="32"/>
  <c r="AA185" i="32"/>
  <c r="AB185" i="32"/>
  <c r="AA186" i="32"/>
  <c r="AB186" i="32"/>
  <c r="AA187" i="32"/>
  <c r="AB187" i="32"/>
  <c r="AA188" i="32"/>
  <c r="AB188" i="32"/>
  <c r="AA189" i="32"/>
  <c r="AB189" i="32"/>
  <c r="AA190" i="32"/>
  <c r="AB190" i="32"/>
  <c r="AA191" i="32"/>
  <c r="AB191" i="32"/>
  <c r="AA192" i="32"/>
  <c r="AB192" i="32"/>
  <c r="AA193" i="32"/>
  <c r="AB193" i="32"/>
  <c r="AA194" i="32"/>
  <c r="AB194" i="32"/>
  <c r="AA195" i="32"/>
  <c r="AB195" i="32"/>
  <c r="AA196" i="32"/>
  <c r="AB196" i="32"/>
  <c r="AA197" i="32"/>
  <c r="AB197" i="32"/>
  <c r="AA198" i="32"/>
  <c r="AB198" i="32"/>
  <c r="AA199" i="32"/>
  <c r="AB199" i="32"/>
  <c r="AA200" i="32"/>
  <c r="AB200" i="32"/>
  <c r="AA201" i="32"/>
  <c r="AB201" i="32"/>
  <c r="AA202" i="32"/>
  <c r="AB202" i="32"/>
  <c r="AA203" i="32"/>
  <c r="AB203" i="32"/>
  <c r="AA204" i="32"/>
  <c r="AB204" i="32"/>
  <c r="AA205" i="32"/>
  <c r="AB205" i="32"/>
  <c r="AA206" i="32"/>
  <c r="AB206" i="32"/>
  <c r="AA207" i="32"/>
  <c r="AB207" i="32"/>
  <c r="AA208" i="32"/>
  <c r="AB208" i="32"/>
  <c r="AA209" i="32"/>
  <c r="AB209" i="32"/>
  <c r="AA210" i="32"/>
  <c r="AB210" i="32"/>
  <c r="AA211" i="32"/>
  <c r="AB211" i="32"/>
  <c r="AA212" i="32"/>
  <c r="AB212" i="32"/>
  <c r="AA213" i="32"/>
  <c r="AB213" i="32"/>
  <c r="AA214" i="32"/>
  <c r="AB214" i="32"/>
  <c r="AA215" i="32"/>
  <c r="AB215" i="32"/>
  <c r="AA216" i="32"/>
  <c r="AB216" i="32"/>
  <c r="AA217" i="32"/>
  <c r="AB217" i="32"/>
  <c r="AA218" i="32"/>
  <c r="AB218" i="32"/>
  <c r="AA219" i="32"/>
  <c r="AB219" i="32"/>
  <c r="AA220" i="32"/>
  <c r="AB220" i="32"/>
  <c r="AA221" i="32"/>
  <c r="AB221" i="32"/>
  <c r="AA222" i="32"/>
  <c r="AB222" i="32"/>
  <c r="AA223" i="32"/>
  <c r="AB223" i="32"/>
  <c r="AA224" i="32"/>
  <c r="AB224" i="32"/>
  <c r="AA225" i="32"/>
  <c r="AB225" i="32"/>
  <c r="AA226" i="32"/>
  <c r="AB226" i="32"/>
  <c r="AA227" i="32"/>
  <c r="AB227" i="32"/>
  <c r="AA228" i="32"/>
  <c r="AB228" i="32"/>
  <c r="AA229" i="32"/>
  <c r="AB229" i="32"/>
  <c r="AA230" i="32"/>
  <c r="AB230" i="32"/>
  <c r="AA231" i="32"/>
  <c r="AB231" i="32"/>
  <c r="AA232" i="32"/>
  <c r="AB232" i="32"/>
  <c r="AA233" i="32"/>
  <c r="AB233" i="32"/>
  <c r="AA234" i="32"/>
  <c r="AB234" i="32"/>
  <c r="AA235" i="32"/>
  <c r="AB235" i="32"/>
  <c r="AA236" i="32"/>
  <c r="AB236" i="32"/>
  <c r="AA237" i="32"/>
  <c r="AB237" i="32"/>
  <c r="AA238" i="32"/>
  <c r="AB238" i="32"/>
  <c r="AA239" i="32"/>
  <c r="AB239" i="32"/>
  <c r="AA240" i="32"/>
  <c r="AB240" i="32"/>
  <c r="AA241" i="32"/>
  <c r="AB241" i="32"/>
  <c r="AA242" i="32"/>
  <c r="AB242" i="32"/>
  <c r="AA243" i="32"/>
  <c r="AB243" i="32"/>
  <c r="AA244" i="32"/>
  <c r="AB244" i="32"/>
  <c r="AA245" i="32"/>
  <c r="AB245" i="32"/>
  <c r="AA246" i="32"/>
  <c r="AB246" i="32"/>
  <c r="AA247" i="32"/>
  <c r="AB247" i="32"/>
  <c r="AA248" i="32"/>
  <c r="AB248" i="32"/>
  <c r="AA249" i="32"/>
  <c r="AB249" i="32"/>
  <c r="AA250" i="32"/>
  <c r="AB250" i="32"/>
  <c r="AA251" i="32"/>
  <c r="AB251" i="32"/>
  <c r="AA252" i="32"/>
  <c r="AB252" i="32"/>
  <c r="AA253" i="32"/>
  <c r="AB253" i="32"/>
  <c r="AA254" i="32"/>
  <c r="AB254" i="32"/>
  <c r="AA255" i="32"/>
  <c r="AB255" i="32"/>
  <c r="AA256" i="32"/>
  <c r="AB256" i="32"/>
  <c r="AA257" i="32"/>
  <c r="AB257" i="32"/>
  <c r="AA258" i="32"/>
  <c r="AB258" i="32"/>
  <c r="AA259" i="32"/>
  <c r="AB259" i="32"/>
  <c r="AA260" i="32"/>
  <c r="AB260" i="32"/>
  <c r="AA261" i="32"/>
  <c r="AB261" i="32"/>
  <c r="AA262" i="32"/>
  <c r="AB262" i="32"/>
  <c r="AA263" i="32"/>
  <c r="AB263" i="32"/>
  <c r="AA264" i="32"/>
  <c r="AB264" i="32"/>
  <c r="AA265" i="32"/>
  <c r="AB265" i="32"/>
  <c r="AA266" i="32"/>
  <c r="AB266" i="32"/>
  <c r="AA267" i="32"/>
  <c r="AB267" i="32"/>
  <c r="AA268" i="32"/>
  <c r="AB268" i="32"/>
  <c r="AA269" i="32"/>
  <c r="AB269" i="32"/>
  <c r="AA270" i="32"/>
  <c r="AB270" i="32"/>
  <c r="AA271" i="32"/>
  <c r="AB271" i="32"/>
  <c r="AA272" i="32"/>
  <c r="AB272" i="32"/>
  <c r="AA273" i="32"/>
  <c r="AB273" i="32"/>
  <c r="AA274" i="32"/>
  <c r="AB274" i="32"/>
  <c r="AA275" i="32"/>
  <c r="AB275" i="32"/>
  <c r="AA276" i="32"/>
  <c r="AB276" i="32"/>
  <c r="AA277" i="32"/>
  <c r="AB277" i="32"/>
  <c r="AA278" i="32"/>
  <c r="AB278" i="32"/>
  <c r="AA279" i="32"/>
  <c r="AB279" i="32"/>
  <c r="AA280" i="32"/>
  <c r="AB280" i="32"/>
  <c r="AA281" i="32"/>
  <c r="AB281" i="32"/>
  <c r="AA282" i="32"/>
  <c r="AB282" i="32"/>
  <c r="AA283" i="32"/>
  <c r="AB283" i="32"/>
  <c r="AA284" i="32"/>
  <c r="AB284" i="32"/>
  <c r="AA285" i="32"/>
  <c r="AB285" i="32"/>
  <c r="AA286" i="32"/>
  <c r="AB286" i="32"/>
  <c r="AA287" i="32"/>
  <c r="AB287" i="32"/>
  <c r="AA288" i="32"/>
  <c r="AB288" i="32"/>
  <c r="AA289" i="32"/>
  <c r="AB289" i="32"/>
  <c r="AA290" i="32"/>
  <c r="AB290" i="32"/>
  <c r="AA291" i="32"/>
  <c r="AB291" i="32"/>
  <c r="AA292" i="32"/>
  <c r="AB292" i="32"/>
  <c r="AA293" i="32"/>
  <c r="AB293" i="32"/>
  <c r="AA294" i="32"/>
  <c r="AB294" i="32"/>
  <c r="AA295" i="32"/>
  <c r="AB295" i="32"/>
  <c r="AA296" i="32"/>
  <c r="AB296" i="32"/>
  <c r="AA297" i="32"/>
  <c r="AB297" i="32"/>
  <c r="AA298" i="32"/>
  <c r="AB298" i="32"/>
  <c r="AA299" i="32"/>
  <c r="AB299" i="32"/>
  <c r="AA300" i="32"/>
  <c r="AB300" i="32"/>
  <c r="AA301" i="32"/>
  <c r="AB301" i="32"/>
  <c r="AA302" i="32"/>
  <c r="AB302" i="32"/>
  <c r="AA303" i="32"/>
  <c r="AB303" i="32"/>
  <c r="AA304" i="32"/>
  <c r="AB304" i="32"/>
  <c r="AA305" i="32"/>
  <c r="AB305" i="32"/>
  <c r="AA306" i="32"/>
  <c r="AB306" i="32"/>
  <c r="AA307" i="32"/>
  <c r="AB307" i="32"/>
  <c r="AA308" i="32"/>
  <c r="AB308" i="32"/>
  <c r="AA309" i="32"/>
  <c r="AB309" i="32"/>
  <c r="AA310" i="32"/>
  <c r="AB310" i="32"/>
  <c r="AA311" i="32"/>
  <c r="AB311" i="32"/>
  <c r="AA312" i="32"/>
  <c r="AB312" i="32"/>
  <c r="AA313" i="32"/>
  <c r="AB313" i="32"/>
  <c r="AA314" i="32"/>
  <c r="AB314" i="32"/>
  <c r="AA315" i="32"/>
  <c r="AB315" i="32"/>
  <c r="AA316" i="32"/>
  <c r="AB316" i="32"/>
  <c r="AA317" i="32"/>
  <c r="AB317" i="32"/>
  <c r="AA318" i="32"/>
  <c r="AB318" i="32"/>
  <c r="AA319" i="32"/>
  <c r="AB319" i="32"/>
  <c r="AA320" i="32"/>
  <c r="AB320" i="32"/>
  <c r="AA321" i="32"/>
  <c r="AB321" i="32"/>
  <c r="AA322" i="32"/>
  <c r="AB322" i="32"/>
  <c r="AA323" i="32"/>
  <c r="AB323" i="32"/>
  <c r="AA324" i="32"/>
  <c r="AB324" i="32"/>
  <c r="AA325" i="32"/>
  <c r="AB325" i="32"/>
  <c r="AA326" i="32"/>
  <c r="AB326" i="32"/>
  <c r="AA327" i="32"/>
  <c r="AB327" i="32"/>
  <c r="AA328" i="32"/>
  <c r="AB328" i="32"/>
  <c r="AA329" i="32"/>
  <c r="AB329" i="32"/>
  <c r="AA330" i="32"/>
  <c r="AB330" i="32"/>
  <c r="AA331" i="32"/>
  <c r="AB331" i="32"/>
  <c r="AA332" i="32"/>
  <c r="AB332" i="32"/>
  <c r="AA333" i="32"/>
  <c r="AB333" i="32"/>
  <c r="AA334" i="32"/>
  <c r="AB334" i="32"/>
  <c r="AA335" i="32"/>
  <c r="AB335" i="32"/>
  <c r="AA336" i="32"/>
  <c r="AB336" i="32"/>
  <c r="AA337" i="32"/>
  <c r="AB337" i="32"/>
  <c r="AA338" i="32"/>
  <c r="AB338" i="32"/>
  <c r="AA339" i="32"/>
  <c r="AB339" i="32"/>
  <c r="AA340" i="32"/>
  <c r="AB340" i="32"/>
  <c r="AA341" i="32"/>
  <c r="AB341" i="32"/>
  <c r="AA342" i="32"/>
  <c r="AB342" i="32"/>
  <c r="AA343" i="32"/>
  <c r="AB343" i="32"/>
  <c r="AA344" i="32"/>
  <c r="AB344" i="32"/>
  <c r="AA345" i="32"/>
  <c r="AB345" i="32"/>
  <c r="AA346" i="32"/>
  <c r="AB346" i="32"/>
  <c r="AA347" i="32"/>
  <c r="AB347" i="32"/>
  <c r="AA348" i="32"/>
  <c r="AB348" i="32"/>
  <c r="AA349" i="32"/>
  <c r="AB349" i="32"/>
  <c r="AA350" i="32"/>
  <c r="AB350" i="32"/>
  <c r="AA351" i="32"/>
  <c r="AB351" i="32"/>
  <c r="AA352" i="32"/>
  <c r="AB352" i="32"/>
  <c r="AA353" i="32"/>
  <c r="AB353" i="32"/>
  <c r="AA354" i="32"/>
  <c r="AB354" i="32"/>
  <c r="AA355" i="32"/>
  <c r="AB355" i="32"/>
  <c r="AA356" i="32"/>
  <c r="AB356" i="32"/>
  <c r="AA357" i="32"/>
  <c r="AB357" i="32"/>
  <c r="AA358" i="32"/>
  <c r="AB358" i="32"/>
  <c r="AA359" i="32"/>
  <c r="AB359" i="32"/>
  <c r="AA360" i="32"/>
  <c r="AB360" i="32"/>
  <c r="AA361" i="32"/>
  <c r="AB361" i="32"/>
  <c r="AA362" i="32"/>
  <c r="AB362" i="32"/>
  <c r="AA363" i="32"/>
  <c r="AB363" i="32"/>
  <c r="AA364" i="32"/>
  <c r="AB364" i="32"/>
  <c r="AA365" i="32"/>
  <c r="AB365" i="32"/>
  <c r="AA366" i="32"/>
  <c r="AB366" i="32"/>
  <c r="AA367" i="32"/>
  <c r="AB367" i="32"/>
  <c r="AA368" i="32"/>
  <c r="AB368" i="32"/>
  <c r="AA369" i="32"/>
  <c r="AB369" i="32"/>
  <c r="AA370" i="32"/>
  <c r="AB370" i="32"/>
  <c r="AA371" i="32"/>
  <c r="AB371" i="32"/>
  <c r="AA372" i="32"/>
  <c r="AB372" i="32"/>
  <c r="AA373" i="32"/>
  <c r="AB373" i="32"/>
  <c r="AA374" i="32"/>
  <c r="AB374" i="32"/>
  <c r="AA375" i="32"/>
  <c r="AB375" i="32"/>
  <c r="AA376" i="32"/>
  <c r="AB376" i="32"/>
  <c r="AA377" i="32"/>
  <c r="AB377" i="32"/>
  <c r="AA378" i="32"/>
  <c r="AB378" i="32"/>
  <c r="AA379" i="32"/>
  <c r="AB379" i="32"/>
  <c r="AA380" i="32"/>
  <c r="AB380" i="32"/>
  <c r="AA381" i="32"/>
  <c r="AB381" i="32"/>
  <c r="AA382" i="32"/>
  <c r="AB382" i="32"/>
  <c r="AA383" i="32"/>
  <c r="AB383" i="32"/>
  <c r="AA384" i="32"/>
  <c r="AB384" i="32"/>
  <c r="AA385" i="32"/>
  <c r="AB385" i="32"/>
  <c r="AA386" i="32"/>
  <c r="AB386" i="32"/>
  <c r="AA387" i="32"/>
  <c r="AB387" i="32"/>
  <c r="AA388" i="32"/>
  <c r="AB388" i="32"/>
  <c r="AA389" i="32"/>
  <c r="AB389" i="32"/>
  <c r="AA390" i="32"/>
  <c r="AB390" i="32"/>
  <c r="AA391" i="32"/>
  <c r="AB391" i="32"/>
  <c r="AA392" i="32"/>
  <c r="AB392" i="32"/>
  <c r="AA393" i="32"/>
  <c r="AB393" i="32"/>
  <c r="AA394" i="32"/>
  <c r="AB394" i="32"/>
  <c r="AA395" i="32"/>
  <c r="AB395" i="32"/>
  <c r="AA396" i="32"/>
  <c r="AB396" i="32"/>
  <c r="AA397" i="32"/>
  <c r="AB397" i="32"/>
  <c r="AA398" i="32"/>
  <c r="AB398" i="32"/>
  <c r="AA399" i="32"/>
  <c r="AB399" i="32"/>
  <c r="AA400" i="32"/>
  <c r="AB400" i="32"/>
  <c r="AA401" i="32"/>
  <c r="AB401" i="32"/>
  <c r="AA402" i="32"/>
  <c r="AB402" i="32"/>
  <c r="AA403" i="32"/>
  <c r="AB403" i="32"/>
  <c r="AA404" i="32"/>
  <c r="AB404" i="32"/>
  <c r="AA405" i="32"/>
  <c r="AB405" i="32"/>
  <c r="AA406" i="32"/>
  <c r="AB406" i="32"/>
  <c r="AA407" i="32"/>
  <c r="AB407" i="32"/>
  <c r="AA408" i="32"/>
  <c r="AB408" i="32"/>
  <c r="AA409" i="32"/>
  <c r="AB409" i="32"/>
  <c r="AA410" i="32"/>
  <c r="AB410" i="32"/>
  <c r="AA411" i="32"/>
  <c r="AB411" i="32"/>
  <c r="AA412" i="32"/>
  <c r="AB412" i="32"/>
  <c r="AA413" i="32"/>
  <c r="AB413" i="32"/>
  <c r="AA414" i="32"/>
  <c r="AB414" i="32"/>
  <c r="AA415" i="32"/>
  <c r="AB415" i="32"/>
  <c r="AA416" i="32"/>
  <c r="AB416" i="32"/>
  <c r="AA417" i="32"/>
  <c r="AB417" i="32"/>
  <c r="AA418" i="32"/>
  <c r="AB418" i="32"/>
  <c r="AA419" i="32"/>
  <c r="AB419" i="32"/>
  <c r="AA420" i="32"/>
  <c r="AB420" i="32"/>
  <c r="AA421" i="32"/>
  <c r="AB421" i="32"/>
  <c r="AA422" i="32"/>
  <c r="AB422" i="32"/>
  <c r="AA423" i="32"/>
  <c r="AB423" i="32"/>
  <c r="AA424" i="32"/>
  <c r="AB424" i="32"/>
  <c r="AA425" i="32"/>
  <c r="AB425" i="32"/>
  <c r="AA426" i="32"/>
  <c r="AB426" i="32"/>
  <c r="AA427" i="32"/>
  <c r="AB427" i="32"/>
  <c r="AA428" i="32"/>
  <c r="AB428" i="32"/>
  <c r="AA429" i="32"/>
  <c r="AB429" i="32"/>
  <c r="AA430" i="32"/>
  <c r="AB430" i="32"/>
  <c r="AA431" i="32"/>
  <c r="AB431" i="32"/>
  <c r="AA432" i="32"/>
  <c r="AB432" i="32"/>
  <c r="AA433" i="32"/>
  <c r="AB433" i="32"/>
  <c r="AA434" i="32"/>
  <c r="AB434" i="32"/>
  <c r="AA435" i="32"/>
  <c r="AB435" i="32"/>
  <c r="AA436" i="32"/>
  <c r="AB436" i="32"/>
  <c r="AA437" i="32"/>
  <c r="AB437" i="32"/>
  <c r="AA438" i="32"/>
  <c r="AB438" i="32"/>
  <c r="AA439" i="32"/>
  <c r="AB439" i="32"/>
  <c r="AA440" i="32"/>
  <c r="AB440" i="32"/>
  <c r="AA441" i="32"/>
  <c r="AB441" i="32"/>
  <c r="AA442" i="32"/>
  <c r="AB442" i="32"/>
  <c r="AA443" i="32"/>
  <c r="AB443" i="32"/>
  <c r="AA444" i="32"/>
  <c r="AB444" i="32"/>
  <c r="AA445" i="32"/>
  <c r="AB445" i="32"/>
  <c r="AA446" i="32"/>
  <c r="AB446" i="32"/>
  <c r="AA447" i="32"/>
  <c r="AB447" i="32"/>
  <c r="AA448" i="32"/>
  <c r="AB448" i="32"/>
  <c r="AA449" i="32"/>
  <c r="AB449" i="32"/>
  <c r="AA450" i="32"/>
  <c r="AB450" i="32"/>
  <c r="AA451" i="32"/>
  <c r="AB451" i="32"/>
  <c r="AA452" i="32"/>
  <c r="AB452" i="32"/>
  <c r="AA453" i="32"/>
  <c r="AB453" i="32"/>
  <c r="AA454" i="32"/>
  <c r="AB454" i="32"/>
  <c r="AA455" i="32"/>
  <c r="AB455" i="32"/>
  <c r="AA456" i="32"/>
  <c r="AB456" i="32"/>
  <c r="AA457" i="32"/>
  <c r="AB457" i="32"/>
  <c r="AA458" i="32"/>
  <c r="AB458" i="32"/>
  <c r="AA459" i="32"/>
  <c r="AB459" i="32"/>
  <c r="AA460" i="32"/>
  <c r="AB460" i="32"/>
  <c r="AA461" i="32"/>
  <c r="AB461" i="32"/>
  <c r="AA462" i="32"/>
  <c r="AB462" i="32"/>
  <c r="AA463" i="32"/>
  <c r="AB463" i="32"/>
  <c r="AA464" i="32"/>
  <c r="AB464" i="32"/>
  <c r="AA465" i="32"/>
  <c r="AB465" i="32"/>
  <c r="AA466" i="32"/>
  <c r="AB466" i="32"/>
  <c r="AA467" i="32"/>
  <c r="AB467" i="32"/>
  <c r="AA468" i="32"/>
  <c r="AB468" i="32"/>
  <c r="AA469" i="32"/>
  <c r="AB469" i="32"/>
  <c r="AA470" i="32"/>
  <c r="AB470" i="32"/>
  <c r="AA471" i="32"/>
  <c r="AB471" i="32"/>
  <c r="AA472" i="32"/>
  <c r="AB472" i="32"/>
  <c r="AA473" i="32"/>
  <c r="AB473" i="32"/>
  <c r="AA474" i="32"/>
  <c r="AB474" i="32"/>
  <c r="AA475" i="32"/>
  <c r="AB475" i="32"/>
  <c r="AA476" i="32"/>
  <c r="AB476" i="32"/>
  <c r="AA477" i="32"/>
  <c r="AB477" i="32"/>
  <c r="AA478" i="32"/>
  <c r="AB478" i="32"/>
  <c r="AA479" i="32"/>
  <c r="AB479" i="32"/>
  <c r="AA480" i="32"/>
  <c r="AB480" i="32"/>
  <c r="AA481" i="32"/>
  <c r="AB481" i="32"/>
  <c r="AA482" i="32"/>
  <c r="AB482" i="32"/>
  <c r="AA483" i="32"/>
  <c r="AB483" i="32"/>
  <c r="AA484" i="32"/>
  <c r="AB484" i="32"/>
  <c r="AA485" i="32"/>
  <c r="AB485" i="32"/>
  <c r="AA486" i="32"/>
  <c r="AB486" i="32"/>
  <c r="AA487" i="32"/>
  <c r="AB487" i="32"/>
  <c r="AA488" i="32"/>
  <c r="AB488" i="32"/>
  <c r="AA489" i="32"/>
  <c r="AB489" i="32"/>
  <c r="AA490" i="32"/>
  <c r="AB490" i="32"/>
  <c r="AA491" i="32"/>
  <c r="AB491" i="32"/>
  <c r="AA492" i="32"/>
  <c r="AB492" i="32"/>
  <c r="AA493" i="32"/>
  <c r="AB493" i="32"/>
  <c r="AA494" i="32"/>
  <c r="AB494" i="32"/>
  <c r="AA495" i="32"/>
  <c r="AB495" i="32"/>
  <c r="AA496" i="32"/>
  <c r="AB496" i="32"/>
  <c r="AA497" i="32"/>
  <c r="AB497" i="32"/>
  <c r="AA498" i="32"/>
  <c r="AB498" i="32"/>
  <c r="AA499" i="32"/>
  <c r="AB499" i="32"/>
  <c r="AA500" i="32"/>
  <c r="AB500" i="32"/>
  <c r="AA501" i="32"/>
  <c r="AB501" i="32"/>
  <c r="AA502" i="32"/>
  <c r="AB502" i="32"/>
  <c r="AA503" i="32"/>
  <c r="AB503" i="32"/>
  <c r="AA504" i="32"/>
  <c r="AB504" i="32"/>
  <c r="AA505" i="32"/>
  <c r="AB505" i="32"/>
  <c r="AA506" i="32"/>
  <c r="AB506" i="32"/>
  <c r="AA507" i="32"/>
  <c r="AB507" i="32"/>
  <c r="AA508" i="32"/>
  <c r="AB508" i="32"/>
  <c r="AA509" i="32"/>
  <c r="AB509" i="32"/>
  <c r="AA510" i="32"/>
  <c r="AB510" i="32"/>
  <c r="AA511" i="32"/>
  <c r="AB511" i="32"/>
  <c r="AA512" i="32"/>
  <c r="AB512" i="32"/>
  <c r="AA513" i="32"/>
  <c r="AB513" i="32"/>
  <c r="AA514" i="32"/>
  <c r="AB514" i="32"/>
  <c r="AA515" i="32"/>
  <c r="AB515" i="32"/>
  <c r="AA516" i="32"/>
  <c r="AB516" i="32"/>
  <c r="AA517" i="32"/>
  <c r="AB517" i="32"/>
  <c r="AA518" i="32"/>
  <c r="AB518" i="32"/>
  <c r="AA519" i="32"/>
  <c r="AB519" i="32"/>
  <c r="AA520" i="32"/>
  <c r="AB520" i="32"/>
  <c r="AA521" i="32"/>
  <c r="AB521" i="32"/>
  <c r="AA522" i="32"/>
  <c r="AB522" i="32"/>
  <c r="AA523" i="32"/>
  <c r="AB523" i="32"/>
  <c r="AA524" i="32"/>
  <c r="AB524" i="32"/>
  <c r="AA525" i="32"/>
  <c r="AB525" i="32"/>
  <c r="AA526" i="32"/>
  <c r="AB526" i="32"/>
  <c r="AA527" i="32"/>
  <c r="AB527" i="32"/>
  <c r="AA528" i="32"/>
  <c r="AB528" i="32"/>
  <c r="AA529" i="32"/>
  <c r="AB529" i="32"/>
  <c r="AA530" i="32"/>
  <c r="AB530" i="32"/>
  <c r="AA531" i="32"/>
  <c r="AB531" i="32"/>
  <c r="AA532" i="32"/>
  <c r="AB532" i="32"/>
  <c r="AA533" i="32"/>
  <c r="AB533" i="32"/>
  <c r="AA534" i="32"/>
  <c r="AB534" i="32"/>
  <c r="AA535" i="32"/>
  <c r="AB535" i="32"/>
  <c r="AA536" i="32"/>
  <c r="AB536" i="32"/>
  <c r="AA537" i="32"/>
  <c r="AB537" i="32"/>
  <c r="AA538" i="32"/>
  <c r="AB538" i="32"/>
  <c r="AA539" i="32"/>
  <c r="AB539" i="32"/>
  <c r="AA540" i="32"/>
  <c r="AB540" i="32"/>
  <c r="AA541" i="32"/>
  <c r="AB541" i="32"/>
  <c r="AA542" i="32"/>
  <c r="AB542" i="32"/>
  <c r="AA543" i="32"/>
  <c r="AB543" i="32"/>
  <c r="AA544" i="32"/>
  <c r="AB544" i="32"/>
  <c r="AA545" i="32"/>
  <c r="AB545" i="32"/>
  <c r="AA546" i="32"/>
  <c r="AB546" i="32"/>
  <c r="AA547" i="32"/>
  <c r="AB547" i="32"/>
  <c r="AA548" i="32"/>
  <c r="AB548" i="32"/>
  <c r="AA549" i="32"/>
  <c r="AB549" i="32"/>
  <c r="AA550" i="32"/>
  <c r="AB550" i="32"/>
  <c r="AA551" i="32"/>
  <c r="AB551" i="32"/>
  <c r="AA552" i="32"/>
  <c r="AB552" i="32"/>
  <c r="AA553" i="32"/>
  <c r="AB553" i="32"/>
  <c r="AA554" i="32"/>
  <c r="AB554" i="32"/>
  <c r="AA555" i="32"/>
  <c r="AB555" i="32"/>
  <c r="AA556" i="32"/>
  <c r="AB556" i="32"/>
  <c r="AA557" i="32"/>
  <c r="AB557" i="32"/>
  <c r="AA558" i="32"/>
  <c r="AB558" i="32"/>
  <c r="AA559" i="32"/>
  <c r="AB559" i="32"/>
  <c r="AA560" i="32"/>
  <c r="AB560" i="32"/>
  <c r="AA561" i="32"/>
  <c r="AB561" i="32"/>
  <c r="AA562" i="32"/>
  <c r="AB562" i="32"/>
  <c r="AA563" i="32"/>
  <c r="AB563" i="32"/>
  <c r="AA564" i="32"/>
  <c r="AB564" i="32"/>
  <c r="AA565" i="32"/>
  <c r="AB565" i="32"/>
  <c r="AA566" i="32"/>
  <c r="AB566" i="32"/>
  <c r="AA567" i="32"/>
  <c r="AB567" i="32"/>
  <c r="AA568" i="32"/>
  <c r="AB568" i="32"/>
  <c r="AA569" i="32"/>
  <c r="AB569" i="32"/>
  <c r="AA570" i="32"/>
  <c r="AB570" i="32"/>
  <c r="AA571" i="32"/>
  <c r="AB571" i="32"/>
  <c r="AA572" i="32"/>
  <c r="AB572" i="32"/>
  <c r="AA573" i="32"/>
  <c r="AB573" i="32"/>
  <c r="AA574" i="32"/>
  <c r="AB574" i="32"/>
  <c r="AA575" i="32"/>
  <c r="AB575" i="32"/>
  <c r="AA576" i="32"/>
  <c r="AB576" i="32"/>
  <c r="AA577" i="32"/>
  <c r="AB577" i="32"/>
  <c r="AA578" i="32"/>
  <c r="AB578" i="32"/>
  <c r="AA579" i="32"/>
  <c r="AB579" i="32"/>
  <c r="AA580" i="32"/>
  <c r="AB580" i="32"/>
  <c r="AA581" i="32"/>
  <c r="AB581" i="32"/>
  <c r="AA582" i="32"/>
  <c r="AB582" i="32"/>
  <c r="AA583" i="32"/>
  <c r="AB583" i="32"/>
  <c r="AA584" i="32"/>
  <c r="AB584" i="32"/>
  <c r="AA585" i="32"/>
  <c r="AB585" i="32"/>
  <c r="AA586" i="32"/>
  <c r="AB586" i="32"/>
  <c r="AA587" i="32"/>
  <c r="AB587" i="32"/>
  <c r="AA588" i="32"/>
  <c r="AB588" i="32"/>
  <c r="AA589" i="32"/>
  <c r="AB589" i="32"/>
  <c r="AA590" i="32"/>
  <c r="AB590" i="32"/>
  <c r="AA591" i="32"/>
  <c r="AB591" i="32"/>
  <c r="AA592" i="32"/>
  <c r="AB592" i="32"/>
  <c r="AA593" i="32"/>
  <c r="AB593" i="32"/>
  <c r="AA594" i="32"/>
  <c r="AB594" i="32"/>
  <c r="AA595" i="32"/>
  <c r="AB595" i="32"/>
  <c r="AA596" i="32"/>
  <c r="AB596" i="32"/>
  <c r="AA597" i="32"/>
  <c r="AB597" i="32"/>
  <c r="AA598" i="32"/>
  <c r="AB598" i="32"/>
  <c r="AA599" i="32"/>
  <c r="AB599" i="32"/>
  <c r="AA600" i="32"/>
  <c r="AB600" i="32"/>
  <c r="AA601" i="32"/>
  <c r="AB601" i="32"/>
  <c r="AA602" i="32"/>
  <c r="AB602" i="32"/>
  <c r="AA603" i="32"/>
  <c r="AB603" i="32"/>
  <c r="AA604" i="32"/>
  <c r="AB604" i="32"/>
  <c r="AA605" i="32"/>
  <c r="AB605" i="32"/>
  <c r="AA606" i="32"/>
  <c r="AB606" i="32"/>
  <c r="AA607" i="32"/>
  <c r="AB607" i="32"/>
  <c r="AA608" i="32"/>
  <c r="AB608" i="32"/>
  <c r="AA609" i="32"/>
  <c r="AB609" i="32"/>
  <c r="AA610" i="32"/>
  <c r="AB610" i="32"/>
  <c r="AA611" i="32"/>
  <c r="AB611" i="32"/>
  <c r="AA612" i="32"/>
  <c r="AB612" i="32"/>
  <c r="AA613" i="32"/>
  <c r="AB613" i="32"/>
  <c r="AA614" i="32"/>
  <c r="AB614" i="32"/>
  <c r="AA615" i="32"/>
  <c r="AB615" i="32"/>
  <c r="AA616" i="32"/>
  <c r="AB616" i="32"/>
  <c r="AA617" i="32"/>
  <c r="AB617" i="32"/>
  <c r="AA618" i="32"/>
  <c r="AB618" i="32"/>
  <c r="AA619" i="32"/>
  <c r="AB619" i="32"/>
  <c r="AA620" i="32"/>
  <c r="AB620" i="32"/>
  <c r="AA621" i="32"/>
  <c r="AB621" i="32"/>
  <c r="AA622" i="32"/>
  <c r="AB622" i="32"/>
  <c r="AA623" i="32"/>
  <c r="AB623" i="32"/>
  <c r="AA624" i="32"/>
  <c r="AB624" i="32"/>
  <c r="AA625" i="32"/>
  <c r="AB625" i="32"/>
  <c r="AA626" i="32"/>
  <c r="AB626" i="32"/>
  <c r="AA627" i="32"/>
  <c r="AB627" i="32"/>
  <c r="AA628" i="32"/>
  <c r="AB628" i="32"/>
  <c r="AA629" i="32"/>
  <c r="AB629" i="32"/>
  <c r="AA630" i="32"/>
  <c r="AB630" i="32"/>
  <c r="AA631" i="32"/>
  <c r="AB631" i="32"/>
  <c r="AA632" i="32"/>
  <c r="AB632" i="32"/>
  <c r="AA633" i="32"/>
  <c r="AB633" i="32"/>
  <c r="AA634" i="32"/>
  <c r="AB634" i="32"/>
  <c r="AA635" i="32"/>
  <c r="AB635" i="32"/>
  <c r="AA636" i="32"/>
  <c r="AB636" i="32"/>
  <c r="AA637" i="32"/>
  <c r="AB637" i="32"/>
  <c r="AA638" i="32"/>
  <c r="AB638" i="32"/>
  <c r="AA639" i="32"/>
  <c r="AB639" i="32"/>
  <c r="AA640" i="32"/>
  <c r="AB640" i="32"/>
  <c r="AA641" i="32"/>
  <c r="AB641" i="32"/>
  <c r="AA642" i="32"/>
  <c r="AB642" i="32"/>
  <c r="AA643" i="32"/>
  <c r="AB643" i="32"/>
  <c r="AA644" i="32"/>
  <c r="AB644" i="32"/>
  <c r="AA645" i="32"/>
  <c r="AB645" i="32"/>
  <c r="AA646" i="32"/>
  <c r="AB646" i="32"/>
  <c r="AA647" i="32"/>
  <c r="AB647" i="32"/>
  <c r="AA648" i="32"/>
  <c r="AB648" i="32"/>
  <c r="AA649" i="32"/>
  <c r="AB649" i="32"/>
  <c r="AA650" i="32"/>
  <c r="AB650" i="32"/>
  <c r="AA651" i="32"/>
  <c r="AB651" i="32"/>
  <c r="AA652" i="32"/>
  <c r="AB652" i="32"/>
  <c r="AA653" i="32"/>
  <c r="AB653" i="32"/>
  <c r="AA654" i="32"/>
  <c r="AB654" i="32"/>
  <c r="AA655" i="32"/>
  <c r="AB655" i="32"/>
  <c r="AA656" i="32"/>
  <c r="AB656" i="32"/>
  <c r="AA657" i="32"/>
  <c r="AB657" i="32"/>
  <c r="AA658" i="32"/>
  <c r="AB658" i="32"/>
  <c r="AA659" i="32"/>
  <c r="AB659" i="32"/>
  <c r="AA660" i="32"/>
  <c r="AB660" i="32"/>
  <c r="AA661" i="32"/>
  <c r="AB661" i="32"/>
  <c r="AA662" i="32"/>
  <c r="AB662" i="32"/>
  <c r="AA663" i="32"/>
  <c r="AB663" i="32"/>
  <c r="AA664" i="32"/>
  <c r="AB664" i="32"/>
  <c r="AA665" i="32"/>
  <c r="AB665" i="32"/>
  <c r="AA666" i="32"/>
  <c r="AB666" i="32"/>
  <c r="AA667" i="32"/>
  <c r="AB667" i="32"/>
  <c r="AA668" i="32"/>
  <c r="AB668" i="32"/>
  <c r="AA669" i="32"/>
  <c r="AB669" i="32"/>
  <c r="AA670" i="32"/>
  <c r="AB670" i="32"/>
  <c r="AA671" i="32"/>
  <c r="AB671" i="32"/>
  <c r="AA672" i="32"/>
  <c r="AB672" i="32"/>
  <c r="AA673" i="32"/>
  <c r="AB673" i="32"/>
  <c r="AA674" i="32"/>
  <c r="AB674" i="32"/>
  <c r="AA675" i="32"/>
  <c r="AB675" i="32"/>
  <c r="AA676" i="32"/>
  <c r="AB676" i="32"/>
  <c r="AA677" i="32"/>
  <c r="AB677" i="32"/>
  <c r="AA678" i="32"/>
  <c r="AB678" i="32"/>
  <c r="AA679" i="32"/>
  <c r="AB679" i="32"/>
  <c r="AA680" i="32"/>
  <c r="AB680" i="32"/>
  <c r="AA681" i="32"/>
  <c r="AB681" i="32"/>
  <c r="AA682" i="32"/>
  <c r="AB682" i="32"/>
  <c r="AA683" i="32"/>
  <c r="AB683" i="32"/>
  <c r="AA684" i="32"/>
  <c r="AB684" i="32"/>
  <c r="AA685" i="32"/>
  <c r="AB685" i="32"/>
  <c r="AA686" i="32"/>
  <c r="AB686" i="32"/>
  <c r="AA687" i="32"/>
  <c r="AB687" i="32"/>
  <c r="AA688" i="32"/>
  <c r="AB688" i="32"/>
  <c r="AA689" i="32"/>
  <c r="AB689" i="32"/>
  <c r="AA690" i="32"/>
  <c r="AB690" i="32"/>
  <c r="AA691" i="32"/>
  <c r="AB691" i="32"/>
  <c r="AA692" i="32"/>
  <c r="AB692" i="32"/>
  <c r="AA693" i="32"/>
  <c r="AB693" i="32"/>
  <c r="AA694" i="32"/>
  <c r="AB694" i="32"/>
  <c r="AA695" i="32"/>
  <c r="AB695" i="32"/>
  <c r="AA696" i="32"/>
  <c r="AB696" i="32"/>
  <c r="AA697" i="32"/>
  <c r="AB697" i="32"/>
  <c r="AA698" i="32"/>
  <c r="AB698" i="32"/>
  <c r="AA699" i="32"/>
  <c r="AB699" i="32"/>
  <c r="AA700" i="32"/>
  <c r="AB700" i="32"/>
  <c r="AA701" i="32"/>
  <c r="AB701" i="32"/>
  <c r="AA702" i="32"/>
  <c r="AB702" i="32"/>
  <c r="AA703" i="32"/>
  <c r="AB703" i="32"/>
  <c r="AA704" i="32"/>
  <c r="AB704" i="32"/>
  <c r="AA705" i="32"/>
  <c r="AB705" i="32"/>
  <c r="AA706" i="32"/>
  <c r="AB706" i="32"/>
  <c r="AA707" i="32"/>
  <c r="AB707" i="32"/>
  <c r="AA708" i="32"/>
  <c r="AB708" i="32"/>
  <c r="AA709" i="32"/>
  <c r="AB709" i="32"/>
  <c r="AA710" i="32"/>
  <c r="AB710" i="32"/>
  <c r="AA711" i="32"/>
  <c r="AB711" i="32"/>
  <c r="AA712" i="32"/>
  <c r="AB712" i="32"/>
  <c r="AA713" i="32"/>
  <c r="AB713" i="32"/>
  <c r="AA714" i="32"/>
  <c r="AB714" i="32"/>
  <c r="AA715" i="32"/>
  <c r="AB715" i="32"/>
  <c r="AA716" i="32"/>
  <c r="AB716" i="32"/>
  <c r="AA717" i="32"/>
  <c r="AB717" i="32"/>
  <c r="AA718" i="32"/>
  <c r="AB718" i="32"/>
  <c r="AA719" i="32"/>
  <c r="AB719" i="32"/>
  <c r="AA720" i="32"/>
  <c r="AB720" i="32"/>
  <c r="AA721" i="32"/>
  <c r="AB721" i="32"/>
  <c r="AA722" i="32"/>
  <c r="AB722" i="32"/>
  <c r="AA723" i="32"/>
  <c r="AB723" i="32"/>
  <c r="AA724" i="32"/>
  <c r="AB724" i="32"/>
  <c r="AA725" i="32"/>
  <c r="AB725" i="32"/>
  <c r="AA726" i="32"/>
  <c r="AB726" i="32"/>
  <c r="AA727" i="32"/>
  <c r="AB727" i="32"/>
  <c r="AA728" i="32"/>
  <c r="AB728" i="32"/>
  <c r="AA729" i="32"/>
  <c r="AB729" i="32"/>
  <c r="AA730" i="32"/>
  <c r="AB730" i="32"/>
  <c r="AA731" i="32"/>
  <c r="AB731" i="32"/>
  <c r="AA732" i="32"/>
  <c r="AB732" i="32"/>
  <c r="AA733" i="32"/>
  <c r="AB733" i="32"/>
  <c r="AA734" i="32"/>
  <c r="AB734" i="32"/>
  <c r="AA735" i="32"/>
  <c r="AB735" i="32"/>
  <c r="AA736" i="32"/>
  <c r="AB736" i="32"/>
  <c r="AA737" i="32"/>
  <c r="AB737" i="32"/>
  <c r="AA738" i="32"/>
  <c r="AB738" i="32"/>
  <c r="AA739" i="32"/>
  <c r="AB739" i="32"/>
  <c r="AA740" i="32"/>
  <c r="AB740" i="32"/>
  <c r="AA741" i="32"/>
  <c r="AB741" i="32"/>
  <c r="AA742" i="32"/>
  <c r="AB742" i="32"/>
  <c r="AA743" i="32"/>
  <c r="AB743" i="32"/>
  <c r="AA744" i="32"/>
  <c r="AB744" i="32"/>
  <c r="AA745" i="32"/>
  <c r="AB745" i="32"/>
  <c r="AA746" i="32"/>
  <c r="AB746" i="32"/>
  <c r="AA747" i="32"/>
  <c r="AB747" i="32"/>
  <c r="AA748" i="32"/>
  <c r="AB748" i="32"/>
  <c r="AA749" i="32"/>
  <c r="AB749" i="32"/>
  <c r="AA750" i="32"/>
  <c r="AB750" i="32"/>
  <c r="AA751" i="32"/>
  <c r="AB751" i="32"/>
  <c r="AA752" i="32"/>
  <c r="AB752" i="32"/>
  <c r="AA753" i="32"/>
  <c r="AB753" i="32"/>
  <c r="AA754" i="32"/>
  <c r="AB754" i="32"/>
  <c r="AA755" i="32"/>
  <c r="AB755" i="32"/>
  <c r="AA756" i="32"/>
  <c r="AB756" i="32"/>
  <c r="AA757" i="32"/>
  <c r="AB757" i="32"/>
  <c r="AA758" i="32"/>
  <c r="AB758" i="32"/>
  <c r="AA759" i="32"/>
  <c r="AB759" i="32"/>
  <c r="AA760" i="32"/>
  <c r="AB760" i="32"/>
  <c r="AA761" i="32"/>
  <c r="AB761" i="32"/>
  <c r="AA762" i="32"/>
  <c r="AB762" i="32"/>
  <c r="AA763" i="32"/>
  <c r="AB763" i="32"/>
  <c r="AA764" i="32"/>
  <c r="AB764" i="32"/>
  <c r="AA765" i="32"/>
  <c r="AB765" i="32"/>
  <c r="AA766" i="32"/>
  <c r="AB766" i="32"/>
  <c r="AA767" i="32"/>
  <c r="AB767" i="32"/>
  <c r="AA768" i="32"/>
  <c r="AB768" i="32"/>
  <c r="AA769" i="32"/>
  <c r="AB769" i="32"/>
  <c r="AA770" i="32"/>
  <c r="AB770" i="32"/>
  <c r="AA771" i="32"/>
  <c r="AB771" i="32"/>
  <c r="AA772" i="32"/>
  <c r="AB772" i="32"/>
  <c r="AA773" i="32"/>
  <c r="AB773" i="32"/>
  <c r="AA774" i="32"/>
  <c r="AB774" i="32"/>
  <c r="AA775" i="32"/>
  <c r="AB775" i="32"/>
  <c r="AA776" i="32"/>
  <c r="AB776" i="32"/>
  <c r="AA777" i="32"/>
  <c r="AB777" i="32"/>
  <c r="AA778" i="32"/>
  <c r="AB778" i="32"/>
  <c r="AA779" i="32"/>
  <c r="AB779" i="32"/>
  <c r="AA780" i="32"/>
  <c r="AB780" i="32"/>
  <c r="AA781" i="32"/>
  <c r="AB781" i="32"/>
  <c r="AA782" i="32"/>
  <c r="AB782" i="32"/>
  <c r="AA783" i="32"/>
  <c r="AB783" i="32"/>
  <c r="AA784" i="32"/>
  <c r="AB784" i="32"/>
  <c r="AA785" i="32"/>
  <c r="AB785" i="32"/>
  <c r="AA786" i="32"/>
  <c r="AB786" i="32"/>
  <c r="AA787" i="32"/>
  <c r="AB787" i="32"/>
  <c r="AA788" i="32"/>
  <c r="AB788" i="32"/>
  <c r="AA789" i="32"/>
  <c r="AB789" i="32"/>
  <c r="AA790" i="32"/>
  <c r="AB790" i="32"/>
  <c r="AA791" i="32"/>
  <c r="AB791" i="32"/>
  <c r="AA792" i="32"/>
  <c r="AB792" i="32"/>
  <c r="AA793" i="32"/>
  <c r="AB793" i="32"/>
  <c r="AA794" i="32"/>
  <c r="AB794" i="32"/>
  <c r="AA795" i="32"/>
  <c r="AB795" i="32"/>
  <c r="AA796" i="32"/>
  <c r="AB796" i="32"/>
  <c r="AA797" i="32"/>
  <c r="AB797" i="32"/>
  <c r="AA798" i="32"/>
  <c r="AB798" i="32"/>
  <c r="AA799" i="32"/>
  <c r="AB799" i="32"/>
  <c r="AA800" i="32"/>
  <c r="AB800" i="32"/>
  <c r="AA801" i="32"/>
  <c r="AB801" i="32"/>
  <c r="AA802" i="32"/>
  <c r="AB802" i="32"/>
  <c r="AA803" i="32"/>
  <c r="AB803" i="32"/>
  <c r="AA804" i="32"/>
  <c r="AB804" i="32"/>
  <c r="AA805" i="32"/>
  <c r="AB805" i="32"/>
  <c r="AA806" i="32"/>
  <c r="AB806" i="32"/>
  <c r="AA807" i="32"/>
  <c r="AB807" i="32"/>
  <c r="AA808" i="32"/>
  <c r="AB808" i="32"/>
  <c r="AA809" i="32"/>
  <c r="AB809" i="32"/>
  <c r="AA810" i="32"/>
  <c r="AB810" i="32"/>
  <c r="AA811" i="32"/>
  <c r="AB811" i="32"/>
  <c r="AA812" i="32"/>
  <c r="AB812" i="32"/>
  <c r="AA813" i="32"/>
  <c r="AB813" i="32"/>
  <c r="AA814" i="32"/>
  <c r="AB814" i="32"/>
  <c r="AA815" i="32"/>
  <c r="AB815" i="32"/>
  <c r="AA816" i="32"/>
  <c r="AB816" i="32"/>
  <c r="AA817" i="32"/>
  <c r="AB817" i="32"/>
  <c r="AA818" i="32"/>
  <c r="AB818" i="32"/>
  <c r="AA819" i="32"/>
  <c r="AB819" i="32"/>
  <c r="AA820" i="32"/>
  <c r="AB820" i="32"/>
  <c r="AA821" i="32"/>
  <c r="AB821" i="32"/>
  <c r="AA822" i="32"/>
  <c r="AB822" i="32"/>
  <c r="AA823" i="32"/>
  <c r="AB823" i="32"/>
  <c r="AA824" i="32"/>
  <c r="AB824" i="32"/>
  <c r="AA825" i="32"/>
  <c r="AB825" i="32"/>
  <c r="AA826" i="32"/>
  <c r="AB826" i="32"/>
  <c r="AA827" i="32"/>
  <c r="AB827" i="32"/>
  <c r="AA828" i="32"/>
  <c r="AB828" i="32"/>
  <c r="AA829" i="32"/>
  <c r="AB829" i="32"/>
  <c r="AA830" i="32"/>
  <c r="AB830" i="32"/>
  <c r="AA831" i="32"/>
  <c r="AB831" i="32"/>
  <c r="AA832" i="32"/>
  <c r="AB832" i="32"/>
  <c r="AA833" i="32"/>
  <c r="AB833" i="32"/>
  <c r="AA834" i="32"/>
  <c r="AB834" i="32"/>
  <c r="AA835" i="32"/>
  <c r="AB835" i="32"/>
  <c r="AA836" i="32"/>
  <c r="AB836" i="32"/>
  <c r="AA837" i="32"/>
  <c r="AB837" i="32"/>
  <c r="AA838" i="32"/>
  <c r="AB838" i="32"/>
  <c r="AA839" i="32"/>
  <c r="AB839" i="32"/>
  <c r="AA840" i="32"/>
  <c r="AB840" i="32"/>
  <c r="AA841" i="32"/>
  <c r="AB841" i="32"/>
  <c r="AA842" i="32"/>
  <c r="AB842" i="32"/>
  <c r="AA843" i="32"/>
  <c r="AB843" i="32"/>
  <c r="AA844" i="32"/>
  <c r="AB844" i="32"/>
  <c r="AA845" i="32"/>
  <c r="AB845" i="32"/>
  <c r="AA846" i="32"/>
  <c r="AB846" i="32"/>
  <c r="AA847" i="32"/>
  <c r="AB847" i="32"/>
  <c r="AA848" i="32"/>
  <c r="AB848" i="32"/>
  <c r="AA849" i="32"/>
  <c r="AB849" i="32"/>
  <c r="AA850" i="32"/>
  <c r="AB850" i="32"/>
  <c r="AA851" i="32"/>
  <c r="AB851" i="32"/>
  <c r="AA852" i="32"/>
  <c r="AB852" i="32"/>
  <c r="AA853" i="32"/>
  <c r="AB853" i="32"/>
  <c r="AA854" i="32"/>
  <c r="AB854" i="32"/>
  <c r="AA855" i="32"/>
  <c r="AB855" i="32"/>
  <c r="AA856" i="32"/>
  <c r="AB856" i="32"/>
  <c r="AA857" i="32"/>
  <c r="AB857" i="32"/>
  <c r="AA858" i="32"/>
  <c r="AB858" i="32"/>
  <c r="AA859" i="32"/>
  <c r="AB859" i="32"/>
  <c r="AA860" i="32"/>
  <c r="AB860" i="32"/>
  <c r="AA861" i="32"/>
  <c r="AB861" i="32"/>
  <c r="AA862" i="32"/>
  <c r="AB862" i="32"/>
  <c r="AA863" i="32"/>
  <c r="AB863" i="32"/>
  <c r="AA864" i="32"/>
  <c r="AB864" i="32"/>
  <c r="AA865" i="32"/>
  <c r="AB865" i="32"/>
  <c r="AA866" i="32"/>
  <c r="AB866" i="32"/>
  <c r="AA867" i="32"/>
  <c r="AB867" i="32"/>
  <c r="AA868" i="32"/>
  <c r="AB868" i="32"/>
  <c r="AA869" i="32"/>
  <c r="AB869" i="32"/>
  <c r="AA870" i="32"/>
  <c r="AB870" i="32"/>
  <c r="AA871" i="32"/>
  <c r="AB871" i="32"/>
  <c r="AA872" i="32"/>
  <c r="AB872" i="32"/>
  <c r="AA873" i="32"/>
  <c r="AB873" i="32"/>
  <c r="AA874" i="32"/>
  <c r="AB874" i="32"/>
  <c r="AA875" i="32"/>
  <c r="AB875" i="32"/>
  <c r="AA876" i="32"/>
  <c r="AB876" i="32"/>
  <c r="AA877" i="32"/>
  <c r="AB877" i="32"/>
  <c r="AA878" i="32"/>
  <c r="AB878" i="32"/>
  <c r="AA879" i="32"/>
  <c r="AB879" i="32"/>
  <c r="AA880" i="32"/>
  <c r="AB880" i="32"/>
  <c r="AA881" i="32"/>
  <c r="AB881" i="32"/>
  <c r="AA882" i="32"/>
  <c r="AB882" i="32"/>
  <c r="AA883" i="32"/>
  <c r="AB883" i="32"/>
  <c r="AA884" i="32"/>
  <c r="AB884" i="32"/>
  <c r="AA885" i="32"/>
  <c r="AB885" i="32"/>
  <c r="AA886" i="32"/>
  <c r="AB886" i="32"/>
  <c r="AA887" i="32"/>
  <c r="AB887" i="32"/>
  <c r="AA888" i="32"/>
  <c r="AB888" i="32"/>
  <c r="AA889" i="32"/>
  <c r="AB889" i="32"/>
  <c r="AA890" i="32"/>
  <c r="AB890" i="32"/>
  <c r="AA891" i="32"/>
  <c r="AB891" i="32"/>
  <c r="AA892" i="32"/>
  <c r="AB892" i="32"/>
  <c r="AA893" i="32"/>
  <c r="AB893" i="32"/>
  <c r="AA894" i="32"/>
  <c r="AB894" i="32"/>
  <c r="AA895" i="32"/>
  <c r="AB895" i="32"/>
  <c r="AA896" i="32"/>
  <c r="AB896" i="32"/>
  <c r="AA897" i="32"/>
  <c r="AB897" i="32"/>
  <c r="AA898" i="32"/>
  <c r="AB898" i="32"/>
  <c r="AA899" i="32"/>
  <c r="AB899" i="32"/>
  <c r="AA900" i="32"/>
  <c r="AB900" i="32"/>
  <c r="AA901" i="32"/>
  <c r="AB901" i="32"/>
  <c r="AA902" i="32"/>
  <c r="AB902" i="32"/>
  <c r="AA903" i="32"/>
  <c r="AB903" i="32"/>
  <c r="AA904" i="32"/>
  <c r="AB904" i="32"/>
  <c r="AA905" i="32"/>
  <c r="AB905" i="32"/>
  <c r="AA906" i="32"/>
  <c r="AB906" i="32"/>
  <c r="AA907" i="32"/>
  <c r="AB907" i="32"/>
  <c r="AB4" i="32"/>
  <c r="AA4" i="32"/>
  <c r="V5" i="32"/>
  <c r="W5" i="32"/>
  <c r="V6" i="32"/>
  <c r="W6" i="32"/>
  <c r="V7" i="32"/>
  <c r="W7" i="32"/>
  <c r="V8" i="32"/>
  <c r="W8" i="32"/>
  <c r="V9" i="32"/>
  <c r="W9" i="32"/>
  <c r="V10" i="32"/>
  <c r="W10" i="32"/>
  <c r="V11" i="32"/>
  <c r="W11" i="32"/>
  <c r="V12" i="32"/>
  <c r="W12" i="32"/>
  <c r="V13" i="32"/>
  <c r="W13" i="32"/>
  <c r="V14" i="32"/>
  <c r="W14" i="32"/>
  <c r="V15" i="32"/>
  <c r="W15" i="32"/>
  <c r="V16" i="32"/>
  <c r="W16" i="32"/>
  <c r="V17" i="32"/>
  <c r="W17" i="32"/>
  <c r="V18" i="32"/>
  <c r="W18" i="32"/>
  <c r="V19" i="32"/>
  <c r="W19" i="32"/>
  <c r="V20" i="32"/>
  <c r="W20" i="32"/>
  <c r="V21" i="32"/>
  <c r="W21" i="32"/>
  <c r="V22" i="32"/>
  <c r="W22" i="32"/>
  <c r="V23" i="32"/>
  <c r="W23" i="32"/>
  <c r="V24" i="32"/>
  <c r="W24" i="32"/>
  <c r="V25" i="32"/>
  <c r="W25" i="32"/>
  <c r="V26" i="32"/>
  <c r="W26" i="32"/>
  <c r="V27" i="32"/>
  <c r="W27" i="32"/>
  <c r="V28" i="32"/>
  <c r="W28" i="32"/>
  <c r="V29" i="32"/>
  <c r="W29" i="32"/>
  <c r="V30" i="32"/>
  <c r="W30" i="32"/>
  <c r="V31" i="32"/>
  <c r="W31" i="32"/>
  <c r="V32" i="32"/>
  <c r="W32" i="32"/>
  <c r="V33" i="32"/>
  <c r="W33" i="32"/>
  <c r="V34" i="32"/>
  <c r="W34" i="32"/>
  <c r="V35" i="32"/>
  <c r="W35" i="32"/>
  <c r="V36" i="32"/>
  <c r="W36" i="32"/>
  <c r="V37" i="32"/>
  <c r="W37" i="32"/>
  <c r="V38" i="32"/>
  <c r="W38" i="32"/>
  <c r="V39" i="32"/>
  <c r="W39" i="32"/>
  <c r="V40" i="32"/>
  <c r="W40" i="32"/>
  <c r="V41" i="32"/>
  <c r="W41" i="32"/>
  <c r="V42" i="32"/>
  <c r="W42" i="32"/>
  <c r="V43" i="32"/>
  <c r="W43" i="32"/>
  <c r="V44" i="32"/>
  <c r="W44" i="32"/>
  <c r="V45" i="32"/>
  <c r="W45" i="32"/>
  <c r="V46" i="32"/>
  <c r="W46" i="32"/>
  <c r="V47" i="32"/>
  <c r="W47" i="32"/>
  <c r="V48" i="32"/>
  <c r="W48" i="32"/>
  <c r="V49" i="32"/>
  <c r="W49" i="32"/>
  <c r="V50" i="32"/>
  <c r="W50" i="32"/>
  <c r="V51" i="32"/>
  <c r="W51" i="32"/>
  <c r="V52" i="32"/>
  <c r="W52" i="32"/>
  <c r="V53" i="32"/>
  <c r="W53" i="32"/>
  <c r="V54" i="32"/>
  <c r="W54" i="32"/>
  <c r="V55" i="32"/>
  <c r="W55" i="32"/>
  <c r="V56" i="32"/>
  <c r="W56" i="32"/>
  <c r="V57" i="32"/>
  <c r="W57" i="32"/>
  <c r="V58" i="32"/>
  <c r="W58" i="32"/>
  <c r="V59" i="32"/>
  <c r="W59" i="32"/>
  <c r="V60" i="32"/>
  <c r="W60" i="32"/>
  <c r="V61" i="32"/>
  <c r="W61" i="32"/>
  <c r="V62" i="32"/>
  <c r="W62" i="32"/>
  <c r="V63" i="32"/>
  <c r="W63" i="32"/>
  <c r="V64" i="32"/>
  <c r="W64" i="32"/>
  <c r="V65" i="32"/>
  <c r="W65" i="32"/>
  <c r="V66" i="32"/>
  <c r="W66" i="32"/>
  <c r="V67" i="32"/>
  <c r="W67" i="32"/>
  <c r="V68" i="32"/>
  <c r="W68" i="32"/>
  <c r="V69" i="32"/>
  <c r="W69" i="32"/>
  <c r="V70" i="32"/>
  <c r="W70" i="32"/>
  <c r="V71" i="32"/>
  <c r="W71" i="32"/>
  <c r="V72" i="32"/>
  <c r="W72" i="32"/>
  <c r="V73" i="32"/>
  <c r="W73" i="32"/>
  <c r="V74" i="32"/>
  <c r="W74" i="32"/>
  <c r="V75" i="32"/>
  <c r="W75" i="32"/>
  <c r="V76" i="32"/>
  <c r="W76" i="32"/>
  <c r="V77" i="32"/>
  <c r="W77" i="32"/>
  <c r="V78" i="32"/>
  <c r="W78" i="32"/>
  <c r="V79" i="32"/>
  <c r="W79" i="32"/>
  <c r="V80" i="32"/>
  <c r="W80" i="32"/>
  <c r="V81" i="32"/>
  <c r="W81" i="32"/>
  <c r="V82" i="32"/>
  <c r="W82" i="32"/>
  <c r="V83" i="32"/>
  <c r="W83" i="32"/>
  <c r="V84" i="32"/>
  <c r="W84" i="32"/>
  <c r="V85" i="32"/>
  <c r="W85" i="32"/>
  <c r="V86" i="32"/>
  <c r="W86" i="32"/>
  <c r="V87" i="32"/>
  <c r="W87" i="32"/>
  <c r="V88" i="32"/>
  <c r="W88" i="32"/>
  <c r="V89" i="32"/>
  <c r="W89" i="32"/>
  <c r="V90" i="32"/>
  <c r="W90" i="32"/>
  <c r="V91" i="32"/>
  <c r="W91" i="32"/>
  <c r="V92" i="32"/>
  <c r="W92" i="32"/>
  <c r="V93" i="32"/>
  <c r="W93" i="32"/>
  <c r="V94" i="32"/>
  <c r="W94" i="32"/>
  <c r="V95" i="32"/>
  <c r="W95" i="32"/>
  <c r="V96" i="32"/>
  <c r="W96" i="32"/>
  <c r="V97" i="32"/>
  <c r="W97" i="32"/>
  <c r="V98" i="32"/>
  <c r="W98" i="32"/>
  <c r="V99" i="32"/>
  <c r="W99" i="32"/>
  <c r="V100" i="32"/>
  <c r="W100" i="32"/>
  <c r="V101" i="32"/>
  <c r="W101" i="32"/>
  <c r="V102" i="32"/>
  <c r="W102" i="32"/>
  <c r="V103" i="32"/>
  <c r="W103" i="32"/>
  <c r="V104" i="32"/>
  <c r="W104" i="32"/>
  <c r="V105" i="32"/>
  <c r="W105" i="32"/>
  <c r="V106" i="32"/>
  <c r="W106" i="32"/>
  <c r="V107" i="32"/>
  <c r="W107" i="32"/>
  <c r="V108" i="32"/>
  <c r="W108" i="32"/>
  <c r="V109" i="32"/>
  <c r="W109" i="32"/>
  <c r="V110" i="32"/>
  <c r="W110" i="32"/>
  <c r="V111" i="32"/>
  <c r="W111" i="32"/>
  <c r="V112" i="32"/>
  <c r="W112" i="32"/>
  <c r="V113" i="32"/>
  <c r="W113" i="32"/>
  <c r="V114" i="32"/>
  <c r="W114" i="32"/>
  <c r="V115" i="32"/>
  <c r="W115" i="32"/>
  <c r="V116" i="32"/>
  <c r="W116" i="32"/>
  <c r="V117" i="32"/>
  <c r="W117" i="32"/>
  <c r="V118" i="32"/>
  <c r="W118" i="32"/>
  <c r="V119" i="32"/>
  <c r="W119" i="32"/>
  <c r="V120" i="32"/>
  <c r="W120" i="32"/>
  <c r="V121" i="32"/>
  <c r="W121" i="32"/>
  <c r="V122" i="32"/>
  <c r="W122" i="32"/>
  <c r="V123" i="32"/>
  <c r="W123" i="32"/>
  <c r="V124" i="32"/>
  <c r="W124" i="32"/>
  <c r="V125" i="32"/>
  <c r="W125" i="32"/>
  <c r="V126" i="32"/>
  <c r="W126" i="32"/>
  <c r="V127" i="32"/>
  <c r="W127" i="32"/>
  <c r="V128" i="32"/>
  <c r="W128" i="32"/>
  <c r="V129" i="32"/>
  <c r="W129" i="32"/>
  <c r="V130" i="32"/>
  <c r="W130" i="32"/>
  <c r="V131" i="32"/>
  <c r="W131" i="32"/>
  <c r="V132" i="32"/>
  <c r="W132" i="32"/>
  <c r="V133" i="32"/>
  <c r="W133" i="32"/>
  <c r="V134" i="32"/>
  <c r="W134" i="32"/>
  <c r="V135" i="32"/>
  <c r="W135" i="32"/>
  <c r="V136" i="32"/>
  <c r="W136" i="32"/>
  <c r="V137" i="32"/>
  <c r="W137" i="32"/>
  <c r="V138" i="32"/>
  <c r="W138" i="32"/>
  <c r="V139" i="32"/>
  <c r="W139" i="32"/>
  <c r="V140" i="32"/>
  <c r="W140" i="32"/>
  <c r="V141" i="32"/>
  <c r="W141" i="32"/>
  <c r="V142" i="32"/>
  <c r="W142" i="32"/>
  <c r="V143" i="32"/>
  <c r="W143" i="32"/>
  <c r="V144" i="32"/>
  <c r="W144" i="32"/>
  <c r="V145" i="32"/>
  <c r="W145" i="32"/>
  <c r="V146" i="32"/>
  <c r="W146" i="32"/>
  <c r="V147" i="32"/>
  <c r="W147" i="32"/>
  <c r="V148" i="32"/>
  <c r="W148" i="32"/>
  <c r="V149" i="32"/>
  <c r="W149" i="32"/>
  <c r="V150" i="32"/>
  <c r="W150" i="32"/>
  <c r="V151" i="32"/>
  <c r="W151" i="32"/>
  <c r="V152" i="32"/>
  <c r="W152" i="32"/>
  <c r="V153" i="32"/>
  <c r="W153" i="32"/>
  <c r="V154" i="32"/>
  <c r="W154" i="32"/>
  <c r="V155" i="32"/>
  <c r="W155" i="32"/>
  <c r="V156" i="32"/>
  <c r="W156" i="32"/>
  <c r="V157" i="32"/>
  <c r="W157" i="32"/>
  <c r="V158" i="32"/>
  <c r="W158" i="32"/>
  <c r="V159" i="32"/>
  <c r="W159" i="32"/>
  <c r="V160" i="32"/>
  <c r="W160" i="32"/>
  <c r="V161" i="32"/>
  <c r="W161" i="32"/>
  <c r="V162" i="32"/>
  <c r="W162" i="32"/>
  <c r="V163" i="32"/>
  <c r="W163" i="32"/>
  <c r="V164" i="32"/>
  <c r="W164" i="32"/>
  <c r="V165" i="32"/>
  <c r="W165" i="32"/>
  <c r="V166" i="32"/>
  <c r="W166" i="32"/>
  <c r="V167" i="32"/>
  <c r="W167" i="32"/>
  <c r="V168" i="32"/>
  <c r="W168" i="32"/>
  <c r="V169" i="32"/>
  <c r="W169" i="32"/>
  <c r="V170" i="32"/>
  <c r="W170" i="32"/>
  <c r="V171" i="32"/>
  <c r="W171" i="32"/>
  <c r="V172" i="32"/>
  <c r="W172" i="32"/>
  <c r="V173" i="32"/>
  <c r="W173" i="32"/>
  <c r="V174" i="32"/>
  <c r="W174" i="32"/>
  <c r="V175" i="32"/>
  <c r="W175" i="32"/>
  <c r="V176" i="32"/>
  <c r="W176" i="32"/>
  <c r="V177" i="32"/>
  <c r="W177" i="32"/>
  <c r="V178" i="32"/>
  <c r="W178" i="32"/>
  <c r="V179" i="32"/>
  <c r="W179" i="32"/>
  <c r="V180" i="32"/>
  <c r="W180" i="32"/>
  <c r="V181" i="32"/>
  <c r="W181" i="32"/>
  <c r="V182" i="32"/>
  <c r="W182" i="32"/>
  <c r="V183" i="32"/>
  <c r="W183" i="32"/>
  <c r="V184" i="32"/>
  <c r="W184" i="32"/>
  <c r="V185" i="32"/>
  <c r="W185" i="32"/>
  <c r="V186" i="32"/>
  <c r="W186" i="32"/>
  <c r="V187" i="32"/>
  <c r="W187" i="32"/>
  <c r="V188" i="32"/>
  <c r="W188" i="32"/>
  <c r="V189" i="32"/>
  <c r="W189" i="32"/>
  <c r="V190" i="32"/>
  <c r="W190" i="32"/>
  <c r="V191" i="32"/>
  <c r="W191" i="32"/>
  <c r="V192" i="32"/>
  <c r="W192" i="32"/>
  <c r="V193" i="32"/>
  <c r="W193" i="32"/>
  <c r="V194" i="32"/>
  <c r="W194" i="32"/>
  <c r="V195" i="32"/>
  <c r="W195" i="32"/>
  <c r="V196" i="32"/>
  <c r="W196" i="32"/>
  <c r="V197" i="32"/>
  <c r="W197" i="32"/>
  <c r="V198" i="32"/>
  <c r="W198" i="32"/>
  <c r="V199" i="32"/>
  <c r="W199" i="32"/>
  <c r="V200" i="32"/>
  <c r="W200" i="32"/>
  <c r="V201" i="32"/>
  <c r="W201" i="32"/>
  <c r="V202" i="32"/>
  <c r="W202" i="32"/>
  <c r="V203" i="32"/>
  <c r="W203" i="32"/>
  <c r="V204" i="32"/>
  <c r="W204" i="32"/>
  <c r="V205" i="32"/>
  <c r="W205" i="32"/>
  <c r="V206" i="32"/>
  <c r="W206" i="32"/>
  <c r="V207" i="32"/>
  <c r="W207" i="32"/>
  <c r="V208" i="32"/>
  <c r="W208" i="32"/>
  <c r="V209" i="32"/>
  <c r="W209" i="32"/>
  <c r="V210" i="32"/>
  <c r="W210" i="32"/>
  <c r="V211" i="32"/>
  <c r="W211" i="32"/>
  <c r="V212" i="32"/>
  <c r="W212" i="32"/>
  <c r="V213" i="32"/>
  <c r="W213" i="32"/>
  <c r="V214" i="32"/>
  <c r="W214" i="32"/>
  <c r="V215" i="32"/>
  <c r="W215" i="32"/>
  <c r="V216" i="32"/>
  <c r="W216" i="32"/>
  <c r="V217" i="32"/>
  <c r="W217" i="32"/>
  <c r="V218" i="32"/>
  <c r="W218" i="32"/>
  <c r="V219" i="32"/>
  <c r="W219" i="32"/>
  <c r="V220" i="32"/>
  <c r="W220" i="32"/>
  <c r="V221" i="32"/>
  <c r="W221" i="32"/>
  <c r="V222" i="32"/>
  <c r="W222" i="32"/>
  <c r="V223" i="32"/>
  <c r="W223" i="32"/>
  <c r="V224" i="32"/>
  <c r="W224" i="32"/>
  <c r="V225" i="32"/>
  <c r="W225" i="32"/>
  <c r="V226" i="32"/>
  <c r="W226" i="32"/>
  <c r="V227" i="32"/>
  <c r="W227" i="32"/>
  <c r="V228" i="32"/>
  <c r="W228" i="32"/>
  <c r="V229" i="32"/>
  <c r="W229" i="32"/>
  <c r="V230" i="32"/>
  <c r="W230" i="32"/>
  <c r="V231" i="32"/>
  <c r="W231" i="32"/>
  <c r="V232" i="32"/>
  <c r="W232" i="32"/>
  <c r="V233" i="32"/>
  <c r="W233" i="32"/>
  <c r="V234" i="32"/>
  <c r="W234" i="32"/>
  <c r="V235" i="32"/>
  <c r="W235" i="32"/>
  <c r="V236" i="32"/>
  <c r="W236" i="32"/>
  <c r="V237" i="32"/>
  <c r="W237" i="32"/>
  <c r="V238" i="32"/>
  <c r="W238" i="32"/>
  <c r="V239" i="32"/>
  <c r="W239" i="32"/>
  <c r="V240" i="32"/>
  <c r="W240" i="32"/>
  <c r="V241" i="32"/>
  <c r="W241" i="32"/>
  <c r="V242" i="32"/>
  <c r="W242" i="32"/>
  <c r="V243" i="32"/>
  <c r="W243" i="32"/>
  <c r="V244" i="32"/>
  <c r="W244" i="32"/>
  <c r="V245" i="32"/>
  <c r="W245" i="32"/>
  <c r="V246" i="32"/>
  <c r="W246" i="32"/>
  <c r="V247" i="32"/>
  <c r="W247" i="32"/>
  <c r="V248" i="32"/>
  <c r="W248" i="32"/>
  <c r="V249" i="32"/>
  <c r="W249" i="32"/>
  <c r="V250" i="32"/>
  <c r="W250" i="32"/>
  <c r="V251" i="32"/>
  <c r="W251" i="32"/>
  <c r="V252" i="32"/>
  <c r="W252" i="32"/>
  <c r="V253" i="32"/>
  <c r="W253" i="32"/>
  <c r="V254" i="32"/>
  <c r="W254" i="32"/>
  <c r="V255" i="32"/>
  <c r="W255" i="32"/>
  <c r="V256" i="32"/>
  <c r="W256" i="32"/>
  <c r="V257" i="32"/>
  <c r="W257" i="32"/>
  <c r="V258" i="32"/>
  <c r="W258" i="32"/>
  <c r="V259" i="32"/>
  <c r="W259" i="32"/>
  <c r="V260" i="32"/>
  <c r="W260" i="32"/>
  <c r="V261" i="32"/>
  <c r="W261" i="32"/>
  <c r="V262" i="32"/>
  <c r="W262" i="32"/>
  <c r="V263" i="32"/>
  <c r="W263" i="32"/>
  <c r="V264" i="32"/>
  <c r="W264" i="32"/>
  <c r="V265" i="32"/>
  <c r="W265" i="32"/>
  <c r="V266" i="32"/>
  <c r="W266" i="32"/>
  <c r="V267" i="32"/>
  <c r="W267" i="32"/>
  <c r="V268" i="32"/>
  <c r="W268" i="32"/>
  <c r="V269" i="32"/>
  <c r="W269" i="32"/>
  <c r="V270" i="32"/>
  <c r="W270" i="32"/>
  <c r="V271" i="32"/>
  <c r="W271" i="32"/>
  <c r="V272" i="32"/>
  <c r="W272" i="32"/>
  <c r="V273" i="32"/>
  <c r="W273" i="32"/>
  <c r="V274" i="32"/>
  <c r="W274" i="32"/>
  <c r="V275" i="32"/>
  <c r="W275" i="32"/>
  <c r="V276" i="32"/>
  <c r="W276" i="32"/>
  <c r="V277" i="32"/>
  <c r="W277" i="32"/>
  <c r="V278" i="32"/>
  <c r="W278" i="32"/>
  <c r="V279" i="32"/>
  <c r="W279" i="32"/>
  <c r="V280" i="32"/>
  <c r="W280" i="32"/>
  <c r="V281" i="32"/>
  <c r="W281" i="32"/>
  <c r="V282" i="32"/>
  <c r="W282" i="32"/>
  <c r="V283" i="32"/>
  <c r="W283" i="32"/>
  <c r="V284" i="32"/>
  <c r="W284" i="32"/>
  <c r="V285" i="32"/>
  <c r="W285" i="32"/>
  <c r="V286" i="32"/>
  <c r="W286" i="32"/>
  <c r="V287" i="32"/>
  <c r="W287" i="32"/>
  <c r="V288" i="32"/>
  <c r="W288" i="32"/>
  <c r="V289" i="32"/>
  <c r="W289" i="32"/>
  <c r="V290" i="32"/>
  <c r="W290" i="32"/>
  <c r="V291" i="32"/>
  <c r="W291" i="32"/>
  <c r="V292" i="32"/>
  <c r="W292" i="32"/>
  <c r="V293" i="32"/>
  <c r="W293" i="32"/>
  <c r="V294" i="32"/>
  <c r="W294" i="32"/>
  <c r="V295" i="32"/>
  <c r="W295" i="32"/>
  <c r="V296" i="32"/>
  <c r="W296" i="32"/>
  <c r="V297" i="32"/>
  <c r="W297" i="32"/>
  <c r="V298" i="32"/>
  <c r="W298" i="32"/>
  <c r="V299" i="32"/>
  <c r="W299" i="32"/>
  <c r="V300" i="32"/>
  <c r="W300" i="32"/>
  <c r="V301" i="32"/>
  <c r="W301" i="32"/>
  <c r="V302" i="32"/>
  <c r="W302" i="32"/>
  <c r="V303" i="32"/>
  <c r="W303" i="32"/>
  <c r="V304" i="32"/>
  <c r="W304" i="32"/>
  <c r="V305" i="32"/>
  <c r="W305" i="32"/>
  <c r="V306" i="32"/>
  <c r="W306" i="32"/>
  <c r="V307" i="32"/>
  <c r="W307" i="32"/>
  <c r="V308" i="32"/>
  <c r="W308" i="32"/>
  <c r="V309" i="32"/>
  <c r="W309" i="32"/>
  <c r="V310" i="32"/>
  <c r="W310" i="32"/>
  <c r="V311" i="32"/>
  <c r="W311" i="32"/>
  <c r="V312" i="32"/>
  <c r="W312" i="32"/>
  <c r="V313" i="32"/>
  <c r="W313" i="32"/>
  <c r="V314" i="32"/>
  <c r="W314" i="32"/>
  <c r="V315" i="32"/>
  <c r="W315" i="32"/>
  <c r="V316" i="32"/>
  <c r="W316" i="32"/>
  <c r="V317" i="32"/>
  <c r="W317" i="32"/>
  <c r="V318" i="32"/>
  <c r="W318" i="32"/>
  <c r="V319" i="32"/>
  <c r="W319" i="32"/>
  <c r="V320" i="32"/>
  <c r="W320" i="32"/>
  <c r="V321" i="32"/>
  <c r="W321" i="32"/>
  <c r="V322" i="32"/>
  <c r="W322" i="32"/>
  <c r="V323" i="32"/>
  <c r="W323" i="32"/>
  <c r="V324" i="32"/>
  <c r="W324" i="32"/>
  <c r="V325" i="32"/>
  <c r="W325" i="32"/>
  <c r="V326" i="32"/>
  <c r="W326" i="32"/>
  <c r="V327" i="32"/>
  <c r="W327" i="32"/>
  <c r="V328" i="32"/>
  <c r="W328" i="32"/>
  <c r="V329" i="32"/>
  <c r="W329" i="32"/>
  <c r="V330" i="32"/>
  <c r="W330" i="32"/>
  <c r="V331" i="32"/>
  <c r="W331" i="32"/>
  <c r="V332" i="32"/>
  <c r="W332" i="32"/>
  <c r="V333" i="32"/>
  <c r="W333" i="32"/>
  <c r="V334" i="32"/>
  <c r="W334" i="32"/>
  <c r="V335" i="32"/>
  <c r="W335" i="32"/>
  <c r="V336" i="32"/>
  <c r="W336" i="32"/>
  <c r="V337" i="32"/>
  <c r="W337" i="32"/>
  <c r="V338" i="32"/>
  <c r="W338" i="32"/>
  <c r="V339" i="32"/>
  <c r="W339" i="32"/>
  <c r="V340" i="32"/>
  <c r="W340" i="32"/>
  <c r="V341" i="32"/>
  <c r="W341" i="32"/>
  <c r="V342" i="32"/>
  <c r="W342" i="32"/>
  <c r="V343" i="32"/>
  <c r="W343" i="32"/>
  <c r="V344" i="32"/>
  <c r="W344" i="32"/>
  <c r="V345" i="32"/>
  <c r="W345" i="32"/>
  <c r="V346" i="32"/>
  <c r="W346" i="32"/>
  <c r="W4" i="32"/>
  <c r="V4" i="32"/>
  <c r="N5" i="32"/>
  <c r="O5" i="32"/>
  <c r="N6" i="32"/>
  <c r="O6" i="32"/>
  <c r="N7" i="32"/>
  <c r="O7" i="32"/>
  <c r="N8" i="32"/>
  <c r="O8" i="32"/>
  <c r="N9" i="32"/>
  <c r="O9" i="32"/>
  <c r="N10" i="32"/>
  <c r="O10" i="32"/>
  <c r="N11" i="32"/>
  <c r="O11" i="32"/>
  <c r="N12" i="32"/>
  <c r="O12" i="32"/>
  <c r="N13" i="32"/>
  <c r="O13" i="32"/>
  <c r="N14" i="32"/>
  <c r="O14" i="32"/>
  <c r="N15" i="32"/>
  <c r="O15" i="32"/>
  <c r="N16" i="32"/>
  <c r="O16" i="32"/>
  <c r="N17" i="32"/>
  <c r="O17" i="32"/>
  <c r="N18" i="32"/>
  <c r="O18" i="32"/>
  <c r="N19" i="32"/>
  <c r="O19" i="32"/>
  <c r="N20" i="32"/>
  <c r="O20" i="32"/>
  <c r="N21" i="32"/>
  <c r="O21" i="32"/>
  <c r="N22" i="32"/>
  <c r="O22" i="32"/>
  <c r="N23" i="32"/>
  <c r="O23" i="32"/>
  <c r="N24" i="32"/>
  <c r="O24" i="32"/>
  <c r="N25" i="32"/>
  <c r="O25" i="32"/>
  <c r="N26" i="32"/>
  <c r="O26" i="32"/>
  <c r="N27" i="32"/>
  <c r="O27" i="32"/>
  <c r="N28" i="32"/>
  <c r="O28" i="32"/>
  <c r="N29" i="32"/>
  <c r="O29" i="32"/>
  <c r="N30" i="32"/>
  <c r="O30" i="32"/>
  <c r="N31" i="32"/>
  <c r="O31" i="32"/>
  <c r="N32" i="32"/>
  <c r="O32" i="32"/>
  <c r="N33" i="32"/>
  <c r="O33" i="32"/>
  <c r="N34" i="32"/>
  <c r="O34" i="32"/>
  <c r="N35" i="32"/>
  <c r="O35" i="32"/>
  <c r="N36" i="32"/>
  <c r="O36" i="32"/>
  <c r="N37" i="32"/>
  <c r="O37" i="32"/>
  <c r="N38" i="32"/>
  <c r="O38" i="32"/>
  <c r="N39" i="32"/>
  <c r="O39" i="32"/>
  <c r="N40" i="32"/>
  <c r="O40" i="32"/>
  <c r="N41" i="32"/>
  <c r="O41" i="32"/>
  <c r="N42" i="32"/>
  <c r="O42" i="32"/>
  <c r="N43" i="32"/>
  <c r="O43" i="32"/>
  <c r="N44" i="32"/>
  <c r="O44" i="32"/>
  <c r="N45" i="32"/>
  <c r="O45" i="32"/>
  <c r="N46" i="32"/>
  <c r="O46" i="32"/>
  <c r="N47" i="32"/>
  <c r="O47" i="32"/>
  <c r="N48" i="32"/>
  <c r="O48" i="32"/>
  <c r="N49" i="32"/>
  <c r="O49" i="32"/>
  <c r="N50" i="32"/>
  <c r="O50" i="32"/>
  <c r="N51" i="32"/>
  <c r="O51" i="32"/>
  <c r="N52" i="32"/>
  <c r="O52" i="32"/>
  <c r="N53" i="32"/>
  <c r="O53" i="32"/>
  <c r="N54" i="32"/>
  <c r="O54" i="32"/>
  <c r="N55" i="32"/>
  <c r="O55" i="32"/>
  <c r="N56" i="32"/>
  <c r="O56" i="32"/>
  <c r="N57" i="32"/>
  <c r="O57" i="32"/>
  <c r="N58" i="32"/>
  <c r="O58" i="32"/>
  <c r="N59" i="32"/>
  <c r="O59" i="32"/>
  <c r="N60" i="32"/>
  <c r="O60" i="32"/>
  <c r="N61" i="32"/>
  <c r="O61" i="32"/>
  <c r="N62" i="32"/>
  <c r="O62" i="32"/>
  <c r="N63" i="32"/>
  <c r="O63" i="32"/>
  <c r="N64" i="32"/>
  <c r="O64" i="32"/>
  <c r="N65" i="32"/>
  <c r="O65" i="32"/>
  <c r="N66" i="32"/>
  <c r="O66" i="32"/>
  <c r="N67" i="32"/>
  <c r="O67" i="32"/>
  <c r="N68" i="32"/>
  <c r="O68" i="32"/>
  <c r="N69" i="32"/>
  <c r="O69" i="32"/>
  <c r="N70" i="32"/>
  <c r="O70" i="32"/>
  <c r="N71" i="32"/>
  <c r="O71" i="32"/>
  <c r="N72" i="32"/>
  <c r="O72" i="32"/>
  <c r="N73" i="32"/>
  <c r="O73" i="32"/>
  <c r="N74" i="32"/>
  <c r="O74" i="32"/>
  <c r="N75" i="32"/>
  <c r="O75" i="32"/>
  <c r="N76" i="32"/>
  <c r="O76" i="32"/>
  <c r="N77" i="32"/>
  <c r="O77" i="32"/>
  <c r="N78" i="32"/>
  <c r="O78" i="32"/>
  <c r="N79" i="32"/>
  <c r="O79" i="32"/>
  <c r="N80" i="32"/>
  <c r="O80" i="32"/>
  <c r="N81" i="32"/>
  <c r="O81" i="32"/>
  <c r="N82" i="32"/>
  <c r="O82" i="32"/>
  <c r="N83" i="32"/>
  <c r="O83" i="32"/>
  <c r="N84" i="32"/>
  <c r="O84" i="32"/>
  <c r="N85" i="32"/>
  <c r="O85" i="32"/>
  <c r="N86" i="32"/>
  <c r="O86" i="32"/>
  <c r="N87" i="32"/>
  <c r="O87" i="32"/>
  <c r="N88" i="32"/>
  <c r="O88" i="32"/>
  <c r="N89" i="32"/>
  <c r="O89" i="32"/>
  <c r="N90" i="32"/>
  <c r="O90" i="32"/>
  <c r="N91" i="32"/>
  <c r="O91" i="32"/>
  <c r="N92" i="32"/>
  <c r="O92" i="32"/>
  <c r="N93" i="32"/>
  <c r="O93" i="32"/>
  <c r="N94" i="32"/>
  <c r="O94" i="32"/>
  <c r="N95" i="32"/>
  <c r="O95" i="32"/>
  <c r="N96" i="32"/>
  <c r="O96" i="32"/>
  <c r="N97" i="32"/>
  <c r="O97" i="32"/>
  <c r="N98" i="32"/>
  <c r="O98" i="32"/>
  <c r="N99" i="32"/>
  <c r="O99" i="32"/>
  <c r="N100" i="32"/>
  <c r="O100" i="32"/>
  <c r="N101" i="32"/>
  <c r="O101" i="32"/>
  <c r="N102" i="32"/>
  <c r="O102" i="32"/>
  <c r="N103" i="32"/>
  <c r="O103" i="32"/>
  <c r="N104" i="32"/>
  <c r="O104" i="32"/>
  <c r="N105" i="32"/>
  <c r="O105" i="32"/>
  <c r="N106" i="32"/>
  <c r="O106" i="32"/>
  <c r="N107" i="32"/>
  <c r="O107" i="32"/>
  <c r="N108" i="32"/>
  <c r="O108" i="32"/>
  <c r="N109" i="32"/>
  <c r="O109" i="32"/>
  <c r="N110" i="32"/>
  <c r="O110" i="32"/>
  <c r="N111" i="32"/>
  <c r="O111" i="32"/>
  <c r="N112" i="32"/>
  <c r="O112" i="32"/>
  <c r="N113" i="32"/>
  <c r="O113" i="32"/>
  <c r="N114" i="32"/>
  <c r="O114" i="32"/>
  <c r="N115" i="32"/>
  <c r="O115" i="32"/>
  <c r="N116" i="32"/>
  <c r="O116" i="32"/>
  <c r="N117" i="32"/>
  <c r="O117" i="32"/>
  <c r="N118" i="32"/>
  <c r="O118" i="32"/>
  <c r="N119" i="32"/>
  <c r="O119" i="32"/>
  <c r="N120" i="32"/>
  <c r="O120" i="32"/>
  <c r="N121" i="32"/>
  <c r="O121" i="32"/>
  <c r="N122" i="32"/>
  <c r="O122" i="32"/>
  <c r="N123" i="32"/>
  <c r="O123" i="32"/>
  <c r="N124" i="32"/>
  <c r="O124" i="32"/>
  <c r="N125" i="32"/>
  <c r="O125" i="32"/>
  <c r="N126" i="32"/>
  <c r="O126" i="32"/>
  <c r="N127" i="32"/>
  <c r="O127" i="32"/>
  <c r="N128" i="32"/>
  <c r="O128" i="32"/>
  <c r="N129" i="32"/>
  <c r="O129" i="32"/>
  <c r="N130" i="32"/>
  <c r="O130" i="32"/>
  <c r="N131" i="32"/>
  <c r="O131" i="32"/>
  <c r="N132" i="32"/>
  <c r="O132" i="32"/>
  <c r="N133" i="32"/>
  <c r="O133" i="32"/>
  <c r="N134" i="32"/>
  <c r="O134" i="32"/>
  <c r="N135" i="32"/>
  <c r="O135" i="32"/>
  <c r="N136" i="32"/>
  <c r="O136" i="32"/>
  <c r="N137" i="32"/>
  <c r="O137" i="32"/>
  <c r="N138" i="32"/>
  <c r="O138" i="32"/>
  <c r="N139" i="32"/>
  <c r="O139" i="32"/>
  <c r="N140" i="32"/>
  <c r="O140" i="32"/>
  <c r="N141" i="32"/>
  <c r="O141" i="32"/>
  <c r="N142" i="32"/>
  <c r="O142" i="32"/>
  <c r="N143" i="32"/>
  <c r="O143" i="32"/>
  <c r="N144" i="32"/>
  <c r="O144" i="32"/>
  <c r="N145" i="32"/>
  <c r="O145" i="32"/>
  <c r="N146" i="32"/>
  <c r="O146" i="32"/>
  <c r="N147" i="32"/>
  <c r="O147" i="32"/>
  <c r="N148" i="32"/>
  <c r="O148" i="32"/>
  <c r="N149" i="32"/>
  <c r="O149" i="32"/>
  <c r="N150" i="32"/>
  <c r="O150" i="32"/>
  <c r="N151" i="32"/>
  <c r="O151" i="32"/>
  <c r="N152" i="32"/>
  <c r="O152" i="32"/>
  <c r="N153" i="32"/>
  <c r="O153" i="32"/>
  <c r="N154" i="32"/>
  <c r="O154" i="32"/>
  <c r="N155" i="32"/>
  <c r="O155" i="32"/>
  <c r="N156" i="32"/>
  <c r="O156" i="32"/>
  <c r="N157" i="32"/>
  <c r="O157" i="32"/>
  <c r="N158" i="32"/>
  <c r="O158" i="32"/>
  <c r="N159" i="32"/>
  <c r="O159" i="32"/>
  <c r="N160" i="32"/>
  <c r="O160" i="32"/>
  <c r="N161" i="32"/>
  <c r="O161" i="32"/>
  <c r="N162" i="32"/>
  <c r="O162" i="32"/>
  <c r="N163" i="32"/>
  <c r="O163" i="32"/>
  <c r="N164" i="32"/>
  <c r="O164" i="32"/>
  <c r="N165" i="32"/>
  <c r="O165" i="32"/>
  <c r="N166" i="32"/>
  <c r="O166" i="32"/>
  <c r="N167" i="32"/>
  <c r="O167" i="32"/>
  <c r="N168" i="32"/>
  <c r="O168" i="32"/>
  <c r="N169" i="32"/>
  <c r="O169" i="32"/>
  <c r="N170" i="32"/>
  <c r="O170" i="32"/>
  <c r="N171" i="32"/>
  <c r="O171" i="32"/>
  <c r="N172" i="32"/>
  <c r="O172" i="32"/>
  <c r="N173" i="32"/>
  <c r="O173" i="32"/>
  <c r="N174" i="32"/>
  <c r="O174" i="32"/>
  <c r="N175" i="32"/>
  <c r="O175" i="32"/>
  <c r="N176" i="32"/>
  <c r="O176" i="32"/>
  <c r="N177" i="32"/>
  <c r="O177" i="32"/>
  <c r="N178" i="32"/>
  <c r="O178" i="32"/>
  <c r="N179" i="32"/>
  <c r="O179" i="32"/>
  <c r="N180" i="32"/>
  <c r="O180" i="32"/>
  <c r="N181" i="32"/>
  <c r="O181" i="32"/>
  <c r="N182" i="32"/>
  <c r="O182" i="32"/>
  <c r="N183" i="32"/>
  <c r="O183" i="32"/>
  <c r="N184" i="32"/>
  <c r="O184" i="32"/>
  <c r="N185" i="32"/>
  <c r="O185" i="32"/>
  <c r="N186" i="32"/>
  <c r="O186" i="32"/>
  <c r="N187" i="32"/>
  <c r="O187" i="32"/>
  <c r="N188" i="32"/>
  <c r="O188" i="32"/>
  <c r="N189" i="32"/>
  <c r="O189" i="32"/>
  <c r="N190" i="32"/>
  <c r="O190" i="32"/>
  <c r="N191" i="32"/>
  <c r="O191" i="32"/>
  <c r="N192" i="32"/>
  <c r="O192" i="32"/>
  <c r="N193" i="32"/>
  <c r="O193" i="32"/>
  <c r="N194" i="32"/>
  <c r="O194" i="32"/>
  <c r="N195" i="32"/>
  <c r="O195" i="32"/>
  <c r="N196" i="32"/>
  <c r="O196" i="32"/>
  <c r="N197" i="32"/>
  <c r="O197" i="32"/>
  <c r="N198" i="32"/>
  <c r="O198" i="32"/>
  <c r="N199" i="32"/>
  <c r="O199" i="32"/>
  <c r="N200" i="32"/>
  <c r="O200" i="32"/>
  <c r="N201" i="32"/>
  <c r="O201" i="32"/>
  <c r="N202" i="32"/>
  <c r="O202" i="32"/>
  <c r="N203" i="32"/>
  <c r="O203" i="32"/>
  <c r="N204" i="32"/>
  <c r="O204" i="32"/>
  <c r="N205" i="32"/>
  <c r="O205" i="32"/>
  <c r="N206" i="32"/>
  <c r="O206" i="32"/>
  <c r="N207" i="32"/>
  <c r="O207" i="32"/>
  <c r="N208" i="32"/>
  <c r="O208" i="32"/>
  <c r="N209" i="32"/>
  <c r="O209" i="32"/>
  <c r="N210" i="32"/>
  <c r="O210" i="32"/>
  <c r="N211" i="32"/>
  <c r="O211" i="32"/>
  <c r="N212" i="32"/>
  <c r="O212" i="32"/>
  <c r="N213" i="32"/>
  <c r="O213" i="32"/>
  <c r="N214" i="32"/>
  <c r="O214" i="32"/>
  <c r="N215" i="32"/>
  <c r="O215" i="32"/>
  <c r="N216" i="32"/>
  <c r="O216" i="32"/>
  <c r="N217" i="32"/>
  <c r="O217" i="32"/>
  <c r="N218" i="32"/>
  <c r="O218" i="32"/>
  <c r="N219" i="32"/>
  <c r="O219" i="32"/>
  <c r="N220" i="32"/>
  <c r="O220" i="32"/>
  <c r="N221" i="32"/>
  <c r="O221" i="32"/>
  <c r="N222" i="32"/>
  <c r="O222" i="32"/>
  <c r="N223" i="32"/>
  <c r="O223" i="32"/>
  <c r="N224" i="32"/>
  <c r="O224" i="32"/>
  <c r="N225" i="32"/>
  <c r="O225" i="32"/>
  <c r="N226" i="32"/>
  <c r="O226" i="32"/>
  <c r="N227" i="32"/>
  <c r="O227" i="32"/>
  <c r="N228" i="32"/>
  <c r="O228" i="32"/>
  <c r="N229" i="32"/>
  <c r="O229" i="32"/>
  <c r="N230" i="32"/>
  <c r="O230" i="32"/>
  <c r="N231" i="32"/>
  <c r="O231" i="32"/>
  <c r="N232" i="32"/>
  <c r="O232" i="32"/>
  <c r="N233" i="32"/>
  <c r="O233" i="32"/>
  <c r="N234" i="32"/>
  <c r="O234" i="32"/>
  <c r="N235" i="32"/>
  <c r="O235" i="32"/>
  <c r="N236" i="32"/>
  <c r="O236" i="32"/>
  <c r="N237" i="32"/>
  <c r="O237" i="32"/>
  <c r="N238" i="32"/>
  <c r="O238" i="32"/>
  <c r="N239" i="32"/>
  <c r="O239" i="32"/>
  <c r="N240" i="32"/>
  <c r="O240" i="32"/>
  <c r="N241" i="32"/>
  <c r="O241" i="32"/>
  <c r="N242" i="32"/>
  <c r="O242" i="32"/>
  <c r="N243" i="32"/>
  <c r="O243" i="32"/>
  <c r="N244" i="32"/>
  <c r="O244" i="32"/>
  <c r="N245" i="32"/>
  <c r="O245" i="32"/>
  <c r="N246" i="32"/>
  <c r="O246" i="32"/>
  <c r="N247" i="32"/>
  <c r="O247" i="32"/>
  <c r="N248" i="32"/>
  <c r="O248" i="32"/>
  <c r="N249" i="32"/>
  <c r="O249" i="32"/>
  <c r="N250" i="32"/>
  <c r="O250" i="32"/>
  <c r="N251" i="32"/>
  <c r="O251" i="32"/>
  <c r="N252" i="32"/>
  <c r="O252" i="32"/>
  <c r="N253" i="32"/>
  <c r="O253" i="32"/>
  <c r="N254" i="32"/>
  <c r="O254" i="32"/>
  <c r="N255" i="32"/>
  <c r="O255" i="32"/>
  <c r="N256" i="32"/>
  <c r="O256" i="32"/>
  <c r="N257" i="32"/>
  <c r="O257" i="32"/>
  <c r="N258" i="32"/>
  <c r="O258" i="32"/>
  <c r="N259" i="32"/>
  <c r="O259" i="32"/>
  <c r="N260" i="32"/>
  <c r="O260" i="32"/>
  <c r="N261" i="32"/>
  <c r="O261" i="32"/>
  <c r="N262" i="32"/>
  <c r="O262" i="32"/>
  <c r="N263" i="32"/>
  <c r="O263" i="32"/>
  <c r="N264" i="32"/>
  <c r="O264" i="32"/>
  <c r="N265" i="32"/>
  <c r="O265" i="32"/>
  <c r="N266" i="32"/>
  <c r="O266" i="32"/>
  <c r="N267" i="32"/>
  <c r="O267" i="32"/>
  <c r="N268" i="32"/>
  <c r="O268" i="32"/>
  <c r="N269" i="32"/>
  <c r="O269" i="32"/>
  <c r="N270" i="32"/>
  <c r="O270" i="32"/>
  <c r="N271" i="32"/>
  <c r="O271" i="32"/>
  <c r="N272" i="32"/>
  <c r="O272" i="32"/>
  <c r="N273" i="32"/>
  <c r="O273" i="32"/>
  <c r="N274" i="32"/>
  <c r="O274" i="32"/>
  <c r="N275" i="32"/>
  <c r="O275" i="32"/>
  <c r="N276" i="32"/>
  <c r="O276" i="32"/>
  <c r="N277" i="32"/>
  <c r="O277" i="32"/>
  <c r="N278" i="32"/>
  <c r="O278" i="32"/>
  <c r="N279" i="32"/>
  <c r="O279" i="32"/>
  <c r="N280" i="32"/>
  <c r="O280" i="32"/>
  <c r="N281" i="32"/>
  <c r="O281" i="32"/>
  <c r="N282" i="32"/>
  <c r="O282" i="32"/>
  <c r="N283" i="32"/>
  <c r="O283" i="32"/>
  <c r="N284" i="32"/>
  <c r="O284" i="32"/>
  <c r="N285" i="32"/>
  <c r="O285" i="32"/>
  <c r="N286" i="32"/>
  <c r="O286" i="32"/>
  <c r="N287" i="32"/>
  <c r="O287" i="32"/>
  <c r="N288" i="32"/>
  <c r="O288" i="32"/>
  <c r="N289" i="32"/>
  <c r="O289" i="32"/>
  <c r="N290" i="32"/>
  <c r="O290" i="32"/>
  <c r="N291" i="32"/>
  <c r="O291" i="32"/>
  <c r="N292" i="32"/>
  <c r="O292" i="32"/>
  <c r="N293" i="32"/>
  <c r="O293" i="32"/>
  <c r="N294" i="32"/>
  <c r="O294" i="32"/>
  <c r="N295" i="32"/>
  <c r="O295" i="32"/>
  <c r="N296" i="32"/>
  <c r="O296" i="32"/>
  <c r="N297" i="32"/>
  <c r="O297" i="32"/>
  <c r="N298" i="32"/>
  <c r="O298" i="32"/>
  <c r="N299" i="32"/>
  <c r="O299" i="32"/>
  <c r="N300" i="32"/>
  <c r="O300" i="32"/>
  <c r="N301" i="32"/>
  <c r="O301" i="32"/>
  <c r="N302" i="32"/>
  <c r="O302" i="32"/>
  <c r="N303" i="32"/>
  <c r="O303" i="32"/>
  <c r="N304" i="32"/>
  <c r="O304" i="32"/>
  <c r="N305" i="32"/>
  <c r="O305" i="32"/>
  <c r="N306" i="32"/>
  <c r="O306" i="32"/>
  <c r="N307" i="32"/>
  <c r="O307" i="32"/>
  <c r="N308" i="32"/>
  <c r="O308" i="32"/>
  <c r="N309" i="32"/>
  <c r="O309" i="32"/>
  <c r="N310" i="32"/>
  <c r="O310" i="32"/>
  <c r="N311" i="32"/>
  <c r="O311" i="32"/>
  <c r="N312" i="32"/>
  <c r="O312" i="32"/>
  <c r="N313" i="32"/>
  <c r="O313" i="32"/>
  <c r="N314" i="32"/>
  <c r="O314" i="32"/>
  <c r="N315" i="32"/>
  <c r="O315" i="32"/>
  <c r="N316" i="32"/>
  <c r="O316" i="32"/>
  <c r="N317" i="32"/>
  <c r="O317" i="32"/>
  <c r="N318" i="32"/>
  <c r="O318" i="32"/>
  <c r="N319" i="32"/>
  <c r="O319" i="32"/>
  <c r="N320" i="32"/>
  <c r="O320" i="32"/>
  <c r="N321" i="32"/>
  <c r="O321" i="32"/>
  <c r="N322" i="32"/>
  <c r="O322" i="32"/>
  <c r="N323" i="32"/>
  <c r="O323" i="32"/>
  <c r="N324" i="32"/>
  <c r="O324" i="32"/>
  <c r="N325" i="32"/>
  <c r="O325" i="32"/>
  <c r="N326" i="32"/>
  <c r="O326" i="32"/>
  <c r="N327" i="32"/>
  <c r="O327" i="32"/>
  <c r="N328" i="32"/>
  <c r="O328" i="32"/>
  <c r="N329" i="32"/>
  <c r="O329" i="32"/>
  <c r="N330" i="32"/>
  <c r="O330" i="32"/>
  <c r="N331" i="32"/>
  <c r="O331" i="32"/>
  <c r="N332" i="32"/>
  <c r="O332" i="32"/>
  <c r="N333" i="32"/>
  <c r="O333" i="32"/>
  <c r="N334" i="32"/>
  <c r="O334" i="32"/>
  <c r="N335" i="32"/>
  <c r="O335" i="32"/>
  <c r="N336" i="32"/>
  <c r="O336" i="32"/>
  <c r="N337" i="32"/>
  <c r="O337" i="32"/>
  <c r="N338" i="32"/>
  <c r="O338" i="32"/>
  <c r="N339" i="32"/>
  <c r="O339" i="32"/>
  <c r="N340" i="32"/>
  <c r="O340" i="32"/>
  <c r="N341" i="32"/>
  <c r="O341" i="32"/>
  <c r="N342" i="32"/>
  <c r="O342" i="32"/>
  <c r="N343" i="32"/>
  <c r="O343" i="32"/>
  <c r="N344" i="32"/>
  <c r="O344" i="32"/>
  <c r="N345" i="32"/>
  <c r="O345" i="32"/>
  <c r="N346" i="32"/>
  <c r="O346" i="32"/>
  <c r="N347" i="32"/>
  <c r="O347" i="32"/>
  <c r="N348" i="32"/>
  <c r="O348" i="32"/>
  <c r="N349" i="32"/>
  <c r="O349" i="32"/>
  <c r="N350" i="32"/>
  <c r="O350" i="32"/>
  <c r="N351" i="32"/>
  <c r="O351" i="32"/>
  <c r="N352" i="32"/>
  <c r="O352" i="32"/>
  <c r="N353" i="32"/>
  <c r="O353" i="32"/>
  <c r="N354" i="32"/>
  <c r="O354" i="32"/>
  <c r="N355" i="32"/>
  <c r="O355" i="32"/>
  <c r="N356" i="32"/>
  <c r="O356" i="32"/>
  <c r="N357" i="32"/>
  <c r="O357" i="32"/>
  <c r="N358" i="32"/>
  <c r="O358" i="32"/>
  <c r="N359" i="32"/>
  <c r="O359" i="32"/>
  <c r="N360" i="32"/>
  <c r="O360" i="32"/>
  <c r="N361" i="32"/>
  <c r="O361" i="32"/>
  <c r="N362" i="32"/>
  <c r="O362" i="32"/>
  <c r="N363" i="32"/>
  <c r="O363" i="32"/>
  <c r="N364" i="32"/>
  <c r="O364" i="32"/>
  <c r="N365" i="32"/>
  <c r="O365" i="32"/>
  <c r="N366" i="32"/>
  <c r="O366" i="32"/>
  <c r="N367" i="32"/>
  <c r="O367" i="32"/>
  <c r="N368" i="32"/>
  <c r="O368" i="32"/>
  <c r="N369" i="32"/>
  <c r="O369" i="32"/>
  <c r="N370" i="32"/>
  <c r="O370" i="32"/>
  <c r="N371" i="32"/>
  <c r="O371" i="32"/>
  <c r="N372" i="32"/>
  <c r="O372" i="32"/>
  <c r="N373" i="32"/>
  <c r="O373" i="32"/>
  <c r="N374" i="32"/>
  <c r="O374" i="32"/>
  <c r="N375" i="32"/>
  <c r="O375" i="32"/>
  <c r="N376" i="32"/>
  <c r="O376" i="32"/>
  <c r="N377" i="32"/>
  <c r="O377" i="32"/>
  <c r="N378" i="32"/>
  <c r="O378" i="32"/>
  <c r="N379" i="32"/>
  <c r="O379" i="32"/>
  <c r="N380" i="32"/>
  <c r="O380" i="32"/>
  <c r="N381" i="32"/>
  <c r="O381" i="32"/>
  <c r="N382" i="32"/>
  <c r="O382" i="32"/>
  <c r="N383" i="32"/>
  <c r="O383" i="32"/>
  <c r="N384" i="32"/>
  <c r="O384" i="32"/>
  <c r="N385" i="32"/>
  <c r="O385" i="32"/>
  <c r="N386" i="32"/>
  <c r="O386" i="32"/>
  <c r="N387" i="32"/>
  <c r="O387" i="32"/>
  <c r="N388" i="32"/>
  <c r="O388" i="32"/>
  <c r="N389" i="32"/>
  <c r="O389" i="32"/>
  <c r="N390" i="32"/>
  <c r="O390" i="32"/>
  <c r="N391" i="32"/>
  <c r="O391" i="32"/>
  <c r="N392" i="32"/>
  <c r="O392" i="32"/>
  <c r="N393" i="32"/>
  <c r="O393" i="32"/>
  <c r="N394" i="32"/>
  <c r="O394" i="32"/>
  <c r="N395" i="32"/>
  <c r="O395" i="32"/>
  <c r="N396" i="32"/>
  <c r="O396" i="32"/>
  <c r="N397" i="32"/>
  <c r="O397" i="32"/>
  <c r="N398" i="32"/>
  <c r="O398" i="32"/>
  <c r="N399" i="32"/>
  <c r="O399" i="32"/>
  <c r="N400" i="32"/>
  <c r="O400" i="32"/>
  <c r="N401" i="32"/>
  <c r="O401" i="32"/>
  <c r="N402" i="32"/>
  <c r="O402" i="32"/>
  <c r="N403" i="32"/>
  <c r="O403" i="32"/>
  <c r="N404" i="32"/>
  <c r="O404" i="32"/>
  <c r="N405" i="32"/>
  <c r="O405" i="32"/>
  <c r="N406" i="32"/>
  <c r="O406" i="32"/>
  <c r="N407" i="32"/>
  <c r="O407" i="32"/>
  <c r="N408" i="32"/>
  <c r="O408" i="32"/>
  <c r="N409" i="32"/>
  <c r="O409" i="32"/>
  <c r="N410" i="32"/>
  <c r="O410" i="32"/>
  <c r="N411" i="32"/>
  <c r="O411" i="32"/>
  <c r="N412" i="32"/>
  <c r="O412" i="32"/>
  <c r="N413" i="32"/>
  <c r="O413" i="32"/>
  <c r="N414" i="32"/>
  <c r="O414" i="32"/>
  <c r="N415" i="32"/>
  <c r="O415" i="32"/>
  <c r="N416" i="32"/>
  <c r="O416" i="32"/>
  <c r="N417" i="32"/>
  <c r="O417" i="32"/>
  <c r="N418" i="32"/>
  <c r="O418" i="32"/>
  <c r="N419" i="32"/>
  <c r="O419" i="32"/>
  <c r="N420" i="32"/>
  <c r="O420" i="32"/>
  <c r="N421" i="32"/>
  <c r="O421" i="32"/>
  <c r="N422" i="32"/>
  <c r="O422" i="32"/>
  <c r="N423" i="32"/>
  <c r="O423" i="32"/>
  <c r="N424" i="32"/>
  <c r="O424" i="32"/>
  <c r="N425" i="32"/>
  <c r="O425" i="32"/>
  <c r="N426" i="32"/>
  <c r="O426" i="32"/>
  <c r="N427" i="32"/>
  <c r="O427" i="32"/>
  <c r="O4" i="32"/>
  <c r="N4" i="32"/>
  <c r="L223" i="25"/>
  <c r="I77" i="37"/>
  <c r="H5" i="32"/>
  <c r="L222" i="25"/>
  <c r="I76" i="37"/>
  <c r="K76" i="37" s="1"/>
  <c r="H4" i="32"/>
  <c r="L224" i="25"/>
  <c r="L225" i="25"/>
  <c r="I79" i="37"/>
  <c r="L226" i="25"/>
  <c r="I80" i="37"/>
  <c r="H8" i="32"/>
  <c r="L227" i="25"/>
  <c r="I81" i="37"/>
  <c r="K81" i="37" s="1"/>
  <c r="O81" i="37" s="1"/>
  <c r="Q81" i="37" s="1"/>
  <c r="H9" i="32"/>
  <c r="L228" i="25"/>
  <c r="L229" i="25"/>
  <c r="I83" i="37"/>
  <c r="L230" i="25"/>
  <c r="I84" i="37"/>
  <c r="H12" i="32"/>
  <c r="L231" i="25"/>
  <c r="I85" i="37"/>
  <c r="K85" i="37" s="1"/>
  <c r="O85" i="37" s="1"/>
  <c r="Q85" i="37" s="1"/>
  <c r="H13" i="32"/>
  <c r="L232" i="25"/>
  <c r="L233" i="25"/>
  <c r="I87" i="37"/>
  <c r="L234" i="25"/>
  <c r="I88" i="37"/>
  <c r="H16" i="32"/>
  <c r="L235" i="25"/>
  <c r="I89" i="37"/>
  <c r="K89" i="37" s="1"/>
  <c r="H17" i="32"/>
  <c r="L236" i="25"/>
  <c r="L237" i="25"/>
  <c r="I91" i="37"/>
  <c r="L238" i="25"/>
  <c r="I92" i="37"/>
  <c r="H20" i="32"/>
  <c r="L239" i="25"/>
  <c r="I93" i="37"/>
  <c r="K93" i="37" s="1"/>
  <c r="O93" i="37" s="1"/>
  <c r="Q93" i="37" s="1"/>
  <c r="H21" i="32"/>
  <c r="L240" i="25"/>
  <c r="L241" i="25"/>
  <c r="I95" i="37"/>
  <c r="L242" i="25"/>
  <c r="I96" i="37"/>
  <c r="H24" i="32"/>
  <c r="L243" i="25"/>
  <c r="I97" i="37"/>
  <c r="K97" i="37" s="1"/>
  <c r="O97" i="37" s="1"/>
  <c r="Q97" i="37" s="1"/>
  <c r="H25" i="32"/>
  <c r="L244" i="25"/>
  <c r="L245" i="25"/>
  <c r="I99" i="37"/>
  <c r="L246" i="25"/>
  <c r="I100" i="37"/>
  <c r="H28" i="32"/>
  <c r="L247" i="25"/>
  <c r="I101" i="37"/>
  <c r="K101" i="37" s="1"/>
  <c r="O101" i="37" s="1"/>
  <c r="Q101" i="37" s="1"/>
  <c r="H29" i="32"/>
  <c r="L248" i="25"/>
  <c r="L249" i="25"/>
  <c r="I103" i="37"/>
  <c r="L250" i="25"/>
  <c r="I104" i="37"/>
  <c r="H32" i="32"/>
  <c r="L251" i="25"/>
  <c r="I105" i="37"/>
  <c r="K105" i="37" s="1"/>
  <c r="H33" i="32"/>
  <c r="L252" i="25"/>
  <c r="L253" i="25"/>
  <c r="I107" i="37"/>
  <c r="L254" i="25"/>
  <c r="I108" i="37"/>
  <c r="H36" i="32"/>
  <c r="L255" i="25"/>
  <c r="I109" i="37"/>
  <c r="K109" i="37" s="1"/>
  <c r="O109" i="37" s="1"/>
  <c r="Q109" i="37" s="1"/>
  <c r="H37" i="32"/>
  <c r="L256" i="25"/>
  <c r="L257" i="25"/>
  <c r="I111" i="37"/>
  <c r="L258" i="25"/>
  <c r="I112" i="37"/>
  <c r="H40" i="32"/>
  <c r="L259" i="25"/>
  <c r="I113" i="37"/>
  <c r="K113" i="37" s="1"/>
  <c r="O113" i="37" s="1"/>
  <c r="Q113" i="37" s="1"/>
  <c r="H41" i="32"/>
  <c r="L260" i="25"/>
  <c r="L261" i="25"/>
  <c r="I115" i="37"/>
  <c r="L262" i="25"/>
  <c r="I116" i="37"/>
  <c r="H44" i="32"/>
  <c r="L263" i="25"/>
  <c r="I117" i="37"/>
  <c r="K117" i="37" s="1"/>
  <c r="O117" i="37" s="1"/>
  <c r="Q117" i="37" s="1"/>
  <c r="H45" i="32"/>
  <c r="L264" i="25"/>
  <c r="L265" i="25"/>
  <c r="I119" i="37"/>
  <c r="L266" i="25"/>
  <c r="I120" i="37"/>
  <c r="H48" i="32"/>
  <c r="L267" i="25"/>
  <c r="I121" i="37"/>
  <c r="K121" i="37" s="1"/>
  <c r="H49" i="32"/>
  <c r="L268" i="25"/>
  <c r="L269" i="25"/>
  <c r="I123" i="37"/>
  <c r="L270" i="25"/>
  <c r="I124" i="37"/>
  <c r="H52" i="32"/>
  <c r="L271" i="25"/>
  <c r="I125" i="37"/>
  <c r="K125" i="37" s="1"/>
  <c r="O125" i="37" s="1"/>
  <c r="Q125" i="37" s="1"/>
  <c r="H53" i="32"/>
  <c r="L272" i="25"/>
  <c r="L273" i="25"/>
  <c r="I127" i="37"/>
  <c r="L274" i="25"/>
  <c r="I128" i="37"/>
  <c r="H56" i="32"/>
  <c r="L275" i="25"/>
  <c r="I129" i="37"/>
  <c r="K129" i="37" s="1"/>
  <c r="O129" i="37" s="1"/>
  <c r="Q129" i="37" s="1"/>
  <c r="H57" i="32"/>
  <c r="L276" i="25"/>
  <c r="L277" i="25"/>
  <c r="I131" i="37"/>
  <c r="L278" i="25"/>
  <c r="I132" i="37"/>
  <c r="H60" i="32"/>
  <c r="L279" i="25"/>
  <c r="I133" i="37"/>
  <c r="K133" i="37" s="1"/>
  <c r="O133" i="37" s="1"/>
  <c r="Q133" i="37" s="1"/>
  <c r="H61" i="32"/>
  <c r="L280" i="25"/>
  <c r="L281" i="25"/>
  <c r="I135" i="37"/>
  <c r="L282" i="25"/>
  <c r="I136" i="37"/>
  <c r="H64" i="32"/>
  <c r="L283" i="25"/>
  <c r="I137" i="37"/>
  <c r="K137" i="37" s="1"/>
  <c r="H65" i="32"/>
  <c r="L284" i="25"/>
  <c r="L285" i="25"/>
  <c r="I139" i="37"/>
  <c r="L286" i="25"/>
  <c r="I140" i="37"/>
  <c r="H68" i="32"/>
  <c r="L287" i="25"/>
  <c r="I141" i="37"/>
  <c r="K141" i="37" s="1"/>
  <c r="O141" i="37" s="1"/>
  <c r="Q141" i="37" s="1"/>
  <c r="H69" i="32"/>
  <c r="L288" i="25"/>
  <c r="L289" i="25"/>
  <c r="I143" i="37"/>
  <c r="L290" i="25"/>
  <c r="I144" i="37"/>
  <c r="H72" i="32"/>
  <c r="L291" i="25"/>
  <c r="I145" i="37"/>
  <c r="K145" i="37" s="1"/>
  <c r="O145" i="37" s="1"/>
  <c r="Q145" i="37" s="1"/>
  <c r="H73" i="32"/>
  <c r="L292" i="25"/>
  <c r="L293" i="25"/>
  <c r="I147" i="37"/>
  <c r="L294" i="25"/>
  <c r="I148" i="37"/>
  <c r="H76" i="32"/>
  <c r="L295" i="25"/>
  <c r="I149" i="37"/>
  <c r="K149" i="37" s="1"/>
  <c r="O149" i="37" s="1"/>
  <c r="Q149" i="37" s="1"/>
  <c r="H77" i="32"/>
  <c r="L296" i="25"/>
  <c r="L297" i="25"/>
  <c r="I151" i="37"/>
  <c r="L298" i="25"/>
  <c r="I152" i="37"/>
  <c r="H80" i="32"/>
  <c r="L299" i="25"/>
  <c r="I153" i="37"/>
  <c r="K153" i="37" s="1"/>
  <c r="H81" i="32"/>
  <c r="L300" i="25"/>
  <c r="L301" i="25"/>
  <c r="I155" i="37"/>
  <c r="L302" i="25"/>
  <c r="I156" i="37"/>
  <c r="H84" i="32"/>
  <c r="L303" i="25"/>
  <c r="I157" i="37"/>
  <c r="K157" i="37" s="1"/>
  <c r="O157" i="37" s="1"/>
  <c r="Q157" i="37" s="1"/>
  <c r="H85" i="32"/>
  <c r="L304" i="25"/>
  <c r="L305" i="25"/>
  <c r="I159" i="37"/>
  <c r="L306" i="25"/>
  <c r="I160" i="37"/>
  <c r="H88" i="32"/>
  <c r="L307" i="25"/>
  <c r="I161" i="37"/>
  <c r="K161" i="37" s="1"/>
  <c r="O161" i="37" s="1"/>
  <c r="Q161" i="37" s="1"/>
  <c r="H89" i="32"/>
  <c r="L308" i="25"/>
  <c r="L309" i="25"/>
  <c r="I163" i="37"/>
  <c r="L310" i="25"/>
  <c r="I164" i="37"/>
  <c r="H92" i="32"/>
  <c r="L311" i="25"/>
  <c r="I165" i="37"/>
  <c r="K165" i="37" s="1"/>
  <c r="O165" i="37" s="1"/>
  <c r="Q165" i="37" s="1"/>
  <c r="H93" i="32"/>
  <c r="L312" i="25"/>
  <c r="L313" i="25"/>
  <c r="I167" i="37"/>
  <c r="L314" i="25"/>
  <c r="I168" i="37"/>
  <c r="H96" i="32"/>
  <c r="L315" i="25"/>
  <c r="I169" i="37"/>
  <c r="K169" i="37" s="1"/>
  <c r="H97" i="32"/>
  <c r="L316" i="25"/>
  <c r="L317" i="25"/>
  <c r="I171" i="37"/>
  <c r="L318" i="25"/>
  <c r="I172" i="37"/>
  <c r="H100" i="32"/>
  <c r="L319" i="25"/>
  <c r="I173" i="37"/>
  <c r="K173" i="37" s="1"/>
  <c r="O173" i="37" s="1"/>
  <c r="Q173" i="37" s="1"/>
  <c r="H101" i="32"/>
  <c r="L320" i="25"/>
  <c r="L321" i="25"/>
  <c r="I175" i="37"/>
  <c r="L322" i="25"/>
  <c r="I176" i="37"/>
  <c r="H104" i="32"/>
  <c r="L323" i="25"/>
  <c r="I177" i="37"/>
  <c r="K177" i="37" s="1"/>
  <c r="O177" i="37" s="1"/>
  <c r="Q177" i="37" s="1"/>
  <c r="H105" i="32"/>
  <c r="L324" i="25"/>
  <c r="L325" i="25"/>
  <c r="I179" i="37"/>
  <c r="L326" i="25"/>
  <c r="I180" i="37"/>
  <c r="H108" i="32"/>
  <c r="L327" i="25"/>
  <c r="I181" i="37"/>
  <c r="K181" i="37" s="1"/>
  <c r="O181" i="37" s="1"/>
  <c r="Q181" i="37" s="1"/>
  <c r="H109" i="32"/>
  <c r="L328" i="25"/>
  <c r="L329" i="25"/>
  <c r="I183" i="37"/>
  <c r="L330" i="25"/>
  <c r="I184" i="37"/>
  <c r="H112" i="32"/>
  <c r="L331" i="25"/>
  <c r="I185" i="37"/>
  <c r="K185" i="37" s="1"/>
  <c r="H113" i="32"/>
  <c r="L332" i="25"/>
  <c r="L333" i="25"/>
  <c r="I187" i="37"/>
  <c r="L334" i="25"/>
  <c r="I188" i="37"/>
  <c r="H116" i="32"/>
  <c r="L335" i="25"/>
  <c r="I189" i="37"/>
  <c r="K189" i="37" s="1"/>
  <c r="O189" i="37" s="1"/>
  <c r="Q189" i="37" s="1"/>
  <c r="H117" i="32"/>
  <c r="L336" i="25"/>
  <c r="L337" i="25"/>
  <c r="I191" i="37"/>
  <c r="L338" i="25"/>
  <c r="I192" i="37"/>
  <c r="H120" i="32"/>
  <c r="L339" i="25"/>
  <c r="I193" i="37"/>
  <c r="K193" i="37" s="1"/>
  <c r="O193" i="37" s="1"/>
  <c r="Q193" i="37" s="1"/>
  <c r="H121" i="32"/>
  <c r="L340" i="25"/>
  <c r="L341" i="25"/>
  <c r="I195" i="37"/>
  <c r="L342" i="25"/>
  <c r="I196" i="37"/>
  <c r="H124" i="32"/>
  <c r="L343" i="25"/>
  <c r="I197" i="37"/>
  <c r="K197" i="37" s="1"/>
  <c r="O197" i="37" s="1"/>
  <c r="Q197" i="37" s="1"/>
  <c r="H125" i="32"/>
  <c r="L344" i="25"/>
  <c r="L345" i="25"/>
  <c r="I199" i="37"/>
  <c r="L346" i="25"/>
  <c r="I200" i="37"/>
  <c r="H128" i="32"/>
  <c r="L347" i="25"/>
  <c r="I201" i="37"/>
  <c r="K201" i="37" s="1"/>
  <c r="H129" i="32"/>
  <c r="L348" i="25"/>
  <c r="L349" i="25"/>
  <c r="I203" i="37"/>
  <c r="L350" i="25"/>
  <c r="I204" i="37"/>
  <c r="H132" i="32"/>
  <c r="L351" i="25"/>
  <c r="I205" i="37"/>
  <c r="K205" i="37" s="1"/>
  <c r="O205" i="37" s="1"/>
  <c r="Q205" i="37" s="1"/>
  <c r="H133" i="32"/>
  <c r="L352" i="25"/>
  <c r="L353" i="25"/>
  <c r="I207" i="37"/>
  <c r="L354" i="25"/>
  <c r="I208" i="37"/>
  <c r="H136" i="32"/>
  <c r="L355" i="25"/>
  <c r="I209" i="37"/>
  <c r="K209" i="37" s="1"/>
  <c r="O209" i="37" s="1"/>
  <c r="Q209" i="37" s="1"/>
  <c r="H137" i="32"/>
  <c r="L356" i="25"/>
  <c r="L357" i="25"/>
  <c r="I211" i="37"/>
  <c r="L358" i="25"/>
  <c r="I212" i="37"/>
  <c r="H140" i="32"/>
  <c r="L359" i="25"/>
  <c r="I213" i="37"/>
  <c r="K213" i="37" s="1"/>
  <c r="O213" i="37" s="1"/>
  <c r="Q213" i="37" s="1"/>
  <c r="H141" i="32"/>
  <c r="L360" i="25"/>
  <c r="L361" i="25"/>
  <c r="I215" i="37"/>
  <c r="L362" i="25"/>
  <c r="I216" i="37"/>
  <c r="H144" i="32"/>
  <c r="L363" i="25"/>
  <c r="I217" i="37"/>
  <c r="K217" i="37" s="1"/>
  <c r="H145" i="32"/>
  <c r="L364" i="25"/>
  <c r="L365" i="25"/>
  <c r="I219" i="37"/>
  <c r="L366" i="25"/>
  <c r="I220" i="37"/>
  <c r="H148" i="32"/>
  <c r="L367" i="25"/>
  <c r="I221" i="37" s="1"/>
  <c r="L368" i="25"/>
  <c r="L369" i="25"/>
  <c r="I223" i="37"/>
  <c r="T223" i="37" s="1"/>
  <c r="V223" i="37" s="1"/>
  <c r="L370" i="25"/>
  <c r="I224" i="37"/>
  <c r="H152" i="32"/>
  <c r="L371" i="25"/>
  <c r="I225" i="37"/>
  <c r="K225" i="37" s="1"/>
  <c r="O225" i="37" s="1"/>
  <c r="Q225" i="37" s="1"/>
  <c r="H153" i="32"/>
  <c r="L372" i="25"/>
  <c r="L373" i="25"/>
  <c r="I227" i="37"/>
  <c r="L374" i="25"/>
  <c r="I228" i="37"/>
  <c r="H156" i="32"/>
  <c r="L375" i="25"/>
  <c r="I229" i="37"/>
  <c r="K229" i="37" s="1"/>
  <c r="O229" i="37" s="1"/>
  <c r="Q229" i="37" s="1"/>
  <c r="H157" i="32"/>
  <c r="L376" i="25"/>
  <c r="L377" i="25"/>
  <c r="I231" i="37"/>
  <c r="L378" i="25"/>
  <c r="I232" i="37"/>
  <c r="H160" i="32"/>
  <c r="L379" i="25"/>
  <c r="I233" i="37"/>
  <c r="K233" i="37" s="1"/>
  <c r="O233" i="37" s="1"/>
  <c r="Q233" i="37" s="1"/>
  <c r="H161" i="32"/>
  <c r="L380" i="25"/>
  <c r="L381" i="25"/>
  <c r="I235" i="37"/>
  <c r="L382" i="25"/>
  <c r="I236" i="37"/>
  <c r="H164" i="32"/>
  <c r="L383" i="25"/>
  <c r="I237" i="37"/>
  <c r="K237" i="37" s="1"/>
  <c r="O237" i="37" s="1"/>
  <c r="Q237" i="37" s="1"/>
  <c r="H165" i="32"/>
  <c r="L384" i="25"/>
  <c r="L385" i="25"/>
  <c r="I239" i="37"/>
  <c r="L386" i="25"/>
  <c r="I240" i="37"/>
  <c r="H168" i="32"/>
  <c r="L387" i="25"/>
  <c r="I241" i="37"/>
  <c r="K241" i="37" s="1"/>
  <c r="O241" i="37" s="1"/>
  <c r="Q241" i="37" s="1"/>
  <c r="H169" i="32"/>
  <c r="L388" i="25"/>
  <c r="L389" i="25"/>
  <c r="I243" i="37"/>
  <c r="L390" i="25"/>
  <c r="I244" i="37"/>
  <c r="H172" i="32"/>
  <c r="L391" i="25"/>
  <c r="I245" i="37"/>
  <c r="K245" i="37" s="1"/>
  <c r="O245" i="37" s="1"/>
  <c r="Q245" i="37" s="1"/>
  <c r="H173" i="32"/>
  <c r="L392" i="25"/>
  <c r="L393" i="25"/>
  <c r="I247" i="37"/>
  <c r="L394" i="25"/>
  <c r="I248" i="37"/>
  <c r="H176" i="32"/>
  <c r="L395" i="25"/>
  <c r="M395" i="25" s="1"/>
  <c r="N395" i="25" s="1"/>
  <c r="I249" i="37"/>
  <c r="K249" i="37" s="1"/>
  <c r="O249" i="37" s="1"/>
  <c r="Q249" i="37" s="1"/>
  <c r="H177" i="32"/>
  <c r="L396" i="25"/>
  <c r="L397" i="25"/>
  <c r="I251" i="37"/>
  <c r="L398" i="25"/>
  <c r="I252" i="37"/>
  <c r="H180" i="32"/>
  <c r="L399" i="25"/>
  <c r="I253" i="37"/>
  <c r="K253" i="37" s="1"/>
  <c r="O253" i="37" s="1"/>
  <c r="Q253" i="37" s="1"/>
  <c r="H181" i="32"/>
  <c r="L400" i="25"/>
  <c r="L401" i="25"/>
  <c r="I255" i="37"/>
  <c r="L402" i="25"/>
  <c r="I256" i="37"/>
  <c r="H184" i="32"/>
  <c r="L403" i="25"/>
  <c r="I257" i="37" s="1"/>
  <c r="L404" i="25"/>
  <c r="L405" i="25"/>
  <c r="I259" i="37"/>
  <c r="L406" i="25"/>
  <c r="I260" i="37"/>
  <c r="H188" i="32"/>
  <c r="L407" i="25"/>
  <c r="I261" i="37" s="1"/>
  <c r="L408" i="25"/>
  <c r="L409" i="25"/>
  <c r="I263" i="37"/>
  <c r="L410" i="25"/>
  <c r="I264" i="37"/>
  <c r="H192" i="32"/>
  <c r="L411" i="25"/>
  <c r="I265" i="37" s="1"/>
  <c r="L412" i="25"/>
  <c r="L413" i="25"/>
  <c r="I267" i="37"/>
  <c r="L414" i="25"/>
  <c r="I268" i="37"/>
  <c r="H196" i="32"/>
  <c r="L415" i="25"/>
  <c r="I269" i="37" s="1"/>
  <c r="L416" i="25"/>
  <c r="L417" i="25"/>
  <c r="I271" i="37"/>
  <c r="T271" i="37" s="1"/>
  <c r="V271" i="37" s="1"/>
  <c r="L418" i="25"/>
  <c r="I272" i="37"/>
  <c r="H200" i="32"/>
  <c r="L419" i="25"/>
  <c r="I273" i="37" s="1"/>
  <c r="L420" i="25"/>
  <c r="L421" i="25"/>
  <c r="I275" i="37"/>
  <c r="L422" i="25"/>
  <c r="I276" i="37"/>
  <c r="H204" i="32"/>
  <c r="L423" i="25"/>
  <c r="I277" i="37" s="1"/>
  <c r="L424" i="25"/>
  <c r="L425" i="25"/>
  <c r="I279" i="37"/>
  <c r="L426" i="25"/>
  <c r="I280" i="37"/>
  <c r="H208" i="32"/>
  <c r="L427" i="25"/>
  <c r="I281" i="37" s="1"/>
  <c r="L428" i="25"/>
  <c r="L429" i="25"/>
  <c r="I283" i="37"/>
  <c r="L430" i="25"/>
  <c r="I284" i="37"/>
  <c r="H212" i="32"/>
  <c r="L431" i="25"/>
  <c r="I285" i="37"/>
  <c r="K285" i="37" s="1"/>
  <c r="O285" i="37" s="1"/>
  <c r="Q285" i="37" s="1"/>
  <c r="H213" i="32"/>
  <c r="L432" i="25"/>
  <c r="L433" i="25"/>
  <c r="I287" i="37"/>
  <c r="L434" i="25"/>
  <c r="I288" i="37"/>
  <c r="H216" i="32"/>
  <c r="L435" i="25"/>
  <c r="I289" i="37"/>
  <c r="K289" i="37" s="1"/>
  <c r="O289" i="37" s="1"/>
  <c r="Q289" i="37" s="1"/>
  <c r="H217" i="32"/>
  <c r="L436" i="25"/>
  <c r="L437" i="25"/>
  <c r="I291" i="37"/>
  <c r="L438" i="25"/>
  <c r="I292" i="37"/>
  <c r="H220" i="32"/>
  <c r="L439" i="25"/>
  <c r="I293" i="37"/>
  <c r="K293" i="37" s="1"/>
  <c r="O293" i="37" s="1"/>
  <c r="Q293" i="37" s="1"/>
  <c r="H221" i="32"/>
  <c r="L440" i="25"/>
  <c r="L441" i="25"/>
  <c r="I295" i="37"/>
  <c r="L662" i="25"/>
  <c r="I296" i="37"/>
  <c r="H224" i="32"/>
  <c r="L663" i="25"/>
  <c r="I297" i="37"/>
  <c r="K297" i="37" s="1"/>
  <c r="O297" i="37" s="1"/>
  <c r="Q297" i="37" s="1"/>
  <c r="H225" i="32"/>
  <c r="L664" i="25"/>
  <c r="L665" i="25"/>
  <c r="I299" i="37"/>
  <c r="L666" i="25"/>
  <c r="I300" i="37"/>
  <c r="H228" i="32"/>
  <c r="L667" i="25"/>
  <c r="I301" i="37"/>
  <c r="K301" i="37" s="1"/>
  <c r="O301" i="37" s="1"/>
  <c r="Q301" i="37" s="1"/>
  <c r="H229" i="32"/>
  <c r="L668" i="25"/>
  <c r="L669" i="25"/>
  <c r="I303" i="37"/>
  <c r="L670" i="25"/>
  <c r="I304" i="37"/>
  <c r="H232" i="32"/>
  <c r="L671" i="25"/>
  <c r="I305" i="37"/>
  <c r="K305" i="37" s="1"/>
  <c r="O305" i="37" s="1"/>
  <c r="Q305" i="37" s="1"/>
  <c r="H233" i="32"/>
  <c r="L672" i="25"/>
  <c r="L673" i="25"/>
  <c r="I307" i="37"/>
  <c r="L674" i="25"/>
  <c r="I308" i="37"/>
  <c r="H236" i="32"/>
  <c r="L675" i="25"/>
  <c r="I309" i="37"/>
  <c r="K309" i="37" s="1"/>
  <c r="O309" i="37" s="1"/>
  <c r="Q309" i="37" s="1"/>
  <c r="H237" i="32"/>
  <c r="L676" i="25"/>
  <c r="L677" i="25"/>
  <c r="I311" i="37"/>
  <c r="L678" i="25"/>
  <c r="I312" i="37"/>
  <c r="T312" i="37" s="1"/>
  <c r="V312" i="37" s="1"/>
  <c r="Z312" i="37" s="1"/>
  <c r="H240" i="32"/>
  <c r="L679" i="25"/>
  <c r="I313" i="37"/>
  <c r="K313" i="37" s="1"/>
  <c r="O313" i="37" s="1"/>
  <c r="Q313" i="37" s="1"/>
  <c r="H241" i="32"/>
  <c r="L680" i="25"/>
  <c r="L681" i="25"/>
  <c r="I315" i="37"/>
  <c r="L682" i="25"/>
  <c r="I316" i="37"/>
  <c r="K316" i="37" s="1"/>
  <c r="O316" i="37" s="1"/>
  <c r="Q316" i="37" s="1"/>
  <c r="H244" i="32"/>
  <c r="L683" i="25"/>
  <c r="I317" i="37"/>
  <c r="K317" i="37" s="1"/>
  <c r="O317" i="37" s="1"/>
  <c r="Q317" i="37" s="1"/>
  <c r="H245" i="32"/>
  <c r="L684" i="25"/>
  <c r="L685" i="25"/>
  <c r="I319" i="37"/>
  <c r="L686" i="25"/>
  <c r="I320" i="37"/>
  <c r="K320" i="37" s="1"/>
  <c r="O320" i="37" s="1"/>
  <c r="Q320" i="37" s="1"/>
  <c r="H248" i="32"/>
  <c r="L687" i="25"/>
  <c r="I321" i="37"/>
  <c r="K321" i="37" s="1"/>
  <c r="O321" i="37" s="1"/>
  <c r="Q321" i="37" s="1"/>
  <c r="H249" i="32"/>
  <c r="L688" i="25"/>
  <c r="L689" i="25"/>
  <c r="I323" i="37"/>
  <c r="L690" i="25"/>
  <c r="I324" i="37"/>
  <c r="K324" i="37" s="1"/>
  <c r="O324" i="37" s="1"/>
  <c r="Q324" i="37" s="1"/>
  <c r="H252" i="32"/>
  <c r="L691" i="25"/>
  <c r="I325" i="37"/>
  <c r="K325" i="37" s="1"/>
  <c r="O325" i="37" s="1"/>
  <c r="Q325" i="37" s="1"/>
  <c r="H253" i="32"/>
  <c r="L692" i="25"/>
  <c r="L693" i="25"/>
  <c r="I327" i="37"/>
  <c r="L694" i="25"/>
  <c r="I328" i="37"/>
  <c r="K328" i="37" s="1"/>
  <c r="O328" i="37" s="1"/>
  <c r="Q328" i="37" s="1"/>
  <c r="H256" i="32"/>
  <c r="L695" i="25"/>
  <c r="I329" i="37"/>
  <c r="K329" i="37" s="1"/>
  <c r="O329" i="37" s="1"/>
  <c r="Q329" i="37" s="1"/>
  <c r="H257" i="32"/>
  <c r="L696" i="25"/>
  <c r="L697" i="25"/>
  <c r="I331" i="37"/>
  <c r="L698" i="25"/>
  <c r="I332" i="37"/>
  <c r="K332" i="37" s="1"/>
  <c r="O332" i="37" s="1"/>
  <c r="Q332" i="37" s="1"/>
  <c r="H260" i="32"/>
  <c r="L699" i="25"/>
  <c r="I333" i="37"/>
  <c r="K333" i="37" s="1"/>
  <c r="O333" i="37" s="1"/>
  <c r="Q333" i="37" s="1"/>
  <c r="H261" i="32"/>
  <c r="L700" i="25"/>
  <c r="L701" i="25"/>
  <c r="I335" i="37"/>
  <c r="L702" i="25"/>
  <c r="I336" i="37"/>
  <c r="K336" i="37" s="1"/>
  <c r="O336" i="37" s="1"/>
  <c r="Q336" i="37" s="1"/>
  <c r="H264" i="32"/>
  <c r="L703" i="25"/>
  <c r="I337" i="37"/>
  <c r="K337" i="37" s="1"/>
  <c r="O337" i="37" s="1"/>
  <c r="Q337" i="37" s="1"/>
  <c r="H265" i="32"/>
  <c r="L704" i="25"/>
  <c r="L705" i="25"/>
  <c r="I339" i="37"/>
  <c r="L706" i="25"/>
  <c r="I340" i="37"/>
  <c r="K340" i="37" s="1"/>
  <c r="O340" i="37" s="1"/>
  <c r="Q340" i="37" s="1"/>
  <c r="H268" i="32"/>
  <c r="L707" i="25"/>
  <c r="I341" i="37"/>
  <c r="K341" i="37" s="1"/>
  <c r="O341" i="37" s="1"/>
  <c r="Q341" i="37" s="1"/>
  <c r="H269" i="32"/>
  <c r="L708" i="25"/>
  <c r="L709" i="25"/>
  <c r="I343" i="37"/>
  <c r="L710" i="25"/>
  <c r="I344" i="37"/>
  <c r="K344" i="37" s="1"/>
  <c r="O344" i="37" s="1"/>
  <c r="Q344" i="37" s="1"/>
  <c r="H272" i="32"/>
  <c r="L711" i="25"/>
  <c r="I345" i="37"/>
  <c r="K345" i="37" s="1"/>
  <c r="O345" i="37" s="1"/>
  <c r="Q345" i="37" s="1"/>
  <c r="H273" i="32"/>
  <c r="L712" i="25"/>
  <c r="L713" i="25"/>
  <c r="I347" i="37"/>
  <c r="L714" i="25"/>
  <c r="I348" i="37"/>
  <c r="K348" i="37" s="1"/>
  <c r="O348" i="37" s="1"/>
  <c r="Q348" i="37" s="1"/>
  <c r="H276" i="32"/>
  <c r="L715" i="25"/>
  <c r="I349" i="37"/>
  <c r="T349" i="37" s="1"/>
  <c r="H277" i="32"/>
  <c r="L717" i="25"/>
  <c r="L718" i="25"/>
  <c r="I352" i="37"/>
  <c r="L719" i="25"/>
  <c r="I353" i="37"/>
  <c r="T353" i="37" s="1"/>
  <c r="V353" i="37" s="1"/>
  <c r="Z353" i="37" s="1"/>
  <c r="H281" i="32"/>
  <c r="L720" i="25"/>
  <c r="I354" i="37"/>
  <c r="K354" i="37" s="1"/>
  <c r="O354" i="37" s="1"/>
  <c r="Q354" i="37" s="1"/>
  <c r="H282" i="32"/>
  <c r="L721" i="25"/>
  <c r="L722" i="25"/>
  <c r="I356" i="37"/>
  <c r="L723" i="25"/>
  <c r="I357" i="37"/>
  <c r="T357" i="37" s="1"/>
  <c r="H285" i="32"/>
  <c r="L724" i="25"/>
  <c r="I358" i="37"/>
  <c r="T358" i="37" s="1"/>
  <c r="V358" i="37" s="1"/>
  <c r="H286" i="32"/>
  <c r="L725" i="25"/>
  <c r="L726" i="25"/>
  <c r="I360" i="37"/>
  <c r="L727" i="25"/>
  <c r="I361" i="37"/>
  <c r="T361" i="37" s="1"/>
  <c r="V361" i="37" s="1"/>
  <c r="Z361" i="37" s="1"/>
  <c r="H289" i="32"/>
  <c r="L728" i="25"/>
  <c r="I362" i="37"/>
  <c r="K362" i="37" s="1"/>
  <c r="O362" i="37" s="1"/>
  <c r="Q362" i="37" s="1"/>
  <c r="H290" i="32"/>
  <c r="L729" i="25"/>
  <c r="L730" i="25"/>
  <c r="I364" i="37"/>
  <c r="L731" i="25"/>
  <c r="I365" i="37"/>
  <c r="T365" i="37" s="1"/>
  <c r="H293" i="32"/>
  <c r="L732" i="25"/>
  <c r="I366" i="37"/>
  <c r="T366" i="37" s="1"/>
  <c r="V366" i="37" s="1"/>
  <c r="H294" i="32"/>
  <c r="L733" i="25"/>
  <c r="L734" i="25"/>
  <c r="I368" i="37"/>
  <c r="L735" i="25"/>
  <c r="I369" i="37"/>
  <c r="T369" i="37" s="1"/>
  <c r="V369" i="37" s="1"/>
  <c r="Z369" i="37" s="1"/>
  <c r="H297" i="32"/>
  <c r="L736" i="25"/>
  <c r="I370" i="37"/>
  <c r="K370" i="37" s="1"/>
  <c r="O370" i="37" s="1"/>
  <c r="Q370" i="37" s="1"/>
  <c r="H298" i="32"/>
  <c r="L737" i="25"/>
  <c r="L738" i="25"/>
  <c r="I372" i="37"/>
  <c r="L739" i="25"/>
  <c r="I373" i="37"/>
  <c r="L740" i="25"/>
  <c r="I374" i="44" s="1"/>
  <c r="I374" i="37"/>
  <c r="T374" i="37" s="1"/>
  <c r="V374" i="37" s="1"/>
  <c r="H302" i="32"/>
  <c r="L741" i="25"/>
  <c r="L742" i="25"/>
  <c r="L743" i="25"/>
  <c r="I377" i="37"/>
  <c r="H305" i="32"/>
  <c r="L744" i="25"/>
  <c r="I378" i="37"/>
  <c r="K378" i="37" s="1"/>
  <c r="O378" i="37" s="1"/>
  <c r="Q378" i="37" s="1"/>
  <c r="H306" i="32"/>
  <c r="L745" i="25"/>
  <c r="L746" i="25"/>
  <c r="I380" i="37"/>
  <c r="L747" i="25"/>
  <c r="I381" i="37"/>
  <c r="L748" i="25"/>
  <c r="I382" i="44" s="1"/>
  <c r="I382" i="37"/>
  <c r="T382" i="37" s="1"/>
  <c r="V382" i="37" s="1"/>
  <c r="H310" i="32"/>
  <c r="L749" i="25"/>
  <c r="L750" i="25"/>
  <c r="L751" i="25"/>
  <c r="I385" i="37"/>
  <c r="H313" i="32"/>
  <c r="L752" i="25"/>
  <c r="I386" i="37"/>
  <c r="K386" i="37" s="1"/>
  <c r="O386" i="37" s="1"/>
  <c r="Q386" i="37" s="1"/>
  <c r="H314" i="32"/>
  <c r="L753" i="25"/>
  <c r="L754" i="25"/>
  <c r="I388" i="37"/>
  <c r="L755" i="25"/>
  <c r="I389" i="37"/>
  <c r="L756" i="25"/>
  <c r="I390" i="37"/>
  <c r="T390" i="37" s="1"/>
  <c r="V390" i="37" s="1"/>
  <c r="H318" i="32"/>
  <c r="L757" i="25"/>
  <c r="L758" i="25"/>
  <c r="L759" i="25"/>
  <c r="I393" i="37"/>
  <c r="H321" i="32"/>
  <c r="L760" i="25"/>
  <c r="I394" i="37"/>
  <c r="K394" i="37" s="1"/>
  <c r="O394" i="37" s="1"/>
  <c r="Q394" i="37" s="1"/>
  <c r="H322" i="32"/>
  <c r="L761" i="25"/>
  <c r="L762" i="25"/>
  <c r="I396" i="37"/>
  <c r="L763" i="25"/>
  <c r="I397" i="37"/>
  <c r="L764" i="25"/>
  <c r="I398" i="37"/>
  <c r="T398" i="37" s="1"/>
  <c r="V398" i="37" s="1"/>
  <c r="H326" i="32"/>
  <c r="L765" i="25"/>
  <c r="L766" i="25"/>
  <c r="L767" i="25"/>
  <c r="I401" i="37"/>
  <c r="H329" i="32"/>
  <c r="L768" i="25"/>
  <c r="I402" i="37"/>
  <c r="K402" i="37" s="1"/>
  <c r="O402" i="37" s="1"/>
  <c r="Q402" i="37" s="1"/>
  <c r="H330" i="32"/>
  <c r="L769" i="25"/>
  <c r="L770" i="25"/>
  <c r="I404" i="37"/>
  <c r="L772" i="25"/>
  <c r="I406" i="44" s="1"/>
  <c r="I406" i="37"/>
  <c r="L773" i="25"/>
  <c r="I407" i="37"/>
  <c r="T407" i="37" s="1"/>
  <c r="V407" i="37" s="1"/>
  <c r="Z407" i="37" s="1"/>
  <c r="H335" i="32"/>
  <c r="L774" i="25"/>
  <c r="L775" i="25"/>
  <c r="L776" i="25"/>
  <c r="I410" i="37"/>
  <c r="H338" i="32"/>
  <c r="L777" i="25"/>
  <c r="I411" i="37"/>
  <c r="T411" i="37" s="1"/>
  <c r="V411" i="37" s="1"/>
  <c r="Z411" i="37" s="1"/>
  <c r="H339" i="32"/>
  <c r="L778" i="25"/>
  <c r="L779" i="25"/>
  <c r="I413" i="37"/>
  <c r="L780" i="25"/>
  <c r="I414" i="37"/>
  <c r="L781" i="25"/>
  <c r="I415" i="37"/>
  <c r="T415" i="37" s="1"/>
  <c r="V415" i="37" s="1"/>
  <c r="Z415" i="37" s="1"/>
  <c r="H343" i="32"/>
  <c r="L782" i="25"/>
  <c r="L783" i="25"/>
  <c r="L784" i="25"/>
  <c r="I418" i="37"/>
  <c r="H346" i="32"/>
  <c r="L785" i="25"/>
  <c r="I419" i="37"/>
  <c r="T419" i="37" s="1"/>
  <c r="V419" i="37" s="1"/>
  <c r="Z419" i="37" s="1"/>
  <c r="H347" i="32"/>
  <c r="L786" i="25"/>
  <c r="L787" i="25"/>
  <c r="I421" i="37"/>
  <c r="L788" i="25"/>
  <c r="I422" i="37"/>
  <c r="L789" i="25"/>
  <c r="I423" i="37"/>
  <c r="T423" i="37" s="1"/>
  <c r="V423" i="37" s="1"/>
  <c r="Z423" i="37" s="1"/>
  <c r="H351" i="32"/>
  <c r="L790" i="25"/>
  <c r="L791" i="25"/>
  <c r="L792" i="25"/>
  <c r="I426" i="37"/>
  <c r="H354" i="32"/>
  <c r="L793" i="25"/>
  <c r="I427" i="37"/>
  <c r="T427" i="37" s="1"/>
  <c r="V427" i="37" s="1"/>
  <c r="Z427" i="37" s="1"/>
  <c r="H355" i="32"/>
  <c r="L794" i="25"/>
  <c r="L795" i="25"/>
  <c r="I429" i="37"/>
  <c r="L796" i="25"/>
  <c r="I430" i="37"/>
  <c r="L797" i="25"/>
  <c r="I431" i="37"/>
  <c r="T431" i="37" s="1"/>
  <c r="V431" i="37" s="1"/>
  <c r="Z431" i="37" s="1"/>
  <c r="H359" i="32"/>
  <c r="L798" i="25"/>
  <c r="L799" i="25"/>
  <c r="L800" i="25"/>
  <c r="I434" i="37"/>
  <c r="H362" i="32"/>
  <c r="L801" i="25"/>
  <c r="I435" i="37"/>
  <c r="T435" i="37" s="1"/>
  <c r="V435" i="37" s="1"/>
  <c r="Z435" i="37" s="1"/>
  <c r="H363" i="32"/>
  <c r="L802" i="25"/>
  <c r="L803" i="25"/>
  <c r="L804" i="25"/>
  <c r="L805" i="25"/>
  <c r="I439" i="37"/>
  <c r="L806" i="25"/>
  <c r="L807" i="25"/>
  <c r="L808" i="25"/>
  <c r="L809" i="25"/>
  <c r="I443" i="37"/>
  <c r="L810" i="25"/>
  <c r="L811" i="25"/>
  <c r="L812" i="25"/>
  <c r="L813" i="25"/>
  <c r="I447" i="37"/>
  <c r="L814" i="25"/>
  <c r="L815" i="25"/>
  <c r="L816" i="25"/>
  <c r="L817" i="25"/>
  <c r="I451" i="37"/>
  <c r="L818" i="25"/>
  <c r="L819" i="25"/>
  <c r="L820" i="25"/>
  <c r="L821" i="25"/>
  <c r="I455" i="37"/>
  <c r="L822" i="25"/>
  <c r="L823" i="25"/>
  <c r="L824" i="25"/>
  <c r="L825" i="25"/>
  <c r="I459" i="37"/>
  <c r="L826" i="25"/>
  <c r="L827" i="25"/>
  <c r="L828" i="25"/>
  <c r="L829" i="25"/>
  <c r="I463" i="37"/>
  <c r="L830" i="25"/>
  <c r="L831" i="25"/>
  <c r="L832" i="25"/>
  <c r="L833" i="25"/>
  <c r="I467" i="37"/>
  <c r="L834" i="25"/>
  <c r="L835" i="25"/>
  <c r="L836" i="25"/>
  <c r="L837" i="25"/>
  <c r="I471" i="37"/>
  <c r="L838" i="25"/>
  <c r="L839" i="25"/>
  <c r="L840" i="25"/>
  <c r="L841" i="25"/>
  <c r="I475" i="37"/>
  <c r="L842" i="25"/>
  <c r="L843" i="25"/>
  <c r="L844" i="25"/>
  <c r="L845" i="25"/>
  <c r="I479" i="37"/>
  <c r="L846" i="25"/>
  <c r="L847" i="25"/>
  <c r="L848" i="25"/>
  <c r="L849" i="25"/>
  <c r="I483" i="37"/>
  <c r="L850" i="25"/>
  <c r="L851" i="25"/>
  <c r="L852" i="25"/>
  <c r="L853" i="25"/>
  <c r="I487" i="37"/>
  <c r="L854" i="25"/>
  <c r="L855" i="25"/>
  <c r="L856" i="25"/>
  <c r="L857" i="25"/>
  <c r="I491" i="37"/>
  <c r="L858" i="25"/>
  <c r="L859" i="25"/>
  <c r="L860" i="25"/>
  <c r="L861" i="25"/>
  <c r="I495" i="37"/>
  <c r="L862" i="25"/>
  <c r="L863" i="25"/>
  <c r="L864" i="25"/>
  <c r="L865" i="25"/>
  <c r="I499" i="37"/>
  <c r="L866" i="25"/>
  <c r="L867" i="25"/>
  <c r="L868" i="25"/>
  <c r="L869" i="25"/>
  <c r="I503" i="37"/>
  <c r="L870" i="25"/>
  <c r="L871" i="25"/>
  <c r="L872" i="25"/>
  <c r="L873" i="25"/>
  <c r="I507" i="37"/>
  <c r="L874" i="25"/>
  <c r="L875" i="25"/>
  <c r="L876" i="25"/>
  <c r="L877" i="25"/>
  <c r="I511" i="37"/>
  <c r="L878" i="25"/>
  <c r="L879" i="25"/>
  <c r="L880" i="25"/>
  <c r="L881" i="25"/>
  <c r="I515" i="37"/>
  <c r="H444" i="32"/>
  <c r="H445" i="32"/>
  <c r="H446" i="32"/>
  <c r="H447" i="32"/>
  <c r="H448" i="32"/>
  <c r="H449" i="32"/>
  <c r="H450" i="32"/>
  <c r="H451" i="32"/>
  <c r="H452" i="32"/>
  <c r="H453" i="32"/>
  <c r="H454" i="32"/>
  <c r="L3" i="25"/>
  <c r="H77" i="37"/>
  <c r="L2" i="25"/>
  <c r="L4" i="25"/>
  <c r="H78" i="37"/>
  <c r="L5" i="25"/>
  <c r="L6" i="25"/>
  <c r="H80" i="37"/>
  <c r="L7" i="25"/>
  <c r="L8" i="25"/>
  <c r="H82" i="37"/>
  <c r="L9" i="25"/>
  <c r="L10" i="25"/>
  <c r="H84" i="37"/>
  <c r="L11" i="25"/>
  <c r="L12" i="25"/>
  <c r="H86" i="37"/>
  <c r="L13" i="25"/>
  <c r="L14" i="25"/>
  <c r="H88" i="37"/>
  <c r="L15" i="25"/>
  <c r="L16" i="25"/>
  <c r="H90" i="37"/>
  <c r="L17" i="25"/>
  <c r="L18" i="25"/>
  <c r="H92" i="37"/>
  <c r="L19" i="25"/>
  <c r="L20" i="25"/>
  <c r="H94" i="37"/>
  <c r="L21" i="25"/>
  <c r="L22" i="25"/>
  <c r="H96" i="37"/>
  <c r="L23" i="25"/>
  <c r="L24" i="25"/>
  <c r="H98" i="37"/>
  <c r="L25" i="25"/>
  <c r="L26" i="25"/>
  <c r="H100" i="37"/>
  <c r="L27" i="25"/>
  <c r="L28" i="25"/>
  <c r="H102" i="37"/>
  <c r="L29" i="25"/>
  <c r="L30" i="25"/>
  <c r="H104" i="37"/>
  <c r="L31" i="25"/>
  <c r="L32" i="25"/>
  <c r="H106" i="37"/>
  <c r="L33" i="25"/>
  <c r="L34" i="25"/>
  <c r="H108" i="37"/>
  <c r="L35" i="25"/>
  <c r="L36" i="25"/>
  <c r="H110" i="37"/>
  <c r="L37" i="25"/>
  <c r="L38" i="25"/>
  <c r="H112" i="37"/>
  <c r="L39" i="25"/>
  <c r="L40" i="25"/>
  <c r="H114" i="37"/>
  <c r="L41" i="25"/>
  <c r="L42" i="25"/>
  <c r="H116" i="37"/>
  <c r="L43" i="25"/>
  <c r="L44" i="25"/>
  <c r="H118" i="37"/>
  <c r="L45" i="25"/>
  <c r="L46" i="25"/>
  <c r="H120" i="37"/>
  <c r="L47" i="25"/>
  <c r="L48" i="25"/>
  <c r="H122" i="37"/>
  <c r="L49" i="25"/>
  <c r="L50" i="25"/>
  <c r="H124" i="37"/>
  <c r="L51" i="25"/>
  <c r="L52" i="25"/>
  <c r="H126" i="37"/>
  <c r="L53" i="25"/>
  <c r="L54" i="25"/>
  <c r="H128" i="37"/>
  <c r="L55" i="25"/>
  <c r="L56" i="25"/>
  <c r="H130" i="37"/>
  <c r="L57" i="25"/>
  <c r="L58" i="25"/>
  <c r="H132" i="37"/>
  <c r="L59" i="25"/>
  <c r="L60" i="25"/>
  <c r="H134" i="37"/>
  <c r="L61" i="25"/>
  <c r="L62" i="25"/>
  <c r="H136" i="37"/>
  <c r="L63" i="25"/>
  <c r="L64" i="25"/>
  <c r="H138" i="37"/>
  <c r="L65" i="25"/>
  <c r="L66" i="25"/>
  <c r="H140" i="37"/>
  <c r="L67" i="25"/>
  <c r="L68" i="25"/>
  <c r="H142" i="37"/>
  <c r="L69" i="25"/>
  <c r="L70" i="25"/>
  <c r="H144" i="37"/>
  <c r="L71" i="25"/>
  <c r="L72" i="25"/>
  <c r="H146" i="37"/>
  <c r="L73" i="25"/>
  <c r="L74" i="25"/>
  <c r="H148" i="37"/>
  <c r="L75" i="25"/>
  <c r="L76" i="25"/>
  <c r="H150" i="37"/>
  <c r="L77" i="25"/>
  <c r="L78" i="25"/>
  <c r="H152" i="37"/>
  <c r="L79" i="25"/>
  <c r="L80" i="25"/>
  <c r="H154" i="37"/>
  <c r="L81" i="25"/>
  <c r="L82" i="25"/>
  <c r="H156" i="37"/>
  <c r="L83" i="25"/>
  <c r="L84" i="25"/>
  <c r="H158" i="37"/>
  <c r="L85" i="25"/>
  <c r="L86" i="25"/>
  <c r="H160" i="37"/>
  <c r="L87" i="25"/>
  <c r="L88" i="25"/>
  <c r="H162" i="37"/>
  <c r="L89" i="25"/>
  <c r="L90" i="25"/>
  <c r="H164" i="37"/>
  <c r="L91" i="25"/>
  <c r="L92" i="25"/>
  <c r="H166" i="37"/>
  <c r="L93" i="25"/>
  <c r="L94" i="25"/>
  <c r="H168" i="37"/>
  <c r="L95" i="25"/>
  <c r="L96" i="25"/>
  <c r="H170" i="37"/>
  <c r="L97" i="25"/>
  <c r="L98" i="25"/>
  <c r="H172" i="37"/>
  <c r="L99" i="25"/>
  <c r="L100" i="25"/>
  <c r="H174" i="37"/>
  <c r="L101" i="25"/>
  <c r="L102" i="25"/>
  <c r="H176" i="37"/>
  <c r="L103" i="25"/>
  <c r="L104" i="25"/>
  <c r="H178" i="37"/>
  <c r="L105" i="25"/>
  <c r="L106" i="25"/>
  <c r="H180" i="37"/>
  <c r="L107" i="25"/>
  <c r="L108" i="25"/>
  <c r="H182" i="37"/>
  <c r="L109" i="25"/>
  <c r="L110" i="25"/>
  <c r="H184" i="37"/>
  <c r="L111" i="25"/>
  <c r="L112" i="25"/>
  <c r="H186" i="37"/>
  <c r="L113" i="25"/>
  <c r="L114" i="25"/>
  <c r="H188" i="37"/>
  <c r="L115" i="25"/>
  <c r="L116" i="25"/>
  <c r="H190" i="37"/>
  <c r="L117" i="25"/>
  <c r="L118" i="25"/>
  <c r="H192" i="37"/>
  <c r="L119" i="25"/>
  <c r="L120" i="25"/>
  <c r="H194" i="37"/>
  <c r="L121" i="25"/>
  <c r="L122" i="25"/>
  <c r="H196" i="37"/>
  <c r="L123" i="25"/>
  <c r="L124" i="25"/>
  <c r="H198" i="37"/>
  <c r="L125" i="25"/>
  <c r="L126" i="25"/>
  <c r="H200" i="37"/>
  <c r="L127" i="25"/>
  <c r="L128" i="25"/>
  <c r="H202" i="37"/>
  <c r="L129" i="25"/>
  <c r="L130" i="25"/>
  <c r="H204" i="37"/>
  <c r="L131" i="25"/>
  <c r="L132" i="25"/>
  <c r="H206" i="37"/>
  <c r="L133" i="25"/>
  <c r="L134" i="25"/>
  <c r="H208" i="37"/>
  <c r="L135" i="25"/>
  <c r="L136" i="25"/>
  <c r="H210" i="37"/>
  <c r="L137" i="25"/>
  <c r="L138" i="25"/>
  <c r="H212" i="37"/>
  <c r="L139" i="25"/>
  <c r="L140" i="25"/>
  <c r="H214" i="37"/>
  <c r="L141" i="25"/>
  <c r="L142" i="25"/>
  <c r="H216" i="37"/>
  <c r="L143" i="25"/>
  <c r="L144" i="25"/>
  <c r="H218" i="37"/>
  <c r="L145" i="25"/>
  <c r="L146" i="25"/>
  <c r="H220" i="37"/>
  <c r="L147" i="25"/>
  <c r="L148" i="25"/>
  <c r="H222" i="37"/>
  <c r="L149" i="25"/>
  <c r="L150" i="25"/>
  <c r="H224" i="37"/>
  <c r="L151" i="25"/>
  <c r="L152" i="25"/>
  <c r="H226" i="37"/>
  <c r="L153" i="25"/>
  <c r="L154" i="25"/>
  <c r="H228" i="37"/>
  <c r="L155" i="25"/>
  <c r="L156" i="25"/>
  <c r="H230" i="37"/>
  <c r="L157" i="25"/>
  <c r="L158" i="25"/>
  <c r="H232" i="37"/>
  <c r="L159" i="25"/>
  <c r="L160" i="25"/>
  <c r="H234" i="37"/>
  <c r="L161" i="25"/>
  <c r="L162" i="25"/>
  <c r="H236" i="37"/>
  <c r="L163" i="25"/>
  <c r="L164" i="25"/>
  <c r="H238" i="37"/>
  <c r="L165" i="25"/>
  <c r="L166" i="25"/>
  <c r="H240" i="37"/>
  <c r="L167" i="25"/>
  <c r="L168" i="25"/>
  <c r="H242" i="37"/>
  <c r="L169" i="25"/>
  <c r="L170" i="25"/>
  <c r="H244" i="37"/>
  <c r="L171" i="25"/>
  <c r="L172" i="25"/>
  <c r="H246" i="37"/>
  <c r="L173" i="25"/>
  <c r="L174" i="25"/>
  <c r="H248" i="37"/>
  <c r="L175" i="25"/>
  <c r="L176" i="25"/>
  <c r="H250" i="37"/>
  <c r="L177" i="25"/>
  <c r="L178" i="25"/>
  <c r="H252" i="37"/>
  <c r="L179" i="25"/>
  <c r="L180" i="25"/>
  <c r="H254" i="37"/>
  <c r="L181" i="25"/>
  <c r="L182" i="25"/>
  <c r="H256" i="37"/>
  <c r="L183" i="25"/>
  <c r="L184" i="25"/>
  <c r="H258" i="37"/>
  <c r="L185" i="25"/>
  <c r="L186" i="25"/>
  <c r="H260" i="37"/>
  <c r="L187" i="25"/>
  <c r="L188" i="25"/>
  <c r="H262" i="37"/>
  <c r="L189" i="25"/>
  <c r="L190" i="25"/>
  <c r="H264" i="37"/>
  <c r="L191" i="25"/>
  <c r="L192" i="25"/>
  <c r="H266" i="37"/>
  <c r="L193" i="25"/>
  <c r="L194" i="25"/>
  <c r="H268" i="37"/>
  <c r="L195" i="25"/>
  <c r="L196" i="25"/>
  <c r="H270" i="37"/>
  <c r="L197" i="25"/>
  <c r="L198" i="25"/>
  <c r="H272" i="37"/>
  <c r="L199" i="25"/>
  <c r="L200" i="25"/>
  <c r="H274" i="37"/>
  <c r="L201" i="25"/>
  <c r="L202" i="25"/>
  <c r="H276" i="37"/>
  <c r="L203" i="25"/>
  <c r="L204" i="25"/>
  <c r="H278" i="37"/>
  <c r="L205" i="25"/>
  <c r="L206" i="25"/>
  <c r="H280" i="37"/>
  <c r="L207" i="25"/>
  <c r="L208" i="25"/>
  <c r="H282" i="37"/>
  <c r="L209" i="25"/>
  <c r="L210" i="25"/>
  <c r="H284" i="37"/>
  <c r="L211" i="25"/>
  <c r="L212" i="25"/>
  <c r="H286" i="37"/>
  <c r="L213" i="25"/>
  <c r="L214" i="25"/>
  <c r="H288" i="37"/>
  <c r="L215" i="25"/>
  <c r="L216" i="25"/>
  <c r="H290" i="37"/>
  <c r="L217" i="25"/>
  <c r="L218" i="25"/>
  <c r="H292" i="37"/>
  <c r="L219" i="25"/>
  <c r="L220" i="25"/>
  <c r="H294" i="37"/>
  <c r="L221" i="25"/>
  <c r="L442" i="25"/>
  <c r="H296" i="37"/>
  <c r="L443" i="25"/>
  <c r="L444" i="25"/>
  <c r="H298" i="37"/>
  <c r="L445" i="25"/>
  <c r="L446" i="25"/>
  <c r="H300" i="37"/>
  <c r="L447" i="25"/>
  <c r="L448" i="25"/>
  <c r="H302" i="37"/>
  <c r="L449" i="25"/>
  <c r="L450" i="25"/>
  <c r="H304" i="37"/>
  <c r="L451" i="25"/>
  <c r="L452" i="25"/>
  <c r="H306" i="37"/>
  <c r="L454" i="25"/>
  <c r="L455" i="25"/>
  <c r="H309" i="37"/>
  <c r="L456" i="25"/>
  <c r="L457" i="25"/>
  <c r="H311" i="37"/>
  <c r="L458" i="25"/>
  <c r="L459" i="25"/>
  <c r="H313" i="37"/>
  <c r="L460" i="25"/>
  <c r="L461" i="25"/>
  <c r="H315" i="37"/>
  <c r="L462" i="25"/>
  <c r="L463" i="25"/>
  <c r="H317" i="37"/>
  <c r="L464" i="25"/>
  <c r="L465" i="25"/>
  <c r="H319" i="37"/>
  <c r="L466" i="25"/>
  <c r="L467" i="25"/>
  <c r="H321" i="37"/>
  <c r="L468" i="25"/>
  <c r="L469" i="25"/>
  <c r="H323" i="37"/>
  <c r="L470" i="25"/>
  <c r="L471" i="25"/>
  <c r="H325" i="37"/>
  <c r="L472" i="25"/>
  <c r="L473" i="25"/>
  <c r="H327" i="37"/>
  <c r="L474" i="25"/>
  <c r="L475" i="25"/>
  <c r="H329" i="37"/>
  <c r="L476" i="25"/>
  <c r="L477" i="25"/>
  <c r="H331" i="37"/>
  <c r="L478" i="25"/>
  <c r="L479" i="25"/>
  <c r="H333" i="37"/>
  <c r="L480" i="25"/>
  <c r="L481" i="25"/>
  <c r="H335" i="37"/>
  <c r="L482" i="25"/>
  <c r="L483" i="25"/>
  <c r="H337" i="37"/>
  <c r="L484" i="25"/>
  <c r="L485" i="25"/>
  <c r="H339" i="37"/>
  <c r="L486" i="25"/>
  <c r="L487" i="25"/>
  <c r="H341" i="37"/>
  <c r="L488" i="25"/>
  <c r="L489" i="25"/>
  <c r="H343" i="37"/>
  <c r="L490" i="25"/>
  <c r="L491" i="25"/>
  <c r="H345" i="37"/>
  <c r="L492" i="25"/>
  <c r="L493" i="25"/>
  <c r="H347" i="37"/>
  <c r="L494" i="25"/>
  <c r="L495" i="25"/>
  <c r="H349" i="37"/>
  <c r="L496" i="25"/>
  <c r="L497" i="25"/>
  <c r="H351" i="37"/>
  <c r="L498" i="25"/>
  <c r="L499" i="25"/>
  <c r="H353" i="37"/>
  <c r="L500" i="25"/>
  <c r="L501" i="25"/>
  <c r="H355" i="37"/>
  <c r="L502" i="25"/>
  <c r="L503" i="25"/>
  <c r="H357" i="37"/>
  <c r="L504" i="25"/>
  <c r="L505" i="25"/>
  <c r="H359" i="37"/>
  <c r="L506" i="25"/>
  <c r="L507" i="25"/>
  <c r="H361" i="37"/>
  <c r="L508" i="25"/>
  <c r="L509" i="25"/>
  <c r="H363" i="37"/>
  <c r="L510" i="25"/>
  <c r="L511" i="25"/>
  <c r="H365" i="37"/>
  <c r="L512" i="25"/>
  <c r="L513" i="25"/>
  <c r="H367" i="37"/>
  <c r="L514" i="25"/>
  <c r="L515" i="25"/>
  <c r="H369" i="37"/>
  <c r="L516" i="25"/>
  <c r="L517" i="25"/>
  <c r="H371" i="37"/>
  <c r="L518" i="25"/>
  <c r="L519" i="25"/>
  <c r="H373" i="37"/>
  <c r="L520" i="25"/>
  <c r="L521" i="25"/>
  <c r="H375" i="37"/>
  <c r="L522" i="25"/>
  <c r="L523" i="25"/>
  <c r="H377" i="37"/>
  <c r="L524" i="25"/>
  <c r="L525" i="25"/>
  <c r="H379" i="37"/>
  <c r="L526" i="25"/>
  <c r="L527" i="25"/>
  <c r="H381" i="37"/>
  <c r="L528" i="25"/>
  <c r="L529" i="25"/>
  <c r="H383" i="37"/>
  <c r="L530" i="25"/>
  <c r="L531" i="25"/>
  <c r="H385" i="37"/>
  <c r="L532" i="25"/>
  <c r="L533" i="25"/>
  <c r="H387" i="37"/>
  <c r="L534" i="25"/>
  <c r="L535" i="25"/>
  <c r="H389" i="37"/>
  <c r="L536" i="25"/>
  <c r="L537" i="25"/>
  <c r="H391" i="37"/>
  <c r="L538" i="25"/>
  <c r="L539" i="25"/>
  <c r="H393" i="37"/>
  <c r="L540" i="25"/>
  <c r="L541" i="25"/>
  <c r="H395" i="37"/>
  <c r="L542" i="25"/>
  <c r="L543" i="25"/>
  <c r="H397" i="37"/>
  <c r="L544" i="25"/>
  <c r="L545" i="25"/>
  <c r="H399" i="37"/>
  <c r="L546" i="25"/>
  <c r="L547" i="25"/>
  <c r="H401" i="37"/>
  <c r="L548" i="25"/>
  <c r="L549" i="25"/>
  <c r="H403" i="37"/>
  <c r="L550" i="25"/>
  <c r="L551" i="25"/>
  <c r="H405" i="37"/>
  <c r="L552" i="25"/>
  <c r="L553" i="25"/>
  <c r="H407" i="37"/>
  <c r="L554" i="25"/>
  <c r="L555" i="25"/>
  <c r="H409" i="37"/>
  <c r="L556" i="25"/>
  <c r="L557" i="25"/>
  <c r="H411" i="37"/>
  <c r="L558" i="25"/>
  <c r="L559" i="25"/>
  <c r="H413" i="37"/>
  <c r="L560" i="25"/>
  <c r="L561" i="25"/>
  <c r="H415" i="37"/>
  <c r="L562" i="25"/>
  <c r="L563" i="25"/>
  <c r="H417" i="37"/>
  <c r="L564" i="25"/>
  <c r="L565" i="25"/>
  <c r="H419" i="37"/>
  <c r="L566" i="25"/>
  <c r="L567" i="25"/>
  <c r="H421" i="37"/>
  <c r="L568" i="25"/>
  <c r="L569" i="25"/>
  <c r="H423" i="37"/>
  <c r="L570" i="25"/>
  <c r="L571" i="25"/>
  <c r="H425" i="37"/>
  <c r="L572" i="25"/>
  <c r="L573" i="25"/>
  <c r="H427" i="37"/>
  <c r="L574" i="25"/>
  <c r="L575" i="25"/>
  <c r="H429" i="37"/>
  <c r="L576" i="25"/>
  <c r="L577" i="25"/>
  <c r="H431" i="37"/>
  <c r="L578" i="25"/>
  <c r="L579" i="25"/>
  <c r="H433" i="37"/>
  <c r="L580" i="25"/>
  <c r="L581" i="25"/>
  <c r="H435" i="37"/>
  <c r="L582" i="25"/>
  <c r="L583" i="25"/>
  <c r="H437" i="37"/>
  <c r="L584" i="25"/>
  <c r="L585" i="25"/>
  <c r="H439" i="37"/>
  <c r="L586" i="25"/>
  <c r="L587" i="25"/>
  <c r="H441" i="37"/>
  <c r="L588" i="25"/>
  <c r="L589" i="25"/>
  <c r="H443" i="37"/>
  <c r="L590" i="25"/>
  <c r="L591" i="25"/>
  <c r="H445" i="37"/>
  <c r="L592" i="25"/>
  <c r="L593" i="25"/>
  <c r="H447" i="37"/>
  <c r="L594" i="25"/>
  <c r="L595" i="25"/>
  <c r="H449" i="37"/>
  <c r="L596" i="25"/>
  <c r="L597" i="25"/>
  <c r="H451" i="37"/>
  <c r="L598" i="25"/>
  <c r="L599" i="25"/>
  <c r="H453" i="37"/>
  <c r="L600" i="25"/>
  <c r="L601" i="25"/>
  <c r="H455" i="37"/>
  <c r="L602" i="25"/>
  <c r="L603" i="25"/>
  <c r="H457" i="37"/>
  <c r="L604" i="25"/>
  <c r="L605" i="25"/>
  <c r="H459" i="37"/>
  <c r="L606" i="25"/>
  <c r="L607" i="25"/>
  <c r="H461" i="37"/>
  <c r="L608" i="25"/>
  <c r="L609" i="25"/>
  <c r="H463" i="37"/>
  <c r="L610" i="25"/>
  <c r="L611" i="25"/>
  <c r="H465" i="37"/>
  <c r="L612" i="25"/>
  <c r="L613" i="25"/>
  <c r="H467" i="37"/>
  <c r="L614" i="25"/>
  <c r="L615" i="25"/>
  <c r="H469" i="37"/>
  <c r="L616" i="25"/>
  <c r="L617" i="25"/>
  <c r="H471" i="37"/>
  <c r="L618" i="25"/>
  <c r="L619" i="25"/>
  <c r="H473" i="37"/>
  <c r="L620" i="25"/>
  <c r="L621" i="25"/>
  <c r="H475" i="37"/>
  <c r="L622" i="25"/>
  <c r="L623" i="25"/>
  <c r="H477" i="37"/>
  <c r="L624" i="25"/>
  <c r="L625" i="25"/>
  <c r="H479" i="37"/>
  <c r="L626" i="25"/>
  <c r="L627" i="25"/>
  <c r="H481" i="37"/>
  <c r="L628" i="25"/>
  <c r="L629" i="25"/>
  <c r="H483" i="37"/>
  <c r="L630" i="25"/>
  <c r="L631" i="25"/>
  <c r="H485" i="37"/>
  <c r="L632" i="25"/>
  <c r="L633" i="25"/>
  <c r="H487" i="37"/>
  <c r="L634" i="25"/>
  <c r="L635" i="25"/>
  <c r="H489" i="37"/>
  <c r="L636" i="25"/>
  <c r="L637" i="25"/>
  <c r="H491" i="37"/>
  <c r="L638" i="25"/>
  <c r="L639" i="25"/>
  <c r="H493" i="37"/>
  <c r="L640" i="25"/>
  <c r="L641" i="25"/>
  <c r="H495" i="37"/>
  <c r="L642" i="25"/>
  <c r="L643" i="25"/>
  <c r="H497" i="37"/>
  <c r="L644" i="25"/>
  <c r="L645" i="25"/>
  <c r="H499" i="37"/>
  <c r="L646" i="25"/>
  <c r="L647" i="25"/>
  <c r="H501" i="37"/>
  <c r="L648" i="25"/>
  <c r="L649" i="25"/>
  <c r="H503" i="37"/>
  <c r="L650" i="25"/>
  <c r="L651" i="25"/>
  <c r="H505" i="37"/>
  <c r="L652" i="25"/>
  <c r="L653" i="25"/>
  <c r="H507" i="37"/>
  <c r="L654" i="25"/>
  <c r="L655" i="25"/>
  <c r="H509" i="37"/>
  <c r="L656" i="25"/>
  <c r="L657" i="25"/>
  <c r="H511" i="37"/>
  <c r="L658" i="25"/>
  <c r="L659" i="25"/>
  <c r="H513" i="37"/>
  <c r="L660" i="25"/>
  <c r="L661" i="25"/>
  <c r="H515" i="37"/>
  <c r="G444" i="32"/>
  <c r="G445" i="32"/>
  <c r="G446" i="32"/>
  <c r="G447" i="32"/>
  <c r="G448" i="32"/>
  <c r="G449" i="32"/>
  <c r="G450" i="32"/>
  <c r="G451" i="32"/>
  <c r="G452" i="32"/>
  <c r="G453" i="32"/>
  <c r="G454" i="32"/>
  <c r="L3" i="31"/>
  <c r="L2" i="31"/>
  <c r="L4" i="31"/>
  <c r="L5" i="31"/>
  <c r="L6" i="31"/>
  <c r="L7" i="31"/>
  <c r="L8" i="31"/>
  <c r="L9" i="31"/>
  <c r="L10" i="31"/>
  <c r="L11" i="31"/>
  <c r="L12" i="31"/>
  <c r="L13" i="31"/>
  <c r="L14" i="31"/>
  <c r="L15" i="31"/>
  <c r="L16" i="31"/>
  <c r="L17" i="31"/>
  <c r="L18" i="31"/>
  <c r="L19" i="31"/>
  <c r="L20" i="31"/>
  <c r="L21" i="31"/>
  <c r="L22" i="31"/>
  <c r="L23" i="31"/>
  <c r="L24" i="31"/>
  <c r="L25" i="31"/>
  <c r="L26" i="31"/>
  <c r="L27" i="31"/>
  <c r="L28" i="31"/>
  <c r="L29" i="31"/>
  <c r="L30" i="31"/>
  <c r="L31" i="31"/>
  <c r="L32" i="31"/>
  <c r="L33" i="31"/>
  <c r="L34" i="31"/>
  <c r="L35" i="31"/>
  <c r="L36" i="31"/>
  <c r="L37" i="31"/>
  <c r="L38" i="31"/>
  <c r="L39" i="31"/>
  <c r="L40" i="31"/>
  <c r="L41" i="31"/>
  <c r="L42" i="31"/>
  <c r="L43" i="31"/>
  <c r="L44" i="31"/>
  <c r="L45" i="31"/>
  <c r="L46" i="31"/>
  <c r="L47" i="31"/>
  <c r="L48" i="31"/>
  <c r="L49" i="31"/>
  <c r="L50" i="31"/>
  <c r="L51" i="31"/>
  <c r="L52" i="31"/>
  <c r="L53" i="31"/>
  <c r="L54" i="31"/>
  <c r="L55" i="31"/>
  <c r="L56" i="31"/>
  <c r="L57" i="31"/>
  <c r="L58" i="31"/>
  <c r="L59" i="31"/>
  <c r="L60" i="31"/>
  <c r="L61" i="31"/>
  <c r="L62" i="31"/>
  <c r="L63" i="31"/>
  <c r="L64" i="31"/>
  <c r="L65" i="31"/>
  <c r="L66" i="31"/>
  <c r="L67" i="31"/>
  <c r="L68" i="31"/>
  <c r="L69" i="31"/>
  <c r="L70" i="31"/>
  <c r="L71" i="31"/>
  <c r="L72" i="31"/>
  <c r="L73" i="31"/>
  <c r="L74" i="31"/>
  <c r="L75" i="31"/>
  <c r="L76" i="31"/>
  <c r="L77" i="31"/>
  <c r="L78" i="31"/>
  <c r="L79" i="31"/>
  <c r="L80" i="31"/>
  <c r="L81" i="31"/>
  <c r="L82" i="31"/>
  <c r="L83" i="31"/>
  <c r="L84" i="31"/>
  <c r="L85" i="31"/>
  <c r="L86" i="31"/>
  <c r="L87" i="31"/>
  <c r="L88" i="31"/>
  <c r="L89" i="31"/>
  <c r="L90" i="31"/>
  <c r="L91" i="31"/>
  <c r="L92" i="31"/>
  <c r="L93" i="31"/>
  <c r="L94" i="31"/>
  <c r="L95" i="31"/>
  <c r="L96" i="31"/>
  <c r="L97" i="31"/>
  <c r="L98" i="31"/>
  <c r="L99" i="31"/>
  <c r="L100" i="31"/>
  <c r="L101" i="31"/>
  <c r="L102" i="31"/>
  <c r="L103" i="31"/>
  <c r="L104" i="31"/>
  <c r="L105" i="31"/>
  <c r="L106" i="31"/>
  <c r="L107" i="31"/>
  <c r="L108" i="31"/>
  <c r="L109" i="31"/>
  <c r="L110" i="31"/>
  <c r="L111" i="31"/>
  <c r="L112" i="31"/>
  <c r="L113" i="31"/>
  <c r="L114" i="31"/>
  <c r="L115" i="31"/>
  <c r="L116" i="31"/>
  <c r="L117" i="31"/>
  <c r="L118" i="31"/>
  <c r="L119" i="31"/>
  <c r="L120" i="31"/>
  <c r="L121" i="31"/>
  <c r="L122" i="31"/>
  <c r="L123" i="31"/>
  <c r="L124" i="31"/>
  <c r="L125" i="31"/>
  <c r="L126" i="31"/>
  <c r="L127" i="31"/>
  <c r="L128" i="31"/>
  <c r="L129" i="31"/>
  <c r="L130" i="31"/>
  <c r="L131" i="31"/>
  <c r="L132" i="31"/>
  <c r="L133" i="31"/>
  <c r="L134" i="31"/>
  <c r="L135" i="31"/>
  <c r="L136" i="31"/>
  <c r="L137" i="31"/>
  <c r="L138" i="31"/>
  <c r="L139" i="31"/>
  <c r="L140" i="31"/>
  <c r="L141" i="31"/>
  <c r="L142" i="31"/>
  <c r="L143" i="31"/>
  <c r="L144" i="31"/>
  <c r="L145" i="31"/>
  <c r="L146" i="31"/>
  <c r="L147" i="31"/>
  <c r="L148" i="31"/>
  <c r="L149" i="31"/>
  <c r="L150" i="31"/>
  <c r="H224" i="40" s="1"/>
  <c r="L151" i="31"/>
  <c r="L152" i="31"/>
  <c r="L153" i="31"/>
  <c r="L154" i="31"/>
  <c r="L155" i="31"/>
  <c r="L156" i="31"/>
  <c r="L157" i="31"/>
  <c r="L158" i="31"/>
  <c r="H232" i="40" s="1"/>
  <c r="L159" i="31"/>
  <c r="L160" i="31"/>
  <c r="L161" i="31"/>
  <c r="L162" i="31"/>
  <c r="L163" i="31"/>
  <c r="L164" i="31"/>
  <c r="L165" i="31"/>
  <c r="L166" i="31"/>
  <c r="L167" i="31"/>
  <c r="L168" i="31"/>
  <c r="L169" i="31"/>
  <c r="L170" i="31"/>
  <c r="L171" i="31"/>
  <c r="L172" i="31"/>
  <c r="L173" i="31"/>
  <c r="L174" i="31"/>
  <c r="L175" i="31"/>
  <c r="L176" i="31"/>
  <c r="L177" i="31"/>
  <c r="L178" i="31"/>
  <c r="L179" i="31"/>
  <c r="L180" i="31"/>
  <c r="L181" i="31"/>
  <c r="L182" i="31"/>
  <c r="H256" i="40" s="1"/>
  <c r="L183" i="31"/>
  <c r="L184" i="31"/>
  <c r="L185" i="31"/>
  <c r="L186" i="31"/>
  <c r="L187" i="31"/>
  <c r="L188" i="31"/>
  <c r="L189" i="31"/>
  <c r="L190" i="31"/>
  <c r="H264" i="40" s="1"/>
  <c r="L191" i="31"/>
  <c r="L192" i="31"/>
  <c r="L193" i="31"/>
  <c r="L194" i="31"/>
  <c r="L195" i="31"/>
  <c r="L196" i="31"/>
  <c r="L197" i="31"/>
  <c r="L198" i="31"/>
  <c r="L199" i="31"/>
  <c r="L200" i="31"/>
  <c r="L201" i="31"/>
  <c r="L202" i="31"/>
  <c r="L203" i="31"/>
  <c r="L204" i="31"/>
  <c r="L205" i="31"/>
  <c r="L206" i="31"/>
  <c r="L207" i="31"/>
  <c r="L208" i="31"/>
  <c r="L209" i="31"/>
  <c r="L210" i="31"/>
  <c r="L211" i="31"/>
  <c r="L212" i="31"/>
  <c r="L213" i="31"/>
  <c r="L214" i="31"/>
  <c r="L215" i="31"/>
  <c r="L216" i="31"/>
  <c r="L217" i="31"/>
  <c r="L218" i="31"/>
  <c r="L219" i="31"/>
  <c r="L220" i="31"/>
  <c r="L221" i="31"/>
  <c r="L442" i="31"/>
  <c r="L443" i="31"/>
  <c r="L444" i="31"/>
  <c r="L445" i="31"/>
  <c r="L446" i="31"/>
  <c r="L447" i="31"/>
  <c r="L448" i="31"/>
  <c r="L449" i="31"/>
  <c r="L450" i="31"/>
  <c r="L451" i="31"/>
  <c r="L452" i="31"/>
  <c r="L453" i="31"/>
  <c r="L454" i="31"/>
  <c r="L455" i="31"/>
  <c r="L456" i="31"/>
  <c r="L457" i="31"/>
  <c r="L458" i="31"/>
  <c r="L459" i="31"/>
  <c r="L460" i="31"/>
  <c r="L461" i="31"/>
  <c r="L462" i="31"/>
  <c r="L463" i="31"/>
  <c r="L464" i="31"/>
  <c r="L465" i="31"/>
  <c r="L466" i="31"/>
  <c r="L467" i="31"/>
  <c r="L468" i="31"/>
  <c r="L469" i="31"/>
  <c r="L470" i="31"/>
  <c r="L471" i="31"/>
  <c r="H325" i="40" s="1"/>
  <c r="L472" i="31"/>
  <c r="L473" i="31"/>
  <c r="L474" i="31"/>
  <c r="L475" i="31"/>
  <c r="L476" i="31"/>
  <c r="L477" i="31"/>
  <c r="L478" i="31"/>
  <c r="L479" i="31"/>
  <c r="H333" i="40" s="1"/>
  <c r="L480" i="31"/>
  <c r="L481" i="31"/>
  <c r="L482" i="31"/>
  <c r="L483" i="31"/>
  <c r="L484" i="31"/>
  <c r="L485" i="31"/>
  <c r="L486" i="31"/>
  <c r="L487" i="31"/>
  <c r="H341" i="40" s="1"/>
  <c r="L488" i="31"/>
  <c r="L489" i="31"/>
  <c r="L490" i="31"/>
  <c r="L491" i="31"/>
  <c r="L492" i="31"/>
  <c r="L493" i="31"/>
  <c r="L494" i="31"/>
  <c r="L495" i="31"/>
  <c r="H349" i="40" s="1"/>
  <c r="L496" i="31"/>
  <c r="L497" i="31"/>
  <c r="L498" i="31"/>
  <c r="L499" i="31"/>
  <c r="L500" i="31"/>
  <c r="L501" i="31"/>
  <c r="L502" i="31"/>
  <c r="L503" i="31"/>
  <c r="H357" i="40" s="1"/>
  <c r="L504" i="31"/>
  <c r="L505" i="31"/>
  <c r="L506" i="31"/>
  <c r="L507" i="31"/>
  <c r="L508" i="31"/>
  <c r="L509" i="31"/>
  <c r="L510" i="31"/>
  <c r="L511" i="31"/>
  <c r="H365" i="40" s="1"/>
  <c r="L512" i="31"/>
  <c r="L513" i="31"/>
  <c r="L514" i="31"/>
  <c r="L515" i="31"/>
  <c r="L516" i="31"/>
  <c r="L517" i="31"/>
  <c r="L518" i="31"/>
  <c r="L519" i="31"/>
  <c r="H373" i="40" s="1"/>
  <c r="L520" i="31"/>
  <c r="L521" i="31"/>
  <c r="L522" i="31"/>
  <c r="L523" i="31"/>
  <c r="L524" i="31"/>
  <c r="L525" i="31"/>
  <c r="L526" i="31"/>
  <c r="L527" i="31"/>
  <c r="H381" i="40" s="1"/>
  <c r="L528" i="31"/>
  <c r="L529" i="31"/>
  <c r="L530" i="31"/>
  <c r="L531" i="31"/>
  <c r="L532" i="31"/>
  <c r="L533" i="31"/>
  <c r="L534" i="31"/>
  <c r="L535" i="31"/>
  <c r="H389" i="40" s="1"/>
  <c r="L536" i="31"/>
  <c r="L537" i="31"/>
  <c r="L538" i="31"/>
  <c r="L539" i="31"/>
  <c r="L540" i="31"/>
  <c r="L541" i="31"/>
  <c r="L542" i="31"/>
  <c r="L543" i="31"/>
  <c r="H397" i="40" s="1"/>
  <c r="L544" i="31"/>
  <c r="L545" i="31"/>
  <c r="L546" i="31"/>
  <c r="L547" i="31"/>
  <c r="L548" i="31"/>
  <c r="L549" i="31"/>
  <c r="L550" i="31"/>
  <c r="L551" i="31"/>
  <c r="H405" i="40" s="1"/>
  <c r="L552" i="31"/>
  <c r="L553" i="31"/>
  <c r="L554" i="31"/>
  <c r="L555" i="31"/>
  <c r="L556" i="31"/>
  <c r="L557" i="31"/>
  <c r="L558" i="31"/>
  <c r="L559" i="31"/>
  <c r="H413" i="40" s="1"/>
  <c r="L560" i="31"/>
  <c r="L561" i="31"/>
  <c r="L562" i="31"/>
  <c r="L563" i="31"/>
  <c r="L564" i="31"/>
  <c r="L565" i="31"/>
  <c r="L566" i="31"/>
  <c r="L567" i="31"/>
  <c r="H421" i="40" s="1"/>
  <c r="L568" i="31"/>
  <c r="L569" i="31"/>
  <c r="L570" i="31"/>
  <c r="L571" i="31"/>
  <c r="L572" i="31"/>
  <c r="L573" i="31"/>
  <c r="L574" i="31"/>
  <c r="L575" i="31"/>
  <c r="H429" i="40" s="1"/>
  <c r="L576" i="31"/>
  <c r="L577" i="31"/>
  <c r="L578" i="31"/>
  <c r="L579" i="31"/>
  <c r="L580" i="31"/>
  <c r="L581" i="31"/>
  <c r="L582" i="31"/>
  <c r="L583" i="31"/>
  <c r="H437" i="40" s="1"/>
  <c r="L584" i="31"/>
  <c r="L585" i="31"/>
  <c r="L586" i="31"/>
  <c r="L587" i="31"/>
  <c r="L588" i="31"/>
  <c r="L589" i="31"/>
  <c r="L590" i="31"/>
  <c r="L591" i="31"/>
  <c r="H445" i="40" s="1"/>
  <c r="L592" i="31"/>
  <c r="L593" i="31"/>
  <c r="L594" i="31"/>
  <c r="L595" i="31"/>
  <c r="L596" i="31"/>
  <c r="L597" i="31"/>
  <c r="L598" i="31"/>
  <c r="L599" i="31"/>
  <c r="H453" i="40" s="1"/>
  <c r="L600" i="31"/>
  <c r="L601" i="31"/>
  <c r="L602" i="31"/>
  <c r="L603" i="31"/>
  <c r="L604" i="31"/>
  <c r="L605" i="31"/>
  <c r="L606" i="31"/>
  <c r="L607" i="31"/>
  <c r="H461" i="40" s="1"/>
  <c r="L608" i="31"/>
  <c r="L609" i="31"/>
  <c r="L610" i="31"/>
  <c r="L611" i="31"/>
  <c r="L612" i="31"/>
  <c r="L613" i="31"/>
  <c r="L614" i="31"/>
  <c r="L615" i="31"/>
  <c r="H469" i="40" s="1"/>
  <c r="L616" i="31"/>
  <c r="L617" i="31"/>
  <c r="L618" i="31"/>
  <c r="L619" i="31"/>
  <c r="L620" i="31"/>
  <c r="L621" i="31"/>
  <c r="L622" i="31"/>
  <c r="L623" i="31"/>
  <c r="H477" i="40" s="1"/>
  <c r="L624" i="31"/>
  <c r="L625" i="31"/>
  <c r="L626" i="31"/>
  <c r="L627" i="31"/>
  <c r="L628" i="31"/>
  <c r="L629" i="31"/>
  <c r="L630" i="31"/>
  <c r="L631" i="31"/>
  <c r="H485" i="40" s="1"/>
  <c r="L632" i="31"/>
  <c r="L633" i="31"/>
  <c r="L634" i="31"/>
  <c r="L635" i="31"/>
  <c r="L636" i="31"/>
  <c r="L637" i="31"/>
  <c r="L638" i="31"/>
  <c r="L639" i="31"/>
  <c r="H493" i="40" s="1"/>
  <c r="L640" i="31"/>
  <c r="L641" i="31"/>
  <c r="L642" i="31"/>
  <c r="L643" i="31"/>
  <c r="L644" i="31"/>
  <c r="L645" i="31"/>
  <c r="L646" i="31"/>
  <c r="L647" i="31"/>
  <c r="H501" i="40" s="1"/>
  <c r="L648" i="31"/>
  <c r="L649" i="31"/>
  <c r="L650" i="31"/>
  <c r="L651" i="31"/>
  <c r="L652" i="31"/>
  <c r="L653" i="31"/>
  <c r="L654" i="31"/>
  <c r="L655" i="31"/>
  <c r="H509" i="40" s="1"/>
  <c r="L656" i="31"/>
  <c r="L657" i="31"/>
  <c r="L658" i="31"/>
  <c r="L659" i="31"/>
  <c r="L660" i="31"/>
  <c r="L661" i="31"/>
  <c r="G403" i="35"/>
  <c r="I403" i="35"/>
  <c r="G114" i="35"/>
  <c r="I114" i="35"/>
  <c r="G327" i="35"/>
  <c r="I327" i="35"/>
  <c r="G571" i="23"/>
  <c r="I571" i="23"/>
  <c r="G606" i="23"/>
  <c r="I606" i="23"/>
  <c r="G737" i="23"/>
  <c r="I737" i="23"/>
  <c r="I114" i="23"/>
  <c r="K114" i="23"/>
  <c r="AN663" i="31"/>
  <c r="AO663" i="31"/>
  <c r="AP663" i="31"/>
  <c r="AN664" i="31"/>
  <c r="AO664" i="31"/>
  <c r="AP664" i="31"/>
  <c r="AN665" i="31"/>
  <c r="AO665" i="31"/>
  <c r="AP665" i="31"/>
  <c r="AN666" i="31"/>
  <c r="AO666" i="31"/>
  <c r="AP666" i="31"/>
  <c r="AN667" i="31"/>
  <c r="AO667" i="31"/>
  <c r="AP667" i="31"/>
  <c r="AN668" i="31"/>
  <c r="AO668" i="31"/>
  <c r="AP668" i="31"/>
  <c r="AN669" i="31"/>
  <c r="AO669" i="31"/>
  <c r="AP669" i="31"/>
  <c r="AN670" i="31"/>
  <c r="AO670" i="31"/>
  <c r="AP670" i="31"/>
  <c r="AN671" i="31"/>
  <c r="AO671" i="31"/>
  <c r="AP671" i="31"/>
  <c r="AN672" i="31"/>
  <c r="AO672" i="31"/>
  <c r="AP672" i="31"/>
  <c r="AN673" i="31"/>
  <c r="AO673" i="31"/>
  <c r="AP673" i="31"/>
  <c r="AN674" i="31"/>
  <c r="AO674" i="31"/>
  <c r="AP674" i="31"/>
  <c r="AN675" i="31"/>
  <c r="AO675" i="31"/>
  <c r="AP675" i="31"/>
  <c r="AN676" i="31"/>
  <c r="AO676" i="31"/>
  <c r="AP676" i="31"/>
  <c r="AN677" i="31"/>
  <c r="AO677" i="31"/>
  <c r="AP677" i="31"/>
  <c r="AN678" i="31"/>
  <c r="AO678" i="31"/>
  <c r="AP678" i="31"/>
  <c r="AN679" i="31"/>
  <c r="AO679" i="31"/>
  <c r="AP679" i="31"/>
  <c r="AN680" i="31"/>
  <c r="AO680" i="31"/>
  <c r="AP680" i="31"/>
  <c r="AN681" i="31"/>
  <c r="AO681" i="31"/>
  <c r="AP681" i="31"/>
  <c r="AN682" i="31"/>
  <c r="AO682" i="31"/>
  <c r="AP682" i="31"/>
  <c r="AN683" i="31"/>
  <c r="AO683" i="31"/>
  <c r="AP683" i="31"/>
  <c r="AN684" i="31"/>
  <c r="AO684" i="31"/>
  <c r="AP684" i="31"/>
  <c r="AN685" i="31"/>
  <c r="AO685" i="31"/>
  <c r="AP685" i="31"/>
  <c r="AN686" i="31"/>
  <c r="AO686" i="31"/>
  <c r="AP686" i="31"/>
  <c r="AN687" i="31"/>
  <c r="AO687" i="31"/>
  <c r="AP687" i="31"/>
  <c r="AN688" i="31"/>
  <c r="AO688" i="31"/>
  <c r="AP688" i="31"/>
  <c r="AN689" i="31"/>
  <c r="AO689" i="31"/>
  <c r="AP689" i="31"/>
  <c r="AN690" i="31"/>
  <c r="AO690" i="31"/>
  <c r="AP690" i="31"/>
  <c r="AN691" i="31"/>
  <c r="AO691" i="31"/>
  <c r="AP691" i="31"/>
  <c r="AN692" i="31"/>
  <c r="AO692" i="31"/>
  <c r="AP692" i="31"/>
  <c r="AN693" i="31"/>
  <c r="AO693" i="31"/>
  <c r="AP693" i="31"/>
  <c r="AN694" i="31"/>
  <c r="AO694" i="31"/>
  <c r="AP694" i="31"/>
  <c r="AN695" i="31"/>
  <c r="AO695" i="31"/>
  <c r="AP695" i="31"/>
  <c r="AN696" i="31"/>
  <c r="AO696" i="31"/>
  <c r="AP696" i="31"/>
  <c r="AN697" i="31"/>
  <c r="AO697" i="31"/>
  <c r="AP697" i="31"/>
  <c r="AN698" i="31"/>
  <c r="AO698" i="31"/>
  <c r="AP698" i="31"/>
  <c r="AN699" i="31"/>
  <c r="AO699" i="31"/>
  <c r="AP699" i="31"/>
  <c r="AN700" i="31"/>
  <c r="AO700" i="31"/>
  <c r="AP700" i="31"/>
  <c r="AN701" i="31"/>
  <c r="AO701" i="31"/>
  <c r="AP701" i="31"/>
  <c r="AN702" i="31"/>
  <c r="AO702" i="31"/>
  <c r="AP702" i="31"/>
  <c r="AN703" i="31"/>
  <c r="AO703" i="31"/>
  <c r="AP703" i="31"/>
  <c r="AN704" i="31"/>
  <c r="AO704" i="31"/>
  <c r="AP704" i="31"/>
  <c r="AN705" i="31"/>
  <c r="AO705" i="31"/>
  <c r="AP705" i="31"/>
  <c r="AN706" i="31"/>
  <c r="AO706" i="31"/>
  <c r="AP706" i="31"/>
  <c r="AN707" i="31"/>
  <c r="AO707" i="31"/>
  <c r="AP707" i="31"/>
  <c r="AN708" i="31"/>
  <c r="AO708" i="31"/>
  <c r="AP708" i="31"/>
  <c r="AN709" i="31"/>
  <c r="AO709" i="31"/>
  <c r="AP709" i="31"/>
  <c r="AN710" i="31"/>
  <c r="AO710" i="31"/>
  <c r="AP710" i="31"/>
  <c r="AN711" i="31"/>
  <c r="AO711" i="31"/>
  <c r="AP711" i="31"/>
  <c r="AN712" i="31"/>
  <c r="AO712" i="31"/>
  <c r="AP712" i="31"/>
  <c r="AN713" i="31"/>
  <c r="AO713" i="31"/>
  <c r="AP713" i="31"/>
  <c r="AN714" i="31"/>
  <c r="AO714" i="31"/>
  <c r="AP714" i="31"/>
  <c r="AN715" i="31"/>
  <c r="AO715" i="31"/>
  <c r="AP715" i="31"/>
  <c r="AN716" i="31"/>
  <c r="AO716" i="31"/>
  <c r="AP716" i="31"/>
  <c r="AN717" i="31"/>
  <c r="AO717" i="31"/>
  <c r="AP717" i="31"/>
  <c r="AN718" i="31"/>
  <c r="AO718" i="31"/>
  <c r="AP718" i="31"/>
  <c r="AN719" i="31"/>
  <c r="AO719" i="31"/>
  <c r="AP719" i="31"/>
  <c r="AN720" i="31"/>
  <c r="AO720" i="31"/>
  <c r="AP720" i="31"/>
  <c r="AN721" i="31"/>
  <c r="AO721" i="31"/>
  <c r="AP721" i="31"/>
  <c r="AN722" i="31"/>
  <c r="AO722" i="31"/>
  <c r="AP722" i="31"/>
  <c r="AN723" i="31"/>
  <c r="AO723" i="31"/>
  <c r="AP723" i="31"/>
  <c r="AN724" i="31"/>
  <c r="AO724" i="31"/>
  <c r="AP724" i="31"/>
  <c r="AN725" i="31"/>
  <c r="AO725" i="31"/>
  <c r="AP725" i="31"/>
  <c r="AN726" i="31"/>
  <c r="AO726" i="31"/>
  <c r="AP726" i="31"/>
  <c r="AN727" i="31"/>
  <c r="AO727" i="31"/>
  <c r="AP727" i="31"/>
  <c r="AN728" i="31"/>
  <c r="AO728" i="31"/>
  <c r="AP728" i="31"/>
  <c r="AN729" i="31"/>
  <c r="AO729" i="31"/>
  <c r="AP729" i="31"/>
  <c r="AN730" i="31"/>
  <c r="AO730" i="31"/>
  <c r="AP730" i="31"/>
  <c r="AN731" i="31"/>
  <c r="AO731" i="31"/>
  <c r="AP731" i="31"/>
  <c r="AN732" i="31"/>
  <c r="AO732" i="31"/>
  <c r="AP732" i="31"/>
  <c r="AN733" i="31"/>
  <c r="AO733" i="31"/>
  <c r="AP733" i="31"/>
  <c r="AN734" i="31"/>
  <c r="AO734" i="31"/>
  <c r="AP734" i="31"/>
  <c r="AN735" i="31"/>
  <c r="AO735" i="31"/>
  <c r="AP735" i="31"/>
  <c r="AN736" i="31"/>
  <c r="AO736" i="31"/>
  <c r="AP736" i="31"/>
  <c r="AN737" i="31"/>
  <c r="AO737" i="31"/>
  <c r="AP737" i="31"/>
  <c r="AN738" i="31"/>
  <c r="AO738" i="31"/>
  <c r="AP738" i="31"/>
  <c r="AN739" i="31"/>
  <c r="AO739" i="31"/>
  <c r="AP739" i="31"/>
  <c r="AN740" i="31"/>
  <c r="AO740" i="31"/>
  <c r="AP740" i="31"/>
  <c r="AN741" i="31"/>
  <c r="AO741" i="31"/>
  <c r="AP741" i="31"/>
  <c r="AN742" i="31"/>
  <c r="AO742" i="31"/>
  <c r="AP742" i="31"/>
  <c r="AN743" i="31"/>
  <c r="AO743" i="31"/>
  <c r="AP743" i="31"/>
  <c r="AN744" i="31"/>
  <c r="AO744" i="31"/>
  <c r="AP744" i="31"/>
  <c r="AN745" i="31"/>
  <c r="AO745" i="31"/>
  <c r="AP745" i="31"/>
  <c r="AN746" i="31"/>
  <c r="AO746" i="31"/>
  <c r="AP746" i="31"/>
  <c r="AN747" i="31"/>
  <c r="AO747" i="31"/>
  <c r="AP747" i="31"/>
  <c r="AN748" i="31"/>
  <c r="AO748" i="31"/>
  <c r="AP748" i="31"/>
  <c r="AN749" i="31"/>
  <c r="AO749" i="31"/>
  <c r="AP749" i="31"/>
  <c r="AN750" i="31"/>
  <c r="AO750" i="31"/>
  <c r="AP750" i="31"/>
  <c r="AN751" i="31"/>
  <c r="AO751" i="31"/>
  <c r="AP751" i="31"/>
  <c r="AN752" i="31"/>
  <c r="AO752" i="31"/>
  <c r="AP752" i="31"/>
  <c r="AN753" i="31"/>
  <c r="AO753" i="31"/>
  <c r="AP753" i="31"/>
  <c r="AN754" i="31"/>
  <c r="AO754" i="31"/>
  <c r="AP754" i="31"/>
  <c r="AN755" i="31"/>
  <c r="AO755" i="31"/>
  <c r="AP755" i="31"/>
  <c r="AN756" i="31"/>
  <c r="AO756" i="31"/>
  <c r="AP756" i="31"/>
  <c r="AN757" i="31"/>
  <c r="AO757" i="31"/>
  <c r="AP757" i="31"/>
  <c r="AN758" i="31"/>
  <c r="AO758" i="31"/>
  <c r="AP758" i="31"/>
  <c r="AN759" i="31"/>
  <c r="AO759" i="31"/>
  <c r="AP759" i="31"/>
  <c r="AN760" i="31"/>
  <c r="AO760" i="31"/>
  <c r="AP760" i="31"/>
  <c r="AN761" i="31"/>
  <c r="AO761" i="31"/>
  <c r="AP761" i="31"/>
  <c r="AN762" i="31"/>
  <c r="AO762" i="31"/>
  <c r="AP762" i="31"/>
  <c r="AN763" i="31"/>
  <c r="AO763" i="31"/>
  <c r="AP763" i="31"/>
  <c r="AN764" i="31"/>
  <c r="AO764" i="31"/>
  <c r="AP764" i="31"/>
  <c r="AN765" i="31"/>
  <c r="AO765" i="31"/>
  <c r="AP765" i="31"/>
  <c r="AN766" i="31"/>
  <c r="AO766" i="31"/>
  <c r="AP766" i="31"/>
  <c r="AN767" i="31"/>
  <c r="AO767" i="31"/>
  <c r="AP767" i="31"/>
  <c r="AN768" i="31"/>
  <c r="AO768" i="31"/>
  <c r="AP768" i="31"/>
  <c r="AN769" i="31"/>
  <c r="AO769" i="31"/>
  <c r="AP769" i="31"/>
  <c r="AN770" i="31"/>
  <c r="AO770" i="31"/>
  <c r="AP770" i="31"/>
  <c r="AN771" i="31"/>
  <c r="AO771" i="31"/>
  <c r="AP771" i="31"/>
  <c r="AN772" i="31"/>
  <c r="AO772" i="31"/>
  <c r="AP772" i="31"/>
  <c r="AN773" i="31"/>
  <c r="AO773" i="31"/>
  <c r="AP773" i="31"/>
  <c r="AN774" i="31"/>
  <c r="AO774" i="31"/>
  <c r="AP774" i="31"/>
  <c r="AN775" i="31"/>
  <c r="AO775" i="31"/>
  <c r="AP775" i="31"/>
  <c r="AN776" i="31"/>
  <c r="AO776" i="31"/>
  <c r="AP776" i="31"/>
  <c r="AN777" i="31"/>
  <c r="AO777" i="31"/>
  <c r="AP777" i="31"/>
  <c r="AN778" i="31"/>
  <c r="AO778" i="31"/>
  <c r="AP778" i="31"/>
  <c r="AN779" i="31"/>
  <c r="AO779" i="31"/>
  <c r="AP779" i="31"/>
  <c r="AN780" i="31"/>
  <c r="AO780" i="31"/>
  <c r="AP780" i="31"/>
  <c r="AN781" i="31"/>
  <c r="AO781" i="31"/>
  <c r="AP781" i="31"/>
  <c r="AN782" i="31"/>
  <c r="AO782" i="31"/>
  <c r="AP782" i="31"/>
  <c r="AN783" i="31"/>
  <c r="AO783" i="31"/>
  <c r="AP783" i="31"/>
  <c r="AN784" i="31"/>
  <c r="AO784" i="31"/>
  <c r="AP784" i="31"/>
  <c r="AN785" i="31"/>
  <c r="AO785" i="31"/>
  <c r="AP785" i="31"/>
  <c r="AN786" i="31"/>
  <c r="AO786" i="31"/>
  <c r="AP786" i="31"/>
  <c r="AN787" i="31"/>
  <c r="AO787" i="31"/>
  <c r="AP787" i="31"/>
  <c r="AN788" i="31"/>
  <c r="AO788" i="31"/>
  <c r="AP788" i="31"/>
  <c r="AN789" i="31"/>
  <c r="AO789" i="31"/>
  <c r="AP789" i="31"/>
  <c r="AN790" i="31"/>
  <c r="AO790" i="31"/>
  <c r="AP790" i="31"/>
  <c r="AN791" i="31"/>
  <c r="AO791" i="31"/>
  <c r="AP791" i="31"/>
  <c r="AN792" i="31"/>
  <c r="AO792" i="31"/>
  <c r="AP792" i="31"/>
  <c r="AN793" i="31"/>
  <c r="AO793" i="31"/>
  <c r="AP793" i="31"/>
  <c r="AN794" i="31"/>
  <c r="AO794" i="31"/>
  <c r="AP794" i="31"/>
  <c r="AN795" i="31"/>
  <c r="AO795" i="31"/>
  <c r="AP795" i="31"/>
  <c r="AN796" i="31"/>
  <c r="AO796" i="31"/>
  <c r="AP796" i="31"/>
  <c r="AN797" i="31"/>
  <c r="AO797" i="31"/>
  <c r="AP797" i="31"/>
  <c r="AN798" i="31"/>
  <c r="AO798" i="31"/>
  <c r="AP798" i="31"/>
  <c r="AN799" i="31"/>
  <c r="AO799" i="31"/>
  <c r="AP799" i="31"/>
  <c r="AN800" i="31"/>
  <c r="AO800" i="31"/>
  <c r="AP800" i="31"/>
  <c r="AN801" i="31"/>
  <c r="AO801" i="31"/>
  <c r="AP801" i="31"/>
  <c r="AN802" i="31"/>
  <c r="AO802" i="31"/>
  <c r="AP802" i="31"/>
  <c r="AN803" i="31"/>
  <c r="AO803" i="31"/>
  <c r="AP803" i="31"/>
  <c r="AN804" i="31"/>
  <c r="AO804" i="31"/>
  <c r="AP804" i="31"/>
  <c r="AN805" i="31"/>
  <c r="AO805" i="31"/>
  <c r="AP805" i="31"/>
  <c r="AN806" i="31"/>
  <c r="AO806" i="31"/>
  <c r="AP806" i="31"/>
  <c r="AN807" i="31"/>
  <c r="AO807" i="31"/>
  <c r="AP807" i="31"/>
  <c r="AN808" i="31"/>
  <c r="AO808" i="31"/>
  <c r="AP808" i="31"/>
  <c r="AN809" i="31"/>
  <c r="AO809" i="31"/>
  <c r="AP809" i="31"/>
  <c r="AN810" i="31"/>
  <c r="AO810" i="31"/>
  <c r="AP810" i="31"/>
  <c r="AN811" i="31"/>
  <c r="AO811" i="31"/>
  <c r="AP811" i="31"/>
  <c r="AN812" i="31"/>
  <c r="AO812" i="31"/>
  <c r="AP812" i="31"/>
  <c r="AN813" i="31"/>
  <c r="AO813" i="31"/>
  <c r="AP813" i="31"/>
  <c r="AN814" i="31"/>
  <c r="AO814" i="31"/>
  <c r="AP814" i="31"/>
  <c r="AN815" i="31"/>
  <c r="AO815" i="31"/>
  <c r="AP815" i="31"/>
  <c r="AN816" i="31"/>
  <c r="AO816" i="31"/>
  <c r="AP816" i="31"/>
  <c r="AN817" i="31"/>
  <c r="AO817" i="31"/>
  <c r="AP817" i="31"/>
  <c r="AN818" i="31"/>
  <c r="AO818" i="31"/>
  <c r="AP818" i="31"/>
  <c r="AN819" i="31"/>
  <c r="AO819" i="31"/>
  <c r="AP819" i="31"/>
  <c r="AN820" i="31"/>
  <c r="AO820" i="31"/>
  <c r="AP820" i="31"/>
  <c r="AN821" i="31"/>
  <c r="AO821" i="31"/>
  <c r="AP821" i="31"/>
  <c r="AN822" i="31"/>
  <c r="AO822" i="31"/>
  <c r="AP822" i="31"/>
  <c r="AN823" i="31"/>
  <c r="AO823" i="31"/>
  <c r="AP823" i="31"/>
  <c r="AN824" i="31"/>
  <c r="AO824" i="31"/>
  <c r="AP824" i="31"/>
  <c r="AN825" i="31"/>
  <c r="AO825" i="31"/>
  <c r="AP825" i="31"/>
  <c r="AN826" i="31"/>
  <c r="AO826" i="31"/>
  <c r="AP826" i="31"/>
  <c r="AN827" i="31"/>
  <c r="AO827" i="31"/>
  <c r="AP827" i="31"/>
  <c r="AN828" i="31"/>
  <c r="AO828" i="31"/>
  <c r="AP828" i="31"/>
  <c r="AN829" i="31"/>
  <c r="AO829" i="31"/>
  <c r="AP829" i="31"/>
  <c r="AN830" i="31"/>
  <c r="AO830" i="31"/>
  <c r="AP830" i="31"/>
  <c r="AN831" i="31"/>
  <c r="AO831" i="31"/>
  <c r="AP831" i="31"/>
  <c r="AN832" i="31"/>
  <c r="AO832" i="31"/>
  <c r="AP832" i="31"/>
  <c r="AN833" i="31"/>
  <c r="AO833" i="31"/>
  <c r="AP833" i="31"/>
  <c r="AN834" i="31"/>
  <c r="AO834" i="31"/>
  <c r="AP834" i="31"/>
  <c r="AN835" i="31"/>
  <c r="AO835" i="31"/>
  <c r="AP835" i="31"/>
  <c r="AN836" i="31"/>
  <c r="AO836" i="31"/>
  <c r="AP836" i="31"/>
  <c r="AN837" i="31"/>
  <c r="AO837" i="31"/>
  <c r="AP837" i="31"/>
  <c r="AN838" i="31"/>
  <c r="AO838" i="31"/>
  <c r="AP838" i="31"/>
  <c r="AN839" i="31"/>
  <c r="AO839" i="31"/>
  <c r="AP839" i="31"/>
  <c r="AN840" i="31"/>
  <c r="AO840" i="31"/>
  <c r="AP840" i="31"/>
  <c r="AN841" i="31"/>
  <c r="AO841" i="31"/>
  <c r="AP841" i="31"/>
  <c r="AN842" i="31"/>
  <c r="AO842" i="31"/>
  <c r="AP842" i="31"/>
  <c r="AN843" i="31"/>
  <c r="AO843" i="31"/>
  <c r="AP843" i="31"/>
  <c r="AN844" i="31"/>
  <c r="AO844" i="31"/>
  <c r="AP844" i="31"/>
  <c r="AN845" i="31"/>
  <c r="AO845" i="31"/>
  <c r="AP845" i="31"/>
  <c r="AN846" i="31"/>
  <c r="AO846" i="31"/>
  <c r="AP846" i="31"/>
  <c r="AN847" i="31"/>
  <c r="AO847" i="31"/>
  <c r="AP847" i="31"/>
  <c r="AN848" i="31"/>
  <c r="AO848" i="31"/>
  <c r="AP848" i="31"/>
  <c r="AN849" i="31"/>
  <c r="AO849" i="31"/>
  <c r="AP849" i="31"/>
  <c r="AN850" i="31"/>
  <c r="AO850" i="31"/>
  <c r="AP850" i="31"/>
  <c r="AN851" i="31"/>
  <c r="AO851" i="31"/>
  <c r="AP851" i="31"/>
  <c r="AN852" i="31"/>
  <c r="AO852" i="31"/>
  <c r="AP852" i="31"/>
  <c r="AN853" i="31"/>
  <c r="AO853" i="31"/>
  <c r="AP853" i="31"/>
  <c r="AN854" i="31"/>
  <c r="AO854" i="31"/>
  <c r="AP854" i="31"/>
  <c r="AN855" i="31"/>
  <c r="AO855" i="31"/>
  <c r="AP855" i="31"/>
  <c r="AN856" i="31"/>
  <c r="AO856" i="31"/>
  <c r="AP856" i="31"/>
  <c r="AN857" i="31"/>
  <c r="AO857" i="31"/>
  <c r="AP857" i="31"/>
  <c r="AN858" i="31"/>
  <c r="AO858" i="31"/>
  <c r="AP858" i="31"/>
  <c r="AN859" i="31"/>
  <c r="AO859" i="31"/>
  <c r="AP859" i="31"/>
  <c r="AN860" i="31"/>
  <c r="AO860" i="31"/>
  <c r="AP860" i="31"/>
  <c r="AN861" i="31"/>
  <c r="AO861" i="31"/>
  <c r="AP861" i="31"/>
  <c r="AN862" i="31"/>
  <c r="AO862" i="31"/>
  <c r="AP862" i="31"/>
  <c r="AN863" i="31"/>
  <c r="AO863" i="31"/>
  <c r="AP863" i="31"/>
  <c r="AN864" i="31"/>
  <c r="AO864" i="31"/>
  <c r="AP864" i="31"/>
  <c r="AN865" i="31"/>
  <c r="AO865" i="31"/>
  <c r="AP865" i="31"/>
  <c r="AN866" i="31"/>
  <c r="AO866" i="31"/>
  <c r="AP866" i="31"/>
  <c r="AN867" i="31"/>
  <c r="AO867" i="31"/>
  <c r="AP867" i="31"/>
  <c r="AN868" i="31"/>
  <c r="AO868" i="31"/>
  <c r="AP868" i="31"/>
  <c r="AN869" i="31"/>
  <c r="AO869" i="31"/>
  <c r="AP869" i="31"/>
  <c r="AN870" i="31"/>
  <c r="AO870" i="31"/>
  <c r="AP870" i="31"/>
  <c r="AN871" i="31"/>
  <c r="AO871" i="31"/>
  <c r="AP871" i="31"/>
  <c r="AN872" i="31"/>
  <c r="AO872" i="31"/>
  <c r="AP872" i="31"/>
  <c r="AN873" i="31"/>
  <c r="AO873" i="31"/>
  <c r="AP873" i="31"/>
  <c r="AN874" i="31"/>
  <c r="AO874" i="31"/>
  <c r="AP874" i="31"/>
  <c r="AN875" i="31"/>
  <c r="AO875" i="31"/>
  <c r="AP875" i="31"/>
  <c r="AN876" i="31"/>
  <c r="AO876" i="31"/>
  <c r="AP876" i="31"/>
  <c r="AN877" i="31"/>
  <c r="AO877" i="31"/>
  <c r="AP877" i="31"/>
  <c r="AN878" i="31"/>
  <c r="AO878" i="31"/>
  <c r="AP878" i="31"/>
  <c r="AN879" i="31"/>
  <c r="AO879" i="31"/>
  <c r="AP879" i="31"/>
  <c r="AN880" i="31"/>
  <c r="AO880" i="31"/>
  <c r="AP880" i="31"/>
  <c r="AN881" i="31"/>
  <c r="AO881" i="31"/>
  <c r="AP881" i="31"/>
  <c r="AP662" i="31"/>
  <c r="AO662" i="31"/>
  <c r="AN662" i="31"/>
  <c r="AN443" i="31"/>
  <c r="AO443" i="31"/>
  <c r="AP443" i="31"/>
  <c r="AN444" i="31"/>
  <c r="AO444" i="31"/>
  <c r="AP444" i="31"/>
  <c r="AN445" i="31"/>
  <c r="AO445" i="31"/>
  <c r="AP445" i="31"/>
  <c r="AN446" i="31"/>
  <c r="AO446" i="31"/>
  <c r="AP446" i="31"/>
  <c r="AN447" i="31"/>
  <c r="AO447" i="31"/>
  <c r="AP447" i="31"/>
  <c r="AN448" i="31"/>
  <c r="AO448" i="31"/>
  <c r="AP448" i="31"/>
  <c r="AN449" i="31"/>
  <c r="AO449" i="31"/>
  <c r="AP449" i="31"/>
  <c r="AN450" i="31"/>
  <c r="AO450" i="31"/>
  <c r="AP450" i="31"/>
  <c r="AN451" i="31"/>
  <c r="AO451" i="31"/>
  <c r="AP451" i="31"/>
  <c r="AN452" i="31"/>
  <c r="AO452" i="31"/>
  <c r="AP452" i="31"/>
  <c r="AN453" i="31"/>
  <c r="AO453" i="31"/>
  <c r="AP453" i="31"/>
  <c r="AN454" i="31"/>
  <c r="AO454" i="31"/>
  <c r="AP454" i="31"/>
  <c r="AN455" i="31"/>
  <c r="AO455" i="31"/>
  <c r="AP455" i="31"/>
  <c r="AN456" i="31"/>
  <c r="AO456" i="31"/>
  <c r="AP456" i="31"/>
  <c r="AN457" i="31"/>
  <c r="AO457" i="31"/>
  <c r="AP457" i="31"/>
  <c r="AN458" i="31"/>
  <c r="AO458" i="31"/>
  <c r="AP458" i="31"/>
  <c r="AN459" i="31"/>
  <c r="AO459" i="31"/>
  <c r="AP459" i="31"/>
  <c r="AN460" i="31"/>
  <c r="AO460" i="31"/>
  <c r="AP460" i="31"/>
  <c r="AN461" i="31"/>
  <c r="AO461" i="31"/>
  <c r="AP461" i="31"/>
  <c r="AN462" i="31"/>
  <c r="AO462" i="31"/>
  <c r="AP462" i="31"/>
  <c r="AN463" i="31"/>
  <c r="AO463" i="31"/>
  <c r="AP463" i="31"/>
  <c r="AN464" i="31"/>
  <c r="AO464" i="31"/>
  <c r="AP464" i="31"/>
  <c r="AN465" i="31"/>
  <c r="AO465" i="31"/>
  <c r="AP465" i="31"/>
  <c r="AN466" i="31"/>
  <c r="AO466" i="31"/>
  <c r="AP466" i="31"/>
  <c r="AN467" i="31"/>
  <c r="AO467" i="31"/>
  <c r="AP467" i="31"/>
  <c r="AN468" i="31"/>
  <c r="AO468" i="31"/>
  <c r="AP468" i="31"/>
  <c r="AN469" i="31"/>
  <c r="AO469" i="31"/>
  <c r="AP469" i="31"/>
  <c r="AN470" i="31"/>
  <c r="AO470" i="31"/>
  <c r="AP470" i="31"/>
  <c r="AN471" i="31"/>
  <c r="AO471" i="31"/>
  <c r="AP471" i="31"/>
  <c r="AN472" i="31"/>
  <c r="AO472" i="31"/>
  <c r="AP472" i="31"/>
  <c r="AN473" i="31"/>
  <c r="AO473" i="31"/>
  <c r="AP473" i="31"/>
  <c r="AN474" i="31"/>
  <c r="AO474" i="31"/>
  <c r="AP474" i="31"/>
  <c r="AN475" i="31"/>
  <c r="AO475" i="31"/>
  <c r="AP475" i="31"/>
  <c r="AN476" i="31"/>
  <c r="AO476" i="31"/>
  <c r="AP476" i="31"/>
  <c r="AN477" i="31"/>
  <c r="AO477" i="31"/>
  <c r="AP477" i="31"/>
  <c r="AN478" i="31"/>
  <c r="AO478" i="31"/>
  <c r="AP478" i="31"/>
  <c r="AN479" i="31"/>
  <c r="AO479" i="31"/>
  <c r="AP479" i="31"/>
  <c r="AN480" i="31"/>
  <c r="AO480" i="31"/>
  <c r="AP480" i="31"/>
  <c r="AN481" i="31"/>
  <c r="AO481" i="31"/>
  <c r="AP481" i="31"/>
  <c r="AN482" i="31"/>
  <c r="AO482" i="31"/>
  <c r="AP482" i="31"/>
  <c r="AN483" i="31"/>
  <c r="AO483" i="31"/>
  <c r="AP483" i="31"/>
  <c r="AN484" i="31"/>
  <c r="AO484" i="31"/>
  <c r="AP484" i="31"/>
  <c r="AN485" i="31"/>
  <c r="AO485" i="31"/>
  <c r="AP485" i="31"/>
  <c r="AN486" i="31"/>
  <c r="AO486" i="31"/>
  <c r="AP486" i="31"/>
  <c r="AN487" i="31"/>
  <c r="AO487" i="31"/>
  <c r="AP487" i="31"/>
  <c r="AN488" i="31"/>
  <c r="AO488" i="31"/>
  <c r="AP488" i="31"/>
  <c r="AN489" i="31"/>
  <c r="AO489" i="31"/>
  <c r="AP489" i="31"/>
  <c r="AN490" i="31"/>
  <c r="AO490" i="31"/>
  <c r="AP490" i="31"/>
  <c r="AN491" i="31"/>
  <c r="AO491" i="31"/>
  <c r="AP491" i="31"/>
  <c r="AN492" i="31"/>
  <c r="AO492" i="31"/>
  <c r="AP492" i="31"/>
  <c r="AN493" i="31"/>
  <c r="AO493" i="31"/>
  <c r="AP493" i="31"/>
  <c r="AN494" i="31"/>
  <c r="AO494" i="31"/>
  <c r="AP494" i="31"/>
  <c r="AN495" i="31"/>
  <c r="AO495" i="31"/>
  <c r="AP495" i="31"/>
  <c r="AN496" i="31"/>
  <c r="AO496" i="31"/>
  <c r="AP496" i="31"/>
  <c r="AN497" i="31"/>
  <c r="AO497" i="31"/>
  <c r="AP497" i="31"/>
  <c r="AN498" i="31"/>
  <c r="AO498" i="31"/>
  <c r="AP498" i="31"/>
  <c r="AN499" i="31"/>
  <c r="AO499" i="31"/>
  <c r="AP499" i="31"/>
  <c r="AN500" i="31"/>
  <c r="AO500" i="31"/>
  <c r="AP500" i="31"/>
  <c r="AN501" i="31"/>
  <c r="AO501" i="31"/>
  <c r="AP501" i="31"/>
  <c r="AN502" i="31"/>
  <c r="AO502" i="31"/>
  <c r="AP502" i="31"/>
  <c r="AN503" i="31"/>
  <c r="AO503" i="31"/>
  <c r="AP503" i="31"/>
  <c r="AN504" i="31"/>
  <c r="AO504" i="31"/>
  <c r="AP504" i="31"/>
  <c r="AN505" i="31"/>
  <c r="AO505" i="31"/>
  <c r="AP505" i="31"/>
  <c r="AN506" i="31"/>
  <c r="AO506" i="31"/>
  <c r="AP506" i="31"/>
  <c r="AN507" i="31"/>
  <c r="AO507" i="31"/>
  <c r="AP507" i="31"/>
  <c r="AN508" i="31"/>
  <c r="AO508" i="31"/>
  <c r="AP508" i="31"/>
  <c r="AN509" i="31"/>
  <c r="AO509" i="31"/>
  <c r="AP509" i="31"/>
  <c r="AN510" i="31"/>
  <c r="AO510" i="31"/>
  <c r="AP510" i="31"/>
  <c r="AN511" i="31"/>
  <c r="AO511" i="31"/>
  <c r="AP511" i="31"/>
  <c r="AN512" i="31"/>
  <c r="AO512" i="31"/>
  <c r="AP512" i="31"/>
  <c r="AN513" i="31"/>
  <c r="AO513" i="31"/>
  <c r="AP513" i="31"/>
  <c r="AN514" i="31"/>
  <c r="AO514" i="31"/>
  <c r="AP514" i="31"/>
  <c r="AN515" i="31"/>
  <c r="AO515" i="31"/>
  <c r="AP515" i="31"/>
  <c r="AN516" i="31"/>
  <c r="AO516" i="31"/>
  <c r="AP516" i="31"/>
  <c r="AN517" i="31"/>
  <c r="AO517" i="31"/>
  <c r="AP517" i="31"/>
  <c r="AN518" i="31"/>
  <c r="AO518" i="31"/>
  <c r="AP518" i="31"/>
  <c r="AN519" i="31"/>
  <c r="AO519" i="31"/>
  <c r="AP519" i="31"/>
  <c r="AN520" i="31"/>
  <c r="AO520" i="31"/>
  <c r="AP520" i="31"/>
  <c r="AN521" i="31"/>
  <c r="AO521" i="31"/>
  <c r="AP521" i="31"/>
  <c r="AN522" i="31"/>
  <c r="AO522" i="31"/>
  <c r="AP522" i="31"/>
  <c r="AN523" i="31"/>
  <c r="AO523" i="31"/>
  <c r="AP523" i="31"/>
  <c r="AN524" i="31"/>
  <c r="AO524" i="31"/>
  <c r="AP524" i="31"/>
  <c r="AN525" i="31"/>
  <c r="AO525" i="31"/>
  <c r="AP525" i="31"/>
  <c r="AN526" i="31"/>
  <c r="AO526" i="31"/>
  <c r="AP526" i="31"/>
  <c r="AN527" i="31"/>
  <c r="AO527" i="31"/>
  <c r="AP527" i="31"/>
  <c r="AN528" i="31"/>
  <c r="AO528" i="31"/>
  <c r="AP528" i="31"/>
  <c r="AN529" i="31"/>
  <c r="AO529" i="31"/>
  <c r="AP529" i="31"/>
  <c r="AN530" i="31"/>
  <c r="AO530" i="31"/>
  <c r="AP530" i="31"/>
  <c r="AN531" i="31"/>
  <c r="AO531" i="31"/>
  <c r="AP531" i="31"/>
  <c r="AN532" i="31"/>
  <c r="AO532" i="31"/>
  <c r="AP532" i="31"/>
  <c r="AN533" i="31"/>
  <c r="AO533" i="31"/>
  <c r="AP533" i="31"/>
  <c r="AN534" i="31"/>
  <c r="AO534" i="31"/>
  <c r="AP534" i="31"/>
  <c r="AN535" i="31"/>
  <c r="AO535" i="31"/>
  <c r="AP535" i="31"/>
  <c r="AN536" i="31"/>
  <c r="AO536" i="31"/>
  <c r="AP536" i="31"/>
  <c r="AN537" i="31"/>
  <c r="AO537" i="31"/>
  <c r="AP537" i="31"/>
  <c r="AN538" i="31"/>
  <c r="AO538" i="31"/>
  <c r="AP538" i="31"/>
  <c r="AN539" i="31"/>
  <c r="AO539" i="31"/>
  <c r="AP539" i="31"/>
  <c r="AN540" i="31"/>
  <c r="AO540" i="31"/>
  <c r="AP540" i="31"/>
  <c r="AN541" i="31"/>
  <c r="AO541" i="31"/>
  <c r="AP541" i="31"/>
  <c r="AN542" i="31"/>
  <c r="AO542" i="31"/>
  <c r="AP542" i="31"/>
  <c r="AN543" i="31"/>
  <c r="AO543" i="31"/>
  <c r="AP543" i="31"/>
  <c r="AN544" i="31"/>
  <c r="AO544" i="31"/>
  <c r="AP544" i="31"/>
  <c r="AN545" i="31"/>
  <c r="AO545" i="31"/>
  <c r="AP545" i="31"/>
  <c r="AN546" i="31"/>
  <c r="AO546" i="31"/>
  <c r="AP546" i="31"/>
  <c r="AN547" i="31"/>
  <c r="AO547" i="31"/>
  <c r="AP547" i="31"/>
  <c r="AN548" i="31"/>
  <c r="AO548" i="31"/>
  <c r="AP548" i="31"/>
  <c r="AN549" i="31"/>
  <c r="AO549" i="31"/>
  <c r="AP549" i="31"/>
  <c r="AN550" i="31"/>
  <c r="AO550" i="31"/>
  <c r="AP550" i="31"/>
  <c r="AN551" i="31"/>
  <c r="AO551" i="31"/>
  <c r="AP551" i="31"/>
  <c r="AN552" i="31"/>
  <c r="AO552" i="31"/>
  <c r="AP552" i="31"/>
  <c r="AN553" i="31"/>
  <c r="AO553" i="31"/>
  <c r="AP553" i="31"/>
  <c r="AN554" i="31"/>
  <c r="AO554" i="31"/>
  <c r="AP554" i="31"/>
  <c r="AN555" i="31"/>
  <c r="AO555" i="31"/>
  <c r="AP555" i="31"/>
  <c r="AN556" i="31"/>
  <c r="AO556" i="31"/>
  <c r="AP556" i="31"/>
  <c r="AN557" i="31"/>
  <c r="AO557" i="31"/>
  <c r="AP557" i="31"/>
  <c r="AN558" i="31"/>
  <c r="AO558" i="31"/>
  <c r="AP558" i="31"/>
  <c r="AN559" i="31"/>
  <c r="AO559" i="31"/>
  <c r="AP559" i="31"/>
  <c r="AN560" i="31"/>
  <c r="AO560" i="31"/>
  <c r="AP560" i="31"/>
  <c r="AN561" i="31"/>
  <c r="AO561" i="31"/>
  <c r="AP561" i="31"/>
  <c r="AN562" i="31"/>
  <c r="AO562" i="31"/>
  <c r="AP562" i="31"/>
  <c r="AN563" i="31"/>
  <c r="AO563" i="31"/>
  <c r="AP563" i="31"/>
  <c r="AN564" i="31"/>
  <c r="AO564" i="31"/>
  <c r="AP564" i="31"/>
  <c r="AN565" i="31"/>
  <c r="AO565" i="31"/>
  <c r="AP565" i="31"/>
  <c r="AN566" i="31"/>
  <c r="AO566" i="31"/>
  <c r="AP566" i="31"/>
  <c r="AN567" i="31"/>
  <c r="AO567" i="31"/>
  <c r="AP567" i="31"/>
  <c r="AN568" i="31"/>
  <c r="AO568" i="31"/>
  <c r="AP568" i="31"/>
  <c r="AN569" i="31"/>
  <c r="AO569" i="31"/>
  <c r="AP569" i="31"/>
  <c r="AN570" i="31"/>
  <c r="AO570" i="31"/>
  <c r="AP570" i="31"/>
  <c r="AN571" i="31"/>
  <c r="AO571" i="31"/>
  <c r="AP571" i="31"/>
  <c r="AN572" i="31"/>
  <c r="AO572" i="31"/>
  <c r="AP572" i="31"/>
  <c r="AN573" i="31"/>
  <c r="AO573" i="31"/>
  <c r="AP573" i="31"/>
  <c r="AN574" i="31"/>
  <c r="AO574" i="31"/>
  <c r="AP574" i="31"/>
  <c r="AN575" i="31"/>
  <c r="AO575" i="31"/>
  <c r="AP575" i="31"/>
  <c r="AN576" i="31"/>
  <c r="AO576" i="31"/>
  <c r="AP576" i="31"/>
  <c r="AN577" i="31"/>
  <c r="AO577" i="31"/>
  <c r="AP577" i="31"/>
  <c r="AN578" i="31"/>
  <c r="AO578" i="31"/>
  <c r="AP578" i="31"/>
  <c r="AN579" i="31"/>
  <c r="AO579" i="31"/>
  <c r="AP579" i="31"/>
  <c r="AN580" i="31"/>
  <c r="AO580" i="31"/>
  <c r="AP580" i="31"/>
  <c r="AN581" i="31"/>
  <c r="AO581" i="31"/>
  <c r="AP581" i="31"/>
  <c r="AN582" i="31"/>
  <c r="AO582" i="31"/>
  <c r="AP582" i="31"/>
  <c r="AN583" i="31"/>
  <c r="AO583" i="31"/>
  <c r="AP583" i="31"/>
  <c r="AN584" i="31"/>
  <c r="AO584" i="31"/>
  <c r="AP584" i="31"/>
  <c r="AN585" i="31"/>
  <c r="AO585" i="31"/>
  <c r="AP585" i="31"/>
  <c r="AN586" i="31"/>
  <c r="AO586" i="31"/>
  <c r="AP586" i="31"/>
  <c r="AN587" i="31"/>
  <c r="AO587" i="31"/>
  <c r="AP587" i="31"/>
  <c r="AN588" i="31"/>
  <c r="AO588" i="31"/>
  <c r="AP588" i="31"/>
  <c r="AN589" i="31"/>
  <c r="AO589" i="31"/>
  <c r="AP589" i="31"/>
  <c r="AN590" i="31"/>
  <c r="AO590" i="31"/>
  <c r="AP590" i="31"/>
  <c r="AN591" i="31"/>
  <c r="AO591" i="31"/>
  <c r="AP591" i="31"/>
  <c r="AN592" i="31"/>
  <c r="AO592" i="31"/>
  <c r="AP592" i="31"/>
  <c r="AN593" i="31"/>
  <c r="AO593" i="31"/>
  <c r="AP593" i="31"/>
  <c r="AN594" i="31"/>
  <c r="AO594" i="31"/>
  <c r="AP594" i="31"/>
  <c r="AN595" i="31"/>
  <c r="AO595" i="31"/>
  <c r="AP595" i="31"/>
  <c r="AN596" i="31"/>
  <c r="AO596" i="31"/>
  <c r="AP596" i="31"/>
  <c r="AN597" i="31"/>
  <c r="AO597" i="31"/>
  <c r="AP597" i="31"/>
  <c r="AN598" i="31"/>
  <c r="AO598" i="31"/>
  <c r="AP598" i="31"/>
  <c r="AN599" i="31"/>
  <c r="AO599" i="31"/>
  <c r="AP599" i="31"/>
  <c r="AN600" i="31"/>
  <c r="AO600" i="31"/>
  <c r="AP600" i="31"/>
  <c r="AN601" i="31"/>
  <c r="AO601" i="31"/>
  <c r="AP601" i="31"/>
  <c r="AN602" i="31"/>
  <c r="AO602" i="31"/>
  <c r="AP602" i="31"/>
  <c r="AN603" i="31"/>
  <c r="AO603" i="31"/>
  <c r="AP603" i="31"/>
  <c r="AN604" i="31"/>
  <c r="AO604" i="31"/>
  <c r="AP604" i="31"/>
  <c r="AN605" i="31"/>
  <c r="AO605" i="31"/>
  <c r="AP605" i="31"/>
  <c r="AN606" i="31"/>
  <c r="AO606" i="31"/>
  <c r="AP606" i="31"/>
  <c r="AN607" i="31"/>
  <c r="AO607" i="31"/>
  <c r="AP607" i="31"/>
  <c r="AN608" i="31"/>
  <c r="AO608" i="31"/>
  <c r="AP608" i="31"/>
  <c r="AN609" i="31"/>
  <c r="AO609" i="31"/>
  <c r="AP609" i="31"/>
  <c r="AN610" i="31"/>
  <c r="AO610" i="31"/>
  <c r="AP610" i="31"/>
  <c r="AN611" i="31"/>
  <c r="AO611" i="31"/>
  <c r="AP611" i="31"/>
  <c r="AN612" i="31"/>
  <c r="AO612" i="31"/>
  <c r="AP612" i="31"/>
  <c r="AN613" i="31"/>
  <c r="AO613" i="31"/>
  <c r="AP613" i="31"/>
  <c r="AN614" i="31"/>
  <c r="AO614" i="31"/>
  <c r="AP614" i="31"/>
  <c r="AN615" i="31"/>
  <c r="AO615" i="31"/>
  <c r="AP615" i="31"/>
  <c r="AN616" i="31"/>
  <c r="AO616" i="31"/>
  <c r="AP616" i="31"/>
  <c r="AN617" i="31"/>
  <c r="AO617" i="31"/>
  <c r="AP617" i="31"/>
  <c r="AN618" i="31"/>
  <c r="AO618" i="31"/>
  <c r="AP618" i="31"/>
  <c r="AN619" i="31"/>
  <c r="AO619" i="31"/>
  <c r="AP619" i="31"/>
  <c r="AN620" i="31"/>
  <c r="AO620" i="31"/>
  <c r="AP620" i="31"/>
  <c r="AN621" i="31"/>
  <c r="AO621" i="31"/>
  <c r="AP621" i="31"/>
  <c r="AN622" i="31"/>
  <c r="AO622" i="31"/>
  <c r="AP622" i="31"/>
  <c r="AN623" i="31"/>
  <c r="AO623" i="31"/>
  <c r="AP623" i="31"/>
  <c r="AN624" i="31"/>
  <c r="AO624" i="31"/>
  <c r="AP624" i="31"/>
  <c r="AN625" i="31"/>
  <c r="AO625" i="31"/>
  <c r="AP625" i="31"/>
  <c r="AN626" i="31"/>
  <c r="AO626" i="31"/>
  <c r="AP626" i="31"/>
  <c r="AN627" i="31"/>
  <c r="AO627" i="31"/>
  <c r="AP627" i="31"/>
  <c r="AN628" i="31"/>
  <c r="AO628" i="31"/>
  <c r="AP628" i="31"/>
  <c r="AN629" i="31"/>
  <c r="AO629" i="31"/>
  <c r="AP629" i="31"/>
  <c r="AN630" i="31"/>
  <c r="AO630" i="31"/>
  <c r="AP630" i="31"/>
  <c r="AN631" i="31"/>
  <c r="AO631" i="31"/>
  <c r="AP631" i="31"/>
  <c r="AN632" i="31"/>
  <c r="AO632" i="31"/>
  <c r="AP632" i="31"/>
  <c r="AN633" i="31"/>
  <c r="AO633" i="31"/>
  <c r="AP633" i="31"/>
  <c r="AN634" i="31"/>
  <c r="AO634" i="31"/>
  <c r="AP634" i="31"/>
  <c r="AN635" i="31"/>
  <c r="AO635" i="31"/>
  <c r="AP635" i="31"/>
  <c r="AN636" i="31"/>
  <c r="AO636" i="31"/>
  <c r="AP636" i="31"/>
  <c r="AN637" i="31"/>
  <c r="AO637" i="31"/>
  <c r="AP637" i="31"/>
  <c r="AN638" i="31"/>
  <c r="AO638" i="31"/>
  <c r="AP638" i="31"/>
  <c r="AN639" i="31"/>
  <c r="AO639" i="31"/>
  <c r="AP639" i="31"/>
  <c r="AN640" i="31"/>
  <c r="AO640" i="31"/>
  <c r="AP640" i="31"/>
  <c r="AN641" i="31"/>
  <c r="AO641" i="31"/>
  <c r="AP641" i="31"/>
  <c r="AN642" i="31"/>
  <c r="AO642" i="31"/>
  <c r="AP642" i="31"/>
  <c r="AN643" i="31"/>
  <c r="AO643" i="31"/>
  <c r="AP643" i="31"/>
  <c r="AN644" i="31"/>
  <c r="AO644" i="31"/>
  <c r="AP644" i="31"/>
  <c r="AN645" i="31"/>
  <c r="AO645" i="31"/>
  <c r="AP645" i="31"/>
  <c r="AN646" i="31"/>
  <c r="AO646" i="31"/>
  <c r="AP646" i="31"/>
  <c r="AN647" i="31"/>
  <c r="AO647" i="31"/>
  <c r="AP647" i="31"/>
  <c r="AN648" i="31"/>
  <c r="AO648" i="31"/>
  <c r="AP648" i="31"/>
  <c r="AN649" i="31"/>
  <c r="AO649" i="31"/>
  <c r="AP649" i="31"/>
  <c r="AN650" i="31"/>
  <c r="AO650" i="31"/>
  <c r="AP650" i="31"/>
  <c r="AN651" i="31"/>
  <c r="AO651" i="31"/>
  <c r="AP651" i="31"/>
  <c r="AN652" i="31"/>
  <c r="AO652" i="31"/>
  <c r="AP652" i="31"/>
  <c r="AN653" i="31"/>
  <c r="AO653" i="31"/>
  <c r="AP653" i="31"/>
  <c r="AN654" i="31"/>
  <c r="AO654" i="31"/>
  <c r="AP654" i="31"/>
  <c r="AN655" i="31"/>
  <c r="AO655" i="31"/>
  <c r="AP655" i="31"/>
  <c r="AN656" i="31"/>
  <c r="AO656" i="31"/>
  <c r="AP656" i="31"/>
  <c r="AN657" i="31"/>
  <c r="AO657" i="31"/>
  <c r="AP657" i="31"/>
  <c r="AN658" i="31"/>
  <c r="AO658" i="31"/>
  <c r="AP658" i="31"/>
  <c r="AN659" i="31"/>
  <c r="AO659" i="31"/>
  <c r="AP659" i="31"/>
  <c r="AN660" i="31"/>
  <c r="AO660" i="31"/>
  <c r="AP660" i="31"/>
  <c r="AN661" i="31"/>
  <c r="AO661" i="31"/>
  <c r="AP661" i="31"/>
  <c r="AP442" i="31"/>
  <c r="AO442" i="31"/>
  <c r="AN442" i="31"/>
  <c r="AN223" i="31"/>
  <c r="AO223" i="31"/>
  <c r="AP223" i="31"/>
  <c r="AN224" i="31"/>
  <c r="AO224" i="31"/>
  <c r="AP224" i="31"/>
  <c r="AN225" i="31"/>
  <c r="AO225" i="31"/>
  <c r="AP225" i="31"/>
  <c r="AN226" i="31"/>
  <c r="AO226" i="31"/>
  <c r="AP226" i="31"/>
  <c r="AN227" i="31"/>
  <c r="AO227" i="31"/>
  <c r="AP227" i="31"/>
  <c r="AN228" i="31"/>
  <c r="AO228" i="31"/>
  <c r="AP228" i="31"/>
  <c r="AN229" i="31"/>
  <c r="AO229" i="31"/>
  <c r="AP229" i="31"/>
  <c r="AN230" i="31"/>
  <c r="AO230" i="31"/>
  <c r="AP230" i="31"/>
  <c r="AN231" i="31"/>
  <c r="AO231" i="31"/>
  <c r="AP231" i="31"/>
  <c r="AN232" i="31"/>
  <c r="AO232" i="31"/>
  <c r="AP232" i="31"/>
  <c r="AN233" i="31"/>
  <c r="AO233" i="31"/>
  <c r="AP233" i="31"/>
  <c r="AN234" i="31"/>
  <c r="AO234" i="31"/>
  <c r="AP234" i="31"/>
  <c r="AN235" i="31"/>
  <c r="AO235" i="31"/>
  <c r="AP235" i="31"/>
  <c r="AN236" i="31"/>
  <c r="AO236" i="31"/>
  <c r="AP236" i="31"/>
  <c r="AN237" i="31"/>
  <c r="AO237" i="31"/>
  <c r="AP237" i="31"/>
  <c r="AN238" i="31"/>
  <c r="AO238" i="31"/>
  <c r="AP238" i="31"/>
  <c r="AN239" i="31"/>
  <c r="AO239" i="31"/>
  <c r="AP239" i="31"/>
  <c r="AN240" i="31"/>
  <c r="AO240" i="31"/>
  <c r="AP240" i="31"/>
  <c r="AN241" i="31"/>
  <c r="AO241" i="31"/>
  <c r="AP241" i="31"/>
  <c r="AN242" i="31"/>
  <c r="AO242" i="31"/>
  <c r="AP242" i="31"/>
  <c r="AN243" i="31"/>
  <c r="AO243" i="31"/>
  <c r="AP243" i="31"/>
  <c r="AN244" i="31"/>
  <c r="AO244" i="31"/>
  <c r="AP244" i="31"/>
  <c r="AN245" i="31"/>
  <c r="AO245" i="31"/>
  <c r="AP245" i="31"/>
  <c r="AN246" i="31"/>
  <c r="AO246" i="31"/>
  <c r="AP246" i="31"/>
  <c r="AN247" i="31"/>
  <c r="AO247" i="31"/>
  <c r="AP247" i="31"/>
  <c r="AN248" i="31"/>
  <c r="AO248" i="31"/>
  <c r="AP248" i="31"/>
  <c r="AN249" i="31"/>
  <c r="AO249" i="31"/>
  <c r="AP249" i="31"/>
  <c r="AN250" i="31"/>
  <c r="AO250" i="31"/>
  <c r="AP250" i="31"/>
  <c r="AN251" i="31"/>
  <c r="AO251" i="31"/>
  <c r="AP251" i="31"/>
  <c r="AN252" i="31"/>
  <c r="AO252" i="31"/>
  <c r="AP252" i="31"/>
  <c r="AN253" i="31"/>
  <c r="AO253" i="31"/>
  <c r="AP253" i="31"/>
  <c r="AN254" i="31"/>
  <c r="AO254" i="31"/>
  <c r="AP254" i="31"/>
  <c r="AN255" i="31"/>
  <c r="AO255" i="31"/>
  <c r="AP255" i="31"/>
  <c r="AN256" i="31"/>
  <c r="AO256" i="31"/>
  <c r="AP256" i="31"/>
  <c r="AN257" i="31"/>
  <c r="AO257" i="31"/>
  <c r="AP257" i="31"/>
  <c r="AN258" i="31"/>
  <c r="AO258" i="31"/>
  <c r="AP258" i="31"/>
  <c r="AN259" i="31"/>
  <c r="AO259" i="31"/>
  <c r="AP259" i="31"/>
  <c r="AN260" i="31"/>
  <c r="AO260" i="31"/>
  <c r="AP260" i="31"/>
  <c r="AN261" i="31"/>
  <c r="AO261" i="31"/>
  <c r="AP261" i="31"/>
  <c r="AN262" i="31"/>
  <c r="AO262" i="31"/>
  <c r="AP262" i="31"/>
  <c r="AN263" i="31"/>
  <c r="AO263" i="31"/>
  <c r="AP263" i="31"/>
  <c r="AN264" i="31"/>
  <c r="AO264" i="31"/>
  <c r="AP264" i="31"/>
  <c r="AN265" i="31"/>
  <c r="AO265" i="31"/>
  <c r="AP265" i="31"/>
  <c r="AN266" i="31"/>
  <c r="AO266" i="31"/>
  <c r="AP266" i="31"/>
  <c r="AN267" i="31"/>
  <c r="AO267" i="31"/>
  <c r="AP267" i="31"/>
  <c r="AN268" i="31"/>
  <c r="AO268" i="31"/>
  <c r="AP268" i="31"/>
  <c r="AN269" i="31"/>
  <c r="AO269" i="31"/>
  <c r="AP269" i="31"/>
  <c r="AN270" i="31"/>
  <c r="AO270" i="31"/>
  <c r="AP270" i="31"/>
  <c r="AN271" i="31"/>
  <c r="AO271" i="31"/>
  <c r="AP271" i="31"/>
  <c r="AN272" i="31"/>
  <c r="AO272" i="31"/>
  <c r="AP272" i="31"/>
  <c r="AN273" i="31"/>
  <c r="AO273" i="31"/>
  <c r="AP273" i="31"/>
  <c r="AN274" i="31"/>
  <c r="AO274" i="31"/>
  <c r="AP274" i="31"/>
  <c r="AN275" i="31"/>
  <c r="AO275" i="31"/>
  <c r="AP275" i="31"/>
  <c r="AN276" i="31"/>
  <c r="AO276" i="31"/>
  <c r="AP276" i="31"/>
  <c r="AN277" i="31"/>
  <c r="AO277" i="31"/>
  <c r="AP277" i="31"/>
  <c r="AN278" i="31"/>
  <c r="AO278" i="31"/>
  <c r="AP278" i="31"/>
  <c r="AN279" i="31"/>
  <c r="AO279" i="31"/>
  <c r="AP279" i="31"/>
  <c r="AN280" i="31"/>
  <c r="AO280" i="31"/>
  <c r="AP280" i="31"/>
  <c r="AN281" i="31"/>
  <c r="AO281" i="31"/>
  <c r="AP281" i="31"/>
  <c r="AN282" i="31"/>
  <c r="AO282" i="31"/>
  <c r="AP282" i="31"/>
  <c r="AN283" i="31"/>
  <c r="AO283" i="31"/>
  <c r="AP283" i="31"/>
  <c r="AN284" i="31"/>
  <c r="AO284" i="31"/>
  <c r="AP284" i="31"/>
  <c r="AN285" i="31"/>
  <c r="AO285" i="31"/>
  <c r="AP285" i="31"/>
  <c r="AN286" i="31"/>
  <c r="AO286" i="31"/>
  <c r="AP286" i="31"/>
  <c r="AN287" i="31"/>
  <c r="AO287" i="31"/>
  <c r="AP287" i="31"/>
  <c r="AN288" i="31"/>
  <c r="AO288" i="31"/>
  <c r="AP288" i="31"/>
  <c r="AN289" i="31"/>
  <c r="AO289" i="31"/>
  <c r="AP289" i="31"/>
  <c r="AN290" i="31"/>
  <c r="AO290" i="31"/>
  <c r="AP290" i="31"/>
  <c r="AN291" i="31"/>
  <c r="AO291" i="31"/>
  <c r="AP291" i="31"/>
  <c r="AN292" i="31"/>
  <c r="AO292" i="31"/>
  <c r="AP292" i="31"/>
  <c r="AN293" i="31"/>
  <c r="AO293" i="31"/>
  <c r="AP293" i="31"/>
  <c r="AN294" i="31"/>
  <c r="AO294" i="31"/>
  <c r="AP294" i="31"/>
  <c r="AN295" i="31"/>
  <c r="AO295" i="31"/>
  <c r="AP295" i="31"/>
  <c r="AN296" i="31"/>
  <c r="AO296" i="31"/>
  <c r="AP296" i="31"/>
  <c r="AN297" i="31"/>
  <c r="AO297" i="31"/>
  <c r="AP297" i="31"/>
  <c r="AN298" i="31"/>
  <c r="AO298" i="31"/>
  <c r="AP298" i="31"/>
  <c r="AN299" i="31"/>
  <c r="AO299" i="31"/>
  <c r="AP299" i="31"/>
  <c r="AN300" i="31"/>
  <c r="AO300" i="31"/>
  <c r="AP300" i="31"/>
  <c r="AN301" i="31"/>
  <c r="AO301" i="31"/>
  <c r="AP301" i="31"/>
  <c r="AN302" i="31"/>
  <c r="AO302" i="31"/>
  <c r="AP302" i="31"/>
  <c r="AN303" i="31"/>
  <c r="AO303" i="31"/>
  <c r="AP303" i="31"/>
  <c r="AN304" i="31"/>
  <c r="AO304" i="31"/>
  <c r="AP304" i="31"/>
  <c r="AN305" i="31"/>
  <c r="AO305" i="31"/>
  <c r="AP305" i="31"/>
  <c r="AN306" i="31"/>
  <c r="AO306" i="31"/>
  <c r="AP306" i="31"/>
  <c r="AN307" i="31"/>
  <c r="AO307" i="31"/>
  <c r="AP307" i="31"/>
  <c r="AN308" i="31"/>
  <c r="AO308" i="31"/>
  <c r="AP308" i="31"/>
  <c r="AN309" i="31"/>
  <c r="AO309" i="31"/>
  <c r="AP309" i="31"/>
  <c r="AN310" i="31"/>
  <c r="AO310" i="31"/>
  <c r="AP310" i="31"/>
  <c r="AN311" i="31"/>
  <c r="AO311" i="31"/>
  <c r="AP311" i="31"/>
  <c r="AN312" i="31"/>
  <c r="AO312" i="31"/>
  <c r="AP312" i="31"/>
  <c r="AN313" i="31"/>
  <c r="AO313" i="31"/>
  <c r="AP313" i="31"/>
  <c r="AN314" i="31"/>
  <c r="AO314" i="31"/>
  <c r="AP314" i="31"/>
  <c r="AN315" i="31"/>
  <c r="AO315" i="31"/>
  <c r="AP315" i="31"/>
  <c r="AN316" i="31"/>
  <c r="AO316" i="31"/>
  <c r="AP316" i="31"/>
  <c r="AN317" i="31"/>
  <c r="AO317" i="31"/>
  <c r="AP317" i="31"/>
  <c r="AN318" i="31"/>
  <c r="AO318" i="31"/>
  <c r="AP318" i="31"/>
  <c r="AN319" i="31"/>
  <c r="AO319" i="31"/>
  <c r="AP319" i="31"/>
  <c r="AN320" i="31"/>
  <c r="AO320" i="31"/>
  <c r="AP320" i="31"/>
  <c r="AN321" i="31"/>
  <c r="AO321" i="31"/>
  <c r="AP321" i="31"/>
  <c r="AN322" i="31"/>
  <c r="AO322" i="31"/>
  <c r="AP322" i="31"/>
  <c r="AN323" i="31"/>
  <c r="AO323" i="31"/>
  <c r="AP323" i="31"/>
  <c r="AN324" i="31"/>
  <c r="AO324" i="31"/>
  <c r="AP324" i="31"/>
  <c r="AN325" i="31"/>
  <c r="AO325" i="31"/>
  <c r="AP325" i="31"/>
  <c r="AN326" i="31"/>
  <c r="AO326" i="31"/>
  <c r="AP326" i="31"/>
  <c r="AN327" i="31"/>
  <c r="AO327" i="31"/>
  <c r="AP327" i="31"/>
  <c r="AN328" i="31"/>
  <c r="AO328" i="31"/>
  <c r="AP328" i="31"/>
  <c r="AN329" i="31"/>
  <c r="AO329" i="31"/>
  <c r="AP329" i="31"/>
  <c r="AN330" i="31"/>
  <c r="AO330" i="31"/>
  <c r="AP330" i="31"/>
  <c r="AN331" i="31"/>
  <c r="AO331" i="31"/>
  <c r="AP331" i="31"/>
  <c r="AN332" i="31"/>
  <c r="AO332" i="31"/>
  <c r="AP332" i="31"/>
  <c r="AN333" i="31"/>
  <c r="AO333" i="31"/>
  <c r="AP333" i="31"/>
  <c r="AN334" i="31"/>
  <c r="AO334" i="31"/>
  <c r="AP334" i="31"/>
  <c r="AN335" i="31"/>
  <c r="AO335" i="31"/>
  <c r="AP335" i="31"/>
  <c r="AN336" i="31"/>
  <c r="AO336" i="31"/>
  <c r="AP336" i="31"/>
  <c r="AN337" i="31"/>
  <c r="AO337" i="31"/>
  <c r="AP337" i="31"/>
  <c r="AN338" i="31"/>
  <c r="AO338" i="31"/>
  <c r="AP338" i="31"/>
  <c r="AN339" i="31"/>
  <c r="AO339" i="31"/>
  <c r="AP339" i="31"/>
  <c r="AN340" i="31"/>
  <c r="AO340" i="31"/>
  <c r="AP340" i="31"/>
  <c r="AN341" i="31"/>
  <c r="AO341" i="31"/>
  <c r="AP341" i="31"/>
  <c r="AN342" i="31"/>
  <c r="AO342" i="31"/>
  <c r="AP342" i="31"/>
  <c r="AN343" i="31"/>
  <c r="AO343" i="31"/>
  <c r="AP343" i="31"/>
  <c r="AN344" i="31"/>
  <c r="AO344" i="31"/>
  <c r="AP344" i="31"/>
  <c r="AN345" i="31"/>
  <c r="AO345" i="31"/>
  <c r="AP345" i="31"/>
  <c r="AN346" i="31"/>
  <c r="AO346" i="31"/>
  <c r="AP346" i="31"/>
  <c r="AN347" i="31"/>
  <c r="AO347" i="31"/>
  <c r="AP347" i="31"/>
  <c r="AN348" i="31"/>
  <c r="AO348" i="31"/>
  <c r="AP348" i="31"/>
  <c r="AN349" i="31"/>
  <c r="AO349" i="31"/>
  <c r="AP349" i="31"/>
  <c r="AN350" i="31"/>
  <c r="AO350" i="31"/>
  <c r="AP350" i="31"/>
  <c r="AN351" i="31"/>
  <c r="AO351" i="31"/>
  <c r="AP351" i="31"/>
  <c r="AN352" i="31"/>
  <c r="AO352" i="31"/>
  <c r="AP352" i="31"/>
  <c r="AN353" i="31"/>
  <c r="AO353" i="31"/>
  <c r="AP353" i="31"/>
  <c r="AN354" i="31"/>
  <c r="AO354" i="31"/>
  <c r="AP354" i="31"/>
  <c r="AN355" i="31"/>
  <c r="AO355" i="31"/>
  <c r="AP355" i="31"/>
  <c r="AN356" i="31"/>
  <c r="AO356" i="31"/>
  <c r="AP356" i="31"/>
  <c r="AN357" i="31"/>
  <c r="AO357" i="31"/>
  <c r="AP357" i="31"/>
  <c r="AN358" i="31"/>
  <c r="AO358" i="31"/>
  <c r="AP358" i="31"/>
  <c r="AN359" i="31"/>
  <c r="AO359" i="31"/>
  <c r="AP359" i="31"/>
  <c r="AN360" i="31"/>
  <c r="AO360" i="31"/>
  <c r="AP360" i="31"/>
  <c r="AN361" i="31"/>
  <c r="AO361" i="31"/>
  <c r="AP361" i="31"/>
  <c r="AN362" i="31"/>
  <c r="AO362" i="31"/>
  <c r="AP362" i="31"/>
  <c r="AN363" i="31"/>
  <c r="AO363" i="31"/>
  <c r="AP363" i="31"/>
  <c r="AN364" i="31"/>
  <c r="AO364" i="31"/>
  <c r="AP364" i="31"/>
  <c r="AN365" i="31"/>
  <c r="AO365" i="31"/>
  <c r="AP365" i="31"/>
  <c r="AN366" i="31"/>
  <c r="AO366" i="31"/>
  <c r="AP366" i="31"/>
  <c r="AN367" i="31"/>
  <c r="AO367" i="31"/>
  <c r="AP367" i="31"/>
  <c r="AN368" i="31"/>
  <c r="AO368" i="31"/>
  <c r="AP368" i="31"/>
  <c r="AN369" i="31"/>
  <c r="AO369" i="31"/>
  <c r="AP369" i="31"/>
  <c r="AN370" i="31"/>
  <c r="AO370" i="31"/>
  <c r="AP370" i="31"/>
  <c r="AN371" i="31"/>
  <c r="AO371" i="31"/>
  <c r="AP371" i="31"/>
  <c r="AN372" i="31"/>
  <c r="AO372" i="31"/>
  <c r="AP372" i="31"/>
  <c r="AN373" i="31"/>
  <c r="AO373" i="31"/>
  <c r="AP373" i="31"/>
  <c r="AN374" i="31"/>
  <c r="AO374" i="31"/>
  <c r="AP374" i="31"/>
  <c r="AN375" i="31"/>
  <c r="AO375" i="31"/>
  <c r="AP375" i="31"/>
  <c r="AN376" i="31"/>
  <c r="AO376" i="31"/>
  <c r="AP376" i="31"/>
  <c r="AN377" i="31"/>
  <c r="AO377" i="31"/>
  <c r="AP377" i="31"/>
  <c r="AN378" i="31"/>
  <c r="AO378" i="31"/>
  <c r="AP378" i="31"/>
  <c r="AN379" i="31"/>
  <c r="AO379" i="31"/>
  <c r="AP379" i="31"/>
  <c r="AN380" i="31"/>
  <c r="AO380" i="31"/>
  <c r="AP380" i="31"/>
  <c r="AN381" i="31"/>
  <c r="AO381" i="31"/>
  <c r="AP381" i="31"/>
  <c r="AN382" i="31"/>
  <c r="AO382" i="31"/>
  <c r="AP382" i="31"/>
  <c r="AN383" i="31"/>
  <c r="AO383" i="31"/>
  <c r="AP383" i="31"/>
  <c r="AN384" i="31"/>
  <c r="AO384" i="31"/>
  <c r="AP384" i="31"/>
  <c r="AN385" i="31"/>
  <c r="AO385" i="31"/>
  <c r="AP385" i="31"/>
  <c r="AN386" i="31"/>
  <c r="AO386" i="31"/>
  <c r="AP386" i="31"/>
  <c r="AN387" i="31"/>
  <c r="AO387" i="31"/>
  <c r="AP387" i="31"/>
  <c r="AN388" i="31"/>
  <c r="AO388" i="31"/>
  <c r="AP388" i="31"/>
  <c r="AN389" i="31"/>
  <c r="AO389" i="31"/>
  <c r="AP389" i="31"/>
  <c r="AN390" i="31"/>
  <c r="AO390" i="31"/>
  <c r="AP390" i="31"/>
  <c r="AN391" i="31"/>
  <c r="AO391" i="31"/>
  <c r="AP391" i="31"/>
  <c r="AN392" i="31"/>
  <c r="AO392" i="31"/>
  <c r="AP392" i="31"/>
  <c r="AN393" i="31"/>
  <c r="AO393" i="31"/>
  <c r="AP393" i="31"/>
  <c r="AN394" i="31"/>
  <c r="AO394" i="31"/>
  <c r="AP394" i="31"/>
  <c r="AN395" i="31"/>
  <c r="AO395" i="31"/>
  <c r="AP395" i="31"/>
  <c r="AN396" i="31"/>
  <c r="AO396" i="31"/>
  <c r="AP396" i="31"/>
  <c r="AN397" i="31"/>
  <c r="AO397" i="31"/>
  <c r="AP397" i="31"/>
  <c r="AN398" i="31"/>
  <c r="AO398" i="31"/>
  <c r="AP398" i="31"/>
  <c r="AN399" i="31"/>
  <c r="AO399" i="31"/>
  <c r="AP399" i="31"/>
  <c r="AN400" i="31"/>
  <c r="AO400" i="31"/>
  <c r="AP400" i="31"/>
  <c r="AN401" i="31"/>
  <c r="AO401" i="31"/>
  <c r="AP401" i="31"/>
  <c r="AN402" i="31"/>
  <c r="AO402" i="31"/>
  <c r="AP402" i="31"/>
  <c r="AN403" i="31"/>
  <c r="AO403" i="31"/>
  <c r="AP403" i="31"/>
  <c r="AN404" i="31"/>
  <c r="AO404" i="31"/>
  <c r="AP404" i="31"/>
  <c r="AN405" i="31"/>
  <c r="AO405" i="31"/>
  <c r="AP405" i="31"/>
  <c r="AN406" i="31"/>
  <c r="AO406" i="31"/>
  <c r="AP406" i="31"/>
  <c r="AN407" i="31"/>
  <c r="AO407" i="31"/>
  <c r="AP407" i="31"/>
  <c r="AN408" i="31"/>
  <c r="AO408" i="31"/>
  <c r="AP408" i="31"/>
  <c r="AN409" i="31"/>
  <c r="AO409" i="31"/>
  <c r="AP409" i="31"/>
  <c r="AN410" i="31"/>
  <c r="AO410" i="31"/>
  <c r="AP410" i="31"/>
  <c r="AN411" i="31"/>
  <c r="AO411" i="31"/>
  <c r="AP411" i="31"/>
  <c r="AN412" i="31"/>
  <c r="AO412" i="31"/>
  <c r="AP412" i="31"/>
  <c r="AN413" i="31"/>
  <c r="AO413" i="31"/>
  <c r="AP413" i="31"/>
  <c r="AN414" i="31"/>
  <c r="AO414" i="31"/>
  <c r="AP414" i="31"/>
  <c r="AN415" i="31"/>
  <c r="AO415" i="31"/>
  <c r="AP415" i="31"/>
  <c r="AN416" i="31"/>
  <c r="AO416" i="31"/>
  <c r="AP416" i="31"/>
  <c r="AN417" i="31"/>
  <c r="AO417" i="31"/>
  <c r="AP417" i="31"/>
  <c r="AN418" i="31"/>
  <c r="AO418" i="31"/>
  <c r="AP418" i="31"/>
  <c r="AN419" i="31"/>
  <c r="AO419" i="31"/>
  <c r="AP419" i="31"/>
  <c r="AN420" i="31"/>
  <c r="AO420" i="31"/>
  <c r="AP420" i="31"/>
  <c r="AN421" i="31"/>
  <c r="AO421" i="31"/>
  <c r="AP421" i="31"/>
  <c r="AN422" i="31"/>
  <c r="AO422" i="31"/>
  <c r="AP422" i="31"/>
  <c r="AN423" i="31"/>
  <c r="AO423" i="31"/>
  <c r="AP423" i="31"/>
  <c r="AN424" i="31"/>
  <c r="AO424" i="31"/>
  <c r="AP424" i="31"/>
  <c r="AN425" i="31"/>
  <c r="AO425" i="31"/>
  <c r="AP425" i="31"/>
  <c r="AN426" i="31"/>
  <c r="AO426" i="31"/>
  <c r="AP426" i="31"/>
  <c r="AN427" i="31"/>
  <c r="AO427" i="31"/>
  <c r="AP427" i="31"/>
  <c r="AN428" i="31"/>
  <c r="AO428" i="31"/>
  <c r="AP428" i="31"/>
  <c r="AN429" i="31"/>
  <c r="AO429" i="31"/>
  <c r="AP429" i="31"/>
  <c r="AN430" i="31"/>
  <c r="AO430" i="31"/>
  <c r="AP430" i="31"/>
  <c r="AN431" i="31"/>
  <c r="AO431" i="31"/>
  <c r="AP431" i="31"/>
  <c r="AN432" i="31"/>
  <c r="AO432" i="31"/>
  <c r="AP432" i="31"/>
  <c r="AN433" i="31"/>
  <c r="AO433" i="31"/>
  <c r="AP433" i="31"/>
  <c r="AN434" i="31"/>
  <c r="AO434" i="31"/>
  <c r="AP434" i="31"/>
  <c r="AN435" i="31"/>
  <c r="AO435" i="31"/>
  <c r="AP435" i="31"/>
  <c r="AN436" i="31"/>
  <c r="AO436" i="31"/>
  <c r="AP436" i="31"/>
  <c r="AN437" i="31"/>
  <c r="AO437" i="31"/>
  <c r="AP437" i="31"/>
  <c r="AN438" i="31"/>
  <c r="AO438" i="31"/>
  <c r="AP438" i="31"/>
  <c r="AN439" i="31"/>
  <c r="AO439" i="31"/>
  <c r="AP439" i="31"/>
  <c r="AN440" i="31"/>
  <c r="AO440" i="31"/>
  <c r="AP440" i="31"/>
  <c r="AN441" i="31"/>
  <c r="AO441" i="31"/>
  <c r="AP441" i="31"/>
  <c r="AP222" i="31"/>
  <c r="AO222" i="31"/>
  <c r="AN222" i="31"/>
  <c r="AN3" i="31"/>
  <c r="AO3" i="31"/>
  <c r="AP3" i="31"/>
  <c r="AN4" i="31"/>
  <c r="AO4" i="31"/>
  <c r="AP4" i="31"/>
  <c r="AN5" i="31"/>
  <c r="AO5" i="31"/>
  <c r="AP5" i="31"/>
  <c r="AN6" i="31"/>
  <c r="AO6" i="31"/>
  <c r="AP6" i="31"/>
  <c r="AN7" i="31"/>
  <c r="AO7" i="31"/>
  <c r="AP7" i="31"/>
  <c r="AN8" i="31"/>
  <c r="AO8" i="31"/>
  <c r="AP8" i="31"/>
  <c r="AN9" i="31"/>
  <c r="AO9" i="31"/>
  <c r="AP9" i="31"/>
  <c r="AN10" i="31"/>
  <c r="AO10" i="31"/>
  <c r="AP10" i="31"/>
  <c r="AN11" i="31"/>
  <c r="AO11" i="31"/>
  <c r="AP11" i="31"/>
  <c r="AN12" i="31"/>
  <c r="AO12" i="31"/>
  <c r="AP12" i="31"/>
  <c r="AN13" i="31"/>
  <c r="AO13" i="31"/>
  <c r="AP13" i="31"/>
  <c r="AN14" i="31"/>
  <c r="AO14" i="31"/>
  <c r="AP14" i="31"/>
  <c r="AN15" i="31"/>
  <c r="AO15" i="31"/>
  <c r="AP15" i="31"/>
  <c r="AN16" i="31"/>
  <c r="AO16" i="31"/>
  <c r="AP16" i="31"/>
  <c r="AN17" i="31"/>
  <c r="AO17" i="31"/>
  <c r="AP17" i="31"/>
  <c r="AN18" i="31"/>
  <c r="AO18" i="31"/>
  <c r="AP18" i="31"/>
  <c r="AN19" i="31"/>
  <c r="AO19" i="31"/>
  <c r="AP19" i="31"/>
  <c r="AN20" i="31"/>
  <c r="AO20" i="31"/>
  <c r="AP20" i="31"/>
  <c r="AN21" i="31"/>
  <c r="AO21" i="31"/>
  <c r="AP21" i="31"/>
  <c r="AN22" i="31"/>
  <c r="AO22" i="31"/>
  <c r="AP22" i="31"/>
  <c r="AN23" i="31"/>
  <c r="AO23" i="31"/>
  <c r="AP23" i="31"/>
  <c r="AN24" i="31"/>
  <c r="AO24" i="31"/>
  <c r="AP24" i="31"/>
  <c r="AN25" i="31"/>
  <c r="AO25" i="31"/>
  <c r="AP25" i="31"/>
  <c r="AN26" i="31"/>
  <c r="AO26" i="31"/>
  <c r="AP26" i="31"/>
  <c r="AN27" i="31"/>
  <c r="AO27" i="31"/>
  <c r="AP27" i="31"/>
  <c r="AN28" i="31"/>
  <c r="AO28" i="31"/>
  <c r="AP28" i="31"/>
  <c r="AN29" i="31"/>
  <c r="AO29" i="31"/>
  <c r="AP29" i="31"/>
  <c r="AN30" i="31"/>
  <c r="AO30" i="31"/>
  <c r="AP30" i="31"/>
  <c r="AN31" i="31"/>
  <c r="AO31" i="31"/>
  <c r="AP31" i="31"/>
  <c r="AN32" i="31"/>
  <c r="AO32" i="31"/>
  <c r="AP32" i="31"/>
  <c r="AN33" i="31"/>
  <c r="AO33" i="31"/>
  <c r="AP33" i="31"/>
  <c r="AN34" i="31"/>
  <c r="AO34" i="31"/>
  <c r="AP34" i="31"/>
  <c r="AN35" i="31"/>
  <c r="AO35" i="31"/>
  <c r="AP35" i="31"/>
  <c r="AN36" i="31"/>
  <c r="AO36" i="31"/>
  <c r="AP36" i="31"/>
  <c r="AN37" i="31"/>
  <c r="AO37" i="31"/>
  <c r="AP37" i="31"/>
  <c r="AN38" i="31"/>
  <c r="AO38" i="31"/>
  <c r="AP38" i="31"/>
  <c r="AN39" i="31"/>
  <c r="AO39" i="31"/>
  <c r="AP39" i="31"/>
  <c r="AN40" i="31"/>
  <c r="AO40" i="31"/>
  <c r="AP40" i="31"/>
  <c r="AN41" i="31"/>
  <c r="AO41" i="31"/>
  <c r="AP41" i="31"/>
  <c r="AN42" i="31"/>
  <c r="AO42" i="31"/>
  <c r="AP42" i="31"/>
  <c r="AN43" i="31"/>
  <c r="AO43" i="31"/>
  <c r="AP43" i="31"/>
  <c r="AN44" i="31"/>
  <c r="AO44" i="31"/>
  <c r="AP44" i="31"/>
  <c r="AN45" i="31"/>
  <c r="AO45" i="31"/>
  <c r="AP45" i="31"/>
  <c r="AN46" i="31"/>
  <c r="AO46" i="31"/>
  <c r="AP46" i="31"/>
  <c r="AN47" i="31"/>
  <c r="AO47" i="31"/>
  <c r="AP47" i="31"/>
  <c r="AN48" i="31"/>
  <c r="AO48" i="31"/>
  <c r="AP48" i="31"/>
  <c r="AN49" i="31"/>
  <c r="AO49" i="31"/>
  <c r="AP49" i="31"/>
  <c r="AN50" i="31"/>
  <c r="AO50" i="31"/>
  <c r="AP50" i="31"/>
  <c r="AN51" i="31"/>
  <c r="AO51" i="31"/>
  <c r="AP51" i="31"/>
  <c r="AN52" i="31"/>
  <c r="AO52" i="31"/>
  <c r="AP52" i="31"/>
  <c r="AN53" i="31"/>
  <c r="AO53" i="31"/>
  <c r="AP53" i="31"/>
  <c r="AN54" i="31"/>
  <c r="AO54" i="31"/>
  <c r="AP54" i="31"/>
  <c r="AN55" i="31"/>
  <c r="AO55" i="31"/>
  <c r="AP55" i="31"/>
  <c r="AN56" i="31"/>
  <c r="AO56" i="31"/>
  <c r="AP56" i="31"/>
  <c r="AN57" i="31"/>
  <c r="AO57" i="31"/>
  <c r="AP57" i="31"/>
  <c r="AN58" i="31"/>
  <c r="AO58" i="31"/>
  <c r="AP58" i="31"/>
  <c r="AN59" i="31"/>
  <c r="AO59" i="31"/>
  <c r="AP59" i="31"/>
  <c r="AN60" i="31"/>
  <c r="AO60" i="31"/>
  <c r="AP60" i="31"/>
  <c r="AN61" i="31"/>
  <c r="AO61" i="31"/>
  <c r="AP61" i="31"/>
  <c r="AN62" i="31"/>
  <c r="AO62" i="31"/>
  <c r="AP62" i="31"/>
  <c r="AN63" i="31"/>
  <c r="AO63" i="31"/>
  <c r="AP63" i="31"/>
  <c r="AN64" i="31"/>
  <c r="AO64" i="31"/>
  <c r="AP64" i="31"/>
  <c r="AN65" i="31"/>
  <c r="AO65" i="31"/>
  <c r="AP65" i="31"/>
  <c r="AN66" i="31"/>
  <c r="AO66" i="31"/>
  <c r="AP66" i="31"/>
  <c r="AN67" i="31"/>
  <c r="AO67" i="31"/>
  <c r="AP67" i="31"/>
  <c r="AN68" i="31"/>
  <c r="AO68" i="31"/>
  <c r="AP68" i="31"/>
  <c r="AN69" i="31"/>
  <c r="AO69" i="31"/>
  <c r="AP69" i="31"/>
  <c r="AN70" i="31"/>
  <c r="AO70" i="31"/>
  <c r="AP70" i="31"/>
  <c r="AN71" i="31"/>
  <c r="AO71" i="31"/>
  <c r="AP71" i="31"/>
  <c r="AN72" i="31"/>
  <c r="AO72" i="31"/>
  <c r="AP72" i="31"/>
  <c r="AN73" i="31"/>
  <c r="AO73" i="31"/>
  <c r="AP73" i="31"/>
  <c r="AN74" i="31"/>
  <c r="AO74" i="31"/>
  <c r="AP74" i="31"/>
  <c r="AN75" i="31"/>
  <c r="AO75" i="31"/>
  <c r="AP75" i="31"/>
  <c r="AN76" i="31"/>
  <c r="AO76" i="31"/>
  <c r="AP76" i="31"/>
  <c r="AN77" i="31"/>
  <c r="AO77" i="31"/>
  <c r="AP77" i="31"/>
  <c r="AN78" i="31"/>
  <c r="AO78" i="31"/>
  <c r="AP78" i="31"/>
  <c r="AN79" i="31"/>
  <c r="AO79" i="31"/>
  <c r="AP79" i="31"/>
  <c r="AN80" i="31"/>
  <c r="AO80" i="31"/>
  <c r="AP80" i="31"/>
  <c r="AN81" i="31"/>
  <c r="AO81" i="31"/>
  <c r="AP81" i="31"/>
  <c r="AN82" i="31"/>
  <c r="AO82" i="31"/>
  <c r="AP82" i="31"/>
  <c r="AN83" i="31"/>
  <c r="AO83" i="31"/>
  <c r="AP83" i="31"/>
  <c r="AN84" i="31"/>
  <c r="AO84" i="31"/>
  <c r="AP84" i="31"/>
  <c r="AN85" i="31"/>
  <c r="AO85" i="31"/>
  <c r="AP85" i="31"/>
  <c r="AN86" i="31"/>
  <c r="AO86" i="31"/>
  <c r="AP86" i="31"/>
  <c r="AN87" i="31"/>
  <c r="AO87" i="31"/>
  <c r="AP87" i="31"/>
  <c r="AN88" i="31"/>
  <c r="AO88" i="31"/>
  <c r="AP88" i="31"/>
  <c r="AN89" i="31"/>
  <c r="AO89" i="31"/>
  <c r="AP89" i="31"/>
  <c r="AN90" i="31"/>
  <c r="AO90" i="31"/>
  <c r="AP90" i="31"/>
  <c r="AN91" i="31"/>
  <c r="AO91" i="31"/>
  <c r="AP91" i="31"/>
  <c r="AN92" i="31"/>
  <c r="AO92" i="31"/>
  <c r="AP92" i="31"/>
  <c r="AN93" i="31"/>
  <c r="AO93" i="31"/>
  <c r="AP93" i="31"/>
  <c r="AN94" i="31"/>
  <c r="AO94" i="31"/>
  <c r="AP94" i="31"/>
  <c r="AN95" i="31"/>
  <c r="AO95" i="31"/>
  <c r="AP95" i="31"/>
  <c r="AN96" i="31"/>
  <c r="AO96" i="31"/>
  <c r="AP96" i="31"/>
  <c r="AN97" i="31"/>
  <c r="AO97" i="31"/>
  <c r="AP97" i="31"/>
  <c r="AN98" i="31"/>
  <c r="AO98" i="31"/>
  <c r="AP98" i="31"/>
  <c r="AN99" i="31"/>
  <c r="AO99" i="31"/>
  <c r="AP99" i="31"/>
  <c r="AN100" i="31"/>
  <c r="AO100" i="31"/>
  <c r="AP100" i="31"/>
  <c r="AN101" i="31"/>
  <c r="AO101" i="31"/>
  <c r="AP101" i="31"/>
  <c r="AN102" i="31"/>
  <c r="AO102" i="31"/>
  <c r="AP102" i="31"/>
  <c r="AN103" i="31"/>
  <c r="AO103" i="31"/>
  <c r="AP103" i="31"/>
  <c r="AN104" i="31"/>
  <c r="AO104" i="31"/>
  <c r="AP104" i="31"/>
  <c r="AN105" i="31"/>
  <c r="AO105" i="31"/>
  <c r="AP105" i="31"/>
  <c r="AN106" i="31"/>
  <c r="AO106" i="31"/>
  <c r="AP106" i="31"/>
  <c r="AN107" i="31"/>
  <c r="AO107" i="31"/>
  <c r="AP107" i="31"/>
  <c r="AN108" i="31"/>
  <c r="AO108" i="31"/>
  <c r="AP108" i="31"/>
  <c r="AN109" i="31"/>
  <c r="AO109" i="31"/>
  <c r="AP109" i="31"/>
  <c r="AN110" i="31"/>
  <c r="AO110" i="31"/>
  <c r="AP110" i="31"/>
  <c r="AN111" i="31"/>
  <c r="AO111" i="31"/>
  <c r="AP111" i="31"/>
  <c r="AN112" i="31"/>
  <c r="AO112" i="31"/>
  <c r="AP112" i="31"/>
  <c r="AN113" i="31"/>
  <c r="AO113" i="31"/>
  <c r="AP113" i="31"/>
  <c r="AN114" i="31"/>
  <c r="AO114" i="31"/>
  <c r="AP114" i="31"/>
  <c r="AN115" i="31"/>
  <c r="AO115" i="31"/>
  <c r="AP115" i="31"/>
  <c r="AN116" i="31"/>
  <c r="AO116" i="31"/>
  <c r="AP116" i="31"/>
  <c r="AN117" i="31"/>
  <c r="AO117" i="31"/>
  <c r="AP117" i="31"/>
  <c r="AN118" i="31"/>
  <c r="AO118" i="31"/>
  <c r="AP118" i="31"/>
  <c r="AN119" i="31"/>
  <c r="AO119" i="31"/>
  <c r="AP119" i="31"/>
  <c r="AN120" i="31"/>
  <c r="AO120" i="31"/>
  <c r="AP120" i="31"/>
  <c r="AN121" i="31"/>
  <c r="AO121" i="31"/>
  <c r="AP121" i="31"/>
  <c r="AN122" i="31"/>
  <c r="AO122" i="31"/>
  <c r="AP122" i="31"/>
  <c r="AN123" i="31"/>
  <c r="AO123" i="31"/>
  <c r="AP123" i="31"/>
  <c r="AN124" i="31"/>
  <c r="AO124" i="31"/>
  <c r="AP124" i="31"/>
  <c r="AN125" i="31"/>
  <c r="AO125" i="31"/>
  <c r="AP125" i="31"/>
  <c r="AN126" i="31"/>
  <c r="AO126" i="31"/>
  <c r="AP126" i="31"/>
  <c r="AN127" i="31"/>
  <c r="AO127" i="31"/>
  <c r="AP127" i="31"/>
  <c r="AN128" i="31"/>
  <c r="AO128" i="31"/>
  <c r="AP128" i="31"/>
  <c r="AN129" i="31"/>
  <c r="AO129" i="31"/>
  <c r="AP129" i="31"/>
  <c r="AN130" i="31"/>
  <c r="AO130" i="31"/>
  <c r="AP130" i="31"/>
  <c r="AN131" i="31"/>
  <c r="AO131" i="31"/>
  <c r="AP131" i="31"/>
  <c r="AN132" i="31"/>
  <c r="AO132" i="31"/>
  <c r="AP132" i="31"/>
  <c r="AN133" i="31"/>
  <c r="AO133" i="31"/>
  <c r="AP133" i="31"/>
  <c r="AN134" i="31"/>
  <c r="AO134" i="31"/>
  <c r="AP134" i="31"/>
  <c r="AN135" i="31"/>
  <c r="AO135" i="31"/>
  <c r="AP135" i="31"/>
  <c r="AN136" i="31"/>
  <c r="AO136" i="31"/>
  <c r="AP136" i="31"/>
  <c r="AN137" i="31"/>
  <c r="AO137" i="31"/>
  <c r="AP137" i="31"/>
  <c r="AN138" i="31"/>
  <c r="AO138" i="31"/>
  <c r="AP138" i="31"/>
  <c r="AN139" i="31"/>
  <c r="AO139" i="31"/>
  <c r="AP139" i="31"/>
  <c r="AN140" i="31"/>
  <c r="AO140" i="31"/>
  <c r="AP140" i="31"/>
  <c r="AN141" i="31"/>
  <c r="AO141" i="31"/>
  <c r="AP141" i="31"/>
  <c r="AN142" i="31"/>
  <c r="AO142" i="31"/>
  <c r="AP142" i="31"/>
  <c r="AN143" i="31"/>
  <c r="AO143" i="31"/>
  <c r="AP143" i="31"/>
  <c r="AN144" i="31"/>
  <c r="AO144" i="31"/>
  <c r="AP144" i="31"/>
  <c r="AN145" i="31"/>
  <c r="AO145" i="31"/>
  <c r="AP145" i="31"/>
  <c r="AN146" i="31"/>
  <c r="AO146" i="31"/>
  <c r="AP146" i="31"/>
  <c r="AN147" i="31"/>
  <c r="AO147" i="31"/>
  <c r="AP147" i="31"/>
  <c r="AN148" i="31"/>
  <c r="AO148" i="31"/>
  <c r="AP148" i="31"/>
  <c r="AN149" i="31"/>
  <c r="AO149" i="31"/>
  <c r="AP149" i="31"/>
  <c r="AN150" i="31"/>
  <c r="AO150" i="31"/>
  <c r="AP150" i="31"/>
  <c r="AN151" i="31"/>
  <c r="AO151" i="31"/>
  <c r="AP151" i="31"/>
  <c r="AN152" i="31"/>
  <c r="AO152" i="31"/>
  <c r="AP152" i="31"/>
  <c r="AN153" i="31"/>
  <c r="AO153" i="31"/>
  <c r="AP153" i="31"/>
  <c r="AN154" i="31"/>
  <c r="AO154" i="31"/>
  <c r="AP154" i="31"/>
  <c r="AN155" i="31"/>
  <c r="AO155" i="31"/>
  <c r="AP155" i="31"/>
  <c r="AN156" i="31"/>
  <c r="AO156" i="31"/>
  <c r="AP156" i="31"/>
  <c r="AN157" i="31"/>
  <c r="AO157" i="31"/>
  <c r="AP157" i="31"/>
  <c r="AN158" i="31"/>
  <c r="AO158" i="31"/>
  <c r="AP158" i="31"/>
  <c r="AN159" i="31"/>
  <c r="AO159" i="31"/>
  <c r="AP159" i="31"/>
  <c r="AN160" i="31"/>
  <c r="AO160" i="31"/>
  <c r="AP160" i="31"/>
  <c r="AN161" i="31"/>
  <c r="AO161" i="31"/>
  <c r="AP161" i="31"/>
  <c r="AN162" i="31"/>
  <c r="AO162" i="31"/>
  <c r="AP162" i="31"/>
  <c r="AN163" i="31"/>
  <c r="AO163" i="31"/>
  <c r="AP163" i="31"/>
  <c r="AN164" i="31"/>
  <c r="AO164" i="31"/>
  <c r="AP164" i="31"/>
  <c r="AN165" i="31"/>
  <c r="AO165" i="31"/>
  <c r="AP165" i="31"/>
  <c r="AN166" i="31"/>
  <c r="AO166" i="31"/>
  <c r="AP166" i="31"/>
  <c r="AN167" i="31"/>
  <c r="AO167" i="31"/>
  <c r="AP167" i="31"/>
  <c r="AN168" i="31"/>
  <c r="AO168" i="31"/>
  <c r="AP168" i="31"/>
  <c r="AN169" i="31"/>
  <c r="AO169" i="31"/>
  <c r="AP169" i="31"/>
  <c r="AN170" i="31"/>
  <c r="AO170" i="31"/>
  <c r="AP170" i="31"/>
  <c r="AN171" i="31"/>
  <c r="AO171" i="31"/>
  <c r="AP171" i="31"/>
  <c r="AN172" i="31"/>
  <c r="AO172" i="31"/>
  <c r="AP172" i="31"/>
  <c r="AN173" i="31"/>
  <c r="AO173" i="31"/>
  <c r="AP173" i="31"/>
  <c r="AN174" i="31"/>
  <c r="AO174" i="31"/>
  <c r="AP174" i="31"/>
  <c r="AN175" i="31"/>
  <c r="AO175" i="31"/>
  <c r="AP175" i="31"/>
  <c r="AN176" i="31"/>
  <c r="AO176" i="31"/>
  <c r="AP176" i="31"/>
  <c r="AN177" i="31"/>
  <c r="AO177" i="31"/>
  <c r="AP177" i="31"/>
  <c r="AN178" i="31"/>
  <c r="AO178" i="31"/>
  <c r="AP178" i="31"/>
  <c r="AN179" i="31"/>
  <c r="AO179" i="31"/>
  <c r="AP179" i="31"/>
  <c r="AN180" i="31"/>
  <c r="AO180" i="31"/>
  <c r="AP180" i="31"/>
  <c r="AN181" i="31"/>
  <c r="AO181" i="31"/>
  <c r="AP181" i="31"/>
  <c r="AN182" i="31"/>
  <c r="AO182" i="31"/>
  <c r="AP182" i="31"/>
  <c r="AN183" i="31"/>
  <c r="AO183" i="31"/>
  <c r="AP183" i="31"/>
  <c r="AN184" i="31"/>
  <c r="AO184" i="31"/>
  <c r="AP184" i="31"/>
  <c r="AN185" i="31"/>
  <c r="AO185" i="31"/>
  <c r="AP185" i="31"/>
  <c r="AN186" i="31"/>
  <c r="AO186" i="31"/>
  <c r="AP186" i="31"/>
  <c r="AN187" i="31"/>
  <c r="AO187" i="31"/>
  <c r="AP187" i="31"/>
  <c r="AN188" i="31"/>
  <c r="AO188" i="31"/>
  <c r="AP188" i="31"/>
  <c r="AN189" i="31"/>
  <c r="AO189" i="31"/>
  <c r="AP189" i="31"/>
  <c r="AN190" i="31"/>
  <c r="AO190" i="31"/>
  <c r="AP190" i="31"/>
  <c r="AN191" i="31"/>
  <c r="AO191" i="31"/>
  <c r="AP191" i="31"/>
  <c r="AN192" i="31"/>
  <c r="AO192" i="31"/>
  <c r="AP192" i="31"/>
  <c r="AN193" i="31"/>
  <c r="AO193" i="31"/>
  <c r="AP193" i="31"/>
  <c r="AN194" i="31"/>
  <c r="AO194" i="31"/>
  <c r="AP194" i="31"/>
  <c r="AN195" i="31"/>
  <c r="AO195" i="31"/>
  <c r="AP195" i="31"/>
  <c r="AN196" i="31"/>
  <c r="AO196" i="31"/>
  <c r="AP196" i="31"/>
  <c r="AN197" i="31"/>
  <c r="AO197" i="31"/>
  <c r="AP197" i="31"/>
  <c r="AN198" i="31"/>
  <c r="AO198" i="31"/>
  <c r="AP198" i="31"/>
  <c r="AN199" i="31"/>
  <c r="AO199" i="31"/>
  <c r="AP199" i="31"/>
  <c r="AN200" i="31"/>
  <c r="AO200" i="31"/>
  <c r="AP200" i="31"/>
  <c r="AN201" i="31"/>
  <c r="AO201" i="31"/>
  <c r="AP201" i="31"/>
  <c r="AN202" i="31"/>
  <c r="AO202" i="31"/>
  <c r="AP202" i="31"/>
  <c r="AN203" i="31"/>
  <c r="AO203" i="31"/>
  <c r="AP203" i="31"/>
  <c r="AN204" i="31"/>
  <c r="AO204" i="31"/>
  <c r="AP204" i="31"/>
  <c r="AN205" i="31"/>
  <c r="AO205" i="31"/>
  <c r="AP205" i="31"/>
  <c r="AN206" i="31"/>
  <c r="AO206" i="31"/>
  <c r="AP206" i="31"/>
  <c r="AN207" i="31"/>
  <c r="AO207" i="31"/>
  <c r="AP207" i="31"/>
  <c r="AN208" i="31"/>
  <c r="AO208" i="31"/>
  <c r="AP208" i="31"/>
  <c r="AN209" i="31"/>
  <c r="AO209" i="31"/>
  <c r="AP209" i="31"/>
  <c r="AN210" i="31"/>
  <c r="AO210" i="31"/>
  <c r="AP210" i="31"/>
  <c r="AN211" i="31"/>
  <c r="AO211" i="31"/>
  <c r="AP211" i="31"/>
  <c r="AN212" i="31"/>
  <c r="AO212" i="31"/>
  <c r="AP212" i="31"/>
  <c r="AN213" i="31"/>
  <c r="AO213" i="31"/>
  <c r="AP213" i="31"/>
  <c r="AN214" i="31"/>
  <c r="AO214" i="31"/>
  <c r="AP214" i="31"/>
  <c r="AN215" i="31"/>
  <c r="AO215" i="31"/>
  <c r="AP215" i="31"/>
  <c r="AN216" i="31"/>
  <c r="AO216" i="31"/>
  <c r="AP216" i="31"/>
  <c r="AN217" i="31"/>
  <c r="AO217" i="31"/>
  <c r="AP217" i="31"/>
  <c r="AN218" i="31"/>
  <c r="AO218" i="31"/>
  <c r="AP218" i="31"/>
  <c r="AN219" i="31"/>
  <c r="AO219" i="31"/>
  <c r="AP219" i="31"/>
  <c r="AN220" i="31"/>
  <c r="AO220" i="31"/>
  <c r="AP220" i="31"/>
  <c r="AN221" i="31"/>
  <c r="AO221" i="31"/>
  <c r="AP221" i="31"/>
  <c r="AP2" i="31"/>
  <c r="AO2" i="31"/>
  <c r="AN2" i="31"/>
  <c r="AK881" i="25"/>
  <c r="AK880" i="25"/>
  <c r="AK879" i="25"/>
  <c r="AK878" i="25"/>
  <c r="AK877" i="25"/>
  <c r="AK876" i="25"/>
  <c r="AK875" i="25"/>
  <c r="AK874" i="25"/>
  <c r="AK873" i="25"/>
  <c r="AK872" i="25"/>
  <c r="AK871" i="25"/>
  <c r="AK870" i="25"/>
  <c r="AK869" i="25"/>
  <c r="AK868" i="25"/>
  <c r="AK867" i="25"/>
  <c r="AK866" i="25"/>
  <c r="AK865" i="25"/>
  <c r="AK864" i="25"/>
  <c r="AK863" i="25"/>
  <c r="AK862" i="25"/>
  <c r="AK861" i="25"/>
  <c r="AK860" i="25"/>
  <c r="AK859" i="25"/>
  <c r="AK858" i="25"/>
  <c r="AK857" i="25"/>
  <c r="AK856" i="25"/>
  <c r="AK855" i="25"/>
  <c r="AK854" i="25"/>
  <c r="AK853" i="25"/>
  <c r="AK852" i="25"/>
  <c r="AK851" i="25"/>
  <c r="AK850" i="25"/>
  <c r="AK849" i="25"/>
  <c r="AK848" i="25"/>
  <c r="AK847" i="25"/>
  <c r="AK846" i="25"/>
  <c r="AK845" i="25"/>
  <c r="AK844" i="25"/>
  <c r="AK843" i="25"/>
  <c r="AK842" i="25"/>
  <c r="AK841" i="25"/>
  <c r="AK840" i="25"/>
  <c r="AK839" i="25"/>
  <c r="AK838" i="25"/>
  <c r="AK837" i="25"/>
  <c r="AK836" i="25"/>
  <c r="AK835" i="25"/>
  <c r="AK834" i="25"/>
  <c r="AK833" i="25"/>
  <c r="AK832" i="25"/>
  <c r="AK831" i="25"/>
  <c r="AK830" i="25"/>
  <c r="AK829" i="25"/>
  <c r="AK828" i="25"/>
  <c r="AK827" i="25"/>
  <c r="AK826" i="25"/>
  <c r="AK825" i="25"/>
  <c r="AK824" i="25"/>
  <c r="AK823" i="25"/>
  <c r="AK822" i="25"/>
  <c r="AK821" i="25"/>
  <c r="AK820" i="25"/>
  <c r="AK819" i="25"/>
  <c r="AK818" i="25"/>
  <c r="AK817" i="25"/>
  <c r="AK816" i="25"/>
  <c r="AK815" i="25"/>
  <c r="AK814" i="25"/>
  <c r="AK813" i="25"/>
  <c r="AK812" i="25"/>
  <c r="AK811" i="25"/>
  <c r="AK810" i="25"/>
  <c r="AK809" i="25"/>
  <c r="AK808" i="25"/>
  <c r="AK807" i="25"/>
  <c r="AK806" i="25"/>
  <c r="AK805" i="25"/>
  <c r="AK804" i="25"/>
  <c r="AK803" i="25"/>
  <c r="AK802" i="25"/>
  <c r="AK801" i="25"/>
  <c r="AK800" i="25"/>
  <c r="AK799" i="25"/>
  <c r="AK798" i="25"/>
  <c r="AK797" i="25"/>
  <c r="AK796" i="25"/>
  <c r="AK795" i="25"/>
  <c r="AK794" i="25"/>
  <c r="AK793" i="25"/>
  <c r="AK792" i="25"/>
  <c r="AK791" i="25"/>
  <c r="AK790" i="25"/>
  <c r="AK789" i="25"/>
  <c r="AK788" i="25"/>
  <c r="AK787" i="25"/>
  <c r="AK786" i="25"/>
  <c r="AK785" i="25"/>
  <c r="AK784" i="25"/>
  <c r="AK783" i="25"/>
  <c r="AK782" i="25"/>
  <c r="AK781" i="25"/>
  <c r="AK780" i="25"/>
  <c r="AK779" i="25"/>
  <c r="AK778" i="25"/>
  <c r="AK777" i="25"/>
  <c r="AK776" i="25"/>
  <c r="AK775" i="25"/>
  <c r="AK774" i="25"/>
  <c r="AK773" i="25"/>
  <c r="AK772" i="25"/>
  <c r="AK771" i="25"/>
  <c r="AK770" i="25"/>
  <c r="AK769" i="25"/>
  <c r="AK768" i="25"/>
  <c r="AK767" i="25"/>
  <c r="AK766" i="25"/>
  <c r="AK765" i="25"/>
  <c r="AK764" i="25"/>
  <c r="AK763" i="25"/>
  <c r="AK762" i="25"/>
  <c r="AK761" i="25"/>
  <c r="AK760" i="25"/>
  <c r="AK759" i="25"/>
  <c r="AK758" i="25"/>
  <c r="AK757" i="25"/>
  <c r="AK756" i="25"/>
  <c r="AK755" i="25"/>
  <c r="AK754" i="25"/>
  <c r="AK753" i="25"/>
  <c r="AK752" i="25"/>
  <c r="AK751" i="25"/>
  <c r="AK750" i="25"/>
  <c r="AK749" i="25"/>
  <c r="AK748" i="25"/>
  <c r="AK747" i="25"/>
  <c r="AK746" i="25"/>
  <c r="AK745" i="25"/>
  <c r="AK744" i="25"/>
  <c r="AK743" i="25"/>
  <c r="AK742" i="25"/>
  <c r="AK741" i="25"/>
  <c r="AK740" i="25"/>
  <c r="AK739" i="25"/>
  <c r="AK738" i="25"/>
  <c r="AK737" i="25"/>
  <c r="AK736" i="25"/>
  <c r="AK735" i="25"/>
  <c r="AK734" i="25"/>
  <c r="AK733" i="25"/>
  <c r="AK732" i="25"/>
  <c r="AK731" i="25"/>
  <c r="AK730" i="25"/>
  <c r="AK729" i="25"/>
  <c r="AK728" i="25"/>
  <c r="AK727" i="25"/>
  <c r="AK726" i="25"/>
  <c r="AK725" i="25"/>
  <c r="AK724" i="25"/>
  <c r="AK723" i="25"/>
  <c r="AK722" i="25"/>
  <c r="AK721" i="25"/>
  <c r="AK720" i="25"/>
  <c r="AK719" i="25"/>
  <c r="AK718" i="25"/>
  <c r="AK717" i="25"/>
  <c r="AK716" i="25"/>
  <c r="AK715" i="25"/>
  <c r="AK714" i="25"/>
  <c r="AK713" i="25"/>
  <c r="AK712" i="25"/>
  <c r="AK711" i="25"/>
  <c r="AK710" i="25"/>
  <c r="AK709" i="25"/>
  <c r="AK708" i="25"/>
  <c r="AK707" i="25"/>
  <c r="AK706" i="25"/>
  <c r="AK705" i="25"/>
  <c r="AK704" i="25"/>
  <c r="AK703" i="25"/>
  <c r="AK702" i="25"/>
  <c r="AK701" i="25"/>
  <c r="AK700" i="25"/>
  <c r="AK699" i="25"/>
  <c r="AK698" i="25"/>
  <c r="AK697" i="25"/>
  <c r="AK696" i="25"/>
  <c r="AK695" i="25"/>
  <c r="AK694" i="25"/>
  <c r="AK693" i="25"/>
  <c r="AK692" i="25"/>
  <c r="AK691" i="25"/>
  <c r="AK690" i="25"/>
  <c r="AK689" i="25"/>
  <c r="AK688" i="25"/>
  <c r="AK687" i="25"/>
  <c r="AK686" i="25"/>
  <c r="AK685" i="25"/>
  <c r="AK684" i="25"/>
  <c r="AK683" i="25"/>
  <c r="AK682" i="25"/>
  <c r="AK681" i="25"/>
  <c r="AK680" i="25"/>
  <c r="AK679" i="25"/>
  <c r="AK678" i="25"/>
  <c r="AK677" i="25"/>
  <c r="AK676" i="25"/>
  <c r="AK675" i="25"/>
  <c r="AK674" i="25"/>
  <c r="AK673" i="25"/>
  <c r="AK672" i="25"/>
  <c r="AK671" i="25"/>
  <c r="AK670" i="25"/>
  <c r="AK669" i="25"/>
  <c r="AK668" i="25"/>
  <c r="AK667" i="25"/>
  <c r="AK666" i="25"/>
  <c r="AK665" i="25"/>
  <c r="AK664" i="25"/>
  <c r="AK663" i="25"/>
  <c r="AK662" i="25"/>
  <c r="AK661" i="25"/>
  <c r="AK660" i="25"/>
  <c r="AK659" i="25"/>
  <c r="AK658" i="25"/>
  <c r="AK657" i="25"/>
  <c r="AK656" i="25"/>
  <c r="AK655" i="25"/>
  <c r="AK654" i="25"/>
  <c r="AK653" i="25"/>
  <c r="AK652" i="25"/>
  <c r="AK651" i="25"/>
  <c r="AK650" i="25"/>
  <c r="AK649" i="25"/>
  <c r="AK648" i="25"/>
  <c r="AK647" i="25"/>
  <c r="AK646" i="25"/>
  <c r="AK645" i="25"/>
  <c r="AK644" i="25"/>
  <c r="AK643" i="25"/>
  <c r="AK642" i="25"/>
  <c r="AK641" i="25"/>
  <c r="AK640" i="25"/>
  <c r="AK639" i="25"/>
  <c r="AK638" i="25"/>
  <c r="AK637" i="25"/>
  <c r="AK636" i="25"/>
  <c r="AK635" i="25"/>
  <c r="AK634" i="25"/>
  <c r="AK633" i="25"/>
  <c r="AK632" i="25"/>
  <c r="AK631" i="25"/>
  <c r="AK630" i="25"/>
  <c r="AK629" i="25"/>
  <c r="AK628" i="25"/>
  <c r="AK627" i="25"/>
  <c r="AK626" i="25"/>
  <c r="AK625" i="25"/>
  <c r="AK624" i="25"/>
  <c r="AK623" i="25"/>
  <c r="AK622" i="25"/>
  <c r="AK621" i="25"/>
  <c r="AK620" i="25"/>
  <c r="AK619" i="25"/>
  <c r="AK618" i="25"/>
  <c r="AK617" i="25"/>
  <c r="AK616" i="25"/>
  <c r="AK615" i="25"/>
  <c r="AK614" i="25"/>
  <c r="AK613" i="25"/>
  <c r="AK612" i="25"/>
  <c r="AK611" i="25"/>
  <c r="AK610" i="25"/>
  <c r="AK609" i="25"/>
  <c r="AK608" i="25"/>
  <c r="AK607" i="25"/>
  <c r="AK606" i="25"/>
  <c r="AK605" i="25"/>
  <c r="AK604" i="25"/>
  <c r="AK603" i="25"/>
  <c r="AK602" i="25"/>
  <c r="AK601" i="25"/>
  <c r="AK600" i="25"/>
  <c r="AK599" i="25"/>
  <c r="AK598" i="25"/>
  <c r="AK597" i="25"/>
  <c r="AK596" i="25"/>
  <c r="AK595" i="25"/>
  <c r="AK594" i="25"/>
  <c r="AK593" i="25"/>
  <c r="AK592" i="25"/>
  <c r="AK591" i="25"/>
  <c r="AK590" i="25"/>
  <c r="AK589" i="25"/>
  <c r="AK588" i="25"/>
  <c r="AK587" i="25"/>
  <c r="AK586" i="25"/>
  <c r="AK585" i="25"/>
  <c r="AK584" i="25"/>
  <c r="AK583" i="25"/>
  <c r="AK582" i="25"/>
  <c r="AK581" i="25"/>
  <c r="AK580" i="25"/>
  <c r="AK579" i="25"/>
  <c r="AK578" i="25"/>
  <c r="AK577" i="25"/>
  <c r="AK576" i="25"/>
  <c r="AK575" i="25"/>
  <c r="AK574" i="25"/>
  <c r="AK573" i="25"/>
  <c r="AK572" i="25"/>
  <c r="AK571" i="25"/>
  <c r="AK570" i="25"/>
  <c r="AK569" i="25"/>
  <c r="AK568" i="25"/>
  <c r="AK567" i="25"/>
  <c r="AK566" i="25"/>
  <c r="AK565" i="25"/>
  <c r="AK564" i="25"/>
  <c r="AK563" i="25"/>
  <c r="AK562" i="25"/>
  <c r="AK561" i="25"/>
  <c r="AK560" i="25"/>
  <c r="AK559" i="25"/>
  <c r="AK558" i="25"/>
  <c r="AK557" i="25"/>
  <c r="AK556" i="25"/>
  <c r="AK555" i="25"/>
  <c r="AK554" i="25"/>
  <c r="AK553" i="25"/>
  <c r="AK552" i="25"/>
  <c r="AK551" i="25"/>
  <c r="AK550" i="25"/>
  <c r="AK549" i="25"/>
  <c r="AK548" i="25"/>
  <c r="AK547" i="25"/>
  <c r="AK546" i="25"/>
  <c r="AK545" i="25"/>
  <c r="AK544" i="25"/>
  <c r="AK543" i="25"/>
  <c r="AK542" i="25"/>
  <c r="AK541" i="25"/>
  <c r="AK540" i="25"/>
  <c r="AK539" i="25"/>
  <c r="AK538" i="25"/>
  <c r="AK537" i="25"/>
  <c r="AK536" i="25"/>
  <c r="AK535" i="25"/>
  <c r="AK534" i="25"/>
  <c r="AK533" i="25"/>
  <c r="AK532" i="25"/>
  <c r="AK531" i="25"/>
  <c r="AK530" i="25"/>
  <c r="AK529" i="25"/>
  <c r="AK528" i="25"/>
  <c r="AK527" i="25"/>
  <c r="AK526" i="25"/>
  <c r="AK525" i="25"/>
  <c r="AK524" i="25"/>
  <c r="AK523" i="25"/>
  <c r="AK522" i="25"/>
  <c r="AK521" i="25"/>
  <c r="AK520" i="25"/>
  <c r="AK519" i="25"/>
  <c r="AK518" i="25"/>
  <c r="AK517" i="25"/>
  <c r="AK516" i="25"/>
  <c r="AK515" i="25"/>
  <c r="AK514" i="25"/>
  <c r="AK513" i="25"/>
  <c r="AK512" i="25"/>
  <c r="AK511" i="25"/>
  <c r="AK510" i="25"/>
  <c r="AK509" i="25"/>
  <c r="AK508" i="25"/>
  <c r="AK507" i="25"/>
  <c r="AK506" i="25"/>
  <c r="AK505" i="25"/>
  <c r="AK504" i="25"/>
  <c r="AK503" i="25"/>
  <c r="AK502" i="25"/>
  <c r="AK501" i="25"/>
  <c r="AK500" i="25"/>
  <c r="AK499" i="25"/>
  <c r="AK498" i="25"/>
  <c r="AK497" i="25"/>
  <c r="AK496" i="25"/>
  <c r="AK495" i="25"/>
  <c r="AK494" i="25"/>
  <c r="AK493" i="25"/>
  <c r="AK492" i="25"/>
  <c r="AK491" i="25"/>
  <c r="AK490" i="25"/>
  <c r="AK489" i="25"/>
  <c r="AK488" i="25"/>
  <c r="AK487" i="25"/>
  <c r="AK486" i="25"/>
  <c r="AK485" i="25"/>
  <c r="AK484" i="25"/>
  <c r="AK483" i="25"/>
  <c r="AK482" i="25"/>
  <c r="AK481" i="25"/>
  <c r="AK480" i="25"/>
  <c r="AK479" i="25"/>
  <c r="AK478" i="25"/>
  <c r="AK477" i="25"/>
  <c r="AK476" i="25"/>
  <c r="AK475" i="25"/>
  <c r="AK474" i="25"/>
  <c r="AK473" i="25"/>
  <c r="AK472" i="25"/>
  <c r="AK471" i="25"/>
  <c r="AK470" i="25"/>
  <c r="AK469" i="25"/>
  <c r="AK468" i="25"/>
  <c r="AK467" i="25"/>
  <c r="AK466" i="25"/>
  <c r="AK465" i="25"/>
  <c r="AK464" i="25"/>
  <c r="AK463" i="25"/>
  <c r="AK462" i="25"/>
  <c r="AK461" i="25"/>
  <c r="AK460" i="25"/>
  <c r="AK459" i="25"/>
  <c r="AK458" i="25"/>
  <c r="AK457" i="25"/>
  <c r="AK456" i="25"/>
  <c r="AK455" i="25"/>
  <c r="AK454" i="25"/>
  <c r="AK453" i="25"/>
  <c r="AK452" i="25"/>
  <c r="AK451" i="25"/>
  <c r="AK450" i="25"/>
  <c r="AK449" i="25"/>
  <c r="AK448" i="25"/>
  <c r="AK447" i="25"/>
  <c r="AK446" i="25"/>
  <c r="AK445" i="25"/>
  <c r="AK444" i="25"/>
  <c r="AK443" i="25"/>
  <c r="AK442" i="25"/>
  <c r="AK441" i="25"/>
  <c r="AK440" i="25"/>
  <c r="AK439" i="25"/>
  <c r="AK438" i="25"/>
  <c r="AK437" i="25"/>
  <c r="AK436" i="25"/>
  <c r="AK435" i="25"/>
  <c r="AK434" i="25"/>
  <c r="AK433" i="25"/>
  <c r="AK432" i="25"/>
  <c r="AK431" i="25"/>
  <c r="AK430" i="25"/>
  <c r="AK429" i="25"/>
  <c r="AK428" i="25"/>
  <c r="AK427" i="25"/>
  <c r="AK426" i="25"/>
  <c r="AK425" i="25"/>
  <c r="AK424" i="25"/>
  <c r="AK423" i="25"/>
  <c r="AK422" i="25"/>
  <c r="AK421" i="25"/>
  <c r="AK420" i="25"/>
  <c r="AK419" i="25"/>
  <c r="AK418" i="25"/>
  <c r="AK417" i="25"/>
  <c r="AK416" i="25"/>
  <c r="AK415" i="25"/>
  <c r="AK414" i="25"/>
  <c r="AK413" i="25"/>
  <c r="AK412" i="25"/>
  <c r="AK411" i="25"/>
  <c r="AK410" i="25"/>
  <c r="AK409" i="25"/>
  <c r="AK408" i="25"/>
  <c r="AK407" i="25"/>
  <c r="AK406" i="25"/>
  <c r="AK405" i="25"/>
  <c r="AK404" i="25"/>
  <c r="AK403" i="25"/>
  <c r="AK402" i="25"/>
  <c r="AK401" i="25"/>
  <c r="AK400" i="25"/>
  <c r="AK399" i="25"/>
  <c r="AK398" i="25"/>
  <c r="AK397" i="25"/>
  <c r="AK396" i="25"/>
  <c r="AK395" i="25"/>
  <c r="AK394" i="25"/>
  <c r="AK393" i="25"/>
  <c r="AK392" i="25"/>
  <c r="AK391" i="25"/>
  <c r="AK390" i="25"/>
  <c r="AK389" i="25"/>
  <c r="AK388" i="25"/>
  <c r="AK387" i="25"/>
  <c r="AK386" i="25"/>
  <c r="AK385" i="25"/>
  <c r="AK384" i="25"/>
  <c r="AK383" i="25"/>
  <c r="AK382" i="25"/>
  <c r="AK381" i="25"/>
  <c r="AK380" i="25"/>
  <c r="AK379" i="25"/>
  <c r="AK378" i="25"/>
  <c r="AK377" i="25"/>
  <c r="AK376" i="25"/>
  <c r="AK375" i="25"/>
  <c r="AK374" i="25"/>
  <c r="AK373" i="25"/>
  <c r="AK372" i="25"/>
  <c r="AK371" i="25"/>
  <c r="AK370" i="25"/>
  <c r="AK369" i="25"/>
  <c r="AK368" i="25"/>
  <c r="AK367" i="25"/>
  <c r="AK366" i="25"/>
  <c r="AK365" i="25"/>
  <c r="AK364" i="25"/>
  <c r="AK363" i="25"/>
  <c r="AK362" i="25"/>
  <c r="AK361" i="25"/>
  <c r="AK360" i="25"/>
  <c r="AK359" i="25"/>
  <c r="AK358" i="25"/>
  <c r="AK357" i="25"/>
  <c r="AK356" i="25"/>
  <c r="AK355" i="25"/>
  <c r="AK354" i="25"/>
  <c r="AK353" i="25"/>
  <c r="AK352" i="25"/>
  <c r="AK351" i="25"/>
  <c r="AK350" i="25"/>
  <c r="AK349" i="25"/>
  <c r="AK348" i="25"/>
  <c r="AK347" i="25"/>
  <c r="AK346" i="25"/>
  <c r="AK345" i="25"/>
  <c r="AK344" i="25"/>
  <c r="AK343" i="25"/>
  <c r="AK342" i="25"/>
  <c r="AK341" i="25"/>
  <c r="AK340" i="25"/>
  <c r="AK339" i="25"/>
  <c r="AK338" i="25"/>
  <c r="AK337" i="25"/>
  <c r="AK336" i="25"/>
  <c r="AK335" i="25"/>
  <c r="AK334" i="25"/>
  <c r="AK333" i="25"/>
  <c r="AK332" i="25"/>
  <c r="AK331" i="25"/>
  <c r="AK330" i="25"/>
  <c r="AK329" i="25"/>
  <c r="AK328" i="25"/>
  <c r="AK327" i="25"/>
  <c r="AK326" i="25"/>
  <c r="AK325" i="25"/>
  <c r="AK324" i="25"/>
  <c r="AK323" i="25"/>
  <c r="AK322" i="25"/>
  <c r="AK321" i="25"/>
  <c r="AK320" i="25"/>
  <c r="AK319" i="25"/>
  <c r="AK318" i="25"/>
  <c r="AK317" i="25"/>
  <c r="AK316" i="25"/>
  <c r="AK315" i="25"/>
  <c r="AK314" i="25"/>
  <c r="AK313" i="25"/>
  <c r="AK312" i="25"/>
  <c r="AK311" i="25"/>
  <c r="AK310" i="25"/>
  <c r="AK309" i="25"/>
  <c r="AK308" i="25"/>
  <c r="AK307" i="25"/>
  <c r="AK306" i="25"/>
  <c r="AK305" i="25"/>
  <c r="AK304" i="25"/>
  <c r="AK303" i="25"/>
  <c r="AK302" i="25"/>
  <c r="AK301" i="25"/>
  <c r="AK300" i="25"/>
  <c r="AK299" i="25"/>
  <c r="AK298" i="25"/>
  <c r="AK297" i="25"/>
  <c r="AK296" i="25"/>
  <c r="AK295" i="25"/>
  <c r="AK294" i="25"/>
  <c r="AK293" i="25"/>
  <c r="AK292" i="25"/>
  <c r="AK291" i="25"/>
  <c r="AK290" i="25"/>
  <c r="AK289" i="25"/>
  <c r="AK288" i="25"/>
  <c r="AK287" i="25"/>
  <c r="AK286" i="25"/>
  <c r="AK285" i="25"/>
  <c r="AK284" i="25"/>
  <c r="AK283" i="25"/>
  <c r="AK282" i="25"/>
  <c r="AK281" i="25"/>
  <c r="AK280" i="25"/>
  <c r="AK279" i="25"/>
  <c r="AK278" i="25"/>
  <c r="AK277" i="25"/>
  <c r="AK276" i="25"/>
  <c r="AK275" i="25"/>
  <c r="AK274" i="25"/>
  <c r="AK273" i="25"/>
  <c r="AK272" i="25"/>
  <c r="AK271" i="25"/>
  <c r="AK270" i="25"/>
  <c r="AK269" i="25"/>
  <c r="AK268" i="25"/>
  <c r="AK267" i="25"/>
  <c r="AK266" i="25"/>
  <c r="AK265" i="25"/>
  <c r="AK264" i="25"/>
  <c r="AK263" i="25"/>
  <c r="AK262" i="25"/>
  <c r="AK261" i="25"/>
  <c r="AK260" i="25"/>
  <c r="AK259" i="25"/>
  <c r="AK258" i="25"/>
  <c r="AK257" i="25"/>
  <c r="AK256" i="25"/>
  <c r="AK255" i="25"/>
  <c r="AK254" i="25"/>
  <c r="AK253" i="25"/>
  <c r="AK252" i="25"/>
  <c r="AK251" i="25"/>
  <c r="AK250" i="25"/>
  <c r="AK249" i="25"/>
  <c r="AK248" i="25"/>
  <c r="AK247" i="25"/>
  <c r="AK246" i="25"/>
  <c r="AK245" i="25"/>
  <c r="AK244" i="25"/>
  <c r="AK243" i="25"/>
  <c r="AK242" i="25"/>
  <c r="AK241" i="25"/>
  <c r="AK240" i="25"/>
  <c r="AK239" i="25"/>
  <c r="AK238" i="25"/>
  <c r="AK237" i="25"/>
  <c r="AK236" i="25"/>
  <c r="AK235" i="25"/>
  <c r="AK234" i="25"/>
  <c r="AK233" i="25"/>
  <c r="AK232" i="25"/>
  <c r="AK231" i="25"/>
  <c r="AK230" i="25"/>
  <c r="AK229" i="25"/>
  <c r="AK228" i="25"/>
  <c r="AK227" i="25"/>
  <c r="AK226" i="25"/>
  <c r="AK225" i="25"/>
  <c r="AK224" i="25"/>
  <c r="AK223" i="25"/>
  <c r="AK222" i="25"/>
  <c r="AK221" i="25"/>
  <c r="AK220" i="25"/>
  <c r="AK219" i="25"/>
  <c r="AK218" i="25"/>
  <c r="AK217" i="25"/>
  <c r="AK216" i="25"/>
  <c r="AK215" i="25"/>
  <c r="AK214" i="25"/>
  <c r="AK213" i="25"/>
  <c r="AK212" i="25"/>
  <c r="AK211" i="25"/>
  <c r="AK210" i="25"/>
  <c r="AK209" i="25"/>
  <c r="AK208" i="25"/>
  <c r="AK207" i="25"/>
  <c r="AK206" i="25"/>
  <c r="AK205" i="25"/>
  <c r="AK204" i="25"/>
  <c r="AK203" i="25"/>
  <c r="AK202" i="25"/>
  <c r="AK201" i="25"/>
  <c r="AK200" i="25"/>
  <c r="AK199" i="25"/>
  <c r="AK198" i="25"/>
  <c r="AK197" i="25"/>
  <c r="AK196" i="25"/>
  <c r="AK195" i="25"/>
  <c r="AK194" i="25"/>
  <c r="AK193" i="25"/>
  <c r="AK192" i="25"/>
  <c r="AK191" i="25"/>
  <c r="AK190" i="25"/>
  <c r="AK189" i="25"/>
  <c r="AK188" i="25"/>
  <c r="AK187" i="25"/>
  <c r="AK186" i="25"/>
  <c r="AK185" i="25"/>
  <c r="AK184" i="25"/>
  <c r="AK183" i="25"/>
  <c r="AK182" i="25"/>
  <c r="AK181" i="25"/>
  <c r="AK180" i="25"/>
  <c r="AK179" i="25"/>
  <c r="AK178" i="25"/>
  <c r="AK177" i="25"/>
  <c r="AK176" i="25"/>
  <c r="AK175" i="25"/>
  <c r="AK174" i="25"/>
  <c r="AK173" i="25"/>
  <c r="AK172" i="25"/>
  <c r="AK171" i="25"/>
  <c r="AK170" i="25"/>
  <c r="AK169" i="25"/>
  <c r="AK168" i="25"/>
  <c r="AK167" i="25"/>
  <c r="AK166" i="25"/>
  <c r="AK165" i="25"/>
  <c r="AK164" i="25"/>
  <c r="AK163" i="25"/>
  <c r="AK162" i="25"/>
  <c r="AK161" i="25"/>
  <c r="AK160" i="25"/>
  <c r="AK159" i="25"/>
  <c r="AK158" i="25"/>
  <c r="AK157" i="25"/>
  <c r="AK156" i="25"/>
  <c r="AK155" i="25"/>
  <c r="AK154" i="25"/>
  <c r="AK153" i="25"/>
  <c r="AK152" i="25"/>
  <c r="AK151" i="25"/>
  <c r="AK150" i="25"/>
  <c r="AK149" i="25"/>
  <c r="AK148" i="25"/>
  <c r="AK147" i="25"/>
  <c r="AK146" i="25"/>
  <c r="AK145" i="25"/>
  <c r="AK144" i="25"/>
  <c r="AK143" i="25"/>
  <c r="AK142" i="25"/>
  <c r="AK141" i="25"/>
  <c r="AK140" i="25"/>
  <c r="AK139" i="25"/>
  <c r="AK138" i="25"/>
  <c r="AK137" i="25"/>
  <c r="AK136" i="25"/>
  <c r="AK135" i="25"/>
  <c r="AK134" i="25"/>
  <c r="AK133" i="25"/>
  <c r="AK132" i="25"/>
  <c r="AK131" i="25"/>
  <c r="AK130" i="25"/>
  <c r="AK129" i="25"/>
  <c r="AK128" i="25"/>
  <c r="AK127" i="25"/>
  <c r="AK126" i="25"/>
  <c r="AK125" i="25"/>
  <c r="AK124" i="25"/>
  <c r="AK123" i="25"/>
  <c r="AK122" i="25"/>
  <c r="AK121" i="25"/>
  <c r="AK120" i="25"/>
  <c r="AK119" i="25"/>
  <c r="AK118" i="25"/>
  <c r="AK117" i="25"/>
  <c r="AK116" i="25"/>
  <c r="AK115" i="25"/>
  <c r="AK114" i="25"/>
  <c r="AK113" i="25"/>
  <c r="AK112" i="25"/>
  <c r="AK111" i="25"/>
  <c r="AK110" i="25"/>
  <c r="AK109" i="25"/>
  <c r="AK108" i="25"/>
  <c r="AK107" i="25"/>
  <c r="AK106" i="25"/>
  <c r="AK105" i="25"/>
  <c r="AK104" i="25"/>
  <c r="AK103" i="25"/>
  <c r="AK102" i="25"/>
  <c r="AK101" i="25"/>
  <c r="AK100" i="25"/>
  <c r="AK99" i="25"/>
  <c r="AK98" i="25"/>
  <c r="AK97" i="25"/>
  <c r="AK96" i="25"/>
  <c r="AK95" i="25"/>
  <c r="AK94" i="25"/>
  <c r="AK93" i="25"/>
  <c r="AK92" i="25"/>
  <c r="AK91" i="25"/>
  <c r="AK90" i="25"/>
  <c r="AK89" i="25"/>
  <c r="AK88" i="25"/>
  <c r="AK87" i="25"/>
  <c r="AK86" i="25"/>
  <c r="AK85" i="25"/>
  <c r="AK84" i="25"/>
  <c r="AK83" i="25"/>
  <c r="AK82" i="25"/>
  <c r="AK81" i="25"/>
  <c r="AK80" i="25"/>
  <c r="AK79" i="25"/>
  <c r="AK78" i="25"/>
  <c r="AK77" i="25"/>
  <c r="AK76" i="25"/>
  <c r="AK75" i="25"/>
  <c r="AK74" i="25"/>
  <c r="AK73" i="25"/>
  <c r="AK72" i="25"/>
  <c r="AK71" i="25"/>
  <c r="AK70" i="25"/>
  <c r="AK69" i="25"/>
  <c r="AK68" i="25"/>
  <c r="AK67" i="25"/>
  <c r="AK66" i="25"/>
  <c r="AK65" i="25"/>
  <c r="AK64" i="25"/>
  <c r="AK63" i="25"/>
  <c r="AK62" i="25"/>
  <c r="AK61" i="25"/>
  <c r="AK60" i="25"/>
  <c r="AK59" i="25"/>
  <c r="AK58" i="25"/>
  <c r="AK57" i="25"/>
  <c r="AK56" i="25"/>
  <c r="AK55" i="25"/>
  <c r="AK54" i="25"/>
  <c r="AK53" i="25"/>
  <c r="AK52" i="25"/>
  <c r="AK51" i="25"/>
  <c r="AK50" i="25"/>
  <c r="AK49" i="25"/>
  <c r="AK48" i="25"/>
  <c r="AK47" i="25"/>
  <c r="AK46" i="25"/>
  <c r="AK45" i="25"/>
  <c r="AK44" i="25"/>
  <c r="AK43" i="25"/>
  <c r="AK42" i="25"/>
  <c r="AK41" i="25"/>
  <c r="AK40" i="25"/>
  <c r="AK39" i="25"/>
  <c r="AK38" i="25"/>
  <c r="AK37" i="25"/>
  <c r="AK36" i="25"/>
  <c r="AK35" i="25"/>
  <c r="AK34" i="25"/>
  <c r="AK33" i="25"/>
  <c r="AK32" i="25"/>
  <c r="AK31" i="25"/>
  <c r="AK30" i="25"/>
  <c r="AK29" i="25"/>
  <c r="AK28" i="25"/>
  <c r="AK27" i="25"/>
  <c r="AK26" i="25"/>
  <c r="AK25" i="25"/>
  <c r="AK24" i="25"/>
  <c r="AK23" i="25"/>
  <c r="AK22" i="25"/>
  <c r="AK21" i="25"/>
  <c r="AK20" i="25"/>
  <c r="AK19" i="25"/>
  <c r="AK18" i="25"/>
  <c r="AK17" i="25"/>
  <c r="AK16" i="25"/>
  <c r="AK15" i="25"/>
  <c r="AK14" i="25"/>
  <c r="AK13" i="25"/>
  <c r="AK12" i="25"/>
  <c r="AK11" i="25"/>
  <c r="AK10" i="25"/>
  <c r="AK9" i="25"/>
  <c r="AK8" i="25"/>
  <c r="AK7" i="25"/>
  <c r="AK6" i="25"/>
  <c r="AK5" i="25"/>
  <c r="AK4" i="25"/>
  <c r="AK3" i="25"/>
  <c r="AK2" i="25"/>
  <c r="AJ881" i="25"/>
  <c r="AJ880" i="25"/>
  <c r="AJ879" i="25"/>
  <c r="AJ878" i="25"/>
  <c r="AJ877" i="25"/>
  <c r="AJ876" i="25"/>
  <c r="AJ875" i="25"/>
  <c r="AJ874" i="25"/>
  <c r="AJ873" i="25"/>
  <c r="AJ872" i="25"/>
  <c r="AJ871" i="25"/>
  <c r="AJ870" i="25"/>
  <c r="AJ869" i="25"/>
  <c r="AJ868" i="25"/>
  <c r="AJ867" i="25"/>
  <c r="AJ866" i="25"/>
  <c r="AJ865" i="25"/>
  <c r="AJ864" i="25"/>
  <c r="AJ863" i="25"/>
  <c r="AJ862" i="25"/>
  <c r="AJ861" i="25"/>
  <c r="AJ860" i="25"/>
  <c r="AJ859" i="25"/>
  <c r="AJ858" i="25"/>
  <c r="AJ857" i="25"/>
  <c r="AJ856" i="25"/>
  <c r="AJ855" i="25"/>
  <c r="AJ854" i="25"/>
  <c r="AJ853" i="25"/>
  <c r="AJ852" i="25"/>
  <c r="AJ851" i="25"/>
  <c r="AJ850" i="25"/>
  <c r="AJ849" i="25"/>
  <c r="AJ848" i="25"/>
  <c r="AJ847" i="25"/>
  <c r="AJ846" i="25"/>
  <c r="AJ845" i="25"/>
  <c r="AJ844" i="25"/>
  <c r="AJ843" i="25"/>
  <c r="AJ842" i="25"/>
  <c r="AJ841" i="25"/>
  <c r="AJ840" i="25"/>
  <c r="AJ839" i="25"/>
  <c r="AJ838" i="25"/>
  <c r="AJ837" i="25"/>
  <c r="AJ836" i="25"/>
  <c r="AJ835" i="25"/>
  <c r="AJ834" i="25"/>
  <c r="AJ833" i="25"/>
  <c r="AJ832" i="25"/>
  <c r="AJ831" i="25"/>
  <c r="AJ830" i="25"/>
  <c r="AJ829" i="25"/>
  <c r="AJ828" i="25"/>
  <c r="AJ827" i="25"/>
  <c r="AJ826" i="25"/>
  <c r="AJ825" i="25"/>
  <c r="AJ824" i="25"/>
  <c r="AJ823" i="25"/>
  <c r="AJ822" i="25"/>
  <c r="AJ821" i="25"/>
  <c r="AJ820" i="25"/>
  <c r="AJ819" i="25"/>
  <c r="AJ818" i="25"/>
  <c r="AJ817" i="25"/>
  <c r="AJ816" i="25"/>
  <c r="AJ815" i="25"/>
  <c r="AJ814" i="25"/>
  <c r="AJ813" i="25"/>
  <c r="AJ812" i="25"/>
  <c r="AJ811" i="25"/>
  <c r="AJ810" i="25"/>
  <c r="AJ809" i="25"/>
  <c r="AJ808" i="25"/>
  <c r="AJ807" i="25"/>
  <c r="AJ806" i="25"/>
  <c r="AJ805" i="25"/>
  <c r="AJ804" i="25"/>
  <c r="AJ803" i="25"/>
  <c r="AJ802" i="25"/>
  <c r="AJ801" i="25"/>
  <c r="AJ800" i="25"/>
  <c r="AJ799" i="25"/>
  <c r="AJ798" i="25"/>
  <c r="AJ797" i="25"/>
  <c r="AJ796" i="25"/>
  <c r="AJ795" i="25"/>
  <c r="AJ794" i="25"/>
  <c r="AJ793" i="25"/>
  <c r="AJ792" i="25"/>
  <c r="AJ791" i="25"/>
  <c r="AJ790" i="25"/>
  <c r="AJ789" i="25"/>
  <c r="AJ788" i="25"/>
  <c r="AJ787" i="25"/>
  <c r="AJ786" i="25"/>
  <c r="AJ785" i="25"/>
  <c r="AJ784" i="25"/>
  <c r="AJ783" i="25"/>
  <c r="AJ782" i="25"/>
  <c r="AJ781" i="25"/>
  <c r="AJ780" i="25"/>
  <c r="AJ779" i="25"/>
  <c r="AJ778" i="25"/>
  <c r="AJ777" i="25"/>
  <c r="AJ776" i="25"/>
  <c r="AJ775" i="25"/>
  <c r="AJ774" i="25"/>
  <c r="AJ773" i="25"/>
  <c r="AJ772" i="25"/>
  <c r="AJ771" i="25"/>
  <c r="AJ770" i="25"/>
  <c r="AJ769" i="25"/>
  <c r="AJ768" i="25"/>
  <c r="AJ767" i="25"/>
  <c r="AJ766" i="25"/>
  <c r="AJ765" i="25"/>
  <c r="AJ764" i="25"/>
  <c r="AJ763" i="25"/>
  <c r="AJ762" i="25"/>
  <c r="AJ761" i="25"/>
  <c r="AJ760" i="25"/>
  <c r="AJ759" i="25"/>
  <c r="AJ758" i="25"/>
  <c r="AJ757" i="25"/>
  <c r="AJ756" i="25"/>
  <c r="AJ755" i="25"/>
  <c r="AJ754" i="25"/>
  <c r="AJ753" i="25"/>
  <c r="AJ752" i="25"/>
  <c r="AJ751" i="25"/>
  <c r="AJ750" i="25"/>
  <c r="AJ749" i="25"/>
  <c r="AJ748" i="25"/>
  <c r="AJ747" i="25"/>
  <c r="AJ746" i="25"/>
  <c r="AJ745" i="25"/>
  <c r="AJ744" i="25"/>
  <c r="AJ743" i="25"/>
  <c r="AJ742" i="25"/>
  <c r="AJ741" i="25"/>
  <c r="AJ740" i="25"/>
  <c r="AJ739" i="25"/>
  <c r="AJ738" i="25"/>
  <c r="AJ737" i="25"/>
  <c r="AJ736" i="25"/>
  <c r="AJ735" i="25"/>
  <c r="AJ734" i="25"/>
  <c r="AJ733" i="25"/>
  <c r="AJ732" i="25"/>
  <c r="AJ731" i="25"/>
  <c r="AJ730" i="25"/>
  <c r="AJ729" i="25"/>
  <c r="AJ728" i="25"/>
  <c r="AJ727" i="25"/>
  <c r="AJ726" i="25"/>
  <c r="AJ725" i="25"/>
  <c r="AJ724" i="25"/>
  <c r="AJ723" i="25"/>
  <c r="AJ722" i="25"/>
  <c r="AJ721" i="25"/>
  <c r="AJ720" i="25"/>
  <c r="AJ719" i="25"/>
  <c r="AJ718" i="25"/>
  <c r="AJ717" i="25"/>
  <c r="AJ716" i="25"/>
  <c r="AJ715" i="25"/>
  <c r="AJ714" i="25"/>
  <c r="AJ713" i="25"/>
  <c r="AJ712" i="25"/>
  <c r="AJ711" i="25"/>
  <c r="AJ710" i="25"/>
  <c r="AJ709" i="25"/>
  <c r="AJ708" i="25"/>
  <c r="AJ707" i="25"/>
  <c r="AJ706" i="25"/>
  <c r="AJ705" i="25"/>
  <c r="AJ704" i="25"/>
  <c r="AJ703" i="25"/>
  <c r="AJ702" i="25"/>
  <c r="AJ701" i="25"/>
  <c r="AJ700" i="25"/>
  <c r="AJ699" i="25"/>
  <c r="AJ698" i="25"/>
  <c r="AJ697" i="25"/>
  <c r="AJ696" i="25"/>
  <c r="AJ695" i="25"/>
  <c r="AJ694" i="25"/>
  <c r="AJ693" i="25"/>
  <c r="AJ692" i="25"/>
  <c r="AJ691" i="25"/>
  <c r="AJ690" i="25"/>
  <c r="AJ689" i="25"/>
  <c r="AJ688" i="25"/>
  <c r="AJ687" i="25"/>
  <c r="AJ686" i="25"/>
  <c r="AJ685" i="25"/>
  <c r="AJ684" i="25"/>
  <c r="AJ683" i="25"/>
  <c r="AJ682" i="25"/>
  <c r="AJ681" i="25"/>
  <c r="AJ680" i="25"/>
  <c r="AJ679" i="25"/>
  <c r="AJ678" i="25"/>
  <c r="AJ677" i="25"/>
  <c r="AJ676" i="25"/>
  <c r="AJ675" i="25"/>
  <c r="AJ674" i="25"/>
  <c r="AJ673" i="25"/>
  <c r="AJ672" i="25"/>
  <c r="AJ671" i="25"/>
  <c r="AJ670" i="25"/>
  <c r="AJ669" i="25"/>
  <c r="AJ668" i="25"/>
  <c r="AJ667" i="25"/>
  <c r="AJ666" i="25"/>
  <c r="AJ665" i="25"/>
  <c r="AJ664" i="25"/>
  <c r="AJ663" i="25"/>
  <c r="AJ662" i="25"/>
  <c r="AJ661" i="25"/>
  <c r="AJ660" i="25"/>
  <c r="AJ659" i="25"/>
  <c r="AJ658" i="25"/>
  <c r="AJ657" i="25"/>
  <c r="AJ656" i="25"/>
  <c r="AJ655" i="25"/>
  <c r="AJ654" i="25"/>
  <c r="AJ653" i="25"/>
  <c r="AJ652" i="25"/>
  <c r="AJ651" i="25"/>
  <c r="AJ650" i="25"/>
  <c r="AJ649" i="25"/>
  <c r="AJ648" i="25"/>
  <c r="AJ647" i="25"/>
  <c r="AJ646" i="25"/>
  <c r="AJ645" i="25"/>
  <c r="AJ644" i="25"/>
  <c r="AJ643" i="25"/>
  <c r="AJ642" i="25"/>
  <c r="AJ641" i="25"/>
  <c r="AJ640" i="25"/>
  <c r="AJ639" i="25"/>
  <c r="AJ638" i="25"/>
  <c r="AJ637" i="25"/>
  <c r="AJ636" i="25"/>
  <c r="AJ635" i="25"/>
  <c r="AJ634" i="25"/>
  <c r="AJ633" i="25"/>
  <c r="AJ632" i="25"/>
  <c r="AJ631" i="25"/>
  <c r="AJ630" i="25"/>
  <c r="AJ629" i="25"/>
  <c r="AJ628" i="25"/>
  <c r="AJ627" i="25"/>
  <c r="AJ626" i="25"/>
  <c r="AJ625" i="25"/>
  <c r="AJ624" i="25"/>
  <c r="AJ623" i="25"/>
  <c r="AJ622" i="25"/>
  <c r="AJ621" i="25"/>
  <c r="AJ620" i="25"/>
  <c r="AJ619" i="25"/>
  <c r="AJ618" i="25"/>
  <c r="AJ617" i="25"/>
  <c r="AJ616" i="25"/>
  <c r="AJ615" i="25"/>
  <c r="AJ614" i="25"/>
  <c r="AJ613" i="25"/>
  <c r="AJ612" i="25"/>
  <c r="AJ611" i="25"/>
  <c r="AJ610" i="25"/>
  <c r="AJ609" i="25"/>
  <c r="AJ608" i="25"/>
  <c r="AJ607" i="25"/>
  <c r="AJ606" i="25"/>
  <c r="AJ605" i="25"/>
  <c r="AJ604" i="25"/>
  <c r="AJ603" i="25"/>
  <c r="AJ602" i="25"/>
  <c r="AJ601" i="25"/>
  <c r="AJ600" i="25"/>
  <c r="AJ599" i="25"/>
  <c r="AJ598" i="25"/>
  <c r="AJ597" i="25"/>
  <c r="AJ596" i="25"/>
  <c r="AJ595" i="25"/>
  <c r="AJ594" i="25"/>
  <c r="AJ593" i="25"/>
  <c r="AJ592" i="25"/>
  <c r="AJ591" i="25"/>
  <c r="AJ590" i="25"/>
  <c r="AJ589" i="25"/>
  <c r="AJ588" i="25"/>
  <c r="AJ587" i="25"/>
  <c r="AJ586" i="25"/>
  <c r="AJ585" i="25"/>
  <c r="AJ584" i="25"/>
  <c r="AJ583" i="25"/>
  <c r="AJ582" i="25"/>
  <c r="AJ581" i="25"/>
  <c r="AJ580" i="25"/>
  <c r="AJ579" i="25"/>
  <c r="AJ578" i="25"/>
  <c r="AJ577" i="25"/>
  <c r="AJ576" i="25"/>
  <c r="AJ575" i="25"/>
  <c r="AJ574" i="25"/>
  <c r="AJ573" i="25"/>
  <c r="AJ572" i="25"/>
  <c r="AJ571" i="25"/>
  <c r="AJ570" i="25"/>
  <c r="AJ569" i="25"/>
  <c r="AJ568" i="25"/>
  <c r="AJ567" i="25"/>
  <c r="AJ566" i="25"/>
  <c r="AJ565" i="25"/>
  <c r="AJ564" i="25"/>
  <c r="AJ563" i="25"/>
  <c r="AJ562" i="25"/>
  <c r="AJ561" i="25"/>
  <c r="AJ560" i="25"/>
  <c r="AJ559" i="25"/>
  <c r="AJ558" i="25"/>
  <c r="AJ557" i="25"/>
  <c r="AJ556" i="25"/>
  <c r="AJ555" i="25"/>
  <c r="AJ554" i="25"/>
  <c r="AJ553" i="25"/>
  <c r="AJ552" i="25"/>
  <c r="AJ551" i="25"/>
  <c r="AJ550" i="25"/>
  <c r="AJ549" i="25"/>
  <c r="AJ548" i="25"/>
  <c r="AJ547" i="25"/>
  <c r="AJ546" i="25"/>
  <c r="AJ545" i="25"/>
  <c r="AJ544" i="25"/>
  <c r="AJ543" i="25"/>
  <c r="AJ542" i="25"/>
  <c r="AJ541" i="25"/>
  <c r="AJ540" i="25"/>
  <c r="AJ539" i="25"/>
  <c r="AJ538" i="25"/>
  <c r="AJ537" i="25"/>
  <c r="AJ536" i="25"/>
  <c r="AJ535" i="25"/>
  <c r="AJ534" i="25"/>
  <c r="AJ533" i="25"/>
  <c r="AJ532" i="25"/>
  <c r="AJ531" i="25"/>
  <c r="AJ530" i="25"/>
  <c r="AJ529" i="25"/>
  <c r="AJ528" i="25"/>
  <c r="AJ527" i="25"/>
  <c r="AJ526" i="25"/>
  <c r="AJ525" i="25"/>
  <c r="AJ524" i="25"/>
  <c r="AJ523" i="25"/>
  <c r="AJ522" i="25"/>
  <c r="AJ521" i="25"/>
  <c r="AJ520" i="25"/>
  <c r="AJ519" i="25"/>
  <c r="AJ518" i="25"/>
  <c r="AJ517" i="25"/>
  <c r="AJ516" i="25"/>
  <c r="AJ515" i="25"/>
  <c r="AJ514" i="25"/>
  <c r="AJ513" i="25"/>
  <c r="AJ512" i="25"/>
  <c r="AJ511" i="25"/>
  <c r="AJ510" i="25"/>
  <c r="AJ509" i="25"/>
  <c r="AJ508" i="25"/>
  <c r="AJ507" i="25"/>
  <c r="AJ506" i="25"/>
  <c r="AJ505" i="25"/>
  <c r="AJ504" i="25"/>
  <c r="AJ503" i="25"/>
  <c r="AJ502" i="25"/>
  <c r="AJ501" i="25"/>
  <c r="AJ500" i="25"/>
  <c r="AJ499" i="25"/>
  <c r="AJ498" i="25"/>
  <c r="AJ497" i="25"/>
  <c r="AJ496" i="25"/>
  <c r="AJ495" i="25"/>
  <c r="AJ494" i="25"/>
  <c r="AJ493" i="25"/>
  <c r="AJ492" i="25"/>
  <c r="AJ491" i="25"/>
  <c r="AJ490" i="25"/>
  <c r="AJ489" i="25"/>
  <c r="AJ488" i="25"/>
  <c r="AJ487" i="25"/>
  <c r="AJ486" i="25"/>
  <c r="AJ485" i="25"/>
  <c r="AJ484" i="25"/>
  <c r="AJ483" i="25"/>
  <c r="AJ482" i="25"/>
  <c r="AJ481" i="25"/>
  <c r="AJ480" i="25"/>
  <c r="AJ479" i="25"/>
  <c r="AJ478" i="25"/>
  <c r="AJ477" i="25"/>
  <c r="AJ476" i="25"/>
  <c r="AJ475" i="25"/>
  <c r="AJ474" i="25"/>
  <c r="AJ473" i="25"/>
  <c r="AJ472" i="25"/>
  <c r="AJ471" i="25"/>
  <c r="AJ470" i="25"/>
  <c r="AJ469" i="25"/>
  <c r="AJ468" i="25"/>
  <c r="AJ467" i="25"/>
  <c r="AJ466" i="25"/>
  <c r="AJ465" i="25"/>
  <c r="AJ464" i="25"/>
  <c r="AJ463" i="25"/>
  <c r="AJ462" i="25"/>
  <c r="AJ461" i="25"/>
  <c r="AJ460" i="25"/>
  <c r="AJ459" i="25"/>
  <c r="AJ458" i="25"/>
  <c r="AJ457" i="25"/>
  <c r="AJ456" i="25"/>
  <c r="AJ455" i="25"/>
  <c r="AJ454" i="25"/>
  <c r="AJ453" i="25"/>
  <c r="AJ452" i="25"/>
  <c r="AJ451" i="25"/>
  <c r="AJ450" i="25"/>
  <c r="AJ449" i="25"/>
  <c r="AJ448" i="25"/>
  <c r="AJ447" i="25"/>
  <c r="AJ446" i="25"/>
  <c r="AJ445" i="25"/>
  <c r="AJ444" i="25"/>
  <c r="AJ443" i="25"/>
  <c r="AJ442" i="25"/>
  <c r="AJ441" i="25"/>
  <c r="AJ440" i="25"/>
  <c r="AJ439" i="25"/>
  <c r="AJ438" i="25"/>
  <c r="AJ437" i="25"/>
  <c r="AJ436" i="25"/>
  <c r="AJ435" i="25"/>
  <c r="AJ434" i="25"/>
  <c r="AJ433" i="25"/>
  <c r="AJ432" i="25"/>
  <c r="AJ431" i="25"/>
  <c r="AJ430" i="25"/>
  <c r="AJ429" i="25"/>
  <c r="AJ428" i="25"/>
  <c r="AJ427" i="25"/>
  <c r="AJ426" i="25"/>
  <c r="AJ425" i="25"/>
  <c r="AJ424" i="25"/>
  <c r="AJ423" i="25"/>
  <c r="AJ422" i="25"/>
  <c r="AJ421" i="25"/>
  <c r="AJ420" i="25"/>
  <c r="AJ419" i="25"/>
  <c r="AJ418" i="25"/>
  <c r="AJ417" i="25"/>
  <c r="AJ416" i="25"/>
  <c r="AJ415" i="25"/>
  <c r="AJ414" i="25"/>
  <c r="AJ413" i="25"/>
  <c r="AJ412" i="25"/>
  <c r="AJ411" i="25"/>
  <c r="AJ410" i="25"/>
  <c r="AJ409" i="25"/>
  <c r="AJ408" i="25"/>
  <c r="AJ407" i="25"/>
  <c r="AJ406" i="25"/>
  <c r="AJ405" i="25"/>
  <c r="AJ404" i="25"/>
  <c r="AJ403" i="25"/>
  <c r="AJ402" i="25"/>
  <c r="AJ401" i="25"/>
  <c r="AJ400" i="25"/>
  <c r="AJ399" i="25"/>
  <c r="AJ398" i="25"/>
  <c r="AJ397" i="25"/>
  <c r="AJ396" i="25"/>
  <c r="AJ395" i="25"/>
  <c r="AJ394" i="25"/>
  <c r="AJ393" i="25"/>
  <c r="AJ392" i="25"/>
  <c r="AJ391" i="25"/>
  <c r="AJ390" i="25"/>
  <c r="AJ389" i="25"/>
  <c r="AJ388" i="25"/>
  <c r="AJ387" i="25"/>
  <c r="AJ386" i="25"/>
  <c r="AJ385" i="25"/>
  <c r="AJ384" i="25"/>
  <c r="AJ383" i="25"/>
  <c r="AJ382" i="25"/>
  <c r="AJ381" i="25"/>
  <c r="AJ380" i="25"/>
  <c r="AJ379" i="25"/>
  <c r="AJ378" i="25"/>
  <c r="AJ377" i="25"/>
  <c r="AJ376" i="25"/>
  <c r="AJ375" i="25"/>
  <c r="AJ374" i="25"/>
  <c r="AJ373" i="25"/>
  <c r="AJ372" i="25"/>
  <c r="AJ371" i="25"/>
  <c r="AJ370" i="25"/>
  <c r="AJ369" i="25"/>
  <c r="AJ368" i="25"/>
  <c r="AJ367" i="25"/>
  <c r="AJ366" i="25"/>
  <c r="AJ365" i="25"/>
  <c r="AJ364" i="25"/>
  <c r="AJ363" i="25"/>
  <c r="AJ362" i="25"/>
  <c r="AJ361" i="25"/>
  <c r="AJ360" i="25"/>
  <c r="AJ359" i="25"/>
  <c r="AJ358" i="25"/>
  <c r="AJ357" i="25"/>
  <c r="AJ356" i="25"/>
  <c r="AJ355" i="25"/>
  <c r="AJ354" i="25"/>
  <c r="AJ353" i="25"/>
  <c r="AJ352" i="25"/>
  <c r="AJ351" i="25"/>
  <c r="AJ350" i="25"/>
  <c r="AJ349" i="25"/>
  <c r="AJ348" i="25"/>
  <c r="AJ347" i="25"/>
  <c r="AJ346" i="25"/>
  <c r="AJ345" i="25"/>
  <c r="AJ344" i="25"/>
  <c r="AJ343" i="25"/>
  <c r="AJ342" i="25"/>
  <c r="AJ341" i="25"/>
  <c r="AJ340" i="25"/>
  <c r="AJ339" i="25"/>
  <c r="AJ338" i="25"/>
  <c r="AJ337" i="25"/>
  <c r="AJ336" i="25"/>
  <c r="AJ335" i="25"/>
  <c r="AJ334" i="25"/>
  <c r="AJ333" i="25"/>
  <c r="AJ332" i="25"/>
  <c r="AJ331" i="25"/>
  <c r="AJ330" i="25"/>
  <c r="AJ329" i="25"/>
  <c r="AJ328" i="25"/>
  <c r="AJ327" i="25"/>
  <c r="AJ326" i="25"/>
  <c r="AJ325" i="25"/>
  <c r="AJ324" i="25"/>
  <c r="AJ323" i="25"/>
  <c r="AJ322" i="25"/>
  <c r="AJ321" i="25"/>
  <c r="AJ320" i="25"/>
  <c r="AJ319" i="25"/>
  <c r="AJ318" i="25"/>
  <c r="AJ317" i="25"/>
  <c r="AJ316" i="25"/>
  <c r="AJ315" i="25"/>
  <c r="AJ314" i="25"/>
  <c r="AJ313" i="25"/>
  <c r="AJ312" i="25"/>
  <c r="AJ311" i="25"/>
  <c r="AJ310" i="25"/>
  <c r="AJ309" i="25"/>
  <c r="AJ308" i="25"/>
  <c r="AJ307" i="25"/>
  <c r="AJ306" i="25"/>
  <c r="AJ305" i="25"/>
  <c r="AJ304" i="25"/>
  <c r="AJ303" i="25"/>
  <c r="AJ302" i="25"/>
  <c r="AJ301" i="25"/>
  <c r="AJ300" i="25"/>
  <c r="AJ299" i="25"/>
  <c r="AJ298" i="25"/>
  <c r="AJ297" i="25"/>
  <c r="AJ296" i="25"/>
  <c r="AJ295" i="25"/>
  <c r="AJ294" i="25"/>
  <c r="AJ293" i="25"/>
  <c r="AJ292" i="25"/>
  <c r="AJ291" i="25"/>
  <c r="AJ290" i="25"/>
  <c r="AJ289" i="25"/>
  <c r="AJ288" i="25"/>
  <c r="AJ287" i="25"/>
  <c r="AJ286" i="25"/>
  <c r="AJ285" i="25"/>
  <c r="AJ284" i="25"/>
  <c r="AJ283" i="25"/>
  <c r="AJ282" i="25"/>
  <c r="AJ281" i="25"/>
  <c r="AJ280" i="25"/>
  <c r="AJ279" i="25"/>
  <c r="AJ278" i="25"/>
  <c r="AJ277" i="25"/>
  <c r="AJ276" i="25"/>
  <c r="AJ275" i="25"/>
  <c r="AJ274" i="25"/>
  <c r="AJ273" i="25"/>
  <c r="AJ272" i="25"/>
  <c r="AJ271" i="25"/>
  <c r="AJ270" i="25"/>
  <c r="AJ269" i="25"/>
  <c r="AJ268" i="25"/>
  <c r="AJ267" i="25"/>
  <c r="AJ266" i="25"/>
  <c r="AJ265" i="25"/>
  <c r="AJ264" i="25"/>
  <c r="AJ263" i="25"/>
  <c r="AJ262" i="25"/>
  <c r="AJ261" i="25"/>
  <c r="AJ260" i="25"/>
  <c r="AJ259" i="25"/>
  <c r="AJ258" i="25"/>
  <c r="AJ257" i="25"/>
  <c r="AJ256" i="25"/>
  <c r="AJ255" i="25"/>
  <c r="AJ254" i="25"/>
  <c r="AJ253" i="25"/>
  <c r="AJ252" i="25"/>
  <c r="AJ251" i="25"/>
  <c r="AJ250" i="25"/>
  <c r="AJ249" i="25"/>
  <c r="AJ248" i="25"/>
  <c r="AJ247" i="25"/>
  <c r="AJ246" i="25"/>
  <c r="AJ245" i="25"/>
  <c r="AJ244" i="25"/>
  <c r="AJ243" i="25"/>
  <c r="AJ242" i="25"/>
  <c r="AJ241" i="25"/>
  <c r="AJ240" i="25"/>
  <c r="AJ239" i="25"/>
  <c r="AJ238" i="25"/>
  <c r="AJ237" i="25"/>
  <c r="AJ236" i="25"/>
  <c r="AJ235" i="25"/>
  <c r="AJ234" i="25"/>
  <c r="AJ233" i="25"/>
  <c r="AJ232" i="25"/>
  <c r="AJ231" i="25"/>
  <c r="AJ230" i="25"/>
  <c r="AJ229" i="25"/>
  <c r="AJ228" i="25"/>
  <c r="AJ227" i="25"/>
  <c r="AJ226" i="25"/>
  <c r="AJ225" i="25"/>
  <c r="AJ224" i="25"/>
  <c r="AJ223" i="25"/>
  <c r="AJ222" i="25"/>
  <c r="AJ221" i="25"/>
  <c r="AJ220" i="25"/>
  <c r="AJ219" i="25"/>
  <c r="AJ218" i="25"/>
  <c r="AJ217" i="25"/>
  <c r="AJ216" i="25"/>
  <c r="AJ215" i="25"/>
  <c r="AJ214" i="25"/>
  <c r="AJ213" i="25"/>
  <c r="AJ212" i="25"/>
  <c r="AJ211" i="25"/>
  <c r="AJ210" i="25"/>
  <c r="AJ209" i="25"/>
  <c r="AJ208" i="25"/>
  <c r="AJ207" i="25"/>
  <c r="AJ206" i="25"/>
  <c r="AJ205" i="25"/>
  <c r="AJ204" i="25"/>
  <c r="AJ203" i="25"/>
  <c r="AJ202" i="25"/>
  <c r="AJ201" i="25"/>
  <c r="AJ200" i="25"/>
  <c r="AJ199" i="25"/>
  <c r="AJ198" i="25"/>
  <c r="AJ197" i="25"/>
  <c r="AJ196" i="25"/>
  <c r="AJ195" i="25"/>
  <c r="AJ194" i="25"/>
  <c r="AJ193" i="25"/>
  <c r="AJ192" i="25"/>
  <c r="AJ191" i="25"/>
  <c r="AJ190" i="25"/>
  <c r="AJ189" i="25"/>
  <c r="AJ188" i="25"/>
  <c r="AJ187" i="25"/>
  <c r="AJ186" i="25"/>
  <c r="AJ185" i="25"/>
  <c r="AJ184" i="25"/>
  <c r="AJ183" i="25"/>
  <c r="AJ182" i="25"/>
  <c r="AJ181" i="25"/>
  <c r="AJ180" i="25"/>
  <c r="AJ179" i="25"/>
  <c r="AJ178" i="25"/>
  <c r="AJ177" i="25"/>
  <c r="AJ176" i="25"/>
  <c r="AJ175" i="25"/>
  <c r="AJ174" i="25"/>
  <c r="AJ173" i="25"/>
  <c r="AJ172" i="25"/>
  <c r="AJ171" i="25"/>
  <c r="AJ170" i="25"/>
  <c r="AJ169" i="25"/>
  <c r="AJ168" i="25"/>
  <c r="AJ167" i="25"/>
  <c r="AJ166" i="25"/>
  <c r="AJ165" i="25"/>
  <c r="AJ164" i="25"/>
  <c r="AJ163" i="25"/>
  <c r="AJ162" i="25"/>
  <c r="AJ161" i="25"/>
  <c r="AJ160" i="25"/>
  <c r="AJ159" i="25"/>
  <c r="AJ158" i="25"/>
  <c r="AJ157" i="25"/>
  <c r="AJ156" i="25"/>
  <c r="AJ155" i="25"/>
  <c r="AJ154" i="25"/>
  <c r="AJ153" i="25"/>
  <c r="AJ152" i="25"/>
  <c r="AJ151" i="25"/>
  <c r="AJ150" i="25"/>
  <c r="AJ149" i="25"/>
  <c r="AJ148" i="25"/>
  <c r="AJ147" i="25"/>
  <c r="AJ146" i="25"/>
  <c r="AJ145" i="25"/>
  <c r="AJ144" i="25"/>
  <c r="AJ143" i="25"/>
  <c r="AJ142" i="25"/>
  <c r="AJ141" i="25"/>
  <c r="AJ140" i="25"/>
  <c r="AJ139" i="25"/>
  <c r="AJ138" i="25"/>
  <c r="AJ137" i="25"/>
  <c r="AJ136" i="25"/>
  <c r="AJ135" i="25"/>
  <c r="AJ134" i="25"/>
  <c r="AJ133" i="25"/>
  <c r="AJ132" i="25"/>
  <c r="AJ131" i="25"/>
  <c r="AJ130" i="25"/>
  <c r="AJ129" i="25"/>
  <c r="AJ128" i="25"/>
  <c r="AJ127" i="25"/>
  <c r="AJ126" i="25"/>
  <c r="AJ125" i="25"/>
  <c r="AJ124" i="25"/>
  <c r="AJ123" i="25"/>
  <c r="AJ122" i="25"/>
  <c r="AJ121" i="25"/>
  <c r="AJ120" i="25"/>
  <c r="AJ119" i="25"/>
  <c r="AJ118" i="25"/>
  <c r="AJ117" i="25"/>
  <c r="AJ116" i="25"/>
  <c r="AJ115" i="25"/>
  <c r="AJ114" i="25"/>
  <c r="AJ113" i="25"/>
  <c r="AJ112" i="25"/>
  <c r="AJ111" i="25"/>
  <c r="AJ110" i="25"/>
  <c r="AJ109" i="25"/>
  <c r="AJ108" i="25"/>
  <c r="AJ107" i="25"/>
  <c r="AJ106" i="25"/>
  <c r="AJ105" i="25"/>
  <c r="AJ104" i="25"/>
  <c r="AJ103" i="25"/>
  <c r="AJ102" i="25"/>
  <c r="AJ101" i="25"/>
  <c r="AJ100" i="25"/>
  <c r="AJ99" i="25"/>
  <c r="AJ98" i="25"/>
  <c r="AJ97" i="25"/>
  <c r="AJ96" i="25"/>
  <c r="AJ95" i="25"/>
  <c r="AJ94" i="25"/>
  <c r="AJ93" i="25"/>
  <c r="AJ92" i="25"/>
  <c r="AJ91" i="25"/>
  <c r="AJ90" i="25"/>
  <c r="AJ89" i="25"/>
  <c r="AJ88" i="25"/>
  <c r="AJ87" i="25"/>
  <c r="AJ86" i="25"/>
  <c r="AJ85" i="25"/>
  <c r="AJ84" i="25"/>
  <c r="AJ83" i="25"/>
  <c r="AJ82" i="25"/>
  <c r="AJ81" i="25"/>
  <c r="AJ80" i="25"/>
  <c r="AJ79" i="25"/>
  <c r="AJ78" i="25"/>
  <c r="AJ77" i="25"/>
  <c r="AJ76" i="25"/>
  <c r="AJ75" i="25"/>
  <c r="AJ74" i="25"/>
  <c r="AJ73" i="25"/>
  <c r="AJ72" i="25"/>
  <c r="AJ71" i="25"/>
  <c r="AJ70" i="25"/>
  <c r="AJ69" i="25"/>
  <c r="AJ68" i="25"/>
  <c r="AJ67" i="25"/>
  <c r="AJ66" i="25"/>
  <c r="AJ65" i="25"/>
  <c r="AJ64" i="25"/>
  <c r="AJ63" i="25"/>
  <c r="AJ62" i="25"/>
  <c r="AJ61" i="25"/>
  <c r="AJ60" i="25"/>
  <c r="AJ59" i="25"/>
  <c r="AJ58" i="25"/>
  <c r="AJ57" i="25"/>
  <c r="AJ56" i="25"/>
  <c r="AJ55" i="25"/>
  <c r="AJ54" i="25"/>
  <c r="AJ53" i="25"/>
  <c r="AJ52" i="25"/>
  <c r="AJ51" i="25"/>
  <c r="AJ50" i="25"/>
  <c r="AJ49" i="25"/>
  <c r="AJ48" i="25"/>
  <c r="AJ47" i="25"/>
  <c r="AJ46" i="25"/>
  <c r="AJ45" i="25"/>
  <c r="AJ44" i="25"/>
  <c r="AJ43" i="25"/>
  <c r="AJ42" i="25"/>
  <c r="AJ41" i="25"/>
  <c r="AJ40" i="25"/>
  <c r="AJ39" i="25"/>
  <c r="AJ38" i="25"/>
  <c r="AJ37" i="25"/>
  <c r="AJ36" i="25"/>
  <c r="AJ35" i="25"/>
  <c r="AJ34" i="25"/>
  <c r="AJ33" i="25"/>
  <c r="AJ32" i="25"/>
  <c r="AJ31" i="25"/>
  <c r="AJ30" i="25"/>
  <c r="AJ29" i="25"/>
  <c r="AJ28" i="25"/>
  <c r="AJ27" i="25"/>
  <c r="AJ26" i="25"/>
  <c r="AJ25" i="25"/>
  <c r="AJ24" i="25"/>
  <c r="AJ23" i="25"/>
  <c r="AJ22" i="25"/>
  <c r="AJ21" i="25"/>
  <c r="AJ20" i="25"/>
  <c r="AJ19" i="25"/>
  <c r="AJ18" i="25"/>
  <c r="AJ17" i="25"/>
  <c r="AJ16" i="25"/>
  <c r="AJ15" i="25"/>
  <c r="AJ14" i="25"/>
  <c r="AJ13" i="25"/>
  <c r="AJ12" i="25"/>
  <c r="AJ11" i="25"/>
  <c r="AJ10" i="25"/>
  <c r="AJ9" i="25"/>
  <c r="AJ8" i="25"/>
  <c r="AJ7" i="25"/>
  <c r="AJ6" i="25"/>
  <c r="AJ5" i="25"/>
  <c r="AJ4" i="25"/>
  <c r="AJ3" i="25"/>
  <c r="AJ2" i="25"/>
  <c r="O2" i="25"/>
  <c r="O881" i="31"/>
  <c r="O880" i="31"/>
  <c r="O879" i="31"/>
  <c r="O878" i="31"/>
  <c r="O877" i="31"/>
  <c r="O876" i="31"/>
  <c r="O875" i="31"/>
  <c r="O874" i="31"/>
  <c r="O873" i="31"/>
  <c r="O872" i="31"/>
  <c r="O871" i="31"/>
  <c r="O870" i="31"/>
  <c r="O869" i="31"/>
  <c r="O868" i="31"/>
  <c r="O867" i="31"/>
  <c r="O866" i="31"/>
  <c r="O865" i="31"/>
  <c r="O864" i="31"/>
  <c r="O863" i="31"/>
  <c r="O862" i="31"/>
  <c r="O861" i="31"/>
  <c r="O860" i="31"/>
  <c r="O859" i="31"/>
  <c r="O858" i="31"/>
  <c r="O857" i="31"/>
  <c r="O856" i="31"/>
  <c r="O855" i="31"/>
  <c r="O854" i="31"/>
  <c r="O853" i="31"/>
  <c r="O852" i="31"/>
  <c r="O851" i="31"/>
  <c r="O850" i="31"/>
  <c r="O849" i="31"/>
  <c r="O848" i="31"/>
  <c r="O847" i="31"/>
  <c r="O846" i="31"/>
  <c r="O845" i="31"/>
  <c r="O844" i="31"/>
  <c r="O843" i="31"/>
  <c r="O842" i="31"/>
  <c r="O841" i="31"/>
  <c r="O840" i="31"/>
  <c r="O839" i="31"/>
  <c r="O838" i="31"/>
  <c r="O837" i="31"/>
  <c r="O836" i="31"/>
  <c r="O835" i="31"/>
  <c r="O834" i="31"/>
  <c r="O833" i="31"/>
  <c r="O832" i="31"/>
  <c r="O831" i="31"/>
  <c r="O830" i="31"/>
  <c r="O829" i="31"/>
  <c r="O828" i="31"/>
  <c r="O827" i="31"/>
  <c r="O826" i="31"/>
  <c r="O825" i="31"/>
  <c r="O824" i="31"/>
  <c r="O823" i="31"/>
  <c r="O822" i="31"/>
  <c r="O821" i="31"/>
  <c r="O820" i="31"/>
  <c r="O819" i="31"/>
  <c r="O818" i="31"/>
  <c r="O817" i="31"/>
  <c r="O816" i="31"/>
  <c r="O815" i="31"/>
  <c r="O814" i="31"/>
  <c r="O813" i="31"/>
  <c r="O812" i="31"/>
  <c r="O811" i="31"/>
  <c r="O810" i="31"/>
  <c r="O809" i="31"/>
  <c r="O808" i="31"/>
  <c r="O807" i="31"/>
  <c r="O806" i="31"/>
  <c r="O805" i="31"/>
  <c r="O804" i="31"/>
  <c r="O803" i="31"/>
  <c r="O802" i="31"/>
  <c r="O801" i="31"/>
  <c r="O800" i="31"/>
  <c r="O799" i="31"/>
  <c r="O798" i="31"/>
  <c r="O797" i="31"/>
  <c r="O796" i="31"/>
  <c r="O795" i="31"/>
  <c r="O794" i="31"/>
  <c r="O793" i="31"/>
  <c r="O792" i="31"/>
  <c r="O791" i="31"/>
  <c r="O790" i="31"/>
  <c r="O789" i="31"/>
  <c r="O788" i="31"/>
  <c r="O787" i="31"/>
  <c r="O786" i="31"/>
  <c r="O785" i="31"/>
  <c r="O784" i="31"/>
  <c r="O783" i="31"/>
  <c r="O782" i="31"/>
  <c r="O781" i="31"/>
  <c r="O780" i="31"/>
  <c r="O779" i="31"/>
  <c r="O778" i="31"/>
  <c r="O777" i="31"/>
  <c r="O776" i="31"/>
  <c r="O775" i="31"/>
  <c r="O774" i="31"/>
  <c r="O773" i="31"/>
  <c r="O772" i="31"/>
  <c r="O771" i="31"/>
  <c r="O770" i="31"/>
  <c r="O769" i="31"/>
  <c r="O768" i="31"/>
  <c r="O767" i="31"/>
  <c r="O766" i="31"/>
  <c r="O765" i="31"/>
  <c r="O764" i="31"/>
  <c r="O763" i="31"/>
  <c r="O762" i="31"/>
  <c r="O761" i="31"/>
  <c r="O760" i="31"/>
  <c r="O759" i="31"/>
  <c r="O758" i="31"/>
  <c r="O757" i="31"/>
  <c r="O756" i="31"/>
  <c r="O755" i="31"/>
  <c r="O754" i="31"/>
  <c r="O753" i="31"/>
  <c r="O752" i="31"/>
  <c r="O751" i="31"/>
  <c r="O750" i="31"/>
  <c r="O749" i="31"/>
  <c r="O748" i="31"/>
  <c r="O747" i="31"/>
  <c r="O746" i="31"/>
  <c r="O745" i="31"/>
  <c r="O744" i="31"/>
  <c r="O743" i="31"/>
  <c r="O742" i="31"/>
  <c r="O741" i="31"/>
  <c r="O740" i="31"/>
  <c r="O739" i="31"/>
  <c r="O738" i="31"/>
  <c r="O737" i="31"/>
  <c r="O736" i="31"/>
  <c r="O735" i="31"/>
  <c r="O734" i="31"/>
  <c r="O733" i="31"/>
  <c r="O732" i="31"/>
  <c r="O731" i="31"/>
  <c r="O730" i="31"/>
  <c r="O729" i="31"/>
  <c r="O728" i="31"/>
  <c r="O727" i="31"/>
  <c r="O726" i="31"/>
  <c r="O725" i="31"/>
  <c r="O724" i="31"/>
  <c r="O723" i="31"/>
  <c r="O722" i="31"/>
  <c r="O721" i="31"/>
  <c r="O720" i="31"/>
  <c r="O719" i="31"/>
  <c r="O718" i="31"/>
  <c r="O717" i="31"/>
  <c r="O716" i="31"/>
  <c r="O715" i="31"/>
  <c r="O714" i="31"/>
  <c r="O713" i="31"/>
  <c r="O712" i="31"/>
  <c r="O711" i="31"/>
  <c r="O710" i="31"/>
  <c r="O709" i="31"/>
  <c r="O708" i="31"/>
  <c r="O707" i="31"/>
  <c r="O706" i="31"/>
  <c r="O705" i="31"/>
  <c r="O704" i="31"/>
  <c r="O703" i="31"/>
  <c r="O702" i="31"/>
  <c r="O701" i="31"/>
  <c r="O700" i="31"/>
  <c r="O699" i="31"/>
  <c r="O698" i="31"/>
  <c r="O697" i="31"/>
  <c r="O696" i="31"/>
  <c r="O695" i="31"/>
  <c r="O694" i="31"/>
  <c r="O693" i="31"/>
  <c r="O692" i="31"/>
  <c r="O691" i="31"/>
  <c r="O690" i="31"/>
  <c r="O689" i="31"/>
  <c r="O688" i="31"/>
  <c r="O687" i="31"/>
  <c r="O686" i="31"/>
  <c r="O685" i="31"/>
  <c r="O684" i="31"/>
  <c r="O683" i="31"/>
  <c r="O682" i="31"/>
  <c r="O681" i="31"/>
  <c r="O680" i="31"/>
  <c r="O679" i="31"/>
  <c r="O678" i="31"/>
  <c r="O677" i="31"/>
  <c r="O676" i="31"/>
  <c r="O675" i="31"/>
  <c r="O674" i="31"/>
  <c r="O673" i="31"/>
  <c r="O672" i="31"/>
  <c r="O671" i="31"/>
  <c r="O670" i="31"/>
  <c r="O669" i="31"/>
  <c r="O668" i="31"/>
  <c r="O667" i="31"/>
  <c r="O666" i="31"/>
  <c r="O665" i="31"/>
  <c r="O664" i="31"/>
  <c r="O663" i="31"/>
  <c r="O662" i="31"/>
  <c r="O661" i="31"/>
  <c r="O660" i="31"/>
  <c r="O659" i="31"/>
  <c r="O658" i="31"/>
  <c r="O657" i="31"/>
  <c r="O656" i="31"/>
  <c r="O655" i="31"/>
  <c r="O654" i="31"/>
  <c r="O653" i="31"/>
  <c r="O652" i="31"/>
  <c r="O651" i="31"/>
  <c r="O650" i="31"/>
  <c r="O649" i="31"/>
  <c r="O648" i="31"/>
  <c r="O647" i="31"/>
  <c r="O646" i="31"/>
  <c r="O645" i="31"/>
  <c r="O644" i="31"/>
  <c r="O643" i="31"/>
  <c r="O642" i="31"/>
  <c r="O641" i="31"/>
  <c r="O640" i="31"/>
  <c r="O639" i="31"/>
  <c r="O638" i="31"/>
  <c r="O637" i="31"/>
  <c r="O636" i="31"/>
  <c r="O635" i="31"/>
  <c r="O634" i="31"/>
  <c r="O633" i="31"/>
  <c r="O632" i="31"/>
  <c r="O631" i="31"/>
  <c r="O630" i="31"/>
  <c r="O629" i="31"/>
  <c r="O628" i="31"/>
  <c r="O627" i="31"/>
  <c r="O626" i="31"/>
  <c r="O625" i="31"/>
  <c r="O624" i="31"/>
  <c r="O623" i="31"/>
  <c r="O622" i="31"/>
  <c r="O621" i="31"/>
  <c r="O620" i="31"/>
  <c r="O619" i="31"/>
  <c r="O618" i="31"/>
  <c r="O617" i="31"/>
  <c r="O616" i="31"/>
  <c r="O615" i="31"/>
  <c r="O614" i="31"/>
  <c r="O613" i="31"/>
  <c r="O612" i="31"/>
  <c r="O611" i="31"/>
  <c r="O610" i="31"/>
  <c r="O609" i="31"/>
  <c r="O608" i="31"/>
  <c r="O607" i="31"/>
  <c r="O606" i="31"/>
  <c r="O605" i="31"/>
  <c r="O604" i="31"/>
  <c r="O603" i="31"/>
  <c r="O602" i="31"/>
  <c r="O601" i="31"/>
  <c r="O600" i="31"/>
  <c r="O599" i="31"/>
  <c r="O598" i="31"/>
  <c r="O597" i="31"/>
  <c r="O596" i="31"/>
  <c r="O595" i="31"/>
  <c r="O594" i="31"/>
  <c r="O593" i="31"/>
  <c r="O592" i="31"/>
  <c r="O591" i="31"/>
  <c r="O590" i="31"/>
  <c r="O589" i="31"/>
  <c r="O588" i="31"/>
  <c r="O587" i="31"/>
  <c r="O586" i="31"/>
  <c r="O585" i="31"/>
  <c r="O584" i="31"/>
  <c r="O583" i="31"/>
  <c r="O582" i="31"/>
  <c r="O581" i="31"/>
  <c r="O580" i="31"/>
  <c r="O579" i="31"/>
  <c r="O578" i="31"/>
  <c r="O577" i="31"/>
  <c r="O576" i="31"/>
  <c r="O575" i="31"/>
  <c r="O574" i="31"/>
  <c r="O573" i="31"/>
  <c r="O572" i="31"/>
  <c r="O571" i="31"/>
  <c r="O570" i="31"/>
  <c r="O569" i="31"/>
  <c r="O568" i="31"/>
  <c r="O567" i="31"/>
  <c r="O566" i="31"/>
  <c r="O565" i="31"/>
  <c r="O564" i="31"/>
  <c r="O563" i="31"/>
  <c r="O562" i="31"/>
  <c r="O561" i="31"/>
  <c r="O560" i="31"/>
  <c r="O559" i="31"/>
  <c r="O558" i="31"/>
  <c r="O557" i="31"/>
  <c r="O556" i="31"/>
  <c r="O555" i="31"/>
  <c r="O554" i="31"/>
  <c r="O553" i="31"/>
  <c r="O552" i="31"/>
  <c r="O551" i="31"/>
  <c r="O550" i="31"/>
  <c r="O549" i="31"/>
  <c r="O548" i="31"/>
  <c r="O547" i="31"/>
  <c r="O546" i="31"/>
  <c r="O545" i="31"/>
  <c r="O544" i="31"/>
  <c r="O543" i="31"/>
  <c r="O542" i="31"/>
  <c r="O541" i="31"/>
  <c r="O540" i="31"/>
  <c r="O539" i="31"/>
  <c r="O538" i="31"/>
  <c r="O537" i="31"/>
  <c r="O536" i="31"/>
  <c r="O535" i="31"/>
  <c r="O534" i="31"/>
  <c r="O533" i="31"/>
  <c r="O532" i="31"/>
  <c r="O531" i="31"/>
  <c r="O530" i="31"/>
  <c r="O529" i="31"/>
  <c r="O528" i="31"/>
  <c r="O527" i="31"/>
  <c r="O526" i="31"/>
  <c r="O525" i="31"/>
  <c r="O524" i="31"/>
  <c r="O523" i="31"/>
  <c r="O522" i="31"/>
  <c r="O521" i="31"/>
  <c r="O520" i="31"/>
  <c r="O519" i="31"/>
  <c r="O518" i="31"/>
  <c r="O517" i="31"/>
  <c r="O516" i="31"/>
  <c r="O515" i="31"/>
  <c r="O514" i="31"/>
  <c r="O513" i="31"/>
  <c r="O512" i="31"/>
  <c r="O511" i="31"/>
  <c r="O510" i="31"/>
  <c r="O509" i="31"/>
  <c r="O508" i="31"/>
  <c r="O507" i="31"/>
  <c r="O506" i="31"/>
  <c r="O505" i="31"/>
  <c r="O504" i="31"/>
  <c r="O503" i="31"/>
  <c r="O502" i="31"/>
  <c r="O501" i="31"/>
  <c r="O500" i="31"/>
  <c r="O499" i="31"/>
  <c r="O498" i="31"/>
  <c r="O497" i="31"/>
  <c r="O496" i="31"/>
  <c r="O495" i="31"/>
  <c r="O494" i="31"/>
  <c r="O493" i="31"/>
  <c r="O492" i="31"/>
  <c r="O491" i="31"/>
  <c r="O490" i="31"/>
  <c r="O489" i="31"/>
  <c r="O488" i="31"/>
  <c r="O487" i="31"/>
  <c r="O486" i="31"/>
  <c r="O485" i="31"/>
  <c r="O484" i="31"/>
  <c r="O483" i="31"/>
  <c r="O482" i="31"/>
  <c r="O481" i="31"/>
  <c r="O480" i="31"/>
  <c r="O479" i="31"/>
  <c r="O478" i="31"/>
  <c r="O477" i="31"/>
  <c r="O476" i="31"/>
  <c r="O475" i="31"/>
  <c r="O474" i="31"/>
  <c r="O473" i="31"/>
  <c r="O472" i="31"/>
  <c r="O471" i="31"/>
  <c r="O470" i="31"/>
  <c r="O469" i="31"/>
  <c r="O468" i="31"/>
  <c r="O467" i="31"/>
  <c r="O466" i="31"/>
  <c r="O465" i="31"/>
  <c r="O464" i="31"/>
  <c r="O463" i="31"/>
  <c r="O462" i="31"/>
  <c r="O461" i="31"/>
  <c r="O460" i="31"/>
  <c r="O459" i="31"/>
  <c r="O458" i="31"/>
  <c r="O457" i="31"/>
  <c r="O456" i="31"/>
  <c r="O455" i="31"/>
  <c r="O454" i="31"/>
  <c r="O453" i="31"/>
  <c r="O452" i="31"/>
  <c r="O451" i="31"/>
  <c r="O450" i="31"/>
  <c r="O449" i="31"/>
  <c r="O448" i="31"/>
  <c r="O447" i="31"/>
  <c r="O446" i="31"/>
  <c r="O445" i="31"/>
  <c r="O444" i="31"/>
  <c r="O443" i="31"/>
  <c r="O442" i="31"/>
  <c r="O441" i="31"/>
  <c r="O440" i="31"/>
  <c r="O439" i="31"/>
  <c r="O438" i="31"/>
  <c r="O437" i="31"/>
  <c r="O436" i="31"/>
  <c r="O435" i="31"/>
  <c r="O434" i="31"/>
  <c r="O433" i="31"/>
  <c r="O432" i="31"/>
  <c r="O431" i="31"/>
  <c r="O430" i="31"/>
  <c r="O429" i="31"/>
  <c r="O428" i="31"/>
  <c r="O427" i="31"/>
  <c r="O426" i="31"/>
  <c r="O425" i="31"/>
  <c r="O424" i="31"/>
  <c r="O423" i="31"/>
  <c r="O422" i="31"/>
  <c r="O421" i="31"/>
  <c r="O420" i="31"/>
  <c r="O419" i="31"/>
  <c r="O418" i="31"/>
  <c r="O417" i="31"/>
  <c r="O416" i="31"/>
  <c r="O415" i="31"/>
  <c r="O414" i="31"/>
  <c r="O413" i="31"/>
  <c r="O412" i="31"/>
  <c r="O411" i="31"/>
  <c r="O410" i="31"/>
  <c r="O409" i="31"/>
  <c r="O408" i="31"/>
  <c r="O407" i="31"/>
  <c r="O406" i="31"/>
  <c r="O405" i="31"/>
  <c r="O404" i="31"/>
  <c r="O403" i="31"/>
  <c r="O402" i="31"/>
  <c r="O401" i="31"/>
  <c r="O400" i="31"/>
  <c r="O399" i="31"/>
  <c r="O398" i="31"/>
  <c r="O397" i="31"/>
  <c r="O396" i="31"/>
  <c r="O395" i="31"/>
  <c r="O394" i="31"/>
  <c r="O393" i="31"/>
  <c r="O392" i="31"/>
  <c r="O391" i="31"/>
  <c r="O390" i="31"/>
  <c r="O389" i="31"/>
  <c r="O388" i="31"/>
  <c r="O387" i="31"/>
  <c r="O386" i="31"/>
  <c r="O385" i="31"/>
  <c r="O384" i="31"/>
  <c r="O383" i="31"/>
  <c r="O382" i="31"/>
  <c r="O381" i="31"/>
  <c r="O380" i="31"/>
  <c r="O379" i="31"/>
  <c r="O378" i="31"/>
  <c r="O377" i="31"/>
  <c r="O376" i="31"/>
  <c r="O375" i="31"/>
  <c r="O374" i="31"/>
  <c r="O373" i="31"/>
  <c r="O372" i="31"/>
  <c r="O371" i="31"/>
  <c r="O370" i="31"/>
  <c r="O369" i="31"/>
  <c r="O368" i="31"/>
  <c r="O367" i="31"/>
  <c r="O366" i="31"/>
  <c r="O365" i="31"/>
  <c r="O364" i="31"/>
  <c r="O363" i="31"/>
  <c r="O362" i="31"/>
  <c r="O361" i="31"/>
  <c r="O360" i="31"/>
  <c r="O359" i="31"/>
  <c r="O358" i="31"/>
  <c r="O357" i="31"/>
  <c r="O356" i="31"/>
  <c r="O355" i="31"/>
  <c r="O354" i="31"/>
  <c r="O353" i="31"/>
  <c r="O352" i="31"/>
  <c r="O351" i="31"/>
  <c r="O350" i="31"/>
  <c r="O349" i="31"/>
  <c r="O348" i="31"/>
  <c r="O347" i="31"/>
  <c r="O346" i="31"/>
  <c r="O345" i="31"/>
  <c r="O344" i="31"/>
  <c r="O343" i="31"/>
  <c r="O342" i="31"/>
  <c r="O341" i="31"/>
  <c r="O340" i="31"/>
  <c r="O339" i="31"/>
  <c r="O338" i="31"/>
  <c r="O337" i="31"/>
  <c r="O336" i="31"/>
  <c r="O335" i="31"/>
  <c r="O334" i="31"/>
  <c r="O333" i="31"/>
  <c r="O332" i="31"/>
  <c r="O331" i="31"/>
  <c r="O330" i="31"/>
  <c r="O329" i="31"/>
  <c r="O328" i="31"/>
  <c r="O327" i="31"/>
  <c r="O326" i="31"/>
  <c r="O325" i="31"/>
  <c r="O324" i="31"/>
  <c r="O323" i="31"/>
  <c r="O322" i="31"/>
  <c r="O321" i="31"/>
  <c r="O320" i="31"/>
  <c r="O319" i="31"/>
  <c r="O318" i="31"/>
  <c r="O317" i="31"/>
  <c r="O316" i="31"/>
  <c r="O315" i="31"/>
  <c r="O314" i="31"/>
  <c r="O313" i="31"/>
  <c r="O312" i="31"/>
  <c r="O311" i="31"/>
  <c r="O310" i="31"/>
  <c r="O309" i="31"/>
  <c r="O308" i="31"/>
  <c r="O307" i="31"/>
  <c r="O306" i="31"/>
  <c r="O305" i="31"/>
  <c r="O304" i="31"/>
  <c r="O303" i="31"/>
  <c r="O302" i="31"/>
  <c r="O301" i="31"/>
  <c r="O300" i="31"/>
  <c r="O299" i="31"/>
  <c r="O298" i="31"/>
  <c r="O297" i="31"/>
  <c r="O296" i="31"/>
  <c r="O295" i="31"/>
  <c r="O294" i="31"/>
  <c r="O293" i="31"/>
  <c r="O292" i="31"/>
  <c r="O291" i="31"/>
  <c r="O290" i="31"/>
  <c r="O289" i="31"/>
  <c r="O288" i="31"/>
  <c r="O287" i="31"/>
  <c r="O286" i="31"/>
  <c r="O285" i="31"/>
  <c r="O284" i="31"/>
  <c r="O283" i="31"/>
  <c r="O282" i="31"/>
  <c r="O281" i="31"/>
  <c r="O280" i="31"/>
  <c r="O279" i="31"/>
  <c r="O278" i="31"/>
  <c r="O277" i="31"/>
  <c r="O276" i="31"/>
  <c r="O275" i="31"/>
  <c r="O274" i="31"/>
  <c r="O273" i="31"/>
  <c r="O272" i="31"/>
  <c r="O271" i="31"/>
  <c r="O270" i="31"/>
  <c r="O269" i="31"/>
  <c r="O268" i="31"/>
  <c r="O267" i="31"/>
  <c r="O266" i="31"/>
  <c r="O265" i="31"/>
  <c r="O264" i="31"/>
  <c r="O263" i="31"/>
  <c r="O262" i="31"/>
  <c r="O261" i="31"/>
  <c r="O260" i="31"/>
  <c r="O259" i="31"/>
  <c r="O258" i="31"/>
  <c r="O257" i="31"/>
  <c r="O256" i="31"/>
  <c r="O255" i="31"/>
  <c r="O254" i="31"/>
  <c r="O253" i="31"/>
  <c r="O252" i="31"/>
  <c r="O251" i="31"/>
  <c r="O250" i="31"/>
  <c r="O249" i="31"/>
  <c r="O248" i="31"/>
  <c r="O247" i="31"/>
  <c r="O246" i="31"/>
  <c r="O245" i="31"/>
  <c r="O244" i="31"/>
  <c r="O243" i="31"/>
  <c r="O242" i="31"/>
  <c r="O241" i="31"/>
  <c r="O240" i="31"/>
  <c r="O239" i="31"/>
  <c r="O238" i="31"/>
  <c r="O237" i="31"/>
  <c r="O236" i="31"/>
  <c r="O235" i="31"/>
  <c r="O234" i="31"/>
  <c r="O233" i="31"/>
  <c r="O232" i="31"/>
  <c r="O231" i="31"/>
  <c r="O230" i="31"/>
  <c r="O229" i="31"/>
  <c r="O228" i="31"/>
  <c r="O227" i="31"/>
  <c r="O226" i="31"/>
  <c r="O225" i="31"/>
  <c r="O224" i="31"/>
  <c r="O223" i="31"/>
  <c r="O222" i="31"/>
  <c r="O221" i="31"/>
  <c r="O220" i="31"/>
  <c r="O219" i="31"/>
  <c r="O218" i="31"/>
  <c r="O217" i="31"/>
  <c r="O216" i="31"/>
  <c r="O215" i="31"/>
  <c r="O214" i="31"/>
  <c r="O213" i="31"/>
  <c r="O212" i="31"/>
  <c r="O211" i="31"/>
  <c r="O210" i="31"/>
  <c r="O209" i="31"/>
  <c r="O208" i="31"/>
  <c r="O207" i="31"/>
  <c r="O206" i="31"/>
  <c r="O205" i="31"/>
  <c r="O204" i="31"/>
  <c r="O203" i="31"/>
  <c r="O202" i="31"/>
  <c r="O201" i="31"/>
  <c r="O200" i="31"/>
  <c r="O199" i="31"/>
  <c r="O198" i="31"/>
  <c r="O197" i="31"/>
  <c r="O196" i="31"/>
  <c r="O195" i="31"/>
  <c r="O194" i="31"/>
  <c r="O193" i="31"/>
  <c r="O192" i="31"/>
  <c r="O191" i="31"/>
  <c r="O190" i="31"/>
  <c r="O189" i="31"/>
  <c r="O188" i="31"/>
  <c r="O187" i="31"/>
  <c r="O186" i="31"/>
  <c r="O185" i="31"/>
  <c r="O184" i="31"/>
  <c r="O183" i="31"/>
  <c r="O182" i="31"/>
  <c r="O181" i="31"/>
  <c r="O180" i="31"/>
  <c r="O179" i="31"/>
  <c r="O178" i="31"/>
  <c r="O177" i="31"/>
  <c r="O176" i="31"/>
  <c r="O175" i="31"/>
  <c r="O174" i="31"/>
  <c r="O173" i="31"/>
  <c r="O172" i="31"/>
  <c r="O171" i="31"/>
  <c r="O170" i="31"/>
  <c r="O169" i="31"/>
  <c r="O168" i="31"/>
  <c r="O167" i="31"/>
  <c r="O166" i="31"/>
  <c r="O165" i="31"/>
  <c r="O164" i="31"/>
  <c r="O163" i="31"/>
  <c r="O162" i="31"/>
  <c r="O161" i="31"/>
  <c r="O160" i="31"/>
  <c r="O159" i="31"/>
  <c r="O158" i="31"/>
  <c r="O157" i="31"/>
  <c r="O156" i="31"/>
  <c r="O155" i="31"/>
  <c r="O154" i="31"/>
  <c r="O153" i="31"/>
  <c r="O152" i="31"/>
  <c r="O151" i="31"/>
  <c r="O150" i="31"/>
  <c r="O149" i="31"/>
  <c r="O148" i="31"/>
  <c r="O147" i="31"/>
  <c r="O146" i="31"/>
  <c r="O145" i="31"/>
  <c r="O144" i="31"/>
  <c r="O143" i="31"/>
  <c r="O142" i="31"/>
  <c r="O141" i="31"/>
  <c r="O140" i="31"/>
  <c r="O139" i="31"/>
  <c r="O138" i="31"/>
  <c r="O137" i="31"/>
  <c r="O136" i="31"/>
  <c r="O135" i="31"/>
  <c r="O134" i="31"/>
  <c r="O133" i="31"/>
  <c r="O132" i="31"/>
  <c r="O131" i="31"/>
  <c r="O130" i="31"/>
  <c r="O129" i="31"/>
  <c r="O128" i="31"/>
  <c r="O127" i="31"/>
  <c r="O126" i="31"/>
  <c r="O125" i="31"/>
  <c r="O124" i="31"/>
  <c r="O123" i="31"/>
  <c r="O122" i="31"/>
  <c r="O121" i="31"/>
  <c r="O120" i="31"/>
  <c r="O119" i="31"/>
  <c r="O118" i="31"/>
  <c r="O117" i="31"/>
  <c r="O116" i="31"/>
  <c r="O115" i="31"/>
  <c r="O114" i="31"/>
  <c r="O113" i="31"/>
  <c r="O112" i="31"/>
  <c r="O111" i="31"/>
  <c r="O110" i="31"/>
  <c r="O109" i="31"/>
  <c r="O108" i="31"/>
  <c r="O107" i="31"/>
  <c r="O106" i="31"/>
  <c r="O105" i="31"/>
  <c r="O104" i="31"/>
  <c r="O103" i="31"/>
  <c r="O102" i="31"/>
  <c r="O101" i="31"/>
  <c r="O100" i="31"/>
  <c r="O99" i="31"/>
  <c r="O98" i="31"/>
  <c r="O97" i="31"/>
  <c r="O96" i="31"/>
  <c r="O95" i="31"/>
  <c r="O94" i="31"/>
  <c r="O93" i="31"/>
  <c r="O92" i="31"/>
  <c r="O91" i="31"/>
  <c r="O90" i="31"/>
  <c r="O89" i="31"/>
  <c r="O88" i="31"/>
  <c r="O87" i="31"/>
  <c r="O86" i="31"/>
  <c r="O85" i="31"/>
  <c r="O84" i="31"/>
  <c r="O83" i="31"/>
  <c r="O82" i="31"/>
  <c r="O81" i="31"/>
  <c r="O80" i="31"/>
  <c r="O79" i="31"/>
  <c r="O78" i="31"/>
  <c r="O77" i="31"/>
  <c r="O76" i="31"/>
  <c r="O75" i="31"/>
  <c r="O74" i="31"/>
  <c r="O73" i="31"/>
  <c r="O72" i="31"/>
  <c r="O71" i="31"/>
  <c r="O70" i="31"/>
  <c r="O69" i="31"/>
  <c r="O68" i="31"/>
  <c r="O67" i="31"/>
  <c r="O66" i="31"/>
  <c r="O65" i="31"/>
  <c r="O64" i="31"/>
  <c r="O63" i="31"/>
  <c r="O62" i="31"/>
  <c r="O61" i="31"/>
  <c r="O60" i="31"/>
  <c r="O59" i="31"/>
  <c r="O58" i="31"/>
  <c r="O57" i="31"/>
  <c r="O56" i="31"/>
  <c r="O55" i="31"/>
  <c r="O54" i="31"/>
  <c r="O53" i="31"/>
  <c r="O52" i="31"/>
  <c r="O51" i="31"/>
  <c r="O50" i="31"/>
  <c r="O49" i="31"/>
  <c r="O48" i="31"/>
  <c r="O47" i="31"/>
  <c r="O46" i="31"/>
  <c r="O45" i="31"/>
  <c r="O44" i="31"/>
  <c r="O43" i="31"/>
  <c r="O42" i="31"/>
  <c r="O41" i="31"/>
  <c r="O40" i="31"/>
  <c r="O39" i="31"/>
  <c r="O38" i="31"/>
  <c r="O37" i="31"/>
  <c r="O36" i="31"/>
  <c r="O35" i="31"/>
  <c r="O34" i="31"/>
  <c r="O33" i="31"/>
  <c r="O32" i="31"/>
  <c r="O31" i="31"/>
  <c r="O30" i="31"/>
  <c r="O29" i="31"/>
  <c r="O28" i="31"/>
  <c r="O27" i="31"/>
  <c r="O26" i="31"/>
  <c r="O25" i="31"/>
  <c r="O24" i="31"/>
  <c r="O23" i="31"/>
  <c r="O22" i="31"/>
  <c r="O21" i="31"/>
  <c r="O20" i="31"/>
  <c r="O19" i="31"/>
  <c r="O18" i="31"/>
  <c r="O17" i="31"/>
  <c r="O16" i="31"/>
  <c r="O15" i="31"/>
  <c r="O14" i="31"/>
  <c r="O13" i="31"/>
  <c r="O12" i="31"/>
  <c r="O11" i="31"/>
  <c r="O10" i="31"/>
  <c r="O9" i="31"/>
  <c r="O8" i="31"/>
  <c r="O7" i="31"/>
  <c r="O6" i="31"/>
  <c r="O5" i="31"/>
  <c r="O4" i="31"/>
  <c r="O3" i="31"/>
  <c r="O2" i="31"/>
  <c r="C661" i="25"/>
  <c r="C515" i="44" s="1"/>
  <c r="C660" i="25"/>
  <c r="C514" i="44" s="1"/>
  <c r="C659" i="25"/>
  <c r="C513" i="44" s="1"/>
  <c r="C658" i="25"/>
  <c r="C512" i="44" s="1"/>
  <c r="C657" i="25"/>
  <c r="C511" i="44" s="1"/>
  <c r="C656" i="25"/>
  <c r="C510" i="44" s="1"/>
  <c r="C655" i="25"/>
  <c r="C509" i="44" s="1"/>
  <c r="C654" i="25"/>
  <c r="C508" i="44" s="1"/>
  <c r="C653" i="25"/>
  <c r="C507" i="44" s="1"/>
  <c r="C652" i="25"/>
  <c r="C506" i="44" s="1"/>
  <c r="C651" i="25"/>
  <c r="C505" i="44" s="1"/>
  <c r="C650" i="25"/>
  <c r="C504" i="44" s="1"/>
  <c r="C649" i="25"/>
  <c r="C503" i="44" s="1"/>
  <c r="C648" i="25"/>
  <c r="C502" i="44" s="1"/>
  <c r="C647" i="25"/>
  <c r="C501" i="44" s="1"/>
  <c r="C646" i="25"/>
  <c r="C500" i="44" s="1"/>
  <c r="C645" i="25"/>
  <c r="C499" i="44" s="1"/>
  <c r="C644" i="25"/>
  <c r="C498" i="44" s="1"/>
  <c r="C643" i="25"/>
  <c r="C497" i="44" s="1"/>
  <c r="C642" i="25"/>
  <c r="C496" i="44" s="1"/>
  <c r="C641" i="25"/>
  <c r="C495" i="44" s="1"/>
  <c r="C640" i="25"/>
  <c r="C494" i="44" s="1"/>
  <c r="C639" i="25"/>
  <c r="C493" i="44" s="1"/>
  <c r="C638" i="25"/>
  <c r="C492" i="44" s="1"/>
  <c r="C637" i="25"/>
  <c r="C491" i="44" s="1"/>
  <c r="C636" i="25"/>
  <c r="C490" i="44" s="1"/>
  <c r="C635" i="25"/>
  <c r="C489" i="44" s="1"/>
  <c r="C634" i="25"/>
  <c r="C488" i="44" s="1"/>
  <c r="C633" i="25"/>
  <c r="C487" i="44" s="1"/>
  <c r="C632" i="25"/>
  <c r="C486" i="44" s="1"/>
  <c r="C631" i="25"/>
  <c r="C485" i="44" s="1"/>
  <c r="C630" i="25"/>
  <c r="C484" i="44" s="1"/>
  <c r="C629" i="25"/>
  <c r="C483" i="44" s="1"/>
  <c r="C628" i="25"/>
  <c r="C482" i="44" s="1"/>
  <c r="C627" i="25"/>
  <c r="C481" i="44" s="1"/>
  <c r="C626" i="25"/>
  <c r="C480" i="44" s="1"/>
  <c r="C625" i="25"/>
  <c r="C479" i="44" s="1"/>
  <c r="C624" i="25"/>
  <c r="C478" i="44" s="1"/>
  <c r="C623" i="25"/>
  <c r="C477" i="44" s="1"/>
  <c r="C622" i="25"/>
  <c r="C476" i="44" s="1"/>
  <c r="C621" i="25"/>
  <c r="C475" i="44" s="1"/>
  <c r="C620" i="25"/>
  <c r="C474" i="44" s="1"/>
  <c r="C619" i="25"/>
  <c r="C473" i="44" s="1"/>
  <c r="C618" i="25"/>
  <c r="C472" i="44" s="1"/>
  <c r="C617" i="25"/>
  <c r="C471" i="44" s="1"/>
  <c r="C616" i="25"/>
  <c r="C470" i="44" s="1"/>
  <c r="C615" i="25"/>
  <c r="C469" i="44" s="1"/>
  <c r="C614" i="25"/>
  <c r="C468" i="44" s="1"/>
  <c r="C613" i="25"/>
  <c r="C467" i="44" s="1"/>
  <c r="C612" i="25"/>
  <c r="C466" i="44" s="1"/>
  <c r="C611" i="25"/>
  <c r="C465" i="44" s="1"/>
  <c r="C610" i="25"/>
  <c r="C464" i="44" s="1"/>
  <c r="C609" i="25"/>
  <c r="C463" i="44" s="1"/>
  <c r="C608" i="25"/>
  <c r="C462" i="44" s="1"/>
  <c r="C607" i="25"/>
  <c r="C461" i="44" s="1"/>
  <c r="C606" i="25"/>
  <c r="C460" i="44" s="1"/>
  <c r="C605" i="25"/>
  <c r="C459" i="44" s="1"/>
  <c r="C604" i="25"/>
  <c r="C458" i="44" s="1"/>
  <c r="C603" i="25"/>
  <c r="C457" i="44" s="1"/>
  <c r="C602" i="25"/>
  <c r="C456" i="44" s="1"/>
  <c r="C601" i="25"/>
  <c r="C455" i="44" s="1"/>
  <c r="C600" i="25"/>
  <c r="C454" i="44" s="1"/>
  <c r="C599" i="25"/>
  <c r="C453" i="44" s="1"/>
  <c r="C598" i="25"/>
  <c r="C452" i="44" s="1"/>
  <c r="C597" i="25"/>
  <c r="C451" i="44" s="1"/>
  <c r="C596" i="25"/>
  <c r="C450" i="44" s="1"/>
  <c r="C595" i="25"/>
  <c r="C449" i="44" s="1"/>
  <c r="C594" i="25"/>
  <c r="C448" i="44" s="1"/>
  <c r="C593" i="25"/>
  <c r="C447" i="44" s="1"/>
  <c r="C592" i="25"/>
  <c r="C446" i="44" s="1"/>
  <c r="C591" i="25"/>
  <c r="C445" i="44" s="1"/>
  <c r="C590" i="25"/>
  <c r="C444" i="44" s="1"/>
  <c r="C589" i="25"/>
  <c r="C443" i="44" s="1"/>
  <c r="C588" i="25"/>
  <c r="C442" i="44" s="1"/>
  <c r="C587" i="25"/>
  <c r="C441" i="44" s="1"/>
  <c r="C586" i="25"/>
  <c r="C440" i="44" s="1"/>
  <c r="C585" i="25"/>
  <c r="C439" i="44" s="1"/>
  <c r="C584" i="25"/>
  <c r="C438" i="44" s="1"/>
  <c r="C583" i="25"/>
  <c r="C437" i="44" s="1"/>
  <c r="C582" i="25"/>
  <c r="C436" i="44" s="1"/>
  <c r="C581" i="25"/>
  <c r="C435" i="44" s="1"/>
  <c r="C580" i="25"/>
  <c r="C434" i="44" s="1"/>
  <c r="C579" i="25"/>
  <c r="C433" i="44" s="1"/>
  <c r="C578" i="25"/>
  <c r="C432" i="44" s="1"/>
  <c r="C577" i="25"/>
  <c r="C431" i="44" s="1"/>
  <c r="C576" i="25"/>
  <c r="C430" i="44" s="1"/>
  <c r="C575" i="25"/>
  <c r="C429" i="44" s="1"/>
  <c r="C574" i="25"/>
  <c r="C428" i="44" s="1"/>
  <c r="C573" i="25"/>
  <c r="C427" i="44" s="1"/>
  <c r="C572" i="25"/>
  <c r="C426" i="44" s="1"/>
  <c r="C571" i="25"/>
  <c r="C425" i="44" s="1"/>
  <c r="C570" i="25"/>
  <c r="C424" i="44" s="1"/>
  <c r="C569" i="25"/>
  <c r="C423" i="44" s="1"/>
  <c r="C568" i="25"/>
  <c r="C422" i="44" s="1"/>
  <c r="C567" i="25"/>
  <c r="C421" i="44" s="1"/>
  <c r="C566" i="25"/>
  <c r="C420" i="44" s="1"/>
  <c r="C565" i="25"/>
  <c r="C419" i="44" s="1"/>
  <c r="C564" i="25"/>
  <c r="C418" i="44" s="1"/>
  <c r="C563" i="25"/>
  <c r="C417" i="44" s="1"/>
  <c r="C562" i="25"/>
  <c r="C416" i="44" s="1"/>
  <c r="C561" i="25"/>
  <c r="C415" i="44" s="1"/>
  <c r="C560" i="25"/>
  <c r="C414" i="44" s="1"/>
  <c r="C559" i="25"/>
  <c r="C413" i="44" s="1"/>
  <c r="C558" i="25"/>
  <c r="C412" i="44" s="1"/>
  <c r="C557" i="25"/>
  <c r="C411" i="44" s="1"/>
  <c r="C556" i="25"/>
  <c r="C410" i="44" s="1"/>
  <c r="C555" i="25"/>
  <c r="C409" i="44" s="1"/>
  <c r="C554" i="25"/>
  <c r="C408" i="44" s="1"/>
  <c r="C553" i="25"/>
  <c r="C407" i="44" s="1"/>
  <c r="C552" i="25"/>
  <c r="C406" i="44" s="1"/>
  <c r="C551" i="25"/>
  <c r="C405" i="44" s="1"/>
  <c r="C550" i="25"/>
  <c r="C404" i="44" s="1"/>
  <c r="C549" i="25"/>
  <c r="C403" i="44" s="1"/>
  <c r="C548" i="25"/>
  <c r="C402" i="44" s="1"/>
  <c r="C547" i="25"/>
  <c r="C401" i="44" s="1"/>
  <c r="C546" i="25"/>
  <c r="C400" i="44" s="1"/>
  <c r="C545" i="25"/>
  <c r="C399" i="44" s="1"/>
  <c r="C544" i="25"/>
  <c r="C398" i="44" s="1"/>
  <c r="C543" i="25"/>
  <c r="C397" i="44" s="1"/>
  <c r="C542" i="25"/>
  <c r="C396" i="44" s="1"/>
  <c r="C541" i="25"/>
  <c r="C395" i="44" s="1"/>
  <c r="C540" i="25"/>
  <c r="C394" i="44" s="1"/>
  <c r="C539" i="25"/>
  <c r="C393" i="44" s="1"/>
  <c r="C538" i="25"/>
  <c r="C392" i="44" s="1"/>
  <c r="C537" i="25"/>
  <c r="C391" i="44" s="1"/>
  <c r="C536" i="25"/>
  <c r="C390" i="44" s="1"/>
  <c r="C535" i="25"/>
  <c r="C389" i="44" s="1"/>
  <c r="C534" i="25"/>
  <c r="C388" i="44" s="1"/>
  <c r="C533" i="25"/>
  <c r="C387" i="44" s="1"/>
  <c r="C532" i="25"/>
  <c r="C386" i="44" s="1"/>
  <c r="C531" i="25"/>
  <c r="C385" i="44" s="1"/>
  <c r="C530" i="25"/>
  <c r="C384" i="44" s="1"/>
  <c r="C529" i="25"/>
  <c r="C383" i="44" s="1"/>
  <c r="C528" i="25"/>
  <c r="C382" i="44" s="1"/>
  <c r="C527" i="25"/>
  <c r="C381" i="44" s="1"/>
  <c r="C526" i="25"/>
  <c r="C380" i="44" s="1"/>
  <c r="C525" i="25"/>
  <c r="C379" i="44" s="1"/>
  <c r="C524" i="25"/>
  <c r="C378" i="44" s="1"/>
  <c r="C523" i="25"/>
  <c r="C377" i="44" s="1"/>
  <c r="C522" i="25"/>
  <c r="C376" i="44" s="1"/>
  <c r="C521" i="25"/>
  <c r="C375" i="44" s="1"/>
  <c r="C520" i="25"/>
  <c r="C374" i="44" s="1"/>
  <c r="C519" i="25"/>
  <c r="C373" i="44" s="1"/>
  <c r="C518" i="25"/>
  <c r="C372" i="44" s="1"/>
  <c r="C517" i="25"/>
  <c r="C371" i="44" s="1"/>
  <c r="C516" i="25"/>
  <c r="C370" i="44" s="1"/>
  <c r="C515" i="25"/>
  <c r="C369" i="44" s="1"/>
  <c r="C514" i="25"/>
  <c r="C368" i="44" s="1"/>
  <c r="C513" i="25"/>
  <c r="C367" i="44" s="1"/>
  <c r="C512" i="25"/>
  <c r="C366" i="44" s="1"/>
  <c r="C511" i="25"/>
  <c r="C365" i="44" s="1"/>
  <c r="C510" i="25"/>
  <c r="C364" i="44" s="1"/>
  <c r="C509" i="25"/>
  <c r="C363" i="44" s="1"/>
  <c r="C508" i="25"/>
  <c r="C362" i="44" s="1"/>
  <c r="C507" i="25"/>
  <c r="C361" i="44" s="1"/>
  <c r="C506" i="25"/>
  <c r="C360" i="44" s="1"/>
  <c r="C505" i="25"/>
  <c r="C359" i="44" s="1"/>
  <c r="C504" i="25"/>
  <c r="C358" i="44" s="1"/>
  <c r="C503" i="25"/>
  <c r="C357" i="44" s="1"/>
  <c r="C502" i="25"/>
  <c r="C356" i="44" s="1"/>
  <c r="C501" i="25"/>
  <c r="C355" i="44" s="1"/>
  <c r="C500" i="25"/>
  <c r="C354" i="44" s="1"/>
  <c r="C499" i="25"/>
  <c r="C353" i="44" s="1"/>
  <c r="C498" i="25"/>
  <c r="C352" i="44" s="1"/>
  <c r="C497" i="25"/>
  <c r="C351" i="44" s="1"/>
  <c r="C496" i="25"/>
  <c r="C350" i="44" s="1"/>
  <c r="C495" i="25"/>
  <c r="C349" i="44" s="1"/>
  <c r="C494" i="25"/>
  <c r="C348" i="44" s="1"/>
  <c r="C493" i="25"/>
  <c r="C347" i="44" s="1"/>
  <c r="C492" i="25"/>
  <c r="C346" i="44" s="1"/>
  <c r="C491" i="25"/>
  <c r="C345" i="44" s="1"/>
  <c r="C490" i="25"/>
  <c r="C344" i="44" s="1"/>
  <c r="C489" i="25"/>
  <c r="C343" i="44" s="1"/>
  <c r="C488" i="25"/>
  <c r="C342" i="44" s="1"/>
  <c r="C487" i="25"/>
  <c r="C341" i="44" s="1"/>
  <c r="C486" i="25"/>
  <c r="C340" i="44" s="1"/>
  <c r="C485" i="25"/>
  <c r="C339" i="44" s="1"/>
  <c r="C484" i="25"/>
  <c r="C338" i="44" s="1"/>
  <c r="C483" i="25"/>
  <c r="C337" i="44" s="1"/>
  <c r="C482" i="25"/>
  <c r="C336" i="44" s="1"/>
  <c r="C481" i="25"/>
  <c r="C335" i="44" s="1"/>
  <c r="C480" i="25"/>
  <c r="C334" i="44" s="1"/>
  <c r="C479" i="25"/>
  <c r="C333" i="44" s="1"/>
  <c r="C478" i="25"/>
  <c r="C332" i="44" s="1"/>
  <c r="C477" i="25"/>
  <c r="C331" i="44" s="1"/>
  <c r="C476" i="25"/>
  <c r="C330" i="44" s="1"/>
  <c r="C475" i="25"/>
  <c r="C329" i="44" s="1"/>
  <c r="C474" i="25"/>
  <c r="C328" i="44" s="1"/>
  <c r="C473" i="25"/>
  <c r="C327" i="44" s="1"/>
  <c r="C472" i="25"/>
  <c r="C326" i="44" s="1"/>
  <c r="C471" i="25"/>
  <c r="C325" i="44" s="1"/>
  <c r="C470" i="25"/>
  <c r="C324" i="44" s="1"/>
  <c r="C469" i="25"/>
  <c r="C323" i="44" s="1"/>
  <c r="C468" i="25"/>
  <c r="C322" i="44" s="1"/>
  <c r="C467" i="25"/>
  <c r="C321" i="44" s="1"/>
  <c r="C466" i="25"/>
  <c r="C320" i="44" s="1"/>
  <c r="C465" i="25"/>
  <c r="C319" i="44" s="1"/>
  <c r="C464" i="25"/>
  <c r="C318" i="44" s="1"/>
  <c r="C463" i="25"/>
  <c r="C317" i="44" s="1"/>
  <c r="C462" i="25"/>
  <c r="C316" i="44" s="1"/>
  <c r="C461" i="25"/>
  <c r="C315" i="44" s="1"/>
  <c r="C460" i="25"/>
  <c r="C314" i="44" s="1"/>
  <c r="C459" i="25"/>
  <c r="C313" i="44" s="1"/>
  <c r="C458" i="25"/>
  <c r="C312" i="44" s="1"/>
  <c r="C457" i="25"/>
  <c r="C311" i="44" s="1"/>
  <c r="C456" i="25"/>
  <c r="C310" i="44" s="1"/>
  <c r="C455" i="25"/>
  <c r="C309" i="44" s="1"/>
  <c r="C454" i="25"/>
  <c r="C308" i="44" s="1"/>
  <c r="C453" i="25"/>
  <c r="C307" i="44" s="1"/>
  <c r="C452" i="25"/>
  <c r="C306" i="44" s="1"/>
  <c r="C451" i="25"/>
  <c r="C305" i="44" s="1"/>
  <c r="C450" i="25"/>
  <c r="C304" i="44" s="1"/>
  <c r="C449" i="25"/>
  <c r="C303" i="44" s="1"/>
  <c r="C448" i="25"/>
  <c r="C302" i="44" s="1"/>
  <c r="C447" i="25"/>
  <c r="C301" i="44" s="1"/>
  <c r="C446" i="25"/>
  <c r="C300" i="44" s="1"/>
  <c r="C445" i="25"/>
  <c r="C299" i="44" s="1"/>
  <c r="C444" i="25"/>
  <c r="C298" i="44" s="1"/>
  <c r="C443" i="25"/>
  <c r="C297" i="44" s="1"/>
  <c r="C442" i="25"/>
  <c r="C296" i="44" s="1"/>
  <c r="C221" i="25"/>
  <c r="C295" i="44" s="1"/>
  <c r="C220" i="25"/>
  <c r="C294" i="44" s="1"/>
  <c r="C219" i="25"/>
  <c r="C293" i="44" s="1"/>
  <c r="C218" i="25"/>
  <c r="C292" i="44" s="1"/>
  <c r="C217" i="25"/>
  <c r="C291" i="44" s="1"/>
  <c r="C216" i="25"/>
  <c r="C290" i="44" s="1"/>
  <c r="C215" i="25"/>
  <c r="C289" i="44" s="1"/>
  <c r="C214" i="25"/>
  <c r="C288" i="44" s="1"/>
  <c r="C213" i="25"/>
  <c r="C287" i="44" s="1"/>
  <c r="C212" i="25"/>
  <c r="C286" i="44" s="1"/>
  <c r="C211" i="25"/>
  <c r="C285" i="44" s="1"/>
  <c r="C210" i="25"/>
  <c r="C284" i="44" s="1"/>
  <c r="C209" i="25"/>
  <c r="C283" i="44" s="1"/>
  <c r="C208" i="25"/>
  <c r="C282" i="44" s="1"/>
  <c r="C207" i="25"/>
  <c r="C281" i="44" s="1"/>
  <c r="C206" i="25"/>
  <c r="C280" i="44" s="1"/>
  <c r="C205" i="25"/>
  <c r="C279" i="44" s="1"/>
  <c r="C204" i="25"/>
  <c r="C278" i="44" s="1"/>
  <c r="C203" i="25"/>
  <c r="C277" i="44" s="1"/>
  <c r="C202" i="25"/>
  <c r="C276" i="44" s="1"/>
  <c r="C201" i="25"/>
  <c r="C275" i="44" s="1"/>
  <c r="C200" i="25"/>
  <c r="C274" i="44" s="1"/>
  <c r="C199" i="25"/>
  <c r="C273" i="44" s="1"/>
  <c r="C198" i="25"/>
  <c r="C272" i="44" s="1"/>
  <c r="C197" i="25"/>
  <c r="C271" i="44" s="1"/>
  <c r="C196" i="25"/>
  <c r="C270" i="44" s="1"/>
  <c r="C195" i="25"/>
  <c r="C269" i="44" s="1"/>
  <c r="C194" i="25"/>
  <c r="C268" i="44" s="1"/>
  <c r="C193" i="25"/>
  <c r="C267" i="44" s="1"/>
  <c r="C192" i="25"/>
  <c r="C266" i="44" s="1"/>
  <c r="C191" i="25"/>
  <c r="C265" i="44" s="1"/>
  <c r="C190" i="25"/>
  <c r="C264" i="44" s="1"/>
  <c r="C189" i="25"/>
  <c r="C263" i="44" s="1"/>
  <c r="C188" i="25"/>
  <c r="C262" i="44" s="1"/>
  <c r="C187" i="25"/>
  <c r="C261" i="44" s="1"/>
  <c r="C186" i="25"/>
  <c r="C260" i="44" s="1"/>
  <c r="C185" i="25"/>
  <c r="C259" i="44" s="1"/>
  <c r="C184" i="25"/>
  <c r="C258" i="44" s="1"/>
  <c r="C183" i="25"/>
  <c r="C257" i="44" s="1"/>
  <c r="C182" i="25"/>
  <c r="C256" i="44" s="1"/>
  <c r="C181" i="25"/>
  <c r="C255" i="44" s="1"/>
  <c r="C180" i="25"/>
  <c r="C254" i="44" s="1"/>
  <c r="C179" i="25"/>
  <c r="C253" i="44" s="1"/>
  <c r="C178" i="25"/>
  <c r="C252" i="44" s="1"/>
  <c r="C177" i="25"/>
  <c r="C251" i="44" s="1"/>
  <c r="C176" i="25"/>
  <c r="C250" i="44" s="1"/>
  <c r="C175" i="25"/>
  <c r="C249" i="44" s="1"/>
  <c r="C174" i="25"/>
  <c r="C248" i="44" s="1"/>
  <c r="C173" i="25"/>
  <c r="C247" i="44" s="1"/>
  <c r="C172" i="25"/>
  <c r="C246" i="44" s="1"/>
  <c r="C171" i="25"/>
  <c r="C245" i="44" s="1"/>
  <c r="C170" i="25"/>
  <c r="C244" i="44" s="1"/>
  <c r="C169" i="25"/>
  <c r="C243" i="44" s="1"/>
  <c r="C168" i="25"/>
  <c r="C242" i="44" s="1"/>
  <c r="C167" i="25"/>
  <c r="C241" i="44" s="1"/>
  <c r="C166" i="25"/>
  <c r="C240" i="44" s="1"/>
  <c r="C165" i="25"/>
  <c r="C239" i="44" s="1"/>
  <c r="C164" i="25"/>
  <c r="C238" i="44" s="1"/>
  <c r="C163" i="25"/>
  <c r="C237" i="44" s="1"/>
  <c r="C162" i="25"/>
  <c r="C236" i="44" s="1"/>
  <c r="C161" i="25"/>
  <c r="C235" i="44" s="1"/>
  <c r="C160" i="25"/>
  <c r="C234" i="44" s="1"/>
  <c r="C159" i="25"/>
  <c r="C233" i="44" s="1"/>
  <c r="C158" i="25"/>
  <c r="C232" i="44" s="1"/>
  <c r="C157" i="25"/>
  <c r="C231" i="44" s="1"/>
  <c r="C156" i="25"/>
  <c r="C230" i="44" s="1"/>
  <c r="C155" i="25"/>
  <c r="C229" i="44" s="1"/>
  <c r="C154" i="25"/>
  <c r="C228" i="44" s="1"/>
  <c r="C153" i="25"/>
  <c r="C227" i="44" s="1"/>
  <c r="C152" i="25"/>
  <c r="C226" i="44" s="1"/>
  <c r="C151" i="25"/>
  <c r="C225" i="44" s="1"/>
  <c r="C150" i="25"/>
  <c r="C224" i="44" s="1"/>
  <c r="C149" i="25"/>
  <c r="C223" i="44" s="1"/>
  <c r="C148" i="25"/>
  <c r="C222" i="44" s="1"/>
  <c r="C147" i="25"/>
  <c r="C221" i="44" s="1"/>
  <c r="C146" i="25"/>
  <c r="C220" i="44" s="1"/>
  <c r="C145" i="25"/>
  <c r="C219" i="44" s="1"/>
  <c r="C144" i="25"/>
  <c r="C218" i="44" s="1"/>
  <c r="C143" i="25"/>
  <c r="C217" i="44" s="1"/>
  <c r="C142" i="25"/>
  <c r="C216" i="44" s="1"/>
  <c r="C141" i="25"/>
  <c r="C215" i="44" s="1"/>
  <c r="C140" i="25"/>
  <c r="C214" i="44" s="1"/>
  <c r="C139" i="25"/>
  <c r="C213" i="44" s="1"/>
  <c r="C138" i="25"/>
  <c r="C212" i="44" s="1"/>
  <c r="C137" i="25"/>
  <c r="C211" i="44" s="1"/>
  <c r="C136" i="25"/>
  <c r="C210" i="44" s="1"/>
  <c r="C135" i="25"/>
  <c r="C209" i="44" s="1"/>
  <c r="C134" i="25"/>
  <c r="C208" i="44" s="1"/>
  <c r="C133" i="25"/>
  <c r="C207" i="44" s="1"/>
  <c r="C132" i="25"/>
  <c r="C206" i="44" s="1"/>
  <c r="C131" i="25"/>
  <c r="C205" i="44" s="1"/>
  <c r="C130" i="25"/>
  <c r="C204" i="44" s="1"/>
  <c r="C129" i="25"/>
  <c r="C203" i="44" s="1"/>
  <c r="C128" i="25"/>
  <c r="C202" i="44" s="1"/>
  <c r="C127" i="25"/>
  <c r="C201" i="44" s="1"/>
  <c r="C126" i="25"/>
  <c r="C200" i="44" s="1"/>
  <c r="C125" i="25"/>
  <c r="C199" i="44" s="1"/>
  <c r="C124" i="25"/>
  <c r="C198" i="44" s="1"/>
  <c r="C123" i="25"/>
  <c r="C197" i="44" s="1"/>
  <c r="C122" i="25"/>
  <c r="C196" i="44" s="1"/>
  <c r="C121" i="25"/>
  <c r="C195" i="44" s="1"/>
  <c r="C120" i="25"/>
  <c r="C194" i="44" s="1"/>
  <c r="C119" i="25"/>
  <c r="C193" i="44" s="1"/>
  <c r="C118" i="25"/>
  <c r="C192" i="44" s="1"/>
  <c r="C117" i="25"/>
  <c r="C191" i="44" s="1"/>
  <c r="C116" i="25"/>
  <c r="C190" i="44" s="1"/>
  <c r="C115" i="25"/>
  <c r="C189" i="44" s="1"/>
  <c r="C114" i="25"/>
  <c r="C188" i="44" s="1"/>
  <c r="C113" i="25"/>
  <c r="C187" i="44" s="1"/>
  <c r="C112" i="25"/>
  <c r="C186" i="44" s="1"/>
  <c r="C111" i="25"/>
  <c r="C185" i="44" s="1"/>
  <c r="C110" i="25"/>
  <c r="C184" i="44" s="1"/>
  <c r="C109" i="25"/>
  <c r="C183" i="44" s="1"/>
  <c r="C108" i="25"/>
  <c r="C182" i="44" s="1"/>
  <c r="C107" i="25"/>
  <c r="C181" i="44" s="1"/>
  <c r="C106" i="25"/>
  <c r="C180" i="44" s="1"/>
  <c r="C105" i="25"/>
  <c r="C179" i="44" s="1"/>
  <c r="C104" i="25"/>
  <c r="C178" i="44" s="1"/>
  <c r="C103" i="25"/>
  <c r="C177" i="44" s="1"/>
  <c r="C102" i="25"/>
  <c r="C176" i="44" s="1"/>
  <c r="C101" i="25"/>
  <c r="C175" i="44" s="1"/>
  <c r="C100" i="25"/>
  <c r="C174" i="44" s="1"/>
  <c r="C99" i="25"/>
  <c r="C173" i="44" s="1"/>
  <c r="C98" i="25"/>
  <c r="C172" i="44" s="1"/>
  <c r="C97" i="25"/>
  <c r="C171" i="44" s="1"/>
  <c r="C96" i="25"/>
  <c r="C170" i="44" s="1"/>
  <c r="C95" i="25"/>
  <c r="C169" i="44" s="1"/>
  <c r="C94" i="25"/>
  <c r="C168" i="44" s="1"/>
  <c r="C93" i="25"/>
  <c r="C167" i="44" s="1"/>
  <c r="C92" i="25"/>
  <c r="C166" i="44" s="1"/>
  <c r="C91" i="25"/>
  <c r="C165" i="44" s="1"/>
  <c r="C90" i="25"/>
  <c r="C164" i="44" s="1"/>
  <c r="C89" i="25"/>
  <c r="C163" i="44" s="1"/>
  <c r="C88" i="25"/>
  <c r="C162" i="44" s="1"/>
  <c r="C87" i="25"/>
  <c r="C161" i="44" s="1"/>
  <c r="C86" i="25"/>
  <c r="C160" i="44" s="1"/>
  <c r="C85" i="25"/>
  <c r="C159" i="44" s="1"/>
  <c r="C84" i="25"/>
  <c r="C158" i="44" s="1"/>
  <c r="C83" i="25"/>
  <c r="C157" i="44" s="1"/>
  <c r="C82" i="25"/>
  <c r="C156" i="44" s="1"/>
  <c r="C81" i="25"/>
  <c r="C155" i="44" s="1"/>
  <c r="C80" i="25"/>
  <c r="C154" i="44" s="1"/>
  <c r="C79" i="25"/>
  <c r="C153" i="44" s="1"/>
  <c r="C78" i="25"/>
  <c r="C152" i="44" s="1"/>
  <c r="C77" i="25"/>
  <c r="C151" i="44" s="1"/>
  <c r="C76" i="25"/>
  <c r="C150" i="44" s="1"/>
  <c r="C75" i="25"/>
  <c r="C149" i="44" s="1"/>
  <c r="C74" i="25"/>
  <c r="C148" i="44" s="1"/>
  <c r="C73" i="25"/>
  <c r="C147" i="44" s="1"/>
  <c r="C72" i="25"/>
  <c r="C146" i="44" s="1"/>
  <c r="C71" i="25"/>
  <c r="C145" i="44" s="1"/>
  <c r="C70" i="25"/>
  <c r="C144" i="44" s="1"/>
  <c r="C69" i="25"/>
  <c r="C143" i="44" s="1"/>
  <c r="C68" i="25"/>
  <c r="C142" i="44" s="1"/>
  <c r="C67" i="25"/>
  <c r="C141" i="44" s="1"/>
  <c r="C66" i="25"/>
  <c r="C140" i="44" s="1"/>
  <c r="C65" i="25"/>
  <c r="C139" i="44" s="1"/>
  <c r="C64" i="25"/>
  <c r="C138" i="44" s="1"/>
  <c r="C63" i="25"/>
  <c r="C137" i="44" s="1"/>
  <c r="C62" i="25"/>
  <c r="C136" i="44" s="1"/>
  <c r="C61" i="25"/>
  <c r="C135" i="44" s="1"/>
  <c r="C60" i="25"/>
  <c r="C134" i="44" s="1"/>
  <c r="C59" i="25"/>
  <c r="C133" i="44" s="1"/>
  <c r="C58" i="25"/>
  <c r="C132" i="44" s="1"/>
  <c r="C57" i="25"/>
  <c r="C131" i="44" s="1"/>
  <c r="C56" i="25"/>
  <c r="C130" i="44" s="1"/>
  <c r="C55" i="25"/>
  <c r="C129" i="44" s="1"/>
  <c r="C54" i="25"/>
  <c r="C128" i="44" s="1"/>
  <c r="C53" i="25"/>
  <c r="C127" i="44" s="1"/>
  <c r="C52" i="25"/>
  <c r="C126" i="44" s="1"/>
  <c r="C51" i="25"/>
  <c r="C125" i="44" s="1"/>
  <c r="C50" i="25"/>
  <c r="C124" i="44" s="1"/>
  <c r="C49" i="25"/>
  <c r="C123" i="44" s="1"/>
  <c r="C48" i="25"/>
  <c r="C122" i="44" s="1"/>
  <c r="C47" i="25"/>
  <c r="C121" i="44" s="1"/>
  <c r="C46" i="25"/>
  <c r="C120" i="44" s="1"/>
  <c r="C45" i="25"/>
  <c r="C119" i="44" s="1"/>
  <c r="C44" i="25"/>
  <c r="C118" i="44" s="1"/>
  <c r="C43" i="25"/>
  <c r="C117" i="44" s="1"/>
  <c r="C42" i="25"/>
  <c r="C116" i="44" s="1"/>
  <c r="C41" i="25"/>
  <c r="C115" i="44" s="1"/>
  <c r="C40" i="25"/>
  <c r="C114" i="44" s="1"/>
  <c r="C39" i="25"/>
  <c r="C113" i="44" s="1"/>
  <c r="C38" i="25"/>
  <c r="C112" i="44" s="1"/>
  <c r="C37" i="25"/>
  <c r="C111" i="44" s="1"/>
  <c r="C36" i="25"/>
  <c r="C110" i="44" s="1"/>
  <c r="C35" i="25"/>
  <c r="C109" i="44" s="1"/>
  <c r="C34" i="25"/>
  <c r="C108" i="44" s="1"/>
  <c r="C33" i="25"/>
  <c r="C107" i="44" s="1"/>
  <c r="C32" i="25"/>
  <c r="C106" i="44" s="1"/>
  <c r="C31" i="25"/>
  <c r="C105" i="44" s="1"/>
  <c r="C30" i="25"/>
  <c r="C104" i="44" s="1"/>
  <c r="C29" i="25"/>
  <c r="C103" i="44" s="1"/>
  <c r="C28" i="25"/>
  <c r="C102" i="44" s="1"/>
  <c r="C27" i="25"/>
  <c r="C101" i="44" s="1"/>
  <c r="C26" i="25"/>
  <c r="C100" i="44" s="1"/>
  <c r="C25" i="25"/>
  <c r="C99" i="44" s="1"/>
  <c r="C24" i="25"/>
  <c r="C98" i="44" s="1"/>
  <c r="C23" i="25"/>
  <c r="C97" i="44" s="1"/>
  <c r="C22" i="25"/>
  <c r="C96" i="44" s="1"/>
  <c r="C21" i="25"/>
  <c r="C95" i="44" s="1"/>
  <c r="C20" i="25"/>
  <c r="C94" i="44" s="1"/>
  <c r="C19" i="25"/>
  <c r="C93" i="44" s="1"/>
  <c r="C18" i="25"/>
  <c r="C92" i="44" s="1"/>
  <c r="C17" i="25"/>
  <c r="C91" i="44" s="1"/>
  <c r="C16" i="25"/>
  <c r="C90" i="44" s="1"/>
  <c r="C15" i="25"/>
  <c r="C89" i="44" s="1"/>
  <c r="C14" i="25"/>
  <c r="C88" i="44" s="1"/>
  <c r="C13" i="25"/>
  <c r="C87" i="44" s="1"/>
  <c r="C12" i="25"/>
  <c r="C86" i="44" s="1"/>
  <c r="C11" i="25"/>
  <c r="C85" i="44" s="1"/>
  <c r="C10" i="25"/>
  <c r="C84" i="44" s="1"/>
  <c r="C9" i="25"/>
  <c r="C83" i="44" s="1"/>
  <c r="C8" i="25"/>
  <c r="C82" i="44" s="1"/>
  <c r="C7" i="25"/>
  <c r="C81" i="44" s="1"/>
  <c r="C6" i="25"/>
  <c r="C80" i="44" s="1"/>
  <c r="C5" i="25"/>
  <c r="C79" i="44" s="1"/>
  <c r="C4" i="25"/>
  <c r="C78" i="44" s="1"/>
  <c r="C3" i="25"/>
  <c r="C77" i="44" s="1"/>
  <c r="C2" i="25"/>
  <c r="C76" i="44" s="1"/>
  <c r="P77" i="37"/>
  <c r="P78" i="37"/>
  <c r="P79" i="37"/>
  <c r="P80" i="37"/>
  <c r="P81" i="37"/>
  <c r="P82" i="37"/>
  <c r="P83" i="37"/>
  <c r="P84" i="37"/>
  <c r="P85" i="37"/>
  <c r="P86" i="37"/>
  <c r="P87" i="37"/>
  <c r="P88" i="37"/>
  <c r="P89" i="37"/>
  <c r="P90" i="37"/>
  <c r="P91" i="37"/>
  <c r="P92" i="37"/>
  <c r="P93" i="37"/>
  <c r="P94" i="37"/>
  <c r="P95" i="37"/>
  <c r="P96" i="37"/>
  <c r="P97" i="37"/>
  <c r="P98" i="37"/>
  <c r="P99" i="37"/>
  <c r="P100" i="37"/>
  <c r="P101" i="37"/>
  <c r="P102" i="37"/>
  <c r="P103" i="37"/>
  <c r="P104" i="37"/>
  <c r="P105" i="37"/>
  <c r="P106" i="37"/>
  <c r="P107" i="37"/>
  <c r="P108" i="37"/>
  <c r="P109" i="37"/>
  <c r="P110" i="37"/>
  <c r="P111" i="37"/>
  <c r="P112" i="37"/>
  <c r="P113" i="37"/>
  <c r="P114" i="37"/>
  <c r="P115" i="37"/>
  <c r="P116" i="37"/>
  <c r="P117" i="37"/>
  <c r="P118" i="37"/>
  <c r="P119" i="37"/>
  <c r="P120" i="37"/>
  <c r="P121" i="37"/>
  <c r="P122" i="37"/>
  <c r="P123" i="37"/>
  <c r="P124" i="37"/>
  <c r="P125" i="37"/>
  <c r="P126" i="37"/>
  <c r="P127" i="37"/>
  <c r="P128" i="37"/>
  <c r="P129" i="37"/>
  <c r="P130" i="37"/>
  <c r="P131" i="37"/>
  <c r="P132" i="37"/>
  <c r="P133" i="37"/>
  <c r="P134" i="37"/>
  <c r="P135" i="37"/>
  <c r="P136" i="37"/>
  <c r="P137" i="37"/>
  <c r="P138" i="37"/>
  <c r="P139" i="37"/>
  <c r="P140" i="37"/>
  <c r="P141" i="37"/>
  <c r="P142" i="37"/>
  <c r="P143" i="37"/>
  <c r="P144" i="37"/>
  <c r="P145" i="37"/>
  <c r="P146" i="37"/>
  <c r="P147" i="37"/>
  <c r="P148" i="37"/>
  <c r="P149" i="37"/>
  <c r="P150" i="37"/>
  <c r="P151" i="37"/>
  <c r="P152" i="37"/>
  <c r="P153" i="37"/>
  <c r="P154" i="37"/>
  <c r="P155" i="37"/>
  <c r="P156" i="37"/>
  <c r="P157" i="37"/>
  <c r="P158" i="37"/>
  <c r="P159" i="37"/>
  <c r="P160" i="37"/>
  <c r="P161" i="37"/>
  <c r="P162" i="37"/>
  <c r="P163" i="37"/>
  <c r="P164" i="37"/>
  <c r="P165" i="37"/>
  <c r="P166" i="37"/>
  <c r="P167" i="37"/>
  <c r="P168" i="37"/>
  <c r="P169" i="37"/>
  <c r="P170" i="37"/>
  <c r="P171" i="37"/>
  <c r="P172" i="37"/>
  <c r="P173" i="37"/>
  <c r="P174" i="37"/>
  <c r="P175" i="37"/>
  <c r="P176" i="37"/>
  <c r="P177" i="37"/>
  <c r="P178" i="37"/>
  <c r="P179" i="37"/>
  <c r="P180" i="37"/>
  <c r="P181" i="37"/>
  <c r="P182" i="37"/>
  <c r="P183" i="37"/>
  <c r="P184" i="37"/>
  <c r="P185" i="37"/>
  <c r="P186" i="37"/>
  <c r="P187" i="37"/>
  <c r="P188" i="37"/>
  <c r="P189" i="37"/>
  <c r="P190" i="37"/>
  <c r="P191" i="37"/>
  <c r="P192" i="37"/>
  <c r="P193" i="37"/>
  <c r="P194" i="37"/>
  <c r="P195" i="37"/>
  <c r="P196" i="37"/>
  <c r="P197" i="37"/>
  <c r="P198" i="37"/>
  <c r="P199" i="37"/>
  <c r="P200" i="37"/>
  <c r="P201" i="37"/>
  <c r="P202" i="37"/>
  <c r="P203" i="37"/>
  <c r="P204" i="37"/>
  <c r="P205" i="37"/>
  <c r="P206" i="37"/>
  <c r="P207" i="37"/>
  <c r="P208" i="37"/>
  <c r="P209" i="37"/>
  <c r="P210" i="37"/>
  <c r="P211" i="37"/>
  <c r="P212" i="37"/>
  <c r="P213" i="37"/>
  <c r="P214" i="37"/>
  <c r="P215" i="37"/>
  <c r="P216" i="37"/>
  <c r="P217" i="37"/>
  <c r="P218" i="37"/>
  <c r="P219" i="37"/>
  <c r="P220" i="37"/>
  <c r="P221" i="37"/>
  <c r="P222" i="37"/>
  <c r="P223" i="37"/>
  <c r="P224" i="37"/>
  <c r="P225" i="37"/>
  <c r="P226" i="37"/>
  <c r="P227" i="37"/>
  <c r="P228" i="37"/>
  <c r="P229" i="37"/>
  <c r="P230" i="37"/>
  <c r="P231" i="37"/>
  <c r="P232" i="37"/>
  <c r="P233" i="37"/>
  <c r="P234" i="37"/>
  <c r="P235" i="37"/>
  <c r="P236" i="37"/>
  <c r="P237" i="37"/>
  <c r="P238" i="37"/>
  <c r="P239" i="37"/>
  <c r="P240" i="37"/>
  <c r="P241" i="37"/>
  <c r="P242" i="37"/>
  <c r="P243" i="37"/>
  <c r="P244" i="37"/>
  <c r="P245" i="37"/>
  <c r="P246" i="37"/>
  <c r="P247" i="37"/>
  <c r="P248" i="37"/>
  <c r="P249" i="37"/>
  <c r="P250" i="37"/>
  <c r="P251" i="37"/>
  <c r="P252" i="37"/>
  <c r="P253" i="37"/>
  <c r="P254" i="37"/>
  <c r="P255" i="37"/>
  <c r="P256" i="37"/>
  <c r="P257" i="37"/>
  <c r="P258" i="37"/>
  <c r="P259" i="37"/>
  <c r="P260" i="37"/>
  <c r="P261" i="37"/>
  <c r="P262" i="37"/>
  <c r="P263" i="37"/>
  <c r="P264" i="37"/>
  <c r="P265" i="37"/>
  <c r="P266" i="37"/>
  <c r="P267" i="37"/>
  <c r="P268" i="37"/>
  <c r="P269" i="37"/>
  <c r="P270" i="37"/>
  <c r="P271" i="37"/>
  <c r="P272" i="37"/>
  <c r="P273" i="37"/>
  <c r="P274" i="37"/>
  <c r="P275" i="37"/>
  <c r="P276" i="37"/>
  <c r="P277" i="37"/>
  <c r="P278" i="37"/>
  <c r="P279" i="37"/>
  <c r="P280" i="37"/>
  <c r="P281" i="37"/>
  <c r="P282" i="37"/>
  <c r="P283" i="37"/>
  <c r="P284" i="37"/>
  <c r="P285" i="37"/>
  <c r="P286" i="37"/>
  <c r="P287" i="37"/>
  <c r="P288" i="37"/>
  <c r="P289" i="37"/>
  <c r="P290" i="37"/>
  <c r="P291" i="37"/>
  <c r="P292" i="37"/>
  <c r="P293" i="37"/>
  <c r="P294" i="37"/>
  <c r="P295" i="37"/>
  <c r="P296" i="37"/>
  <c r="P297" i="37"/>
  <c r="P298" i="37"/>
  <c r="P299" i="37"/>
  <c r="P300" i="37"/>
  <c r="P301" i="37"/>
  <c r="P302" i="37"/>
  <c r="P303" i="37"/>
  <c r="P304" i="37"/>
  <c r="P305" i="37"/>
  <c r="P306" i="37"/>
  <c r="P307" i="37"/>
  <c r="P308" i="37"/>
  <c r="P309" i="37"/>
  <c r="P310" i="37"/>
  <c r="P311" i="37"/>
  <c r="P312" i="37"/>
  <c r="P313" i="37"/>
  <c r="P314" i="37"/>
  <c r="P315" i="37"/>
  <c r="P316" i="37"/>
  <c r="P317" i="37"/>
  <c r="P318" i="37"/>
  <c r="P319" i="37"/>
  <c r="P320" i="37"/>
  <c r="P321" i="37"/>
  <c r="P322" i="37"/>
  <c r="P323" i="37"/>
  <c r="P324" i="37"/>
  <c r="P325" i="37"/>
  <c r="P326" i="37"/>
  <c r="P327" i="37"/>
  <c r="P328" i="37"/>
  <c r="P329" i="37"/>
  <c r="P330" i="37"/>
  <c r="P331" i="37"/>
  <c r="P332" i="37"/>
  <c r="P333" i="37"/>
  <c r="P334" i="37"/>
  <c r="P335" i="37"/>
  <c r="P336" i="37"/>
  <c r="P337" i="37"/>
  <c r="P338" i="37"/>
  <c r="P339" i="37"/>
  <c r="P340" i="37"/>
  <c r="P341" i="37"/>
  <c r="P342" i="37"/>
  <c r="P343" i="37"/>
  <c r="P344" i="37"/>
  <c r="P345" i="37"/>
  <c r="P346" i="37"/>
  <c r="P347" i="37"/>
  <c r="P348" i="37"/>
  <c r="P349" i="37"/>
  <c r="P350" i="37"/>
  <c r="P351" i="37"/>
  <c r="P352" i="37"/>
  <c r="P353" i="37"/>
  <c r="P354" i="37"/>
  <c r="P355" i="37"/>
  <c r="P356" i="37"/>
  <c r="P357" i="37"/>
  <c r="P358" i="37"/>
  <c r="P359" i="37"/>
  <c r="P360" i="37"/>
  <c r="P361" i="37"/>
  <c r="P362" i="37"/>
  <c r="P363" i="37"/>
  <c r="P364" i="37"/>
  <c r="P365" i="37"/>
  <c r="P366" i="37"/>
  <c r="P367" i="37"/>
  <c r="P368" i="37"/>
  <c r="P369" i="37"/>
  <c r="P370" i="37"/>
  <c r="P371" i="37"/>
  <c r="P372" i="37"/>
  <c r="P373" i="37"/>
  <c r="P374" i="37"/>
  <c r="P375" i="37"/>
  <c r="P376" i="37"/>
  <c r="P377" i="37"/>
  <c r="P378" i="37"/>
  <c r="P379" i="37"/>
  <c r="P380" i="37"/>
  <c r="P381" i="37"/>
  <c r="P382" i="37"/>
  <c r="P383" i="37"/>
  <c r="P384" i="37"/>
  <c r="P385" i="37"/>
  <c r="P386" i="37"/>
  <c r="P387" i="37"/>
  <c r="P388" i="37"/>
  <c r="P389" i="37"/>
  <c r="P390" i="37"/>
  <c r="P391" i="37"/>
  <c r="P392" i="37"/>
  <c r="P393" i="37"/>
  <c r="P394" i="37"/>
  <c r="P395" i="37"/>
  <c r="P396" i="37"/>
  <c r="P397" i="37"/>
  <c r="P398" i="37"/>
  <c r="P399" i="37"/>
  <c r="P400" i="37"/>
  <c r="P401" i="37"/>
  <c r="P402" i="37"/>
  <c r="P403" i="37"/>
  <c r="P404" i="37"/>
  <c r="P405" i="37"/>
  <c r="P406" i="37"/>
  <c r="P407" i="37"/>
  <c r="P408" i="37"/>
  <c r="P409" i="37"/>
  <c r="P410" i="37"/>
  <c r="P411" i="37"/>
  <c r="P412" i="37"/>
  <c r="P413" i="37"/>
  <c r="P414" i="37"/>
  <c r="P415" i="37"/>
  <c r="P416" i="37"/>
  <c r="P417" i="37"/>
  <c r="P418" i="37"/>
  <c r="P419" i="37"/>
  <c r="P420" i="37"/>
  <c r="P421" i="37"/>
  <c r="P422" i="37"/>
  <c r="P423" i="37"/>
  <c r="P424" i="37"/>
  <c r="P425" i="37"/>
  <c r="P426" i="37"/>
  <c r="P427" i="37"/>
  <c r="P428" i="37"/>
  <c r="P429" i="37"/>
  <c r="P430" i="37"/>
  <c r="P431" i="37"/>
  <c r="P432" i="37"/>
  <c r="P433" i="37"/>
  <c r="P434" i="37"/>
  <c r="P435" i="37"/>
  <c r="P436" i="37"/>
  <c r="P437" i="37"/>
  <c r="P438" i="37"/>
  <c r="P439" i="37"/>
  <c r="P440" i="37"/>
  <c r="P441" i="37"/>
  <c r="P442" i="37"/>
  <c r="P443" i="37"/>
  <c r="P444" i="37"/>
  <c r="P445" i="37"/>
  <c r="P446" i="37"/>
  <c r="P447" i="37"/>
  <c r="P448" i="37"/>
  <c r="P449" i="37"/>
  <c r="P450" i="37"/>
  <c r="P451" i="37"/>
  <c r="P452" i="37"/>
  <c r="P453" i="37"/>
  <c r="P454" i="37"/>
  <c r="P455" i="37"/>
  <c r="P456" i="37"/>
  <c r="P457" i="37"/>
  <c r="P458" i="37"/>
  <c r="P459" i="37"/>
  <c r="P460" i="37"/>
  <c r="P461" i="37"/>
  <c r="P462" i="37"/>
  <c r="P463" i="37"/>
  <c r="P464" i="37"/>
  <c r="P465" i="37"/>
  <c r="P466" i="37"/>
  <c r="P467" i="37"/>
  <c r="P468" i="37"/>
  <c r="P469" i="37"/>
  <c r="P470" i="37"/>
  <c r="P471" i="37"/>
  <c r="P472" i="37"/>
  <c r="P473" i="37"/>
  <c r="P474" i="37"/>
  <c r="P475" i="37"/>
  <c r="P476" i="37"/>
  <c r="P477" i="37"/>
  <c r="P478" i="37"/>
  <c r="P479" i="37"/>
  <c r="P480" i="37"/>
  <c r="P481" i="37"/>
  <c r="P482" i="37"/>
  <c r="P483" i="37"/>
  <c r="P484" i="37"/>
  <c r="P485" i="37"/>
  <c r="P486" i="37"/>
  <c r="P487" i="37"/>
  <c r="P488" i="37"/>
  <c r="P489" i="37"/>
  <c r="P490" i="37"/>
  <c r="P491" i="37"/>
  <c r="P492" i="37"/>
  <c r="P493" i="37"/>
  <c r="P494" i="37"/>
  <c r="P495" i="37"/>
  <c r="P496" i="37"/>
  <c r="P497" i="37"/>
  <c r="P498" i="37"/>
  <c r="P499" i="37"/>
  <c r="P500" i="37"/>
  <c r="P501" i="37"/>
  <c r="P502" i="37"/>
  <c r="P503" i="37"/>
  <c r="P504" i="37"/>
  <c r="P505" i="37"/>
  <c r="P506" i="37"/>
  <c r="P507" i="37"/>
  <c r="P508" i="37"/>
  <c r="P509" i="37"/>
  <c r="P510" i="37"/>
  <c r="P511" i="37"/>
  <c r="P512" i="37"/>
  <c r="P513" i="37"/>
  <c r="P514" i="37"/>
  <c r="P515" i="37"/>
  <c r="P76" i="37"/>
  <c r="M77" i="37"/>
  <c r="M78" i="37"/>
  <c r="M79" i="37"/>
  <c r="M80" i="37"/>
  <c r="M81" i="37"/>
  <c r="M82" i="37"/>
  <c r="M83" i="37"/>
  <c r="M84" i="37"/>
  <c r="M85" i="37"/>
  <c r="M86" i="37"/>
  <c r="M87" i="37"/>
  <c r="M88" i="37"/>
  <c r="M89" i="37"/>
  <c r="M90" i="37"/>
  <c r="M91" i="37"/>
  <c r="M92" i="37"/>
  <c r="M93" i="37"/>
  <c r="M94" i="37"/>
  <c r="M95" i="37"/>
  <c r="M96" i="37"/>
  <c r="M97" i="37"/>
  <c r="M98" i="37"/>
  <c r="M99" i="37"/>
  <c r="M100" i="37"/>
  <c r="M101" i="37"/>
  <c r="M102" i="37"/>
  <c r="M103" i="37"/>
  <c r="M104" i="37"/>
  <c r="M105" i="37"/>
  <c r="M106" i="37"/>
  <c r="M107" i="37"/>
  <c r="M108" i="37"/>
  <c r="M109" i="37"/>
  <c r="M110" i="37"/>
  <c r="M111" i="37"/>
  <c r="M112" i="37"/>
  <c r="M113" i="37"/>
  <c r="M114" i="37"/>
  <c r="M115" i="37"/>
  <c r="M116" i="37"/>
  <c r="M117" i="37"/>
  <c r="M118" i="37"/>
  <c r="M119" i="37"/>
  <c r="M120" i="37"/>
  <c r="M121" i="37"/>
  <c r="M122" i="37"/>
  <c r="M123" i="37"/>
  <c r="M124" i="37"/>
  <c r="M125" i="37"/>
  <c r="M126" i="37"/>
  <c r="M127" i="37"/>
  <c r="M128" i="37"/>
  <c r="M129" i="37"/>
  <c r="M130" i="37"/>
  <c r="M131" i="37"/>
  <c r="M132" i="37"/>
  <c r="M133" i="37"/>
  <c r="M134" i="37"/>
  <c r="M135" i="37"/>
  <c r="M136" i="37"/>
  <c r="M137" i="37"/>
  <c r="M138" i="37"/>
  <c r="M139" i="37"/>
  <c r="M140" i="37"/>
  <c r="M141" i="37"/>
  <c r="M142" i="37"/>
  <c r="M143" i="37"/>
  <c r="M144" i="37"/>
  <c r="M145" i="37"/>
  <c r="M146" i="37"/>
  <c r="M147" i="37"/>
  <c r="M148" i="37"/>
  <c r="M149" i="37"/>
  <c r="M150" i="37"/>
  <c r="M151" i="37"/>
  <c r="M152" i="37"/>
  <c r="M153" i="37"/>
  <c r="M154" i="37"/>
  <c r="M155" i="37"/>
  <c r="M156" i="37"/>
  <c r="M157" i="37"/>
  <c r="M158" i="37"/>
  <c r="M159" i="37"/>
  <c r="M160" i="37"/>
  <c r="M161" i="37"/>
  <c r="M162" i="37"/>
  <c r="M163" i="37"/>
  <c r="M164" i="37"/>
  <c r="M165" i="37"/>
  <c r="M166" i="37"/>
  <c r="M167" i="37"/>
  <c r="M168" i="37"/>
  <c r="M169" i="37"/>
  <c r="M170" i="37"/>
  <c r="M171" i="37"/>
  <c r="M172" i="37"/>
  <c r="M173" i="37"/>
  <c r="M174" i="37"/>
  <c r="M175" i="37"/>
  <c r="M176" i="37"/>
  <c r="M177" i="37"/>
  <c r="M178" i="37"/>
  <c r="M179" i="37"/>
  <c r="M180" i="37"/>
  <c r="M181" i="37"/>
  <c r="M182" i="37"/>
  <c r="M183" i="37"/>
  <c r="M184" i="37"/>
  <c r="M185" i="37"/>
  <c r="M186" i="37"/>
  <c r="M187" i="37"/>
  <c r="M188" i="37"/>
  <c r="M189" i="37"/>
  <c r="M190" i="37"/>
  <c r="M191" i="37"/>
  <c r="M192" i="37"/>
  <c r="M193" i="37"/>
  <c r="M194" i="37"/>
  <c r="M195" i="37"/>
  <c r="M196" i="37"/>
  <c r="M197" i="37"/>
  <c r="M198" i="37"/>
  <c r="M199" i="37"/>
  <c r="M200" i="37"/>
  <c r="M201" i="37"/>
  <c r="M202" i="37"/>
  <c r="M203" i="37"/>
  <c r="M204" i="37"/>
  <c r="M205" i="37"/>
  <c r="M206" i="37"/>
  <c r="M207" i="37"/>
  <c r="M208" i="37"/>
  <c r="M209" i="37"/>
  <c r="M210" i="37"/>
  <c r="M211" i="37"/>
  <c r="M212" i="37"/>
  <c r="M213" i="37"/>
  <c r="M214" i="37"/>
  <c r="M215" i="37"/>
  <c r="M216" i="37"/>
  <c r="M217" i="37"/>
  <c r="M218" i="37"/>
  <c r="M219" i="37"/>
  <c r="M220" i="37"/>
  <c r="M221" i="37"/>
  <c r="M222" i="37"/>
  <c r="M223" i="37"/>
  <c r="M224" i="37"/>
  <c r="M225" i="37"/>
  <c r="M226" i="37"/>
  <c r="M227" i="37"/>
  <c r="M228" i="37"/>
  <c r="M229" i="37"/>
  <c r="M230" i="37"/>
  <c r="M231" i="37"/>
  <c r="M232" i="37"/>
  <c r="M233" i="37"/>
  <c r="M234" i="37"/>
  <c r="M235" i="37"/>
  <c r="M236" i="37"/>
  <c r="M237" i="37"/>
  <c r="M238" i="37"/>
  <c r="M239" i="37"/>
  <c r="M240" i="37"/>
  <c r="M241" i="37"/>
  <c r="M242" i="37"/>
  <c r="M243" i="37"/>
  <c r="M244" i="37"/>
  <c r="M245" i="37"/>
  <c r="M246" i="37"/>
  <c r="M247" i="37"/>
  <c r="M248" i="37"/>
  <c r="M249" i="37"/>
  <c r="M250" i="37"/>
  <c r="M251" i="37"/>
  <c r="M252" i="37"/>
  <c r="M253" i="37"/>
  <c r="M254" i="37"/>
  <c r="M255" i="37"/>
  <c r="M256" i="37"/>
  <c r="M257" i="37"/>
  <c r="M258" i="37"/>
  <c r="M259" i="37"/>
  <c r="M260" i="37"/>
  <c r="M261" i="37"/>
  <c r="M262" i="37"/>
  <c r="M263" i="37"/>
  <c r="M264" i="37"/>
  <c r="M265" i="37"/>
  <c r="M266" i="37"/>
  <c r="M267" i="37"/>
  <c r="M268" i="37"/>
  <c r="M269" i="37"/>
  <c r="M270" i="37"/>
  <c r="M271" i="37"/>
  <c r="M272" i="37"/>
  <c r="M273" i="37"/>
  <c r="M274" i="37"/>
  <c r="M275" i="37"/>
  <c r="M276" i="37"/>
  <c r="M277" i="37"/>
  <c r="M278" i="37"/>
  <c r="M279" i="37"/>
  <c r="M280" i="37"/>
  <c r="M281" i="37"/>
  <c r="M282" i="37"/>
  <c r="M283" i="37"/>
  <c r="M284" i="37"/>
  <c r="M285" i="37"/>
  <c r="M286" i="37"/>
  <c r="M287" i="37"/>
  <c r="M288" i="37"/>
  <c r="M289" i="37"/>
  <c r="M290" i="37"/>
  <c r="M291" i="37"/>
  <c r="M292" i="37"/>
  <c r="M293" i="37"/>
  <c r="M294" i="37"/>
  <c r="M295" i="37"/>
  <c r="M296" i="37"/>
  <c r="M297" i="37"/>
  <c r="M298" i="37"/>
  <c r="M299" i="37"/>
  <c r="M300" i="37"/>
  <c r="M301" i="37"/>
  <c r="M302" i="37"/>
  <c r="M303" i="37"/>
  <c r="M304" i="37"/>
  <c r="M305" i="37"/>
  <c r="M306" i="37"/>
  <c r="M307" i="37"/>
  <c r="M308" i="37"/>
  <c r="M309" i="37"/>
  <c r="M310" i="37"/>
  <c r="M311" i="37"/>
  <c r="M312" i="37"/>
  <c r="M313" i="37"/>
  <c r="M314" i="37"/>
  <c r="M315" i="37"/>
  <c r="M316" i="37"/>
  <c r="M317" i="37"/>
  <c r="M318" i="37"/>
  <c r="M319" i="37"/>
  <c r="M320" i="37"/>
  <c r="M321" i="37"/>
  <c r="M322" i="37"/>
  <c r="M323" i="37"/>
  <c r="M324" i="37"/>
  <c r="M325" i="37"/>
  <c r="M326" i="37"/>
  <c r="M327" i="37"/>
  <c r="M328" i="37"/>
  <c r="M329" i="37"/>
  <c r="M330" i="37"/>
  <c r="M331" i="37"/>
  <c r="M332" i="37"/>
  <c r="M333" i="37"/>
  <c r="M334" i="37"/>
  <c r="M335" i="37"/>
  <c r="M336" i="37"/>
  <c r="M337" i="37"/>
  <c r="M338" i="37"/>
  <c r="M339" i="37"/>
  <c r="M340" i="37"/>
  <c r="M341" i="37"/>
  <c r="M342" i="37"/>
  <c r="M343" i="37"/>
  <c r="M344" i="37"/>
  <c r="M345" i="37"/>
  <c r="M346" i="37"/>
  <c r="M347" i="37"/>
  <c r="M348" i="37"/>
  <c r="M349" i="37"/>
  <c r="M350" i="37"/>
  <c r="M351" i="37"/>
  <c r="M352" i="37"/>
  <c r="M353" i="37"/>
  <c r="M354" i="37"/>
  <c r="M355" i="37"/>
  <c r="M356" i="37"/>
  <c r="M357" i="37"/>
  <c r="M358" i="37"/>
  <c r="M359" i="37"/>
  <c r="M360" i="37"/>
  <c r="M361" i="37"/>
  <c r="M362" i="37"/>
  <c r="M363" i="37"/>
  <c r="M364" i="37"/>
  <c r="M365" i="37"/>
  <c r="M366" i="37"/>
  <c r="M367" i="37"/>
  <c r="M368" i="37"/>
  <c r="M369" i="37"/>
  <c r="M370" i="37"/>
  <c r="M371" i="37"/>
  <c r="M372" i="37"/>
  <c r="M373" i="37"/>
  <c r="M374" i="37"/>
  <c r="M375" i="37"/>
  <c r="M376" i="37"/>
  <c r="M377" i="37"/>
  <c r="M378" i="37"/>
  <c r="M379" i="37"/>
  <c r="M380" i="37"/>
  <c r="M381" i="37"/>
  <c r="M382" i="37"/>
  <c r="M383" i="37"/>
  <c r="M384" i="37"/>
  <c r="M385" i="37"/>
  <c r="M386" i="37"/>
  <c r="M387" i="37"/>
  <c r="M388" i="37"/>
  <c r="M389" i="37"/>
  <c r="M390" i="37"/>
  <c r="M391" i="37"/>
  <c r="M392" i="37"/>
  <c r="M393" i="37"/>
  <c r="M394" i="37"/>
  <c r="M395" i="37"/>
  <c r="M396" i="37"/>
  <c r="M397" i="37"/>
  <c r="M398" i="37"/>
  <c r="M399" i="37"/>
  <c r="M400" i="37"/>
  <c r="M401" i="37"/>
  <c r="M402" i="37"/>
  <c r="M403" i="37"/>
  <c r="M404" i="37"/>
  <c r="M405" i="37"/>
  <c r="M406" i="37"/>
  <c r="M407" i="37"/>
  <c r="M408" i="37"/>
  <c r="M409" i="37"/>
  <c r="M410" i="37"/>
  <c r="M411" i="37"/>
  <c r="M412" i="37"/>
  <c r="M413" i="37"/>
  <c r="M414" i="37"/>
  <c r="M415" i="37"/>
  <c r="M416" i="37"/>
  <c r="M417" i="37"/>
  <c r="M418" i="37"/>
  <c r="M419" i="37"/>
  <c r="M420" i="37"/>
  <c r="M421" i="37"/>
  <c r="M422" i="37"/>
  <c r="M423" i="37"/>
  <c r="M424" i="37"/>
  <c r="M425" i="37"/>
  <c r="M426" i="37"/>
  <c r="M427" i="37"/>
  <c r="M428" i="37"/>
  <c r="M429" i="37"/>
  <c r="M430" i="37"/>
  <c r="M431" i="37"/>
  <c r="M432" i="37"/>
  <c r="M433" i="37"/>
  <c r="M434" i="37"/>
  <c r="M435" i="37"/>
  <c r="M436" i="37"/>
  <c r="M437" i="37"/>
  <c r="M438" i="37"/>
  <c r="M439" i="37"/>
  <c r="M440" i="37"/>
  <c r="M441" i="37"/>
  <c r="M442" i="37"/>
  <c r="M443" i="37"/>
  <c r="M444" i="37"/>
  <c r="M445" i="37"/>
  <c r="M446" i="37"/>
  <c r="M447" i="37"/>
  <c r="M448" i="37"/>
  <c r="M449" i="37"/>
  <c r="M450" i="37"/>
  <c r="M451" i="37"/>
  <c r="M452" i="37"/>
  <c r="M453" i="37"/>
  <c r="M454" i="37"/>
  <c r="M455" i="37"/>
  <c r="M456" i="37"/>
  <c r="M457" i="37"/>
  <c r="M458" i="37"/>
  <c r="M459" i="37"/>
  <c r="M460" i="37"/>
  <c r="M461" i="37"/>
  <c r="M462" i="37"/>
  <c r="M463" i="37"/>
  <c r="M464" i="37"/>
  <c r="M465" i="37"/>
  <c r="M466" i="37"/>
  <c r="M467" i="37"/>
  <c r="M468" i="37"/>
  <c r="M469" i="37"/>
  <c r="M470" i="37"/>
  <c r="M471" i="37"/>
  <c r="M472" i="37"/>
  <c r="M473" i="37"/>
  <c r="M474" i="37"/>
  <c r="M475" i="37"/>
  <c r="M476" i="37"/>
  <c r="M477" i="37"/>
  <c r="M478" i="37"/>
  <c r="M479" i="37"/>
  <c r="M480" i="37"/>
  <c r="M481" i="37"/>
  <c r="M482" i="37"/>
  <c r="M483" i="37"/>
  <c r="M484" i="37"/>
  <c r="M485" i="37"/>
  <c r="M486" i="37"/>
  <c r="M487" i="37"/>
  <c r="M488" i="37"/>
  <c r="M489" i="37"/>
  <c r="M490" i="37"/>
  <c r="M491" i="37"/>
  <c r="M492" i="37"/>
  <c r="M493" i="37"/>
  <c r="M494" i="37"/>
  <c r="M495" i="37"/>
  <c r="M496" i="37"/>
  <c r="M497" i="37"/>
  <c r="M498" i="37"/>
  <c r="M499" i="37"/>
  <c r="M500" i="37"/>
  <c r="M501" i="37"/>
  <c r="M502" i="37"/>
  <c r="M503" i="37"/>
  <c r="M504" i="37"/>
  <c r="M505" i="37"/>
  <c r="M506" i="37"/>
  <c r="M507" i="37"/>
  <c r="M508" i="37"/>
  <c r="M509" i="37"/>
  <c r="M510" i="37"/>
  <c r="M511" i="37"/>
  <c r="M512" i="37"/>
  <c r="M513" i="37"/>
  <c r="M514" i="37"/>
  <c r="M515" i="37"/>
  <c r="M76" i="37"/>
  <c r="O76" i="37"/>
  <c r="Q76" i="37" s="1"/>
  <c r="C661" i="31"/>
  <c r="C515" i="45" s="1"/>
  <c r="C660" i="31"/>
  <c r="C514" i="45" s="1"/>
  <c r="C659" i="31"/>
  <c r="C513" i="45" s="1"/>
  <c r="C658" i="31"/>
  <c r="C657" i="31"/>
  <c r="C511" i="45" s="1"/>
  <c r="C656" i="31"/>
  <c r="C510" i="45" s="1"/>
  <c r="C655" i="31"/>
  <c r="C509" i="45" s="1"/>
  <c r="C654" i="31"/>
  <c r="C653" i="31"/>
  <c r="C507" i="45" s="1"/>
  <c r="C652" i="31"/>
  <c r="C506" i="45" s="1"/>
  <c r="C651" i="31"/>
  <c r="C505" i="45" s="1"/>
  <c r="C650" i="31"/>
  <c r="C649" i="31"/>
  <c r="C503" i="45" s="1"/>
  <c r="C648" i="31"/>
  <c r="C502" i="45" s="1"/>
  <c r="C647" i="31"/>
  <c r="C501" i="45" s="1"/>
  <c r="C646" i="31"/>
  <c r="C645" i="31"/>
  <c r="C499" i="45" s="1"/>
  <c r="C644" i="31"/>
  <c r="C498" i="45" s="1"/>
  <c r="C643" i="31"/>
  <c r="C497" i="45" s="1"/>
  <c r="C642" i="31"/>
  <c r="C641" i="31"/>
  <c r="C495" i="45" s="1"/>
  <c r="C640" i="31"/>
  <c r="C494" i="45" s="1"/>
  <c r="C639" i="31"/>
  <c r="C493" i="45" s="1"/>
  <c r="C638" i="31"/>
  <c r="C637" i="31"/>
  <c r="C491" i="45" s="1"/>
  <c r="C636" i="31"/>
  <c r="C490" i="45" s="1"/>
  <c r="C635" i="31"/>
  <c r="C489" i="45" s="1"/>
  <c r="C634" i="31"/>
  <c r="C633" i="31"/>
  <c r="C487" i="45" s="1"/>
  <c r="C632" i="31"/>
  <c r="C486" i="45" s="1"/>
  <c r="C631" i="31"/>
  <c r="C485" i="45" s="1"/>
  <c r="C630" i="31"/>
  <c r="C629" i="31"/>
  <c r="C483" i="45" s="1"/>
  <c r="C628" i="31"/>
  <c r="C482" i="45" s="1"/>
  <c r="C627" i="31"/>
  <c r="C481" i="45" s="1"/>
  <c r="C626" i="31"/>
  <c r="C625" i="31"/>
  <c r="C479" i="45" s="1"/>
  <c r="C624" i="31"/>
  <c r="C478" i="45" s="1"/>
  <c r="C623" i="31"/>
  <c r="C477" i="45" s="1"/>
  <c r="C622" i="31"/>
  <c r="C621" i="31"/>
  <c r="C475" i="45" s="1"/>
  <c r="C620" i="31"/>
  <c r="C474" i="45" s="1"/>
  <c r="C619" i="31"/>
  <c r="C473" i="45" s="1"/>
  <c r="C618" i="31"/>
  <c r="C617" i="31"/>
  <c r="C471" i="45" s="1"/>
  <c r="C616" i="31"/>
  <c r="C470" i="45" s="1"/>
  <c r="C615" i="31"/>
  <c r="C469" i="45" s="1"/>
  <c r="C614" i="31"/>
  <c r="C613" i="31"/>
  <c r="C467" i="45" s="1"/>
  <c r="C612" i="31"/>
  <c r="C466" i="45" s="1"/>
  <c r="C611" i="31"/>
  <c r="C465" i="45" s="1"/>
  <c r="C610" i="31"/>
  <c r="C609" i="31"/>
  <c r="C463" i="45" s="1"/>
  <c r="C608" i="31"/>
  <c r="C462" i="45" s="1"/>
  <c r="C607" i="31"/>
  <c r="C461" i="45" s="1"/>
  <c r="C606" i="31"/>
  <c r="C605" i="31"/>
  <c r="C459" i="45" s="1"/>
  <c r="C604" i="31"/>
  <c r="C458" i="45" s="1"/>
  <c r="C603" i="31"/>
  <c r="C457" i="45" s="1"/>
  <c r="C602" i="31"/>
  <c r="C601" i="31"/>
  <c r="C455" i="45" s="1"/>
  <c r="C600" i="31"/>
  <c r="C454" i="45" s="1"/>
  <c r="C599" i="31"/>
  <c r="C453" i="45" s="1"/>
  <c r="C598" i="31"/>
  <c r="C597" i="31"/>
  <c r="C451" i="45" s="1"/>
  <c r="C596" i="31"/>
  <c r="C450" i="45" s="1"/>
  <c r="C595" i="31"/>
  <c r="C449" i="45" s="1"/>
  <c r="C594" i="31"/>
  <c r="C593" i="31"/>
  <c r="C447" i="45" s="1"/>
  <c r="C592" i="31"/>
  <c r="C446" i="45" s="1"/>
  <c r="C591" i="31"/>
  <c r="C445" i="45" s="1"/>
  <c r="C590" i="31"/>
  <c r="C589" i="31"/>
  <c r="C443" i="45" s="1"/>
  <c r="C588" i="31"/>
  <c r="C442" i="45" s="1"/>
  <c r="C587" i="31"/>
  <c r="C441" i="45" s="1"/>
  <c r="C586" i="31"/>
  <c r="C585" i="31"/>
  <c r="C439" i="45" s="1"/>
  <c r="C584" i="31"/>
  <c r="C438" i="45" s="1"/>
  <c r="C583" i="31"/>
  <c r="C437" i="45" s="1"/>
  <c r="C582" i="31"/>
  <c r="C581" i="31"/>
  <c r="C435" i="45" s="1"/>
  <c r="C580" i="31"/>
  <c r="C434" i="45" s="1"/>
  <c r="C579" i="31"/>
  <c r="C433" i="45" s="1"/>
  <c r="C578" i="31"/>
  <c r="C577" i="31"/>
  <c r="C431" i="45" s="1"/>
  <c r="C576" i="31"/>
  <c r="C430" i="45" s="1"/>
  <c r="C575" i="31"/>
  <c r="C429" i="45" s="1"/>
  <c r="C574" i="31"/>
  <c r="C573" i="31"/>
  <c r="C427" i="45" s="1"/>
  <c r="C572" i="31"/>
  <c r="C426" i="45" s="1"/>
  <c r="C571" i="31"/>
  <c r="C425" i="45" s="1"/>
  <c r="C570" i="31"/>
  <c r="C569" i="31"/>
  <c r="C423" i="45" s="1"/>
  <c r="C568" i="31"/>
  <c r="C422" i="45" s="1"/>
  <c r="C567" i="31"/>
  <c r="C421" i="45" s="1"/>
  <c r="C566" i="31"/>
  <c r="C565" i="31"/>
  <c r="C419" i="45" s="1"/>
  <c r="C564" i="31"/>
  <c r="C418" i="45" s="1"/>
  <c r="C563" i="31"/>
  <c r="C417" i="45" s="1"/>
  <c r="C562" i="31"/>
  <c r="C561" i="31"/>
  <c r="C415" i="45" s="1"/>
  <c r="C560" i="31"/>
  <c r="C414" i="45" s="1"/>
  <c r="C559" i="31"/>
  <c r="C413" i="45" s="1"/>
  <c r="C558" i="31"/>
  <c r="C557" i="31"/>
  <c r="C411" i="45" s="1"/>
  <c r="C556" i="31"/>
  <c r="C410" i="45" s="1"/>
  <c r="C555" i="31"/>
  <c r="C409" i="45" s="1"/>
  <c r="C554" i="31"/>
  <c r="C553" i="31"/>
  <c r="C407" i="45" s="1"/>
  <c r="C552" i="31"/>
  <c r="C406" i="45" s="1"/>
  <c r="C551" i="31"/>
  <c r="C405" i="45" s="1"/>
  <c r="C550" i="31"/>
  <c r="C549" i="31"/>
  <c r="C403" i="45" s="1"/>
  <c r="C548" i="31"/>
  <c r="C402" i="45" s="1"/>
  <c r="C547" i="31"/>
  <c r="C401" i="45" s="1"/>
  <c r="C546" i="31"/>
  <c r="C545" i="31"/>
  <c r="C399" i="45" s="1"/>
  <c r="C544" i="31"/>
  <c r="C398" i="45" s="1"/>
  <c r="C543" i="31"/>
  <c r="C397" i="45" s="1"/>
  <c r="C542" i="31"/>
  <c r="C541" i="31"/>
  <c r="C395" i="45" s="1"/>
  <c r="C540" i="31"/>
  <c r="C394" i="45" s="1"/>
  <c r="C539" i="31"/>
  <c r="C393" i="45" s="1"/>
  <c r="C538" i="31"/>
  <c r="C537" i="31"/>
  <c r="C391" i="45" s="1"/>
  <c r="C536" i="31"/>
  <c r="C390" i="45" s="1"/>
  <c r="C535" i="31"/>
  <c r="C389" i="45" s="1"/>
  <c r="C534" i="31"/>
  <c r="C533" i="31"/>
  <c r="C387" i="45" s="1"/>
  <c r="C532" i="31"/>
  <c r="C386" i="45" s="1"/>
  <c r="C531" i="31"/>
  <c r="C385" i="45" s="1"/>
  <c r="C530" i="31"/>
  <c r="C529" i="31"/>
  <c r="C383" i="45" s="1"/>
  <c r="C528" i="31"/>
  <c r="C382" i="45" s="1"/>
  <c r="C527" i="31"/>
  <c r="C381" i="45" s="1"/>
  <c r="C526" i="31"/>
  <c r="C525" i="31"/>
  <c r="C379" i="45" s="1"/>
  <c r="C524" i="31"/>
  <c r="C378" i="45" s="1"/>
  <c r="C523" i="31"/>
  <c r="C377" i="45" s="1"/>
  <c r="C522" i="31"/>
  <c r="C521" i="31"/>
  <c r="C375" i="45" s="1"/>
  <c r="C520" i="31"/>
  <c r="C374" i="45" s="1"/>
  <c r="C519" i="31"/>
  <c r="C373" i="45" s="1"/>
  <c r="C518" i="31"/>
  <c r="C517" i="31"/>
  <c r="C371" i="45" s="1"/>
  <c r="C516" i="31"/>
  <c r="C370" i="45" s="1"/>
  <c r="C515" i="31"/>
  <c r="C369" i="45" s="1"/>
  <c r="C514" i="31"/>
  <c r="C513" i="31"/>
  <c r="C367" i="45" s="1"/>
  <c r="C512" i="31"/>
  <c r="C366" i="45" s="1"/>
  <c r="C511" i="31"/>
  <c r="C365" i="45" s="1"/>
  <c r="C510" i="31"/>
  <c r="C509" i="31"/>
  <c r="C363" i="45" s="1"/>
  <c r="C508" i="31"/>
  <c r="C362" i="45" s="1"/>
  <c r="C507" i="31"/>
  <c r="C361" i="45" s="1"/>
  <c r="C506" i="31"/>
  <c r="C505" i="31"/>
  <c r="C359" i="45" s="1"/>
  <c r="C504" i="31"/>
  <c r="C358" i="45" s="1"/>
  <c r="C503" i="31"/>
  <c r="C357" i="45" s="1"/>
  <c r="C502" i="31"/>
  <c r="C501" i="31"/>
  <c r="C355" i="45" s="1"/>
  <c r="C500" i="31"/>
  <c r="C354" i="45" s="1"/>
  <c r="C499" i="31"/>
  <c r="C353" i="45" s="1"/>
  <c r="C498" i="31"/>
  <c r="C497" i="31"/>
  <c r="C351" i="45" s="1"/>
  <c r="C496" i="31"/>
  <c r="C350" i="45" s="1"/>
  <c r="C495" i="31"/>
  <c r="C349" i="45" s="1"/>
  <c r="C494" i="31"/>
  <c r="C493" i="31"/>
  <c r="C347" i="45" s="1"/>
  <c r="C492" i="31"/>
  <c r="C346" i="45" s="1"/>
  <c r="C491" i="31"/>
  <c r="C345" i="45" s="1"/>
  <c r="C490" i="31"/>
  <c r="C489" i="31"/>
  <c r="C343" i="45" s="1"/>
  <c r="C488" i="31"/>
  <c r="C342" i="45" s="1"/>
  <c r="C487" i="31"/>
  <c r="C341" i="45" s="1"/>
  <c r="C486" i="31"/>
  <c r="C485" i="31"/>
  <c r="C339" i="45" s="1"/>
  <c r="C484" i="31"/>
  <c r="C338" i="45" s="1"/>
  <c r="C483" i="31"/>
  <c r="C337" i="45" s="1"/>
  <c r="C482" i="31"/>
  <c r="C481" i="31"/>
  <c r="C335" i="45" s="1"/>
  <c r="C480" i="31"/>
  <c r="C334" i="45" s="1"/>
  <c r="C479" i="31"/>
  <c r="C333" i="45" s="1"/>
  <c r="C478" i="31"/>
  <c r="C477" i="31"/>
  <c r="C331" i="45" s="1"/>
  <c r="C476" i="31"/>
  <c r="C330" i="45" s="1"/>
  <c r="C475" i="31"/>
  <c r="C329" i="45" s="1"/>
  <c r="C474" i="31"/>
  <c r="C473" i="31"/>
  <c r="C327" i="45" s="1"/>
  <c r="C472" i="31"/>
  <c r="C326" i="45" s="1"/>
  <c r="C471" i="31"/>
  <c r="C325" i="45" s="1"/>
  <c r="C470" i="31"/>
  <c r="C469" i="31"/>
  <c r="C323" i="45" s="1"/>
  <c r="C468" i="31"/>
  <c r="C322" i="45" s="1"/>
  <c r="C467" i="31"/>
  <c r="C321" i="45" s="1"/>
  <c r="C466" i="31"/>
  <c r="C465" i="31"/>
  <c r="C319" i="45" s="1"/>
  <c r="C464" i="31"/>
  <c r="C318" i="45" s="1"/>
  <c r="C463" i="31"/>
  <c r="C317" i="45" s="1"/>
  <c r="C462" i="31"/>
  <c r="C461" i="31"/>
  <c r="C315" i="45" s="1"/>
  <c r="C460" i="31"/>
  <c r="C314" i="45" s="1"/>
  <c r="C459" i="31"/>
  <c r="C313" i="45" s="1"/>
  <c r="C458" i="31"/>
  <c r="C457" i="31"/>
  <c r="C311" i="45" s="1"/>
  <c r="C456" i="31"/>
  <c r="C310" i="45" s="1"/>
  <c r="C455" i="31"/>
  <c r="C309" i="45" s="1"/>
  <c r="C454" i="31"/>
  <c r="C453" i="31"/>
  <c r="C307" i="45" s="1"/>
  <c r="C452" i="31"/>
  <c r="C306" i="45" s="1"/>
  <c r="C451" i="31"/>
  <c r="C305" i="45" s="1"/>
  <c r="C450" i="31"/>
  <c r="C449" i="31"/>
  <c r="C303" i="45" s="1"/>
  <c r="C448" i="31"/>
  <c r="C302" i="45" s="1"/>
  <c r="C447" i="31"/>
  <c r="C301" i="45" s="1"/>
  <c r="C446" i="31"/>
  <c r="C445" i="31"/>
  <c r="C299" i="45" s="1"/>
  <c r="C444" i="31"/>
  <c r="C298" i="45" s="1"/>
  <c r="C443" i="31"/>
  <c r="C297" i="45" s="1"/>
  <c r="C442" i="31"/>
  <c r="C221" i="31"/>
  <c r="C295" i="45" s="1"/>
  <c r="C220" i="31"/>
  <c r="C294" i="45" s="1"/>
  <c r="C219" i="31"/>
  <c r="C293" i="45" s="1"/>
  <c r="C218" i="31"/>
  <c r="C217" i="31"/>
  <c r="C291" i="45" s="1"/>
  <c r="C216" i="31"/>
  <c r="C290" i="45" s="1"/>
  <c r="C215" i="31"/>
  <c r="C289" i="45" s="1"/>
  <c r="C214" i="31"/>
  <c r="C213" i="31"/>
  <c r="C287" i="45" s="1"/>
  <c r="C212" i="31"/>
  <c r="C286" i="45" s="1"/>
  <c r="C211" i="31"/>
  <c r="C285" i="45" s="1"/>
  <c r="C210" i="31"/>
  <c r="C209" i="31"/>
  <c r="C283" i="45" s="1"/>
  <c r="C208" i="31"/>
  <c r="C282" i="45" s="1"/>
  <c r="C207" i="31"/>
  <c r="C281" i="45" s="1"/>
  <c r="C206" i="31"/>
  <c r="C205" i="31"/>
  <c r="C279" i="45" s="1"/>
  <c r="C204" i="31"/>
  <c r="C278" i="45" s="1"/>
  <c r="C203" i="31"/>
  <c r="C277" i="45" s="1"/>
  <c r="C202" i="31"/>
  <c r="C201" i="31"/>
  <c r="C275" i="45" s="1"/>
  <c r="C200" i="31"/>
  <c r="C274" i="45" s="1"/>
  <c r="C199" i="31"/>
  <c r="C273" i="45" s="1"/>
  <c r="C198" i="31"/>
  <c r="C197" i="31"/>
  <c r="C271" i="45" s="1"/>
  <c r="C196" i="31"/>
  <c r="C270" i="45" s="1"/>
  <c r="C195" i="31"/>
  <c r="C269" i="45" s="1"/>
  <c r="C194" i="31"/>
  <c r="C193" i="31"/>
  <c r="C267" i="45" s="1"/>
  <c r="C192" i="31"/>
  <c r="C266" i="45" s="1"/>
  <c r="C191" i="31"/>
  <c r="C265" i="45" s="1"/>
  <c r="C190" i="31"/>
  <c r="C189" i="31"/>
  <c r="C263" i="45" s="1"/>
  <c r="C188" i="31"/>
  <c r="C262" i="45" s="1"/>
  <c r="C187" i="31"/>
  <c r="C261" i="45" s="1"/>
  <c r="C186" i="31"/>
  <c r="C185" i="31"/>
  <c r="C259" i="45" s="1"/>
  <c r="C184" i="31"/>
  <c r="C258" i="45" s="1"/>
  <c r="C183" i="31"/>
  <c r="C257" i="45" s="1"/>
  <c r="C182" i="31"/>
  <c r="C181" i="31"/>
  <c r="C255" i="45" s="1"/>
  <c r="C180" i="31"/>
  <c r="C254" i="45" s="1"/>
  <c r="C179" i="31"/>
  <c r="C253" i="45" s="1"/>
  <c r="C178" i="31"/>
  <c r="C177" i="31"/>
  <c r="C251" i="45" s="1"/>
  <c r="C176" i="31"/>
  <c r="C250" i="45" s="1"/>
  <c r="C175" i="31"/>
  <c r="C249" i="45" s="1"/>
  <c r="C174" i="31"/>
  <c r="C173" i="31"/>
  <c r="C247" i="45" s="1"/>
  <c r="C172" i="31"/>
  <c r="C246" i="45" s="1"/>
  <c r="C171" i="31"/>
  <c r="C245" i="45" s="1"/>
  <c r="C170" i="31"/>
  <c r="C169" i="31"/>
  <c r="C243" i="45" s="1"/>
  <c r="C168" i="31"/>
  <c r="C242" i="45" s="1"/>
  <c r="C167" i="31"/>
  <c r="C241" i="45" s="1"/>
  <c r="C166" i="31"/>
  <c r="C165" i="31"/>
  <c r="C239" i="45" s="1"/>
  <c r="C164" i="31"/>
  <c r="C238" i="45" s="1"/>
  <c r="C163" i="31"/>
  <c r="C237" i="45" s="1"/>
  <c r="C162" i="31"/>
  <c r="C161" i="31"/>
  <c r="C235" i="45" s="1"/>
  <c r="C160" i="31"/>
  <c r="C234" i="45" s="1"/>
  <c r="C159" i="31"/>
  <c r="C233" i="45" s="1"/>
  <c r="C158" i="31"/>
  <c r="C157" i="31"/>
  <c r="C231" i="45" s="1"/>
  <c r="C156" i="31"/>
  <c r="C230" i="45" s="1"/>
  <c r="C155" i="31"/>
  <c r="C229" i="45" s="1"/>
  <c r="C154" i="31"/>
  <c r="C153" i="31"/>
  <c r="C227" i="45" s="1"/>
  <c r="C152" i="31"/>
  <c r="C226" i="45" s="1"/>
  <c r="C151" i="31"/>
  <c r="C225" i="45" s="1"/>
  <c r="C150" i="31"/>
  <c r="C149" i="31"/>
  <c r="C223" i="45" s="1"/>
  <c r="C148" i="31"/>
  <c r="C222" i="45" s="1"/>
  <c r="C147" i="31"/>
  <c r="C221" i="45" s="1"/>
  <c r="C146" i="31"/>
  <c r="C145" i="31"/>
  <c r="C219" i="45" s="1"/>
  <c r="C144" i="31"/>
  <c r="C218" i="45" s="1"/>
  <c r="C143" i="31"/>
  <c r="C217" i="45" s="1"/>
  <c r="C142" i="31"/>
  <c r="C141" i="31"/>
  <c r="C215" i="45" s="1"/>
  <c r="C140" i="31"/>
  <c r="C214" i="45" s="1"/>
  <c r="C139" i="31"/>
  <c r="C213" i="45" s="1"/>
  <c r="C138" i="31"/>
  <c r="C137" i="31"/>
  <c r="C211" i="45" s="1"/>
  <c r="C136" i="31"/>
  <c r="C210" i="45" s="1"/>
  <c r="C135" i="31"/>
  <c r="C209" i="45" s="1"/>
  <c r="C134" i="31"/>
  <c r="C133" i="31"/>
  <c r="C207" i="45" s="1"/>
  <c r="C132" i="31"/>
  <c r="C206" i="45" s="1"/>
  <c r="C131" i="31"/>
  <c r="C205" i="45" s="1"/>
  <c r="C130" i="31"/>
  <c r="C129" i="31"/>
  <c r="C203" i="45" s="1"/>
  <c r="C128" i="31"/>
  <c r="C202" i="45" s="1"/>
  <c r="C127" i="31"/>
  <c r="C201" i="45" s="1"/>
  <c r="C126" i="31"/>
  <c r="C125" i="31"/>
  <c r="C199" i="45" s="1"/>
  <c r="C124" i="31"/>
  <c r="C198" i="45" s="1"/>
  <c r="C123" i="31"/>
  <c r="C197" i="45" s="1"/>
  <c r="C122" i="31"/>
  <c r="C121" i="31"/>
  <c r="C195" i="45" s="1"/>
  <c r="C120" i="31"/>
  <c r="C194" i="45" s="1"/>
  <c r="C119" i="31"/>
  <c r="C193" i="45" s="1"/>
  <c r="C118" i="31"/>
  <c r="C117" i="31"/>
  <c r="C191" i="45" s="1"/>
  <c r="C116" i="31"/>
  <c r="C190" i="45" s="1"/>
  <c r="C115" i="31"/>
  <c r="C189" i="45" s="1"/>
  <c r="C114" i="31"/>
  <c r="C113" i="31"/>
  <c r="C187" i="45" s="1"/>
  <c r="C112" i="31"/>
  <c r="C186" i="45" s="1"/>
  <c r="C111" i="31"/>
  <c r="C185" i="45" s="1"/>
  <c r="C110" i="31"/>
  <c r="C109" i="31"/>
  <c r="C183" i="45" s="1"/>
  <c r="C108" i="31"/>
  <c r="C182" i="45" s="1"/>
  <c r="C107" i="31"/>
  <c r="C181" i="45" s="1"/>
  <c r="C106" i="31"/>
  <c r="C105" i="31"/>
  <c r="C179" i="45" s="1"/>
  <c r="C104" i="31"/>
  <c r="C178" i="45" s="1"/>
  <c r="C103" i="31"/>
  <c r="C177" i="45" s="1"/>
  <c r="C102" i="31"/>
  <c r="C101" i="31"/>
  <c r="C175" i="45" s="1"/>
  <c r="C100" i="31"/>
  <c r="C174" i="45" s="1"/>
  <c r="C99" i="31"/>
  <c r="C173" i="45" s="1"/>
  <c r="C98" i="31"/>
  <c r="C97" i="31"/>
  <c r="C171" i="45" s="1"/>
  <c r="C96" i="31"/>
  <c r="C170" i="45" s="1"/>
  <c r="C95" i="31"/>
  <c r="C169" i="45" s="1"/>
  <c r="C94" i="31"/>
  <c r="C93" i="31"/>
  <c r="C167" i="45" s="1"/>
  <c r="C92" i="31"/>
  <c r="C166" i="45" s="1"/>
  <c r="C91" i="31"/>
  <c r="C165" i="45" s="1"/>
  <c r="C90" i="31"/>
  <c r="C89" i="31"/>
  <c r="C163" i="45" s="1"/>
  <c r="C88" i="31"/>
  <c r="C162" i="45" s="1"/>
  <c r="C87" i="31"/>
  <c r="C161" i="45" s="1"/>
  <c r="C86" i="31"/>
  <c r="C85" i="31"/>
  <c r="C159" i="45" s="1"/>
  <c r="C84" i="31"/>
  <c r="C158" i="45" s="1"/>
  <c r="C83" i="31"/>
  <c r="C157" i="45" s="1"/>
  <c r="C82" i="31"/>
  <c r="C81" i="31"/>
  <c r="C155" i="45" s="1"/>
  <c r="C80" i="31"/>
  <c r="C154" i="45" s="1"/>
  <c r="C79" i="31"/>
  <c r="C153" i="45" s="1"/>
  <c r="C78" i="31"/>
  <c r="C77" i="31"/>
  <c r="C151" i="45" s="1"/>
  <c r="C76" i="31"/>
  <c r="C150" i="45" s="1"/>
  <c r="C75" i="31"/>
  <c r="C149" i="45" s="1"/>
  <c r="C74" i="31"/>
  <c r="C73" i="31"/>
  <c r="C147" i="45" s="1"/>
  <c r="C72" i="31"/>
  <c r="C146" i="45" s="1"/>
  <c r="C71" i="31"/>
  <c r="C145" i="45" s="1"/>
  <c r="C70" i="31"/>
  <c r="C69" i="31"/>
  <c r="C143" i="45" s="1"/>
  <c r="C68" i="31"/>
  <c r="C142" i="45" s="1"/>
  <c r="C67" i="31"/>
  <c r="C141" i="45" s="1"/>
  <c r="C66" i="31"/>
  <c r="C65" i="31"/>
  <c r="C139" i="45" s="1"/>
  <c r="C64" i="31"/>
  <c r="C138" i="45" s="1"/>
  <c r="C63" i="31"/>
  <c r="C137" i="45" s="1"/>
  <c r="C62" i="31"/>
  <c r="C61" i="31"/>
  <c r="C135" i="45" s="1"/>
  <c r="C60" i="31"/>
  <c r="C134" i="45" s="1"/>
  <c r="C59" i="31"/>
  <c r="C133" i="45" s="1"/>
  <c r="C58" i="31"/>
  <c r="C57" i="31"/>
  <c r="C131" i="45" s="1"/>
  <c r="C56" i="31"/>
  <c r="C130" i="45" s="1"/>
  <c r="C55" i="31"/>
  <c r="C129" i="45" s="1"/>
  <c r="C54" i="31"/>
  <c r="C53" i="31"/>
  <c r="C127" i="45" s="1"/>
  <c r="C52" i="31"/>
  <c r="C126" i="45" s="1"/>
  <c r="C51" i="31"/>
  <c r="C125" i="45" s="1"/>
  <c r="C50" i="31"/>
  <c r="C49" i="31"/>
  <c r="C123" i="45" s="1"/>
  <c r="C48" i="31"/>
  <c r="C122" i="45" s="1"/>
  <c r="C47" i="31"/>
  <c r="C121" i="45" s="1"/>
  <c r="C46" i="31"/>
  <c r="C45" i="31"/>
  <c r="C119" i="45" s="1"/>
  <c r="C44" i="31"/>
  <c r="C118" i="45" s="1"/>
  <c r="C43" i="31"/>
  <c r="C117" i="45" s="1"/>
  <c r="C42" i="31"/>
  <c r="C41" i="31"/>
  <c r="C115" i="45" s="1"/>
  <c r="C40" i="31"/>
  <c r="C114" i="45" s="1"/>
  <c r="C39" i="31"/>
  <c r="C113" i="45" s="1"/>
  <c r="C38" i="31"/>
  <c r="C37" i="31"/>
  <c r="C111" i="45" s="1"/>
  <c r="C36" i="31"/>
  <c r="C110" i="45" s="1"/>
  <c r="C35" i="31"/>
  <c r="C109" i="45" s="1"/>
  <c r="C34" i="31"/>
  <c r="C33" i="31"/>
  <c r="C107" i="45" s="1"/>
  <c r="C32" i="31"/>
  <c r="C106" i="45" s="1"/>
  <c r="C31" i="31"/>
  <c r="C105" i="45" s="1"/>
  <c r="C30" i="31"/>
  <c r="C29" i="31"/>
  <c r="C103" i="45" s="1"/>
  <c r="C28" i="31"/>
  <c r="C102" i="45" s="1"/>
  <c r="C27" i="31"/>
  <c r="C101" i="45" s="1"/>
  <c r="C26" i="31"/>
  <c r="C25" i="31"/>
  <c r="C99" i="45" s="1"/>
  <c r="C24" i="31"/>
  <c r="C98" i="45" s="1"/>
  <c r="C23" i="31"/>
  <c r="C97" i="45" s="1"/>
  <c r="C22" i="31"/>
  <c r="C21" i="31"/>
  <c r="C95" i="45" s="1"/>
  <c r="C20" i="31"/>
  <c r="C94" i="45" s="1"/>
  <c r="C19" i="31"/>
  <c r="C93" i="45" s="1"/>
  <c r="C18" i="31"/>
  <c r="C17" i="31"/>
  <c r="C91" i="45" s="1"/>
  <c r="C16" i="31"/>
  <c r="C90" i="45" s="1"/>
  <c r="C15" i="31"/>
  <c r="C89" i="45" s="1"/>
  <c r="C14" i="31"/>
  <c r="C13" i="31"/>
  <c r="C87" i="45" s="1"/>
  <c r="C12" i="31"/>
  <c r="C86" i="45" s="1"/>
  <c r="C11" i="31"/>
  <c r="C85" i="45" s="1"/>
  <c r="C10" i="31"/>
  <c r="C9" i="31"/>
  <c r="C83" i="45" s="1"/>
  <c r="C8" i="31"/>
  <c r="C82" i="45" s="1"/>
  <c r="C7" i="31"/>
  <c r="C81" i="45" s="1"/>
  <c r="C6" i="31"/>
  <c r="C5" i="31"/>
  <c r="C79" i="45" s="1"/>
  <c r="C4" i="31"/>
  <c r="C78" i="45" s="1"/>
  <c r="C3" i="31"/>
  <c r="C77" i="45" s="1"/>
  <c r="C2" i="31"/>
  <c r="G211" i="35"/>
  <c r="I211" i="35"/>
  <c r="J211" i="35"/>
  <c r="K211" i="35"/>
  <c r="G392" i="35"/>
  <c r="I392" i="35"/>
  <c r="J392" i="35"/>
  <c r="K392" i="35"/>
  <c r="G499" i="35"/>
  <c r="I499" i="35"/>
  <c r="J499" i="35"/>
  <c r="K499" i="35"/>
  <c r="G470" i="35"/>
  <c r="I470" i="35"/>
  <c r="J470" i="35"/>
  <c r="K470" i="35"/>
  <c r="G485" i="35"/>
  <c r="I485" i="35"/>
  <c r="J485" i="35"/>
  <c r="K485" i="35"/>
  <c r="G519" i="35"/>
  <c r="I519" i="35"/>
  <c r="J519" i="35"/>
  <c r="K519" i="35"/>
  <c r="G548" i="35"/>
  <c r="I548" i="35"/>
  <c r="J548" i="35"/>
  <c r="K548" i="35"/>
  <c r="G514" i="35"/>
  <c r="I514" i="35"/>
  <c r="J514" i="35"/>
  <c r="K514" i="35"/>
  <c r="G396" i="35"/>
  <c r="I396" i="35"/>
  <c r="J396" i="35"/>
  <c r="K396" i="35"/>
  <c r="G524" i="35"/>
  <c r="I524" i="35"/>
  <c r="J524" i="35"/>
  <c r="K524" i="35"/>
  <c r="G463" i="35"/>
  <c r="I463" i="35"/>
  <c r="J463" i="35"/>
  <c r="K463" i="35"/>
  <c r="G505" i="35"/>
  <c r="I505" i="35"/>
  <c r="J505" i="35"/>
  <c r="K505" i="35"/>
  <c r="G488" i="35"/>
  <c r="I488" i="35"/>
  <c r="J488" i="35"/>
  <c r="K488" i="35"/>
  <c r="G467" i="35"/>
  <c r="I467" i="35"/>
  <c r="J467" i="35"/>
  <c r="K467" i="35"/>
  <c r="G410" i="35"/>
  <c r="I410" i="35"/>
  <c r="J410" i="35"/>
  <c r="K410" i="35"/>
  <c r="G497" i="35"/>
  <c r="I497" i="35"/>
  <c r="J497" i="35"/>
  <c r="K497" i="35"/>
  <c r="G556" i="35"/>
  <c r="I556" i="35"/>
  <c r="J556" i="35"/>
  <c r="K556" i="35"/>
  <c r="G484" i="35"/>
  <c r="I484" i="35"/>
  <c r="J484" i="35"/>
  <c r="K484" i="35"/>
  <c r="G377" i="35"/>
  <c r="I377" i="35"/>
  <c r="J377" i="35"/>
  <c r="K377" i="35"/>
  <c r="G521" i="35"/>
  <c r="I521" i="35"/>
  <c r="J521" i="35"/>
  <c r="K521" i="35"/>
  <c r="G366" i="35"/>
  <c r="I366" i="35"/>
  <c r="J366" i="35"/>
  <c r="K366" i="35"/>
  <c r="G384" i="35"/>
  <c r="I384" i="35"/>
  <c r="J384" i="35"/>
  <c r="K384" i="35"/>
  <c r="G559" i="35"/>
  <c r="I559" i="35"/>
  <c r="J559" i="35"/>
  <c r="K559" i="35"/>
  <c r="G343" i="35"/>
  <c r="I343" i="35"/>
  <c r="J343" i="35"/>
  <c r="K343" i="35"/>
  <c r="G557" i="35"/>
  <c r="I557" i="35"/>
  <c r="J557" i="35"/>
  <c r="K557" i="35"/>
  <c r="G503" i="35"/>
  <c r="I503" i="35"/>
  <c r="J503" i="35"/>
  <c r="K503" i="35"/>
  <c r="G474" i="35"/>
  <c r="I474" i="35"/>
  <c r="J474" i="35"/>
  <c r="K474" i="35"/>
  <c r="G486" i="35"/>
  <c r="I486" i="35"/>
  <c r="J486" i="35"/>
  <c r="K486" i="35"/>
  <c r="G388" i="35"/>
  <c r="I388" i="35"/>
  <c r="J388" i="35"/>
  <c r="K388" i="35"/>
  <c r="G468" i="35"/>
  <c r="I468" i="35"/>
  <c r="J468" i="35"/>
  <c r="K468" i="35"/>
  <c r="G542" i="35"/>
  <c r="I542" i="35"/>
  <c r="J542" i="35"/>
  <c r="K542" i="35"/>
  <c r="G535" i="35"/>
  <c r="I535" i="35"/>
  <c r="J535" i="35"/>
  <c r="K535" i="35"/>
  <c r="G532" i="35"/>
  <c r="I532" i="35"/>
  <c r="J532" i="35"/>
  <c r="K532" i="35"/>
  <c r="G491" i="35"/>
  <c r="I491" i="35"/>
  <c r="J491" i="35"/>
  <c r="K491" i="35"/>
  <c r="G527" i="35"/>
  <c r="I527" i="35"/>
  <c r="J527" i="35"/>
  <c r="K527" i="35"/>
  <c r="G546" i="35"/>
  <c r="I546" i="35"/>
  <c r="J546" i="35"/>
  <c r="K546" i="35"/>
  <c r="G347" i="35"/>
  <c r="I347" i="35"/>
  <c r="J347" i="35"/>
  <c r="K347" i="35"/>
  <c r="G523" i="35"/>
  <c r="I523" i="35"/>
  <c r="J523" i="35"/>
  <c r="K523" i="35"/>
  <c r="G500" i="35"/>
  <c r="I500" i="35"/>
  <c r="J500" i="35"/>
  <c r="K500" i="35"/>
  <c r="G566" i="35"/>
  <c r="I566" i="35"/>
  <c r="J566" i="35"/>
  <c r="K566" i="35"/>
  <c r="G427" i="35"/>
  <c r="I427" i="35"/>
  <c r="J427" i="35"/>
  <c r="K427" i="35"/>
  <c r="G350" i="35"/>
  <c r="I350" i="35"/>
  <c r="J350" i="35"/>
  <c r="K350" i="35"/>
  <c r="G550" i="35"/>
  <c r="I550" i="35"/>
  <c r="J550" i="35"/>
  <c r="K550" i="35"/>
  <c r="G493" i="35"/>
  <c r="I493" i="35"/>
  <c r="J493" i="35"/>
  <c r="K493" i="35"/>
  <c r="G369" i="35"/>
  <c r="I369" i="35"/>
  <c r="J369" i="35"/>
  <c r="K369" i="35"/>
  <c r="G636" i="35"/>
  <c r="I636" i="35"/>
  <c r="J636" i="35"/>
  <c r="K636" i="35"/>
  <c r="G401" i="35"/>
  <c r="I401" i="35"/>
  <c r="J401" i="35"/>
  <c r="K401" i="35"/>
  <c r="G420" i="35"/>
  <c r="I420" i="35"/>
  <c r="J420" i="35"/>
  <c r="K420" i="35"/>
  <c r="G371" i="35"/>
  <c r="I371" i="35"/>
  <c r="J371" i="35"/>
  <c r="K371" i="35"/>
  <c r="G400" i="35"/>
  <c r="I400" i="35"/>
  <c r="J400" i="35"/>
  <c r="K400" i="35"/>
  <c r="G453" i="35"/>
  <c r="I453" i="35"/>
  <c r="J453" i="35"/>
  <c r="K453" i="35"/>
  <c r="G422" i="35"/>
  <c r="I422" i="35"/>
  <c r="J422" i="35"/>
  <c r="K422" i="35"/>
  <c r="G433" i="35"/>
  <c r="I433" i="35"/>
  <c r="J433" i="35"/>
  <c r="K433" i="35"/>
  <c r="G386" i="35"/>
  <c r="I386" i="35"/>
  <c r="J386" i="35"/>
  <c r="K386" i="35"/>
  <c r="G670" i="35"/>
  <c r="I670" i="35"/>
  <c r="J670" i="35"/>
  <c r="K670" i="35"/>
  <c r="G480" i="35"/>
  <c r="I480" i="35"/>
  <c r="J480" i="35"/>
  <c r="K480" i="35"/>
  <c r="G440" i="35"/>
  <c r="I440" i="35"/>
  <c r="J440" i="35"/>
  <c r="K440" i="35"/>
  <c r="G509" i="35"/>
  <c r="I509" i="35"/>
  <c r="J509" i="35"/>
  <c r="K509" i="35"/>
  <c r="G495" i="35"/>
  <c r="I495" i="35"/>
  <c r="J495" i="35"/>
  <c r="K495" i="35"/>
  <c r="G520" i="35"/>
  <c r="I520" i="35"/>
  <c r="J520" i="35"/>
  <c r="K520" i="35"/>
  <c r="G452" i="35"/>
  <c r="I452" i="35"/>
  <c r="J452" i="35"/>
  <c r="K452" i="35"/>
  <c r="G390" i="35"/>
  <c r="I390" i="35"/>
  <c r="J390" i="35"/>
  <c r="K390" i="35"/>
  <c r="G411" i="35"/>
  <c r="I411" i="35"/>
  <c r="J411" i="35"/>
  <c r="K411" i="35"/>
  <c r="G471" i="35"/>
  <c r="I471" i="35"/>
  <c r="J471" i="35"/>
  <c r="K471" i="35"/>
  <c r="G413" i="35"/>
  <c r="I413" i="35"/>
  <c r="J413" i="35"/>
  <c r="K413" i="35"/>
  <c r="G360" i="35"/>
  <c r="I360" i="35"/>
  <c r="J360" i="35"/>
  <c r="K360" i="35"/>
  <c r="G558" i="35"/>
  <c r="I558" i="35"/>
  <c r="J558" i="35"/>
  <c r="K558" i="35"/>
  <c r="G554" i="35"/>
  <c r="I554" i="35"/>
  <c r="J554" i="35"/>
  <c r="K554" i="35"/>
  <c r="G362" i="35"/>
  <c r="I362" i="35"/>
  <c r="J362" i="35"/>
  <c r="K362" i="35"/>
  <c r="G490" i="35"/>
  <c r="I490" i="35"/>
  <c r="J490" i="35"/>
  <c r="K490" i="35"/>
  <c r="G374" i="35"/>
  <c r="I374" i="35"/>
  <c r="J374" i="35"/>
  <c r="K374" i="35"/>
  <c r="G376" i="35"/>
  <c r="I376" i="35"/>
  <c r="J376" i="35"/>
  <c r="K376" i="35"/>
  <c r="G507" i="35"/>
  <c r="I507" i="35"/>
  <c r="J507" i="35"/>
  <c r="K507" i="35"/>
  <c r="G356" i="35"/>
  <c r="I356" i="35"/>
  <c r="J356" i="35"/>
  <c r="K356" i="35"/>
  <c r="G359" i="35"/>
  <c r="I359" i="35"/>
  <c r="J359" i="35"/>
  <c r="K359" i="35"/>
  <c r="G368" i="35"/>
  <c r="I368" i="35"/>
  <c r="J368" i="35"/>
  <c r="K368" i="35"/>
  <c r="J403" i="35"/>
  <c r="K403" i="35"/>
  <c r="G380" i="35"/>
  <c r="I380" i="35"/>
  <c r="J380" i="35"/>
  <c r="K380" i="35"/>
  <c r="G644" i="35"/>
  <c r="I644" i="35"/>
  <c r="J644" i="35"/>
  <c r="K644" i="35"/>
  <c r="G354" i="35"/>
  <c r="I354" i="35"/>
  <c r="J354" i="35"/>
  <c r="K354" i="35"/>
  <c r="G455" i="35"/>
  <c r="I455" i="35"/>
  <c r="J455" i="35"/>
  <c r="K455" i="35"/>
  <c r="G408" i="35"/>
  <c r="I408" i="35"/>
  <c r="J408" i="35"/>
  <c r="K408" i="35"/>
  <c r="G444" i="35"/>
  <c r="I444" i="35"/>
  <c r="J444" i="35"/>
  <c r="K444" i="35"/>
  <c r="G441" i="35"/>
  <c r="I441" i="35"/>
  <c r="J441" i="35"/>
  <c r="K441" i="35"/>
  <c r="G348" i="35"/>
  <c r="I348" i="35"/>
  <c r="J348" i="35"/>
  <c r="K348" i="35"/>
  <c r="G498" i="35"/>
  <c r="I498" i="35"/>
  <c r="J498" i="35"/>
  <c r="K498" i="35"/>
  <c r="G525" i="35"/>
  <c r="I525" i="35"/>
  <c r="J525" i="35"/>
  <c r="K525" i="35"/>
  <c r="G393" i="35"/>
  <c r="I393" i="35"/>
  <c r="J393" i="35"/>
  <c r="K393" i="35"/>
  <c r="G421" i="35"/>
  <c r="I421" i="35"/>
  <c r="J421" i="35"/>
  <c r="K421" i="35"/>
  <c r="G387" i="35"/>
  <c r="I387" i="35"/>
  <c r="J387" i="35"/>
  <c r="K387" i="35"/>
  <c r="G496" i="35"/>
  <c r="I496" i="35"/>
  <c r="J496" i="35"/>
  <c r="K496" i="35"/>
  <c r="G416" i="35"/>
  <c r="I416" i="35"/>
  <c r="J416" i="35"/>
  <c r="K416" i="35"/>
  <c r="G367" i="35"/>
  <c r="I367" i="35"/>
  <c r="J367" i="35"/>
  <c r="K367" i="35"/>
  <c r="G516" i="35"/>
  <c r="I516" i="35"/>
  <c r="J516" i="35"/>
  <c r="K516" i="35"/>
  <c r="G372" i="35"/>
  <c r="I372" i="35"/>
  <c r="J372" i="35"/>
  <c r="K372" i="35"/>
  <c r="G438" i="35"/>
  <c r="I438" i="35"/>
  <c r="J438" i="35"/>
  <c r="K438" i="35"/>
  <c r="G549" i="35"/>
  <c r="I549" i="35"/>
  <c r="J549" i="35"/>
  <c r="K549" i="35"/>
  <c r="G562" i="35"/>
  <c r="I562" i="35"/>
  <c r="J562" i="35"/>
  <c r="K562" i="35"/>
  <c r="G391" i="35"/>
  <c r="I391" i="35"/>
  <c r="J391" i="35"/>
  <c r="K391" i="35"/>
  <c r="G501" i="35"/>
  <c r="I501" i="35"/>
  <c r="J501" i="35"/>
  <c r="K501" i="35"/>
  <c r="G555" i="35"/>
  <c r="I555" i="35"/>
  <c r="J555" i="35"/>
  <c r="K555" i="35"/>
  <c r="G547" i="35"/>
  <c r="I547" i="35"/>
  <c r="J547" i="35"/>
  <c r="K547" i="35"/>
  <c r="G383" i="35"/>
  <c r="I383" i="35"/>
  <c r="J383" i="35"/>
  <c r="K383" i="35"/>
  <c r="G337" i="35"/>
  <c r="I337" i="35"/>
  <c r="J337" i="35"/>
  <c r="K337" i="35"/>
  <c r="G482" i="35"/>
  <c r="I482" i="35"/>
  <c r="J482" i="35"/>
  <c r="K482" i="35"/>
  <c r="G515" i="35"/>
  <c r="I515" i="35"/>
  <c r="J515" i="35"/>
  <c r="K515" i="35"/>
  <c r="G464" i="35"/>
  <c r="I464" i="35"/>
  <c r="J464" i="35"/>
  <c r="K464" i="35"/>
  <c r="G361" i="35"/>
  <c r="I361" i="35"/>
  <c r="J361" i="35"/>
  <c r="K361" i="35"/>
  <c r="G406" i="35"/>
  <c r="I406" i="35"/>
  <c r="J406" i="35"/>
  <c r="K406" i="35"/>
  <c r="G567" i="35"/>
  <c r="I567" i="35"/>
  <c r="J567" i="35"/>
  <c r="K567" i="35"/>
  <c r="G477" i="35"/>
  <c r="I477" i="35"/>
  <c r="J477" i="35"/>
  <c r="K477" i="35"/>
  <c r="G473" i="35"/>
  <c r="I473" i="35"/>
  <c r="J473" i="35"/>
  <c r="K473" i="35"/>
  <c r="G439" i="35"/>
  <c r="I439" i="35"/>
  <c r="J439" i="35"/>
  <c r="K439" i="35"/>
  <c r="G483" i="35"/>
  <c r="I483" i="35"/>
  <c r="J483" i="35"/>
  <c r="K483" i="35"/>
  <c r="G472" i="35"/>
  <c r="I472" i="35"/>
  <c r="J472" i="35"/>
  <c r="K472" i="35"/>
  <c r="G442" i="35"/>
  <c r="I442" i="35"/>
  <c r="J442" i="35"/>
  <c r="K442" i="35"/>
  <c r="G419" i="35"/>
  <c r="I419" i="35"/>
  <c r="J419" i="35"/>
  <c r="K419" i="35"/>
  <c r="G513" i="35"/>
  <c r="I513" i="35"/>
  <c r="J513" i="35"/>
  <c r="K513" i="35"/>
  <c r="G404" i="35"/>
  <c r="I404" i="35"/>
  <c r="J404" i="35"/>
  <c r="K404" i="35"/>
  <c r="G357" i="35"/>
  <c r="I357" i="35"/>
  <c r="J357" i="35"/>
  <c r="K357" i="35"/>
  <c r="G364" i="35"/>
  <c r="I364" i="35"/>
  <c r="J364" i="35"/>
  <c r="K364" i="35"/>
  <c r="G399" i="35"/>
  <c r="I399" i="35"/>
  <c r="J399" i="35"/>
  <c r="K399" i="35"/>
  <c r="G349" i="35"/>
  <c r="I349" i="35"/>
  <c r="J349" i="35"/>
  <c r="K349" i="35"/>
  <c r="G363" i="35"/>
  <c r="I363" i="35"/>
  <c r="J363" i="35"/>
  <c r="K363" i="35"/>
  <c r="G494" i="35"/>
  <c r="I494" i="35"/>
  <c r="J494" i="35"/>
  <c r="K494" i="35"/>
  <c r="G385" i="35"/>
  <c r="I385" i="35"/>
  <c r="J385" i="35"/>
  <c r="K385" i="35"/>
  <c r="G561" i="35"/>
  <c r="I561" i="35"/>
  <c r="J561" i="35"/>
  <c r="K561" i="35"/>
  <c r="G414" i="35"/>
  <c r="I414" i="35"/>
  <c r="J414" i="35"/>
  <c r="K414" i="35"/>
  <c r="G382" i="35"/>
  <c r="I382" i="35"/>
  <c r="J382" i="35"/>
  <c r="K382" i="35"/>
  <c r="G539" i="35"/>
  <c r="I539" i="35"/>
  <c r="J539" i="35"/>
  <c r="K539" i="35"/>
  <c r="G451" i="35"/>
  <c r="I451" i="35"/>
  <c r="J451" i="35"/>
  <c r="K451" i="35"/>
  <c r="G379" i="35"/>
  <c r="I379" i="35"/>
  <c r="J379" i="35"/>
  <c r="K379" i="35"/>
  <c r="G358" i="35"/>
  <c r="I358" i="35"/>
  <c r="J358" i="35"/>
  <c r="K358" i="35"/>
  <c r="G344" i="35"/>
  <c r="I344" i="35"/>
  <c r="J344" i="35"/>
  <c r="K344" i="35"/>
  <c r="G506" i="35"/>
  <c r="I506" i="35"/>
  <c r="J506" i="35"/>
  <c r="K506" i="35"/>
  <c r="G481" i="35"/>
  <c r="I481" i="35"/>
  <c r="J481" i="35"/>
  <c r="K481" i="35"/>
  <c r="G389" i="35"/>
  <c r="I389" i="35"/>
  <c r="J389" i="35"/>
  <c r="K389" i="35"/>
  <c r="G375" i="35"/>
  <c r="I375" i="35"/>
  <c r="J375" i="35"/>
  <c r="K375" i="35"/>
  <c r="G469" i="35"/>
  <c r="I469" i="35"/>
  <c r="J469" i="35"/>
  <c r="K469" i="35"/>
  <c r="G564" i="35"/>
  <c r="I564" i="35"/>
  <c r="J564" i="35"/>
  <c r="K564" i="35"/>
  <c r="G540" i="35"/>
  <c r="I540" i="35"/>
  <c r="J540" i="35"/>
  <c r="K540" i="35"/>
  <c r="G397" i="35"/>
  <c r="I397" i="35"/>
  <c r="J397" i="35"/>
  <c r="K397" i="35"/>
  <c r="G449" i="35"/>
  <c r="I449" i="35"/>
  <c r="J449" i="35"/>
  <c r="K449" i="35"/>
  <c r="G398" i="35"/>
  <c r="I398" i="35"/>
  <c r="J398" i="35"/>
  <c r="K398" i="35"/>
  <c r="G534" i="35"/>
  <c r="I534" i="35"/>
  <c r="J534" i="35"/>
  <c r="K534" i="35"/>
  <c r="G338" i="35"/>
  <c r="I338" i="35"/>
  <c r="J338" i="35"/>
  <c r="K338" i="35"/>
  <c r="G560" i="35"/>
  <c r="I560" i="35"/>
  <c r="J560" i="35"/>
  <c r="K560" i="35"/>
  <c r="G517" i="35"/>
  <c r="I517" i="35"/>
  <c r="J517" i="35"/>
  <c r="K517" i="35"/>
  <c r="G431" i="35"/>
  <c r="I431" i="35"/>
  <c r="J431" i="35"/>
  <c r="K431" i="35"/>
  <c r="G346" i="35"/>
  <c r="I346" i="35"/>
  <c r="J346" i="35"/>
  <c r="K346" i="35"/>
  <c r="G345" i="35"/>
  <c r="I345" i="35"/>
  <c r="J345" i="35"/>
  <c r="K345" i="35"/>
  <c r="G502" i="35"/>
  <c r="I502" i="35"/>
  <c r="J502" i="35"/>
  <c r="K502" i="35"/>
  <c r="G381" i="35"/>
  <c r="I381" i="35"/>
  <c r="J381" i="35"/>
  <c r="K381" i="35"/>
  <c r="G508" i="35"/>
  <c r="I508" i="35"/>
  <c r="J508" i="35"/>
  <c r="K508" i="35"/>
  <c r="G504" i="35"/>
  <c r="I504" i="35"/>
  <c r="J504" i="35"/>
  <c r="K504" i="35"/>
  <c r="G423" i="35"/>
  <c r="I423" i="35"/>
  <c r="J423" i="35"/>
  <c r="K423" i="35"/>
  <c r="G407" i="35"/>
  <c r="I407" i="35"/>
  <c r="J407" i="35"/>
  <c r="K407" i="35"/>
  <c r="G437" i="35"/>
  <c r="I437" i="35"/>
  <c r="J437" i="35"/>
  <c r="K437" i="35"/>
  <c r="G450" i="35"/>
  <c r="I450" i="35"/>
  <c r="J450" i="35"/>
  <c r="K450" i="35"/>
  <c r="G417" i="35"/>
  <c r="I417" i="35"/>
  <c r="J417" i="35"/>
  <c r="K417" i="35"/>
  <c r="G510" i="35"/>
  <c r="I510" i="35"/>
  <c r="J510" i="35"/>
  <c r="K510" i="35"/>
  <c r="G466" i="35"/>
  <c r="I466" i="35"/>
  <c r="J466" i="35"/>
  <c r="K466" i="35"/>
  <c r="G479" i="35"/>
  <c r="I479" i="35"/>
  <c r="J479" i="35"/>
  <c r="K479" i="35"/>
  <c r="G552" i="35"/>
  <c r="I552" i="35"/>
  <c r="J552" i="35"/>
  <c r="K552" i="35"/>
  <c r="G373" i="35"/>
  <c r="I373" i="35"/>
  <c r="J373" i="35"/>
  <c r="K373" i="35"/>
  <c r="G370" i="35"/>
  <c r="I370" i="35"/>
  <c r="J370" i="35"/>
  <c r="K370" i="35"/>
  <c r="G415" i="35"/>
  <c r="I415" i="35"/>
  <c r="J415" i="35"/>
  <c r="K415" i="35"/>
  <c r="G409" i="35"/>
  <c r="I409" i="35"/>
  <c r="J409" i="35"/>
  <c r="K409" i="35"/>
  <c r="G365" i="35"/>
  <c r="I365" i="35"/>
  <c r="J365" i="35"/>
  <c r="K365" i="35"/>
  <c r="G351" i="35"/>
  <c r="I351" i="35"/>
  <c r="J351" i="35"/>
  <c r="K351" i="35"/>
  <c r="G608" i="35"/>
  <c r="I608" i="35"/>
  <c r="J608" i="35"/>
  <c r="K608" i="35"/>
  <c r="G443" i="35"/>
  <c r="I443" i="35"/>
  <c r="J443" i="35"/>
  <c r="K443" i="35"/>
  <c r="G530" i="35"/>
  <c r="I530" i="35"/>
  <c r="J530" i="35"/>
  <c r="K530" i="35"/>
  <c r="G424" i="35"/>
  <c r="I424" i="35"/>
  <c r="J424" i="35"/>
  <c r="K424" i="35"/>
  <c r="G639" i="35"/>
  <c r="I639" i="35"/>
  <c r="J639" i="35"/>
  <c r="K639" i="35"/>
  <c r="G489" i="35"/>
  <c r="I489" i="35"/>
  <c r="J489" i="35"/>
  <c r="K489" i="35"/>
  <c r="G394" i="35"/>
  <c r="I394" i="35"/>
  <c r="J394" i="35"/>
  <c r="K394" i="35"/>
  <c r="G428" i="35"/>
  <c r="I428" i="35"/>
  <c r="J428" i="35"/>
  <c r="K428" i="35"/>
  <c r="G531" i="35"/>
  <c r="I531" i="35"/>
  <c r="J531" i="35"/>
  <c r="K531" i="35"/>
  <c r="G459" i="35"/>
  <c r="I459" i="35"/>
  <c r="J459" i="35"/>
  <c r="K459" i="35"/>
  <c r="G461" i="35"/>
  <c r="I461" i="35"/>
  <c r="J461" i="35"/>
  <c r="K461" i="35"/>
  <c r="G538" i="35"/>
  <c r="I538" i="35"/>
  <c r="J538" i="35"/>
  <c r="K538" i="35"/>
  <c r="G432" i="35"/>
  <c r="I432" i="35"/>
  <c r="J432" i="35"/>
  <c r="K432" i="35"/>
  <c r="G395" i="35"/>
  <c r="I395" i="35"/>
  <c r="J395" i="35"/>
  <c r="K395" i="35"/>
  <c r="G537" i="35"/>
  <c r="I537" i="35"/>
  <c r="J537" i="35"/>
  <c r="K537" i="35"/>
  <c r="G529" i="35"/>
  <c r="I529" i="35"/>
  <c r="J529" i="35"/>
  <c r="K529" i="35"/>
  <c r="G436" i="35"/>
  <c r="I436" i="35"/>
  <c r="J436" i="35"/>
  <c r="K436" i="35"/>
  <c r="G426" i="35"/>
  <c r="I426" i="35"/>
  <c r="J426" i="35"/>
  <c r="K426" i="35"/>
  <c r="G434" i="35"/>
  <c r="I434" i="35"/>
  <c r="J434" i="35"/>
  <c r="K434" i="35"/>
  <c r="G541" i="35"/>
  <c r="I541" i="35"/>
  <c r="J541" i="35"/>
  <c r="K541" i="35"/>
  <c r="J456" i="35"/>
  <c r="K456" i="35"/>
  <c r="G445" i="35"/>
  <c r="I445" i="35"/>
  <c r="J445" i="35"/>
  <c r="K445" i="35"/>
  <c r="G511" i="35"/>
  <c r="I511" i="35"/>
  <c r="J511" i="35"/>
  <c r="K511" i="35"/>
  <c r="G544" i="35"/>
  <c r="I544" i="35"/>
  <c r="J544" i="35"/>
  <c r="K544" i="35"/>
  <c r="G563" i="35"/>
  <c r="I563" i="35"/>
  <c r="J563" i="35"/>
  <c r="K563" i="35"/>
  <c r="G447" i="35"/>
  <c r="I447" i="35"/>
  <c r="J447" i="35"/>
  <c r="K447" i="35"/>
  <c r="G353" i="35"/>
  <c r="I353" i="35"/>
  <c r="J353" i="35"/>
  <c r="K353" i="35"/>
  <c r="G597" i="35"/>
  <c r="I597" i="35"/>
  <c r="J597" i="35"/>
  <c r="K597" i="35"/>
  <c r="G565" i="35"/>
  <c r="I565" i="35"/>
  <c r="J565" i="35"/>
  <c r="K565" i="35"/>
  <c r="G352" i="35"/>
  <c r="I352" i="35"/>
  <c r="J352" i="35"/>
  <c r="K352" i="35"/>
  <c r="G476" i="35"/>
  <c r="I476" i="35"/>
  <c r="J476" i="35"/>
  <c r="K476" i="35"/>
  <c r="G339" i="35"/>
  <c r="I339" i="35"/>
  <c r="J339" i="35"/>
  <c r="K339" i="35"/>
  <c r="G425" i="35"/>
  <c r="I425" i="35"/>
  <c r="J425" i="35"/>
  <c r="K425" i="35"/>
  <c r="G457" i="35"/>
  <c r="I457" i="35"/>
  <c r="J457" i="35"/>
  <c r="K457" i="35"/>
  <c r="G475" i="35"/>
  <c r="I475" i="35"/>
  <c r="J475" i="35"/>
  <c r="K475" i="35"/>
  <c r="G460" i="35"/>
  <c r="I460" i="35"/>
  <c r="J460" i="35"/>
  <c r="K460" i="35"/>
  <c r="G430" i="35"/>
  <c r="I430" i="35"/>
  <c r="J430" i="35"/>
  <c r="K430" i="35"/>
  <c r="G580" i="35"/>
  <c r="I580" i="35"/>
  <c r="J580" i="35"/>
  <c r="K580" i="35"/>
  <c r="G512" i="35"/>
  <c r="I512" i="35"/>
  <c r="J512" i="35"/>
  <c r="K512" i="35"/>
  <c r="G543" i="35"/>
  <c r="I543" i="35"/>
  <c r="J543" i="35"/>
  <c r="K543" i="35"/>
  <c r="G536" i="35"/>
  <c r="I536" i="35"/>
  <c r="J536" i="35"/>
  <c r="K536" i="35"/>
  <c r="G593" i="35"/>
  <c r="I593" i="35"/>
  <c r="J593" i="35"/>
  <c r="K593" i="35"/>
  <c r="G341" i="35"/>
  <c r="I341" i="35"/>
  <c r="J341" i="35"/>
  <c r="K341" i="35"/>
  <c r="G458" i="35"/>
  <c r="I458" i="35"/>
  <c r="J458" i="35"/>
  <c r="K458" i="35"/>
  <c r="G478" i="35"/>
  <c r="I478" i="35"/>
  <c r="J478" i="35"/>
  <c r="K478" i="35"/>
  <c r="G648" i="35"/>
  <c r="I648" i="35"/>
  <c r="J648" i="35"/>
  <c r="K648" i="35"/>
  <c r="G526" i="35"/>
  <c r="I526" i="35"/>
  <c r="J526" i="35"/>
  <c r="K526" i="35"/>
  <c r="G448" i="35"/>
  <c r="I448" i="35"/>
  <c r="J448" i="35"/>
  <c r="K448" i="35"/>
  <c r="G610" i="35"/>
  <c r="I610" i="35"/>
  <c r="J610" i="35"/>
  <c r="K610" i="35"/>
  <c r="G340" i="35"/>
  <c r="I340" i="35"/>
  <c r="J340" i="35"/>
  <c r="K340" i="35"/>
  <c r="G429" i="35"/>
  <c r="I429" i="35"/>
  <c r="J429" i="35"/>
  <c r="K429" i="35"/>
  <c r="G666" i="35"/>
  <c r="I666" i="35"/>
  <c r="J666" i="35"/>
  <c r="K666" i="35"/>
  <c r="G579" i="35"/>
  <c r="I579" i="35"/>
  <c r="J579" i="35"/>
  <c r="K579" i="35"/>
  <c r="G624" i="35"/>
  <c r="I624" i="35"/>
  <c r="J624" i="35"/>
  <c r="K624" i="35"/>
  <c r="G551" i="35"/>
  <c r="I551" i="35"/>
  <c r="J551" i="35"/>
  <c r="K551" i="35"/>
  <c r="G655" i="35"/>
  <c r="I655" i="35"/>
  <c r="J655" i="35"/>
  <c r="K655" i="35"/>
  <c r="G663" i="35"/>
  <c r="I663" i="35"/>
  <c r="J663" i="35"/>
  <c r="K663" i="35"/>
  <c r="G342" i="35"/>
  <c r="I342" i="35"/>
  <c r="J342" i="35"/>
  <c r="K342" i="35"/>
  <c r="G574" i="35"/>
  <c r="I574" i="35"/>
  <c r="J574" i="35"/>
  <c r="K574" i="35"/>
  <c r="G611" i="35"/>
  <c r="I611" i="35"/>
  <c r="J611" i="35"/>
  <c r="K611" i="35"/>
  <c r="G575" i="35"/>
  <c r="I575" i="35"/>
  <c r="J575" i="35"/>
  <c r="K575" i="35"/>
  <c r="G647" i="35"/>
  <c r="I647" i="35"/>
  <c r="J647" i="35"/>
  <c r="K647" i="35"/>
  <c r="G588" i="35"/>
  <c r="I588" i="35"/>
  <c r="J588" i="35"/>
  <c r="K588" i="35"/>
  <c r="G355" i="35"/>
  <c r="I355" i="35"/>
  <c r="J355" i="35"/>
  <c r="K355" i="35"/>
  <c r="G594" i="35"/>
  <c r="I594" i="35"/>
  <c r="J594" i="35"/>
  <c r="K594" i="35"/>
  <c r="G667" i="35"/>
  <c r="I667" i="35"/>
  <c r="J667" i="35"/>
  <c r="K667" i="35"/>
  <c r="G462" i="35"/>
  <c r="I462" i="35"/>
  <c r="J462" i="35"/>
  <c r="K462" i="35"/>
  <c r="G625" i="35"/>
  <c r="I625" i="35"/>
  <c r="J625" i="35"/>
  <c r="K625" i="35"/>
  <c r="G605" i="35"/>
  <c r="I605" i="35"/>
  <c r="J605" i="35"/>
  <c r="K605" i="35"/>
  <c r="G652" i="35"/>
  <c r="I652" i="35"/>
  <c r="J652" i="35"/>
  <c r="K652" i="35"/>
  <c r="G592" i="35"/>
  <c r="I592" i="35"/>
  <c r="J592" i="35"/>
  <c r="K592" i="35"/>
  <c r="G631" i="35"/>
  <c r="I631" i="35"/>
  <c r="J631" i="35"/>
  <c r="K631" i="35"/>
  <c r="G633" i="35"/>
  <c r="I633" i="35"/>
  <c r="J633" i="35"/>
  <c r="K633" i="35"/>
  <c r="G583" i="35"/>
  <c r="I583" i="35"/>
  <c r="J583" i="35"/>
  <c r="K583" i="35"/>
  <c r="G638" i="35"/>
  <c r="I638" i="35"/>
  <c r="J638" i="35"/>
  <c r="K638" i="35"/>
  <c r="G627" i="35"/>
  <c r="I627" i="35"/>
  <c r="J627" i="35"/>
  <c r="K627" i="35"/>
  <c r="G595" i="35"/>
  <c r="I595" i="35"/>
  <c r="J595" i="35"/>
  <c r="K595" i="35"/>
  <c r="G604" i="35"/>
  <c r="I604" i="35"/>
  <c r="J604" i="35"/>
  <c r="K604" i="35"/>
  <c r="G660" i="35"/>
  <c r="I660" i="35"/>
  <c r="J660" i="35"/>
  <c r="K660" i="35"/>
  <c r="G642" i="35"/>
  <c r="I642" i="35"/>
  <c r="J642" i="35"/>
  <c r="K642" i="35"/>
  <c r="G665" i="35"/>
  <c r="I665" i="35"/>
  <c r="J665" i="35"/>
  <c r="K665" i="35"/>
  <c r="G622" i="35"/>
  <c r="I622" i="35"/>
  <c r="J622" i="35"/>
  <c r="K622" i="35"/>
  <c r="G640" i="35"/>
  <c r="I640" i="35"/>
  <c r="J640" i="35"/>
  <c r="K640" i="35"/>
  <c r="G613" i="35"/>
  <c r="I613" i="35"/>
  <c r="J613" i="35"/>
  <c r="K613" i="35"/>
  <c r="G626" i="35"/>
  <c r="I626" i="35"/>
  <c r="J626" i="35"/>
  <c r="K626" i="35"/>
  <c r="G656" i="35"/>
  <c r="I656" i="35"/>
  <c r="J656" i="35"/>
  <c r="K656" i="35"/>
  <c r="G587" i="35"/>
  <c r="I587" i="35"/>
  <c r="J587" i="35"/>
  <c r="K587" i="35"/>
  <c r="G609" i="35"/>
  <c r="I609" i="35"/>
  <c r="J609" i="35"/>
  <c r="K609" i="35"/>
  <c r="G617" i="35"/>
  <c r="I617" i="35"/>
  <c r="J617" i="35"/>
  <c r="K617" i="35"/>
  <c r="G487" i="35"/>
  <c r="I487" i="35"/>
  <c r="J487" i="35"/>
  <c r="K487" i="35"/>
  <c r="G405" i="35"/>
  <c r="I405" i="35"/>
  <c r="J405" i="35"/>
  <c r="K405" i="35"/>
  <c r="G581" i="35"/>
  <c r="I581" i="35"/>
  <c r="J581" i="35"/>
  <c r="K581" i="35"/>
  <c r="G630" i="35"/>
  <c r="I630" i="35"/>
  <c r="J630" i="35"/>
  <c r="K630" i="35"/>
  <c r="G528" i="35"/>
  <c r="I528" i="35"/>
  <c r="J528" i="35"/>
  <c r="K528" i="35"/>
  <c r="G646" i="35"/>
  <c r="I646" i="35"/>
  <c r="J646" i="35"/>
  <c r="K646" i="35"/>
  <c r="G623" i="35"/>
  <c r="I623" i="35"/>
  <c r="J623" i="35"/>
  <c r="K623" i="35"/>
  <c r="G651" i="35"/>
  <c r="I651" i="35"/>
  <c r="J651" i="35"/>
  <c r="K651" i="35"/>
  <c r="G446" i="35"/>
  <c r="I446" i="35"/>
  <c r="J446" i="35"/>
  <c r="K446" i="35"/>
  <c r="G614" i="35"/>
  <c r="I614" i="35"/>
  <c r="J614" i="35"/>
  <c r="K614" i="35"/>
  <c r="G602" i="35"/>
  <c r="I602" i="35"/>
  <c r="J602" i="35"/>
  <c r="K602" i="35"/>
  <c r="G637" i="35"/>
  <c r="I637" i="35"/>
  <c r="J637" i="35"/>
  <c r="K637" i="35"/>
  <c r="G582" i="35"/>
  <c r="I582" i="35"/>
  <c r="J582" i="35"/>
  <c r="K582" i="35"/>
  <c r="G572" i="35"/>
  <c r="I572" i="35"/>
  <c r="J572" i="35"/>
  <c r="K572" i="35"/>
  <c r="G402" i="35"/>
  <c r="I402" i="35"/>
  <c r="J402" i="35"/>
  <c r="K402" i="35"/>
  <c r="G545" i="35"/>
  <c r="I545" i="35"/>
  <c r="J545" i="35"/>
  <c r="K545" i="35"/>
  <c r="G607" i="35"/>
  <c r="I607" i="35"/>
  <c r="J607" i="35"/>
  <c r="K607" i="35"/>
  <c r="G671" i="35"/>
  <c r="I671" i="35"/>
  <c r="J671" i="35"/>
  <c r="K671" i="35"/>
  <c r="G657" i="35"/>
  <c r="I657" i="35"/>
  <c r="J657" i="35"/>
  <c r="K657" i="35"/>
  <c r="G616" i="35"/>
  <c r="I616" i="35"/>
  <c r="J616" i="35"/>
  <c r="K616" i="35"/>
  <c r="G599" i="35"/>
  <c r="I599" i="35"/>
  <c r="J599" i="35"/>
  <c r="K599" i="35"/>
  <c r="G412" i="35"/>
  <c r="I412" i="35"/>
  <c r="J412" i="35"/>
  <c r="K412" i="35"/>
  <c r="G584" i="35"/>
  <c r="I584" i="35"/>
  <c r="J584" i="35"/>
  <c r="K584" i="35"/>
  <c r="G649" i="35"/>
  <c r="I649" i="35"/>
  <c r="J649" i="35"/>
  <c r="K649" i="35"/>
  <c r="G650" i="35"/>
  <c r="I650" i="35"/>
  <c r="J650" i="35"/>
  <c r="K650" i="35"/>
  <c r="G603" i="35"/>
  <c r="I603" i="35"/>
  <c r="J603" i="35"/>
  <c r="K603" i="35"/>
  <c r="G577" i="35"/>
  <c r="I577" i="35"/>
  <c r="J577" i="35"/>
  <c r="K577" i="35"/>
  <c r="G601" i="35"/>
  <c r="I601" i="35"/>
  <c r="J601" i="35"/>
  <c r="K601" i="35"/>
  <c r="G568" i="35"/>
  <c r="I568" i="35"/>
  <c r="J568" i="35"/>
  <c r="K568" i="35"/>
  <c r="G571" i="35"/>
  <c r="I571" i="35"/>
  <c r="J571" i="35"/>
  <c r="K571" i="35"/>
  <c r="G661" i="35"/>
  <c r="I661" i="35"/>
  <c r="J661" i="35"/>
  <c r="K661" i="35"/>
  <c r="G598" i="35"/>
  <c r="I598" i="35"/>
  <c r="J598" i="35"/>
  <c r="K598" i="35"/>
  <c r="G669" i="35"/>
  <c r="I669" i="35"/>
  <c r="J669" i="35"/>
  <c r="K669" i="35"/>
  <c r="G578" i="35"/>
  <c r="I578" i="35"/>
  <c r="J578" i="35"/>
  <c r="K578" i="35"/>
  <c r="G664" i="35"/>
  <c r="I664" i="35"/>
  <c r="J664" i="35"/>
  <c r="K664" i="35"/>
  <c r="G634" i="35"/>
  <c r="I634" i="35"/>
  <c r="J634" i="35"/>
  <c r="K634" i="35"/>
  <c r="G659" i="35"/>
  <c r="I659" i="35"/>
  <c r="J659" i="35"/>
  <c r="K659" i="35"/>
  <c r="G662" i="35"/>
  <c r="I662" i="35"/>
  <c r="J662" i="35"/>
  <c r="K662" i="35"/>
  <c r="G619" i="35"/>
  <c r="I619" i="35"/>
  <c r="J619" i="35"/>
  <c r="K619" i="35"/>
  <c r="G596" i="35"/>
  <c r="I596" i="35"/>
  <c r="J596" i="35"/>
  <c r="K596" i="35"/>
  <c r="G653" i="35"/>
  <c r="I653" i="35"/>
  <c r="J653" i="35"/>
  <c r="K653" i="35"/>
  <c r="G618" i="35"/>
  <c r="I618" i="35"/>
  <c r="J618" i="35"/>
  <c r="K618" i="35"/>
  <c r="G632" i="35"/>
  <c r="I632" i="35"/>
  <c r="J632" i="35"/>
  <c r="K632" i="35"/>
  <c r="G569" i="35"/>
  <c r="I569" i="35"/>
  <c r="J569" i="35"/>
  <c r="K569" i="35"/>
  <c r="G635" i="35"/>
  <c r="I635" i="35"/>
  <c r="J635" i="35"/>
  <c r="K635" i="35"/>
  <c r="G612" i="35"/>
  <c r="I612" i="35"/>
  <c r="J612" i="35"/>
  <c r="K612" i="35"/>
  <c r="G606" i="35"/>
  <c r="I606" i="35"/>
  <c r="J606" i="35"/>
  <c r="K606" i="35"/>
  <c r="G586" i="35"/>
  <c r="I586" i="35"/>
  <c r="J586" i="35"/>
  <c r="K586" i="35"/>
  <c r="G522" i="35"/>
  <c r="I522" i="35"/>
  <c r="J522" i="35"/>
  <c r="K522" i="35"/>
  <c r="G418" i="35"/>
  <c r="I418" i="35"/>
  <c r="J418" i="35"/>
  <c r="K418" i="35"/>
  <c r="G553" i="35"/>
  <c r="I553" i="35"/>
  <c r="J553" i="35"/>
  <c r="K553" i="35"/>
  <c r="G465" i="35"/>
  <c r="I465" i="35"/>
  <c r="J465" i="35"/>
  <c r="K465" i="35"/>
  <c r="G454" i="35"/>
  <c r="I454" i="35"/>
  <c r="J454" i="35"/>
  <c r="K454" i="35"/>
  <c r="G378" i="35"/>
  <c r="I378" i="35"/>
  <c r="J378" i="35"/>
  <c r="K378" i="35"/>
  <c r="G570" i="35"/>
  <c r="I570" i="35"/>
  <c r="J570" i="35"/>
  <c r="K570" i="35"/>
  <c r="G492" i="35"/>
  <c r="I492" i="35"/>
  <c r="J492" i="35"/>
  <c r="K492" i="35"/>
  <c r="G590" i="35"/>
  <c r="I590" i="35"/>
  <c r="J590" i="35"/>
  <c r="K590" i="35"/>
  <c r="G576" i="35"/>
  <c r="I576" i="35"/>
  <c r="J576" i="35"/>
  <c r="K576" i="35"/>
  <c r="G658" i="35"/>
  <c r="I658" i="35"/>
  <c r="J658" i="35"/>
  <c r="K658" i="35"/>
  <c r="G668" i="35"/>
  <c r="I668" i="35"/>
  <c r="J668" i="35"/>
  <c r="K668" i="35"/>
  <c r="G620" i="35"/>
  <c r="I620" i="35"/>
  <c r="J620" i="35"/>
  <c r="K620" i="35"/>
  <c r="G589" i="35"/>
  <c r="I589" i="35"/>
  <c r="J589" i="35"/>
  <c r="K589" i="35"/>
  <c r="G621" i="35"/>
  <c r="I621" i="35"/>
  <c r="J621" i="35"/>
  <c r="K621" i="35"/>
  <c r="G573" i="35"/>
  <c r="I573" i="35"/>
  <c r="J573" i="35"/>
  <c r="K573" i="35"/>
  <c r="G600" i="35"/>
  <c r="I600" i="35"/>
  <c r="J600" i="35"/>
  <c r="K600" i="35"/>
  <c r="G518" i="35"/>
  <c r="I518" i="35"/>
  <c r="J518" i="35"/>
  <c r="K518" i="35"/>
  <c r="G585" i="35"/>
  <c r="I585" i="35"/>
  <c r="J585" i="35"/>
  <c r="K585" i="35"/>
  <c r="G645" i="35"/>
  <c r="I645" i="35"/>
  <c r="J645" i="35"/>
  <c r="K645" i="35"/>
  <c r="G19" i="35"/>
  <c r="I19" i="35"/>
  <c r="J19" i="35"/>
  <c r="K19" i="35"/>
  <c r="G57" i="35"/>
  <c r="I57" i="35"/>
  <c r="J57" i="35"/>
  <c r="K57" i="35"/>
  <c r="G84" i="35"/>
  <c r="I84" i="35"/>
  <c r="J84" i="35"/>
  <c r="K84" i="35"/>
  <c r="G191" i="35"/>
  <c r="I191" i="35"/>
  <c r="J191" i="35"/>
  <c r="K191" i="35"/>
  <c r="G301" i="35"/>
  <c r="I301" i="35"/>
  <c r="J301" i="35"/>
  <c r="K301" i="35"/>
  <c r="G244" i="35"/>
  <c r="I244" i="35"/>
  <c r="J244" i="35"/>
  <c r="K244" i="35"/>
  <c r="G192" i="35"/>
  <c r="I192" i="35"/>
  <c r="J192" i="35"/>
  <c r="K192" i="35"/>
  <c r="G254" i="35"/>
  <c r="I254" i="35"/>
  <c r="J254" i="35"/>
  <c r="K254" i="35"/>
  <c r="G223" i="35"/>
  <c r="I223" i="35"/>
  <c r="J223" i="35"/>
  <c r="K223" i="35"/>
  <c r="G190" i="35"/>
  <c r="I190" i="35"/>
  <c r="J190" i="35"/>
  <c r="K190" i="35"/>
  <c r="G330" i="35"/>
  <c r="I330" i="35"/>
  <c r="J330" i="35"/>
  <c r="K330" i="35"/>
  <c r="G33" i="35"/>
  <c r="I33" i="35"/>
  <c r="J33" i="35"/>
  <c r="K33" i="35"/>
  <c r="G104" i="35"/>
  <c r="I104" i="35"/>
  <c r="J104" i="35"/>
  <c r="K104" i="35"/>
  <c r="G134" i="35"/>
  <c r="I134" i="35"/>
  <c r="J134" i="35"/>
  <c r="K134" i="35"/>
  <c r="G60" i="35"/>
  <c r="I60" i="35"/>
  <c r="J60" i="35"/>
  <c r="K60" i="35"/>
  <c r="G284" i="35"/>
  <c r="I284" i="35"/>
  <c r="J284" i="35"/>
  <c r="K284" i="35"/>
  <c r="G54" i="35"/>
  <c r="I54" i="35"/>
  <c r="J54" i="35"/>
  <c r="K54" i="35"/>
  <c r="G39" i="35"/>
  <c r="I39" i="35"/>
  <c r="J39" i="35"/>
  <c r="K39" i="35"/>
  <c r="G161" i="35"/>
  <c r="I161" i="35"/>
  <c r="J161" i="35"/>
  <c r="K161" i="35"/>
  <c r="G70" i="35"/>
  <c r="I70" i="35"/>
  <c r="J70" i="35"/>
  <c r="K70" i="35"/>
  <c r="G66" i="35"/>
  <c r="I66" i="35"/>
  <c r="J66" i="35"/>
  <c r="K66" i="35"/>
  <c r="G304" i="35"/>
  <c r="I304" i="35"/>
  <c r="J304" i="35"/>
  <c r="K304" i="35"/>
  <c r="G125" i="35"/>
  <c r="I125" i="35"/>
  <c r="J125" i="35"/>
  <c r="K125" i="35"/>
  <c r="G116" i="35"/>
  <c r="I116" i="35"/>
  <c r="J116" i="35"/>
  <c r="K116" i="35"/>
  <c r="G176" i="35"/>
  <c r="I176" i="35"/>
  <c r="J176" i="35"/>
  <c r="K176" i="35"/>
  <c r="G328" i="35"/>
  <c r="I328" i="35"/>
  <c r="J328" i="35"/>
  <c r="K328" i="35"/>
  <c r="G227" i="35"/>
  <c r="I227" i="35"/>
  <c r="J227" i="35"/>
  <c r="K227" i="35"/>
  <c r="G165" i="35"/>
  <c r="I165" i="35"/>
  <c r="J165" i="35"/>
  <c r="K165" i="35"/>
  <c r="G232" i="35"/>
  <c r="I232" i="35"/>
  <c r="J232" i="35"/>
  <c r="K232" i="35"/>
  <c r="G155" i="35"/>
  <c r="I155" i="35"/>
  <c r="J155" i="35"/>
  <c r="K155" i="35"/>
  <c r="G69" i="35"/>
  <c r="I69" i="35"/>
  <c r="J69" i="35"/>
  <c r="K69" i="35"/>
  <c r="G195" i="35"/>
  <c r="I195" i="35"/>
  <c r="J195" i="35"/>
  <c r="K195" i="35"/>
  <c r="G95" i="35"/>
  <c r="I95" i="35"/>
  <c r="J95" i="35"/>
  <c r="K95" i="35"/>
  <c r="G137" i="35"/>
  <c r="I137" i="35"/>
  <c r="J137" i="35"/>
  <c r="K137" i="35"/>
  <c r="G162" i="35"/>
  <c r="I162" i="35"/>
  <c r="J162" i="35"/>
  <c r="K162" i="35"/>
  <c r="G30" i="35"/>
  <c r="I30" i="35"/>
  <c r="J30" i="35"/>
  <c r="K30" i="35"/>
  <c r="G322" i="35"/>
  <c r="I322" i="35"/>
  <c r="J322" i="35"/>
  <c r="K322" i="35"/>
  <c r="G219" i="35"/>
  <c r="I219" i="35"/>
  <c r="J219" i="35"/>
  <c r="K219" i="35"/>
  <c r="G303" i="35"/>
  <c r="I303" i="35"/>
  <c r="J303" i="35"/>
  <c r="K303" i="35"/>
  <c r="G214" i="35"/>
  <c r="I214" i="35"/>
  <c r="J214" i="35"/>
  <c r="K214" i="35"/>
  <c r="G168" i="35"/>
  <c r="I168" i="35"/>
  <c r="J168" i="35"/>
  <c r="K168" i="35"/>
  <c r="G290" i="35"/>
  <c r="I290" i="35"/>
  <c r="J290" i="35"/>
  <c r="K290" i="35"/>
  <c r="G45" i="35"/>
  <c r="I45" i="35"/>
  <c r="J45" i="35"/>
  <c r="K45" i="35"/>
  <c r="G183" i="35"/>
  <c r="I183" i="35"/>
  <c r="J183" i="35"/>
  <c r="K183" i="35"/>
  <c r="G248" i="35"/>
  <c r="I248" i="35"/>
  <c r="J248" i="35"/>
  <c r="K248" i="35"/>
  <c r="G29" i="35"/>
  <c r="I29" i="35"/>
  <c r="J29" i="35"/>
  <c r="K29" i="35"/>
  <c r="G212" i="35"/>
  <c r="I212" i="35"/>
  <c r="J212" i="35"/>
  <c r="K212" i="35"/>
  <c r="G180" i="35"/>
  <c r="I180" i="35"/>
  <c r="J180" i="35"/>
  <c r="K180" i="35"/>
  <c r="G113" i="35"/>
  <c r="I113" i="35"/>
  <c r="J113" i="35"/>
  <c r="K113" i="35"/>
  <c r="G292" i="35"/>
  <c r="I292" i="35"/>
  <c r="J292" i="35"/>
  <c r="K292" i="35"/>
  <c r="G259" i="35"/>
  <c r="I259" i="35"/>
  <c r="J259" i="35"/>
  <c r="K259" i="35"/>
  <c r="G87" i="35"/>
  <c r="I87" i="35"/>
  <c r="J87" i="35"/>
  <c r="K87" i="35"/>
  <c r="G62" i="35"/>
  <c r="I62" i="35"/>
  <c r="J62" i="35"/>
  <c r="K62" i="35"/>
  <c r="G44" i="35"/>
  <c r="I44" i="35"/>
  <c r="J44" i="35"/>
  <c r="K44" i="35"/>
  <c r="G277" i="35"/>
  <c r="I277" i="35"/>
  <c r="J277" i="35"/>
  <c r="K277" i="35"/>
  <c r="G147" i="35"/>
  <c r="I147" i="35"/>
  <c r="J147" i="35"/>
  <c r="K147" i="35"/>
  <c r="G143" i="35"/>
  <c r="I143" i="35"/>
  <c r="J143" i="35"/>
  <c r="K143" i="35"/>
  <c r="G74" i="35"/>
  <c r="I74" i="35"/>
  <c r="J74" i="35"/>
  <c r="K74" i="35"/>
  <c r="G268" i="35"/>
  <c r="I268" i="35"/>
  <c r="J268" i="35"/>
  <c r="K268" i="35"/>
  <c r="G230" i="35"/>
  <c r="I230" i="35"/>
  <c r="J230" i="35"/>
  <c r="K230" i="35"/>
  <c r="G50" i="35"/>
  <c r="I50" i="35"/>
  <c r="J50" i="35"/>
  <c r="K50" i="35"/>
  <c r="G156" i="35"/>
  <c r="I156" i="35"/>
  <c r="J156" i="35"/>
  <c r="K156" i="35"/>
  <c r="G175" i="35"/>
  <c r="I175" i="35"/>
  <c r="J175" i="35"/>
  <c r="K175" i="35"/>
  <c r="G291" i="35"/>
  <c r="I291" i="35"/>
  <c r="J291" i="35"/>
  <c r="K291" i="35"/>
  <c r="G202" i="35"/>
  <c r="I202" i="35"/>
  <c r="J202" i="35"/>
  <c r="K202" i="35"/>
  <c r="G85" i="35"/>
  <c r="I85" i="35"/>
  <c r="J85" i="35"/>
  <c r="K85" i="35"/>
  <c r="G306" i="35"/>
  <c r="I306" i="35"/>
  <c r="J306" i="35"/>
  <c r="K306" i="35"/>
  <c r="G321" i="35"/>
  <c r="I321" i="35"/>
  <c r="J321" i="35"/>
  <c r="K321" i="35"/>
  <c r="G239" i="35"/>
  <c r="I239" i="35"/>
  <c r="J239" i="35"/>
  <c r="K239" i="35"/>
  <c r="G174" i="35"/>
  <c r="I174" i="35"/>
  <c r="J174" i="35"/>
  <c r="K174" i="35"/>
  <c r="G282" i="35"/>
  <c r="I282" i="35"/>
  <c r="J282" i="35"/>
  <c r="K282" i="35"/>
  <c r="G249" i="35"/>
  <c r="I249" i="35"/>
  <c r="J249" i="35"/>
  <c r="K249" i="35"/>
  <c r="G208" i="35"/>
  <c r="I208" i="35"/>
  <c r="J208" i="35"/>
  <c r="K208" i="35"/>
  <c r="G236" i="35"/>
  <c r="I236" i="35"/>
  <c r="J236" i="35"/>
  <c r="K236" i="35"/>
  <c r="G209" i="35"/>
  <c r="I209" i="35"/>
  <c r="J209" i="35"/>
  <c r="K209" i="35"/>
  <c r="G283" i="35"/>
  <c r="I283" i="35"/>
  <c r="J283" i="35"/>
  <c r="K283" i="35"/>
  <c r="G28" i="35"/>
  <c r="I28" i="35"/>
  <c r="J28" i="35"/>
  <c r="K28" i="35"/>
  <c r="G334" i="35"/>
  <c r="I334" i="35"/>
  <c r="J334" i="35"/>
  <c r="K334" i="35"/>
  <c r="G295" i="35"/>
  <c r="I295" i="35"/>
  <c r="J295" i="35"/>
  <c r="K295" i="35"/>
  <c r="G97" i="35"/>
  <c r="I97" i="35"/>
  <c r="J97" i="35"/>
  <c r="K97" i="35"/>
  <c r="G181" i="35"/>
  <c r="I181" i="35"/>
  <c r="J181" i="35"/>
  <c r="K181" i="35"/>
  <c r="G9" i="35"/>
  <c r="I9" i="35"/>
  <c r="J9" i="35"/>
  <c r="K9" i="35"/>
  <c r="G49" i="35"/>
  <c r="I49" i="35"/>
  <c r="J49" i="35"/>
  <c r="K49" i="35"/>
  <c r="G310" i="35"/>
  <c r="I310" i="35"/>
  <c r="J310" i="35"/>
  <c r="K310" i="35"/>
  <c r="G86" i="35"/>
  <c r="I86" i="35"/>
  <c r="J86" i="35"/>
  <c r="K86" i="35"/>
  <c r="G324" i="35"/>
  <c r="I324" i="35"/>
  <c r="J324" i="35"/>
  <c r="K324" i="35"/>
  <c r="G278" i="35"/>
  <c r="I278" i="35"/>
  <c r="J278" i="35"/>
  <c r="K278" i="35"/>
  <c r="G242" i="35"/>
  <c r="I242" i="35"/>
  <c r="J242" i="35"/>
  <c r="K242" i="35"/>
  <c r="G228" i="35"/>
  <c r="I228" i="35"/>
  <c r="J228" i="35"/>
  <c r="K228" i="35"/>
  <c r="G136" i="35"/>
  <c r="I136" i="35"/>
  <c r="J136" i="35"/>
  <c r="K136" i="35"/>
  <c r="G5" i="35"/>
  <c r="I5" i="35"/>
  <c r="J5" i="35"/>
  <c r="K5" i="35"/>
  <c r="G269" i="35"/>
  <c r="I269" i="35"/>
  <c r="J269" i="35"/>
  <c r="K269" i="35"/>
  <c r="G53" i="35"/>
  <c r="I53" i="35"/>
  <c r="J53" i="35"/>
  <c r="K53" i="35"/>
  <c r="G256" i="35"/>
  <c r="I256" i="35"/>
  <c r="J256" i="35"/>
  <c r="K256" i="35"/>
  <c r="G297" i="35"/>
  <c r="I297" i="35"/>
  <c r="J297" i="35"/>
  <c r="K297" i="35"/>
  <c r="G37" i="35"/>
  <c r="I37" i="35"/>
  <c r="J37" i="35"/>
  <c r="K37" i="35"/>
  <c r="G18" i="35"/>
  <c r="I18" i="35"/>
  <c r="J18" i="35"/>
  <c r="K18" i="35"/>
  <c r="G206" i="35"/>
  <c r="I206" i="35"/>
  <c r="J206" i="35"/>
  <c r="K206" i="35"/>
  <c r="G71" i="35"/>
  <c r="I71" i="35"/>
  <c r="J71" i="35"/>
  <c r="K71" i="35"/>
  <c r="G122" i="35"/>
  <c r="I122" i="35"/>
  <c r="J122" i="35"/>
  <c r="K122" i="35"/>
  <c r="G196" i="35"/>
  <c r="I196" i="35"/>
  <c r="J196" i="35"/>
  <c r="K196" i="35"/>
  <c r="G312" i="35"/>
  <c r="I312" i="35"/>
  <c r="J312" i="35"/>
  <c r="K312" i="35"/>
  <c r="G323" i="35"/>
  <c r="I323" i="35"/>
  <c r="J323" i="35"/>
  <c r="K323" i="35"/>
  <c r="G200" i="35"/>
  <c r="I200" i="35"/>
  <c r="J200" i="35"/>
  <c r="K200" i="35"/>
  <c r="G261" i="35"/>
  <c r="I261" i="35"/>
  <c r="J261" i="35"/>
  <c r="K261" i="35"/>
  <c r="G319" i="35"/>
  <c r="I319" i="35"/>
  <c r="J319" i="35"/>
  <c r="K319" i="35"/>
  <c r="G193" i="35"/>
  <c r="I193" i="35"/>
  <c r="J193" i="35"/>
  <c r="K193" i="35"/>
  <c r="G329" i="35"/>
  <c r="I329" i="35"/>
  <c r="J329" i="35"/>
  <c r="K329" i="35"/>
  <c r="G316" i="35"/>
  <c r="I316" i="35"/>
  <c r="J316" i="35"/>
  <c r="K316" i="35"/>
  <c r="G326" i="35"/>
  <c r="I326" i="35"/>
  <c r="J326" i="35"/>
  <c r="K326" i="35"/>
  <c r="G194" i="35"/>
  <c r="I194" i="35"/>
  <c r="J194" i="35"/>
  <c r="K194" i="35"/>
  <c r="G217" i="35"/>
  <c r="I217" i="35"/>
  <c r="J217" i="35"/>
  <c r="K217" i="35"/>
  <c r="G317" i="35"/>
  <c r="I317" i="35"/>
  <c r="J317" i="35"/>
  <c r="K317" i="35"/>
  <c r="G100" i="35"/>
  <c r="I100" i="35"/>
  <c r="J100" i="35"/>
  <c r="K100" i="35"/>
  <c r="G47" i="35"/>
  <c r="I47" i="35"/>
  <c r="J47" i="35"/>
  <c r="K47" i="35"/>
  <c r="G265" i="35"/>
  <c r="I265" i="35"/>
  <c r="J265" i="35"/>
  <c r="K265" i="35"/>
  <c r="G287" i="35"/>
  <c r="I287" i="35"/>
  <c r="J287" i="35"/>
  <c r="K287" i="35"/>
  <c r="G320" i="35"/>
  <c r="I320" i="35"/>
  <c r="J320" i="35"/>
  <c r="K320" i="35"/>
  <c r="G288" i="35"/>
  <c r="I288" i="35"/>
  <c r="J288" i="35"/>
  <c r="K288" i="35"/>
  <c r="G61" i="35"/>
  <c r="I61" i="35"/>
  <c r="J61" i="35"/>
  <c r="K61" i="35"/>
  <c r="G221" i="35"/>
  <c r="I221" i="35"/>
  <c r="J221" i="35"/>
  <c r="K221" i="35"/>
  <c r="G298" i="35"/>
  <c r="I298" i="35"/>
  <c r="J298" i="35"/>
  <c r="K298" i="35"/>
  <c r="G233" i="35"/>
  <c r="I233" i="35"/>
  <c r="J233" i="35"/>
  <c r="K233" i="35"/>
  <c r="G315" i="35"/>
  <c r="I315" i="35"/>
  <c r="J315" i="35"/>
  <c r="K315" i="35"/>
  <c r="G311" i="35"/>
  <c r="I311" i="35"/>
  <c r="J311" i="35"/>
  <c r="K311" i="35"/>
  <c r="G272" i="35"/>
  <c r="I272" i="35"/>
  <c r="J272" i="35"/>
  <c r="K272" i="35"/>
  <c r="G253" i="35"/>
  <c r="I253" i="35"/>
  <c r="J253" i="35"/>
  <c r="K253" i="35"/>
  <c r="G293" i="35"/>
  <c r="I293" i="35"/>
  <c r="J293" i="35"/>
  <c r="K293" i="35"/>
  <c r="G179" i="35"/>
  <c r="I179" i="35"/>
  <c r="J179" i="35"/>
  <c r="K179" i="35"/>
  <c r="G243" i="35"/>
  <c r="I243" i="35"/>
  <c r="J243" i="35"/>
  <c r="K243" i="35"/>
  <c r="G132" i="35"/>
  <c r="I132" i="35"/>
  <c r="J132" i="35"/>
  <c r="K132" i="35"/>
  <c r="G296" i="35"/>
  <c r="I296" i="35"/>
  <c r="J296" i="35"/>
  <c r="K296" i="35"/>
  <c r="G313" i="35"/>
  <c r="I313" i="35"/>
  <c r="J313" i="35"/>
  <c r="K313" i="35"/>
  <c r="G262" i="35"/>
  <c r="I262" i="35"/>
  <c r="J262" i="35"/>
  <c r="K262" i="35"/>
  <c r="G138" i="35"/>
  <c r="I138" i="35"/>
  <c r="J138" i="35"/>
  <c r="K138" i="35"/>
  <c r="G279" i="35"/>
  <c r="I279" i="35"/>
  <c r="J279" i="35"/>
  <c r="K279" i="35"/>
  <c r="G309" i="35"/>
  <c r="I309" i="35"/>
  <c r="J309" i="35"/>
  <c r="K309" i="35"/>
  <c r="G154" i="35"/>
  <c r="I154" i="35"/>
  <c r="J154" i="35"/>
  <c r="K154" i="35"/>
  <c r="G139" i="35"/>
  <c r="I139" i="35"/>
  <c r="J139" i="35"/>
  <c r="K139" i="35"/>
  <c r="G220" i="35"/>
  <c r="I220" i="35"/>
  <c r="J220" i="35"/>
  <c r="K220" i="35"/>
  <c r="G276" i="35"/>
  <c r="I276" i="35"/>
  <c r="J276" i="35"/>
  <c r="K276" i="35"/>
  <c r="G12" i="35"/>
  <c r="I12" i="35"/>
  <c r="J12" i="35"/>
  <c r="K12" i="35"/>
  <c r="G235" i="35"/>
  <c r="I235" i="35"/>
  <c r="J235" i="35"/>
  <c r="K235" i="35"/>
  <c r="G299" i="35"/>
  <c r="I299" i="35"/>
  <c r="J299" i="35"/>
  <c r="K299" i="35"/>
  <c r="G289" i="35"/>
  <c r="I289" i="35"/>
  <c r="J289" i="35"/>
  <c r="K289" i="35"/>
  <c r="G164" i="35"/>
  <c r="I164" i="35"/>
  <c r="J164" i="35"/>
  <c r="K164" i="35"/>
  <c r="G32" i="35"/>
  <c r="I32" i="35"/>
  <c r="J32" i="35"/>
  <c r="K32" i="35"/>
  <c r="G150" i="35"/>
  <c r="I150" i="35"/>
  <c r="J150" i="35"/>
  <c r="K150" i="35"/>
  <c r="G52" i="35"/>
  <c r="I52" i="35"/>
  <c r="J52" i="35"/>
  <c r="K52" i="35"/>
  <c r="G205" i="35"/>
  <c r="I205" i="35"/>
  <c r="J205" i="35"/>
  <c r="K205" i="35"/>
  <c r="G229" i="35"/>
  <c r="I229" i="35"/>
  <c r="J229" i="35"/>
  <c r="K229" i="35"/>
  <c r="G252" i="35"/>
  <c r="I252" i="35"/>
  <c r="J252" i="35"/>
  <c r="K252" i="35"/>
  <c r="G46" i="35"/>
  <c r="I46" i="35"/>
  <c r="J46" i="35"/>
  <c r="K46" i="35"/>
  <c r="G255" i="35"/>
  <c r="I255" i="35"/>
  <c r="J255" i="35"/>
  <c r="K255" i="35"/>
  <c r="G294" i="35"/>
  <c r="I294" i="35"/>
  <c r="J294" i="35"/>
  <c r="K294" i="35"/>
  <c r="G305" i="35"/>
  <c r="I305" i="35"/>
  <c r="J305" i="35"/>
  <c r="K305" i="35"/>
  <c r="G203" i="35"/>
  <c r="I203" i="35"/>
  <c r="J203" i="35"/>
  <c r="K203" i="35"/>
  <c r="G13" i="35"/>
  <c r="I13" i="35"/>
  <c r="J13" i="35"/>
  <c r="K13" i="35"/>
  <c r="G184" i="35"/>
  <c r="I184" i="35"/>
  <c r="J184" i="35"/>
  <c r="K184" i="35"/>
  <c r="G274" i="35"/>
  <c r="I274" i="35"/>
  <c r="J274" i="35"/>
  <c r="K274" i="35"/>
  <c r="G94" i="35"/>
  <c r="I94" i="35"/>
  <c r="J94" i="35"/>
  <c r="K94" i="35"/>
  <c r="G325" i="35"/>
  <c r="I325" i="35"/>
  <c r="J325" i="35"/>
  <c r="K325" i="35"/>
  <c r="G281" i="35"/>
  <c r="I281" i="35"/>
  <c r="J281" i="35"/>
  <c r="K281" i="35"/>
  <c r="G257" i="35"/>
  <c r="I257" i="35"/>
  <c r="J257" i="35"/>
  <c r="K257" i="35"/>
  <c r="G103" i="35"/>
  <c r="I103" i="35"/>
  <c r="J103" i="35"/>
  <c r="K103" i="35"/>
  <c r="G302" i="35"/>
  <c r="I302" i="35"/>
  <c r="J302" i="35"/>
  <c r="K302" i="35"/>
  <c r="G189" i="35"/>
  <c r="I189" i="35"/>
  <c r="J189" i="35"/>
  <c r="K189" i="35"/>
  <c r="G225" i="35"/>
  <c r="I225" i="35"/>
  <c r="J225" i="35"/>
  <c r="K225" i="35"/>
  <c r="G197" i="35"/>
  <c r="I197" i="35"/>
  <c r="J197" i="35"/>
  <c r="K197" i="35"/>
  <c r="G78" i="35"/>
  <c r="I78" i="35"/>
  <c r="J78" i="35"/>
  <c r="K78" i="35"/>
  <c r="G240" i="35"/>
  <c r="I240" i="35"/>
  <c r="J240" i="35"/>
  <c r="K240" i="35"/>
  <c r="G159" i="35"/>
  <c r="I159" i="35"/>
  <c r="J159" i="35"/>
  <c r="K159" i="35"/>
  <c r="G333" i="35"/>
  <c r="I333" i="35"/>
  <c r="J333" i="35"/>
  <c r="K333" i="35"/>
  <c r="G24" i="35"/>
  <c r="I24" i="35"/>
  <c r="J24" i="35"/>
  <c r="K24" i="35"/>
  <c r="G35" i="35"/>
  <c r="I35" i="35"/>
  <c r="J35" i="35"/>
  <c r="K35" i="35"/>
  <c r="G285" i="35"/>
  <c r="I285" i="35"/>
  <c r="J285" i="35"/>
  <c r="K285" i="35"/>
  <c r="G55" i="35"/>
  <c r="I55" i="35"/>
  <c r="J55" i="35"/>
  <c r="K55" i="35"/>
  <c r="G51" i="35"/>
  <c r="I51" i="35"/>
  <c r="J51" i="35"/>
  <c r="K51" i="35"/>
  <c r="G131" i="35"/>
  <c r="I131" i="35"/>
  <c r="J131" i="35"/>
  <c r="K131" i="35"/>
  <c r="G331" i="35"/>
  <c r="I331" i="35"/>
  <c r="J331" i="35"/>
  <c r="K331" i="35"/>
  <c r="G332" i="35"/>
  <c r="I332" i="35"/>
  <c r="J332" i="35"/>
  <c r="K332" i="35"/>
  <c r="G216" i="35"/>
  <c r="I216" i="35"/>
  <c r="J216" i="35"/>
  <c r="K216" i="35"/>
  <c r="G108" i="35"/>
  <c r="I108" i="35"/>
  <c r="J108" i="35"/>
  <c r="K108" i="35"/>
  <c r="G20" i="35"/>
  <c r="I20" i="35"/>
  <c r="J20" i="35"/>
  <c r="K20" i="35"/>
  <c r="G251" i="35"/>
  <c r="I251" i="35"/>
  <c r="J251" i="35"/>
  <c r="K251" i="35"/>
  <c r="G121" i="35"/>
  <c r="I121" i="35"/>
  <c r="J121" i="35"/>
  <c r="K121" i="35"/>
  <c r="G64" i="35"/>
  <c r="I64" i="35"/>
  <c r="J64" i="35"/>
  <c r="K64" i="35"/>
  <c r="G65" i="35"/>
  <c r="I65" i="35"/>
  <c r="J65" i="35"/>
  <c r="K65" i="35"/>
  <c r="G90" i="35"/>
  <c r="I90" i="35"/>
  <c r="J90" i="35"/>
  <c r="K90" i="35"/>
  <c r="G48" i="35"/>
  <c r="I48" i="35"/>
  <c r="J48" i="35"/>
  <c r="K48" i="35"/>
  <c r="G98" i="35"/>
  <c r="I98" i="35"/>
  <c r="J98" i="35"/>
  <c r="K98" i="35"/>
  <c r="G140" i="35"/>
  <c r="I140" i="35"/>
  <c r="J140" i="35"/>
  <c r="K140" i="35"/>
  <c r="G207" i="35"/>
  <c r="I207" i="35"/>
  <c r="J207" i="35"/>
  <c r="K207" i="35"/>
  <c r="G17" i="35"/>
  <c r="I17" i="35"/>
  <c r="J17" i="35"/>
  <c r="K17" i="35"/>
  <c r="G6" i="35"/>
  <c r="I6" i="35"/>
  <c r="J6" i="35"/>
  <c r="K6" i="35"/>
  <c r="G40" i="35"/>
  <c r="I40" i="35"/>
  <c r="J40" i="35"/>
  <c r="K40" i="35"/>
  <c r="G128" i="35"/>
  <c r="I128" i="35"/>
  <c r="J128" i="35"/>
  <c r="K128" i="35"/>
  <c r="G106" i="35"/>
  <c r="I106" i="35"/>
  <c r="J106" i="35"/>
  <c r="K106" i="35"/>
  <c r="G58" i="35"/>
  <c r="I58" i="35"/>
  <c r="J58" i="35"/>
  <c r="K58" i="35"/>
  <c r="G36" i="35"/>
  <c r="I36" i="35"/>
  <c r="J36" i="35"/>
  <c r="K36" i="35"/>
  <c r="G38" i="35"/>
  <c r="I38" i="35"/>
  <c r="J38" i="35"/>
  <c r="K38" i="35"/>
  <c r="G115" i="35"/>
  <c r="I115" i="35"/>
  <c r="J115" i="35"/>
  <c r="K115" i="35"/>
  <c r="G152" i="35"/>
  <c r="I152" i="35"/>
  <c r="J152" i="35"/>
  <c r="K152" i="35"/>
  <c r="G109" i="35"/>
  <c r="I109" i="35"/>
  <c r="J109" i="35"/>
  <c r="K109" i="35"/>
  <c r="G157" i="35"/>
  <c r="I157" i="35"/>
  <c r="J157" i="35"/>
  <c r="K157" i="35"/>
  <c r="G215" i="35"/>
  <c r="I215" i="35"/>
  <c r="J215" i="35"/>
  <c r="K215" i="35"/>
  <c r="G118" i="35"/>
  <c r="I118" i="35"/>
  <c r="J118" i="35"/>
  <c r="K118" i="35"/>
  <c r="G218" i="35"/>
  <c r="I218" i="35"/>
  <c r="J218" i="35"/>
  <c r="K218" i="35"/>
  <c r="G187" i="35"/>
  <c r="I187" i="35"/>
  <c r="J187" i="35"/>
  <c r="K187" i="35"/>
  <c r="G67" i="35"/>
  <c r="I67" i="35"/>
  <c r="J67" i="35"/>
  <c r="K67" i="35"/>
  <c r="G267" i="35"/>
  <c r="I267" i="35"/>
  <c r="J267" i="35"/>
  <c r="K267" i="35"/>
  <c r="G204" i="35"/>
  <c r="I204" i="35"/>
  <c r="J204" i="35"/>
  <c r="K204" i="35"/>
  <c r="G41" i="35"/>
  <c r="I41" i="35"/>
  <c r="J41" i="35"/>
  <c r="K41" i="35"/>
  <c r="G270" i="35"/>
  <c r="I270" i="35"/>
  <c r="J270" i="35"/>
  <c r="K270" i="35"/>
  <c r="G123" i="35"/>
  <c r="I123" i="35"/>
  <c r="J123" i="35"/>
  <c r="K123" i="35"/>
  <c r="G2" i="35"/>
  <c r="I2" i="35"/>
  <c r="J2" i="35"/>
  <c r="K2" i="35"/>
  <c r="G314" i="35"/>
  <c r="I314" i="35"/>
  <c r="J314" i="35"/>
  <c r="K314" i="35"/>
  <c r="G286" i="35"/>
  <c r="I286" i="35"/>
  <c r="J286" i="35"/>
  <c r="K286" i="35"/>
  <c r="G260" i="35"/>
  <c r="I260" i="35"/>
  <c r="J260" i="35"/>
  <c r="K260" i="35"/>
  <c r="G112" i="35"/>
  <c r="I112" i="35"/>
  <c r="J112" i="35"/>
  <c r="K112" i="35"/>
  <c r="G247" i="35"/>
  <c r="I247" i="35"/>
  <c r="J247" i="35"/>
  <c r="K247" i="35"/>
  <c r="G238" i="35"/>
  <c r="I238" i="35"/>
  <c r="J238" i="35"/>
  <c r="K238" i="35"/>
  <c r="G234" i="35"/>
  <c r="I234" i="35"/>
  <c r="J234" i="35"/>
  <c r="K234" i="35"/>
  <c r="G124" i="35"/>
  <c r="I124" i="35"/>
  <c r="J124" i="35"/>
  <c r="K124" i="35"/>
  <c r="G23" i="35"/>
  <c r="I23" i="35"/>
  <c r="J23" i="35"/>
  <c r="K23" i="35"/>
  <c r="G79" i="35"/>
  <c r="I79" i="35"/>
  <c r="J79" i="35"/>
  <c r="K79" i="35"/>
  <c r="G80" i="35"/>
  <c r="I80" i="35"/>
  <c r="J80" i="35"/>
  <c r="K80" i="35"/>
  <c r="G77" i="35"/>
  <c r="I77" i="35"/>
  <c r="J77" i="35"/>
  <c r="K77" i="35"/>
  <c r="G148" i="35"/>
  <c r="I148" i="35"/>
  <c r="J148" i="35"/>
  <c r="K148" i="35"/>
  <c r="G42" i="35"/>
  <c r="I42" i="35"/>
  <c r="J42" i="35"/>
  <c r="K42" i="35"/>
  <c r="G231" i="35"/>
  <c r="I231" i="35"/>
  <c r="J231" i="35"/>
  <c r="K231" i="35"/>
  <c r="G27" i="35"/>
  <c r="I27" i="35"/>
  <c r="J27" i="35"/>
  <c r="K27" i="35"/>
  <c r="G34" i="35"/>
  <c r="I34" i="35"/>
  <c r="J34" i="35"/>
  <c r="K34" i="35"/>
  <c r="G246" i="35"/>
  <c r="I246" i="35"/>
  <c r="J246" i="35"/>
  <c r="K246" i="35"/>
  <c r="G210" i="35"/>
  <c r="I210" i="35"/>
  <c r="J210" i="35"/>
  <c r="K210" i="35"/>
  <c r="G56" i="35"/>
  <c r="I56" i="35"/>
  <c r="J56" i="35"/>
  <c r="K56" i="35"/>
  <c r="G91" i="35"/>
  <c r="I91" i="35"/>
  <c r="J91" i="35"/>
  <c r="K91" i="35"/>
  <c r="G153" i="35"/>
  <c r="I153" i="35"/>
  <c r="J153" i="35"/>
  <c r="K153" i="35"/>
  <c r="G173" i="35"/>
  <c r="I173" i="35"/>
  <c r="J173" i="35"/>
  <c r="K173" i="35"/>
  <c r="G300" i="35"/>
  <c r="I300" i="35"/>
  <c r="J300" i="35"/>
  <c r="K300" i="35"/>
  <c r="G16" i="35"/>
  <c r="I16" i="35"/>
  <c r="J16" i="35"/>
  <c r="K16" i="35"/>
  <c r="G275" i="35"/>
  <c r="I275" i="35"/>
  <c r="J275" i="35"/>
  <c r="K275" i="35"/>
  <c r="G308" i="35"/>
  <c r="I308" i="35"/>
  <c r="J308" i="35"/>
  <c r="K308" i="35"/>
  <c r="G177" i="35"/>
  <c r="I177" i="35"/>
  <c r="J177" i="35"/>
  <c r="K177" i="35"/>
  <c r="G163" i="35"/>
  <c r="I163" i="35"/>
  <c r="J163" i="35"/>
  <c r="K163" i="35"/>
  <c r="G245" i="35"/>
  <c r="I245" i="35"/>
  <c r="J245" i="35"/>
  <c r="K245" i="35"/>
  <c r="G15" i="35"/>
  <c r="I15" i="35"/>
  <c r="J15" i="35"/>
  <c r="K15" i="35"/>
  <c r="G149" i="35"/>
  <c r="I149" i="35"/>
  <c r="J149" i="35"/>
  <c r="K149" i="35"/>
  <c r="G105" i="35"/>
  <c r="I105" i="35"/>
  <c r="J105" i="35"/>
  <c r="K105" i="35"/>
  <c r="G110" i="35"/>
  <c r="I110" i="35"/>
  <c r="J110" i="35"/>
  <c r="K110" i="35"/>
  <c r="G83" i="35"/>
  <c r="I83" i="35"/>
  <c r="J83" i="35"/>
  <c r="K83" i="35"/>
  <c r="G73" i="35"/>
  <c r="I73" i="35"/>
  <c r="J73" i="35"/>
  <c r="K73" i="35"/>
  <c r="G21" i="35"/>
  <c r="I21" i="35"/>
  <c r="J21" i="35"/>
  <c r="K21" i="35"/>
  <c r="G135" i="35"/>
  <c r="I135" i="35"/>
  <c r="J135" i="35"/>
  <c r="K135" i="35"/>
  <c r="G160" i="35"/>
  <c r="I160" i="35"/>
  <c r="J160" i="35"/>
  <c r="K160" i="35"/>
  <c r="G142" i="35"/>
  <c r="I142" i="35"/>
  <c r="J142" i="35"/>
  <c r="K142" i="35"/>
  <c r="G186" i="35"/>
  <c r="I186" i="35"/>
  <c r="J186" i="35"/>
  <c r="K186" i="35"/>
  <c r="G151" i="35"/>
  <c r="I151" i="35"/>
  <c r="J151" i="35"/>
  <c r="K151" i="35"/>
  <c r="G129" i="35"/>
  <c r="I129" i="35"/>
  <c r="J129" i="35"/>
  <c r="K129" i="35"/>
  <c r="G82" i="35"/>
  <c r="I82" i="35"/>
  <c r="J82" i="35"/>
  <c r="K82" i="35"/>
  <c r="G263" i="35"/>
  <c r="I263" i="35"/>
  <c r="J263" i="35"/>
  <c r="K263" i="35"/>
  <c r="G170" i="35"/>
  <c r="I170" i="35"/>
  <c r="J170" i="35"/>
  <c r="K170" i="35"/>
  <c r="I146" i="35"/>
  <c r="J146" i="35"/>
  <c r="K146" i="35"/>
  <c r="G10" i="35"/>
  <c r="I10" i="35"/>
  <c r="J10" i="35"/>
  <c r="K10" i="35"/>
  <c r="G63" i="35"/>
  <c r="I63" i="35"/>
  <c r="J63" i="35"/>
  <c r="K63" i="35"/>
  <c r="G68" i="35"/>
  <c r="I68" i="35"/>
  <c r="J68" i="35"/>
  <c r="K68" i="35"/>
  <c r="G117" i="35"/>
  <c r="I117" i="35"/>
  <c r="J117" i="35"/>
  <c r="K117" i="35"/>
  <c r="G22" i="35"/>
  <c r="I22" i="35"/>
  <c r="J22" i="35"/>
  <c r="K22" i="35"/>
  <c r="G336" i="35"/>
  <c r="I336" i="35"/>
  <c r="J336" i="35"/>
  <c r="K336" i="35"/>
  <c r="G169" i="35"/>
  <c r="I169" i="35"/>
  <c r="J169" i="35"/>
  <c r="K169" i="35"/>
  <c r="G25" i="35"/>
  <c r="I25" i="35"/>
  <c r="J25" i="35"/>
  <c r="K25" i="35"/>
  <c r="G185" i="35"/>
  <c r="I185" i="35"/>
  <c r="J185" i="35"/>
  <c r="K185" i="35"/>
  <c r="G250" i="35"/>
  <c r="I250" i="35"/>
  <c r="J250" i="35"/>
  <c r="K250" i="35"/>
  <c r="G96" i="35"/>
  <c r="I96" i="35"/>
  <c r="J96" i="35"/>
  <c r="K96" i="35"/>
  <c r="G4" i="35"/>
  <c r="I4" i="35"/>
  <c r="J4" i="35"/>
  <c r="K4" i="35"/>
  <c r="G172" i="35"/>
  <c r="I172" i="35"/>
  <c r="J172" i="35"/>
  <c r="K172" i="35"/>
  <c r="G188" i="35"/>
  <c r="I188" i="35"/>
  <c r="J188" i="35"/>
  <c r="K188" i="35"/>
  <c r="G158" i="35"/>
  <c r="I158" i="35"/>
  <c r="J158" i="35"/>
  <c r="K158" i="35"/>
  <c r="J114" i="35"/>
  <c r="K114" i="35"/>
  <c r="G26" i="35"/>
  <c r="I26" i="35"/>
  <c r="J26" i="35"/>
  <c r="K26" i="35"/>
  <c r="G335" i="35"/>
  <c r="I335" i="35"/>
  <c r="J335" i="35"/>
  <c r="K335" i="35"/>
  <c r="G264" i="35"/>
  <c r="I264" i="35"/>
  <c r="J264" i="35"/>
  <c r="K264" i="35"/>
  <c r="G92" i="35"/>
  <c r="I92" i="35"/>
  <c r="J92" i="35"/>
  <c r="K92" i="35"/>
  <c r="G171" i="35"/>
  <c r="I171" i="35"/>
  <c r="J171" i="35"/>
  <c r="K171" i="35"/>
  <c r="G222" i="35"/>
  <c r="I222" i="35"/>
  <c r="J222" i="35"/>
  <c r="K222" i="35"/>
  <c r="G31" i="35"/>
  <c r="I31" i="35"/>
  <c r="J31" i="35"/>
  <c r="K31" i="35"/>
  <c r="G145" i="35"/>
  <c r="I145" i="35"/>
  <c r="J145" i="35"/>
  <c r="K145" i="35"/>
  <c r="G201" i="35"/>
  <c r="I201" i="35"/>
  <c r="J201" i="35"/>
  <c r="K201" i="35"/>
  <c r="G273" i="35"/>
  <c r="I273" i="35"/>
  <c r="J273" i="35"/>
  <c r="K273" i="35"/>
  <c r="G120" i="35"/>
  <c r="I120" i="35"/>
  <c r="J120" i="35"/>
  <c r="K120" i="35"/>
  <c r="G182" i="35"/>
  <c r="I182" i="35"/>
  <c r="J182" i="35"/>
  <c r="K182" i="35"/>
  <c r="G241" i="35"/>
  <c r="I241" i="35"/>
  <c r="J241" i="35"/>
  <c r="K241" i="35"/>
  <c r="G43" i="35"/>
  <c r="I43" i="35"/>
  <c r="J43" i="35"/>
  <c r="K43" i="35"/>
  <c r="G133" i="35"/>
  <c r="I133" i="35"/>
  <c r="J133" i="35"/>
  <c r="K133" i="35"/>
  <c r="G237" i="35"/>
  <c r="I237" i="35"/>
  <c r="J237" i="35"/>
  <c r="K237" i="35"/>
  <c r="G213" i="35"/>
  <c r="I213" i="35"/>
  <c r="J213" i="35"/>
  <c r="K213" i="35"/>
  <c r="G8" i="35"/>
  <c r="I8" i="35"/>
  <c r="J8" i="35"/>
  <c r="K8" i="35"/>
  <c r="G318" i="35"/>
  <c r="I318" i="35"/>
  <c r="J318" i="35"/>
  <c r="K318" i="35"/>
  <c r="G59" i="35"/>
  <c r="I59" i="35"/>
  <c r="J59" i="35"/>
  <c r="K59" i="35"/>
  <c r="G111" i="35"/>
  <c r="I111" i="35"/>
  <c r="J111" i="35"/>
  <c r="K111" i="35"/>
  <c r="G101" i="35"/>
  <c r="I101" i="35"/>
  <c r="J101" i="35"/>
  <c r="K101" i="35"/>
  <c r="G107" i="35"/>
  <c r="I107" i="35"/>
  <c r="J107" i="35"/>
  <c r="K107" i="35"/>
  <c r="G11" i="35"/>
  <c r="I11" i="35"/>
  <c r="J11" i="35"/>
  <c r="K11" i="35"/>
  <c r="G14" i="35"/>
  <c r="I14" i="35"/>
  <c r="J14" i="35"/>
  <c r="K14" i="35"/>
  <c r="G119" i="35"/>
  <c r="I119" i="35"/>
  <c r="J119" i="35"/>
  <c r="K119" i="35"/>
  <c r="G178" i="35"/>
  <c r="I178" i="35"/>
  <c r="J178" i="35"/>
  <c r="K178" i="35"/>
  <c r="G127" i="35"/>
  <c r="I127" i="35"/>
  <c r="J127" i="35"/>
  <c r="K127" i="35"/>
  <c r="J327" i="35"/>
  <c r="K327" i="35"/>
  <c r="G271" i="35"/>
  <c r="I271" i="35"/>
  <c r="J271" i="35"/>
  <c r="K271" i="35"/>
  <c r="G280" i="35"/>
  <c r="I280" i="35"/>
  <c r="J280" i="35"/>
  <c r="K280" i="35"/>
  <c r="G198" i="35"/>
  <c r="I198" i="35"/>
  <c r="J198" i="35"/>
  <c r="K198" i="35"/>
  <c r="G72" i="35"/>
  <c r="I72" i="35"/>
  <c r="J72" i="35"/>
  <c r="K72" i="35"/>
  <c r="G93" i="35"/>
  <c r="I93" i="35"/>
  <c r="J93" i="35"/>
  <c r="K93" i="35"/>
  <c r="G76" i="35"/>
  <c r="I76" i="35"/>
  <c r="J76" i="35"/>
  <c r="K76" i="35"/>
  <c r="G141" i="35"/>
  <c r="I141" i="35"/>
  <c r="J141" i="35"/>
  <c r="K141" i="35"/>
  <c r="G266" i="35"/>
  <c r="I266" i="35"/>
  <c r="J266" i="35"/>
  <c r="K266" i="35"/>
  <c r="G258" i="35"/>
  <c r="I258" i="35"/>
  <c r="J258" i="35"/>
  <c r="K258" i="35"/>
  <c r="G167" i="35"/>
  <c r="I167" i="35"/>
  <c r="J167" i="35"/>
  <c r="K167" i="35"/>
  <c r="G166" i="35"/>
  <c r="I166" i="35"/>
  <c r="J166" i="35"/>
  <c r="K166" i="35"/>
  <c r="G307" i="35"/>
  <c r="I307" i="35"/>
  <c r="J307" i="35"/>
  <c r="K307" i="35"/>
  <c r="G199" i="35"/>
  <c r="I199" i="35"/>
  <c r="J199" i="35"/>
  <c r="K199" i="35"/>
  <c r="G75" i="35"/>
  <c r="I75" i="35"/>
  <c r="J75" i="35"/>
  <c r="K75" i="35"/>
  <c r="G3" i="35"/>
  <c r="I3" i="35"/>
  <c r="J3" i="35"/>
  <c r="K3" i="35"/>
  <c r="G88" i="35"/>
  <c r="I88" i="35"/>
  <c r="J88" i="35"/>
  <c r="K88" i="35"/>
  <c r="G226" i="35"/>
  <c r="I226" i="35"/>
  <c r="J226" i="35"/>
  <c r="K226" i="35"/>
  <c r="G99" i="35"/>
  <c r="I99" i="35"/>
  <c r="J99" i="35"/>
  <c r="K99" i="35"/>
  <c r="G81" i="35"/>
  <c r="I81" i="35"/>
  <c r="J81" i="35"/>
  <c r="K81" i="35"/>
  <c r="G224" i="35"/>
  <c r="I224" i="35"/>
  <c r="J224" i="35"/>
  <c r="K224" i="35"/>
  <c r="G144" i="35"/>
  <c r="I144" i="35"/>
  <c r="J144" i="35"/>
  <c r="K144" i="35"/>
  <c r="G102" i="35"/>
  <c r="I102" i="35"/>
  <c r="J102" i="35"/>
  <c r="K102" i="35"/>
  <c r="F7" i="35"/>
  <c r="G7" i="35"/>
  <c r="I7" i="35"/>
  <c r="J7" i="35"/>
  <c r="K7" i="35"/>
  <c r="G126" i="35"/>
  <c r="I126" i="35"/>
  <c r="J126" i="35"/>
  <c r="K126" i="35"/>
  <c r="G130" i="35"/>
  <c r="I130" i="35"/>
  <c r="J130" i="35"/>
  <c r="K130" i="35"/>
  <c r="J9" i="41"/>
  <c r="K9" i="41"/>
  <c r="G2" i="41"/>
  <c r="I2" i="41"/>
  <c r="J2" i="41"/>
  <c r="K2" i="41"/>
  <c r="G3" i="41"/>
  <c r="I3" i="41"/>
  <c r="J3" i="41"/>
  <c r="K3" i="41"/>
  <c r="G4" i="41"/>
  <c r="I4" i="41"/>
  <c r="J4" i="41"/>
  <c r="K4" i="41"/>
  <c r="G5" i="41"/>
  <c r="I5" i="41"/>
  <c r="J5" i="41"/>
  <c r="K5" i="41"/>
  <c r="G6" i="41"/>
  <c r="I6" i="41"/>
  <c r="J6" i="41"/>
  <c r="K6" i="41"/>
  <c r="G7" i="41"/>
  <c r="I7" i="41"/>
  <c r="J7" i="41"/>
  <c r="K7" i="41"/>
  <c r="G8" i="41"/>
  <c r="I8" i="41"/>
  <c r="J8" i="41"/>
  <c r="K8" i="41"/>
  <c r="G10" i="41"/>
  <c r="I10" i="41"/>
  <c r="J10" i="41"/>
  <c r="K10" i="41"/>
  <c r="G11" i="41"/>
  <c r="I11" i="41"/>
  <c r="J11" i="41"/>
  <c r="K11" i="41"/>
  <c r="G14" i="41"/>
  <c r="I14" i="41"/>
  <c r="J14" i="41"/>
  <c r="K14" i="41"/>
  <c r="G13" i="41"/>
  <c r="I13" i="41"/>
  <c r="J13" i="41"/>
  <c r="K13" i="41"/>
  <c r="G12" i="41"/>
  <c r="I12" i="41"/>
  <c r="J12" i="41"/>
  <c r="K12" i="41"/>
  <c r="B76" i="40"/>
  <c r="C515" i="40"/>
  <c r="C513" i="40"/>
  <c r="C511" i="40"/>
  <c r="C510" i="40"/>
  <c r="C509" i="40"/>
  <c r="C507" i="40"/>
  <c r="C506" i="40"/>
  <c r="C505" i="40"/>
  <c r="C503" i="40"/>
  <c r="C502" i="40"/>
  <c r="C501" i="40"/>
  <c r="C499" i="40"/>
  <c r="C497" i="40"/>
  <c r="C495" i="40"/>
  <c r="C494" i="40"/>
  <c r="C493" i="40"/>
  <c r="C491" i="40"/>
  <c r="C490" i="40"/>
  <c r="C489" i="40"/>
  <c r="C487" i="40"/>
  <c r="C486" i="40"/>
  <c r="C485" i="40"/>
  <c r="C483" i="40"/>
  <c r="C481" i="40"/>
  <c r="C479" i="40"/>
  <c r="C478" i="40"/>
  <c r="C477" i="40"/>
  <c r="C475" i="40"/>
  <c r="C474" i="40"/>
  <c r="C473" i="40"/>
  <c r="C471" i="40"/>
  <c r="C470" i="40"/>
  <c r="C469" i="40"/>
  <c r="C467" i="40"/>
  <c r="C465" i="40"/>
  <c r="C463" i="40"/>
  <c r="C462" i="40"/>
  <c r="C461" i="40"/>
  <c r="C459" i="40"/>
  <c r="C458" i="40"/>
  <c r="C457" i="40"/>
  <c r="C455" i="40"/>
  <c r="C454" i="40"/>
  <c r="C453" i="40"/>
  <c r="C451" i="40"/>
  <c r="C449" i="40"/>
  <c r="C447" i="40"/>
  <c r="C446" i="40"/>
  <c r="C445" i="40"/>
  <c r="C443" i="40"/>
  <c r="C442" i="40"/>
  <c r="C441" i="40"/>
  <c r="C439" i="40"/>
  <c r="C438" i="40"/>
  <c r="C437" i="40"/>
  <c r="C435" i="40"/>
  <c r="C433" i="40"/>
  <c r="C431" i="40"/>
  <c r="C430" i="40"/>
  <c r="C429" i="40"/>
  <c r="C427" i="40"/>
  <c r="C426" i="40"/>
  <c r="C425" i="40"/>
  <c r="C423" i="40"/>
  <c r="C422" i="40"/>
  <c r="C421" i="40"/>
  <c r="C419" i="40"/>
  <c r="C417" i="40"/>
  <c r="C415" i="40"/>
  <c r="C414" i="40"/>
  <c r="C413" i="40"/>
  <c r="C411" i="40"/>
  <c r="C410" i="40"/>
  <c r="C409" i="40"/>
  <c r="C407" i="40"/>
  <c r="C406" i="40"/>
  <c r="C405" i="40"/>
  <c r="C403" i="40"/>
  <c r="C401" i="40"/>
  <c r="C399" i="40"/>
  <c r="C398" i="40"/>
  <c r="C397" i="40"/>
  <c r="C395" i="40"/>
  <c r="C394" i="40"/>
  <c r="C393" i="40"/>
  <c r="C391" i="40"/>
  <c r="C390" i="40"/>
  <c r="C389" i="40"/>
  <c r="C387" i="40"/>
  <c r="C385" i="40"/>
  <c r="C383" i="40"/>
  <c r="C382" i="40"/>
  <c r="C381" i="40"/>
  <c r="C379" i="40"/>
  <c r="C378" i="40"/>
  <c r="C377" i="40"/>
  <c r="C375" i="40"/>
  <c r="C374" i="40"/>
  <c r="C373" i="40"/>
  <c r="C371" i="40"/>
  <c r="C369" i="40"/>
  <c r="C367" i="40"/>
  <c r="C366" i="40"/>
  <c r="C365" i="40"/>
  <c r="C363" i="40"/>
  <c r="C362" i="40"/>
  <c r="C361" i="40"/>
  <c r="C359" i="40"/>
  <c r="C358" i="40"/>
  <c r="C357" i="40"/>
  <c r="C355" i="40"/>
  <c r="C353" i="40"/>
  <c r="C351" i="40"/>
  <c r="C350" i="40"/>
  <c r="C349" i="40"/>
  <c r="C347" i="40"/>
  <c r="C346" i="40"/>
  <c r="C345" i="40"/>
  <c r="C343" i="40"/>
  <c r="C342" i="40"/>
  <c r="C341" i="40"/>
  <c r="C339" i="40"/>
  <c r="C337" i="40"/>
  <c r="C335" i="40"/>
  <c r="C334" i="40"/>
  <c r="C333" i="40"/>
  <c r="C331" i="40"/>
  <c r="C330" i="40"/>
  <c r="C329" i="40"/>
  <c r="C327" i="40"/>
  <c r="C326" i="40"/>
  <c r="C325" i="40"/>
  <c r="C323" i="40"/>
  <c r="C321" i="40"/>
  <c r="C319" i="40"/>
  <c r="C318" i="40"/>
  <c r="C317" i="40"/>
  <c r="C315" i="40"/>
  <c r="C314" i="40"/>
  <c r="C313" i="40"/>
  <c r="C311" i="40"/>
  <c r="C310" i="40"/>
  <c r="C309" i="40"/>
  <c r="C307" i="40"/>
  <c r="C305" i="40"/>
  <c r="C303" i="40"/>
  <c r="C302" i="40"/>
  <c r="C301" i="40"/>
  <c r="C299" i="40"/>
  <c r="C298" i="40"/>
  <c r="C297" i="40"/>
  <c r="C295" i="40"/>
  <c r="C294" i="40"/>
  <c r="C293" i="40"/>
  <c r="C291" i="40"/>
  <c r="C289" i="40"/>
  <c r="C287" i="40"/>
  <c r="C286" i="40"/>
  <c r="C285" i="40"/>
  <c r="C283" i="40"/>
  <c r="C282" i="40"/>
  <c r="C281" i="40"/>
  <c r="C279" i="40"/>
  <c r="C278" i="40"/>
  <c r="C277" i="40"/>
  <c r="C275" i="40"/>
  <c r="C273" i="40"/>
  <c r="C271" i="40"/>
  <c r="C270" i="40"/>
  <c r="C269" i="40"/>
  <c r="C267" i="40"/>
  <c r="C266" i="40"/>
  <c r="C265" i="40"/>
  <c r="C263" i="40"/>
  <c r="C262" i="40"/>
  <c r="C261" i="40"/>
  <c r="C259" i="40"/>
  <c r="C257" i="40"/>
  <c r="C255" i="40"/>
  <c r="C254" i="40"/>
  <c r="C253" i="40"/>
  <c r="C251" i="40"/>
  <c r="C250" i="40"/>
  <c r="C249" i="40"/>
  <c r="C247" i="40"/>
  <c r="C246" i="40"/>
  <c r="C245" i="40"/>
  <c r="C243" i="40"/>
  <c r="C241" i="40"/>
  <c r="C239" i="40"/>
  <c r="C238" i="40"/>
  <c r="C237" i="40"/>
  <c r="C235" i="40"/>
  <c r="C234" i="40"/>
  <c r="C233" i="40"/>
  <c r="C231" i="40"/>
  <c r="C230" i="40"/>
  <c r="C229" i="40"/>
  <c r="C227" i="40"/>
  <c r="C225" i="40"/>
  <c r="C223" i="40"/>
  <c r="C222" i="40"/>
  <c r="C221" i="40"/>
  <c r="C219" i="40"/>
  <c r="C218" i="40"/>
  <c r="C217" i="40"/>
  <c r="C215" i="40"/>
  <c r="C214" i="40"/>
  <c r="C213" i="40"/>
  <c r="C211" i="40"/>
  <c r="C209" i="40"/>
  <c r="C207" i="40"/>
  <c r="C206" i="40"/>
  <c r="C205" i="40"/>
  <c r="C203" i="40"/>
  <c r="C202" i="40"/>
  <c r="C201" i="40"/>
  <c r="C199" i="40"/>
  <c r="C198" i="40"/>
  <c r="C197" i="40"/>
  <c r="C195" i="40"/>
  <c r="C193" i="40"/>
  <c r="C191" i="40"/>
  <c r="C190" i="40"/>
  <c r="C189" i="40"/>
  <c r="C187" i="40"/>
  <c r="C186" i="40"/>
  <c r="C185" i="40"/>
  <c r="C183" i="40"/>
  <c r="C182" i="40"/>
  <c r="C181" i="40"/>
  <c r="C179" i="40"/>
  <c r="C177" i="40"/>
  <c r="C175" i="40"/>
  <c r="C174" i="40"/>
  <c r="C173" i="40"/>
  <c r="C171" i="40"/>
  <c r="C170" i="40"/>
  <c r="C169" i="40"/>
  <c r="C167" i="40"/>
  <c r="C166" i="40"/>
  <c r="C165" i="40"/>
  <c r="C163" i="40"/>
  <c r="C161" i="40"/>
  <c r="C159" i="40"/>
  <c r="C158" i="40"/>
  <c r="C157" i="40"/>
  <c r="C155" i="40"/>
  <c r="C154" i="40"/>
  <c r="C153" i="40"/>
  <c r="C151" i="40"/>
  <c r="C150" i="40"/>
  <c r="C149" i="40"/>
  <c r="C147" i="40"/>
  <c r="C145" i="40"/>
  <c r="C143" i="40"/>
  <c r="C142" i="40"/>
  <c r="C141" i="40"/>
  <c r="C139" i="40"/>
  <c r="C138" i="40"/>
  <c r="C137" i="40"/>
  <c r="C135" i="40"/>
  <c r="C134" i="40"/>
  <c r="C133" i="40"/>
  <c r="C131" i="40"/>
  <c r="C129" i="40"/>
  <c r="C127" i="40"/>
  <c r="C126" i="40"/>
  <c r="C125" i="40"/>
  <c r="C123" i="40"/>
  <c r="C122" i="40"/>
  <c r="C121" i="40"/>
  <c r="C119" i="40"/>
  <c r="C118" i="40"/>
  <c r="C117" i="40"/>
  <c r="C115" i="40"/>
  <c r="C113" i="40"/>
  <c r="C111" i="40"/>
  <c r="C110" i="40"/>
  <c r="C109" i="40"/>
  <c r="C107" i="40"/>
  <c r="C106" i="40"/>
  <c r="C105" i="40"/>
  <c r="C103" i="40"/>
  <c r="C102" i="40"/>
  <c r="C101" i="40"/>
  <c r="C99" i="40"/>
  <c r="C97" i="40"/>
  <c r="C95" i="40"/>
  <c r="C94" i="40"/>
  <c r="C93" i="40"/>
  <c r="C91" i="40"/>
  <c r="C90" i="40"/>
  <c r="C89" i="40"/>
  <c r="C87" i="40"/>
  <c r="C86" i="40"/>
  <c r="C85" i="40"/>
  <c r="C83" i="40"/>
  <c r="C81" i="40"/>
  <c r="C79" i="40"/>
  <c r="C78" i="40"/>
  <c r="C77" i="40"/>
  <c r="B515" i="40"/>
  <c r="B514" i="40"/>
  <c r="B513" i="40"/>
  <c r="B512" i="40"/>
  <c r="B511" i="40"/>
  <c r="B510" i="40"/>
  <c r="B509" i="40"/>
  <c r="B508" i="40"/>
  <c r="B507" i="40"/>
  <c r="B506" i="40"/>
  <c r="B505" i="40"/>
  <c r="B504" i="40"/>
  <c r="B503" i="40"/>
  <c r="B502" i="40"/>
  <c r="B501" i="40"/>
  <c r="B500" i="40"/>
  <c r="B499" i="40"/>
  <c r="B498" i="40"/>
  <c r="B497" i="40"/>
  <c r="B496" i="40"/>
  <c r="B495" i="40"/>
  <c r="B494" i="40"/>
  <c r="B493" i="40"/>
  <c r="B492" i="40"/>
  <c r="B491" i="40"/>
  <c r="B490" i="40"/>
  <c r="B489" i="40"/>
  <c r="B488" i="40"/>
  <c r="B487" i="40"/>
  <c r="B486" i="40"/>
  <c r="B485" i="40"/>
  <c r="B484" i="40"/>
  <c r="B483" i="40"/>
  <c r="B482" i="40"/>
  <c r="B481" i="40"/>
  <c r="B480" i="40"/>
  <c r="B479" i="40"/>
  <c r="B478" i="40"/>
  <c r="B477" i="40"/>
  <c r="B476" i="40"/>
  <c r="B475" i="40"/>
  <c r="B474" i="40"/>
  <c r="B473" i="40"/>
  <c r="B472" i="40"/>
  <c r="B471" i="40"/>
  <c r="B470" i="40"/>
  <c r="B469" i="40"/>
  <c r="B468" i="40"/>
  <c r="B467" i="40"/>
  <c r="B466" i="40"/>
  <c r="B465" i="40"/>
  <c r="B464" i="40"/>
  <c r="B463" i="40"/>
  <c r="B462" i="40"/>
  <c r="B461" i="40"/>
  <c r="B460" i="40"/>
  <c r="B459" i="40"/>
  <c r="B458" i="40"/>
  <c r="B457" i="40"/>
  <c r="B456" i="40"/>
  <c r="B455" i="40"/>
  <c r="B454" i="40"/>
  <c r="B453" i="40"/>
  <c r="B452" i="40"/>
  <c r="B451" i="40"/>
  <c r="B450" i="40"/>
  <c r="B449" i="40"/>
  <c r="B448" i="40"/>
  <c r="B447" i="40"/>
  <c r="B446" i="40"/>
  <c r="B445" i="40"/>
  <c r="B444" i="40"/>
  <c r="B443" i="40"/>
  <c r="B442" i="40"/>
  <c r="B441" i="40"/>
  <c r="B440" i="40"/>
  <c r="B439" i="40"/>
  <c r="B438" i="40"/>
  <c r="B437" i="40"/>
  <c r="B436" i="40"/>
  <c r="B435" i="40"/>
  <c r="B434" i="40"/>
  <c r="B433" i="40"/>
  <c r="B432" i="40"/>
  <c r="B431" i="40"/>
  <c r="B430" i="40"/>
  <c r="B429" i="40"/>
  <c r="B428" i="40"/>
  <c r="B427" i="40"/>
  <c r="B426" i="40"/>
  <c r="B425" i="40"/>
  <c r="B424" i="40"/>
  <c r="B423" i="40"/>
  <c r="B422" i="40"/>
  <c r="B421" i="40"/>
  <c r="B420" i="40"/>
  <c r="B419" i="40"/>
  <c r="B418" i="40"/>
  <c r="B417" i="40"/>
  <c r="B416" i="40"/>
  <c r="B415" i="40"/>
  <c r="B414" i="40"/>
  <c r="B413" i="40"/>
  <c r="B412" i="40"/>
  <c r="B411" i="40"/>
  <c r="B410" i="40"/>
  <c r="B409" i="40"/>
  <c r="B408" i="40"/>
  <c r="B407" i="40"/>
  <c r="B406" i="40"/>
  <c r="B405" i="40"/>
  <c r="B404" i="40"/>
  <c r="B403" i="40"/>
  <c r="B402" i="40"/>
  <c r="B401" i="40"/>
  <c r="B400" i="40"/>
  <c r="B399" i="40"/>
  <c r="B398" i="40"/>
  <c r="B397" i="40"/>
  <c r="B396" i="40"/>
  <c r="B395" i="40"/>
  <c r="B394" i="40"/>
  <c r="B393" i="40"/>
  <c r="B392" i="40"/>
  <c r="B391" i="40"/>
  <c r="B390" i="40"/>
  <c r="B389" i="40"/>
  <c r="B388" i="40"/>
  <c r="B387" i="40"/>
  <c r="B386" i="40"/>
  <c r="B385" i="40"/>
  <c r="B384" i="40"/>
  <c r="B383" i="40"/>
  <c r="B382" i="40"/>
  <c r="B381" i="40"/>
  <c r="B380" i="40"/>
  <c r="B379" i="40"/>
  <c r="B378" i="40"/>
  <c r="B377" i="40"/>
  <c r="B376" i="40"/>
  <c r="B375" i="40"/>
  <c r="B374" i="40"/>
  <c r="B373" i="40"/>
  <c r="B372" i="40"/>
  <c r="B371" i="40"/>
  <c r="B370" i="40"/>
  <c r="B369" i="40"/>
  <c r="B368" i="40"/>
  <c r="B367" i="40"/>
  <c r="B366" i="40"/>
  <c r="B365" i="40"/>
  <c r="B364" i="40"/>
  <c r="B363" i="40"/>
  <c r="B362" i="40"/>
  <c r="B361" i="40"/>
  <c r="B360" i="40"/>
  <c r="B359" i="40"/>
  <c r="B358" i="40"/>
  <c r="B357" i="40"/>
  <c r="B356" i="40"/>
  <c r="B355" i="40"/>
  <c r="B354" i="40"/>
  <c r="B353" i="40"/>
  <c r="B352" i="40"/>
  <c r="B351" i="40"/>
  <c r="B350" i="40"/>
  <c r="B349" i="40"/>
  <c r="B348" i="40"/>
  <c r="B347" i="40"/>
  <c r="B346" i="40"/>
  <c r="B345" i="40"/>
  <c r="B344" i="40"/>
  <c r="B343" i="40"/>
  <c r="B342" i="40"/>
  <c r="B341" i="40"/>
  <c r="B340" i="40"/>
  <c r="B339" i="40"/>
  <c r="B338" i="40"/>
  <c r="B337" i="40"/>
  <c r="B336" i="40"/>
  <c r="B335" i="40"/>
  <c r="B334" i="40"/>
  <c r="B333" i="40"/>
  <c r="B332" i="40"/>
  <c r="B331" i="40"/>
  <c r="B330" i="40"/>
  <c r="B329" i="40"/>
  <c r="B328" i="40"/>
  <c r="B327" i="40"/>
  <c r="B326" i="40"/>
  <c r="B325" i="40"/>
  <c r="B324" i="40"/>
  <c r="B323" i="40"/>
  <c r="B322" i="40"/>
  <c r="B321" i="40"/>
  <c r="B320" i="40"/>
  <c r="B319" i="40"/>
  <c r="B318" i="40"/>
  <c r="B317" i="40"/>
  <c r="B316" i="40"/>
  <c r="B315" i="40"/>
  <c r="B314" i="40"/>
  <c r="B313" i="40"/>
  <c r="B312" i="40"/>
  <c r="B311" i="40"/>
  <c r="B310" i="40"/>
  <c r="B309" i="40"/>
  <c r="B308" i="40"/>
  <c r="B307" i="40"/>
  <c r="B306" i="40"/>
  <c r="B305" i="40"/>
  <c r="B304" i="40"/>
  <c r="B303" i="40"/>
  <c r="B302" i="40"/>
  <c r="B301" i="40"/>
  <c r="B300" i="40"/>
  <c r="B299" i="40"/>
  <c r="B298" i="40"/>
  <c r="B297" i="40"/>
  <c r="B296" i="40"/>
  <c r="B295" i="40"/>
  <c r="B294" i="40"/>
  <c r="B293" i="40"/>
  <c r="B292" i="40"/>
  <c r="B291" i="40"/>
  <c r="B290" i="40"/>
  <c r="B289" i="40"/>
  <c r="B288" i="40"/>
  <c r="B287" i="40"/>
  <c r="B286" i="40"/>
  <c r="B285" i="40"/>
  <c r="B284" i="40"/>
  <c r="B283" i="40"/>
  <c r="B282" i="40"/>
  <c r="B281" i="40"/>
  <c r="B280" i="40"/>
  <c r="B279" i="40"/>
  <c r="B278" i="40"/>
  <c r="B277" i="40"/>
  <c r="B276" i="40"/>
  <c r="B275" i="40"/>
  <c r="B274" i="40"/>
  <c r="B273" i="40"/>
  <c r="B272" i="40"/>
  <c r="B271" i="40"/>
  <c r="B270" i="40"/>
  <c r="B269" i="40"/>
  <c r="B268" i="40"/>
  <c r="B267" i="40"/>
  <c r="B266" i="40"/>
  <c r="B265" i="40"/>
  <c r="B264" i="40"/>
  <c r="B263" i="40"/>
  <c r="B262" i="40"/>
  <c r="B261" i="40"/>
  <c r="B260" i="40"/>
  <c r="B259" i="40"/>
  <c r="B258" i="40"/>
  <c r="B257" i="40"/>
  <c r="B256" i="40"/>
  <c r="B255" i="40"/>
  <c r="B254" i="40"/>
  <c r="B253" i="40"/>
  <c r="B252" i="40"/>
  <c r="B251" i="40"/>
  <c r="B250" i="40"/>
  <c r="B249" i="40"/>
  <c r="B248" i="40"/>
  <c r="B247" i="40"/>
  <c r="B246" i="40"/>
  <c r="B245" i="40"/>
  <c r="B244" i="40"/>
  <c r="B243" i="40"/>
  <c r="B242" i="40"/>
  <c r="B241" i="40"/>
  <c r="B240" i="40"/>
  <c r="B239" i="40"/>
  <c r="B238" i="40"/>
  <c r="B237" i="40"/>
  <c r="B236" i="40"/>
  <c r="B235" i="40"/>
  <c r="B234" i="40"/>
  <c r="B233" i="40"/>
  <c r="B232" i="40"/>
  <c r="B231" i="40"/>
  <c r="B230" i="40"/>
  <c r="B229" i="40"/>
  <c r="B228" i="40"/>
  <c r="B227" i="40"/>
  <c r="B226" i="40"/>
  <c r="B225" i="40"/>
  <c r="B224" i="40"/>
  <c r="B223" i="40"/>
  <c r="B222" i="40"/>
  <c r="B221" i="40"/>
  <c r="B220" i="40"/>
  <c r="B219" i="40"/>
  <c r="B218" i="40"/>
  <c r="B217" i="40"/>
  <c r="B216" i="40"/>
  <c r="B215" i="40"/>
  <c r="B214" i="40"/>
  <c r="B213" i="40"/>
  <c r="B212" i="40"/>
  <c r="B211" i="40"/>
  <c r="B210" i="40"/>
  <c r="B209" i="40"/>
  <c r="B208" i="40"/>
  <c r="B207" i="40"/>
  <c r="B206" i="40"/>
  <c r="B205" i="40"/>
  <c r="B204" i="40"/>
  <c r="B203" i="40"/>
  <c r="B202" i="40"/>
  <c r="B201" i="40"/>
  <c r="B200" i="40"/>
  <c r="B199" i="40"/>
  <c r="B198" i="40"/>
  <c r="B197" i="40"/>
  <c r="B196" i="40"/>
  <c r="B195" i="40"/>
  <c r="B194" i="40"/>
  <c r="B193" i="40"/>
  <c r="B192" i="40"/>
  <c r="B191" i="40"/>
  <c r="B190" i="40"/>
  <c r="B189" i="40"/>
  <c r="B188" i="40"/>
  <c r="B187" i="40"/>
  <c r="B186" i="40"/>
  <c r="B185" i="40"/>
  <c r="B184" i="40"/>
  <c r="B183" i="40"/>
  <c r="B182" i="40"/>
  <c r="B181" i="40"/>
  <c r="B180" i="40"/>
  <c r="B179" i="40"/>
  <c r="B178" i="40"/>
  <c r="B177" i="40"/>
  <c r="B176" i="40"/>
  <c r="B175" i="40"/>
  <c r="B174" i="40"/>
  <c r="B173" i="40"/>
  <c r="B172" i="40"/>
  <c r="B171" i="40"/>
  <c r="B170" i="40"/>
  <c r="B169" i="40"/>
  <c r="B168" i="40"/>
  <c r="B167" i="40"/>
  <c r="B166" i="40"/>
  <c r="B165" i="40"/>
  <c r="B164" i="40"/>
  <c r="B163" i="40"/>
  <c r="B162" i="40"/>
  <c r="B161" i="40"/>
  <c r="B160" i="40"/>
  <c r="B159" i="40"/>
  <c r="B158" i="40"/>
  <c r="B157" i="40"/>
  <c r="B156" i="40"/>
  <c r="B155" i="40"/>
  <c r="B154" i="40"/>
  <c r="B153" i="40"/>
  <c r="B152" i="40"/>
  <c r="B151" i="40"/>
  <c r="B150" i="40"/>
  <c r="B149" i="40"/>
  <c r="B148" i="40"/>
  <c r="B147" i="40"/>
  <c r="B146" i="40"/>
  <c r="B145" i="40"/>
  <c r="B144" i="40"/>
  <c r="B143" i="40"/>
  <c r="B142" i="40"/>
  <c r="B141" i="40"/>
  <c r="B140" i="40"/>
  <c r="B139" i="40"/>
  <c r="B138" i="40"/>
  <c r="B137" i="40"/>
  <c r="B136" i="40"/>
  <c r="B135" i="40"/>
  <c r="B134" i="40"/>
  <c r="B133" i="40"/>
  <c r="B132" i="40"/>
  <c r="B131" i="40"/>
  <c r="B130" i="40"/>
  <c r="B129" i="40"/>
  <c r="B128" i="40"/>
  <c r="B127" i="40"/>
  <c r="B126" i="40"/>
  <c r="B125" i="40"/>
  <c r="B124" i="40"/>
  <c r="B123" i="40"/>
  <c r="B122" i="40"/>
  <c r="B121" i="40"/>
  <c r="B120" i="40"/>
  <c r="B119" i="40"/>
  <c r="B118" i="40"/>
  <c r="B117" i="40"/>
  <c r="B116" i="40"/>
  <c r="B115" i="40"/>
  <c r="B114" i="40"/>
  <c r="B113" i="40"/>
  <c r="B112" i="40"/>
  <c r="B111" i="40"/>
  <c r="B110" i="40"/>
  <c r="B109" i="40"/>
  <c r="B108" i="40"/>
  <c r="B107" i="40"/>
  <c r="B106" i="40"/>
  <c r="B105" i="40"/>
  <c r="B104" i="40"/>
  <c r="B103" i="40"/>
  <c r="B102" i="40"/>
  <c r="B101" i="40"/>
  <c r="B100" i="40"/>
  <c r="B99" i="40"/>
  <c r="B98" i="40"/>
  <c r="B97" i="40"/>
  <c r="B96" i="40"/>
  <c r="B95" i="40"/>
  <c r="B94" i="40"/>
  <c r="B93" i="40"/>
  <c r="B92" i="40"/>
  <c r="B91" i="40"/>
  <c r="B90" i="40"/>
  <c r="B89" i="40"/>
  <c r="B88" i="40"/>
  <c r="B87" i="40"/>
  <c r="B86" i="40"/>
  <c r="B85" i="40"/>
  <c r="B84" i="40"/>
  <c r="B83" i="40"/>
  <c r="B82" i="40"/>
  <c r="B81" i="40"/>
  <c r="B80" i="40"/>
  <c r="B79" i="40"/>
  <c r="B78" i="40"/>
  <c r="B77" i="40"/>
  <c r="G441" i="23"/>
  <c r="I441" i="23"/>
  <c r="J441" i="23"/>
  <c r="K441" i="23"/>
  <c r="G436" i="23"/>
  <c r="I436" i="23"/>
  <c r="J436" i="23"/>
  <c r="K436" i="23"/>
  <c r="G710" i="23"/>
  <c r="I710" i="23"/>
  <c r="J710" i="23"/>
  <c r="K710" i="23"/>
  <c r="G488" i="23"/>
  <c r="I488" i="23"/>
  <c r="J488" i="23"/>
  <c r="K488" i="23"/>
  <c r="G738" i="23"/>
  <c r="I738" i="23"/>
  <c r="J738" i="23"/>
  <c r="K738" i="23"/>
  <c r="G622" i="23"/>
  <c r="I622" i="23"/>
  <c r="J622" i="23"/>
  <c r="K622" i="23"/>
  <c r="G483" i="23"/>
  <c r="I483" i="23"/>
  <c r="J483" i="23"/>
  <c r="K483" i="23"/>
  <c r="G838" i="23"/>
  <c r="I838" i="23"/>
  <c r="J838" i="23"/>
  <c r="K838" i="23"/>
  <c r="G654" i="23"/>
  <c r="I654" i="23"/>
  <c r="J654" i="23"/>
  <c r="K654" i="23"/>
  <c r="G659" i="23"/>
  <c r="I659" i="23"/>
  <c r="J659" i="23"/>
  <c r="K659" i="23"/>
  <c r="G605" i="23"/>
  <c r="I605" i="23"/>
  <c r="J605" i="23"/>
  <c r="K605" i="23"/>
  <c r="G629" i="23"/>
  <c r="I629" i="23"/>
  <c r="J629" i="23"/>
  <c r="K629" i="23"/>
  <c r="G726" i="23"/>
  <c r="I726" i="23"/>
  <c r="J726" i="23"/>
  <c r="K726" i="23"/>
  <c r="G749" i="23"/>
  <c r="I749" i="23"/>
  <c r="J749" i="23"/>
  <c r="K749" i="23"/>
  <c r="G446" i="23"/>
  <c r="I446" i="23"/>
  <c r="J446" i="23"/>
  <c r="K446" i="23"/>
  <c r="G831" i="23"/>
  <c r="I831" i="23"/>
  <c r="J831" i="23"/>
  <c r="K831" i="23"/>
  <c r="G707" i="23"/>
  <c r="I707" i="23"/>
  <c r="J707" i="23"/>
  <c r="K707" i="23"/>
  <c r="G736" i="23"/>
  <c r="I736" i="23"/>
  <c r="J736" i="23"/>
  <c r="K736" i="23"/>
  <c r="G591" i="23"/>
  <c r="I591" i="23"/>
  <c r="J591" i="23"/>
  <c r="K591" i="23"/>
  <c r="G497" i="23"/>
  <c r="I497" i="23"/>
  <c r="J497" i="23"/>
  <c r="K497" i="23"/>
  <c r="G461" i="23"/>
  <c r="I461" i="23"/>
  <c r="J461" i="23"/>
  <c r="K461" i="23"/>
  <c r="G537" i="23"/>
  <c r="I537" i="23"/>
  <c r="J537" i="23"/>
  <c r="K537" i="23"/>
  <c r="G465" i="23"/>
  <c r="I465" i="23"/>
  <c r="J465" i="23"/>
  <c r="K465" i="23"/>
  <c r="G434" i="23"/>
  <c r="I434" i="23"/>
  <c r="J434" i="23"/>
  <c r="K434" i="23"/>
  <c r="G646" i="23"/>
  <c r="I646" i="23"/>
  <c r="J646" i="23"/>
  <c r="K646" i="23"/>
  <c r="G608" i="23"/>
  <c r="I608" i="23"/>
  <c r="J608" i="23"/>
  <c r="K608" i="23"/>
  <c r="G715" i="23"/>
  <c r="I715" i="23"/>
  <c r="J715" i="23"/>
  <c r="K715" i="23"/>
  <c r="G458" i="23"/>
  <c r="I458" i="23"/>
  <c r="J458" i="23"/>
  <c r="K458" i="23"/>
  <c r="G616" i="23"/>
  <c r="I616" i="23"/>
  <c r="J616" i="23"/>
  <c r="K616" i="23"/>
  <c r="G816" i="23"/>
  <c r="I816" i="23"/>
  <c r="J816" i="23"/>
  <c r="K816" i="23"/>
  <c r="G445" i="23"/>
  <c r="I445" i="23"/>
  <c r="J445" i="23"/>
  <c r="K445" i="23"/>
  <c r="G815" i="23"/>
  <c r="I815" i="23"/>
  <c r="J815" i="23"/>
  <c r="K815" i="23"/>
  <c r="G834" i="23"/>
  <c r="I834" i="23"/>
  <c r="J834" i="23"/>
  <c r="K834" i="23"/>
  <c r="G647" i="23"/>
  <c r="I647" i="23"/>
  <c r="J647" i="23"/>
  <c r="K647" i="23"/>
  <c r="G435" i="23"/>
  <c r="I435" i="23"/>
  <c r="J435" i="23"/>
  <c r="K435" i="23"/>
  <c r="G728" i="23"/>
  <c r="I728" i="23"/>
  <c r="J728" i="23"/>
  <c r="K728" i="23"/>
  <c r="G597" i="23"/>
  <c r="I597" i="23"/>
  <c r="J597" i="23"/>
  <c r="K597" i="23"/>
  <c r="G600" i="23"/>
  <c r="I600" i="23"/>
  <c r="J600" i="23"/>
  <c r="K600" i="23"/>
  <c r="G480" i="23"/>
  <c r="I480" i="23"/>
  <c r="J480" i="23"/>
  <c r="K480" i="23"/>
  <c r="G678" i="23"/>
  <c r="I678" i="23"/>
  <c r="J678" i="23"/>
  <c r="K678" i="23"/>
  <c r="G463" i="23"/>
  <c r="I463" i="23"/>
  <c r="J463" i="23"/>
  <c r="K463" i="23"/>
  <c r="G822" i="23"/>
  <c r="I822" i="23"/>
  <c r="J822" i="23"/>
  <c r="K822" i="23"/>
  <c r="G538" i="23"/>
  <c r="I538" i="23"/>
  <c r="J538" i="23"/>
  <c r="K538" i="23"/>
  <c r="G833" i="23"/>
  <c r="I833" i="23"/>
  <c r="J833" i="23"/>
  <c r="K833" i="23"/>
  <c r="G722" i="23"/>
  <c r="I722" i="23"/>
  <c r="J722" i="23"/>
  <c r="K722" i="23"/>
  <c r="G811" i="23"/>
  <c r="I811" i="23"/>
  <c r="J811" i="23"/>
  <c r="K811" i="23"/>
  <c r="G477" i="23"/>
  <c r="I477" i="23"/>
  <c r="J477" i="23"/>
  <c r="K477" i="23"/>
  <c r="G687" i="23"/>
  <c r="I687" i="23"/>
  <c r="J687" i="23"/>
  <c r="K687" i="23"/>
  <c r="G511" i="23"/>
  <c r="I511" i="23"/>
  <c r="J511" i="23"/>
  <c r="K511" i="23"/>
  <c r="G827" i="23"/>
  <c r="I827" i="23"/>
  <c r="J827" i="23"/>
  <c r="K827" i="23"/>
  <c r="G438" i="23"/>
  <c r="I438" i="23"/>
  <c r="J438" i="23"/>
  <c r="K438" i="23"/>
  <c r="G492" i="23"/>
  <c r="I492" i="23"/>
  <c r="J492" i="23"/>
  <c r="K492" i="23"/>
  <c r="G475" i="23"/>
  <c r="I475" i="23"/>
  <c r="J475" i="23"/>
  <c r="K475" i="23"/>
  <c r="G732" i="23"/>
  <c r="I732" i="23"/>
  <c r="J732" i="23"/>
  <c r="K732" i="23"/>
  <c r="J468" i="23"/>
  <c r="K468" i="23"/>
  <c r="G479" i="23"/>
  <c r="I479" i="23"/>
  <c r="J479" i="23"/>
  <c r="K479" i="23"/>
  <c r="G447" i="23"/>
  <c r="I447" i="23"/>
  <c r="J447" i="23"/>
  <c r="K447" i="23"/>
  <c r="G628" i="23"/>
  <c r="I628" i="23"/>
  <c r="J628" i="23"/>
  <c r="K628" i="23"/>
  <c r="G469" i="23"/>
  <c r="I469" i="23"/>
  <c r="J469" i="23"/>
  <c r="K469" i="23"/>
  <c r="G842" i="23"/>
  <c r="I842" i="23"/>
  <c r="J842" i="23"/>
  <c r="K842" i="23"/>
  <c r="G753" i="23"/>
  <c r="I753" i="23"/>
  <c r="J753" i="23"/>
  <c r="K753" i="23"/>
  <c r="G709" i="23"/>
  <c r="I709" i="23"/>
  <c r="J709" i="23"/>
  <c r="K709" i="23"/>
  <c r="G454" i="23"/>
  <c r="I454" i="23"/>
  <c r="J454" i="23"/>
  <c r="K454" i="23"/>
  <c r="G514" i="23"/>
  <c r="I514" i="23"/>
  <c r="J514" i="23"/>
  <c r="K514" i="23"/>
  <c r="G494" i="23"/>
  <c r="I494" i="23"/>
  <c r="J494" i="23"/>
  <c r="K494" i="23"/>
  <c r="G832" i="23"/>
  <c r="I832" i="23"/>
  <c r="J832" i="23"/>
  <c r="K832" i="23"/>
  <c r="G451" i="23"/>
  <c r="I451" i="23"/>
  <c r="J451" i="23"/>
  <c r="K451" i="23"/>
  <c r="G698" i="23"/>
  <c r="I698" i="23"/>
  <c r="J698" i="23"/>
  <c r="K698" i="23"/>
  <c r="G559" i="23"/>
  <c r="I559" i="23"/>
  <c r="J559" i="23"/>
  <c r="K559" i="23"/>
  <c r="G841" i="23"/>
  <c r="I841" i="23"/>
  <c r="J841" i="23"/>
  <c r="K841" i="23"/>
  <c r="G580" i="23"/>
  <c r="I580" i="23"/>
  <c r="J580" i="23"/>
  <c r="K580" i="23"/>
  <c r="G589" i="23"/>
  <c r="I589" i="23"/>
  <c r="J589" i="23"/>
  <c r="K589" i="23"/>
  <c r="G561" i="23"/>
  <c r="I561" i="23"/>
  <c r="J561" i="23"/>
  <c r="K561" i="23"/>
  <c r="G697" i="23"/>
  <c r="I697" i="23"/>
  <c r="J697" i="23"/>
  <c r="K697" i="23"/>
  <c r="G756" i="23"/>
  <c r="I756" i="23"/>
  <c r="J756" i="23"/>
  <c r="K756" i="23"/>
  <c r="G708" i="23"/>
  <c r="I708" i="23"/>
  <c r="J708" i="23"/>
  <c r="K708" i="23"/>
  <c r="G690" i="23"/>
  <c r="I690" i="23"/>
  <c r="J690" i="23"/>
  <c r="K690" i="23"/>
  <c r="G779" i="23"/>
  <c r="I779" i="23"/>
  <c r="J779" i="23"/>
  <c r="K779" i="23"/>
  <c r="G641" i="23"/>
  <c r="I641" i="23"/>
  <c r="J641" i="23"/>
  <c r="K641" i="23"/>
  <c r="G788" i="23"/>
  <c r="I788" i="23"/>
  <c r="J788" i="23"/>
  <c r="K788" i="23"/>
  <c r="G755" i="23"/>
  <c r="I755" i="23"/>
  <c r="J755" i="23"/>
  <c r="K755" i="23"/>
  <c r="G802" i="23"/>
  <c r="I802" i="23"/>
  <c r="J802" i="23"/>
  <c r="K802" i="23"/>
  <c r="G785" i="23"/>
  <c r="I785" i="23"/>
  <c r="J785" i="23"/>
  <c r="K785" i="23"/>
  <c r="G829" i="23"/>
  <c r="I829" i="23"/>
  <c r="J829" i="23"/>
  <c r="K829" i="23"/>
  <c r="G761" i="23"/>
  <c r="I761" i="23"/>
  <c r="J761" i="23"/>
  <c r="K761" i="23"/>
  <c r="G671" i="23"/>
  <c r="I671" i="23"/>
  <c r="J671" i="23"/>
  <c r="K671" i="23"/>
  <c r="G713" i="23"/>
  <c r="I713" i="23"/>
  <c r="J713" i="23"/>
  <c r="K713" i="23"/>
  <c r="G624" i="23"/>
  <c r="I624" i="23"/>
  <c r="J624" i="23"/>
  <c r="K624" i="23"/>
  <c r="G639" i="23"/>
  <c r="I639" i="23"/>
  <c r="J639" i="23"/>
  <c r="K639" i="23"/>
  <c r="G813" i="23"/>
  <c r="I813" i="23"/>
  <c r="J813" i="23"/>
  <c r="K813" i="23"/>
  <c r="G762" i="23"/>
  <c r="I762" i="23"/>
  <c r="J762" i="23"/>
  <c r="K762" i="23"/>
  <c r="G667" i="23"/>
  <c r="I667" i="23"/>
  <c r="J667" i="23"/>
  <c r="K667" i="23"/>
  <c r="G720" i="23"/>
  <c r="I720" i="23"/>
  <c r="J720" i="23"/>
  <c r="K720" i="23"/>
  <c r="G703" i="23"/>
  <c r="I703" i="23"/>
  <c r="J703" i="23"/>
  <c r="K703" i="23"/>
  <c r="G739" i="23"/>
  <c r="I739" i="23"/>
  <c r="J739" i="23"/>
  <c r="K739" i="23"/>
  <c r="G431" i="23"/>
  <c r="I431" i="23"/>
  <c r="J431" i="23"/>
  <c r="K431" i="23"/>
  <c r="G786" i="23"/>
  <c r="I786" i="23"/>
  <c r="J786" i="23"/>
  <c r="K786" i="23"/>
  <c r="G610" i="23"/>
  <c r="I610" i="23"/>
  <c r="J610" i="23"/>
  <c r="K610" i="23"/>
  <c r="G770" i="23"/>
  <c r="I770" i="23"/>
  <c r="J770" i="23"/>
  <c r="K770" i="23"/>
  <c r="G714" i="23"/>
  <c r="I714" i="23"/>
  <c r="J714" i="23"/>
  <c r="K714" i="23"/>
  <c r="G763" i="23"/>
  <c r="I763" i="23"/>
  <c r="J763" i="23"/>
  <c r="K763" i="23"/>
  <c r="G797" i="23"/>
  <c r="I797" i="23"/>
  <c r="J797" i="23"/>
  <c r="K797" i="23"/>
  <c r="G743" i="23"/>
  <c r="I743" i="23"/>
  <c r="J743" i="23"/>
  <c r="K743" i="23"/>
  <c r="G731" i="23"/>
  <c r="I731" i="23"/>
  <c r="J731" i="23"/>
  <c r="K731" i="23"/>
  <c r="G812" i="23"/>
  <c r="I812" i="23"/>
  <c r="J812" i="23"/>
  <c r="K812" i="23"/>
  <c r="G642" i="23"/>
  <c r="I642" i="23"/>
  <c r="J642" i="23"/>
  <c r="K642" i="23"/>
  <c r="G682" i="23"/>
  <c r="I682" i="23"/>
  <c r="J682" i="23"/>
  <c r="K682" i="23"/>
  <c r="G576" i="23"/>
  <c r="I576" i="23"/>
  <c r="J576" i="23"/>
  <c r="K576" i="23"/>
  <c r="G637" i="23"/>
  <c r="I637" i="23"/>
  <c r="J637" i="23"/>
  <c r="K637" i="23"/>
  <c r="G773" i="23"/>
  <c r="I773" i="23"/>
  <c r="J773" i="23"/>
  <c r="K773" i="23"/>
  <c r="G742" i="23"/>
  <c r="I742" i="23"/>
  <c r="J742" i="23"/>
  <c r="K742" i="23"/>
  <c r="G793" i="23"/>
  <c r="I793" i="23"/>
  <c r="J793" i="23"/>
  <c r="K793" i="23"/>
  <c r="G664" i="23"/>
  <c r="I664" i="23"/>
  <c r="J664" i="23"/>
  <c r="K664" i="23"/>
  <c r="G782" i="23"/>
  <c r="I782" i="23"/>
  <c r="J782" i="23"/>
  <c r="K782" i="23"/>
  <c r="G532" i="23"/>
  <c r="I532" i="23"/>
  <c r="J532" i="23"/>
  <c r="K532" i="23"/>
  <c r="G700" i="23"/>
  <c r="I700" i="23"/>
  <c r="J700" i="23"/>
  <c r="K700" i="23"/>
  <c r="G784" i="23"/>
  <c r="I784" i="23"/>
  <c r="J784" i="23"/>
  <c r="K784" i="23"/>
  <c r="G752" i="23"/>
  <c r="I752" i="23"/>
  <c r="J752" i="23"/>
  <c r="K752" i="23"/>
  <c r="G820" i="23"/>
  <c r="I820" i="23"/>
  <c r="J820" i="23"/>
  <c r="K820" i="23"/>
  <c r="G655" i="23"/>
  <c r="I655" i="23"/>
  <c r="J655" i="23"/>
  <c r="K655" i="23"/>
  <c r="G803" i="23"/>
  <c r="I803" i="23"/>
  <c r="J803" i="23"/>
  <c r="K803" i="23"/>
  <c r="G686" i="23"/>
  <c r="I686" i="23"/>
  <c r="J686" i="23"/>
  <c r="K686" i="23"/>
  <c r="G692" i="23"/>
  <c r="I692" i="23"/>
  <c r="J692" i="23"/>
  <c r="K692" i="23"/>
  <c r="G809" i="23"/>
  <c r="I809" i="23"/>
  <c r="J809" i="23"/>
  <c r="K809" i="23"/>
  <c r="G550" i="23"/>
  <c r="I550" i="23"/>
  <c r="J550" i="23"/>
  <c r="K550" i="23"/>
  <c r="G476" i="23"/>
  <c r="I476" i="23"/>
  <c r="J476" i="23"/>
  <c r="K476" i="23"/>
  <c r="G634" i="23"/>
  <c r="I634" i="23"/>
  <c r="J634" i="23"/>
  <c r="K634" i="23"/>
  <c r="G443" i="23"/>
  <c r="I443" i="23"/>
  <c r="J443" i="23"/>
  <c r="K443" i="23"/>
  <c r="G501" i="23"/>
  <c r="I501" i="23"/>
  <c r="J501" i="23"/>
  <c r="K501" i="23"/>
  <c r="G843" i="23"/>
  <c r="I843" i="23"/>
  <c r="J843" i="23"/>
  <c r="K843" i="23"/>
  <c r="G560" i="23"/>
  <c r="I560" i="23"/>
  <c r="J560" i="23"/>
  <c r="K560" i="23"/>
  <c r="J571" i="23"/>
  <c r="K571" i="23"/>
  <c r="G541" i="23"/>
  <c r="I541" i="23"/>
  <c r="J541" i="23"/>
  <c r="K541" i="23"/>
  <c r="G522" i="23"/>
  <c r="I522" i="23"/>
  <c r="J522" i="23"/>
  <c r="K522" i="23"/>
  <c r="G741" i="23"/>
  <c r="I741" i="23"/>
  <c r="J741" i="23"/>
  <c r="K741" i="23"/>
  <c r="G570" i="23"/>
  <c r="I570" i="23"/>
  <c r="J570" i="23"/>
  <c r="K570" i="23"/>
  <c r="G767" i="23"/>
  <c r="I767" i="23"/>
  <c r="J767" i="23"/>
  <c r="K767" i="23"/>
  <c r="G474" i="23"/>
  <c r="I474" i="23"/>
  <c r="J474" i="23"/>
  <c r="K474" i="23"/>
  <c r="G554" i="23"/>
  <c r="I554" i="23"/>
  <c r="J554" i="23"/>
  <c r="K554" i="23"/>
  <c r="G666" i="23"/>
  <c r="I666" i="23"/>
  <c r="J666" i="23"/>
  <c r="K666" i="23"/>
  <c r="G566" i="23"/>
  <c r="I566" i="23"/>
  <c r="J566" i="23"/>
  <c r="K566" i="23"/>
  <c r="G526" i="23"/>
  <c r="I526" i="23"/>
  <c r="J526" i="23"/>
  <c r="K526" i="23"/>
  <c r="G555" i="23"/>
  <c r="I555" i="23"/>
  <c r="J555" i="23"/>
  <c r="K555" i="23"/>
  <c r="G563" i="23"/>
  <c r="I563" i="23"/>
  <c r="J563" i="23"/>
  <c r="K563" i="23"/>
  <c r="G531" i="23"/>
  <c r="I531" i="23"/>
  <c r="J531" i="23"/>
  <c r="K531" i="23"/>
  <c r="G798" i="23"/>
  <c r="I798" i="23"/>
  <c r="J798" i="23"/>
  <c r="K798" i="23"/>
  <c r="G652" i="23"/>
  <c r="I652" i="23"/>
  <c r="J652" i="23"/>
  <c r="K652" i="23"/>
  <c r="G748" i="23"/>
  <c r="I748" i="23"/>
  <c r="J748" i="23"/>
  <c r="K748" i="23"/>
  <c r="G718" i="23"/>
  <c r="I718" i="23"/>
  <c r="J718" i="23"/>
  <c r="K718" i="23"/>
  <c r="G766" i="23"/>
  <c r="I766" i="23"/>
  <c r="J766" i="23"/>
  <c r="K766" i="23"/>
  <c r="G638" i="23"/>
  <c r="I638" i="23"/>
  <c r="J638" i="23"/>
  <c r="K638" i="23"/>
  <c r="G730" i="23"/>
  <c r="I730" i="23"/>
  <c r="J730" i="23"/>
  <c r="K730" i="23"/>
  <c r="G586" i="23"/>
  <c r="I586" i="23"/>
  <c r="J586" i="23"/>
  <c r="K586" i="23"/>
  <c r="G478" i="23"/>
  <c r="I478" i="23"/>
  <c r="J478" i="23"/>
  <c r="K478" i="23"/>
  <c r="G574" i="23"/>
  <c r="I574" i="23"/>
  <c r="J574" i="23"/>
  <c r="K574" i="23"/>
  <c r="G527" i="23"/>
  <c r="I527" i="23"/>
  <c r="J527" i="23"/>
  <c r="K527" i="23"/>
  <c r="G444" i="23"/>
  <c r="I444" i="23"/>
  <c r="J444" i="23"/>
  <c r="K444" i="23"/>
  <c r="G543" i="23"/>
  <c r="I543" i="23"/>
  <c r="J543" i="23"/>
  <c r="K543" i="23"/>
  <c r="G601" i="23"/>
  <c r="I601" i="23"/>
  <c r="J601" i="23"/>
  <c r="K601" i="23"/>
  <c r="G599" i="23"/>
  <c r="I599" i="23"/>
  <c r="J599" i="23"/>
  <c r="K599" i="23"/>
  <c r="G507" i="23"/>
  <c r="I507" i="23"/>
  <c r="J507" i="23"/>
  <c r="K507" i="23"/>
  <c r="G672" i="23"/>
  <c r="I672" i="23"/>
  <c r="J672" i="23"/>
  <c r="K672" i="23"/>
  <c r="G575" i="23"/>
  <c r="I575" i="23"/>
  <c r="J575" i="23"/>
  <c r="K575" i="23"/>
  <c r="G553" i="23"/>
  <c r="I553" i="23"/>
  <c r="J553" i="23"/>
  <c r="K553" i="23"/>
  <c r="G506" i="23"/>
  <c r="I506" i="23"/>
  <c r="J506" i="23"/>
  <c r="K506" i="23"/>
  <c r="G452" i="23"/>
  <c r="I452" i="23"/>
  <c r="J452" i="23"/>
  <c r="K452" i="23"/>
  <c r="G598" i="23"/>
  <c r="I598" i="23"/>
  <c r="J598" i="23"/>
  <c r="K598" i="23"/>
  <c r="G573" i="23"/>
  <c r="I573" i="23"/>
  <c r="J573" i="23"/>
  <c r="K573" i="23"/>
  <c r="G529" i="23"/>
  <c r="I529" i="23"/>
  <c r="J529" i="23"/>
  <c r="K529" i="23"/>
  <c r="G513" i="23"/>
  <c r="I513" i="23"/>
  <c r="J513" i="23"/>
  <c r="K513" i="23"/>
  <c r="G523" i="23"/>
  <c r="I523" i="23"/>
  <c r="J523" i="23"/>
  <c r="K523" i="23"/>
  <c r="G581" i="23"/>
  <c r="I581" i="23"/>
  <c r="J581" i="23"/>
  <c r="K581" i="23"/>
  <c r="G533" i="23"/>
  <c r="I533" i="23"/>
  <c r="J533" i="23"/>
  <c r="K533" i="23"/>
  <c r="G577" i="23"/>
  <c r="I577" i="23"/>
  <c r="J577" i="23"/>
  <c r="K577" i="23"/>
  <c r="G604" i="23"/>
  <c r="I604" i="23"/>
  <c r="J604" i="23"/>
  <c r="K604" i="23"/>
  <c r="G840" i="23"/>
  <c r="I840" i="23"/>
  <c r="J840" i="23"/>
  <c r="K840" i="23"/>
  <c r="G835" i="23"/>
  <c r="I835" i="23"/>
  <c r="J835" i="23"/>
  <c r="K835" i="23"/>
  <c r="J606" i="23"/>
  <c r="K606" i="23"/>
  <c r="G462" i="23"/>
  <c r="I462" i="23"/>
  <c r="J462" i="23"/>
  <c r="K462" i="23"/>
  <c r="G516" i="23"/>
  <c r="I516" i="23"/>
  <c r="J516" i="23"/>
  <c r="K516" i="23"/>
  <c r="G552" i="23"/>
  <c r="I552" i="23"/>
  <c r="J552" i="23"/>
  <c r="K552" i="23"/>
  <c r="G651" i="23"/>
  <c r="I651" i="23"/>
  <c r="J651" i="23"/>
  <c r="K651" i="23"/>
  <c r="G487" i="23"/>
  <c r="I487" i="23"/>
  <c r="J487" i="23"/>
  <c r="K487" i="23"/>
  <c r="G518" i="23"/>
  <c r="I518" i="23"/>
  <c r="J518" i="23"/>
  <c r="K518" i="23"/>
  <c r="G450" i="23"/>
  <c r="I450" i="23"/>
  <c r="J450" i="23"/>
  <c r="K450" i="23"/>
  <c r="G734" i="23"/>
  <c r="I734" i="23"/>
  <c r="J734" i="23"/>
  <c r="K734" i="23"/>
  <c r="G716" i="23"/>
  <c r="I716" i="23"/>
  <c r="J716" i="23"/>
  <c r="K716" i="23"/>
  <c r="G602" i="23"/>
  <c r="I602" i="23"/>
  <c r="J602" i="23"/>
  <c r="K602" i="23"/>
  <c r="G801" i="23"/>
  <c r="I801" i="23"/>
  <c r="J801" i="23"/>
  <c r="K801" i="23"/>
  <c r="G617" i="23"/>
  <c r="I617" i="23"/>
  <c r="J617" i="23"/>
  <c r="K617" i="23"/>
  <c r="G721" i="23"/>
  <c r="I721" i="23"/>
  <c r="J721" i="23"/>
  <c r="K721" i="23"/>
  <c r="G425" i="23"/>
  <c r="I425" i="23"/>
  <c r="J425" i="23"/>
  <c r="K425" i="23"/>
  <c r="G723" i="23"/>
  <c r="I723" i="23"/>
  <c r="J723" i="23"/>
  <c r="K723" i="23"/>
  <c r="G499" i="23"/>
  <c r="I499" i="23"/>
  <c r="J499" i="23"/>
  <c r="K499" i="23"/>
  <c r="G549" i="23"/>
  <c r="I549" i="23"/>
  <c r="J549" i="23"/>
  <c r="K549" i="23"/>
  <c r="G539" i="23"/>
  <c r="I539" i="23"/>
  <c r="J539" i="23"/>
  <c r="K539" i="23"/>
  <c r="G845" i="23"/>
  <c r="I845" i="23"/>
  <c r="J845" i="23"/>
  <c r="K845" i="23"/>
  <c r="G471" i="23"/>
  <c r="I471" i="23"/>
  <c r="J471" i="23"/>
  <c r="K471" i="23"/>
  <c r="G603" i="23"/>
  <c r="I603" i="23"/>
  <c r="J603" i="23"/>
  <c r="K603" i="23"/>
  <c r="G535" i="23"/>
  <c r="I535" i="23"/>
  <c r="J535" i="23"/>
  <c r="K535" i="23"/>
  <c r="G776" i="23"/>
  <c r="I776" i="23"/>
  <c r="J776" i="23"/>
  <c r="K776" i="23"/>
  <c r="G432" i="23"/>
  <c r="I432" i="23"/>
  <c r="J432" i="23"/>
  <c r="K432" i="23"/>
  <c r="G828" i="23"/>
  <c r="I828" i="23"/>
  <c r="J828" i="23"/>
  <c r="K828" i="23"/>
  <c r="G658" i="23"/>
  <c r="I658" i="23"/>
  <c r="J658" i="23"/>
  <c r="K658" i="23"/>
  <c r="G449" i="23"/>
  <c r="I449" i="23"/>
  <c r="J449" i="23"/>
  <c r="K449" i="23"/>
  <c r="G821" i="23"/>
  <c r="I821" i="23"/>
  <c r="J821" i="23"/>
  <c r="K821" i="23"/>
  <c r="G427" i="23"/>
  <c r="I427" i="23"/>
  <c r="J427" i="23"/>
  <c r="K427" i="23"/>
  <c r="G495" i="23"/>
  <c r="I495" i="23"/>
  <c r="J495" i="23"/>
  <c r="K495" i="23"/>
  <c r="G505" i="23"/>
  <c r="I505" i="23"/>
  <c r="J505" i="23"/>
  <c r="K505" i="23"/>
  <c r="G486" i="23"/>
  <c r="I486" i="23"/>
  <c r="J486" i="23"/>
  <c r="K486" i="23"/>
  <c r="G583" i="23"/>
  <c r="I583" i="23"/>
  <c r="J583" i="23"/>
  <c r="K583" i="23"/>
  <c r="G548" i="23"/>
  <c r="I548" i="23"/>
  <c r="J548" i="23"/>
  <c r="K548" i="23"/>
  <c r="G565" i="23"/>
  <c r="I565" i="23"/>
  <c r="J565" i="23"/>
  <c r="K565" i="23"/>
  <c r="G473" i="23"/>
  <c r="I473" i="23"/>
  <c r="J473" i="23"/>
  <c r="K473" i="23"/>
  <c r="G661" i="23"/>
  <c r="I661" i="23"/>
  <c r="J661" i="23"/>
  <c r="K661" i="23"/>
  <c r="G515" i="23"/>
  <c r="I515" i="23"/>
  <c r="J515" i="23"/>
  <c r="K515" i="23"/>
  <c r="G819" i="23"/>
  <c r="I819" i="23"/>
  <c r="J819" i="23"/>
  <c r="K819" i="23"/>
  <c r="G844" i="23"/>
  <c r="I844" i="23"/>
  <c r="J844" i="23"/>
  <c r="K844" i="23"/>
  <c r="G836" i="23"/>
  <c r="I836" i="23"/>
  <c r="J836" i="23"/>
  <c r="K836" i="23"/>
  <c r="G464" i="23"/>
  <c r="I464" i="23"/>
  <c r="J464" i="23"/>
  <c r="K464" i="23"/>
  <c r="G817" i="23"/>
  <c r="I817" i="23"/>
  <c r="J817" i="23"/>
  <c r="K817" i="23"/>
  <c r="G633" i="23"/>
  <c r="I633" i="23"/>
  <c r="J633" i="23"/>
  <c r="K633" i="23"/>
  <c r="G826" i="23"/>
  <c r="I826" i="23"/>
  <c r="J826" i="23"/>
  <c r="K826" i="23"/>
  <c r="G830" i="23"/>
  <c r="I830" i="23"/>
  <c r="J830" i="23"/>
  <c r="K830" i="23"/>
  <c r="G437" i="23"/>
  <c r="I437" i="23"/>
  <c r="J437" i="23"/>
  <c r="K437" i="23"/>
  <c r="G810" i="23"/>
  <c r="I810" i="23"/>
  <c r="J810" i="23"/>
  <c r="K810" i="23"/>
  <c r="G824" i="23"/>
  <c r="I824" i="23"/>
  <c r="J824" i="23"/>
  <c r="K824" i="23"/>
  <c r="G825" i="23"/>
  <c r="I825" i="23"/>
  <c r="J825" i="23"/>
  <c r="K825" i="23"/>
  <c r="G429" i="23"/>
  <c r="I429" i="23"/>
  <c r="J429" i="23"/>
  <c r="K429" i="23"/>
  <c r="G472" i="23"/>
  <c r="I472" i="23"/>
  <c r="J472" i="23"/>
  <c r="K472" i="23"/>
  <c r="G544" i="23"/>
  <c r="I544" i="23"/>
  <c r="J544" i="23"/>
  <c r="K544" i="23"/>
  <c r="G558" i="23"/>
  <c r="I558" i="23"/>
  <c r="J558" i="23"/>
  <c r="K558" i="23"/>
  <c r="G758" i="23"/>
  <c r="I758" i="23"/>
  <c r="J758" i="23"/>
  <c r="K758" i="23"/>
  <c r="G791" i="23"/>
  <c r="I791" i="23"/>
  <c r="J791" i="23"/>
  <c r="K791" i="23"/>
  <c r="G645" i="23"/>
  <c r="I645" i="23"/>
  <c r="J645" i="23"/>
  <c r="K645" i="23"/>
  <c r="G556" i="23"/>
  <c r="I556" i="23"/>
  <c r="J556" i="23"/>
  <c r="K556" i="23"/>
  <c r="G440" i="23"/>
  <c r="I440" i="23"/>
  <c r="J440" i="23"/>
  <c r="K440" i="23"/>
  <c r="G611" i="23"/>
  <c r="I611" i="23"/>
  <c r="J611" i="23"/>
  <c r="K611" i="23"/>
  <c r="G460" i="23"/>
  <c r="I460" i="23"/>
  <c r="J460" i="23"/>
  <c r="K460" i="23"/>
  <c r="G656" i="23"/>
  <c r="I656" i="23"/>
  <c r="J656" i="23"/>
  <c r="K656" i="23"/>
  <c r="G635" i="23"/>
  <c r="I635" i="23"/>
  <c r="J635" i="23"/>
  <c r="K635" i="23"/>
  <c r="G760" i="23"/>
  <c r="I760" i="23"/>
  <c r="J760" i="23"/>
  <c r="K760" i="23"/>
  <c r="G572" i="23"/>
  <c r="I572" i="23"/>
  <c r="J572" i="23"/>
  <c r="K572" i="23"/>
  <c r="G520" i="23"/>
  <c r="I520" i="23"/>
  <c r="J520" i="23"/>
  <c r="K520" i="23"/>
  <c r="G649" i="23"/>
  <c r="I649" i="23"/>
  <c r="J649" i="23"/>
  <c r="K649" i="23"/>
  <c r="G837" i="23"/>
  <c r="I837" i="23"/>
  <c r="J837" i="23"/>
  <c r="K837" i="23"/>
  <c r="G519" i="23"/>
  <c r="I519" i="23"/>
  <c r="J519" i="23"/>
  <c r="K519" i="23"/>
  <c r="G530" i="23"/>
  <c r="I530" i="23"/>
  <c r="J530" i="23"/>
  <c r="K530" i="23"/>
  <c r="G735" i="23"/>
  <c r="I735" i="23"/>
  <c r="J735" i="23"/>
  <c r="K735" i="23"/>
  <c r="G457" i="23"/>
  <c r="I457" i="23"/>
  <c r="J457" i="23"/>
  <c r="K457" i="23"/>
  <c r="G614" i="23"/>
  <c r="I614" i="23"/>
  <c r="J614" i="23"/>
  <c r="K614" i="23"/>
  <c r="G455" i="23"/>
  <c r="I455" i="23"/>
  <c r="J455" i="23"/>
  <c r="K455" i="23"/>
  <c r="G557" i="23"/>
  <c r="I557" i="23"/>
  <c r="J557" i="23"/>
  <c r="K557" i="23"/>
  <c r="G491" i="23"/>
  <c r="I491" i="23"/>
  <c r="J491" i="23"/>
  <c r="K491" i="23"/>
  <c r="G510" i="23"/>
  <c r="I510" i="23"/>
  <c r="J510" i="23"/>
  <c r="K510" i="23"/>
  <c r="G424" i="23"/>
  <c r="I424" i="23"/>
  <c r="J424" i="23"/>
  <c r="K424" i="23"/>
  <c r="G769" i="23"/>
  <c r="I769" i="23"/>
  <c r="J769" i="23"/>
  <c r="K769" i="23"/>
  <c r="G818" i="23"/>
  <c r="I818" i="23"/>
  <c r="J818" i="23"/>
  <c r="K818" i="23"/>
  <c r="G547" i="23"/>
  <c r="I547" i="23"/>
  <c r="J547" i="23"/>
  <c r="K547" i="23"/>
  <c r="G593" i="23"/>
  <c r="I593" i="23"/>
  <c r="J593" i="23"/>
  <c r="K593" i="23"/>
  <c r="G508" i="23"/>
  <c r="I508" i="23"/>
  <c r="J508" i="23"/>
  <c r="K508" i="23"/>
  <c r="G630" i="23"/>
  <c r="I630" i="23"/>
  <c r="J630" i="23"/>
  <c r="K630" i="23"/>
  <c r="G612" i="23"/>
  <c r="I612" i="23"/>
  <c r="J612" i="23"/>
  <c r="K612" i="23"/>
  <c r="G814" i="23"/>
  <c r="I814" i="23"/>
  <c r="J814" i="23"/>
  <c r="K814" i="23"/>
  <c r="G568" i="23"/>
  <c r="I568" i="23"/>
  <c r="J568" i="23"/>
  <c r="K568" i="23"/>
  <c r="G485" i="23"/>
  <c r="I485" i="23"/>
  <c r="J485" i="23"/>
  <c r="K485" i="23"/>
  <c r="G724" i="23"/>
  <c r="I724" i="23"/>
  <c r="J724" i="23"/>
  <c r="K724" i="23"/>
  <c r="G823" i="23"/>
  <c r="I823" i="23"/>
  <c r="J823" i="23"/>
  <c r="K823" i="23"/>
  <c r="G618" i="23"/>
  <c r="I618" i="23"/>
  <c r="J618" i="23"/>
  <c r="K618" i="23"/>
  <c r="G453" i="23"/>
  <c r="I453" i="23"/>
  <c r="J453" i="23"/>
  <c r="K453" i="23"/>
  <c r="G754" i="23"/>
  <c r="I754" i="23"/>
  <c r="J754" i="23"/>
  <c r="K754" i="23"/>
  <c r="G799" i="23"/>
  <c r="I799" i="23"/>
  <c r="J799" i="23"/>
  <c r="K799" i="23"/>
  <c r="G787" i="23"/>
  <c r="I787" i="23"/>
  <c r="J787" i="23"/>
  <c r="K787" i="23"/>
  <c r="G771" i="23"/>
  <c r="I771" i="23"/>
  <c r="J771" i="23"/>
  <c r="K771" i="23"/>
  <c r="G704" i="23"/>
  <c r="I704" i="23"/>
  <c r="J704" i="23"/>
  <c r="K704" i="23"/>
  <c r="G705" i="23"/>
  <c r="I705" i="23"/>
  <c r="J705" i="23"/>
  <c r="K705" i="23"/>
  <c r="G423" i="23"/>
  <c r="I423" i="23"/>
  <c r="J423" i="23"/>
  <c r="K423" i="23"/>
  <c r="G525" i="23"/>
  <c r="I525" i="23"/>
  <c r="J525" i="23"/>
  <c r="K525" i="23"/>
  <c r="G702" i="23"/>
  <c r="I702" i="23"/>
  <c r="J702" i="23"/>
  <c r="K702" i="23"/>
  <c r="G683" i="23"/>
  <c r="I683" i="23"/>
  <c r="J683" i="23"/>
  <c r="K683" i="23"/>
  <c r="G747" i="23"/>
  <c r="I747" i="23"/>
  <c r="J747" i="23"/>
  <c r="K747" i="23"/>
  <c r="G805" i="23"/>
  <c r="I805" i="23"/>
  <c r="J805" i="23"/>
  <c r="K805" i="23"/>
  <c r="G719" i="23"/>
  <c r="I719" i="23"/>
  <c r="J719" i="23"/>
  <c r="K719" i="23"/>
  <c r="G717" i="23"/>
  <c r="I717" i="23"/>
  <c r="J717" i="23"/>
  <c r="K717" i="23"/>
  <c r="G569" i="23"/>
  <c r="I569" i="23"/>
  <c r="J569" i="23"/>
  <c r="K569" i="23"/>
  <c r="G757" i="23"/>
  <c r="I757" i="23"/>
  <c r="J757" i="23"/>
  <c r="K757" i="23"/>
  <c r="G695" i="23"/>
  <c r="I695" i="23"/>
  <c r="J695" i="23"/>
  <c r="K695" i="23"/>
  <c r="J737" i="23"/>
  <c r="K737" i="23"/>
  <c r="G789" i="23"/>
  <c r="I789" i="23"/>
  <c r="J789" i="23"/>
  <c r="K789" i="23"/>
  <c r="G595" i="23"/>
  <c r="I595" i="23"/>
  <c r="J595" i="23"/>
  <c r="K595" i="23"/>
  <c r="G729" i="23"/>
  <c r="I729" i="23"/>
  <c r="J729" i="23"/>
  <c r="K729" i="23"/>
  <c r="G688" i="23"/>
  <c r="I688" i="23"/>
  <c r="J688" i="23"/>
  <c r="K688" i="23"/>
  <c r="G775" i="23"/>
  <c r="I775" i="23"/>
  <c r="J775" i="23"/>
  <c r="K775" i="23"/>
  <c r="G751" i="23"/>
  <c r="I751" i="23"/>
  <c r="J751" i="23"/>
  <c r="K751" i="23"/>
  <c r="G733" i="23"/>
  <c r="I733" i="23"/>
  <c r="J733" i="23"/>
  <c r="K733" i="23"/>
  <c r="G806" i="23"/>
  <c r="I806" i="23"/>
  <c r="J806" i="23"/>
  <c r="K806" i="23"/>
  <c r="G774" i="23"/>
  <c r="I774" i="23"/>
  <c r="J774" i="23"/>
  <c r="K774" i="23"/>
  <c r="G640" i="23"/>
  <c r="I640" i="23"/>
  <c r="J640" i="23"/>
  <c r="K640" i="23"/>
  <c r="G675" i="23"/>
  <c r="I675" i="23"/>
  <c r="J675" i="23"/>
  <c r="K675" i="23"/>
  <c r="G680" i="23"/>
  <c r="I680" i="23"/>
  <c r="J680" i="23"/>
  <c r="K680" i="23"/>
  <c r="G694" i="23"/>
  <c r="I694" i="23"/>
  <c r="J694" i="23"/>
  <c r="K694" i="23"/>
  <c r="G759" i="23"/>
  <c r="I759" i="23"/>
  <c r="J759" i="23"/>
  <c r="K759" i="23"/>
  <c r="G636" i="23"/>
  <c r="I636" i="23"/>
  <c r="J636" i="23"/>
  <c r="K636" i="23"/>
  <c r="G631" i="23"/>
  <c r="I631" i="23"/>
  <c r="J631" i="23"/>
  <c r="K631" i="23"/>
  <c r="G727" i="23"/>
  <c r="I727" i="23"/>
  <c r="J727" i="23"/>
  <c r="K727" i="23"/>
  <c r="G643" i="23"/>
  <c r="I643" i="23"/>
  <c r="J643" i="23"/>
  <c r="K643" i="23"/>
  <c r="G804" i="23"/>
  <c r="I804" i="23"/>
  <c r="J804" i="23"/>
  <c r="K804" i="23"/>
  <c r="G685" i="23"/>
  <c r="I685" i="23"/>
  <c r="J685" i="23"/>
  <c r="K685" i="23"/>
  <c r="G808" i="23"/>
  <c r="I808" i="23"/>
  <c r="J808" i="23"/>
  <c r="K808" i="23"/>
  <c r="G676" i="23"/>
  <c r="I676" i="23"/>
  <c r="J676" i="23"/>
  <c r="K676" i="23"/>
  <c r="G807" i="23"/>
  <c r="I807" i="23"/>
  <c r="J807" i="23"/>
  <c r="K807" i="23"/>
  <c r="G750" i="23"/>
  <c r="I750" i="23"/>
  <c r="J750" i="23"/>
  <c r="K750" i="23"/>
  <c r="G691" i="23"/>
  <c r="I691" i="23"/>
  <c r="J691" i="23"/>
  <c r="K691" i="23"/>
  <c r="G502" i="23"/>
  <c r="I502" i="23"/>
  <c r="J502" i="23"/>
  <c r="K502" i="23"/>
  <c r="G745" i="23"/>
  <c r="I745" i="23"/>
  <c r="J745" i="23"/>
  <c r="K745" i="23"/>
  <c r="G768" i="23"/>
  <c r="I768" i="23"/>
  <c r="J768" i="23"/>
  <c r="K768" i="23"/>
  <c r="G674" i="23"/>
  <c r="I674" i="23"/>
  <c r="J674" i="23"/>
  <c r="K674" i="23"/>
  <c r="G777" i="23"/>
  <c r="I777" i="23"/>
  <c r="J777" i="23"/>
  <c r="K777" i="23"/>
  <c r="G467" i="23"/>
  <c r="I467" i="23"/>
  <c r="J467" i="23"/>
  <c r="K467" i="23"/>
  <c r="G619" i="23"/>
  <c r="I619" i="23"/>
  <c r="J619" i="23"/>
  <c r="K619" i="23"/>
  <c r="G677" i="23"/>
  <c r="I677" i="23"/>
  <c r="J677" i="23"/>
  <c r="K677" i="23"/>
  <c r="G794" i="23"/>
  <c r="I794" i="23"/>
  <c r="J794" i="23"/>
  <c r="K794" i="23"/>
  <c r="G500" i="23"/>
  <c r="I500" i="23"/>
  <c r="J500" i="23"/>
  <c r="K500" i="23"/>
  <c r="G740" i="23"/>
  <c r="I740" i="23"/>
  <c r="J740" i="23"/>
  <c r="K740" i="23"/>
  <c r="G783" i="23"/>
  <c r="I783" i="23"/>
  <c r="J783" i="23"/>
  <c r="K783" i="23"/>
  <c r="G712" i="23"/>
  <c r="I712" i="23"/>
  <c r="J712" i="23"/>
  <c r="K712" i="23"/>
  <c r="G790" i="23"/>
  <c r="I790" i="23"/>
  <c r="J790" i="23"/>
  <c r="K790" i="23"/>
  <c r="G650" i="23"/>
  <c r="I650" i="23"/>
  <c r="J650" i="23"/>
  <c r="K650" i="23"/>
  <c r="G693" i="23"/>
  <c r="I693" i="23"/>
  <c r="J693" i="23"/>
  <c r="K693" i="23"/>
  <c r="G765" i="23"/>
  <c r="I765" i="23"/>
  <c r="J765" i="23"/>
  <c r="K765" i="23"/>
  <c r="G673" i="23"/>
  <c r="I673" i="23"/>
  <c r="J673" i="23"/>
  <c r="K673" i="23"/>
  <c r="G584" i="23"/>
  <c r="I584" i="23"/>
  <c r="J584" i="23"/>
  <c r="K584" i="23"/>
  <c r="G781" i="23"/>
  <c r="I781" i="23"/>
  <c r="J781" i="23"/>
  <c r="K781" i="23"/>
  <c r="G670" i="23"/>
  <c r="I670" i="23"/>
  <c r="J670" i="23"/>
  <c r="K670" i="23"/>
  <c r="G521" i="23"/>
  <c r="I521" i="23"/>
  <c r="J521" i="23"/>
  <c r="K521" i="23"/>
  <c r="G540" i="23"/>
  <c r="I540" i="23"/>
  <c r="J540" i="23"/>
  <c r="K540" i="23"/>
  <c r="G578" i="23"/>
  <c r="I578" i="23"/>
  <c r="J578" i="23"/>
  <c r="K578" i="23"/>
  <c r="G528" i="23"/>
  <c r="I528" i="23"/>
  <c r="J528" i="23"/>
  <c r="K528" i="23"/>
  <c r="G626" i="23"/>
  <c r="I626" i="23"/>
  <c r="J626" i="23"/>
  <c r="K626" i="23"/>
  <c r="G524" i="23"/>
  <c r="I524" i="23"/>
  <c r="J524" i="23"/>
  <c r="K524" i="23"/>
  <c r="G503" i="23"/>
  <c r="I503" i="23"/>
  <c r="J503" i="23"/>
  <c r="K503" i="23"/>
  <c r="G564" i="23"/>
  <c r="I564" i="23"/>
  <c r="J564" i="23"/>
  <c r="K564" i="23"/>
  <c r="G620" i="23"/>
  <c r="I620" i="23"/>
  <c r="J620" i="23"/>
  <c r="K620" i="23"/>
  <c r="G795" i="23"/>
  <c r="I795" i="23"/>
  <c r="J795" i="23"/>
  <c r="K795" i="23"/>
  <c r="G660" i="23"/>
  <c r="I660" i="23"/>
  <c r="J660" i="23"/>
  <c r="K660" i="23"/>
  <c r="G585" i="23"/>
  <c r="I585" i="23"/>
  <c r="J585" i="23"/>
  <c r="K585" i="23"/>
  <c r="G428" i="23"/>
  <c r="I428" i="23"/>
  <c r="J428" i="23"/>
  <c r="K428" i="23"/>
  <c r="G607" i="23"/>
  <c r="I607" i="23"/>
  <c r="J607" i="23"/>
  <c r="K607" i="23"/>
  <c r="G689" i="23"/>
  <c r="I689" i="23"/>
  <c r="J689" i="23"/>
  <c r="K689" i="23"/>
  <c r="G699" i="23"/>
  <c r="I699" i="23"/>
  <c r="J699" i="23"/>
  <c r="K699" i="23"/>
  <c r="G679" i="23"/>
  <c r="I679" i="23"/>
  <c r="J679" i="23"/>
  <c r="K679" i="23"/>
  <c r="G696" i="23"/>
  <c r="I696" i="23"/>
  <c r="J696" i="23"/>
  <c r="K696" i="23"/>
  <c r="G534" i="23"/>
  <c r="I534" i="23"/>
  <c r="J534" i="23"/>
  <c r="K534" i="23"/>
  <c r="G551" i="23"/>
  <c r="I551" i="23"/>
  <c r="J551" i="23"/>
  <c r="K551" i="23"/>
  <c r="G546" i="23"/>
  <c r="I546" i="23"/>
  <c r="J546" i="23"/>
  <c r="K546" i="23"/>
  <c r="G744" i="23"/>
  <c r="I744" i="23"/>
  <c r="J744" i="23"/>
  <c r="K744" i="23"/>
  <c r="G545" i="23"/>
  <c r="I545" i="23"/>
  <c r="J545" i="23"/>
  <c r="K545" i="23"/>
  <c r="G764" i="23"/>
  <c r="I764" i="23"/>
  <c r="J764" i="23"/>
  <c r="K764" i="23"/>
  <c r="G746" i="23"/>
  <c r="I746" i="23"/>
  <c r="J746" i="23"/>
  <c r="K746" i="23"/>
  <c r="G493" i="23"/>
  <c r="I493" i="23"/>
  <c r="J493" i="23"/>
  <c r="K493" i="23"/>
  <c r="G792" i="23"/>
  <c r="I792" i="23"/>
  <c r="J792" i="23"/>
  <c r="K792" i="23"/>
  <c r="G509" i="23"/>
  <c r="I509" i="23"/>
  <c r="J509" i="23"/>
  <c r="K509" i="23"/>
  <c r="G504" i="23"/>
  <c r="I504" i="23"/>
  <c r="J504" i="23"/>
  <c r="K504" i="23"/>
  <c r="G512" i="23"/>
  <c r="I512" i="23"/>
  <c r="J512" i="23"/>
  <c r="K512" i="23"/>
  <c r="G609" i="23"/>
  <c r="I609" i="23"/>
  <c r="J609" i="23"/>
  <c r="K609" i="23"/>
  <c r="G582" i="23"/>
  <c r="I582" i="23"/>
  <c r="J582" i="23"/>
  <c r="K582" i="23"/>
  <c r="G592" i="23"/>
  <c r="I592" i="23"/>
  <c r="J592" i="23"/>
  <c r="K592" i="23"/>
  <c r="G481" i="23"/>
  <c r="I481" i="23"/>
  <c r="J481" i="23"/>
  <c r="K481" i="23"/>
  <c r="G517" i="23"/>
  <c r="I517" i="23"/>
  <c r="J517" i="23"/>
  <c r="K517" i="23"/>
  <c r="G590" i="23"/>
  <c r="I590" i="23"/>
  <c r="J590" i="23"/>
  <c r="K590" i="23"/>
  <c r="G596" i="23"/>
  <c r="I596" i="23"/>
  <c r="J596" i="23"/>
  <c r="K596" i="23"/>
  <c r="G482" i="23"/>
  <c r="I482" i="23"/>
  <c r="J482" i="23"/>
  <c r="K482" i="23"/>
  <c r="G594" i="23"/>
  <c r="I594" i="23"/>
  <c r="J594" i="23"/>
  <c r="K594" i="23"/>
  <c r="G588" i="23"/>
  <c r="I588" i="23"/>
  <c r="J588" i="23"/>
  <c r="K588" i="23"/>
  <c r="G615" i="23"/>
  <c r="I615" i="23"/>
  <c r="J615" i="23"/>
  <c r="K615" i="23"/>
  <c r="G490" i="23"/>
  <c r="I490" i="23"/>
  <c r="J490" i="23"/>
  <c r="K490" i="23"/>
  <c r="G579" i="23"/>
  <c r="I579" i="23"/>
  <c r="J579" i="23"/>
  <c r="K579" i="23"/>
  <c r="G456" i="23"/>
  <c r="I456" i="23"/>
  <c r="J456" i="23"/>
  <c r="K456" i="23"/>
  <c r="G839" i="23"/>
  <c r="I839" i="23"/>
  <c r="J839" i="23"/>
  <c r="K839" i="23"/>
  <c r="G567" i="23"/>
  <c r="I567" i="23"/>
  <c r="J567" i="23"/>
  <c r="K567" i="23"/>
  <c r="G466" i="23"/>
  <c r="I466" i="23"/>
  <c r="J466" i="23"/>
  <c r="K466" i="23"/>
  <c r="G657" i="23"/>
  <c r="I657" i="23"/>
  <c r="J657" i="23"/>
  <c r="K657" i="23"/>
  <c r="G459" i="23"/>
  <c r="I459" i="23"/>
  <c r="J459" i="23"/>
  <c r="K459" i="23"/>
  <c r="G613" i="23"/>
  <c r="I613" i="23"/>
  <c r="J613" i="23"/>
  <c r="K613" i="23"/>
  <c r="G800" i="23"/>
  <c r="I800" i="23"/>
  <c r="J800" i="23"/>
  <c r="K800" i="23"/>
  <c r="G448" i="23"/>
  <c r="I448" i="23"/>
  <c r="J448" i="23"/>
  <c r="K448" i="23"/>
  <c r="G433" i="23"/>
  <c r="I433" i="23"/>
  <c r="J433" i="23"/>
  <c r="K433" i="23"/>
  <c r="G627" i="23"/>
  <c r="I627" i="23"/>
  <c r="J627" i="23"/>
  <c r="K627" i="23"/>
  <c r="G644" i="23"/>
  <c r="I644" i="23"/>
  <c r="J644" i="23"/>
  <c r="K644" i="23"/>
  <c r="G665" i="23"/>
  <c r="I665" i="23"/>
  <c r="J665" i="23"/>
  <c r="K665" i="23"/>
  <c r="G625" i="23"/>
  <c r="I625" i="23"/>
  <c r="J625" i="23"/>
  <c r="K625" i="23"/>
  <c r="G426" i="23"/>
  <c r="I426" i="23"/>
  <c r="J426" i="23"/>
  <c r="K426" i="23"/>
  <c r="G587" i="23"/>
  <c r="I587" i="23"/>
  <c r="J587" i="23"/>
  <c r="K587" i="23"/>
  <c r="G562" i="23"/>
  <c r="I562" i="23"/>
  <c r="J562" i="23"/>
  <c r="K562" i="23"/>
  <c r="G484" i="23"/>
  <c r="I484" i="23"/>
  <c r="J484" i="23"/>
  <c r="K484" i="23"/>
  <c r="G161" i="23"/>
  <c r="I161" i="23"/>
  <c r="J161" i="23"/>
  <c r="K161" i="23"/>
  <c r="G103" i="23"/>
  <c r="I103" i="23"/>
  <c r="J103" i="23"/>
  <c r="K103" i="23"/>
  <c r="G74" i="23"/>
  <c r="I74" i="23"/>
  <c r="J74" i="23"/>
  <c r="K74" i="23"/>
  <c r="G78" i="23"/>
  <c r="I78" i="23"/>
  <c r="J78" i="23"/>
  <c r="K78" i="23"/>
  <c r="G45" i="23"/>
  <c r="I45" i="23"/>
  <c r="J45" i="23"/>
  <c r="K45" i="23"/>
  <c r="G118" i="23"/>
  <c r="I118" i="23"/>
  <c r="J118" i="23"/>
  <c r="K118" i="23"/>
  <c r="G16" i="23"/>
  <c r="I16" i="23"/>
  <c r="J16" i="23"/>
  <c r="K16" i="23"/>
  <c r="G141" i="23"/>
  <c r="I141" i="23"/>
  <c r="J141" i="23"/>
  <c r="K141" i="23"/>
  <c r="G181" i="23"/>
  <c r="I181" i="23"/>
  <c r="J181" i="23"/>
  <c r="K181" i="23"/>
  <c r="G191" i="23"/>
  <c r="I191" i="23"/>
  <c r="J191" i="23"/>
  <c r="K191" i="23"/>
  <c r="G7" i="23"/>
  <c r="I7" i="23"/>
  <c r="J7" i="23"/>
  <c r="K7" i="23"/>
  <c r="G51" i="23"/>
  <c r="I51" i="23"/>
  <c r="J51" i="23"/>
  <c r="K51" i="23"/>
  <c r="G163" i="23"/>
  <c r="I163" i="23"/>
  <c r="J163" i="23"/>
  <c r="K163" i="23"/>
  <c r="G57" i="23"/>
  <c r="I57" i="23"/>
  <c r="J57" i="23"/>
  <c r="K57" i="23"/>
  <c r="G8" i="23"/>
  <c r="I8" i="23"/>
  <c r="J8" i="23"/>
  <c r="K8" i="23"/>
  <c r="G126" i="23"/>
  <c r="I126" i="23"/>
  <c r="J126" i="23"/>
  <c r="K126" i="23"/>
  <c r="G260" i="23"/>
  <c r="I260" i="23"/>
  <c r="J260" i="23"/>
  <c r="K260" i="23"/>
  <c r="G167" i="23"/>
  <c r="I167" i="23"/>
  <c r="J167" i="23"/>
  <c r="K167" i="23"/>
  <c r="G100" i="23"/>
  <c r="I100" i="23"/>
  <c r="J100" i="23"/>
  <c r="K100" i="23"/>
  <c r="G348" i="23"/>
  <c r="I348" i="23"/>
  <c r="J348" i="23"/>
  <c r="K348" i="23"/>
  <c r="G52" i="23"/>
  <c r="I52" i="23"/>
  <c r="J52" i="23"/>
  <c r="K52" i="23"/>
  <c r="G221" i="23"/>
  <c r="I221" i="23"/>
  <c r="J221" i="23"/>
  <c r="K221" i="23"/>
  <c r="G173" i="23"/>
  <c r="I173" i="23"/>
  <c r="J173" i="23"/>
  <c r="K173" i="23"/>
  <c r="G263" i="23"/>
  <c r="I263" i="23"/>
  <c r="J263" i="23"/>
  <c r="K263" i="23"/>
  <c r="G371" i="23"/>
  <c r="I371" i="23"/>
  <c r="J371" i="23"/>
  <c r="K371" i="23"/>
  <c r="G120" i="23"/>
  <c r="I120" i="23"/>
  <c r="J120" i="23"/>
  <c r="K120" i="23"/>
  <c r="G50" i="23"/>
  <c r="I50" i="23"/>
  <c r="J50" i="23"/>
  <c r="K50" i="23"/>
  <c r="G129" i="23"/>
  <c r="I129" i="23"/>
  <c r="J129" i="23"/>
  <c r="K129" i="23"/>
  <c r="G35" i="23"/>
  <c r="I35" i="23"/>
  <c r="J35" i="23"/>
  <c r="K35" i="23"/>
  <c r="G119" i="23"/>
  <c r="I119" i="23"/>
  <c r="J119" i="23"/>
  <c r="K119" i="23"/>
  <c r="G234" i="23"/>
  <c r="I234" i="23"/>
  <c r="J234" i="23"/>
  <c r="K234" i="23"/>
  <c r="G112" i="23"/>
  <c r="I112" i="23"/>
  <c r="J112" i="23"/>
  <c r="K112" i="23"/>
  <c r="G31" i="23"/>
  <c r="I31" i="23"/>
  <c r="J31" i="23"/>
  <c r="K31" i="23"/>
  <c r="G105" i="23"/>
  <c r="I105" i="23"/>
  <c r="J105" i="23"/>
  <c r="K105" i="23"/>
  <c r="G4" i="23"/>
  <c r="I4" i="23"/>
  <c r="J4" i="23"/>
  <c r="K4" i="23"/>
  <c r="G172" i="23"/>
  <c r="I172" i="23"/>
  <c r="J172" i="23"/>
  <c r="K172" i="23"/>
  <c r="G79" i="23"/>
  <c r="I79" i="23"/>
  <c r="J79" i="23"/>
  <c r="K79" i="23"/>
  <c r="G310" i="23"/>
  <c r="I310" i="23"/>
  <c r="J310" i="23"/>
  <c r="K310" i="23"/>
  <c r="G251" i="23"/>
  <c r="I251" i="23"/>
  <c r="J251" i="23"/>
  <c r="K251" i="23"/>
  <c r="G317" i="23"/>
  <c r="I317" i="23"/>
  <c r="J317" i="23"/>
  <c r="K317" i="23"/>
  <c r="G121" i="23"/>
  <c r="I121" i="23"/>
  <c r="J121" i="23"/>
  <c r="K121" i="23"/>
  <c r="G137" i="23"/>
  <c r="I137" i="23"/>
  <c r="J137" i="23"/>
  <c r="K137" i="23"/>
  <c r="G241" i="23"/>
  <c r="I241" i="23"/>
  <c r="J241" i="23"/>
  <c r="K241" i="23"/>
  <c r="G26" i="23"/>
  <c r="I26" i="23"/>
  <c r="J26" i="23"/>
  <c r="K26" i="23"/>
  <c r="G146" i="23"/>
  <c r="I146" i="23"/>
  <c r="J146" i="23"/>
  <c r="K146" i="23"/>
  <c r="G211" i="23"/>
  <c r="I211" i="23"/>
  <c r="J211" i="23"/>
  <c r="K211" i="23"/>
  <c r="G136" i="23"/>
  <c r="I136" i="23"/>
  <c r="J136" i="23"/>
  <c r="K136" i="23"/>
  <c r="G144" i="23"/>
  <c r="I144" i="23"/>
  <c r="J144" i="23"/>
  <c r="K144" i="23"/>
  <c r="G117" i="23"/>
  <c r="I117" i="23"/>
  <c r="J117" i="23"/>
  <c r="K117" i="23"/>
  <c r="G98" i="23"/>
  <c r="I98" i="23"/>
  <c r="J98" i="23"/>
  <c r="K98" i="23"/>
  <c r="G207" i="23"/>
  <c r="I207" i="23"/>
  <c r="J207" i="23"/>
  <c r="K207" i="23"/>
  <c r="G139" i="23"/>
  <c r="I139" i="23"/>
  <c r="J139" i="23"/>
  <c r="K139" i="23"/>
  <c r="G158" i="23"/>
  <c r="I158" i="23"/>
  <c r="J158" i="23"/>
  <c r="K158" i="23"/>
  <c r="G43" i="23"/>
  <c r="I43" i="23"/>
  <c r="J43" i="23"/>
  <c r="K43" i="23"/>
  <c r="G151" i="23"/>
  <c r="I151" i="23"/>
  <c r="J151" i="23"/>
  <c r="K151" i="23"/>
  <c r="G195" i="23"/>
  <c r="I195" i="23"/>
  <c r="J195" i="23"/>
  <c r="K195" i="23"/>
  <c r="G14" i="23"/>
  <c r="I14" i="23"/>
  <c r="J14" i="23"/>
  <c r="K14" i="23"/>
  <c r="G76" i="23"/>
  <c r="I76" i="23"/>
  <c r="J76" i="23"/>
  <c r="K76" i="23"/>
  <c r="G12" i="23"/>
  <c r="I12" i="23"/>
  <c r="J12" i="23"/>
  <c r="K12" i="23"/>
  <c r="G30" i="23"/>
  <c r="I30" i="23"/>
  <c r="J30" i="23"/>
  <c r="K30" i="23"/>
  <c r="G115" i="23"/>
  <c r="I115" i="23"/>
  <c r="J115" i="23"/>
  <c r="K115" i="23"/>
  <c r="G40" i="23"/>
  <c r="I40" i="23"/>
  <c r="J40" i="23"/>
  <c r="K40" i="23"/>
  <c r="G147" i="23"/>
  <c r="I147" i="23"/>
  <c r="J147" i="23"/>
  <c r="K147" i="23"/>
  <c r="G187" i="23"/>
  <c r="I187" i="23"/>
  <c r="J187" i="23"/>
  <c r="K187" i="23"/>
  <c r="G53" i="23"/>
  <c r="I53" i="23"/>
  <c r="J53" i="23"/>
  <c r="K53" i="23"/>
  <c r="G55" i="23"/>
  <c r="I55" i="23"/>
  <c r="J55" i="23"/>
  <c r="K55" i="23"/>
  <c r="G180" i="23"/>
  <c r="I180" i="23"/>
  <c r="J180" i="23"/>
  <c r="K180" i="23"/>
  <c r="G85" i="23"/>
  <c r="I85" i="23"/>
  <c r="J85" i="23"/>
  <c r="K85" i="23"/>
  <c r="G6" i="23"/>
  <c r="I6" i="23"/>
  <c r="J6" i="23"/>
  <c r="K6" i="23"/>
  <c r="G189" i="23"/>
  <c r="I189" i="23"/>
  <c r="J189" i="23"/>
  <c r="K189" i="23"/>
  <c r="G140" i="23"/>
  <c r="I140" i="23"/>
  <c r="J140" i="23"/>
  <c r="K140" i="23"/>
  <c r="G134" i="23"/>
  <c r="I134" i="23"/>
  <c r="J134" i="23"/>
  <c r="K134" i="23"/>
  <c r="G101" i="23"/>
  <c r="I101" i="23"/>
  <c r="J101" i="23"/>
  <c r="K101" i="23"/>
  <c r="G18" i="23"/>
  <c r="I18" i="23"/>
  <c r="J18" i="23"/>
  <c r="K18" i="23"/>
  <c r="G22" i="23"/>
  <c r="I22" i="23"/>
  <c r="J22" i="23"/>
  <c r="K22" i="23"/>
  <c r="G278" i="23"/>
  <c r="I278" i="23"/>
  <c r="J278" i="23"/>
  <c r="K278" i="23"/>
  <c r="G205" i="23"/>
  <c r="I205" i="23"/>
  <c r="J205" i="23"/>
  <c r="K205" i="23"/>
  <c r="G178" i="23"/>
  <c r="I178" i="23"/>
  <c r="J178" i="23"/>
  <c r="K178" i="23"/>
  <c r="G90" i="23"/>
  <c r="I90" i="23"/>
  <c r="J90" i="23"/>
  <c r="K90" i="23"/>
  <c r="G131" i="23"/>
  <c r="I131" i="23"/>
  <c r="J131" i="23"/>
  <c r="K131" i="23"/>
  <c r="G209" i="23"/>
  <c r="I209" i="23"/>
  <c r="J209" i="23"/>
  <c r="K209" i="23"/>
  <c r="G214" i="23"/>
  <c r="I214" i="23"/>
  <c r="J214" i="23"/>
  <c r="K214" i="23"/>
  <c r="G95" i="23"/>
  <c r="I95" i="23"/>
  <c r="J95" i="23"/>
  <c r="K95" i="23"/>
  <c r="G292" i="23"/>
  <c r="I292" i="23"/>
  <c r="J292" i="23"/>
  <c r="K292" i="23"/>
  <c r="G192" i="23"/>
  <c r="I192" i="23"/>
  <c r="J192" i="23"/>
  <c r="K192" i="23"/>
  <c r="G311" i="23"/>
  <c r="I311" i="23"/>
  <c r="J311" i="23"/>
  <c r="K311" i="23"/>
  <c r="G282" i="23"/>
  <c r="I282" i="23"/>
  <c r="J282" i="23"/>
  <c r="K282" i="23"/>
  <c r="G344" i="23"/>
  <c r="I344" i="23"/>
  <c r="J344" i="23"/>
  <c r="K344" i="23"/>
  <c r="G411" i="23"/>
  <c r="I411" i="23"/>
  <c r="J411" i="23"/>
  <c r="K411" i="23"/>
  <c r="G393" i="23"/>
  <c r="I393" i="23"/>
  <c r="J393" i="23"/>
  <c r="K393" i="23"/>
  <c r="G400" i="23"/>
  <c r="I400" i="23"/>
  <c r="J400" i="23"/>
  <c r="K400" i="23"/>
  <c r="G283" i="23"/>
  <c r="I283" i="23"/>
  <c r="J283" i="23"/>
  <c r="K283" i="23"/>
  <c r="G370" i="23"/>
  <c r="I370" i="23"/>
  <c r="J370" i="23"/>
  <c r="K370" i="23"/>
  <c r="G249" i="23"/>
  <c r="I249" i="23"/>
  <c r="J249" i="23"/>
  <c r="K249" i="23"/>
  <c r="G402" i="23"/>
  <c r="I402" i="23"/>
  <c r="J402" i="23"/>
  <c r="K402" i="23"/>
  <c r="G265" i="23"/>
  <c r="I265" i="23"/>
  <c r="J265" i="23"/>
  <c r="K265" i="23"/>
  <c r="G293" i="23"/>
  <c r="I293" i="23"/>
  <c r="J293" i="23"/>
  <c r="K293" i="23"/>
  <c r="G364" i="23"/>
  <c r="I364" i="23"/>
  <c r="J364" i="23"/>
  <c r="K364" i="23"/>
  <c r="G418" i="23"/>
  <c r="I418" i="23"/>
  <c r="J418" i="23"/>
  <c r="K418" i="23"/>
  <c r="G279" i="23"/>
  <c r="I279" i="23"/>
  <c r="J279" i="23"/>
  <c r="K279" i="23"/>
  <c r="G339" i="23"/>
  <c r="I339" i="23"/>
  <c r="J339" i="23"/>
  <c r="K339" i="23"/>
  <c r="G254" i="23"/>
  <c r="I254" i="23"/>
  <c r="J254" i="23"/>
  <c r="K254" i="23"/>
  <c r="G416" i="23"/>
  <c r="I416" i="23"/>
  <c r="J416" i="23"/>
  <c r="K416" i="23"/>
  <c r="G329" i="23"/>
  <c r="I329" i="23"/>
  <c r="J329" i="23"/>
  <c r="K329" i="23"/>
  <c r="G243" i="23"/>
  <c r="I243" i="23"/>
  <c r="J243" i="23"/>
  <c r="K243" i="23"/>
  <c r="G226" i="23"/>
  <c r="I226" i="23"/>
  <c r="J226" i="23"/>
  <c r="K226" i="23"/>
  <c r="G305" i="23"/>
  <c r="I305" i="23"/>
  <c r="J305" i="23"/>
  <c r="K305" i="23"/>
  <c r="G230" i="23"/>
  <c r="I230" i="23"/>
  <c r="J230" i="23"/>
  <c r="K230" i="23"/>
  <c r="G387" i="23"/>
  <c r="I387" i="23"/>
  <c r="J387" i="23"/>
  <c r="K387" i="23"/>
  <c r="G255" i="23"/>
  <c r="I255" i="23"/>
  <c r="J255" i="23"/>
  <c r="K255" i="23"/>
  <c r="G392" i="23"/>
  <c r="I392" i="23"/>
  <c r="J392" i="23"/>
  <c r="K392" i="23"/>
  <c r="G331" i="23"/>
  <c r="I331" i="23"/>
  <c r="J331" i="23"/>
  <c r="K331" i="23"/>
  <c r="G299" i="23"/>
  <c r="I299" i="23"/>
  <c r="J299" i="23"/>
  <c r="K299" i="23"/>
  <c r="G417" i="23"/>
  <c r="I417" i="23"/>
  <c r="J417" i="23"/>
  <c r="K417" i="23"/>
  <c r="G367" i="23"/>
  <c r="I367" i="23"/>
  <c r="J367" i="23"/>
  <c r="K367" i="23"/>
  <c r="G354" i="23"/>
  <c r="I354" i="23"/>
  <c r="J354" i="23"/>
  <c r="K354" i="23"/>
  <c r="G363" i="23"/>
  <c r="I363" i="23"/>
  <c r="J363" i="23"/>
  <c r="K363" i="23"/>
  <c r="G297" i="23"/>
  <c r="I297" i="23"/>
  <c r="J297" i="23"/>
  <c r="K297" i="23"/>
  <c r="G280" i="23"/>
  <c r="I280" i="23"/>
  <c r="J280" i="23"/>
  <c r="K280" i="23"/>
  <c r="G377" i="23"/>
  <c r="I377" i="23"/>
  <c r="J377" i="23"/>
  <c r="K377" i="23"/>
  <c r="G304" i="23"/>
  <c r="I304" i="23"/>
  <c r="J304" i="23"/>
  <c r="K304" i="23"/>
  <c r="G296" i="23"/>
  <c r="I296" i="23"/>
  <c r="J296" i="23"/>
  <c r="K296" i="23"/>
  <c r="G365" i="23"/>
  <c r="I365" i="23"/>
  <c r="J365" i="23"/>
  <c r="K365" i="23"/>
  <c r="G341" i="23"/>
  <c r="I341" i="23"/>
  <c r="J341" i="23"/>
  <c r="K341" i="23"/>
  <c r="G350" i="23"/>
  <c r="I350" i="23"/>
  <c r="J350" i="23"/>
  <c r="K350" i="23"/>
  <c r="G334" i="23"/>
  <c r="I334" i="23"/>
  <c r="J334" i="23"/>
  <c r="K334" i="23"/>
  <c r="G328" i="23"/>
  <c r="I328" i="23"/>
  <c r="J328" i="23"/>
  <c r="K328" i="23"/>
  <c r="G419" i="23"/>
  <c r="I419" i="23"/>
  <c r="J419" i="23"/>
  <c r="K419" i="23"/>
  <c r="G352" i="23"/>
  <c r="I352" i="23"/>
  <c r="J352" i="23"/>
  <c r="K352" i="23"/>
  <c r="G369" i="23"/>
  <c r="I369" i="23"/>
  <c r="J369" i="23"/>
  <c r="K369" i="23"/>
  <c r="G325" i="23"/>
  <c r="I325" i="23"/>
  <c r="J325" i="23"/>
  <c r="K325" i="23"/>
  <c r="G421" i="23"/>
  <c r="I421" i="23"/>
  <c r="J421" i="23"/>
  <c r="K421" i="23"/>
  <c r="G250" i="23"/>
  <c r="I250" i="23"/>
  <c r="J250" i="23"/>
  <c r="K250" i="23"/>
  <c r="G240" i="23"/>
  <c r="I240" i="23"/>
  <c r="J240" i="23"/>
  <c r="K240" i="23"/>
  <c r="G286" i="23"/>
  <c r="I286" i="23"/>
  <c r="J286" i="23"/>
  <c r="K286" i="23"/>
  <c r="G227" i="23"/>
  <c r="I227" i="23"/>
  <c r="J227" i="23"/>
  <c r="K227" i="23"/>
  <c r="G160" i="23"/>
  <c r="I160" i="23"/>
  <c r="J160" i="23"/>
  <c r="K160" i="23"/>
  <c r="G382" i="23"/>
  <c r="I382" i="23"/>
  <c r="J382" i="23"/>
  <c r="K382" i="23"/>
  <c r="G336" i="23"/>
  <c r="I336" i="23"/>
  <c r="J336" i="23"/>
  <c r="K336" i="23"/>
  <c r="G237" i="23"/>
  <c r="I237" i="23"/>
  <c r="J237" i="23"/>
  <c r="K237" i="23"/>
  <c r="G386" i="23"/>
  <c r="I386" i="23"/>
  <c r="J386" i="23"/>
  <c r="K386" i="23"/>
  <c r="G223" i="23"/>
  <c r="I223" i="23"/>
  <c r="J223" i="23"/>
  <c r="K223" i="23"/>
  <c r="G409" i="23"/>
  <c r="I409" i="23"/>
  <c r="J409" i="23"/>
  <c r="K409" i="23"/>
  <c r="G345" i="23"/>
  <c r="I345" i="23"/>
  <c r="J345" i="23"/>
  <c r="K345" i="23"/>
  <c r="G28" i="23"/>
  <c r="I28" i="23"/>
  <c r="J28" i="23"/>
  <c r="K28" i="23"/>
  <c r="G41" i="23"/>
  <c r="I41" i="23"/>
  <c r="J41" i="23"/>
  <c r="K41" i="23"/>
  <c r="G3" i="23"/>
  <c r="I3" i="23"/>
  <c r="J3" i="23"/>
  <c r="K3" i="23"/>
  <c r="G247" i="23"/>
  <c r="I247" i="23"/>
  <c r="J247" i="23"/>
  <c r="K247" i="23"/>
  <c r="G37" i="23"/>
  <c r="I37" i="23"/>
  <c r="J37" i="23"/>
  <c r="K37" i="23"/>
  <c r="G23" i="23"/>
  <c r="I23" i="23"/>
  <c r="J23" i="23"/>
  <c r="K23" i="23"/>
  <c r="G63" i="23"/>
  <c r="I63" i="23"/>
  <c r="J63" i="23"/>
  <c r="K63" i="23"/>
  <c r="G86" i="23"/>
  <c r="I86" i="23"/>
  <c r="J86" i="23"/>
  <c r="K86" i="23"/>
  <c r="G62" i="23"/>
  <c r="I62" i="23"/>
  <c r="J62" i="23"/>
  <c r="K62" i="23"/>
  <c r="G64" i="23"/>
  <c r="I64" i="23"/>
  <c r="J64" i="23"/>
  <c r="K64" i="23"/>
  <c r="G225" i="23"/>
  <c r="I225" i="23"/>
  <c r="J225" i="23"/>
  <c r="K225" i="23"/>
  <c r="G13" i="23"/>
  <c r="I13" i="23"/>
  <c r="J13" i="23"/>
  <c r="K13" i="23"/>
  <c r="G5" i="23"/>
  <c r="I5" i="23"/>
  <c r="J5" i="23"/>
  <c r="K5" i="23"/>
  <c r="G224" i="23"/>
  <c r="I224" i="23"/>
  <c r="J224" i="23"/>
  <c r="K224" i="23"/>
  <c r="G82" i="23"/>
  <c r="I82" i="23"/>
  <c r="J82" i="23"/>
  <c r="K82" i="23"/>
  <c r="G80" i="23"/>
  <c r="I80" i="23"/>
  <c r="J80" i="23"/>
  <c r="K80" i="23"/>
  <c r="G33" i="23"/>
  <c r="I33" i="23"/>
  <c r="J33" i="23"/>
  <c r="K33" i="23"/>
  <c r="G322" i="23"/>
  <c r="I322" i="23"/>
  <c r="J322" i="23"/>
  <c r="K322" i="23"/>
  <c r="G77" i="23"/>
  <c r="I77" i="23"/>
  <c r="J77" i="23"/>
  <c r="K77" i="23"/>
  <c r="G32" i="23"/>
  <c r="I32" i="23"/>
  <c r="J32" i="23"/>
  <c r="K32" i="23"/>
  <c r="G83" i="23"/>
  <c r="I83" i="23"/>
  <c r="J83" i="23"/>
  <c r="K83" i="23"/>
  <c r="G49" i="23"/>
  <c r="I49" i="23"/>
  <c r="J49" i="23"/>
  <c r="K49" i="23"/>
  <c r="G175" i="23"/>
  <c r="I175" i="23"/>
  <c r="J175" i="23"/>
  <c r="K175" i="23"/>
  <c r="G233" i="23"/>
  <c r="I233" i="23"/>
  <c r="J233" i="23"/>
  <c r="K233" i="23"/>
  <c r="G60" i="23"/>
  <c r="I60" i="23"/>
  <c r="J60" i="23"/>
  <c r="K60" i="23"/>
  <c r="G142" i="23"/>
  <c r="I142" i="23"/>
  <c r="J142" i="23"/>
  <c r="K142" i="23"/>
  <c r="G200" i="23"/>
  <c r="I200" i="23"/>
  <c r="J200" i="23"/>
  <c r="K200" i="23"/>
  <c r="G58" i="23"/>
  <c r="I58" i="23"/>
  <c r="J58" i="23"/>
  <c r="K58" i="23"/>
  <c r="G36" i="23"/>
  <c r="I36" i="23"/>
  <c r="J36" i="23"/>
  <c r="K36" i="23"/>
  <c r="G128" i="23"/>
  <c r="I128" i="23"/>
  <c r="J128" i="23"/>
  <c r="K128" i="23"/>
  <c r="G124" i="23"/>
  <c r="I124" i="23"/>
  <c r="J124" i="23"/>
  <c r="K124" i="23"/>
  <c r="G177" i="23"/>
  <c r="I177" i="23"/>
  <c r="J177" i="23"/>
  <c r="K177" i="23"/>
  <c r="G389" i="23"/>
  <c r="I389" i="23"/>
  <c r="J389" i="23"/>
  <c r="K389" i="23"/>
  <c r="G196" i="23"/>
  <c r="I196" i="23"/>
  <c r="J196" i="23"/>
  <c r="K196" i="23"/>
  <c r="G356" i="23"/>
  <c r="I356" i="23"/>
  <c r="J356" i="23"/>
  <c r="K356" i="23"/>
  <c r="G302" i="23"/>
  <c r="I302" i="23"/>
  <c r="J302" i="23"/>
  <c r="K302" i="23"/>
  <c r="G273" i="23"/>
  <c r="I273" i="23"/>
  <c r="J273" i="23"/>
  <c r="K273" i="23"/>
  <c r="G326" i="23"/>
  <c r="I326" i="23"/>
  <c r="J326" i="23"/>
  <c r="K326" i="23"/>
  <c r="G397" i="23"/>
  <c r="I397" i="23"/>
  <c r="J397" i="23"/>
  <c r="K397" i="23"/>
  <c r="G351" i="23"/>
  <c r="I351" i="23"/>
  <c r="J351" i="23"/>
  <c r="K351" i="23"/>
  <c r="G347" i="23"/>
  <c r="I347" i="23"/>
  <c r="J347" i="23"/>
  <c r="K347" i="23"/>
  <c r="G316" i="23"/>
  <c r="I316" i="23"/>
  <c r="J316" i="23"/>
  <c r="K316" i="23"/>
  <c r="G217" i="23"/>
  <c r="I217" i="23"/>
  <c r="J217" i="23"/>
  <c r="K217" i="23"/>
  <c r="G349" i="23"/>
  <c r="I349" i="23"/>
  <c r="J349" i="23"/>
  <c r="K349" i="23"/>
  <c r="G201" i="23"/>
  <c r="I201" i="23"/>
  <c r="J201" i="23"/>
  <c r="K201" i="23"/>
  <c r="G239" i="23"/>
  <c r="I239" i="23"/>
  <c r="J239" i="23"/>
  <c r="K239" i="23"/>
  <c r="G166" i="23"/>
  <c r="I166" i="23"/>
  <c r="J166" i="23"/>
  <c r="K166" i="23"/>
  <c r="G270" i="23"/>
  <c r="I270" i="23"/>
  <c r="J270" i="23"/>
  <c r="K270" i="23"/>
  <c r="G186" i="23"/>
  <c r="I186" i="23"/>
  <c r="J186" i="23"/>
  <c r="K186" i="23"/>
  <c r="G394" i="23"/>
  <c r="I394" i="23"/>
  <c r="J394" i="23"/>
  <c r="K394" i="23"/>
  <c r="G357" i="23"/>
  <c r="I357" i="23"/>
  <c r="J357" i="23"/>
  <c r="K357" i="23"/>
  <c r="G327" i="23"/>
  <c r="I327" i="23"/>
  <c r="J327" i="23"/>
  <c r="K327" i="23"/>
  <c r="G164" i="23"/>
  <c r="I164" i="23"/>
  <c r="J164" i="23"/>
  <c r="K164" i="23"/>
  <c r="G307" i="23"/>
  <c r="I307" i="23"/>
  <c r="J307" i="23"/>
  <c r="K307" i="23"/>
  <c r="G385" i="23"/>
  <c r="I385" i="23"/>
  <c r="J385" i="23"/>
  <c r="K385" i="23"/>
  <c r="G303" i="23"/>
  <c r="I303" i="23"/>
  <c r="J303" i="23"/>
  <c r="K303" i="23"/>
  <c r="G332" i="23"/>
  <c r="I332" i="23"/>
  <c r="J332" i="23"/>
  <c r="K332" i="23"/>
  <c r="G11" i="23"/>
  <c r="I11" i="23"/>
  <c r="J11" i="23"/>
  <c r="K11" i="23"/>
  <c r="G281" i="23"/>
  <c r="I281" i="23"/>
  <c r="J281" i="23"/>
  <c r="K281" i="23"/>
  <c r="G323" i="23"/>
  <c r="I323" i="23"/>
  <c r="J323" i="23"/>
  <c r="K323" i="23"/>
  <c r="G300" i="23"/>
  <c r="I300" i="23"/>
  <c r="J300" i="23"/>
  <c r="K300" i="23"/>
  <c r="G288" i="23"/>
  <c r="I288" i="23"/>
  <c r="J288" i="23"/>
  <c r="K288" i="23"/>
  <c r="G132" i="23"/>
  <c r="I132" i="23"/>
  <c r="J132" i="23"/>
  <c r="K132" i="23"/>
  <c r="G169" i="23"/>
  <c r="I169" i="23"/>
  <c r="J169" i="23"/>
  <c r="K169" i="23"/>
  <c r="G208" i="23"/>
  <c r="I208" i="23"/>
  <c r="J208" i="23"/>
  <c r="K208" i="23"/>
  <c r="G229" i="23"/>
  <c r="I229" i="23"/>
  <c r="J229" i="23"/>
  <c r="K229" i="23"/>
  <c r="G262" i="23"/>
  <c r="I262" i="23"/>
  <c r="J262" i="23"/>
  <c r="K262" i="23"/>
  <c r="G93" i="23"/>
  <c r="I93" i="23"/>
  <c r="J93" i="23"/>
  <c r="K93" i="23"/>
  <c r="G188" i="23"/>
  <c r="I188" i="23"/>
  <c r="J188" i="23"/>
  <c r="K188" i="23"/>
  <c r="G125" i="23"/>
  <c r="I125" i="23"/>
  <c r="J125" i="23"/>
  <c r="K125" i="23"/>
  <c r="G9" i="23"/>
  <c r="I9" i="23"/>
  <c r="J9" i="23"/>
  <c r="K9" i="23"/>
  <c r="G108" i="23"/>
  <c r="I108" i="23"/>
  <c r="J108" i="23"/>
  <c r="K108" i="23"/>
  <c r="G246" i="23"/>
  <c r="I246" i="23"/>
  <c r="J246" i="23"/>
  <c r="K246" i="23"/>
  <c r="G216" i="23"/>
  <c r="I216" i="23"/>
  <c r="J216" i="23"/>
  <c r="K216" i="23"/>
  <c r="G219" i="23"/>
  <c r="I219" i="23"/>
  <c r="J219" i="23"/>
  <c r="K219" i="23"/>
  <c r="G165" i="23"/>
  <c r="I165" i="23"/>
  <c r="J165" i="23"/>
  <c r="K165" i="23"/>
  <c r="G212" i="23"/>
  <c r="I212" i="23"/>
  <c r="J212" i="23"/>
  <c r="K212" i="23"/>
  <c r="G110" i="23"/>
  <c r="I110" i="23"/>
  <c r="J110" i="23"/>
  <c r="K110" i="23"/>
  <c r="G277" i="23"/>
  <c r="I277" i="23"/>
  <c r="J277" i="23"/>
  <c r="K277" i="23"/>
  <c r="G150" i="23"/>
  <c r="I150" i="23"/>
  <c r="J150" i="23"/>
  <c r="K150" i="23"/>
  <c r="G81" i="23"/>
  <c r="I81" i="23"/>
  <c r="J81" i="23"/>
  <c r="K81" i="23"/>
  <c r="G59" i="23"/>
  <c r="I59" i="23"/>
  <c r="J59" i="23"/>
  <c r="K59" i="23"/>
  <c r="G390" i="23"/>
  <c r="I390" i="23"/>
  <c r="J390" i="23"/>
  <c r="K390" i="23"/>
  <c r="G111" i="23"/>
  <c r="I111" i="23"/>
  <c r="J111" i="23"/>
  <c r="K111" i="23"/>
  <c r="G75" i="23"/>
  <c r="I75" i="23"/>
  <c r="J75" i="23"/>
  <c r="K75" i="23"/>
  <c r="G107" i="23"/>
  <c r="I107" i="23"/>
  <c r="J107" i="23"/>
  <c r="K107" i="23"/>
  <c r="G25" i="23"/>
  <c r="I25" i="23"/>
  <c r="J25" i="23"/>
  <c r="K25" i="23"/>
  <c r="G106" i="23"/>
  <c r="I106" i="23"/>
  <c r="J106" i="23"/>
  <c r="K106" i="23"/>
  <c r="G123" i="23"/>
  <c r="I123" i="23"/>
  <c r="J123" i="23"/>
  <c r="K123" i="23"/>
  <c r="G2" i="23"/>
  <c r="I2" i="23"/>
  <c r="J2" i="23"/>
  <c r="K2" i="23"/>
  <c r="G152" i="23"/>
  <c r="I152" i="23"/>
  <c r="J152" i="23"/>
  <c r="K152" i="23"/>
  <c r="G220" i="23"/>
  <c r="I220" i="23"/>
  <c r="J220" i="23"/>
  <c r="K220" i="23"/>
  <c r="G285" i="23"/>
  <c r="I285" i="23"/>
  <c r="J285" i="23"/>
  <c r="K285" i="23"/>
  <c r="G148" i="23"/>
  <c r="I148" i="23"/>
  <c r="J148" i="23"/>
  <c r="K148" i="23"/>
  <c r="G130" i="23"/>
  <c r="I130" i="23"/>
  <c r="J130" i="23"/>
  <c r="K130" i="23"/>
  <c r="G264" i="23"/>
  <c r="I264" i="23"/>
  <c r="J264" i="23"/>
  <c r="K264" i="23"/>
  <c r="G159" i="23"/>
  <c r="I159" i="23"/>
  <c r="J159" i="23"/>
  <c r="K159" i="23"/>
  <c r="G199" i="23"/>
  <c r="I199" i="23"/>
  <c r="J199" i="23"/>
  <c r="K199" i="23"/>
  <c r="G203" i="23"/>
  <c r="I203" i="23"/>
  <c r="J203" i="23"/>
  <c r="K203" i="23"/>
  <c r="G66" i="23"/>
  <c r="I66" i="23"/>
  <c r="J66" i="23"/>
  <c r="K66" i="23"/>
  <c r="G215" i="23"/>
  <c r="I215" i="23"/>
  <c r="J215" i="23"/>
  <c r="K215" i="23"/>
  <c r="G15" i="23"/>
  <c r="I15" i="23"/>
  <c r="J15" i="23"/>
  <c r="K15" i="23"/>
  <c r="G184" i="23"/>
  <c r="I184" i="23"/>
  <c r="J184" i="23"/>
  <c r="K184" i="23"/>
  <c r="G116" i="23"/>
  <c r="I116" i="23"/>
  <c r="J116" i="23"/>
  <c r="K116" i="23"/>
  <c r="G21" i="23"/>
  <c r="I21" i="23"/>
  <c r="J21" i="23"/>
  <c r="K21" i="23"/>
  <c r="G290" i="23"/>
  <c r="I290" i="23"/>
  <c r="J290" i="23"/>
  <c r="K290" i="23"/>
  <c r="G383" i="23"/>
  <c r="I383" i="23"/>
  <c r="J383" i="23"/>
  <c r="K383" i="23"/>
  <c r="G182" i="23"/>
  <c r="I182" i="23"/>
  <c r="J182" i="23"/>
  <c r="K182" i="23"/>
  <c r="G197" i="23"/>
  <c r="I197" i="23"/>
  <c r="J197" i="23"/>
  <c r="K197" i="23"/>
  <c r="G153" i="23"/>
  <c r="I153" i="23"/>
  <c r="J153" i="23"/>
  <c r="K153" i="23"/>
  <c r="G198" i="23"/>
  <c r="I198" i="23"/>
  <c r="J198" i="23"/>
  <c r="K198" i="23"/>
  <c r="G179" i="23"/>
  <c r="I179" i="23"/>
  <c r="J179" i="23"/>
  <c r="K179" i="23"/>
  <c r="G183" i="23"/>
  <c r="I183" i="23"/>
  <c r="J183" i="23"/>
  <c r="K183" i="23"/>
  <c r="G133" i="23"/>
  <c r="I133" i="23"/>
  <c r="J133" i="23"/>
  <c r="K133" i="23"/>
  <c r="G47" i="23"/>
  <c r="I47" i="23"/>
  <c r="J47" i="23"/>
  <c r="K47" i="23"/>
  <c r="G72" i="23"/>
  <c r="I72" i="23"/>
  <c r="J72" i="23"/>
  <c r="K72" i="23"/>
  <c r="G68" i="23"/>
  <c r="I68" i="23"/>
  <c r="J68" i="23"/>
  <c r="K68" i="23"/>
  <c r="G235" i="23"/>
  <c r="I235" i="23"/>
  <c r="J235" i="23"/>
  <c r="K235" i="23"/>
  <c r="G261" i="23"/>
  <c r="I261" i="23"/>
  <c r="J261" i="23"/>
  <c r="K261" i="23"/>
  <c r="G306" i="23"/>
  <c r="I306" i="23"/>
  <c r="J306" i="23"/>
  <c r="K306" i="23"/>
  <c r="G228" i="23"/>
  <c r="I228" i="23"/>
  <c r="J228" i="23"/>
  <c r="K228" i="23"/>
  <c r="G94" i="23"/>
  <c r="I94" i="23"/>
  <c r="J94" i="23"/>
  <c r="K94" i="23"/>
  <c r="G42" i="23"/>
  <c r="I42" i="23"/>
  <c r="J42" i="23"/>
  <c r="K42" i="23"/>
  <c r="G54" i="23"/>
  <c r="I54" i="23"/>
  <c r="J54" i="23"/>
  <c r="K54" i="23"/>
  <c r="G84" i="23"/>
  <c r="I84" i="23"/>
  <c r="J84" i="23"/>
  <c r="K84" i="23"/>
  <c r="G204" i="23"/>
  <c r="I204" i="23"/>
  <c r="J204" i="23"/>
  <c r="K204" i="23"/>
  <c r="G104" i="23"/>
  <c r="I104" i="23"/>
  <c r="J104" i="23"/>
  <c r="K104" i="23"/>
  <c r="G170" i="23"/>
  <c r="I170" i="23"/>
  <c r="J170" i="23"/>
  <c r="K170" i="23"/>
  <c r="G38" i="23"/>
  <c r="I38" i="23"/>
  <c r="J38" i="23"/>
  <c r="K38" i="23"/>
  <c r="G185" i="23"/>
  <c r="I185" i="23"/>
  <c r="J185" i="23"/>
  <c r="K185" i="23"/>
  <c r="G73" i="23"/>
  <c r="I73" i="23"/>
  <c r="J73" i="23"/>
  <c r="K73" i="23"/>
  <c r="G10" i="23"/>
  <c r="I10" i="23"/>
  <c r="J10" i="23"/>
  <c r="K10" i="23"/>
  <c r="G91" i="23"/>
  <c r="I91" i="23"/>
  <c r="J91" i="23"/>
  <c r="K91" i="23"/>
  <c r="G92" i="23"/>
  <c r="I92" i="23"/>
  <c r="J92" i="23"/>
  <c r="K92" i="23"/>
  <c r="G373" i="23"/>
  <c r="I373" i="23"/>
  <c r="J373" i="23"/>
  <c r="K373" i="23"/>
  <c r="G20" i="23"/>
  <c r="I20" i="23"/>
  <c r="J20" i="23"/>
  <c r="K20" i="23"/>
  <c r="G122" i="23"/>
  <c r="I122" i="23"/>
  <c r="J122" i="23"/>
  <c r="K122" i="23"/>
  <c r="G69" i="23"/>
  <c r="I69" i="23"/>
  <c r="J69" i="23"/>
  <c r="K69" i="23"/>
  <c r="G155" i="23"/>
  <c r="I155" i="23"/>
  <c r="J155" i="23"/>
  <c r="K155" i="23"/>
  <c r="G206" i="23"/>
  <c r="I206" i="23"/>
  <c r="J206" i="23"/>
  <c r="K206" i="23"/>
  <c r="G88" i="23"/>
  <c r="I88" i="23"/>
  <c r="J88" i="23"/>
  <c r="K88" i="23"/>
  <c r="G29" i="23"/>
  <c r="I29" i="23"/>
  <c r="J29" i="23"/>
  <c r="K29" i="23"/>
  <c r="G145" i="23"/>
  <c r="I145" i="23"/>
  <c r="J145" i="23"/>
  <c r="K145" i="23"/>
  <c r="G309" i="23"/>
  <c r="I309" i="23"/>
  <c r="J309" i="23"/>
  <c r="K309" i="23"/>
  <c r="G61" i="23"/>
  <c r="I61" i="23"/>
  <c r="J61" i="23"/>
  <c r="K61" i="23"/>
  <c r="G97" i="23"/>
  <c r="I97" i="23"/>
  <c r="J97" i="23"/>
  <c r="K97" i="23"/>
  <c r="G143" i="23"/>
  <c r="I143" i="23"/>
  <c r="J143" i="23"/>
  <c r="K143" i="23"/>
  <c r="G378" i="23"/>
  <c r="I378" i="23"/>
  <c r="J378" i="23"/>
  <c r="K378" i="23"/>
  <c r="G284" i="23"/>
  <c r="I284" i="23"/>
  <c r="J284" i="23"/>
  <c r="K284" i="23"/>
  <c r="G252" i="23"/>
  <c r="I252" i="23"/>
  <c r="J252" i="23"/>
  <c r="K252" i="23"/>
  <c r="G362" i="23"/>
  <c r="I362" i="23"/>
  <c r="J362" i="23"/>
  <c r="K362" i="23"/>
  <c r="G395" i="23"/>
  <c r="I395" i="23"/>
  <c r="J395" i="23"/>
  <c r="K395" i="23"/>
  <c r="G358" i="23"/>
  <c r="I358" i="23"/>
  <c r="J358" i="23"/>
  <c r="K358" i="23"/>
  <c r="G253" i="23"/>
  <c r="I253" i="23"/>
  <c r="J253" i="23"/>
  <c r="K253" i="23"/>
  <c r="G342" i="23"/>
  <c r="I342" i="23"/>
  <c r="J342" i="23"/>
  <c r="K342" i="23"/>
  <c r="G388" i="23"/>
  <c r="I388" i="23"/>
  <c r="J388" i="23"/>
  <c r="K388" i="23"/>
  <c r="G289" i="23"/>
  <c r="I289" i="23"/>
  <c r="J289" i="23"/>
  <c r="K289" i="23"/>
  <c r="G238" i="23"/>
  <c r="I238" i="23"/>
  <c r="J238" i="23"/>
  <c r="K238" i="23"/>
  <c r="G376" i="23"/>
  <c r="I376" i="23"/>
  <c r="J376" i="23"/>
  <c r="K376" i="23"/>
  <c r="G406" i="23"/>
  <c r="I406" i="23"/>
  <c r="J406" i="23"/>
  <c r="K406" i="23"/>
  <c r="G401" i="23"/>
  <c r="I401" i="23"/>
  <c r="J401" i="23"/>
  <c r="K401" i="23"/>
  <c r="G256" i="23"/>
  <c r="I256" i="23"/>
  <c r="J256" i="23"/>
  <c r="K256" i="23"/>
  <c r="G381" i="23"/>
  <c r="I381" i="23"/>
  <c r="J381" i="23"/>
  <c r="K381" i="23"/>
  <c r="G313" i="23"/>
  <c r="I313" i="23"/>
  <c r="J313" i="23"/>
  <c r="K313" i="23"/>
  <c r="G408" i="23"/>
  <c r="I408" i="23"/>
  <c r="J408" i="23"/>
  <c r="K408" i="23"/>
  <c r="G320" i="23"/>
  <c r="I320" i="23"/>
  <c r="J320" i="23"/>
  <c r="K320" i="23"/>
  <c r="G156" i="23"/>
  <c r="I156" i="23"/>
  <c r="J156" i="23"/>
  <c r="K156" i="23"/>
  <c r="G420" i="23"/>
  <c r="I420" i="23"/>
  <c r="J420" i="23"/>
  <c r="K420" i="23"/>
  <c r="G330" i="23"/>
  <c r="I330" i="23"/>
  <c r="J330" i="23"/>
  <c r="K330" i="23"/>
  <c r="G338" i="23"/>
  <c r="I338" i="23"/>
  <c r="J338" i="23"/>
  <c r="K338" i="23"/>
  <c r="G259" i="23"/>
  <c r="I259" i="23"/>
  <c r="J259" i="23"/>
  <c r="K259" i="23"/>
  <c r="G359" i="23"/>
  <c r="I359" i="23"/>
  <c r="J359" i="23"/>
  <c r="K359" i="23"/>
  <c r="G372" i="23"/>
  <c r="I372" i="23"/>
  <c r="J372" i="23"/>
  <c r="K372" i="23"/>
  <c r="G414" i="23"/>
  <c r="I414" i="23"/>
  <c r="J414" i="23"/>
  <c r="K414" i="23"/>
  <c r="G244" i="23"/>
  <c r="I244" i="23"/>
  <c r="J244" i="23"/>
  <c r="K244" i="23"/>
  <c r="G291" i="23"/>
  <c r="I291" i="23"/>
  <c r="J291" i="23"/>
  <c r="K291" i="23"/>
  <c r="G374" i="23"/>
  <c r="I374" i="23"/>
  <c r="J374" i="23"/>
  <c r="K374" i="23"/>
  <c r="G248" i="23"/>
  <c r="I248" i="23"/>
  <c r="J248" i="23"/>
  <c r="K248" i="23"/>
  <c r="G366" i="23"/>
  <c r="I366" i="23"/>
  <c r="J366" i="23"/>
  <c r="K366" i="23"/>
  <c r="G407" i="23"/>
  <c r="I407" i="23"/>
  <c r="J407" i="23"/>
  <c r="K407" i="23"/>
  <c r="G268" i="23"/>
  <c r="I268" i="23"/>
  <c r="J268" i="23"/>
  <c r="K268" i="23"/>
  <c r="G312" i="23"/>
  <c r="I312" i="23"/>
  <c r="J312" i="23"/>
  <c r="K312" i="23"/>
  <c r="G321" i="23"/>
  <c r="I321" i="23"/>
  <c r="J321" i="23"/>
  <c r="K321" i="23"/>
  <c r="G335" i="23"/>
  <c r="I335" i="23"/>
  <c r="J335" i="23"/>
  <c r="K335" i="23"/>
  <c r="G355" i="23"/>
  <c r="I355" i="23"/>
  <c r="J355" i="23"/>
  <c r="K355" i="23"/>
  <c r="G375" i="23"/>
  <c r="I375" i="23"/>
  <c r="J375" i="23"/>
  <c r="K375" i="23"/>
  <c r="G298" i="23"/>
  <c r="I298" i="23"/>
  <c r="J298" i="23"/>
  <c r="K298" i="23"/>
  <c r="G384" i="23"/>
  <c r="I384" i="23"/>
  <c r="J384" i="23"/>
  <c r="K384" i="23"/>
  <c r="G202" i="23"/>
  <c r="I202" i="23"/>
  <c r="J202" i="23"/>
  <c r="K202" i="23"/>
  <c r="G399" i="23"/>
  <c r="I399" i="23"/>
  <c r="J399" i="23"/>
  <c r="K399" i="23"/>
  <c r="G266" i="23"/>
  <c r="I266" i="23"/>
  <c r="J266" i="23"/>
  <c r="K266" i="23"/>
  <c r="G318" i="23"/>
  <c r="I318" i="23"/>
  <c r="J318" i="23"/>
  <c r="K318" i="23"/>
  <c r="G380" i="23"/>
  <c r="I380" i="23"/>
  <c r="J380" i="23"/>
  <c r="K380" i="23"/>
  <c r="G258" i="23"/>
  <c r="I258" i="23"/>
  <c r="J258" i="23"/>
  <c r="K258" i="23"/>
  <c r="G413" i="23"/>
  <c r="I413" i="23"/>
  <c r="J413" i="23"/>
  <c r="K413" i="23"/>
  <c r="G222" i="23"/>
  <c r="I222" i="23"/>
  <c r="J222" i="23"/>
  <c r="K222" i="23"/>
  <c r="G308" i="23"/>
  <c r="I308" i="23"/>
  <c r="J308" i="23"/>
  <c r="K308" i="23"/>
  <c r="G398" i="23"/>
  <c r="I398" i="23"/>
  <c r="J398" i="23"/>
  <c r="K398" i="23"/>
  <c r="G343" i="23"/>
  <c r="I343" i="23"/>
  <c r="J343" i="23"/>
  <c r="K343" i="23"/>
  <c r="G257" i="23"/>
  <c r="I257" i="23"/>
  <c r="J257" i="23"/>
  <c r="K257" i="23"/>
  <c r="G337" i="23"/>
  <c r="I337" i="23"/>
  <c r="J337" i="23"/>
  <c r="K337" i="23"/>
  <c r="G218" i="23"/>
  <c r="I218" i="23"/>
  <c r="J218" i="23"/>
  <c r="K218" i="23"/>
  <c r="G295" i="23"/>
  <c r="I295" i="23"/>
  <c r="J295" i="23"/>
  <c r="K295" i="23"/>
  <c r="G404" i="23"/>
  <c r="I404" i="23"/>
  <c r="J404" i="23"/>
  <c r="K404" i="23"/>
  <c r="G245" i="23"/>
  <c r="I245" i="23"/>
  <c r="J245" i="23"/>
  <c r="K245" i="23"/>
  <c r="G361" i="23"/>
  <c r="I361" i="23"/>
  <c r="J361" i="23"/>
  <c r="K361" i="23"/>
  <c r="G231" i="23"/>
  <c r="I231" i="23"/>
  <c r="J231" i="23"/>
  <c r="K231" i="23"/>
  <c r="G319" i="23"/>
  <c r="I319" i="23"/>
  <c r="J319" i="23"/>
  <c r="K319" i="23"/>
  <c r="G403" i="23"/>
  <c r="I403" i="23"/>
  <c r="J403" i="23"/>
  <c r="K403" i="23"/>
  <c r="G396" i="23"/>
  <c r="I396" i="23"/>
  <c r="J396" i="23"/>
  <c r="K396" i="23"/>
  <c r="G27" i="23"/>
  <c r="I27" i="23"/>
  <c r="J27" i="23"/>
  <c r="K27" i="23"/>
  <c r="G70" i="23"/>
  <c r="I70" i="23"/>
  <c r="J70" i="23"/>
  <c r="K70" i="23"/>
  <c r="G294" i="23"/>
  <c r="I294" i="23"/>
  <c r="J294" i="23"/>
  <c r="K294" i="23"/>
  <c r="G46" i="23"/>
  <c r="I46" i="23"/>
  <c r="J46" i="23"/>
  <c r="K46" i="23"/>
  <c r="G346" i="23"/>
  <c r="I346" i="23"/>
  <c r="J346" i="23"/>
  <c r="K346" i="23"/>
  <c r="G17" i="23"/>
  <c r="I17" i="23"/>
  <c r="J17" i="23"/>
  <c r="K17" i="23"/>
  <c r="G71" i="23"/>
  <c r="I71" i="23"/>
  <c r="J71" i="23"/>
  <c r="K71" i="23"/>
  <c r="G242" i="23"/>
  <c r="I242" i="23"/>
  <c r="J242" i="23"/>
  <c r="K242" i="23"/>
  <c r="G102" i="23"/>
  <c r="I102" i="23"/>
  <c r="J102" i="23"/>
  <c r="K102" i="23"/>
  <c r="G236" i="23"/>
  <c r="I236" i="23"/>
  <c r="J236" i="23"/>
  <c r="K236" i="23"/>
  <c r="G109" i="23"/>
  <c r="I109" i="23"/>
  <c r="J109" i="23"/>
  <c r="K109" i="23"/>
  <c r="G67" i="23"/>
  <c r="I67" i="23"/>
  <c r="J67" i="23"/>
  <c r="K67" i="23"/>
  <c r="G391" i="23"/>
  <c r="I391" i="23"/>
  <c r="J391" i="23"/>
  <c r="K391" i="23"/>
  <c r="G287" i="23"/>
  <c r="I287" i="23"/>
  <c r="J287" i="23"/>
  <c r="K287" i="23"/>
  <c r="G315" i="23"/>
  <c r="I315" i="23"/>
  <c r="J315" i="23"/>
  <c r="K315" i="23"/>
  <c r="G89" i="23"/>
  <c r="I89" i="23"/>
  <c r="J89" i="23"/>
  <c r="K89" i="23"/>
  <c r="G96" i="23"/>
  <c r="I96" i="23"/>
  <c r="J96" i="23"/>
  <c r="K96" i="23"/>
  <c r="G412" i="23"/>
  <c r="I412" i="23"/>
  <c r="J412" i="23"/>
  <c r="K412" i="23"/>
  <c r="G360" i="23"/>
  <c r="I360" i="23"/>
  <c r="J360" i="23"/>
  <c r="K360" i="23"/>
  <c r="G324" i="23"/>
  <c r="I324" i="23"/>
  <c r="J324" i="23"/>
  <c r="K324" i="23"/>
  <c r="G149" i="23"/>
  <c r="I149" i="23"/>
  <c r="J149" i="23"/>
  <c r="K149" i="23"/>
  <c r="G353" i="23"/>
  <c r="I353" i="23"/>
  <c r="J353" i="23"/>
  <c r="K353" i="23"/>
  <c r="G415" i="23"/>
  <c r="I415" i="23"/>
  <c r="J415" i="23"/>
  <c r="K415" i="23"/>
  <c r="G24" i="23"/>
  <c r="I24" i="23"/>
  <c r="J24" i="23"/>
  <c r="K24" i="23"/>
  <c r="G157" i="23"/>
  <c r="I157" i="23"/>
  <c r="J157" i="23"/>
  <c r="K157" i="23"/>
  <c r="G190" i="23"/>
  <c r="I190" i="23"/>
  <c r="J190" i="23"/>
  <c r="K190" i="23"/>
  <c r="G34" i="23"/>
  <c r="I34" i="23"/>
  <c r="J34" i="23"/>
  <c r="K34" i="23"/>
  <c r="G39" i="23"/>
  <c r="I39" i="23"/>
  <c r="J39" i="23"/>
  <c r="K39" i="23"/>
  <c r="G135" i="23"/>
  <c r="I135" i="23"/>
  <c r="J135" i="23"/>
  <c r="K135" i="23"/>
  <c r="G48" i="23"/>
  <c r="I48" i="23"/>
  <c r="J48" i="23"/>
  <c r="K48" i="23"/>
  <c r="G56" i="23"/>
  <c r="I56" i="23"/>
  <c r="J56" i="23"/>
  <c r="K56" i="23"/>
  <c r="G19" i="23"/>
  <c r="I19" i="23"/>
  <c r="J19" i="23"/>
  <c r="K19" i="23"/>
  <c r="G174" i="23"/>
  <c r="I174" i="23"/>
  <c r="J174" i="23"/>
  <c r="K174" i="23"/>
  <c r="G272" i="23"/>
  <c r="I272" i="23"/>
  <c r="J272" i="23"/>
  <c r="K272" i="23"/>
  <c r="G127" i="23"/>
  <c r="I127" i="23"/>
  <c r="J127" i="23"/>
  <c r="K127" i="23"/>
  <c r="G405" i="23"/>
  <c r="I405" i="23"/>
  <c r="J405" i="23"/>
  <c r="K405" i="23"/>
  <c r="G44" i="23"/>
  <c r="I44" i="23"/>
  <c r="J44" i="23"/>
  <c r="K44" i="23"/>
  <c r="G87" i="23"/>
  <c r="I87" i="23"/>
  <c r="J87" i="23"/>
  <c r="K87" i="23"/>
  <c r="G271" i="23"/>
  <c r="I271" i="23"/>
  <c r="J271" i="23"/>
  <c r="K271" i="23"/>
  <c r="G269" i="23"/>
  <c r="I269" i="23"/>
  <c r="J269" i="23"/>
  <c r="K269" i="23"/>
  <c r="G267" i="23"/>
  <c r="I267" i="23"/>
  <c r="J267" i="23"/>
  <c r="K267" i="23"/>
  <c r="G314" i="23"/>
  <c r="I314" i="23"/>
  <c r="J314" i="23"/>
  <c r="K314" i="23"/>
  <c r="G301" i="23"/>
  <c r="I301" i="23"/>
  <c r="J301" i="23"/>
  <c r="K301" i="23"/>
  <c r="G213" i="23"/>
  <c r="I213" i="23"/>
  <c r="J213" i="23"/>
  <c r="K213" i="23"/>
  <c r="G232" i="23"/>
  <c r="I232" i="23"/>
  <c r="J232" i="23"/>
  <c r="K232" i="23"/>
  <c r="G410" i="23"/>
  <c r="I410" i="23"/>
  <c r="J410" i="23"/>
  <c r="K410" i="23"/>
  <c r="G138" i="23"/>
  <c r="I138" i="23"/>
  <c r="J138" i="23"/>
  <c r="K138" i="23"/>
  <c r="G113" i="23"/>
  <c r="I113" i="23"/>
  <c r="J113" i="23"/>
  <c r="K113" i="23"/>
  <c r="G210" i="23"/>
  <c r="I210" i="23"/>
  <c r="J210" i="23"/>
  <c r="K210" i="23"/>
  <c r="G276" i="23"/>
  <c r="I276" i="23"/>
  <c r="J276" i="23"/>
  <c r="K276" i="23"/>
  <c r="G333" i="23"/>
  <c r="I333" i="23"/>
  <c r="J333" i="23"/>
  <c r="K333" i="23"/>
  <c r="G154" i="23"/>
  <c r="I154" i="23"/>
  <c r="J154" i="23"/>
  <c r="K154" i="23"/>
  <c r="G274" i="23"/>
  <c r="I274" i="23"/>
  <c r="J274" i="23"/>
  <c r="K274" i="23"/>
  <c r="G171" i="23"/>
  <c r="I171" i="23"/>
  <c r="J171" i="23"/>
  <c r="K171" i="23"/>
  <c r="G275" i="23"/>
  <c r="I275" i="23"/>
  <c r="J275" i="23"/>
  <c r="K275" i="23"/>
  <c r="G194" i="23"/>
  <c r="I194" i="23"/>
  <c r="J194" i="23"/>
  <c r="K194" i="23"/>
  <c r="G340" i="23"/>
  <c r="I340" i="23"/>
  <c r="J340" i="23"/>
  <c r="K340" i="23"/>
  <c r="G176" i="23"/>
  <c r="I176" i="23"/>
  <c r="J176" i="23"/>
  <c r="K176" i="23"/>
  <c r="G99" i="23"/>
  <c r="I99" i="23"/>
  <c r="J99" i="23"/>
  <c r="K99" i="23"/>
  <c r="G379" i="23"/>
  <c r="I379" i="23"/>
  <c r="J379" i="23"/>
  <c r="K379" i="23"/>
  <c r="G65" i="23"/>
  <c r="I65" i="23"/>
  <c r="J65" i="23"/>
  <c r="K65" i="23"/>
  <c r="F29" i="37"/>
  <c r="G515" i="37"/>
  <c r="C515" i="37"/>
  <c r="B515" i="37"/>
  <c r="G514" i="37"/>
  <c r="C514" i="37"/>
  <c r="B514" i="37"/>
  <c r="G513" i="37"/>
  <c r="C513" i="37"/>
  <c r="B513" i="37"/>
  <c r="G512" i="37"/>
  <c r="B512" i="37"/>
  <c r="G511" i="37"/>
  <c r="C511" i="37"/>
  <c r="B511" i="37"/>
  <c r="G510" i="37"/>
  <c r="C510" i="37"/>
  <c r="B510" i="37"/>
  <c r="G509" i="37"/>
  <c r="C509" i="37"/>
  <c r="B509" i="37"/>
  <c r="G508" i="37"/>
  <c r="B508" i="37"/>
  <c r="G507" i="37"/>
  <c r="C507" i="37"/>
  <c r="B507" i="37"/>
  <c r="G506" i="37"/>
  <c r="C506" i="37"/>
  <c r="B506" i="37"/>
  <c r="G505" i="37"/>
  <c r="C505" i="37"/>
  <c r="B505" i="37"/>
  <c r="G504" i="37"/>
  <c r="B504" i="37"/>
  <c r="G503" i="37"/>
  <c r="C503" i="37"/>
  <c r="B503" i="37"/>
  <c r="G502" i="37"/>
  <c r="C502" i="37"/>
  <c r="B502" i="37"/>
  <c r="G501" i="37"/>
  <c r="C501" i="37"/>
  <c r="B501" i="37"/>
  <c r="G500" i="37"/>
  <c r="B500" i="37"/>
  <c r="G499" i="37"/>
  <c r="C499" i="37"/>
  <c r="B499" i="37"/>
  <c r="G498" i="37"/>
  <c r="C498" i="37"/>
  <c r="B498" i="37"/>
  <c r="G497" i="37"/>
  <c r="C497" i="37"/>
  <c r="B497" i="37"/>
  <c r="G496" i="37"/>
  <c r="B496" i="37"/>
  <c r="G495" i="37"/>
  <c r="C495" i="37"/>
  <c r="B495" i="37"/>
  <c r="G494" i="37"/>
  <c r="C494" i="37"/>
  <c r="B494" i="37"/>
  <c r="G493" i="37"/>
  <c r="C493" i="37"/>
  <c r="B493" i="37"/>
  <c r="G492" i="37"/>
  <c r="B492" i="37"/>
  <c r="G491" i="37"/>
  <c r="C491" i="37"/>
  <c r="B491" i="37"/>
  <c r="G490" i="37"/>
  <c r="C490" i="37"/>
  <c r="B490" i="37"/>
  <c r="G489" i="37"/>
  <c r="C489" i="37"/>
  <c r="B489" i="37"/>
  <c r="G488" i="37"/>
  <c r="B488" i="37"/>
  <c r="G487" i="37"/>
  <c r="C487" i="37"/>
  <c r="B487" i="37"/>
  <c r="G486" i="37"/>
  <c r="C486" i="37"/>
  <c r="B486" i="37"/>
  <c r="G485" i="37"/>
  <c r="C485" i="37"/>
  <c r="B485" i="37"/>
  <c r="G484" i="37"/>
  <c r="B484" i="37"/>
  <c r="G483" i="37"/>
  <c r="C483" i="37"/>
  <c r="B483" i="37"/>
  <c r="G482" i="37"/>
  <c r="C482" i="37"/>
  <c r="B482" i="37"/>
  <c r="G481" i="37"/>
  <c r="C481" i="37"/>
  <c r="B481" i="37"/>
  <c r="G480" i="37"/>
  <c r="B480" i="37"/>
  <c r="G479" i="37"/>
  <c r="C479" i="37"/>
  <c r="B479" i="37"/>
  <c r="G478" i="37"/>
  <c r="C478" i="37"/>
  <c r="B478" i="37"/>
  <c r="G477" i="37"/>
  <c r="C477" i="37"/>
  <c r="B477" i="37"/>
  <c r="G476" i="37"/>
  <c r="B476" i="37"/>
  <c r="G475" i="37"/>
  <c r="C475" i="37"/>
  <c r="B475" i="37"/>
  <c r="G474" i="37"/>
  <c r="C474" i="37"/>
  <c r="B474" i="37"/>
  <c r="G473" i="37"/>
  <c r="C473" i="37"/>
  <c r="B473" i="37"/>
  <c r="G472" i="37"/>
  <c r="B472" i="37"/>
  <c r="G471" i="37"/>
  <c r="C471" i="37"/>
  <c r="B471" i="37"/>
  <c r="G470" i="37"/>
  <c r="C470" i="37"/>
  <c r="B470" i="37"/>
  <c r="G469" i="37"/>
  <c r="C469" i="37"/>
  <c r="B469" i="37"/>
  <c r="G468" i="37"/>
  <c r="B468" i="37"/>
  <c r="G467" i="37"/>
  <c r="C467" i="37"/>
  <c r="B467" i="37"/>
  <c r="G466" i="37"/>
  <c r="C466" i="37"/>
  <c r="B466" i="37"/>
  <c r="G465" i="37"/>
  <c r="C465" i="37"/>
  <c r="B465" i="37"/>
  <c r="G464" i="37"/>
  <c r="B464" i="37"/>
  <c r="G463" i="37"/>
  <c r="C463" i="37"/>
  <c r="B463" i="37"/>
  <c r="G462" i="37"/>
  <c r="C462" i="37"/>
  <c r="B462" i="37"/>
  <c r="G461" i="37"/>
  <c r="C461" i="37"/>
  <c r="B461" i="37"/>
  <c r="G460" i="37"/>
  <c r="B460" i="37"/>
  <c r="G459" i="37"/>
  <c r="C459" i="37"/>
  <c r="B459" i="37"/>
  <c r="G458" i="37"/>
  <c r="C458" i="37"/>
  <c r="B458" i="37"/>
  <c r="G457" i="37"/>
  <c r="C457" i="37"/>
  <c r="B457" i="37"/>
  <c r="G456" i="37"/>
  <c r="B456" i="37"/>
  <c r="G455" i="37"/>
  <c r="C455" i="37"/>
  <c r="B455" i="37"/>
  <c r="G454" i="37"/>
  <c r="C454" i="37"/>
  <c r="B454" i="37"/>
  <c r="G453" i="37"/>
  <c r="C453" i="37"/>
  <c r="B453" i="37"/>
  <c r="G452" i="37"/>
  <c r="B452" i="37"/>
  <c r="G451" i="37"/>
  <c r="C451" i="37"/>
  <c r="B451" i="37"/>
  <c r="G450" i="37"/>
  <c r="C450" i="37"/>
  <c r="B450" i="37"/>
  <c r="G449" i="37"/>
  <c r="C449" i="37"/>
  <c r="B449" i="37"/>
  <c r="G448" i="37"/>
  <c r="B448" i="37"/>
  <c r="G447" i="37"/>
  <c r="C447" i="37"/>
  <c r="B447" i="37"/>
  <c r="G446" i="37"/>
  <c r="C446" i="37"/>
  <c r="B446" i="37"/>
  <c r="G445" i="37"/>
  <c r="C445" i="37"/>
  <c r="B445" i="37"/>
  <c r="G444" i="37"/>
  <c r="B444" i="37"/>
  <c r="G443" i="37"/>
  <c r="C443" i="37"/>
  <c r="B443" i="37"/>
  <c r="G442" i="37"/>
  <c r="C442" i="37"/>
  <c r="B442" i="37"/>
  <c r="G441" i="37"/>
  <c r="C441" i="37"/>
  <c r="B441" i="37"/>
  <c r="G440" i="37"/>
  <c r="B440" i="37"/>
  <c r="G439" i="37"/>
  <c r="C439" i="37"/>
  <c r="B439" i="37"/>
  <c r="G438" i="37"/>
  <c r="C438" i="37"/>
  <c r="B438" i="37"/>
  <c r="G437" i="37"/>
  <c r="C437" i="37"/>
  <c r="B437" i="37"/>
  <c r="G436" i="37"/>
  <c r="B436" i="37"/>
  <c r="G435" i="37"/>
  <c r="C435" i="37"/>
  <c r="B435" i="37"/>
  <c r="G434" i="37"/>
  <c r="C434" i="37"/>
  <c r="B434" i="37"/>
  <c r="G433" i="37"/>
  <c r="C433" i="37"/>
  <c r="B433" i="37"/>
  <c r="G432" i="37"/>
  <c r="B432" i="37"/>
  <c r="G431" i="37"/>
  <c r="C431" i="37"/>
  <c r="B431" i="37"/>
  <c r="G430" i="37"/>
  <c r="C430" i="37"/>
  <c r="B430" i="37"/>
  <c r="G429" i="37"/>
  <c r="C429" i="37"/>
  <c r="B429" i="37"/>
  <c r="G428" i="37"/>
  <c r="B428" i="37"/>
  <c r="G427" i="37"/>
  <c r="C427" i="37"/>
  <c r="B427" i="37"/>
  <c r="G426" i="37"/>
  <c r="C426" i="37"/>
  <c r="B426" i="37"/>
  <c r="G425" i="37"/>
  <c r="C425" i="37"/>
  <c r="B425" i="37"/>
  <c r="G424" i="37"/>
  <c r="B424" i="37"/>
  <c r="G423" i="37"/>
  <c r="C423" i="37"/>
  <c r="B423" i="37"/>
  <c r="G422" i="37"/>
  <c r="C422" i="37"/>
  <c r="B422" i="37"/>
  <c r="G421" i="37"/>
  <c r="C421" i="37"/>
  <c r="B421" i="37"/>
  <c r="G420" i="37"/>
  <c r="B420" i="37"/>
  <c r="G419" i="37"/>
  <c r="C419" i="37"/>
  <c r="B419" i="37"/>
  <c r="G418" i="37"/>
  <c r="C418" i="37"/>
  <c r="B418" i="37"/>
  <c r="G417" i="37"/>
  <c r="C417" i="37"/>
  <c r="B417" i="37"/>
  <c r="G416" i="37"/>
  <c r="B416" i="37"/>
  <c r="G415" i="37"/>
  <c r="C415" i="37"/>
  <c r="B415" i="37"/>
  <c r="G414" i="37"/>
  <c r="C414" i="37"/>
  <c r="B414" i="37"/>
  <c r="G413" i="37"/>
  <c r="C413" i="37"/>
  <c r="B413" i="37"/>
  <c r="G412" i="37"/>
  <c r="B412" i="37"/>
  <c r="G411" i="37"/>
  <c r="C411" i="37"/>
  <c r="B411" i="37"/>
  <c r="G410" i="37"/>
  <c r="C410" i="37"/>
  <c r="B410" i="37"/>
  <c r="G409" i="37"/>
  <c r="C409" i="37"/>
  <c r="B409" i="37"/>
  <c r="G408" i="37"/>
  <c r="B408" i="37"/>
  <c r="G407" i="37"/>
  <c r="C407" i="37"/>
  <c r="B407" i="37"/>
  <c r="G406" i="37"/>
  <c r="C406" i="37"/>
  <c r="B406" i="37"/>
  <c r="G405" i="37"/>
  <c r="C405" i="37"/>
  <c r="B405" i="37"/>
  <c r="G404" i="37"/>
  <c r="B404" i="37"/>
  <c r="G403" i="37"/>
  <c r="C403" i="37"/>
  <c r="B403" i="37"/>
  <c r="G402" i="37"/>
  <c r="C402" i="37"/>
  <c r="B402" i="37"/>
  <c r="G401" i="37"/>
  <c r="C401" i="37"/>
  <c r="B401" i="37"/>
  <c r="G400" i="37"/>
  <c r="B400" i="37"/>
  <c r="G399" i="37"/>
  <c r="C399" i="37"/>
  <c r="B399" i="37"/>
  <c r="G398" i="37"/>
  <c r="C398" i="37"/>
  <c r="B398" i="37"/>
  <c r="G397" i="37"/>
  <c r="C397" i="37"/>
  <c r="B397" i="37"/>
  <c r="G396" i="37"/>
  <c r="B396" i="37"/>
  <c r="G395" i="37"/>
  <c r="C395" i="37"/>
  <c r="B395" i="37"/>
  <c r="G394" i="37"/>
  <c r="C394" i="37"/>
  <c r="B394" i="37"/>
  <c r="G393" i="37"/>
  <c r="C393" i="37"/>
  <c r="B393" i="37"/>
  <c r="G392" i="37"/>
  <c r="B392" i="37"/>
  <c r="G391" i="37"/>
  <c r="C391" i="37"/>
  <c r="B391" i="37"/>
  <c r="G390" i="37"/>
  <c r="C390" i="37"/>
  <c r="B390" i="37"/>
  <c r="G389" i="37"/>
  <c r="C389" i="37"/>
  <c r="B389" i="37"/>
  <c r="G388" i="37"/>
  <c r="B388" i="37"/>
  <c r="G387" i="37"/>
  <c r="C387" i="37"/>
  <c r="B387" i="37"/>
  <c r="G386" i="37"/>
  <c r="C386" i="37"/>
  <c r="B386" i="37"/>
  <c r="G385" i="37"/>
  <c r="C385" i="37"/>
  <c r="B385" i="37"/>
  <c r="G384" i="37"/>
  <c r="B384" i="37"/>
  <c r="G383" i="37"/>
  <c r="C383" i="37"/>
  <c r="B383" i="37"/>
  <c r="G382" i="37"/>
  <c r="C382" i="37"/>
  <c r="B382" i="37"/>
  <c r="G381" i="37"/>
  <c r="C381" i="37"/>
  <c r="B381" i="37"/>
  <c r="G380" i="37"/>
  <c r="B380" i="37"/>
  <c r="G379" i="37"/>
  <c r="C379" i="37"/>
  <c r="B379" i="37"/>
  <c r="G378" i="37"/>
  <c r="C378" i="37"/>
  <c r="B378" i="37"/>
  <c r="G377" i="37"/>
  <c r="C377" i="37"/>
  <c r="B377" i="37"/>
  <c r="G376" i="37"/>
  <c r="B376" i="37"/>
  <c r="G375" i="37"/>
  <c r="C375" i="37"/>
  <c r="B375" i="37"/>
  <c r="G374" i="37"/>
  <c r="C374" i="37"/>
  <c r="B374" i="37"/>
  <c r="G373" i="37"/>
  <c r="C373" i="37"/>
  <c r="B373" i="37"/>
  <c r="G372" i="37"/>
  <c r="B372" i="37"/>
  <c r="G371" i="37"/>
  <c r="C371" i="37"/>
  <c r="B371" i="37"/>
  <c r="G370" i="37"/>
  <c r="C370" i="37"/>
  <c r="B370" i="37"/>
  <c r="G369" i="37"/>
  <c r="C369" i="37"/>
  <c r="B369" i="37"/>
  <c r="G368" i="37"/>
  <c r="B368" i="37"/>
  <c r="G367" i="37"/>
  <c r="C367" i="37"/>
  <c r="B367" i="37"/>
  <c r="G366" i="37"/>
  <c r="C366" i="37"/>
  <c r="B366" i="37"/>
  <c r="G365" i="37"/>
  <c r="C365" i="37"/>
  <c r="B365" i="37"/>
  <c r="G364" i="37"/>
  <c r="B364" i="37"/>
  <c r="G363" i="37"/>
  <c r="C363" i="37"/>
  <c r="B363" i="37"/>
  <c r="G362" i="37"/>
  <c r="C362" i="37"/>
  <c r="B362" i="37"/>
  <c r="G361" i="37"/>
  <c r="C361" i="37"/>
  <c r="B361" i="37"/>
  <c r="G360" i="37"/>
  <c r="B360" i="37"/>
  <c r="G359" i="37"/>
  <c r="C359" i="37"/>
  <c r="B359" i="37"/>
  <c r="G358" i="37"/>
  <c r="C358" i="37"/>
  <c r="B358" i="37"/>
  <c r="G357" i="37"/>
  <c r="C357" i="37"/>
  <c r="B357" i="37"/>
  <c r="G356" i="37"/>
  <c r="B356" i="37"/>
  <c r="G355" i="37"/>
  <c r="C355" i="37"/>
  <c r="B355" i="37"/>
  <c r="G354" i="37"/>
  <c r="C354" i="37"/>
  <c r="B354" i="37"/>
  <c r="G353" i="37"/>
  <c r="C353" i="37"/>
  <c r="B353" i="37"/>
  <c r="G352" i="37"/>
  <c r="B352" i="37"/>
  <c r="G351" i="37"/>
  <c r="C351" i="37"/>
  <c r="B351" i="37"/>
  <c r="G350" i="37"/>
  <c r="C350" i="37"/>
  <c r="B350" i="37"/>
  <c r="G349" i="37"/>
  <c r="C349" i="37"/>
  <c r="B349" i="37"/>
  <c r="G348" i="37"/>
  <c r="B348" i="37"/>
  <c r="G347" i="37"/>
  <c r="C347" i="37"/>
  <c r="B347" i="37"/>
  <c r="G346" i="37"/>
  <c r="C346" i="37"/>
  <c r="B346" i="37"/>
  <c r="G345" i="37"/>
  <c r="C345" i="37"/>
  <c r="B345" i="37"/>
  <c r="G344" i="37"/>
  <c r="B344" i="37"/>
  <c r="G343" i="37"/>
  <c r="C343" i="37"/>
  <c r="B343" i="37"/>
  <c r="G342" i="37"/>
  <c r="C342" i="37"/>
  <c r="B342" i="37"/>
  <c r="G341" i="37"/>
  <c r="C341" i="37"/>
  <c r="B341" i="37"/>
  <c r="G340" i="37"/>
  <c r="B340" i="37"/>
  <c r="G339" i="37"/>
  <c r="C339" i="37"/>
  <c r="B339" i="37"/>
  <c r="G338" i="37"/>
  <c r="C338" i="37"/>
  <c r="B338" i="37"/>
  <c r="G337" i="37"/>
  <c r="C337" i="37"/>
  <c r="B337" i="37"/>
  <c r="G336" i="37"/>
  <c r="B336" i="37"/>
  <c r="G335" i="37"/>
  <c r="C335" i="37"/>
  <c r="B335" i="37"/>
  <c r="G334" i="37"/>
  <c r="C334" i="37"/>
  <c r="B334" i="37"/>
  <c r="G333" i="37"/>
  <c r="C333" i="37"/>
  <c r="B333" i="37"/>
  <c r="G332" i="37"/>
  <c r="B332" i="37"/>
  <c r="G331" i="37"/>
  <c r="C331" i="37"/>
  <c r="B331" i="37"/>
  <c r="G330" i="37"/>
  <c r="C330" i="37"/>
  <c r="B330" i="37"/>
  <c r="G329" i="37"/>
  <c r="C329" i="37"/>
  <c r="B329" i="37"/>
  <c r="G328" i="37"/>
  <c r="B328" i="37"/>
  <c r="G327" i="37"/>
  <c r="C327" i="37"/>
  <c r="B327" i="37"/>
  <c r="G326" i="37"/>
  <c r="C326" i="37"/>
  <c r="B326" i="37"/>
  <c r="G325" i="37"/>
  <c r="C325" i="37"/>
  <c r="B325" i="37"/>
  <c r="G324" i="37"/>
  <c r="B324" i="37"/>
  <c r="G323" i="37"/>
  <c r="C323" i="37"/>
  <c r="B323" i="37"/>
  <c r="G322" i="37"/>
  <c r="C322" i="37"/>
  <c r="B322" i="37"/>
  <c r="G321" i="37"/>
  <c r="C321" i="37"/>
  <c r="B321" i="37"/>
  <c r="G320" i="37"/>
  <c r="B320" i="37"/>
  <c r="G319" i="37"/>
  <c r="C319" i="37"/>
  <c r="B319" i="37"/>
  <c r="G318" i="37"/>
  <c r="C318" i="37"/>
  <c r="B318" i="37"/>
  <c r="G317" i="37"/>
  <c r="C317" i="37"/>
  <c r="B317" i="37"/>
  <c r="G316" i="37"/>
  <c r="B316" i="37"/>
  <c r="G315" i="37"/>
  <c r="C315" i="37"/>
  <c r="B315" i="37"/>
  <c r="G314" i="37"/>
  <c r="C314" i="37"/>
  <c r="B314" i="37"/>
  <c r="G313" i="37"/>
  <c r="C313" i="37"/>
  <c r="B313" i="37"/>
  <c r="G312" i="37"/>
  <c r="B312" i="37"/>
  <c r="G311" i="37"/>
  <c r="C311" i="37"/>
  <c r="B311" i="37"/>
  <c r="G310" i="37"/>
  <c r="C310" i="37"/>
  <c r="B310" i="37"/>
  <c r="G309" i="37"/>
  <c r="C309" i="37"/>
  <c r="B309" i="37"/>
  <c r="G308" i="37"/>
  <c r="B308" i="37"/>
  <c r="G307" i="37"/>
  <c r="C307" i="37"/>
  <c r="B307" i="37"/>
  <c r="G306" i="37"/>
  <c r="C306" i="37"/>
  <c r="B306" i="37"/>
  <c r="G305" i="37"/>
  <c r="C305" i="37"/>
  <c r="B305" i="37"/>
  <c r="G304" i="37"/>
  <c r="B304" i="37"/>
  <c r="G303" i="37"/>
  <c r="C303" i="37"/>
  <c r="B303" i="37"/>
  <c r="G302" i="37"/>
  <c r="C302" i="37"/>
  <c r="B302" i="37"/>
  <c r="G301" i="37"/>
  <c r="C301" i="37"/>
  <c r="B301" i="37"/>
  <c r="G300" i="37"/>
  <c r="B300" i="37"/>
  <c r="G299" i="37"/>
  <c r="C299" i="37"/>
  <c r="B299" i="37"/>
  <c r="G298" i="37"/>
  <c r="C298" i="37"/>
  <c r="B298" i="37"/>
  <c r="G297" i="37"/>
  <c r="C297" i="37"/>
  <c r="B297" i="37"/>
  <c r="G296" i="37"/>
  <c r="B296" i="37"/>
  <c r="G295" i="37"/>
  <c r="C295" i="37"/>
  <c r="B295" i="37"/>
  <c r="G294" i="37"/>
  <c r="C294" i="37"/>
  <c r="B294" i="37"/>
  <c r="G293" i="37"/>
  <c r="C293" i="37"/>
  <c r="B293" i="37"/>
  <c r="G292" i="37"/>
  <c r="B292" i="37"/>
  <c r="G291" i="37"/>
  <c r="C291" i="37"/>
  <c r="B291" i="37"/>
  <c r="G290" i="37"/>
  <c r="C290" i="37"/>
  <c r="B290" i="37"/>
  <c r="G289" i="37"/>
  <c r="C289" i="37"/>
  <c r="B289" i="37"/>
  <c r="G288" i="37"/>
  <c r="B288" i="37"/>
  <c r="G287" i="37"/>
  <c r="C287" i="37"/>
  <c r="B287" i="37"/>
  <c r="G286" i="37"/>
  <c r="C286" i="37"/>
  <c r="B286" i="37"/>
  <c r="G285" i="37"/>
  <c r="C285" i="37"/>
  <c r="B285" i="37"/>
  <c r="G284" i="37"/>
  <c r="B284" i="37"/>
  <c r="G283" i="37"/>
  <c r="C283" i="37"/>
  <c r="B283" i="37"/>
  <c r="G282" i="37"/>
  <c r="C282" i="37"/>
  <c r="B282" i="37"/>
  <c r="G281" i="37"/>
  <c r="C281" i="37"/>
  <c r="B281" i="37"/>
  <c r="G280" i="37"/>
  <c r="B280" i="37"/>
  <c r="G279" i="37"/>
  <c r="C279" i="37"/>
  <c r="B279" i="37"/>
  <c r="G278" i="37"/>
  <c r="C278" i="37"/>
  <c r="B278" i="37"/>
  <c r="G277" i="37"/>
  <c r="C277" i="37"/>
  <c r="B277" i="37"/>
  <c r="G276" i="37"/>
  <c r="B276" i="37"/>
  <c r="G275" i="37"/>
  <c r="C275" i="37"/>
  <c r="B275" i="37"/>
  <c r="G274" i="37"/>
  <c r="C274" i="37"/>
  <c r="B274" i="37"/>
  <c r="G273" i="37"/>
  <c r="C273" i="37"/>
  <c r="B273" i="37"/>
  <c r="G272" i="37"/>
  <c r="B272" i="37"/>
  <c r="G271" i="37"/>
  <c r="C271" i="37"/>
  <c r="B271" i="37"/>
  <c r="G270" i="37"/>
  <c r="C270" i="37"/>
  <c r="B270" i="37"/>
  <c r="G269" i="37"/>
  <c r="C269" i="37"/>
  <c r="B269" i="37"/>
  <c r="G268" i="37"/>
  <c r="B268" i="37"/>
  <c r="G267" i="37"/>
  <c r="C267" i="37"/>
  <c r="B267" i="37"/>
  <c r="G266" i="37"/>
  <c r="C266" i="37"/>
  <c r="B266" i="37"/>
  <c r="G265" i="37"/>
  <c r="C265" i="37"/>
  <c r="B265" i="37"/>
  <c r="G264" i="37"/>
  <c r="B264" i="37"/>
  <c r="G263" i="37"/>
  <c r="C263" i="37"/>
  <c r="B263" i="37"/>
  <c r="G262" i="37"/>
  <c r="C262" i="37"/>
  <c r="B262" i="37"/>
  <c r="G261" i="37"/>
  <c r="C261" i="37"/>
  <c r="B261" i="37"/>
  <c r="G260" i="37"/>
  <c r="B260" i="37"/>
  <c r="G259" i="37"/>
  <c r="C259" i="37"/>
  <c r="B259" i="37"/>
  <c r="G258" i="37"/>
  <c r="C258" i="37"/>
  <c r="B258" i="37"/>
  <c r="G257" i="37"/>
  <c r="C257" i="37"/>
  <c r="B257" i="37"/>
  <c r="G256" i="37"/>
  <c r="B256" i="37"/>
  <c r="G255" i="37"/>
  <c r="C255" i="37"/>
  <c r="B255" i="37"/>
  <c r="G254" i="37"/>
  <c r="C254" i="37"/>
  <c r="B254" i="37"/>
  <c r="G253" i="37"/>
  <c r="C253" i="37"/>
  <c r="B253" i="37"/>
  <c r="G252" i="37"/>
  <c r="B252" i="37"/>
  <c r="G251" i="37"/>
  <c r="C251" i="37"/>
  <c r="B251" i="37"/>
  <c r="G250" i="37"/>
  <c r="C250" i="37"/>
  <c r="B250" i="37"/>
  <c r="G249" i="37"/>
  <c r="C249" i="37"/>
  <c r="B249" i="37"/>
  <c r="G248" i="37"/>
  <c r="B248" i="37"/>
  <c r="G247" i="37"/>
  <c r="C247" i="37"/>
  <c r="B247" i="37"/>
  <c r="G246" i="37"/>
  <c r="C246" i="37"/>
  <c r="B246" i="37"/>
  <c r="G245" i="37"/>
  <c r="C245" i="37"/>
  <c r="B245" i="37"/>
  <c r="G244" i="37"/>
  <c r="B244" i="37"/>
  <c r="G243" i="37"/>
  <c r="C243" i="37"/>
  <c r="B243" i="37"/>
  <c r="G242" i="37"/>
  <c r="C242" i="37"/>
  <c r="B242" i="37"/>
  <c r="G241" i="37"/>
  <c r="C241" i="37"/>
  <c r="B241" i="37"/>
  <c r="G240" i="37"/>
  <c r="B240" i="37"/>
  <c r="G239" i="37"/>
  <c r="C239" i="37"/>
  <c r="B239" i="37"/>
  <c r="G238" i="37"/>
  <c r="C238" i="37"/>
  <c r="B238" i="37"/>
  <c r="G237" i="37"/>
  <c r="C237" i="37"/>
  <c r="B237" i="37"/>
  <c r="G236" i="37"/>
  <c r="B236" i="37"/>
  <c r="G235" i="37"/>
  <c r="C235" i="37"/>
  <c r="B235" i="37"/>
  <c r="G234" i="37"/>
  <c r="C234" i="37"/>
  <c r="B234" i="37"/>
  <c r="G233" i="37"/>
  <c r="C233" i="37"/>
  <c r="B233" i="37"/>
  <c r="G232" i="37"/>
  <c r="B232" i="37"/>
  <c r="G231" i="37"/>
  <c r="C231" i="37"/>
  <c r="B231" i="37"/>
  <c r="G230" i="37"/>
  <c r="C230" i="37"/>
  <c r="B230" i="37"/>
  <c r="G229" i="37"/>
  <c r="C229" i="37"/>
  <c r="B229" i="37"/>
  <c r="G228" i="37"/>
  <c r="B228" i="37"/>
  <c r="G227" i="37"/>
  <c r="C227" i="37"/>
  <c r="B227" i="37"/>
  <c r="G226" i="37"/>
  <c r="C226" i="37"/>
  <c r="B226" i="37"/>
  <c r="G225" i="37"/>
  <c r="C225" i="37"/>
  <c r="B225" i="37"/>
  <c r="G224" i="37"/>
  <c r="B224" i="37"/>
  <c r="G223" i="37"/>
  <c r="C223" i="37"/>
  <c r="B223" i="37"/>
  <c r="G222" i="37"/>
  <c r="C222" i="37"/>
  <c r="B222" i="37"/>
  <c r="G221" i="37"/>
  <c r="C221" i="37"/>
  <c r="B221" i="37"/>
  <c r="G220" i="37"/>
  <c r="B220" i="37"/>
  <c r="G219" i="37"/>
  <c r="C219" i="37"/>
  <c r="B219" i="37"/>
  <c r="G218" i="37"/>
  <c r="C218" i="37"/>
  <c r="B218" i="37"/>
  <c r="G217" i="37"/>
  <c r="C217" i="37"/>
  <c r="B217" i="37"/>
  <c r="G216" i="37"/>
  <c r="B216" i="37"/>
  <c r="G215" i="37"/>
  <c r="C215" i="37"/>
  <c r="B215" i="37"/>
  <c r="G214" i="37"/>
  <c r="C214" i="37"/>
  <c r="B214" i="37"/>
  <c r="G213" i="37"/>
  <c r="C213" i="37"/>
  <c r="B213" i="37"/>
  <c r="G212" i="37"/>
  <c r="B212" i="37"/>
  <c r="G211" i="37"/>
  <c r="C211" i="37"/>
  <c r="B211" i="37"/>
  <c r="G210" i="37"/>
  <c r="C210" i="37"/>
  <c r="B210" i="37"/>
  <c r="G209" i="37"/>
  <c r="C209" i="37"/>
  <c r="B209" i="37"/>
  <c r="G208" i="37"/>
  <c r="B208" i="37"/>
  <c r="G207" i="37"/>
  <c r="C207" i="37"/>
  <c r="B207" i="37"/>
  <c r="G206" i="37"/>
  <c r="C206" i="37"/>
  <c r="B206" i="37"/>
  <c r="G205" i="37"/>
  <c r="C205" i="37"/>
  <c r="B205" i="37"/>
  <c r="G204" i="37"/>
  <c r="B204" i="37"/>
  <c r="G203" i="37"/>
  <c r="C203" i="37"/>
  <c r="B203" i="37"/>
  <c r="G202" i="37"/>
  <c r="C202" i="37"/>
  <c r="B202" i="37"/>
  <c r="G201" i="37"/>
  <c r="C201" i="37"/>
  <c r="B201" i="37"/>
  <c r="G200" i="37"/>
  <c r="B200" i="37"/>
  <c r="G199" i="37"/>
  <c r="C199" i="37"/>
  <c r="B199" i="37"/>
  <c r="G198" i="37"/>
  <c r="C198" i="37"/>
  <c r="B198" i="37"/>
  <c r="G197" i="37"/>
  <c r="C197" i="37"/>
  <c r="B197" i="37"/>
  <c r="G196" i="37"/>
  <c r="B196" i="37"/>
  <c r="G195" i="37"/>
  <c r="C195" i="37"/>
  <c r="B195" i="37"/>
  <c r="G194" i="37"/>
  <c r="C194" i="37"/>
  <c r="B194" i="37"/>
  <c r="G193" i="37"/>
  <c r="C193" i="37"/>
  <c r="B193" i="37"/>
  <c r="G192" i="37"/>
  <c r="B192" i="37"/>
  <c r="G191" i="37"/>
  <c r="C191" i="37"/>
  <c r="B191" i="37"/>
  <c r="G190" i="37"/>
  <c r="C190" i="37"/>
  <c r="B190" i="37"/>
  <c r="G189" i="37"/>
  <c r="C189" i="37"/>
  <c r="B189" i="37"/>
  <c r="G188" i="37"/>
  <c r="B188" i="37"/>
  <c r="G187" i="37"/>
  <c r="C187" i="37"/>
  <c r="B187" i="37"/>
  <c r="G186" i="37"/>
  <c r="C186" i="37"/>
  <c r="B186" i="37"/>
  <c r="G185" i="37"/>
  <c r="C185" i="37"/>
  <c r="B185" i="37"/>
  <c r="G184" i="37"/>
  <c r="B184" i="37"/>
  <c r="G183" i="37"/>
  <c r="C183" i="37"/>
  <c r="B183" i="37"/>
  <c r="G182" i="37"/>
  <c r="C182" i="37"/>
  <c r="B182" i="37"/>
  <c r="G181" i="37"/>
  <c r="C181" i="37"/>
  <c r="B181" i="37"/>
  <c r="G180" i="37"/>
  <c r="B180" i="37"/>
  <c r="G179" i="37"/>
  <c r="C179" i="37"/>
  <c r="B179" i="37"/>
  <c r="G178" i="37"/>
  <c r="C178" i="37"/>
  <c r="B178" i="37"/>
  <c r="G177" i="37"/>
  <c r="C177" i="37"/>
  <c r="B177" i="37"/>
  <c r="G176" i="37"/>
  <c r="B176" i="37"/>
  <c r="G175" i="37"/>
  <c r="C175" i="37"/>
  <c r="B175" i="37"/>
  <c r="G174" i="37"/>
  <c r="C174" i="37"/>
  <c r="B174" i="37"/>
  <c r="G173" i="37"/>
  <c r="C173" i="37"/>
  <c r="B173" i="37"/>
  <c r="G172" i="37"/>
  <c r="B172" i="37"/>
  <c r="G171" i="37"/>
  <c r="C171" i="37"/>
  <c r="B171" i="37"/>
  <c r="G170" i="37"/>
  <c r="C170" i="37"/>
  <c r="B170" i="37"/>
  <c r="G169" i="37"/>
  <c r="C169" i="37"/>
  <c r="B169" i="37"/>
  <c r="G168" i="37"/>
  <c r="B168" i="37"/>
  <c r="G167" i="37"/>
  <c r="C167" i="37"/>
  <c r="B167" i="37"/>
  <c r="G166" i="37"/>
  <c r="C166" i="37"/>
  <c r="B166" i="37"/>
  <c r="G165" i="37"/>
  <c r="C165" i="37"/>
  <c r="B165" i="37"/>
  <c r="G164" i="37"/>
  <c r="B164" i="37"/>
  <c r="G163" i="37"/>
  <c r="C163" i="37"/>
  <c r="B163" i="37"/>
  <c r="G162" i="37"/>
  <c r="C162" i="37"/>
  <c r="B162" i="37"/>
  <c r="G161" i="37"/>
  <c r="C161" i="37"/>
  <c r="B161" i="37"/>
  <c r="G160" i="37"/>
  <c r="B160" i="37"/>
  <c r="G159" i="37"/>
  <c r="C159" i="37"/>
  <c r="B159" i="37"/>
  <c r="G158" i="37"/>
  <c r="C158" i="37"/>
  <c r="B158" i="37"/>
  <c r="G157" i="37"/>
  <c r="C157" i="37"/>
  <c r="B157" i="37"/>
  <c r="G156" i="37"/>
  <c r="B156" i="37"/>
  <c r="G155" i="37"/>
  <c r="C155" i="37"/>
  <c r="B155" i="37"/>
  <c r="G154" i="37"/>
  <c r="C154" i="37"/>
  <c r="B154" i="37"/>
  <c r="G153" i="37"/>
  <c r="C153" i="37"/>
  <c r="B153" i="37"/>
  <c r="G152" i="37"/>
  <c r="B152" i="37"/>
  <c r="G151" i="37"/>
  <c r="C151" i="37"/>
  <c r="B151" i="37"/>
  <c r="G150" i="37"/>
  <c r="C150" i="37"/>
  <c r="B150" i="37"/>
  <c r="G149" i="37"/>
  <c r="C149" i="37"/>
  <c r="B149" i="37"/>
  <c r="G148" i="37"/>
  <c r="B148" i="37"/>
  <c r="G147" i="37"/>
  <c r="C147" i="37"/>
  <c r="B147" i="37"/>
  <c r="G146" i="37"/>
  <c r="C146" i="37"/>
  <c r="B146" i="37"/>
  <c r="G145" i="37"/>
  <c r="C145" i="37"/>
  <c r="B145" i="37"/>
  <c r="G144" i="37"/>
  <c r="B144" i="37"/>
  <c r="G143" i="37"/>
  <c r="C143" i="37"/>
  <c r="B143" i="37"/>
  <c r="G142" i="37"/>
  <c r="C142" i="37"/>
  <c r="B142" i="37"/>
  <c r="G141" i="37"/>
  <c r="C141" i="37"/>
  <c r="B141" i="37"/>
  <c r="G140" i="37"/>
  <c r="B140" i="37"/>
  <c r="G139" i="37"/>
  <c r="C139" i="37"/>
  <c r="B139" i="37"/>
  <c r="G138" i="37"/>
  <c r="C138" i="37"/>
  <c r="B138" i="37"/>
  <c r="G137" i="37"/>
  <c r="C137" i="37"/>
  <c r="B137" i="37"/>
  <c r="G136" i="37"/>
  <c r="B136" i="37"/>
  <c r="G135" i="37"/>
  <c r="C135" i="37"/>
  <c r="B135" i="37"/>
  <c r="G134" i="37"/>
  <c r="C134" i="37"/>
  <c r="B134" i="37"/>
  <c r="G133" i="37"/>
  <c r="C133" i="37"/>
  <c r="B133" i="37"/>
  <c r="G132" i="37"/>
  <c r="B132" i="37"/>
  <c r="G131" i="37"/>
  <c r="C131" i="37"/>
  <c r="B131" i="37"/>
  <c r="G130" i="37"/>
  <c r="C130" i="37"/>
  <c r="B130" i="37"/>
  <c r="G129" i="37"/>
  <c r="C129" i="37"/>
  <c r="B129" i="37"/>
  <c r="G128" i="37"/>
  <c r="B128" i="37"/>
  <c r="G127" i="37"/>
  <c r="C127" i="37"/>
  <c r="B127" i="37"/>
  <c r="G126" i="37"/>
  <c r="C126" i="37"/>
  <c r="B126" i="37"/>
  <c r="G125" i="37"/>
  <c r="C125" i="37"/>
  <c r="B125" i="37"/>
  <c r="G124" i="37"/>
  <c r="B124" i="37"/>
  <c r="G123" i="37"/>
  <c r="C123" i="37"/>
  <c r="B123" i="37"/>
  <c r="G122" i="37"/>
  <c r="C122" i="37"/>
  <c r="B122" i="37"/>
  <c r="G121" i="37"/>
  <c r="C121" i="37"/>
  <c r="B121" i="37"/>
  <c r="G120" i="37"/>
  <c r="B120" i="37"/>
  <c r="G119" i="37"/>
  <c r="C119" i="37"/>
  <c r="B119" i="37"/>
  <c r="G118" i="37"/>
  <c r="C118" i="37"/>
  <c r="B118" i="37"/>
  <c r="G117" i="37"/>
  <c r="C117" i="37"/>
  <c r="B117" i="37"/>
  <c r="G116" i="37"/>
  <c r="B116" i="37"/>
  <c r="G115" i="37"/>
  <c r="C115" i="37"/>
  <c r="B115" i="37"/>
  <c r="G114" i="37"/>
  <c r="C114" i="37"/>
  <c r="B114" i="37"/>
  <c r="G113" i="37"/>
  <c r="C113" i="37"/>
  <c r="B113" i="37"/>
  <c r="G112" i="37"/>
  <c r="B112" i="37"/>
  <c r="G111" i="37"/>
  <c r="C111" i="37"/>
  <c r="B111" i="37"/>
  <c r="G110" i="37"/>
  <c r="C110" i="37"/>
  <c r="B110" i="37"/>
  <c r="G109" i="37"/>
  <c r="C109" i="37"/>
  <c r="B109" i="37"/>
  <c r="G108" i="37"/>
  <c r="B108" i="37"/>
  <c r="G107" i="37"/>
  <c r="C107" i="37"/>
  <c r="B107" i="37"/>
  <c r="G106" i="37"/>
  <c r="C106" i="37"/>
  <c r="B106" i="37"/>
  <c r="G105" i="37"/>
  <c r="C105" i="37"/>
  <c r="B105" i="37"/>
  <c r="G104" i="37"/>
  <c r="B104" i="37"/>
  <c r="G103" i="37"/>
  <c r="C103" i="37"/>
  <c r="B103" i="37"/>
  <c r="G102" i="37"/>
  <c r="C102" i="37"/>
  <c r="B102" i="37"/>
  <c r="G101" i="37"/>
  <c r="C101" i="37"/>
  <c r="B101" i="37"/>
  <c r="G100" i="37"/>
  <c r="B100" i="37"/>
  <c r="G99" i="37"/>
  <c r="C99" i="37"/>
  <c r="B99" i="37"/>
  <c r="G98" i="37"/>
  <c r="C98" i="37"/>
  <c r="B98" i="37"/>
  <c r="G97" i="37"/>
  <c r="C97" i="37"/>
  <c r="B97" i="37"/>
  <c r="G96" i="37"/>
  <c r="B96" i="37"/>
  <c r="G95" i="37"/>
  <c r="C95" i="37"/>
  <c r="B95" i="37"/>
  <c r="G94" i="37"/>
  <c r="C94" i="37"/>
  <c r="B94" i="37"/>
  <c r="G93" i="37"/>
  <c r="C93" i="37"/>
  <c r="B93" i="37"/>
  <c r="G92" i="37"/>
  <c r="B92" i="37"/>
  <c r="G91" i="37"/>
  <c r="C91" i="37"/>
  <c r="B91" i="37"/>
  <c r="G90" i="37"/>
  <c r="C90" i="37"/>
  <c r="B90" i="37"/>
  <c r="G89" i="37"/>
  <c r="C89" i="37"/>
  <c r="B89" i="37"/>
  <c r="G88" i="37"/>
  <c r="B88" i="37"/>
  <c r="G87" i="37"/>
  <c r="C87" i="37"/>
  <c r="B87" i="37"/>
  <c r="G86" i="37"/>
  <c r="C86" i="37"/>
  <c r="B86" i="37"/>
  <c r="G85" i="37"/>
  <c r="C85" i="37"/>
  <c r="B85" i="37"/>
  <c r="G84" i="37"/>
  <c r="B84" i="37"/>
  <c r="G83" i="37"/>
  <c r="C83" i="37"/>
  <c r="B83" i="37"/>
  <c r="G82" i="37"/>
  <c r="C82" i="37"/>
  <c r="B82" i="37"/>
  <c r="G81" i="37"/>
  <c r="C81" i="37"/>
  <c r="B81" i="37"/>
  <c r="G80" i="37"/>
  <c r="B80" i="37"/>
  <c r="G79" i="37"/>
  <c r="C79" i="37"/>
  <c r="B79" i="37"/>
  <c r="G78" i="37"/>
  <c r="C78" i="37"/>
  <c r="B78" i="37"/>
  <c r="G77" i="37"/>
  <c r="C77" i="37"/>
  <c r="B77" i="37"/>
  <c r="G76" i="37"/>
  <c r="B76" i="37"/>
  <c r="G456" i="35"/>
  <c r="D232" i="35"/>
  <c r="D188" i="35"/>
  <c r="D334" i="35"/>
  <c r="E146" i="35"/>
  <c r="Q9" i="34"/>
  <c r="H9" i="34"/>
  <c r="D220" i="25"/>
  <c r="B18" i="24"/>
  <c r="F18" i="24"/>
  <c r="I18" i="24"/>
  <c r="K18" i="24"/>
  <c r="I19" i="24"/>
  <c r="I881" i="25"/>
  <c r="D881" i="25"/>
  <c r="C881" i="25"/>
  <c r="I880" i="25"/>
  <c r="D880" i="25"/>
  <c r="C880" i="25"/>
  <c r="I879" i="25"/>
  <c r="D879" i="25"/>
  <c r="C879" i="25"/>
  <c r="I878" i="25"/>
  <c r="D878" i="25"/>
  <c r="C878" i="25"/>
  <c r="I877" i="25"/>
  <c r="D877" i="25"/>
  <c r="C877" i="25"/>
  <c r="I876" i="25"/>
  <c r="D876" i="25"/>
  <c r="C876" i="25"/>
  <c r="I875" i="25"/>
  <c r="D875" i="25"/>
  <c r="C875" i="25"/>
  <c r="I874" i="25"/>
  <c r="D874" i="25"/>
  <c r="C874" i="25"/>
  <c r="I873" i="25"/>
  <c r="D873" i="25"/>
  <c r="C873" i="25"/>
  <c r="I872" i="25"/>
  <c r="D872" i="25"/>
  <c r="C872" i="25"/>
  <c r="I871" i="25"/>
  <c r="D871" i="25"/>
  <c r="C871" i="25"/>
  <c r="I870" i="25"/>
  <c r="D870" i="25"/>
  <c r="C870" i="25"/>
  <c r="I869" i="25"/>
  <c r="D869" i="25"/>
  <c r="C869" i="25"/>
  <c r="I868" i="25"/>
  <c r="D868" i="25"/>
  <c r="C868" i="25"/>
  <c r="I867" i="25"/>
  <c r="D867" i="25"/>
  <c r="C867" i="25"/>
  <c r="I866" i="25"/>
  <c r="D866" i="25"/>
  <c r="C866" i="25"/>
  <c r="I865" i="25"/>
  <c r="D865" i="25"/>
  <c r="C865" i="25"/>
  <c r="I864" i="25"/>
  <c r="D864" i="25"/>
  <c r="C864" i="25"/>
  <c r="I863" i="25"/>
  <c r="D863" i="25"/>
  <c r="C863" i="25"/>
  <c r="I862" i="25"/>
  <c r="D862" i="25"/>
  <c r="C862" i="25"/>
  <c r="I861" i="25"/>
  <c r="D861" i="25"/>
  <c r="C861" i="25"/>
  <c r="I860" i="25"/>
  <c r="D860" i="25"/>
  <c r="C860" i="25"/>
  <c r="I859" i="25"/>
  <c r="D859" i="25"/>
  <c r="C859" i="25"/>
  <c r="I858" i="25"/>
  <c r="D858" i="25"/>
  <c r="C858" i="25"/>
  <c r="I857" i="25"/>
  <c r="D857" i="25"/>
  <c r="C857" i="25"/>
  <c r="I856" i="25"/>
  <c r="D856" i="25"/>
  <c r="C856" i="25"/>
  <c r="I855" i="25"/>
  <c r="D855" i="25"/>
  <c r="C855" i="25"/>
  <c r="I854" i="25"/>
  <c r="D854" i="25"/>
  <c r="C854" i="25"/>
  <c r="I853" i="25"/>
  <c r="D853" i="25"/>
  <c r="C853" i="25"/>
  <c r="I852" i="25"/>
  <c r="D852" i="25"/>
  <c r="C852" i="25"/>
  <c r="I851" i="25"/>
  <c r="D851" i="25"/>
  <c r="C851" i="25"/>
  <c r="I850" i="25"/>
  <c r="D850" i="25"/>
  <c r="C850" i="25"/>
  <c r="I849" i="25"/>
  <c r="D849" i="25"/>
  <c r="C849" i="25"/>
  <c r="I848" i="25"/>
  <c r="D848" i="25"/>
  <c r="C848" i="25"/>
  <c r="I847" i="25"/>
  <c r="D847" i="25"/>
  <c r="C847" i="25"/>
  <c r="I846" i="25"/>
  <c r="D846" i="25"/>
  <c r="C846" i="25"/>
  <c r="I845" i="25"/>
  <c r="D845" i="25"/>
  <c r="C845" i="25"/>
  <c r="I844" i="25"/>
  <c r="D844" i="25"/>
  <c r="C844" i="25"/>
  <c r="I843" i="25"/>
  <c r="D843" i="25"/>
  <c r="C843" i="25"/>
  <c r="I842" i="25"/>
  <c r="D842" i="25"/>
  <c r="C842" i="25"/>
  <c r="I841" i="25"/>
  <c r="D841" i="25"/>
  <c r="C841" i="25"/>
  <c r="I840" i="25"/>
  <c r="D840" i="25"/>
  <c r="C840" i="25"/>
  <c r="I839" i="25"/>
  <c r="D839" i="25"/>
  <c r="C839" i="25"/>
  <c r="I838" i="25"/>
  <c r="D838" i="25"/>
  <c r="C838" i="25"/>
  <c r="I837" i="25"/>
  <c r="D837" i="25"/>
  <c r="C837" i="25"/>
  <c r="I836" i="25"/>
  <c r="D836" i="25"/>
  <c r="C836" i="25"/>
  <c r="I835" i="25"/>
  <c r="D835" i="25"/>
  <c r="C835" i="25"/>
  <c r="I834" i="25"/>
  <c r="D834" i="25"/>
  <c r="C834" i="25"/>
  <c r="I833" i="25"/>
  <c r="D833" i="25"/>
  <c r="C833" i="25"/>
  <c r="I832" i="25"/>
  <c r="D832" i="25"/>
  <c r="C832" i="25"/>
  <c r="I831" i="25"/>
  <c r="D831" i="25"/>
  <c r="C831" i="25"/>
  <c r="I830" i="25"/>
  <c r="D830" i="25"/>
  <c r="C830" i="25"/>
  <c r="I829" i="25"/>
  <c r="D829" i="25"/>
  <c r="C829" i="25"/>
  <c r="I828" i="25"/>
  <c r="D828" i="25"/>
  <c r="C828" i="25"/>
  <c r="I827" i="25"/>
  <c r="D827" i="25"/>
  <c r="C827" i="25"/>
  <c r="I826" i="25"/>
  <c r="D826" i="25"/>
  <c r="C826" i="25"/>
  <c r="I825" i="25"/>
  <c r="D825" i="25"/>
  <c r="C825" i="25"/>
  <c r="I824" i="25"/>
  <c r="D824" i="25"/>
  <c r="C824" i="25"/>
  <c r="I823" i="25"/>
  <c r="D823" i="25"/>
  <c r="C823" i="25"/>
  <c r="I822" i="25"/>
  <c r="D822" i="25"/>
  <c r="C822" i="25"/>
  <c r="I821" i="25"/>
  <c r="D821" i="25"/>
  <c r="C821" i="25"/>
  <c r="I820" i="25"/>
  <c r="D820" i="25"/>
  <c r="C820" i="25"/>
  <c r="I819" i="25"/>
  <c r="D819" i="25"/>
  <c r="C819" i="25"/>
  <c r="I818" i="25"/>
  <c r="D818" i="25"/>
  <c r="C818" i="25"/>
  <c r="I817" i="25"/>
  <c r="D817" i="25"/>
  <c r="C817" i="25"/>
  <c r="I816" i="25"/>
  <c r="D816" i="25"/>
  <c r="C816" i="25"/>
  <c r="I815" i="25"/>
  <c r="D815" i="25"/>
  <c r="C815" i="25"/>
  <c r="I814" i="25"/>
  <c r="D814" i="25"/>
  <c r="C814" i="25"/>
  <c r="I813" i="25"/>
  <c r="D813" i="25"/>
  <c r="C813" i="25"/>
  <c r="I812" i="25"/>
  <c r="D812" i="25"/>
  <c r="C812" i="25"/>
  <c r="I811" i="25"/>
  <c r="D811" i="25"/>
  <c r="C811" i="25"/>
  <c r="I810" i="25"/>
  <c r="D810" i="25"/>
  <c r="C810" i="25"/>
  <c r="I809" i="25"/>
  <c r="D809" i="25"/>
  <c r="C809" i="25"/>
  <c r="I808" i="25"/>
  <c r="D808" i="25"/>
  <c r="C808" i="25"/>
  <c r="I807" i="25"/>
  <c r="D807" i="25"/>
  <c r="C807" i="25"/>
  <c r="I806" i="25"/>
  <c r="D806" i="25"/>
  <c r="C806" i="25"/>
  <c r="I805" i="25"/>
  <c r="D805" i="25"/>
  <c r="C805" i="25"/>
  <c r="I804" i="25"/>
  <c r="D804" i="25"/>
  <c r="C804" i="25"/>
  <c r="I803" i="25"/>
  <c r="D803" i="25"/>
  <c r="C803" i="25"/>
  <c r="I802" i="25"/>
  <c r="D802" i="25"/>
  <c r="C802" i="25"/>
  <c r="I801" i="25"/>
  <c r="D801" i="25"/>
  <c r="C801" i="25"/>
  <c r="I800" i="25"/>
  <c r="D800" i="25"/>
  <c r="C800" i="25"/>
  <c r="I799" i="25"/>
  <c r="D799" i="25"/>
  <c r="C799" i="25"/>
  <c r="I798" i="25"/>
  <c r="D798" i="25"/>
  <c r="C798" i="25"/>
  <c r="I797" i="25"/>
  <c r="D797" i="25"/>
  <c r="C797" i="25"/>
  <c r="I796" i="25"/>
  <c r="D796" i="25"/>
  <c r="C796" i="25"/>
  <c r="I795" i="25"/>
  <c r="D795" i="25"/>
  <c r="C795" i="25"/>
  <c r="I794" i="25"/>
  <c r="D794" i="25"/>
  <c r="C794" i="25"/>
  <c r="I793" i="25"/>
  <c r="D793" i="25"/>
  <c r="C793" i="25"/>
  <c r="I792" i="25"/>
  <c r="D792" i="25"/>
  <c r="C792" i="25"/>
  <c r="I791" i="25"/>
  <c r="D791" i="25"/>
  <c r="C791" i="25"/>
  <c r="I790" i="25"/>
  <c r="D790" i="25"/>
  <c r="C790" i="25"/>
  <c r="I789" i="25"/>
  <c r="D789" i="25"/>
  <c r="C789" i="25"/>
  <c r="I788" i="25"/>
  <c r="D788" i="25"/>
  <c r="C788" i="25"/>
  <c r="I787" i="25"/>
  <c r="D787" i="25"/>
  <c r="C787" i="25"/>
  <c r="I786" i="25"/>
  <c r="D786" i="25"/>
  <c r="C786" i="25"/>
  <c r="I785" i="25"/>
  <c r="D785" i="25"/>
  <c r="C785" i="25"/>
  <c r="I784" i="25"/>
  <c r="D784" i="25"/>
  <c r="C784" i="25"/>
  <c r="I783" i="25"/>
  <c r="D783" i="25"/>
  <c r="C783" i="25"/>
  <c r="I782" i="25"/>
  <c r="D782" i="25"/>
  <c r="C782" i="25"/>
  <c r="I781" i="25"/>
  <c r="D781" i="25"/>
  <c r="C781" i="25"/>
  <c r="I780" i="25"/>
  <c r="D780" i="25"/>
  <c r="C780" i="25"/>
  <c r="I779" i="25"/>
  <c r="D779" i="25"/>
  <c r="C779" i="25"/>
  <c r="I778" i="25"/>
  <c r="D778" i="25"/>
  <c r="C778" i="25"/>
  <c r="I777" i="25"/>
  <c r="D777" i="25"/>
  <c r="C777" i="25"/>
  <c r="I776" i="25"/>
  <c r="D776" i="25"/>
  <c r="C776" i="25"/>
  <c r="I775" i="25"/>
  <c r="D775" i="25"/>
  <c r="C775" i="25"/>
  <c r="I774" i="25"/>
  <c r="D774" i="25"/>
  <c r="C774" i="25"/>
  <c r="I773" i="25"/>
  <c r="D773" i="25"/>
  <c r="C773" i="25"/>
  <c r="I772" i="25"/>
  <c r="D772" i="25"/>
  <c r="C772" i="25"/>
  <c r="I771" i="25"/>
  <c r="D771" i="25"/>
  <c r="C771" i="25"/>
  <c r="I770" i="25"/>
  <c r="D770" i="25"/>
  <c r="C770" i="25"/>
  <c r="I769" i="25"/>
  <c r="D769" i="25"/>
  <c r="C769" i="25"/>
  <c r="I768" i="25"/>
  <c r="D768" i="25"/>
  <c r="C768" i="25"/>
  <c r="I767" i="25"/>
  <c r="D767" i="25"/>
  <c r="C767" i="25"/>
  <c r="I766" i="25"/>
  <c r="D766" i="25"/>
  <c r="C766" i="25"/>
  <c r="I765" i="25"/>
  <c r="D765" i="25"/>
  <c r="C765" i="25"/>
  <c r="I764" i="25"/>
  <c r="D764" i="25"/>
  <c r="C764" i="25"/>
  <c r="I763" i="25"/>
  <c r="D763" i="25"/>
  <c r="C763" i="25"/>
  <c r="I762" i="25"/>
  <c r="D762" i="25"/>
  <c r="C762" i="25"/>
  <c r="I761" i="25"/>
  <c r="D761" i="25"/>
  <c r="C761" i="25"/>
  <c r="I760" i="25"/>
  <c r="D760" i="25"/>
  <c r="C760" i="25"/>
  <c r="I759" i="25"/>
  <c r="D759" i="25"/>
  <c r="C759" i="25"/>
  <c r="I758" i="25"/>
  <c r="D758" i="25"/>
  <c r="C758" i="25"/>
  <c r="I757" i="25"/>
  <c r="D757" i="25"/>
  <c r="C757" i="25"/>
  <c r="I756" i="25"/>
  <c r="D756" i="25"/>
  <c r="C756" i="25"/>
  <c r="I755" i="25"/>
  <c r="D755" i="25"/>
  <c r="C755" i="25"/>
  <c r="I754" i="25"/>
  <c r="D754" i="25"/>
  <c r="C754" i="25"/>
  <c r="I753" i="25"/>
  <c r="D753" i="25"/>
  <c r="C753" i="25"/>
  <c r="I752" i="25"/>
  <c r="D752" i="25"/>
  <c r="C752" i="25"/>
  <c r="I751" i="25"/>
  <c r="D751" i="25"/>
  <c r="C751" i="25"/>
  <c r="I750" i="25"/>
  <c r="D750" i="25"/>
  <c r="C750" i="25"/>
  <c r="I749" i="25"/>
  <c r="D749" i="25"/>
  <c r="C749" i="25"/>
  <c r="I748" i="25"/>
  <c r="D748" i="25"/>
  <c r="C748" i="25"/>
  <c r="I747" i="25"/>
  <c r="D747" i="25"/>
  <c r="C747" i="25"/>
  <c r="I746" i="25"/>
  <c r="D746" i="25"/>
  <c r="C746" i="25"/>
  <c r="I745" i="25"/>
  <c r="D745" i="25"/>
  <c r="C745" i="25"/>
  <c r="I744" i="25"/>
  <c r="D744" i="25"/>
  <c r="C744" i="25"/>
  <c r="I743" i="25"/>
  <c r="D743" i="25"/>
  <c r="C743" i="25"/>
  <c r="I742" i="25"/>
  <c r="D742" i="25"/>
  <c r="C742" i="25"/>
  <c r="I741" i="25"/>
  <c r="D741" i="25"/>
  <c r="C741" i="25"/>
  <c r="I740" i="25"/>
  <c r="D740" i="25"/>
  <c r="C740" i="25"/>
  <c r="I739" i="25"/>
  <c r="D739" i="25"/>
  <c r="C739" i="25"/>
  <c r="I738" i="25"/>
  <c r="D738" i="25"/>
  <c r="C738" i="25"/>
  <c r="I737" i="25"/>
  <c r="D737" i="25"/>
  <c r="C737" i="25"/>
  <c r="I736" i="25"/>
  <c r="D736" i="25"/>
  <c r="C736" i="25"/>
  <c r="I735" i="25"/>
  <c r="D735" i="25"/>
  <c r="C735" i="25"/>
  <c r="I734" i="25"/>
  <c r="D734" i="25"/>
  <c r="C734" i="25"/>
  <c r="I733" i="25"/>
  <c r="D733" i="25"/>
  <c r="C733" i="25"/>
  <c r="I732" i="25"/>
  <c r="D732" i="25"/>
  <c r="C732" i="25"/>
  <c r="I731" i="25"/>
  <c r="D731" i="25"/>
  <c r="C731" i="25"/>
  <c r="I730" i="25"/>
  <c r="D730" i="25"/>
  <c r="C730" i="25"/>
  <c r="I729" i="25"/>
  <c r="D729" i="25"/>
  <c r="C729" i="25"/>
  <c r="I728" i="25"/>
  <c r="D728" i="25"/>
  <c r="C728" i="25"/>
  <c r="I727" i="25"/>
  <c r="D727" i="25"/>
  <c r="C727" i="25"/>
  <c r="I726" i="25"/>
  <c r="D726" i="25"/>
  <c r="C726" i="25"/>
  <c r="I725" i="25"/>
  <c r="D725" i="25"/>
  <c r="C725" i="25"/>
  <c r="I724" i="25"/>
  <c r="D724" i="25"/>
  <c r="C724" i="25"/>
  <c r="I723" i="25"/>
  <c r="D723" i="25"/>
  <c r="C723" i="25"/>
  <c r="I722" i="25"/>
  <c r="D722" i="25"/>
  <c r="C722" i="25"/>
  <c r="I721" i="25"/>
  <c r="D721" i="25"/>
  <c r="C721" i="25"/>
  <c r="I720" i="25"/>
  <c r="D720" i="25"/>
  <c r="C720" i="25"/>
  <c r="I719" i="25"/>
  <c r="D719" i="25"/>
  <c r="C719" i="25"/>
  <c r="I718" i="25"/>
  <c r="D718" i="25"/>
  <c r="C718" i="25"/>
  <c r="I717" i="25"/>
  <c r="D717" i="25"/>
  <c r="C717" i="25"/>
  <c r="I716" i="25"/>
  <c r="D716" i="25"/>
  <c r="C716" i="25"/>
  <c r="I715" i="25"/>
  <c r="D715" i="25"/>
  <c r="C715" i="25"/>
  <c r="I714" i="25"/>
  <c r="D714" i="25"/>
  <c r="C714" i="25"/>
  <c r="I713" i="25"/>
  <c r="D713" i="25"/>
  <c r="C713" i="25"/>
  <c r="I712" i="25"/>
  <c r="D712" i="25"/>
  <c r="C712" i="25"/>
  <c r="I711" i="25"/>
  <c r="D711" i="25"/>
  <c r="C711" i="25"/>
  <c r="I710" i="25"/>
  <c r="D710" i="25"/>
  <c r="C710" i="25"/>
  <c r="I709" i="25"/>
  <c r="D709" i="25"/>
  <c r="C709" i="25"/>
  <c r="I708" i="25"/>
  <c r="D708" i="25"/>
  <c r="C708" i="25"/>
  <c r="I707" i="25"/>
  <c r="D707" i="25"/>
  <c r="C707" i="25"/>
  <c r="I706" i="25"/>
  <c r="D706" i="25"/>
  <c r="C706" i="25"/>
  <c r="I705" i="25"/>
  <c r="D705" i="25"/>
  <c r="C705" i="25"/>
  <c r="I704" i="25"/>
  <c r="D704" i="25"/>
  <c r="C704" i="25"/>
  <c r="I703" i="25"/>
  <c r="D703" i="25"/>
  <c r="C703" i="25"/>
  <c r="I702" i="25"/>
  <c r="D702" i="25"/>
  <c r="C702" i="25"/>
  <c r="I701" i="25"/>
  <c r="D701" i="25"/>
  <c r="C701" i="25"/>
  <c r="I700" i="25"/>
  <c r="D700" i="25"/>
  <c r="C700" i="25"/>
  <c r="I699" i="25"/>
  <c r="D699" i="25"/>
  <c r="C699" i="25"/>
  <c r="I698" i="25"/>
  <c r="D698" i="25"/>
  <c r="C698" i="25"/>
  <c r="I697" i="25"/>
  <c r="D697" i="25"/>
  <c r="C697" i="25"/>
  <c r="I696" i="25"/>
  <c r="D696" i="25"/>
  <c r="C696" i="25"/>
  <c r="I695" i="25"/>
  <c r="D695" i="25"/>
  <c r="C695" i="25"/>
  <c r="I694" i="25"/>
  <c r="D694" i="25"/>
  <c r="C694" i="25"/>
  <c r="I693" i="25"/>
  <c r="D693" i="25"/>
  <c r="C693" i="25"/>
  <c r="I692" i="25"/>
  <c r="D692" i="25"/>
  <c r="C692" i="25"/>
  <c r="I691" i="25"/>
  <c r="D691" i="25"/>
  <c r="C691" i="25"/>
  <c r="I690" i="25"/>
  <c r="D690" i="25"/>
  <c r="C690" i="25"/>
  <c r="I689" i="25"/>
  <c r="D689" i="25"/>
  <c r="C689" i="25"/>
  <c r="I688" i="25"/>
  <c r="D688" i="25"/>
  <c r="C688" i="25"/>
  <c r="I687" i="25"/>
  <c r="D687" i="25"/>
  <c r="C687" i="25"/>
  <c r="I686" i="25"/>
  <c r="D686" i="25"/>
  <c r="C686" i="25"/>
  <c r="I685" i="25"/>
  <c r="D685" i="25"/>
  <c r="C685" i="25"/>
  <c r="I684" i="25"/>
  <c r="D684" i="25"/>
  <c r="C684" i="25"/>
  <c r="I683" i="25"/>
  <c r="D683" i="25"/>
  <c r="C683" i="25"/>
  <c r="I682" i="25"/>
  <c r="D682" i="25"/>
  <c r="C682" i="25"/>
  <c r="I681" i="25"/>
  <c r="D681" i="25"/>
  <c r="C681" i="25"/>
  <c r="I680" i="25"/>
  <c r="D680" i="25"/>
  <c r="C680" i="25"/>
  <c r="I679" i="25"/>
  <c r="D679" i="25"/>
  <c r="C679" i="25"/>
  <c r="I678" i="25"/>
  <c r="D678" i="25"/>
  <c r="C678" i="25"/>
  <c r="I677" i="25"/>
  <c r="D677" i="25"/>
  <c r="C677" i="25"/>
  <c r="I676" i="25"/>
  <c r="D676" i="25"/>
  <c r="C676" i="25"/>
  <c r="I675" i="25"/>
  <c r="D675" i="25"/>
  <c r="C675" i="25"/>
  <c r="I674" i="25"/>
  <c r="D674" i="25"/>
  <c r="C674" i="25"/>
  <c r="I673" i="25"/>
  <c r="D673" i="25"/>
  <c r="C673" i="25"/>
  <c r="I672" i="25"/>
  <c r="D672" i="25"/>
  <c r="C672" i="25"/>
  <c r="I671" i="25"/>
  <c r="D671" i="25"/>
  <c r="C671" i="25"/>
  <c r="I670" i="25"/>
  <c r="D670" i="25"/>
  <c r="C670" i="25"/>
  <c r="I669" i="25"/>
  <c r="D669" i="25"/>
  <c r="C669" i="25"/>
  <c r="I668" i="25"/>
  <c r="D668" i="25"/>
  <c r="C668" i="25"/>
  <c r="I667" i="25"/>
  <c r="D667" i="25"/>
  <c r="C667" i="25"/>
  <c r="I666" i="25"/>
  <c r="D666" i="25"/>
  <c r="C666" i="25"/>
  <c r="I665" i="25"/>
  <c r="D665" i="25"/>
  <c r="C665" i="25"/>
  <c r="I664" i="25"/>
  <c r="D664" i="25"/>
  <c r="C664" i="25"/>
  <c r="I663" i="25"/>
  <c r="D663" i="25"/>
  <c r="C663" i="25"/>
  <c r="I662" i="25"/>
  <c r="D662" i="25"/>
  <c r="C662" i="25"/>
  <c r="I661" i="25"/>
  <c r="D661" i="25"/>
  <c r="I660" i="25"/>
  <c r="D660" i="25"/>
  <c r="I659" i="25"/>
  <c r="D659" i="25"/>
  <c r="I658" i="25"/>
  <c r="D658" i="25"/>
  <c r="I657" i="25"/>
  <c r="D657" i="25"/>
  <c r="I656" i="25"/>
  <c r="D656" i="25"/>
  <c r="I655" i="25"/>
  <c r="D655" i="25"/>
  <c r="I654" i="25"/>
  <c r="D654" i="25"/>
  <c r="I653" i="25"/>
  <c r="D653" i="25"/>
  <c r="I652" i="25"/>
  <c r="D652" i="25"/>
  <c r="I651" i="25"/>
  <c r="D651" i="25"/>
  <c r="I650" i="25"/>
  <c r="D650" i="25"/>
  <c r="I649" i="25"/>
  <c r="D649" i="25"/>
  <c r="I648" i="25"/>
  <c r="D648" i="25"/>
  <c r="I647" i="25"/>
  <c r="D647" i="25"/>
  <c r="I646" i="25"/>
  <c r="D646" i="25"/>
  <c r="I645" i="25"/>
  <c r="D645" i="25"/>
  <c r="I644" i="25"/>
  <c r="D644" i="25"/>
  <c r="I643" i="25"/>
  <c r="D643" i="25"/>
  <c r="I642" i="25"/>
  <c r="D642" i="25"/>
  <c r="I641" i="25"/>
  <c r="D641" i="25"/>
  <c r="I640" i="25"/>
  <c r="D640" i="25"/>
  <c r="I639" i="25"/>
  <c r="D639" i="25"/>
  <c r="I638" i="25"/>
  <c r="D638" i="25"/>
  <c r="I637" i="25"/>
  <c r="D637" i="25"/>
  <c r="I636" i="25"/>
  <c r="D636" i="25"/>
  <c r="I635" i="25"/>
  <c r="D635" i="25"/>
  <c r="I634" i="25"/>
  <c r="D634" i="25"/>
  <c r="I633" i="25"/>
  <c r="D633" i="25"/>
  <c r="I632" i="25"/>
  <c r="AL632" i="25" s="1"/>
  <c r="D632" i="25"/>
  <c r="I631" i="25"/>
  <c r="D631" i="25"/>
  <c r="I630" i="25"/>
  <c r="AL630" i="25" s="1"/>
  <c r="D630" i="25"/>
  <c r="I629" i="25"/>
  <c r="D629" i="25"/>
  <c r="I628" i="25"/>
  <c r="AL628" i="25" s="1"/>
  <c r="D628" i="25"/>
  <c r="I627" i="25"/>
  <c r="D627" i="25"/>
  <c r="I626" i="25"/>
  <c r="AL626" i="25" s="1"/>
  <c r="D626" i="25"/>
  <c r="I625" i="25"/>
  <c r="D625" i="25"/>
  <c r="I624" i="25"/>
  <c r="AL624" i="25" s="1"/>
  <c r="D624" i="25"/>
  <c r="I623" i="25"/>
  <c r="D623" i="25"/>
  <c r="I622" i="25"/>
  <c r="AL622" i="25" s="1"/>
  <c r="D622" i="25"/>
  <c r="I621" i="25"/>
  <c r="D621" i="25"/>
  <c r="I620" i="25"/>
  <c r="AL620" i="25" s="1"/>
  <c r="D620" i="25"/>
  <c r="I619" i="25"/>
  <c r="D619" i="25"/>
  <c r="I618" i="25"/>
  <c r="AL618" i="25" s="1"/>
  <c r="D618" i="25"/>
  <c r="I617" i="25"/>
  <c r="D617" i="25"/>
  <c r="I616" i="25"/>
  <c r="AL616" i="25" s="1"/>
  <c r="D616" i="25"/>
  <c r="I615" i="25"/>
  <c r="D615" i="25"/>
  <c r="I614" i="25"/>
  <c r="AL614" i="25" s="1"/>
  <c r="D614" i="25"/>
  <c r="I613" i="25"/>
  <c r="D613" i="25"/>
  <c r="I612" i="25"/>
  <c r="AL612" i="25" s="1"/>
  <c r="D612" i="25"/>
  <c r="I611" i="25"/>
  <c r="D611" i="25"/>
  <c r="I610" i="25"/>
  <c r="AL610" i="25" s="1"/>
  <c r="D610" i="25"/>
  <c r="I609" i="25"/>
  <c r="D609" i="25"/>
  <c r="I608" i="25"/>
  <c r="AL608" i="25" s="1"/>
  <c r="D608" i="25"/>
  <c r="I607" i="25"/>
  <c r="D607" i="25"/>
  <c r="I606" i="25"/>
  <c r="AL606" i="25" s="1"/>
  <c r="D606" i="25"/>
  <c r="I605" i="25"/>
  <c r="D605" i="25"/>
  <c r="I604" i="25"/>
  <c r="AL604" i="25" s="1"/>
  <c r="D604" i="25"/>
  <c r="I603" i="25"/>
  <c r="D603" i="25"/>
  <c r="I602" i="25"/>
  <c r="AL602" i="25" s="1"/>
  <c r="D602" i="25"/>
  <c r="I601" i="25"/>
  <c r="D601" i="25"/>
  <c r="I600" i="25"/>
  <c r="AL600" i="25" s="1"/>
  <c r="D600" i="25"/>
  <c r="I599" i="25"/>
  <c r="D599" i="25"/>
  <c r="I598" i="25"/>
  <c r="AL598" i="25" s="1"/>
  <c r="D598" i="25"/>
  <c r="I597" i="25"/>
  <c r="D597" i="25"/>
  <c r="I596" i="25"/>
  <c r="AL596" i="25" s="1"/>
  <c r="D596" i="25"/>
  <c r="I595" i="25"/>
  <c r="D595" i="25"/>
  <c r="I594" i="25"/>
  <c r="AL594" i="25" s="1"/>
  <c r="D594" i="25"/>
  <c r="I593" i="25"/>
  <c r="D593" i="25"/>
  <c r="I592" i="25"/>
  <c r="AL592" i="25" s="1"/>
  <c r="D592" i="25"/>
  <c r="I591" i="25"/>
  <c r="D591" i="25"/>
  <c r="I590" i="25"/>
  <c r="AL590" i="25" s="1"/>
  <c r="D590" i="25"/>
  <c r="I589" i="25"/>
  <c r="D589" i="25"/>
  <c r="I588" i="25"/>
  <c r="AL588" i="25" s="1"/>
  <c r="D588" i="25"/>
  <c r="I587" i="25"/>
  <c r="D587" i="25"/>
  <c r="I586" i="25"/>
  <c r="AL586" i="25" s="1"/>
  <c r="D586" i="25"/>
  <c r="I585" i="25"/>
  <c r="D585" i="25"/>
  <c r="I584" i="25"/>
  <c r="AL584" i="25" s="1"/>
  <c r="D584" i="25"/>
  <c r="I583" i="25"/>
  <c r="D583" i="25"/>
  <c r="I582" i="25"/>
  <c r="AL582" i="25" s="1"/>
  <c r="D582" i="25"/>
  <c r="I581" i="25"/>
  <c r="D581" i="25"/>
  <c r="I580" i="25"/>
  <c r="AL580" i="25" s="1"/>
  <c r="D580" i="25"/>
  <c r="I579" i="25"/>
  <c r="D579" i="25"/>
  <c r="I578" i="25"/>
  <c r="AL578" i="25" s="1"/>
  <c r="D578" i="25"/>
  <c r="I577" i="25"/>
  <c r="D577" i="25"/>
  <c r="I576" i="25"/>
  <c r="AL576" i="25" s="1"/>
  <c r="D576" i="25"/>
  <c r="I575" i="25"/>
  <c r="D575" i="25"/>
  <c r="I574" i="25"/>
  <c r="AL574" i="25" s="1"/>
  <c r="D574" i="25"/>
  <c r="I573" i="25"/>
  <c r="D573" i="25"/>
  <c r="I572" i="25"/>
  <c r="AL572" i="25" s="1"/>
  <c r="D572" i="25"/>
  <c r="I571" i="25"/>
  <c r="D571" i="25"/>
  <c r="I570" i="25"/>
  <c r="AL570" i="25" s="1"/>
  <c r="D570" i="25"/>
  <c r="I569" i="25"/>
  <c r="D569" i="25"/>
  <c r="I568" i="25"/>
  <c r="AL568" i="25" s="1"/>
  <c r="D568" i="25"/>
  <c r="I567" i="25"/>
  <c r="D567" i="25"/>
  <c r="I566" i="25"/>
  <c r="AL566" i="25" s="1"/>
  <c r="D566" i="25"/>
  <c r="I565" i="25"/>
  <c r="D565" i="25"/>
  <c r="I564" i="25"/>
  <c r="AL564" i="25" s="1"/>
  <c r="D564" i="25"/>
  <c r="I563" i="25"/>
  <c r="D563" i="25"/>
  <c r="I562" i="25"/>
  <c r="AL562" i="25" s="1"/>
  <c r="D562" i="25"/>
  <c r="I561" i="25"/>
  <c r="D561" i="25"/>
  <c r="I560" i="25"/>
  <c r="AL560" i="25" s="1"/>
  <c r="D560" i="25"/>
  <c r="I559" i="25"/>
  <c r="D559" i="25"/>
  <c r="I558" i="25"/>
  <c r="AL558" i="25" s="1"/>
  <c r="D558" i="25"/>
  <c r="I557" i="25"/>
  <c r="D557" i="25"/>
  <c r="I556" i="25"/>
  <c r="AL556" i="25" s="1"/>
  <c r="D556" i="25"/>
  <c r="I555" i="25"/>
  <c r="D555" i="25"/>
  <c r="I554" i="25"/>
  <c r="AL554" i="25" s="1"/>
  <c r="D554" i="25"/>
  <c r="I553" i="25"/>
  <c r="D553" i="25"/>
  <c r="I552" i="25"/>
  <c r="AL552" i="25" s="1"/>
  <c r="D552" i="25"/>
  <c r="I551" i="25"/>
  <c r="D551" i="25"/>
  <c r="I550" i="25"/>
  <c r="AL550" i="25" s="1"/>
  <c r="D550" i="25"/>
  <c r="I549" i="25"/>
  <c r="D549" i="25"/>
  <c r="I548" i="25"/>
  <c r="AL548" i="25" s="1"/>
  <c r="D548" i="25"/>
  <c r="I547" i="25"/>
  <c r="D547" i="25"/>
  <c r="I546" i="25"/>
  <c r="AL546" i="25" s="1"/>
  <c r="D546" i="25"/>
  <c r="I545" i="25"/>
  <c r="D545" i="25"/>
  <c r="I544" i="25"/>
  <c r="AL544" i="25" s="1"/>
  <c r="D544" i="25"/>
  <c r="I543" i="25"/>
  <c r="D543" i="25"/>
  <c r="I542" i="25"/>
  <c r="AL542" i="25" s="1"/>
  <c r="D542" i="25"/>
  <c r="I541" i="25"/>
  <c r="D541" i="25"/>
  <c r="I540" i="25"/>
  <c r="AL540" i="25" s="1"/>
  <c r="D540" i="25"/>
  <c r="I539" i="25"/>
  <c r="D539" i="25"/>
  <c r="I538" i="25"/>
  <c r="AL538" i="25" s="1"/>
  <c r="D538" i="25"/>
  <c r="I537" i="25"/>
  <c r="D537" i="25"/>
  <c r="I536" i="25"/>
  <c r="AL536" i="25" s="1"/>
  <c r="D536" i="25"/>
  <c r="I535" i="25"/>
  <c r="D535" i="25"/>
  <c r="I534" i="25"/>
  <c r="AL534" i="25" s="1"/>
  <c r="D534" i="25"/>
  <c r="I533" i="25"/>
  <c r="D533" i="25"/>
  <c r="I532" i="25"/>
  <c r="AL532" i="25" s="1"/>
  <c r="D532" i="25"/>
  <c r="I531" i="25"/>
  <c r="D531" i="25"/>
  <c r="I530" i="25"/>
  <c r="AL530" i="25" s="1"/>
  <c r="D530" i="25"/>
  <c r="I529" i="25"/>
  <c r="D529" i="25"/>
  <c r="I528" i="25"/>
  <c r="AL528" i="25" s="1"/>
  <c r="D528" i="25"/>
  <c r="I527" i="25"/>
  <c r="D527" i="25"/>
  <c r="I526" i="25"/>
  <c r="AL526" i="25" s="1"/>
  <c r="D526" i="25"/>
  <c r="I525" i="25"/>
  <c r="D525" i="25"/>
  <c r="I524" i="25"/>
  <c r="AL524" i="25" s="1"/>
  <c r="D524" i="25"/>
  <c r="I523" i="25"/>
  <c r="D523" i="25"/>
  <c r="I522" i="25"/>
  <c r="AL522" i="25" s="1"/>
  <c r="D522" i="25"/>
  <c r="I521" i="25"/>
  <c r="D521" i="25"/>
  <c r="I520" i="25"/>
  <c r="AL520" i="25" s="1"/>
  <c r="D520" i="25"/>
  <c r="I519" i="25"/>
  <c r="D519" i="25"/>
  <c r="I518" i="25"/>
  <c r="AL518" i="25" s="1"/>
  <c r="D518" i="25"/>
  <c r="I517" i="25"/>
  <c r="D517" i="25"/>
  <c r="I516" i="25"/>
  <c r="AL516" i="25" s="1"/>
  <c r="D516" i="25"/>
  <c r="I515" i="25"/>
  <c r="D515" i="25"/>
  <c r="I514" i="25"/>
  <c r="AL514" i="25" s="1"/>
  <c r="D514" i="25"/>
  <c r="I513" i="25"/>
  <c r="D513" i="25"/>
  <c r="I512" i="25"/>
  <c r="AL512" i="25" s="1"/>
  <c r="D512" i="25"/>
  <c r="I511" i="25"/>
  <c r="D511" i="25"/>
  <c r="I510" i="25"/>
  <c r="AL510" i="25" s="1"/>
  <c r="D510" i="25"/>
  <c r="I509" i="25"/>
  <c r="D509" i="25"/>
  <c r="I508" i="25"/>
  <c r="AL508" i="25" s="1"/>
  <c r="D508" i="25"/>
  <c r="I507" i="25"/>
  <c r="D507" i="25"/>
  <c r="I506" i="25"/>
  <c r="AL506" i="25" s="1"/>
  <c r="D506" i="25"/>
  <c r="I505" i="25"/>
  <c r="D505" i="25"/>
  <c r="I504" i="25"/>
  <c r="AL504" i="25" s="1"/>
  <c r="D504" i="25"/>
  <c r="I503" i="25"/>
  <c r="D503" i="25"/>
  <c r="I502" i="25"/>
  <c r="AL502" i="25" s="1"/>
  <c r="D502" i="25"/>
  <c r="I501" i="25"/>
  <c r="D501" i="25"/>
  <c r="I500" i="25"/>
  <c r="AL500" i="25" s="1"/>
  <c r="D500" i="25"/>
  <c r="I499" i="25"/>
  <c r="D499" i="25"/>
  <c r="I498" i="25"/>
  <c r="AL498" i="25" s="1"/>
  <c r="D498" i="25"/>
  <c r="I497" i="25"/>
  <c r="D497" i="25"/>
  <c r="I496" i="25"/>
  <c r="AL496" i="25" s="1"/>
  <c r="D496" i="25"/>
  <c r="I495" i="25"/>
  <c r="D495" i="25"/>
  <c r="I494" i="25"/>
  <c r="AL494" i="25" s="1"/>
  <c r="D494" i="25"/>
  <c r="I493" i="25"/>
  <c r="D493" i="25"/>
  <c r="I492" i="25"/>
  <c r="AL492" i="25" s="1"/>
  <c r="D492" i="25"/>
  <c r="I491" i="25"/>
  <c r="D491" i="25"/>
  <c r="I490" i="25"/>
  <c r="AL490" i="25" s="1"/>
  <c r="D490" i="25"/>
  <c r="I489" i="25"/>
  <c r="D489" i="25"/>
  <c r="I488" i="25"/>
  <c r="AL488" i="25" s="1"/>
  <c r="D488" i="25"/>
  <c r="I487" i="25"/>
  <c r="D487" i="25"/>
  <c r="I486" i="25"/>
  <c r="AL486" i="25" s="1"/>
  <c r="D486" i="25"/>
  <c r="I485" i="25"/>
  <c r="D485" i="25"/>
  <c r="I484" i="25"/>
  <c r="AL484" i="25" s="1"/>
  <c r="D484" i="25"/>
  <c r="I483" i="25"/>
  <c r="D483" i="25"/>
  <c r="I482" i="25"/>
  <c r="AL482" i="25" s="1"/>
  <c r="D482" i="25"/>
  <c r="I481" i="25"/>
  <c r="D481" i="25"/>
  <c r="I480" i="25"/>
  <c r="AL480" i="25" s="1"/>
  <c r="D480" i="25"/>
  <c r="I479" i="25"/>
  <c r="D479" i="25"/>
  <c r="I478" i="25"/>
  <c r="AL478" i="25" s="1"/>
  <c r="D478" i="25"/>
  <c r="I477" i="25"/>
  <c r="D477" i="25"/>
  <c r="I476" i="25"/>
  <c r="AL476" i="25" s="1"/>
  <c r="D476" i="25"/>
  <c r="I475" i="25"/>
  <c r="D475" i="25"/>
  <c r="I474" i="25"/>
  <c r="AL474" i="25" s="1"/>
  <c r="D474" i="25"/>
  <c r="I473" i="25"/>
  <c r="D473" i="25"/>
  <c r="I472" i="25"/>
  <c r="AL472" i="25" s="1"/>
  <c r="D472" i="25"/>
  <c r="I471" i="25"/>
  <c r="D471" i="25"/>
  <c r="I470" i="25"/>
  <c r="AL470" i="25" s="1"/>
  <c r="D470" i="25"/>
  <c r="I469" i="25"/>
  <c r="D469" i="25"/>
  <c r="I468" i="25"/>
  <c r="AL468" i="25" s="1"/>
  <c r="D468" i="25"/>
  <c r="I467" i="25"/>
  <c r="D467" i="25"/>
  <c r="I466" i="25"/>
  <c r="AL466" i="25" s="1"/>
  <c r="D466" i="25"/>
  <c r="I465" i="25"/>
  <c r="D465" i="25"/>
  <c r="I464" i="25"/>
  <c r="AL464" i="25" s="1"/>
  <c r="D464" i="25"/>
  <c r="I463" i="25"/>
  <c r="D463" i="25"/>
  <c r="I462" i="25"/>
  <c r="AL462" i="25" s="1"/>
  <c r="D462" i="25"/>
  <c r="I461" i="25"/>
  <c r="D461" i="25"/>
  <c r="I460" i="25"/>
  <c r="AL460" i="25" s="1"/>
  <c r="D460" i="25"/>
  <c r="I459" i="25"/>
  <c r="D459" i="25"/>
  <c r="I458" i="25"/>
  <c r="AL458" i="25" s="1"/>
  <c r="D458" i="25"/>
  <c r="I457" i="25"/>
  <c r="D457" i="25"/>
  <c r="I456" i="25"/>
  <c r="AL456" i="25" s="1"/>
  <c r="D456" i="25"/>
  <c r="I455" i="25"/>
  <c r="D455" i="25"/>
  <c r="I454" i="25"/>
  <c r="AL454" i="25" s="1"/>
  <c r="D454" i="25"/>
  <c r="I453" i="25"/>
  <c r="D453" i="25"/>
  <c r="I452" i="25"/>
  <c r="AL452" i="25" s="1"/>
  <c r="D452" i="25"/>
  <c r="I451" i="25"/>
  <c r="D451" i="25"/>
  <c r="I450" i="25"/>
  <c r="AL450" i="25" s="1"/>
  <c r="D450" i="25"/>
  <c r="I449" i="25"/>
  <c r="D449" i="25"/>
  <c r="I448" i="25"/>
  <c r="AL448" i="25" s="1"/>
  <c r="D448" i="25"/>
  <c r="I447" i="25"/>
  <c r="D447" i="25"/>
  <c r="I446" i="25"/>
  <c r="AL446" i="25" s="1"/>
  <c r="D446" i="25"/>
  <c r="I445" i="25"/>
  <c r="D445" i="25"/>
  <c r="I444" i="25"/>
  <c r="AL444" i="25" s="1"/>
  <c r="D444" i="25"/>
  <c r="I443" i="25"/>
  <c r="D443" i="25"/>
  <c r="I442" i="25"/>
  <c r="AL442" i="25" s="1"/>
  <c r="D442" i="25"/>
  <c r="I441" i="25"/>
  <c r="D441" i="25"/>
  <c r="C441" i="25"/>
  <c r="I440" i="25"/>
  <c r="D440" i="25"/>
  <c r="C440" i="25"/>
  <c r="I439" i="25"/>
  <c r="D439" i="25"/>
  <c r="C439" i="25"/>
  <c r="I438" i="25"/>
  <c r="D438" i="25"/>
  <c r="C438" i="25"/>
  <c r="I437" i="25"/>
  <c r="D437" i="25"/>
  <c r="C437" i="25"/>
  <c r="I436" i="25"/>
  <c r="D436" i="25"/>
  <c r="C436" i="25"/>
  <c r="I435" i="25"/>
  <c r="D435" i="25"/>
  <c r="C435" i="25"/>
  <c r="I434" i="25"/>
  <c r="D434" i="25"/>
  <c r="C434" i="25"/>
  <c r="I433" i="25"/>
  <c r="D433" i="25"/>
  <c r="C433" i="25"/>
  <c r="I432" i="25"/>
  <c r="D432" i="25"/>
  <c r="C432" i="25"/>
  <c r="I431" i="25"/>
  <c r="D431" i="25"/>
  <c r="C431" i="25"/>
  <c r="I430" i="25"/>
  <c r="D430" i="25"/>
  <c r="C430" i="25"/>
  <c r="I429" i="25"/>
  <c r="D429" i="25"/>
  <c r="C429" i="25"/>
  <c r="I428" i="25"/>
  <c r="D428" i="25"/>
  <c r="C428" i="25"/>
  <c r="I427" i="25"/>
  <c r="D427" i="25"/>
  <c r="C427" i="25"/>
  <c r="I426" i="25"/>
  <c r="D426" i="25"/>
  <c r="C426" i="25"/>
  <c r="I425" i="25"/>
  <c r="D425" i="25"/>
  <c r="C425" i="25"/>
  <c r="I424" i="25"/>
  <c r="D424" i="25"/>
  <c r="C424" i="25"/>
  <c r="I423" i="25"/>
  <c r="D423" i="25"/>
  <c r="C423" i="25"/>
  <c r="I422" i="25"/>
  <c r="D422" i="25"/>
  <c r="C422" i="25"/>
  <c r="I421" i="25"/>
  <c r="D421" i="25"/>
  <c r="C421" i="25"/>
  <c r="I420" i="25"/>
  <c r="D420" i="25"/>
  <c r="C420" i="25"/>
  <c r="I419" i="25"/>
  <c r="D419" i="25"/>
  <c r="C419" i="25"/>
  <c r="I418" i="25"/>
  <c r="D418" i="25"/>
  <c r="C418" i="25"/>
  <c r="I417" i="25"/>
  <c r="D417" i="25"/>
  <c r="C417" i="25"/>
  <c r="I416" i="25"/>
  <c r="D416" i="25"/>
  <c r="C416" i="25"/>
  <c r="I415" i="25"/>
  <c r="D415" i="25"/>
  <c r="C415" i="25"/>
  <c r="I414" i="25"/>
  <c r="D414" i="25"/>
  <c r="C414" i="25"/>
  <c r="I413" i="25"/>
  <c r="D413" i="25"/>
  <c r="C413" i="25"/>
  <c r="I412" i="25"/>
  <c r="D412" i="25"/>
  <c r="C412" i="25"/>
  <c r="I411" i="25"/>
  <c r="AM411" i="25" s="1"/>
  <c r="D411" i="25"/>
  <c r="C411" i="25"/>
  <c r="I410" i="25"/>
  <c r="D410" i="25"/>
  <c r="C410" i="25"/>
  <c r="I409" i="25"/>
  <c r="D409" i="25"/>
  <c r="C409" i="25"/>
  <c r="I408" i="25"/>
  <c r="D408" i="25"/>
  <c r="C408" i="25"/>
  <c r="I407" i="25"/>
  <c r="AM407" i="25" s="1"/>
  <c r="D407" i="25"/>
  <c r="C407" i="25"/>
  <c r="I406" i="25"/>
  <c r="D406" i="25"/>
  <c r="C406" i="25"/>
  <c r="I405" i="25"/>
  <c r="D405" i="25"/>
  <c r="C405" i="25"/>
  <c r="I404" i="25"/>
  <c r="D404" i="25"/>
  <c r="C404" i="25"/>
  <c r="I403" i="25"/>
  <c r="AM403" i="25" s="1"/>
  <c r="D403" i="25"/>
  <c r="C403" i="25"/>
  <c r="I402" i="25"/>
  <c r="D402" i="25"/>
  <c r="C402" i="25"/>
  <c r="I401" i="25"/>
  <c r="D401" i="25"/>
  <c r="C401" i="25"/>
  <c r="I400" i="25"/>
  <c r="D400" i="25"/>
  <c r="C400" i="25"/>
  <c r="I399" i="25"/>
  <c r="AM399" i="25" s="1"/>
  <c r="D399" i="25"/>
  <c r="C399" i="25"/>
  <c r="I398" i="25"/>
  <c r="D398" i="25"/>
  <c r="C398" i="25"/>
  <c r="I397" i="25"/>
  <c r="D397" i="25"/>
  <c r="C397" i="25"/>
  <c r="I396" i="25"/>
  <c r="D396" i="25"/>
  <c r="C396" i="25"/>
  <c r="I395" i="25"/>
  <c r="AM395" i="25" s="1"/>
  <c r="D395" i="25"/>
  <c r="C395" i="25"/>
  <c r="I394" i="25"/>
  <c r="D394" i="25"/>
  <c r="C394" i="25"/>
  <c r="I393" i="25"/>
  <c r="D393" i="25"/>
  <c r="C393" i="25"/>
  <c r="I392" i="25"/>
  <c r="D392" i="25"/>
  <c r="C392" i="25"/>
  <c r="I391" i="25"/>
  <c r="AM391" i="25" s="1"/>
  <c r="D391" i="25"/>
  <c r="C391" i="25"/>
  <c r="I390" i="25"/>
  <c r="D390" i="25"/>
  <c r="C390" i="25"/>
  <c r="I389" i="25"/>
  <c r="D389" i="25"/>
  <c r="C389" i="25"/>
  <c r="I388" i="25"/>
  <c r="D388" i="25"/>
  <c r="C388" i="25"/>
  <c r="I387" i="25"/>
  <c r="AM387" i="25" s="1"/>
  <c r="D387" i="25"/>
  <c r="C387" i="25"/>
  <c r="I386" i="25"/>
  <c r="D386" i="25"/>
  <c r="C386" i="25"/>
  <c r="I385" i="25"/>
  <c r="D385" i="25"/>
  <c r="C385" i="25"/>
  <c r="I384" i="25"/>
  <c r="D384" i="25"/>
  <c r="C384" i="25"/>
  <c r="I383" i="25"/>
  <c r="AM383" i="25" s="1"/>
  <c r="D383" i="25"/>
  <c r="C383" i="25"/>
  <c r="I382" i="25"/>
  <c r="D382" i="25"/>
  <c r="C382" i="25"/>
  <c r="I381" i="25"/>
  <c r="D381" i="25"/>
  <c r="C381" i="25"/>
  <c r="I380" i="25"/>
  <c r="D380" i="25"/>
  <c r="C380" i="25"/>
  <c r="I379" i="25"/>
  <c r="AM379" i="25" s="1"/>
  <c r="D379" i="25"/>
  <c r="C379" i="25"/>
  <c r="I378" i="25"/>
  <c r="D378" i="25"/>
  <c r="C378" i="25"/>
  <c r="I377" i="25"/>
  <c r="D377" i="25"/>
  <c r="C377" i="25"/>
  <c r="I376" i="25"/>
  <c r="D376" i="25"/>
  <c r="C376" i="25"/>
  <c r="I375" i="25"/>
  <c r="AM375" i="25" s="1"/>
  <c r="D375" i="25"/>
  <c r="C375" i="25"/>
  <c r="I374" i="25"/>
  <c r="D374" i="25"/>
  <c r="C374" i="25"/>
  <c r="I373" i="25"/>
  <c r="D373" i="25"/>
  <c r="C373" i="25"/>
  <c r="I372" i="25"/>
  <c r="D372" i="25"/>
  <c r="C372" i="25"/>
  <c r="I371" i="25"/>
  <c r="AM371" i="25" s="1"/>
  <c r="D371" i="25"/>
  <c r="C371" i="25"/>
  <c r="I370" i="25"/>
  <c r="D370" i="25"/>
  <c r="C370" i="25"/>
  <c r="I369" i="25"/>
  <c r="D369" i="25"/>
  <c r="C369" i="25"/>
  <c r="I368" i="25"/>
  <c r="D368" i="25"/>
  <c r="C368" i="25"/>
  <c r="I367" i="25"/>
  <c r="AM367" i="25" s="1"/>
  <c r="D367" i="25"/>
  <c r="C367" i="25"/>
  <c r="I366" i="25"/>
  <c r="D366" i="25"/>
  <c r="C366" i="25"/>
  <c r="I365" i="25"/>
  <c r="D365" i="25"/>
  <c r="C365" i="25"/>
  <c r="I364" i="25"/>
  <c r="D364" i="25"/>
  <c r="C364" i="25"/>
  <c r="I363" i="25"/>
  <c r="AM363" i="25" s="1"/>
  <c r="D363" i="25"/>
  <c r="C363" i="25"/>
  <c r="I362" i="25"/>
  <c r="D362" i="25"/>
  <c r="C362" i="25"/>
  <c r="I361" i="25"/>
  <c r="D361" i="25"/>
  <c r="C361" i="25"/>
  <c r="I360" i="25"/>
  <c r="D360" i="25"/>
  <c r="C360" i="25"/>
  <c r="I359" i="25"/>
  <c r="AM359" i="25" s="1"/>
  <c r="D359" i="25"/>
  <c r="C359" i="25"/>
  <c r="I358" i="25"/>
  <c r="D358" i="25"/>
  <c r="C358" i="25"/>
  <c r="I357" i="25"/>
  <c r="D357" i="25"/>
  <c r="C357" i="25"/>
  <c r="I356" i="25"/>
  <c r="D356" i="25"/>
  <c r="C356" i="25"/>
  <c r="I355" i="25"/>
  <c r="AM355" i="25" s="1"/>
  <c r="D355" i="25"/>
  <c r="C355" i="25"/>
  <c r="I354" i="25"/>
  <c r="D354" i="25"/>
  <c r="C354" i="25"/>
  <c r="I353" i="25"/>
  <c r="D353" i="25"/>
  <c r="C353" i="25"/>
  <c r="I352" i="25"/>
  <c r="D352" i="25"/>
  <c r="C352" i="25"/>
  <c r="I351" i="25"/>
  <c r="AM351" i="25" s="1"/>
  <c r="D351" i="25"/>
  <c r="C351" i="25"/>
  <c r="I350" i="25"/>
  <c r="D350" i="25"/>
  <c r="C350" i="25"/>
  <c r="I349" i="25"/>
  <c r="D349" i="25"/>
  <c r="C349" i="25"/>
  <c r="I348" i="25"/>
  <c r="D348" i="25"/>
  <c r="C348" i="25"/>
  <c r="I347" i="25"/>
  <c r="AM347" i="25" s="1"/>
  <c r="D347" i="25"/>
  <c r="C347" i="25"/>
  <c r="I346" i="25"/>
  <c r="D346" i="25"/>
  <c r="C346" i="25"/>
  <c r="I345" i="25"/>
  <c r="D345" i="25"/>
  <c r="C345" i="25"/>
  <c r="I344" i="25"/>
  <c r="D344" i="25"/>
  <c r="C344" i="25"/>
  <c r="I343" i="25"/>
  <c r="AM343" i="25" s="1"/>
  <c r="D343" i="25"/>
  <c r="C343" i="25"/>
  <c r="I342" i="25"/>
  <c r="D342" i="25"/>
  <c r="C342" i="25"/>
  <c r="I341" i="25"/>
  <c r="D341" i="25"/>
  <c r="C341" i="25"/>
  <c r="I340" i="25"/>
  <c r="D340" i="25"/>
  <c r="C340" i="25"/>
  <c r="I339" i="25"/>
  <c r="AM339" i="25" s="1"/>
  <c r="D339" i="25"/>
  <c r="C339" i="25"/>
  <c r="I338" i="25"/>
  <c r="D338" i="25"/>
  <c r="C338" i="25"/>
  <c r="I337" i="25"/>
  <c r="D337" i="25"/>
  <c r="C337" i="25"/>
  <c r="I336" i="25"/>
  <c r="D336" i="25"/>
  <c r="C336" i="25"/>
  <c r="I335" i="25"/>
  <c r="AM335" i="25" s="1"/>
  <c r="D335" i="25"/>
  <c r="C335" i="25"/>
  <c r="I334" i="25"/>
  <c r="D334" i="25"/>
  <c r="C334" i="25"/>
  <c r="I333" i="25"/>
  <c r="D333" i="25"/>
  <c r="C333" i="25"/>
  <c r="I332" i="25"/>
  <c r="D332" i="25"/>
  <c r="C332" i="25"/>
  <c r="I331" i="25"/>
  <c r="AM331" i="25" s="1"/>
  <c r="D331" i="25"/>
  <c r="C331" i="25"/>
  <c r="I330" i="25"/>
  <c r="D330" i="25"/>
  <c r="C330" i="25"/>
  <c r="I329" i="25"/>
  <c r="D329" i="25"/>
  <c r="C329" i="25"/>
  <c r="I328" i="25"/>
  <c r="D328" i="25"/>
  <c r="C328" i="25"/>
  <c r="I327" i="25"/>
  <c r="AM327" i="25" s="1"/>
  <c r="D327" i="25"/>
  <c r="C327" i="25"/>
  <c r="I326" i="25"/>
  <c r="D326" i="25"/>
  <c r="C326" i="25"/>
  <c r="I325" i="25"/>
  <c r="D325" i="25"/>
  <c r="C325" i="25"/>
  <c r="I324" i="25"/>
  <c r="D324" i="25"/>
  <c r="C324" i="25"/>
  <c r="I323" i="25"/>
  <c r="AM323" i="25" s="1"/>
  <c r="D323" i="25"/>
  <c r="C323" i="25"/>
  <c r="I322" i="25"/>
  <c r="D322" i="25"/>
  <c r="C322" i="25"/>
  <c r="I321" i="25"/>
  <c r="D321" i="25"/>
  <c r="C321" i="25"/>
  <c r="I320" i="25"/>
  <c r="D320" i="25"/>
  <c r="C320" i="25"/>
  <c r="I319" i="25"/>
  <c r="AM319" i="25" s="1"/>
  <c r="D319" i="25"/>
  <c r="C319" i="25"/>
  <c r="I318" i="25"/>
  <c r="D318" i="25"/>
  <c r="C318" i="25"/>
  <c r="I317" i="25"/>
  <c r="D317" i="25"/>
  <c r="C317" i="25"/>
  <c r="I316" i="25"/>
  <c r="D316" i="25"/>
  <c r="C316" i="25"/>
  <c r="I315" i="25"/>
  <c r="AM315" i="25" s="1"/>
  <c r="D315" i="25"/>
  <c r="C315" i="25"/>
  <c r="I314" i="25"/>
  <c r="D314" i="25"/>
  <c r="C314" i="25"/>
  <c r="I313" i="25"/>
  <c r="D313" i="25"/>
  <c r="C313" i="25"/>
  <c r="I312" i="25"/>
  <c r="D312" i="25"/>
  <c r="C312" i="25"/>
  <c r="I311" i="25"/>
  <c r="AM311" i="25" s="1"/>
  <c r="D311" i="25"/>
  <c r="C311" i="25"/>
  <c r="I310" i="25"/>
  <c r="D310" i="25"/>
  <c r="C310" i="25"/>
  <c r="I309" i="25"/>
  <c r="D309" i="25"/>
  <c r="C309" i="25"/>
  <c r="I308" i="25"/>
  <c r="D308" i="25"/>
  <c r="C308" i="25"/>
  <c r="I307" i="25"/>
  <c r="AM307" i="25" s="1"/>
  <c r="D307" i="25"/>
  <c r="C307" i="25"/>
  <c r="I306" i="25"/>
  <c r="D306" i="25"/>
  <c r="C306" i="25"/>
  <c r="I305" i="25"/>
  <c r="D305" i="25"/>
  <c r="C305" i="25"/>
  <c r="I304" i="25"/>
  <c r="D304" i="25"/>
  <c r="C304" i="25"/>
  <c r="I303" i="25"/>
  <c r="AM303" i="25" s="1"/>
  <c r="D303" i="25"/>
  <c r="C303" i="25"/>
  <c r="I302" i="25"/>
  <c r="D302" i="25"/>
  <c r="C302" i="25"/>
  <c r="I301" i="25"/>
  <c r="D301" i="25"/>
  <c r="C301" i="25"/>
  <c r="I300" i="25"/>
  <c r="D300" i="25"/>
  <c r="C300" i="25"/>
  <c r="I299" i="25"/>
  <c r="AM299" i="25" s="1"/>
  <c r="D299" i="25"/>
  <c r="C299" i="25"/>
  <c r="I298" i="25"/>
  <c r="D298" i="25"/>
  <c r="C298" i="25"/>
  <c r="I297" i="25"/>
  <c r="D297" i="25"/>
  <c r="C297" i="25"/>
  <c r="I296" i="25"/>
  <c r="D296" i="25"/>
  <c r="C296" i="25"/>
  <c r="I295" i="25"/>
  <c r="AM295" i="25" s="1"/>
  <c r="D295" i="25"/>
  <c r="C295" i="25"/>
  <c r="I294" i="25"/>
  <c r="D294" i="25"/>
  <c r="C294" i="25"/>
  <c r="I293" i="25"/>
  <c r="D293" i="25"/>
  <c r="C293" i="25"/>
  <c r="I292" i="25"/>
  <c r="D292" i="25"/>
  <c r="C292" i="25"/>
  <c r="I291" i="25"/>
  <c r="AM291" i="25" s="1"/>
  <c r="D291" i="25"/>
  <c r="C291" i="25"/>
  <c r="I290" i="25"/>
  <c r="D290" i="25"/>
  <c r="C290" i="25"/>
  <c r="I289" i="25"/>
  <c r="D289" i="25"/>
  <c r="C289" i="25"/>
  <c r="I288" i="25"/>
  <c r="D288" i="25"/>
  <c r="C288" i="25"/>
  <c r="I287" i="25"/>
  <c r="AM287" i="25" s="1"/>
  <c r="D287" i="25"/>
  <c r="C287" i="25"/>
  <c r="I286" i="25"/>
  <c r="D286" i="25"/>
  <c r="C286" i="25"/>
  <c r="I285" i="25"/>
  <c r="D285" i="25"/>
  <c r="C285" i="25"/>
  <c r="I284" i="25"/>
  <c r="D284" i="25"/>
  <c r="C284" i="25"/>
  <c r="I283" i="25"/>
  <c r="AM283" i="25" s="1"/>
  <c r="D283" i="25"/>
  <c r="C283" i="25"/>
  <c r="I282" i="25"/>
  <c r="D282" i="25"/>
  <c r="C282" i="25"/>
  <c r="I281" i="25"/>
  <c r="D281" i="25"/>
  <c r="C281" i="25"/>
  <c r="I280" i="25"/>
  <c r="D280" i="25"/>
  <c r="C280" i="25"/>
  <c r="I279" i="25"/>
  <c r="AM279" i="25" s="1"/>
  <c r="D279" i="25"/>
  <c r="C279" i="25"/>
  <c r="I278" i="25"/>
  <c r="D278" i="25"/>
  <c r="C278" i="25"/>
  <c r="I277" i="25"/>
  <c r="D277" i="25"/>
  <c r="C277" i="25"/>
  <c r="I276" i="25"/>
  <c r="D276" i="25"/>
  <c r="C276" i="25"/>
  <c r="I275" i="25"/>
  <c r="AM275" i="25" s="1"/>
  <c r="D275" i="25"/>
  <c r="C275" i="25"/>
  <c r="I274" i="25"/>
  <c r="D274" i="25"/>
  <c r="C274" i="25"/>
  <c r="I273" i="25"/>
  <c r="D273" i="25"/>
  <c r="C273" i="25"/>
  <c r="I272" i="25"/>
  <c r="D272" i="25"/>
  <c r="C272" i="25"/>
  <c r="I271" i="25"/>
  <c r="AM271" i="25" s="1"/>
  <c r="D271" i="25"/>
  <c r="C271" i="25"/>
  <c r="I270" i="25"/>
  <c r="D270" i="25"/>
  <c r="C270" i="25"/>
  <c r="I269" i="25"/>
  <c r="D269" i="25"/>
  <c r="C269" i="25"/>
  <c r="I268" i="25"/>
  <c r="D268" i="25"/>
  <c r="C268" i="25"/>
  <c r="I267" i="25"/>
  <c r="AM267" i="25" s="1"/>
  <c r="D267" i="25"/>
  <c r="C267" i="25"/>
  <c r="I266" i="25"/>
  <c r="D266" i="25"/>
  <c r="C266" i="25"/>
  <c r="I265" i="25"/>
  <c r="D265" i="25"/>
  <c r="C265" i="25"/>
  <c r="I264" i="25"/>
  <c r="D264" i="25"/>
  <c r="C264" i="25"/>
  <c r="I263" i="25"/>
  <c r="AM263" i="25" s="1"/>
  <c r="D263" i="25"/>
  <c r="C263" i="25"/>
  <c r="I262" i="25"/>
  <c r="D262" i="25"/>
  <c r="C262" i="25"/>
  <c r="I261" i="25"/>
  <c r="D261" i="25"/>
  <c r="C261" i="25"/>
  <c r="I260" i="25"/>
  <c r="D260" i="25"/>
  <c r="C260" i="25"/>
  <c r="I259" i="25"/>
  <c r="AM259" i="25" s="1"/>
  <c r="D259" i="25"/>
  <c r="C259" i="25"/>
  <c r="I258" i="25"/>
  <c r="D258" i="25"/>
  <c r="C258" i="25"/>
  <c r="I257" i="25"/>
  <c r="D257" i="25"/>
  <c r="C257" i="25"/>
  <c r="I256" i="25"/>
  <c r="D256" i="25"/>
  <c r="C256" i="25"/>
  <c r="I255" i="25"/>
  <c r="AM255" i="25" s="1"/>
  <c r="D255" i="25"/>
  <c r="C255" i="25"/>
  <c r="I254" i="25"/>
  <c r="D254" i="25"/>
  <c r="C254" i="25"/>
  <c r="I253" i="25"/>
  <c r="D253" i="25"/>
  <c r="C253" i="25"/>
  <c r="I252" i="25"/>
  <c r="D252" i="25"/>
  <c r="C252" i="25"/>
  <c r="I251" i="25"/>
  <c r="AM251" i="25" s="1"/>
  <c r="D251" i="25"/>
  <c r="C251" i="25"/>
  <c r="I250" i="25"/>
  <c r="D250" i="25"/>
  <c r="C250" i="25"/>
  <c r="I249" i="25"/>
  <c r="D249" i="25"/>
  <c r="C249" i="25"/>
  <c r="I248" i="25"/>
  <c r="D248" i="25"/>
  <c r="C248" i="25"/>
  <c r="I247" i="25"/>
  <c r="AM247" i="25" s="1"/>
  <c r="D247" i="25"/>
  <c r="C247" i="25"/>
  <c r="I246" i="25"/>
  <c r="D246" i="25"/>
  <c r="C246" i="25"/>
  <c r="I245" i="25"/>
  <c r="D245" i="25"/>
  <c r="C245" i="25"/>
  <c r="I244" i="25"/>
  <c r="D244" i="25"/>
  <c r="C244" i="25"/>
  <c r="I243" i="25"/>
  <c r="AM243" i="25" s="1"/>
  <c r="D243" i="25"/>
  <c r="C243" i="25"/>
  <c r="I242" i="25"/>
  <c r="D242" i="25"/>
  <c r="C242" i="25"/>
  <c r="I241" i="25"/>
  <c r="D241" i="25"/>
  <c r="C241" i="25"/>
  <c r="I240" i="25"/>
  <c r="D240" i="25"/>
  <c r="C240" i="25"/>
  <c r="I239" i="25"/>
  <c r="AM239" i="25" s="1"/>
  <c r="D239" i="25"/>
  <c r="C239" i="25"/>
  <c r="I238" i="25"/>
  <c r="D238" i="25"/>
  <c r="C238" i="25"/>
  <c r="I237" i="25"/>
  <c r="D237" i="25"/>
  <c r="C237" i="25"/>
  <c r="I236" i="25"/>
  <c r="D236" i="25"/>
  <c r="C236" i="25"/>
  <c r="I235" i="25"/>
  <c r="AM235" i="25" s="1"/>
  <c r="D235" i="25"/>
  <c r="C235" i="25"/>
  <c r="I234" i="25"/>
  <c r="D234" i="25"/>
  <c r="C234" i="25"/>
  <c r="I233" i="25"/>
  <c r="D233" i="25"/>
  <c r="C233" i="25"/>
  <c r="I232" i="25"/>
  <c r="D232" i="25"/>
  <c r="C232" i="25"/>
  <c r="I231" i="25"/>
  <c r="AM231" i="25" s="1"/>
  <c r="D231" i="25"/>
  <c r="C231" i="25"/>
  <c r="I230" i="25"/>
  <c r="D230" i="25"/>
  <c r="C230" i="25"/>
  <c r="I229" i="25"/>
  <c r="D229" i="25"/>
  <c r="C229" i="25"/>
  <c r="I228" i="25"/>
  <c r="D228" i="25"/>
  <c r="C228" i="25"/>
  <c r="I227" i="25"/>
  <c r="AM227" i="25" s="1"/>
  <c r="D227" i="25"/>
  <c r="C227" i="25"/>
  <c r="I226" i="25"/>
  <c r="D226" i="25"/>
  <c r="C226" i="25"/>
  <c r="I225" i="25"/>
  <c r="D225" i="25"/>
  <c r="C225" i="25"/>
  <c r="I224" i="25"/>
  <c r="D224" i="25"/>
  <c r="C224" i="25"/>
  <c r="I223" i="25"/>
  <c r="AM223" i="25" s="1"/>
  <c r="D223" i="25"/>
  <c r="C223" i="25"/>
  <c r="I222" i="25"/>
  <c r="D222" i="25"/>
  <c r="C222" i="25"/>
  <c r="I221" i="25"/>
  <c r="D221" i="25"/>
  <c r="I220" i="25"/>
  <c r="I219" i="25"/>
  <c r="D219" i="25"/>
  <c r="I218" i="25"/>
  <c r="D218" i="25"/>
  <c r="I217" i="25"/>
  <c r="D217" i="25"/>
  <c r="I216" i="25"/>
  <c r="D216" i="25"/>
  <c r="I215" i="25"/>
  <c r="D215" i="25"/>
  <c r="I214" i="25"/>
  <c r="D214" i="25"/>
  <c r="I213" i="25"/>
  <c r="D213" i="25"/>
  <c r="I212" i="25"/>
  <c r="D212" i="25"/>
  <c r="I211" i="25"/>
  <c r="D211" i="25"/>
  <c r="I210" i="25"/>
  <c r="D210" i="25"/>
  <c r="I209" i="25"/>
  <c r="D209" i="25"/>
  <c r="I208" i="25"/>
  <c r="D208" i="25"/>
  <c r="I207" i="25"/>
  <c r="D207" i="25"/>
  <c r="I206" i="25"/>
  <c r="D206" i="25"/>
  <c r="I205" i="25"/>
  <c r="D205" i="25"/>
  <c r="I204" i="25"/>
  <c r="D204" i="25"/>
  <c r="I203" i="25"/>
  <c r="D203" i="25"/>
  <c r="I202" i="25"/>
  <c r="D202" i="25"/>
  <c r="I201" i="25"/>
  <c r="D201" i="25"/>
  <c r="I200" i="25"/>
  <c r="D200" i="25"/>
  <c r="I199" i="25"/>
  <c r="D199" i="25"/>
  <c r="I198" i="25"/>
  <c r="D198" i="25"/>
  <c r="I197" i="25"/>
  <c r="D197" i="25"/>
  <c r="I196" i="25"/>
  <c r="D196" i="25"/>
  <c r="I195" i="25"/>
  <c r="D195" i="25"/>
  <c r="I194" i="25"/>
  <c r="D194" i="25"/>
  <c r="I193" i="25"/>
  <c r="AM193" i="25" s="1"/>
  <c r="D193" i="25"/>
  <c r="I192" i="25"/>
  <c r="D192" i="25"/>
  <c r="I191" i="25"/>
  <c r="AM191" i="25" s="1"/>
  <c r="D191" i="25"/>
  <c r="I190" i="25"/>
  <c r="D190" i="25"/>
  <c r="I189" i="25"/>
  <c r="AM189" i="25" s="1"/>
  <c r="D189" i="25"/>
  <c r="I188" i="25"/>
  <c r="D188" i="25"/>
  <c r="I187" i="25"/>
  <c r="AM187" i="25" s="1"/>
  <c r="D187" i="25"/>
  <c r="I186" i="25"/>
  <c r="D186" i="25"/>
  <c r="I185" i="25"/>
  <c r="AM185" i="25" s="1"/>
  <c r="D185" i="25"/>
  <c r="I184" i="25"/>
  <c r="D184" i="25"/>
  <c r="I183" i="25"/>
  <c r="AM183" i="25" s="1"/>
  <c r="D183" i="25"/>
  <c r="I182" i="25"/>
  <c r="D182" i="25"/>
  <c r="I181" i="25"/>
  <c r="AM181" i="25" s="1"/>
  <c r="D181" i="25"/>
  <c r="I180" i="25"/>
  <c r="D180" i="25"/>
  <c r="I179" i="25"/>
  <c r="AM179" i="25" s="1"/>
  <c r="D179" i="25"/>
  <c r="I178" i="25"/>
  <c r="D178" i="25"/>
  <c r="I177" i="25"/>
  <c r="AM177" i="25" s="1"/>
  <c r="D177" i="25"/>
  <c r="I176" i="25"/>
  <c r="D176" i="25"/>
  <c r="I175" i="25"/>
  <c r="AM175" i="25" s="1"/>
  <c r="D175" i="25"/>
  <c r="I174" i="25"/>
  <c r="D174" i="25"/>
  <c r="I173" i="25"/>
  <c r="AM173" i="25" s="1"/>
  <c r="D173" i="25"/>
  <c r="I172" i="25"/>
  <c r="D172" i="25"/>
  <c r="I171" i="25"/>
  <c r="AM171" i="25" s="1"/>
  <c r="D171" i="25"/>
  <c r="I170" i="25"/>
  <c r="D170" i="25"/>
  <c r="I169" i="25"/>
  <c r="AM169" i="25" s="1"/>
  <c r="D169" i="25"/>
  <c r="I168" i="25"/>
  <c r="D168" i="25"/>
  <c r="I167" i="25"/>
  <c r="AM167" i="25" s="1"/>
  <c r="D167" i="25"/>
  <c r="I166" i="25"/>
  <c r="D166" i="25"/>
  <c r="I165" i="25"/>
  <c r="AM165" i="25" s="1"/>
  <c r="D165" i="25"/>
  <c r="I164" i="25"/>
  <c r="D164" i="25"/>
  <c r="I163" i="25"/>
  <c r="AM163" i="25" s="1"/>
  <c r="D163" i="25"/>
  <c r="I162" i="25"/>
  <c r="D162" i="25"/>
  <c r="I161" i="25"/>
  <c r="AM161" i="25" s="1"/>
  <c r="D161" i="25"/>
  <c r="I160" i="25"/>
  <c r="D160" i="25"/>
  <c r="I159" i="25"/>
  <c r="AM159" i="25" s="1"/>
  <c r="D159" i="25"/>
  <c r="I158" i="25"/>
  <c r="D158" i="25"/>
  <c r="I157" i="25"/>
  <c r="AM157" i="25" s="1"/>
  <c r="D157" i="25"/>
  <c r="I156" i="25"/>
  <c r="D156" i="25"/>
  <c r="I155" i="25"/>
  <c r="AM155" i="25" s="1"/>
  <c r="D155" i="25"/>
  <c r="I154" i="25"/>
  <c r="D154" i="25"/>
  <c r="I153" i="25"/>
  <c r="AM153" i="25" s="1"/>
  <c r="D153" i="25"/>
  <c r="I152" i="25"/>
  <c r="D152" i="25"/>
  <c r="I151" i="25"/>
  <c r="AM151" i="25" s="1"/>
  <c r="D151" i="25"/>
  <c r="I150" i="25"/>
  <c r="D150" i="25"/>
  <c r="I149" i="25"/>
  <c r="AM149" i="25" s="1"/>
  <c r="D149" i="25"/>
  <c r="I148" i="25"/>
  <c r="D148" i="25"/>
  <c r="I147" i="25"/>
  <c r="AM147" i="25" s="1"/>
  <c r="D147" i="25"/>
  <c r="I146" i="25"/>
  <c r="D146" i="25"/>
  <c r="I145" i="25"/>
  <c r="AM145" i="25" s="1"/>
  <c r="D145" i="25"/>
  <c r="I144" i="25"/>
  <c r="D144" i="25"/>
  <c r="I143" i="25"/>
  <c r="AM143" i="25" s="1"/>
  <c r="D143" i="25"/>
  <c r="I142" i="25"/>
  <c r="D142" i="25"/>
  <c r="I141" i="25"/>
  <c r="AM141" i="25" s="1"/>
  <c r="D141" i="25"/>
  <c r="I140" i="25"/>
  <c r="D140" i="25"/>
  <c r="I139" i="25"/>
  <c r="AM139" i="25" s="1"/>
  <c r="D139" i="25"/>
  <c r="I138" i="25"/>
  <c r="D138" i="25"/>
  <c r="I137" i="25"/>
  <c r="AM137" i="25" s="1"/>
  <c r="D137" i="25"/>
  <c r="I136" i="25"/>
  <c r="D136" i="25"/>
  <c r="I135" i="25"/>
  <c r="AM135" i="25" s="1"/>
  <c r="D135" i="25"/>
  <c r="I134" i="25"/>
  <c r="D134" i="25"/>
  <c r="I133" i="25"/>
  <c r="AM133" i="25" s="1"/>
  <c r="D133" i="25"/>
  <c r="I132" i="25"/>
  <c r="D132" i="25"/>
  <c r="I131" i="25"/>
  <c r="AM131" i="25" s="1"/>
  <c r="D131" i="25"/>
  <c r="I130" i="25"/>
  <c r="D130" i="25"/>
  <c r="I129" i="25"/>
  <c r="AM129" i="25" s="1"/>
  <c r="D129" i="25"/>
  <c r="I128" i="25"/>
  <c r="D128" i="25"/>
  <c r="I127" i="25"/>
  <c r="AM127" i="25" s="1"/>
  <c r="D127" i="25"/>
  <c r="I126" i="25"/>
  <c r="D126" i="25"/>
  <c r="I125" i="25"/>
  <c r="AM125" i="25" s="1"/>
  <c r="D125" i="25"/>
  <c r="I124" i="25"/>
  <c r="D124" i="25"/>
  <c r="I123" i="25"/>
  <c r="AM123" i="25" s="1"/>
  <c r="D123" i="25"/>
  <c r="I122" i="25"/>
  <c r="D122" i="25"/>
  <c r="I121" i="25"/>
  <c r="AM121" i="25" s="1"/>
  <c r="D121" i="25"/>
  <c r="I120" i="25"/>
  <c r="D120" i="25"/>
  <c r="I119" i="25"/>
  <c r="AM119" i="25" s="1"/>
  <c r="D119" i="25"/>
  <c r="I118" i="25"/>
  <c r="D118" i="25"/>
  <c r="I117" i="25"/>
  <c r="AM117" i="25" s="1"/>
  <c r="D117" i="25"/>
  <c r="I116" i="25"/>
  <c r="D116" i="25"/>
  <c r="I115" i="25"/>
  <c r="AM115" i="25" s="1"/>
  <c r="D115" i="25"/>
  <c r="I114" i="25"/>
  <c r="D114" i="25"/>
  <c r="I113" i="25"/>
  <c r="AM113" i="25" s="1"/>
  <c r="D113" i="25"/>
  <c r="I112" i="25"/>
  <c r="D112" i="25"/>
  <c r="I111" i="25"/>
  <c r="AM111" i="25" s="1"/>
  <c r="D111" i="25"/>
  <c r="I110" i="25"/>
  <c r="D110" i="25"/>
  <c r="I109" i="25"/>
  <c r="AM109" i="25" s="1"/>
  <c r="D109" i="25"/>
  <c r="I108" i="25"/>
  <c r="D108" i="25"/>
  <c r="I107" i="25"/>
  <c r="AM107" i="25" s="1"/>
  <c r="D107" i="25"/>
  <c r="I106" i="25"/>
  <c r="D106" i="25"/>
  <c r="I105" i="25"/>
  <c r="AM105" i="25" s="1"/>
  <c r="D105" i="25"/>
  <c r="I104" i="25"/>
  <c r="D104" i="25"/>
  <c r="I103" i="25"/>
  <c r="AM103" i="25" s="1"/>
  <c r="D103" i="25"/>
  <c r="I102" i="25"/>
  <c r="D102" i="25"/>
  <c r="I101" i="25"/>
  <c r="AM101" i="25" s="1"/>
  <c r="D101" i="25"/>
  <c r="I100" i="25"/>
  <c r="D100" i="25"/>
  <c r="I99" i="25"/>
  <c r="AM99" i="25" s="1"/>
  <c r="D99" i="25"/>
  <c r="I98" i="25"/>
  <c r="D98" i="25"/>
  <c r="I97" i="25"/>
  <c r="AM97" i="25" s="1"/>
  <c r="D97" i="25"/>
  <c r="I96" i="25"/>
  <c r="D96" i="25"/>
  <c r="I95" i="25"/>
  <c r="AM95" i="25" s="1"/>
  <c r="D95" i="25"/>
  <c r="I94" i="25"/>
  <c r="D94" i="25"/>
  <c r="I93" i="25"/>
  <c r="AM93" i="25" s="1"/>
  <c r="D93" i="25"/>
  <c r="I92" i="25"/>
  <c r="D92" i="25"/>
  <c r="I91" i="25"/>
  <c r="AM91" i="25" s="1"/>
  <c r="D91" i="25"/>
  <c r="I90" i="25"/>
  <c r="D90" i="25"/>
  <c r="I89" i="25"/>
  <c r="AM89" i="25" s="1"/>
  <c r="D89" i="25"/>
  <c r="I88" i="25"/>
  <c r="D88" i="25"/>
  <c r="I87" i="25"/>
  <c r="AM87" i="25" s="1"/>
  <c r="D87" i="25"/>
  <c r="I86" i="25"/>
  <c r="D86" i="25"/>
  <c r="I85" i="25"/>
  <c r="AM85" i="25" s="1"/>
  <c r="D85" i="25"/>
  <c r="I84" i="25"/>
  <c r="D84" i="25"/>
  <c r="I83" i="25"/>
  <c r="AM83" i="25" s="1"/>
  <c r="D83" i="25"/>
  <c r="I82" i="25"/>
  <c r="D82" i="25"/>
  <c r="I81" i="25"/>
  <c r="AM81" i="25" s="1"/>
  <c r="D81" i="25"/>
  <c r="I80" i="25"/>
  <c r="D80" i="25"/>
  <c r="I79" i="25"/>
  <c r="AM79" i="25" s="1"/>
  <c r="D79" i="25"/>
  <c r="I78" i="25"/>
  <c r="D78" i="25"/>
  <c r="I77" i="25"/>
  <c r="AM77" i="25" s="1"/>
  <c r="D77" i="25"/>
  <c r="I76" i="25"/>
  <c r="D76" i="25"/>
  <c r="I75" i="25"/>
  <c r="AM75" i="25" s="1"/>
  <c r="D75" i="25"/>
  <c r="I74" i="25"/>
  <c r="D74" i="25"/>
  <c r="I73" i="25"/>
  <c r="AM73" i="25" s="1"/>
  <c r="D73" i="25"/>
  <c r="I72" i="25"/>
  <c r="D72" i="25"/>
  <c r="I71" i="25"/>
  <c r="AM71" i="25" s="1"/>
  <c r="D71" i="25"/>
  <c r="I70" i="25"/>
  <c r="D70" i="25"/>
  <c r="I69" i="25"/>
  <c r="AM69" i="25" s="1"/>
  <c r="D69" i="25"/>
  <c r="I68" i="25"/>
  <c r="D68" i="25"/>
  <c r="I67" i="25"/>
  <c r="AM67" i="25" s="1"/>
  <c r="D67" i="25"/>
  <c r="I66" i="25"/>
  <c r="D66" i="25"/>
  <c r="I65" i="25"/>
  <c r="AM65" i="25" s="1"/>
  <c r="D65" i="25"/>
  <c r="I64" i="25"/>
  <c r="D64" i="25"/>
  <c r="I63" i="25"/>
  <c r="AM63" i="25" s="1"/>
  <c r="D63" i="25"/>
  <c r="I62" i="25"/>
  <c r="D62" i="25"/>
  <c r="I61" i="25"/>
  <c r="AM61" i="25" s="1"/>
  <c r="D61" i="25"/>
  <c r="I60" i="25"/>
  <c r="D60" i="25"/>
  <c r="I59" i="25"/>
  <c r="AM59" i="25" s="1"/>
  <c r="D59" i="25"/>
  <c r="I58" i="25"/>
  <c r="D58" i="25"/>
  <c r="I57" i="25"/>
  <c r="AM57" i="25" s="1"/>
  <c r="D57" i="25"/>
  <c r="I56" i="25"/>
  <c r="D56" i="25"/>
  <c r="I55" i="25"/>
  <c r="AM55" i="25" s="1"/>
  <c r="D55" i="25"/>
  <c r="I54" i="25"/>
  <c r="D54" i="25"/>
  <c r="I53" i="25"/>
  <c r="AM53" i="25" s="1"/>
  <c r="D53" i="25"/>
  <c r="I52" i="25"/>
  <c r="D52" i="25"/>
  <c r="I51" i="25"/>
  <c r="AM51" i="25" s="1"/>
  <c r="D51" i="25"/>
  <c r="I50" i="25"/>
  <c r="D50" i="25"/>
  <c r="I49" i="25"/>
  <c r="AM49" i="25" s="1"/>
  <c r="D49" i="25"/>
  <c r="I48" i="25"/>
  <c r="D48" i="25"/>
  <c r="I47" i="25"/>
  <c r="AM47" i="25" s="1"/>
  <c r="D47" i="25"/>
  <c r="I46" i="25"/>
  <c r="D46" i="25"/>
  <c r="I45" i="25"/>
  <c r="AM45" i="25" s="1"/>
  <c r="D45" i="25"/>
  <c r="I44" i="25"/>
  <c r="D44" i="25"/>
  <c r="I43" i="25"/>
  <c r="AM43" i="25" s="1"/>
  <c r="D43" i="25"/>
  <c r="I42" i="25"/>
  <c r="D42" i="25"/>
  <c r="I41" i="25"/>
  <c r="AM41" i="25" s="1"/>
  <c r="D41" i="25"/>
  <c r="I40" i="25"/>
  <c r="D40" i="25"/>
  <c r="I39" i="25"/>
  <c r="AM39" i="25" s="1"/>
  <c r="D39" i="25"/>
  <c r="I38" i="25"/>
  <c r="D38" i="25"/>
  <c r="I37" i="25"/>
  <c r="AM37" i="25" s="1"/>
  <c r="D37" i="25"/>
  <c r="I36" i="25"/>
  <c r="D36" i="25"/>
  <c r="I35" i="25"/>
  <c r="AM35" i="25" s="1"/>
  <c r="D35" i="25"/>
  <c r="I34" i="25"/>
  <c r="D34" i="25"/>
  <c r="I33" i="25"/>
  <c r="AM33" i="25" s="1"/>
  <c r="D33" i="25"/>
  <c r="I32" i="25"/>
  <c r="D32" i="25"/>
  <c r="I31" i="25"/>
  <c r="AM31" i="25" s="1"/>
  <c r="D31" i="25"/>
  <c r="I30" i="25"/>
  <c r="D30" i="25"/>
  <c r="I29" i="25"/>
  <c r="AM29" i="25" s="1"/>
  <c r="D29" i="25"/>
  <c r="I28" i="25"/>
  <c r="D28" i="25"/>
  <c r="I27" i="25"/>
  <c r="AM27" i="25" s="1"/>
  <c r="D27" i="25"/>
  <c r="I26" i="25"/>
  <c r="D26" i="25"/>
  <c r="I25" i="25"/>
  <c r="AM25" i="25" s="1"/>
  <c r="D25" i="25"/>
  <c r="I24" i="25"/>
  <c r="D24" i="25"/>
  <c r="I23" i="25"/>
  <c r="AM23" i="25" s="1"/>
  <c r="D23" i="25"/>
  <c r="I22" i="25"/>
  <c r="D22" i="25"/>
  <c r="I21" i="25"/>
  <c r="AM21" i="25" s="1"/>
  <c r="D21" i="25"/>
  <c r="I20" i="25"/>
  <c r="D20" i="25"/>
  <c r="I19" i="25"/>
  <c r="AM19" i="25" s="1"/>
  <c r="D19" i="25"/>
  <c r="I18" i="25"/>
  <c r="D18" i="25"/>
  <c r="I17" i="25"/>
  <c r="AM17" i="25" s="1"/>
  <c r="D17" i="25"/>
  <c r="I16" i="25"/>
  <c r="D16" i="25"/>
  <c r="I15" i="25"/>
  <c r="AM15" i="25" s="1"/>
  <c r="D15" i="25"/>
  <c r="I14" i="25"/>
  <c r="D14" i="25"/>
  <c r="I13" i="25"/>
  <c r="AM13" i="25" s="1"/>
  <c r="D13" i="25"/>
  <c r="I12" i="25"/>
  <c r="D12" i="25"/>
  <c r="I11" i="25"/>
  <c r="AM11" i="25" s="1"/>
  <c r="D11" i="25"/>
  <c r="I10" i="25"/>
  <c r="D10" i="25"/>
  <c r="I9" i="25"/>
  <c r="AM9" i="25" s="1"/>
  <c r="D9" i="25"/>
  <c r="I8" i="25"/>
  <c r="D8" i="25"/>
  <c r="I7" i="25"/>
  <c r="AM7" i="25" s="1"/>
  <c r="D7" i="25"/>
  <c r="I6" i="25"/>
  <c r="D6" i="25"/>
  <c r="I5" i="25"/>
  <c r="AM5" i="25" s="1"/>
  <c r="D5" i="25"/>
  <c r="I4" i="25"/>
  <c r="D4" i="25"/>
  <c r="I3" i="25"/>
  <c r="AM3" i="25" s="1"/>
  <c r="D3" i="25"/>
  <c r="I2" i="25"/>
  <c r="D2" i="25"/>
  <c r="AK663" i="31"/>
  <c r="AK664" i="31"/>
  <c r="AK665" i="31"/>
  <c r="AK666" i="31"/>
  <c r="AK667" i="31"/>
  <c r="AK668" i="31"/>
  <c r="AK669" i="31"/>
  <c r="AK670" i="31"/>
  <c r="AK671" i="31"/>
  <c r="AK672" i="31"/>
  <c r="AK673" i="31"/>
  <c r="AK674" i="31"/>
  <c r="AK675" i="31"/>
  <c r="AK676" i="31"/>
  <c r="AK677" i="31"/>
  <c r="AK678" i="31"/>
  <c r="AK679" i="31"/>
  <c r="AK680" i="31"/>
  <c r="AK681" i="31"/>
  <c r="AK682" i="31"/>
  <c r="AK683" i="31"/>
  <c r="AK684" i="31"/>
  <c r="AK685" i="31"/>
  <c r="AK686" i="31"/>
  <c r="AK687" i="31"/>
  <c r="AK688" i="31"/>
  <c r="AK689" i="31"/>
  <c r="AK690" i="31"/>
  <c r="AK691" i="31"/>
  <c r="AK692" i="31"/>
  <c r="AK693" i="31"/>
  <c r="AK694" i="31"/>
  <c r="AK695" i="31"/>
  <c r="AK696" i="31"/>
  <c r="AK697" i="31"/>
  <c r="AK698" i="31"/>
  <c r="AK699" i="31"/>
  <c r="AK700" i="31"/>
  <c r="AK701" i="31"/>
  <c r="AK702" i="31"/>
  <c r="AK703" i="31"/>
  <c r="AK704" i="31"/>
  <c r="AK705" i="31"/>
  <c r="AK706" i="31"/>
  <c r="AK707" i="31"/>
  <c r="AK708" i="31"/>
  <c r="AK709" i="31"/>
  <c r="AK710" i="31"/>
  <c r="AK711" i="31"/>
  <c r="AK712" i="31"/>
  <c r="AK713" i="31"/>
  <c r="AK714" i="31"/>
  <c r="AK715" i="31"/>
  <c r="AK716" i="31"/>
  <c r="AK717" i="31"/>
  <c r="AK718" i="31"/>
  <c r="AK719" i="31"/>
  <c r="AK720" i="31"/>
  <c r="AK721" i="31"/>
  <c r="AK722" i="31"/>
  <c r="AK723" i="31"/>
  <c r="AK724" i="31"/>
  <c r="AK725" i="31"/>
  <c r="AK726" i="31"/>
  <c r="AK727" i="31"/>
  <c r="AK728" i="31"/>
  <c r="AK729" i="31"/>
  <c r="AK730" i="31"/>
  <c r="AK731" i="31"/>
  <c r="AK732" i="31"/>
  <c r="AK733" i="31"/>
  <c r="AK734" i="31"/>
  <c r="AK735" i="31"/>
  <c r="AK736" i="31"/>
  <c r="AK737" i="31"/>
  <c r="AK738" i="31"/>
  <c r="AK739" i="31"/>
  <c r="AK740" i="31"/>
  <c r="AK741" i="31"/>
  <c r="AK742" i="31"/>
  <c r="AK743" i="31"/>
  <c r="AK744" i="31"/>
  <c r="AK745" i="31"/>
  <c r="AK746" i="31"/>
  <c r="AK747" i="31"/>
  <c r="AK748" i="31"/>
  <c r="AK749" i="31"/>
  <c r="AK750" i="31"/>
  <c r="AK751" i="31"/>
  <c r="AK752" i="31"/>
  <c r="AK753" i="31"/>
  <c r="AK754" i="31"/>
  <c r="AK755" i="31"/>
  <c r="AK756" i="31"/>
  <c r="AK757" i="31"/>
  <c r="AK758" i="31"/>
  <c r="AK759" i="31"/>
  <c r="AK760" i="31"/>
  <c r="AK761" i="31"/>
  <c r="AK762" i="31"/>
  <c r="AK763" i="31"/>
  <c r="AK764" i="31"/>
  <c r="AK765" i="31"/>
  <c r="AK766" i="31"/>
  <c r="AK767" i="31"/>
  <c r="AK768" i="31"/>
  <c r="AK769" i="31"/>
  <c r="AK770" i="31"/>
  <c r="AK771" i="31"/>
  <c r="AK772" i="31"/>
  <c r="AK773" i="31"/>
  <c r="AK774" i="31"/>
  <c r="AK775" i="31"/>
  <c r="AK776" i="31"/>
  <c r="AK777" i="31"/>
  <c r="AK778" i="31"/>
  <c r="AK779" i="31"/>
  <c r="AK780" i="31"/>
  <c r="AK781" i="31"/>
  <c r="AK782" i="31"/>
  <c r="AK783" i="31"/>
  <c r="AK784" i="31"/>
  <c r="AK785" i="31"/>
  <c r="AK786" i="31"/>
  <c r="AK787" i="31"/>
  <c r="AK788" i="31"/>
  <c r="AK789" i="31"/>
  <c r="AK790" i="31"/>
  <c r="AK791" i="31"/>
  <c r="AK792" i="31"/>
  <c r="AK793" i="31"/>
  <c r="AK794" i="31"/>
  <c r="AK795" i="31"/>
  <c r="AK796" i="31"/>
  <c r="AK797" i="31"/>
  <c r="AK798" i="31"/>
  <c r="AK799" i="31"/>
  <c r="AK800" i="31"/>
  <c r="AK801" i="31"/>
  <c r="AK802" i="31"/>
  <c r="AK803" i="31"/>
  <c r="AK804" i="31"/>
  <c r="AK805" i="31"/>
  <c r="AK806" i="31"/>
  <c r="AK807" i="31"/>
  <c r="AK808" i="31"/>
  <c r="AK809" i="31"/>
  <c r="AK810" i="31"/>
  <c r="AK811" i="31"/>
  <c r="AK812" i="31"/>
  <c r="AK813" i="31"/>
  <c r="AK814" i="31"/>
  <c r="AK815" i="31"/>
  <c r="AK816" i="31"/>
  <c r="AK817" i="31"/>
  <c r="AK818" i="31"/>
  <c r="AK819" i="31"/>
  <c r="AK820" i="31"/>
  <c r="AK821" i="31"/>
  <c r="AK822" i="31"/>
  <c r="AK823" i="31"/>
  <c r="AK824" i="31"/>
  <c r="AK825" i="31"/>
  <c r="AK826" i="31"/>
  <c r="AK827" i="31"/>
  <c r="AK828" i="31"/>
  <c r="AK829" i="31"/>
  <c r="AK830" i="31"/>
  <c r="AK831" i="31"/>
  <c r="AK832" i="31"/>
  <c r="AK833" i="31"/>
  <c r="AK834" i="31"/>
  <c r="AK835" i="31"/>
  <c r="AK836" i="31"/>
  <c r="AK837" i="31"/>
  <c r="AK838" i="31"/>
  <c r="AK839" i="31"/>
  <c r="AK840" i="31"/>
  <c r="AK841" i="31"/>
  <c r="AK842" i="31"/>
  <c r="AK843" i="31"/>
  <c r="AK844" i="31"/>
  <c r="AK845" i="31"/>
  <c r="AK846" i="31"/>
  <c r="AK847" i="31"/>
  <c r="AK848" i="31"/>
  <c r="AK849" i="31"/>
  <c r="AK850" i="31"/>
  <c r="AK851" i="31"/>
  <c r="AK852" i="31"/>
  <c r="AK853" i="31"/>
  <c r="AK854" i="31"/>
  <c r="AK855" i="31"/>
  <c r="AK856" i="31"/>
  <c r="AK857" i="31"/>
  <c r="AK858" i="31"/>
  <c r="AK859" i="31"/>
  <c r="AK860" i="31"/>
  <c r="AK861" i="31"/>
  <c r="AK862" i="31"/>
  <c r="AK863" i="31"/>
  <c r="AK864" i="31"/>
  <c r="AK865" i="31"/>
  <c r="AK866" i="31"/>
  <c r="AK867" i="31"/>
  <c r="AK868" i="31"/>
  <c r="AK869" i="31"/>
  <c r="AK870" i="31"/>
  <c r="AK871" i="31"/>
  <c r="AK872" i="31"/>
  <c r="AK873" i="31"/>
  <c r="AK874" i="31"/>
  <c r="AK875" i="31"/>
  <c r="AK876" i="31"/>
  <c r="AK877" i="31"/>
  <c r="AK878" i="31"/>
  <c r="AK879" i="31"/>
  <c r="AK880" i="31"/>
  <c r="AK881" i="31"/>
  <c r="AK662" i="31"/>
  <c r="AK443" i="31"/>
  <c r="AK444" i="31"/>
  <c r="AK445" i="31"/>
  <c r="AK446" i="31"/>
  <c r="AK447" i="31"/>
  <c r="AK448" i="31"/>
  <c r="AK449" i="31"/>
  <c r="AK450" i="31"/>
  <c r="AK451" i="31"/>
  <c r="AK452" i="31"/>
  <c r="AK453" i="31"/>
  <c r="AK454" i="31"/>
  <c r="AK455" i="31"/>
  <c r="AK456" i="31"/>
  <c r="AK457" i="31"/>
  <c r="AK458" i="31"/>
  <c r="AK459" i="31"/>
  <c r="AK460" i="31"/>
  <c r="AK461" i="31"/>
  <c r="AK462" i="31"/>
  <c r="AK463" i="31"/>
  <c r="AK464" i="31"/>
  <c r="AK465" i="31"/>
  <c r="AK466" i="31"/>
  <c r="AK467" i="31"/>
  <c r="AK468" i="31"/>
  <c r="AK469" i="31"/>
  <c r="AK470" i="31"/>
  <c r="AK471" i="31"/>
  <c r="AK472" i="31"/>
  <c r="AK473" i="31"/>
  <c r="AK474" i="31"/>
  <c r="AK475" i="31"/>
  <c r="AK476" i="31"/>
  <c r="AK477" i="31"/>
  <c r="AK478" i="31"/>
  <c r="AK479" i="31"/>
  <c r="AK480" i="31"/>
  <c r="AK481" i="31"/>
  <c r="AK482" i="31"/>
  <c r="AK483" i="31"/>
  <c r="AK484" i="31"/>
  <c r="AK485" i="31"/>
  <c r="AK486" i="31"/>
  <c r="AK487" i="31"/>
  <c r="AK488" i="31"/>
  <c r="AK489" i="31"/>
  <c r="AK490" i="31"/>
  <c r="AK491" i="31"/>
  <c r="AK492" i="31"/>
  <c r="AK493" i="31"/>
  <c r="AK494" i="31"/>
  <c r="AK495" i="31"/>
  <c r="AK496" i="31"/>
  <c r="AK497" i="31"/>
  <c r="AK498" i="31"/>
  <c r="AK499" i="31"/>
  <c r="AK500" i="31"/>
  <c r="AK501" i="31"/>
  <c r="AK502" i="31"/>
  <c r="AK503" i="31"/>
  <c r="AK504" i="31"/>
  <c r="AK505" i="31"/>
  <c r="AK506" i="31"/>
  <c r="AK507" i="31"/>
  <c r="AK508" i="31"/>
  <c r="AK509" i="31"/>
  <c r="AK510" i="31"/>
  <c r="AK511" i="31"/>
  <c r="AK512" i="31"/>
  <c r="AK513" i="31"/>
  <c r="AK514" i="31"/>
  <c r="AK515" i="31"/>
  <c r="AK516" i="31"/>
  <c r="AK517" i="31"/>
  <c r="AK518" i="31"/>
  <c r="AK519" i="31"/>
  <c r="AK520" i="31"/>
  <c r="AK521" i="31"/>
  <c r="AK522" i="31"/>
  <c r="AK523" i="31"/>
  <c r="AK524" i="31"/>
  <c r="AK525" i="31"/>
  <c r="AK526" i="31"/>
  <c r="AK527" i="31"/>
  <c r="AK528" i="31"/>
  <c r="AK529" i="31"/>
  <c r="AK530" i="31"/>
  <c r="AK531" i="31"/>
  <c r="AK532" i="31"/>
  <c r="AK533" i="31"/>
  <c r="AK534" i="31"/>
  <c r="AK535" i="31"/>
  <c r="AK536" i="31"/>
  <c r="AK537" i="31"/>
  <c r="AK538" i="31"/>
  <c r="AK539" i="31"/>
  <c r="AK540" i="31"/>
  <c r="AK541" i="31"/>
  <c r="AK542" i="31"/>
  <c r="AK543" i="31"/>
  <c r="AK544" i="31"/>
  <c r="AK545" i="31"/>
  <c r="AK546" i="31"/>
  <c r="AK547" i="31"/>
  <c r="AK548" i="31"/>
  <c r="AK549" i="31"/>
  <c r="AK550" i="31"/>
  <c r="AK551" i="31"/>
  <c r="AK552" i="31"/>
  <c r="AK553" i="31"/>
  <c r="AK554" i="31"/>
  <c r="AK555" i="31"/>
  <c r="AK556" i="31"/>
  <c r="AK557" i="31"/>
  <c r="AK558" i="31"/>
  <c r="AK559" i="31"/>
  <c r="AK560" i="31"/>
  <c r="AK561" i="31"/>
  <c r="AK562" i="31"/>
  <c r="AK563" i="31"/>
  <c r="AK564" i="31"/>
  <c r="AK565" i="31"/>
  <c r="AK566" i="31"/>
  <c r="AK567" i="31"/>
  <c r="AK568" i="31"/>
  <c r="AK569" i="31"/>
  <c r="AK570" i="31"/>
  <c r="AK571" i="31"/>
  <c r="AK572" i="31"/>
  <c r="AK573" i="31"/>
  <c r="AK574" i="31"/>
  <c r="AK575" i="31"/>
  <c r="AK576" i="31"/>
  <c r="AK577" i="31"/>
  <c r="AK578" i="31"/>
  <c r="AK579" i="31"/>
  <c r="AK580" i="31"/>
  <c r="AK581" i="31"/>
  <c r="AK582" i="31"/>
  <c r="AK583" i="31"/>
  <c r="AK584" i="31"/>
  <c r="AK585" i="31"/>
  <c r="AK586" i="31"/>
  <c r="AK587" i="31"/>
  <c r="AK588" i="31"/>
  <c r="AK589" i="31"/>
  <c r="AK590" i="31"/>
  <c r="AK591" i="31"/>
  <c r="AK592" i="31"/>
  <c r="AK593" i="31"/>
  <c r="AK594" i="31"/>
  <c r="AK595" i="31"/>
  <c r="AK596" i="31"/>
  <c r="AK597" i="31"/>
  <c r="AK598" i="31"/>
  <c r="AK599" i="31"/>
  <c r="AK600" i="31"/>
  <c r="AK601" i="31"/>
  <c r="AK602" i="31"/>
  <c r="AK603" i="31"/>
  <c r="AK604" i="31"/>
  <c r="AK605" i="31"/>
  <c r="AK606" i="31"/>
  <c r="AK607" i="31"/>
  <c r="AK608" i="31"/>
  <c r="AK609" i="31"/>
  <c r="AK610" i="31"/>
  <c r="AK611" i="31"/>
  <c r="AK612" i="31"/>
  <c r="AK613" i="31"/>
  <c r="AK614" i="31"/>
  <c r="AK615" i="31"/>
  <c r="AK616" i="31"/>
  <c r="AK617" i="31"/>
  <c r="AK618" i="31"/>
  <c r="AK619" i="31"/>
  <c r="AK620" i="31"/>
  <c r="AK621" i="31"/>
  <c r="AK622" i="31"/>
  <c r="AK623" i="31"/>
  <c r="AK624" i="31"/>
  <c r="AK625" i="31"/>
  <c r="AK626" i="31"/>
  <c r="AK627" i="31"/>
  <c r="AK628" i="31"/>
  <c r="AK629" i="31"/>
  <c r="AK630" i="31"/>
  <c r="AK631" i="31"/>
  <c r="AK632" i="31"/>
  <c r="AK633" i="31"/>
  <c r="AK634" i="31"/>
  <c r="AK635" i="31"/>
  <c r="AK636" i="31"/>
  <c r="AK637" i="31"/>
  <c r="AK638" i="31"/>
  <c r="AK639" i="31"/>
  <c r="AK640" i="31"/>
  <c r="AK641" i="31"/>
  <c r="AK642" i="31"/>
  <c r="AK643" i="31"/>
  <c r="AK644" i="31"/>
  <c r="AK645" i="31"/>
  <c r="AK646" i="31"/>
  <c r="AK647" i="31"/>
  <c r="AK648" i="31"/>
  <c r="AK649" i="31"/>
  <c r="AK650" i="31"/>
  <c r="AK651" i="31"/>
  <c r="AK652" i="31"/>
  <c r="AK653" i="31"/>
  <c r="AK654" i="31"/>
  <c r="AK655" i="31"/>
  <c r="AK656" i="31"/>
  <c r="AK657" i="31"/>
  <c r="AK658" i="31"/>
  <c r="AK659" i="31"/>
  <c r="AK660" i="31"/>
  <c r="AK661" i="31"/>
  <c r="AK442" i="31"/>
  <c r="AK223" i="31"/>
  <c r="AK224" i="31"/>
  <c r="AK225" i="31"/>
  <c r="AK226" i="31"/>
  <c r="AK227" i="31"/>
  <c r="AK228" i="31"/>
  <c r="AK229" i="31"/>
  <c r="AK230" i="31"/>
  <c r="AK231" i="31"/>
  <c r="AK232" i="31"/>
  <c r="AK233" i="31"/>
  <c r="AK234" i="31"/>
  <c r="AK235" i="31"/>
  <c r="AK236" i="31"/>
  <c r="AK237" i="31"/>
  <c r="AK238" i="31"/>
  <c r="AK239" i="31"/>
  <c r="AK240" i="31"/>
  <c r="AK241" i="31"/>
  <c r="AK242" i="31"/>
  <c r="AK243" i="31"/>
  <c r="AK244" i="31"/>
  <c r="AK245" i="31"/>
  <c r="AK246" i="31"/>
  <c r="AK247" i="31"/>
  <c r="AK248" i="31"/>
  <c r="AK249" i="31"/>
  <c r="AK250" i="31"/>
  <c r="AK251" i="31"/>
  <c r="AK252" i="31"/>
  <c r="AK253" i="31"/>
  <c r="AK254" i="31"/>
  <c r="AK255" i="31"/>
  <c r="AK256" i="31"/>
  <c r="AK257" i="31"/>
  <c r="AK258" i="31"/>
  <c r="AK259" i="31"/>
  <c r="AK260" i="31"/>
  <c r="AK261" i="31"/>
  <c r="AK262" i="31"/>
  <c r="AK263" i="31"/>
  <c r="AK264" i="31"/>
  <c r="AK265" i="31"/>
  <c r="AK266" i="31"/>
  <c r="AK267" i="31"/>
  <c r="AK268" i="31"/>
  <c r="AK269" i="31"/>
  <c r="AK270" i="31"/>
  <c r="AK271" i="31"/>
  <c r="AK272" i="31"/>
  <c r="AK273" i="31"/>
  <c r="AK274" i="31"/>
  <c r="AK275" i="31"/>
  <c r="AK276" i="31"/>
  <c r="AK277" i="31"/>
  <c r="AK278" i="31"/>
  <c r="AK279" i="31"/>
  <c r="AK280" i="31"/>
  <c r="AK281" i="31"/>
  <c r="AK282" i="31"/>
  <c r="AK283" i="31"/>
  <c r="AK284" i="31"/>
  <c r="AK285" i="31"/>
  <c r="AK286" i="31"/>
  <c r="AK287" i="31"/>
  <c r="AK288" i="31"/>
  <c r="AK289" i="31"/>
  <c r="AK290" i="31"/>
  <c r="AK291" i="31"/>
  <c r="AK292" i="31"/>
  <c r="AK293" i="31"/>
  <c r="AK294" i="31"/>
  <c r="AK295" i="31"/>
  <c r="AK296" i="31"/>
  <c r="AK297" i="31"/>
  <c r="AK298" i="31"/>
  <c r="AK299" i="31"/>
  <c r="AK300" i="31"/>
  <c r="AK301" i="31"/>
  <c r="AK302" i="31"/>
  <c r="AK303" i="31"/>
  <c r="AK304" i="31"/>
  <c r="AK305" i="31"/>
  <c r="AK306" i="31"/>
  <c r="AK307" i="31"/>
  <c r="AK308" i="31"/>
  <c r="AK309" i="31"/>
  <c r="AK310" i="31"/>
  <c r="AK311" i="31"/>
  <c r="AK312" i="31"/>
  <c r="AK313" i="31"/>
  <c r="AK314" i="31"/>
  <c r="AK315" i="31"/>
  <c r="AK316" i="31"/>
  <c r="AK317" i="31"/>
  <c r="AK318" i="31"/>
  <c r="AK319" i="31"/>
  <c r="AK320" i="31"/>
  <c r="AK321" i="31"/>
  <c r="AK322" i="31"/>
  <c r="AK323" i="31"/>
  <c r="AK324" i="31"/>
  <c r="AK325" i="31"/>
  <c r="AK326" i="31"/>
  <c r="AK327" i="31"/>
  <c r="AK328" i="31"/>
  <c r="AK329" i="31"/>
  <c r="AK330" i="31"/>
  <c r="AK331" i="31"/>
  <c r="AK332" i="31"/>
  <c r="AK333" i="31"/>
  <c r="AK334" i="31"/>
  <c r="AK335" i="31"/>
  <c r="AK336" i="31"/>
  <c r="AK337" i="31"/>
  <c r="AK338" i="31"/>
  <c r="AK339" i="31"/>
  <c r="AK340" i="31"/>
  <c r="AK341" i="31"/>
  <c r="AK342" i="31"/>
  <c r="AK343" i="31"/>
  <c r="AK344" i="31"/>
  <c r="AK345" i="31"/>
  <c r="AK346" i="31"/>
  <c r="AK347" i="31"/>
  <c r="AK348" i="31"/>
  <c r="AK349" i="31"/>
  <c r="AK350" i="31"/>
  <c r="AK351" i="31"/>
  <c r="AK352" i="31"/>
  <c r="AK353" i="31"/>
  <c r="AK354" i="31"/>
  <c r="AK355" i="31"/>
  <c r="AK356" i="31"/>
  <c r="AK357" i="31"/>
  <c r="AK358" i="31"/>
  <c r="AK359" i="31"/>
  <c r="AK360" i="31"/>
  <c r="AK361" i="31"/>
  <c r="AK362" i="31"/>
  <c r="AK363" i="31"/>
  <c r="AK364" i="31"/>
  <c r="AK365" i="31"/>
  <c r="AK366" i="31"/>
  <c r="AK367" i="31"/>
  <c r="AK368" i="31"/>
  <c r="AK369" i="31"/>
  <c r="AK370" i="31"/>
  <c r="AK371" i="31"/>
  <c r="AK372" i="31"/>
  <c r="AK373" i="31"/>
  <c r="AK374" i="31"/>
  <c r="AK375" i="31"/>
  <c r="AK376" i="31"/>
  <c r="AK377" i="31"/>
  <c r="AK378" i="31"/>
  <c r="AK379" i="31"/>
  <c r="AK380" i="31"/>
  <c r="AK381" i="31"/>
  <c r="AK382" i="31"/>
  <c r="AK383" i="31"/>
  <c r="AK384" i="31"/>
  <c r="AK385" i="31"/>
  <c r="AK386" i="31"/>
  <c r="AK387" i="31"/>
  <c r="AK388" i="31"/>
  <c r="AK389" i="31"/>
  <c r="AK390" i="31"/>
  <c r="AK391" i="31"/>
  <c r="AK392" i="31"/>
  <c r="AK393" i="31"/>
  <c r="AK394" i="31"/>
  <c r="AK395" i="31"/>
  <c r="AK396" i="31"/>
  <c r="AK397" i="31"/>
  <c r="AK398" i="31"/>
  <c r="AK399" i="31"/>
  <c r="AK400" i="31"/>
  <c r="AK401" i="31"/>
  <c r="AK402" i="31"/>
  <c r="AK403" i="31"/>
  <c r="AK404" i="31"/>
  <c r="AK405" i="31"/>
  <c r="AK406" i="31"/>
  <c r="AK407" i="31"/>
  <c r="AK408" i="31"/>
  <c r="AK409" i="31"/>
  <c r="AK410" i="31"/>
  <c r="AK411" i="31"/>
  <c r="AK412" i="31"/>
  <c r="AK413" i="31"/>
  <c r="AK414" i="31"/>
  <c r="AK415" i="31"/>
  <c r="AK416" i="31"/>
  <c r="AK417" i="31"/>
  <c r="AK418" i="31"/>
  <c r="AK419" i="31"/>
  <c r="AK420" i="31"/>
  <c r="AK421" i="31"/>
  <c r="AK422" i="31"/>
  <c r="AK423" i="31"/>
  <c r="AK424" i="31"/>
  <c r="AK425" i="31"/>
  <c r="AK426" i="31"/>
  <c r="AK427" i="31"/>
  <c r="AK428" i="31"/>
  <c r="AK429" i="31"/>
  <c r="AK430" i="31"/>
  <c r="AK431" i="31"/>
  <c r="AK432" i="31"/>
  <c r="AK433" i="31"/>
  <c r="AK434" i="31"/>
  <c r="AK435" i="31"/>
  <c r="AK436" i="31"/>
  <c r="AK437" i="31"/>
  <c r="AK438" i="31"/>
  <c r="AK439" i="31"/>
  <c r="AK440" i="31"/>
  <c r="AK441" i="31"/>
  <c r="AK222" i="31"/>
  <c r="AJ663" i="31"/>
  <c r="AJ664" i="31"/>
  <c r="AJ665" i="31"/>
  <c r="AJ666" i="31"/>
  <c r="AJ667" i="31"/>
  <c r="AJ668" i="31"/>
  <c r="AJ669" i="31"/>
  <c r="AJ670" i="31"/>
  <c r="AJ671" i="31"/>
  <c r="AJ672" i="31"/>
  <c r="AJ673" i="31"/>
  <c r="AJ674" i="31"/>
  <c r="AJ675" i="31"/>
  <c r="AJ676" i="31"/>
  <c r="AJ677" i="31"/>
  <c r="AJ678" i="31"/>
  <c r="AJ679" i="31"/>
  <c r="AJ680" i="31"/>
  <c r="AJ681" i="31"/>
  <c r="AJ682" i="31"/>
  <c r="AJ683" i="31"/>
  <c r="AJ684" i="31"/>
  <c r="AJ685" i="31"/>
  <c r="AJ686" i="31"/>
  <c r="AJ687" i="31"/>
  <c r="AJ688" i="31"/>
  <c r="AJ689" i="31"/>
  <c r="AJ690" i="31"/>
  <c r="AJ691" i="31"/>
  <c r="AJ692" i="31"/>
  <c r="AJ693" i="31"/>
  <c r="AJ694" i="31"/>
  <c r="AJ695" i="31"/>
  <c r="AJ696" i="31"/>
  <c r="AJ697" i="31"/>
  <c r="AJ698" i="31"/>
  <c r="AJ699" i="31"/>
  <c r="AJ700" i="31"/>
  <c r="AJ701" i="31"/>
  <c r="AJ702" i="31"/>
  <c r="AJ703" i="31"/>
  <c r="AJ704" i="31"/>
  <c r="AJ705" i="31"/>
  <c r="AJ706" i="31"/>
  <c r="AJ707" i="31"/>
  <c r="AJ708" i="31"/>
  <c r="AJ709" i="31"/>
  <c r="AJ710" i="31"/>
  <c r="AJ711" i="31"/>
  <c r="AJ712" i="31"/>
  <c r="AJ713" i="31"/>
  <c r="AJ714" i="31"/>
  <c r="AJ715" i="31"/>
  <c r="AJ716" i="31"/>
  <c r="AJ717" i="31"/>
  <c r="AJ718" i="31"/>
  <c r="AJ719" i="31"/>
  <c r="AJ720" i="31"/>
  <c r="AJ721" i="31"/>
  <c r="AJ722" i="31"/>
  <c r="AJ723" i="31"/>
  <c r="AJ724" i="31"/>
  <c r="AJ725" i="31"/>
  <c r="AJ726" i="31"/>
  <c r="AJ727" i="31"/>
  <c r="AJ728" i="31"/>
  <c r="AJ729" i="31"/>
  <c r="AJ730" i="31"/>
  <c r="AJ731" i="31"/>
  <c r="AJ732" i="31"/>
  <c r="AJ733" i="31"/>
  <c r="AJ734" i="31"/>
  <c r="AJ735" i="31"/>
  <c r="AJ736" i="31"/>
  <c r="AJ737" i="31"/>
  <c r="AJ738" i="31"/>
  <c r="AJ739" i="31"/>
  <c r="AJ740" i="31"/>
  <c r="AJ741" i="31"/>
  <c r="AJ742" i="31"/>
  <c r="AJ743" i="31"/>
  <c r="AJ744" i="31"/>
  <c r="AJ745" i="31"/>
  <c r="AJ746" i="31"/>
  <c r="AJ747" i="31"/>
  <c r="AJ748" i="31"/>
  <c r="AJ749" i="31"/>
  <c r="AJ750" i="31"/>
  <c r="AJ751" i="31"/>
  <c r="AJ752" i="31"/>
  <c r="AJ753" i="31"/>
  <c r="AJ754" i="31"/>
  <c r="AJ755" i="31"/>
  <c r="AJ756" i="31"/>
  <c r="AJ757" i="31"/>
  <c r="AJ758" i="31"/>
  <c r="AJ759" i="31"/>
  <c r="AJ760" i="31"/>
  <c r="AJ761" i="31"/>
  <c r="AJ762" i="31"/>
  <c r="AJ763" i="31"/>
  <c r="AJ764" i="31"/>
  <c r="AJ765" i="31"/>
  <c r="AJ766" i="31"/>
  <c r="AJ767" i="31"/>
  <c r="AJ768" i="31"/>
  <c r="AJ769" i="31"/>
  <c r="AJ770" i="31"/>
  <c r="AJ771" i="31"/>
  <c r="AJ772" i="31"/>
  <c r="AJ773" i="31"/>
  <c r="AJ774" i="31"/>
  <c r="AJ775" i="31"/>
  <c r="AJ776" i="31"/>
  <c r="AJ777" i="31"/>
  <c r="AJ778" i="31"/>
  <c r="AJ779" i="31"/>
  <c r="AJ780" i="31"/>
  <c r="AJ781" i="31"/>
  <c r="AJ782" i="31"/>
  <c r="AJ783" i="31"/>
  <c r="AJ784" i="31"/>
  <c r="AJ785" i="31"/>
  <c r="AJ786" i="31"/>
  <c r="AJ787" i="31"/>
  <c r="AJ788" i="31"/>
  <c r="AJ789" i="31"/>
  <c r="AJ790" i="31"/>
  <c r="AJ791" i="31"/>
  <c r="AJ792" i="31"/>
  <c r="AJ793" i="31"/>
  <c r="AJ794" i="31"/>
  <c r="AJ795" i="31"/>
  <c r="AJ796" i="31"/>
  <c r="AJ797" i="31"/>
  <c r="AJ798" i="31"/>
  <c r="AJ799" i="31"/>
  <c r="AJ800" i="31"/>
  <c r="AJ801" i="31"/>
  <c r="AJ802" i="31"/>
  <c r="AJ803" i="31"/>
  <c r="AJ804" i="31"/>
  <c r="AJ805" i="31"/>
  <c r="AJ806" i="31"/>
  <c r="AJ807" i="31"/>
  <c r="AJ808" i="31"/>
  <c r="AJ809" i="31"/>
  <c r="AJ810" i="31"/>
  <c r="AJ811" i="31"/>
  <c r="AJ812" i="31"/>
  <c r="AJ813" i="31"/>
  <c r="AJ814" i="31"/>
  <c r="AJ815" i="31"/>
  <c r="AJ816" i="31"/>
  <c r="AJ817" i="31"/>
  <c r="AJ818" i="31"/>
  <c r="AJ819" i="31"/>
  <c r="AJ820" i="31"/>
  <c r="AJ821" i="31"/>
  <c r="AJ822" i="31"/>
  <c r="AJ823" i="31"/>
  <c r="AJ824" i="31"/>
  <c r="AJ825" i="31"/>
  <c r="AJ826" i="31"/>
  <c r="AJ827" i="31"/>
  <c r="AJ828" i="31"/>
  <c r="AJ829" i="31"/>
  <c r="AJ830" i="31"/>
  <c r="AJ831" i="31"/>
  <c r="AJ832" i="31"/>
  <c r="AJ833" i="31"/>
  <c r="AJ834" i="31"/>
  <c r="AJ835" i="31"/>
  <c r="AJ836" i="31"/>
  <c r="AJ837" i="31"/>
  <c r="AJ838" i="31"/>
  <c r="AJ839" i="31"/>
  <c r="AJ840" i="31"/>
  <c r="AJ841" i="31"/>
  <c r="AJ842" i="31"/>
  <c r="AJ843" i="31"/>
  <c r="AJ844" i="31"/>
  <c r="AJ845" i="31"/>
  <c r="AJ846" i="31"/>
  <c r="AJ847" i="31"/>
  <c r="AJ848" i="31"/>
  <c r="AJ849" i="31"/>
  <c r="AJ850" i="31"/>
  <c r="AJ851" i="31"/>
  <c r="AJ852" i="31"/>
  <c r="AJ853" i="31"/>
  <c r="AJ854" i="31"/>
  <c r="AJ855" i="31"/>
  <c r="AJ856" i="31"/>
  <c r="AJ857" i="31"/>
  <c r="AJ858" i="31"/>
  <c r="AJ859" i="31"/>
  <c r="AJ860" i="31"/>
  <c r="AJ861" i="31"/>
  <c r="AJ862" i="31"/>
  <c r="AJ863" i="31"/>
  <c r="AJ864" i="31"/>
  <c r="AJ865" i="31"/>
  <c r="AJ866" i="31"/>
  <c r="AJ867" i="31"/>
  <c r="AJ868" i="31"/>
  <c r="AJ869" i="31"/>
  <c r="AJ870" i="31"/>
  <c r="AJ871" i="31"/>
  <c r="AJ872" i="31"/>
  <c r="AJ873" i="31"/>
  <c r="AJ874" i="31"/>
  <c r="AJ875" i="31"/>
  <c r="AJ876" i="31"/>
  <c r="AJ877" i="31"/>
  <c r="AJ878" i="31"/>
  <c r="AJ879" i="31"/>
  <c r="AJ880" i="31"/>
  <c r="AJ881" i="31"/>
  <c r="AJ662" i="31"/>
  <c r="AJ443" i="31"/>
  <c r="AJ444" i="31"/>
  <c r="AJ445" i="31"/>
  <c r="AJ446" i="31"/>
  <c r="AJ447" i="31"/>
  <c r="AJ448" i="31"/>
  <c r="AJ449" i="31"/>
  <c r="AJ450" i="31"/>
  <c r="AJ451" i="31"/>
  <c r="AJ452" i="31"/>
  <c r="AJ453" i="31"/>
  <c r="AJ454" i="31"/>
  <c r="AJ455" i="31"/>
  <c r="AJ456" i="31"/>
  <c r="AJ457" i="31"/>
  <c r="AJ458" i="31"/>
  <c r="AJ459" i="31"/>
  <c r="AJ460" i="31"/>
  <c r="AJ461" i="31"/>
  <c r="AJ462" i="31"/>
  <c r="AJ463" i="31"/>
  <c r="AJ464" i="31"/>
  <c r="AJ465" i="31"/>
  <c r="AJ466" i="31"/>
  <c r="AJ467" i="31"/>
  <c r="AJ468" i="31"/>
  <c r="AJ469" i="31"/>
  <c r="AJ470" i="31"/>
  <c r="AJ471" i="31"/>
  <c r="AJ472" i="31"/>
  <c r="AJ473" i="31"/>
  <c r="AJ474" i="31"/>
  <c r="AJ475" i="31"/>
  <c r="AJ476" i="31"/>
  <c r="AJ477" i="31"/>
  <c r="AJ478" i="31"/>
  <c r="AJ479" i="31"/>
  <c r="AJ480" i="31"/>
  <c r="AJ481" i="31"/>
  <c r="AJ482" i="31"/>
  <c r="AJ483" i="31"/>
  <c r="AJ484" i="31"/>
  <c r="AJ485" i="31"/>
  <c r="AJ486" i="31"/>
  <c r="AJ487" i="31"/>
  <c r="AJ488" i="31"/>
  <c r="AJ489" i="31"/>
  <c r="AJ490" i="31"/>
  <c r="AJ491" i="31"/>
  <c r="AJ492" i="31"/>
  <c r="AJ493" i="31"/>
  <c r="AJ494" i="31"/>
  <c r="AJ495" i="31"/>
  <c r="AJ496" i="31"/>
  <c r="AJ497" i="31"/>
  <c r="AJ498" i="31"/>
  <c r="AJ499" i="31"/>
  <c r="AJ500" i="31"/>
  <c r="AJ501" i="31"/>
  <c r="AJ502" i="31"/>
  <c r="AJ503" i="31"/>
  <c r="AJ504" i="31"/>
  <c r="AJ505" i="31"/>
  <c r="AJ506" i="31"/>
  <c r="AJ507" i="31"/>
  <c r="AJ508" i="31"/>
  <c r="AJ509" i="31"/>
  <c r="AJ510" i="31"/>
  <c r="AJ511" i="31"/>
  <c r="AJ512" i="31"/>
  <c r="AJ513" i="31"/>
  <c r="AJ514" i="31"/>
  <c r="AJ515" i="31"/>
  <c r="AJ516" i="31"/>
  <c r="AJ517" i="31"/>
  <c r="AJ518" i="31"/>
  <c r="AJ519" i="31"/>
  <c r="AJ520" i="31"/>
  <c r="AJ521" i="31"/>
  <c r="AJ522" i="31"/>
  <c r="AJ523" i="31"/>
  <c r="AJ524" i="31"/>
  <c r="AJ525" i="31"/>
  <c r="AJ526" i="31"/>
  <c r="AJ527" i="31"/>
  <c r="AJ528" i="31"/>
  <c r="AJ529" i="31"/>
  <c r="AJ530" i="31"/>
  <c r="AJ531" i="31"/>
  <c r="AJ532" i="31"/>
  <c r="AJ533" i="31"/>
  <c r="AJ534" i="31"/>
  <c r="AJ535" i="31"/>
  <c r="AJ536" i="31"/>
  <c r="AJ537" i="31"/>
  <c r="AJ538" i="31"/>
  <c r="AJ539" i="31"/>
  <c r="AJ540" i="31"/>
  <c r="AJ541" i="31"/>
  <c r="AJ542" i="31"/>
  <c r="AJ543" i="31"/>
  <c r="AJ544" i="31"/>
  <c r="AJ545" i="31"/>
  <c r="AJ546" i="31"/>
  <c r="AJ547" i="31"/>
  <c r="AJ548" i="31"/>
  <c r="AJ549" i="31"/>
  <c r="AJ550" i="31"/>
  <c r="AJ551" i="31"/>
  <c r="AJ552" i="31"/>
  <c r="AJ553" i="31"/>
  <c r="AJ554" i="31"/>
  <c r="AJ555" i="31"/>
  <c r="AJ556" i="31"/>
  <c r="AJ557" i="31"/>
  <c r="AJ558" i="31"/>
  <c r="AJ559" i="31"/>
  <c r="AJ560" i="31"/>
  <c r="AJ561" i="31"/>
  <c r="AJ562" i="31"/>
  <c r="AJ563" i="31"/>
  <c r="AJ564" i="31"/>
  <c r="AJ565" i="31"/>
  <c r="AJ566" i="31"/>
  <c r="AJ567" i="31"/>
  <c r="AJ568" i="31"/>
  <c r="AJ569" i="31"/>
  <c r="AJ570" i="31"/>
  <c r="AJ571" i="31"/>
  <c r="AJ572" i="31"/>
  <c r="AJ573" i="31"/>
  <c r="AJ574" i="31"/>
  <c r="AJ575" i="31"/>
  <c r="AJ576" i="31"/>
  <c r="AJ577" i="31"/>
  <c r="AJ578" i="31"/>
  <c r="AJ579" i="31"/>
  <c r="AJ580" i="31"/>
  <c r="AJ581" i="31"/>
  <c r="AJ582" i="31"/>
  <c r="AJ583" i="31"/>
  <c r="AJ584" i="31"/>
  <c r="AJ585" i="31"/>
  <c r="AJ586" i="31"/>
  <c r="AJ587" i="31"/>
  <c r="AJ588" i="31"/>
  <c r="AJ589" i="31"/>
  <c r="AJ590" i="31"/>
  <c r="AJ591" i="31"/>
  <c r="AJ592" i="31"/>
  <c r="AJ593" i="31"/>
  <c r="AJ594" i="31"/>
  <c r="AJ595" i="31"/>
  <c r="AJ596" i="31"/>
  <c r="AJ597" i="31"/>
  <c r="AJ598" i="31"/>
  <c r="AJ599" i="31"/>
  <c r="AJ600" i="31"/>
  <c r="AJ601" i="31"/>
  <c r="AJ602" i="31"/>
  <c r="AJ603" i="31"/>
  <c r="AJ604" i="31"/>
  <c r="AJ605" i="31"/>
  <c r="AJ606" i="31"/>
  <c r="AJ607" i="31"/>
  <c r="AJ608" i="31"/>
  <c r="AJ609" i="31"/>
  <c r="AJ610" i="31"/>
  <c r="AJ611" i="31"/>
  <c r="AJ612" i="31"/>
  <c r="AJ613" i="31"/>
  <c r="AJ614" i="31"/>
  <c r="AJ615" i="31"/>
  <c r="AJ616" i="31"/>
  <c r="AJ617" i="31"/>
  <c r="AJ618" i="31"/>
  <c r="AJ619" i="31"/>
  <c r="AJ620" i="31"/>
  <c r="AJ621" i="31"/>
  <c r="AJ622" i="31"/>
  <c r="AJ623" i="31"/>
  <c r="AJ624" i="31"/>
  <c r="AJ625" i="31"/>
  <c r="AJ626" i="31"/>
  <c r="AJ627" i="31"/>
  <c r="AJ628" i="31"/>
  <c r="AJ629" i="31"/>
  <c r="AJ630" i="31"/>
  <c r="AJ631" i="31"/>
  <c r="AJ632" i="31"/>
  <c r="AJ633" i="31"/>
  <c r="AJ634" i="31"/>
  <c r="AJ635" i="31"/>
  <c r="AJ636" i="31"/>
  <c r="AJ637" i="31"/>
  <c r="AJ638" i="31"/>
  <c r="AJ639" i="31"/>
  <c r="AJ640" i="31"/>
  <c r="AJ641" i="31"/>
  <c r="AJ642" i="31"/>
  <c r="AJ643" i="31"/>
  <c r="AJ644" i="31"/>
  <c r="AJ645" i="31"/>
  <c r="AJ646" i="31"/>
  <c r="AJ647" i="31"/>
  <c r="AJ648" i="31"/>
  <c r="AJ649" i="31"/>
  <c r="AJ650" i="31"/>
  <c r="AJ651" i="31"/>
  <c r="AJ652" i="31"/>
  <c r="AJ653" i="31"/>
  <c r="AJ654" i="31"/>
  <c r="AJ655" i="31"/>
  <c r="AJ656" i="31"/>
  <c r="AJ657" i="31"/>
  <c r="AJ658" i="31"/>
  <c r="AJ659" i="31"/>
  <c r="AJ660" i="31"/>
  <c r="AJ661" i="31"/>
  <c r="AJ442" i="31"/>
  <c r="AJ223" i="31"/>
  <c r="AJ224" i="31"/>
  <c r="AJ225" i="31"/>
  <c r="AJ226" i="31"/>
  <c r="AJ227" i="31"/>
  <c r="AJ228" i="31"/>
  <c r="AJ229" i="31"/>
  <c r="AJ230" i="31"/>
  <c r="AJ231" i="31"/>
  <c r="AJ232" i="31"/>
  <c r="AJ233" i="31"/>
  <c r="AJ234" i="31"/>
  <c r="AJ235" i="31"/>
  <c r="AJ236" i="31"/>
  <c r="AJ237" i="31"/>
  <c r="AJ238" i="31"/>
  <c r="AJ239" i="31"/>
  <c r="AJ240" i="31"/>
  <c r="AJ241" i="31"/>
  <c r="AJ242" i="31"/>
  <c r="AJ243" i="31"/>
  <c r="AJ244" i="31"/>
  <c r="AJ245" i="31"/>
  <c r="AJ246" i="31"/>
  <c r="AJ247" i="31"/>
  <c r="AJ248" i="31"/>
  <c r="AJ249" i="31"/>
  <c r="AJ250" i="31"/>
  <c r="AJ251" i="31"/>
  <c r="AJ252" i="31"/>
  <c r="AJ253" i="31"/>
  <c r="AJ254" i="31"/>
  <c r="AJ255" i="31"/>
  <c r="AJ256" i="31"/>
  <c r="AJ257" i="31"/>
  <c r="AJ258" i="31"/>
  <c r="AJ259" i="31"/>
  <c r="AJ260" i="31"/>
  <c r="AJ261" i="31"/>
  <c r="AJ262" i="31"/>
  <c r="AJ263" i="31"/>
  <c r="AJ264" i="31"/>
  <c r="AJ265" i="31"/>
  <c r="AJ266" i="31"/>
  <c r="AJ267" i="31"/>
  <c r="AJ268" i="31"/>
  <c r="AJ269" i="31"/>
  <c r="AJ270" i="31"/>
  <c r="AJ271" i="31"/>
  <c r="AJ272" i="31"/>
  <c r="AJ273" i="31"/>
  <c r="AJ274" i="31"/>
  <c r="AJ275" i="31"/>
  <c r="AJ276" i="31"/>
  <c r="AJ277" i="31"/>
  <c r="AJ278" i="31"/>
  <c r="AJ279" i="31"/>
  <c r="AJ280" i="31"/>
  <c r="AJ281" i="31"/>
  <c r="AJ282" i="31"/>
  <c r="AJ283" i="31"/>
  <c r="AJ284" i="31"/>
  <c r="AJ285" i="31"/>
  <c r="AJ286" i="31"/>
  <c r="AJ287" i="31"/>
  <c r="AJ288" i="31"/>
  <c r="AJ289" i="31"/>
  <c r="AJ290" i="31"/>
  <c r="AJ291" i="31"/>
  <c r="AJ292" i="31"/>
  <c r="AJ293" i="31"/>
  <c r="AJ294" i="31"/>
  <c r="AJ295" i="31"/>
  <c r="AJ296" i="31"/>
  <c r="AJ297" i="31"/>
  <c r="AJ298" i="31"/>
  <c r="AJ299" i="31"/>
  <c r="AJ300" i="31"/>
  <c r="AJ301" i="31"/>
  <c r="AJ302" i="31"/>
  <c r="AJ303" i="31"/>
  <c r="AJ304" i="31"/>
  <c r="AJ305" i="31"/>
  <c r="AJ306" i="31"/>
  <c r="AJ307" i="31"/>
  <c r="AJ308" i="31"/>
  <c r="AJ309" i="31"/>
  <c r="AJ310" i="31"/>
  <c r="AJ311" i="31"/>
  <c r="AJ312" i="31"/>
  <c r="AJ313" i="31"/>
  <c r="AJ314" i="31"/>
  <c r="AJ315" i="31"/>
  <c r="AJ316" i="31"/>
  <c r="AJ317" i="31"/>
  <c r="AJ318" i="31"/>
  <c r="AJ319" i="31"/>
  <c r="AJ320" i="31"/>
  <c r="AJ321" i="31"/>
  <c r="AJ322" i="31"/>
  <c r="AJ323" i="31"/>
  <c r="AJ324" i="31"/>
  <c r="AJ325" i="31"/>
  <c r="AJ326" i="31"/>
  <c r="AJ327" i="31"/>
  <c r="AJ328" i="31"/>
  <c r="AJ329" i="31"/>
  <c r="AJ330" i="31"/>
  <c r="AJ331" i="31"/>
  <c r="AJ332" i="31"/>
  <c r="AJ333" i="31"/>
  <c r="AJ334" i="31"/>
  <c r="AJ335" i="31"/>
  <c r="AJ336" i="31"/>
  <c r="AJ337" i="31"/>
  <c r="AJ338" i="31"/>
  <c r="AJ339" i="31"/>
  <c r="AJ340" i="31"/>
  <c r="AJ341" i="31"/>
  <c r="AJ342" i="31"/>
  <c r="AJ343" i="31"/>
  <c r="AJ344" i="31"/>
  <c r="AJ345" i="31"/>
  <c r="AJ346" i="31"/>
  <c r="AJ347" i="31"/>
  <c r="AJ348" i="31"/>
  <c r="AJ349" i="31"/>
  <c r="AJ350" i="31"/>
  <c r="AJ351" i="31"/>
  <c r="AJ352" i="31"/>
  <c r="AJ353" i="31"/>
  <c r="AJ354" i="31"/>
  <c r="AJ355" i="31"/>
  <c r="AJ356" i="31"/>
  <c r="AJ357" i="31"/>
  <c r="AJ358" i="31"/>
  <c r="AJ359" i="31"/>
  <c r="AJ360" i="31"/>
  <c r="AJ361" i="31"/>
  <c r="AJ362" i="31"/>
  <c r="AJ363" i="31"/>
  <c r="AJ364" i="31"/>
  <c r="AJ365" i="31"/>
  <c r="AJ366" i="31"/>
  <c r="AJ367" i="31"/>
  <c r="AJ368" i="31"/>
  <c r="AJ369" i="31"/>
  <c r="AJ370" i="31"/>
  <c r="AJ371" i="31"/>
  <c r="AJ372" i="31"/>
  <c r="AJ373" i="31"/>
  <c r="AJ374" i="31"/>
  <c r="AJ375" i="31"/>
  <c r="AJ376" i="31"/>
  <c r="AJ377" i="31"/>
  <c r="AJ378" i="31"/>
  <c r="AJ379" i="31"/>
  <c r="AJ380" i="31"/>
  <c r="AJ381" i="31"/>
  <c r="AJ382" i="31"/>
  <c r="AJ383" i="31"/>
  <c r="AJ384" i="31"/>
  <c r="AJ385" i="31"/>
  <c r="AJ386" i="31"/>
  <c r="AJ387" i="31"/>
  <c r="AJ388" i="31"/>
  <c r="AJ389" i="31"/>
  <c r="AJ390" i="31"/>
  <c r="AJ391" i="31"/>
  <c r="AJ392" i="31"/>
  <c r="AJ393" i="31"/>
  <c r="AJ394" i="31"/>
  <c r="AJ395" i="31"/>
  <c r="AJ396" i="31"/>
  <c r="AJ397" i="31"/>
  <c r="AJ398" i="31"/>
  <c r="AJ399" i="31"/>
  <c r="AJ400" i="31"/>
  <c r="AJ401" i="31"/>
  <c r="AJ402" i="31"/>
  <c r="AJ403" i="31"/>
  <c r="AJ404" i="31"/>
  <c r="AJ405" i="31"/>
  <c r="AJ406" i="31"/>
  <c r="AJ407" i="31"/>
  <c r="AJ408" i="31"/>
  <c r="AJ409" i="31"/>
  <c r="AJ410" i="31"/>
  <c r="AJ411" i="31"/>
  <c r="AJ412" i="31"/>
  <c r="AJ413" i="31"/>
  <c r="AJ414" i="31"/>
  <c r="AJ415" i="31"/>
  <c r="AJ416" i="31"/>
  <c r="AJ417" i="31"/>
  <c r="AJ418" i="31"/>
  <c r="AJ419" i="31"/>
  <c r="AJ420" i="31"/>
  <c r="AJ421" i="31"/>
  <c r="AJ422" i="31"/>
  <c r="AJ423" i="31"/>
  <c r="AJ424" i="31"/>
  <c r="AJ425" i="31"/>
  <c r="AJ426" i="31"/>
  <c r="AJ427" i="31"/>
  <c r="AJ428" i="31"/>
  <c r="AJ429" i="31"/>
  <c r="AJ430" i="31"/>
  <c r="AJ431" i="31"/>
  <c r="AJ432" i="31"/>
  <c r="AJ433" i="31"/>
  <c r="AJ434" i="31"/>
  <c r="AJ435" i="31"/>
  <c r="AJ436" i="31"/>
  <c r="AJ437" i="31"/>
  <c r="AJ438" i="31"/>
  <c r="AJ439" i="31"/>
  <c r="AJ440" i="31"/>
  <c r="AJ441" i="31"/>
  <c r="AJ222" i="31"/>
  <c r="AI881" i="31"/>
  <c r="AH881" i="31"/>
  <c r="AG881" i="31"/>
  <c r="AF881" i="31"/>
  <c r="AI880" i="31"/>
  <c r="AH880" i="31"/>
  <c r="AG880" i="31"/>
  <c r="AF880" i="31"/>
  <c r="AI879" i="31"/>
  <c r="AH879" i="31"/>
  <c r="AG879" i="31"/>
  <c r="AF879" i="31"/>
  <c r="AI878" i="31"/>
  <c r="AH878" i="31"/>
  <c r="AG878" i="31"/>
  <c r="AF878" i="31"/>
  <c r="AI877" i="31"/>
  <c r="AH877" i="31"/>
  <c r="AG877" i="31"/>
  <c r="AF877" i="31"/>
  <c r="AI876" i="31"/>
  <c r="AH876" i="31"/>
  <c r="AG876" i="31"/>
  <c r="AF876" i="31"/>
  <c r="AI875" i="31"/>
  <c r="AH875" i="31"/>
  <c r="AG875" i="31"/>
  <c r="AF875" i="31"/>
  <c r="AI874" i="31"/>
  <c r="AH874" i="31"/>
  <c r="AG874" i="31"/>
  <c r="AF874" i="31"/>
  <c r="AI873" i="31"/>
  <c r="AH873" i="31"/>
  <c r="AG873" i="31"/>
  <c r="AF873" i="31"/>
  <c r="AI872" i="31"/>
  <c r="AH872" i="31"/>
  <c r="AG872" i="31"/>
  <c r="AF872" i="31"/>
  <c r="AI871" i="31"/>
  <c r="AH871" i="31"/>
  <c r="AG871" i="31"/>
  <c r="AF871" i="31"/>
  <c r="AI870" i="31"/>
  <c r="AH870" i="31"/>
  <c r="AG870" i="31"/>
  <c r="AF870" i="31"/>
  <c r="AI869" i="31"/>
  <c r="AH869" i="31"/>
  <c r="AG869" i="31"/>
  <c r="AF869" i="31"/>
  <c r="AI868" i="31"/>
  <c r="AH868" i="31"/>
  <c r="AG868" i="31"/>
  <c r="AF868" i="31"/>
  <c r="AI867" i="31"/>
  <c r="AH867" i="31"/>
  <c r="AG867" i="31"/>
  <c r="AF867" i="31"/>
  <c r="AI866" i="31"/>
  <c r="AH866" i="31"/>
  <c r="AG866" i="31"/>
  <c r="AF866" i="31"/>
  <c r="AI865" i="31"/>
  <c r="AH865" i="31"/>
  <c r="AG865" i="31"/>
  <c r="AF865" i="31"/>
  <c r="AI864" i="31"/>
  <c r="AH864" i="31"/>
  <c r="AG864" i="31"/>
  <c r="AF864" i="31"/>
  <c r="AI863" i="31"/>
  <c r="AH863" i="31"/>
  <c r="AG863" i="31"/>
  <c r="AF863" i="31"/>
  <c r="AI862" i="31"/>
  <c r="AH862" i="31"/>
  <c r="AG862" i="31"/>
  <c r="AF862" i="31"/>
  <c r="AI861" i="31"/>
  <c r="AH861" i="31"/>
  <c r="AG861" i="31"/>
  <c r="AF861" i="31"/>
  <c r="AI860" i="31"/>
  <c r="AH860" i="31"/>
  <c r="AG860" i="31"/>
  <c r="AF860" i="31"/>
  <c r="AI859" i="31"/>
  <c r="AH859" i="31"/>
  <c r="AG859" i="31"/>
  <c r="AF859" i="31"/>
  <c r="AI858" i="31"/>
  <c r="AH858" i="31"/>
  <c r="AG858" i="31"/>
  <c r="AF858" i="31"/>
  <c r="AI857" i="31"/>
  <c r="AH857" i="31"/>
  <c r="AG857" i="31"/>
  <c r="AF857" i="31"/>
  <c r="AI856" i="31"/>
  <c r="AH856" i="31"/>
  <c r="AG856" i="31"/>
  <c r="AF856" i="31"/>
  <c r="AI855" i="31"/>
  <c r="AH855" i="31"/>
  <c r="AG855" i="31"/>
  <c r="AF855" i="31"/>
  <c r="AI854" i="31"/>
  <c r="AH854" i="31"/>
  <c r="AG854" i="31"/>
  <c r="AF854" i="31"/>
  <c r="AI853" i="31"/>
  <c r="AH853" i="31"/>
  <c r="AG853" i="31"/>
  <c r="AF853" i="31"/>
  <c r="AI852" i="31"/>
  <c r="AH852" i="31"/>
  <c r="AG852" i="31"/>
  <c r="AF852" i="31"/>
  <c r="AI851" i="31"/>
  <c r="AH851" i="31"/>
  <c r="AG851" i="31"/>
  <c r="AF851" i="31"/>
  <c r="AI850" i="31"/>
  <c r="AH850" i="31"/>
  <c r="AG850" i="31"/>
  <c r="AF850" i="31"/>
  <c r="AI849" i="31"/>
  <c r="AH849" i="31"/>
  <c r="AG849" i="31"/>
  <c r="AF849" i="31"/>
  <c r="AI848" i="31"/>
  <c r="AH848" i="31"/>
  <c r="AG848" i="31"/>
  <c r="AF848" i="31"/>
  <c r="AI847" i="31"/>
  <c r="AH847" i="31"/>
  <c r="AG847" i="31"/>
  <c r="AF847" i="31"/>
  <c r="AI846" i="31"/>
  <c r="AH846" i="31"/>
  <c r="AG846" i="31"/>
  <c r="AF846" i="31"/>
  <c r="AI845" i="31"/>
  <c r="AH845" i="31"/>
  <c r="AG845" i="31"/>
  <c r="AF845" i="31"/>
  <c r="AI844" i="31"/>
  <c r="AH844" i="31"/>
  <c r="AG844" i="31"/>
  <c r="AF844" i="31"/>
  <c r="AI843" i="31"/>
  <c r="AH843" i="31"/>
  <c r="AG843" i="31"/>
  <c r="AF843" i="31"/>
  <c r="AI842" i="31"/>
  <c r="AH842" i="31"/>
  <c r="AG842" i="31"/>
  <c r="AF842" i="31"/>
  <c r="AI841" i="31"/>
  <c r="AH841" i="31"/>
  <c r="AG841" i="31"/>
  <c r="AF841" i="31"/>
  <c r="AI840" i="31"/>
  <c r="AH840" i="31"/>
  <c r="AG840" i="31"/>
  <c r="AF840" i="31"/>
  <c r="AI839" i="31"/>
  <c r="AH839" i="31"/>
  <c r="AG839" i="31"/>
  <c r="AF839" i="31"/>
  <c r="AI838" i="31"/>
  <c r="AH838" i="31"/>
  <c r="AG838" i="31"/>
  <c r="AF838" i="31"/>
  <c r="AI837" i="31"/>
  <c r="AH837" i="31"/>
  <c r="AG837" i="31"/>
  <c r="AF837" i="31"/>
  <c r="AI836" i="31"/>
  <c r="AH836" i="31"/>
  <c r="AG836" i="31"/>
  <c r="AF836" i="31"/>
  <c r="AI835" i="31"/>
  <c r="AH835" i="31"/>
  <c r="AG835" i="31"/>
  <c r="AF835" i="31"/>
  <c r="AI834" i="31"/>
  <c r="AH834" i="31"/>
  <c r="AG834" i="31"/>
  <c r="AF834" i="31"/>
  <c r="AI833" i="31"/>
  <c r="AH833" i="31"/>
  <c r="AG833" i="31"/>
  <c r="AF833" i="31"/>
  <c r="AI832" i="31"/>
  <c r="AH832" i="31"/>
  <c r="AG832" i="31"/>
  <c r="AF832" i="31"/>
  <c r="AI831" i="31"/>
  <c r="AH831" i="31"/>
  <c r="AG831" i="31"/>
  <c r="AF831" i="31"/>
  <c r="AI830" i="31"/>
  <c r="AH830" i="31"/>
  <c r="AG830" i="31"/>
  <c r="AF830" i="31"/>
  <c r="AI829" i="31"/>
  <c r="AH829" i="31"/>
  <c r="AG829" i="31"/>
  <c r="AF829" i="31"/>
  <c r="AI828" i="31"/>
  <c r="AH828" i="31"/>
  <c r="AG828" i="31"/>
  <c r="AF828" i="31"/>
  <c r="AI827" i="31"/>
  <c r="AH827" i="31"/>
  <c r="AG827" i="31"/>
  <c r="AF827" i="31"/>
  <c r="AI826" i="31"/>
  <c r="AH826" i="31"/>
  <c r="AG826" i="31"/>
  <c r="AF826" i="31"/>
  <c r="AI825" i="31"/>
  <c r="AH825" i="31"/>
  <c r="AG825" i="31"/>
  <c r="AF825" i="31"/>
  <c r="AI824" i="31"/>
  <c r="AH824" i="31"/>
  <c r="AG824" i="31"/>
  <c r="AF824" i="31"/>
  <c r="AI823" i="31"/>
  <c r="AH823" i="31"/>
  <c r="AG823" i="31"/>
  <c r="AF823" i="31"/>
  <c r="AI822" i="31"/>
  <c r="AH822" i="31"/>
  <c r="AG822" i="31"/>
  <c r="AF822" i="31"/>
  <c r="AI821" i="31"/>
  <c r="AH821" i="31"/>
  <c r="AG821" i="31"/>
  <c r="AF821" i="31"/>
  <c r="AI820" i="31"/>
  <c r="AH820" i="31"/>
  <c r="AG820" i="31"/>
  <c r="AF820" i="31"/>
  <c r="AI819" i="31"/>
  <c r="AH819" i="31"/>
  <c r="AG819" i="31"/>
  <c r="AF819" i="31"/>
  <c r="AI818" i="31"/>
  <c r="AH818" i="31"/>
  <c r="AG818" i="31"/>
  <c r="AF818" i="31"/>
  <c r="AI817" i="31"/>
  <c r="AH817" i="31"/>
  <c r="AG817" i="31"/>
  <c r="AF817" i="31"/>
  <c r="AI816" i="31"/>
  <c r="AH816" i="31"/>
  <c r="AG816" i="31"/>
  <c r="AF816" i="31"/>
  <c r="AI815" i="31"/>
  <c r="AH815" i="31"/>
  <c r="AG815" i="31"/>
  <c r="AF815" i="31"/>
  <c r="AI814" i="31"/>
  <c r="AH814" i="31"/>
  <c r="AG814" i="31"/>
  <c r="AF814" i="31"/>
  <c r="AI813" i="31"/>
  <c r="AH813" i="31"/>
  <c r="AG813" i="31"/>
  <c r="AF813" i="31"/>
  <c r="AI812" i="31"/>
  <c r="AH812" i="31"/>
  <c r="AG812" i="31"/>
  <c r="AF812" i="31"/>
  <c r="AI811" i="31"/>
  <c r="AH811" i="31"/>
  <c r="AG811" i="31"/>
  <c r="AF811" i="31"/>
  <c r="AI810" i="31"/>
  <c r="AH810" i="31"/>
  <c r="AG810" i="31"/>
  <c r="AF810" i="31"/>
  <c r="AI809" i="31"/>
  <c r="AH809" i="31"/>
  <c r="AG809" i="31"/>
  <c r="AF809" i="31"/>
  <c r="AI808" i="31"/>
  <c r="AH808" i="31"/>
  <c r="AG808" i="31"/>
  <c r="AF808" i="31"/>
  <c r="AI807" i="31"/>
  <c r="AH807" i="31"/>
  <c r="AG807" i="31"/>
  <c r="AF807" i="31"/>
  <c r="AI806" i="31"/>
  <c r="AH806" i="31"/>
  <c r="AG806" i="31"/>
  <c r="AF806" i="31"/>
  <c r="AI805" i="31"/>
  <c r="AH805" i="31"/>
  <c r="AG805" i="31"/>
  <c r="AF805" i="31"/>
  <c r="AI804" i="31"/>
  <c r="AH804" i="31"/>
  <c r="AG804" i="31"/>
  <c r="AF804" i="31"/>
  <c r="AI803" i="31"/>
  <c r="AH803" i="31"/>
  <c r="AG803" i="31"/>
  <c r="AF803" i="31"/>
  <c r="AI802" i="31"/>
  <c r="AH802" i="31"/>
  <c r="AG802" i="31"/>
  <c r="AF802" i="31"/>
  <c r="AI801" i="31"/>
  <c r="AH801" i="31"/>
  <c r="AG801" i="31"/>
  <c r="AF801" i="31"/>
  <c r="AI800" i="31"/>
  <c r="AH800" i="31"/>
  <c r="AG800" i="31"/>
  <c r="AF800" i="31"/>
  <c r="AI799" i="31"/>
  <c r="AH799" i="31"/>
  <c r="AG799" i="31"/>
  <c r="AF799" i="31"/>
  <c r="AI798" i="31"/>
  <c r="AH798" i="31"/>
  <c r="AG798" i="31"/>
  <c r="AF798" i="31"/>
  <c r="AI797" i="31"/>
  <c r="AH797" i="31"/>
  <c r="AG797" i="31"/>
  <c r="AF797" i="31"/>
  <c r="AI796" i="31"/>
  <c r="AH796" i="31"/>
  <c r="AG796" i="31"/>
  <c r="AF796" i="31"/>
  <c r="AI795" i="31"/>
  <c r="AH795" i="31"/>
  <c r="AG795" i="31"/>
  <c r="AF795" i="31"/>
  <c r="AI794" i="31"/>
  <c r="AH794" i="31"/>
  <c r="AG794" i="31"/>
  <c r="AF794" i="31"/>
  <c r="AI793" i="31"/>
  <c r="AH793" i="31"/>
  <c r="AG793" i="31"/>
  <c r="AF793" i="31"/>
  <c r="AI792" i="31"/>
  <c r="AH792" i="31"/>
  <c r="AG792" i="31"/>
  <c r="AF792" i="31"/>
  <c r="AI791" i="31"/>
  <c r="AH791" i="31"/>
  <c r="AG791" i="31"/>
  <c r="AF791" i="31"/>
  <c r="AI790" i="31"/>
  <c r="AH790" i="31"/>
  <c r="AG790" i="31"/>
  <c r="AF790" i="31"/>
  <c r="AI789" i="31"/>
  <c r="AH789" i="31"/>
  <c r="AG789" i="31"/>
  <c r="AF789" i="31"/>
  <c r="AI788" i="31"/>
  <c r="AH788" i="31"/>
  <c r="AG788" i="31"/>
  <c r="AF788" i="31"/>
  <c r="AI787" i="31"/>
  <c r="AH787" i="31"/>
  <c r="AG787" i="31"/>
  <c r="AF787" i="31"/>
  <c r="AI786" i="31"/>
  <c r="AH786" i="31"/>
  <c r="AG786" i="31"/>
  <c r="AF786" i="31"/>
  <c r="AI785" i="31"/>
  <c r="AH785" i="31"/>
  <c r="AG785" i="31"/>
  <c r="AF785" i="31"/>
  <c r="AI784" i="31"/>
  <c r="AH784" i="31"/>
  <c r="AG784" i="31"/>
  <c r="AF784" i="31"/>
  <c r="AI783" i="31"/>
  <c r="AH783" i="31"/>
  <c r="AG783" i="31"/>
  <c r="AF783" i="31"/>
  <c r="AI782" i="31"/>
  <c r="AH782" i="31"/>
  <c r="AG782" i="31"/>
  <c r="AF782" i="31"/>
  <c r="AI781" i="31"/>
  <c r="AH781" i="31"/>
  <c r="AG781" i="31"/>
  <c r="AF781" i="31"/>
  <c r="AI780" i="31"/>
  <c r="AH780" i="31"/>
  <c r="AG780" i="31"/>
  <c r="AF780" i="31"/>
  <c r="AI779" i="31"/>
  <c r="AH779" i="31"/>
  <c r="AG779" i="31"/>
  <c r="AF779" i="31"/>
  <c r="AI778" i="31"/>
  <c r="AH778" i="31"/>
  <c r="AG778" i="31"/>
  <c r="AF778" i="31"/>
  <c r="AI777" i="31"/>
  <c r="AH777" i="31"/>
  <c r="AG777" i="31"/>
  <c r="AF777" i="31"/>
  <c r="AI776" i="31"/>
  <c r="AH776" i="31"/>
  <c r="AG776" i="31"/>
  <c r="AF776" i="31"/>
  <c r="AI775" i="31"/>
  <c r="AH775" i="31"/>
  <c r="AG775" i="31"/>
  <c r="AF775" i="31"/>
  <c r="AI774" i="31"/>
  <c r="AH774" i="31"/>
  <c r="AG774" i="31"/>
  <c r="AF774" i="31"/>
  <c r="AI773" i="31"/>
  <c r="AH773" i="31"/>
  <c r="AG773" i="31"/>
  <c r="AF773" i="31"/>
  <c r="AI772" i="31"/>
  <c r="AH772" i="31"/>
  <c r="AG772" i="31"/>
  <c r="AF772" i="31"/>
  <c r="AI771" i="31"/>
  <c r="AH771" i="31"/>
  <c r="AG771" i="31"/>
  <c r="AF771" i="31"/>
  <c r="AI770" i="31"/>
  <c r="AH770" i="31"/>
  <c r="AG770" i="31"/>
  <c r="AF770" i="31"/>
  <c r="AI769" i="31"/>
  <c r="AH769" i="31"/>
  <c r="AG769" i="31"/>
  <c r="AF769" i="31"/>
  <c r="AI768" i="31"/>
  <c r="AH768" i="31"/>
  <c r="AG768" i="31"/>
  <c r="AF768" i="31"/>
  <c r="AI767" i="31"/>
  <c r="AH767" i="31"/>
  <c r="AG767" i="31"/>
  <c r="AF767" i="31"/>
  <c r="AI766" i="31"/>
  <c r="AH766" i="31"/>
  <c r="AG766" i="31"/>
  <c r="AF766" i="31"/>
  <c r="AI765" i="31"/>
  <c r="AH765" i="31"/>
  <c r="AG765" i="31"/>
  <c r="AF765" i="31"/>
  <c r="AI764" i="31"/>
  <c r="AH764" i="31"/>
  <c r="AG764" i="31"/>
  <c r="AF764" i="31"/>
  <c r="AI763" i="31"/>
  <c r="AH763" i="31"/>
  <c r="AG763" i="31"/>
  <c r="AF763" i="31"/>
  <c r="AI762" i="31"/>
  <c r="AH762" i="31"/>
  <c r="AG762" i="31"/>
  <c r="AF762" i="31"/>
  <c r="AI761" i="31"/>
  <c r="AH761" i="31"/>
  <c r="AG761" i="31"/>
  <c r="AF761" i="31"/>
  <c r="AI760" i="31"/>
  <c r="AH760" i="31"/>
  <c r="AG760" i="31"/>
  <c r="AF760" i="31"/>
  <c r="AI759" i="31"/>
  <c r="AH759" i="31"/>
  <c r="AG759" i="31"/>
  <c r="AF759" i="31"/>
  <c r="AI758" i="31"/>
  <c r="AH758" i="31"/>
  <c r="AG758" i="31"/>
  <c r="AF758" i="31"/>
  <c r="AI757" i="31"/>
  <c r="AH757" i="31"/>
  <c r="AG757" i="31"/>
  <c r="AF757" i="31"/>
  <c r="AI756" i="31"/>
  <c r="AH756" i="31"/>
  <c r="AG756" i="31"/>
  <c r="AF756" i="31"/>
  <c r="AI755" i="31"/>
  <c r="AH755" i="31"/>
  <c r="AG755" i="31"/>
  <c r="AF755" i="31"/>
  <c r="AI754" i="31"/>
  <c r="AH754" i="31"/>
  <c r="AG754" i="31"/>
  <c r="AF754" i="31"/>
  <c r="AI753" i="31"/>
  <c r="AH753" i="31"/>
  <c r="AG753" i="31"/>
  <c r="AF753" i="31"/>
  <c r="AI752" i="31"/>
  <c r="AH752" i="31"/>
  <c r="AG752" i="31"/>
  <c r="AF752" i="31"/>
  <c r="AI751" i="31"/>
  <c r="AH751" i="31"/>
  <c r="AG751" i="31"/>
  <c r="AF751" i="31"/>
  <c r="AI750" i="31"/>
  <c r="AH750" i="31"/>
  <c r="AG750" i="31"/>
  <c r="AF750" i="31"/>
  <c r="AI749" i="31"/>
  <c r="AH749" i="31"/>
  <c r="AG749" i="31"/>
  <c r="AF749" i="31"/>
  <c r="AI748" i="31"/>
  <c r="AH748" i="31"/>
  <c r="AG748" i="31"/>
  <c r="AF748" i="31"/>
  <c r="AI747" i="31"/>
  <c r="AH747" i="31"/>
  <c r="AG747" i="31"/>
  <c r="AF747" i="31"/>
  <c r="AI746" i="31"/>
  <c r="AH746" i="31"/>
  <c r="AG746" i="31"/>
  <c r="AF746" i="31"/>
  <c r="AI745" i="31"/>
  <c r="AH745" i="31"/>
  <c r="AG745" i="31"/>
  <c r="AF745" i="31"/>
  <c r="AI744" i="31"/>
  <c r="AH744" i="31"/>
  <c r="AG744" i="31"/>
  <c r="AF744" i="31"/>
  <c r="AI743" i="31"/>
  <c r="AH743" i="31"/>
  <c r="AG743" i="31"/>
  <c r="AF743" i="31"/>
  <c r="AI742" i="31"/>
  <c r="AH742" i="31"/>
  <c r="AG742" i="31"/>
  <c r="AF742" i="31"/>
  <c r="AI741" i="31"/>
  <c r="AH741" i="31"/>
  <c r="AG741" i="31"/>
  <c r="AF741" i="31"/>
  <c r="AI740" i="31"/>
  <c r="AH740" i="31"/>
  <c r="AG740" i="31"/>
  <c r="AF740" i="31"/>
  <c r="AI739" i="31"/>
  <c r="AH739" i="31"/>
  <c r="AG739" i="31"/>
  <c r="AF739" i="31"/>
  <c r="AI738" i="31"/>
  <c r="AH738" i="31"/>
  <c r="AG738" i="31"/>
  <c r="AF738" i="31"/>
  <c r="AI737" i="31"/>
  <c r="AH737" i="31"/>
  <c r="AG737" i="31"/>
  <c r="AF737" i="31"/>
  <c r="AI736" i="31"/>
  <c r="AH736" i="31"/>
  <c r="AG736" i="31"/>
  <c r="AF736" i="31"/>
  <c r="AI735" i="31"/>
  <c r="AH735" i="31"/>
  <c r="AG735" i="31"/>
  <c r="AF735" i="31"/>
  <c r="AI734" i="31"/>
  <c r="AH734" i="31"/>
  <c r="AG734" i="31"/>
  <c r="AF734" i="31"/>
  <c r="AI733" i="31"/>
  <c r="AH733" i="31"/>
  <c r="AG733" i="31"/>
  <c r="AF733" i="31"/>
  <c r="AI732" i="31"/>
  <c r="AH732" i="31"/>
  <c r="AG732" i="31"/>
  <c r="AF732" i="31"/>
  <c r="AI731" i="31"/>
  <c r="AH731" i="31"/>
  <c r="AG731" i="31"/>
  <c r="AF731" i="31"/>
  <c r="AI730" i="31"/>
  <c r="AH730" i="31"/>
  <c r="AG730" i="31"/>
  <c r="AF730" i="31"/>
  <c r="AI729" i="31"/>
  <c r="AH729" i="31"/>
  <c r="AG729" i="31"/>
  <c r="AF729" i="31"/>
  <c r="AI728" i="31"/>
  <c r="AH728" i="31"/>
  <c r="AG728" i="31"/>
  <c r="AF728" i="31"/>
  <c r="AI727" i="31"/>
  <c r="AH727" i="31"/>
  <c r="AG727" i="31"/>
  <c r="AF727" i="31"/>
  <c r="AI726" i="31"/>
  <c r="AH726" i="31"/>
  <c r="AG726" i="31"/>
  <c r="AF726" i="31"/>
  <c r="AI725" i="31"/>
  <c r="AH725" i="31"/>
  <c r="AG725" i="31"/>
  <c r="AF725" i="31"/>
  <c r="AI724" i="31"/>
  <c r="AH724" i="31"/>
  <c r="AG724" i="31"/>
  <c r="AF724" i="31"/>
  <c r="AI723" i="31"/>
  <c r="AH723" i="31"/>
  <c r="AG723" i="31"/>
  <c r="AF723" i="31"/>
  <c r="AI722" i="31"/>
  <c r="AH722" i="31"/>
  <c r="AG722" i="31"/>
  <c r="AF722" i="31"/>
  <c r="AI721" i="31"/>
  <c r="AH721" i="31"/>
  <c r="AG721" i="31"/>
  <c r="AF721" i="31"/>
  <c r="AI720" i="31"/>
  <c r="AH720" i="31"/>
  <c r="AG720" i="31"/>
  <c r="AF720" i="31"/>
  <c r="AI719" i="31"/>
  <c r="AH719" i="31"/>
  <c r="AG719" i="31"/>
  <c r="AF719" i="31"/>
  <c r="AI718" i="31"/>
  <c r="AH718" i="31"/>
  <c r="AG718" i="31"/>
  <c r="AF718" i="31"/>
  <c r="AI717" i="31"/>
  <c r="AH717" i="31"/>
  <c r="AG717" i="31"/>
  <c r="AF717" i="31"/>
  <c r="AI716" i="31"/>
  <c r="AH716" i="31"/>
  <c r="AG716" i="31"/>
  <c r="AF716" i="31"/>
  <c r="AI715" i="31"/>
  <c r="AH715" i="31"/>
  <c r="AG715" i="31"/>
  <c r="AF715" i="31"/>
  <c r="AI714" i="31"/>
  <c r="AH714" i="31"/>
  <c r="AG714" i="31"/>
  <c r="AF714" i="31"/>
  <c r="AI713" i="31"/>
  <c r="AH713" i="31"/>
  <c r="AG713" i="31"/>
  <c r="AF713" i="31"/>
  <c r="AI712" i="31"/>
  <c r="AH712" i="31"/>
  <c r="AG712" i="31"/>
  <c r="AF712" i="31"/>
  <c r="AI711" i="31"/>
  <c r="AH711" i="31"/>
  <c r="AG711" i="31"/>
  <c r="AF711" i="31"/>
  <c r="AI710" i="31"/>
  <c r="AH710" i="31"/>
  <c r="AG710" i="31"/>
  <c r="AF710" i="31"/>
  <c r="AI709" i="31"/>
  <c r="AH709" i="31"/>
  <c r="AG709" i="31"/>
  <c r="AF709" i="31"/>
  <c r="AI708" i="31"/>
  <c r="AH708" i="31"/>
  <c r="AG708" i="31"/>
  <c r="AF708" i="31"/>
  <c r="AI707" i="31"/>
  <c r="AH707" i="31"/>
  <c r="AG707" i="31"/>
  <c r="AF707" i="31"/>
  <c r="AI706" i="31"/>
  <c r="AH706" i="31"/>
  <c r="AG706" i="31"/>
  <c r="AF706" i="31"/>
  <c r="AI705" i="31"/>
  <c r="AH705" i="31"/>
  <c r="AG705" i="31"/>
  <c r="AF705" i="31"/>
  <c r="AI704" i="31"/>
  <c r="AH704" i="31"/>
  <c r="AG704" i="31"/>
  <c r="AF704" i="31"/>
  <c r="AI703" i="31"/>
  <c r="AH703" i="31"/>
  <c r="AG703" i="31"/>
  <c r="AF703" i="31"/>
  <c r="AI702" i="31"/>
  <c r="AH702" i="31"/>
  <c r="AG702" i="31"/>
  <c r="AF702" i="31"/>
  <c r="AI701" i="31"/>
  <c r="AH701" i="31"/>
  <c r="AG701" i="31"/>
  <c r="AF701" i="31"/>
  <c r="AI700" i="31"/>
  <c r="AH700" i="31"/>
  <c r="AG700" i="31"/>
  <c r="AF700" i="31"/>
  <c r="AI699" i="31"/>
  <c r="AH699" i="31"/>
  <c r="AG699" i="31"/>
  <c r="AF699" i="31"/>
  <c r="AI698" i="31"/>
  <c r="AH698" i="31"/>
  <c r="AG698" i="31"/>
  <c r="AF698" i="31"/>
  <c r="AI697" i="31"/>
  <c r="AH697" i="31"/>
  <c r="AG697" i="31"/>
  <c r="AF697" i="31"/>
  <c r="AI696" i="31"/>
  <c r="AH696" i="31"/>
  <c r="AG696" i="31"/>
  <c r="AF696" i="31"/>
  <c r="AI695" i="31"/>
  <c r="AH695" i="31"/>
  <c r="AG695" i="31"/>
  <c r="AF695" i="31"/>
  <c r="AI694" i="31"/>
  <c r="AH694" i="31"/>
  <c r="AG694" i="31"/>
  <c r="AF694" i="31"/>
  <c r="AI693" i="31"/>
  <c r="AH693" i="31"/>
  <c r="AG693" i="31"/>
  <c r="AF693" i="31"/>
  <c r="AI692" i="31"/>
  <c r="AH692" i="31"/>
  <c r="AG692" i="31"/>
  <c r="AF692" i="31"/>
  <c r="AI691" i="31"/>
  <c r="AH691" i="31"/>
  <c r="AG691" i="31"/>
  <c r="AF691" i="31"/>
  <c r="AI690" i="31"/>
  <c r="AH690" i="31"/>
  <c r="AG690" i="31"/>
  <c r="AF690" i="31"/>
  <c r="AI689" i="31"/>
  <c r="AH689" i="31"/>
  <c r="AG689" i="31"/>
  <c r="AF689" i="31"/>
  <c r="AI688" i="31"/>
  <c r="AH688" i="31"/>
  <c r="AG688" i="31"/>
  <c r="AF688" i="31"/>
  <c r="AI687" i="31"/>
  <c r="AH687" i="31"/>
  <c r="AG687" i="31"/>
  <c r="AF687" i="31"/>
  <c r="AI686" i="31"/>
  <c r="AH686" i="31"/>
  <c r="AG686" i="31"/>
  <c r="AF686" i="31"/>
  <c r="AI685" i="31"/>
  <c r="AH685" i="31"/>
  <c r="AG685" i="31"/>
  <c r="AF685" i="31"/>
  <c r="AI684" i="31"/>
  <c r="AH684" i="31"/>
  <c r="AG684" i="31"/>
  <c r="AF684" i="31"/>
  <c r="AI683" i="31"/>
  <c r="AH683" i="31"/>
  <c r="AG683" i="31"/>
  <c r="AF683" i="31"/>
  <c r="AI682" i="31"/>
  <c r="AH682" i="31"/>
  <c r="AG682" i="31"/>
  <c r="AF682" i="31"/>
  <c r="AI681" i="31"/>
  <c r="AH681" i="31"/>
  <c r="AG681" i="31"/>
  <c r="AF681" i="31"/>
  <c r="AI680" i="31"/>
  <c r="AH680" i="31"/>
  <c r="AG680" i="31"/>
  <c r="AF680" i="31"/>
  <c r="AI679" i="31"/>
  <c r="AH679" i="31"/>
  <c r="AG679" i="31"/>
  <c r="AF679" i="31"/>
  <c r="AI678" i="31"/>
  <c r="AH678" i="31"/>
  <c r="AG678" i="31"/>
  <c r="AF678" i="31"/>
  <c r="AI677" i="31"/>
  <c r="AH677" i="31"/>
  <c r="AG677" i="31"/>
  <c r="AF677" i="31"/>
  <c r="AI676" i="31"/>
  <c r="AH676" i="31"/>
  <c r="AG676" i="31"/>
  <c r="AF676" i="31"/>
  <c r="AI675" i="31"/>
  <c r="AH675" i="31"/>
  <c r="AG675" i="31"/>
  <c r="AF675" i="31"/>
  <c r="AI674" i="31"/>
  <c r="AH674" i="31"/>
  <c r="AG674" i="31"/>
  <c r="AF674" i="31"/>
  <c r="AI673" i="31"/>
  <c r="AH673" i="31"/>
  <c r="AG673" i="31"/>
  <c r="AF673" i="31"/>
  <c r="AI672" i="31"/>
  <c r="AH672" i="31"/>
  <c r="AG672" i="31"/>
  <c r="AF672" i="31"/>
  <c r="AI671" i="31"/>
  <c r="AH671" i="31"/>
  <c r="AG671" i="31"/>
  <c r="AF671" i="31"/>
  <c r="AI670" i="31"/>
  <c r="AH670" i="31"/>
  <c r="AG670" i="31"/>
  <c r="AF670" i="31"/>
  <c r="AI669" i="31"/>
  <c r="AH669" i="31"/>
  <c r="AG669" i="31"/>
  <c r="AF669" i="31"/>
  <c r="AI668" i="31"/>
  <c r="AH668" i="31"/>
  <c r="AG668" i="31"/>
  <c r="AF668" i="31"/>
  <c r="AI667" i="31"/>
  <c r="AH667" i="31"/>
  <c r="AG667" i="31"/>
  <c r="AF667" i="31"/>
  <c r="AI666" i="31"/>
  <c r="AH666" i="31"/>
  <c r="AG666" i="31"/>
  <c r="AF666" i="31"/>
  <c r="AI665" i="31"/>
  <c r="AH665" i="31"/>
  <c r="AG665" i="31"/>
  <c r="AF665" i="31"/>
  <c r="AI664" i="31"/>
  <c r="AH664" i="31"/>
  <c r="AG664" i="31"/>
  <c r="AF664" i="31"/>
  <c r="AI663" i="31"/>
  <c r="AH663" i="31"/>
  <c r="AG663" i="31"/>
  <c r="AF663" i="31"/>
  <c r="AI662" i="31"/>
  <c r="AH662" i="31"/>
  <c r="AG662" i="31"/>
  <c r="AF662" i="31"/>
  <c r="AI661" i="31"/>
  <c r="AH661" i="31"/>
  <c r="AG661" i="31"/>
  <c r="AF661" i="31"/>
  <c r="AI660" i="31"/>
  <c r="AH660" i="31"/>
  <c r="AG660" i="31"/>
  <c r="AF660" i="31"/>
  <c r="AI659" i="31"/>
  <c r="AH659" i="31"/>
  <c r="AG659" i="31"/>
  <c r="AF659" i="31"/>
  <c r="AI658" i="31"/>
  <c r="AH658" i="31"/>
  <c r="AG658" i="31"/>
  <c r="AF658" i="31"/>
  <c r="AI657" i="31"/>
  <c r="AH657" i="31"/>
  <c r="AG657" i="31"/>
  <c r="AF657" i="31"/>
  <c r="AI656" i="31"/>
  <c r="AH656" i="31"/>
  <c r="AG656" i="31"/>
  <c r="AF656" i="31"/>
  <c r="AI655" i="31"/>
  <c r="AH655" i="31"/>
  <c r="AG655" i="31"/>
  <c r="AF655" i="31"/>
  <c r="AI654" i="31"/>
  <c r="AH654" i="31"/>
  <c r="AG654" i="31"/>
  <c r="AF654" i="31"/>
  <c r="AI653" i="31"/>
  <c r="AH653" i="31"/>
  <c r="AG653" i="31"/>
  <c r="AF653" i="31"/>
  <c r="AI652" i="31"/>
  <c r="AH652" i="31"/>
  <c r="AG652" i="31"/>
  <c r="AF652" i="31"/>
  <c r="AI651" i="31"/>
  <c r="AH651" i="31"/>
  <c r="AG651" i="31"/>
  <c r="AF651" i="31"/>
  <c r="AI650" i="31"/>
  <c r="AH650" i="31"/>
  <c r="AG650" i="31"/>
  <c r="AF650" i="31"/>
  <c r="AI649" i="31"/>
  <c r="AH649" i="31"/>
  <c r="AG649" i="31"/>
  <c r="AF649" i="31"/>
  <c r="AI648" i="31"/>
  <c r="AH648" i="31"/>
  <c r="AG648" i="31"/>
  <c r="AF648" i="31"/>
  <c r="AI647" i="31"/>
  <c r="AH647" i="31"/>
  <c r="AG647" i="31"/>
  <c r="AF647" i="31"/>
  <c r="AI646" i="31"/>
  <c r="AH646" i="31"/>
  <c r="AG646" i="31"/>
  <c r="AF646" i="31"/>
  <c r="AI645" i="31"/>
  <c r="AH645" i="31"/>
  <c r="AG645" i="31"/>
  <c r="AF645" i="31"/>
  <c r="AI644" i="31"/>
  <c r="AH644" i="31"/>
  <c r="AG644" i="31"/>
  <c r="AF644" i="31"/>
  <c r="AI643" i="31"/>
  <c r="AH643" i="31"/>
  <c r="AG643" i="31"/>
  <c r="AF643" i="31"/>
  <c r="AI642" i="31"/>
  <c r="AH642" i="31"/>
  <c r="AG642" i="31"/>
  <c r="AF642" i="31"/>
  <c r="AI641" i="31"/>
  <c r="AH641" i="31"/>
  <c r="AG641" i="31"/>
  <c r="AF641" i="31"/>
  <c r="AI640" i="31"/>
  <c r="AH640" i="31"/>
  <c r="AG640" i="31"/>
  <c r="AF640" i="31"/>
  <c r="AI639" i="31"/>
  <c r="AH639" i="31"/>
  <c r="AG639" i="31"/>
  <c r="AF639" i="31"/>
  <c r="AI638" i="31"/>
  <c r="AH638" i="31"/>
  <c r="AG638" i="31"/>
  <c r="AF638" i="31"/>
  <c r="AI637" i="31"/>
  <c r="AH637" i="31"/>
  <c r="AG637" i="31"/>
  <c r="AF637" i="31"/>
  <c r="AI636" i="31"/>
  <c r="AH636" i="31"/>
  <c r="AG636" i="31"/>
  <c r="AF636" i="31"/>
  <c r="AI635" i="31"/>
  <c r="AH635" i="31"/>
  <c r="AG635" i="31"/>
  <c r="AF635" i="31"/>
  <c r="AI634" i="31"/>
  <c r="AH634" i="31"/>
  <c r="AG634" i="31"/>
  <c r="AF634" i="31"/>
  <c r="AI633" i="31"/>
  <c r="AH633" i="31"/>
  <c r="AG633" i="31"/>
  <c r="AF633" i="31"/>
  <c r="AI632" i="31"/>
  <c r="AH632" i="31"/>
  <c r="AG632" i="31"/>
  <c r="AF632" i="31"/>
  <c r="AI631" i="31"/>
  <c r="AH631" i="31"/>
  <c r="AG631" i="31"/>
  <c r="AF631" i="31"/>
  <c r="AI630" i="31"/>
  <c r="AH630" i="31"/>
  <c r="AG630" i="31"/>
  <c r="AF630" i="31"/>
  <c r="AI629" i="31"/>
  <c r="AH629" i="31"/>
  <c r="AG629" i="31"/>
  <c r="AF629" i="31"/>
  <c r="AI628" i="31"/>
  <c r="AH628" i="31"/>
  <c r="AG628" i="31"/>
  <c r="AF628" i="31"/>
  <c r="AI627" i="31"/>
  <c r="AH627" i="31"/>
  <c r="AG627" i="31"/>
  <c r="AF627" i="31"/>
  <c r="AI626" i="31"/>
  <c r="AH626" i="31"/>
  <c r="AG626" i="31"/>
  <c r="AF626" i="31"/>
  <c r="AI625" i="31"/>
  <c r="AH625" i="31"/>
  <c r="AG625" i="31"/>
  <c r="AF625" i="31"/>
  <c r="AI624" i="31"/>
  <c r="AH624" i="31"/>
  <c r="AG624" i="31"/>
  <c r="AF624" i="31"/>
  <c r="AI623" i="31"/>
  <c r="AH623" i="31"/>
  <c r="AG623" i="31"/>
  <c r="AF623" i="31"/>
  <c r="AI622" i="31"/>
  <c r="AH622" i="31"/>
  <c r="AG622" i="31"/>
  <c r="AF622" i="31"/>
  <c r="AI621" i="31"/>
  <c r="AH621" i="31"/>
  <c r="AG621" i="31"/>
  <c r="AF621" i="31"/>
  <c r="AI620" i="31"/>
  <c r="AH620" i="31"/>
  <c r="AG620" i="31"/>
  <c r="AF620" i="31"/>
  <c r="AI619" i="31"/>
  <c r="AH619" i="31"/>
  <c r="AG619" i="31"/>
  <c r="AF619" i="31"/>
  <c r="AI618" i="31"/>
  <c r="AH618" i="31"/>
  <c r="AG618" i="31"/>
  <c r="AF618" i="31"/>
  <c r="AI617" i="31"/>
  <c r="AH617" i="31"/>
  <c r="AG617" i="31"/>
  <c r="AF617" i="31"/>
  <c r="AI616" i="31"/>
  <c r="AH616" i="31"/>
  <c r="AG616" i="31"/>
  <c r="AF616" i="31"/>
  <c r="AI615" i="31"/>
  <c r="AH615" i="31"/>
  <c r="AG615" i="31"/>
  <c r="AF615" i="31"/>
  <c r="AI614" i="31"/>
  <c r="AH614" i="31"/>
  <c r="AG614" i="31"/>
  <c r="AF614" i="31"/>
  <c r="AI613" i="31"/>
  <c r="AH613" i="31"/>
  <c r="AG613" i="31"/>
  <c r="AF613" i="31"/>
  <c r="AI612" i="31"/>
  <c r="AH612" i="31"/>
  <c r="AG612" i="31"/>
  <c r="AF612" i="31"/>
  <c r="AI611" i="31"/>
  <c r="AH611" i="31"/>
  <c r="AG611" i="31"/>
  <c r="AF611" i="31"/>
  <c r="AI610" i="31"/>
  <c r="AH610" i="31"/>
  <c r="AG610" i="31"/>
  <c r="AF610" i="31"/>
  <c r="AI609" i="31"/>
  <c r="AH609" i="31"/>
  <c r="AG609" i="31"/>
  <c r="AF609" i="31"/>
  <c r="AI608" i="31"/>
  <c r="AH608" i="31"/>
  <c r="AG608" i="31"/>
  <c r="AF608" i="31"/>
  <c r="AI607" i="31"/>
  <c r="AH607" i="31"/>
  <c r="AG607" i="31"/>
  <c r="AF607" i="31"/>
  <c r="AI606" i="31"/>
  <c r="AH606" i="31"/>
  <c r="AG606" i="31"/>
  <c r="AF606" i="31"/>
  <c r="AI605" i="31"/>
  <c r="AH605" i="31"/>
  <c r="AG605" i="31"/>
  <c r="AF605" i="31"/>
  <c r="AI604" i="31"/>
  <c r="AH604" i="31"/>
  <c r="AG604" i="31"/>
  <c r="AF604" i="31"/>
  <c r="AI603" i="31"/>
  <c r="AH603" i="31"/>
  <c r="AG603" i="31"/>
  <c r="AF603" i="31"/>
  <c r="AI602" i="31"/>
  <c r="AH602" i="31"/>
  <c r="AG602" i="31"/>
  <c r="AF602" i="31"/>
  <c r="AI601" i="31"/>
  <c r="AH601" i="31"/>
  <c r="AG601" i="31"/>
  <c r="AF601" i="31"/>
  <c r="AI600" i="31"/>
  <c r="AH600" i="31"/>
  <c r="AG600" i="31"/>
  <c r="AF600" i="31"/>
  <c r="AI599" i="31"/>
  <c r="AH599" i="31"/>
  <c r="AG599" i="31"/>
  <c r="AF599" i="31"/>
  <c r="AI598" i="31"/>
  <c r="AH598" i="31"/>
  <c r="AG598" i="31"/>
  <c r="AF598" i="31"/>
  <c r="AI597" i="31"/>
  <c r="AH597" i="31"/>
  <c r="AG597" i="31"/>
  <c r="AF597" i="31"/>
  <c r="AI596" i="31"/>
  <c r="AH596" i="31"/>
  <c r="AG596" i="31"/>
  <c r="AF596" i="31"/>
  <c r="AI595" i="31"/>
  <c r="AH595" i="31"/>
  <c r="AG595" i="31"/>
  <c r="AF595" i="31"/>
  <c r="AI594" i="31"/>
  <c r="AH594" i="31"/>
  <c r="AG594" i="31"/>
  <c r="AF594" i="31"/>
  <c r="AI593" i="31"/>
  <c r="AH593" i="31"/>
  <c r="AG593" i="31"/>
  <c r="AF593" i="31"/>
  <c r="AI592" i="31"/>
  <c r="AH592" i="31"/>
  <c r="AG592" i="31"/>
  <c r="AF592" i="31"/>
  <c r="AI591" i="31"/>
  <c r="AH591" i="31"/>
  <c r="AG591" i="31"/>
  <c r="AF591" i="31"/>
  <c r="AI590" i="31"/>
  <c r="AH590" i="31"/>
  <c r="AG590" i="31"/>
  <c r="AF590" i="31"/>
  <c r="AI589" i="31"/>
  <c r="AH589" i="31"/>
  <c r="AG589" i="31"/>
  <c r="AF589" i="31"/>
  <c r="AI588" i="31"/>
  <c r="AH588" i="31"/>
  <c r="AG588" i="31"/>
  <c r="AF588" i="31"/>
  <c r="AI587" i="31"/>
  <c r="AH587" i="31"/>
  <c r="AG587" i="31"/>
  <c r="AF587" i="31"/>
  <c r="AI586" i="31"/>
  <c r="AH586" i="31"/>
  <c r="AG586" i="31"/>
  <c r="AF586" i="31"/>
  <c r="AI585" i="31"/>
  <c r="AH585" i="31"/>
  <c r="AG585" i="31"/>
  <c r="AF585" i="31"/>
  <c r="AI584" i="31"/>
  <c r="AH584" i="31"/>
  <c r="AG584" i="31"/>
  <c r="AF584" i="31"/>
  <c r="AI583" i="31"/>
  <c r="AH583" i="31"/>
  <c r="AG583" i="31"/>
  <c r="AF583" i="31"/>
  <c r="AI582" i="31"/>
  <c r="AH582" i="31"/>
  <c r="AG582" i="31"/>
  <c r="AF582" i="31"/>
  <c r="AI581" i="31"/>
  <c r="AH581" i="31"/>
  <c r="AG581" i="31"/>
  <c r="AF581" i="31"/>
  <c r="AI580" i="31"/>
  <c r="AH580" i="31"/>
  <c r="AG580" i="31"/>
  <c r="AF580" i="31"/>
  <c r="AI579" i="31"/>
  <c r="AH579" i="31"/>
  <c r="AG579" i="31"/>
  <c r="AF579" i="31"/>
  <c r="AI578" i="31"/>
  <c r="AH578" i="31"/>
  <c r="AG578" i="31"/>
  <c r="AF578" i="31"/>
  <c r="AI577" i="31"/>
  <c r="AH577" i="31"/>
  <c r="AG577" i="31"/>
  <c r="AF577" i="31"/>
  <c r="AI576" i="31"/>
  <c r="AH576" i="31"/>
  <c r="AG576" i="31"/>
  <c r="AF576" i="31"/>
  <c r="AI575" i="31"/>
  <c r="AH575" i="31"/>
  <c r="AG575" i="31"/>
  <c r="AF575" i="31"/>
  <c r="AI574" i="31"/>
  <c r="AH574" i="31"/>
  <c r="AG574" i="31"/>
  <c r="AF574" i="31"/>
  <c r="AI573" i="31"/>
  <c r="AH573" i="31"/>
  <c r="AG573" i="31"/>
  <c r="AF573" i="31"/>
  <c r="AI572" i="31"/>
  <c r="AH572" i="31"/>
  <c r="AG572" i="31"/>
  <c r="AF572" i="31"/>
  <c r="AI571" i="31"/>
  <c r="AH571" i="31"/>
  <c r="AG571" i="31"/>
  <c r="AF571" i="31"/>
  <c r="AI570" i="31"/>
  <c r="AH570" i="31"/>
  <c r="AG570" i="31"/>
  <c r="AF570" i="31"/>
  <c r="AI569" i="31"/>
  <c r="AH569" i="31"/>
  <c r="AG569" i="31"/>
  <c r="AF569" i="31"/>
  <c r="AI568" i="31"/>
  <c r="AH568" i="31"/>
  <c r="AG568" i="31"/>
  <c r="AF568" i="31"/>
  <c r="AI567" i="31"/>
  <c r="AH567" i="31"/>
  <c r="AG567" i="31"/>
  <c r="AF567" i="31"/>
  <c r="AI566" i="31"/>
  <c r="AH566" i="31"/>
  <c r="AG566" i="31"/>
  <c r="AF566" i="31"/>
  <c r="AI565" i="31"/>
  <c r="AH565" i="31"/>
  <c r="AG565" i="31"/>
  <c r="AF565" i="31"/>
  <c r="AI564" i="31"/>
  <c r="AH564" i="31"/>
  <c r="AG564" i="31"/>
  <c r="AF564" i="31"/>
  <c r="AI563" i="31"/>
  <c r="AH563" i="31"/>
  <c r="AG563" i="31"/>
  <c r="AF563" i="31"/>
  <c r="AI562" i="31"/>
  <c r="AH562" i="31"/>
  <c r="AG562" i="31"/>
  <c r="AF562" i="31"/>
  <c r="AI561" i="31"/>
  <c r="AH561" i="31"/>
  <c r="AG561" i="31"/>
  <c r="AF561" i="31"/>
  <c r="AI560" i="31"/>
  <c r="AH560" i="31"/>
  <c r="AG560" i="31"/>
  <c r="AF560" i="31"/>
  <c r="AI559" i="31"/>
  <c r="AH559" i="31"/>
  <c r="AG559" i="31"/>
  <c r="AF559" i="31"/>
  <c r="AI558" i="31"/>
  <c r="AH558" i="31"/>
  <c r="AG558" i="31"/>
  <c r="AF558" i="31"/>
  <c r="AI557" i="31"/>
  <c r="AH557" i="31"/>
  <c r="AG557" i="31"/>
  <c r="AF557" i="31"/>
  <c r="AI556" i="31"/>
  <c r="AH556" i="31"/>
  <c r="AG556" i="31"/>
  <c r="AF556" i="31"/>
  <c r="AI555" i="31"/>
  <c r="AH555" i="31"/>
  <c r="AG555" i="31"/>
  <c r="AF555" i="31"/>
  <c r="AI554" i="31"/>
  <c r="AH554" i="31"/>
  <c r="AG554" i="31"/>
  <c r="AF554" i="31"/>
  <c r="AI553" i="31"/>
  <c r="AH553" i="31"/>
  <c r="AG553" i="31"/>
  <c r="AF553" i="31"/>
  <c r="AI552" i="31"/>
  <c r="AH552" i="31"/>
  <c r="AG552" i="31"/>
  <c r="AF552" i="31"/>
  <c r="AI551" i="31"/>
  <c r="AH551" i="31"/>
  <c r="AG551" i="31"/>
  <c r="AF551" i="31"/>
  <c r="AI550" i="31"/>
  <c r="AH550" i="31"/>
  <c r="AG550" i="31"/>
  <c r="AF550" i="31"/>
  <c r="AI549" i="31"/>
  <c r="AH549" i="31"/>
  <c r="AG549" i="31"/>
  <c r="AF549" i="31"/>
  <c r="AI548" i="31"/>
  <c r="AH548" i="31"/>
  <c r="AG548" i="31"/>
  <c r="AF548" i="31"/>
  <c r="AI547" i="31"/>
  <c r="AH547" i="31"/>
  <c r="AG547" i="31"/>
  <c r="AF547" i="31"/>
  <c r="AI546" i="31"/>
  <c r="AH546" i="31"/>
  <c r="AG546" i="31"/>
  <c r="AF546" i="31"/>
  <c r="AI545" i="31"/>
  <c r="AH545" i="31"/>
  <c r="AG545" i="31"/>
  <c r="AF545" i="31"/>
  <c r="AI544" i="31"/>
  <c r="AH544" i="31"/>
  <c r="AG544" i="31"/>
  <c r="AF544" i="31"/>
  <c r="AI543" i="31"/>
  <c r="AH543" i="31"/>
  <c r="AG543" i="31"/>
  <c r="AF543" i="31"/>
  <c r="AI542" i="31"/>
  <c r="AH542" i="31"/>
  <c r="AG542" i="31"/>
  <c r="AF542" i="31"/>
  <c r="AI541" i="31"/>
  <c r="AH541" i="31"/>
  <c r="AG541" i="31"/>
  <c r="AF541" i="31"/>
  <c r="AI540" i="31"/>
  <c r="AH540" i="31"/>
  <c r="AG540" i="31"/>
  <c r="AF540" i="31"/>
  <c r="AI539" i="31"/>
  <c r="AH539" i="31"/>
  <c r="AG539" i="31"/>
  <c r="AF539" i="31"/>
  <c r="AI538" i="31"/>
  <c r="AH538" i="31"/>
  <c r="AG538" i="31"/>
  <c r="AF538" i="31"/>
  <c r="AI537" i="31"/>
  <c r="AH537" i="31"/>
  <c r="AG537" i="31"/>
  <c r="AF537" i="31"/>
  <c r="AI536" i="31"/>
  <c r="AH536" i="31"/>
  <c r="AG536" i="31"/>
  <c r="AF536" i="31"/>
  <c r="AI535" i="31"/>
  <c r="AH535" i="31"/>
  <c r="AG535" i="31"/>
  <c r="AF535" i="31"/>
  <c r="AI534" i="31"/>
  <c r="AH534" i="31"/>
  <c r="AG534" i="31"/>
  <c r="AF534" i="31"/>
  <c r="AI533" i="31"/>
  <c r="AH533" i="31"/>
  <c r="AG533" i="31"/>
  <c r="AF533" i="31"/>
  <c r="AI532" i="31"/>
  <c r="AH532" i="31"/>
  <c r="AG532" i="31"/>
  <c r="AF532" i="31"/>
  <c r="AI531" i="31"/>
  <c r="AH531" i="31"/>
  <c r="AG531" i="31"/>
  <c r="AF531" i="31"/>
  <c r="AI530" i="31"/>
  <c r="AH530" i="31"/>
  <c r="AG530" i="31"/>
  <c r="AF530" i="31"/>
  <c r="AI529" i="31"/>
  <c r="AH529" i="31"/>
  <c r="AG529" i="31"/>
  <c r="AF529" i="31"/>
  <c r="AI528" i="31"/>
  <c r="AH528" i="31"/>
  <c r="AG528" i="31"/>
  <c r="AF528" i="31"/>
  <c r="AI527" i="31"/>
  <c r="AH527" i="31"/>
  <c r="AG527" i="31"/>
  <c r="AF527" i="31"/>
  <c r="AI526" i="31"/>
  <c r="AH526" i="31"/>
  <c r="AG526" i="31"/>
  <c r="AF526" i="31"/>
  <c r="AI525" i="31"/>
  <c r="AH525" i="31"/>
  <c r="AG525" i="31"/>
  <c r="AF525" i="31"/>
  <c r="AI524" i="31"/>
  <c r="AH524" i="31"/>
  <c r="AG524" i="31"/>
  <c r="AF524" i="31"/>
  <c r="AI523" i="31"/>
  <c r="AH523" i="31"/>
  <c r="AG523" i="31"/>
  <c r="AF523" i="31"/>
  <c r="AI522" i="31"/>
  <c r="AH522" i="31"/>
  <c r="AG522" i="31"/>
  <c r="AF522" i="31"/>
  <c r="AI521" i="31"/>
  <c r="AH521" i="31"/>
  <c r="AG521" i="31"/>
  <c r="AF521" i="31"/>
  <c r="AI520" i="31"/>
  <c r="AH520" i="31"/>
  <c r="AG520" i="31"/>
  <c r="AF520" i="31"/>
  <c r="AI519" i="31"/>
  <c r="AH519" i="31"/>
  <c r="AG519" i="31"/>
  <c r="AF519" i="31"/>
  <c r="AI518" i="31"/>
  <c r="AH518" i="31"/>
  <c r="AG518" i="31"/>
  <c r="AF518" i="31"/>
  <c r="AI517" i="31"/>
  <c r="AH517" i="31"/>
  <c r="AG517" i="31"/>
  <c r="AF517" i="31"/>
  <c r="AI516" i="31"/>
  <c r="AH516" i="31"/>
  <c r="AG516" i="31"/>
  <c r="AF516" i="31"/>
  <c r="AI515" i="31"/>
  <c r="AH515" i="31"/>
  <c r="AG515" i="31"/>
  <c r="AF515" i="31"/>
  <c r="AI514" i="31"/>
  <c r="AH514" i="31"/>
  <c r="AG514" i="31"/>
  <c r="AF514" i="31"/>
  <c r="AI513" i="31"/>
  <c r="AH513" i="31"/>
  <c r="AG513" i="31"/>
  <c r="AF513" i="31"/>
  <c r="AI512" i="31"/>
  <c r="AH512" i="31"/>
  <c r="AG512" i="31"/>
  <c r="AF512" i="31"/>
  <c r="AI511" i="31"/>
  <c r="AH511" i="31"/>
  <c r="AG511" i="31"/>
  <c r="AF511" i="31"/>
  <c r="AI510" i="31"/>
  <c r="AH510" i="31"/>
  <c r="AG510" i="31"/>
  <c r="AF510" i="31"/>
  <c r="AI509" i="31"/>
  <c r="AH509" i="31"/>
  <c r="AG509" i="31"/>
  <c r="AF509" i="31"/>
  <c r="AI508" i="31"/>
  <c r="AH508" i="31"/>
  <c r="AG508" i="31"/>
  <c r="AF508" i="31"/>
  <c r="AI507" i="31"/>
  <c r="AH507" i="31"/>
  <c r="AG507" i="31"/>
  <c r="AF507" i="31"/>
  <c r="AI506" i="31"/>
  <c r="AH506" i="31"/>
  <c r="AG506" i="31"/>
  <c r="AF506" i="31"/>
  <c r="AI505" i="31"/>
  <c r="AH505" i="31"/>
  <c r="AG505" i="31"/>
  <c r="AF505" i="31"/>
  <c r="AI504" i="31"/>
  <c r="AH504" i="31"/>
  <c r="AG504" i="31"/>
  <c r="AF504" i="31"/>
  <c r="AI503" i="31"/>
  <c r="AH503" i="31"/>
  <c r="AG503" i="31"/>
  <c r="AF503" i="31"/>
  <c r="AI502" i="31"/>
  <c r="AH502" i="31"/>
  <c r="AG502" i="31"/>
  <c r="AF502" i="31"/>
  <c r="AI501" i="31"/>
  <c r="AH501" i="31"/>
  <c r="AG501" i="31"/>
  <c r="AF501" i="31"/>
  <c r="AI500" i="31"/>
  <c r="AH500" i="31"/>
  <c r="AG500" i="31"/>
  <c r="AF500" i="31"/>
  <c r="AI499" i="31"/>
  <c r="AH499" i="31"/>
  <c r="AG499" i="31"/>
  <c r="AF499" i="31"/>
  <c r="AI498" i="31"/>
  <c r="AH498" i="31"/>
  <c r="AG498" i="31"/>
  <c r="AF498" i="31"/>
  <c r="AI497" i="31"/>
  <c r="AH497" i="31"/>
  <c r="AG497" i="31"/>
  <c r="AF497" i="31"/>
  <c r="AI496" i="31"/>
  <c r="AH496" i="31"/>
  <c r="AG496" i="31"/>
  <c r="AF496" i="31"/>
  <c r="AI495" i="31"/>
  <c r="AH495" i="31"/>
  <c r="AG495" i="31"/>
  <c r="AF495" i="31"/>
  <c r="AI494" i="31"/>
  <c r="AH494" i="31"/>
  <c r="AG494" i="31"/>
  <c r="AF494" i="31"/>
  <c r="AI493" i="31"/>
  <c r="AH493" i="31"/>
  <c r="AG493" i="31"/>
  <c r="AF493" i="31"/>
  <c r="AI492" i="31"/>
  <c r="AH492" i="31"/>
  <c r="AG492" i="31"/>
  <c r="AF492" i="31"/>
  <c r="AI491" i="31"/>
  <c r="AH491" i="31"/>
  <c r="AG491" i="31"/>
  <c r="AF491" i="31"/>
  <c r="AI490" i="31"/>
  <c r="AH490" i="31"/>
  <c r="AG490" i="31"/>
  <c r="AF490" i="31"/>
  <c r="AI489" i="31"/>
  <c r="AH489" i="31"/>
  <c r="AG489" i="31"/>
  <c r="AF489" i="31"/>
  <c r="AI488" i="31"/>
  <c r="AH488" i="31"/>
  <c r="AG488" i="31"/>
  <c r="AF488" i="31"/>
  <c r="AI487" i="31"/>
  <c r="AH487" i="31"/>
  <c r="AG487" i="31"/>
  <c r="AF487" i="31"/>
  <c r="AI486" i="31"/>
  <c r="AH486" i="31"/>
  <c r="AG486" i="31"/>
  <c r="AF486" i="31"/>
  <c r="AI485" i="31"/>
  <c r="AH485" i="31"/>
  <c r="AG485" i="31"/>
  <c r="AF485" i="31"/>
  <c r="AI484" i="31"/>
  <c r="AH484" i="31"/>
  <c r="AG484" i="31"/>
  <c r="AF484" i="31"/>
  <c r="AI483" i="31"/>
  <c r="AH483" i="31"/>
  <c r="AG483" i="31"/>
  <c r="AF483" i="31"/>
  <c r="AI482" i="31"/>
  <c r="AH482" i="31"/>
  <c r="AG482" i="31"/>
  <c r="AF482" i="31"/>
  <c r="AI481" i="31"/>
  <c r="AH481" i="31"/>
  <c r="AG481" i="31"/>
  <c r="AF481" i="31"/>
  <c r="AI480" i="31"/>
  <c r="AH480" i="31"/>
  <c r="AG480" i="31"/>
  <c r="AF480" i="31"/>
  <c r="AI479" i="31"/>
  <c r="AH479" i="31"/>
  <c r="AG479" i="31"/>
  <c r="AF479" i="31"/>
  <c r="AI478" i="31"/>
  <c r="AH478" i="31"/>
  <c r="AG478" i="31"/>
  <c r="AF478" i="31"/>
  <c r="AI477" i="31"/>
  <c r="AH477" i="31"/>
  <c r="AG477" i="31"/>
  <c r="AF477" i="31"/>
  <c r="AI476" i="31"/>
  <c r="AH476" i="31"/>
  <c r="AG476" i="31"/>
  <c r="AF476" i="31"/>
  <c r="AI475" i="31"/>
  <c r="AH475" i="31"/>
  <c r="AG475" i="31"/>
  <c r="AF475" i="31"/>
  <c r="AI474" i="31"/>
  <c r="AH474" i="31"/>
  <c r="AG474" i="31"/>
  <c r="AF474" i="31"/>
  <c r="AI473" i="31"/>
  <c r="AH473" i="31"/>
  <c r="AG473" i="31"/>
  <c r="AF473" i="31"/>
  <c r="AI472" i="31"/>
  <c r="AH472" i="31"/>
  <c r="AG472" i="31"/>
  <c r="AF472" i="31"/>
  <c r="AI471" i="31"/>
  <c r="AH471" i="31"/>
  <c r="AG471" i="31"/>
  <c r="AF471" i="31"/>
  <c r="AI470" i="31"/>
  <c r="AH470" i="31"/>
  <c r="AG470" i="31"/>
  <c r="AF470" i="31"/>
  <c r="AI469" i="31"/>
  <c r="AH469" i="31"/>
  <c r="AG469" i="31"/>
  <c r="AF469" i="31"/>
  <c r="AI468" i="31"/>
  <c r="AH468" i="31"/>
  <c r="AG468" i="31"/>
  <c r="AF468" i="31"/>
  <c r="AI467" i="31"/>
  <c r="AH467" i="31"/>
  <c r="AG467" i="31"/>
  <c r="AF467" i="31"/>
  <c r="AI466" i="31"/>
  <c r="AH466" i="31"/>
  <c r="AG466" i="31"/>
  <c r="AF466" i="31"/>
  <c r="AI465" i="31"/>
  <c r="AH465" i="31"/>
  <c r="AG465" i="31"/>
  <c r="AF465" i="31"/>
  <c r="AI464" i="31"/>
  <c r="AH464" i="31"/>
  <c r="AG464" i="31"/>
  <c r="AF464" i="31"/>
  <c r="AI463" i="31"/>
  <c r="AH463" i="31"/>
  <c r="AG463" i="31"/>
  <c r="AF463" i="31"/>
  <c r="AI462" i="31"/>
  <c r="AH462" i="31"/>
  <c r="AG462" i="31"/>
  <c r="AF462" i="31"/>
  <c r="AI461" i="31"/>
  <c r="AH461" i="31"/>
  <c r="AG461" i="31"/>
  <c r="AF461" i="31"/>
  <c r="AI460" i="31"/>
  <c r="AH460" i="31"/>
  <c r="AG460" i="31"/>
  <c r="AF460" i="31"/>
  <c r="AI459" i="31"/>
  <c r="AH459" i="31"/>
  <c r="AG459" i="31"/>
  <c r="AF459" i="31"/>
  <c r="AI458" i="31"/>
  <c r="AH458" i="31"/>
  <c r="AG458" i="31"/>
  <c r="AF458" i="31"/>
  <c r="AI457" i="31"/>
  <c r="AH457" i="31"/>
  <c r="AG457" i="31"/>
  <c r="AF457" i="31"/>
  <c r="AI456" i="31"/>
  <c r="AH456" i="31"/>
  <c r="AG456" i="31"/>
  <c r="AF456" i="31"/>
  <c r="AI455" i="31"/>
  <c r="AH455" i="31"/>
  <c r="AG455" i="31"/>
  <c r="AF455" i="31"/>
  <c r="AI454" i="31"/>
  <c r="AH454" i="31"/>
  <c r="AG454" i="31"/>
  <c r="AF454" i="31"/>
  <c r="AI453" i="31"/>
  <c r="AH453" i="31"/>
  <c r="AG453" i="31"/>
  <c r="AF453" i="31"/>
  <c r="AI452" i="31"/>
  <c r="AH452" i="31"/>
  <c r="AG452" i="31"/>
  <c r="AF452" i="31"/>
  <c r="AI451" i="31"/>
  <c r="AH451" i="31"/>
  <c r="AG451" i="31"/>
  <c r="AF451" i="31"/>
  <c r="AI450" i="31"/>
  <c r="AH450" i="31"/>
  <c r="AG450" i="31"/>
  <c r="AF450" i="31"/>
  <c r="AI449" i="31"/>
  <c r="AH449" i="31"/>
  <c r="AG449" i="31"/>
  <c r="AF449" i="31"/>
  <c r="AI448" i="31"/>
  <c r="AH448" i="31"/>
  <c r="AG448" i="31"/>
  <c r="AF448" i="31"/>
  <c r="AI447" i="31"/>
  <c r="AH447" i="31"/>
  <c r="AG447" i="31"/>
  <c r="AF447" i="31"/>
  <c r="AI446" i="31"/>
  <c r="AH446" i="31"/>
  <c r="AG446" i="31"/>
  <c r="AF446" i="31"/>
  <c r="AI445" i="31"/>
  <c r="AH445" i="31"/>
  <c r="AG445" i="31"/>
  <c r="AF445" i="31"/>
  <c r="AI444" i="31"/>
  <c r="AH444" i="31"/>
  <c r="AG444" i="31"/>
  <c r="AF444" i="31"/>
  <c r="AI443" i="31"/>
  <c r="AH443" i="31"/>
  <c r="AG443" i="31"/>
  <c r="AF443" i="31"/>
  <c r="AI442" i="31"/>
  <c r="AH442" i="31"/>
  <c r="AG442" i="31"/>
  <c r="AF442" i="31"/>
  <c r="AI441" i="31"/>
  <c r="AH441" i="31"/>
  <c r="AG441" i="31"/>
  <c r="AF441" i="31"/>
  <c r="AI440" i="31"/>
  <c r="AH440" i="31"/>
  <c r="AG440" i="31"/>
  <c r="AF440" i="31"/>
  <c r="AI439" i="31"/>
  <c r="AH439" i="31"/>
  <c r="AG439" i="31"/>
  <c r="AF439" i="31"/>
  <c r="AI438" i="31"/>
  <c r="AH438" i="31"/>
  <c r="AG438" i="31"/>
  <c r="AF438" i="31"/>
  <c r="AI437" i="31"/>
  <c r="AH437" i="31"/>
  <c r="AG437" i="31"/>
  <c r="AF437" i="31"/>
  <c r="AI436" i="31"/>
  <c r="AH436" i="31"/>
  <c r="AG436" i="31"/>
  <c r="AF436" i="31"/>
  <c r="AI435" i="31"/>
  <c r="AH435" i="31"/>
  <c r="AG435" i="31"/>
  <c r="AF435" i="31"/>
  <c r="AI434" i="31"/>
  <c r="AH434" i="31"/>
  <c r="AG434" i="31"/>
  <c r="AF434" i="31"/>
  <c r="AI433" i="31"/>
  <c r="AH433" i="31"/>
  <c r="AG433" i="31"/>
  <c r="AF433" i="31"/>
  <c r="AI432" i="31"/>
  <c r="AH432" i="31"/>
  <c r="AG432" i="31"/>
  <c r="AF432" i="31"/>
  <c r="AI431" i="31"/>
  <c r="AH431" i="31"/>
  <c r="AG431" i="31"/>
  <c r="AF431" i="31"/>
  <c r="AI430" i="31"/>
  <c r="AH430" i="31"/>
  <c r="AG430" i="31"/>
  <c r="AF430" i="31"/>
  <c r="AI429" i="31"/>
  <c r="AH429" i="31"/>
  <c r="AG429" i="31"/>
  <c r="AF429" i="31"/>
  <c r="AI428" i="31"/>
  <c r="AH428" i="31"/>
  <c r="AG428" i="31"/>
  <c r="AF428" i="31"/>
  <c r="AI427" i="31"/>
  <c r="AH427" i="31"/>
  <c r="AG427" i="31"/>
  <c r="AF427" i="31"/>
  <c r="AI426" i="31"/>
  <c r="AH426" i="31"/>
  <c r="AG426" i="31"/>
  <c r="AF426" i="31"/>
  <c r="AI425" i="31"/>
  <c r="AH425" i="31"/>
  <c r="AG425" i="31"/>
  <c r="AF425" i="31"/>
  <c r="AI424" i="31"/>
  <c r="AH424" i="31"/>
  <c r="AG424" i="31"/>
  <c r="AF424" i="31"/>
  <c r="AI423" i="31"/>
  <c r="AH423" i="31"/>
  <c r="AG423" i="31"/>
  <c r="AF423" i="31"/>
  <c r="AI422" i="31"/>
  <c r="AH422" i="31"/>
  <c r="AG422" i="31"/>
  <c r="AF422" i="31"/>
  <c r="AI421" i="31"/>
  <c r="AH421" i="31"/>
  <c r="AG421" i="31"/>
  <c r="AF421" i="31"/>
  <c r="AI420" i="31"/>
  <c r="AH420" i="31"/>
  <c r="AG420" i="31"/>
  <c r="AF420" i="31"/>
  <c r="AI419" i="31"/>
  <c r="AH419" i="31"/>
  <c r="AG419" i="31"/>
  <c r="AF419" i="31"/>
  <c r="AI418" i="31"/>
  <c r="AH418" i="31"/>
  <c r="AG418" i="31"/>
  <c r="AF418" i="31"/>
  <c r="AI417" i="31"/>
  <c r="AH417" i="31"/>
  <c r="AG417" i="31"/>
  <c r="AF417" i="31"/>
  <c r="AI416" i="31"/>
  <c r="AH416" i="31"/>
  <c r="AG416" i="31"/>
  <c r="AF416" i="31"/>
  <c r="AI415" i="31"/>
  <c r="AH415" i="31"/>
  <c r="AG415" i="31"/>
  <c r="AF415" i="31"/>
  <c r="AI414" i="31"/>
  <c r="AH414" i="31"/>
  <c r="AG414" i="31"/>
  <c r="AF414" i="31"/>
  <c r="AI413" i="31"/>
  <c r="AH413" i="31"/>
  <c r="AG413" i="31"/>
  <c r="AF413" i="31"/>
  <c r="AI412" i="31"/>
  <c r="AH412" i="31"/>
  <c r="AG412" i="31"/>
  <c r="AF412" i="31"/>
  <c r="AI411" i="31"/>
  <c r="AH411" i="31"/>
  <c r="AG411" i="31"/>
  <c r="AF411" i="31"/>
  <c r="AI410" i="31"/>
  <c r="AH410" i="31"/>
  <c r="AG410" i="31"/>
  <c r="AF410" i="31"/>
  <c r="AI409" i="31"/>
  <c r="AH409" i="31"/>
  <c r="AG409" i="31"/>
  <c r="AF409" i="31"/>
  <c r="AI408" i="31"/>
  <c r="AH408" i="31"/>
  <c r="AG408" i="31"/>
  <c r="AF408" i="31"/>
  <c r="AI407" i="31"/>
  <c r="AH407" i="31"/>
  <c r="AG407" i="31"/>
  <c r="AF407" i="31"/>
  <c r="AI406" i="31"/>
  <c r="AH406" i="31"/>
  <c r="AG406" i="31"/>
  <c r="AF406" i="31"/>
  <c r="AI405" i="31"/>
  <c r="AH405" i="31"/>
  <c r="AG405" i="31"/>
  <c r="AF405" i="31"/>
  <c r="AI404" i="31"/>
  <c r="AH404" i="31"/>
  <c r="AG404" i="31"/>
  <c r="AF404" i="31"/>
  <c r="AI403" i="31"/>
  <c r="AH403" i="31"/>
  <c r="AG403" i="31"/>
  <c r="AF403" i="31"/>
  <c r="AI402" i="31"/>
  <c r="AH402" i="31"/>
  <c r="AG402" i="31"/>
  <c r="AF402" i="31"/>
  <c r="AI401" i="31"/>
  <c r="AH401" i="31"/>
  <c r="AG401" i="31"/>
  <c r="AF401" i="31"/>
  <c r="AI400" i="31"/>
  <c r="AH400" i="31"/>
  <c r="AG400" i="31"/>
  <c r="AF400" i="31"/>
  <c r="AI399" i="31"/>
  <c r="AH399" i="31"/>
  <c r="AG399" i="31"/>
  <c r="AF399" i="31"/>
  <c r="AI398" i="31"/>
  <c r="AH398" i="31"/>
  <c r="AG398" i="31"/>
  <c r="AF398" i="31"/>
  <c r="AI397" i="31"/>
  <c r="AH397" i="31"/>
  <c r="AG397" i="31"/>
  <c r="AF397" i="31"/>
  <c r="AI396" i="31"/>
  <c r="AH396" i="31"/>
  <c r="AG396" i="31"/>
  <c r="AF396" i="31"/>
  <c r="AI395" i="31"/>
  <c r="AH395" i="31"/>
  <c r="AG395" i="31"/>
  <c r="AF395" i="31"/>
  <c r="AI394" i="31"/>
  <c r="AH394" i="31"/>
  <c r="AG394" i="31"/>
  <c r="AF394" i="31"/>
  <c r="AI393" i="31"/>
  <c r="AH393" i="31"/>
  <c r="AG393" i="31"/>
  <c r="AF393" i="31"/>
  <c r="AI392" i="31"/>
  <c r="AH392" i="31"/>
  <c r="AG392" i="31"/>
  <c r="AF392" i="31"/>
  <c r="AI391" i="31"/>
  <c r="AH391" i="31"/>
  <c r="AG391" i="31"/>
  <c r="AF391" i="31"/>
  <c r="AI390" i="31"/>
  <c r="AH390" i="31"/>
  <c r="AG390" i="31"/>
  <c r="AF390" i="31"/>
  <c r="AI389" i="31"/>
  <c r="AH389" i="31"/>
  <c r="AG389" i="31"/>
  <c r="AF389" i="31"/>
  <c r="AI388" i="31"/>
  <c r="AH388" i="31"/>
  <c r="AG388" i="31"/>
  <c r="AF388" i="31"/>
  <c r="AI387" i="31"/>
  <c r="AH387" i="31"/>
  <c r="AG387" i="31"/>
  <c r="AF387" i="31"/>
  <c r="AI386" i="31"/>
  <c r="AH386" i="31"/>
  <c r="AG386" i="31"/>
  <c r="AF386" i="31"/>
  <c r="AI385" i="31"/>
  <c r="AH385" i="31"/>
  <c r="AG385" i="31"/>
  <c r="AF385" i="31"/>
  <c r="AI384" i="31"/>
  <c r="AH384" i="31"/>
  <c r="AG384" i="31"/>
  <c r="AF384" i="31"/>
  <c r="AI383" i="31"/>
  <c r="AH383" i="31"/>
  <c r="AG383" i="31"/>
  <c r="AF383" i="31"/>
  <c r="AI382" i="31"/>
  <c r="AH382" i="31"/>
  <c r="AG382" i="31"/>
  <c r="AF382" i="31"/>
  <c r="AI381" i="31"/>
  <c r="AH381" i="31"/>
  <c r="AG381" i="31"/>
  <c r="AF381" i="31"/>
  <c r="AI380" i="31"/>
  <c r="AH380" i="31"/>
  <c r="AG380" i="31"/>
  <c r="AF380" i="31"/>
  <c r="AI379" i="31"/>
  <c r="AH379" i="31"/>
  <c r="AG379" i="31"/>
  <c r="AF379" i="31"/>
  <c r="AI378" i="31"/>
  <c r="AH378" i="31"/>
  <c r="AG378" i="31"/>
  <c r="AF378" i="31"/>
  <c r="AI377" i="31"/>
  <c r="AH377" i="31"/>
  <c r="AG377" i="31"/>
  <c r="AF377" i="31"/>
  <c r="AI376" i="31"/>
  <c r="AH376" i="31"/>
  <c r="AG376" i="31"/>
  <c r="AF376" i="31"/>
  <c r="AI375" i="31"/>
  <c r="AH375" i="31"/>
  <c r="AG375" i="31"/>
  <c r="AF375" i="31"/>
  <c r="AI374" i="31"/>
  <c r="AH374" i="31"/>
  <c r="AG374" i="31"/>
  <c r="AF374" i="31"/>
  <c r="AI373" i="31"/>
  <c r="AH373" i="31"/>
  <c r="AG373" i="31"/>
  <c r="AF373" i="31"/>
  <c r="AI372" i="31"/>
  <c r="AH372" i="31"/>
  <c r="AG372" i="31"/>
  <c r="AF372" i="31"/>
  <c r="AI371" i="31"/>
  <c r="AH371" i="31"/>
  <c r="AG371" i="31"/>
  <c r="AF371" i="31"/>
  <c r="AI370" i="31"/>
  <c r="AH370" i="31"/>
  <c r="AG370" i="31"/>
  <c r="AF370" i="31"/>
  <c r="AI369" i="31"/>
  <c r="AH369" i="31"/>
  <c r="AG369" i="31"/>
  <c r="AF369" i="31"/>
  <c r="AI368" i="31"/>
  <c r="AH368" i="31"/>
  <c r="AG368" i="31"/>
  <c r="AF368" i="31"/>
  <c r="AI367" i="31"/>
  <c r="AH367" i="31"/>
  <c r="AG367" i="31"/>
  <c r="AF367" i="31"/>
  <c r="AI366" i="31"/>
  <c r="AH366" i="31"/>
  <c r="AG366" i="31"/>
  <c r="AF366" i="31"/>
  <c r="AI365" i="31"/>
  <c r="AH365" i="31"/>
  <c r="AG365" i="31"/>
  <c r="AF365" i="31"/>
  <c r="AI364" i="31"/>
  <c r="AH364" i="31"/>
  <c r="AG364" i="31"/>
  <c r="AF364" i="31"/>
  <c r="AI363" i="31"/>
  <c r="AH363" i="31"/>
  <c r="AG363" i="31"/>
  <c r="AF363" i="31"/>
  <c r="AI362" i="31"/>
  <c r="AH362" i="31"/>
  <c r="AG362" i="31"/>
  <c r="AF362" i="31"/>
  <c r="AI361" i="31"/>
  <c r="AH361" i="31"/>
  <c r="AG361" i="31"/>
  <c r="AF361" i="31"/>
  <c r="AI360" i="31"/>
  <c r="AH360" i="31"/>
  <c r="AG360" i="31"/>
  <c r="AF360" i="31"/>
  <c r="AI359" i="31"/>
  <c r="AH359" i="31"/>
  <c r="AG359" i="31"/>
  <c r="AF359" i="31"/>
  <c r="AI358" i="31"/>
  <c r="AH358" i="31"/>
  <c r="AG358" i="31"/>
  <c r="AF358" i="31"/>
  <c r="AI357" i="31"/>
  <c r="AH357" i="31"/>
  <c r="AG357" i="31"/>
  <c r="AF357" i="31"/>
  <c r="AI356" i="31"/>
  <c r="AH356" i="31"/>
  <c r="AG356" i="31"/>
  <c r="AF356" i="31"/>
  <c r="AI355" i="31"/>
  <c r="AH355" i="31"/>
  <c r="AG355" i="31"/>
  <c r="AF355" i="31"/>
  <c r="AI354" i="31"/>
  <c r="AH354" i="31"/>
  <c r="AG354" i="31"/>
  <c r="AF354" i="31"/>
  <c r="AI353" i="31"/>
  <c r="AH353" i="31"/>
  <c r="AG353" i="31"/>
  <c r="AF353" i="31"/>
  <c r="AI352" i="31"/>
  <c r="AH352" i="31"/>
  <c r="AG352" i="31"/>
  <c r="AF352" i="31"/>
  <c r="AI351" i="31"/>
  <c r="AH351" i="31"/>
  <c r="AG351" i="31"/>
  <c r="AF351" i="31"/>
  <c r="AI350" i="31"/>
  <c r="AH350" i="31"/>
  <c r="AG350" i="31"/>
  <c r="AF350" i="31"/>
  <c r="AI349" i="31"/>
  <c r="AH349" i="31"/>
  <c r="AG349" i="31"/>
  <c r="AF349" i="31"/>
  <c r="AI348" i="31"/>
  <c r="AH348" i="31"/>
  <c r="AG348" i="31"/>
  <c r="AF348" i="31"/>
  <c r="AI347" i="31"/>
  <c r="AH347" i="31"/>
  <c r="AG347" i="31"/>
  <c r="AF347" i="31"/>
  <c r="AI346" i="31"/>
  <c r="AH346" i="31"/>
  <c r="AG346" i="31"/>
  <c r="AF346" i="31"/>
  <c r="AI345" i="31"/>
  <c r="AH345" i="31"/>
  <c r="AG345" i="31"/>
  <c r="AF345" i="31"/>
  <c r="AI344" i="31"/>
  <c r="AH344" i="31"/>
  <c r="AG344" i="31"/>
  <c r="AF344" i="31"/>
  <c r="AI343" i="31"/>
  <c r="AH343" i="31"/>
  <c r="AG343" i="31"/>
  <c r="AF343" i="31"/>
  <c r="AI342" i="31"/>
  <c r="AH342" i="31"/>
  <c r="AG342" i="31"/>
  <c r="AF342" i="31"/>
  <c r="AI341" i="31"/>
  <c r="AH341" i="31"/>
  <c r="AG341" i="31"/>
  <c r="AF341" i="31"/>
  <c r="AI340" i="31"/>
  <c r="AH340" i="31"/>
  <c r="AG340" i="31"/>
  <c r="AF340" i="31"/>
  <c r="AI339" i="31"/>
  <c r="AH339" i="31"/>
  <c r="AG339" i="31"/>
  <c r="AF339" i="31"/>
  <c r="AI338" i="31"/>
  <c r="AH338" i="31"/>
  <c r="AG338" i="31"/>
  <c r="AF338" i="31"/>
  <c r="AI337" i="31"/>
  <c r="AH337" i="31"/>
  <c r="AG337" i="31"/>
  <c r="AF337" i="31"/>
  <c r="AI336" i="31"/>
  <c r="AH336" i="31"/>
  <c r="AG336" i="31"/>
  <c r="AF336" i="31"/>
  <c r="AI335" i="31"/>
  <c r="AH335" i="31"/>
  <c r="AG335" i="31"/>
  <c r="AF335" i="31"/>
  <c r="AI334" i="31"/>
  <c r="AH334" i="31"/>
  <c r="AG334" i="31"/>
  <c r="AF334" i="31"/>
  <c r="AI333" i="31"/>
  <c r="AH333" i="31"/>
  <c r="AG333" i="31"/>
  <c r="AF333" i="31"/>
  <c r="AI332" i="31"/>
  <c r="AH332" i="31"/>
  <c r="AG332" i="31"/>
  <c r="AF332" i="31"/>
  <c r="AI331" i="31"/>
  <c r="AH331" i="31"/>
  <c r="AG331" i="31"/>
  <c r="AF331" i="31"/>
  <c r="AI330" i="31"/>
  <c r="AH330" i="31"/>
  <c r="AG330" i="31"/>
  <c r="AF330" i="31"/>
  <c r="AI329" i="31"/>
  <c r="AH329" i="31"/>
  <c r="AG329" i="31"/>
  <c r="AF329" i="31"/>
  <c r="AI328" i="31"/>
  <c r="AH328" i="31"/>
  <c r="AG328" i="31"/>
  <c r="AF328" i="31"/>
  <c r="AI327" i="31"/>
  <c r="AH327" i="31"/>
  <c r="AG327" i="31"/>
  <c r="AF327" i="31"/>
  <c r="AI326" i="31"/>
  <c r="AH326" i="31"/>
  <c r="AG326" i="31"/>
  <c r="AF326" i="31"/>
  <c r="AI325" i="31"/>
  <c r="AH325" i="31"/>
  <c r="AG325" i="31"/>
  <c r="AF325" i="31"/>
  <c r="AI324" i="31"/>
  <c r="AH324" i="31"/>
  <c r="AG324" i="31"/>
  <c r="AF324" i="31"/>
  <c r="AI323" i="31"/>
  <c r="AH323" i="31"/>
  <c r="AG323" i="31"/>
  <c r="AF323" i="31"/>
  <c r="AI322" i="31"/>
  <c r="AH322" i="31"/>
  <c r="AG322" i="31"/>
  <c r="AF322" i="31"/>
  <c r="AI321" i="31"/>
  <c r="AH321" i="31"/>
  <c r="AG321" i="31"/>
  <c r="AF321" i="31"/>
  <c r="AI320" i="31"/>
  <c r="AH320" i="31"/>
  <c r="AG320" i="31"/>
  <c r="AF320" i="31"/>
  <c r="AI319" i="31"/>
  <c r="AH319" i="31"/>
  <c r="AG319" i="31"/>
  <c r="AF319" i="31"/>
  <c r="AI318" i="31"/>
  <c r="AH318" i="31"/>
  <c r="AG318" i="31"/>
  <c r="AF318" i="31"/>
  <c r="AI317" i="31"/>
  <c r="AH317" i="31"/>
  <c r="AG317" i="31"/>
  <c r="AF317" i="31"/>
  <c r="AI316" i="31"/>
  <c r="AH316" i="31"/>
  <c r="AG316" i="31"/>
  <c r="AF316" i="31"/>
  <c r="AI315" i="31"/>
  <c r="AH315" i="31"/>
  <c r="AG315" i="31"/>
  <c r="AF315" i="31"/>
  <c r="AI314" i="31"/>
  <c r="AH314" i="31"/>
  <c r="AG314" i="31"/>
  <c r="AF314" i="31"/>
  <c r="AI313" i="31"/>
  <c r="AH313" i="31"/>
  <c r="AG313" i="31"/>
  <c r="AF313" i="31"/>
  <c r="AI312" i="31"/>
  <c r="AH312" i="31"/>
  <c r="AG312" i="31"/>
  <c r="AF312" i="31"/>
  <c r="AI311" i="31"/>
  <c r="AH311" i="31"/>
  <c r="AG311" i="31"/>
  <c r="AF311" i="31"/>
  <c r="AI310" i="31"/>
  <c r="AH310" i="31"/>
  <c r="AG310" i="31"/>
  <c r="AF310" i="31"/>
  <c r="AI309" i="31"/>
  <c r="AH309" i="31"/>
  <c r="AG309" i="31"/>
  <c r="AF309" i="31"/>
  <c r="AI308" i="31"/>
  <c r="AH308" i="31"/>
  <c r="AG308" i="31"/>
  <c r="AF308" i="31"/>
  <c r="AI307" i="31"/>
  <c r="AH307" i="31"/>
  <c r="AG307" i="31"/>
  <c r="AF307" i="31"/>
  <c r="AI306" i="31"/>
  <c r="AH306" i="31"/>
  <c r="AG306" i="31"/>
  <c r="AF306" i="31"/>
  <c r="AI305" i="31"/>
  <c r="AH305" i="31"/>
  <c r="AG305" i="31"/>
  <c r="AF305" i="31"/>
  <c r="AI304" i="31"/>
  <c r="AH304" i="31"/>
  <c r="AG304" i="31"/>
  <c r="AF304" i="31"/>
  <c r="AI303" i="31"/>
  <c r="AH303" i="31"/>
  <c r="AG303" i="31"/>
  <c r="AF303" i="31"/>
  <c r="AI302" i="31"/>
  <c r="AH302" i="31"/>
  <c r="AG302" i="31"/>
  <c r="AF302" i="31"/>
  <c r="AI301" i="31"/>
  <c r="AH301" i="31"/>
  <c r="AG301" i="31"/>
  <c r="AF301" i="31"/>
  <c r="AI300" i="31"/>
  <c r="AH300" i="31"/>
  <c r="AG300" i="31"/>
  <c r="AF300" i="31"/>
  <c r="AI299" i="31"/>
  <c r="AH299" i="31"/>
  <c r="AG299" i="31"/>
  <c r="AF299" i="31"/>
  <c r="AI298" i="31"/>
  <c r="AH298" i="31"/>
  <c r="AG298" i="31"/>
  <c r="AF298" i="31"/>
  <c r="AI297" i="31"/>
  <c r="AH297" i="31"/>
  <c r="AG297" i="31"/>
  <c r="AF297" i="31"/>
  <c r="AI296" i="31"/>
  <c r="AH296" i="31"/>
  <c r="AG296" i="31"/>
  <c r="AF296" i="31"/>
  <c r="AI295" i="31"/>
  <c r="AH295" i="31"/>
  <c r="AG295" i="31"/>
  <c r="AF295" i="31"/>
  <c r="AI294" i="31"/>
  <c r="AH294" i="31"/>
  <c r="AG294" i="31"/>
  <c r="AF294" i="31"/>
  <c r="AI293" i="31"/>
  <c r="AH293" i="31"/>
  <c r="AG293" i="31"/>
  <c r="AF293" i="31"/>
  <c r="AI292" i="31"/>
  <c r="AH292" i="31"/>
  <c r="AG292" i="31"/>
  <c r="AF292" i="31"/>
  <c r="AI291" i="31"/>
  <c r="AH291" i="31"/>
  <c r="AG291" i="31"/>
  <c r="AF291" i="31"/>
  <c r="AI290" i="31"/>
  <c r="AH290" i="31"/>
  <c r="AG290" i="31"/>
  <c r="AF290" i="31"/>
  <c r="AI289" i="31"/>
  <c r="AH289" i="31"/>
  <c r="AG289" i="31"/>
  <c r="AF289" i="31"/>
  <c r="AI288" i="31"/>
  <c r="AH288" i="31"/>
  <c r="AG288" i="31"/>
  <c r="AF288" i="31"/>
  <c r="AI287" i="31"/>
  <c r="AH287" i="31"/>
  <c r="AG287" i="31"/>
  <c r="AF287" i="31"/>
  <c r="AI286" i="31"/>
  <c r="AH286" i="31"/>
  <c r="AG286" i="31"/>
  <c r="AF286" i="31"/>
  <c r="AI285" i="31"/>
  <c r="AH285" i="31"/>
  <c r="AG285" i="31"/>
  <c r="AF285" i="31"/>
  <c r="AI284" i="31"/>
  <c r="AH284" i="31"/>
  <c r="AG284" i="31"/>
  <c r="AF284" i="31"/>
  <c r="AI283" i="31"/>
  <c r="AH283" i="31"/>
  <c r="AG283" i="31"/>
  <c r="AF283" i="31"/>
  <c r="AI282" i="31"/>
  <c r="AH282" i="31"/>
  <c r="AG282" i="31"/>
  <c r="AF282" i="31"/>
  <c r="AI281" i="31"/>
  <c r="AH281" i="31"/>
  <c r="AG281" i="31"/>
  <c r="AF281" i="31"/>
  <c r="AI280" i="31"/>
  <c r="AH280" i="31"/>
  <c r="AG280" i="31"/>
  <c r="AF280" i="31"/>
  <c r="AI279" i="31"/>
  <c r="AH279" i="31"/>
  <c r="AG279" i="31"/>
  <c r="AF279" i="31"/>
  <c r="AI278" i="31"/>
  <c r="AH278" i="31"/>
  <c r="AG278" i="31"/>
  <c r="AF278" i="31"/>
  <c r="AI277" i="31"/>
  <c r="AH277" i="31"/>
  <c r="AG277" i="31"/>
  <c r="AF277" i="31"/>
  <c r="AI276" i="31"/>
  <c r="AH276" i="31"/>
  <c r="AG276" i="31"/>
  <c r="AF276" i="31"/>
  <c r="AI275" i="31"/>
  <c r="AH275" i="31"/>
  <c r="AG275" i="31"/>
  <c r="AF275" i="31"/>
  <c r="AI274" i="31"/>
  <c r="AH274" i="31"/>
  <c r="AG274" i="31"/>
  <c r="AF274" i="31"/>
  <c r="AI273" i="31"/>
  <c r="AH273" i="31"/>
  <c r="AG273" i="31"/>
  <c r="AF273" i="31"/>
  <c r="AI272" i="31"/>
  <c r="AH272" i="31"/>
  <c r="AG272" i="31"/>
  <c r="AF272" i="31"/>
  <c r="AI271" i="31"/>
  <c r="AH271" i="31"/>
  <c r="AG271" i="31"/>
  <c r="AF271" i="31"/>
  <c r="AI270" i="31"/>
  <c r="AH270" i="31"/>
  <c r="AG270" i="31"/>
  <c r="AF270" i="31"/>
  <c r="AI269" i="31"/>
  <c r="AH269" i="31"/>
  <c r="AG269" i="31"/>
  <c r="AF269" i="31"/>
  <c r="AI268" i="31"/>
  <c r="AH268" i="31"/>
  <c r="AG268" i="31"/>
  <c r="AF268" i="31"/>
  <c r="AI267" i="31"/>
  <c r="AH267" i="31"/>
  <c r="AG267" i="31"/>
  <c r="AF267" i="31"/>
  <c r="AI266" i="31"/>
  <c r="AH266" i="31"/>
  <c r="AG266" i="31"/>
  <c r="AF266" i="31"/>
  <c r="AI265" i="31"/>
  <c r="AH265" i="31"/>
  <c r="AG265" i="31"/>
  <c r="AF265" i="31"/>
  <c r="AI264" i="31"/>
  <c r="AH264" i="31"/>
  <c r="AG264" i="31"/>
  <c r="AF264" i="31"/>
  <c r="AI263" i="31"/>
  <c r="AH263" i="31"/>
  <c r="AG263" i="31"/>
  <c r="AF263" i="31"/>
  <c r="AI262" i="31"/>
  <c r="AH262" i="31"/>
  <c r="AG262" i="31"/>
  <c r="AF262" i="31"/>
  <c r="AI261" i="31"/>
  <c r="AH261" i="31"/>
  <c r="AG261" i="31"/>
  <c r="AF261" i="31"/>
  <c r="AI260" i="31"/>
  <c r="AH260" i="31"/>
  <c r="AG260" i="31"/>
  <c r="AF260" i="31"/>
  <c r="AI259" i="31"/>
  <c r="AH259" i="31"/>
  <c r="AG259" i="31"/>
  <c r="AF259" i="31"/>
  <c r="AI258" i="31"/>
  <c r="AH258" i="31"/>
  <c r="AG258" i="31"/>
  <c r="AF258" i="31"/>
  <c r="AI257" i="31"/>
  <c r="AH257" i="31"/>
  <c r="AG257" i="31"/>
  <c r="AF257" i="31"/>
  <c r="AI256" i="31"/>
  <c r="AH256" i="31"/>
  <c r="AG256" i="31"/>
  <c r="AF256" i="31"/>
  <c r="AI255" i="31"/>
  <c r="AH255" i="31"/>
  <c r="AG255" i="31"/>
  <c r="AF255" i="31"/>
  <c r="AI254" i="31"/>
  <c r="AH254" i="31"/>
  <c r="AG254" i="31"/>
  <c r="AF254" i="31"/>
  <c r="AI253" i="31"/>
  <c r="AH253" i="31"/>
  <c r="AG253" i="31"/>
  <c r="AF253" i="31"/>
  <c r="AI252" i="31"/>
  <c r="AH252" i="31"/>
  <c r="AG252" i="31"/>
  <c r="AF252" i="31"/>
  <c r="AI251" i="31"/>
  <c r="AH251" i="31"/>
  <c r="AG251" i="31"/>
  <c r="AF251" i="31"/>
  <c r="AI250" i="31"/>
  <c r="AH250" i="31"/>
  <c r="AG250" i="31"/>
  <c r="AF250" i="31"/>
  <c r="AI249" i="31"/>
  <c r="AH249" i="31"/>
  <c r="AG249" i="31"/>
  <c r="AF249" i="31"/>
  <c r="AI248" i="31"/>
  <c r="AH248" i="31"/>
  <c r="AG248" i="31"/>
  <c r="AF248" i="31"/>
  <c r="AI247" i="31"/>
  <c r="AH247" i="31"/>
  <c r="AG247" i="31"/>
  <c r="AF247" i="31"/>
  <c r="AI246" i="31"/>
  <c r="AH246" i="31"/>
  <c r="AG246" i="31"/>
  <c r="AF246" i="31"/>
  <c r="AI245" i="31"/>
  <c r="AH245" i="31"/>
  <c r="AG245" i="31"/>
  <c r="AF245" i="31"/>
  <c r="AI244" i="31"/>
  <c r="AH244" i="31"/>
  <c r="AG244" i="31"/>
  <c r="AF244" i="31"/>
  <c r="AI243" i="31"/>
  <c r="AH243" i="31"/>
  <c r="AG243" i="31"/>
  <c r="AF243" i="31"/>
  <c r="AI242" i="31"/>
  <c r="AH242" i="31"/>
  <c r="AG242" i="31"/>
  <c r="AF242" i="31"/>
  <c r="AI241" i="31"/>
  <c r="AH241" i="31"/>
  <c r="AG241" i="31"/>
  <c r="AF241" i="31"/>
  <c r="AI240" i="31"/>
  <c r="AH240" i="31"/>
  <c r="AG240" i="31"/>
  <c r="AF240" i="31"/>
  <c r="AI239" i="31"/>
  <c r="AH239" i="31"/>
  <c r="AG239" i="31"/>
  <c r="AF239" i="31"/>
  <c r="AI238" i="31"/>
  <c r="AH238" i="31"/>
  <c r="AG238" i="31"/>
  <c r="AF238" i="31"/>
  <c r="AI237" i="31"/>
  <c r="AH237" i="31"/>
  <c r="AG237" i="31"/>
  <c r="AF237" i="31"/>
  <c r="AI236" i="31"/>
  <c r="AH236" i="31"/>
  <c r="AG236" i="31"/>
  <c r="AF236" i="31"/>
  <c r="AI235" i="31"/>
  <c r="AH235" i="31"/>
  <c r="AG235" i="31"/>
  <c r="AF235" i="31"/>
  <c r="AI234" i="31"/>
  <c r="AH234" i="31"/>
  <c r="AG234" i="31"/>
  <c r="AF234" i="31"/>
  <c r="AI233" i="31"/>
  <c r="AH233" i="31"/>
  <c r="AG233" i="31"/>
  <c r="AF233" i="31"/>
  <c r="AI232" i="31"/>
  <c r="AH232" i="31"/>
  <c r="AG232" i="31"/>
  <c r="AF232" i="31"/>
  <c r="AI231" i="31"/>
  <c r="AH231" i="31"/>
  <c r="AG231" i="31"/>
  <c r="AF231" i="31"/>
  <c r="AI230" i="31"/>
  <c r="AH230" i="31"/>
  <c r="AG230" i="31"/>
  <c r="AF230" i="31"/>
  <c r="AI229" i="31"/>
  <c r="AH229" i="31"/>
  <c r="AG229" i="31"/>
  <c r="AF229" i="31"/>
  <c r="AI228" i="31"/>
  <c r="AH228" i="31"/>
  <c r="AG228" i="31"/>
  <c r="AF228" i="31"/>
  <c r="AI227" i="31"/>
  <c r="AH227" i="31"/>
  <c r="AG227" i="31"/>
  <c r="AF227" i="31"/>
  <c r="AI226" i="31"/>
  <c r="AH226" i="31"/>
  <c r="AG226" i="31"/>
  <c r="AF226" i="31"/>
  <c r="AI225" i="31"/>
  <c r="AH225" i="31"/>
  <c r="AG225" i="31"/>
  <c r="AF225" i="31"/>
  <c r="AI224" i="31"/>
  <c r="AH224" i="31"/>
  <c r="AG224" i="31"/>
  <c r="AF224" i="31"/>
  <c r="AI223" i="31"/>
  <c r="AH223" i="31"/>
  <c r="AG223" i="31"/>
  <c r="AF223" i="31"/>
  <c r="AI222" i="31"/>
  <c r="AH222" i="31"/>
  <c r="AG222" i="31"/>
  <c r="AF222" i="31"/>
  <c r="AI221" i="31"/>
  <c r="AH221" i="31"/>
  <c r="AG221" i="31"/>
  <c r="AF221" i="31"/>
  <c r="AI220" i="31"/>
  <c r="AH220" i="31"/>
  <c r="AG220" i="31"/>
  <c r="AF220" i="31"/>
  <c r="AI219" i="31"/>
  <c r="AH219" i="31"/>
  <c r="AG219" i="31"/>
  <c r="AF219" i="31"/>
  <c r="AI218" i="31"/>
  <c r="AH218" i="31"/>
  <c r="AG218" i="31"/>
  <c r="AF218" i="31"/>
  <c r="AI217" i="31"/>
  <c r="AH217" i="31"/>
  <c r="AG217" i="31"/>
  <c r="AF217" i="31"/>
  <c r="AI216" i="31"/>
  <c r="AH216" i="31"/>
  <c r="AG216" i="31"/>
  <c r="AF216" i="31"/>
  <c r="AI215" i="31"/>
  <c r="AH215" i="31"/>
  <c r="AG215" i="31"/>
  <c r="AF215" i="31"/>
  <c r="AI214" i="31"/>
  <c r="AH214" i="31"/>
  <c r="AG214" i="31"/>
  <c r="AF214" i="31"/>
  <c r="AI213" i="31"/>
  <c r="AH213" i="31"/>
  <c r="AG213" i="31"/>
  <c r="AF213" i="31"/>
  <c r="AI212" i="31"/>
  <c r="AH212" i="31"/>
  <c r="AG212" i="31"/>
  <c r="AF212" i="31"/>
  <c r="AI211" i="31"/>
  <c r="AH211" i="31"/>
  <c r="AG211" i="31"/>
  <c r="AF211" i="31"/>
  <c r="AI210" i="31"/>
  <c r="AH210" i="31"/>
  <c r="AG210" i="31"/>
  <c r="AF210" i="31"/>
  <c r="AI209" i="31"/>
  <c r="AH209" i="31"/>
  <c r="AG209" i="31"/>
  <c r="AF209" i="31"/>
  <c r="AI208" i="31"/>
  <c r="AH208" i="31"/>
  <c r="AG208" i="31"/>
  <c r="AF208" i="31"/>
  <c r="AI207" i="31"/>
  <c r="AH207" i="31"/>
  <c r="AG207" i="31"/>
  <c r="AF207" i="31"/>
  <c r="AI206" i="31"/>
  <c r="AH206" i="31"/>
  <c r="AG206" i="31"/>
  <c r="AF206" i="31"/>
  <c r="AI205" i="31"/>
  <c r="AH205" i="31"/>
  <c r="AG205" i="31"/>
  <c r="AF205" i="31"/>
  <c r="AI204" i="31"/>
  <c r="AH204" i="31"/>
  <c r="AG204" i="31"/>
  <c r="AF204" i="31"/>
  <c r="AI203" i="31"/>
  <c r="AH203" i="31"/>
  <c r="AG203" i="31"/>
  <c r="AF203" i="31"/>
  <c r="AI202" i="31"/>
  <c r="AH202" i="31"/>
  <c r="AG202" i="31"/>
  <c r="AF202" i="31"/>
  <c r="AI201" i="31"/>
  <c r="AH201" i="31"/>
  <c r="AG201" i="31"/>
  <c r="AF201" i="31"/>
  <c r="AI200" i="31"/>
  <c r="AH200" i="31"/>
  <c r="AG200" i="31"/>
  <c r="AF200" i="31"/>
  <c r="AI199" i="31"/>
  <c r="AH199" i="31"/>
  <c r="AG199" i="31"/>
  <c r="AF199" i="31"/>
  <c r="AI198" i="31"/>
  <c r="AH198" i="31"/>
  <c r="AG198" i="31"/>
  <c r="AF198" i="31"/>
  <c r="AI197" i="31"/>
  <c r="AH197" i="31"/>
  <c r="AG197" i="31"/>
  <c r="AF197" i="31"/>
  <c r="AI196" i="31"/>
  <c r="AH196" i="31"/>
  <c r="AG196" i="31"/>
  <c r="AF196" i="31"/>
  <c r="AI195" i="31"/>
  <c r="AH195" i="31"/>
  <c r="AG195" i="31"/>
  <c r="AF195" i="31"/>
  <c r="AI194" i="31"/>
  <c r="AH194" i="31"/>
  <c r="AG194" i="31"/>
  <c r="AF194" i="31"/>
  <c r="AI193" i="31"/>
  <c r="AH193" i="31"/>
  <c r="AG193" i="31"/>
  <c r="AF193" i="31"/>
  <c r="AI192" i="31"/>
  <c r="AH192" i="31"/>
  <c r="AG192" i="31"/>
  <c r="AF192" i="31"/>
  <c r="AI191" i="31"/>
  <c r="AH191" i="31"/>
  <c r="AG191" i="31"/>
  <c r="AF191" i="31"/>
  <c r="AI190" i="31"/>
  <c r="AH190" i="31"/>
  <c r="AG190" i="31"/>
  <c r="AF190" i="31"/>
  <c r="AI189" i="31"/>
  <c r="AH189" i="31"/>
  <c r="AG189" i="31"/>
  <c r="AF189" i="31"/>
  <c r="AI188" i="31"/>
  <c r="AH188" i="31"/>
  <c r="AG188" i="31"/>
  <c r="AF188" i="31"/>
  <c r="AI187" i="31"/>
  <c r="AH187" i="31"/>
  <c r="AG187" i="31"/>
  <c r="AF187" i="31"/>
  <c r="AI186" i="31"/>
  <c r="AH186" i="31"/>
  <c r="AG186" i="31"/>
  <c r="AF186" i="31"/>
  <c r="AI185" i="31"/>
  <c r="AH185" i="31"/>
  <c r="AG185" i="31"/>
  <c r="AF185" i="31"/>
  <c r="AI184" i="31"/>
  <c r="AH184" i="31"/>
  <c r="AG184" i="31"/>
  <c r="AF184" i="31"/>
  <c r="AI183" i="31"/>
  <c r="AH183" i="31"/>
  <c r="AG183" i="31"/>
  <c r="AF183" i="31"/>
  <c r="AI182" i="31"/>
  <c r="AH182" i="31"/>
  <c r="AG182" i="31"/>
  <c r="AF182" i="31"/>
  <c r="AI181" i="31"/>
  <c r="AH181" i="31"/>
  <c r="AG181" i="31"/>
  <c r="AF181" i="31"/>
  <c r="AI180" i="31"/>
  <c r="AH180" i="31"/>
  <c r="AG180" i="31"/>
  <c r="AF180" i="31"/>
  <c r="AI179" i="31"/>
  <c r="AH179" i="31"/>
  <c r="AG179" i="31"/>
  <c r="AF179" i="31"/>
  <c r="AI178" i="31"/>
  <c r="AH178" i="31"/>
  <c r="AG178" i="31"/>
  <c r="AF178" i="31"/>
  <c r="AI177" i="31"/>
  <c r="AH177" i="31"/>
  <c r="AG177" i="31"/>
  <c r="AF177" i="31"/>
  <c r="AI176" i="31"/>
  <c r="AH176" i="31"/>
  <c r="AG176" i="31"/>
  <c r="AF176" i="31"/>
  <c r="AI175" i="31"/>
  <c r="AH175" i="31"/>
  <c r="AG175" i="31"/>
  <c r="AF175" i="31"/>
  <c r="AI174" i="31"/>
  <c r="AH174" i="31"/>
  <c r="AG174" i="31"/>
  <c r="AF174" i="31"/>
  <c r="AI173" i="31"/>
  <c r="AH173" i="31"/>
  <c r="AG173" i="31"/>
  <c r="AF173" i="31"/>
  <c r="AI172" i="31"/>
  <c r="AH172" i="31"/>
  <c r="AG172" i="31"/>
  <c r="AF172" i="31"/>
  <c r="AI171" i="31"/>
  <c r="AH171" i="31"/>
  <c r="AG171" i="31"/>
  <c r="AF171" i="31"/>
  <c r="AI170" i="31"/>
  <c r="AH170" i="31"/>
  <c r="AG170" i="31"/>
  <c r="AF170" i="31"/>
  <c r="AI169" i="31"/>
  <c r="AH169" i="31"/>
  <c r="AG169" i="31"/>
  <c r="AF169" i="31"/>
  <c r="AI168" i="31"/>
  <c r="AH168" i="31"/>
  <c r="AG168" i="31"/>
  <c r="AF168" i="31"/>
  <c r="AI167" i="31"/>
  <c r="AH167" i="31"/>
  <c r="AG167" i="31"/>
  <c r="AF167" i="31"/>
  <c r="AI166" i="31"/>
  <c r="AH166" i="31"/>
  <c r="AG166" i="31"/>
  <c r="AF166" i="31"/>
  <c r="AI165" i="31"/>
  <c r="AH165" i="31"/>
  <c r="AG165" i="31"/>
  <c r="AF165" i="31"/>
  <c r="AI164" i="31"/>
  <c r="AH164" i="31"/>
  <c r="AG164" i="31"/>
  <c r="AF164" i="31"/>
  <c r="AI163" i="31"/>
  <c r="AH163" i="31"/>
  <c r="AG163" i="31"/>
  <c r="AF163" i="31"/>
  <c r="AI162" i="31"/>
  <c r="AH162" i="31"/>
  <c r="AG162" i="31"/>
  <c r="AF162" i="31"/>
  <c r="AI161" i="31"/>
  <c r="AH161" i="31"/>
  <c r="AG161" i="31"/>
  <c r="AF161" i="31"/>
  <c r="AI160" i="31"/>
  <c r="AH160" i="31"/>
  <c r="AG160" i="31"/>
  <c r="AF160" i="31"/>
  <c r="AI159" i="31"/>
  <c r="AH159" i="31"/>
  <c r="AG159" i="31"/>
  <c r="AF159" i="31"/>
  <c r="AI158" i="31"/>
  <c r="AH158" i="31"/>
  <c r="AG158" i="31"/>
  <c r="AF158" i="31"/>
  <c r="AI157" i="31"/>
  <c r="AH157" i="31"/>
  <c r="AG157" i="31"/>
  <c r="AF157" i="31"/>
  <c r="AI156" i="31"/>
  <c r="AH156" i="31"/>
  <c r="AG156" i="31"/>
  <c r="AF156" i="31"/>
  <c r="AI155" i="31"/>
  <c r="AH155" i="31"/>
  <c r="AG155" i="31"/>
  <c r="AF155" i="31"/>
  <c r="AI154" i="31"/>
  <c r="AH154" i="31"/>
  <c r="AG154" i="31"/>
  <c r="AF154" i="31"/>
  <c r="AI153" i="31"/>
  <c r="AH153" i="31"/>
  <c r="AG153" i="31"/>
  <c r="AF153" i="31"/>
  <c r="AI152" i="31"/>
  <c r="AH152" i="31"/>
  <c r="AG152" i="31"/>
  <c r="AF152" i="31"/>
  <c r="AI151" i="31"/>
  <c r="AH151" i="31"/>
  <c r="AG151" i="31"/>
  <c r="AF151" i="31"/>
  <c r="AI150" i="31"/>
  <c r="AH150" i="31"/>
  <c r="AG150" i="31"/>
  <c r="AF150" i="31"/>
  <c r="AI149" i="31"/>
  <c r="AH149" i="31"/>
  <c r="AG149" i="31"/>
  <c r="AF149" i="31"/>
  <c r="AI148" i="31"/>
  <c r="AH148" i="31"/>
  <c r="AG148" i="31"/>
  <c r="AF148" i="31"/>
  <c r="AI147" i="31"/>
  <c r="AH147" i="31"/>
  <c r="AG147" i="31"/>
  <c r="AF147" i="31"/>
  <c r="AI146" i="31"/>
  <c r="AH146" i="31"/>
  <c r="AG146" i="31"/>
  <c r="AF146" i="31"/>
  <c r="AI145" i="31"/>
  <c r="AH145" i="31"/>
  <c r="AG145" i="31"/>
  <c r="AF145" i="31"/>
  <c r="AI144" i="31"/>
  <c r="AH144" i="31"/>
  <c r="AG144" i="31"/>
  <c r="AF144" i="31"/>
  <c r="AI143" i="31"/>
  <c r="AH143" i="31"/>
  <c r="AG143" i="31"/>
  <c r="AF143" i="31"/>
  <c r="AI142" i="31"/>
  <c r="AH142" i="31"/>
  <c r="AG142" i="31"/>
  <c r="AF142" i="31"/>
  <c r="AI141" i="31"/>
  <c r="AH141" i="31"/>
  <c r="AG141" i="31"/>
  <c r="AF141" i="31"/>
  <c r="AI140" i="31"/>
  <c r="AH140" i="31"/>
  <c r="AG140" i="31"/>
  <c r="AF140" i="31"/>
  <c r="AI139" i="31"/>
  <c r="AH139" i="31"/>
  <c r="AG139" i="31"/>
  <c r="AF139" i="31"/>
  <c r="AI138" i="31"/>
  <c r="AH138" i="31"/>
  <c r="AG138" i="31"/>
  <c r="AF138" i="31"/>
  <c r="AI137" i="31"/>
  <c r="AH137" i="31"/>
  <c r="AG137" i="31"/>
  <c r="AF137" i="31"/>
  <c r="AI136" i="31"/>
  <c r="AH136" i="31"/>
  <c r="AG136" i="31"/>
  <c r="AF136" i="31"/>
  <c r="AI135" i="31"/>
  <c r="AH135" i="31"/>
  <c r="AG135" i="31"/>
  <c r="AF135" i="31"/>
  <c r="AI134" i="31"/>
  <c r="AH134" i="31"/>
  <c r="AG134" i="31"/>
  <c r="AF134" i="31"/>
  <c r="AI133" i="31"/>
  <c r="AH133" i="31"/>
  <c r="AG133" i="31"/>
  <c r="AF133" i="31"/>
  <c r="AI132" i="31"/>
  <c r="AH132" i="31"/>
  <c r="AG132" i="31"/>
  <c r="AF132" i="31"/>
  <c r="AI131" i="31"/>
  <c r="AH131" i="31"/>
  <c r="AG131" i="31"/>
  <c r="AF131" i="31"/>
  <c r="AI130" i="31"/>
  <c r="AH130" i="31"/>
  <c r="AG130" i="31"/>
  <c r="AF130" i="31"/>
  <c r="AI129" i="31"/>
  <c r="AH129" i="31"/>
  <c r="AG129" i="31"/>
  <c r="AF129" i="31"/>
  <c r="AI128" i="31"/>
  <c r="AH128" i="31"/>
  <c r="AG128" i="31"/>
  <c r="AF128" i="31"/>
  <c r="AI127" i="31"/>
  <c r="AH127" i="31"/>
  <c r="AG127" i="31"/>
  <c r="AF127" i="31"/>
  <c r="AI126" i="31"/>
  <c r="AH126" i="31"/>
  <c r="AG126" i="31"/>
  <c r="AF126" i="31"/>
  <c r="AI125" i="31"/>
  <c r="AH125" i="31"/>
  <c r="AG125" i="31"/>
  <c r="AF125" i="31"/>
  <c r="AI124" i="31"/>
  <c r="AH124" i="31"/>
  <c r="AG124" i="31"/>
  <c r="AF124" i="31"/>
  <c r="AI123" i="31"/>
  <c r="AH123" i="31"/>
  <c r="AG123" i="31"/>
  <c r="AF123" i="31"/>
  <c r="AI122" i="31"/>
  <c r="AH122" i="31"/>
  <c r="AG122" i="31"/>
  <c r="AF122" i="31"/>
  <c r="AI121" i="31"/>
  <c r="AH121" i="31"/>
  <c r="AG121" i="31"/>
  <c r="AF121" i="31"/>
  <c r="AI120" i="31"/>
  <c r="AH120" i="31"/>
  <c r="AG120" i="31"/>
  <c r="AF120" i="31"/>
  <c r="AI119" i="31"/>
  <c r="AH119" i="31"/>
  <c r="AG119" i="31"/>
  <c r="AF119" i="31"/>
  <c r="AI118" i="31"/>
  <c r="AH118" i="31"/>
  <c r="AG118" i="31"/>
  <c r="AF118" i="31"/>
  <c r="AI117" i="31"/>
  <c r="AH117" i="31"/>
  <c r="AG117" i="31"/>
  <c r="AF117" i="31"/>
  <c r="AI116" i="31"/>
  <c r="AH116" i="31"/>
  <c r="AG116" i="31"/>
  <c r="AF116" i="31"/>
  <c r="AI115" i="31"/>
  <c r="AH115" i="31"/>
  <c r="AG115" i="31"/>
  <c r="AF115" i="31"/>
  <c r="AI114" i="31"/>
  <c r="AH114" i="31"/>
  <c r="AG114" i="31"/>
  <c r="AF114" i="31"/>
  <c r="AI113" i="31"/>
  <c r="AH113" i="31"/>
  <c r="AG113" i="31"/>
  <c r="AF113" i="31"/>
  <c r="AI112" i="31"/>
  <c r="AH112" i="31"/>
  <c r="AG112" i="31"/>
  <c r="AF112" i="31"/>
  <c r="AI111" i="31"/>
  <c r="AH111" i="31"/>
  <c r="AG111" i="31"/>
  <c r="AF111" i="31"/>
  <c r="AI110" i="31"/>
  <c r="AH110" i="31"/>
  <c r="AG110" i="31"/>
  <c r="AF110" i="31"/>
  <c r="AI109" i="31"/>
  <c r="AH109" i="31"/>
  <c r="AG109" i="31"/>
  <c r="AF109" i="31"/>
  <c r="AI108" i="31"/>
  <c r="AH108" i="31"/>
  <c r="AG108" i="31"/>
  <c r="AF108" i="31"/>
  <c r="AI107" i="31"/>
  <c r="AH107" i="31"/>
  <c r="AG107" i="31"/>
  <c r="AF107" i="31"/>
  <c r="AI106" i="31"/>
  <c r="AH106" i="31"/>
  <c r="AG106" i="31"/>
  <c r="AF106" i="31"/>
  <c r="AI105" i="31"/>
  <c r="AH105" i="31"/>
  <c r="AG105" i="31"/>
  <c r="AF105" i="31"/>
  <c r="AI104" i="31"/>
  <c r="AH104" i="31"/>
  <c r="AG104" i="31"/>
  <c r="AF104" i="31"/>
  <c r="AI103" i="31"/>
  <c r="AH103" i="31"/>
  <c r="AG103" i="31"/>
  <c r="AF103" i="31"/>
  <c r="AI102" i="31"/>
  <c r="AH102" i="31"/>
  <c r="AG102" i="31"/>
  <c r="AF102" i="31"/>
  <c r="AI101" i="31"/>
  <c r="AH101" i="31"/>
  <c r="AG101" i="31"/>
  <c r="AF101" i="31"/>
  <c r="AI100" i="31"/>
  <c r="AH100" i="31"/>
  <c r="AG100" i="31"/>
  <c r="AF100" i="31"/>
  <c r="AI99" i="31"/>
  <c r="AH99" i="31"/>
  <c r="AG99" i="31"/>
  <c r="AF99" i="31"/>
  <c r="AI98" i="31"/>
  <c r="AH98" i="31"/>
  <c r="AG98" i="31"/>
  <c r="AF98" i="31"/>
  <c r="AI97" i="31"/>
  <c r="AH97" i="31"/>
  <c r="AG97" i="31"/>
  <c r="AF97" i="31"/>
  <c r="AI96" i="31"/>
  <c r="AH96" i="31"/>
  <c r="AG96" i="31"/>
  <c r="AF96" i="31"/>
  <c r="AI95" i="31"/>
  <c r="AH95" i="31"/>
  <c r="AG95" i="31"/>
  <c r="AF95" i="31"/>
  <c r="AI94" i="31"/>
  <c r="AH94" i="31"/>
  <c r="AG94" i="31"/>
  <c r="AF94" i="31"/>
  <c r="AI93" i="31"/>
  <c r="AH93" i="31"/>
  <c r="AG93" i="31"/>
  <c r="AF93" i="31"/>
  <c r="AI92" i="31"/>
  <c r="AH92" i="31"/>
  <c r="AG92" i="31"/>
  <c r="AF92" i="31"/>
  <c r="AI91" i="31"/>
  <c r="AH91" i="31"/>
  <c r="AG91" i="31"/>
  <c r="AF91" i="31"/>
  <c r="AI90" i="31"/>
  <c r="AH90" i="31"/>
  <c r="AG90" i="31"/>
  <c r="AF90" i="31"/>
  <c r="AI89" i="31"/>
  <c r="AH89" i="31"/>
  <c r="AG89" i="31"/>
  <c r="AF89" i="31"/>
  <c r="AI88" i="31"/>
  <c r="AH88" i="31"/>
  <c r="AG88" i="31"/>
  <c r="AF88" i="31"/>
  <c r="AI87" i="31"/>
  <c r="AH87" i="31"/>
  <c r="AG87" i="31"/>
  <c r="AF87" i="31"/>
  <c r="AI86" i="31"/>
  <c r="AH86" i="31"/>
  <c r="AG86" i="31"/>
  <c r="AF86" i="31"/>
  <c r="AI85" i="31"/>
  <c r="AH85" i="31"/>
  <c r="AG85" i="31"/>
  <c r="AF85" i="31"/>
  <c r="AI84" i="31"/>
  <c r="AH84" i="31"/>
  <c r="AG84" i="31"/>
  <c r="AF84" i="31"/>
  <c r="AI83" i="31"/>
  <c r="AH83" i="31"/>
  <c r="AG83" i="31"/>
  <c r="AF83" i="31"/>
  <c r="AI82" i="31"/>
  <c r="AH82" i="31"/>
  <c r="AG82" i="31"/>
  <c r="AF82" i="31"/>
  <c r="AI81" i="31"/>
  <c r="AH81" i="31"/>
  <c r="AG81" i="31"/>
  <c r="AF81" i="31"/>
  <c r="AI80" i="31"/>
  <c r="AH80" i="31"/>
  <c r="AG80" i="31"/>
  <c r="AF80" i="31"/>
  <c r="AI79" i="31"/>
  <c r="AH79" i="31"/>
  <c r="AG79" i="31"/>
  <c r="AF79" i="31"/>
  <c r="AI78" i="31"/>
  <c r="AH78" i="31"/>
  <c r="AG78" i="31"/>
  <c r="AF78" i="31"/>
  <c r="AI77" i="31"/>
  <c r="AH77" i="31"/>
  <c r="AG77" i="31"/>
  <c r="AF77" i="31"/>
  <c r="AI76" i="31"/>
  <c r="AH76" i="31"/>
  <c r="AG76" i="31"/>
  <c r="AF76" i="31"/>
  <c r="AI75" i="31"/>
  <c r="AH75" i="31"/>
  <c r="AG75" i="31"/>
  <c r="AF75" i="31"/>
  <c r="AI74" i="31"/>
  <c r="AH74" i="31"/>
  <c r="AG74" i="31"/>
  <c r="AF74" i="31"/>
  <c r="AI73" i="31"/>
  <c r="AH73" i="31"/>
  <c r="AG73" i="31"/>
  <c r="AF73" i="31"/>
  <c r="AI72" i="31"/>
  <c r="AH72" i="31"/>
  <c r="AG72" i="31"/>
  <c r="AF72" i="31"/>
  <c r="AI71" i="31"/>
  <c r="AH71" i="31"/>
  <c r="AG71" i="31"/>
  <c r="AF71" i="31"/>
  <c r="AI70" i="31"/>
  <c r="AH70" i="31"/>
  <c r="AG70" i="31"/>
  <c r="AF70" i="31"/>
  <c r="AI69" i="31"/>
  <c r="AH69" i="31"/>
  <c r="AG69" i="31"/>
  <c r="AF69" i="31"/>
  <c r="AI68" i="31"/>
  <c r="AH68" i="31"/>
  <c r="AG68" i="31"/>
  <c r="AF68" i="31"/>
  <c r="AI67" i="31"/>
  <c r="AH67" i="31"/>
  <c r="AG67" i="31"/>
  <c r="AF67" i="31"/>
  <c r="AI66" i="31"/>
  <c r="AH66" i="31"/>
  <c r="AG66" i="31"/>
  <c r="AF66" i="31"/>
  <c r="AI65" i="31"/>
  <c r="AH65" i="31"/>
  <c r="AG65" i="31"/>
  <c r="AF65" i="31"/>
  <c r="AI64" i="31"/>
  <c r="AH64" i="31"/>
  <c r="AG64" i="31"/>
  <c r="AF64" i="31"/>
  <c r="AI63" i="31"/>
  <c r="AH63" i="31"/>
  <c r="AG63" i="31"/>
  <c r="AF63" i="31"/>
  <c r="AI62" i="31"/>
  <c r="AH62" i="31"/>
  <c r="AG62" i="31"/>
  <c r="AF62" i="31"/>
  <c r="AI61" i="31"/>
  <c r="AH61" i="31"/>
  <c r="AG61" i="31"/>
  <c r="AF61" i="31"/>
  <c r="AI60" i="31"/>
  <c r="AH60" i="31"/>
  <c r="AG60" i="31"/>
  <c r="AF60" i="31"/>
  <c r="AI59" i="31"/>
  <c r="AH59" i="31"/>
  <c r="AG59" i="31"/>
  <c r="AF59" i="31"/>
  <c r="AI58" i="31"/>
  <c r="AH58" i="31"/>
  <c r="AG58" i="31"/>
  <c r="AF58" i="31"/>
  <c r="AI57" i="31"/>
  <c r="AH57" i="31"/>
  <c r="AG57" i="31"/>
  <c r="AF57" i="31"/>
  <c r="AI56" i="31"/>
  <c r="AH56" i="31"/>
  <c r="AG56" i="31"/>
  <c r="AF56" i="31"/>
  <c r="AI55" i="31"/>
  <c r="AH55" i="31"/>
  <c r="AG55" i="31"/>
  <c r="AF55" i="31"/>
  <c r="AI54" i="31"/>
  <c r="AH54" i="31"/>
  <c r="AG54" i="31"/>
  <c r="AF54" i="31"/>
  <c r="AI53" i="31"/>
  <c r="AH53" i="31"/>
  <c r="AG53" i="31"/>
  <c r="AF53" i="31"/>
  <c r="AI52" i="31"/>
  <c r="AH52" i="31"/>
  <c r="AG52" i="31"/>
  <c r="AF52" i="31"/>
  <c r="AI51" i="31"/>
  <c r="AH51" i="31"/>
  <c r="AG51" i="31"/>
  <c r="AF51" i="31"/>
  <c r="AI50" i="31"/>
  <c r="AH50" i="31"/>
  <c r="AG50" i="31"/>
  <c r="AF50" i="31"/>
  <c r="AI49" i="31"/>
  <c r="AH49" i="31"/>
  <c r="AG49" i="31"/>
  <c r="AF49" i="31"/>
  <c r="AI48" i="31"/>
  <c r="AH48" i="31"/>
  <c r="AG48" i="31"/>
  <c r="AF48" i="31"/>
  <c r="AI47" i="31"/>
  <c r="AH47" i="31"/>
  <c r="AG47" i="31"/>
  <c r="AF47" i="31"/>
  <c r="AI46" i="31"/>
  <c r="AH46" i="31"/>
  <c r="AG46" i="31"/>
  <c r="AF46" i="31"/>
  <c r="AI45" i="31"/>
  <c r="AH45" i="31"/>
  <c r="AG45" i="31"/>
  <c r="AF45" i="31"/>
  <c r="AI44" i="31"/>
  <c r="AH44" i="31"/>
  <c r="AG44" i="31"/>
  <c r="AF44" i="31"/>
  <c r="AI43" i="31"/>
  <c r="AH43" i="31"/>
  <c r="AG43" i="31"/>
  <c r="AF43" i="31"/>
  <c r="AI42" i="31"/>
  <c r="AH42" i="31"/>
  <c r="AG42" i="31"/>
  <c r="AF42" i="31"/>
  <c r="AI41" i="31"/>
  <c r="AH41" i="31"/>
  <c r="AG41" i="31"/>
  <c r="AF41" i="31"/>
  <c r="AI40" i="31"/>
  <c r="AH40" i="31"/>
  <c r="AG40" i="31"/>
  <c r="AF40" i="31"/>
  <c r="AI39" i="31"/>
  <c r="AH39" i="31"/>
  <c r="AG39" i="31"/>
  <c r="AF39" i="31"/>
  <c r="AI38" i="31"/>
  <c r="AH38" i="31"/>
  <c r="AG38" i="31"/>
  <c r="AF38" i="31"/>
  <c r="AI37" i="31"/>
  <c r="AH37" i="31"/>
  <c r="AG37" i="31"/>
  <c r="AF37" i="31"/>
  <c r="AI36" i="31"/>
  <c r="AH36" i="31"/>
  <c r="AG36" i="31"/>
  <c r="AF36" i="31"/>
  <c r="AI35" i="31"/>
  <c r="AH35" i="31"/>
  <c r="AG35" i="31"/>
  <c r="AF35" i="31"/>
  <c r="AI34" i="31"/>
  <c r="AH34" i="31"/>
  <c r="AG34" i="31"/>
  <c r="AF34" i="31"/>
  <c r="AI33" i="31"/>
  <c r="AH33" i="31"/>
  <c r="AG33" i="31"/>
  <c r="AF33" i="31"/>
  <c r="AI32" i="31"/>
  <c r="AH32" i="31"/>
  <c r="AG32" i="31"/>
  <c r="AF32" i="31"/>
  <c r="AI31" i="31"/>
  <c r="AH31" i="31"/>
  <c r="AG31" i="31"/>
  <c r="AF31" i="31"/>
  <c r="AI30" i="31"/>
  <c r="AH30" i="31"/>
  <c r="AG30" i="31"/>
  <c r="AF30" i="31"/>
  <c r="AI29" i="31"/>
  <c r="AH29" i="31"/>
  <c r="AG29" i="31"/>
  <c r="AF29" i="31"/>
  <c r="AI28" i="31"/>
  <c r="AH28" i="31"/>
  <c r="AG28" i="31"/>
  <c r="AF28" i="31"/>
  <c r="AI27" i="31"/>
  <c r="AH27" i="31"/>
  <c r="AG27" i="31"/>
  <c r="AF27" i="31"/>
  <c r="AI26" i="31"/>
  <c r="AH26" i="31"/>
  <c r="AG26" i="31"/>
  <c r="AF26" i="31"/>
  <c r="AI25" i="31"/>
  <c r="AH25" i="31"/>
  <c r="AG25" i="31"/>
  <c r="AF25" i="31"/>
  <c r="AI24" i="31"/>
  <c r="AH24" i="31"/>
  <c r="AG24" i="31"/>
  <c r="AF24" i="31"/>
  <c r="AI23" i="31"/>
  <c r="AH23" i="31"/>
  <c r="AG23" i="31"/>
  <c r="AF23" i="31"/>
  <c r="AI22" i="31"/>
  <c r="AH22" i="31"/>
  <c r="AG22" i="31"/>
  <c r="AF22" i="31"/>
  <c r="AI21" i="31"/>
  <c r="AH21" i="31"/>
  <c r="AG21" i="31"/>
  <c r="AF21" i="31"/>
  <c r="AI20" i="31"/>
  <c r="AH20" i="31"/>
  <c r="AG20" i="31"/>
  <c r="AF20" i="31"/>
  <c r="AI19" i="31"/>
  <c r="AH19" i="31"/>
  <c r="AG19" i="31"/>
  <c r="AF19" i="31"/>
  <c r="AI18" i="31"/>
  <c r="AH18" i="31"/>
  <c r="AG18" i="31"/>
  <c r="AF18" i="31"/>
  <c r="AI17" i="31"/>
  <c r="AH17" i="31"/>
  <c r="AG17" i="31"/>
  <c r="AF17" i="31"/>
  <c r="AI16" i="31"/>
  <c r="AH16" i="31"/>
  <c r="AG16" i="31"/>
  <c r="AF16" i="31"/>
  <c r="AI15" i="31"/>
  <c r="AH15" i="31"/>
  <c r="AG15" i="31"/>
  <c r="AF15" i="31"/>
  <c r="AI14" i="31"/>
  <c r="AH14" i="31"/>
  <c r="AG14" i="31"/>
  <c r="AF14" i="31"/>
  <c r="AI13" i="31"/>
  <c r="AH13" i="31"/>
  <c r="AG13" i="31"/>
  <c r="AF13" i="31"/>
  <c r="AI12" i="31"/>
  <c r="AH12" i="31"/>
  <c r="AG12" i="31"/>
  <c r="AF12" i="31"/>
  <c r="AI11" i="31"/>
  <c r="AH11" i="31"/>
  <c r="AG11" i="31"/>
  <c r="AF11" i="31"/>
  <c r="AI10" i="31"/>
  <c r="AH10" i="31"/>
  <c r="AG10" i="31"/>
  <c r="AF10" i="31"/>
  <c r="AI9" i="31"/>
  <c r="AH9" i="31"/>
  <c r="AG9" i="31"/>
  <c r="AF9" i="31"/>
  <c r="AI8" i="31"/>
  <c r="AH8" i="31"/>
  <c r="AG8" i="31"/>
  <c r="AF8" i="31"/>
  <c r="AI7" i="31"/>
  <c r="AH7" i="31"/>
  <c r="AG7" i="31"/>
  <c r="AF7" i="31"/>
  <c r="AI6" i="31"/>
  <c r="AH6" i="31"/>
  <c r="AG6" i="31"/>
  <c r="AF6" i="31"/>
  <c r="AI5" i="31"/>
  <c r="AH5" i="31"/>
  <c r="AG5" i="31"/>
  <c r="AF5" i="31"/>
  <c r="AI4" i="31"/>
  <c r="AH4" i="31"/>
  <c r="AG4" i="31"/>
  <c r="AF4" i="31"/>
  <c r="AI3" i="31"/>
  <c r="AH3" i="31"/>
  <c r="AG3" i="31"/>
  <c r="AF3" i="31"/>
  <c r="AI2" i="31"/>
  <c r="AH2" i="31"/>
  <c r="AG2" i="31"/>
  <c r="AF2" i="31"/>
  <c r="D2" i="31"/>
  <c r="AK3" i="31"/>
  <c r="AK4" i="31"/>
  <c r="AK5" i="31"/>
  <c r="AK6" i="31"/>
  <c r="AK7" i="31"/>
  <c r="AK8" i="31"/>
  <c r="AK9" i="31"/>
  <c r="AK10" i="31"/>
  <c r="AK11" i="31"/>
  <c r="AK12" i="31"/>
  <c r="AK13" i="31"/>
  <c r="AK14" i="31"/>
  <c r="AK15" i="31"/>
  <c r="AK16" i="31"/>
  <c r="AK17" i="31"/>
  <c r="AK18" i="31"/>
  <c r="AK19" i="31"/>
  <c r="AK20" i="31"/>
  <c r="AK21" i="31"/>
  <c r="AK22" i="31"/>
  <c r="AK23" i="31"/>
  <c r="AK24" i="31"/>
  <c r="AK25" i="31"/>
  <c r="AK26" i="31"/>
  <c r="AK27" i="31"/>
  <c r="AK28" i="31"/>
  <c r="AK29" i="31"/>
  <c r="AK30" i="31"/>
  <c r="AK31" i="31"/>
  <c r="AK32" i="31"/>
  <c r="AK33" i="31"/>
  <c r="AK34" i="31"/>
  <c r="AK35" i="31"/>
  <c r="AK36" i="31"/>
  <c r="AK37" i="31"/>
  <c r="AK38" i="31"/>
  <c r="AK39" i="31"/>
  <c r="AK40" i="31"/>
  <c r="AK41" i="31"/>
  <c r="AK42" i="31"/>
  <c r="AK43" i="31"/>
  <c r="AK44" i="31"/>
  <c r="AK45" i="31"/>
  <c r="AK46" i="31"/>
  <c r="AK47" i="31"/>
  <c r="AK48" i="31"/>
  <c r="AK49" i="31"/>
  <c r="AK50" i="31"/>
  <c r="AK51" i="31"/>
  <c r="AK52" i="31"/>
  <c r="AK53" i="31"/>
  <c r="AK54" i="31"/>
  <c r="AK55" i="31"/>
  <c r="AK56" i="31"/>
  <c r="AK57" i="31"/>
  <c r="AK58" i="31"/>
  <c r="AK59" i="31"/>
  <c r="AK60" i="31"/>
  <c r="AK61" i="31"/>
  <c r="AK62" i="31"/>
  <c r="AK63" i="31"/>
  <c r="AK64" i="31"/>
  <c r="AK65" i="31"/>
  <c r="AK66" i="31"/>
  <c r="AK67" i="31"/>
  <c r="AK68" i="31"/>
  <c r="AK69" i="31"/>
  <c r="AK70" i="31"/>
  <c r="AK71" i="31"/>
  <c r="AK72" i="31"/>
  <c r="AK73" i="31"/>
  <c r="AK74" i="31"/>
  <c r="AK75" i="31"/>
  <c r="AK76" i="31"/>
  <c r="AK77" i="31"/>
  <c r="AK78" i="31"/>
  <c r="AK79" i="31"/>
  <c r="AK80" i="31"/>
  <c r="AK81" i="31"/>
  <c r="AK82" i="31"/>
  <c r="AK83" i="31"/>
  <c r="AK84" i="31"/>
  <c r="AK85" i="31"/>
  <c r="AK86" i="31"/>
  <c r="AK87" i="31"/>
  <c r="AK88" i="31"/>
  <c r="AK89" i="31"/>
  <c r="AK90" i="31"/>
  <c r="AK91" i="31"/>
  <c r="AK92" i="31"/>
  <c r="AK93" i="31"/>
  <c r="AK94" i="31"/>
  <c r="AK95" i="31"/>
  <c r="AK96" i="31"/>
  <c r="AK97" i="31"/>
  <c r="AK98" i="31"/>
  <c r="AK99" i="31"/>
  <c r="AK100" i="31"/>
  <c r="AK101" i="31"/>
  <c r="AK102" i="31"/>
  <c r="AK103" i="31"/>
  <c r="AK104" i="31"/>
  <c r="AK105" i="31"/>
  <c r="AK106" i="31"/>
  <c r="AK107" i="31"/>
  <c r="AK108" i="31"/>
  <c r="AK109" i="31"/>
  <c r="AK110" i="31"/>
  <c r="AK111" i="31"/>
  <c r="AK112" i="31"/>
  <c r="AK113" i="31"/>
  <c r="AK114" i="31"/>
  <c r="AK115" i="31"/>
  <c r="AK116" i="31"/>
  <c r="AK117" i="31"/>
  <c r="AK118" i="31"/>
  <c r="AK119" i="31"/>
  <c r="AK120" i="31"/>
  <c r="AK121" i="31"/>
  <c r="AK122" i="31"/>
  <c r="AK123" i="31"/>
  <c r="AK124" i="31"/>
  <c r="AK125" i="31"/>
  <c r="AK126" i="31"/>
  <c r="AK127" i="31"/>
  <c r="AK128" i="31"/>
  <c r="AK129" i="31"/>
  <c r="AK130" i="31"/>
  <c r="AK131" i="31"/>
  <c r="AK132" i="31"/>
  <c r="AK133" i="31"/>
  <c r="AK134" i="31"/>
  <c r="AK135" i="31"/>
  <c r="AK136" i="31"/>
  <c r="AK137" i="31"/>
  <c r="AK138" i="31"/>
  <c r="AK139" i="31"/>
  <c r="AK140" i="31"/>
  <c r="AK141" i="31"/>
  <c r="AK142" i="31"/>
  <c r="AK143" i="31"/>
  <c r="AK144" i="31"/>
  <c r="AK145" i="31"/>
  <c r="AK146" i="31"/>
  <c r="AK147" i="31"/>
  <c r="AK148" i="31"/>
  <c r="AK149" i="31"/>
  <c r="AK150" i="31"/>
  <c r="AK151" i="31"/>
  <c r="AK152" i="31"/>
  <c r="AK153" i="31"/>
  <c r="AK154" i="31"/>
  <c r="AK155" i="31"/>
  <c r="AK156" i="31"/>
  <c r="AK157" i="31"/>
  <c r="AK158" i="31"/>
  <c r="AK159" i="31"/>
  <c r="AK160" i="31"/>
  <c r="AK161" i="31"/>
  <c r="AK162" i="31"/>
  <c r="AK163" i="31"/>
  <c r="AK164" i="31"/>
  <c r="AK165" i="31"/>
  <c r="AK166" i="31"/>
  <c r="AK167" i="31"/>
  <c r="AK168" i="31"/>
  <c r="AK169" i="31"/>
  <c r="AK170" i="31"/>
  <c r="AK171" i="31"/>
  <c r="AK172" i="31"/>
  <c r="AK173" i="31"/>
  <c r="AK174" i="31"/>
  <c r="AK175" i="31"/>
  <c r="AK176" i="31"/>
  <c r="AK177" i="31"/>
  <c r="AK178" i="31"/>
  <c r="AK179" i="31"/>
  <c r="AK180" i="31"/>
  <c r="AK181" i="31"/>
  <c r="AK182" i="31"/>
  <c r="AK183" i="31"/>
  <c r="AK184" i="31"/>
  <c r="AK185" i="31"/>
  <c r="AK186" i="31"/>
  <c r="AK187" i="31"/>
  <c r="AK188" i="31"/>
  <c r="AK189" i="31"/>
  <c r="AK190" i="31"/>
  <c r="AK191" i="31"/>
  <c r="AK192" i="31"/>
  <c r="AK193" i="31"/>
  <c r="AK194" i="31"/>
  <c r="AK195" i="31"/>
  <c r="AK196" i="31"/>
  <c r="AK197" i="31"/>
  <c r="AK198" i="31"/>
  <c r="AK199" i="31"/>
  <c r="AK200" i="31"/>
  <c r="AK201" i="31"/>
  <c r="AK202" i="31"/>
  <c r="AK203" i="31"/>
  <c r="AK204" i="31"/>
  <c r="AK205" i="31"/>
  <c r="AK206" i="31"/>
  <c r="AK207" i="31"/>
  <c r="AK208" i="31"/>
  <c r="AK209" i="31"/>
  <c r="AK210" i="31"/>
  <c r="AK211" i="31"/>
  <c r="AK212" i="31"/>
  <c r="AK213" i="31"/>
  <c r="AK214" i="31"/>
  <c r="AK215" i="31"/>
  <c r="AK216" i="31"/>
  <c r="AK217" i="31"/>
  <c r="AK218" i="31"/>
  <c r="AK219" i="31"/>
  <c r="AK220" i="31"/>
  <c r="AK221" i="31"/>
  <c r="AK2" i="31"/>
  <c r="AJ3" i="31"/>
  <c r="AJ4" i="31"/>
  <c r="AJ5" i="31"/>
  <c r="AJ6" i="31"/>
  <c r="AJ7" i="31"/>
  <c r="AJ8" i="31"/>
  <c r="AJ9" i="31"/>
  <c r="AJ10" i="31"/>
  <c r="AJ11" i="31"/>
  <c r="AJ12" i="31"/>
  <c r="AJ13" i="31"/>
  <c r="AJ14" i="31"/>
  <c r="AJ15" i="31"/>
  <c r="AJ16" i="31"/>
  <c r="AJ17" i="31"/>
  <c r="AJ18" i="31"/>
  <c r="AJ19" i="31"/>
  <c r="AJ20" i="31"/>
  <c r="AJ21" i="31"/>
  <c r="AJ22" i="31"/>
  <c r="AJ23" i="31"/>
  <c r="AJ24" i="31"/>
  <c r="AJ25" i="31"/>
  <c r="AJ26" i="31"/>
  <c r="AJ27" i="31"/>
  <c r="AJ28" i="31"/>
  <c r="AJ29" i="31"/>
  <c r="AJ30" i="31"/>
  <c r="AJ31" i="31"/>
  <c r="AJ32" i="31"/>
  <c r="AJ33" i="31"/>
  <c r="AJ34" i="31"/>
  <c r="AJ35" i="31"/>
  <c r="AJ36" i="31"/>
  <c r="AJ37" i="31"/>
  <c r="AJ38" i="31"/>
  <c r="AJ39" i="31"/>
  <c r="AJ40" i="31"/>
  <c r="AJ41" i="31"/>
  <c r="AJ42" i="31"/>
  <c r="AJ43" i="31"/>
  <c r="AJ44" i="31"/>
  <c r="AJ45" i="31"/>
  <c r="AJ46" i="31"/>
  <c r="AJ47" i="31"/>
  <c r="AJ48" i="31"/>
  <c r="AJ49" i="31"/>
  <c r="AJ50" i="31"/>
  <c r="AJ51" i="31"/>
  <c r="AJ52" i="31"/>
  <c r="AJ53" i="31"/>
  <c r="AJ54" i="31"/>
  <c r="AJ55" i="31"/>
  <c r="AJ56" i="31"/>
  <c r="AJ57" i="31"/>
  <c r="AJ58" i="31"/>
  <c r="AJ59" i="31"/>
  <c r="AJ60" i="31"/>
  <c r="AJ61" i="31"/>
  <c r="AJ62" i="31"/>
  <c r="AJ63" i="31"/>
  <c r="AJ64" i="31"/>
  <c r="AJ65" i="31"/>
  <c r="AJ66" i="31"/>
  <c r="AJ67" i="31"/>
  <c r="AJ68" i="31"/>
  <c r="AJ69" i="31"/>
  <c r="AJ70" i="31"/>
  <c r="AJ71" i="31"/>
  <c r="AJ72" i="31"/>
  <c r="AJ73" i="31"/>
  <c r="AJ74" i="31"/>
  <c r="AJ75" i="31"/>
  <c r="AJ76" i="31"/>
  <c r="AJ77" i="31"/>
  <c r="AJ78" i="31"/>
  <c r="AJ79" i="31"/>
  <c r="AJ80" i="31"/>
  <c r="AJ81" i="31"/>
  <c r="AJ82" i="31"/>
  <c r="AJ83" i="31"/>
  <c r="AJ84" i="31"/>
  <c r="AJ85" i="31"/>
  <c r="AJ86" i="31"/>
  <c r="AJ87" i="31"/>
  <c r="AJ88" i="31"/>
  <c r="AJ89" i="31"/>
  <c r="AJ90" i="31"/>
  <c r="AJ91" i="31"/>
  <c r="AJ92" i="31"/>
  <c r="AJ93" i="31"/>
  <c r="AJ94" i="31"/>
  <c r="AJ95" i="31"/>
  <c r="AJ96" i="31"/>
  <c r="AJ97" i="31"/>
  <c r="AJ98" i="31"/>
  <c r="AJ99" i="31"/>
  <c r="AJ100" i="31"/>
  <c r="AJ101" i="31"/>
  <c r="AJ102" i="31"/>
  <c r="AJ103" i="31"/>
  <c r="AJ104" i="31"/>
  <c r="AJ105" i="31"/>
  <c r="AJ106" i="31"/>
  <c r="AJ107" i="31"/>
  <c r="AJ108" i="31"/>
  <c r="AJ109" i="31"/>
  <c r="AJ110" i="31"/>
  <c r="AJ111" i="31"/>
  <c r="AJ112" i="31"/>
  <c r="AJ113" i="31"/>
  <c r="AJ114" i="31"/>
  <c r="AJ115" i="31"/>
  <c r="AJ116" i="31"/>
  <c r="AJ117" i="31"/>
  <c r="AJ118" i="31"/>
  <c r="AJ119" i="31"/>
  <c r="AJ120" i="31"/>
  <c r="AJ121" i="31"/>
  <c r="AJ122" i="31"/>
  <c r="AJ123" i="31"/>
  <c r="AJ124" i="31"/>
  <c r="AJ125" i="31"/>
  <c r="AJ126" i="31"/>
  <c r="AJ127" i="31"/>
  <c r="AJ128" i="31"/>
  <c r="AJ129" i="31"/>
  <c r="AJ130" i="31"/>
  <c r="AJ131" i="31"/>
  <c r="AJ132" i="31"/>
  <c r="AJ133" i="31"/>
  <c r="AJ134" i="31"/>
  <c r="AJ135" i="31"/>
  <c r="AJ136" i="31"/>
  <c r="AJ137" i="31"/>
  <c r="AJ138" i="31"/>
  <c r="AJ139" i="31"/>
  <c r="AJ140" i="31"/>
  <c r="AJ141" i="31"/>
  <c r="AJ142" i="31"/>
  <c r="AJ143" i="31"/>
  <c r="AJ144" i="31"/>
  <c r="AJ145" i="31"/>
  <c r="AJ146" i="31"/>
  <c r="AJ147" i="31"/>
  <c r="AJ148" i="31"/>
  <c r="AJ149" i="31"/>
  <c r="AJ150" i="31"/>
  <c r="AJ151" i="31"/>
  <c r="AJ152" i="31"/>
  <c r="AJ153" i="31"/>
  <c r="AJ154" i="31"/>
  <c r="AJ155" i="31"/>
  <c r="AJ156" i="31"/>
  <c r="AJ157" i="31"/>
  <c r="AJ158" i="31"/>
  <c r="AJ159" i="31"/>
  <c r="AJ160" i="31"/>
  <c r="AJ161" i="31"/>
  <c r="AJ162" i="31"/>
  <c r="AJ163" i="31"/>
  <c r="AJ164" i="31"/>
  <c r="AJ165" i="31"/>
  <c r="AJ166" i="31"/>
  <c r="AJ167" i="31"/>
  <c r="AJ168" i="31"/>
  <c r="AJ169" i="31"/>
  <c r="AJ170" i="31"/>
  <c r="AJ171" i="31"/>
  <c r="AJ172" i="31"/>
  <c r="AJ173" i="31"/>
  <c r="AJ174" i="31"/>
  <c r="AJ175" i="31"/>
  <c r="AJ176" i="31"/>
  <c r="AJ177" i="31"/>
  <c r="AJ178" i="31"/>
  <c r="AJ179" i="31"/>
  <c r="AJ180" i="31"/>
  <c r="AJ181" i="31"/>
  <c r="AJ182" i="31"/>
  <c r="AJ183" i="31"/>
  <c r="AJ184" i="31"/>
  <c r="AJ185" i="31"/>
  <c r="AJ186" i="31"/>
  <c r="AJ187" i="31"/>
  <c r="AJ188" i="31"/>
  <c r="AJ189" i="31"/>
  <c r="AJ190" i="31"/>
  <c r="AJ191" i="31"/>
  <c r="AJ192" i="31"/>
  <c r="AJ193" i="31"/>
  <c r="AJ194" i="31"/>
  <c r="AJ195" i="31"/>
  <c r="AJ196" i="31"/>
  <c r="AJ197" i="31"/>
  <c r="AJ198" i="31"/>
  <c r="AJ199" i="31"/>
  <c r="AJ200" i="31"/>
  <c r="AJ201" i="31"/>
  <c r="AJ202" i="31"/>
  <c r="AJ203" i="31"/>
  <c r="AJ204" i="31"/>
  <c r="AJ205" i="31"/>
  <c r="AJ206" i="31"/>
  <c r="AJ207" i="31"/>
  <c r="AJ208" i="31"/>
  <c r="AJ209" i="31"/>
  <c r="AJ210" i="31"/>
  <c r="AJ211" i="31"/>
  <c r="AJ212" i="31"/>
  <c r="AJ213" i="31"/>
  <c r="AJ214" i="31"/>
  <c r="AJ215" i="31"/>
  <c r="AJ216" i="31"/>
  <c r="AJ217" i="31"/>
  <c r="AJ218" i="31"/>
  <c r="AJ219" i="31"/>
  <c r="AJ220" i="31"/>
  <c r="AJ221" i="31"/>
  <c r="AJ2" i="31"/>
  <c r="V663" i="31"/>
  <c r="V664" i="31"/>
  <c r="V665" i="31"/>
  <c r="V666" i="31"/>
  <c r="V667" i="31"/>
  <c r="V668" i="31"/>
  <c r="V669" i="31"/>
  <c r="W669" i="31" s="1"/>
  <c r="V670" i="31"/>
  <c r="V671" i="31"/>
  <c r="V672" i="31"/>
  <c r="W672" i="31" s="1"/>
  <c r="V673" i="31"/>
  <c r="W673" i="31" s="1"/>
  <c r="V674" i="31"/>
  <c r="V675" i="31"/>
  <c r="V676" i="31"/>
  <c r="V677" i="31"/>
  <c r="W677" i="31" s="1"/>
  <c r="V678" i="31"/>
  <c r="V679" i="31"/>
  <c r="W679" i="31" s="1"/>
  <c r="V680" i="31"/>
  <c r="W680" i="31" s="1"/>
  <c r="V681" i="31"/>
  <c r="V682" i="31"/>
  <c r="V683" i="31"/>
  <c r="V684" i="31"/>
  <c r="W684" i="31" s="1"/>
  <c r="V685" i="31"/>
  <c r="W685" i="31" s="1"/>
  <c r="V686" i="31"/>
  <c r="V687" i="31"/>
  <c r="V688" i="31"/>
  <c r="W688" i="31" s="1"/>
  <c r="V689" i="31"/>
  <c r="W689" i="31" s="1"/>
  <c r="V690" i="31"/>
  <c r="V691" i="31"/>
  <c r="V692" i="31"/>
  <c r="W692" i="31" s="1"/>
  <c r="V693" i="31"/>
  <c r="W693" i="31" s="1"/>
  <c r="V694" i="31"/>
  <c r="V695" i="31"/>
  <c r="V696" i="31"/>
  <c r="W696" i="31" s="1"/>
  <c r="V697" i="31"/>
  <c r="W697" i="31" s="1"/>
  <c r="V698" i="31"/>
  <c r="V699" i="31"/>
  <c r="V700" i="31"/>
  <c r="V701" i="31"/>
  <c r="W701" i="31" s="1"/>
  <c r="V702" i="31"/>
  <c r="V703" i="31"/>
  <c r="V704" i="31"/>
  <c r="V705" i="31"/>
  <c r="V706" i="31"/>
  <c r="V707" i="31"/>
  <c r="V708" i="31"/>
  <c r="V709" i="31"/>
  <c r="W709" i="31" s="1"/>
  <c r="V710" i="31"/>
  <c r="V711" i="31"/>
  <c r="W711" i="31" s="1"/>
  <c r="V712" i="31"/>
  <c r="V713" i="31"/>
  <c r="W713" i="31" s="1"/>
  <c r="V714" i="31"/>
  <c r="V715" i="31"/>
  <c r="V716" i="31"/>
  <c r="W716" i="31" s="1"/>
  <c r="V717" i="31"/>
  <c r="W717" i="31" s="1"/>
  <c r="V718" i="31"/>
  <c r="V719" i="31"/>
  <c r="V720" i="31"/>
  <c r="V721" i="31"/>
  <c r="W721" i="31" s="1"/>
  <c r="V722" i="31"/>
  <c r="V723" i="31"/>
  <c r="V724" i="31"/>
  <c r="W724" i="31" s="1"/>
  <c r="V725" i="31"/>
  <c r="W725" i="31" s="1"/>
  <c r="V726" i="31"/>
  <c r="V727" i="31"/>
  <c r="W727" i="31" s="1"/>
  <c r="V728" i="31"/>
  <c r="W728" i="31" s="1"/>
  <c r="V729" i="31"/>
  <c r="W729" i="31" s="1"/>
  <c r="V730" i="31"/>
  <c r="V731" i="31"/>
  <c r="V732" i="31"/>
  <c r="V733" i="31"/>
  <c r="V734" i="31"/>
  <c r="V735" i="31"/>
  <c r="V736" i="31"/>
  <c r="W736" i="31" s="1"/>
  <c r="V737" i="31"/>
  <c r="W737" i="31" s="1"/>
  <c r="V738" i="31"/>
  <c r="V739" i="31"/>
  <c r="W739" i="31" s="1"/>
  <c r="V740" i="31"/>
  <c r="V741" i="31"/>
  <c r="W741" i="31" s="1"/>
  <c r="V742" i="31"/>
  <c r="V743" i="31"/>
  <c r="V744" i="31"/>
  <c r="W744" i="31" s="1"/>
  <c r="V745" i="31"/>
  <c r="W745" i="31" s="1"/>
  <c r="V746" i="31"/>
  <c r="V747" i="31"/>
  <c r="V748" i="31"/>
  <c r="W748" i="31" s="1"/>
  <c r="V749" i="31"/>
  <c r="W749" i="31" s="1"/>
  <c r="V750" i="31"/>
  <c r="V751" i="31"/>
  <c r="V752" i="31"/>
  <c r="W752" i="31" s="1"/>
  <c r="V753" i="31"/>
  <c r="W753" i="31" s="1"/>
  <c r="V754" i="31"/>
  <c r="V755" i="31"/>
  <c r="V756" i="31"/>
  <c r="W756" i="31" s="1"/>
  <c r="V757" i="31"/>
  <c r="W757" i="31" s="1"/>
  <c r="V758" i="31"/>
  <c r="V759" i="31"/>
  <c r="V760" i="31"/>
  <c r="W760" i="31" s="1"/>
  <c r="V761" i="31"/>
  <c r="V762" i="31"/>
  <c r="V763" i="31"/>
  <c r="V764" i="31"/>
  <c r="V765" i="31"/>
  <c r="W765" i="31" s="1"/>
  <c r="V766" i="31"/>
  <c r="V767" i="31"/>
  <c r="V768" i="31"/>
  <c r="V769" i="31"/>
  <c r="W769" i="31" s="1"/>
  <c r="V770" i="31"/>
  <c r="V771" i="31"/>
  <c r="W771" i="31" s="1"/>
  <c r="V772" i="31"/>
  <c r="V773" i="31"/>
  <c r="V774" i="31"/>
  <c r="V775" i="31"/>
  <c r="V776" i="31"/>
  <c r="V777" i="31"/>
  <c r="W777" i="31" s="1"/>
  <c r="V778" i="31"/>
  <c r="V779" i="31"/>
  <c r="V780" i="31"/>
  <c r="W780" i="31" s="1"/>
  <c r="V781" i="31"/>
  <c r="W781" i="31" s="1"/>
  <c r="V782" i="31"/>
  <c r="V783" i="31"/>
  <c r="V784" i="31"/>
  <c r="W784" i="31" s="1"/>
  <c r="V785" i="31"/>
  <c r="V786" i="31"/>
  <c r="V787" i="31"/>
  <c r="W787" i="31" s="1"/>
  <c r="V788" i="31"/>
  <c r="W788" i="31" s="1"/>
  <c r="V789" i="31"/>
  <c r="W789" i="31" s="1"/>
  <c r="V790" i="31"/>
  <c r="V791" i="31"/>
  <c r="V792" i="31"/>
  <c r="V793" i="31"/>
  <c r="W793" i="31" s="1"/>
  <c r="V794" i="31"/>
  <c r="V795" i="31"/>
  <c r="W795" i="31" s="1"/>
  <c r="V796" i="31"/>
  <c r="V797" i="31"/>
  <c r="W797" i="31" s="1"/>
  <c r="V798" i="31"/>
  <c r="V799" i="31"/>
  <c r="V800" i="31"/>
  <c r="W800" i="31" s="1"/>
  <c r="V801" i="31"/>
  <c r="W801" i="31" s="1"/>
  <c r="V802" i="31"/>
  <c r="V803" i="31"/>
  <c r="V804" i="31"/>
  <c r="V805" i="31"/>
  <c r="W805" i="31" s="1"/>
  <c r="V806" i="31"/>
  <c r="V807" i="31"/>
  <c r="V808" i="31"/>
  <c r="W808" i="31" s="1"/>
  <c r="V809" i="31"/>
  <c r="V810" i="31"/>
  <c r="V811" i="31"/>
  <c r="V812" i="31"/>
  <c r="V813" i="31"/>
  <c r="W813" i="31" s="1"/>
  <c r="V814" i="31"/>
  <c r="V815" i="31"/>
  <c r="V816" i="31"/>
  <c r="V817" i="31"/>
  <c r="W817" i="31" s="1"/>
  <c r="V818" i="31"/>
  <c r="V819" i="31"/>
  <c r="V820" i="31"/>
  <c r="V821" i="31"/>
  <c r="W821" i="31" s="1"/>
  <c r="V822" i="31"/>
  <c r="V823" i="31"/>
  <c r="V824" i="31"/>
  <c r="W824" i="31" s="1"/>
  <c r="V825" i="31"/>
  <c r="W825" i="31" s="1"/>
  <c r="V826" i="31"/>
  <c r="V827" i="31"/>
  <c r="V828" i="31"/>
  <c r="W828" i="31" s="1"/>
  <c r="V829" i="31"/>
  <c r="W829" i="31" s="1"/>
  <c r="V830" i="31"/>
  <c r="V831" i="31"/>
  <c r="W831" i="31" s="1"/>
  <c r="V832" i="31"/>
  <c r="W832" i="31" s="1"/>
  <c r="V833" i="31"/>
  <c r="W833" i="31" s="1"/>
  <c r="V834" i="31"/>
  <c r="V835" i="31"/>
  <c r="V836" i="31"/>
  <c r="W836" i="31" s="1"/>
  <c r="V837" i="31"/>
  <c r="W837" i="31" s="1"/>
  <c r="V838" i="31"/>
  <c r="V839" i="31"/>
  <c r="V840" i="31"/>
  <c r="V841" i="31"/>
  <c r="W841" i="31" s="1"/>
  <c r="V842" i="31"/>
  <c r="V843" i="31"/>
  <c r="V844" i="31"/>
  <c r="W844" i="31" s="1"/>
  <c r="V845" i="31"/>
  <c r="W845" i="31" s="1"/>
  <c r="V846" i="31"/>
  <c r="V847" i="31"/>
  <c r="V848" i="31"/>
  <c r="V849" i="31"/>
  <c r="W849" i="31" s="1"/>
  <c r="V850" i="31"/>
  <c r="V851" i="31"/>
  <c r="W851" i="31" s="1"/>
  <c r="V852" i="31"/>
  <c r="V853" i="31"/>
  <c r="W853" i="31" s="1"/>
  <c r="V854" i="31"/>
  <c r="V855" i="31"/>
  <c r="V856" i="31"/>
  <c r="V857" i="31"/>
  <c r="W857" i="31" s="1"/>
  <c r="V858" i="31"/>
  <c r="V859" i="31"/>
  <c r="W859" i="31" s="1"/>
  <c r="V860" i="31"/>
  <c r="W860" i="31" s="1"/>
  <c r="V861" i="31"/>
  <c r="V862" i="31"/>
  <c r="V863" i="31"/>
  <c r="V864" i="31"/>
  <c r="V865" i="31"/>
  <c r="W865" i="31" s="1"/>
  <c r="V866" i="31"/>
  <c r="V867" i="31"/>
  <c r="V868" i="31"/>
  <c r="W868" i="31" s="1"/>
  <c r="V869" i="31"/>
  <c r="V870" i="31"/>
  <c r="V871" i="31"/>
  <c r="V872" i="31"/>
  <c r="W872" i="31" s="1"/>
  <c r="V873" i="31"/>
  <c r="W873" i="31" s="1"/>
  <c r="V874" i="31"/>
  <c r="V875" i="31"/>
  <c r="W875" i="31" s="1"/>
  <c r="V876" i="31"/>
  <c r="W876" i="31" s="1"/>
  <c r="V877" i="31"/>
  <c r="W877" i="31" s="1"/>
  <c r="V878" i="31"/>
  <c r="V879" i="31"/>
  <c r="V880" i="31"/>
  <c r="V881" i="31"/>
  <c r="V662" i="31"/>
  <c r="V443" i="31"/>
  <c r="V444" i="31"/>
  <c r="W444" i="31" s="1"/>
  <c r="V445" i="31"/>
  <c r="W445" i="31" s="1"/>
  <c r="V446" i="31"/>
  <c r="V447" i="31"/>
  <c r="V448" i="31"/>
  <c r="V449" i="31"/>
  <c r="W449" i="31" s="1"/>
  <c r="V450" i="31"/>
  <c r="V451" i="31"/>
  <c r="V452" i="31"/>
  <c r="V453" i="31"/>
  <c r="W453" i="31" s="1"/>
  <c r="V454" i="31"/>
  <c r="V455" i="31"/>
  <c r="V456" i="31"/>
  <c r="W456" i="31" s="1"/>
  <c r="V457" i="31"/>
  <c r="W457" i="31" s="1"/>
  <c r="V458" i="31"/>
  <c r="V459" i="31"/>
  <c r="W459" i="31" s="1"/>
  <c r="V460" i="31"/>
  <c r="W460" i="31" s="1"/>
  <c r="V461" i="31"/>
  <c r="W461" i="31" s="1"/>
  <c r="V462" i="31"/>
  <c r="V463" i="31"/>
  <c r="V464" i="31"/>
  <c r="V465" i="31"/>
  <c r="W465" i="31" s="1"/>
  <c r="V466" i="31"/>
  <c r="V467" i="31"/>
  <c r="V468" i="31"/>
  <c r="V469" i="31"/>
  <c r="W469" i="31" s="1"/>
  <c r="V470" i="31"/>
  <c r="V471" i="31"/>
  <c r="V472" i="31"/>
  <c r="W472" i="31" s="1"/>
  <c r="V473" i="31"/>
  <c r="W473" i="31" s="1"/>
  <c r="V474" i="31"/>
  <c r="V475" i="31"/>
  <c r="V476" i="31"/>
  <c r="W476" i="31" s="1"/>
  <c r="V477" i="31"/>
  <c r="V478" i="31"/>
  <c r="V479" i="31"/>
  <c r="V480" i="31"/>
  <c r="V481" i="31"/>
  <c r="W481" i="31" s="1"/>
  <c r="V482" i="31"/>
  <c r="V483" i="31"/>
  <c r="V484" i="31"/>
  <c r="V485" i="31"/>
  <c r="V486" i="31"/>
  <c r="V487" i="31"/>
  <c r="W487" i="31" s="1"/>
  <c r="V488" i="31"/>
  <c r="W488" i="31" s="1"/>
  <c r="V489" i="31"/>
  <c r="W489" i="31" s="1"/>
  <c r="V490" i="31"/>
  <c r="V491" i="31"/>
  <c r="V492" i="31"/>
  <c r="W492" i="31" s="1"/>
  <c r="V493" i="31"/>
  <c r="V494" i="31"/>
  <c r="V495" i="31"/>
  <c r="V496" i="31"/>
  <c r="V497" i="31"/>
  <c r="W497" i="31" s="1"/>
  <c r="V498" i="31"/>
  <c r="V499" i="31"/>
  <c r="V500" i="31"/>
  <c r="V501" i="31"/>
  <c r="W501" i="31" s="1"/>
  <c r="V502" i="31"/>
  <c r="V503" i="31"/>
  <c r="V504" i="31"/>
  <c r="W504" i="31" s="1"/>
  <c r="V505" i="31"/>
  <c r="W505" i="31" s="1"/>
  <c r="V506" i="31"/>
  <c r="V507" i="31"/>
  <c r="W507" i="31" s="1"/>
  <c r="V508" i="31"/>
  <c r="W508" i="31" s="1"/>
  <c r="V509" i="31"/>
  <c r="W509" i="31" s="1"/>
  <c r="V510" i="31"/>
  <c r="V511" i="31"/>
  <c r="V512" i="31"/>
  <c r="V513" i="31"/>
  <c r="V514" i="31"/>
  <c r="V515" i="31"/>
  <c r="V516" i="31"/>
  <c r="V517" i="31"/>
  <c r="W517" i="31" s="1"/>
  <c r="V518" i="31"/>
  <c r="V519" i="31"/>
  <c r="V520" i="31"/>
  <c r="W520" i="31" s="1"/>
  <c r="V521" i="31"/>
  <c r="W521" i="31" s="1"/>
  <c r="V522" i="31"/>
  <c r="V523" i="31"/>
  <c r="V524" i="31"/>
  <c r="W524" i="31" s="1"/>
  <c r="V525" i="31"/>
  <c r="W525" i="31" s="1"/>
  <c r="V526" i="31"/>
  <c r="V527" i="31"/>
  <c r="V528" i="31"/>
  <c r="V529" i="31"/>
  <c r="W529" i="31" s="1"/>
  <c r="V530" i="31"/>
  <c r="V531" i="31"/>
  <c r="V532" i="31"/>
  <c r="V533" i="31"/>
  <c r="W533" i="31" s="1"/>
  <c r="V534" i="31"/>
  <c r="V535" i="31"/>
  <c r="W535" i="31" s="1"/>
  <c r="V536" i="31"/>
  <c r="W536" i="31" s="1"/>
  <c r="V537" i="31"/>
  <c r="W537" i="31" s="1"/>
  <c r="V538" i="31"/>
  <c r="V539" i="31"/>
  <c r="W539" i="31" s="1"/>
  <c r="V540" i="31"/>
  <c r="W540" i="31" s="1"/>
  <c r="V541" i="31"/>
  <c r="W541" i="31" s="1"/>
  <c r="V542" i="31"/>
  <c r="V543" i="31"/>
  <c r="V544" i="31"/>
  <c r="V545" i="31"/>
  <c r="W545" i="31" s="1"/>
  <c r="V546" i="31"/>
  <c r="V547" i="31"/>
  <c r="V548" i="31"/>
  <c r="V549" i="31"/>
  <c r="W549" i="31" s="1"/>
  <c r="V550" i="31"/>
  <c r="V551" i="31"/>
  <c r="V552" i="31"/>
  <c r="W552" i="31" s="1"/>
  <c r="V553" i="31"/>
  <c r="W553" i="31" s="1"/>
  <c r="V554" i="31"/>
  <c r="V555" i="31"/>
  <c r="V556" i="31"/>
  <c r="W556" i="31" s="1"/>
  <c r="V557" i="31"/>
  <c r="V558" i="31"/>
  <c r="V559" i="31"/>
  <c r="V560" i="31"/>
  <c r="V561" i="31"/>
  <c r="W561" i="31" s="1"/>
  <c r="V562" i="31"/>
  <c r="V563" i="31"/>
  <c r="W563" i="31" s="1"/>
  <c r="V564" i="31"/>
  <c r="W564" i="31" s="1"/>
  <c r="V565" i="31"/>
  <c r="W565" i="31" s="1"/>
  <c r="V566" i="31"/>
  <c r="V567" i="31"/>
  <c r="V568" i="31"/>
  <c r="W568" i="31" s="1"/>
  <c r="V569" i="31"/>
  <c r="W569" i="31" s="1"/>
  <c r="V570" i="31"/>
  <c r="V571" i="31"/>
  <c r="V572" i="31"/>
  <c r="V573" i="31"/>
  <c r="V574" i="31"/>
  <c r="V575" i="31"/>
  <c r="V576" i="31"/>
  <c r="W576" i="31" s="1"/>
  <c r="V577" i="31"/>
  <c r="W577" i="31" s="1"/>
  <c r="V578" i="31"/>
  <c r="V579" i="31"/>
  <c r="W579" i="31" s="1"/>
  <c r="V580" i="31"/>
  <c r="V581" i="31"/>
  <c r="W581" i="31" s="1"/>
  <c r="V582" i="31"/>
  <c r="V583" i="31"/>
  <c r="V584" i="31"/>
  <c r="V585" i="31"/>
  <c r="W585" i="31" s="1"/>
  <c r="V586" i="31"/>
  <c r="V587" i="31"/>
  <c r="W587" i="31" s="1"/>
  <c r="V588" i="31"/>
  <c r="W588" i="31" s="1"/>
  <c r="V589" i="31"/>
  <c r="W589" i="31" s="1"/>
  <c r="V590" i="31"/>
  <c r="V591" i="31"/>
  <c r="V592" i="31"/>
  <c r="V593" i="31"/>
  <c r="W593" i="31" s="1"/>
  <c r="V594" i="31"/>
  <c r="V595" i="31"/>
  <c r="V596" i="31"/>
  <c r="W596" i="31" s="1"/>
  <c r="V597" i="31"/>
  <c r="V598" i="31"/>
  <c r="V599" i="31"/>
  <c r="V600" i="31"/>
  <c r="V601" i="31"/>
  <c r="W601" i="31" s="1"/>
  <c r="V602" i="31"/>
  <c r="V603" i="31"/>
  <c r="V604" i="31"/>
  <c r="V605" i="31"/>
  <c r="W605" i="31" s="1"/>
  <c r="V606" i="31"/>
  <c r="V607" i="31"/>
  <c r="V608" i="31"/>
  <c r="V609" i="31"/>
  <c r="W609" i="31" s="1"/>
  <c r="V610" i="31"/>
  <c r="V611" i="31"/>
  <c r="W611" i="31" s="1"/>
  <c r="V612" i="31"/>
  <c r="V613" i="31"/>
  <c r="W613" i="31" s="1"/>
  <c r="V614" i="31"/>
  <c r="V615" i="31"/>
  <c r="V616" i="31"/>
  <c r="V617" i="31"/>
  <c r="W617" i="31" s="1"/>
  <c r="V618" i="31"/>
  <c r="V619" i="31"/>
  <c r="V620" i="31"/>
  <c r="W620" i="31" s="1"/>
  <c r="V621" i="31"/>
  <c r="V622" i="31"/>
  <c r="V623" i="31"/>
  <c r="V624" i="31"/>
  <c r="V625" i="31"/>
  <c r="W625" i="31" s="1"/>
  <c r="V626" i="31"/>
  <c r="V627" i="31"/>
  <c r="V628" i="31"/>
  <c r="W628" i="31" s="1"/>
  <c r="V629" i="31"/>
  <c r="V630" i="31"/>
  <c r="V631" i="31"/>
  <c r="V632" i="31"/>
  <c r="W632" i="31" s="1"/>
  <c r="V633" i="31"/>
  <c r="W633" i="31" s="1"/>
  <c r="V634" i="31"/>
  <c r="V635" i="31"/>
  <c r="V636" i="31"/>
  <c r="V637" i="31"/>
  <c r="W637" i="31" s="1"/>
  <c r="V638" i="31"/>
  <c r="V639" i="31"/>
  <c r="W639" i="31" s="1"/>
  <c r="V640" i="31"/>
  <c r="W640" i="31" s="1"/>
  <c r="V641" i="31"/>
  <c r="V642" i="31"/>
  <c r="V643" i="31"/>
  <c r="V644" i="31"/>
  <c r="V645" i="31"/>
  <c r="W645" i="31" s="1"/>
  <c r="V646" i="31"/>
  <c r="V647" i="31"/>
  <c r="V648" i="31"/>
  <c r="V649" i="31"/>
  <c r="W649" i="31" s="1"/>
  <c r="V650" i="31"/>
  <c r="V651" i="31"/>
  <c r="W651" i="31" s="1"/>
  <c r="V652" i="31"/>
  <c r="W652" i="31" s="1"/>
  <c r="V653" i="31"/>
  <c r="W653" i="31" s="1"/>
  <c r="V654" i="31"/>
  <c r="V655" i="31"/>
  <c r="V656" i="31"/>
  <c r="W656" i="31" s="1"/>
  <c r="V657" i="31"/>
  <c r="W657" i="31" s="1"/>
  <c r="V658" i="31"/>
  <c r="V659" i="31"/>
  <c r="V660" i="31"/>
  <c r="W660" i="31" s="1"/>
  <c r="V661" i="31"/>
  <c r="W661" i="31" s="1"/>
  <c r="V442" i="31"/>
  <c r="V223" i="31"/>
  <c r="V224" i="31"/>
  <c r="W224" i="31" s="1"/>
  <c r="V225" i="31"/>
  <c r="W225" i="31" s="1"/>
  <c r="V226" i="31"/>
  <c r="V227" i="31"/>
  <c r="V228" i="31"/>
  <c r="V229" i="31"/>
  <c r="W229" i="31" s="1"/>
  <c r="V230" i="31"/>
  <c r="V231" i="31"/>
  <c r="V232" i="31"/>
  <c r="W232" i="31" s="1"/>
  <c r="V233" i="31"/>
  <c r="W233" i="31" s="1"/>
  <c r="V234" i="31"/>
  <c r="V235" i="31"/>
  <c r="V236" i="31"/>
  <c r="W236" i="31" s="1"/>
  <c r="V237" i="31"/>
  <c r="W237" i="31" s="1"/>
  <c r="V238" i="31"/>
  <c r="V239" i="31"/>
  <c r="V240" i="31"/>
  <c r="W240" i="31" s="1"/>
  <c r="V241" i="31"/>
  <c r="W241" i="31" s="1"/>
  <c r="V242" i="31"/>
  <c r="V243" i="31"/>
  <c r="V244" i="31"/>
  <c r="V245" i="31"/>
  <c r="W245" i="31" s="1"/>
  <c r="V246" i="31"/>
  <c r="V247" i="31"/>
  <c r="V248" i="31"/>
  <c r="W248" i="31" s="1"/>
  <c r="V249" i="31"/>
  <c r="W249" i="31" s="1"/>
  <c r="V250" i="31"/>
  <c r="V251" i="31"/>
  <c r="V252" i="31"/>
  <c r="W252" i="31" s="1"/>
  <c r="V253" i="31"/>
  <c r="V254" i="31"/>
  <c r="V255" i="31"/>
  <c r="V256" i="31"/>
  <c r="V257" i="31"/>
  <c r="V258" i="31"/>
  <c r="V259" i="31"/>
  <c r="W259" i="31" s="1"/>
  <c r="V260" i="31"/>
  <c r="V261" i="31"/>
  <c r="W261" i="31" s="1"/>
  <c r="V262" i="31"/>
  <c r="V263" i="31"/>
  <c r="V264" i="31"/>
  <c r="W264" i="31" s="1"/>
  <c r="V265" i="31"/>
  <c r="W265" i="31" s="1"/>
  <c r="V266" i="31"/>
  <c r="V267" i="31"/>
  <c r="V268" i="31"/>
  <c r="W268" i="31" s="1"/>
  <c r="V269" i="31"/>
  <c r="W269" i="31" s="1"/>
  <c r="V270" i="31"/>
  <c r="V271" i="31"/>
  <c r="V272" i="31"/>
  <c r="V273" i="31"/>
  <c r="W273" i="31" s="1"/>
  <c r="V274" i="31"/>
  <c r="V275" i="31"/>
  <c r="W275" i="31" s="1"/>
  <c r="V276" i="31"/>
  <c r="V277" i="31"/>
  <c r="V278" i="31"/>
  <c r="V279" i="31"/>
  <c r="W279" i="31" s="1"/>
  <c r="V280" i="31"/>
  <c r="W280" i="31" s="1"/>
  <c r="V281" i="31"/>
  <c r="W281" i="31" s="1"/>
  <c r="V282" i="31"/>
  <c r="V283" i="31"/>
  <c r="V284" i="31"/>
  <c r="W284" i="31" s="1"/>
  <c r="V285" i="31"/>
  <c r="V286" i="31"/>
  <c r="V287" i="31"/>
  <c r="V288" i="31"/>
  <c r="V289" i="31"/>
  <c r="W289" i="31" s="1"/>
  <c r="V290" i="31"/>
  <c r="V291" i="31"/>
  <c r="V292" i="31"/>
  <c r="V293" i="31"/>
  <c r="W293" i="31" s="1"/>
  <c r="V294" i="31"/>
  <c r="V295" i="31"/>
  <c r="V296" i="31"/>
  <c r="W296" i="31" s="1"/>
  <c r="V297" i="31"/>
  <c r="W297" i="31" s="1"/>
  <c r="V298" i="31"/>
  <c r="V299" i="31"/>
  <c r="V300" i="31"/>
  <c r="W300" i="31" s="1"/>
  <c r="V301" i="31"/>
  <c r="W301" i="31" s="1"/>
  <c r="V302" i="31"/>
  <c r="V303" i="31"/>
  <c r="V304" i="31"/>
  <c r="V305" i="31"/>
  <c r="W305" i="31" s="1"/>
  <c r="V306" i="31"/>
  <c r="V307" i="31"/>
  <c r="V308" i="31"/>
  <c r="V309" i="31"/>
  <c r="W309" i="31" s="1"/>
  <c r="V310" i="31"/>
  <c r="V311" i="31"/>
  <c r="V312" i="31"/>
  <c r="W312" i="31" s="1"/>
  <c r="V313" i="31"/>
  <c r="V314" i="31"/>
  <c r="V315" i="31"/>
  <c r="V316" i="31"/>
  <c r="W316" i="31" s="1"/>
  <c r="V317" i="31"/>
  <c r="W317" i="31" s="1"/>
  <c r="V318" i="31"/>
  <c r="V319" i="31"/>
  <c r="W319" i="31" s="1"/>
  <c r="V320" i="31"/>
  <c r="V321" i="31"/>
  <c r="W321" i="31" s="1"/>
  <c r="V322" i="31"/>
  <c r="V323" i="31"/>
  <c r="W323" i="31" s="1"/>
  <c r="V324" i="31"/>
  <c r="V325" i="31"/>
  <c r="W325" i="31" s="1"/>
  <c r="V326" i="31"/>
  <c r="V327" i="31"/>
  <c r="V328" i="31"/>
  <c r="W328" i="31" s="1"/>
  <c r="V329" i="31"/>
  <c r="W329" i="31" s="1"/>
  <c r="V330" i="31"/>
  <c r="V331" i="31"/>
  <c r="V332" i="31"/>
  <c r="W332" i="31" s="1"/>
  <c r="V333" i="31"/>
  <c r="W333" i="31" s="1"/>
  <c r="V334" i="31"/>
  <c r="V335" i="31"/>
  <c r="V336" i="31"/>
  <c r="V337" i="31"/>
  <c r="W337" i="31" s="1"/>
  <c r="V338" i="31"/>
  <c r="V339" i="31"/>
  <c r="V340" i="31"/>
  <c r="V341" i="31"/>
  <c r="V342" i="31"/>
  <c r="V343" i="31"/>
  <c r="W343" i="31" s="1"/>
  <c r="V344" i="31"/>
  <c r="W344" i="31" s="1"/>
  <c r="V345" i="31"/>
  <c r="W345" i="31" s="1"/>
  <c r="V346" i="31"/>
  <c r="V347" i="31"/>
  <c r="V348" i="31"/>
  <c r="W348" i="31" s="1"/>
  <c r="V349" i="31"/>
  <c r="W349" i="31" s="1"/>
  <c r="V350" i="31"/>
  <c r="V351" i="31"/>
  <c r="V352" i="31"/>
  <c r="V353" i="31"/>
  <c r="V354" i="31"/>
  <c r="V355" i="31"/>
  <c r="V356" i="31"/>
  <c r="V357" i="31"/>
  <c r="W357" i="31" s="1"/>
  <c r="V358" i="31"/>
  <c r="V359" i="31"/>
  <c r="V360" i="31"/>
  <c r="W360" i="31" s="1"/>
  <c r="V361" i="31"/>
  <c r="W361" i="31" s="1"/>
  <c r="V362" i="31"/>
  <c r="V363" i="31"/>
  <c r="V364" i="31"/>
  <c r="W364" i="31" s="1"/>
  <c r="V365" i="31"/>
  <c r="W365" i="31" s="1"/>
  <c r="V366" i="31"/>
  <c r="V367" i="31"/>
  <c r="V368" i="31"/>
  <c r="V369" i="31"/>
  <c r="V370" i="31"/>
  <c r="V371" i="31"/>
  <c r="W371" i="31" s="1"/>
  <c r="V372" i="31"/>
  <c r="V373" i="31"/>
  <c r="W373" i="31" s="1"/>
  <c r="V374" i="31"/>
  <c r="V375" i="31"/>
  <c r="V376" i="31"/>
  <c r="W376" i="31" s="1"/>
  <c r="V377" i="31"/>
  <c r="W377" i="31" s="1"/>
  <c r="V378" i="31"/>
  <c r="V379" i="31"/>
  <c r="V380" i="31"/>
  <c r="W380" i="31" s="1"/>
  <c r="V381" i="31"/>
  <c r="W381" i="31" s="1"/>
  <c r="V382" i="31"/>
  <c r="V383" i="31"/>
  <c r="V384" i="31"/>
  <c r="V385" i="31"/>
  <c r="W385" i="31" s="1"/>
  <c r="V386" i="31"/>
  <c r="V387" i="31"/>
  <c r="V388" i="31"/>
  <c r="V389" i="31"/>
  <c r="W389" i="31" s="1"/>
  <c r="V390" i="31"/>
  <c r="V391" i="31"/>
  <c r="V392" i="31"/>
  <c r="W392" i="31" s="1"/>
  <c r="V393" i="31"/>
  <c r="W393" i="31" s="1"/>
  <c r="V394" i="31"/>
  <c r="V395" i="31"/>
  <c r="V396" i="31"/>
  <c r="W396" i="31" s="1"/>
  <c r="V397" i="31"/>
  <c r="W397" i="31" s="1"/>
  <c r="V398" i="31"/>
  <c r="V399" i="31"/>
  <c r="V400" i="31"/>
  <c r="V401" i="31"/>
  <c r="W401" i="31" s="1"/>
  <c r="V402" i="31"/>
  <c r="V403" i="31"/>
  <c r="V404" i="31"/>
  <c r="V405" i="31"/>
  <c r="W405" i="31" s="1"/>
  <c r="V406" i="31"/>
  <c r="V407" i="31"/>
  <c r="V408" i="31"/>
  <c r="W408" i="31" s="1"/>
  <c r="V409" i="31"/>
  <c r="W409" i="31" s="1"/>
  <c r="V410" i="31"/>
  <c r="V411" i="31"/>
  <c r="W411" i="31" s="1"/>
  <c r="V412" i="31"/>
  <c r="W412" i="31" s="1"/>
  <c r="V413" i="31"/>
  <c r="W413" i="31" s="1"/>
  <c r="V414" i="31"/>
  <c r="V415" i="31"/>
  <c r="W415" i="31" s="1"/>
  <c r="V416" i="31"/>
  <c r="V417" i="31"/>
  <c r="W417" i="31" s="1"/>
  <c r="V418" i="31"/>
  <c r="V419" i="31"/>
  <c r="V420" i="31"/>
  <c r="V421" i="31"/>
  <c r="W421" i="31" s="1"/>
  <c r="V422" i="31"/>
  <c r="V423" i="31"/>
  <c r="V424" i="31"/>
  <c r="W424" i="31" s="1"/>
  <c r="V425" i="31"/>
  <c r="W425" i="31" s="1"/>
  <c r="V426" i="31"/>
  <c r="V427" i="31"/>
  <c r="V428" i="31"/>
  <c r="W428" i="31" s="1"/>
  <c r="V429" i="31"/>
  <c r="W429" i="31" s="1"/>
  <c r="V430" i="31"/>
  <c r="V431" i="31"/>
  <c r="V432" i="31"/>
  <c r="V433" i="31"/>
  <c r="W433" i="31" s="1"/>
  <c r="V434" i="31"/>
  <c r="V435" i="31"/>
  <c r="V436" i="31"/>
  <c r="V437" i="31"/>
  <c r="W437" i="31" s="1"/>
  <c r="V438" i="31"/>
  <c r="V439" i="31"/>
  <c r="V440" i="31"/>
  <c r="W440" i="31" s="1"/>
  <c r="V441" i="31"/>
  <c r="W441" i="31" s="1"/>
  <c r="V222" i="31"/>
  <c r="W687" i="31"/>
  <c r="W699" i="31"/>
  <c r="W707" i="31"/>
  <c r="W747" i="31"/>
  <c r="W767" i="31"/>
  <c r="W775" i="31"/>
  <c r="W803" i="31"/>
  <c r="W819" i="31"/>
  <c r="W835" i="31"/>
  <c r="W867" i="31"/>
  <c r="W447" i="31"/>
  <c r="W475" i="31"/>
  <c r="W483" i="31"/>
  <c r="W485" i="31"/>
  <c r="W511" i="31"/>
  <c r="W547" i="31"/>
  <c r="W571" i="31"/>
  <c r="W599" i="31"/>
  <c r="W619" i="31"/>
  <c r="W631" i="31"/>
  <c r="W647" i="31"/>
  <c r="W655" i="31"/>
  <c r="W659" i="31"/>
  <c r="W228" i="31"/>
  <c r="W231" i="31"/>
  <c r="W238" i="31"/>
  <c r="W243" i="31"/>
  <c r="W251" i="31"/>
  <c r="W253" i="31"/>
  <c r="W267" i="31"/>
  <c r="W287" i="31"/>
  <c r="W295" i="31"/>
  <c r="W311" i="31"/>
  <c r="W331" i="31"/>
  <c r="W355" i="31"/>
  <c r="W363" i="31"/>
  <c r="W383" i="31"/>
  <c r="W387" i="31"/>
  <c r="W399" i="31"/>
  <c r="W407" i="31"/>
  <c r="W423" i="31"/>
  <c r="W427" i="31"/>
  <c r="W431" i="31"/>
  <c r="W222" i="31"/>
  <c r="W227" i="31"/>
  <c r="W235" i="31"/>
  <c r="W255" i="31"/>
  <c r="W283" i="31"/>
  <c r="W291" i="31"/>
  <c r="W315" i="31"/>
  <c r="W335" i="31"/>
  <c r="W367" i="31"/>
  <c r="W375" i="31"/>
  <c r="W419" i="31"/>
  <c r="W443" i="31"/>
  <c r="W451" i="31"/>
  <c r="W463" i="31"/>
  <c r="W467" i="31"/>
  <c r="W479" i="31"/>
  <c r="W491" i="31"/>
  <c r="W499" i="31"/>
  <c r="W503" i="31"/>
  <c r="W519" i="31"/>
  <c r="W523" i="31"/>
  <c r="W527" i="31"/>
  <c r="W543" i="31"/>
  <c r="W551" i="31"/>
  <c r="W559" i="31"/>
  <c r="W567" i="31"/>
  <c r="W583" i="31"/>
  <c r="W584" i="31"/>
  <c r="W595" i="31"/>
  <c r="W600" i="31"/>
  <c r="W607" i="31"/>
  <c r="W615" i="31"/>
  <c r="W627" i="31"/>
  <c r="W635" i="31"/>
  <c r="W667" i="31"/>
  <c r="W671" i="31"/>
  <c r="W683" i="31"/>
  <c r="W691" i="31"/>
  <c r="W703" i="31"/>
  <c r="W715" i="31"/>
  <c r="W723" i="31"/>
  <c r="W731" i="31"/>
  <c r="W743" i="31"/>
  <c r="W755" i="31"/>
  <c r="W759" i="31"/>
  <c r="W779" i="31"/>
  <c r="W783" i="31"/>
  <c r="W791" i="31"/>
  <c r="W807" i="31"/>
  <c r="W811" i="31"/>
  <c r="W823" i="31"/>
  <c r="W839" i="31"/>
  <c r="W847" i="31"/>
  <c r="W863" i="31"/>
  <c r="W871" i="31"/>
  <c r="W879" i="31"/>
  <c r="V3" i="31"/>
  <c r="W3" i="31" s="1"/>
  <c r="V4" i="31"/>
  <c r="V5" i="31"/>
  <c r="V6" i="31"/>
  <c r="V7" i="31"/>
  <c r="W7" i="31" s="1"/>
  <c r="V8" i="31"/>
  <c r="V9" i="31"/>
  <c r="V10" i="31"/>
  <c r="V11" i="31"/>
  <c r="V12" i="31"/>
  <c r="V13" i="31"/>
  <c r="V14" i="31"/>
  <c r="V15" i="31"/>
  <c r="V16" i="31"/>
  <c r="W16" i="31" s="1"/>
  <c r="V17" i="31"/>
  <c r="V18" i="31"/>
  <c r="V19" i="31"/>
  <c r="W19" i="31" s="1"/>
  <c r="V20" i="31"/>
  <c r="V21" i="31"/>
  <c r="V22" i="31"/>
  <c r="V23" i="31"/>
  <c r="W23" i="31" s="1"/>
  <c r="V24" i="31"/>
  <c r="V25" i="31"/>
  <c r="V26" i="31"/>
  <c r="V27" i="31"/>
  <c r="V28" i="31"/>
  <c r="V29" i="31"/>
  <c r="V30" i="31"/>
  <c r="V31" i="31"/>
  <c r="V32" i="31"/>
  <c r="W32" i="31" s="1"/>
  <c r="V33" i="31"/>
  <c r="V34" i="31"/>
  <c r="V35" i="31"/>
  <c r="W35" i="31" s="1"/>
  <c r="V36" i="31"/>
  <c r="V37" i="31"/>
  <c r="V38" i="31"/>
  <c r="V39" i="31"/>
  <c r="W39" i="31" s="1"/>
  <c r="V40" i="31"/>
  <c r="V41" i="31"/>
  <c r="V42" i="31"/>
  <c r="V43" i="31"/>
  <c r="V44" i="31"/>
  <c r="V45" i="31"/>
  <c r="V46" i="31"/>
  <c r="V47" i="31"/>
  <c r="V48" i="31"/>
  <c r="W48" i="31" s="1"/>
  <c r="V49" i="31"/>
  <c r="V50" i="31"/>
  <c r="V51" i="31"/>
  <c r="W51" i="31" s="1"/>
  <c r="V52" i="31"/>
  <c r="V53" i="31"/>
  <c r="V54" i="31"/>
  <c r="V55" i="31"/>
  <c r="W55" i="31" s="1"/>
  <c r="V56" i="31"/>
  <c r="V57" i="31"/>
  <c r="V58" i="31"/>
  <c r="V59" i="31"/>
  <c r="V60" i="31"/>
  <c r="V61" i="31"/>
  <c r="V62" i="31"/>
  <c r="V63" i="31"/>
  <c r="V64" i="31"/>
  <c r="W64" i="31" s="1"/>
  <c r="V65" i="31"/>
  <c r="V66" i="31"/>
  <c r="V67" i="31"/>
  <c r="W67" i="31" s="1"/>
  <c r="V68" i="31"/>
  <c r="V69" i="31"/>
  <c r="V70" i="31"/>
  <c r="V71" i="31"/>
  <c r="W71" i="31" s="1"/>
  <c r="V72" i="31"/>
  <c r="V73" i="31"/>
  <c r="V74" i="31"/>
  <c r="V75" i="31"/>
  <c r="V76" i="31"/>
  <c r="V77" i="31"/>
  <c r="V78" i="31"/>
  <c r="V79" i="31"/>
  <c r="V80" i="31"/>
  <c r="W80" i="31" s="1"/>
  <c r="V81" i="31"/>
  <c r="V82" i="31"/>
  <c r="V83" i="31"/>
  <c r="W83" i="31" s="1"/>
  <c r="V84" i="31"/>
  <c r="V85" i="31"/>
  <c r="V86" i="31"/>
  <c r="V87" i="31"/>
  <c r="W87" i="31" s="1"/>
  <c r="V88" i="31"/>
  <c r="V89" i="31"/>
  <c r="V90" i="31"/>
  <c r="V91" i="31"/>
  <c r="V92" i="31"/>
  <c r="V93" i="31"/>
  <c r="V94" i="31"/>
  <c r="V95" i="31"/>
  <c r="V96" i="31"/>
  <c r="W96" i="31" s="1"/>
  <c r="V97" i="31"/>
  <c r="V98" i="31"/>
  <c r="V99" i="31"/>
  <c r="W99" i="31" s="1"/>
  <c r="V100" i="31"/>
  <c r="V101" i="31"/>
  <c r="V102" i="31"/>
  <c r="V103" i="31"/>
  <c r="W103" i="31" s="1"/>
  <c r="V104" i="31"/>
  <c r="V105" i="31"/>
  <c r="V106" i="31"/>
  <c r="V107" i="31"/>
  <c r="V108" i="31"/>
  <c r="V109" i="31"/>
  <c r="V110" i="31"/>
  <c r="V111" i="31"/>
  <c r="V112" i="31"/>
  <c r="W112" i="31" s="1"/>
  <c r="V113" i="31"/>
  <c r="V114" i="31"/>
  <c r="V115" i="31"/>
  <c r="W115" i="31" s="1"/>
  <c r="V116" i="31"/>
  <c r="V117" i="31"/>
  <c r="V118" i="31"/>
  <c r="V119" i="31"/>
  <c r="W119" i="31" s="1"/>
  <c r="V120" i="31"/>
  <c r="V121" i="31"/>
  <c r="V122" i="31"/>
  <c r="V123" i="31"/>
  <c r="V124" i="31"/>
  <c r="V125" i="31"/>
  <c r="V126" i="31"/>
  <c r="V127" i="31"/>
  <c r="V128" i="31"/>
  <c r="W128" i="31" s="1"/>
  <c r="V129" i="31"/>
  <c r="V130" i="31"/>
  <c r="V131" i="31"/>
  <c r="W131" i="31" s="1"/>
  <c r="V132" i="31"/>
  <c r="V133" i="31"/>
  <c r="V134" i="31"/>
  <c r="V135" i="31"/>
  <c r="W135" i="31" s="1"/>
  <c r="V136" i="31"/>
  <c r="V137" i="31"/>
  <c r="V138" i="31"/>
  <c r="V139" i="31"/>
  <c r="V140" i="31"/>
  <c r="V141" i="31"/>
  <c r="V142" i="31"/>
  <c r="V143" i="31"/>
  <c r="V144" i="31"/>
  <c r="W144" i="31" s="1"/>
  <c r="V145" i="31"/>
  <c r="V146" i="31"/>
  <c r="V147" i="31"/>
  <c r="W147" i="31" s="1"/>
  <c r="V148" i="31"/>
  <c r="V149" i="31"/>
  <c r="V150" i="31"/>
  <c r="V151" i="31"/>
  <c r="W151" i="31" s="1"/>
  <c r="V152" i="31"/>
  <c r="V153" i="31"/>
  <c r="V154" i="31"/>
  <c r="V155" i="31"/>
  <c r="V156" i="31"/>
  <c r="V157" i="31"/>
  <c r="V158" i="31"/>
  <c r="V159" i="31"/>
  <c r="V160" i="31"/>
  <c r="W160" i="31" s="1"/>
  <c r="V161" i="31"/>
  <c r="V162" i="31"/>
  <c r="V163" i="31"/>
  <c r="W163" i="31" s="1"/>
  <c r="V164" i="31"/>
  <c r="V165" i="31"/>
  <c r="V166" i="31"/>
  <c r="V167" i="31"/>
  <c r="W167" i="31" s="1"/>
  <c r="V168" i="31"/>
  <c r="V169" i="31"/>
  <c r="V170" i="31"/>
  <c r="V171" i="31"/>
  <c r="V172" i="31"/>
  <c r="V173" i="31"/>
  <c r="V174" i="31"/>
  <c r="V175" i="31"/>
  <c r="V176" i="31"/>
  <c r="W176" i="31" s="1"/>
  <c r="V177" i="31"/>
  <c r="V178" i="31"/>
  <c r="V179" i="31"/>
  <c r="W179" i="31" s="1"/>
  <c r="V180" i="31"/>
  <c r="V181" i="31"/>
  <c r="V182" i="31"/>
  <c r="V183" i="31"/>
  <c r="W183" i="31" s="1"/>
  <c r="V184" i="31"/>
  <c r="V185" i="31"/>
  <c r="V186" i="31"/>
  <c r="V187" i="31"/>
  <c r="V188" i="31"/>
  <c r="V189" i="31"/>
  <c r="V190" i="31"/>
  <c r="V191" i="31"/>
  <c r="V192" i="31"/>
  <c r="W192" i="31" s="1"/>
  <c r="V193" i="31"/>
  <c r="V194" i="31"/>
  <c r="V195" i="31"/>
  <c r="W195" i="31" s="1"/>
  <c r="V196" i="31"/>
  <c r="V197" i="31"/>
  <c r="V198" i="31"/>
  <c r="V199" i="31"/>
  <c r="V200" i="31"/>
  <c r="V201" i="31"/>
  <c r="V202" i="31"/>
  <c r="V203" i="31"/>
  <c r="V204" i="31"/>
  <c r="V205" i="31"/>
  <c r="V206" i="31"/>
  <c r="V207" i="31"/>
  <c r="W207" i="31" s="1"/>
  <c r="V208" i="31"/>
  <c r="W208" i="31" s="1"/>
  <c r="V209" i="31"/>
  <c r="V210" i="31"/>
  <c r="V211" i="31"/>
  <c r="W211" i="31" s="1"/>
  <c r="V212" i="31"/>
  <c r="V213" i="31"/>
  <c r="V214" i="31"/>
  <c r="V215" i="31"/>
  <c r="V216" i="31"/>
  <c r="V217" i="31"/>
  <c r="V218" i="31"/>
  <c r="V219" i="31"/>
  <c r="V220" i="31"/>
  <c r="V221" i="31"/>
  <c r="V2" i="31"/>
  <c r="C663" i="31"/>
  <c r="Z663" i="31"/>
  <c r="C664" i="31"/>
  <c r="Z664" i="31"/>
  <c r="C665" i="31"/>
  <c r="Z665" i="31"/>
  <c r="C666" i="31"/>
  <c r="Z666" i="31"/>
  <c r="C667" i="31"/>
  <c r="Z667" i="31"/>
  <c r="C668" i="31"/>
  <c r="Z668" i="31"/>
  <c r="C669" i="31"/>
  <c r="Z669" i="31"/>
  <c r="C670" i="31"/>
  <c r="Z670" i="31"/>
  <c r="C671" i="31"/>
  <c r="Z671" i="31"/>
  <c r="C672" i="31"/>
  <c r="Z672" i="31"/>
  <c r="C673" i="31"/>
  <c r="Z673" i="31"/>
  <c r="C674" i="31"/>
  <c r="Z674" i="31"/>
  <c r="C675" i="31"/>
  <c r="Z675" i="31"/>
  <c r="C676" i="31"/>
  <c r="Z676" i="31"/>
  <c r="C677" i="31"/>
  <c r="Z677" i="31"/>
  <c r="C678" i="31"/>
  <c r="Z678" i="31"/>
  <c r="C679" i="31"/>
  <c r="Z679" i="31"/>
  <c r="C680" i="31"/>
  <c r="Z680" i="31"/>
  <c r="C681" i="31"/>
  <c r="Z681" i="31"/>
  <c r="C682" i="31"/>
  <c r="Z682" i="31"/>
  <c r="C683" i="31"/>
  <c r="Z683" i="31"/>
  <c r="C684" i="31"/>
  <c r="Z684" i="31"/>
  <c r="C685" i="31"/>
  <c r="Z685" i="31"/>
  <c r="C686" i="31"/>
  <c r="Z686" i="31"/>
  <c r="C687" i="31"/>
  <c r="Z687" i="31"/>
  <c r="C688" i="31"/>
  <c r="Z688" i="31"/>
  <c r="C689" i="31"/>
  <c r="Z689" i="31"/>
  <c r="C690" i="31"/>
  <c r="Z690" i="31"/>
  <c r="C691" i="31"/>
  <c r="Z691" i="31"/>
  <c r="C692" i="31"/>
  <c r="Z692" i="31"/>
  <c r="C693" i="31"/>
  <c r="Z693" i="31"/>
  <c r="C694" i="31"/>
  <c r="Z694" i="31"/>
  <c r="C695" i="31"/>
  <c r="Z695" i="31"/>
  <c r="C696" i="31"/>
  <c r="Z696" i="31"/>
  <c r="C697" i="31"/>
  <c r="Z697" i="31"/>
  <c r="C698" i="31"/>
  <c r="Z698" i="31"/>
  <c r="C699" i="31"/>
  <c r="Z699" i="31"/>
  <c r="C700" i="31"/>
  <c r="Z700" i="31"/>
  <c r="C701" i="31"/>
  <c r="Z701" i="31"/>
  <c r="C702" i="31"/>
  <c r="Z702" i="31"/>
  <c r="C703" i="31"/>
  <c r="Z703" i="31"/>
  <c r="C704" i="31"/>
  <c r="Z704" i="31"/>
  <c r="C705" i="31"/>
  <c r="Z705" i="31"/>
  <c r="C706" i="31"/>
  <c r="Z706" i="31"/>
  <c r="C707" i="31"/>
  <c r="Z707" i="31"/>
  <c r="C708" i="31"/>
  <c r="Z708" i="31"/>
  <c r="C709" i="31"/>
  <c r="Z709" i="31"/>
  <c r="C710" i="31"/>
  <c r="Z710" i="31"/>
  <c r="C711" i="31"/>
  <c r="Z711" i="31"/>
  <c r="C712" i="31"/>
  <c r="Z712" i="31"/>
  <c r="C713" i="31"/>
  <c r="Z713" i="31"/>
  <c r="C714" i="31"/>
  <c r="Z714" i="31"/>
  <c r="C715" i="31"/>
  <c r="Z715" i="31"/>
  <c r="C716" i="31"/>
  <c r="Z716" i="31"/>
  <c r="C717" i="31"/>
  <c r="Z717" i="31"/>
  <c r="C718" i="31"/>
  <c r="Z718" i="31"/>
  <c r="C719" i="31"/>
  <c r="Z719" i="31"/>
  <c r="C720" i="31"/>
  <c r="Z720" i="31"/>
  <c r="C721" i="31"/>
  <c r="Z721" i="31"/>
  <c r="C722" i="31"/>
  <c r="Z722" i="31"/>
  <c r="C723" i="31"/>
  <c r="Z723" i="31"/>
  <c r="C724" i="31"/>
  <c r="Z724" i="31"/>
  <c r="C725" i="31"/>
  <c r="Z725" i="31"/>
  <c r="C726" i="31"/>
  <c r="Z726" i="31"/>
  <c r="C727" i="31"/>
  <c r="Z727" i="31"/>
  <c r="C728" i="31"/>
  <c r="Z728" i="31"/>
  <c r="C729" i="31"/>
  <c r="Z729" i="31"/>
  <c r="C730" i="31"/>
  <c r="Z730" i="31"/>
  <c r="C731" i="31"/>
  <c r="Z731" i="31"/>
  <c r="C732" i="31"/>
  <c r="Z732" i="31"/>
  <c r="C733" i="31"/>
  <c r="Z733" i="31"/>
  <c r="C734" i="31"/>
  <c r="Z734" i="31"/>
  <c r="C735" i="31"/>
  <c r="Z735" i="31"/>
  <c r="C736" i="31"/>
  <c r="Z736" i="31"/>
  <c r="C737" i="31"/>
  <c r="Z737" i="31"/>
  <c r="C738" i="31"/>
  <c r="Z738" i="31"/>
  <c r="C739" i="31"/>
  <c r="Z739" i="31"/>
  <c r="C740" i="31"/>
  <c r="Z740" i="31"/>
  <c r="C741" i="31"/>
  <c r="Z741" i="31"/>
  <c r="C742" i="31"/>
  <c r="Z742" i="31"/>
  <c r="C743" i="31"/>
  <c r="Z743" i="31"/>
  <c r="C744" i="31"/>
  <c r="Z744" i="31"/>
  <c r="C745" i="31"/>
  <c r="Z745" i="31"/>
  <c r="C746" i="31"/>
  <c r="Z746" i="31"/>
  <c r="C747" i="31"/>
  <c r="Z747" i="31"/>
  <c r="C748" i="31"/>
  <c r="Z748" i="31"/>
  <c r="C749" i="31"/>
  <c r="Z749" i="31"/>
  <c r="C750" i="31"/>
  <c r="Z750" i="31"/>
  <c r="C751" i="31"/>
  <c r="Z751" i="31"/>
  <c r="C752" i="31"/>
  <c r="Z752" i="31"/>
  <c r="C753" i="31"/>
  <c r="Z753" i="31"/>
  <c r="C754" i="31"/>
  <c r="Z754" i="31"/>
  <c r="C755" i="31"/>
  <c r="Z755" i="31"/>
  <c r="C756" i="31"/>
  <c r="Z756" i="31"/>
  <c r="C757" i="31"/>
  <c r="Z757" i="31"/>
  <c r="C758" i="31"/>
  <c r="Z758" i="31"/>
  <c r="C759" i="31"/>
  <c r="Z759" i="31"/>
  <c r="C760" i="31"/>
  <c r="Z760" i="31"/>
  <c r="C761" i="31"/>
  <c r="Z761" i="31"/>
  <c r="C762" i="31"/>
  <c r="Z762" i="31"/>
  <c r="C763" i="31"/>
  <c r="Z763" i="31"/>
  <c r="C764" i="31"/>
  <c r="Z764" i="31"/>
  <c r="C765" i="31"/>
  <c r="Z765" i="31"/>
  <c r="C766" i="31"/>
  <c r="Z766" i="31"/>
  <c r="C767" i="31"/>
  <c r="Z767" i="31"/>
  <c r="C768" i="31"/>
  <c r="Z768" i="31"/>
  <c r="C769" i="31"/>
  <c r="Z769" i="31"/>
  <c r="C770" i="31"/>
  <c r="Z770" i="31"/>
  <c r="C771" i="31"/>
  <c r="Z771" i="31"/>
  <c r="C772" i="31"/>
  <c r="Z772" i="31"/>
  <c r="C773" i="31"/>
  <c r="Z773" i="31"/>
  <c r="C774" i="31"/>
  <c r="Z774" i="31"/>
  <c r="C775" i="31"/>
  <c r="Z775" i="31"/>
  <c r="C776" i="31"/>
  <c r="Z776" i="31"/>
  <c r="C777" i="31"/>
  <c r="Z777" i="31"/>
  <c r="C778" i="31"/>
  <c r="Z778" i="31"/>
  <c r="C779" i="31"/>
  <c r="Z779" i="31"/>
  <c r="C780" i="31"/>
  <c r="Z780" i="31"/>
  <c r="C781" i="31"/>
  <c r="Z781" i="31"/>
  <c r="C782" i="31"/>
  <c r="Z782" i="31"/>
  <c r="C783" i="31"/>
  <c r="Z783" i="31"/>
  <c r="C784" i="31"/>
  <c r="Z784" i="31"/>
  <c r="C785" i="31"/>
  <c r="Z785" i="31"/>
  <c r="C786" i="31"/>
  <c r="Z786" i="31"/>
  <c r="C787" i="31"/>
  <c r="Z787" i="31"/>
  <c r="C788" i="31"/>
  <c r="Z788" i="31"/>
  <c r="C789" i="31"/>
  <c r="Z789" i="31"/>
  <c r="C790" i="31"/>
  <c r="Z790" i="31"/>
  <c r="C791" i="31"/>
  <c r="Z791" i="31"/>
  <c r="C792" i="31"/>
  <c r="Z792" i="31"/>
  <c r="C793" i="31"/>
  <c r="Z793" i="31"/>
  <c r="C794" i="31"/>
  <c r="Z794" i="31"/>
  <c r="C795" i="31"/>
  <c r="Z795" i="31"/>
  <c r="C796" i="31"/>
  <c r="Z796" i="31"/>
  <c r="C797" i="31"/>
  <c r="Z797" i="31"/>
  <c r="C798" i="31"/>
  <c r="Z798" i="31"/>
  <c r="C799" i="31"/>
  <c r="Z799" i="31"/>
  <c r="C800" i="31"/>
  <c r="Z800" i="31"/>
  <c r="C801" i="31"/>
  <c r="Z801" i="31"/>
  <c r="C802" i="31"/>
  <c r="Z802" i="31"/>
  <c r="C803" i="31"/>
  <c r="Z803" i="31"/>
  <c r="C804" i="31"/>
  <c r="Z804" i="31"/>
  <c r="C805" i="31"/>
  <c r="Z805" i="31"/>
  <c r="C806" i="31"/>
  <c r="Z806" i="31"/>
  <c r="C807" i="31"/>
  <c r="Z807" i="31"/>
  <c r="C808" i="31"/>
  <c r="Z808" i="31"/>
  <c r="C809" i="31"/>
  <c r="Z809" i="31"/>
  <c r="C810" i="31"/>
  <c r="Z810" i="31"/>
  <c r="C811" i="31"/>
  <c r="Z811" i="31"/>
  <c r="C812" i="31"/>
  <c r="Z812" i="31"/>
  <c r="C813" i="31"/>
  <c r="Z813" i="31"/>
  <c r="C814" i="31"/>
  <c r="Z814" i="31"/>
  <c r="C815" i="31"/>
  <c r="Z815" i="31"/>
  <c r="C816" i="31"/>
  <c r="Z816" i="31"/>
  <c r="C817" i="31"/>
  <c r="Z817" i="31"/>
  <c r="C818" i="31"/>
  <c r="Z818" i="31"/>
  <c r="C819" i="31"/>
  <c r="Z819" i="31"/>
  <c r="C820" i="31"/>
  <c r="Z820" i="31"/>
  <c r="C821" i="31"/>
  <c r="Z821" i="31"/>
  <c r="C822" i="31"/>
  <c r="Z822" i="31"/>
  <c r="C823" i="31"/>
  <c r="Z823" i="31"/>
  <c r="C824" i="31"/>
  <c r="Z824" i="31"/>
  <c r="C825" i="31"/>
  <c r="Z825" i="31"/>
  <c r="C826" i="31"/>
  <c r="Z826" i="31"/>
  <c r="C827" i="31"/>
  <c r="Z827" i="31"/>
  <c r="C828" i="31"/>
  <c r="Z828" i="31"/>
  <c r="C829" i="31"/>
  <c r="Z829" i="31"/>
  <c r="C830" i="31"/>
  <c r="Z830" i="31"/>
  <c r="C831" i="31"/>
  <c r="Z831" i="31"/>
  <c r="C832" i="31"/>
  <c r="Z832" i="31"/>
  <c r="C833" i="31"/>
  <c r="Z833" i="31"/>
  <c r="C834" i="31"/>
  <c r="Z834" i="31"/>
  <c r="C835" i="31"/>
  <c r="Z835" i="31"/>
  <c r="C836" i="31"/>
  <c r="Z836" i="31"/>
  <c r="C837" i="31"/>
  <c r="Z837" i="31"/>
  <c r="C838" i="31"/>
  <c r="Z838" i="31"/>
  <c r="C839" i="31"/>
  <c r="Z839" i="31"/>
  <c r="C840" i="31"/>
  <c r="Z840" i="31"/>
  <c r="C841" i="31"/>
  <c r="Z841" i="31"/>
  <c r="C842" i="31"/>
  <c r="Z842" i="31"/>
  <c r="C843" i="31"/>
  <c r="Z843" i="31"/>
  <c r="C844" i="31"/>
  <c r="Z844" i="31"/>
  <c r="C845" i="31"/>
  <c r="Z845" i="31"/>
  <c r="C846" i="31"/>
  <c r="Z846" i="31"/>
  <c r="C847" i="31"/>
  <c r="Z847" i="31"/>
  <c r="C848" i="31"/>
  <c r="Z848" i="31"/>
  <c r="C849" i="31"/>
  <c r="Z849" i="31"/>
  <c r="C850" i="31"/>
  <c r="Z850" i="31"/>
  <c r="C851" i="31"/>
  <c r="Z851" i="31"/>
  <c r="C852" i="31"/>
  <c r="Z852" i="31"/>
  <c r="C853" i="31"/>
  <c r="Z853" i="31"/>
  <c r="C854" i="31"/>
  <c r="Z854" i="31"/>
  <c r="C855" i="31"/>
  <c r="Z855" i="31"/>
  <c r="C856" i="31"/>
  <c r="Z856" i="31"/>
  <c r="C857" i="31"/>
  <c r="Z857" i="31"/>
  <c r="C858" i="31"/>
  <c r="Z858" i="31"/>
  <c r="C859" i="31"/>
  <c r="Z859" i="31"/>
  <c r="C860" i="31"/>
  <c r="Z860" i="31"/>
  <c r="C861" i="31"/>
  <c r="Z861" i="31"/>
  <c r="C862" i="31"/>
  <c r="Z862" i="31"/>
  <c r="C863" i="31"/>
  <c r="Z863" i="31"/>
  <c r="C864" i="31"/>
  <c r="Z864" i="31"/>
  <c r="C865" i="31"/>
  <c r="Z865" i="31"/>
  <c r="C866" i="31"/>
  <c r="Z866" i="31"/>
  <c r="C867" i="31"/>
  <c r="Z867" i="31"/>
  <c r="C868" i="31"/>
  <c r="Z868" i="31"/>
  <c r="C869" i="31"/>
  <c r="Z869" i="31"/>
  <c r="C870" i="31"/>
  <c r="Z870" i="31"/>
  <c r="C871" i="31"/>
  <c r="Z871" i="31"/>
  <c r="C872" i="31"/>
  <c r="Z872" i="31"/>
  <c r="C873" i="31"/>
  <c r="Z873" i="31"/>
  <c r="C874" i="31"/>
  <c r="Z874" i="31"/>
  <c r="C875" i="31"/>
  <c r="Z875" i="31"/>
  <c r="C876" i="31"/>
  <c r="Z876" i="31"/>
  <c r="C877" i="31"/>
  <c r="Z877" i="31"/>
  <c r="C878" i="31"/>
  <c r="Z878" i="31"/>
  <c r="C879" i="31"/>
  <c r="Z879" i="31"/>
  <c r="C880" i="31"/>
  <c r="Z880" i="31"/>
  <c r="C881" i="31"/>
  <c r="Z881" i="31"/>
  <c r="C662" i="31"/>
  <c r="Z662" i="31"/>
  <c r="D663" i="31"/>
  <c r="D664" i="31"/>
  <c r="D665" i="31"/>
  <c r="D666" i="31"/>
  <c r="D667" i="31"/>
  <c r="D668" i="31"/>
  <c r="D669" i="31"/>
  <c r="D670" i="31"/>
  <c r="D671" i="31"/>
  <c r="D672" i="31"/>
  <c r="D673" i="31"/>
  <c r="D674" i="31"/>
  <c r="D675" i="31"/>
  <c r="D676" i="31"/>
  <c r="D677" i="31"/>
  <c r="D678" i="31"/>
  <c r="D679" i="31"/>
  <c r="D680" i="31"/>
  <c r="D681" i="31"/>
  <c r="D682" i="31"/>
  <c r="D683" i="31"/>
  <c r="D684" i="31"/>
  <c r="D685" i="31"/>
  <c r="D686" i="31"/>
  <c r="D687" i="31"/>
  <c r="D688" i="31"/>
  <c r="D689" i="31"/>
  <c r="D690" i="31"/>
  <c r="D691" i="31"/>
  <c r="D692" i="31"/>
  <c r="D693" i="31"/>
  <c r="D694" i="31"/>
  <c r="D695" i="31"/>
  <c r="D696" i="31"/>
  <c r="D697" i="31"/>
  <c r="D698" i="31"/>
  <c r="D699" i="31"/>
  <c r="D700" i="31"/>
  <c r="D701" i="31"/>
  <c r="D702" i="31"/>
  <c r="D703" i="31"/>
  <c r="D704" i="31"/>
  <c r="D705" i="31"/>
  <c r="D706" i="31"/>
  <c r="D707" i="31"/>
  <c r="D708" i="31"/>
  <c r="D709" i="31"/>
  <c r="D710" i="31"/>
  <c r="D711" i="31"/>
  <c r="D712" i="31"/>
  <c r="D713" i="31"/>
  <c r="D714" i="31"/>
  <c r="D715" i="31"/>
  <c r="D716" i="31"/>
  <c r="D717" i="31"/>
  <c r="D718" i="31"/>
  <c r="D719" i="31"/>
  <c r="D720" i="31"/>
  <c r="D721" i="31"/>
  <c r="D722" i="31"/>
  <c r="D723" i="31"/>
  <c r="D724" i="31"/>
  <c r="D725" i="31"/>
  <c r="D726" i="31"/>
  <c r="D727" i="31"/>
  <c r="D728" i="31"/>
  <c r="D729" i="31"/>
  <c r="D730" i="31"/>
  <c r="D731" i="31"/>
  <c r="D732" i="31"/>
  <c r="D733" i="31"/>
  <c r="D734" i="31"/>
  <c r="D735" i="31"/>
  <c r="D736" i="31"/>
  <c r="D737" i="31"/>
  <c r="D738" i="31"/>
  <c r="D739" i="31"/>
  <c r="D740" i="31"/>
  <c r="D741" i="31"/>
  <c r="D742" i="31"/>
  <c r="D743" i="31"/>
  <c r="D744" i="31"/>
  <c r="D745" i="31"/>
  <c r="D746" i="31"/>
  <c r="D747" i="31"/>
  <c r="D748" i="31"/>
  <c r="D749" i="31"/>
  <c r="D750" i="31"/>
  <c r="D751" i="31"/>
  <c r="D752" i="31"/>
  <c r="D753" i="31"/>
  <c r="D754" i="31"/>
  <c r="D755" i="31"/>
  <c r="D756" i="31"/>
  <c r="D757" i="31"/>
  <c r="D758" i="31"/>
  <c r="D759" i="31"/>
  <c r="D760" i="31"/>
  <c r="D761" i="31"/>
  <c r="D762" i="31"/>
  <c r="D763" i="31"/>
  <c r="D764" i="31"/>
  <c r="D765" i="31"/>
  <c r="D766" i="31"/>
  <c r="D767" i="31"/>
  <c r="D768" i="31"/>
  <c r="D769" i="31"/>
  <c r="D770" i="31"/>
  <c r="D771" i="31"/>
  <c r="D772" i="31"/>
  <c r="D773" i="31"/>
  <c r="D774" i="31"/>
  <c r="D775" i="31"/>
  <c r="D776" i="31"/>
  <c r="D777" i="31"/>
  <c r="D778" i="31"/>
  <c r="D779" i="31"/>
  <c r="D780" i="31"/>
  <c r="D781" i="31"/>
  <c r="D782" i="31"/>
  <c r="D783" i="31"/>
  <c r="D784" i="31"/>
  <c r="D785" i="31"/>
  <c r="D786" i="31"/>
  <c r="D787" i="31"/>
  <c r="D788" i="31"/>
  <c r="D789" i="31"/>
  <c r="D790" i="31"/>
  <c r="D791" i="31"/>
  <c r="D792" i="31"/>
  <c r="D793" i="31"/>
  <c r="D794" i="31"/>
  <c r="D795" i="31"/>
  <c r="D796" i="31"/>
  <c r="D797" i="31"/>
  <c r="D798" i="31"/>
  <c r="D799" i="31"/>
  <c r="D800" i="31"/>
  <c r="D801" i="31"/>
  <c r="D802" i="31"/>
  <c r="D803" i="31"/>
  <c r="D804" i="31"/>
  <c r="D805" i="31"/>
  <c r="D806" i="31"/>
  <c r="D807" i="31"/>
  <c r="D808" i="31"/>
  <c r="D809" i="31"/>
  <c r="D810" i="31"/>
  <c r="D811" i="31"/>
  <c r="D812" i="31"/>
  <c r="D813" i="31"/>
  <c r="D814" i="31"/>
  <c r="D815" i="31"/>
  <c r="D816" i="31"/>
  <c r="D817" i="31"/>
  <c r="D818" i="31"/>
  <c r="D819" i="31"/>
  <c r="D820" i="31"/>
  <c r="D821" i="31"/>
  <c r="D822" i="31"/>
  <c r="D823" i="31"/>
  <c r="D824" i="31"/>
  <c r="D825" i="31"/>
  <c r="D826" i="31"/>
  <c r="D827" i="31"/>
  <c r="D828" i="31"/>
  <c r="D829" i="31"/>
  <c r="D830" i="31"/>
  <c r="D831" i="31"/>
  <c r="D832" i="31"/>
  <c r="D833" i="31"/>
  <c r="D834" i="31"/>
  <c r="D835" i="31"/>
  <c r="D836" i="31"/>
  <c r="D837" i="31"/>
  <c r="D838" i="31"/>
  <c r="D839" i="31"/>
  <c r="D840" i="31"/>
  <c r="D841" i="31"/>
  <c r="D842" i="31"/>
  <c r="D843" i="31"/>
  <c r="D844" i="31"/>
  <c r="D845" i="31"/>
  <c r="D846" i="31"/>
  <c r="D847" i="31"/>
  <c r="D848" i="31"/>
  <c r="D849" i="31"/>
  <c r="D850" i="31"/>
  <c r="D851" i="31"/>
  <c r="D852" i="31"/>
  <c r="D853" i="31"/>
  <c r="D854" i="31"/>
  <c r="D855" i="31"/>
  <c r="D856" i="31"/>
  <c r="D857" i="31"/>
  <c r="D858" i="31"/>
  <c r="D859" i="31"/>
  <c r="D860" i="31"/>
  <c r="D861" i="31"/>
  <c r="D862" i="31"/>
  <c r="D863" i="31"/>
  <c r="D864" i="31"/>
  <c r="D865" i="31"/>
  <c r="D866" i="31"/>
  <c r="D867" i="31"/>
  <c r="D868" i="31"/>
  <c r="D869" i="31"/>
  <c r="D870" i="31"/>
  <c r="D871" i="31"/>
  <c r="D872" i="31"/>
  <c r="D873" i="31"/>
  <c r="D874" i="31"/>
  <c r="D875" i="31"/>
  <c r="D876" i="31"/>
  <c r="D877" i="31"/>
  <c r="D878" i="31"/>
  <c r="D879" i="31"/>
  <c r="D880" i="31"/>
  <c r="D881" i="31"/>
  <c r="D662" i="31"/>
  <c r="I663" i="31"/>
  <c r="I664" i="31"/>
  <c r="I665" i="31"/>
  <c r="I666" i="31"/>
  <c r="I667" i="31"/>
  <c r="I668" i="31"/>
  <c r="I669" i="31"/>
  <c r="I670" i="31"/>
  <c r="I671" i="31"/>
  <c r="I672" i="31"/>
  <c r="I673" i="31"/>
  <c r="I674" i="31"/>
  <c r="I675" i="31"/>
  <c r="I676" i="31"/>
  <c r="I677" i="31"/>
  <c r="I678" i="31"/>
  <c r="I679" i="31"/>
  <c r="I680" i="31"/>
  <c r="I681" i="31"/>
  <c r="I682" i="31"/>
  <c r="I683" i="31"/>
  <c r="I684" i="31"/>
  <c r="I685" i="31"/>
  <c r="I686" i="31"/>
  <c r="I687" i="31"/>
  <c r="I688" i="31"/>
  <c r="I689" i="31"/>
  <c r="I690" i="31"/>
  <c r="I691" i="31"/>
  <c r="I692" i="31"/>
  <c r="I693" i="31"/>
  <c r="I694" i="31"/>
  <c r="I695" i="31"/>
  <c r="I696" i="31"/>
  <c r="I697" i="31"/>
  <c r="I698" i="31"/>
  <c r="I699" i="31"/>
  <c r="I700" i="31"/>
  <c r="I701" i="31"/>
  <c r="I702" i="31"/>
  <c r="I703" i="31"/>
  <c r="I704" i="31"/>
  <c r="I705" i="31"/>
  <c r="I706" i="31"/>
  <c r="I707" i="31"/>
  <c r="I708" i="31"/>
  <c r="I709" i="31"/>
  <c r="I710" i="31"/>
  <c r="I711" i="31"/>
  <c r="I712" i="31"/>
  <c r="I713" i="31"/>
  <c r="I714" i="31"/>
  <c r="I715" i="31"/>
  <c r="I716" i="31"/>
  <c r="I717" i="31"/>
  <c r="I718" i="31"/>
  <c r="I719" i="31"/>
  <c r="I720" i="31"/>
  <c r="I721" i="31"/>
  <c r="I722" i="31"/>
  <c r="I723" i="31"/>
  <c r="I724" i="31"/>
  <c r="I725" i="31"/>
  <c r="I726" i="31"/>
  <c r="I727" i="31"/>
  <c r="I728" i="31"/>
  <c r="I729" i="31"/>
  <c r="I730" i="31"/>
  <c r="I731" i="31"/>
  <c r="I732" i="31"/>
  <c r="I733" i="31"/>
  <c r="I734" i="31"/>
  <c r="I735" i="31"/>
  <c r="I736" i="31"/>
  <c r="I737" i="31"/>
  <c r="I738" i="31"/>
  <c r="I739" i="31"/>
  <c r="I740" i="31"/>
  <c r="I741" i="31"/>
  <c r="I742" i="31"/>
  <c r="I743" i="31"/>
  <c r="I744" i="31"/>
  <c r="I745" i="31"/>
  <c r="I746" i="31"/>
  <c r="I747" i="31"/>
  <c r="I748" i="31"/>
  <c r="I749" i="31"/>
  <c r="I750" i="31"/>
  <c r="I751" i="31"/>
  <c r="I752" i="31"/>
  <c r="I753" i="31"/>
  <c r="I754" i="31"/>
  <c r="I755" i="31"/>
  <c r="I756" i="31"/>
  <c r="I757" i="31"/>
  <c r="I758" i="31"/>
  <c r="I759" i="31"/>
  <c r="I760" i="31"/>
  <c r="I761" i="31"/>
  <c r="I762" i="31"/>
  <c r="I763" i="31"/>
  <c r="I764" i="31"/>
  <c r="I765" i="31"/>
  <c r="I766" i="31"/>
  <c r="I767" i="31"/>
  <c r="I768" i="31"/>
  <c r="I769" i="31"/>
  <c r="I770" i="31"/>
  <c r="I771" i="31"/>
  <c r="I772" i="31"/>
  <c r="I773" i="31"/>
  <c r="I774" i="31"/>
  <c r="I775" i="31"/>
  <c r="I776" i="31"/>
  <c r="I777" i="31"/>
  <c r="I778" i="31"/>
  <c r="I779" i="31"/>
  <c r="I780" i="31"/>
  <c r="I781" i="31"/>
  <c r="I782" i="31"/>
  <c r="I783" i="31"/>
  <c r="I784" i="31"/>
  <c r="I785" i="31"/>
  <c r="I786" i="31"/>
  <c r="I787" i="31"/>
  <c r="I788" i="31"/>
  <c r="I789" i="31"/>
  <c r="I790" i="31"/>
  <c r="I791" i="31"/>
  <c r="I792" i="31"/>
  <c r="I793" i="31"/>
  <c r="I794" i="31"/>
  <c r="I795" i="31"/>
  <c r="I796" i="31"/>
  <c r="I797" i="31"/>
  <c r="I798" i="31"/>
  <c r="I799" i="31"/>
  <c r="I800" i="31"/>
  <c r="I801" i="31"/>
  <c r="I802" i="31"/>
  <c r="I803" i="31"/>
  <c r="I804" i="31"/>
  <c r="I805" i="31"/>
  <c r="I806" i="31"/>
  <c r="I807" i="31"/>
  <c r="I808" i="31"/>
  <c r="I809" i="31"/>
  <c r="I810" i="31"/>
  <c r="I811" i="31"/>
  <c r="I812" i="31"/>
  <c r="I813" i="31"/>
  <c r="I814" i="31"/>
  <c r="I815" i="31"/>
  <c r="I816" i="31"/>
  <c r="I817" i="31"/>
  <c r="I818" i="31"/>
  <c r="I819" i="31"/>
  <c r="I820" i="31"/>
  <c r="I821" i="31"/>
  <c r="I822" i="31"/>
  <c r="I823" i="31"/>
  <c r="I824" i="31"/>
  <c r="I825" i="31"/>
  <c r="I826" i="31"/>
  <c r="I827" i="31"/>
  <c r="I828" i="31"/>
  <c r="I829" i="31"/>
  <c r="I830" i="31"/>
  <c r="I831" i="31"/>
  <c r="I832" i="31"/>
  <c r="I833" i="31"/>
  <c r="I834" i="31"/>
  <c r="I835" i="31"/>
  <c r="I836" i="31"/>
  <c r="I837" i="31"/>
  <c r="I838" i="31"/>
  <c r="I839" i="31"/>
  <c r="I840" i="31"/>
  <c r="I841" i="31"/>
  <c r="I842" i="31"/>
  <c r="I843" i="31"/>
  <c r="I844" i="31"/>
  <c r="I845" i="31"/>
  <c r="I846" i="31"/>
  <c r="I847" i="31"/>
  <c r="I848" i="31"/>
  <c r="I849" i="31"/>
  <c r="I850" i="31"/>
  <c r="I851" i="31"/>
  <c r="I852" i="31"/>
  <c r="I853" i="31"/>
  <c r="I854" i="31"/>
  <c r="I855" i="31"/>
  <c r="I856" i="31"/>
  <c r="I857" i="31"/>
  <c r="I858" i="31"/>
  <c r="I859" i="31"/>
  <c r="I860" i="31"/>
  <c r="I861" i="31"/>
  <c r="I862" i="31"/>
  <c r="I863" i="31"/>
  <c r="I864" i="31"/>
  <c r="I865" i="31"/>
  <c r="I866" i="31"/>
  <c r="I867" i="31"/>
  <c r="I868" i="31"/>
  <c r="I869" i="31"/>
  <c r="I870" i="31"/>
  <c r="I871" i="31"/>
  <c r="I872" i="31"/>
  <c r="I873" i="31"/>
  <c r="I874" i="31"/>
  <c r="I875" i="31"/>
  <c r="I876" i="31"/>
  <c r="I877" i="31"/>
  <c r="I878" i="31"/>
  <c r="I879" i="31"/>
  <c r="I880" i="31"/>
  <c r="I881" i="31"/>
  <c r="I662" i="31"/>
  <c r="I443" i="31"/>
  <c r="I444" i="31"/>
  <c r="I445" i="31"/>
  <c r="I446" i="31"/>
  <c r="I447" i="31"/>
  <c r="I448" i="31"/>
  <c r="I449" i="31"/>
  <c r="I450" i="31"/>
  <c r="I451" i="31"/>
  <c r="I452" i="31"/>
  <c r="I453" i="31"/>
  <c r="I454" i="31"/>
  <c r="I455" i="31"/>
  <c r="I456" i="31"/>
  <c r="I457" i="31"/>
  <c r="I458" i="31"/>
  <c r="I459" i="31"/>
  <c r="I460" i="31"/>
  <c r="I461" i="31"/>
  <c r="I462" i="31"/>
  <c r="I463" i="31"/>
  <c r="I464" i="31"/>
  <c r="I465" i="31"/>
  <c r="I466" i="31"/>
  <c r="I467" i="31"/>
  <c r="I468" i="31"/>
  <c r="I469" i="31"/>
  <c r="I470" i="31"/>
  <c r="I471" i="31"/>
  <c r="I472" i="31"/>
  <c r="I473" i="31"/>
  <c r="I474" i="31"/>
  <c r="I475" i="31"/>
  <c r="I476" i="31"/>
  <c r="I477" i="31"/>
  <c r="I478" i="31"/>
  <c r="I479" i="31"/>
  <c r="I480" i="31"/>
  <c r="I481" i="31"/>
  <c r="I482" i="31"/>
  <c r="I483" i="31"/>
  <c r="I484" i="31"/>
  <c r="I485" i="31"/>
  <c r="I486" i="31"/>
  <c r="I487" i="31"/>
  <c r="I488" i="31"/>
  <c r="I489" i="31"/>
  <c r="I490" i="31"/>
  <c r="I491" i="31"/>
  <c r="I492" i="31"/>
  <c r="I493" i="31"/>
  <c r="I494" i="31"/>
  <c r="I495" i="31"/>
  <c r="I496" i="31"/>
  <c r="I497" i="31"/>
  <c r="I498" i="31"/>
  <c r="I499" i="31"/>
  <c r="I500" i="31"/>
  <c r="I501" i="31"/>
  <c r="I502" i="31"/>
  <c r="I503" i="31"/>
  <c r="I504" i="31"/>
  <c r="I505" i="31"/>
  <c r="I506" i="31"/>
  <c r="I507" i="31"/>
  <c r="I508" i="31"/>
  <c r="I509" i="31"/>
  <c r="I510" i="31"/>
  <c r="I511" i="31"/>
  <c r="I512" i="31"/>
  <c r="I513" i="31"/>
  <c r="I514" i="31"/>
  <c r="I515" i="31"/>
  <c r="I516" i="31"/>
  <c r="I517" i="31"/>
  <c r="I518" i="31"/>
  <c r="I519" i="31"/>
  <c r="I520" i="31"/>
  <c r="I521" i="31"/>
  <c r="I522" i="31"/>
  <c r="I523" i="31"/>
  <c r="I524" i="31"/>
  <c r="I525" i="31"/>
  <c r="I526" i="31"/>
  <c r="I527" i="31"/>
  <c r="I528" i="31"/>
  <c r="I529" i="31"/>
  <c r="I530" i="31"/>
  <c r="I531" i="31"/>
  <c r="I532" i="31"/>
  <c r="I533" i="31"/>
  <c r="I534" i="31"/>
  <c r="I535" i="31"/>
  <c r="I536" i="31"/>
  <c r="I537" i="31"/>
  <c r="I538" i="31"/>
  <c r="I539" i="31"/>
  <c r="I540" i="31"/>
  <c r="I541" i="31"/>
  <c r="I542" i="31"/>
  <c r="I543" i="31"/>
  <c r="I544" i="31"/>
  <c r="I545" i="31"/>
  <c r="I546" i="31"/>
  <c r="I547" i="31"/>
  <c r="I548" i="31"/>
  <c r="I549" i="31"/>
  <c r="I550" i="31"/>
  <c r="I551" i="31"/>
  <c r="I552" i="31"/>
  <c r="I553" i="31"/>
  <c r="I554" i="31"/>
  <c r="I555" i="31"/>
  <c r="I556" i="31"/>
  <c r="I557" i="31"/>
  <c r="I558" i="31"/>
  <c r="I559" i="31"/>
  <c r="I560" i="31"/>
  <c r="I561" i="31"/>
  <c r="I562" i="31"/>
  <c r="I563" i="31"/>
  <c r="I564" i="31"/>
  <c r="I565" i="31"/>
  <c r="I566" i="31"/>
  <c r="I567" i="31"/>
  <c r="I568" i="31"/>
  <c r="I569" i="31"/>
  <c r="I570" i="31"/>
  <c r="I571" i="31"/>
  <c r="I572" i="31"/>
  <c r="I573" i="31"/>
  <c r="I574" i="31"/>
  <c r="I575" i="31"/>
  <c r="I576" i="31"/>
  <c r="I577" i="31"/>
  <c r="I578" i="31"/>
  <c r="I579" i="31"/>
  <c r="I580" i="31"/>
  <c r="I581" i="31"/>
  <c r="I582" i="31"/>
  <c r="I583" i="31"/>
  <c r="I584" i="31"/>
  <c r="I585" i="31"/>
  <c r="I586" i="31"/>
  <c r="I587" i="31"/>
  <c r="I588" i="31"/>
  <c r="I589" i="31"/>
  <c r="I590" i="31"/>
  <c r="I591" i="31"/>
  <c r="I592" i="31"/>
  <c r="I593" i="31"/>
  <c r="I594" i="31"/>
  <c r="I595" i="31"/>
  <c r="I596" i="31"/>
  <c r="I597" i="31"/>
  <c r="I598" i="31"/>
  <c r="I599" i="31"/>
  <c r="I600" i="31"/>
  <c r="I601" i="31"/>
  <c r="I602" i="31"/>
  <c r="I603" i="31"/>
  <c r="I604" i="31"/>
  <c r="I605" i="31"/>
  <c r="I606" i="31"/>
  <c r="I607" i="31"/>
  <c r="I608" i="31"/>
  <c r="I609" i="31"/>
  <c r="I610" i="31"/>
  <c r="I611" i="31"/>
  <c r="I612" i="31"/>
  <c r="I613" i="31"/>
  <c r="I614" i="31"/>
  <c r="I615" i="31"/>
  <c r="I616" i="31"/>
  <c r="I617" i="31"/>
  <c r="I618" i="31"/>
  <c r="I619" i="31"/>
  <c r="I620" i="31"/>
  <c r="I621" i="31"/>
  <c r="I622" i="31"/>
  <c r="I623" i="31"/>
  <c r="I624" i="31"/>
  <c r="I625" i="31"/>
  <c r="I626" i="31"/>
  <c r="I627" i="31"/>
  <c r="I628" i="31"/>
  <c r="I629" i="31"/>
  <c r="I630" i="31"/>
  <c r="I631" i="31"/>
  <c r="I632" i="31"/>
  <c r="I633" i="31"/>
  <c r="I634" i="31"/>
  <c r="I635" i="31"/>
  <c r="I636" i="31"/>
  <c r="I637" i="31"/>
  <c r="I638" i="31"/>
  <c r="I639" i="31"/>
  <c r="I640" i="31"/>
  <c r="I641" i="31"/>
  <c r="I642" i="31"/>
  <c r="I643" i="31"/>
  <c r="I644" i="31"/>
  <c r="I645" i="31"/>
  <c r="I646" i="31"/>
  <c r="I647" i="31"/>
  <c r="I648" i="31"/>
  <c r="I649" i="31"/>
  <c r="I650" i="31"/>
  <c r="I651" i="31"/>
  <c r="I652" i="31"/>
  <c r="I653" i="31"/>
  <c r="I654" i="31"/>
  <c r="I655" i="31"/>
  <c r="I656" i="31"/>
  <c r="I657" i="31"/>
  <c r="I658" i="31"/>
  <c r="I659" i="31"/>
  <c r="I660" i="31"/>
  <c r="I661" i="31"/>
  <c r="D443" i="31"/>
  <c r="D444" i="31"/>
  <c r="D445" i="31"/>
  <c r="D446" i="31"/>
  <c r="D447" i="31"/>
  <c r="D448" i="31"/>
  <c r="D449" i="31"/>
  <c r="D450" i="31"/>
  <c r="D451" i="31"/>
  <c r="D452" i="31"/>
  <c r="D453" i="31"/>
  <c r="D454" i="31"/>
  <c r="D455" i="31"/>
  <c r="D456" i="31"/>
  <c r="D457" i="31"/>
  <c r="D458" i="31"/>
  <c r="D459" i="31"/>
  <c r="D460" i="31"/>
  <c r="D461" i="31"/>
  <c r="D462" i="31"/>
  <c r="D463" i="31"/>
  <c r="D464" i="31"/>
  <c r="D465" i="31"/>
  <c r="D466" i="31"/>
  <c r="D467" i="31"/>
  <c r="D468" i="31"/>
  <c r="D469" i="31"/>
  <c r="D470" i="31"/>
  <c r="D471" i="31"/>
  <c r="D472" i="31"/>
  <c r="D473" i="31"/>
  <c r="D474" i="31"/>
  <c r="D475" i="31"/>
  <c r="D476" i="31"/>
  <c r="D477" i="31"/>
  <c r="D478" i="31"/>
  <c r="D479" i="31"/>
  <c r="D480" i="31"/>
  <c r="D481" i="31"/>
  <c r="D482" i="31"/>
  <c r="D483" i="31"/>
  <c r="D484" i="31"/>
  <c r="D485" i="31"/>
  <c r="D486" i="31"/>
  <c r="D487" i="31"/>
  <c r="D488" i="31"/>
  <c r="D489" i="31"/>
  <c r="D490" i="31"/>
  <c r="D491" i="31"/>
  <c r="D492" i="31"/>
  <c r="D493" i="31"/>
  <c r="D494" i="31"/>
  <c r="D495" i="31"/>
  <c r="D496" i="31"/>
  <c r="D497" i="31"/>
  <c r="D498" i="31"/>
  <c r="D499" i="31"/>
  <c r="D500" i="31"/>
  <c r="D501" i="31"/>
  <c r="D502" i="31"/>
  <c r="D503" i="31"/>
  <c r="D504" i="31"/>
  <c r="D505" i="31"/>
  <c r="D506" i="31"/>
  <c r="D507" i="31"/>
  <c r="D508" i="31"/>
  <c r="D509" i="31"/>
  <c r="D510" i="31"/>
  <c r="D511" i="31"/>
  <c r="D512" i="31"/>
  <c r="D513" i="31"/>
  <c r="D514" i="31"/>
  <c r="D515" i="31"/>
  <c r="D516" i="31"/>
  <c r="D517" i="31"/>
  <c r="D518" i="31"/>
  <c r="D519" i="31"/>
  <c r="D520" i="31"/>
  <c r="D521" i="31"/>
  <c r="D522" i="31"/>
  <c r="D523" i="31"/>
  <c r="D524" i="31"/>
  <c r="D525" i="31"/>
  <c r="D526" i="31"/>
  <c r="D527" i="31"/>
  <c r="D528" i="31"/>
  <c r="D529" i="31"/>
  <c r="D530" i="31"/>
  <c r="D531" i="31"/>
  <c r="D532" i="31"/>
  <c r="D533" i="31"/>
  <c r="D534" i="31"/>
  <c r="D535" i="31"/>
  <c r="D536" i="31"/>
  <c r="D537" i="31"/>
  <c r="D538" i="31"/>
  <c r="D539" i="31"/>
  <c r="D540" i="31"/>
  <c r="D541" i="31"/>
  <c r="D542" i="31"/>
  <c r="D543" i="31"/>
  <c r="D544" i="31"/>
  <c r="D545" i="31"/>
  <c r="D546" i="31"/>
  <c r="D547" i="31"/>
  <c r="D548" i="31"/>
  <c r="D549" i="31"/>
  <c r="D550" i="31"/>
  <c r="D551" i="31"/>
  <c r="D552" i="31"/>
  <c r="D553" i="31"/>
  <c r="D554" i="31"/>
  <c r="D555" i="31"/>
  <c r="D556" i="31"/>
  <c r="D557" i="31"/>
  <c r="D558" i="31"/>
  <c r="D559" i="31"/>
  <c r="D560" i="31"/>
  <c r="D561" i="31"/>
  <c r="D562" i="31"/>
  <c r="D563" i="31"/>
  <c r="D564" i="31"/>
  <c r="D565" i="31"/>
  <c r="D566" i="31"/>
  <c r="D567" i="31"/>
  <c r="D568" i="31"/>
  <c r="D569" i="31"/>
  <c r="D570" i="31"/>
  <c r="D571" i="31"/>
  <c r="D572" i="31"/>
  <c r="D573" i="31"/>
  <c r="D574" i="31"/>
  <c r="D575" i="31"/>
  <c r="D576" i="31"/>
  <c r="D577" i="31"/>
  <c r="D578" i="31"/>
  <c r="D579" i="31"/>
  <c r="D580" i="31"/>
  <c r="D581" i="31"/>
  <c r="D582" i="31"/>
  <c r="D583" i="31"/>
  <c r="D584" i="31"/>
  <c r="D585" i="31"/>
  <c r="D586" i="31"/>
  <c r="D587" i="31"/>
  <c r="D588" i="31"/>
  <c r="D589" i="31"/>
  <c r="D590" i="31"/>
  <c r="D591" i="31"/>
  <c r="D592" i="31"/>
  <c r="D593" i="31"/>
  <c r="D594" i="31"/>
  <c r="D595" i="31"/>
  <c r="D596" i="31"/>
  <c r="D597" i="31"/>
  <c r="D598" i="31"/>
  <c r="D599" i="31"/>
  <c r="D600" i="31"/>
  <c r="D601" i="31"/>
  <c r="D602" i="31"/>
  <c r="D603" i="31"/>
  <c r="D604" i="31"/>
  <c r="D605" i="31"/>
  <c r="D606" i="31"/>
  <c r="D607" i="31"/>
  <c r="D608" i="31"/>
  <c r="D609" i="31"/>
  <c r="D610" i="31"/>
  <c r="D611" i="31"/>
  <c r="D612" i="31"/>
  <c r="D613" i="31"/>
  <c r="D614" i="31"/>
  <c r="D615" i="31"/>
  <c r="D616" i="31"/>
  <c r="D617" i="31"/>
  <c r="D618" i="31"/>
  <c r="D619" i="31"/>
  <c r="D620" i="31"/>
  <c r="D621" i="31"/>
  <c r="D622" i="31"/>
  <c r="D623" i="31"/>
  <c r="D624" i="31"/>
  <c r="D625" i="31"/>
  <c r="D626" i="31"/>
  <c r="D627" i="31"/>
  <c r="D628" i="31"/>
  <c r="D629" i="31"/>
  <c r="D630" i="31"/>
  <c r="D631" i="31"/>
  <c r="D632" i="31"/>
  <c r="D633" i="31"/>
  <c r="D634" i="31"/>
  <c r="D635" i="31"/>
  <c r="D636" i="31"/>
  <c r="D637" i="31"/>
  <c r="D638" i="31"/>
  <c r="D639" i="31"/>
  <c r="D640" i="31"/>
  <c r="D641" i="31"/>
  <c r="D642" i="31"/>
  <c r="D643" i="31"/>
  <c r="D644" i="31"/>
  <c r="D645" i="31"/>
  <c r="D646" i="31"/>
  <c r="D647" i="31"/>
  <c r="D648" i="31"/>
  <c r="D649" i="31"/>
  <c r="D650" i="31"/>
  <c r="D651" i="31"/>
  <c r="D652" i="31"/>
  <c r="D653" i="31"/>
  <c r="D654" i="31"/>
  <c r="D655" i="31"/>
  <c r="D656" i="31"/>
  <c r="D657" i="31"/>
  <c r="D658" i="31"/>
  <c r="D659" i="31"/>
  <c r="D660" i="31"/>
  <c r="D661" i="31"/>
  <c r="Z443" i="31"/>
  <c r="Z444" i="31"/>
  <c r="Z445" i="31"/>
  <c r="Z446" i="31"/>
  <c r="Z447" i="31"/>
  <c r="Z448" i="31"/>
  <c r="Z449" i="31"/>
  <c r="Z450" i="31"/>
  <c r="Z451" i="31"/>
  <c r="Z452" i="31"/>
  <c r="Z453" i="31"/>
  <c r="Z454" i="31"/>
  <c r="Z455" i="31"/>
  <c r="Z456" i="31"/>
  <c r="Z457" i="31"/>
  <c r="Z458" i="31"/>
  <c r="Z459" i="31"/>
  <c r="Z460" i="31"/>
  <c r="Z461" i="31"/>
  <c r="Z462" i="31"/>
  <c r="Z463" i="31"/>
  <c r="Z464" i="31"/>
  <c r="Z465" i="31"/>
  <c r="Z466" i="31"/>
  <c r="Z467" i="31"/>
  <c r="Z468" i="31"/>
  <c r="Z469" i="31"/>
  <c r="Z470" i="31"/>
  <c r="Z471" i="31"/>
  <c r="Z472" i="31"/>
  <c r="Z473" i="31"/>
  <c r="Z474" i="31"/>
  <c r="Z475" i="31"/>
  <c r="Z476" i="31"/>
  <c r="Z477" i="31"/>
  <c r="Z478" i="31"/>
  <c r="Z479" i="31"/>
  <c r="Z480" i="31"/>
  <c r="Z481" i="31"/>
  <c r="Z482" i="31"/>
  <c r="Z483" i="31"/>
  <c r="Z484" i="31"/>
  <c r="Z485" i="31"/>
  <c r="Z486" i="31"/>
  <c r="Z487" i="31"/>
  <c r="Z488" i="31"/>
  <c r="Z489" i="31"/>
  <c r="Z490" i="31"/>
  <c r="Z491" i="31"/>
  <c r="Z492" i="31"/>
  <c r="Z493" i="31"/>
  <c r="Z494" i="31"/>
  <c r="Z495" i="31"/>
  <c r="Z496" i="31"/>
  <c r="Z497" i="31"/>
  <c r="Z498" i="31"/>
  <c r="Z499" i="31"/>
  <c r="Z500" i="31"/>
  <c r="Z501" i="31"/>
  <c r="Z502" i="31"/>
  <c r="Z503" i="31"/>
  <c r="Z504" i="31"/>
  <c r="Z505" i="31"/>
  <c r="Z506" i="31"/>
  <c r="Z507" i="31"/>
  <c r="Z508" i="31"/>
  <c r="Z509" i="31"/>
  <c r="Z510" i="31"/>
  <c r="Z511" i="31"/>
  <c r="Z512" i="31"/>
  <c r="Z513" i="31"/>
  <c r="Z514" i="31"/>
  <c r="Z515" i="31"/>
  <c r="Z516" i="31"/>
  <c r="Z517" i="31"/>
  <c r="Z518" i="31"/>
  <c r="Z519" i="31"/>
  <c r="Z520" i="31"/>
  <c r="Z521" i="31"/>
  <c r="Z522" i="31"/>
  <c r="Z523" i="31"/>
  <c r="Z524" i="31"/>
  <c r="Z525" i="31"/>
  <c r="Z526" i="31"/>
  <c r="Z527" i="31"/>
  <c r="Z528" i="31"/>
  <c r="Z529" i="31"/>
  <c r="Z530" i="31"/>
  <c r="Z531" i="31"/>
  <c r="Z532" i="31"/>
  <c r="Z533" i="31"/>
  <c r="Z534" i="31"/>
  <c r="Z535" i="31"/>
  <c r="Z536" i="31"/>
  <c r="Z537" i="31"/>
  <c r="Z538" i="31"/>
  <c r="Z539" i="31"/>
  <c r="Z540" i="31"/>
  <c r="Z541" i="31"/>
  <c r="Z542" i="31"/>
  <c r="Z543" i="31"/>
  <c r="Z544" i="31"/>
  <c r="Z545" i="31"/>
  <c r="Z546" i="31"/>
  <c r="Z547" i="31"/>
  <c r="Z548" i="31"/>
  <c r="Z549" i="31"/>
  <c r="Z550" i="31"/>
  <c r="Z551" i="31"/>
  <c r="Z552" i="31"/>
  <c r="Z553" i="31"/>
  <c r="Z554" i="31"/>
  <c r="Z555" i="31"/>
  <c r="Z556" i="31"/>
  <c r="Z557" i="31"/>
  <c r="Z558" i="31"/>
  <c r="Z559" i="31"/>
  <c r="Z560" i="31"/>
  <c r="Z561" i="31"/>
  <c r="Z562" i="31"/>
  <c r="Z563" i="31"/>
  <c r="Z564" i="31"/>
  <c r="Z565" i="31"/>
  <c r="Z566" i="31"/>
  <c r="Z567" i="31"/>
  <c r="Z568" i="31"/>
  <c r="Z569" i="31"/>
  <c r="Z570" i="31"/>
  <c r="Z571" i="31"/>
  <c r="Z572" i="31"/>
  <c r="Z573" i="31"/>
  <c r="Z574" i="31"/>
  <c r="Z575" i="31"/>
  <c r="Z576" i="31"/>
  <c r="Z577" i="31"/>
  <c r="Z578" i="31"/>
  <c r="Z579" i="31"/>
  <c r="Z580" i="31"/>
  <c r="Z581" i="31"/>
  <c r="Z582" i="31"/>
  <c r="Z583" i="31"/>
  <c r="Z584" i="31"/>
  <c r="Z585" i="31"/>
  <c r="Z586" i="31"/>
  <c r="Z587" i="31"/>
  <c r="Z588" i="31"/>
  <c r="Z589" i="31"/>
  <c r="Z590" i="31"/>
  <c r="Z591" i="31"/>
  <c r="Z592" i="31"/>
  <c r="Z593" i="31"/>
  <c r="Z594" i="31"/>
  <c r="Z595" i="31"/>
  <c r="Z596" i="31"/>
  <c r="Z597" i="31"/>
  <c r="Z598" i="31"/>
  <c r="Z599" i="31"/>
  <c r="Z600" i="31"/>
  <c r="Z601" i="31"/>
  <c r="Z602" i="31"/>
  <c r="Z603" i="31"/>
  <c r="Z604" i="31"/>
  <c r="Z605" i="31"/>
  <c r="Z606" i="31"/>
  <c r="Z607" i="31"/>
  <c r="Z608" i="31"/>
  <c r="Z609" i="31"/>
  <c r="Z610" i="31"/>
  <c r="Z611" i="31"/>
  <c r="Z612" i="31"/>
  <c r="Z613" i="31"/>
  <c r="Z614" i="31"/>
  <c r="Z615" i="31"/>
  <c r="Z616" i="31"/>
  <c r="Z617" i="31"/>
  <c r="Z618" i="31"/>
  <c r="Z619" i="31"/>
  <c r="Z620" i="31"/>
  <c r="Z621" i="31"/>
  <c r="Z622" i="31"/>
  <c r="Z623" i="31"/>
  <c r="Z624" i="31"/>
  <c r="Z625" i="31"/>
  <c r="Z626" i="31"/>
  <c r="Z627" i="31"/>
  <c r="Z628" i="31"/>
  <c r="Z629" i="31"/>
  <c r="Z630" i="31"/>
  <c r="Z631" i="31"/>
  <c r="Z632" i="31"/>
  <c r="Z633" i="31"/>
  <c r="Z634" i="31"/>
  <c r="Z635" i="31"/>
  <c r="Z636" i="31"/>
  <c r="Z637" i="31"/>
  <c r="Z638" i="31"/>
  <c r="Z639" i="31"/>
  <c r="Z640" i="31"/>
  <c r="Z641" i="31"/>
  <c r="Z642" i="31"/>
  <c r="Z643" i="31"/>
  <c r="Z644" i="31"/>
  <c r="Z645" i="31"/>
  <c r="Z646" i="31"/>
  <c r="Z647" i="31"/>
  <c r="Z648" i="31"/>
  <c r="Z649" i="31"/>
  <c r="Z650" i="31"/>
  <c r="Z651" i="31"/>
  <c r="Z652" i="31"/>
  <c r="Z653" i="31"/>
  <c r="Z654" i="31"/>
  <c r="Z655" i="31"/>
  <c r="Z656" i="31"/>
  <c r="Z657" i="31"/>
  <c r="Z658" i="31"/>
  <c r="Z659" i="31"/>
  <c r="Z660" i="31"/>
  <c r="Z661" i="31"/>
  <c r="I442" i="31"/>
  <c r="D442" i="31"/>
  <c r="C223" i="31"/>
  <c r="Z223" i="31"/>
  <c r="C224" i="31"/>
  <c r="Z224" i="31"/>
  <c r="C225" i="31"/>
  <c r="Z225" i="31"/>
  <c r="C226" i="31"/>
  <c r="Z226" i="31"/>
  <c r="C227" i="31"/>
  <c r="Z227" i="31"/>
  <c r="C228" i="31"/>
  <c r="Z228" i="31"/>
  <c r="C229" i="31"/>
  <c r="Z229" i="31"/>
  <c r="C230" i="31"/>
  <c r="Z230" i="31"/>
  <c r="C231" i="31"/>
  <c r="Z231" i="31"/>
  <c r="C232" i="31"/>
  <c r="Z232" i="31"/>
  <c r="C233" i="31"/>
  <c r="Z233" i="31"/>
  <c r="C234" i="31"/>
  <c r="Z234" i="31"/>
  <c r="C235" i="31"/>
  <c r="Z235" i="31"/>
  <c r="C236" i="31"/>
  <c r="Z236" i="31"/>
  <c r="C237" i="31"/>
  <c r="Z237" i="31"/>
  <c r="C238" i="31"/>
  <c r="Z238" i="31"/>
  <c r="C239" i="31"/>
  <c r="Z239" i="31"/>
  <c r="C240" i="31"/>
  <c r="Z240" i="31"/>
  <c r="C241" i="31"/>
  <c r="Z241" i="31"/>
  <c r="C242" i="31"/>
  <c r="Z242" i="31"/>
  <c r="C243" i="31"/>
  <c r="Z243" i="31"/>
  <c r="C244" i="31"/>
  <c r="Z244" i="31"/>
  <c r="C245" i="31"/>
  <c r="Z245" i="31"/>
  <c r="C246" i="31"/>
  <c r="Z246" i="31"/>
  <c r="C247" i="31"/>
  <c r="Z247" i="31"/>
  <c r="C248" i="31"/>
  <c r="Z248" i="31"/>
  <c r="C249" i="31"/>
  <c r="Z249" i="31"/>
  <c r="C250" i="31"/>
  <c r="Z250" i="31"/>
  <c r="C251" i="31"/>
  <c r="Z251" i="31"/>
  <c r="C252" i="31"/>
  <c r="Z252" i="31"/>
  <c r="C253" i="31"/>
  <c r="Z253" i="31"/>
  <c r="C254" i="31"/>
  <c r="Z254" i="31"/>
  <c r="C255" i="31"/>
  <c r="Z255" i="31"/>
  <c r="C256" i="31"/>
  <c r="Z256" i="31"/>
  <c r="C257" i="31"/>
  <c r="Z257" i="31"/>
  <c r="C258" i="31"/>
  <c r="Z258" i="31"/>
  <c r="C259" i="31"/>
  <c r="Z259" i="31"/>
  <c r="C260" i="31"/>
  <c r="Z260" i="31"/>
  <c r="C261" i="31"/>
  <c r="Z261" i="31"/>
  <c r="C262" i="31"/>
  <c r="Z262" i="31"/>
  <c r="C263" i="31"/>
  <c r="Z263" i="31"/>
  <c r="C264" i="31"/>
  <c r="Z264" i="31"/>
  <c r="C265" i="31"/>
  <c r="Z265" i="31"/>
  <c r="C266" i="31"/>
  <c r="Z266" i="31"/>
  <c r="C267" i="31"/>
  <c r="Z267" i="31"/>
  <c r="C268" i="31"/>
  <c r="Z268" i="31"/>
  <c r="C269" i="31"/>
  <c r="Z269" i="31"/>
  <c r="C270" i="31"/>
  <c r="Z270" i="31"/>
  <c r="C271" i="31"/>
  <c r="Z271" i="31"/>
  <c r="C272" i="31"/>
  <c r="Z272" i="31"/>
  <c r="C273" i="31"/>
  <c r="Z273" i="31"/>
  <c r="C274" i="31"/>
  <c r="Z274" i="31"/>
  <c r="C275" i="31"/>
  <c r="Z275" i="31"/>
  <c r="C276" i="31"/>
  <c r="Z276" i="31"/>
  <c r="C277" i="31"/>
  <c r="Z277" i="31"/>
  <c r="C278" i="31"/>
  <c r="Z278" i="31"/>
  <c r="C279" i="31"/>
  <c r="Z279" i="31"/>
  <c r="C280" i="31"/>
  <c r="Z280" i="31"/>
  <c r="C281" i="31"/>
  <c r="Z281" i="31"/>
  <c r="C282" i="31"/>
  <c r="Z282" i="31"/>
  <c r="C283" i="31"/>
  <c r="Z283" i="31"/>
  <c r="C284" i="31"/>
  <c r="Z284" i="31"/>
  <c r="C285" i="31"/>
  <c r="Z285" i="31"/>
  <c r="C286" i="31"/>
  <c r="Z286" i="31"/>
  <c r="C287" i="31"/>
  <c r="Z287" i="31"/>
  <c r="C288" i="31"/>
  <c r="Z288" i="31"/>
  <c r="C289" i="31"/>
  <c r="Z289" i="31"/>
  <c r="C290" i="31"/>
  <c r="Z290" i="31"/>
  <c r="C291" i="31"/>
  <c r="Z291" i="31"/>
  <c r="C292" i="31"/>
  <c r="Z292" i="31"/>
  <c r="C293" i="31"/>
  <c r="Z293" i="31"/>
  <c r="C294" i="31"/>
  <c r="Z294" i="31"/>
  <c r="C295" i="31"/>
  <c r="Z295" i="31"/>
  <c r="C296" i="31"/>
  <c r="Z296" i="31"/>
  <c r="C297" i="31"/>
  <c r="Z297" i="31"/>
  <c r="C298" i="31"/>
  <c r="Z298" i="31"/>
  <c r="C299" i="31"/>
  <c r="Z299" i="31"/>
  <c r="C300" i="31"/>
  <c r="Z300" i="31"/>
  <c r="C301" i="31"/>
  <c r="Z301" i="31"/>
  <c r="C302" i="31"/>
  <c r="Z302" i="31"/>
  <c r="C303" i="31"/>
  <c r="Z303" i="31"/>
  <c r="C304" i="31"/>
  <c r="Z304" i="31"/>
  <c r="C305" i="31"/>
  <c r="Z305" i="31"/>
  <c r="C306" i="31"/>
  <c r="Z306" i="31"/>
  <c r="C307" i="31"/>
  <c r="Z307" i="31"/>
  <c r="C308" i="31"/>
  <c r="Z308" i="31"/>
  <c r="C309" i="31"/>
  <c r="Z309" i="31"/>
  <c r="C310" i="31"/>
  <c r="Z310" i="31"/>
  <c r="C311" i="31"/>
  <c r="Z311" i="31"/>
  <c r="C312" i="31"/>
  <c r="Z312" i="31"/>
  <c r="C313" i="31"/>
  <c r="Z313" i="31"/>
  <c r="C314" i="31"/>
  <c r="Z314" i="31"/>
  <c r="C315" i="31"/>
  <c r="Z315" i="31"/>
  <c r="C316" i="31"/>
  <c r="Z316" i="31"/>
  <c r="C317" i="31"/>
  <c r="Z317" i="31"/>
  <c r="C318" i="31"/>
  <c r="Z318" i="31"/>
  <c r="C319" i="31"/>
  <c r="Z319" i="31"/>
  <c r="C320" i="31"/>
  <c r="Z320" i="31"/>
  <c r="C321" i="31"/>
  <c r="Z321" i="31"/>
  <c r="C322" i="31"/>
  <c r="Z322" i="31"/>
  <c r="C323" i="31"/>
  <c r="Z323" i="31"/>
  <c r="C324" i="31"/>
  <c r="Z324" i="31"/>
  <c r="C325" i="31"/>
  <c r="Z325" i="31"/>
  <c r="C326" i="31"/>
  <c r="Z326" i="31"/>
  <c r="C327" i="31"/>
  <c r="Z327" i="31"/>
  <c r="C328" i="31"/>
  <c r="Z328" i="31"/>
  <c r="C329" i="31"/>
  <c r="Z329" i="31"/>
  <c r="C330" i="31"/>
  <c r="Z330" i="31"/>
  <c r="C331" i="31"/>
  <c r="Z331" i="31"/>
  <c r="C332" i="31"/>
  <c r="Z332" i="31"/>
  <c r="C333" i="31"/>
  <c r="Z333" i="31"/>
  <c r="C334" i="31"/>
  <c r="Z334" i="31"/>
  <c r="C335" i="31"/>
  <c r="Z335" i="31"/>
  <c r="C336" i="31"/>
  <c r="Z336" i="31"/>
  <c r="C337" i="31"/>
  <c r="Z337" i="31"/>
  <c r="C338" i="31"/>
  <c r="Z338" i="31"/>
  <c r="C339" i="31"/>
  <c r="Z339" i="31"/>
  <c r="C340" i="31"/>
  <c r="Z340" i="31"/>
  <c r="C341" i="31"/>
  <c r="Z341" i="31"/>
  <c r="C342" i="31"/>
  <c r="Z342" i="31"/>
  <c r="C343" i="31"/>
  <c r="Z343" i="31"/>
  <c r="C344" i="31"/>
  <c r="Z344" i="31"/>
  <c r="C345" i="31"/>
  <c r="Z345" i="31"/>
  <c r="C346" i="31"/>
  <c r="Z346" i="31"/>
  <c r="C347" i="31"/>
  <c r="Z347" i="31"/>
  <c r="C348" i="31"/>
  <c r="Z348" i="31"/>
  <c r="C349" i="31"/>
  <c r="Z349" i="31"/>
  <c r="C350" i="31"/>
  <c r="Z350" i="31"/>
  <c r="C351" i="31"/>
  <c r="Z351" i="31"/>
  <c r="C352" i="31"/>
  <c r="Z352" i="31"/>
  <c r="C353" i="31"/>
  <c r="Z353" i="31"/>
  <c r="C354" i="31"/>
  <c r="Z354" i="31"/>
  <c r="C355" i="31"/>
  <c r="Z355" i="31"/>
  <c r="C356" i="31"/>
  <c r="Z356" i="31"/>
  <c r="C357" i="31"/>
  <c r="Z357" i="31"/>
  <c r="C358" i="31"/>
  <c r="Z358" i="31"/>
  <c r="C359" i="31"/>
  <c r="Z359" i="31"/>
  <c r="C360" i="31"/>
  <c r="Z360" i="31"/>
  <c r="C361" i="31"/>
  <c r="Z361" i="31"/>
  <c r="C362" i="31"/>
  <c r="Z362" i="31"/>
  <c r="C363" i="31"/>
  <c r="Z363" i="31"/>
  <c r="C364" i="31"/>
  <c r="Z364" i="31"/>
  <c r="C365" i="31"/>
  <c r="Z365" i="31"/>
  <c r="C366" i="31"/>
  <c r="Z366" i="31"/>
  <c r="C367" i="31"/>
  <c r="Z367" i="31"/>
  <c r="C368" i="31"/>
  <c r="Z368" i="31"/>
  <c r="C369" i="31"/>
  <c r="Z369" i="31"/>
  <c r="C370" i="31"/>
  <c r="Z370" i="31"/>
  <c r="C371" i="31"/>
  <c r="Z371" i="31"/>
  <c r="C372" i="31"/>
  <c r="Z372" i="31"/>
  <c r="C373" i="31"/>
  <c r="Z373" i="31"/>
  <c r="C374" i="31"/>
  <c r="Z374" i="31"/>
  <c r="C375" i="31"/>
  <c r="Z375" i="31"/>
  <c r="C376" i="31"/>
  <c r="Z376" i="31"/>
  <c r="C377" i="31"/>
  <c r="Z377" i="31"/>
  <c r="C378" i="31"/>
  <c r="Z378" i="31"/>
  <c r="C379" i="31"/>
  <c r="Z379" i="31"/>
  <c r="C380" i="31"/>
  <c r="Z380" i="31"/>
  <c r="C381" i="31"/>
  <c r="Z381" i="31"/>
  <c r="C382" i="31"/>
  <c r="Z382" i="31"/>
  <c r="C383" i="31"/>
  <c r="Z383" i="31"/>
  <c r="C384" i="31"/>
  <c r="Z384" i="31"/>
  <c r="C385" i="31"/>
  <c r="Z385" i="31"/>
  <c r="C386" i="31"/>
  <c r="Z386" i="31"/>
  <c r="C387" i="31"/>
  <c r="Z387" i="31"/>
  <c r="C388" i="31"/>
  <c r="Z388" i="31"/>
  <c r="C389" i="31"/>
  <c r="Z389" i="31"/>
  <c r="C390" i="31"/>
  <c r="Z390" i="31"/>
  <c r="C391" i="31"/>
  <c r="Z391" i="31"/>
  <c r="C392" i="31"/>
  <c r="Z392" i="31"/>
  <c r="C393" i="31"/>
  <c r="Z393" i="31"/>
  <c r="C394" i="31"/>
  <c r="Z394" i="31"/>
  <c r="C395" i="31"/>
  <c r="Z395" i="31"/>
  <c r="C396" i="31"/>
  <c r="Z396" i="31"/>
  <c r="C397" i="31"/>
  <c r="Z397" i="31"/>
  <c r="C398" i="31"/>
  <c r="Z398" i="31"/>
  <c r="C399" i="31"/>
  <c r="Z399" i="31"/>
  <c r="C400" i="31"/>
  <c r="Z400" i="31"/>
  <c r="C401" i="31"/>
  <c r="Z401" i="31"/>
  <c r="C402" i="31"/>
  <c r="Z402" i="31"/>
  <c r="C403" i="31"/>
  <c r="Z403" i="31"/>
  <c r="C404" i="31"/>
  <c r="Z404" i="31"/>
  <c r="C405" i="31"/>
  <c r="Z405" i="31"/>
  <c r="C406" i="31"/>
  <c r="Z406" i="31"/>
  <c r="C407" i="31"/>
  <c r="Z407" i="31"/>
  <c r="C408" i="31"/>
  <c r="Z408" i="31"/>
  <c r="C409" i="31"/>
  <c r="Z409" i="31"/>
  <c r="C410" i="31"/>
  <c r="Z410" i="31"/>
  <c r="C411" i="31"/>
  <c r="Z411" i="31"/>
  <c r="C412" i="31"/>
  <c r="Z412" i="31"/>
  <c r="C413" i="31"/>
  <c r="Z413" i="31"/>
  <c r="C414" i="31"/>
  <c r="Z414" i="31"/>
  <c r="C415" i="31"/>
  <c r="Z415" i="31"/>
  <c r="C416" i="31"/>
  <c r="Z416" i="31"/>
  <c r="C417" i="31"/>
  <c r="Z417" i="31"/>
  <c r="C418" i="31"/>
  <c r="Z418" i="31"/>
  <c r="C419" i="31"/>
  <c r="Z419" i="31"/>
  <c r="C420" i="31"/>
  <c r="Z420" i="31"/>
  <c r="C421" i="31"/>
  <c r="Z421" i="31"/>
  <c r="C422" i="31"/>
  <c r="Z422" i="31"/>
  <c r="C423" i="31"/>
  <c r="Z423" i="31"/>
  <c r="C424" i="31"/>
  <c r="Z424" i="31"/>
  <c r="C425" i="31"/>
  <c r="Z425" i="31"/>
  <c r="C426" i="31"/>
  <c r="Z426" i="31"/>
  <c r="C427" i="31"/>
  <c r="Z427" i="31"/>
  <c r="C428" i="31"/>
  <c r="Z428" i="31"/>
  <c r="C429" i="31"/>
  <c r="Z429" i="31"/>
  <c r="C430" i="31"/>
  <c r="Z430" i="31"/>
  <c r="C431" i="31"/>
  <c r="Z431" i="31"/>
  <c r="C432" i="31"/>
  <c r="Z432" i="31"/>
  <c r="C433" i="31"/>
  <c r="Z433" i="31"/>
  <c r="C434" i="31"/>
  <c r="Z434" i="31"/>
  <c r="C435" i="31"/>
  <c r="Z435" i="31"/>
  <c r="C436" i="31"/>
  <c r="Z436" i="31"/>
  <c r="C437" i="31"/>
  <c r="Z437" i="31"/>
  <c r="C438" i="31"/>
  <c r="Z438" i="31"/>
  <c r="C439" i="31"/>
  <c r="Z439" i="31"/>
  <c r="C440" i="31"/>
  <c r="Z440" i="31"/>
  <c r="C441" i="31"/>
  <c r="Z441" i="31"/>
  <c r="D223" i="31"/>
  <c r="D224" i="31"/>
  <c r="D225" i="31"/>
  <c r="D226" i="31"/>
  <c r="D227" i="31"/>
  <c r="D228" i="31"/>
  <c r="D229" i="31"/>
  <c r="D230" i="31"/>
  <c r="D231" i="31"/>
  <c r="D232" i="31"/>
  <c r="D233" i="31"/>
  <c r="D234" i="31"/>
  <c r="D235" i="31"/>
  <c r="D236" i="31"/>
  <c r="D237" i="31"/>
  <c r="D238" i="31"/>
  <c r="D239" i="31"/>
  <c r="D240" i="31"/>
  <c r="D241" i="31"/>
  <c r="D242" i="31"/>
  <c r="D243" i="31"/>
  <c r="D244" i="31"/>
  <c r="D245" i="31"/>
  <c r="D246" i="31"/>
  <c r="D247" i="31"/>
  <c r="D248" i="31"/>
  <c r="D249" i="31"/>
  <c r="D250" i="31"/>
  <c r="D251" i="31"/>
  <c r="D252" i="31"/>
  <c r="D253" i="31"/>
  <c r="D254" i="31"/>
  <c r="D255" i="31"/>
  <c r="D256" i="31"/>
  <c r="D257" i="31"/>
  <c r="D258" i="31"/>
  <c r="D259" i="31"/>
  <c r="D260" i="31"/>
  <c r="D261" i="31"/>
  <c r="D262" i="31"/>
  <c r="D263" i="31"/>
  <c r="D264" i="31"/>
  <c r="D265" i="31"/>
  <c r="D266" i="31"/>
  <c r="D267" i="31"/>
  <c r="D268" i="31"/>
  <c r="D269" i="31"/>
  <c r="D270" i="31"/>
  <c r="D271" i="31"/>
  <c r="D272" i="31"/>
  <c r="D273" i="31"/>
  <c r="D274" i="31"/>
  <c r="D275" i="31"/>
  <c r="D276" i="31"/>
  <c r="D277" i="31"/>
  <c r="D278" i="31"/>
  <c r="D279" i="31"/>
  <c r="D280" i="31"/>
  <c r="D281" i="31"/>
  <c r="D282" i="31"/>
  <c r="D283" i="31"/>
  <c r="D284" i="31"/>
  <c r="D285" i="31"/>
  <c r="D286" i="31"/>
  <c r="D287" i="31"/>
  <c r="D288" i="31"/>
  <c r="D289" i="31"/>
  <c r="D290" i="31"/>
  <c r="D291" i="31"/>
  <c r="D292" i="31"/>
  <c r="D293" i="31"/>
  <c r="D294" i="31"/>
  <c r="D295" i="31"/>
  <c r="D296" i="31"/>
  <c r="D297" i="31"/>
  <c r="D298" i="31"/>
  <c r="D299" i="31"/>
  <c r="D300" i="31"/>
  <c r="D301" i="31"/>
  <c r="D302" i="31"/>
  <c r="D303" i="31"/>
  <c r="D304" i="31"/>
  <c r="D305" i="31"/>
  <c r="D306" i="31"/>
  <c r="D307" i="31"/>
  <c r="D308" i="31"/>
  <c r="D309" i="31"/>
  <c r="D310" i="31"/>
  <c r="D311" i="31"/>
  <c r="D312" i="31"/>
  <c r="D313" i="31"/>
  <c r="D314" i="31"/>
  <c r="D315" i="31"/>
  <c r="D316" i="31"/>
  <c r="D317" i="31"/>
  <c r="D318" i="31"/>
  <c r="D319" i="31"/>
  <c r="D320" i="31"/>
  <c r="D321" i="31"/>
  <c r="D322" i="31"/>
  <c r="D323" i="31"/>
  <c r="D324" i="31"/>
  <c r="D325" i="31"/>
  <c r="D326" i="31"/>
  <c r="D327" i="31"/>
  <c r="D328" i="31"/>
  <c r="D329" i="31"/>
  <c r="D330" i="31"/>
  <c r="D331" i="31"/>
  <c r="D332" i="31"/>
  <c r="D333" i="31"/>
  <c r="D334" i="31"/>
  <c r="D335" i="31"/>
  <c r="D336" i="31"/>
  <c r="D337" i="31"/>
  <c r="D338" i="31"/>
  <c r="D339" i="31"/>
  <c r="D340" i="31"/>
  <c r="D341" i="31"/>
  <c r="D342" i="31"/>
  <c r="D343" i="31"/>
  <c r="D344" i="31"/>
  <c r="D345" i="31"/>
  <c r="D346" i="31"/>
  <c r="D347" i="31"/>
  <c r="D348" i="31"/>
  <c r="D349" i="31"/>
  <c r="D350" i="31"/>
  <c r="D351" i="31"/>
  <c r="D352" i="31"/>
  <c r="D353" i="31"/>
  <c r="D354" i="31"/>
  <c r="D355" i="31"/>
  <c r="D356" i="31"/>
  <c r="D357" i="31"/>
  <c r="D358" i="31"/>
  <c r="D359" i="31"/>
  <c r="D360" i="31"/>
  <c r="D361" i="31"/>
  <c r="D362" i="31"/>
  <c r="D363" i="31"/>
  <c r="D364" i="31"/>
  <c r="D365" i="31"/>
  <c r="D366" i="31"/>
  <c r="D367" i="31"/>
  <c r="D368" i="31"/>
  <c r="D369" i="31"/>
  <c r="D370" i="31"/>
  <c r="D371" i="31"/>
  <c r="D372" i="31"/>
  <c r="D373" i="31"/>
  <c r="D374" i="31"/>
  <c r="D375" i="31"/>
  <c r="D376" i="31"/>
  <c r="D377" i="31"/>
  <c r="D378" i="31"/>
  <c r="D379" i="31"/>
  <c r="D380" i="31"/>
  <c r="D381" i="31"/>
  <c r="D382" i="31"/>
  <c r="D383" i="31"/>
  <c r="D384" i="31"/>
  <c r="D385" i="31"/>
  <c r="D386" i="31"/>
  <c r="D387" i="31"/>
  <c r="D388" i="31"/>
  <c r="D389" i="31"/>
  <c r="D390" i="31"/>
  <c r="D391" i="31"/>
  <c r="D392" i="31"/>
  <c r="D393" i="31"/>
  <c r="D394" i="31"/>
  <c r="D395" i="31"/>
  <c r="D396" i="31"/>
  <c r="D397" i="31"/>
  <c r="D398" i="31"/>
  <c r="D399" i="31"/>
  <c r="D400" i="31"/>
  <c r="D401" i="31"/>
  <c r="D402" i="31"/>
  <c r="D403" i="31"/>
  <c r="D404" i="31"/>
  <c r="D405" i="31"/>
  <c r="D406" i="31"/>
  <c r="D407" i="31"/>
  <c r="D408" i="31"/>
  <c r="D409" i="31"/>
  <c r="D410" i="31"/>
  <c r="D411" i="31"/>
  <c r="D412" i="31"/>
  <c r="D413" i="31"/>
  <c r="D414" i="31"/>
  <c r="D415" i="31"/>
  <c r="D416" i="31"/>
  <c r="D417" i="31"/>
  <c r="D418" i="31"/>
  <c r="D419" i="31"/>
  <c r="D420" i="31"/>
  <c r="D421" i="31"/>
  <c r="D422" i="31"/>
  <c r="D423" i="31"/>
  <c r="D424" i="31"/>
  <c r="D425" i="31"/>
  <c r="D426" i="31"/>
  <c r="D427" i="31"/>
  <c r="D428" i="31"/>
  <c r="D429" i="31"/>
  <c r="D430" i="31"/>
  <c r="D431" i="31"/>
  <c r="D432" i="31"/>
  <c r="D433" i="31"/>
  <c r="D434" i="31"/>
  <c r="D435" i="31"/>
  <c r="D436" i="31"/>
  <c r="D437" i="31"/>
  <c r="D438" i="31"/>
  <c r="D439" i="31"/>
  <c r="D440" i="31"/>
  <c r="D441" i="31"/>
  <c r="I223" i="31"/>
  <c r="I224" i="31"/>
  <c r="I225" i="31"/>
  <c r="I226" i="31"/>
  <c r="I227" i="31"/>
  <c r="I228" i="31"/>
  <c r="I229" i="31"/>
  <c r="I230" i="31"/>
  <c r="I231" i="31"/>
  <c r="AL231" i="31" s="1"/>
  <c r="I232" i="31"/>
  <c r="I233" i="31"/>
  <c r="I234" i="31"/>
  <c r="I235" i="31"/>
  <c r="I236" i="31"/>
  <c r="I237" i="31"/>
  <c r="I238" i="31"/>
  <c r="I239" i="31"/>
  <c r="AM239" i="31" s="1"/>
  <c r="I240" i="31"/>
  <c r="I241" i="31"/>
  <c r="I242" i="31"/>
  <c r="I243" i="31"/>
  <c r="I244" i="31"/>
  <c r="I245" i="31"/>
  <c r="I246" i="31"/>
  <c r="I247" i="31"/>
  <c r="I248" i="31"/>
  <c r="I249" i="31"/>
  <c r="I250" i="31"/>
  <c r="I251" i="31"/>
  <c r="I252" i="31"/>
  <c r="I253" i="31"/>
  <c r="I254" i="31"/>
  <c r="I255" i="31"/>
  <c r="AM255" i="31" s="1"/>
  <c r="I256" i="31"/>
  <c r="I257" i="31"/>
  <c r="I258" i="31"/>
  <c r="I259" i="31"/>
  <c r="I260" i="31"/>
  <c r="I261" i="31"/>
  <c r="I262" i="31"/>
  <c r="I263" i="31"/>
  <c r="AM263" i="31" s="1"/>
  <c r="I264" i="31"/>
  <c r="I265" i="31"/>
  <c r="I266" i="31"/>
  <c r="I267" i="31"/>
  <c r="I268" i="31"/>
  <c r="I269" i="31"/>
  <c r="I270" i="31"/>
  <c r="I271" i="31"/>
  <c r="I272" i="31"/>
  <c r="I273" i="31"/>
  <c r="I274" i="31"/>
  <c r="I275" i="31"/>
  <c r="I276" i="31"/>
  <c r="I277" i="31"/>
  <c r="I278" i="31"/>
  <c r="I279" i="31"/>
  <c r="I280" i="31"/>
  <c r="I281" i="31"/>
  <c r="I282" i="31"/>
  <c r="I283" i="31"/>
  <c r="AM283" i="31" s="1"/>
  <c r="I284" i="31"/>
  <c r="I285" i="31"/>
  <c r="I286" i="31"/>
  <c r="I287" i="31"/>
  <c r="AM287" i="31" s="1"/>
  <c r="I288" i="31"/>
  <c r="I289" i="31"/>
  <c r="I290" i="31"/>
  <c r="I291" i="31"/>
  <c r="I292" i="31"/>
  <c r="I293" i="31"/>
  <c r="I294" i="31"/>
  <c r="I295" i="31"/>
  <c r="I296" i="31"/>
  <c r="I297" i="31"/>
  <c r="I298" i="31"/>
  <c r="I299" i="31"/>
  <c r="I300" i="31"/>
  <c r="I301" i="31"/>
  <c r="I302" i="31"/>
  <c r="I303" i="31"/>
  <c r="AM303" i="31" s="1"/>
  <c r="I304" i="31"/>
  <c r="I305" i="31"/>
  <c r="I306" i="31"/>
  <c r="I307" i="31"/>
  <c r="I308" i="31"/>
  <c r="I309" i="31"/>
  <c r="I310" i="31"/>
  <c r="I311" i="31"/>
  <c r="AM311" i="31" s="1"/>
  <c r="I312" i="31"/>
  <c r="I313" i="31"/>
  <c r="I314" i="31"/>
  <c r="I315" i="31"/>
  <c r="I316" i="31"/>
  <c r="I317" i="31"/>
  <c r="I318" i="31"/>
  <c r="I319" i="31"/>
  <c r="I320" i="31"/>
  <c r="I321" i="31"/>
  <c r="I322" i="31"/>
  <c r="I323" i="31"/>
  <c r="I324" i="31"/>
  <c r="I325" i="31"/>
  <c r="I326" i="31"/>
  <c r="I327" i="31"/>
  <c r="AM327" i="31" s="1"/>
  <c r="I328" i="31"/>
  <c r="I329" i="31"/>
  <c r="I330" i="31"/>
  <c r="I331" i="31"/>
  <c r="I332" i="31"/>
  <c r="I333" i="31"/>
  <c r="I334" i="31"/>
  <c r="I335" i="31"/>
  <c r="AM335" i="31" s="1"/>
  <c r="I336" i="31"/>
  <c r="I337" i="31"/>
  <c r="I338" i="31"/>
  <c r="I339" i="31"/>
  <c r="I340" i="31"/>
  <c r="I341" i="31"/>
  <c r="I342" i="31"/>
  <c r="I343" i="31"/>
  <c r="I344" i="31"/>
  <c r="I345" i="31"/>
  <c r="I346" i="31"/>
  <c r="I347" i="31"/>
  <c r="I348" i="31"/>
  <c r="I349" i="31"/>
  <c r="I350" i="31"/>
  <c r="I351" i="31"/>
  <c r="AM351" i="31" s="1"/>
  <c r="I352" i="31"/>
  <c r="I353" i="31"/>
  <c r="I354" i="31"/>
  <c r="I355" i="31"/>
  <c r="I356" i="31"/>
  <c r="I357" i="31"/>
  <c r="I358" i="31"/>
  <c r="I359" i="31"/>
  <c r="AM359" i="31" s="1"/>
  <c r="I360" i="31"/>
  <c r="I361" i="31"/>
  <c r="I362" i="31"/>
  <c r="I363" i="31"/>
  <c r="I364" i="31"/>
  <c r="I365" i="31"/>
  <c r="I366" i="31"/>
  <c r="I367" i="31"/>
  <c r="I368" i="31"/>
  <c r="I369" i="31"/>
  <c r="I370" i="31"/>
  <c r="I371" i="31"/>
  <c r="I372" i="31"/>
  <c r="I373" i="31"/>
  <c r="I374" i="31"/>
  <c r="I375" i="31"/>
  <c r="AM375" i="31" s="1"/>
  <c r="I376" i="31"/>
  <c r="I377" i="31"/>
  <c r="I378" i="31"/>
  <c r="I379" i="31"/>
  <c r="I380" i="31"/>
  <c r="I381" i="31"/>
  <c r="I382" i="31"/>
  <c r="I383" i="31"/>
  <c r="I384" i="31"/>
  <c r="I385" i="31"/>
  <c r="I386" i="31"/>
  <c r="I387" i="31"/>
  <c r="AM387" i="31" s="1"/>
  <c r="I388" i="31"/>
  <c r="I389" i="31"/>
  <c r="I390" i="31"/>
  <c r="I391" i="31"/>
  <c r="I392" i="31"/>
  <c r="I393" i="31"/>
  <c r="I394" i="31"/>
  <c r="I395" i="31"/>
  <c r="AM395" i="31" s="1"/>
  <c r="I396" i="31"/>
  <c r="I397" i="31"/>
  <c r="I398" i="31"/>
  <c r="I399" i="31"/>
  <c r="I400" i="31"/>
  <c r="I401" i="31"/>
  <c r="I402" i="31"/>
  <c r="I403" i="31"/>
  <c r="I404" i="31"/>
  <c r="I405" i="31"/>
  <c r="I406" i="31"/>
  <c r="I407" i="31"/>
  <c r="I408" i="31"/>
  <c r="I409" i="31"/>
  <c r="I410" i="31"/>
  <c r="I411" i="31"/>
  <c r="I412" i="31"/>
  <c r="I413" i="31"/>
  <c r="I414" i="31"/>
  <c r="I415" i="31"/>
  <c r="I416" i="31"/>
  <c r="I417" i="31"/>
  <c r="I418" i="31"/>
  <c r="I419" i="31"/>
  <c r="I420" i="31"/>
  <c r="I421" i="31"/>
  <c r="I422" i="31"/>
  <c r="I423" i="31"/>
  <c r="I424" i="31"/>
  <c r="I425" i="31"/>
  <c r="I426" i="31"/>
  <c r="I427" i="31"/>
  <c r="I428" i="31"/>
  <c r="I429" i="31"/>
  <c r="I430" i="31"/>
  <c r="I431" i="31"/>
  <c r="I432" i="31"/>
  <c r="I433" i="31"/>
  <c r="I434" i="31"/>
  <c r="I435" i="31"/>
  <c r="I436" i="31"/>
  <c r="I437" i="31"/>
  <c r="I438" i="31"/>
  <c r="I439" i="31"/>
  <c r="I440" i="31"/>
  <c r="I441" i="31"/>
  <c r="I222" i="31"/>
  <c r="D222" i="31"/>
  <c r="C222" i="31"/>
  <c r="Z222" i="31"/>
  <c r="I3" i="31"/>
  <c r="I4" i="31"/>
  <c r="I5" i="31"/>
  <c r="I6" i="31"/>
  <c r="I7" i="31"/>
  <c r="I8" i="31"/>
  <c r="I9" i="31"/>
  <c r="I10" i="31"/>
  <c r="AM10" i="31" s="1"/>
  <c r="I11" i="31"/>
  <c r="I12" i="31"/>
  <c r="AL12" i="31" s="1"/>
  <c r="I13" i="31"/>
  <c r="I14" i="31"/>
  <c r="I15" i="31"/>
  <c r="I16" i="31"/>
  <c r="I17" i="31"/>
  <c r="I18" i="31"/>
  <c r="AM18" i="31" s="1"/>
  <c r="I19" i="31"/>
  <c r="I20" i="31"/>
  <c r="I21" i="31"/>
  <c r="I22" i="31"/>
  <c r="I23" i="31"/>
  <c r="I24" i="31"/>
  <c r="I25" i="31"/>
  <c r="I26" i="31"/>
  <c r="AM26" i="31" s="1"/>
  <c r="I27" i="31"/>
  <c r="I28" i="31"/>
  <c r="AL28" i="31" s="1"/>
  <c r="I29" i="31"/>
  <c r="I30" i="31"/>
  <c r="I31" i="31"/>
  <c r="I32" i="31"/>
  <c r="I33" i="31"/>
  <c r="I34" i="31"/>
  <c r="AM34" i="31" s="1"/>
  <c r="I35" i="31"/>
  <c r="I36" i="31"/>
  <c r="I37" i="31"/>
  <c r="I38" i="31"/>
  <c r="I39" i="31"/>
  <c r="I40" i="31"/>
  <c r="I41" i="31"/>
  <c r="I42" i="31"/>
  <c r="AM42" i="31" s="1"/>
  <c r="I43" i="31"/>
  <c r="I44" i="31"/>
  <c r="AL44" i="31" s="1"/>
  <c r="I45" i="31"/>
  <c r="I46" i="31"/>
  <c r="I47" i="31"/>
  <c r="I48" i="31"/>
  <c r="I49" i="31"/>
  <c r="I50" i="31"/>
  <c r="AM50" i="31" s="1"/>
  <c r="I51" i="31"/>
  <c r="I52" i="31"/>
  <c r="I53" i="31"/>
  <c r="I54" i="31"/>
  <c r="I55" i="31"/>
  <c r="I56" i="31"/>
  <c r="I57" i="31"/>
  <c r="I58" i="31"/>
  <c r="AM58" i="31" s="1"/>
  <c r="I59" i="31"/>
  <c r="I60" i="31"/>
  <c r="AL60" i="31" s="1"/>
  <c r="I61" i="31"/>
  <c r="I62" i="31"/>
  <c r="I63" i="31"/>
  <c r="I64" i="31"/>
  <c r="I65" i="31"/>
  <c r="I66" i="31"/>
  <c r="AM66" i="31" s="1"/>
  <c r="I67" i="31"/>
  <c r="I68" i="31"/>
  <c r="I69" i="31"/>
  <c r="I70" i="31"/>
  <c r="I71" i="31"/>
  <c r="I72" i="31"/>
  <c r="I73" i="31"/>
  <c r="I74" i="31"/>
  <c r="AM74" i="31" s="1"/>
  <c r="I75" i="31"/>
  <c r="I76" i="31"/>
  <c r="AL76" i="31" s="1"/>
  <c r="I77" i="31"/>
  <c r="I78" i="31"/>
  <c r="I79" i="31"/>
  <c r="I80" i="31"/>
  <c r="I81" i="31"/>
  <c r="I82" i="31"/>
  <c r="AM82" i="31" s="1"/>
  <c r="I83" i="31"/>
  <c r="I84" i="31"/>
  <c r="I85" i="31"/>
  <c r="I86" i="31"/>
  <c r="I87" i="31"/>
  <c r="I88" i="31"/>
  <c r="I89" i="31"/>
  <c r="I90" i="31"/>
  <c r="AM90" i="31" s="1"/>
  <c r="I91" i="31"/>
  <c r="I92" i="31"/>
  <c r="AL92" i="31" s="1"/>
  <c r="I93" i="31"/>
  <c r="I94" i="31"/>
  <c r="I95" i="31"/>
  <c r="I96" i="31"/>
  <c r="I97" i="31"/>
  <c r="I98" i="31"/>
  <c r="AM98" i="31" s="1"/>
  <c r="I99" i="31"/>
  <c r="I100" i="31"/>
  <c r="I101" i="31"/>
  <c r="I102" i="31"/>
  <c r="I103" i="31"/>
  <c r="I104" i="31"/>
  <c r="I105" i="31"/>
  <c r="I106" i="31"/>
  <c r="AM106" i="31" s="1"/>
  <c r="I107" i="31"/>
  <c r="I108" i="31"/>
  <c r="AL108" i="31" s="1"/>
  <c r="I109" i="31"/>
  <c r="I110" i="31"/>
  <c r="I111" i="31"/>
  <c r="I112" i="31"/>
  <c r="I113" i="31"/>
  <c r="I114" i="31"/>
  <c r="AM114" i="31" s="1"/>
  <c r="I115" i="31"/>
  <c r="I116" i="31"/>
  <c r="I117" i="31"/>
  <c r="I118" i="31"/>
  <c r="I119" i="31"/>
  <c r="I120" i="31"/>
  <c r="I121" i="31"/>
  <c r="I122" i="31"/>
  <c r="AM122" i="31" s="1"/>
  <c r="I123" i="31"/>
  <c r="I124" i="31"/>
  <c r="AL124" i="31" s="1"/>
  <c r="I125" i="31"/>
  <c r="I126" i="31"/>
  <c r="I127" i="31"/>
  <c r="I128" i="31"/>
  <c r="I129" i="31"/>
  <c r="I130" i="31"/>
  <c r="AM130" i="31" s="1"/>
  <c r="I131" i="31"/>
  <c r="I132" i="31"/>
  <c r="I133" i="31"/>
  <c r="I134" i="31"/>
  <c r="I135" i="31"/>
  <c r="I136" i="31"/>
  <c r="I137" i="31"/>
  <c r="I138" i="31"/>
  <c r="AM138" i="31" s="1"/>
  <c r="I139" i="31"/>
  <c r="I140" i="31"/>
  <c r="AL140" i="31" s="1"/>
  <c r="I141" i="31"/>
  <c r="I142" i="31"/>
  <c r="I143" i="31"/>
  <c r="I144" i="31"/>
  <c r="I145" i="31"/>
  <c r="I146" i="31"/>
  <c r="AM146" i="31" s="1"/>
  <c r="I147" i="31"/>
  <c r="I148" i="31"/>
  <c r="I149" i="31"/>
  <c r="I150" i="31"/>
  <c r="I151" i="31"/>
  <c r="I152" i="31"/>
  <c r="I153" i="31"/>
  <c r="I154" i="31"/>
  <c r="AM154" i="31" s="1"/>
  <c r="I155" i="31"/>
  <c r="I156" i="31"/>
  <c r="AL156" i="31" s="1"/>
  <c r="I157" i="31"/>
  <c r="I158" i="31"/>
  <c r="I159" i="31"/>
  <c r="I160" i="31"/>
  <c r="I161" i="31"/>
  <c r="I162" i="31"/>
  <c r="AM162" i="31" s="1"/>
  <c r="I163" i="31"/>
  <c r="I164" i="31"/>
  <c r="I165" i="31"/>
  <c r="I166" i="31"/>
  <c r="I167" i="31"/>
  <c r="I168" i="31"/>
  <c r="I169" i="31"/>
  <c r="I170" i="31"/>
  <c r="AM170" i="31" s="1"/>
  <c r="I171" i="31"/>
  <c r="I172" i="31"/>
  <c r="AL172" i="31" s="1"/>
  <c r="I173" i="31"/>
  <c r="I174" i="31"/>
  <c r="I175" i="31"/>
  <c r="I176" i="31"/>
  <c r="I177" i="31"/>
  <c r="I178" i="31"/>
  <c r="AM178" i="31" s="1"/>
  <c r="I179" i="31"/>
  <c r="I180" i="31"/>
  <c r="I181" i="31"/>
  <c r="I182" i="31"/>
  <c r="I183" i="31"/>
  <c r="I184" i="31"/>
  <c r="I185" i="31"/>
  <c r="I186" i="31"/>
  <c r="AM186" i="31" s="1"/>
  <c r="I187" i="31"/>
  <c r="I188" i="31"/>
  <c r="AL188" i="31" s="1"/>
  <c r="I189" i="31"/>
  <c r="I190" i="31"/>
  <c r="I191" i="31"/>
  <c r="I192" i="31"/>
  <c r="I193" i="31"/>
  <c r="I194" i="31"/>
  <c r="I195" i="31"/>
  <c r="I196" i="31"/>
  <c r="I197" i="31"/>
  <c r="I198" i="31"/>
  <c r="I199" i="31"/>
  <c r="I200" i="31"/>
  <c r="I201" i="31"/>
  <c r="I202" i="31"/>
  <c r="I203" i="31"/>
  <c r="I204" i="31"/>
  <c r="I205" i="31"/>
  <c r="I206" i="31"/>
  <c r="I207" i="31"/>
  <c r="I208" i="31"/>
  <c r="I209" i="31"/>
  <c r="I210" i="31"/>
  <c r="I211" i="31"/>
  <c r="I212" i="31"/>
  <c r="I213" i="31"/>
  <c r="I214" i="31"/>
  <c r="I215" i="31"/>
  <c r="I216" i="31"/>
  <c r="I217" i="31"/>
  <c r="I218" i="31"/>
  <c r="I219" i="31"/>
  <c r="I220" i="31"/>
  <c r="I221" i="31"/>
  <c r="I2" i="31"/>
  <c r="AM2" i="31"/>
  <c r="D3" i="31"/>
  <c r="D4" i="31"/>
  <c r="D5" i="31"/>
  <c r="D6" i="31"/>
  <c r="D7" i="31"/>
  <c r="D8" i="31"/>
  <c r="D9" i="31"/>
  <c r="D10" i="31"/>
  <c r="D11" i="31"/>
  <c r="D12" i="31"/>
  <c r="D13" i="31"/>
  <c r="D14" i="31"/>
  <c r="D15" i="31"/>
  <c r="D16" i="31"/>
  <c r="D17" i="31"/>
  <c r="D18" i="31"/>
  <c r="D19" i="31"/>
  <c r="D20" i="31"/>
  <c r="D21" i="31"/>
  <c r="D22" i="31"/>
  <c r="D23" i="31"/>
  <c r="D24" i="31"/>
  <c r="D25" i="31"/>
  <c r="D26" i="31"/>
  <c r="D27" i="31"/>
  <c r="D28" i="31"/>
  <c r="D29" i="31"/>
  <c r="D30" i="31"/>
  <c r="D31" i="31"/>
  <c r="D32" i="31"/>
  <c r="D33" i="31"/>
  <c r="D34" i="31"/>
  <c r="D35" i="31"/>
  <c r="D36" i="31"/>
  <c r="D37" i="31"/>
  <c r="D38" i="31"/>
  <c r="D39" i="31"/>
  <c r="D40" i="31"/>
  <c r="D41" i="31"/>
  <c r="D42" i="31"/>
  <c r="D43" i="31"/>
  <c r="D44" i="31"/>
  <c r="D45" i="31"/>
  <c r="D46" i="31"/>
  <c r="D47" i="31"/>
  <c r="D48" i="31"/>
  <c r="D49" i="31"/>
  <c r="D50" i="31"/>
  <c r="D51" i="31"/>
  <c r="D52" i="31"/>
  <c r="D53" i="31"/>
  <c r="D54" i="31"/>
  <c r="D55" i="31"/>
  <c r="D56" i="31"/>
  <c r="D57" i="31"/>
  <c r="D58" i="31"/>
  <c r="D59" i="31"/>
  <c r="D60" i="31"/>
  <c r="D61" i="31"/>
  <c r="D62" i="31"/>
  <c r="D63" i="31"/>
  <c r="D64" i="31"/>
  <c r="D65" i="31"/>
  <c r="D66" i="31"/>
  <c r="D67" i="31"/>
  <c r="D68" i="31"/>
  <c r="D69" i="31"/>
  <c r="D70" i="31"/>
  <c r="D71" i="31"/>
  <c r="D72" i="31"/>
  <c r="D73" i="31"/>
  <c r="D74" i="31"/>
  <c r="D75" i="31"/>
  <c r="D76" i="31"/>
  <c r="D77" i="31"/>
  <c r="D78" i="31"/>
  <c r="D79" i="31"/>
  <c r="D80" i="31"/>
  <c r="D81" i="31"/>
  <c r="D82" i="31"/>
  <c r="D83" i="31"/>
  <c r="D84" i="31"/>
  <c r="D85" i="31"/>
  <c r="D86" i="31"/>
  <c r="D87" i="31"/>
  <c r="D88" i="31"/>
  <c r="D89" i="31"/>
  <c r="D90" i="31"/>
  <c r="D91" i="31"/>
  <c r="D92" i="31"/>
  <c r="D93" i="31"/>
  <c r="D94" i="31"/>
  <c r="D95" i="31"/>
  <c r="D96" i="31"/>
  <c r="D97" i="31"/>
  <c r="D98" i="31"/>
  <c r="D99" i="31"/>
  <c r="D100" i="31"/>
  <c r="D101" i="31"/>
  <c r="D102" i="31"/>
  <c r="D103" i="31"/>
  <c r="D104" i="31"/>
  <c r="D105" i="31"/>
  <c r="D106" i="31"/>
  <c r="D107" i="31"/>
  <c r="D108" i="31"/>
  <c r="D109" i="31"/>
  <c r="D110" i="31"/>
  <c r="D111" i="31"/>
  <c r="D112" i="31"/>
  <c r="D113" i="31"/>
  <c r="D114" i="31"/>
  <c r="D115" i="31"/>
  <c r="D116" i="31"/>
  <c r="D117" i="31"/>
  <c r="D118" i="31"/>
  <c r="D119" i="31"/>
  <c r="D120" i="31"/>
  <c r="D121" i="31"/>
  <c r="D122" i="31"/>
  <c r="D123" i="31"/>
  <c r="D124" i="31"/>
  <c r="D125" i="31"/>
  <c r="D126" i="31"/>
  <c r="D127" i="31"/>
  <c r="D128" i="31"/>
  <c r="D129" i="31"/>
  <c r="D130" i="31"/>
  <c r="D131" i="31"/>
  <c r="D132" i="31"/>
  <c r="D133" i="31"/>
  <c r="D134" i="31"/>
  <c r="D135" i="31"/>
  <c r="D136" i="31"/>
  <c r="D137" i="31"/>
  <c r="D138" i="31"/>
  <c r="D139" i="31"/>
  <c r="D140" i="31"/>
  <c r="D141" i="31"/>
  <c r="D142" i="31"/>
  <c r="D143" i="31"/>
  <c r="D144" i="31"/>
  <c r="D145" i="31"/>
  <c r="D146" i="31"/>
  <c r="D147" i="31"/>
  <c r="D148" i="31"/>
  <c r="D149" i="31"/>
  <c r="D150" i="31"/>
  <c r="D151" i="31"/>
  <c r="D152" i="31"/>
  <c r="D153" i="31"/>
  <c r="D154" i="31"/>
  <c r="D155" i="31"/>
  <c r="D156" i="31"/>
  <c r="D157" i="31"/>
  <c r="D158" i="31"/>
  <c r="D159" i="31"/>
  <c r="D160" i="31"/>
  <c r="D161" i="31"/>
  <c r="D162" i="31"/>
  <c r="D163" i="31"/>
  <c r="D164" i="31"/>
  <c r="D165" i="31"/>
  <c r="D166" i="31"/>
  <c r="D167" i="31"/>
  <c r="D168" i="31"/>
  <c r="D169" i="31"/>
  <c r="D170" i="31"/>
  <c r="D171" i="31"/>
  <c r="D172" i="31"/>
  <c r="D173" i="31"/>
  <c r="D174" i="31"/>
  <c r="D175" i="31"/>
  <c r="D176" i="31"/>
  <c r="D177" i="31"/>
  <c r="D178" i="31"/>
  <c r="D179" i="31"/>
  <c r="D180" i="31"/>
  <c r="D181" i="31"/>
  <c r="D182" i="31"/>
  <c r="D183" i="31"/>
  <c r="D184" i="31"/>
  <c r="D185" i="31"/>
  <c r="D186" i="31"/>
  <c r="D187" i="31"/>
  <c r="D188" i="31"/>
  <c r="D189" i="31"/>
  <c r="D190" i="31"/>
  <c r="D191" i="31"/>
  <c r="D192" i="31"/>
  <c r="D193" i="31"/>
  <c r="D194" i="31"/>
  <c r="D195" i="31"/>
  <c r="D196" i="31"/>
  <c r="D197" i="31"/>
  <c r="D198" i="31"/>
  <c r="D199" i="31"/>
  <c r="D200" i="31"/>
  <c r="D201" i="31"/>
  <c r="D202" i="31"/>
  <c r="D203" i="31"/>
  <c r="D204" i="31"/>
  <c r="D205" i="31"/>
  <c r="D206" i="31"/>
  <c r="D207" i="31"/>
  <c r="D208" i="31"/>
  <c r="D209" i="31"/>
  <c r="D210" i="31"/>
  <c r="D211" i="31"/>
  <c r="D212" i="31"/>
  <c r="D213" i="31"/>
  <c r="D214" i="31"/>
  <c r="D215" i="31"/>
  <c r="D216" i="31"/>
  <c r="D217" i="31"/>
  <c r="D218" i="31"/>
  <c r="D219" i="31"/>
  <c r="D220" i="31"/>
  <c r="D221" i="31"/>
  <c r="Z3" i="31"/>
  <c r="Z4" i="31"/>
  <c r="Z5" i="31"/>
  <c r="Z7" i="31"/>
  <c r="Z8" i="31"/>
  <c r="Z9" i="31"/>
  <c r="Z11" i="31"/>
  <c r="Z12" i="31"/>
  <c r="Z13" i="31"/>
  <c r="Z15" i="31"/>
  <c r="Z16" i="31"/>
  <c r="Z17" i="31"/>
  <c r="Z19" i="31"/>
  <c r="Z20" i="31"/>
  <c r="Z21" i="31"/>
  <c r="Z23" i="31"/>
  <c r="Z24" i="31"/>
  <c r="Z25" i="31"/>
  <c r="Z27" i="31"/>
  <c r="Z28" i="31"/>
  <c r="Z29" i="31"/>
  <c r="Z31" i="31"/>
  <c r="Z32" i="31"/>
  <c r="Z33" i="31"/>
  <c r="Z35" i="31"/>
  <c r="Z36" i="31"/>
  <c r="Z37" i="31"/>
  <c r="Z39" i="31"/>
  <c r="Z40" i="31"/>
  <c r="Z41" i="31"/>
  <c r="Z43" i="31"/>
  <c r="Z44" i="31"/>
  <c r="Z45" i="31"/>
  <c r="Z47" i="31"/>
  <c r="Z48" i="31"/>
  <c r="Z49" i="31"/>
  <c r="Z51" i="31"/>
  <c r="Z52" i="31"/>
  <c r="Z53" i="31"/>
  <c r="Z55" i="31"/>
  <c r="Z56" i="31"/>
  <c r="Z57" i="31"/>
  <c r="Z59" i="31"/>
  <c r="Z60" i="31"/>
  <c r="Z61" i="31"/>
  <c r="Z63" i="31"/>
  <c r="Z64" i="31"/>
  <c r="Z65" i="31"/>
  <c r="Z67" i="31"/>
  <c r="Z68" i="31"/>
  <c r="Z69" i="31"/>
  <c r="Z71" i="31"/>
  <c r="Z72" i="31"/>
  <c r="Z73" i="31"/>
  <c r="Z75" i="31"/>
  <c r="Z76" i="31"/>
  <c r="Z77" i="31"/>
  <c r="Z79" i="31"/>
  <c r="Z80" i="31"/>
  <c r="Z81" i="31"/>
  <c r="Z83" i="31"/>
  <c r="Z84" i="31"/>
  <c r="Z85" i="31"/>
  <c r="Z87" i="31"/>
  <c r="Z88" i="31"/>
  <c r="Z89" i="31"/>
  <c r="Z91" i="31"/>
  <c r="Z92" i="31"/>
  <c r="Z93" i="31"/>
  <c r="Z95" i="31"/>
  <c r="Z96" i="31"/>
  <c r="Z97" i="31"/>
  <c r="Z99" i="31"/>
  <c r="Z100" i="31"/>
  <c r="Z101" i="31"/>
  <c r="Z103" i="31"/>
  <c r="Z104" i="31"/>
  <c r="Z105" i="31"/>
  <c r="Z107" i="31"/>
  <c r="Z108" i="31"/>
  <c r="Z109" i="31"/>
  <c r="Z111" i="31"/>
  <c r="Z112" i="31"/>
  <c r="Z113" i="31"/>
  <c r="Z115" i="31"/>
  <c r="Z116" i="31"/>
  <c r="Z117" i="31"/>
  <c r="Z119" i="31"/>
  <c r="Z120" i="31"/>
  <c r="Z121" i="31"/>
  <c r="Z123" i="31"/>
  <c r="Z124" i="31"/>
  <c r="Z125" i="31"/>
  <c r="Z127" i="31"/>
  <c r="Z128" i="31"/>
  <c r="Z129" i="31"/>
  <c r="Z131" i="31"/>
  <c r="Z132" i="31"/>
  <c r="Z133" i="31"/>
  <c r="Z135" i="31"/>
  <c r="Z136" i="31"/>
  <c r="Z137" i="31"/>
  <c r="Z139" i="31"/>
  <c r="Z140" i="31"/>
  <c r="Z141" i="31"/>
  <c r="Z143" i="31"/>
  <c r="Z144" i="31"/>
  <c r="Z145" i="31"/>
  <c r="Z147" i="31"/>
  <c r="Z148" i="31"/>
  <c r="Z149" i="31"/>
  <c r="Z151" i="31"/>
  <c r="Z152" i="31"/>
  <c r="Z153" i="31"/>
  <c r="Z155" i="31"/>
  <c r="Z156" i="31"/>
  <c r="Z157" i="31"/>
  <c r="Z159" i="31"/>
  <c r="Z160" i="31"/>
  <c r="Z161" i="31"/>
  <c r="Z163" i="31"/>
  <c r="Z164" i="31"/>
  <c r="Z165" i="31"/>
  <c r="Z167" i="31"/>
  <c r="Z168" i="31"/>
  <c r="Z169" i="31"/>
  <c r="Z171" i="31"/>
  <c r="Z172" i="31"/>
  <c r="Z173" i="31"/>
  <c r="Z175" i="31"/>
  <c r="Z176" i="31"/>
  <c r="Z177" i="31"/>
  <c r="Z179" i="31"/>
  <c r="Z180" i="31"/>
  <c r="Z181" i="31"/>
  <c r="Z183" i="31"/>
  <c r="Z184" i="31"/>
  <c r="Z185" i="31"/>
  <c r="Z187" i="31"/>
  <c r="Z188" i="31"/>
  <c r="Z189" i="31"/>
  <c r="Z191" i="31"/>
  <c r="Z192" i="31"/>
  <c r="Z193" i="31"/>
  <c r="Z195" i="31"/>
  <c r="Z196" i="31"/>
  <c r="Z197" i="31"/>
  <c r="Z199" i="31"/>
  <c r="Z200" i="31"/>
  <c r="Z201" i="31"/>
  <c r="Z203" i="31"/>
  <c r="Z204" i="31"/>
  <c r="Z205" i="31"/>
  <c r="Z207" i="31"/>
  <c r="Z208" i="31"/>
  <c r="Z209" i="31"/>
  <c r="Z211" i="31"/>
  <c r="Z212" i="31"/>
  <c r="Z213" i="31"/>
  <c r="Z215" i="31"/>
  <c r="Z216" i="31"/>
  <c r="Z217" i="31"/>
  <c r="Z219" i="31"/>
  <c r="Z220" i="31"/>
  <c r="Z221" i="31"/>
  <c r="W2" i="31"/>
  <c r="P5" i="19"/>
  <c r="P6" i="19"/>
  <c r="P7" i="19"/>
  <c r="P8" i="19"/>
  <c r="P9" i="19"/>
  <c r="P10" i="19"/>
  <c r="P11" i="19"/>
  <c r="P12" i="19"/>
  <c r="P13" i="19"/>
  <c r="P14" i="19"/>
  <c r="P15" i="19"/>
  <c r="P16" i="19"/>
  <c r="P17" i="19"/>
  <c r="P18" i="19"/>
  <c r="P19" i="19"/>
  <c r="P20" i="19"/>
  <c r="P21" i="19"/>
  <c r="P22" i="19"/>
  <c r="P23" i="19"/>
  <c r="P24" i="19"/>
  <c r="P25" i="19"/>
  <c r="P26" i="19"/>
  <c r="P27" i="19"/>
  <c r="P28" i="19"/>
  <c r="P29" i="19"/>
  <c r="P30" i="19"/>
  <c r="P31" i="19"/>
  <c r="P32" i="19"/>
  <c r="P33" i="19"/>
  <c r="P34" i="19"/>
  <c r="P35" i="19"/>
  <c r="P36" i="19"/>
  <c r="P37" i="19"/>
  <c r="P38" i="19"/>
  <c r="P39" i="19"/>
  <c r="P40" i="19"/>
  <c r="P41" i="19"/>
  <c r="P42" i="19"/>
  <c r="P43" i="19"/>
  <c r="P44" i="19"/>
  <c r="P45" i="19"/>
  <c r="P46" i="19"/>
  <c r="P47" i="19"/>
  <c r="P48" i="19"/>
  <c r="P49" i="19"/>
  <c r="P50" i="19"/>
  <c r="P51" i="19"/>
  <c r="P52" i="19"/>
  <c r="P53" i="19"/>
  <c r="P54" i="19"/>
  <c r="P55" i="19"/>
  <c r="P56" i="19"/>
  <c r="P57" i="19"/>
  <c r="P58" i="19"/>
  <c r="P59" i="19"/>
  <c r="P60" i="19"/>
  <c r="P61" i="19"/>
  <c r="P62" i="19"/>
  <c r="P63" i="19"/>
  <c r="P64" i="19"/>
  <c r="P65" i="19"/>
  <c r="P66" i="19"/>
  <c r="P67" i="19"/>
  <c r="P68" i="19"/>
  <c r="P69" i="19"/>
  <c r="P70" i="19"/>
  <c r="P71" i="19"/>
  <c r="P72" i="19"/>
  <c r="P73" i="19"/>
  <c r="P74" i="19"/>
  <c r="P75" i="19"/>
  <c r="P76" i="19"/>
  <c r="P77" i="19"/>
  <c r="P78" i="19"/>
  <c r="P79" i="19"/>
  <c r="P80" i="19"/>
  <c r="P81" i="19"/>
  <c r="P82" i="19"/>
  <c r="P83" i="19"/>
  <c r="P84" i="19"/>
  <c r="P85" i="19"/>
  <c r="P86" i="19"/>
  <c r="P87" i="19"/>
  <c r="P88" i="19"/>
  <c r="P89" i="19"/>
  <c r="P90" i="19"/>
  <c r="P91" i="19"/>
  <c r="P92" i="19"/>
  <c r="P93" i="19"/>
  <c r="P94" i="19"/>
  <c r="P95" i="19"/>
  <c r="P96" i="19"/>
  <c r="P97" i="19"/>
  <c r="P98" i="19"/>
  <c r="P99" i="19"/>
  <c r="P100" i="19"/>
  <c r="P101" i="19"/>
  <c r="P102" i="19"/>
  <c r="P103" i="19"/>
  <c r="P104" i="19"/>
  <c r="P105" i="19"/>
  <c r="P106" i="19"/>
  <c r="P107" i="19"/>
  <c r="P108" i="19"/>
  <c r="P109" i="19"/>
  <c r="P110" i="19"/>
  <c r="P111" i="19"/>
  <c r="P112" i="19"/>
  <c r="P113" i="19"/>
  <c r="P114" i="19"/>
  <c r="P115" i="19"/>
  <c r="P116" i="19"/>
  <c r="P117" i="19"/>
  <c r="P118" i="19"/>
  <c r="P119" i="19"/>
  <c r="P120" i="19"/>
  <c r="P121" i="19"/>
  <c r="P122" i="19"/>
  <c r="P123" i="19"/>
  <c r="P124" i="19"/>
  <c r="P125" i="19"/>
  <c r="P126" i="19"/>
  <c r="P127" i="19"/>
  <c r="P128" i="19"/>
  <c r="P129" i="19"/>
  <c r="P130" i="19"/>
  <c r="P131" i="19"/>
  <c r="P132" i="19"/>
  <c r="P133" i="19"/>
  <c r="P134" i="19"/>
  <c r="P135" i="19"/>
  <c r="P136" i="19"/>
  <c r="P137" i="19"/>
  <c r="P138" i="19"/>
  <c r="P139" i="19"/>
  <c r="P140" i="19"/>
  <c r="P141" i="19"/>
  <c r="P142" i="19"/>
  <c r="P143" i="19"/>
  <c r="P144" i="19"/>
  <c r="P145" i="19"/>
  <c r="P146" i="19"/>
  <c r="P147" i="19"/>
  <c r="P148" i="19"/>
  <c r="P149" i="19"/>
  <c r="P150" i="19"/>
  <c r="P151" i="19"/>
  <c r="P152" i="19"/>
  <c r="P153" i="19"/>
  <c r="P154" i="19"/>
  <c r="P155" i="19"/>
  <c r="P156" i="19"/>
  <c r="P157" i="19"/>
  <c r="P158" i="19"/>
  <c r="P159" i="19"/>
  <c r="P160" i="19"/>
  <c r="P161" i="19"/>
  <c r="P162" i="19"/>
  <c r="P163" i="19"/>
  <c r="P164" i="19"/>
  <c r="P165" i="19"/>
  <c r="P166" i="19"/>
  <c r="P167" i="19"/>
  <c r="P168" i="19"/>
  <c r="P169" i="19"/>
  <c r="P170" i="19"/>
  <c r="P171" i="19"/>
  <c r="P172" i="19"/>
  <c r="P173" i="19"/>
  <c r="P174" i="19"/>
  <c r="P175" i="19"/>
  <c r="P176" i="19"/>
  <c r="P177" i="19"/>
  <c r="P178" i="19"/>
  <c r="P179" i="19"/>
  <c r="P180" i="19"/>
  <c r="P181" i="19"/>
  <c r="P182" i="19"/>
  <c r="P183" i="19"/>
  <c r="P184" i="19"/>
  <c r="P185" i="19"/>
  <c r="P186" i="19"/>
  <c r="P187" i="19"/>
  <c r="P188" i="19"/>
  <c r="P189" i="19"/>
  <c r="P190" i="19"/>
  <c r="P191" i="19"/>
  <c r="P192" i="19"/>
  <c r="P193" i="19"/>
  <c r="P194" i="19"/>
  <c r="P195" i="19"/>
  <c r="P196" i="19"/>
  <c r="P197" i="19"/>
  <c r="P198" i="19"/>
  <c r="P199" i="19"/>
  <c r="P200" i="19"/>
  <c r="P201" i="19"/>
  <c r="P202" i="19"/>
  <c r="P203" i="19"/>
  <c r="P204" i="19"/>
  <c r="P205" i="19"/>
  <c r="P206" i="19"/>
  <c r="P207" i="19"/>
  <c r="P208" i="19"/>
  <c r="P209" i="19"/>
  <c r="P210" i="19"/>
  <c r="P211" i="19"/>
  <c r="P212" i="19"/>
  <c r="P213" i="19"/>
  <c r="P214" i="19"/>
  <c r="P215" i="19"/>
  <c r="P216" i="19"/>
  <c r="P217" i="19"/>
  <c r="P218" i="19"/>
  <c r="P219" i="19"/>
  <c r="P220" i="19"/>
  <c r="P221" i="19"/>
  <c r="P222" i="19"/>
  <c r="P223" i="19"/>
  <c r="P224" i="19"/>
  <c r="P225" i="19"/>
  <c r="P226" i="19"/>
  <c r="P227" i="19"/>
  <c r="P228" i="19"/>
  <c r="P229" i="19"/>
  <c r="P230" i="19"/>
  <c r="P231" i="19"/>
  <c r="P232" i="19"/>
  <c r="P233" i="19"/>
  <c r="P234" i="19"/>
  <c r="P235" i="19"/>
  <c r="P236" i="19"/>
  <c r="P237" i="19"/>
  <c r="P238" i="19"/>
  <c r="P239" i="19"/>
  <c r="P240" i="19"/>
  <c r="P241" i="19"/>
  <c r="P242" i="19"/>
  <c r="P243" i="19"/>
  <c r="P244" i="19"/>
  <c r="P245" i="19"/>
  <c r="P246" i="19"/>
  <c r="P247" i="19"/>
  <c r="P248" i="19"/>
  <c r="P249" i="19"/>
  <c r="P250" i="19"/>
  <c r="P251" i="19"/>
  <c r="P252" i="19"/>
  <c r="P253" i="19"/>
  <c r="P254" i="19"/>
  <c r="P255" i="19"/>
  <c r="P256" i="19"/>
  <c r="P257" i="19"/>
  <c r="P258" i="19"/>
  <c r="P259" i="19"/>
  <c r="P260" i="19"/>
  <c r="P261" i="19"/>
  <c r="P262" i="19"/>
  <c r="P263" i="19"/>
  <c r="P264" i="19"/>
  <c r="P265" i="19"/>
  <c r="P266" i="19"/>
  <c r="P267" i="19"/>
  <c r="P268" i="19"/>
  <c r="P269" i="19"/>
  <c r="P270" i="19"/>
  <c r="P271" i="19"/>
  <c r="P272" i="19"/>
  <c r="P273" i="19"/>
  <c r="P274" i="19"/>
  <c r="P275" i="19"/>
  <c r="P276" i="19"/>
  <c r="P277" i="19"/>
  <c r="P278" i="19"/>
  <c r="P279" i="19"/>
  <c r="P280" i="19"/>
  <c r="P281" i="19"/>
  <c r="P282" i="19"/>
  <c r="P283" i="19"/>
  <c r="P284" i="19"/>
  <c r="P285" i="19"/>
  <c r="P286" i="19"/>
  <c r="P287" i="19"/>
  <c r="P288" i="19"/>
  <c r="P289" i="19"/>
  <c r="P290" i="19"/>
  <c r="P291" i="19"/>
  <c r="P292" i="19"/>
  <c r="P293" i="19"/>
  <c r="P294" i="19"/>
  <c r="P295" i="19"/>
  <c r="P296" i="19"/>
  <c r="P297" i="19"/>
  <c r="P298" i="19"/>
  <c r="P299" i="19"/>
  <c r="P300" i="19"/>
  <c r="P301" i="19"/>
  <c r="P302" i="19"/>
  <c r="P303" i="19"/>
  <c r="P304" i="19"/>
  <c r="P305" i="19"/>
  <c r="P306" i="19"/>
  <c r="P307" i="19"/>
  <c r="P308" i="19"/>
  <c r="P309" i="19"/>
  <c r="P310" i="19"/>
  <c r="P311" i="19"/>
  <c r="P312" i="19"/>
  <c r="P313" i="19"/>
  <c r="P314" i="19"/>
  <c r="P315" i="19"/>
  <c r="P316" i="19"/>
  <c r="P317" i="19"/>
  <c r="P318" i="19"/>
  <c r="P319" i="19"/>
  <c r="P320" i="19"/>
  <c r="P321" i="19"/>
  <c r="P322" i="19"/>
  <c r="P323" i="19"/>
  <c r="P324" i="19"/>
  <c r="P325" i="19"/>
  <c r="P326" i="19"/>
  <c r="P327" i="19"/>
  <c r="P328" i="19"/>
  <c r="P329" i="19"/>
  <c r="P330" i="19"/>
  <c r="P331" i="19"/>
  <c r="P332" i="19"/>
  <c r="P333" i="19"/>
  <c r="P334" i="19"/>
  <c r="P335" i="19"/>
  <c r="P336" i="19"/>
  <c r="P337" i="19"/>
  <c r="P338" i="19"/>
  <c r="P339" i="19"/>
  <c r="P340" i="19"/>
  <c r="P341" i="19"/>
  <c r="P342" i="19"/>
  <c r="P343" i="19"/>
  <c r="P344" i="19"/>
  <c r="P345" i="19"/>
  <c r="P346" i="19"/>
  <c r="P347" i="19"/>
  <c r="P348" i="19"/>
  <c r="P349" i="19"/>
  <c r="P350" i="19"/>
  <c r="P351" i="19"/>
  <c r="P352" i="19"/>
  <c r="P353" i="19"/>
  <c r="P354" i="19"/>
  <c r="P355" i="19"/>
  <c r="P356" i="19"/>
  <c r="P357" i="19"/>
  <c r="P358" i="19"/>
  <c r="P359" i="19"/>
  <c r="P360" i="19"/>
  <c r="P361" i="19"/>
  <c r="P362" i="19"/>
  <c r="P363" i="19"/>
  <c r="P364" i="19"/>
  <c r="P365" i="19"/>
  <c r="P366" i="19"/>
  <c r="P367" i="19"/>
  <c r="P368" i="19"/>
  <c r="P369" i="19"/>
  <c r="P370" i="19"/>
  <c r="P371" i="19"/>
  <c r="P372" i="19"/>
  <c r="P373" i="19"/>
  <c r="P374" i="19"/>
  <c r="P375" i="19"/>
  <c r="P376" i="19"/>
  <c r="P377" i="19"/>
  <c r="P378" i="19"/>
  <c r="P379" i="19"/>
  <c r="P380" i="19"/>
  <c r="P381" i="19"/>
  <c r="P382" i="19"/>
  <c r="P383" i="19"/>
  <c r="P384" i="19"/>
  <c r="P385" i="19"/>
  <c r="P386" i="19"/>
  <c r="P387" i="19"/>
  <c r="P388" i="19"/>
  <c r="P389" i="19"/>
  <c r="P390" i="19"/>
  <c r="P391" i="19"/>
  <c r="P392" i="19"/>
  <c r="P393" i="19"/>
  <c r="P394" i="19"/>
  <c r="P395" i="19"/>
  <c r="P396" i="19"/>
  <c r="P397" i="19"/>
  <c r="P398" i="19"/>
  <c r="P399" i="19"/>
  <c r="P400" i="19"/>
  <c r="P401" i="19"/>
  <c r="P402" i="19"/>
  <c r="P403" i="19"/>
  <c r="P404" i="19"/>
  <c r="P405" i="19"/>
  <c r="P406" i="19"/>
  <c r="P407" i="19"/>
  <c r="P408" i="19"/>
  <c r="P409" i="19"/>
  <c r="P410" i="19"/>
  <c r="P411" i="19"/>
  <c r="P412" i="19"/>
  <c r="P413" i="19"/>
  <c r="P414" i="19"/>
  <c r="P415" i="19"/>
  <c r="P416" i="19"/>
  <c r="P417" i="19"/>
  <c r="P418" i="19"/>
  <c r="P419" i="19"/>
  <c r="P420" i="19"/>
  <c r="P421" i="19"/>
  <c r="P422" i="19"/>
  <c r="P423" i="19"/>
  <c r="P424" i="19"/>
  <c r="P425" i="19"/>
  <c r="P426" i="19"/>
  <c r="P427" i="19"/>
  <c r="P428" i="19"/>
  <c r="P429" i="19"/>
  <c r="P430" i="19"/>
  <c r="P431" i="19"/>
  <c r="P432" i="19"/>
  <c r="P433" i="19"/>
  <c r="P434" i="19"/>
  <c r="P435" i="19"/>
  <c r="P436" i="19"/>
  <c r="P437" i="19"/>
  <c r="P438" i="19"/>
  <c r="P439" i="19"/>
  <c r="P440" i="19"/>
  <c r="P441" i="19"/>
  <c r="P442" i="19"/>
  <c r="P443" i="19"/>
  <c r="N5" i="19"/>
  <c r="N6" i="19"/>
  <c r="N7" i="19"/>
  <c r="N8" i="19"/>
  <c r="N9" i="19"/>
  <c r="N10" i="19"/>
  <c r="N11" i="19"/>
  <c r="N12" i="19"/>
  <c r="N13" i="19"/>
  <c r="N14" i="19"/>
  <c r="N15" i="19"/>
  <c r="N16" i="19"/>
  <c r="N17" i="19"/>
  <c r="N18" i="19"/>
  <c r="N19" i="19"/>
  <c r="N20" i="19"/>
  <c r="N21" i="19"/>
  <c r="N22" i="19"/>
  <c r="N23" i="19"/>
  <c r="N24" i="19"/>
  <c r="N25" i="19"/>
  <c r="N26" i="19"/>
  <c r="N27" i="19"/>
  <c r="N28" i="19"/>
  <c r="N29" i="19"/>
  <c r="N30" i="19"/>
  <c r="N31" i="19"/>
  <c r="N32" i="19"/>
  <c r="N33" i="19"/>
  <c r="N34" i="19"/>
  <c r="N35" i="19"/>
  <c r="N36" i="19"/>
  <c r="N37" i="19"/>
  <c r="N38" i="19"/>
  <c r="N39" i="19"/>
  <c r="N40" i="19"/>
  <c r="N41" i="19"/>
  <c r="N42" i="19"/>
  <c r="N43" i="19"/>
  <c r="N44" i="19"/>
  <c r="N45" i="19"/>
  <c r="N46" i="19"/>
  <c r="N47" i="19"/>
  <c r="N48" i="19"/>
  <c r="N49" i="19"/>
  <c r="N50" i="19"/>
  <c r="N51" i="19"/>
  <c r="N52" i="19"/>
  <c r="N53" i="19"/>
  <c r="N54" i="19"/>
  <c r="N55" i="19"/>
  <c r="N56" i="19"/>
  <c r="N57" i="19"/>
  <c r="N58" i="19"/>
  <c r="N59" i="19"/>
  <c r="N60" i="19"/>
  <c r="N61" i="19"/>
  <c r="N62" i="19"/>
  <c r="N63" i="19"/>
  <c r="N64" i="19"/>
  <c r="N65" i="19"/>
  <c r="N66" i="19"/>
  <c r="N67" i="19"/>
  <c r="N68" i="19"/>
  <c r="N69" i="19"/>
  <c r="N70" i="19"/>
  <c r="N71" i="19"/>
  <c r="N72" i="19"/>
  <c r="N73" i="19"/>
  <c r="N74" i="19"/>
  <c r="N75" i="19"/>
  <c r="N76" i="19"/>
  <c r="N77" i="19"/>
  <c r="N78" i="19"/>
  <c r="N79" i="19"/>
  <c r="N80" i="19"/>
  <c r="N81" i="19"/>
  <c r="N82" i="19"/>
  <c r="N83" i="19"/>
  <c r="N84" i="19"/>
  <c r="N85" i="19"/>
  <c r="N86" i="19"/>
  <c r="N87" i="19"/>
  <c r="N88" i="19"/>
  <c r="N89" i="19"/>
  <c r="N90" i="19"/>
  <c r="N91" i="19"/>
  <c r="N92" i="19"/>
  <c r="N93" i="19"/>
  <c r="N94" i="19"/>
  <c r="N95" i="19"/>
  <c r="N96" i="19"/>
  <c r="N97" i="19"/>
  <c r="N98" i="19"/>
  <c r="N99" i="19"/>
  <c r="N100" i="19"/>
  <c r="N101" i="19"/>
  <c r="N102" i="19"/>
  <c r="N103" i="19"/>
  <c r="N104" i="19"/>
  <c r="N105" i="19"/>
  <c r="N106" i="19"/>
  <c r="N107" i="19"/>
  <c r="N108" i="19"/>
  <c r="N109" i="19"/>
  <c r="N110" i="19"/>
  <c r="N111" i="19"/>
  <c r="N112" i="19"/>
  <c r="N113" i="19"/>
  <c r="N114" i="19"/>
  <c r="N115" i="19"/>
  <c r="N116" i="19"/>
  <c r="N117" i="19"/>
  <c r="N118" i="19"/>
  <c r="N119" i="19"/>
  <c r="N120" i="19"/>
  <c r="N121" i="19"/>
  <c r="N122" i="19"/>
  <c r="N123" i="19"/>
  <c r="N124" i="19"/>
  <c r="N125" i="19"/>
  <c r="N126" i="19"/>
  <c r="N127" i="19"/>
  <c r="N128" i="19"/>
  <c r="N129" i="19"/>
  <c r="N130" i="19"/>
  <c r="N131" i="19"/>
  <c r="N132" i="19"/>
  <c r="N133" i="19"/>
  <c r="N134" i="19"/>
  <c r="N135" i="19"/>
  <c r="N136" i="19"/>
  <c r="N137" i="19"/>
  <c r="N138" i="19"/>
  <c r="N139" i="19"/>
  <c r="N140" i="19"/>
  <c r="N141" i="19"/>
  <c r="N142" i="19"/>
  <c r="N143" i="19"/>
  <c r="N144" i="19"/>
  <c r="N145" i="19"/>
  <c r="N146" i="19"/>
  <c r="N147" i="19"/>
  <c r="N148" i="19"/>
  <c r="N149" i="19"/>
  <c r="N150" i="19"/>
  <c r="N151" i="19"/>
  <c r="N152" i="19"/>
  <c r="N153" i="19"/>
  <c r="N154" i="19"/>
  <c r="N155" i="19"/>
  <c r="N156" i="19"/>
  <c r="N157" i="19"/>
  <c r="N158" i="19"/>
  <c r="N159" i="19"/>
  <c r="N160" i="19"/>
  <c r="N161" i="19"/>
  <c r="N162" i="19"/>
  <c r="N163" i="19"/>
  <c r="N164" i="19"/>
  <c r="N165" i="19"/>
  <c r="N166" i="19"/>
  <c r="N167" i="19"/>
  <c r="N168" i="19"/>
  <c r="N169" i="19"/>
  <c r="N170" i="19"/>
  <c r="N171" i="19"/>
  <c r="N172" i="19"/>
  <c r="N173" i="19"/>
  <c r="N174" i="19"/>
  <c r="N175" i="19"/>
  <c r="N176" i="19"/>
  <c r="N177" i="19"/>
  <c r="N178" i="19"/>
  <c r="N179" i="19"/>
  <c r="N180" i="19"/>
  <c r="N181" i="19"/>
  <c r="N182" i="19"/>
  <c r="N183" i="19"/>
  <c r="N184" i="19"/>
  <c r="N185" i="19"/>
  <c r="N186" i="19"/>
  <c r="N187" i="19"/>
  <c r="N188" i="19"/>
  <c r="N189" i="19"/>
  <c r="N190" i="19"/>
  <c r="N191" i="19"/>
  <c r="N192" i="19"/>
  <c r="N193" i="19"/>
  <c r="N194" i="19"/>
  <c r="N195" i="19"/>
  <c r="N196" i="19"/>
  <c r="N197" i="19"/>
  <c r="N198" i="19"/>
  <c r="N199" i="19"/>
  <c r="N200" i="19"/>
  <c r="N201" i="19"/>
  <c r="N202" i="19"/>
  <c r="N203" i="19"/>
  <c r="N204" i="19"/>
  <c r="N205" i="19"/>
  <c r="N206" i="19"/>
  <c r="N207" i="19"/>
  <c r="N208" i="19"/>
  <c r="N209" i="19"/>
  <c r="N210" i="19"/>
  <c r="N211" i="19"/>
  <c r="N212" i="19"/>
  <c r="N213" i="19"/>
  <c r="N214" i="19"/>
  <c r="N215" i="19"/>
  <c r="N216" i="19"/>
  <c r="N217" i="19"/>
  <c r="N218" i="19"/>
  <c r="N219" i="19"/>
  <c r="N220" i="19"/>
  <c r="N221" i="19"/>
  <c r="N222" i="19"/>
  <c r="N223" i="19"/>
  <c r="N224" i="19"/>
  <c r="N225" i="19"/>
  <c r="N226" i="19"/>
  <c r="N227" i="19"/>
  <c r="N228" i="19"/>
  <c r="N229" i="19"/>
  <c r="N230" i="19"/>
  <c r="N231" i="19"/>
  <c r="N232" i="19"/>
  <c r="N233" i="19"/>
  <c r="N234" i="19"/>
  <c r="N235" i="19"/>
  <c r="N236" i="19"/>
  <c r="N237" i="19"/>
  <c r="N238" i="19"/>
  <c r="N239" i="19"/>
  <c r="N240" i="19"/>
  <c r="N241" i="19"/>
  <c r="N242" i="19"/>
  <c r="N243" i="19"/>
  <c r="N244" i="19"/>
  <c r="N245" i="19"/>
  <c r="N246" i="19"/>
  <c r="N247" i="19"/>
  <c r="N248" i="19"/>
  <c r="N249" i="19"/>
  <c r="N250" i="19"/>
  <c r="N251" i="19"/>
  <c r="N252" i="19"/>
  <c r="N253" i="19"/>
  <c r="N254" i="19"/>
  <c r="N255" i="19"/>
  <c r="N256" i="19"/>
  <c r="N257" i="19"/>
  <c r="N258" i="19"/>
  <c r="N259" i="19"/>
  <c r="N260" i="19"/>
  <c r="N261" i="19"/>
  <c r="N262" i="19"/>
  <c r="N263" i="19"/>
  <c r="N264" i="19"/>
  <c r="N265" i="19"/>
  <c r="N266" i="19"/>
  <c r="N267" i="19"/>
  <c r="N268" i="19"/>
  <c r="N269" i="19"/>
  <c r="N270" i="19"/>
  <c r="N271" i="19"/>
  <c r="N272" i="19"/>
  <c r="N273" i="19"/>
  <c r="N274" i="19"/>
  <c r="N275" i="19"/>
  <c r="N276" i="19"/>
  <c r="N277" i="19"/>
  <c r="N278" i="19"/>
  <c r="N279" i="19"/>
  <c r="N280" i="19"/>
  <c r="N281" i="19"/>
  <c r="N282" i="19"/>
  <c r="N283" i="19"/>
  <c r="N284" i="19"/>
  <c r="N285" i="19"/>
  <c r="N286" i="19"/>
  <c r="N287" i="19"/>
  <c r="N288" i="19"/>
  <c r="N289" i="19"/>
  <c r="N290" i="19"/>
  <c r="N291" i="19"/>
  <c r="N292" i="19"/>
  <c r="N293" i="19"/>
  <c r="N294" i="19"/>
  <c r="N295" i="19"/>
  <c r="N296" i="19"/>
  <c r="N297" i="19"/>
  <c r="N298" i="19"/>
  <c r="N299" i="19"/>
  <c r="N300" i="19"/>
  <c r="N301" i="19"/>
  <c r="N302" i="19"/>
  <c r="N303" i="19"/>
  <c r="N304" i="19"/>
  <c r="N305" i="19"/>
  <c r="N306" i="19"/>
  <c r="N307" i="19"/>
  <c r="N308" i="19"/>
  <c r="N309" i="19"/>
  <c r="N310" i="19"/>
  <c r="N311" i="19"/>
  <c r="N312" i="19"/>
  <c r="N313" i="19"/>
  <c r="N314" i="19"/>
  <c r="N315" i="19"/>
  <c r="N316" i="19"/>
  <c r="N317" i="19"/>
  <c r="N318" i="19"/>
  <c r="N319" i="19"/>
  <c r="N320" i="19"/>
  <c r="N321" i="19"/>
  <c r="N322" i="19"/>
  <c r="N323" i="19"/>
  <c r="N324" i="19"/>
  <c r="N325" i="19"/>
  <c r="N326" i="19"/>
  <c r="N327" i="19"/>
  <c r="N328" i="19"/>
  <c r="N329" i="19"/>
  <c r="N330" i="19"/>
  <c r="N331" i="19"/>
  <c r="N332" i="19"/>
  <c r="N333" i="19"/>
  <c r="N334" i="19"/>
  <c r="N335" i="19"/>
  <c r="N336" i="19"/>
  <c r="N337" i="19"/>
  <c r="N338" i="19"/>
  <c r="N339" i="19"/>
  <c r="N340" i="19"/>
  <c r="N341" i="19"/>
  <c r="N342" i="19"/>
  <c r="N343" i="19"/>
  <c r="N344" i="19"/>
  <c r="N345" i="19"/>
  <c r="N346" i="19"/>
  <c r="N347" i="19"/>
  <c r="N348" i="19"/>
  <c r="N349" i="19"/>
  <c r="N350" i="19"/>
  <c r="N351" i="19"/>
  <c r="N352" i="19"/>
  <c r="N353" i="19"/>
  <c r="N354" i="19"/>
  <c r="N355" i="19"/>
  <c r="N356" i="19"/>
  <c r="N357" i="19"/>
  <c r="N358" i="19"/>
  <c r="N359" i="19"/>
  <c r="N360" i="19"/>
  <c r="N361" i="19"/>
  <c r="N362" i="19"/>
  <c r="N363" i="19"/>
  <c r="N364" i="19"/>
  <c r="N365" i="19"/>
  <c r="N366" i="19"/>
  <c r="N367" i="19"/>
  <c r="N368" i="19"/>
  <c r="N369" i="19"/>
  <c r="N370" i="19"/>
  <c r="N371" i="19"/>
  <c r="N372" i="19"/>
  <c r="N373" i="19"/>
  <c r="N374" i="19"/>
  <c r="N375" i="19"/>
  <c r="N376" i="19"/>
  <c r="N377" i="19"/>
  <c r="N378" i="19"/>
  <c r="N379" i="19"/>
  <c r="N380" i="19"/>
  <c r="N381" i="19"/>
  <c r="N382" i="19"/>
  <c r="N383" i="19"/>
  <c r="N384" i="19"/>
  <c r="N385" i="19"/>
  <c r="N386" i="19"/>
  <c r="N387" i="19"/>
  <c r="N388" i="19"/>
  <c r="N389" i="19"/>
  <c r="N390" i="19"/>
  <c r="N391" i="19"/>
  <c r="N392" i="19"/>
  <c r="N393" i="19"/>
  <c r="N394" i="19"/>
  <c r="N395" i="19"/>
  <c r="N396" i="19"/>
  <c r="N397" i="19"/>
  <c r="N398" i="19"/>
  <c r="N399" i="19"/>
  <c r="N400" i="19"/>
  <c r="N401" i="19"/>
  <c r="N402" i="19"/>
  <c r="N403" i="19"/>
  <c r="N404" i="19"/>
  <c r="N405" i="19"/>
  <c r="N406" i="19"/>
  <c r="N407" i="19"/>
  <c r="N408" i="19"/>
  <c r="N409" i="19"/>
  <c r="N410" i="19"/>
  <c r="N411" i="19"/>
  <c r="N412" i="19"/>
  <c r="N413" i="19"/>
  <c r="N414" i="19"/>
  <c r="N415" i="19"/>
  <c r="N416" i="19"/>
  <c r="N417" i="19"/>
  <c r="N418" i="19"/>
  <c r="N419" i="19"/>
  <c r="N420" i="19"/>
  <c r="N421" i="19"/>
  <c r="N422" i="19"/>
  <c r="N423" i="19"/>
  <c r="N424" i="19"/>
  <c r="N425" i="19"/>
  <c r="N426" i="19"/>
  <c r="N427" i="19"/>
  <c r="N428" i="19"/>
  <c r="N429" i="19"/>
  <c r="N430" i="19"/>
  <c r="N431" i="19"/>
  <c r="N432" i="19"/>
  <c r="N433" i="19"/>
  <c r="N434" i="19"/>
  <c r="N435" i="19"/>
  <c r="N436" i="19"/>
  <c r="N437" i="19"/>
  <c r="N438" i="19"/>
  <c r="N439" i="19"/>
  <c r="N440" i="19"/>
  <c r="N441" i="19"/>
  <c r="N442" i="19"/>
  <c r="N443" i="19"/>
  <c r="P4" i="19"/>
  <c r="N4" i="19"/>
  <c r="P2" i="19"/>
  <c r="M2" i="19"/>
  <c r="AL3" i="25"/>
  <c r="AL4" i="25"/>
  <c r="AM4" i="25"/>
  <c r="AL6" i="25"/>
  <c r="AM6" i="25"/>
  <c r="AL8" i="25"/>
  <c r="AM8" i="25"/>
  <c r="AL9" i="25"/>
  <c r="AL10" i="25"/>
  <c r="AM10" i="25"/>
  <c r="AL11" i="25"/>
  <c r="AL12" i="25"/>
  <c r="AM12" i="25"/>
  <c r="AL14" i="25"/>
  <c r="AM14" i="25"/>
  <c r="AL16" i="25"/>
  <c r="AM16" i="25"/>
  <c r="AL17" i="25"/>
  <c r="AL18" i="25"/>
  <c r="AM18" i="25"/>
  <c r="AL19" i="25"/>
  <c r="AL20" i="25"/>
  <c r="AM20" i="25"/>
  <c r="AL22" i="25"/>
  <c r="AM22" i="25"/>
  <c r="AL24" i="25"/>
  <c r="AM24" i="25"/>
  <c r="AL25" i="25"/>
  <c r="AL26" i="25"/>
  <c r="AM26" i="25"/>
  <c r="AL27" i="25"/>
  <c r="AL28" i="25"/>
  <c r="AM28" i="25"/>
  <c r="AL30" i="25"/>
  <c r="AM30" i="25"/>
  <c r="AL32" i="25"/>
  <c r="AM32" i="25"/>
  <c r="AL33" i="25"/>
  <c r="AL34" i="25"/>
  <c r="AM34" i="25"/>
  <c r="AL35" i="25"/>
  <c r="AL36" i="25"/>
  <c r="AM36" i="25"/>
  <c r="AL38" i="25"/>
  <c r="AM38" i="25"/>
  <c r="AL40" i="25"/>
  <c r="AM40" i="25"/>
  <c r="AL41" i="25"/>
  <c r="AL42" i="25"/>
  <c r="AM42" i="25"/>
  <c r="AL43" i="25"/>
  <c r="AL44" i="25"/>
  <c r="AM44" i="25"/>
  <c r="AL46" i="25"/>
  <c r="AM46" i="25"/>
  <c r="AL48" i="25"/>
  <c r="AM48" i="25"/>
  <c r="AL49" i="25"/>
  <c r="AL50" i="25"/>
  <c r="AM50" i="25"/>
  <c r="AL51" i="25"/>
  <c r="AL52" i="25"/>
  <c r="AM52" i="25"/>
  <c r="AL54" i="25"/>
  <c r="AM54" i="25"/>
  <c r="AL56" i="25"/>
  <c r="AM56" i="25"/>
  <c r="AL57" i="25"/>
  <c r="AL58" i="25"/>
  <c r="AM58" i="25"/>
  <c r="AL59" i="25"/>
  <c r="AL60" i="25"/>
  <c r="AM60" i="25"/>
  <c r="AL62" i="25"/>
  <c r="AM62" i="25"/>
  <c r="AL64" i="25"/>
  <c r="AM64" i="25"/>
  <c r="AL65" i="25"/>
  <c r="AL66" i="25"/>
  <c r="AM66" i="25"/>
  <c r="AL67" i="25"/>
  <c r="AL68" i="25"/>
  <c r="AM68" i="25"/>
  <c r="AL70" i="25"/>
  <c r="AM70" i="25"/>
  <c r="AL72" i="25"/>
  <c r="AM72" i="25"/>
  <c r="AL73" i="25"/>
  <c r="AL74" i="25"/>
  <c r="AM74" i="25"/>
  <c r="AL75" i="25"/>
  <c r="AL76" i="25"/>
  <c r="AM76" i="25"/>
  <c r="AL78" i="25"/>
  <c r="AM78" i="25"/>
  <c r="AL80" i="25"/>
  <c r="AM80" i="25"/>
  <c r="AL81" i="25"/>
  <c r="AL82" i="25"/>
  <c r="AM82" i="25"/>
  <c r="AL83" i="25"/>
  <c r="AL84" i="25"/>
  <c r="AM84" i="25"/>
  <c r="AL86" i="25"/>
  <c r="AM86" i="25"/>
  <c r="AL88" i="25"/>
  <c r="AM88" i="25"/>
  <c r="AL89" i="25"/>
  <c r="AL90" i="25"/>
  <c r="AM90" i="25"/>
  <c r="AL91" i="25"/>
  <c r="AL92" i="25"/>
  <c r="AM92" i="25"/>
  <c r="AL94" i="25"/>
  <c r="AM94" i="25"/>
  <c r="AL96" i="25"/>
  <c r="AM96" i="25"/>
  <c r="AL97" i="25"/>
  <c r="AL98" i="25"/>
  <c r="AM98" i="25"/>
  <c r="AL99" i="25"/>
  <c r="AL100" i="25"/>
  <c r="AM100" i="25"/>
  <c r="AL102" i="25"/>
  <c r="AM102" i="25"/>
  <c r="AL104" i="25"/>
  <c r="AM104" i="25"/>
  <c r="AL105" i="25"/>
  <c r="AL106" i="25"/>
  <c r="AM106" i="25"/>
  <c r="AL107" i="25"/>
  <c r="AL108" i="25"/>
  <c r="AM108" i="25"/>
  <c r="AL110" i="25"/>
  <c r="AM110" i="25"/>
  <c r="AL112" i="25"/>
  <c r="AM112" i="25"/>
  <c r="AL113" i="25"/>
  <c r="AL114" i="25"/>
  <c r="AM114" i="25"/>
  <c r="AL115" i="25"/>
  <c r="AL116" i="25"/>
  <c r="AM116" i="25"/>
  <c r="AL118" i="25"/>
  <c r="AM118" i="25"/>
  <c r="AL120" i="25"/>
  <c r="AM120" i="25"/>
  <c r="AL121" i="25"/>
  <c r="AL122" i="25"/>
  <c r="AM122" i="25"/>
  <c r="AL123" i="25"/>
  <c r="AL124" i="25"/>
  <c r="AM124" i="25"/>
  <c r="AL126" i="25"/>
  <c r="AM126" i="25"/>
  <c r="AL128" i="25"/>
  <c r="AM128" i="25"/>
  <c r="AL129" i="25"/>
  <c r="AL130" i="25"/>
  <c r="AM130" i="25"/>
  <c r="AL131" i="25"/>
  <c r="AL132" i="25"/>
  <c r="AM132" i="25"/>
  <c r="AL134" i="25"/>
  <c r="AM134" i="25"/>
  <c r="AL136" i="25"/>
  <c r="AM136" i="25"/>
  <c r="AL137" i="25"/>
  <c r="AL138" i="25"/>
  <c r="AM138" i="25"/>
  <c r="AL139" i="25"/>
  <c r="AL140" i="25"/>
  <c r="AM140" i="25"/>
  <c r="AL142" i="25"/>
  <c r="AM142" i="25"/>
  <c r="AL144" i="25"/>
  <c r="AM144" i="25"/>
  <c r="AL145" i="25"/>
  <c r="AL146" i="25"/>
  <c r="AM146" i="25"/>
  <c r="AL147" i="25"/>
  <c r="AL148" i="25"/>
  <c r="AM148" i="25"/>
  <c r="AL150" i="25"/>
  <c r="AM150" i="25"/>
  <c r="AL152" i="25"/>
  <c r="AM152" i="25"/>
  <c r="AL153" i="25"/>
  <c r="AL154" i="25"/>
  <c r="AM154" i="25"/>
  <c r="AL155" i="25"/>
  <c r="AL156" i="25"/>
  <c r="AM156" i="25"/>
  <c r="AL157" i="25"/>
  <c r="AL158" i="25"/>
  <c r="AM158" i="25"/>
  <c r="AL159" i="25"/>
  <c r="AL160" i="25"/>
  <c r="AM160" i="25"/>
  <c r="AL161" i="25"/>
  <c r="AL162" i="25"/>
  <c r="AM162" i="25"/>
  <c r="AL163" i="25"/>
  <c r="AL164" i="25"/>
  <c r="AM164" i="25"/>
  <c r="AL165" i="25"/>
  <c r="AL166" i="25"/>
  <c r="AM166" i="25"/>
  <c r="AL167" i="25"/>
  <c r="AL168" i="25"/>
  <c r="AM168" i="25"/>
  <c r="AL169" i="25"/>
  <c r="AL170" i="25"/>
  <c r="AM170" i="25"/>
  <c r="AL171" i="25"/>
  <c r="AL172" i="25"/>
  <c r="AM172" i="25"/>
  <c r="AL173" i="25"/>
  <c r="AL174" i="25"/>
  <c r="AM174" i="25"/>
  <c r="AL175" i="25"/>
  <c r="AL176" i="25"/>
  <c r="AM176" i="25"/>
  <c r="AL177" i="25"/>
  <c r="AL178" i="25"/>
  <c r="AM178" i="25"/>
  <c r="AL179" i="25"/>
  <c r="AL180" i="25"/>
  <c r="AM180" i="25"/>
  <c r="AL181" i="25"/>
  <c r="AL182" i="25"/>
  <c r="AM182" i="25"/>
  <c r="AL183" i="25"/>
  <c r="AL184" i="25"/>
  <c r="AM184" i="25"/>
  <c r="AL185" i="25"/>
  <c r="AL186" i="25"/>
  <c r="AM186" i="25"/>
  <c r="AL187" i="25"/>
  <c r="AL188" i="25"/>
  <c r="AM188" i="25"/>
  <c r="AL189" i="25"/>
  <c r="AL190" i="25"/>
  <c r="AM190" i="25"/>
  <c r="AL191" i="25"/>
  <c r="AL192" i="25"/>
  <c r="AM192" i="25"/>
  <c r="AL193" i="25"/>
  <c r="AL222" i="25"/>
  <c r="AM222" i="25"/>
  <c r="AL223" i="25"/>
  <c r="AL224" i="25"/>
  <c r="AM224" i="25"/>
  <c r="AL225" i="25"/>
  <c r="AM225" i="25"/>
  <c r="AL226" i="25"/>
  <c r="AM226" i="25"/>
  <c r="AL228" i="25"/>
  <c r="AM228" i="25"/>
  <c r="AL229" i="25"/>
  <c r="AM229" i="25"/>
  <c r="AL230" i="25"/>
  <c r="AM230" i="25"/>
  <c r="AL232" i="25"/>
  <c r="AM232" i="25"/>
  <c r="AL233" i="25"/>
  <c r="AM233" i="25"/>
  <c r="AL234" i="25"/>
  <c r="AM234" i="25"/>
  <c r="AL236" i="25"/>
  <c r="AM236" i="25"/>
  <c r="AL237" i="25"/>
  <c r="AM237" i="25"/>
  <c r="AL238" i="25"/>
  <c r="AM238" i="25"/>
  <c r="AL239" i="25"/>
  <c r="AL240" i="25"/>
  <c r="AM240" i="25"/>
  <c r="AL241" i="25"/>
  <c r="AM241" i="25"/>
  <c r="AL242" i="25"/>
  <c r="AM242" i="25"/>
  <c r="AL244" i="25"/>
  <c r="AM244" i="25"/>
  <c r="AL245" i="25"/>
  <c r="AM245" i="25"/>
  <c r="AL246" i="25"/>
  <c r="AM246" i="25"/>
  <c r="AL248" i="25"/>
  <c r="AM248" i="25"/>
  <c r="AL249" i="25"/>
  <c r="AM249" i="25"/>
  <c r="AL250" i="25"/>
  <c r="AM250" i="25"/>
  <c r="AL252" i="25"/>
  <c r="AM252" i="25"/>
  <c r="AL253" i="25"/>
  <c r="AM253" i="25"/>
  <c r="AL254" i="25"/>
  <c r="AM254" i="25"/>
  <c r="AL255" i="25"/>
  <c r="AL256" i="25"/>
  <c r="AM256" i="25"/>
  <c r="AL257" i="25"/>
  <c r="AM257" i="25"/>
  <c r="AL258" i="25"/>
  <c r="AM258" i="25"/>
  <c r="AL260" i="25"/>
  <c r="AM260" i="25"/>
  <c r="AL261" i="25"/>
  <c r="AM261" i="25"/>
  <c r="AL262" i="25"/>
  <c r="AM262" i="25"/>
  <c r="AL264" i="25"/>
  <c r="AM264" i="25"/>
  <c r="AL265" i="25"/>
  <c r="AM265" i="25"/>
  <c r="AL266" i="25"/>
  <c r="AM266" i="25"/>
  <c r="AL268" i="25"/>
  <c r="AM268" i="25"/>
  <c r="AL269" i="25"/>
  <c r="AM269" i="25"/>
  <c r="AL270" i="25"/>
  <c r="AM270" i="25"/>
  <c r="AL271" i="25"/>
  <c r="AL272" i="25"/>
  <c r="AM272" i="25"/>
  <c r="AL273" i="25"/>
  <c r="AM273" i="25"/>
  <c r="AL274" i="25"/>
  <c r="AM274" i="25"/>
  <c r="AL276" i="25"/>
  <c r="AM276" i="25"/>
  <c r="AL277" i="25"/>
  <c r="AM277" i="25"/>
  <c r="AL278" i="25"/>
  <c r="AM278" i="25"/>
  <c r="AL280" i="25"/>
  <c r="AM280" i="25"/>
  <c r="AL281" i="25"/>
  <c r="AM281" i="25"/>
  <c r="AL282" i="25"/>
  <c r="AM282" i="25"/>
  <c r="AL284" i="25"/>
  <c r="AM284" i="25"/>
  <c r="AL285" i="25"/>
  <c r="AM285" i="25"/>
  <c r="AL286" i="25"/>
  <c r="AM286" i="25"/>
  <c r="AL287" i="25"/>
  <c r="AL288" i="25"/>
  <c r="AM288" i="25"/>
  <c r="AL289" i="25"/>
  <c r="AM289" i="25"/>
  <c r="AL290" i="25"/>
  <c r="AM290" i="25"/>
  <c r="AL291" i="25"/>
  <c r="AL292" i="25"/>
  <c r="AM292" i="25"/>
  <c r="AL293" i="25"/>
  <c r="AM293" i="25"/>
  <c r="AL294" i="25"/>
  <c r="AM294" i="25"/>
  <c r="AL295" i="25"/>
  <c r="AL296" i="25"/>
  <c r="AM296" i="25"/>
  <c r="AL297" i="25"/>
  <c r="AM297" i="25"/>
  <c r="AL298" i="25"/>
  <c r="AM298" i="25"/>
  <c r="AL299" i="25"/>
  <c r="AL300" i="25"/>
  <c r="AM300" i="25"/>
  <c r="AL301" i="25"/>
  <c r="AM301" i="25"/>
  <c r="AL302" i="25"/>
  <c r="AM302" i="25"/>
  <c r="AL303" i="25"/>
  <c r="AL304" i="25"/>
  <c r="AM304" i="25"/>
  <c r="AL305" i="25"/>
  <c r="AM305" i="25"/>
  <c r="AL306" i="25"/>
  <c r="AM306" i="25"/>
  <c r="AL307" i="25"/>
  <c r="AL308" i="25"/>
  <c r="AM308" i="25"/>
  <c r="AL309" i="25"/>
  <c r="AM309" i="25"/>
  <c r="AL310" i="25"/>
  <c r="AM310" i="25"/>
  <c r="AL311" i="25"/>
  <c r="AL312" i="25"/>
  <c r="AM312" i="25"/>
  <c r="AL313" i="25"/>
  <c r="AM313" i="25"/>
  <c r="AL314" i="25"/>
  <c r="AM314" i="25"/>
  <c r="AL315" i="25"/>
  <c r="AL316" i="25"/>
  <c r="AM316" i="25"/>
  <c r="AL317" i="25"/>
  <c r="AM317" i="25"/>
  <c r="AL318" i="25"/>
  <c r="AM318" i="25"/>
  <c r="AL319" i="25"/>
  <c r="AL320" i="25"/>
  <c r="AM320" i="25"/>
  <c r="AL321" i="25"/>
  <c r="AM321" i="25"/>
  <c r="AL322" i="25"/>
  <c r="AM322" i="25"/>
  <c r="AL323" i="25"/>
  <c r="AL324" i="25"/>
  <c r="AM324" i="25"/>
  <c r="AL325" i="25"/>
  <c r="AM325" i="25"/>
  <c r="AL326" i="25"/>
  <c r="AM326" i="25"/>
  <c r="AL327" i="25"/>
  <c r="AL328" i="25"/>
  <c r="AM328" i="25"/>
  <c r="AL329" i="25"/>
  <c r="AM329" i="25"/>
  <c r="AL330" i="25"/>
  <c r="AM330" i="25"/>
  <c r="AL331" i="25"/>
  <c r="AL332" i="25"/>
  <c r="AM332" i="25"/>
  <c r="AL333" i="25"/>
  <c r="AM333" i="25"/>
  <c r="AL334" i="25"/>
  <c r="AM334" i="25"/>
  <c r="AL335" i="25"/>
  <c r="AL336" i="25"/>
  <c r="AM336" i="25"/>
  <c r="AL337" i="25"/>
  <c r="AM337" i="25"/>
  <c r="AL338" i="25"/>
  <c r="AM338" i="25"/>
  <c r="AL339" i="25"/>
  <c r="AL340" i="25"/>
  <c r="AM340" i="25"/>
  <c r="AL341" i="25"/>
  <c r="AM341" i="25"/>
  <c r="AL342" i="25"/>
  <c r="AM342" i="25"/>
  <c r="AL343" i="25"/>
  <c r="AL344" i="25"/>
  <c r="AM344" i="25"/>
  <c r="AL345" i="25"/>
  <c r="AM345" i="25"/>
  <c r="AL346" i="25"/>
  <c r="AM346" i="25"/>
  <c r="AL347" i="25"/>
  <c r="AL348" i="25"/>
  <c r="AM348" i="25"/>
  <c r="AL349" i="25"/>
  <c r="AM349" i="25"/>
  <c r="AL350" i="25"/>
  <c r="AM350" i="25"/>
  <c r="AL351" i="25"/>
  <c r="AL352" i="25"/>
  <c r="AM352" i="25"/>
  <c r="AL353" i="25"/>
  <c r="AM353" i="25"/>
  <c r="AL354" i="25"/>
  <c r="AM354" i="25"/>
  <c r="AL355" i="25"/>
  <c r="AL356" i="25"/>
  <c r="AM356" i="25"/>
  <c r="AL357" i="25"/>
  <c r="AM357" i="25"/>
  <c r="AL358" i="25"/>
  <c r="AM358" i="25"/>
  <c r="AL359" i="25"/>
  <c r="AL360" i="25"/>
  <c r="AM360" i="25"/>
  <c r="AL361" i="25"/>
  <c r="AM361" i="25"/>
  <c r="AL362" i="25"/>
  <c r="AM362" i="25"/>
  <c r="AL363" i="25"/>
  <c r="AL364" i="25"/>
  <c r="AM364" i="25"/>
  <c r="AL365" i="25"/>
  <c r="AM365" i="25"/>
  <c r="AL366" i="25"/>
  <c r="AM366" i="25"/>
  <c r="AL367" i="25"/>
  <c r="AL368" i="25"/>
  <c r="AM368" i="25"/>
  <c r="AL369" i="25"/>
  <c r="AM369" i="25"/>
  <c r="AL370" i="25"/>
  <c r="AM370" i="25"/>
  <c r="AL371" i="25"/>
  <c r="AL372" i="25"/>
  <c r="AM372" i="25"/>
  <c r="AL373" i="25"/>
  <c r="AM373" i="25"/>
  <c r="AL374" i="25"/>
  <c r="AM374" i="25"/>
  <c r="AL375" i="25"/>
  <c r="AL376" i="25"/>
  <c r="AM376" i="25"/>
  <c r="AL377" i="25"/>
  <c r="AM377" i="25"/>
  <c r="AL378" i="25"/>
  <c r="AM378" i="25"/>
  <c r="AL379" i="25"/>
  <c r="AL380" i="25"/>
  <c r="AM380" i="25"/>
  <c r="AL381" i="25"/>
  <c r="AM381" i="25"/>
  <c r="AL382" i="25"/>
  <c r="AM382" i="25"/>
  <c r="AL383" i="25"/>
  <c r="AL384" i="25"/>
  <c r="AM384" i="25"/>
  <c r="AL385" i="25"/>
  <c r="AM385" i="25"/>
  <c r="AL386" i="25"/>
  <c r="AM386" i="25"/>
  <c r="AL387" i="25"/>
  <c r="AL388" i="25"/>
  <c r="AM388" i="25"/>
  <c r="AL389" i="25"/>
  <c r="AM389" i="25"/>
  <c r="AL390" i="25"/>
  <c r="AM390" i="25"/>
  <c r="AL391" i="25"/>
  <c r="AL392" i="25"/>
  <c r="AM392" i="25"/>
  <c r="AL393" i="25"/>
  <c r="AM393" i="25"/>
  <c r="AL394" i="25"/>
  <c r="AM394" i="25"/>
  <c r="AL395" i="25"/>
  <c r="AL396" i="25"/>
  <c r="AM396" i="25"/>
  <c r="AL397" i="25"/>
  <c r="AM397" i="25"/>
  <c r="AL398" i="25"/>
  <c r="AM398" i="25"/>
  <c r="AL399" i="25"/>
  <c r="AL400" i="25"/>
  <c r="AM400" i="25"/>
  <c r="AL401" i="25"/>
  <c r="AM401" i="25"/>
  <c r="AL402" i="25"/>
  <c r="AM402" i="25"/>
  <c r="AL403" i="25"/>
  <c r="AL404" i="25"/>
  <c r="AM404" i="25"/>
  <c r="AL405" i="25"/>
  <c r="AM405" i="25"/>
  <c r="AL406" i="25"/>
  <c r="AM406" i="25"/>
  <c r="AL407" i="25"/>
  <c r="AL408" i="25"/>
  <c r="AM408" i="25"/>
  <c r="AL409" i="25"/>
  <c r="AM409" i="25"/>
  <c r="AL410" i="25"/>
  <c r="AM410" i="25"/>
  <c r="AL411" i="25"/>
  <c r="AL412" i="25"/>
  <c r="AM412" i="25"/>
  <c r="AL413" i="25"/>
  <c r="AM413" i="25"/>
  <c r="AL443" i="25"/>
  <c r="AM443" i="25"/>
  <c r="AL445" i="25"/>
  <c r="AM445" i="25"/>
  <c r="AL447" i="25"/>
  <c r="AM447" i="25"/>
  <c r="AL449" i="25"/>
  <c r="AM449" i="25"/>
  <c r="AL451" i="25"/>
  <c r="AM451" i="25"/>
  <c r="AL453" i="25"/>
  <c r="AM453" i="25"/>
  <c r="AL455" i="25"/>
  <c r="AM455" i="25"/>
  <c r="AL457" i="25"/>
  <c r="AM457" i="25"/>
  <c r="AL459" i="25"/>
  <c r="AM459" i="25"/>
  <c r="AL461" i="25"/>
  <c r="AM461" i="25"/>
  <c r="AL463" i="25"/>
  <c r="AM463" i="25"/>
  <c r="AL465" i="25"/>
  <c r="AM465" i="25"/>
  <c r="AL467" i="25"/>
  <c r="AM467" i="25"/>
  <c r="AL469" i="25"/>
  <c r="AM469" i="25"/>
  <c r="AL471" i="25"/>
  <c r="AM471" i="25"/>
  <c r="AL473" i="25"/>
  <c r="AM473" i="25"/>
  <c r="AL475" i="25"/>
  <c r="AM475" i="25"/>
  <c r="AL477" i="25"/>
  <c r="AM477" i="25"/>
  <c r="AL479" i="25"/>
  <c r="AM479" i="25"/>
  <c r="AL481" i="25"/>
  <c r="AM481" i="25"/>
  <c r="AL483" i="25"/>
  <c r="AM483" i="25"/>
  <c r="AL485" i="25"/>
  <c r="AM485" i="25"/>
  <c r="AL487" i="25"/>
  <c r="AM487" i="25"/>
  <c r="AL489" i="25"/>
  <c r="AM489" i="25"/>
  <c r="AL491" i="25"/>
  <c r="AM491" i="25"/>
  <c r="AL493" i="25"/>
  <c r="AM493" i="25"/>
  <c r="AL495" i="25"/>
  <c r="AM495" i="25"/>
  <c r="AL497" i="25"/>
  <c r="AM497" i="25"/>
  <c r="AL499" i="25"/>
  <c r="AM499" i="25"/>
  <c r="AL501" i="25"/>
  <c r="AM501" i="25"/>
  <c r="AL503" i="25"/>
  <c r="AM503" i="25"/>
  <c r="AL505" i="25"/>
  <c r="AM505" i="25"/>
  <c r="AL507" i="25"/>
  <c r="AM507" i="25"/>
  <c r="AL509" i="25"/>
  <c r="AM509" i="25"/>
  <c r="AL511" i="25"/>
  <c r="AM511" i="25"/>
  <c r="AL513" i="25"/>
  <c r="AM513" i="25"/>
  <c r="AL515" i="25"/>
  <c r="AM515" i="25"/>
  <c r="AL517" i="25"/>
  <c r="AM517" i="25"/>
  <c r="AL519" i="25"/>
  <c r="AM519" i="25"/>
  <c r="AL521" i="25"/>
  <c r="AM521" i="25"/>
  <c r="AL523" i="25"/>
  <c r="AM523" i="25"/>
  <c r="AL525" i="25"/>
  <c r="AM525" i="25"/>
  <c r="AL527" i="25"/>
  <c r="AM527" i="25"/>
  <c r="AL529" i="25"/>
  <c r="AM529" i="25"/>
  <c r="AL531" i="25"/>
  <c r="AM531" i="25"/>
  <c r="AL533" i="25"/>
  <c r="AM533" i="25"/>
  <c r="AL535" i="25"/>
  <c r="AM535" i="25"/>
  <c r="AL537" i="25"/>
  <c r="AM537" i="25"/>
  <c r="AL539" i="25"/>
  <c r="AM539" i="25"/>
  <c r="AL541" i="25"/>
  <c r="AM541" i="25"/>
  <c r="AL543" i="25"/>
  <c r="AM543" i="25"/>
  <c r="AL545" i="25"/>
  <c r="AM545" i="25"/>
  <c r="AL547" i="25"/>
  <c r="AM547" i="25"/>
  <c r="AL549" i="25"/>
  <c r="AM549" i="25"/>
  <c r="AL551" i="25"/>
  <c r="AM551" i="25"/>
  <c r="AL553" i="25"/>
  <c r="AM553" i="25"/>
  <c r="AL555" i="25"/>
  <c r="AM555" i="25"/>
  <c r="AL557" i="25"/>
  <c r="AM557" i="25"/>
  <c r="AL559" i="25"/>
  <c r="AM559" i="25"/>
  <c r="AL561" i="25"/>
  <c r="AM561" i="25"/>
  <c r="AL563" i="25"/>
  <c r="AM563" i="25"/>
  <c r="AL565" i="25"/>
  <c r="AM565" i="25"/>
  <c r="AL567" i="25"/>
  <c r="AM567" i="25"/>
  <c r="AL569" i="25"/>
  <c r="AM569" i="25"/>
  <c r="AL571" i="25"/>
  <c r="AM571" i="25"/>
  <c r="AL573" i="25"/>
  <c r="AM573" i="25"/>
  <c r="AL575" i="25"/>
  <c r="AM575" i="25"/>
  <c r="AL577" i="25"/>
  <c r="AM577" i="25"/>
  <c r="AL579" i="25"/>
  <c r="AM579" i="25"/>
  <c r="AL581" i="25"/>
  <c r="AM581" i="25"/>
  <c r="AL583" i="25"/>
  <c r="AM583" i="25"/>
  <c r="AL585" i="25"/>
  <c r="AM585" i="25"/>
  <c r="AL587" i="25"/>
  <c r="AM587" i="25"/>
  <c r="AL589" i="25"/>
  <c r="AM589" i="25"/>
  <c r="AL591" i="25"/>
  <c r="AM591" i="25"/>
  <c r="AL593" i="25"/>
  <c r="AM593" i="25"/>
  <c r="AL595" i="25"/>
  <c r="AM595" i="25"/>
  <c r="AL597" i="25"/>
  <c r="AM597" i="25"/>
  <c r="AL599" i="25"/>
  <c r="AM599" i="25"/>
  <c r="AL601" i="25"/>
  <c r="AM601" i="25"/>
  <c r="AL603" i="25"/>
  <c r="AM603" i="25"/>
  <c r="AL605" i="25"/>
  <c r="AM605" i="25"/>
  <c r="AL607" i="25"/>
  <c r="AM607" i="25"/>
  <c r="AL609" i="25"/>
  <c r="AM609" i="25"/>
  <c r="AL611" i="25"/>
  <c r="AM611" i="25"/>
  <c r="AL613" i="25"/>
  <c r="AM613" i="25"/>
  <c r="AL615" i="25"/>
  <c r="AM615" i="25"/>
  <c r="AL617" i="25"/>
  <c r="AM617" i="25"/>
  <c r="AL619" i="25"/>
  <c r="AM619" i="25"/>
  <c r="AL621" i="25"/>
  <c r="AM621" i="25"/>
  <c r="AL623" i="25"/>
  <c r="AM623" i="25"/>
  <c r="AL625" i="25"/>
  <c r="AM625" i="25"/>
  <c r="AL627" i="25"/>
  <c r="AM627" i="25"/>
  <c r="AL629" i="25"/>
  <c r="AM629" i="25"/>
  <c r="AL631" i="25"/>
  <c r="AM631" i="25"/>
  <c r="AL633" i="25"/>
  <c r="AM633" i="25"/>
  <c r="AL662" i="25"/>
  <c r="AM662" i="25"/>
  <c r="AL663" i="25"/>
  <c r="AM663" i="25"/>
  <c r="AL664" i="25"/>
  <c r="AM664" i="25"/>
  <c r="AL665" i="25"/>
  <c r="AM665" i="25"/>
  <c r="AL666" i="25"/>
  <c r="AM666" i="25"/>
  <c r="AL667" i="25"/>
  <c r="AM667" i="25"/>
  <c r="AL668" i="25"/>
  <c r="AM668" i="25"/>
  <c r="AL669" i="25"/>
  <c r="AM669" i="25"/>
  <c r="AL670" i="25"/>
  <c r="AM670" i="25"/>
  <c r="AL671" i="25"/>
  <c r="AM671" i="25"/>
  <c r="AL672" i="25"/>
  <c r="AM672" i="25"/>
  <c r="AL673" i="25"/>
  <c r="AM673" i="25"/>
  <c r="AL674" i="25"/>
  <c r="AM674" i="25"/>
  <c r="AL675" i="25"/>
  <c r="AM675" i="25"/>
  <c r="AL676" i="25"/>
  <c r="AM676" i="25"/>
  <c r="AL677" i="25"/>
  <c r="AM677" i="25"/>
  <c r="AL678" i="25"/>
  <c r="AM678" i="25"/>
  <c r="AL679" i="25"/>
  <c r="AM679" i="25"/>
  <c r="AL680" i="25"/>
  <c r="AM680" i="25"/>
  <c r="AL681" i="25"/>
  <c r="AM681" i="25"/>
  <c r="AL682" i="25"/>
  <c r="AM682" i="25"/>
  <c r="AL683" i="25"/>
  <c r="AM683" i="25"/>
  <c r="AL684" i="25"/>
  <c r="AM684" i="25"/>
  <c r="AL685" i="25"/>
  <c r="AM685" i="25"/>
  <c r="AL686" i="25"/>
  <c r="AM686" i="25"/>
  <c r="AL687" i="25"/>
  <c r="AM687" i="25"/>
  <c r="AL688" i="25"/>
  <c r="AM688" i="25"/>
  <c r="AL689" i="25"/>
  <c r="AM689" i="25"/>
  <c r="AL690" i="25"/>
  <c r="AM690" i="25"/>
  <c r="AL691" i="25"/>
  <c r="AM691" i="25"/>
  <c r="AL692" i="25"/>
  <c r="AM692" i="25"/>
  <c r="AL693" i="25"/>
  <c r="AM693" i="25"/>
  <c r="AL694" i="25"/>
  <c r="AM694" i="25"/>
  <c r="AL695" i="25"/>
  <c r="AM695" i="25"/>
  <c r="AL696" i="25"/>
  <c r="AM696" i="25"/>
  <c r="AL697" i="25"/>
  <c r="AM697" i="25"/>
  <c r="AL698" i="25"/>
  <c r="AM698" i="25"/>
  <c r="AL699" i="25"/>
  <c r="AM699" i="25"/>
  <c r="AL700" i="25"/>
  <c r="AM700" i="25"/>
  <c r="AL701" i="25"/>
  <c r="AM701" i="25"/>
  <c r="AL702" i="25"/>
  <c r="AM702" i="25"/>
  <c r="AL703" i="25"/>
  <c r="AM703" i="25"/>
  <c r="AL704" i="25"/>
  <c r="AM704" i="25"/>
  <c r="AL705" i="25"/>
  <c r="AM705" i="25"/>
  <c r="AL706" i="25"/>
  <c r="AM706" i="25"/>
  <c r="AL707" i="25"/>
  <c r="AM707" i="25"/>
  <c r="AL708" i="25"/>
  <c r="AM708" i="25"/>
  <c r="AL709" i="25"/>
  <c r="AM709" i="25"/>
  <c r="AL710" i="25"/>
  <c r="AM710" i="25"/>
  <c r="AL711" i="25"/>
  <c r="AM711" i="25"/>
  <c r="AL712" i="25"/>
  <c r="AM712" i="25"/>
  <c r="AL713" i="25"/>
  <c r="AM713" i="25"/>
  <c r="AL714" i="25"/>
  <c r="AM714" i="25"/>
  <c r="AL715" i="25"/>
  <c r="AM715" i="25"/>
  <c r="AL716" i="25"/>
  <c r="AM716" i="25"/>
  <c r="AL717" i="25"/>
  <c r="AM717" i="25"/>
  <c r="AL718" i="25"/>
  <c r="AM718" i="25"/>
  <c r="AL719" i="25"/>
  <c r="AM719" i="25"/>
  <c r="AL720" i="25"/>
  <c r="AM720" i="25"/>
  <c r="AL721" i="25"/>
  <c r="AM721" i="25"/>
  <c r="AL722" i="25"/>
  <c r="AM722" i="25"/>
  <c r="AL723" i="25"/>
  <c r="AM723" i="25"/>
  <c r="AL724" i="25"/>
  <c r="AM724" i="25"/>
  <c r="AL725" i="25"/>
  <c r="AM725" i="25"/>
  <c r="AL726" i="25"/>
  <c r="AM726" i="25"/>
  <c r="AL727" i="25"/>
  <c r="AM727" i="25"/>
  <c r="AL728" i="25"/>
  <c r="AM728" i="25"/>
  <c r="AL729" i="25"/>
  <c r="AM729" i="25"/>
  <c r="AL730" i="25"/>
  <c r="AM730" i="25"/>
  <c r="AL731" i="25"/>
  <c r="AM731" i="25"/>
  <c r="AL732" i="25"/>
  <c r="AM732" i="25"/>
  <c r="AL733" i="25"/>
  <c r="AM733" i="25"/>
  <c r="AL734" i="25"/>
  <c r="AM734" i="25"/>
  <c r="AL735" i="25"/>
  <c r="AM735" i="25"/>
  <c r="AL736" i="25"/>
  <c r="AM736" i="25"/>
  <c r="AL737" i="25"/>
  <c r="AM737" i="25"/>
  <c r="AL738" i="25"/>
  <c r="AM738" i="25"/>
  <c r="AL739" i="25"/>
  <c r="AM739" i="25"/>
  <c r="AL740" i="25"/>
  <c r="AM740" i="25"/>
  <c r="AL741" i="25"/>
  <c r="AM741" i="25"/>
  <c r="AL742" i="25"/>
  <c r="AM742" i="25"/>
  <c r="AL743" i="25"/>
  <c r="AM743" i="25"/>
  <c r="AL744" i="25"/>
  <c r="AM744" i="25"/>
  <c r="AL745" i="25"/>
  <c r="AM745" i="25"/>
  <c r="AL746" i="25"/>
  <c r="AM746" i="25"/>
  <c r="AL747" i="25"/>
  <c r="AM747" i="25"/>
  <c r="AL748" i="25"/>
  <c r="AM748" i="25"/>
  <c r="AL749" i="25"/>
  <c r="AM749" i="25"/>
  <c r="AL750" i="25"/>
  <c r="AM750" i="25"/>
  <c r="AL751" i="25"/>
  <c r="AM751" i="25"/>
  <c r="AL752" i="25"/>
  <c r="AM752" i="25"/>
  <c r="AL753" i="25"/>
  <c r="AM753" i="25"/>
  <c r="AL754" i="25"/>
  <c r="AM754" i="25"/>
  <c r="AL755" i="25"/>
  <c r="AM755" i="25"/>
  <c r="AL756" i="25"/>
  <c r="AM756" i="25"/>
  <c r="AL757" i="25"/>
  <c r="AM757" i="25"/>
  <c r="AL758" i="25"/>
  <c r="AM758" i="25"/>
  <c r="AL759" i="25"/>
  <c r="AM759" i="25"/>
  <c r="AL760" i="25"/>
  <c r="AM760" i="25"/>
  <c r="AL761" i="25"/>
  <c r="AM761" i="25"/>
  <c r="AL762" i="25"/>
  <c r="AM762" i="25"/>
  <c r="AL763" i="25"/>
  <c r="AM763" i="25"/>
  <c r="AL764" i="25"/>
  <c r="AM764" i="25"/>
  <c r="AL765" i="25"/>
  <c r="AM765" i="25"/>
  <c r="AL766" i="25"/>
  <c r="AM766" i="25"/>
  <c r="AL767" i="25"/>
  <c r="AM767" i="25"/>
  <c r="AL768" i="25"/>
  <c r="AM768" i="25"/>
  <c r="AL769" i="25"/>
  <c r="AM769" i="25"/>
  <c r="AL770" i="25"/>
  <c r="AM770" i="25"/>
  <c r="AL771" i="25"/>
  <c r="AM771" i="25"/>
  <c r="AL772" i="25"/>
  <c r="AM772" i="25"/>
  <c r="AL773" i="25"/>
  <c r="AM773" i="25"/>
  <c r="AL774" i="25"/>
  <c r="AM774" i="25"/>
  <c r="AL775" i="25"/>
  <c r="AM775" i="25"/>
  <c r="AL776" i="25"/>
  <c r="AM776" i="25"/>
  <c r="AL777" i="25"/>
  <c r="AM777" i="25"/>
  <c r="AL778" i="25"/>
  <c r="AM778" i="25"/>
  <c r="AL779" i="25"/>
  <c r="AM779" i="25"/>
  <c r="AL780" i="25"/>
  <c r="AM780" i="25"/>
  <c r="AL781" i="25"/>
  <c r="AM781" i="25"/>
  <c r="AL782" i="25"/>
  <c r="AM782" i="25"/>
  <c r="AL783" i="25"/>
  <c r="AM783" i="25"/>
  <c r="AL784" i="25"/>
  <c r="AM784" i="25"/>
  <c r="AL785" i="25"/>
  <c r="AM785" i="25"/>
  <c r="AL786" i="25"/>
  <c r="AM786" i="25"/>
  <c r="AL787" i="25"/>
  <c r="AM787" i="25"/>
  <c r="AL788" i="25"/>
  <c r="AM788" i="25"/>
  <c r="AL789" i="25"/>
  <c r="AM789" i="25"/>
  <c r="AL790" i="25"/>
  <c r="AM790" i="25"/>
  <c r="AL791" i="25"/>
  <c r="AM791" i="25"/>
  <c r="AL792" i="25"/>
  <c r="AM792" i="25"/>
  <c r="AL793" i="25"/>
  <c r="AM793" i="25"/>
  <c r="AL794" i="25"/>
  <c r="AM794" i="25"/>
  <c r="AL795" i="25"/>
  <c r="AM795" i="25"/>
  <c r="AL796" i="25"/>
  <c r="AM796" i="25"/>
  <c r="AL797" i="25"/>
  <c r="AM797" i="25"/>
  <c r="AL798" i="25"/>
  <c r="AM798" i="25"/>
  <c r="AL799" i="25"/>
  <c r="AM799" i="25"/>
  <c r="AL800" i="25"/>
  <c r="AM800" i="25"/>
  <c r="AL801" i="25"/>
  <c r="AM801" i="25"/>
  <c r="AL802" i="25"/>
  <c r="AM802" i="25"/>
  <c r="AL803" i="25"/>
  <c r="AM803" i="25"/>
  <c r="AL804" i="25"/>
  <c r="AM804" i="25"/>
  <c r="AL805" i="25"/>
  <c r="AM805" i="25"/>
  <c r="AL806" i="25"/>
  <c r="AM806" i="25"/>
  <c r="AL807" i="25"/>
  <c r="AM807" i="25"/>
  <c r="AL808" i="25"/>
  <c r="AM808" i="25"/>
  <c r="AL809" i="25"/>
  <c r="AM809" i="25"/>
  <c r="AL810" i="25"/>
  <c r="AM810" i="25"/>
  <c r="AL811" i="25"/>
  <c r="AM811" i="25"/>
  <c r="AL812" i="25"/>
  <c r="AM812" i="25"/>
  <c r="AL813" i="25"/>
  <c r="AM813" i="25"/>
  <c r="AL814" i="25"/>
  <c r="AM814" i="25"/>
  <c r="AL815" i="25"/>
  <c r="AM815" i="25"/>
  <c r="AL816" i="25"/>
  <c r="AM816" i="25"/>
  <c r="AL817" i="25"/>
  <c r="AM817" i="25"/>
  <c r="AL818" i="25"/>
  <c r="AM818" i="25"/>
  <c r="AL819" i="25"/>
  <c r="AM819" i="25"/>
  <c r="AL820" i="25"/>
  <c r="AM820" i="25"/>
  <c r="AL821" i="25"/>
  <c r="AM821" i="25"/>
  <c r="AL822" i="25"/>
  <c r="AM822" i="25"/>
  <c r="AL823" i="25"/>
  <c r="AM823" i="25"/>
  <c r="AL824" i="25"/>
  <c r="AM824" i="25"/>
  <c r="AL825" i="25"/>
  <c r="AM825" i="25"/>
  <c r="AL826" i="25"/>
  <c r="AM826" i="25"/>
  <c r="AL827" i="25"/>
  <c r="AM827" i="25"/>
  <c r="AL828" i="25"/>
  <c r="AM828" i="25"/>
  <c r="AL829" i="25"/>
  <c r="AM829" i="25"/>
  <c r="AL830" i="25"/>
  <c r="AM830" i="25"/>
  <c r="AL831" i="25"/>
  <c r="AM831" i="25"/>
  <c r="AL832" i="25"/>
  <c r="AM832" i="25"/>
  <c r="AL833" i="25"/>
  <c r="AM833" i="25"/>
  <c r="AL834" i="25"/>
  <c r="AM834" i="25"/>
  <c r="AL835" i="25"/>
  <c r="AM835" i="25"/>
  <c r="AL836" i="25"/>
  <c r="AM836" i="25"/>
  <c r="AL837" i="25"/>
  <c r="AM837" i="25"/>
  <c r="AL838" i="25"/>
  <c r="AM838" i="25"/>
  <c r="AL839" i="25"/>
  <c r="AM839" i="25"/>
  <c r="AL840" i="25"/>
  <c r="AM840" i="25"/>
  <c r="AL841" i="25"/>
  <c r="AM841" i="25"/>
  <c r="AL842" i="25"/>
  <c r="AM842" i="25"/>
  <c r="AL843" i="25"/>
  <c r="AM843" i="25"/>
  <c r="AL844" i="25"/>
  <c r="AM844" i="25"/>
  <c r="AL845" i="25"/>
  <c r="AM845" i="25"/>
  <c r="AL846" i="25"/>
  <c r="AM846" i="25"/>
  <c r="AL847" i="25"/>
  <c r="AM847" i="25"/>
  <c r="AL848" i="25"/>
  <c r="AM848" i="25"/>
  <c r="AL849" i="25"/>
  <c r="AM849" i="25"/>
  <c r="AL850" i="25"/>
  <c r="AM850" i="25"/>
  <c r="AL851" i="25"/>
  <c r="AM851" i="25"/>
  <c r="AL852" i="25"/>
  <c r="AM852" i="25"/>
  <c r="AL853" i="25"/>
  <c r="AM853" i="25"/>
  <c r="AL2" i="25"/>
  <c r="AM2" i="25"/>
  <c r="V662" i="25"/>
  <c r="W662" i="25" s="1"/>
  <c r="V442" i="25"/>
  <c r="W442" i="25" s="1"/>
  <c r="V2" i="25"/>
  <c r="AF222" i="25"/>
  <c r="AG222" i="25"/>
  <c r="AH222" i="25"/>
  <c r="AI222" i="25"/>
  <c r="AF442" i="25"/>
  <c r="AG442" i="25"/>
  <c r="AH442" i="25"/>
  <c r="AI442" i="25"/>
  <c r="AF663" i="25"/>
  <c r="AG663" i="25"/>
  <c r="AH663" i="25"/>
  <c r="AI663" i="25"/>
  <c r="AF664" i="25"/>
  <c r="AG664" i="25"/>
  <c r="AH664" i="25"/>
  <c r="AI664" i="25"/>
  <c r="AF665" i="25"/>
  <c r="AG665" i="25"/>
  <c r="AH665" i="25"/>
  <c r="AI665" i="25"/>
  <c r="AF666" i="25"/>
  <c r="AG666" i="25"/>
  <c r="AH666" i="25"/>
  <c r="AI666" i="25"/>
  <c r="AF667" i="25"/>
  <c r="AG667" i="25"/>
  <c r="AH667" i="25"/>
  <c r="AI667" i="25"/>
  <c r="AF668" i="25"/>
  <c r="AG668" i="25"/>
  <c r="AH668" i="25"/>
  <c r="AI668" i="25"/>
  <c r="AF669" i="25"/>
  <c r="AG669" i="25"/>
  <c r="AH669" i="25"/>
  <c r="AI669" i="25"/>
  <c r="AF670" i="25"/>
  <c r="AG670" i="25"/>
  <c r="AH670" i="25"/>
  <c r="AI670" i="25"/>
  <c r="AF671" i="25"/>
  <c r="AG671" i="25"/>
  <c r="AH671" i="25"/>
  <c r="AI671" i="25"/>
  <c r="AF672" i="25"/>
  <c r="AG672" i="25"/>
  <c r="AH672" i="25"/>
  <c r="AI672" i="25"/>
  <c r="AF673" i="25"/>
  <c r="AG673" i="25"/>
  <c r="AH673" i="25"/>
  <c r="AI673" i="25"/>
  <c r="AF674" i="25"/>
  <c r="AG674" i="25"/>
  <c r="AH674" i="25"/>
  <c r="AI674" i="25"/>
  <c r="AF675" i="25"/>
  <c r="AG675" i="25"/>
  <c r="AH675" i="25"/>
  <c r="AI675" i="25"/>
  <c r="AF676" i="25"/>
  <c r="AG676" i="25"/>
  <c r="AH676" i="25"/>
  <c r="AI676" i="25"/>
  <c r="AF677" i="25"/>
  <c r="AG677" i="25"/>
  <c r="AH677" i="25"/>
  <c r="AI677" i="25"/>
  <c r="AF678" i="25"/>
  <c r="AG678" i="25"/>
  <c r="AH678" i="25"/>
  <c r="AI678" i="25"/>
  <c r="AF679" i="25"/>
  <c r="AG679" i="25"/>
  <c r="AH679" i="25"/>
  <c r="AI679" i="25"/>
  <c r="AF680" i="25"/>
  <c r="AG680" i="25"/>
  <c r="AH680" i="25"/>
  <c r="AI680" i="25"/>
  <c r="AF681" i="25"/>
  <c r="AG681" i="25"/>
  <c r="AH681" i="25"/>
  <c r="AI681" i="25"/>
  <c r="AF682" i="25"/>
  <c r="AG682" i="25"/>
  <c r="AH682" i="25"/>
  <c r="AI682" i="25"/>
  <c r="AF683" i="25"/>
  <c r="AG683" i="25"/>
  <c r="AH683" i="25"/>
  <c r="AI683" i="25"/>
  <c r="AF684" i="25"/>
  <c r="AG684" i="25"/>
  <c r="AH684" i="25"/>
  <c r="AI684" i="25"/>
  <c r="AF685" i="25"/>
  <c r="AG685" i="25"/>
  <c r="AH685" i="25"/>
  <c r="AI685" i="25"/>
  <c r="AF686" i="25"/>
  <c r="AG686" i="25"/>
  <c r="AH686" i="25"/>
  <c r="AI686" i="25"/>
  <c r="AF687" i="25"/>
  <c r="AG687" i="25"/>
  <c r="AH687" i="25"/>
  <c r="AI687" i="25"/>
  <c r="AF688" i="25"/>
  <c r="AG688" i="25"/>
  <c r="AH688" i="25"/>
  <c r="AI688" i="25"/>
  <c r="AF689" i="25"/>
  <c r="AG689" i="25"/>
  <c r="AH689" i="25"/>
  <c r="AI689" i="25"/>
  <c r="AF690" i="25"/>
  <c r="AG690" i="25"/>
  <c r="AH690" i="25"/>
  <c r="AI690" i="25"/>
  <c r="AF691" i="25"/>
  <c r="AG691" i="25"/>
  <c r="AH691" i="25"/>
  <c r="AI691" i="25"/>
  <c r="AF692" i="25"/>
  <c r="AG692" i="25"/>
  <c r="AH692" i="25"/>
  <c r="AI692" i="25"/>
  <c r="AF693" i="25"/>
  <c r="AG693" i="25"/>
  <c r="AH693" i="25"/>
  <c r="AI693" i="25"/>
  <c r="AF694" i="25"/>
  <c r="AG694" i="25"/>
  <c r="AH694" i="25"/>
  <c r="AI694" i="25"/>
  <c r="AF695" i="25"/>
  <c r="AG695" i="25"/>
  <c r="AH695" i="25"/>
  <c r="AI695" i="25"/>
  <c r="AF696" i="25"/>
  <c r="AG696" i="25"/>
  <c r="AH696" i="25"/>
  <c r="AI696" i="25"/>
  <c r="AF697" i="25"/>
  <c r="AG697" i="25"/>
  <c r="AH697" i="25"/>
  <c r="AI697" i="25"/>
  <c r="AF698" i="25"/>
  <c r="AG698" i="25"/>
  <c r="AH698" i="25"/>
  <c r="AI698" i="25"/>
  <c r="AF699" i="25"/>
  <c r="AG699" i="25"/>
  <c r="AH699" i="25"/>
  <c r="AI699" i="25"/>
  <c r="AF700" i="25"/>
  <c r="AG700" i="25"/>
  <c r="AH700" i="25"/>
  <c r="AI700" i="25"/>
  <c r="AF701" i="25"/>
  <c r="AG701" i="25"/>
  <c r="AH701" i="25"/>
  <c r="AI701" i="25"/>
  <c r="AF702" i="25"/>
  <c r="AG702" i="25"/>
  <c r="AH702" i="25"/>
  <c r="AI702" i="25"/>
  <c r="AF703" i="25"/>
  <c r="AG703" i="25"/>
  <c r="AH703" i="25"/>
  <c r="AI703" i="25"/>
  <c r="AF704" i="25"/>
  <c r="AG704" i="25"/>
  <c r="AH704" i="25"/>
  <c r="AI704" i="25"/>
  <c r="AF705" i="25"/>
  <c r="AG705" i="25"/>
  <c r="AH705" i="25"/>
  <c r="AI705" i="25"/>
  <c r="AF706" i="25"/>
  <c r="AG706" i="25"/>
  <c r="AH706" i="25"/>
  <c r="AI706" i="25"/>
  <c r="AF707" i="25"/>
  <c r="AG707" i="25"/>
  <c r="AH707" i="25"/>
  <c r="AI707" i="25"/>
  <c r="AF708" i="25"/>
  <c r="AG708" i="25"/>
  <c r="AH708" i="25"/>
  <c r="AI708" i="25"/>
  <c r="AF709" i="25"/>
  <c r="AG709" i="25"/>
  <c r="AH709" i="25"/>
  <c r="AI709" i="25"/>
  <c r="AF710" i="25"/>
  <c r="AG710" i="25"/>
  <c r="AH710" i="25"/>
  <c r="AI710" i="25"/>
  <c r="AF711" i="25"/>
  <c r="AG711" i="25"/>
  <c r="AH711" i="25"/>
  <c r="AI711" i="25"/>
  <c r="AF712" i="25"/>
  <c r="AG712" i="25"/>
  <c r="AH712" i="25"/>
  <c r="AI712" i="25"/>
  <c r="AF713" i="25"/>
  <c r="AG713" i="25"/>
  <c r="AH713" i="25"/>
  <c r="AI713" i="25"/>
  <c r="AF714" i="25"/>
  <c r="AG714" i="25"/>
  <c r="AH714" i="25"/>
  <c r="AI714" i="25"/>
  <c r="AF715" i="25"/>
  <c r="AG715" i="25"/>
  <c r="AH715" i="25"/>
  <c r="AI715" i="25"/>
  <c r="AF716" i="25"/>
  <c r="AG716" i="25"/>
  <c r="AH716" i="25"/>
  <c r="AI716" i="25"/>
  <c r="AF717" i="25"/>
  <c r="AG717" i="25"/>
  <c r="AH717" i="25"/>
  <c r="AI717" i="25"/>
  <c r="AF718" i="25"/>
  <c r="AG718" i="25"/>
  <c r="AH718" i="25"/>
  <c r="AI718" i="25"/>
  <c r="AF719" i="25"/>
  <c r="AG719" i="25"/>
  <c r="AH719" i="25"/>
  <c r="AI719" i="25"/>
  <c r="AF720" i="25"/>
  <c r="AG720" i="25"/>
  <c r="AH720" i="25"/>
  <c r="AI720" i="25"/>
  <c r="AF721" i="25"/>
  <c r="AG721" i="25"/>
  <c r="AH721" i="25"/>
  <c r="AI721" i="25"/>
  <c r="AF722" i="25"/>
  <c r="AG722" i="25"/>
  <c r="AH722" i="25"/>
  <c r="AI722" i="25"/>
  <c r="AF723" i="25"/>
  <c r="AG723" i="25"/>
  <c r="AH723" i="25"/>
  <c r="AI723" i="25"/>
  <c r="AF724" i="25"/>
  <c r="AG724" i="25"/>
  <c r="AH724" i="25"/>
  <c r="AI724" i="25"/>
  <c r="AF725" i="25"/>
  <c r="AG725" i="25"/>
  <c r="AH725" i="25"/>
  <c r="AI725" i="25"/>
  <c r="AF726" i="25"/>
  <c r="AG726" i="25"/>
  <c r="AH726" i="25"/>
  <c r="AI726" i="25"/>
  <c r="AF727" i="25"/>
  <c r="AG727" i="25"/>
  <c r="AH727" i="25"/>
  <c r="AI727" i="25"/>
  <c r="AF728" i="25"/>
  <c r="AG728" i="25"/>
  <c r="AH728" i="25"/>
  <c r="AI728" i="25"/>
  <c r="AF729" i="25"/>
  <c r="AG729" i="25"/>
  <c r="AH729" i="25"/>
  <c r="AI729" i="25"/>
  <c r="AF730" i="25"/>
  <c r="AG730" i="25"/>
  <c r="AH730" i="25"/>
  <c r="AI730" i="25"/>
  <c r="AF731" i="25"/>
  <c r="AG731" i="25"/>
  <c r="AH731" i="25"/>
  <c r="AI731" i="25"/>
  <c r="AF732" i="25"/>
  <c r="AG732" i="25"/>
  <c r="AH732" i="25"/>
  <c r="AI732" i="25"/>
  <c r="AF733" i="25"/>
  <c r="AG733" i="25"/>
  <c r="AH733" i="25"/>
  <c r="AI733" i="25"/>
  <c r="AF734" i="25"/>
  <c r="AG734" i="25"/>
  <c r="AH734" i="25"/>
  <c r="AI734" i="25"/>
  <c r="AF735" i="25"/>
  <c r="AG735" i="25"/>
  <c r="AH735" i="25"/>
  <c r="AI735" i="25"/>
  <c r="AF736" i="25"/>
  <c r="AG736" i="25"/>
  <c r="AH736" i="25"/>
  <c r="AI736" i="25"/>
  <c r="AF737" i="25"/>
  <c r="AG737" i="25"/>
  <c r="AH737" i="25"/>
  <c r="AI737" i="25"/>
  <c r="AF738" i="25"/>
  <c r="AG738" i="25"/>
  <c r="AH738" i="25"/>
  <c r="AI738" i="25"/>
  <c r="AF739" i="25"/>
  <c r="AG739" i="25"/>
  <c r="AH739" i="25"/>
  <c r="AI739" i="25"/>
  <c r="AF740" i="25"/>
  <c r="AG740" i="25"/>
  <c r="AH740" i="25"/>
  <c r="AI740" i="25"/>
  <c r="AF741" i="25"/>
  <c r="AG741" i="25"/>
  <c r="AH741" i="25"/>
  <c r="AI741" i="25"/>
  <c r="AF742" i="25"/>
  <c r="AG742" i="25"/>
  <c r="AH742" i="25"/>
  <c r="AI742" i="25"/>
  <c r="AF743" i="25"/>
  <c r="AG743" i="25"/>
  <c r="AH743" i="25"/>
  <c r="AI743" i="25"/>
  <c r="AF744" i="25"/>
  <c r="AG744" i="25"/>
  <c r="AH744" i="25"/>
  <c r="AI744" i="25"/>
  <c r="AF745" i="25"/>
  <c r="AG745" i="25"/>
  <c r="AH745" i="25"/>
  <c r="AI745" i="25"/>
  <c r="AF746" i="25"/>
  <c r="AG746" i="25"/>
  <c r="AH746" i="25"/>
  <c r="AI746" i="25"/>
  <c r="AF747" i="25"/>
  <c r="AG747" i="25"/>
  <c r="AH747" i="25"/>
  <c r="AI747" i="25"/>
  <c r="AF748" i="25"/>
  <c r="AG748" i="25"/>
  <c r="AH748" i="25"/>
  <c r="AI748" i="25"/>
  <c r="AF749" i="25"/>
  <c r="AG749" i="25"/>
  <c r="AH749" i="25"/>
  <c r="AI749" i="25"/>
  <c r="AF750" i="25"/>
  <c r="AG750" i="25"/>
  <c r="AH750" i="25"/>
  <c r="AI750" i="25"/>
  <c r="AF751" i="25"/>
  <c r="AG751" i="25"/>
  <c r="AH751" i="25"/>
  <c r="AI751" i="25"/>
  <c r="AF752" i="25"/>
  <c r="AG752" i="25"/>
  <c r="AH752" i="25"/>
  <c r="AI752" i="25"/>
  <c r="AF753" i="25"/>
  <c r="AG753" i="25"/>
  <c r="AH753" i="25"/>
  <c r="AI753" i="25"/>
  <c r="AF754" i="25"/>
  <c r="AG754" i="25"/>
  <c r="AH754" i="25"/>
  <c r="AI754" i="25"/>
  <c r="AF755" i="25"/>
  <c r="AG755" i="25"/>
  <c r="AH755" i="25"/>
  <c r="AI755" i="25"/>
  <c r="AF756" i="25"/>
  <c r="AG756" i="25"/>
  <c r="AH756" i="25"/>
  <c r="AI756" i="25"/>
  <c r="AF757" i="25"/>
  <c r="AG757" i="25"/>
  <c r="AH757" i="25"/>
  <c r="AI757" i="25"/>
  <c r="AF758" i="25"/>
  <c r="AG758" i="25"/>
  <c r="AH758" i="25"/>
  <c r="AI758" i="25"/>
  <c r="AF759" i="25"/>
  <c r="AG759" i="25"/>
  <c r="AH759" i="25"/>
  <c r="AI759" i="25"/>
  <c r="AF760" i="25"/>
  <c r="AG760" i="25"/>
  <c r="AH760" i="25"/>
  <c r="AI760" i="25"/>
  <c r="AF761" i="25"/>
  <c r="AG761" i="25"/>
  <c r="AH761" i="25"/>
  <c r="AI761" i="25"/>
  <c r="AF762" i="25"/>
  <c r="AG762" i="25"/>
  <c r="AH762" i="25"/>
  <c r="AI762" i="25"/>
  <c r="AF763" i="25"/>
  <c r="AG763" i="25"/>
  <c r="AH763" i="25"/>
  <c r="AI763" i="25"/>
  <c r="AF764" i="25"/>
  <c r="AG764" i="25"/>
  <c r="AH764" i="25"/>
  <c r="AI764" i="25"/>
  <c r="AF765" i="25"/>
  <c r="AG765" i="25"/>
  <c r="AH765" i="25"/>
  <c r="AI765" i="25"/>
  <c r="AF766" i="25"/>
  <c r="AG766" i="25"/>
  <c r="AH766" i="25"/>
  <c r="AI766" i="25"/>
  <c r="AF767" i="25"/>
  <c r="AG767" i="25"/>
  <c r="AH767" i="25"/>
  <c r="AI767" i="25"/>
  <c r="AF768" i="25"/>
  <c r="AG768" i="25"/>
  <c r="AH768" i="25"/>
  <c r="AI768" i="25"/>
  <c r="AF769" i="25"/>
  <c r="AG769" i="25"/>
  <c r="AH769" i="25"/>
  <c r="AI769" i="25"/>
  <c r="AF770" i="25"/>
  <c r="AG770" i="25"/>
  <c r="AH770" i="25"/>
  <c r="AI770" i="25"/>
  <c r="AF771" i="25"/>
  <c r="AG771" i="25"/>
  <c r="AH771" i="25"/>
  <c r="AI771" i="25"/>
  <c r="AF772" i="25"/>
  <c r="AG772" i="25"/>
  <c r="AH772" i="25"/>
  <c r="AI772" i="25"/>
  <c r="AF773" i="25"/>
  <c r="AG773" i="25"/>
  <c r="AH773" i="25"/>
  <c r="AI773" i="25"/>
  <c r="AF774" i="25"/>
  <c r="AG774" i="25"/>
  <c r="AH774" i="25"/>
  <c r="AI774" i="25"/>
  <c r="AF775" i="25"/>
  <c r="AG775" i="25"/>
  <c r="AH775" i="25"/>
  <c r="AI775" i="25"/>
  <c r="AF776" i="25"/>
  <c r="AG776" i="25"/>
  <c r="AH776" i="25"/>
  <c r="AI776" i="25"/>
  <c r="AF777" i="25"/>
  <c r="AG777" i="25"/>
  <c r="AH777" i="25"/>
  <c r="AI777" i="25"/>
  <c r="AF778" i="25"/>
  <c r="AG778" i="25"/>
  <c r="AH778" i="25"/>
  <c r="AI778" i="25"/>
  <c r="AF779" i="25"/>
  <c r="AG779" i="25"/>
  <c r="AH779" i="25"/>
  <c r="AI779" i="25"/>
  <c r="AF780" i="25"/>
  <c r="AG780" i="25"/>
  <c r="AH780" i="25"/>
  <c r="AI780" i="25"/>
  <c r="AF781" i="25"/>
  <c r="AG781" i="25"/>
  <c r="AH781" i="25"/>
  <c r="AI781" i="25"/>
  <c r="AF782" i="25"/>
  <c r="AG782" i="25"/>
  <c r="AH782" i="25"/>
  <c r="AI782" i="25"/>
  <c r="AF783" i="25"/>
  <c r="AG783" i="25"/>
  <c r="AH783" i="25"/>
  <c r="AI783" i="25"/>
  <c r="AF784" i="25"/>
  <c r="AG784" i="25"/>
  <c r="AH784" i="25"/>
  <c r="AI784" i="25"/>
  <c r="AF785" i="25"/>
  <c r="AG785" i="25"/>
  <c r="AH785" i="25"/>
  <c r="AI785" i="25"/>
  <c r="AF786" i="25"/>
  <c r="AG786" i="25"/>
  <c r="AH786" i="25"/>
  <c r="AI786" i="25"/>
  <c r="AF787" i="25"/>
  <c r="AG787" i="25"/>
  <c r="AH787" i="25"/>
  <c r="AI787" i="25"/>
  <c r="AF788" i="25"/>
  <c r="AG788" i="25"/>
  <c r="AH788" i="25"/>
  <c r="AI788" i="25"/>
  <c r="AF789" i="25"/>
  <c r="AG789" i="25"/>
  <c r="AH789" i="25"/>
  <c r="AI789" i="25"/>
  <c r="AF790" i="25"/>
  <c r="AG790" i="25"/>
  <c r="AH790" i="25"/>
  <c r="AI790" i="25"/>
  <c r="AF791" i="25"/>
  <c r="AG791" i="25"/>
  <c r="AH791" i="25"/>
  <c r="AI791" i="25"/>
  <c r="AF792" i="25"/>
  <c r="AG792" i="25"/>
  <c r="AH792" i="25"/>
  <c r="AI792" i="25"/>
  <c r="AF793" i="25"/>
  <c r="AG793" i="25"/>
  <c r="AH793" i="25"/>
  <c r="AI793" i="25"/>
  <c r="AF794" i="25"/>
  <c r="AG794" i="25"/>
  <c r="AH794" i="25"/>
  <c r="AI794" i="25"/>
  <c r="AF795" i="25"/>
  <c r="AG795" i="25"/>
  <c r="AH795" i="25"/>
  <c r="AI795" i="25"/>
  <c r="AF796" i="25"/>
  <c r="AG796" i="25"/>
  <c r="AH796" i="25"/>
  <c r="AI796" i="25"/>
  <c r="AF797" i="25"/>
  <c r="AG797" i="25"/>
  <c r="AH797" i="25"/>
  <c r="AI797" i="25"/>
  <c r="AF798" i="25"/>
  <c r="AG798" i="25"/>
  <c r="AH798" i="25"/>
  <c r="AI798" i="25"/>
  <c r="AF799" i="25"/>
  <c r="AG799" i="25"/>
  <c r="AH799" i="25"/>
  <c r="AI799" i="25"/>
  <c r="AF800" i="25"/>
  <c r="AG800" i="25"/>
  <c r="AH800" i="25"/>
  <c r="AI800" i="25"/>
  <c r="AF801" i="25"/>
  <c r="AG801" i="25"/>
  <c r="AH801" i="25"/>
  <c r="AI801" i="25"/>
  <c r="AF802" i="25"/>
  <c r="AG802" i="25"/>
  <c r="AH802" i="25"/>
  <c r="AI802" i="25"/>
  <c r="AF803" i="25"/>
  <c r="AG803" i="25"/>
  <c r="AH803" i="25"/>
  <c r="AI803" i="25"/>
  <c r="AF804" i="25"/>
  <c r="AG804" i="25"/>
  <c r="AH804" i="25"/>
  <c r="AI804" i="25"/>
  <c r="AF805" i="25"/>
  <c r="AG805" i="25"/>
  <c r="AH805" i="25"/>
  <c r="AI805" i="25"/>
  <c r="AF806" i="25"/>
  <c r="AG806" i="25"/>
  <c r="AH806" i="25"/>
  <c r="AI806" i="25"/>
  <c r="AF807" i="25"/>
  <c r="AG807" i="25"/>
  <c r="AH807" i="25"/>
  <c r="AI807" i="25"/>
  <c r="AF808" i="25"/>
  <c r="AG808" i="25"/>
  <c r="AH808" i="25"/>
  <c r="AI808" i="25"/>
  <c r="AF809" i="25"/>
  <c r="AG809" i="25"/>
  <c r="AH809" i="25"/>
  <c r="AI809" i="25"/>
  <c r="AF810" i="25"/>
  <c r="AG810" i="25"/>
  <c r="AH810" i="25"/>
  <c r="AI810" i="25"/>
  <c r="AF811" i="25"/>
  <c r="AG811" i="25"/>
  <c r="AH811" i="25"/>
  <c r="AI811" i="25"/>
  <c r="AF812" i="25"/>
  <c r="AG812" i="25"/>
  <c r="AH812" i="25"/>
  <c r="AI812" i="25"/>
  <c r="AF813" i="25"/>
  <c r="AG813" i="25"/>
  <c r="AH813" i="25"/>
  <c r="AI813" i="25"/>
  <c r="AF814" i="25"/>
  <c r="AG814" i="25"/>
  <c r="AH814" i="25"/>
  <c r="AI814" i="25"/>
  <c r="AF815" i="25"/>
  <c r="AG815" i="25"/>
  <c r="AH815" i="25"/>
  <c r="AI815" i="25"/>
  <c r="AF816" i="25"/>
  <c r="AG816" i="25"/>
  <c r="AH816" i="25"/>
  <c r="AI816" i="25"/>
  <c r="AF817" i="25"/>
  <c r="AG817" i="25"/>
  <c r="AH817" i="25"/>
  <c r="AI817" i="25"/>
  <c r="AF818" i="25"/>
  <c r="AG818" i="25"/>
  <c r="AH818" i="25"/>
  <c r="AI818" i="25"/>
  <c r="AF819" i="25"/>
  <c r="AG819" i="25"/>
  <c r="AH819" i="25"/>
  <c r="AI819" i="25"/>
  <c r="AF820" i="25"/>
  <c r="AG820" i="25"/>
  <c r="AH820" i="25"/>
  <c r="AI820" i="25"/>
  <c r="AF821" i="25"/>
  <c r="AG821" i="25"/>
  <c r="AH821" i="25"/>
  <c r="AI821" i="25"/>
  <c r="AF822" i="25"/>
  <c r="AG822" i="25"/>
  <c r="AH822" i="25"/>
  <c r="AI822" i="25"/>
  <c r="AF823" i="25"/>
  <c r="AG823" i="25"/>
  <c r="AH823" i="25"/>
  <c r="AI823" i="25"/>
  <c r="AF824" i="25"/>
  <c r="AG824" i="25"/>
  <c r="AH824" i="25"/>
  <c r="AI824" i="25"/>
  <c r="AF825" i="25"/>
  <c r="AG825" i="25"/>
  <c r="AH825" i="25"/>
  <c r="AI825" i="25"/>
  <c r="AF826" i="25"/>
  <c r="AG826" i="25"/>
  <c r="AH826" i="25"/>
  <c r="AI826" i="25"/>
  <c r="AF827" i="25"/>
  <c r="AG827" i="25"/>
  <c r="AH827" i="25"/>
  <c r="AI827" i="25"/>
  <c r="AF828" i="25"/>
  <c r="AG828" i="25"/>
  <c r="AH828" i="25"/>
  <c r="AI828" i="25"/>
  <c r="AF829" i="25"/>
  <c r="AG829" i="25"/>
  <c r="AH829" i="25"/>
  <c r="AI829" i="25"/>
  <c r="AF830" i="25"/>
  <c r="AG830" i="25"/>
  <c r="AH830" i="25"/>
  <c r="AI830" i="25"/>
  <c r="AF831" i="25"/>
  <c r="AG831" i="25"/>
  <c r="AH831" i="25"/>
  <c r="AI831" i="25"/>
  <c r="AF832" i="25"/>
  <c r="AG832" i="25"/>
  <c r="AH832" i="25"/>
  <c r="AI832" i="25"/>
  <c r="AF833" i="25"/>
  <c r="AG833" i="25"/>
  <c r="AH833" i="25"/>
  <c r="AI833" i="25"/>
  <c r="AF834" i="25"/>
  <c r="AG834" i="25"/>
  <c r="AH834" i="25"/>
  <c r="AI834" i="25"/>
  <c r="AF835" i="25"/>
  <c r="AG835" i="25"/>
  <c r="AH835" i="25"/>
  <c r="AI835" i="25"/>
  <c r="AF836" i="25"/>
  <c r="AG836" i="25"/>
  <c r="AH836" i="25"/>
  <c r="AI836" i="25"/>
  <c r="AF837" i="25"/>
  <c r="AG837" i="25"/>
  <c r="AH837" i="25"/>
  <c r="AI837" i="25"/>
  <c r="AF838" i="25"/>
  <c r="AG838" i="25"/>
  <c r="AH838" i="25"/>
  <c r="AI838" i="25"/>
  <c r="AF839" i="25"/>
  <c r="AG839" i="25"/>
  <c r="AH839" i="25"/>
  <c r="AI839" i="25"/>
  <c r="AF840" i="25"/>
  <c r="AG840" i="25"/>
  <c r="AH840" i="25"/>
  <c r="AI840" i="25"/>
  <c r="AF841" i="25"/>
  <c r="AG841" i="25"/>
  <c r="AH841" i="25"/>
  <c r="AI841" i="25"/>
  <c r="AF842" i="25"/>
  <c r="AG842" i="25"/>
  <c r="AH842" i="25"/>
  <c r="AI842" i="25"/>
  <c r="AF843" i="25"/>
  <c r="AG843" i="25"/>
  <c r="AH843" i="25"/>
  <c r="AI843" i="25"/>
  <c r="AF844" i="25"/>
  <c r="AG844" i="25"/>
  <c r="AH844" i="25"/>
  <c r="AI844" i="25"/>
  <c r="AF845" i="25"/>
  <c r="AG845" i="25"/>
  <c r="AH845" i="25"/>
  <c r="AI845" i="25"/>
  <c r="AF846" i="25"/>
  <c r="AG846" i="25"/>
  <c r="AH846" i="25"/>
  <c r="AI846" i="25"/>
  <c r="AF847" i="25"/>
  <c r="AG847" i="25"/>
  <c r="AH847" i="25"/>
  <c r="AI847" i="25"/>
  <c r="AF848" i="25"/>
  <c r="AG848" i="25"/>
  <c r="AH848" i="25"/>
  <c r="AI848" i="25"/>
  <c r="AF849" i="25"/>
  <c r="AG849" i="25"/>
  <c r="AH849" i="25"/>
  <c r="AI849" i="25"/>
  <c r="AF850" i="25"/>
  <c r="AG850" i="25"/>
  <c r="AH850" i="25"/>
  <c r="AI850" i="25"/>
  <c r="AF851" i="25"/>
  <c r="AG851" i="25"/>
  <c r="AH851" i="25"/>
  <c r="AI851" i="25"/>
  <c r="AF852" i="25"/>
  <c r="AG852" i="25"/>
  <c r="AH852" i="25"/>
  <c r="AI852" i="25"/>
  <c r="AF853" i="25"/>
  <c r="AG853" i="25"/>
  <c r="AH853" i="25"/>
  <c r="AI853" i="25"/>
  <c r="AF854" i="25"/>
  <c r="AG854" i="25"/>
  <c r="AH854" i="25"/>
  <c r="AI854" i="25"/>
  <c r="AF855" i="25"/>
  <c r="AG855" i="25"/>
  <c r="AH855" i="25"/>
  <c r="AI855" i="25"/>
  <c r="AF856" i="25"/>
  <c r="AG856" i="25"/>
  <c r="AH856" i="25"/>
  <c r="AI856" i="25"/>
  <c r="AF857" i="25"/>
  <c r="AG857" i="25"/>
  <c r="AH857" i="25"/>
  <c r="AI857" i="25"/>
  <c r="AF858" i="25"/>
  <c r="AG858" i="25"/>
  <c r="AH858" i="25"/>
  <c r="AI858" i="25"/>
  <c r="AF859" i="25"/>
  <c r="AG859" i="25"/>
  <c r="AH859" i="25"/>
  <c r="AI859" i="25"/>
  <c r="AF860" i="25"/>
  <c r="AG860" i="25"/>
  <c r="AH860" i="25"/>
  <c r="AI860" i="25"/>
  <c r="AF861" i="25"/>
  <c r="AG861" i="25"/>
  <c r="AH861" i="25"/>
  <c r="AI861" i="25"/>
  <c r="AF862" i="25"/>
  <c r="AG862" i="25"/>
  <c r="AH862" i="25"/>
  <c r="AI862" i="25"/>
  <c r="AF863" i="25"/>
  <c r="AG863" i="25"/>
  <c r="AH863" i="25"/>
  <c r="AI863" i="25"/>
  <c r="AF864" i="25"/>
  <c r="AG864" i="25"/>
  <c r="AH864" i="25"/>
  <c r="AI864" i="25"/>
  <c r="AF865" i="25"/>
  <c r="AG865" i="25"/>
  <c r="AH865" i="25"/>
  <c r="AI865" i="25"/>
  <c r="AF866" i="25"/>
  <c r="AG866" i="25"/>
  <c r="AH866" i="25"/>
  <c r="AI866" i="25"/>
  <c r="AF867" i="25"/>
  <c r="AG867" i="25"/>
  <c r="AH867" i="25"/>
  <c r="AI867" i="25"/>
  <c r="AF868" i="25"/>
  <c r="AG868" i="25"/>
  <c r="AH868" i="25"/>
  <c r="AI868" i="25"/>
  <c r="AF869" i="25"/>
  <c r="AG869" i="25"/>
  <c r="AH869" i="25"/>
  <c r="AI869" i="25"/>
  <c r="AF870" i="25"/>
  <c r="AG870" i="25"/>
  <c r="AH870" i="25"/>
  <c r="AI870" i="25"/>
  <c r="AF871" i="25"/>
  <c r="AG871" i="25"/>
  <c r="AH871" i="25"/>
  <c r="AI871" i="25"/>
  <c r="AF872" i="25"/>
  <c r="AG872" i="25"/>
  <c r="AH872" i="25"/>
  <c r="AI872" i="25"/>
  <c r="AF873" i="25"/>
  <c r="AG873" i="25"/>
  <c r="AH873" i="25"/>
  <c r="AI873" i="25"/>
  <c r="AF874" i="25"/>
  <c r="AG874" i="25"/>
  <c r="AH874" i="25"/>
  <c r="AI874" i="25"/>
  <c r="AF875" i="25"/>
  <c r="AG875" i="25"/>
  <c r="AH875" i="25"/>
  <c r="AI875" i="25"/>
  <c r="AF876" i="25"/>
  <c r="AG876" i="25"/>
  <c r="AH876" i="25"/>
  <c r="AI876" i="25"/>
  <c r="AF877" i="25"/>
  <c r="AG877" i="25"/>
  <c r="AH877" i="25"/>
  <c r="AI877" i="25"/>
  <c r="AF878" i="25"/>
  <c r="AG878" i="25"/>
  <c r="AH878" i="25"/>
  <c r="AI878" i="25"/>
  <c r="AF879" i="25"/>
  <c r="AG879" i="25"/>
  <c r="AH879" i="25"/>
  <c r="AI879" i="25"/>
  <c r="AF880" i="25"/>
  <c r="AG880" i="25"/>
  <c r="AH880" i="25"/>
  <c r="AI880" i="25"/>
  <c r="AF881" i="25"/>
  <c r="AG881" i="25"/>
  <c r="AH881" i="25"/>
  <c r="AI881" i="25"/>
  <c r="AF443" i="25"/>
  <c r="AG443" i="25"/>
  <c r="AH443" i="25"/>
  <c r="AI443" i="25"/>
  <c r="AF444" i="25"/>
  <c r="AG444" i="25"/>
  <c r="AH444" i="25"/>
  <c r="AI444" i="25"/>
  <c r="AF445" i="25"/>
  <c r="AG445" i="25"/>
  <c r="AH445" i="25"/>
  <c r="AI445" i="25"/>
  <c r="AF446" i="25"/>
  <c r="AG446" i="25"/>
  <c r="AH446" i="25"/>
  <c r="AI446" i="25"/>
  <c r="AF447" i="25"/>
  <c r="AG447" i="25"/>
  <c r="AH447" i="25"/>
  <c r="AI447" i="25"/>
  <c r="AF448" i="25"/>
  <c r="AG448" i="25"/>
  <c r="AH448" i="25"/>
  <c r="AI448" i="25"/>
  <c r="AF449" i="25"/>
  <c r="AG449" i="25"/>
  <c r="AH449" i="25"/>
  <c r="AI449" i="25"/>
  <c r="AF450" i="25"/>
  <c r="AG450" i="25"/>
  <c r="AH450" i="25"/>
  <c r="AI450" i="25"/>
  <c r="AF451" i="25"/>
  <c r="AG451" i="25"/>
  <c r="AH451" i="25"/>
  <c r="AI451" i="25"/>
  <c r="AF452" i="25"/>
  <c r="AG452" i="25"/>
  <c r="AH452" i="25"/>
  <c r="AI452" i="25"/>
  <c r="AF453" i="25"/>
  <c r="AG453" i="25"/>
  <c r="AH453" i="25"/>
  <c r="AI453" i="25"/>
  <c r="AF454" i="25"/>
  <c r="AG454" i="25"/>
  <c r="AH454" i="25"/>
  <c r="AI454" i="25"/>
  <c r="AF455" i="25"/>
  <c r="AG455" i="25"/>
  <c r="AH455" i="25"/>
  <c r="AI455" i="25"/>
  <c r="AF456" i="25"/>
  <c r="AG456" i="25"/>
  <c r="AH456" i="25"/>
  <c r="AI456" i="25"/>
  <c r="AF457" i="25"/>
  <c r="AG457" i="25"/>
  <c r="AH457" i="25"/>
  <c r="AI457" i="25"/>
  <c r="AF458" i="25"/>
  <c r="AG458" i="25"/>
  <c r="AH458" i="25"/>
  <c r="AI458" i="25"/>
  <c r="AF459" i="25"/>
  <c r="AG459" i="25"/>
  <c r="AH459" i="25"/>
  <c r="AI459" i="25"/>
  <c r="AF460" i="25"/>
  <c r="AG460" i="25"/>
  <c r="AH460" i="25"/>
  <c r="AI460" i="25"/>
  <c r="AF461" i="25"/>
  <c r="AG461" i="25"/>
  <c r="AH461" i="25"/>
  <c r="AI461" i="25"/>
  <c r="AF462" i="25"/>
  <c r="AG462" i="25"/>
  <c r="AH462" i="25"/>
  <c r="AI462" i="25"/>
  <c r="AF463" i="25"/>
  <c r="AG463" i="25"/>
  <c r="AH463" i="25"/>
  <c r="AI463" i="25"/>
  <c r="AF464" i="25"/>
  <c r="AG464" i="25"/>
  <c r="AH464" i="25"/>
  <c r="AI464" i="25"/>
  <c r="AF465" i="25"/>
  <c r="AG465" i="25"/>
  <c r="AH465" i="25"/>
  <c r="AI465" i="25"/>
  <c r="AF466" i="25"/>
  <c r="AG466" i="25"/>
  <c r="AH466" i="25"/>
  <c r="AI466" i="25"/>
  <c r="AF467" i="25"/>
  <c r="AG467" i="25"/>
  <c r="AH467" i="25"/>
  <c r="AI467" i="25"/>
  <c r="AF468" i="25"/>
  <c r="AG468" i="25"/>
  <c r="AH468" i="25"/>
  <c r="AI468" i="25"/>
  <c r="AF469" i="25"/>
  <c r="AG469" i="25"/>
  <c r="AH469" i="25"/>
  <c r="AI469" i="25"/>
  <c r="AF470" i="25"/>
  <c r="AG470" i="25"/>
  <c r="AH470" i="25"/>
  <c r="AI470" i="25"/>
  <c r="AF471" i="25"/>
  <c r="AG471" i="25"/>
  <c r="AH471" i="25"/>
  <c r="AI471" i="25"/>
  <c r="AF472" i="25"/>
  <c r="AG472" i="25"/>
  <c r="AH472" i="25"/>
  <c r="AI472" i="25"/>
  <c r="AF473" i="25"/>
  <c r="AG473" i="25"/>
  <c r="AH473" i="25"/>
  <c r="AI473" i="25"/>
  <c r="AF474" i="25"/>
  <c r="AG474" i="25"/>
  <c r="AH474" i="25"/>
  <c r="AI474" i="25"/>
  <c r="AF475" i="25"/>
  <c r="AG475" i="25"/>
  <c r="AH475" i="25"/>
  <c r="AI475" i="25"/>
  <c r="AF476" i="25"/>
  <c r="AG476" i="25"/>
  <c r="AH476" i="25"/>
  <c r="AI476" i="25"/>
  <c r="AF477" i="25"/>
  <c r="AG477" i="25"/>
  <c r="AH477" i="25"/>
  <c r="AI477" i="25"/>
  <c r="AF478" i="25"/>
  <c r="AG478" i="25"/>
  <c r="AH478" i="25"/>
  <c r="AI478" i="25"/>
  <c r="AF479" i="25"/>
  <c r="AG479" i="25"/>
  <c r="AH479" i="25"/>
  <c r="AI479" i="25"/>
  <c r="AF480" i="25"/>
  <c r="AG480" i="25"/>
  <c r="AH480" i="25"/>
  <c r="AI480" i="25"/>
  <c r="AF481" i="25"/>
  <c r="AG481" i="25"/>
  <c r="AH481" i="25"/>
  <c r="AI481" i="25"/>
  <c r="AF482" i="25"/>
  <c r="AG482" i="25"/>
  <c r="AH482" i="25"/>
  <c r="AI482" i="25"/>
  <c r="AF483" i="25"/>
  <c r="AG483" i="25"/>
  <c r="AH483" i="25"/>
  <c r="AI483" i="25"/>
  <c r="AF484" i="25"/>
  <c r="AG484" i="25"/>
  <c r="AH484" i="25"/>
  <c r="AI484" i="25"/>
  <c r="AF485" i="25"/>
  <c r="AG485" i="25"/>
  <c r="AH485" i="25"/>
  <c r="AI485" i="25"/>
  <c r="AF486" i="25"/>
  <c r="AG486" i="25"/>
  <c r="AH486" i="25"/>
  <c r="AI486" i="25"/>
  <c r="AF487" i="25"/>
  <c r="AG487" i="25"/>
  <c r="AH487" i="25"/>
  <c r="AI487" i="25"/>
  <c r="AF488" i="25"/>
  <c r="AG488" i="25"/>
  <c r="AH488" i="25"/>
  <c r="AI488" i="25"/>
  <c r="AF489" i="25"/>
  <c r="AG489" i="25"/>
  <c r="AH489" i="25"/>
  <c r="AI489" i="25"/>
  <c r="AF490" i="25"/>
  <c r="AG490" i="25"/>
  <c r="AH490" i="25"/>
  <c r="AI490" i="25"/>
  <c r="AF491" i="25"/>
  <c r="AG491" i="25"/>
  <c r="AH491" i="25"/>
  <c r="AI491" i="25"/>
  <c r="AF492" i="25"/>
  <c r="AG492" i="25"/>
  <c r="AH492" i="25"/>
  <c r="AI492" i="25"/>
  <c r="AF493" i="25"/>
  <c r="AG493" i="25"/>
  <c r="AH493" i="25"/>
  <c r="AI493" i="25"/>
  <c r="AF494" i="25"/>
  <c r="AG494" i="25"/>
  <c r="AH494" i="25"/>
  <c r="AI494" i="25"/>
  <c r="AF495" i="25"/>
  <c r="AG495" i="25"/>
  <c r="AH495" i="25"/>
  <c r="AI495" i="25"/>
  <c r="AF496" i="25"/>
  <c r="AG496" i="25"/>
  <c r="AH496" i="25"/>
  <c r="AI496" i="25"/>
  <c r="AF497" i="25"/>
  <c r="AG497" i="25"/>
  <c r="AH497" i="25"/>
  <c r="AI497" i="25"/>
  <c r="AF498" i="25"/>
  <c r="AG498" i="25"/>
  <c r="AH498" i="25"/>
  <c r="AI498" i="25"/>
  <c r="AF499" i="25"/>
  <c r="AG499" i="25"/>
  <c r="AH499" i="25"/>
  <c r="AI499" i="25"/>
  <c r="AF500" i="25"/>
  <c r="AG500" i="25"/>
  <c r="AH500" i="25"/>
  <c r="AI500" i="25"/>
  <c r="AF501" i="25"/>
  <c r="AG501" i="25"/>
  <c r="AH501" i="25"/>
  <c r="AI501" i="25"/>
  <c r="AF502" i="25"/>
  <c r="AG502" i="25"/>
  <c r="AH502" i="25"/>
  <c r="AI502" i="25"/>
  <c r="AF503" i="25"/>
  <c r="AG503" i="25"/>
  <c r="AH503" i="25"/>
  <c r="AI503" i="25"/>
  <c r="AF504" i="25"/>
  <c r="AG504" i="25"/>
  <c r="AH504" i="25"/>
  <c r="AI504" i="25"/>
  <c r="AF505" i="25"/>
  <c r="AG505" i="25"/>
  <c r="AH505" i="25"/>
  <c r="AI505" i="25"/>
  <c r="AF506" i="25"/>
  <c r="AG506" i="25"/>
  <c r="AH506" i="25"/>
  <c r="AI506" i="25"/>
  <c r="AF507" i="25"/>
  <c r="AG507" i="25"/>
  <c r="AH507" i="25"/>
  <c r="AI507" i="25"/>
  <c r="AF508" i="25"/>
  <c r="AG508" i="25"/>
  <c r="AH508" i="25"/>
  <c r="AI508" i="25"/>
  <c r="AF509" i="25"/>
  <c r="AG509" i="25"/>
  <c r="AH509" i="25"/>
  <c r="AI509" i="25"/>
  <c r="AF510" i="25"/>
  <c r="AG510" i="25"/>
  <c r="AH510" i="25"/>
  <c r="AI510" i="25"/>
  <c r="AF511" i="25"/>
  <c r="AG511" i="25"/>
  <c r="AH511" i="25"/>
  <c r="AI511" i="25"/>
  <c r="AF512" i="25"/>
  <c r="AG512" i="25"/>
  <c r="AH512" i="25"/>
  <c r="AI512" i="25"/>
  <c r="AF513" i="25"/>
  <c r="AG513" i="25"/>
  <c r="AH513" i="25"/>
  <c r="AI513" i="25"/>
  <c r="AF514" i="25"/>
  <c r="AG514" i="25"/>
  <c r="AH514" i="25"/>
  <c r="AI514" i="25"/>
  <c r="AF515" i="25"/>
  <c r="AG515" i="25"/>
  <c r="AH515" i="25"/>
  <c r="AI515" i="25"/>
  <c r="AF516" i="25"/>
  <c r="AG516" i="25"/>
  <c r="AH516" i="25"/>
  <c r="AI516" i="25"/>
  <c r="AF517" i="25"/>
  <c r="AG517" i="25"/>
  <c r="AH517" i="25"/>
  <c r="AI517" i="25"/>
  <c r="AF518" i="25"/>
  <c r="AG518" i="25"/>
  <c r="AH518" i="25"/>
  <c r="AI518" i="25"/>
  <c r="AF519" i="25"/>
  <c r="AG519" i="25"/>
  <c r="AH519" i="25"/>
  <c r="AI519" i="25"/>
  <c r="AF520" i="25"/>
  <c r="AG520" i="25"/>
  <c r="AH520" i="25"/>
  <c r="AI520" i="25"/>
  <c r="AF521" i="25"/>
  <c r="AG521" i="25"/>
  <c r="AH521" i="25"/>
  <c r="AI521" i="25"/>
  <c r="AF522" i="25"/>
  <c r="AG522" i="25"/>
  <c r="AH522" i="25"/>
  <c r="AI522" i="25"/>
  <c r="AF523" i="25"/>
  <c r="AG523" i="25"/>
  <c r="AH523" i="25"/>
  <c r="AI523" i="25"/>
  <c r="AF524" i="25"/>
  <c r="AG524" i="25"/>
  <c r="AH524" i="25"/>
  <c r="AI524" i="25"/>
  <c r="AF525" i="25"/>
  <c r="AG525" i="25"/>
  <c r="AH525" i="25"/>
  <c r="AI525" i="25"/>
  <c r="AF526" i="25"/>
  <c r="AG526" i="25"/>
  <c r="AH526" i="25"/>
  <c r="AI526" i="25"/>
  <c r="AF527" i="25"/>
  <c r="AG527" i="25"/>
  <c r="AH527" i="25"/>
  <c r="AI527" i="25"/>
  <c r="AF528" i="25"/>
  <c r="AG528" i="25"/>
  <c r="AH528" i="25"/>
  <c r="AI528" i="25"/>
  <c r="AF529" i="25"/>
  <c r="AG529" i="25"/>
  <c r="AH529" i="25"/>
  <c r="AI529" i="25"/>
  <c r="AF530" i="25"/>
  <c r="AG530" i="25"/>
  <c r="AH530" i="25"/>
  <c r="AI530" i="25"/>
  <c r="AF531" i="25"/>
  <c r="AG531" i="25"/>
  <c r="AH531" i="25"/>
  <c r="AI531" i="25"/>
  <c r="AF532" i="25"/>
  <c r="AG532" i="25"/>
  <c r="AH532" i="25"/>
  <c r="AI532" i="25"/>
  <c r="AF533" i="25"/>
  <c r="AG533" i="25"/>
  <c r="AH533" i="25"/>
  <c r="AI533" i="25"/>
  <c r="AF534" i="25"/>
  <c r="AG534" i="25"/>
  <c r="AH534" i="25"/>
  <c r="AI534" i="25"/>
  <c r="AF535" i="25"/>
  <c r="AG535" i="25"/>
  <c r="AH535" i="25"/>
  <c r="AI535" i="25"/>
  <c r="AF536" i="25"/>
  <c r="AG536" i="25"/>
  <c r="AH536" i="25"/>
  <c r="AI536" i="25"/>
  <c r="AF537" i="25"/>
  <c r="AG537" i="25"/>
  <c r="AH537" i="25"/>
  <c r="AI537" i="25"/>
  <c r="AF538" i="25"/>
  <c r="AG538" i="25"/>
  <c r="AH538" i="25"/>
  <c r="AI538" i="25"/>
  <c r="AF539" i="25"/>
  <c r="AG539" i="25"/>
  <c r="AH539" i="25"/>
  <c r="AI539" i="25"/>
  <c r="AF540" i="25"/>
  <c r="AG540" i="25"/>
  <c r="AH540" i="25"/>
  <c r="AI540" i="25"/>
  <c r="AF541" i="25"/>
  <c r="AG541" i="25"/>
  <c r="AH541" i="25"/>
  <c r="AI541" i="25"/>
  <c r="AF542" i="25"/>
  <c r="AG542" i="25"/>
  <c r="AH542" i="25"/>
  <c r="AI542" i="25"/>
  <c r="AF543" i="25"/>
  <c r="AG543" i="25"/>
  <c r="AH543" i="25"/>
  <c r="AI543" i="25"/>
  <c r="AF544" i="25"/>
  <c r="AG544" i="25"/>
  <c r="AH544" i="25"/>
  <c r="AI544" i="25"/>
  <c r="AF545" i="25"/>
  <c r="AG545" i="25"/>
  <c r="AH545" i="25"/>
  <c r="AI545" i="25"/>
  <c r="AF546" i="25"/>
  <c r="AG546" i="25"/>
  <c r="AH546" i="25"/>
  <c r="AI546" i="25"/>
  <c r="AF547" i="25"/>
  <c r="AG547" i="25"/>
  <c r="AH547" i="25"/>
  <c r="AI547" i="25"/>
  <c r="AF548" i="25"/>
  <c r="AG548" i="25"/>
  <c r="AH548" i="25"/>
  <c r="AI548" i="25"/>
  <c r="AF549" i="25"/>
  <c r="AG549" i="25"/>
  <c r="AH549" i="25"/>
  <c r="AI549" i="25"/>
  <c r="AF550" i="25"/>
  <c r="AG550" i="25"/>
  <c r="AH550" i="25"/>
  <c r="AI550" i="25"/>
  <c r="AF551" i="25"/>
  <c r="AG551" i="25"/>
  <c r="AH551" i="25"/>
  <c r="AI551" i="25"/>
  <c r="AF552" i="25"/>
  <c r="AG552" i="25"/>
  <c r="AH552" i="25"/>
  <c r="AI552" i="25"/>
  <c r="AF553" i="25"/>
  <c r="AG553" i="25"/>
  <c r="AH553" i="25"/>
  <c r="AI553" i="25"/>
  <c r="AF554" i="25"/>
  <c r="AG554" i="25"/>
  <c r="AH554" i="25"/>
  <c r="AI554" i="25"/>
  <c r="AF555" i="25"/>
  <c r="AG555" i="25"/>
  <c r="AH555" i="25"/>
  <c r="AI555" i="25"/>
  <c r="AF556" i="25"/>
  <c r="AG556" i="25"/>
  <c r="AH556" i="25"/>
  <c r="AI556" i="25"/>
  <c r="AF557" i="25"/>
  <c r="AG557" i="25"/>
  <c r="AH557" i="25"/>
  <c r="AI557" i="25"/>
  <c r="AF558" i="25"/>
  <c r="AG558" i="25"/>
  <c r="AH558" i="25"/>
  <c r="AI558" i="25"/>
  <c r="AF559" i="25"/>
  <c r="AG559" i="25"/>
  <c r="AH559" i="25"/>
  <c r="AI559" i="25"/>
  <c r="AF560" i="25"/>
  <c r="AG560" i="25"/>
  <c r="AH560" i="25"/>
  <c r="AI560" i="25"/>
  <c r="AF561" i="25"/>
  <c r="AG561" i="25"/>
  <c r="AH561" i="25"/>
  <c r="AI561" i="25"/>
  <c r="AF562" i="25"/>
  <c r="AG562" i="25"/>
  <c r="AH562" i="25"/>
  <c r="AI562" i="25"/>
  <c r="AF563" i="25"/>
  <c r="AG563" i="25"/>
  <c r="AH563" i="25"/>
  <c r="AI563" i="25"/>
  <c r="AF564" i="25"/>
  <c r="AG564" i="25"/>
  <c r="AH564" i="25"/>
  <c r="AI564" i="25"/>
  <c r="AF565" i="25"/>
  <c r="AG565" i="25"/>
  <c r="AH565" i="25"/>
  <c r="AI565" i="25"/>
  <c r="AF566" i="25"/>
  <c r="AG566" i="25"/>
  <c r="AH566" i="25"/>
  <c r="AI566" i="25"/>
  <c r="AF567" i="25"/>
  <c r="AG567" i="25"/>
  <c r="AH567" i="25"/>
  <c r="AI567" i="25"/>
  <c r="AF568" i="25"/>
  <c r="AG568" i="25"/>
  <c r="AH568" i="25"/>
  <c r="AI568" i="25"/>
  <c r="AF569" i="25"/>
  <c r="AG569" i="25"/>
  <c r="AH569" i="25"/>
  <c r="AI569" i="25"/>
  <c r="AF570" i="25"/>
  <c r="AG570" i="25"/>
  <c r="AH570" i="25"/>
  <c r="AI570" i="25"/>
  <c r="AF571" i="25"/>
  <c r="AG571" i="25"/>
  <c r="AH571" i="25"/>
  <c r="AI571" i="25"/>
  <c r="AF572" i="25"/>
  <c r="AG572" i="25"/>
  <c r="AH572" i="25"/>
  <c r="AI572" i="25"/>
  <c r="AF573" i="25"/>
  <c r="AG573" i="25"/>
  <c r="AH573" i="25"/>
  <c r="AI573" i="25"/>
  <c r="AF574" i="25"/>
  <c r="AG574" i="25"/>
  <c r="AH574" i="25"/>
  <c r="AI574" i="25"/>
  <c r="AF575" i="25"/>
  <c r="AG575" i="25"/>
  <c r="AH575" i="25"/>
  <c r="AI575" i="25"/>
  <c r="AF576" i="25"/>
  <c r="AG576" i="25"/>
  <c r="AH576" i="25"/>
  <c r="AI576" i="25"/>
  <c r="AF577" i="25"/>
  <c r="AG577" i="25"/>
  <c r="AH577" i="25"/>
  <c r="AI577" i="25"/>
  <c r="AF578" i="25"/>
  <c r="AG578" i="25"/>
  <c r="AH578" i="25"/>
  <c r="AI578" i="25"/>
  <c r="AF579" i="25"/>
  <c r="AG579" i="25"/>
  <c r="AH579" i="25"/>
  <c r="AI579" i="25"/>
  <c r="AF580" i="25"/>
  <c r="AG580" i="25"/>
  <c r="AH580" i="25"/>
  <c r="AI580" i="25"/>
  <c r="AF581" i="25"/>
  <c r="AG581" i="25"/>
  <c r="AH581" i="25"/>
  <c r="AI581" i="25"/>
  <c r="AF582" i="25"/>
  <c r="AG582" i="25"/>
  <c r="AH582" i="25"/>
  <c r="AI582" i="25"/>
  <c r="AF583" i="25"/>
  <c r="AG583" i="25"/>
  <c r="AH583" i="25"/>
  <c r="AI583" i="25"/>
  <c r="AF584" i="25"/>
  <c r="AG584" i="25"/>
  <c r="AH584" i="25"/>
  <c r="AI584" i="25"/>
  <c r="AF585" i="25"/>
  <c r="AG585" i="25"/>
  <c r="AH585" i="25"/>
  <c r="AI585" i="25"/>
  <c r="AF586" i="25"/>
  <c r="AG586" i="25"/>
  <c r="AH586" i="25"/>
  <c r="AI586" i="25"/>
  <c r="AF587" i="25"/>
  <c r="AG587" i="25"/>
  <c r="AH587" i="25"/>
  <c r="AI587" i="25"/>
  <c r="AF588" i="25"/>
  <c r="AG588" i="25"/>
  <c r="AH588" i="25"/>
  <c r="AI588" i="25"/>
  <c r="AF589" i="25"/>
  <c r="AG589" i="25"/>
  <c r="AH589" i="25"/>
  <c r="AI589" i="25"/>
  <c r="AF590" i="25"/>
  <c r="AG590" i="25"/>
  <c r="AH590" i="25"/>
  <c r="AI590" i="25"/>
  <c r="AF591" i="25"/>
  <c r="AG591" i="25"/>
  <c r="AH591" i="25"/>
  <c r="AI591" i="25"/>
  <c r="AF592" i="25"/>
  <c r="AG592" i="25"/>
  <c r="AH592" i="25"/>
  <c r="AI592" i="25"/>
  <c r="AF593" i="25"/>
  <c r="AG593" i="25"/>
  <c r="AH593" i="25"/>
  <c r="AI593" i="25"/>
  <c r="AF594" i="25"/>
  <c r="AG594" i="25"/>
  <c r="AH594" i="25"/>
  <c r="AI594" i="25"/>
  <c r="AF595" i="25"/>
  <c r="AG595" i="25"/>
  <c r="AH595" i="25"/>
  <c r="AI595" i="25"/>
  <c r="AF596" i="25"/>
  <c r="AG596" i="25"/>
  <c r="AH596" i="25"/>
  <c r="AI596" i="25"/>
  <c r="AF597" i="25"/>
  <c r="AG597" i="25"/>
  <c r="AH597" i="25"/>
  <c r="AI597" i="25"/>
  <c r="AF598" i="25"/>
  <c r="AG598" i="25"/>
  <c r="AH598" i="25"/>
  <c r="AI598" i="25"/>
  <c r="AF599" i="25"/>
  <c r="AG599" i="25"/>
  <c r="AH599" i="25"/>
  <c r="AI599" i="25"/>
  <c r="AF600" i="25"/>
  <c r="AG600" i="25"/>
  <c r="AH600" i="25"/>
  <c r="AI600" i="25"/>
  <c r="AF601" i="25"/>
  <c r="AG601" i="25"/>
  <c r="AH601" i="25"/>
  <c r="AI601" i="25"/>
  <c r="AF602" i="25"/>
  <c r="AG602" i="25"/>
  <c r="AH602" i="25"/>
  <c r="AI602" i="25"/>
  <c r="AF603" i="25"/>
  <c r="AG603" i="25"/>
  <c r="AH603" i="25"/>
  <c r="AI603" i="25"/>
  <c r="AF604" i="25"/>
  <c r="AG604" i="25"/>
  <c r="AH604" i="25"/>
  <c r="AI604" i="25"/>
  <c r="AF605" i="25"/>
  <c r="AG605" i="25"/>
  <c r="AH605" i="25"/>
  <c r="AI605" i="25"/>
  <c r="AF606" i="25"/>
  <c r="AG606" i="25"/>
  <c r="AH606" i="25"/>
  <c r="AI606" i="25"/>
  <c r="AF607" i="25"/>
  <c r="AG607" i="25"/>
  <c r="AH607" i="25"/>
  <c r="AI607" i="25"/>
  <c r="AF608" i="25"/>
  <c r="AG608" i="25"/>
  <c r="AH608" i="25"/>
  <c r="AI608" i="25"/>
  <c r="AF609" i="25"/>
  <c r="AG609" i="25"/>
  <c r="AH609" i="25"/>
  <c r="AI609" i="25"/>
  <c r="AF610" i="25"/>
  <c r="AG610" i="25"/>
  <c r="AH610" i="25"/>
  <c r="AI610" i="25"/>
  <c r="AF611" i="25"/>
  <c r="AG611" i="25"/>
  <c r="AH611" i="25"/>
  <c r="AI611" i="25"/>
  <c r="AF612" i="25"/>
  <c r="AG612" i="25"/>
  <c r="AH612" i="25"/>
  <c r="AI612" i="25"/>
  <c r="AF613" i="25"/>
  <c r="AG613" i="25"/>
  <c r="AH613" i="25"/>
  <c r="AI613" i="25"/>
  <c r="AF614" i="25"/>
  <c r="AG614" i="25"/>
  <c r="AH614" i="25"/>
  <c r="AI614" i="25"/>
  <c r="AF615" i="25"/>
  <c r="AG615" i="25"/>
  <c r="AH615" i="25"/>
  <c r="AI615" i="25"/>
  <c r="AF616" i="25"/>
  <c r="AG616" i="25"/>
  <c r="AH616" i="25"/>
  <c r="AI616" i="25"/>
  <c r="AF617" i="25"/>
  <c r="AG617" i="25"/>
  <c r="AH617" i="25"/>
  <c r="AI617" i="25"/>
  <c r="AF618" i="25"/>
  <c r="AG618" i="25"/>
  <c r="AH618" i="25"/>
  <c r="AI618" i="25"/>
  <c r="AF619" i="25"/>
  <c r="AG619" i="25"/>
  <c r="AH619" i="25"/>
  <c r="AI619" i="25"/>
  <c r="AF620" i="25"/>
  <c r="AG620" i="25"/>
  <c r="AH620" i="25"/>
  <c r="AI620" i="25"/>
  <c r="AF621" i="25"/>
  <c r="AG621" i="25"/>
  <c r="AH621" i="25"/>
  <c r="AI621" i="25"/>
  <c r="AF622" i="25"/>
  <c r="AG622" i="25"/>
  <c r="AH622" i="25"/>
  <c r="AI622" i="25"/>
  <c r="AF623" i="25"/>
  <c r="AG623" i="25"/>
  <c r="AH623" i="25"/>
  <c r="AI623" i="25"/>
  <c r="AF624" i="25"/>
  <c r="AG624" i="25"/>
  <c r="AH624" i="25"/>
  <c r="AI624" i="25"/>
  <c r="AF625" i="25"/>
  <c r="AG625" i="25"/>
  <c r="AH625" i="25"/>
  <c r="AI625" i="25"/>
  <c r="AF626" i="25"/>
  <c r="AG626" i="25"/>
  <c r="AH626" i="25"/>
  <c r="AI626" i="25"/>
  <c r="AF627" i="25"/>
  <c r="AG627" i="25"/>
  <c r="AH627" i="25"/>
  <c r="AI627" i="25"/>
  <c r="AF628" i="25"/>
  <c r="AG628" i="25"/>
  <c r="AH628" i="25"/>
  <c r="AI628" i="25"/>
  <c r="AF629" i="25"/>
  <c r="AG629" i="25"/>
  <c r="AH629" i="25"/>
  <c r="AI629" i="25"/>
  <c r="AF630" i="25"/>
  <c r="AG630" i="25"/>
  <c r="AH630" i="25"/>
  <c r="AI630" i="25"/>
  <c r="AF631" i="25"/>
  <c r="AG631" i="25"/>
  <c r="AH631" i="25"/>
  <c r="AI631" i="25"/>
  <c r="AF632" i="25"/>
  <c r="AG632" i="25"/>
  <c r="AH632" i="25"/>
  <c r="AI632" i="25"/>
  <c r="AF633" i="25"/>
  <c r="AG633" i="25"/>
  <c r="AH633" i="25"/>
  <c r="AI633" i="25"/>
  <c r="AF634" i="25"/>
  <c r="AG634" i="25"/>
  <c r="AH634" i="25"/>
  <c r="AI634" i="25"/>
  <c r="AF635" i="25"/>
  <c r="AG635" i="25"/>
  <c r="AH635" i="25"/>
  <c r="AI635" i="25"/>
  <c r="AF636" i="25"/>
  <c r="AG636" i="25"/>
  <c r="AH636" i="25"/>
  <c r="AI636" i="25"/>
  <c r="AF637" i="25"/>
  <c r="AG637" i="25"/>
  <c r="AH637" i="25"/>
  <c r="AI637" i="25"/>
  <c r="AF638" i="25"/>
  <c r="AG638" i="25"/>
  <c r="AH638" i="25"/>
  <c r="AI638" i="25"/>
  <c r="AF639" i="25"/>
  <c r="AG639" i="25"/>
  <c r="AH639" i="25"/>
  <c r="AI639" i="25"/>
  <c r="AF640" i="25"/>
  <c r="AG640" i="25"/>
  <c r="AH640" i="25"/>
  <c r="AI640" i="25"/>
  <c r="AF641" i="25"/>
  <c r="AG641" i="25"/>
  <c r="AH641" i="25"/>
  <c r="AI641" i="25"/>
  <c r="AF642" i="25"/>
  <c r="AG642" i="25"/>
  <c r="AH642" i="25"/>
  <c r="AI642" i="25"/>
  <c r="AF643" i="25"/>
  <c r="AG643" i="25"/>
  <c r="AH643" i="25"/>
  <c r="AI643" i="25"/>
  <c r="AF644" i="25"/>
  <c r="AG644" i="25"/>
  <c r="AH644" i="25"/>
  <c r="AI644" i="25"/>
  <c r="AF645" i="25"/>
  <c r="AG645" i="25"/>
  <c r="AH645" i="25"/>
  <c r="AI645" i="25"/>
  <c r="AF646" i="25"/>
  <c r="AG646" i="25"/>
  <c r="AH646" i="25"/>
  <c r="AI646" i="25"/>
  <c r="AF647" i="25"/>
  <c r="AG647" i="25"/>
  <c r="AH647" i="25"/>
  <c r="AI647" i="25"/>
  <c r="AF648" i="25"/>
  <c r="AG648" i="25"/>
  <c r="AH648" i="25"/>
  <c r="AI648" i="25"/>
  <c r="AF649" i="25"/>
  <c r="AG649" i="25"/>
  <c r="AH649" i="25"/>
  <c r="AI649" i="25"/>
  <c r="AF650" i="25"/>
  <c r="AG650" i="25"/>
  <c r="AH650" i="25"/>
  <c r="AI650" i="25"/>
  <c r="AF651" i="25"/>
  <c r="AG651" i="25"/>
  <c r="AH651" i="25"/>
  <c r="AI651" i="25"/>
  <c r="AF652" i="25"/>
  <c r="AG652" i="25"/>
  <c r="AH652" i="25"/>
  <c r="AI652" i="25"/>
  <c r="AF653" i="25"/>
  <c r="AG653" i="25"/>
  <c r="AH653" i="25"/>
  <c r="AI653" i="25"/>
  <c r="AF654" i="25"/>
  <c r="AG654" i="25"/>
  <c r="AH654" i="25"/>
  <c r="AI654" i="25"/>
  <c r="AF655" i="25"/>
  <c r="AG655" i="25"/>
  <c r="AH655" i="25"/>
  <c r="AI655" i="25"/>
  <c r="AF656" i="25"/>
  <c r="AG656" i="25"/>
  <c r="AH656" i="25"/>
  <c r="AI656" i="25"/>
  <c r="AF657" i="25"/>
  <c r="AG657" i="25"/>
  <c r="AH657" i="25"/>
  <c r="AI657" i="25"/>
  <c r="AF658" i="25"/>
  <c r="AG658" i="25"/>
  <c r="AH658" i="25"/>
  <c r="AI658" i="25"/>
  <c r="AF659" i="25"/>
  <c r="AG659" i="25"/>
  <c r="AH659" i="25"/>
  <c r="AI659" i="25"/>
  <c r="AF660" i="25"/>
  <c r="AG660" i="25"/>
  <c r="AH660" i="25"/>
  <c r="AI660" i="25"/>
  <c r="AF661" i="25"/>
  <c r="AG661" i="25"/>
  <c r="AH661" i="25"/>
  <c r="AI661" i="25"/>
  <c r="AF223" i="25"/>
  <c r="AG223" i="25"/>
  <c r="AH223" i="25"/>
  <c r="AI223" i="25"/>
  <c r="AF224" i="25"/>
  <c r="AG224" i="25"/>
  <c r="AH224" i="25"/>
  <c r="AI224" i="25"/>
  <c r="AF225" i="25"/>
  <c r="AG225" i="25"/>
  <c r="AH225" i="25"/>
  <c r="AI225" i="25"/>
  <c r="AF226" i="25"/>
  <c r="AG226" i="25"/>
  <c r="AH226" i="25"/>
  <c r="AI226" i="25"/>
  <c r="AF227" i="25"/>
  <c r="AG227" i="25"/>
  <c r="AH227" i="25"/>
  <c r="AI227" i="25"/>
  <c r="AF228" i="25"/>
  <c r="AG228" i="25"/>
  <c r="AH228" i="25"/>
  <c r="AI228" i="25"/>
  <c r="AF229" i="25"/>
  <c r="AG229" i="25"/>
  <c r="AH229" i="25"/>
  <c r="AI229" i="25"/>
  <c r="AF230" i="25"/>
  <c r="AG230" i="25"/>
  <c r="AH230" i="25"/>
  <c r="AI230" i="25"/>
  <c r="AF231" i="25"/>
  <c r="AG231" i="25"/>
  <c r="AH231" i="25"/>
  <c r="AI231" i="25"/>
  <c r="AF232" i="25"/>
  <c r="AG232" i="25"/>
  <c r="AH232" i="25"/>
  <c r="AI232" i="25"/>
  <c r="AF233" i="25"/>
  <c r="AG233" i="25"/>
  <c r="AH233" i="25"/>
  <c r="AI233" i="25"/>
  <c r="AF234" i="25"/>
  <c r="AG234" i="25"/>
  <c r="AH234" i="25"/>
  <c r="AI234" i="25"/>
  <c r="AF235" i="25"/>
  <c r="AG235" i="25"/>
  <c r="AH235" i="25"/>
  <c r="AI235" i="25"/>
  <c r="AF236" i="25"/>
  <c r="AG236" i="25"/>
  <c r="AH236" i="25"/>
  <c r="AI236" i="25"/>
  <c r="AF237" i="25"/>
  <c r="AG237" i="25"/>
  <c r="AH237" i="25"/>
  <c r="AI237" i="25"/>
  <c r="AF238" i="25"/>
  <c r="AG238" i="25"/>
  <c r="AH238" i="25"/>
  <c r="AI238" i="25"/>
  <c r="AF239" i="25"/>
  <c r="AG239" i="25"/>
  <c r="AH239" i="25"/>
  <c r="AI239" i="25"/>
  <c r="AF240" i="25"/>
  <c r="AG240" i="25"/>
  <c r="AH240" i="25"/>
  <c r="AI240" i="25"/>
  <c r="AF241" i="25"/>
  <c r="AG241" i="25"/>
  <c r="AH241" i="25"/>
  <c r="AI241" i="25"/>
  <c r="AF242" i="25"/>
  <c r="AG242" i="25"/>
  <c r="AH242" i="25"/>
  <c r="AI242" i="25"/>
  <c r="AF243" i="25"/>
  <c r="AG243" i="25"/>
  <c r="AH243" i="25"/>
  <c r="AI243" i="25"/>
  <c r="AF244" i="25"/>
  <c r="AG244" i="25"/>
  <c r="AH244" i="25"/>
  <c r="AI244" i="25"/>
  <c r="AF245" i="25"/>
  <c r="AG245" i="25"/>
  <c r="AH245" i="25"/>
  <c r="AI245" i="25"/>
  <c r="AF246" i="25"/>
  <c r="AG246" i="25"/>
  <c r="AH246" i="25"/>
  <c r="AI246" i="25"/>
  <c r="AF247" i="25"/>
  <c r="AG247" i="25"/>
  <c r="AH247" i="25"/>
  <c r="AI247" i="25"/>
  <c r="AF248" i="25"/>
  <c r="AG248" i="25"/>
  <c r="AH248" i="25"/>
  <c r="AI248" i="25"/>
  <c r="AF249" i="25"/>
  <c r="AG249" i="25"/>
  <c r="AH249" i="25"/>
  <c r="AI249" i="25"/>
  <c r="AF250" i="25"/>
  <c r="AG250" i="25"/>
  <c r="AH250" i="25"/>
  <c r="AI250" i="25"/>
  <c r="AF251" i="25"/>
  <c r="AG251" i="25"/>
  <c r="AH251" i="25"/>
  <c r="AI251" i="25"/>
  <c r="AF252" i="25"/>
  <c r="AG252" i="25"/>
  <c r="AH252" i="25"/>
  <c r="AI252" i="25"/>
  <c r="AF253" i="25"/>
  <c r="AG253" i="25"/>
  <c r="AH253" i="25"/>
  <c r="AI253" i="25"/>
  <c r="AF254" i="25"/>
  <c r="AG254" i="25"/>
  <c r="AH254" i="25"/>
  <c r="AI254" i="25"/>
  <c r="AF255" i="25"/>
  <c r="AG255" i="25"/>
  <c r="AH255" i="25"/>
  <c r="AI255" i="25"/>
  <c r="AF256" i="25"/>
  <c r="AG256" i="25"/>
  <c r="AH256" i="25"/>
  <c r="AI256" i="25"/>
  <c r="AF257" i="25"/>
  <c r="AG257" i="25"/>
  <c r="AH257" i="25"/>
  <c r="AI257" i="25"/>
  <c r="AF258" i="25"/>
  <c r="AG258" i="25"/>
  <c r="AH258" i="25"/>
  <c r="AI258" i="25"/>
  <c r="AF259" i="25"/>
  <c r="AG259" i="25"/>
  <c r="AH259" i="25"/>
  <c r="AI259" i="25"/>
  <c r="AF260" i="25"/>
  <c r="AG260" i="25"/>
  <c r="AH260" i="25"/>
  <c r="AI260" i="25"/>
  <c r="AF261" i="25"/>
  <c r="AG261" i="25"/>
  <c r="AH261" i="25"/>
  <c r="AI261" i="25"/>
  <c r="AF262" i="25"/>
  <c r="AG262" i="25"/>
  <c r="AH262" i="25"/>
  <c r="AI262" i="25"/>
  <c r="AF263" i="25"/>
  <c r="AG263" i="25"/>
  <c r="AH263" i="25"/>
  <c r="AI263" i="25"/>
  <c r="AF264" i="25"/>
  <c r="AG264" i="25"/>
  <c r="AH264" i="25"/>
  <c r="AI264" i="25"/>
  <c r="AF265" i="25"/>
  <c r="AG265" i="25"/>
  <c r="AH265" i="25"/>
  <c r="AI265" i="25"/>
  <c r="AF266" i="25"/>
  <c r="AG266" i="25"/>
  <c r="AH266" i="25"/>
  <c r="AI266" i="25"/>
  <c r="AF267" i="25"/>
  <c r="AG267" i="25"/>
  <c r="AH267" i="25"/>
  <c r="AI267" i="25"/>
  <c r="AF268" i="25"/>
  <c r="AG268" i="25"/>
  <c r="AH268" i="25"/>
  <c r="AI268" i="25"/>
  <c r="AF269" i="25"/>
  <c r="AG269" i="25"/>
  <c r="AH269" i="25"/>
  <c r="AI269" i="25"/>
  <c r="AF270" i="25"/>
  <c r="AG270" i="25"/>
  <c r="AH270" i="25"/>
  <c r="AI270" i="25"/>
  <c r="AF271" i="25"/>
  <c r="AG271" i="25"/>
  <c r="AH271" i="25"/>
  <c r="AI271" i="25"/>
  <c r="AF272" i="25"/>
  <c r="AG272" i="25"/>
  <c r="AH272" i="25"/>
  <c r="AI272" i="25"/>
  <c r="AF273" i="25"/>
  <c r="AG273" i="25"/>
  <c r="AH273" i="25"/>
  <c r="AI273" i="25"/>
  <c r="AF274" i="25"/>
  <c r="AG274" i="25"/>
  <c r="AH274" i="25"/>
  <c r="AI274" i="25"/>
  <c r="AF275" i="25"/>
  <c r="AG275" i="25"/>
  <c r="AH275" i="25"/>
  <c r="AI275" i="25"/>
  <c r="AF276" i="25"/>
  <c r="AG276" i="25"/>
  <c r="AH276" i="25"/>
  <c r="AI276" i="25"/>
  <c r="AF277" i="25"/>
  <c r="AG277" i="25"/>
  <c r="AH277" i="25"/>
  <c r="AI277" i="25"/>
  <c r="AF278" i="25"/>
  <c r="AG278" i="25"/>
  <c r="AH278" i="25"/>
  <c r="AI278" i="25"/>
  <c r="AF279" i="25"/>
  <c r="AG279" i="25"/>
  <c r="AH279" i="25"/>
  <c r="AI279" i="25"/>
  <c r="AF280" i="25"/>
  <c r="AG280" i="25"/>
  <c r="AH280" i="25"/>
  <c r="AI280" i="25"/>
  <c r="AF281" i="25"/>
  <c r="AG281" i="25"/>
  <c r="AH281" i="25"/>
  <c r="AI281" i="25"/>
  <c r="AF282" i="25"/>
  <c r="AG282" i="25"/>
  <c r="AH282" i="25"/>
  <c r="AI282" i="25"/>
  <c r="AF283" i="25"/>
  <c r="AG283" i="25"/>
  <c r="AH283" i="25"/>
  <c r="AI283" i="25"/>
  <c r="AF284" i="25"/>
  <c r="AG284" i="25"/>
  <c r="AH284" i="25"/>
  <c r="AI284" i="25"/>
  <c r="AF285" i="25"/>
  <c r="AG285" i="25"/>
  <c r="AH285" i="25"/>
  <c r="AI285" i="25"/>
  <c r="AF286" i="25"/>
  <c r="AG286" i="25"/>
  <c r="AH286" i="25"/>
  <c r="AI286" i="25"/>
  <c r="AF287" i="25"/>
  <c r="AG287" i="25"/>
  <c r="AH287" i="25"/>
  <c r="AI287" i="25"/>
  <c r="AF288" i="25"/>
  <c r="AG288" i="25"/>
  <c r="AH288" i="25"/>
  <c r="AI288" i="25"/>
  <c r="AF289" i="25"/>
  <c r="AG289" i="25"/>
  <c r="AH289" i="25"/>
  <c r="AI289" i="25"/>
  <c r="AF290" i="25"/>
  <c r="AG290" i="25"/>
  <c r="AH290" i="25"/>
  <c r="AI290" i="25"/>
  <c r="AF291" i="25"/>
  <c r="AG291" i="25"/>
  <c r="AH291" i="25"/>
  <c r="AI291" i="25"/>
  <c r="AF292" i="25"/>
  <c r="AG292" i="25"/>
  <c r="AH292" i="25"/>
  <c r="AI292" i="25"/>
  <c r="AF293" i="25"/>
  <c r="AG293" i="25"/>
  <c r="AH293" i="25"/>
  <c r="AI293" i="25"/>
  <c r="AF294" i="25"/>
  <c r="AG294" i="25"/>
  <c r="AH294" i="25"/>
  <c r="AI294" i="25"/>
  <c r="AF295" i="25"/>
  <c r="AG295" i="25"/>
  <c r="AH295" i="25"/>
  <c r="AI295" i="25"/>
  <c r="AF296" i="25"/>
  <c r="AG296" i="25"/>
  <c r="AH296" i="25"/>
  <c r="AI296" i="25"/>
  <c r="AF297" i="25"/>
  <c r="AG297" i="25"/>
  <c r="AH297" i="25"/>
  <c r="AI297" i="25"/>
  <c r="AF298" i="25"/>
  <c r="AG298" i="25"/>
  <c r="AH298" i="25"/>
  <c r="AI298" i="25"/>
  <c r="AF299" i="25"/>
  <c r="AG299" i="25"/>
  <c r="AH299" i="25"/>
  <c r="AI299" i="25"/>
  <c r="AF300" i="25"/>
  <c r="AG300" i="25"/>
  <c r="AH300" i="25"/>
  <c r="AI300" i="25"/>
  <c r="AF301" i="25"/>
  <c r="AG301" i="25"/>
  <c r="AH301" i="25"/>
  <c r="AI301" i="25"/>
  <c r="AF302" i="25"/>
  <c r="AG302" i="25"/>
  <c r="AH302" i="25"/>
  <c r="AI302" i="25"/>
  <c r="AF303" i="25"/>
  <c r="AG303" i="25"/>
  <c r="AH303" i="25"/>
  <c r="AI303" i="25"/>
  <c r="AF304" i="25"/>
  <c r="AG304" i="25"/>
  <c r="AH304" i="25"/>
  <c r="AI304" i="25"/>
  <c r="AF305" i="25"/>
  <c r="AG305" i="25"/>
  <c r="AH305" i="25"/>
  <c r="AI305" i="25"/>
  <c r="AF306" i="25"/>
  <c r="AG306" i="25"/>
  <c r="AH306" i="25"/>
  <c r="AI306" i="25"/>
  <c r="AF307" i="25"/>
  <c r="AG307" i="25"/>
  <c r="AH307" i="25"/>
  <c r="AI307" i="25"/>
  <c r="AF308" i="25"/>
  <c r="AG308" i="25"/>
  <c r="AH308" i="25"/>
  <c r="AI308" i="25"/>
  <c r="AF309" i="25"/>
  <c r="AG309" i="25"/>
  <c r="AH309" i="25"/>
  <c r="AI309" i="25"/>
  <c r="AF310" i="25"/>
  <c r="AG310" i="25"/>
  <c r="AH310" i="25"/>
  <c r="AI310" i="25"/>
  <c r="AF311" i="25"/>
  <c r="AG311" i="25"/>
  <c r="AH311" i="25"/>
  <c r="AI311" i="25"/>
  <c r="AF312" i="25"/>
  <c r="AG312" i="25"/>
  <c r="AH312" i="25"/>
  <c r="AI312" i="25"/>
  <c r="AF313" i="25"/>
  <c r="AG313" i="25"/>
  <c r="AH313" i="25"/>
  <c r="AI313" i="25"/>
  <c r="AF314" i="25"/>
  <c r="AG314" i="25"/>
  <c r="AH314" i="25"/>
  <c r="AI314" i="25"/>
  <c r="AF315" i="25"/>
  <c r="AG315" i="25"/>
  <c r="AH315" i="25"/>
  <c r="AI315" i="25"/>
  <c r="AF316" i="25"/>
  <c r="AG316" i="25"/>
  <c r="AH316" i="25"/>
  <c r="AI316" i="25"/>
  <c r="AF317" i="25"/>
  <c r="AG317" i="25"/>
  <c r="AH317" i="25"/>
  <c r="AI317" i="25"/>
  <c r="AF318" i="25"/>
  <c r="AG318" i="25"/>
  <c r="AH318" i="25"/>
  <c r="AI318" i="25"/>
  <c r="AF319" i="25"/>
  <c r="AG319" i="25"/>
  <c r="AH319" i="25"/>
  <c r="AI319" i="25"/>
  <c r="AF320" i="25"/>
  <c r="AG320" i="25"/>
  <c r="AH320" i="25"/>
  <c r="AI320" i="25"/>
  <c r="AF321" i="25"/>
  <c r="AG321" i="25"/>
  <c r="AH321" i="25"/>
  <c r="AI321" i="25"/>
  <c r="AF322" i="25"/>
  <c r="AG322" i="25"/>
  <c r="AH322" i="25"/>
  <c r="AI322" i="25"/>
  <c r="AF323" i="25"/>
  <c r="AG323" i="25"/>
  <c r="AH323" i="25"/>
  <c r="AI323" i="25"/>
  <c r="AF324" i="25"/>
  <c r="AG324" i="25"/>
  <c r="AH324" i="25"/>
  <c r="AI324" i="25"/>
  <c r="AF325" i="25"/>
  <c r="AG325" i="25"/>
  <c r="AH325" i="25"/>
  <c r="AI325" i="25"/>
  <c r="AF326" i="25"/>
  <c r="AG326" i="25"/>
  <c r="AH326" i="25"/>
  <c r="AI326" i="25"/>
  <c r="AF327" i="25"/>
  <c r="AG327" i="25"/>
  <c r="AH327" i="25"/>
  <c r="AI327" i="25"/>
  <c r="AF328" i="25"/>
  <c r="AG328" i="25"/>
  <c r="AH328" i="25"/>
  <c r="AI328" i="25"/>
  <c r="AF329" i="25"/>
  <c r="AG329" i="25"/>
  <c r="AH329" i="25"/>
  <c r="AI329" i="25"/>
  <c r="AF330" i="25"/>
  <c r="AG330" i="25"/>
  <c r="AH330" i="25"/>
  <c r="AI330" i="25"/>
  <c r="AF331" i="25"/>
  <c r="AG331" i="25"/>
  <c r="AH331" i="25"/>
  <c r="AI331" i="25"/>
  <c r="AF332" i="25"/>
  <c r="AG332" i="25"/>
  <c r="AH332" i="25"/>
  <c r="AI332" i="25"/>
  <c r="AF333" i="25"/>
  <c r="AG333" i="25"/>
  <c r="AH333" i="25"/>
  <c r="AI333" i="25"/>
  <c r="AF334" i="25"/>
  <c r="AG334" i="25"/>
  <c r="AH334" i="25"/>
  <c r="AI334" i="25"/>
  <c r="AF335" i="25"/>
  <c r="AG335" i="25"/>
  <c r="AH335" i="25"/>
  <c r="AI335" i="25"/>
  <c r="AF336" i="25"/>
  <c r="AG336" i="25"/>
  <c r="AH336" i="25"/>
  <c r="AI336" i="25"/>
  <c r="AF337" i="25"/>
  <c r="AG337" i="25"/>
  <c r="AH337" i="25"/>
  <c r="AI337" i="25"/>
  <c r="AF338" i="25"/>
  <c r="AG338" i="25"/>
  <c r="AH338" i="25"/>
  <c r="AI338" i="25"/>
  <c r="AF339" i="25"/>
  <c r="AG339" i="25"/>
  <c r="AH339" i="25"/>
  <c r="AI339" i="25"/>
  <c r="AF340" i="25"/>
  <c r="AG340" i="25"/>
  <c r="AH340" i="25"/>
  <c r="AI340" i="25"/>
  <c r="AF341" i="25"/>
  <c r="AG341" i="25"/>
  <c r="AH341" i="25"/>
  <c r="AI341" i="25"/>
  <c r="AF342" i="25"/>
  <c r="AG342" i="25"/>
  <c r="AH342" i="25"/>
  <c r="AI342" i="25"/>
  <c r="AF343" i="25"/>
  <c r="AG343" i="25"/>
  <c r="AH343" i="25"/>
  <c r="AI343" i="25"/>
  <c r="AF344" i="25"/>
  <c r="AG344" i="25"/>
  <c r="AH344" i="25"/>
  <c r="AI344" i="25"/>
  <c r="AF345" i="25"/>
  <c r="AG345" i="25"/>
  <c r="AH345" i="25"/>
  <c r="AI345" i="25"/>
  <c r="AF346" i="25"/>
  <c r="AG346" i="25"/>
  <c r="AH346" i="25"/>
  <c r="AI346" i="25"/>
  <c r="AF347" i="25"/>
  <c r="AG347" i="25"/>
  <c r="AH347" i="25"/>
  <c r="AI347" i="25"/>
  <c r="AF348" i="25"/>
  <c r="AG348" i="25"/>
  <c r="AH348" i="25"/>
  <c r="AI348" i="25"/>
  <c r="AF349" i="25"/>
  <c r="AG349" i="25"/>
  <c r="AH349" i="25"/>
  <c r="AI349" i="25"/>
  <c r="AF350" i="25"/>
  <c r="AG350" i="25"/>
  <c r="AH350" i="25"/>
  <c r="AI350" i="25"/>
  <c r="AF351" i="25"/>
  <c r="AG351" i="25"/>
  <c r="AH351" i="25"/>
  <c r="AI351" i="25"/>
  <c r="AF352" i="25"/>
  <c r="AG352" i="25"/>
  <c r="AH352" i="25"/>
  <c r="AI352" i="25"/>
  <c r="AF353" i="25"/>
  <c r="AG353" i="25"/>
  <c r="AH353" i="25"/>
  <c r="AI353" i="25"/>
  <c r="AF354" i="25"/>
  <c r="AG354" i="25"/>
  <c r="AH354" i="25"/>
  <c r="AI354" i="25"/>
  <c r="AF355" i="25"/>
  <c r="AG355" i="25"/>
  <c r="AH355" i="25"/>
  <c r="AI355" i="25"/>
  <c r="AF356" i="25"/>
  <c r="AG356" i="25"/>
  <c r="AH356" i="25"/>
  <c r="AI356" i="25"/>
  <c r="AF357" i="25"/>
  <c r="AG357" i="25"/>
  <c r="AH357" i="25"/>
  <c r="AI357" i="25"/>
  <c r="AF358" i="25"/>
  <c r="AG358" i="25"/>
  <c r="AH358" i="25"/>
  <c r="AI358" i="25"/>
  <c r="AF359" i="25"/>
  <c r="AG359" i="25"/>
  <c r="AH359" i="25"/>
  <c r="AI359" i="25"/>
  <c r="AF360" i="25"/>
  <c r="AG360" i="25"/>
  <c r="AH360" i="25"/>
  <c r="AI360" i="25"/>
  <c r="AF361" i="25"/>
  <c r="AG361" i="25"/>
  <c r="AH361" i="25"/>
  <c r="AI361" i="25"/>
  <c r="AF362" i="25"/>
  <c r="AG362" i="25"/>
  <c r="AH362" i="25"/>
  <c r="AI362" i="25"/>
  <c r="AF363" i="25"/>
  <c r="AG363" i="25"/>
  <c r="AH363" i="25"/>
  <c r="AI363" i="25"/>
  <c r="AF364" i="25"/>
  <c r="AG364" i="25"/>
  <c r="AH364" i="25"/>
  <c r="AI364" i="25"/>
  <c r="AF365" i="25"/>
  <c r="AG365" i="25"/>
  <c r="AH365" i="25"/>
  <c r="AI365" i="25"/>
  <c r="AF366" i="25"/>
  <c r="AG366" i="25"/>
  <c r="AH366" i="25"/>
  <c r="AI366" i="25"/>
  <c r="AF367" i="25"/>
  <c r="AG367" i="25"/>
  <c r="AH367" i="25"/>
  <c r="AI367" i="25"/>
  <c r="AF368" i="25"/>
  <c r="AG368" i="25"/>
  <c r="AH368" i="25"/>
  <c r="AI368" i="25"/>
  <c r="AF369" i="25"/>
  <c r="AG369" i="25"/>
  <c r="AH369" i="25"/>
  <c r="AI369" i="25"/>
  <c r="AF370" i="25"/>
  <c r="AG370" i="25"/>
  <c r="AH370" i="25"/>
  <c r="AI370" i="25"/>
  <c r="AF371" i="25"/>
  <c r="AG371" i="25"/>
  <c r="AH371" i="25"/>
  <c r="AI371" i="25"/>
  <c r="AF372" i="25"/>
  <c r="AG372" i="25"/>
  <c r="AH372" i="25"/>
  <c r="AI372" i="25"/>
  <c r="AF373" i="25"/>
  <c r="AG373" i="25"/>
  <c r="AH373" i="25"/>
  <c r="AI373" i="25"/>
  <c r="AF374" i="25"/>
  <c r="AG374" i="25"/>
  <c r="AH374" i="25"/>
  <c r="AI374" i="25"/>
  <c r="AF375" i="25"/>
  <c r="AG375" i="25"/>
  <c r="AH375" i="25"/>
  <c r="AI375" i="25"/>
  <c r="AF376" i="25"/>
  <c r="AG376" i="25"/>
  <c r="AH376" i="25"/>
  <c r="AI376" i="25"/>
  <c r="AF377" i="25"/>
  <c r="AG377" i="25"/>
  <c r="AH377" i="25"/>
  <c r="AI377" i="25"/>
  <c r="AF378" i="25"/>
  <c r="AG378" i="25"/>
  <c r="AH378" i="25"/>
  <c r="AI378" i="25"/>
  <c r="AF379" i="25"/>
  <c r="AG379" i="25"/>
  <c r="AH379" i="25"/>
  <c r="AI379" i="25"/>
  <c r="AF380" i="25"/>
  <c r="AG380" i="25"/>
  <c r="AH380" i="25"/>
  <c r="AI380" i="25"/>
  <c r="AF381" i="25"/>
  <c r="AG381" i="25"/>
  <c r="AH381" i="25"/>
  <c r="AI381" i="25"/>
  <c r="AF382" i="25"/>
  <c r="AG382" i="25"/>
  <c r="AH382" i="25"/>
  <c r="AI382" i="25"/>
  <c r="AF383" i="25"/>
  <c r="AG383" i="25"/>
  <c r="AH383" i="25"/>
  <c r="AI383" i="25"/>
  <c r="AF384" i="25"/>
  <c r="AG384" i="25"/>
  <c r="AH384" i="25"/>
  <c r="AI384" i="25"/>
  <c r="AF385" i="25"/>
  <c r="AG385" i="25"/>
  <c r="AH385" i="25"/>
  <c r="AI385" i="25"/>
  <c r="AF386" i="25"/>
  <c r="AG386" i="25"/>
  <c r="AH386" i="25"/>
  <c r="AI386" i="25"/>
  <c r="AF387" i="25"/>
  <c r="AG387" i="25"/>
  <c r="AH387" i="25"/>
  <c r="AI387" i="25"/>
  <c r="AF388" i="25"/>
  <c r="AG388" i="25"/>
  <c r="AH388" i="25"/>
  <c r="AI388" i="25"/>
  <c r="AF389" i="25"/>
  <c r="AG389" i="25"/>
  <c r="AH389" i="25"/>
  <c r="AI389" i="25"/>
  <c r="AF390" i="25"/>
  <c r="AG390" i="25"/>
  <c r="AH390" i="25"/>
  <c r="AI390" i="25"/>
  <c r="AF391" i="25"/>
  <c r="AG391" i="25"/>
  <c r="AH391" i="25"/>
  <c r="AI391" i="25"/>
  <c r="AF392" i="25"/>
  <c r="AG392" i="25"/>
  <c r="AH392" i="25"/>
  <c r="AI392" i="25"/>
  <c r="AF393" i="25"/>
  <c r="AG393" i="25"/>
  <c r="AH393" i="25"/>
  <c r="AI393" i="25"/>
  <c r="AF394" i="25"/>
  <c r="AG394" i="25"/>
  <c r="AH394" i="25"/>
  <c r="AI394" i="25"/>
  <c r="AF395" i="25"/>
  <c r="AG395" i="25"/>
  <c r="AH395" i="25"/>
  <c r="AI395" i="25"/>
  <c r="AF396" i="25"/>
  <c r="AG396" i="25"/>
  <c r="AH396" i="25"/>
  <c r="AI396" i="25"/>
  <c r="AF397" i="25"/>
  <c r="AG397" i="25"/>
  <c r="AH397" i="25"/>
  <c r="AI397" i="25"/>
  <c r="AF398" i="25"/>
  <c r="AG398" i="25"/>
  <c r="AH398" i="25"/>
  <c r="AI398" i="25"/>
  <c r="AF399" i="25"/>
  <c r="AG399" i="25"/>
  <c r="AH399" i="25"/>
  <c r="AI399" i="25"/>
  <c r="AF400" i="25"/>
  <c r="AG400" i="25"/>
  <c r="AH400" i="25"/>
  <c r="AI400" i="25"/>
  <c r="AF401" i="25"/>
  <c r="AG401" i="25"/>
  <c r="AH401" i="25"/>
  <c r="AI401" i="25"/>
  <c r="AF402" i="25"/>
  <c r="AG402" i="25"/>
  <c r="AH402" i="25"/>
  <c r="AI402" i="25"/>
  <c r="AF403" i="25"/>
  <c r="AG403" i="25"/>
  <c r="AH403" i="25"/>
  <c r="AI403" i="25"/>
  <c r="AF404" i="25"/>
  <c r="AG404" i="25"/>
  <c r="AH404" i="25"/>
  <c r="AI404" i="25"/>
  <c r="AF405" i="25"/>
  <c r="AG405" i="25"/>
  <c r="AH405" i="25"/>
  <c r="AI405" i="25"/>
  <c r="AF406" i="25"/>
  <c r="AG406" i="25"/>
  <c r="AH406" i="25"/>
  <c r="AI406" i="25"/>
  <c r="AF407" i="25"/>
  <c r="AG407" i="25"/>
  <c r="AH407" i="25"/>
  <c r="AI407" i="25"/>
  <c r="AF408" i="25"/>
  <c r="AG408" i="25"/>
  <c r="AH408" i="25"/>
  <c r="AI408" i="25"/>
  <c r="AF409" i="25"/>
  <c r="AG409" i="25"/>
  <c r="AH409" i="25"/>
  <c r="AI409" i="25"/>
  <c r="AF410" i="25"/>
  <c r="AG410" i="25"/>
  <c r="AH410" i="25"/>
  <c r="AI410" i="25"/>
  <c r="AF411" i="25"/>
  <c r="AG411" i="25"/>
  <c r="AH411" i="25"/>
  <c r="AI411" i="25"/>
  <c r="AF412" i="25"/>
  <c r="AG412" i="25"/>
  <c r="AH412" i="25"/>
  <c r="AI412" i="25"/>
  <c r="AF413" i="25"/>
  <c r="AG413" i="25"/>
  <c r="AH413" i="25"/>
  <c r="AI413" i="25"/>
  <c r="AF414" i="25"/>
  <c r="AG414" i="25"/>
  <c r="AH414" i="25"/>
  <c r="AI414" i="25"/>
  <c r="AF415" i="25"/>
  <c r="AG415" i="25"/>
  <c r="AH415" i="25"/>
  <c r="AI415" i="25"/>
  <c r="AF416" i="25"/>
  <c r="AG416" i="25"/>
  <c r="AH416" i="25"/>
  <c r="AI416" i="25"/>
  <c r="AF417" i="25"/>
  <c r="AG417" i="25"/>
  <c r="AH417" i="25"/>
  <c r="AI417" i="25"/>
  <c r="AF418" i="25"/>
  <c r="AG418" i="25"/>
  <c r="AH418" i="25"/>
  <c r="AI418" i="25"/>
  <c r="AF419" i="25"/>
  <c r="AG419" i="25"/>
  <c r="AH419" i="25"/>
  <c r="AI419" i="25"/>
  <c r="AF420" i="25"/>
  <c r="AG420" i="25"/>
  <c r="AH420" i="25"/>
  <c r="AI420" i="25"/>
  <c r="AF421" i="25"/>
  <c r="AG421" i="25"/>
  <c r="AH421" i="25"/>
  <c r="AI421" i="25"/>
  <c r="AF422" i="25"/>
  <c r="AG422" i="25"/>
  <c r="AH422" i="25"/>
  <c r="AI422" i="25"/>
  <c r="AF423" i="25"/>
  <c r="AG423" i="25"/>
  <c r="AH423" i="25"/>
  <c r="AI423" i="25"/>
  <c r="AF424" i="25"/>
  <c r="AG424" i="25"/>
  <c r="AH424" i="25"/>
  <c r="AI424" i="25"/>
  <c r="AF425" i="25"/>
  <c r="AG425" i="25"/>
  <c r="AH425" i="25"/>
  <c r="AI425" i="25"/>
  <c r="AF426" i="25"/>
  <c r="AG426" i="25"/>
  <c r="AH426" i="25"/>
  <c r="AI426" i="25"/>
  <c r="AF427" i="25"/>
  <c r="AG427" i="25"/>
  <c r="AH427" i="25"/>
  <c r="AI427" i="25"/>
  <c r="AF428" i="25"/>
  <c r="AG428" i="25"/>
  <c r="AH428" i="25"/>
  <c r="AI428" i="25"/>
  <c r="AF429" i="25"/>
  <c r="AG429" i="25"/>
  <c r="AH429" i="25"/>
  <c r="AI429" i="25"/>
  <c r="AF430" i="25"/>
  <c r="AG430" i="25"/>
  <c r="AH430" i="25"/>
  <c r="AI430" i="25"/>
  <c r="AF431" i="25"/>
  <c r="AG431" i="25"/>
  <c r="AH431" i="25"/>
  <c r="AI431" i="25"/>
  <c r="AF432" i="25"/>
  <c r="AG432" i="25"/>
  <c r="AH432" i="25"/>
  <c r="AI432" i="25"/>
  <c r="AF433" i="25"/>
  <c r="AG433" i="25"/>
  <c r="AH433" i="25"/>
  <c r="AI433" i="25"/>
  <c r="AF434" i="25"/>
  <c r="AG434" i="25"/>
  <c r="AH434" i="25"/>
  <c r="AI434" i="25"/>
  <c r="AF435" i="25"/>
  <c r="AG435" i="25"/>
  <c r="AH435" i="25"/>
  <c r="AI435" i="25"/>
  <c r="AF436" i="25"/>
  <c r="AG436" i="25"/>
  <c r="AH436" i="25"/>
  <c r="AI436" i="25"/>
  <c r="AF437" i="25"/>
  <c r="AG437" i="25"/>
  <c r="AH437" i="25"/>
  <c r="AI437" i="25"/>
  <c r="AF438" i="25"/>
  <c r="AG438" i="25"/>
  <c r="AH438" i="25"/>
  <c r="AI438" i="25"/>
  <c r="AF439" i="25"/>
  <c r="AG439" i="25"/>
  <c r="AH439" i="25"/>
  <c r="AI439" i="25"/>
  <c r="AF440" i="25"/>
  <c r="AG440" i="25"/>
  <c r="AH440" i="25"/>
  <c r="AI440" i="25"/>
  <c r="AF441" i="25"/>
  <c r="AG441" i="25"/>
  <c r="AH441" i="25"/>
  <c r="AI441" i="25"/>
  <c r="AF2" i="25"/>
  <c r="AG2" i="25"/>
  <c r="AH2" i="25"/>
  <c r="AI2" i="25"/>
  <c r="AF3" i="25"/>
  <c r="AG3" i="25"/>
  <c r="AH3" i="25"/>
  <c r="AI3" i="25"/>
  <c r="AF4" i="25"/>
  <c r="AG4" i="25"/>
  <c r="AH4" i="25"/>
  <c r="AI4" i="25"/>
  <c r="AF5" i="25"/>
  <c r="AG5" i="25"/>
  <c r="AH5" i="25"/>
  <c r="AI5" i="25"/>
  <c r="AF6" i="25"/>
  <c r="AG6" i="25"/>
  <c r="AH6" i="25"/>
  <c r="AI6" i="25"/>
  <c r="AF7" i="25"/>
  <c r="AG7" i="25"/>
  <c r="AH7" i="25"/>
  <c r="AI7" i="25"/>
  <c r="AF8" i="25"/>
  <c r="AG8" i="25"/>
  <c r="AH8" i="25"/>
  <c r="AI8" i="25"/>
  <c r="AF9" i="25"/>
  <c r="AG9" i="25"/>
  <c r="AH9" i="25"/>
  <c r="AI9" i="25"/>
  <c r="AF10" i="25"/>
  <c r="AG10" i="25"/>
  <c r="AH10" i="25"/>
  <c r="AI10" i="25"/>
  <c r="AF11" i="25"/>
  <c r="AG11" i="25"/>
  <c r="AH11" i="25"/>
  <c r="AI11" i="25"/>
  <c r="AF12" i="25"/>
  <c r="AG12" i="25"/>
  <c r="AH12" i="25"/>
  <c r="AI12" i="25"/>
  <c r="AF13" i="25"/>
  <c r="AG13" i="25"/>
  <c r="AH13" i="25"/>
  <c r="AI13" i="25"/>
  <c r="AF14" i="25"/>
  <c r="AG14" i="25"/>
  <c r="AH14" i="25"/>
  <c r="AI14" i="25"/>
  <c r="AF15" i="25"/>
  <c r="AG15" i="25"/>
  <c r="AH15" i="25"/>
  <c r="AI15" i="25"/>
  <c r="AF16" i="25"/>
  <c r="AG16" i="25"/>
  <c r="AH16" i="25"/>
  <c r="AI16" i="25"/>
  <c r="AF17" i="25"/>
  <c r="AG17" i="25"/>
  <c r="AH17" i="25"/>
  <c r="AI17" i="25"/>
  <c r="AF18" i="25"/>
  <c r="AG18" i="25"/>
  <c r="AH18" i="25"/>
  <c r="AI18" i="25"/>
  <c r="AF19" i="25"/>
  <c r="AG19" i="25"/>
  <c r="AH19" i="25"/>
  <c r="AI19" i="25"/>
  <c r="AF20" i="25"/>
  <c r="AG20" i="25"/>
  <c r="AH20" i="25"/>
  <c r="AI20" i="25"/>
  <c r="AF21" i="25"/>
  <c r="AG21" i="25"/>
  <c r="AH21" i="25"/>
  <c r="AI21" i="25"/>
  <c r="AF22" i="25"/>
  <c r="AG22" i="25"/>
  <c r="AH22" i="25"/>
  <c r="AI22" i="25"/>
  <c r="AF23" i="25"/>
  <c r="AG23" i="25"/>
  <c r="AH23" i="25"/>
  <c r="AI23" i="25"/>
  <c r="AF24" i="25"/>
  <c r="AG24" i="25"/>
  <c r="AH24" i="25"/>
  <c r="AI24" i="25"/>
  <c r="AF25" i="25"/>
  <c r="AG25" i="25"/>
  <c r="AH25" i="25"/>
  <c r="AI25" i="25"/>
  <c r="AF26" i="25"/>
  <c r="AG26" i="25"/>
  <c r="AH26" i="25"/>
  <c r="AI26" i="25"/>
  <c r="AF27" i="25"/>
  <c r="AG27" i="25"/>
  <c r="AH27" i="25"/>
  <c r="AI27" i="25"/>
  <c r="AF28" i="25"/>
  <c r="AG28" i="25"/>
  <c r="AH28" i="25"/>
  <c r="AI28" i="25"/>
  <c r="AF29" i="25"/>
  <c r="AG29" i="25"/>
  <c r="AH29" i="25"/>
  <c r="AI29" i="25"/>
  <c r="AF30" i="25"/>
  <c r="AG30" i="25"/>
  <c r="AH30" i="25"/>
  <c r="AI30" i="25"/>
  <c r="AF31" i="25"/>
  <c r="AG31" i="25"/>
  <c r="AH31" i="25"/>
  <c r="AI31" i="25"/>
  <c r="AF32" i="25"/>
  <c r="AG32" i="25"/>
  <c r="AH32" i="25"/>
  <c r="AI32" i="25"/>
  <c r="AF33" i="25"/>
  <c r="AG33" i="25"/>
  <c r="AH33" i="25"/>
  <c r="AI33" i="25"/>
  <c r="AF34" i="25"/>
  <c r="AG34" i="25"/>
  <c r="AH34" i="25"/>
  <c r="AI34" i="25"/>
  <c r="AF35" i="25"/>
  <c r="AG35" i="25"/>
  <c r="AH35" i="25"/>
  <c r="AI35" i="25"/>
  <c r="AF36" i="25"/>
  <c r="AG36" i="25"/>
  <c r="AH36" i="25"/>
  <c r="AI36" i="25"/>
  <c r="AF37" i="25"/>
  <c r="AG37" i="25"/>
  <c r="AH37" i="25"/>
  <c r="AI37" i="25"/>
  <c r="AF38" i="25"/>
  <c r="AG38" i="25"/>
  <c r="AH38" i="25"/>
  <c r="AI38" i="25"/>
  <c r="AF39" i="25"/>
  <c r="AG39" i="25"/>
  <c r="AH39" i="25"/>
  <c r="AI39" i="25"/>
  <c r="AF40" i="25"/>
  <c r="AG40" i="25"/>
  <c r="AH40" i="25"/>
  <c r="AI40" i="25"/>
  <c r="AF41" i="25"/>
  <c r="AG41" i="25"/>
  <c r="AH41" i="25"/>
  <c r="AI41" i="25"/>
  <c r="AF42" i="25"/>
  <c r="AG42" i="25"/>
  <c r="AH42" i="25"/>
  <c r="AI42" i="25"/>
  <c r="AF43" i="25"/>
  <c r="AG43" i="25"/>
  <c r="AH43" i="25"/>
  <c r="AI43" i="25"/>
  <c r="AF44" i="25"/>
  <c r="AG44" i="25"/>
  <c r="AH44" i="25"/>
  <c r="AI44" i="25"/>
  <c r="AF45" i="25"/>
  <c r="AG45" i="25"/>
  <c r="AH45" i="25"/>
  <c r="AI45" i="25"/>
  <c r="AF46" i="25"/>
  <c r="AG46" i="25"/>
  <c r="AH46" i="25"/>
  <c r="AI46" i="25"/>
  <c r="AF47" i="25"/>
  <c r="AG47" i="25"/>
  <c r="AH47" i="25"/>
  <c r="AI47" i="25"/>
  <c r="AF48" i="25"/>
  <c r="AG48" i="25"/>
  <c r="AH48" i="25"/>
  <c r="AI48" i="25"/>
  <c r="AF49" i="25"/>
  <c r="AG49" i="25"/>
  <c r="AH49" i="25"/>
  <c r="AI49" i="25"/>
  <c r="AF50" i="25"/>
  <c r="AG50" i="25"/>
  <c r="AH50" i="25"/>
  <c r="AI50" i="25"/>
  <c r="AF51" i="25"/>
  <c r="AG51" i="25"/>
  <c r="AH51" i="25"/>
  <c r="AI51" i="25"/>
  <c r="AF52" i="25"/>
  <c r="AG52" i="25"/>
  <c r="AH52" i="25"/>
  <c r="AI52" i="25"/>
  <c r="AF53" i="25"/>
  <c r="AG53" i="25"/>
  <c r="AH53" i="25"/>
  <c r="AI53" i="25"/>
  <c r="AF54" i="25"/>
  <c r="AG54" i="25"/>
  <c r="AH54" i="25"/>
  <c r="AI54" i="25"/>
  <c r="AF55" i="25"/>
  <c r="AG55" i="25"/>
  <c r="AH55" i="25"/>
  <c r="AI55" i="25"/>
  <c r="AF56" i="25"/>
  <c r="AG56" i="25"/>
  <c r="AH56" i="25"/>
  <c r="AI56" i="25"/>
  <c r="AF57" i="25"/>
  <c r="AG57" i="25"/>
  <c r="AH57" i="25"/>
  <c r="AI57" i="25"/>
  <c r="AF58" i="25"/>
  <c r="AG58" i="25"/>
  <c r="AH58" i="25"/>
  <c r="AI58" i="25"/>
  <c r="AF59" i="25"/>
  <c r="AG59" i="25"/>
  <c r="AH59" i="25"/>
  <c r="AI59" i="25"/>
  <c r="AF60" i="25"/>
  <c r="AG60" i="25"/>
  <c r="AH60" i="25"/>
  <c r="AI60" i="25"/>
  <c r="AF61" i="25"/>
  <c r="AG61" i="25"/>
  <c r="AH61" i="25"/>
  <c r="AI61" i="25"/>
  <c r="AF62" i="25"/>
  <c r="AG62" i="25"/>
  <c r="AH62" i="25"/>
  <c r="AI62" i="25"/>
  <c r="AF63" i="25"/>
  <c r="AG63" i="25"/>
  <c r="AH63" i="25"/>
  <c r="AI63" i="25"/>
  <c r="AF64" i="25"/>
  <c r="AG64" i="25"/>
  <c r="AH64" i="25"/>
  <c r="AI64" i="25"/>
  <c r="AF65" i="25"/>
  <c r="AG65" i="25"/>
  <c r="AH65" i="25"/>
  <c r="AI65" i="25"/>
  <c r="AF66" i="25"/>
  <c r="AG66" i="25"/>
  <c r="AH66" i="25"/>
  <c r="AI66" i="25"/>
  <c r="AF67" i="25"/>
  <c r="AG67" i="25"/>
  <c r="AH67" i="25"/>
  <c r="AI67" i="25"/>
  <c r="AF68" i="25"/>
  <c r="AG68" i="25"/>
  <c r="AH68" i="25"/>
  <c r="AI68" i="25"/>
  <c r="AF69" i="25"/>
  <c r="AG69" i="25"/>
  <c r="AH69" i="25"/>
  <c r="AI69" i="25"/>
  <c r="AF70" i="25"/>
  <c r="AG70" i="25"/>
  <c r="AH70" i="25"/>
  <c r="AI70" i="25"/>
  <c r="AF71" i="25"/>
  <c r="AG71" i="25"/>
  <c r="AH71" i="25"/>
  <c r="AI71" i="25"/>
  <c r="AF72" i="25"/>
  <c r="AG72" i="25"/>
  <c r="AH72" i="25"/>
  <c r="AI72" i="25"/>
  <c r="AF73" i="25"/>
  <c r="AG73" i="25"/>
  <c r="AH73" i="25"/>
  <c r="AI73" i="25"/>
  <c r="AF74" i="25"/>
  <c r="AG74" i="25"/>
  <c r="AH74" i="25"/>
  <c r="AI74" i="25"/>
  <c r="AF75" i="25"/>
  <c r="AG75" i="25"/>
  <c r="AH75" i="25"/>
  <c r="AI75" i="25"/>
  <c r="AF76" i="25"/>
  <c r="AG76" i="25"/>
  <c r="AH76" i="25"/>
  <c r="AI76" i="25"/>
  <c r="AF77" i="25"/>
  <c r="AG77" i="25"/>
  <c r="AH77" i="25"/>
  <c r="AI77" i="25"/>
  <c r="AF78" i="25"/>
  <c r="AG78" i="25"/>
  <c r="AH78" i="25"/>
  <c r="AI78" i="25"/>
  <c r="AF79" i="25"/>
  <c r="AG79" i="25"/>
  <c r="AH79" i="25"/>
  <c r="AI79" i="25"/>
  <c r="AF80" i="25"/>
  <c r="AG80" i="25"/>
  <c r="AH80" i="25"/>
  <c r="AI80" i="25"/>
  <c r="AF81" i="25"/>
  <c r="AG81" i="25"/>
  <c r="AH81" i="25"/>
  <c r="AI81" i="25"/>
  <c r="AF82" i="25"/>
  <c r="AG82" i="25"/>
  <c r="AH82" i="25"/>
  <c r="AI82" i="25"/>
  <c r="AF83" i="25"/>
  <c r="AG83" i="25"/>
  <c r="AH83" i="25"/>
  <c r="AI83" i="25"/>
  <c r="AF84" i="25"/>
  <c r="AG84" i="25"/>
  <c r="AH84" i="25"/>
  <c r="AI84" i="25"/>
  <c r="AF85" i="25"/>
  <c r="AG85" i="25"/>
  <c r="AH85" i="25"/>
  <c r="AI85" i="25"/>
  <c r="AF86" i="25"/>
  <c r="AG86" i="25"/>
  <c r="AH86" i="25"/>
  <c r="AI86" i="25"/>
  <c r="AF87" i="25"/>
  <c r="AG87" i="25"/>
  <c r="AH87" i="25"/>
  <c r="AI87" i="25"/>
  <c r="AF88" i="25"/>
  <c r="AG88" i="25"/>
  <c r="AH88" i="25"/>
  <c r="AI88" i="25"/>
  <c r="AF89" i="25"/>
  <c r="AG89" i="25"/>
  <c r="AH89" i="25"/>
  <c r="AI89" i="25"/>
  <c r="AF90" i="25"/>
  <c r="AG90" i="25"/>
  <c r="AH90" i="25"/>
  <c r="AI90" i="25"/>
  <c r="AF91" i="25"/>
  <c r="AG91" i="25"/>
  <c r="AH91" i="25"/>
  <c r="AI91" i="25"/>
  <c r="AF92" i="25"/>
  <c r="AG92" i="25"/>
  <c r="AH92" i="25"/>
  <c r="AI92" i="25"/>
  <c r="AF93" i="25"/>
  <c r="AG93" i="25"/>
  <c r="AH93" i="25"/>
  <c r="AI93" i="25"/>
  <c r="AF94" i="25"/>
  <c r="AG94" i="25"/>
  <c r="AH94" i="25"/>
  <c r="AI94" i="25"/>
  <c r="AF95" i="25"/>
  <c r="AG95" i="25"/>
  <c r="AH95" i="25"/>
  <c r="AI95" i="25"/>
  <c r="AF96" i="25"/>
  <c r="AG96" i="25"/>
  <c r="AH96" i="25"/>
  <c r="AI96" i="25"/>
  <c r="AF97" i="25"/>
  <c r="AG97" i="25"/>
  <c r="AH97" i="25"/>
  <c r="AI97" i="25"/>
  <c r="AF98" i="25"/>
  <c r="AG98" i="25"/>
  <c r="AH98" i="25"/>
  <c r="AI98" i="25"/>
  <c r="AF99" i="25"/>
  <c r="AG99" i="25"/>
  <c r="AH99" i="25"/>
  <c r="AI99" i="25"/>
  <c r="AF100" i="25"/>
  <c r="AG100" i="25"/>
  <c r="AH100" i="25"/>
  <c r="AI100" i="25"/>
  <c r="AF101" i="25"/>
  <c r="AG101" i="25"/>
  <c r="AH101" i="25"/>
  <c r="AI101" i="25"/>
  <c r="AF102" i="25"/>
  <c r="AG102" i="25"/>
  <c r="AH102" i="25"/>
  <c r="AI102" i="25"/>
  <c r="AF103" i="25"/>
  <c r="AG103" i="25"/>
  <c r="AH103" i="25"/>
  <c r="AI103" i="25"/>
  <c r="AF104" i="25"/>
  <c r="AG104" i="25"/>
  <c r="AH104" i="25"/>
  <c r="AI104" i="25"/>
  <c r="AF105" i="25"/>
  <c r="AG105" i="25"/>
  <c r="AH105" i="25"/>
  <c r="AI105" i="25"/>
  <c r="AF106" i="25"/>
  <c r="AG106" i="25"/>
  <c r="AH106" i="25"/>
  <c r="AI106" i="25"/>
  <c r="AF107" i="25"/>
  <c r="AG107" i="25"/>
  <c r="AH107" i="25"/>
  <c r="AI107" i="25"/>
  <c r="AF108" i="25"/>
  <c r="AG108" i="25"/>
  <c r="AH108" i="25"/>
  <c r="AI108" i="25"/>
  <c r="AF109" i="25"/>
  <c r="AG109" i="25"/>
  <c r="AH109" i="25"/>
  <c r="AI109" i="25"/>
  <c r="AF110" i="25"/>
  <c r="AG110" i="25"/>
  <c r="AH110" i="25"/>
  <c r="AI110" i="25"/>
  <c r="AF111" i="25"/>
  <c r="AG111" i="25"/>
  <c r="AH111" i="25"/>
  <c r="AI111" i="25"/>
  <c r="AF112" i="25"/>
  <c r="AG112" i="25"/>
  <c r="AH112" i="25"/>
  <c r="AI112" i="25"/>
  <c r="AF113" i="25"/>
  <c r="AG113" i="25"/>
  <c r="AH113" i="25"/>
  <c r="AI113" i="25"/>
  <c r="AF114" i="25"/>
  <c r="AG114" i="25"/>
  <c r="AH114" i="25"/>
  <c r="AI114" i="25"/>
  <c r="AF115" i="25"/>
  <c r="AG115" i="25"/>
  <c r="AH115" i="25"/>
  <c r="AI115" i="25"/>
  <c r="AF116" i="25"/>
  <c r="AG116" i="25"/>
  <c r="AH116" i="25"/>
  <c r="AI116" i="25"/>
  <c r="AF117" i="25"/>
  <c r="AG117" i="25"/>
  <c r="AH117" i="25"/>
  <c r="AI117" i="25"/>
  <c r="AF118" i="25"/>
  <c r="AG118" i="25"/>
  <c r="AH118" i="25"/>
  <c r="AI118" i="25"/>
  <c r="AF119" i="25"/>
  <c r="AG119" i="25"/>
  <c r="AH119" i="25"/>
  <c r="AI119" i="25"/>
  <c r="AF120" i="25"/>
  <c r="AG120" i="25"/>
  <c r="AH120" i="25"/>
  <c r="AI120" i="25"/>
  <c r="AF121" i="25"/>
  <c r="AG121" i="25"/>
  <c r="AH121" i="25"/>
  <c r="AI121" i="25"/>
  <c r="AF122" i="25"/>
  <c r="AG122" i="25"/>
  <c r="AH122" i="25"/>
  <c r="AI122" i="25"/>
  <c r="AF123" i="25"/>
  <c r="AG123" i="25"/>
  <c r="AH123" i="25"/>
  <c r="AI123" i="25"/>
  <c r="AF124" i="25"/>
  <c r="AG124" i="25"/>
  <c r="AH124" i="25"/>
  <c r="AI124" i="25"/>
  <c r="AF125" i="25"/>
  <c r="AG125" i="25"/>
  <c r="AH125" i="25"/>
  <c r="AI125" i="25"/>
  <c r="AF126" i="25"/>
  <c r="AG126" i="25"/>
  <c r="AH126" i="25"/>
  <c r="AI126" i="25"/>
  <c r="AF127" i="25"/>
  <c r="AG127" i="25"/>
  <c r="AH127" i="25"/>
  <c r="AI127" i="25"/>
  <c r="AF128" i="25"/>
  <c r="AG128" i="25"/>
  <c r="AH128" i="25"/>
  <c r="AI128" i="25"/>
  <c r="AF129" i="25"/>
  <c r="AG129" i="25"/>
  <c r="AH129" i="25"/>
  <c r="AI129" i="25"/>
  <c r="AF130" i="25"/>
  <c r="AG130" i="25"/>
  <c r="AH130" i="25"/>
  <c r="AI130" i="25"/>
  <c r="AF131" i="25"/>
  <c r="AG131" i="25"/>
  <c r="AH131" i="25"/>
  <c r="AI131" i="25"/>
  <c r="AF132" i="25"/>
  <c r="AG132" i="25"/>
  <c r="AH132" i="25"/>
  <c r="AI132" i="25"/>
  <c r="AF133" i="25"/>
  <c r="AG133" i="25"/>
  <c r="AH133" i="25"/>
  <c r="AI133" i="25"/>
  <c r="AF134" i="25"/>
  <c r="AG134" i="25"/>
  <c r="AH134" i="25"/>
  <c r="AI134" i="25"/>
  <c r="AF135" i="25"/>
  <c r="AG135" i="25"/>
  <c r="AH135" i="25"/>
  <c r="AI135" i="25"/>
  <c r="AF136" i="25"/>
  <c r="AG136" i="25"/>
  <c r="AH136" i="25"/>
  <c r="AI136" i="25"/>
  <c r="AF137" i="25"/>
  <c r="AG137" i="25"/>
  <c r="AH137" i="25"/>
  <c r="AI137" i="25"/>
  <c r="AF138" i="25"/>
  <c r="AG138" i="25"/>
  <c r="AH138" i="25"/>
  <c r="AI138" i="25"/>
  <c r="AF139" i="25"/>
  <c r="AG139" i="25"/>
  <c r="AH139" i="25"/>
  <c r="AI139" i="25"/>
  <c r="AF140" i="25"/>
  <c r="AG140" i="25"/>
  <c r="AH140" i="25"/>
  <c r="AI140" i="25"/>
  <c r="AF141" i="25"/>
  <c r="AG141" i="25"/>
  <c r="AH141" i="25"/>
  <c r="AI141" i="25"/>
  <c r="AF142" i="25"/>
  <c r="AG142" i="25"/>
  <c r="AH142" i="25"/>
  <c r="AI142" i="25"/>
  <c r="AF143" i="25"/>
  <c r="AG143" i="25"/>
  <c r="AH143" i="25"/>
  <c r="AI143" i="25"/>
  <c r="AF144" i="25"/>
  <c r="AG144" i="25"/>
  <c r="AH144" i="25"/>
  <c r="AI144" i="25"/>
  <c r="AF145" i="25"/>
  <c r="AG145" i="25"/>
  <c r="AH145" i="25"/>
  <c r="AI145" i="25"/>
  <c r="AF146" i="25"/>
  <c r="AG146" i="25"/>
  <c r="AH146" i="25"/>
  <c r="AI146" i="25"/>
  <c r="AF147" i="25"/>
  <c r="AG147" i="25"/>
  <c r="AH147" i="25"/>
  <c r="AI147" i="25"/>
  <c r="AF148" i="25"/>
  <c r="AG148" i="25"/>
  <c r="AH148" i="25"/>
  <c r="AI148" i="25"/>
  <c r="AF149" i="25"/>
  <c r="AG149" i="25"/>
  <c r="AH149" i="25"/>
  <c r="AI149" i="25"/>
  <c r="AF150" i="25"/>
  <c r="AG150" i="25"/>
  <c r="AH150" i="25"/>
  <c r="AI150" i="25"/>
  <c r="AF151" i="25"/>
  <c r="AG151" i="25"/>
  <c r="AH151" i="25"/>
  <c r="AI151" i="25"/>
  <c r="AF152" i="25"/>
  <c r="AG152" i="25"/>
  <c r="AH152" i="25"/>
  <c r="AI152" i="25"/>
  <c r="AF153" i="25"/>
  <c r="AG153" i="25"/>
  <c r="AH153" i="25"/>
  <c r="AI153" i="25"/>
  <c r="AF154" i="25"/>
  <c r="AG154" i="25"/>
  <c r="AH154" i="25"/>
  <c r="AI154" i="25"/>
  <c r="AF155" i="25"/>
  <c r="AG155" i="25"/>
  <c r="AH155" i="25"/>
  <c r="AI155" i="25"/>
  <c r="AF156" i="25"/>
  <c r="AG156" i="25"/>
  <c r="AH156" i="25"/>
  <c r="AI156" i="25"/>
  <c r="AF157" i="25"/>
  <c r="AG157" i="25"/>
  <c r="AH157" i="25"/>
  <c r="AI157" i="25"/>
  <c r="AF158" i="25"/>
  <c r="AG158" i="25"/>
  <c r="AH158" i="25"/>
  <c r="AI158" i="25"/>
  <c r="AF159" i="25"/>
  <c r="AG159" i="25"/>
  <c r="AH159" i="25"/>
  <c r="AI159" i="25"/>
  <c r="AF160" i="25"/>
  <c r="AG160" i="25"/>
  <c r="AH160" i="25"/>
  <c r="AI160" i="25"/>
  <c r="AF161" i="25"/>
  <c r="AG161" i="25"/>
  <c r="AH161" i="25"/>
  <c r="AI161" i="25"/>
  <c r="AF162" i="25"/>
  <c r="AG162" i="25"/>
  <c r="AH162" i="25"/>
  <c r="AI162" i="25"/>
  <c r="AF163" i="25"/>
  <c r="AG163" i="25"/>
  <c r="AH163" i="25"/>
  <c r="AI163" i="25"/>
  <c r="AF164" i="25"/>
  <c r="AG164" i="25"/>
  <c r="AH164" i="25"/>
  <c r="AI164" i="25"/>
  <c r="AF165" i="25"/>
  <c r="AG165" i="25"/>
  <c r="AH165" i="25"/>
  <c r="AI165" i="25"/>
  <c r="AF166" i="25"/>
  <c r="AG166" i="25"/>
  <c r="AH166" i="25"/>
  <c r="AI166" i="25"/>
  <c r="AF167" i="25"/>
  <c r="AG167" i="25"/>
  <c r="AH167" i="25"/>
  <c r="AI167" i="25"/>
  <c r="AF168" i="25"/>
  <c r="AG168" i="25"/>
  <c r="AH168" i="25"/>
  <c r="AI168" i="25"/>
  <c r="AF169" i="25"/>
  <c r="AG169" i="25"/>
  <c r="AH169" i="25"/>
  <c r="AI169" i="25"/>
  <c r="AF170" i="25"/>
  <c r="AG170" i="25"/>
  <c r="AH170" i="25"/>
  <c r="AI170" i="25"/>
  <c r="AF171" i="25"/>
  <c r="AG171" i="25"/>
  <c r="AH171" i="25"/>
  <c r="AI171" i="25"/>
  <c r="AF172" i="25"/>
  <c r="AG172" i="25"/>
  <c r="AH172" i="25"/>
  <c r="AI172" i="25"/>
  <c r="AF173" i="25"/>
  <c r="AG173" i="25"/>
  <c r="AH173" i="25"/>
  <c r="AI173" i="25"/>
  <c r="AF174" i="25"/>
  <c r="AG174" i="25"/>
  <c r="AH174" i="25"/>
  <c r="AI174" i="25"/>
  <c r="AF175" i="25"/>
  <c r="AG175" i="25"/>
  <c r="AH175" i="25"/>
  <c r="AI175" i="25"/>
  <c r="AF176" i="25"/>
  <c r="AG176" i="25"/>
  <c r="AH176" i="25"/>
  <c r="AI176" i="25"/>
  <c r="AF177" i="25"/>
  <c r="AG177" i="25"/>
  <c r="AH177" i="25"/>
  <c r="AI177" i="25"/>
  <c r="AF178" i="25"/>
  <c r="AG178" i="25"/>
  <c r="AH178" i="25"/>
  <c r="AI178" i="25"/>
  <c r="AF179" i="25"/>
  <c r="AG179" i="25"/>
  <c r="AH179" i="25"/>
  <c r="AI179" i="25"/>
  <c r="AF180" i="25"/>
  <c r="AG180" i="25"/>
  <c r="AH180" i="25"/>
  <c r="AI180" i="25"/>
  <c r="AF181" i="25"/>
  <c r="AG181" i="25"/>
  <c r="AH181" i="25"/>
  <c r="AI181" i="25"/>
  <c r="AF182" i="25"/>
  <c r="AG182" i="25"/>
  <c r="AH182" i="25"/>
  <c r="AI182" i="25"/>
  <c r="AF183" i="25"/>
  <c r="AG183" i="25"/>
  <c r="AH183" i="25"/>
  <c r="AI183" i="25"/>
  <c r="AF184" i="25"/>
  <c r="AG184" i="25"/>
  <c r="AH184" i="25"/>
  <c r="AI184" i="25"/>
  <c r="AF185" i="25"/>
  <c r="AG185" i="25"/>
  <c r="AH185" i="25"/>
  <c r="AI185" i="25"/>
  <c r="AF186" i="25"/>
  <c r="AG186" i="25"/>
  <c r="AH186" i="25"/>
  <c r="AI186" i="25"/>
  <c r="AF187" i="25"/>
  <c r="AG187" i="25"/>
  <c r="AH187" i="25"/>
  <c r="AI187" i="25"/>
  <c r="AF188" i="25"/>
  <c r="AG188" i="25"/>
  <c r="AH188" i="25"/>
  <c r="AI188" i="25"/>
  <c r="AF189" i="25"/>
  <c r="AG189" i="25"/>
  <c r="AH189" i="25"/>
  <c r="AI189" i="25"/>
  <c r="AF190" i="25"/>
  <c r="AG190" i="25"/>
  <c r="AH190" i="25"/>
  <c r="AI190" i="25"/>
  <c r="AF191" i="25"/>
  <c r="AG191" i="25"/>
  <c r="AH191" i="25"/>
  <c r="AI191" i="25"/>
  <c r="AF192" i="25"/>
  <c r="AG192" i="25"/>
  <c r="AH192" i="25"/>
  <c r="AI192" i="25"/>
  <c r="AF193" i="25"/>
  <c r="AG193" i="25"/>
  <c r="AH193" i="25"/>
  <c r="AI193" i="25"/>
  <c r="AF194" i="25"/>
  <c r="AG194" i="25"/>
  <c r="AH194" i="25"/>
  <c r="AI194" i="25"/>
  <c r="AF195" i="25"/>
  <c r="AG195" i="25"/>
  <c r="AH195" i="25"/>
  <c r="AI195" i="25"/>
  <c r="AF196" i="25"/>
  <c r="AG196" i="25"/>
  <c r="AH196" i="25"/>
  <c r="AI196" i="25"/>
  <c r="AF197" i="25"/>
  <c r="AG197" i="25"/>
  <c r="AH197" i="25"/>
  <c r="AI197" i="25"/>
  <c r="AF198" i="25"/>
  <c r="AG198" i="25"/>
  <c r="AH198" i="25"/>
  <c r="AI198" i="25"/>
  <c r="AF199" i="25"/>
  <c r="AG199" i="25"/>
  <c r="AH199" i="25"/>
  <c r="AI199" i="25"/>
  <c r="AF200" i="25"/>
  <c r="AG200" i="25"/>
  <c r="AH200" i="25"/>
  <c r="AI200" i="25"/>
  <c r="AF201" i="25"/>
  <c r="AG201" i="25"/>
  <c r="AH201" i="25"/>
  <c r="AI201" i="25"/>
  <c r="AF202" i="25"/>
  <c r="AG202" i="25"/>
  <c r="AH202" i="25"/>
  <c r="AI202" i="25"/>
  <c r="AF203" i="25"/>
  <c r="AG203" i="25"/>
  <c r="AH203" i="25"/>
  <c r="AI203" i="25"/>
  <c r="AF204" i="25"/>
  <c r="AG204" i="25"/>
  <c r="AH204" i="25"/>
  <c r="AI204" i="25"/>
  <c r="AF205" i="25"/>
  <c r="AG205" i="25"/>
  <c r="AH205" i="25"/>
  <c r="AI205" i="25"/>
  <c r="AF206" i="25"/>
  <c r="AG206" i="25"/>
  <c r="AH206" i="25"/>
  <c r="AI206" i="25"/>
  <c r="AF207" i="25"/>
  <c r="AG207" i="25"/>
  <c r="AH207" i="25"/>
  <c r="AI207" i="25"/>
  <c r="AF208" i="25"/>
  <c r="AG208" i="25"/>
  <c r="AH208" i="25"/>
  <c r="AI208" i="25"/>
  <c r="AF209" i="25"/>
  <c r="AG209" i="25"/>
  <c r="AH209" i="25"/>
  <c r="AI209" i="25"/>
  <c r="AF210" i="25"/>
  <c r="AG210" i="25"/>
  <c r="AH210" i="25"/>
  <c r="AI210" i="25"/>
  <c r="AF211" i="25"/>
  <c r="AG211" i="25"/>
  <c r="AH211" i="25"/>
  <c r="AI211" i="25"/>
  <c r="AF212" i="25"/>
  <c r="AG212" i="25"/>
  <c r="AH212" i="25"/>
  <c r="AI212" i="25"/>
  <c r="AF213" i="25"/>
  <c r="AG213" i="25"/>
  <c r="AH213" i="25"/>
  <c r="AI213" i="25"/>
  <c r="AF214" i="25"/>
  <c r="AG214" i="25"/>
  <c r="AH214" i="25"/>
  <c r="AI214" i="25"/>
  <c r="AF215" i="25"/>
  <c r="AG215" i="25"/>
  <c r="AH215" i="25"/>
  <c r="AI215" i="25"/>
  <c r="AF216" i="25"/>
  <c r="AG216" i="25"/>
  <c r="AH216" i="25"/>
  <c r="AI216" i="25"/>
  <c r="AF217" i="25"/>
  <c r="AG217" i="25"/>
  <c r="AH217" i="25"/>
  <c r="AI217" i="25"/>
  <c r="AF218" i="25"/>
  <c r="AG218" i="25"/>
  <c r="AH218" i="25"/>
  <c r="AI218" i="25"/>
  <c r="AF219" i="25"/>
  <c r="AG219" i="25"/>
  <c r="AH219" i="25"/>
  <c r="AI219" i="25"/>
  <c r="AF220" i="25"/>
  <c r="AG220" i="25"/>
  <c r="AH220" i="25"/>
  <c r="AI220" i="25"/>
  <c r="AF221" i="25"/>
  <c r="AG221" i="25"/>
  <c r="AH221" i="25"/>
  <c r="AI221" i="25"/>
  <c r="AI662" i="25"/>
  <c r="AH662" i="25"/>
  <c r="AG662" i="25"/>
  <c r="AF662" i="25"/>
  <c r="Z4" i="25"/>
  <c r="Z3" i="25"/>
  <c r="Z5" i="25"/>
  <c r="Z6" i="25"/>
  <c r="Z7" i="25"/>
  <c r="Z8" i="25"/>
  <c r="Z9" i="25"/>
  <c r="Z10" i="25"/>
  <c r="Z11" i="25"/>
  <c r="Z12" i="25"/>
  <c r="Z13" i="25"/>
  <c r="Z14" i="25"/>
  <c r="Z15" i="25"/>
  <c r="Z16" i="25"/>
  <c r="Z17" i="25"/>
  <c r="Z18" i="25"/>
  <c r="Z19" i="25"/>
  <c r="Z20" i="25"/>
  <c r="Z21" i="25"/>
  <c r="Z22" i="25"/>
  <c r="Z23" i="25"/>
  <c r="Z24" i="25"/>
  <c r="Z25" i="25"/>
  <c r="Z26" i="25"/>
  <c r="Z27" i="25"/>
  <c r="Z28" i="25"/>
  <c r="Z29" i="25"/>
  <c r="Z30" i="25"/>
  <c r="Z31" i="25"/>
  <c r="Z32" i="25"/>
  <c r="Z33" i="25"/>
  <c r="Z34" i="25"/>
  <c r="Z35" i="25"/>
  <c r="Z36" i="25"/>
  <c r="Z37" i="25"/>
  <c r="Z38" i="25"/>
  <c r="Z39" i="25"/>
  <c r="Z40" i="25"/>
  <c r="Z41" i="25"/>
  <c r="Z42" i="25"/>
  <c r="Z43" i="25"/>
  <c r="Z44" i="25"/>
  <c r="Z45" i="25"/>
  <c r="Z46" i="25"/>
  <c r="Z47" i="25"/>
  <c r="Z48" i="25"/>
  <c r="Z49" i="25"/>
  <c r="Z50" i="25"/>
  <c r="Z51" i="25"/>
  <c r="Z52" i="25"/>
  <c r="Z53" i="25"/>
  <c r="Z54" i="25"/>
  <c r="Z55" i="25"/>
  <c r="Z56" i="25"/>
  <c r="Z57" i="25"/>
  <c r="Z58" i="25"/>
  <c r="Z59" i="25"/>
  <c r="Z60" i="25"/>
  <c r="Z61" i="25"/>
  <c r="Z62" i="25"/>
  <c r="Z63" i="25"/>
  <c r="Z64" i="25"/>
  <c r="Z65" i="25"/>
  <c r="Z66" i="25"/>
  <c r="Z67" i="25"/>
  <c r="Z68" i="25"/>
  <c r="Z69" i="25"/>
  <c r="Z70" i="25"/>
  <c r="Z71" i="25"/>
  <c r="Z72" i="25"/>
  <c r="Z73" i="25"/>
  <c r="Z74" i="25"/>
  <c r="Z75" i="25"/>
  <c r="Z76" i="25"/>
  <c r="Z77" i="25"/>
  <c r="Z78" i="25"/>
  <c r="Z79" i="25"/>
  <c r="Z80" i="25"/>
  <c r="Z81" i="25"/>
  <c r="Z82" i="25"/>
  <c r="Z83" i="25"/>
  <c r="Z84" i="25"/>
  <c r="Z85" i="25"/>
  <c r="Z86" i="25"/>
  <c r="Z87" i="25"/>
  <c r="Z88" i="25"/>
  <c r="Z89" i="25"/>
  <c r="Z90" i="25"/>
  <c r="Z91" i="25"/>
  <c r="Z92" i="25"/>
  <c r="Z93" i="25"/>
  <c r="Z94" i="25"/>
  <c r="Z95" i="25"/>
  <c r="Z96" i="25"/>
  <c r="Z97" i="25"/>
  <c r="Z98" i="25"/>
  <c r="Z99" i="25"/>
  <c r="Z100" i="25"/>
  <c r="Z101" i="25"/>
  <c r="Z102" i="25"/>
  <c r="Z103" i="25"/>
  <c r="Z104" i="25"/>
  <c r="Z105" i="25"/>
  <c r="Z106" i="25"/>
  <c r="Z107" i="25"/>
  <c r="Z108" i="25"/>
  <c r="Z109" i="25"/>
  <c r="Z110" i="25"/>
  <c r="Z111" i="25"/>
  <c r="Z112" i="25"/>
  <c r="Z113" i="25"/>
  <c r="Z114" i="25"/>
  <c r="Z115" i="25"/>
  <c r="Z116" i="25"/>
  <c r="Z117" i="25"/>
  <c r="Z118" i="25"/>
  <c r="Z119" i="25"/>
  <c r="Z120" i="25"/>
  <c r="Z121" i="25"/>
  <c r="Z122" i="25"/>
  <c r="Z123" i="25"/>
  <c r="Z124" i="25"/>
  <c r="Z125" i="25"/>
  <c r="Z126" i="25"/>
  <c r="Z127" i="25"/>
  <c r="Z128" i="25"/>
  <c r="Z129" i="25"/>
  <c r="Z130" i="25"/>
  <c r="Z131" i="25"/>
  <c r="Z132" i="25"/>
  <c r="Z133" i="25"/>
  <c r="Z134" i="25"/>
  <c r="Z135" i="25"/>
  <c r="Z136" i="25"/>
  <c r="Z137" i="25"/>
  <c r="Z138" i="25"/>
  <c r="Z139" i="25"/>
  <c r="Z140" i="25"/>
  <c r="Z141" i="25"/>
  <c r="Z142" i="25"/>
  <c r="Z143" i="25"/>
  <c r="Z144" i="25"/>
  <c r="Z145" i="25"/>
  <c r="Z146" i="25"/>
  <c r="Z147" i="25"/>
  <c r="Z148" i="25"/>
  <c r="Z149" i="25"/>
  <c r="Z150" i="25"/>
  <c r="Z151" i="25"/>
  <c r="Z152" i="25"/>
  <c r="Z153" i="25"/>
  <c r="Z154" i="25"/>
  <c r="Z155" i="25"/>
  <c r="Z156" i="25"/>
  <c r="Z157" i="25"/>
  <c r="Z158" i="25"/>
  <c r="Z159" i="25"/>
  <c r="Z160" i="25"/>
  <c r="Z161" i="25"/>
  <c r="Z162" i="25"/>
  <c r="Z163" i="25"/>
  <c r="Z164" i="25"/>
  <c r="Z165" i="25"/>
  <c r="Z166" i="25"/>
  <c r="Z167" i="25"/>
  <c r="Z168" i="25"/>
  <c r="Z169" i="25"/>
  <c r="Z170" i="25"/>
  <c r="Z171" i="25"/>
  <c r="Z172" i="25"/>
  <c r="Z173" i="25"/>
  <c r="Z174" i="25"/>
  <c r="Z175" i="25"/>
  <c r="Z176" i="25"/>
  <c r="Z177" i="25"/>
  <c r="Z178" i="25"/>
  <c r="Z179" i="25"/>
  <c r="Z180" i="25"/>
  <c r="Z181" i="25"/>
  <c r="Z182" i="25"/>
  <c r="Z183" i="25"/>
  <c r="Z184" i="25"/>
  <c r="Z185" i="25"/>
  <c r="Z186" i="25"/>
  <c r="Z187" i="25"/>
  <c r="Z188" i="25"/>
  <c r="Z189" i="25"/>
  <c r="Z190" i="25"/>
  <c r="Z191" i="25"/>
  <c r="Z192" i="25"/>
  <c r="Z193" i="25"/>
  <c r="Z194" i="25"/>
  <c r="Z195" i="25"/>
  <c r="Z196" i="25"/>
  <c r="Z197" i="25"/>
  <c r="Z198" i="25"/>
  <c r="Z199" i="25"/>
  <c r="Z200" i="25"/>
  <c r="Z201" i="25"/>
  <c r="Z202" i="25"/>
  <c r="Z203" i="25"/>
  <c r="Z204" i="25"/>
  <c r="Z205" i="25"/>
  <c r="Z206" i="25"/>
  <c r="Z207" i="25"/>
  <c r="Z208" i="25"/>
  <c r="Z209" i="25"/>
  <c r="Z210" i="25"/>
  <c r="Z211" i="25"/>
  <c r="Z212" i="25"/>
  <c r="Z213" i="25"/>
  <c r="Z214" i="25"/>
  <c r="Z215" i="25"/>
  <c r="Z216" i="25"/>
  <c r="Z217" i="25"/>
  <c r="Z218" i="25"/>
  <c r="Z219" i="25"/>
  <c r="Z220" i="25"/>
  <c r="Z221" i="25"/>
  <c r="Z222" i="25"/>
  <c r="Z223" i="25"/>
  <c r="Z224" i="25"/>
  <c r="Z225" i="25"/>
  <c r="Z226" i="25"/>
  <c r="Z227" i="25"/>
  <c r="Z228" i="25"/>
  <c r="Z229" i="25"/>
  <c r="Z230" i="25"/>
  <c r="Z231" i="25"/>
  <c r="Z232" i="25"/>
  <c r="Z233" i="25"/>
  <c r="Z234" i="25"/>
  <c r="Z235" i="25"/>
  <c r="Z236" i="25"/>
  <c r="Z237" i="25"/>
  <c r="Z238" i="25"/>
  <c r="Z239" i="25"/>
  <c r="Z240" i="25"/>
  <c r="Z241" i="25"/>
  <c r="Z242" i="25"/>
  <c r="Z243" i="25"/>
  <c r="Z244" i="25"/>
  <c r="Z245" i="25"/>
  <c r="Z246" i="25"/>
  <c r="Z247" i="25"/>
  <c r="Z248" i="25"/>
  <c r="Z249" i="25"/>
  <c r="Z250" i="25"/>
  <c r="Z251" i="25"/>
  <c r="Z252" i="25"/>
  <c r="Z253" i="25"/>
  <c r="Z254" i="25"/>
  <c r="Z255" i="25"/>
  <c r="Z256" i="25"/>
  <c r="Z257" i="25"/>
  <c r="Z258" i="25"/>
  <c r="Z259" i="25"/>
  <c r="Z260" i="25"/>
  <c r="Z261" i="25"/>
  <c r="Z262" i="25"/>
  <c r="Z263" i="25"/>
  <c r="Z264" i="25"/>
  <c r="Z265" i="25"/>
  <c r="Z266" i="25"/>
  <c r="Z267" i="25"/>
  <c r="Z268" i="25"/>
  <c r="Z269" i="25"/>
  <c r="Z270" i="25"/>
  <c r="Z271" i="25"/>
  <c r="Z272" i="25"/>
  <c r="Z273" i="25"/>
  <c r="Z274" i="25"/>
  <c r="Z275" i="25"/>
  <c r="Z276" i="25"/>
  <c r="Z277" i="25"/>
  <c r="Z278" i="25"/>
  <c r="Z279" i="25"/>
  <c r="Z280" i="25"/>
  <c r="Z281" i="25"/>
  <c r="Z282" i="25"/>
  <c r="Z283" i="25"/>
  <c r="Z284" i="25"/>
  <c r="Z285" i="25"/>
  <c r="Z286" i="25"/>
  <c r="Z287" i="25"/>
  <c r="Z288" i="25"/>
  <c r="Z289" i="25"/>
  <c r="Z290" i="25"/>
  <c r="Z291" i="25"/>
  <c r="Z292" i="25"/>
  <c r="Z293" i="25"/>
  <c r="Z294" i="25"/>
  <c r="Z295" i="25"/>
  <c r="Z296" i="25"/>
  <c r="Z297" i="25"/>
  <c r="Z298" i="25"/>
  <c r="Z299" i="25"/>
  <c r="Z300" i="25"/>
  <c r="Z301" i="25"/>
  <c r="Z302" i="25"/>
  <c r="Z303" i="25"/>
  <c r="Z304" i="25"/>
  <c r="Z305" i="25"/>
  <c r="Z306" i="25"/>
  <c r="Z307" i="25"/>
  <c r="Z308" i="25"/>
  <c r="Z309" i="25"/>
  <c r="Z310" i="25"/>
  <c r="Z311" i="25"/>
  <c r="Z312" i="25"/>
  <c r="Z313" i="25"/>
  <c r="Z314" i="25"/>
  <c r="Z315" i="25"/>
  <c r="Z316" i="25"/>
  <c r="Z317" i="25"/>
  <c r="Z318" i="25"/>
  <c r="Z319" i="25"/>
  <c r="Z320" i="25"/>
  <c r="Z321" i="25"/>
  <c r="Z322" i="25"/>
  <c r="Z323" i="25"/>
  <c r="Z324" i="25"/>
  <c r="Z325" i="25"/>
  <c r="Z326" i="25"/>
  <c r="Z327" i="25"/>
  <c r="Z328" i="25"/>
  <c r="Z329" i="25"/>
  <c r="Z330" i="25"/>
  <c r="Z331" i="25"/>
  <c r="Z332" i="25"/>
  <c r="Z333" i="25"/>
  <c r="Z334" i="25"/>
  <c r="Z335" i="25"/>
  <c r="Z336" i="25"/>
  <c r="Z337" i="25"/>
  <c r="Z338" i="25"/>
  <c r="Z339" i="25"/>
  <c r="Z340" i="25"/>
  <c r="Z341" i="25"/>
  <c r="Z342" i="25"/>
  <c r="Z343" i="25"/>
  <c r="Z344" i="25"/>
  <c r="Z345" i="25"/>
  <c r="Z346" i="25"/>
  <c r="Z347" i="25"/>
  <c r="Z348" i="25"/>
  <c r="Z349" i="25"/>
  <c r="Z350" i="25"/>
  <c r="Z351" i="25"/>
  <c r="Z352" i="25"/>
  <c r="Z353" i="25"/>
  <c r="Z354" i="25"/>
  <c r="Z355" i="25"/>
  <c r="Z356" i="25"/>
  <c r="Z357" i="25"/>
  <c r="Z358" i="25"/>
  <c r="Z359" i="25"/>
  <c r="Z360" i="25"/>
  <c r="Z361" i="25"/>
  <c r="Z362" i="25"/>
  <c r="Z363" i="25"/>
  <c r="Z364" i="25"/>
  <c r="Z365" i="25"/>
  <c r="Z366" i="25"/>
  <c r="Z367" i="25"/>
  <c r="Z368" i="25"/>
  <c r="Z369" i="25"/>
  <c r="Z370" i="25"/>
  <c r="Z371" i="25"/>
  <c r="Z372" i="25"/>
  <c r="Z373" i="25"/>
  <c r="Z374" i="25"/>
  <c r="Z375" i="25"/>
  <c r="Z376" i="25"/>
  <c r="Z377" i="25"/>
  <c r="Z378" i="25"/>
  <c r="Z379" i="25"/>
  <c r="Z380" i="25"/>
  <c r="Z381" i="25"/>
  <c r="Z382" i="25"/>
  <c r="Z383" i="25"/>
  <c r="Z384" i="25"/>
  <c r="Z385" i="25"/>
  <c r="Z386" i="25"/>
  <c r="Z387" i="25"/>
  <c r="Z388" i="25"/>
  <c r="Z389" i="25"/>
  <c r="Z390" i="25"/>
  <c r="Z391" i="25"/>
  <c r="Z392" i="25"/>
  <c r="Z393" i="25"/>
  <c r="Z394" i="25"/>
  <c r="Z395" i="25"/>
  <c r="Z396" i="25"/>
  <c r="Z397" i="25"/>
  <c r="Z398" i="25"/>
  <c r="Z399" i="25"/>
  <c r="Z400" i="25"/>
  <c r="Z401" i="25"/>
  <c r="Z402" i="25"/>
  <c r="Z403" i="25"/>
  <c r="Z404" i="25"/>
  <c r="Z405" i="25"/>
  <c r="Z406" i="25"/>
  <c r="Z407" i="25"/>
  <c r="Z408" i="25"/>
  <c r="Z409" i="25"/>
  <c r="Z410" i="25"/>
  <c r="Z411" i="25"/>
  <c r="Z412" i="25"/>
  <c r="Z413" i="25"/>
  <c r="Z414" i="25"/>
  <c r="Z415" i="25"/>
  <c r="Z416" i="25"/>
  <c r="Z417" i="25"/>
  <c r="Z418" i="25"/>
  <c r="Z419" i="25"/>
  <c r="Z420" i="25"/>
  <c r="Z421" i="25"/>
  <c r="Z422" i="25"/>
  <c r="Z423" i="25"/>
  <c r="Z424" i="25"/>
  <c r="Z425" i="25"/>
  <c r="Z426" i="25"/>
  <c r="Z427" i="25"/>
  <c r="Z428" i="25"/>
  <c r="Z429" i="25"/>
  <c r="Z430" i="25"/>
  <c r="Z431" i="25"/>
  <c r="Z432" i="25"/>
  <c r="Z433" i="25"/>
  <c r="Z434" i="25"/>
  <c r="Z435" i="25"/>
  <c r="Z436" i="25"/>
  <c r="Z437" i="25"/>
  <c r="Z438" i="25"/>
  <c r="Z439" i="25"/>
  <c r="Z440" i="25"/>
  <c r="Z441" i="25"/>
  <c r="Z442" i="25"/>
  <c r="Z443" i="25"/>
  <c r="Z444" i="25"/>
  <c r="Z445" i="25"/>
  <c r="Z446" i="25"/>
  <c r="Z447" i="25"/>
  <c r="Z448" i="25"/>
  <c r="Z449" i="25"/>
  <c r="Z450" i="25"/>
  <c r="Z451" i="25"/>
  <c r="Z452" i="25"/>
  <c r="Z453" i="25"/>
  <c r="Z454" i="25"/>
  <c r="Z455" i="25"/>
  <c r="Z456" i="25"/>
  <c r="Z457" i="25"/>
  <c r="Z458" i="25"/>
  <c r="Z459" i="25"/>
  <c r="Z460" i="25"/>
  <c r="Z461" i="25"/>
  <c r="Z462" i="25"/>
  <c r="Z463" i="25"/>
  <c r="Z464" i="25"/>
  <c r="Z465" i="25"/>
  <c r="Z466" i="25"/>
  <c r="Z467" i="25"/>
  <c r="Z468" i="25"/>
  <c r="Z469" i="25"/>
  <c r="Z470" i="25"/>
  <c r="Z471" i="25"/>
  <c r="Z472" i="25"/>
  <c r="Z473" i="25"/>
  <c r="Z474" i="25"/>
  <c r="Z475" i="25"/>
  <c r="Z476" i="25"/>
  <c r="Z477" i="25"/>
  <c r="Z478" i="25"/>
  <c r="Z479" i="25"/>
  <c r="Z480" i="25"/>
  <c r="Z481" i="25"/>
  <c r="Z482" i="25"/>
  <c r="Z483" i="25"/>
  <c r="Z484" i="25"/>
  <c r="Z485" i="25"/>
  <c r="Z486" i="25"/>
  <c r="Z487" i="25"/>
  <c r="Z488" i="25"/>
  <c r="Z489" i="25"/>
  <c r="Z490" i="25"/>
  <c r="Z491" i="25"/>
  <c r="Z492" i="25"/>
  <c r="Z493" i="25"/>
  <c r="Z494" i="25"/>
  <c r="Z495" i="25"/>
  <c r="Z496" i="25"/>
  <c r="Z497" i="25"/>
  <c r="Z498" i="25"/>
  <c r="Z499" i="25"/>
  <c r="Z500" i="25"/>
  <c r="Z501" i="25"/>
  <c r="Z502" i="25"/>
  <c r="Z503" i="25"/>
  <c r="Z504" i="25"/>
  <c r="Z505" i="25"/>
  <c r="Z506" i="25"/>
  <c r="Z507" i="25"/>
  <c r="Z508" i="25"/>
  <c r="Z509" i="25"/>
  <c r="Z510" i="25"/>
  <c r="Z511" i="25"/>
  <c r="Z512" i="25"/>
  <c r="Z513" i="25"/>
  <c r="Z514" i="25"/>
  <c r="Z515" i="25"/>
  <c r="Z516" i="25"/>
  <c r="Z517" i="25"/>
  <c r="Z518" i="25"/>
  <c r="Z519" i="25"/>
  <c r="Z520" i="25"/>
  <c r="Z521" i="25"/>
  <c r="Z522" i="25"/>
  <c r="Z523" i="25"/>
  <c r="Z524" i="25"/>
  <c r="Z525" i="25"/>
  <c r="Z526" i="25"/>
  <c r="Z527" i="25"/>
  <c r="Z528" i="25"/>
  <c r="Z529" i="25"/>
  <c r="Z530" i="25"/>
  <c r="Z531" i="25"/>
  <c r="Z532" i="25"/>
  <c r="Z533" i="25"/>
  <c r="Z534" i="25"/>
  <c r="Z535" i="25"/>
  <c r="Z536" i="25"/>
  <c r="Z537" i="25"/>
  <c r="Z538" i="25"/>
  <c r="Z539" i="25"/>
  <c r="Z540" i="25"/>
  <c r="Z541" i="25"/>
  <c r="Z542" i="25"/>
  <c r="Z543" i="25"/>
  <c r="Z544" i="25"/>
  <c r="Z545" i="25"/>
  <c r="Z546" i="25"/>
  <c r="Z547" i="25"/>
  <c r="Z548" i="25"/>
  <c r="Z549" i="25"/>
  <c r="Z550" i="25"/>
  <c r="Z551" i="25"/>
  <c r="Z552" i="25"/>
  <c r="Z553" i="25"/>
  <c r="Z554" i="25"/>
  <c r="Z555" i="25"/>
  <c r="Z556" i="25"/>
  <c r="Z557" i="25"/>
  <c r="Z558" i="25"/>
  <c r="Z559" i="25"/>
  <c r="Z560" i="25"/>
  <c r="Z561" i="25"/>
  <c r="Z562" i="25"/>
  <c r="Z563" i="25"/>
  <c r="Z564" i="25"/>
  <c r="Z565" i="25"/>
  <c r="Z566" i="25"/>
  <c r="Z567" i="25"/>
  <c r="Z568" i="25"/>
  <c r="Z569" i="25"/>
  <c r="Z570" i="25"/>
  <c r="Z571" i="25"/>
  <c r="Z572" i="25"/>
  <c r="Z573" i="25"/>
  <c r="Z574" i="25"/>
  <c r="Z575" i="25"/>
  <c r="Z576" i="25"/>
  <c r="Z577" i="25"/>
  <c r="Z578" i="25"/>
  <c r="Z579" i="25"/>
  <c r="Z580" i="25"/>
  <c r="Z581" i="25"/>
  <c r="Z582" i="25"/>
  <c r="Z583" i="25"/>
  <c r="Z584" i="25"/>
  <c r="Z585" i="25"/>
  <c r="Z586" i="25"/>
  <c r="Z587" i="25"/>
  <c r="Z588" i="25"/>
  <c r="Z589" i="25"/>
  <c r="Z590" i="25"/>
  <c r="Z591" i="25"/>
  <c r="Z592" i="25"/>
  <c r="Z593" i="25"/>
  <c r="Z594" i="25"/>
  <c r="Z595" i="25"/>
  <c r="Z596" i="25"/>
  <c r="Z597" i="25"/>
  <c r="Z598" i="25"/>
  <c r="Z599" i="25"/>
  <c r="Z600" i="25"/>
  <c r="Z601" i="25"/>
  <c r="Z602" i="25"/>
  <c r="Z603" i="25"/>
  <c r="Z604" i="25"/>
  <c r="Z605" i="25"/>
  <c r="Z606" i="25"/>
  <c r="Z607" i="25"/>
  <c r="Z608" i="25"/>
  <c r="Z609" i="25"/>
  <c r="Z610" i="25"/>
  <c r="Z611" i="25"/>
  <c r="Z612" i="25"/>
  <c r="Z613" i="25"/>
  <c r="Z614" i="25"/>
  <c r="Z615" i="25"/>
  <c r="Z616" i="25"/>
  <c r="Z617" i="25"/>
  <c r="Z618" i="25"/>
  <c r="Z619" i="25"/>
  <c r="Z620" i="25"/>
  <c r="Z621" i="25"/>
  <c r="Z622" i="25"/>
  <c r="Z623" i="25"/>
  <c r="Z624" i="25"/>
  <c r="Z625" i="25"/>
  <c r="Z626" i="25"/>
  <c r="Z627" i="25"/>
  <c r="Z628" i="25"/>
  <c r="Z629" i="25"/>
  <c r="Z630" i="25"/>
  <c r="Z631" i="25"/>
  <c r="Z632" i="25"/>
  <c r="Z633" i="25"/>
  <c r="Z634" i="25"/>
  <c r="Z635" i="25"/>
  <c r="Z636" i="25"/>
  <c r="Z637" i="25"/>
  <c r="Z638" i="25"/>
  <c r="Z639" i="25"/>
  <c r="Z640" i="25"/>
  <c r="Z641" i="25"/>
  <c r="Z642" i="25"/>
  <c r="Z643" i="25"/>
  <c r="Z644" i="25"/>
  <c r="Z645" i="25"/>
  <c r="Z646" i="25"/>
  <c r="Z647" i="25"/>
  <c r="Z648" i="25"/>
  <c r="Z649" i="25"/>
  <c r="Z650" i="25"/>
  <c r="Z651" i="25"/>
  <c r="Z652" i="25"/>
  <c r="Z653" i="25"/>
  <c r="Z654" i="25"/>
  <c r="Z655" i="25"/>
  <c r="Z656" i="25"/>
  <c r="Z657" i="25"/>
  <c r="Z658" i="25"/>
  <c r="Z659" i="25"/>
  <c r="Z660" i="25"/>
  <c r="Z661" i="25"/>
  <c r="Z662" i="25"/>
  <c r="Z663" i="25"/>
  <c r="Z664" i="25"/>
  <c r="Z665" i="25"/>
  <c r="Z666" i="25"/>
  <c r="Z667" i="25"/>
  <c r="Z668" i="25"/>
  <c r="Z669" i="25"/>
  <c r="Z670" i="25"/>
  <c r="Z671" i="25"/>
  <c r="Z672" i="25"/>
  <c r="Z673" i="25"/>
  <c r="Z674" i="25"/>
  <c r="Z675" i="25"/>
  <c r="Z676" i="25"/>
  <c r="Z677" i="25"/>
  <c r="Z678" i="25"/>
  <c r="Z679" i="25"/>
  <c r="Z680" i="25"/>
  <c r="Z681" i="25"/>
  <c r="Z682" i="25"/>
  <c r="Z683" i="25"/>
  <c r="Z684" i="25"/>
  <c r="Z685" i="25"/>
  <c r="Z686" i="25"/>
  <c r="Z687" i="25"/>
  <c r="Z688" i="25"/>
  <c r="Z689" i="25"/>
  <c r="Z690" i="25"/>
  <c r="Z691" i="25"/>
  <c r="Z692" i="25"/>
  <c r="Z693" i="25"/>
  <c r="Z694" i="25"/>
  <c r="Z695" i="25"/>
  <c r="Z696" i="25"/>
  <c r="Z697" i="25"/>
  <c r="Z698" i="25"/>
  <c r="Z699" i="25"/>
  <c r="Z700" i="25"/>
  <c r="Z701" i="25"/>
  <c r="Z702" i="25"/>
  <c r="Z703" i="25"/>
  <c r="Z704" i="25"/>
  <c r="Z705" i="25"/>
  <c r="Z706" i="25"/>
  <c r="Z707" i="25"/>
  <c r="Z708" i="25"/>
  <c r="Z709" i="25"/>
  <c r="Z710" i="25"/>
  <c r="Z711" i="25"/>
  <c r="Z712" i="25"/>
  <c r="Z713" i="25"/>
  <c r="Z714" i="25"/>
  <c r="Z715" i="25"/>
  <c r="Z716" i="25"/>
  <c r="Z717" i="25"/>
  <c r="Z718" i="25"/>
  <c r="Z719" i="25"/>
  <c r="Z720" i="25"/>
  <c r="Z721" i="25"/>
  <c r="Z722" i="25"/>
  <c r="Z723" i="25"/>
  <c r="Z724" i="25"/>
  <c r="Z725" i="25"/>
  <c r="Z726" i="25"/>
  <c r="Z727" i="25"/>
  <c r="Z728" i="25"/>
  <c r="Z729" i="25"/>
  <c r="Z730" i="25"/>
  <c r="Z731" i="25"/>
  <c r="Z732" i="25"/>
  <c r="Z733" i="25"/>
  <c r="Z734" i="25"/>
  <c r="Z735" i="25"/>
  <c r="Z736" i="25"/>
  <c r="Z737" i="25"/>
  <c r="Z738" i="25"/>
  <c r="Z739" i="25"/>
  <c r="Z740" i="25"/>
  <c r="Z741" i="25"/>
  <c r="Z742" i="25"/>
  <c r="Z743" i="25"/>
  <c r="Z744" i="25"/>
  <c r="Z745" i="25"/>
  <c r="Z746" i="25"/>
  <c r="Z747" i="25"/>
  <c r="Z748" i="25"/>
  <c r="Z749" i="25"/>
  <c r="Z750" i="25"/>
  <c r="Z751" i="25"/>
  <c r="Z752" i="25"/>
  <c r="Z753" i="25"/>
  <c r="Z754" i="25"/>
  <c r="Z755" i="25"/>
  <c r="Z756" i="25"/>
  <c r="Z757" i="25"/>
  <c r="Z758" i="25"/>
  <c r="Z759" i="25"/>
  <c r="Z760" i="25"/>
  <c r="Z761" i="25"/>
  <c r="Z762" i="25"/>
  <c r="Z763" i="25"/>
  <c r="Z764" i="25"/>
  <c r="Z765" i="25"/>
  <c r="Z766" i="25"/>
  <c r="Z767" i="25"/>
  <c r="Z768" i="25"/>
  <c r="Z769" i="25"/>
  <c r="Z770" i="25"/>
  <c r="Z771" i="25"/>
  <c r="Z772" i="25"/>
  <c r="Z773" i="25"/>
  <c r="Z774" i="25"/>
  <c r="Z775" i="25"/>
  <c r="Z776" i="25"/>
  <c r="Z777" i="25"/>
  <c r="Z778" i="25"/>
  <c r="Z779" i="25"/>
  <c r="Z780" i="25"/>
  <c r="Z781" i="25"/>
  <c r="Z782" i="25"/>
  <c r="Z783" i="25"/>
  <c r="Z784" i="25"/>
  <c r="Z785" i="25"/>
  <c r="Z786" i="25"/>
  <c r="Z787" i="25"/>
  <c r="Z788" i="25"/>
  <c r="Z789" i="25"/>
  <c r="Z790" i="25"/>
  <c r="Z791" i="25"/>
  <c r="Z792" i="25"/>
  <c r="Z793" i="25"/>
  <c r="Z794" i="25"/>
  <c r="Z795" i="25"/>
  <c r="Z796" i="25"/>
  <c r="Z797" i="25"/>
  <c r="Z798" i="25"/>
  <c r="Z799" i="25"/>
  <c r="Z800" i="25"/>
  <c r="Z801" i="25"/>
  <c r="Z802" i="25"/>
  <c r="Z803" i="25"/>
  <c r="Z804" i="25"/>
  <c r="Z805" i="25"/>
  <c r="Z806" i="25"/>
  <c r="Z807" i="25"/>
  <c r="Z808" i="25"/>
  <c r="Z809" i="25"/>
  <c r="Z810" i="25"/>
  <c r="Z811" i="25"/>
  <c r="Z812" i="25"/>
  <c r="Z813" i="25"/>
  <c r="Z814" i="25"/>
  <c r="Z815" i="25"/>
  <c r="Z816" i="25"/>
  <c r="Z817" i="25"/>
  <c r="Z818" i="25"/>
  <c r="Z819" i="25"/>
  <c r="Z820" i="25"/>
  <c r="Z821" i="25"/>
  <c r="Z822" i="25"/>
  <c r="Z823" i="25"/>
  <c r="Z824" i="25"/>
  <c r="Z825" i="25"/>
  <c r="Z826" i="25"/>
  <c r="Z827" i="25"/>
  <c r="Z828" i="25"/>
  <c r="Z829" i="25"/>
  <c r="Z830" i="25"/>
  <c r="Z831" i="25"/>
  <c r="Z832" i="25"/>
  <c r="Z833" i="25"/>
  <c r="Z834" i="25"/>
  <c r="Z835" i="25"/>
  <c r="Z836" i="25"/>
  <c r="Z837" i="25"/>
  <c r="Z838" i="25"/>
  <c r="Z839" i="25"/>
  <c r="Z840" i="25"/>
  <c r="Z841" i="25"/>
  <c r="Z842" i="25"/>
  <c r="Z843" i="25"/>
  <c r="Z844" i="25"/>
  <c r="Z845" i="25"/>
  <c r="Z846" i="25"/>
  <c r="Z847" i="25"/>
  <c r="Z848" i="25"/>
  <c r="Z849" i="25"/>
  <c r="Z850" i="25"/>
  <c r="Z851" i="25"/>
  <c r="Z852" i="25"/>
  <c r="Z853" i="25"/>
  <c r="Z854" i="25"/>
  <c r="Z855" i="25"/>
  <c r="Z856" i="25"/>
  <c r="Z857" i="25"/>
  <c r="Z858" i="25"/>
  <c r="Z859" i="25"/>
  <c r="Z860" i="25"/>
  <c r="Z861" i="25"/>
  <c r="Z862" i="25"/>
  <c r="Z863" i="25"/>
  <c r="Z864" i="25"/>
  <c r="Z865" i="25"/>
  <c r="Z866" i="25"/>
  <c r="Z867" i="25"/>
  <c r="Z868" i="25"/>
  <c r="Z869" i="25"/>
  <c r="Z870" i="25"/>
  <c r="Z871" i="25"/>
  <c r="Z872" i="25"/>
  <c r="Z873" i="25"/>
  <c r="Z874" i="25"/>
  <c r="Z875" i="25"/>
  <c r="Z876" i="25"/>
  <c r="Z877" i="25"/>
  <c r="Z878" i="25"/>
  <c r="Z879" i="25"/>
  <c r="Z880" i="25"/>
  <c r="Z881" i="25"/>
  <c r="Z2" i="25"/>
  <c r="U662" i="25"/>
  <c r="U442" i="25"/>
  <c r="U2" i="25"/>
  <c r="W2" i="25" s="1"/>
  <c r="K20" i="24"/>
  <c r="T21" i="23"/>
  <c r="W21" i="23"/>
  <c r="W241" i="23"/>
  <c r="W26" i="23"/>
  <c r="W472" i="23"/>
  <c r="W290" i="23"/>
  <c r="W538" i="23"/>
  <c r="W544" i="23"/>
  <c r="W833" i="23"/>
  <c r="W383" i="23"/>
  <c r="W146" i="23"/>
  <c r="W558" i="23"/>
  <c r="W722" i="23"/>
  <c r="W182" i="23"/>
  <c r="W211" i="23"/>
  <c r="W758" i="23"/>
  <c r="W197" i="23"/>
  <c r="W791" i="23"/>
  <c r="W811" i="23"/>
  <c r="W153" i="23"/>
  <c r="W136" i="23"/>
  <c r="W645" i="23"/>
  <c r="W198" i="23"/>
  <c r="W477" i="23"/>
  <c r="W687" i="23"/>
  <c r="W556" i="23"/>
  <c r="W117" i="23"/>
  <c r="W179" i="23"/>
  <c r="W440" i="23"/>
  <c r="W511" i="23"/>
  <c r="W183" i="23"/>
  <c r="W98" i="23"/>
  <c r="W133" i="23"/>
  <c r="G468" i="23"/>
  <c r="D589" i="23"/>
  <c r="D97" i="23"/>
  <c r="D214" i="23"/>
  <c r="D400" i="23"/>
  <c r="D683" i="23"/>
  <c r="D788" i="23"/>
  <c r="D342" i="23"/>
  <c r="D786" i="23"/>
  <c r="D807" i="23"/>
  <c r="D642" i="23"/>
  <c r="D296" i="23"/>
  <c r="D375" i="23"/>
  <c r="D67" i="23"/>
  <c r="D585" i="23"/>
  <c r="D13" i="23"/>
  <c r="D474" i="23"/>
  <c r="K221" i="18"/>
  <c r="K220" i="18"/>
  <c r="K219" i="18"/>
  <c r="K218" i="18"/>
  <c r="K217" i="18"/>
  <c r="K216" i="18"/>
  <c r="K215" i="18"/>
  <c r="K214" i="18"/>
  <c r="K213" i="18"/>
  <c r="K212" i="18"/>
  <c r="K211" i="18"/>
  <c r="K210" i="18"/>
  <c r="K209" i="18"/>
  <c r="K208" i="18"/>
  <c r="K207" i="18"/>
  <c r="K206" i="18"/>
  <c r="K205" i="18"/>
  <c r="K204" i="18"/>
  <c r="K203" i="18"/>
  <c r="K202" i="18"/>
  <c r="K201" i="18"/>
  <c r="K200" i="18"/>
  <c r="K199" i="18"/>
  <c r="K198" i="18"/>
  <c r="K197" i="18"/>
  <c r="K196" i="18"/>
  <c r="K195" i="18"/>
  <c r="K194" i="18"/>
  <c r="K193" i="18"/>
  <c r="K192" i="18"/>
  <c r="K191" i="18"/>
  <c r="K190" i="18"/>
  <c r="K189" i="18"/>
  <c r="K188" i="18"/>
  <c r="K187" i="18"/>
  <c r="K186" i="18"/>
  <c r="K185" i="18"/>
  <c r="K184" i="18"/>
  <c r="K183" i="18"/>
  <c r="K182" i="18"/>
  <c r="K181" i="18"/>
  <c r="K180" i="18"/>
  <c r="K179" i="18"/>
  <c r="K178" i="18"/>
  <c r="K177" i="18"/>
  <c r="K176" i="18"/>
  <c r="K175" i="18"/>
  <c r="K174" i="18"/>
  <c r="K173" i="18"/>
  <c r="K172" i="18"/>
  <c r="K171" i="18"/>
  <c r="K170" i="18"/>
  <c r="K169" i="18"/>
  <c r="K168" i="18"/>
  <c r="K167" i="18"/>
  <c r="K166" i="18"/>
  <c r="K165" i="18"/>
  <c r="K164" i="18"/>
  <c r="K163" i="18"/>
  <c r="K162" i="18"/>
  <c r="K161" i="18"/>
  <c r="K160" i="18"/>
  <c r="K159" i="18"/>
  <c r="K158" i="18"/>
  <c r="K157" i="18"/>
  <c r="K156" i="18"/>
  <c r="K155" i="18"/>
  <c r="K154" i="18"/>
  <c r="K153" i="18"/>
  <c r="K152" i="18"/>
  <c r="K151" i="18"/>
  <c r="K150" i="18"/>
  <c r="K149" i="18"/>
  <c r="K148" i="18"/>
  <c r="K147" i="18"/>
  <c r="K146" i="18"/>
  <c r="K145" i="18"/>
  <c r="K144" i="18"/>
  <c r="K143" i="18"/>
  <c r="K142" i="18"/>
  <c r="K141" i="18"/>
  <c r="K140" i="18"/>
  <c r="K139" i="18"/>
  <c r="K138" i="18"/>
  <c r="K137" i="18"/>
  <c r="K136" i="18"/>
  <c r="K135" i="18"/>
  <c r="K134" i="18"/>
  <c r="K133" i="18"/>
  <c r="K132" i="18"/>
  <c r="K131" i="18"/>
  <c r="K130" i="18"/>
  <c r="K129" i="18"/>
  <c r="K128" i="18"/>
  <c r="K127" i="18"/>
  <c r="K126" i="18"/>
  <c r="K125" i="18"/>
  <c r="K124" i="18"/>
  <c r="K123" i="18"/>
  <c r="K122" i="18"/>
  <c r="K121" i="18"/>
  <c r="K120" i="18"/>
  <c r="K119" i="18"/>
  <c r="K118" i="18"/>
  <c r="K117" i="18"/>
  <c r="K116" i="18"/>
  <c r="K115" i="18"/>
  <c r="K114" i="18"/>
  <c r="K113" i="18"/>
  <c r="K112" i="18"/>
  <c r="K111" i="18"/>
  <c r="K110" i="18"/>
  <c r="K109" i="18"/>
  <c r="K108" i="18"/>
  <c r="K107" i="18"/>
  <c r="K106" i="18"/>
  <c r="K105" i="18"/>
  <c r="K104" i="18"/>
  <c r="K103" i="18"/>
  <c r="K102" i="18"/>
  <c r="K101" i="18"/>
  <c r="K100" i="18"/>
  <c r="K99" i="18"/>
  <c r="K98" i="18"/>
  <c r="K97" i="18"/>
  <c r="K96" i="18"/>
  <c r="K95" i="18"/>
  <c r="K94" i="18"/>
  <c r="K93" i="18"/>
  <c r="K92" i="18"/>
  <c r="K91" i="18"/>
  <c r="K90" i="18"/>
  <c r="K89" i="18"/>
  <c r="K88" i="18"/>
  <c r="K87" i="18"/>
  <c r="K86" i="18"/>
  <c r="K85" i="18"/>
  <c r="K84" i="18"/>
  <c r="K83" i="18"/>
  <c r="K82" i="18"/>
  <c r="K81" i="18"/>
  <c r="K80" i="18"/>
  <c r="K79" i="18"/>
  <c r="K78" i="18"/>
  <c r="K77" i="18"/>
  <c r="K76" i="18"/>
  <c r="K75" i="18"/>
  <c r="K74" i="18"/>
  <c r="K73" i="18"/>
  <c r="K72" i="18"/>
  <c r="K71" i="18"/>
  <c r="K70" i="18"/>
  <c r="K69" i="18"/>
  <c r="K68" i="18"/>
  <c r="K67" i="18"/>
  <c r="K66" i="18"/>
  <c r="K65" i="18"/>
  <c r="K64" i="18"/>
  <c r="K63" i="18"/>
  <c r="K62" i="18"/>
  <c r="K61" i="18"/>
  <c r="K60" i="18"/>
  <c r="K59" i="18"/>
  <c r="K58" i="18"/>
  <c r="K57" i="18"/>
  <c r="K56" i="18"/>
  <c r="K55" i="18"/>
  <c r="K54" i="18"/>
  <c r="K53" i="18"/>
  <c r="K52" i="18"/>
  <c r="K51" i="18"/>
  <c r="K50" i="18"/>
  <c r="K49" i="18"/>
  <c r="K48" i="18"/>
  <c r="K47" i="18"/>
  <c r="K46" i="18"/>
  <c r="K45" i="18"/>
  <c r="K44" i="18"/>
  <c r="K43" i="18"/>
  <c r="K42" i="18"/>
  <c r="K41" i="18"/>
  <c r="K40" i="18"/>
  <c r="K39" i="18"/>
  <c r="K38" i="18"/>
  <c r="K37" i="18"/>
  <c r="K36" i="18"/>
  <c r="K35" i="18"/>
  <c r="K34" i="18"/>
  <c r="K33" i="18"/>
  <c r="K32" i="18"/>
  <c r="K31" i="18"/>
  <c r="K30" i="18"/>
  <c r="K29" i="18"/>
  <c r="K28" i="18"/>
  <c r="K27" i="18"/>
  <c r="K26" i="18"/>
  <c r="K25" i="18"/>
  <c r="K24" i="18"/>
  <c r="K23" i="18"/>
  <c r="K22" i="18"/>
  <c r="K21" i="18"/>
  <c r="K20" i="18"/>
  <c r="K19" i="18"/>
  <c r="K18" i="18"/>
  <c r="K17" i="18"/>
  <c r="K16" i="18"/>
  <c r="K15" i="18"/>
  <c r="K14" i="18"/>
  <c r="K13" i="18"/>
  <c r="K12" i="18"/>
  <c r="K11" i="18"/>
  <c r="K10" i="18"/>
  <c r="K9" i="18"/>
  <c r="K8" i="18"/>
  <c r="K7" i="18"/>
  <c r="K6" i="18"/>
  <c r="K5" i="18"/>
  <c r="K4" i="18"/>
  <c r="K3" i="18"/>
  <c r="K2" i="18"/>
  <c r="K3" i="19"/>
  <c r="K4" i="19"/>
  <c r="K5" i="19"/>
  <c r="K6" i="19"/>
  <c r="K7" i="19"/>
  <c r="K8" i="19"/>
  <c r="K9" i="19"/>
  <c r="K10" i="19"/>
  <c r="K11" i="19"/>
  <c r="K12" i="19"/>
  <c r="K13" i="19"/>
  <c r="K14" i="19"/>
  <c r="K15" i="19"/>
  <c r="K16" i="19"/>
  <c r="K17" i="19"/>
  <c r="K18" i="19"/>
  <c r="K19" i="19"/>
  <c r="K20" i="19"/>
  <c r="K21" i="19"/>
  <c r="K22" i="19"/>
  <c r="K23" i="19"/>
  <c r="K24" i="19"/>
  <c r="K25" i="19"/>
  <c r="K26" i="19"/>
  <c r="K27" i="19"/>
  <c r="K28" i="19"/>
  <c r="K29" i="19"/>
  <c r="K30" i="19"/>
  <c r="K31" i="19"/>
  <c r="K32" i="19"/>
  <c r="K33" i="19"/>
  <c r="K34" i="19"/>
  <c r="K35" i="19"/>
  <c r="K36" i="19"/>
  <c r="K37" i="19"/>
  <c r="K38" i="19"/>
  <c r="K39" i="19"/>
  <c r="K40" i="19"/>
  <c r="K41" i="19"/>
  <c r="K42" i="19"/>
  <c r="K43" i="19"/>
  <c r="K44" i="19"/>
  <c r="K45" i="19"/>
  <c r="K46" i="19"/>
  <c r="K47" i="19"/>
  <c r="K48" i="19"/>
  <c r="K49" i="19"/>
  <c r="K50" i="19"/>
  <c r="K51" i="19"/>
  <c r="K52" i="19"/>
  <c r="K53" i="19"/>
  <c r="K54" i="19"/>
  <c r="K55" i="19"/>
  <c r="K56" i="19"/>
  <c r="K57" i="19"/>
  <c r="K58" i="19"/>
  <c r="K59" i="19"/>
  <c r="K60" i="19"/>
  <c r="K61" i="19"/>
  <c r="K62" i="19"/>
  <c r="K63" i="19"/>
  <c r="K64" i="19"/>
  <c r="K65" i="19"/>
  <c r="K66" i="19"/>
  <c r="K67" i="19"/>
  <c r="K68" i="19"/>
  <c r="K69" i="19"/>
  <c r="K70" i="19"/>
  <c r="K71" i="19"/>
  <c r="K72" i="19"/>
  <c r="K73" i="19"/>
  <c r="K74" i="19"/>
  <c r="K75" i="19"/>
  <c r="K76" i="19"/>
  <c r="K77" i="19"/>
  <c r="K78" i="19"/>
  <c r="K79" i="19"/>
  <c r="K80" i="19"/>
  <c r="K81" i="19"/>
  <c r="K82" i="19"/>
  <c r="K83" i="19"/>
  <c r="K84" i="19"/>
  <c r="K85" i="19"/>
  <c r="K86" i="19"/>
  <c r="K87" i="19"/>
  <c r="K88" i="19"/>
  <c r="K89" i="19"/>
  <c r="K90" i="19"/>
  <c r="K91" i="19"/>
  <c r="K92" i="19"/>
  <c r="K93" i="19"/>
  <c r="K94" i="19"/>
  <c r="K95" i="19"/>
  <c r="K96" i="19"/>
  <c r="K97" i="19"/>
  <c r="K98" i="19"/>
  <c r="K99" i="19"/>
  <c r="K100" i="19"/>
  <c r="K101" i="19"/>
  <c r="K102" i="19"/>
  <c r="K103" i="19"/>
  <c r="K104" i="19"/>
  <c r="K105" i="19"/>
  <c r="K106" i="19"/>
  <c r="K107" i="19"/>
  <c r="K108" i="19"/>
  <c r="K109" i="19"/>
  <c r="K110" i="19"/>
  <c r="K111" i="19"/>
  <c r="K112" i="19"/>
  <c r="K113" i="19"/>
  <c r="K114" i="19"/>
  <c r="K115" i="19"/>
  <c r="K116" i="19"/>
  <c r="K117" i="19"/>
  <c r="K118" i="19"/>
  <c r="K119" i="19"/>
  <c r="K120" i="19"/>
  <c r="K121" i="19"/>
  <c r="K122" i="19"/>
  <c r="K123" i="19"/>
  <c r="K124" i="19"/>
  <c r="K125" i="19"/>
  <c r="K126" i="19"/>
  <c r="K127" i="19"/>
  <c r="K128" i="19"/>
  <c r="K129" i="19"/>
  <c r="K130" i="19"/>
  <c r="K131" i="19"/>
  <c r="K132" i="19"/>
  <c r="K133" i="19"/>
  <c r="K134" i="19"/>
  <c r="K135" i="19"/>
  <c r="K136" i="19"/>
  <c r="K137" i="19"/>
  <c r="K138" i="19"/>
  <c r="K139" i="19"/>
  <c r="K140" i="19"/>
  <c r="K141" i="19"/>
  <c r="K142" i="19"/>
  <c r="K143" i="19"/>
  <c r="K144" i="19"/>
  <c r="K145" i="19"/>
  <c r="K146" i="19"/>
  <c r="K147" i="19"/>
  <c r="K148" i="19"/>
  <c r="K149" i="19"/>
  <c r="K150" i="19"/>
  <c r="K151" i="19"/>
  <c r="K152" i="19"/>
  <c r="K153" i="19"/>
  <c r="K154" i="19"/>
  <c r="K155" i="19"/>
  <c r="K156" i="19"/>
  <c r="K157" i="19"/>
  <c r="K158" i="19"/>
  <c r="K159" i="19"/>
  <c r="K160" i="19"/>
  <c r="K161" i="19"/>
  <c r="K162" i="19"/>
  <c r="K163" i="19"/>
  <c r="K164" i="19"/>
  <c r="K165" i="19"/>
  <c r="K166" i="19"/>
  <c r="K167" i="19"/>
  <c r="K168" i="19"/>
  <c r="K169" i="19"/>
  <c r="K170" i="19"/>
  <c r="K171" i="19"/>
  <c r="K172" i="19"/>
  <c r="K173" i="19"/>
  <c r="K174" i="19"/>
  <c r="K175" i="19"/>
  <c r="K176" i="19"/>
  <c r="K177" i="19"/>
  <c r="K178" i="19"/>
  <c r="K179" i="19"/>
  <c r="K180" i="19"/>
  <c r="K181" i="19"/>
  <c r="K182" i="19"/>
  <c r="K183" i="19"/>
  <c r="K184" i="19"/>
  <c r="K185" i="19"/>
  <c r="K186" i="19"/>
  <c r="K187" i="19"/>
  <c r="K188" i="19"/>
  <c r="K189" i="19"/>
  <c r="K190" i="19"/>
  <c r="K191" i="19"/>
  <c r="K192" i="19"/>
  <c r="K193" i="19"/>
  <c r="K194" i="19"/>
  <c r="K195" i="19"/>
  <c r="K196" i="19"/>
  <c r="K197" i="19"/>
  <c r="K198" i="19"/>
  <c r="K199" i="19"/>
  <c r="K200" i="19"/>
  <c r="K201" i="19"/>
  <c r="K202" i="19"/>
  <c r="K203" i="19"/>
  <c r="K204" i="19"/>
  <c r="K205" i="19"/>
  <c r="K206" i="19"/>
  <c r="K207" i="19"/>
  <c r="K208" i="19"/>
  <c r="K209" i="19"/>
  <c r="K210" i="19"/>
  <c r="K211" i="19"/>
  <c r="K212" i="19"/>
  <c r="K213" i="19"/>
  <c r="K214" i="19"/>
  <c r="K215" i="19"/>
  <c r="K216" i="19"/>
  <c r="K217" i="19"/>
  <c r="K218" i="19"/>
  <c r="K219" i="19"/>
  <c r="K220" i="19"/>
  <c r="K221" i="19"/>
  <c r="K2" i="19"/>
  <c r="D10" i="4"/>
  <c r="A14" i="4"/>
  <c r="A15" i="4"/>
  <c r="A16" i="4"/>
  <c r="A17" i="4"/>
  <c r="A18" i="4"/>
  <c r="A20" i="4"/>
  <c r="A23" i="4"/>
  <c r="A29" i="4"/>
  <c r="A31" i="4"/>
  <c r="A33" i="4"/>
  <c r="D33" i="4"/>
  <c r="D31" i="4"/>
  <c r="D29" i="4"/>
  <c r="D23" i="4"/>
  <c r="D20" i="4"/>
  <c r="D18" i="4"/>
  <c r="D17" i="4"/>
  <c r="D16" i="4"/>
  <c r="D15" i="4"/>
  <c r="D14" i="4"/>
  <c r="D41" i="4"/>
  <c r="D38" i="4"/>
  <c r="D37" i="4"/>
  <c r="D35" i="4"/>
  <c r="D34" i="4"/>
  <c r="D12" i="4"/>
  <c r="D11" i="4"/>
  <c r="D9" i="4"/>
  <c r="D7" i="4"/>
  <c r="D6" i="4"/>
  <c r="D5" i="4"/>
  <c r="D4" i="4"/>
  <c r="D3" i="4"/>
  <c r="A3" i="4"/>
  <c r="D2" i="4"/>
  <c r="I40" i="5"/>
  <c r="I42" i="5"/>
  <c r="I41" i="5"/>
  <c r="I43" i="5"/>
  <c r="I44" i="5"/>
  <c r="W852" i="31"/>
  <c r="W796" i="31"/>
  <c r="W629" i="31"/>
  <c r="W648" i="31"/>
  <c r="W880" i="31"/>
  <c r="W816" i="31"/>
  <c r="W804" i="31"/>
  <c r="W664" i="31"/>
  <c r="W439" i="31"/>
  <c r="W395" i="31"/>
  <c r="W347" i="31"/>
  <c r="W303" i="31"/>
  <c r="W263" i="31"/>
  <c r="W643" i="31"/>
  <c r="W623" i="31"/>
  <c r="W603" i="31"/>
  <c r="W591" i="31"/>
  <c r="W575" i="31"/>
  <c r="W555" i="31"/>
  <c r="W531" i="31"/>
  <c r="W515" i="31"/>
  <c r="W495" i="31"/>
  <c r="W471" i="31"/>
  <c r="W455" i="31"/>
  <c r="W855" i="31"/>
  <c r="W843" i="31"/>
  <c r="W827" i="31"/>
  <c r="W815" i="31"/>
  <c r="W799" i="31"/>
  <c r="W763" i="31"/>
  <c r="W751" i="31"/>
  <c r="W735" i="31"/>
  <c r="W719" i="31"/>
  <c r="W695" i="31"/>
  <c r="W675" i="31"/>
  <c r="W663" i="31"/>
  <c r="W621" i="31"/>
  <c r="W881" i="31"/>
  <c r="W773" i="31"/>
  <c r="W353" i="31"/>
  <c r="W313" i="31"/>
  <c r="W285" i="31"/>
  <c r="W641" i="31"/>
  <c r="W597" i="31"/>
  <c r="W573" i="31"/>
  <c r="W513" i="31"/>
  <c r="W477" i="31"/>
  <c r="W869" i="31"/>
  <c r="W809" i="31"/>
  <c r="W785" i="31"/>
  <c r="W761" i="31"/>
  <c r="W705" i="31"/>
  <c r="W681" i="31"/>
  <c r="W624" i="31"/>
  <c r="W616" i="31"/>
  <c r="W864" i="31"/>
  <c r="W848" i="31"/>
  <c r="W820" i="31"/>
  <c r="W812" i="31"/>
  <c r="W776" i="31"/>
  <c r="W712" i="31"/>
  <c r="W271" i="31"/>
  <c r="W247" i="31"/>
  <c r="W206" i="31"/>
  <c r="W174" i="31"/>
  <c r="W158" i="31"/>
  <c r="W142" i="31"/>
  <c r="W110" i="31"/>
  <c r="W94" i="31"/>
  <c r="W78" i="31"/>
  <c r="W46" i="31"/>
  <c r="W30" i="31"/>
  <c r="W369" i="31"/>
  <c r="W257" i="31"/>
  <c r="W557" i="31"/>
  <c r="W493" i="31"/>
  <c r="W861" i="31"/>
  <c r="W733" i="31"/>
  <c r="W665" i="31"/>
  <c r="W608" i="31"/>
  <c r="W592" i="31"/>
  <c r="W856" i="31"/>
  <c r="W840" i="31"/>
  <c r="W792" i="31"/>
  <c r="W768" i="31"/>
  <c r="W720" i="31"/>
  <c r="W704" i="31"/>
  <c r="W435" i="31"/>
  <c r="W403" i="31"/>
  <c r="W391" i="31"/>
  <c r="W379" i="31"/>
  <c r="W359" i="31"/>
  <c r="W351" i="31"/>
  <c r="W339" i="31"/>
  <c r="W327" i="31"/>
  <c r="W307" i="31"/>
  <c r="W299" i="31"/>
  <c r="W219" i="31"/>
  <c r="W215" i="31"/>
  <c r="W203" i="31"/>
  <c r="W199" i="31"/>
  <c r="W438" i="31"/>
  <c r="W434" i="31"/>
  <c r="W430" i="31"/>
  <c r="W426" i="31"/>
  <c r="W422" i="31"/>
  <c r="W418" i="31"/>
  <c r="W414" i="31"/>
  <c r="W410" i="31"/>
  <c r="W406" i="31"/>
  <c r="W402" i="31"/>
  <c r="W398" i="31"/>
  <c r="W394" i="31"/>
  <c r="W390" i="31"/>
  <c r="W386" i="31"/>
  <c r="W382" i="31"/>
  <c r="W378" i="31"/>
  <c r="W374" i="31"/>
  <c r="W370" i="31"/>
  <c r="W366" i="31"/>
  <c r="W362" i="31"/>
  <c r="W358" i="31"/>
  <c r="W354" i="31"/>
  <c r="W350" i="31"/>
  <c r="W346" i="31"/>
  <c r="W342" i="31"/>
  <c r="W338" i="31"/>
  <c r="W334" i="31"/>
  <c r="W330" i="31"/>
  <c r="W326" i="31"/>
  <c r="W322" i="31"/>
  <c r="W318" i="31"/>
  <c r="W314" i="31"/>
  <c r="W310" i="31"/>
  <c r="W306" i="31"/>
  <c r="W302" i="31"/>
  <c r="W298" i="31"/>
  <c r="W294" i="31"/>
  <c r="W290" i="31"/>
  <c r="W286" i="31"/>
  <c r="W282" i="31"/>
  <c r="W278" i="31"/>
  <c r="W274" i="31"/>
  <c r="W270" i="31"/>
  <c r="W266" i="31"/>
  <c r="W262" i="31"/>
  <c r="W258" i="31"/>
  <c r="W538" i="31"/>
  <c r="W522" i="31"/>
  <c r="W514" i="31"/>
  <c r="W474" i="31"/>
  <c r="W458" i="31"/>
  <c r="W450" i="31"/>
  <c r="W878" i="31"/>
  <c r="W874" i="31"/>
  <c r="W870" i="31"/>
  <c r="W866" i="31"/>
  <c r="W862" i="31"/>
  <c r="W858" i="31"/>
  <c r="W854" i="31"/>
  <c r="W850" i="31"/>
  <c r="W846" i="31"/>
  <c r="W842" i="31"/>
  <c r="W838" i="31"/>
  <c r="W834" i="31"/>
  <c r="W830" i="31"/>
  <c r="W826" i="31"/>
  <c r="W822" i="31"/>
  <c r="W818" i="31"/>
  <c r="W814" i="31"/>
  <c r="W810" i="31"/>
  <c r="W806" i="31"/>
  <c r="W802" i="31"/>
  <c r="W798" i="31"/>
  <c r="W794" i="31"/>
  <c r="W790" i="31"/>
  <c r="W786" i="31"/>
  <c r="W644" i="31"/>
  <c r="W636" i="31"/>
  <c r="W612" i="31"/>
  <c r="W604" i="31"/>
  <c r="W580" i="31"/>
  <c r="W572" i="31"/>
  <c r="W772" i="31"/>
  <c r="W764" i="31"/>
  <c r="W740" i="31"/>
  <c r="W732" i="31"/>
  <c r="W708" i="31"/>
  <c r="W700" i="31"/>
  <c r="W676" i="31"/>
  <c r="W668" i="31"/>
  <c r="W254" i="31"/>
  <c r="W250" i="31"/>
  <c r="W246" i="31"/>
  <c r="W242" i="31"/>
  <c r="W226" i="31"/>
  <c r="W442" i="31"/>
  <c r="W658" i="31"/>
  <c r="W654" i="31"/>
  <c r="W650" i="31"/>
  <c r="W646" i="31"/>
  <c r="W642" i="31"/>
  <c r="W638" i="31"/>
  <c r="W634" i="31"/>
  <c r="W630" i="31"/>
  <c r="W626" i="31"/>
  <c r="W622" i="31"/>
  <c r="W618" i="31"/>
  <c r="W614" i="31"/>
  <c r="W610" i="31"/>
  <c r="W606" i="31"/>
  <c r="W602" i="31"/>
  <c r="W598" i="31"/>
  <c r="W594" i="31"/>
  <c r="W590" i="31"/>
  <c r="W586" i="31"/>
  <c r="W582" i="31"/>
  <c r="W578" i="31"/>
  <c r="W574" i="31"/>
  <c r="W570" i="31"/>
  <c r="W566" i="31"/>
  <c r="W562" i="31"/>
  <c r="W558" i="31"/>
  <c r="W554" i="31"/>
  <c r="W550" i="31"/>
  <c r="W546" i="31"/>
  <c r="W542" i="31"/>
  <c r="W534" i="31"/>
  <c r="W530" i="31"/>
  <c r="W526" i="31"/>
  <c r="W518" i="31"/>
  <c r="W510" i="31"/>
  <c r="W506" i="31"/>
  <c r="W502" i="31"/>
  <c r="W498" i="31"/>
  <c r="W494" i="31"/>
  <c r="W490" i="31"/>
  <c r="W486" i="31"/>
  <c r="W482" i="31"/>
  <c r="W478" i="31"/>
  <c r="W470" i="31"/>
  <c r="W466" i="31"/>
  <c r="W462" i="31"/>
  <c r="W454" i="31"/>
  <c r="W446" i="31"/>
  <c r="W662" i="31"/>
  <c r="W782" i="31"/>
  <c r="W778" i="31"/>
  <c r="W774" i="31"/>
  <c r="W770" i="31"/>
  <c r="W766" i="31"/>
  <c r="W762" i="31"/>
  <c r="W758" i="31"/>
  <c r="W754" i="31"/>
  <c r="W750" i="31"/>
  <c r="W746" i="31"/>
  <c r="W742" i="31"/>
  <c r="W738" i="31"/>
  <c r="W734" i="31"/>
  <c r="W730" i="31"/>
  <c r="W726" i="31"/>
  <c r="W722" i="31"/>
  <c r="W718" i="31"/>
  <c r="W714" i="31"/>
  <c r="W710" i="31"/>
  <c r="W706" i="31"/>
  <c r="W702" i="31"/>
  <c r="W698" i="31"/>
  <c r="W694" i="31"/>
  <c r="W690" i="31"/>
  <c r="W686" i="31"/>
  <c r="W682" i="31"/>
  <c r="W678" i="31"/>
  <c r="W674" i="31"/>
  <c r="W670" i="31"/>
  <c r="W666" i="31"/>
  <c r="W191" i="31"/>
  <c r="W187" i="31"/>
  <c r="W175" i="31"/>
  <c r="W171" i="31"/>
  <c r="W159" i="31"/>
  <c r="W155" i="31"/>
  <c r="W143" i="31"/>
  <c r="W139" i="31"/>
  <c r="W127" i="31"/>
  <c r="W123" i="31"/>
  <c r="W111" i="31"/>
  <c r="W107" i="31"/>
  <c r="W95" i="31"/>
  <c r="W91" i="31"/>
  <c r="W79" i="31"/>
  <c r="W75" i="31"/>
  <c r="W63" i="31"/>
  <c r="W59" i="31"/>
  <c r="W47" i="31"/>
  <c r="W43" i="31"/>
  <c r="W31" i="31"/>
  <c r="W27" i="31"/>
  <c r="W15" i="31"/>
  <c r="W11" i="31"/>
  <c r="W341" i="31"/>
  <c r="W277" i="31"/>
  <c r="W218" i="31"/>
  <c r="W214" i="31"/>
  <c r="W210" i="31"/>
  <c r="W202" i="31"/>
  <c r="W198" i="31"/>
  <c r="W194" i="31"/>
  <c r="W190" i="31"/>
  <c r="W186" i="31"/>
  <c r="W182" i="31"/>
  <c r="W178" i="31"/>
  <c r="W170" i="31"/>
  <c r="W166" i="31"/>
  <c r="W162" i="31"/>
  <c r="W154" i="31"/>
  <c r="W150" i="31"/>
  <c r="W146" i="31"/>
  <c r="W138" i="31"/>
  <c r="W134" i="31"/>
  <c r="W130" i="31"/>
  <c r="W126" i="31"/>
  <c r="W122" i="31"/>
  <c r="W118" i="31"/>
  <c r="W114" i="31"/>
  <c r="W106" i="31"/>
  <c r="W102" i="31"/>
  <c r="W98" i="31"/>
  <c r="W90" i="31"/>
  <c r="W86" i="31"/>
  <c r="W82" i="31"/>
  <c r="W74" i="31"/>
  <c r="W70" i="31"/>
  <c r="W66" i="31"/>
  <c r="W62" i="31"/>
  <c r="W58" i="31"/>
  <c r="W54" i="31"/>
  <c r="W50" i="31"/>
  <c r="W42" i="31"/>
  <c r="W38" i="31"/>
  <c r="W34" i="31"/>
  <c r="W26" i="31"/>
  <c r="W22" i="31"/>
  <c r="W18" i="31"/>
  <c r="W14" i="31"/>
  <c r="W10" i="31"/>
  <c r="W6" i="31"/>
  <c r="W436" i="31"/>
  <c r="W432" i="31"/>
  <c r="W420" i="31"/>
  <c r="W416" i="31"/>
  <c r="W404" i="31"/>
  <c r="W400" i="31"/>
  <c r="W388" i="31"/>
  <c r="W384" i="31"/>
  <c r="W372" i="31"/>
  <c r="W368" i="31"/>
  <c r="W356" i="31"/>
  <c r="W352" i="31"/>
  <c r="W340" i="31"/>
  <c r="W336" i="31"/>
  <c r="W324" i="31"/>
  <c r="W320" i="31"/>
  <c r="W308" i="31"/>
  <c r="W304" i="31"/>
  <c r="W292" i="31"/>
  <c r="W288" i="31"/>
  <c r="W276" i="31"/>
  <c r="W272" i="31"/>
  <c r="W260" i="31"/>
  <c r="W256" i="31"/>
  <c r="W244" i="31"/>
  <c r="W560" i="31"/>
  <c r="W548" i="31"/>
  <c r="W544" i="31"/>
  <c r="W532" i="31"/>
  <c r="W528" i="31"/>
  <c r="W516" i="31"/>
  <c r="W512" i="31"/>
  <c r="W500" i="31"/>
  <c r="W496" i="31"/>
  <c r="W484" i="31"/>
  <c r="W480" i="31"/>
  <c r="W468" i="31"/>
  <c r="W464" i="31"/>
  <c r="W452" i="31"/>
  <c r="W448" i="31"/>
  <c r="W234" i="31"/>
  <c r="W230" i="31"/>
  <c r="W239" i="31"/>
  <c r="W223" i="31"/>
  <c r="AM190" i="31"/>
  <c r="AL190" i="31"/>
  <c r="AL186" i="31"/>
  <c r="AM182" i="31"/>
  <c r="AL182" i="31"/>
  <c r="AL178" i="31"/>
  <c r="AM174" i="31"/>
  <c r="AL174" i="31"/>
  <c r="AL170" i="31"/>
  <c r="AM166" i="31"/>
  <c r="AL166" i="31"/>
  <c r="AL162" i="31"/>
  <c r="AM158" i="31"/>
  <c r="AL158" i="31"/>
  <c r="AL154" i="31"/>
  <c r="AM150" i="31"/>
  <c r="AL150" i="31"/>
  <c r="AL146" i="31"/>
  <c r="AM142" i="31"/>
  <c r="AL142" i="31"/>
  <c r="AL138" i="31"/>
  <c r="AM134" i="31"/>
  <c r="AL134" i="31"/>
  <c r="AL130" i="31"/>
  <c r="AM126" i="31"/>
  <c r="AL126" i="31"/>
  <c r="AL122" i="31"/>
  <c r="AM118" i="31"/>
  <c r="AL118" i="31"/>
  <c r="AL114" i="31"/>
  <c r="AM110" i="31"/>
  <c r="AL110" i="31"/>
  <c r="AL106" i="31"/>
  <c r="AM102" i="31"/>
  <c r="AL102" i="31"/>
  <c r="AL98" i="31"/>
  <c r="AM94" i="31"/>
  <c r="AL94" i="31"/>
  <c r="AL90" i="31"/>
  <c r="AM86" i="31"/>
  <c r="AL86" i="31"/>
  <c r="AL82" i="31"/>
  <c r="AM78" i="31"/>
  <c r="AL78" i="31"/>
  <c r="AL74" i="31"/>
  <c r="AM70" i="31"/>
  <c r="AL70" i="31"/>
  <c r="AL66" i="31"/>
  <c r="AM62" i="31"/>
  <c r="AL62" i="31"/>
  <c r="AL58" i="31"/>
  <c r="AM54" i="31"/>
  <c r="AL54" i="31"/>
  <c r="AL50" i="31"/>
  <c r="AM46" i="31"/>
  <c r="AL46" i="31"/>
  <c r="AL42" i="31"/>
  <c r="AM38" i="31"/>
  <c r="AL38" i="31"/>
  <c r="AL34" i="31"/>
  <c r="AM30" i="31"/>
  <c r="AL30" i="31"/>
  <c r="AL26" i="31"/>
  <c r="AM22" i="31"/>
  <c r="AL22" i="31"/>
  <c r="AL18" i="31"/>
  <c r="AM14" i="31"/>
  <c r="AL14" i="31"/>
  <c r="AL10" i="31"/>
  <c r="AM6" i="31"/>
  <c r="AL6" i="31"/>
  <c r="AM412" i="31"/>
  <c r="AL412" i="31"/>
  <c r="AL408" i="31"/>
  <c r="AM408" i="31"/>
  <c r="AM404" i="31"/>
  <c r="AL404" i="31"/>
  <c r="AL400" i="31"/>
  <c r="AM400" i="31"/>
  <c r="AM396" i="31"/>
  <c r="AL396" i="31"/>
  <c r="AL392" i="31"/>
  <c r="AM392" i="31"/>
  <c r="AM388" i="31"/>
  <c r="AL388" i="31"/>
  <c r="AL384" i="31"/>
  <c r="AM384" i="31"/>
  <c r="AM380" i="31"/>
  <c r="AL380" i="31"/>
  <c r="AL376" i="31"/>
  <c r="AM376" i="31"/>
  <c r="AM372" i="31"/>
  <c r="AL372" i="31"/>
  <c r="AL368" i="31"/>
  <c r="AM368" i="31"/>
  <c r="AM364" i="31"/>
  <c r="AL364" i="31"/>
  <c r="AL360" i="31"/>
  <c r="AM360" i="31"/>
  <c r="AM356" i="31"/>
  <c r="AL356" i="31"/>
  <c r="AL352" i="31"/>
  <c r="AM352" i="31"/>
  <c r="AM348" i="31"/>
  <c r="AL348" i="31"/>
  <c r="AL344" i="31"/>
  <c r="AM344" i="31"/>
  <c r="AM340" i="31"/>
  <c r="AL340" i="31"/>
  <c r="AL336" i="31"/>
  <c r="AM336" i="31"/>
  <c r="AM332" i="31"/>
  <c r="AL332" i="31"/>
  <c r="AL328" i="31"/>
  <c r="AM328" i="31"/>
  <c r="AM324" i="31"/>
  <c r="AL324" i="31"/>
  <c r="AL320" i="31"/>
  <c r="AM320" i="31"/>
  <c r="AM316" i="31"/>
  <c r="AL316" i="31"/>
  <c r="AL312" i="31"/>
  <c r="AM312" i="31"/>
  <c r="AM308" i="31"/>
  <c r="AL308" i="31"/>
  <c r="AL304" i="31"/>
  <c r="AM304" i="31"/>
  <c r="AM300" i="31"/>
  <c r="AL300" i="31"/>
  <c r="AL296" i="31"/>
  <c r="AM296" i="31"/>
  <c r="AM292" i="31"/>
  <c r="AL292" i="31"/>
  <c r="AL288" i="31"/>
  <c r="AM288" i="31"/>
  <c r="AM284" i="31"/>
  <c r="AL284" i="31"/>
  <c r="AL280" i="31"/>
  <c r="AM280" i="31"/>
  <c r="AM276" i="31"/>
  <c r="AL276" i="31"/>
  <c r="AL272" i="31"/>
  <c r="AM272" i="31"/>
  <c r="AM268" i="31"/>
  <c r="AL268" i="31"/>
  <c r="AL264" i="31"/>
  <c r="AM264" i="31"/>
  <c r="AM260" i="31"/>
  <c r="AL260" i="31"/>
  <c r="AL256" i="31"/>
  <c r="AM256" i="31"/>
  <c r="AM252" i="31"/>
  <c r="AL252" i="31"/>
  <c r="AL248" i="31"/>
  <c r="AM248" i="31"/>
  <c r="AM244" i="31"/>
  <c r="AL244" i="31"/>
  <c r="AL240" i="31"/>
  <c r="AM240" i="31"/>
  <c r="AM236" i="31"/>
  <c r="AL236" i="31"/>
  <c r="AM232" i="31"/>
  <c r="AL232" i="31"/>
  <c r="AM228" i="31"/>
  <c r="AL228" i="31"/>
  <c r="AL224" i="31"/>
  <c r="AM224" i="31"/>
  <c r="AM630" i="31"/>
  <c r="AL630" i="31"/>
  <c r="AM626" i="31"/>
  <c r="AL626" i="31"/>
  <c r="AM622" i="31"/>
  <c r="AL622" i="31"/>
  <c r="AM618" i="31"/>
  <c r="AL618" i="31"/>
  <c r="AM614" i="31"/>
  <c r="AL614" i="31"/>
  <c r="AM610" i="31"/>
  <c r="AL610" i="31"/>
  <c r="AM606" i="31"/>
  <c r="AL606" i="31"/>
  <c r="AM602" i="31"/>
  <c r="AL602" i="31"/>
  <c r="AM598" i="31"/>
  <c r="AL598" i="31"/>
  <c r="AM594" i="31"/>
  <c r="AL594" i="31"/>
  <c r="AM590" i="31"/>
  <c r="AL590" i="31"/>
  <c r="AM586" i="31"/>
  <c r="AL586" i="31"/>
  <c r="AM582" i="31"/>
  <c r="AL582" i="31"/>
  <c r="AM578" i="31"/>
  <c r="AL578" i="31"/>
  <c r="AM574" i="31"/>
  <c r="AL574" i="31"/>
  <c r="AM570" i="31"/>
  <c r="AL570" i="31"/>
  <c r="AM566" i="31"/>
  <c r="AL566" i="31"/>
  <c r="AM562" i="31"/>
  <c r="AL562" i="31"/>
  <c r="AM558" i="31"/>
  <c r="AL558" i="31"/>
  <c r="AM554" i="31"/>
  <c r="AL554" i="31"/>
  <c r="AM550" i="31"/>
  <c r="AL550" i="31"/>
  <c r="AM546" i="31"/>
  <c r="AL546" i="31"/>
  <c r="AM542" i="31"/>
  <c r="AL542" i="31"/>
  <c r="AM538" i="31"/>
  <c r="AL538" i="31"/>
  <c r="AM534" i="31"/>
  <c r="AL534" i="31"/>
  <c r="AM530" i="31"/>
  <c r="AL530" i="31"/>
  <c r="AM526" i="31"/>
  <c r="AL526" i="31"/>
  <c r="AM522" i="31"/>
  <c r="AL522" i="31"/>
  <c r="AM518" i="31"/>
  <c r="AL518" i="31"/>
  <c r="AM514" i="31"/>
  <c r="AL514" i="31"/>
  <c r="AM510" i="31"/>
  <c r="AL510" i="31"/>
  <c r="AM506" i="31"/>
  <c r="AL506" i="31"/>
  <c r="AM502" i="31"/>
  <c r="AL502" i="31"/>
  <c r="AM498" i="31"/>
  <c r="AL498" i="31"/>
  <c r="AM494" i="31"/>
  <c r="AL494" i="31"/>
  <c r="AM490" i="31"/>
  <c r="AL490" i="31"/>
  <c r="AM486" i="31"/>
  <c r="AL486" i="31"/>
  <c r="AM482" i="31"/>
  <c r="AL482" i="31"/>
  <c r="AM478" i="31"/>
  <c r="AL478" i="31"/>
  <c r="AM474" i="31"/>
  <c r="AL474" i="31"/>
  <c r="AM470" i="31"/>
  <c r="AL470" i="31"/>
  <c r="AM466" i="31"/>
  <c r="AL466" i="31"/>
  <c r="AM462" i="31"/>
  <c r="AL462" i="31"/>
  <c r="AM458" i="31"/>
  <c r="AL458" i="31"/>
  <c r="AM454" i="31"/>
  <c r="AL454" i="31"/>
  <c r="AM450" i="31"/>
  <c r="AL450" i="31"/>
  <c r="AM446" i="31"/>
  <c r="AL446" i="31"/>
  <c r="AM662" i="31"/>
  <c r="AL662" i="31"/>
  <c r="AM850" i="31"/>
  <c r="AL850" i="31"/>
  <c r="AM846" i="31"/>
  <c r="AL846" i="31"/>
  <c r="AM842" i="31"/>
  <c r="AL842" i="31"/>
  <c r="AM838" i="31"/>
  <c r="AL838" i="31"/>
  <c r="AM834" i="31"/>
  <c r="AL834" i="31"/>
  <c r="AM830" i="31"/>
  <c r="AL830" i="31"/>
  <c r="AM826" i="31"/>
  <c r="AL826" i="31"/>
  <c r="AM822" i="31"/>
  <c r="AL822" i="31"/>
  <c r="AM818" i="31"/>
  <c r="AL818" i="31"/>
  <c r="AM814" i="31"/>
  <c r="AL814" i="31"/>
  <c r="AM810" i="31"/>
  <c r="AL810" i="31"/>
  <c r="AM806" i="31"/>
  <c r="AL806" i="31"/>
  <c r="AM802" i="31"/>
  <c r="AL802" i="31"/>
  <c r="AM798" i="31"/>
  <c r="AL798" i="31"/>
  <c r="AM794" i="31"/>
  <c r="AL794" i="31"/>
  <c r="AM790" i="31"/>
  <c r="AL790" i="31"/>
  <c r="AM786" i="31"/>
  <c r="AL786" i="31"/>
  <c r="AM782" i="31"/>
  <c r="AL782" i="31"/>
  <c r="AM778" i="31"/>
  <c r="AL778" i="31"/>
  <c r="AM774" i="31"/>
  <c r="AL774" i="31"/>
  <c r="AM770" i="31"/>
  <c r="AL770" i="31"/>
  <c r="AM766" i="31"/>
  <c r="AL766" i="31"/>
  <c r="AM762" i="31"/>
  <c r="AL762" i="31"/>
  <c r="AM758" i="31"/>
  <c r="AL758" i="31"/>
  <c r="AM754" i="31"/>
  <c r="AL754" i="31"/>
  <c r="AM750" i="31"/>
  <c r="AL750" i="31"/>
  <c r="AM746" i="31"/>
  <c r="AL746" i="31"/>
  <c r="AM742" i="31"/>
  <c r="AL742" i="31"/>
  <c r="AM738" i="31"/>
  <c r="AL738" i="31"/>
  <c r="AM734" i="31"/>
  <c r="AL734" i="31"/>
  <c r="AM730" i="31"/>
  <c r="AL730" i="31"/>
  <c r="AM726" i="31"/>
  <c r="AL726" i="31"/>
  <c r="AM722" i="31"/>
  <c r="AL722" i="31"/>
  <c r="AM718" i="31"/>
  <c r="AL718" i="31"/>
  <c r="AM714" i="31"/>
  <c r="AL714" i="31"/>
  <c r="AM710" i="31"/>
  <c r="AL710" i="31"/>
  <c r="AM706" i="31"/>
  <c r="AL706" i="31"/>
  <c r="AM702" i="31"/>
  <c r="AL702" i="31"/>
  <c r="AM698" i="31"/>
  <c r="AL698" i="31"/>
  <c r="AM694" i="31"/>
  <c r="AL694" i="31"/>
  <c r="AM690" i="31"/>
  <c r="AL690" i="31"/>
  <c r="AM686" i="31"/>
  <c r="AL686" i="31"/>
  <c r="AM682" i="31"/>
  <c r="AL682" i="31"/>
  <c r="AM678" i="31"/>
  <c r="AL678" i="31"/>
  <c r="AM674" i="31"/>
  <c r="AL674" i="31"/>
  <c r="AM670" i="31"/>
  <c r="AL670" i="31"/>
  <c r="AM666" i="31"/>
  <c r="AL666" i="31"/>
  <c r="AM185" i="31"/>
  <c r="AL185" i="31"/>
  <c r="AM173" i="31"/>
  <c r="AL173" i="31"/>
  <c r="AM161" i="31"/>
  <c r="AL161" i="31"/>
  <c r="AM145" i="31"/>
  <c r="AL145" i="31"/>
  <c r="AM129" i="31"/>
  <c r="AL129" i="31"/>
  <c r="AM117" i="31"/>
  <c r="AL117" i="31"/>
  <c r="AM97" i="31"/>
  <c r="AL97" i="31"/>
  <c r="AM85" i="31"/>
  <c r="AL85" i="31"/>
  <c r="AM65" i="31"/>
  <c r="AL65" i="31"/>
  <c r="AM53" i="31"/>
  <c r="AL53" i="31"/>
  <c r="AM41" i="31"/>
  <c r="AL41" i="31"/>
  <c r="AM21" i="31"/>
  <c r="AL21" i="31"/>
  <c r="AM9" i="31"/>
  <c r="AL9" i="31"/>
  <c r="AL387" i="31"/>
  <c r="AL359" i="31"/>
  <c r="AL311" i="31"/>
  <c r="AL287" i="31"/>
  <c r="AL263" i="31"/>
  <c r="AM621" i="31"/>
  <c r="AL621" i="31"/>
  <c r="AM609" i="31"/>
  <c r="AL609" i="31"/>
  <c r="AM597" i="31"/>
  <c r="AL597" i="31"/>
  <c r="AM585" i="31"/>
  <c r="AL585" i="31"/>
  <c r="AM573" i="31"/>
  <c r="AL573" i="31"/>
  <c r="AM557" i="31"/>
  <c r="AL557" i="31"/>
  <c r="AM541" i="31"/>
  <c r="AL541" i="31"/>
  <c r="AM525" i="31"/>
  <c r="AL525" i="31"/>
  <c r="AM509" i="31"/>
  <c r="AL509" i="31"/>
  <c r="AM489" i="31"/>
  <c r="AL489" i="31"/>
  <c r="AM477" i="31"/>
  <c r="AL477" i="31"/>
  <c r="AM465" i="31"/>
  <c r="AL465" i="31"/>
  <c r="AM453" i="31"/>
  <c r="AL453" i="31"/>
  <c r="AM445" i="31"/>
  <c r="AL445" i="31"/>
  <c r="AM853" i="31"/>
  <c r="AL853" i="31"/>
  <c r="AM845" i="31"/>
  <c r="AL845" i="31"/>
  <c r="AM837" i="31"/>
  <c r="AL837" i="31"/>
  <c r="AM833" i="31"/>
  <c r="AL833" i="31"/>
  <c r="AM825" i="31"/>
  <c r="AL825" i="31"/>
  <c r="AM817" i="31"/>
  <c r="AL817" i="31"/>
  <c r="AM809" i="31"/>
  <c r="AL809" i="31"/>
  <c r="AM805" i="31"/>
  <c r="AL805" i="31"/>
  <c r="AM797" i="31"/>
  <c r="AL797" i="31"/>
  <c r="AM789" i="31"/>
  <c r="AL789" i="31"/>
  <c r="AM785" i="31"/>
  <c r="AL785" i="31"/>
  <c r="AM777" i="31"/>
  <c r="AL777" i="31"/>
  <c r="AM769" i="31"/>
  <c r="AL769" i="31"/>
  <c r="AM765" i="31"/>
  <c r="AL765" i="31"/>
  <c r="AM753" i="31"/>
  <c r="AL753" i="31"/>
  <c r="AM749" i="31"/>
  <c r="AL749" i="31"/>
  <c r="AM745" i="31"/>
  <c r="AL745" i="31"/>
  <c r="AM741" i="31"/>
  <c r="AL741" i="31"/>
  <c r="AM737" i="31"/>
  <c r="AL737" i="31"/>
  <c r="AM733" i="31"/>
  <c r="AL733" i="31"/>
  <c r="AM729" i="31"/>
  <c r="AL729" i="31"/>
  <c r="AM725" i="31"/>
  <c r="AL725" i="31"/>
  <c r="AM721" i="31"/>
  <c r="AL721" i="31"/>
  <c r="AM717" i="31"/>
  <c r="AL717" i="31"/>
  <c r="AM713" i="31"/>
  <c r="AL713" i="31"/>
  <c r="AM709" i="31"/>
  <c r="AL709" i="31"/>
  <c r="AM705" i="31"/>
  <c r="AL705" i="31"/>
  <c r="AM701" i="31"/>
  <c r="AL701" i="31"/>
  <c r="AM697" i="31"/>
  <c r="AL697" i="31"/>
  <c r="AM689" i="31"/>
  <c r="AL689" i="31"/>
  <c r="AM685" i="31"/>
  <c r="AL685" i="31"/>
  <c r="AM681" i="31"/>
  <c r="AL681" i="31"/>
  <c r="AM677" i="31"/>
  <c r="AL677" i="31"/>
  <c r="AM673" i="31"/>
  <c r="AL673" i="31"/>
  <c r="AM669" i="31"/>
  <c r="AL669" i="31"/>
  <c r="AM665" i="31"/>
  <c r="AL665" i="31"/>
  <c r="AM193" i="31"/>
  <c r="AL193" i="31"/>
  <c r="AM181" i="31"/>
  <c r="AL181" i="31"/>
  <c r="AM169" i="31"/>
  <c r="AL169" i="31"/>
  <c r="AM157" i="31"/>
  <c r="AL157" i="31"/>
  <c r="AM149" i="31"/>
  <c r="AL149" i="31"/>
  <c r="AM137" i="31"/>
  <c r="AL137" i="31"/>
  <c r="AM125" i="31"/>
  <c r="AL125" i="31"/>
  <c r="AM113" i="31"/>
  <c r="AL113" i="31"/>
  <c r="AM105" i="31"/>
  <c r="AL105" i="31"/>
  <c r="AM89" i="31"/>
  <c r="AL89" i="31"/>
  <c r="AM77" i="31"/>
  <c r="AL77" i="31"/>
  <c r="AM69" i="31"/>
  <c r="AL69" i="31"/>
  <c r="AM61" i="31"/>
  <c r="AL61" i="31"/>
  <c r="AM49" i="31"/>
  <c r="AL49" i="31"/>
  <c r="AM37" i="31"/>
  <c r="AL37" i="31"/>
  <c r="AM29" i="31"/>
  <c r="AL29" i="31"/>
  <c r="AM13" i="31"/>
  <c r="AL13" i="31"/>
  <c r="AL395" i="31"/>
  <c r="AL375" i="31"/>
  <c r="AL351" i="31"/>
  <c r="AL327" i="31"/>
  <c r="AL303" i="31"/>
  <c r="AL283" i="31"/>
  <c r="AL255" i="31"/>
  <c r="AM231" i="31"/>
  <c r="AM629" i="31"/>
  <c r="AL629" i="31"/>
  <c r="AM613" i="31"/>
  <c r="AL613" i="31"/>
  <c r="AM601" i="31"/>
  <c r="AL601" i="31"/>
  <c r="AM589" i="31"/>
  <c r="AL589" i="31"/>
  <c r="AM577" i="31"/>
  <c r="AL577" i="31"/>
  <c r="AM565" i="31"/>
  <c r="AL565" i="31"/>
  <c r="AM553" i="31"/>
  <c r="AL553" i="31"/>
  <c r="AM545" i="31"/>
  <c r="AL545" i="31"/>
  <c r="AM533" i="31"/>
  <c r="AL533" i="31"/>
  <c r="AM521" i="31"/>
  <c r="AL521" i="31"/>
  <c r="AM513" i="31"/>
  <c r="AL513" i="31"/>
  <c r="AM501" i="31"/>
  <c r="AL501" i="31"/>
  <c r="AM493" i="31"/>
  <c r="AL493" i="31"/>
  <c r="AM481" i="31"/>
  <c r="AL481" i="31"/>
  <c r="AM469" i="31"/>
  <c r="AL469" i="31"/>
  <c r="AM457" i="31"/>
  <c r="AL457" i="31"/>
  <c r="AM449" i="31"/>
  <c r="AL449" i="31"/>
  <c r="AM849" i="31"/>
  <c r="AL849" i="31"/>
  <c r="AM841" i="31"/>
  <c r="AL841" i="31"/>
  <c r="AM829" i="31"/>
  <c r="AL829" i="31"/>
  <c r="AM821" i="31"/>
  <c r="AL821" i="31"/>
  <c r="AM813" i="31"/>
  <c r="AL813" i="31"/>
  <c r="AM801" i="31"/>
  <c r="AL801" i="31"/>
  <c r="AM793" i="31"/>
  <c r="AL793" i="31"/>
  <c r="AM781" i="31"/>
  <c r="AL781" i="31"/>
  <c r="AM773" i="31"/>
  <c r="AL773" i="31"/>
  <c r="AM761" i="31"/>
  <c r="AL761" i="31"/>
  <c r="AM693" i="31"/>
  <c r="AL693" i="31"/>
  <c r="AL2" i="31"/>
  <c r="AM188" i="31"/>
  <c r="AL180" i="31"/>
  <c r="AM180" i="31"/>
  <c r="AM172" i="31"/>
  <c r="AL164" i="31"/>
  <c r="AM164" i="31"/>
  <c r="AM156" i="31"/>
  <c r="AL148" i="31"/>
  <c r="AM148" i="31"/>
  <c r="AM140" i="31"/>
  <c r="AL132" i="31"/>
  <c r="AM132" i="31"/>
  <c r="AM124" i="31"/>
  <c r="AL116" i="31"/>
  <c r="AM116" i="31"/>
  <c r="AM108" i="31"/>
  <c r="AL100" i="31"/>
  <c r="AM100" i="31"/>
  <c r="AM92" i="31"/>
  <c r="AL84" i="31"/>
  <c r="AM84" i="31"/>
  <c r="AM76" i="31"/>
  <c r="AL68" i="31"/>
  <c r="AM68" i="31"/>
  <c r="AM60" i="31"/>
  <c r="AL52" i="31"/>
  <c r="AM52" i="31"/>
  <c r="AM44" i="31"/>
  <c r="AL36" i="31"/>
  <c r="AM36" i="31"/>
  <c r="AM28" i="31"/>
  <c r="AL20" i="31"/>
  <c r="AM20" i="31"/>
  <c r="AM12" i="31"/>
  <c r="AL4" i="31"/>
  <c r="AM4" i="31"/>
  <c r="AM222" i="31"/>
  <c r="AL222" i="31"/>
  <c r="AM410" i="31"/>
  <c r="AL410" i="31"/>
  <c r="AM406" i="31"/>
  <c r="AL406" i="31"/>
  <c r="AM402" i="31"/>
  <c r="AL402" i="31"/>
  <c r="AM398" i="31"/>
  <c r="AL398" i="31"/>
  <c r="AM394" i="31"/>
  <c r="AL394" i="31"/>
  <c r="AM390" i="31"/>
  <c r="AL390" i="31"/>
  <c r="AM386" i="31"/>
  <c r="AL386" i="31"/>
  <c r="AM382" i="31"/>
  <c r="AL382" i="31"/>
  <c r="AM378" i="31"/>
  <c r="AL378" i="31"/>
  <c r="AM374" i="31"/>
  <c r="AL374" i="31"/>
  <c r="AM370" i="31"/>
  <c r="AL370" i="31"/>
  <c r="AM366" i="31"/>
  <c r="AL366" i="31"/>
  <c r="AM362" i="31"/>
  <c r="AL362" i="31"/>
  <c r="AM358" i="31"/>
  <c r="AL358" i="31"/>
  <c r="AM354" i="31"/>
  <c r="AL354" i="31"/>
  <c r="AM350" i="31"/>
  <c r="AL350" i="31"/>
  <c r="AM346" i="31"/>
  <c r="AL346" i="31"/>
  <c r="AM342" i="31"/>
  <c r="AL342" i="31"/>
  <c r="AM338" i="31"/>
  <c r="AL338" i="31"/>
  <c r="AM334" i="31"/>
  <c r="AL334" i="31"/>
  <c r="AM330" i="31"/>
  <c r="AL330" i="31"/>
  <c r="AM326" i="31"/>
  <c r="AL326" i="31"/>
  <c r="AM322" i="31"/>
  <c r="AL322" i="31"/>
  <c r="AM318" i="31"/>
  <c r="AL318" i="31"/>
  <c r="AM314" i="31"/>
  <c r="AL314" i="31"/>
  <c r="AM310" i="31"/>
  <c r="AL310" i="31"/>
  <c r="AM306" i="31"/>
  <c r="AL306" i="31"/>
  <c r="AM302" i="31"/>
  <c r="AL302" i="31"/>
  <c r="AM298" i="31"/>
  <c r="AL298" i="31"/>
  <c r="AM294" i="31"/>
  <c r="AL294" i="31"/>
  <c r="AM290" i="31"/>
  <c r="AL290" i="31"/>
  <c r="AM286" i="31"/>
  <c r="AL286" i="31"/>
  <c r="AM282" i="31"/>
  <c r="AL282" i="31"/>
  <c r="AM278" i="31"/>
  <c r="AL278" i="31"/>
  <c r="AM274" i="31"/>
  <c r="AL274" i="31"/>
  <c r="AM270" i="31"/>
  <c r="AL270" i="31"/>
  <c r="AM266" i="31"/>
  <c r="AL266" i="31"/>
  <c r="AM262" i="31"/>
  <c r="AL262" i="31"/>
  <c r="AM258" i="31"/>
  <c r="AL258" i="31"/>
  <c r="AM254" i="31"/>
  <c r="AL254" i="31"/>
  <c r="AM250" i="31"/>
  <c r="AL250" i="31"/>
  <c r="AM246" i="31"/>
  <c r="AL246" i="31"/>
  <c r="AM242" i="31"/>
  <c r="AL242" i="31"/>
  <c r="AM238" i="31"/>
  <c r="AL238" i="31"/>
  <c r="AM234" i="31"/>
  <c r="AL234" i="31"/>
  <c r="AM230" i="31"/>
  <c r="AL230" i="31"/>
  <c r="AM226" i="31"/>
  <c r="AL226" i="31"/>
  <c r="AM632" i="31"/>
  <c r="AL632" i="31"/>
  <c r="AM624" i="31"/>
  <c r="AL624" i="31"/>
  <c r="AM616" i="31"/>
  <c r="AL616" i="31"/>
  <c r="AM608" i="31"/>
  <c r="AL608" i="31"/>
  <c r="AM600" i="31"/>
  <c r="AL600" i="31"/>
  <c r="AM592" i="31"/>
  <c r="AL592" i="31"/>
  <c r="AM584" i="31"/>
  <c r="AL584" i="31"/>
  <c r="AM576" i="31"/>
  <c r="AL576" i="31"/>
  <c r="AM568" i="31"/>
  <c r="AL568" i="31"/>
  <c r="AM560" i="31"/>
  <c r="AL560" i="31"/>
  <c r="AM552" i="31"/>
  <c r="AL552" i="31"/>
  <c r="AM544" i="31"/>
  <c r="AL544" i="31"/>
  <c r="AM536" i="31"/>
  <c r="AL536" i="31"/>
  <c r="AM528" i="31"/>
  <c r="AL528" i="31"/>
  <c r="AM520" i="31"/>
  <c r="AL520" i="31"/>
  <c r="AM512" i="31"/>
  <c r="AL512" i="31"/>
  <c r="AM504" i="31"/>
  <c r="AL504" i="31"/>
  <c r="AM496" i="31"/>
  <c r="AL496" i="31"/>
  <c r="AM488" i="31"/>
  <c r="AL488" i="31"/>
  <c r="AM480" i="31"/>
  <c r="AL480" i="31"/>
  <c r="AM472" i="31"/>
  <c r="AL472" i="31"/>
  <c r="AM464" i="31"/>
  <c r="AL464" i="31"/>
  <c r="AM456" i="31"/>
  <c r="AL456" i="31"/>
  <c r="AM448" i="31"/>
  <c r="AL448" i="31"/>
  <c r="AM852" i="31"/>
  <c r="AL852" i="31"/>
  <c r="AM844" i="31"/>
  <c r="AL844" i="31"/>
  <c r="AM836" i="31"/>
  <c r="AL836" i="31"/>
  <c r="AM828" i="31"/>
  <c r="AL828" i="31"/>
  <c r="AM820" i="31"/>
  <c r="AL820" i="31"/>
  <c r="AM812" i="31"/>
  <c r="AL812" i="31"/>
  <c r="AM804" i="31"/>
  <c r="AL804" i="31"/>
  <c r="AM796" i="31"/>
  <c r="AL796" i="31"/>
  <c r="AM788" i="31"/>
  <c r="AL788" i="31"/>
  <c r="AM780" i="31"/>
  <c r="AL780" i="31"/>
  <c r="AM772" i="31"/>
  <c r="AL772" i="31"/>
  <c r="AM764" i="31"/>
  <c r="AL764" i="31"/>
  <c r="AM756" i="31"/>
  <c r="AL756" i="31"/>
  <c r="AM748" i="31"/>
  <c r="AL748" i="31"/>
  <c r="AM740" i="31"/>
  <c r="AL740" i="31"/>
  <c r="AM732" i="31"/>
  <c r="AL732" i="31"/>
  <c r="AM724" i="31"/>
  <c r="AL724" i="31"/>
  <c r="AM716" i="31"/>
  <c r="AL716" i="31"/>
  <c r="AM708" i="31"/>
  <c r="AL708" i="31"/>
  <c r="AM700" i="31"/>
  <c r="AL700" i="31"/>
  <c r="AM692" i="31"/>
  <c r="AL692" i="31"/>
  <c r="AM684" i="31"/>
  <c r="AL684" i="31"/>
  <c r="AM676" i="31"/>
  <c r="AL676" i="31"/>
  <c r="AM668" i="31"/>
  <c r="AL668" i="31"/>
  <c r="W221" i="31"/>
  <c r="W217" i="31"/>
  <c r="W213" i="31"/>
  <c r="W209" i="31"/>
  <c r="W205" i="31"/>
  <c r="W201" i="31"/>
  <c r="W197" i="31"/>
  <c r="W193" i="31"/>
  <c r="W189" i="31"/>
  <c r="W185" i="31"/>
  <c r="W181" i="31"/>
  <c r="W177" i="31"/>
  <c r="W173" i="31"/>
  <c r="W169" i="31"/>
  <c r="W165" i="31"/>
  <c r="W161" i="31"/>
  <c r="W157" i="31"/>
  <c r="W153" i="31"/>
  <c r="W149" i="31"/>
  <c r="W145" i="31"/>
  <c r="W141" i="31"/>
  <c r="W137" i="31"/>
  <c r="W133" i="31"/>
  <c r="W129" i="31"/>
  <c r="W125" i="31"/>
  <c r="W121" i="31"/>
  <c r="W117" i="31"/>
  <c r="W113" i="31"/>
  <c r="W109" i="31"/>
  <c r="W105" i="31"/>
  <c r="W101" i="31"/>
  <c r="W97" i="31"/>
  <c r="W93" i="31"/>
  <c r="W89" i="31"/>
  <c r="W85" i="31"/>
  <c r="W81" i="31"/>
  <c r="W77" i="31"/>
  <c r="W73" i="31"/>
  <c r="W69" i="31"/>
  <c r="W65" i="31"/>
  <c r="W61" i="31"/>
  <c r="W57" i="31"/>
  <c r="W53" i="31"/>
  <c r="W49" i="31"/>
  <c r="W45" i="31"/>
  <c r="W41" i="31"/>
  <c r="W37" i="31"/>
  <c r="W33" i="31"/>
  <c r="W29" i="31"/>
  <c r="W25" i="31"/>
  <c r="W21" i="31"/>
  <c r="W17" i="31"/>
  <c r="W13" i="31"/>
  <c r="W9" i="31"/>
  <c r="W5" i="31"/>
  <c r="AM189" i="31"/>
  <c r="AL189" i="31"/>
  <c r="AM177" i="31"/>
  <c r="AL177" i="31"/>
  <c r="AM165" i="31"/>
  <c r="AL165" i="31"/>
  <c r="AM153" i="31"/>
  <c r="AL153" i="31"/>
  <c r="AM141" i="31"/>
  <c r="AL141" i="31"/>
  <c r="AM133" i="31"/>
  <c r="AL133" i="31"/>
  <c r="AM121" i="31"/>
  <c r="AL121" i="31"/>
  <c r="AM109" i="31"/>
  <c r="AL109" i="31"/>
  <c r="AM101" i="31"/>
  <c r="AL101" i="31"/>
  <c r="AM93" i="31"/>
  <c r="AL93" i="31"/>
  <c r="AM81" i="31"/>
  <c r="AL81" i="31"/>
  <c r="AM73" i="31"/>
  <c r="AL73" i="31"/>
  <c r="AM57" i="31"/>
  <c r="AL57" i="31"/>
  <c r="AM45" i="31"/>
  <c r="AL45" i="31"/>
  <c r="AM33" i="31"/>
  <c r="AL33" i="31"/>
  <c r="AM25" i="31"/>
  <c r="AL25" i="31"/>
  <c r="AM17" i="31"/>
  <c r="AL17" i="31"/>
  <c r="AM5" i="31"/>
  <c r="AL5" i="31"/>
  <c r="AM411" i="31"/>
  <c r="AL411" i="31"/>
  <c r="AM391" i="31"/>
  <c r="AL391" i="31"/>
  <c r="AM367" i="31"/>
  <c r="AL367" i="31"/>
  <c r="AM343" i="31"/>
  <c r="AL343" i="31"/>
  <c r="AM319" i="31"/>
  <c r="AL319" i="31"/>
  <c r="AM295" i="31"/>
  <c r="AL295" i="31"/>
  <c r="AM271" i="31"/>
  <c r="AL271" i="31"/>
  <c r="AM247" i="31"/>
  <c r="AL247" i="31"/>
  <c r="AM633" i="31"/>
  <c r="AL633" i="31"/>
  <c r="AM625" i="31"/>
  <c r="AL625" i="31"/>
  <c r="AM617" i="31"/>
  <c r="AL617" i="31"/>
  <c r="AM605" i="31"/>
  <c r="AL605" i="31"/>
  <c r="AM593" i="31"/>
  <c r="AL593" i="31"/>
  <c r="AM581" i="31"/>
  <c r="AL581" i="31"/>
  <c r="AM569" i="31"/>
  <c r="AL569" i="31"/>
  <c r="AM561" i="31"/>
  <c r="AL561" i="31"/>
  <c r="AM549" i="31"/>
  <c r="AL549" i="31"/>
  <c r="AM537" i="31"/>
  <c r="AL537" i="31"/>
  <c r="AM529" i="31"/>
  <c r="AL529" i="31"/>
  <c r="AM517" i="31"/>
  <c r="AL517" i="31"/>
  <c r="AM505" i="31"/>
  <c r="AL505" i="31"/>
  <c r="AM497" i="31"/>
  <c r="AL497" i="31"/>
  <c r="AM485" i="31"/>
  <c r="AL485" i="31"/>
  <c r="AM473" i="31"/>
  <c r="AL473" i="31"/>
  <c r="AM461" i="31"/>
  <c r="AL461" i="31"/>
  <c r="AM757" i="31"/>
  <c r="AL757" i="31"/>
  <c r="AL191" i="31"/>
  <c r="AM191" i="31"/>
  <c r="AL187" i="31"/>
  <c r="AM187" i="31"/>
  <c r="AL183" i="31"/>
  <c r="AM183" i="31"/>
  <c r="AL179" i="31"/>
  <c r="AM179" i="31"/>
  <c r="AL175" i="31"/>
  <c r="AM175" i="31"/>
  <c r="AL171" i="31"/>
  <c r="AM171" i="31"/>
  <c r="AL167" i="31"/>
  <c r="AM167" i="31"/>
  <c r="AL163" i="31"/>
  <c r="AM163" i="31"/>
  <c r="AL159" i="31"/>
  <c r="AM159" i="31"/>
  <c r="AL155" i="31"/>
  <c r="AM155" i="31"/>
  <c r="AL151" i="31"/>
  <c r="AM151" i="31"/>
  <c r="AL147" i="31"/>
  <c r="AM147" i="31"/>
  <c r="AL143" i="31"/>
  <c r="AM143" i="31"/>
  <c r="AL139" i="31"/>
  <c r="AM139" i="31"/>
  <c r="AL135" i="31"/>
  <c r="AM135" i="31"/>
  <c r="AL131" i="31"/>
  <c r="AM131" i="31"/>
  <c r="AL127" i="31"/>
  <c r="AM127" i="31"/>
  <c r="AL123" i="31"/>
  <c r="AM123" i="31"/>
  <c r="AL119" i="31"/>
  <c r="AM119" i="31"/>
  <c r="AL115" i="31"/>
  <c r="AM115" i="31"/>
  <c r="AL111" i="31"/>
  <c r="AM111" i="31"/>
  <c r="AL107" i="31"/>
  <c r="AM107" i="31"/>
  <c r="AL103" i="31"/>
  <c r="AM103" i="31"/>
  <c r="AL99" i="31"/>
  <c r="AM99" i="31"/>
  <c r="AL95" i="31"/>
  <c r="AM95" i="31"/>
  <c r="AL91" i="31"/>
  <c r="AM91" i="31"/>
  <c r="AL87" i="31"/>
  <c r="AM87" i="31"/>
  <c r="AL83" i="31"/>
  <c r="AM83" i="31"/>
  <c r="AL79" i="31"/>
  <c r="AM79" i="31"/>
  <c r="AL75" i="31"/>
  <c r="AM75" i="31"/>
  <c r="AL71" i="31"/>
  <c r="AM71" i="31"/>
  <c r="AL67" i="31"/>
  <c r="AM67" i="31"/>
  <c r="AL63" i="31"/>
  <c r="AM63" i="31"/>
  <c r="AL59" i="31"/>
  <c r="AM59" i="31"/>
  <c r="AL55" i="31"/>
  <c r="AM55" i="31"/>
  <c r="AL51" i="31"/>
  <c r="AM51" i="31"/>
  <c r="AL47" i="31"/>
  <c r="AM47" i="31"/>
  <c r="AL43" i="31"/>
  <c r="AM43" i="31"/>
  <c r="AL39" i="31"/>
  <c r="AM39" i="31"/>
  <c r="AL35" i="31"/>
  <c r="AM35" i="31"/>
  <c r="AL31" i="31"/>
  <c r="AM31" i="31"/>
  <c r="AL27" i="31"/>
  <c r="AM27" i="31"/>
  <c r="AL23" i="31"/>
  <c r="AM23" i="31"/>
  <c r="AL19" i="31"/>
  <c r="AM19" i="31"/>
  <c r="AL15" i="31"/>
  <c r="AM15" i="31"/>
  <c r="AL11" i="31"/>
  <c r="AM11" i="31"/>
  <c r="AL7" i="31"/>
  <c r="AM7" i="31"/>
  <c r="AL3" i="31"/>
  <c r="AM3" i="31"/>
  <c r="AM413" i="31"/>
  <c r="AL413" i="31"/>
  <c r="AM409" i="31"/>
  <c r="AL409" i="31"/>
  <c r="AM405" i="31"/>
  <c r="AL405" i="31"/>
  <c r="AM401" i="31"/>
  <c r="AL401" i="31"/>
  <c r="AM397" i="31"/>
  <c r="AL397" i="31"/>
  <c r="AM393" i="31"/>
  <c r="AL393" i="31"/>
  <c r="AM389" i="31"/>
  <c r="AL389" i="31"/>
  <c r="AM385" i="31"/>
  <c r="AL385" i="31"/>
  <c r="AM381" i="31"/>
  <c r="AL381" i="31"/>
  <c r="AM377" i="31"/>
  <c r="AL377" i="31"/>
  <c r="AM373" i="31"/>
  <c r="AL373" i="31"/>
  <c r="AM369" i="31"/>
  <c r="AL369" i="31"/>
  <c r="AM365" i="31"/>
  <c r="AL365" i="31"/>
  <c r="AM361" i="31"/>
  <c r="AL361" i="31"/>
  <c r="AM357" i="31"/>
  <c r="AL357" i="31"/>
  <c r="AM353" i="31"/>
  <c r="AL353" i="31"/>
  <c r="AM349" i="31"/>
  <c r="AL349" i="31"/>
  <c r="AM345" i="31"/>
  <c r="AL345" i="31"/>
  <c r="AM341" i="31"/>
  <c r="AL341" i="31"/>
  <c r="AM337" i="31"/>
  <c r="AL337" i="31"/>
  <c r="AM333" i="31"/>
  <c r="AL333" i="31"/>
  <c r="AM329" i="31"/>
  <c r="AL329" i="31"/>
  <c r="AM325" i="31"/>
  <c r="AL325" i="31"/>
  <c r="AM321" i="31"/>
  <c r="AL321" i="31"/>
  <c r="AM317" i="31"/>
  <c r="AL317" i="31"/>
  <c r="AM313" i="31"/>
  <c r="AL313" i="31"/>
  <c r="AM309" i="31"/>
  <c r="AL309" i="31"/>
  <c r="AM305" i="31"/>
  <c r="AL305" i="31"/>
  <c r="AM301" i="31"/>
  <c r="AL301" i="31"/>
  <c r="AM297" i="31"/>
  <c r="AL297" i="31"/>
  <c r="AM293" i="31"/>
  <c r="AL293" i="31"/>
  <c r="AM289" i="31"/>
  <c r="AL289" i="31"/>
  <c r="AM285" i="31"/>
  <c r="AL285" i="31"/>
  <c r="AM281" i="31"/>
  <c r="AL281" i="31"/>
  <c r="AM277" i="31"/>
  <c r="AL277" i="31"/>
  <c r="AM273" i="31"/>
  <c r="AL273" i="31"/>
  <c r="AM269" i="31"/>
  <c r="AL269" i="31"/>
  <c r="AM265" i="31"/>
  <c r="AL265" i="31"/>
  <c r="AM261" i="31"/>
  <c r="AL261" i="31"/>
  <c r="AM257" i="31"/>
  <c r="AL257" i="31"/>
  <c r="AM253" i="31"/>
  <c r="AL253" i="31"/>
  <c r="AM249" i="31"/>
  <c r="AL249" i="31"/>
  <c r="AM245" i="31"/>
  <c r="AL245" i="31"/>
  <c r="AM241" i="31"/>
  <c r="AL241" i="31"/>
  <c r="AM237" i="31"/>
  <c r="AL237" i="31"/>
  <c r="AM233" i="31"/>
  <c r="AL233" i="31"/>
  <c r="AM229" i="31"/>
  <c r="AL229" i="31"/>
  <c r="AM225" i="31"/>
  <c r="AL225" i="31"/>
  <c r="AM631" i="31"/>
  <c r="AL631" i="31"/>
  <c r="AM627" i="31"/>
  <c r="AL627" i="31"/>
  <c r="AM623" i="31"/>
  <c r="AL623" i="31"/>
  <c r="AM619" i="31"/>
  <c r="AL619" i="31"/>
  <c r="AM615" i="31"/>
  <c r="AL615" i="31"/>
  <c r="AM611" i="31"/>
  <c r="AL611" i="31"/>
  <c r="AM607" i="31"/>
  <c r="AL607" i="31"/>
  <c r="AM603" i="31"/>
  <c r="AL603" i="31"/>
  <c r="AM599" i="31"/>
  <c r="AL599" i="31"/>
  <c r="AM595" i="31"/>
  <c r="AL595" i="31"/>
  <c r="AM591" i="31"/>
  <c r="AL591" i="31"/>
  <c r="AM587" i="31"/>
  <c r="AL587" i="31"/>
  <c r="AM583" i="31"/>
  <c r="AL583" i="31"/>
  <c r="AM579" i="31"/>
  <c r="AL579" i="31"/>
  <c r="AM575" i="31"/>
  <c r="AL575" i="31"/>
  <c r="AM571" i="31"/>
  <c r="AL571" i="31"/>
  <c r="AM567" i="31"/>
  <c r="AL567" i="31"/>
  <c r="AM563" i="31"/>
  <c r="AL563" i="31"/>
  <c r="AM559" i="31"/>
  <c r="AL559" i="31"/>
  <c r="AM555" i="31"/>
  <c r="AL555" i="31"/>
  <c r="AM551" i="31"/>
  <c r="AL551" i="31"/>
  <c r="AM547" i="31"/>
  <c r="AL547" i="31"/>
  <c r="AM543" i="31"/>
  <c r="AL543" i="31"/>
  <c r="AM539" i="31"/>
  <c r="AL539" i="31"/>
  <c r="AM535" i="31"/>
  <c r="AL535" i="31"/>
  <c r="AM531" i="31"/>
  <c r="AL531" i="31"/>
  <c r="AM527" i="31"/>
  <c r="AL527" i="31"/>
  <c r="AM523" i="31"/>
  <c r="AL523" i="31"/>
  <c r="AM519" i="31"/>
  <c r="AL519" i="31"/>
  <c r="AM515" i="31"/>
  <c r="AL515" i="31"/>
  <c r="AM511" i="31"/>
  <c r="AL511" i="31"/>
  <c r="AM507" i="31"/>
  <c r="AL507" i="31"/>
  <c r="AM503" i="31"/>
  <c r="AL503" i="31"/>
  <c r="AM499" i="31"/>
  <c r="AL499" i="31"/>
  <c r="AM495" i="31"/>
  <c r="AL495" i="31"/>
  <c r="AM491" i="31"/>
  <c r="AL491" i="31"/>
  <c r="AM487" i="31"/>
  <c r="AL487" i="31"/>
  <c r="AM483" i="31"/>
  <c r="AL483" i="31"/>
  <c r="AM479" i="31"/>
  <c r="AL479" i="31"/>
  <c r="AM475" i="31"/>
  <c r="AL475" i="31"/>
  <c r="AM471" i="31"/>
  <c r="AL471" i="31"/>
  <c r="AM467" i="31"/>
  <c r="AL467" i="31"/>
  <c r="AM463" i="31"/>
  <c r="AL463" i="31"/>
  <c r="AM459" i="31"/>
  <c r="AL459" i="31"/>
  <c r="AM455" i="31"/>
  <c r="AL455" i="31"/>
  <c r="AM451" i="31"/>
  <c r="AL451" i="31"/>
  <c r="AM447" i="31"/>
  <c r="AL447" i="31"/>
  <c r="AM443" i="31"/>
  <c r="AL443" i="31"/>
  <c r="AM851" i="31"/>
  <c r="AL851" i="31"/>
  <c r="AL847" i="31"/>
  <c r="AM847" i="31"/>
  <c r="AM843" i="31"/>
  <c r="AL843" i="31"/>
  <c r="AM839" i="31"/>
  <c r="AL839" i="31"/>
  <c r="AM835" i="31"/>
  <c r="AL835" i="31"/>
  <c r="AL831" i="31"/>
  <c r="AM831" i="31"/>
  <c r="AM827" i="31"/>
  <c r="AL827" i="31"/>
  <c r="AM823" i="31"/>
  <c r="AL823" i="31"/>
  <c r="AM819" i="31"/>
  <c r="AL819" i="31"/>
  <c r="AL815" i="31"/>
  <c r="AM815" i="31"/>
  <c r="AM811" i="31"/>
  <c r="AL811" i="31"/>
  <c r="AM807" i="31"/>
  <c r="AL807" i="31"/>
  <c r="AM803" i="31"/>
  <c r="AL803" i="31"/>
  <c r="AL799" i="31"/>
  <c r="AM799" i="31"/>
  <c r="AM795" i="31"/>
  <c r="AL795" i="31"/>
  <c r="AM791" i="31"/>
  <c r="AL791" i="31"/>
  <c r="AM787" i="31"/>
  <c r="AL787" i="31"/>
  <c r="AM783" i="31"/>
  <c r="AL783" i="31"/>
  <c r="AM779" i="31"/>
  <c r="AL779" i="31"/>
  <c r="AM775" i="31"/>
  <c r="AL775" i="31"/>
  <c r="AM771" i="31"/>
  <c r="AL771" i="31"/>
  <c r="AM767" i="31"/>
  <c r="AL767" i="31"/>
  <c r="AM763" i="31"/>
  <c r="AL763" i="31"/>
  <c r="AM759" i="31"/>
  <c r="AL759" i="31"/>
  <c r="AM755" i="31"/>
  <c r="AL755" i="31"/>
  <c r="AM751" i="31"/>
  <c r="AL751" i="31"/>
  <c r="AM747" i="31"/>
  <c r="AL747" i="31"/>
  <c r="AM743" i="31"/>
  <c r="AL743" i="31"/>
  <c r="AM739" i="31"/>
  <c r="AL739" i="31"/>
  <c r="AM735" i="31"/>
  <c r="AL735" i="31"/>
  <c r="AM731" i="31"/>
  <c r="AL731" i="31"/>
  <c r="AM727" i="31"/>
  <c r="AL727" i="31"/>
  <c r="AM723" i="31"/>
  <c r="AL723" i="31"/>
  <c r="AM719" i="31"/>
  <c r="AL719" i="31"/>
  <c r="AM715" i="31"/>
  <c r="AL715" i="31"/>
  <c r="AM711" i="31"/>
  <c r="AL711" i="31"/>
  <c r="AM707" i="31"/>
  <c r="AL707" i="31"/>
  <c r="AM703" i="31"/>
  <c r="AL703" i="31"/>
  <c r="AM699" i="31"/>
  <c r="AL699" i="31"/>
  <c r="AM695" i="31"/>
  <c r="AL695" i="31"/>
  <c r="AM691" i="31"/>
  <c r="AL691" i="31"/>
  <c r="AM687" i="31"/>
  <c r="AL687" i="31"/>
  <c r="AM683" i="31"/>
  <c r="AL683" i="31"/>
  <c r="AM679" i="31"/>
  <c r="AL679" i="31"/>
  <c r="AM675" i="31"/>
  <c r="AL675" i="31"/>
  <c r="AM671" i="31"/>
  <c r="AL671" i="31"/>
  <c r="AM667" i="31"/>
  <c r="AL667" i="31"/>
  <c r="AM663" i="31"/>
  <c r="AL663" i="31"/>
  <c r="W220" i="31"/>
  <c r="W216" i="31"/>
  <c r="W212" i="31"/>
  <c r="W204" i="31"/>
  <c r="W200" i="31"/>
  <c r="W196" i="31"/>
  <c r="W188" i="31"/>
  <c r="W184" i="31"/>
  <c r="W180" i="31"/>
  <c r="W172" i="31"/>
  <c r="W168" i="31"/>
  <c r="W164" i="31"/>
  <c r="W156" i="31"/>
  <c r="W152" i="31"/>
  <c r="W148" i="31"/>
  <c r="W140" i="31"/>
  <c r="W136" i="31"/>
  <c r="W132" i="31"/>
  <c r="W124" i="31"/>
  <c r="W120" i="31"/>
  <c r="W116" i="31"/>
  <c r="W108" i="31"/>
  <c r="W104" i="31"/>
  <c r="W100" i="31"/>
  <c r="W92" i="31"/>
  <c r="W88" i="31"/>
  <c r="W84" i="31"/>
  <c r="W76" i="31"/>
  <c r="W72" i="31"/>
  <c r="W68" i="31"/>
  <c r="W60" i="31"/>
  <c r="W56" i="31"/>
  <c r="W52" i="31"/>
  <c r="W44" i="31"/>
  <c r="W40" i="31"/>
  <c r="W36" i="31"/>
  <c r="W28" i="31"/>
  <c r="W24" i="31"/>
  <c r="W20" i="31"/>
  <c r="W12" i="31"/>
  <c r="W8" i="31"/>
  <c r="W4" i="31"/>
  <c r="AL239" i="31" l="1"/>
  <c r="AL335" i="31"/>
  <c r="AM442" i="31"/>
  <c r="AL442" i="31"/>
  <c r="AL628" i="31"/>
  <c r="AM628" i="31"/>
  <c r="AL620" i="31"/>
  <c r="AM620" i="31"/>
  <c r="AL612" i="31"/>
  <c r="AM612" i="31"/>
  <c r="AL604" i="31"/>
  <c r="AM604" i="31"/>
  <c r="AL596" i="31"/>
  <c r="AM596" i="31"/>
  <c r="AL588" i="31"/>
  <c r="AM588" i="31"/>
  <c r="AL580" i="31"/>
  <c r="AM580" i="31"/>
  <c r="AL572" i="31"/>
  <c r="AM572" i="31"/>
  <c r="AL564" i="31"/>
  <c r="AM564" i="31"/>
  <c r="AL556" i="31"/>
  <c r="AM556" i="31"/>
  <c r="AL548" i="31"/>
  <c r="AM548" i="31"/>
  <c r="AL540" i="31"/>
  <c r="AM540" i="31"/>
  <c r="AL532" i="31"/>
  <c r="AM532" i="31"/>
  <c r="AL524" i="31"/>
  <c r="AM524" i="31"/>
  <c r="AL516" i="31"/>
  <c r="AM516" i="31"/>
  <c r="AL508" i="31"/>
  <c r="AM508" i="31"/>
  <c r="AL500" i="31"/>
  <c r="AM500" i="31"/>
  <c r="AL492" i="31"/>
  <c r="AM492" i="31"/>
  <c r="AL484" i="31"/>
  <c r="AM484" i="31"/>
  <c r="AL476" i="31"/>
  <c r="AM476" i="31"/>
  <c r="AL468" i="31"/>
  <c r="AM468" i="31"/>
  <c r="AL460" i="31"/>
  <c r="AM460" i="31"/>
  <c r="AL452" i="31"/>
  <c r="AM452" i="31"/>
  <c r="AL444" i="31"/>
  <c r="AM444" i="31"/>
  <c r="AM848" i="31"/>
  <c r="AL848" i="31"/>
  <c r="AL840" i="31"/>
  <c r="AM840" i="31"/>
  <c r="AM832" i="31"/>
  <c r="AL832" i="31"/>
  <c r="AL824" i="31"/>
  <c r="AM824" i="31"/>
  <c r="AM816" i="31"/>
  <c r="AL816" i="31"/>
  <c r="AL808" i="31"/>
  <c r="AM808" i="31"/>
  <c r="AM800" i="31"/>
  <c r="AL800" i="31"/>
  <c r="AL792" i="31"/>
  <c r="AM792" i="31"/>
  <c r="AL784" i="31"/>
  <c r="AM784" i="31"/>
  <c r="AL776" i="31"/>
  <c r="AM776" i="31"/>
  <c r="AL768" i="31"/>
  <c r="AM768" i="31"/>
  <c r="AL760" i="31"/>
  <c r="AM760" i="31"/>
  <c r="AL752" i="31"/>
  <c r="AM752" i="31"/>
  <c r="AL744" i="31"/>
  <c r="AM744" i="31"/>
  <c r="AL736" i="31"/>
  <c r="AM736" i="31"/>
  <c r="AL728" i="31"/>
  <c r="AM728" i="31"/>
  <c r="AL720" i="31"/>
  <c r="AM720" i="31"/>
  <c r="AL712" i="31"/>
  <c r="AM712" i="31"/>
  <c r="AL704" i="31"/>
  <c r="AM704" i="31"/>
  <c r="AL696" i="31"/>
  <c r="AM696" i="31"/>
  <c r="AL688" i="31"/>
  <c r="AM688" i="31"/>
  <c r="AL680" i="31"/>
  <c r="AM680" i="31"/>
  <c r="AL672" i="31"/>
  <c r="AM672" i="31"/>
  <c r="AL664" i="31"/>
  <c r="AM664" i="31"/>
  <c r="C76" i="45"/>
  <c r="C76" i="40"/>
  <c r="Z2" i="31"/>
  <c r="C80" i="45"/>
  <c r="C80" i="40"/>
  <c r="Z6" i="31"/>
  <c r="C84" i="45"/>
  <c r="C84" i="40"/>
  <c r="Z10" i="31"/>
  <c r="C88" i="45"/>
  <c r="C88" i="40"/>
  <c r="Z14" i="31"/>
  <c r="C92" i="45"/>
  <c r="C92" i="40"/>
  <c r="Z18" i="31"/>
  <c r="C96" i="45"/>
  <c r="C96" i="40"/>
  <c r="Z22" i="31"/>
  <c r="C100" i="45"/>
  <c r="C100" i="40"/>
  <c r="Z26" i="31"/>
  <c r="C104" i="45"/>
  <c r="C104" i="40"/>
  <c r="Z30" i="31"/>
  <c r="C108" i="45"/>
  <c r="C108" i="40"/>
  <c r="Z34" i="31"/>
  <c r="C112" i="45"/>
  <c r="C112" i="40"/>
  <c r="Z38" i="31"/>
  <c r="C116" i="45"/>
  <c r="C116" i="40"/>
  <c r="Z42" i="31"/>
  <c r="C120" i="45"/>
  <c r="C120" i="40"/>
  <c r="Z46" i="31"/>
  <c r="C124" i="45"/>
  <c r="C124" i="40"/>
  <c r="Z50" i="31"/>
  <c r="C128" i="45"/>
  <c r="C128" i="40"/>
  <c r="Z54" i="31"/>
  <c r="C132" i="45"/>
  <c r="C132" i="40"/>
  <c r="Z58" i="31"/>
  <c r="C136" i="45"/>
  <c r="C136" i="40"/>
  <c r="Z62" i="31"/>
  <c r="C140" i="45"/>
  <c r="C140" i="40"/>
  <c r="Z66" i="31"/>
  <c r="C144" i="45"/>
  <c r="C144" i="40"/>
  <c r="Z70" i="31"/>
  <c r="C148" i="45"/>
  <c r="C148" i="40"/>
  <c r="Z74" i="31"/>
  <c r="C152" i="45"/>
  <c r="C152" i="40"/>
  <c r="Z78" i="31"/>
  <c r="C156" i="45"/>
  <c r="C156" i="40"/>
  <c r="Z82" i="31"/>
  <c r="C160" i="45"/>
  <c r="C160" i="40"/>
  <c r="Z86" i="31"/>
  <c r="C164" i="45"/>
  <c r="C164" i="40"/>
  <c r="Z90" i="31"/>
  <c r="C168" i="45"/>
  <c r="C168" i="40"/>
  <c r="Z94" i="31"/>
  <c r="C172" i="45"/>
  <c r="C172" i="40"/>
  <c r="Z98" i="31"/>
  <c r="C176" i="45"/>
  <c r="C176" i="40"/>
  <c r="Z102" i="31"/>
  <c r="C180" i="45"/>
  <c r="C180" i="40"/>
  <c r="Z106" i="31"/>
  <c r="C184" i="45"/>
  <c r="C184" i="40"/>
  <c r="Z110" i="31"/>
  <c r="C188" i="45"/>
  <c r="C188" i="40"/>
  <c r="Z114" i="31"/>
  <c r="C192" i="45"/>
  <c r="C192" i="40"/>
  <c r="Z118" i="31"/>
  <c r="C196" i="45"/>
  <c r="C196" i="40"/>
  <c r="Z122" i="31"/>
  <c r="C200" i="45"/>
  <c r="C200" i="40"/>
  <c r="Z126" i="31"/>
  <c r="C204" i="45"/>
  <c r="C204" i="40"/>
  <c r="Z130" i="31"/>
  <c r="C208" i="45"/>
  <c r="C208" i="40"/>
  <c r="Z134" i="31"/>
  <c r="C212" i="45"/>
  <c r="C212" i="40"/>
  <c r="Z138" i="31"/>
  <c r="C216" i="45"/>
  <c r="C216" i="40"/>
  <c r="Z142" i="31"/>
  <c r="C220" i="45"/>
  <c r="C220" i="40"/>
  <c r="Z146" i="31"/>
  <c r="C224" i="45"/>
  <c r="C224" i="40"/>
  <c r="Z150" i="31"/>
  <c r="C228" i="45"/>
  <c r="C228" i="40"/>
  <c r="Z154" i="31"/>
  <c r="C232" i="45"/>
  <c r="C232" i="40"/>
  <c r="Z158" i="31"/>
  <c r="C236" i="45"/>
  <c r="C236" i="40"/>
  <c r="Z162" i="31"/>
  <c r="C240" i="45"/>
  <c r="C240" i="40"/>
  <c r="Z166" i="31"/>
  <c r="C244" i="45"/>
  <c r="C244" i="40"/>
  <c r="Z170" i="31"/>
  <c r="C248" i="45"/>
  <c r="C248" i="40"/>
  <c r="Z174" i="31"/>
  <c r="C252" i="45"/>
  <c r="C252" i="40"/>
  <c r="Z178" i="31"/>
  <c r="C256" i="45"/>
  <c r="C256" i="40"/>
  <c r="Z182" i="31"/>
  <c r="C260" i="45"/>
  <c r="C260" i="40"/>
  <c r="Z186" i="31"/>
  <c r="C264" i="45"/>
  <c r="C264" i="40"/>
  <c r="Z190" i="31"/>
  <c r="C268" i="45"/>
  <c r="C268" i="40"/>
  <c r="Z194" i="31"/>
  <c r="C272" i="45"/>
  <c r="C272" i="40"/>
  <c r="Z198" i="31"/>
  <c r="C276" i="45"/>
  <c r="C276" i="40"/>
  <c r="Z202" i="31"/>
  <c r="C280" i="45"/>
  <c r="C280" i="40"/>
  <c r="Z206" i="31"/>
  <c r="C284" i="45"/>
  <c r="C284" i="40"/>
  <c r="Z210" i="31"/>
  <c r="C288" i="45"/>
  <c r="C288" i="40"/>
  <c r="Z214" i="31"/>
  <c r="C292" i="45"/>
  <c r="C292" i="40"/>
  <c r="Z218" i="31"/>
  <c r="C296" i="45"/>
  <c r="C296" i="40"/>
  <c r="Z442" i="31"/>
  <c r="C300" i="45"/>
  <c r="C300" i="40"/>
  <c r="C304" i="45"/>
  <c r="C304" i="40"/>
  <c r="C308" i="45"/>
  <c r="C308" i="40"/>
  <c r="C312" i="45"/>
  <c r="C312" i="40"/>
  <c r="C316" i="45"/>
  <c r="C316" i="40"/>
  <c r="C320" i="45"/>
  <c r="C320" i="40"/>
  <c r="C324" i="45"/>
  <c r="C324" i="40"/>
  <c r="C328" i="45"/>
  <c r="C328" i="40"/>
  <c r="C332" i="45"/>
  <c r="C332" i="40"/>
  <c r="C336" i="45"/>
  <c r="C336" i="40"/>
  <c r="C340" i="45"/>
  <c r="C340" i="40"/>
  <c r="C344" i="45"/>
  <c r="C344" i="40"/>
  <c r="C348" i="45"/>
  <c r="C348" i="40"/>
  <c r="C352" i="45"/>
  <c r="C352" i="40"/>
  <c r="C356" i="45"/>
  <c r="C356" i="40"/>
  <c r="C360" i="45"/>
  <c r="C360" i="40"/>
  <c r="C364" i="45"/>
  <c r="C364" i="40"/>
  <c r="C368" i="45"/>
  <c r="C368" i="40"/>
  <c r="C372" i="45"/>
  <c r="C372" i="40"/>
  <c r="C376" i="45"/>
  <c r="C376" i="40"/>
  <c r="C380" i="45"/>
  <c r="C380" i="40"/>
  <c r="C384" i="45"/>
  <c r="C384" i="40"/>
  <c r="C388" i="45"/>
  <c r="C388" i="40"/>
  <c r="C392" i="45"/>
  <c r="C392" i="40"/>
  <c r="C396" i="45"/>
  <c r="C396" i="40"/>
  <c r="C400" i="45"/>
  <c r="C400" i="40"/>
  <c r="C404" i="45"/>
  <c r="C404" i="40"/>
  <c r="C408" i="45"/>
  <c r="C408" i="40"/>
  <c r="C412" i="45"/>
  <c r="C412" i="40"/>
  <c r="C416" i="45"/>
  <c r="C416" i="40"/>
  <c r="C420" i="45"/>
  <c r="C420" i="40"/>
  <c r="C424" i="45"/>
  <c r="C424" i="40"/>
  <c r="C428" i="45"/>
  <c r="C428" i="40"/>
  <c r="C432" i="45"/>
  <c r="C432" i="40"/>
  <c r="C436" i="45"/>
  <c r="C436" i="40"/>
  <c r="C440" i="45"/>
  <c r="C440" i="40"/>
  <c r="C444" i="45"/>
  <c r="C444" i="40"/>
  <c r="C448" i="45"/>
  <c r="C448" i="40"/>
  <c r="C452" i="45"/>
  <c r="C452" i="40"/>
  <c r="C456" i="45"/>
  <c r="C456" i="40"/>
  <c r="C460" i="45"/>
  <c r="C460" i="40"/>
  <c r="C464" i="45"/>
  <c r="C464" i="40"/>
  <c r="C468" i="45"/>
  <c r="C468" i="40"/>
  <c r="C472" i="45"/>
  <c r="C472" i="40"/>
  <c r="C476" i="45"/>
  <c r="C476" i="40"/>
  <c r="C480" i="45"/>
  <c r="C480" i="40"/>
  <c r="C484" i="45"/>
  <c r="C484" i="40"/>
  <c r="C488" i="45"/>
  <c r="C488" i="40"/>
  <c r="C492" i="45"/>
  <c r="C492" i="40"/>
  <c r="C496" i="45"/>
  <c r="C496" i="40"/>
  <c r="C500" i="45"/>
  <c r="C500" i="40"/>
  <c r="C504" i="45"/>
  <c r="C504" i="40"/>
  <c r="C508" i="45"/>
  <c r="C508" i="40"/>
  <c r="C512" i="45"/>
  <c r="C512" i="40"/>
  <c r="AM192" i="31"/>
  <c r="AL192" i="31"/>
  <c r="AM184" i="31"/>
  <c r="AL184" i="31"/>
  <c r="AM176" i="31"/>
  <c r="AL176" i="31"/>
  <c r="AM168" i="31"/>
  <c r="AL168" i="31"/>
  <c r="AM160" i="31"/>
  <c r="AL160" i="31"/>
  <c r="AM152" i="31"/>
  <c r="AL152" i="31"/>
  <c r="AM144" i="31"/>
  <c r="AL144" i="31"/>
  <c r="AM136" i="31"/>
  <c r="AL136" i="31"/>
  <c r="AM128" i="31"/>
  <c r="AL128" i="31"/>
  <c r="AM120" i="31"/>
  <c r="AL120" i="31"/>
  <c r="AM112" i="31"/>
  <c r="AL112" i="31"/>
  <c r="AM104" i="31"/>
  <c r="AL104" i="31"/>
  <c r="AM96" i="31"/>
  <c r="AL96" i="31"/>
  <c r="AM88" i="31"/>
  <c r="AL88" i="31"/>
  <c r="AM80" i="31"/>
  <c r="AL80" i="31"/>
  <c r="AM72" i="31"/>
  <c r="AL72" i="31"/>
  <c r="AM64" i="31"/>
  <c r="AL64" i="31"/>
  <c r="AM56" i="31"/>
  <c r="AL56" i="31"/>
  <c r="AM48" i="31"/>
  <c r="AL48" i="31"/>
  <c r="AM40" i="31"/>
  <c r="AL40" i="31"/>
  <c r="AM32" i="31"/>
  <c r="AL32" i="31"/>
  <c r="AM24" i="31"/>
  <c r="AL24" i="31"/>
  <c r="AM16" i="31"/>
  <c r="AL16" i="31"/>
  <c r="AM8" i="31"/>
  <c r="AL8" i="31"/>
  <c r="AM407" i="31"/>
  <c r="AL407" i="31"/>
  <c r="AM403" i="31"/>
  <c r="AL403" i="31"/>
  <c r="AM399" i="31"/>
  <c r="AL399" i="31"/>
  <c r="AM383" i="31"/>
  <c r="AL383" i="31"/>
  <c r="AM379" i="31"/>
  <c r="AL379" i="31"/>
  <c r="AM371" i="31"/>
  <c r="AL371" i="31"/>
  <c r="AM363" i="31"/>
  <c r="AL363" i="31"/>
  <c r="AM355" i="31"/>
  <c r="AL355" i="31"/>
  <c r="AM347" i="31"/>
  <c r="AL347" i="31"/>
  <c r="AM339" i="31"/>
  <c r="AL339" i="31"/>
  <c r="AM331" i="31"/>
  <c r="AL331" i="31"/>
  <c r="AM323" i="31"/>
  <c r="AL323" i="31"/>
  <c r="AM315" i="31"/>
  <c r="AL315" i="31"/>
  <c r="AM307" i="31"/>
  <c r="AL307" i="31"/>
  <c r="AM299" i="31"/>
  <c r="AL299" i="31"/>
  <c r="AM291" i="31"/>
  <c r="AL291" i="31"/>
  <c r="AM279" i="31"/>
  <c r="AL279" i="31"/>
  <c r="AM275" i="31"/>
  <c r="AL275" i="31"/>
  <c r="AM267" i="31"/>
  <c r="AL267" i="31"/>
  <c r="AM259" i="31"/>
  <c r="AL259" i="31"/>
  <c r="AM251" i="31"/>
  <c r="AL251" i="31"/>
  <c r="AM243" i="31"/>
  <c r="AL243" i="31"/>
  <c r="AL235" i="31"/>
  <c r="AM235" i="31"/>
  <c r="AL227" i="31"/>
  <c r="AM227" i="31"/>
  <c r="AL223" i="31"/>
  <c r="AM223" i="31"/>
  <c r="S661" i="31"/>
  <c r="H515" i="45"/>
  <c r="M661" i="31"/>
  <c r="N661" i="31" s="1"/>
  <c r="Q661" i="31"/>
  <c r="R661" i="31" s="1"/>
  <c r="T661" i="31" s="1"/>
  <c r="H515" i="40"/>
  <c r="S657" i="31"/>
  <c r="Q657" i="31"/>
  <c r="R657" i="31" s="1"/>
  <c r="T657" i="31" s="1"/>
  <c r="M657" i="31"/>
  <c r="N657" i="31" s="1"/>
  <c r="H511" i="45"/>
  <c r="H511" i="40"/>
  <c r="S653" i="31"/>
  <c r="Q653" i="31"/>
  <c r="R653" i="31" s="1"/>
  <c r="T653" i="31" s="1"/>
  <c r="M653" i="31"/>
  <c r="N653" i="31" s="1"/>
  <c r="H507" i="45"/>
  <c r="H507" i="40"/>
  <c r="S649" i="31"/>
  <c r="Q649" i="31"/>
  <c r="R649" i="31" s="1"/>
  <c r="H503" i="45"/>
  <c r="M649" i="31"/>
  <c r="N649" i="31" s="1"/>
  <c r="H503" i="40"/>
  <c r="S645" i="31"/>
  <c r="Q645" i="31"/>
  <c r="R645" i="31" s="1"/>
  <c r="H499" i="45"/>
  <c r="M645" i="31"/>
  <c r="N645" i="31" s="1"/>
  <c r="H499" i="40"/>
  <c r="S641" i="31"/>
  <c r="Q641" i="31"/>
  <c r="R641" i="31" s="1"/>
  <c r="T641" i="31" s="1"/>
  <c r="M641" i="31"/>
  <c r="N641" i="31" s="1"/>
  <c r="H495" i="45"/>
  <c r="H495" i="40"/>
  <c r="S637" i="31"/>
  <c r="Q637" i="31"/>
  <c r="R637" i="31" s="1"/>
  <c r="T637" i="31" s="1"/>
  <c r="M637" i="31"/>
  <c r="N637" i="31" s="1"/>
  <c r="H491" i="45"/>
  <c r="H491" i="40"/>
  <c r="S633" i="31"/>
  <c r="Q633" i="31"/>
  <c r="R633" i="31" s="1"/>
  <c r="M633" i="31"/>
  <c r="N633" i="31" s="1"/>
  <c r="H487" i="45"/>
  <c r="H487" i="40"/>
  <c r="S629" i="31"/>
  <c r="H483" i="45"/>
  <c r="Q629" i="31"/>
  <c r="R629" i="31" s="1"/>
  <c r="T629" i="31" s="1"/>
  <c r="M629" i="31"/>
  <c r="N629" i="31" s="1"/>
  <c r="H483" i="40"/>
  <c r="S625" i="31"/>
  <c r="Q625" i="31"/>
  <c r="R625" i="31" s="1"/>
  <c r="T625" i="31" s="1"/>
  <c r="M625" i="31"/>
  <c r="N625" i="31" s="1"/>
  <c r="H479" i="45"/>
  <c r="H479" i="40"/>
  <c r="S621" i="31"/>
  <c r="Q621" i="31"/>
  <c r="R621" i="31" s="1"/>
  <c r="T621" i="31" s="1"/>
  <c r="M621" i="31"/>
  <c r="N621" i="31" s="1"/>
  <c r="H475" i="45"/>
  <c r="H475" i="40"/>
  <c r="S617" i="31"/>
  <c r="H471" i="45"/>
  <c r="M617" i="31"/>
  <c r="N617" i="31" s="1"/>
  <c r="Q617" i="31"/>
  <c r="R617" i="31" s="1"/>
  <c r="H471" i="40"/>
  <c r="S613" i="31"/>
  <c r="Q613" i="31"/>
  <c r="R613" i="31" s="1"/>
  <c r="H467" i="45"/>
  <c r="M613" i="31"/>
  <c r="N613" i="31" s="1"/>
  <c r="H467" i="40"/>
  <c r="S609" i="31"/>
  <c r="Q609" i="31"/>
  <c r="R609" i="31" s="1"/>
  <c r="T609" i="31" s="1"/>
  <c r="M609" i="31"/>
  <c r="N609" i="31" s="1"/>
  <c r="H463" i="45"/>
  <c r="H463" i="40"/>
  <c r="S605" i="31"/>
  <c r="Q605" i="31"/>
  <c r="R605" i="31" s="1"/>
  <c r="T605" i="31" s="1"/>
  <c r="M605" i="31"/>
  <c r="N605" i="31" s="1"/>
  <c r="H459" i="45"/>
  <c r="H459" i="40"/>
  <c r="S601" i="31"/>
  <c r="Q601" i="31"/>
  <c r="R601" i="31" s="1"/>
  <c r="M601" i="31"/>
  <c r="N601" i="31" s="1"/>
  <c r="H455" i="45"/>
  <c r="H455" i="40"/>
  <c r="S597" i="31"/>
  <c r="H451" i="45"/>
  <c r="Q597" i="31"/>
  <c r="R597" i="31" s="1"/>
  <c r="T597" i="31" s="1"/>
  <c r="M597" i="31"/>
  <c r="N597" i="31" s="1"/>
  <c r="H451" i="40"/>
  <c r="S593" i="31"/>
  <c r="Q593" i="31"/>
  <c r="R593" i="31" s="1"/>
  <c r="T593" i="31" s="1"/>
  <c r="M593" i="31"/>
  <c r="N593" i="31" s="1"/>
  <c r="H447" i="45"/>
  <c r="H447" i="40"/>
  <c r="S589" i="31"/>
  <c r="Q589" i="31"/>
  <c r="R589" i="31" s="1"/>
  <c r="T589" i="31" s="1"/>
  <c r="M589" i="31"/>
  <c r="N589" i="31" s="1"/>
  <c r="H443" i="45"/>
  <c r="H443" i="40"/>
  <c r="S585" i="31"/>
  <c r="Q585" i="31"/>
  <c r="R585" i="31" s="1"/>
  <c r="H439" i="45"/>
  <c r="M585" i="31"/>
  <c r="N585" i="31" s="1"/>
  <c r="H439" i="40"/>
  <c r="S581" i="31"/>
  <c r="Q581" i="31"/>
  <c r="R581" i="31" s="1"/>
  <c r="H435" i="45"/>
  <c r="M581" i="31"/>
  <c r="N581" i="31" s="1"/>
  <c r="H435" i="40"/>
  <c r="S577" i="31"/>
  <c r="Q577" i="31"/>
  <c r="R577" i="31" s="1"/>
  <c r="T577" i="31" s="1"/>
  <c r="M577" i="31"/>
  <c r="N577" i="31" s="1"/>
  <c r="H431" i="45"/>
  <c r="H431" i="40"/>
  <c r="S573" i="31"/>
  <c r="Q573" i="31"/>
  <c r="R573" i="31" s="1"/>
  <c r="T573" i="31" s="1"/>
  <c r="M573" i="31"/>
  <c r="N573" i="31" s="1"/>
  <c r="H427" i="45"/>
  <c r="H427" i="40"/>
  <c r="S569" i="31"/>
  <c r="Q569" i="31"/>
  <c r="R569" i="31" s="1"/>
  <c r="M569" i="31"/>
  <c r="N569" i="31" s="1"/>
  <c r="H423" i="45"/>
  <c r="H423" i="40"/>
  <c r="S565" i="31"/>
  <c r="H419" i="45"/>
  <c r="Q565" i="31"/>
  <c r="R565" i="31" s="1"/>
  <c r="T565" i="31" s="1"/>
  <c r="M565" i="31"/>
  <c r="N565" i="31" s="1"/>
  <c r="H419" i="40"/>
  <c r="S561" i="31"/>
  <c r="Q561" i="31"/>
  <c r="R561" i="31" s="1"/>
  <c r="T561" i="31" s="1"/>
  <c r="M561" i="31"/>
  <c r="N561" i="31" s="1"/>
  <c r="H415" i="45"/>
  <c r="H415" i="40"/>
  <c r="S557" i="31"/>
  <c r="Q557" i="31"/>
  <c r="R557" i="31" s="1"/>
  <c r="T557" i="31" s="1"/>
  <c r="M557" i="31"/>
  <c r="N557" i="31" s="1"/>
  <c r="H411" i="45"/>
  <c r="H411" i="40"/>
  <c r="S553" i="31"/>
  <c r="H407" i="45"/>
  <c r="Q553" i="31"/>
  <c r="R553" i="31" s="1"/>
  <c r="M553" i="31"/>
  <c r="N553" i="31" s="1"/>
  <c r="H407" i="40"/>
  <c r="S549" i="31"/>
  <c r="Q549" i="31"/>
  <c r="R549" i="31" s="1"/>
  <c r="H403" i="45"/>
  <c r="M549" i="31"/>
  <c r="N549" i="31" s="1"/>
  <c r="H403" i="40"/>
  <c r="S545" i="31"/>
  <c r="Q545" i="31"/>
  <c r="R545" i="31" s="1"/>
  <c r="T545" i="31" s="1"/>
  <c r="M545" i="31"/>
  <c r="N545" i="31" s="1"/>
  <c r="H399" i="45"/>
  <c r="H399" i="40"/>
  <c r="S541" i="31"/>
  <c r="Q541" i="31"/>
  <c r="R541" i="31" s="1"/>
  <c r="T541" i="31" s="1"/>
  <c r="M541" i="31"/>
  <c r="N541" i="31" s="1"/>
  <c r="H395" i="45"/>
  <c r="H395" i="40"/>
  <c r="S537" i="31"/>
  <c r="Q537" i="31"/>
  <c r="R537" i="31" s="1"/>
  <c r="M537" i="31"/>
  <c r="N537" i="31" s="1"/>
  <c r="H391" i="45"/>
  <c r="H391" i="40"/>
  <c r="S533" i="31"/>
  <c r="H387" i="45"/>
  <c r="M533" i="31"/>
  <c r="N533" i="31" s="1"/>
  <c r="Q533" i="31"/>
  <c r="R533" i="31" s="1"/>
  <c r="T533" i="31" s="1"/>
  <c r="H387" i="40"/>
  <c r="S529" i="31"/>
  <c r="Q529" i="31"/>
  <c r="R529" i="31" s="1"/>
  <c r="T529" i="31" s="1"/>
  <c r="M529" i="31"/>
  <c r="N529" i="31" s="1"/>
  <c r="H383" i="45"/>
  <c r="H383" i="40"/>
  <c r="S525" i="31"/>
  <c r="Q525" i="31"/>
  <c r="R525" i="31" s="1"/>
  <c r="T525" i="31" s="1"/>
  <c r="M525" i="31"/>
  <c r="N525" i="31" s="1"/>
  <c r="H379" i="45"/>
  <c r="H379" i="40"/>
  <c r="S521" i="31"/>
  <c r="H375" i="45"/>
  <c r="Q521" i="31"/>
  <c r="R521" i="31" s="1"/>
  <c r="M521" i="31"/>
  <c r="N521" i="31" s="1"/>
  <c r="H375" i="40"/>
  <c r="S517" i="31"/>
  <c r="Q517" i="31"/>
  <c r="R517" i="31" s="1"/>
  <c r="H371" i="45"/>
  <c r="M517" i="31"/>
  <c r="N517" i="31" s="1"/>
  <c r="H371" i="40"/>
  <c r="S513" i="31"/>
  <c r="M513" i="31"/>
  <c r="N513" i="31" s="1"/>
  <c r="Q513" i="31"/>
  <c r="R513" i="31" s="1"/>
  <c r="T513" i="31" s="1"/>
  <c r="H367" i="45"/>
  <c r="H367" i="40"/>
  <c r="S509" i="31"/>
  <c r="Q509" i="31"/>
  <c r="R509" i="31" s="1"/>
  <c r="T509" i="31" s="1"/>
  <c r="M509" i="31"/>
  <c r="N509" i="31" s="1"/>
  <c r="H363" i="45"/>
  <c r="H363" i="40"/>
  <c r="S505" i="31"/>
  <c r="M505" i="31"/>
  <c r="N505" i="31" s="1"/>
  <c r="H359" i="45"/>
  <c r="Q505" i="31"/>
  <c r="R505" i="31" s="1"/>
  <c r="H359" i="40"/>
  <c r="S501" i="31"/>
  <c r="Q501" i="31"/>
  <c r="R501" i="31" s="1"/>
  <c r="H355" i="45"/>
  <c r="M501" i="31"/>
  <c r="N501" i="31" s="1"/>
  <c r="H355" i="40"/>
  <c r="S497" i="31"/>
  <c r="Q497" i="31"/>
  <c r="R497" i="31" s="1"/>
  <c r="T497" i="31" s="1"/>
  <c r="M497" i="31"/>
  <c r="N497" i="31" s="1"/>
  <c r="H351" i="45"/>
  <c r="H351" i="40"/>
  <c r="S493" i="31"/>
  <c r="Q493" i="31"/>
  <c r="R493" i="31" s="1"/>
  <c r="T493" i="31" s="1"/>
  <c r="M493" i="31"/>
  <c r="N493" i="31" s="1"/>
  <c r="H347" i="45"/>
  <c r="H347" i="40"/>
  <c r="S489" i="31"/>
  <c r="Q489" i="31"/>
  <c r="R489" i="31" s="1"/>
  <c r="H343" i="45"/>
  <c r="M489" i="31"/>
  <c r="N489" i="31" s="1"/>
  <c r="H343" i="40"/>
  <c r="S485" i="31"/>
  <c r="Q485" i="31"/>
  <c r="R485" i="31" s="1"/>
  <c r="H339" i="45"/>
  <c r="M485" i="31"/>
  <c r="N485" i="31" s="1"/>
  <c r="H339" i="40"/>
  <c r="S481" i="31"/>
  <c r="Q481" i="31"/>
  <c r="R481" i="31" s="1"/>
  <c r="T481" i="31" s="1"/>
  <c r="M481" i="31"/>
  <c r="N481" i="31" s="1"/>
  <c r="H335" i="45"/>
  <c r="H335" i="40"/>
  <c r="S477" i="31"/>
  <c r="Q477" i="31"/>
  <c r="R477" i="31" s="1"/>
  <c r="T477" i="31" s="1"/>
  <c r="M477" i="31"/>
  <c r="N477" i="31" s="1"/>
  <c r="H331" i="45"/>
  <c r="H331" i="40"/>
  <c r="S473" i="31"/>
  <c r="Q473" i="31"/>
  <c r="R473" i="31" s="1"/>
  <c r="M473" i="31"/>
  <c r="N473" i="31" s="1"/>
  <c r="H327" i="45"/>
  <c r="H327" i="40"/>
  <c r="S469" i="31"/>
  <c r="Q469" i="31"/>
  <c r="R469" i="31" s="1"/>
  <c r="H323" i="45"/>
  <c r="M469" i="31"/>
  <c r="N469" i="31" s="1"/>
  <c r="H323" i="40"/>
  <c r="S465" i="31"/>
  <c r="Q465" i="31"/>
  <c r="R465" i="31" s="1"/>
  <c r="T465" i="31" s="1"/>
  <c r="M465" i="31"/>
  <c r="N465" i="31" s="1"/>
  <c r="H319" i="45"/>
  <c r="H319" i="40"/>
  <c r="S461" i="31"/>
  <c r="Q461" i="31"/>
  <c r="R461" i="31" s="1"/>
  <c r="T461" i="31" s="1"/>
  <c r="M461" i="31"/>
  <c r="N461" i="31" s="1"/>
  <c r="H315" i="45"/>
  <c r="H315" i="40"/>
  <c r="S457" i="31"/>
  <c r="Q457" i="31"/>
  <c r="R457" i="31" s="1"/>
  <c r="H311" i="45"/>
  <c r="M457" i="31"/>
  <c r="N457" i="31" s="1"/>
  <c r="H311" i="40"/>
  <c r="S453" i="31"/>
  <c r="Q453" i="31"/>
  <c r="R453" i="31" s="1"/>
  <c r="H307" i="45"/>
  <c r="M453" i="31"/>
  <c r="N453" i="31" s="1"/>
  <c r="H307" i="40"/>
  <c r="S449" i="31"/>
  <c r="M449" i="31"/>
  <c r="N449" i="31" s="1"/>
  <c r="H303" i="45"/>
  <c r="Q449" i="31"/>
  <c r="R449" i="31" s="1"/>
  <c r="T449" i="31" s="1"/>
  <c r="H303" i="40"/>
  <c r="S445" i="31"/>
  <c r="Q445" i="31"/>
  <c r="R445" i="31" s="1"/>
  <c r="T445" i="31" s="1"/>
  <c r="H299" i="45"/>
  <c r="M445" i="31"/>
  <c r="N445" i="31" s="1"/>
  <c r="H299" i="40"/>
  <c r="S221" i="31"/>
  <c r="Q221" i="31"/>
  <c r="R221" i="31" s="1"/>
  <c r="H295" i="45"/>
  <c r="M221" i="31"/>
  <c r="N221" i="31" s="1"/>
  <c r="H295" i="40"/>
  <c r="S217" i="31"/>
  <c r="Q217" i="31"/>
  <c r="R217" i="31" s="1"/>
  <c r="M217" i="31"/>
  <c r="N217" i="31" s="1"/>
  <c r="H291" i="45"/>
  <c r="H291" i="40"/>
  <c r="S213" i="31"/>
  <c r="Q213" i="31"/>
  <c r="R213" i="31" s="1"/>
  <c r="T213" i="31" s="1"/>
  <c r="M213" i="31"/>
  <c r="N213" i="31" s="1"/>
  <c r="H287" i="45"/>
  <c r="H287" i="40"/>
  <c r="S209" i="31"/>
  <c r="Q209" i="31"/>
  <c r="R209" i="31" s="1"/>
  <c r="T209" i="31" s="1"/>
  <c r="M209" i="31"/>
  <c r="N209" i="31" s="1"/>
  <c r="H283" i="45"/>
  <c r="H283" i="40"/>
  <c r="S205" i="31"/>
  <c r="Q205" i="31"/>
  <c r="R205" i="31" s="1"/>
  <c r="H279" i="45"/>
  <c r="M205" i="31"/>
  <c r="N205" i="31" s="1"/>
  <c r="H279" i="40"/>
  <c r="S201" i="31"/>
  <c r="M201" i="31"/>
  <c r="N201" i="31" s="1"/>
  <c r="Q201" i="31"/>
  <c r="R201" i="31" s="1"/>
  <c r="H275" i="45"/>
  <c r="H275" i="40"/>
  <c r="S197" i="31"/>
  <c r="Q197" i="31"/>
  <c r="R197" i="31" s="1"/>
  <c r="T197" i="31" s="1"/>
  <c r="M197" i="31"/>
  <c r="N197" i="31" s="1"/>
  <c r="H271" i="45"/>
  <c r="H271" i="40"/>
  <c r="M193" i="31"/>
  <c r="N193" i="31" s="1"/>
  <c r="S193" i="31"/>
  <c r="H267" i="45"/>
  <c r="Q193" i="31"/>
  <c r="R193" i="31" s="1"/>
  <c r="H267" i="40"/>
  <c r="S189" i="31"/>
  <c r="Q189" i="31"/>
  <c r="R189" i="31" s="1"/>
  <c r="H263" i="45"/>
  <c r="M189" i="31"/>
  <c r="N189" i="31" s="1"/>
  <c r="H263" i="40"/>
  <c r="S185" i="31"/>
  <c r="Q185" i="31"/>
  <c r="R185" i="31" s="1"/>
  <c r="M185" i="31"/>
  <c r="N185" i="31" s="1"/>
  <c r="H259" i="45"/>
  <c r="H259" i="40"/>
  <c r="S181" i="31"/>
  <c r="Q181" i="31"/>
  <c r="R181" i="31" s="1"/>
  <c r="T181" i="31" s="1"/>
  <c r="M181" i="31"/>
  <c r="N181" i="31" s="1"/>
  <c r="H255" i="45"/>
  <c r="H255" i="40"/>
  <c r="S177" i="31"/>
  <c r="M177" i="31"/>
  <c r="N177" i="31" s="1"/>
  <c r="Q177" i="31"/>
  <c r="R177" i="31" s="1"/>
  <c r="T177" i="31" s="1"/>
  <c r="H251" i="45"/>
  <c r="H251" i="40"/>
  <c r="Q173" i="31"/>
  <c r="R173" i="31" s="1"/>
  <c r="T173" i="31" s="1"/>
  <c r="S173" i="31"/>
  <c r="H247" i="45"/>
  <c r="M173" i="31"/>
  <c r="N173" i="31" s="1"/>
  <c r="H247" i="40"/>
  <c r="S169" i="31"/>
  <c r="Q169" i="31"/>
  <c r="R169" i="31" s="1"/>
  <c r="M169" i="31"/>
  <c r="N169" i="31" s="1"/>
  <c r="H243" i="45"/>
  <c r="H243" i="40"/>
  <c r="S165" i="31"/>
  <c r="M165" i="31"/>
  <c r="N165" i="31" s="1"/>
  <c r="H239" i="45"/>
  <c r="Q165" i="31"/>
  <c r="R165" i="31" s="1"/>
  <c r="T165" i="31" s="1"/>
  <c r="H239" i="40"/>
  <c r="S161" i="31"/>
  <c r="Q161" i="31"/>
  <c r="R161" i="31" s="1"/>
  <c r="T161" i="31" s="1"/>
  <c r="M161" i="31"/>
  <c r="N161" i="31" s="1"/>
  <c r="H235" i="45"/>
  <c r="H235" i="40"/>
  <c r="S157" i="31"/>
  <c r="Q157" i="31"/>
  <c r="R157" i="31" s="1"/>
  <c r="H231" i="45"/>
  <c r="M157" i="31"/>
  <c r="N157" i="31" s="1"/>
  <c r="H231" i="40"/>
  <c r="S153" i="31"/>
  <c r="Q153" i="31"/>
  <c r="R153" i="31" s="1"/>
  <c r="M153" i="31"/>
  <c r="N153" i="31" s="1"/>
  <c r="H227" i="45"/>
  <c r="H227" i="40"/>
  <c r="S149" i="31"/>
  <c r="Q149" i="31"/>
  <c r="R149" i="31" s="1"/>
  <c r="T149" i="31" s="1"/>
  <c r="M149" i="31"/>
  <c r="N149" i="31" s="1"/>
  <c r="H223" i="45"/>
  <c r="H223" i="40"/>
  <c r="S145" i="31"/>
  <c r="Q145" i="31"/>
  <c r="R145" i="31" s="1"/>
  <c r="T145" i="31" s="1"/>
  <c r="M145" i="31"/>
  <c r="N145" i="31" s="1"/>
  <c r="H219" i="45"/>
  <c r="H219" i="40"/>
  <c r="S141" i="31"/>
  <c r="Q141" i="31"/>
  <c r="R141" i="31" s="1"/>
  <c r="H215" i="45"/>
  <c r="M141" i="31"/>
  <c r="N141" i="31" s="1"/>
  <c r="H215" i="40"/>
  <c r="S137" i="31"/>
  <c r="M137" i="31"/>
  <c r="N137" i="31" s="1"/>
  <c r="H211" i="45"/>
  <c r="Q137" i="31"/>
  <c r="R137" i="31" s="1"/>
  <c r="T137" i="31" s="1"/>
  <c r="H211" i="40"/>
  <c r="S133" i="31"/>
  <c r="Q133" i="31"/>
  <c r="R133" i="31" s="1"/>
  <c r="T133" i="31" s="1"/>
  <c r="M133" i="31"/>
  <c r="N133" i="31" s="1"/>
  <c r="H207" i="45"/>
  <c r="H207" i="40"/>
  <c r="S129" i="31"/>
  <c r="M129" i="31"/>
  <c r="N129" i="31" s="1"/>
  <c r="Q129" i="31"/>
  <c r="R129" i="31" s="1"/>
  <c r="T129" i="31" s="1"/>
  <c r="H203" i="45"/>
  <c r="H203" i="40"/>
  <c r="S125" i="31"/>
  <c r="Q125" i="31"/>
  <c r="R125" i="31" s="1"/>
  <c r="H199" i="45"/>
  <c r="M125" i="31"/>
  <c r="N125" i="31" s="1"/>
  <c r="H199" i="40"/>
  <c r="S121" i="31"/>
  <c r="M121" i="31"/>
  <c r="N121" i="31" s="1"/>
  <c r="Q121" i="31"/>
  <c r="R121" i="31" s="1"/>
  <c r="H195" i="45"/>
  <c r="H195" i="40"/>
  <c r="Q117" i="31"/>
  <c r="R117" i="31" s="1"/>
  <c r="S117" i="31"/>
  <c r="M117" i="31"/>
  <c r="N117" i="31" s="1"/>
  <c r="H191" i="45"/>
  <c r="H191" i="40"/>
  <c r="S113" i="31"/>
  <c r="Q113" i="31"/>
  <c r="R113" i="31" s="1"/>
  <c r="T113" i="31" s="1"/>
  <c r="M113" i="31"/>
  <c r="N113" i="31" s="1"/>
  <c r="H187" i="45"/>
  <c r="H187" i="40"/>
  <c r="S109" i="31"/>
  <c r="Q109" i="31"/>
  <c r="R109" i="31" s="1"/>
  <c r="H183" i="45"/>
  <c r="M109" i="31"/>
  <c r="N109" i="31" s="1"/>
  <c r="H183" i="40"/>
  <c r="S105" i="31"/>
  <c r="Q105" i="31"/>
  <c r="R105" i="31" s="1"/>
  <c r="M105" i="31"/>
  <c r="N105" i="31" s="1"/>
  <c r="H179" i="45"/>
  <c r="H179" i="40"/>
  <c r="S101" i="31"/>
  <c r="Q101" i="31"/>
  <c r="R101" i="31" s="1"/>
  <c r="T101" i="31" s="1"/>
  <c r="M101" i="31"/>
  <c r="N101" i="31" s="1"/>
  <c r="H175" i="45"/>
  <c r="H175" i="40"/>
  <c r="S97" i="31"/>
  <c r="Q97" i="31"/>
  <c r="R97" i="31" s="1"/>
  <c r="T97" i="31" s="1"/>
  <c r="M97" i="31"/>
  <c r="N97" i="31" s="1"/>
  <c r="H171" i="45"/>
  <c r="H171" i="40"/>
  <c r="S93" i="31"/>
  <c r="Q93" i="31"/>
  <c r="R93" i="31" s="1"/>
  <c r="H167" i="45"/>
  <c r="M93" i="31"/>
  <c r="N93" i="31" s="1"/>
  <c r="H167" i="40"/>
  <c r="S89" i="31"/>
  <c r="Q89" i="31"/>
  <c r="R89" i="31" s="1"/>
  <c r="M89" i="31"/>
  <c r="N89" i="31" s="1"/>
  <c r="H163" i="45"/>
  <c r="H163" i="40"/>
  <c r="S85" i="31"/>
  <c r="Q85" i="31"/>
  <c r="R85" i="31" s="1"/>
  <c r="T85" i="31" s="1"/>
  <c r="M85" i="31"/>
  <c r="N85" i="31" s="1"/>
  <c r="H159" i="45"/>
  <c r="H159" i="40"/>
  <c r="S81" i="31"/>
  <c r="Q81" i="31"/>
  <c r="R81" i="31" s="1"/>
  <c r="T81" i="31" s="1"/>
  <c r="M81" i="31"/>
  <c r="N81" i="31" s="1"/>
  <c r="H155" i="45"/>
  <c r="H155" i="40"/>
  <c r="Q77" i="31"/>
  <c r="R77" i="31" s="1"/>
  <c r="T77" i="31" s="1"/>
  <c r="S77" i="31"/>
  <c r="H151" i="45"/>
  <c r="M77" i="31"/>
  <c r="N77" i="31" s="1"/>
  <c r="H151" i="40"/>
  <c r="S73" i="31"/>
  <c r="M73" i="31"/>
  <c r="N73" i="31" s="1"/>
  <c r="Q73" i="31"/>
  <c r="R73" i="31" s="1"/>
  <c r="H147" i="45"/>
  <c r="H147" i="40"/>
  <c r="S69" i="31"/>
  <c r="Q69" i="31"/>
  <c r="R69" i="31" s="1"/>
  <c r="T69" i="31" s="1"/>
  <c r="M69" i="31"/>
  <c r="N69" i="31" s="1"/>
  <c r="H143" i="45"/>
  <c r="H143" i="40"/>
  <c r="S65" i="31"/>
  <c r="M65" i="31"/>
  <c r="N65" i="31" s="1"/>
  <c r="H139" i="45"/>
  <c r="Q65" i="31"/>
  <c r="R65" i="31" s="1"/>
  <c r="H139" i="40"/>
  <c r="S61" i="31"/>
  <c r="Q61" i="31"/>
  <c r="R61" i="31" s="1"/>
  <c r="H135" i="45"/>
  <c r="M61" i="31"/>
  <c r="N61" i="31" s="1"/>
  <c r="H135" i="40"/>
  <c r="S57" i="31"/>
  <c r="Q57" i="31"/>
  <c r="R57" i="31" s="1"/>
  <c r="M57" i="31"/>
  <c r="N57" i="31" s="1"/>
  <c r="H131" i="45"/>
  <c r="H131" i="40"/>
  <c r="S53" i="31"/>
  <c r="Q53" i="31"/>
  <c r="R53" i="31" s="1"/>
  <c r="T53" i="31" s="1"/>
  <c r="M53" i="31"/>
  <c r="N53" i="31" s="1"/>
  <c r="H127" i="45"/>
  <c r="H127" i="40"/>
  <c r="S49" i="31"/>
  <c r="M49" i="31"/>
  <c r="N49" i="31" s="1"/>
  <c r="H123" i="45"/>
  <c r="Q49" i="31"/>
  <c r="R49" i="31" s="1"/>
  <c r="H123" i="40"/>
  <c r="S45" i="31"/>
  <c r="Q45" i="31"/>
  <c r="R45" i="31" s="1"/>
  <c r="H119" i="45"/>
  <c r="M45" i="31"/>
  <c r="N45" i="31" s="1"/>
  <c r="H119" i="40"/>
  <c r="S41" i="31"/>
  <c r="Q41" i="31"/>
  <c r="R41" i="31" s="1"/>
  <c r="M41" i="31"/>
  <c r="N41" i="31" s="1"/>
  <c r="H115" i="45"/>
  <c r="H115" i="40"/>
  <c r="S37" i="31"/>
  <c r="M37" i="31"/>
  <c r="N37" i="31" s="1"/>
  <c r="H111" i="45"/>
  <c r="Q37" i="31"/>
  <c r="R37" i="31" s="1"/>
  <c r="T37" i="31" s="1"/>
  <c r="H111" i="40"/>
  <c r="S33" i="31"/>
  <c r="Q33" i="31"/>
  <c r="R33" i="31" s="1"/>
  <c r="T33" i="31" s="1"/>
  <c r="M33" i="31"/>
  <c r="N33" i="31" s="1"/>
  <c r="H107" i="45"/>
  <c r="H107" i="40"/>
  <c r="S29" i="31"/>
  <c r="Q29" i="31"/>
  <c r="R29" i="31" s="1"/>
  <c r="H103" i="45"/>
  <c r="M29" i="31"/>
  <c r="N29" i="31" s="1"/>
  <c r="H103" i="40"/>
  <c r="S25" i="31"/>
  <c r="Q25" i="31"/>
  <c r="R25" i="31" s="1"/>
  <c r="M25" i="31"/>
  <c r="N25" i="31" s="1"/>
  <c r="H99" i="45"/>
  <c r="H99" i="40"/>
  <c r="S21" i="31"/>
  <c r="M21" i="31"/>
  <c r="N21" i="31" s="1"/>
  <c r="H95" i="45"/>
  <c r="Q21" i="31"/>
  <c r="R21" i="31" s="1"/>
  <c r="T21" i="31" s="1"/>
  <c r="H95" i="40"/>
  <c r="S17" i="31"/>
  <c r="Q17" i="31"/>
  <c r="R17" i="31" s="1"/>
  <c r="T17" i="31" s="1"/>
  <c r="M17" i="31"/>
  <c r="N17" i="31" s="1"/>
  <c r="H91" i="45"/>
  <c r="H91" i="40"/>
  <c r="S13" i="31"/>
  <c r="Q13" i="31"/>
  <c r="R13" i="31" s="1"/>
  <c r="H87" i="45"/>
  <c r="M13" i="31"/>
  <c r="N13" i="31" s="1"/>
  <c r="H87" i="40"/>
  <c r="S9" i="31"/>
  <c r="M9" i="31"/>
  <c r="N9" i="31" s="1"/>
  <c r="H83" i="45"/>
  <c r="Q9" i="31"/>
  <c r="R9" i="31" s="1"/>
  <c r="T9" i="31" s="1"/>
  <c r="H83" i="40"/>
  <c r="S5" i="31"/>
  <c r="Q5" i="31"/>
  <c r="R5" i="31" s="1"/>
  <c r="T5" i="31" s="1"/>
  <c r="M5" i="31"/>
  <c r="N5" i="31" s="1"/>
  <c r="H79" i="45"/>
  <c r="H79" i="40"/>
  <c r="Q880" i="31"/>
  <c r="R880" i="31" s="1"/>
  <c r="S880" i="31"/>
  <c r="M880" i="31"/>
  <c r="N880" i="31" s="1"/>
  <c r="I514" i="45"/>
  <c r="I514" i="40"/>
  <c r="S876" i="31"/>
  <c r="Q876" i="31"/>
  <c r="R876" i="31" s="1"/>
  <c r="M876" i="31"/>
  <c r="N876" i="31" s="1"/>
  <c r="I510" i="45"/>
  <c r="I510" i="40"/>
  <c r="S872" i="31"/>
  <c r="Q872" i="31"/>
  <c r="R872" i="31" s="1"/>
  <c r="M872" i="31"/>
  <c r="N872" i="31" s="1"/>
  <c r="I506" i="45"/>
  <c r="I506" i="40"/>
  <c r="Q868" i="31"/>
  <c r="R868" i="31" s="1"/>
  <c r="S868" i="31"/>
  <c r="M868" i="31"/>
  <c r="N868" i="31" s="1"/>
  <c r="I502" i="45"/>
  <c r="I502" i="40"/>
  <c r="S864" i="31"/>
  <c r="Q864" i="31"/>
  <c r="R864" i="31" s="1"/>
  <c r="T864" i="31" s="1"/>
  <c r="I498" i="45"/>
  <c r="M864" i="31"/>
  <c r="N864" i="31" s="1"/>
  <c r="I498" i="40"/>
  <c r="Q860" i="31"/>
  <c r="R860" i="31" s="1"/>
  <c r="T860" i="31" s="1"/>
  <c r="M860" i="31"/>
  <c r="N860" i="31" s="1"/>
  <c r="S860" i="31"/>
  <c r="I494" i="45"/>
  <c r="I494" i="40"/>
  <c r="S856" i="31"/>
  <c r="Q856" i="31"/>
  <c r="R856" i="31" s="1"/>
  <c r="M856" i="31"/>
  <c r="N856" i="31" s="1"/>
  <c r="I490" i="45"/>
  <c r="I490" i="40"/>
  <c r="Q852" i="31"/>
  <c r="R852" i="31" s="1"/>
  <c r="S852" i="31"/>
  <c r="M852" i="31"/>
  <c r="N852" i="31" s="1"/>
  <c r="I486" i="45"/>
  <c r="I486" i="40"/>
  <c r="S848" i="31"/>
  <c r="Q848" i="31"/>
  <c r="R848" i="31" s="1"/>
  <c r="T848" i="31" s="1"/>
  <c r="M848" i="31"/>
  <c r="N848" i="31" s="1"/>
  <c r="I482" i="45"/>
  <c r="I482" i="40"/>
  <c r="S844" i="31"/>
  <c r="Q844" i="31"/>
  <c r="R844" i="31" s="1"/>
  <c r="M844" i="31"/>
  <c r="N844" i="31" s="1"/>
  <c r="I478" i="45"/>
  <c r="I478" i="40"/>
  <c r="S840" i="31"/>
  <c r="Q840" i="31"/>
  <c r="R840" i="31" s="1"/>
  <c r="M840" i="31"/>
  <c r="N840" i="31" s="1"/>
  <c r="I474" i="45"/>
  <c r="I474" i="40"/>
  <c r="S835" i="31"/>
  <c r="Q835" i="31"/>
  <c r="R835" i="31" s="1"/>
  <c r="T835" i="31" s="1"/>
  <c r="M835" i="31"/>
  <c r="N835" i="31" s="1"/>
  <c r="I469" i="45"/>
  <c r="I469" i="40"/>
  <c r="S831" i="31"/>
  <c r="Q831" i="31"/>
  <c r="R831" i="31" s="1"/>
  <c r="T831" i="31" s="1"/>
  <c r="M831" i="31"/>
  <c r="N831" i="31" s="1"/>
  <c r="I465" i="45"/>
  <c r="I465" i="40"/>
  <c r="S827" i="31"/>
  <c r="Q827" i="31"/>
  <c r="R827" i="31" s="1"/>
  <c r="M827" i="31"/>
  <c r="N827" i="31" s="1"/>
  <c r="I461" i="45"/>
  <c r="I461" i="40"/>
  <c r="Q823" i="31"/>
  <c r="R823" i="31" s="1"/>
  <c r="T823" i="31" s="1"/>
  <c r="M823" i="31"/>
  <c r="N823" i="31" s="1"/>
  <c r="S823" i="31"/>
  <c r="I457" i="45"/>
  <c r="I457" i="40"/>
  <c r="S819" i="31"/>
  <c r="Q819" i="31"/>
  <c r="R819" i="31" s="1"/>
  <c r="T819" i="31" s="1"/>
  <c r="M819" i="31"/>
  <c r="N819" i="31" s="1"/>
  <c r="I453" i="45"/>
  <c r="I453" i="40"/>
  <c r="Q815" i="31"/>
  <c r="R815" i="31" s="1"/>
  <c r="S815" i="31"/>
  <c r="M815" i="31"/>
  <c r="N815" i="31" s="1"/>
  <c r="I449" i="45"/>
  <c r="I449" i="40"/>
  <c r="Q811" i="31"/>
  <c r="R811" i="31" s="1"/>
  <c r="T811" i="31" s="1"/>
  <c r="M811" i="31"/>
  <c r="N811" i="31" s="1"/>
  <c r="S811" i="31"/>
  <c r="I445" i="45"/>
  <c r="I445" i="40"/>
  <c r="Q807" i="31"/>
  <c r="R807" i="31" s="1"/>
  <c r="T807" i="31" s="1"/>
  <c r="S807" i="31"/>
  <c r="M807" i="31"/>
  <c r="N807" i="31" s="1"/>
  <c r="I441" i="45"/>
  <c r="I441" i="40"/>
  <c r="S803" i="31"/>
  <c r="Q803" i="31"/>
  <c r="R803" i="31" s="1"/>
  <c r="T803" i="31" s="1"/>
  <c r="M803" i="31"/>
  <c r="N803" i="31" s="1"/>
  <c r="I437" i="45"/>
  <c r="I437" i="40"/>
  <c r="Q799" i="31"/>
  <c r="R799" i="31" s="1"/>
  <c r="S799" i="31"/>
  <c r="M799" i="31"/>
  <c r="N799" i="31" s="1"/>
  <c r="I433" i="45"/>
  <c r="I433" i="40"/>
  <c r="Q795" i="31"/>
  <c r="R795" i="31" s="1"/>
  <c r="T795" i="31" s="1"/>
  <c r="S795" i="31"/>
  <c r="M795" i="31"/>
  <c r="N795" i="31" s="1"/>
  <c r="I429" i="45"/>
  <c r="I429" i="40"/>
  <c r="Q791" i="31"/>
  <c r="R791" i="31" s="1"/>
  <c r="T791" i="31" s="1"/>
  <c r="M791" i="31"/>
  <c r="N791" i="31" s="1"/>
  <c r="S791" i="31"/>
  <c r="I425" i="45"/>
  <c r="I425" i="40"/>
  <c r="S787" i="31"/>
  <c r="Q787" i="31"/>
  <c r="R787" i="31" s="1"/>
  <c r="T787" i="31" s="1"/>
  <c r="M787" i="31"/>
  <c r="N787" i="31" s="1"/>
  <c r="I421" i="45"/>
  <c r="I421" i="40"/>
  <c r="Q783" i="31"/>
  <c r="R783" i="31" s="1"/>
  <c r="S783" i="31"/>
  <c r="M783" i="31"/>
  <c r="N783" i="31" s="1"/>
  <c r="I417" i="45"/>
  <c r="I417" i="40"/>
  <c r="Q779" i="31"/>
  <c r="R779" i="31" s="1"/>
  <c r="T779" i="31" s="1"/>
  <c r="S779" i="31"/>
  <c r="M779" i="31"/>
  <c r="N779" i="31" s="1"/>
  <c r="I413" i="45"/>
  <c r="I413" i="40"/>
  <c r="Q775" i="31"/>
  <c r="R775" i="31" s="1"/>
  <c r="T775" i="31" s="1"/>
  <c r="S775" i="31"/>
  <c r="M775" i="31"/>
  <c r="N775" i="31" s="1"/>
  <c r="I409" i="45"/>
  <c r="I409" i="40"/>
  <c r="S771" i="31"/>
  <c r="Q771" i="31"/>
  <c r="R771" i="31" s="1"/>
  <c r="T771" i="31" s="1"/>
  <c r="M771" i="31"/>
  <c r="N771" i="31" s="1"/>
  <c r="I405" i="45"/>
  <c r="I405" i="40"/>
  <c r="Q767" i="31"/>
  <c r="R767" i="31" s="1"/>
  <c r="S767" i="31"/>
  <c r="M767" i="31"/>
  <c r="N767" i="31" s="1"/>
  <c r="I401" i="45"/>
  <c r="I401" i="40"/>
  <c r="Q763" i="31"/>
  <c r="R763" i="31" s="1"/>
  <c r="T763" i="31" s="1"/>
  <c r="S763" i="31"/>
  <c r="M763" i="31"/>
  <c r="N763" i="31" s="1"/>
  <c r="I397" i="45"/>
  <c r="I397" i="40"/>
  <c r="Q759" i="31"/>
  <c r="R759" i="31" s="1"/>
  <c r="T759" i="31" s="1"/>
  <c r="M759" i="31"/>
  <c r="N759" i="31" s="1"/>
  <c r="S759" i="31"/>
  <c r="I393" i="45"/>
  <c r="I393" i="40"/>
  <c r="S755" i="31"/>
  <c r="Q755" i="31"/>
  <c r="R755" i="31" s="1"/>
  <c r="T755" i="31" s="1"/>
  <c r="M755" i="31"/>
  <c r="N755" i="31" s="1"/>
  <c r="I389" i="45"/>
  <c r="I389" i="40"/>
  <c r="Q751" i="31"/>
  <c r="R751" i="31" s="1"/>
  <c r="S751" i="31"/>
  <c r="M751" i="31"/>
  <c r="N751" i="31" s="1"/>
  <c r="I385" i="45"/>
  <c r="I385" i="40"/>
  <c r="S746" i="31"/>
  <c r="M746" i="31"/>
  <c r="N746" i="31" s="1"/>
  <c r="I380" i="45"/>
  <c r="Q746" i="31"/>
  <c r="R746" i="31" s="1"/>
  <c r="I380" i="40"/>
  <c r="S742" i="31"/>
  <c r="Q742" i="31"/>
  <c r="R742" i="31" s="1"/>
  <c r="M742" i="31"/>
  <c r="N742" i="31" s="1"/>
  <c r="I376" i="45"/>
  <c r="I376" i="40"/>
  <c r="S738" i="31"/>
  <c r="Q738" i="31"/>
  <c r="R738" i="31" s="1"/>
  <c r="T738" i="31" s="1"/>
  <c r="M738" i="31"/>
  <c r="N738" i="31" s="1"/>
  <c r="I372" i="45"/>
  <c r="I372" i="40"/>
  <c r="S734" i="31"/>
  <c r="Q734" i="31"/>
  <c r="R734" i="31" s="1"/>
  <c r="T734" i="31" s="1"/>
  <c r="I368" i="45"/>
  <c r="M734" i="31"/>
  <c r="N734" i="31" s="1"/>
  <c r="I368" i="40"/>
  <c r="S730" i="31"/>
  <c r="Q730" i="31"/>
  <c r="R730" i="31" s="1"/>
  <c r="M730" i="31"/>
  <c r="N730" i="31" s="1"/>
  <c r="I364" i="45"/>
  <c r="I364" i="40"/>
  <c r="Q726" i="31"/>
  <c r="R726" i="31" s="1"/>
  <c r="T726" i="31" s="1"/>
  <c r="M726" i="31"/>
  <c r="N726" i="31" s="1"/>
  <c r="S726" i="31"/>
  <c r="I360" i="45"/>
  <c r="I360" i="40"/>
  <c r="S722" i="31"/>
  <c r="Q722" i="31"/>
  <c r="R722" i="31" s="1"/>
  <c r="T722" i="31" s="1"/>
  <c r="M722" i="31"/>
  <c r="N722" i="31" s="1"/>
  <c r="I356" i="45"/>
  <c r="I356" i="40"/>
  <c r="S718" i="31"/>
  <c r="Q718" i="31"/>
  <c r="R718" i="31" s="1"/>
  <c r="T718" i="31" s="1"/>
  <c r="M718" i="31"/>
  <c r="N718" i="31" s="1"/>
  <c r="I352" i="45"/>
  <c r="I352" i="40"/>
  <c r="S714" i="31"/>
  <c r="Q714" i="31"/>
  <c r="R714" i="31" s="1"/>
  <c r="I348" i="45"/>
  <c r="M714" i="31"/>
  <c r="N714" i="31" s="1"/>
  <c r="I348" i="40"/>
  <c r="S709" i="31"/>
  <c r="Q709" i="31"/>
  <c r="R709" i="31" s="1"/>
  <c r="M709" i="31"/>
  <c r="N709" i="31" s="1"/>
  <c r="I343" i="45"/>
  <c r="I343" i="40"/>
  <c r="S705" i="31"/>
  <c r="Q705" i="31"/>
  <c r="R705" i="31" s="1"/>
  <c r="T705" i="31" s="1"/>
  <c r="M705" i="31"/>
  <c r="N705" i="31" s="1"/>
  <c r="I339" i="45"/>
  <c r="I339" i="40"/>
  <c r="S701" i="31"/>
  <c r="Q701" i="31"/>
  <c r="R701" i="31" s="1"/>
  <c r="T701" i="31" s="1"/>
  <c r="M701" i="31"/>
  <c r="N701" i="31" s="1"/>
  <c r="I335" i="45"/>
  <c r="I335" i="40"/>
  <c r="S697" i="31"/>
  <c r="Q697" i="31"/>
  <c r="R697" i="31" s="1"/>
  <c r="M697" i="31"/>
  <c r="N697" i="31" s="1"/>
  <c r="I331" i="45"/>
  <c r="I331" i="40"/>
  <c r="S693" i="31"/>
  <c r="Q693" i="31"/>
  <c r="R693" i="31" s="1"/>
  <c r="I327" i="45"/>
  <c r="M693" i="31"/>
  <c r="N693" i="31" s="1"/>
  <c r="I327" i="40"/>
  <c r="S689" i="31"/>
  <c r="Q689" i="31"/>
  <c r="R689" i="31" s="1"/>
  <c r="T689" i="31" s="1"/>
  <c r="M689" i="31"/>
  <c r="N689" i="31" s="1"/>
  <c r="I323" i="45"/>
  <c r="I323" i="40"/>
  <c r="S685" i="31"/>
  <c r="Q685" i="31"/>
  <c r="R685" i="31" s="1"/>
  <c r="T685" i="31" s="1"/>
  <c r="M685" i="31"/>
  <c r="N685" i="31" s="1"/>
  <c r="I319" i="45"/>
  <c r="I319" i="40"/>
  <c r="S681" i="31"/>
  <c r="I315" i="45"/>
  <c r="Q681" i="31"/>
  <c r="R681" i="31" s="1"/>
  <c r="M681" i="31"/>
  <c r="N681" i="31" s="1"/>
  <c r="I315" i="40"/>
  <c r="S677" i="31"/>
  <c r="Q677" i="31"/>
  <c r="R677" i="31" s="1"/>
  <c r="M677" i="31"/>
  <c r="N677" i="31" s="1"/>
  <c r="I311" i="45"/>
  <c r="I311" i="40"/>
  <c r="S673" i="31"/>
  <c r="Q673" i="31"/>
  <c r="R673" i="31" s="1"/>
  <c r="T673" i="31" s="1"/>
  <c r="M673" i="31"/>
  <c r="N673" i="31" s="1"/>
  <c r="I307" i="45"/>
  <c r="I307" i="40"/>
  <c r="S669" i="31"/>
  <c r="Q669" i="31"/>
  <c r="R669" i="31" s="1"/>
  <c r="T669" i="31" s="1"/>
  <c r="M669" i="31"/>
  <c r="N669" i="31" s="1"/>
  <c r="I303" i="45"/>
  <c r="I303" i="40"/>
  <c r="S665" i="31"/>
  <c r="Q665" i="31"/>
  <c r="R665" i="31" s="1"/>
  <c r="M665" i="31"/>
  <c r="N665" i="31" s="1"/>
  <c r="I299" i="45"/>
  <c r="I299" i="40"/>
  <c r="S441" i="31"/>
  <c r="Q441" i="31"/>
  <c r="R441" i="31" s="1"/>
  <c r="M441" i="31"/>
  <c r="N441" i="31" s="1"/>
  <c r="I295" i="45"/>
  <c r="I295" i="40"/>
  <c r="S437" i="31"/>
  <c r="Q437" i="31"/>
  <c r="R437" i="31" s="1"/>
  <c r="T437" i="31" s="1"/>
  <c r="M437" i="31"/>
  <c r="N437" i="31" s="1"/>
  <c r="I291" i="45"/>
  <c r="I291" i="40"/>
  <c r="S433" i="31"/>
  <c r="M433" i="31"/>
  <c r="N433" i="31" s="1"/>
  <c r="Q433" i="31"/>
  <c r="R433" i="31" s="1"/>
  <c r="I287" i="45"/>
  <c r="I287" i="40"/>
  <c r="S429" i="31"/>
  <c r="Q429" i="31"/>
  <c r="R429" i="31" s="1"/>
  <c r="I283" i="45"/>
  <c r="M429" i="31"/>
  <c r="N429" i="31" s="1"/>
  <c r="I283" i="40"/>
  <c r="S425" i="31"/>
  <c r="Q425" i="31"/>
  <c r="R425" i="31" s="1"/>
  <c r="M425" i="31"/>
  <c r="N425" i="31" s="1"/>
  <c r="I279" i="45"/>
  <c r="I279" i="40"/>
  <c r="S421" i="31"/>
  <c r="M421" i="31"/>
  <c r="N421" i="31" s="1"/>
  <c r="I275" i="45"/>
  <c r="Q421" i="31"/>
  <c r="R421" i="31" s="1"/>
  <c r="T421" i="31" s="1"/>
  <c r="I275" i="40"/>
  <c r="S417" i="31"/>
  <c r="Q417" i="31"/>
  <c r="R417" i="31" s="1"/>
  <c r="M417" i="31"/>
  <c r="N417" i="31" s="1"/>
  <c r="I271" i="45"/>
  <c r="I271" i="40"/>
  <c r="Q413" i="31"/>
  <c r="R413" i="31" s="1"/>
  <c r="T413" i="31" s="1"/>
  <c r="S413" i="31"/>
  <c r="I267" i="45"/>
  <c r="M413" i="31"/>
  <c r="N413" i="31" s="1"/>
  <c r="I267" i="40"/>
  <c r="S409" i="31"/>
  <c r="Q409" i="31"/>
  <c r="R409" i="31" s="1"/>
  <c r="M409" i="31"/>
  <c r="N409" i="31" s="1"/>
  <c r="I263" i="45"/>
  <c r="I263" i="40"/>
  <c r="S405" i="31"/>
  <c r="Q405" i="31"/>
  <c r="R405" i="31" s="1"/>
  <c r="T405" i="31" s="1"/>
  <c r="M405" i="31"/>
  <c r="N405" i="31" s="1"/>
  <c r="I259" i="45"/>
  <c r="I259" i="40"/>
  <c r="Q401" i="31"/>
  <c r="R401" i="31" s="1"/>
  <c r="T401" i="31" s="1"/>
  <c r="M401" i="31"/>
  <c r="N401" i="31" s="1"/>
  <c r="S401" i="31"/>
  <c r="I255" i="45"/>
  <c r="I255" i="40"/>
  <c r="S397" i="31"/>
  <c r="Q397" i="31"/>
  <c r="R397" i="31" s="1"/>
  <c r="I251" i="45"/>
  <c r="M397" i="31"/>
  <c r="N397" i="31" s="1"/>
  <c r="I251" i="40"/>
  <c r="S393" i="31"/>
  <c r="M393" i="31"/>
  <c r="N393" i="31" s="1"/>
  <c r="I247" i="45"/>
  <c r="Q393" i="31"/>
  <c r="R393" i="31" s="1"/>
  <c r="T393" i="31" s="1"/>
  <c r="I247" i="40"/>
  <c r="S389" i="31"/>
  <c r="Q389" i="31"/>
  <c r="R389" i="31" s="1"/>
  <c r="T389" i="31" s="1"/>
  <c r="M389" i="31"/>
  <c r="N389" i="31" s="1"/>
  <c r="I243" i="45"/>
  <c r="I243" i="40"/>
  <c r="S385" i="31"/>
  <c r="M385" i="31"/>
  <c r="N385" i="31" s="1"/>
  <c r="Q385" i="31"/>
  <c r="R385" i="31" s="1"/>
  <c r="I239" i="45"/>
  <c r="I239" i="40"/>
  <c r="S381" i="31"/>
  <c r="Q381" i="31"/>
  <c r="R381" i="31" s="1"/>
  <c r="I235" i="45"/>
  <c r="M381" i="31"/>
  <c r="N381" i="31" s="1"/>
  <c r="I235" i="40"/>
  <c r="S377" i="31"/>
  <c r="M377" i="31"/>
  <c r="N377" i="31" s="1"/>
  <c r="Q377" i="31"/>
  <c r="R377" i="31" s="1"/>
  <c r="T377" i="31" s="1"/>
  <c r="I231" i="45"/>
  <c r="I231" i="40"/>
  <c r="Q373" i="31"/>
  <c r="R373" i="31" s="1"/>
  <c r="M373" i="31"/>
  <c r="N373" i="31" s="1"/>
  <c r="S373" i="31"/>
  <c r="I227" i="45"/>
  <c r="I227" i="40"/>
  <c r="S369" i="31"/>
  <c r="Q369" i="31"/>
  <c r="R369" i="31" s="1"/>
  <c r="M369" i="31"/>
  <c r="N369" i="31" s="1"/>
  <c r="I223" i="45"/>
  <c r="I223" i="40"/>
  <c r="S365" i="31"/>
  <c r="Q365" i="31"/>
  <c r="R365" i="31" s="1"/>
  <c r="I219" i="45"/>
  <c r="M365" i="31"/>
  <c r="N365" i="31" s="1"/>
  <c r="I219" i="40"/>
  <c r="S361" i="31"/>
  <c r="Q361" i="31"/>
  <c r="R361" i="31" s="1"/>
  <c r="M361" i="31"/>
  <c r="N361" i="31" s="1"/>
  <c r="I215" i="45"/>
  <c r="I215" i="40"/>
  <c r="S357" i="31"/>
  <c r="Q357" i="31"/>
  <c r="R357" i="31" s="1"/>
  <c r="T357" i="31" s="1"/>
  <c r="M357" i="31"/>
  <c r="N357" i="31" s="1"/>
  <c r="I211" i="45"/>
  <c r="I211" i="40"/>
  <c r="S353" i="31"/>
  <c r="Q353" i="31"/>
  <c r="R353" i="31" s="1"/>
  <c r="M353" i="31"/>
  <c r="N353" i="31" s="1"/>
  <c r="I207" i="45"/>
  <c r="I207" i="40"/>
  <c r="S349" i="31"/>
  <c r="Q349" i="31"/>
  <c r="R349" i="31" s="1"/>
  <c r="I203" i="45"/>
  <c r="M349" i="31"/>
  <c r="N349" i="31" s="1"/>
  <c r="I203" i="40"/>
  <c r="S345" i="31"/>
  <c r="Q345" i="31"/>
  <c r="R345" i="31" s="1"/>
  <c r="M345" i="31"/>
  <c r="N345" i="31" s="1"/>
  <c r="I199" i="45"/>
  <c r="I199" i="40"/>
  <c r="S341" i="31"/>
  <c r="Q341" i="31"/>
  <c r="R341" i="31" s="1"/>
  <c r="T341" i="31" s="1"/>
  <c r="M341" i="31"/>
  <c r="N341" i="31" s="1"/>
  <c r="I195" i="45"/>
  <c r="I195" i="40"/>
  <c r="S337" i="31"/>
  <c r="Q337" i="31"/>
  <c r="R337" i="31" s="1"/>
  <c r="M337" i="31"/>
  <c r="N337" i="31" s="1"/>
  <c r="I191" i="45"/>
  <c r="I191" i="40"/>
  <c r="S333" i="31"/>
  <c r="Q333" i="31"/>
  <c r="R333" i="31" s="1"/>
  <c r="I187" i="45"/>
  <c r="M333" i="31"/>
  <c r="N333" i="31" s="1"/>
  <c r="I187" i="40"/>
  <c r="S329" i="31"/>
  <c r="M329" i="31"/>
  <c r="N329" i="31" s="1"/>
  <c r="Q329" i="31"/>
  <c r="R329" i="31" s="1"/>
  <c r="T329" i="31" s="1"/>
  <c r="I183" i="45"/>
  <c r="I183" i="40"/>
  <c r="S325" i="31"/>
  <c r="Q325" i="31"/>
  <c r="R325" i="31" s="1"/>
  <c r="T325" i="31" s="1"/>
  <c r="M325" i="31"/>
  <c r="N325" i="31" s="1"/>
  <c r="I179" i="45"/>
  <c r="I179" i="40"/>
  <c r="S321" i="31"/>
  <c r="M321" i="31"/>
  <c r="N321" i="31" s="1"/>
  <c r="Q321" i="31"/>
  <c r="R321" i="31" s="1"/>
  <c r="I175" i="45"/>
  <c r="I175" i="40"/>
  <c r="S317" i="31"/>
  <c r="Q317" i="31"/>
  <c r="R317" i="31" s="1"/>
  <c r="I171" i="45"/>
  <c r="M317" i="31"/>
  <c r="N317" i="31" s="1"/>
  <c r="I171" i="40"/>
  <c r="S313" i="31"/>
  <c r="Q313" i="31"/>
  <c r="R313" i="31" s="1"/>
  <c r="M313" i="31"/>
  <c r="N313" i="31" s="1"/>
  <c r="I167" i="45"/>
  <c r="I167" i="40"/>
  <c r="S308" i="31"/>
  <c r="M308" i="31"/>
  <c r="N308" i="31" s="1"/>
  <c r="I162" i="40"/>
  <c r="Q308" i="31"/>
  <c r="R308" i="31" s="1"/>
  <c r="T308" i="31" s="1"/>
  <c r="I162" i="45"/>
  <c r="S304" i="31"/>
  <c r="Q304" i="31"/>
  <c r="R304" i="31" s="1"/>
  <c r="M304" i="31"/>
  <c r="N304" i="31" s="1"/>
  <c r="I158" i="45"/>
  <c r="I158" i="40"/>
  <c r="S300" i="31"/>
  <c r="M300" i="31"/>
  <c r="N300" i="31" s="1"/>
  <c r="Q300" i="31"/>
  <c r="R300" i="31" s="1"/>
  <c r="I154" i="40"/>
  <c r="I154" i="45"/>
  <c r="S296" i="31"/>
  <c r="Q296" i="31"/>
  <c r="R296" i="31" s="1"/>
  <c r="M296" i="31"/>
  <c r="N296" i="31" s="1"/>
  <c r="I150" i="45"/>
  <c r="I150" i="40"/>
  <c r="S292" i="31"/>
  <c r="M292" i="31"/>
  <c r="N292" i="31" s="1"/>
  <c r="Q292" i="31"/>
  <c r="R292" i="31" s="1"/>
  <c r="T292" i="31" s="1"/>
  <c r="I146" i="40"/>
  <c r="I146" i="45"/>
  <c r="S288" i="31"/>
  <c r="Q288" i="31"/>
  <c r="R288" i="31" s="1"/>
  <c r="M288" i="31"/>
  <c r="N288" i="31" s="1"/>
  <c r="I142" i="45"/>
  <c r="I142" i="40"/>
  <c r="S284" i="31"/>
  <c r="M284" i="31"/>
  <c r="N284" i="31" s="1"/>
  <c r="Q284" i="31"/>
  <c r="R284" i="31" s="1"/>
  <c r="I138" i="40"/>
  <c r="I138" i="45"/>
  <c r="S280" i="31"/>
  <c r="Q280" i="31"/>
  <c r="R280" i="31" s="1"/>
  <c r="M280" i="31"/>
  <c r="N280" i="31" s="1"/>
  <c r="I134" i="45"/>
  <c r="I134" i="40"/>
  <c r="S276" i="31"/>
  <c r="Q276" i="31"/>
  <c r="R276" i="31" s="1"/>
  <c r="T276" i="31" s="1"/>
  <c r="M276" i="31"/>
  <c r="N276" i="31" s="1"/>
  <c r="I130" i="40"/>
  <c r="I130" i="45"/>
  <c r="S272" i="31"/>
  <c r="M272" i="31"/>
  <c r="N272" i="31" s="1"/>
  <c r="Q272" i="31"/>
  <c r="R272" i="31" s="1"/>
  <c r="I126" i="45"/>
  <c r="I126" i="40"/>
  <c r="S268" i="31"/>
  <c r="Q268" i="31"/>
  <c r="R268" i="31" s="1"/>
  <c r="M268" i="31"/>
  <c r="N268" i="31" s="1"/>
  <c r="I122" i="40"/>
  <c r="I122" i="45"/>
  <c r="S264" i="31"/>
  <c r="Q264" i="31"/>
  <c r="R264" i="31" s="1"/>
  <c r="M264" i="31"/>
  <c r="N264" i="31" s="1"/>
  <c r="I118" i="45"/>
  <c r="I118" i="40"/>
  <c r="S260" i="31"/>
  <c r="Q260" i="31"/>
  <c r="R260" i="31" s="1"/>
  <c r="T260" i="31" s="1"/>
  <c r="M260" i="31"/>
  <c r="N260" i="31" s="1"/>
  <c r="I114" i="40"/>
  <c r="I114" i="45"/>
  <c r="S256" i="31"/>
  <c r="M256" i="31"/>
  <c r="N256" i="31" s="1"/>
  <c r="Q256" i="31"/>
  <c r="R256" i="31" s="1"/>
  <c r="I110" i="45"/>
  <c r="I110" i="40"/>
  <c r="S252" i="31"/>
  <c r="Q252" i="31"/>
  <c r="R252" i="31" s="1"/>
  <c r="M252" i="31"/>
  <c r="N252" i="31" s="1"/>
  <c r="I106" i="40"/>
  <c r="I106" i="45"/>
  <c r="S248" i="31"/>
  <c r="Q248" i="31"/>
  <c r="R248" i="31" s="1"/>
  <c r="M248" i="31"/>
  <c r="N248" i="31" s="1"/>
  <c r="I102" i="45"/>
  <c r="I102" i="40"/>
  <c r="S244" i="31"/>
  <c r="M244" i="31"/>
  <c r="N244" i="31" s="1"/>
  <c r="Q244" i="31"/>
  <c r="R244" i="31" s="1"/>
  <c r="T244" i="31" s="1"/>
  <c r="I98" i="40"/>
  <c r="I98" i="45"/>
  <c r="S240" i="31"/>
  <c r="Q240" i="31"/>
  <c r="R240" i="31" s="1"/>
  <c r="M240" i="31"/>
  <c r="N240" i="31" s="1"/>
  <c r="I94" i="45"/>
  <c r="I94" i="40"/>
  <c r="S236" i="31"/>
  <c r="M236" i="31"/>
  <c r="N236" i="31" s="1"/>
  <c r="Q236" i="31"/>
  <c r="R236" i="31" s="1"/>
  <c r="I90" i="40"/>
  <c r="I90" i="45"/>
  <c r="S232" i="31"/>
  <c r="Q232" i="31"/>
  <c r="R232" i="31" s="1"/>
  <c r="M232" i="31"/>
  <c r="N232" i="31" s="1"/>
  <c r="I86" i="45"/>
  <c r="I86" i="40"/>
  <c r="S228" i="31"/>
  <c r="M228" i="31"/>
  <c r="N228" i="31" s="1"/>
  <c r="Q228" i="31"/>
  <c r="R228" i="31" s="1"/>
  <c r="T228" i="31" s="1"/>
  <c r="I82" i="40"/>
  <c r="I82" i="45"/>
  <c r="S224" i="31"/>
  <c r="Q224" i="31"/>
  <c r="R224" i="31" s="1"/>
  <c r="M224" i="31"/>
  <c r="N224" i="31" s="1"/>
  <c r="I78" i="40"/>
  <c r="I78" i="45"/>
  <c r="S309" i="31"/>
  <c r="Q309" i="31"/>
  <c r="R309" i="31" s="1"/>
  <c r="M309" i="31"/>
  <c r="N309" i="31" s="1"/>
  <c r="I163" i="45"/>
  <c r="I163" i="40"/>
  <c r="BP376" i="32"/>
  <c r="CC376" i="32" s="1"/>
  <c r="CD376" i="32" s="1"/>
  <c r="CE376" i="32" s="1"/>
  <c r="BQ376" i="32" s="1"/>
  <c r="BP328" i="32"/>
  <c r="CC328" i="32" s="1"/>
  <c r="CD328" i="32" s="1"/>
  <c r="CE328" i="32" s="1"/>
  <c r="BQ328" i="32" s="1"/>
  <c r="BP360" i="32"/>
  <c r="CC360" i="32" s="1"/>
  <c r="CD360" i="32" s="1"/>
  <c r="CE360" i="32" s="1"/>
  <c r="BQ360" i="32" s="1"/>
  <c r="BP392" i="32"/>
  <c r="CC392" i="32" s="1"/>
  <c r="CD392" i="32" s="1"/>
  <c r="CE392" i="32" s="1"/>
  <c r="BQ392" i="32" s="1"/>
  <c r="BP312" i="32"/>
  <c r="CC312" i="32" s="1"/>
  <c r="CD312" i="32" s="1"/>
  <c r="CE312" i="32" s="1"/>
  <c r="BQ312" i="32" s="1"/>
  <c r="BP344" i="32"/>
  <c r="CC344" i="32" s="1"/>
  <c r="CD344" i="32" s="1"/>
  <c r="CE344" i="32" s="1"/>
  <c r="BQ344" i="32" s="1"/>
  <c r="BP296" i="32"/>
  <c r="CC296" i="32" s="1"/>
  <c r="CD296" i="32" s="1"/>
  <c r="CE296" i="32" s="1"/>
  <c r="BQ296" i="32" s="1"/>
  <c r="T495" i="40"/>
  <c r="V495" i="40" s="1"/>
  <c r="Z495" i="40" s="1"/>
  <c r="AC495" i="40" s="1"/>
  <c r="K495" i="40"/>
  <c r="O495" i="40" s="1"/>
  <c r="Q495" i="40" s="1"/>
  <c r="X495" i="40"/>
  <c r="C423" i="32"/>
  <c r="T463" i="40"/>
  <c r="V463" i="40" s="1"/>
  <c r="Z463" i="40" s="1"/>
  <c r="AC463" i="40" s="1"/>
  <c r="K463" i="40"/>
  <c r="O463" i="40" s="1"/>
  <c r="Q463" i="40" s="1"/>
  <c r="X463" i="40"/>
  <c r="T431" i="40"/>
  <c r="V431" i="40" s="1"/>
  <c r="K431" i="40"/>
  <c r="O431" i="40" s="1"/>
  <c r="Q431" i="40" s="1"/>
  <c r="X431" i="40"/>
  <c r="T399" i="40"/>
  <c r="V399" i="40" s="1"/>
  <c r="K399" i="40"/>
  <c r="O399" i="40" s="1"/>
  <c r="Q399" i="40" s="1"/>
  <c r="X399" i="40"/>
  <c r="T367" i="40"/>
  <c r="V367" i="40" s="1"/>
  <c r="Z367" i="40" s="1"/>
  <c r="AC367" i="40" s="1"/>
  <c r="K367" i="40"/>
  <c r="O367" i="40" s="1"/>
  <c r="Q367" i="40" s="1"/>
  <c r="X367" i="40"/>
  <c r="T306" i="40"/>
  <c r="V306" i="40" s="1"/>
  <c r="Z306" i="40" s="1"/>
  <c r="AC306" i="40" s="1"/>
  <c r="K306" i="40"/>
  <c r="O306" i="40" s="1"/>
  <c r="Q306" i="40" s="1"/>
  <c r="X306" i="40"/>
  <c r="C234" i="32"/>
  <c r="S302" i="40"/>
  <c r="U302" i="40" s="1"/>
  <c r="Y302" i="40" s="1"/>
  <c r="AA302" i="40" s="1"/>
  <c r="AE302" i="40" s="1"/>
  <c r="AB302" i="40" s="1"/>
  <c r="J302" i="40"/>
  <c r="L302" i="40" s="1"/>
  <c r="N302" i="40" s="1"/>
  <c r="W302" i="40"/>
  <c r="B230" i="32"/>
  <c r="S216" i="40"/>
  <c r="U216" i="40" s="1"/>
  <c r="Y216" i="40" s="1"/>
  <c r="AA216" i="40" s="1"/>
  <c r="AE216" i="40" s="1"/>
  <c r="AB216" i="40" s="1"/>
  <c r="J216" i="40"/>
  <c r="L216" i="40" s="1"/>
  <c r="N216" i="40" s="1"/>
  <c r="W216" i="40"/>
  <c r="B144" i="32"/>
  <c r="T503" i="40"/>
  <c r="V503" i="40" s="1"/>
  <c r="Z503" i="40" s="1"/>
  <c r="AC503" i="40" s="1"/>
  <c r="K503" i="40"/>
  <c r="O503" i="40" s="1"/>
  <c r="Q503" i="40" s="1"/>
  <c r="X503" i="40"/>
  <c r="C431" i="32"/>
  <c r="T471" i="40"/>
  <c r="V471" i="40" s="1"/>
  <c r="Z471" i="40" s="1"/>
  <c r="AC471" i="40" s="1"/>
  <c r="K471" i="40"/>
  <c r="O471" i="40" s="1"/>
  <c r="Q471" i="40" s="1"/>
  <c r="X471" i="40"/>
  <c r="T439" i="40"/>
  <c r="V439" i="40" s="1"/>
  <c r="K439" i="40"/>
  <c r="O439" i="40" s="1"/>
  <c r="Q439" i="40" s="1"/>
  <c r="X439" i="40"/>
  <c r="T407" i="40"/>
  <c r="V407" i="40" s="1"/>
  <c r="K407" i="40"/>
  <c r="O407" i="40" s="1"/>
  <c r="Q407" i="40" s="1"/>
  <c r="X407" i="40"/>
  <c r="T375" i="40"/>
  <c r="V375" i="40" s="1"/>
  <c r="Z375" i="40" s="1"/>
  <c r="AC375" i="40" s="1"/>
  <c r="K375" i="40"/>
  <c r="O375" i="40" s="1"/>
  <c r="Q375" i="40" s="1"/>
  <c r="X375" i="40"/>
  <c r="T274" i="40"/>
  <c r="V274" i="40" s="1"/>
  <c r="Z274" i="40" s="1"/>
  <c r="AC274" i="40" s="1"/>
  <c r="K274" i="40"/>
  <c r="O274" i="40" s="1"/>
  <c r="Q274" i="40" s="1"/>
  <c r="X274" i="40"/>
  <c r="C202" i="32"/>
  <c r="S248" i="40"/>
  <c r="U248" i="40" s="1"/>
  <c r="Y248" i="40" s="1"/>
  <c r="AA248" i="40" s="1"/>
  <c r="AE248" i="40" s="1"/>
  <c r="AB248" i="40" s="1"/>
  <c r="J248" i="40"/>
  <c r="L248" i="40" s="1"/>
  <c r="N248" i="40" s="1"/>
  <c r="W248" i="40"/>
  <c r="B176" i="32"/>
  <c r="S181" i="40"/>
  <c r="U181" i="40" s="1"/>
  <c r="Y181" i="40" s="1"/>
  <c r="AA181" i="40" s="1"/>
  <c r="AE181" i="40" s="1"/>
  <c r="AB181" i="40" s="1"/>
  <c r="W181" i="40"/>
  <c r="J181" i="40"/>
  <c r="L181" i="40" s="1"/>
  <c r="N181" i="40" s="1"/>
  <c r="B109" i="32"/>
  <c r="T155" i="40"/>
  <c r="V155" i="40" s="1"/>
  <c r="Z155" i="40" s="1"/>
  <c r="AC155" i="40" s="1"/>
  <c r="X155" i="40"/>
  <c r="K155" i="40"/>
  <c r="O155" i="40" s="1"/>
  <c r="Q155" i="40" s="1"/>
  <c r="C83" i="32"/>
  <c r="S509" i="40"/>
  <c r="U509" i="40" s="1"/>
  <c r="Y509" i="40" s="1"/>
  <c r="AA509" i="40" s="1"/>
  <c r="AE509" i="40" s="1"/>
  <c r="AB509" i="40" s="1"/>
  <c r="J509" i="40"/>
  <c r="L509" i="40" s="1"/>
  <c r="N509" i="40" s="1"/>
  <c r="W509" i="40"/>
  <c r="B437" i="32"/>
  <c r="S501" i="40"/>
  <c r="U501" i="40" s="1"/>
  <c r="Y501" i="40" s="1"/>
  <c r="AA501" i="40" s="1"/>
  <c r="AE501" i="40" s="1"/>
  <c r="AB501" i="40" s="1"/>
  <c r="J501" i="40"/>
  <c r="L501" i="40" s="1"/>
  <c r="N501" i="40" s="1"/>
  <c r="W501" i="40"/>
  <c r="B429" i="32"/>
  <c r="S493" i="40"/>
  <c r="U493" i="40" s="1"/>
  <c r="Y493" i="40" s="1"/>
  <c r="AA493" i="40" s="1"/>
  <c r="AE493" i="40" s="1"/>
  <c r="AB493" i="40" s="1"/>
  <c r="J493" i="40"/>
  <c r="L493" i="40" s="1"/>
  <c r="N493" i="40" s="1"/>
  <c r="W493" i="40"/>
  <c r="B421" i="32"/>
  <c r="S485" i="40"/>
  <c r="U485" i="40" s="1"/>
  <c r="Y485" i="40" s="1"/>
  <c r="AA485" i="40" s="1"/>
  <c r="AE485" i="40" s="1"/>
  <c r="AB485" i="40" s="1"/>
  <c r="J485" i="40"/>
  <c r="L485" i="40" s="1"/>
  <c r="N485" i="40" s="1"/>
  <c r="W485" i="40"/>
  <c r="B413" i="32"/>
  <c r="S477" i="40"/>
  <c r="U477" i="40" s="1"/>
  <c r="Y477" i="40" s="1"/>
  <c r="AA477" i="40" s="1"/>
  <c r="AE477" i="40" s="1"/>
  <c r="AB477" i="40" s="1"/>
  <c r="J477" i="40"/>
  <c r="L477" i="40" s="1"/>
  <c r="N477" i="40" s="1"/>
  <c r="W477" i="40"/>
  <c r="B405" i="32"/>
  <c r="S469" i="40"/>
  <c r="U469" i="40" s="1"/>
  <c r="Y469" i="40" s="1"/>
  <c r="AA469" i="40" s="1"/>
  <c r="AE469" i="40" s="1"/>
  <c r="AB469" i="40" s="1"/>
  <c r="J469" i="40"/>
  <c r="L469" i="40" s="1"/>
  <c r="N469" i="40" s="1"/>
  <c r="W469" i="40"/>
  <c r="B397" i="32"/>
  <c r="S461" i="40"/>
  <c r="U461" i="40" s="1"/>
  <c r="Y461" i="40" s="1"/>
  <c r="AA461" i="40" s="1"/>
  <c r="AE461" i="40" s="1"/>
  <c r="AB461" i="40" s="1"/>
  <c r="J461" i="40"/>
  <c r="L461" i="40" s="1"/>
  <c r="N461" i="40" s="1"/>
  <c r="W461" i="40"/>
  <c r="B389" i="32"/>
  <c r="S453" i="40"/>
  <c r="U453" i="40" s="1"/>
  <c r="Y453" i="40" s="1"/>
  <c r="AA453" i="40" s="1"/>
  <c r="AE453" i="40" s="1"/>
  <c r="AB453" i="40" s="1"/>
  <c r="J453" i="40"/>
  <c r="L453" i="40" s="1"/>
  <c r="N453" i="40" s="1"/>
  <c r="W453" i="40"/>
  <c r="B381" i="32"/>
  <c r="S445" i="40"/>
  <c r="U445" i="40" s="1"/>
  <c r="Y445" i="40" s="1"/>
  <c r="AA445" i="40" s="1"/>
  <c r="AE445" i="40" s="1"/>
  <c r="AB445" i="40" s="1"/>
  <c r="J445" i="40"/>
  <c r="L445" i="40" s="1"/>
  <c r="N445" i="40" s="1"/>
  <c r="W445" i="40"/>
  <c r="B373" i="32"/>
  <c r="S437" i="40"/>
  <c r="U437" i="40" s="1"/>
  <c r="Y437" i="40" s="1"/>
  <c r="AA437" i="40" s="1"/>
  <c r="AE437" i="40" s="1"/>
  <c r="AB437" i="40" s="1"/>
  <c r="J437" i="40"/>
  <c r="L437" i="40" s="1"/>
  <c r="N437" i="40" s="1"/>
  <c r="W437" i="40"/>
  <c r="B365" i="32"/>
  <c r="S429" i="40"/>
  <c r="U429" i="40" s="1"/>
  <c r="Y429" i="40" s="1"/>
  <c r="AA429" i="40" s="1"/>
  <c r="AE429" i="40" s="1"/>
  <c r="AB429" i="40" s="1"/>
  <c r="J429" i="40"/>
  <c r="L429" i="40" s="1"/>
  <c r="N429" i="40" s="1"/>
  <c r="W429" i="40"/>
  <c r="B357" i="32"/>
  <c r="S421" i="40"/>
  <c r="U421" i="40" s="1"/>
  <c r="Y421" i="40" s="1"/>
  <c r="AA421" i="40" s="1"/>
  <c r="AE421" i="40" s="1"/>
  <c r="AB421" i="40" s="1"/>
  <c r="J421" i="40"/>
  <c r="L421" i="40" s="1"/>
  <c r="N421" i="40" s="1"/>
  <c r="W421" i="40"/>
  <c r="B349" i="32"/>
  <c r="S413" i="40"/>
  <c r="U413" i="40" s="1"/>
  <c r="Y413" i="40" s="1"/>
  <c r="AA413" i="40" s="1"/>
  <c r="AE413" i="40" s="1"/>
  <c r="AB413" i="40" s="1"/>
  <c r="J413" i="40"/>
  <c r="L413" i="40" s="1"/>
  <c r="N413" i="40" s="1"/>
  <c r="W413" i="40"/>
  <c r="B341" i="32"/>
  <c r="S405" i="40"/>
  <c r="U405" i="40" s="1"/>
  <c r="Y405" i="40" s="1"/>
  <c r="AA405" i="40" s="1"/>
  <c r="AE405" i="40" s="1"/>
  <c r="AB405" i="40" s="1"/>
  <c r="J405" i="40"/>
  <c r="L405" i="40" s="1"/>
  <c r="N405" i="40" s="1"/>
  <c r="W405" i="40"/>
  <c r="B333" i="32"/>
  <c r="S397" i="40"/>
  <c r="U397" i="40" s="1"/>
  <c r="Y397" i="40" s="1"/>
  <c r="AA397" i="40" s="1"/>
  <c r="AE397" i="40" s="1"/>
  <c r="AB397" i="40" s="1"/>
  <c r="J397" i="40"/>
  <c r="L397" i="40" s="1"/>
  <c r="N397" i="40" s="1"/>
  <c r="W397" i="40"/>
  <c r="B325" i="32"/>
  <c r="S389" i="40"/>
  <c r="U389" i="40" s="1"/>
  <c r="Y389" i="40" s="1"/>
  <c r="AA389" i="40" s="1"/>
  <c r="AE389" i="40" s="1"/>
  <c r="AB389" i="40" s="1"/>
  <c r="J389" i="40"/>
  <c r="L389" i="40" s="1"/>
  <c r="N389" i="40" s="1"/>
  <c r="W389" i="40"/>
  <c r="B317" i="32"/>
  <c r="S381" i="40"/>
  <c r="U381" i="40" s="1"/>
  <c r="Y381" i="40" s="1"/>
  <c r="AA381" i="40" s="1"/>
  <c r="AE381" i="40" s="1"/>
  <c r="AB381" i="40" s="1"/>
  <c r="J381" i="40"/>
  <c r="L381" i="40" s="1"/>
  <c r="N381" i="40" s="1"/>
  <c r="W381" i="40"/>
  <c r="B309" i="32"/>
  <c r="S373" i="40"/>
  <c r="U373" i="40" s="1"/>
  <c r="Y373" i="40" s="1"/>
  <c r="AA373" i="40" s="1"/>
  <c r="AE373" i="40" s="1"/>
  <c r="AB373" i="40" s="1"/>
  <c r="J373" i="40"/>
  <c r="L373" i="40" s="1"/>
  <c r="N373" i="40" s="1"/>
  <c r="W373" i="40"/>
  <c r="B301" i="32"/>
  <c r="S365" i="40"/>
  <c r="U365" i="40" s="1"/>
  <c r="Y365" i="40" s="1"/>
  <c r="AA365" i="40" s="1"/>
  <c r="AE365" i="40" s="1"/>
  <c r="AB365" i="40" s="1"/>
  <c r="J365" i="40"/>
  <c r="L365" i="40" s="1"/>
  <c r="N365" i="40" s="1"/>
  <c r="W365" i="40"/>
  <c r="B293" i="32"/>
  <c r="S357" i="40"/>
  <c r="U357" i="40" s="1"/>
  <c r="Y357" i="40" s="1"/>
  <c r="AA357" i="40" s="1"/>
  <c r="AE357" i="40" s="1"/>
  <c r="AB357" i="40" s="1"/>
  <c r="J357" i="40"/>
  <c r="L357" i="40" s="1"/>
  <c r="N357" i="40" s="1"/>
  <c r="W357" i="40"/>
  <c r="B285" i="32"/>
  <c r="S349" i="40"/>
  <c r="U349" i="40" s="1"/>
  <c r="Y349" i="40" s="1"/>
  <c r="AA349" i="40" s="1"/>
  <c r="AE349" i="40" s="1"/>
  <c r="AB349" i="40" s="1"/>
  <c r="J349" i="40"/>
  <c r="L349" i="40" s="1"/>
  <c r="N349" i="40" s="1"/>
  <c r="W349" i="40"/>
  <c r="B277" i="32"/>
  <c r="S341" i="40"/>
  <c r="U341" i="40" s="1"/>
  <c r="Y341" i="40" s="1"/>
  <c r="AA341" i="40" s="1"/>
  <c r="AE341" i="40" s="1"/>
  <c r="AB341" i="40" s="1"/>
  <c r="J341" i="40"/>
  <c r="L341" i="40" s="1"/>
  <c r="N341" i="40" s="1"/>
  <c r="W341" i="40"/>
  <c r="B269" i="32"/>
  <c r="S333" i="40"/>
  <c r="U333" i="40" s="1"/>
  <c r="Y333" i="40" s="1"/>
  <c r="AA333" i="40" s="1"/>
  <c r="AE333" i="40" s="1"/>
  <c r="AB333" i="40" s="1"/>
  <c r="J333" i="40"/>
  <c r="L333" i="40" s="1"/>
  <c r="N333" i="40" s="1"/>
  <c r="W333" i="40"/>
  <c r="B261" i="32"/>
  <c r="S325" i="40"/>
  <c r="U325" i="40" s="1"/>
  <c r="Y325" i="40" s="1"/>
  <c r="AA325" i="40" s="1"/>
  <c r="AE325" i="40" s="1"/>
  <c r="AB325" i="40" s="1"/>
  <c r="J325" i="40"/>
  <c r="L325" i="40" s="1"/>
  <c r="N325" i="40" s="1"/>
  <c r="W325" i="40"/>
  <c r="B253" i="32"/>
  <c r="T341" i="40"/>
  <c r="V341" i="40" s="1"/>
  <c r="Z341" i="40" s="1"/>
  <c r="AC341" i="40" s="1"/>
  <c r="K341" i="40"/>
  <c r="O341" i="40" s="1"/>
  <c r="Q341" i="40" s="1"/>
  <c r="C269" i="32"/>
  <c r="X341" i="40"/>
  <c r="T333" i="40"/>
  <c r="V333" i="40" s="1"/>
  <c r="Z333" i="40" s="1"/>
  <c r="AC333" i="40" s="1"/>
  <c r="K333" i="40"/>
  <c r="O333" i="40" s="1"/>
  <c r="Q333" i="40" s="1"/>
  <c r="C261" i="32"/>
  <c r="X333" i="40"/>
  <c r="T325" i="40"/>
  <c r="V325" i="40" s="1"/>
  <c r="Z325" i="40" s="1"/>
  <c r="AC325" i="40" s="1"/>
  <c r="K325" i="40"/>
  <c r="O325" i="40" s="1"/>
  <c r="Q325" i="40" s="1"/>
  <c r="C253" i="32"/>
  <c r="X325" i="40"/>
  <c r="C399" i="32"/>
  <c r="BP384" i="32"/>
  <c r="CC384" i="32" s="1"/>
  <c r="CD384" i="32" s="1"/>
  <c r="CE384" i="32" s="1"/>
  <c r="BQ384" i="32" s="1"/>
  <c r="C367" i="32"/>
  <c r="BP352" i="32"/>
  <c r="CC352" i="32" s="1"/>
  <c r="CD352" i="32" s="1"/>
  <c r="CE352" i="32" s="1"/>
  <c r="BQ352" i="32" s="1"/>
  <c r="C335" i="32"/>
  <c r="BP320" i="32"/>
  <c r="CC320" i="32" s="1"/>
  <c r="CD320" i="32" s="1"/>
  <c r="CE320" i="32" s="1"/>
  <c r="BQ320" i="32" s="1"/>
  <c r="C303" i="32"/>
  <c r="BP288" i="32"/>
  <c r="CC288" i="32" s="1"/>
  <c r="CD288" i="32" s="1"/>
  <c r="CE288" i="32" s="1"/>
  <c r="BQ288" i="32" s="1"/>
  <c r="T511" i="40"/>
  <c r="V511" i="40" s="1"/>
  <c r="Z511" i="40" s="1"/>
  <c r="K511" i="40"/>
  <c r="O511" i="40" s="1"/>
  <c r="Q511" i="40" s="1"/>
  <c r="X511" i="40"/>
  <c r="C439" i="32"/>
  <c r="T479" i="40"/>
  <c r="V479" i="40" s="1"/>
  <c r="Z479" i="40" s="1"/>
  <c r="K479" i="40"/>
  <c r="O479" i="40" s="1"/>
  <c r="Q479" i="40" s="1"/>
  <c r="X479" i="40"/>
  <c r="C407" i="32"/>
  <c r="T447" i="40"/>
  <c r="V447" i="40" s="1"/>
  <c r="Z447" i="40" s="1"/>
  <c r="K447" i="40"/>
  <c r="O447" i="40" s="1"/>
  <c r="Q447" i="40" s="1"/>
  <c r="X447" i="40"/>
  <c r="T415" i="40"/>
  <c r="V415" i="40" s="1"/>
  <c r="K415" i="40"/>
  <c r="O415" i="40" s="1"/>
  <c r="Q415" i="40" s="1"/>
  <c r="X415" i="40"/>
  <c r="T383" i="40"/>
  <c r="V383" i="40" s="1"/>
  <c r="K383" i="40"/>
  <c r="O383" i="40" s="1"/>
  <c r="Q383" i="40" s="1"/>
  <c r="X383" i="40"/>
  <c r="T351" i="40"/>
  <c r="V351" i="40" s="1"/>
  <c r="Z351" i="40" s="1"/>
  <c r="AC351" i="40" s="1"/>
  <c r="K351" i="40"/>
  <c r="O351" i="40" s="1"/>
  <c r="Q351" i="40" s="1"/>
  <c r="X351" i="40"/>
  <c r="C279" i="32"/>
  <c r="T232" i="40"/>
  <c r="V232" i="40" s="1"/>
  <c r="Z232" i="40" s="1"/>
  <c r="AC232" i="40" s="1"/>
  <c r="K232" i="40"/>
  <c r="O232" i="40" s="1"/>
  <c r="Q232" i="40" s="1"/>
  <c r="X232" i="40"/>
  <c r="C160" i="32"/>
  <c r="C82" i="40"/>
  <c r="C98" i="40"/>
  <c r="C114" i="40"/>
  <c r="C130" i="40"/>
  <c r="C146" i="40"/>
  <c r="C162" i="40"/>
  <c r="C178" i="40"/>
  <c r="C194" i="40"/>
  <c r="C210" i="40"/>
  <c r="C226" i="40"/>
  <c r="C242" i="40"/>
  <c r="C258" i="40"/>
  <c r="C274" i="40"/>
  <c r="C290" i="40"/>
  <c r="C306" i="40"/>
  <c r="C322" i="40"/>
  <c r="C338" i="40"/>
  <c r="C354" i="40"/>
  <c r="C370" i="40"/>
  <c r="C386" i="40"/>
  <c r="C402" i="40"/>
  <c r="C418" i="40"/>
  <c r="C434" i="40"/>
  <c r="C450" i="40"/>
  <c r="C466" i="40"/>
  <c r="C482" i="40"/>
  <c r="C498" i="40"/>
  <c r="C514" i="40"/>
  <c r="S264" i="40"/>
  <c r="U264" i="40" s="1"/>
  <c r="Y264" i="40" s="1"/>
  <c r="AA264" i="40" s="1"/>
  <c r="AE264" i="40" s="1"/>
  <c r="AB264" i="40" s="1"/>
  <c r="J264" i="40"/>
  <c r="L264" i="40" s="1"/>
  <c r="N264" i="40" s="1"/>
  <c r="W264" i="40"/>
  <c r="B192" i="32"/>
  <c r="S256" i="40"/>
  <c r="U256" i="40" s="1"/>
  <c r="Y256" i="40" s="1"/>
  <c r="AA256" i="40" s="1"/>
  <c r="AE256" i="40" s="1"/>
  <c r="AB256" i="40" s="1"/>
  <c r="J256" i="40"/>
  <c r="L256" i="40" s="1"/>
  <c r="N256" i="40" s="1"/>
  <c r="W256" i="40"/>
  <c r="B184" i="32"/>
  <c r="S232" i="40"/>
  <c r="U232" i="40" s="1"/>
  <c r="Y232" i="40" s="1"/>
  <c r="AA232" i="40" s="1"/>
  <c r="AE232" i="40" s="1"/>
  <c r="AB232" i="40" s="1"/>
  <c r="AF232" i="40" s="1"/>
  <c r="J232" i="40"/>
  <c r="L232" i="40" s="1"/>
  <c r="N232" i="40" s="1"/>
  <c r="W232" i="40"/>
  <c r="B160" i="32"/>
  <c r="S224" i="40"/>
  <c r="U224" i="40" s="1"/>
  <c r="Y224" i="40" s="1"/>
  <c r="AA224" i="40" s="1"/>
  <c r="AE224" i="40" s="1"/>
  <c r="AB224" i="40" s="1"/>
  <c r="J224" i="40"/>
  <c r="L224" i="40" s="1"/>
  <c r="N224" i="40" s="1"/>
  <c r="W224" i="40"/>
  <c r="B152" i="32"/>
  <c r="T515" i="40"/>
  <c r="V515" i="40" s="1"/>
  <c r="Z515" i="40" s="1"/>
  <c r="AC515" i="40" s="1"/>
  <c r="K515" i="40"/>
  <c r="O515" i="40" s="1"/>
  <c r="Q515" i="40" s="1"/>
  <c r="X515" i="40"/>
  <c r="C443" i="32"/>
  <c r="T507" i="40"/>
  <c r="V507" i="40" s="1"/>
  <c r="Z507" i="40" s="1"/>
  <c r="AC507" i="40" s="1"/>
  <c r="K507" i="40"/>
  <c r="O507" i="40" s="1"/>
  <c r="Q507" i="40" s="1"/>
  <c r="X507" i="40"/>
  <c r="C435" i="32"/>
  <c r="T499" i="40"/>
  <c r="V499" i="40" s="1"/>
  <c r="Z499" i="40" s="1"/>
  <c r="AC499" i="40" s="1"/>
  <c r="K499" i="40"/>
  <c r="O499" i="40" s="1"/>
  <c r="Q499" i="40" s="1"/>
  <c r="X499" i="40"/>
  <c r="C427" i="32"/>
  <c r="T491" i="40"/>
  <c r="V491" i="40" s="1"/>
  <c r="Z491" i="40" s="1"/>
  <c r="AC491" i="40" s="1"/>
  <c r="K491" i="40"/>
  <c r="O491" i="40" s="1"/>
  <c r="Q491" i="40" s="1"/>
  <c r="X491" i="40"/>
  <c r="C419" i="32"/>
  <c r="T483" i="40"/>
  <c r="V483" i="40" s="1"/>
  <c r="Z483" i="40" s="1"/>
  <c r="AC483" i="40" s="1"/>
  <c r="K483" i="40"/>
  <c r="O483" i="40" s="1"/>
  <c r="Q483" i="40" s="1"/>
  <c r="X483" i="40"/>
  <c r="C411" i="32"/>
  <c r="T475" i="40"/>
  <c r="V475" i="40" s="1"/>
  <c r="Z475" i="40" s="1"/>
  <c r="AC475" i="40" s="1"/>
  <c r="K475" i="40"/>
  <c r="O475" i="40" s="1"/>
  <c r="Q475" i="40" s="1"/>
  <c r="X475" i="40"/>
  <c r="C403" i="32"/>
  <c r="T381" i="40"/>
  <c r="V381" i="40" s="1"/>
  <c r="Z381" i="40" s="1"/>
  <c r="AC381" i="40" s="1"/>
  <c r="K381" i="40"/>
  <c r="O381" i="40" s="1"/>
  <c r="Q381" i="40" s="1"/>
  <c r="X381" i="40"/>
  <c r="C309" i="32"/>
  <c r="T373" i="40"/>
  <c r="V373" i="40" s="1"/>
  <c r="Z373" i="40" s="1"/>
  <c r="AC373" i="40" s="1"/>
  <c r="K373" i="40"/>
  <c r="O373" i="40" s="1"/>
  <c r="Q373" i="40" s="1"/>
  <c r="X373" i="40"/>
  <c r="C301" i="32"/>
  <c r="T365" i="40"/>
  <c r="V365" i="40" s="1"/>
  <c r="Z365" i="40" s="1"/>
  <c r="AC365" i="40" s="1"/>
  <c r="K365" i="40"/>
  <c r="O365" i="40" s="1"/>
  <c r="Q365" i="40" s="1"/>
  <c r="X365" i="40"/>
  <c r="C293" i="32"/>
  <c r="T357" i="40"/>
  <c r="V357" i="40" s="1"/>
  <c r="Z357" i="40" s="1"/>
  <c r="AC357" i="40" s="1"/>
  <c r="K357" i="40"/>
  <c r="O357" i="40" s="1"/>
  <c r="Q357" i="40" s="1"/>
  <c r="X357" i="40"/>
  <c r="C285" i="32"/>
  <c r="T349" i="40"/>
  <c r="V349" i="40" s="1"/>
  <c r="Z349" i="40" s="1"/>
  <c r="AC349" i="40" s="1"/>
  <c r="K349" i="40"/>
  <c r="O349" i="40" s="1"/>
  <c r="Q349" i="40" s="1"/>
  <c r="C277" i="32"/>
  <c r="X349" i="40"/>
  <c r="T248" i="40"/>
  <c r="V248" i="40" s="1"/>
  <c r="Z248" i="40" s="1"/>
  <c r="AC248" i="40" s="1"/>
  <c r="K248" i="40"/>
  <c r="O248" i="40" s="1"/>
  <c r="Q248" i="40" s="1"/>
  <c r="X248" i="40"/>
  <c r="C176" i="32"/>
  <c r="T240" i="40"/>
  <c r="V240" i="40" s="1"/>
  <c r="Z240" i="40" s="1"/>
  <c r="AC240" i="40" s="1"/>
  <c r="K240" i="40"/>
  <c r="O240" i="40" s="1"/>
  <c r="Q240" i="40" s="1"/>
  <c r="X240" i="40"/>
  <c r="C168" i="32"/>
  <c r="T216" i="40"/>
  <c r="V216" i="40" s="1"/>
  <c r="Z216" i="40" s="1"/>
  <c r="AC216" i="40" s="1"/>
  <c r="K216" i="40"/>
  <c r="O216" i="40" s="1"/>
  <c r="Q216" i="40" s="1"/>
  <c r="X216" i="40"/>
  <c r="C144" i="32"/>
  <c r="T208" i="40"/>
  <c r="V208" i="40" s="1"/>
  <c r="Z208" i="40" s="1"/>
  <c r="AC208" i="40" s="1"/>
  <c r="K208" i="40"/>
  <c r="O208" i="40" s="1"/>
  <c r="Q208" i="40" s="1"/>
  <c r="X208" i="40"/>
  <c r="C136" i="32"/>
  <c r="T347" i="40"/>
  <c r="V347" i="40" s="1"/>
  <c r="Z347" i="40" s="1"/>
  <c r="AC347" i="40" s="1"/>
  <c r="K347" i="40"/>
  <c r="O347" i="40" s="1"/>
  <c r="Q347" i="40" s="1"/>
  <c r="X347" i="40"/>
  <c r="C275" i="32"/>
  <c r="T487" i="40"/>
  <c r="V487" i="40" s="1"/>
  <c r="Z487" i="40" s="1"/>
  <c r="AC487" i="40" s="1"/>
  <c r="K487" i="40"/>
  <c r="O487" i="40" s="1"/>
  <c r="Q487" i="40" s="1"/>
  <c r="X487" i="40"/>
  <c r="C415" i="32"/>
  <c r="T455" i="40"/>
  <c r="V455" i="40" s="1"/>
  <c r="Z455" i="40" s="1"/>
  <c r="AC455" i="40" s="1"/>
  <c r="K455" i="40"/>
  <c r="O455" i="40" s="1"/>
  <c r="Q455" i="40" s="1"/>
  <c r="X455" i="40"/>
  <c r="T423" i="40"/>
  <c r="V423" i="40" s="1"/>
  <c r="K423" i="40"/>
  <c r="O423" i="40" s="1"/>
  <c r="Q423" i="40" s="1"/>
  <c r="X423" i="40"/>
  <c r="T391" i="40"/>
  <c r="V391" i="40" s="1"/>
  <c r="K391" i="40"/>
  <c r="O391" i="40" s="1"/>
  <c r="Q391" i="40" s="1"/>
  <c r="X391" i="40"/>
  <c r="T359" i="40"/>
  <c r="V359" i="40" s="1"/>
  <c r="Z359" i="40" s="1"/>
  <c r="AC359" i="40" s="1"/>
  <c r="K359" i="40"/>
  <c r="O359" i="40" s="1"/>
  <c r="Q359" i="40" s="1"/>
  <c r="X359" i="40"/>
  <c r="T264" i="40"/>
  <c r="V264" i="40" s="1"/>
  <c r="Z264" i="40" s="1"/>
  <c r="AC264" i="40" s="1"/>
  <c r="K264" i="40"/>
  <c r="O264" i="40" s="1"/>
  <c r="Q264" i="40" s="1"/>
  <c r="X264" i="40"/>
  <c r="C192" i="32"/>
  <c r="S660" i="31"/>
  <c r="M660" i="31"/>
  <c r="N660" i="31" s="1"/>
  <c r="Q660" i="31"/>
  <c r="R660" i="31" s="1"/>
  <c r="H514" i="45"/>
  <c r="H514" i="40"/>
  <c r="S656" i="31"/>
  <c r="Q656" i="31"/>
  <c r="R656" i="31" s="1"/>
  <c r="M656" i="31"/>
  <c r="N656" i="31" s="1"/>
  <c r="H510" i="45"/>
  <c r="H510" i="40"/>
  <c r="Q652" i="31"/>
  <c r="R652" i="31" s="1"/>
  <c r="S652" i="31"/>
  <c r="M652" i="31"/>
  <c r="N652" i="31" s="1"/>
  <c r="H506" i="45"/>
  <c r="H506" i="40"/>
  <c r="S648" i="31"/>
  <c r="Q648" i="31"/>
  <c r="R648" i="31" s="1"/>
  <c r="T648" i="31" s="1"/>
  <c r="M648" i="31"/>
  <c r="N648" i="31" s="1"/>
  <c r="H502" i="45"/>
  <c r="H502" i="40"/>
  <c r="S644" i="31"/>
  <c r="Q644" i="31"/>
  <c r="R644" i="31" s="1"/>
  <c r="M644" i="31"/>
  <c r="N644" i="31" s="1"/>
  <c r="H498" i="45"/>
  <c r="H498" i="40"/>
  <c r="S640" i="31"/>
  <c r="Q640" i="31"/>
  <c r="R640" i="31" s="1"/>
  <c r="M640" i="31"/>
  <c r="N640" i="31" s="1"/>
  <c r="H494" i="45"/>
  <c r="H494" i="40"/>
  <c r="S636" i="31"/>
  <c r="Q636" i="31"/>
  <c r="R636" i="31" s="1"/>
  <c r="T636" i="31" s="1"/>
  <c r="M636" i="31"/>
  <c r="N636" i="31" s="1"/>
  <c r="H490" i="45"/>
  <c r="H490" i="40"/>
  <c r="S632" i="31"/>
  <c r="Q632" i="31"/>
  <c r="R632" i="31" s="1"/>
  <c r="T632" i="31" s="1"/>
  <c r="M632" i="31"/>
  <c r="N632" i="31" s="1"/>
  <c r="H486" i="45"/>
  <c r="H486" i="40"/>
  <c r="S628" i="31"/>
  <c r="Q628" i="31"/>
  <c r="R628" i="31" s="1"/>
  <c r="M628" i="31"/>
  <c r="N628" i="31" s="1"/>
  <c r="H482" i="45"/>
  <c r="H482" i="40"/>
  <c r="S624" i="31"/>
  <c r="Q624" i="31"/>
  <c r="R624" i="31" s="1"/>
  <c r="M624" i="31"/>
  <c r="N624" i="31" s="1"/>
  <c r="H478" i="45"/>
  <c r="H478" i="40"/>
  <c r="Q620" i="31"/>
  <c r="R620" i="31" s="1"/>
  <c r="M620" i="31"/>
  <c r="N620" i="31" s="1"/>
  <c r="S620" i="31"/>
  <c r="H474" i="45"/>
  <c r="H474" i="40"/>
  <c r="S616" i="31"/>
  <c r="Q616" i="31"/>
  <c r="R616" i="31" s="1"/>
  <c r="T616" i="31" s="1"/>
  <c r="M616" i="31"/>
  <c r="N616" i="31" s="1"/>
  <c r="H470" i="45"/>
  <c r="H470" i="40"/>
  <c r="S612" i="31"/>
  <c r="Q612" i="31"/>
  <c r="R612" i="31" s="1"/>
  <c r="M612" i="31"/>
  <c r="N612" i="31" s="1"/>
  <c r="H466" i="45"/>
  <c r="H466" i="40"/>
  <c r="S608" i="31"/>
  <c r="Q608" i="31"/>
  <c r="R608" i="31" s="1"/>
  <c r="H462" i="45"/>
  <c r="M608" i="31"/>
  <c r="N608" i="31" s="1"/>
  <c r="H462" i="40"/>
  <c r="S604" i="31"/>
  <c r="Q604" i="31"/>
  <c r="R604" i="31" s="1"/>
  <c r="T604" i="31" s="1"/>
  <c r="M604" i="31"/>
  <c r="N604" i="31" s="1"/>
  <c r="H458" i="45"/>
  <c r="H458" i="40"/>
  <c r="S600" i="31"/>
  <c r="Q600" i="31"/>
  <c r="R600" i="31" s="1"/>
  <c r="T600" i="31" s="1"/>
  <c r="M600" i="31"/>
  <c r="N600" i="31" s="1"/>
  <c r="H454" i="45"/>
  <c r="H454" i="40"/>
  <c r="S596" i="31"/>
  <c r="Q596" i="31"/>
  <c r="R596" i="31" s="1"/>
  <c r="M596" i="31"/>
  <c r="N596" i="31" s="1"/>
  <c r="H450" i="45"/>
  <c r="H450" i="40"/>
  <c r="S592" i="31"/>
  <c r="Q592" i="31"/>
  <c r="R592" i="31" s="1"/>
  <c r="M592" i="31"/>
  <c r="N592" i="31" s="1"/>
  <c r="H446" i="45"/>
  <c r="H446" i="40"/>
  <c r="Q588" i="31"/>
  <c r="R588" i="31" s="1"/>
  <c r="S588" i="31"/>
  <c r="M588" i="31"/>
  <c r="N588" i="31" s="1"/>
  <c r="H442" i="45"/>
  <c r="H442" i="40"/>
  <c r="S584" i="31"/>
  <c r="Q584" i="31"/>
  <c r="R584" i="31" s="1"/>
  <c r="T584" i="31" s="1"/>
  <c r="M584" i="31"/>
  <c r="N584" i="31" s="1"/>
  <c r="H438" i="45"/>
  <c r="H438" i="40"/>
  <c r="S580" i="31"/>
  <c r="Q580" i="31"/>
  <c r="R580" i="31" s="1"/>
  <c r="M580" i="31"/>
  <c r="N580" i="31" s="1"/>
  <c r="H434" i="45"/>
  <c r="H434" i="40"/>
  <c r="S576" i="31"/>
  <c r="M576" i="31"/>
  <c r="N576" i="31" s="1"/>
  <c r="Q576" i="31"/>
  <c r="R576" i="31" s="1"/>
  <c r="H430" i="45"/>
  <c r="H430" i="40"/>
  <c r="S572" i="31"/>
  <c r="Q572" i="31"/>
  <c r="R572" i="31" s="1"/>
  <c r="T572" i="31" s="1"/>
  <c r="M572" i="31"/>
  <c r="N572" i="31" s="1"/>
  <c r="H426" i="45"/>
  <c r="H426" i="40"/>
  <c r="S568" i="31"/>
  <c r="Q568" i="31"/>
  <c r="R568" i="31" s="1"/>
  <c r="T568" i="31" s="1"/>
  <c r="M568" i="31"/>
  <c r="N568" i="31" s="1"/>
  <c r="H422" i="45"/>
  <c r="H422" i="40"/>
  <c r="S564" i="31"/>
  <c r="Q564" i="31"/>
  <c r="R564" i="31" s="1"/>
  <c r="H418" i="45"/>
  <c r="M564" i="31"/>
  <c r="N564" i="31" s="1"/>
  <c r="H418" i="40"/>
  <c r="S560" i="31"/>
  <c r="Q560" i="31"/>
  <c r="R560" i="31" s="1"/>
  <c r="M560" i="31"/>
  <c r="N560" i="31" s="1"/>
  <c r="H414" i="45"/>
  <c r="H414" i="40"/>
  <c r="Q556" i="31"/>
  <c r="R556" i="31" s="1"/>
  <c r="M556" i="31"/>
  <c r="N556" i="31" s="1"/>
  <c r="S556" i="31"/>
  <c r="H410" i="45"/>
  <c r="H410" i="40"/>
  <c r="S552" i="31"/>
  <c r="Q552" i="31"/>
  <c r="R552" i="31" s="1"/>
  <c r="T552" i="31" s="1"/>
  <c r="M552" i="31"/>
  <c r="N552" i="31" s="1"/>
  <c r="H406" i="45"/>
  <c r="H406" i="40"/>
  <c r="S548" i="31"/>
  <c r="Q548" i="31"/>
  <c r="R548" i="31" s="1"/>
  <c r="M548" i="31"/>
  <c r="N548" i="31" s="1"/>
  <c r="H402" i="45"/>
  <c r="H402" i="40"/>
  <c r="S544" i="31"/>
  <c r="Q544" i="31"/>
  <c r="R544" i="31" s="1"/>
  <c r="M544" i="31"/>
  <c r="N544" i="31" s="1"/>
  <c r="H398" i="45"/>
  <c r="H398" i="40"/>
  <c r="S540" i="31"/>
  <c r="Q540" i="31"/>
  <c r="R540" i="31" s="1"/>
  <c r="T540" i="31" s="1"/>
  <c r="M540" i="31"/>
  <c r="N540" i="31" s="1"/>
  <c r="H394" i="45"/>
  <c r="H394" i="40"/>
  <c r="S536" i="31"/>
  <c r="Q536" i="31"/>
  <c r="R536" i="31" s="1"/>
  <c r="T536" i="31" s="1"/>
  <c r="M536" i="31"/>
  <c r="N536" i="31" s="1"/>
  <c r="H390" i="45"/>
  <c r="H390" i="40"/>
  <c r="S532" i="31"/>
  <c r="M532" i="31"/>
  <c r="N532" i="31" s="1"/>
  <c r="H386" i="45"/>
  <c r="Q532" i="31"/>
  <c r="R532" i="31" s="1"/>
  <c r="H386" i="40"/>
  <c r="S528" i="31"/>
  <c r="Q528" i="31"/>
  <c r="R528" i="31" s="1"/>
  <c r="M528" i="31"/>
  <c r="N528" i="31" s="1"/>
  <c r="H382" i="45"/>
  <c r="H382" i="40"/>
  <c r="S524" i="31"/>
  <c r="Q524" i="31"/>
  <c r="R524" i="31" s="1"/>
  <c r="T524" i="31" s="1"/>
  <c r="M524" i="31"/>
  <c r="N524" i="31" s="1"/>
  <c r="H378" i="45"/>
  <c r="H378" i="40"/>
  <c r="S520" i="31"/>
  <c r="Q520" i="31"/>
  <c r="R520" i="31" s="1"/>
  <c r="T520" i="31" s="1"/>
  <c r="M520" i="31"/>
  <c r="N520" i="31" s="1"/>
  <c r="H374" i="45"/>
  <c r="H374" i="40"/>
  <c r="S516" i="31"/>
  <c r="Q516" i="31"/>
  <c r="R516" i="31" s="1"/>
  <c r="M516" i="31"/>
  <c r="N516" i="31" s="1"/>
  <c r="H370" i="45"/>
  <c r="H370" i="40"/>
  <c r="Q512" i="31"/>
  <c r="R512" i="31" s="1"/>
  <c r="T512" i="31" s="1"/>
  <c r="M512" i="31"/>
  <c r="N512" i="31" s="1"/>
  <c r="S512" i="31"/>
  <c r="H366" i="45"/>
  <c r="H366" i="40"/>
  <c r="S508" i="31"/>
  <c r="Q508" i="31"/>
  <c r="R508" i="31" s="1"/>
  <c r="T508" i="31" s="1"/>
  <c r="M508" i="31"/>
  <c r="N508" i="31" s="1"/>
  <c r="H362" i="45"/>
  <c r="H362" i="40"/>
  <c r="S504" i="31"/>
  <c r="Q504" i="31"/>
  <c r="R504" i="31" s="1"/>
  <c r="T504" i="31" s="1"/>
  <c r="M504" i="31"/>
  <c r="N504" i="31" s="1"/>
  <c r="H358" i="45"/>
  <c r="H358" i="40"/>
  <c r="S500" i="31"/>
  <c r="Q500" i="31"/>
  <c r="R500" i="31" s="1"/>
  <c r="M500" i="31"/>
  <c r="N500" i="31" s="1"/>
  <c r="H354" i="45"/>
  <c r="H354" i="40"/>
  <c r="S496" i="31"/>
  <c r="Q496" i="31"/>
  <c r="R496" i="31" s="1"/>
  <c r="M496" i="31"/>
  <c r="N496" i="31" s="1"/>
  <c r="H350" i="45"/>
  <c r="H350" i="40"/>
  <c r="M492" i="31"/>
  <c r="N492" i="31" s="1"/>
  <c r="S492" i="31"/>
  <c r="Q492" i="31"/>
  <c r="R492" i="31" s="1"/>
  <c r="T492" i="31" s="1"/>
  <c r="H346" i="45"/>
  <c r="H346" i="40"/>
  <c r="S488" i="31"/>
  <c r="Q488" i="31"/>
  <c r="R488" i="31" s="1"/>
  <c r="T488" i="31" s="1"/>
  <c r="M488" i="31"/>
  <c r="N488" i="31" s="1"/>
  <c r="H342" i="45"/>
  <c r="H342" i="40"/>
  <c r="S484" i="31"/>
  <c r="Q484" i="31"/>
  <c r="R484" i="31" s="1"/>
  <c r="M484" i="31"/>
  <c r="N484" i="31" s="1"/>
  <c r="H338" i="45"/>
  <c r="H338" i="40"/>
  <c r="S480" i="31"/>
  <c r="Q480" i="31"/>
  <c r="R480" i="31" s="1"/>
  <c r="M480" i="31"/>
  <c r="N480" i="31" s="1"/>
  <c r="H334" i="45"/>
  <c r="H334" i="40"/>
  <c r="S476" i="31"/>
  <c r="M476" i="31"/>
  <c r="N476" i="31" s="1"/>
  <c r="Q476" i="31"/>
  <c r="R476" i="31" s="1"/>
  <c r="T476" i="31" s="1"/>
  <c r="H330" i="45"/>
  <c r="H330" i="40"/>
  <c r="S472" i="31"/>
  <c r="Q472" i="31"/>
  <c r="R472" i="31" s="1"/>
  <c r="T472" i="31" s="1"/>
  <c r="M472" i="31"/>
  <c r="N472" i="31" s="1"/>
  <c r="H326" i="45"/>
  <c r="H326" i="40"/>
  <c r="S468" i="31"/>
  <c r="Q468" i="31"/>
  <c r="R468" i="31" s="1"/>
  <c r="M468" i="31"/>
  <c r="N468" i="31" s="1"/>
  <c r="H322" i="45"/>
  <c r="H322" i="40"/>
  <c r="S464" i="31"/>
  <c r="Q464" i="31"/>
  <c r="R464" i="31" s="1"/>
  <c r="M464" i="31"/>
  <c r="N464" i="31" s="1"/>
  <c r="H318" i="45"/>
  <c r="S460" i="31"/>
  <c r="Q460" i="31"/>
  <c r="R460" i="31" s="1"/>
  <c r="M460" i="31"/>
  <c r="N460" i="31" s="1"/>
  <c r="H314" i="45"/>
  <c r="H314" i="40"/>
  <c r="S456" i="31"/>
  <c r="Q456" i="31"/>
  <c r="R456" i="31" s="1"/>
  <c r="T456" i="31" s="1"/>
  <c r="M456" i="31"/>
  <c r="N456" i="31" s="1"/>
  <c r="H310" i="45"/>
  <c r="S452" i="31"/>
  <c r="Q452" i="31"/>
  <c r="R452" i="31" s="1"/>
  <c r="T452" i="31" s="1"/>
  <c r="M452" i="31"/>
  <c r="N452" i="31" s="1"/>
  <c r="H306" i="45"/>
  <c r="H306" i="40"/>
  <c r="M448" i="31"/>
  <c r="N448" i="31" s="1"/>
  <c r="S448" i="31"/>
  <c r="Q448" i="31"/>
  <c r="R448" i="31" s="1"/>
  <c r="H302" i="45"/>
  <c r="S444" i="31"/>
  <c r="Q444" i="31"/>
  <c r="R444" i="31" s="1"/>
  <c r="T444" i="31" s="1"/>
  <c r="M444" i="31"/>
  <c r="N444" i="31" s="1"/>
  <c r="H298" i="45"/>
  <c r="H298" i="40"/>
  <c r="S220" i="31"/>
  <c r="M220" i="31"/>
  <c r="N220" i="31" s="1"/>
  <c r="Q220" i="31"/>
  <c r="R220" i="31" s="1"/>
  <c r="H294" i="45"/>
  <c r="S216" i="31"/>
  <c r="Q216" i="31"/>
  <c r="R216" i="31" s="1"/>
  <c r="M216" i="31"/>
  <c r="N216" i="31" s="1"/>
  <c r="H290" i="45"/>
  <c r="H290" i="40"/>
  <c r="S212" i="31"/>
  <c r="Q212" i="31"/>
  <c r="R212" i="31" s="1"/>
  <c r="M212" i="31"/>
  <c r="N212" i="31" s="1"/>
  <c r="H286" i="45"/>
  <c r="S208" i="31"/>
  <c r="M208" i="31"/>
  <c r="N208" i="31" s="1"/>
  <c r="Q208" i="31"/>
  <c r="R208" i="31" s="1"/>
  <c r="H282" i="45"/>
  <c r="H282" i="40"/>
  <c r="S204" i="31"/>
  <c r="Q204" i="31"/>
  <c r="R204" i="31" s="1"/>
  <c r="T204" i="31" s="1"/>
  <c r="M204" i="31"/>
  <c r="N204" i="31" s="1"/>
  <c r="H278" i="45"/>
  <c r="S200" i="31"/>
  <c r="Q200" i="31"/>
  <c r="R200" i="31" s="1"/>
  <c r="T200" i="31" s="1"/>
  <c r="M200" i="31"/>
  <c r="N200" i="31" s="1"/>
  <c r="H274" i="45"/>
  <c r="H274" i="40"/>
  <c r="S196" i="31"/>
  <c r="Q196" i="31"/>
  <c r="R196" i="31" s="1"/>
  <c r="T196" i="31" s="1"/>
  <c r="M196" i="31"/>
  <c r="N196" i="31" s="1"/>
  <c r="H270" i="45"/>
  <c r="H270" i="40"/>
  <c r="S192" i="31"/>
  <c r="M192" i="31"/>
  <c r="N192" i="31" s="1"/>
  <c r="H266" i="45"/>
  <c r="Q192" i="31"/>
  <c r="R192" i="31" s="1"/>
  <c r="H266" i="40"/>
  <c r="S188" i="31"/>
  <c r="Q188" i="31"/>
  <c r="R188" i="31" s="1"/>
  <c r="M188" i="31"/>
  <c r="N188" i="31" s="1"/>
  <c r="H262" i="45"/>
  <c r="H262" i="40"/>
  <c r="S184" i="31"/>
  <c r="Q184" i="31"/>
  <c r="R184" i="31" s="1"/>
  <c r="T184" i="31" s="1"/>
  <c r="M184" i="31"/>
  <c r="N184" i="31" s="1"/>
  <c r="H258" i="45"/>
  <c r="H258" i="40"/>
  <c r="S180" i="31"/>
  <c r="M180" i="31"/>
  <c r="N180" i="31" s="1"/>
  <c r="Q180" i="31"/>
  <c r="R180" i="31" s="1"/>
  <c r="T180" i="31" s="1"/>
  <c r="H254" i="45"/>
  <c r="H254" i="40"/>
  <c r="S176" i="31"/>
  <c r="Q176" i="31"/>
  <c r="R176" i="31" s="1"/>
  <c r="M176" i="31"/>
  <c r="N176" i="31" s="1"/>
  <c r="H250" i="45"/>
  <c r="H250" i="40"/>
  <c r="S172" i="31"/>
  <c r="M172" i="31"/>
  <c r="N172" i="31" s="1"/>
  <c r="Q172" i="31"/>
  <c r="R172" i="31" s="1"/>
  <c r="H246" i="45"/>
  <c r="H246" i="40"/>
  <c r="S168" i="31"/>
  <c r="Q168" i="31"/>
  <c r="R168" i="31" s="1"/>
  <c r="T168" i="31" s="1"/>
  <c r="M168" i="31"/>
  <c r="N168" i="31" s="1"/>
  <c r="H242" i="45"/>
  <c r="H242" i="40"/>
  <c r="S164" i="31"/>
  <c r="M164" i="31"/>
  <c r="N164" i="31" s="1"/>
  <c r="Q164" i="31"/>
  <c r="R164" i="31" s="1"/>
  <c r="T164" i="31" s="1"/>
  <c r="H238" i="45"/>
  <c r="H238" i="40"/>
  <c r="S160" i="31"/>
  <c r="Q160" i="31"/>
  <c r="R160" i="31" s="1"/>
  <c r="M160" i="31"/>
  <c r="N160" i="31" s="1"/>
  <c r="H234" i="45"/>
  <c r="H234" i="40"/>
  <c r="S156" i="31"/>
  <c r="M156" i="31"/>
  <c r="N156" i="31" s="1"/>
  <c r="Q156" i="31"/>
  <c r="R156" i="31" s="1"/>
  <c r="H230" i="45"/>
  <c r="H230" i="40"/>
  <c r="S152" i="31"/>
  <c r="Q152" i="31"/>
  <c r="R152" i="31" s="1"/>
  <c r="T152" i="31" s="1"/>
  <c r="M152" i="31"/>
  <c r="N152" i="31" s="1"/>
  <c r="H226" i="45"/>
  <c r="H226" i="40"/>
  <c r="S148" i="31"/>
  <c r="Q148" i="31"/>
  <c r="R148" i="31" s="1"/>
  <c r="T148" i="31" s="1"/>
  <c r="M148" i="31"/>
  <c r="N148" i="31" s="1"/>
  <c r="H222" i="45"/>
  <c r="H222" i="40"/>
  <c r="S144" i="31"/>
  <c r="M144" i="31"/>
  <c r="N144" i="31" s="1"/>
  <c r="Q144" i="31"/>
  <c r="R144" i="31" s="1"/>
  <c r="H218" i="45"/>
  <c r="H218" i="40"/>
  <c r="S140" i="31"/>
  <c r="Q140" i="31"/>
  <c r="R140" i="31" s="1"/>
  <c r="M140" i="31"/>
  <c r="N140" i="31" s="1"/>
  <c r="H214" i="45"/>
  <c r="H214" i="40"/>
  <c r="S136" i="31"/>
  <c r="Q136" i="31"/>
  <c r="R136" i="31" s="1"/>
  <c r="T136" i="31" s="1"/>
  <c r="M136" i="31"/>
  <c r="N136" i="31" s="1"/>
  <c r="H210" i="45"/>
  <c r="H210" i="40"/>
  <c r="S132" i="31"/>
  <c r="Q132" i="31"/>
  <c r="R132" i="31" s="1"/>
  <c r="T132" i="31" s="1"/>
  <c r="M132" i="31"/>
  <c r="N132" i="31" s="1"/>
  <c r="H206" i="45"/>
  <c r="H206" i="40"/>
  <c r="S128" i="31"/>
  <c r="M128" i="31"/>
  <c r="N128" i="31" s="1"/>
  <c r="Q128" i="31"/>
  <c r="R128" i="31" s="1"/>
  <c r="H202" i="40"/>
  <c r="H202" i="45"/>
  <c r="S124" i="31"/>
  <c r="Q124" i="31"/>
  <c r="R124" i="31" s="1"/>
  <c r="M124" i="31"/>
  <c r="N124" i="31" s="1"/>
  <c r="H198" i="40"/>
  <c r="H198" i="45"/>
  <c r="S120" i="31"/>
  <c r="Q120" i="31"/>
  <c r="R120" i="31" s="1"/>
  <c r="T120" i="31" s="1"/>
  <c r="M120" i="31"/>
  <c r="N120" i="31" s="1"/>
  <c r="H194" i="40"/>
  <c r="H194" i="45"/>
  <c r="S116" i="31"/>
  <c r="M116" i="31"/>
  <c r="N116" i="31" s="1"/>
  <c r="Q116" i="31"/>
  <c r="R116" i="31" s="1"/>
  <c r="T116" i="31" s="1"/>
  <c r="H190" i="40"/>
  <c r="H190" i="45"/>
  <c r="S112" i="31"/>
  <c r="Q112" i="31"/>
  <c r="R112" i="31" s="1"/>
  <c r="M112" i="31"/>
  <c r="N112" i="31" s="1"/>
  <c r="H186" i="40"/>
  <c r="H186" i="45"/>
  <c r="S108" i="31"/>
  <c r="M108" i="31"/>
  <c r="N108" i="31" s="1"/>
  <c r="Q108" i="31"/>
  <c r="R108" i="31" s="1"/>
  <c r="H182" i="40"/>
  <c r="H182" i="45"/>
  <c r="S104" i="31"/>
  <c r="Q104" i="31"/>
  <c r="R104" i="31" s="1"/>
  <c r="T104" i="31" s="1"/>
  <c r="M104" i="31"/>
  <c r="N104" i="31" s="1"/>
  <c r="H178" i="40"/>
  <c r="H178" i="45"/>
  <c r="S100" i="31"/>
  <c r="M100" i="31"/>
  <c r="N100" i="31" s="1"/>
  <c r="Q100" i="31"/>
  <c r="R100" i="31" s="1"/>
  <c r="T100" i="31" s="1"/>
  <c r="H174" i="40"/>
  <c r="H174" i="45"/>
  <c r="S96" i="31"/>
  <c r="Q96" i="31"/>
  <c r="R96" i="31" s="1"/>
  <c r="M96" i="31"/>
  <c r="N96" i="31" s="1"/>
  <c r="H170" i="40"/>
  <c r="H170" i="45"/>
  <c r="S92" i="31"/>
  <c r="M92" i="31"/>
  <c r="N92" i="31" s="1"/>
  <c r="Q92" i="31"/>
  <c r="R92" i="31" s="1"/>
  <c r="H166" i="40"/>
  <c r="H166" i="45"/>
  <c r="S88" i="31"/>
  <c r="Q88" i="31"/>
  <c r="R88" i="31" s="1"/>
  <c r="T88" i="31" s="1"/>
  <c r="M88" i="31"/>
  <c r="N88" i="31" s="1"/>
  <c r="H162" i="40"/>
  <c r="H162" i="45"/>
  <c r="S84" i="31"/>
  <c r="Q84" i="31"/>
  <c r="R84" i="31" s="1"/>
  <c r="T84" i="31" s="1"/>
  <c r="M84" i="31"/>
  <c r="N84" i="31" s="1"/>
  <c r="H158" i="40"/>
  <c r="H158" i="45"/>
  <c r="S80" i="31"/>
  <c r="M80" i="31"/>
  <c r="N80" i="31" s="1"/>
  <c r="H154" i="40"/>
  <c r="H154" i="45"/>
  <c r="Q80" i="31"/>
  <c r="R80" i="31" s="1"/>
  <c r="T80" i="31" s="1"/>
  <c r="S76" i="31"/>
  <c r="Q76" i="31"/>
  <c r="R76" i="31" s="1"/>
  <c r="M76" i="31"/>
  <c r="N76" i="31" s="1"/>
  <c r="H150" i="40"/>
  <c r="H150" i="45"/>
  <c r="S72" i="31"/>
  <c r="Q72" i="31"/>
  <c r="R72" i="31" s="1"/>
  <c r="T72" i="31" s="1"/>
  <c r="M72" i="31"/>
  <c r="N72" i="31" s="1"/>
  <c r="H146" i="40"/>
  <c r="H146" i="45"/>
  <c r="S68" i="31"/>
  <c r="Q68" i="31"/>
  <c r="R68" i="31" s="1"/>
  <c r="T68" i="31" s="1"/>
  <c r="M68" i="31"/>
  <c r="N68" i="31" s="1"/>
  <c r="H142" i="40"/>
  <c r="H142" i="45"/>
  <c r="S64" i="31"/>
  <c r="M64" i="31"/>
  <c r="N64" i="31" s="1"/>
  <c r="Q64" i="31"/>
  <c r="R64" i="31" s="1"/>
  <c r="H138" i="40"/>
  <c r="H138" i="45"/>
  <c r="S60" i="31"/>
  <c r="Q60" i="31"/>
  <c r="R60" i="31" s="1"/>
  <c r="M60" i="31"/>
  <c r="N60" i="31" s="1"/>
  <c r="H134" i="40"/>
  <c r="H134" i="45"/>
  <c r="S56" i="31"/>
  <c r="Q56" i="31"/>
  <c r="R56" i="31" s="1"/>
  <c r="T56" i="31" s="1"/>
  <c r="M56" i="31"/>
  <c r="N56" i="31" s="1"/>
  <c r="H130" i="40"/>
  <c r="H130" i="45"/>
  <c r="S52" i="31"/>
  <c r="M52" i="31"/>
  <c r="N52" i="31" s="1"/>
  <c r="Q52" i="31"/>
  <c r="R52" i="31" s="1"/>
  <c r="T52" i="31" s="1"/>
  <c r="H126" i="40"/>
  <c r="H126" i="45"/>
  <c r="S48" i="31"/>
  <c r="Q48" i="31"/>
  <c r="R48" i="31" s="1"/>
  <c r="M48" i="31"/>
  <c r="N48" i="31" s="1"/>
  <c r="H122" i="40"/>
  <c r="H122" i="45"/>
  <c r="S44" i="31"/>
  <c r="M44" i="31"/>
  <c r="N44" i="31" s="1"/>
  <c r="Q44" i="31"/>
  <c r="R44" i="31" s="1"/>
  <c r="H118" i="40"/>
  <c r="H118" i="45"/>
  <c r="S40" i="31"/>
  <c r="Q40" i="31"/>
  <c r="R40" i="31" s="1"/>
  <c r="T40" i="31" s="1"/>
  <c r="M40" i="31"/>
  <c r="N40" i="31" s="1"/>
  <c r="H114" i="40"/>
  <c r="H114" i="45"/>
  <c r="S36" i="31"/>
  <c r="M36" i="31"/>
  <c r="N36" i="31" s="1"/>
  <c r="Q36" i="31"/>
  <c r="R36" i="31" s="1"/>
  <c r="T36" i="31" s="1"/>
  <c r="H110" i="40"/>
  <c r="H110" i="45"/>
  <c r="S32" i="31"/>
  <c r="Q32" i="31"/>
  <c r="R32" i="31" s="1"/>
  <c r="M32" i="31"/>
  <c r="N32" i="31" s="1"/>
  <c r="H106" i="40"/>
  <c r="H106" i="45"/>
  <c r="S28" i="31"/>
  <c r="M28" i="31"/>
  <c r="N28" i="31" s="1"/>
  <c r="Q28" i="31"/>
  <c r="R28" i="31" s="1"/>
  <c r="H102" i="40"/>
  <c r="H102" i="45"/>
  <c r="S24" i="31"/>
  <c r="Q24" i="31"/>
  <c r="R24" i="31" s="1"/>
  <c r="T24" i="31" s="1"/>
  <c r="M24" i="31"/>
  <c r="N24" i="31" s="1"/>
  <c r="H98" i="40"/>
  <c r="H98" i="45"/>
  <c r="S20" i="31"/>
  <c r="Q20" i="31"/>
  <c r="R20" i="31" s="1"/>
  <c r="T20" i="31" s="1"/>
  <c r="M20" i="31"/>
  <c r="N20" i="31" s="1"/>
  <c r="H94" i="40"/>
  <c r="H94" i="45"/>
  <c r="S16" i="31"/>
  <c r="M16" i="31"/>
  <c r="N16" i="31" s="1"/>
  <c r="Q16" i="31"/>
  <c r="R16" i="31" s="1"/>
  <c r="H90" i="40"/>
  <c r="H90" i="45"/>
  <c r="S12" i="31"/>
  <c r="Q12" i="31"/>
  <c r="R12" i="31" s="1"/>
  <c r="M12" i="31"/>
  <c r="N12" i="31" s="1"/>
  <c r="H86" i="40"/>
  <c r="H86" i="45"/>
  <c r="S8" i="31"/>
  <c r="Q8" i="31"/>
  <c r="R8" i="31" s="1"/>
  <c r="T8" i="31" s="1"/>
  <c r="M8" i="31"/>
  <c r="N8" i="31" s="1"/>
  <c r="H82" i="40"/>
  <c r="H82" i="45"/>
  <c r="S4" i="31"/>
  <c r="Q4" i="31"/>
  <c r="R4" i="31" s="1"/>
  <c r="T4" i="31" s="1"/>
  <c r="M4" i="31"/>
  <c r="N4" i="31" s="1"/>
  <c r="H78" i="40"/>
  <c r="H78" i="45"/>
  <c r="S879" i="31"/>
  <c r="Q879" i="31"/>
  <c r="R879" i="31" s="1"/>
  <c r="M879" i="31"/>
  <c r="N879" i="31" s="1"/>
  <c r="I513" i="45"/>
  <c r="S875" i="31"/>
  <c r="Q875" i="31"/>
  <c r="R875" i="31" s="1"/>
  <c r="M875" i="31"/>
  <c r="N875" i="31" s="1"/>
  <c r="I509" i="45"/>
  <c r="S871" i="31"/>
  <c r="Q871" i="31"/>
  <c r="R871" i="31" s="1"/>
  <c r="M871" i="31"/>
  <c r="N871" i="31" s="1"/>
  <c r="I505" i="45"/>
  <c r="S867" i="31"/>
  <c r="Q867" i="31"/>
  <c r="R867" i="31" s="1"/>
  <c r="M867" i="31"/>
  <c r="N867" i="31" s="1"/>
  <c r="I501" i="45"/>
  <c r="S863" i="31"/>
  <c r="Q863" i="31"/>
  <c r="R863" i="31" s="1"/>
  <c r="M863" i="31"/>
  <c r="N863" i="31" s="1"/>
  <c r="I497" i="45"/>
  <c r="S859" i="31"/>
  <c r="Q859" i="31"/>
  <c r="R859" i="31" s="1"/>
  <c r="M859" i="31"/>
  <c r="N859" i="31" s="1"/>
  <c r="I493" i="45"/>
  <c r="S855" i="31"/>
  <c r="Q855" i="31"/>
  <c r="R855" i="31" s="1"/>
  <c r="M855" i="31"/>
  <c r="N855" i="31" s="1"/>
  <c r="I489" i="45"/>
  <c r="S851" i="31"/>
  <c r="Q851" i="31"/>
  <c r="R851" i="31" s="1"/>
  <c r="M851" i="31"/>
  <c r="N851" i="31" s="1"/>
  <c r="I485" i="45"/>
  <c r="Q847" i="31"/>
  <c r="R847" i="31" s="1"/>
  <c r="T847" i="31" s="1"/>
  <c r="M847" i="31"/>
  <c r="N847" i="31" s="1"/>
  <c r="S847" i="31"/>
  <c r="I481" i="45"/>
  <c r="S843" i="31"/>
  <c r="Q843" i="31"/>
  <c r="R843" i="31" s="1"/>
  <c r="M843" i="31"/>
  <c r="N843" i="31" s="1"/>
  <c r="I477" i="45"/>
  <c r="Q839" i="31"/>
  <c r="R839" i="31" s="1"/>
  <c r="T839" i="31" s="1"/>
  <c r="M839" i="31"/>
  <c r="N839" i="31" s="1"/>
  <c r="I473" i="45"/>
  <c r="S839" i="31"/>
  <c r="S834" i="31"/>
  <c r="Q834" i="31"/>
  <c r="R834" i="31" s="1"/>
  <c r="M834" i="31"/>
  <c r="N834" i="31" s="1"/>
  <c r="I468" i="45"/>
  <c r="I468" i="40"/>
  <c r="S830" i="31"/>
  <c r="M830" i="31"/>
  <c r="N830" i="31" s="1"/>
  <c r="I464" i="45"/>
  <c r="Q830" i="31"/>
  <c r="R830" i="31" s="1"/>
  <c r="T830" i="31" s="1"/>
  <c r="I464" i="40"/>
  <c r="S826" i="31"/>
  <c r="Q826" i="31"/>
  <c r="R826" i="31" s="1"/>
  <c r="T826" i="31" s="1"/>
  <c r="M826" i="31"/>
  <c r="N826" i="31" s="1"/>
  <c r="I460" i="45"/>
  <c r="I460" i="40"/>
  <c r="S822" i="31"/>
  <c r="Q822" i="31"/>
  <c r="R822" i="31" s="1"/>
  <c r="T822" i="31" s="1"/>
  <c r="M822" i="31"/>
  <c r="N822" i="31" s="1"/>
  <c r="I456" i="45"/>
  <c r="I456" i="40"/>
  <c r="S818" i="31"/>
  <c r="Q818" i="31"/>
  <c r="R818" i="31" s="1"/>
  <c r="M818" i="31"/>
  <c r="N818" i="31" s="1"/>
  <c r="I452" i="45"/>
  <c r="I452" i="40"/>
  <c r="S814" i="31"/>
  <c r="Q814" i="31"/>
  <c r="R814" i="31" s="1"/>
  <c r="M814" i="31"/>
  <c r="N814" i="31" s="1"/>
  <c r="I448" i="45"/>
  <c r="I448" i="40"/>
  <c r="S810" i="31"/>
  <c r="Q810" i="31"/>
  <c r="R810" i="31" s="1"/>
  <c r="T810" i="31" s="1"/>
  <c r="M810" i="31"/>
  <c r="N810" i="31" s="1"/>
  <c r="I444" i="45"/>
  <c r="I444" i="40"/>
  <c r="S806" i="31"/>
  <c r="Q806" i="31"/>
  <c r="R806" i="31" s="1"/>
  <c r="T806" i="31" s="1"/>
  <c r="M806" i="31"/>
  <c r="N806" i="31" s="1"/>
  <c r="I440" i="45"/>
  <c r="I440" i="40"/>
  <c r="S802" i="31"/>
  <c r="Q802" i="31"/>
  <c r="R802" i="31" s="1"/>
  <c r="M802" i="31"/>
  <c r="N802" i="31" s="1"/>
  <c r="I436" i="45"/>
  <c r="I436" i="40"/>
  <c r="S798" i="31"/>
  <c r="Q798" i="31"/>
  <c r="R798" i="31" s="1"/>
  <c r="I432" i="45"/>
  <c r="M798" i="31"/>
  <c r="N798" i="31" s="1"/>
  <c r="I432" i="40"/>
  <c r="S794" i="31"/>
  <c r="Q794" i="31"/>
  <c r="R794" i="31" s="1"/>
  <c r="T794" i="31" s="1"/>
  <c r="M794" i="31"/>
  <c r="N794" i="31" s="1"/>
  <c r="I428" i="45"/>
  <c r="I428" i="40"/>
  <c r="Q790" i="31"/>
  <c r="R790" i="31" s="1"/>
  <c r="S790" i="31"/>
  <c r="M790" i="31"/>
  <c r="N790" i="31" s="1"/>
  <c r="I424" i="45"/>
  <c r="I424" i="40"/>
  <c r="S786" i="31"/>
  <c r="Q786" i="31"/>
  <c r="R786" i="31" s="1"/>
  <c r="M786" i="31"/>
  <c r="N786" i="31" s="1"/>
  <c r="I420" i="45"/>
  <c r="I420" i="40"/>
  <c r="S782" i="31"/>
  <c r="Q782" i="31"/>
  <c r="R782" i="31" s="1"/>
  <c r="M782" i="31"/>
  <c r="N782" i="31" s="1"/>
  <c r="I416" i="45"/>
  <c r="I416" i="40"/>
  <c r="S778" i="31"/>
  <c r="Q778" i="31"/>
  <c r="R778" i="31" s="1"/>
  <c r="T778" i="31" s="1"/>
  <c r="I412" i="45"/>
  <c r="M778" i="31"/>
  <c r="N778" i="31" s="1"/>
  <c r="I412" i="40"/>
  <c r="S774" i="31"/>
  <c r="Q774" i="31"/>
  <c r="R774" i="31" s="1"/>
  <c r="T774" i="31" s="1"/>
  <c r="M774" i="31"/>
  <c r="N774" i="31" s="1"/>
  <c r="I408" i="45"/>
  <c r="I408" i="40"/>
  <c r="Q770" i="31"/>
  <c r="R770" i="31" s="1"/>
  <c r="T770" i="31" s="1"/>
  <c r="M770" i="31"/>
  <c r="N770" i="31" s="1"/>
  <c r="S770" i="31"/>
  <c r="I404" i="45"/>
  <c r="I404" i="40"/>
  <c r="S766" i="31"/>
  <c r="Q766" i="31"/>
  <c r="R766" i="31" s="1"/>
  <c r="M766" i="31"/>
  <c r="N766" i="31" s="1"/>
  <c r="I400" i="45"/>
  <c r="I400" i="40"/>
  <c r="S762" i="31"/>
  <c r="Q762" i="31"/>
  <c r="R762" i="31" s="1"/>
  <c r="T762" i="31" s="1"/>
  <c r="M762" i="31"/>
  <c r="N762" i="31" s="1"/>
  <c r="I396" i="45"/>
  <c r="I396" i="40"/>
  <c r="S758" i="31"/>
  <c r="Q758" i="31"/>
  <c r="R758" i="31" s="1"/>
  <c r="T758" i="31" s="1"/>
  <c r="M758" i="31"/>
  <c r="N758" i="31" s="1"/>
  <c r="I392" i="45"/>
  <c r="I392" i="40"/>
  <c r="S754" i="31"/>
  <c r="Q754" i="31"/>
  <c r="R754" i="31" s="1"/>
  <c r="T754" i="31" s="1"/>
  <c r="M754" i="31"/>
  <c r="N754" i="31" s="1"/>
  <c r="I388" i="45"/>
  <c r="I388" i="40"/>
  <c r="S749" i="31"/>
  <c r="Q749" i="31"/>
  <c r="R749" i="31" s="1"/>
  <c r="M749" i="31"/>
  <c r="N749" i="31" s="1"/>
  <c r="I383" i="45"/>
  <c r="S745" i="31"/>
  <c r="I379" i="45"/>
  <c r="M745" i="31"/>
  <c r="N745" i="31" s="1"/>
  <c r="Q745" i="31"/>
  <c r="R745" i="31" s="1"/>
  <c r="S741" i="31"/>
  <c r="Q741" i="31"/>
  <c r="R741" i="31" s="1"/>
  <c r="M741" i="31"/>
  <c r="N741" i="31" s="1"/>
  <c r="I375" i="45"/>
  <c r="S737" i="31"/>
  <c r="Q737" i="31"/>
  <c r="R737" i="31" s="1"/>
  <c r="M737" i="31"/>
  <c r="N737" i="31" s="1"/>
  <c r="I371" i="45"/>
  <c r="S733" i="31"/>
  <c r="Q733" i="31"/>
  <c r="R733" i="31" s="1"/>
  <c r="M733" i="31"/>
  <c r="N733" i="31" s="1"/>
  <c r="I367" i="45"/>
  <c r="S729" i="31"/>
  <c r="Q729" i="31"/>
  <c r="R729" i="31" s="1"/>
  <c r="M729" i="31"/>
  <c r="N729" i="31" s="1"/>
  <c r="I363" i="45"/>
  <c r="S725" i="31"/>
  <c r="I359" i="45"/>
  <c r="Q725" i="31"/>
  <c r="R725" i="31" s="1"/>
  <c r="M725" i="31"/>
  <c r="N725" i="31" s="1"/>
  <c r="S721" i="31"/>
  <c r="Q721" i="31"/>
  <c r="R721" i="31" s="1"/>
  <c r="M721" i="31"/>
  <c r="N721" i="31" s="1"/>
  <c r="I355" i="45"/>
  <c r="S717" i="31"/>
  <c r="Q717" i="31"/>
  <c r="R717" i="31" s="1"/>
  <c r="M717" i="31"/>
  <c r="N717" i="31" s="1"/>
  <c r="I351" i="45"/>
  <c r="S712" i="31"/>
  <c r="Q712" i="31"/>
  <c r="R712" i="31" s="1"/>
  <c r="M712" i="31"/>
  <c r="N712" i="31" s="1"/>
  <c r="I346" i="45"/>
  <c r="I346" i="40"/>
  <c r="S708" i="31"/>
  <c r="Q708" i="31"/>
  <c r="R708" i="31" s="1"/>
  <c r="T708" i="31" s="1"/>
  <c r="M708" i="31"/>
  <c r="N708" i="31" s="1"/>
  <c r="I342" i="45"/>
  <c r="I342" i="40"/>
  <c r="S704" i="31"/>
  <c r="M704" i="31"/>
  <c r="N704" i="31" s="1"/>
  <c r="Q704" i="31"/>
  <c r="R704" i="31" s="1"/>
  <c r="T704" i="31" s="1"/>
  <c r="I338" i="45"/>
  <c r="I338" i="40"/>
  <c r="S700" i="31"/>
  <c r="Q700" i="31"/>
  <c r="R700" i="31" s="1"/>
  <c r="T700" i="31" s="1"/>
  <c r="M700" i="31"/>
  <c r="N700" i="31" s="1"/>
  <c r="I334" i="45"/>
  <c r="I334" i="40"/>
  <c r="S696" i="31"/>
  <c r="Q696" i="31"/>
  <c r="R696" i="31" s="1"/>
  <c r="M696" i="31"/>
  <c r="N696" i="31" s="1"/>
  <c r="I330" i="45"/>
  <c r="I330" i="40"/>
  <c r="S692" i="31"/>
  <c r="Q692" i="31"/>
  <c r="R692" i="31" s="1"/>
  <c r="T692" i="31" s="1"/>
  <c r="I326" i="45"/>
  <c r="M692" i="31"/>
  <c r="N692" i="31" s="1"/>
  <c r="I326" i="40"/>
  <c r="S688" i="31"/>
  <c r="Q688" i="31"/>
  <c r="R688" i="31" s="1"/>
  <c r="T688" i="31" s="1"/>
  <c r="M688" i="31"/>
  <c r="N688" i="31" s="1"/>
  <c r="I322" i="45"/>
  <c r="I322" i="40"/>
  <c r="Q684" i="31"/>
  <c r="R684" i="31" s="1"/>
  <c r="T684" i="31" s="1"/>
  <c r="M684" i="31"/>
  <c r="N684" i="31" s="1"/>
  <c r="I318" i="45"/>
  <c r="S684" i="31"/>
  <c r="I318" i="40"/>
  <c r="S680" i="31"/>
  <c r="Q680" i="31"/>
  <c r="R680" i="31" s="1"/>
  <c r="M680" i="31"/>
  <c r="N680" i="31" s="1"/>
  <c r="I314" i="45"/>
  <c r="S676" i="31"/>
  <c r="Q676" i="31"/>
  <c r="R676" i="31" s="1"/>
  <c r="M676" i="31"/>
  <c r="N676" i="31" s="1"/>
  <c r="I310" i="45"/>
  <c r="I310" i="40"/>
  <c r="S672" i="31"/>
  <c r="Q672" i="31"/>
  <c r="R672" i="31" s="1"/>
  <c r="T672" i="31" s="1"/>
  <c r="M672" i="31"/>
  <c r="N672" i="31" s="1"/>
  <c r="I306" i="45"/>
  <c r="S668" i="31"/>
  <c r="Q668" i="31"/>
  <c r="R668" i="31" s="1"/>
  <c r="T668" i="31" s="1"/>
  <c r="M668" i="31"/>
  <c r="N668" i="31" s="1"/>
  <c r="I302" i="45"/>
  <c r="I302" i="40"/>
  <c r="S664" i="31"/>
  <c r="Q664" i="31"/>
  <c r="R664" i="31" s="1"/>
  <c r="T664" i="31" s="1"/>
  <c r="M664" i="31"/>
  <c r="N664" i="31" s="1"/>
  <c r="I298" i="45"/>
  <c r="S440" i="31"/>
  <c r="Q440" i="31"/>
  <c r="R440" i="31" s="1"/>
  <c r="T440" i="31" s="1"/>
  <c r="M440" i="31"/>
  <c r="N440" i="31" s="1"/>
  <c r="I294" i="45"/>
  <c r="I294" i="40"/>
  <c r="S436" i="31"/>
  <c r="M436" i="31"/>
  <c r="N436" i="31" s="1"/>
  <c r="Q436" i="31"/>
  <c r="R436" i="31" s="1"/>
  <c r="I290" i="45"/>
  <c r="S432" i="31"/>
  <c r="Q432" i="31"/>
  <c r="R432" i="31" s="1"/>
  <c r="T432" i="31" s="1"/>
  <c r="M432" i="31"/>
  <c r="N432" i="31" s="1"/>
  <c r="I286" i="45"/>
  <c r="I286" i="40"/>
  <c r="M428" i="31"/>
  <c r="N428" i="31" s="1"/>
  <c r="Q428" i="31"/>
  <c r="R428" i="31" s="1"/>
  <c r="S428" i="31"/>
  <c r="I282" i="45"/>
  <c r="S424" i="31"/>
  <c r="Q424" i="31"/>
  <c r="R424" i="31" s="1"/>
  <c r="M424" i="31"/>
  <c r="N424" i="31" s="1"/>
  <c r="I278" i="45"/>
  <c r="I278" i="40"/>
  <c r="S420" i="31"/>
  <c r="M420" i="31"/>
  <c r="N420" i="31" s="1"/>
  <c r="Q420" i="31"/>
  <c r="R420" i="31" s="1"/>
  <c r="T420" i="31" s="1"/>
  <c r="I274" i="45"/>
  <c r="S416" i="31"/>
  <c r="Q416" i="31"/>
  <c r="R416" i="31" s="1"/>
  <c r="T416" i="31" s="1"/>
  <c r="M416" i="31"/>
  <c r="N416" i="31" s="1"/>
  <c r="I270" i="45"/>
  <c r="I270" i="40"/>
  <c r="S412" i="31"/>
  <c r="M412" i="31"/>
  <c r="N412" i="31" s="1"/>
  <c r="Q412" i="31"/>
  <c r="R412" i="31" s="1"/>
  <c r="T412" i="31" s="1"/>
  <c r="I266" i="45"/>
  <c r="I266" i="40"/>
  <c r="S408" i="31"/>
  <c r="Q408" i="31"/>
  <c r="R408" i="31" s="1"/>
  <c r="T408" i="31" s="1"/>
  <c r="M408" i="31"/>
  <c r="N408" i="31" s="1"/>
  <c r="I262" i="45"/>
  <c r="I262" i="40"/>
  <c r="S404" i="31"/>
  <c r="Q404" i="31"/>
  <c r="R404" i="31" s="1"/>
  <c r="M404" i="31"/>
  <c r="N404" i="31" s="1"/>
  <c r="I258" i="45"/>
  <c r="I258" i="40"/>
  <c r="S400" i="31"/>
  <c r="M400" i="31"/>
  <c r="N400" i="31" s="1"/>
  <c r="Q400" i="31"/>
  <c r="R400" i="31" s="1"/>
  <c r="T400" i="31" s="1"/>
  <c r="I254" i="45"/>
  <c r="I254" i="40"/>
  <c r="S396" i="31"/>
  <c r="Q396" i="31"/>
  <c r="R396" i="31" s="1"/>
  <c r="T396" i="31" s="1"/>
  <c r="M396" i="31"/>
  <c r="N396" i="31" s="1"/>
  <c r="I250" i="45"/>
  <c r="I250" i="40"/>
  <c r="S392" i="31"/>
  <c r="Q392" i="31"/>
  <c r="R392" i="31" s="1"/>
  <c r="T392" i="31" s="1"/>
  <c r="M392" i="31"/>
  <c r="N392" i="31" s="1"/>
  <c r="I246" i="45"/>
  <c r="I246" i="40"/>
  <c r="S388" i="31"/>
  <c r="Q388" i="31"/>
  <c r="R388" i="31" s="1"/>
  <c r="M388" i="31"/>
  <c r="N388" i="31" s="1"/>
  <c r="I242" i="45"/>
  <c r="I242" i="40"/>
  <c r="S384" i="31"/>
  <c r="M384" i="31"/>
  <c r="N384" i="31" s="1"/>
  <c r="Q384" i="31"/>
  <c r="R384" i="31" s="1"/>
  <c r="T384" i="31" s="1"/>
  <c r="I238" i="45"/>
  <c r="I238" i="40"/>
  <c r="S380" i="31"/>
  <c r="Q380" i="31"/>
  <c r="R380" i="31" s="1"/>
  <c r="T380" i="31" s="1"/>
  <c r="M380" i="31"/>
  <c r="N380" i="31" s="1"/>
  <c r="I234" i="45"/>
  <c r="I234" i="40"/>
  <c r="S376" i="31"/>
  <c r="Q376" i="31"/>
  <c r="R376" i="31" s="1"/>
  <c r="T376" i="31" s="1"/>
  <c r="M376" i="31"/>
  <c r="N376" i="31" s="1"/>
  <c r="I230" i="45"/>
  <c r="I230" i="40"/>
  <c r="S372" i="31"/>
  <c r="M372" i="31"/>
  <c r="N372" i="31" s="1"/>
  <c r="Q372" i="31"/>
  <c r="R372" i="31" s="1"/>
  <c r="I226" i="45"/>
  <c r="I226" i="40"/>
  <c r="S368" i="31"/>
  <c r="Q368" i="31"/>
  <c r="R368" i="31" s="1"/>
  <c r="T368" i="31" s="1"/>
  <c r="M368" i="31"/>
  <c r="N368" i="31" s="1"/>
  <c r="I222" i="45"/>
  <c r="I222" i="40"/>
  <c r="S364" i="31"/>
  <c r="M364" i="31"/>
  <c r="N364" i="31" s="1"/>
  <c r="Q364" i="31"/>
  <c r="R364" i="31" s="1"/>
  <c r="T364" i="31" s="1"/>
  <c r="I218" i="45"/>
  <c r="I218" i="40"/>
  <c r="S360" i="31"/>
  <c r="Q360" i="31"/>
  <c r="R360" i="31" s="1"/>
  <c r="M360" i="31"/>
  <c r="N360" i="31" s="1"/>
  <c r="I214" i="45"/>
  <c r="I214" i="40"/>
  <c r="S356" i="31"/>
  <c r="M356" i="31"/>
  <c r="N356" i="31" s="1"/>
  <c r="Q356" i="31"/>
  <c r="R356" i="31" s="1"/>
  <c r="I210" i="45"/>
  <c r="I210" i="40"/>
  <c r="S352" i="31"/>
  <c r="Q352" i="31"/>
  <c r="R352" i="31" s="1"/>
  <c r="T352" i="31" s="1"/>
  <c r="M352" i="31"/>
  <c r="N352" i="31" s="1"/>
  <c r="I206" i="45"/>
  <c r="I206" i="40"/>
  <c r="S348" i="31"/>
  <c r="M348" i="31"/>
  <c r="N348" i="31" s="1"/>
  <c r="Q348" i="31"/>
  <c r="R348" i="31" s="1"/>
  <c r="T348" i="31" s="1"/>
  <c r="I202" i="40"/>
  <c r="I202" i="45"/>
  <c r="S344" i="31"/>
  <c r="Q344" i="31"/>
  <c r="R344" i="31" s="1"/>
  <c r="M344" i="31"/>
  <c r="N344" i="31" s="1"/>
  <c r="I198" i="45"/>
  <c r="I198" i="40"/>
  <c r="S340" i="31"/>
  <c r="Q340" i="31"/>
  <c r="R340" i="31" s="1"/>
  <c r="M340" i="31"/>
  <c r="N340" i="31" s="1"/>
  <c r="I194" i="40"/>
  <c r="I194" i="45"/>
  <c r="S336" i="31"/>
  <c r="M336" i="31"/>
  <c r="N336" i="31" s="1"/>
  <c r="Q336" i="31"/>
  <c r="R336" i="31" s="1"/>
  <c r="T336" i="31" s="1"/>
  <c r="I190" i="45"/>
  <c r="I190" i="40"/>
  <c r="S332" i="31"/>
  <c r="Q332" i="31"/>
  <c r="R332" i="31" s="1"/>
  <c r="T332" i="31" s="1"/>
  <c r="M332" i="31"/>
  <c r="N332" i="31" s="1"/>
  <c r="I186" i="40"/>
  <c r="I186" i="45"/>
  <c r="S328" i="31"/>
  <c r="Q328" i="31"/>
  <c r="R328" i="31" s="1"/>
  <c r="M328" i="31"/>
  <c r="N328" i="31" s="1"/>
  <c r="I182" i="45"/>
  <c r="I182" i="40"/>
  <c r="S324" i="31"/>
  <c r="Q324" i="31"/>
  <c r="R324" i="31" s="1"/>
  <c r="M324" i="31"/>
  <c r="N324" i="31" s="1"/>
  <c r="I178" i="40"/>
  <c r="I178" i="45"/>
  <c r="S320" i="31"/>
  <c r="M320" i="31"/>
  <c r="N320" i="31" s="1"/>
  <c r="Q320" i="31"/>
  <c r="R320" i="31" s="1"/>
  <c r="T320" i="31" s="1"/>
  <c r="I174" i="45"/>
  <c r="I174" i="40"/>
  <c r="S316" i="31"/>
  <c r="Q316" i="31"/>
  <c r="R316" i="31" s="1"/>
  <c r="T316" i="31" s="1"/>
  <c r="M316" i="31"/>
  <c r="N316" i="31" s="1"/>
  <c r="I170" i="40"/>
  <c r="I170" i="45"/>
  <c r="S312" i="31"/>
  <c r="Q312" i="31"/>
  <c r="R312" i="31" s="1"/>
  <c r="M312" i="31"/>
  <c r="N312" i="31" s="1"/>
  <c r="I166" i="45"/>
  <c r="I166" i="40"/>
  <c r="S307" i="31"/>
  <c r="Q307" i="31"/>
  <c r="R307" i="31" s="1"/>
  <c r="M307" i="31"/>
  <c r="N307" i="31" s="1"/>
  <c r="I161" i="45"/>
  <c r="I161" i="40"/>
  <c r="S303" i="31"/>
  <c r="Q303" i="31"/>
  <c r="R303" i="31" s="1"/>
  <c r="T303" i="31" s="1"/>
  <c r="M303" i="31"/>
  <c r="N303" i="31" s="1"/>
  <c r="I157" i="45"/>
  <c r="I157" i="40"/>
  <c r="S299" i="31"/>
  <c r="Q299" i="31"/>
  <c r="R299" i="31" s="1"/>
  <c r="T299" i="31" s="1"/>
  <c r="M299" i="31"/>
  <c r="N299" i="31" s="1"/>
  <c r="I153" i="45"/>
  <c r="I153" i="40"/>
  <c r="S295" i="31"/>
  <c r="Q295" i="31"/>
  <c r="R295" i="31" s="1"/>
  <c r="M295" i="31"/>
  <c r="N295" i="31" s="1"/>
  <c r="I149" i="45"/>
  <c r="I149" i="40"/>
  <c r="S291" i="31"/>
  <c r="Q291" i="31"/>
  <c r="R291" i="31" s="1"/>
  <c r="M291" i="31"/>
  <c r="N291" i="31" s="1"/>
  <c r="I145" i="45"/>
  <c r="I145" i="40"/>
  <c r="Q287" i="31"/>
  <c r="R287" i="31" s="1"/>
  <c r="M287" i="31"/>
  <c r="N287" i="31" s="1"/>
  <c r="S287" i="31"/>
  <c r="I141" i="45"/>
  <c r="I141" i="40"/>
  <c r="Q283" i="31"/>
  <c r="R283" i="31" s="1"/>
  <c r="S283" i="31"/>
  <c r="M283" i="31"/>
  <c r="N283" i="31" s="1"/>
  <c r="I137" i="45"/>
  <c r="I137" i="40"/>
  <c r="S279" i="31"/>
  <c r="Q279" i="31"/>
  <c r="R279" i="31" s="1"/>
  <c r="M279" i="31"/>
  <c r="N279" i="31" s="1"/>
  <c r="I133" i="45"/>
  <c r="I133" i="40"/>
  <c r="S275" i="31"/>
  <c r="Q275" i="31"/>
  <c r="R275" i="31" s="1"/>
  <c r="M275" i="31"/>
  <c r="N275" i="31" s="1"/>
  <c r="I129" i="45"/>
  <c r="I129" i="40"/>
  <c r="S271" i="31"/>
  <c r="Q271" i="31"/>
  <c r="R271" i="31" s="1"/>
  <c r="T271" i="31" s="1"/>
  <c r="M271" i="31"/>
  <c r="N271" i="31" s="1"/>
  <c r="I125" i="45"/>
  <c r="I125" i="40"/>
  <c r="S267" i="31"/>
  <c r="Q267" i="31"/>
  <c r="R267" i="31" s="1"/>
  <c r="T267" i="31" s="1"/>
  <c r="M267" i="31"/>
  <c r="N267" i="31" s="1"/>
  <c r="I121" i="45"/>
  <c r="I121" i="40"/>
  <c r="Q263" i="31"/>
  <c r="R263" i="31" s="1"/>
  <c r="T263" i="31" s="1"/>
  <c r="S263" i="31"/>
  <c r="M263" i="31"/>
  <c r="N263" i="31" s="1"/>
  <c r="I117" i="45"/>
  <c r="I117" i="40"/>
  <c r="S259" i="31"/>
  <c r="Q259" i="31"/>
  <c r="R259" i="31" s="1"/>
  <c r="M259" i="31"/>
  <c r="N259" i="31" s="1"/>
  <c r="I113" i="45"/>
  <c r="I113" i="40"/>
  <c r="Q255" i="31"/>
  <c r="R255" i="31" s="1"/>
  <c r="S255" i="31"/>
  <c r="M255" i="31"/>
  <c r="N255" i="31" s="1"/>
  <c r="I109" i="45"/>
  <c r="I109" i="40"/>
  <c r="S251" i="31"/>
  <c r="Q251" i="31"/>
  <c r="R251" i="31" s="1"/>
  <c r="T251" i="31" s="1"/>
  <c r="M251" i="31"/>
  <c r="N251" i="31" s="1"/>
  <c r="I105" i="45"/>
  <c r="I105" i="40"/>
  <c r="Q247" i="31"/>
  <c r="R247" i="31" s="1"/>
  <c r="T247" i="31" s="1"/>
  <c r="S247" i="31"/>
  <c r="M247" i="31"/>
  <c r="N247" i="31" s="1"/>
  <c r="I101" i="45"/>
  <c r="I101" i="40"/>
  <c r="S243" i="31"/>
  <c r="Q243" i="31"/>
  <c r="R243" i="31" s="1"/>
  <c r="M243" i="31"/>
  <c r="N243" i="31" s="1"/>
  <c r="I97" i="45"/>
  <c r="I97" i="40"/>
  <c r="S239" i="31"/>
  <c r="Q239" i="31"/>
  <c r="R239" i="31" s="1"/>
  <c r="T239" i="31" s="1"/>
  <c r="M239" i="31"/>
  <c r="N239" i="31" s="1"/>
  <c r="I93" i="45"/>
  <c r="I93" i="40"/>
  <c r="Q235" i="31"/>
  <c r="R235" i="31" s="1"/>
  <c r="S235" i="31"/>
  <c r="M235" i="31"/>
  <c r="N235" i="31" s="1"/>
  <c r="I89" i="45"/>
  <c r="I89" i="40"/>
  <c r="S231" i="31"/>
  <c r="Q231" i="31"/>
  <c r="R231" i="31" s="1"/>
  <c r="M231" i="31"/>
  <c r="N231" i="31" s="1"/>
  <c r="I85" i="45"/>
  <c r="I85" i="40"/>
  <c r="S227" i="31"/>
  <c r="Q227" i="31"/>
  <c r="R227" i="31" s="1"/>
  <c r="M227" i="31"/>
  <c r="N227" i="31" s="1"/>
  <c r="I81" i="45"/>
  <c r="I81" i="40"/>
  <c r="S222" i="31"/>
  <c r="Q222" i="31"/>
  <c r="R222" i="31" s="1"/>
  <c r="T222" i="31" s="1"/>
  <c r="M222" i="31"/>
  <c r="N222" i="31" s="1"/>
  <c r="I76" i="45"/>
  <c r="I76" i="40"/>
  <c r="I509" i="40"/>
  <c r="I501" i="40"/>
  <c r="I493" i="40"/>
  <c r="I485" i="40"/>
  <c r="I477" i="40"/>
  <c r="I298" i="40"/>
  <c r="H294" i="40"/>
  <c r="S659" i="31"/>
  <c r="Q659" i="31"/>
  <c r="R659" i="31" s="1"/>
  <c r="T659" i="31" s="1"/>
  <c r="M659" i="31"/>
  <c r="N659" i="31" s="1"/>
  <c r="H513" i="45"/>
  <c r="Q655" i="31"/>
  <c r="R655" i="31" s="1"/>
  <c r="S655" i="31"/>
  <c r="M655" i="31"/>
  <c r="N655" i="31" s="1"/>
  <c r="H509" i="45"/>
  <c r="Q651" i="31"/>
  <c r="R651" i="31" s="1"/>
  <c r="S651" i="31"/>
  <c r="M651" i="31"/>
  <c r="N651" i="31" s="1"/>
  <c r="H505" i="45"/>
  <c r="Q647" i="31"/>
  <c r="R647" i="31" s="1"/>
  <c r="S647" i="31"/>
  <c r="M647" i="31"/>
  <c r="N647" i="31" s="1"/>
  <c r="H501" i="45"/>
  <c r="S643" i="31"/>
  <c r="Q643" i="31"/>
  <c r="R643" i="31" s="1"/>
  <c r="T643" i="31" s="1"/>
  <c r="M643" i="31"/>
  <c r="N643" i="31" s="1"/>
  <c r="H497" i="45"/>
  <c r="Q639" i="31"/>
  <c r="R639" i="31" s="1"/>
  <c r="S639" i="31"/>
  <c r="M639" i="31"/>
  <c r="N639" i="31" s="1"/>
  <c r="H493" i="45"/>
  <c r="Q635" i="31"/>
  <c r="R635" i="31" s="1"/>
  <c r="S635" i="31"/>
  <c r="M635" i="31"/>
  <c r="N635" i="31" s="1"/>
  <c r="H489" i="45"/>
  <c r="Q631" i="31"/>
  <c r="R631" i="31" s="1"/>
  <c r="M631" i="31"/>
  <c r="N631" i="31" s="1"/>
  <c r="S631" i="31"/>
  <c r="H485" i="45"/>
  <c r="S627" i="31"/>
  <c r="Q627" i="31"/>
  <c r="R627" i="31" s="1"/>
  <c r="T627" i="31" s="1"/>
  <c r="M627" i="31"/>
  <c r="N627" i="31" s="1"/>
  <c r="H481" i="45"/>
  <c r="Q623" i="31"/>
  <c r="R623" i="31" s="1"/>
  <c r="S623" i="31"/>
  <c r="M623" i="31"/>
  <c r="N623" i="31" s="1"/>
  <c r="H477" i="45"/>
  <c r="Q619" i="31"/>
  <c r="R619" i="31" s="1"/>
  <c r="M619" i="31"/>
  <c r="N619" i="31" s="1"/>
  <c r="S619" i="31"/>
  <c r="H473" i="45"/>
  <c r="Q615" i="31"/>
  <c r="R615" i="31" s="1"/>
  <c r="S615" i="31"/>
  <c r="M615" i="31"/>
  <c r="N615" i="31" s="1"/>
  <c r="H469" i="45"/>
  <c r="S611" i="31"/>
  <c r="Q611" i="31"/>
  <c r="R611" i="31" s="1"/>
  <c r="T611" i="31" s="1"/>
  <c r="M611" i="31"/>
  <c r="N611" i="31" s="1"/>
  <c r="H465" i="45"/>
  <c r="Q607" i="31"/>
  <c r="R607" i="31" s="1"/>
  <c r="S607" i="31"/>
  <c r="M607" i="31"/>
  <c r="N607" i="31" s="1"/>
  <c r="H461" i="45"/>
  <c r="Q603" i="31"/>
  <c r="R603" i="31" s="1"/>
  <c r="S603" i="31"/>
  <c r="M603" i="31"/>
  <c r="N603" i="31" s="1"/>
  <c r="H457" i="45"/>
  <c r="Q599" i="31"/>
  <c r="R599" i="31" s="1"/>
  <c r="M599" i="31"/>
  <c r="N599" i="31" s="1"/>
  <c r="H453" i="45"/>
  <c r="S599" i="31"/>
  <c r="S595" i="31"/>
  <c r="Q595" i="31"/>
  <c r="R595" i="31" s="1"/>
  <c r="T595" i="31" s="1"/>
  <c r="M595" i="31"/>
  <c r="N595" i="31" s="1"/>
  <c r="H449" i="45"/>
  <c r="Q591" i="31"/>
  <c r="R591" i="31" s="1"/>
  <c r="S591" i="31"/>
  <c r="M591" i="31"/>
  <c r="N591" i="31" s="1"/>
  <c r="H445" i="45"/>
  <c r="Q587" i="31"/>
  <c r="R587" i="31" s="1"/>
  <c r="S587" i="31"/>
  <c r="M587" i="31"/>
  <c r="N587" i="31" s="1"/>
  <c r="H441" i="45"/>
  <c r="Q583" i="31"/>
  <c r="R583" i="31" s="1"/>
  <c r="S583" i="31"/>
  <c r="M583" i="31"/>
  <c r="N583" i="31" s="1"/>
  <c r="H437" i="45"/>
  <c r="S579" i="31"/>
  <c r="Q579" i="31"/>
  <c r="R579" i="31" s="1"/>
  <c r="T579" i="31" s="1"/>
  <c r="M579" i="31"/>
  <c r="N579" i="31" s="1"/>
  <c r="H433" i="45"/>
  <c r="Q575" i="31"/>
  <c r="R575" i="31" s="1"/>
  <c r="S575" i="31"/>
  <c r="M575" i="31"/>
  <c r="N575" i="31" s="1"/>
  <c r="H429" i="45"/>
  <c r="Q571" i="31"/>
  <c r="R571" i="31" s="1"/>
  <c r="S571" i="31"/>
  <c r="M571" i="31"/>
  <c r="N571" i="31" s="1"/>
  <c r="H425" i="45"/>
  <c r="Q567" i="31"/>
  <c r="R567" i="31" s="1"/>
  <c r="M567" i="31"/>
  <c r="N567" i="31" s="1"/>
  <c r="S567" i="31"/>
  <c r="H421" i="45"/>
  <c r="S563" i="31"/>
  <c r="Q563" i="31"/>
  <c r="R563" i="31" s="1"/>
  <c r="T563" i="31" s="1"/>
  <c r="M563" i="31"/>
  <c r="N563" i="31" s="1"/>
  <c r="H417" i="45"/>
  <c r="Q559" i="31"/>
  <c r="R559" i="31" s="1"/>
  <c r="S559" i="31"/>
  <c r="M559" i="31"/>
  <c r="N559" i="31" s="1"/>
  <c r="H413" i="45"/>
  <c r="Q555" i="31"/>
  <c r="R555" i="31" s="1"/>
  <c r="M555" i="31"/>
  <c r="N555" i="31" s="1"/>
  <c r="S555" i="31"/>
  <c r="H409" i="45"/>
  <c r="Q551" i="31"/>
  <c r="R551" i="31" s="1"/>
  <c r="S551" i="31"/>
  <c r="M551" i="31"/>
  <c r="N551" i="31" s="1"/>
  <c r="H405" i="45"/>
  <c r="S547" i="31"/>
  <c r="Q547" i="31"/>
  <c r="R547" i="31" s="1"/>
  <c r="T547" i="31" s="1"/>
  <c r="M547" i="31"/>
  <c r="N547" i="31" s="1"/>
  <c r="H401" i="45"/>
  <c r="Q543" i="31"/>
  <c r="R543" i="31" s="1"/>
  <c r="S543" i="31"/>
  <c r="M543" i="31"/>
  <c r="N543" i="31" s="1"/>
  <c r="H397" i="45"/>
  <c r="Q539" i="31"/>
  <c r="R539" i="31" s="1"/>
  <c r="S539" i="31"/>
  <c r="M539" i="31"/>
  <c r="N539" i="31" s="1"/>
  <c r="H393" i="45"/>
  <c r="Q535" i="31"/>
  <c r="R535" i="31" s="1"/>
  <c r="M535" i="31"/>
  <c r="N535" i="31" s="1"/>
  <c r="S535" i="31"/>
  <c r="H389" i="45"/>
  <c r="S531" i="31"/>
  <c r="Q531" i="31"/>
  <c r="R531" i="31" s="1"/>
  <c r="T531" i="31" s="1"/>
  <c r="M531" i="31"/>
  <c r="N531" i="31" s="1"/>
  <c r="H385" i="45"/>
  <c r="Q527" i="31"/>
  <c r="R527" i="31" s="1"/>
  <c r="S527" i="31"/>
  <c r="M527" i="31"/>
  <c r="N527" i="31" s="1"/>
  <c r="H381" i="45"/>
  <c r="Q523" i="31"/>
  <c r="R523" i="31" s="1"/>
  <c r="S523" i="31"/>
  <c r="M523" i="31"/>
  <c r="N523" i="31" s="1"/>
  <c r="H377" i="45"/>
  <c r="Q519" i="31"/>
  <c r="R519" i="31" s="1"/>
  <c r="S519" i="31"/>
  <c r="M519" i="31"/>
  <c r="N519" i="31" s="1"/>
  <c r="H373" i="45"/>
  <c r="S515" i="31"/>
  <c r="Q515" i="31"/>
  <c r="R515" i="31" s="1"/>
  <c r="T515" i="31" s="1"/>
  <c r="M515" i="31"/>
  <c r="N515" i="31" s="1"/>
  <c r="H369" i="45"/>
  <c r="Q511" i="31"/>
  <c r="R511" i="31" s="1"/>
  <c r="S511" i="31"/>
  <c r="M511" i="31"/>
  <c r="N511" i="31" s="1"/>
  <c r="H365" i="45"/>
  <c r="Q507" i="31"/>
  <c r="R507" i="31" s="1"/>
  <c r="S507" i="31"/>
  <c r="M507" i="31"/>
  <c r="N507" i="31" s="1"/>
  <c r="H361" i="45"/>
  <c r="Q503" i="31"/>
  <c r="R503" i="31" s="1"/>
  <c r="M503" i="31"/>
  <c r="N503" i="31" s="1"/>
  <c r="S503" i="31"/>
  <c r="H357" i="45"/>
  <c r="S499" i="31"/>
  <c r="Q499" i="31"/>
  <c r="R499" i="31" s="1"/>
  <c r="T499" i="31" s="1"/>
  <c r="M499" i="31"/>
  <c r="N499" i="31" s="1"/>
  <c r="H353" i="45"/>
  <c r="Q495" i="31"/>
  <c r="R495" i="31" s="1"/>
  <c r="S495" i="31"/>
  <c r="M495" i="31"/>
  <c r="N495" i="31" s="1"/>
  <c r="H349" i="45"/>
  <c r="Q491" i="31"/>
  <c r="R491" i="31" s="1"/>
  <c r="M491" i="31"/>
  <c r="N491" i="31" s="1"/>
  <c r="S491" i="31"/>
  <c r="H345" i="45"/>
  <c r="Q487" i="31"/>
  <c r="R487" i="31" s="1"/>
  <c r="S487" i="31"/>
  <c r="M487" i="31"/>
  <c r="N487" i="31" s="1"/>
  <c r="H341" i="45"/>
  <c r="S483" i="31"/>
  <c r="Q483" i="31"/>
  <c r="R483" i="31" s="1"/>
  <c r="T483" i="31" s="1"/>
  <c r="M483" i="31"/>
  <c r="N483" i="31" s="1"/>
  <c r="H337" i="45"/>
  <c r="Q479" i="31"/>
  <c r="R479" i="31" s="1"/>
  <c r="S479" i="31"/>
  <c r="M479" i="31"/>
  <c r="N479" i="31" s="1"/>
  <c r="H333" i="45"/>
  <c r="Q475" i="31"/>
  <c r="R475" i="31" s="1"/>
  <c r="S475" i="31"/>
  <c r="M475" i="31"/>
  <c r="N475" i="31" s="1"/>
  <c r="H329" i="45"/>
  <c r="Q471" i="31"/>
  <c r="R471" i="31" s="1"/>
  <c r="M471" i="31"/>
  <c r="N471" i="31" s="1"/>
  <c r="H325" i="45"/>
  <c r="S471" i="31"/>
  <c r="S467" i="31"/>
  <c r="Q467" i="31"/>
  <c r="R467" i="31" s="1"/>
  <c r="T467" i="31" s="1"/>
  <c r="M467" i="31"/>
  <c r="N467" i="31" s="1"/>
  <c r="H321" i="45"/>
  <c r="Q463" i="31"/>
  <c r="R463" i="31" s="1"/>
  <c r="S463" i="31"/>
  <c r="M463" i="31"/>
  <c r="N463" i="31" s="1"/>
  <c r="H317" i="45"/>
  <c r="H317" i="40"/>
  <c r="Q459" i="31"/>
  <c r="R459" i="31" s="1"/>
  <c r="S459" i="31"/>
  <c r="M459" i="31"/>
  <c r="N459" i="31" s="1"/>
  <c r="H313" i="45"/>
  <c r="H313" i="40"/>
  <c r="Q455" i="31"/>
  <c r="R455" i="31" s="1"/>
  <c r="T455" i="31" s="1"/>
  <c r="S455" i="31"/>
  <c r="M455" i="31"/>
  <c r="N455" i="31" s="1"/>
  <c r="H309" i="45"/>
  <c r="H309" i="40"/>
  <c r="S451" i="31"/>
  <c r="Q451" i="31"/>
  <c r="R451" i="31" s="1"/>
  <c r="M451" i="31"/>
  <c r="N451" i="31" s="1"/>
  <c r="H305" i="45"/>
  <c r="H305" i="40"/>
  <c r="Q447" i="31"/>
  <c r="R447" i="31" s="1"/>
  <c r="S447" i="31"/>
  <c r="M447" i="31"/>
  <c r="N447" i="31" s="1"/>
  <c r="H301" i="45"/>
  <c r="H301" i="40"/>
  <c r="Q443" i="31"/>
  <c r="R443" i="31" s="1"/>
  <c r="S443" i="31"/>
  <c r="M443" i="31"/>
  <c r="N443" i="31" s="1"/>
  <c r="H297" i="45"/>
  <c r="H297" i="40"/>
  <c r="Q219" i="31"/>
  <c r="R219" i="31" s="1"/>
  <c r="T219" i="31" s="1"/>
  <c r="S219" i="31"/>
  <c r="M219" i="31"/>
  <c r="N219" i="31" s="1"/>
  <c r="H293" i="45"/>
  <c r="H293" i="40"/>
  <c r="Q215" i="31"/>
  <c r="R215" i="31" s="1"/>
  <c r="T215" i="31" s="1"/>
  <c r="S215" i="31"/>
  <c r="M215" i="31"/>
  <c r="N215" i="31" s="1"/>
  <c r="H289" i="45"/>
  <c r="H289" i="40"/>
  <c r="S211" i="31"/>
  <c r="Q211" i="31"/>
  <c r="R211" i="31" s="1"/>
  <c r="T211" i="31" s="1"/>
  <c r="M211" i="31"/>
  <c r="N211" i="31" s="1"/>
  <c r="H285" i="45"/>
  <c r="H285" i="40"/>
  <c r="Q207" i="31"/>
  <c r="R207" i="31" s="1"/>
  <c r="S207" i="31"/>
  <c r="M207" i="31"/>
  <c r="N207" i="31" s="1"/>
  <c r="H281" i="45"/>
  <c r="H281" i="40"/>
  <c r="S203" i="31"/>
  <c r="Q203" i="31"/>
  <c r="R203" i="31" s="1"/>
  <c r="M203" i="31"/>
  <c r="N203" i="31" s="1"/>
  <c r="H277" i="45"/>
  <c r="H277" i="40"/>
  <c r="Q199" i="31"/>
  <c r="R199" i="31" s="1"/>
  <c r="T199" i="31" s="1"/>
  <c r="S199" i="31"/>
  <c r="M199" i="31"/>
  <c r="N199" i="31" s="1"/>
  <c r="H273" i="45"/>
  <c r="H273" i="40"/>
  <c r="S195" i="31"/>
  <c r="Q195" i="31"/>
  <c r="R195" i="31" s="1"/>
  <c r="T195" i="31" s="1"/>
  <c r="M195" i="31"/>
  <c r="N195" i="31" s="1"/>
  <c r="H269" i="45"/>
  <c r="H269" i="40"/>
  <c r="Q191" i="31"/>
  <c r="R191" i="31" s="1"/>
  <c r="T191" i="31" s="1"/>
  <c r="M191" i="31"/>
  <c r="N191" i="31" s="1"/>
  <c r="S191" i="31"/>
  <c r="H265" i="45"/>
  <c r="H265" i="40"/>
  <c r="Q187" i="31"/>
  <c r="R187" i="31" s="1"/>
  <c r="T187" i="31" s="1"/>
  <c r="S187" i="31"/>
  <c r="M187" i="31"/>
  <c r="N187" i="31" s="1"/>
  <c r="H261" i="45"/>
  <c r="H261" i="40"/>
  <c r="Q183" i="31"/>
  <c r="R183" i="31" s="1"/>
  <c r="T183" i="31" s="1"/>
  <c r="S183" i="31"/>
  <c r="M183" i="31"/>
  <c r="N183" i="31" s="1"/>
  <c r="H257" i="45"/>
  <c r="H257" i="40"/>
  <c r="S179" i="31"/>
  <c r="Q179" i="31"/>
  <c r="R179" i="31" s="1"/>
  <c r="T179" i="31" s="1"/>
  <c r="M179" i="31"/>
  <c r="N179" i="31" s="1"/>
  <c r="H253" i="45"/>
  <c r="H253" i="40"/>
  <c r="S175" i="31"/>
  <c r="Q175" i="31"/>
  <c r="R175" i="31" s="1"/>
  <c r="T175" i="31" s="1"/>
  <c r="M175" i="31"/>
  <c r="N175" i="31" s="1"/>
  <c r="H249" i="45"/>
  <c r="H249" i="40"/>
  <c r="Q171" i="31"/>
  <c r="R171" i="31" s="1"/>
  <c r="T171" i="31" s="1"/>
  <c r="S171" i="31"/>
  <c r="M171" i="31"/>
  <c r="N171" i="31" s="1"/>
  <c r="H245" i="45"/>
  <c r="H245" i="40"/>
  <c r="S167" i="31"/>
  <c r="Q167" i="31"/>
  <c r="R167" i="31" s="1"/>
  <c r="M167" i="31"/>
  <c r="N167" i="31" s="1"/>
  <c r="H241" i="45"/>
  <c r="H241" i="40"/>
  <c r="S163" i="31"/>
  <c r="Q163" i="31"/>
  <c r="R163" i="31" s="1"/>
  <c r="T163" i="31" s="1"/>
  <c r="M163" i="31"/>
  <c r="N163" i="31" s="1"/>
  <c r="H237" i="45"/>
  <c r="H237" i="40"/>
  <c r="Q159" i="31"/>
  <c r="R159" i="31" s="1"/>
  <c r="S159" i="31"/>
  <c r="M159" i="31"/>
  <c r="N159" i="31" s="1"/>
  <c r="H233" i="45"/>
  <c r="H233" i="40"/>
  <c r="Q155" i="31"/>
  <c r="R155" i="31" s="1"/>
  <c r="T155" i="31" s="1"/>
  <c r="M155" i="31"/>
  <c r="N155" i="31" s="1"/>
  <c r="H229" i="45"/>
  <c r="S155" i="31"/>
  <c r="H229" i="40"/>
  <c r="Q151" i="31"/>
  <c r="R151" i="31" s="1"/>
  <c r="M151" i="31"/>
  <c r="N151" i="31" s="1"/>
  <c r="H225" i="45"/>
  <c r="S151" i="31"/>
  <c r="H225" i="40"/>
  <c r="S147" i="31"/>
  <c r="Q147" i="31"/>
  <c r="R147" i="31" s="1"/>
  <c r="T147" i="31" s="1"/>
  <c r="M147" i="31"/>
  <c r="N147" i="31" s="1"/>
  <c r="H221" i="45"/>
  <c r="H221" i="40"/>
  <c r="Q143" i="31"/>
  <c r="R143" i="31" s="1"/>
  <c r="S143" i="31"/>
  <c r="M143" i="31"/>
  <c r="N143" i="31" s="1"/>
  <c r="H217" i="45"/>
  <c r="H217" i="40"/>
  <c r="S139" i="31"/>
  <c r="Q139" i="31"/>
  <c r="R139" i="31" s="1"/>
  <c r="M139" i="31"/>
  <c r="N139" i="31" s="1"/>
  <c r="H213" i="45"/>
  <c r="H213" i="40"/>
  <c r="Q135" i="31"/>
  <c r="R135" i="31" s="1"/>
  <c r="M135" i="31"/>
  <c r="N135" i="31" s="1"/>
  <c r="S135" i="31"/>
  <c r="H209" i="45"/>
  <c r="H209" i="40"/>
  <c r="S131" i="31"/>
  <c r="Q131" i="31"/>
  <c r="R131" i="31" s="1"/>
  <c r="T131" i="31" s="1"/>
  <c r="M131" i="31"/>
  <c r="N131" i="31" s="1"/>
  <c r="H205" i="45"/>
  <c r="H205" i="40"/>
  <c r="Q127" i="31"/>
  <c r="R127" i="31" s="1"/>
  <c r="S127" i="31"/>
  <c r="M127" i="31"/>
  <c r="N127" i="31" s="1"/>
  <c r="H201" i="45"/>
  <c r="H201" i="40"/>
  <c r="Q123" i="31"/>
  <c r="R123" i="31" s="1"/>
  <c r="T123" i="31" s="1"/>
  <c r="S123" i="31"/>
  <c r="M123" i="31"/>
  <c r="N123" i="31" s="1"/>
  <c r="H197" i="45"/>
  <c r="H197" i="40"/>
  <c r="S119" i="31"/>
  <c r="Q119" i="31"/>
  <c r="R119" i="31" s="1"/>
  <c r="M119" i="31"/>
  <c r="N119" i="31" s="1"/>
  <c r="H193" i="45"/>
  <c r="H193" i="40"/>
  <c r="S115" i="31"/>
  <c r="Q115" i="31"/>
  <c r="R115" i="31" s="1"/>
  <c r="T115" i="31" s="1"/>
  <c r="M115" i="31"/>
  <c r="N115" i="31" s="1"/>
  <c r="H189" i="45"/>
  <c r="H189" i="40"/>
  <c r="S111" i="31"/>
  <c r="Q111" i="31"/>
  <c r="R111" i="31" s="1"/>
  <c r="T111" i="31" s="1"/>
  <c r="M111" i="31"/>
  <c r="N111" i="31" s="1"/>
  <c r="H185" i="45"/>
  <c r="H185" i="40"/>
  <c r="Q107" i="31"/>
  <c r="R107" i="31" s="1"/>
  <c r="T107" i="31" s="1"/>
  <c r="S107" i="31"/>
  <c r="M107" i="31"/>
  <c r="N107" i="31" s="1"/>
  <c r="H181" i="45"/>
  <c r="S103" i="31"/>
  <c r="Q103" i="31"/>
  <c r="R103" i="31" s="1"/>
  <c r="M103" i="31"/>
  <c r="N103" i="31" s="1"/>
  <c r="H177" i="45"/>
  <c r="H177" i="40"/>
  <c r="S99" i="31"/>
  <c r="Q99" i="31"/>
  <c r="R99" i="31" s="1"/>
  <c r="M99" i="31"/>
  <c r="N99" i="31" s="1"/>
  <c r="H173" i="45"/>
  <c r="H173" i="40"/>
  <c r="Q95" i="31"/>
  <c r="R95" i="31" s="1"/>
  <c r="S95" i="31"/>
  <c r="M95" i="31"/>
  <c r="N95" i="31" s="1"/>
  <c r="H169" i="45"/>
  <c r="H169" i="40"/>
  <c r="S91" i="31"/>
  <c r="Q91" i="31"/>
  <c r="R91" i="31" s="1"/>
  <c r="T91" i="31" s="1"/>
  <c r="M91" i="31"/>
  <c r="N91" i="31" s="1"/>
  <c r="H165" i="45"/>
  <c r="H165" i="40"/>
  <c r="Q87" i="31"/>
  <c r="R87" i="31" s="1"/>
  <c r="T87" i="31" s="1"/>
  <c r="S87" i="31"/>
  <c r="M87" i="31"/>
  <c r="N87" i="31" s="1"/>
  <c r="H161" i="45"/>
  <c r="H161" i="40"/>
  <c r="S83" i="31"/>
  <c r="Q83" i="31"/>
  <c r="R83" i="31" s="1"/>
  <c r="M83" i="31"/>
  <c r="N83" i="31" s="1"/>
  <c r="H157" i="45"/>
  <c r="H157" i="40"/>
  <c r="Q79" i="31"/>
  <c r="R79" i="31" s="1"/>
  <c r="M79" i="31"/>
  <c r="N79" i="31" s="1"/>
  <c r="H153" i="45"/>
  <c r="S79" i="31"/>
  <c r="H153" i="40"/>
  <c r="S75" i="31"/>
  <c r="Q75" i="31"/>
  <c r="R75" i="31" s="1"/>
  <c r="T75" i="31" s="1"/>
  <c r="M75" i="31"/>
  <c r="N75" i="31" s="1"/>
  <c r="H149" i="45"/>
  <c r="S71" i="31"/>
  <c r="Q71" i="31"/>
  <c r="R71" i="31" s="1"/>
  <c r="T71" i="31" s="1"/>
  <c r="M71" i="31"/>
  <c r="N71" i="31" s="1"/>
  <c r="H145" i="45"/>
  <c r="H145" i="40"/>
  <c r="S67" i="31"/>
  <c r="Q67" i="31"/>
  <c r="R67" i="31" s="1"/>
  <c r="M67" i="31"/>
  <c r="N67" i="31" s="1"/>
  <c r="H141" i="45"/>
  <c r="H141" i="40"/>
  <c r="S63" i="31"/>
  <c r="Q63" i="31"/>
  <c r="R63" i="31" s="1"/>
  <c r="M63" i="31"/>
  <c r="N63" i="31" s="1"/>
  <c r="H137" i="45"/>
  <c r="H137" i="40"/>
  <c r="Q59" i="31"/>
  <c r="R59" i="31" s="1"/>
  <c r="M59" i="31"/>
  <c r="N59" i="31" s="1"/>
  <c r="S59" i="31"/>
  <c r="H133" i="45"/>
  <c r="H133" i="40"/>
  <c r="Q55" i="31"/>
  <c r="R55" i="31" s="1"/>
  <c r="S55" i="31"/>
  <c r="M55" i="31"/>
  <c r="N55" i="31" s="1"/>
  <c r="H129" i="45"/>
  <c r="H129" i="40"/>
  <c r="S51" i="31"/>
  <c r="Q51" i="31"/>
  <c r="R51" i="31" s="1"/>
  <c r="M51" i="31"/>
  <c r="N51" i="31" s="1"/>
  <c r="H125" i="45"/>
  <c r="H125" i="40"/>
  <c r="S47" i="31"/>
  <c r="Q47" i="31"/>
  <c r="R47" i="31" s="1"/>
  <c r="M47" i="31"/>
  <c r="N47" i="31" s="1"/>
  <c r="H121" i="45"/>
  <c r="H121" i="40"/>
  <c r="S43" i="31"/>
  <c r="Q43" i="31"/>
  <c r="R43" i="31" s="1"/>
  <c r="T43" i="31" s="1"/>
  <c r="M43" i="31"/>
  <c r="N43" i="31" s="1"/>
  <c r="H117" i="45"/>
  <c r="H117" i="40"/>
  <c r="S39" i="31"/>
  <c r="Q39" i="31"/>
  <c r="R39" i="31" s="1"/>
  <c r="T39" i="31" s="1"/>
  <c r="M39" i="31"/>
  <c r="N39" i="31" s="1"/>
  <c r="H113" i="45"/>
  <c r="H113" i="40"/>
  <c r="S35" i="31"/>
  <c r="Q35" i="31"/>
  <c r="R35" i="31" s="1"/>
  <c r="M35" i="31"/>
  <c r="N35" i="31" s="1"/>
  <c r="H109" i="45"/>
  <c r="H109" i="40"/>
  <c r="Q31" i="31"/>
  <c r="R31" i="31" s="1"/>
  <c r="T31" i="31" s="1"/>
  <c r="S31" i="31"/>
  <c r="M31" i="31"/>
  <c r="N31" i="31" s="1"/>
  <c r="H105" i="45"/>
  <c r="H105" i="40"/>
  <c r="Q27" i="31"/>
  <c r="R27" i="31" s="1"/>
  <c r="S27" i="31"/>
  <c r="M27" i="31"/>
  <c r="N27" i="31" s="1"/>
  <c r="H101" i="45"/>
  <c r="H101" i="40"/>
  <c r="S23" i="31"/>
  <c r="Q23" i="31"/>
  <c r="R23" i="31" s="1"/>
  <c r="T23" i="31" s="1"/>
  <c r="M23" i="31"/>
  <c r="N23" i="31" s="1"/>
  <c r="H97" i="45"/>
  <c r="H97" i="40"/>
  <c r="S19" i="31"/>
  <c r="Q19" i="31"/>
  <c r="R19" i="31" s="1"/>
  <c r="M19" i="31"/>
  <c r="N19" i="31" s="1"/>
  <c r="H93" i="45"/>
  <c r="H93" i="40"/>
  <c r="S15" i="31"/>
  <c r="Q15" i="31"/>
  <c r="R15" i="31" s="1"/>
  <c r="M15" i="31"/>
  <c r="N15" i="31" s="1"/>
  <c r="H89" i="45"/>
  <c r="H89" i="40"/>
  <c r="S11" i="31"/>
  <c r="Q11" i="31"/>
  <c r="R11" i="31" s="1"/>
  <c r="T11" i="31" s="1"/>
  <c r="M11" i="31"/>
  <c r="N11" i="31" s="1"/>
  <c r="H85" i="45"/>
  <c r="H85" i="40"/>
  <c r="Q7" i="31"/>
  <c r="R7" i="31" s="1"/>
  <c r="S7" i="31"/>
  <c r="M7" i="31"/>
  <c r="N7" i="31" s="1"/>
  <c r="H81" i="45"/>
  <c r="H81" i="40"/>
  <c r="S2" i="31"/>
  <c r="Q2" i="31"/>
  <c r="R2" i="31" s="1"/>
  <c r="M2" i="31"/>
  <c r="N2" i="31" s="1"/>
  <c r="H76" i="45"/>
  <c r="H76" i="40"/>
  <c r="S878" i="31"/>
  <c r="M878" i="31"/>
  <c r="N878" i="31" s="1"/>
  <c r="Q878" i="31"/>
  <c r="R878" i="31" s="1"/>
  <c r="T878" i="31" s="1"/>
  <c r="I512" i="45"/>
  <c r="I512" i="40"/>
  <c r="Q874" i="31"/>
  <c r="R874" i="31" s="1"/>
  <c r="S874" i="31"/>
  <c r="M874" i="31"/>
  <c r="N874" i="31" s="1"/>
  <c r="I508" i="45"/>
  <c r="I508" i="40"/>
  <c r="S870" i="31"/>
  <c r="M870" i="31"/>
  <c r="N870" i="31" s="1"/>
  <c r="Q870" i="31"/>
  <c r="R870" i="31" s="1"/>
  <c r="I504" i="45"/>
  <c r="I504" i="40"/>
  <c r="S866" i="31"/>
  <c r="Q866" i="31"/>
  <c r="R866" i="31" s="1"/>
  <c r="M866" i="31"/>
  <c r="N866" i="31" s="1"/>
  <c r="I500" i="45"/>
  <c r="I500" i="40"/>
  <c r="S862" i="31"/>
  <c r="I496" i="45"/>
  <c r="Q862" i="31"/>
  <c r="R862" i="31" s="1"/>
  <c r="T862" i="31" s="1"/>
  <c r="M862" i="31"/>
  <c r="N862" i="31" s="1"/>
  <c r="I496" i="40"/>
  <c r="Q858" i="31"/>
  <c r="R858" i="31" s="1"/>
  <c r="S858" i="31"/>
  <c r="M858" i="31"/>
  <c r="N858" i="31" s="1"/>
  <c r="I492" i="45"/>
  <c r="I492" i="40"/>
  <c r="S854" i="31"/>
  <c r="M854" i="31"/>
  <c r="N854" i="31" s="1"/>
  <c r="Q854" i="31"/>
  <c r="R854" i="31" s="1"/>
  <c r="I488" i="45"/>
  <c r="I488" i="40"/>
  <c r="S850" i="31"/>
  <c r="Q850" i="31"/>
  <c r="R850" i="31" s="1"/>
  <c r="M850" i="31"/>
  <c r="N850" i="31" s="1"/>
  <c r="I484" i="45"/>
  <c r="I484" i="40"/>
  <c r="S846" i="31"/>
  <c r="M846" i="31"/>
  <c r="N846" i="31" s="1"/>
  <c r="Q846" i="31"/>
  <c r="R846" i="31" s="1"/>
  <c r="T846" i="31" s="1"/>
  <c r="I480" i="45"/>
  <c r="I480" i="40"/>
  <c r="S842" i="31"/>
  <c r="Q842" i="31"/>
  <c r="R842" i="31" s="1"/>
  <c r="I476" i="45"/>
  <c r="M842" i="31"/>
  <c r="N842" i="31" s="1"/>
  <c r="I476" i="40"/>
  <c r="S837" i="31"/>
  <c r="Q837" i="31"/>
  <c r="R837" i="31" s="1"/>
  <c r="T837" i="31" s="1"/>
  <c r="M837" i="31"/>
  <c r="N837" i="31" s="1"/>
  <c r="I471" i="45"/>
  <c r="S833" i="31"/>
  <c r="Q833" i="31"/>
  <c r="R833" i="31" s="1"/>
  <c r="T833" i="31" s="1"/>
  <c r="M833" i="31"/>
  <c r="N833" i="31" s="1"/>
  <c r="I467" i="45"/>
  <c r="S829" i="31"/>
  <c r="M829" i="31"/>
  <c r="N829" i="31" s="1"/>
  <c r="I463" i="45"/>
  <c r="Q829" i="31"/>
  <c r="R829" i="31" s="1"/>
  <c r="T829" i="31" s="1"/>
  <c r="S825" i="31"/>
  <c r="Q825" i="31"/>
  <c r="R825" i="31" s="1"/>
  <c r="T825" i="31" s="1"/>
  <c r="M825" i="31"/>
  <c r="N825" i="31" s="1"/>
  <c r="I459" i="45"/>
  <c r="S821" i="31"/>
  <c r="Q821" i="31"/>
  <c r="R821" i="31" s="1"/>
  <c r="T821" i="31" s="1"/>
  <c r="I455" i="45"/>
  <c r="M821" i="31"/>
  <c r="N821" i="31" s="1"/>
  <c r="S817" i="31"/>
  <c r="Q817" i="31"/>
  <c r="R817" i="31" s="1"/>
  <c r="T817" i="31" s="1"/>
  <c r="M817" i="31"/>
  <c r="N817" i="31" s="1"/>
  <c r="I451" i="45"/>
  <c r="S813" i="31"/>
  <c r="Q813" i="31"/>
  <c r="R813" i="31" s="1"/>
  <c r="T813" i="31" s="1"/>
  <c r="M813" i="31"/>
  <c r="N813" i="31" s="1"/>
  <c r="I447" i="45"/>
  <c r="S809" i="31"/>
  <c r="I443" i="45"/>
  <c r="Q809" i="31"/>
  <c r="R809" i="31" s="1"/>
  <c r="M809" i="31"/>
  <c r="N809" i="31" s="1"/>
  <c r="S805" i="31"/>
  <c r="Q805" i="31"/>
  <c r="R805" i="31" s="1"/>
  <c r="T805" i="31" s="1"/>
  <c r="M805" i="31"/>
  <c r="N805" i="31" s="1"/>
  <c r="I439" i="45"/>
  <c r="S801" i="31"/>
  <c r="Q801" i="31"/>
  <c r="R801" i="31" s="1"/>
  <c r="T801" i="31" s="1"/>
  <c r="M801" i="31"/>
  <c r="N801" i="31" s="1"/>
  <c r="I435" i="45"/>
  <c r="S797" i="31"/>
  <c r="Q797" i="31"/>
  <c r="R797" i="31" s="1"/>
  <c r="T797" i="31" s="1"/>
  <c r="M797" i="31"/>
  <c r="N797" i="31" s="1"/>
  <c r="I431" i="45"/>
  <c r="S793" i="31"/>
  <c r="Q793" i="31"/>
  <c r="R793" i="31" s="1"/>
  <c r="T793" i="31" s="1"/>
  <c r="M793" i="31"/>
  <c r="N793" i="31" s="1"/>
  <c r="I427" i="45"/>
  <c r="S789" i="31"/>
  <c r="I423" i="45"/>
  <c r="M789" i="31"/>
  <c r="N789" i="31" s="1"/>
  <c r="Q789" i="31"/>
  <c r="R789" i="31" s="1"/>
  <c r="T789" i="31" s="1"/>
  <c r="S785" i="31"/>
  <c r="Q785" i="31"/>
  <c r="R785" i="31" s="1"/>
  <c r="T785" i="31" s="1"/>
  <c r="M785" i="31"/>
  <c r="N785" i="31" s="1"/>
  <c r="I419" i="45"/>
  <c r="S781" i="31"/>
  <c r="Q781" i="31"/>
  <c r="R781" i="31" s="1"/>
  <c r="T781" i="31" s="1"/>
  <c r="M781" i="31"/>
  <c r="N781" i="31" s="1"/>
  <c r="I415" i="45"/>
  <c r="S777" i="31"/>
  <c r="Q777" i="31"/>
  <c r="R777" i="31" s="1"/>
  <c r="T777" i="31" s="1"/>
  <c r="I411" i="45"/>
  <c r="M777" i="31"/>
  <c r="N777" i="31" s="1"/>
  <c r="S773" i="31"/>
  <c r="Q773" i="31"/>
  <c r="R773" i="31" s="1"/>
  <c r="T773" i="31" s="1"/>
  <c r="M773" i="31"/>
  <c r="N773" i="31" s="1"/>
  <c r="I407" i="45"/>
  <c r="S769" i="31"/>
  <c r="Q769" i="31"/>
  <c r="R769" i="31" s="1"/>
  <c r="T769" i="31" s="1"/>
  <c r="M769" i="31"/>
  <c r="N769" i="31" s="1"/>
  <c r="I403" i="45"/>
  <c r="S765" i="31"/>
  <c r="Q765" i="31"/>
  <c r="R765" i="31" s="1"/>
  <c r="T765" i="31" s="1"/>
  <c r="M765" i="31"/>
  <c r="N765" i="31" s="1"/>
  <c r="I399" i="45"/>
  <c r="S761" i="31"/>
  <c r="Q761" i="31"/>
  <c r="R761" i="31" s="1"/>
  <c r="T761" i="31" s="1"/>
  <c r="M761" i="31"/>
  <c r="N761" i="31" s="1"/>
  <c r="I395" i="45"/>
  <c r="S757" i="31"/>
  <c r="Q757" i="31"/>
  <c r="R757" i="31" s="1"/>
  <c r="T757" i="31" s="1"/>
  <c r="I391" i="45"/>
  <c r="M757" i="31"/>
  <c r="N757" i="31" s="1"/>
  <c r="S753" i="31"/>
  <c r="Q753" i="31"/>
  <c r="R753" i="31" s="1"/>
  <c r="T753" i="31" s="1"/>
  <c r="M753" i="31"/>
  <c r="N753" i="31" s="1"/>
  <c r="I387" i="45"/>
  <c r="Q748" i="31"/>
  <c r="R748" i="31" s="1"/>
  <c r="M748" i="31"/>
  <c r="N748" i="31" s="1"/>
  <c r="S748" i="31"/>
  <c r="I382" i="45"/>
  <c r="I382" i="40"/>
  <c r="S744" i="31"/>
  <c r="Q744" i="31"/>
  <c r="R744" i="31" s="1"/>
  <c r="M744" i="31"/>
  <c r="N744" i="31" s="1"/>
  <c r="I378" i="45"/>
  <c r="I378" i="40"/>
  <c r="S740" i="31"/>
  <c r="Q740" i="31"/>
  <c r="R740" i="31" s="1"/>
  <c r="M740" i="31"/>
  <c r="N740" i="31" s="1"/>
  <c r="I374" i="45"/>
  <c r="I374" i="40"/>
  <c r="S736" i="31"/>
  <c r="Q736" i="31"/>
  <c r="R736" i="31" s="1"/>
  <c r="T736" i="31" s="1"/>
  <c r="M736" i="31"/>
  <c r="N736" i="31" s="1"/>
  <c r="I370" i="45"/>
  <c r="I370" i="40"/>
  <c r="S732" i="31"/>
  <c r="Q732" i="31"/>
  <c r="R732" i="31" s="1"/>
  <c r="T732" i="31" s="1"/>
  <c r="M732" i="31"/>
  <c r="N732" i="31" s="1"/>
  <c r="I366" i="45"/>
  <c r="I366" i="40"/>
  <c r="S728" i="31"/>
  <c r="Q728" i="31"/>
  <c r="R728" i="31" s="1"/>
  <c r="M728" i="31"/>
  <c r="N728" i="31" s="1"/>
  <c r="I362" i="45"/>
  <c r="I362" i="40"/>
  <c r="S724" i="31"/>
  <c r="Q724" i="31"/>
  <c r="R724" i="31" s="1"/>
  <c r="M724" i="31"/>
  <c r="N724" i="31" s="1"/>
  <c r="I358" i="45"/>
  <c r="I358" i="40"/>
  <c r="S720" i="31"/>
  <c r="Q720" i="31"/>
  <c r="R720" i="31" s="1"/>
  <c r="T720" i="31" s="1"/>
  <c r="M720" i="31"/>
  <c r="N720" i="31" s="1"/>
  <c r="I354" i="45"/>
  <c r="I354" i="40"/>
  <c r="Q716" i="31"/>
  <c r="R716" i="31" s="1"/>
  <c r="S716" i="31"/>
  <c r="M716" i="31"/>
  <c r="N716" i="31" s="1"/>
  <c r="I350" i="45"/>
  <c r="I350" i="40"/>
  <c r="Q711" i="31"/>
  <c r="R711" i="31" s="1"/>
  <c r="T711" i="31" s="1"/>
  <c r="S711" i="31"/>
  <c r="M711" i="31"/>
  <c r="N711" i="31" s="1"/>
  <c r="I345" i="45"/>
  <c r="S707" i="31"/>
  <c r="Q707" i="31"/>
  <c r="R707" i="31" s="1"/>
  <c r="M707" i="31"/>
  <c r="N707" i="31" s="1"/>
  <c r="I341" i="45"/>
  <c r="Q703" i="31"/>
  <c r="R703" i="31" s="1"/>
  <c r="T703" i="31" s="1"/>
  <c r="S703" i="31"/>
  <c r="M703" i="31"/>
  <c r="N703" i="31" s="1"/>
  <c r="I337" i="45"/>
  <c r="Q699" i="31"/>
  <c r="R699" i="31" s="1"/>
  <c r="T699" i="31" s="1"/>
  <c r="S699" i="31"/>
  <c r="M699" i="31"/>
  <c r="N699" i="31" s="1"/>
  <c r="I333" i="45"/>
  <c r="Q695" i="31"/>
  <c r="R695" i="31" s="1"/>
  <c r="T695" i="31" s="1"/>
  <c r="M695" i="31"/>
  <c r="N695" i="31" s="1"/>
  <c r="S695" i="31"/>
  <c r="I329" i="45"/>
  <c r="S691" i="31"/>
  <c r="Q691" i="31"/>
  <c r="R691" i="31" s="1"/>
  <c r="M691" i="31"/>
  <c r="N691" i="31" s="1"/>
  <c r="I325" i="45"/>
  <c r="Q687" i="31"/>
  <c r="R687" i="31" s="1"/>
  <c r="T687" i="31" s="1"/>
  <c r="S687" i="31"/>
  <c r="M687" i="31"/>
  <c r="N687" i="31" s="1"/>
  <c r="I321" i="45"/>
  <c r="Q683" i="31"/>
  <c r="R683" i="31" s="1"/>
  <c r="T683" i="31" s="1"/>
  <c r="M683" i="31"/>
  <c r="N683" i="31" s="1"/>
  <c r="I317" i="45"/>
  <c r="S683" i="31"/>
  <c r="I317" i="40"/>
  <c r="Q679" i="31"/>
  <c r="R679" i="31" s="1"/>
  <c r="T679" i="31" s="1"/>
  <c r="S679" i="31"/>
  <c r="M679" i="31"/>
  <c r="N679" i="31" s="1"/>
  <c r="I313" i="45"/>
  <c r="I313" i="40"/>
  <c r="S675" i="31"/>
  <c r="Q675" i="31"/>
  <c r="R675" i="31" s="1"/>
  <c r="M675" i="31"/>
  <c r="N675" i="31" s="1"/>
  <c r="I309" i="45"/>
  <c r="I309" i="40"/>
  <c r="Q671" i="31"/>
  <c r="R671" i="31" s="1"/>
  <c r="S671" i="31"/>
  <c r="M671" i="31"/>
  <c r="N671" i="31" s="1"/>
  <c r="I305" i="45"/>
  <c r="I305" i="40"/>
  <c r="Q667" i="31"/>
  <c r="R667" i="31" s="1"/>
  <c r="S667" i="31"/>
  <c r="M667" i="31"/>
  <c r="N667" i="31" s="1"/>
  <c r="I301" i="45"/>
  <c r="I301" i="40"/>
  <c r="Q663" i="31"/>
  <c r="R663" i="31" s="1"/>
  <c r="T663" i="31" s="1"/>
  <c r="M663" i="31"/>
  <c r="N663" i="31" s="1"/>
  <c r="S663" i="31"/>
  <c r="I297" i="45"/>
  <c r="I297" i="40"/>
  <c r="Q439" i="31"/>
  <c r="R439" i="31" s="1"/>
  <c r="M439" i="31"/>
  <c r="N439" i="31" s="1"/>
  <c r="S439" i="31"/>
  <c r="I293" i="45"/>
  <c r="I293" i="40"/>
  <c r="S435" i="31"/>
  <c r="Q435" i="31"/>
  <c r="R435" i="31" s="1"/>
  <c r="T435" i="31" s="1"/>
  <c r="M435" i="31"/>
  <c r="N435" i="31" s="1"/>
  <c r="I289" i="45"/>
  <c r="I289" i="40"/>
  <c r="Q431" i="31"/>
  <c r="R431" i="31" s="1"/>
  <c r="S431" i="31"/>
  <c r="M431" i="31"/>
  <c r="N431" i="31" s="1"/>
  <c r="I285" i="45"/>
  <c r="I285" i="40"/>
  <c r="Q427" i="31"/>
  <c r="R427" i="31" s="1"/>
  <c r="T427" i="31" s="1"/>
  <c r="M427" i="31"/>
  <c r="N427" i="31" s="1"/>
  <c r="I281" i="45"/>
  <c r="S427" i="31"/>
  <c r="I281" i="40"/>
  <c r="S423" i="31"/>
  <c r="Q423" i="31"/>
  <c r="R423" i="31" s="1"/>
  <c r="M423" i="31"/>
  <c r="N423" i="31" s="1"/>
  <c r="I277" i="45"/>
  <c r="I277" i="40"/>
  <c r="S419" i="31"/>
  <c r="Q419" i="31"/>
  <c r="R419" i="31" s="1"/>
  <c r="T419" i="31" s="1"/>
  <c r="M419" i="31"/>
  <c r="N419" i="31" s="1"/>
  <c r="I273" i="45"/>
  <c r="I273" i="40"/>
  <c r="Q415" i="31"/>
  <c r="R415" i="31" s="1"/>
  <c r="T415" i="31" s="1"/>
  <c r="M415" i="31"/>
  <c r="N415" i="31" s="1"/>
  <c r="S415" i="31"/>
  <c r="I269" i="45"/>
  <c r="I269" i="40"/>
  <c r="Q411" i="31"/>
  <c r="R411" i="31" s="1"/>
  <c r="T411" i="31" s="1"/>
  <c r="S411" i="31"/>
  <c r="M411" i="31"/>
  <c r="N411" i="31" s="1"/>
  <c r="I265" i="45"/>
  <c r="I265" i="40"/>
  <c r="Q407" i="31"/>
  <c r="R407" i="31" s="1"/>
  <c r="T407" i="31" s="1"/>
  <c r="S407" i="31"/>
  <c r="M407" i="31"/>
  <c r="N407" i="31" s="1"/>
  <c r="I261" i="45"/>
  <c r="I261" i="40"/>
  <c r="S403" i="31"/>
  <c r="Q403" i="31"/>
  <c r="R403" i="31" s="1"/>
  <c r="T403" i="31" s="1"/>
  <c r="M403" i="31"/>
  <c r="N403" i="31" s="1"/>
  <c r="I257" i="45"/>
  <c r="I257" i="40"/>
  <c r="Q399" i="31"/>
  <c r="R399" i="31" s="1"/>
  <c r="T399" i="31" s="1"/>
  <c r="M399" i="31"/>
  <c r="N399" i="31" s="1"/>
  <c r="S399" i="31"/>
  <c r="I253" i="45"/>
  <c r="I253" i="40"/>
  <c r="S395" i="31"/>
  <c r="Q395" i="31"/>
  <c r="R395" i="31" s="1"/>
  <c r="M395" i="31"/>
  <c r="N395" i="31" s="1"/>
  <c r="I249" i="45"/>
  <c r="I249" i="40"/>
  <c r="Q391" i="31"/>
  <c r="R391" i="31" s="1"/>
  <c r="T391" i="31" s="1"/>
  <c r="S391" i="31"/>
  <c r="M391" i="31"/>
  <c r="N391" i="31" s="1"/>
  <c r="I245" i="45"/>
  <c r="I245" i="40"/>
  <c r="S387" i="31"/>
  <c r="Q387" i="31"/>
  <c r="R387" i="31" s="1"/>
  <c r="T387" i="31" s="1"/>
  <c r="M387" i="31"/>
  <c r="N387" i="31" s="1"/>
  <c r="I241" i="45"/>
  <c r="I241" i="40"/>
  <c r="Q383" i="31"/>
  <c r="R383" i="31" s="1"/>
  <c r="S383" i="31"/>
  <c r="M383" i="31"/>
  <c r="N383" i="31" s="1"/>
  <c r="I237" i="45"/>
  <c r="I237" i="40"/>
  <c r="Q379" i="31"/>
  <c r="R379" i="31" s="1"/>
  <c r="T379" i="31" s="1"/>
  <c r="S379" i="31"/>
  <c r="M379" i="31"/>
  <c r="N379" i="31" s="1"/>
  <c r="I233" i="45"/>
  <c r="I233" i="40"/>
  <c r="Q375" i="31"/>
  <c r="R375" i="31" s="1"/>
  <c r="T375" i="31" s="1"/>
  <c r="S375" i="31"/>
  <c r="M375" i="31"/>
  <c r="N375" i="31" s="1"/>
  <c r="I229" i="45"/>
  <c r="I229" i="40"/>
  <c r="S371" i="31"/>
  <c r="Q371" i="31"/>
  <c r="R371" i="31" s="1"/>
  <c r="T371" i="31" s="1"/>
  <c r="M371" i="31"/>
  <c r="N371" i="31" s="1"/>
  <c r="I225" i="45"/>
  <c r="I225" i="40"/>
  <c r="S367" i="31"/>
  <c r="Q367" i="31"/>
  <c r="R367" i="31" s="1"/>
  <c r="T367" i="31" s="1"/>
  <c r="M367" i="31"/>
  <c r="N367" i="31" s="1"/>
  <c r="I221" i="45"/>
  <c r="I221" i="40"/>
  <c r="Q363" i="31"/>
  <c r="R363" i="31" s="1"/>
  <c r="T363" i="31" s="1"/>
  <c r="S363" i="31"/>
  <c r="M363" i="31"/>
  <c r="N363" i="31" s="1"/>
  <c r="I217" i="45"/>
  <c r="I217" i="40"/>
  <c r="S359" i="31"/>
  <c r="Q359" i="31"/>
  <c r="R359" i="31" s="1"/>
  <c r="M359" i="31"/>
  <c r="N359" i="31" s="1"/>
  <c r="I213" i="45"/>
  <c r="I213" i="40"/>
  <c r="S355" i="31"/>
  <c r="Q355" i="31"/>
  <c r="R355" i="31" s="1"/>
  <c r="T355" i="31" s="1"/>
  <c r="M355" i="31"/>
  <c r="N355" i="31" s="1"/>
  <c r="I209" i="45"/>
  <c r="I209" i="40"/>
  <c r="Q351" i="31"/>
  <c r="R351" i="31" s="1"/>
  <c r="S351" i="31"/>
  <c r="M351" i="31"/>
  <c r="N351" i="31" s="1"/>
  <c r="I205" i="45"/>
  <c r="I205" i="40"/>
  <c r="Q347" i="31"/>
  <c r="R347" i="31" s="1"/>
  <c r="T347" i="31" s="1"/>
  <c r="S347" i="31"/>
  <c r="M347" i="31"/>
  <c r="N347" i="31" s="1"/>
  <c r="I201" i="45"/>
  <c r="I201" i="40"/>
  <c r="Q343" i="31"/>
  <c r="R343" i="31" s="1"/>
  <c r="M343" i="31"/>
  <c r="N343" i="31" s="1"/>
  <c r="S343" i="31"/>
  <c r="I197" i="45"/>
  <c r="I197" i="40"/>
  <c r="S339" i="31"/>
  <c r="Q339" i="31"/>
  <c r="R339" i="31" s="1"/>
  <c r="T339" i="31" s="1"/>
  <c r="M339" i="31"/>
  <c r="N339" i="31" s="1"/>
  <c r="I193" i="45"/>
  <c r="I193" i="40"/>
  <c r="Q335" i="31"/>
  <c r="R335" i="31" s="1"/>
  <c r="S335" i="31"/>
  <c r="M335" i="31"/>
  <c r="N335" i="31" s="1"/>
  <c r="I189" i="45"/>
  <c r="I189" i="40"/>
  <c r="S331" i="31"/>
  <c r="Q331" i="31"/>
  <c r="R331" i="31" s="1"/>
  <c r="M331" i="31"/>
  <c r="N331" i="31" s="1"/>
  <c r="I185" i="45"/>
  <c r="I185" i="40"/>
  <c r="S327" i="31"/>
  <c r="Q327" i="31"/>
  <c r="R327" i="31" s="1"/>
  <c r="M327" i="31"/>
  <c r="N327" i="31" s="1"/>
  <c r="I181" i="45"/>
  <c r="I181" i="40"/>
  <c r="S323" i="31"/>
  <c r="Q323" i="31"/>
  <c r="R323" i="31" s="1"/>
  <c r="T323" i="31" s="1"/>
  <c r="M323" i="31"/>
  <c r="N323" i="31" s="1"/>
  <c r="I177" i="45"/>
  <c r="I177" i="40"/>
  <c r="S319" i="31"/>
  <c r="Q319" i="31"/>
  <c r="R319" i="31" s="1"/>
  <c r="T319" i="31" s="1"/>
  <c r="M319" i="31"/>
  <c r="N319" i="31" s="1"/>
  <c r="I173" i="45"/>
  <c r="I173" i="40"/>
  <c r="Q315" i="31"/>
  <c r="R315" i="31" s="1"/>
  <c r="T315" i="31" s="1"/>
  <c r="S315" i="31"/>
  <c r="M315" i="31"/>
  <c r="N315" i="31" s="1"/>
  <c r="I169" i="45"/>
  <c r="I169" i="40"/>
  <c r="Q311" i="31"/>
  <c r="R311" i="31" s="1"/>
  <c r="T311" i="31" s="1"/>
  <c r="S311" i="31"/>
  <c r="M311" i="31"/>
  <c r="N311" i="31" s="1"/>
  <c r="I165" i="45"/>
  <c r="I165" i="40"/>
  <c r="Q306" i="31"/>
  <c r="R306" i="31" s="1"/>
  <c r="M306" i="31"/>
  <c r="N306" i="31" s="1"/>
  <c r="I160" i="45"/>
  <c r="I160" i="40"/>
  <c r="S306" i="31"/>
  <c r="S302" i="31"/>
  <c r="Q302" i="31"/>
  <c r="R302" i="31" s="1"/>
  <c r="T302" i="31" s="1"/>
  <c r="I156" i="45"/>
  <c r="I156" i="40"/>
  <c r="M302" i="31"/>
  <c r="N302" i="31" s="1"/>
  <c r="S298" i="31"/>
  <c r="Q298" i="31"/>
  <c r="R298" i="31" s="1"/>
  <c r="M298" i="31"/>
  <c r="N298" i="31" s="1"/>
  <c r="I152" i="45"/>
  <c r="I152" i="40"/>
  <c r="S294" i="31"/>
  <c r="Q294" i="31"/>
  <c r="R294" i="31" s="1"/>
  <c r="M294" i="31"/>
  <c r="N294" i="31" s="1"/>
  <c r="I148" i="45"/>
  <c r="I148" i="40"/>
  <c r="S290" i="31"/>
  <c r="Q290" i="31"/>
  <c r="R290" i="31" s="1"/>
  <c r="T290" i="31" s="1"/>
  <c r="M290" i="31"/>
  <c r="N290" i="31" s="1"/>
  <c r="I144" i="45"/>
  <c r="I144" i="40"/>
  <c r="S286" i="31"/>
  <c r="Q286" i="31"/>
  <c r="R286" i="31" s="1"/>
  <c r="M286" i="31"/>
  <c r="N286" i="31" s="1"/>
  <c r="I140" i="45"/>
  <c r="I140" i="40"/>
  <c r="S282" i="31"/>
  <c r="Q282" i="31"/>
  <c r="R282" i="31" s="1"/>
  <c r="M282" i="31"/>
  <c r="N282" i="31" s="1"/>
  <c r="I136" i="45"/>
  <c r="I136" i="40"/>
  <c r="S278" i="31"/>
  <c r="M278" i="31"/>
  <c r="N278" i="31" s="1"/>
  <c r="Q278" i="31"/>
  <c r="R278" i="31" s="1"/>
  <c r="T278" i="31" s="1"/>
  <c r="I132" i="45"/>
  <c r="I132" i="40"/>
  <c r="S274" i="31"/>
  <c r="Q274" i="31"/>
  <c r="R274" i="31" s="1"/>
  <c r="T274" i="31" s="1"/>
  <c r="M274" i="31"/>
  <c r="N274" i="31" s="1"/>
  <c r="I128" i="45"/>
  <c r="I128" i="40"/>
  <c r="S270" i="31"/>
  <c r="Q270" i="31"/>
  <c r="R270" i="31" s="1"/>
  <c r="I124" i="45"/>
  <c r="I124" i="40"/>
  <c r="M270" i="31"/>
  <c r="N270" i="31" s="1"/>
  <c r="Q266" i="31"/>
  <c r="R266" i="31" s="1"/>
  <c r="T266" i="31" s="1"/>
  <c r="S266" i="31"/>
  <c r="M266" i="31"/>
  <c r="N266" i="31" s="1"/>
  <c r="I120" i="45"/>
  <c r="I120" i="40"/>
  <c r="S262" i="31"/>
  <c r="Q262" i="31"/>
  <c r="R262" i="31" s="1"/>
  <c r="M262" i="31"/>
  <c r="N262" i="31" s="1"/>
  <c r="I116" i="45"/>
  <c r="I116" i="40"/>
  <c r="S258" i="31"/>
  <c r="Q258" i="31"/>
  <c r="R258" i="31" s="1"/>
  <c r="T258" i="31" s="1"/>
  <c r="M258" i="31"/>
  <c r="N258" i="31" s="1"/>
  <c r="I112" i="45"/>
  <c r="I112" i="40"/>
  <c r="S254" i="31"/>
  <c r="Q254" i="31"/>
  <c r="R254" i="31" s="1"/>
  <c r="M254" i="31"/>
  <c r="N254" i="31" s="1"/>
  <c r="I108" i="45"/>
  <c r="I108" i="40"/>
  <c r="S250" i="31"/>
  <c r="M250" i="31"/>
  <c r="N250" i="31" s="1"/>
  <c r="I104" i="45"/>
  <c r="I104" i="40"/>
  <c r="Q250" i="31"/>
  <c r="R250" i="31" s="1"/>
  <c r="T250" i="31" s="1"/>
  <c r="S246" i="31"/>
  <c r="Q246" i="31"/>
  <c r="R246" i="31" s="1"/>
  <c r="M246" i="31"/>
  <c r="N246" i="31" s="1"/>
  <c r="I100" i="45"/>
  <c r="I100" i="40"/>
  <c r="S242" i="31"/>
  <c r="Q242" i="31"/>
  <c r="R242" i="31" s="1"/>
  <c r="T242" i="31" s="1"/>
  <c r="M242" i="31"/>
  <c r="N242" i="31" s="1"/>
  <c r="I96" i="45"/>
  <c r="I96" i="40"/>
  <c r="S238" i="31"/>
  <c r="Q238" i="31"/>
  <c r="R238" i="31" s="1"/>
  <c r="I92" i="45"/>
  <c r="I92" i="40"/>
  <c r="M238" i="31"/>
  <c r="N238" i="31" s="1"/>
  <c r="S234" i="31"/>
  <c r="M234" i="31"/>
  <c r="N234" i="31" s="1"/>
  <c r="Q234" i="31"/>
  <c r="R234" i="31" s="1"/>
  <c r="I88" i="45"/>
  <c r="I88" i="40"/>
  <c r="Q230" i="31"/>
  <c r="R230" i="31" s="1"/>
  <c r="T230" i="31" s="1"/>
  <c r="S230" i="31"/>
  <c r="M230" i="31"/>
  <c r="N230" i="31" s="1"/>
  <c r="I84" i="45"/>
  <c r="I84" i="40"/>
  <c r="S226" i="31"/>
  <c r="Q226" i="31"/>
  <c r="R226" i="31" s="1"/>
  <c r="T226" i="31" s="1"/>
  <c r="M226" i="31"/>
  <c r="N226" i="31" s="1"/>
  <c r="I80" i="45"/>
  <c r="I80" i="40"/>
  <c r="S223" i="31"/>
  <c r="Q223" i="31"/>
  <c r="R223" i="31" s="1"/>
  <c r="M223" i="31"/>
  <c r="N223" i="31" s="1"/>
  <c r="I77" i="45"/>
  <c r="I77" i="40"/>
  <c r="S750" i="31"/>
  <c r="Q750" i="31"/>
  <c r="R750" i="31" s="1"/>
  <c r="M750" i="31"/>
  <c r="N750" i="31" s="1"/>
  <c r="I384" i="45"/>
  <c r="I384" i="40"/>
  <c r="I467" i="40"/>
  <c r="I459" i="40"/>
  <c r="I451" i="40"/>
  <c r="I443" i="40"/>
  <c r="I435" i="40"/>
  <c r="I427" i="40"/>
  <c r="I419" i="40"/>
  <c r="I411" i="40"/>
  <c r="I403" i="40"/>
  <c r="I395" i="40"/>
  <c r="I387" i="40"/>
  <c r="I379" i="40"/>
  <c r="I371" i="40"/>
  <c r="I363" i="40"/>
  <c r="I355" i="40"/>
  <c r="H318" i="40"/>
  <c r="I290" i="40"/>
  <c r="H286" i="40"/>
  <c r="S658" i="31"/>
  <c r="Q658" i="31"/>
  <c r="R658" i="31" s="1"/>
  <c r="M658" i="31"/>
  <c r="N658" i="31" s="1"/>
  <c r="H512" i="45"/>
  <c r="H512" i="40"/>
  <c r="S654" i="31"/>
  <c r="Q654" i="31"/>
  <c r="R654" i="31" s="1"/>
  <c r="M654" i="31"/>
  <c r="N654" i="31" s="1"/>
  <c r="H508" i="45"/>
  <c r="H508" i="40"/>
  <c r="S650" i="31"/>
  <c r="Q650" i="31"/>
  <c r="R650" i="31" s="1"/>
  <c r="H504" i="45"/>
  <c r="M650" i="31"/>
  <c r="N650" i="31" s="1"/>
  <c r="H504" i="40"/>
  <c r="S646" i="31"/>
  <c r="Q646" i="31"/>
  <c r="R646" i="31" s="1"/>
  <c r="T646" i="31" s="1"/>
  <c r="M646" i="31"/>
  <c r="N646" i="31" s="1"/>
  <c r="H500" i="45"/>
  <c r="H500" i="40"/>
  <c r="Q642" i="31"/>
  <c r="R642" i="31" s="1"/>
  <c r="T642" i="31" s="1"/>
  <c r="M642" i="31"/>
  <c r="N642" i="31" s="1"/>
  <c r="S642" i="31"/>
  <c r="H496" i="45"/>
  <c r="H496" i="40"/>
  <c r="S638" i="31"/>
  <c r="Q638" i="31"/>
  <c r="R638" i="31" s="1"/>
  <c r="M638" i="31"/>
  <c r="N638" i="31" s="1"/>
  <c r="H492" i="45"/>
  <c r="H492" i="40"/>
  <c r="S634" i="31"/>
  <c r="Q634" i="31"/>
  <c r="R634" i="31" s="1"/>
  <c r="M634" i="31"/>
  <c r="N634" i="31" s="1"/>
  <c r="H488" i="45"/>
  <c r="H488" i="40"/>
  <c r="S630" i="31"/>
  <c r="Q630" i="31"/>
  <c r="R630" i="31" s="1"/>
  <c r="T630" i="31" s="1"/>
  <c r="M630" i="31"/>
  <c r="N630" i="31" s="1"/>
  <c r="H484" i="45"/>
  <c r="H484" i="40"/>
  <c r="S626" i="31"/>
  <c r="Q626" i="31"/>
  <c r="R626" i="31" s="1"/>
  <c r="M626" i="31"/>
  <c r="N626" i="31" s="1"/>
  <c r="H480" i="45"/>
  <c r="H480" i="40"/>
  <c r="S622" i="31"/>
  <c r="Q622" i="31"/>
  <c r="R622" i="31" s="1"/>
  <c r="M622" i="31"/>
  <c r="N622" i="31" s="1"/>
  <c r="H476" i="45"/>
  <c r="H476" i="40"/>
  <c r="S618" i="31"/>
  <c r="H472" i="45"/>
  <c r="M618" i="31"/>
  <c r="N618" i="31" s="1"/>
  <c r="Q618" i="31"/>
  <c r="R618" i="31" s="1"/>
  <c r="T618" i="31" s="1"/>
  <c r="H472" i="40"/>
  <c r="S614" i="31"/>
  <c r="Q614" i="31"/>
  <c r="R614" i="31" s="1"/>
  <c r="T614" i="31" s="1"/>
  <c r="M614" i="31"/>
  <c r="N614" i="31" s="1"/>
  <c r="H468" i="45"/>
  <c r="H468" i="40"/>
  <c r="S610" i="31"/>
  <c r="Q610" i="31"/>
  <c r="R610" i="31" s="1"/>
  <c r="M610" i="31"/>
  <c r="N610" i="31" s="1"/>
  <c r="H464" i="45"/>
  <c r="H464" i="40"/>
  <c r="S606" i="31"/>
  <c r="Q606" i="31"/>
  <c r="R606" i="31" s="1"/>
  <c r="H460" i="45"/>
  <c r="M606" i="31"/>
  <c r="N606" i="31" s="1"/>
  <c r="H460" i="40"/>
  <c r="S602" i="31"/>
  <c r="Q602" i="31"/>
  <c r="R602" i="31" s="1"/>
  <c r="M602" i="31"/>
  <c r="N602" i="31" s="1"/>
  <c r="H456" i="45"/>
  <c r="H456" i="40"/>
  <c r="Q598" i="31"/>
  <c r="R598" i="31" s="1"/>
  <c r="M598" i="31"/>
  <c r="N598" i="31" s="1"/>
  <c r="S598" i="31"/>
  <c r="H452" i="45"/>
  <c r="H452" i="40"/>
  <c r="S594" i="31"/>
  <c r="Q594" i="31"/>
  <c r="R594" i="31" s="1"/>
  <c r="M594" i="31"/>
  <c r="N594" i="31" s="1"/>
  <c r="H448" i="45"/>
  <c r="H448" i="40"/>
  <c r="S590" i="31"/>
  <c r="Q590" i="31"/>
  <c r="R590" i="31" s="1"/>
  <c r="M590" i="31"/>
  <c r="N590" i="31" s="1"/>
  <c r="H444" i="45"/>
  <c r="H444" i="40"/>
  <c r="S586" i="31"/>
  <c r="Q586" i="31"/>
  <c r="R586" i="31" s="1"/>
  <c r="H440" i="45"/>
  <c r="M586" i="31"/>
  <c r="N586" i="31" s="1"/>
  <c r="H440" i="40"/>
  <c r="S582" i="31"/>
  <c r="Q582" i="31"/>
  <c r="R582" i="31" s="1"/>
  <c r="T582" i="31" s="1"/>
  <c r="M582" i="31"/>
  <c r="N582" i="31" s="1"/>
  <c r="H436" i="45"/>
  <c r="H436" i="40"/>
  <c r="Q578" i="31"/>
  <c r="R578" i="31" s="1"/>
  <c r="T578" i="31" s="1"/>
  <c r="S578" i="31"/>
  <c r="M578" i="31"/>
  <c r="N578" i="31" s="1"/>
  <c r="H432" i="45"/>
  <c r="H432" i="40"/>
  <c r="S574" i="31"/>
  <c r="M574" i="31"/>
  <c r="N574" i="31" s="1"/>
  <c r="H428" i="45"/>
  <c r="Q574" i="31"/>
  <c r="R574" i="31" s="1"/>
  <c r="T574" i="31" s="1"/>
  <c r="H428" i="40"/>
  <c r="S570" i="31"/>
  <c r="Q570" i="31"/>
  <c r="R570" i="31" s="1"/>
  <c r="M570" i="31"/>
  <c r="N570" i="31" s="1"/>
  <c r="H424" i="45"/>
  <c r="H424" i="40"/>
  <c r="S566" i="31"/>
  <c r="Q566" i="31"/>
  <c r="R566" i="31" s="1"/>
  <c r="T566" i="31" s="1"/>
  <c r="M566" i="31"/>
  <c r="N566" i="31" s="1"/>
  <c r="H420" i="45"/>
  <c r="H420" i="40"/>
  <c r="S562" i="31"/>
  <c r="Q562" i="31"/>
  <c r="R562" i="31" s="1"/>
  <c r="M562" i="31"/>
  <c r="N562" i="31" s="1"/>
  <c r="H416" i="45"/>
  <c r="H416" i="40"/>
  <c r="S558" i="31"/>
  <c r="Q558" i="31"/>
  <c r="R558" i="31" s="1"/>
  <c r="M558" i="31"/>
  <c r="N558" i="31" s="1"/>
  <c r="H412" i="45"/>
  <c r="H412" i="40"/>
  <c r="S554" i="31"/>
  <c r="H408" i="45"/>
  <c r="Q554" i="31"/>
  <c r="R554" i="31" s="1"/>
  <c r="T554" i="31" s="1"/>
  <c r="M554" i="31"/>
  <c r="N554" i="31" s="1"/>
  <c r="H408" i="40"/>
  <c r="S550" i="31"/>
  <c r="Q550" i="31"/>
  <c r="R550" i="31" s="1"/>
  <c r="T550" i="31" s="1"/>
  <c r="M550" i="31"/>
  <c r="N550" i="31" s="1"/>
  <c r="H404" i="45"/>
  <c r="H404" i="40"/>
  <c r="S546" i="31"/>
  <c r="Q546" i="31"/>
  <c r="R546" i="31" s="1"/>
  <c r="M546" i="31"/>
  <c r="N546" i="31" s="1"/>
  <c r="H400" i="45"/>
  <c r="H400" i="40"/>
  <c r="S542" i="31"/>
  <c r="Q542" i="31"/>
  <c r="R542" i="31" s="1"/>
  <c r="H396" i="45"/>
  <c r="M542" i="31"/>
  <c r="N542" i="31" s="1"/>
  <c r="H396" i="40"/>
  <c r="S538" i="31"/>
  <c r="Q538" i="31"/>
  <c r="R538" i="31" s="1"/>
  <c r="M538" i="31"/>
  <c r="N538" i="31" s="1"/>
  <c r="H392" i="45"/>
  <c r="H392" i="40"/>
  <c r="Q534" i="31"/>
  <c r="R534" i="31" s="1"/>
  <c r="S534" i="31"/>
  <c r="M534" i="31"/>
  <c r="N534" i="31" s="1"/>
  <c r="H388" i="45"/>
  <c r="H388" i="40"/>
  <c r="S530" i="31"/>
  <c r="Q530" i="31"/>
  <c r="R530" i="31" s="1"/>
  <c r="M530" i="31"/>
  <c r="N530" i="31" s="1"/>
  <c r="H384" i="45"/>
  <c r="H384" i="40"/>
  <c r="S526" i="31"/>
  <c r="Q526" i="31"/>
  <c r="R526" i="31" s="1"/>
  <c r="M526" i="31"/>
  <c r="N526" i="31" s="1"/>
  <c r="H380" i="45"/>
  <c r="H380" i="40"/>
  <c r="S522" i="31"/>
  <c r="Q522" i="31"/>
  <c r="R522" i="31" s="1"/>
  <c r="H376" i="45"/>
  <c r="M522" i="31"/>
  <c r="N522" i="31" s="1"/>
  <c r="H376" i="40"/>
  <c r="S518" i="31"/>
  <c r="M518" i="31"/>
  <c r="N518" i="31" s="1"/>
  <c r="Q518" i="31"/>
  <c r="R518" i="31" s="1"/>
  <c r="T518" i="31" s="1"/>
  <c r="H372" i="45"/>
  <c r="H372" i="40"/>
  <c r="Q514" i="31"/>
  <c r="R514" i="31" s="1"/>
  <c r="T514" i="31" s="1"/>
  <c r="M514" i="31"/>
  <c r="N514" i="31" s="1"/>
  <c r="H368" i="45"/>
  <c r="S514" i="31"/>
  <c r="H368" i="40"/>
  <c r="S510" i="31"/>
  <c r="Q510" i="31"/>
  <c r="R510" i="31" s="1"/>
  <c r="M510" i="31"/>
  <c r="N510" i="31" s="1"/>
  <c r="H364" i="45"/>
  <c r="H364" i="40"/>
  <c r="S506" i="31"/>
  <c r="M506" i="31"/>
  <c r="N506" i="31" s="1"/>
  <c r="H360" i="45"/>
  <c r="Q506" i="31"/>
  <c r="R506" i="31" s="1"/>
  <c r="T506" i="31" s="1"/>
  <c r="H360" i="40"/>
  <c r="S502" i="31"/>
  <c r="Q502" i="31"/>
  <c r="R502" i="31" s="1"/>
  <c r="T502" i="31" s="1"/>
  <c r="M502" i="31"/>
  <c r="N502" i="31" s="1"/>
  <c r="H356" i="45"/>
  <c r="H356" i="40"/>
  <c r="S498" i="31"/>
  <c r="Q498" i="31"/>
  <c r="R498" i="31" s="1"/>
  <c r="T498" i="31" s="1"/>
  <c r="M498" i="31"/>
  <c r="N498" i="31" s="1"/>
  <c r="H352" i="45"/>
  <c r="H352" i="40"/>
  <c r="S494" i="31"/>
  <c r="Q494" i="31"/>
  <c r="R494" i="31" s="1"/>
  <c r="M494" i="31"/>
  <c r="N494" i="31" s="1"/>
  <c r="H348" i="45"/>
  <c r="H348" i="40"/>
  <c r="S490" i="31"/>
  <c r="Q490" i="31"/>
  <c r="R490" i="31" s="1"/>
  <c r="H344" i="45"/>
  <c r="M490" i="31"/>
  <c r="N490" i="31" s="1"/>
  <c r="H344" i="40"/>
  <c r="S486" i="31"/>
  <c r="Q486" i="31"/>
  <c r="R486" i="31" s="1"/>
  <c r="T486" i="31" s="1"/>
  <c r="M486" i="31"/>
  <c r="N486" i="31" s="1"/>
  <c r="H340" i="45"/>
  <c r="H340" i="40"/>
  <c r="Q482" i="31"/>
  <c r="R482" i="31" s="1"/>
  <c r="S482" i="31"/>
  <c r="M482" i="31"/>
  <c r="N482" i="31" s="1"/>
  <c r="H336" i="45"/>
  <c r="H336" i="40"/>
  <c r="S478" i="31"/>
  <c r="H332" i="45"/>
  <c r="Q478" i="31"/>
  <c r="R478" i="31" s="1"/>
  <c r="M478" i="31"/>
  <c r="N478" i="31" s="1"/>
  <c r="H332" i="40"/>
  <c r="S474" i="31"/>
  <c r="Q474" i="31"/>
  <c r="R474" i="31" s="1"/>
  <c r="T474" i="31" s="1"/>
  <c r="M474" i="31"/>
  <c r="N474" i="31" s="1"/>
  <c r="H328" i="45"/>
  <c r="H328" i="40"/>
  <c r="M470" i="31"/>
  <c r="N470" i="31" s="1"/>
  <c r="Q470" i="31"/>
  <c r="R470" i="31" s="1"/>
  <c r="S470" i="31"/>
  <c r="H324" i="45"/>
  <c r="H324" i="40"/>
  <c r="S466" i="31"/>
  <c r="Q466" i="31"/>
  <c r="R466" i="31" s="1"/>
  <c r="T466" i="31" s="1"/>
  <c r="M466" i="31"/>
  <c r="N466" i="31" s="1"/>
  <c r="H320" i="45"/>
  <c r="H320" i="40"/>
  <c r="S462" i="31"/>
  <c r="Q462" i="31"/>
  <c r="R462" i="31" s="1"/>
  <c r="M462" i="31"/>
  <c r="N462" i="31" s="1"/>
  <c r="H316" i="45"/>
  <c r="H316" i="40"/>
  <c r="S458" i="31"/>
  <c r="Q458" i="31"/>
  <c r="R458" i="31" s="1"/>
  <c r="T458" i="31" s="1"/>
  <c r="H312" i="45"/>
  <c r="M458" i="31"/>
  <c r="N458" i="31" s="1"/>
  <c r="H312" i="40"/>
  <c r="S454" i="31"/>
  <c r="Q454" i="31"/>
  <c r="R454" i="31" s="1"/>
  <c r="T454" i="31" s="1"/>
  <c r="M454" i="31"/>
  <c r="N454" i="31" s="1"/>
  <c r="H308" i="45"/>
  <c r="H308" i="40"/>
  <c r="Q450" i="31"/>
  <c r="R450" i="31" s="1"/>
  <c r="S450" i="31"/>
  <c r="M450" i="31"/>
  <c r="N450" i="31" s="1"/>
  <c r="H304" i="45"/>
  <c r="H304" i="40"/>
  <c r="S446" i="31"/>
  <c r="Q446" i="31"/>
  <c r="R446" i="31" s="1"/>
  <c r="H300" i="45"/>
  <c r="M446" i="31"/>
  <c r="N446" i="31" s="1"/>
  <c r="H300" i="40"/>
  <c r="S442" i="31"/>
  <c r="Q442" i="31"/>
  <c r="R442" i="31" s="1"/>
  <c r="M442" i="31"/>
  <c r="N442" i="31" s="1"/>
  <c r="H296" i="45"/>
  <c r="H296" i="40"/>
  <c r="S218" i="31"/>
  <c r="Q218" i="31"/>
  <c r="R218" i="31" s="1"/>
  <c r="T218" i="31" s="1"/>
  <c r="M218" i="31"/>
  <c r="N218" i="31" s="1"/>
  <c r="H292" i="45"/>
  <c r="H292" i="40"/>
  <c r="S214" i="31"/>
  <c r="Q214" i="31"/>
  <c r="R214" i="31" s="1"/>
  <c r="T214" i="31" s="1"/>
  <c r="M214" i="31"/>
  <c r="N214" i="31" s="1"/>
  <c r="H288" i="45"/>
  <c r="H288" i="40"/>
  <c r="S210" i="31"/>
  <c r="Q210" i="31"/>
  <c r="R210" i="31" s="1"/>
  <c r="M210" i="31"/>
  <c r="N210" i="31" s="1"/>
  <c r="H284" i="45"/>
  <c r="H284" i="40"/>
  <c r="S206" i="31"/>
  <c r="Q206" i="31"/>
  <c r="R206" i="31" s="1"/>
  <c r="H280" i="45"/>
  <c r="M206" i="31"/>
  <c r="N206" i="31" s="1"/>
  <c r="H280" i="40"/>
  <c r="S202" i="31"/>
  <c r="Q202" i="31"/>
  <c r="R202" i="31" s="1"/>
  <c r="T202" i="31" s="1"/>
  <c r="M202" i="31"/>
  <c r="N202" i="31" s="1"/>
  <c r="H276" i="45"/>
  <c r="H276" i="40"/>
  <c r="S198" i="31"/>
  <c r="Q198" i="31"/>
  <c r="R198" i="31" s="1"/>
  <c r="T198" i="31" s="1"/>
  <c r="M198" i="31"/>
  <c r="N198" i="31" s="1"/>
  <c r="H272" i="45"/>
  <c r="H272" i="40"/>
  <c r="S194" i="31"/>
  <c r="Q194" i="31"/>
  <c r="R194" i="31" s="1"/>
  <c r="M194" i="31"/>
  <c r="N194" i="31" s="1"/>
  <c r="H268" i="45"/>
  <c r="H268" i="40"/>
  <c r="S190" i="31"/>
  <c r="Q190" i="31"/>
  <c r="R190" i="31" s="1"/>
  <c r="H264" i="45"/>
  <c r="M190" i="31"/>
  <c r="N190" i="31" s="1"/>
  <c r="S186" i="31"/>
  <c r="Q186" i="31"/>
  <c r="R186" i="31" s="1"/>
  <c r="M186" i="31"/>
  <c r="N186" i="31" s="1"/>
  <c r="H260" i="45"/>
  <c r="H260" i="40"/>
  <c r="S182" i="31"/>
  <c r="Q182" i="31"/>
  <c r="R182" i="31" s="1"/>
  <c r="T182" i="31" s="1"/>
  <c r="M182" i="31"/>
  <c r="N182" i="31" s="1"/>
  <c r="H256" i="45"/>
  <c r="S178" i="31"/>
  <c r="Q178" i="31"/>
  <c r="R178" i="31" s="1"/>
  <c r="T178" i="31" s="1"/>
  <c r="M178" i="31"/>
  <c r="N178" i="31" s="1"/>
  <c r="H252" i="45"/>
  <c r="H252" i="40"/>
  <c r="S174" i="31"/>
  <c r="Q174" i="31"/>
  <c r="R174" i="31" s="1"/>
  <c r="T174" i="31" s="1"/>
  <c r="H248" i="45"/>
  <c r="M174" i="31"/>
  <c r="N174" i="31" s="1"/>
  <c r="S170" i="31"/>
  <c r="Q170" i="31"/>
  <c r="R170" i="31" s="1"/>
  <c r="T170" i="31" s="1"/>
  <c r="M170" i="31"/>
  <c r="N170" i="31" s="1"/>
  <c r="H244" i="45"/>
  <c r="H244" i="40"/>
  <c r="S166" i="31"/>
  <c r="Q166" i="31"/>
  <c r="R166" i="31" s="1"/>
  <c r="M166" i="31"/>
  <c r="N166" i="31" s="1"/>
  <c r="H240" i="45"/>
  <c r="S162" i="31"/>
  <c r="Q162" i="31"/>
  <c r="R162" i="31" s="1"/>
  <c r="M162" i="31"/>
  <c r="N162" i="31" s="1"/>
  <c r="H236" i="45"/>
  <c r="H236" i="40"/>
  <c r="S158" i="31"/>
  <c r="Q158" i="31"/>
  <c r="R158" i="31" s="1"/>
  <c r="T158" i="31" s="1"/>
  <c r="H232" i="45"/>
  <c r="M158" i="31"/>
  <c r="N158" i="31" s="1"/>
  <c r="S154" i="31"/>
  <c r="Q154" i="31"/>
  <c r="R154" i="31" s="1"/>
  <c r="T154" i="31" s="1"/>
  <c r="M154" i="31"/>
  <c r="N154" i="31" s="1"/>
  <c r="H228" i="45"/>
  <c r="H228" i="40"/>
  <c r="S150" i="31"/>
  <c r="Q150" i="31"/>
  <c r="R150" i="31" s="1"/>
  <c r="T150" i="31" s="1"/>
  <c r="M150" i="31"/>
  <c r="N150" i="31" s="1"/>
  <c r="H224" i="45"/>
  <c r="S146" i="31"/>
  <c r="Q146" i="31"/>
  <c r="R146" i="31" s="1"/>
  <c r="T146" i="31" s="1"/>
  <c r="M146" i="31"/>
  <c r="N146" i="31" s="1"/>
  <c r="H220" i="45"/>
  <c r="H220" i="40"/>
  <c r="S142" i="31"/>
  <c r="Q142" i="31"/>
  <c r="R142" i="31" s="1"/>
  <c r="T142" i="31" s="1"/>
  <c r="H216" i="45"/>
  <c r="M142" i="31"/>
  <c r="N142" i="31" s="1"/>
  <c r="S138" i="31"/>
  <c r="Q138" i="31"/>
  <c r="R138" i="31" s="1"/>
  <c r="T138" i="31" s="1"/>
  <c r="M138" i="31"/>
  <c r="N138" i="31" s="1"/>
  <c r="H212" i="45"/>
  <c r="H212" i="40"/>
  <c r="S134" i="31"/>
  <c r="M134" i="31"/>
  <c r="N134" i="31" s="1"/>
  <c r="H208" i="45"/>
  <c r="Q134" i="31"/>
  <c r="R134" i="31" s="1"/>
  <c r="S130" i="31"/>
  <c r="Q130" i="31"/>
  <c r="R130" i="31" s="1"/>
  <c r="M130" i="31"/>
  <c r="N130" i="31" s="1"/>
  <c r="H204" i="45"/>
  <c r="H204" i="40"/>
  <c r="S126" i="31"/>
  <c r="Q126" i="31"/>
  <c r="R126" i="31" s="1"/>
  <c r="H200" i="45"/>
  <c r="M126" i="31"/>
  <c r="N126" i="31" s="1"/>
  <c r="H200" i="40"/>
  <c r="S122" i="31"/>
  <c r="M122" i="31"/>
  <c r="N122" i="31" s="1"/>
  <c r="Q122" i="31"/>
  <c r="R122" i="31" s="1"/>
  <c r="T122" i="31" s="1"/>
  <c r="H196" i="45"/>
  <c r="H196" i="40"/>
  <c r="S118" i="31"/>
  <c r="Q118" i="31"/>
  <c r="R118" i="31" s="1"/>
  <c r="T118" i="31" s="1"/>
  <c r="M118" i="31"/>
  <c r="N118" i="31" s="1"/>
  <c r="H192" i="45"/>
  <c r="H192" i="40"/>
  <c r="Q114" i="31"/>
  <c r="R114" i="31" s="1"/>
  <c r="T114" i="31" s="1"/>
  <c r="S114" i="31"/>
  <c r="M114" i="31"/>
  <c r="N114" i="31" s="1"/>
  <c r="H188" i="45"/>
  <c r="H188" i="40"/>
  <c r="S110" i="31"/>
  <c r="Q110" i="31"/>
  <c r="R110" i="31" s="1"/>
  <c r="T110" i="31" s="1"/>
  <c r="H184" i="45"/>
  <c r="H184" i="40"/>
  <c r="M110" i="31"/>
  <c r="N110" i="31" s="1"/>
  <c r="S106" i="31"/>
  <c r="M106" i="31"/>
  <c r="N106" i="31" s="1"/>
  <c r="Q106" i="31"/>
  <c r="R106" i="31" s="1"/>
  <c r="T106" i="31" s="1"/>
  <c r="H180" i="45"/>
  <c r="H180" i="40"/>
  <c r="S102" i="31"/>
  <c r="Q102" i="31"/>
  <c r="R102" i="31" s="1"/>
  <c r="T102" i="31" s="1"/>
  <c r="M102" i="31"/>
  <c r="N102" i="31" s="1"/>
  <c r="H176" i="45"/>
  <c r="H176" i="40"/>
  <c r="Q98" i="31"/>
  <c r="R98" i="31" s="1"/>
  <c r="T98" i="31" s="1"/>
  <c r="S98" i="31"/>
  <c r="M98" i="31"/>
  <c r="N98" i="31" s="1"/>
  <c r="H172" i="45"/>
  <c r="H172" i="40"/>
  <c r="S94" i="31"/>
  <c r="Q94" i="31"/>
  <c r="R94" i="31" s="1"/>
  <c r="H168" i="45"/>
  <c r="M94" i="31"/>
  <c r="N94" i="31" s="1"/>
  <c r="H168" i="40"/>
  <c r="S90" i="31"/>
  <c r="Q90" i="31"/>
  <c r="R90" i="31" s="1"/>
  <c r="T90" i="31" s="1"/>
  <c r="M90" i="31"/>
  <c r="N90" i="31" s="1"/>
  <c r="H164" i="45"/>
  <c r="H164" i="40"/>
  <c r="S86" i="31"/>
  <c r="Q86" i="31"/>
  <c r="R86" i="31" s="1"/>
  <c r="T86" i="31" s="1"/>
  <c r="M86" i="31"/>
  <c r="N86" i="31" s="1"/>
  <c r="H160" i="45"/>
  <c r="H160" i="40"/>
  <c r="S82" i="31"/>
  <c r="Q82" i="31"/>
  <c r="R82" i="31" s="1"/>
  <c r="M82" i="31"/>
  <c r="N82" i="31" s="1"/>
  <c r="H156" i="45"/>
  <c r="H156" i="40"/>
  <c r="S78" i="31"/>
  <c r="H152" i="45"/>
  <c r="H152" i="40"/>
  <c r="M78" i="31"/>
  <c r="N78" i="31" s="1"/>
  <c r="Q78" i="31"/>
  <c r="R78" i="31" s="1"/>
  <c r="T78" i="31" s="1"/>
  <c r="S74" i="31"/>
  <c r="Q74" i="31"/>
  <c r="R74" i="31" s="1"/>
  <c r="T74" i="31" s="1"/>
  <c r="M74" i="31"/>
  <c r="N74" i="31" s="1"/>
  <c r="H148" i="45"/>
  <c r="H148" i="40"/>
  <c r="S70" i="31"/>
  <c r="Q70" i="31"/>
  <c r="R70" i="31" s="1"/>
  <c r="T70" i="31" s="1"/>
  <c r="M70" i="31"/>
  <c r="N70" i="31" s="1"/>
  <c r="H144" i="45"/>
  <c r="H144" i="40"/>
  <c r="S66" i="31"/>
  <c r="Q66" i="31"/>
  <c r="R66" i="31" s="1"/>
  <c r="M66" i="31"/>
  <c r="N66" i="31" s="1"/>
  <c r="H140" i="45"/>
  <c r="H140" i="40"/>
  <c r="S62" i="31"/>
  <c r="Q62" i="31"/>
  <c r="R62" i="31" s="1"/>
  <c r="H136" i="45"/>
  <c r="M62" i="31"/>
  <c r="N62" i="31" s="1"/>
  <c r="H136" i="40"/>
  <c r="S58" i="31"/>
  <c r="Q58" i="31"/>
  <c r="R58" i="31" s="1"/>
  <c r="T58" i="31" s="1"/>
  <c r="M58" i="31"/>
  <c r="N58" i="31" s="1"/>
  <c r="H132" i="45"/>
  <c r="H132" i="40"/>
  <c r="S54" i="31"/>
  <c r="Q54" i="31"/>
  <c r="R54" i="31" s="1"/>
  <c r="T54" i="31" s="1"/>
  <c r="M54" i="31"/>
  <c r="N54" i="31" s="1"/>
  <c r="H128" i="45"/>
  <c r="H128" i="40"/>
  <c r="S50" i="31"/>
  <c r="Q50" i="31"/>
  <c r="R50" i="31" s="1"/>
  <c r="M50" i="31"/>
  <c r="N50" i="31" s="1"/>
  <c r="H124" i="45"/>
  <c r="H124" i="40"/>
  <c r="S46" i="31"/>
  <c r="Q46" i="31"/>
  <c r="R46" i="31" s="1"/>
  <c r="H120" i="45"/>
  <c r="H120" i="40"/>
  <c r="M46" i="31"/>
  <c r="N46" i="31" s="1"/>
  <c r="Q42" i="31"/>
  <c r="R42" i="31" s="1"/>
  <c r="S42" i="31"/>
  <c r="M42" i="31"/>
  <c r="N42" i="31" s="1"/>
  <c r="H116" i="45"/>
  <c r="H116" i="40"/>
  <c r="Q38" i="31"/>
  <c r="R38" i="31" s="1"/>
  <c r="S38" i="31"/>
  <c r="M38" i="31"/>
  <c r="N38" i="31" s="1"/>
  <c r="H112" i="45"/>
  <c r="H112" i="40"/>
  <c r="S34" i="31"/>
  <c r="Q34" i="31"/>
  <c r="R34" i="31" s="1"/>
  <c r="M34" i="31"/>
  <c r="N34" i="31" s="1"/>
  <c r="H108" i="45"/>
  <c r="H108" i="40"/>
  <c r="S30" i="31"/>
  <c r="Q30" i="31"/>
  <c r="R30" i="31" s="1"/>
  <c r="H104" i="45"/>
  <c r="M30" i="31"/>
  <c r="N30" i="31" s="1"/>
  <c r="H104" i="40"/>
  <c r="S26" i="31"/>
  <c r="Q26" i="31"/>
  <c r="R26" i="31" s="1"/>
  <c r="T26" i="31" s="1"/>
  <c r="M26" i="31"/>
  <c r="N26" i="31" s="1"/>
  <c r="H100" i="45"/>
  <c r="H100" i="40"/>
  <c r="S22" i="31"/>
  <c r="M22" i="31"/>
  <c r="N22" i="31" s="1"/>
  <c r="H96" i="45"/>
  <c r="H96" i="40"/>
  <c r="Q22" i="31"/>
  <c r="R22" i="31" s="1"/>
  <c r="T22" i="31" s="1"/>
  <c r="S18" i="31"/>
  <c r="Q18" i="31"/>
  <c r="R18" i="31" s="1"/>
  <c r="M18" i="31"/>
  <c r="N18" i="31" s="1"/>
  <c r="H92" i="45"/>
  <c r="H92" i="40"/>
  <c r="S14" i="31"/>
  <c r="Q14" i="31"/>
  <c r="R14" i="31" s="1"/>
  <c r="H88" i="45"/>
  <c r="H88" i="40"/>
  <c r="M14" i="31"/>
  <c r="N14" i="31" s="1"/>
  <c r="S10" i="31"/>
  <c r="Q10" i="31"/>
  <c r="R10" i="31" s="1"/>
  <c r="T10" i="31" s="1"/>
  <c r="M10" i="31"/>
  <c r="N10" i="31" s="1"/>
  <c r="H84" i="45"/>
  <c r="H84" i="40"/>
  <c r="S6" i="31"/>
  <c r="Q6" i="31"/>
  <c r="R6" i="31" s="1"/>
  <c r="T6" i="31" s="1"/>
  <c r="M6" i="31"/>
  <c r="N6" i="31" s="1"/>
  <c r="H80" i="45"/>
  <c r="H80" i="40"/>
  <c r="S3" i="31"/>
  <c r="Q3" i="31"/>
  <c r="R3" i="31" s="1"/>
  <c r="M3" i="31"/>
  <c r="N3" i="31" s="1"/>
  <c r="H77" i="45"/>
  <c r="H77" i="40"/>
  <c r="Q881" i="31"/>
  <c r="R881" i="31" s="1"/>
  <c r="M881" i="31"/>
  <c r="N881" i="31" s="1"/>
  <c r="S881" i="31"/>
  <c r="I515" i="45"/>
  <c r="S877" i="31"/>
  <c r="M877" i="31"/>
  <c r="N877" i="31" s="1"/>
  <c r="I511" i="45"/>
  <c r="Q877" i="31"/>
  <c r="R877" i="31" s="1"/>
  <c r="T877" i="31" s="1"/>
  <c r="Q873" i="31"/>
  <c r="R873" i="31" s="1"/>
  <c r="I507" i="45"/>
  <c r="S873" i="31"/>
  <c r="M873" i="31"/>
  <c r="N873" i="31" s="1"/>
  <c r="S869" i="31"/>
  <c r="Q869" i="31"/>
  <c r="R869" i="31" s="1"/>
  <c r="T869" i="31" s="1"/>
  <c r="M869" i="31"/>
  <c r="N869" i="31" s="1"/>
  <c r="I503" i="45"/>
  <c r="S865" i="31"/>
  <c r="Q865" i="31"/>
  <c r="R865" i="31" s="1"/>
  <c r="T865" i="31" s="1"/>
  <c r="M865" i="31"/>
  <c r="N865" i="31" s="1"/>
  <c r="I499" i="45"/>
  <c r="S861" i="31"/>
  <c r="M861" i="31"/>
  <c r="N861" i="31" s="1"/>
  <c r="I495" i="45"/>
  <c r="Q861" i="31"/>
  <c r="R861" i="31" s="1"/>
  <c r="T861" i="31" s="1"/>
  <c r="S857" i="31"/>
  <c r="Q857" i="31"/>
  <c r="R857" i="31" s="1"/>
  <c r="T857" i="31" s="1"/>
  <c r="M857" i="31"/>
  <c r="N857" i="31" s="1"/>
  <c r="I491" i="45"/>
  <c r="S853" i="31"/>
  <c r="Q853" i="31"/>
  <c r="R853" i="31" s="1"/>
  <c r="T853" i="31" s="1"/>
  <c r="I487" i="45"/>
  <c r="M853" i="31"/>
  <c r="N853" i="31" s="1"/>
  <c r="S849" i="31"/>
  <c r="Q849" i="31"/>
  <c r="R849" i="31" s="1"/>
  <c r="T849" i="31" s="1"/>
  <c r="M849" i="31"/>
  <c r="N849" i="31" s="1"/>
  <c r="I483" i="45"/>
  <c r="S845" i="31"/>
  <c r="M845" i="31"/>
  <c r="N845" i="31" s="1"/>
  <c r="I479" i="45"/>
  <c r="Q845" i="31"/>
  <c r="R845" i="31" s="1"/>
  <c r="T845" i="31" s="1"/>
  <c r="S841" i="31"/>
  <c r="Q841" i="31"/>
  <c r="R841" i="31" s="1"/>
  <c r="T841" i="31" s="1"/>
  <c r="I475" i="45"/>
  <c r="M841" i="31"/>
  <c r="N841" i="31" s="1"/>
  <c r="S836" i="31"/>
  <c r="Q836" i="31"/>
  <c r="R836" i="31" s="1"/>
  <c r="T836" i="31" s="1"/>
  <c r="M836" i="31"/>
  <c r="N836" i="31" s="1"/>
  <c r="I470" i="45"/>
  <c r="I470" i="40"/>
  <c r="S832" i="31"/>
  <c r="Q832" i="31"/>
  <c r="R832" i="31" s="1"/>
  <c r="T832" i="31" s="1"/>
  <c r="M832" i="31"/>
  <c r="N832" i="31" s="1"/>
  <c r="I466" i="45"/>
  <c r="I466" i="40"/>
  <c r="S828" i="31"/>
  <c r="Q828" i="31"/>
  <c r="R828" i="31" s="1"/>
  <c r="T828" i="31" s="1"/>
  <c r="M828" i="31"/>
  <c r="N828" i="31" s="1"/>
  <c r="I462" i="45"/>
  <c r="I462" i="40"/>
  <c r="S824" i="31"/>
  <c r="Q824" i="31"/>
  <c r="R824" i="31" s="1"/>
  <c r="M824" i="31"/>
  <c r="N824" i="31" s="1"/>
  <c r="I458" i="45"/>
  <c r="I458" i="40"/>
  <c r="S820" i="31"/>
  <c r="Q820" i="31"/>
  <c r="R820" i="31" s="1"/>
  <c r="T820" i="31" s="1"/>
  <c r="I454" i="45"/>
  <c r="M820" i="31"/>
  <c r="N820" i="31" s="1"/>
  <c r="I454" i="40"/>
  <c r="S816" i="31"/>
  <c r="Q816" i="31"/>
  <c r="R816" i="31" s="1"/>
  <c r="T816" i="31" s="1"/>
  <c r="M816" i="31"/>
  <c r="N816" i="31" s="1"/>
  <c r="I450" i="45"/>
  <c r="I450" i="40"/>
  <c r="S812" i="31"/>
  <c r="Q812" i="31"/>
  <c r="R812" i="31" s="1"/>
  <c r="T812" i="31" s="1"/>
  <c r="M812" i="31"/>
  <c r="N812" i="31" s="1"/>
  <c r="I446" i="45"/>
  <c r="I446" i="40"/>
  <c r="S808" i="31"/>
  <c r="Q808" i="31"/>
  <c r="R808" i="31" s="1"/>
  <c r="M808" i="31"/>
  <c r="N808" i="31" s="1"/>
  <c r="I442" i="45"/>
  <c r="I442" i="40"/>
  <c r="S804" i="31"/>
  <c r="Q804" i="31"/>
  <c r="R804" i="31" s="1"/>
  <c r="T804" i="31" s="1"/>
  <c r="M804" i="31"/>
  <c r="N804" i="31" s="1"/>
  <c r="I438" i="45"/>
  <c r="I438" i="40"/>
  <c r="S800" i="31"/>
  <c r="Q800" i="31"/>
  <c r="R800" i="31" s="1"/>
  <c r="T800" i="31" s="1"/>
  <c r="M800" i="31"/>
  <c r="N800" i="31" s="1"/>
  <c r="I434" i="45"/>
  <c r="I434" i="40"/>
  <c r="S796" i="31"/>
  <c r="Q796" i="31"/>
  <c r="R796" i="31" s="1"/>
  <c r="T796" i="31" s="1"/>
  <c r="M796" i="31"/>
  <c r="N796" i="31" s="1"/>
  <c r="I430" i="45"/>
  <c r="I430" i="40"/>
  <c r="S792" i="31"/>
  <c r="Q792" i="31"/>
  <c r="R792" i="31" s="1"/>
  <c r="M792" i="31"/>
  <c r="N792" i="31" s="1"/>
  <c r="I426" i="45"/>
  <c r="I426" i="40"/>
  <c r="S788" i="31"/>
  <c r="M788" i="31"/>
  <c r="N788" i="31" s="1"/>
  <c r="I422" i="45"/>
  <c r="Q788" i="31"/>
  <c r="R788" i="31" s="1"/>
  <c r="T788" i="31" s="1"/>
  <c r="I422" i="40"/>
  <c r="S784" i="31"/>
  <c r="Q784" i="31"/>
  <c r="R784" i="31" s="1"/>
  <c r="T784" i="31" s="1"/>
  <c r="M784" i="31"/>
  <c r="N784" i="31" s="1"/>
  <c r="I418" i="45"/>
  <c r="I418" i="40"/>
  <c r="Q780" i="31"/>
  <c r="R780" i="31" s="1"/>
  <c r="S780" i="31"/>
  <c r="M780" i="31"/>
  <c r="N780" i="31" s="1"/>
  <c r="I414" i="45"/>
  <c r="I414" i="40"/>
  <c r="S776" i="31"/>
  <c r="Q776" i="31"/>
  <c r="R776" i="31" s="1"/>
  <c r="M776" i="31"/>
  <c r="N776" i="31" s="1"/>
  <c r="I410" i="45"/>
  <c r="I410" i="40"/>
  <c r="S772" i="31"/>
  <c r="Q772" i="31"/>
  <c r="R772" i="31" s="1"/>
  <c r="T772" i="31" s="1"/>
  <c r="M772" i="31"/>
  <c r="N772" i="31" s="1"/>
  <c r="I406" i="45"/>
  <c r="I406" i="40"/>
  <c r="S768" i="31"/>
  <c r="Q768" i="31"/>
  <c r="R768" i="31" s="1"/>
  <c r="T768" i="31" s="1"/>
  <c r="M768" i="31"/>
  <c r="N768" i="31" s="1"/>
  <c r="I402" i="45"/>
  <c r="I402" i="40"/>
  <c r="S764" i="31"/>
  <c r="Q764" i="31"/>
  <c r="R764" i="31" s="1"/>
  <c r="T764" i="31" s="1"/>
  <c r="M764" i="31"/>
  <c r="N764" i="31" s="1"/>
  <c r="I398" i="45"/>
  <c r="I398" i="40"/>
  <c r="S760" i="31"/>
  <c r="Q760" i="31"/>
  <c r="R760" i="31" s="1"/>
  <c r="M760" i="31"/>
  <c r="N760" i="31" s="1"/>
  <c r="I394" i="45"/>
  <c r="I394" i="40"/>
  <c r="S756" i="31"/>
  <c r="Q756" i="31"/>
  <c r="R756" i="31" s="1"/>
  <c r="T756" i="31" s="1"/>
  <c r="M756" i="31"/>
  <c r="N756" i="31" s="1"/>
  <c r="I390" i="45"/>
  <c r="I390" i="40"/>
  <c r="S752" i="31"/>
  <c r="Q752" i="31"/>
  <c r="R752" i="31" s="1"/>
  <c r="T752" i="31" s="1"/>
  <c r="M752" i="31"/>
  <c r="N752" i="31" s="1"/>
  <c r="I386" i="45"/>
  <c r="I386" i="40"/>
  <c r="Q747" i="31"/>
  <c r="R747" i="31" s="1"/>
  <c r="T747" i="31" s="1"/>
  <c r="M747" i="31"/>
  <c r="N747" i="31" s="1"/>
  <c r="S747" i="31"/>
  <c r="I381" i="45"/>
  <c r="Q743" i="31"/>
  <c r="R743" i="31" s="1"/>
  <c r="S743" i="31"/>
  <c r="M743" i="31"/>
  <c r="N743" i="31" s="1"/>
  <c r="I377" i="45"/>
  <c r="S739" i="31"/>
  <c r="Q739" i="31"/>
  <c r="R739" i="31" s="1"/>
  <c r="T739" i="31" s="1"/>
  <c r="M739" i="31"/>
  <c r="N739" i="31" s="1"/>
  <c r="I373" i="45"/>
  <c r="Q735" i="31"/>
  <c r="R735" i="31" s="1"/>
  <c r="S735" i="31"/>
  <c r="M735" i="31"/>
  <c r="N735" i="31" s="1"/>
  <c r="I369" i="45"/>
  <c r="Q731" i="31"/>
  <c r="R731" i="31" s="1"/>
  <c r="S731" i="31"/>
  <c r="M731" i="31"/>
  <c r="N731" i="31" s="1"/>
  <c r="I365" i="45"/>
  <c r="Q727" i="31"/>
  <c r="R727" i="31" s="1"/>
  <c r="T727" i="31" s="1"/>
  <c r="M727" i="31"/>
  <c r="N727" i="31" s="1"/>
  <c r="S727" i="31"/>
  <c r="I361" i="45"/>
  <c r="S723" i="31"/>
  <c r="Q723" i="31"/>
  <c r="R723" i="31" s="1"/>
  <c r="T723" i="31" s="1"/>
  <c r="M723" i="31"/>
  <c r="N723" i="31" s="1"/>
  <c r="I357" i="45"/>
  <c r="Q719" i="31"/>
  <c r="R719" i="31" s="1"/>
  <c r="S719" i="31"/>
  <c r="M719" i="31"/>
  <c r="N719" i="31" s="1"/>
  <c r="I353" i="45"/>
  <c r="Q715" i="31"/>
  <c r="R715" i="31" s="1"/>
  <c r="S715" i="31"/>
  <c r="M715" i="31"/>
  <c r="N715" i="31" s="1"/>
  <c r="I349" i="45"/>
  <c r="S710" i="31"/>
  <c r="Q710" i="31"/>
  <c r="R710" i="31" s="1"/>
  <c r="T710" i="31" s="1"/>
  <c r="M710" i="31"/>
  <c r="N710" i="31" s="1"/>
  <c r="I344" i="45"/>
  <c r="I344" i="40"/>
  <c r="Q706" i="31"/>
  <c r="R706" i="31" s="1"/>
  <c r="T706" i="31" s="1"/>
  <c r="S706" i="31"/>
  <c r="M706" i="31"/>
  <c r="N706" i="31" s="1"/>
  <c r="I340" i="45"/>
  <c r="I340" i="40"/>
  <c r="S702" i="31"/>
  <c r="M702" i="31"/>
  <c r="N702" i="31" s="1"/>
  <c r="I336" i="45"/>
  <c r="Q702" i="31"/>
  <c r="R702" i="31" s="1"/>
  <c r="T702" i="31" s="1"/>
  <c r="I336" i="40"/>
  <c r="S698" i="31"/>
  <c r="Q698" i="31"/>
  <c r="R698" i="31" s="1"/>
  <c r="T698" i="31" s="1"/>
  <c r="M698" i="31"/>
  <c r="N698" i="31" s="1"/>
  <c r="I332" i="45"/>
  <c r="I332" i="40"/>
  <c r="S694" i="31"/>
  <c r="Q694" i="31"/>
  <c r="R694" i="31" s="1"/>
  <c r="T694" i="31" s="1"/>
  <c r="M694" i="31"/>
  <c r="N694" i="31" s="1"/>
  <c r="I328" i="45"/>
  <c r="I328" i="40"/>
  <c r="S690" i="31"/>
  <c r="Q690" i="31"/>
  <c r="R690" i="31" s="1"/>
  <c r="M690" i="31"/>
  <c r="N690" i="31" s="1"/>
  <c r="I324" i="45"/>
  <c r="I324" i="40"/>
  <c r="S686" i="31"/>
  <c r="Q686" i="31"/>
  <c r="R686" i="31" s="1"/>
  <c r="M686" i="31"/>
  <c r="N686" i="31" s="1"/>
  <c r="I320" i="45"/>
  <c r="I320" i="40"/>
  <c r="S682" i="31"/>
  <c r="Q682" i="31"/>
  <c r="R682" i="31" s="1"/>
  <c r="T682" i="31" s="1"/>
  <c r="M682" i="31"/>
  <c r="N682" i="31" s="1"/>
  <c r="I316" i="45"/>
  <c r="I316" i="40"/>
  <c r="S678" i="31"/>
  <c r="Q678" i="31"/>
  <c r="R678" i="31" s="1"/>
  <c r="T678" i="31" s="1"/>
  <c r="M678" i="31"/>
  <c r="N678" i="31" s="1"/>
  <c r="I312" i="45"/>
  <c r="I312" i="40"/>
  <c r="S674" i="31"/>
  <c r="Q674" i="31"/>
  <c r="R674" i="31" s="1"/>
  <c r="M674" i="31"/>
  <c r="N674" i="31" s="1"/>
  <c r="I308" i="45"/>
  <c r="I308" i="40"/>
  <c r="S670" i="31"/>
  <c r="Q670" i="31"/>
  <c r="R670" i="31" s="1"/>
  <c r="I304" i="45"/>
  <c r="M670" i="31"/>
  <c r="N670" i="31" s="1"/>
  <c r="I304" i="40"/>
  <c r="S666" i="31"/>
  <c r="Q666" i="31"/>
  <c r="R666" i="31" s="1"/>
  <c r="T666" i="31" s="1"/>
  <c r="M666" i="31"/>
  <c r="N666" i="31" s="1"/>
  <c r="I300" i="45"/>
  <c r="I300" i="40"/>
  <c r="Q662" i="31"/>
  <c r="R662" i="31" s="1"/>
  <c r="S662" i="31"/>
  <c r="M662" i="31"/>
  <c r="N662" i="31" s="1"/>
  <c r="I296" i="45"/>
  <c r="I296" i="40"/>
  <c r="S438" i="31"/>
  <c r="Q438" i="31"/>
  <c r="R438" i="31" s="1"/>
  <c r="M438" i="31"/>
  <c r="N438" i="31" s="1"/>
  <c r="I292" i="45"/>
  <c r="I292" i="40"/>
  <c r="S434" i="31"/>
  <c r="Q434" i="31"/>
  <c r="R434" i="31" s="1"/>
  <c r="M434" i="31"/>
  <c r="N434" i="31" s="1"/>
  <c r="I288" i="45"/>
  <c r="I288" i="40"/>
  <c r="S430" i="31"/>
  <c r="Q430" i="31"/>
  <c r="R430" i="31" s="1"/>
  <c r="T430" i="31" s="1"/>
  <c r="I284" i="45"/>
  <c r="M430" i="31"/>
  <c r="N430" i="31" s="1"/>
  <c r="I284" i="40"/>
  <c r="S426" i="31"/>
  <c r="Q426" i="31"/>
  <c r="R426" i="31" s="1"/>
  <c r="T426" i="31" s="1"/>
  <c r="M426" i="31"/>
  <c r="N426" i="31" s="1"/>
  <c r="I280" i="45"/>
  <c r="I280" i="40"/>
  <c r="S422" i="31"/>
  <c r="Q422" i="31"/>
  <c r="R422" i="31" s="1"/>
  <c r="M422" i="31"/>
  <c r="N422" i="31" s="1"/>
  <c r="I276" i="45"/>
  <c r="I276" i="40"/>
  <c r="S418" i="31"/>
  <c r="Q418" i="31"/>
  <c r="R418" i="31" s="1"/>
  <c r="M418" i="31"/>
  <c r="N418" i="31" s="1"/>
  <c r="I272" i="45"/>
  <c r="I272" i="40"/>
  <c r="S414" i="31"/>
  <c r="Q414" i="31"/>
  <c r="R414" i="31" s="1"/>
  <c r="T414" i="31" s="1"/>
  <c r="M414" i="31"/>
  <c r="N414" i="31" s="1"/>
  <c r="I268" i="45"/>
  <c r="I268" i="40"/>
  <c r="S410" i="31"/>
  <c r="Q410" i="31"/>
  <c r="R410" i="31" s="1"/>
  <c r="T410" i="31" s="1"/>
  <c r="M410" i="31"/>
  <c r="N410" i="31" s="1"/>
  <c r="I264" i="45"/>
  <c r="S406" i="31"/>
  <c r="Q406" i="31"/>
  <c r="R406" i="31" s="1"/>
  <c r="T406" i="31" s="1"/>
  <c r="M406" i="31"/>
  <c r="N406" i="31" s="1"/>
  <c r="I260" i="45"/>
  <c r="I260" i="40"/>
  <c r="S402" i="31"/>
  <c r="Q402" i="31"/>
  <c r="R402" i="31" s="1"/>
  <c r="M402" i="31"/>
  <c r="N402" i="31" s="1"/>
  <c r="I256" i="45"/>
  <c r="S398" i="31"/>
  <c r="Q398" i="31"/>
  <c r="R398" i="31" s="1"/>
  <c r="I252" i="45"/>
  <c r="M398" i="31"/>
  <c r="N398" i="31" s="1"/>
  <c r="I252" i="40"/>
  <c r="S394" i="31"/>
  <c r="Q394" i="31"/>
  <c r="R394" i="31" s="1"/>
  <c r="M394" i="31"/>
  <c r="N394" i="31" s="1"/>
  <c r="I248" i="45"/>
  <c r="S390" i="31"/>
  <c r="M390" i="31"/>
  <c r="N390" i="31" s="1"/>
  <c r="Q390" i="31"/>
  <c r="R390" i="31" s="1"/>
  <c r="T390" i="31" s="1"/>
  <c r="I244" i="45"/>
  <c r="I244" i="40"/>
  <c r="Q386" i="31"/>
  <c r="R386" i="31" s="1"/>
  <c r="S386" i="31"/>
  <c r="M386" i="31"/>
  <c r="N386" i="31" s="1"/>
  <c r="I240" i="45"/>
  <c r="S382" i="31"/>
  <c r="Q382" i="31"/>
  <c r="R382" i="31" s="1"/>
  <c r="T382" i="31" s="1"/>
  <c r="M382" i="31"/>
  <c r="N382" i="31" s="1"/>
  <c r="I236" i="45"/>
  <c r="I236" i="40"/>
  <c r="S378" i="31"/>
  <c r="M378" i="31"/>
  <c r="N378" i="31" s="1"/>
  <c r="Q378" i="31"/>
  <c r="R378" i="31" s="1"/>
  <c r="I232" i="45"/>
  <c r="S374" i="31"/>
  <c r="Q374" i="31"/>
  <c r="R374" i="31" s="1"/>
  <c r="T374" i="31" s="1"/>
  <c r="M374" i="31"/>
  <c r="N374" i="31" s="1"/>
  <c r="I228" i="45"/>
  <c r="I228" i="40"/>
  <c r="Q370" i="31"/>
  <c r="R370" i="31" s="1"/>
  <c r="T370" i="31" s="1"/>
  <c r="M370" i="31"/>
  <c r="N370" i="31" s="1"/>
  <c r="S370" i="31"/>
  <c r="I224" i="45"/>
  <c r="S366" i="31"/>
  <c r="Q366" i="31"/>
  <c r="R366" i="31" s="1"/>
  <c r="I220" i="45"/>
  <c r="M366" i="31"/>
  <c r="N366" i="31" s="1"/>
  <c r="I220" i="40"/>
  <c r="S362" i="31"/>
  <c r="M362" i="31"/>
  <c r="N362" i="31" s="1"/>
  <c r="I216" i="45"/>
  <c r="Q362" i="31"/>
  <c r="R362" i="31" s="1"/>
  <c r="T362" i="31" s="1"/>
  <c r="Q358" i="31"/>
  <c r="R358" i="31" s="1"/>
  <c r="T358" i="31" s="1"/>
  <c r="S358" i="31"/>
  <c r="M358" i="31"/>
  <c r="N358" i="31" s="1"/>
  <c r="I212" i="45"/>
  <c r="I212" i="40"/>
  <c r="S354" i="31"/>
  <c r="Q354" i="31"/>
  <c r="R354" i="31" s="1"/>
  <c r="T354" i="31" s="1"/>
  <c r="M354" i="31"/>
  <c r="N354" i="31" s="1"/>
  <c r="I208" i="45"/>
  <c r="S350" i="31"/>
  <c r="Q350" i="31"/>
  <c r="R350" i="31" s="1"/>
  <c r="T350" i="31" s="1"/>
  <c r="M350" i="31"/>
  <c r="N350" i="31" s="1"/>
  <c r="I204" i="45"/>
  <c r="I204" i="40"/>
  <c r="S346" i="31"/>
  <c r="Q346" i="31"/>
  <c r="R346" i="31" s="1"/>
  <c r="T346" i="31" s="1"/>
  <c r="M346" i="31"/>
  <c r="N346" i="31" s="1"/>
  <c r="I200" i="45"/>
  <c r="I200" i="40"/>
  <c r="S342" i="31"/>
  <c r="Q342" i="31"/>
  <c r="R342" i="31" s="1"/>
  <c r="M342" i="31"/>
  <c r="N342" i="31" s="1"/>
  <c r="I196" i="45"/>
  <c r="I196" i="40"/>
  <c r="S338" i="31"/>
  <c r="Q338" i="31"/>
  <c r="R338" i="31" s="1"/>
  <c r="M338" i="31"/>
  <c r="N338" i="31" s="1"/>
  <c r="I192" i="45"/>
  <c r="I192" i="40"/>
  <c r="S334" i="31"/>
  <c r="Q334" i="31"/>
  <c r="R334" i="31" s="1"/>
  <c r="T334" i="31" s="1"/>
  <c r="I188" i="45"/>
  <c r="I188" i="40"/>
  <c r="M334" i="31"/>
  <c r="N334" i="31" s="1"/>
  <c r="S330" i="31"/>
  <c r="Q330" i="31"/>
  <c r="R330" i="31" s="1"/>
  <c r="T330" i="31" s="1"/>
  <c r="M330" i="31"/>
  <c r="N330" i="31" s="1"/>
  <c r="I184" i="45"/>
  <c r="I184" i="40"/>
  <c r="S326" i="31"/>
  <c r="Q326" i="31"/>
  <c r="R326" i="31" s="1"/>
  <c r="M326" i="31"/>
  <c r="N326" i="31" s="1"/>
  <c r="I180" i="45"/>
  <c r="I180" i="40"/>
  <c r="Q322" i="31"/>
  <c r="R322" i="31" s="1"/>
  <c r="T322" i="31" s="1"/>
  <c r="S322" i="31"/>
  <c r="M322" i="31"/>
  <c r="N322" i="31" s="1"/>
  <c r="I176" i="45"/>
  <c r="I176" i="40"/>
  <c r="S318" i="31"/>
  <c r="Q318" i="31"/>
  <c r="R318" i="31" s="1"/>
  <c r="T318" i="31" s="1"/>
  <c r="M318" i="31"/>
  <c r="N318" i="31" s="1"/>
  <c r="I172" i="45"/>
  <c r="I172" i="40"/>
  <c r="S314" i="31"/>
  <c r="Q314" i="31"/>
  <c r="R314" i="31" s="1"/>
  <c r="T314" i="31" s="1"/>
  <c r="M314" i="31"/>
  <c r="N314" i="31" s="1"/>
  <c r="I168" i="45"/>
  <c r="I168" i="40"/>
  <c r="S310" i="31"/>
  <c r="Q310" i="31"/>
  <c r="R310" i="31" s="1"/>
  <c r="M310" i="31"/>
  <c r="N310" i="31" s="1"/>
  <c r="I164" i="45"/>
  <c r="I164" i="40"/>
  <c r="M305" i="31"/>
  <c r="N305" i="31" s="1"/>
  <c r="I159" i="45"/>
  <c r="S305" i="31"/>
  <c r="Q305" i="31"/>
  <c r="R305" i="31" s="1"/>
  <c r="T305" i="31" s="1"/>
  <c r="I159" i="40"/>
  <c r="S301" i="31"/>
  <c r="Q301" i="31"/>
  <c r="R301" i="31" s="1"/>
  <c r="T301" i="31" s="1"/>
  <c r="I155" i="45"/>
  <c r="M301" i="31"/>
  <c r="N301" i="31" s="1"/>
  <c r="S297" i="31"/>
  <c r="Q297" i="31"/>
  <c r="R297" i="31" s="1"/>
  <c r="T297" i="31" s="1"/>
  <c r="M297" i="31"/>
  <c r="N297" i="31" s="1"/>
  <c r="I151" i="45"/>
  <c r="I151" i="40"/>
  <c r="S293" i="31"/>
  <c r="M293" i="31"/>
  <c r="N293" i="31" s="1"/>
  <c r="Q293" i="31"/>
  <c r="R293" i="31" s="1"/>
  <c r="I147" i="45"/>
  <c r="I147" i="40"/>
  <c r="S289" i="31"/>
  <c r="Q289" i="31"/>
  <c r="R289" i="31" s="1"/>
  <c r="M289" i="31"/>
  <c r="N289" i="31" s="1"/>
  <c r="I143" i="45"/>
  <c r="I143" i="40"/>
  <c r="Q285" i="31"/>
  <c r="R285" i="31" s="1"/>
  <c r="T285" i="31" s="1"/>
  <c r="S285" i="31"/>
  <c r="I139" i="45"/>
  <c r="M285" i="31"/>
  <c r="N285" i="31" s="1"/>
  <c r="I139" i="40"/>
  <c r="S281" i="31"/>
  <c r="Q281" i="31"/>
  <c r="R281" i="31" s="1"/>
  <c r="T281" i="31" s="1"/>
  <c r="M281" i="31"/>
  <c r="N281" i="31" s="1"/>
  <c r="I135" i="45"/>
  <c r="I135" i="40"/>
  <c r="S277" i="31"/>
  <c r="M277" i="31"/>
  <c r="N277" i="31" s="1"/>
  <c r="I131" i="45"/>
  <c r="Q277" i="31"/>
  <c r="R277" i="31" s="1"/>
  <c r="I131" i="40"/>
  <c r="S273" i="31"/>
  <c r="Q273" i="31"/>
  <c r="R273" i="31" s="1"/>
  <c r="M273" i="31"/>
  <c r="N273" i="31" s="1"/>
  <c r="I127" i="45"/>
  <c r="I127" i="40"/>
  <c r="Q269" i="31"/>
  <c r="R269" i="31" s="1"/>
  <c r="T269" i="31" s="1"/>
  <c r="S269" i="31"/>
  <c r="I123" i="45"/>
  <c r="M269" i="31"/>
  <c r="N269" i="31" s="1"/>
  <c r="I123" i="40"/>
  <c r="S265" i="31"/>
  <c r="M265" i="31"/>
  <c r="N265" i="31" s="1"/>
  <c r="Q265" i="31"/>
  <c r="R265" i="31" s="1"/>
  <c r="T265" i="31" s="1"/>
  <c r="I119" i="45"/>
  <c r="I119" i="40"/>
  <c r="S261" i="31"/>
  <c r="Q261" i="31"/>
  <c r="R261" i="31" s="1"/>
  <c r="T261" i="31" s="1"/>
  <c r="M261" i="31"/>
  <c r="N261" i="31" s="1"/>
  <c r="I115" i="45"/>
  <c r="I115" i="40"/>
  <c r="S257" i="31"/>
  <c r="M257" i="31"/>
  <c r="N257" i="31" s="1"/>
  <c r="Q257" i="31"/>
  <c r="R257" i="31" s="1"/>
  <c r="I111" i="45"/>
  <c r="I111" i="40"/>
  <c r="S253" i="31"/>
  <c r="Q253" i="31"/>
  <c r="R253" i="31" s="1"/>
  <c r="I107" i="45"/>
  <c r="M253" i="31"/>
  <c r="N253" i="31" s="1"/>
  <c r="I107" i="40"/>
  <c r="S249" i="31"/>
  <c r="M249" i="31"/>
  <c r="N249" i="31" s="1"/>
  <c r="I103" i="45"/>
  <c r="Q249" i="31"/>
  <c r="R249" i="31" s="1"/>
  <c r="T249" i="31" s="1"/>
  <c r="I103" i="40"/>
  <c r="S245" i="31"/>
  <c r="Q245" i="31"/>
  <c r="R245" i="31" s="1"/>
  <c r="T245" i="31" s="1"/>
  <c r="M245" i="31"/>
  <c r="N245" i="31" s="1"/>
  <c r="I99" i="45"/>
  <c r="I99" i="40"/>
  <c r="S241" i="31"/>
  <c r="Q241" i="31"/>
  <c r="R241" i="31" s="1"/>
  <c r="M241" i="31"/>
  <c r="N241" i="31" s="1"/>
  <c r="I95" i="45"/>
  <c r="I95" i="40"/>
  <c r="S237" i="31"/>
  <c r="Q237" i="31"/>
  <c r="R237" i="31" s="1"/>
  <c r="I91" i="45"/>
  <c r="M237" i="31"/>
  <c r="N237" i="31" s="1"/>
  <c r="I91" i="40"/>
  <c r="S233" i="31"/>
  <c r="Q233" i="31"/>
  <c r="R233" i="31" s="1"/>
  <c r="T233" i="31" s="1"/>
  <c r="M233" i="31"/>
  <c r="N233" i="31" s="1"/>
  <c r="I87" i="45"/>
  <c r="I87" i="40"/>
  <c r="Q229" i="31"/>
  <c r="R229" i="31" s="1"/>
  <c r="S229" i="31"/>
  <c r="M229" i="31"/>
  <c r="N229" i="31" s="1"/>
  <c r="I83" i="45"/>
  <c r="I83" i="40"/>
  <c r="S225" i="31"/>
  <c r="Q225" i="31"/>
  <c r="R225" i="31" s="1"/>
  <c r="M225" i="31"/>
  <c r="N225" i="31" s="1"/>
  <c r="I79" i="45"/>
  <c r="I79" i="40"/>
  <c r="S713" i="31"/>
  <c r="Q713" i="31"/>
  <c r="R713" i="31" s="1"/>
  <c r="I347" i="45"/>
  <c r="M713" i="31"/>
  <c r="N713" i="31" s="1"/>
  <c r="I513" i="40"/>
  <c r="H513" i="40"/>
  <c r="I505" i="40"/>
  <c r="H505" i="40"/>
  <c r="I497" i="40"/>
  <c r="H497" i="40"/>
  <c r="I489" i="40"/>
  <c r="H489" i="40"/>
  <c r="I481" i="40"/>
  <c r="H481" i="40"/>
  <c r="I473" i="40"/>
  <c r="H473" i="40"/>
  <c r="H465" i="40"/>
  <c r="H457" i="40"/>
  <c r="H449" i="40"/>
  <c r="H441" i="40"/>
  <c r="H433" i="40"/>
  <c r="H425" i="40"/>
  <c r="H417" i="40"/>
  <c r="H409" i="40"/>
  <c r="H401" i="40"/>
  <c r="H393" i="40"/>
  <c r="H385" i="40"/>
  <c r="I377" i="40"/>
  <c r="H377" i="40"/>
  <c r="I369" i="40"/>
  <c r="H369" i="40"/>
  <c r="I361" i="40"/>
  <c r="H361" i="40"/>
  <c r="I353" i="40"/>
  <c r="H353" i="40"/>
  <c r="I345" i="40"/>
  <c r="H345" i="40"/>
  <c r="I337" i="40"/>
  <c r="H337" i="40"/>
  <c r="I329" i="40"/>
  <c r="H329" i="40"/>
  <c r="I321" i="40"/>
  <c r="H321" i="40"/>
  <c r="I314" i="40"/>
  <c r="H310" i="40"/>
  <c r="I282" i="40"/>
  <c r="H278" i="40"/>
  <c r="I256" i="40"/>
  <c r="H240" i="40"/>
  <c r="I224" i="40"/>
  <c r="H208" i="40"/>
  <c r="H149" i="40"/>
  <c r="M838" i="31"/>
  <c r="N838" i="31" s="1"/>
  <c r="Q838" i="31"/>
  <c r="R838" i="31" s="1"/>
  <c r="I472" i="45"/>
  <c r="S838" i="31"/>
  <c r="I472" i="40"/>
  <c r="Q648" i="25"/>
  <c r="R648" i="25" s="1"/>
  <c r="S648" i="25"/>
  <c r="M648" i="25"/>
  <c r="N648" i="25" s="1"/>
  <c r="H502" i="44"/>
  <c r="H502" i="37"/>
  <c r="S495" i="37"/>
  <c r="U495" i="37" s="1"/>
  <c r="Y495" i="37" s="1"/>
  <c r="J495" i="37"/>
  <c r="L495" i="37" s="1"/>
  <c r="N495" i="37" s="1"/>
  <c r="W495" i="37"/>
  <c r="G423" i="32"/>
  <c r="Q632" i="25"/>
  <c r="R632" i="25" s="1"/>
  <c r="S632" i="25"/>
  <c r="M632" i="25"/>
  <c r="N632" i="25" s="1"/>
  <c r="H486" i="44"/>
  <c r="H486" i="37"/>
  <c r="S479" i="37"/>
  <c r="U479" i="37" s="1"/>
  <c r="Y479" i="37" s="1"/>
  <c r="AA479" i="37" s="1"/>
  <c r="AE479" i="37" s="1"/>
  <c r="AB479" i="37" s="1"/>
  <c r="J479" i="37"/>
  <c r="L479" i="37" s="1"/>
  <c r="N479" i="37" s="1"/>
  <c r="W479" i="37"/>
  <c r="G407" i="32"/>
  <c r="Q616" i="25"/>
  <c r="R616" i="25" s="1"/>
  <c r="T616" i="25" s="1"/>
  <c r="S616" i="25"/>
  <c r="M616" i="25"/>
  <c r="N616" i="25" s="1"/>
  <c r="H470" i="44"/>
  <c r="H470" i="37"/>
  <c r="S463" i="37"/>
  <c r="U463" i="37" s="1"/>
  <c r="Y463" i="37" s="1"/>
  <c r="J463" i="37"/>
  <c r="L463" i="37" s="1"/>
  <c r="N463" i="37" s="1"/>
  <c r="W463" i="37"/>
  <c r="G391" i="32"/>
  <c r="Q600" i="25"/>
  <c r="R600" i="25" s="1"/>
  <c r="S600" i="25"/>
  <c r="M600" i="25"/>
  <c r="N600" i="25" s="1"/>
  <c r="H454" i="44"/>
  <c r="H454" i="37"/>
  <c r="S447" i="37"/>
  <c r="U447" i="37" s="1"/>
  <c r="Y447" i="37" s="1"/>
  <c r="AA447" i="37" s="1"/>
  <c r="AE447" i="37" s="1"/>
  <c r="AB447" i="37" s="1"/>
  <c r="J447" i="37"/>
  <c r="L447" i="37" s="1"/>
  <c r="N447" i="37" s="1"/>
  <c r="W447" i="37"/>
  <c r="G375" i="32"/>
  <c r="Q584" i="25"/>
  <c r="R584" i="25" s="1"/>
  <c r="T584" i="25" s="1"/>
  <c r="S584" i="25"/>
  <c r="M584" i="25"/>
  <c r="N584" i="25" s="1"/>
  <c r="H438" i="44"/>
  <c r="H438" i="37"/>
  <c r="S431" i="37"/>
  <c r="U431" i="37" s="1"/>
  <c r="Y431" i="37" s="1"/>
  <c r="J431" i="37"/>
  <c r="L431" i="37" s="1"/>
  <c r="N431" i="37" s="1"/>
  <c r="W431" i="37"/>
  <c r="G359" i="32"/>
  <c r="Q568" i="25"/>
  <c r="R568" i="25" s="1"/>
  <c r="S568" i="25"/>
  <c r="M568" i="25"/>
  <c r="N568" i="25" s="1"/>
  <c r="H422" i="44"/>
  <c r="H422" i="37"/>
  <c r="S415" i="37"/>
  <c r="U415" i="37" s="1"/>
  <c r="Y415" i="37" s="1"/>
  <c r="J415" i="37"/>
  <c r="L415" i="37" s="1"/>
  <c r="N415" i="37" s="1"/>
  <c r="W415" i="37"/>
  <c r="G343" i="32"/>
  <c r="Q552" i="25"/>
  <c r="R552" i="25" s="1"/>
  <c r="S552" i="25"/>
  <c r="M552" i="25"/>
  <c r="N552" i="25" s="1"/>
  <c r="H406" i="44"/>
  <c r="H406" i="37"/>
  <c r="S399" i="37"/>
  <c r="U399" i="37" s="1"/>
  <c r="Y399" i="37" s="1"/>
  <c r="J399" i="37"/>
  <c r="L399" i="37" s="1"/>
  <c r="N399" i="37" s="1"/>
  <c r="W399" i="37"/>
  <c r="G327" i="32"/>
  <c r="Q536" i="25"/>
  <c r="R536" i="25" s="1"/>
  <c r="S536" i="25"/>
  <c r="M536" i="25"/>
  <c r="N536" i="25" s="1"/>
  <c r="H390" i="44"/>
  <c r="H390" i="37"/>
  <c r="S383" i="37"/>
  <c r="U383" i="37" s="1"/>
  <c r="Y383" i="37" s="1"/>
  <c r="AA383" i="37" s="1"/>
  <c r="AE383" i="37" s="1"/>
  <c r="AB383" i="37" s="1"/>
  <c r="J383" i="37"/>
  <c r="L383" i="37" s="1"/>
  <c r="N383" i="37" s="1"/>
  <c r="W383" i="37"/>
  <c r="G311" i="32"/>
  <c r="Q520" i="25"/>
  <c r="R520" i="25" s="1"/>
  <c r="T520" i="25" s="1"/>
  <c r="S520" i="25"/>
  <c r="M520" i="25"/>
  <c r="N520" i="25" s="1"/>
  <c r="H374" i="44"/>
  <c r="H374" i="37"/>
  <c r="S367" i="37"/>
  <c r="U367" i="37" s="1"/>
  <c r="J367" i="37"/>
  <c r="L367" i="37" s="1"/>
  <c r="N367" i="37" s="1"/>
  <c r="W367" i="37"/>
  <c r="G295" i="32"/>
  <c r="Q504" i="25"/>
  <c r="R504" i="25" s="1"/>
  <c r="S504" i="25"/>
  <c r="M504" i="25"/>
  <c r="N504" i="25" s="1"/>
  <c r="H358" i="44"/>
  <c r="H358" i="37"/>
  <c r="S351" i="37"/>
  <c r="U351" i="37" s="1"/>
  <c r="Y351" i="37" s="1"/>
  <c r="J351" i="37"/>
  <c r="L351" i="37" s="1"/>
  <c r="N351" i="37" s="1"/>
  <c r="W351" i="37"/>
  <c r="G279" i="32"/>
  <c r="Q488" i="25"/>
  <c r="R488" i="25" s="1"/>
  <c r="S488" i="25"/>
  <c r="M488" i="25"/>
  <c r="N488" i="25" s="1"/>
  <c r="H342" i="44"/>
  <c r="H342" i="37"/>
  <c r="S335" i="37"/>
  <c r="U335" i="37" s="1"/>
  <c r="Y335" i="37" s="1"/>
  <c r="AA335" i="37" s="1"/>
  <c r="AE335" i="37" s="1"/>
  <c r="AB335" i="37" s="1"/>
  <c r="W335" i="37"/>
  <c r="J335" i="37"/>
  <c r="L335" i="37" s="1"/>
  <c r="N335" i="37" s="1"/>
  <c r="G263" i="32"/>
  <c r="Q472" i="25"/>
  <c r="R472" i="25" s="1"/>
  <c r="T472" i="25" s="1"/>
  <c r="S472" i="25"/>
  <c r="M472" i="25"/>
  <c r="N472" i="25" s="1"/>
  <c r="H326" i="44"/>
  <c r="H326" i="37"/>
  <c r="S319" i="37"/>
  <c r="U319" i="37" s="1"/>
  <c r="Y319" i="37" s="1"/>
  <c r="AA319" i="37" s="1"/>
  <c r="AE319" i="37" s="1"/>
  <c r="AB319" i="37" s="1"/>
  <c r="W319" i="37"/>
  <c r="J319" i="37"/>
  <c r="L319" i="37" s="1"/>
  <c r="N319" i="37" s="1"/>
  <c r="G247" i="32"/>
  <c r="S456" i="25"/>
  <c r="Q456" i="25"/>
  <c r="R456" i="25" s="1"/>
  <c r="M456" i="25"/>
  <c r="N456" i="25" s="1"/>
  <c r="H310" i="44"/>
  <c r="H310" i="37"/>
  <c r="S302" i="37"/>
  <c r="U302" i="37" s="1"/>
  <c r="W302" i="37"/>
  <c r="J302" i="37"/>
  <c r="L302" i="37" s="1"/>
  <c r="N302" i="37" s="1"/>
  <c r="G230" i="32"/>
  <c r="Q219" i="25"/>
  <c r="R219" i="25" s="1"/>
  <c r="M219" i="25"/>
  <c r="N219" i="25" s="1"/>
  <c r="S219" i="25"/>
  <c r="H293" i="44"/>
  <c r="H293" i="37"/>
  <c r="S286" i="37"/>
  <c r="U286" i="37" s="1"/>
  <c r="W286" i="37"/>
  <c r="J286" i="37"/>
  <c r="L286" i="37" s="1"/>
  <c r="N286" i="37" s="1"/>
  <c r="G214" i="32"/>
  <c r="Q203" i="25"/>
  <c r="R203" i="25" s="1"/>
  <c r="S203" i="25"/>
  <c r="M203" i="25"/>
  <c r="N203" i="25" s="1"/>
  <c r="H277" i="44"/>
  <c r="H277" i="37"/>
  <c r="S270" i="37"/>
  <c r="U270" i="37" s="1"/>
  <c r="W270" i="37"/>
  <c r="J270" i="37"/>
  <c r="L270" i="37" s="1"/>
  <c r="N270" i="37" s="1"/>
  <c r="G198" i="32"/>
  <c r="Q187" i="25"/>
  <c r="R187" i="25" s="1"/>
  <c r="T187" i="25" s="1"/>
  <c r="M187" i="25"/>
  <c r="N187" i="25" s="1"/>
  <c r="S187" i="25"/>
  <c r="H261" i="44"/>
  <c r="H261" i="37"/>
  <c r="S254" i="37"/>
  <c r="U254" i="37" s="1"/>
  <c r="Y254" i="37" s="1"/>
  <c r="AA254" i="37" s="1"/>
  <c r="AE254" i="37" s="1"/>
  <c r="AB254" i="37" s="1"/>
  <c r="W254" i="37"/>
  <c r="J254" i="37"/>
  <c r="L254" i="37" s="1"/>
  <c r="N254" i="37" s="1"/>
  <c r="G182" i="32"/>
  <c r="Q171" i="25"/>
  <c r="R171" i="25" s="1"/>
  <c r="T171" i="25" s="1"/>
  <c r="S171" i="25"/>
  <c r="M171" i="25"/>
  <c r="N171" i="25" s="1"/>
  <c r="H245" i="44"/>
  <c r="H245" i="37"/>
  <c r="S238" i="37"/>
  <c r="U238" i="37" s="1"/>
  <c r="W238" i="37"/>
  <c r="J238" i="37"/>
  <c r="L238" i="37" s="1"/>
  <c r="N238" i="37" s="1"/>
  <c r="G166" i="32"/>
  <c r="Q155" i="25"/>
  <c r="R155" i="25" s="1"/>
  <c r="S155" i="25"/>
  <c r="M155" i="25"/>
  <c r="N155" i="25" s="1"/>
  <c r="H229" i="44"/>
  <c r="H229" i="37"/>
  <c r="S222" i="37"/>
  <c r="U222" i="37" s="1"/>
  <c r="W222" i="37"/>
  <c r="J222" i="37"/>
  <c r="L222" i="37" s="1"/>
  <c r="N222" i="37" s="1"/>
  <c r="G150" i="32"/>
  <c r="Q139" i="25"/>
  <c r="R139" i="25" s="1"/>
  <c r="S139" i="25"/>
  <c r="M139" i="25"/>
  <c r="N139" i="25" s="1"/>
  <c r="H213" i="44"/>
  <c r="H213" i="37"/>
  <c r="S206" i="37"/>
  <c r="U206" i="37" s="1"/>
  <c r="W206" i="37"/>
  <c r="J206" i="37"/>
  <c r="L206" i="37" s="1"/>
  <c r="N206" i="37" s="1"/>
  <c r="G134" i="32"/>
  <c r="Q123" i="25"/>
  <c r="R123" i="25" s="1"/>
  <c r="S123" i="25"/>
  <c r="M123" i="25"/>
  <c r="N123" i="25" s="1"/>
  <c r="H197" i="44"/>
  <c r="H197" i="37"/>
  <c r="S190" i="37"/>
  <c r="U190" i="37" s="1"/>
  <c r="Y190" i="37" s="1"/>
  <c r="AA190" i="37" s="1"/>
  <c r="AE190" i="37" s="1"/>
  <c r="AB190" i="37" s="1"/>
  <c r="W190" i="37"/>
  <c r="J190" i="37"/>
  <c r="L190" i="37" s="1"/>
  <c r="N190" i="37" s="1"/>
  <c r="G118" i="32"/>
  <c r="Q107" i="25"/>
  <c r="R107" i="25" s="1"/>
  <c r="T107" i="25" s="1"/>
  <c r="S107" i="25"/>
  <c r="M107" i="25"/>
  <c r="N107" i="25" s="1"/>
  <c r="H181" i="44"/>
  <c r="H181" i="37"/>
  <c r="S174" i="37"/>
  <c r="U174" i="37" s="1"/>
  <c r="W174" i="37"/>
  <c r="J174" i="37"/>
  <c r="L174" i="37" s="1"/>
  <c r="N174" i="37" s="1"/>
  <c r="G102" i="32"/>
  <c r="Q91" i="25"/>
  <c r="R91" i="25" s="1"/>
  <c r="M91" i="25"/>
  <c r="N91" i="25" s="1"/>
  <c r="S91" i="25"/>
  <c r="H165" i="44"/>
  <c r="H165" i="37"/>
  <c r="S158" i="37"/>
  <c r="U158" i="37" s="1"/>
  <c r="Y158" i="37" s="1"/>
  <c r="W158" i="37"/>
  <c r="J158" i="37"/>
  <c r="L158" i="37" s="1"/>
  <c r="N158" i="37" s="1"/>
  <c r="G86" i="32"/>
  <c r="Q75" i="25"/>
  <c r="R75" i="25" s="1"/>
  <c r="T75" i="25" s="1"/>
  <c r="S75" i="25"/>
  <c r="M75" i="25"/>
  <c r="N75" i="25" s="1"/>
  <c r="H149" i="44"/>
  <c r="H149" i="37"/>
  <c r="S142" i="37"/>
  <c r="U142" i="37" s="1"/>
  <c r="W142" i="37"/>
  <c r="J142" i="37"/>
  <c r="L142" i="37" s="1"/>
  <c r="N142" i="37" s="1"/>
  <c r="G70" i="32"/>
  <c r="Q59" i="25"/>
  <c r="R59" i="25" s="1"/>
  <c r="T59" i="25" s="1"/>
  <c r="M59" i="25"/>
  <c r="N59" i="25" s="1"/>
  <c r="S59" i="25"/>
  <c r="H133" i="44"/>
  <c r="H133" i="37"/>
  <c r="S126" i="37"/>
  <c r="U126" i="37" s="1"/>
  <c r="Y126" i="37" s="1"/>
  <c r="AA126" i="37" s="1"/>
  <c r="AE126" i="37" s="1"/>
  <c r="AB126" i="37" s="1"/>
  <c r="W126" i="37"/>
  <c r="J126" i="37"/>
  <c r="L126" i="37" s="1"/>
  <c r="N126" i="37" s="1"/>
  <c r="G54" i="32"/>
  <c r="Q43" i="25"/>
  <c r="R43" i="25" s="1"/>
  <c r="T43" i="25" s="1"/>
  <c r="S43" i="25"/>
  <c r="M43" i="25"/>
  <c r="N43" i="25" s="1"/>
  <c r="H117" i="44"/>
  <c r="H117" i="37"/>
  <c r="S110" i="37"/>
  <c r="U110" i="37" s="1"/>
  <c r="W110" i="37"/>
  <c r="J110" i="37"/>
  <c r="L110" i="37" s="1"/>
  <c r="N110" i="37" s="1"/>
  <c r="G38" i="32"/>
  <c r="Q27" i="25"/>
  <c r="R27" i="25" s="1"/>
  <c r="S27" i="25"/>
  <c r="M27" i="25"/>
  <c r="N27" i="25" s="1"/>
  <c r="H101" i="44"/>
  <c r="H101" i="37"/>
  <c r="S94" i="37"/>
  <c r="U94" i="37" s="1"/>
  <c r="Y94" i="37" s="1"/>
  <c r="W94" i="37"/>
  <c r="J94" i="37"/>
  <c r="L94" i="37" s="1"/>
  <c r="N94" i="37" s="1"/>
  <c r="G22" i="32"/>
  <c r="Q11" i="25"/>
  <c r="R11" i="25" s="1"/>
  <c r="T11" i="25" s="1"/>
  <c r="S11" i="25"/>
  <c r="M11" i="25"/>
  <c r="N11" i="25" s="1"/>
  <c r="H85" i="44"/>
  <c r="H85" i="37"/>
  <c r="S78" i="37"/>
  <c r="U78" i="37" s="1"/>
  <c r="W78" i="37"/>
  <c r="J78" i="37"/>
  <c r="L78" i="37" s="1"/>
  <c r="N78" i="37" s="1"/>
  <c r="G6" i="32"/>
  <c r="T507" i="37"/>
  <c r="V507" i="37" s="1"/>
  <c r="Z507" i="37" s="1"/>
  <c r="K507" i="37"/>
  <c r="O507" i="37" s="1"/>
  <c r="Q507" i="37" s="1"/>
  <c r="X507" i="37"/>
  <c r="H435" i="32"/>
  <c r="S870" i="25"/>
  <c r="Q870" i="25"/>
  <c r="R870" i="25" s="1"/>
  <c r="T870" i="25" s="1"/>
  <c r="M870" i="25"/>
  <c r="N870" i="25" s="1"/>
  <c r="I504" i="44"/>
  <c r="I504" i="37"/>
  <c r="S859" i="25"/>
  <c r="Q859" i="25"/>
  <c r="R859" i="25" s="1"/>
  <c r="I493" i="44"/>
  <c r="M859" i="25"/>
  <c r="N859" i="25" s="1"/>
  <c r="I493" i="37"/>
  <c r="Q856" i="25"/>
  <c r="R856" i="25" s="1"/>
  <c r="T856" i="25" s="1"/>
  <c r="S856" i="25"/>
  <c r="M856" i="25"/>
  <c r="N856" i="25" s="1"/>
  <c r="I490" i="44"/>
  <c r="I490" i="37"/>
  <c r="T475" i="37"/>
  <c r="V475" i="37" s="1"/>
  <c r="K475" i="37"/>
  <c r="O475" i="37" s="1"/>
  <c r="Q475" i="37" s="1"/>
  <c r="X475" i="37"/>
  <c r="H403" i="32"/>
  <c r="S838" i="25"/>
  <c r="Q838" i="25"/>
  <c r="R838" i="25" s="1"/>
  <c r="T838" i="25" s="1"/>
  <c r="M838" i="25"/>
  <c r="N838" i="25" s="1"/>
  <c r="I472" i="44"/>
  <c r="I472" i="37"/>
  <c r="S827" i="25"/>
  <c r="Q827" i="25"/>
  <c r="R827" i="25" s="1"/>
  <c r="T827" i="25" s="1"/>
  <c r="I461" i="44"/>
  <c r="M827" i="25"/>
  <c r="N827" i="25" s="1"/>
  <c r="I461" i="37"/>
  <c r="Q824" i="25"/>
  <c r="R824" i="25" s="1"/>
  <c r="T824" i="25" s="1"/>
  <c r="S824" i="25"/>
  <c r="M824" i="25"/>
  <c r="N824" i="25" s="1"/>
  <c r="I458" i="44"/>
  <c r="I458" i="37"/>
  <c r="T443" i="37"/>
  <c r="V443" i="37" s="1"/>
  <c r="K443" i="37"/>
  <c r="O443" i="37" s="1"/>
  <c r="Q443" i="37" s="1"/>
  <c r="X443" i="37"/>
  <c r="H371" i="32"/>
  <c r="S806" i="25"/>
  <c r="Q806" i="25"/>
  <c r="R806" i="25" s="1"/>
  <c r="T806" i="25" s="1"/>
  <c r="M806" i="25"/>
  <c r="N806" i="25" s="1"/>
  <c r="I440" i="44"/>
  <c r="I440" i="37"/>
  <c r="T421" i="37"/>
  <c r="V421" i="37" s="1"/>
  <c r="Z421" i="37" s="1"/>
  <c r="AC421" i="37" s="1"/>
  <c r="H349" i="32"/>
  <c r="K421" i="37"/>
  <c r="O421" i="37" s="1"/>
  <c r="Q421" i="37" s="1"/>
  <c r="X421" i="37"/>
  <c r="K404" i="37"/>
  <c r="O404" i="37" s="1"/>
  <c r="Q404" i="37" s="1"/>
  <c r="H332" i="32"/>
  <c r="T404" i="37"/>
  <c r="V404" i="37" s="1"/>
  <c r="X404" i="37"/>
  <c r="K388" i="37"/>
  <c r="O388" i="37" s="1"/>
  <c r="Q388" i="37" s="1"/>
  <c r="H316" i="32"/>
  <c r="T388" i="37"/>
  <c r="V388" i="37" s="1"/>
  <c r="X388" i="37"/>
  <c r="K372" i="37"/>
  <c r="O372" i="37" s="1"/>
  <c r="Q372" i="37" s="1"/>
  <c r="H300" i="32"/>
  <c r="T372" i="37"/>
  <c r="V372" i="37" s="1"/>
  <c r="X372" i="37"/>
  <c r="S729" i="25"/>
  <c r="Q729" i="25"/>
  <c r="R729" i="25" s="1"/>
  <c r="T729" i="25" s="1"/>
  <c r="M729" i="25"/>
  <c r="N729" i="25" s="1"/>
  <c r="I363" i="44"/>
  <c r="I363" i="37"/>
  <c r="K356" i="37"/>
  <c r="O356" i="37" s="1"/>
  <c r="Q356" i="37" s="1"/>
  <c r="H284" i="32"/>
  <c r="T356" i="37"/>
  <c r="V356" i="37" s="1"/>
  <c r="X356" i="37"/>
  <c r="S712" i="25"/>
  <c r="Q712" i="25"/>
  <c r="R712" i="25" s="1"/>
  <c r="T712" i="25" s="1"/>
  <c r="M712" i="25"/>
  <c r="N712" i="25" s="1"/>
  <c r="I346" i="44"/>
  <c r="I346" i="37"/>
  <c r="T339" i="37"/>
  <c r="V339" i="37" s="1"/>
  <c r="X339" i="37"/>
  <c r="H267" i="32"/>
  <c r="K339" i="37"/>
  <c r="O339" i="37" s="1"/>
  <c r="Q339" i="37" s="1"/>
  <c r="S696" i="25"/>
  <c r="Q696" i="25"/>
  <c r="R696" i="25" s="1"/>
  <c r="T696" i="25" s="1"/>
  <c r="M696" i="25"/>
  <c r="N696" i="25" s="1"/>
  <c r="I330" i="44"/>
  <c r="I330" i="37"/>
  <c r="T323" i="37"/>
  <c r="V323" i="37" s="1"/>
  <c r="X323" i="37"/>
  <c r="H251" i="32"/>
  <c r="K323" i="37"/>
  <c r="O323" i="37" s="1"/>
  <c r="Q323" i="37" s="1"/>
  <c r="AM632" i="25"/>
  <c r="AM630" i="25"/>
  <c r="AM628" i="25"/>
  <c r="AM626" i="25"/>
  <c r="AM624" i="25"/>
  <c r="AM622" i="25"/>
  <c r="AM620" i="25"/>
  <c r="AM618" i="25"/>
  <c r="AM616" i="25"/>
  <c r="AM614" i="25"/>
  <c r="AM612" i="25"/>
  <c r="AM610" i="25"/>
  <c r="AM608" i="25"/>
  <c r="AM606" i="25"/>
  <c r="AM604" i="25"/>
  <c r="AM602" i="25"/>
  <c r="AM600" i="25"/>
  <c r="AM598" i="25"/>
  <c r="AM596" i="25"/>
  <c r="AM594" i="25"/>
  <c r="AM592" i="25"/>
  <c r="AM590" i="25"/>
  <c r="AM588" i="25"/>
  <c r="AM586" i="25"/>
  <c r="AM584" i="25"/>
  <c r="AM582" i="25"/>
  <c r="AM580" i="25"/>
  <c r="AM578" i="25"/>
  <c r="AM576" i="25"/>
  <c r="AM574" i="25"/>
  <c r="AM572" i="25"/>
  <c r="AM570" i="25"/>
  <c r="AM568" i="25"/>
  <c r="AM566" i="25"/>
  <c r="AM564" i="25"/>
  <c r="AM562" i="25"/>
  <c r="AM560" i="25"/>
  <c r="AM558" i="25"/>
  <c r="AM556" i="25"/>
  <c r="AM554" i="25"/>
  <c r="AM552" i="25"/>
  <c r="AM550" i="25"/>
  <c r="AM548" i="25"/>
  <c r="AM546" i="25"/>
  <c r="AM544" i="25"/>
  <c r="AM542" i="25"/>
  <c r="AM540" i="25"/>
  <c r="AM538" i="25"/>
  <c r="AM536" i="25"/>
  <c r="AM534" i="25"/>
  <c r="AM532" i="25"/>
  <c r="AM530" i="25"/>
  <c r="AM528" i="25"/>
  <c r="AM526" i="25"/>
  <c r="AM524" i="25"/>
  <c r="AM522" i="25"/>
  <c r="AM520" i="25"/>
  <c r="AM518" i="25"/>
  <c r="AM516" i="25"/>
  <c r="AM514" i="25"/>
  <c r="AM512" i="25"/>
  <c r="AM510" i="25"/>
  <c r="AM508" i="25"/>
  <c r="AM506" i="25"/>
  <c r="AM504" i="25"/>
  <c r="AM502" i="25"/>
  <c r="AM500" i="25"/>
  <c r="AM498" i="25"/>
  <c r="AM496" i="25"/>
  <c r="AM494" i="25"/>
  <c r="AM492" i="25"/>
  <c r="AM490" i="25"/>
  <c r="AM488" i="25"/>
  <c r="AM486" i="25"/>
  <c r="AM484" i="25"/>
  <c r="AM482" i="25"/>
  <c r="AM480" i="25"/>
  <c r="AM478" i="25"/>
  <c r="AM476" i="25"/>
  <c r="AM474" i="25"/>
  <c r="AM472" i="25"/>
  <c r="AM470" i="25"/>
  <c r="AM468" i="25"/>
  <c r="AM466" i="25"/>
  <c r="AM464" i="25"/>
  <c r="AM462" i="25"/>
  <c r="AM460" i="25"/>
  <c r="AM458" i="25"/>
  <c r="AM456" i="25"/>
  <c r="AM454" i="25"/>
  <c r="AM452" i="25"/>
  <c r="AM450" i="25"/>
  <c r="AM448" i="25"/>
  <c r="AM446" i="25"/>
  <c r="AM444" i="25"/>
  <c r="AM442" i="25"/>
  <c r="AL275" i="25"/>
  <c r="AL259" i="25"/>
  <c r="AL243" i="25"/>
  <c r="AL227" i="25"/>
  <c r="AL149" i="25"/>
  <c r="AL141" i="25"/>
  <c r="AL133" i="25"/>
  <c r="AL125" i="25"/>
  <c r="AL117" i="25"/>
  <c r="AL109" i="25"/>
  <c r="AL101" i="25"/>
  <c r="AL93" i="25"/>
  <c r="AL85" i="25"/>
  <c r="AL77" i="25"/>
  <c r="AL69" i="25"/>
  <c r="AL61" i="25"/>
  <c r="AL53" i="25"/>
  <c r="AL45" i="25"/>
  <c r="AL37" i="25"/>
  <c r="AL29" i="25"/>
  <c r="AL21" i="25"/>
  <c r="AL13" i="25"/>
  <c r="AL5" i="25"/>
  <c r="S660" i="25"/>
  <c r="Q660" i="25"/>
  <c r="R660" i="25" s="1"/>
  <c r="T660" i="25" s="1"/>
  <c r="M660" i="25"/>
  <c r="N660" i="25" s="1"/>
  <c r="H514" i="44"/>
  <c r="H514" i="37"/>
  <c r="S658" i="25"/>
  <c r="Q658" i="25"/>
  <c r="R658" i="25" s="1"/>
  <c r="T658" i="25" s="1"/>
  <c r="M658" i="25"/>
  <c r="N658" i="25" s="1"/>
  <c r="H512" i="44"/>
  <c r="H512" i="37"/>
  <c r="Q656" i="25"/>
  <c r="R656" i="25" s="1"/>
  <c r="T656" i="25" s="1"/>
  <c r="S656" i="25"/>
  <c r="M656" i="25"/>
  <c r="N656" i="25" s="1"/>
  <c r="H510" i="44"/>
  <c r="H510" i="37"/>
  <c r="S654" i="25"/>
  <c r="Q654" i="25"/>
  <c r="R654" i="25" s="1"/>
  <c r="T654" i="25" s="1"/>
  <c r="M654" i="25"/>
  <c r="N654" i="25" s="1"/>
  <c r="H508" i="44"/>
  <c r="H508" i="37"/>
  <c r="S652" i="25"/>
  <c r="Q652" i="25"/>
  <c r="R652" i="25" s="1"/>
  <c r="T652" i="25" s="1"/>
  <c r="M652" i="25"/>
  <c r="N652" i="25" s="1"/>
  <c r="H506" i="44"/>
  <c r="H506" i="37"/>
  <c r="S499" i="37"/>
  <c r="U499" i="37" s="1"/>
  <c r="Y499" i="37" s="1"/>
  <c r="J499" i="37"/>
  <c r="L499" i="37" s="1"/>
  <c r="N499" i="37" s="1"/>
  <c r="W499" i="37"/>
  <c r="G427" i="32"/>
  <c r="S636" i="25"/>
  <c r="Q636" i="25"/>
  <c r="R636" i="25" s="1"/>
  <c r="T636" i="25" s="1"/>
  <c r="M636" i="25"/>
  <c r="N636" i="25" s="1"/>
  <c r="H490" i="44"/>
  <c r="H490" i="37"/>
  <c r="S483" i="37"/>
  <c r="U483" i="37" s="1"/>
  <c r="Y483" i="37" s="1"/>
  <c r="AA483" i="37" s="1"/>
  <c r="AE483" i="37" s="1"/>
  <c r="AB483" i="37" s="1"/>
  <c r="J483" i="37"/>
  <c r="L483" i="37" s="1"/>
  <c r="N483" i="37" s="1"/>
  <c r="W483" i="37"/>
  <c r="G411" i="32"/>
  <c r="S620" i="25"/>
  <c r="Q620" i="25"/>
  <c r="R620" i="25" s="1"/>
  <c r="M620" i="25"/>
  <c r="N620" i="25" s="1"/>
  <c r="H474" i="44"/>
  <c r="H474" i="37"/>
  <c r="S467" i="37"/>
  <c r="U467" i="37" s="1"/>
  <c r="J467" i="37"/>
  <c r="L467" i="37" s="1"/>
  <c r="N467" i="37" s="1"/>
  <c r="W467" i="37"/>
  <c r="G395" i="32"/>
  <c r="S604" i="25"/>
  <c r="Q604" i="25"/>
  <c r="R604" i="25" s="1"/>
  <c r="T604" i="25" s="1"/>
  <c r="M604" i="25"/>
  <c r="N604" i="25" s="1"/>
  <c r="H458" i="44"/>
  <c r="H458" i="37"/>
  <c r="S451" i="37"/>
  <c r="U451" i="37" s="1"/>
  <c r="J451" i="37"/>
  <c r="L451" i="37" s="1"/>
  <c r="N451" i="37" s="1"/>
  <c r="W451" i="37"/>
  <c r="G379" i="32"/>
  <c r="S588" i="25"/>
  <c r="Q588" i="25"/>
  <c r="R588" i="25" s="1"/>
  <c r="T588" i="25" s="1"/>
  <c r="M588" i="25"/>
  <c r="N588" i="25" s="1"/>
  <c r="H442" i="44"/>
  <c r="H442" i="37"/>
  <c r="S435" i="37"/>
  <c r="U435" i="37" s="1"/>
  <c r="Y435" i="37" s="1"/>
  <c r="J435" i="37"/>
  <c r="L435" i="37" s="1"/>
  <c r="N435" i="37" s="1"/>
  <c r="W435" i="37"/>
  <c r="G363" i="32"/>
  <c r="S572" i="25"/>
  <c r="Q572" i="25"/>
  <c r="R572" i="25" s="1"/>
  <c r="T572" i="25" s="1"/>
  <c r="M572" i="25"/>
  <c r="N572" i="25" s="1"/>
  <c r="H426" i="44"/>
  <c r="H426" i="37"/>
  <c r="S419" i="37"/>
  <c r="U419" i="37" s="1"/>
  <c r="Y419" i="37" s="1"/>
  <c r="AA419" i="37" s="1"/>
  <c r="AE419" i="37" s="1"/>
  <c r="AB419" i="37" s="1"/>
  <c r="J419" i="37"/>
  <c r="L419" i="37" s="1"/>
  <c r="N419" i="37" s="1"/>
  <c r="W419" i="37"/>
  <c r="G347" i="32"/>
  <c r="S556" i="25"/>
  <c r="Q556" i="25"/>
  <c r="R556" i="25" s="1"/>
  <c r="M556" i="25"/>
  <c r="N556" i="25" s="1"/>
  <c r="H410" i="44"/>
  <c r="H410" i="37"/>
  <c r="S403" i="37"/>
  <c r="U403" i="37" s="1"/>
  <c r="J403" i="37"/>
  <c r="L403" i="37" s="1"/>
  <c r="N403" i="37" s="1"/>
  <c r="W403" i="37"/>
  <c r="G331" i="32"/>
  <c r="S540" i="25"/>
  <c r="Q540" i="25"/>
  <c r="R540" i="25" s="1"/>
  <c r="T540" i="25" s="1"/>
  <c r="M540" i="25"/>
  <c r="N540" i="25" s="1"/>
  <c r="H394" i="44"/>
  <c r="H394" i="37"/>
  <c r="S387" i="37"/>
  <c r="U387" i="37" s="1"/>
  <c r="J387" i="37"/>
  <c r="L387" i="37" s="1"/>
  <c r="N387" i="37" s="1"/>
  <c r="W387" i="37"/>
  <c r="G315" i="32"/>
  <c r="S524" i="25"/>
  <c r="Q524" i="25"/>
  <c r="R524" i="25" s="1"/>
  <c r="T524" i="25" s="1"/>
  <c r="M524" i="25"/>
  <c r="N524" i="25" s="1"/>
  <c r="H378" i="44"/>
  <c r="H378" i="37"/>
  <c r="S371" i="37"/>
  <c r="U371" i="37" s="1"/>
  <c r="Y371" i="37" s="1"/>
  <c r="AA371" i="37" s="1"/>
  <c r="AE371" i="37" s="1"/>
  <c r="AB371" i="37" s="1"/>
  <c r="J371" i="37"/>
  <c r="L371" i="37" s="1"/>
  <c r="N371" i="37" s="1"/>
  <c r="W371" i="37"/>
  <c r="G299" i="32"/>
  <c r="S508" i="25"/>
  <c r="Q508" i="25"/>
  <c r="R508" i="25" s="1"/>
  <c r="M508" i="25"/>
  <c r="N508" i="25" s="1"/>
  <c r="H362" i="44"/>
  <c r="H362" i="37"/>
  <c r="S355" i="37"/>
  <c r="U355" i="37" s="1"/>
  <c r="Y355" i="37" s="1"/>
  <c r="AA355" i="37" s="1"/>
  <c r="AE355" i="37" s="1"/>
  <c r="AB355" i="37" s="1"/>
  <c r="J355" i="37"/>
  <c r="L355" i="37" s="1"/>
  <c r="N355" i="37" s="1"/>
  <c r="W355" i="37"/>
  <c r="G283" i="32"/>
  <c r="S492" i="25"/>
  <c r="Q492" i="25"/>
  <c r="R492" i="25" s="1"/>
  <c r="M492" i="25"/>
  <c r="N492" i="25" s="1"/>
  <c r="H346" i="44"/>
  <c r="H346" i="37"/>
  <c r="S339" i="37"/>
  <c r="U339" i="37" s="1"/>
  <c r="J339" i="37"/>
  <c r="L339" i="37" s="1"/>
  <c r="N339" i="37" s="1"/>
  <c r="W339" i="37"/>
  <c r="G267" i="32"/>
  <c r="S476" i="25"/>
  <c r="Q476" i="25"/>
  <c r="R476" i="25" s="1"/>
  <c r="T476" i="25" s="1"/>
  <c r="M476" i="25"/>
  <c r="N476" i="25" s="1"/>
  <c r="H330" i="44"/>
  <c r="H330" i="37"/>
  <c r="S323" i="37"/>
  <c r="U323" i="37" s="1"/>
  <c r="J323" i="37"/>
  <c r="L323" i="37" s="1"/>
  <c r="N323" i="37" s="1"/>
  <c r="W323" i="37"/>
  <c r="G251" i="32"/>
  <c r="S460" i="25"/>
  <c r="Q460" i="25"/>
  <c r="R460" i="25" s="1"/>
  <c r="T460" i="25" s="1"/>
  <c r="M460" i="25"/>
  <c r="N460" i="25" s="1"/>
  <c r="H314" i="44"/>
  <c r="H314" i="37"/>
  <c r="S306" i="37"/>
  <c r="U306" i="37" s="1"/>
  <c r="W306" i="37"/>
  <c r="J306" i="37"/>
  <c r="L306" i="37" s="1"/>
  <c r="N306" i="37" s="1"/>
  <c r="G234" i="32"/>
  <c r="Q443" i="25"/>
  <c r="R443" i="25" s="1"/>
  <c r="S443" i="25"/>
  <c r="H297" i="44"/>
  <c r="M443" i="25"/>
  <c r="N443" i="25" s="1"/>
  <c r="H297" i="37"/>
  <c r="S290" i="37"/>
  <c r="U290" i="37" s="1"/>
  <c r="Y290" i="37" s="1"/>
  <c r="AA290" i="37" s="1"/>
  <c r="AE290" i="37" s="1"/>
  <c r="AB290" i="37" s="1"/>
  <c r="W290" i="37"/>
  <c r="J290" i="37"/>
  <c r="L290" i="37" s="1"/>
  <c r="N290" i="37" s="1"/>
  <c r="G218" i="32"/>
  <c r="S207" i="25"/>
  <c r="Q207" i="25"/>
  <c r="R207" i="25" s="1"/>
  <c r="M207" i="25"/>
  <c r="N207" i="25" s="1"/>
  <c r="H281" i="44"/>
  <c r="H281" i="37"/>
  <c r="S274" i="37"/>
  <c r="U274" i="37" s="1"/>
  <c r="W274" i="37"/>
  <c r="J274" i="37"/>
  <c r="L274" i="37" s="1"/>
  <c r="N274" i="37" s="1"/>
  <c r="G202" i="32"/>
  <c r="S191" i="25"/>
  <c r="Q191" i="25"/>
  <c r="R191" i="25" s="1"/>
  <c r="T191" i="25" s="1"/>
  <c r="M191" i="25"/>
  <c r="N191" i="25" s="1"/>
  <c r="H265" i="44"/>
  <c r="H265" i="37"/>
  <c r="S258" i="37"/>
  <c r="U258" i="37" s="1"/>
  <c r="W258" i="37"/>
  <c r="J258" i="37"/>
  <c r="L258" i="37" s="1"/>
  <c r="N258" i="37" s="1"/>
  <c r="G186" i="32"/>
  <c r="S175" i="25"/>
  <c r="Q175" i="25"/>
  <c r="R175" i="25" s="1"/>
  <c r="T175" i="25" s="1"/>
  <c r="M175" i="25"/>
  <c r="N175" i="25" s="1"/>
  <c r="H249" i="44"/>
  <c r="H249" i="37"/>
  <c r="S242" i="37"/>
  <c r="U242" i="37" s="1"/>
  <c r="W242" i="37"/>
  <c r="J242" i="37"/>
  <c r="L242" i="37" s="1"/>
  <c r="N242" i="37" s="1"/>
  <c r="G170" i="32"/>
  <c r="S159" i="25"/>
  <c r="Q159" i="25"/>
  <c r="R159" i="25" s="1"/>
  <c r="T159" i="25" s="1"/>
  <c r="M159" i="25"/>
  <c r="N159" i="25" s="1"/>
  <c r="H233" i="44"/>
  <c r="H233" i="37"/>
  <c r="S226" i="37"/>
  <c r="U226" i="37" s="1"/>
  <c r="Y226" i="37" s="1"/>
  <c r="AA226" i="37" s="1"/>
  <c r="AE226" i="37" s="1"/>
  <c r="AB226" i="37" s="1"/>
  <c r="W226" i="37"/>
  <c r="J226" i="37"/>
  <c r="L226" i="37" s="1"/>
  <c r="N226" i="37" s="1"/>
  <c r="G154" i="32"/>
  <c r="S143" i="25"/>
  <c r="Q143" i="25"/>
  <c r="R143" i="25" s="1"/>
  <c r="M143" i="25"/>
  <c r="N143" i="25" s="1"/>
  <c r="H217" i="44"/>
  <c r="H217" i="37"/>
  <c r="S210" i="37"/>
  <c r="U210" i="37" s="1"/>
  <c r="W210" i="37"/>
  <c r="J210" i="37"/>
  <c r="L210" i="37" s="1"/>
  <c r="N210" i="37" s="1"/>
  <c r="G138" i="32"/>
  <c r="S127" i="25"/>
  <c r="Q127" i="25"/>
  <c r="R127" i="25" s="1"/>
  <c r="T127" i="25" s="1"/>
  <c r="M127" i="25"/>
  <c r="N127" i="25" s="1"/>
  <c r="H201" i="44"/>
  <c r="H201" i="37"/>
  <c r="S194" i="37"/>
  <c r="U194" i="37" s="1"/>
  <c r="W194" i="37"/>
  <c r="J194" i="37"/>
  <c r="L194" i="37" s="1"/>
  <c r="N194" i="37" s="1"/>
  <c r="G122" i="32"/>
  <c r="S111" i="25"/>
  <c r="Q111" i="25"/>
  <c r="R111" i="25" s="1"/>
  <c r="T111" i="25" s="1"/>
  <c r="M111" i="25"/>
  <c r="N111" i="25" s="1"/>
  <c r="H185" i="44"/>
  <c r="H185" i="37"/>
  <c r="S178" i="37"/>
  <c r="U178" i="37" s="1"/>
  <c r="W178" i="37"/>
  <c r="J178" i="37"/>
  <c r="L178" i="37" s="1"/>
  <c r="N178" i="37" s="1"/>
  <c r="G106" i="32"/>
  <c r="S95" i="25"/>
  <c r="Q95" i="25"/>
  <c r="R95" i="25" s="1"/>
  <c r="T95" i="25" s="1"/>
  <c r="M95" i="25"/>
  <c r="N95" i="25" s="1"/>
  <c r="H169" i="44"/>
  <c r="H169" i="37"/>
  <c r="S162" i="37"/>
  <c r="U162" i="37" s="1"/>
  <c r="Y162" i="37" s="1"/>
  <c r="AA162" i="37" s="1"/>
  <c r="AE162" i="37" s="1"/>
  <c r="AB162" i="37" s="1"/>
  <c r="W162" i="37"/>
  <c r="J162" i="37"/>
  <c r="L162" i="37" s="1"/>
  <c r="N162" i="37" s="1"/>
  <c r="G90" i="32"/>
  <c r="S79" i="25"/>
  <c r="Q79" i="25"/>
  <c r="R79" i="25" s="1"/>
  <c r="M79" i="25"/>
  <c r="N79" i="25" s="1"/>
  <c r="H153" i="44"/>
  <c r="H153" i="37"/>
  <c r="S146" i="37"/>
  <c r="U146" i="37" s="1"/>
  <c r="W146" i="37"/>
  <c r="J146" i="37"/>
  <c r="L146" i="37" s="1"/>
  <c r="N146" i="37" s="1"/>
  <c r="G74" i="32"/>
  <c r="S63" i="25"/>
  <c r="Q63" i="25"/>
  <c r="R63" i="25" s="1"/>
  <c r="T63" i="25" s="1"/>
  <c r="M63" i="25"/>
  <c r="N63" i="25" s="1"/>
  <c r="H137" i="44"/>
  <c r="H137" i="37"/>
  <c r="S130" i="37"/>
  <c r="U130" i="37" s="1"/>
  <c r="W130" i="37"/>
  <c r="J130" i="37"/>
  <c r="L130" i="37" s="1"/>
  <c r="N130" i="37" s="1"/>
  <c r="G58" i="32"/>
  <c r="S47" i="25"/>
  <c r="Q47" i="25"/>
  <c r="R47" i="25" s="1"/>
  <c r="M47" i="25"/>
  <c r="N47" i="25" s="1"/>
  <c r="H121" i="44"/>
  <c r="H121" i="37"/>
  <c r="S114" i="37"/>
  <c r="U114" i="37" s="1"/>
  <c r="W114" i="37"/>
  <c r="J114" i="37"/>
  <c r="L114" i="37" s="1"/>
  <c r="N114" i="37" s="1"/>
  <c r="G42" i="32"/>
  <c r="S31" i="25"/>
  <c r="Q31" i="25"/>
  <c r="R31" i="25" s="1"/>
  <c r="T31" i="25" s="1"/>
  <c r="M31" i="25"/>
  <c r="N31" i="25" s="1"/>
  <c r="H105" i="44"/>
  <c r="H105" i="37"/>
  <c r="S98" i="37"/>
  <c r="U98" i="37" s="1"/>
  <c r="Y98" i="37" s="1"/>
  <c r="W98" i="37"/>
  <c r="J98" i="37"/>
  <c r="L98" i="37" s="1"/>
  <c r="N98" i="37" s="1"/>
  <c r="G26" i="32"/>
  <c r="S15" i="25"/>
  <c r="Q15" i="25"/>
  <c r="R15" i="25" s="1"/>
  <c r="M15" i="25"/>
  <c r="N15" i="25" s="1"/>
  <c r="H89" i="44"/>
  <c r="H89" i="37"/>
  <c r="S82" i="37"/>
  <c r="U82" i="37" s="1"/>
  <c r="W82" i="37"/>
  <c r="J82" i="37"/>
  <c r="L82" i="37" s="1"/>
  <c r="N82" i="37" s="1"/>
  <c r="G10" i="32"/>
  <c r="T515" i="37"/>
  <c r="V515" i="37" s="1"/>
  <c r="K515" i="37"/>
  <c r="O515" i="37" s="1"/>
  <c r="Q515" i="37" s="1"/>
  <c r="X515" i="37"/>
  <c r="H443" i="32"/>
  <c r="S878" i="25"/>
  <c r="Q878" i="25"/>
  <c r="R878" i="25" s="1"/>
  <c r="T878" i="25" s="1"/>
  <c r="M878" i="25"/>
  <c r="N878" i="25" s="1"/>
  <c r="I512" i="44"/>
  <c r="I512" i="37"/>
  <c r="S867" i="25"/>
  <c r="Q867" i="25"/>
  <c r="R867" i="25" s="1"/>
  <c r="M867" i="25"/>
  <c r="N867" i="25" s="1"/>
  <c r="I501" i="44"/>
  <c r="I501" i="37"/>
  <c r="Q864" i="25"/>
  <c r="R864" i="25" s="1"/>
  <c r="T864" i="25" s="1"/>
  <c r="M864" i="25"/>
  <c r="N864" i="25" s="1"/>
  <c r="S864" i="25"/>
  <c r="I498" i="44"/>
  <c r="I498" i="37"/>
  <c r="T483" i="37"/>
  <c r="V483" i="37" s="1"/>
  <c r="K483" i="37"/>
  <c r="O483" i="37" s="1"/>
  <c r="Q483" i="37" s="1"/>
  <c r="X483" i="37"/>
  <c r="H411" i="32"/>
  <c r="S846" i="25"/>
  <c r="Q846" i="25"/>
  <c r="R846" i="25" s="1"/>
  <c r="M846" i="25"/>
  <c r="N846" i="25" s="1"/>
  <c r="I480" i="44"/>
  <c r="I480" i="37"/>
  <c r="S835" i="25"/>
  <c r="Q835" i="25"/>
  <c r="R835" i="25" s="1"/>
  <c r="T835" i="25" s="1"/>
  <c r="M835" i="25"/>
  <c r="N835" i="25" s="1"/>
  <c r="I469" i="44"/>
  <c r="I469" i="37"/>
  <c r="Q832" i="25"/>
  <c r="R832" i="25" s="1"/>
  <c r="T832" i="25" s="1"/>
  <c r="S832" i="25"/>
  <c r="M832" i="25"/>
  <c r="N832" i="25" s="1"/>
  <c r="I466" i="44"/>
  <c r="I466" i="37"/>
  <c r="T451" i="37"/>
  <c r="V451" i="37" s="1"/>
  <c r="Z451" i="37" s="1"/>
  <c r="K451" i="37"/>
  <c r="O451" i="37" s="1"/>
  <c r="Q451" i="37" s="1"/>
  <c r="X451" i="37"/>
  <c r="H379" i="32"/>
  <c r="S814" i="25"/>
  <c r="Q814" i="25"/>
  <c r="R814" i="25" s="1"/>
  <c r="T814" i="25" s="1"/>
  <c r="M814" i="25"/>
  <c r="N814" i="25" s="1"/>
  <c r="I448" i="44"/>
  <c r="I448" i="37"/>
  <c r="S803" i="25"/>
  <c r="Q803" i="25"/>
  <c r="R803" i="25" s="1"/>
  <c r="M803" i="25"/>
  <c r="N803" i="25" s="1"/>
  <c r="I437" i="44"/>
  <c r="I437" i="37"/>
  <c r="S791" i="25"/>
  <c r="Q791" i="25"/>
  <c r="R791" i="25" s="1"/>
  <c r="T791" i="25" s="1"/>
  <c r="I425" i="44"/>
  <c r="M791" i="25"/>
  <c r="N791" i="25" s="1"/>
  <c r="I425" i="37"/>
  <c r="S775" i="25"/>
  <c r="Q775" i="25"/>
  <c r="R775" i="25" s="1"/>
  <c r="I409" i="44"/>
  <c r="M775" i="25"/>
  <c r="N775" i="25" s="1"/>
  <c r="I409" i="37"/>
  <c r="Q758" i="25"/>
  <c r="R758" i="25" s="1"/>
  <c r="S758" i="25"/>
  <c r="M758" i="25"/>
  <c r="N758" i="25" s="1"/>
  <c r="I392" i="44"/>
  <c r="I392" i="37"/>
  <c r="Q742" i="25"/>
  <c r="R742" i="25" s="1"/>
  <c r="T742" i="25" s="1"/>
  <c r="S742" i="25"/>
  <c r="M742" i="25"/>
  <c r="N742" i="25" s="1"/>
  <c r="I376" i="44"/>
  <c r="I376" i="37"/>
  <c r="K374" i="44"/>
  <c r="M374" i="44" s="1"/>
  <c r="P374" i="44"/>
  <c r="R374" i="44" s="1"/>
  <c r="U374" i="44" s="1"/>
  <c r="AL279" i="25"/>
  <c r="AL263" i="25"/>
  <c r="AL247" i="25"/>
  <c r="AL231" i="25"/>
  <c r="AL151" i="25"/>
  <c r="AL143" i="25"/>
  <c r="AL135" i="25"/>
  <c r="AL127" i="25"/>
  <c r="AL119" i="25"/>
  <c r="AL111" i="25"/>
  <c r="AL103" i="25"/>
  <c r="AL95" i="25"/>
  <c r="AL87" i="25"/>
  <c r="AL79" i="25"/>
  <c r="AL71" i="25"/>
  <c r="AL63" i="25"/>
  <c r="AL55" i="25"/>
  <c r="AL47" i="25"/>
  <c r="AL39" i="25"/>
  <c r="AL31" i="25"/>
  <c r="AL23" i="25"/>
  <c r="AL15" i="25"/>
  <c r="AL7" i="25"/>
  <c r="S515" i="37"/>
  <c r="U515" i="37" s="1"/>
  <c r="Y515" i="37" s="1"/>
  <c r="AA515" i="37" s="1"/>
  <c r="AE515" i="37" s="1"/>
  <c r="AB515" i="37" s="1"/>
  <c r="J515" i="37"/>
  <c r="L515" i="37" s="1"/>
  <c r="N515" i="37" s="1"/>
  <c r="W515" i="37"/>
  <c r="G443" i="32"/>
  <c r="S513" i="37"/>
  <c r="U513" i="37" s="1"/>
  <c r="Y513" i="37" s="1"/>
  <c r="AA513" i="37" s="1"/>
  <c r="AE513" i="37" s="1"/>
  <c r="AB513" i="37" s="1"/>
  <c r="J513" i="37"/>
  <c r="L513" i="37" s="1"/>
  <c r="N513" i="37" s="1"/>
  <c r="W513" i="37"/>
  <c r="G441" i="32"/>
  <c r="S511" i="37"/>
  <c r="U511" i="37" s="1"/>
  <c r="Y511" i="37" s="1"/>
  <c r="AA511" i="37" s="1"/>
  <c r="AE511" i="37" s="1"/>
  <c r="AB511" i="37" s="1"/>
  <c r="J511" i="37"/>
  <c r="L511" i="37" s="1"/>
  <c r="N511" i="37" s="1"/>
  <c r="W511" i="37"/>
  <c r="G439" i="32"/>
  <c r="S509" i="37"/>
  <c r="U509" i="37" s="1"/>
  <c r="Y509" i="37" s="1"/>
  <c r="AA509" i="37" s="1"/>
  <c r="AE509" i="37" s="1"/>
  <c r="AB509" i="37" s="1"/>
  <c r="J509" i="37"/>
  <c r="L509" i="37" s="1"/>
  <c r="N509" i="37" s="1"/>
  <c r="W509" i="37"/>
  <c r="G437" i="32"/>
  <c r="S507" i="37"/>
  <c r="U507" i="37" s="1"/>
  <c r="Y507" i="37" s="1"/>
  <c r="AA507" i="37" s="1"/>
  <c r="AE507" i="37" s="1"/>
  <c r="AB507" i="37" s="1"/>
  <c r="J507" i="37"/>
  <c r="L507" i="37" s="1"/>
  <c r="N507" i="37" s="1"/>
  <c r="W507" i="37"/>
  <c r="G435" i="32"/>
  <c r="S503" i="37"/>
  <c r="U503" i="37" s="1"/>
  <c r="Y503" i="37" s="1"/>
  <c r="AA503" i="37" s="1"/>
  <c r="AE503" i="37" s="1"/>
  <c r="AB503" i="37" s="1"/>
  <c r="J503" i="37"/>
  <c r="L503" i="37" s="1"/>
  <c r="N503" i="37" s="1"/>
  <c r="W503" i="37"/>
  <c r="G431" i="32"/>
  <c r="Q640" i="25"/>
  <c r="R640" i="25" s="1"/>
  <c r="T640" i="25" s="1"/>
  <c r="M640" i="25"/>
  <c r="N640" i="25" s="1"/>
  <c r="S640" i="25"/>
  <c r="H494" i="44"/>
  <c r="H494" i="37"/>
  <c r="S487" i="37"/>
  <c r="U487" i="37" s="1"/>
  <c r="Y487" i="37" s="1"/>
  <c r="J487" i="37"/>
  <c r="L487" i="37" s="1"/>
  <c r="N487" i="37" s="1"/>
  <c r="W487" i="37"/>
  <c r="G415" i="32"/>
  <c r="Q624" i="25"/>
  <c r="R624" i="25" s="1"/>
  <c r="S624" i="25"/>
  <c r="M624" i="25"/>
  <c r="N624" i="25" s="1"/>
  <c r="H478" i="44"/>
  <c r="H478" i="37"/>
  <c r="S471" i="37"/>
  <c r="U471" i="37" s="1"/>
  <c r="J471" i="37"/>
  <c r="L471" i="37" s="1"/>
  <c r="N471" i="37" s="1"/>
  <c r="W471" i="37"/>
  <c r="G399" i="32"/>
  <c r="Q608" i="25"/>
  <c r="R608" i="25" s="1"/>
  <c r="M608" i="25"/>
  <c r="N608" i="25" s="1"/>
  <c r="S608" i="25"/>
  <c r="H462" i="44"/>
  <c r="H462" i="37"/>
  <c r="S455" i="37"/>
  <c r="U455" i="37" s="1"/>
  <c r="J455" i="37"/>
  <c r="L455" i="37" s="1"/>
  <c r="N455" i="37" s="1"/>
  <c r="W455" i="37"/>
  <c r="G383" i="32"/>
  <c r="Q592" i="25"/>
  <c r="R592" i="25" s="1"/>
  <c r="S592" i="25"/>
  <c r="M592" i="25"/>
  <c r="N592" i="25" s="1"/>
  <c r="H446" i="44"/>
  <c r="H446" i="37"/>
  <c r="S439" i="37"/>
  <c r="U439" i="37" s="1"/>
  <c r="Y439" i="37" s="1"/>
  <c r="AA439" i="37" s="1"/>
  <c r="AE439" i="37" s="1"/>
  <c r="AB439" i="37" s="1"/>
  <c r="J439" i="37"/>
  <c r="L439" i="37" s="1"/>
  <c r="N439" i="37" s="1"/>
  <c r="W439" i="37"/>
  <c r="G367" i="32"/>
  <c r="Q576" i="25"/>
  <c r="R576" i="25" s="1"/>
  <c r="T576" i="25" s="1"/>
  <c r="S576" i="25"/>
  <c r="M576" i="25"/>
  <c r="N576" i="25" s="1"/>
  <c r="H430" i="44"/>
  <c r="H430" i="37"/>
  <c r="S423" i="37"/>
  <c r="U423" i="37" s="1"/>
  <c r="Y423" i="37" s="1"/>
  <c r="AA423" i="37" s="1"/>
  <c r="AE423" i="37" s="1"/>
  <c r="AB423" i="37" s="1"/>
  <c r="J423" i="37"/>
  <c r="L423" i="37" s="1"/>
  <c r="N423" i="37" s="1"/>
  <c r="W423" i="37"/>
  <c r="G351" i="32"/>
  <c r="Q560" i="25"/>
  <c r="R560" i="25" s="1"/>
  <c r="T560" i="25" s="1"/>
  <c r="S560" i="25"/>
  <c r="M560" i="25"/>
  <c r="N560" i="25" s="1"/>
  <c r="H414" i="44"/>
  <c r="H414" i="37"/>
  <c r="S407" i="37"/>
  <c r="U407" i="37" s="1"/>
  <c r="J407" i="37"/>
  <c r="L407" i="37" s="1"/>
  <c r="N407" i="37" s="1"/>
  <c r="W407" i="37"/>
  <c r="G335" i="32"/>
  <c r="Q544" i="25"/>
  <c r="R544" i="25" s="1"/>
  <c r="M544" i="25"/>
  <c r="N544" i="25" s="1"/>
  <c r="S544" i="25"/>
  <c r="H398" i="44"/>
  <c r="H398" i="37"/>
  <c r="S391" i="37"/>
  <c r="U391" i="37" s="1"/>
  <c r="J391" i="37"/>
  <c r="L391" i="37" s="1"/>
  <c r="N391" i="37" s="1"/>
  <c r="W391" i="37"/>
  <c r="G319" i="32"/>
  <c r="Q528" i="25"/>
  <c r="R528" i="25" s="1"/>
  <c r="S528" i="25"/>
  <c r="M528" i="25"/>
  <c r="N528" i="25" s="1"/>
  <c r="H382" i="44"/>
  <c r="H382" i="37"/>
  <c r="S375" i="37"/>
  <c r="U375" i="37" s="1"/>
  <c r="Y375" i="37" s="1"/>
  <c r="AA375" i="37" s="1"/>
  <c r="AE375" i="37" s="1"/>
  <c r="AB375" i="37" s="1"/>
  <c r="J375" i="37"/>
  <c r="L375" i="37" s="1"/>
  <c r="N375" i="37" s="1"/>
  <c r="W375" i="37"/>
  <c r="G303" i="32"/>
  <c r="Q512" i="25"/>
  <c r="R512" i="25" s="1"/>
  <c r="T512" i="25" s="1"/>
  <c r="M512" i="25"/>
  <c r="N512" i="25" s="1"/>
  <c r="S512" i="25"/>
  <c r="H366" i="44"/>
  <c r="H366" i="37"/>
  <c r="S359" i="37"/>
  <c r="U359" i="37" s="1"/>
  <c r="Y359" i="37" s="1"/>
  <c r="AA359" i="37" s="1"/>
  <c r="AE359" i="37" s="1"/>
  <c r="AB359" i="37" s="1"/>
  <c r="J359" i="37"/>
  <c r="L359" i="37" s="1"/>
  <c r="N359" i="37" s="1"/>
  <c r="W359" i="37"/>
  <c r="G287" i="32"/>
  <c r="Q496" i="25"/>
  <c r="R496" i="25" s="1"/>
  <c r="T496" i="25" s="1"/>
  <c r="S496" i="25"/>
  <c r="M496" i="25"/>
  <c r="N496" i="25" s="1"/>
  <c r="H350" i="44"/>
  <c r="H350" i="37"/>
  <c r="S343" i="37"/>
  <c r="U343" i="37" s="1"/>
  <c r="Y343" i="37" s="1"/>
  <c r="W343" i="37"/>
  <c r="J343" i="37"/>
  <c r="L343" i="37" s="1"/>
  <c r="N343" i="37" s="1"/>
  <c r="G271" i="32"/>
  <c r="Q480" i="25"/>
  <c r="R480" i="25" s="1"/>
  <c r="M480" i="25"/>
  <c r="N480" i="25" s="1"/>
  <c r="S480" i="25"/>
  <c r="H334" i="44"/>
  <c r="H334" i="37"/>
  <c r="S327" i="37"/>
  <c r="U327" i="37" s="1"/>
  <c r="W327" i="37"/>
  <c r="J327" i="37"/>
  <c r="L327" i="37" s="1"/>
  <c r="N327" i="37" s="1"/>
  <c r="G255" i="32"/>
  <c r="Q464" i="25"/>
  <c r="R464" i="25" s="1"/>
  <c r="S464" i="25"/>
  <c r="M464" i="25"/>
  <c r="N464" i="25" s="1"/>
  <c r="H318" i="44"/>
  <c r="H318" i="37"/>
  <c r="S311" i="37"/>
  <c r="U311" i="37" s="1"/>
  <c r="Y311" i="37" s="1"/>
  <c r="AA311" i="37" s="1"/>
  <c r="AE311" i="37" s="1"/>
  <c r="AB311" i="37" s="1"/>
  <c r="W311" i="37"/>
  <c r="J311" i="37"/>
  <c r="L311" i="37" s="1"/>
  <c r="N311" i="37" s="1"/>
  <c r="G239" i="32"/>
  <c r="S447" i="25"/>
  <c r="Q447" i="25"/>
  <c r="R447" i="25" s="1"/>
  <c r="M447" i="25"/>
  <c r="N447" i="25" s="1"/>
  <c r="H301" i="44"/>
  <c r="H301" i="37"/>
  <c r="S294" i="37"/>
  <c r="U294" i="37" s="1"/>
  <c r="Y294" i="37" s="1"/>
  <c r="AA294" i="37" s="1"/>
  <c r="AE294" i="37" s="1"/>
  <c r="AB294" i="37" s="1"/>
  <c r="W294" i="37"/>
  <c r="J294" i="37"/>
  <c r="L294" i="37" s="1"/>
  <c r="N294" i="37" s="1"/>
  <c r="G222" i="32"/>
  <c r="S211" i="25"/>
  <c r="Q211" i="25"/>
  <c r="R211" i="25" s="1"/>
  <c r="M211" i="25"/>
  <c r="N211" i="25" s="1"/>
  <c r="H285" i="44"/>
  <c r="H285" i="37"/>
  <c r="S278" i="37"/>
  <c r="U278" i="37" s="1"/>
  <c r="Y278" i="37" s="1"/>
  <c r="W278" i="37"/>
  <c r="J278" i="37"/>
  <c r="L278" i="37" s="1"/>
  <c r="N278" i="37" s="1"/>
  <c r="G206" i="32"/>
  <c r="Q195" i="25"/>
  <c r="R195" i="25" s="1"/>
  <c r="T195" i="25" s="1"/>
  <c r="S195" i="25"/>
  <c r="M195" i="25"/>
  <c r="N195" i="25" s="1"/>
  <c r="H269" i="44"/>
  <c r="H269" i="37"/>
  <c r="S262" i="37"/>
  <c r="U262" i="37" s="1"/>
  <c r="W262" i="37"/>
  <c r="J262" i="37"/>
  <c r="L262" i="37" s="1"/>
  <c r="N262" i="37" s="1"/>
  <c r="G190" i="32"/>
  <c r="S179" i="25"/>
  <c r="Q179" i="25"/>
  <c r="R179" i="25" s="1"/>
  <c r="T179" i="25" s="1"/>
  <c r="M179" i="25"/>
  <c r="N179" i="25" s="1"/>
  <c r="H253" i="44"/>
  <c r="H253" i="37"/>
  <c r="S246" i="37"/>
  <c r="U246" i="37" s="1"/>
  <c r="Y246" i="37" s="1"/>
  <c r="AA246" i="37" s="1"/>
  <c r="AE246" i="37" s="1"/>
  <c r="AB246" i="37" s="1"/>
  <c r="W246" i="37"/>
  <c r="J246" i="37"/>
  <c r="L246" i="37" s="1"/>
  <c r="N246" i="37" s="1"/>
  <c r="G174" i="32"/>
  <c r="Q163" i="25"/>
  <c r="R163" i="25" s="1"/>
  <c r="T163" i="25" s="1"/>
  <c r="S163" i="25"/>
  <c r="M163" i="25"/>
  <c r="N163" i="25" s="1"/>
  <c r="H237" i="44"/>
  <c r="H237" i="37"/>
  <c r="S230" i="37"/>
  <c r="U230" i="37" s="1"/>
  <c r="Y230" i="37" s="1"/>
  <c r="AA230" i="37" s="1"/>
  <c r="AE230" i="37" s="1"/>
  <c r="AB230" i="37" s="1"/>
  <c r="W230" i="37"/>
  <c r="J230" i="37"/>
  <c r="L230" i="37" s="1"/>
  <c r="N230" i="37" s="1"/>
  <c r="G158" i="32"/>
  <c r="S147" i="25"/>
  <c r="Q147" i="25"/>
  <c r="R147" i="25" s="1"/>
  <c r="M147" i="25"/>
  <c r="N147" i="25" s="1"/>
  <c r="H221" i="44"/>
  <c r="H221" i="37"/>
  <c r="S214" i="37"/>
  <c r="U214" i="37" s="1"/>
  <c r="Y214" i="37" s="1"/>
  <c r="W214" i="37"/>
  <c r="J214" i="37"/>
  <c r="L214" i="37" s="1"/>
  <c r="N214" i="37" s="1"/>
  <c r="G142" i="32"/>
  <c r="Q131" i="25"/>
  <c r="R131" i="25" s="1"/>
  <c r="T131" i="25" s="1"/>
  <c r="S131" i="25"/>
  <c r="M131" i="25"/>
  <c r="N131" i="25" s="1"/>
  <c r="H205" i="44"/>
  <c r="H205" i="37"/>
  <c r="S198" i="37"/>
  <c r="U198" i="37" s="1"/>
  <c r="W198" i="37"/>
  <c r="J198" i="37"/>
  <c r="L198" i="37" s="1"/>
  <c r="N198" i="37" s="1"/>
  <c r="G126" i="32"/>
  <c r="S115" i="25"/>
  <c r="Q115" i="25"/>
  <c r="R115" i="25" s="1"/>
  <c r="T115" i="25" s="1"/>
  <c r="M115" i="25"/>
  <c r="N115" i="25" s="1"/>
  <c r="H189" i="44"/>
  <c r="H189" i="37"/>
  <c r="S182" i="37"/>
  <c r="U182" i="37" s="1"/>
  <c r="Y182" i="37" s="1"/>
  <c r="AA182" i="37" s="1"/>
  <c r="AE182" i="37" s="1"/>
  <c r="AB182" i="37" s="1"/>
  <c r="W182" i="37"/>
  <c r="J182" i="37"/>
  <c r="L182" i="37" s="1"/>
  <c r="N182" i="37" s="1"/>
  <c r="G110" i="32"/>
  <c r="Q99" i="25"/>
  <c r="R99" i="25" s="1"/>
  <c r="T99" i="25" s="1"/>
  <c r="S99" i="25"/>
  <c r="M99" i="25"/>
  <c r="N99" i="25" s="1"/>
  <c r="H173" i="44"/>
  <c r="H173" i="37"/>
  <c r="S166" i="37"/>
  <c r="U166" i="37" s="1"/>
  <c r="Y166" i="37" s="1"/>
  <c r="AA166" i="37" s="1"/>
  <c r="AE166" i="37" s="1"/>
  <c r="AB166" i="37" s="1"/>
  <c r="W166" i="37"/>
  <c r="J166" i="37"/>
  <c r="L166" i="37" s="1"/>
  <c r="N166" i="37" s="1"/>
  <c r="G94" i="32"/>
  <c r="S83" i="25"/>
  <c r="Q83" i="25"/>
  <c r="R83" i="25" s="1"/>
  <c r="M83" i="25"/>
  <c r="N83" i="25" s="1"/>
  <c r="H157" i="44"/>
  <c r="H157" i="37"/>
  <c r="S150" i="37"/>
  <c r="U150" i="37" s="1"/>
  <c r="Y150" i="37" s="1"/>
  <c r="W150" i="37"/>
  <c r="J150" i="37"/>
  <c r="L150" i="37" s="1"/>
  <c r="N150" i="37" s="1"/>
  <c r="G78" i="32"/>
  <c r="Q67" i="25"/>
  <c r="R67" i="25" s="1"/>
  <c r="T67" i="25" s="1"/>
  <c r="S67" i="25"/>
  <c r="M67" i="25"/>
  <c r="N67" i="25" s="1"/>
  <c r="H141" i="44"/>
  <c r="H141" i="37"/>
  <c r="S134" i="37"/>
  <c r="U134" i="37" s="1"/>
  <c r="W134" i="37"/>
  <c r="J134" i="37"/>
  <c r="L134" i="37" s="1"/>
  <c r="N134" i="37" s="1"/>
  <c r="G62" i="32"/>
  <c r="S51" i="25"/>
  <c r="Q51" i="25"/>
  <c r="R51" i="25" s="1"/>
  <c r="T51" i="25" s="1"/>
  <c r="M51" i="25"/>
  <c r="N51" i="25" s="1"/>
  <c r="H125" i="44"/>
  <c r="H125" i="37"/>
  <c r="S118" i="37"/>
  <c r="U118" i="37" s="1"/>
  <c r="Y118" i="37" s="1"/>
  <c r="AA118" i="37" s="1"/>
  <c r="AE118" i="37" s="1"/>
  <c r="AB118" i="37" s="1"/>
  <c r="W118" i="37"/>
  <c r="J118" i="37"/>
  <c r="L118" i="37" s="1"/>
  <c r="N118" i="37" s="1"/>
  <c r="G46" i="32"/>
  <c r="Q35" i="25"/>
  <c r="R35" i="25" s="1"/>
  <c r="T35" i="25" s="1"/>
  <c r="S35" i="25"/>
  <c r="M35" i="25"/>
  <c r="N35" i="25" s="1"/>
  <c r="H109" i="44"/>
  <c r="H109" i="37"/>
  <c r="S102" i="37"/>
  <c r="U102" i="37" s="1"/>
  <c r="Y102" i="37" s="1"/>
  <c r="AA102" i="37" s="1"/>
  <c r="AE102" i="37" s="1"/>
  <c r="AB102" i="37" s="1"/>
  <c r="W102" i="37"/>
  <c r="J102" i="37"/>
  <c r="L102" i="37" s="1"/>
  <c r="N102" i="37" s="1"/>
  <c r="G30" i="32"/>
  <c r="S19" i="25"/>
  <c r="Q19" i="25"/>
  <c r="R19" i="25" s="1"/>
  <c r="M19" i="25"/>
  <c r="N19" i="25" s="1"/>
  <c r="H93" i="44"/>
  <c r="H93" i="37"/>
  <c r="S86" i="37"/>
  <c r="U86" i="37" s="1"/>
  <c r="Y86" i="37" s="1"/>
  <c r="W86" i="37"/>
  <c r="J86" i="37"/>
  <c r="L86" i="37" s="1"/>
  <c r="N86" i="37" s="1"/>
  <c r="G14" i="32"/>
  <c r="S2" i="25"/>
  <c r="Q2" i="25"/>
  <c r="R2" i="25" s="1"/>
  <c r="M2" i="25"/>
  <c r="N2" i="25" s="1"/>
  <c r="H76" i="44"/>
  <c r="H76" i="37"/>
  <c r="S875" i="25"/>
  <c r="Q875" i="25"/>
  <c r="R875" i="25" s="1"/>
  <c r="T875" i="25" s="1"/>
  <c r="I509" i="44"/>
  <c r="M875" i="25"/>
  <c r="N875" i="25" s="1"/>
  <c r="I509" i="37"/>
  <c r="S872" i="25"/>
  <c r="Q872" i="25"/>
  <c r="R872" i="25" s="1"/>
  <c r="M872" i="25"/>
  <c r="N872" i="25" s="1"/>
  <c r="I506" i="44"/>
  <c r="I506" i="37"/>
  <c r="T491" i="37"/>
  <c r="V491" i="37" s="1"/>
  <c r="Z491" i="37" s="1"/>
  <c r="K491" i="37"/>
  <c r="O491" i="37" s="1"/>
  <c r="Q491" i="37" s="1"/>
  <c r="X491" i="37"/>
  <c r="H419" i="32"/>
  <c r="S854" i="25"/>
  <c r="Q854" i="25"/>
  <c r="R854" i="25" s="1"/>
  <c r="T854" i="25" s="1"/>
  <c r="M854" i="25"/>
  <c r="N854" i="25" s="1"/>
  <c r="I488" i="44"/>
  <c r="I488" i="37"/>
  <c r="S843" i="25"/>
  <c r="Q843" i="25"/>
  <c r="R843" i="25" s="1"/>
  <c r="I477" i="44"/>
  <c r="M843" i="25"/>
  <c r="N843" i="25" s="1"/>
  <c r="I477" i="37"/>
  <c r="S840" i="25"/>
  <c r="Q840" i="25"/>
  <c r="R840" i="25" s="1"/>
  <c r="T840" i="25" s="1"/>
  <c r="M840" i="25"/>
  <c r="N840" i="25" s="1"/>
  <c r="I474" i="44"/>
  <c r="I474" i="37"/>
  <c r="T459" i="37"/>
  <c r="V459" i="37" s="1"/>
  <c r="Z459" i="37" s="1"/>
  <c r="AC459" i="37" s="1"/>
  <c r="K459" i="37"/>
  <c r="O459" i="37" s="1"/>
  <c r="Q459" i="37" s="1"/>
  <c r="X459" i="37"/>
  <c r="H387" i="32"/>
  <c r="S822" i="25"/>
  <c r="Q822" i="25"/>
  <c r="R822" i="25" s="1"/>
  <c r="M822" i="25"/>
  <c r="N822" i="25" s="1"/>
  <c r="I456" i="44"/>
  <c r="I456" i="37"/>
  <c r="S811" i="25"/>
  <c r="Q811" i="25"/>
  <c r="R811" i="25" s="1"/>
  <c r="I445" i="44"/>
  <c r="M811" i="25"/>
  <c r="N811" i="25" s="1"/>
  <c r="I445" i="37"/>
  <c r="S808" i="25"/>
  <c r="Q808" i="25"/>
  <c r="R808" i="25" s="1"/>
  <c r="M808" i="25"/>
  <c r="N808" i="25" s="1"/>
  <c r="I442" i="44"/>
  <c r="I442" i="37"/>
  <c r="T430" i="37"/>
  <c r="V430" i="37" s="1"/>
  <c r="K430" i="37"/>
  <c r="O430" i="37" s="1"/>
  <c r="Q430" i="37" s="1"/>
  <c r="X430" i="37"/>
  <c r="H358" i="32"/>
  <c r="S794" i="25"/>
  <c r="Q794" i="25"/>
  <c r="R794" i="25" s="1"/>
  <c r="T794" i="25" s="1"/>
  <c r="M794" i="25"/>
  <c r="N794" i="25" s="1"/>
  <c r="I428" i="44"/>
  <c r="I428" i="37"/>
  <c r="T414" i="37"/>
  <c r="V414" i="37" s="1"/>
  <c r="Z414" i="37" s="1"/>
  <c r="AC414" i="37" s="1"/>
  <c r="K414" i="37"/>
  <c r="O414" i="37" s="1"/>
  <c r="Q414" i="37" s="1"/>
  <c r="X414" i="37"/>
  <c r="H342" i="32"/>
  <c r="S778" i="25"/>
  <c r="Q778" i="25"/>
  <c r="R778" i="25" s="1"/>
  <c r="M778" i="25"/>
  <c r="N778" i="25" s="1"/>
  <c r="I412" i="44"/>
  <c r="I412" i="37"/>
  <c r="T397" i="37"/>
  <c r="V397" i="37" s="1"/>
  <c r="Z397" i="37" s="1"/>
  <c r="AC397" i="37" s="1"/>
  <c r="K397" i="37"/>
  <c r="O397" i="37" s="1"/>
  <c r="Q397" i="37" s="1"/>
  <c r="X397" i="37"/>
  <c r="H325" i="32"/>
  <c r="S761" i="25"/>
  <c r="Q761" i="25"/>
  <c r="R761" i="25" s="1"/>
  <c r="M761" i="25"/>
  <c r="N761" i="25" s="1"/>
  <c r="I395" i="44"/>
  <c r="I395" i="37"/>
  <c r="T381" i="37"/>
  <c r="V381" i="37" s="1"/>
  <c r="K381" i="37"/>
  <c r="O381" i="37" s="1"/>
  <c r="Q381" i="37" s="1"/>
  <c r="X381" i="37"/>
  <c r="H309" i="32"/>
  <c r="S745" i="25"/>
  <c r="Q745" i="25"/>
  <c r="R745" i="25" s="1"/>
  <c r="T745" i="25" s="1"/>
  <c r="M745" i="25"/>
  <c r="N745" i="25" s="1"/>
  <c r="I379" i="44"/>
  <c r="I379" i="37"/>
  <c r="AL283" i="25"/>
  <c r="AL267" i="25"/>
  <c r="AL251" i="25"/>
  <c r="AL235" i="25"/>
  <c r="S644" i="25"/>
  <c r="Q644" i="25"/>
  <c r="R644" i="25" s="1"/>
  <c r="T644" i="25" s="1"/>
  <c r="M644" i="25"/>
  <c r="N644" i="25" s="1"/>
  <c r="H498" i="44"/>
  <c r="H498" i="37"/>
  <c r="S491" i="37"/>
  <c r="U491" i="37" s="1"/>
  <c r="Y491" i="37" s="1"/>
  <c r="AA491" i="37" s="1"/>
  <c r="AE491" i="37" s="1"/>
  <c r="AB491" i="37" s="1"/>
  <c r="J491" i="37"/>
  <c r="L491" i="37" s="1"/>
  <c r="N491" i="37" s="1"/>
  <c r="W491" i="37"/>
  <c r="G419" i="32"/>
  <c r="S628" i="25"/>
  <c r="Q628" i="25"/>
  <c r="R628" i="25" s="1"/>
  <c r="M628" i="25"/>
  <c r="N628" i="25" s="1"/>
  <c r="H482" i="44"/>
  <c r="H482" i="37"/>
  <c r="S475" i="37"/>
  <c r="U475" i="37" s="1"/>
  <c r="Y475" i="37" s="1"/>
  <c r="AA475" i="37" s="1"/>
  <c r="AE475" i="37" s="1"/>
  <c r="AB475" i="37" s="1"/>
  <c r="J475" i="37"/>
  <c r="L475" i="37" s="1"/>
  <c r="N475" i="37" s="1"/>
  <c r="W475" i="37"/>
  <c r="G403" i="32"/>
  <c r="S612" i="25"/>
  <c r="Q612" i="25"/>
  <c r="R612" i="25" s="1"/>
  <c r="M612" i="25"/>
  <c r="N612" i="25" s="1"/>
  <c r="H466" i="44"/>
  <c r="H466" i="37"/>
  <c r="S459" i="37"/>
  <c r="U459" i="37" s="1"/>
  <c r="J459" i="37"/>
  <c r="L459" i="37" s="1"/>
  <c r="N459" i="37" s="1"/>
  <c r="W459" i="37"/>
  <c r="G387" i="32"/>
  <c r="S596" i="25"/>
  <c r="Q596" i="25"/>
  <c r="R596" i="25" s="1"/>
  <c r="M596" i="25"/>
  <c r="N596" i="25" s="1"/>
  <c r="H450" i="44"/>
  <c r="H450" i="37"/>
  <c r="S443" i="37"/>
  <c r="U443" i="37" s="1"/>
  <c r="J443" i="37"/>
  <c r="L443" i="37" s="1"/>
  <c r="N443" i="37" s="1"/>
  <c r="W443" i="37"/>
  <c r="G371" i="32"/>
  <c r="S580" i="25"/>
  <c r="Q580" i="25"/>
  <c r="R580" i="25" s="1"/>
  <c r="T580" i="25" s="1"/>
  <c r="M580" i="25"/>
  <c r="N580" i="25" s="1"/>
  <c r="H434" i="44"/>
  <c r="H434" i="37"/>
  <c r="S427" i="37"/>
  <c r="U427" i="37" s="1"/>
  <c r="Y427" i="37" s="1"/>
  <c r="AA427" i="37" s="1"/>
  <c r="AE427" i="37" s="1"/>
  <c r="AB427" i="37" s="1"/>
  <c r="J427" i="37"/>
  <c r="L427" i="37" s="1"/>
  <c r="N427" i="37" s="1"/>
  <c r="W427" i="37"/>
  <c r="G355" i="32"/>
  <c r="S564" i="25"/>
  <c r="Q564" i="25"/>
  <c r="R564" i="25" s="1"/>
  <c r="M564" i="25"/>
  <c r="N564" i="25" s="1"/>
  <c r="H418" i="44"/>
  <c r="H418" i="37"/>
  <c r="S411" i="37"/>
  <c r="U411" i="37" s="1"/>
  <c r="Y411" i="37" s="1"/>
  <c r="AA411" i="37" s="1"/>
  <c r="AE411" i="37" s="1"/>
  <c r="AB411" i="37" s="1"/>
  <c r="J411" i="37"/>
  <c r="L411" i="37" s="1"/>
  <c r="N411" i="37" s="1"/>
  <c r="W411" i="37"/>
  <c r="G339" i="32"/>
  <c r="S548" i="25"/>
  <c r="Q548" i="25"/>
  <c r="R548" i="25" s="1"/>
  <c r="M548" i="25"/>
  <c r="N548" i="25" s="1"/>
  <c r="H402" i="44"/>
  <c r="H402" i="37"/>
  <c r="S395" i="37"/>
  <c r="U395" i="37" s="1"/>
  <c r="J395" i="37"/>
  <c r="L395" i="37" s="1"/>
  <c r="N395" i="37" s="1"/>
  <c r="W395" i="37"/>
  <c r="G323" i="32"/>
  <c r="S532" i="25"/>
  <c r="Q532" i="25"/>
  <c r="R532" i="25" s="1"/>
  <c r="M532" i="25"/>
  <c r="N532" i="25" s="1"/>
  <c r="H386" i="44"/>
  <c r="H386" i="37"/>
  <c r="S379" i="37"/>
  <c r="U379" i="37" s="1"/>
  <c r="J379" i="37"/>
  <c r="L379" i="37" s="1"/>
  <c r="N379" i="37" s="1"/>
  <c r="W379" i="37"/>
  <c r="G307" i="32"/>
  <c r="S516" i="25"/>
  <c r="Q516" i="25"/>
  <c r="R516" i="25" s="1"/>
  <c r="T516" i="25" s="1"/>
  <c r="M516" i="25"/>
  <c r="N516" i="25" s="1"/>
  <c r="H370" i="44"/>
  <c r="H370" i="37"/>
  <c r="S363" i="37"/>
  <c r="U363" i="37" s="1"/>
  <c r="Y363" i="37" s="1"/>
  <c r="AA363" i="37" s="1"/>
  <c r="AE363" i="37" s="1"/>
  <c r="AB363" i="37" s="1"/>
  <c r="J363" i="37"/>
  <c r="L363" i="37" s="1"/>
  <c r="N363" i="37" s="1"/>
  <c r="W363" i="37"/>
  <c r="G291" i="32"/>
  <c r="S500" i="25"/>
  <c r="Q500" i="25"/>
  <c r="R500" i="25" s="1"/>
  <c r="M500" i="25"/>
  <c r="N500" i="25" s="1"/>
  <c r="H354" i="44"/>
  <c r="H354" i="37"/>
  <c r="S347" i="37"/>
  <c r="U347" i="37" s="1"/>
  <c r="Y347" i="37" s="1"/>
  <c r="AA347" i="37" s="1"/>
  <c r="AE347" i="37" s="1"/>
  <c r="AB347" i="37" s="1"/>
  <c r="J347" i="37"/>
  <c r="L347" i="37" s="1"/>
  <c r="N347" i="37" s="1"/>
  <c r="W347" i="37"/>
  <c r="G275" i="32"/>
  <c r="S484" i="25"/>
  <c r="Q484" i="25"/>
  <c r="R484" i="25" s="1"/>
  <c r="M484" i="25"/>
  <c r="N484" i="25" s="1"/>
  <c r="H338" i="44"/>
  <c r="H338" i="37"/>
  <c r="S331" i="37"/>
  <c r="U331" i="37" s="1"/>
  <c r="J331" i="37"/>
  <c r="L331" i="37" s="1"/>
  <c r="N331" i="37" s="1"/>
  <c r="W331" i="37"/>
  <c r="G259" i="32"/>
  <c r="S468" i="25"/>
  <c r="Q468" i="25"/>
  <c r="R468" i="25" s="1"/>
  <c r="M468" i="25"/>
  <c r="N468" i="25" s="1"/>
  <c r="H322" i="44"/>
  <c r="H322" i="37"/>
  <c r="S315" i="37"/>
  <c r="U315" i="37" s="1"/>
  <c r="J315" i="37"/>
  <c r="L315" i="37" s="1"/>
  <c r="N315" i="37" s="1"/>
  <c r="W315" i="37"/>
  <c r="G243" i="32"/>
  <c r="S451" i="25"/>
  <c r="Q451" i="25"/>
  <c r="R451" i="25" s="1"/>
  <c r="T451" i="25" s="1"/>
  <c r="H305" i="44"/>
  <c r="M451" i="25"/>
  <c r="N451" i="25" s="1"/>
  <c r="H305" i="37"/>
  <c r="S298" i="37"/>
  <c r="U298" i="37" s="1"/>
  <c r="Y298" i="37" s="1"/>
  <c r="AA298" i="37" s="1"/>
  <c r="AE298" i="37" s="1"/>
  <c r="AB298" i="37" s="1"/>
  <c r="W298" i="37"/>
  <c r="J298" i="37"/>
  <c r="L298" i="37" s="1"/>
  <c r="N298" i="37" s="1"/>
  <c r="G226" i="32"/>
  <c r="S215" i="25"/>
  <c r="Q215" i="25"/>
  <c r="R215" i="25" s="1"/>
  <c r="M215" i="25"/>
  <c r="N215" i="25" s="1"/>
  <c r="H289" i="44"/>
  <c r="H289" i="37"/>
  <c r="S282" i="37"/>
  <c r="U282" i="37" s="1"/>
  <c r="Y282" i="37" s="1"/>
  <c r="AA282" i="37" s="1"/>
  <c r="AE282" i="37" s="1"/>
  <c r="AB282" i="37" s="1"/>
  <c r="W282" i="37"/>
  <c r="J282" i="37"/>
  <c r="L282" i="37" s="1"/>
  <c r="N282" i="37" s="1"/>
  <c r="G210" i="32"/>
  <c r="S199" i="25"/>
  <c r="Q199" i="25"/>
  <c r="R199" i="25" s="1"/>
  <c r="M199" i="25"/>
  <c r="N199" i="25" s="1"/>
  <c r="H273" i="44"/>
  <c r="H273" i="37"/>
  <c r="S266" i="37"/>
  <c r="U266" i="37" s="1"/>
  <c r="Y266" i="37" s="1"/>
  <c r="W266" i="37"/>
  <c r="J266" i="37"/>
  <c r="L266" i="37" s="1"/>
  <c r="N266" i="37" s="1"/>
  <c r="G194" i="32"/>
  <c r="S183" i="25"/>
  <c r="Q183" i="25"/>
  <c r="R183" i="25" s="1"/>
  <c r="M183" i="25"/>
  <c r="N183" i="25" s="1"/>
  <c r="H257" i="44"/>
  <c r="H257" i="37"/>
  <c r="S250" i="37"/>
  <c r="U250" i="37" s="1"/>
  <c r="W250" i="37"/>
  <c r="J250" i="37"/>
  <c r="L250" i="37" s="1"/>
  <c r="N250" i="37" s="1"/>
  <c r="G178" i="32"/>
  <c r="S167" i="25"/>
  <c r="Q167" i="25"/>
  <c r="R167" i="25" s="1"/>
  <c r="T167" i="25" s="1"/>
  <c r="M167" i="25"/>
  <c r="N167" i="25" s="1"/>
  <c r="H241" i="44"/>
  <c r="H241" i="37"/>
  <c r="S234" i="37"/>
  <c r="U234" i="37" s="1"/>
  <c r="Y234" i="37" s="1"/>
  <c r="AA234" i="37" s="1"/>
  <c r="AE234" i="37" s="1"/>
  <c r="AB234" i="37" s="1"/>
  <c r="W234" i="37"/>
  <c r="J234" i="37"/>
  <c r="L234" i="37" s="1"/>
  <c r="N234" i="37" s="1"/>
  <c r="G162" i="32"/>
  <c r="S151" i="25"/>
  <c r="Q151" i="25"/>
  <c r="R151" i="25" s="1"/>
  <c r="M151" i="25"/>
  <c r="N151" i="25" s="1"/>
  <c r="H225" i="44"/>
  <c r="H225" i="37"/>
  <c r="S218" i="37"/>
  <c r="U218" i="37" s="1"/>
  <c r="Y218" i="37" s="1"/>
  <c r="AA218" i="37" s="1"/>
  <c r="AE218" i="37" s="1"/>
  <c r="AB218" i="37" s="1"/>
  <c r="W218" i="37"/>
  <c r="J218" i="37"/>
  <c r="L218" i="37" s="1"/>
  <c r="N218" i="37" s="1"/>
  <c r="G146" i="32"/>
  <c r="S135" i="25"/>
  <c r="Q135" i="25"/>
  <c r="R135" i="25" s="1"/>
  <c r="M135" i="25"/>
  <c r="N135" i="25" s="1"/>
  <c r="H209" i="44"/>
  <c r="H209" i="37"/>
  <c r="S202" i="37"/>
  <c r="U202" i="37" s="1"/>
  <c r="Y202" i="37" s="1"/>
  <c r="W202" i="37"/>
  <c r="J202" i="37"/>
  <c r="L202" i="37" s="1"/>
  <c r="N202" i="37" s="1"/>
  <c r="G130" i="32"/>
  <c r="S119" i="25"/>
  <c r="Q119" i="25"/>
  <c r="R119" i="25" s="1"/>
  <c r="M119" i="25"/>
  <c r="N119" i="25" s="1"/>
  <c r="H193" i="44"/>
  <c r="H193" i="37"/>
  <c r="S186" i="37"/>
  <c r="U186" i="37" s="1"/>
  <c r="W186" i="37"/>
  <c r="J186" i="37"/>
  <c r="L186" i="37" s="1"/>
  <c r="N186" i="37" s="1"/>
  <c r="G114" i="32"/>
  <c r="S103" i="25"/>
  <c r="Q103" i="25"/>
  <c r="R103" i="25" s="1"/>
  <c r="T103" i="25" s="1"/>
  <c r="M103" i="25"/>
  <c r="N103" i="25" s="1"/>
  <c r="H177" i="44"/>
  <c r="H177" i="37"/>
  <c r="S170" i="37"/>
  <c r="U170" i="37" s="1"/>
  <c r="Y170" i="37" s="1"/>
  <c r="AA170" i="37" s="1"/>
  <c r="AE170" i="37" s="1"/>
  <c r="AB170" i="37" s="1"/>
  <c r="W170" i="37"/>
  <c r="J170" i="37"/>
  <c r="L170" i="37" s="1"/>
  <c r="N170" i="37" s="1"/>
  <c r="G98" i="32"/>
  <c r="S87" i="25"/>
  <c r="Q87" i="25"/>
  <c r="R87" i="25" s="1"/>
  <c r="M87" i="25"/>
  <c r="N87" i="25" s="1"/>
  <c r="H161" i="44"/>
  <c r="H161" i="37"/>
  <c r="S154" i="37"/>
  <c r="U154" i="37" s="1"/>
  <c r="Y154" i="37" s="1"/>
  <c r="AA154" i="37" s="1"/>
  <c r="AE154" i="37" s="1"/>
  <c r="AB154" i="37" s="1"/>
  <c r="W154" i="37"/>
  <c r="J154" i="37"/>
  <c r="L154" i="37" s="1"/>
  <c r="N154" i="37" s="1"/>
  <c r="G82" i="32"/>
  <c r="S71" i="25"/>
  <c r="Q71" i="25"/>
  <c r="R71" i="25" s="1"/>
  <c r="M71" i="25"/>
  <c r="N71" i="25" s="1"/>
  <c r="H145" i="44"/>
  <c r="H145" i="37"/>
  <c r="S138" i="37"/>
  <c r="U138" i="37" s="1"/>
  <c r="Y138" i="37" s="1"/>
  <c r="W138" i="37"/>
  <c r="J138" i="37"/>
  <c r="L138" i="37" s="1"/>
  <c r="N138" i="37" s="1"/>
  <c r="G66" i="32"/>
  <c r="S55" i="25"/>
  <c r="Q55" i="25"/>
  <c r="R55" i="25" s="1"/>
  <c r="M55" i="25"/>
  <c r="N55" i="25" s="1"/>
  <c r="H129" i="44"/>
  <c r="H129" i="37"/>
  <c r="S122" i="37"/>
  <c r="U122" i="37" s="1"/>
  <c r="W122" i="37"/>
  <c r="J122" i="37"/>
  <c r="L122" i="37" s="1"/>
  <c r="N122" i="37" s="1"/>
  <c r="G50" i="32"/>
  <c r="S39" i="25"/>
  <c r="Q39" i="25"/>
  <c r="R39" i="25" s="1"/>
  <c r="T39" i="25" s="1"/>
  <c r="M39" i="25"/>
  <c r="N39" i="25" s="1"/>
  <c r="H113" i="44"/>
  <c r="H113" i="37"/>
  <c r="S106" i="37"/>
  <c r="U106" i="37" s="1"/>
  <c r="Y106" i="37" s="1"/>
  <c r="AA106" i="37" s="1"/>
  <c r="AE106" i="37" s="1"/>
  <c r="AB106" i="37" s="1"/>
  <c r="W106" i="37"/>
  <c r="J106" i="37"/>
  <c r="L106" i="37" s="1"/>
  <c r="N106" i="37" s="1"/>
  <c r="G34" i="32"/>
  <c r="S23" i="25"/>
  <c r="Q23" i="25"/>
  <c r="R23" i="25" s="1"/>
  <c r="M23" i="25"/>
  <c r="N23" i="25" s="1"/>
  <c r="H97" i="44"/>
  <c r="H97" i="37"/>
  <c r="S90" i="37"/>
  <c r="U90" i="37" s="1"/>
  <c r="Y90" i="37" s="1"/>
  <c r="AA90" i="37" s="1"/>
  <c r="AE90" i="37" s="1"/>
  <c r="AB90" i="37" s="1"/>
  <c r="W90" i="37"/>
  <c r="J90" i="37"/>
  <c r="L90" i="37" s="1"/>
  <c r="N90" i="37" s="1"/>
  <c r="G18" i="32"/>
  <c r="S7" i="25"/>
  <c r="Q7" i="25"/>
  <c r="R7" i="25" s="1"/>
  <c r="M7" i="25"/>
  <c r="N7" i="25" s="1"/>
  <c r="H81" i="44"/>
  <c r="H81" i="37"/>
  <c r="S880" i="25"/>
  <c r="Q880" i="25"/>
  <c r="R880" i="25" s="1"/>
  <c r="M880" i="25"/>
  <c r="N880" i="25" s="1"/>
  <c r="I514" i="44"/>
  <c r="I514" i="37"/>
  <c r="T499" i="37"/>
  <c r="V499" i="37" s="1"/>
  <c r="K499" i="37"/>
  <c r="O499" i="37" s="1"/>
  <c r="Q499" i="37" s="1"/>
  <c r="X499" i="37"/>
  <c r="H427" i="32"/>
  <c r="S862" i="25"/>
  <c r="Q862" i="25"/>
  <c r="R862" i="25" s="1"/>
  <c r="T862" i="25" s="1"/>
  <c r="M862" i="25"/>
  <c r="N862" i="25" s="1"/>
  <c r="I496" i="44"/>
  <c r="I496" i="37"/>
  <c r="S851" i="25"/>
  <c r="Q851" i="25"/>
  <c r="R851" i="25" s="1"/>
  <c r="T851" i="25" s="1"/>
  <c r="M851" i="25"/>
  <c r="N851" i="25" s="1"/>
  <c r="I485" i="44"/>
  <c r="I485" i="37"/>
  <c r="S848" i="25"/>
  <c r="Q848" i="25"/>
  <c r="R848" i="25" s="1"/>
  <c r="M848" i="25"/>
  <c r="N848" i="25" s="1"/>
  <c r="I482" i="44"/>
  <c r="I482" i="37"/>
  <c r="T467" i="37"/>
  <c r="V467" i="37" s="1"/>
  <c r="K467" i="37"/>
  <c r="O467" i="37" s="1"/>
  <c r="Q467" i="37" s="1"/>
  <c r="X467" i="37"/>
  <c r="H395" i="32"/>
  <c r="S830" i="25"/>
  <c r="Q830" i="25"/>
  <c r="R830" i="25" s="1"/>
  <c r="M830" i="25"/>
  <c r="N830" i="25" s="1"/>
  <c r="I464" i="44"/>
  <c r="I464" i="37"/>
  <c r="S819" i="25"/>
  <c r="Q819" i="25"/>
  <c r="R819" i="25" s="1"/>
  <c r="T819" i="25" s="1"/>
  <c r="M819" i="25"/>
  <c r="N819" i="25" s="1"/>
  <c r="I453" i="44"/>
  <c r="I453" i="37"/>
  <c r="S816" i="25"/>
  <c r="Q816" i="25"/>
  <c r="R816" i="25" s="1"/>
  <c r="T816" i="25" s="1"/>
  <c r="M816" i="25"/>
  <c r="N816" i="25" s="1"/>
  <c r="I450" i="44"/>
  <c r="I450" i="37"/>
  <c r="S505" i="37"/>
  <c r="U505" i="37" s="1"/>
  <c r="J505" i="37"/>
  <c r="L505" i="37" s="1"/>
  <c r="N505" i="37" s="1"/>
  <c r="W505" i="37"/>
  <c r="S650" i="25"/>
  <c r="Q650" i="25"/>
  <c r="R650" i="25" s="1"/>
  <c r="M650" i="25"/>
  <c r="N650" i="25" s="1"/>
  <c r="H504" i="44"/>
  <c r="S501" i="37"/>
  <c r="U501" i="37" s="1"/>
  <c r="J501" i="37"/>
  <c r="L501" i="37" s="1"/>
  <c r="N501" i="37" s="1"/>
  <c r="W501" i="37"/>
  <c r="S646" i="25"/>
  <c r="Q646" i="25"/>
  <c r="R646" i="25" s="1"/>
  <c r="M646" i="25"/>
  <c r="N646" i="25" s="1"/>
  <c r="H500" i="44"/>
  <c r="S497" i="37"/>
  <c r="U497" i="37" s="1"/>
  <c r="Y497" i="37" s="1"/>
  <c r="AA497" i="37" s="1"/>
  <c r="AE497" i="37" s="1"/>
  <c r="AB497" i="37" s="1"/>
  <c r="J497" i="37"/>
  <c r="L497" i="37" s="1"/>
  <c r="N497" i="37" s="1"/>
  <c r="W497" i="37"/>
  <c r="S642" i="25"/>
  <c r="Q642" i="25"/>
  <c r="R642" i="25" s="1"/>
  <c r="T642" i="25" s="1"/>
  <c r="M642" i="25"/>
  <c r="N642" i="25" s="1"/>
  <c r="H496" i="44"/>
  <c r="S493" i="37"/>
  <c r="U493" i="37" s="1"/>
  <c r="Y493" i="37" s="1"/>
  <c r="J493" i="37"/>
  <c r="L493" i="37" s="1"/>
  <c r="N493" i="37" s="1"/>
  <c r="W493" i="37"/>
  <c r="S638" i="25"/>
  <c r="Q638" i="25"/>
  <c r="R638" i="25" s="1"/>
  <c r="T638" i="25" s="1"/>
  <c r="M638" i="25"/>
  <c r="N638" i="25" s="1"/>
  <c r="H492" i="44"/>
  <c r="S489" i="37"/>
  <c r="U489" i="37" s="1"/>
  <c r="J489" i="37"/>
  <c r="L489" i="37" s="1"/>
  <c r="N489" i="37" s="1"/>
  <c r="W489" i="37"/>
  <c r="S634" i="25"/>
  <c r="Q634" i="25"/>
  <c r="R634" i="25" s="1"/>
  <c r="M634" i="25"/>
  <c r="N634" i="25" s="1"/>
  <c r="H488" i="44"/>
  <c r="S485" i="37"/>
  <c r="U485" i="37" s="1"/>
  <c r="J485" i="37"/>
  <c r="L485" i="37" s="1"/>
  <c r="N485" i="37" s="1"/>
  <c r="W485" i="37"/>
  <c r="S630" i="25"/>
  <c r="Q630" i="25"/>
  <c r="R630" i="25" s="1"/>
  <c r="M630" i="25"/>
  <c r="N630" i="25" s="1"/>
  <c r="H484" i="44"/>
  <c r="S481" i="37"/>
  <c r="U481" i="37" s="1"/>
  <c r="Y481" i="37" s="1"/>
  <c r="AA481" i="37" s="1"/>
  <c r="AE481" i="37" s="1"/>
  <c r="AB481" i="37" s="1"/>
  <c r="J481" i="37"/>
  <c r="L481" i="37" s="1"/>
  <c r="N481" i="37" s="1"/>
  <c r="W481" i="37"/>
  <c r="S626" i="25"/>
  <c r="Q626" i="25"/>
  <c r="R626" i="25" s="1"/>
  <c r="T626" i="25" s="1"/>
  <c r="M626" i="25"/>
  <c r="N626" i="25" s="1"/>
  <c r="H480" i="44"/>
  <c r="S477" i="37"/>
  <c r="U477" i="37" s="1"/>
  <c r="Y477" i="37" s="1"/>
  <c r="J477" i="37"/>
  <c r="L477" i="37" s="1"/>
  <c r="N477" i="37" s="1"/>
  <c r="W477" i="37"/>
  <c r="S622" i="25"/>
  <c r="Q622" i="25"/>
  <c r="R622" i="25" s="1"/>
  <c r="T622" i="25" s="1"/>
  <c r="M622" i="25"/>
  <c r="N622" i="25" s="1"/>
  <c r="H476" i="44"/>
  <c r="S473" i="37"/>
  <c r="U473" i="37" s="1"/>
  <c r="J473" i="37"/>
  <c r="L473" i="37" s="1"/>
  <c r="N473" i="37" s="1"/>
  <c r="W473" i="37"/>
  <c r="S618" i="25"/>
  <c r="Q618" i="25"/>
  <c r="R618" i="25" s="1"/>
  <c r="M618" i="25"/>
  <c r="N618" i="25" s="1"/>
  <c r="H472" i="44"/>
  <c r="S469" i="37"/>
  <c r="U469" i="37" s="1"/>
  <c r="J469" i="37"/>
  <c r="L469" i="37" s="1"/>
  <c r="N469" i="37" s="1"/>
  <c r="W469" i="37"/>
  <c r="S614" i="25"/>
  <c r="Q614" i="25"/>
  <c r="R614" i="25" s="1"/>
  <c r="M614" i="25"/>
  <c r="N614" i="25" s="1"/>
  <c r="H468" i="44"/>
  <c r="S465" i="37"/>
  <c r="U465" i="37" s="1"/>
  <c r="Y465" i="37" s="1"/>
  <c r="AA465" i="37" s="1"/>
  <c r="AE465" i="37" s="1"/>
  <c r="AB465" i="37" s="1"/>
  <c r="J465" i="37"/>
  <c r="L465" i="37" s="1"/>
  <c r="N465" i="37" s="1"/>
  <c r="W465" i="37"/>
  <c r="S610" i="25"/>
  <c r="Q610" i="25"/>
  <c r="R610" i="25" s="1"/>
  <c r="T610" i="25" s="1"/>
  <c r="M610" i="25"/>
  <c r="N610" i="25" s="1"/>
  <c r="H464" i="44"/>
  <c r="S461" i="37"/>
  <c r="U461" i="37" s="1"/>
  <c r="Y461" i="37" s="1"/>
  <c r="J461" i="37"/>
  <c r="L461" i="37" s="1"/>
  <c r="N461" i="37" s="1"/>
  <c r="W461" i="37"/>
  <c r="S606" i="25"/>
  <c r="Q606" i="25"/>
  <c r="R606" i="25" s="1"/>
  <c r="T606" i="25" s="1"/>
  <c r="M606" i="25"/>
  <c r="N606" i="25" s="1"/>
  <c r="H460" i="44"/>
  <c r="S457" i="37"/>
  <c r="U457" i="37" s="1"/>
  <c r="J457" i="37"/>
  <c r="L457" i="37" s="1"/>
  <c r="N457" i="37" s="1"/>
  <c r="W457" i="37"/>
  <c r="S602" i="25"/>
  <c r="Q602" i="25"/>
  <c r="R602" i="25" s="1"/>
  <c r="M602" i="25"/>
  <c r="N602" i="25" s="1"/>
  <c r="H456" i="44"/>
  <c r="S453" i="37"/>
  <c r="U453" i="37" s="1"/>
  <c r="J453" i="37"/>
  <c r="L453" i="37" s="1"/>
  <c r="N453" i="37" s="1"/>
  <c r="W453" i="37"/>
  <c r="S598" i="25"/>
  <c r="Q598" i="25"/>
  <c r="R598" i="25" s="1"/>
  <c r="M598" i="25"/>
  <c r="N598" i="25" s="1"/>
  <c r="H452" i="44"/>
  <c r="S449" i="37"/>
  <c r="U449" i="37" s="1"/>
  <c r="Y449" i="37" s="1"/>
  <c r="AA449" i="37" s="1"/>
  <c r="AE449" i="37" s="1"/>
  <c r="AB449" i="37" s="1"/>
  <c r="J449" i="37"/>
  <c r="L449" i="37" s="1"/>
  <c r="N449" i="37" s="1"/>
  <c r="W449" i="37"/>
  <c r="S594" i="25"/>
  <c r="Q594" i="25"/>
  <c r="R594" i="25" s="1"/>
  <c r="T594" i="25" s="1"/>
  <c r="M594" i="25"/>
  <c r="N594" i="25" s="1"/>
  <c r="H448" i="44"/>
  <c r="S445" i="37"/>
  <c r="U445" i="37" s="1"/>
  <c r="Y445" i="37" s="1"/>
  <c r="J445" i="37"/>
  <c r="L445" i="37" s="1"/>
  <c r="N445" i="37" s="1"/>
  <c r="W445" i="37"/>
  <c r="S590" i="25"/>
  <c r="Q590" i="25"/>
  <c r="R590" i="25" s="1"/>
  <c r="T590" i="25" s="1"/>
  <c r="M590" i="25"/>
  <c r="N590" i="25" s="1"/>
  <c r="H444" i="44"/>
  <c r="S441" i="37"/>
  <c r="U441" i="37" s="1"/>
  <c r="J441" i="37"/>
  <c r="L441" i="37" s="1"/>
  <c r="N441" i="37" s="1"/>
  <c r="W441" i="37"/>
  <c r="S586" i="25"/>
  <c r="Q586" i="25"/>
  <c r="R586" i="25" s="1"/>
  <c r="M586" i="25"/>
  <c r="N586" i="25" s="1"/>
  <c r="H440" i="44"/>
  <c r="S437" i="37"/>
  <c r="U437" i="37" s="1"/>
  <c r="J437" i="37"/>
  <c r="L437" i="37" s="1"/>
  <c r="N437" i="37" s="1"/>
  <c r="W437" i="37"/>
  <c r="S582" i="25"/>
  <c r="Q582" i="25"/>
  <c r="R582" i="25" s="1"/>
  <c r="M582" i="25"/>
  <c r="N582" i="25" s="1"/>
  <c r="H436" i="44"/>
  <c r="S433" i="37"/>
  <c r="U433" i="37" s="1"/>
  <c r="Y433" i="37" s="1"/>
  <c r="AA433" i="37" s="1"/>
  <c r="AE433" i="37" s="1"/>
  <c r="AB433" i="37" s="1"/>
  <c r="J433" i="37"/>
  <c r="L433" i="37" s="1"/>
  <c r="N433" i="37" s="1"/>
  <c r="W433" i="37"/>
  <c r="S578" i="25"/>
  <c r="Q578" i="25"/>
  <c r="R578" i="25" s="1"/>
  <c r="T578" i="25" s="1"/>
  <c r="M578" i="25"/>
  <c r="N578" i="25" s="1"/>
  <c r="H432" i="44"/>
  <c r="S429" i="37"/>
  <c r="U429" i="37" s="1"/>
  <c r="Y429" i="37" s="1"/>
  <c r="J429" i="37"/>
  <c r="L429" i="37" s="1"/>
  <c r="N429" i="37" s="1"/>
  <c r="W429" i="37"/>
  <c r="S574" i="25"/>
  <c r="Q574" i="25"/>
  <c r="R574" i="25" s="1"/>
  <c r="T574" i="25" s="1"/>
  <c r="M574" i="25"/>
  <c r="N574" i="25" s="1"/>
  <c r="H428" i="44"/>
  <c r="S425" i="37"/>
  <c r="U425" i="37" s="1"/>
  <c r="J425" i="37"/>
  <c r="L425" i="37" s="1"/>
  <c r="N425" i="37" s="1"/>
  <c r="W425" i="37"/>
  <c r="S570" i="25"/>
  <c r="Q570" i="25"/>
  <c r="R570" i="25" s="1"/>
  <c r="M570" i="25"/>
  <c r="N570" i="25" s="1"/>
  <c r="H424" i="44"/>
  <c r="S421" i="37"/>
  <c r="U421" i="37" s="1"/>
  <c r="J421" i="37"/>
  <c r="L421" i="37" s="1"/>
  <c r="N421" i="37" s="1"/>
  <c r="W421" i="37"/>
  <c r="S566" i="25"/>
  <c r="Q566" i="25"/>
  <c r="R566" i="25" s="1"/>
  <c r="M566" i="25"/>
  <c r="N566" i="25" s="1"/>
  <c r="H420" i="44"/>
  <c r="S417" i="37"/>
  <c r="U417" i="37" s="1"/>
  <c r="Y417" i="37" s="1"/>
  <c r="AA417" i="37" s="1"/>
  <c r="AE417" i="37" s="1"/>
  <c r="AB417" i="37" s="1"/>
  <c r="J417" i="37"/>
  <c r="L417" i="37" s="1"/>
  <c r="N417" i="37" s="1"/>
  <c r="W417" i="37"/>
  <c r="S562" i="25"/>
  <c r="Q562" i="25"/>
  <c r="R562" i="25" s="1"/>
  <c r="T562" i="25" s="1"/>
  <c r="M562" i="25"/>
  <c r="N562" i="25" s="1"/>
  <c r="H416" i="44"/>
  <c r="S413" i="37"/>
  <c r="U413" i="37" s="1"/>
  <c r="Y413" i="37" s="1"/>
  <c r="J413" i="37"/>
  <c r="L413" i="37" s="1"/>
  <c r="N413" i="37" s="1"/>
  <c r="W413" i="37"/>
  <c r="S558" i="25"/>
  <c r="Q558" i="25"/>
  <c r="R558" i="25" s="1"/>
  <c r="T558" i="25" s="1"/>
  <c r="M558" i="25"/>
  <c r="N558" i="25" s="1"/>
  <c r="H412" i="44"/>
  <c r="S409" i="37"/>
  <c r="U409" i="37" s="1"/>
  <c r="J409" i="37"/>
  <c r="L409" i="37" s="1"/>
  <c r="N409" i="37" s="1"/>
  <c r="W409" i="37"/>
  <c r="S554" i="25"/>
  <c r="Q554" i="25"/>
  <c r="R554" i="25" s="1"/>
  <c r="M554" i="25"/>
  <c r="N554" i="25" s="1"/>
  <c r="H408" i="44"/>
  <c r="S405" i="37"/>
  <c r="U405" i="37" s="1"/>
  <c r="J405" i="37"/>
  <c r="L405" i="37" s="1"/>
  <c r="N405" i="37" s="1"/>
  <c r="W405" i="37"/>
  <c r="S550" i="25"/>
  <c r="Q550" i="25"/>
  <c r="R550" i="25" s="1"/>
  <c r="M550" i="25"/>
  <c r="N550" i="25" s="1"/>
  <c r="H404" i="44"/>
  <c r="S401" i="37"/>
  <c r="U401" i="37" s="1"/>
  <c r="Y401" i="37" s="1"/>
  <c r="AA401" i="37" s="1"/>
  <c r="AE401" i="37" s="1"/>
  <c r="AB401" i="37" s="1"/>
  <c r="J401" i="37"/>
  <c r="L401" i="37" s="1"/>
  <c r="N401" i="37" s="1"/>
  <c r="W401" i="37"/>
  <c r="S546" i="25"/>
  <c r="Q546" i="25"/>
  <c r="R546" i="25" s="1"/>
  <c r="T546" i="25" s="1"/>
  <c r="M546" i="25"/>
  <c r="N546" i="25" s="1"/>
  <c r="H400" i="44"/>
  <c r="S397" i="37"/>
  <c r="U397" i="37" s="1"/>
  <c r="Y397" i="37" s="1"/>
  <c r="J397" i="37"/>
  <c r="L397" i="37" s="1"/>
  <c r="N397" i="37" s="1"/>
  <c r="W397" i="37"/>
  <c r="S542" i="25"/>
  <c r="Q542" i="25"/>
  <c r="R542" i="25" s="1"/>
  <c r="T542" i="25" s="1"/>
  <c r="M542" i="25"/>
  <c r="N542" i="25" s="1"/>
  <c r="H396" i="44"/>
  <c r="S393" i="37"/>
  <c r="U393" i="37" s="1"/>
  <c r="J393" i="37"/>
  <c r="L393" i="37" s="1"/>
  <c r="N393" i="37" s="1"/>
  <c r="W393" i="37"/>
  <c r="S538" i="25"/>
  <c r="Q538" i="25"/>
  <c r="R538" i="25" s="1"/>
  <c r="M538" i="25"/>
  <c r="N538" i="25" s="1"/>
  <c r="H392" i="44"/>
  <c r="S389" i="37"/>
  <c r="U389" i="37" s="1"/>
  <c r="J389" i="37"/>
  <c r="L389" i="37" s="1"/>
  <c r="N389" i="37" s="1"/>
  <c r="W389" i="37"/>
  <c r="S534" i="25"/>
  <c r="Q534" i="25"/>
  <c r="R534" i="25" s="1"/>
  <c r="M534" i="25"/>
  <c r="N534" i="25" s="1"/>
  <c r="H388" i="44"/>
  <c r="S385" i="37"/>
  <c r="U385" i="37" s="1"/>
  <c r="Y385" i="37" s="1"/>
  <c r="AA385" i="37" s="1"/>
  <c r="AE385" i="37" s="1"/>
  <c r="AB385" i="37" s="1"/>
  <c r="J385" i="37"/>
  <c r="L385" i="37" s="1"/>
  <c r="N385" i="37" s="1"/>
  <c r="W385" i="37"/>
  <c r="S530" i="25"/>
  <c r="Q530" i="25"/>
  <c r="R530" i="25" s="1"/>
  <c r="T530" i="25" s="1"/>
  <c r="M530" i="25"/>
  <c r="N530" i="25" s="1"/>
  <c r="H384" i="44"/>
  <c r="S381" i="37"/>
  <c r="U381" i="37" s="1"/>
  <c r="Y381" i="37" s="1"/>
  <c r="J381" i="37"/>
  <c r="L381" i="37" s="1"/>
  <c r="N381" i="37" s="1"/>
  <c r="W381" i="37"/>
  <c r="S526" i="25"/>
  <c r="Q526" i="25"/>
  <c r="R526" i="25" s="1"/>
  <c r="T526" i="25" s="1"/>
  <c r="M526" i="25"/>
  <c r="N526" i="25" s="1"/>
  <c r="H380" i="44"/>
  <c r="S377" i="37"/>
  <c r="U377" i="37" s="1"/>
  <c r="J377" i="37"/>
  <c r="L377" i="37" s="1"/>
  <c r="N377" i="37" s="1"/>
  <c r="W377" i="37"/>
  <c r="S522" i="25"/>
  <c r="Q522" i="25"/>
  <c r="R522" i="25" s="1"/>
  <c r="M522" i="25"/>
  <c r="N522" i="25" s="1"/>
  <c r="H376" i="44"/>
  <c r="S373" i="37"/>
  <c r="U373" i="37" s="1"/>
  <c r="J373" i="37"/>
  <c r="L373" i="37" s="1"/>
  <c r="N373" i="37" s="1"/>
  <c r="W373" i="37"/>
  <c r="S518" i="25"/>
  <c r="Q518" i="25"/>
  <c r="R518" i="25" s="1"/>
  <c r="M518" i="25"/>
  <c r="N518" i="25" s="1"/>
  <c r="H372" i="44"/>
  <c r="S369" i="37"/>
  <c r="U369" i="37" s="1"/>
  <c r="Y369" i="37" s="1"/>
  <c r="AA369" i="37" s="1"/>
  <c r="AE369" i="37" s="1"/>
  <c r="AB369" i="37" s="1"/>
  <c r="J369" i="37"/>
  <c r="L369" i="37" s="1"/>
  <c r="N369" i="37" s="1"/>
  <c r="W369" i="37"/>
  <c r="S514" i="25"/>
  <c r="Q514" i="25"/>
  <c r="R514" i="25" s="1"/>
  <c r="T514" i="25" s="1"/>
  <c r="M514" i="25"/>
  <c r="N514" i="25" s="1"/>
  <c r="H368" i="44"/>
  <c r="S365" i="37"/>
  <c r="U365" i="37" s="1"/>
  <c r="Y365" i="37" s="1"/>
  <c r="J365" i="37"/>
  <c r="L365" i="37" s="1"/>
  <c r="N365" i="37" s="1"/>
  <c r="W365" i="37"/>
  <c r="S510" i="25"/>
  <c r="Q510" i="25"/>
  <c r="R510" i="25" s="1"/>
  <c r="T510" i="25" s="1"/>
  <c r="M510" i="25"/>
  <c r="N510" i="25" s="1"/>
  <c r="H364" i="44"/>
  <c r="S361" i="37"/>
  <c r="U361" i="37" s="1"/>
  <c r="J361" i="37"/>
  <c r="L361" i="37" s="1"/>
  <c r="N361" i="37" s="1"/>
  <c r="W361" i="37"/>
  <c r="S506" i="25"/>
  <c r="M506" i="25"/>
  <c r="N506" i="25" s="1"/>
  <c r="H360" i="44"/>
  <c r="Q506" i="25"/>
  <c r="R506" i="25" s="1"/>
  <c r="T506" i="25" s="1"/>
  <c r="S357" i="37"/>
  <c r="U357" i="37" s="1"/>
  <c r="J357" i="37"/>
  <c r="L357" i="37" s="1"/>
  <c r="N357" i="37" s="1"/>
  <c r="W357" i="37"/>
  <c r="S502" i="25"/>
  <c r="Q502" i="25"/>
  <c r="R502" i="25" s="1"/>
  <c r="M502" i="25"/>
  <c r="N502" i="25" s="1"/>
  <c r="H356" i="44"/>
  <c r="S353" i="37"/>
  <c r="U353" i="37" s="1"/>
  <c r="Y353" i="37" s="1"/>
  <c r="AA353" i="37" s="1"/>
  <c r="AE353" i="37" s="1"/>
  <c r="AB353" i="37" s="1"/>
  <c r="J353" i="37"/>
  <c r="L353" i="37" s="1"/>
  <c r="N353" i="37" s="1"/>
  <c r="W353" i="37"/>
  <c r="S498" i="25"/>
  <c r="Q498" i="25"/>
  <c r="R498" i="25" s="1"/>
  <c r="T498" i="25" s="1"/>
  <c r="M498" i="25"/>
  <c r="N498" i="25" s="1"/>
  <c r="H352" i="44"/>
  <c r="S349" i="37"/>
  <c r="U349" i="37" s="1"/>
  <c r="Y349" i="37" s="1"/>
  <c r="J349" i="37"/>
  <c r="L349" i="37" s="1"/>
  <c r="N349" i="37" s="1"/>
  <c r="W349" i="37"/>
  <c r="S494" i="25"/>
  <c r="Q494" i="25"/>
  <c r="R494" i="25" s="1"/>
  <c r="T494" i="25" s="1"/>
  <c r="M494" i="25"/>
  <c r="N494" i="25" s="1"/>
  <c r="H348" i="44"/>
  <c r="S345" i="37"/>
  <c r="U345" i="37" s="1"/>
  <c r="W345" i="37"/>
  <c r="J345" i="37"/>
  <c r="L345" i="37" s="1"/>
  <c r="N345" i="37" s="1"/>
  <c r="S490" i="25"/>
  <c r="Q490" i="25"/>
  <c r="R490" i="25" s="1"/>
  <c r="M490" i="25"/>
  <c r="N490" i="25" s="1"/>
  <c r="H344" i="44"/>
  <c r="S341" i="37"/>
  <c r="U341" i="37" s="1"/>
  <c r="J341" i="37"/>
  <c r="L341" i="37" s="1"/>
  <c r="N341" i="37" s="1"/>
  <c r="W341" i="37"/>
  <c r="S486" i="25"/>
  <c r="Q486" i="25"/>
  <c r="R486" i="25" s="1"/>
  <c r="M486" i="25"/>
  <c r="N486" i="25" s="1"/>
  <c r="H340" i="44"/>
  <c r="S337" i="37"/>
  <c r="U337" i="37" s="1"/>
  <c r="Y337" i="37" s="1"/>
  <c r="AA337" i="37" s="1"/>
  <c r="AE337" i="37" s="1"/>
  <c r="AB337" i="37" s="1"/>
  <c r="W337" i="37"/>
  <c r="J337" i="37"/>
  <c r="L337" i="37" s="1"/>
  <c r="N337" i="37" s="1"/>
  <c r="S482" i="25"/>
  <c r="Q482" i="25"/>
  <c r="R482" i="25" s="1"/>
  <c r="T482" i="25" s="1"/>
  <c r="M482" i="25"/>
  <c r="N482" i="25" s="1"/>
  <c r="H336" i="44"/>
  <c r="S333" i="37"/>
  <c r="U333" i="37" s="1"/>
  <c r="Y333" i="37" s="1"/>
  <c r="J333" i="37"/>
  <c r="L333" i="37" s="1"/>
  <c r="N333" i="37" s="1"/>
  <c r="W333" i="37"/>
  <c r="S478" i="25"/>
  <c r="Q478" i="25"/>
  <c r="R478" i="25" s="1"/>
  <c r="T478" i="25" s="1"/>
  <c r="M478" i="25"/>
  <c r="N478" i="25" s="1"/>
  <c r="H332" i="44"/>
  <c r="S329" i="37"/>
  <c r="U329" i="37" s="1"/>
  <c r="W329" i="37"/>
  <c r="J329" i="37"/>
  <c r="L329" i="37" s="1"/>
  <c r="N329" i="37" s="1"/>
  <c r="S474" i="25"/>
  <c r="M474" i="25"/>
  <c r="N474" i="25" s="1"/>
  <c r="Q474" i="25"/>
  <c r="R474" i="25" s="1"/>
  <c r="T474" i="25" s="1"/>
  <c r="H328" i="44"/>
  <c r="S325" i="37"/>
  <c r="U325" i="37" s="1"/>
  <c r="J325" i="37"/>
  <c r="L325" i="37" s="1"/>
  <c r="N325" i="37" s="1"/>
  <c r="W325" i="37"/>
  <c r="S470" i="25"/>
  <c r="Q470" i="25"/>
  <c r="R470" i="25" s="1"/>
  <c r="M470" i="25"/>
  <c r="N470" i="25" s="1"/>
  <c r="H324" i="44"/>
  <c r="S321" i="37"/>
  <c r="U321" i="37" s="1"/>
  <c r="Y321" i="37" s="1"/>
  <c r="AA321" i="37" s="1"/>
  <c r="AE321" i="37" s="1"/>
  <c r="AB321" i="37" s="1"/>
  <c r="W321" i="37"/>
  <c r="J321" i="37"/>
  <c r="L321" i="37" s="1"/>
  <c r="N321" i="37" s="1"/>
  <c r="S466" i="25"/>
  <c r="Q466" i="25"/>
  <c r="R466" i="25" s="1"/>
  <c r="T466" i="25" s="1"/>
  <c r="M466" i="25"/>
  <c r="N466" i="25" s="1"/>
  <c r="H320" i="44"/>
  <c r="S317" i="37"/>
  <c r="U317" i="37" s="1"/>
  <c r="Y317" i="37" s="1"/>
  <c r="J317" i="37"/>
  <c r="L317" i="37" s="1"/>
  <c r="N317" i="37" s="1"/>
  <c r="W317" i="37"/>
  <c r="S462" i="25"/>
  <c r="Q462" i="25"/>
  <c r="R462" i="25" s="1"/>
  <c r="T462" i="25" s="1"/>
  <c r="M462" i="25"/>
  <c r="N462" i="25" s="1"/>
  <c r="H316" i="44"/>
  <c r="W313" i="37"/>
  <c r="S313" i="37"/>
  <c r="U313" i="37" s="1"/>
  <c r="Y313" i="37" s="1"/>
  <c r="J313" i="37"/>
  <c r="L313" i="37" s="1"/>
  <c r="N313" i="37" s="1"/>
  <c r="S458" i="25"/>
  <c r="Q458" i="25"/>
  <c r="R458" i="25" s="1"/>
  <c r="M458" i="25"/>
  <c r="N458" i="25" s="1"/>
  <c r="H312" i="44"/>
  <c r="J309" i="37"/>
  <c r="L309" i="37" s="1"/>
  <c r="N309" i="37" s="1"/>
  <c r="S309" i="37"/>
  <c r="U309" i="37" s="1"/>
  <c r="W309" i="37"/>
  <c r="S454" i="25"/>
  <c r="Q454" i="25"/>
  <c r="R454" i="25" s="1"/>
  <c r="M454" i="25"/>
  <c r="N454" i="25" s="1"/>
  <c r="H308" i="44"/>
  <c r="S304" i="37"/>
  <c r="U304" i="37" s="1"/>
  <c r="Y304" i="37" s="1"/>
  <c r="AA304" i="37" s="1"/>
  <c r="AE304" i="37" s="1"/>
  <c r="AB304" i="37" s="1"/>
  <c r="W304" i="37"/>
  <c r="J304" i="37"/>
  <c r="L304" i="37" s="1"/>
  <c r="N304" i="37" s="1"/>
  <c r="S449" i="25"/>
  <c r="Q449" i="25"/>
  <c r="R449" i="25" s="1"/>
  <c r="T449" i="25" s="1"/>
  <c r="M449" i="25"/>
  <c r="N449" i="25" s="1"/>
  <c r="H303" i="44"/>
  <c r="S300" i="37"/>
  <c r="U300" i="37" s="1"/>
  <c r="W300" i="37"/>
  <c r="J300" i="37"/>
  <c r="L300" i="37" s="1"/>
  <c r="N300" i="37" s="1"/>
  <c r="S445" i="25"/>
  <c r="Q445" i="25"/>
  <c r="R445" i="25" s="1"/>
  <c r="T445" i="25" s="1"/>
  <c r="M445" i="25"/>
  <c r="N445" i="25" s="1"/>
  <c r="H299" i="44"/>
  <c r="S296" i="37"/>
  <c r="U296" i="37" s="1"/>
  <c r="W296" i="37"/>
  <c r="S221" i="25"/>
  <c r="Q221" i="25"/>
  <c r="R221" i="25" s="1"/>
  <c r="M221" i="25"/>
  <c r="N221" i="25" s="1"/>
  <c r="H295" i="44"/>
  <c r="S292" i="37"/>
  <c r="U292" i="37" s="1"/>
  <c r="Y292" i="37" s="1"/>
  <c r="W292" i="37"/>
  <c r="S217" i="25"/>
  <c r="Q217" i="25"/>
  <c r="R217" i="25" s="1"/>
  <c r="T217" i="25" s="1"/>
  <c r="M217" i="25"/>
  <c r="N217" i="25" s="1"/>
  <c r="H291" i="44"/>
  <c r="S288" i="37"/>
  <c r="U288" i="37" s="1"/>
  <c r="W288" i="37"/>
  <c r="J288" i="37"/>
  <c r="L288" i="37" s="1"/>
  <c r="N288" i="37" s="1"/>
  <c r="S213" i="25"/>
  <c r="Q213" i="25"/>
  <c r="R213" i="25" s="1"/>
  <c r="M213" i="25"/>
  <c r="N213" i="25" s="1"/>
  <c r="H287" i="44"/>
  <c r="S284" i="37"/>
  <c r="U284" i="37" s="1"/>
  <c r="Y284" i="37" s="1"/>
  <c r="W284" i="37"/>
  <c r="S209" i="25"/>
  <c r="Q209" i="25"/>
  <c r="R209" i="25" s="1"/>
  <c r="T209" i="25" s="1"/>
  <c r="M209" i="25"/>
  <c r="N209" i="25" s="1"/>
  <c r="H283" i="44"/>
  <c r="S280" i="37"/>
  <c r="U280" i="37" s="1"/>
  <c r="W280" i="37"/>
  <c r="J280" i="37"/>
  <c r="L280" i="37" s="1"/>
  <c r="N280" i="37" s="1"/>
  <c r="S205" i="25"/>
  <c r="Q205" i="25"/>
  <c r="R205" i="25" s="1"/>
  <c r="T205" i="25" s="1"/>
  <c r="M205" i="25"/>
  <c r="N205" i="25" s="1"/>
  <c r="H279" i="44"/>
  <c r="S276" i="37"/>
  <c r="U276" i="37" s="1"/>
  <c r="W276" i="37"/>
  <c r="S201" i="25"/>
  <c r="Q201" i="25"/>
  <c r="R201" i="25" s="1"/>
  <c r="M201" i="25"/>
  <c r="N201" i="25" s="1"/>
  <c r="H275" i="44"/>
  <c r="S272" i="37"/>
  <c r="U272" i="37" s="1"/>
  <c r="Y272" i="37" s="1"/>
  <c r="AA272" i="37" s="1"/>
  <c r="AE272" i="37" s="1"/>
  <c r="AB272" i="37" s="1"/>
  <c r="W272" i="37"/>
  <c r="J272" i="37"/>
  <c r="L272" i="37" s="1"/>
  <c r="N272" i="37" s="1"/>
  <c r="Q197" i="25"/>
  <c r="R197" i="25" s="1"/>
  <c r="S197" i="25"/>
  <c r="M197" i="25"/>
  <c r="N197" i="25" s="1"/>
  <c r="H271" i="44"/>
  <c r="S268" i="37"/>
  <c r="U268" i="37" s="1"/>
  <c r="W268" i="37"/>
  <c r="S193" i="25"/>
  <c r="Q193" i="25"/>
  <c r="R193" i="25" s="1"/>
  <c r="M193" i="25"/>
  <c r="N193" i="25" s="1"/>
  <c r="H267" i="44"/>
  <c r="S264" i="37"/>
  <c r="U264" i="37" s="1"/>
  <c r="Y264" i="37" s="1"/>
  <c r="W264" i="37"/>
  <c r="J264" i="37"/>
  <c r="L264" i="37" s="1"/>
  <c r="N264" i="37" s="1"/>
  <c r="S189" i="25"/>
  <c r="Q189" i="25"/>
  <c r="R189" i="25" s="1"/>
  <c r="M189" i="25"/>
  <c r="N189" i="25" s="1"/>
  <c r="H263" i="44"/>
  <c r="S260" i="37"/>
  <c r="U260" i="37" s="1"/>
  <c r="Y260" i="37" s="1"/>
  <c r="W260" i="37"/>
  <c r="S185" i="25"/>
  <c r="Q185" i="25"/>
  <c r="R185" i="25" s="1"/>
  <c r="T185" i="25" s="1"/>
  <c r="M185" i="25"/>
  <c r="N185" i="25" s="1"/>
  <c r="H259" i="44"/>
  <c r="S256" i="37"/>
  <c r="U256" i="37" s="1"/>
  <c r="W256" i="37"/>
  <c r="J256" i="37"/>
  <c r="L256" i="37" s="1"/>
  <c r="N256" i="37" s="1"/>
  <c r="S181" i="25"/>
  <c r="Q181" i="25"/>
  <c r="R181" i="25" s="1"/>
  <c r="M181" i="25"/>
  <c r="N181" i="25" s="1"/>
  <c r="H255" i="44"/>
  <c r="S252" i="37"/>
  <c r="U252" i="37" s="1"/>
  <c r="Y252" i="37" s="1"/>
  <c r="W252" i="37"/>
  <c r="S177" i="25"/>
  <c r="Q177" i="25"/>
  <c r="R177" i="25" s="1"/>
  <c r="T177" i="25" s="1"/>
  <c r="M177" i="25"/>
  <c r="N177" i="25" s="1"/>
  <c r="H251" i="44"/>
  <c r="S248" i="37"/>
  <c r="U248" i="37" s="1"/>
  <c r="W248" i="37"/>
  <c r="J248" i="37"/>
  <c r="L248" i="37" s="1"/>
  <c r="N248" i="37" s="1"/>
  <c r="S173" i="25"/>
  <c r="Q173" i="25"/>
  <c r="R173" i="25" s="1"/>
  <c r="T173" i="25" s="1"/>
  <c r="M173" i="25"/>
  <c r="N173" i="25" s="1"/>
  <c r="H247" i="44"/>
  <c r="S244" i="37"/>
  <c r="U244" i="37" s="1"/>
  <c r="W244" i="37"/>
  <c r="S169" i="25"/>
  <c r="Q169" i="25"/>
  <c r="R169" i="25" s="1"/>
  <c r="M169" i="25"/>
  <c r="N169" i="25" s="1"/>
  <c r="H243" i="44"/>
  <c r="S240" i="37"/>
  <c r="U240" i="37" s="1"/>
  <c r="Y240" i="37" s="1"/>
  <c r="AA240" i="37" s="1"/>
  <c r="AE240" i="37" s="1"/>
  <c r="AB240" i="37" s="1"/>
  <c r="W240" i="37"/>
  <c r="J240" i="37"/>
  <c r="L240" i="37" s="1"/>
  <c r="N240" i="37" s="1"/>
  <c r="Q165" i="25"/>
  <c r="R165" i="25" s="1"/>
  <c r="S165" i="25"/>
  <c r="M165" i="25"/>
  <c r="N165" i="25" s="1"/>
  <c r="H239" i="44"/>
  <c r="S236" i="37"/>
  <c r="U236" i="37" s="1"/>
  <c r="W236" i="37"/>
  <c r="S161" i="25"/>
  <c r="Q161" i="25"/>
  <c r="R161" i="25" s="1"/>
  <c r="M161" i="25"/>
  <c r="N161" i="25" s="1"/>
  <c r="H235" i="44"/>
  <c r="S232" i="37"/>
  <c r="U232" i="37" s="1"/>
  <c r="Y232" i="37" s="1"/>
  <c r="W232" i="37"/>
  <c r="J232" i="37"/>
  <c r="L232" i="37" s="1"/>
  <c r="N232" i="37" s="1"/>
  <c r="S157" i="25"/>
  <c r="Q157" i="25"/>
  <c r="R157" i="25" s="1"/>
  <c r="M157" i="25"/>
  <c r="N157" i="25" s="1"/>
  <c r="H231" i="44"/>
  <c r="S228" i="37"/>
  <c r="U228" i="37" s="1"/>
  <c r="Y228" i="37" s="1"/>
  <c r="W228" i="37"/>
  <c r="S153" i="25"/>
  <c r="Q153" i="25"/>
  <c r="R153" i="25" s="1"/>
  <c r="T153" i="25" s="1"/>
  <c r="M153" i="25"/>
  <c r="N153" i="25" s="1"/>
  <c r="H227" i="44"/>
  <c r="S224" i="37"/>
  <c r="U224" i="37" s="1"/>
  <c r="W224" i="37"/>
  <c r="J224" i="37"/>
  <c r="L224" i="37" s="1"/>
  <c r="N224" i="37" s="1"/>
  <c r="S149" i="25"/>
  <c r="Q149" i="25"/>
  <c r="R149" i="25" s="1"/>
  <c r="M149" i="25"/>
  <c r="N149" i="25" s="1"/>
  <c r="H223" i="44"/>
  <c r="S220" i="37"/>
  <c r="U220" i="37" s="1"/>
  <c r="Y220" i="37" s="1"/>
  <c r="W220" i="37"/>
  <c r="S145" i="25"/>
  <c r="Q145" i="25"/>
  <c r="R145" i="25" s="1"/>
  <c r="T145" i="25" s="1"/>
  <c r="M145" i="25"/>
  <c r="N145" i="25" s="1"/>
  <c r="H219" i="44"/>
  <c r="S216" i="37"/>
  <c r="U216" i="37" s="1"/>
  <c r="W216" i="37"/>
  <c r="J216" i="37"/>
  <c r="L216" i="37" s="1"/>
  <c r="N216" i="37" s="1"/>
  <c r="S141" i="25"/>
  <c r="Q141" i="25"/>
  <c r="R141" i="25" s="1"/>
  <c r="T141" i="25" s="1"/>
  <c r="M141" i="25"/>
  <c r="N141" i="25" s="1"/>
  <c r="H215" i="44"/>
  <c r="S212" i="37"/>
  <c r="U212" i="37" s="1"/>
  <c r="W212" i="37"/>
  <c r="S137" i="25"/>
  <c r="Q137" i="25"/>
  <c r="R137" i="25" s="1"/>
  <c r="M137" i="25"/>
  <c r="N137" i="25" s="1"/>
  <c r="H211" i="44"/>
  <c r="S208" i="37"/>
  <c r="U208" i="37" s="1"/>
  <c r="Y208" i="37" s="1"/>
  <c r="AA208" i="37" s="1"/>
  <c r="AE208" i="37" s="1"/>
  <c r="AB208" i="37" s="1"/>
  <c r="W208" i="37"/>
  <c r="J208" i="37"/>
  <c r="L208" i="37" s="1"/>
  <c r="N208" i="37" s="1"/>
  <c r="Q133" i="25"/>
  <c r="R133" i="25" s="1"/>
  <c r="S133" i="25"/>
  <c r="M133" i="25"/>
  <c r="N133" i="25" s="1"/>
  <c r="H207" i="44"/>
  <c r="S204" i="37"/>
  <c r="U204" i="37" s="1"/>
  <c r="W204" i="37"/>
  <c r="S129" i="25"/>
  <c r="Q129" i="25"/>
  <c r="R129" i="25" s="1"/>
  <c r="M129" i="25"/>
  <c r="N129" i="25" s="1"/>
  <c r="H203" i="44"/>
  <c r="S200" i="37"/>
  <c r="U200" i="37" s="1"/>
  <c r="Y200" i="37" s="1"/>
  <c r="W200" i="37"/>
  <c r="J200" i="37"/>
  <c r="L200" i="37" s="1"/>
  <c r="N200" i="37" s="1"/>
  <c r="S125" i="25"/>
  <c r="Q125" i="25"/>
  <c r="R125" i="25" s="1"/>
  <c r="M125" i="25"/>
  <c r="N125" i="25" s="1"/>
  <c r="H199" i="44"/>
  <c r="S196" i="37"/>
  <c r="U196" i="37" s="1"/>
  <c r="Y196" i="37" s="1"/>
  <c r="W196" i="37"/>
  <c r="S121" i="25"/>
  <c r="Q121" i="25"/>
  <c r="R121" i="25" s="1"/>
  <c r="T121" i="25" s="1"/>
  <c r="M121" i="25"/>
  <c r="N121" i="25" s="1"/>
  <c r="H195" i="44"/>
  <c r="S192" i="37"/>
  <c r="U192" i="37" s="1"/>
  <c r="W192" i="37"/>
  <c r="J192" i="37"/>
  <c r="L192" i="37" s="1"/>
  <c r="N192" i="37" s="1"/>
  <c r="S117" i="25"/>
  <c r="Q117" i="25"/>
  <c r="R117" i="25" s="1"/>
  <c r="M117" i="25"/>
  <c r="N117" i="25" s="1"/>
  <c r="H191" i="44"/>
  <c r="S188" i="37"/>
  <c r="U188" i="37" s="1"/>
  <c r="Y188" i="37" s="1"/>
  <c r="W188" i="37"/>
  <c r="S113" i="25"/>
  <c r="Q113" i="25"/>
  <c r="R113" i="25" s="1"/>
  <c r="T113" i="25" s="1"/>
  <c r="M113" i="25"/>
  <c r="N113" i="25" s="1"/>
  <c r="H187" i="44"/>
  <c r="S184" i="37"/>
  <c r="U184" i="37" s="1"/>
  <c r="W184" i="37"/>
  <c r="J184" i="37"/>
  <c r="L184" i="37" s="1"/>
  <c r="N184" i="37" s="1"/>
  <c r="S109" i="25"/>
  <c r="Q109" i="25"/>
  <c r="R109" i="25" s="1"/>
  <c r="T109" i="25" s="1"/>
  <c r="M109" i="25"/>
  <c r="N109" i="25" s="1"/>
  <c r="H183" i="44"/>
  <c r="S180" i="37"/>
  <c r="U180" i="37" s="1"/>
  <c r="W180" i="37"/>
  <c r="S105" i="25"/>
  <c r="Q105" i="25"/>
  <c r="R105" i="25" s="1"/>
  <c r="M105" i="25"/>
  <c r="N105" i="25" s="1"/>
  <c r="H179" i="44"/>
  <c r="S176" i="37"/>
  <c r="U176" i="37" s="1"/>
  <c r="Y176" i="37" s="1"/>
  <c r="AA176" i="37" s="1"/>
  <c r="AE176" i="37" s="1"/>
  <c r="AB176" i="37" s="1"/>
  <c r="W176" i="37"/>
  <c r="J176" i="37"/>
  <c r="L176" i="37" s="1"/>
  <c r="N176" i="37" s="1"/>
  <c r="Q101" i="25"/>
  <c r="R101" i="25" s="1"/>
  <c r="S101" i="25"/>
  <c r="M101" i="25"/>
  <c r="N101" i="25" s="1"/>
  <c r="H175" i="44"/>
  <c r="S172" i="37"/>
  <c r="U172" i="37" s="1"/>
  <c r="W172" i="37"/>
  <c r="S97" i="25"/>
  <c r="Q97" i="25"/>
  <c r="R97" i="25" s="1"/>
  <c r="M97" i="25"/>
  <c r="N97" i="25" s="1"/>
  <c r="H171" i="44"/>
  <c r="S168" i="37"/>
  <c r="U168" i="37" s="1"/>
  <c r="Y168" i="37" s="1"/>
  <c r="W168" i="37"/>
  <c r="J168" i="37"/>
  <c r="L168" i="37" s="1"/>
  <c r="N168" i="37" s="1"/>
  <c r="S93" i="25"/>
  <c r="Q93" i="25"/>
  <c r="R93" i="25" s="1"/>
  <c r="M93" i="25"/>
  <c r="N93" i="25" s="1"/>
  <c r="H167" i="44"/>
  <c r="S164" i="37"/>
  <c r="U164" i="37" s="1"/>
  <c r="Y164" i="37" s="1"/>
  <c r="W164" i="37"/>
  <c r="S89" i="25"/>
  <c r="Q89" i="25"/>
  <c r="R89" i="25" s="1"/>
  <c r="T89" i="25" s="1"/>
  <c r="M89" i="25"/>
  <c r="N89" i="25" s="1"/>
  <c r="H163" i="44"/>
  <c r="S160" i="37"/>
  <c r="U160" i="37" s="1"/>
  <c r="W160" i="37"/>
  <c r="J160" i="37"/>
  <c r="L160" i="37" s="1"/>
  <c r="N160" i="37" s="1"/>
  <c r="S85" i="25"/>
  <c r="Q85" i="25"/>
  <c r="R85" i="25" s="1"/>
  <c r="M85" i="25"/>
  <c r="N85" i="25" s="1"/>
  <c r="H159" i="44"/>
  <c r="S156" i="37"/>
  <c r="U156" i="37" s="1"/>
  <c r="Y156" i="37" s="1"/>
  <c r="W156" i="37"/>
  <c r="S81" i="25"/>
  <c r="Q81" i="25"/>
  <c r="R81" i="25" s="1"/>
  <c r="T81" i="25" s="1"/>
  <c r="M81" i="25"/>
  <c r="N81" i="25" s="1"/>
  <c r="H155" i="44"/>
  <c r="S152" i="37"/>
  <c r="U152" i="37" s="1"/>
  <c r="W152" i="37"/>
  <c r="J152" i="37"/>
  <c r="L152" i="37" s="1"/>
  <c r="N152" i="37" s="1"/>
  <c r="S77" i="25"/>
  <c r="Q77" i="25"/>
  <c r="R77" i="25" s="1"/>
  <c r="T77" i="25" s="1"/>
  <c r="M77" i="25"/>
  <c r="N77" i="25" s="1"/>
  <c r="H151" i="44"/>
  <c r="S148" i="37"/>
  <c r="U148" i="37" s="1"/>
  <c r="W148" i="37"/>
  <c r="S73" i="25"/>
  <c r="Q73" i="25"/>
  <c r="R73" i="25" s="1"/>
  <c r="M73" i="25"/>
  <c r="N73" i="25" s="1"/>
  <c r="H147" i="44"/>
  <c r="S144" i="37"/>
  <c r="U144" i="37" s="1"/>
  <c r="Y144" i="37" s="1"/>
  <c r="AA144" i="37" s="1"/>
  <c r="AE144" i="37" s="1"/>
  <c r="AB144" i="37" s="1"/>
  <c r="W144" i="37"/>
  <c r="J144" i="37"/>
  <c r="L144" i="37" s="1"/>
  <c r="N144" i="37" s="1"/>
  <c r="Q69" i="25"/>
  <c r="R69" i="25" s="1"/>
  <c r="S69" i="25"/>
  <c r="M69" i="25"/>
  <c r="N69" i="25" s="1"/>
  <c r="H143" i="44"/>
  <c r="S140" i="37"/>
  <c r="U140" i="37" s="1"/>
  <c r="W140" i="37"/>
  <c r="S65" i="25"/>
  <c r="Q65" i="25"/>
  <c r="R65" i="25" s="1"/>
  <c r="M65" i="25"/>
  <c r="N65" i="25" s="1"/>
  <c r="H139" i="44"/>
  <c r="S136" i="37"/>
  <c r="U136" i="37" s="1"/>
  <c r="Y136" i="37" s="1"/>
  <c r="W136" i="37"/>
  <c r="J136" i="37"/>
  <c r="L136" i="37" s="1"/>
  <c r="N136" i="37" s="1"/>
  <c r="S61" i="25"/>
  <c r="Q61" i="25"/>
  <c r="R61" i="25" s="1"/>
  <c r="M61" i="25"/>
  <c r="N61" i="25" s="1"/>
  <c r="H135" i="44"/>
  <c r="S132" i="37"/>
  <c r="U132" i="37" s="1"/>
  <c r="Y132" i="37" s="1"/>
  <c r="W132" i="37"/>
  <c r="S57" i="25"/>
  <c r="Q57" i="25"/>
  <c r="R57" i="25" s="1"/>
  <c r="T57" i="25" s="1"/>
  <c r="M57" i="25"/>
  <c r="N57" i="25" s="1"/>
  <c r="H131" i="44"/>
  <c r="S128" i="37"/>
  <c r="U128" i="37" s="1"/>
  <c r="W128" i="37"/>
  <c r="J128" i="37"/>
  <c r="L128" i="37" s="1"/>
  <c r="N128" i="37" s="1"/>
  <c r="S53" i="25"/>
  <c r="Q53" i="25"/>
  <c r="R53" i="25" s="1"/>
  <c r="M53" i="25"/>
  <c r="N53" i="25" s="1"/>
  <c r="H127" i="44"/>
  <c r="S124" i="37"/>
  <c r="U124" i="37" s="1"/>
  <c r="Y124" i="37" s="1"/>
  <c r="W124" i="37"/>
  <c r="S49" i="25"/>
  <c r="Q49" i="25"/>
  <c r="R49" i="25" s="1"/>
  <c r="T49" i="25" s="1"/>
  <c r="M49" i="25"/>
  <c r="N49" i="25" s="1"/>
  <c r="H123" i="44"/>
  <c r="S120" i="37"/>
  <c r="U120" i="37" s="1"/>
  <c r="W120" i="37"/>
  <c r="J120" i="37"/>
  <c r="L120" i="37" s="1"/>
  <c r="N120" i="37" s="1"/>
  <c r="S45" i="25"/>
  <c r="Q45" i="25"/>
  <c r="R45" i="25" s="1"/>
  <c r="T45" i="25" s="1"/>
  <c r="M45" i="25"/>
  <c r="N45" i="25" s="1"/>
  <c r="H119" i="44"/>
  <c r="S116" i="37"/>
  <c r="U116" i="37" s="1"/>
  <c r="W116" i="37"/>
  <c r="S41" i="25"/>
  <c r="Q41" i="25"/>
  <c r="R41" i="25" s="1"/>
  <c r="M41" i="25"/>
  <c r="N41" i="25" s="1"/>
  <c r="H115" i="44"/>
  <c r="S112" i="37"/>
  <c r="U112" i="37" s="1"/>
  <c r="Y112" i="37" s="1"/>
  <c r="AA112" i="37" s="1"/>
  <c r="AE112" i="37" s="1"/>
  <c r="AB112" i="37" s="1"/>
  <c r="W112" i="37"/>
  <c r="J112" i="37"/>
  <c r="L112" i="37" s="1"/>
  <c r="N112" i="37" s="1"/>
  <c r="Q37" i="25"/>
  <c r="R37" i="25" s="1"/>
  <c r="S37" i="25"/>
  <c r="M37" i="25"/>
  <c r="N37" i="25" s="1"/>
  <c r="H111" i="44"/>
  <c r="S108" i="37"/>
  <c r="U108" i="37" s="1"/>
  <c r="W108" i="37"/>
  <c r="S33" i="25"/>
  <c r="Q33" i="25"/>
  <c r="R33" i="25" s="1"/>
  <c r="M33" i="25"/>
  <c r="N33" i="25" s="1"/>
  <c r="H107" i="44"/>
  <c r="S104" i="37"/>
  <c r="U104" i="37" s="1"/>
  <c r="Y104" i="37" s="1"/>
  <c r="W104" i="37"/>
  <c r="J104" i="37"/>
  <c r="L104" i="37" s="1"/>
  <c r="N104" i="37" s="1"/>
  <c r="S29" i="25"/>
  <c r="Q29" i="25"/>
  <c r="R29" i="25" s="1"/>
  <c r="M29" i="25"/>
  <c r="N29" i="25" s="1"/>
  <c r="H103" i="44"/>
  <c r="S100" i="37"/>
  <c r="U100" i="37" s="1"/>
  <c r="Y100" i="37" s="1"/>
  <c r="W100" i="37"/>
  <c r="S25" i="25"/>
  <c r="Q25" i="25"/>
  <c r="R25" i="25" s="1"/>
  <c r="T25" i="25" s="1"/>
  <c r="M25" i="25"/>
  <c r="N25" i="25" s="1"/>
  <c r="H99" i="44"/>
  <c r="S96" i="37"/>
  <c r="U96" i="37" s="1"/>
  <c r="W96" i="37"/>
  <c r="J96" i="37"/>
  <c r="L96" i="37" s="1"/>
  <c r="N96" i="37" s="1"/>
  <c r="S21" i="25"/>
  <c r="Q21" i="25"/>
  <c r="R21" i="25" s="1"/>
  <c r="M21" i="25"/>
  <c r="N21" i="25" s="1"/>
  <c r="H95" i="44"/>
  <c r="S92" i="37"/>
  <c r="U92" i="37" s="1"/>
  <c r="Y92" i="37" s="1"/>
  <c r="W92" i="37"/>
  <c r="S17" i="25"/>
  <c r="Q17" i="25"/>
  <c r="R17" i="25" s="1"/>
  <c r="T17" i="25" s="1"/>
  <c r="M17" i="25"/>
  <c r="N17" i="25" s="1"/>
  <c r="H91" i="44"/>
  <c r="S88" i="37"/>
  <c r="U88" i="37" s="1"/>
  <c r="W88" i="37"/>
  <c r="J88" i="37"/>
  <c r="L88" i="37" s="1"/>
  <c r="N88" i="37" s="1"/>
  <c r="S13" i="25"/>
  <c r="Q13" i="25"/>
  <c r="R13" i="25" s="1"/>
  <c r="T13" i="25" s="1"/>
  <c r="M13" i="25"/>
  <c r="N13" i="25" s="1"/>
  <c r="H87" i="44"/>
  <c r="S84" i="37"/>
  <c r="U84" i="37" s="1"/>
  <c r="W84" i="37"/>
  <c r="S9" i="25"/>
  <c r="Q9" i="25"/>
  <c r="R9" i="25" s="1"/>
  <c r="M9" i="25"/>
  <c r="N9" i="25" s="1"/>
  <c r="H83" i="44"/>
  <c r="S80" i="37"/>
  <c r="U80" i="37" s="1"/>
  <c r="Y80" i="37" s="1"/>
  <c r="AA80" i="37" s="1"/>
  <c r="AE80" i="37" s="1"/>
  <c r="AB80" i="37" s="1"/>
  <c r="W80" i="37"/>
  <c r="J80" i="37"/>
  <c r="L80" i="37" s="1"/>
  <c r="N80" i="37" s="1"/>
  <c r="Q5" i="25"/>
  <c r="R5" i="25" s="1"/>
  <c r="S5" i="25"/>
  <c r="M5" i="25"/>
  <c r="N5" i="25" s="1"/>
  <c r="H79" i="44"/>
  <c r="S77" i="37"/>
  <c r="U77" i="37" s="1"/>
  <c r="Y77" i="37" s="1"/>
  <c r="J77" i="37"/>
  <c r="L77" i="37" s="1"/>
  <c r="N77" i="37" s="1"/>
  <c r="W77" i="37"/>
  <c r="S879" i="25"/>
  <c r="Q879" i="25"/>
  <c r="R879" i="25" s="1"/>
  <c r="T879" i="25" s="1"/>
  <c r="M879" i="25"/>
  <c r="N879" i="25" s="1"/>
  <c r="I513" i="44"/>
  <c r="T511" i="37"/>
  <c r="V511" i="37" s="1"/>
  <c r="K511" i="37"/>
  <c r="O511" i="37" s="1"/>
  <c r="Q511" i="37" s="1"/>
  <c r="X511" i="37"/>
  <c r="S876" i="25"/>
  <c r="M876" i="25"/>
  <c r="N876" i="25" s="1"/>
  <c r="Q876" i="25"/>
  <c r="R876" i="25" s="1"/>
  <c r="T876" i="25" s="1"/>
  <c r="I510" i="44"/>
  <c r="S874" i="25"/>
  <c r="Q874" i="25"/>
  <c r="R874" i="25" s="1"/>
  <c r="M874" i="25"/>
  <c r="N874" i="25" s="1"/>
  <c r="I508" i="44"/>
  <c r="I508" i="37"/>
  <c r="S871" i="25"/>
  <c r="Q871" i="25"/>
  <c r="R871" i="25" s="1"/>
  <c r="T871" i="25" s="1"/>
  <c r="I505" i="44"/>
  <c r="M871" i="25"/>
  <c r="N871" i="25" s="1"/>
  <c r="T503" i="37"/>
  <c r="V503" i="37" s="1"/>
  <c r="K503" i="37"/>
  <c r="O503" i="37" s="1"/>
  <c r="Q503" i="37" s="1"/>
  <c r="X503" i="37"/>
  <c r="S868" i="25"/>
  <c r="M868" i="25"/>
  <c r="N868" i="25" s="1"/>
  <c r="Q868" i="25"/>
  <c r="R868" i="25" s="1"/>
  <c r="T868" i="25" s="1"/>
  <c r="I502" i="44"/>
  <c r="S866" i="25"/>
  <c r="Q866" i="25"/>
  <c r="R866" i="25" s="1"/>
  <c r="M866" i="25"/>
  <c r="N866" i="25" s="1"/>
  <c r="I500" i="44"/>
  <c r="I500" i="37"/>
  <c r="S863" i="25"/>
  <c r="Q863" i="25"/>
  <c r="R863" i="25" s="1"/>
  <c r="T863" i="25" s="1"/>
  <c r="M863" i="25"/>
  <c r="N863" i="25" s="1"/>
  <c r="I497" i="44"/>
  <c r="T495" i="37"/>
  <c r="V495" i="37" s="1"/>
  <c r="K495" i="37"/>
  <c r="O495" i="37" s="1"/>
  <c r="Q495" i="37" s="1"/>
  <c r="X495" i="37"/>
  <c r="S860" i="25"/>
  <c r="M860" i="25"/>
  <c r="N860" i="25" s="1"/>
  <c r="Q860" i="25"/>
  <c r="R860" i="25" s="1"/>
  <c r="T860" i="25" s="1"/>
  <c r="I494" i="44"/>
  <c r="S858" i="25"/>
  <c r="Q858" i="25"/>
  <c r="R858" i="25" s="1"/>
  <c r="M858" i="25"/>
  <c r="N858" i="25" s="1"/>
  <c r="I492" i="44"/>
  <c r="I492" i="37"/>
  <c r="S855" i="25"/>
  <c r="Q855" i="25"/>
  <c r="R855" i="25" s="1"/>
  <c r="T855" i="25" s="1"/>
  <c r="I489" i="44"/>
  <c r="M855" i="25"/>
  <c r="N855" i="25" s="1"/>
  <c r="T487" i="37"/>
  <c r="V487" i="37" s="1"/>
  <c r="K487" i="37"/>
  <c r="O487" i="37" s="1"/>
  <c r="Q487" i="37" s="1"/>
  <c r="X487" i="37"/>
  <c r="S852" i="25"/>
  <c r="M852" i="25"/>
  <c r="N852" i="25" s="1"/>
  <c r="Q852" i="25"/>
  <c r="R852" i="25" s="1"/>
  <c r="T852" i="25" s="1"/>
  <c r="I486" i="44"/>
  <c r="S850" i="25"/>
  <c r="Q850" i="25"/>
  <c r="R850" i="25" s="1"/>
  <c r="T850" i="25" s="1"/>
  <c r="M850" i="25"/>
  <c r="N850" i="25" s="1"/>
  <c r="I484" i="44"/>
  <c r="I484" i="37"/>
  <c r="S847" i="25"/>
  <c r="Q847" i="25"/>
  <c r="R847" i="25" s="1"/>
  <c r="M847" i="25"/>
  <c r="N847" i="25" s="1"/>
  <c r="I481" i="44"/>
  <c r="T479" i="37"/>
  <c r="V479" i="37" s="1"/>
  <c r="K479" i="37"/>
  <c r="O479" i="37" s="1"/>
  <c r="Q479" i="37" s="1"/>
  <c r="X479" i="37"/>
  <c r="S844" i="25"/>
  <c r="M844" i="25"/>
  <c r="N844" i="25" s="1"/>
  <c r="Q844" i="25"/>
  <c r="R844" i="25" s="1"/>
  <c r="T844" i="25" s="1"/>
  <c r="I478" i="44"/>
  <c r="S842" i="25"/>
  <c r="Q842" i="25"/>
  <c r="R842" i="25" s="1"/>
  <c r="T842" i="25" s="1"/>
  <c r="M842" i="25"/>
  <c r="N842" i="25" s="1"/>
  <c r="I476" i="44"/>
  <c r="I476" i="37"/>
  <c r="S839" i="25"/>
  <c r="Q839" i="25"/>
  <c r="R839" i="25" s="1"/>
  <c r="I473" i="44"/>
  <c r="M839" i="25"/>
  <c r="N839" i="25" s="1"/>
  <c r="T471" i="37"/>
  <c r="V471" i="37" s="1"/>
  <c r="K471" i="37"/>
  <c r="O471" i="37" s="1"/>
  <c r="Q471" i="37" s="1"/>
  <c r="X471" i="37"/>
  <c r="S836" i="25"/>
  <c r="M836" i="25"/>
  <c r="N836" i="25" s="1"/>
  <c r="Q836" i="25"/>
  <c r="R836" i="25" s="1"/>
  <c r="T836" i="25" s="1"/>
  <c r="I470" i="44"/>
  <c r="S834" i="25"/>
  <c r="Q834" i="25"/>
  <c r="R834" i="25" s="1"/>
  <c r="T834" i="25" s="1"/>
  <c r="M834" i="25"/>
  <c r="N834" i="25" s="1"/>
  <c r="I468" i="44"/>
  <c r="I468" i="37"/>
  <c r="S831" i="25"/>
  <c r="Q831" i="25"/>
  <c r="R831" i="25" s="1"/>
  <c r="M831" i="25"/>
  <c r="N831" i="25" s="1"/>
  <c r="I465" i="44"/>
  <c r="T463" i="37"/>
  <c r="V463" i="37" s="1"/>
  <c r="K463" i="37"/>
  <c r="O463" i="37" s="1"/>
  <c r="Q463" i="37" s="1"/>
  <c r="X463" i="37"/>
  <c r="S828" i="25"/>
  <c r="M828" i="25"/>
  <c r="N828" i="25" s="1"/>
  <c r="Q828" i="25"/>
  <c r="R828" i="25" s="1"/>
  <c r="T828" i="25" s="1"/>
  <c r="I462" i="44"/>
  <c r="S826" i="25"/>
  <c r="Q826" i="25"/>
  <c r="R826" i="25" s="1"/>
  <c r="T826" i="25" s="1"/>
  <c r="M826" i="25"/>
  <c r="N826" i="25" s="1"/>
  <c r="I460" i="44"/>
  <c r="I460" i="37"/>
  <c r="S823" i="25"/>
  <c r="Q823" i="25"/>
  <c r="R823" i="25" s="1"/>
  <c r="I457" i="44"/>
  <c r="M823" i="25"/>
  <c r="N823" i="25" s="1"/>
  <c r="T455" i="37"/>
  <c r="V455" i="37" s="1"/>
  <c r="K455" i="37"/>
  <c r="O455" i="37" s="1"/>
  <c r="Q455" i="37" s="1"/>
  <c r="X455" i="37"/>
  <c r="S820" i="25"/>
  <c r="M820" i="25"/>
  <c r="N820" i="25" s="1"/>
  <c r="Q820" i="25"/>
  <c r="R820" i="25" s="1"/>
  <c r="T820" i="25" s="1"/>
  <c r="I454" i="44"/>
  <c r="S818" i="25"/>
  <c r="Q818" i="25"/>
  <c r="R818" i="25" s="1"/>
  <c r="T818" i="25" s="1"/>
  <c r="M818" i="25"/>
  <c r="N818" i="25" s="1"/>
  <c r="I452" i="44"/>
  <c r="I452" i="37"/>
  <c r="S815" i="25"/>
  <c r="Q815" i="25"/>
  <c r="R815" i="25" s="1"/>
  <c r="M815" i="25"/>
  <c r="N815" i="25" s="1"/>
  <c r="I449" i="44"/>
  <c r="T447" i="37"/>
  <c r="V447" i="37" s="1"/>
  <c r="K447" i="37"/>
  <c r="O447" i="37" s="1"/>
  <c r="Q447" i="37" s="1"/>
  <c r="X447" i="37"/>
  <c r="S812" i="25"/>
  <c r="M812" i="25"/>
  <c r="N812" i="25" s="1"/>
  <c r="Q812" i="25"/>
  <c r="R812" i="25" s="1"/>
  <c r="T812" i="25" s="1"/>
  <c r="I446" i="44"/>
  <c r="S810" i="25"/>
  <c r="Q810" i="25"/>
  <c r="R810" i="25" s="1"/>
  <c r="T810" i="25" s="1"/>
  <c r="M810" i="25"/>
  <c r="N810" i="25" s="1"/>
  <c r="I444" i="44"/>
  <c r="I444" i="37"/>
  <c r="S807" i="25"/>
  <c r="Q807" i="25"/>
  <c r="R807" i="25" s="1"/>
  <c r="I441" i="44"/>
  <c r="M807" i="25"/>
  <c r="N807" i="25" s="1"/>
  <c r="T439" i="37"/>
  <c r="V439" i="37" s="1"/>
  <c r="K439" i="37"/>
  <c r="O439" i="37" s="1"/>
  <c r="Q439" i="37" s="1"/>
  <c r="X439" i="37"/>
  <c r="S804" i="25"/>
  <c r="M804" i="25"/>
  <c r="N804" i="25" s="1"/>
  <c r="Q804" i="25"/>
  <c r="R804" i="25" s="1"/>
  <c r="T804" i="25" s="1"/>
  <c r="I438" i="44"/>
  <c r="S802" i="25"/>
  <c r="Q802" i="25"/>
  <c r="R802" i="25" s="1"/>
  <c r="T802" i="25" s="1"/>
  <c r="M802" i="25"/>
  <c r="N802" i="25" s="1"/>
  <c r="I436" i="44"/>
  <c r="I436" i="37"/>
  <c r="S799" i="25"/>
  <c r="Q799" i="25"/>
  <c r="R799" i="25" s="1"/>
  <c r="T799" i="25" s="1"/>
  <c r="M799" i="25"/>
  <c r="N799" i="25" s="1"/>
  <c r="I433" i="44"/>
  <c r="T429" i="37"/>
  <c r="V429" i="37" s="1"/>
  <c r="H357" i="32"/>
  <c r="K429" i="37"/>
  <c r="O429" i="37" s="1"/>
  <c r="Q429" i="37" s="1"/>
  <c r="X429" i="37"/>
  <c r="T422" i="37"/>
  <c r="V422" i="37" s="1"/>
  <c r="Z422" i="37" s="1"/>
  <c r="AC422" i="37" s="1"/>
  <c r="K422" i="37"/>
  <c r="O422" i="37" s="1"/>
  <c r="Q422" i="37" s="1"/>
  <c r="X422" i="37"/>
  <c r="S786" i="25"/>
  <c r="Q786" i="25"/>
  <c r="R786" i="25" s="1"/>
  <c r="T786" i="25" s="1"/>
  <c r="M786" i="25"/>
  <c r="N786" i="25" s="1"/>
  <c r="I420" i="44"/>
  <c r="I420" i="37"/>
  <c r="S783" i="25"/>
  <c r="Q783" i="25"/>
  <c r="R783" i="25" s="1"/>
  <c r="T783" i="25" s="1"/>
  <c r="M783" i="25"/>
  <c r="N783" i="25" s="1"/>
  <c r="I417" i="44"/>
  <c r="T413" i="37"/>
  <c r="V413" i="37" s="1"/>
  <c r="H341" i="32"/>
  <c r="K413" i="37"/>
  <c r="O413" i="37" s="1"/>
  <c r="Q413" i="37" s="1"/>
  <c r="X413" i="37"/>
  <c r="T406" i="37"/>
  <c r="V406" i="37" s="1"/>
  <c r="K406" i="37"/>
  <c r="O406" i="37" s="1"/>
  <c r="Q406" i="37" s="1"/>
  <c r="X406" i="37"/>
  <c r="S769" i="25"/>
  <c r="Q769" i="25"/>
  <c r="R769" i="25" s="1"/>
  <c r="T769" i="25" s="1"/>
  <c r="M769" i="25"/>
  <c r="N769" i="25" s="1"/>
  <c r="I403" i="44"/>
  <c r="I403" i="37"/>
  <c r="S766" i="25"/>
  <c r="Q766" i="25"/>
  <c r="R766" i="25" s="1"/>
  <c r="M766" i="25"/>
  <c r="N766" i="25" s="1"/>
  <c r="I400" i="44"/>
  <c r="K396" i="37"/>
  <c r="O396" i="37" s="1"/>
  <c r="Q396" i="37" s="1"/>
  <c r="H324" i="32"/>
  <c r="T396" i="37"/>
  <c r="V396" i="37" s="1"/>
  <c r="Z396" i="37" s="1"/>
  <c r="AC396" i="37" s="1"/>
  <c r="X396" i="37"/>
  <c r="T389" i="37"/>
  <c r="V389" i="37" s="1"/>
  <c r="Z389" i="37" s="1"/>
  <c r="K389" i="37"/>
  <c r="O389" i="37" s="1"/>
  <c r="Q389" i="37" s="1"/>
  <c r="X389" i="37"/>
  <c r="S753" i="25"/>
  <c r="M753" i="25"/>
  <c r="N753" i="25" s="1"/>
  <c r="I387" i="44"/>
  <c r="Q753" i="25"/>
  <c r="R753" i="25" s="1"/>
  <c r="I387" i="37"/>
  <c r="Q750" i="25"/>
  <c r="R750" i="25" s="1"/>
  <c r="S750" i="25"/>
  <c r="M750" i="25"/>
  <c r="N750" i="25" s="1"/>
  <c r="I384" i="44"/>
  <c r="K382" i="44"/>
  <c r="M382" i="44" s="1"/>
  <c r="P382" i="44"/>
  <c r="R382" i="44" s="1"/>
  <c r="U382" i="44" s="1"/>
  <c r="K380" i="37"/>
  <c r="O380" i="37" s="1"/>
  <c r="Q380" i="37" s="1"/>
  <c r="H308" i="32"/>
  <c r="T380" i="37"/>
  <c r="V380" i="37" s="1"/>
  <c r="X380" i="37"/>
  <c r="T373" i="37"/>
  <c r="V373" i="37" s="1"/>
  <c r="K373" i="37"/>
  <c r="O373" i="37" s="1"/>
  <c r="Q373" i="37" s="1"/>
  <c r="X373" i="37"/>
  <c r="S737" i="25"/>
  <c r="M737" i="25"/>
  <c r="N737" i="25" s="1"/>
  <c r="I371" i="44"/>
  <c r="Q737" i="25"/>
  <c r="R737" i="25" s="1"/>
  <c r="T737" i="25" s="1"/>
  <c r="I371" i="37"/>
  <c r="K364" i="37"/>
  <c r="O364" i="37" s="1"/>
  <c r="Q364" i="37" s="1"/>
  <c r="H292" i="32"/>
  <c r="T364" i="37"/>
  <c r="V364" i="37" s="1"/>
  <c r="Z364" i="37" s="1"/>
  <c r="AC364" i="37" s="1"/>
  <c r="X364" i="37"/>
  <c r="S721" i="25"/>
  <c r="M721" i="25"/>
  <c r="N721" i="25" s="1"/>
  <c r="Q721" i="25"/>
  <c r="R721" i="25" s="1"/>
  <c r="I355" i="44"/>
  <c r="I355" i="37"/>
  <c r="T347" i="37"/>
  <c r="V347" i="37" s="1"/>
  <c r="Z347" i="37" s="1"/>
  <c r="AC347" i="37" s="1"/>
  <c r="X347" i="37"/>
  <c r="H275" i="32"/>
  <c r="K347" i="37"/>
  <c r="O347" i="37" s="1"/>
  <c r="Q347" i="37" s="1"/>
  <c r="S704" i="25"/>
  <c r="M704" i="25"/>
  <c r="N704" i="25" s="1"/>
  <c r="Q704" i="25"/>
  <c r="R704" i="25" s="1"/>
  <c r="I338" i="44"/>
  <c r="I338" i="37"/>
  <c r="T331" i="37"/>
  <c r="V331" i="37" s="1"/>
  <c r="X331" i="37"/>
  <c r="H259" i="32"/>
  <c r="K331" i="37"/>
  <c r="O331" i="37" s="1"/>
  <c r="Q331" i="37" s="1"/>
  <c r="Q688" i="25"/>
  <c r="R688" i="25" s="1"/>
  <c r="S688" i="25"/>
  <c r="M688" i="25"/>
  <c r="N688" i="25" s="1"/>
  <c r="I322" i="44"/>
  <c r="I322" i="37"/>
  <c r="X315" i="37"/>
  <c r="T315" i="37"/>
  <c r="V315" i="37" s="1"/>
  <c r="H243" i="32"/>
  <c r="K315" i="37"/>
  <c r="O315" i="37" s="1"/>
  <c r="Q315" i="37" s="1"/>
  <c r="Q672" i="25"/>
  <c r="R672" i="25" s="1"/>
  <c r="M672" i="25"/>
  <c r="N672" i="25" s="1"/>
  <c r="S672" i="25"/>
  <c r="I306" i="44"/>
  <c r="I306" i="37"/>
  <c r="X299" i="37"/>
  <c r="T299" i="37"/>
  <c r="V299" i="37" s="1"/>
  <c r="Z299" i="37" s="1"/>
  <c r="AC299" i="37" s="1"/>
  <c r="H227" i="32"/>
  <c r="K299" i="37"/>
  <c r="O299" i="37" s="1"/>
  <c r="Q299" i="37" s="1"/>
  <c r="J284" i="37"/>
  <c r="L284" i="37" s="1"/>
  <c r="N284" i="37" s="1"/>
  <c r="J252" i="37"/>
  <c r="L252" i="37" s="1"/>
  <c r="N252" i="37" s="1"/>
  <c r="J220" i="37"/>
  <c r="L220" i="37" s="1"/>
  <c r="N220" i="37" s="1"/>
  <c r="J188" i="37"/>
  <c r="L188" i="37" s="1"/>
  <c r="N188" i="37" s="1"/>
  <c r="J156" i="37"/>
  <c r="L156" i="37" s="1"/>
  <c r="N156" i="37" s="1"/>
  <c r="J124" i="37"/>
  <c r="L124" i="37" s="1"/>
  <c r="N124" i="37" s="1"/>
  <c r="J92" i="37"/>
  <c r="L92" i="37" s="1"/>
  <c r="N92" i="37" s="1"/>
  <c r="S659" i="25"/>
  <c r="Q659" i="25"/>
  <c r="R659" i="25" s="1"/>
  <c r="T659" i="25" s="1"/>
  <c r="H513" i="44"/>
  <c r="M659" i="25"/>
  <c r="N659" i="25" s="1"/>
  <c r="S655" i="25"/>
  <c r="Q655" i="25"/>
  <c r="R655" i="25" s="1"/>
  <c r="T655" i="25" s="1"/>
  <c r="M655" i="25"/>
  <c r="N655" i="25" s="1"/>
  <c r="H509" i="44"/>
  <c r="S651" i="25"/>
  <c r="Q651" i="25"/>
  <c r="R651" i="25" s="1"/>
  <c r="T651" i="25" s="1"/>
  <c r="H505" i="44"/>
  <c r="M651" i="25"/>
  <c r="N651" i="25" s="1"/>
  <c r="S647" i="25"/>
  <c r="Q647" i="25"/>
  <c r="R647" i="25" s="1"/>
  <c r="T647" i="25" s="1"/>
  <c r="H501" i="44"/>
  <c r="M647" i="25"/>
  <c r="N647" i="25" s="1"/>
  <c r="S643" i="25"/>
  <c r="H497" i="44"/>
  <c r="M643" i="25"/>
  <c r="N643" i="25" s="1"/>
  <c r="Q643" i="25"/>
  <c r="R643" i="25" s="1"/>
  <c r="S639" i="25"/>
  <c r="Q639" i="25"/>
  <c r="R639" i="25" s="1"/>
  <c r="T639" i="25" s="1"/>
  <c r="M639" i="25"/>
  <c r="N639" i="25" s="1"/>
  <c r="H493" i="44"/>
  <c r="S635" i="25"/>
  <c r="Q635" i="25"/>
  <c r="R635" i="25" s="1"/>
  <c r="T635" i="25" s="1"/>
  <c r="H489" i="44"/>
  <c r="M635" i="25"/>
  <c r="N635" i="25" s="1"/>
  <c r="S631" i="25"/>
  <c r="Q631" i="25"/>
  <c r="R631" i="25" s="1"/>
  <c r="T631" i="25" s="1"/>
  <c r="H485" i="44"/>
  <c r="M631" i="25"/>
  <c r="N631" i="25" s="1"/>
  <c r="S627" i="25"/>
  <c r="H481" i="44"/>
  <c r="M627" i="25"/>
  <c r="N627" i="25" s="1"/>
  <c r="Q627" i="25"/>
  <c r="R627" i="25" s="1"/>
  <c r="S623" i="25"/>
  <c r="Q623" i="25"/>
  <c r="R623" i="25" s="1"/>
  <c r="T623" i="25" s="1"/>
  <c r="M623" i="25"/>
  <c r="N623" i="25" s="1"/>
  <c r="H477" i="44"/>
  <c r="S619" i="25"/>
  <c r="Q619" i="25"/>
  <c r="R619" i="25" s="1"/>
  <c r="T619" i="25" s="1"/>
  <c r="H473" i="44"/>
  <c r="M619" i="25"/>
  <c r="N619" i="25" s="1"/>
  <c r="S615" i="25"/>
  <c r="Q615" i="25"/>
  <c r="R615" i="25" s="1"/>
  <c r="T615" i="25" s="1"/>
  <c r="H469" i="44"/>
  <c r="M615" i="25"/>
  <c r="N615" i="25" s="1"/>
  <c r="S611" i="25"/>
  <c r="H465" i="44"/>
  <c r="Q611" i="25"/>
  <c r="R611" i="25" s="1"/>
  <c r="T611" i="25" s="1"/>
  <c r="M611" i="25"/>
  <c r="N611" i="25" s="1"/>
  <c r="S607" i="25"/>
  <c r="Q607" i="25"/>
  <c r="R607" i="25" s="1"/>
  <c r="T607" i="25" s="1"/>
  <c r="M607" i="25"/>
  <c r="N607" i="25" s="1"/>
  <c r="H461" i="44"/>
  <c r="S603" i="25"/>
  <c r="Q603" i="25"/>
  <c r="R603" i="25" s="1"/>
  <c r="T603" i="25" s="1"/>
  <c r="H457" i="44"/>
  <c r="M603" i="25"/>
  <c r="N603" i="25" s="1"/>
  <c r="S599" i="25"/>
  <c r="Q599" i="25"/>
  <c r="R599" i="25" s="1"/>
  <c r="T599" i="25" s="1"/>
  <c r="H453" i="44"/>
  <c r="M599" i="25"/>
  <c r="N599" i="25" s="1"/>
  <c r="S595" i="25"/>
  <c r="Q595" i="25"/>
  <c r="R595" i="25" s="1"/>
  <c r="T595" i="25" s="1"/>
  <c r="H449" i="44"/>
  <c r="M595" i="25"/>
  <c r="N595" i="25" s="1"/>
  <c r="S591" i="25"/>
  <c r="Q591" i="25"/>
  <c r="R591" i="25" s="1"/>
  <c r="T591" i="25" s="1"/>
  <c r="M591" i="25"/>
  <c r="N591" i="25" s="1"/>
  <c r="H445" i="44"/>
  <c r="S587" i="25"/>
  <c r="Q587" i="25"/>
  <c r="R587" i="25" s="1"/>
  <c r="T587" i="25" s="1"/>
  <c r="H441" i="44"/>
  <c r="M587" i="25"/>
  <c r="N587" i="25" s="1"/>
  <c r="S583" i="25"/>
  <c r="Q583" i="25"/>
  <c r="R583" i="25" s="1"/>
  <c r="T583" i="25" s="1"/>
  <c r="H437" i="44"/>
  <c r="M583" i="25"/>
  <c r="N583" i="25" s="1"/>
  <c r="S579" i="25"/>
  <c r="H433" i="44"/>
  <c r="M579" i="25"/>
  <c r="N579" i="25" s="1"/>
  <c r="Q579" i="25"/>
  <c r="R579" i="25" s="1"/>
  <c r="S575" i="25"/>
  <c r="Q575" i="25"/>
  <c r="R575" i="25" s="1"/>
  <c r="T575" i="25" s="1"/>
  <c r="M575" i="25"/>
  <c r="N575" i="25" s="1"/>
  <c r="H429" i="44"/>
  <c r="S571" i="25"/>
  <c r="Q571" i="25"/>
  <c r="R571" i="25" s="1"/>
  <c r="T571" i="25" s="1"/>
  <c r="H425" i="44"/>
  <c r="M571" i="25"/>
  <c r="N571" i="25" s="1"/>
  <c r="S567" i="25"/>
  <c r="Q567" i="25"/>
  <c r="R567" i="25" s="1"/>
  <c r="T567" i="25" s="1"/>
  <c r="H421" i="44"/>
  <c r="M567" i="25"/>
  <c r="N567" i="25" s="1"/>
  <c r="S563" i="25"/>
  <c r="H417" i="44"/>
  <c r="M563" i="25"/>
  <c r="N563" i="25" s="1"/>
  <c r="Q563" i="25"/>
  <c r="R563" i="25" s="1"/>
  <c r="S559" i="25"/>
  <c r="Q559" i="25"/>
  <c r="R559" i="25" s="1"/>
  <c r="T559" i="25" s="1"/>
  <c r="M559" i="25"/>
  <c r="N559" i="25" s="1"/>
  <c r="H413" i="44"/>
  <c r="S555" i="25"/>
  <c r="Q555" i="25"/>
  <c r="R555" i="25" s="1"/>
  <c r="T555" i="25" s="1"/>
  <c r="H409" i="44"/>
  <c r="M555" i="25"/>
  <c r="N555" i="25" s="1"/>
  <c r="S551" i="25"/>
  <c r="Q551" i="25"/>
  <c r="R551" i="25" s="1"/>
  <c r="T551" i="25" s="1"/>
  <c r="H405" i="44"/>
  <c r="M551" i="25"/>
  <c r="N551" i="25" s="1"/>
  <c r="S547" i="25"/>
  <c r="H401" i="44"/>
  <c r="Q547" i="25"/>
  <c r="R547" i="25" s="1"/>
  <c r="T547" i="25" s="1"/>
  <c r="M547" i="25"/>
  <c r="N547" i="25" s="1"/>
  <c r="S543" i="25"/>
  <c r="Q543" i="25"/>
  <c r="R543" i="25" s="1"/>
  <c r="T543" i="25" s="1"/>
  <c r="M543" i="25"/>
  <c r="N543" i="25" s="1"/>
  <c r="H397" i="44"/>
  <c r="S539" i="25"/>
  <c r="Q539" i="25"/>
  <c r="R539" i="25" s="1"/>
  <c r="T539" i="25" s="1"/>
  <c r="H393" i="44"/>
  <c r="M539" i="25"/>
  <c r="N539" i="25" s="1"/>
  <c r="S535" i="25"/>
  <c r="Q535" i="25"/>
  <c r="R535" i="25" s="1"/>
  <c r="T535" i="25" s="1"/>
  <c r="H389" i="44"/>
  <c r="M535" i="25"/>
  <c r="N535" i="25" s="1"/>
  <c r="S531" i="25"/>
  <c r="Q531" i="25"/>
  <c r="R531" i="25" s="1"/>
  <c r="T531" i="25" s="1"/>
  <c r="H385" i="44"/>
  <c r="M531" i="25"/>
  <c r="N531" i="25" s="1"/>
  <c r="S527" i="25"/>
  <c r="Q527" i="25"/>
  <c r="R527" i="25" s="1"/>
  <c r="T527" i="25" s="1"/>
  <c r="M527" i="25"/>
  <c r="N527" i="25" s="1"/>
  <c r="H381" i="44"/>
  <c r="S523" i="25"/>
  <c r="Q523" i="25"/>
  <c r="R523" i="25" s="1"/>
  <c r="T523" i="25" s="1"/>
  <c r="H377" i="44"/>
  <c r="M523" i="25"/>
  <c r="N523" i="25" s="1"/>
  <c r="S519" i="25"/>
  <c r="Q519" i="25"/>
  <c r="R519" i="25" s="1"/>
  <c r="T519" i="25" s="1"/>
  <c r="H373" i="44"/>
  <c r="M519" i="25"/>
  <c r="N519" i="25" s="1"/>
  <c r="S515" i="25"/>
  <c r="Q515" i="25"/>
  <c r="R515" i="25" s="1"/>
  <c r="T515" i="25" s="1"/>
  <c r="H369" i="44"/>
  <c r="M515" i="25"/>
  <c r="N515" i="25" s="1"/>
  <c r="S511" i="25"/>
  <c r="Q511" i="25"/>
  <c r="R511" i="25" s="1"/>
  <c r="T511" i="25" s="1"/>
  <c r="M511" i="25"/>
  <c r="N511" i="25" s="1"/>
  <c r="H365" i="44"/>
  <c r="S507" i="25"/>
  <c r="Q507" i="25"/>
  <c r="R507" i="25" s="1"/>
  <c r="T507" i="25" s="1"/>
  <c r="H361" i="44"/>
  <c r="M507" i="25"/>
  <c r="N507" i="25" s="1"/>
  <c r="S503" i="25"/>
  <c r="Q503" i="25"/>
  <c r="R503" i="25" s="1"/>
  <c r="T503" i="25" s="1"/>
  <c r="H357" i="44"/>
  <c r="M503" i="25"/>
  <c r="N503" i="25" s="1"/>
  <c r="S499" i="25"/>
  <c r="Q499" i="25"/>
  <c r="R499" i="25" s="1"/>
  <c r="T499" i="25" s="1"/>
  <c r="H353" i="44"/>
  <c r="M499" i="25"/>
  <c r="N499" i="25" s="1"/>
  <c r="S495" i="25"/>
  <c r="Q495" i="25"/>
  <c r="R495" i="25" s="1"/>
  <c r="T495" i="25" s="1"/>
  <c r="M495" i="25"/>
  <c r="N495" i="25" s="1"/>
  <c r="H349" i="44"/>
  <c r="S491" i="25"/>
  <c r="Q491" i="25"/>
  <c r="R491" i="25" s="1"/>
  <c r="T491" i="25" s="1"/>
  <c r="H345" i="44"/>
  <c r="M491" i="25"/>
  <c r="N491" i="25" s="1"/>
  <c r="S487" i="25"/>
  <c r="Q487" i="25"/>
  <c r="R487" i="25" s="1"/>
  <c r="T487" i="25" s="1"/>
  <c r="H341" i="44"/>
  <c r="M487" i="25"/>
  <c r="N487" i="25" s="1"/>
  <c r="S483" i="25"/>
  <c r="Q483" i="25"/>
  <c r="R483" i="25" s="1"/>
  <c r="T483" i="25" s="1"/>
  <c r="H337" i="44"/>
  <c r="M483" i="25"/>
  <c r="N483" i="25" s="1"/>
  <c r="S479" i="25"/>
  <c r="Q479" i="25"/>
  <c r="R479" i="25" s="1"/>
  <c r="T479" i="25" s="1"/>
  <c r="M479" i="25"/>
  <c r="N479" i="25" s="1"/>
  <c r="H333" i="44"/>
  <c r="S475" i="25"/>
  <c r="Q475" i="25"/>
  <c r="R475" i="25" s="1"/>
  <c r="T475" i="25" s="1"/>
  <c r="H329" i="44"/>
  <c r="M475" i="25"/>
  <c r="N475" i="25" s="1"/>
  <c r="S471" i="25"/>
  <c r="Q471" i="25"/>
  <c r="R471" i="25" s="1"/>
  <c r="T471" i="25" s="1"/>
  <c r="H325" i="44"/>
  <c r="M471" i="25"/>
  <c r="N471" i="25" s="1"/>
  <c r="S467" i="25"/>
  <c r="Q467" i="25"/>
  <c r="R467" i="25" s="1"/>
  <c r="T467" i="25" s="1"/>
  <c r="H321" i="44"/>
  <c r="M467" i="25"/>
  <c r="N467" i="25" s="1"/>
  <c r="S463" i="25"/>
  <c r="Q463" i="25"/>
  <c r="R463" i="25" s="1"/>
  <c r="T463" i="25" s="1"/>
  <c r="M463" i="25"/>
  <c r="N463" i="25" s="1"/>
  <c r="H317" i="44"/>
  <c r="S459" i="25"/>
  <c r="Q459" i="25"/>
  <c r="R459" i="25" s="1"/>
  <c r="T459" i="25" s="1"/>
  <c r="H313" i="44"/>
  <c r="M459" i="25"/>
  <c r="N459" i="25" s="1"/>
  <c r="S455" i="25"/>
  <c r="Q455" i="25"/>
  <c r="R455" i="25" s="1"/>
  <c r="T455" i="25" s="1"/>
  <c r="H309" i="44"/>
  <c r="M455" i="25"/>
  <c r="N455" i="25" s="1"/>
  <c r="S450" i="25"/>
  <c r="Q450" i="25"/>
  <c r="R450" i="25" s="1"/>
  <c r="T450" i="25" s="1"/>
  <c r="M450" i="25"/>
  <c r="N450" i="25" s="1"/>
  <c r="H304" i="44"/>
  <c r="S446" i="25"/>
  <c r="Q446" i="25"/>
  <c r="R446" i="25" s="1"/>
  <c r="T446" i="25" s="1"/>
  <c r="M446" i="25"/>
  <c r="N446" i="25" s="1"/>
  <c r="H300" i="44"/>
  <c r="S442" i="25"/>
  <c r="M442" i="25"/>
  <c r="N442" i="25" s="1"/>
  <c r="Q442" i="25"/>
  <c r="R442" i="25" s="1"/>
  <c r="H296" i="44"/>
  <c r="S218" i="25"/>
  <c r="Q218" i="25"/>
  <c r="R218" i="25" s="1"/>
  <c r="T218" i="25" s="1"/>
  <c r="M218" i="25"/>
  <c r="N218" i="25" s="1"/>
  <c r="H292" i="44"/>
  <c r="S214" i="25"/>
  <c r="Q214" i="25"/>
  <c r="R214" i="25" s="1"/>
  <c r="T214" i="25" s="1"/>
  <c r="M214" i="25"/>
  <c r="N214" i="25" s="1"/>
  <c r="H288" i="44"/>
  <c r="S210" i="25"/>
  <c r="Q210" i="25"/>
  <c r="R210" i="25" s="1"/>
  <c r="T210" i="25" s="1"/>
  <c r="M210" i="25"/>
  <c r="N210" i="25" s="1"/>
  <c r="H284" i="44"/>
  <c r="S206" i="25"/>
  <c r="Q206" i="25"/>
  <c r="R206" i="25" s="1"/>
  <c r="T206" i="25" s="1"/>
  <c r="M206" i="25"/>
  <c r="N206" i="25" s="1"/>
  <c r="H280" i="44"/>
  <c r="S202" i="25"/>
  <c r="Q202" i="25"/>
  <c r="R202" i="25" s="1"/>
  <c r="T202" i="25" s="1"/>
  <c r="M202" i="25"/>
  <c r="N202" i="25" s="1"/>
  <c r="H276" i="44"/>
  <c r="S198" i="25"/>
  <c r="Q198" i="25"/>
  <c r="R198" i="25" s="1"/>
  <c r="T198" i="25" s="1"/>
  <c r="M198" i="25"/>
  <c r="N198" i="25" s="1"/>
  <c r="H272" i="44"/>
  <c r="S194" i="25"/>
  <c r="Q194" i="25"/>
  <c r="R194" i="25" s="1"/>
  <c r="T194" i="25" s="1"/>
  <c r="H268" i="44"/>
  <c r="M194" i="25"/>
  <c r="N194" i="25" s="1"/>
  <c r="S190" i="25"/>
  <c r="Q190" i="25"/>
  <c r="R190" i="25" s="1"/>
  <c r="T190" i="25" s="1"/>
  <c r="M190" i="25"/>
  <c r="N190" i="25" s="1"/>
  <c r="H264" i="44"/>
  <c r="S186" i="25"/>
  <c r="Q186" i="25"/>
  <c r="R186" i="25" s="1"/>
  <c r="T186" i="25" s="1"/>
  <c r="M186" i="25"/>
  <c r="N186" i="25" s="1"/>
  <c r="H260" i="44"/>
  <c r="S182" i="25"/>
  <c r="Q182" i="25"/>
  <c r="R182" i="25" s="1"/>
  <c r="T182" i="25" s="1"/>
  <c r="M182" i="25"/>
  <c r="N182" i="25" s="1"/>
  <c r="H256" i="44"/>
  <c r="S178" i="25"/>
  <c r="Q178" i="25"/>
  <c r="R178" i="25" s="1"/>
  <c r="T178" i="25" s="1"/>
  <c r="M178" i="25"/>
  <c r="N178" i="25" s="1"/>
  <c r="H252" i="44"/>
  <c r="S174" i="25"/>
  <c r="Q174" i="25"/>
  <c r="R174" i="25" s="1"/>
  <c r="T174" i="25" s="1"/>
  <c r="M174" i="25"/>
  <c r="N174" i="25" s="1"/>
  <c r="H248" i="44"/>
  <c r="S170" i="25"/>
  <c r="Q170" i="25"/>
  <c r="R170" i="25" s="1"/>
  <c r="T170" i="25" s="1"/>
  <c r="M170" i="25"/>
  <c r="N170" i="25" s="1"/>
  <c r="H244" i="44"/>
  <c r="S166" i="25"/>
  <c r="Q166" i="25"/>
  <c r="R166" i="25" s="1"/>
  <c r="T166" i="25" s="1"/>
  <c r="M166" i="25"/>
  <c r="N166" i="25" s="1"/>
  <c r="H240" i="44"/>
  <c r="S162" i="25"/>
  <c r="Q162" i="25"/>
  <c r="R162" i="25" s="1"/>
  <c r="T162" i="25" s="1"/>
  <c r="H236" i="44"/>
  <c r="M162" i="25"/>
  <c r="N162" i="25" s="1"/>
  <c r="S158" i="25"/>
  <c r="Q158" i="25"/>
  <c r="R158" i="25" s="1"/>
  <c r="T158" i="25" s="1"/>
  <c r="M158" i="25"/>
  <c r="N158" i="25" s="1"/>
  <c r="H232" i="44"/>
  <c r="S154" i="25"/>
  <c r="Q154" i="25"/>
  <c r="R154" i="25" s="1"/>
  <c r="T154" i="25" s="1"/>
  <c r="M154" i="25"/>
  <c r="N154" i="25" s="1"/>
  <c r="H228" i="44"/>
  <c r="S150" i="25"/>
  <c r="Q150" i="25"/>
  <c r="R150" i="25" s="1"/>
  <c r="T150" i="25" s="1"/>
  <c r="M150" i="25"/>
  <c r="N150" i="25" s="1"/>
  <c r="H224" i="44"/>
  <c r="S146" i="25"/>
  <c r="Q146" i="25"/>
  <c r="R146" i="25" s="1"/>
  <c r="T146" i="25" s="1"/>
  <c r="M146" i="25"/>
  <c r="N146" i="25" s="1"/>
  <c r="H220" i="44"/>
  <c r="S142" i="25"/>
  <c r="Q142" i="25"/>
  <c r="R142" i="25" s="1"/>
  <c r="T142" i="25" s="1"/>
  <c r="M142" i="25"/>
  <c r="N142" i="25" s="1"/>
  <c r="H216" i="44"/>
  <c r="S138" i="25"/>
  <c r="Q138" i="25"/>
  <c r="R138" i="25" s="1"/>
  <c r="T138" i="25" s="1"/>
  <c r="M138" i="25"/>
  <c r="N138" i="25" s="1"/>
  <c r="H212" i="44"/>
  <c r="S134" i="25"/>
  <c r="Q134" i="25"/>
  <c r="R134" i="25" s="1"/>
  <c r="T134" i="25" s="1"/>
  <c r="M134" i="25"/>
  <c r="N134" i="25" s="1"/>
  <c r="H208" i="44"/>
  <c r="S130" i="25"/>
  <c r="Q130" i="25"/>
  <c r="R130" i="25" s="1"/>
  <c r="T130" i="25" s="1"/>
  <c r="H204" i="44"/>
  <c r="M130" i="25"/>
  <c r="N130" i="25" s="1"/>
  <c r="S126" i="25"/>
  <c r="Q126" i="25"/>
  <c r="R126" i="25" s="1"/>
  <c r="T126" i="25" s="1"/>
  <c r="M126" i="25"/>
  <c r="N126" i="25" s="1"/>
  <c r="H200" i="44"/>
  <c r="S122" i="25"/>
  <c r="Q122" i="25"/>
  <c r="R122" i="25" s="1"/>
  <c r="T122" i="25" s="1"/>
  <c r="M122" i="25"/>
  <c r="N122" i="25" s="1"/>
  <c r="H196" i="44"/>
  <c r="S118" i="25"/>
  <c r="Q118" i="25"/>
  <c r="R118" i="25" s="1"/>
  <c r="T118" i="25" s="1"/>
  <c r="M118" i="25"/>
  <c r="N118" i="25" s="1"/>
  <c r="H192" i="44"/>
  <c r="S114" i="25"/>
  <c r="Q114" i="25"/>
  <c r="R114" i="25" s="1"/>
  <c r="T114" i="25" s="1"/>
  <c r="M114" i="25"/>
  <c r="N114" i="25" s="1"/>
  <c r="H188" i="44"/>
  <c r="S110" i="25"/>
  <c r="Q110" i="25"/>
  <c r="R110" i="25" s="1"/>
  <c r="T110" i="25" s="1"/>
  <c r="M110" i="25"/>
  <c r="N110" i="25" s="1"/>
  <c r="H184" i="44"/>
  <c r="S106" i="25"/>
  <c r="Q106" i="25"/>
  <c r="R106" i="25" s="1"/>
  <c r="T106" i="25" s="1"/>
  <c r="M106" i="25"/>
  <c r="N106" i="25" s="1"/>
  <c r="H180" i="44"/>
  <c r="S102" i="25"/>
  <c r="Q102" i="25"/>
  <c r="R102" i="25" s="1"/>
  <c r="T102" i="25" s="1"/>
  <c r="M102" i="25"/>
  <c r="N102" i="25" s="1"/>
  <c r="H176" i="44"/>
  <c r="S98" i="25"/>
  <c r="Q98" i="25"/>
  <c r="R98" i="25" s="1"/>
  <c r="T98" i="25" s="1"/>
  <c r="M98" i="25"/>
  <c r="N98" i="25" s="1"/>
  <c r="H172" i="44"/>
  <c r="S94" i="25"/>
  <c r="Q94" i="25"/>
  <c r="R94" i="25" s="1"/>
  <c r="T94" i="25" s="1"/>
  <c r="M94" i="25"/>
  <c r="N94" i="25" s="1"/>
  <c r="H168" i="44"/>
  <c r="S90" i="25"/>
  <c r="Q90" i="25"/>
  <c r="R90" i="25" s="1"/>
  <c r="T90" i="25" s="1"/>
  <c r="M90" i="25"/>
  <c r="N90" i="25" s="1"/>
  <c r="H164" i="44"/>
  <c r="S86" i="25"/>
  <c r="Q86" i="25"/>
  <c r="R86" i="25" s="1"/>
  <c r="T86" i="25" s="1"/>
  <c r="M86" i="25"/>
  <c r="N86" i="25" s="1"/>
  <c r="H160" i="44"/>
  <c r="S82" i="25"/>
  <c r="Q82" i="25"/>
  <c r="R82" i="25" s="1"/>
  <c r="T82" i="25" s="1"/>
  <c r="M82" i="25"/>
  <c r="N82" i="25" s="1"/>
  <c r="H156" i="44"/>
  <c r="S78" i="25"/>
  <c r="Q78" i="25"/>
  <c r="R78" i="25" s="1"/>
  <c r="T78" i="25" s="1"/>
  <c r="M78" i="25"/>
  <c r="N78" i="25" s="1"/>
  <c r="H152" i="44"/>
  <c r="S74" i="25"/>
  <c r="Q74" i="25"/>
  <c r="R74" i="25" s="1"/>
  <c r="T74" i="25" s="1"/>
  <c r="M74" i="25"/>
  <c r="N74" i="25" s="1"/>
  <c r="H148" i="44"/>
  <c r="S70" i="25"/>
  <c r="Q70" i="25"/>
  <c r="R70" i="25" s="1"/>
  <c r="T70" i="25" s="1"/>
  <c r="M70" i="25"/>
  <c r="N70" i="25" s="1"/>
  <c r="H144" i="44"/>
  <c r="S66" i="25"/>
  <c r="Q66" i="25"/>
  <c r="R66" i="25" s="1"/>
  <c r="T66" i="25" s="1"/>
  <c r="M66" i="25"/>
  <c r="N66" i="25" s="1"/>
  <c r="H140" i="44"/>
  <c r="S62" i="25"/>
  <c r="Q62" i="25"/>
  <c r="R62" i="25" s="1"/>
  <c r="T62" i="25" s="1"/>
  <c r="M62" i="25"/>
  <c r="N62" i="25" s="1"/>
  <c r="H136" i="44"/>
  <c r="S58" i="25"/>
  <c r="Q58" i="25"/>
  <c r="R58" i="25" s="1"/>
  <c r="T58" i="25" s="1"/>
  <c r="M58" i="25"/>
  <c r="N58" i="25" s="1"/>
  <c r="H132" i="44"/>
  <c r="S54" i="25"/>
  <c r="Q54" i="25"/>
  <c r="R54" i="25" s="1"/>
  <c r="T54" i="25" s="1"/>
  <c r="M54" i="25"/>
  <c r="N54" i="25" s="1"/>
  <c r="H128" i="44"/>
  <c r="S50" i="25"/>
  <c r="Q50" i="25"/>
  <c r="R50" i="25" s="1"/>
  <c r="T50" i="25" s="1"/>
  <c r="M50" i="25"/>
  <c r="N50" i="25" s="1"/>
  <c r="H124" i="44"/>
  <c r="S46" i="25"/>
  <c r="Q46" i="25"/>
  <c r="R46" i="25" s="1"/>
  <c r="T46" i="25" s="1"/>
  <c r="M46" i="25"/>
  <c r="N46" i="25" s="1"/>
  <c r="H120" i="44"/>
  <c r="S42" i="25"/>
  <c r="Q42" i="25"/>
  <c r="R42" i="25" s="1"/>
  <c r="T42" i="25" s="1"/>
  <c r="M42" i="25"/>
  <c r="N42" i="25" s="1"/>
  <c r="H116" i="44"/>
  <c r="S38" i="25"/>
  <c r="Q38" i="25"/>
  <c r="R38" i="25" s="1"/>
  <c r="T38" i="25" s="1"/>
  <c r="M38" i="25"/>
  <c r="N38" i="25" s="1"/>
  <c r="H112" i="44"/>
  <c r="S34" i="25"/>
  <c r="Q34" i="25"/>
  <c r="R34" i="25" s="1"/>
  <c r="T34" i="25" s="1"/>
  <c r="M34" i="25"/>
  <c r="N34" i="25" s="1"/>
  <c r="H108" i="44"/>
  <c r="S30" i="25"/>
  <c r="Q30" i="25"/>
  <c r="R30" i="25" s="1"/>
  <c r="T30" i="25" s="1"/>
  <c r="M30" i="25"/>
  <c r="N30" i="25" s="1"/>
  <c r="H104" i="44"/>
  <c r="S26" i="25"/>
  <c r="Q26" i="25"/>
  <c r="R26" i="25" s="1"/>
  <c r="T26" i="25" s="1"/>
  <c r="M26" i="25"/>
  <c r="N26" i="25" s="1"/>
  <c r="H100" i="44"/>
  <c r="S22" i="25"/>
  <c r="Q22" i="25"/>
  <c r="R22" i="25" s="1"/>
  <c r="T22" i="25" s="1"/>
  <c r="M22" i="25"/>
  <c r="N22" i="25" s="1"/>
  <c r="H96" i="44"/>
  <c r="S18" i="25"/>
  <c r="Q18" i="25"/>
  <c r="R18" i="25" s="1"/>
  <c r="T18" i="25" s="1"/>
  <c r="M18" i="25"/>
  <c r="N18" i="25" s="1"/>
  <c r="H92" i="44"/>
  <c r="S14" i="25"/>
  <c r="Q14" i="25"/>
  <c r="R14" i="25" s="1"/>
  <c r="T14" i="25" s="1"/>
  <c r="M14" i="25"/>
  <c r="N14" i="25" s="1"/>
  <c r="H88" i="44"/>
  <c r="S10" i="25"/>
  <c r="Q10" i="25"/>
  <c r="R10" i="25" s="1"/>
  <c r="T10" i="25" s="1"/>
  <c r="M10" i="25"/>
  <c r="N10" i="25" s="1"/>
  <c r="H84" i="44"/>
  <c r="S6" i="25"/>
  <c r="Q6" i="25"/>
  <c r="R6" i="25" s="1"/>
  <c r="T6" i="25" s="1"/>
  <c r="M6" i="25"/>
  <c r="N6" i="25" s="1"/>
  <c r="H80" i="44"/>
  <c r="Q3" i="25"/>
  <c r="R3" i="25" s="1"/>
  <c r="S3" i="25"/>
  <c r="M3" i="25"/>
  <c r="N3" i="25" s="1"/>
  <c r="H77" i="44"/>
  <c r="K434" i="37"/>
  <c r="O434" i="37" s="1"/>
  <c r="Q434" i="37" s="1"/>
  <c r="X434" i="37"/>
  <c r="T434" i="37"/>
  <c r="V434" i="37" s="1"/>
  <c r="S798" i="25"/>
  <c r="Q798" i="25"/>
  <c r="R798" i="25" s="1"/>
  <c r="T798" i="25" s="1"/>
  <c r="M798" i="25"/>
  <c r="N798" i="25" s="1"/>
  <c r="I432" i="44"/>
  <c r="I432" i="37"/>
  <c r="S795" i="25"/>
  <c r="Q795" i="25"/>
  <c r="R795" i="25" s="1"/>
  <c r="T795" i="25" s="1"/>
  <c r="I429" i="44"/>
  <c r="M795" i="25"/>
  <c r="N795" i="25" s="1"/>
  <c r="K418" i="37"/>
  <c r="O418" i="37" s="1"/>
  <c r="Q418" i="37" s="1"/>
  <c r="X418" i="37"/>
  <c r="T418" i="37"/>
  <c r="V418" i="37" s="1"/>
  <c r="S782" i="25"/>
  <c r="Q782" i="25"/>
  <c r="R782" i="25" s="1"/>
  <c r="T782" i="25" s="1"/>
  <c r="M782" i="25"/>
  <c r="N782" i="25" s="1"/>
  <c r="I416" i="44"/>
  <c r="I416" i="37"/>
  <c r="S779" i="25"/>
  <c r="Q779" i="25"/>
  <c r="R779" i="25" s="1"/>
  <c r="I413" i="44"/>
  <c r="M779" i="25"/>
  <c r="N779" i="25" s="1"/>
  <c r="K406" i="44"/>
  <c r="M406" i="44" s="1"/>
  <c r="P406" i="44"/>
  <c r="R406" i="44" s="1"/>
  <c r="T401" i="37"/>
  <c r="V401" i="37" s="1"/>
  <c r="Z401" i="37" s="1"/>
  <c r="AC401" i="37" s="1"/>
  <c r="K401" i="37"/>
  <c r="O401" i="37" s="1"/>
  <c r="Q401" i="37" s="1"/>
  <c r="X401" i="37"/>
  <c r="S765" i="25"/>
  <c r="Q765" i="25"/>
  <c r="R765" i="25" s="1"/>
  <c r="T765" i="25" s="1"/>
  <c r="M765" i="25"/>
  <c r="N765" i="25" s="1"/>
  <c r="I399" i="44"/>
  <c r="I399" i="37"/>
  <c r="S762" i="25"/>
  <c r="Q762" i="25"/>
  <c r="R762" i="25" s="1"/>
  <c r="M762" i="25"/>
  <c r="N762" i="25" s="1"/>
  <c r="I396" i="44"/>
  <c r="T385" i="37"/>
  <c r="V385" i="37" s="1"/>
  <c r="K385" i="37"/>
  <c r="O385" i="37" s="1"/>
  <c r="Q385" i="37" s="1"/>
  <c r="X385" i="37"/>
  <c r="S749" i="25"/>
  <c r="Q749" i="25"/>
  <c r="R749" i="25" s="1"/>
  <c r="M749" i="25"/>
  <c r="N749" i="25" s="1"/>
  <c r="I383" i="44"/>
  <c r="I383" i="37"/>
  <c r="S746" i="25"/>
  <c r="Q746" i="25"/>
  <c r="R746" i="25" s="1"/>
  <c r="T746" i="25" s="1"/>
  <c r="M746" i="25"/>
  <c r="N746" i="25" s="1"/>
  <c r="I380" i="44"/>
  <c r="S733" i="25"/>
  <c r="Q733" i="25"/>
  <c r="R733" i="25" s="1"/>
  <c r="M733" i="25"/>
  <c r="N733" i="25" s="1"/>
  <c r="I367" i="44"/>
  <c r="I367" i="37"/>
  <c r="K360" i="37"/>
  <c r="O360" i="37" s="1"/>
  <c r="Q360" i="37" s="1"/>
  <c r="H288" i="32"/>
  <c r="X360" i="37"/>
  <c r="T360" i="37"/>
  <c r="V360" i="37" s="1"/>
  <c r="S717" i="25"/>
  <c r="Q717" i="25"/>
  <c r="R717" i="25" s="1"/>
  <c r="M717" i="25"/>
  <c r="N717" i="25" s="1"/>
  <c r="I351" i="44"/>
  <c r="I351" i="37"/>
  <c r="T343" i="37"/>
  <c r="V343" i="37" s="1"/>
  <c r="X343" i="37"/>
  <c r="H271" i="32"/>
  <c r="K343" i="37"/>
  <c r="O343" i="37" s="1"/>
  <c r="Q343" i="37" s="1"/>
  <c r="S700" i="25"/>
  <c r="Q700" i="25"/>
  <c r="R700" i="25" s="1"/>
  <c r="T700" i="25" s="1"/>
  <c r="M700" i="25"/>
  <c r="N700" i="25" s="1"/>
  <c r="I334" i="37"/>
  <c r="I334" i="44"/>
  <c r="T327" i="37"/>
  <c r="V327" i="37" s="1"/>
  <c r="X327" i="37"/>
  <c r="H255" i="32"/>
  <c r="K327" i="37"/>
  <c r="O327" i="37" s="1"/>
  <c r="Q327" i="37" s="1"/>
  <c r="Z223" i="37"/>
  <c r="J276" i="37"/>
  <c r="L276" i="37" s="1"/>
  <c r="N276" i="37" s="1"/>
  <c r="J244" i="37"/>
  <c r="L244" i="37" s="1"/>
  <c r="N244" i="37" s="1"/>
  <c r="J212" i="37"/>
  <c r="L212" i="37" s="1"/>
  <c r="N212" i="37" s="1"/>
  <c r="J180" i="37"/>
  <c r="L180" i="37" s="1"/>
  <c r="N180" i="37" s="1"/>
  <c r="J148" i="37"/>
  <c r="L148" i="37" s="1"/>
  <c r="N148" i="37" s="1"/>
  <c r="J116" i="37"/>
  <c r="L116" i="37" s="1"/>
  <c r="N116" i="37" s="1"/>
  <c r="J84" i="37"/>
  <c r="L84" i="37" s="1"/>
  <c r="N84" i="37" s="1"/>
  <c r="Q680" i="25"/>
  <c r="R680" i="25" s="1"/>
  <c r="T680" i="25" s="1"/>
  <c r="S680" i="25"/>
  <c r="M680" i="25"/>
  <c r="N680" i="25" s="1"/>
  <c r="I314" i="44"/>
  <c r="I314" i="37"/>
  <c r="X307" i="37"/>
  <c r="H235" i="32"/>
  <c r="T307" i="37"/>
  <c r="V307" i="37" s="1"/>
  <c r="K307" i="37"/>
  <c r="O307" i="37" s="1"/>
  <c r="Q307" i="37" s="1"/>
  <c r="Q664" i="25"/>
  <c r="R664" i="25" s="1"/>
  <c r="T664" i="25" s="1"/>
  <c r="S664" i="25"/>
  <c r="M664" i="25"/>
  <c r="N664" i="25" s="1"/>
  <c r="I298" i="44"/>
  <c r="I298" i="37"/>
  <c r="X291" i="37"/>
  <c r="H219" i="32"/>
  <c r="T291" i="37"/>
  <c r="V291" i="37" s="1"/>
  <c r="Z291" i="37" s="1"/>
  <c r="AC291" i="37" s="1"/>
  <c r="K291" i="37"/>
  <c r="O291" i="37" s="1"/>
  <c r="Q291" i="37" s="1"/>
  <c r="S428" i="25"/>
  <c r="Q428" i="25"/>
  <c r="R428" i="25" s="1"/>
  <c r="T428" i="25" s="1"/>
  <c r="M428" i="25"/>
  <c r="N428" i="25" s="1"/>
  <c r="I282" i="44"/>
  <c r="I282" i="37"/>
  <c r="T277" i="37"/>
  <c r="V277" i="37" s="1"/>
  <c r="X277" i="37"/>
  <c r="K277" i="37"/>
  <c r="O277" i="37" s="1"/>
  <c r="Q277" i="37" s="1"/>
  <c r="H205" i="32"/>
  <c r="X275" i="37"/>
  <c r="H203" i="32"/>
  <c r="T275" i="37"/>
  <c r="V275" i="37" s="1"/>
  <c r="Z275" i="37" s="1"/>
  <c r="AC275" i="37" s="1"/>
  <c r="K275" i="37"/>
  <c r="O275" i="37" s="1"/>
  <c r="Q275" i="37" s="1"/>
  <c r="S412" i="25"/>
  <c r="Q412" i="25"/>
  <c r="R412" i="25" s="1"/>
  <c r="T412" i="25" s="1"/>
  <c r="M412" i="25"/>
  <c r="N412" i="25" s="1"/>
  <c r="I266" i="44"/>
  <c r="I266" i="37"/>
  <c r="T261" i="37"/>
  <c r="V261" i="37" s="1"/>
  <c r="Z261" i="37" s="1"/>
  <c r="AC261" i="37" s="1"/>
  <c r="X261" i="37"/>
  <c r="K261" i="37"/>
  <c r="O261" i="37" s="1"/>
  <c r="Q261" i="37" s="1"/>
  <c r="H189" i="32"/>
  <c r="X259" i="37"/>
  <c r="H187" i="32"/>
  <c r="T259" i="37"/>
  <c r="V259" i="37" s="1"/>
  <c r="K259" i="37"/>
  <c r="O259" i="37" s="1"/>
  <c r="Q259" i="37" s="1"/>
  <c r="X251" i="37"/>
  <c r="T251" i="37"/>
  <c r="V251" i="37" s="1"/>
  <c r="H179" i="32"/>
  <c r="K251" i="37"/>
  <c r="O251" i="37" s="1"/>
  <c r="Q251" i="37" s="1"/>
  <c r="S388" i="25"/>
  <c r="M388" i="25"/>
  <c r="N388" i="25" s="1"/>
  <c r="Q388" i="25"/>
  <c r="R388" i="25" s="1"/>
  <c r="I242" i="44"/>
  <c r="I242" i="37"/>
  <c r="X235" i="37"/>
  <c r="T235" i="37"/>
  <c r="V235" i="37" s="1"/>
  <c r="H163" i="32"/>
  <c r="K235" i="37"/>
  <c r="O235" i="37" s="1"/>
  <c r="Q235" i="37" s="1"/>
  <c r="S372" i="25"/>
  <c r="M372" i="25"/>
  <c r="N372" i="25" s="1"/>
  <c r="Q372" i="25"/>
  <c r="R372" i="25" s="1"/>
  <c r="I226" i="44"/>
  <c r="I226" i="37"/>
  <c r="S364" i="25"/>
  <c r="Q364" i="25"/>
  <c r="R364" i="25" s="1"/>
  <c r="T364" i="25" s="1"/>
  <c r="M364" i="25"/>
  <c r="N364" i="25" s="1"/>
  <c r="I218" i="44"/>
  <c r="I218" i="37"/>
  <c r="X211" i="37"/>
  <c r="H139" i="32"/>
  <c r="T211" i="37"/>
  <c r="V211" i="37" s="1"/>
  <c r="Z211" i="37" s="1"/>
  <c r="AC211" i="37" s="1"/>
  <c r="K211" i="37"/>
  <c r="O211" i="37" s="1"/>
  <c r="Q211" i="37" s="1"/>
  <c r="S348" i="25"/>
  <c r="M348" i="25"/>
  <c r="N348" i="25" s="1"/>
  <c r="Q348" i="25"/>
  <c r="R348" i="25" s="1"/>
  <c r="T348" i="25" s="1"/>
  <c r="I202" i="44"/>
  <c r="I202" i="37"/>
  <c r="X195" i="37"/>
  <c r="H123" i="32"/>
  <c r="T195" i="37"/>
  <c r="V195" i="37" s="1"/>
  <c r="K195" i="37"/>
  <c r="O195" i="37" s="1"/>
  <c r="Q195" i="37" s="1"/>
  <c r="S332" i="25"/>
  <c r="M332" i="25"/>
  <c r="N332" i="25" s="1"/>
  <c r="Q332" i="25"/>
  <c r="R332" i="25" s="1"/>
  <c r="I186" i="44"/>
  <c r="I186" i="37"/>
  <c r="X179" i="37"/>
  <c r="H107" i="32"/>
  <c r="T179" i="37"/>
  <c r="V179" i="37" s="1"/>
  <c r="K179" i="37"/>
  <c r="O179" i="37" s="1"/>
  <c r="Q179" i="37" s="1"/>
  <c r="S316" i="25"/>
  <c r="M316" i="25"/>
  <c r="N316" i="25" s="1"/>
  <c r="Q316" i="25"/>
  <c r="R316" i="25" s="1"/>
  <c r="I170" i="44"/>
  <c r="I170" i="37"/>
  <c r="X163" i="37"/>
  <c r="H91" i="32"/>
  <c r="T163" i="37"/>
  <c r="V163" i="37" s="1"/>
  <c r="Z163" i="37" s="1"/>
  <c r="AC163" i="37" s="1"/>
  <c r="K163" i="37"/>
  <c r="O163" i="37" s="1"/>
  <c r="Q163" i="37" s="1"/>
  <c r="S300" i="25"/>
  <c r="M300" i="25"/>
  <c r="N300" i="25" s="1"/>
  <c r="Q300" i="25"/>
  <c r="R300" i="25" s="1"/>
  <c r="T300" i="25" s="1"/>
  <c r="I154" i="44"/>
  <c r="I154" i="37"/>
  <c r="X147" i="37"/>
  <c r="H75" i="32"/>
  <c r="T147" i="37"/>
  <c r="V147" i="37" s="1"/>
  <c r="Z147" i="37" s="1"/>
  <c r="AC147" i="37" s="1"/>
  <c r="K147" i="37"/>
  <c r="O147" i="37" s="1"/>
  <c r="Q147" i="37" s="1"/>
  <c r="S284" i="25"/>
  <c r="M284" i="25"/>
  <c r="N284" i="25" s="1"/>
  <c r="Q284" i="25"/>
  <c r="R284" i="25" s="1"/>
  <c r="T284" i="25" s="1"/>
  <c r="I138" i="44"/>
  <c r="I138" i="37"/>
  <c r="X131" i="37"/>
  <c r="H59" i="32"/>
  <c r="T131" i="37"/>
  <c r="V131" i="37" s="1"/>
  <c r="K131" i="37"/>
  <c r="O131" i="37" s="1"/>
  <c r="Q131" i="37" s="1"/>
  <c r="S268" i="25"/>
  <c r="Q268" i="25"/>
  <c r="R268" i="25" s="1"/>
  <c r="M268" i="25"/>
  <c r="N268" i="25" s="1"/>
  <c r="I122" i="44"/>
  <c r="I122" i="37"/>
  <c r="X115" i="37"/>
  <c r="H43" i="32"/>
  <c r="T115" i="37"/>
  <c r="V115" i="37" s="1"/>
  <c r="Z115" i="37" s="1"/>
  <c r="K115" i="37"/>
  <c r="O115" i="37" s="1"/>
  <c r="Q115" i="37" s="1"/>
  <c r="S252" i="25"/>
  <c r="Q252" i="25"/>
  <c r="R252" i="25" s="1"/>
  <c r="M252" i="25"/>
  <c r="N252" i="25" s="1"/>
  <c r="I106" i="44"/>
  <c r="I106" i="37"/>
  <c r="X99" i="37"/>
  <c r="H27" i="32"/>
  <c r="T99" i="37"/>
  <c r="V99" i="37" s="1"/>
  <c r="Z99" i="37" s="1"/>
  <c r="AC99" i="37" s="1"/>
  <c r="K99" i="37"/>
  <c r="O99" i="37" s="1"/>
  <c r="Q99" i="37" s="1"/>
  <c r="S236" i="25"/>
  <c r="Q236" i="25"/>
  <c r="R236" i="25" s="1"/>
  <c r="T236" i="25" s="1"/>
  <c r="M236" i="25"/>
  <c r="N236" i="25" s="1"/>
  <c r="I90" i="44"/>
  <c r="I90" i="37"/>
  <c r="X83" i="37"/>
  <c r="H11" i="32"/>
  <c r="T83" i="37"/>
  <c r="V83" i="37" s="1"/>
  <c r="K83" i="37"/>
  <c r="O83" i="37" s="1"/>
  <c r="Q83" i="37" s="1"/>
  <c r="T405" i="37"/>
  <c r="V405" i="37" s="1"/>
  <c r="Z405" i="37" s="1"/>
  <c r="K405" i="37"/>
  <c r="O405" i="37" s="1"/>
  <c r="Q405" i="37" s="1"/>
  <c r="H333" i="32"/>
  <c r="X405" i="37"/>
  <c r="S307" i="37"/>
  <c r="U307" i="37" s="1"/>
  <c r="W307" i="37"/>
  <c r="J307" i="37"/>
  <c r="L307" i="37" s="1"/>
  <c r="N307" i="37" s="1"/>
  <c r="G235" i="32"/>
  <c r="J268" i="37"/>
  <c r="L268" i="37" s="1"/>
  <c r="N268" i="37" s="1"/>
  <c r="J236" i="37"/>
  <c r="L236" i="37" s="1"/>
  <c r="N236" i="37" s="1"/>
  <c r="J204" i="37"/>
  <c r="L204" i="37" s="1"/>
  <c r="N204" i="37" s="1"/>
  <c r="J172" i="37"/>
  <c r="L172" i="37" s="1"/>
  <c r="N172" i="37" s="1"/>
  <c r="J140" i="37"/>
  <c r="L140" i="37" s="1"/>
  <c r="N140" i="37" s="1"/>
  <c r="J108" i="37"/>
  <c r="L108" i="37" s="1"/>
  <c r="N108" i="37" s="1"/>
  <c r="J296" i="37"/>
  <c r="L296" i="37" s="1"/>
  <c r="N296" i="37" s="1"/>
  <c r="C76" i="37"/>
  <c r="C80" i="37"/>
  <c r="C84" i="37"/>
  <c r="C88" i="37"/>
  <c r="C92" i="37"/>
  <c r="C96" i="37"/>
  <c r="C100" i="37"/>
  <c r="C104" i="37"/>
  <c r="C108" i="37"/>
  <c r="C112" i="37"/>
  <c r="C116" i="37"/>
  <c r="C120" i="37"/>
  <c r="C124" i="37"/>
  <c r="C128" i="37"/>
  <c r="C132" i="37"/>
  <c r="C136" i="37"/>
  <c r="C140" i="37"/>
  <c r="C144" i="37"/>
  <c r="C148" i="37"/>
  <c r="C152" i="37"/>
  <c r="C156" i="37"/>
  <c r="C160" i="37"/>
  <c r="C164" i="37"/>
  <c r="C168" i="37"/>
  <c r="C172" i="37"/>
  <c r="C176" i="37"/>
  <c r="C180" i="37"/>
  <c r="C184" i="37"/>
  <c r="C188" i="37"/>
  <c r="C192" i="37"/>
  <c r="C196" i="37"/>
  <c r="C200" i="37"/>
  <c r="C204" i="37"/>
  <c r="C208" i="37"/>
  <c r="C212" i="37"/>
  <c r="C216" i="37"/>
  <c r="C220" i="37"/>
  <c r="C224" i="37"/>
  <c r="C228" i="37"/>
  <c r="C232" i="37"/>
  <c r="C236" i="37"/>
  <c r="C240" i="37"/>
  <c r="C244" i="37"/>
  <c r="C248" i="37"/>
  <c r="C252" i="37"/>
  <c r="C256" i="37"/>
  <c r="C260" i="37"/>
  <c r="C264" i="37"/>
  <c r="C268" i="37"/>
  <c r="C272" i="37"/>
  <c r="C276" i="37"/>
  <c r="C280" i="37"/>
  <c r="C284" i="37"/>
  <c r="C288" i="37"/>
  <c r="C292" i="37"/>
  <c r="C296" i="37"/>
  <c r="C300" i="37"/>
  <c r="C304" i="37"/>
  <c r="C308" i="37"/>
  <c r="C312" i="37"/>
  <c r="C316" i="37"/>
  <c r="C320" i="37"/>
  <c r="C324" i="37"/>
  <c r="C328" i="37"/>
  <c r="C332" i="37"/>
  <c r="C336" i="37"/>
  <c r="C340" i="37"/>
  <c r="C344" i="37"/>
  <c r="C348" i="37"/>
  <c r="C352" i="37"/>
  <c r="C356" i="37"/>
  <c r="C360" i="37"/>
  <c r="C364" i="37"/>
  <c r="C368" i="37"/>
  <c r="C372" i="37"/>
  <c r="C376" i="37"/>
  <c r="C380" i="37"/>
  <c r="C384" i="37"/>
  <c r="C388" i="37"/>
  <c r="C392" i="37"/>
  <c r="C396" i="37"/>
  <c r="C400" i="37"/>
  <c r="C404" i="37"/>
  <c r="C408" i="37"/>
  <c r="C412" i="37"/>
  <c r="C416" i="37"/>
  <c r="C420" i="37"/>
  <c r="C424" i="37"/>
  <c r="C428" i="37"/>
  <c r="C432" i="37"/>
  <c r="C436" i="37"/>
  <c r="C440" i="37"/>
  <c r="C444" i="37"/>
  <c r="C448" i="37"/>
  <c r="C452" i="37"/>
  <c r="C456" i="37"/>
  <c r="C460" i="37"/>
  <c r="C464" i="37"/>
  <c r="C468" i="37"/>
  <c r="C472" i="37"/>
  <c r="C476" i="37"/>
  <c r="C480" i="37"/>
  <c r="C484" i="37"/>
  <c r="C488" i="37"/>
  <c r="C492" i="37"/>
  <c r="C496" i="37"/>
  <c r="C500" i="37"/>
  <c r="C504" i="37"/>
  <c r="C508" i="37"/>
  <c r="C512" i="37"/>
  <c r="S661" i="25"/>
  <c r="Q661" i="25"/>
  <c r="R661" i="25" s="1"/>
  <c r="M661" i="25"/>
  <c r="N661" i="25" s="1"/>
  <c r="H515" i="44"/>
  <c r="S657" i="25"/>
  <c r="Q657" i="25"/>
  <c r="R657" i="25" s="1"/>
  <c r="M657" i="25"/>
  <c r="N657" i="25" s="1"/>
  <c r="H511" i="44"/>
  <c r="S653" i="25"/>
  <c r="Q653" i="25"/>
  <c r="R653" i="25" s="1"/>
  <c r="M653" i="25"/>
  <c r="N653" i="25" s="1"/>
  <c r="H507" i="44"/>
  <c r="G433" i="32"/>
  <c r="H504" i="37"/>
  <c r="S649" i="25"/>
  <c r="Q649" i="25"/>
  <c r="R649" i="25" s="1"/>
  <c r="T649" i="25" s="1"/>
  <c r="M649" i="25"/>
  <c r="N649" i="25" s="1"/>
  <c r="H503" i="44"/>
  <c r="G429" i="32"/>
  <c r="H500" i="37"/>
  <c r="S645" i="25"/>
  <c r="Q645" i="25"/>
  <c r="R645" i="25" s="1"/>
  <c r="M645" i="25"/>
  <c r="N645" i="25" s="1"/>
  <c r="H499" i="44"/>
  <c r="G425" i="32"/>
  <c r="H496" i="37"/>
  <c r="S641" i="25"/>
  <c r="Q641" i="25"/>
  <c r="R641" i="25" s="1"/>
  <c r="T641" i="25" s="1"/>
  <c r="M641" i="25"/>
  <c r="N641" i="25" s="1"/>
  <c r="H495" i="44"/>
  <c r="G421" i="32"/>
  <c r="H492" i="37"/>
  <c r="S637" i="25"/>
  <c r="Q637" i="25"/>
  <c r="R637" i="25" s="1"/>
  <c r="M637" i="25"/>
  <c r="N637" i="25" s="1"/>
  <c r="H491" i="44"/>
  <c r="G417" i="32"/>
  <c r="H488" i="37"/>
  <c r="S633" i="25"/>
  <c r="Q633" i="25"/>
  <c r="R633" i="25" s="1"/>
  <c r="T633" i="25" s="1"/>
  <c r="M633" i="25"/>
  <c r="N633" i="25" s="1"/>
  <c r="H487" i="44"/>
  <c r="G413" i="32"/>
  <c r="H484" i="37"/>
  <c r="S629" i="25"/>
  <c r="Q629" i="25"/>
  <c r="R629" i="25" s="1"/>
  <c r="M629" i="25"/>
  <c r="N629" i="25" s="1"/>
  <c r="H483" i="44"/>
  <c r="G409" i="32"/>
  <c r="H480" i="37"/>
  <c r="S625" i="25"/>
  <c r="Q625" i="25"/>
  <c r="R625" i="25" s="1"/>
  <c r="T625" i="25" s="1"/>
  <c r="M625" i="25"/>
  <c r="N625" i="25" s="1"/>
  <c r="H479" i="44"/>
  <c r="G405" i="32"/>
  <c r="H476" i="37"/>
  <c r="S621" i="25"/>
  <c r="Q621" i="25"/>
  <c r="R621" i="25" s="1"/>
  <c r="M621" i="25"/>
  <c r="N621" i="25" s="1"/>
  <c r="H475" i="44"/>
  <c r="G401" i="32"/>
  <c r="H472" i="37"/>
  <c r="S617" i="25"/>
  <c r="Q617" i="25"/>
  <c r="R617" i="25" s="1"/>
  <c r="T617" i="25" s="1"/>
  <c r="M617" i="25"/>
  <c r="N617" i="25" s="1"/>
  <c r="H471" i="44"/>
  <c r="G397" i="32"/>
  <c r="H468" i="37"/>
  <c r="S613" i="25"/>
  <c r="Q613" i="25"/>
  <c r="R613" i="25" s="1"/>
  <c r="M613" i="25"/>
  <c r="N613" i="25" s="1"/>
  <c r="H467" i="44"/>
  <c r="G393" i="32"/>
  <c r="H464" i="37"/>
  <c r="S609" i="25"/>
  <c r="Q609" i="25"/>
  <c r="R609" i="25" s="1"/>
  <c r="T609" i="25" s="1"/>
  <c r="M609" i="25"/>
  <c r="N609" i="25" s="1"/>
  <c r="H463" i="44"/>
  <c r="G389" i="32"/>
  <c r="H460" i="37"/>
  <c r="S605" i="25"/>
  <c r="Q605" i="25"/>
  <c r="R605" i="25" s="1"/>
  <c r="M605" i="25"/>
  <c r="N605" i="25" s="1"/>
  <c r="H459" i="44"/>
  <c r="G385" i="32"/>
  <c r="H456" i="37"/>
  <c r="S601" i="25"/>
  <c r="Q601" i="25"/>
  <c r="R601" i="25" s="1"/>
  <c r="T601" i="25" s="1"/>
  <c r="M601" i="25"/>
  <c r="N601" i="25" s="1"/>
  <c r="H455" i="44"/>
  <c r="G381" i="32"/>
  <c r="H452" i="37"/>
  <c r="S597" i="25"/>
  <c r="Q597" i="25"/>
  <c r="R597" i="25" s="1"/>
  <c r="M597" i="25"/>
  <c r="N597" i="25" s="1"/>
  <c r="H451" i="44"/>
  <c r="G377" i="32"/>
  <c r="H448" i="37"/>
  <c r="S593" i="25"/>
  <c r="Q593" i="25"/>
  <c r="R593" i="25" s="1"/>
  <c r="T593" i="25" s="1"/>
  <c r="M593" i="25"/>
  <c r="N593" i="25" s="1"/>
  <c r="H447" i="44"/>
  <c r="G373" i="32"/>
  <c r="H444" i="37"/>
  <c r="S589" i="25"/>
  <c r="Q589" i="25"/>
  <c r="R589" i="25" s="1"/>
  <c r="M589" i="25"/>
  <c r="N589" i="25" s="1"/>
  <c r="H443" i="44"/>
  <c r="G369" i="32"/>
  <c r="H440" i="37"/>
  <c r="S585" i="25"/>
  <c r="Q585" i="25"/>
  <c r="R585" i="25" s="1"/>
  <c r="T585" i="25" s="1"/>
  <c r="M585" i="25"/>
  <c r="N585" i="25" s="1"/>
  <c r="H439" i="44"/>
  <c r="G365" i="32"/>
  <c r="H436" i="37"/>
  <c r="S581" i="25"/>
  <c r="Q581" i="25"/>
  <c r="R581" i="25" s="1"/>
  <c r="M581" i="25"/>
  <c r="N581" i="25" s="1"/>
  <c r="H435" i="44"/>
  <c r="G361" i="32"/>
  <c r="H432" i="37"/>
  <c r="S577" i="25"/>
  <c r="Q577" i="25"/>
  <c r="R577" i="25" s="1"/>
  <c r="T577" i="25" s="1"/>
  <c r="M577" i="25"/>
  <c r="N577" i="25" s="1"/>
  <c r="H431" i="44"/>
  <c r="G357" i="32"/>
  <c r="H428" i="37"/>
  <c r="S573" i="25"/>
  <c r="Q573" i="25"/>
  <c r="R573" i="25" s="1"/>
  <c r="M573" i="25"/>
  <c r="N573" i="25" s="1"/>
  <c r="H427" i="44"/>
  <c r="G353" i="32"/>
  <c r="H424" i="37"/>
  <c r="S569" i="25"/>
  <c r="Q569" i="25"/>
  <c r="R569" i="25" s="1"/>
  <c r="T569" i="25" s="1"/>
  <c r="M569" i="25"/>
  <c r="N569" i="25" s="1"/>
  <c r="H423" i="44"/>
  <c r="G349" i="32"/>
  <c r="H420" i="37"/>
  <c r="S565" i="25"/>
  <c r="Q565" i="25"/>
  <c r="R565" i="25" s="1"/>
  <c r="M565" i="25"/>
  <c r="N565" i="25" s="1"/>
  <c r="H419" i="44"/>
  <c r="G345" i="32"/>
  <c r="H416" i="37"/>
  <c r="S561" i="25"/>
  <c r="Q561" i="25"/>
  <c r="R561" i="25" s="1"/>
  <c r="T561" i="25" s="1"/>
  <c r="M561" i="25"/>
  <c r="N561" i="25" s="1"/>
  <c r="H415" i="44"/>
  <c r="G341" i="32"/>
  <c r="H412" i="37"/>
  <c r="S557" i="25"/>
  <c r="Q557" i="25"/>
  <c r="R557" i="25" s="1"/>
  <c r="M557" i="25"/>
  <c r="N557" i="25" s="1"/>
  <c r="H411" i="44"/>
  <c r="G337" i="32"/>
  <c r="H408" i="37"/>
  <c r="S553" i="25"/>
  <c r="Q553" i="25"/>
  <c r="R553" i="25" s="1"/>
  <c r="T553" i="25" s="1"/>
  <c r="M553" i="25"/>
  <c r="N553" i="25" s="1"/>
  <c r="H407" i="44"/>
  <c r="G333" i="32"/>
  <c r="H404" i="37"/>
  <c r="S549" i="25"/>
  <c r="Q549" i="25"/>
  <c r="R549" i="25" s="1"/>
  <c r="M549" i="25"/>
  <c r="N549" i="25" s="1"/>
  <c r="H403" i="44"/>
  <c r="G329" i="32"/>
  <c r="H400" i="37"/>
  <c r="S545" i="25"/>
  <c r="Q545" i="25"/>
  <c r="R545" i="25" s="1"/>
  <c r="T545" i="25" s="1"/>
  <c r="M545" i="25"/>
  <c r="N545" i="25" s="1"/>
  <c r="H399" i="44"/>
  <c r="G325" i="32"/>
  <c r="H396" i="37"/>
  <c r="S541" i="25"/>
  <c r="Q541" i="25"/>
  <c r="R541" i="25" s="1"/>
  <c r="M541" i="25"/>
  <c r="N541" i="25" s="1"/>
  <c r="H395" i="44"/>
  <c r="G321" i="32"/>
  <c r="H392" i="37"/>
  <c r="S537" i="25"/>
  <c r="Q537" i="25"/>
  <c r="R537" i="25" s="1"/>
  <c r="T537" i="25" s="1"/>
  <c r="M537" i="25"/>
  <c r="N537" i="25" s="1"/>
  <c r="H391" i="44"/>
  <c r="G317" i="32"/>
  <c r="H388" i="37"/>
  <c r="S533" i="25"/>
  <c r="Q533" i="25"/>
  <c r="R533" i="25" s="1"/>
  <c r="M533" i="25"/>
  <c r="N533" i="25" s="1"/>
  <c r="H387" i="44"/>
  <c r="G313" i="32"/>
  <c r="H384" i="37"/>
  <c r="S529" i="25"/>
  <c r="Q529" i="25"/>
  <c r="R529" i="25" s="1"/>
  <c r="T529" i="25" s="1"/>
  <c r="M529" i="25"/>
  <c r="N529" i="25" s="1"/>
  <c r="H383" i="44"/>
  <c r="G309" i="32"/>
  <c r="H380" i="37"/>
  <c r="S525" i="25"/>
  <c r="Q525" i="25"/>
  <c r="R525" i="25" s="1"/>
  <c r="M525" i="25"/>
  <c r="N525" i="25" s="1"/>
  <c r="H379" i="44"/>
  <c r="G305" i="32"/>
  <c r="H376" i="37"/>
  <c r="S521" i="25"/>
  <c r="Q521" i="25"/>
  <c r="R521" i="25" s="1"/>
  <c r="T521" i="25" s="1"/>
  <c r="M521" i="25"/>
  <c r="N521" i="25" s="1"/>
  <c r="H375" i="44"/>
  <c r="G301" i="32"/>
  <c r="H372" i="37"/>
  <c r="S517" i="25"/>
  <c r="Q517" i="25"/>
  <c r="R517" i="25" s="1"/>
  <c r="M517" i="25"/>
  <c r="N517" i="25" s="1"/>
  <c r="H371" i="44"/>
  <c r="G297" i="32"/>
  <c r="H368" i="37"/>
  <c r="S513" i="25"/>
  <c r="Q513" i="25"/>
  <c r="R513" i="25" s="1"/>
  <c r="T513" i="25" s="1"/>
  <c r="M513" i="25"/>
  <c r="N513" i="25" s="1"/>
  <c r="H367" i="44"/>
  <c r="G293" i="32"/>
  <c r="H364" i="37"/>
  <c r="S509" i="25"/>
  <c r="Q509" i="25"/>
  <c r="R509" i="25" s="1"/>
  <c r="M509" i="25"/>
  <c r="N509" i="25" s="1"/>
  <c r="H363" i="44"/>
  <c r="G289" i="32"/>
  <c r="H360" i="37"/>
  <c r="S505" i="25"/>
  <c r="Q505" i="25"/>
  <c r="R505" i="25" s="1"/>
  <c r="T505" i="25" s="1"/>
  <c r="M505" i="25"/>
  <c r="N505" i="25" s="1"/>
  <c r="H359" i="44"/>
  <c r="G285" i="32"/>
  <c r="H356" i="37"/>
  <c r="S501" i="25"/>
  <c r="Q501" i="25"/>
  <c r="R501" i="25" s="1"/>
  <c r="M501" i="25"/>
  <c r="N501" i="25" s="1"/>
  <c r="H355" i="44"/>
  <c r="G281" i="32"/>
  <c r="H352" i="37"/>
  <c r="S497" i="25"/>
  <c r="Q497" i="25"/>
  <c r="R497" i="25" s="1"/>
  <c r="T497" i="25" s="1"/>
  <c r="M497" i="25"/>
  <c r="N497" i="25" s="1"/>
  <c r="H351" i="44"/>
  <c r="G277" i="32"/>
  <c r="H348" i="37"/>
  <c r="S493" i="25"/>
  <c r="Q493" i="25"/>
  <c r="R493" i="25" s="1"/>
  <c r="M493" i="25"/>
  <c r="N493" i="25" s="1"/>
  <c r="H347" i="44"/>
  <c r="G273" i="32"/>
  <c r="H344" i="37"/>
  <c r="S489" i="25"/>
  <c r="Q489" i="25"/>
  <c r="R489" i="25" s="1"/>
  <c r="T489" i="25" s="1"/>
  <c r="M489" i="25"/>
  <c r="N489" i="25" s="1"/>
  <c r="H343" i="44"/>
  <c r="G269" i="32"/>
  <c r="H340" i="37"/>
  <c r="S485" i="25"/>
  <c r="Q485" i="25"/>
  <c r="R485" i="25" s="1"/>
  <c r="M485" i="25"/>
  <c r="N485" i="25" s="1"/>
  <c r="H339" i="44"/>
  <c r="G265" i="32"/>
  <c r="H336" i="37"/>
  <c r="S481" i="25"/>
  <c r="Q481" i="25"/>
  <c r="R481" i="25" s="1"/>
  <c r="T481" i="25" s="1"/>
  <c r="M481" i="25"/>
  <c r="N481" i="25" s="1"/>
  <c r="H335" i="44"/>
  <c r="G261" i="32"/>
  <c r="H332" i="37"/>
  <c r="S477" i="25"/>
  <c r="Q477" i="25"/>
  <c r="R477" i="25" s="1"/>
  <c r="M477" i="25"/>
  <c r="N477" i="25" s="1"/>
  <c r="H331" i="44"/>
  <c r="G257" i="32"/>
  <c r="H328" i="37"/>
  <c r="S473" i="25"/>
  <c r="Q473" i="25"/>
  <c r="R473" i="25" s="1"/>
  <c r="T473" i="25" s="1"/>
  <c r="M473" i="25"/>
  <c r="N473" i="25" s="1"/>
  <c r="H327" i="44"/>
  <c r="G253" i="32"/>
  <c r="H324" i="37"/>
  <c r="S469" i="25"/>
  <c r="Q469" i="25"/>
  <c r="R469" i="25" s="1"/>
  <c r="M469" i="25"/>
  <c r="N469" i="25" s="1"/>
  <c r="H323" i="44"/>
  <c r="G249" i="32"/>
  <c r="H320" i="37"/>
  <c r="S465" i="25"/>
  <c r="Q465" i="25"/>
  <c r="R465" i="25" s="1"/>
  <c r="T465" i="25" s="1"/>
  <c r="M465" i="25"/>
  <c r="N465" i="25" s="1"/>
  <c r="H319" i="44"/>
  <c r="G245" i="32"/>
  <c r="H316" i="37"/>
  <c r="S461" i="25"/>
  <c r="Q461" i="25"/>
  <c r="R461" i="25" s="1"/>
  <c r="M461" i="25"/>
  <c r="N461" i="25" s="1"/>
  <c r="H315" i="44"/>
  <c r="G241" i="32"/>
  <c r="H312" i="37"/>
  <c r="S457" i="25"/>
  <c r="Q457" i="25"/>
  <c r="R457" i="25" s="1"/>
  <c r="T457" i="25" s="1"/>
  <c r="M457" i="25"/>
  <c r="N457" i="25" s="1"/>
  <c r="H311" i="44"/>
  <c r="G237" i="32"/>
  <c r="H308" i="37"/>
  <c r="S452" i="25"/>
  <c r="Q452" i="25"/>
  <c r="R452" i="25" s="1"/>
  <c r="M452" i="25"/>
  <c r="N452" i="25" s="1"/>
  <c r="H306" i="44"/>
  <c r="G232" i="32"/>
  <c r="H303" i="37"/>
  <c r="S448" i="25"/>
  <c r="Q448" i="25"/>
  <c r="R448" i="25" s="1"/>
  <c r="T448" i="25" s="1"/>
  <c r="M448" i="25"/>
  <c r="N448" i="25" s="1"/>
  <c r="H302" i="44"/>
  <c r="G228" i="32"/>
  <c r="H299" i="37"/>
  <c r="S444" i="25"/>
  <c r="Q444" i="25"/>
  <c r="R444" i="25" s="1"/>
  <c r="M444" i="25"/>
  <c r="N444" i="25" s="1"/>
  <c r="H298" i="44"/>
  <c r="G224" i="32"/>
  <c r="H295" i="37"/>
  <c r="S220" i="25"/>
  <c r="Q220" i="25"/>
  <c r="R220" i="25" s="1"/>
  <c r="T220" i="25" s="1"/>
  <c r="M220" i="25"/>
  <c r="N220" i="25" s="1"/>
  <c r="H294" i="44"/>
  <c r="G220" i="32"/>
  <c r="H291" i="37"/>
  <c r="Q216" i="25"/>
  <c r="R216" i="25" s="1"/>
  <c r="T216" i="25" s="1"/>
  <c r="S216" i="25"/>
  <c r="M216" i="25"/>
  <c r="N216" i="25" s="1"/>
  <c r="H290" i="44"/>
  <c r="G216" i="32"/>
  <c r="H287" i="37"/>
  <c r="S212" i="25"/>
  <c r="Q212" i="25"/>
  <c r="R212" i="25" s="1"/>
  <c r="T212" i="25" s="1"/>
  <c r="M212" i="25"/>
  <c r="N212" i="25" s="1"/>
  <c r="H286" i="44"/>
  <c r="G212" i="32"/>
  <c r="H283" i="37"/>
  <c r="Q208" i="25"/>
  <c r="R208" i="25" s="1"/>
  <c r="T208" i="25" s="1"/>
  <c r="S208" i="25"/>
  <c r="M208" i="25"/>
  <c r="N208" i="25" s="1"/>
  <c r="H282" i="44"/>
  <c r="G208" i="32"/>
  <c r="H279" i="37"/>
  <c r="S204" i="25"/>
  <c r="Q204" i="25"/>
  <c r="R204" i="25" s="1"/>
  <c r="T204" i="25" s="1"/>
  <c r="M204" i="25"/>
  <c r="N204" i="25" s="1"/>
  <c r="H278" i="44"/>
  <c r="G204" i="32"/>
  <c r="H275" i="37"/>
  <c r="S200" i="25"/>
  <c r="Q200" i="25"/>
  <c r="R200" i="25" s="1"/>
  <c r="M200" i="25"/>
  <c r="N200" i="25" s="1"/>
  <c r="H274" i="44"/>
  <c r="G200" i="32"/>
  <c r="H271" i="37"/>
  <c r="S196" i="25"/>
  <c r="Q196" i="25"/>
  <c r="R196" i="25" s="1"/>
  <c r="T196" i="25" s="1"/>
  <c r="M196" i="25"/>
  <c r="N196" i="25" s="1"/>
  <c r="H270" i="44"/>
  <c r="G196" i="32"/>
  <c r="H267" i="37"/>
  <c r="S192" i="25"/>
  <c r="Q192" i="25"/>
  <c r="R192" i="25" s="1"/>
  <c r="M192" i="25"/>
  <c r="N192" i="25" s="1"/>
  <c r="H266" i="44"/>
  <c r="G192" i="32"/>
  <c r="H263" i="37"/>
  <c r="S188" i="25"/>
  <c r="Q188" i="25"/>
  <c r="R188" i="25" s="1"/>
  <c r="T188" i="25" s="1"/>
  <c r="M188" i="25"/>
  <c r="N188" i="25" s="1"/>
  <c r="H262" i="44"/>
  <c r="G188" i="32"/>
  <c r="H259" i="37"/>
  <c r="Q184" i="25"/>
  <c r="R184" i="25" s="1"/>
  <c r="T184" i="25" s="1"/>
  <c r="S184" i="25"/>
  <c r="M184" i="25"/>
  <c r="N184" i="25" s="1"/>
  <c r="H258" i="44"/>
  <c r="G184" i="32"/>
  <c r="H255" i="37"/>
  <c r="S180" i="25"/>
  <c r="Q180" i="25"/>
  <c r="R180" i="25" s="1"/>
  <c r="T180" i="25" s="1"/>
  <c r="M180" i="25"/>
  <c r="N180" i="25" s="1"/>
  <c r="H254" i="44"/>
  <c r="G180" i="32"/>
  <c r="H251" i="37"/>
  <c r="Q176" i="25"/>
  <c r="R176" i="25" s="1"/>
  <c r="T176" i="25" s="1"/>
  <c r="S176" i="25"/>
  <c r="M176" i="25"/>
  <c r="N176" i="25" s="1"/>
  <c r="H250" i="44"/>
  <c r="G176" i="32"/>
  <c r="H247" i="37"/>
  <c r="S172" i="25"/>
  <c r="Q172" i="25"/>
  <c r="R172" i="25" s="1"/>
  <c r="T172" i="25" s="1"/>
  <c r="M172" i="25"/>
  <c r="N172" i="25" s="1"/>
  <c r="H246" i="44"/>
  <c r="G172" i="32"/>
  <c r="H243" i="37"/>
  <c r="S168" i="25"/>
  <c r="Q168" i="25"/>
  <c r="R168" i="25" s="1"/>
  <c r="M168" i="25"/>
  <c r="N168" i="25" s="1"/>
  <c r="H242" i="44"/>
  <c r="G168" i="32"/>
  <c r="H239" i="37"/>
  <c r="S164" i="25"/>
  <c r="Q164" i="25"/>
  <c r="R164" i="25" s="1"/>
  <c r="T164" i="25" s="1"/>
  <c r="M164" i="25"/>
  <c r="N164" i="25" s="1"/>
  <c r="H238" i="44"/>
  <c r="G164" i="32"/>
  <c r="H235" i="37"/>
  <c r="S160" i="25"/>
  <c r="Q160" i="25"/>
  <c r="R160" i="25" s="1"/>
  <c r="M160" i="25"/>
  <c r="N160" i="25" s="1"/>
  <c r="H234" i="44"/>
  <c r="G160" i="32"/>
  <c r="H231" i="37"/>
  <c r="S156" i="25"/>
  <c r="Q156" i="25"/>
  <c r="R156" i="25" s="1"/>
  <c r="T156" i="25" s="1"/>
  <c r="M156" i="25"/>
  <c r="N156" i="25" s="1"/>
  <c r="H230" i="44"/>
  <c r="G156" i="32"/>
  <c r="H227" i="37"/>
  <c r="Q152" i="25"/>
  <c r="R152" i="25" s="1"/>
  <c r="T152" i="25" s="1"/>
  <c r="S152" i="25"/>
  <c r="M152" i="25"/>
  <c r="N152" i="25" s="1"/>
  <c r="H226" i="44"/>
  <c r="G152" i="32"/>
  <c r="H223" i="37"/>
  <c r="S148" i="25"/>
  <c r="Q148" i="25"/>
  <c r="R148" i="25" s="1"/>
  <c r="T148" i="25" s="1"/>
  <c r="M148" i="25"/>
  <c r="N148" i="25" s="1"/>
  <c r="H222" i="44"/>
  <c r="G148" i="32"/>
  <c r="H219" i="37"/>
  <c r="Q144" i="25"/>
  <c r="R144" i="25" s="1"/>
  <c r="T144" i="25" s="1"/>
  <c r="M144" i="25"/>
  <c r="N144" i="25" s="1"/>
  <c r="S144" i="25"/>
  <c r="H218" i="44"/>
  <c r="G144" i="32"/>
  <c r="H215" i="37"/>
  <c r="S140" i="25"/>
  <c r="Q140" i="25"/>
  <c r="R140" i="25" s="1"/>
  <c r="T140" i="25" s="1"/>
  <c r="M140" i="25"/>
  <c r="N140" i="25" s="1"/>
  <c r="H214" i="44"/>
  <c r="G140" i="32"/>
  <c r="H211" i="37"/>
  <c r="S136" i="25"/>
  <c r="Q136" i="25"/>
  <c r="R136" i="25" s="1"/>
  <c r="M136" i="25"/>
  <c r="N136" i="25" s="1"/>
  <c r="H210" i="44"/>
  <c r="G136" i="32"/>
  <c r="H207" i="37"/>
  <c r="S132" i="25"/>
  <c r="Q132" i="25"/>
  <c r="R132" i="25" s="1"/>
  <c r="T132" i="25" s="1"/>
  <c r="M132" i="25"/>
  <c r="N132" i="25" s="1"/>
  <c r="H206" i="44"/>
  <c r="G132" i="32"/>
  <c r="H203" i="37"/>
  <c r="S128" i="25"/>
  <c r="Q128" i="25"/>
  <c r="R128" i="25" s="1"/>
  <c r="M128" i="25"/>
  <c r="N128" i="25" s="1"/>
  <c r="H202" i="44"/>
  <c r="G128" i="32"/>
  <c r="H199" i="37"/>
  <c r="S124" i="25"/>
  <c r="Q124" i="25"/>
  <c r="R124" i="25" s="1"/>
  <c r="T124" i="25" s="1"/>
  <c r="M124" i="25"/>
  <c r="N124" i="25" s="1"/>
  <c r="H198" i="44"/>
  <c r="G124" i="32"/>
  <c r="H195" i="37"/>
  <c r="Q120" i="25"/>
  <c r="R120" i="25" s="1"/>
  <c r="T120" i="25" s="1"/>
  <c r="S120" i="25"/>
  <c r="M120" i="25"/>
  <c r="N120" i="25" s="1"/>
  <c r="H194" i="44"/>
  <c r="G120" i="32"/>
  <c r="H191" i="37"/>
  <c r="S116" i="25"/>
  <c r="Q116" i="25"/>
  <c r="R116" i="25" s="1"/>
  <c r="T116" i="25" s="1"/>
  <c r="M116" i="25"/>
  <c r="N116" i="25" s="1"/>
  <c r="H190" i="44"/>
  <c r="G116" i="32"/>
  <c r="H187" i="37"/>
  <c r="Q112" i="25"/>
  <c r="R112" i="25" s="1"/>
  <c r="T112" i="25" s="1"/>
  <c r="S112" i="25"/>
  <c r="M112" i="25"/>
  <c r="N112" i="25" s="1"/>
  <c r="H186" i="44"/>
  <c r="G112" i="32"/>
  <c r="H183" i="37"/>
  <c r="S108" i="25"/>
  <c r="Q108" i="25"/>
  <c r="R108" i="25" s="1"/>
  <c r="T108" i="25" s="1"/>
  <c r="M108" i="25"/>
  <c r="N108" i="25" s="1"/>
  <c r="H182" i="44"/>
  <c r="G108" i="32"/>
  <c r="H179" i="37"/>
  <c r="S104" i="25"/>
  <c r="Q104" i="25"/>
  <c r="R104" i="25" s="1"/>
  <c r="M104" i="25"/>
  <c r="N104" i="25" s="1"/>
  <c r="H178" i="44"/>
  <c r="G104" i="32"/>
  <c r="H175" i="37"/>
  <c r="S100" i="25"/>
  <c r="Q100" i="25"/>
  <c r="R100" i="25" s="1"/>
  <c r="T100" i="25" s="1"/>
  <c r="M100" i="25"/>
  <c r="N100" i="25" s="1"/>
  <c r="H174" i="44"/>
  <c r="G100" i="32"/>
  <c r="H171" i="37"/>
  <c r="S96" i="25"/>
  <c r="Q96" i="25"/>
  <c r="R96" i="25" s="1"/>
  <c r="M96" i="25"/>
  <c r="N96" i="25" s="1"/>
  <c r="H170" i="44"/>
  <c r="G96" i="32"/>
  <c r="H167" i="37"/>
  <c r="S92" i="25"/>
  <c r="Q92" i="25"/>
  <c r="R92" i="25" s="1"/>
  <c r="T92" i="25" s="1"/>
  <c r="M92" i="25"/>
  <c r="N92" i="25" s="1"/>
  <c r="H166" i="44"/>
  <c r="G92" i="32"/>
  <c r="H163" i="37"/>
  <c r="Q88" i="25"/>
  <c r="R88" i="25" s="1"/>
  <c r="T88" i="25" s="1"/>
  <c r="S88" i="25"/>
  <c r="M88" i="25"/>
  <c r="N88" i="25" s="1"/>
  <c r="H162" i="44"/>
  <c r="G88" i="32"/>
  <c r="H159" i="37"/>
  <c r="S84" i="25"/>
  <c r="Q84" i="25"/>
  <c r="R84" i="25" s="1"/>
  <c r="T84" i="25" s="1"/>
  <c r="M84" i="25"/>
  <c r="N84" i="25" s="1"/>
  <c r="H158" i="44"/>
  <c r="G84" i="32"/>
  <c r="H155" i="37"/>
  <c r="Q80" i="25"/>
  <c r="R80" i="25" s="1"/>
  <c r="T80" i="25" s="1"/>
  <c r="S80" i="25"/>
  <c r="M80" i="25"/>
  <c r="N80" i="25" s="1"/>
  <c r="H154" i="44"/>
  <c r="G80" i="32"/>
  <c r="H151" i="37"/>
  <c r="S76" i="25"/>
  <c r="Q76" i="25"/>
  <c r="R76" i="25" s="1"/>
  <c r="T76" i="25" s="1"/>
  <c r="M76" i="25"/>
  <c r="N76" i="25" s="1"/>
  <c r="H150" i="44"/>
  <c r="G76" i="32"/>
  <c r="H147" i="37"/>
  <c r="S72" i="25"/>
  <c r="Q72" i="25"/>
  <c r="R72" i="25" s="1"/>
  <c r="M72" i="25"/>
  <c r="N72" i="25" s="1"/>
  <c r="H146" i="44"/>
  <c r="G72" i="32"/>
  <c r="H143" i="37"/>
  <c r="S68" i="25"/>
  <c r="Q68" i="25"/>
  <c r="R68" i="25" s="1"/>
  <c r="T68" i="25" s="1"/>
  <c r="M68" i="25"/>
  <c r="N68" i="25" s="1"/>
  <c r="H142" i="44"/>
  <c r="G68" i="32"/>
  <c r="H139" i="37"/>
  <c r="S64" i="25"/>
  <c r="Q64" i="25"/>
  <c r="R64" i="25" s="1"/>
  <c r="M64" i="25"/>
  <c r="N64" i="25" s="1"/>
  <c r="H138" i="44"/>
  <c r="G64" i="32"/>
  <c r="H135" i="37"/>
  <c r="S60" i="25"/>
  <c r="Q60" i="25"/>
  <c r="R60" i="25" s="1"/>
  <c r="T60" i="25" s="1"/>
  <c r="M60" i="25"/>
  <c r="N60" i="25" s="1"/>
  <c r="H134" i="44"/>
  <c r="G60" i="32"/>
  <c r="H131" i="37"/>
  <c r="Q56" i="25"/>
  <c r="R56" i="25" s="1"/>
  <c r="T56" i="25" s="1"/>
  <c r="S56" i="25"/>
  <c r="M56" i="25"/>
  <c r="N56" i="25" s="1"/>
  <c r="H130" i="44"/>
  <c r="G56" i="32"/>
  <c r="H127" i="37"/>
  <c r="S52" i="25"/>
  <c r="Q52" i="25"/>
  <c r="R52" i="25" s="1"/>
  <c r="T52" i="25" s="1"/>
  <c r="M52" i="25"/>
  <c r="N52" i="25" s="1"/>
  <c r="H126" i="44"/>
  <c r="G52" i="32"/>
  <c r="H123" i="37"/>
  <c r="Q48" i="25"/>
  <c r="R48" i="25" s="1"/>
  <c r="T48" i="25" s="1"/>
  <c r="S48" i="25"/>
  <c r="M48" i="25"/>
  <c r="N48" i="25" s="1"/>
  <c r="H122" i="44"/>
  <c r="G48" i="32"/>
  <c r="H119" i="37"/>
  <c r="S44" i="25"/>
  <c r="Q44" i="25"/>
  <c r="R44" i="25" s="1"/>
  <c r="T44" i="25" s="1"/>
  <c r="M44" i="25"/>
  <c r="N44" i="25" s="1"/>
  <c r="H118" i="44"/>
  <c r="G44" i="32"/>
  <c r="H115" i="37"/>
  <c r="S40" i="25"/>
  <c r="Q40" i="25"/>
  <c r="R40" i="25" s="1"/>
  <c r="M40" i="25"/>
  <c r="N40" i="25" s="1"/>
  <c r="H114" i="44"/>
  <c r="G40" i="32"/>
  <c r="H111" i="37"/>
  <c r="S36" i="25"/>
  <c r="Q36" i="25"/>
  <c r="R36" i="25" s="1"/>
  <c r="T36" i="25" s="1"/>
  <c r="M36" i="25"/>
  <c r="N36" i="25" s="1"/>
  <c r="H110" i="44"/>
  <c r="G36" i="32"/>
  <c r="H107" i="37"/>
  <c r="S32" i="25"/>
  <c r="Q32" i="25"/>
  <c r="R32" i="25" s="1"/>
  <c r="M32" i="25"/>
  <c r="N32" i="25" s="1"/>
  <c r="H106" i="44"/>
  <c r="G32" i="32"/>
  <c r="H103" i="37"/>
  <c r="S28" i="25"/>
  <c r="Q28" i="25"/>
  <c r="R28" i="25" s="1"/>
  <c r="T28" i="25" s="1"/>
  <c r="M28" i="25"/>
  <c r="N28" i="25" s="1"/>
  <c r="H102" i="44"/>
  <c r="G28" i="32"/>
  <c r="H99" i="37"/>
  <c r="Q24" i="25"/>
  <c r="R24" i="25" s="1"/>
  <c r="T24" i="25" s="1"/>
  <c r="S24" i="25"/>
  <c r="M24" i="25"/>
  <c r="N24" i="25" s="1"/>
  <c r="H98" i="44"/>
  <c r="G24" i="32"/>
  <c r="H95" i="37"/>
  <c r="S20" i="25"/>
  <c r="Q20" i="25"/>
  <c r="R20" i="25" s="1"/>
  <c r="T20" i="25" s="1"/>
  <c r="M20" i="25"/>
  <c r="N20" i="25" s="1"/>
  <c r="H94" i="44"/>
  <c r="G20" i="32"/>
  <c r="H91" i="37"/>
  <c r="Q16" i="25"/>
  <c r="R16" i="25" s="1"/>
  <c r="T16" i="25" s="1"/>
  <c r="M16" i="25"/>
  <c r="N16" i="25" s="1"/>
  <c r="S16" i="25"/>
  <c r="H90" i="44"/>
  <c r="G16" i="32"/>
  <c r="H87" i="37"/>
  <c r="S12" i="25"/>
  <c r="Q12" i="25"/>
  <c r="R12" i="25" s="1"/>
  <c r="T12" i="25" s="1"/>
  <c r="M12" i="25"/>
  <c r="N12" i="25" s="1"/>
  <c r="H86" i="44"/>
  <c r="G12" i="32"/>
  <c r="H83" i="37"/>
  <c r="S8" i="25"/>
  <c r="Q8" i="25"/>
  <c r="R8" i="25" s="1"/>
  <c r="M8" i="25"/>
  <c r="N8" i="25" s="1"/>
  <c r="H82" i="44"/>
  <c r="G8" i="32"/>
  <c r="H79" i="37"/>
  <c r="S4" i="25"/>
  <c r="Q4" i="25"/>
  <c r="R4" i="25" s="1"/>
  <c r="T4" i="25" s="1"/>
  <c r="M4" i="25"/>
  <c r="N4" i="25" s="1"/>
  <c r="H78" i="44"/>
  <c r="G5" i="32"/>
  <c r="I513" i="37"/>
  <c r="H439" i="32"/>
  <c r="I510" i="37"/>
  <c r="I505" i="37"/>
  <c r="H431" i="32"/>
  <c r="I502" i="37"/>
  <c r="I497" i="37"/>
  <c r="H423" i="32"/>
  <c r="I494" i="37"/>
  <c r="I489" i="37"/>
  <c r="H415" i="32"/>
  <c r="I486" i="37"/>
  <c r="I481" i="37"/>
  <c r="H407" i="32"/>
  <c r="I478" i="37"/>
  <c r="I473" i="37"/>
  <c r="H399" i="32"/>
  <c r="I470" i="37"/>
  <c r="I465" i="37"/>
  <c r="H391" i="32"/>
  <c r="I462" i="37"/>
  <c r="I457" i="37"/>
  <c r="H383" i="32"/>
  <c r="I454" i="37"/>
  <c r="I449" i="37"/>
  <c r="H375" i="32"/>
  <c r="I446" i="37"/>
  <c r="I441" i="37"/>
  <c r="H367" i="32"/>
  <c r="I438" i="37"/>
  <c r="I433" i="37"/>
  <c r="K426" i="37"/>
  <c r="O426" i="37" s="1"/>
  <c r="Q426" i="37" s="1"/>
  <c r="X426" i="37"/>
  <c r="T426" i="37"/>
  <c r="V426" i="37" s="1"/>
  <c r="S790" i="25"/>
  <c r="Q790" i="25"/>
  <c r="R790" i="25" s="1"/>
  <c r="T790" i="25" s="1"/>
  <c r="M790" i="25"/>
  <c r="N790" i="25" s="1"/>
  <c r="I424" i="44"/>
  <c r="I424" i="37"/>
  <c r="H350" i="32"/>
  <c r="S787" i="25"/>
  <c r="Q787" i="25"/>
  <c r="R787" i="25" s="1"/>
  <c r="M787" i="25"/>
  <c r="N787" i="25" s="1"/>
  <c r="I421" i="44"/>
  <c r="I417" i="37"/>
  <c r="K410" i="37"/>
  <c r="O410" i="37" s="1"/>
  <c r="Q410" i="37" s="1"/>
  <c r="X410" i="37"/>
  <c r="T410" i="37"/>
  <c r="V410" i="37" s="1"/>
  <c r="Z410" i="37" s="1"/>
  <c r="AC410" i="37" s="1"/>
  <c r="S774" i="25"/>
  <c r="Q774" i="25"/>
  <c r="R774" i="25" s="1"/>
  <c r="M774" i="25"/>
  <c r="N774" i="25" s="1"/>
  <c r="I408" i="44"/>
  <c r="I408" i="37"/>
  <c r="H334" i="32"/>
  <c r="S770" i="25"/>
  <c r="Q770" i="25"/>
  <c r="R770" i="25" s="1"/>
  <c r="T770" i="25" s="1"/>
  <c r="M770" i="25"/>
  <c r="N770" i="25" s="1"/>
  <c r="I404" i="44"/>
  <c r="I400" i="37"/>
  <c r="T393" i="37"/>
  <c r="V393" i="37" s="1"/>
  <c r="K393" i="37"/>
  <c r="O393" i="37" s="1"/>
  <c r="Q393" i="37" s="1"/>
  <c r="X393" i="37"/>
  <c r="S757" i="25"/>
  <c r="Q757" i="25"/>
  <c r="R757" i="25" s="1"/>
  <c r="M757" i="25"/>
  <c r="N757" i="25" s="1"/>
  <c r="I391" i="44"/>
  <c r="I391" i="37"/>
  <c r="H317" i="32"/>
  <c r="S754" i="25"/>
  <c r="Q754" i="25"/>
  <c r="R754" i="25" s="1"/>
  <c r="T754" i="25" s="1"/>
  <c r="M754" i="25"/>
  <c r="N754" i="25" s="1"/>
  <c r="I388" i="44"/>
  <c r="I384" i="37"/>
  <c r="T377" i="37"/>
  <c r="V377" i="37" s="1"/>
  <c r="K377" i="37"/>
  <c r="O377" i="37" s="1"/>
  <c r="Q377" i="37" s="1"/>
  <c r="X377" i="37"/>
  <c r="S741" i="25"/>
  <c r="Q741" i="25"/>
  <c r="R741" i="25" s="1"/>
  <c r="M741" i="25"/>
  <c r="N741" i="25" s="1"/>
  <c r="I375" i="44"/>
  <c r="I375" i="37"/>
  <c r="H301" i="32"/>
  <c r="S738" i="25"/>
  <c r="Q738" i="25"/>
  <c r="R738" i="25" s="1"/>
  <c r="T738" i="25" s="1"/>
  <c r="M738" i="25"/>
  <c r="N738" i="25" s="1"/>
  <c r="I372" i="44"/>
  <c r="K368" i="37"/>
  <c r="O368" i="37" s="1"/>
  <c r="Q368" i="37" s="1"/>
  <c r="H296" i="32"/>
  <c r="X368" i="37"/>
  <c r="T368" i="37"/>
  <c r="V368" i="37" s="1"/>
  <c r="S725" i="25"/>
  <c r="Q725" i="25"/>
  <c r="R725" i="25" s="1"/>
  <c r="T725" i="25" s="1"/>
  <c r="M725" i="25"/>
  <c r="N725" i="25" s="1"/>
  <c r="I359" i="44"/>
  <c r="I359" i="37"/>
  <c r="K352" i="37"/>
  <c r="O352" i="37" s="1"/>
  <c r="Q352" i="37" s="1"/>
  <c r="H280" i="32"/>
  <c r="X352" i="37"/>
  <c r="T352" i="37"/>
  <c r="V352" i="37" s="1"/>
  <c r="S708" i="25"/>
  <c r="Q708" i="25"/>
  <c r="R708" i="25" s="1"/>
  <c r="T708" i="25" s="1"/>
  <c r="M708" i="25"/>
  <c r="N708" i="25" s="1"/>
  <c r="I342" i="37"/>
  <c r="I342" i="44"/>
  <c r="T335" i="37"/>
  <c r="V335" i="37" s="1"/>
  <c r="Z335" i="37" s="1"/>
  <c r="AC335" i="37" s="1"/>
  <c r="X335" i="37"/>
  <c r="H263" i="32"/>
  <c r="K335" i="37"/>
  <c r="O335" i="37" s="1"/>
  <c r="Q335" i="37" s="1"/>
  <c r="J292" i="37"/>
  <c r="L292" i="37" s="1"/>
  <c r="N292" i="37" s="1"/>
  <c r="J260" i="37"/>
  <c r="L260" i="37" s="1"/>
  <c r="N260" i="37" s="1"/>
  <c r="J228" i="37"/>
  <c r="L228" i="37" s="1"/>
  <c r="N228" i="37" s="1"/>
  <c r="J196" i="37"/>
  <c r="L196" i="37" s="1"/>
  <c r="N196" i="37" s="1"/>
  <c r="J164" i="37"/>
  <c r="L164" i="37" s="1"/>
  <c r="N164" i="37" s="1"/>
  <c r="J132" i="37"/>
  <c r="L132" i="37" s="1"/>
  <c r="N132" i="37" s="1"/>
  <c r="J100" i="37"/>
  <c r="L100" i="37" s="1"/>
  <c r="N100" i="37" s="1"/>
  <c r="Z320" i="37"/>
  <c r="AC320" i="37" s="1"/>
  <c r="Z255" i="37"/>
  <c r="S692" i="25"/>
  <c r="Q692" i="25"/>
  <c r="R692" i="25" s="1"/>
  <c r="M692" i="25"/>
  <c r="N692" i="25" s="1"/>
  <c r="I326" i="44"/>
  <c r="I326" i="37"/>
  <c r="T319" i="37"/>
  <c r="V319" i="37" s="1"/>
  <c r="Z319" i="37" s="1"/>
  <c r="X319" i="37"/>
  <c r="H247" i="32"/>
  <c r="K319" i="37"/>
  <c r="O319" i="37" s="1"/>
  <c r="Q319" i="37" s="1"/>
  <c r="S676" i="25"/>
  <c r="Q676" i="25"/>
  <c r="R676" i="25" s="1"/>
  <c r="T676" i="25" s="1"/>
  <c r="M676" i="25"/>
  <c r="N676" i="25" s="1"/>
  <c r="I310" i="37"/>
  <c r="I310" i="44"/>
  <c r="X303" i="37"/>
  <c r="H231" i="32"/>
  <c r="K303" i="37"/>
  <c r="O303" i="37" s="1"/>
  <c r="Q303" i="37" s="1"/>
  <c r="Q440" i="25"/>
  <c r="R440" i="25" s="1"/>
  <c r="S440" i="25"/>
  <c r="M440" i="25"/>
  <c r="N440" i="25" s="1"/>
  <c r="I294" i="44"/>
  <c r="I294" i="37"/>
  <c r="X287" i="37"/>
  <c r="H215" i="32"/>
  <c r="K287" i="37"/>
  <c r="O287" i="37" s="1"/>
  <c r="Q287" i="37" s="1"/>
  <c r="T281" i="37"/>
  <c r="V281" i="37" s="1"/>
  <c r="X281" i="37"/>
  <c r="K281" i="37"/>
  <c r="O281" i="37" s="1"/>
  <c r="Q281" i="37" s="1"/>
  <c r="H209" i="32"/>
  <c r="X279" i="37"/>
  <c r="H207" i="32"/>
  <c r="T279" i="37"/>
  <c r="V279" i="37" s="1"/>
  <c r="Z279" i="37" s="1"/>
  <c r="AC279" i="37" s="1"/>
  <c r="K279" i="37"/>
  <c r="O279" i="37" s="1"/>
  <c r="Q279" i="37" s="1"/>
  <c r="S416" i="25"/>
  <c r="Q416" i="25"/>
  <c r="R416" i="25" s="1"/>
  <c r="T416" i="25" s="1"/>
  <c r="M416" i="25"/>
  <c r="N416" i="25" s="1"/>
  <c r="I270" i="37"/>
  <c r="I270" i="44"/>
  <c r="T265" i="37"/>
  <c r="V265" i="37" s="1"/>
  <c r="X265" i="37"/>
  <c r="K265" i="37"/>
  <c r="O265" i="37" s="1"/>
  <c r="Q265" i="37" s="1"/>
  <c r="H193" i="32"/>
  <c r="X263" i="37"/>
  <c r="H191" i="32"/>
  <c r="T263" i="37"/>
  <c r="V263" i="37" s="1"/>
  <c r="Z263" i="37" s="1"/>
  <c r="AC263" i="37" s="1"/>
  <c r="K263" i="37"/>
  <c r="O263" i="37" s="1"/>
  <c r="Q263" i="37" s="1"/>
  <c r="Q400" i="25"/>
  <c r="R400" i="25" s="1"/>
  <c r="T400" i="25" s="1"/>
  <c r="M400" i="25"/>
  <c r="N400" i="25" s="1"/>
  <c r="I254" i="44"/>
  <c r="S400" i="25"/>
  <c r="I254" i="37"/>
  <c r="P395" i="25"/>
  <c r="X247" i="37"/>
  <c r="H175" i="32"/>
  <c r="T247" i="37"/>
  <c r="V247" i="37" s="1"/>
  <c r="Z247" i="37" s="1"/>
  <c r="AC247" i="37" s="1"/>
  <c r="K247" i="37"/>
  <c r="O247" i="37" s="1"/>
  <c r="Q247" i="37" s="1"/>
  <c r="S384" i="25"/>
  <c r="Q384" i="25"/>
  <c r="R384" i="25" s="1"/>
  <c r="T384" i="25" s="1"/>
  <c r="M384" i="25"/>
  <c r="N384" i="25" s="1"/>
  <c r="I238" i="44"/>
  <c r="I238" i="37"/>
  <c r="X231" i="37"/>
  <c r="H159" i="32"/>
  <c r="T231" i="37"/>
  <c r="V231" i="37" s="1"/>
  <c r="Z231" i="37" s="1"/>
  <c r="AC231" i="37" s="1"/>
  <c r="K231" i="37"/>
  <c r="O231" i="37" s="1"/>
  <c r="Q231" i="37" s="1"/>
  <c r="S368" i="25"/>
  <c r="Q368" i="25"/>
  <c r="R368" i="25" s="1"/>
  <c r="T368" i="25" s="1"/>
  <c r="M368" i="25"/>
  <c r="N368" i="25" s="1"/>
  <c r="I222" i="44"/>
  <c r="I222" i="37"/>
  <c r="S360" i="25"/>
  <c r="Q360" i="25"/>
  <c r="R360" i="25" s="1"/>
  <c r="M360" i="25"/>
  <c r="N360" i="25" s="1"/>
  <c r="I214" i="37"/>
  <c r="X207" i="37"/>
  <c r="H135" i="32"/>
  <c r="K207" i="37"/>
  <c r="O207" i="37" s="1"/>
  <c r="Q207" i="37" s="1"/>
  <c r="S344" i="25"/>
  <c r="Q344" i="25"/>
  <c r="R344" i="25" s="1"/>
  <c r="T344" i="25" s="1"/>
  <c r="M344" i="25"/>
  <c r="N344" i="25" s="1"/>
  <c r="I198" i="44"/>
  <c r="I198" i="37"/>
  <c r="X191" i="37"/>
  <c r="Z191" i="37" s="1"/>
  <c r="AC191" i="37" s="1"/>
  <c r="H119" i="32"/>
  <c r="K191" i="37"/>
  <c r="O191" i="37" s="1"/>
  <c r="Q191" i="37" s="1"/>
  <c r="S328" i="25"/>
  <c r="Q328" i="25"/>
  <c r="R328" i="25" s="1"/>
  <c r="T328" i="25" s="1"/>
  <c r="M328" i="25"/>
  <c r="N328" i="25" s="1"/>
  <c r="I182" i="44"/>
  <c r="I182" i="37"/>
  <c r="X175" i="37"/>
  <c r="H103" i="32"/>
  <c r="K175" i="37"/>
  <c r="O175" i="37" s="1"/>
  <c r="Q175" i="37" s="1"/>
  <c r="S312" i="25"/>
  <c r="Q312" i="25"/>
  <c r="R312" i="25" s="1"/>
  <c r="T312" i="25" s="1"/>
  <c r="M312" i="25"/>
  <c r="N312" i="25" s="1"/>
  <c r="I166" i="44"/>
  <c r="I166" i="37"/>
  <c r="X159" i="37"/>
  <c r="H87" i="32"/>
  <c r="K159" i="37"/>
  <c r="O159" i="37" s="1"/>
  <c r="Q159" i="37" s="1"/>
  <c r="S296" i="25"/>
  <c r="Q296" i="25"/>
  <c r="R296" i="25" s="1"/>
  <c r="T296" i="25" s="1"/>
  <c r="M296" i="25"/>
  <c r="N296" i="25" s="1"/>
  <c r="I150" i="44"/>
  <c r="I150" i="37"/>
  <c r="X143" i="37"/>
  <c r="H71" i="32"/>
  <c r="K143" i="37"/>
  <c r="O143" i="37" s="1"/>
  <c r="Q143" i="37" s="1"/>
  <c r="S280" i="25"/>
  <c r="M280" i="25"/>
  <c r="N280" i="25" s="1"/>
  <c r="Q280" i="25"/>
  <c r="R280" i="25" s="1"/>
  <c r="T280" i="25" s="1"/>
  <c r="I134" i="44"/>
  <c r="I134" i="37"/>
  <c r="X127" i="37"/>
  <c r="Z127" i="37" s="1"/>
  <c r="AC127" i="37" s="1"/>
  <c r="H55" i="32"/>
  <c r="K127" i="37"/>
  <c r="O127" i="37" s="1"/>
  <c r="Q127" i="37" s="1"/>
  <c r="S264" i="25"/>
  <c r="M264" i="25"/>
  <c r="N264" i="25" s="1"/>
  <c r="Q264" i="25"/>
  <c r="R264" i="25" s="1"/>
  <c r="T264" i="25" s="1"/>
  <c r="I118" i="44"/>
  <c r="I118" i="37"/>
  <c r="X111" i="37"/>
  <c r="H39" i="32"/>
  <c r="K111" i="37"/>
  <c r="O111" i="37" s="1"/>
  <c r="Q111" i="37" s="1"/>
  <c r="S248" i="25"/>
  <c r="M248" i="25"/>
  <c r="N248" i="25" s="1"/>
  <c r="Q248" i="25"/>
  <c r="R248" i="25" s="1"/>
  <c r="T248" i="25" s="1"/>
  <c r="I102" i="44"/>
  <c r="I102" i="37"/>
  <c r="X95" i="37"/>
  <c r="H23" i="32"/>
  <c r="K95" i="37"/>
  <c r="O95" i="37" s="1"/>
  <c r="Q95" i="37" s="1"/>
  <c r="S232" i="25"/>
  <c r="Q232" i="25"/>
  <c r="R232" i="25" s="1"/>
  <c r="T232" i="25" s="1"/>
  <c r="M232" i="25"/>
  <c r="N232" i="25" s="1"/>
  <c r="I86" i="44"/>
  <c r="I86" i="37"/>
  <c r="X79" i="37"/>
  <c r="H7" i="32"/>
  <c r="K79" i="37"/>
  <c r="O79" i="37" s="1"/>
  <c r="Q79" i="37" s="1"/>
  <c r="Z357" i="37"/>
  <c r="Z328" i="37"/>
  <c r="AC328" i="37" s="1"/>
  <c r="T207" i="37"/>
  <c r="V207" i="37" s="1"/>
  <c r="T143" i="37"/>
  <c r="V143" i="37" s="1"/>
  <c r="T79" i="37"/>
  <c r="V79" i="37" s="1"/>
  <c r="S436" i="25"/>
  <c r="Q436" i="25"/>
  <c r="R436" i="25" s="1"/>
  <c r="M436" i="25"/>
  <c r="N436" i="25" s="1"/>
  <c r="I290" i="44"/>
  <c r="I290" i="37"/>
  <c r="X283" i="37"/>
  <c r="T283" i="37"/>
  <c r="V283" i="37" s="1"/>
  <c r="H211" i="32"/>
  <c r="K283" i="37"/>
  <c r="O283" i="37" s="1"/>
  <c r="Q283" i="37" s="1"/>
  <c r="S420" i="25"/>
  <c r="Q420" i="25"/>
  <c r="R420" i="25" s="1"/>
  <c r="M420" i="25"/>
  <c r="N420" i="25" s="1"/>
  <c r="I274" i="44"/>
  <c r="I274" i="37"/>
  <c r="T269" i="37"/>
  <c r="V269" i="37" s="1"/>
  <c r="X269" i="37"/>
  <c r="K269" i="37"/>
  <c r="O269" i="37" s="1"/>
  <c r="Q269" i="37" s="1"/>
  <c r="H197" i="32"/>
  <c r="X267" i="37"/>
  <c r="T267" i="37"/>
  <c r="V267" i="37" s="1"/>
  <c r="Z267" i="37" s="1"/>
  <c r="H195" i="32"/>
  <c r="K267" i="37"/>
  <c r="O267" i="37" s="1"/>
  <c r="Q267" i="37" s="1"/>
  <c r="S404" i="25"/>
  <c r="Q404" i="25"/>
  <c r="R404" i="25" s="1"/>
  <c r="T404" i="25" s="1"/>
  <c r="M404" i="25"/>
  <c r="N404" i="25" s="1"/>
  <c r="I258" i="44"/>
  <c r="I258" i="37"/>
  <c r="S396" i="25"/>
  <c r="Q396" i="25"/>
  <c r="R396" i="25" s="1"/>
  <c r="T396" i="25" s="1"/>
  <c r="M396" i="25"/>
  <c r="N396" i="25" s="1"/>
  <c r="I250" i="44"/>
  <c r="I250" i="37"/>
  <c r="X243" i="37"/>
  <c r="H171" i="32"/>
  <c r="T243" i="37"/>
  <c r="V243" i="37" s="1"/>
  <c r="K243" i="37"/>
  <c r="O243" i="37" s="1"/>
  <c r="Q243" i="37" s="1"/>
  <c r="S380" i="25"/>
  <c r="M380" i="25"/>
  <c r="N380" i="25" s="1"/>
  <c r="Q380" i="25"/>
  <c r="R380" i="25" s="1"/>
  <c r="I234" i="44"/>
  <c r="I234" i="37"/>
  <c r="X227" i="37"/>
  <c r="H155" i="32"/>
  <c r="T227" i="37"/>
  <c r="V227" i="37" s="1"/>
  <c r="K227" i="37"/>
  <c r="O227" i="37" s="1"/>
  <c r="Q227" i="37" s="1"/>
  <c r="T221" i="37"/>
  <c r="V221" i="37" s="1"/>
  <c r="Z221" i="37" s="1"/>
  <c r="AC221" i="37" s="1"/>
  <c r="X221" i="37"/>
  <c r="K221" i="37"/>
  <c r="O221" i="37" s="1"/>
  <c r="Q221" i="37" s="1"/>
  <c r="H149" i="32"/>
  <c r="X219" i="37"/>
  <c r="T219" i="37"/>
  <c r="V219" i="37" s="1"/>
  <c r="H147" i="32"/>
  <c r="K219" i="37"/>
  <c r="O219" i="37" s="1"/>
  <c r="Q219" i="37" s="1"/>
  <c r="S356" i="25"/>
  <c r="M356" i="25"/>
  <c r="N356" i="25" s="1"/>
  <c r="Q356" i="25"/>
  <c r="R356" i="25" s="1"/>
  <c r="I210" i="44"/>
  <c r="I210" i="37"/>
  <c r="X203" i="37"/>
  <c r="T203" i="37"/>
  <c r="V203" i="37" s="1"/>
  <c r="Z203" i="37" s="1"/>
  <c r="H131" i="32"/>
  <c r="K203" i="37"/>
  <c r="O203" i="37" s="1"/>
  <c r="Q203" i="37" s="1"/>
  <c r="S340" i="25"/>
  <c r="M340" i="25"/>
  <c r="N340" i="25" s="1"/>
  <c r="Q340" i="25"/>
  <c r="R340" i="25" s="1"/>
  <c r="T340" i="25" s="1"/>
  <c r="I194" i="44"/>
  <c r="I194" i="37"/>
  <c r="X187" i="37"/>
  <c r="T187" i="37"/>
  <c r="V187" i="37" s="1"/>
  <c r="Z187" i="37" s="1"/>
  <c r="AC187" i="37" s="1"/>
  <c r="H115" i="32"/>
  <c r="K187" i="37"/>
  <c r="O187" i="37" s="1"/>
  <c r="Q187" i="37" s="1"/>
  <c r="S324" i="25"/>
  <c r="M324" i="25"/>
  <c r="N324" i="25" s="1"/>
  <c r="Q324" i="25"/>
  <c r="R324" i="25" s="1"/>
  <c r="T324" i="25" s="1"/>
  <c r="I178" i="44"/>
  <c r="I178" i="37"/>
  <c r="X171" i="37"/>
  <c r="T171" i="37"/>
  <c r="V171" i="37" s="1"/>
  <c r="H99" i="32"/>
  <c r="K171" i="37"/>
  <c r="O171" i="37" s="1"/>
  <c r="Q171" i="37" s="1"/>
  <c r="S308" i="25"/>
  <c r="M308" i="25"/>
  <c r="N308" i="25" s="1"/>
  <c r="Q308" i="25"/>
  <c r="R308" i="25" s="1"/>
  <c r="I162" i="44"/>
  <c r="I162" i="37"/>
  <c r="X155" i="37"/>
  <c r="T155" i="37"/>
  <c r="V155" i="37" s="1"/>
  <c r="H83" i="32"/>
  <c r="K155" i="37"/>
  <c r="O155" i="37" s="1"/>
  <c r="Q155" i="37" s="1"/>
  <c r="S292" i="25"/>
  <c r="M292" i="25"/>
  <c r="N292" i="25" s="1"/>
  <c r="I146" i="44"/>
  <c r="Q292" i="25"/>
  <c r="R292" i="25" s="1"/>
  <c r="T292" i="25" s="1"/>
  <c r="I146" i="37"/>
  <c r="X139" i="37"/>
  <c r="T139" i="37"/>
  <c r="V139" i="37" s="1"/>
  <c r="Z139" i="37" s="1"/>
  <c r="H67" i="32"/>
  <c r="K139" i="37"/>
  <c r="O139" i="37" s="1"/>
  <c r="Q139" i="37" s="1"/>
  <c r="S276" i="25"/>
  <c r="Q276" i="25"/>
  <c r="R276" i="25" s="1"/>
  <c r="T276" i="25" s="1"/>
  <c r="M276" i="25"/>
  <c r="N276" i="25" s="1"/>
  <c r="I130" i="44"/>
  <c r="I130" i="37"/>
  <c r="X123" i="37"/>
  <c r="T123" i="37"/>
  <c r="V123" i="37" s="1"/>
  <c r="Z123" i="37" s="1"/>
  <c r="AC123" i="37" s="1"/>
  <c r="H51" i="32"/>
  <c r="K123" i="37"/>
  <c r="O123" i="37" s="1"/>
  <c r="Q123" i="37" s="1"/>
  <c r="S260" i="25"/>
  <c r="Q260" i="25"/>
  <c r="R260" i="25" s="1"/>
  <c r="T260" i="25" s="1"/>
  <c r="M260" i="25"/>
  <c r="N260" i="25" s="1"/>
  <c r="I114" i="44"/>
  <c r="I114" i="37"/>
  <c r="X107" i="37"/>
  <c r="T107" i="37"/>
  <c r="V107" i="37" s="1"/>
  <c r="H35" i="32"/>
  <c r="K107" i="37"/>
  <c r="O107" i="37" s="1"/>
  <c r="Q107" i="37" s="1"/>
  <c r="S244" i="25"/>
  <c r="Q244" i="25"/>
  <c r="R244" i="25" s="1"/>
  <c r="M244" i="25"/>
  <c r="N244" i="25" s="1"/>
  <c r="I98" i="44"/>
  <c r="I98" i="37"/>
  <c r="X91" i="37"/>
  <c r="T91" i="37"/>
  <c r="V91" i="37" s="1"/>
  <c r="H19" i="32"/>
  <c r="K91" i="37"/>
  <c r="O91" i="37" s="1"/>
  <c r="Q91" i="37" s="1"/>
  <c r="S228" i="25"/>
  <c r="Q228" i="25"/>
  <c r="R228" i="25" s="1"/>
  <c r="M228" i="25"/>
  <c r="N228" i="25" s="1"/>
  <c r="I82" i="44"/>
  <c r="I82" i="37"/>
  <c r="K350" i="44"/>
  <c r="M350" i="44" s="1"/>
  <c r="P350" i="44"/>
  <c r="R350" i="44" s="1"/>
  <c r="U350" i="44" s="1"/>
  <c r="Z365" i="37"/>
  <c r="Z336" i="37"/>
  <c r="AC336" i="37" s="1"/>
  <c r="T287" i="37"/>
  <c r="V287" i="37" s="1"/>
  <c r="T159" i="37"/>
  <c r="V159" i="37" s="1"/>
  <c r="T95" i="37"/>
  <c r="V95" i="37" s="1"/>
  <c r="Z95" i="37" s="1"/>
  <c r="AC95" i="37" s="1"/>
  <c r="I214" i="44"/>
  <c r="S684" i="25"/>
  <c r="Q684" i="25"/>
  <c r="R684" i="25" s="1"/>
  <c r="T684" i="25" s="1"/>
  <c r="M684" i="25"/>
  <c r="N684" i="25" s="1"/>
  <c r="I318" i="37"/>
  <c r="I318" i="44"/>
  <c r="X311" i="37"/>
  <c r="H239" i="32"/>
  <c r="T311" i="37"/>
  <c r="V311" i="37" s="1"/>
  <c r="Z311" i="37" s="1"/>
  <c r="AC311" i="37" s="1"/>
  <c r="K311" i="37"/>
  <c r="O311" i="37" s="1"/>
  <c r="Q311" i="37" s="1"/>
  <c r="S668" i="25"/>
  <c r="Q668" i="25"/>
  <c r="R668" i="25" s="1"/>
  <c r="T668" i="25" s="1"/>
  <c r="M668" i="25"/>
  <c r="N668" i="25" s="1"/>
  <c r="I302" i="37"/>
  <c r="I302" i="44"/>
  <c r="X295" i="37"/>
  <c r="H223" i="32"/>
  <c r="T295" i="37"/>
  <c r="V295" i="37" s="1"/>
  <c r="K295" i="37"/>
  <c r="O295" i="37" s="1"/>
  <c r="Q295" i="37" s="1"/>
  <c r="Q432" i="25"/>
  <c r="R432" i="25" s="1"/>
  <c r="T432" i="25" s="1"/>
  <c r="S432" i="25"/>
  <c r="M432" i="25"/>
  <c r="N432" i="25" s="1"/>
  <c r="I286" i="37"/>
  <c r="I286" i="44"/>
  <c r="S424" i="25"/>
  <c r="Q424" i="25"/>
  <c r="R424" i="25" s="1"/>
  <c r="M424" i="25"/>
  <c r="N424" i="25" s="1"/>
  <c r="I278" i="37"/>
  <c r="I278" i="44"/>
  <c r="T273" i="37"/>
  <c r="V273" i="37" s="1"/>
  <c r="X273" i="37"/>
  <c r="K273" i="37"/>
  <c r="O273" i="37" s="1"/>
  <c r="Q273" i="37" s="1"/>
  <c r="H201" i="32"/>
  <c r="X271" i="37"/>
  <c r="Z271" i="37" s="1"/>
  <c r="AC271" i="37" s="1"/>
  <c r="H199" i="32"/>
  <c r="K271" i="37"/>
  <c r="O271" i="37" s="1"/>
  <c r="Q271" i="37" s="1"/>
  <c r="Q408" i="25"/>
  <c r="R408" i="25" s="1"/>
  <c r="T408" i="25" s="1"/>
  <c r="S408" i="25"/>
  <c r="M408" i="25"/>
  <c r="N408" i="25" s="1"/>
  <c r="I262" i="44"/>
  <c r="I262" i="37"/>
  <c r="T257" i="37"/>
  <c r="V257" i="37" s="1"/>
  <c r="X257" i="37"/>
  <c r="K257" i="37"/>
  <c r="O257" i="37" s="1"/>
  <c r="Q257" i="37" s="1"/>
  <c r="H185" i="32"/>
  <c r="X255" i="37"/>
  <c r="H183" i="32"/>
  <c r="K255" i="37"/>
  <c r="O255" i="37" s="1"/>
  <c r="Q255" i="37" s="1"/>
  <c r="S392" i="25"/>
  <c r="Q392" i="25"/>
  <c r="R392" i="25" s="1"/>
  <c r="M392" i="25"/>
  <c r="N392" i="25" s="1"/>
  <c r="I246" i="44"/>
  <c r="I246" i="37"/>
  <c r="X239" i="37"/>
  <c r="H167" i="32"/>
  <c r="K239" i="37"/>
  <c r="O239" i="37" s="1"/>
  <c r="Q239" i="37" s="1"/>
  <c r="S376" i="25"/>
  <c r="Q376" i="25"/>
  <c r="R376" i="25" s="1"/>
  <c r="M376" i="25"/>
  <c r="N376" i="25" s="1"/>
  <c r="I230" i="44"/>
  <c r="I230" i="37"/>
  <c r="X223" i="37"/>
  <c r="H151" i="32"/>
  <c r="K223" i="37"/>
  <c r="O223" i="37" s="1"/>
  <c r="Q223" i="37" s="1"/>
  <c r="X215" i="37"/>
  <c r="H143" i="32"/>
  <c r="T215" i="37"/>
  <c r="V215" i="37" s="1"/>
  <c r="Z215" i="37" s="1"/>
  <c r="K215" i="37"/>
  <c r="O215" i="37" s="1"/>
  <c r="Q215" i="37" s="1"/>
  <c r="S352" i="25"/>
  <c r="Q352" i="25"/>
  <c r="R352" i="25" s="1"/>
  <c r="M352" i="25"/>
  <c r="N352" i="25" s="1"/>
  <c r="I206" i="37"/>
  <c r="I206" i="44"/>
  <c r="X199" i="37"/>
  <c r="H127" i="32"/>
  <c r="T199" i="37"/>
  <c r="V199" i="37" s="1"/>
  <c r="Z199" i="37" s="1"/>
  <c r="AC199" i="37" s="1"/>
  <c r="K199" i="37"/>
  <c r="O199" i="37" s="1"/>
  <c r="Q199" i="37" s="1"/>
  <c r="S336" i="25"/>
  <c r="Q336" i="25"/>
  <c r="R336" i="25" s="1"/>
  <c r="T336" i="25" s="1"/>
  <c r="M336" i="25"/>
  <c r="N336" i="25" s="1"/>
  <c r="I190" i="44"/>
  <c r="I190" i="37"/>
  <c r="X183" i="37"/>
  <c r="H111" i="32"/>
  <c r="T183" i="37"/>
  <c r="V183" i="37" s="1"/>
  <c r="K183" i="37"/>
  <c r="O183" i="37" s="1"/>
  <c r="Q183" i="37" s="1"/>
  <c r="S320" i="25"/>
  <c r="Q320" i="25"/>
  <c r="R320" i="25" s="1"/>
  <c r="T320" i="25" s="1"/>
  <c r="M320" i="25"/>
  <c r="N320" i="25" s="1"/>
  <c r="I174" i="44"/>
  <c r="I174" i="37"/>
  <c r="X167" i="37"/>
  <c r="H95" i="32"/>
  <c r="T167" i="37"/>
  <c r="V167" i="37" s="1"/>
  <c r="K167" i="37"/>
  <c r="O167" i="37" s="1"/>
  <c r="Q167" i="37" s="1"/>
  <c r="Q304" i="25"/>
  <c r="R304" i="25" s="1"/>
  <c r="T304" i="25" s="1"/>
  <c r="S304" i="25"/>
  <c r="M304" i="25"/>
  <c r="N304" i="25" s="1"/>
  <c r="I158" i="44"/>
  <c r="I158" i="37"/>
  <c r="X151" i="37"/>
  <c r="H79" i="32"/>
  <c r="T151" i="37"/>
  <c r="V151" i="37" s="1"/>
  <c r="Z151" i="37" s="1"/>
  <c r="K151" i="37"/>
  <c r="O151" i="37" s="1"/>
  <c r="Q151" i="37" s="1"/>
  <c r="S288" i="25"/>
  <c r="Q288" i="25"/>
  <c r="R288" i="25" s="1"/>
  <c r="M288" i="25"/>
  <c r="N288" i="25" s="1"/>
  <c r="I142" i="44"/>
  <c r="I142" i="37"/>
  <c r="X135" i="37"/>
  <c r="H63" i="32"/>
  <c r="T135" i="37"/>
  <c r="V135" i="37" s="1"/>
  <c r="Z135" i="37" s="1"/>
  <c r="AC135" i="37" s="1"/>
  <c r="K135" i="37"/>
  <c r="O135" i="37" s="1"/>
  <c r="Q135" i="37" s="1"/>
  <c r="M272" i="25"/>
  <c r="N272" i="25" s="1"/>
  <c r="S272" i="25"/>
  <c r="Q272" i="25"/>
  <c r="R272" i="25" s="1"/>
  <c r="T272" i="25" s="1"/>
  <c r="I126" i="44"/>
  <c r="I126" i="37"/>
  <c r="X119" i="37"/>
  <c r="H47" i="32"/>
  <c r="T119" i="37"/>
  <c r="V119" i="37" s="1"/>
  <c r="K119" i="37"/>
  <c r="O119" i="37" s="1"/>
  <c r="Q119" i="37" s="1"/>
  <c r="S256" i="25"/>
  <c r="M256" i="25"/>
  <c r="N256" i="25" s="1"/>
  <c r="Q256" i="25"/>
  <c r="R256" i="25" s="1"/>
  <c r="I110" i="44"/>
  <c r="I110" i="37"/>
  <c r="X103" i="37"/>
  <c r="H31" i="32"/>
  <c r="T103" i="37"/>
  <c r="V103" i="37" s="1"/>
  <c r="K103" i="37"/>
  <c r="O103" i="37" s="1"/>
  <c r="Q103" i="37" s="1"/>
  <c r="Q240" i="25"/>
  <c r="R240" i="25" s="1"/>
  <c r="T240" i="25" s="1"/>
  <c r="S240" i="25"/>
  <c r="M240" i="25"/>
  <c r="N240" i="25" s="1"/>
  <c r="I94" i="44"/>
  <c r="I94" i="37"/>
  <c r="X87" i="37"/>
  <c r="H15" i="32"/>
  <c r="T87" i="37"/>
  <c r="V87" i="37" s="1"/>
  <c r="Z87" i="37" s="1"/>
  <c r="K87" i="37"/>
  <c r="O87" i="37" s="1"/>
  <c r="Q87" i="37" s="1"/>
  <c r="S224" i="25"/>
  <c r="Q224" i="25"/>
  <c r="R224" i="25" s="1"/>
  <c r="M224" i="25"/>
  <c r="N224" i="25" s="1"/>
  <c r="I78" i="44"/>
  <c r="I78" i="37"/>
  <c r="Z344" i="37"/>
  <c r="AC344" i="37" s="1"/>
  <c r="T303" i="37"/>
  <c r="V303" i="37" s="1"/>
  <c r="Z303" i="37" s="1"/>
  <c r="AC303" i="37" s="1"/>
  <c r="T239" i="37"/>
  <c r="V239" i="37" s="1"/>
  <c r="Z239" i="37" s="1"/>
  <c r="T175" i="37"/>
  <c r="V175" i="37" s="1"/>
  <c r="T111" i="37"/>
  <c r="V111" i="37" s="1"/>
  <c r="P76" i="44"/>
  <c r="R76" i="44" s="1"/>
  <c r="U76" i="44" s="1"/>
  <c r="K76" i="44"/>
  <c r="M76" i="44" s="1"/>
  <c r="K366" i="44"/>
  <c r="M366" i="44" s="1"/>
  <c r="P366" i="44"/>
  <c r="R366" i="44" s="1"/>
  <c r="U366" i="44" s="1"/>
  <c r="K398" i="44"/>
  <c r="M398" i="44" s="1"/>
  <c r="P398" i="44"/>
  <c r="R398" i="44" s="1"/>
  <c r="K430" i="44"/>
  <c r="M430" i="44" s="1"/>
  <c r="P430" i="44"/>
  <c r="R430" i="44" s="1"/>
  <c r="U430" i="44" s="1"/>
  <c r="Q734" i="25"/>
  <c r="R734" i="25" s="1"/>
  <c r="T734" i="25" s="1"/>
  <c r="S734" i="25"/>
  <c r="M734" i="25"/>
  <c r="N734" i="25" s="1"/>
  <c r="I368" i="44"/>
  <c r="S730" i="25"/>
  <c r="Q730" i="25"/>
  <c r="R730" i="25" s="1"/>
  <c r="M730" i="25"/>
  <c r="N730" i="25" s="1"/>
  <c r="I364" i="44"/>
  <c r="Q726" i="25"/>
  <c r="R726" i="25" s="1"/>
  <c r="T726" i="25" s="1"/>
  <c r="S726" i="25"/>
  <c r="M726" i="25"/>
  <c r="N726" i="25" s="1"/>
  <c r="I360" i="44"/>
  <c r="S722" i="25"/>
  <c r="Q722" i="25"/>
  <c r="R722" i="25" s="1"/>
  <c r="M722" i="25"/>
  <c r="N722" i="25" s="1"/>
  <c r="I356" i="44"/>
  <c r="Q718" i="25"/>
  <c r="R718" i="25" s="1"/>
  <c r="T718" i="25" s="1"/>
  <c r="S718" i="25"/>
  <c r="M718" i="25"/>
  <c r="N718" i="25" s="1"/>
  <c r="I352" i="44"/>
  <c r="S713" i="25"/>
  <c r="Q713" i="25"/>
  <c r="R713" i="25" s="1"/>
  <c r="M713" i="25"/>
  <c r="N713" i="25" s="1"/>
  <c r="I347" i="44"/>
  <c r="S709" i="25"/>
  <c r="Q709" i="25"/>
  <c r="R709" i="25" s="1"/>
  <c r="M709" i="25"/>
  <c r="N709" i="25" s="1"/>
  <c r="I343" i="44"/>
  <c r="S705" i="25"/>
  <c r="M705" i="25"/>
  <c r="N705" i="25" s="1"/>
  <c r="Q705" i="25"/>
  <c r="R705" i="25" s="1"/>
  <c r="I339" i="44"/>
  <c r="S701" i="25"/>
  <c r="Q701" i="25"/>
  <c r="R701" i="25" s="1"/>
  <c r="M701" i="25"/>
  <c r="N701" i="25" s="1"/>
  <c r="I335" i="44"/>
  <c r="S697" i="25"/>
  <c r="Q697" i="25"/>
  <c r="R697" i="25" s="1"/>
  <c r="M697" i="25"/>
  <c r="N697" i="25" s="1"/>
  <c r="I331" i="44"/>
  <c r="S693" i="25"/>
  <c r="Q693" i="25"/>
  <c r="R693" i="25" s="1"/>
  <c r="M693" i="25"/>
  <c r="N693" i="25" s="1"/>
  <c r="I327" i="44"/>
  <c r="S689" i="25"/>
  <c r="Q689" i="25"/>
  <c r="R689" i="25" s="1"/>
  <c r="M689" i="25"/>
  <c r="N689" i="25" s="1"/>
  <c r="I323" i="44"/>
  <c r="S685" i="25"/>
  <c r="Q685" i="25"/>
  <c r="R685" i="25" s="1"/>
  <c r="M685" i="25"/>
  <c r="N685" i="25" s="1"/>
  <c r="I319" i="44"/>
  <c r="S681" i="25"/>
  <c r="Q681" i="25"/>
  <c r="R681" i="25" s="1"/>
  <c r="M681" i="25"/>
  <c r="N681" i="25" s="1"/>
  <c r="I315" i="44"/>
  <c r="S677" i="25"/>
  <c r="Q677" i="25"/>
  <c r="R677" i="25" s="1"/>
  <c r="M677" i="25"/>
  <c r="N677" i="25" s="1"/>
  <c r="I311" i="44"/>
  <c r="T308" i="37"/>
  <c r="V308" i="37" s="1"/>
  <c r="Z308" i="37" s="1"/>
  <c r="X308" i="37"/>
  <c r="S673" i="25"/>
  <c r="Q673" i="25"/>
  <c r="R673" i="25" s="1"/>
  <c r="T673" i="25" s="1"/>
  <c r="M673" i="25"/>
  <c r="N673" i="25" s="1"/>
  <c r="I307" i="44"/>
  <c r="T304" i="37"/>
  <c r="V304" i="37" s="1"/>
  <c r="X304" i="37"/>
  <c r="S669" i="25"/>
  <c r="Q669" i="25"/>
  <c r="R669" i="25" s="1"/>
  <c r="M669" i="25"/>
  <c r="N669" i="25" s="1"/>
  <c r="I303" i="44"/>
  <c r="T300" i="37"/>
  <c r="V300" i="37" s="1"/>
  <c r="Z300" i="37" s="1"/>
  <c r="X300" i="37"/>
  <c r="S665" i="25"/>
  <c r="Q665" i="25"/>
  <c r="R665" i="25" s="1"/>
  <c r="T665" i="25" s="1"/>
  <c r="M665" i="25"/>
  <c r="N665" i="25" s="1"/>
  <c r="I299" i="44"/>
  <c r="T296" i="37"/>
  <c r="V296" i="37" s="1"/>
  <c r="X296" i="37"/>
  <c r="S441" i="25"/>
  <c r="Q441" i="25"/>
  <c r="R441" i="25" s="1"/>
  <c r="M441" i="25"/>
  <c r="N441" i="25" s="1"/>
  <c r="I295" i="44"/>
  <c r="T292" i="37"/>
  <c r="V292" i="37" s="1"/>
  <c r="Z292" i="37" s="1"/>
  <c r="X292" i="37"/>
  <c r="S437" i="25"/>
  <c r="Q437" i="25"/>
  <c r="R437" i="25" s="1"/>
  <c r="T437" i="25" s="1"/>
  <c r="M437" i="25"/>
  <c r="N437" i="25" s="1"/>
  <c r="I291" i="44"/>
  <c r="T288" i="37"/>
  <c r="V288" i="37" s="1"/>
  <c r="X288" i="37"/>
  <c r="S433" i="25"/>
  <c r="Q433" i="25"/>
  <c r="R433" i="25" s="1"/>
  <c r="M433" i="25"/>
  <c r="N433" i="25" s="1"/>
  <c r="I287" i="44"/>
  <c r="T284" i="37"/>
  <c r="V284" i="37" s="1"/>
  <c r="Z284" i="37" s="1"/>
  <c r="X284" i="37"/>
  <c r="S429" i="25"/>
  <c r="Q429" i="25"/>
  <c r="R429" i="25" s="1"/>
  <c r="T429" i="25" s="1"/>
  <c r="M429" i="25"/>
  <c r="N429" i="25" s="1"/>
  <c r="I283" i="44"/>
  <c r="T280" i="37"/>
  <c r="V280" i="37" s="1"/>
  <c r="X280" i="37"/>
  <c r="S425" i="25"/>
  <c r="Q425" i="25"/>
  <c r="R425" i="25" s="1"/>
  <c r="M425" i="25"/>
  <c r="N425" i="25" s="1"/>
  <c r="I279" i="44"/>
  <c r="T276" i="37"/>
  <c r="V276" i="37" s="1"/>
  <c r="Z276" i="37" s="1"/>
  <c r="X276" i="37"/>
  <c r="Q421" i="25"/>
  <c r="R421" i="25" s="1"/>
  <c r="S421" i="25"/>
  <c r="M421" i="25"/>
  <c r="N421" i="25" s="1"/>
  <c r="I275" i="44"/>
  <c r="T272" i="37"/>
  <c r="V272" i="37" s="1"/>
  <c r="X272" i="37"/>
  <c r="S417" i="25"/>
  <c r="Q417" i="25"/>
  <c r="R417" i="25" s="1"/>
  <c r="M417" i="25"/>
  <c r="N417" i="25" s="1"/>
  <c r="I271" i="44"/>
  <c r="T268" i="37"/>
  <c r="V268" i="37" s="1"/>
  <c r="Z268" i="37" s="1"/>
  <c r="X268" i="37"/>
  <c r="S413" i="25"/>
  <c r="Q413" i="25"/>
  <c r="R413" i="25" s="1"/>
  <c r="T413" i="25" s="1"/>
  <c r="M413" i="25"/>
  <c r="N413" i="25" s="1"/>
  <c r="I267" i="44"/>
  <c r="T264" i="37"/>
  <c r="V264" i="37" s="1"/>
  <c r="X264" i="37"/>
  <c r="S409" i="25"/>
  <c r="Q409" i="25"/>
  <c r="R409" i="25" s="1"/>
  <c r="M409" i="25"/>
  <c r="N409" i="25" s="1"/>
  <c r="I263" i="44"/>
  <c r="T260" i="37"/>
  <c r="V260" i="37" s="1"/>
  <c r="Z260" i="37" s="1"/>
  <c r="X260" i="37"/>
  <c r="S405" i="25"/>
  <c r="Q405" i="25"/>
  <c r="R405" i="25" s="1"/>
  <c r="T405" i="25" s="1"/>
  <c r="M405" i="25"/>
  <c r="N405" i="25" s="1"/>
  <c r="I259" i="44"/>
  <c r="T256" i="37"/>
  <c r="V256" i="37" s="1"/>
  <c r="X256" i="37"/>
  <c r="S401" i="25"/>
  <c r="Q401" i="25"/>
  <c r="R401" i="25" s="1"/>
  <c r="M401" i="25"/>
  <c r="N401" i="25" s="1"/>
  <c r="I255" i="44"/>
  <c r="T252" i="37"/>
  <c r="V252" i="37" s="1"/>
  <c r="Z252" i="37" s="1"/>
  <c r="X252" i="37"/>
  <c r="S397" i="25"/>
  <c r="Q397" i="25"/>
  <c r="R397" i="25" s="1"/>
  <c r="T397" i="25" s="1"/>
  <c r="M397" i="25"/>
  <c r="N397" i="25" s="1"/>
  <c r="I251" i="44"/>
  <c r="T248" i="37"/>
  <c r="V248" i="37" s="1"/>
  <c r="X248" i="37"/>
  <c r="S393" i="25"/>
  <c r="Q393" i="25"/>
  <c r="R393" i="25" s="1"/>
  <c r="M393" i="25"/>
  <c r="N393" i="25" s="1"/>
  <c r="I247" i="44"/>
  <c r="T244" i="37"/>
  <c r="V244" i="37" s="1"/>
  <c r="Z244" i="37" s="1"/>
  <c r="X244" i="37"/>
  <c r="Q389" i="25"/>
  <c r="R389" i="25" s="1"/>
  <c r="S389" i="25"/>
  <c r="M389" i="25"/>
  <c r="N389" i="25" s="1"/>
  <c r="I243" i="44"/>
  <c r="T240" i="37"/>
  <c r="V240" i="37" s="1"/>
  <c r="X240" i="37"/>
  <c r="S385" i="25"/>
  <c r="Q385" i="25"/>
  <c r="R385" i="25" s="1"/>
  <c r="M385" i="25"/>
  <c r="N385" i="25" s="1"/>
  <c r="I239" i="44"/>
  <c r="T236" i="37"/>
  <c r="V236" i="37" s="1"/>
  <c r="Z236" i="37" s="1"/>
  <c r="X236" i="37"/>
  <c r="S381" i="25"/>
  <c r="Q381" i="25"/>
  <c r="R381" i="25" s="1"/>
  <c r="T381" i="25" s="1"/>
  <c r="M381" i="25"/>
  <c r="N381" i="25" s="1"/>
  <c r="I235" i="44"/>
  <c r="T232" i="37"/>
  <c r="V232" i="37" s="1"/>
  <c r="X232" i="37"/>
  <c r="S377" i="25"/>
  <c r="Q377" i="25"/>
  <c r="R377" i="25" s="1"/>
  <c r="M377" i="25"/>
  <c r="N377" i="25" s="1"/>
  <c r="I231" i="44"/>
  <c r="T228" i="37"/>
  <c r="V228" i="37" s="1"/>
  <c r="Z228" i="37" s="1"/>
  <c r="X228" i="37"/>
  <c r="S373" i="25"/>
  <c r="Q373" i="25"/>
  <c r="R373" i="25" s="1"/>
  <c r="T373" i="25" s="1"/>
  <c r="M373" i="25"/>
  <c r="N373" i="25" s="1"/>
  <c r="I227" i="44"/>
  <c r="T224" i="37"/>
  <c r="V224" i="37" s="1"/>
  <c r="X224" i="37"/>
  <c r="S369" i="25"/>
  <c r="Q369" i="25"/>
  <c r="R369" i="25" s="1"/>
  <c r="M369" i="25"/>
  <c r="N369" i="25" s="1"/>
  <c r="I223" i="44"/>
  <c r="T220" i="37"/>
  <c r="V220" i="37" s="1"/>
  <c r="Z220" i="37" s="1"/>
  <c r="X220" i="37"/>
  <c r="Q365" i="25"/>
  <c r="R365" i="25" s="1"/>
  <c r="S365" i="25"/>
  <c r="M365" i="25"/>
  <c r="N365" i="25" s="1"/>
  <c r="I219" i="44"/>
  <c r="T216" i="37"/>
  <c r="V216" i="37" s="1"/>
  <c r="X216" i="37"/>
  <c r="S361" i="25"/>
  <c r="Q361" i="25"/>
  <c r="R361" i="25" s="1"/>
  <c r="M361" i="25"/>
  <c r="N361" i="25" s="1"/>
  <c r="I215" i="44"/>
  <c r="T212" i="37"/>
  <c r="V212" i="37" s="1"/>
  <c r="Z212" i="37" s="1"/>
  <c r="X212" i="37"/>
  <c r="Q357" i="25"/>
  <c r="R357" i="25" s="1"/>
  <c r="M357" i="25"/>
  <c r="N357" i="25" s="1"/>
  <c r="S357" i="25"/>
  <c r="I211" i="44"/>
  <c r="T208" i="37"/>
  <c r="V208" i="37" s="1"/>
  <c r="X208" i="37"/>
  <c r="S353" i="25"/>
  <c r="Q353" i="25"/>
  <c r="R353" i="25" s="1"/>
  <c r="M353" i="25"/>
  <c r="N353" i="25" s="1"/>
  <c r="I207" i="44"/>
  <c r="T204" i="37"/>
  <c r="V204" i="37" s="1"/>
  <c r="Z204" i="37" s="1"/>
  <c r="X204" i="37"/>
  <c r="S349" i="25"/>
  <c r="Q349" i="25"/>
  <c r="R349" i="25" s="1"/>
  <c r="T349" i="25" s="1"/>
  <c r="M349" i="25"/>
  <c r="N349" i="25" s="1"/>
  <c r="I203" i="44"/>
  <c r="T200" i="37"/>
  <c r="V200" i="37" s="1"/>
  <c r="X200" i="37"/>
  <c r="S345" i="25"/>
  <c r="Q345" i="25"/>
  <c r="R345" i="25" s="1"/>
  <c r="M345" i="25"/>
  <c r="N345" i="25" s="1"/>
  <c r="I199" i="44"/>
  <c r="T196" i="37"/>
  <c r="V196" i="37" s="1"/>
  <c r="Z196" i="37" s="1"/>
  <c r="X196" i="37"/>
  <c r="S341" i="25"/>
  <c r="Q341" i="25"/>
  <c r="R341" i="25" s="1"/>
  <c r="T341" i="25" s="1"/>
  <c r="M341" i="25"/>
  <c r="N341" i="25" s="1"/>
  <c r="I195" i="44"/>
  <c r="T192" i="37"/>
  <c r="V192" i="37" s="1"/>
  <c r="X192" i="37"/>
  <c r="S337" i="25"/>
  <c r="Q337" i="25"/>
  <c r="R337" i="25" s="1"/>
  <c r="M337" i="25"/>
  <c r="N337" i="25" s="1"/>
  <c r="I191" i="44"/>
  <c r="T188" i="37"/>
  <c r="V188" i="37" s="1"/>
  <c r="Z188" i="37" s="1"/>
  <c r="X188" i="37"/>
  <c r="Q333" i="25"/>
  <c r="R333" i="25" s="1"/>
  <c r="S333" i="25"/>
  <c r="M333" i="25"/>
  <c r="N333" i="25" s="1"/>
  <c r="I187" i="44"/>
  <c r="T184" i="37"/>
  <c r="V184" i="37" s="1"/>
  <c r="X184" i="37"/>
  <c r="S329" i="25"/>
  <c r="Q329" i="25"/>
  <c r="R329" i="25" s="1"/>
  <c r="M329" i="25"/>
  <c r="N329" i="25" s="1"/>
  <c r="I183" i="44"/>
  <c r="T180" i="37"/>
  <c r="V180" i="37" s="1"/>
  <c r="Z180" i="37" s="1"/>
  <c r="X180" i="37"/>
  <c r="Q325" i="25"/>
  <c r="R325" i="25" s="1"/>
  <c r="S325" i="25"/>
  <c r="M325" i="25"/>
  <c r="N325" i="25" s="1"/>
  <c r="I179" i="44"/>
  <c r="T176" i="37"/>
  <c r="V176" i="37" s="1"/>
  <c r="X176" i="37"/>
  <c r="S321" i="25"/>
  <c r="Q321" i="25"/>
  <c r="R321" i="25" s="1"/>
  <c r="M321" i="25"/>
  <c r="N321" i="25" s="1"/>
  <c r="I175" i="44"/>
  <c r="T172" i="37"/>
  <c r="V172" i="37" s="1"/>
  <c r="Z172" i="37" s="1"/>
  <c r="X172" i="37"/>
  <c r="S317" i="25"/>
  <c r="Q317" i="25"/>
  <c r="R317" i="25" s="1"/>
  <c r="T317" i="25" s="1"/>
  <c r="M317" i="25"/>
  <c r="N317" i="25" s="1"/>
  <c r="I171" i="44"/>
  <c r="T168" i="37"/>
  <c r="V168" i="37" s="1"/>
  <c r="X168" i="37"/>
  <c r="S313" i="25"/>
  <c r="Q313" i="25"/>
  <c r="R313" i="25" s="1"/>
  <c r="M313" i="25"/>
  <c r="N313" i="25" s="1"/>
  <c r="I167" i="44"/>
  <c r="T164" i="37"/>
  <c r="V164" i="37" s="1"/>
  <c r="Z164" i="37" s="1"/>
  <c r="X164" i="37"/>
  <c r="S309" i="25"/>
  <c r="Q309" i="25"/>
  <c r="R309" i="25" s="1"/>
  <c r="T309" i="25" s="1"/>
  <c r="M309" i="25"/>
  <c r="N309" i="25" s="1"/>
  <c r="I163" i="44"/>
  <c r="T160" i="37"/>
  <c r="V160" i="37" s="1"/>
  <c r="X160" i="37"/>
  <c r="S305" i="25"/>
  <c r="Q305" i="25"/>
  <c r="R305" i="25" s="1"/>
  <c r="M305" i="25"/>
  <c r="N305" i="25" s="1"/>
  <c r="I159" i="44"/>
  <c r="T156" i="37"/>
  <c r="V156" i="37" s="1"/>
  <c r="Z156" i="37" s="1"/>
  <c r="X156" i="37"/>
  <c r="Q301" i="25"/>
  <c r="R301" i="25" s="1"/>
  <c r="S301" i="25"/>
  <c r="M301" i="25"/>
  <c r="N301" i="25" s="1"/>
  <c r="I155" i="44"/>
  <c r="T152" i="37"/>
  <c r="V152" i="37" s="1"/>
  <c r="X152" i="37"/>
  <c r="S297" i="25"/>
  <c r="Q297" i="25"/>
  <c r="R297" i="25" s="1"/>
  <c r="M297" i="25"/>
  <c r="N297" i="25" s="1"/>
  <c r="I151" i="44"/>
  <c r="T148" i="37"/>
  <c r="V148" i="37" s="1"/>
  <c r="Z148" i="37" s="1"/>
  <c r="X148" i="37"/>
  <c r="Q293" i="25"/>
  <c r="R293" i="25" s="1"/>
  <c r="S293" i="25"/>
  <c r="M293" i="25"/>
  <c r="N293" i="25" s="1"/>
  <c r="I147" i="44"/>
  <c r="T144" i="37"/>
  <c r="V144" i="37" s="1"/>
  <c r="X144" i="37"/>
  <c r="S289" i="25"/>
  <c r="Q289" i="25"/>
  <c r="R289" i="25" s="1"/>
  <c r="M289" i="25"/>
  <c r="N289" i="25" s="1"/>
  <c r="I143" i="44"/>
  <c r="T140" i="37"/>
  <c r="V140" i="37" s="1"/>
  <c r="Z140" i="37" s="1"/>
  <c r="X140" i="37"/>
  <c r="S285" i="25"/>
  <c r="Q285" i="25"/>
  <c r="R285" i="25" s="1"/>
  <c r="T285" i="25" s="1"/>
  <c r="M285" i="25"/>
  <c r="N285" i="25" s="1"/>
  <c r="I139" i="44"/>
  <c r="T136" i="37"/>
  <c r="V136" i="37" s="1"/>
  <c r="X136" i="37"/>
  <c r="S281" i="25"/>
  <c r="Q281" i="25"/>
  <c r="R281" i="25" s="1"/>
  <c r="M281" i="25"/>
  <c r="N281" i="25" s="1"/>
  <c r="I135" i="44"/>
  <c r="T132" i="37"/>
  <c r="V132" i="37" s="1"/>
  <c r="Z132" i="37" s="1"/>
  <c r="X132" i="37"/>
  <c r="S277" i="25"/>
  <c r="Q277" i="25"/>
  <c r="R277" i="25" s="1"/>
  <c r="M277" i="25"/>
  <c r="N277" i="25" s="1"/>
  <c r="I131" i="44"/>
  <c r="T128" i="37"/>
  <c r="V128" i="37" s="1"/>
  <c r="Z128" i="37" s="1"/>
  <c r="X128" i="37"/>
  <c r="S273" i="25"/>
  <c r="Q273" i="25"/>
  <c r="R273" i="25" s="1"/>
  <c r="M273" i="25"/>
  <c r="N273" i="25" s="1"/>
  <c r="I127" i="44"/>
  <c r="T124" i="37"/>
  <c r="V124" i="37" s="1"/>
  <c r="Z124" i="37" s="1"/>
  <c r="X124" i="37"/>
  <c r="S269" i="25"/>
  <c r="Q269" i="25"/>
  <c r="R269" i="25" s="1"/>
  <c r="M269" i="25"/>
  <c r="N269" i="25" s="1"/>
  <c r="I123" i="44"/>
  <c r="T120" i="37"/>
  <c r="V120" i="37" s="1"/>
  <c r="Z120" i="37" s="1"/>
  <c r="X120" i="37"/>
  <c r="S265" i="25"/>
  <c r="Q265" i="25"/>
  <c r="R265" i="25" s="1"/>
  <c r="M265" i="25"/>
  <c r="N265" i="25" s="1"/>
  <c r="I119" i="44"/>
  <c r="T116" i="37"/>
  <c r="V116" i="37" s="1"/>
  <c r="Z116" i="37" s="1"/>
  <c r="X116" i="37"/>
  <c r="S261" i="25"/>
  <c r="Q261" i="25"/>
  <c r="R261" i="25" s="1"/>
  <c r="M261" i="25"/>
  <c r="N261" i="25" s="1"/>
  <c r="I115" i="44"/>
  <c r="T112" i="37"/>
  <c r="V112" i="37" s="1"/>
  <c r="Z112" i="37" s="1"/>
  <c r="X112" i="37"/>
  <c r="S257" i="25"/>
  <c r="Q257" i="25"/>
  <c r="R257" i="25" s="1"/>
  <c r="M257" i="25"/>
  <c r="N257" i="25" s="1"/>
  <c r="I111" i="44"/>
  <c r="T108" i="37"/>
  <c r="V108" i="37" s="1"/>
  <c r="Z108" i="37" s="1"/>
  <c r="X108" i="37"/>
  <c r="S253" i="25"/>
  <c r="Q253" i="25"/>
  <c r="R253" i="25" s="1"/>
  <c r="M253" i="25"/>
  <c r="N253" i="25" s="1"/>
  <c r="I107" i="44"/>
  <c r="T104" i="37"/>
  <c r="V104" i="37" s="1"/>
  <c r="Z104" i="37" s="1"/>
  <c r="X104" i="37"/>
  <c r="S249" i="25"/>
  <c r="Q249" i="25"/>
  <c r="R249" i="25" s="1"/>
  <c r="M249" i="25"/>
  <c r="N249" i="25" s="1"/>
  <c r="I103" i="44"/>
  <c r="T100" i="37"/>
  <c r="V100" i="37" s="1"/>
  <c r="Z100" i="37" s="1"/>
  <c r="X100" i="37"/>
  <c r="S245" i="25"/>
  <c r="Q245" i="25"/>
  <c r="R245" i="25" s="1"/>
  <c r="M245" i="25"/>
  <c r="N245" i="25" s="1"/>
  <c r="I99" i="44"/>
  <c r="T96" i="37"/>
  <c r="V96" i="37" s="1"/>
  <c r="Z96" i="37" s="1"/>
  <c r="X96" i="37"/>
  <c r="S241" i="25"/>
  <c r="Q241" i="25"/>
  <c r="R241" i="25" s="1"/>
  <c r="M241" i="25"/>
  <c r="N241" i="25" s="1"/>
  <c r="I95" i="44"/>
  <c r="T92" i="37"/>
  <c r="V92" i="37" s="1"/>
  <c r="Z92" i="37" s="1"/>
  <c r="X92" i="37"/>
  <c r="S237" i="25"/>
  <c r="Q237" i="25"/>
  <c r="R237" i="25" s="1"/>
  <c r="M237" i="25"/>
  <c r="N237" i="25" s="1"/>
  <c r="I91" i="44"/>
  <c r="T88" i="37"/>
  <c r="V88" i="37" s="1"/>
  <c r="Z88" i="37" s="1"/>
  <c r="X88" i="37"/>
  <c r="S233" i="25"/>
  <c r="Q233" i="25"/>
  <c r="R233" i="25" s="1"/>
  <c r="M233" i="25"/>
  <c r="N233" i="25" s="1"/>
  <c r="I87" i="44"/>
  <c r="T84" i="37"/>
  <c r="V84" i="37" s="1"/>
  <c r="Z84" i="37" s="1"/>
  <c r="X84" i="37"/>
  <c r="Q229" i="25"/>
  <c r="R229" i="25" s="1"/>
  <c r="M229" i="25"/>
  <c r="N229" i="25" s="1"/>
  <c r="S229" i="25"/>
  <c r="I83" i="44"/>
  <c r="T80" i="37"/>
  <c r="V80" i="37" s="1"/>
  <c r="Z80" i="37" s="1"/>
  <c r="X80" i="37"/>
  <c r="S225" i="25"/>
  <c r="Q225" i="25"/>
  <c r="R225" i="25" s="1"/>
  <c r="M225" i="25"/>
  <c r="N225" i="25" s="1"/>
  <c r="I79" i="44"/>
  <c r="T77" i="37"/>
  <c r="V77" i="37" s="1"/>
  <c r="Z77" i="37" s="1"/>
  <c r="AC77" i="37" s="1"/>
  <c r="X77" i="37"/>
  <c r="K77" i="37"/>
  <c r="O77" i="37" s="1"/>
  <c r="Q77" i="37" s="1"/>
  <c r="K435" i="37"/>
  <c r="O435" i="37" s="1"/>
  <c r="Q435" i="37" s="1"/>
  <c r="AC435" i="37" s="1"/>
  <c r="K431" i="37"/>
  <c r="O431" i="37" s="1"/>
  <c r="Q431" i="37" s="1"/>
  <c r="AC431" i="37" s="1"/>
  <c r="K427" i="37"/>
  <c r="O427" i="37" s="1"/>
  <c r="Q427" i="37" s="1"/>
  <c r="AC427" i="37" s="1"/>
  <c r="K423" i="37"/>
  <c r="O423" i="37" s="1"/>
  <c r="Q423" i="37" s="1"/>
  <c r="AC423" i="37" s="1"/>
  <c r="K419" i="37"/>
  <c r="O419" i="37" s="1"/>
  <c r="Q419" i="37" s="1"/>
  <c r="AC419" i="37" s="1"/>
  <c r="K415" i="37"/>
  <c r="O415" i="37" s="1"/>
  <c r="Q415" i="37" s="1"/>
  <c r="AC415" i="37" s="1"/>
  <c r="K411" i="37"/>
  <c r="O411" i="37" s="1"/>
  <c r="Q411" i="37" s="1"/>
  <c r="AC411" i="37" s="1"/>
  <c r="K407" i="37"/>
  <c r="O407" i="37" s="1"/>
  <c r="Q407" i="37" s="1"/>
  <c r="AC407" i="37" s="1"/>
  <c r="K369" i="37"/>
  <c r="O369" i="37" s="1"/>
  <c r="Q369" i="37" s="1"/>
  <c r="AC369" i="37" s="1"/>
  <c r="K365" i="37"/>
  <c r="O365" i="37" s="1"/>
  <c r="Q365" i="37" s="1"/>
  <c r="K361" i="37"/>
  <c r="O361" i="37" s="1"/>
  <c r="Q361" i="37" s="1"/>
  <c r="AC361" i="37" s="1"/>
  <c r="K357" i="37"/>
  <c r="O357" i="37" s="1"/>
  <c r="Q357" i="37" s="1"/>
  <c r="K353" i="37"/>
  <c r="O353" i="37" s="1"/>
  <c r="Q353" i="37" s="1"/>
  <c r="AC353" i="37" s="1"/>
  <c r="K349" i="37"/>
  <c r="O349" i="37" s="1"/>
  <c r="Q349" i="37" s="1"/>
  <c r="AC349" i="37" s="1"/>
  <c r="T402" i="37"/>
  <c r="V402" i="37" s="1"/>
  <c r="T394" i="37"/>
  <c r="V394" i="37" s="1"/>
  <c r="T386" i="37"/>
  <c r="V386" i="37" s="1"/>
  <c r="T378" i="37"/>
  <c r="V378" i="37" s="1"/>
  <c r="Z378" i="37" s="1"/>
  <c r="AC378" i="37" s="1"/>
  <c r="T370" i="37"/>
  <c r="V370" i="37" s="1"/>
  <c r="T362" i="37"/>
  <c r="V362" i="37" s="1"/>
  <c r="T354" i="37"/>
  <c r="V354" i="37" s="1"/>
  <c r="Q800" i="25"/>
  <c r="R800" i="25" s="1"/>
  <c r="T800" i="25" s="1"/>
  <c r="M800" i="25"/>
  <c r="N800" i="25" s="1"/>
  <c r="S800" i="25"/>
  <c r="I434" i="44"/>
  <c r="S796" i="25"/>
  <c r="M796" i="25"/>
  <c r="N796" i="25" s="1"/>
  <c r="Q796" i="25"/>
  <c r="R796" i="25" s="1"/>
  <c r="Q792" i="25"/>
  <c r="R792" i="25" s="1"/>
  <c r="S792" i="25"/>
  <c r="M792" i="25"/>
  <c r="N792" i="25" s="1"/>
  <c r="I426" i="44"/>
  <c r="S788" i="25"/>
  <c r="M788" i="25"/>
  <c r="N788" i="25" s="1"/>
  <c r="Q788" i="25"/>
  <c r="R788" i="25" s="1"/>
  <c r="T788" i="25" s="1"/>
  <c r="S784" i="25"/>
  <c r="Q784" i="25"/>
  <c r="R784" i="25" s="1"/>
  <c r="M784" i="25"/>
  <c r="N784" i="25" s="1"/>
  <c r="I418" i="44"/>
  <c r="S780" i="25"/>
  <c r="M780" i="25"/>
  <c r="N780" i="25" s="1"/>
  <c r="Q780" i="25"/>
  <c r="R780" i="25" s="1"/>
  <c r="T780" i="25" s="1"/>
  <c r="S776" i="25"/>
  <c r="Q776" i="25"/>
  <c r="R776" i="25" s="1"/>
  <c r="T776" i="25" s="1"/>
  <c r="M776" i="25"/>
  <c r="N776" i="25" s="1"/>
  <c r="I410" i="44"/>
  <c r="S772" i="25"/>
  <c r="M772" i="25"/>
  <c r="N772" i="25" s="1"/>
  <c r="Q772" i="25"/>
  <c r="R772" i="25" s="1"/>
  <c r="S767" i="25"/>
  <c r="Q767" i="25"/>
  <c r="R767" i="25" s="1"/>
  <c r="M767" i="25"/>
  <c r="N767" i="25" s="1"/>
  <c r="I401" i="44"/>
  <c r="S763" i="25"/>
  <c r="Q763" i="25"/>
  <c r="R763" i="25" s="1"/>
  <c r="I397" i="44"/>
  <c r="M763" i="25"/>
  <c r="N763" i="25" s="1"/>
  <c r="S759" i="25"/>
  <c r="Q759" i="25"/>
  <c r="R759" i="25" s="1"/>
  <c r="I393" i="44"/>
  <c r="M759" i="25"/>
  <c r="N759" i="25" s="1"/>
  <c r="S755" i="25"/>
  <c r="Q755" i="25"/>
  <c r="R755" i="25" s="1"/>
  <c r="M755" i="25"/>
  <c r="N755" i="25" s="1"/>
  <c r="I389" i="44"/>
  <c r="S751" i="25"/>
  <c r="Q751" i="25"/>
  <c r="R751" i="25" s="1"/>
  <c r="M751" i="25"/>
  <c r="N751" i="25" s="1"/>
  <c r="I385" i="44"/>
  <c r="S747" i="25"/>
  <c r="Q747" i="25"/>
  <c r="R747" i="25" s="1"/>
  <c r="I381" i="44"/>
  <c r="M747" i="25"/>
  <c r="N747" i="25" s="1"/>
  <c r="S743" i="25"/>
  <c r="Q743" i="25"/>
  <c r="R743" i="25" s="1"/>
  <c r="I377" i="44"/>
  <c r="M743" i="25"/>
  <c r="N743" i="25" s="1"/>
  <c r="S739" i="25"/>
  <c r="Q739" i="25"/>
  <c r="R739" i="25" s="1"/>
  <c r="M739" i="25"/>
  <c r="N739" i="25" s="1"/>
  <c r="I373" i="44"/>
  <c r="S735" i="25"/>
  <c r="Q735" i="25"/>
  <c r="R735" i="25" s="1"/>
  <c r="M735" i="25"/>
  <c r="N735" i="25" s="1"/>
  <c r="I369" i="44"/>
  <c r="S731" i="25"/>
  <c r="Q731" i="25"/>
  <c r="R731" i="25" s="1"/>
  <c r="I365" i="44"/>
  <c r="M731" i="25"/>
  <c r="N731" i="25" s="1"/>
  <c r="S727" i="25"/>
  <c r="Q727" i="25"/>
  <c r="R727" i="25" s="1"/>
  <c r="I361" i="44"/>
  <c r="M727" i="25"/>
  <c r="N727" i="25" s="1"/>
  <c r="S723" i="25"/>
  <c r="Q723" i="25"/>
  <c r="R723" i="25" s="1"/>
  <c r="M723" i="25"/>
  <c r="N723" i="25" s="1"/>
  <c r="I357" i="44"/>
  <c r="S719" i="25"/>
  <c r="Q719" i="25"/>
  <c r="R719" i="25" s="1"/>
  <c r="M719" i="25"/>
  <c r="N719" i="25" s="1"/>
  <c r="I353" i="44"/>
  <c r="S714" i="25"/>
  <c r="Q714" i="25"/>
  <c r="R714" i="25" s="1"/>
  <c r="M714" i="25"/>
  <c r="N714" i="25" s="1"/>
  <c r="I348" i="44"/>
  <c r="X345" i="37"/>
  <c r="T345" i="37"/>
  <c r="V345" i="37" s="1"/>
  <c r="Q710" i="25"/>
  <c r="R710" i="25" s="1"/>
  <c r="T710" i="25" s="1"/>
  <c r="S710" i="25"/>
  <c r="M710" i="25"/>
  <c r="N710" i="25" s="1"/>
  <c r="I344" i="44"/>
  <c r="X341" i="37"/>
  <c r="T341" i="37"/>
  <c r="V341" i="37" s="1"/>
  <c r="S706" i="25"/>
  <c r="Q706" i="25"/>
  <c r="R706" i="25" s="1"/>
  <c r="M706" i="25"/>
  <c r="N706" i="25" s="1"/>
  <c r="I340" i="44"/>
  <c r="X337" i="37"/>
  <c r="T337" i="37"/>
  <c r="V337" i="37" s="1"/>
  <c r="Q702" i="25"/>
  <c r="R702" i="25" s="1"/>
  <c r="T702" i="25" s="1"/>
  <c r="S702" i="25"/>
  <c r="M702" i="25"/>
  <c r="N702" i="25" s="1"/>
  <c r="I336" i="44"/>
  <c r="X333" i="37"/>
  <c r="T333" i="37"/>
  <c r="V333" i="37" s="1"/>
  <c r="S698" i="25"/>
  <c r="Q698" i="25"/>
  <c r="R698" i="25" s="1"/>
  <c r="M698" i="25"/>
  <c r="N698" i="25" s="1"/>
  <c r="I332" i="44"/>
  <c r="X329" i="37"/>
  <c r="T329" i="37"/>
  <c r="V329" i="37" s="1"/>
  <c r="Q694" i="25"/>
  <c r="R694" i="25" s="1"/>
  <c r="T694" i="25" s="1"/>
  <c r="S694" i="25"/>
  <c r="M694" i="25"/>
  <c r="N694" i="25" s="1"/>
  <c r="I328" i="44"/>
  <c r="X325" i="37"/>
  <c r="T325" i="37"/>
  <c r="V325" i="37" s="1"/>
  <c r="S690" i="25"/>
  <c r="Q690" i="25"/>
  <c r="R690" i="25" s="1"/>
  <c r="M690" i="25"/>
  <c r="N690" i="25" s="1"/>
  <c r="I324" i="44"/>
  <c r="X321" i="37"/>
  <c r="T321" i="37"/>
  <c r="V321" i="37" s="1"/>
  <c r="S686" i="25"/>
  <c r="Q686" i="25"/>
  <c r="R686" i="25" s="1"/>
  <c r="M686" i="25"/>
  <c r="N686" i="25" s="1"/>
  <c r="I320" i="44"/>
  <c r="X317" i="37"/>
  <c r="T317" i="37"/>
  <c r="V317" i="37" s="1"/>
  <c r="S682" i="25"/>
  <c r="Q682" i="25"/>
  <c r="R682" i="25" s="1"/>
  <c r="M682" i="25"/>
  <c r="N682" i="25" s="1"/>
  <c r="I316" i="44"/>
  <c r="T313" i="37"/>
  <c r="V313" i="37" s="1"/>
  <c r="Z313" i="37" s="1"/>
  <c r="AC313" i="37" s="1"/>
  <c r="X313" i="37"/>
  <c r="S678" i="25"/>
  <c r="Q678" i="25"/>
  <c r="R678" i="25" s="1"/>
  <c r="M678" i="25"/>
  <c r="N678" i="25" s="1"/>
  <c r="I312" i="44"/>
  <c r="T309" i="37"/>
  <c r="V309" i="37" s="1"/>
  <c r="Z309" i="37" s="1"/>
  <c r="AC309" i="37" s="1"/>
  <c r="X309" i="37"/>
  <c r="S674" i="25"/>
  <c r="Q674" i="25"/>
  <c r="R674" i="25" s="1"/>
  <c r="M674" i="25"/>
  <c r="N674" i="25" s="1"/>
  <c r="I308" i="44"/>
  <c r="T305" i="37"/>
  <c r="V305" i="37" s="1"/>
  <c r="Z305" i="37" s="1"/>
  <c r="AC305" i="37" s="1"/>
  <c r="X305" i="37"/>
  <c r="S670" i="25"/>
  <c r="Q670" i="25"/>
  <c r="R670" i="25" s="1"/>
  <c r="M670" i="25"/>
  <c r="N670" i="25" s="1"/>
  <c r="I304" i="44"/>
  <c r="T301" i="37"/>
  <c r="V301" i="37" s="1"/>
  <c r="Z301" i="37" s="1"/>
  <c r="AC301" i="37" s="1"/>
  <c r="X301" i="37"/>
  <c r="S666" i="25"/>
  <c r="Q666" i="25"/>
  <c r="R666" i="25" s="1"/>
  <c r="M666" i="25"/>
  <c r="N666" i="25" s="1"/>
  <c r="I300" i="44"/>
  <c r="T297" i="37"/>
  <c r="V297" i="37" s="1"/>
  <c r="Z297" i="37" s="1"/>
  <c r="AC297" i="37" s="1"/>
  <c r="X297" i="37"/>
  <c r="S662" i="25"/>
  <c r="Q662" i="25"/>
  <c r="R662" i="25" s="1"/>
  <c r="M662" i="25"/>
  <c r="N662" i="25" s="1"/>
  <c r="I296" i="44"/>
  <c r="T293" i="37"/>
  <c r="V293" i="37" s="1"/>
  <c r="Z293" i="37" s="1"/>
  <c r="AC293" i="37" s="1"/>
  <c r="X293" i="37"/>
  <c r="S438" i="25"/>
  <c r="Q438" i="25"/>
  <c r="R438" i="25" s="1"/>
  <c r="M438" i="25"/>
  <c r="N438" i="25" s="1"/>
  <c r="I292" i="44"/>
  <c r="T289" i="37"/>
  <c r="V289" i="37" s="1"/>
  <c r="Z289" i="37" s="1"/>
  <c r="AC289" i="37" s="1"/>
  <c r="X289" i="37"/>
  <c r="S434" i="25"/>
  <c r="Q434" i="25"/>
  <c r="R434" i="25" s="1"/>
  <c r="M434" i="25"/>
  <c r="N434" i="25" s="1"/>
  <c r="I288" i="44"/>
  <c r="T285" i="37"/>
  <c r="V285" i="37" s="1"/>
  <c r="Z285" i="37" s="1"/>
  <c r="AC285" i="37" s="1"/>
  <c r="X285" i="37"/>
  <c r="S430" i="25"/>
  <c r="Q430" i="25"/>
  <c r="R430" i="25" s="1"/>
  <c r="M430" i="25"/>
  <c r="N430" i="25" s="1"/>
  <c r="I284" i="44"/>
  <c r="S426" i="25"/>
  <c r="Q426" i="25"/>
  <c r="R426" i="25" s="1"/>
  <c r="M426" i="25"/>
  <c r="N426" i="25" s="1"/>
  <c r="I280" i="44"/>
  <c r="S422" i="25"/>
  <c r="Q422" i="25"/>
  <c r="R422" i="25" s="1"/>
  <c r="M422" i="25"/>
  <c r="N422" i="25" s="1"/>
  <c r="I276" i="44"/>
  <c r="S418" i="25"/>
  <c r="Q418" i="25"/>
  <c r="R418" i="25" s="1"/>
  <c r="M418" i="25"/>
  <c r="N418" i="25" s="1"/>
  <c r="I272" i="44"/>
  <c r="S414" i="25"/>
  <c r="Q414" i="25"/>
  <c r="R414" i="25" s="1"/>
  <c r="M414" i="25"/>
  <c r="N414" i="25" s="1"/>
  <c r="I268" i="44"/>
  <c r="S410" i="25"/>
  <c r="M410" i="25"/>
  <c r="N410" i="25" s="1"/>
  <c r="Q410" i="25"/>
  <c r="R410" i="25" s="1"/>
  <c r="I264" i="44"/>
  <c r="S406" i="25"/>
  <c r="Q406" i="25"/>
  <c r="R406" i="25" s="1"/>
  <c r="M406" i="25"/>
  <c r="N406" i="25" s="1"/>
  <c r="I260" i="44"/>
  <c r="S402" i="25"/>
  <c r="Q402" i="25"/>
  <c r="R402" i="25" s="1"/>
  <c r="M402" i="25"/>
  <c r="N402" i="25" s="1"/>
  <c r="I256" i="44"/>
  <c r="T253" i="37"/>
  <c r="V253" i="37" s="1"/>
  <c r="Z253" i="37" s="1"/>
  <c r="AC253" i="37" s="1"/>
  <c r="X253" i="37"/>
  <c r="S398" i="25"/>
  <c r="Q398" i="25"/>
  <c r="R398" i="25" s="1"/>
  <c r="M398" i="25"/>
  <c r="N398" i="25" s="1"/>
  <c r="I252" i="44"/>
  <c r="T249" i="37"/>
  <c r="V249" i="37" s="1"/>
  <c r="Z249" i="37" s="1"/>
  <c r="AC249" i="37" s="1"/>
  <c r="X249" i="37"/>
  <c r="S394" i="25"/>
  <c r="Q394" i="25"/>
  <c r="R394" i="25" s="1"/>
  <c r="M394" i="25"/>
  <c r="N394" i="25" s="1"/>
  <c r="I248" i="44"/>
  <c r="T245" i="37"/>
  <c r="V245" i="37" s="1"/>
  <c r="Z245" i="37" s="1"/>
  <c r="AC245" i="37" s="1"/>
  <c r="X245" i="37"/>
  <c r="S390" i="25"/>
  <c r="Q390" i="25"/>
  <c r="R390" i="25" s="1"/>
  <c r="M390" i="25"/>
  <c r="N390" i="25" s="1"/>
  <c r="I244" i="44"/>
  <c r="T241" i="37"/>
  <c r="V241" i="37" s="1"/>
  <c r="Z241" i="37" s="1"/>
  <c r="AC241" i="37" s="1"/>
  <c r="X241" i="37"/>
  <c r="S386" i="25"/>
  <c r="Q386" i="25"/>
  <c r="R386" i="25" s="1"/>
  <c r="M386" i="25"/>
  <c r="N386" i="25" s="1"/>
  <c r="I240" i="44"/>
  <c r="T237" i="37"/>
  <c r="V237" i="37" s="1"/>
  <c r="Z237" i="37" s="1"/>
  <c r="AC237" i="37" s="1"/>
  <c r="X237" i="37"/>
  <c r="S382" i="25"/>
  <c r="Q382" i="25"/>
  <c r="R382" i="25" s="1"/>
  <c r="M382" i="25"/>
  <c r="N382" i="25" s="1"/>
  <c r="I236" i="44"/>
  <c r="T233" i="37"/>
  <c r="V233" i="37" s="1"/>
  <c r="Z233" i="37" s="1"/>
  <c r="AC233" i="37" s="1"/>
  <c r="X233" i="37"/>
  <c r="S378" i="25"/>
  <c r="Q378" i="25"/>
  <c r="R378" i="25" s="1"/>
  <c r="M378" i="25"/>
  <c r="N378" i="25" s="1"/>
  <c r="I232" i="44"/>
  <c r="T229" i="37"/>
  <c r="V229" i="37" s="1"/>
  <c r="Z229" i="37" s="1"/>
  <c r="AC229" i="37" s="1"/>
  <c r="X229" i="37"/>
  <c r="S374" i="25"/>
  <c r="Q374" i="25"/>
  <c r="R374" i="25" s="1"/>
  <c r="M374" i="25"/>
  <c r="N374" i="25" s="1"/>
  <c r="I228" i="44"/>
  <c r="T225" i="37"/>
  <c r="V225" i="37" s="1"/>
  <c r="Z225" i="37" s="1"/>
  <c r="AC225" i="37" s="1"/>
  <c r="X225" i="37"/>
  <c r="S370" i="25"/>
  <c r="Q370" i="25"/>
  <c r="R370" i="25" s="1"/>
  <c r="M370" i="25"/>
  <c r="N370" i="25" s="1"/>
  <c r="I224" i="44"/>
  <c r="S366" i="25"/>
  <c r="Q366" i="25"/>
  <c r="R366" i="25" s="1"/>
  <c r="M366" i="25"/>
  <c r="N366" i="25" s="1"/>
  <c r="I220" i="44"/>
  <c r="T217" i="37"/>
  <c r="V217" i="37" s="1"/>
  <c r="Z217" i="37" s="1"/>
  <c r="AC217" i="37" s="1"/>
  <c r="X217" i="37"/>
  <c r="S362" i="25"/>
  <c r="Q362" i="25"/>
  <c r="R362" i="25" s="1"/>
  <c r="M362" i="25"/>
  <c r="N362" i="25" s="1"/>
  <c r="I216" i="44"/>
  <c r="T213" i="37"/>
  <c r="V213" i="37" s="1"/>
  <c r="Z213" i="37" s="1"/>
  <c r="AC213" i="37" s="1"/>
  <c r="X213" i="37"/>
  <c r="S358" i="25"/>
  <c r="Q358" i="25"/>
  <c r="R358" i="25" s="1"/>
  <c r="M358" i="25"/>
  <c r="N358" i="25" s="1"/>
  <c r="I212" i="44"/>
  <c r="T209" i="37"/>
  <c r="V209" i="37" s="1"/>
  <c r="Z209" i="37" s="1"/>
  <c r="AC209" i="37" s="1"/>
  <c r="X209" i="37"/>
  <c r="S354" i="25"/>
  <c r="Q354" i="25"/>
  <c r="R354" i="25" s="1"/>
  <c r="M354" i="25"/>
  <c r="N354" i="25" s="1"/>
  <c r="I208" i="44"/>
  <c r="T205" i="37"/>
  <c r="V205" i="37" s="1"/>
  <c r="Z205" i="37" s="1"/>
  <c r="AC205" i="37" s="1"/>
  <c r="X205" i="37"/>
  <c r="S350" i="25"/>
  <c r="Q350" i="25"/>
  <c r="R350" i="25" s="1"/>
  <c r="M350" i="25"/>
  <c r="N350" i="25" s="1"/>
  <c r="I204" i="44"/>
  <c r="T201" i="37"/>
  <c r="V201" i="37" s="1"/>
  <c r="Z201" i="37" s="1"/>
  <c r="AC201" i="37" s="1"/>
  <c r="X201" i="37"/>
  <c r="S346" i="25"/>
  <c r="Q346" i="25"/>
  <c r="R346" i="25" s="1"/>
  <c r="M346" i="25"/>
  <c r="N346" i="25" s="1"/>
  <c r="I200" i="44"/>
  <c r="T197" i="37"/>
  <c r="V197" i="37" s="1"/>
  <c r="Z197" i="37" s="1"/>
  <c r="AC197" i="37" s="1"/>
  <c r="X197" i="37"/>
  <c r="S342" i="25"/>
  <c r="Q342" i="25"/>
  <c r="R342" i="25" s="1"/>
  <c r="M342" i="25"/>
  <c r="N342" i="25" s="1"/>
  <c r="I196" i="44"/>
  <c r="T193" i="37"/>
  <c r="V193" i="37" s="1"/>
  <c r="Z193" i="37" s="1"/>
  <c r="AC193" i="37" s="1"/>
  <c r="X193" i="37"/>
  <c r="S338" i="25"/>
  <c r="Q338" i="25"/>
  <c r="R338" i="25" s="1"/>
  <c r="M338" i="25"/>
  <c r="N338" i="25" s="1"/>
  <c r="I192" i="44"/>
  <c r="T189" i="37"/>
  <c r="V189" i="37" s="1"/>
  <c r="Z189" i="37" s="1"/>
  <c r="AC189" i="37" s="1"/>
  <c r="X189" i="37"/>
  <c r="S334" i="25"/>
  <c r="Q334" i="25"/>
  <c r="R334" i="25" s="1"/>
  <c r="M334" i="25"/>
  <c r="N334" i="25" s="1"/>
  <c r="I188" i="44"/>
  <c r="T185" i="37"/>
  <c r="V185" i="37" s="1"/>
  <c r="Z185" i="37" s="1"/>
  <c r="AC185" i="37" s="1"/>
  <c r="X185" i="37"/>
  <c r="S330" i="25"/>
  <c r="Q330" i="25"/>
  <c r="R330" i="25" s="1"/>
  <c r="M330" i="25"/>
  <c r="N330" i="25" s="1"/>
  <c r="I184" i="44"/>
  <c r="T181" i="37"/>
  <c r="V181" i="37" s="1"/>
  <c r="Z181" i="37" s="1"/>
  <c r="AC181" i="37" s="1"/>
  <c r="X181" i="37"/>
  <c r="S326" i="25"/>
  <c r="Q326" i="25"/>
  <c r="R326" i="25" s="1"/>
  <c r="M326" i="25"/>
  <c r="N326" i="25" s="1"/>
  <c r="I180" i="44"/>
  <c r="T177" i="37"/>
  <c r="V177" i="37" s="1"/>
  <c r="Z177" i="37" s="1"/>
  <c r="AC177" i="37" s="1"/>
  <c r="X177" i="37"/>
  <c r="S322" i="25"/>
  <c r="Q322" i="25"/>
  <c r="R322" i="25" s="1"/>
  <c r="I176" i="44"/>
  <c r="M322" i="25"/>
  <c r="N322" i="25" s="1"/>
  <c r="T173" i="37"/>
  <c r="V173" i="37" s="1"/>
  <c r="Z173" i="37" s="1"/>
  <c r="AC173" i="37" s="1"/>
  <c r="X173" i="37"/>
  <c r="S318" i="25"/>
  <c r="Q318" i="25"/>
  <c r="R318" i="25" s="1"/>
  <c r="M318" i="25"/>
  <c r="N318" i="25" s="1"/>
  <c r="I172" i="44"/>
  <c r="T169" i="37"/>
  <c r="V169" i="37" s="1"/>
  <c r="Z169" i="37" s="1"/>
  <c r="AC169" i="37" s="1"/>
  <c r="X169" i="37"/>
  <c r="S314" i="25"/>
  <c r="Q314" i="25"/>
  <c r="R314" i="25" s="1"/>
  <c r="M314" i="25"/>
  <c r="N314" i="25" s="1"/>
  <c r="I168" i="44"/>
  <c r="T165" i="37"/>
  <c r="V165" i="37" s="1"/>
  <c r="Z165" i="37" s="1"/>
  <c r="AC165" i="37" s="1"/>
  <c r="X165" i="37"/>
  <c r="S310" i="25"/>
  <c r="Q310" i="25"/>
  <c r="R310" i="25" s="1"/>
  <c r="M310" i="25"/>
  <c r="N310" i="25" s="1"/>
  <c r="I164" i="44"/>
  <c r="T161" i="37"/>
  <c r="V161" i="37" s="1"/>
  <c r="Z161" i="37" s="1"/>
  <c r="AC161" i="37" s="1"/>
  <c r="X161" i="37"/>
  <c r="S306" i="25"/>
  <c r="Q306" i="25"/>
  <c r="R306" i="25" s="1"/>
  <c r="M306" i="25"/>
  <c r="N306" i="25" s="1"/>
  <c r="I160" i="44"/>
  <c r="T157" i="37"/>
  <c r="V157" i="37" s="1"/>
  <c r="Z157" i="37" s="1"/>
  <c r="AC157" i="37" s="1"/>
  <c r="X157" i="37"/>
  <c r="S302" i="25"/>
  <c r="Q302" i="25"/>
  <c r="R302" i="25" s="1"/>
  <c r="M302" i="25"/>
  <c r="N302" i="25" s="1"/>
  <c r="I156" i="44"/>
  <c r="T153" i="37"/>
  <c r="V153" i="37" s="1"/>
  <c r="Z153" i="37" s="1"/>
  <c r="AC153" i="37" s="1"/>
  <c r="X153" i="37"/>
  <c r="S298" i="25"/>
  <c r="Q298" i="25"/>
  <c r="R298" i="25" s="1"/>
  <c r="M298" i="25"/>
  <c r="N298" i="25" s="1"/>
  <c r="I152" i="44"/>
  <c r="T149" i="37"/>
  <c r="V149" i="37" s="1"/>
  <c r="Z149" i="37" s="1"/>
  <c r="AC149" i="37" s="1"/>
  <c r="X149" i="37"/>
  <c r="S294" i="25"/>
  <c r="Q294" i="25"/>
  <c r="R294" i="25" s="1"/>
  <c r="M294" i="25"/>
  <c r="N294" i="25" s="1"/>
  <c r="I148" i="44"/>
  <c r="T145" i="37"/>
  <c r="V145" i="37" s="1"/>
  <c r="Z145" i="37" s="1"/>
  <c r="AC145" i="37" s="1"/>
  <c r="X145" i="37"/>
  <c r="S290" i="25"/>
  <c r="Q290" i="25"/>
  <c r="R290" i="25" s="1"/>
  <c r="I144" i="44"/>
  <c r="M290" i="25"/>
  <c r="N290" i="25" s="1"/>
  <c r="T141" i="37"/>
  <c r="V141" i="37" s="1"/>
  <c r="Z141" i="37" s="1"/>
  <c r="AC141" i="37" s="1"/>
  <c r="X141" i="37"/>
  <c r="S286" i="25"/>
  <c r="Q286" i="25"/>
  <c r="R286" i="25" s="1"/>
  <c r="M286" i="25"/>
  <c r="N286" i="25" s="1"/>
  <c r="I140" i="44"/>
  <c r="T137" i="37"/>
  <c r="V137" i="37" s="1"/>
  <c r="Z137" i="37" s="1"/>
  <c r="AC137" i="37" s="1"/>
  <c r="X137" i="37"/>
  <c r="S282" i="25"/>
  <c r="Q282" i="25"/>
  <c r="R282" i="25" s="1"/>
  <c r="M282" i="25"/>
  <c r="N282" i="25" s="1"/>
  <c r="I136" i="44"/>
  <c r="T133" i="37"/>
  <c r="V133" i="37" s="1"/>
  <c r="Z133" i="37" s="1"/>
  <c r="AC133" i="37" s="1"/>
  <c r="X133" i="37"/>
  <c r="S278" i="25"/>
  <c r="Q278" i="25"/>
  <c r="R278" i="25" s="1"/>
  <c r="M278" i="25"/>
  <c r="N278" i="25" s="1"/>
  <c r="I132" i="44"/>
  <c r="T129" i="37"/>
  <c r="V129" i="37" s="1"/>
  <c r="Z129" i="37" s="1"/>
  <c r="AC129" i="37" s="1"/>
  <c r="X129" i="37"/>
  <c r="S274" i="25"/>
  <c r="Q274" i="25"/>
  <c r="R274" i="25" s="1"/>
  <c r="M274" i="25"/>
  <c r="N274" i="25" s="1"/>
  <c r="I128" i="44"/>
  <c r="T125" i="37"/>
  <c r="V125" i="37" s="1"/>
  <c r="Z125" i="37" s="1"/>
  <c r="AC125" i="37" s="1"/>
  <c r="X125" i="37"/>
  <c r="S270" i="25"/>
  <c r="Q270" i="25"/>
  <c r="R270" i="25" s="1"/>
  <c r="M270" i="25"/>
  <c r="N270" i="25" s="1"/>
  <c r="I124" i="44"/>
  <c r="T121" i="37"/>
  <c r="V121" i="37" s="1"/>
  <c r="Z121" i="37" s="1"/>
  <c r="AC121" i="37" s="1"/>
  <c r="X121" i="37"/>
  <c r="S266" i="25"/>
  <c r="Q266" i="25"/>
  <c r="R266" i="25" s="1"/>
  <c r="M266" i="25"/>
  <c r="N266" i="25" s="1"/>
  <c r="I120" i="44"/>
  <c r="T117" i="37"/>
  <c r="V117" i="37" s="1"/>
  <c r="Z117" i="37" s="1"/>
  <c r="AC117" i="37" s="1"/>
  <c r="X117" i="37"/>
  <c r="S262" i="25"/>
  <c r="Q262" i="25"/>
  <c r="R262" i="25" s="1"/>
  <c r="M262" i="25"/>
  <c r="N262" i="25" s="1"/>
  <c r="I116" i="44"/>
  <c r="T113" i="37"/>
  <c r="V113" i="37" s="1"/>
  <c r="Z113" i="37" s="1"/>
  <c r="AC113" i="37" s="1"/>
  <c r="X113" i="37"/>
  <c r="S258" i="25"/>
  <c r="Q258" i="25"/>
  <c r="R258" i="25" s="1"/>
  <c r="I112" i="44"/>
  <c r="M258" i="25"/>
  <c r="N258" i="25" s="1"/>
  <c r="T109" i="37"/>
  <c r="V109" i="37" s="1"/>
  <c r="Z109" i="37" s="1"/>
  <c r="AC109" i="37" s="1"/>
  <c r="X109" i="37"/>
  <c r="S254" i="25"/>
  <c r="Q254" i="25"/>
  <c r="R254" i="25" s="1"/>
  <c r="M254" i="25"/>
  <c r="N254" i="25" s="1"/>
  <c r="I108" i="44"/>
  <c r="T105" i="37"/>
  <c r="V105" i="37" s="1"/>
  <c r="Z105" i="37" s="1"/>
  <c r="AC105" i="37" s="1"/>
  <c r="X105" i="37"/>
  <c r="S250" i="25"/>
  <c r="Q250" i="25"/>
  <c r="R250" i="25" s="1"/>
  <c r="M250" i="25"/>
  <c r="N250" i="25" s="1"/>
  <c r="I104" i="44"/>
  <c r="T101" i="37"/>
  <c r="V101" i="37" s="1"/>
  <c r="Z101" i="37" s="1"/>
  <c r="AC101" i="37" s="1"/>
  <c r="X101" i="37"/>
  <c r="S246" i="25"/>
  <c r="Q246" i="25"/>
  <c r="R246" i="25" s="1"/>
  <c r="M246" i="25"/>
  <c r="N246" i="25" s="1"/>
  <c r="I100" i="44"/>
  <c r="T97" i="37"/>
  <c r="V97" i="37" s="1"/>
  <c r="Z97" i="37" s="1"/>
  <c r="AC97" i="37" s="1"/>
  <c r="X97" i="37"/>
  <c r="S242" i="25"/>
  <c r="Q242" i="25"/>
  <c r="R242" i="25" s="1"/>
  <c r="M242" i="25"/>
  <c r="N242" i="25" s="1"/>
  <c r="I96" i="44"/>
  <c r="T93" i="37"/>
  <c r="V93" i="37" s="1"/>
  <c r="Z93" i="37" s="1"/>
  <c r="AC93" i="37" s="1"/>
  <c r="X93" i="37"/>
  <c r="S238" i="25"/>
  <c r="Q238" i="25"/>
  <c r="R238" i="25" s="1"/>
  <c r="M238" i="25"/>
  <c r="N238" i="25" s="1"/>
  <c r="I92" i="44"/>
  <c r="T89" i="37"/>
  <c r="V89" i="37" s="1"/>
  <c r="Z89" i="37" s="1"/>
  <c r="AC89" i="37" s="1"/>
  <c r="X89" i="37"/>
  <c r="S234" i="25"/>
  <c r="Q234" i="25"/>
  <c r="R234" i="25" s="1"/>
  <c r="M234" i="25"/>
  <c r="N234" i="25" s="1"/>
  <c r="I88" i="44"/>
  <c r="T85" i="37"/>
  <c r="V85" i="37" s="1"/>
  <c r="Z85" i="37" s="1"/>
  <c r="AC85" i="37" s="1"/>
  <c r="X85" i="37"/>
  <c r="S230" i="25"/>
  <c r="Q230" i="25"/>
  <c r="R230" i="25" s="1"/>
  <c r="M230" i="25"/>
  <c r="N230" i="25" s="1"/>
  <c r="I84" i="44"/>
  <c r="T81" i="37"/>
  <c r="V81" i="37" s="1"/>
  <c r="Z81" i="37" s="1"/>
  <c r="AC81" i="37" s="1"/>
  <c r="X81" i="37"/>
  <c r="S226" i="25"/>
  <c r="Q226" i="25"/>
  <c r="R226" i="25" s="1"/>
  <c r="M226" i="25"/>
  <c r="N226" i="25" s="1"/>
  <c r="I80" i="44"/>
  <c r="S223" i="25"/>
  <c r="Q223" i="25"/>
  <c r="R223" i="25" s="1"/>
  <c r="M223" i="25"/>
  <c r="N223" i="25" s="1"/>
  <c r="I77" i="44"/>
  <c r="I350" i="37"/>
  <c r="X402" i="37"/>
  <c r="X398" i="37"/>
  <c r="Z398" i="37" s="1"/>
  <c r="AC398" i="37" s="1"/>
  <c r="X394" i="37"/>
  <c r="X390" i="37"/>
  <c r="Z390" i="37" s="1"/>
  <c r="AC390" i="37" s="1"/>
  <c r="X386" i="37"/>
  <c r="X382" i="37"/>
  <c r="Z382" i="37" s="1"/>
  <c r="AC382" i="37" s="1"/>
  <c r="X378" i="37"/>
  <c r="X374" i="37"/>
  <c r="Z374" i="37" s="1"/>
  <c r="AC374" i="37" s="1"/>
  <c r="X370" i="37"/>
  <c r="X366" i="37"/>
  <c r="Z366" i="37" s="1"/>
  <c r="AC366" i="37" s="1"/>
  <c r="X362" i="37"/>
  <c r="X358" i="37"/>
  <c r="Z358" i="37" s="1"/>
  <c r="AC358" i="37" s="1"/>
  <c r="X354" i="37"/>
  <c r="X348" i="37"/>
  <c r="X340" i="37"/>
  <c r="X332" i="37"/>
  <c r="X324" i="37"/>
  <c r="X316" i="37"/>
  <c r="T76" i="37"/>
  <c r="V76" i="37" s="1"/>
  <c r="T348" i="37"/>
  <c r="V348" i="37" s="1"/>
  <c r="T340" i="37"/>
  <c r="V340" i="37" s="1"/>
  <c r="T332" i="37"/>
  <c r="V332" i="37" s="1"/>
  <c r="Z332" i="37" s="1"/>
  <c r="AC332" i="37" s="1"/>
  <c r="T324" i="37"/>
  <c r="V324" i="37" s="1"/>
  <c r="Z324" i="37" s="1"/>
  <c r="AC324" i="37" s="1"/>
  <c r="T316" i="37"/>
  <c r="V316" i="37" s="1"/>
  <c r="I414" i="44"/>
  <c r="S881" i="25"/>
  <c r="Q881" i="25"/>
  <c r="R881" i="25" s="1"/>
  <c r="M881" i="25"/>
  <c r="N881" i="25" s="1"/>
  <c r="I515" i="44"/>
  <c r="S877" i="25"/>
  <c r="Q877" i="25"/>
  <c r="R877" i="25" s="1"/>
  <c r="M877" i="25"/>
  <c r="N877" i="25" s="1"/>
  <c r="I511" i="44"/>
  <c r="S873" i="25"/>
  <c r="Q873" i="25"/>
  <c r="R873" i="25" s="1"/>
  <c r="M873" i="25"/>
  <c r="N873" i="25" s="1"/>
  <c r="I507" i="44"/>
  <c r="S869" i="25"/>
  <c r="Q869" i="25"/>
  <c r="R869" i="25" s="1"/>
  <c r="M869" i="25"/>
  <c r="N869" i="25" s="1"/>
  <c r="I503" i="44"/>
  <c r="S865" i="25"/>
  <c r="Q865" i="25"/>
  <c r="R865" i="25" s="1"/>
  <c r="M865" i="25"/>
  <c r="N865" i="25" s="1"/>
  <c r="I499" i="44"/>
  <c r="S861" i="25"/>
  <c r="Q861" i="25"/>
  <c r="R861" i="25" s="1"/>
  <c r="M861" i="25"/>
  <c r="N861" i="25" s="1"/>
  <c r="I495" i="44"/>
  <c r="S857" i="25"/>
  <c r="Q857" i="25"/>
  <c r="R857" i="25" s="1"/>
  <c r="M857" i="25"/>
  <c r="N857" i="25" s="1"/>
  <c r="I491" i="44"/>
  <c r="S853" i="25"/>
  <c r="Q853" i="25"/>
  <c r="R853" i="25" s="1"/>
  <c r="M853" i="25"/>
  <c r="N853" i="25" s="1"/>
  <c r="I487" i="44"/>
  <c r="S849" i="25"/>
  <c r="Q849" i="25"/>
  <c r="R849" i="25" s="1"/>
  <c r="M849" i="25"/>
  <c r="N849" i="25" s="1"/>
  <c r="I483" i="44"/>
  <c r="S845" i="25"/>
  <c r="Q845" i="25"/>
  <c r="R845" i="25" s="1"/>
  <c r="M845" i="25"/>
  <c r="N845" i="25" s="1"/>
  <c r="I479" i="44"/>
  <c r="S841" i="25"/>
  <c r="Q841" i="25"/>
  <c r="R841" i="25" s="1"/>
  <c r="M841" i="25"/>
  <c r="N841" i="25" s="1"/>
  <c r="I475" i="44"/>
  <c r="S837" i="25"/>
  <c r="Q837" i="25"/>
  <c r="R837" i="25" s="1"/>
  <c r="M837" i="25"/>
  <c r="N837" i="25" s="1"/>
  <c r="I471" i="44"/>
  <c r="S833" i="25"/>
  <c r="Q833" i="25"/>
  <c r="R833" i="25" s="1"/>
  <c r="M833" i="25"/>
  <c r="N833" i="25" s="1"/>
  <c r="I467" i="44"/>
  <c r="S829" i="25"/>
  <c r="Q829" i="25"/>
  <c r="R829" i="25" s="1"/>
  <c r="M829" i="25"/>
  <c r="N829" i="25" s="1"/>
  <c r="I463" i="44"/>
  <c r="S825" i="25"/>
  <c r="Q825" i="25"/>
  <c r="R825" i="25" s="1"/>
  <c r="M825" i="25"/>
  <c r="N825" i="25" s="1"/>
  <c r="I459" i="44"/>
  <c r="S821" i="25"/>
  <c r="Q821" i="25"/>
  <c r="R821" i="25" s="1"/>
  <c r="M821" i="25"/>
  <c r="N821" i="25" s="1"/>
  <c r="I455" i="44"/>
  <c r="S817" i="25"/>
  <c r="Q817" i="25"/>
  <c r="R817" i="25" s="1"/>
  <c r="M817" i="25"/>
  <c r="N817" i="25" s="1"/>
  <c r="I451" i="44"/>
  <c r="S813" i="25"/>
  <c r="Q813" i="25"/>
  <c r="R813" i="25" s="1"/>
  <c r="M813" i="25"/>
  <c r="N813" i="25" s="1"/>
  <c r="I447" i="44"/>
  <c r="S809" i="25"/>
  <c r="Q809" i="25"/>
  <c r="R809" i="25" s="1"/>
  <c r="M809" i="25"/>
  <c r="N809" i="25" s="1"/>
  <c r="I443" i="44"/>
  <c r="S805" i="25"/>
  <c r="Q805" i="25"/>
  <c r="R805" i="25" s="1"/>
  <c r="M805" i="25"/>
  <c r="N805" i="25" s="1"/>
  <c r="I439" i="44"/>
  <c r="S801" i="25"/>
  <c r="Q801" i="25"/>
  <c r="R801" i="25" s="1"/>
  <c r="M801" i="25"/>
  <c r="N801" i="25" s="1"/>
  <c r="I435" i="44"/>
  <c r="S797" i="25"/>
  <c r="Q797" i="25"/>
  <c r="R797" i="25" s="1"/>
  <c r="M797" i="25"/>
  <c r="N797" i="25" s="1"/>
  <c r="I431" i="44"/>
  <c r="S793" i="25"/>
  <c r="Q793" i="25"/>
  <c r="R793" i="25" s="1"/>
  <c r="M793" i="25"/>
  <c r="N793" i="25" s="1"/>
  <c r="I427" i="44"/>
  <c r="S789" i="25"/>
  <c r="Q789" i="25"/>
  <c r="R789" i="25" s="1"/>
  <c r="M789" i="25"/>
  <c r="N789" i="25" s="1"/>
  <c r="I423" i="44"/>
  <c r="S785" i="25"/>
  <c r="Q785" i="25"/>
  <c r="R785" i="25" s="1"/>
  <c r="M785" i="25"/>
  <c r="N785" i="25" s="1"/>
  <c r="I419" i="44"/>
  <c r="S781" i="25"/>
  <c r="Q781" i="25"/>
  <c r="R781" i="25" s="1"/>
  <c r="M781" i="25"/>
  <c r="N781" i="25" s="1"/>
  <c r="I415" i="44"/>
  <c r="S777" i="25"/>
  <c r="Q777" i="25"/>
  <c r="R777" i="25" s="1"/>
  <c r="M777" i="25"/>
  <c r="N777" i="25" s="1"/>
  <c r="I411" i="44"/>
  <c r="S773" i="25"/>
  <c r="Q773" i="25"/>
  <c r="R773" i="25" s="1"/>
  <c r="M773" i="25"/>
  <c r="N773" i="25" s="1"/>
  <c r="I407" i="44"/>
  <c r="Q768" i="25"/>
  <c r="R768" i="25" s="1"/>
  <c r="T768" i="25" s="1"/>
  <c r="M768" i="25"/>
  <c r="N768" i="25" s="1"/>
  <c r="S768" i="25"/>
  <c r="I402" i="44"/>
  <c r="S764" i="25"/>
  <c r="M764" i="25"/>
  <c r="N764" i="25" s="1"/>
  <c r="Q764" i="25"/>
  <c r="R764" i="25" s="1"/>
  <c r="S760" i="25"/>
  <c r="Q760" i="25"/>
  <c r="R760" i="25" s="1"/>
  <c r="T760" i="25" s="1"/>
  <c r="M760" i="25"/>
  <c r="N760" i="25" s="1"/>
  <c r="I394" i="44"/>
  <c r="S756" i="25"/>
  <c r="Q756" i="25"/>
  <c r="R756" i="25" s="1"/>
  <c r="T756" i="25" s="1"/>
  <c r="M756" i="25"/>
  <c r="N756" i="25" s="1"/>
  <c r="S752" i="25"/>
  <c r="M752" i="25"/>
  <c r="N752" i="25" s="1"/>
  <c r="Q752" i="25"/>
  <c r="R752" i="25" s="1"/>
  <c r="T752" i="25" s="1"/>
  <c r="I386" i="44"/>
  <c r="S748" i="25"/>
  <c r="Q748" i="25"/>
  <c r="R748" i="25" s="1"/>
  <c r="M748" i="25"/>
  <c r="N748" i="25" s="1"/>
  <c r="S744" i="25"/>
  <c r="Q744" i="25"/>
  <c r="R744" i="25" s="1"/>
  <c r="T744" i="25" s="1"/>
  <c r="M744" i="25"/>
  <c r="N744" i="25" s="1"/>
  <c r="I378" i="44"/>
  <c r="S740" i="25"/>
  <c r="Q740" i="25"/>
  <c r="R740" i="25" s="1"/>
  <c r="T740" i="25" s="1"/>
  <c r="M740" i="25"/>
  <c r="N740" i="25" s="1"/>
  <c r="M736" i="25"/>
  <c r="N736" i="25" s="1"/>
  <c r="S736" i="25"/>
  <c r="Q736" i="25"/>
  <c r="R736" i="25" s="1"/>
  <c r="T736" i="25" s="1"/>
  <c r="I370" i="44"/>
  <c r="S732" i="25"/>
  <c r="Q732" i="25"/>
  <c r="R732" i="25" s="1"/>
  <c r="M732" i="25"/>
  <c r="N732" i="25" s="1"/>
  <c r="S728" i="25"/>
  <c r="Q728" i="25"/>
  <c r="R728" i="25" s="1"/>
  <c r="T728" i="25" s="1"/>
  <c r="M728" i="25"/>
  <c r="N728" i="25" s="1"/>
  <c r="I362" i="44"/>
  <c r="S724" i="25"/>
  <c r="Q724" i="25"/>
  <c r="R724" i="25" s="1"/>
  <c r="T724" i="25" s="1"/>
  <c r="M724" i="25"/>
  <c r="N724" i="25" s="1"/>
  <c r="S720" i="25"/>
  <c r="M720" i="25"/>
  <c r="N720" i="25" s="1"/>
  <c r="Q720" i="25"/>
  <c r="R720" i="25" s="1"/>
  <c r="T720" i="25" s="1"/>
  <c r="I354" i="44"/>
  <c r="S715" i="25"/>
  <c r="Q715" i="25"/>
  <c r="R715" i="25" s="1"/>
  <c r="I349" i="44"/>
  <c r="M715" i="25"/>
  <c r="N715" i="25" s="1"/>
  <c r="S711" i="25"/>
  <c r="Q711" i="25"/>
  <c r="R711" i="25" s="1"/>
  <c r="I345" i="44"/>
  <c r="M711" i="25"/>
  <c r="N711" i="25" s="1"/>
  <c r="S707" i="25"/>
  <c r="Q707" i="25"/>
  <c r="R707" i="25" s="1"/>
  <c r="M707" i="25"/>
  <c r="N707" i="25" s="1"/>
  <c r="I341" i="44"/>
  <c r="S703" i="25"/>
  <c r="Q703" i="25"/>
  <c r="R703" i="25" s="1"/>
  <c r="M703" i="25"/>
  <c r="N703" i="25" s="1"/>
  <c r="I337" i="44"/>
  <c r="S699" i="25"/>
  <c r="Q699" i="25"/>
  <c r="R699" i="25" s="1"/>
  <c r="I333" i="44"/>
  <c r="M699" i="25"/>
  <c r="N699" i="25" s="1"/>
  <c r="S695" i="25"/>
  <c r="Q695" i="25"/>
  <c r="R695" i="25" s="1"/>
  <c r="I329" i="44"/>
  <c r="M695" i="25"/>
  <c r="N695" i="25" s="1"/>
  <c r="S691" i="25"/>
  <c r="Q691" i="25"/>
  <c r="R691" i="25" s="1"/>
  <c r="M691" i="25"/>
  <c r="N691" i="25" s="1"/>
  <c r="I325" i="44"/>
  <c r="S687" i="25"/>
  <c r="Q687" i="25"/>
  <c r="R687" i="25" s="1"/>
  <c r="M687" i="25"/>
  <c r="N687" i="25" s="1"/>
  <c r="I321" i="44"/>
  <c r="S683" i="25"/>
  <c r="Q683" i="25"/>
  <c r="R683" i="25" s="1"/>
  <c r="I317" i="44"/>
  <c r="M683" i="25"/>
  <c r="N683" i="25" s="1"/>
  <c r="S679" i="25"/>
  <c r="Q679" i="25"/>
  <c r="R679" i="25" s="1"/>
  <c r="I313" i="44"/>
  <c r="M679" i="25"/>
  <c r="N679" i="25" s="1"/>
  <c r="S675" i="25"/>
  <c r="Q675" i="25"/>
  <c r="R675" i="25" s="1"/>
  <c r="M675" i="25"/>
  <c r="N675" i="25" s="1"/>
  <c r="I309" i="44"/>
  <c r="S671" i="25"/>
  <c r="Q671" i="25"/>
  <c r="R671" i="25" s="1"/>
  <c r="M671" i="25"/>
  <c r="N671" i="25" s="1"/>
  <c r="I305" i="44"/>
  <c r="S667" i="25"/>
  <c r="Q667" i="25"/>
  <c r="R667" i="25" s="1"/>
  <c r="I301" i="44"/>
  <c r="M667" i="25"/>
  <c r="N667" i="25" s="1"/>
  <c r="S663" i="25"/>
  <c r="Q663" i="25"/>
  <c r="R663" i="25" s="1"/>
  <c r="I297" i="44"/>
  <c r="M663" i="25"/>
  <c r="N663" i="25" s="1"/>
  <c r="S439" i="25"/>
  <c r="Q439" i="25"/>
  <c r="R439" i="25" s="1"/>
  <c r="I293" i="44"/>
  <c r="M439" i="25"/>
  <c r="N439" i="25" s="1"/>
  <c r="S435" i="25"/>
  <c r="Q435" i="25"/>
  <c r="R435" i="25" s="1"/>
  <c r="M435" i="25"/>
  <c r="N435" i="25" s="1"/>
  <c r="I289" i="44"/>
  <c r="S431" i="25"/>
  <c r="Q431" i="25"/>
  <c r="R431" i="25" s="1"/>
  <c r="M431" i="25"/>
  <c r="N431" i="25" s="1"/>
  <c r="I285" i="44"/>
  <c r="S427" i="25"/>
  <c r="Q427" i="25"/>
  <c r="R427" i="25" s="1"/>
  <c r="I281" i="44"/>
  <c r="M427" i="25"/>
  <c r="N427" i="25" s="1"/>
  <c r="S423" i="25"/>
  <c r="Q423" i="25"/>
  <c r="R423" i="25" s="1"/>
  <c r="I277" i="44"/>
  <c r="M423" i="25"/>
  <c r="N423" i="25" s="1"/>
  <c r="S419" i="25"/>
  <c r="Q419" i="25"/>
  <c r="R419" i="25" s="1"/>
  <c r="M419" i="25"/>
  <c r="N419" i="25" s="1"/>
  <c r="I273" i="44"/>
  <c r="S415" i="25"/>
  <c r="Q415" i="25"/>
  <c r="R415" i="25" s="1"/>
  <c r="M415" i="25"/>
  <c r="N415" i="25" s="1"/>
  <c r="I269" i="44"/>
  <c r="S411" i="25"/>
  <c r="Q411" i="25"/>
  <c r="R411" i="25" s="1"/>
  <c r="I265" i="44"/>
  <c r="M411" i="25"/>
  <c r="N411" i="25" s="1"/>
  <c r="S407" i="25"/>
  <c r="Q407" i="25"/>
  <c r="R407" i="25" s="1"/>
  <c r="I261" i="44"/>
  <c r="M407" i="25"/>
  <c r="N407" i="25" s="1"/>
  <c r="S403" i="25"/>
  <c r="Q403" i="25"/>
  <c r="R403" i="25" s="1"/>
  <c r="M403" i="25"/>
  <c r="N403" i="25" s="1"/>
  <c r="I257" i="44"/>
  <c r="S399" i="25"/>
  <c r="Q399" i="25"/>
  <c r="R399" i="25" s="1"/>
  <c r="M399" i="25"/>
  <c r="N399" i="25" s="1"/>
  <c r="I253" i="44"/>
  <c r="S395" i="25"/>
  <c r="Q395" i="25"/>
  <c r="R395" i="25" s="1"/>
  <c r="X395" i="25" s="1"/>
  <c r="I249" i="44"/>
  <c r="S391" i="25"/>
  <c r="Q391" i="25"/>
  <c r="R391" i="25" s="1"/>
  <c r="T391" i="25" s="1"/>
  <c r="I245" i="44"/>
  <c r="M391" i="25"/>
  <c r="N391" i="25" s="1"/>
  <c r="S387" i="25"/>
  <c r="Q387" i="25"/>
  <c r="R387" i="25" s="1"/>
  <c r="T387" i="25" s="1"/>
  <c r="M387" i="25"/>
  <c r="N387" i="25" s="1"/>
  <c r="I241" i="44"/>
  <c r="S383" i="25"/>
  <c r="Q383" i="25"/>
  <c r="R383" i="25" s="1"/>
  <c r="T383" i="25" s="1"/>
  <c r="M383" i="25"/>
  <c r="N383" i="25" s="1"/>
  <c r="I237" i="44"/>
  <c r="S379" i="25"/>
  <c r="Q379" i="25"/>
  <c r="R379" i="25" s="1"/>
  <c r="T379" i="25" s="1"/>
  <c r="I233" i="44"/>
  <c r="M379" i="25"/>
  <c r="N379" i="25" s="1"/>
  <c r="S375" i="25"/>
  <c r="Q375" i="25"/>
  <c r="R375" i="25" s="1"/>
  <c r="T375" i="25" s="1"/>
  <c r="I229" i="44"/>
  <c r="M375" i="25"/>
  <c r="N375" i="25" s="1"/>
  <c r="S371" i="25"/>
  <c r="Q371" i="25"/>
  <c r="R371" i="25" s="1"/>
  <c r="T371" i="25" s="1"/>
  <c r="M371" i="25"/>
  <c r="N371" i="25" s="1"/>
  <c r="I225" i="44"/>
  <c r="S367" i="25"/>
  <c r="Q367" i="25"/>
  <c r="R367" i="25" s="1"/>
  <c r="T367" i="25" s="1"/>
  <c r="M367" i="25"/>
  <c r="N367" i="25" s="1"/>
  <c r="I221" i="44"/>
  <c r="S363" i="25"/>
  <c r="Q363" i="25"/>
  <c r="R363" i="25" s="1"/>
  <c r="T363" i="25" s="1"/>
  <c r="M363" i="25"/>
  <c r="N363" i="25" s="1"/>
  <c r="I217" i="44"/>
  <c r="S359" i="25"/>
  <c r="Q359" i="25"/>
  <c r="R359" i="25" s="1"/>
  <c r="T359" i="25" s="1"/>
  <c r="M359" i="25"/>
  <c r="N359" i="25" s="1"/>
  <c r="I213" i="44"/>
  <c r="S355" i="25"/>
  <c r="Q355" i="25"/>
  <c r="R355" i="25" s="1"/>
  <c r="T355" i="25" s="1"/>
  <c r="M355" i="25"/>
  <c r="N355" i="25" s="1"/>
  <c r="I209" i="44"/>
  <c r="S351" i="25"/>
  <c r="Q351" i="25"/>
  <c r="R351" i="25" s="1"/>
  <c r="T351" i="25" s="1"/>
  <c r="M351" i="25"/>
  <c r="N351" i="25" s="1"/>
  <c r="I205" i="44"/>
  <c r="S347" i="25"/>
  <c r="Q347" i="25"/>
  <c r="R347" i="25" s="1"/>
  <c r="T347" i="25" s="1"/>
  <c r="M347" i="25"/>
  <c r="N347" i="25" s="1"/>
  <c r="I201" i="44"/>
  <c r="S343" i="25"/>
  <c r="Q343" i="25"/>
  <c r="R343" i="25" s="1"/>
  <c r="T343" i="25" s="1"/>
  <c r="M343" i="25"/>
  <c r="N343" i="25" s="1"/>
  <c r="I197" i="44"/>
  <c r="S339" i="25"/>
  <c r="Q339" i="25"/>
  <c r="R339" i="25" s="1"/>
  <c r="T339" i="25" s="1"/>
  <c r="M339" i="25"/>
  <c r="N339" i="25" s="1"/>
  <c r="I193" i="44"/>
  <c r="S335" i="25"/>
  <c r="Q335" i="25"/>
  <c r="R335" i="25" s="1"/>
  <c r="T335" i="25" s="1"/>
  <c r="M335" i="25"/>
  <c r="N335" i="25" s="1"/>
  <c r="I189" i="44"/>
  <c r="S331" i="25"/>
  <c r="M331" i="25"/>
  <c r="N331" i="25" s="1"/>
  <c r="Q331" i="25"/>
  <c r="R331" i="25" s="1"/>
  <c r="I185" i="44"/>
  <c r="S327" i="25"/>
  <c r="Q327" i="25"/>
  <c r="R327" i="25" s="1"/>
  <c r="T327" i="25" s="1"/>
  <c r="M327" i="25"/>
  <c r="N327" i="25" s="1"/>
  <c r="I181" i="44"/>
  <c r="S323" i="25"/>
  <c r="M323" i="25"/>
  <c r="N323" i="25" s="1"/>
  <c r="Q323" i="25"/>
  <c r="R323" i="25" s="1"/>
  <c r="I177" i="44"/>
  <c r="S319" i="25"/>
  <c r="Q319" i="25"/>
  <c r="R319" i="25" s="1"/>
  <c r="T319" i="25" s="1"/>
  <c r="M319" i="25"/>
  <c r="N319" i="25" s="1"/>
  <c r="I173" i="44"/>
  <c r="M315" i="25"/>
  <c r="N315" i="25" s="1"/>
  <c r="Q315" i="25"/>
  <c r="R315" i="25" s="1"/>
  <c r="T315" i="25" s="1"/>
  <c r="S315" i="25"/>
  <c r="I169" i="44"/>
  <c r="S311" i="25"/>
  <c r="Q311" i="25"/>
  <c r="R311" i="25" s="1"/>
  <c r="T311" i="25" s="1"/>
  <c r="M311" i="25"/>
  <c r="N311" i="25" s="1"/>
  <c r="I165" i="44"/>
  <c r="S307" i="25"/>
  <c r="M307" i="25"/>
  <c r="N307" i="25" s="1"/>
  <c r="Q307" i="25"/>
  <c r="R307" i="25" s="1"/>
  <c r="I161" i="44"/>
  <c r="S303" i="25"/>
  <c r="Q303" i="25"/>
  <c r="R303" i="25" s="1"/>
  <c r="T303" i="25" s="1"/>
  <c r="M303" i="25"/>
  <c r="N303" i="25" s="1"/>
  <c r="I157" i="44"/>
  <c r="S299" i="25"/>
  <c r="M299" i="25"/>
  <c r="N299" i="25" s="1"/>
  <c r="Q299" i="25"/>
  <c r="R299" i="25" s="1"/>
  <c r="I153" i="44"/>
  <c r="S295" i="25"/>
  <c r="Q295" i="25"/>
  <c r="R295" i="25" s="1"/>
  <c r="T295" i="25" s="1"/>
  <c r="M295" i="25"/>
  <c r="N295" i="25" s="1"/>
  <c r="I149" i="44"/>
  <c r="S291" i="25"/>
  <c r="M291" i="25"/>
  <c r="N291" i="25" s="1"/>
  <c r="Q291" i="25"/>
  <c r="R291" i="25" s="1"/>
  <c r="I145" i="44"/>
  <c r="S287" i="25"/>
  <c r="Q287" i="25"/>
  <c r="R287" i="25" s="1"/>
  <c r="T287" i="25" s="1"/>
  <c r="M287" i="25"/>
  <c r="N287" i="25" s="1"/>
  <c r="I141" i="44"/>
  <c r="S283" i="25"/>
  <c r="M283" i="25"/>
  <c r="N283" i="25" s="1"/>
  <c r="Q283" i="25"/>
  <c r="R283" i="25" s="1"/>
  <c r="I137" i="44"/>
  <c r="S279" i="25"/>
  <c r="Q279" i="25"/>
  <c r="R279" i="25" s="1"/>
  <c r="T279" i="25" s="1"/>
  <c r="M279" i="25"/>
  <c r="N279" i="25" s="1"/>
  <c r="I133" i="44"/>
  <c r="S275" i="25"/>
  <c r="Q275" i="25"/>
  <c r="R275" i="25" s="1"/>
  <c r="T275" i="25" s="1"/>
  <c r="M275" i="25"/>
  <c r="N275" i="25" s="1"/>
  <c r="I129" i="44"/>
  <c r="S271" i="25"/>
  <c r="Q271" i="25"/>
  <c r="R271" i="25" s="1"/>
  <c r="T271" i="25" s="1"/>
  <c r="M271" i="25"/>
  <c r="N271" i="25" s="1"/>
  <c r="I125" i="44"/>
  <c r="S267" i="25"/>
  <c r="Q267" i="25"/>
  <c r="R267" i="25" s="1"/>
  <c r="T267" i="25" s="1"/>
  <c r="M267" i="25"/>
  <c r="N267" i="25" s="1"/>
  <c r="I121" i="44"/>
  <c r="S263" i="25"/>
  <c r="Q263" i="25"/>
  <c r="R263" i="25" s="1"/>
  <c r="T263" i="25" s="1"/>
  <c r="M263" i="25"/>
  <c r="N263" i="25" s="1"/>
  <c r="I117" i="44"/>
  <c r="S259" i="25"/>
  <c r="Q259" i="25"/>
  <c r="R259" i="25" s="1"/>
  <c r="T259" i="25" s="1"/>
  <c r="M259" i="25"/>
  <c r="N259" i="25" s="1"/>
  <c r="I113" i="44"/>
  <c r="S255" i="25"/>
  <c r="Q255" i="25"/>
  <c r="R255" i="25" s="1"/>
  <c r="T255" i="25" s="1"/>
  <c r="M255" i="25"/>
  <c r="N255" i="25" s="1"/>
  <c r="I109" i="44"/>
  <c r="Q251" i="25"/>
  <c r="R251" i="25" s="1"/>
  <c r="S251" i="25"/>
  <c r="M251" i="25"/>
  <c r="N251" i="25" s="1"/>
  <c r="I105" i="44"/>
  <c r="S247" i="25"/>
  <c r="Q247" i="25"/>
  <c r="R247" i="25" s="1"/>
  <c r="T247" i="25" s="1"/>
  <c r="M247" i="25"/>
  <c r="N247" i="25" s="1"/>
  <c r="I101" i="44"/>
  <c r="S243" i="25"/>
  <c r="Q243" i="25"/>
  <c r="R243" i="25" s="1"/>
  <c r="T243" i="25" s="1"/>
  <c r="M243" i="25"/>
  <c r="N243" i="25" s="1"/>
  <c r="I97" i="44"/>
  <c r="S239" i="25"/>
  <c r="M239" i="25"/>
  <c r="N239" i="25" s="1"/>
  <c r="Q239" i="25"/>
  <c r="R239" i="25" s="1"/>
  <c r="I93" i="44"/>
  <c r="S235" i="25"/>
  <c r="Q235" i="25"/>
  <c r="R235" i="25" s="1"/>
  <c r="T235" i="25" s="1"/>
  <c r="M235" i="25"/>
  <c r="N235" i="25" s="1"/>
  <c r="I89" i="44"/>
  <c r="S231" i="25"/>
  <c r="M231" i="25"/>
  <c r="N231" i="25" s="1"/>
  <c r="Q231" i="25"/>
  <c r="R231" i="25" s="1"/>
  <c r="I85" i="44"/>
  <c r="S227" i="25"/>
  <c r="Q227" i="25"/>
  <c r="R227" i="25" s="1"/>
  <c r="T227" i="25" s="1"/>
  <c r="M227" i="25"/>
  <c r="N227" i="25" s="1"/>
  <c r="I81" i="44"/>
  <c r="S222" i="25"/>
  <c r="Q222" i="25"/>
  <c r="R222" i="25" s="1"/>
  <c r="T222" i="25" s="1"/>
  <c r="M222" i="25"/>
  <c r="N222" i="25" s="1"/>
  <c r="S771" i="25"/>
  <c r="Q771" i="25"/>
  <c r="R771" i="25" s="1"/>
  <c r="M771" i="25"/>
  <c r="N771" i="25" s="1"/>
  <c r="I405" i="44"/>
  <c r="S716" i="25"/>
  <c r="Q716" i="25"/>
  <c r="R716" i="25" s="1"/>
  <c r="M716" i="25"/>
  <c r="N716" i="25" s="1"/>
  <c r="Q453" i="25"/>
  <c r="R453" i="25" s="1"/>
  <c r="S453" i="25"/>
  <c r="M453" i="25"/>
  <c r="N453" i="25" s="1"/>
  <c r="H307" i="44"/>
  <c r="X76" i="37"/>
  <c r="K292" i="37"/>
  <c r="O292" i="37" s="1"/>
  <c r="Q292" i="37" s="1"/>
  <c r="K288" i="37"/>
  <c r="O288" i="37" s="1"/>
  <c r="Q288" i="37" s="1"/>
  <c r="K284" i="37"/>
  <c r="O284" i="37" s="1"/>
  <c r="Q284" i="37" s="1"/>
  <c r="K280" i="37"/>
  <c r="O280" i="37" s="1"/>
  <c r="Q280" i="37" s="1"/>
  <c r="K276" i="37"/>
  <c r="O276" i="37" s="1"/>
  <c r="Q276" i="37" s="1"/>
  <c r="K272" i="37"/>
  <c r="O272" i="37" s="1"/>
  <c r="Q272" i="37" s="1"/>
  <c r="K268" i="37"/>
  <c r="O268" i="37" s="1"/>
  <c r="Q268" i="37" s="1"/>
  <c r="K264" i="37"/>
  <c r="O264" i="37" s="1"/>
  <c r="Q264" i="37" s="1"/>
  <c r="K260" i="37"/>
  <c r="O260" i="37" s="1"/>
  <c r="Q260" i="37" s="1"/>
  <c r="K256" i="37"/>
  <c r="O256" i="37" s="1"/>
  <c r="Q256" i="37" s="1"/>
  <c r="K252" i="37"/>
  <c r="O252" i="37" s="1"/>
  <c r="Q252" i="37" s="1"/>
  <c r="K248" i="37"/>
  <c r="O248" i="37" s="1"/>
  <c r="Q248" i="37" s="1"/>
  <c r="K244" i="37"/>
  <c r="O244" i="37" s="1"/>
  <c r="Q244" i="37" s="1"/>
  <c r="K240" i="37"/>
  <c r="O240" i="37" s="1"/>
  <c r="Q240" i="37" s="1"/>
  <c r="K236" i="37"/>
  <c r="O236" i="37" s="1"/>
  <c r="Q236" i="37" s="1"/>
  <c r="K232" i="37"/>
  <c r="O232" i="37" s="1"/>
  <c r="Q232" i="37" s="1"/>
  <c r="K228" i="37"/>
  <c r="O228" i="37" s="1"/>
  <c r="Q228" i="37" s="1"/>
  <c r="K224" i="37"/>
  <c r="O224" i="37" s="1"/>
  <c r="Q224" i="37" s="1"/>
  <c r="K220" i="37"/>
  <c r="O220" i="37" s="1"/>
  <c r="Q220" i="37" s="1"/>
  <c r="K216" i="37"/>
  <c r="O216" i="37" s="1"/>
  <c r="Q216" i="37" s="1"/>
  <c r="K212" i="37"/>
  <c r="O212" i="37" s="1"/>
  <c r="Q212" i="37" s="1"/>
  <c r="K208" i="37"/>
  <c r="O208" i="37" s="1"/>
  <c r="Q208" i="37" s="1"/>
  <c r="K204" i="37"/>
  <c r="O204" i="37" s="1"/>
  <c r="Q204" i="37" s="1"/>
  <c r="K200" i="37"/>
  <c r="O200" i="37" s="1"/>
  <c r="Q200" i="37" s="1"/>
  <c r="K196" i="37"/>
  <c r="O196" i="37" s="1"/>
  <c r="Q196" i="37" s="1"/>
  <c r="K192" i="37"/>
  <c r="O192" i="37" s="1"/>
  <c r="Q192" i="37" s="1"/>
  <c r="K188" i="37"/>
  <c r="O188" i="37" s="1"/>
  <c r="Q188" i="37" s="1"/>
  <c r="K184" i="37"/>
  <c r="O184" i="37" s="1"/>
  <c r="Q184" i="37" s="1"/>
  <c r="K180" i="37"/>
  <c r="O180" i="37" s="1"/>
  <c r="Q180" i="37" s="1"/>
  <c r="K176" i="37"/>
  <c r="O176" i="37" s="1"/>
  <c r="Q176" i="37" s="1"/>
  <c r="K172" i="37"/>
  <c r="O172" i="37" s="1"/>
  <c r="Q172" i="37" s="1"/>
  <c r="K168" i="37"/>
  <c r="O168" i="37" s="1"/>
  <c r="Q168" i="37" s="1"/>
  <c r="K164" i="37"/>
  <c r="O164" i="37" s="1"/>
  <c r="Q164" i="37" s="1"/>
  <c r="K160" i="37"/>
  <c r="O160" i="37" s="1"/>
  <c r="Q160" i="37" s="1"/>
  <c r="K156" i="37"/>
  <c r="O156" i="37" s="1"/>
  <c r="Q156" i="37" s="1"/>
  <c r="K152" i="37"/>
  <c r="O152" i="37" s="1"/>
  <c r="Q152" i="37" s="1"/>
  <c r="K148" i="37"/>
  <c r="O148" i="37" s="1"/>
  <c r="Q148" i="37" s="1"/>
  <c r="K144" i="37"/>
  <c r="O144" i="37" s="1"/>
  <c r="Q144" i="37" s="1"/>
  <c r="K140" i="37"/>
  <c r="O140" i="37" s="1"/>
  <c r="Q140" i="37" s="1"/>
  <c r="K136" i="37"/>
  <c r="O136" i="37" s="1"/>
  <c r="Q136" i="37" s="1"/>
  <c r="K132" i="37"/>
  <c r="O132" i="37" s="1"/>
  <c r="Q132" i="37" s="1"/>
  <c r="K128" i="37"/>
  <c r="O128" i="37" s="1"/>
  <c r="Q128" i="37" s="1"/>
  <c r="K124" i="37"/>
  <c r="O124" i="37" s="1"/>
  <c r="Q124" i="37" s="1"/>
  <c r="K120" i="37"/>
  <c r="O120" i="37" s="1"/>
  <c r="Q120" i="37" s="1"/>
  <c r="K116" i="37"/>
  <c r="O116" i="37" s="1"/>
  <c r="Q116" i="37" s="1"/>
  <c r="K112" i="37"/>
  <c r="O112" i="37" s="1"/>
  <c r="Q112" i="37" s="1"/>
  <c r="K108" i="37"/>
  <c r="O108" i="37" s="1"/>
  <c r="Q108" i="37" s="1"/>
  <c r="K104" i="37"/>
  <c r="O104" i="37" s="1"/>
  <c r="Q104" i="37" s="1"/>
  <c r="K100" i="37"/>
  <c r="O100" i="37" s="1"/>
  <c r="Q100" i="37" s="1"/>
  <c r="K96" i="37"/>
  <c r="O96" i="37" s="1"/>
  <c r="Q96" i="37" s="1"/>
  <c r="K92" i="37"/>
  <c r="O92" i="37" s="1"/>
  <c r="Q92" i="37" s="1"/>
  <c r="K88" i="37"/>
  <c r="O88" i="37" s="1"/>
  <c r="Q88" i="37" s="1"/>
  <c r="K84" i="37"/>
  <c r="O84" i="37" s="1"/>
  <c r="Q84" i="37" s="1"/>
  <c r="K80" i="37"/>
  <c r="O80" i="37" s="1"/>
  <c r="Q80" i="37" s="1"/>
  <c r="K296" i="37"/>
  <c r="O296" i="37" s="1"/>
  <c r="Q296" i="37" s="1"/>
  <c r="K398" i="37"/>
  <c r="O398" i="37" s="1"/>
  <c r="Q398" i="37" s="1"/>
  <c r="K390" i="37"/>
  <c r="O390" i="37" s="1"/>
  <c r="Q390" i="37" s="1"/>
  <c r="K382" i="37"/>
  <c r="O382" i="37" s="1"/>
  <c r="Q382" i="37" s="1"/>
  <c r="K374" i="37"/>
  <c r="O374" i="37" s="1"/>
  <c r="Q374" i="37" s="1"/>
  <c r="K366" i="37"/>
  <c r="O366" i="37" s="1"/>
  <c r="Q366" i="37" s="1"/>
  <c r="K358" i="37"/>
  <c r="O358" i="37" s="1"/>
  <c r="Q358" i="37" s="1"/>
  <c r="K312" i="37"/>
  <c r="O312" i="37" s="1"/>
  <c r="Q312" i="37" s="1"/>
  <c r="AC312" i="37" s="1"/>
  <c r="K308" i="37"/>
  <c r="O308" i="37" s="1"/>
  <c r="Q308" i="37" s="1"/>
  <c r="K304" i="37"/>
  <c r="O304" i="37" s="1"/>
  <c r="Q304" i="37" s="1"/>
  <c r="K300" i="37"/>
  <c r="O300" i="37" s="1"/>
  <c r="Q300" i="37" s="1"/>
  <c r="I358" i="44"/>
  <c r="I390" i="44"/>
  <c r="I422" i="44"/>
  <c r="T314" i="40" l="1"/>
  <c r="V314" i="40" s="1"/>
  <c r="Z314" i="40" s="1"/>
  <c r="K314" i="40"/>
  <c r="O314" i="40" s="1"/>
  <c r="Q314" i="40" s="1"/>
  <c r="X314" i="40"/>
  <c r="C242" i="32"/>
  <c r="P233" i="31"/>
  <c r="Y233" i="31" s="1"/>
  <c r="X233" i="31"/>
  <c r="X269" i="31"/>
  <c r="P269" i="31"/>
  <c r="Y269" i="31" s="1"/>
  <c r="X127" i="40"/>
  <c r="K127" i="40"/>
  <c r="O127" i="40" s="1"/>
  <c r="Q127" i="40" s="1"/>
  <c r="T127" i="40"/>
  <c r="V127" i="40" s="1"/>
  <c r="C55" i="32"/>
  <c r="P285" i="31"/>
  <c r="Y285" i="31" s="1"/>
  <c r="X285" i="31"/>
  <c r="K143" i="40"/>
  <c r="O143" i="40" s="1"/>
  <c r="Q143" i="40" s="1"/>
  <c r="T143" i="40"/>
  <c r="V143" i="40" s="1"/>
  <c r="X143" i="40"/>
  <c r="C71" i="32"/>
  <c r="P318" i="31"/>
  <c r="Y318" i="31" s="1"/>
  <c r="X318" i="31"/>
  <c r="Q176" i="45"/>
  <c r="S176" i="45" s="1"/>
  <c r="K176" i="45"/>
  <c r="N176" i="45" s="1"/>
  <c r="T180" i="40"/>
  <c r="V180" i="40" s="1"/>
  <c r="Z180" i="40" s="1"/>
  <c r="X180" i="40"/>
  <c r="C108" i="32"/>
  <c r="K180" i="40"/>
  <c r="O180" i="40" s="1"/>
  <c r="Q180" i="40" s="1"/>
  <c r="P350" i="31"/>
  <c r="Y350" i="31" s="1"/>
  <c r="X350" i="31"/>
  <c r="P354" i="31"/>
  <c r="Y354" i="31" s="1"/>
  <c r="X354" i="31"/>
  <c r="Q212" i="45"/>
  <c r="S212" i="45" s="1"/>
  <c r="V212" i="45" s="1"/>
  <c r="K212" i="45"/>
  <c r="N212" i="45" s="1"/>
  <c r="T220" i="40"/>
  <c r="V220" i="40" s="1"/>
  <c r="K220" i="40"/>
  <c r="O220" i="40" s="1"/>
  <c r="Q220" i="40" s="1"/>
  <c r="X220" i="40"/>
  <c r="C148" i="32"/>
  <c r="P378" i="31"/>
  <c r="X378" i="31"/>
  <c r="P382" i="31"/>
  <c r="Y382" i="31" s="1"/>
  <c r="X382" i="31"/>
  <c r="P386" i="31"/>
  <c r="X386" i="31"/>
  <c r="Q244" i="45"/>
  <c r="S244" i="45" s="1"/>
  <c r="V244" i="45" s="1"/>
  <c r="K244" i="45"/>
  <c r="N244" i="45" s="1"/>
  <c r="Q248" i="45"/>
  <c r="S248" i="45" s="1"/>
  <c r="K248" i="45"/>
  <c r="N248" i="45" s="1"/>
  <c r="T252" i="40"/>
  <c r="V252" i="40" s="1"/>
  <c r="Z252" i="40" s="1"/>
  <c r="K252" i="40"/>
  <c r="O252" i="40" s="1"/>
  <c r="Q252" i="40" s="1"/>
  <c r="X252" i="40"/>
  <c r="C180" i="32"/>
  <c r="P414" i="31"/>
  <c r="Y414" i="31" s="1"/>
  <c r="X414" i="31"/>
  <c r="Q272" i="45"/>
  <c r="S272" i="45" s="1"/>
  <c r="K272" i="45"/>
  <c r="N272" i="45" s="1"/>
  <c r="T276" i="40"/>
  <c r="V276" i="40" s="1"/>
  <c r="K276" i="40"/>
  <c r="O276" i="40" s="1"/>
  <c r="Q276" i="40" s="1"/>
  <c r="C204" i="32"/>
  <c r="X276" i="40"/>
  <c r="Q284" i="45"/>
  <c r="S284" i="45" s="1"/>
  <c r="K284" i="45"/>
  <c r="N284" i="45" s="1"/>
  <c r="Q288" i="45"/>
  <c r="S288" i="45" s="1"/>
  <c r="K288" i="45"/>
  <c r="N288" i="45" s="1"/>
  <c r="T292" i="40"/>
  <c r="V292" i="40" s="1"/>
  <c r="K292" i="40"/>
  <c r="O292" i="40" s="1"/>
  <c r="Q292" i="40" s="1"/>
  <c r="C220" i="32"/>
  <c r="X292" i="40"/>
  <c r="P666" i="31"/>
  <c r="Y666" i="31" s="1"/>
  <c r="X666" i="31"/>
  <c r="P670" i="31"/>
  <c r="X670" i="31"/>
  <c r="T308" i="40"/>
  <c r="V308" i="40" s="1"/>
  <c r="K308" i="40"/>
  <c r="O308" i="40" s="1"/>
  <c r="Q308" i="40" s="1"/>
  <c r="C236" i="32"/>
  <c r="X308" i="40"/>
  <c r="P682" i="31"/>
  <c r="Y682" i="31" s="1"/>
  <c r="X682" i="31"/>
  <c r="Q320" i="45"/>
  <c r="S320" i="45" s="1"/>
  <c r="K320" i="45"/>
  <c r="N320" i="45" s="1"/>
  <c r="X324" i="40"/>
  <c r="C252" i="32"/>
  <c r="T324" i="40"/>
  <c r="V324" i="40" s="1"/>
  <c r="K324" i="40"/>
  <c r="O324" i="40" s="1"/>
  <c r="Q324" i="40" s="1"/>
  <c r="P698" i="31"/>
  <c r="Y698" i="31" s="1"/>
  <c r="X698" i="31"/>
  <c r="X340" i="40"/>
  <c r="C268" i="32"/>
  <c r="T340" i="40"/>
  <c r="V340" i="40" s="1"/>
  <c r="Z340" i="40" s="1"/>
  <c r="K340" i="40"/>
  <c r="O340" i="40" s="1"/>
  <c r="Q340" i="40" s="1"/>
  <c r="P727" i="31"/>
  <c r="Y727" i="31" s="1"/>
  <c r="X727" i="31"/>
  <c r="P747" i="31"/>
  <c r="Y747" i="31" s="1"/>
  <c r="X747" i="31"/>
  <c r="P752" i="31"/>
  <c r="Y752" i="31" s="1"/>
  <c r="X752" i="31"/>
  <c r="K390" i="45"/>
  <c r="N390" i="45" s="1"/>
  <c r="Q390" i="45"/>
  <c r="S390" i="45" s="1"/>
  <c r="V390" i="45" s="1"/>
  <c r="X394" i="40"/>
  <c r="T394" i="40"/>
  <c r="V394" i="40" s="1"/>
  <c r="Z394" i="40" s="1"/>
  <c r="AC394" i="40" s="1"/>
  <c r="K394" i="40"/>
  <c r="O394" i="40" s="1"/>
  <c r="Q394" i="40" s="1"/>
  <c r="C322" i="32"/>
  <c r="P768" i="31"/>
  <c r="Y768" i="31" s="1"/>
  <c r="X768" i="31"/>
  <c r="K406" i="45"/>
  <c r="N406" i="45" s="1"/>
  <c r="Q406" i="45"/>
  <c r="S406" i="45" s="1"/>
  <c r="V406" i="45" s="1"/>
  <c r="X410" i="40"/>
  <c r="T410" i="40"/>
  <c r="V410" i="40" s="1"/>
  <c r="Z410" i="40" s="1"/>
  <c r="AC410" i="40" s="1"/>
  <c r="K410" i="40"/>
  <c r="O410" i="40" s="1"/>
  <c r="Q410" i="40" s="1"/>
  <c r="C338" i="32"/>
  <c r="P784" i="31"/>
  <c r="Y784" i="31" s="1"/>
  <c r="X784" i="31"/>
  <c r="X426" i="40"/>
  <c r="T426" i="40"/>
  <c r="V426" i="40" s="1"/>
  <c r="Z426" i="40" s="1"/>
  <c r="AC426" i="40" s="1"/>
  <c r="K426" i="40"/>
  <c r="O426" i="40" s="1"/>
  <c r="Q426" i="40" s="1"/>
  <c r="C354" i="32"/>
  <c r="P800" i="31"/>
  <c r="Y800" i="31" s="1"/>
  <c r="X800" i="31"/>
  <c r="K438" i="45"/>
  <c r="N438" i="45" s="1"/>
  <c r="Q438" i="45"/>
  <c r="S438" i="45" s="1"/>
  <c r="V438" i="45" s="1"/>
  <c r="X442" i="40"/>
  <c r="T442" i="40"/>
  <c r="V442" i="40" s="1"/>
  <c r="Z442" i="40" s="1"/>
  <c r="AC442" i="40" s="1"/>
  <c r="K442" i="40"/>
  <c r="O442" i="40" s="1"/>
  <c r="Q442" i="40" s="1"/>
  <c r="C370" i="32"/>
  <c r="P816" i="31"/>
  <c r="Y816" i="31" s="1"/>
  <c r="X816" i="31"/>
  <c r="X820" i="31"/>
  <c r="P820" i="31"/>
  <c r="Y820" i="31" s="1"/>
  <c r="X458" i="40"/>
  <c r="T458" i="40"/>
  <c r="V458" i="40" s="1"/>
  <c r="Z458" i="40" s="1"/>
  <c r="AC458" i="40" s="1"/>
  <c r="K458" i="40"/>
  <c r="O458" i="40" s="1"/>
  <c r="Q458" i="40" s="1"/>
  <c r="C386" i="32"/>
  <c r="P832" i="31"/>
  <c r="Y832" i="31" s="1"/>
  <c r="X832" i="31"/>
  <c r="K470" i="45"/>
  <c r="N470" i="45" s="1"/>
  <c r="Q470" i="45"/>
  <c r="S470" i="45" s="1"/>
  <c r="V470" i="45" s="1"/>
  <c r="P841" i="31"/>
  <c r="Y841" i="31" s="1"/>
  <c r="X841" i="31"/>
  <c r="K483" i="45"/>
  <c r="N483" i="45" s="1"/>
  <c r="Q483" i="45"/>
  <c r="S483" i="45" s="1"/>
  <c r="V483" i="45" s="1"/>
  <c r="X853" i="31"/>
  <c r="P853" i="31"/>
  <c r="Y853" i="31" s="1"/>
  <c r="K491" i="45"/>
  <c r="N491" i="45" s="1"/>
  <c r="Q491" i="45"/>
  <c r="S491" i="45" s="1"/>
  <c r="V491" i="45" s="1"/>
  <c r="K499" i="45"/>
  <c r="N499" i="45" s="1"/>
  <c r="Q499" i="45"/>
  <c r="S499" i="45" s="1"/>
  <c r="V499" i="45" s="1"/>
  <c r="K503" i="45"/>
  <c r="N503" i="45" s="1"/>
  <c r="Q503" i="45"/>
  <c r="S503" i="45" s="1"/>
  <c r="V503" i="45" s="1"/>
  <c r="P873" i="31"/>
  <c r="X873" i="31"/>
  <c r="K515" i="45"/>
  <c r="N515" i="45" s="1"/>
  <c r="Q515" i="45"/>
  <c r="S515" i="45" s="1"/>
  <c r="V515" i="45" s="1"/>
  <c r="S77" i="40"/>
  <c r="U77" i="40" s="1"/>
  <c r="W77" i="40"/>
  <c r="J77" i="40"/>
  <c r="L77" i="40" s="1"/>
  <c r="N77" i="40" s="1"/>
  <c r="B5" i="32"/>
  <c r="P10" i="31"/>
  <c r="Y10" i="31" s="1"/>
  <c r="X10" i="31"/>
  <c r="S88" i="40"/>
  <c r="U88" i="40" s="1"/>
  <c r="Y88" i="40" s="1"/>
  <c r="J88" i="40"/>
  <c r="L88" i="40" s="1"/>
  <c r="N88" i="40" s="1"/>
  <c r="W88" i="40"/>
  <c r="B16" i="32"/>
  <c r="S92" i="40"/>
  <c r="U92" i="40" s="1"/>
  <c r="Y92" i="40" s="1"/>
  <c r="J92" i="40"/>
  <c r="L92" i="40" s="1"/>
  <c r="N92" i="40" s="1"/>
  <c r="W92" i="40"/>
  <c r="B20" i="32"/>
  <c r="X22" i="31"/>
  <c r="P22" i="31"/>
  <c r="Y22" i="31" s="1"/>
  <c r="P26" i="31"/>
  <c r="Y26" i="31" s="1"/>
  <c r="X26" i="31"/>
  <c r="P30" i="31"/>
  <c r="X30" i="31"/>
  <c r="S108" i="40"/>
  <c r="U108" i="40" s="1"/>
  <c r="J108" i="40"/>
  <c r="L108" i="40" s="1"/>
  <c r="N108" i="40" s="1"/>
  <c r="W108" i="40"/>
  <c r="B36" i="32"/>
  <c r="P42" i="31"/>
  <c r="X42" i="31"/>
  <c r="W120" i="40"/>
  <c r="J120" i="40"/>
  <c r="L120" i="40" s="1"/>
  <c r="N120" i="40" s="1"/>
  <c r="S120" i="40"/>
  <c r="U120" i="40" s="1"/>
  <c r="B48" i="32"/>
  <c r="J124" i="40"/>
  <c r="L124" i="40" s="1"/>
  <c r="N124" i="40" s="1"/>
  <c r="S124" i="40"/>
  <c r="U124" i="40" s="1"/>
  <c r="Y124" i="40" s="1"/>
  <c r="AA124" i="40" s="1"/>
  <c r="AE124" i="40" s="1"/>
  <c r="AB124" i="40" s="1"/>
  <c r="W124" i="40"/>
  <c r="B52" i="32"/>
  <c r="P58" i="31"/>
  <c r="Y58" i="31" s="1"/>
  <c r="X58" i="31"/>
  <c r="P62" i="31"/>
  <c r="X62" i="31"/>
  <c r="W140" i="40"/>
  <c r="J140" i="40"/>
  <c r="L140" i="40" s="1"/>
  <c r="N140" i="40" s="1"/>
  <c r="B68" i="32"/>
  <c r="S140" i="40"/>
  <c r="U140" i="40" s="1"/>
  <c r="P74" i="31"/>
  <c r="Y74" i="31" s="1"/>
  <c r="X74" i="31"/>
  <c r="P78" i="31"/>
  <c r="Y78" i="31" s="1"/>
  <c r="X78" i="31"/>
  <c r="W156" i="40"/>
  <c r="J156" i="40"/>
  <c r="L156" i="40" s="1"/>
  <c r="N156" i="40" s="1"/>
  <c r="S156" i="40"/>
  <c r="U156" i="40" s="1"/>
  <c r="B84" i="32"/>
  <c r="P90" i="31"/>
  <c r="Y90" i="31" s="1"/>
  <c r="X90" i="31"/>
  <c r="P94" i="31"/>
  <c r="X94" i="31"/>
  <c r="W172" i="40"/>
  <c r="J172" i="40"/>
  <c r="L172" i="40" s="1"/>
  <c r="N172" i="40" s="1"/>
  <c r="S172" i="40"/>
  <c r="U172" i="40" s="1"/>
  <c r="B100" i="32"/>
  <c r="J184" i="40"/>
  <c r="L184" i="40" s="1"/>
  <c r="N184" i="40" s="1"/>
  <c r="S184" i="40"/>
  <c r="U184" i="40" s="1"/>
  <c r="Y184" i="40" s="1"/>
  <c r="AA184" i="40" s="1"/>
  <c r="AE184" i="40" s="1"/>
  <c r="AB184" i="40" s="1"/>
  <c r="W184" i="40"/>
  <c r="B112" i="32"/>
  <c r="W188" i="40"/>
  <c r="J188" i="40"/>
  <c r="L188" i="40" s="1"/>
  <c r="N188" i="40" s="1"/>
  <c r="S188" i="40"/>
  <c r="U188" i="40" s="1"/>
  <c r="B116" i="32"/>
  <c r="P126" i="31"/>
  <c r="X126" i="31"/>
  <c r="W204" i="40"/>
  <c r="J204" i="40"/>
  <c r="L204" i="40" s="1"/>
  <c r="N204" i="40" s="1"/>
  <c r="B132" i="32"/>
  <c r="S204" i="40"/>
  <c r="U204" i="40" s="1"/>
  <c r="Y204" i="40" s="1"/>
  <c r="AA204" i="40" s="1"/>
  <c r="AE204" i="40" s="1"/>
  <c r="AB204" i="40" s="1"/>
  <c r="P146" i="31"/>
  <c r="Y146" i="31" s="1"/>
  <c r="X146" i="31"/>
  <c r="X150" i="31"/>
  <c r="P150" i="31"/>
  <c r="Y150" i="31" s="1"/>
  <c r="P228" i="45"/>
  <c r="R228" i="45" s="1"/>
  <c r="T228" i="45" s="1"/>
  <c r="X228" i="45" s="1"/>
  <c r="U228" i="45" s="1"/>
  <c r="J228" i="45"/>
  <c r="L228" i="45" s="1"/>
  <c r="P158" i="31"/>
  <c r="Y158" i="31" s="1"/>
  <c r="X158" i="31"/>
  <c r="S236" i="40"/>
  <c r="U236" i="40" s="1"/>
  <c r="J236" i="40"/>
  <c r="L236" i="40" s="1"/>
  <c r="N236" i="40" s="1"/>
  <c r="W236" i="40"/>
  <c r="B164" i="32"/>
  <c r="P178" i="31"/>
  <c r="Y178" i="31" s="1"/>
  <c r="X178" i="31"/>
  <c r="X182" i="31"/>
  <c r="P182" i="31"/>
  <c r="Y182" i="31" s="1"/>
  <c r="P260" i="45"/>
  <c r="R260" i="45" s="1"/>
  <c r="T260" i="45" s="1"/>
  <c r="X260" i="45" s="1"/>
  <c r="U260" i="45" s="1"/>
  <c r="J260" i="45"/>
  <c r="L260" i="45" s="1"/>
  <c r="P190" i="31"/>
  <c r="X190" i="31"/>
  <c r="S268" i="40"/>
  <c r="U268" i="40" s="1"/>
  <c r="J268" i="40"/>
  <c r="L268" i="40" s="1"/>
  <c r="N268" i="40" s="1"/>
  <c r="W268" i="40"/>
  <c r="B196" i="32"/>
  <c r="P202" i="31"/>
  <c r="Y202" i="31" s="1"/>
  <c r="X202" i="31"/>
  <c r="P206" i="31"/>
  <c r="X206" i="31"/>
  <c r="S284" i="40"/>
  <c r="U284" i="40" s="1"/>
  <c r="J284" i="40"/>
  <c r="L284" i="40" s="1"/>
  <c r="N284" i="40" s="1"/>
  <c r="W284" i="40"/>
  <c r="B212" i="32"/>
  <c r="P218" i="31"/>
  <c r="Y218" i="31" s="1"/>
  <c r="X218" i="31"/>
  <c r="P296" i="45"/>
  <c r="R296" i="45" s="1"/>
  <c r="T296" i="45" s="1"/>
  <c r="X296" i="45" s="1"/>
  <c r="U296" i="45" s="1"/>
  <c r="J296" i="45"/>
  <c r="L296" i="45" s="1"/>
  <c r="S300" i="40"/>
  <c r="U300" i="40" s="1"/>
  <c r="J300" i="40"/>
  <c r="L300" i="40" s="1"/>
  <c r="N300" i="40" s="1"/>
  <c r="W300" i="40"/>
  <c r="B228" i="32"/>
  <c r="X454" i="31"/>
  <c r="P454" i="31"/>
  <c r="Y454" i="31" s="1"/>
  <c r="P458" i="31"/>
  <c r="Y458" i="31" s="1"/>
  <c r="X458" i="31"/>
  <c r="S316" i="40"/>
  <c r="U316" i="40" s="1"/>
  <c r="J316" i="40"/>
  <c r="L316" i="40" s="1"/>
  <c r="N316" i="40" s="1"/>
  <c r="W316" i="40"/>
  <c r="B244" i="32"/>
  <c r="P328" i="45"/>
  <c r="R328" i="45" s="1"/>
  <c r="T328" i="45" s="1"/>
  <c r="X328" i="45" s="1"/>
  <c r="U328" i="45" s="1"/>
  <c r="J328" i="45"/>
  <c r="L328" i="45" s="1"/>
  <c r="W332" i="40"/>
  <c r="S332" i="40"/>
  <c r="U332" i="40" s="1"/>
  <c r="J332" i="40"/>
  <c r="L332" i="40" s="1"/>
  <c r="N332" i="40" s="1"/>
  <c r="B260" i="32"/>
  <c r="P486" i="31"/>
  <c r="Y486" i="31" s="1"/>
  <c r="X486" i="31"/>
  <c r="P490" i="31"/>
  <c r="X490" i="31"/>
  <c r="W348" i="40"/>
  <c r="S348" i="40"/>
  <c r="U348" i="40" s="1"/>
  <c r="J348" i="40"/>
  <c r="L348" i="40" s="1"/>
  <c r="N348" i="40" s="1"/>
  <c r="B276" i="32"/>
  <c r="P502" i="31"/>
  <c r="Y502" i="31" s="1"/>
  <c r="X502" i="31"/>
  <c r="W364" i="40"/>
  <c r="S364" i="40"/>
  <c r="U364" i="40" s="1"/>
  <c r="J364" i="40"/>
  <c r="L364" i="40" s="1"/>
  <c r="N364" i="40" s="1"/>
  <c r="B292" i="32"/>
  <c r="P514" i="31"/>
  <c r="Y514" i="31" s="1"/>
  <c r="X514" i="31"/>
  <c r="P522" i="31"/>
  <c r="X522" i="31"/>
  <c r="W380" i="40"/>
  <c r="S380" i="40"/>
  <c r="U380" i="40" s="1"/>
  <c r="J380" i="40"/>
  <c r="L380" i="40" s="1"/>
  <c r="N380" i="40" s="1"/>
  <c r="B308" i="32"/>
  <c r="T530" i="31"/>
  <c r="P534" i="31"/>
  <c r="X534" i="31"/>
  <c r="P392" i="45"/>
  <c r="R392" i="45" s="1"/>
  <c r="T392" i="45" s="1"/>
  <c r="X392" i="45" s="1"/>
  <c r="U392" i="45" s="1"/>
  <c r="J392" i="45"/>
  <c r="L392" i="45" s="1"/>
  <c r="W396" i="40"/>
  <c r="S396" i="40"/>
  <c r="U396" i="40" s="1"/>
  <c r="Y396" i="40" s="1"/>
  <c r="AA396" i="40" s="1"/>
  <c r="AE396" i="40" s="1"/>
  <c r="AB396" i="40" s="1"/>
  <c r="J396" i="40"/>
  <c r="L396" i="40" s="1"/>
  <c r="N396" i="40" s="1"/>
  <c r="B324" i="32"/>
  <c r="T546" i="31"/>
  <c r="P550" i="31"/>
  <c r="Y550" i="31" s="1"/>
  <c r="X550" i="31"/>
  <c r="P554" i="31"/>
  <c r="Y554" i="31" s="1"/>
  <c r="X554" i="31"/>
  <c r="W412" i="40"/>
  <c r="S412" i="40"/>
  <c r="U412" i="40" s="1"/>
  <c r="J412" i="40"/>
  <c r="L412" i="40" s="1"/>
  <c r="N412" i="40" s="1"/>
  <c r="B340" i="32"/>
  <c r="T562" i="31"/>
  <c r="P566" i="31"/>
  <c r="Y566" i="31" s="1"/>
  <c r="X566" i="31"/>
  <c r="P424" i="45"/>
  <c r="R424" i="45" s="1"/>
  <c r="J424" i="45"/>
  <c r="L424" i="45" s="1"/>
  <c r="W428" i="40"/>
  <c r="S428" i="40"/>
  <c r="U428" i="40" s="1"/>
  <c r="J428" i="40"/>
  <c r="L428" i="40" s="1"/>
  <c r="N428" i="40" s="1"/>
  <c r="B356" i="32"/>
  <c r="P582" i="31"/>
  <c r="Y582" i="31" s="1"/>
  <c r="X582" i="31"/>
  <c r="P586" i="31"/>
  <c r="X586" i="31"/>
  <c r="W444" i="40"/>
  <c r="S444" i="40"/>
  <c r="U444" i="40" s="1"/>
  <c r="J444" i="40"/>
  <c r="L444" i="40" s="1"/>
  <c r="N444" i="40" s="1"/>
  <c r="B372" i="32"/>
  <c r="T594" i="31"/>
  <c r="P456" i="45"/>
  <c r="R456" i="45" s="1"/>
  <c r="T456" i="45" s="1"/>
  <c r="X456" i="45" s="1"/>
  <c r="U456" i="45" s="1"/>
  <c r="J456" i="45"/>
  <c r="L456" i="45" s="1"/>
  <c r="W460" i="40"/>
  <c r="S460" i="40"/>
  <c r="U460" i="40" s="1"/>
  <c r="J460" i="40"/>
  <c r="L460" i="40" s="1"/>
  <c r="N460" i="40" s="1"/>
  <c r="B388" i="32"/>
  <c r="T610" i="31"/>
  <c r="P614" i="31"/>
  <c r="Y614" i="31" s="1"/>
  <c r="X614" i="31"/>
  <c r="W476" i="40"/>
  <c r="S476" i="40"/>
  <c r="U476" i="40" s="1"/>
  <c r="Y476" i="40" s="1"/>
  <c r="AA476" i="40" s="1"/>
  <c r="AE476" i="40" s="1"/>
  <c r="AB476" i="40" s="1"/>
  <c r="J476" i="40"/>
  <c r="L476" i="40" s="1"/>
  <c r="N476" i="40" s="1"/>
  <c r="B404" i="32"/>
  <c r="T626" i="31"/>
  <c r="P630" i="31"/>
  <c r="Y630" i="31" s="1"/>
  <c r="X630" i="31"/>
  <c r="J488" i="45"/>
  <c r="L488" i="45" s="1"/>
  <c r="P488" i="45"/>
  <c r="R488" i="45" s="1"/>
  <c r="W492" i="40"/>
  <c r="S492" i="40"/>
  <c r="U492" i="40" s="1"/>
  <c r="J492" i="40"/>
  <c r="L492" i="40" s="1"/>
  <c r="N492" i="40" s="1"/>
  <c r="B420" i="32"/>
  <c r="P642" i="31"/>
  <c r="Y642" i="31" s="1"/>
  <c r="X642" i="31"/>
  <c r="P646" i="31"/>
  <c r="Y646" i="31" s="1"/>
  <c r="X646" i="31"/>
  <c r="P650" i="31"/>
  <c r="X650" i="31"/>
  <c r="W508" i="40"/>
  <c r="S508" i="40"/>
  <c r="U508" i="40" s="1"/>
  <c r="J508" i="40"/>
  <c r="L508" i="40" s="1"/>
  <c r="N508" i="40" s="1"/>
  <c r="B436" i="32"/>
  <c r="T658" i="31"/>
  <c r="S318" i="40"/>
  <c r="U318" i="40" s="1"/>
  <c r="J318" i="40"/>
  <c r="L318" i="40" s="1"/>
  <c r="N318" i="40" s="1"/>
  <c r="W318" i="40"/>
  <c r="B246" i="32"/>
  <c r="T379" i="40"/>
  <c r="V379" i="40" s="1"/>
  <c r="K379" i="40"/>
  <c r="O379" i="40" s="1"/>
  <c r="Q379" i="40" s="1"/>
  <c r="X379" i="40"/>
  <c r="C307" i="32"/>
  <c r="T411" i="40"/>
  <c r="V411" i="40" s="1"/>
  <c r="K411" i="40"/>
  <c r="O411" i="40" s="1"/>
  <c r="Q411" i="40" s="1"/>
  <c r="X411" i="40"/>
  <c r="C339" i="32"/>
  <c r="T443" i="40"/>
  <c r="V443" i="40" s="1"/>
  <c r="K443" i="40"/>
  <c r="O443" i="40" s="1"/>
  <c r="Q443" i="40" s="1"/>
  <c r="X443" i="40"/>
  <c r="C371" i="32"/>
  <c r="X384" i="40"/>
  <c r="T384" i="40"/>
  <c r="V384" i="40" s="1"/>
  <c r="Z384" i="40" s="1"/>
  <c r="AC384" i="40" s="1"/>
  <c r="K384" i="40"/>
  <c r="O384" i="40" s="1"/>
  <c r="Q384" i="40" s="1"/>
  <c r="C312" i="32"/>
  <c r="T223" i="31"/>
  <c r="P226" i="31"/>
  <c r="Y226" i="31" s="1"/>
  <c r="X226" i="31"/>
  <c r="Q84" i="45"/>
  <c r="S84" i="45" s="1"/>
  <c r="K84" i="45"/>
  <c r="N84" i="45" s="1"/>
  <c r="T88" i="40"/>
  <c r="V88" i="40" s="1"/>
  <c r="Z88" i="40" s="1"/>
  <c r="AC88" i="40" s="1"/>
  <c r="K88" i="40"/>
  <c r="O88" i="40" s="1"/>
  <c r="Q88" i="40" s="1"/>
  <c r="X88" i="40"/>
  <c r="C16" i="32"/>
  <c r="T238" i="31"/>
  <c r="P242" i="31"/>
  <c r="Y242" i="31" s="1"/>
  <c r="X242" i="31"/>
  <c r="Q100" i="45"/>
  <c r="S100" i="45" s="1"/>
  <c r="V100" i="45" s="1"/>
  <c r="K100" i="45"/>
  <c r="N100" i="45" s="1"/>
  <c r="T254" i="31"/>
  <c r="P258" i="31"/>
  <c r="Y258" i="31" s="1"/>
  <c r="X258" i="31"/>
  <c r="Q116" i="45"/>
  <c r="S116" i="45" s="1"/>
  <c r="V116" i="45" s="1"/>
  <c r="K116" i="45"/>
  <c r="N116" i="45" s="1"/>
  <c r="T120" i="40"/>
  <c r="V120" i="40" s="1"/>
  <c r="X120" i="40"/>
  <c r="C48" i="32"/>
  <c r="K120" i="40"/>
  <c r="O120" i="40" s="1"/>
  <c r="Q120" i="40" s="1"/>
  <c r="T270" i="31"/>
  <c r="P274" i="31"/>
  <c r="Y274" i="31" s="1"/>
  <c r="X274" i="31"/>
  <c r="Q132" i="45"/>
  <c r="S132" i="45" s="1"/>
  <c r="V132" i="45" s="1"/>
  <c r="K132" i="45"/>
  <c r="N132" i="45" s="1"/>
  <c r="X136" i="40"/>
  <c r="T136" i="40"/>
  <c r="V136" i="40" s="1"/>
  <c r="K136" i="40"/>
  <c r="O136" i="40" s="1"/>
  <c r="Q136" i="40" s="1"/>
  <c r="C64" i="32"/>
  <c r="T286" i="31"/>
  <c r="P290" i="31"/>
  <c r="Y290" i="31" s="1"/>
  <c r="X290" i="31"/>
  <c r="Q148" i="45"/>
  <c r="S148" i="45" s="1"/>
  <c r="K148" i="45"/>
  <c r="N148" i="45" s="1"/>
  <c r="X152" i="40"/>
  <c r="K152" i="40"/>
  <c r="O152" i="40" s="1"/>
  <c r="Q152" i="40" s="1"/>
  <c r="T152" i="40"/>
  <c r="V152" i="40" s="1"/>
  <c r="C80" i="32"/>
  <c r="Q160" i="45"/>
  <c r="S160" i="45" s="1"/>
  <c r="K160" i="45"/>
  <c r="N160" i="45" s="1"/>
  <c r="K165" i="45"/>
  <c r="N165" i="45" s="1"/>
  <c r="Q165" i="45"/>
  <c r="S165" i="45" s="1"/>
  <c r="V165" i="45" s="1"/>
  <c r="X169" i="40"/>
  <c r="K169" i="40"/>
  <c r="O169" i="40" s="1"/>
  <c r="Q169" i="40" s="1"/>
  <c r="C97" i="32"/>
  <c r="T169" i="40"/>
  <c r="V169" i="40" s="1"/>
  <c r="Z169" i="40" s="1"/>
  <c r="AC169" i="40" s="1"/>
  <c r="P323" i="31"/>
  <c r="Y323" i="31" s="1"/>
  <c r="X323" i="31"/>
  <c r="K181" i="45"/>
  <c r="N181" i="45" s="1"/>
  <c r="Q181" i="45"/>
  <c r="S181" i="45" s="1"/>
  <c r="V181" i="45" s="1"/>
  <c r="X185" i="40"/>
  <c r="K185" i="40"/>
  <c r="O185" i="40" s="1"/>
  <c r="Q185" i="40" s="1"/>
  <c r="T185" i="40"/>
  <c r="V185" i="40" s="1"/>
  <c r="C113" i="32"/>
  <c r="P339" i="31"/>
  <c r="Y339" i="31" s="1"/>
  <c r="X339" i="31"/>
  <c r="K197" i="45"/>
  <c r="N197" i="45" s="1"/>
  <c r="Q197" i="45"/>
  <c r="S197" i="45" s="1"/>
  <c r="V197" i="45" s="1"/>
  <c r="X201" i="40"/>
  <c r="K201" i="40"/>
  <c r="O201" i="40" s="1"/>
  <c r="Q201" i="40" s="1"/>
  <c r="C129" i="32"/>
  <c r="T201" i="40"/>
  <c r="V201" i="40" s="1"/>
  <c r="Z201" i="40" s="1"/>
  <c r="AC201" i="40" s="1"/>
  <c r="P355" i="31"/>
  <c r="Y355" i="31" s="1"/>
  <c r="X355" i="31"/>
  <c r="K213" i="45"/>
  <c r="N213" i="45" s="1"/>
  <c r="Q213" i="45"/>
  <c r="S213" i="45" s="1"/>
  <c r="V213" i="45" s="1"/>
  <c r="X217" i="40"/>
  <c r="T217" i="40"/>
  <c r="V217" i="40" s="1"/>
  <c r="Z217" i="40" s="1"/>
  <c r="AC217" i="40" s="1"/>
  <c r="K217" i="40"/>
  <c r="O217" i="40" s="1"/>
  <c r="Q217" i="40" s="1"/>
  <c r="C145" i="32"/>
  <c r="P371" i="31"/>
  <c r="Y371" i="31" s="1"/>
  <c r="X371" i="31"/>
  <c r="K229" i="45"/>
  <c r="N229" i="45" s="1"/>
  <c r="Q229" i="45"/>
  <c r="S229" i="45" s="1"/>
  <c r="V229" i="45" s="1"/>
  <c r="X233" i="40"/>
  <c r="T233" i="40"/>
  <c r="V233" i="40" s="1"/>
  <c r="Z233" i="40" s="1"/>
  <c r="K233" i="40"/>
  <c r="O233" i="40" s="1"/>
  <c r="Q233" i="40" s="1"/>
  <c r="C161" i="32"/>
  <c r="S149" i="40"/>
  <c r="U149" i="40" s="1"/>
  <c r="W149" i="40"/>
  <c r="J149" i="40"/>
  <c r="L149" i="40" s="1"/>
  <c r="N149" i="40" s="1"/>
  <c r="B77" i="32"/>
  <c r="T256" i="40"/>
  <c r="V256" i="40" s="1"/>
  <c r="K256" i="40"/>
  <c r="O256" i="40" s="1"/>
  <c r="Q256" i="40" s="1"/>
  <c r="X256" i="40"/>
  <c r="C184" i="32"/>
  <c r="T329" i="40"/>
  <c r="V329" i="40" s="1"/>
  <c r="K329" i="40"/>
  <c r="O329" i="40" s="1"/>
  <c r="Q329" i="40" s="1"/>
  <c r="C257" i="32"/>
  <c r="X329" i="40"/>
  <c r="T345" i="40"/>
  <c r="V345" i="40" s="1"/>
  <c r="K345" i="40"/>
  <c r="O345" i="40" s="1"/>
  <c r="Q345" i="40" s="1"/>
  <c r="C273" i="32"/>
  <c r="X345" i="40"/>
  <c r="T361" i="40"/>
  <c r="V361" i="40" s="1"/>
  <c r="K361" i="40"/>
  <c r="O361" i="40" s="1"/>
  <c r="Q361" i="40" s="1"/>
  <c r="X361" i="40"/>
  <c r="C289" i="32"/>
  <c r="T377" i="40"/>
  <c r="V377" i="40" s="1"/>
  <c r="K377" i="40"/>
  <c r="O377" i="40" s="1"/>
  <c r="Q377" i="40" s="1"/>
  <c r="X377" i="40"/>
  <c r="C305" i="32"/>
  <c r="S409" i="40"/>
  <c r="U409" i="40" s="1"/>
  <c r="J409" i="40"/>
  <c r="L409" i="40" s="1"/>
  <c r="N409" i="40" s="1"/>
  <c r="W409" i="40"/>
  <c r="B337" i="32"/>
  <c r="S441" i="40"/>
  <c r="U441" i="40" s="1"/>
  <c r="J441" i="40"/>
  <c r="L441" i="40" s="1"/>
  <c r="N441" i="40" s="1"/>
  <c r="W441" i="40"/>
  <c r="B369" i="32"/>
  <c r="S473" i="40"/>
  <c r="U473" i="40" s="1"/>
  <c r="J473" i="40"/>
  <c r="L473" i="40" s="1"/>
  <c r="N473" i="40" s="1"/>
  <c r="W473" i="40"/>
  <c r="B401" i="32"/>
  <c r="S489" i="40"/>
  <c r="U489" i="40" s="1"/>
  <c r="J489" i="40"/>
  <c r="L489" i="40" s="1"/>
  <c r="N489" i="40" s="1"/>
  <c r="W489" i="40"/>
  <c r="B417" i="32"/>
  <c r="S505" i="40"/>
  <c r="U505" i="40" s="1"/>
  <c r="J505" i="40"/>
  <c r="L505" i="40" s="1"/>
  <c r="N505" i="40" s="1"/>
  <c r="W505" i="40"/>
  <c r="B433" i="32"/>
  <c r="K79" i="40"/>
  <c r="O79" i="40" s="1"/>
  <c r="Q79" i="40" s="1"/>
  <c r="X79" i="40"/>
  <c r="T79" i="40"/>
  <c r="V79" i="40" s="1"/>
  <c r="C7" i="32"/>
  <c r="Q103" i="45"/>
  <c r="S103" i="45" s="1"/>
  <c r="K103" i="45"/>
  <c r="N103" i="45" s="1"/>
  <c r="X277" i="31"/>
  <c r="P277" i="31"/>
  <c r="P297" i="31"/>
  <c r="Y297" i="31" s="1"/>
  <c r="X297" i="31"/>
  <c r="Q155" i="45"/>
  <c r="S155" i="45" s="1"/>
  <c r="K155" i="45"/>
  <c r="N155" i="45" s="1"/>
  <c r="Q472" i="45"/>
  <c r="S472" i="45" s="1"/>
  <c r="K472" i="45"/>
  <c r="N472" i="45" s="1"/>
  <c r="S208" i="40"/>
  <c r="U208" i="40" s="1"/>
  <c r="Y208" i="40" s="1"/>
  <c r="J208" i="40"/>
  <c r="L208" i="40" s="1"/>
  <c r="N208" i="40" s="1"/>
  <c r="W208" i="40"/>
  <c r="B136" i="32"/>
  <c r="S278" i="40"/>
  <c r="U278" i="40" s="1"/>
  <c r="Y278" i="40" s="1"/>
  <c r="J278" i="40"/>
  <c r="L278" i="40" s="1"/>
  <c r="N278" i="40" s="1"/>
  <c r="W278" i="40"/>
  <c r="B206" i="32"/>
  <c r="S321" i="40"/>
  <c r="U321" i="40" s="1"/>
  <c r="Y321" i="40" s="1"/>
  <c r="J321" i="40"/>
  <c r="L321" i="40" s="1"/>
  <c r="N321" i="40" s="1"/>
  <c r="W321" i="40"/>
  <c r="B249" i="32"/>
  <c r="S337" i="40"/>
  <c r="U337" i="40" s="1"/>
  <c r="Y337" i="40" s="1"/>
  <c r="J337" i="40"/>
  <c r="L337" i="40" s="1"/>
  <c r="N337" i="40" s="1"/>
  <c r="W337" i="40"/>
  <c r="B265" i="32"/>
  <c r="S353" i="40"/>
  <c r="U353" i="40" s="1"/>
  <c r="Y353" i="40" s="1"/>
  <c r="J353" i="40"/>
  <c r="L353" i="40" s="1"/>
  <c r="N353" i="40" s="1"/>
  <c r="W353" i="40"/>
  <c r="B281" i="32"/>
  <c r="S369" i="40"/>
  <c r="U369" i="40" s="1"/>
  <c r="Y369" i="40" s="1"/>
  <c r="J369" i="40"/>
  <c r="L369" i="40" s="1"/>
  <c r="N369" i="40" s="1"/>
  <c r="W369" i="40"/>
  <c r="B297" i="32"/>
  <c r="S385" i="40"/>
  <c r="U385" i="40" s="1"/>
  <c r="Y385" i="40" s="1"/>
  <c r="J385" i="40"/>
  <c r="L385" i="40" s="1"/>
  <c r="N385" i="40" s="1"/>
  <c r="W385" i="40"/>
  <c r="B313" i="32"/>
  <c r="S417" i="40"/>
  <c r="U417" i="40" s="1"/>
  <c r="Y417" i="40" s="1"/>
  <c r="J417" i="40"/>
  <c r="L417" i="40" s="1"/>
  <c r="N417" i="40" s="1"/>
  <c r="W417" i="40"/>
  <c r="B345" i="32"/>
  <c r="S449" i="40"/>
  <c r="U449" i="40" s="1"/>
  <c r="Y449" i="40" s="1"/>
  <c r="J449" i="40"/>
  <c r="L449" i="40" s="1"/>
  <c r="N449" i="40" s="1"/>
  <c r="W449" i="40"/>
  <c r="B377" i="32"/>
  <c r="T473" i="40"/>
  <c r="V473" i="40" s="1"/>
  <c r="Z473" i="40" s="1"/>
  <c r="K473" i="40"/>
  <c r="O473" i="40" s="1"/>
  <c r="Q473" i="40" s="1"/>
  <c r="X473" i="40"/>
  <c r="C401" i="32"/>
  <c r="T489" i="40"/>
  <c r="V489" i="40" s="1"/>
  <c r="Z489" i="40" s="1"/>
  <c r="K489" i="40"/>
  <c r="O489" i="40" s="1"/>
  <c r="Q489" i="40" s="1"/>
  <c r="X489" i="40"/>
  <c r="C417" i="32"/>
  <c r="T505" i="40"/>
  <c r="V505" i="40" s="1"/>
  <c r="Z505" i="40" s="1"/>
  <c r="K505" i="40"/>
  <c r="O505" i="40" s="1"/>
  <c r="Q505" i="40" s="1"/>
  <c r="X505" i="40"/>
  <c r="C433" i="32"/>
  <c r="Q347" i="45"/>
  <c r="S347" i="45" s="1"/>
  <c r="K347" i="45"/>
  <c r="N347" i="45" s="1"/>
  <c r="Q79" i="45"/>
  <c r="S79" i="45" s="1"/>
  <c r="K79" i="45"/>
  <c r="N79" i="45" s="1"/>
  <c r="T83" i="40"/>
  <c r="V83" i="40" s="1"/>
  <c r="X83" i="40"/>
  <c r="K83" i="40"/>
  <c r="O83" i="40" s="1"/>
  <c r="Q83" i="40" s="1"/>
  <c r="C11" i="32"/>
  <c r="X249" i="31"/>
  <c r="P249" i="31"/>
  <c r="Y249" i="31" s="1"/>
  <c r="Q107" i="45"/>
  <c r="S107" i="45" s="1"/>
  <c r="K107" i="45"/>
  <c r="N107" i="45" s="1"/>
  <c r="Q111" i="45"/>
  <c r="S111" i="45" s="1"/>
  <c r="K111" i="45"/>
  <c r="N111" i="45" s="1"/>
  <c r="X115" i="40"/>
  <c r="K115" i="40"/>
  <c r="O115" i="40" s="1"/>
  <c r="Q115" i="40" s="1"/>
  <c r="T115" i="40"/>
  <c r="V115" i="40" s="1"/>
  <c r="C43" i="32"/>
  <c r="Q139" i="45"/>
  <c r="S139" i="45" s="1"/>
  <c r="K139" i="45"/>
  <c r="N139" i="45" s="1"/>
  <c r="Q143" i="45"/>
  <c r="S143" i="45" s="1"/>
  <c r="K143" i="45"/>
  <c r="N143" i="45" s="1"/>
  <c r="T147" i="40"/>
  <c r="V147" i="40" s="1"/>
  <c r="X147" i="40"/>
  <c r="K147" i="40"/>
  <c r="O147" i="40" s="1"/>
  <c r="Q147" i="40" s="1"/>
  <c r="C75" i="32"/>
  <c r="Q164" i="45"/>
  <c r="S164" i="45" s="1"/>
  <c r="K164" i="45"/>
  <c r="N164" i="45" s="1"/>
  <c r="X168" i="40"/>
  <c r="K168" i="40"/>
  <c r="O168" i="40" s="1"/>
  <c r="Q168" i="40" s="1"/>
  <c r="T168" i="40"/>
  <c r="V168" i="40" s="1"/>
  <c r="Z168" i="40" s="1"/>
  <c r="C96" i="32"/>
  <c r="P322" i="31"/>
  <c r="Y322" i="31" s="1"/>
  <c r="X322" i="31"/>
  <c r="Q180" i="45"/>
  <c r="S180" i="45" s="1"/>
  <c r="K180" i="45"/>
  <c r="N180" i="45" s="1"/>
  <c r="X184" i="40"/>
  <c r="K184" i="40"/>
  <c r="O184" i="40" s="1"/>
  <c r="Q184" i="40" s="1"/>
  <c r="T184" i="40"/>
  <c r="V184" i="40" s="1"/>
  <c r="Z184" i="40" s="1"/>
  <c r="C112" i="32"/>
  <c r="P338" i="31"/>
  <c r="X338" i="31"/>
  <c r="Q196" i="45"/>
  <c r="S196" i="45" s="1"/>
  <c r="K196" i="45"/>
  <c r="N196" i="45" s="1"/>
  <c r="X200" i="40"/>
  <c r="K200" i="40"/>
  <c r="O200" i="40" s="1"/>
  <c r="Q200" i="40" s="1"/>
  <c r="T200" i="40"/>
  <c r="V200" i="40" s="1"/>
  <c r="Z200" i="40" s="1"/>
  <c r="C128" i="32"/>
  <c r="X358" i="31"/>
  <c r="P358" i="31"/>
  <c r="Y358" i="31" s="1"/>
  <c r="Q216" i="45"/>
  <c r="S216" i="45" s="1"/>
  <c r="K216" i="45"/>
  <c r="N216" i="45" s="1"/>
  <c r="P366" i="31"/>
  <c r="X366" i="31"/>
  <c r="Q224" i="45"/>
  <c r="S224" i="45" s="1"/>
  <c r="K224" i="45"/>
  <c r="N224" i="45" s="1"/>
  <c r="T228" i="40"/>
  <c r="V228" i="40" s="1"/>
  <c r="K228" i="40"/>
  <c r="O228" i="40" s="1"/>
  <c r="Q228" i="40" s="1"/>
  <c r="X228" i="40"/>
  <c r="C156" i="32"/>
  <c r="P394" i="31"/>
  <c r="X394" i="31"/>
  <c r="P398" i="31"/>
  <c r="X398" i="31"/>
  <c r="Q256" i="45"/>
  <c r="S256" i="45" s="1"/>
  <c r="K256" i="45"/>
  <c r="N256" i="45" s="1"/>
  <c r="T260" i="40"/>
  <c r="V260" i="40" s="1"/>
  <c r="Z260" i="40" s="1"/>
  <c r="K260" i="40"/>
  <c r="O260" i="40" s="1"/>
  <c r="Q260" i="40" s="1"/>
  <c r="X260" i="40"/>
  <c r="C188" i="32"/>
  <c r="P418" i="31"/>
  <c r="X418" i="31"/>
  <c r="Q276" i="45"/>
  <c r="S276" i="45" s="1"/>
  <c r="K276" i="45"/>
  <c r="N276" i="45" s="1"/>
  <c r="T280" i="40"/>
  <c r="V280" i="40" s="1"/>
  <c r="K280" i="40"/>
  <c r="O280" i="40" s="1"/>
  <c r="Q280" i="40" s="1"/>
  <c r="C208" i="32"/>
  <c r="X280" i="40"/>
  <c r="P434" i="31"/>
  <c r="X434" i="31"/>
  <c r="Q292" i="45"/>
  <c r="S292" i="45" s="1"/>
  <c r="K292" i="45"/>
  <c r="N292" i="45" s="1"/>
  <c r="T296" i="40"/>
  <c r="V296" i="40" s="1"/>
  <c r="K296" i="40"/>
  <c r="O296" i="40" s="1"/>
  <c r="Q296" i="40" s="1"/>
  <c r="C224" i="32"/>
  <c r="X296" i="40"/>
  <c r="T662" i="31"/>
  <c r="Q304" i="45"/>
  <c r="S304" i="45" s="1"/>
  <c r="V304" i="45" s="1"/>
  <c r="K304" i="45"/>
  <c r="N304" i="45" s="1"/>
  <c r="Q308" i="45"/>
  <c r="S308" i="45" s="1"/>
  <c r="V308" i="45" s="1"/>
  <c r="K308" i="45"/>
  <c r="N308" i="45" s="1"/>
  <c r="T312" i="40"/>
  <c r="V312" i="40" s="1"/>
  <c r="Z312" i="40" s="1"/>
  <c r="AC312" i="40" s="1"/>
  <c r="K312" i="40"/>
  <c r="O312" i="40" s="1"/>
  <c r="Q312" i="40" s="1"/>
  <c r="C240" i="32"/>
  <c r="X312" i="40"/>
  <c r="P686" i="31"/>
  <c r="X686" i="31"/>
  <c r="Q324" i="45"/>
  <c r="S324" i="45" s="1"/>
  <c r="V324" i="45" s="1"/>
  <c r="K324" i="45"/>
  <c r="N324" i="45" s="1"/>
  <c r="X328" i="40"/>
  <c r="C256" i="32"/>
  <c r="T328" i="40"/>
  <c r="V328" i="40" s="1"/>
  <c r="Z328" i="40" s="1"/>
  <c r="AC328" i="40" s="1"/>
  <c r="K328" i="40"/>
  <c r="O328" i="40" s="1"/>
  <c r="Q328" i="40" s="1"/>
  <c r="Q336" i="45"/>
  <c r="S336" i="45" s="1"/>
  <c r="V336" i="45" s="1"/>
  <c r="K336" i="45"/>
  <c r="N336" i="45" s="1"/>
  <c r="Q340" i="45"/>
  <c r="S340" i="45" s="1"/>
  <c r="V340" i="45" s="1"/>
  <c r="K340" i="45"/>
  <c r="N340" i="45" s="1"/>
  <c r="X344" i="40"/>
  <c r="C272" i="32"/>
  <c r="T344" i="40"/>
  <c r="V344" i="40" s="1"/>
  <c r="Z344" i="40" s="1"/>
  <c r="AC344" i="40" s="1"/>
  <c r="K344" i="40"/>
  <c r="O344" i="40" s="1"/>
  <c r="Q344" i="40" s="1"/>
  <c r="T715" i="31"/>
  <c r="T719" i="31"/>
  <c r="T731" i="31"/>
  <c r="T735" i="31"/>
  <c r="T743" i="31"/>
  <c r="X756" i="31"/>
  <c r="P756" i="31"/>
  <c r="Y756" i="31" s="1"/>
  <c r="K394" i="45"/>
  <c r="N394" i="45" s="1"/>
  <c r="Q394" i="45"/>
  <c r="S394" i="45" s="1"/>
  <c r="V394" i="45" s="1"/>
  <c r="X398" i="40"/>
  <c r="T398" i="40"/>
  <c r="V398" i="40" s="1"/>
  <c r="Z398" i="40" s="1"/>
  <c r="AC398" i="40" s="1"/>
  <c r="K398" i="40"/>
  <c r="O398" i="40" s="1"/>
  <c r="Q398" i="40" s="1"/>
  <c r="C326" i="32"/>
  <c r="X772" i="31"/>
  <c r="P772" i="31"/>
  <c r="Y772" i="31" s="1"/>
  <c r="K410" i="45"/>
  <c r="N410" i="45" s="1"/>
  <c r="Q410" i="45"/>
  <c r="S410" i="45" s="1"/>
  <c r="V410" i="45" s="1"/>
  <c r="X414" i="40"/>
  <c r="T414" i="40"/>
  <c r="V414" i="40" s="1"/>
  <c r="Z414" i="40" s="1"/>
  <c r="AC414" i="40" s="1"/>
  <c r="K414" i="40"/>
  <c r="O414" i="40" s="1"/>
  <c r="Q414" i="40" s="1"/>
  <c r="C342" i="32"/>
  <c r="T780" i="31"/>
  <c r="K422" i="45"/>
  <c r="N422" i="45" s="1"/>
  <c r="Q422" i="45"/>
  <c r="S422" i="45" s="1"/>
  <c r="K426" i="45"/>
  <c r="N426" i="45" s="1"/>
  <c r="Q426" i="45"/>
  <c r="S426" i="45" s="1"/>
  <c r="X430" i="40"/>
  <c r="T430" i="40"/>
  <c r="V430" i="40" s="1"/>
  <c r="K430" i="40"/>
  <c r="O430" i="40" s="1"/>
  <c r="Q430" i="40" s="1"/>
  <c r="C358" i="32"/>
  <c r="X804" i="31"/>
  <c r="P804" i="31"/>
  <c r="Y804" i="31" s="1"/>
  <c r="K442" i="45"/>
  <c r="N442" i="45" s="1"/>
  <c r="Q442" i="45"/>
  <c r="S442" i="45" s="1"/>
  <c r="X446" i="40"/>
  <c r="T446" i="40"/>
  <c r="V446" i="40" s="1"/>
  <c r="K446" i="40"/>
  <c r="O446" i="40" s="1"/>
  <c r="Q446" i="40" s="1"/>
  <c r="C374" i="32"/>
  <c r="K454" i="45"/>
  <c r="N454" i="45" s="1"/>
  <c r="Q454" i="45"/>
  <c r="S454" i="45" s="1"/>
  <c r="Q458" i="45"/>
  <c r="S458" i="45" s="1"/>
  <c r="V458" i="45" s="1"/>
  <c r="K458" i="45"/>
  <c r="N458" i="45" s="1"/>
  <c r="X462" i="40"/>
  <c r="T462" i="40"/>
  <c r="V462" i="40" s="1"/>
  <c r="K462" i="40"/>
  <c r="O462" i="40" s="1"/>
  <c r="Q462" i="40" s="1"/>
  <c r="C390" i="32"/>
  <c r="X836" i="31"/>
  <c r="P836" i="31"/>
  <c r="Y836" i="31" s="1"/>
  <c r="K475" i="45"/>
  <c r="N475" i="45" s="1"/>
  <c r="Q475" i="45"/>
  <c r="S475" i="45" s="1"/>
  <c r="K479" i="45"/>
  <c r="N479" i="45" s="1"/>
  <c r="Q479" i="45"/>
  <c r="S479" i="45" s="1"/>
  <c r="X849" i="31"/>
  <c r="P849" i="31"/>
  <c r="Y849" i="31" s="1"/>
  <c r="K487" i="45"/>
  <c r="N487" i="45" s="1"/>
  <c r="Q487" i="45"/>
  <c r="S487" i="45" s="1"/>
  <c r="X857" i="31"/>
  <c r="P857" i="31"/>
  <c r="Y857" i="31" s="1"/>
  <c r="K495" i="45"/>
  <c r="N495" i="45" s="1"/>
  <c r="Q495" i="45"/>
  <c r="S495" i="45" s="1"/>
  <c r="X865" i="31"/>
  <c r="P865" i="31"/>
  <c r="Y865" i="31" s="1"/>
  <c r="P869" i="31"/>
  <c r="Y869" i="31" s="1"/>
  <c r="X869" i="31"/>
  <c r="K511" i="45"/>
  <c r="N511" i="45" s="1"/>
  <c r="Q511" i="45"/>
  <c r="S511" i="45" s="1"/>
  <c r="P77" i="45"/>
  <c r="R77" i="45" s="1"/>
  <c r="T77" i="45" s="1"/>
  <c r="X77" i="45" s="1"/>
  <c r="U77" i="45" s="1"/>
  <c r="J77" i="45"/>
  <c r="L77" i="45" s="1"/>
  <c r="J80" i="40"/>
  <c r="L80" i="40" s="1"/>
  <c r="N80" i="40" s="1"/>
  <c r="S80" i="40"/>
  <c r="U80" i="40" s="1"/>
  <c r="B8" i="32"/>
  <c r="W80" i="40"/>
  <c r="P88" i="45"/>
  <c r="R88" i="45" s="1"/>
  <c r="T88" i="45" s="1"/>
  <c r="X88" i="45" s="1"/>
  <c r="U88" i="45" s="1"/>
  <c r="J88" i="45"/>
  <c r="L88" i="45" s="1"/>
  <c r="P92" i="45"/>
  <c r="R92" i="45" s="1"/>
  <c r="T92" i="45" s="1"/>
  <c r="X92" i="45" s="1"/>
  <c r="U92" i="45" s="1"/>
  <c r="J92" i="45"/>
  <c r="L92" i="45" s="1"/>
  <c r="P104" i="45"/>
  <c r="R104" i="45" s="1"/>
  <c r="T104" i="45" s="1"/>
  <c r="X104" i="45" s="1"/>
  <c r="U104" i="45" s="1"/>
  <c r="J104" i="45"/>
  <c r="L104" i="45" s="1"/>
  <c r="P108" i="45"/>
  <c r="R108" i="45" s="1"/>
  <c r="T108" i="45" s="1"/>
  <c r="X108" i="45" s="1"/>
  <c r="U108" i="45" s="1"/>
  <c r="J108" i="45"/>
  <c r="L108" i="45" s="1"/>
  <c r="S112" i="40"/>
  <c r="U112" i="40" s="1"/>
  <c r="J112" i="40"/>
  <c r="L112" i="40" s="1"/>
  <c r="N112" i="40" s="1"/>
  <c r="W112" i="40"/>
  <c r="B40" i="32"/>
  <c r="T38" i="31"/>
  <c r="P120" i="45"/>
  <c r="R120" i="45" s="1"/>
  <c r="J120" i="45"/>
  <c r="L120" i="45" s="1"/>
  <c r="P124" i="45"/>
  <c r="R124" i="45" s="1"/>
  <c r="J124" i="45"/>
  <c r="L124" i="45" s="1"/>
  <c r="W128" i="40"/>
  <c r="J128" i="40"/>
  <c r="L128" i="40" s="1"/>
  <c r="N128" i="40" s="1"/>
  <c r="S128" i="40"/>
  <c r="U128" i="40" s="1"/>
  <c r="Y128" i="40" s="1"/>
  <c r="B56" i="32"/>
  <c r="P136" i="45"/>
  <c r="R136" i="45" s="1"/>
  <c r="J136" i="45"/>
  <c r="L136" i="45" s="1"/>
  <c r="P140" i="45"/>
  <c r="R140" i="45" s="1"/>
  <c r="J140" i="45"/>
  <c r="L140" i="45" s="1"/>
  <c r="J144" i="40"/>
  <c r="L144" i="40" s="1"/>
  <c r="N144" i="40" s="1"/>
  <c r="S144" i="40"/>
  <c r="U144" i="40" s="1"/>
  <c r="Y144" i="40" s="1"/>
  <c r="AA144" i="40" s="1"/>
  <c r="AE144" i="40" s="1"/>
  <c r="AB144" i="40" s="1"/>
  <c r="W144" i="40"/>
  <c r="B72" i="32"/>
  <c r="J152" i="40"/>
  <c r="L152" i="40" s="1"/>
  <c r="N152" i="40" s="1"/>
  <c r="S152" i="40"/>
  <c r="U152" i="40" s="1"/>
  <c r="Y152" i="40" s="1"/>
  <c r="AA152" i="40" s="1"/>
  <c r="AE152" i="40" s="1"/>
  <c r="AB152" i="40" s="1"/>
  <c r="W152" i="40"/>
  <c r="B80" i="32"/>
  <c r="P156" i="45"/>
  <c r="R156" i="45" s="1"/>
  <c r="J156" i="45"/>
  <c r="L156" i="45" s="1"/>
  <c r="J160" i="40"/>
  <c r="L160" i="40" s="1"/>
  <c r="N160" i="40" s="1"/>
  <c r="S160" i="40"/>
  <c r="U160" i="40" s="1"/>
  <c r="Y160" i="40" s="1"/>
  <c r="AA160" i="40" s="1"/>
  <c r="AE160" i="40" s="1"/>
  <c r="AB160" i="40" s="1"/>
  <c r="W160" i="40"/>
  <c r="B88" i="32"/>
  <c r="P168" i="45"/>
  <c r="R168" i="45" s="1"/>
  <c r="J168" i="45"/>
  <c r="L168" i="45" s="1"/>
  <c r="P172" i="45"/>
  <c r="R172" i="45" s="1"/>
  <c r="J172" i="45"/>
  <c r="L172" i="45" s="1"/>
  <c r="J176" i="40"/>
  <c r="L176" i="40" s="1"/>
  <c r="N176" i="40" s="1"/>
  <c r="S176" i="40"/>
  <c r="U176" i="40" s="1"/>
  <c r="Y176" i="40" s="1"/>
  <c r="AA176" i="40" s="1"/>
  <c r="AE176" i="40" s="1"/>
  <c r="AB176" i="40" s="1"/>
  <c r="W176" i="40"/>
  <c r="B104" i="32"/>
  <c r="P106" i="31"/>
  <c r="Y106" i="31" s="1"/>
  <c r="X106" i="31"/>
  <c r="P184" i="45"/>
  <c r="R184" i="45" s="1"/>
  <c r="J184" i="45"/>
  <c r="L184" i="45" s="1"/>
  <c r="P188" i="45"/>
  <c r="R188" i="45" s="1"/>
  <c r="J188" i="45"/>
  <c r="L188" i="45" s="1"/>
  <c r="J192" i="40"/>
  <c r="L192" i="40" s="1"/>
  <c r="N192" i="40" s="1"/>
  <c r="S192" i="40"/>
  <c r="U192" i="40" s="1"/>
  <c r="Y192" i="40" s="1"/>
  <c r="AA192" i="40" s="1"/>
  <c r="AE192" i="40" s="1"/>
  <c r="AB192" i="40" s="1"/>
  <c r="W192" i="40"/>
  <c r="B120" i="32"/>
  <c r="P122" i="31"/>
  <c r="Y122" i="31" s="1"/>
  <c r="X122" i="31"/>
  <c r="P200" i="45"/>
  <c r="R200" i="45" s="1"/>
  <c r="J200" i="45"/>
  <c r="L200" i="45" s="1"/>
  <c r="P204" i="45"/>
  <c r="R204" i="45" s="1"/>
  <c r="J204" i="45"/>
  <c r="L204" i="45" s="1"/>
  <c r="T134" i="31"/>
  <c r="S212" i="40"/>
  <c r="U212" i="40" s="1"/>
  <c r="J212" i="40"/>
  <c r="L212" i="40" s="1"/>
  <c r="N212" i="40" s="1"/>
  <c r="W212" i="40"/>
  <c r="B140" i="32"/>
  <c r="P154" i="31"/>
  <c r="Y154" i="31" s="1"/>
  <c r="X154" i="31"/>
  <c r="P232" i="45"/>
  <c r="R232" i="45" s="1"/>
  <c r="T232" i="45" s="1"/>
  <c r="X232" i="45" s="1"/>
  <c r="U232" i="45" s="1"/>
  <c r="J232" i="45"/>
  <c r="L232" i="45" s="1"/>
  <c r="P236" i="45"/>
  <c r="R236" i="45" s="1"/>
  <c r="T236" i="45" s="1"/>
  <c r="X236" i="45" s="1"/>
  <c r="U236" i="45" s="1"/>
  <c r="J236" i="45"/>
  <c r="L236" i="45" s="1"/>
  <c r="P240" i="45"/>
  <c r="R240" i="45" s="1"/>
  <c r="T240" i="45" s="1"/>
  <c r="X240" i="45" s="1"/>
  <c r="U240" i="45" s="1"/>
  <c r="J240" i="45"/>
  <c r="L240" i="45" s="1"/>
  <c r="S244" i="40"/>
  <c r="U244" i="40" s="1"/>
  <c r="J244" i="40"/>
  <c r="L244" i="40" s="1"/>
  <c r="N244" i="40" s="1"/>
  <c r="W244" i="40"/>
  <c r="B172" i="32"/>
  <c r="P186" i="31"/>
  <c r="X186" i="31"/>
  <c r="P264" i="45"/>
  <c r="R264" i="45" s="1"/>
  <c r="T264" i="45" s="1"/>
  <c r="X264" i="45" s="1"/>
  <c r="U264" i="45" s="1"/>
  <c r="J264" i="45"/>
  <c r="L264" i="45" s="1"/>
  <c r="P268" i="45"/>
  <c r="R268" i="45" s="1"/>
  <c r="T268" i="45" s="1"/>
  <c r="X268" i="45" s="1"/>
  <c r="U268" i="45" s="1"/>
  <c r="J268" i="45"/>
  <c r="L268" i="45" s="1"/>
  <c r="S272" i="40"/>
  <c r="U272" i="40" s="1"/>
  <c r="Y272" i="40" s="1"/>
  <c r="AA272" i="40" s="1"/>
  <c r="AE272" i="40" s="1"/>
  <c r="AB272" i="40" s="1"/>
  <c r="J272" i="40"/>
  <c r="L272" i="40" s="1"/>
  <c r="N272" i="40" s="1"/>
  <c r="B200" i="32"/>
  <c r="W272" i="40"/>
  <c r="P280" i="45"/>
  <c r="R280" i="45" s="1"/>
  <c r="T280" i="45" s="1"/>
  <c r="X280" i="45" s="1"/>
  <c r="U280" i="45" s="1"/>
  <c r="J280" i="45"/>
  <c r="L280" i="45" s="1"/>
  <c r="P284" i="45"/>
  <c r="R284" i="45" s="1"/>
  <c r="T284" i="45" s="1"/>
  <c r="X284" i="45" s="1"/>
  <c r="U284" i="45" s="1"/>
  <c r="J284" i="45"/>
  <c r="L284" i="45" s="1"/>
  <c r="S288" i="40"/>
  <c r="U288" i="40" s="1"/>
  <c r="Y288" i="40" s="1"/>
  <c r="AA288" i="40" s="1"/>
  <c r="AE288" i="40" s="1"/>
  <c r="AB288" i="40" s="1"/>
  <c r="J288" i="40"/>
  <c r="L288" i="40" s="1"/>
  <c r="N288" i="40" s="1"/>
  <c r="B216" i="32"/>
  <c r="W288" i="40"/>
  <c r="P442" i="31"/>
  <c r="X442" i="31"/>
  <c r="P446" i="31"/>
  <c r="X446" i="31"/>
  <c r="S304" i="40"/>
  <c r="U304" i="40" s="1"/>
  <c r="Y304" i="40" s="1"/>
  <c r="AA304" i="40" s="1"/>
  <c r="AE304" i="40" s="1"/>
  <c r="AB304" i="40" s="1"/>
  <c r="J304" i="40"/>
  <c r="L304" i="40" s="1"/>
  <c r="N304" i="40" s="1"/>
  <c r="B232" i="32"/>
  <c r="W304" i="40"/>
  <c r="T450" i="31"/>
  <c r="P312" i="45"/>
  <c r="R312" i="45" s="1"/>
  <c r="J312" i="45"/>
  <c r="L312" i="45" s="1"/>
  <c r="P316" i="45"/>
  <c r="R316" i="45" s="1"/>
  <c r="J316" i="45"/>
  <c r="L316" i="45" s="1"/>
  <c r="W320" i="40"/>
  <c r="S320" i="40"/>
  <c r="U320" i="40" s="1"/>
  <c r="Y320" i="40" s="1"/>
  <c r="AA320" i="40" s="1"/>
  <c r="AE320" i="40" s="1"/>
  <c r="AB320" i="40" s="1"/>
  <c r="J320" i="40"/>
  <c r="L320" i="40" s="1"/>
  <c r="N320" i="40" s="1"/>
  <c r="B248" i="32"/>
  <c r="T470" i="31"/>
  <c r="P474" i="31"/>
  <c r="Y474" i="31" s="1"/>
  <c r="X474" i="31"/>
  <c r="P478" i="31"/>
  <c r="X478" i="31"/>
  <c r="W336" i="40"/>
  <c r="S336" i="40"/>
  <c r="U336" i="40" s="1"/>
  <c r="J336" i="40"/>
  <c r="L336" i="40" s="1"/>
  <c r="N336" i="40" s="1"/>
  <c r="B264" i="32"/>
  <c r="T482" i="31"/>
  <c r="P344" i="45"/>
  <c r="R344" i="45" s="1"/>
  <c r="J344" i="45"/>
  <c r="L344" i="45" s="1"/>
  <c r="P348" i="45"/>
  <c r="R348" i="45" s="1"/>
  <c r="J348" i="45"/>
  <c r="L348" i="45" s="1"/>
  <c r="W352" i="40"/>
  <c r="S352" i="40"/>
  <c r="U352" i="40" s="1"/>
  <c r="Y352" i="40" s="1"/>
  <c r="AA352" i="40" s="1"/>
  <c r="AE352" i="40" s="1"/>
  <c r="AB352" i="40" s="1"/>
  <c r="J352" i="40"/>
  <c r="L352" i="40" s="1"/>
  <c r="N352" i="40" s="1"/>
  <c r="B280" i="32"/>
  <c r="P360" i="45"/>
  <c r="R360" i="45" s="1"/>
  <c r="J360" i="45"/>
  <c r="L360" i="45" s="1"/>
  <c r="P364" i="45"/>
  <c r="R364" i="45" s="1"/>
  <c r="J364" i="45"/>
  <c r="L364" i="45" s="1"/>
  <c r="W368" i="40"/>
  <c r="S368" i="40"/>
  <c r="U368" i="40" s="1"/>
  <c r="Y368" i="40" s="1"/>
  <c r="AA368" i="40" s="1"/>
  <c r="AE368" i="40" s="1"/>
  <c r="AB368" i="40" s="1"/>
  <c r="J368" i="40"/>
  <c r="L368" i="40" s="1"/>
  <c r="N368" i="40" s="1"/>
  <c r="B296" i="32"/>
  <c r="P518" i="31"/>
  <c r="Y518" i="31" s="1"/>
  <c r="X518" i="31"/>
  <c r="P376" i="45"/>
  <c r="R376" i="45" s="1"/>
  <c r="J376" i="45"/>
  <c r="L376" i="45" s="1"/>
  <c r="P380" i="45"/>
  <c r="R380" i="45" s="1"/>
  <c r="J380" i="45"/>
  <c r="L380" i="45" s="1"/>
  <c r="W384" i="40"/>
  <c r="S384" i="40"/>
  <c r="U384" i="40" s="1"/>
  <c r="Y384" i="40" s="1"/>
  <c r="AA384" i="40" s="1"/>
  <c r="AE384" i="40" s="1"/>
  <c r="AB384" i="40" s="1"/>
  <c r="AF384" i="40" s="1"/>
  <c r="J384" i="40"/>
  <c r="L384" i="40" s="1"/>
  <c r="N384" i="40" s="1"/>
  <c r="B312" i="32"/>
  <c r="P538" i="31"/>
  <c r="X538" i="31"/>
  <c r="P542" i="31"/>
  <c r="X542" i="31"/>
  <c r="W400" i="40"/>
  <c r="S400" i="40"/>
  <c r="U400" i="40" s="1"/>
  <c r="Y400" i="40" s="1"/>
  <c r="AA400" i="40" s="1"/>
  <c r="AE400" i="40" s="1"/>
  <c r="AB400" i="40" s="1"/>
  <c r="J400" i="40"/>
  <c r="L400" i="40" s="1"/>
  <c r="N400" i="40" s="1"/>
  <c r="B328" i="32"/>
  <c r="P412" i="45"/>
  <c r="R412" i="45" s="1"/>
  <c r="J412" i="45"/>
  <c r="L412" i="45" s="1"/>
  <c r="W416" i="40"/>
  <c r="S416" i="40"/>
  <c r="U416" i="40" s="1"/>
  <c r="Y416" i="40" s="1"/>
  <c r="AA416" i="40" s="1"/>
  <c r="AE416" i="40" s="1"/>
  <c r="AB416" i="40" s="1"/>
  <c r="J416" i="40"/>
  <c r="L416" i="40" s="1"/>
  <c r="N416" i="40" s="1"/>
  <c r="B344" i="32"/>
  <c r="P570" i="31"/>
  <c r="X570" i="31"/>
  <c r="W432" i="40"/>
  <c r="S432" i="40"/>
  <c r="U432" i="40" s="1"/>
  <c r="Y432" i="40" s="1"/>
  <c r="AA432" i="40" s="1"/>
  <c r="AE432" i="40" s="1"/>
  <c r="AB432" i="40" s="1"/>
  <c r="J432" i="40"/>
  <c r="L432" i="40" s="1"/>
  <c r="N432" i="40" s="1"/>
  <c r="B360" i="32"/>
  <c r="P440" i="45"/>
  <c r="R440" i="45" s="1"/>
  <c r="J440" i="45"/>
  <c r="L440" i="45" s="1"/>
  <c r="P444" i="45"/>
  <c r="R444" i="45" s="1"/>
  <c r="J444" i="45"/>
  <c r="L444" i="45" s="1"/>
  <c r="W448" i="40"/>
  <c r="S448" i="40"/>
  <c r="U448" i="40" s="1"/>
  <c r="Y448" i="40" s="1"/>
  <c r="AA448" i="40" s="1"/>
  <c r="AE448" i="40" s="1"/>
  <c r="AB448" i="40" s="1"/>
  <c r="J448" i="40"/>
  <c r="L448" i="40" s="1"/>
  <c r="N448" i="40" s="1"/>
  <c r="B376" i="32"/>
  <c r="P598" i="31"/>
  <c r="X598" i="31"/>
  <c r="P602" i="31"/>
  <c r="X602" i="31"/>
  <c r="P606" i="31"/>
  <c r="X606" i="31"/>
  <c r="W464" i="40"/>
  <c r="S464" i="40"/>
  <c r="U464" i="40" s="1"/>
  <c r="Y464" i="40" s="1"/>
  <c r="AA464" i="40" s="1"/>
  <c r="AE464" i="40" s="1"/>
  <c r="AB464" i="40" s="1"/>
  <c r="J464" i="40"/>
  <c r="L464" i="40" s="1"/>
  <c r="N464" i="40" s="1"/>
  <c r="B392" i="32"/>
  <c r="P618" i="31"/>
  <c r="Y618" i="31" s="1"/>
  <c r="X618" i="31"/>
  <c r="J476" i="45"/>
  <c r="L476" i="45" s="1"/>
  <c r="P476" i="45"/>
  <c r="R476" i="45" s="1"/>
  <c r="W480" i="40"/>
  <c r="S480" i="40"/>
  <c r="U480" i="40" s="1"/>
  <c r="Y480" i="40" s="1"/>
  <c r="AA480" i="40" s="1"/>
  <c r="AE480" i="40" s="1"/>
  <c r="AB480" i="40" s="1"/>
  <c r="J480" i="40"/>
  <c r="L480" i="40" s="1"/>
  <c r="N480" i="40" s="1"/>
  <c r="B408" i="32"/>
  <c r="P634" i="31"/>
  <c r="X634" i="31"/>
  <c r="J492" i="45"/>
  <c r="L492" i="45" s="1"/>
  <c r="P492" i="45"/>
  <c r="R492" i="45" s="1"/>
  <c r="W496" i="40"/>
  <c r="S496" i="40"/>
  <c r="U496" i="40" s="1"/>
  <c r="Y496" i="40" s="1"/>
  <c r="AA496" i="40" s="1"/>
  <c r="AE496" i="40" s="1"/>
  <c r="AB496" i="40" s="1"/>
  <c r="J496" i="40"/>
  <c r="L496" i="40" s="1"/>
  <c r="N496" i="40" s="1"/>
  <c r="B424" i="32"/>
  <c r="J504" i="45"/>
  <c r="L504" i="45" s="1"/>
  <c r="P504" i="45"/>
  <c r="R504" i="45" s="1"/>
  <c r="T504" i="45" s="1"/>
  <c r="X504" i="45" s="1"/>
  <c r="U504" i="45" s="1"/>
  <c r="J508" i="45"/>
  <c r="L508" i="45" s="1"/>
  <c r="P508" i="45"/>
  <c r="R508" i="45" s="1"/>
  <c r="W512" i="40"/>
  <c r="S512" i="40"/>
  <c r="U512" i="40" s="1"/>
  <c r="Y512" i="40" s="1"/>
  <c r="AA512" i="40" s="1"/>
  <c r="AE512" i="40" s="1"/>
  <c r="AB512" i="40" s="1"/>
  <c r="J512" i="40"/>
  <c r="L512" i="40" s="1"/>
  <c r="N512" i="40" s="1"/>
  <c r="B440" i="32"/>
  <c r="T355" i="40"/>
  <c r="V355" i="40" s="1"/>
  <c r="K355" i="40"/>
  <c r="O355" i="40" s="1"/>
  <c r="Q355" i="40" s="1"/>
  <c r="X355" i="40"/>
  <c r="C283" i="32"/>
  <c r="T387" i="40"/>
  <c r="V387" i="40" s="1"/>
  <c r="K387" i="40"/>
  <c r="O387" i="40" s="1"/>
  <c r="Q387" i="40" s="1"/>
  <c r="X387" i="40"/>
  <c r="C315" i="32"/>
  <c r="T419" i="40"/>
  <c r="V419" i="40" s="1"/>
  <c r="K419" i="40"/>
  <c r="O419" i="40" s="1"/>
  <c r="Q419" i="40" s="1"/>
  <c r="X419" i="40"/>
  <c r="C347" i="32"/>
  <c r="T451" i="40"/>
  <c r="V451" i="40" s="1"/>
  <c r="K451" i="40"/>
  <c r="O451" i="40" s="1"/>
  <c r="Q451" i="40" s="1"/>
  <c r="X451" i="40"/>
  <c r="C379" i="32"/>
  <c r="Q384" i="45"/>
  <c r="S384" i="45" s="1"/>
  <c r="K384" i="45"/>
  <c r="N384" i="45" s="1"/>
  <c r="K77" i="40"/>
  <c r="O77" i="40" s="1"/>
  <c r="Q77" i="40" s="1"/>
  <c r="T77" i="40"/>
  <c r="V77" i="40" s="1"/>
  <c r="Z77" i="40" s="1"/>
  <c r="X77" i="40"/>
  <c r="C5" i="32"/>
  <c r="X230" i="31"/>
  <c r="P230" i="31"/>
  <c r="Y230" i="31" s="1"/>
  <c r="Q88" i="45"/>
  <c r="S88" i="45" s="1"/>
  <c r="K88" i="45"/>
  <c r="N88" i="45" s="1"/>
  <c r="P238" i="31"/>
  <c r="Y238" i="31" s="1"/>
  <c r="X238" i="31"/>
  <c r="X246" i="31"/>
  <c r="P246" i="31"/>
  <c r="T104" i="40"/>
  <c r="V104" i="40" s="1"/>
  <c r="Z104" i="40" s="1"/>
  <c r="AC104" i="40" s="1"/>
  <c r="K104" i="40"/>
  <c r="O104" i="40" s="1"/>
  <c r="Q104" i="40" s="1"/>
  <c r="X104" i="40"/>
  <c r="C32" i="32"/>
  <c r="T108" i="40"/>
  <c r="V108" i="40" s="1"/>
  <c r="Z108" i="40" s="1"/>
  <c r="AC108" i="40" s="1"/>
  <c r="K108" i="40"/>
  <c r="O108" i="40" s="1"/>
  <c r="Q108" i="40" s="1"/>
  <c r="X108" i="40"/>
  <c r="C36" i="32"/>
  <c r="X262" i="31"/>
  <c r="P262" i="31"/>
  <c r="Q120" i="45"/>
  <c r="S120" i="45" s="1"/>
  <c r="K120" i="45"/>
  <c r="N120" i="45" s="1"/>
  <c r="P270" i="31"/>
  <c r="Y270" i="31" s="1"/>
  <c r="X270" i="31"/>
  <c r="Q136" i="45"/>
  <c r="S136" i="45" s="1"/>
  <c r="K136" i="45"/>
  <c r="N136" i="45" s="1"/>
  <c r="T140" i="40"/>
  <c r="V140" i="40" s="1"/>
  <c r="Z140" i="40" s="1"/>
  <c r="X140" i="40"/>
  <c r="C68" i="32"/>
  <c r="K140" i="40"/>
  <c r="O140" i="40" s="1"/>
  <c r="Q140" i="40" s="1"/>
  <c r="X294" i="31"/>
  <c r="P294" i="31"/>
  <c r="Q152" i="45"/>
  <c r="S152" i="45" s="1"/>
  <c r="K152" i="45"/>
  <c r="N152" i="45" s="1"/>
  <c r="P302" i="31"/>
  <c r="Y302" i="31" s="1"/>
  <c r="X302" i="31"/>
  <c r="P306" i="31"/>
  <c r="X306" i="31"/>
  <c r="P311" i="31"/>
  <c r="Y311" i="31" s="1"/>
  <c r="X311" i="31"/>
  <c r="K169" i="45"/>
  <c r="N169" i="45" s="1"/>
  <c r="Q169" i="45"/>
  <c r="S169" i="45" s="1"/>
  <c r="V169" i="45" s="1"/>
  <c r="K173" i="40"/>
  <c r="O173" i="40" s="1"/>
  <c r="Q173" i="40" s="1"/>
  <c r="T173" i="40"/>
  <c r="V173" i="40" s="1"/>
  <c r="Z173" i="40" s="1"/>
  <c r="X173" i="40"/>
  <c r="C101" i="32"/>
  <c r="P327" i="31"/>
  <c r="X327" i="31"/>
  <c r="K185" i="45"/>
  <c r="N185" i="45" s="1"/>
  <c r="Q185" i="45"/>
  <c r="S185" i="45" s="1"/>
  <c r="V185" i="45" s="1"/>
  <c r="K189" i="40"/>
  <c r="O189" i="40" s="1"/>
  <c r="Q189" i="40" s="1"/>
  <c r="T189" i="40"/>
  <c r="V189" i="40" s="1"/>
  <c r="Z189" i="40" s="1"/>
  <c r="X189" i="40"/>
  <c r="C117" i="32"/>
  <c r="T335" i="31"/>
  <c r="K201" i="45"/>
  <c r="N201" i="45" s="1"/>
  <c r="Q201" i="45"/>
  <c r="S201" i="45" s="1"/>
  <c r="X205" i="40"/>
  <c r="T205" i="40"/>
  <c r="V205" i="40" s="1"/>
  <c r="K205" i="40"/>
  <c r="O205" i="40" s="1"/>
  <c r="Q205" i="40" s="1"/>
  <c r="C133" i="32"/>
  <c r="T351" i="31"/>
  <c r="P359" i="31"/>
  <c r="X359" i="31"/>
  <c r="K217" i="45"/>
  <c r="N217" i="45" s="1"/>
  <c r="Q217" i="45"/>
  <c r="S217" i="45" s="1"/>
  <c r="V217" i="45" s="1"/>
  <c r="X221" i="40"/>
  <c r="T221" i="40"/>
  <c r="V221" i="40" s="1"/>
  <c r="Z221" i="40" s="1"/>
  <c r="AC221" i="40" s="1"/>
  <c r="K221" i="40"/>
  <c r="O221" i="40" s="1"/>
  <c r="Q221" i="40" s="1"/>
  <c r="C149" i="32"/>
  <c r="P375" i="31"/>
  <c r="Y375" i="31" s="1"/>
  <c r="X375" i="31"/>
  <c r="X713" i="31"/>
  <c r="P713" i="31"/>
  <c r="Y713" i="31" s="1"/>
  <c r="P253" i="31"/>
  <c r="X253" i="31"/>
  <c r="X111" i="40"/>
  <c r="T111" i="40"/>
  <c r="V111" i="40" s="1"/>
  <c r="Z111" i="40" s="1"/>
  <c r="AC111" i="40" s="1"/>
  <c r="K111" i="40"/>
  <c r="O111" i="40" s="1"/>
  <c r="Q111" i="40" s="1"/>
  <c r="C39" i="32"/>
  <c r="P293" i="31"/>
  <c r="X293" i="31"/>
  <c r="Q188" i="45"/>
  <c r="S188" i="45" s="1"/>
  <c r="K188" i="45"/>
  <c r="N188" i="45" s="1"/>
  <c r="T196" i="40"/>
  <c r="V196" i="40" s="1"/>
  <c r="X196" i="40"/>
  <c r="K196" i="40"/>
  <c r="O196" i="40" s="1"/>
  <c r="Q196" i="40" s="1"/>
  <c r="C124" i="32"/>
  <c r="T229" i="31"/>
  <c r="Q91" i="45"/>
  <c r="S91" i="45" s="1"/>
  <c r="V91" i="45" s="1"/>
  <c r="K91" i="45"/>
  <c r="N91" i="45" s="1"/>
  <c r="Q95" i="45"/>
  <c r="S95" i="45" s="1"/>
  <c r="V95" i="45" s="1"/>
  <c r="K95" i="45"/>
  <c r="N95" i="45" s="1"/>
  <c r="X99" i="40"/>
  <c r="K99" i="40"/>
  <c r="O99" i="40" s="1"/>
  <c r="Q99" i="40" s="1"/>
  <c r="T99" i="40"/>
  <c r="V99" i="40" s="1"/>
  <c r="C27" i="32"/>
  <c r="P265" i="31"/>
  <c r="Y265" i="31" s="1"/>
  <c r="X265" i="31"/>
  <c r="Q123" i="45"/>
  <c r="S123" i="45" s="1"/>
  <c r="V123" i="45" s="1"/>
  <c r="K123" i="45"/>
  <c r="N123" i="45" s="1"/>
  <c r="Q127" i="45"/>
  <c r="S127" i="45" s="1"/>
  <c r="V127" i="45" s="1"/>
  <c r="K127" i="45"/>
  <c r="N127" i="45" s="1"/>
  <c r="K131" i="40"/>
  <c r="O131" i="40" s="1"/>
  <c r="Q131" i="40" s="1"/>
  <c r="T131" i="40"/>
  <c r="V131" i="40" s="1"/>
  <c r="X131" i="40"/>
  <c r="C59" i="32"/>
  <c r="T838" i="31"/>
  <c r="T224" i="40"/>
  <c r="V224" i="40" s="1"/>
  <c r="K224" i="40"/>
  <c r="O224" i="40" s="1"/>
  <c r="Q224" i="40" s="1"/>
  <c r="X224" i="40"/>
  <c r="C152" i="32"/>
  <c r="T282" i="40"/>
  <c r="V282" i="40" s="1"/>
  <c r="K282" i="40"/>
  <c r="O282" i="40" s="1"/>
  <c r="Q282" i="40" s="1"/>
  <c r="X282" i="40"/>
  <c r="C210" i="32"/>
  <c r="T321" i="40"/>
  <c r="V321" i="40" s="1"/>
  <c r="K321" i="40"/>
  <c r="O321" i="40" s="1"/>
  <c r="Q321" i="40" s="1"/>
  <c r="C249" i="32"/>
  <c r="X321" i="40"/>
  <c r="T337" i="40"/>
  <c r="V337" i="40" s="1"/>
  <c r="K337" i="40"/>
  <c r="O337" i="40" s="1"/>
  <c r="Q337" i="40" s="1"/>
  <c r="C265" i="32"/>
  <c r="X337" i="40"/>
  <c r="T353" i="40"/>
  <c r="V353" i="40" s="1"/>
  <c r="K353" i="40"/>
  <c r="O353" i="40" s="1"/>
  <c r="Q353" i="40" s="1"/>
  <c r="C281" i="32"/>
  <c r="X353" i="40"/>
  <c r="T369" i="40"/>
  <c r="V369" i="40" s="1"/>
  <c r="K369" i="40"/>
  <c r="O369" i="40" s="1"/>
  <c r="Q369" i="40" s="1"/>
  <c r="X369" i="40"/>
  <c r="C297" i="32"/>
  <c r="S393" i="40"/>
  <c r="U393" i="40" s="1"/>
  <c r="J393" i="40"/>
  <c r="L393" i="40" s="1"/>
  <c r="N393" i="40" s="1"/>
  <c r="W393" i="40"/>
  <c r="B321" i="32"/>
  <c r="S425" i="40"/>
  <c r="U425" i="40" s="1"/>
  <c r="J425" i="40"/>
  <c r="L425" i="40" s="1"/>
  <c r="N425" i="40" s="1"/>
  <c r="W425" i="40"/>
  <c r="B353" i="32"/>
  <c r="S457" i="40"/>
  <c r="U457" i="40" s="1"/>
  <c r="J457" i="40"/>
  <c r="L457" i="40" s="1"/>
  <c r="N457" i="40" s="1"/>
  <c r="W457" i="40"/>
  <c r="B385" i="32"/>
  <c r="S481" i="40"/>
  <c r="U481" i="40" s="1"/>
  <c r="J481" i="40"/>
  <c r="L481" i="40" s="1"/>
  <c r="N481" i="40" s="1"/>
  <c r="W481" i="40"/>
  <c r="B409" i="32"/>
  <c r="S497" i="40"/>
  <c r="U497" i="40" s="1"/>
  <c r="J497" i="40"/>
  <c r="L497" i="40" s="1"/>
  <c r="N497" i="40" s="1"/>
  <c r="W497" i="40"/>
  <c r="B425" i="32"/>
  <c r="S513" i="40"/>
  <c r="U513" i="40" s="1"/>
  <c r="J513" i="40"/>
  <c r="L513" i="40" s="1"/>
  <c r="N513" i="40" s="1"/>
  <c r="W513" i="40"/>
  <c r="B441" i="32"/>
  <c r="T713" i="31"/>
  <c r="P225" i="31"/>
  <c r="X225" i="31"/>
  <c r="Q83" i="45"/>
  <c r="S83" i="45" s="1"/>
  <c r="V83" i="45" s="1"/>
  <c r="K83" i="45"/>
  <c r="N83" i="45" s="1"/>
  <c r="X87" i="40"/>
  <c r="T87" i="40"/>
  <c r="V87" i="40" s="1"/>
  <c r="K87" i="40"/>
  <c r="O87" i="40" s="1"/>
  <c r="Q87" i="40" s="1"/>
  <c r="C15" i="32"/>
  <c r="T237" i="31"/>
  <c r="P241" i="31"/>
  <c r="X241" i="31"/>
  <c r="Q99" i="45"/>
  <c r="S99" i="45" s="1"/>
  <c r="K99" i="45"/>
  <c r="N99" i="45" s="1"/>
  <c r="X103" i="40"/>
  <c r="T103" i="40"/>
  <c r="V103" i="40" s="1"/>
  <c r="Z103" i="40" s="1"/>
  <c r="AC103" i="40" s="1"/>
  <c r="K103" i="40"/>
  <c r="O103" i="40" s="1"/>
  <c r="Q103" i="40" s="1"/>
  <c r="C31" i="32"/>
  <c r="T253" i="31"/>
  <c r="T257" i="31"/>
  <c r="Q115" i="45"/>
  <c r="S115" i="45" s="1"/>
  <c r="K115" i="45"/>
  <c r="N115" i="45" s="1"/>
  <c r="T119" i="40"/>
  <c r="V119" i="40" s="1"/>
  <c r="X119" i="40"/>
  <c r="K119" i="40"/>
  <c r="O119" i="40" s="1"/>
  <c r="Q119" i="40" s="1"/>
  <c r="C47" i="32"/>
  <c r="P273" i="31"/>
  <c r="X273" i="31"/>
  <c r="T277" i="31"/>
  <c r="X135" i="40"/>
  <c r="T135" i="40"/>
  <c r="V135" i="40" s="1"/>
  <c r="K135" i="40"/>
  <c r="O135" i="40" s="1"/>
  <c r="Q135" i="40" s="1"/>
  <c r="C63" i="32"/>
  <c r="P289" i="31"/>
  <c r="X289" i="31"/>
  <c r="Q147" i="45"/>
  <c r="S147" i="45" s="1"/>
  <c r="V147" i="45" s="1"/>
  <c r="K147" i="45"/>
  <c r="N147" i="45" s="1"/>
  <c r="K151" i="40"/>
  <c r="O151" i="40" s="1"/>
  <c r="Q151" i="40" s="1"/>
  <c r="T151" i="40"/>
  <c r="V151" i="40" s="1"/>
  <c r="C79" i="32"/>
  <c r="X151" i="40"/>
  <c r="Q159" i="45"/>
  <c r="S159" i="45" s="1"/>
  <c r="V159" i="45" s="1"/>
  <c r="K159" i="45"/>
  <c r="N159" i="45" s="1"/>
  <c r="X310" i="31"/>
  <c r="P310" i="31"/>
  <c r="Q168" i="45"/>
  <c r="S168" i="45" s="1"/>
  <c r="V168" i="45" s="1"/>
  <c r="K168" i="45"/>
  <c r="N168" i="45" s="1"/>
  <c r="T172" i="40"/>
  <c r="V172" i="40" s="1"/>
  <c r="Z172" i="40" s="1"/>
  <c r="AC172" i="40" s="1"/>
  <c r="X172" i="40"/>
  <c r="C100" i="32"/>
  <c r="K172" i="40"/>
  <c r="O172" i="40" s="1"/>
  <c r="Q172" i="40" s="1"/>
  <c r="X326" i="31"/>
  <c r="P326" i="31"/>
  <c r="Q184" i="45"/>
  <c r="S184" i="45" s="1"/>
  <c r="V184" i="45" s="1"/>
  <c r="K184" i="45"/>
  <c r="N184" i="45" s="1"/>
  <c r="P334" i="31"/>
  <c r="Y334" i="31" s="1"/>
  <c r="X334" i="31"/>
  <c r="T338" i="31"/>
  <c r="X342" i="31"/>
  <c r="P342" i="31"/>
  <c r="Q200" i="45"/>
  <c r="S200" i="45" s="1"/>
  <c r="K200" i="45"/>
  <c r="N200" i="45" s="1"/>
  <c r="T204" i="40"/>
  <c r="V204" i="40" s="1"/>
  <c r="X204" i="40"/>
  <c r="C132" i="32"/>
  <c r="K204" i="40"/>
  <c r="O204" i="40" s="1"/>
  <c r="Q204" i="40" s="1"/>
  <c r="P362" i="31"/>
  <c r="Y362" i="31" s="1"/>
  <c r="X362" i="31"/>
  <c r="Q220" i="45"/>
  <c r="S220" i="45" s="1"/>
  <c r="K220" i="45"/>
  <c r="N220" i="45" s="1"/>
  <c r="Q228" i="45"/>
  <c r="S228" i="45" s="1"/>
  <c r="K228" i="45"/>
  <c r="N228" i="45" s="1"/>
  <c r="Q232" i="45"/>
  <c r="S232" i="45" s="1"/>
  <c r="K232" i="45"/>
  <c r="N232" i="45" s="1"/>
  <c r="T236" i="40"/>
  <c r="V236" i="40" s="1"/>
  <c r="Z236" i="40" s="1"/>
  <c r="K236" i="40"/>
  <c r="O236" i="40" s="1"/>
  <c r="Q236" i="40" s="1"/>
  <c r="X236" i="40"/>
  <c r="C164" i="32"/>
  <c r="T386" i="31"/>
  <c r="X390" i="31"/>
  <c r="P390" i="31"/>
  <c r="Y390" i="31" s="1"/>
  <c r="T394" i="31"/>
  <c r="Q252" i="45"/>
  <c r="S252" i="45" s="1"/>
  <c r="K252" i="45"/>
  <c r="N252" i="45" s="1"/>
  <c r="P402" i="31"/>
  <c r="X402" i="31"/>
  <c r="Q260" i="45"/>
  <c r="S260" i="45" s="1"/>
  <c r="K260" i="45"/>
  <c r="N260" i="45" s="1"/>
  <c r="Q264" i="45"/>
  <c r="S264" i="45" s="1"/>
  <c r="K264" i="45"/>
  <c r="N264" i="45" s="1"/>
  <c r="T268" i="40"/>
  <c r="V268" i="40" s="1"/>
  <c r="Z268" i="40" s="1"/>
  <c r="K268" i="40"/>
  <c r="O268" i="40" s="1"/>
  <c r="Q268" i="40" s="1"/>
  <c r="X268" i="40"/>
  <c r="C196" i="32"/>
  <c r="T418" i="31"/>
  <c r="X422" i="31"/>
  <c r="P422" i="31"/>
  <c r="Q280" i="45"/>
  <c r="S280" i="45" s="1"/>
  <c r="V280" i="45" s="1"/>
  <c r="K280" i="45"/>
  <c r="N280" i="45" s="1"/>
  <c r="T284" i="40"/>
  <c r="V284" i="40" s="1"/>
  <c r="Z284" i="40" s="1"/>
  <c r="AC284" i="40" s="1"/>
  <c r="K284" i="40"/>
  <c r="O284" i="40" s="1"/>
  <c r="Q284" i="40" s="1"/>
  <c r="C212" i="32"/>
  <c r="X284" i="40"/>
  <c r="T434" i="31"/>
  <c r="X438" i="31"/>
  <c r="P438" i="31"/>
  <c r="Q296" i="45"/>
  <c r="S296" i="45" s="1"/>
  <c r="K296" i="45"/>
  <c r="N296" i="45" s="1"/>
  <c r="T300" i="40"/>
  <c r="V300" i="40" s="1"/>
  <c r="K300" i="40"/>
  <c r="O300" i="40" s="1"/>
  <c r="Q300" i="40" s="1"/>
  <c r="C228" i="32"/>
  <c r="X300" i="40"/>
  <c r="T670" i="31"/>
  <c r="P674" i="31"/>
  <c r="X674" i="31"/>
  <c r="Q312" i="45"/>
  <c r="S312" i="45" s="1"/>
  <c r="V312" i="45" s="1"/>
  <c r="K312" i="45"/>
  <c r="N312" i="45" s="1"/>
  <c r="T316" i="40"/>
  <c r="V316" i="40" s="1"/>
  <c r="Z316" i="40" s="1"/>
  <c r="AC316" i="40" s="1"/>
  <c r="K316" i="40"/>
  <c r="O316" i="40" s="1"/>
  <c r="Q316" i="40" s="1"/>
  <c r="C244" i="32"/>
  <c r="X316" i="40"/>
  <c r="T686" i="31"/>
  <c r="P690" i="31"/>
  <c r="X690" i="31"/>
  <c r="Q328" i="45"/>
  <c r="S328" i="45" s="1"/>
  <c r="K328" i="45"/>
  <c r="N328" i="45" s="1"/>
  <c r="X332" i="40"/>
  <c r="C260" i="32"/>
  <c r="T332" i="40"/>
  <c r="V332" i="40" s="1"/>
  <c r="K332" i="40"/>
  <c r="O332" i="40" s="1"/>
  <c r="Q332" i="40" s="1"/>
  <c r="P702" i="31"/>
  <c r="Y702" i="31" s="1"/>
  <c r="X702" i="31"/>
  <c r="P706" i="31"/>
  <c r="Y706" i="31" s="1"/>
  <c r="X706" i="31"/>
  <c r="Q344" i="45"/>
  <c r="S344" i="45" s="1"/>
  <c r="K344" i="45"/>
  <c r="N344" i="45" s="1"/>
  <c r="K349" i="45"/>
  <c r="N349" i="45" s="1"/>
  <c r="Q349" i="45"/>
  <c r="S349" i="45" s="1"/>
  <c r="V349" i="45" s="1"/>
  <c r="K353" i="45"/>
  <c r="N353" i="45" s="1"/>
  <c r="Q353" i="45"/>
  <c r="S353" i="45" s="1"/>
  <c r="V353" i="45" s="1"/>
  <c r="K357" i="45"/>
  <c r="N357" i="45" s="1"/>
  <c r="Q357" i="45"/>
  <c r="S357" i="45" s="1"/>
  <c r="V357" i="45" s="1"/>
  <c r="K361" i="45"/>
  <c r="N361" i="45" s="1"/>
  <c r="Q361" i="45"/>
  <c r="S361" i="45" s="1"/>
  <c r="V361" i="45" s="1"/>
  <c r="K365" i="45"/>
  <c r="N365" i="45" s="1"/>
  <c r="Q365" i="45"/>
  <c r="S365" i="45" s="1"/>
  <c r="V365" i="45" s="1"/>
  <c r="K369" i="45"/>
  <c r="N369" i="45" s="1"/>
  <c r="Q369" i="45"/>
  <c r="S369" i="45" s="1"/>
  <c r="V369" i="45" s="1"/>
  <c r="K373" i="45"/>
  <c r="N373" i="45" s="1"/>
  <c r="Q373" i="45"/>
  <c r="S373" i="45" s="1"/>
  <c r="V373" i="45" s="1"/>
  <c r="K377" i="45"/>
  <c r="N377" i="45" s="1"/>
  <c r="Q377" i="45"/>
  <c r="S377" i="45" s="1"/>
  <c r="V377" i="45" s="1"/>
  <c r="K381" i="45"/>
  <c r="N381" i="45" s="1"/>
  <c r="Q381" i="45"/>
  <c r="S381" i="45" s="1"/>
  <c r="V381" i="45" s="1"/>
  <c r="X386" i="40"/>
  <c r="T386" i="40"/>
  <c r="V386" i="40" s="1"/>
  <c r="Z386" i="40" s="1"/>
  <c r="AC386" i="40" s="1"/>
  <c r="K386" i="40"/>
  <c r="O386" i="40" s="1"/>
  <c r="Q386" i="40" s="1"/>
  <c r="C314" i="32"/>
  <c r="X760" i="31"/>
  <c r="P760" i="31"/>
  <c r="K398" i="45"/>
  <c r="N398" i="45" s="1"/>
  <c r="Q398" i="45"/>
  <c r="S398" i="45" s="1"/>
  <c r="V398" i="45" s="1"/>
  <c r="X402" i="40"/>
  <c r="T402" i="40"/>
  <c r="V402" i="40" s="1"/>
  <c r="Z402" i="40" s="1"/>
  <c r="AC402" i="40" s="1"/>
  <c r="K402" i="40"/>
  <c r="O402" i="40" s="1"/>
  <c r="Q402" i="40" s="1"/>
  <c r="C330" i="32"/>
  <c r="X776" i="31"/>
  <c r="P776" i="31"/>
  <c r="K414" i="45"/>
  <c r="N414" i="45" s="1"/>
  <c r="Q414" i="45"/>
  <c r="S414" i="45" s="1"/>
  <c r="V414" i="45" s="1"/>
  <c r="X418" i="40"/>
  <c r="T418" i="40"/>
  <c r="V418" i="40" s="1"/>
  <c r="Z418" i="40" s="1"/>
  <c r="AC418" i="40" s="1"/>
  <c r="K418" i="40"/>
  <c r="O418" i="40" s="1"/>
  <c r="Q418" i="40" s="1"/>
  <c r="C346" i="32"/>
  <c r="X788" i="31"/>
  <c r="P788" i="31"/>
  <c r="Y788" i="31" s="1"/>
  <c r="X792" i="31"/>
  <c r="P792" i="31"/>
  <c r="K430" i="45"/>
  <c r="N430" i="45" s="1"/>
  <c r="Q430" i="45"/>
  <c r="S430" i="45" s="1"/>
  <c r="V430" i="45" s="1"/>
  <c r="X434" i="40"/>
  <c r="T434" i="40"/>
  <c r="V434" i="40" s="1"/>
  <c r="Z434" i="40" s="1"/>
  <c r="AC434" i="40" s="1"/>
  <c r="K434" i="40"/>
  <c r="O434" i="40" s="1"/>
  <c r="Q434" i="40" s="1"/>
  <c r="C362" i="32"/>
  <c r="X808" i="31"/>
  <c r="P808" i="31"/>
  <c r="K446" i="45"/>
  <c r="N446" i="45" s="1"/>
  <c r="Q446" i="45"/>
  <c r="S446" i="45" s="1"/>
  <c r="X450" i="40"/>
  <c r="T450" i="40"/>
  <c r="V450" i="40" s="1"/>
  <c r="Z450" i="40" s="1"/>
  <c r="AC450" i="40" s="1"/>
  <c r="K450" i="40"/>
  <c r="O450" i="40" s="1"/>
  <c r="Q450" i="40" s="1"/>
  <c r="C378" i="32"/>
  <c r="X824" i="31"/>
  <c r="P824" i="31"/>
  <c r="Q462" i="45"/>
  <c r="S462" i="45" s="1"/>
  <c r="V462" i="45" s="1"/>
  <c r="K462" i="45"/>
  <c r="N462" i="45" s="1"/>
  <c r="X466" i="40"/>
  <c r="T466" i="40"/>
  <c r="V466" i="40" s="1"/>
  <c r="Z466" i="40" s="1"/>
  <c r="AC466" i="40" s="1"/>
  <c r="K466" i="40"/>
  <c r="O466" i="40" s="1"/>
  <c r="Q466" i="40" s="1"/>
  <c r="C394" i="32"/>
  <c r="X845" i="31"/>
  <c r="P845" i="31"/>
  <c r="Y845" i="31" s="1"/>
  <c r="X861" i="31"/>
  <c r="P861" i="31"/>
  <c r="Y861" i="31" s="1"/>
  <c r="K507" i="45"/>
  <c r="N507" i="45" s="1"/>
  <c r="Q507" i="45"/>
  <c r="S507" i="45" s="1"/>
  <c r="V507" i="45" s="1"/>
  <c r="X877" i="31"/>
  <c r="P877" i="31"/>
  <c r="Y877" i="31" s="1"/>
  <c r="X881" i="31"/>
  <c r="P881" i="31"/>
  <c r="P3" i="31"/>
  <c r="X3" i="31"/>
  <c r="P80" i="45"/>
  <c r="R80" i="45" s="1"/>
  <c r="J80" i="45"/>
  <c r="L80" i="45" s="1"/>
  <c r="W84" i="40"/>
  <c r="S84" i="40"/>
  <c r="U84" i="40" s="1"/>
  <c r="J84" i="40"/>
  <c r="L84" i="40" s="1"/>
  <c r="N84" i="40" s="1"/>
  <c r="B12" i="32"/>
  <c r="T14" i="31"/>
  <c r="P18" i="31"/>
  <c r="X18" i="31"/>
  <c r="S96" i="40"/>
  <c r="U96" i="40" s="1"/>
  <c r="Y96" i="40" s="1"/>
  <c r="AA96" i="40" s="1"/>
  <c r="AE96" i="40" s="1"/>
  <c r="AB96" i="40" s="1"/>
  <c r="J96" i="40"/>
  <c r="L96" i="40" s="1"/>
  <c r="N96" i="40" s="1"/>
  <c r="W96" i="40"/>
  <c r="B24" i="32"/>
  <c r="S100" i="40"/>
  <c r="U100" i="40" s="1"/>
  <c r="Y100" i="40" s="1"/>
  <c r="AA100" i="40" s="1"/>
  <c r="AE100" i="40" s="1"/>
  <c r="AB100" i="40" s="1"/>
  <c r="J100" i="40"/>
  <c r="L100" i="40" s="1"/>
  <c r="N100" i="40" s="1"/>
  <c r="W100" i="40"/>
  <c r="B28" i="32"/>
  <c r="T30" i="31"/>
  <c r="P34" i="31"/>
  <c r="X34" i="31"/>
  <c r="P112" i="45"/>
  <c r="R112" i="45" s="1"/>
  <c r="J112" i="45"/>
  <c r="L112" i="45" s="1"/>
  <c r="S116" i="40"/>
  <c r="U116" i="40" s="1"/>
  <c r="Y116" i="40" s="1"/>
  <c r="AA116" i="40" s="1"/>
  <c r="AE116" i="40" s="1"/>
  <c r="AB116" i="40" s="1"/>
  <c r="J116" i="40"/>
  <c r="L116" i="40" s="1"/>
  <c r="N116" i="40" s="1"/>
  <c r="W116" i="40"/>
  <c r="B44" i="32"/>
  <c r="T42" i="31"/>
  <c r="T46" i="31"/>
  <c r="P50" i="31"/>
  <c r="X50" i="31"/>
  <c r="P128" i="45"/>
  <c r="R128" i="45" s="1"/>
  <c r="T128" i="45" s="1"/>
  <c r="X128" i="45" s="1"/>
  <c r="U128" i="45" s="1"/>
  <c r="J128" i="45"/>
  <c r="L128" i="45" s="1"/>
  <c r="S132" i="40"/>
  <c r="U132" i="40" s="1"/>
  <c r="W132" i="40"/>
  <c r="J132" i="40"/>
  <c r="L132" i="40" s="1"/>
  <c r="N132" i="40" s="1"/>
  <c r="B60" i="32"/>
  <c r="T62" i="31"/>
  <c r="P66" i="31"/>
  <c r="X66" i="31"/>
  <c r="P144" i="45"/>
  <c r="R144" i="45" s="1"/>
  <c r="T144" i="45" s="1"/>
  <c r="X144" i="45" s="1"/>
  <c r="U144" i="45" s="1"/>
  <c r="J144" i="45"/>
  <c r="L144" i="45" s="1"/>
  <c r="W148" i="40"/>
  <c r="J148" i="40"/>
  <c r="L148" i="40" s="1"/>
  <c r="N148" i="40" s="1"/>
  <c r="S148" i="40"/>
  <c r="U148" i="40" s="1"/>
  <c r="B76" i="32"/>
  <c r="P152" i="45"/>
  <c r="R152" i="45" s="1"/>
  <c r="T152" i="45" s="1"/>
  <c r="X152" i="45" s="1"/>
  <c r="U152" i="45" s="1"/>
  <c r="J152" i="45"/>
  <c r="L152" i="45" s="1"/>
  <c r="P82" i="31"/>
  <c r="X82" i="31"/>
  <c r="P160" i="45"/>
  <c r="R160" i="45" s="1"/>
  <c r="T160" i="45" s="1"/>
  <c r="X160" i="45" s="1"/>
  <c r="U160" i="45" s="1"/>
  <c r="J160" i="45"/>
  <c r="L160" i="45" s="1"/>
  <c r="W164" i="40"/>
  <c r="J164" i="40"/>
  <c r="L164" i="40" s="1"/>
  <c r="N164" i="40" s="1"/>
  <c r="S164" i="40"/>
  <c r="U164" i="40" s="1"/>
  <c r="Y164" i="40" s="1"/>
  <c r="AA164" i="40" s="1"/>
  <c r="AE164" i="40" s="1"/>
  <c r="AB164" i="40" s="1"/>
  <c r="B92" i="32"/>
  <c r="T94" i="31"/>
  <c r="P98" i="31"/>
  <c r="Y98" i="31" s="1"/>
  <c r="X98" i="31"/>
  <c r="P176" i="45"/>
  <c r="R176" i="45" s="1"/>
  <c r="T176" i="45" s="1"/>
  <c r="X176" i="45" s="1"/>
  <c r="U176" i="45" s="1"/>
  <c r="J176" i="45"/>
  <c r="L176" i="45" s="1"/>
  <c r="W180" i="40"/>
  <c r="J180" i="40"/>
  <c r="L180" i="40" s="1"/>
  <c r="N180" i="40" s="1"/>
  <c r="S180" i="40"/>
  <c r="U180" i="40" s="1"/>
  <c r="Y180" i="40" s="1"/>
  <c r="B108" i="32"/>
  <c r="P114" i="31"/>
  <c r="Y114" i="31" s="1"/>
  <c r="X114" i="31"/>
  <c r="P192" i="45"/>
  <c r="R192" i="45" s="1"/>
  <c r="T192" i="45" s="1"/>
  <c r="X192" i="45" s="1"/>
  <c r="U192" i="45" s="1"/>
  <c r="J192" i="45"/>
  <c r="L192" i="45" s="1"/>
  <c r="W196" i="40"/>
  <c r="J196" i="40"/>
  <c r="L196" i="40" s="1"/>
  <c r="N196" i="40" s="1"/>
  <c r="S196" i="40"/>
  <c r="U196" i="40" s="1"/>
  <c r="Y196" i="40" s="1"/>
  <c r="B124" i="32"/>
  <c r="T126" i="31"/>
  <c r="P130" i="31"/>
  <c r="X130" i="31"/>
  <c r="P208" i="45"/>
  <c r="R208" i="45" s="1"/>
  <c r="T208" i="45" s="1"/>
  <c r="X208" i="45" s="1"/>
  <c r="U208" i="45" s="1"/>
  <c r="J208" i="45"/>
  <c r="L208" i="45" s="1"/>
  <c r="P212" i="45"/>
  <c r="R212" i="45" s="1"/>
  <c r="T212" i="45" s="1"/>
  <c r="X212" i="45" s="1"/>
  <c r="U212" i="45" s="1"/>
  <c r="Y212" i="45" s="1"/>
  <c r="J212" i="45"/>
  <c r="L212" i="45" s="1"/>
  <c r="P142" i="31"/>
  <c r="Y142" i="31" s="1"/>
  <c r="X142" i="31"/>
  <c r="S220" i="40"/>
  <c r="U220" i="40" s="1"/>
  <c r="Y220" i="40" s="1"/>
  <c r="AA220" i="40" s="1"/>
  <c r="AE220" i="40" s="1"/>
  <c r="AB220" i="40" s="1"/>
  <c r="J220" i="40"/>
  <c r="L220" i="40" s="1"/>
  <c r="N220" i="40" s="1"/>
  <c r="W220" i="40"/>
  <c r="B148" i="32"/>
  <c r="P162" i="31"/>
  <c r="X162" i="31"/>
  <c r="X166" i="31"/>
  <c r="P166" i="31"/>
  <c r="P244" i="45"/>
  <c r="R244" i="45" s="1"/>
  <c r="T244" i="45" s="1"/>
  <c r="X244" i="45" s="1"/>
  <c r="U244" i="45" s="1"/>
  <c r="Y244" i="45" s="1"/>
  <c r="J244" i="45"/>
  <c r="L244" i="45" s="1"/>
  <c r="P174" i="31"/>
  <c r="Y174" i="31" s="1"/>
  <c r="X174" i="31"/>
  <c r="S252" i="40"/>
  <c r="U252" i="40" s="1"/>
  <c r="Y252" i="40" s="1"/>
  <c r="AA252" i="40" s="1"/>
  <c r="AE252" i="40" s="1"/>
  <c r="AB252" i="40" s="1"/>
  <c r="J252" i="40"/>
  <c r="L252" i="40" s="1"/>
  <c r="N252" i="40" s="1"/>
  <c r="W252" i="40"/>
  <c r="B180" i="32"/>
  <c r="T186" i="31"/>
  <c r="T190" i="31"/>
  <c r="P194" i="31"/>
  <c r="X194" i="31"/>
  <c r="P272" i="45"/>
  <c r="R272" i="45" s="1"/>
  <c r="T272" i="45" s="1"/>
  <c r="X272" i="45" s="1"/>
  <c r="U272" i="45" s="1"/>
  <c r="J272" i="45"/>
  <c r="L272" i="45" s="1"/>
  <c r="S276" i="40"/>
  <c r="U276" i="40" s="1"/>
  <c r="J276" i="40"/>
  <c r="L276" i="40" s="1"/>
  <c r="N276" i="40" s="1"/>
  <c r="W276" i="40"/>
  <c r="B204" i="32"/>
  <c r="T206" i="31"/>
  <c r="P210" i="31"/>
  <c r="X210" i="31"/>
  <c r="P288" i="45"/>
  <c r="R288" i="45" s="1"/>
  <c r="T288" i="45" s="1"/>
  <c r="X288" i="45" s="1"/>
  <c r="U288" i="45" s="1"/>
  <c r="J288" i="45"/>
  <c r="L288" i="45" s="1"/>
  <c r="S292" i="40"/>
  <c r="U292" i="40" s="1"/>
  <c r="J292" i="40"/>
  <c r="L292" i="40" s="1"/>
  <c r="N292" i="40" s="1"/>
  <c r="W292" i="40"/>
  <c r="B220" i="32"/>
  <c r="T442" i="31"/>
  <c r="P300" i="45"/>
  <c r="R300" i="45" s="1"/>
  <c r="T300" i="45" s="1"/>
  <c r="X300" i="45" s="1"/>
  <c r="U300" i="45" s="1"/>
  <c r="J300" i="45"/>
  <c r="L300" i="45" s="1"/>
  <c r="P304" i="45"/>
  <c r="R304" i="45" s="1"/>
  <c r="T304" i="45" s="1"/>
  <c r="X304" i="45" s="1"/>
  <c r="U304" i="45" s="1"/>
  <c r="Y304" i="45" s="1"/>
  <c r="J304" i="45"/>
  <c r="L304" i="45" s="1"/>
  <c r="S308" i="40"/>
  <c r="U308" i="40" s="1"/>
  <c r="Y308" i="40" s="1"/>
  <c r="AA308" i="40" s="1"/>
  <c r="AE308" i="40" s="1"/>
  <c r="AB308" i="40" s="1"/>
  <c r="J308" i="40"/>
  <c r="L308" i="40" s="1"/>
  <c r="N308" i="40" s="1"/>
  <c r="W308" i="40"/>
  <c r="B236" i="32"/>
  <c r="P462" i="31"/>
  <c r="X462" i="31"/>
  <c r="P320" i="45"/>
  <c r="R320" i="45" s="1"/>
  <c r="T320" i="45" s="1"/>
  <c r="X320" i="45" s="1"/>
  <c r="U320" i="45" s="1"/>
  <c r="J320" i="45"/>
  <c r="L320" i="45" s="1"/>
  <c r="W324" i="40"/>
  <c r="S324" i="40"/>
  <c r="U324" i="40" s="1"/>
  <c r="J324" i="40"/>
  <c r="L324" i="40" s="1"/>
  <c r="N324" i="40" s="1"/>
  <c r="B252" i="32"/>
  <c r="X470" i="31"/>
  <c r="P470" i="31"/>
  <c r="Y470" i="31" s="1"/>
  <c r="T478" i="31"/>
  <c r="P336" i="45"/>
  <c r="R336" i="45" s="1"/>
  <c r="J336" i="45"/>
  <c r="L336" i="45" s="1"/>
  <c r="W340" i="40"/>
  <c r="S340" i="40"/>
  <c r="U340" i="40" s="1"/>
  <c r="J340" i="40"/>
  <c r="L340" i="40" s="1"/>
  <c r="N340" i="40" s="1"/>
  <c r="B268" i="32"/>
  <c r="T490" i="31"/>
  <c r="P494" i="31"/>
  <c r="X494" i="31"/>
  <c r="P352" i="45"/>
  <c r="R352" i="45" s="1"/>
  <c r="T352" i="45" s="1"/>
  <c r="X352" i="45" s="1"/>
  <c r="U352" i="45" s="1"/>
  <c r="J352" i="45"/>
  <c r="L352" i="45" s="1"/>
  <c r="W356" i="40"/>
  <c r="S356" i="40"/>
  <c r="U356" i="40" s="1"/>
  <c r="J356" i="40"/>
  <c r="L356" i="40" s="1"/>
  <c r="N356" i="40" s="1"/>
  <c r="B284" i="32"/>
  <c r="P506" i="31"/>
  <c r="Y506" i="31" s="1"/>
  <c r="X506" i="31"/>
  <c r="P510" i="31"/>
  <c r="X510" i="31"/>
  <c r="W372" i="40"/>
  <c r="S372" i="40"/>
  <c r="U372" i="40" s="1"/>
  <c r="J372" i="40"/>
  <c r="L372" i="40" s="1"/>
  <c r="N372" i="40" s="1"/>
  <c r="B300" i="32"/>
  <c r="T522" i="31"/>
  <c r="P526" i="31"/>
  <c r="X526" i="31"/>
  <c r="P384" i="45"/>
  <c r="R384" i="45" s="1"/>
  <c r="T384" i="45" s="1"/>
  <c r="X384" i="45" s="1"/>
  <c r="U384" i="45" s="1"/>
  <c r="J384" i="45"/>
  <c r="L384" i="45" s="1"/>
  <c r="W388" i="40"/>
  <c r="S388" i="40"/>
  <c r="U388" i="40" s="1"/>
  <c r="Y388" i="40" s="1"/>
  <c r="AA388" i="40" s="1"/>
  <c r="AE388" i="40" s="1"/>
  <c r="AB388" i="40" s="1"/>
  <c r="J388" i="40"/>
  <c r="L388" i="40" s="1"/>
  <c r="N388" i="40" s="1"/>
  <c r="B316" i="32"/>
  <c r="T534" i="31"/>
  <c r="T538" i="31"/>
  <c r="P396" i="45"/>
  <c r="R396" i="45" s="1"/>
  <c r="T396" i="45" s="1"/>
  <c r="X396" i="45" s="1"/>
  <c r="U396" i="45" s="1"/>
  <c r="J396" i="45"/>
  <c r="L396" i="45" s="1"/>
  <c r="P400" i="45"/>
  <c r="R400" i="45" s="1"/>
  <c r="J400" i="45"/>
  <c r="L400" i="45" s="1"/>
  <c r="W404" i="40"/>
  <c r="S404" i="40"/>
  <c r="U404" i="40" s="1"/>
  <c r="J404" i="40"/>
  <c r="L404" i="40" s="1"/>
  <c r="N404" i="40" s="1"/>
  <c r="B332" i="32"/>
  <c r="P408" i="45"/>
  <c r="R408" i="45" s="1"/>
  <c r="T408" i="45" s="1"/>
  <c r="X408" i="45" s="1"/>
  <c r="U408" i="45" s="1"/>
  <c r="J408" i="45"/>
  <c r="L408" i="45" s="1"/>
  <c r="P558" i="31"/>
  <c r="X558" i="31"/>
  <c r="P416" i="45"/>
  <c r="R416" i="45" s="1"/>
  <c r="T416" i="45" s="1"/>
  <c r="X416" i="45" s="1"/>
  <c r="U416" i="45" s="1"/>
  <c r="J416" i="45"/>
  <c r="L416" i="45" s="1"/>
  <c r="W420" i="40"/>
  <c r="S420" i="40"/>
  <c r="U420" i="40" s="1"/>
  <c r="Y420" i="40" s="1"/>
  <c r="AA420" i="40" s="1"/>
  <c r="AE420" i="40" s="1"/>
  <c r="AB420" i="40" s="1"/>
  <c r="J420" i="40"/>
  <c r="L420" i="40" s="1"/>
  <c r="N420" i="40" s="1"/>
  <c r="B348" i="32"/>
  <c r="T570" i="31"/>
  <c r="P428" i="45"/>
  <c r="R428" i="45" s="1"/>
  <c r="T428" i="45" s="1"/>
  <c r="X428" i="45" s="1"/>
  <c r="U428" i="45" s="1"/>
  <c r="J428" i="45"/>
  <c r="L428" i="45" s="1"/>
  <c r="P432" i="45"/>
  <c r="R432" i="45" s="1"/>
  <c r="T432" i="45" s="1"/>
  <c r="X432" i="45" s="1"/>
  <c r="U432" i="45" s="1"/>
  <c r="J432" i="45"/>
  <c r="L432" i="45" s="1"/>
  <c r="W436" i="40"/>
  <c r="S436" i="40"/>
  <c r="U436" i="40" s="1"/>
  <c r="J436" i="40"/>
  <c r="L436" i="40" s="1"/>
  <c r="N436" i="40" s="1"/>
  <c r="B364" i="32"/>
  <c r="T586" i="31"/>
  <c r="P590" i="31"/>
  <c r="X590" i="31"/>
  <c r="P448" i="45"/>
  <c r="R448" i="45" s="1"/>
  <c r="J448" i="45"/>
  <c r="L448" i="45" s="1"/>
  <c r="W452" i="40"/>
  <c r="S452" i="40"/>
  <c r="U452" i="40" s="1"/>
  <c r="J452" i="40"/>
  <c r="L452" i="40" s="1"/>
  <c r="N452" i="40" s="1"/>
  <c r="B380" i="32"/>
  <c r="T598" i="31"/>
  <c r="T602" i="31"/>
  <c r="J460" i="45"/>
  <c r="L460" i="45" s="1"/>
  <c r="P460" i="45"/>
  <c r="R460" i="45" s="1"/>
  <c r="T460" i="45" s="1"/>
  <c r="X460" i="45" s="1"/>
  <c r="U460" i="45" s="1"/>
  <c r="J464" i="45"/>
  <c r="L464" i="45" s="1"/>
  <c r="P464" i="45"/>
  <c r="R464" i="45" s="1"/>
  <c r="W468" i="40"/>
  <c r="S468" i="40"/>
  <c r="U468" i="40" s="1"/>
  <c r="Y468" i="40" s="1"/>
  <c r="AA468" i="40" s="1"/>
  <c r="AE468" i="40" s="1"/>
  <c r="AB468" i="40" s="1"/>
  <c r="J468" i="40"/>
  <c r="L468" i="40" s="1"/>
  <c r="N468" i="40" s="1"/>
  <c r="B396" i="32"/>
  <c r="J472" i="45"/>
  <c r="L472" i="45" s="1"/>
  <c r="P472" i="45"/>
  <c r="R472" i="45" s="1"/>
  <c r="T472" i="45" s="1"/>
  <c r="X472" i="45" s="1"/>
  <c r="U472" i="45" s="1"/>
  <c r="P622" i="31"/>
  <c r="X622" i="31"/>
  <c r="J480" i="45"/>
  <c r="L480" i="45" s="1"/>
  <c r="P480" i="45"/>
  <c r="R480" i="45" s="1"/>
  <c r="T480" i="45" s="1"/>
  <c r="X480" i="45" s="1"/>
  <c r="U480" i="45" s="1"/>
  <c r="W484" i="40"/>
  <c r="S484" i="40"/>
  <c r="U484" i="40" s="1"/>
  <c r="J484" i="40"/>
  <c r="L484" i="40" s="1"/>
  <c r="N484" i="40" s="1"/>
  <c r="B412" i="32"/>
  <c r="T634" i="31"/>
  <c r="P638" i="31"/>
  <c r="X638" i="31"/>
  <c r="J496" i="45"/>
  <c r="L496" i="45" s="1"/>
  <c r="P496" i="45"/>
  <c r="R496" i="45" s="1"/>
  <c r="W500" i="40"/>
  <c r="S500" i="40"/>
  <c r="U500" i="40" s="1"/>
  <c r="J500" i="40"/>
  <c r="L500" i="40" s="1"/>
  <c r="N500" i="40" s="1"/>
  <c r="B428" i="32"/>
  <c r="T650" i="31"/>
  <c r="P654" i="31"/>
  <c r="X654" i="31"/>
  <c r="J512" i="45"/>
  <c r="L512" i="45" s="1"/>
  <c r="P512" i="45"/>
  <c r="R512" i="45" s="1"/>
  <c r="S286" i="40"/>
  <c r="U286" i="40" s="1"/>
  <c r="J286" i="40"/>
  <c r="L286" i="40" s="1"/>
  <c r="N286" i="40" s="1"/>
  <c r="W286" i="40"/>
  <c r="B214" i="32"/>
  <c r="T363" i="40"/>
  <c r="V363" i="40" s="1"/>
  <c r="K363" i="40"/>
  <c r="O363" i="40" s="1"/>
  <c r="Q363" i="40" s="1"/>
  <c r="X363" i="40"/>
  <c r="C291" i="32"/>
  <c r="T395" i="40"/>
  <c r="V395" i="40" s="1"/>
  <c r="K395" i="40"/>
  <c r="O395" i="40" s="1"/>
  <c r="Q395" i="40" s="1"/>
  <c r="X395" i="40"/>
  <c r="C323" i="32"/>
  <c r="T427" i="40"/>
  <c r="V427" i="40" s="1"/>
  <c r="K427" i="40"/>
  <c r="O427" i="40" s="1"/>
  <c r="Q427" i="40" s="1"/>
  <c r="X427" i="40"/>
  <c r="C355" i="32"/>
  <c r="T459" i="40"/>
  <c r="V459" i="40" s="1"/>
  <c r="K459" i="40"/>
  <c r="O459" i="40" s="1"/>
  <c r="Q459" i="40" s="1"/>
  <c r="X459" i="40"/>
  <c r="C387" i="32"/>
  <c r="P750" i="31"/>
  <c r="X750" i="31"/>
  <c r="K77" i="45"/>
  <c r="N77" i="45" s="1"/>
  <c r="Q77" i="45"/>
  <c r="S77" i="45" s="1"/>
  <c r="X80" i="40"/>
  <c r="K80" i="40"/>
  <c r="O80" i="40" s="1"/>
  <c r="Q80" i="40" s="1"/>
  <c r="T80" i="40"/>
  <c r="V80" i="40" s="1"/>
  <c r="Z80" i="40" s="1"/>
  <c r="C8" i="32"/>
  <c r="T234" i="31"/>
  <c r="T92" i="40"/>
  <c r="V92" i="40" s="1"/>
  <c r="Z92" i="40" s="1"/>
  <c r="AC92" i="40" s="1"/>
  <c r="K92" i="40"/>
  <c r="O92" i="40" s="1"/>
  <c r="Q92" i="40" s="1"/>
  <c r="X92" i="40"/>
  <c r="C20" i="32"/>
  <c r="T96" i="40"/>
  <c r="V96" i="40" s="1"/>
  <c r="Z96" i="40" s="1"/>
  <c r="AC96" i="40" s="1"/>
  <c r="K96" i="40"/>
  <c r="O96" i="40" s="1"/>
  <c r="Q96" i="40" s="1"/>
  <c r="X96" i="40"/>
  <c r="C24" i="32"/>
  <c r="T246" i="31"/>
  <c r="Q104" i="45"/>
  <c r="S104" i="45" s="1"/>
  <c r="V104" i="45" s="1"/>
  <c r="K104" i="45"/>
  <c r="N104" i="45" s="1"/>
  <c r="Q108" i="45"/>
  <c r="S108" i="45" s="1"/>
  <c r="K108" i="45"/>
  <c r="N108" i="45" s="1"/>
  <c r="T112" i="40"/>
  <c r="V112" i="40" s="1"/>
  <c r="Z112" i="40" s="1"/>
  <c r="AC112" i="40" s="1"/>
  <c r="K112" i="40"/>
  <c r="O112" i="40" s="1"/>
  <c r="Q112" i="40" s="1"/>
  <c r="X112" i="40"/>
  <c r="C40" i="32"/>
  <c r="T262" i="31"/>
  <c r="P266" i="31"/>
  <c r="Y266" i="31" s="1"/>
  <c r="X266" i="31"/>
  <c r="X237" i="31"/>
  <c r="P237" i="31"/>
  <c r="Y237" i="31" s="1"/>
  <c r="X95" i="40"/>
  <c r="T95" i="40"/>
  <c r="V95" i="40" s="1"/>
  <c r="K95" i="40"/>
  <c r="O95" i="40" s="1"/>
  <c r="Q95" i="40" s="1"/>
  <c r="C23" i="32"/>
  <c r="X281" i="31"/>
  <c r="P281" i="31"/>
  <c r="Y281" i="31" s="1"/>
  <c r="T164" i="40"/>
  <c r="V164" i="40" s="1"/>
  <c r="Z164" i="40" s="1"/>
  <c r="AC164" i="40" s="1"/>
  <c r="X164" i="40"/>
  <c r="K164" i="40"/>
  <c r="O164" i="40" s="1"/>
  <c r="Q164" i="40" s="1"/>
  <c r="C92" i="32"/>
  <c r="Q192" i="45"/>
  <c r="S192" i="45" s="1"/>
  <c r="V192" i="45" s="1"/>
  <c r="K192" i="45"/>
  <c r="N192" i="45" s="1"/>
  <c r="X472" i="40"/>
  <c r="T472" i="40"/>
  <c r="V472" i="40" s="1"/>
  <c r="K472" i="40"/>
  <c r="O472" i="40" s="1"/>
  <c r="Q472" i="40" s="1"/>
  <c r="C400" i="32"/>
  <c r="P838" i="31"/>
  <c r="Y838" i="31" s="1"/>
  <c r="X838" i="31"/>
  <c r="S240" i="40"/>
  <c r="U240" i="40" s="1"/>
  <c r="Y240" i="40" s="1"/>
  <c r="AA240" i="40" s="1"/>
  <c r="AE240" i="40" s="1"/>
  <c r="AB240" i="40" s="1"/>
  <c r="AF240" i="40" s="1"/>
  <c r="J240" i="40"/>
  <c r="L240" i="40" s="1"/>
  <c r="N240" i="40" s="1"/>
  <c r="W240" i="40"/>
  <c r="B168" i="32"/>
  <c r="S310" i="40"/>
  <c r="U310" i="40" s="1"/>
  <c r="Y310" i="40" s="1"/>
  <c r="AA310" i="40" s="1"/>
  <c r="AE310" i="40" s="1"/>
  <c r="AB310" i="40" s="1"/>
  <c r="J310" i="40"/>
  <c r="L310" i="40" s="1"/>
  <c r="N310" i="40" s="1"/>
  <c r="W310" i="40"/>
  <c r="B238" i="32"/>
  <c r="S329" i="40"/>
  <c r="U329" i="40" s="1"/>
  <c r="Y329" i="40" s="1"/>
  <c r="AA329" i="40" s="1"/>
  <c r="AE329" i="40" s="1"/>
  <c r="AB329" i="40" s="1"/>
  <c r="J329" i="40"/>
  <c r="L329" i="40" s="1"/>
  <c r="N329" i="40" s="1"/>
  <c r="W329" i="40"/>
  <c r="B257" i="32"/>
  <c r="S345" i="40"/>
  <c r="U345" i="40" s="1"/>
  <c r="Y345" i="40" s="1"/>
  <c r="AA345" i="40" s="1"/>
  <c r="AE345" i="40" s="1"/>
  <c r="AB345" i="40" s="1"/>
  <c r="J345" i="40"/>
  <c r="L345" i="40" s="1"/>
  <c r="N345" i="40" s="1"/>
  <c r="W345" i="40"/>
  <c r="B273" i="32"/>
  <c r="S361" i="40"/>
  <c r="U361" i="40" s="1"/>
  <c r="Y361" i="40" s="1"/>
  <c r="AA361" i="40" s="1"/>
  <c r="AE361" i="40" s="1"/>
  <c r="AB361" i="40" s="1"/>
  <c r="J361" i="40"/>
  <c r="L361" i="40" s="1"/>
  <c r="N361" i="40" s="1"/>
  <c r="W361" i="40"/>
  <c r="B289" i="32"/>
  <c r="S377" i="40"/>
  <c r="U377" i="40" s="1"/>
  <c r="Y377" i="40" s="1"/>
  <c r="AA377" i="40" s="1"/>
  <c r="AE377" i="40" s="1"/>
  <c r="AB377" i="40" s="1"/>
  <c r="J377" i="40"/>
  <c r="L377" i="40" s="1"/>
  <c r="N377" i="40" s="1"/>
  <c r="W377" i="40"/>
  <c r="B305" i="32"/>
  <c r="S401" i="40"/>
  <c r="U401" i="40" s="1"/>
  <c r="Y401" i="40" s="1"/>
  <c r="AA401" i="40" s="1"/>
  <c r="AE401" i="40" s="1"/>
  <c r="AB401" i="40" s="1"/>
  <c r="J401" i="40"/>
  <c r="L401" i="40" s="1"/>
  <c r="N401" i="40" s="1"/>
  <c r="W401" i="40"/>
  <c r="B329" i="32"/>
  <c r="S433" i="40"/>
  <c r="U433" i="40" s="1"/>
  <c r="Y433" i="40" s="1"/>
  <c r="AA433" i="40" s="1"/>
  <c r="AE433" i="40" s="1"/>
  <c r="AB433" i="40" s="1"/>
  <c r="J433" i="40"/>
  <c r="L433" i="40" s="1"/>
  <c r="N433" i="40" s="1"/>
  <c r="W433" i="40"/>
  <c r="B361" i="32"/>
  <c r="S465" i="40"/>
  <c r="U465" i="40" s="1"/>
  <c r="Y465" i="40" s="1"/>
  <c r="AA465" i="40" s="1"/>
  <c r="AE465" i="40" s="1"/>
  <c r="AB465" i="40" s="1"/>
  <c r="J465" i="40"/>
  <c r="L465" i="40" s="1"/>
  <c r="N465" i="40" s="1"/>
  <c r="W465" i="40"/>
  <c r="B393" i="32"/>
  <c r="T481" i="40"/>
  <c r="V481" i="40" s="1"/>
  <c r="Z481" i="40" s="1"/>
  <c r="AC481" i="40" s="1"/>
  <c r="K481" i="40"/>
  <c r="O481" i="40" s="1"/>
  <c r="Q481" i="40" s="1"/>
  <c r="X481" i="40"/>
  <c r="C409" i="32"/>
  <c r="T497" i="40"/>
  <c r="V497" i="40" s="1"/>
  <c r="Z497" i="40" s="1"/>
  <c r="AC497" i="40" s="1"/>
  <c r="K497" i="40"/>
  <c r="O497" i="40" s="1"/>
  <c r="Q497" i="40" s="1"/>
  <c r="X497" i="40"/>
  <c r="C425" i="32"/>
  <c r="T513" i="40"/>
  <c r="V513" i="40" s="1"/>
  <c r="Z513" i="40" s="1"/>
  <c r="AC513" i="40" s="1"/>
  <c r="K513" i="40"/>
  <c r="O513" i="40" s="1"/>
  <c r="Q513" i="40" s="1"/>
  <c r="X513" i="40"/>
  <c r="C441" i="32"/>
  <c r="T225" i="31"/>
  <c r="P229" i="31"/>
  <c r="Y229" i="31" s="1"/>
  <c r="X229" i="31"/>
  <c r="Q87" i="45"/>
  <c r="S87" i="45" s="1"/>
  <c r="K87" i="45"/>
  <c r="N87" i="45" s="1"/>
  <c r="X91" i="40"/>
  <c r="K91" i="40"/>
  <c r="O91" i="40" s="1"/>
  <c r="Q91" i="40" s="1"/>
  <c r="T91" i="40"/>
  <c r="V91" i="40" s="1"/>
  <c r="C19" i="32"/>
  <c r="T241" i="31"/>
  <c r="X245" i="31"/>
  <c r="P245" i="31"/>
  <c r="Y245" i="31" s="1"/>
  <c r="X107" i="40"/>
  <c r="K107" i="40"/>
  <c r="O107" i="40" s="1"/>
  <c r="Q107" i="40" s="1"/>
  <c r="T107" i="40"/>
  <c r="V107" i="40" s="1"/>
  <c r="C35" i="32"/>
  <c r="P257" i="31"/>
  <c r="Y257" i="31" s="1"/>
  <c r="X257" i="31"/>
  <c r="X261" i="31"/>
  <c r="P261" i="31"/>
  <c r="Y261" i="31" s="1"/>
  <c r="Q119" i="45"/>
  <c r="S119" i="45" s="1"/>
  <c r="V119" i="45" s="1"/>
  <c r="K119" i="45"/>
  <c r="N119" i="45" s="1"/>
  <c r="K123" i="40"/>
  <c r="O123" i="40" s="1"/>
  <c r="Q123" i="40" s="1"/>
  <c r="T123" i="40"/>
  <c r="V123" i="40" s="1"/>
  <c r="X123" i="40"/>
  <c r="C51" i="32"/>
  <c r="T273" i="31"/>
  <c r="Q131" i="45"/>
  <c r="S131" i="45" s="1"/>
  <c r="K131" i="45"/>
  <c r="N131" i="45" s="1"/>
  <c r="Q135" i="45"/>
  <c r="S135" i="45" s="1"/>
  <c r="V135" i="45" s="1"/>
  <c r="K135" i="45"/>
  <c r="N135" i="45" s="1"/>
  <c r="T139" i="40"/>
  <c r="V139" i="40" s="1"/>
  <c r="X139" i="40"/>
  <c r="K139" i="40"/>
  <c r="O139" i="40" s="1"/>
  <c r="Q139" i="40" s="1"/>
  <c r="C67" i="32"/>
  <c r="T289" i="31"/>
  <c r="T293" i="31"/>
  <c r="Q151" i="45"/>
  <c r="S151" i="45" s="1"/>
  <c r="V151" i="45" s="1"/>
  <c r="K151" i="45"/>
  <c r="N151" i="45" s="1"/>
  <c r="X301" i="31"/>
  <c r="P301" i="31"/>
  <c r="Y301" i="31" s="1"/>
  <c r="K159" i="40"/>
  <c r="O159" i="40" s="1"/>
  <c r="Q159" i="40" s="1"/>
  <c r="T159" i="40"/>
  <c r="V159" i="40" s="1"/>
  <c r="Z159" i="40" s="1"/>
  <c r="X159" i="40"/>
  <c r="C87" i="32"/>
  <c r="P305" i="31"/>
  <c r="Y305" i="31" s="1"/>
  <c r="X305" i="31"/>
  <c r="T310" i="31"/>
  <c r="P314" i="31"/>
  <c r="Y314" i="31" s="1"/>
  <c r="X314" i="31"/>
  <c r="Q172" i="45"/>
  <c r="S172" i="45" s="1"/>
  <c r="V172" i="45" s="1"/>
  <c r="K172" i="45"/>
  <c r="N172" i="45" s="1"/>
  <c r="X176" i="40"/>
  <c r="K176" i="40"/>
  <c r="O176" i="40" s="1"/>
  <c r="Q176" i="40" s="1"/>
  <c r="T176" i="40"/>
  <c r="V176" i="40" s="1"/>
  <c r="C104" i="32"/>
  <c r="T326" i="31"/>
  <c r="P330" i="31"/>
  <c r="Y330" i="31" s="1"/>
  <c r="X330" i="31"/>
  <c r="T188" i="40"/>
  <c r="V188" i="40" s="1"/>
  <c r="X188" i="40"/>
  <c r="C116" i="32"/>
  <c r="K188" i="40"/>
  <c r="O188" i="40" s="1"/>
  <c r="Q188" i="40" s="1"/>
  <c r="X192" i="40"/>
  <c r="K192" i="40"/>
  <c r="O192" i="40" s="1"/>
  <c r="Q192" i="40" s="1"/>
  <c r="T192" i="40"/>
  <c r="V192" i="40" s="1"/>
  <c r="Z192" i="40" s="1"/>
  <c r="C120" i="32"/>
  <c r="T342" i="31"/>
  <c r="P346" i="31"/>
  <c r="Y346" i="31" s="1"/>
  <c r="X346" i="31"/>
  <c r="Q204" i="45"/>
  <c r="S204" i="45" s="1"/>
  <c r="V204" i="45" s="1"/>
  <c r="K204" i="45"/>
  <c r="N204" i="45" s="1"/>
  <c r="Q208" i="45"/>
  <c r="S208" i="45" s="1"/>
  <c r="V208" i="45" s="1"/>
  <c r="K208" i="45"/>
  <c r="N208" i="45" s="1"/>
  <c r="T212" i="40"/>
  <c r="V212" i="40" s="1"/>
  <c r="K212" i="40"/>
  <c r="O212" i="40" s="1"/>
  <c r="Q212" i="40" s="1"/>
  <c r="X212" i="40"/>
  <c r="C140" i="32"/>
  <c r="T366" i="31"/>
  <c r="P370" i="31"/>
  <c r="Y370" i="31" s="1"/>
  <c r="X370" i="31"/>
  <c r="X374" i="31"/>
  <c r="P374" i="31"/>
  <c r="Y374" i="31" s="1"/>
  <c r="T378" i="31"/>
  <c r="Q236" i="45"/>
  <c r="S236" i="45" s="1"/>
  <c r="V236" i="45" s="1"/>
  <c r="K236" i="45"/>
  <c r="N236" i="45" s="1"/>
  <c r="Q240" i="45"/>
  <c r="S240" i="45" s="1"/>
  <c r="V240" i="45" s="1"/>
  <c r="K240" i="45"/>
  <c r="N240" i="45" s="1"/>
  <c r="T244" i="40"/>
  <c r="V244" i="40" s="1"/>
  <c r="Z244" i="40" s="1"/>
  <c r="K244" i="40"/>
  <c r="O244" i="40" s="1"/>
  <c r="Q244" i="40" s="1"/>
  <c r="X244" i="40"/>
  <c r="C172" i="32"/>
  <c r="T398" i="31"/>
  <c r="T402" i="31"/>
  <c r="X406" i="31"/>
  <c r="P406" i="31"/>
  <c r="Y406" i="31" s="1"/>
  <c r="P410" i="31"/>
  <c r="Y410" i="31" s="1"/>
  <c r="X410" i="31"/>
  <c r="Q268" i="45"/>
  <c r="S268" i="45" s="1"/>
  <c r="V268" i="45" s="1"/>
  <c r="K268" i="45"/>
  <c r="N268" i="45" s="1"/>
  <c r="T272" i="40"/>
  <c r="V272" i="40" s="1"/>
  <c r="Z272" i="40" s="1"/>
  <c r="K272" i="40"/>
  <c r="O272" i="40" s="1"/>
  <c r="Q272" i="40" s="1"/>
  <c r="C200" i="32"/>
  <c r="X272" i="40"/>
  <c r="T422" i="31"/>
  <c r="P426" i="31"/>
  <c r="Y426" i="31" s="1"/>
  <c r="X426" i="31"/>
  <c r="P430" i="31"/>
  <c r="Y430" i="31" s="1"/>
  <c r="X430" i="31"/>
  <c r="T288" i="40"/>
  <c r="V288" i="40" s="1"/>
  <c r="Z288" i="40" s="1"/>
  <c r="AC288" i="40" s="1"/>
  <c r="K288" i="40"/>
  <c r="O288" i="40" s="1"/>
  <c r="Q288" i="40" s="1"/>
  <c r="C216" i="32"/>
  <c r="X288" i="40"/>
  <c r="T438" i="31"/>
  <c r="P662" i="31"/>
  <c r="Y662" i="31" s="1"/>
  <c r="X662" i="31"/>
  <c r="Q300" i="45"/>
  <c r="S300" i="45" s="1"/>
  <c r="K300" i="45"/>
  <c r="N300" i="45" s="1"/>
  <c r="T304" i="40"/>
  <c r="V304" i="40" s="1"/>
  <c r="K304" i="40"/>
  <c r="O304" i="40" s="1"/>
  <c r="Q304" i="40" s="1"/>
  <c r="C232" i="32"/>
  <c r="X304" i="40"/>
  <c r="T674" i="31"/>
  <c r="P678" i="31"/>
  <c r="Y678" i="31" s="1"/>
  <c r="X678" i="31"/>
  <c r="Q316" i="45"/>
  <c r="S316" i="45" s="1"/>
  <c r="V316" i="45" s="1"/>
  <c r="K316" i="45"/>
  <c r="N316" i="45" s="1"/>
  <c r="X320" i="40"/>
  <c r="C248" i="32"/>
  <c r="T320" i="40"/>
  <c r="V320" i="40" s="1"/>
  <c r="Z320" i="40" s="1"/>
  <c r="AC320" i="40" s="1"/>
  <c r="K320" i="40"/>
  <c r="O320" i="40" s="1"/>
  <c r="Q320" i="40" s="1"/>
  <c r="T690" i="31"/>
  <c r="P694" i="31"/>
  <c r="Y694" i="31" s="1"/>
  <c r="X694" i="31"/>
  <c r="Q332" i="45"/>
  <c r="S332" i="45" s="1"/>
  <c r="V332" i="45" s="1"/>
  <c r="K332" i="45"/>
  <c r="N332" i="45" s="1"/>
  <c r="X336" i="40"/>
  <c r="C264" i="32"/>
  <c r="T336" i="40"/>
  <c r="V336" i="40" s="1"/>
  <c r="K336" i="40"/>
  <c r="O336" i="40" s="1"/>
  <c r="Q336" i="40" s="1"/>
  <c r="P710" i="31"/>
  <c r="Y710" i="31" s="1"/>
  <c r="X710" i="31"/>
  <c r="P715" i="31"/>
  <c r="Y715" i="31" s="1"/>
  <c r="X715" i="31"/>
  <c r="P719" i="31"/>
  <c r="Y719" i="31" s="1"/>
  <c r="X719" i="31"/>
  <c r="X723" i="31"/>
  <c r="P723" i="31"/>
  <c r="Y723" i="31" s="1"/>
  <c r="P731" i="31"/>
  <c r="Y731" i="31" s="1"/>
  <c r="X731" i="31"/>
  <c r="P735" i="31"/>
  <c r="Y735" i="31" s="1"/>
  <c r="X735" i="31"/>
  <c r="P739" i="31"/>
  <c r="Y739" i="31" s="1"/>
  <c r="X739" i="31"/>
  <c r="P743" i="31"/>
  <c r="Y743" i="31" s="1"/>
  <c r="X743" i="31"/>
  <c r="K386" i="45"/>
  <c r="N386" i="45" s="1"/>
  <c r="Q386" i="45"/>
  <c r="S386" i="45" s="1"/>
  <c r="V386" i="45" s="1"/>
  <c r="X390" i="40"/>
  <c r="T390" i="40"/>
  <c r="V390" i="40" s="1"/>
  <c r="K390" i="40"/>
  <c r="O390" i="40" s="1"/>
  <c r="Q390" i="40" s="1"/>
  <c r="C318" i="32"/>
  <c r="T760" i="31"/>
  <c r="P764" i="31"/>
  <c r="Y764" i="31" s="1"/>
  <c r="X764" i="31"/>
  <c r="K402" i="45"/>
  <c r="N402" i="45" s="1"/>
  <c r="Q402" i="45"/>
  <c r="S402" i="45" s="1"/>
  <c r="X406" i="40"/>
  <c r="T406" i="40"/>
  <c r="V406" i="40" s="1"/>
  <c r="Z406" i="40" s="1"/>
  <c r="K406" i="40"/>
  <c r="O406" i="40" s="1"/>
  <c r="Q406" i="40" s="1"/>
  <c r="C334" i="32"/>
  <c r="T776" i="31"/>
  <c r="P780" i="31"/>
  <c r="Y780" i="31" s="1"/>
  <c r="X780" i="31"/>
  <c r="K418" i="45"/>
  <c r="N418" i="45" s="1"/>
  <c r="Q418" i="45"/>
  <c r="S418" i="45" s="1"/>
  <c r="X422" i="40"/>
  <c r="T422" i="40"/>
  <c r="V422" i="40" s="1"/>
  <c r="Z422" i="40" s="1"/>
  <c r="AC422" i="40" s="1"/>
  <c r="K422" i="40"/>
  <c r="O422" i="40" s="1"/>
  <c r="Q422" i="40" s="1"/>
  <c r="C350" i="32"/>
  <c r="T792" i="31"/>
  <c r="P796" i="31"/>
  <c r="Y796" i="31" s="1"/>
  <c r="X796" i="31"/>
  <c r="K434" i="45"/>
  <c r="N434" i="45" s="1"/>
  <c r="Q434" i="45"/>
  <c r="S434" i="45" s="1"/>
  <c r="V434" i="45" s="1"/>
  <c r="X438" i="40"/>
  <c r="T438" i="40"/>
  <c r="V438" i="40" s="1"/>
  <c r="K438" i="40"/>
  <c r="O438" i="40" s="1"/>
  <c r="Q438" i="40" s="1"/>
  <c r="C366" i="32"/>
  <c r="T808" i="31"/>
  <c r="P812" i="31"/>
  <c r="Y812" i="31" s="1"/>
  <c r="X812" i="31"/>
  <c r="K450" i="45"/>
  <c r="N450" i="45" s="1"/>
  <c r="Q450" i="45"/>
  <c r="S450" i="45" s="1"/>
  <c r="V450" i="45" s="1"/>
  <c r="X454" i="40"/>
  <c r="T454" i="40"/>
  <c r="V454" i="40" s="1"/>
  <c r="K454" i="40"/>
  <c r="O454" i="40" s="1"/>
  <c r="Q454" i="40" s="1"/>
  <c r="C382" i="32"/>
  <c r="T824" i="31"/>
  <c r="P828" i="31"/>
  <c r="Y828" i="31" s="1"/>
  <c r="X828" i="31"/>
  <c r="K466" i="45"/>
  <c r="N466" i="45" s="1"/>
  <c r="Q466" i="45"/>
  <c r="S466" i="45" s="1"/>
  <c r="X470" i="40"/>
  <c r="T470" i="40"/>
  <c r="V470" i="40" s="1"/>
  <c r="Z470" i="40" s="1"/>
  <c r="K470" i="40"/>
  <c r="O470" i="40" s="1"/>
  <c r="Q470" i="40" s="1"/>
  <c r="C398" i="32"/>
  <c r="T873" i="31"/>
  <c r="T881" i="31"/>
  <c r="T3" i="31"/>
  <c r="X6" i="31"/>
  <c r="P6" i="31"/>
  <c r="Y6" i="31" s="1"/>
  <c r="P84" i="45"/>
  <c r="R84" i="45" s="1"/>
  <c r="J84" i="45"/>
  <c r="L84" i="45" s="1"/>
  <c r="P14" i="31"/>
  <c r="Y14" i="31" s="1"/>
  <c r="X14" i="31"/>
  <c r="T18" i="31"/>
  <c r="P96" i="45"/>
  <c r="R96" i="45" s="1"/>
  <c r="T96" i="45" s="1"/>
  <c r="X96" i="45" s="1"/>
  <c r="U96" i="45" s="1"/>
  <c r="J96" i="45"/>
  <c r="L96" i="45" s="1"/>
  <c r="P100" i="45"/>
  <c r="R100" i="45" s="1"/>
  <c r="J100" i="45"/>
  <c r="L100" i="45" s="1"/>
  <c r="S104" i="40"/>
  <c r="U104" i="40" s="1"/>
  <c r="Y104" i="40" s="1"/>
  <c r="AA104" i="40" s="1"/>
  <c r="AE104" i="40" s="1"/>
  <c r="AB104" i="40" s="1"/>
  <c r="AF104" i="40" s="1"/>
  <c r="J104" i="40"/>
  <c r="L104" i="40" s="1"/>
  <c r="N104" i="40" s="1"/>
  <c r="W104" i="40"/>
  <c r="B32" i="32"/>
  <c r="T34" i="31"/>
  <c r="X38" i="31"/>
  <c r="P38" i="31"/>
  <c r="Y38" i="31" s="1"/>
  <c r="P116" i="45"/>
  <c r="R116" i="45" s="1"/>
  <c r="J116" i="45"/>
  <c r="L116" i="45" s="1"/>
  <c r="P46" i="31"/>
  <c r="Y46" i="31" s="1"/>
  <c r="X46" i="31"/>
  <c r="T50" i="31"/>
  <c r="X54" i="31"/>
  <c r="P54" i="31"/>
  <c r="Y54" i="31" s="1"/>
  <c r="P132" i="45"/>
  <c r="R132" i="45" s="1"/>
  <c r="J132" i="45"/>
  <c r="L132" i="45" s="1"/>
  <c r="W136" i="40"/>
  <c r="J136" i="40"/>
  <c r="L136" i="40" s="1"/>
  <c r="N136" i="40" s="1"/>
  <c r="S136" i="40"/>
  <c r="U136" i="40" s="1"/>
  <c r="B64" i="32"/>
  <c r="T66" i="31"/>
  <c r="X70" i="31"/>
  <c r="P70" i="31"/>
  <c r="Y70" i="31" s="1"/>
  <c r="P148" i="45"/>
  <c r="R148" i="45" s="1"/>
  <c r="J148" i="45"/>
  <c r="L148" i="45" s="1"/>
  <c r="T82" i="31"/>
  <c r="X86" i="31"/>
  <c r="P86" i="31"/>
  <c r="Y86" i="31" s="1"/>
  <c r="P164" i="45"/>
  <c r="R164" i="45" s="1"/>
  <c r="T164" i="45" s="1"/>
  <c r="X164" i="45" s="1"/>
  <c r="U164" i="45" s="1"/>
  <c r="J164" i="45"/>
  <c r="L164" i="45" s="1"/>
  <c r="J168" i="40"/>
  <c r="L168" i="40" s="1"/>
  <c r="N168" i="40" s="1"/>
  <c r="S168" i="40"/>
  <c r="U168" i="40" s="1"/>
  <c r="W168" i="40"/>
  <c r="B96" i="32"/>
  <c r="X102" i="31"/>
  <c r="P102" i="31"/>
  <c r="Y102" i="31" s="1"/>
  <c r="P180" i="45"/>
  <c r="R180" i="45" s="1"/>
  <c r="T180" i="45" s="1"/>
  <c r="X180" i="45" s="1"/>
  <c r="U180" i="45" s="1"/>
  <c r="J180" i="45"/>
  <c r="L180" i="45" s="1"/>
  <c r="P110" i="31"/>
  <c r="Y110" i="31" s="1"/>
  <c r="X110" i="31"/>
  <c r="X118" i="31"/>
  <c r="P118" i="31"/>
  <c r="Y118" i="31" s="1"/>
  <c r="P196" i="45"/>
  <c r="R196" i="45" s="1"/>
  <c r="J196" i="45"/>
  <c r="L196" i="45" s="1"/>
  <c r="J200" i="40"/>
  <c r="L200" i="40" s="1"/>
  <c r="N200" i="40" s="1"/>
  <c r="S200" i="40"/>
  <c r="U200" i="40" s="1"/>
  <c r="B128" i="32"/>
  <c r="W200" i="40"/>
  <c r="T130" i="31"/>
  <c r="X134" i="31"/>
  <c r="P134" i="31"/>
  <c r="Y134" i="31" s="1"/>
  <c r="P138" i="31"/>
  <c r="Y138" i="31" s="1"/>
  <c r="X138" i="31"/>
  <c r="P216" i="45"/>
  <c r="R216" i="45" s="1"/>
  <c r="T216" i="45" s="1"/>
  <c r="X216" i="45" s="1"/>
  <c r="U216" i="45" s="1"/>
  <c r="J216" i="45"/>
  <c r="L216" i="45" s="1"/>
  <c r="P220" i="45"/>
  <c r="R220" i="45" s="1"/>
  <c r="J220" i="45"/>
  <c r="L220" i="45" s="1"/>
  <c r="P224" i="45"/>
  <c r="R224" i="45" s="1"/>
  <c r="T224" i="45" s="1"/>
  <c r="X224" i="45" s="1"/>
  <c r="U224" i="45" s="1"/>
  <c r="J224" i="45"/>
  <c r="L224" i="45" s="1"/>
  <c r="S228" i="40"/>
  <c r="U228" i="40" s="1"/>
  <c r="Y228" i="40" s="1"/>
  <c r="J228" i="40"/>
  <c r="L228" i="40" s="1"/>
  <c r="N228" i="40" s="1"/>
  <c r="W228" i="40"/>
  <c r="B156" i="32"/>
  <c r="T162" i="31"/>
  <c r="T166" i="31"/>
  <c r="P170" i="31"/>
  <c r="Y170" i="31" s="1"/>
  <c r="X170" i="31"/>
  <c r="P248" i="45"/>
  <c r="R248" i="45" s="1"/>
  <c r="J248" i="45"/>
  <c r="L248" i="45" s="1"/>
  <c r="P252" i="45"/>
  <c r="R252" i="45" s="1"/>
  <c r="T252" i="45" s="1"/>
  <c r="X252" i="45" s="1"/>
  <c r="U252" i="45" s="1"/>
  <c r="J252" i="45"/>
  <c r="L252" i="45" s="1"/>
  <c r="P256" i="45"/>
  <c r="R256" i="45" s="1"/>
  <c r="J256" i="45"/>
  <c r="L256" i="45" s="1"/>
  <c r="S260" i="40"/>
  <c r="U260" i="40" s="1"/>
  <c r="J260" i="40"/>
  <c r="L260" i="40" s="1"/>
  <c r="N260" i="40" s="1"/>
  <c r="W260" i="40"/>
  <c r="B188" i="32"/>
  <c r="T194" i="31"/>
  <c r="X198" i="31"/>
  <c r="P198" i="31"/>
  <c r="Y198" i="31" s="1"/>
  <c r="P276" i="45"/>
  <c r="R276" i="45" s="1"/>
  <c r="T276" i="45" s="1"/>
  <c r="X276" i="45" s="1"/>
  <c r="U276" i="45" s="1"/>
  <c r="J276" i="45"/>
  <c r="L276" i="45" s="1"/>
  <c r="S280" i="40"/>
  <c r="U280" i="40" s="1"/>
  <c r="J280" i="40"/>
  <c r="L280" i="40" s="1"/>
  <c r="N280" i="40" s="1"/>
  <c r="W280" i="40"/>
  <c r="B208" i="32"/>
  <c r="T210" i="31"/>
  <c r="X214" i="31"/>
  <c r="P214" i="31"/>
  <c r="Y214" i="31" s="1"/>
  <c r="P292" i="45"/>
  <c r="R292" i="45" s="1"/>
  <c r="T292" i="45" s="1"/>
  <c r="X292" i="45" s="1"/>
  <c r="U292" i="45" s="1"/>
  <c r="J292" i="45"/>
  <c r="L292" i="45" s="1"/>
  <c r="S296" i="40"/>
  <c r="U296" i="40" s="1"/>
  <c r="Y296" i="40" s="1"/>
  <c r="J296" i="40"/>
  <c r="L296" i="40" s="1"/>
  <c r="N296" i="40" s="1"/>
  <c r="B224" i="32"/>
  <c r="W296" i="40"/>
  <c r="T446" i="31"/>
  <c r="P450" i="31"/>
  <c r="Y450" i="31" s="1"/>
  <c r="X450" i="31"/>
  <c r="P308" i="45"/>
  <c r="R308" i="45" s="1"/>
  <c r="J308" i="45"/>
  <c r="L308" i="45" s="1"/>
  <c r="S312" i="40"/>
  <c r="U312" i="40" s="1"/>
  <c r="Y312" i="40" s="1"/>
  <c r="AA312" i="40" s="1"/>
  <c r="AE312" i="40" s="1"/>
  <c r="AB312" i="40" s="1"/>
  <c r="AF312" i="40" s="1"/>
  <c r="J312" i="40"/>
  <c r="L312" i="40" s="1"/>
  <c r="N312" i="40" s="1"/>
  <c r="W312" i="40"/>
  <c r="B240" i="32"/>
  <c r="T462" i="31"/>
  <c r="P466" i="31"/>
  <c r="Y466" i="31" s="1"/>
  <c r="X466" i="31"/>
  <c r="P324" i="45"/>
  <c r="R324" i="45" s="1"/>
  <c r="J324" i="45"/>
  <c r="L324" i="45" s="1"/>
  <c r="W328" i="40"/>
  <c r="S328" i="40"/>
  <c r="U328" i="40" s="1"/>
  <c r="J328" i="40"/>
  <c r="L328" i="40" s="1"/>
  <c r="N328" i="40" s="1"/>
  <c r="B256" i="32"/>
  <c r="P332" i="45"/>
  <c r="R332" i="45" s="1"/>
  <c r="T332" i="45" s="1"/>
  <c r="X332" i="45" s="1"/>
  <c r="U332" i="45" s="1"/>
  <c r="Y332" i="45" s="1"/>
  <c r="J332" i="45"/>
  <c r="L332" i="45" s="1"/>
  <c r="P482" i="31"/>
  <c r="Y482" i="31" s="1"/>
  <c r="X482" i="31"/>
  <c r="P340" i="45"/>
  <c r="R340" i="45" s="1"/>
  <c r="T340" i="45" s="1"/>
  <c r="X340" i="45" s="1"/>
  <c r="U340" i="45" s="1"/>
  <c r="Y340" i="45" s="1"/>
  <c r="J340" i="45"/>
  <c r="L340" i="45" s="1"/>
  <c r="W344" i="40"/>
  <c r="S344" i="40"/>
  <c r="U344" i="40" s="1"/>
  <c r="Y344" i="40" s="1"/>
  <c r="AA344" i="40" s="1"/>
  <c r="AE344" i="40" s="1"/>
  <c r="AB344" i="40" s="1"/>
  <c r="AF344" i="40" s="1"/>
  <c r="J344" i="40"/>
  <c r="L344" i="40" s="1"/>
  <c r="N344" i="40" s="1"/>
  <c r="B272" i="32"/>
  <c r="T494" i="31"/>
  <c r="P498" i="31"/>
  <c r="Y498" i="31" s="1"/>
  <c r="X498" i="31"/>
  <c r="P356" i="45"/>
  <c r="R356" i="45" s="1"/>
  <c r="J356" i="45"/>
  <c r="L356" i="45" s="1"/>
  <c r="W360" i="40"/>
  <c r="S360" i="40"/>
  <c r="U360" i="40" s="1"/>
  <c r="J360" i="40"/>
  <c r="L360" i="40" s="1"/>
  <c r="N360" i="40" s="1"/>
  <c r="B288" i="32"/>
  <c r="T510" i="31"/>
  <c r="P368" i="45"/>
  <c r="R368" i="45" s="1"/>
  <c r="T368" i="45" s="1"/>
  <c r="X368" i="45" s="1"/>
  <c r="U368" i="45" s="1"/>
  <c r="J368" i="45"/>
  <c r="L368" i="45" s="1"/>
  <c r="P372" i="45"/>
  <c r="R372" i="45" s="1"/>
  <c r="J372" i="45"/>
  <c r="L372" i="45" s="1"/>
  <c r="W376" i="40"/>
  <c r="S376" i="40"/>
  <c r="U376" i="40" s="1"/>
  <c r="J376" i="40"/>
  <c r="L376" i="40" s="1"/>
  <c r="N376" i="40" s="1"/>
  <c r="B304" i="32"/>
  <c r="T526" i="31"/>
  <c r="P530" i="31"/>
  <c r="Y530" i="31" s="1"/>
  <c r="X530" i="31"/>
  <c r="P388" i="45"/>
  <c r="R388" i="45" s="1"/>
  <c r="T388" i="45" s="1"/>
  <c r="X388" i="45" s="1"/>
  <c r="U388" i="45" s="1"/>
  <c r="J388" i="45"/>
  <c r="L388" i="45" s="1"/>
  <c r="W392" i="40"/>
  <c r="S392" i="40"/>
  <c r="U392" i="40" s="1"/>
  <c r="Y392" i="40" s="1"/>
  <c r="J392" i="40"/>
  <c r="L392" i="40" s="1"/>
  <c r="N392" i="40" s="1"/>
  <c r="B320" i="32"/>
  <c r="T542" i="31"/>
  <c r="P546" i="31"/>
  <c r="Y546" i="31" s="1"/>
  <c r="X546" i="31"/>
  <c r="P404" i="45"/>
  <c r="R404" i="45" s="1"/>
  <c r="T404" i="45" s="1"/>
  <c r="X404" i="45" s="1"/>
  <c r="U404" i="45" s="1"/>
  <c r="J404" i="45"/>
  <c r="L404" i="45" s="1"/>
  <c r="W408" i="40"/>
  <c r="S408" i="40"/>
  <c r="U408" i="40" s="1"/>
  <c r="Y408" i="40" s="1"/>
  <c r="AA408" i="40" s="1"/>
  <c r="AE408" i="40" s="1"/>
  <c r="AB408" i="40" s="1"/>
  <c r="J408" i="40"/>
  <c r="L408" i="40" s="1"/>
  <c r="N408" i="40" s="1"/>
  <c r="B336" i="32"/>
  <c r="T558" i="31"/>
  <c r="P562" i="31"/>
  <c r="Y562" i="31" s="1"/>
  <c r="X562" i="31"/>
  <c r="P420" i="45"/>
  <c r="R420" i="45" s="1"/>
  <c r="J420" i="45"/>
  <c r="L420" i="45" s="1"/>
  <c r="W424" i="40"/>
  <c r="S424" i="40"/>
  <c r="U424" i="40" s="1"/>
  <c r="J424" i="40"/>
  <c r="L424" i="40" s="1"/>
  <c r="N424" i="40" s="1"/>
  <c r="B352" i="32"/>
  <c r="P574" i="31"/>
  <c r="Y574" i="31" s="1"/>
  <c r="X574" i="31"/>
  <c r="P578" i="31"/>
  <c r="Y578" i="31" s="1"/>
  <c r="X578" i="31"/>
  <c r="P436" i="45"/>
  <c r="R436" i="45" s="1"/>
  <c r="T436" i="45" s="1"/>
  <c r="X436" i="45" s="1"/>
  <c r="U436" i="45" s="1"/>
  <c r="J436" i="45"/>
  <c r="L436" i="45" s="1"/>
  <c r="W440" i="40"/>
  <c r="S440" i="40"/>
  <c r="U440" i="40" s="1"/>
  <c r="Y440" i="40" s="1"/>
  <c r="J440" i="40"/>
  <c r="L440" i="40" s="1"/>
  <c r="N440" i="40" s="1"/>
  <c r="B368" i="32"/>
  <c r="T590" i="31"/>
  <c r="P594" i="31"/>
  <c r="Y594" i="31" s="1"/>
  <c r="X594" i="31"/>
  <c r="P452" i="45"/>
  <c r="R452" i="45" s="1"/>
  <c r="T452" i="45" s="1"/>
  <c r="X452" i="45" s="1"/>
  <c r="U452" i="45" s="1"/>
  <c r="J452" i="45"/>
  <c r="L452" i="45" s="1"/>
  <c r="W456" i="40"/>
  <c r="S456" i="40"/>
  <c r="U456" i="40" s="1"/>
  <c r="Y456" i="40" s="1"/>
  <c r="AA456" i="40" s="1"/>
  <c r="AE456" i="40" s="1"/>
  <c r="AB456" i="40" s="1"/>
  <c r="J456" i="40"/>
  <c r="L456" i="40" s="1"/>
  <c r="N456" i="40" s="1"/>
  <c r="B384" i="32"/>
  <c r="T606" i="31"/>
  <c r="P610" i="31"/>
  <c r="Y610" i="31" s="1"/>
  <c r="X610" i="31"/>
  <c r="J468" i="45"/>
  <c r="L468" i="45" s="1"/>
  <c r="P468" i="45"/>
  <c r="R468" i="45" s="1"/>
  <c r="T468" i="45" s="1"/>
  <c r="X468" i="45" s="1"/>
  <c r="U468" i="45" s="1"/>
  <c r="W472" i="40"/>
  <c r="S472" i="40"/>
  <c r="U472" i="40" s="1"/>
  <c r="J472" i="40"/>
  <c r="L472" i="40" s="1"/>
  <c r="N472" i="40" s="1"/>
  <c r="B400" i="32"/>
  <c r="T622" i="31"/>
  <c r="P626" i="31"/>
  <c r="Y626" i="31" s="1"/>
  <c r="X626" i="31"/>
  <c r="J484" i="45"/>
  <c r="L484" i="45" s="1"/>
  <c r="P484" i="45"/>
  <c r="R484" i="45" s="1"/>
  <c r="T484" i="45" s="1"/>
  <c r="X484" i="45" s="1"/>
  <c r="U484" i="45" s="1"/>
  <c r="W488" i="40"/>
  <c r="S488" i="40"/>
  <c r="U488" i="40" s="1"/>
  <c r="J488" i="40"/>
  <c r="L488" i="40" s="1"/>
  <c r="N488" i="40" s="1"/>
  <c r="B416" i="32"/>
  <c r="T638" i="31"/>
  <c r="J500" i="45"/>
  <c r="L500" i="45" s="1"/>
  <c r="P500" i="45"/>
  <c r="R500" i="45" s="1"/>
  <c r="T500" i="45" s="1"/>
  <c r="X500" i="45" s="1"/>
  <c r="U500" i="45" s="1"/>
  <c r="W504" i="40"/>
  <c r="S504" i="40"/>
  <c r="U504" i="40" s="1"/>
  <c r="J504" i="40"/>
  <c r="L504" i="40" s="1"/>
  <c r="N504" i="40" s="1"/>
  <c r="B432" i="32"/>
  <c r="T654" i="31"/>
  <c r="P658" i="31"/>
  <c r="Y658" i="31" s="1"/>
  <c r="X658" i="31"/>
  <c r="T290" i="40"/>
  <c r="V290" i="40" s="1"/>
  <c r="Z290" i="40" s="1"/>
  <c r="K290" i="40"/>
  <c r="O290" i="40" s="1"/>
  <c r="Q290" i="40" s="1"/>
  <c r="X290" i="40"/>
  <c r="C218" i="32"/>
  <c r="T371" i="40"/>
  <c r="V371" i="40" s="1"/>
  <c r="Z371" i="40" s="1"/>
  <c r="K371" i="40"/>
  <c r="O371" i="40" s="1"/>
  <c r="Q371" i="40" s="1"/>
  <c r="X371" i="40"/>
  <c r="C299" i="32"/>
  <c r="T403" i="40"/>
  <c r="V403" i="40" s="1"/>
  <c r="Z403" i="40" s="1"/>
  <c r="K403" i="40"/>
  <c r="O403" i="40" s="1"/>
  <c r="Q403" i="40" s="1"/>
  <c r="X403" i="40"/>
  <c r="C331" i="32"/>
  <c r="T435" i="40"/>
  <c r="V435" i="40" s="1"/>
  <c r="Z435" i="40" s="1"/>
  <c r="K435" i="40"/>
  <c r="O435" i="40" s="1"/>
  <c r="Q435" i="40" s="1"/>
  <c r="X435" i="40"/>
  <c r="C363" i="32"/>
  <c r="T467" i="40"/>
  <c r="V467" i="40" s="1"/>
  <c r="Z467" i="40" s="1"/>
  <c r="K467" i="40"/>
  <c r="O467" i="40" s="1"/>
  <c r="Q467" i="40" s="1"/>
  <c r="X467" i="40"/>
  <c r="C395" i="32"/>
  <c r="T750" i="31"/>
  <c r="P223" i="31"/>
  <c r="Y223" i="31" s="1"/>
  <c r="X223" i="31"/>
  <c r="Q80" i="45"/>
  <c r="S80" i="45" s="1"/>
  <c r="K80" i="45"/>
  <c r="N80" i="45" s="1"/>
  <c r="T84" i="40"/>
  <c r="V84" i="40" s="1"/>
  <c r="Z84" i="40" s="1"/>
  <c r="AC84" i="40" s="1"/>
  <c r="X84" i="40"/>
  <c r="K84" i="40"/>
  <c r="O84" i="40" s="1"/>
  <c r="Q84" i="40" s="1"/>
  <c r="C12" i="32"/>
  <c r="P234" i="31"/>
  <c r="Y234" i="31" s="1"/>
  <c r="X234" i="31"/>
  <c r="Q92" i="45"/>
  <c r="S92" i="45" s="1"/>
  <c r="K92" i="45"/>
  <c r="N92" i="45" s="1"/>
  <c r="Q96" i="45"/>
  <c r="S96" i="45" s="1"/>
  <c r="V96" i="45" s="1"/>
  <c r="K96" i="45"/>
  <c r="N96" i="45" s="1"/>
  <c r="T100" i="40"/>
  <c r="V100" i="40" s="1"/>
  <c r="K100" i="40"/>
  <c r="O100" i="40" s="1"/>
  <c r="Q100" i="40" s="1"/>
  <c r="X100" i="40"/>
  <c r="C28" i="32"/>
  <c r="P250" i="31"/>
  <c r="Y250" i="31" s="1"/>
  <c r="X250" i="31"/>
  <c r="P254" i="31"/>
  <c r="Y254" i="31" s="1"/>
  <c r="X254" i="31"/>
  <c r="Q112" i="45"/>
  <c r="S112" i="45" s="1"/>
  <c r="K112" i="45"/>
  <c r="N112" i="45" s="1"/>
  <c r="X116" i="40"/>
  <c r="K116" i="40"/>
  <c r="O116" i="40" s="1"/>
  <c r="Q116" i="40" s="1"/>
  <c r="T116" i="40"/>
  <c r="V116" i="40" s="1"/>
  <c r="C44" i="32"/>
  <c r="Q124" i="45"/>
  <c r="S124" i="45" s="1"/>
  <c r="V124" i="45" s="1"/>
  <c r="K124" i="45"/>
  <c r="N124" i="45" s="1"/>
  <c r="Q128" i="45"/>
  <c r="S128" i="45" s="1"/>
  <c r="K128" i="45"/>
  <c r="N128" i="45" s="1"/>
  <c r="K132" i="40"/>
  <c r="O132" i="40" s="1"/>
  <c r="Q132" i="40" s="1"/>
  <c r="T132" i="40"/>
  <c r="V132" i="40" s="1"/>
  <c r="Z132" i="40" s="1"/>
  <c r="X132" i="40"/>
  <c r="C60" i="32"/>
  <c r="T282" i="31"/>
  <c r="P286" i="31"/>
  <c r="Y286" i="31" s="1"/>
  <c r="X286" i="31"/>
  <c r="Q144" i="45"/>
  <c r="S144" i="45" s="1"/>
  <c r="K144" i="45"/>
  <c r="N144" i="45" s="1"/>
  <c r="T148" i="40"/>
  <c r="V148" i="40" s="1"/>
  <c r="Z148" i="40" s="1"/>
  <c r="X148" i="40"/>
  <c r="C76" i="32"/>
  <c r="K148" i="40"/>
  <c r="O148" i="40" s="1"/>
  <c r="Q148" i="40" s="1"/>
  <c r="T298" i="31"/>
  <c r="Q156" i="45"/>
  <c r="S156" i="45" s="1"/>
  <c r="K156" i="45"/>
  <c r="N156" i="45" s="1"/>
  <c r="X160" i="40"/>
  <c r="K160" i="40"/>
  <c r="O160" i="40" s="1"/>
  <c r="Q160" i="40" s="1"/>
  <c r="T160" i="40"/>
  <c r="V160" i="40" s="1"/>
  <c r="C88" i="32"/>
  <c r="K165" i="40"/>
  <c r="O165" i="40" s="1"/>
  <c r="Q165" i="40" s="1"/>
  <c r="T165" i="40"/>
  <c r="V165" i="40" s="1"/>
  <c r="Z165" i="40" s="1"/>
  <c r="X165" i="40"/>
  <c r="C93" i="32"/>
  <c r="P319" i="31"/>
  <c r="Y319" i="31" s="1"/>
  <c r="X319" i="31"/>
  <c r="K177" i="45"/>
  <c r="N177" i="45" s="1"/>
  <c r="Q177" i="45"/>
  <c r="S177" i="45" s="1"/>
  <c r="V177" i="45" s="1"/>
  <c r="K181" i="40"/>
  <c r="O181" i="40" s="1"/>
  <c r="Q181" i="40" s="1"/>
  <c r="T181" i="40"/>
  <c r="V181" i="40" s="1"/>
  <c r="Z181" i="40" s="1"/>
  <c r="X181" i="40"/>
  <c r="C109" i="32"/>
  <c r="T331" i="31"/>
  <c r="P335" i="31"/>
  <c r="Y335" i="31" s="1"/>
  <c r="X335" i="31"/>
  <c r="K193" i="45"/>
  <c r="N193" i="45" s="1"/>
  <c r="Q193" i="45"/>
  <c r="S193" i="45" s="1"/>
  <c r="V193" i="45" s="1"/>
  <c r="K197" i="40"/>
  <c r="O197" i="40" s="1"/>
  <c r="Q197" i="40" s="1"/>
  <c r="T197" i="40"/>
  <c r="V197" i="40" s="1"/>
  <c r="X197" i="40"/>
  <c r="C125" i="32"/>
  <c r="T343" i="31"/>
  <c r="P351" i="31"/>
  <c r="Y351" i="31" s="1"/>
  <c r="X351" i="31"/>
  <c r="K209" i="45"/>
  <c r="N209" i="45" s="1"/>
  <c r="Q209" i="45"/>
  <c r="S209" i="45" s="1"/>
  <c r="X213" i="40"/>
  <c r="T213" i="40"/>
  <c r="V213" i="40" s="1"/>
  <c r="Z213" i="40" s="1"/>
  <c r="K213" i="40"/>
  <c r="O213" i="40" s="1"/>
  <c r="Q213" i="40" s="1"/>
  <c r="C141" i="32"/>
  <c r="P367" i="31"/>
  <c r="Y367" i="31" s="1"/>
  <c r="X367" i="31"/>
  <c r="K225" i="45"/>
  <c r="N225" i="45" s="1"/>
  <c r="Q225" i="45"/>
  <c r="S225" i="45" s="1"/>
  <c r="X229" i="40"/>
  <c r="T229" i="40"/>
  <c r="V229" i="40" s="1"/>
  <c r="Z229" i="40" s="1"/>
  <c r="K229" i="40"/>
  <c r="O229" i="40" s="1"/>
  <c r="Q229" i="40" s="1"/>
  <c r="C157" i="32"/>
  <c r="P383" i="31"/>
  <c r="X383" i="31"/>
  <c r="K241" i="45"/>
  <c r="N241" i="45" s="1"/>
  <c r="Q241" i="45"/>
  <c r="S241" i="45" s="1"/>
  <c r="X245" i="40"/>
  <c r="T245" i="40"/>
  <c r="V245" i="40" s="1"/>
  <c r="Z245" i="40" s="1"/>
  <c r="K245" i="40"/>
  <c r="O245" i="40" s="1"/>
  <c r="Q245" i="40" s="1"/>
  <c r="C173" i="32"/>
  <c r="T395" i="31"/>
  <c r="K257" i="45"/>
  <c r="N257" i="45" s="1"/>
  <c r="Q257" i="45"/>
  <c r="S257" i="45" s="1"/>
  <c r="V257" i="45" s="1"/>
  <c r="X261" i="40"/>
  <c r="T261" i="40"/>
  <c r="V261" i="40" s="1"/>
  <c r="K261" i="40"/>
  <c r="O261" i="40" s="1"/>
  <c r="Q261" i="40" s="1"/>
  <c r="C189" i="32"/>
  <c r="K273" i="45"/>
  <c r="N273" i="45" s="1"/>
  <c r="Q273" i="45"/>
  <c r="S273" i="45" s="1"/>
  <c r="X277" i="40"/>
  <c r="T277" i="40"/>
  <c r="V277" i="40" s="1"/>
  <c r="Z277" i="40" s="1"/>
  <c r="AC277" i="40" s="1"/>
  <c r="C205" i="32"/>
  <c r="K277" i="40"/>
  <c r="O277" i="40" s="1"/>
  <c r="Q277" i="40" s="1"/>
  <c r="P427" i="31"/>
  <c r="Y427" i="31" s="1"/>
  <c r="X427" i="31"/>
  <c r="P431" i="31"/>
  <c r="X431" i="31"/>
  <c r="K289" i="45"/>
  <c r="N289" i="45" s="1"/>
  <c r="Q289" i="45"/>
  <c r="S289" i="45" s="1"/>
  <c r="V289" i="45" s="1"/>
  <c r="X293" i="40"/>
  <c r="T293" i="40"/>
  <c r="V293" i="40" s="1"/>
  <c r="C221" i="32"/>
  <c r="K293" i="40"/>
  <c r="O293" i="40" s="1"/>
  <c r="Q293" i="40" s="1"/>
  <c r="T439" i="31"/>
  <c r="P663" i="31"/>
  <c r="Y663" i="31" s="1"/>
  <c r="X663" i="31"/>
  <c r="P667" i="31"/>
  <c r="X667" i="31"/>
  <c r="K305" i="45"/>
  <c r="N305" i="45" s="1"/>
  <c r="Q305" i="45"/>
  <c r="S305" i="45" s="1"/>
  <c r="V305" i="45" s="1"/>
  <c r="X309" i="40"/>
  <c r="T309" i="40"/>
  <c r="V309" i="40" s="1"/>
  <c r="C237" i="32"/>
  <c r="K309" i="40"/>
  <c r="O309" i="40" s="1"/>
  <c r="Q309" i="40" s="1"/>
  <c r="K317" i="45"/>
  <c r="N317" i="45" s="1"/>
  <c r="Q317" i="45"/>
  <c r="S317" i="45" s="1"/>
  <c r="P687" i="31"/>
  <c r="Y687" i="31" s="1"/>
  <c r="X687" i="31"/>
  <c r="P691" i="31"/>
  <c r="X691" i="31"/>
  <c r="P699" i="31"/>
  <c r="Y699" i="31" s="1"/>
  <c r="X699" i="31"/>
  <c r="X703" i="31"/>
  <c r="P703" i="31"/>
  <c r="Y703" i="31" s="1"/>
  <c r="P707" i="31"/>
  <c r="X707" i="31"/>
  <c r="P711" i="31"/>
  <c r="Y711" i="31" s="1"/>
  <c r="X711" i="31"/>
  <c r="K350" i="45"/>
  <c r="N350" i="45" s="1"/>
  <c r="Q350" i="45"/>
  <c r="S350" i="45" s="1"/>
  <c r="V350" i="45" s="1"/>
  <c r="X354" i="40"/>
  <c r="T354" i="40"/>
  <c r="V354" i="40" s="1"/>
  <c r="K354" i="40"/>
  <c r="O354" i="40" s="1"/>
  <c r="Q354" i="40" s="1"/>
  <c r="C282" i="32"/>
  <c r="T724" i="31"/>
  <c r="X728" i="31"/>
  <c r="P728" i="31"/>
  <c r="K366" i="45"/>
  <c r="N366" i="45" s="1"/>
  <c r="Q366" i="45"/>
  <c r="S366" i="45" s="1"/>
  <c r="V366" i="45" s="1"/>
  <c r="X370" i="40"/>
  <c r="T370" i="40"/>
  <c r="V370" i="40" s="1"/>
  <c r="K370" i="40"/>
  <c r="O370" i="40" s="1"/>
  <c r="Q370" i="40" s="1"/>
  <c r="C298" i="32"/>
  <c r="T740" i="31"/>
  <c r="X744" i="31"/>
  <c r="P744" i="31"/>
  <c r="K382" i="45"/>
  <c r="N382" i="45" s="1"/>
  <c r="Q382" i="45"/>
  <c r="S382" i="45" s="1"/>
  <c r="Q387" i="45"/>
  <c r="S387" i="45" s="1"/>
  <c r="K387" i="45"/>
  <c r="N387" i="45" s="1"/>
  <c r="X757" i="31"/>
  <c r="P757" i="31"/>
  <c r="Y757" i="31" s="1"/>
  <c r="Q395" i="45"/>
  <c r="S395" i="45" s="1"/>
  <c r="K395" i="45"/>
  <c r="N395" i="45" s="1"/>
  <c r="Q399" i="45"/>
  <c r="S399" i="45" s="1"/>
  <c r="V399" i="45" s="1"/>
  <c r="K399" i="45"/>
  <c r="N399" i="45" s="1"/>
  <c r="Q403" i="45"/>
  <c r="S403" i="45" s="1"/>
  <c r="K403" i="45"/>
  <c r="N403" i="45" s="1"/>
  <c r="Q407" i="45"/>
  <c r="S407" i="45" s="1"/>
  <c r="V407" i="45" s="1"/>
  <c r="K407" i="45"/>
  <c r="N407" i="45" s="1"/>
  <c r="X777" i="31"/>
  <c r="P777" i="31"/>
  <c r="Y777" i="31" s="1"/>
  <c r="Q415" i="45"/>
  <c r="S415" i="45" s="1"/>
  <c r="V415" i="45" s="1"/>
  <c r="K415" i="45"/>
  <c r="N415" i="45" s="1"/>
  <c r="Q419" i="45"/>
  <c r="S419" i="45" s="1"/>
  <c r="K419" i="45"/>
  <c r="N419" i="45" s="1"/>
  <c r="Q427" i="45"/>
  <c r="S427" i="45" s="1"/>
  <c r="V427" i="45" s="1"/>
  <c r="K427" i="45"/>
  <c r="N427" i="45" s="1"/>
  <c r="Q431" i="45"/>
  <c r="S431" i="45" s="1"/>
  <c r="K431" i="45"/>
  <c r="N431" i="45" s="1"/>
  <c r="Q435" i="45"/>
  <c r="S435" i="45" s="1"/>
  <c r="V435" i="45" s="1"/>
  <c r="K435" i="45"/>
  <c r="N435" i="45" s="1"/>
  <c r="Q439" i="45"/>
  <c r="S439" i="45" s="1"/>
  <c r="K439" i="45"/>
  <c r="N439" i="45" s="1"/>
  <c r="X809" i="31"/>
  <c r="P809" i="31"/>
  <c r="Q447" i="45"/>
  <c r="S447" i="45" s="1"/>
  <c r="K447" i="45"/>
  <c r="N447" i="45" s="1"/>
  <c r="Q451" i="45"/>
  <c r="S451" i="45" s="1"/>
  <c r="V451" i="45" s="1"/>
  <c r="K451" i="45"/>
  <c r="N451" i="45" s="1"/>
  <c r="X821" i="31"/>
  <c r="P821" i="31"/>
  <c r="Y821" i="31" s="1"/>
  <c r="K459" i="45"/>
  <c r="N459" i="45" s="1"/>
  <c r="Q459" i="45"/>
  <c r="S459" i="45" s="1"/>
  <c r="K467" i="45"/>
  <c r="N467" i="45" s="1"/>
  <c r="Q467" i="45"/>
  <c r="S467" i="45" s="1"/>
  <c r="V467" i="45" s="1"/>
  <c r="K471" i="45"/>
  <c r="N471" i="45" s="1"/>
  <c r="Q471" i="45"/>
  <c r="S471" i="45" s="1"/>
  <c r="X476" i="40"/>
  <c r="T476" i="40"/>
  <c r="V476" i="40" s="1"/>
  <c r="Z476" i="40" s="1"/>
  <c r="K476" i="40"/>
  <c r="O476" i="40" s="1"/>
  <c r="Q476" i="40" s="1"/>
  <c r="C404" i="32"/>
  <c r="P846" i="31"/>
  <c r="Y846" i="31" s="1"/>
  <c r="X846" i="31"/>
  <c r="P850" i="31"/>
  <c r="X850" i="31"/>
  <c r="K488" i="45"/>
  <c r="N488" i="45" s="1"/>
  <c r="Q488" i="45"/>
  <c r="S488" i="45" s="1"/>
  <c r="V488" i="45" s="1"/>
  <c r="X492" i="40"/>
  <c r="T492" i="40"/>
  <c r="V492" i="40" s="1"/>
  <c r="K492" i="40"/>
  <c r="O492" i="40" s="1"/>
  <c r="Q492" i="40" s="1"/>
  <c r="C420" i="32"/>
  <c r="T858" i="31"/>
  <c r="Q496" i="45"/>
  <c r="S496" i="45" s="1"/>
  <c r="V496" i="45" s="1"/>
  <c r="K496" i="45"/>
  <c r="N496" i="45" s="1"/>
  <c r="P866" i="31"/>
  <c r="X866" i="31"/>
  <c r="Q504" i="45"/>
  <c r="S504" i="45" s="1"/>
  <c r="V504" i="45" s="1"/>
  <c r="K504" i="45"/>
  <c r="N504" i="45" s="1"/>
  <c r="X508" i="40"/>
  <c r="T508" i="40"/>
  <c r="V508" i="40" s="1"/>
  <c r="Z508" i="40" s="1"/>
  <c r="AC508" i="40" s="1"/>
  <c r="K508" i="40"/>
  <c r="O508" i="40" s="1"/>
  <c r="Q508" i="40" s="1"/>
  <c r="C436" i="32"/>
  <c r="T874" i="31"/>
  <c r="P878" i="31"/>
  <c r="Y878" i="31" s="1"/>
  <c r="X878" i="31"/>
  <c r="P2" i="31"/>
  <c r="X2" i="31"/>
  <c r="P81" i="45"/>
  <c r="R81" i="45" s="1"/>
  <c r="T81" i="45" s="1"/>
  <c r="X81" i="45" s="1"/>
  <c r="U81" i="45" s="1"/>
  <c r="J81" i="45"/>
  <c r="L81" i="45" s="1"/>
  <c r="S85" i="40"/>
  <c r="U85" i="40" s="1"/>
  <c r="W85" i="40"/>
  <c r="J85" i="40"/>
  <c r="L85" i="40" s="1"/>
  <c r="N85" i="40" s="1"/>
  <c r="B13" i="32"/>
  <c r="T15" i="31"/>
  <c r="P19" i="31"/>
  <c r="X19" i="31"/>
  <c r="P97" i="45"/>
  <c r="R97" i="45" s="1"/>
  <c r="T97" i="45" s="1"/>
  <c r="X97" i="45" s="1"/>
  <c r="U97" i="45" s="1"/>
  <c r="J97" i="45"/>
  <c r="L97" i="45" s="1"/>
  <c r="W101" i="40"/>
  <c r="J101" i="40"/>
  <c r="L101" i="40" s="1"/>
  <c r="N101" i="40" s="1"/>
  <c r="S101" i="40"/>
  <c r="U101" i="40" s="1"/>
  <c r="B29" i="32"/>
  <c r="T27" i="31"/>
  <c r="P35" i="31"/>
  <c r="X35" i="31"/>
  <c r="P113" i="45"/>
  <c r="R113" i="45" s="1"/>
  <c r="J113" i="45"/>
  <c r="L113" i="45" s="1"/>
  <c r="J117" i="40"/>
  <c r="L117" i="40" s="1"/>
  <c r="N117" i="40" s="1"/>
  <c r="S117" i="40"/>
  <c r="U117" i="40" s="1"/>
  <c r="Y117" i="40" s="1"/>
  <c r="W117" i="40"/>
  <c r="B45" i="32"/>
  <c r="T47" i="31"/>
  <c r="P51" i="31"/>
  <c r="X51" i="31"/>
  <c r="P129" i="45"/>
  <c r="R129" i="45" s="1"/>
  <c r="J129" i="45"/>
  <c r="L129" i="45" s="1"/>
  <c r="J133" i="40"/>
  <c r="L133" i="40" s="1"/>
  <c r="N133" i="40" s="1"/>
  <c r="S133" i="40"/>
  <c r="U133" i="40" s="1"/>
  <c r="W133" i="40"/>
  <c r="B61" i="32"/>
  <c r="T59" i="31"/>
  <c r="T63" i="31"/>
  <c r="P67" i="31"/>
  <c r="X67" i="31"/>
  <c r="P145" i="45"/>
  <c r="R145" i="45" s="1"/>
  <c r="T145" i="45" s="1"/>
  <c r="X145" i="45" s="1"/>
  <c r="U145" i="45" s="1"/>
  <c r="J145" i="45"/>
  <c r="L145" i="45" s="1"/>
  <c r="P149" i="45"/>
  <c r="R149" i="45" s="1"/>
  <c r="J149" i="45"/>
  <c r="L149" i="45" s="1"/>
  <c r="J153" i="40"/>
  <c r="L153" i="40" s="1"/>
  <c r="N153" i="40" s="1"/>
  <c r="S153" i="40"/>
  <c r="U153" i="40" s="1"/>
  <c r="W153" i="40"/>
  <c r="B81" i="32"/>
  <c r="T79" i="31"/>
  <c r="T83" i="31"/>
  <c r="P87" i="31"/>
  <c r="Y87" i="31" s="1"/>
  <c r="X87" i="31"/>
  <c r="P165" i="45"/>
  <c r="R165" i="45" s="1"/>
  <c r="T165" i="45" s="1"/>
  <c r="X165" i="45" s="1"/>
  <c r="U165" i="45" s="1"/>
  <c r="Y165" i="45" s="1"/>
  <c r="J165" i="45"/>
  <c r="L165" i="45" s="1"/>
  <c r="J169" i="40"/>
  <c r="L169" i="40" s="1"/>
  <c r="N169" i="40" s="1"/>
  <c r="S169" i="40"/>
  <c r="U169" i="40" s="1"/>
  <c r="Y169" i="40" s="1"/>
  <c r="AA169" i="40" s="1"/>
  <c r="AE169" i="40" s="1"/>
  <c r="AB169" i="40" s="1"/>
  <c r="AF169" i="40" s="1"/>
  <c r="W169" i="40"/>
  <c r="B97" i="32"/>
  <c r="T95" i="31"/>
  <c r="T99" i="31"/>
  <c r="P103" i="31"/>
  <c r="X103" i="31"/>
  <c r="P107" i="31"/>
  <c r="Y107" i="31" s="1"/>
  <c r="X107" i="31"/>
  <c r="P185" i="45"/>
  <c r="R185" i="45" s="1"/>
  <c r="T185" i="45" s="1"/>
  <c r="X185" i="45" s="1"/>
  <c r="U185" i="45" s="1"/>
  <c r="Y185" i="45" s="1"/>
  <c r="J185" i="45"/>
  <c r="L185" i="45" s="1"/>
  <c r="S189" i="40"/>
  <c r="U189" i="40" s="1"/>
  <c r="W189" i="40"/>
  <c r="J189" i="40"/>
  <c r="L189" i="40" s="1"/>
  <c r="N189" i="40" s="1"/>
  <c r="B117" i="32"/>
  <c r="T119" i="31"/>
  <c r="P123" i="31"/>
  <c r="Y123" i="31" s="1"/>
  <c r="X123" i="31"/>
  <c r="P201" i="45"/>
  <c r="R201" i="45" s="1"/>
  <c r="J201" i="45"/>
  <c r="L201" i="45" s="1"/>
  <c r="S205" i="40"/>
  <c r="U205" i="40" s="1"/>
  <c r="Y205" i="40" s="1"/>
  <c r="AA205" i="40" s="1"/>
  <c r="AE205" i="40" s="1"/>
  <c r="AB205" i="40" s="1"/>
  <c r="W205" i="40"/>
  <c r="J205" i="40"/>
  <c r="L205" i="40" s="1"/>
  <c r="N205" i="40" s="1"/>
  <c r="B133" i="32"/>
  <c r="P135" i="31"/>
  <c r="X135" i="31"/>
  <c r="P139" i="31"/>
  <c r="X139" i="31"/>
  <c r="P217" i="45"/>
  <c r="R217" i="45" s="1"/>
  <c r="T217" i="45" s="1"/>
  <c r="X217" i="45" s="1"/>
  <c r="U217" i="45" s="1"/>
  <c r="Y217" i="45" s="1"/>
  <c r="J217" i="45"/>
  <c r="L217" i="45" s="1"/>
  <c r="W221" i="40"/>
  <c r="S221" i="40"/>
  <c r="U221" i="40" s="1"/>
  <c r="Y221" i="40" s="1"/>
  <c r="J221" i="40"/>
  <c r="L221" i="40" s="1"/>
  <c r="N221" i="40" s="1"/>
  <c r="B149" i="32"/>
  <c r="P151" i="31"/>
  <c r="X151" i="31"/>
  <c r="P229" i="45"/>
  <c r="R229" i="45" s="1"/>
  <c r="T229" i="45" s="1"/>
  <c r="X229" i="45" s="1"/>
  <c r="U229" i="45" s="1"/>
  <c r="Y229" i="45" s="1"/>
  <c r="J229" i="45"/>
  <c r="L229" i="45" s="1"/>
  <c r="P233" i="45"/>
  <c r="R233" i="45" s="1"/>
  <c r="J233" i="45"/>
  <c r="L233" i="45" s="1"/>
  <c r="W237" i="40"/>
  <c r="S237" i="40"/>
  <c r="U237" i="40" s="1"/>
  <c r="J237" i="40"/>
  <c r="L237" i="40" s="1"/>
  <c r="N237" i="40" s="1"/>
  <c r="B165" i="32"/>
  <c r="T167" i="31"/>
  <c r="P171" i="31"/>
  <c r="Y171" i="31" s="1"/>
  <c r="X171" i="31"/>
  <c r="P249" i="45"/>
  <c r="R249" i="45" s="1"/>
  <c r="J249" i="45"/>
  <c r="L249" i="45" s="1"/>
  <c r="W253" i="40"/>
  <c r="S253" i="40"/>
  <c r="U253" i="40" s="1"/>
  <c r="J253" i="40"/>
  <c r="L253" i="40" s="1"/>
  <c r="N253" i="40" s="1"/>
  <c r="B181" i="32"/>
  <c r="P187" i="31"/>
  <c r="Y187" i="31" s="1"/>
  <c r="X187" i="31"/>
  <c r="P265" i="45"/>
  <c r="R265" i="45" s="1"/>
  <c r="J265" i="45"/>
  <c r="L265" i="45" s="1"/>
  <c r="W269" i="40"/>
  <c r="S269" i="40"/>
  <c r="U269" i="40" s="1"/>
  <c r="J269" i="40"/>
  <c r="L269" i="40" s="1"/>
  <c r="N269" i="40" s="1"/>
  <c r="B197" i="32"/>
  <c r="P203" i="31"/>
  <c r="X203" i="31"/>
  <c r="P281" i="45"/>
  <c r="R281" i="45" s="1"/>
  <c r="J281" i="45"/>
  <c r="L281" i="45" s="1"/>
  <c r="W285" i="40"/>
  <c r="J285" i="40"/>
  <c r="L285" i="40" s="1"/>
  <c r="N285" i="40" s="1"/>
  <c r="S285" i="40"/>
  <c r="U285" i="40" s="1"/>
  <c r="Y285" i="40" s="1"/>
  <c r="AA285" i="40" s="1"/>
  <c r="AE285" i="40" s="1"/>
  <c r="AB285" i="40" s="1"/>
  <c r="B213" i="32"/>
  <c r="P219" i="31"/>
  <c r="Y219" i="31" s="1"/>
  <c r="X219" i="31"/>
  <c r="P297" i="45"/>
  <c r="R297" i="45" s="1"/>
  <c r="J297" i="45"/>
  <c r="L297" i="45" s="1"/>
  <c r="W301" i="40"/>
  <c r="J301" i="40"/>
  <c r="L301" i="40" s="1"/>
  <c r="N301" i="40" s="1"/>
  <c r="S301" i="40"/>
  <c r="U301" i="40" s="1"/>
  <c r="Y301" i="40" s="1"/>
  <c r="AA301" i="40" s="1"/>
  <c r="AE301" i="40" s="1"/>
  <c r="AB301" i="40" s="1"/>
  <c r="B229" i="32"/>
  <c r="T447" i="31"/>
  <c r="T451" i="31"/>
  <c r="P455" i="31"/>
  <c r="Y455" i="31" s="1"/>
  <c r="X455" i="31"/>
  <c r="P313" i="45"/>
  <c r="R313" i="45" s="1"/>
  <c r="T313" i="45" s="1"/>
  <c r="X313" i="45" s="1"/>
  <c r="U313" i="45" s="1"/>
  <c r="J313" i="45"/>
  <c r="L313" i="45" s="1"/>
  <c r="W317" i="40"/>
  <c r="J317" i="40"/>
  <c r="L317" i="40" s="1"/>
  <c r="N317" i="40" s="1"/>
  <c r="S317" i="40"/>
  <c r="U317" i="40" s="1"/>
  <c r="B245" i="32"/>
  <c r="T463" i="31"/>
  <c r="T471" i="31"/>
  <c r="T475" i="31"/>
  <c r="T479" i="31"/>
  <c r="T487" i="31"/>
  <c r="T491" i="31"/>
  <c r="T495" i="31"/>
  <c r="T503" i="31"/>
  <c r="T507" i="31"/>
  <c r="T511" i="31"/>
  <c r="T519" i="31"/>
  <c r="T523" i="31"/>
  <c r="T527" i="31"/>
  <c r="T535" i="31"/>
  <c r="T539" i="31"/>
  <c r="T543" i="31"/>
  <c r="T551" i="31"/>
  <c r="T555" i="31"/>
  <c r="T559" i="31"/>
  <c r="T567" i="31"/>
  <c r="T571" i="31"/>
  <c r="T575" i="31"/>
  <c r="T583" i="31"/>
  <c r="T587" i="31"/>
  <c r="T591" i="31"/>
  <c r="T599" i="31"/>
  <c r="T603" i="31"/>
  <c r="T607" i="31"/>
  <c r="T615" i="31"/>
  <c r="T619" i="31"/>
  <c r="T623" i="31"/>
  <c r="T631" i="31"/>
  <c r="T635" i="31"/>
  <c r="T639" i="31"/>
  <c r="T647" i="31"/>
  <c r="T651" i="31"/>
  <c r="T655" i="31"/>
  <c r="T485" i="40"/>
  <c r="V485" i="40" s="1"/>
  <c r="Z485" i="40" s="1"/>
  <c r="AC485" i="40" s="1"/>
  <c r="K485" i="40"/>
  <c r="O485" i="40" s="1"/>
  <c r="Q485" i="40" s="1"/>
  <c r="X485" i="40"/>
  <c r="C413" i="32"/>
  <c r="T76" i="40"/>
  <c r="V76" i="40" s="1"/>
  <c r="Z76" i="40" s="1"/>
  <c r="AC76" i="40" s="1"/>
  <c r="X76" i="40"/>
  <c r="K76" i="40"/>
  <c r="O76" i="40" s="1"/>
  <c r="Q76" i="40" s="1"/>
  <c r="C4" i="32"/>
  <c r="T227" i="31"/>
  <c r="P231" i="31"/>
  <c r="X231" i="31"/>
  <c r="K89" i="45"/>
  <c r="N89" i="45" s="1"/>
  <c r="Q89" i="45"/>
  <c r="S89" i="45" s="1"/>
  <c r="V89" i="45" s="1"/>
  <c r="X93" i="40"/>
  <c r="T93" i="40"/>
  <c r="V93" i="40" s="1"/>
  <c r="C21" i="32"/>
  <c r="K93" i="40"/>
  <c r="O93" i="40" s="1"/>
  <c r="Q93" i="40" s="1"/>
  <c r="T243" i="31"/>
  <c r="P247" i="31"/>
  <c r="Y247" i="31" s="1"/>
  <c r="X247" i="31"/>
  <c r="K105" i="45"/>
  <c r="N105" i="45" s="1"/>
  <c r="Q105" i="45"/>
  <c r="S105" i="45" s="1"/>
  <c r="X109" i="40"/>
  <c r="T109" i="40"/>
  <c r="V109" i="40" s="1"/>
  <c r="Z109" i="40" s="1"/>
  <c r="K109" i="40"/>
  <c r="O109" i="40" s="1"/>
  <c r="Q109" i="40" s="1"/>
  <c r="C37" i="32"/>
  <c r="T255" i="31"/>
  <c r="T259" i="31"/>
  <c r="P263" i="31"/>
  <c r="Y263" i="31" s="1"/>
  <c r="X263" i="31"/>
  <c r="K121" i="45"/>
  <c r="N121" i="45" s="1"/>
  <c r="Q121" i="45"/>
  <c r="S121" i="45" s="1"/>
  <c r="V121" i="45" s="1"/>
  <c r="X125" i="40"/>
  <c r="K125" i="40"/>
  <c r="O125" i="40" s="1"/>
  <c r="Q125" i="40" s="1"/>
  <c r="T125" i="40"/>
  <c r="V125" i="40" s="1"/>
  <c r="C53" i="32"/>
  <c r="T275" i="31"/>
  <c r="P279" i="31"/>
  <c r="X279" i="31"/>
  <c r="K137" i="45"/>
  <c r="N137" i="45" s="1"/>
  <c r="Q137" i="45"/>
  <c r="S137" i="45" s="1"/>
  <c r="V137" i="45" s="1"/>
  <c r="K141" i="40"/>
  <c r="O141" i="40" s="1"/>
  <c r="Q141" i="40" s="1"/>
  <c r="T141" i="40"/>
  <c r="V141" i="40" s="1"/>
  <c r="X141" i="40"/>
  <c r="C69" i="32"/>
  <c r="T287" i="31"/>
  <c r="T291" i="31"/>
  <c r="P295" i="31"/>
  <c r="X295" i="31"/>
  <c r="K153" i="45"/>
  <c r="N153" i="45" s="1"/>
  <c r="Q153" i="45"/>
  <c r="S153" i="45" s="1"/>
  <c r="K157" i="40"/>
  <c r="O157" i="40" s="1"/>
  <c r="Q157" i="40" s="1"/>
  <c r="T157" i="40"/>
  <c r="V157" i="40" s="1"/>
  <c r="Z157" i="40" s="1"/>
  <c r="AC157" i="40" s="1"/>
  <c r="X157" i="40"/>
  <c r="C85" i="32"/>
  <c r="T307" i="31"/>
  <c r="P312" i="31"/>
  <c r="X312" i="31"/>
  <c r="X170" i="40"/>
  <c r="K170" i="40"/>
  <c r="O170" i="40" s="1"/>
  <c r="Q170" i="40" s="1"/>
  <c r="T170" i="40"/>
  <c r="V170" i="40" s="1"/>
  <c r="Z170" i="40" s="1"/>
  <c r="AC170" i="40" s="1"/>
  <c r="C98" i="32"/>
  <c r="K174" i="40"/>
  <c r="O174" i="40" s="1"/>
  <c r="Q174" i="40" s="1"/>
  <c r="T174" i="40"/>
  <c r="V174" i="40" s="1"/>
  <c r="X174" i="40"/>
  <c r="C102" i="32"/>
  <c r="T324" i="31"/>
  <c r="X328" i="31"/>
  <c r="P328" i="31"/>
  <c r="X186" i="40"/>
  <c r="K186" i="40"/>
  <c r="O186" i="40" s="1"/>
  <c r="Q186" i="40" s="1"/>
  <c r="C114" i="32"/>
  <c r="T186" i="40"/>
  <c r="V186" i="40" s="1"/>
  <c r="Z186" i="40" s="1"/>
  <c r="AC186" i="40" s="1"/>
  <c r="K190" i="40"/>
  <c r="O190" i="40" s="1"/>
  <c r="Q190" i="40" s="1"/>
  <c r="T190" i="40"/>
  <c r="V190" i="40" s="1"/>
  <c r="X190" i="40"/>
  <c r="C118" i="32"/>
  <c r="T340" i="31"/>
  <c r="P344" i="31"/>
  <c r="X344" i="31"/>
  <c r="X202" i="40"/>
  <c r="K202" i="40"/>
  <c r="O202" i="40" s="1"/>
  <c r="Q202" i="40" s="1"/>
  <c r="T202" i="40"/>
  <c r="V202" i="40" s="1"/>
  <c r="C130" i="32"/>
  <c r="T206" i="40"/>
  <c r="V206" i="40" s="1"/>
  <c r="Z206" i="40" s="1"/>
  <c r="AC206" i="40" s="1"/>
  <c r="K206" i="40"/>
  <c r="O206" i="40" s="1"/>
  <c r="Q206" i="40" s="1"/>
  <c r="X206" i="40"/>
  <c r="C134" i="32"/>
  <c r="P356" i="31"/>
  <c r="X356" i="31"/>
  <c r="X360" i="31"/>
  <c r="P360" i="31"/>
  <c r="K218" i="45"/>
  <c r="N218" i="45" s="1"/>
  <c r="Q218" i="45"/>
  <c r="S218" i="45" s="1"/>
  <c r="T222" i="40"/>
  <c r="V222" i="40" s="1"/>
  <c r="K222" i="40"/>
  <c r="O222" i="40" s="1"/>
  <c r="Q222" i="40" s="1"/>
  <c r="X222" i="40"/>
  <c r="C150" i="32"/>
  <c r="P372" i="31"/>
  <c r="X372" i="31"/>
  <c r="P376" i="31"/>
  <c r="Y376" i="31" s="1"/>
  <c r="X376" i="31"/>
  <c r="K234" i="45"/>
  <c r="N234" i="45" s="1"/>
  <c r="Q234" i="45"/>
  <c r="S234" i="45" s="1"/>
  <c r="V234" i="45" s="1"/>
  <c r="T238" i="40"/>
  <c r="V238" i="40" s="1"/>
  <c r="Z238" i="40" s="1"/>
  <c r="AC238" i="40" s="1"/>
  <c r="K238" i="40"/>
  <c r="O238" i="40" s="1"/>
  <c r="Q238" i="40" s="1"/>
  <c r="X238" i="40"/>
  <c r="C166" i="32"/>
  <c r="T388" i="31"/>
  <c r="X392" i="31"/>
  <c r="P392" i="31"/>
  <c r="Y392" i="31" s="1"/>
  <c r="K250" i="45"/>
  <c r="N250" i="45" s="1"/>
  <c r="Q250" i="45"/>
  <c r="S250" i="45" s="1"/>
  <c r="V250" i="45" s="1"/>
  <c r="T254" i="40"/>
  <c r="V254" i="40" s="1"/>
  <c r="K254" i="40"/>
  <c r="O254" i="40" s="1"/>
  <c r="Q254" i="40" s="1"/>
  <c r="X254" i="40"/>
  <c r="C182" i="32"/>
  <c r="T404" i="31"/>
  <c r="P408" i="31"/>
  <c r="Y408" i="31" s="1"/>
  <c r="X408" i="31"/>
  <c r="K266" i="45"/>
  <c r="N266" i="45" s="1"/>
  <c r="Q266" i="45"/>
  <c r="S266" i="45" s="1"/>
  <c r="T270" i="40"/>
  <c r="V270" i="40" s="1"/>
  <c r="K270" i="40"/>
  <c r="O270" i="40" s="1"/>
  <c r="Q270" i="40" s="1"/>
  <c r="X270" i="40"/>
  <c r="C198" i="32"/>
  <c r="T424" i="31"/>
  <c r="T428" i="31"/>
  <c r="P432" i="31"/>
  <c r="Y432" i="31" s="1"/>
  <c r="X432" i="31"/>
  <c r="T436" i="31"/>
  <c r="K294" i="45"/>
  <c r="N294" i="45" s="1"/>
  <c r="Q294" i="45"/>
  <c r="S294" i="45" s="1"/>
  <c r="V294" i="45" s="1"/>
  <c r="K298" i="45"/>
  <c r="N298" i="45" s="1"/>
  <c r="Q298" i="45"/>
  <c r="S298" i="45" s="1"/>
  <c r="T302" i="40"/>
  <c r="V302" i="40" s="1"/>
  <c r="Z302" i="40" s="1"/>
  <c r="K302" i="40"/>
  <c r="O302" i="40" s="1"/>
  <c r="Q302" i="40" s="1"/>
  <c r="X302" i="40"/>
  <c r="C230" i="32"/>
  <c r="T676" i="31"/>
  <c r="T680" i="31"/>
  <c r="K318" i="45"/>
  <c r="N318" i="45" s="1"/>
  <c r="Q318" i="45"/>
  <c r="S318" i="45" s="1"/>
  <c r="K322" i="45"/>
  <c r="N322" i="45" s="1"/>
  <c r="Q322" i="45"/>
  <c r="S322" i="45" s="1"/>
  <c r="V322" i="45" s="1"/>
  <c r="X326" i="40"/>
  <c r="T326" i="40"/>
  <c r="V326" i="40" s="1"/>
  <c r="K326" i="40"/>
  <c r="O326" i="40" s="1"/>
  <c r="Q326" i="40" s="1"/>
  <c r="C254" i="32"/>
  <c r="T696" i="31"/>
  <c r="P700" i="31"/>
  <c r="Y700" i="31" s="1"/>
  <c r="X700" i="31"/>
  <c r="K338" i="45"/>
  <c r="N338" i="45" s="1"/>
  <c r="Q338" i="45"/>
  <c r="S338" i="45" s="1"/>
  <c r="X342" i="40"/>
  <c r="T342" i="40"/>
  <c r="V342" i="40" s="1"/>
  <c r="Z342" i="40" s="1"/>
  <c r="K342" i="40"/>
  <c r="O342" i="40" s="1"/>
  <c r="Q342" i="40" s="1"/>
  <c r="C270" i="32"/>
  <c r="T712" i="31"/>
  <c r="T717" i="31"/>
  <c r="T721" i="31"/>
  <c r="Q359" i="45"/>
  <c r="S359" i="45" s="1"/>
  <c r="V359" i="45" s="1"/>
  <c r="K359" i="45"/>
  <c r="N359" i="45" s="1"/>
  <c r="T729" i="31"/>
  <c r="T733" i="31"/>
  <c r="T737" i="31"/>
  <c r="T741" i="31"/>
  <c r="Q379" i="45"/>
  <c r="S379" i="45" s="1"/>
  <c r="K379" i="45"/>
  <c r="N379" i="45" s="1"/>
  <c r="T749" i="31"/>
  <c r="P754" i="31"/>
  <c r="Y754" i="31" s="1"/>
  <c r="X754" i="31"/>
  <c r="Q392" i="45"/>
  <c r="S392" i="45" s="1"/>
  <c r="V392" i="45" s="1"/>
  <c r="K392" i="45"/>
  <c r="N392" i="45" s="1"/>
  <c r="X396" i="40"/>
  <c r="T396" i="40"/>
  <c r="V396" i="40" s="1"/>
  <c r="Z396" i="40" s="1"/>
  <c r="K396" i="40"/>
  <c r="O396" i="40" s="1"/>
  <c r="Q396" i="40" s="1"/>
  <c r="C324" i="32"/>
  <c r="T766" i="31"/>
  <c r="Q408" i="45"/>
  <c r="S408" i="45" s="1"/>
  <c r="K408" i="45"/>
  <c r="N408" i="45" s="1"/>
  <c r="X412" i="40"/>
  <c r="T412" i="40"/>
  <c r="V412" i="40" s="1"/>
  <c r="K412" i="40"/>
  <c r="O412" i="40" s="1"/>
  <c r="Q412" i="40" s="1"/>
  <c r="C340" i="32"/>
  <c r="T782" i="31"/>
  <c r="P786" i="31"/>
  <c r="X786" i="31"/>
  <c r="Q424" i="45"/>
  <c r="S424" i="45" s="1"/>
  <c r="V424" i="45" s="1"/>
  <c r="K424" i="45"/>
  <c r="N424" i="45" s="1"/>
  <c r="X428" i="40"/>
  <c r="T428" i="40"/>
  <c r="V428" i="40" s="1"/>
  <c r="Z428" i="40" s="1"/>
  <c r="K428" i="40"/>
  <c r="O428" i="40" s="1"/>
  <c r="Q428" i="40" s="1"/>
  <c r="C356" i="32"/>
  <c r="T798" i="31"/>
  <c r="P802" i="31"/>
  <c r="X802" i="31"/>
  <c r="Q440" i="45"/>
  <c r="S440" i="45" s="1"/>
  <c r="V440" i="45" s="1"/>
  <c r="K440" i="45"/>
  <c r="N440" i="45" s="1"/>
  <c r="X444" i="40"/>
  <c r="T444" i="40"/>
  <c r="V444" i="40" s="1"/>
  <c r="Z444" i="40" s="1"/>
  <c r="AC444" i="40" s="1"/>
  <c r="K444" i="40"/>
  <c r="O444" i="40" s="1"/>
  <c r="Q444" i="40" s="1"/>
  <c r="C372" i="32"/>
  <c r="T814" i="31"/>
  <c r="P818" i="31"/>
  <c r="X818" i="31"/>
  <c r="Q456" i="45"/>
  <c r="S456" i="45" s="1"/>
  <c r="K456" i="45"/>
  <c r="N456" i="45" s="1"/>
  <c r="X460" i="40"/>
  <c r="T460" i="40"/>
  <c r="V460" i="40" s="1"/>
  <c r="K460" i="40"/>
  <c r="O460" i="40" s="1"/>
  <c r="Q460" i="40" s="1"/>
  <c r="C388" i="32"/>
  <c r="P830" i="31"/>
  <c r="Y830" i="31" s="1"/>
  <c r="X830" i="31"/>
  <c r="P834" i="31"/>
  <c r="X834" i="31"/>
  <c r="Q473" i="45"/>
  <c r="S473" i="45" s="1"/>
  <c r="V473" i="45" s="1"/>
  <c r="K473" i="45"/>
  <c r="N473" i="45" s="1"/>
  <c r="P843" i="31"/>
  <c r="X843" i="31"/>
  <c r="X851" i="31"/>
  <c r="P851" i="31"/>
  <c r="P855" i="31"/>
  <c r="X855" i="31"/>
  <c r="P859" i="31"/>
  <c r="X859" i="31"/>
  <c r="P863" i="31"/>
  <c r="X863" i="31"/>
  <c r="X867" i="31"/>
  <c r="P867" i="31"/>
  <c r="P871" i="31"/>
  <c r="X871" i="31"/>
  <c r="P875" i="31"/>
  <c r="X875" i="31"/>
  <c r="P879" i="31"/>
  <c r="X879" i="31"/>
  <c r="S78" i="40"/>
  <c r="U78" i="40" s="1"/>
  <c r="Y78" i="40" s="1"/>
  <c r="AA78" i="40" s="1"/>
  <c r="AE78" i="40" s="1"/>
  <c r="AB78" i="40" s="1"/>
  <c r="W78" i="40"/>
  <c r="J78" i="40"/>
  <c r="L78" i="40" s="1"/>
  <c r="N78" i="40" s="1"/>
  <c r="B6" i="32"/>
  <c r="J82" i="45"/>
  <c r="L82" i="45" s="1"/>
  <c r="P82" i="45"/>
  <c r="R82" i="45" s="1"/>
  <c r="T12" i="31"/>
  <c r="T16" i="31"/>
  <c r="S94" i="40"/>
  <c r="U94" i="40" s="1"/>
  <c r="Y94" i="40" s="1"/>
  <c r="AA94" i="40" s="1"/>
  <c r="AE94" i="40" s="1"/>
  <c r="AB94" i="40" s="1"/>
  <c r="J94" i="40"/>
  <c r="L94" i="40" s="1"/>
  <c r="N94" i="40" s="1"/>
  <c r="W94" i="40"/>
  <c r="B22" i="32"/>
  <c r="J98" i="45"/>
  <c r="L98" i="45" s="1"/>
  <c r="P98" i="45"/>
  <c r="R98" i="45" s="1"/>
  <c r="P28" i="31"/>
  <c r="X28" i="31"/>
  <c r="P32" i="31"/>
  <c r="X32" i="31"/>
  <c r="S110" i="40"/>
  <c r="U110" i="40" s="1"/>
  <c r="J110" i="40"/>
  <c r="L110" i="40" s="1"/>
  <c r="N110" i="40" s="1"/>
  <c r="W110" i="40"/>
  <c r="B38" i="32"/>
  <c r="J114" i="45"/>
  <c r="L114" i="45" s="1"/>
  <c r="P114" i="45"/>
  <c r="R114" i="45" s="1"/>
  <c r="T114" i="45" s="1"/>
  <c r="X114" i="45" s="1"/>
  <c r="U114" i="45" s="1"/>
  <c r="P44" i="31"/>
  <c r="X44" i="31"/>
  <c r="P48" i="31"/>
  <c r="X48" i="31"/>
  <c r="J126" i="40"/>
  <c r="L126" i="40" s="1"/>
  <c r="N126" i="40" s="1"/>
  <c r="S126" i="40"/>
  <c r="U126" i="40" s="1"/>
  <c r="Y126" i="40" s="1"/>
  <c r="W126" i="40"/>
  <c r="B54" i="32"/>
  <c r="J130" i="45"/>
  <c r="L130" i="45" s="1"/>
  <c r="P130" i="45"/>
  <c r="R130" i="45" s="1"/>
  <c r="T60" i="31"/>
  <c r="T64" i="31"/>
  <c r="S142" i="40"/>
  <c r="U142" i="40" s="1"/>
  <c r="Y142" i="40" s="1"/>
  <c r="AA142" i="40" s="1"/>
  <c r="AE142" i="40" s="1"/>
  <c r="AB142" i="40" s="1"/>
  <c r="W142" i="40"/>
  <c r="B70" i="32"/>
  <c r="J142" i="40"/>
  <c r="L142" i="40" s="1"/>
  <c r="N142" i="40" s="1"/>
  <c r="J146" i="45"/>
  <c r="L146" i="45" s="1"/>
  <c r="P146" i="45"/>
  <c r="R146" i="45" s="1"/>
  <c r="T76" i="31"/>
  <c r="W154" i="40"/>
  <c r="J154" i="40"/>
  <c r="L154" i="40" s="1"/>
  <c r="N154" i="40" s="1"/>
  <c r="S154" i="40"/>
  <c r="U154" i="40" s="1"/>
  <c r="B82" i="32"/>
  <c r="S158" i="40"/>
  <c r="U158" i="40" s="1"/>
  <c r="W158" i="40"/>
  <c r="J158" i="40"/>
  <c r="L158" i="40" s="1"/>
  <c r="N158" i="40" s="1"/>
  <c r="B86" i="32"/>
  <c r="J162" i="45"/>
  <c r="L162" i="45" s="1"/>
  <c r="P162" i="45"/>
  <c r="R162" i="45" s="1"/>
  <c r="T162" i="45" s="1"/>
  <c r="X162" i="45" s="1"/>
  <c r="U162" i="45" s="1"/>
  <c r="P92" i="31"/>
  <c r="X92" i="31"/>
  <c r="P96" i="31"/>
  <c r="X96" i="31"/>
  <c r="S174" i="40"/>
  <c r="U174" i="40" s="1"/>
  <c r="Y174" i="40" s="1"/>
  <c r="W174" i="40"/>
  <c r="B102" i="32"/>
  <c r="J174" i="40"/>
  <c r="L174" i="40" s="1"/>
  <c r="N174" i="40" s="1"/>
  <c r="J178" i="45"/>
  <c r="L178" i="45" s="1"/>
  <c r="P178" i="45"/>
  <c r="R178" i="45" s="1"/>
  <c r="P108" i="31"/>
  <c r="X108" i="31"/>
  <c r="P112" i="31"/>
  <c r="X112" i="31"/>
  <c r="S190" i="40"/>
  <c r="U190" i="40" s="1"/>
  <c r="W190" i="40"/>
  <c r="J190" i="40"/>
  <c r="L190" i="40" s="1"/>
  <c r="N190" i="40" s="1"/>
  <c r="B118" i="32"/>
  <c r="J194" i="45"/>
  <c r="L194" i="45" s="1"/>
  <c r="P194" i="45"/>
  <c r="R194" i="45" s="1"/>
  <c r="T194" i="45" s="1"/>
  <c r="X194" i="45" s="1"/>
  <c r="U194" i="45" s="1"/>
  <c r="T124" i="31"/>
  <c r="T128" i="31"/>
  <c r="J206" i="45"/>
  <c r="L206" i="45" s="1"/>
  <c r="P206" i="45"/>
  <c r="R206" i="45" s="1"/>
  <c r="T206" i="45" s="1"/>
  <c r="X206" i="45" s="1"/>
  <c r="U206" i="45" s="1"/>
  <c r="S210" i="40"/>
  <c r="U210" i="40" s="1"/>
  <c r="J210" i="40"/>
  <c r="L210" i="40" s="1"/>
  <c r="N210" i="40" s="1"/>
  <c r="W210" i="40"/>
  <c r="B138" i="32"/>
  <c r="T140" i="31"/>
  <c r="T144" i="31"/>
  <c r="J222" i="45"/>
  <c r="L222" i="45" s="1"/>
  <c r="P222" i="45"/>
  <c r="R222" i="45" s="1"/>
  <c r="T222" i="45" s="1"/>
  <c r="X222" i="45" s="1"/>
  <c r="U222" i="45" s="1"/>
  <c r="S226" i="40"/>
  <c r="U226" i="40" s="1"/>
  <c r="J226" i="40"/>
  <c r="L226" i="40" s="1"/>
  <c r="N226" i="40" s="1"/>
  <c r="W226" i="40"/>
  <c r="B154" i="32"/>
  <c r="P156" i="31"/>
  <c r="X156" i="31"/>
  <c r="P160" i="31"/>
  <c r="X160" i="31"/>
  <c r="J238" i="45"/>
  <c r="L238" i="45" s="1"/>
  <c r="P238" i="45"/>
  <c r="R238" i="45" s="1"/>
  <c r="S242" i="40"/>
  <c r="U242" i="40" s="1"/>
  <c r="Y242" i="40" s="1"/>
  <c r="J242" i="40"/>
  <c r="L242" i="40" s="1"/>
  <c r="N242" i="40" s="1"/>
  <c r="W242" i="40"/>
  <c r="B170" i="32"/>
  <c r="P172" i="31"/>
  <c r="X172" i="31"/>
  <c r="P176" i="31"/>
  <c r="X176" i="31"/>
  <c r="J254" i="45"/>
  <c r="L254" i="45" s="1"/>
  <c r="P254" i="45"/>
  <c r="R254" i="45" s="1"/>
  <c r="T254" i="45" s="1"/>
  <c r="X254" i="45" s="1"/>
  <c r="U254" i="45" s="1"/>
  <c r="S258" i="40"/>
  <c r="U258" i="40" s="1"/>
  <c r="J258" i="40"/>
  <c r="L258" i="40" s="1"/>
  <c r="N258" i="40" s="1"/>
  <c r="W258" i="40"/>
  <c r="B186" i="32"/>
  <c r="T188" i="31"/>
  <c r="J266" i="45"/>
  <c r="L266" i="45" s="1"/>
  <c r="P266" i="45"/>
  <c r="R266" i="45" s="1"/>
  <c r="T266" i="45" s="1"/>
  <c r="X266" i="45" s="1"/>
  <c r="U266" i="45" s="1"/>
  <c r="J270" i="45"/>
  <c r="L270" i="45" s="1"/>
  <c r="P270" i="45"/>
  <c r="R270" i="45" s="1"/>
  <c r="S274" i="40"/>
  <c r="U274" i="40" s="1"/>
  <c r="J274" i="40"/>
  <c r="L274" i="40" s="1"/>
  <c r="N274" i="40" s="1"/>
  <c r="W274" i="40"/>
  <c r="B202" i="32"/>
  <c r="P208" i="31"/>
  <c r="X208" i="31"/>
  <c r="T212" i="31"/>
  <c r="P216" i="31"/>
  <c r="X216" i="31"/>
  <c r="T220" i="31"/>
  <c r="J298" i="45"/>
  <c r="L298" i="45" s="1"/>
  <c r="P298" i="45"/>
  <c r="R298" i="45" s="1"/>
  <c r="J302" i="45"/>
  <c r="L302" i="45" s="1"/>
  <c r="P302" i="45"/>
  <c r="R302" i="45" s="1"/>
  <c r="T302" i="45" s="1"/>
  <c r="X302" i="45" s="1"/>
  <c r="U302" i="45" s="1"/>
  <c r="S306" i="40"/>
  <c r="U306" i="40" s="1"/>
  <c r="Y306" i="40" s="1"/>
  <c r="AA306" i="40" s="1"/>
  <c r="AE306" i="40" s="1"/>
  <c r="AB306" i="40" s="1"/>
  <c r="AF306" i="40" s="1"/>
  <c r="J306" i="40"/>
  <c r="L306" i="40" s="1"/>
  <c r="N306" i="40" s="1"/>
  <c r="W306" i="40"/>
  <c r="B234" i="32"/>
  <c r="T460" i="31"/>
  <c r="T464" i="31"/>
  <c r="X468" i="31"/>
  <c r="P468" i="31"/>
  <c r="J326" i="45"/>
  <c r="L326" i="45" s="1"/>
  <c r="P326" i="45"/>
  <c r="R326" i="45" s="1"/>
  <c r="W330" i="40"/>
  <c r="S330" i="40"/>
  <c r="U330" i="40" s="1"/>
  <c r="Y330" i="40" s="1"/>
  <c r="J330" i="40"/>
  <c r="L330" i="40" s="1"/>
  <c r="N330" i="40" s="1"/>
  <c r="B258" i="32"/>
  <c r="T480" i="31"/>
  <c r="P484" i="31"/>
  <c r="X484" i="31"/>
  <c r="J342" i="45"/>
  <c r="L342" i="45" s="1"/>
  <c r="P342" i="45"/>
  <c r="R342" i="45" s="1"/>
  <c r="W346" i="40"/>
  <c r="S346" i="40"/>
  <c r="U346" i="40" s="1"/>
  <c r="Y346" i="40" s="1"/>
  <c r="AA346" i="40" s="1"/>
  <c r="AE346" i="40" s="1"/>
  <c r="AB346" i="40" s="1"/>
  <c r="J346" i="40"/>
  <c r="L346" i="40" s="1"/>
  <c r="N346" i="40" s="1"/>
  <c r="B274" i="32"/>
  <c r="X492" i="31"/>
  <c r="P492" i="31"/>
  <c r="Y492" i="31" s="1"/>
  <c r="T496" i="31"/>
  <c r="X500" i="31"/>
  <c r="P500" i="31"/>
  <c r="J358" i="45"/>
  <c r="L358" i="45" s="1"/>
  <c r="P358" i="45"/>
  <c r="R358" i="45" s="1"/>
  <c r="W362" i="40"/>
  <c r="S362" i="40"/>
  <c r="U362" i="40" s="1"/>
  <c r="Y362" i="40" s="1"/>
  <c r="J362" i="40"/>
  <c r="L362" i="40" s="1"/>
  <c r="N362" i="40" s="1"/>
  <c r="B290" i="32"/>
  <c r="P512" i="31"/>
  <c r="Y512" i="31" s="1"/>
  <c r="X512" i="31"/>
  <c r="X516" i="31"/>
  <c r="P516" i="31"/>
  <c r="J374" i="45"/>
  <c r="L374" i="45" s="1"/>
  <c r="P374" i="45"/>
  <c r="R374" i="45" s="1"/>
  <c r="T374" i="45" s="1"/>
  <c r="X374" i="45" s="1"/>
  <c r="U374" i="45" s="1"/>
  <c r="W378" i="40"/>
  <c r="S378" i="40"/>
  <c r="U378" i="40" s="1"/>
  <c r="J378" i="40"/>
  <c r="L378" i="40" s="1"/>
  <c r="N378" i="40" s="1"/>
  <c r="B306" i="32"/>
  <c r="T528" i="31"/>
  <c r="J386" i="45"/>
  <c r="L386" i="45" s="1"/>
  <c r="P386" i="45"/>
  <c r="R386" i="45" s="1"/>
  <c r="J390" i="45"/>
  <c r="L390" i="45" s="1"/>
  <c r="P390" i="45"/>
  <c r="R390" i="45" s="1"/>
  <c r="T390" i="45" s="1"/>
  <c r="X390" i="45" s="1"/>
  <c r="U390" i="45" s="1"/>
  <c r="Y390" i="45" s="1"/>
  <c r="W394" i="40"/>
  <c r="S394" i="40"/>
  <c r="U394" i="40" s="1"/>
  <c r="J394" i="40"/>
  <c r="L394" i="40" s="1"/>
  <c r="N394" i="40" s="1"/>
  <c r="B322" i="32"/>
  <c r="T544" i="31"/>
  <c r="X548" i="31"/>
  <c r="P548" i="31"/>
  <c r="J406" i="45"/>
  <c r="L406" i="45" s="1"/>
  <c r="P406" i="45"/>
  <c r="R406" i="45" s="1"/>
  <c r="W410" i="40"/>
  <c r="S410" i="40"/>
  <c r="U410" i="40" s="1"/>
  <c r="Y410" i="40" s="1"/>
  <c r="J410" i="40"/>
  <c r="L410" i="40" s="1"/>
  <c r="N410" i="40" s="1"/>
  <c r="B338" i="32"/>
  <c r="T556" i="31"/>
  <c r="T560" i="31"/>
  <c r="J418" i="45"/>
  <c r="L418" i="45" s="1"/>
  <c r="P418" i="45"/>
  <c r="R418" i="45" s="1"/>
  <c r="J422" i="45"/>
  <c r="L422" i="45" s="1"/>
  <c r="P422" i="45"/>
  <c r="R422" i="45" s="1"/>
  <c r="T422" i="45" s="1"/>
  <c r="X422" i="45" s="1"/>
  <c r="U422" i="45" s="1"/>
  <c r="W426" i="40"/>
  <c r="S426" i="40"/>
  <c r="U426" i="40" s="1"/>
  <c r="J426" i="40"/>
  <c r="L426" i="40" s="1"/>
  <c r="N426" i="40" s="1"/>
  <c r="B354" i="32"/>
  <c r="P576" i="31"/>
  <c r="X576" i="31"/>
  <c r="X580" i="31"/>
  <c r="P580" i="31"/>
  <c r="J438" i="45"/>
  <c r="L438" i="45" s="1"/>
  <c r="P438" i="45"/>
  <c r="R438" i="45" s="1"/>
  <c r="W442" i="40"/>
  <c r="S442" i="40"/>
  <c r="U442" i="40" s="1"/>
  <c r="Y442" i="40" s="1"/>
  <c r="J442" i="40"/>
  <c r="L442" i="40" s="1"/>
  <c r="N442" i="40" s="1"/>
  <c r="B370" i="32"/>
  <c r="T588" i="31"/>
  <c r="T592" i="31"/>
  <c r="X596" i="31"/>
  <c r="P596" i="31"/>
  <c r="J454" i="45"/>
  <c r="L454" i="45" s="1"/>
  <c r="P454" i="45"/>
  <c r="R454" i="45" s="1"/>
  <c r="T454" i="45" s="1"/>
  <c r="X454" i="45" s="1"/>
  <c r="U454" i="45" s="1"/>
  <c r="W458" i="40"/>
  <c r="S458" i="40"/>
  <c r="U458" i="40" s="1"/>
  <c r="J458" i="40"/>
  <c r="L458" i="40" s="1"/>
  <c r="N458" i="40" s="1"/>
  <c r="B386" i="32"/>
  <c r="T608" i="31"/>
  <c r="X612" i="31"/>
  <c r="P612" i="31"/>
  <c r="P470" i="45"/>
  <c r="R470" i="45" s="1"/>
  <c r="J470" i="45"/>
  <c r="L470" i="45" s="1"/>
  <c r="W474" i="40"/>
  <c r="S474" i="40"/>
  <c r="U474" i="40" s="1"/>
  <c r="J474" i="40"/>
  <c r="L474" i="40" s="1"/>
  <c r="N474" i="40" s="1"/>
  <c r="B402" i="32"/>
  <c r="T620" i="31"/>
  <c r="T624" i="31"/>
  <c r="X628" i="31"/>
  <c r="P628" i="31"/>
  <c r="P486" i="45"/>
  <c r="R486" i="45" s="1"/>
  <c r="T486" i="45" s="1"/>
  <c r="X486" i="45" s="1"/>
  <c r="U486" i="45" s="1"/>
  <c r="J486" i="45"/>
  <c r="L486" i="45" s="1"/>
  <c r="W490" i="40"/>
  <c r="S490" i="40"/>
  <c r="U490" i="40" s="1"/>
  <c r="Y490" i="40" s="1"/>
  <c r="AA490" i="40" s="1"/>
  <c r="AE490" i="40" s="1"/>
  <c r="AB490" i="40" s="1"/>
  <c r="J490" i="40"/>
  <c r="L490" i="40" s="1"/>
  <c r="N490" i="40" s="1"/>
  <c r="B418" i="32"/>
  <c r="T640" i="31"/>
  <c r="X644" i="31"/>
  <c r="P644" i="31"/>
  <c r="P502" i="45"/>
  <c r="R502" i="45" s="1"/>
  <c r="J502" i="45"/>
  <c r="L502" i="45" s="1"/>
  <c r="W506" i="40"/>
  <c r="S506" i="40"/>
  <c r="U506" i="40" s="1"/>
  <c r="J506" i="40"/>
  <c r="L506" i="40" s="1"/>
  <c r="N506" i="40" s="1"/>
  <c r="B434" i="32"/>
  <c r="T652" i="31"/>
  <c r="T656" i="31"/>
  <c r="T660" i="31"/>
  <c r="Z391" i="40"/>
  <c r="AC391" i="40" s="1"/>
  <c r="BP278" i="32"/>
  <c r="CC278" i="32" s="1"/>
  <c r="CD278" i="32" s="1"/>
  <c r="CE278" i="32" s="1"/>
  <c r="BQ278" i="32" s="1"/>
  <c r="Z415" i="40"/>
  <c r="AC415" i="40" s="1"/>
  <c r="BP408" i="32"/>
  <c r="CC408" i="32" s="1"/>
  <c r="CD408" i="32" s="1"/>
  <c r="CE408" i="32" s="1"/>
  <c r="BQ408" i="32" s="1"/>
  <c r="BP440" i="32"/>
  <c r="CC440" i="32" s="1"/>
  <c r="CD440" i="32" s="1"/>
  <c r="CE440" i="32" s="1"/>
  <c r="BQ440" i="32" s="1"/>
  <c r="BP368" i="32"/>
  <c r="CC368" i="32" s="1"/>
  <c r="CD368" i="32" s="1"/>
  <c r="CE368" i="32" s="1"/>
  <c r="BQ368" i="32" s="1"/>
  <c r="BH254" i="32"/>
  <c r="BZ254" i="32" s="1"/>
  <c r="CA254" i="32" s="1"/>
  <c r="CB254" i="32" s="1"/>
  <c r="BI254" i="32" s="1"/>
  <c r="BH262" i="32"/>
  <c r="BZ262" i="32" s="1"/>
  <c r="CA262" i="32" s="1"/>
  <c r="CB262" i="32" s="1"/>
  <c r="BI262" i="32" s="1"/>
  <c r="BH270" i="32"/>
  <c r="BZ270" i="32" s="1"/>
  <c r="CA270" i="32" s="1"/>
  <c r="CB270" i="32" s="1"/>
  <c r="BI270" i="32" s="1"/>
  <c r="BH278" i="32"/>
  <c r="BZ278" i="32" s="1"/>
  <c r="CA278" i="32" s="1"/>
  <c r="CB278" i="32" s="1"/>
  <c r="BI278" i="32" s="1"/>
  <c r="BH286" i="32"/>
  <c r="BZ286" i="32" s="1"/>
  <c r="CA286" i="32" s="1"/>
  <c r="CB286" i="32" s="1"/>
  <c r="BI286" i="32" s="1"/>
  <c r="BH294" i="32"/>
  <c r="BZ294" i="32" s="1"/>
  <c r="CA294" i="32" s="1"/>
  <c r="CB294" i="32" s="1"/>
  <c r="BI294" i="32" s="1"/>
  <c r="BH302" i="32"/>
  <c r="BZ302" i="32" s="1"/>
  <c r="CA302" i="32" s="1"/>
  <c r="CB302" i="32" s="1"/>
  <c r="BI302" i="32" s="1"/>
  <c r="BH310" i="32"/>
  <c r="BZ310" i="32" s="1"/>
  <c r="CA310" i="32" s="1"/>
  <c r="CB310" i="32" s="1"/>
  <c r="BI310" i="32" s="1"/>
  <c r="BH318" i="32"/>
  <c r="BZ318" i="32" s="1"/>
  <c r="CA318" i="32" s="1"/>
  <c r="CB318" i="32" s="1"/>
  <c r="BI318" i="32" s="1"/>
  <c r="BH326" i="32"/>
  <c r="BZ326" i="32" s="1"/>
  <c r="CA326" i="32" s="1"/>
  <c r="CB326" i="32" s="1"/>
  <c r="BI326" i="32" s="1"/>
  <c r="BH334" i="32"/>
  <c r="BZ334" i="32" s="1"/>
  <c r="CA334" i="32" s="1"/>
  <c r="CB334" i="32" s="1"/>
  <c r="BI334" i="32" s="1"/>
  <c r="BH342" i="32"/>
  <c r="BZ342" i="32" s="1"/>
  <c r="CA342" i="32" s="1"/>
  <c r="CB342" i="32" s="1"/>
  <c r="BI342" i="32" s="1"/>
  <c r="BH350" i="32"/>
  <c r="BZ350" i="32" s="1"/>
  <c r="CA350" i="32" s="1"/>
  <c r="CB350" i="32" s="1"/>
  <c r="BI350" i="32" s="1"/>
  <c r="BH358" i="32"/>
  <c r="BZ358" i="32" s="1"/>
  <c r="CA358" i="32" s="1"/>
  <c r="CB358" i="32" s="1"/>
  <c r="BI358" i="32" s="1"/>
  <c r="BH366" i="32"/>
  <c r="BZ366" i="32" s="1"/>
  <c r="CA366" i="32" s="1"/>
  <c r="CB366" i="32" s="1"/>
  <c r="BI366" i="32" s="1"/>
  <c r="BH374" i="32"/>
  <c r="BZ374" i="32" s="1"/>
  <c r="CA374" i="32" s="1"/>
  <c r="CB374" i="32" s="1"/>
  <c r="BI374" i="32" s="1"/>
  <c r="BH382" i="32"/>
  <c r="BZ382" i="32" s="1"/>
  <c r="CA382" i="32" s="1"/>
  <c r="CB382" i="32" s="1"/>
  <c r="BI382" i="32" s="1"/>
  <c r="BH390" i="32"/>
  <c r="BZ390" i="32" s="1"/>
  <c r="CA390" i="32" s="1"/>
  <c r="CB390" i="32" s="1"/>
  <c r="BI390" i="32" s="1"/>
  <c r="BH398" i="32"/>
  <c r="BZ398" i="32" s="1"/>
  <c r="CA398" i="32" s="1"/>
  <c r="CB398" i="32" s="1"/>
  <c r="BI398" i="32" s="1"/>
  <c r="BH406" i="32"/>
  <c r="BZ406" i="32" s="1"/>
  <c r="CA406" i="32" s="1"/>
  <c r="CB406" i="32" s="1"/>
  <c r="BI406" i="32" s="1"/>
  <c r="BH414" i="32"/>
  <c r="BZ414" i="32" s="1"/>
  <c r="CA414" i="32" s="1"/>
  <c r="CB414" i="32" s="1"/>
  <c r="BI414" i="32" s="1"/>
  <c r="BH422" i="32"/>
  <c r="BZ422" i="32" s="1"/>
  <c r="CA422" i="32" s="1"/>
  <c r="CB422" i="32" s="1"/>
  <c r="BI422" i="32" s="1"/>
  <c r="BH430" i="32"/>
  <c r="BZ430" i="32" s="1"/>
  <c r="CA430" i="32" s="1"/>
  <c r="CB430" i="32" s="1"/>
  <c r="BI430" i="32" s="1"/>
  <c r="BH438" i="32"/>
  <c r="BZ438" i="32" s="1"/>
  <c r="CA438" i="32" s="1"/>
  <c r="CB438" i="32" s="1"/>
  <c r="BI438" i="32" s="1"/>
  <c r="BP84" i="32"/>
  <c r="CC84" i="32" s="1"/>
  <c r="CD84" i="32" s="1"/>
  <c r="CE84" i="32" s="1"/>
  <c r="BQ84" i="32" s="1"/>
  <c r="BH110" i="32"/>
  <c r="BZ110" i="32" s="1"/>
  <c r="CA110" i="32" s="1"/>
  <c r="CB110" i="32" s="1"/>
  <c r="BI110" i="32" s="1"/>
  <c r="BH177" i="32"/>
  <c r="BZ177" i="32" s="1"/>
  <c r="CA177" i="32" s="1"/>
  <c r="CB177" i="32" s="1"/>
  <c r="BI177" i="32" s="1"/>
  <c r="BP203" i="32"/>
  <c r="CC203" i="32" s="1"/>
  <c r="CD203" i="32" s="1"/>
  <c r="CE203" i="32" s="1"/>
  <c r="BQ203" i="32" s="1"/>
  <c r="Z439" i="40"/>
  <c r="AC439" i="40" s="1"/>
  <c r="BP432" i="32"/>
  <c r="CC432" i="32" s="1"/>
  <c r="CD432" i="32" s="1"/>
  <c r="CE432" i="32" s="1"/>
  <c r="BQ432" i="32" s="1"/>
  <c r="BH145" i="32"/>
  <c r="BZ145" i="32" s="1"/>
  <c r="CA145" i="32" s="1"/>
  <c r="CB145" i="32" s="1"/>
  <c r="BI145" i="32" s="1"/>
  <c r="BH231" i="32"/>
  <c r="BZ231" i="32" s="1"/>
  <c r="CA231" i="32" s="1"/>
  <c r="CB231" i="32" s="1"/>
  <c r="BI231" i="32" s="1"/>
  <c r="BP235" i="32"/>
  <c r="CC235" i="32" s="1"/>
  <c r="CD235" i="32" s="1"/>
  <c r="CE235" i="32" s="1"/>
  <c r="BQ235" i="32" s="1"/>
  <c r="Z431" i="40"/>
  <c r="AC431" i="40" s="1"/>
  <c r="BP424" i="32"/>
  <c r="CC424" i="32" s="1"/>
  <c r="CD424" i="32" s="1"/>
  <c r="CE424" i="32" s="1"/>
  <c r="BQ424" i="32" s="1"/>
  <c r="X309" i="31"/>
  <c r="P309" i="31"/>
  <c r="K78" i="40"/>
  <c r="O78" i="40" s="1"/>
  <c r="Q78" i="40" s="1"/>
  <c r="T78" i="40"/>
  <c r="V78" i="40" s="1"/>
  <c r="Z78" i="40" s="1"/>
  <c r="AC78" i="40" s="1"/>
  <c r="X78" i="40"/>
  <c r="C6" i="32"/>
  <c r="K82" i="45"/>
  <c r="N82" i="45" s="1"/>
  <c r="Q82" i="45"/>
  <c r="S82" i="45" s="1"/>
  <c r="V82" i="45" s="1"/>
  <c r="T232" i="31"/>
  <c r="T236" i="31"/>
  <c r="K94" i="45"/>
  <c r="N94" i="45" s="1"/>
  <c r="Q94" i="45"/>
  <c r="S94" i="45" s="1"/>
  <c r="V94" i="45" s="1"/>
  <c r="K98" i="45"/>
  <c r="N98" i="45" s="1"/>
  <c r="Q98" i="45"/>
  <c r="S98" i="45" s="1"/>
  <c r="T248" i="31"/>
  <c r="P252" i="31"/>
  <c r="X252" i="31"/>
  <c r="K110" i="45"/>
  <c r="N110" i="45" s="1"/>
  <c r="Q110" i="45"/>
  <c r="S110" i="45" s="1"/>
  <c r="V110" i="45" s="1"/>
  <c r="K114" i="45"/>
  <c r="N114" i="45" s="1"/>
  <c r="Q114" i="45"/>
  <c r="S114" i="45" s="1"/>
  <c r="T264" i="31"/>
  <c r="P268" i="31"/>
  <c r="X268" i="31"/>
  <c r="K126" i="45"/>
  <c r="N126" i="45" s="1"/>
  <c r="Q126" i="45"/>
  <c r="S126" i="45" s="1"/>
  <c r="K130" i="45"/>
  <c r="N130" i="45" s="1"/>
  <c r="Q130" i="45"/>
  <c r="S130" i="45" s="1"/>
  <c r="V130" i="45" s="1"/>
  <c r="T280" i="31"/>
  <c r="T284" i="31"/>
  <c r="K142" i="45"/>
  <c r="N142" i="45" s="1"/>
  <c r="Q142" i="45"/>
  <c r="S142" i="45" s="1"/>
  <c r="V142" i="45" s="1"/>
  <c r="K146" i="45"/>
  <c r="N146" i="45" s="1"/>
  <c r="Q146" i="45"/>
  <c r="S146" i="45" s="1"/>
  <c r="T296" i="31"/>
  <c r="T300" i="31"/>
  <c r="K158" i="45"/>
  <c r="N158" i="45" s="1"/>
  <c r="Q158" i="45"/>
  <c r="S158" i="45" s="1"/>
  <c r="K162" i="45"/>
  <c r="N162" i="45" s="1"/>
  <c r="Q162" i="45"/>
  <c r="S162" i="45" s="1"/>
  <c r="V162" i="45" s="1"/>
  <c r="T313" i="31"/>
  <c r="Q171" i="45"/>
  <c r="S171" i="45" s="1"/>
  <c r="K171" i="45"/>
  <c r="N171" i="45" s="1"/>
  <c r="Q175" i="45"/>
  <c r="S175" i="45" s="1"/>
  <c r="V175" i="45" s="1"/>
  <c r="K175" i="45"/>
  <c r="N175" i="45" s="1"/>
  <c r="T179" i="40"/>
  <c r="V179" i="40" s="1"/>
  <c r="X179" i="40"/>
  <c r="K179" i="40"/>
  <c r="O179" i="40" s="1"/>
  <c r="Q179" i="40" s="1"/>
  <c r="C107" i="32"/>
  <c r="P329" i="31"/>
  <c r="Y329" i="31" s="1"/>
  <c r="X329" i="31"/>
  <c r="Q187" i="45"/>
  <c r="S187" i="45" s="1"/>
  <c r="V187" i="45" s="1"/>
  <c r="K187" i="45"/>
  <c r="N187" i="45" s="1"/>
  <c r="Q191" i="45"/>
  <c r="S191" i="45" s="1"/>
  <c r="K191" i="45"/>
  <c r="N191" i="45" s="1"/>
  <c r="T195" i="40"/>
  <c r="V195" i="40" s="1"/>
  <c r="Z195" i="40" s="1"/>
  <c r="AC195" i="40" s="1"/>
  <c r="X195" i="40"/>
  <c r="C123" i="32"/>
  <c r="K195" i="40"/>
  <c r="O195" i="40" s="1"/>
  <c r="Q195" i="40" s="1"/>
  <c r="T345" i="31"/>
  <c r="Q203" i="45"/>
  <c r="S203" i="45" s="1"/>
  <c r="V203" i="45" s="1"/>
  <c r="K203" i="45"/>
  <c r="N203" i="45" s="1"/>
  <c r="Q207" i="45"/>
  <c r="S207" i="45" s="1"/>
  <c r="K207" i="45"/>
  <c r="N207" i="45" s="1"/>
  <c r="X211" i="40"/>
  <c r="T211" i="40"/>
  <c r="V211" i="40" s="1"/>
  <c r="K211" i="40"/>
  <c r="O211" i="40" s="1"/>
  <c r="Q211" i="40" s="1"/>
  <c r="C139" i="32"/>
  <c r="T361" i="31"/>
  <c r="Q219" i="45"/>
  <c r="S219" i="45" s="1"/>
  <c r="K219" i="45"/>
  <c r="N219" i="45" s="1"/>
  <c r="Q223" i="45"/>
  <c r="S223" i="45" s="1"/>
  <c r="V223" i="45" s="1"/>
  <c r="K223" i="45"/>
  <c r="N223" i="45" s="1"/>
  <c r="X227" i="40"/>
  <c r="T227" i="40"/>
  <c r="V227" i="40" s="1"/>
  <c r="Z227" i="40" s="1"/>
  <c r="K227" i="40"/>
  <c r="O227" i="40" s="1"/>
  <c r="Q227" i="40" s="1"/>
  <c r="C155" i="32"/>
  <c r="T373" i="31"/>
  <c r="X377" i="31"/>
  <c r="P377" i="31"/>
  <c r="Y377" i="31" s="1"/>
  <c r="Q235" i="45"/>
  <c r="S235" i="45" s="1"/>
  <c r="V235" i="45" s="1"/>
  <c r="K235" i="45"/>
  <c r="N235" i="45" s="1"/>
  <c r="Q239" i="45"/>
  <c r="S239" i="45" s="1"/>
  <c r="K239" i="45"/>
  <c r="N239" i="45" s="1"/>
  <c r="X243" i="40"/>
  <c r="T243" i="40"/>
  <c r="V243" i="40" s="1"/>
  <c r="K243" i="40"/>
  <c r="O243" i="40" s="1"/>
  <c r="Q243" i="40" s="1"/>
  <c r="C171" i="32"/>
  <c r="P393" i="31"/>
  <c r="Y393" i="31" s="1"/>
  <c r="X393" i="31"/>
  <c r="Q251" i="45"/>
  <c r="S251" i="45" s="1"/>
  <c r="K251" i="45"/>
  <c r="N251" i="45" s="1"/>
  <c r="Q255" i="45"/>
  <c r="S255" i="45" s="1"/>
  <c r="V255" i="45" s="1"/>
  <c r="K255" i="45"/>
  <c r="N255" i="45" s="1"/>
  <c r="X259" i="40"/>
  <c r="T259" i="40"/>
  <c r="V259" i="40" s="1"/>
  <c r="Z259" i="40" s="1"/>
  <c r="AC259" i="40" s="1"/>
  <c r="K259" i="40"/>
  <c r="O259" i="40" s="1"/>
  <c r="Q259" i="40" s="1"/>
  <c r="C187" i="32"/>
  <c r="T409" i="31"/>
  <c r="Q267" i="45"/>
  <c r="S267" i="45" s="1"/>
  <c r="V267" i="45" s="1"/>
  <c r="K267" i="45"/>
  <c r="N267" i="45" s="1"/>
  <c r="Q271" i="45"/>
  <c r="S271" i="45" s="1"/>
  <c r="K271" i="45"/>
  <c r="N271" i="45" s="1"/>
  <c r="X275" i="40"/>
  <c r="K275" i="40"/>
  <c r="O275" i="40" s="1"/>
  <c r="Q275" i="40" s="1"/>
  <c r="T275" i="40"/>
  <c r="V275" i="40" s="1"/>
  <c r="C203" i="32"/>
  <c r="T425" i="31"/>
  <c r="Q283" i="45"/>
  <c r="S283" i="45" s="1"/>
  <c r="V283" i="45" s="1"/>
  <c r="K283" i="45"/>
  <c r="N283" i="45" s="1"/>
  <c r="Q287" i="45"/>
  <c r="S287" i="45" s="1"/>
  <c r="K287" i="45"/>
  <c r="N287" i="45" s="1"/>
  <c r="X291" i="40"/>
  <c r="K291" i="40"/>
  <c r="O291" i="40" s="1"/>
  <c r="Q291" i="40" s="1"/>
  <c r="T291" i="40"/>
  <c r="V291" i="40" s="1"/>
  <c r="Z291" i="40" s="1"/>
  <c r="AC291" i="40" s="1"/>
  <c r="C219" i="32"/>
  <c r="T441" i="31"/>
  <c r="P665" i="31"/>
  <c r="X665" i="31"/>
  <c r="Q303" i="45"/>
  <c r="S303" i="45" s="1"/>
  <c r="V303" i="45" s="1"/>
  <c r="K303" i="45"/>
  <c r="N303" i="45" s="1"/>
  <c r="X307" i="40"/>
  <c r="K307" i="40"/>
  <c r="O307" i="40" s="1"/>
  <c r="Q307" i="40" s="1"/>
  <c r="T307" i="40"/>
  <c r="V307" i="40" s="1"/>
  <c r="Z307" i="40" s="1"/>
  <c r="AC307" i="40" s="1"/>
  <c r="C235" i="32"/>
  <c r="T677" i="31"/>
  <c r="T681" i="31"/>
  <c r="Q319" i="45"/>
  <c r="S319" i="45" s="1"/>
  <c r="V319" i="45" s="1"/>
  <c r="K319" i="45"/>
  <c r="N319" i="45" s="1"/>
  <c r="T323" i="40"/>
  <c r="V323" i="40" s="1"/>
  <c r="K323" i="40"/>
  <c r="O323" i="40" s="1"/>
  <c r="Q323" i="40" s="1"/>
  <c r="X323" i="40"/>
  <c r="C251" i="32"/>
  <c r="T693" i="31"/>
  <c r="X697" i="31"/>
  <c r="P697" i="31"/>
  <c r="Q335" i="45"/>
  <c r="S335" i="45" s="1"/>
  <c r="V335" i="45" s="1"/>
  <c r="K335" i="45"/>
  <c r="N335" i="45" s="1"/>
  <c r="T339" i="40"/>
  <c r="V339" i="40" s="1"/>
  <c r="Z339" i="40" s="1"/>
  <c r="K339" i="40"/>
  <c r="O339" i="40" s="1"/>
  <c r="Q339" i="40" s="1"/>
  <c r="X339" i="40"/>
  <c r="C267" i="32"/>
  <c r="T709" i="31"/>
  <c r="Q348" i="45"/>
  <c r="S348" i="45" s="1"/>
  <c r="V348" i="45" s="1"/>
  <c r="K348" i="45"/>
  <c r="N348" i="45" s="1"/>
  <c r="Q352" i="45"/>
  <c r="S352" i="45" s="1"/>
  <c r="K352" i="45"/>
  <c r="N352" i="45" s="1"/>
  <c r="X356" i="40"/>
  <c r="T356" i="40"/>
  <c r="V356" i="40" s="1"/>
  <c r="K356" i="40"/>
  <c r="O356" i="40" s="1"/>
  <c r="Q356" i="40" s="1"/>
  <c r="C284" i="32"/>
  <c r="P726" i="31"/>
  <c r="Y726" i="31" s="1"/>
  <c r="X726" i="31"/>
  <c r="P730" i="31"/>
  <c r="X730" i="31"/>
  <c r="P734" i="31"/>
  <c r="Y734" i="31" s="1"/>
  <c r="X734" i="31"/>
  <c r="X372" i="40"/>
  <c r="T372" i="40"/>
  <c r="V372" i="40" s="1"/>
  <c r="Z372" i="40" s="1"/>
  <c r="K372" i="40"/>
  <c r="O372" i="40" s="1"/>
  <c r="Q372" i="40" s="1"/>
  <c r="C300" i="32"/>
  <c r="T742" i="31"/>
  <c r="Q380" i="45"/>
  <c r="S380" i="45" s="1"/>
  <c r="K380" i="45"/>
  <c r="N380" i="45" s="1"/>
  <c r="K385" i="45"/>
  <c r="N385" i="45" s="1"/>
  <c r="Q385" i="45"/>
  <c r="S385" i="45" s="1"/>
  <c r="T389" i="40"/>
  <c r="V389" i="40" s="1"/>
  <c r="Z389" i="40" s="1"/>
  <c r="K389" i="40"/>
  <c r="O389" i="40" s="1"/>
  <c r="Q389" i="40" s="1"/>
  <c r="X389" i="40"/>
  <c r="C317" i="32"/>
  <c r="X759" i="31"/>
  <c r="P759" i="31"/>
  <c r="Y759" i="31" s="1"/>
  <c r="X763" i="31"/>
  <c r="P763" i="31"/>
  <c r="Y763" i="31" s="1"/>
  <c r="K401" i="45"/>
  <c r="N401" i="45" s="1"/>
  <c r="Q401" i="45"/>
  <c r="S401" i="45" s="1"/>
  <c r="V401" i="45" s="1"/>
  <c r="T405" i="40"/>
  <c r="V405" i="40" s="1"/>
  <c r="K405" i="40"/>
  <c r="O405" i="40" s="1"/>
  <c r="Q405" i="40" s="1"/>
  <c r="X405" i="40"/>
  <c r="C333" i="32"/>
  <c r="P779" i="31"/>
  <c r="Y779" i="31" s="1"/>
  <c r="X779" i="31"/>
  <c r="K417" i="45"/>
  <c r="N417" i="45" s="1"/>
  <c r="Q417" i="45"/>
  <c r="S417" i="45" s="1"/>
  <c r="V417" i="45" s="1"/>
  <c r="T421" i="40"/>
  <c r="V421" i="40" s="1"/>
  <c r="K421" i="40"/>
  <c r="O421" i="40" s="1"/>
  <c r="Q421" i="40" s="1"/>
  <c r="X421" i="40"/>
  <c r="C349" i="32"/>
  <c r="X791" i="31"/>
  <c r="P791" i="31"/>
  <c r="Y791" i="31" s="1"/>
  <c r="P795" i="31"/>
  <c r="Y795" i="31" s="1"/>
  <c r="X795" i="31"/>
  <c r="K433" i="45"/>
  <c r="N433" i="45" s="1"/>
  <c r="Q433" i="45"/>
  <c r="S433" i="45" s="1"/>
  <c r="T437" i="40"/>
  <c r="V437" i="40" s="1"/>
  <c r="Z437" i="40" s="1"/>
  <c r="K437" i="40"/>
  <c r="O437" i="40" s="1"/>
  <c r="Q437" i="40" s="1"/>
  <c r="X437" i="40"/>
  <c r="C365" i="32"/>
  <c r="K449" i="45"/>
  <c r="N449" i="45" s="1"/>
  <c r="Q449" i="45"/>
  <c r="S449" i="45" s="1"/>
  <c r="V449" i="45" s="1"/>
  <c r="T453" i="40"/>
  <c r="V453" i="40" s="1"/>
  <c r="K453" i="40"/>
  <c r="O453" i="40" s="1"/>
  <c r="Q453" i="40" s="1"/>
  <c r="X453" i="40"/>
  <c r="C381" i="32"/>
  <c r="P823" i="31"/>
  <c r="Y823" i="31" s="1"/>
  <c r="X823" i="31"/>
  <c r="P827" i="31"/>
  <c r="X827" i="31"/>
  <c r="Q465" i="45"/>
  <c r="S465" i="45" s="1"/>
  <c r="V465" i="45" s="1"/>
  <c r="K465" i="45"/>
  <c r="N465" i="45" s="1"/>
  <c r="T469" i="40"/>
  <c r="V469" i="40" s="1"/>
  <c r="Z469" i="40" s="1"/>
  <c r="K469" i="40"/>
  <c r="O469" i="40" s="1"/>
  <c r="Q469" i="40" s="1"/>
  <c r="X469" i="40"/>
  <c r="C397" i="32"/>
  <c r="T840" i="31"/>
  <c r="P844" i="31"/>
  <c r="X844" i="31"/>
  <c r="K482" i="45"/>
  <c r="N482" i="45" s="1"/>
  <c r="Q482" i="45"/>
  <c r="S482" i="45" s="1"/>
  <c r="V482" i="45" s="1"/>
  <c r="X486" i="40"/>
  <c r="T486" i="40"/>
  <c r="V486" i="40" s="1"/>
  <c r="K486" i="40"/>
  <c r="O486" i="40" s="1"/>
  <c r="Q486" i="40" s="1"/>
  <c r="C414" i="32"/>
  <c r="T852" i="31"/>
  <c r="T856" i="31"/>
  <c r="P864" i="31"/>
  <c r="Y864" i="31" s="1"/>
  <c r="X864" i="31"/>
  <c r="X502" i="40"/>
  <c r="T502" i="40"/>
  <c r="V502" i="40" s="1"/>
  <c r="K502" i="40"/>
  <c r="O502" i="40" s="1"/>
  <c r="Q502" i="40" s="1"/>
  <c r="C430" i="32"/>
  <c r="T868" i="31"/>
  <c r="T872" i="31"/>
  <c r="P876" i="31"/>
  <c r="X876" i="31"/>
  <c r="K514" i="45"/>
  <c r="N514" i="45" s="1"/>
  <c r="Q514" i="45"/>
  <c r="S514" i="45" s="1"/>
  <c r="J79" i="40"/>
  <c r="L79" i="40" s="1"/>
  <c r="N79" i="40" s="1"/>
  <c r="S79" i="40"/>
  <c r="U79" i="40" s="1"/>
  <c r="W79" i="40"/>
  <c r="B7" i="32"/>
  <c r="P9" i="31"/>
  <c r="Y9" i="31" s="1"/>
  <c r="X9" i="31"/>
  <c r="J87" i="45"/>
  <c r="L87" i="45" s="1"/>
  <c r="P87" i="45"/>
  <c r="R87" i="45" s="1"/>
  <c r="J91" i="45"/>
  <c r="L91" i="45" s="1"/>
  <c r="P91" i="45"/>
  <c r="R91" i="45" s="1"/>
  <c r="T91" i="45" s="1"/>
  <c r="X91" i="45" s="1"/>
  <c r="U91" i="45" s="1"/>
  <c r="Y91" i="45" s="1"/>
  <c r="W95" i="40"/>
  <c r="S95" i="40"/>
  <c r="U95" i="40" s="1"/>
  <c r="J95" i="40"/>
  <c r="L95" i="40" s="1"/>
  <c r="N95" i="40" s="1"/>
  <c r="B23" i="32"/>
  <c r="T25" i="31"/>
  <c r="J103" i="45"/>
  <c r="L103" i="45" s="1"/>
  <c r="P103" i="45"/>
  <c r="R103" i="45" s="1"/>
  <c r="J107" i="45"/>
  <c r="L107" i="45" s="1"/>
  <c r="P107" i="45"/>
  <c r="R107" i="45" s="1"/>
  <c r="T107" i="45" s="1"/>
  <c r="X107" i="45" s="1"/>
  <c r="U107" i="45" s="1"/>
  <c r="W111" i="40"/>
  <c r="S111" i="40"/>
  <c r="U111" i="40" s="1"/>
  <c r="J111" i="40"/>
  <c r="L111" i="40" s="1"/>
  <c r="N111" i="40" s="1"/>
  <c r="B39" i="32"/>
  <c r="T41" i="31"/>
  <c r="J119" i="45"/>
  <c r="L119" i="45" s="1"/>
  <c r="P119" i="45"/>
  <c r="R119" i="45" s="1"/>
  <c r="T119" i="45" s="1"/>
  <c r="X119" i="45" s="1"/>
  <c r="U119" i="45" s="1"/>
  <c r="Y119" i="45" s="1"/>
  <c r="T49" i="31"/>
  <c r="J127" i="40"/>
  <c r="L127" i="40" s="1"/>
  <c r="N127" i="40" s="1"/>
  <c r="S127" i="40"/>
  <c r="U127" i="40" s="1"/>
  <c r="W127" i="40"/>
  <c r="B55" i="32"/>
  <c r="T57" i="31"/>
  <c r="J135" i="45"/>
  <c r="L135" i="45" s="1"/>
  <c r="P135" i="45"/>
  <c r="R135" i="45" s="1"/>
  <c r="T135" i="45" s="1"/>
  <c r="X135" i="45" s="1"/>
  <c r="U135" i="45" s="1"/>
  <c r="Y135" i="45" s="1"/>
  <c r="T65" i="31"/>
  <c r="J143" i="40"/>
  <c r="L143" i="40" s="1"/>
  <c r="N143" i="40" s="1"/>
  <c r="S143" i="40"/>
  <c r="U143" i="40" s="1"/>
  <c r="W143" i="40"/>
  <c r="B71" i="32"/>
  <c r="P73" i="31"/>
  <c r="X73" i="31"/>
  <c r="J151" i="45"/>
  <c r="L151" i="45" s="1"/>
  <c r="P151" i="45"/>
  <c r="R151" i="45" s="1"/>
  <c r="T151" i="45" s="1"/>
  <c r="X151" i="45" s="1"/>
  <c r="U151" i="45" s="1"/>
  <c r="Y151" i="45" s="1"/>
  <c r="J155" i="45"/>
  <c r="L155" i="45" s="1"/>
  <c r="P155" i="45"/>
  <c r="R155" i="45" s="1"/>
  <c r="J159" i="40"/>
  <c r="L159" i="40" s="1"/>
  <c r="N159" i="40" s="1"/>
  <c r="S159" i="40"/>
  <c r="U159" i="40" s="1"/>
  <c r="Y159" i="40" s="1"/>
  <c r="AA159" i="40" s="1"/>
  <c r="AE159" i="40" s="1"/>
  <c r="AB159" i="40" s="1"/>
  <c r="W159" i="40"/>
  <c r="B87" i="32"/>
  <c r="T89" i="31"/>
  <c r="J167" i="45"/>
  <c r="L167" i="45" s="1"/>
  <c r="P167" i="45"/>
  <c r="R167" i="45" s="1"/>
  <c r="J171" i="45"/>
  <c r="L171" i="45" s="1"/>
  <c r="P171" i="45"/>
  <c r="R171" i="45" s="1"/>
  <c r="T171" i="45" s="1"/>
  <c r="X171" i="45" s="1"/>
  <c r="U171" i="45" s="1"/>
  <c r="J175" i="40"/>
  <c r="L175" i="40" s="1"/>
  <c r="N175" i="40" s="1"/>
  <c r="S175" i="40"/>
  <c r="U175" i="40" s="1"/>
  <c r="Y175" i="40" s="1"/>
  <c r="W175" i="40"/>
  <c r="B103" i="32"/>
  <c r="T105" i="31"/>
  <c r="J183" i="45"/>
  <c r="L183" i="45" s="1"/>
  <c r="P183" i="45"/>
  <c r="R183" i="45" s="1"/>
  <c r="J187" i="45"/>
  <c r="L187" i="45" s="1"/>
  <c r="P187" i="45"/>
  <c r="R187" i="45" s="1"/>
  <c r="T187" i="45" s="1"/>
  <c r="X187" i="45" s="1"/>
  <c r="U187" i="45" s="1"/>
  <c r="Y187" i="45" s="1"/>
  <c r="J191" i="40"/>
  <c r="L191" i="40" s="1"/>
  <c r="N191" i="40" s="1"/>
  <c r="S191" i="40"/>
  <c r="U191" i="40" s="1"/>
  <c r="W191" i="40"/>
  <c r="B119" i="32"/>
  <c r="T117" i="31"/>
  <c r="X121" i="31"/>
  <c r="P121" i="31"/>
  <c r="J199" i="45"/>
  <c r="L199" i="45" s="1"/>
  <c r="P199" i="45"/>
  <c r="R199" i="45" s="1"/>
  <c r="J203" i="45"/>
  <c r="L203" i="45" s="1"/>
  <c r="P203" i="45"/>
  <c r="R203" i="45" s="1"/>
  <c r="T203" i="45" s="1"/>
  <c r="X203" i="45" s="1"/>
  <c r="U203" i="45" s="1"/>
  <c r="Y203" i="45" s="1"/>
  <c r="W207" i="40"/>
  <c r="S207" i="40"/>
  <c r="U207" i="40" s="1"/>
  <c r="J207" i="40"/>
  <c r="L207" i="40" s="1"/>
  <c r="N207" i="40" s="1"/>
  <c r="B135" i="32"/>
  <c r="P137" i="31"/>
  <c r="Y137" i="31" s="1"/>
  <c r="X137" i="31"/>
  <c r="J215" i="45"/>
  <c r="L215" i="45" s="1"/>
  <c r="P215" i="45"/>
  <c r="R215" i="45" s="1"/>
  <c r="T215" i="45" s="1"/>
  <c r="X215" i="45" s="1"/>
  <c r="U215" i="45" s="1"/>
  <c r="J219" i="45"/>
  <c r="L219" i="45" s="1"/>
  <c r="P219" i="45"/>
  <c r="R219" i="45" s="1"/>
  <c r="W223" i="40"/>
  <c r="S223" i="40"/>
  <c r="U223" i="40" s="1"/>
  <c r="Y223" i="40" s="1"/>
  <c r="J223" i="40"/>
  <c r="L223" i="40" s="1"/>
  <c r="N223" i="40" s="1"/>
  <c r="B151" i="32"/>
  <c r="T153" i="31"/>
  <c r="J231" i="45"/>
  <c r="L231" i="45" s="1"/>
  <c r="P231" i="45"/>
  <c r="R231" i="45" s="1"/>
  <c r="T231" i="45" s="1"/>
  <c r="X231" i="45" s="1"/>
  <c r="U231" i="45" s="1"/>
  <c r="J235" i="45"/>
  <c r="L235" i="45" s="1"/>
  <c r="P235" i="45"/>
  <c r="R235" i="45" s="1"/>
  <c r="W239" i="40"/>
  <c r="S239" i="40"/>
  <c r="U239" i="40" s="1"/>
  <c r="Y239" i="40" s="1"/>
  <c r="AA239" i="40" s="1"/>
  <c r="AE239" i="40" s="1"/>
  <c r="AB239" i="40" s="1"/>
  <c r="J239" i="40"/>
  <c r="L239" i="40" s="1"/>
  <c r="N239" i="40" s="1"/>
  <c r="B167" i="32"/>
  <c r="T169" i="31"/>
  <c r="J247" i="45"/>
  <c r="L247" i="45" s="1"/>
  <c r="P247" i="45"/>
  <c r="R247" i="45" s="1"/>
  <c r="J251" i="45"/>
  <c r="L251" i="45" s="1"/>
  <c r="P251" i="45"/>
  <c r="R251" i="45" s="1"/>
  <c r="T251" i="45" s="1"/>
  <c r="X251" i="45" s="1"/>
  <c r="U251" i="45" s="1"/>
  <c r="W255" i="40"/>
  <c r="S255" i="40"/>
  <c r="U255" i="40" s="1"/>
  <c r="J255" i="40"/>
  <c r="L255" i="40" s="1"/>
  <c r="N255" i="40" s="1"/>
  <c r="B183" i="32"/>
  <c r="T185" i="31"/>
  <c r="J263" i="45"/>
  <c r="L263" i="45" s="1"/>
  <c r="P263" i="45"/>
  <c r="R263" i="45" s="1"/>
  <c r="T193" i="31"/>
  <c r="W271" i="40"/>
  <c r="S271" i="40"/>
  <c r="U271" i="40" s="1"/>
  <c r="B199" i="32"/>
  <c r="J271" i="40"/>
  <c r="L271" i="40" s="1"/>
  <c r="N271" i="40" s="1"/>
  <c r="P201" i="31"/>
  <c r="X201" i="31"/>
  <c r="J279" i="45"/>
  <c r="L279" i="45" s="1"/>
  <c r="P279" i="45"/>
  <c r="R279" i="45" s="1"/>
  <c r="T279" i="45" s="1"/>
  <c r="X279" i="45" s="1"/>
  <c r="U279" i="45" s="1"/>
  <c r="J283" i="45"/>
  <c r="L283" i="45" s="1"/>
  <c r="P283" i="45"/>
  <c r="R283" i="45" s="1"/>
  <c r="W287" i="40"/>
  <c r="S287" i="40"/>
  <c r="U287" i="40" s="1"/>
  <c r="Y287" i="40" s="1"/>
  <c r="J287" i="40"/>
  <c r="L287" i="40" s="1"/>
  <c r="N287" i="40" s="1"/>
  <c r="B215" i="32"/>
  <c r="T217" i="31"/>
  <c r="J295" i="45"/>
  <c r="L295" i="45" s="1"/>
  <c r="P295" i="45"/>
  <c r="R295" i="45" s="1"/>
  <c r="T295" i="45" s="1"/>
  <c r="X295" i="45" s="1"/>
  <c r="U295" i="45" s="1"/>
  <c r="P445" i="31"/>
  <c r="Y445" i="31" s="1"/>
  <c r="X445" i="31"/>
  <c r="W303" i="40"/>
  <c r="S303" i="40"/>
  <c r="U303" i="40" s="1"/>
  <c r="Y303" i="40" s="1"/>
  <c r="AA303" i="40" s="1"/>
  <c r="AE303" i="40" s="1"/>
  <c r="AB303" i="40" s="1"/>
  <c r="B231" i="32"/>
  <c r="J303" i="40"/>
  <c r="L303" i="40" s="1"/>
  <c r="N303" i="40" s="1"/>
  <c r="T453" i="31"/>
  <c r="J311" i="45"/>
  <c r="L311" i="45" s="1"/>
  <c r="P311" i="45"/>
  <c r="R311" i="45" s="1"/>
  <c r="J315" i="45"/>
  <c r="L315" i="45" s="1"/>
  <c r="P315" i="45"/>
  <c r="R315" i="45" s="1"/>
  <c r="T315" i="45" s="1"/>
  <c r="X315" i="45" s="1"/>
  <c r="U315" i="45" s="1"/>
  <c r="S319" i="40"/>
  <c r="U319" i="40" s="1"/>
  <c r="Y319" i="40" s="1"/>
  <c r="AA319" i="40" s="1"/>
  <c r="AE319" i="40" s="1"/>
  <c r="AB319" i="40" s="1"/>
  <c r="J319" i="40"/>
  <c r="L319" i="40" s="1"/>
  <c r="N319" i="40" s="1"/>
  <c r="W319" i="40"/>
  <c r="B247" i="32"/>
  <c r="T469" i="31"/>
  <c r="X473" i="31"/>
  <c r="P473" i="31"/>
  <c r="J331" i="45"/>
  <c r="L331" i="45" s="1"/>
  <c r="P331" i="45"/>
  <c r="R331" i="45" s="1"/>
  <c r="T331" i="45" s="1"/>
  <c r="X331" i="45" s="1"/>
  <c r="U331" i="45" s="1"/>
  <c r="S335" i="40"/>
  <c r="U335" i="40" s="1"/>
  <c r="J335" i="40"/>
  <c r="L335" i="40" s="1"/>
  <c r="N335" i="40" s="1"/>
  <c r="W335" i="40"/>
  <c r="B263" i="32"/>
  <c r="T485" i="31"/>
  <c r="J343" i="45"/>
  <c r="L343" i="45" s="1"/>
  <c r="P343" i="45"/>
  <c r="R343" i="45" s="1"/>
  <c r="T343" i="45" s="1"/>
  <c r="X343" i="45" s="1"/>
  <c r="U343" i="45" s="1"/>
  <c r="J347" i="45"/>
  <c r="L347" i="45" s="1"/>
  <c r="P347" i="45"/>
  <c r="R347" i="45" s="1"/>
  <c r="S351" i="40"/>
  <c r="U351" i="40" s="1"/>
  <c r="J351" i="40"/>
  <c r="L351" i="40" s="1"/>
  <c r="N351" i="40" s="1"/>
  <c r="W351" i="40"/>
  <c r="B279" i="32"/>
  <c r="T501" i="31"/>
  <c r="J359" i="45"/>
  <c r="L359" i="45" s="1"/>
  <c r="P359" i="45"/>
  <c r="R359" i="45" s="1"/>
  <c r="T359" i="45" s="1"/>
  <c r="X359" i="45" s="1"/>
  <c r="U359" i="45" s="1"/>
  <c r="Y359" i="45" s="1"/>
  <c r="J363" i="45"/>
  <c r="L363" i="45" s="1"/>
  <c r="P363" i="45"/>
  <c r="R363" i="45" s="1"/>
  <c r="S367" i="40"/>
  <c r="U367" i="40" s="1"/>
  <c r="Y367" i="40" s="1"/>
  <c r="J367" i="40"/>
  <c r="L367" i="40" s="1"/>
  <c r="N367" i="40" s="1"/>
  <c r="W367" i="40"/>
  <c r="B295" i="32"/>
  <c r="T517" i="31"/>
  <c r="T521" i="31"/>
  <c r="J379" i="45"/>
  <c r="L379" i="45" s="1"/>
  <c r="P379" i="45"/>
  <c r="R379" i="45" s="1"/>
  <c r="S383" i="40"/>
  <c r="U383" i="40" s="1"/>
  <c r="Y383" i="40" s="1"/>
  <c r="J383" i="40"/>
  <c r="L383" i="40" s="1"/>
  <c r="N383" i="40" s="1"/>
  <c r="W383" i="40"/>
  <c r="B311" i="32"/>
  <c r="J387" i="45"/>
  <c r="L387" i="45" s="1"/>
  <c r="P387" i="45"/>
  <c r="R387" i="45" s="1"/>
  <c r="T387" i="45" s="1"/>
  <c r="X387" i="45" s="1"/>
  <c r="U387" i="45" s="1"/>
  <c r="P537" i="31"/>
  <c r="X537" i="31"/>
  <c r="J395" i="45"/>
  <c r="L395" i="45" s="1"/>
  <c r="P395" i="45"/>
  <c r="R395" i="45" s="1"/>
  <c r="T395" i="45" s="1"/>
  <c r="X395" i="45" s="1"/>
  <c r="U395" i="45" s="1"/>
  <c r="S399" i="40"/>
  <c r="U399" i="40" s="1"/>
  <c r="J399" i="40"/>
  <c r="L399" i="40" s="1"/>
  <c r="N399" i="40" s="1"/>
  <c r="W399" i="40"/>
  <c r="B327" i="32"/>
  <c r="T549" i="31"/>
  <c r="T553" i="31"/>
  <c r="J411" i="45"/>
  <c r="L411" i="45" s="1"/>
  <c r="P411" i="45"/>
  <c r="R411" i="45" s="1"/>
  <c r="T411" i="45" s="1"/>
  <c r="X411" i="45" s="1"/>
  <c r="U411" i="45" s="1"/>
  <c r="S415" i="40"/>
  <c r="U415" i="40" s="1"/>
  <c r="J415" i="40"/>
  <c r="L415" i="40" s="1"/>
  <c r="N415" i="40" s="1"/>
  <c r="W415" i="40"/>
  <c r="B343" i="32"/>
  <c r="J419" i="45"/>
  <c r="L419" i="45" s="1"/>
  <c r="P419" i="45"/>
  <c r="R419" i="45" s="1"/>
  <c r="X569" i="31"/>
  <c r="P569" i="31"/>
  <c r="J427" i="45"/>
  <c r="L427" i="45" s="1"/>
  <c r="P427" i="45"/>
  <c r="R427" i="45" s="1"/>
  <c r="S431" i="40"/>
  <c r="U431" i="40" s="1"/>
  <c r="Y431" i="40" s="1"/>
  <c r="J431" i="40"/>
  <c r="L431" i="40" s="1"/>
  <c r="N431" i="40" s="1"/>
  <c r="W431" i="40"/>
  <c r="B359" i="32"/>
  <c r="T581" i="31"/>
  <c r="J439" i="45"/>
  <c r="L439" i="45" s="1"/>
  <c r="P439" i="45"/>
  <c r="R439" i="45" s="1"/>
  <c r="J443" i="45"/>
  <c r="L443" i="45" s="1"/>
  <c r="P443" i="45"/>
  <c r="R443" i="45" s="1"/>
  <c r="T443" i="45" s="1"/>
  <c r="X443" i="45" s="1"/>
  <c r="U443" i="45" s="1"/>
  <c r="S447" i="40"/>
  <c r="U447" i="40" s="1"/>
  <c r="Y447" i="40" s="1"/>
  <c r="AA447" i="40" s="1"/>
  <c r="AE447" i="40" s="1"/>
  <c r="AB447" i="40" s="1"/>
  <c r="J447" i="40"/>
  <c r="L447" i="40" s="1"/>
  <c r="N447" i="40" s="1"/>
  <c r="W447" i="40"/>
  <c r="B375" i="32"/>
  <c r="J451" i="45"/>
  <c r="L451" i="45" s="1"/>
  <c r="P451" i="45"/>
  <c r="R451" i="45" s="1"/>
  <c r="X601" i="31"/>
  <c r="P601" i="31"/>
  <c r="P459" i="45"/>
  <c r="R459" i="45" s="1"/>
  <c r="T459" i="45" s="1"/>
  <c r="X459" i="45" s="1"/>
  <c r="U459" i="45" s="1"/>
  <c r="J459" i="45"/>
  <c r="L459" i="45" s="1"/>
  <c r="S463" i="40"/>
  <c r="U463" i="40" s="1"/>
  <c r="J463" i="40"/>
  <c r="L463" i="40" s="1"/>
  <c r="N463" i="40" s="1"/>
  <c r="W463" i="40"/>
  <c r="B391" i="32"/>
  <c r="T613" i="31"/>
  <c r="X617" i="31"/>
  <c r="P617" i="31"/>
  <c r="P475" i="45"/>
  <c r="R475" i="45" s="1"/>
  <c r="T475" i="45" s="1"/>
  <c r="X475" i="45" s="1"/>
  <c r="U475" i="45" s="1"/>
  <c r="J475" i="45"/>
  <c r="L475" i="45" s="1"/>
  <c r="S479" i="40"/>
  <c r="U479" i="40" s="1"/>
  <c r="Y479" i="40" s="1"/>
  <c r="J479" i="40"/>
  <c r="L479" i="40" s="1"/>
  <c r="N479" i="40" s="1"/>
  <c r="W479" i="40"/>
  <c r="B407" i="32"/>
  <c r="J483" i="45"/>
  <c r="L483" i="45" s="1"/>
  <c r="P483" i="45"/>
  <c r="R483" i="45" s="1"/>
  <c r="T483" i="45" s="1"/>
  <c r="X483" i="45" s="1"/>
  <c r="U483" i="45" s="1"/>
  <c r="Y483" i="45" s="1"/>
  <c r="P633" i="31"/>
  <c r="X633" i="31"/>
  <c r="P491" i="45"/>
  <c r="R491" i="45" s="1"/>
  <c r="J491" i="45"/>
  <c r="L491" i="45" s="1"/>
  <c r="S495" i="40"/>
  <c r="U495" i="40" s="1"/>
  <c r="J495" i="40"/>
  <c r="L495" i="40" s="1"/>
  <c r="N495" i="40" s="1"/>
  <c r="W495" i="40"/>
  <c r="B423" i="32"/>
  <c r="T645" i="31"/>
  <c r="J503" i="45"/>
  <c r="L503" i="45" s="1"/>
  <c r="P503" i="45"/>
  <c r="R503" i="45" s="1"/>
  <c r="T503" i="45" s="1"/>
  <c r="X503" i="45" s="1"/>
  <c r="U503" i="45" s="1"/>
  <c r="Y503" i="45" s="1"/>
  <c r="P507" i="45"/>
  <c r="R507" i="45" s="1"/>
  <c r="T507" i="45" s="1"/>
  <c r="X507" i="45" s="1"/>
  <c r="U507" i="45" s="1"/>
  <c r="Y507" i="45" s="1"/>
  <c r="J507" i="45"/>
  <c r="L507" i="45" s="1"/>
  <c r="S511" i="40"/>
  <c r="U511" i="40" s="1"/>
  <c r="J511" i="40"/>
  <c r="L511" i="40" s="1"/>
  <c r="N511" i="40" s="1"/>
  <c r="W511" i="40"/>
  <c r="B439" i="32"/>
  <c r="P515" i="45"/>
  <c r="R515" i="45" s="1"/>
  <c r="J515" i="45"/>
  <c r="L515" i="45" s="1"/>
  <c r="P387" i="31"/>
  <c r="Y387" i="31" s="1"/>
  <c r="X387" i="31"/>
  <c r="K245" i="45"/>
  <c r="N245" i="45" s="1"/>
  <c r="Q245" i="45"/>
  <c r="S245" i="45" s="1"/>
  <c r="V245" i="45" s="1"/>
  <c r="X249" i="40"/>
  <c r="T249" i="40"/>
  <c r="V249" i="40" s="1"/>
  <c r="K249" i="40"/>
  <c r="O249" i="40" s="1"/>
  <c r="Q249" i="40" s="1"/>
  <c r="C177" i="32"/>
  <c r="P399" i="31"/>
  <c r="Y399" i="31" s="1"/>
  <c r="X399" i="31"/>
  <c r="P403" i="31"/>
  <c r="Y403" i="31" s="1"/>
  <c r="X403" i="31"/>
  <c r="K261" i="45"/>
  <c r="N261" i="45" s="1"/>
  <c r="Q261" i="45"/>
  <c r="S261" i="45" s="1"/>
  <c r="X265" i="40"/>
  <c r="T265" i="40"/>
  <c r="V265" i="40" s="1"/>
  <c r="Z265" i="40" s="1"/>
  <c r="K265" i="40"/>
  <c r="O265" i="40" s="1"/>
  <c r="Q265" i="40" s="1"/>
  <c r="C193" i="32"/>
  <c r="P415" i="31"/>
  <c r="Y415" i="31" s="1"/>
  <c r="X415" i="31"/>
  <c r="P419" i="31"/>
  <c r="Y419" i="31" s="1"/>
  <c r="X419" i="31"/>
  <c r="K277" i="45"/>
  <c r="N277" i="45" s="1"/>
  <c r="Q277" i="45"/>
  <c r="S277" i="45" s="1"/>
  <c r="V277" i="45" s="1"/>
  <c r="X281" i="40"/>
  <c r="K281" i="40"/>
  <c r="O281" i="40" s="1"/>
  <c r="Q281" i="40" s="1"/>
  <c r="C209" i="32"/>
  <c r="T281" i="40"/>
  <c r="V281" i="40" s="1"/>
  <c r="P435" i="31"/>
  <c r="Y435" i="31" s="1"/>
  <c r="X435" i="31"/>
  <c r="K293" i="45"/>
  <c r="N293" i="45" s="1"/>
  <c r="Q293" i="45"/>
  <c r="S293" i="45" s="1"/>
  <c r="V293" i="45" s="1"/>
  <c r="X297" i="40"/>
  <c r="K297" i="40"/>
  <c r="O297" i="40" s="1"/>
  <c r="Q297" i="40" s="1"/>
  <c r="C225" i="32"/>
  <c r="T297" i="40"/>
  <c r="V297" i="40" s="1"/>
  <c r="P671" i="31"/>
  <c r="X671" i="31"/>
  <c r="K309" i="45"/>
  <c r="N309" i="45" s="1"/>
  <c r="Q309" i="45"/>
  <c r="S309" i="45" s="1"/>
  <c r="V309" i="45" s="1"/>
  <c r="X313" i="40"/>
  <c r="K313" i="40"/>
  <c r="O313" i="40" s="1"/>
  <c r="Q313" i="40" s="1"/>
  <c r="C241" i="32"/>
  <c r="T313" i="40"/>
  <c r="V313" i="40" s="1"/>
  <c r="P683" i="31"/>
  <c r="Y683" i="31" s="1"/>
  <c r="X683" i="31"/>
  <c r="T691" i="31"/>
  <c r="P695" i="31"/>
  <c r="Y695" i="31" s="1"/>
  <c r="X695" i="31"/>
  <c r="T707" i="31"/>
  <c r="P716" i="31"/>
  <c r="X716" i="31"/>
  <c r="K354" i="45"/>
  <c r="N354" i="45" s="1"/>
  <c r="Q354" i="45"/>
  <c r="S354" i="45" s="1"/>
  <c r="X358" i="40"/>
  <c r="T358" i="40"/>
  <c r="V358" i="40" s="1"/>
  <c r="Z358" i="40" s="1"/>
  <c r="K358" i="40"/>
  <c r="O358" i="40" s="1"/>
  <c r="Q358" i="40" s="1"/>
  <c r="C286" i="32"/>
  <c r="T728" i="31"/>
  <c r="P732" i="31"/>
  <c r="Y732" i="31" s="1"/>
  <c r="X732" i="31"/>
  <c r="K370" i="45"/>
  <c r="N370" i="45" s="1"/>
  <c r="Q370" i="45"/>
  <c r="S370" i="45" s="1"/>
  <c r="X374" i="40"/>
  <c r="T374" i="40"/>
  <c r="V374" i="40" s="1"/>
  <c r="Z374" i="40" s="1"/>
  <c r="AC374" i="40" s="1"/>
  <c r="K374" i="40"/>
  <c r="O374" i="40" s="1"/>
  <c r="Q374" i="40" s="1"/>
  <c r="C302" i="32"/>
  <c r="T744" i="31"/>
  <c r="X753" i="31"/>
  <c r="P753" i="31"/>
  <c r="Y753" i="31" s="1"/>
  <c r="Q391" i="45"/>
  <c r="S391" i="45" s="1"/>
  <c r="K391" i="45"/>
  <c r="N391" i="45" s="1"/>
  <c r="X761" i="31"/>
  <c r="P761" i="31"/>
  <c r="Y761" i="31" s="1"/>
  <c r="X765" i="31"/>
  <c r="P765" i="31"/>
  <c r="Y765" i="31" s="1"/>
  <c r="P769" i="31"/>
  <c r="Y769" i="31" s="1"/>
  <c r="X769" i="31"/>
  <c r="X773" i="31"/>
  <c r="P773" i="31"/>
  <c r="Y773" i="31" s="1"/>
  <c r="Q411" i="45"/>
  <c r="S411" i="45" s="1"/>
  <c r="V411" i="45" s="1"/>
  <c r="K411" i="45"/>
  <c r="N411" i="45" s="1"/>
  <c r="X781" i="31"/>
  <c r="P781" i="31"/>
  <c r="Y781" i="31" s="1"/>
  <c r="P785" i="31"/>
  <c r="Y785" i="31" s="1"/>
  <c r="X785" i="31"/>
  <c r="P789" i="31"/>
  <c r="Y789" i="31" s="1"/>
  <c r="X789" i="31"/>
  <c r="X793" i="31"/>
  <c r="P793" i="31"/>
  <c r="Y793" i="31" s="1"/>
  <c r="X797" i="31"/>
  <c r="P797" i="31"/>
  <c r="Y797" i="31" s="1"/>
  <c r="X801" i="31"/>
  <c r="P801" i="31"/>
  <c r="Y801" i="31" s="1"/>
  <c r="P805" i="31"/>
  <c r="Y805" i="31" s="1"/>
  <c r="X805" i="31"/>
  <c r="T809" i="31"/>
  <c r="X813" i="31"/>
  <c r="P813" i="31"/>
  <c r="Y813" i="31" s="1"/>
  <c r="X817" i="31"/>
  <c r="P817" i="31"/>
  <c r="Y817" i="31" s="1"/>
  <c r="Q455" i="45"/>
  <c r="S455" i="45" s="1"/>
  <c r="V455" i="45" s="1"/>
  <c r="K455" i="45"/>
  <c r="N455" i="45" s="1"/>
  <c r="X825" i="31"/>
  <c r="P825" i="31"/>
  <c r="Y825" i="31" s="1"/>
  <c r="K463" i="45"/>
  <c r="N463" i="45" s="1"/>
  <c r="Q463" i="45"/>
  <c r="S463" i="45" s="1"/>
  <c r="X833" i="31"/>
  <c r="P833" i="31"/>
  <c r="Y833" i="31" s="1"/>
  <c r="P837" i="31"/>
  <c r="Y837" i="31" s="1"/>
  <c r="X837" i="31"/>
  <c r="P842" i="31"/>
  <c r="X842" i="31"/>
  <c r="X480" i="40"/>
  <c r="T480" i="40"/>
  <c r="V480" i="40" s="1"/>
  <c r="K480" i="40"/>
  <c r="O480" i="40" s="1"/>
  <c r="Q480" i="40" s="1"/>
  <c r="C408" i="32"/>
  <c r="T850" i="31"/>
  <c r="T854" i="31"/>
  <c r="K492" i="45"/>
  <c r="N492" i="45" s="1"/>
  <c r="Q492" i="45"/>
  <c r="S492" i="45" s="1"/>
  <c r="V492" i="45" s="1"/>
  <c r="X496" i="40"/>
  <c r="T496" i="40"/>
  <c r="V496" i="40" s="1"/>
  <c r="K496" i="40"/>
  <c r="O496" i="40" s="1"/>
  <c r="Q496" i="40" s="1"/>
  <c r="C424" i="32"/>
  <c r="T866" i="31"/>
  <c r="T870" i="31"/>
  <c r="K508" i="45"/>
  <c r="N508" i="45" s="1"/>
  <c r="Q508" i="45"/>
  <c r="S508" i="45" s="1"/>
  <c r="V508" i="45" s="1"/>
  <c r="X512" i="40"/>
  <c r="T512" i="40"/>
  <c r="V512" i="40" s="1"/>
  <c r="K512" i="40"/>
  <c r="O512" i="40" s="1"/>
  <c r="Q512" i="40" s="1"/>
  <c r="C440" i="32"/>
  <c r="T2" i="31"/>
  <c r="P7" i="31"/>
  <c r="X7" i="31"/>
  <c r="P85" i="45"/>
  <c r="R85" i="45" s="1"/>
  <c r="T85" i="45" s="1"/>
  <c r="X85" i="45" s="1"/>
  <c r="U85" i="45" s="1"/>
  <c r="J85" i="45"/>
  <c r="L85" i="45" s="1"/>
  <c r="W89" i="40"/>
  <c r="S89" i="40"/>
  <c r="U89" i="40" s="1"/>
  <c r="Y89" i="40" s="1"/>
  <c r="J89" i="40"/>
  <c r="L89" i="40" s="1"/>
  <c r="N89" i="40" s="1"/>
  <c r="B17" i="32"/>
  <c r="T19" i="31"/>
  <c r="P23" i="31"/>
  <c r="Y23" i="31" s="1"/>
  <c r="X23" i="31"/>
  <c r="P101" i="45"/>
  <c r="R101" i="45" s="1"/>
  <c r="T101" i="45" s="1"/>
  <c r="X101" i="45" s="1"/>
  <c r="U101" i="45" s="1"/>
  <c r="J101" i="45"/>
  <c r="L101" i="45" s="1"/>
  <c r="W105" i="40"/>
  <c r="S105" i="40"/>
  <c r="U105" i="40" s="1"/>
  <c r="Y105" i="40" s="1"/>
  <c r="AA105" i="40" s="1"/>
  <c r="AE105" i="40" s="1"/>
  <c r="AB105" i="40" s="1"/>
  <c r="J105" i="40"/>
  <c r="L105" i="40" s="1"/>
  <c r="N105" i="40" s="1"/>
  <c r="B33" i="32"/>
  <c r="T35" i="31"/>
  <c r="P39" i="31"/>
  <c r="Y39" i="31" s="1"/>
  <c r="X39" i="31"/>
  <c r="P117" i="45"/>
  <c r="R117" i="45" s="1"/>
  <c r="J117" i="45"/>
  <c r="L117" i="45" s="1"/>
  <c r="S121" i="40"/>
  <c r="U121" i="40" s="1"/>
  <c r="Y121" i="40" s="1"/>
  <c r="AA121" i="40" s="1"/>
  <c r="AE121" i="40" s="1"/>
  <c r="AB121" i="40" s="1"/>
  <c r="W121" i="40"/>
  <c r="J121" i="40"/>
  <c r="L121" i="40" s="1"/>
  <c r="N121" i="40" s="1"/>
  <c r="B49" i="32"/>
  <c r="T51" i="31"/>
  <c r="P55" i="31"/>
  <c r="X55" i="31"/>
  <c r="P133" i="45"/>
  <c r="R133" i="45" s="1"/>
  <c r="J133" i="45"/>
  <c r="L133" i="45" s="1"/>
  <c r="W137" i="40"/>
  <c r="S137" i="40"/>
  <c r="U137" i="40" s="1"/>
  <c r="J137" i="40"/>
  <c r="L137" i="40" s="1"/>
  <c r="N137" i="40" s="1"/>
  <c r="B65" i="32"/>
  <c r="T67" i="31"/>
  <c r="P71" i="31"/>
  <c r="Y71" i="31" s="1"/>
  <c r="X71" i="31"/>
  <c r="P75" i="31"/>
  <c r="Y75" i="31" s="1"/>
  <c r="X75" i="31"/>
  <c r="S157" i="40"/>
  <c r="U157" i="40" s="1"/>
  <c r="W157" i="40"/>
  <c r="J157" i="40"/>
  <c r="L157" i="40" s="1"/>
  <c r="N157" i="40" s="1"/>
  <c r="B85" i="32"/>
  <c r="P91" i="31"/>
  <c r="Y91" i="31" s="1"/>
  <c r="X91" i="31"/>
  <c r="P169" i="45"/>
  <c r="R169" i="45" s="1"/>
  <c r="T169" i="45" s="1"/>
  <c r="X169" i="45" s="1"/>
  <c r="U169" i="45" s="1"/>
  <c r="Y169" i="45" s="1"/>
  <c r="J169" i="45"/>
  <c r="L169" i="45" s="1"/>
  <c r="S173" i="40"/>
  <c r="U173" i="40" s="1"/>
  <c r="W173" i="40"/>
  <c r="J173" i="40"/>
  <c r="L173" i="40" s="1"/>
  <c r="N173" i="40" s="1"/>
  <c r="B101" i="32"/>
  <c r="T103" i="31"/>
  <c r="P111" i="31"/>
  <c r="Y111" i="31" s="1"/>
  <c r="X111" i="31"/>
  <c r="P189" i="45"/>
  <c r="R189" i="45" s="1"/>
  <c r="T189" i="45" s="1"/>
  <c r="X189" i="45" s="1"/>
  <c r="U189" i="45" s="1"/>
  <c r="J189" i="45"/>
  <c r="L189" i="45" s="1"/>
  <c r="J193" i="40"/>
  <c r="L193" i="40" s="1"/>
  <c r="N193" i="40" s="1"/>
  <c r="S193" i="40"/>
  <c r="U193" i="40" s="1"/>
  <c r="Y193" i="40" s="1"/>
  <c r="AA193" i="40" s="1"/>
  <c r="AE193" i="40" s="1"/>
  <c r="AB193" i="40" s="1"/>
  <c r="W193" i="40"/>
  <c r="B121" i="32"/>
  <c r="P127" i="31"/>
  <c r="X127" i="31"/>
  <c r="P205" i="45"/>
  <c r="R205" i="45" s="1"/>
  <c r="T205" i="45" s="1"/>
  <c r="X205" i="45" s="1"/>
  <c r="U205" i="45" s="1"/>
  <c r="J205" i="45"/>
  <c r="L205" i="45" s="1"/>
  <c r="W209" i="40"/>
  <c r="S209" i="40"/>
  <c r="U209" i="40" s="1"/>
  <c r="Y209" i="40" s="1"/>
  <c r="AA209" i="40" s="1"/>
  <c r="AE209" i="40" s="1"/>
  <c r="AB209" i="40" s="1"/>
  <c r="J209" i="40"/>
  <c r="L209" i="40" s="1"/>
  <c r="N209" i="40" s="1"/>
  <c r="B137" i="32"/>
  <c r="T135" i="31"/>
  <c r="T139" i="31"/>
  <c r="P143" i="31"/>
  <c r="X143" i="31"/>
  <c r="P221" i="45"/>
  <c r="R221" i="45" s="1"/>
  <c r="J221" i="45"/>
  <c r="L221" i="45" s="1"/>
  <c r="W225" i="40"/>
  <c r="S225" i="40"/>
  <c r="U225" i="40" s="1"/>
  <c r="J225" i="40"/>
  <c r="L225" i="40" s="1"/>
  <c r="N225" i="40" s="1"/>
  <c r="B153" i="32"/>
  <c r="T151" i="31"/>
  <c r="P155" i="31"/>
  <c r="Y155" i="31" s="1"/>
  <c r="X155" i="31"/>
  <c r="P159" i="31"/>
  <c r="X159" i="31"/>
  <c r="P237" i="45"/>
  <c r="R237" i="45" s="1"/>
  <c r="J237" i="45"/>
  <c r="L237" i="45" s="1"/>
  <c r="W241" i="40"/>
  <c r="S241" i="40"/>
  <c r="U241" i="40" s="1"/>
  <c r="J241" i="40"/>
  <c r="L241" i="40" s="1"/>
  <c r="N241" i="40" s="1"/>
  <c r="B169" i="32"/>
  <c r="P175" i="31"/>
  <c r="Y175" i="31" s="1"/>
  <c r="X175" i="31"/>
  <c r="P253" i="45"/>
  <c r="R253" i="45" s="1"/>
  <c r="J253" i="45"/>
  <c r="L253" i="45" s="1"/>
  <c r="W257" i="40"/>
  <c r="S257" i="40"/>
  <c r="U257" i="40" s="1"/>
  <c r="J257" i="40"/>
  <c r="L257" i="40" s="1"/>
  <c r="N257" i="40" s="1"/>
  <c r="B185" i="32"/>
  <c r="P269" i="45"/>
  <c r="R269" i="45" s="1"/>
  <c r="T269" i="45" s="1"/>
  <c r="X269" i="45" s="1"/>
  <c r="U269" i="45" s="1"/>
  <c r="J269" i="45"/>
  <c r="L269" i="45" s="1"/>
  <c r="W273" i="40"/>
  <c r="S273" i="40"/>
  <c r="U273" i="40" s="1"/>
  <c r="Y273" i="40" s="1"/>
  <c r="J273" i="40"/>
  <c r="L273" i="40" s="1"/>
  <c r="N273" i="40" s="1"/>
  <c r="B201" i="32"/>
  <c r="T203" i="31"/>
  <c r="P207" i="31"/>
  <c r="X207" i="31"/>
  <c r="P285" i="45"/>
  <c r="R285" i="45" s="1"/>
  <c r="T285" i="45" s="1"/>
  <c r="X285" i="45" s="1"/>
  <c r="U285" i="45" s="1"/>
  <c r="J285" i="45"/>
  <c r="L285" i="45" s="1"/>
  <c r="W289" i="40"/>
  <c r="S289" i="40"/>
  <c r="U289" i="40" s="1"/>
  <c r="Y289" i="40" s="1"/>
  <c r="AA289" i="40" s="1"/>
  <c r="AE289" i="40" s="1"/>
  <c r="AB289" i="40" s="1"/>
  <c r="J289" i="40"/>
  <c r="L289" i="40" s="1"/>
  <c r="N289" i="40" s="1"/>
  <c r="B217" i="32"/>
  <c r="P443" i="31"/>
  <c r="X443" i="31"/>
  <c r="P301" i="45"/>
  <c r="R301" i="45" s="1"/>
  <c r="T301" i="45" s="1"/>
  <c r="X301" i="45" s="1"/>
  <c r="U301" i="45" s="1"/>
  <c r="J301" i="45"/>
  <c r="L301" i="45" s="1"/>
  <c r="W305" i="40"/>
  <c r="S305" i="40"/>
  <c r="U305" i="40" s="1"/>
  <c r="Y305" i="40" s="1"/>
  <c r="AA305" i="40" s="1"/>
  <c r="AE305" i="40" s="1"/>
  <c r="AB305" i="40" s="1"/>
  <c r="J305" i="40"/>
  <c r="L305" i="40" s="1"/>
  <c r="N305" i="40" s="1"/>
  <c r="B233" i="32"/>
  <c r="P459" i="31"/>
  <c r="X459" i="31"/>
  <c r="P317" i="45"/>
  <c r="R317" i="45" s="1"/>
  <c r="T317" i="45" s="1"/>
  <c r="X317" i="45" s="1"/>
  <c r="U317" i="45" s="1"/>
  <c r="J317" i="45"/>
  <c r="L317" i="45" s="1"/>
  <c r="P321" i="45"/>
  <c r="R321" i="45" s="1"/>
  <c r="J321" i="45"/>
  <c r="L321" i="45" s="1"/>
  <c r="P329" i="45"/>
  <c r="R329" i="45" s="1"/>
  <c r="T329" i="45" s="1"/>
  <c r="X329" i="45" s="1"/>
  <c r="U329" i="45" s="1"/>
  <c r="J329" i="45"/>
  <c r="L329" i="45" s="1"/>
  <c r="P333" i="45"/>
  <c r="R333" i="45" s="1"/>
  <c r="J333" i="45"/>
  <c r="L333" i="45" s="1"/>
  <c r="P337" i="45"/>
  <c r="R337" i="45" s="1"/>
  <c r="T337" i="45" s="1"/>
  <c r="X337" i="45" s="1"/>
  <c r="U337" i="45" s="1"/>
  <c r="J337" i="45"/>
  <c r="L337" i="45" s="1"/>
  <c r="P341" i="45"/>
  <c r="R341" i="45" s="1"/>
  <c r="J341" i="45"/>
  <c r="L341" i="45" s="1"/>
  <c r="P345" i="45"/>
  <c r="R345" i="45" s="1"/>
  <c r="T345" i="45" s="1"/>
  <c r="X345" i="45" s="1"/>
  <c r="U345" i="45" s="1"/>
  <c r="J345" i="45"/>
  <c r="L345" i="45" s="1"/>
  <c r="P349" i="45"/>
  <c r="R349" i="45" s="1"/>
  <c r="J349" i="45"/>
  <c r="L349" i="45" s="1"/>
  <c r="P353" i="45"/>
  <c r="R353" i="45" s="1"/>
  <c r="T353" i="45" s="1"/>
  <c r="X353" i="45" s="1"/>
  <c r="U353" i="45" s="1"/>
  <c r="Y353" i="45" s="1"/>
  <c r="J353" i="45"/>
  <c r="L353" i="45" s="1"/>
  <c r="P357" i="45"/>
  <c r="R357" i="45" s="1"/>
  <c r="J357" i="45"/>
  <c r="L357" i="45" s="1"/>
  <c r="P361" i="45"/>
  <c r="R361" i="45" s="1"/>
  <c r="T361" i="45" s="1"/>
  <c r="X361" i="45" s="1"/>
  <c r="U361" i="45" s="1"/>
  <c r="Y361" i="45" s="1"/>
  <c r="J361" i="45"/>
  <c r="L361" i="45" s="1"/>
  <c r="P365" i="45"/>
  <c r="R365" i="45" s="1"/>
  <c r="J365" i="45"/>
  <c r="L365" i="45" s="1"/>
  <c r="P369" i="45"/>
  <c r="R369" i="45" s="1"/>
  <c r="T369" i="45" s="1"/>
  <c r="X369" i="45" s="1"/>
  <c r="U369" i="45" s="1"/>
  <c r="Y369" i="45" s="1"/>
  <c r="J369" i="45"/>
  <c r="L369" i="45" s="1"/>
  <c r="P373" i="45"/>
  <c r="R373" i="45" s="1"/>
  <c r="J373" i="45"/>
  <c r="L373" i="45" s="1"/>
  <c r="P377" i="45"/>
  <c r="R377" i="45" s="1"/>
  <c r="T377" i="45" s="1"/>
  <c r="X377" i="45" s="1"/>
  <c r="U377" i="45" s="1"/>
  <c r="Y377" i="45" s="1"/>
  <c r="J377" i="45"/>
  <c r="L377" i="45" s="1"/>
  <c r="P381" i="45"/>
  <c r="R381" i="45" s="1"/>
  <c r="J381" i="45"/>
  <c r="L381" i="45" s="1"/>
  <c r="P385" i="45"/>
  <c r="R385" i="45" s="1"/>
  <c r="T385" i="45" s="1"/>
  <c r="X385" i="45" s="1"/>
  <c r="U385" i="45" s="1"/>
  <c r="J385" i="45"/>
  <c r="L385" i="45" s="1"/>
  <c r="P389" i="45"/>
  <c r="R389" i="45" s="1"/>
  <c r="J389" i="45"/>
  <c r="L389" i="45" s="1"/>
  <c r="P393" i="45"/>
  <c r="R393" i="45" s="1"/>
  <c r="T393" i="45" s="1"/>
  <c r="X393" i="45" s="1"/>
  <c r="U393" i="45" s="1"/>
  <c r="J393" i="45"/>
  <c r="L393" i="45" s="1"/>
  <c r="P397" i="45"/>
  <c r="R397" i="45" s="1"/>
  <c r="J397" i="45"/>
  <c r="L397" i="45" s="1"/>
  <c r="P401" i="45"/>
  <c r="R401" i="45" s="1"/>
  <c r="T401" i="45" s="1"/>
  <c r="X401" i="45" s="1"/>
  <c r="U401" i="45" s="1"/>
  <c r="Y401" i="45" s="1"/>
  <c r="J401" i="45"/>
  <c r="L401" i="45" s="1"/>
  <c r="P405" i="45"/>
  <c r="R405" i="45" s="1"/>
  <c r="J405" i="45"/>
  <c r="L405" i="45" s="1"/>
  <c r="P409" i="45"/>
  <c r="R409" i="45" s="1"/>
  <c r="T409" i="45" s="1"/>
  <c r="X409" i="45" s="1"/>
  <c r="U409" i="45" s="1"/>
  <c r="J409" i="45"/>
  <c r="L409" i="45" s="1"/>
  <c r="P413" i="45"/>
  <c r="R413" i="45" s="1"/>
  <c r="J413" i="45"/>
  <c r="L413" i="45" s="1"/>
  <c r="P417" i="45"/>
  <c r="R417" i="45" s="1"/>
  <c r="T417" i="45" s="1"/>
  <c r="X417" i="45" s="1"/>
  <c r="U417" i="45" s="1"/>
  <c r="Y417" i="45" s="1"/>
  <c r="J417" i="45"/>
  <c r="L417" i="45" s="1"/>
  <c r="P421" i="45"/>
  <c r="R421" i="45" s="1"/>
  <c r="J421" i="45"/>
  <c r="L421" i="45" s="1"/>
  <c r="P425" i="45"/>
  <c r="R425" i="45" s="1"/>
  <c r="T425" i="45" s="1"/>
  <c r="X425" i="45" s="1"/>
  <c r="U425" i="45" s="1"/>
  <c r="J425" i="45"/>
  <c r="L425" i="45" s="1"/>
  <c r="P429" i="45"/>
  <c r="R429" i="45" s="1"/>
  <c r="J429" i="45"/>
  <c r="L429" i="45" s="1"/>
  <c r="P433" i="45"/>
  <c r="R433" i="45" s="1"/>
  <c r="T433" i="45" s="1"/>
  <c r="X433" i="45" s="1"/>
  <c r="U433" i="45" s="1"/>
  <c r="J433" i="45"/>
  <c r="L433" i="45" s="1"/>
  <c r="P437" i="45"/>
  <c r="R437" i="45" s="1"/>
  <c r="J437" i="45"/>
  <c r="L437" i="45" s="1"/>
  <c r="P441" i="45"/>
  <c r="R441" i="45" s="1"/>
  <c r="T441" i="45" s="1"/>
  <c r="X441" i="45" s="1"/>
  <c r="U441" i="45" s="1"/>
  <c r="J441" i="45"/>
  <c r="L441" i="45" s="1"/>
  <c r="P445" i="45"/>
  <c r="R445" i="45" s="1"/>
  <c r="J445" i="45"/>
  <c r="L445" i="45" s="1"/>
  <c r="P449" i="45"/>
  <c r="R449" i="45" s="1"/>
  <c r="T449" i="45" s="1"/>
  <c r="X449" i="45" s="1"/>
  <c r="U449" i="45" s="1"/>
  <c r="Y449" i="45" s="1"/>
  <c r="J449" i="45"/>
  <c r="L449" i="45" s="1"/>
  <c r="P457" i="45"/>
  <c r="R457" i="45" s="1"/>
  <c r="J457" i="45"/>
  <c r="L457" i="45" s="1"/>
  <c r="P461" i="45"/>
  <c r="R461" i="45" s="1"/>
  <c r="T461" i="45" s="1"/>
  <c r="X461" i="45" s="1"/>
  <c r="U461" i="45" s="1"/>
  <c r="J461" i="45"/>
  <c r="L461" i="45" s="1"/>
  <c r="J465" i="45"/>
  <c r="L465" i="45" s="1"/>
  <c r="P465" i="45"/>
  <c r="R465" i="45" s="1"/>
  <c r="T465" i="45" s="1"/>
  <c r="X465" i="45" s="1"/>
  <c r="U465" i="45" s="1"/>
  <c r="Y465" i="45" s="1"/>
  <c r="P469" i="45"/>
  <c r="R469" i="45" s="1"/>
  <c r="T469" i="45" s="1"/>
  <c r="X469" i="45" s="1"/>
  <c r="U469" i="45" s="1"/>
  <c r="J469" i="45"/>
  <c r="L469" i="45" s="1"/>
  <c r="P473" i="45"/>
  <c r="R473" i="45" s="1"/>
  <c r="J473" i="45"/>
  <c r="L473" i="45" s="1"/>
  <c r="J477" i="45"/>
  <c r="L477" i="45" s="1"/>
  <c r="P477" i="45"/>
  <c r="R477" i="45" s="1"/>
  <c r="J481" i="45"/>
  <c r="L481" i="45" s="1"/>
  <c r="P481" i="45"/>
  <c r="R481" i="45" s="1"/>
  <c r="T481" i="45" s="1"/>
  <c r="X481" i="45" s="1"/>
  <c r="U481" i="45" s="1"/>
  <c r="P485" i="45"/>
  <c r="R485" i="45" s="1"/>
  <c r="T485" i="45" s="1"/>
  <c r="X485" i="45" s="1"/>
  <c r="U485" i="45" s="1"/>
  <c r="J485" i="45"/>
  <c r="L485" i="45" s="1"/>
  <c r="P489" i="45"/>
  <c r="R489" i="45" s="1"/>
  <c r="J489" i="45"/>
  <c r="L489" i="45" s="1"/>
  <c r="P493" i="45"/>
  <c r="R493" i="45" s="1"/>
  <c r="T493" i="45" s="1"/>
  <c r="X493" i="45" s="1"/>
  <c r="U493" i="45" s="1"/>
  <c r="J493" i="45"/>
  <c r="L493" i="45" s="1"/>
  <c r="J497" i="45"/>
  <c r="L497" i="45" s="1"/>
  <c r="P497" i="45"/>
  <c r="R497" i="45" s="1"/>
  <c r="T497" i="45" s="1"/>
  <c r="X497" i="45" s="1"/>
  <c r="U497" i="45" s="1"/>
  <c r="P501" i="45"/>
  <c r="R501" i="45" s="1"/>
  <c r="T501" i="45" s="1"/>
  <c r="X501" i="45" s="1"/>
  <c r="U501" i="45" s="1"/>
  <c r="J501" i="45"/>
  <c r="L501" i="45" s="1"/>
  <c r="P505" i="45"/>
  <c r="R505" i="45" s="1"/>
  <c r="J505" i="45"/>
  <c r="L505" i="45" s="1"/>
  <c r="J509" i="45"/>
  <c r="L509" i="45" s="1"/>
  <c r="P509" i="45"/>
  <c r="R509" i="45" s="1"/>
  <c r="J513" i="45"/>
  <c r="L513" i="45" s="1"/>
  <c r="P513" i="45"/>
  <c r="R513" i="45" s="1"/>
  <c r="T513" i="45" s="1"/>
  <c r="X513" i="45" s="1"/>
  <c r="U513" i="45" s="1"/>
  <c r="S294" i="40"/>
  <c r="U294" i="40" s="1"/>
  <c r="J294" i="40"/>
  <c r="L294" i="40" s="1"/>
  <c r="N294" i="40" s="1"/>
  <c r="W294" i="40"/>
  <c r="B222" i="32"/>
  <c r="T493" i="40"/>
  <c r="V493" i="40" s="1"/>
  <c r="K493" i="40"/>
  <c r="O493" i="40" s="1"/>
  <c r="Q493" i="40" s="1"/>
  <c r="X493" i="40"/>
  <c r="C421" i="32"/>
  <c r="K76" i="45"/>
  <c r="N76" i="45" s="1"/>
  <c r="Q76" i="45"/>
  <c r="S76" i="45" s="1"/>
  <c r="X81" i="40"/>
  <c r="T81" i="40"/>
  <c r="V81" i="40" s="1"/>
  <c r="Z81" i="40" s="1"/>
  <c r="AC81" i="40" s="1"/>
  <c r="C9" i="32"/>
  <c r="E407" i="32" s="1"/>
  <c r="K81" i="40"/>
  <c r="O81" i="40" s="1"/>
  <c r="Q81" i="40" s="1"/>
  <c r="T231" i="31"/>
  <c r="P235" i="31"/>
  <c r="X235" i="31"/>
  <c r="K93" i="45"/>
  <c r="N93" i="45" s="1"/>
  <c r="Q93" i="45"/>
  <c r="S93" i="45" s="1"/>
  <c r="V93" i="45" s="1"/>
  <c r="X97" i="40"/>
  <c r="K97" i="40"/>
  <c r="O97" i="40" s="1"/>
  <c r="Q97" i="40" s="1"/>
  <c r="T97" i="40"/>
  <c r="V97" i="40" s="1"/>
  <c r="C25" i="32"/>
  <c r="P251" i="31"/>
  <c r="Y251" i="31" s="1"/>
  <c r="X251" i="31"/>
  <c r="K109" i="45"/>
  <c r="N109" i="45" s="1"/>
  <c r="Q109" i="45"/>
  <c r="S109" i="45" s="1"/>
  <c r="V109" i="45" s="1"/>
  <c r="X113" i="40"/>
  <c r="K113" i="40"/>
  <c r="O113" i="40" s="1"/>
  <c r="Q113" i="40" s="1"/>
  <c r="T113" i="40"/>
  <c r="V113" i="40" s="1"/>
  <c r="C41" i="32"/>
  <c r="P267" i="31"/>
  <c r="Y267" i="31" s="1"/>
  <c r="X267" i="31"/>
  <c r="K125" i="45"/>
  <c r="N125" i="45" s="1"/>
  <c r="Q125" i="45"/>
  <c r="S125" i="45" s="1"/>
  <c r="V125" i="45" s="1"/>
  <c r="T129" i="40"/>
  <c r="V129" i="40" s="1"/>
  <c r="Z129" i="40" s="1"/>
  <c r="AC129" i="40" s="1"/>
  <c r="X129" i="40"/>
  <c r="K129" i="40"/>
  <c r="O129" i="40" s="1"/>
  <c r="Q129" i="40" s="1"/>
  <c r="C57" i="32"/>
  <c r="T279" i="31"/>
  <c r="P283" i="31"/>
  <c r="X283" i="31"/>
  <c r="K141" i="45"/>
  <c r="N141" i="45" s="1"/>
  <c r="Q141" i="45"/>
  <c r="S141" i="45" s="1"/>
  <c r="V141" i="45" s="1"/>
  <c r="X145" i="40"/>
  <c r="K145" i="40"/>
  <c r="O145" i="40" s="1"/>
  <c r="Q145" i="40" s="1"/>
  <c r="T145" i="40"/>
  <c r="V145" i="40" s="1"/>
  <c r="Z145" i="40" s="1"/>
  <c r="AC145" i="40" s="1"/>
  <c r="C73" i="32"/>
  <c r="T295" i="31"/>
  <c r="P299" i="31"/>
  <c r="Y299" i="31" s="1"/>
  <c r="X299" i="31"/>
  <c r="K157" i="45"/>
  <c r="N157" i="45" s="1"/>
  <c r="Q157" i="45"/>
  <c r="S157" i="45" s="1"/>
  <c r="X161" i="40"/>
  <c r="K161" i="40"/>
  <c r="O161" i="40" s="1"/>
  <c r="Q161" i="40" s="1"/>
  <c r="C89" i="32"/>
  <c r="T161" i="40"/>
  <c r="V161" i="40" s="1"/>
  <c r="Z161" i="40" s="1"/>
  <c r="T312" i="31"/>
  <c r="P316" i="31"/>
  <c r="Y316" i="31" s="1"/>
  <c r="X316" i="31"/>
  <c r="K174" i="45"/>
  <c r="N174" i="45" s="1"/>
  <c r="Q174" i="45"/>
  <c r="S174" i="45" s="1"/>
  <c r="K178" i="45"/>
  <c r="N178" i="45" s="1"/>
  <c r="Q178" i="45"/>
  <c r="S178" i="45" s="1"/>
  <c r="V178" i="45" s="1"/>
  <c r="T328" i="31"/>
  <c r="P332" i="31"/>
  <c r="Y332" i="31" s="1"/>
  <c r="X332" i="31"/>
  <c r="K190" i="45"/>
  <c r="N190" i="45" s="1"/>
  <c r="Q190" i="45"/>
  <c r="S190" i="45" s="1"/>
  <c r="K194" i="45"/>
  <c r="N194" i="45" s="1"/>
  <c r="Q194" i="45"/>
  <c r="S194" i="45" s="1"/>
  <c r="V194" i="45" s="1"/>
  <c r="T344" i="31"/>
  <c r="K206" i="45"/>
  <c r="N206" i="45" s="1"/>
  <c r="Q206" i="45"/>
  <c r="S206" i="45" s="1"/>
  <c r="T210" i="40"/>
  <c r="V210" i="40" s="1"/>
  <c r="Z210" i="40" s="1"/>
  <c r="K210" i="40"/>
  <c r="O210" i="40" s="1"/>
  <c r="Q210" i="40" s="1"/>
  <c r="X210" i="40"/>
  <c r="C138" i="32"/>
  <c r="T360" i="31"/>
  <c r="K222" i="45"/>
  <c r="N222" i="45" s="1"/>
  <c r="Q222" i="45"/>
  <c r="S222" i="45" s="1"/>
  <c r="T226" i="40"/>
  <c r="V226" i="40" s="1"/>
  <c r="K226" i="40"/>
  <c r="O226" i="40" s="1"/>
  <c r="Q226" i="40" s="1"/>
  <c r="X226" i="40"/>
  <c r="C154" i="32"/>
  <c r="P380" i="31"/>
  <c r="Y380" i="31" s="1"/>
  <c r="X380" i="31"/>
  <c r="K238" i="45"/>
  <c r="N238" i="45" s="1"/>
  <c r="Q238" i="45"/>
  <c r="S238" i="45" s="1"/>
  <c r="T242" i="40"/>
  <c r="V242" i="40" s="1"/>
  <c r="K242" i="40"/>
  <c r="O242" i="40" s="1"/>
  <c r="Q242" i="40" s="1"/>
  <c r="X242" i="40"/>
  <c r="C170" i="32"/>
  <c r="P396" i="31"/>
  <c r="Y396" i="31" s="1"/>
  <c r="X396" i="31"/>
  <c r="K254" i="45"/>
  <c r="N254" i="45" s="1"/>
  <c r="Q254" i="45"/>
  <c r="S254" i="45" s="1"/>
  <c r="T258" i="40"/>
  <c r="V258" i="40" s="1"/>
  <c r="K258" i="40"/>
  <c r="O258" i="40" s="1"/>
  <c r="Q258" i="40" s="1"/>
  <c r="X258" i="40"/>
  <c r="C186" i="32"/>
  <c r="K270" i="45"/>
  <c r="N270" i="45" s="1"/>
  <c r="Q270" i="45"/>
  <c r="S270" i="45" s="1"/>
  <c r="V270" i="45" s="1"/>
  <c r="K274" i="45"/>
  <c r="N274" i="45" s="1"/>
  <c r="Q274" i="45"/>
  <c r="S274" i="45" s="1"/>
  <c r="T278" i="40"/>
  <c r="V278" i="40" s="1"/>
  <c r="K278" i="40"/>
  <c r="O278" i="40" s="1"/>
  <c r="Q278" i="40" s="1"/>
  <c r="X278" i="40"/>
  <c r="C206" i="32"/>
  <c r="P428" i="31"/>
  <c r="Y428" i="31" s="1"/>
  <c r="X428" i="31"/>
  <c r="P436" i="31"/>
  <c r="Y436" i="31" s="1"/>
  <c r="X436" i="31"/>
  <c r="P440" i="31"/>
  <c r="Y440" i="31" s="1"/>
  <c r="X440" i="31"/>
  <c r="X664" i="31"/>
  <c r="P664" i="31"/>
  <c r="Y664" i="31" s="1"/>
  <c r="K302" i="45"/>
  <c r="N302" i="45" s="1"/>
  <c r="Q302" i="45"/>
  <c r="S302" i="45" s="1"/>
  <c r="V302" i="45" s="1"/>
  <c r="K306" i="45"/>
  <c r="N306" i="45" s="1"/>
  <c r="Q306" i="45"/>
  <c r="S306" i="45" s="1"/>
  <c r="T310" i="40"/>
  <c r="V310" i="40" s="1"/>
  <c r="K310" i="40"/>
  <c r="O310" i="40" s="1"/>
  <c r="Q310" i="40" s="1"/>
  <c r="X310" i="40"/>
  <c r="C238" i="32"/>
  <c r="P684" i="31"/>
  <c r="Y684" i="31" s="1"/>
  <c r="X684" i="31"/>
  <c r="P688" i="31"/>
  <c r="Y688" i="31" s="1"/>
  <c r="X688" i="31"/>
  <c r="X692" i="31"/>
  <c r="P692" i="31"/>
  <c r="Y692" i="31" s="1"/>
  <c r="X330" i="40"/>
  <c r="T330" i="40"/>
  <c r="V330" i="40" s="1"/>
  <c r="K330" i="40"/>
  <c r="O330" i="40" s="1"/>
  <c r="Q330" i="40" s="1"/>
  <c r="C258" i="32"/>
  <c r="K342" i="45"/>
  <c r="N342" i="45" s="1"/>
  <c r="Q342" i="45"/>
  <c r="S342" i="45" s="1"/>
  <c r="X346" i="40"/>
  <c r="T346" i="40"/>
  <c r="V346" i="40" s="1"/>
  <c r="Z346" i="40" s="1"/>
  <c r="K346" i="40"/>
  <c r="O346" i="40" s="1"/>
  <c r="Q346" i="40" s="1"/>
  <c r="C274" i="32"/>
  <c r="P758" i="31"/>
  <c r="Y758" i="31" s="1"/>
  <c r="X758" i="31"/>
  <c r="Q396" i="45"/>
  <c r="S396" i="45" s="1"/>
  <c r="V396" i="45" s="1"/>
  <c r="K396" i="45"/>
  <c r="N396" i="45" s="1"/>
  <c r="X400" i="40"/>
  <c r="T400" i="40"/>
  <c r="V400" i="40" s="1"/>
  <c r="Z400" i="40" s="1"/>
  <c r="K400" i="40"/>
  <c r="O400" i="40" s="1"/>
  <c r="Q400" i="40" s="1"/>
  <c r="C328" i="32"/>
  <c r="P770" i="31"/>
  <c r="Y770" i="31" s="1"/>
  <c r="X770" i="31"/>
  <c r="P774" i="31"/>
  <c r="Y774" i="31" s="1"/>
  <c r="X774" i="31"/>
  <c r="P778" i="31"/>
  <c r="Y778" i="31" s="1"/>
  <c r="X778" i="31"/>
  <c r="X416" i="40"/>
  <c r="T416" i="40"/>
  <c r="V416" i="40" s="1"/>
  <c r="K416" i="40"/>
  <c r="O416" i="40" s="1"/>
  <c r="Q416" i="40" s="1"/>
  <c r="C344" i="32"/>
  <c r="T786" i="31"/>
  <c r="P790" i="31"/>
  <c r="X790" i="31"/>
  <c r="Q428" i="45"/>
  <c r="S428" i="45" s="1"/>
  <c r="K428" i="45"/>
  <c r="N428" i="45" s="1"/>
  <c r="X432" i="40"/>
  <c r="T432" i="40"/>
  <c r="V432" i="40" s="1"/>
  <c r="K432" i="40"/>
  <c r="O432" i="40" s="1"/>
  <c r="Q432" i="40" s="1"/>
  <c r="C360" i="32"/>
  <c r="T802" i="31"/>
  <c r="P806" i="31"/>
  <c r="Y806" i="31" s="1"/>
  <c r="X806" i="31"/>
  <c r="Q444" i="45"/>
  <c r="S444" i="45" s="1"/>
  <c r="V444" i="45" s="1"/>
  <c r="K444" i="45"/>
  <c r="N444" i="45" s="1"/>
  <c r="X448" i="40"/>
  <c r="T448" i="40"/>
  <c r="V448" i="40" s="1"/>
  <c r="Z448" i="40" s="1"/>
  <c r="K448" i="40"/>
  <c r="O448" i="40" s="1"/>
  <c r="Q448" i="40" s="1"/>
  <c r="C376" i="32"/>
  <c r="T818" i="31"/>
  <c r="P822" i="31"/>
  <c r="Y822" i="31" s="1"/>
  <c r="X822" i="31"/>
  <c r="K460" i="45"/>
  <c r="N460" i="45" s="1"/>
  <c r="Q460" i="45"/>
  <c r="S460" i="45" s="1"/>
  <c r="X464" i="40"/>
  <c r="T464" i="40"/>
  <c r="V464" i="40" s="1"/>
  <c r="Z464" i="40" s="1"/>
  <c r="AC464" i="40" s="1"/>
  <c r="K464" i="40"/>
  <c r="O464" i="40" s="1"/>
  <c r="Q464" i="40" s="1"/>
  <c r="C392" i="32"/>
  <c r="T834" i="31"/>
  <c r="P839" i="31"/>
  <c r="Y839" i="31" s="1"/>
  <c r="X839" i="31"/>
  <c r="T843" i="31"/>
  <c r="P847" i="31"/>
  <c r="Y847" i="31" s="1"/>
  <c r="X847" i="31"/>
  <c r="T851" i="31"/>
  <c r="T855" i="31"/>
  <c r="T859" i="31"/>
  <c r="T863" i="31"/>
  <c r="T867" i="31"/>
  <c r="T871" i="31"/>
  <c r="T875" i="31"/>
  <c r="T879" i="31"/>
  <c r="X4" i="31"/>
  <c r="P4" i="31"/>
  <c r="Y4" i="31" s="1"/>
  <c r="W82" i="40"/>
  <c r="J82" i="40"/>
  <c r="L82" i="40" s="1"/>
  <c r="N82" i="40" s="1"/>
  <c r="S82" i="40"/>
  <c r="U82" i="40" s="1"/>
  <c r="B10" i="32"/>
  <c r="J86" i="45"/>
  <c r="L86" i="45" s="1"/>
  <c r="P86" i="45"/>
  <c r="R86" i="45" s="1"/>
  <c r="T86" i="45" s="1"/>
  <c r="X86" i="45" s="1"/>
  <c r="U86" i="45" s="1"/>
  <c r="P16" i="31"/>
  <c r="Y16" i="31" s="1"/>
  <c r="X16" i="31"/>
  <c r="P20" i="31"/>
  <c r="Y20" i="31" s="1"/>
  <c r="X20" i="31"/>
  <c r="S98" i="40"/>
  <c r="U98" i="40" s="1"/>
  <c r="J98" i="40"/>
  <c r="L98" i="40" s="1"/>
  <c r="N98" i="40" s="1"/>
  <c r="W98" i="40"/>
  <c r="B26" i="32"/>
  <c r="J102" i="45"/>
  <c r="L102" i="45" s="1"/>
  <c r="P102" i="45"/>
  <c r="R102" i="45" s="1"/>
  <c r="T32" i="31"/>
  <c r="S114" i="40"/>
  <c r="U114" i="40" s="1"/>
  <c r="Y114" i="40" s="1"/>
  <c r="AA114" i="40" s="1"/>
  <c r="AE114" i="40" s="1"/>
  <c r="AB114" i="40" s="1"/>
  <c r="J114" i="40"/>
  <c r="L114" i="40" s="1"/>
  <c r="N114" i="40" s="1"/>
  <c r="W114" i="40"/>
  <c r="B42" i="32"/>
  <c r="J118" i="45"/>
  <c r="L118" i="45" s="1"/>
  <c r="P118" i="45"/>
  <c r="R118" i="45" s="1"/>
  <c r="T48" i="31"/>
  <c r="W130" i="40"/>
  <c r="J130" i="40"/>
  <c r="L130" i="40" s="1"/>
  <c r="N130" i="40" s="1"/>
  <c r="S130" i="40"/>
  <c r="U130" i="40" s="1"/>
  <c r="B58" i="32"/>
  <c r="J134" i="45"/>
  <c r="L134" i="45" s="1"/>
  <c r="P134" i="45"/>
  <c r="R134" i="45" s="1"/>
  <c r="T134" i="45" s="1"/>
  <c r="X134" i="45" s="1"/>
  <c r="U134" i="45" s="1"/>
  <c r="P64" i="31"/>
  <c r="Y64" i="31" s="1"/>
  <c r="X64" i="31"/>
  <c r="X68" i="31"/>
  <c r="P68" i="31"/>
  <c r="Y68" i="31" s="1"/>
  <c r="W146" i="40"/>
  <c r="J146" i="40"/>
  <c r="L146" i="40" s="1"/>
  <c r="N146" i="40" s="1"/>
  <c r="S146" i="40"/>
  <c r="U146" i="40" s="1"/>
  <c r="Y146" i="40" s="1"/>
  <c r="AA146" i="40" s="1"/>
  <c r="AE146" i="40" s="1"/>
  <c r="AB146" i="40" s="1"/>
  <c r="B74" i="32"/>
  <c r="J150" i="45"/>
  <c r="L150" i="45" s="1"/>
  <c r="P150" i="45"/>
  <c r="R150" i="45" s="1"/>
  <c r="P80" i="31"/>
  <c r="Y80" i="31" s="1"/>
  <c r="X80" i="31"/>
  <c r="X84" i="31"/>
  <c r="P84" i="31"/>
  <c r="Y84" i="31" s="1"/>
  <c r="W162" i="40"/>
  <c r="J162" i="40"/>
  <c r="L162" i="40" s="1"/>
  <c r="N162" i="40" s="1"/>
  <c r="S162" i="40"/>
  <c r="U162" i="40" s="1"/>
  <c r="B90" i="32"/>
  <c r="J166" i="45"/>
  <c r="L166" i="45" s="1"/>
  <c r="P166" i="45"/>
  <c r="R166" i="45" s="1"/>
  <c r="T166" i="45" s="1"/>
  <c r="X166" i="45" s="1"/>
  <c r="U166" i="45" s="1"/>
  <c r="T96" i="31"/>
  <c r="W178" i="40"/>
  <c r="J178" i="40"/>
  <c r="L178" i="40" s="1"/>
  <c r="N178" i="40" s="1"/>
  <c r="S178" i="40"/>
  <c r="U178" i="40" s="1"/>
  <c r="Y178" i="40" s="1"/>
  <c r="AA178" i="40" s="1"/>
  <c r="AE178" i="40" s="1"/>
  <c r="AB178" i="40" s="1"/>
  <c r="B106" i="32"/>
  <c r="J182" i="45"/>
  <c r="L182" i="45" s="1"/>
  <c r="P182" i="45"/>
  <c r="R182" i="45" s="1"/>
  <c r="T182" i="45" s="1"/>
  <c r="X182" i="45" s="1"/>
  <c r="U182" i="45" s="1"/>
  <c r="T112" i="31"/>
  <c r="W194" i="40"/>
  <c r="J194" i="40"/>
  <c r="L194" i="40" s="1"/>
  <c r="N194" i="40" s="1"/>
  <c r="S194" i="40"/>
  <c r="U194" i="40" s="1"/>
  <c r="Y194" i="40" s="1"/>
  <c r="AA194" i="40" s="1"/>
  <c r="AE194" i="40" s="1"/>
  <c r="AB194" i="40" s="1"/>
  <c r="B122" i="32"/>
  <c r="J198" i="45"/>
  <c r="L198" i="45" s="1"/>
  <c r="P198" i="45"/>
  <c r="R198" i="45" s="1"/>
  <c r="P128" i="31"/>
  <c r="Y128" i="31" s="1"/>
  <c r="X128" i="31"/>
  <c r="X132" i="31"/>
  <c r="P132" i="31"/>
  <c r="Y132" i="31" s="1"/>
  <c r="J210" i="45"/>
  <c r="L210" i="45" s="1"/>
  <c r="P210" i="45"/>
  <c r="R210" i="45" s="1"/>
  <c r="T210" i="45" s="1"/>
  <c r="X210" i="45" s="1"/>
  <c r="U210" i="45" s="1"/>
  <c r="S214" i="40"/>
  <c r="U214" i="40" s="1"/>
  <c r="J214" i="40"/>
  <c r="L214" i="40" s="1"/>
  <c r="N214" i="40" s="1"/>
  <c r="W214" i="40"/>
  <c r="B142" i="32"/>
  <c r="P144" i="31"/>
  <c r="Y144" i="31" s="1"/>
  <c r="X144" i="31"/>
  <c r="X148" i="31"/>
  <c r="P148" i="31"/>
  <c r="Y148" i="31" s="1"/>
  <c r="J226" i="45"/>
  <c r="L226" i="45" s="1"/>
  <c r="P226" i="45"/>
  <c r="R226" i="45" s="1"/>
  <c r="S230" i="40"/>
  <c r="U230" i="40" s="1"/>
  <c r="Y230" i="40" s="1"/>
  <c r="J230" i="40"/>
  <c r="L230" i="40" s="1"/>
  <c r="N230" i="40" s="1"/>
  <c r="W230" i="40"/>
  <c r="B158" i="32"/>
  <c r="T160" i="31"/>
  <c r="J242" i="45"/>
  <c r="L242" i="45" s="1"/>
  <c r="P242" i="45"/>
  <c r="R242" i="45" s="1"/>
  <c r="S246" i="40"/>
  <c r="U246" i="40" s="1"/>
  <c r="J246" i="40"/>
  <c r="L246" i="40" s="1"/>
  <c r="N246" i="40" s="1"/>
  <c r="W246" i="40"/>
  <c r="B174" i="32"/>
  <c r="T176" i="31"/>
  <c r="J258" i="45"/>
  <c r="L258" i="45" s="1"/>
  <c r="P258" i="45"/>
  <c r="R258" i="45" s="1"/>
  <c r="T258" i="45" s="1"/>
  <c r="X258" i="45" s="1"/>
  <c r="U258" i="45" s="1"/>
  <c r="S262" i="40"/>
  <c r="U262" i="40" s="1"/>
  <c r="J262" i="40"/>
  <c r="L262" i="40" s="1"/>
  <c r="N262" i="40" s="1"/>
  <c r="W262" i="40"/>
  <c r="B190" i="32"/>
  <c r="P192" i="31"/>
  <c r="X192" i="31"/>
  <c r="X196" i="31"/>
  <c r="P196" i="31"/>
  <c r="Y196" i="31" s="1"/>
  <c r="J274" i="45"/>
  <c r="L274" i="45" s="1"/>
  <c r="P274" i="45"/>
  <c r="R274" i="45" s="1"/>
  <c r="J278" i="45"/>
  <c r="L278" i="45" s="1"/>
  <c r="P278" i="45"/>
  <c r="R278" i="45" s="1"/>
  <c r="T278" i="45" s="1"/>
  <c r="X278" i="45" s="1"/>
  <c r="U278" i="45" s="1"/>
  <c r="S282" i="40"/>
  <c r="U282" i="40" s="1"/>
  <c r="J282" i="40"/>
  <c r="L282" i="40" s="1"/>
  <c r="N282" i="40" s="1"/>
  <c r="W282" i="40"/>
  <c r="B210" i="32"/>
  <c r="T216" i="31"/>
  <c r="P220" i="31"/>
  <c r="Y220" i="31" s="1"/>
  <c r="X220" i="31"/>
  <c r="P444" i="31"/>
  <c r="Y444" i="31" s="1"/>
  <c r="X444" i="31"/>
  <c r="T448" i="31"/>
  <c r="J306" i="45"/>
  <c r="L306" i="45" s="1"/>
  <c r="P306" i="45"/>
  <c r="R306" i="45" s="1"/>
  <c r="T306" i="45" s="1"/>
  <c r="X306" i="45" s="1"/>
  <c r="U306" i="45" s="1"/>
  <c r="J310" i="45"/>
  <c r="L310" i="45" s="1"/>
  <c r="P310" i="45"/>
  <c r="R310" i="45" s="1"/>
  <c r="S314" i="40"/>
  <c r="U314" i="40" s="1"/>
  <c r="Y314" i="40" s="1"/>
  <c r="J314" i="40"/>
  <c r="L314" i="40" s="1"/>
  <c r="N314" i="40" s="1"/>
  <c r="W314" i="40"/>
  <c r="B242" i="32"/>
  <c r="T468" i="31"/>
  <c r="P472" i="31"/>
  <c r="Y472" i="31" s="1"/>
  <c r="X472" i="31"/>
  <c r="J330" i="45"/>
  <c r="L330" i="45" s="1"/>
  <c r="P330" i="45"/>
  <c r="R330" i="45" s="1"/>
  <c r="T330" i="45" s="1"/>
  <c r="X330" i="45" s="1"/>
  <c r="U330" i="45" s="1"/>
  <c r="W334" i="40"/>
  <c r="S334" i="40"/>
  <c r="U334" i="40" s="1"/>
  <c r="J334" i="40"/>
  <c r="L334" i="40" s="1"/>
  <c r="N334" i="40" s="1"/>
  <c r="B262" i="32"/>
  <c r="T484" i="31"/>
  <c r="X488" i="31"/>
  <c r="P488" i="31"/>
  <c r="Y488" i="31" s="1"/>
  <c r="J346" i="45"/>
  <c r="L346" i="45" s="1"/>
  <c r="P346" i="45"/>
  <c r="R346" i="45" s="1"/>
  <c r="T346" i="45" s="1"/>
  <c r="X346" i="45" s="1"/>
  <c r="U346" i="45" s="1"/>
  <c r="W350" i="40"/>
  <c r="S350" i="40"/>
  <c r="U350" i="40" s="1"/>
  <c r="J350" i="40"/>
  <c r="L350" i="40" s="1"/>
  <c r="N350" i="40" s="1"/>
  <c r="B278" i="32"/>
  <c r="T500" i="31"/>
  <c r="X504" i="31"/>
  <c r="P504" i="31"/>
  <c r="Y504" i="31" s="1"/>
  <c r="J362" i="45"/>
  <c r="L362" i="45" s="1"/>
  <c r="P362" i="45"/>
  <c r="R362" i="45" s="1"/>
  <c r="W366" i="40"/>
  <c r="S366" i="40"/>
  <c r="U366" i="40" s="1"/>
  <c r="Y366" i="40" s="1"/>
  <c r="J366" i="40"/>
  <c r="L366" i="40" s="1"/>
  <c r="N366" i="40" s="1"/>
  <c r="B294" i="32"/>
  <c r="T516" i="31"/>
  <c r="X520" i="31"/>
  <c r="P520" i="31"/>
  <c r="Y520" i="31" s="1"/>
  <c r="J378" i="45"/>
  <c r="L378" i="45" s="1"/>
  <c r="P378" i="45"/>
  <c r="R378" i="45" s="1"/>
  <c r="W382" i="40"/>
  <c r="S382" i="40"/>
  <c r="U382" i="40" s="1"/>
  <c r="Y382" i="40" s="1"/>
  <c r="AA382" i="40" s="1"/>
  <c r="AE382" i="40" s="1"/>
  <c r="AB382" i="40" s="1"/>
  <c r="J382" i="40"/>
  <c r="L382" i="40" s="1"/>
  <c r="N382" i="40" s="1"/>
  <c r="B310" i="32"/>
  <c r="X532" i="31"/>
  <c r="P532" i="31"/>
  <c r="X536" i="31"/>
  <c r="P536" i="31"/>
  <c r="Y536" i="31" s="1"/>
  <c r="J394" i="45"/>
  <c r="L394" i="45" s="1"/>
  <c r="P394" i="45"/>
  <c r="R394" i="45" s="1"/>
  <c r="T394" i="45" s="1"/>
  <c r="X394" i="45" s="1"/>
  <c r="U394" i="45" s="1"/>
  <c r="Y394" i="45" s="1"/>
  <c r="W398" i="40"/>
  <c r="S398" i="40"/>
  <c r="U398" i="40" s="1"/>
  <c r="J398" i="40"/>
  <c r="L398" i="40" s="1"/>
  <c r="N398" i="40" s="1"/>
  <c r="B326" i="32"/>
  <c r="T548" i="31"/>
  <c r="X552" i="31"/>
  <c r="P552" i="31"/>
  <c r="Y552" i="31" s="1"/>
  <c r="J410" i="45"/>
  <c r="L410" i="45" s="1"/>
  <c r="P410" i="45"/>
  <c r="R410" i="45" s="1"/>
  <c r="W414" i="40"/>
  <c r="S414" i="40"/>
  <c r="U414" i="40" s="1"/>
  <c r="Y414" i="40" s="1"/>
  <c r="J414" i="40"/>
  <c r="L414" i="40" s="1"/>
  <c r="N414" i="40" s="1"/>
  <c r="B342" i="32"/>
  <c r="T564" i="31"/>
  <c r="X568" i="31"/>
  <c r="P568" i="31"/>
  <c r="Y568" i="31" s="1"/>
  <c r="J426" i="45"/>
  <c r="L426" i="45" s="1"/>
  <c r="P426" i="45"/>
  <c r="R426" i="45" s="1"/>
  <c r="W430" i="40"/>
  <c r="S430" i="40"/>
  <c r="U430" i="40" s="1"/>
  <c r="Y430" i="40" s="1"/>
  <c r="AA430" i="40" s="1"/>
  <c r="AE430" i="40" s="1"/>
  <c r="AB430" i="40" s="1"/>
  <c r="J430" i="40"/>
  <c r="L430" i="40" s="1"/>
  <c r="N430" i="40" s="1"/>
  <c r="B358" i="32"/>
  <c r="T580" i="31"/>
  <c r="X584" i="31"/>
  <c r="P584" i="31"/>
  <c r="Y584" i="31" s="1"/>
  <c r="J442" i="45"/>
  <c r="L442" i="45" s="1"/>
  <c r="P442" i="45"/>
  <c r="R442" i="45" s="1"/>
  <c r="T442" i="45" s="1"/>
  <c r="X442" i="45" s="1"/>
  <c r="U442" i="45" s="1"/>
  <c r="W446" i="40"/>
  <c r="S446" i="40"/>
  <c r="U446" i="40" s="1"/>
  <c r="J446" i="40"/>
  <c r="L446" i="40" s="1"/>
  <c r="N446" i="40" s="1"/>
  <c r="B374" i="32"/>
  <c r="T596" i="31"/>
  <c r="X600" i="31"/>
  <c r="P600" i="31"/>
  <c r="Y600" i="31" s="1"/>
  <c r="P458" i="45"/>
  <c r="R458" i="45" s="1"/>
  <c r="J458" i="45"/>
  <c r="L458" i="45" s="1"/>
  <c r="W462" i="40"/>
  <c r="S462" i="40"/>
  <c r="U462" i="40" s="1"/>
  <c r="J462" i="40"/>
  <c r="L462" i="40" s="1"/>
  <c r="N462" i="40" s="1"/>
  <c r="B390" i="32"/>
  <c r="T612" i="31"/>
  <c r="X616" i="31"/>
  <c r="P616" i="31"/>
  <c r="Y616" i="31" s="1"/>
  <c r="P474" i="45"/>
  <c r="R474" i="45" s="1"/>
  <c r="T474" i="45" s="1"/>
  <c r="X474" i="45" s="1"/>
  <c r="U474" i="45" s="1"/>
  <c r="J474" i="45"/>
  <c r="L474" i="45" s="1"/>
  <c r="W478" i="40"/>
  <c r="S478" i="40"/>
  <c r="U478" i="40" s="1"/>
  <c r="Y478" i="40" s="1"/>
  <c r="J478" i="40"/>
  <c r="L478" i="40" s="1"/>
  <c r="N478" i="40" s="1"/>
  <c r="B406" i="32"/>
  <c r="T628" i="31"/>
  <c r="X632" i="31"/>
  <c r="P632" i="31"/>
  <c r="Y632" i="31" s="1"/>
  <c r="P490" i="45"/>
  <c r="R490" i="45" s="1"/>
  <c r="T490" i="45" s="1"/>
  <c r="X490" i="45" s="1"/>
  <c r="U490" i="45" s="1"/>
  <c r="J490" i="45"/>
  <c r="L490" i="45" s="1"/>
  <c r="W494" i="40"/>
  <c r="S494" i="40"/>
  <c r="U494" i="40" s="1"/>
  <c r="Y494" i="40" s="1"/>
  <c r="AA494" i="40" s="1"/>
  <c r="AE494" i="40" s="1"/>
  <c r="AB494" i="40" s="1"/>
  <c r="J494" i="40"/>
  <c r="L494" i="40" s="1"/>
  <c r="N494" i="40" s="1"/>
  <c r="B422" i="32"/>
  <c r="T644" i="31"/>
  <c r="X648" i="31"/>
  <c r="P648" i="31"/>
  <c r="Y648" i="31" s="1"/>
  <c r="P506" i="45"/>
  <c r="R506" i="45" s="1"/>
  <c r="J506" i="45"/>
  <c r="L506" i="45" s="1"/>
  <c r="W510" i="40"/>
  <c r="S510" i="40"/>
  <c r="U510" i="40" s="1"/>
  <c r="J510" i="40"/>
  <c r="L510" i="40" s="1"/>
  <c r="N510" i="40" s="1"/>
  <c r="B438" i="32"/>
  <c r="X660" i="31"/>
  <c r="P660" i="31"/>
  <c r="Y660" i="31" s="1"/>
  <c r="Z383" i="40"/>
  <c r="AC383" i="40" s="1"/>
  <c r="BP336" i="32"/>
  <c r="CC336" i="32" s="1"/>
  <c r="CD336" i="32" s="1"/>
  <c r="CE336" i="32" s="1"/>
  <c r="BQ336" i="32" s="1"/>
  <c r="BP254" i="32"/>
  <c r="CC254" i="32" s="1"/>
  <c r="CD254" i="32" s="1"/>
  <c r="CE254" i="32" s="1"/>
  <c r="BQ254" i="32" s="1"/>
  <c r="BP262" i="32"/>
  <c r="CC262" i="32" s="1"/>
  <c r="CD262" i="32" s="1"/>
  <c r="CE262" i="32" s="1"/>
  <c r="BQ262" i="32" s="1"/>
  <c r="BP270" i="32"/>
  <c r="CC270" i="32" s="1"/>
  <c r="CD270" i="32" s="1"/>
  <c r="CE270" i="32" s="1"/>
  <c r="BQ270" i="32" s="1"/>
  <c r="Z407" i="40"/>
  <c r="AC407" i="40" s="1"/>
  <c r="Z399" i="40"/>
  <c r="AC399" i="40" s="1"/>
  <c r="T309" i="31"/>
  <c r="P224" i="31"/>
  <c r="X224" i="31"/>
  <c r="X82" i="40"/>
  <c r="T82" i="40"/>
  <c r="V82" i="40" s="1"/>
  <c r="K82" i="40"/>
  <c r="O82" i="40" s="1"/>
  <c r="Q82" i="40" s="1"/>
  <c r="C10" i="32"/>
  <c r="T86" i="40"/>
  <c r="V86" i="40" s="1"/>
  <c r="Z86" i="40" s="1"/>
  <c r="AC86" i="40" s="1"/>
  <c r="K86" i="40"/>
  <c r="O86" i="40" s="1"/>
  <c r="Q86" i="40" s="1"/>
  <c r="X86" i="40"/>
  <c r="C14" i="32"/>
  <c r="P236" i="31"/>
  <c r="Y236" i="31" s="1"/>
  <c r="X236" i="31"/>
  <c r="P240" i="31"/>
  <c r="X240" i="31"/>
  <c r="T98" i="40"/>
  <c r="V98" i="40" s="1"/>
  <c r="Z98" i="40" s="1"/>
  <c r="AC98" i="40" s="1"/>
  <c r="K98" i="40"/>
  <c r="O98" i="40" s="1"/>
  <c r="Q98" i="40" s="1"/>
  <c r="X98" i="40"/>
  <c r="C26" i="32"/>
  <c r="T102" i="40"/>
  <c r="V102" i="40" s="1"/>
  <c r="Z102" i="40" s="1"/>
  <c r="AC102" i="40" s="1"/>
  <c r="K102" i="40"/>
  <c r="O102" i="40" s="1"/>
  <c r="Q102" i="40" s="1"/>
  <c r="X102" i="40"/>
  <c r="C30" i="32"/>
  <c r="T252" i="31"/>
  <c r="T256" i="31"/>
  <c r="T114" i="40"/>
  <c r="V114" i="40" s="1"/>
  <c r="K114" i="40"/>
  <c r="O114" i="40" s="1"/>
  <c r="Q114" i="40" s="1"/>
  <c r="X114" i="40"/>
  <c r="C42" i="32"/>
  <c r="X118" i="40"/>
  <c r="K118" i="40"/>
  <c r="O118" i="40" s="1"/>
  <c r="Q118" i="40" s="1"/>
  <c r="T118" i="40"/>
  <c r="V118" i="40" s="1"/>
  <c r="Z118" i="40" s="1"/>
  <c r="AC118" i="40" s="1"/>
  <c r="C46" i="32"/>
  <c r="T268" i="31"/>
  <c r="T272" i="31"/>
  <c r="T130" i="40"/>
  <c r="V130" i="40" s="1"/>
  <c r="Z130" i="40" s="1"/>
  <c r="AC130" i="40" s="1"/>
  <c r="X130" i="40"/>
  <c r="K130" i="40"/>
  <c r="O130" i="40" s="1"/>
  <c r="Q130" i="40" s="1"/>
  <c r="C58" i="32"/>
  <c r="X134" i="40"/>
  <c r="K134" i="40"/>
  <c r="O134" i="40" s="1"/>
  <c r="Q134" i="40" s="1"/>
  <c r="T134" i="40"/>
  <c r="V134" i="40" s="1"/>
  <c r="C62" i="32"/>
  <c r="P284" i="31"/>
  <c r="Y284" i="31" s="1"/>
  <c r="X284" i="31"/>
  <c r="P288" i="31"/>
  <c r="X288" i="31"/>
  <c r="X146" i="40"/>
  <c r="K146" i="40"/>
  <c r="O146" i="40" s="1"/>
  <c r="Q146" i="40" s="1"/>
  <c r="T146" i="40"/>
  <c r="V146" i="40" s="1"/>
  <c r="C74" i="32"/>
  <c r="K150" i="40"/>
  <c r="O150" i="40" s="1"/>
  <c r="Q150" i="40" s="1"/>
  <c r="T150" i="40"/>
  <c r="V150" i="40" s="1"/>
  <c r="Z150" i="40" s="1"/>
  <c r="X150" i="40"/>
  <c r="C78" i="32"/>
  <c r="P300" i="31"/>
  <c r="Y300" i="31" s="1"/>
  <c r="X300" i="31"/>
  <c r="P304" i="31"/>
  <c r="X304" i="31"/>
  <c r="K167" i="40"/>
  <c r="O167" i="40" s="1"/>
  <c r="Q167" i="40" s="1"/>
  <c r="T167" i="40"/>
  <c r="V167" i="40" s="1"/>
  <c r="Z167" i="40" s="1"/>
  <c r="X167" i="40"/>
  <c r="C95" i="32"/>
  <c r="T317" i="31"/>
  <c r="T321" i="31"/>
  <c r="Q179" i="45"/>
  <c r="S179" i="45" s="1"/>
  <c r="K179" i="45"/>
  <c r="N179" i="45" s="1"/>
  <c r="K183" i="40"/>
  <c r="O183" i="40" s="1"/>
  <c r="Q183" i="40" s="1"/>
  <c r="T183" i="40"/>
  <c r="V183" i="40" s="1"/>
  <c r="C111" i="32"/>
  <c r="X183" i="40"/>
  <c r="T333" i="31"/>
  <c r="P337" i="31"/>
  <c r="X337" i="31"/>
  <c r="Q195" i="45"/>
  <c r="S195" i="45" s="1"/>
  <c r="K195" i="45"/>
  <c r="N195" i="45" s="1"/>
  <c r="K199" i="40"/>
  <c r="O199" i="40" s="1"/>
  <c r="Q199" i="40" s="1"/>
  <c r="T199" i="40"/>
  <c r="V199" i="40" s="1"/>
  <c r="X199" i="40"/>
  <c r="C127" i="32"/>
  <c r="T349" i="31"/>
  <c r="P353" i="31"/>
  <c r="X353" i="31"/>
  <c r="Q211" i="45"/>
  <c r="S211" i="45" s="1"/>
  <c r="V211" i="45" s="1"/>
  <c r="K211" i="45"/>
  <c r="N211" i="45" s="1"/>
  <c r="X215" i="40"/>
  <c r="T215" i="40"/>
  <c r="V215" i="40" s="1"/>
  <c r="Z215" i="40" s="1"/>
  <c r="K215" i="40"/>
  <c r="O215" i="40" s="1"/>
  <c r="Q215" i="40" s="1"/>
  <c r="C143" i="32"/>
  <c r="T365" i="31"/>
  <c r="P369" i="31"/>
  <c r="X369" i="31"/>
  <c r="Q227" i="45"/>
  <c r="S227" i="45" s="1"/>
  <c r="V227" i="45" s="1"/>
  <c r="K227" i="45"/>
  <c r="N227" i="45" s="1"/>
  <c r="X231" i="40"/>
  <c r="T231" i="40"/>
  <c r="V231" i="40" s="1"/>
  <c r="Z231" i="40" s="1"/>
  <c r="AC231" i="40" s="1"/>
  <c r="K231" i="40"/>
  <c r="O231" i="40" s="1"/>
  <c r="Q231" i="40" s="1"/>
  <c r="C159" i="32"/>
  <c r="T381" i="31"/>
  <c r="T385" i="31"/>
  <c r="Q243" i="45"/>
  <c r="S243" i="45" s="1"/>
  <c r="V243" i="45" s="1"/>
  <c r="K243" i="45"/>
  <c r="N243" i="45" s="1"/>
  <c r="X247" i="40"/>
  <c r="T247" i="40"/>
  <c r="V247" i="40" s="1"/>
  <c r="Z247" i="40" s="1"/>
  <c r="AC247" i="40" s="1"/>
  <c r="K247" i="40"/>
  <c r="O247" i="40" s="1"/>
  <c r="Q247" i="40" s="1"/>
  <c r="C175" i="32"/>
  <c r="T397" i="31"/>
  <c r="Q259" i="45"/>
  <c r="S259" i="45" s="1"/>
  <c r="V259" i="45" s="1"/>
  <c r="K259" i="45"/>
  <c r="N259" i="45" s="1"/>
  <c r="X263" i="40"/>
  <c r="T263" i="40"/>
  <c r="V263" i="40" s="1"/>
  <c r="Z263" i="40" s="1"/>
  <c r="K263" i="40"/>
  <c r="O263" i="40" s="1"/>
  <c r="Q263" i="40" s="1"/>
  <c r="C191" i="32"/>
  <c r="P417" i="31"/>
  <c r="X417" i="31"/>
  <c r="X279" i="40"/>
  <c r="T279" i="40"/>
  <c r="V279" i="40" s="1"/>
  <c r="K279" i="40"/>
  <c r="O279" i="40" s="1"/>
  <c r="Q279" i="40" s="1"/>
  <c r="C207" i="32"/>
  <c r="T429" i="31"/>
  <c r="T433" i="31"/>
  <c r="Q291" i="45"/>
  <c r="S291" i="45" s="1"/>
  <c r="K291" i="45"/>
  <c r="N291" i="45" s="1"/>
  <c r="X295" i="40"/>
  <c r="T295" i="40"/>
  <c r="V295" i="40" s="1"/>
  <c r="K295" i="40"/>
  <c r="O295" i="40" s="1"/>
  <c r="Q295" i="40" s="1"/>
  <c r="C223" i="32"/>
  <c r="T665" i="31"/>
  <c r="X669" i="31"/>
  <c r="P669" i="31"/>
  <c r="Y669" i="31" s="1"/>
  <c r="Q307" i="45"/>
  <c r="S307" i="45" s="1"/>
  <c r="K307" i="45"/>
  <c r="N307" i="45" s="1"/>
  <c r="X311" i="40"/>
  <c r="T311" i="40"/>
  <c r="V311" i="40" s="1"/>
  <c r="K311" i="40"/>
  <c r="O311" i="40" s="1"/>
  <c r="Q311" i="40" s="1"/>
  <c r="C239" i="32"/>
  <c r="Q315" i="45"/>
  <c r="S315" i="45" s="1"/>
  <c r="V315" i="45" s="1"/>
  <c r="K315" i="45"/>
  <c r="N315" i="45" s="1"/>
  <c r="X685" i="31"/>
  <c r="P685" i="31"/>
  <c r="Y685" i="31" s="1"/>
  <c r="Q323" i="45"/>
  <c r="S323" i="45" s="1"/>
  <c r="V323" i="45" s="1"/>
  <c r="K323" i="45"/>
  <c r="N323" i="45" s="1"/>
  <c r="T327" i="40"/>
  <c r="V327" i="40" s="1"/>
  <c r="Z327" i="40" s="1"/>
  <c r="K327" i="40"/>
  <c r="O327" i="40" s="1"/>
  <c r="Q327" i="40" s="1"/>
  <c r="X327" i="40"/>
  <c r="C255" i="32"/>
  <c r="T697" i="31"/>
  <c r="X701" i="31"/>
  <c r="P701" i="31"/>
  <c r="Y701" i="31" s="1"/>
  <c r="Q339" i="45"/>
  <c r="S339" i="45" s="1"/>
  <c r="K339" i="45"/>
  <c r="N339" i="45" s="1"/>
  <c r="T343" i="40"/>
  <c r="V343" i="40" s="1"/>
  <c r="Z343" i="40" s="1"/>
  <c r="AC343" i="40" s="1"/>
  <c r="K343" i="40"/>
  <c r="O343" i="40" s="1"/>
  <c r="Q343" i="40" s="1"/>
  <c r="X343" i="40"/>
  <c r="C271" i="32"/>
  <c r="T714" i="31"/>
  <c r="P718" i="31"/>
  <c r="Y718" i="31" s="1"/>
  <c r="X718" i="31"/>
  <c r="Q356" i="45"/>
  <c r="S356" i="45" s="1"/>
  <c r="K356" i="45"/>
  <c r="N356" i="45" s="1"/>
  <c r="X360" i="40"/>
  <c r="T360" i="40"/>
  <c r="V360" i="40" s="1"/>
  <c r="K360" i="40"/>
  <c r="O360" i="40" s="1"/>
  <c r="Q360" i="40" s="1"/>
  <c r="C288" i="32"/>
  <c r="T730" i="31"/>
  <c r="Q368" i="45"/>
  <c r="S368" i="45" s="1"/>
  <c r="K368" i="45"/>
  <c r="N368" i="45" s="1"/>
  <c r="Q372" i="45"/>
  <c r="S372" i="45" s="1"/>
  <c r="V372" i="45" s="1"/>
  <c r="K372" i="45"/>
  <c r="N372" i="45" s="1"/>
  <c r="X376" i="40"/>
  <c r="T376" i="40"/>
  <c r="V376" i="40" s="1"/>
  <c r="Z376" i="40" s="1"/>
  <c r="K376" i="40"/>
  <c r="O376" i="40" s="1"/>
  <c r="Q376" i="40" s="1"/>
  <c r="C304" i="32"/>
  <c r="P746" i="31"/>
  <c r="X746" i="31"/>
  <c r="X751" i="31"/>
  <c r="P751" i="31"/>
  <c r="K389" i="45"/>
  <c r="N389" i="45" s="1"/>
  <c r="Q389" i="45"/>
  <c r="S389" i="45" s="1"/>
  <c r="V389" i="45" s="1"/>
  <c r="T393" i="40"/>
  <c r="V393" i="40" s="1"/>
  <c r="Z393" i="40" s="1"/>
  <c r="AC393" i="40" s="1"/>
  <c r="K393" i="40"/>
  <c r="O393" i="40" s="1"/>
  <c r="Q393" i="40" s="1"/>
  <c r="X393" i="40"/>
  <c r="C321" i="32"/>
  <c r="P767" i="31"/>
  <c r="X767" i="31"/>
  <c r="K405" i="45"/>
  <c r="N405" i="45" s="1"/>
  <c r="Q405" i="45"/>
  <c r="S405" i="45" s="1"/>
  <c r="V405" i="45" s="1"/>
  <c r="T409" i="40"/>
  <c r="V409" i="40" s="1"/>
  <c r="Z409" i="40" s="1"/>
  <c r="AC409" i="40" s="1"/>
  <c r="K409" i="40"/>
  <c r="O409" i="40" s="1"/>
  <c r="Q409" i="40" s="1"/>
  <c r="X409" i="40"/>
  <c r="C337" i="32"/>
  <c r="P783" i="31"/>
  <c r="X783" i="31"/>
  <c r="K421" i="45"/>
  <c r="N421" i="45" s="1"/>
  <c r="Q421" i="45"/>
  <c r="S421" i="45" s="1"/>
  <c r="V421" i="45" s="1"/>
  <c r="T425" i="40"/>
  <c r="V425" i="40" s="1"/>
  <c r="Z425" i="40" s="1"/>
  <c r="AC425" i="40" s="1"/>
  <c r="K425" i="40"/>
  <c r="O425" i="40" s="1"/>
  <c r="Q425" i="40" s="1"/>
  <c r="X425" i="40"/>
  <c r="C353" i="32"/>
  <c r="P799" i="31"/>
  <c r="X799" i="31"/>
  <c r="K437" i="45"/>
  <c r="N437" i="45" s="1"/>
  <c r="Q437" i="45"/>
  <c r="S437" i="45" s="1"/>
  <c r="V437" i="45" s="1"/>
  <c r="T441" i="40"/>
  <c r="V441" i="40" s="1"/>
  <c r="Z441" i="40" s="1"/>
  <c r="AC441" i="40" s="1"/>
  <c r="K441" i="40"/>
  <c r="O441" i="40" s="1"/>
  <c r="Q441" i="40" s="1"/>
  <c r="X441" i="40"/>
  <c r="C369" i="32"/>
  <c r="P811" i="31"/>
  <c r="Y811" i="31" s="1"/>
  <c r="X811" i="31"/>
  <c r="P815" i="31"/>
  <c r="X815" i="31"/>
  <c r="K453" i="45"/>
  <c r="N453" i="45" s="1"/>
  <c r="Q453" i="45"/>
  <c r="S453" i="45" s="1"/>
  <c r="T457" i="40"/>
  <c r="V457" i="40" s="1"/>
  <c r="K457" i="40"/>
  <c r="O457" i="40" s="1"/>
  <c r="Q457" i="40" s="1"/>
  <c r="X457" i="40"/>
  <c r="C385" i="32"/>
  <c r="T827" i="31"/>
  <c r="P831" i="31"/>
  <c r="Y831" i="31" s="1"/>
  <c r="X831" i="31"/>
  <c r="Q469" i="45"/>
  <c r="S469" i="45" s="1"/>
  <c r="V469" i="45" s="1"/>
  <c r="K469" i="45"/>
  <c r="N469" i="45" s="1"/>
  <c r="X474" i="40"/>
  <c r="T474" i="40"/>
  <c r="V474" i="40" s="1"/>
  <c r="Z474" i="40" s="1"/>
  <c r="AC474" i="40" s="1"/>
  <c r="K474" i="40"/>
  <c r="O474" i="40" s="1"/>
  <c r="Q474" i="40" s="1"/>
  <c r="C402" i="32"/>
  <c r="T844" i="31"/>
  <c r="P848" i="31"/>
  <c r="Y848" i="31" s="1"/>
  <c r="X848" i="31"/>
  <c r="K486" i="45"/>
  <c r="N486" i="45" s="1"/>
  <c r="Q486" i="45"/>
  <c r="S486" i="45" s="1"/>
  <c r="V486" i="45" s="1"/>
  <c r="X490" i="40"/>
  <c r="T490" i="40"/>
  <c r="V490" i="40" s="1"/>
  <c r="K490" i="40"/>
  <c r="O490" i="40" s="1"/>
  <c r="Q490" i="40" s="1"/>
  <c r="C418" i="32"/>
  <c r="P860" i="31"/>
  <c r="Y860" i="31" s="1"/>
  <c r="X860" i="31"/>
  <c r="K498" i="45"/>
  <c r="N498" i="45" s="1"/>
  <c r="Q498" i="45"/>
  <c r="S498" i="45" s="1"/>
  <c r="V498" i="45" s="1"/>
  <c r="K502" i="45"/>
  <c r="N502" i="45" s="1"/>
  <c r="Q502" i="45"/>
  <c r="S502" i="45" s="1"/>
  <c r="X506" i="40"/>
  <c r="T506" i="40"/>
  <c r="V506" i="40" s="1"/>
  <c r="Z506" i="40" s="1"/>
  <c r="K506" i="40"/>
  <c r="O506" i="40" s="1"/>
  <c r="Q506" i="40" s="1"/>
  <c r="C434" i="32"/>
  <c r="T876" i="31"/>
  <c r="P880" i="31"/>
  <c r="X880" i="31"/>
  <c r="J79" i="45"/>
  <c r="L79" i="45" s="1"/>
  <c r="P79" i="45"/>
  <c r="R79" i="45" s="1"/>
  <c r="W83" i="40"/>
  <c r="S83" i="40"/>
  <c r="U83" i="40" s="1"/>
  <c r="Y83" i="40" s="1"/>
  <c r="AA83" i="40" s="1"/>
  <c r="AE83" i="40" s="1"/>
  <c r="AB83" i="40" s="1"/>
  <c r="J83" i="40"/>
  <c r="L83" i="40" s="1"/>
  <c r="N83" i="40" s="1"/>
  <c r="B11" i="32"/>
  <c r="T13" i="31"/>
  <c r="P17" i="31"/>
  <c r="Y17" i="31" s="1"/>
  <c r="X17" i="31"/>
  <c r="W99" i="40"/>
  <c r="J99" i="40"/>
  <c r="L99" i="40" s="1"/>
  <c r="N99" i="40" s="1"/>
  <c r="S99" i="40"/>
  <c r="U99" i="40" s="1"/>
  <c r="Y99" i="40" s="1"/>
  <c r="AA99" i="40" s="1"/>
  <c r="AE99" i="40" s="1"/>
  <c r="AB99" i="40" s="1"/>
  <c r="B27" i="32"/>
  <c r="T29" i="31"/>
  <c r="P33" i="31"/>
  <c r="Y33" i="31" s="1"/>
  <c r="X33" i="31"/>
  <c r="W115" i="40"/>
  <c r="J115" i="40"/>
  <c r="L115" i="40" s="1"/>
  <c r="N115" i="40" s="1"/>
  <c r="S115" i="40"/>
  <c r="U115" i="40" s="1"/>
  <c r="Y115" i="40" s="1"/>
  <c r="AA115" i="40" s="1"/>
  <c r="AE115" i="40" s="1"/>
  <c r="AB115" i="40" s="1"/>
  <c r="B43" i="32"/>
  <c r="T45" i="31"/>
  <c r="J123" i="45"/>
  <c r="L123" i="45" s="1"/>
  <c r="P123" i="45"/>
  <c r="R123" i="45" s="1"/>
  <c r="T123" i="45" s="1"/>
  <c r="X123" i="45" s="1"/>
  <c r="U123" i="45" s="1"/>
  <c r="Y123" i="45" s="1"/>
  <c r="J127" i="45"/>
  <c r="L127" i="45" s="1"/>
  <c r="P127" i="45"/>
  <c r="R127" i="45" s="1"/>
  <c r="S131" i="40"/>
  <c r="U131" i="40" s="1"/>
  <c r="W131" i="40"/>
  <c r="J131" i="40"/>
  <c r="L131" i="40" s="1"/>
  <c r="N131" i="40" s="1"/>
  <c r="B59" i="32"/>
  <c r="T61" i="31"/>
  <c r="J139" i="45"/>
  <c r="L139" i="45" s="1"/>
  <c r="P139" i="45"/>
  <c r="R139" i="45" s="1"/>
  <c r="T139" i="45" s="1"/>
  <c r="X139" i="45" s="1"/>
  <c r="U139" i="45" s="1"/>
  <c r="J143" i="45"/>
  <c r="L143" i="45" s="1"/>
  <c r="P143" i="45"/>
  <c r="R143" i="45" s="1"/>
  <c r="W147" i="40"/>
  <c r="J147" i="40"/>
  <c r="L147" i="40" s="1"/>
  <c r="N147" i="40" s="1"/>
  <c r="S147" i="40"/>
  <c r="U147" i="40" s="1"/>
  <c r="B75" i="32"/>
  <c r="P81" i="31"/>
  <c r="Y81" i="31" s="1"/>
  <c r="X81" i="31"/>
  <c r="J159" i="45"/>
  <c r="L159" i="45" s="1"/>
  <c r="P159" i="45"/>
  <c r="R159" i="45" s="1"/>
  <c r="W163" i="40"/>
  <c r="J163" i="40"/>
  <c r="L163" i="40" s="1"/>
  <c r="N163" i="40" s="1"/>
  <c r="S163" i="40"/>
  <c r="U163" i="40" s="1"/>
  <c r="B91" i="32"/>
  <c r="T93" i="31"/>
  <c r="P97" i="31"/>
  <c r="Y97" i="31" s="1"/>
  <c r="X97" i="31"/>
  <c r="J175" i="45"/>
  <c r="L175" i="45" s="1"/>
  <c r="P175" i="45"/>
  <c r="R175" i="45" s="1"/>
  <c r="T175" i="45" s="1"/>
  <c r="X175" i="45" s="1"/>
  <c r="U175" i="45" s="1"/>
  <c r="Y175" i="45" s="1"/>
  <c r="W179" i="40"/>
  <c r="J179" i="40"/>
  <c r="L179" i="40" s="1"/>
  <c r="N179" i="40" s="1"/>
  <c r="S179" i="40"/>
  <c r="U179" i="40" s="1"/>
  <c r="B107" i="32"/>
  <c r="T109" i="31"/>
  <c r="P113" i="31"/>
  <c r="Y113" i="31" s="1"/>
  <c r="X113" i="31"/>
  <c r="J191" i="45"/>
  <c r="L191" i="45" s="1"/>
  <c r="P191" i="45"/>
  <c r="R191" i="45" s="1"/>
  <c r="T191" i="45" s="1"/>
  <c r="X191" i="45" s="1"/>
  <c r="U191" i="45" s="1"/>
  <c r="W195" i="40"/>
  <c r="J195" i="40"/>
  <c r="L195" i="40" s="1"/>
  <c r="N195" i="40" s="1"/>
  <c r="S195" i="40"/>
  <c r="U195" i="40" s="1"/>
  <c r="Y195" i="40" s="1"/>
  <c r="AA195" i="40" s="1"/>
  <c r="AE195" i="40" s="1"/>
  <c r="AB195" i="40" s="1"/>
  <c r="AF195" i="40" s="1"/>
  <c r="B123" i="32"/>
  <c r="T125" i="31"/>
  <c r="J207" i="45"/>
  <c r="L207" i="45" s="1"/>
  <c r="P207" i="45"/>
  <c r="R207" i="45" s="1"/>
  <c r="T207" i="45" s="1"/>
  <c r="X207" i="45" s="1"/>
  <c r="U207" i="45" s="1"/>
  <c r="W211" i="40"/>
  <c r="S211" i="40"/>
  <c r="U211" i="40" s="1"/>
  <c r="J211" i="40"/>
  <c r="L211" i="40" s="1"/>
  <c r="N211" i="40" s="1"/>
  <c r="B139" i="32"/>
  <c r="T141" i="31"/>
  <c r="P145" i="31"/>
  <c r="Y145" i="31" s="1"/>
  <c r="X145" i="31"/>
  <c r="J223" i="45"/>
  <c r="L223" i="45" s="1"/>
  <c r="P223" i="45"/>
  <c r="R223" i="45" s="1"/>
  <c r="T223" i="45" s="1"/>
  <c r="X223" i="45" s="1"/>
  <c r="U223" i="45" s="1"/>
  <c r="Y223" i="45" s="1"/>
  <c r="W227" i="40"/>
  <c r="S227" i="40"/>
  <c r="U227" i="40" s="1"/>
  <c r="J227" i="40"/>
  <c r="L227" i="40" s="1"/>
  <c r="N227" i="40" s="1"/>
  <c r="B155" i="32"/>
  <c r="T157" i="31"/>
  <c r="P161" i="31"/>
  <c r="Y161" i="31" s="1"/>
  <c r="X161" i="31"/>
  <c r="W243" i="40"/>
  <c r="S243" i="40"/>
  <c r="U243" i="40" s="1"/>
  <c r="J243" i="40"/>
  <c r="L243" i="40" s="1"/>
  <c r="N243" i="40" s="1"/>
  <c r="B171" i="32"/>
  <c r="J255" i="45"/>
  <c r="L255" i="45" s="1"/>
  <c r="P255" i="45"/>
  <c r="R255" i="45" s="1"/>
  <c r="W259" i="40"/>
  <c r="S259" i="40"/>
  <c r="U259" i="40" s="1"/>
  <c r="Y259" i="40" s="1"/>
  <c r="J259" i="40"/>
  <c r="L259" i="40" s="1"/>
  <c r="N259" i="40" s="1"/>
  <c r="B187" i="32"/>
  <c r="T189" i="31"/>
  <c r="J267" i="45"/>
  <c r="L267" i="45" s="1"/>
  <c r="P267" i="45"/>
  <c r="R267" i="45" s="1"/>
  <c r="T267" i="45" s="1"/>
  <c r="X267" i="45" s="1"/>
  <c r="U267" i="45" s="1"/>
  <c r="Y267" i="45" s="1"/>
  <c r="J271" i="45"/>
  <c r="L271" i="45" s="1"/>
  <c r="P271" i="45"/>
  <c r="R271" i="45" s="1"/>
  <c r="W275" i="40"/>
  <c r="J275" i="40"/>
  <c r="L275" i="40" s="1"/>
  <c r="N275" i="40" s="1"/>
  <c r="S275" i="40"/>
  <c r="U275" i="40" s="1"/>
  <c r="B203" i="32"/>
  <c r="T205" i="31"/>
  <c r="P209" i="31"/>
  <c r="Y209" i="31" s="1"/>
  <c r="X209" i="31"/>
  <c r="J287" i="45"/>
  <c r="L287" i="45" s="1"/>
  <c r="P287" i="45"/>
  <c r="R287" i="45" s="1"/>
  <c r="T287" i="45" s="1"/>
  <c r="X287" i="45" s="1"/>
  <c r="U287" i="45" s="1"/>
  <c r="W291" i="40"/>
  <c r="J291" i="40"/>
  <c r="L291" i="40" s="1"/>
  <c r="N291" i="40" s="1"/>
  <c r="B219" i="32"/>
  <c r="S291" i="40"/>
  <c r="U291" i="40" s="1"/>
  <c r="T221" i="31"/>
  <c r="J299" i="45"/>
  <c r="L299" i="45" s="1"/>
  <c r="P299" i="45"/>
  <c r="R299" i="45" s="1"/>
  <c r="W307" i="40"/>
  <c r="J307" i="40"/>
  <c r="L307" i="40" s="1"/>
  <c r="N307" i="40" s="1"/>
  <c r="S307" i="40"/>
  <c r="U307" i="40" s="1"/>
  <c r="B235" i="32"/>
  <c r="T457" i="31"/>
  <c r="X461" i="31"/>
  <c r="P461" i="31"/>
  <c r="Y461" i="31" s="1"/>
  <c r="J319" i="45"/>
  <c r="L319" i="45" s="1"/>
  <c r="P319" i="45"/>
  <c r="R319" i="45" s="1"/>
  <c r="T319" i="45" s="1"/>
  <c r="X319" i="45" s="1"/>
  <c r="U319" i="45" s="1"/>
  <c r="Y319" i="45" s="1"/>
  <c r="S323" i="40"/>
  <c r="U323" i="40" s="1"/>
  <c r="Y323" i="40" s="1"/>
  <c r="AA323" i="40" s="1"/>
  <c r="AE323" i="40" s="1"/>
  <c r="AB323" i="40" s="1"/>
  <c r="J323" i="40"/>
  <c r="L323" i="40" s="1"/>
  <c r="N323" i="40" s="1"/>
  <c r="W323" i="40"/>
  <c r="B251" i="32"/>
  <c r="T473" i="31"/>
  <c r="P477" i="31"/>
  <c r="Y477" i="31" s="1"/>
  <c r="X477" i="31"/>
  <c r="J335" i="45"/>
  <c r="L335" i="45" s="1"/>
  <c r="P335" i="45"/>
  <c r="R335" i="45" s="1"/>
  <c r="T335" i="45" s="1"/>
  <c r="X335" i="45" s="1"/>
  <c r="U335" i="45" s="1"/>
  <c r="Y335" i="45" s="1"/>
  <c r="S339" i="40"/>
  <c r="U339" i="40" s="1"/>
  <c r="J339" i="40"/>
  <c r="L339" i="40" s="1"/>
  <c r="N339" i="40" s="1"/>
  <c r="W339" i="40"/>
  <c r="B267" i="32"/>
  <c r="T489" i="31"/>
  <c r="X493" i="31"/>
  <c r="P493" i="31"/>
  <c r="Y493" i="31" s="1"/>
  <c r="J351" i="45"/>
  <c r="L351" i="45" s="1"/>
  <c r="P351" i="45"/>
  <c r="R351" i="45" s="1"/>
  <c r="S355" i="40"/>
  <c r="U355" i="40" s="1"/>
  <c r="J355" i="40"/>
  <c r="L355" i="40" s="1"/>
  <c r="N355" i="40" s="1"/>
  <c r="W355" i="40"/>
  <c r="B283" i="32"/>
  <c r="P505" i="31"/>
  <c r="X505" i="31"/>
  <c r="X509" i="31"/>
  <c r="P509" i="31"/>
  <c r="Y509" i="31" s="1"/>
  <c r="J367" i="45"/>
  <c r="L367" i="45" s="1"/>
  <c r="P367" i="45"/>
  <c r="R367" i="45" s="1"/>
  <c r="T367" i="45" s="1"/>
  <c r="X367" i="45" s="1"/>
  <c r="U367" i="45" s="1"/>
  <c r="S371" i="40"/>
  <c r="U371" i="40" s="1"/>
  <c r="Y371" i="40" s="1"/>
  <c r="AA371" i="40" s="1"/>
  <c r="AE371" i="40" s="1"/>
  <c r="AB371" i="40" s="1"/>
  <c r="J371" i="40"/>
  <c r="L371" i="40" s="1"/>
  <c r="N371" i="40" s="1"/>
  <c r="W371" i="40"/>
  <c r="B299" i="32"/>
  <c r="J375" i="45"/>
  <c r="L375" i="45" s="1"/>
  <c r="P375" i="45"/>
  <c r="R375" i="45" s="1"/>
  <c r="X525" i="31"/>
  <c r="P525" i="31"/>
  <c r="Y525" i="31" s="1"/>
  <c r="J383" i="45"/>
  <c r="L383" i="45" s="1"/>
  <c r="P383" i="45"/>
  <c r="R383" i="45" s="1"/>
  <c r="S387" i="40"/>
  <c r="U387" i="40" s="1"/>
  <c r="J387" i="40"/>
  <c r="L387" i="40" s="1"/>
  <c r="N387" i="40" s="1"/>
  <c r="W387" i="40"/>
  <c r="B315" i="32"/>
  <c r="T537" i="31"/>
  <c r="X541" i="31"/>
  <c r="P541" i="31"/>
  <c r="Y541" i="31" s="1"/>
  <c r="J399" i="45"/>
  <c r="L399" i="45" s="1"/>
  <c r="P399" i="45"/>
  <c r="R399" i="45" s="1"/>
  <c r="S403" i="40"/>
  <c r="U403" i="40" s="1"/>
  <c r="Y403" i="40" s="1"/>
  <c r="J403" i="40"/>
  <c r="L403" i="40" s="1"/>
  <c r="N403" i="40" s="1"/>
  <c r="W403" i="40"/>
  <c r="B331" i="32"/>
  <c r="J407" i="45"/>
  <c r="L407" i="45" s="1"/>
  <c r="P407" i="45"/>
  <c r="R407" i="45" s="1"/>
  <c r="T407" i="45" s="1"/>
  <c r="X407" i="45" s="1"/>
  <c r="U407" i="45" s="1"/>
  <c r="Y407" i="45" s="1"/>
  <c r="X557" i="31"/>
  <c r="P557" i="31"/>
  <c r="Y557" i="31" s="1"/>
  <c r="J415" i="45"/>
  <c r="L415" i="45" s="1"/>
  <c r="P415" i="45"/>
  <c r="R415" i="45" s="1"/>
  <c r="T415" i="45" s="1"/>
  <c r="X415" i="45" s="1"/>
  <c r="U415" i="45" s="1"/>
  <c r="Y415" i="45" s="1"/>
  <c r="S419" i="40"/>
  <c r="U419" i="40" s="1"/>
  <c r="J419" i="40"/>
  <c r="L419" i="40" s="1"/>
  <c r="N419" i="40" s="1"/>
  <c r="W419" i="40"/>
  <c r="B347" i="32"/>
  <c r="T569" i="31"/>
  <c r="X573" i="31"/>
  <c r="P573" i="31"/>
  <c r="Y573" i="31" s="1"/>
  <c r="J431" i="45"/>
  <c r="L431" i="45" s="1"/>
  <c r="P431" i="45"/>
  <c r="R431" i="45" s="1"/>
  <c r="S435" i="40"/>
  <c r="U435" i="40" s="1"/>
  <c r="J435" i="40"/>
  <c r="L435" i="40" s="1"/>
  <c r="N435" i="40" s="1"/>
  <c r="W435" i="40"/>
  <c r="B363" i="32"/>
  <c r="T585" i="31"/>
  <c r="X589" i="31"/>
  <c r="P589" i="31"/>
  <c r="Y589" i="31" s="1"/>
  <c r="J447" i="45"/>
  <c r="L447" i="45" s="1"/>
  <c r="P447" i="45"/>
  <c r="R447" i="45" s="1"/>
  <c r="S451" i="40"/>
  <c r="U451" i="40" s="1"/>
  <c r="Y451" i="40" s="1"/>
  <c r="J451" i="40"/>
  <c r="L451" i="40" s="1"/>
  <c r="N451" i="40" s="1"/>
  <c r="W451" i="40"/>
  <c r="B379" i="32"/>
  <c r="T601" i="31"/>
  <c r="P605" i="31"/>
  <c r="Y605" i="31" s="1"/>
  <c r="X605" i="31"/>
  <c r="P463" i="45"/>
  <c r="R463" i="45" s="1"/>
  <c r="J463" i="45"/>
  <c r="L463" i="45" s="1"/>
  <c r="S467" i="40"/>
  <c r="U467" i="40" s="1"/>
  <c r="Y467" i="40" s="1"/>
  <c r="AA467" i="40" s="1"/>
  <c r="AE467" i="40" s="1"/>
  <c r="AB467" i="40" s="1"/>
  <c r="J467" i="40"/>
  <c r="L467" i="40" s="1"/>
  <c r="N467" i="40" s="1"/>
  <c r="W467" i="40"/>
  <c r="B395" i="32"/>
  <c r="J471" i="45"/>
  <c r="L471" i="45" s="1"/>
  <c r="P471" i="45"/>
  <c r="R471" i="45" s="1"/>
  <c r="X621" i="31"/>
  <c r="P621" i="31"/>
  <c r="Y621" i="31" s="1"/>
  <c r="P479" i="45"/>
  <c r="R479" i="45" s="1"/>
  <c r="T479" i="45" s="1"/>
  <c r="X479" i="45" s="1"/>
  <c r="U479" i="45" s="1"/>
  <c r="J479" i="45"/>
  <c r="L479" i="45" s="1"/>
  <c r="S483" i="40"/>
  <c r="U483" i="40" s="1"/>
  <c r="J483" i="40"/>
  <c r="L483" i="40" s="1"/>
  <c r="N483" i="40" s="1"/>
  <c r="W483" i="40"/>
  <c r="B411" i="32"/>
  <c r="T633" i="31"/>
  <c r="X637" i="31"/>
  <c r="P637" i="31"/>
  <c r="Y637" i="31" s="1"/>
  <c r="P495" i="45"/>
  <c r="R495" i="45" s="1"/>
  <c r="T495" i="45" s="1"/>
  <c r="X495" i="45" s="1"/>
  <c r="U495" i="45" s="1"/>
  <c r="J495" i="45"/>
  <c r="L495" i="45" s="1"/>
  <c r="S499" i="40"/>
  <c r="U499" i="40" s="1"/>
  <c r="Y499" i="40" s="1"/>
  <c r="J499" i="40"/>
  <c r="L499" i="40" s="1"/>
  <c r="N499" i="40" s="1"/>
  <c r="W499" i="40"/>
  <c r="B427" i="32"/>
  <c r="T649" i="31"/>
  <c r="X653" i="31"/>
  <c r="P653" i="31"/>
  <c r="Y653" i="31" s="1"/>
  <c r="P511" i="45"/>
  <c r="R511" i="45" s="1"/>
  <c r="J511" i="45"/>
  <c r="L511" i="45" s="1"/>
  <c r="S515" i="40"/>
  <c r="U515" i="40" s="1"/>
  <c r="Y515" i="40" s="1"/>
  <c r="AA515" i="40" s="1"/>
  <c r="AE515" i="40" s="1"/>
  <c r="AB515" i="40" s="1"/>
  <c r="AF515" i="40" s="1"/>
  <c r="J515" i="40"/>
  <c r="L515" i="40" s="1"/>
  <c r="N515" i="40" s="1"/>
  <c r="W515" i="40"/>
  <c r="B443" i="32"/>
  <c r="K233" i="45"/>
  <c r="N233" i="45" s="1"/>
  <c r="Q233" i="45"/>
  <c r="S233" i="45" s="1"/>
  <c r="X237" i="40"/>
  <c r="T237" i="40"/>
  <c r="V237" i="40" s="1"/>
  <c r="Z237" i="40" s="1"/>
  <c r="K237" i="40"/>
  <c r="O237" i="40" s="1"/>
  <c r="Q237" i="40" s="1"/>
  <c r="C165" i="32"/>
  <c r="T383" i="31"/>
  <c r="P391" i="31"/>
  <c r="Y391" i="31" s="1"/>
  <c r="X391" i="31"/>
  <c r="K249" i="45"/>
  <c r="N249" i="45" s="1"/>
  <c r="Q249" i="45"/>
  <c r="S249" i="45" s="1"/>
  <c r="X253" i="40"/>
  <c r="T253" i="40"/>
  <c r="V253" i="40" s="1"/>
  <c r="Z253" i="40" s="1"/>
  <c r="AC253" i="40" s="1"/>
  <c r="K253" i="40"/>
  <c r="O253" i="40" s="1"/>
  <c r="Q253" i="40" s="1"/>
  <c r="C181" i="32"/>
  <c r="P407" i="31"/>
  <c r="Y407" i="31" s="1"/>
  <c r="X407" i="31"/>
  <c r="K265" i="45"/>
  <c r="N265" i="45" s="1"/>
  <c r="Q265" i="45"/>
  <c r="S265" i="45" s="1"/>
  <c r="X269" i="40"/>
  <c r="T269" i="40"/>
  <c r="V269" i="40" s="1"/>
  <c r="Z269" i="40" s="1"/>
  <c r="AC269" i="40" s="1"/>
  <c r="K269" i="40"/>
  <c r="O269" i="40" s="1"/>
  <c r="Q269" i="40" s="1"/>
  <c r="C197" i="32"/>
  <c r="P423" i="31"/>
  <c r="X423" i="31"/>
  <c r="X285" i="40"/>
  <c r="T285" i="40"/>
  <c r="V285" i="40" s="1"/>
  <c r="C213" i="32"/>
  <c r="K285" i="40"/>
  <c r="O285" i="40" s="1"/>
  <c r="Q285" i="40" s="1"/>
  <c r="T431" i="31"/>
  <c r="K297" i="45"/>
  <c r="N297" i="45" s="1"/>
  <c r="Q297" i="45"/>
  <c r="S297" i="45" s="1"/>
  <c r="V297" i="45" s="1"/>
  <c r="X301" i="40"/>
  <c r="T301" i="40"/>
  <c r="V301" i="40" s="1"/>
  <c r="C229" i="32"/>
  <c r="K301" i="40"/>
  <c r="O301" i="40" s="1"/>
  <c r="Q301" i="40" s="1"/>
  <c r="T667" i="31"/>
  <c r="P675" i="31"/>
  <c r="X675" i="31"/>
  <c r="K313" i="45"/>
  <c r="N313" i="45" s="1"/>
  <c r="Q313" i="45"/>
  <c r="S313" i="45" s="1"/>
  <c r="V313" i="45" s="1"/>
  <c r="X317" i="40"/>
  <c r="T317" i="40"/>
  <c r="V317" i="40" s="1"/>
  <c r="C245" i="32"/>
  <c r="K317" i="40"/>
  <c r="O317" i="40" s="1"/>
  <c r="Q317" i="40" s="1"/>
  <c r="P720" i="31"/>
  <c r="Y720" i="31" s="1"/>
  <c r="X720" i="31"/>
  <c r="K358" i="45"/>
  <c r="N358" i="45" s="1"/>
  <c r="Q358" i="45"/>
  <c r="S358" i="45" s="1"/>
  <c r="V358" i="45" s="1"/>
  <c r="X362" i="40"/>
  <c r="T362" i="40"/>
  <c r="V362" i="40" s="1"/>
  <c r="K362" i="40"/>
  <c r="O362" i="40" s="1"/>
  <c r="Q362" i="40" s="1"/>
  <c r="C290" i="32"/>
  <c r="P736" i="31"/>
  <c r="Y736" i="31" s="1"/>
  <c r="X736" i="31"/>
  <c r="K374" i="45"/>
  <c r="N374" i="45" s="1"/>
  <c r="Q374" i="45"/>
  <c r="S374" i="45" s="1"/>
  <c r="V374" i="45" s="1"/>
  <c r="X378" i="40"/>
  <c r="T378" i="40"/>
  <c r="V378" i="40" s="1"/>
  <c r="K378" i="40"/>
  <c r="O378" i="40" s="1"/>
  <c r="Q378" i="40" s="1"/>
  <c r="C306" i="32"/>
  <c r="P748" i="31"/>
  <c r="X748" i="31"/>
  <c r="Q423" i="45"/>
  <c r="S423" i="45" s="1"/>
  <c r="K423" i="45"/>
  <c r="N423" i="45" s="1"/>
  <c r="Q443" i="45"/>
  <c r="S443" i="45" s="1"/>
  <c r="V443" i="45" s="1"/>
  <c r="K443" i="45"/>
  <c r="N443" i="45" s="1"/>
  <c r="X829" i="31"/>
  <c r="P829" i="31"/>
  <c r="Y829" i="31" s="1"/>
  <c r="K476" i="45"/>
  <c r="N476" i="45" s="1"/>
  <c r="Q476" i="45"/>
  <c r="S476" i="45" s="1"/>
  <c r="Q480" i="45"/>
  <c r="S480" i="45" s="1"/>
  <c r="K480" i="45"/>
  <c r="N480" i="45" s="1"/>
  <c r="X484" i="40"/>
  <c r="T484" i="40"/>
  <c r="V484" i="40" s="1"/>
  <c r="K484" i="40"/>
  <c r="O484" i="40" s="1"/>
  <c r="Q484" i="40" s="1"/>
  <c r="C412" i="32"/>
  <c r="P854" i="31"/>
  <c r="Y854" i="31" s="1"/>
  <c r="X854" i="31"/>
  <c r="P858" i="31"/>
  <c r="Y858" i="31" s="1"/>
  <c r="X858" i="31"/>
  <c r="P862" i="31"/>
  <c r="Y862" i="31" s="1"/>
  <c r="X862" i="31"/>
  <c r="X500" i="40"/>
  <c r="T500" i="40"/>
  <c r="V500" i="40" s="1"/>
  <c r="Z500" i="40" s="1"/>
  <c r="AC500" i="40" s="1"/>
  <c r="K500" i="40"/>
  <c r="O500" i="40" s="1"/>
  <c r="Q500" i="40" s="1"/>
  <c r="C428" i="32"/>
  <c r="P870" i="31"/>
  <c r="Y870" i="31" s="1"/>
  <c r="X870" i="31"/>
  <c r="P874" i="31"/>
  <c r="Y874" i="31" s="1"/>
  <c r="X874" i="31"/>
  <c r="Q512" i="45"/>
  <c r="S512" i="45" s="1"/>
  <c r="K512" i="45"/>
  <c r="N512" i="45" s="1"/>
  <c r="S76" i="40"/>
  <c r="U76" i="40" s="1"/>
  <c r="Y76" i="40" s="1"/>
  <c r="W76" i="40"/>
  <c r="J76" i="40"/>
  <c r="L76" i="40" s="1"/>
  <c r="N76" i="40" s="1"/>
  <c r="B4" i="32"/>
  <c r="D253" i="32" s="1"/>
  <c r="P11" i="31"/>
  <c r="Y11" i="31" s="1"/>
  <c r="X11" i="31"/>
  <c r="P89" i="45"/>
  <c r="R89" i="45" s="1"/>
  <c r="J89" i="45"/>
  <c r="L89" i="45" s="1"/>
  <c r="W93" i="40"/>
  <c r="J93" i="40"/>
  <c r="L93" i="40" s="1"/>
  <c r="N93" i="40" s="1"/>
  <c r="S93" i="40"/>
  <c r="U93" i="40" s="1"/>
  <c r="Y93" i="40" s="1"/>
  <c r="AA93" i="40" s="1"/>
  <c r="AE93" i="40" s="1"/>
  <c r="AB93" i="40" s="1"/>
  <c r="B21" i="32"/>
  <c r="P27" i="31"/>
  <c r="Y27" i="31" s="1"/>
  <c r="X27" i="31"/>
  <c r="P105" i="45"/>
  <c r="R105" i="45" s="1"/>
  <c r="J105" i="45"/>
  <c r="L105" i="45" s="1"/>
  <c r="W109" i="40"/>
  <c r="J109" i="40"/>
  <c r="L109" i="40" s="1"/>
  <c r="N109" i="40" s="1"/>
  <c r="S109" i="40"/>
  <c r="U109" i="40" s="1"/>
  <c r="Y109" i="40" s="1"/>
  <c r="AA109" i="40" s="1"/>
  <c r="AE109" i="40" s="1"/>
  <c r="AB109" i="40" s="1"/>
  <c r="B37" i="32"/>
  <c r="P43" i="31"/>
  <c r="Y43" i="31" s="1"/>
  <c r="X43" i="31"/>
  <c r="P121" i="45"/>
  <c r="R121" i="45" s="1"/>
  <c r="J121" i="45"/>
  <c r="L121" i="45" s="1"/>
  <c r="J125" i="40"/>
  <c r="L125" i="40" s="1"/>
  <c r="N125" i="40" s="1"/>
  <c r="S125" i="40"/>
  <c r="U125" i="40" s="1"/>
  <c r="W125" i="40"/>
  <c r="B53" i="32"/>
  <c r="P137" i="45"/>
  <c r="R137" i="45" s="1"/>
  <c r="T137" i="45" s="1"/>
  <c r="X137" i="45" s="1"/>
  <c r="U137" i="45" s="1"/>
  <c r="Y137" i="45" s="1"/>
  <c r="J137" i="45"/>
  <c r="L137" i="45" s="1"/>
  <c r="S141" i="40"/>
  <c r="U141" i="40" s="1"/>
  <c r="W141" i="40"/>
  <c r="J141" i="40"/>
  <c r="L141" i="40" s="1"/>
  <c r="N141" i="40" s="1"/>
  <c r="B69" i="32"/>
  <c r="P153" i="45"/>
  <c r="R153" i="45" s="1"/>
  <c r="J153" i="45"/>
  <c r="L153" i="45" s="1"/>
  <c r="P157" i="45"/>
  <c r="R157" i="45" s="1"/>
  <c r="T157" i="45" s="1"/>
  <c r="X157" i="45" s="1"/>
  <c r="U157" i="45" s="1"/>
  <c r="J157" i="45"/>
  <c r="L157" i="45" s="1"/>
  <c r="J161" i="40"/>
  <c r="L161" i="40" s="1"/>
  <c r="N161" i="40" s="1"/>
  <c r="S161" i="40"/>
  <c r="U161" i="40" s="1"/>
  <c r="Y161" i="40" s="1"/>
  <c r="AA161" i="40" s="1"/>
  <c r="AE161" i="40" s="1"/>
  <c r="AB161" i="40" s="1"/>
  <c r="W161" i="40"/>
  <c r="B89" i="32"/>
  <c r="P95" i="31"/>
  <c r="Y95" i="31" s="1"/>
  <c r="X95" i="31"/>
  <c r="P173" i="45"/>
  <c r="R173" i="45" s="1"/>
  <c r="T173" i="45" s="1"/>
  <c r="X173" i="45" s="1"/>
  <c r="U173" i="45" s="1"/>
  <c r="J173" i="45"/>
  <c r="L173" i="45" s="1"/>
  <c r="J177" i="40"/>
  <c r="L177" i="40" s="1"/>
  <c r="N177" i="40" s="1"/>
  <c r="S177" i="40"/>
  <c r="U177" i="40" s="1"/>
  <c r="Y177" i="40" s="1"/>
  <c r="AA177" i="40" s="1"/>
  <c r="AE177" i="40" s="1"/>
  <c r="AB177" i="40" s="1"/>
  <c r="W177" i="40"/>
  <c r="B105" i="32"/>
  <c r="P115" i="31"/>
  <c r="Y115" i="31" s="1"/>
  <c r="X115" i="31"/>
  <c r="P193" i="45"/>
  <c r="R193" i="45" s="1"/>
  <c r="T193" i="45" s="1"/>
  <c r="X193" i="45" s="1"/>
  <c r="U193" i="45" s="1"/>
  <c r="Y193" i="45" s="1"/>
  <c r="J193" i="45"/>
  <c r="L193" i="45" s="1"/>
  <c r="S197" i="40"/>
  <c r="U197" i="40" s="1"/>
  <c r="W197" i="40"/>
  <c r="J197" i="40"/>
  <c r="L197" i="40" s="1"/>
  <c r="N197" i="40" s="1"/>
  <c r="B125" i="32"/>
  <c r="P131" i="31"/>
  <c r="Y131" i="31" s="1"/>
  <c r="X131" i="31"/>
  <c r="P209" i="45"/>
  <c r="R209" i="45" s="1"/>
  <c r="T209" i="45" s="1"/>
  <c r="X209" i="45" s="1"/>
  <c r="U209" i="45" s="1"/>
  <c r="J209" i="45"/>
  <c r="L209" i="45" s="1"/>
  <c r="W213" i="40"/>
  <c r="S213" i="40"/>
  <c r="U213" i="40" s="1"/>
  <c r="Y213" i="40" s="1"/>
  <c r="AA213" i="40" s="1"/>
  <c r="AE213" i="40" s="1"/>
  <c r="AB213" i="40" s="1"/>
  <c r="J213" i="40"/>
  <c r="L213" i="40" s="1"/>
  <c r="N213" i="40" s="1"/>
  <c r="B141" i="32"/>
  <c r="P147" i="31"/>
  <c r="Y147" i="31" s="1"/>
  <c r="X147" i="31"/>
  <c r="W229" i="40"/>
  <c r="S229" i="40"/>
  <c r="U229" i="40" s="1"/>
  <c r="J229" i="40"/>
  <c r="L229" i="40" s="1"/>
  <c r="N229" i="40" s="1"/>
  <c r="B157" i="32"/>
  <c r="P163" i="31"/>
  <c r="Y163" i="31" s="1"/>
  <c r="X163" i="31"/>
  <c r="P241" i="45"/>
  <c r="R241" i="45" s="1"/>
  <c r="J241" i="45"/>
  <c r="L241" i="45" s="1"/>
  <c r="W245" i="40"/>
  <c r="S245" i="40"/>
  <c r="U245" i="40" s="1"/>
  <c r="J245" i="40"/>
  <c r="L245" i="40" s="1"/>
  <c r="N245" i="40" s="1"/>
  <c r="B173" i="32"/>
  <c r="P179" i="31"/>
  <c r="Y179" i="31" s="1"/>
  <c r="X179" i="31"/>
  <c r="P257" i="45"/>
  <c r="R257" i="45" s="1"/>
  <c r="J257" i="45"/>
  <c r="L257" i="45" s="1"/>
  <c r="W261" i="40"/>
  <c r="S261" i="40"/>
  <c r="U261" i="40" s="1"/>
  <c r="J261" i="40"/>
  <c r="L261" i="40" s="1"/>
  <c r="N261" i="40" s="1"/>
  <c r="B189" i="32"/>
  <c r="P191" i="31"/>
  <c r="Y191" i="31" s="1"/>
  <c r="X191" i="31"/>
  <c r="P195" i="31"/>
  <c r="Y195" i="31" s="1"/>
  <c r="X195" i="31"/>
  <c r="P273" i="45"/>
  <c r="R273" i="45" s="1"/>
  <c r="T273" i="45" s="1"/>
  <c r="X273" i="45" s="1"/>
  <c r="U273" i="45" s="1"/>
  <c r="J273" i="45"/>
  <c r="L273" i="45" s="1"/>
  <c r="W277" i="40"/>
  <c r="J277" i="40"/>
  <c r="L277" i="40" s="1"/>
  <c r="N277" i="40" s="1"/>
  <c r="S277" i="40"/>
  <c r="U277" i="40" s="1"/>
  <c r="B205" i="32"/>
  <c r="P211" i="31"/>
  <c r="Y211" i="31" s="1"/>
  <c r="X211" i="31"/>
  <c r="P289" i="45"/>
  <c r="R289" i="45" s="1"/>
  <c r="T289" i="45" s="1"/>
  <c r="X289" i="45" s="1"/>
  <c r="U289" i="45" s="1"/>
  <c r="Y289" i="45" s="1"/>
  <c r="J289" i="45"/>
  <c r="L289" i="45" s="1"/>
  <c r="W293" i="40"/>
  <c r="J293" i="40"/>
  <c r="L293" i="40" s="1"/>
  <c r="N293" i="40" s="1"/>
  <c r="S293" i="40"/>
  <c r="U293" i="40" s="1"/>
  <c r="B221" i="32"/>
  <c r="P447" i="31"/>
  <c r="Y447" i="31" s="1"/>
  <c r="X447" i="31"/>
  <c r="P305" i="45"/>
  <c r="R305" i="45" s="1"/>
  <c r="T305" i="45" s="1"/>
  <c r="X305" i="45" s="1"/>
  <c r="U305" i="45" s="1"/>
  <c r="Y305" i="45" s="1"/>
  <c r="J305" i="45"/>
  <c r="L305" i="45" s="1"/>
  <c r="W309" i="40"/>
  <c r="J309" i="40"/>
  <c r="L309" i="40" s="1"/>
  <c r="N309" i="40" s="1"/>
  <c r="S309" i="40"/>
  <c r="U309" i="40" s="1"/>
  <c r="B237" i="32"/>
  <c r="P463" i="31"/>
  <c r="Y463" i="31" s="1"/>
  <c r="X463" i="31"/>
  <c r="P467" i="31"/>
  <c r="Y467" i="31" s="1"/>
  <c r="X467" i="31"/>
  <c r="P325" i="45"/>
  <c r="R325" i="45" s="1"/>
  <c r="J325" i="45"/>
  <c r="L325" i="45" s="1"/>
  <c r="P475" i="31"/>
  <c r="Y475" i="31" s="1"/>
  <c r="X475" i="31"/>
  <c r="P479" i="31"/>
  <c r="Y479" i="31" s="1"/>
  <c r="X479" i="31"/>
  <c r="P483" i="31"/>
  <c r="Y483" i="31" s="1"/>
  <c r="X483" i="31"/>
  <c r="X487" i="31"/>
  <c r="P487" i="31"/>
  <c r="Y487" i="31" s="1"/>
  <c r="P495" i="31"/>
  <c r="Y495" i="31" s="1"/>
  <c r="X495" i="31"/>
  <c r="P499" i="31"/>
  <c r="Y499" i="31" s="1"/>
  <c r="X499" i="31"/>
  <c r="P507" i="31"/>
  <c r="Y507" i="31" s="1"/>
  <c r="X507" i="31"/>
  <c r="P511" i="31"/>
  <c r="Y511" i="31" s="1"/>
  <c r="X511" i="31"/>
  <c r="P515" i="31"/>
  <c r="Y515" i="31" s="1"/>
  <c r="X515" i="31"/>
  <c r="X519" i="31"/>
  <c r="P519" i="31"/>
  <c r="Y519" i="31" s="1"/>
  <c r="P523" i="31"/>
  <c r="Y523" i="31" s="1"/>
  <c r="X523" i="31"/>
  <c r="P527" i="31"/>
  <c r="Y527" i="31" s="1"/>
  <c r="X527" i="31"/>
  <c r="P531" i="31"/>
  <c r="Y531" i="31" s="1"/>
  <c r="X531" i="31"/>
  <c r="P539" i="31"/>
  <c r="Y539" i="31" s="1"/>
  <c r="X539" i="31"/>
  <c r="P543" i="31"/>
  <c r="Y543" i="31" s="1"/>
  <c r="X543" i="31"/>
  <c r="P547" i="31"/>
  <c r="Y547" i="31" s="1"/>
  <c r="X547" i="31"/>
  <c r="X551" i="31"/>
  <c r="P551" i="31"/>
  <c r="Y551" i="31" s="1"/>
  <c r="P559" i="31"/>
  <c r="Y559" i="31" s="1"/>
  <c r="X559" i="31"/>
  <c r="P563" i="31"/>
  <c r="Y563" i="31" s="1"/>
  <c r="X563" i="31"/>
  <c r="P571" i="31"/>
  <c r="Y571" i="31" s="1"/>
  <c r="X571" i="31"/>
  <c r="P575" i="31"/>
  <c r="Y575" i="31" s="1"/>
  <c r="X575" i="31"/>
  <c r="P579" i="31"/>
  <c r="Y579" i="31" s="1"/>
  <c r="X579" i="31"/>
  <c r="X583" i="31"/>
  <c r="P583" i="31"/>
  <c r="Y583" i="31" s="1"/>
  <c r="P587" i="31"/>
  <c r="Y587" i="31" s="1"/>
  <c r="X587" i="31"/>
  <c r="P591" i="31"/>
  <c r="Y591" i="31" s="1"/>
  <c r="X591" i="31"/>
  <c r="P595" i="31"/>
  <c r="Y595" i="31" s="1"/>
  <c r="X595" i="31"/>
  <c r="P453" i="45"/>
  <c r="R453" i="45" s="1"/>
  <c r="T453" i="45" s="1"/>
  <c r="X453" i="45" s="1"/>
  <c r="U453" i="45" s="1"/>
  <c r="J453" i="45"/>
  <c r="L453" i="45" s="1"/>
  <c r="P603" i="31"/>
  <c r="Y603" i="31" s="1"/>
  <c r="X603" i="31"/>
  <c r="P607" i="31"/>
  <c r="Y607" i="31" s="1"/>
  <c r="X607" i="31"/>
  <c r="P611" i="31"/>
  <c r="Y611" i="31" s="1"/>
  <c r="X611" i="31"/>
  <c r="X615" i="31"/>
  <c r="P615" i="31"/>
  <c r="Y615" i="31" s="1"/>
  <c r="P623" i="31"/>
  <c r="Y623" i="31" s="1"/>
  <c r="X623" i="31"/>
  <c r="P627" i="31"/>
  <c r="Y627" i="31" s="1"/>
  <c r="X627" i="31"/>
  <c r="P635" i="31"/>
  <c r="Y635" i="31" s="1"/>
  <c r="X635" i="31"/>
  <c r="P639" i="31"/>
  <c r="Y639" i="31" s="1"/>
  <c r="X639" i="31"/>
  <c r="P643" i="31"/>
  <c r="Y643" i="31" s="1"/>
  <c r="X643" i="31"/>
  <c r="X647" i="31"/>
  <c r="P647" i="31"/>
  <c r="Y647" i="31" s="1"/>
  <c r="P651" i="31"/>
  <c r="Y651" i="31" s="1"/>
  <c r="X651" i="31"/>
  <c r="P655" i="31"/>
  <c r="Y655" i="31" s="1"/>
  <c r="X655" i="31"/>
  <c r="P659" i="31"/>
  <c r="Y659" i="31" s="1"/>
  <c r="X659" i="31"/>
  <c r="T298" i="40"/>
  <c r="V298" i="40" s="1"/>
  <c r="K298" i="40"/>
  <c r="O298" i="40" s="1"/>
  <c r="Q298" i="40" s="1"/>
  <c r="X298" i="40"/>
  <c r="C226" i="32"/>
  <c r="T501" i="40"/>
  <c r="V501" i="40" s="1"/>
  <c r="K501" i="40"/>
  <c r="O501" i="40" s="1"/>
  <c r="Q501" i="40" s="1"/>
  <c r="X501" i="40"/>
  <c r="C429" i="32"/>
  <c r="P222" i="31"/>
  <c r="Y222" i="31" s="1"/>
  <c r="X222" i="31"/>
  <c r="K81" i="45"/>
  <c r="N81" i="45" s="1"/>
  <c r="Q81" i="45"/>
  <c r="S81" i="45" s="1"/>
  <c r="V81" i="45" s="1"/>
  <c r="K85" i="40"/>
  <c r="O85" i="40" s="1"/>
  <c r="Q85" i="40" s="1"/>
  <c r="T85" i="40"/>
  <c r="V85" i="40" s="1"/>
  <c r="X85" i="40"/>
  <c r="C13" i="32"/>
  <c r="E303" i="32" s="1"/>
  <c r="P239" i="31"/>
  <c r="Y239" i="31" s="1"/>
  <c r="X239" i="31"/>
  <c r="K97" i="45"/>
  <c r="N97" i="45" s="1"/>
  <c r="Q97" i="45"/>
  <c r="S97" i="45" s="1"/>
  <c r="V97" i="45" s="1"/>
  <c r="X101" i="40"/>
  <c r="T101" i="40"/>
  <c r="V101" i="40" s="1"/>
  <c r="K101" i="40"/>
  <c r="O101" i="40" s="1"/>
  <c r="Q101" i="40" s="1"/>
  <c r="C29" i="32"/>
  <c r="P255" i="31"/>
  <c r="Y255" i="31" s="1"/>
  <c r="X255" i="31"/>
  <c r="K113" i="45"/>
  <c r="N113" i="45" s="1"/>
  <c r="Q113" i="45"/>
  <c r="S113" i="45" s="1"/>
  <c r="V113" i="45" s="1"/>
  <c r="X117" i="40"/>
  <c r="K117" i="40"/>
  <c r="O117" i="40" s="1"/>
  <c r="Q117" i="40" s="1"/>
  <c r="T117" i="40"/>
  <c r="V117" i="40" s="1"/>
  <c r="Z117" i="40" s="1"/>
  <c r="AC117" i="40" s="1"/>
  <c r="C45" i="32"/>
  <c r="P271" i="31"/>
  <c r="Y271" i="31" s="1"/>
  <c r="X271" i="31"/>
  <c r="K129" i="45"/>
  <c r="N129" i="45" s="1"/>
  <c r="Q129" i="45"/>
  <c r="S129" i="45" s="1"/>
  <c r="V129" i="45" s="1"/>
  <c r="K133" i="40"/>
  <c r="O133" i="40" s="1"/>
  <c r="Q133" i="40" s="1"/>
  <c r="T133" i="40"/>
  <c r="V133" i="40" s="1"/>
  <c r="X133" i="40"/>
  <c r="C61" i="32"/>
  <c r="K145" i="45"/>
  <c r="N145" i="45" s="1"/>
  <c r="Q145" i="45"/>
  <c r="S145" i="45" s="1"/>
  <c r="K149" i="40"/>
  <c r="O149" i="40" s="1"/>
  <c r="Q149" i="40" s="1"/>
  <c r="T149" i="40"/>
  <c r="V149" i="40" s="1"/>
  <c r="Z149" i="40" s="1"/>
  <c r="AC149" i="40" s="1"/>
  <c r="X149" i="40"/>
  <c r="C77" i="32"/>
  <c r="P303" i="31"/>
  <c r="Y303" i="31" s="1"/>
  <c r="X303" i="31"/>
  <c r="K161" i="45"/>
  <c r="N161" i="45" s="1"/>
  <c r="Q161" i="45"/>
  <c r="S161" i="45" s="1"/>
  <c r="K166" i="40"/>
  <c r="O166" i="40" s="1"/>
  <c r="Q166" i="40" s="1"/>
  <c r="T166" i="40"/>
  <c r="V166" i="40" s="1"/>
  <c r="Z166" i="40" s="1"/>
  <c r="AC166" i="40" s="1"/>
  <c r="C94" i="32"/>
  <c r="X166" i="40"/>
  <c r="X178" i="40"/>
  <c r="K178" i="40"/>
  <c r="O178" i="40" s="1"/>
  <c r="Q178" i="40" s="1"/>
  <c r="T178" i="40"/>
  <c r="V178" i="40" s="1"/>
  <c r="C106" i="32"/>
  <c r="K182" i="40"/>
  <c r="O182" i="40" s="1"/>
  <c r="Q182" i="40" s="1"/>
  <c r="T182" i="40"/>
  <c r="V182" i="40" s="1"/>
  <c r="Z182" i="40" s="1"/>
  <c r="AC182" i="40" s="1"/>
  <c r="X182" i="40"/>
  <c r="C110" i="32"/>
  <c r="X194" i="40"/>
  <c r="K194" i="40"/>
  <c r="O194" i="40" s="1"/>
  <c r="Q194" i="40" s="1"/>
  <c r="T194" i="40"/>
  <c r="V194" i="40" s="1"/>
  <c r="C122" i="32"/>
  <c r="K198" i="40"/>
  <c r="O198" i="40" s="1"/>
  <c r="Q198" i="40" s="1"/>
  <c r="T198" i="40"/>
  <c r="V198" i="40" s="1"/>
  <c r="Z198" i="40" s="1"/>
  <c r="AC198" i="40" s="1"/>
  <c r="C126" i="32"/>
  <c r="X198" i="40"/>
  <c r="P348" i="31"/>
  <c r="Y348" i="31" s="1"/>
  <c r="X348" i="31"/>
  <c r="P352" i="31"/>
  <c r="Y352" i="31" s="1"/>
  <c r="X352" i="31"/>
  <c r="K210" i="45"/>
  <c r="N210" i="45" s="1"/>
  <c r="Q210" i="45"/>
  <c r="S210" i="45" s="1"/>
  <c r="V210" i="45" s="1"/>
  <c r="T214" i="40"/>
  <c r="V214" i="40" s="1"/>
  <c r="K214" i="40"/>
  <c r="O214" i="40" s="1"/>
  <c r="Q214" i="40" s="1"/>
  <c r="X214" i="40"/>
  <c r="C142" i="32"/>
  <c r="P364" i="31"/>
  <c r="Y364" i="31" s="1"/>
  <c r="X364" i="31"/>
  <c r="P368" i="31"/>
  <c r="Y368" i="31" s="1"/>
  <c r="X368" i="31"/>
  <c r="K226" i="45"/>
  <c r="N226" i="45" s="1"/>
  <c r="Q226" i="45"/>
  <c r="S226" i="45" s="1"/>
  <c r="T230" i="40"/>
  <c r="V230" i="40" s="1"/>
  <c r="Z230" i="40" s="1"/>
  <c r="K230" i="40"/>
  <c r="O230" i="40" s="1"/>
  <c r="Q230" i="40" s="1"/>
  <c r="X230" i="40"/>
  <c r="C158" i="32"/>
  <c r="K242" i="45"/>
  <c r="N242" i="45" s="1"/>
  <c r="Q242" i="45"/>
  <c r="S242" i="45" s="1"/>
  <c r="V242" i="45" s="1"/>
  <c r="T246" i="40"/>
  <c r="V246" i="40" s="1"/>
  <c r="K246" i="40"/>
  <c r="O246" i="40" s="1"/>
  <c r="Q246" i="40" s="1"/>
  <c r="X246" i="40"/>
  <c r="C174" i="32"/>
  <c r="K258" i="45"/>
  <c r="N258" i="45" s="1"/>
  <c r="Q258" i="45"/>
  <c r="S258" i="45" s="1"/>
  <c r="T262" i="40"/>
  <c r="V262" i="40" s="1"/>
  <c r="Z262" i="40" s="1"/>
  <c r="K262" i="40"/>
  <c r="O262" i="40" s="1"/>
  <c r="Q262" i="40" s="1"/>
  <c r="X262" i="40"/>
  <c r="C190" i="32"/>
  <c r="P412" i="31"/>
  <c r="Y412" i="31" s="1"/>
  <c r="X412" i="31"/>
  <c r="P416" i="31"/>
  <c r="Y416" i="31" s="1"/>
  <c r="X416" i="31"/>
  <c r="K278" i="45"/>
  <c r="N278" i="45" s="1"/>
  <c r="Q278" i="45"/>
  <c r="S278" i="45" s="1"/>
  <c r="V278" i="45" s="1"/>
  <c r="K282" i="45"/>
  <c r="N282" i="45" s="1"/>
  <c r="Q282" i="45"/>
  <c r="S282" i="45" s="1"/>
  <c r="T286" i="40"/>
  <c r="V286" i="40" s="1"/>
  <c r="Z286" i="40" s="1"/>
  <c r="K286" i="40"/>
  <c r="O286" i="40" s="1"/>
  <c r="Q286" i="40" s="1"/>
  <c r="X286" i="40"/>
  <c r="C214" i="32"/>
  <c r="P668" i="31"/>
  <c r="Y668" i="31" s="1"/>
  <c r="X668" i="31"/>
  <c r="P672" i="31"/>
  <c r="Y672" i="31" s="1"/>
  <c r="X672" i="31"/>
  <c r="K310" i="45"/>
  <c r="N310" i="45" s="1"/>
  <c r="Q310" i="45"/>
  <c r="S310" i="45" s="1"/>
  <c r="V310" i="45" s="1"/>
  <c r="K314" i="45"/>
  <c r="N314" i="45" s="1"/>
  <c r="Q314" i="45"/>
  <c r="S314" i="45" s="1"/>
  <c r="X318" i="40"/>
  <c r="T318" i="40"/>
  <c r="V318" i="40" s="1"/>
  <c r="Z318" i="40" s="1"/>
  <c r="AC318" i="40" s="1"/>
  <c r="K318" i="40"/>
  <c r="O318" i="40" s="1"/>
  <c r="Q318" i="40" s="1"/>
  <c r="C246" i="32"/>
  <c r="K326" i="45"/>
  <c r="N326" i="45" s="1"/>
  <c r="Q326" i="45"/>
  <c r="S326" i="45" s="1"/>
  <c r="V326" i="45" s="1"/>
  <c r="K330" i="45"/>
  <c r="N330" i="45" s="1"/>
  <c r="Q330" i="45"/>
  <c r="S330" i="45" s="1"/>
  <c r="X334" i="40"/>
  <c r="T334" i="40"/>
  <c r="V334" i="40" s="1"/>
  <c r="Z334" i="40" s="1"/>
  <c r="AC334" i="40" s="1"/>
  <c r="K334" i="40"/>
  <c r="O334" i="40" s="1"/>
  <c r="Q334" i="40" s="1"/>
  <c r="C262" i="32"/>
  <c r="P704" i="31"/>
  <c r="Y704" i="31" s="1"/>
  <c r="X704" i="31"/>
  <c r="X708" i="31"/>
  <c r="P708" i="31"/>
  <c r="Y708" i="31" s="1"/>
  <c r="K346" i="45"/>
  <c r="N346" i="45" s="1"/>
  <c r="Q346" i="45"/>
  <c r="S346" i="45" s="1"/>
  <c r="V346" i="45" s="1"/>
  <c r="Q351" i="45"/>
  <c r="S351" i="45" s="1"/>
  <c r="V351" i="45" s="1"/>
  <c r="K351" i="45"/>
  <c r="N351" i="45" s="1"/>
  <c r="Q355" i="45"/>
  <c r="S355" i="45" s="1"/>
  <c r="K355" i="45"/>
  <c r="N355" i="45" s="1"/>
  <c r="X725" i="31"/>
  <c r="P725" i="31"/>
  <c r="Q363" i="45"/>
  <c r="S363" i="45" s="1"/>
  <c r="K363" i="45"/>
  <c r="N363" i="45" s="1"/>
  <c r="Q367" i="45"/>
  <c r="S367" i="45" s="1"/>
  <c r="V367" i="45" s="1"/>
  <c r="K367" i="45"/>
  <c r="N367" i="45" s="1"/>
  <c r="Q371" i="45"/>
  <c r="S371" i="45" s="1"/>
  <c r="K371" i="45"/>
  <c r="N371" i="45" s="1"/>
  <c r="Q375" i="45"/>
  <c r="S375" i="45" s="1"/>
  <c r="V375" i="45" s="1"/>
  <c r="K375" i="45"/>
  <c r="N375" i="45" s="1"/>
  <c r="T745" i="31"/>
  <c r="Q383" i="45"/>
  <c r="S383" i="45" s="1"/>
  <c r="V383" i="45" s="1"/>
  <c r="K383" i="45"/>
  <c r="N383" i="45" s="1"/>
  <c r="X388" i="40"/>
  <c r="T388" i="40"/>
  <c r="V388" i="40" s="1"/>
  <c r="Z388" i="40" s="1"/>
  <c r="K388" i="40"/>
  <c r="O388" i="40" s="1"/>
  <c r="Q388" i="40" s="1"/>
  <c r="C316" i="32"/>
  <c r="P762" i="31"/>
  <c r="Y762" i="31" s="1"/>
  <c r="X762" i="31"/>
  <c r="Q400" i="45"/>
  <c r="S400" i="45" s="1"/>
  <c r="V400" i="45" s="1"/>
  <c r="K400" i="45"/>
  <c r="N400" i="45" s="1"/>
  <c r="X404" i="40"/>
  <c r="T404" i="40"/>
  <c r="V404" i="40" s="1"/>
  <c r="Z404" i="40" s="1"/>
  <c r="K404" i="40"/>
  <c r="O404" i="40" s="1"/>
  <c r="Q404" i="40" s="1"/>
  <c r="C332" i="32"/>
  <c r="Q412" i="45"/>
  <c r="S412" i="45" s="1"/>
  <c r="K412" i="45"/>
  <c r="N412" i="45" s="1"/>
  <c r="Q416" i="45"/>
  <c r="S416" i="45" s="1"/>
  <c r="V416" i="45" s="1"/>
  <c r="K416" i="45"/>
  <c r="N416" i="45" s="1"/>
  <c r="X420" i="40"/>
  <c r="T420" i="40"/>
  <c r="V420" i="40" s="1"/>
  <c r="Z420" i="40" s="1"/>
  <c r="K420" i="40"/>
  <c r="O420" i="40" s="1"/>
  <c r="Q420" i="40" s="1"/>
  <c r="C348" i="32"/>
  <c r="P794" i="31"/>
  <c r="Y794" i="31" s="1"/>
  <c r="X794" i="31"/>
  <c r="P798" i="31"/>
  <c r="Y798" i="31" s="1"/>
  <c r="X798" i="31"/>
  <c r="X436" i="40"/>
  <c r="T436" i="40"/>
  <c r="V436" i="40" s="1"/>
  <c r="Z436" i="40" s="1"/>
  <c r="K436" i="40"/>
  <c r="O436" i="40" s="1"/>
  <c r="Q436" i="40" s="1"/>
  <c r="C364" i="32"/>
  <c r="P810" i="31"/>
  <c r="Y810" i="31" s="1"/>
  <c r="X810" i="31"/>
  <c r="Q448" i="45"/>
  <c r="S448" i="45" s="1"/>
  <c r="V448" i="45" s="1"/>
  <c r="K448" i="45"/>
  <c r="N448" i="45" s="1"/>
  <c r="X452" i="40"/>
  <c r="T452" i="40"/>
  <c r="V452" i="40" s="1"/>
  <c r="Z452" i="40" s="1"/>
  <c r="K452" i="40"/>
  <c r="O452" i="40" s="1"/>
  <c r="Q452" i="40" s="1"/>
  <c r="C380" i="32"/>
  <c r="P826" i="31"/>
  <c r="Y826" i="31" s="1"/>
  <c r="X826" i="31"/>
  <c r="X468" i="40"/>
  <c r="T468" i="40"/>
  <c r="V468" i="40" s="1"/>
  <c r="K468" i="40"/>
  <c r="O468" i="40" s="1"/>
  <c r="Q468" i="40" s="1"/>
  <c r="C396" i="32"/>
  <c r="X8" i="31"/>
  <c r="P8" i="31"/>
  <c r="Y8" i="31" s="1"/>
  <c r="S86" i="40"/>
  <c r="U86" i="40" s="1"/>
  <c r="J86" i="40"/>
  <c r="L86" i="40" s="1"/>
  <c r="N86" i="40" s="1"/>
  <c r="W86" i="40"/>
  <c r="B14" i="32"/>
  <c r="J90" i="45"/>
  <c r="L90" i="45" s="1"/>
  <c r="P90" i="45"/>
  <c r="R90" i="45" s="1"/>
  <c r="T90" i="45" s="1"/>
  <c r="X90" i="45" s="1"/>
  <c r="U90" i="45" s="1"/>
  <c r="P24" i="31"/>
  <c r="Y24" i="31" s="1"/>
  <c r="X24" i="31"/>
  <c r="S102" i="40"/>
  <c r="U102" i="40" s="1"/>
  <c r="J102" i="40"/>
  <c r="L102" i="40" s="1"/>
  <c r="N102" i="40" s="1"/>
  <c r="W102" i="40"/>
  <c r="B30" i="32"/>
  <c r="J106" i="45"/>
  <c r="L106" i="45" s="1"/>
  <c r="P106" i="45"/>
  <c r="R106" i="45" s="1"/>
  <c r="T106" i="45" s="1"/>
  <c r="X106" i="45" s="1"/>
  <c r="U106" i="45" s="1"/>
  <c r="P36" i="31"/>
  <c r="Y36" i="31" s="1"/>
  <c r="X36" i="31"/>
  <c r="X40" i="31"/>
  <c r="P40" i="31"/>
  <c r="Y40" i="31" s="1"/>
  <c r="W118" i="40"/>
  <c r="J118" i="40"/>
  <c r="L118" i="40" s="1"/>
  <c r="N118" i="40" s="1"/>
  <c r="S118" i="40"/>
  <c r="U118" i="40" s="1"/>
  <c r="B46" i="32"/>
  <c r="J122" i="45"/>
  <c r="L122" i="45" s="1"/>
  <c r="P122" i="45"/>
  <c r="R122" i="45" s="1"/>
  <c r="X52" i="31"/>
  <c r="P52" i="31"/>
  <c r="Y52" i="31" s="1"/>
  <c r="P56" i="31"/>
  <c r="Y56" i="31" s="1"/>
  <c r="X56" i="31"/>
  <c r="J134" i="40"/>
  <c r="L134" i="40" s="1"/>
  <c r="N134" i="40" s="1"/>
  <c r="S134" i="40"/>
  <c r="U134" i="40" s="1"/>
  <c r="W134" i="40"/>
  <c r="B62" i="32"/>
  <c r="J138" i="45"/>
  <c r="L138" i="45" s="1"/>
  <c r="P138" i="45"/>
  <c r="R138" i="45" s="1"/>
  <c r="T138" i="45" s="1"/>
  <c r="X138" i="45" s="1"/>
  <c r="U138" i="45" s="1"/>
  <c r="X72" i="31"/>
  <c r="P72" i="31"/>
  <c r="Y72" i="31" s="1"/>
  <c r="S150" i="40"/>
  <c r="U150" i="40" s="1"/>
  <c r="W150" i="40"/>
  <c r="J150" i="40"/>
  <c r="L150" i="40" s="1"/>
  <c r="N150" i="40" s="1"/>
  <c r="B78" i="32"/>
  <c r="P88" i="31"/>
  <c r="Y88" i="31" s="1"/>
  <c r="X88" i="31"/>
  <c r="S166" i="40"/>
  <c r="U166" i="40" s="1"/>
  <c r="Y166" i="40" s="1"/>
  <c r="AA166" i="40" s="1"/>
  <c r="AE166" i="40" s="1"/>
  <c r="AB166" i="40" s="1"/>
  <c r="AF166" i="40" s="1"/>
  <c r="W166" i="40"/>
  <c r="J166" i="40"/>
  <c r="L166" i="40" s="1"/>
  <c r="N166" i="40" s="1"/>
  <c r="B94" i="32"/>
  <c r="J170" i="45"/>
  <c r="L170" i="45" s="1"/>
  <c r="P170" i="45"/>
  <c r="R170" i="45" s="1"/>
  <c r="P100" i="31"/>
  <c r="Y100" i="31" s="1"/>
  <c r="X100" i="31"/>
  <c r="X104" i="31"/>
  <c r="P104" i="31"/>
  <c r="Y104" i="31" s="1"/>
  <c r="S182" i="40"/>
  <c r="U182" i="40" s="1"/>
  <c r="W182" i="40"/>
  <c r="J182" i="40"/>
  <c r="L182" i="40" s="1"/>
  <c r="N182" i="40" s="1"/>
  <c r="B110" i="32"/>
  <c r="J186" i="45"/>
  <c r="L186" i="45" s="1"/>
  <c r="P186" i="45"/>
  <c r="R186" i="45" s="1"/>
  <c r="T186" i="45" s="1"/>
  <c r="X186" i="45" s="1"/>
  <c r="U186" i="45" s="1"/>
  <c r="X116" i="31"/>
  <c r="P116" i="31"/>
  <c r="Y116" i="31" s="1"/>
  <c r="P120" i="31"/>
  <c r="Y120" i="31" s="1"/>
  <c r="X120" i="31"/>
  <c r="S198" i="40"/>
  <c r="U198" i="40" s="1"/>
  <c r="Y198" i="40" s="1"/>
  <c r="AA198" i="40" s="1"/>
  <c r="AE198" i="40" s="1"/>
  <c r="AB198" i="40" s="1"/>
  <c r="AF198" i="40" s="1"/>
  <c r="W198" i="40"/>
  <c r="J198" i="40"/>
  <c r="L198" i="40" s="1"/>
  <c r="N198" i="40" s="1"/>
  <c r="B126" i="32"/>
  <c r="J202" i="45"/>
  <c r="L202" i="45" s="1"/>
  <c r="P202" i="45"/>
  <c r="R202" i="45" s="1"/>
  <c r="X136" i="31"/>
  <c r="P136" i="31"/>
  <c r="Y136" i="31" s="1"/>
  <c r="J214" i="45"/>
  <c r="L214" i="45" s="1"/>
  <c r="P214" i="45"/>
  <c r="R214" i="45" s="1"/>
  <c r="S218" i="40"/>
  <c r="U218" i="40" s="1"/>
  <c r="J218" i="40"/>
  <c r="L218" i="40" s="1"/>
  <c r="N218" i="40" s="1"/>
  <c r="W218" i="40"/>
  <c r="B146" i="32"/>
  <c r="P152" i="31"/>
  <c r="Y152" i="31" s="1"/>
  <c r="X152" i="31"/>
  <c r="J230" i="45"/>
  <c r="L230" i="45" s="1"/>
  <c r="P230" i="45"/>
  <c r="R230" i="45" s="1"/>
  <c r="S234" i="40"/>
  <c r="U234" i="40" s="1"/>
  <c r="J234" i="40"/>
  <c r="L234" i="40" s="1"/>
  <c r="N234" i="40" s="1"/>
  <c r="W234" i="40"/>
  <c r="B162" i="32"/>
  <c r="P164" i="31"/>
  <c r="Y164" i="31" s="1"/>
  <c r="X164" i="31"/>
  <c r="X168" i="31"/>
  <c r="P168" i="31"/>
  <c r="Y168" i="31" s="1"/>
  <c r="J246" i="45"/>
  <c r="L246" i="45" s="1"/>
  <c r="P246" i="45"/>
  <c r="R246" i="45" s="1"/>
  <c r="T246" i="45" s="1"/>
  <c r="X246" i="45" s="1"/>
  <c r="U246" i="45" s="1"/>
  <c r="S250" i="40"/>
  <c r="U250" i="40" s="1"/>
  <c r="Y250" i="40" s="1"/>
  <c r="AA250" i="40" s="1"/>
  <c r="AE250" i="40" s="1"/>
  <c r="AB250" i="40" s="1"/>
  <c r="J250" i="40"/>
  <c r="L250" i="40" s="1"/>
  <c r="N250" i="40" s="1"/>
  <c r="W250" i="40"/>
  <c r="B178" i="32"/>
  <c r="P180" i="31"/>
  <c r="Y180" i="31" s="1"/>
  <c r="X180" i="31"/>
  <c r="P184" i="31"/>
  <c r="Y184" i="31" s="1"/>
  <c r="X184" i="31"/>
  <c r="J262" i="45"/>
  <c r="L262" i="45" s="1"/>
  <c r="P262" i="45"/>
  <c r="R262" i="45" s="1"/>
  <c r="S266" i="40"/>
  <c r="U266" i="40" s="1"/>
  <c r="J266" i="40"/>
  <c r="L266" i="40" s="1"/>
  <c r="N266" i="40" s="1"/>
  <c r="W266" i="40"/>
  <c r="B194" i="32"/>
  <c r="X200" i="31"/>
  <c r="P200" i="31"/>
  <c r="Y200" i="31" s="1"/>
  <c r="P204" i="31"/>
  <c r="Y204" i="31" s="1"/>
  <c r="X204" i="31"/>
  <c r="J282" i="45"/>
  <c r="L282" i="45" s="1"/>
  <c r="P282" i="45"/>
  <c r="R282" i="45" s="1"/>
  <c r="T282" i="45" s="1"/>
  <c r="X282" i="45" s="1"/>
  <c r="U282" i="45" s="1"/>
  <c r="J286" i="45"/>
  <c r="L286" i="45" s="1"/>
  <c r="P286" i="45"/>
  <c r="R286" i="45" s="1"/>
  <c r="S290" i="40"/>
  <c r="U290" i="40" s="1"/>
  <c r="J290" i="40"/>
  <c r="L290" i="40" s="1"/>
  <c r="N290" i="40" s="1"/>
  <c r="W290" i="40"/>
  <c r="B218" i="32"/>
  <c r="X452" i="31"/>
  <c r="P452" i="31"/>
  <c r="Y452" i="31" s="1"/>
  <c r="X456" i="31"/>
  <c r="P456" i="31"/>
  <c r="Y456" i="31" s="1"/>
  <c r="J314" i="45"/>
  <c r="L314" i="45" s="1"/>
  <c r="P314" i="45"/>
  <c r="R314" i="45" s="1"/>
  <c r="T314" i="45" s="1"/>
  <c r="X314" i="45" s="1"/>
  <c r="U314" i="45" s="1"/>
  <c r="J318" i="45"/>
  <c r="L318" i="45" s="1"/>
  <c r="P318" i="45"/>
  <c r="R318" i="45" s="1"/>
  <c r="W322" i="40"/>
  <c r="S322" i="40"/>
  <c r="U322" i="40" s="1"/>
  <c r="Y322" i="40" s="1"/>
  <c r="J322" i="40"/>
  <c r="L322" i="40" s="1"/>
  <c r="N322" i="40" s="1"/>
  <c r="B250" i="32"/>
  <c r="J334" i="45"/>
  <c r="L334" i="45" s="1"/>
  <c r="P334" i="45"/>
  <c r="R334" i="45" s="1"/>
  <c r="T334" i="45" s="1"/>
  <c r="X334" i="45" s="1"/>
  <c r="U334" i="45" s="1"/>
  <c r="W338" i="40"/>
  <c r="S338" i="40"/>
  <c r="U338" i="40" s="1"/>
  <c r="J338" i="40"/>
  <c r="L338" i="40" s="1"/>
  <c r="N338" i="40" s="1"/>
  <c r="B266" i="32"/>
  <c r="J350" i="45"/>
  <c r="L350" i="45" s="1"/>
  <c r="P350" i="45"/>
  <c r="R350" i="45" s="1"/>
  <c r="W354" i="40"/>
  <c r="S354" i="40"/>
  <c r="U354" i="40" s="1"/>
  <c r="Y354" i="40" s="1"/>
  <c r="J354" i="40"/>
  <c r="L354" i="40" s="1"/>
  <c r="N354" i="40" s="1"/>
  <c r="B282" i="32"/>
  <c r="P508" i="31"/>
  <c r="Y508" i="31" s="1"/>
  <c r="X508" i="31"/>
  <c r="J366" i="45"/>
  <c r="L366" i="45" s="1"/>
  <c r="P366" i="45"/>
  <c r="R366" i="45" s="1"/>
  <c r="W370" i="40"/>
  <c r="S370" i="40"/>
  <c r="U370" i="40" s="1"/>
  <c r="Y370" i="40" s="1"/>
  <c r="J370" i="40"/>
  <c r="L370" i="40" s="1"/>
  <c r="N370" i="40" s="1"/>
  <c r="B298" i="32"/>
  <c r="P524" i="31"/>
  <c r="Y524" i="31" s="1"/>
  <c r="X524" i="31"/>
  <c r="J382" i="45"/>
  <c r="L382" i="45" s="1"/>
  <c r="P382" i="45"/>
  <c r="R382" i="45" s="1"/>
  <c r="W386" i="40"/>
  <c r="S386" i="40"/>
  <c r="U386" i="40" s="1"/>
  <c r="Y386" i="40" s="1"/>
  <c r="J386" i="40"/>
  <c r="L386" i="40" s="1"/>
  <c r="N386" i="40" s="1"/>
  <c r="B314" i="32"/>
  <c r="P540" i="31"/>
  <c r="Y540" i="31" s="1"/>
  <c r="X540" i="31"/>
  <c r="J398" i="45"/>
  <c r="L398" i="45" s="1"/>
  <c r="P398" i="45"/>
  <c r="R398" i="45" s="1"/>
  <c r="W402" i="40"/>
  <c r="S402" i="40"/>
  <c r="U402" i="40" s="1"/>
  <c r="Y402" i="40" s="1"/>
  <c r="J402" i="40"/>
  <c r="L402" i="40" s="1"/>
  <c r="N402" i="40" s="1"/>
  <c r="B330" i="32"/>
  <c r="J414" i="45"/>
  <c r="L414" i="45" s="1"/>
  <c r="P414" i="45"/>
  <c r="R414" i="45" s="1"/>
  <c r="T414" i="45" s="1"/>
  <c r="X414" i="45" s="1"/>
  <c r="U414" i="45" s="1"/>
  <c r="Y414" i="45" s="1"/>
  <c r="W418" i="40"/>
  <c r="S418" i="40"/>
  <c r="U418" i="40" s="1"/>
  <c r="J418" i="40"/>
  <c r="L418" i="40" s="1"/>
  <c r="N418" i="40" s="1"/>
  <c r="B346" i="32"/>
  <c r="P572" i="31"/>
  <c r="Y572" i="31" s="1"/>
  <c r="X572" i="31"/>
  <c r="J430" i="45"/>
  <c r="L430" i="45" s="1"/>
  <c r="P430" i="45"/>
  <c r="R430" i="45" s="1"/>
  <c r="T430" i="45" s="1"/>
  <c r="X430" i="45" s="1"/>
  <c r="U430" i="45" s="1"/>
  <c r="Y430" i="45" s="1"/>
  <c r="W434" i="40"/>
  <c r="S434" i="40"/>
  <c r="U434" i="40" s="1"/>
  <c r="J434" i="40"/>
  <c r="L434" i="40" s="1"/>
  <c r="N434" i="40" s="1"/>
  <c r="B362" i="32"/>
  <c r="P588" i="31"/>
  <c r="Y588" i="31" s="1"/>
  <c r="X588" i="31"/>
  <c r="J446" i="45"/>
  <c r="L446" i="45" s="1"/>
  <c r="P446" i="45"/>
  <c r="R446" i="45" s="1"/>
  <c r="T446" i="45" s="1"/>
  <c r="X446" i="45" s="1"/>
  <c r="U446" i="45" s="1"/>
  <c r="W450" i="40"/>
  <c r="S450" i="40"/>
  <c r="U450" i="40" s="1"/>
  <c r="J450" i="40"/>
  <c r="L450" i="40" s="1"/>
  <c r="N450" i="40" s="1"/>
  <c r="B378" i="32"/>
  <c r="P604" i="31"/>
  <c r="Y604" i="31" s="1"/>
  <c r="X604" i="31"/>
  <c r="P608" i="31"/>
  <c r="Y608" i="31" s="1"/>
  <c r="X608" i="31"/>
  <c r="W466" i="40"/>
  <c r="S466" i="40"/>
  <c r="U466" i="40" s="1"/>
  <c r="J466" i="40"/>
  <c r="L466" i="40" s="1"/>
  <c r="N466" i="40" s="1"/>
  <c r="B394" i="32"/>
  <c r="P478" i="45"/>
  <c r="R478" i="45" s="1"/>
  <c r="T478" i="45" s="1"/>
  <c r="X478" i="45" s="1"/>
  <c r="U478" i="45" s="1"/>
  <c r="J478" i="45"/>
  <c r="L478" i="45" s="1"/>
  <c r="W482" i="40"/>
  <c r="S482" i="40"/>
  <c r="U482" i="40" s="1"/>
  <c r="Y482" i="40" s="1"/>
  <c r="J482" i="40"/>
  <c r="L482" i="40" s="1"/>
  <c r="N482" i="40" s="1"/>
  <c r="B410" i="32"/>
  <c r="P636" i="31"/>
  <c r="Y636" i="31" s="1"/>
  <c r="X636" i="31"/>
  <c r="P494" i="45"/>
  <c r="R494" i="45" s="1"/>
  <c r="T494" i="45" s="1"/>
  <c r="X494" i="45" s="1"/>
  <c r="U494" i="45" s="1"/>
  <c r="J494" i="45"/>
  <c r="L494" i="45" s="1"/>
  <c r="W498" i="40"/>
  <c r="S498" i="40"/>
  <c r="U498" i="40" s="1"/>
  <c r="Y498" i="40" s="1"/>
  <c r="J498" i="40"/>
  <c r="L498" i="40" s="1"/>
  <c r="N498" i="40" s="1"/>
  <c r="B426" i="32"/>
  <c r="P652" i="31"/>
  <c r="Y652" i="31" s="1"/>
  <c r="X652" i="31"/>
  <c r="P510" i="45"/>
  <c r="R510" i="45" s="1"/>
  <c r="T510" i="45" s="1"/>
  <c r="X510" i="45" s="1"/>
  <c r="U510" i="45" s="1"/>
  <c r="J510" i="45"/>
  <c r="L510" i="45" s="1"/>
  <c r="W514" i="40"/>
  <c r="S514" i="40"/>
  <c r="U514" i="40" s="1"/>
  <c r="Y514" i="40" s="1"/>
  <c r="J514" i="40"/>
  <c r="L514" i="40" s="1"/>
  <c r="N514" i="40" s="1"/>
  <c r="B442" i="32"/>
  <c r="AF264" i="40"/>
  <c r="BP304" i="32"/>
  <c r="CC304" i="32" s="1"/>
  <c r="CD304" i="32" s="1"/>
  <c r="CE304" i="32" s="1"/>
  <c r="BQ304" i="32" s="1"/>
  <c r="T163" i="40"/>
  <c r="V163" i="40" s="1"/>
  <c r="X163" i="40"/>
  <c r="C91" i="32"/>
  <c r="K163" i="40"/>
  <c r="O163" i="40" s="1"/>
  <c r="Q163" i="40" s="1"/>
  <c r="T224" i="31"/>
  <c r="K86" i="45"/>
  <c r="N86" i="45" s="1"/>
  <c r="Q86" i="45"/>
  <c r="S86" i="45" s="1"/>
  <c r="K90" i="45"/>
  <c r="N90" i="45" s="1"/>
  <c r="Q90" i="45"/>
  <c r="S90" i="45" s="1"/>
  <c r="V90" i="45" s="1"/>
  <c r="T240" i="31"/>
  <c r="K102" i="45"/>
  <c r="N102" i="45" s="1"/>
  <c r="Q102" i="45"/>
  <c r="S102" i="45" s="1"/>
  <c r="K106" i="45"/>
  <c r="N106" i="45" s="1"/>
  <c r="Q106" i="45"/>
  <c r="S106" i="45" s="1"/>
  <c r="V106" i="45" s="1"/>
  <c r="P256" i="31"/>
  <c r="Y256" i="31" s="1"/>
  <c r="X256" i="31"/>
  <c r="X260" i="31"/>
  <c r="P260" i="31"/>
  <c r="Y260" i="31" s="1"/>
  <c r="K118" i="45"/>
  <c r="N118" i="45" s="1"/>
  <c r="Q118" i="45"/>
  <c r="S118" i="45" s="1"/>
  <c r="K122" i="45"/>
  <c r="N122" i="45" s="1"/>
  <c r="Q122" i="45"/>
  <c r="S122" i="45" s="1"/>
  <c r="V122" i="45" s="1"/>
  <c r="P272" i="31"/>
  <c r="Y272" i="31" s="1"/>
  <c r="X272" i="31"/>
  <c r="P276" i="31"/>
  <c r="Y276" i="31" s="1"/>
  <c r="X276" i="31"/>
  <c r="K134" i="45"/>
  <c r="N134" i="45" s="1"/>
  <c r="Q134" i="45"/>
  <c r="S134" i="45" s="1"/>
  <c r="K138" i="45"/>
  <c r="N138" i="45" s="1"/>
  <c r="Q138" i="45"/>
  <c r="S138" i="45" s="1"/>
  <c r="V138" i="45" s="1"/>
  <c r="T288" i="31"/>
  <c r="K150" i="45"/>
  <c r="N150" i="45" s="1"/>
  <c r="Q150" i="45"/>
  <c r="S150" i="45" s="1"/>
  <c r="V150" i="45" s="1"/>
  <c r="K154" i="45"/>
  <c r="N154" i="45" s="1"/>
  <c r="Q154" i="45"/>
  <c r="S154" i="45" s="1"/>
  <c r="T304" i="31"/>
  <c r="X162" i="40"/>
  <c r="K162" i="40"/>
  <c r="O162" i="40" s="1"/>
  <c r="Q162" i="40" s="1"/>
  <c r="T162" i="40"/>
  <c r="V162" i="40" s="1"/>
  <c r="C90" i="32"/>
  <c r="Q167" i="45"/>
  <c r="S167" i="45" s="1"/>
  <c r="K167" i="45"/>
  <c r="N167" i="45" s="1"/>
  <c r="T171" i="40"/>
  <c r="V171" i="40" s="1"/>
  <c r="Z171" i="40" s="1"/>
  <c r="X171" i="40"/>
  <c r="K171" i="40"/>
  <c r="O171" i="40" s="1"/>
  <c r="Q171" i="40" s="1"/>
  <c r="C99" i="32"/>
  <c r="P321" i="31"/>
  <c r="Y321" i="31" s="1"/>
  <c r="X321" i="31"/>
  <c r="X325" i="31"/>
  <c r="P325" i="31"/>
  <c r="Y325" i="31" s="1"/>
  <c r="Q183" i="45"/>
  <c r="S183" i="45" s="1"/>
  <c r="V183" i="45" s="1"/>
  <c r="K183" i="45"/>
  <c r="N183" i="45" s="1"/>
  <c r="T187" i="40"/>
  <c r="V187" i="40" s="1"/>
  <c r="X187" i="40"/>
  <c r="K187" i="40"/>
  <c r="O187" i="40" s="1"/>
  <c r="Q187" i="40" s="1"/>
  <c r="C115" i="32"/>
  <c r="T337" i="31"/>
  <c r="X341" i="31"/>
  <c r="P341" i="31"/>
  <c r="Y341" i="31" s="1"/>
  <c r="Q199" i="45"/>
  <c r="S199" i="45" s="1"/>
  <c r="K199" i="45"/>
  <c r="N199" i="45" s="1"/>
  <c r="T203" i="40"/>
  <c r="V203" i="40" s="1"/>
  <c r="Z203" i="40" s="1"/>
  <c r="AC203" i="40" s="1"/>
  <c r="X203" i="40"/>
  <c r="K203" i="40"/>
  <c r="O203" i="40" s="1"/>
  <c r="Q203" i="40" s="1"/>
  <c r="C131" i="32"/>
  <c r="T353" i="31"/>
  <c r="P357" i="31"/>
  <c r="Y357" i="31" s="1"/>
  <c r="X357" i="31"/>
  <c r="Q215" i="45"/>
  <c r="S215" i="45" s="1"/>
  <c r="K215" i="45"/>
  <c r="N215" i="45" s="1"/>
  <c r="X219" i="40"/>
  <c r="T219" i="40"/>
  <c r="V219" i="40" s="1"/>
  <c r="K219" i="40"/>
  <c r="O219" i="40" s="1"/>
  <c r="Q219" i="40" s="1"/>
  <c r="C147" i="32"/>
  <c r="T369" i="31"/>
  <c r="Q231" i="45"/>
  <c r="S231" i="45" s="1"/>
  <c r="K231" i="45"/>
  <c r="N231" i="45" s="1"/>
  <c r="X235" i="40"/>
  <c r="T235" i="40"/>
  <c r="V235" i="40" s="1"/>
  <c r="K235" i="40"/>
  <c r="O235" i="40" s="1"/>
  <c r="Q235" i="40" s="1"/>
  <c r="C163" i="32"/>
  <c r="P385" i="31"/>
  <c r="Y385" i="31" s="1"/>
  <c r="X385" i="31"/>
  <c r="X389" i="31"/>
  <c r="P389" i="31"/>
  <c r="Y389" i="31" s="1"/>
  <c r="X251" i="40"/>
  <c r="T251" i="40"/>
  <c r="V251" i="40" s="1"/>
  <c r="K251" i="40"/>
  <c r="O251" i="40" s="1"/>
  <c r="Q251" i="40" s="1"/>
  <c r="C179" i="32"/>
  <c r="P401" i="31"/>
  <c r="Y401" i="31" s="1"/>
  <c r="X401" i="31"/>
  <c r="X405" i="31"/>
  <c r="P405" i="31"/>
  <c r="Y405" i="31" s="1"/>
  <c r="Q263" i="45"/>
  <c r="S263" i="45" s="1"/>
  <c r="V263" i="45" s="1"/>
  <c r="K263" i="45"/>
  <c r="N263" i="45" s="1"/>
  <c r="X267" i="40"/>
  <c r="T267" i="40"/>
  <c r="V267" i="40" s="1"/>
  <c r="Z267" i="40" s="1"/>
  <c r="K267" i="40"/>
  <c r="O267" i="40" s="1"/>
  <c r="Q267" i="40" s="1"/>
  <c r="C195" i="32"/>
  <c r="T417" i="31"/>
  <c r="Q275" i="45"/>
  <c r="S275" i="45" s="1"/>
  <c r="K275" i="45"/>
  <c r="N275" i="45" s="1"/>
  <c r="Q279" i="45"/>
  <c r="S279" i="45" s="1"/>
  <c r="V279" i="45" s="1"/>
  <c r="K279" i="45"/>
  <c r="N279" i="45" s="1"/>
  <c r="X283" i="40"/>
  <c r="K283" i="40"/>
  <c r="O283" i="40" s="1"/>
  <c r="Q283" i="40" s="1"/>
  <c r="T283" i="40"/>
  <c r="V283" i="40" s="1"/>
  <c r="C211" i="32"/>
  <c r="P433" i="31"/>
  <c r="Y433" i="31" s="1"/>
  <c r="X433" i="31"/>
  <c r="X437" i="31"/>
  <c r="P437" i="31"/>
  <c r="Y437" i="31" s="1"/>
  <c r="Q295" i="45"/>
  <c r="S295" i="45" s="1"/>
  <c r="K295" i="45"/>
  <c r="N295" i="45" s="1"/>
  <c r="X299" i="40"/>
  <c r="K299" i="40"/>
  <c r="O299" i="40" s="1"/>
  <c r="Q299" i="40" s="1"/>
  <c r="T299" i="40"/>
  <c r="V299" i="40" s="1"/>
  <c r="Z299" i="40" s="1"/>
  <c r="AC299" i="40" s="1"/>
  <c r="C227" i="32"/>
  <c r="X673" i="31"/>
  <c r="P673" i="31"/>
  <c r="Y673" i="31" s="1"/>
  <c r="Q311" i="45"/>
  <c r="S311" i="45" s="1"/>
  <c r="K311" i="45"/>
  <c r="N311" i="45" s="1"/>
  <c r="X315" i="40"/>
  <c r="K315" i="40"/>
  <c r="O315" i="40" s="1"/>
  <c r="Q315" i="40" s="1"/>
  <c r="T315" i="40"/>
  <c r="V315" i="40" s="1"/>
  <c r="Z315" i="40" s="1"/>
  <c r="AC315" i="40" s="1"/>
  <c r="C243" i="32"/>
  <c r="X689" i="31"/>
  <c r="P689" i="31"/>
  <c r="Y689" i="31" s="1"/>
  <c r="P693" i="31"/>
  <c r="Y693" i="31" s="1"/>
  <c r="X693" i="31"/>
  <c r="T331" i="40"/>
  <c r="V331" i="40" s="1"/>
  <c r="K331" i="40"/>
  <c r="O331" i="40" s="1"/>
  <c r="Q331" i="40" s="1"/>
  <c r="X331" i="40"/>
  <c r="C259" i="32"/>
  <c r="P705" i="31"/>
  <c r="Y705" i="31" s="1"/>
  <c r="X705" i="31"/>
  <c r="Q343" i="45"/>
  <c r="S343" i="45" s="1"/>
  <c r="K343" i="45"/>
  <c r="N343" i="45" s="1"/>
  <c r="X348" i="40"/>
  <c r="T348" i="40"/>
  <c r="V348" i="40" s="1"/>
  <c r="K348" i="40"/>
  <c r="O348" i="40" s="1"/>
  <c r="Q348" i="40" s="1"/>
  <c r="C276" i="32"/>
  <c r="P722" i="31"/>
  <c r="Y722" i="31" s="1"/>
  <c r="X722" i="31"/>
  <c r="Q360" i="45"/>
  <c r="S360" i="45" s="1"/>
  <c r="K360" i="45"/>
  <c r="N360" i="45" s="1"/>
  <c r="X364" i="40"/>
  <c r="T364" i="40"/>
  <c r="V364" i="40" s="1"/>
  <c r="K364" i="40"/>
  <c r="O364" i="40" s="1"/>
  <c r="Q364" i="40" s="1"/>
  <c r="C292" i="32"/>
  <c r="P738" i="31"/>
  <c r="Y738" i="31" s="1"/>
  <c r="X738" i="31"/>
  <c r="Q376" i="45"/>
  <c r="S376" i="45" s="1"/>
  <c r="K376" i="45"/>
  <c r="N376" i="45" s="1"/>
  <c r="X380" i="40"/>
  <c r="T380" i="40"/>
  <c r="V380" i="40" s="1"/>
  <c r="K380" i="40"/>
  <c r="O380" i="40" s="1"/>
  <c r="Q380" i="40" s="1"/>
  <c r="C308" i="32"/>
  <c r="P755" i="31"/>
  <c r="Y755" i="31" s="1"/>
  <c r="X755" i="31"/>
  <c r="K393" i="45"/>
  <c r="N393" i="45" s="1"/>
  <c r="Q393" i="45"/>
  <c r="S393" i="45" s="1"/>
  <c r="V393" i="45" s="1"/>
  <c r="T397" i="40"/>
  <c r="V397" i="40" s="1"/>
  <c r="K397" i="40"/>
  <c r="O397" i="40" s="1"/>
  <c r="Q397" i="40" s="1"/>
  <c r="X397" i="40"/>
  <c r="C325" i="32"/>
  <c r="P771" i="31"/>
  <c r="Y771" i="31" s="1"/>
  <c r="X771" i="31"/>
  <c r="K409" i="45"/>
  <c r="N409" i="45" s="1"/>
  <c r="Q409" i="45"/>
  <c r="S409" i="45" s="1"/>
  <c r="V409" i="45" s="1"/>
  <c r="T413" i="40"/>
  <c r="V413" i="40" s="1"/>
  <c r="K413" i="40"/>
  <c r="O413" i="40" s="1"/>
  <c r="Q413" i="40" s="1"/>
  <c r="X413" i="40"/>
  <c r="C341" i="32"/>
  <c r="P787" i="31"/>
  <c r="Y787" i="31" s="1"/>
  <c r="X787" i="31"/>
  <c r="K425" i="45"/>
  <c r="N425" i="45" s="1"/>
  <c r="Q425" i="45"/>
  <c r="S425" i="45" s="1"/>
  <c r="V425" i="45" s="1"/>
  <c r="T429" i="40"/>
  <c r="V429" i="40" s="1"/>
  <c r="K429" i="40"/>
  <c r="O429" i="40" s="1"/>
  <c r="Q429" i="40" s="1"/>
  <c r="X429" i="40"/>
  <c r="C357" i="32"/>
  <c r="X803" i="31"/>
  <c r="P803" i="31"/>
  <c r="Y803" i="31" s="1"/>
  <c r="K441" i="45"/>
  <c r="N441" i="45" s="1"/>
  <c r="Q441" i="45"/>
  <c r="S441" i="45" s="1"/>
  <c r="V441" i="45" s="1"/>
  <c r="T445" i="40"/>
  <c r="V445" i="40" s="1"/>
  <c r="K445" i="40"/>
  <c r="O445" i="40" s="1"/>
  <c r="Q445" i="40" s="1"/>
  <c r="X445" i="40"/>
  <c r="C373" i="32"/>
  <c r="X819" i="31"/>
  <c r="P819" i="31"/>
  <c r="Y819" i="31" s="1"/>
  <c r="K457" i="45"/>
  <c r="N457" i="45" s="1"/>
  <c r="Q457" i="45"/>
  <c r="S457" i="45" s="1"/>
  <c r="V457" i="45" s="1"/>
  <c r="T461" i="40"/>
  <c r="V461" i="40" s="1"/>
  <c r="K461" i="40"/>
  <c r="O461" i="40" s="1"/>
  <c r="Q461" i="40" s="1"/>
  <c r="X461" i="40"/>
  <c r="C389" i="32"/>
  <c r="X835" i="31"/>
  <c r="P835" i="31"/>
  <c r="Y835" i="31" s="1"/>
  <c r="Q474" i="45"/>
  <c r="S474" i="45" s="1"/>
  <c r="K474" i="45"/>
  <c r="N474" i="45" s="1"/>
  <c r="X478" i="40"/>
  <c r="T478" i="40"/>
  <c r="V478" i="40" s="1"/>
  <c r="K478" i="40"/>
  <c r="O478" i="40" s="1"/>
  <c r="Q478" i="40" s="1"/>
  <c r="C406" i="32"/>
  <c r="X852" i="31"/>
  <c r="P852" i="31"/>
  <c r="Y852" i="31" s="1"/>
  <c r="Q490" i="45"/>
  <c r="S490" i="45" s="1"/>
  <c r="K490" i="45"/>
  <c r="N490" i="45" s="1"/>
  <c r="X494" i="40"/>
  <c r="T494" i="40"/>
  <c r="V494" i="40" s="1"/>
  <c r="K494" i="40"/>
  <c r="O494" i="40" s="1"/>
  <c r="Q494" i="40" s="1"/>
  <c r="C422" i="32"/>
  <c r="X868" i="31"/>
  <c r="P868" i="31"/>
  <c r="Y868" i="31" s="1"/>
  <c r="Q506" i="45"/>
  <c r="S506" i="45" s="1"/>
  <c r="K506" i="45"/>
  <c r="N506" i="45" s="1"/>
  <c r="X510" i="40"/>
  <c r="T510" i="40"/>
  <c r="V510" i="40" s="1"/>
  <c r="K510" i="40"/>
  <c r="O510" i="40" s="1"/>
  <c r="Q510" i="40" s="1"/>
  <c r="C438" i="32"/>
  <c r="X5" i="31"/>
  <c r="P5" i="31"/>
  <c r="Y5" i="31" s="1"/>
  <c r="W87" i="40"/>
  <c r="S87" i="40"/>
  <c r="U87" i="40" s="1"/>
  <c r="Y87" i="40" s="1"/>
  <c r="AA87" i="40" s="1"/>
  <c r="AE87" i="40" s="1"/>
  <c r="AB87" i="40" s="1"/>
  <c r="J87" i="40"/>
  <c r="L87" i="40" s="1"/>
  <c r="N87" i="40" s="1"/>
  <c r="B15" i="32"/>
  <c r="J95" i="45"/>
  <c r="L95" i="45" s="1"/>
  <c r="P95" i="45"/>
  <c r="R95" i="45" s="1"/>
  <c r="T95" i="45" s="1"/>
  <c r="X95" i="45" s="1"/>
  <c r="U95" i="45" s="1"/>
  <c r="Y95" i="45" s="1"/>
  <c r="J99" i="45"/>
  <c r="L99" i="45" s="1"/>
  <c r="P99" i="45"/>
  <c r="R99" i="45" s="1"/>
  <c r="W103" i="40"/>
  <c r="S103" i="40"/>
  <c r="U103" i="40" s="1"/>
  <c r="Y103" i="40" s="1"/>
  <c r="AA103" i="40" s="1"/>
  <c r="AE103" i="40" s="1"/>
  <c r="AB103" i="40" s="1"/>
  <c r="AF103" i="40" s="1"/>
  <c r="J103" i="40"/>
  <c r="L103" i="40" s="1"/>
  <c r="N103" i="40" s="1"/>
  <c r="B31" i="32"/>
  <c r="J111" i="45"/>
  <c r="L111" i="45" s="1"/>
  <c r="P111" i="45"/>
  <c r="R111" i="45" s="1"/>
  <c r="T111" i="45" s="1"/>
  <c r="X111" i="45" s="1"/>
  <c r="U111" i="45" s="1"/>
  <c r="J115" i="45"/>
  <c r="L115" i="45" s="1"/>
  <c r="P115" i="45"/>
  <c r="R115" i="45" s="1"/>
  <c r="W119" i="40"/>
  <c r="J119" i="40"/>
  <c r="L119" i="40" s="1"/>
  <c r="N119" i="40" s="1"/>
  <c r="S119" i="40"/>
  <c r="U119" i="40" s="1"/>
  <c r="B47" i="32"/>
  <c r="P49" i="31"/>
  <c r="Y49" i="31" s="1"/>
  <c r="X49" i="31"/>
  <c r="X53" i="31"/>
  <c r="P53" i="31"/>
  <c r="Y53" i="31" s="1"/>
  <c r="J131" i="45"/>
  <c r="L131" i="45" s="1"/>
  <c r="P131" i="45"/>
  <c r="R131" i="45" s="1"/>
  <c r="T131" i="45" s="1"/>
  <c r="X131" i="45" s="1"/>
  <c r="U131" i="45" s="1"/>
  <c r="J135" i="40"/>
  <c r="L135" i="40" s="1"/>
  <c r="N135" i="40" s="1"/>
  <c r="S135" i="40"/>
  <c r="U135" i="40" s="1"/>
  <c r="W135" i="40"/>
  <c r="B63" i="32"/>
  <c r="P65" i="31"/>
  <c r="Y65" i="31" s="1"/>
  <c r="X65" i="31"/>
  <c r="X69" i="31"/>
  <c r="P69" i="31"/>
  <c r="Y69" i="31" s="1"/>
  <c r="J147" i="45"/>
  <c r="L147" i="45" s="1"/>
  <c r="P147" i="45"/>
  <c r="R147" i="45" s="1"/>
  <c r="J151" i="40"/>
  <c r="L151" i="40" s="1"/>
  <c r="N151" i="40" s="1"/>
  <c r="S151" i="40"/>
  <c r="U151" i="40" s="1"/>
  <c r="Y151" i="40" s="1"/>
  <c r="AA151" i="40" s="1"/>
  <c r="AE151" i="40" s="1"/>
  <c r="AB151" i="40" s="1"/>
  <c r="W151" i="40"/>
  <c r="B79" i="32"/>
  <c r="X85" i="31"/>
  <c r="P85" i="31"/>
  <c r="Y85" i="31" s="1"/>
  <c r="J163" i="45"/>
  <c r="L163" i="45" s="1"/>
  <c r="P163" i="45"/>
  <c r="R163" i="45" s="1"/>
  <c r="J167" i="40"/>
  <c r="L167" i="40" s="1"/>
  <c r="N167" i="40" s="1"/>
  <c r="S167" i="40"/>
  <c r="U167" i="40" s="1"/>
  <c r="Y167" i="40" s="1"/>
  <c r="AA167" i="40" s="1"/>
  <c r="AE167" i="40" s="1"/>
  <c r="AB167" i="40" s="1"/>
  <c r="W167" i="40"/>
  <c r="B95" i="32"/>
  <c r="P101" i="31"/>
  <c r="Y101" i="31" s="1"/>
  <c r="X101" i="31"/>
  <c r="J179" i="45"/>
  <c r="L179" i="45" s="1"/>
  <c r="P179" i="45"/>
  <c r="R179" i="45" s="1"/>
  <c r="J183" i="40"/>
  <c r="L183" i="40" s="1"/>
  <c r="N183" i="40" s="1"/>
  <c r="S183" i="40"/>
  <c r="U183" i="40" s="1"/>
  <c r="Y183" i="40" s="1"/>
  <c r="AA183" i="40" s="1"/>
  <c r="AE183" i="40" s="1"/>
  <c r="AB183" i="40" s="1"/>
  <c r="W183" i="40"/>
  <c r="B111" i="32"/>
  <c r="X117" i="31"/>
  <c r="P117" i="31"/>
  <c r="Y117" i="31" s="1"/>
  <c r="J195" i="45"/>
  <c r="L195" i="45" s="1"/>
  <c r="P195" i="45"/>
  <c r="R195" i="45" s="1"/>
  <c r="J199" i="40"/>
  <c r="L199" i="40" s="1"/>
  <c r="N199" i="40" s="1"/>
  <c r="S199" i="40"/>
  <c r="U199" i="40" s="1"/>
  <c r="Y199" i="40" s="1"/>
  <c r="AA199" i="40" s="1"/>
  <c r="AE199" i="40" s="1"/>
  <c r="AB199" i="40" s="1"/>
  <c r="W199" i="40"/>
  <c r="B127" i="32"/>
  <c r="P129" i="31"/>
  <c r="Y129" i="31" s="1"/>
  <c r="X129" i="31"/>
  <c r="X133" i="31"/>
  <c r="P133" i="31"/>
  <c r="Y133" i="31" s="1"/>
  <c r="W215" i="40"/>
  <c r="S215" i="40"/>
  <c r="U215" i="40" s="1"/>
  <c r="Y215" i="40" s="1"/>
  <c r="AA215" i="40" s="1"/>
  <c r="AE215" i="40" s="1"/>
  <c r="AB215" i="40" s="1"/>
  <c r="J215" i="40"/>
  <c r="L215" i="40" s="1"/>
  <c r="N215" i="40" s="1"/>
  <c r="B143" i="32"/>
  <c r="X149" i="31"/>
  <c r="P149" i="31"/>
  <c r="Y149" i="31" s="1"/>
  <c r="J227" i="45"/>
  <c r="L227" i="45" s="1"/>
  <c r="P227" i="45"/>
  <c r="R227" i="45" s="1"/>
  <c r="W231" i="40"/>
  <c r="S231" i="40"/>
  <c r="U231" i="40" s="1"/>
  <c r="Y231" i="40" s="1"/>
  <c r="AA231" i="40" s="1"/>
  <c r="AE231" i="40" s="1"/>
  <c r="AB231" i="40" s="1"/>
  <c r="AF231" i="40" s="1"/>
  <c r="J231" i="40"/>
  <c r="L231" i="40" s="1"/>
  <c r="N231" i="40" s="1"/>
  <c r="B159" i="32"/>
  <c r="J239" i="45"/>
  <c r="L239" i="45" s="1"/>
  <c r="P239" i="45"/>
  <c r="R239" i="45" s="1"/>
  <c r="T239" i="45" s="1"/>
  <c r="X239" i="45" s="1"/>
  <c r="U239" i="45" s="1"/>
  <c r="J243" i="45"/>
  <c r="L243" i="45" s="1"/>
  <c r="P243" i="45"/>
  <c r="R243" i="45" s="1"/>
  <c r="W247" i="40"/>
  <c r="S247" i="40"/>
  <c r="U247" i="40" s="1"/>
  <c r="Y247" i="40" s="1"/>
  <c r="AA247" i="40" s="1"/>
  <c r="AE247" i="40" s="1"/>
  <c r="AB247" i="40" s="1"/>
  <c r="AF247" i="40" s="1"/>
  <c r="J247" i="40"/>
  <c r="L247" i="40" s="1"/>
  <c r="N247" i="40" s="1"/>
  <c r="B175" i="32"/>
  <c r="P177" i="31"/>
  <c r="Y177" i="31" s="1"/>
  <c r="X177" i="31"/>
  <c r="X181" i="31"/>
  <c r="P181" i="31"/>
  <c r="Y181" i="31" s="1"/>
  <c r="J259" i="45"/>
  <c r="L259" i="45" s="1"/>
  <c r="P259" i="45"/>
  <c r="R259" i="45" s="1"/>
  <c r="T259" i="45" s="1"/>
  <c r="X259" i="45" s="1"/>
  <c r="U259" i="45" s="1"/>
  <c r="Y259" i="45" s="1"/>
  <c r="W263" i="40"/>
  <c r="S263" i="40"/>
  <c r="U263" i="40" s="1"/>
  <c r="J263" i="40"/>
  <c r="L263" i="40" s="1"/>
  <c r="N263" i="40" s="1"/>
  <c r="B191" i="32"/>
  <c r="X197" i="31"/>
  <c r="P197" i="31"/>
  <c r="Y197" i="31" s="1"/>
  <c r="J275" i="45"/>
  <c r="L275" i="45" s="1"/>
  <c r="P275" i="45"/>
  <c r="R275" i="45" s="1"/>
  <c r="T275" i="45" s="1"/>
  <c r="X275" i="45" s="1"/>
  <c r="U275" i="45" s="1"/>
  <c r="W279" i="40"/>
  <c r="S279" i="40"/>
  <c r="U279" i="40" s="1"/>
  <c r="J279" i="40"/>
  <c r="L279" i="40" s="1"/>
  <c r="N279" i="40" s="1"/>
  <c r="B207" i="32"/>
  <c r="X213" i="31"/>
  <c r="P213" i="31"/>
  <c r="Y213" i="31" s="1"/>
  <c r="J291" i="45"/>
  <c r="L291" i="45" s="1"/>
  <c r="P291" i="45"/>
  <c r="R291" i="45" s="1"/>
  <c r="T291" i="45" s="1"/>
  <c r="X291" i="45" s="1"/>
  <c r="U291" i="45" s="1"/>
  <c r="W295" i="40"/>
  <c r="S295" i="40"/>
  <c r="U295" i="40" s="1"/>
  <c r="J295" i="40"/>
  <c r="L295" i="40" s="1"/>
  <c r="N295" i="40" s="1"/>
  <c r="B223" i="32"/>
  <c r="J303" i="45"/>
  <c r="L303" i="45" s="1"/>
  <c r="P303" i="45"/>
  <c r="R303" i="45" s="1"/>
  <c r="X453" i="31"/>
  <c r="P453" i="31"/>
  <c r="Y453" i="31" s="1"/>
  <c r="W311" i="40"/>
  <c r="S311" i="40"/>
  <c r="U311" i="40" s="1"/>
  <c r="J311" i="40"/>
  <c r="L311" i="40" s="1"/>
  <c r="N311" i="40" s="1"/>
  <c r="B239" i="32"/>
  <c r="P465" i="31"/>
  <c r="Y465" i="31" s="1"/>
  <c r="X465" i="31"/>
  <c r="X469" i="31"/>
  <c r="P469" i="31"/>
  <c r="Y469" i="31" s="1"/>
  <c r="S327" i="40"/>
  <c r="U327" i="40" s="1"/>
  <c r="J327" i="40"/>
  <c r="L327" i="40" s="1"/>
  <c r="N327" i="40" s="1"/>
  <c r="W327" i="40"/>
  <c r="B255" i="32"/>
  <c r="P481" i="31"/>
  <c r="Y481" i="31" s="1"/>
  <c r="X481" i="31"/>
  <c r="P485" i="31"/>
  <c r="Y485" i="31" s="1"/>
  <c r="X485" i="31"/>
  <c r="S343" i="40"/>
  <c r="U343" i="40" s="1"/>
  <c r="J343" i="40"/>
  <c r="L343" i="40" s="1"/>
  <c r="N343" i="40" s="1"/>
  <c r="W343" i="40"/>
  <c r="B271" i="32"/>
  <c r="X497" i="31"/>
  <c r="P497" i="31"/>
  <c r="Y497" i="31" s="1"/>
  <c r="X501" i="31"/>
  <c r="P501" i="31"/>
  <c r="Y501" i="31" s="1"/>
  <c r="S359" i="40"/>
  <c r="U359" i="40" s="1"/>
  <c r="J359" i="40"/>
  <c r="L359" i="40" s="1"/>
  <c r="N359" i="40" s="1"/>
  <c r="W359" i="40"/>
  <c r="B287" i="32"/>
  <c r="X517" i="31"/>
  <c r="P517" i="31"/>
  <c r="Y517" i="31" s="1"/>
  <c r="S375" i="40"/>
  <c r="U375" i="40" s="1"/>
  <c r="Y375" i="40" s="1"/>
  <c r="J375" i="40"/>
  <c r="L375" i="40" s="1"/>
  <c r="N375" i="40" s="1"/>
  <c r="W375" i="40"/>
  <c r="B303" i="32"/>
  <c r="P529" i="31"/>
  <c r="Y529" i="31" s="1"/>
  <c r="X529" i="31"/>
  <c r="S391" i="40"/>
  <c r="U391" i="40" s="1"/>
  <c r="J391" i="40"/>
  <c r="L391" i="40" s="1"/>
  <c r="N391" i="40" s="1"/>
  <c r="W391" i="40"/>
  <c r="B319" i="32"/>
  <c r="X545" i="31"/>
  <c r="P545" i="31"/>
  <c r="Y545" i="31" s="1"/>
  <c r="P549" i="31"/>
  <c r="Y549" i="31" s="1"/>
  <c r="X549" i="31"/>
  <c r="S407" i="40"/>
  <c r="U407" i="40" s="1"/>
  <c r="J407" i="40"/>
  <c r="L407" i="40" s="1"/>
  <c r="N407" i="40" s="1"/>
  <c r="W407" i="40"/>
  <c r="B335" i="32"/>
  <c r="X561" i="31"/>
  <c r="P561" i="31"/>
  <c r="Y561" i="31" s="1"/>
  <c r="X565" i="31"/>
  <c r="P565" i="31"/>
  <c r="Y565" i="31" s="1"/>
  <c r="S423" i="40"/>
  <c r="U423" i="40" s="1"/>
  <c r="J423" i="40"/>
  <c r="L423" i="40" s="1"/>
  <c r="N423" i="40" s="1"/>
  <c r="W423" i="40"/>
  <c r="B351" i="32"/>
  <c r="P577" i="31"/>
  <c r="Y577" i="31" s="1"/>
  <c r="X577" i="31"/>
  <c r="X581" i="31"/>
  <c r="P581" i="31"/>
  <c r="Y581" i="31" s="1"/>
  <c r="S439" i="40"/>
  <c r="U439" i="40" s="1"/>
  <c r="J439" i="40"/>
  <c r="L439" i="40" s="1"/>
  <c r="N439" i="40" s="1"/>
  <c r="W439" i="40"/>
  <c r="B367" i="32"/>
  <c r="P593" i="31"/>
  <c r="Y593" i="31" s="1"/>
  <c r="X593" i="31"/>
  <c r="X597" i="31"/>
  <c r="P597" i="31"/>
  <c r="Y597" i="31" s="1"/>
  <c r="S455" i="40"/>
  <c r="U455" i="40" s="1"/>
  <c r="J455" i="40"/>
  <c r="L455" i="40" s="1"/>
  <c r="N455" i="40" s="1"/>
  <c r="W455" i="40"/>
  <c r="B383" i="32"/>
  <c r="X609" i="31"/>
  <c r="P609" i="31"/>
  <c r="Y609" i="31" s="1"/>
  <c r="P613" i="31"/>
  <c r="Y613" i="31" s="1"/>
  <c r="X613" i="31"/>
  <c r="S471" i="40"/>
  <c r="U471" i="40" s="1"/>
  <c r="J471" i="40"/>
  <c r="L471" i="40" s="1"/>
  <c r="N471" i="40" s="1"/>
  <c r="W471" i="40"/>
  <c r="B399" i="32"/>
  <c r="X625" i="31"/>
  <c r="P625" i="31"/>
  <c r="Y625" i="31" s="1"/>
  <c r="P629" i="31"/>
  <c r="Y629" i="31" s="1"/>
  <c r="X629" i="31"/>
  <c r="S487" i="40"/>
  <c r="U487" i="40" s="1"/>
  <c r="J487" i="40"/>
  <c r="L487" i="40" s="1"/>
  <c r="N487" i="40" s="1"/>
  <c r="W487" i="40"/>
  <c r="B415" i="32"/>
  <c r="P641" i="31"/>
  <c r="Y641" i="31" s="1"/>
  <c r="X641" i="31"/>
  <c r="X645" i="31"/>
  <c r="P645" i="31"/>
  <c r="Y645" i="31" s="1"/>
  <c r="S503" i="40"/>
  <c r="U503" i="40" s="1"/>
  <c r="J503" i="40"/>
  <c r="L503" i="40" s="1"/>
  <c r="N503" i="40" s="1"/>
  <c r="W503" i="40"/>
  <c r="B431" i="32"/>
  <c r="P657" i="31"/>
  <c r="Y657" i="31" s="1"/>
  <c r="X657" i="31"/>
  <c r="X124" i="40"/>
  <c r="K124" i="40"/>
  <c r="O124" i="40" s="1"/>
  <c r="Q124" i="40" s="1"/>
  <c r="T124" i="40"/>
  <c r="V124" i="40" s="1"/>
  <c r="C52" i="32"/>
  <c r="X128" i="40"/>
  <c r="T128" i="40"/>
  <c r="V128" i="40" s="1"/>
  <c r="Z128" i="40" s="1"/>
  <c r="AC128" i="40" s="1"/>
  <c r="C56" i="32"/>
  <c r="K128" i="40"/>
  <c r="O128" i="40" s="1"/>
  <c r="Q128" i="40" s="1"/>
  <c r="X278" i="31"/>
  <c r="P278" i="31"/>
  <c r="Y278" i="31" s="1"/>
  <c r="P282" i="31"/>
  <c r="Y282" i="31" s="1"/>
  <c r="X282" i="31"/>
  <c r="Q140" i="45"/>
  <c r="S140" i="45" s="1"/>
  <c r="K140" i="45"/>
  <c r="N140" i="45" s="1"/>
  <c r="X144" i="40"/>
  <c r="K144" i="40"/>
  <c r="O144" i="40" s="1"/>
  <c r="Q144" i="40" s="1"/>
  <c r="T144" i="40"/>
  <c r="V144" i="40" s="1"/>
  <c r="Z144" i="40" s="1"/>
  <c r="AC144" i="40" s="1"/>
  <c r="C72" i="32"/>
  <c r="T294" i="31"/>
  <c r="P298" i="31"/>
  <c r="Y298" i="31" s="1"/>
  <c r="X298" i="31"/>
  <c r="T156" i="40"/>
  <c r="V156" i="40" s="1"/>
  <c r="Z156" i="40" s="1"/>
  <c r="AC156" i="40" s="1"/>
  <c r="X156" i="40"/>
  <c r="C84" i="32"/>
  <c r="K156" i="40"/>
  <c r="O156" i="40" s="1"/>
  <c r="Q156" i="40" s="1"/>
  <c r="T306" i="31"/>
  <c r="P315" i="31"/>
  <c r="Y315" i="31" s="1"/>
  <c r="X315" i="31"/>
  <c r="K173" i="45"/>
  <c r="N173" i="45" s="1"/>
  <c r="Q173" i="45"/>
  <c r="S173" i="45" s="1"/>
  <c r="V173" i="45" s="1"/>
  <c r="X177" i="40"/>
  <c r="K177" i="40"/>
  <c r="O177" i="40" s="1"/>
  <c r="Q177" i="40" s="1"/>
  <c r="T177" i="40"/>
  <c r="V177" i="40" s="1"/>
  <c r="Z177" i="40" s="1"/>
  <c r="AC177" i="40" s="1"/>
  <c r="C105" i="32"/>
  <c r="T327" i="31"/>
  <c r="P331" i="31"/>
  <c r="Y331" i="31" s="1"/>
  <c r="X331" i="31"/>
  <c r="K189" i="45"/>
  <c r="N189" i="45" s="1"/>
  <c r="Q189" i="45"/>
  <c r="S189" i="45" s="1"/>
  <c r="X193" i="40"/>
  <c r="K193" i="40"/>
  <c r="O193" i="40" s="1"/>
  <c r="Q193" i="40" s="1"/>
  <c r="C121" i="32"/>
  <c r="T193" i="40"/>
  <c r="V193" i="40" s="1"/>
  <c r="Z193" i="40" s="1"/>
  <c r="P343" i="31"/>
  <c r="Y343" i="31" s="1"/>
  <c r="X343" i="31"/>
  <c r="P347" i="31"/>
  <c r="Y347" i="31" s="1"/>
  <c r="X347" i="31"/>
  <c r="K205" i="45"/>
  <c r="N205" i="45" s="1"/>
  <c r="Q205" i="45"/>
  <c r="S205" i="45" s="1"/>
  <c r="V205" i="45" s="1"/>
  <c r="X209" i="40"/>
  <c r="T209" i="40"/>
  <c r="V209" i="40" s="1"/>
  <c r="K209" i="40"/>
  <c r="O209" i="40" s="1"/>
  <c r="Q209" i="40" s="1"/>
  <c r="C137" i="32"/>
  <c r="T359" i="31"/>
  <c r="P363" i="31"/>
  <c r="Y363" i="31" s="1"/>
  <c r="X363" i="31"/>
  <c r="K221" i="45"/>
  <c r="N221" i="45" s="1"/>
  <c r="Q221" i="45"/>
  <c r="S221" i="45" s="1"/>
  <c r="V221" i="45" s="1"/>
  <c r="X225" i="40"/>
  <c r="T225" i="40"/>
  <c r="V225" i="40" s="1"/>
  <c r="K225" i="40"/>
  <c r="O225" i="40" s="1"/>
  <c r="Q225" i="40" s="1"/>
  <c r="C153" i="32"/>
  <c r="P379" i="31"/>
  <c r="Y379" i="31" s="1"/>
  <c r="X379" i="31"/>
  <c r="K237" i="45"/>
  <c r="N237" i="45" s="1"/>
  <c r="Q237" i="45"/>
  <c r="S237" i="45" s="1"/>
  <c r="V237" i="45" s="1"/>
  <c r="X241" i="40"/>
  <c r="T241" i="40"/>
  <c r="V241" i="40" s="1"/>
  <c r="K241" i="40"/>
  <c r="O241" i="40" s="1"/>
  <c r="Q241" i="40" s="1"/>
  <c r="C169" i="32"/>
  <c r="P395" i="31"/>
  <c r="Y395" i="31" s="1"/>
  <c r="X395" i="31"/>
  <c r="K253" i="45"/>
  <c r="N253" i="45" s="1"/>
  <c r="Q253" i="45"/>
  <c r="S253" i="45" s="1"/>
  <c r="X257" i="40"/>
  <c r="T257" i="40"/>
  <c r="V257" i="40" s="1"/>
  <c r="K257" i="40"/>
  <c r="O257" i="40" s="1"/>
  <c r="Q257" i="40" s="1"/>
  <c r="C185" i="32"/>
  <c r="P411" i="31"/>
  <c r="Y411" i="31" s="1"/>
  <c r="X411" i="31"/>
  <c r="K269" i="45"/>
  <c r="N269" i="45" s="1"/>
  <c r="Q269" i="45"/>
  <c r="S269" i="45" s="1"/>
  <c r="X273" i="40"/>
  <c r="K273" i="40"/>
  <c r="O273" i="40" s="1"/>
  <c r="Q273" i="40" s="1"/>
  <c r="C201" i="32"/>
  <c r="T273" i="40"/>
  <c r="V273" i="40" s="1"/>
  <c r="Z273" i="40" s="1"/>
  <c r="AC273" i="40" s="1"/>
  <c r="T423" i="31"/>
  <c r="K281" i="45"/>
  <c r="N281" i="45" s="1"/>
  <c r="Q281" i="45"/>
  <c r="S281" i="45" s="1"/>
  <c r="V281" i="45" s="1"/>
  <c r="K285" i="45"/>
  <c r="N285" i="45" s="1"/>
  <c r="Q285" i="45"/>
  <c r="S285" i="45" s="1"/>
  <c r="X289" i="40"/>
  <c r="K289" i="40"/>
  <c r="O289" i="40" s="1"/>
  <c r="Q289" i="40" s="1"/>
  <c r="C217" i="32"/>
  <c r="T289" i="40"/>
  <c r="V289" i="40" s="1"/>
  <c r="Z289" i="40" s="1"/>
  <c r="P439" i="31"/>
  <c r="Y439" i="31" s="1"/>
  <c r="X439" i="31"/>
  <c r="K301" i="45"/>
  <c r="N301" i="45" s="1"/>
  <c r="Q301" i="45"/>
  <c r="S301" i="45" s="1"/>
  <c r="X305" i="40"/>
  <c r="K305" i="40"/>
  <c r="O305" i="40" s="1"/>
  <c r="Q305" i="40" s="1"/>
  <c r="C233" i="32"/>
  <c r="T305" i="40"/>
  <c r="V305" i="40" s="1"/>
  <c r="Z305" i="40" s="1"/>
  <c r="T671" i="31"/>
  <c r="T675" i="31"/>
  <c r="X679" i="31"/>
  <c r="P679" i="31"/>
  <c r="Y679" i="31" s="1"/>
  <c r="K321" i="45"/>
  <c r="N321" i="45" s="1"/>
  <c r="Q321" i="45"/>
  <c r="S321" i="45" s="1"/>
  <c r="V321" i="45" s="1"/>
  <c r="K325" i="45"/>
  <c r="N325" i="45" s="1"/>
  <c r="Q325" i="45"/>
  <c r="S325" i="45" s="1"/>
  <c r="K329" i="45"/>
  <c r="N329" i="45" s="1"/>
  <c r="Q329" i="45"/>
  <c r="S329" i="45" s="1"/>
  <c r="V329" i="45" s="1"/>
  <c r="K333" i="45"/>
  <c r="N333" i="45" s="1"/>
  <c r="Q333" i="45"/>
  <c r="S333" i="45" s="1"/>
  <c r="K337" i="45"/>
  <c r="N337" i="45" s="1"/>
  <c r="Q337" i="45"/>
  <c r="S337" i="45" s="1"/>
  <c r="V337" i="45" s="1"/>
  <c r="K341" i="45"/>
  <c r="N341" i="45" s="1"/>
  <c r="Q341" i="45"/>
  <c r="S341" i="45" s="1"/>
  <c r="K345" i="45"/>
  <c r="N345" i="45" s="1"/>
  <c r="Q345" i="45"/>
  <c r="S345" i="45" s="1"/>
  <c r="V345" i="45" s="1"/>
  <c r="X350" i="40"/>
  <c r="T350" i="40"/>
  <c r="V350" i="40" s="1"/>
  <c r="K350" i="40"/>
  <c r="O350" i="40" s="1"/>
  <c r="Q350" i="40" s="1"/>
  <c r="C278" i="32"/>
  <c r="T716" i="31"/>
  <c r="X724" i="31"/>
  <c r="P724" i="31"/>
  <c r="Y724" i="31" s="1"/>
  <c r="K362" i="45"/>
  <c r="N362" i="45" s="1"/>
  <c r="Q362" i="45"/>
  <c r="S362" i="45" s="1"/>
  <c r="X366" i="40"/>
  <c r="T366" i="40"/>
  <c r="V366" i="40" s="1"/>
  <c r="Z366" i="40" s="1"/>
  <c r="K366" i="40"/>
  <c r="O366" i="40" s="1"/>
  <c r="Q366" i="40" s="1"/>
  <c r="C294" i="32"/>
  <c r="X740" i="31"/>
  <c r="P740" i="31"/>
  <c r="Y740" i="31" s="1"/>
  <c r="K378" i="45"/>
  <c r="N378" i="45" s="1"/>
  <c r="Q378" i="45"/>
  <c r="S378" i="45" s="1"/>
  <c r="X382" i="40"/>
  <c r="T382" i="40"/>
  <c r="V382" i="40" s="1"/>
  <c r="Z382" i="40" s="1"/>
  <c r="K382" i="40"/>
  <c r="O382" i="40" s="1"/>
  <c r="Q382" i="40" s="1"/>
  <c r="C310" i="32"/>
  <c r="T748" i="31"/>
  <c r="T842" i="31"/>
  <c r="Q484" i="45"/>
  <c r="S484" i="45" s="1"/>
  <c r="V484" i="45" s="1"/>
  <c r="K484" i="45"/>
  <c r="N484" i="45" s="1"/>
  <c r="X488" i="40"/>
  <c r="T488" i="40"/>
  <c r="V488" i="40" s="1"/>
  <c r="Z488" i="40" s="1"/>
  <c r="K488" i="40"/>
  <c r="O488" i="40" s="1"/>
  <c r="Q488" i="40" s="1"/>
  <c r="C416" i="32"/>
  <c r="Q500" i="45"/>
  <c r="S500" i="45" s="1"/>
  <c r="K500" i="45"/>
  <c r="N500" i="45" s="1"/>
  <c r="X504" i="40"/>
  <c r="T504" i="40"/>
  <c r="V504" i="40" s="1"/>
  <c r="K504" i="40"/>
  <c r="O504" i="40" s="1"/>
  <c r="Q504" i="40" s="1"/>
  <c r="C432" i="32"/>
  <c r="P76" i="45"/>
  <c r="R76" i="45" s="1"/>
  <c r="T76" i="45" s="1"/>
  <c r="X76" i="45" s="1"/>
  <c r="U76" i="45" s="1"/>
  <c r="J76" i="45"/>
  <c r="L76" i="45" s="1"/>
  <c r="J81" i="40"/>
  <c r="L81" i="40" s="1"/>
  <c r="N81" i="40" s="1"/>
  <c r="S81" i="40"/>
  <c r="U81" i="40" s="1"/>
  <c r="W81" i="40"/>
  <c r="B9" i="32"/>
  <c r="D160" i="32" s="1"/>
  <c r="T7" i="31"/>
  <c r="P15" i="31"/>
  <c r="Y15" i="31" s="1"/>
  <c r="X15" i="31"/>
  <c r="P93" i="45"/>
  <c r="R93" i="45" s="1"/>
  <c r="T93" i="45" s="1"/>
  <c r="X93" i="45" s="1"/>
  <c r="U93" i="45" s="1"/>
  <c r="Y93" i="45" s="1"/>
  <c r="J93" i="45"/>
  <c r="L93" i="45" s="1"/>
  <c r="W97" i="40"/>
  <c r="S97" i="40"/>
  <c r="U97" i="40" s="1"/>
  <c r="Y97" i="40" s="1"/>
  <c r="AA97" i="40" s="1"/>
  <c r="AE97" i="40" s="1"/>
  <c r="AB97" i="40" s="1"/>
  <c r="J97" i="40"/>
  <c r="L97" i="40" s="1"/>
  <c r="N97" i="40" s="1"/>
  <c r="B25" i="32"/>
  <c r="P31" i="31"/>
  <c r="Y31" i="31" s="1"/>
  <c r="X31" i="31"/>
  <c r="P109" i="45"/>
  <c r="R109" i="45" s="1"/>
  <c r="T109" i="45" s="1"/>
  <c r="X109" i="45" s="1"/>
  <c r="U109" i="45" s="1"/>
  <c r="Y109" i="45" s="1"/>
  <c r="J109" i="45"/>
  <c r="L109" i="45" s="1"/>
  <c r="W113" i="40"/>
  <c r="S113" i="40"/>
  <c r="U113" i="40" s="1"/>
  <c r="Y113" i="40" s="1"/>
  <c r="AA113" i="40" s="1"/>
  <c r="AE113" i="40" s="1"/>
  <c r="AB113" i="40" s="1"/>
  <c r="J113" i="40"/>
  <c r="L113" i="40" s="1"/>
  <c r="N113" i="40" s="1"/>
  <c r="B41" i="32"/>
  <c r="P47" i="31"/>
  <c r="Y47" i="31" s="1"/>
  <c r="X47" i="31"/>
  <c r="P125" i="45"/>
  <c r="R125" i="45" s="1"/>
  <c r="T125" i="45" s="1"/>
  <c r="X125" i="45" s="1"/>
  <c r="U125" i="45" s="1"/>
  <c r="Y125" i="45" s="1"/>
  <c r="J125" i="45"/>
  <c r="L125" i="45" s="1"/>
  <c r="W129" i="40"/>
  <c r="S129" i="40"/>
  <c r="U129" i="40" s="1"/>
  <c r="Y129" i="40" s="1"/>
  <c r="AA129" i="40" s="1"/>
  <c r="AE129" i="40" s="1"/>
  <c r="AB129" i="40" s="1"/>
  <c r="AF129" i="40" s="1"/>
  <c r="J129" i="40"/>
  <c r="L129" i="40" s="1"/>
  <c r="N129" i="40" s="1"/>
  <c r="B57" i="32"/>
  <c r="T55" i="31"/>
  <c r="P59" i="31"/>
  <c r="Y59" i="31" s="1"/>
  <c r="X59" i="31"/>
  <c r="P63" i="31"/>
  <c r="Y63" i="31" s="1"/>
  <c r="X63" i="31"/>
  <c r="P141" i="45"/>
  <c r="R141" i="45" s="1"/>
  <c r="T141" i="45" s="1"/>
  <c r="X141" i="45" s="1"/>
  <c r="U141" i="45" s="1"/>
  <c r="Y141" i="45" s="1"/>
  <c r="J141" i="45"/>
  <c r="L141" i="45" s="1"/>
  <c r="J145" i="40"/>
  <c r="L145" i="40" s="1"/>
  <c r="N145" i="40" s="1"/>
  <c r="S145" i="40"/>
  <c r="U145" i="40" s="1"/>
  <c r="W145" i="40"/>
  <c r="B73" i="32"/>
  <c r="P79" i="31"/>
  <c r="Y79" i="31" s="1"/>
  <c r="X79" i="31"/>
  <c r="P83" i="31"/>
  <c r="Y83" i="31" s="1"/>
  <c r="X83" i="31"/>
  <c r="P161" i="45"/>
  <c r="R161" i="45" s="1"/>
  <c r="J161" i="45"/>
  <c r="L161" i="45" s="1"/>
  <c r="S165" i="40"/>
  <c r="U165" i="40" s="1"/>
  <c r="Y165" i="40" s="1"/>
  <c r="AA165" i="40" s="1"/>
  <c r="AE165" i="40" s="1"/>
  <c r="AB165" i="40" s="1"/>
  <c r="W165" i="40"/>
  <c r="J165" i="40"/>
  <c r="L165" i="40" s="1"/>
  <c r="N165" i="40" s="1"/>
  <c r="B93" i="32"/>
  <c r="P99" i="31"/>
  <c r="Y99" i="31" s="1"/>
  <c r="X99" i="31"/>
  <c r="P177" i="45"/>
  <c r="R177" i="45" s="1"/>
  <c r="J177" i="45"/>
  <c r="L177" i="45" s="1"/>
  <c r="P181" i="45"/>
  <c r="R181" i="45" s="1"/>
  <c r="T181" i="45" s="1"/>
  <c r="X181" i="45" s="1"/>
  <c r="U181" i="45" s="1"/>
  <c r="Y181" i="45" s="1"/>
  <c r="J181" i="45"/>
  <c r="L181" i="45" s="1"/>
  <c r="J185" i="40"/>
  <c r="L185" i="40" s="1"/>
  <c r="N185" i="40" s="1"/>
  <c r="S185" i="40"/>
  <c r="U185" i="40" s="1"/>
  <c r="W185" i="40"/>
  <c r="B113" i="32"/>
  <c r="P119" i="31"/>
  <c r="Y119" i="31" s="1"/>
  <c r="X119" i="31"/>
  <c r="P197" i="45"/>
  <c r="R197" i="45" s="1"/>
  <c r="T197" i="45" s="1"/>
  <c r="X197" i="45" s="1"/>
  <c r="U197" i="45" s="1"/>
  <c r="Y197" i="45" s="1"/>
  <c r="J197" i="45"/>
  <c r="L197" i="45" s="1"/>
  <c r="J201" i="40"/>
  <c r="L201" i="40" s="1"/>
  <c r="N201" i="40" s="1"/>
  <c r="S201" i="40"/>
  <c r="U201" i="40" s="1"/>
  <c r="W201" i="40"/>
  <c r="B129" i="32"/>
  <c r="T127" i="31"/>
  <c r="P213" i="45"/>
  <c r="R213" i="45" s="1"/>
  <c r="J213" i="45"/>
  <c r="L213" i="45" s="1"/>
  <c r="W217" i="40"/>
  <c r="S217" i="40"/>
  <c r="U217" i="40" s="1"/>
  <c r="J217" i="40"/>
  <c r="L217" i="40" s="1"/>
  <c r="N217" i="40" s="1"/>
  <c r="B145" i="32"/>
  <c r="T143" i="31"/>
  <c r="P225" i="45"/>
  <c r="R225" i="45" s="1"/>
  <c r="J225" i="45"/>
  <c r="L225" i="45" s="1"/>
  <c r="W233" i="40"/>
  <c r="S233" i="40"/>
  <c r="U233" i="40" s="1"/>
  <c r="J233" i="40"/>
  <c r="L233" i="40" s="1"/>
  <c r="N233" i="40" s="1"/>
  <c r="B161" i="32"/>
  <c r="T159" i="31"/>
  <c r="P167" i="31"/>
  <c r="Y167" i="31" s="1"/>
  <c r="X167" i="31"/>
  <c r="P245" i="45"/>
  <c r="R245" i="45" s="1"/>
  <c r="J245" i="45"/>
  <c r="L245" i="45" s="1"/>
  <c r="W249" i="40"/>
  <c r="S249" i="40"/>
  <c r="U249" i="40" s="1"/>
  <c r="J249" i="40"/>
  <c r="L249" i="40" s="1"/>
  <c r="N249" i="40" s="1"/>
  <c r="B177" i="32"/>
  <c r="P183" i="31"/>
  <c r="Y183" i="31" s="1"/>
  <c r="X183" i="31"/>
  <c r="P261" i="45"/>
  <c r="R261" i="45" s="1"/>
  <c r="J261" i="45"/>
  <c r="L261" i="45" s="1"/>
  <c r="W265" i="40"/>
  <c r="S265" i="40"/>
  <c r="U265" i="40" s="1"/>
  <c r="J265" i="40"/>
  <c r="L265" i="40" s="1"/>
  <c r="N265" i="40" s="1"/>
  <c r="B193" i="32"/>
  <c r="P199" i="31"/>
  <c r="Y199" i="31" s="1"/>
  <c r="X199" i="31"/>
  <c r="P277" i="45"/>
  <c r="R277" i="45" s="1"/>
  <c r="J277" i="45"/>
  <c r="L277" i="45" s="1"/>
  <c r="W281" i="40"/>
  <c r="S281" i="40"/>
  <c r="U281" i="40" s="1"/>
  <c r="J281" i="40"/>
  <c r="L281" i="40" s="1"/>
  <c r="N281" i="40" s="1"/>
  <c r="B209" i="32"/>
  <c r="T207" i="31"/>
  <c r="P215" i="31"/>
  <c r="Y215" i="31" s="1"/>
  <c r="X215" i="31"/>
  <c r="P293" i="45"/>
  <c r="R293" i="45" s="1"/>
  <c r="T293" i="45" s="1"/>
  <c r="X293" i="45" s="1"/>
  <c r="U293" i="45" s="1"/>
  <c r="Y293" i="45" s="1"/>
  <c r="J293" i="45"/>
  <c r="L293" i="45" s="1"/>
  <c r="W297" i="40"/>
  <c r="S297" i="40"/>
  <c r="U297" i="40" s="1"/>
  <c r="Y297" i="40" s="1"/>
  <c r="J297" i="40"/>
  <c r="L297" i="40" s="1"/>
  <c r="N297" i="40" s="1"/>
  <c r="B225" i="32"/>
  <c r="T443" i="31"/>
  <c r="P451" i="31"/>
  <c r="Y451" i="31" s="1"/>
  <c r="X451" i="31"/>
  <c r="P309" i="45"/>
  <c r="R309" i="45" s="1"/>
  <c r="T309" i="45" s="1"/>
  <c r="X309" i="45" s="1"/>
  <c r="U309" i="45" s="1"/>
  <c r="Y309" i="45" s="1"/>
  <c r="J309" i="45"/>
  <c r="L309" i="45" s="1"/>
  <c r="W313" i="40"/>
  <c r="S313" i="40"/>
  <c r="U313" i="40" s="1"/>
  <c r="Y313" i="40" s="1"/>
  <c r="AA313" i="40" s="1"/>
  <c r="AE313" i="40" s="1"/>
  <c r="AB313" i="40" s="1"/>
  <c r="J313" i="40"/>
  <c r="L313" i="40" s="1"/>
  <c r="N313" i="40" s="1"/>
  <c r="B241" i="32"/>
  <c r="T459" i="31"/>
  <c r="P471" i="31"/>
  <c r="Y471" i="31" s="1"/>
  <c r="X471" i="31"/>
  <c r="P491" i="31"/>
  <c r="Y491" i="31" s="1"/>
  <c r="X491" i="31"/>
  <c r="X503" i="31"/>
  <c r="P503" i="31"/>
  <c r="Y503" i="31" s="1"/>
  <c r="X535" i="31"/>
  <c r="P535" i="31"/>
  <c r="Y535" i="31" s="1"/>
  <c r="P555" i="31"/>
  <c r="Y555" i="31" s="1"/>
  <c r="X555" i="31"/>
  <c r="X567" i="31"/>
  <c r="P567" i="31"/>
  <c r="Y567" i="31" s="1"/>
  <c r="X599" i="31"/>
  <c r="P599" i="31"/>
  <c r="Y599" i="31" s="1"/>
  <c r="P619" i="31"/>
  <c r="Y619" i="31" s="1"/>
  <c r="X619" i="31"/>
  <c r="X631" i="31"/>
  <c r="P631" i="31"/>
  <c r="Y631" i="31" s="1"/>
  <c r="T477" i="40"/>
  <c r="V477" i="40" s="1"/>
  <c r="K477" i="40"/>
  <c r="O477" i="40" s="1"/>
  <c r="Q477" i="40" s="1"/>
  <c r="X477" i="40"/>
  <c r="C405" i="32"/>
  <c r="T509" i="40"/>
  <c r="V509" i="40" s="1"/>
  <c r="K509" i="40"/>
  <c r="O509" i="40" s="1"/>
  <c r="Q509" i="40" s="1"/>
  <c r="X509" i="40"/>
  <c r="C437" i="32"/>
  <c r="P227" i="31"/>
  <c r="Y227" i="31" s="1"/>
  <c r="X227" i="31"/>
  <c r="K85" i="45"/>
  <c r="N85" i="45" s="1"/>
  <c r="Q85" i="45"/>
  <c r="S85" i="45" s="1"/>
  <c r="X89" i="40"/>
  <c r="K89" i="40"/>
  <c r="O89" i="40" s="1"/>
  <c r="Q89" i="40" s="1"/>
  <c r="C17" i="32"/>
  <c r="T89" i="40"/>
  <c r="V89" i="40" s="1"/>
  <c r="Z89" i="40" s="1"/>
  <c r="AC89" i="40" s="1"/>
  <c r="T235" i="31"/>
  <c r="P243" i="31"/>
  <c r="Y243" i="31" s="1"/>
  <c r="X243" i="31"/>
  <c r="K101" i="45"/>
  <c r="N101" i="45" s="1"/>
  <c r="Q101" i="45"/>
  <c r="S101" i="45" s="1"/>
  <c r="X105" i="40"/>
  <c r="K105" i="40"/>
  <c r="O105" i="40" s="1"/>
  <c r="Q105" i="40" s="1"/>
  <c r="T105" i="40"/>
  <c r="V105" i="40" s="1"/>
  <c r="Z105" i="40" s="1"/>
  <c r="C33" i="32"/>
  <c r="P259" i="31"/>
  <c r="Y259" i="31" s="1"/>
  <c r="X259" i="31"/>
  <c r="K117" i="45"/>
  <c r="N117" i="45" s="1"/>
  <c r="Q117" i="45"/>
  <c r="S117" i="45" s="1"/>
  <c r="K121" i="40"/>
  <c r="O121" i="40" s="1"/>
  <c r="Q121" i="40" s="1"/>
  <c r="T121" i="40"/>
  <c r="V121" i="40" s="1"/>
  <c r="Z121" i="40" s="1"/>
  <c r="AC121" i="40" s="1"/>
  <c r="X121" i="40"/>
  <c r="C49" i="32"/>
  <c r="P275" i="31"/>
  <c r="Y275" i="31" s="1"/>
  <c r="X275" i="31"/>
  <c r="K133" i="45"/>
  <c r="N133" i="45" s="1"/>
  <c r="Q133" i="45"/>
  <c r="S133" i="45" s="1"/>
  <c r="T137" i="40"/>
  <c r="V137" i="40" s="1"/>
  <c r="X137" i="40"/>
  <c r="K137" i="40"/>
  <c r="O137" i="40" s="1"/>
  <c r="Q137" i="40" s="1"/>
  <c r="C65" i="32"/>
  <c r="T283" i="31"/>
  <c r="P287" i="31"/>
  <c r="Y287" i="31" s="1"/>
  <c r="X287" i="31"/>
  <c r="P291" i="31"/>
  <c r="Y291" i="31" s="1"/>
  <c r="X291" i="31"/>
  <c r="K149" i="45"/>
  <c r="N149" i="45" s="1"/>
  <c r="Q149" i="45"/>
  <c r="S149" i="45" s="1"/>
  <c r="X153" i="40"/>
  <c r="K153" i="40"/>
  <c r="O153" i="40" s="1"/>
  <c r="Q153" i="40" s="1"/>
  <c r="T153" i="40"/>
  <c r="V153" i="40" s="1"/>
  <c r="Z153" i="40" s="1"/>
  <c r="AC153" i="40" s="1"/>
  <c r="C81" i="32"/>
  <c r="P307" i="31"/>
  <c r="Y307" i="31" s="1"/>
  <c r="X307" i="31"/>
  <c r="K166" i="45"/>
  <c r="N166" i="45" s="1"/>
  <c r="Q166" i="45"/>
  <c r="S166" i="45" s="1"/>
  <c r="K170" i="45"/>
  <c r="N170" i="45" s="1"/>
  <c r="Q170" i="45"/>
  <c r="S170" i="45" s="1"/>
  <c r="V170" i="45" s="1"/>
  <c r="P320" i="31"/>
  <c r="Y320" i="31" s="1"/>
  <c r="X320" i="31"/>
  <c r="X324" i="31"/>
  <c r="P324" i="31"/>
  <c r="Y324" i="31" s="1"/>
  <c r="K182" i="45"/>
  <c r="N182" i="45" s="1"/>
  <c r="Q182" i="45"/>
  <c r="S182" i="45" s="1"/>
  <c r="K186" i="45"/>
  <c r="N186" i="45" s="1"/>
  <c r="Q186" i="45"/>
  <c r="S186" i="45" s="1"/>
  <c r="V186" i="45" s="1"/>
  <c r="P336" i="31"/>
  <c r="Y336" i="31" s="1"/>
  <c r="X336" i="31"/>
  <c r="X340" i="31"/>
  <c r="P340" i="31"/>
  <c r="Y340" i="31" s="1"/>
  <c r="K198" i="45"/>
  <c r="N198" i="45" s="1"/>
  <c r="Q198" i="45"/>
  <c r="S198" i="45" s="1"/>
  <c r="K202" i="45"/>
  <c r="N202" i="45" s="1"/>
  <c r="Q202" i="45"/>
  <c r="S202" i="45" s="1"/>
  <c r="V202" i="45" s="1"/>
  <c r="T356" i="31"/>
  <c r="K214" i="45"/>
  <c r="N214" i="45" s="1"/>
  <c r="Q214" i="45"/>
  <c r="S214" i="45" s="1"/>
  <c r="T218" i="40"/>
  <c r="V218" i="40" s="1"/>
  <c r="K218" i="40"/>
  <c r="O218" i="40" s="1"/>
  <c r="Q218" i="40" s="1"/>
  <c r="X218" i="40"/>
  <c r="C146" i="32"/>
  <c r="T372" i="31"/>
  <c r="K230" i="45"/>
  <c r="N230" i="45" s="1"/>
  <c r="Q230" i="45"/>
  <c r="S230" i="45" s="1"/>
  <c r="T234" i="40"/>
  <c r="V234" i="40" s="1"/>
  <c r="K234" i="40"/>
  <c r="O234" i="40" s="1"/>
  <c r="Q234" i="40" s="1"/>
  <c r="X234" i="40"/>
  <c r="C162" i="32"/>
  <c r="P384" i="31"/>
  <c r="Y384" i="31" s="1"/>
  <c r="X384" i="31"/>
  <c r="X388" i="31"/>
  <c r="P388" i="31"/>
  <c r="Y388" i="31" s="1"/>
  <c r="K246" i="45"/>
  <c r="N246" i="45" s="1"/>
  <c r="Q246" i="45"/>
  <c r="S246" i="45" s="1"/>
  <c r="V246" i="45" s="1"/>
  <c r="T250" i="40"/>
  <c r="V250" i="40" s="1"/>
  <c r="Z250" i="40" s="1"/>
  <c r="AC250" i="40" s="1"/>
  <c r="K250" i="40"/>
  <c r="O250" i="40" s="1"/>
  <c r="Q250" i="40" s="1"/>
  <c r="X250" i="40"/>
  <c r="C178" i="32"/>
  <c r="P400" i="31"/>
  <c r="Y400" i="31" s="1"/>
  <c r="X400" i="31"/>
  <c r="X404" i="31"/>
  <c r="P404" i="31"/>
  <c r="Y404" i="31" s="1"/>
  <c r="K262" i="45"/>
  <c r="N262" i="45" s="1"/>
  <c r="Q262" i="45"/>
  <c r="S262" i="45" s="1"/>
  <c r="T266" i="40"/>
  <c r="V266" i="40" s="1"/>
  <c r="K266" i="40"/>
  <c r="O266" i="40" s="1"/>
  <c r="Q266" i="40" s="1"/>
  <c r="X266" i="40"/>
  <c r="C194" i="32"/>
  <c r="P420" i="31"/>
  <c r="Y420" i="31" s="1"/>
  <c r="X420" i="31"/>
  <c r="X424" i="31"/>
  <c r="P424" i="31"/>
  <c r="Y424" i="31" s="1"/>
  <c r="K286" i="45"/>
  <c r="N286" i="45" s="1"/>
  <c r="Q286" i="45"/>
  <c r="S286" i="45" s="1"/>
  <c r="V286" i="45" s="1"/>
  <c r="K290" i="45"/>
  <c r="N290" i="45" s="1"/>
  <c r="Q290" i="45"/>
  <c r="S290" i="45" s="1"/>
  <c r="T294" i="40"/>
  <c r="V294" i="40" s="1"/>
  <c r="K294" i="40"/>
  <c r="O294" i="40" s="1"/>
  <c r="Q294" i="40" s="1"/>
  <c r="X294" i="40"/>
  <c r="C222" i="32"/>
  <c r="X676" i="31"/>
  <c r="P676" i="31"/>
  <c r="Y676" i="31" s="1"/>
  <c r="X680" i="31"/>
  <c r="P680" i="31"/>
  <c r="Y680" i="31" s="1"/>
  <c r="X322" i="40"/>
  <c r="T322" i="40"/>
  <c r="V322" i="40" s="1"/>
  <c r="Z322" i="40" s="1"/>
  <c r="K322" i="40"/>
  <c r="O322" i="40" s="1"/>
  <c r="Q322" i="40" s="1"/>
  <c r="C250" i="32"/>
  <c r="X696" i="31"/>
  <c r="P696" i="31"/>
  <c r="Y696" i="31" s="1"/>
  <c r="K334" i="45"/>
  <c r="N334" i="45" s="1"/>
  <c r="Q334" i="45"/>
  <c r="S334" i="45" s="1"/>
  <c r="X338" i="40"/>
  <c r="T338" i="40"/>
  <c r="V338" i="40" s="1"/>
  <c r="Z338" i="40" s="1"/>
  <c r="K338" i="40"/>
  <c r="O338" i="40" s="1"/>
  <c r="Q338" i="40" s="1"/>
  <c r="C266" i="32"/>
  <c r="X712" i="31"/>
  <c r="P712" i="31"/>
  <c r="Y712" i="31" s="1"/>
  <c r="X717" i="31"/>
  <c r="P717" i="31"/>
  <c r="Y717" i="31" s="1"/>
  <c r="P721" i="31"/>
  <c r="Y721" i="31" s="1"/>
  <c r="X721" i="31"/>
  <c r="T725" i="31"/>
  <c r="X729" i="31"/>
  <c r="P729" i="31"/>
  <c r="Y729" i="31" s="1"/>
  <c r="P733" i="31"/>
  <c r="Y733" i="31" s="1"/>
  <c r="X733" i="31"/>
  <c r="X737" i="31"/>
  <c r="P737" i="31"/>
  <c r="Y737" i="31" s="1"/>
  <c r="P741" i="31"/>
  <c r="Y741" i="31" s="1"/>
  <c r="X741" i="31"/>
  <c r="X745" i="31"/>
  <c r="P745" i="31"/>
  <c r="Y745" i="31" s="1"/>
  <c r="X749" i="31"/>
  <c r="P749" i="31"/>
  <c r="Y749" i="31" s="1"/>
  <c r="Q388" i="45"/>
  <c r="S388" i="45" s="1"/>
  <c r="V388" i="45" s="1"/>
  <c r="K388" i="45"/>
  <c r="N388" i="45" s="1"/>
  <c r="X392" i="40"/>
  <c r="T392" i="40"/>
  <c r="V392" i="40" s="1"/>
  <c r="Z392" i="40" s="1"/>
  <c r="AC392" i="40" s="1"/>
  <c r="K392" i="40"/>
  <c r="O392" i="40" s="1"/>
  <c r="Q392" i="40" s="1"/>
  <c r="C320" i="32"/>
  <c r="P766" i="31"/>
  <c r="Y766" i="31" s="1"/>
  <c r="X766" i="31"/>
  <c r="Q404" i="45"/>
  <c r="S404" i="45" s="1"/>
  <c r="V404" i="45" s="1"/>
  <c r="K404" i="45"/>
  <c r="N404" i="45" s="1"/>
  <c r="X408" i="40"/>
  <c r="T408" i="40"/>
  <c r="V408" i="40" s="1"/>
  <c r="Z408" i="40" s="1"/>
  <c r="AC408" i="40" s="1"/>
  <c r="K408" i="40"/>
  <c r="O408" i="40" s="1"/>
  <c r="Q408" i="40" s="1"/>
  <c r="C336" i="32"/>
  <c r="P782" i="31"/>
  <c r="Y782" i="31" s="1"/>
  <c r="X782" i="31"/>
  <c r="Q420" i="45"/>
  <c r="S420" i="45" s="1"/>
  <c r="V420" i="45" s="1"/>
  <c r="K420" i="45"/>
  <c r="N420" i="45" s="1"/>
  <c r="X424" i="40"/>
  <c r="T424" i="40"/>
  <c r="V424" i="40" s="1"/>
  <c r="Z424" i="40" s="1"/>
  <c r="AC424" i="40" s="1"/>
  <c r="K424" i="40"/>
  <c r="O424" i="40" s="1"/>
  <c r="Q424" i="40" s="1"/>
  <c r="C352" i="32"/>
  <c r="T790" i="31"/>
  <c r="Q432" i="45"/>
  <c r="S432" i="45" s="1"/>
  <c r="V432" i="45" s="1"/>
  <c r="K432" i="45"/>
  <c r="N432" i="45" s="1"/>
  <c r="Q436" i="45"/>
  <c r="S436" i="45" s="1"/>
  <c r="K436" i="45"/>
  <c r="N436" i="45" s="1"/>
  <c r="X440" i="40"/>
  <c r="T440" i="40"/>
  <c r="V440" i="40" s="1"/>
  <c r="K440" i="40"/>
  <c r="O440" i="40" s="1"/>
  <c r="Q440" i="40" s="1"/>
  <c r="C368" i="32"/>
  <c r="P814" i="31"/>
  <c r="Y814" i="31" s="1"/>
  <c r="X814" i="31"/>
  <c r="Q452" i="45"/>
  <c r="S452" i="45" s="1"/>
  <c r="K452" i="45"/>
  <c r="N452" i="45" s="1"/>
  <c r="X456" i="40"/>
  <c r="T456" i="40"/>
  <c r="V456" i="40" s="1"/>
  <c r="K456" i="40"/>
  <c r="O456" i="40" s="1"/>
  <c r="Q456" i="40" s="1"/>
  <c r="C384" i="32"/>
  <c r="Q464" i="45"/>
  <c r="S464" i="45" s="1"/>
  <c r="K464" i="45"/>
  <c r="N464" i="45" s="1"/>
  <c r="Q468" i="45"/>
  <c r="S468" i="45" s="1"/>
  <c r="V468" i="45" s="1"/>
  <c r="K468" i="45"/>
  <c r="N468" i="45" s="1"/>
  <c r="Q477" i="45"/>
  <c r="S477" i="45" s="1"/>
  <c r="K477" i="45"/>
  <c r="N477" i="45" s="1"/>
  <c r="Q481" i="45"/>
  <c r="S481" i="45" s="1"/>
  <c r="K481" i="45"/>
  <c r="N481" i="45" s="1"/>
  <c r="Q485" i="45"/>
  <c r="S485" i="45" s="1"/>
  <c r="K485" i="45"/>
  <c r="N485" i="45" s="1"/>
  <c r="Q489" i="45"/>
  <c r="S489" i="45" s="1"/>
  <c r="K489" i="45"/>
  <c r="N489" i="45" s="1"/>
  <c r="Q493" i="45"/>
  <c r="S493" i="45" s="1"/>
  <c r="K493" i="45"/>
  <c r="N493" i="45" s="1"/>
  <c r="Q497" i="45"/>
  <c r="S497" i="45" s="1"/>
  <c r="K497" i="45"/>
  <c r="N497" i="45" s="1"/>
  <c r="Q501" i="45"/>
  <c r="S501" i="45" s="1"/>
  <c r="K501" i="45"/>
  <c r="N501" i="45" s="1"/>
  <c r="Q505" i="45"/>
  <c r="S505" i="45" s="1"/>
  <c r="K505" i="45"/>
  <c r="N505" i="45" s="1"/>
  <c r="Q509" i="45"/>
  <c r="S509" i="45" s="1"/>
  <c r="K509" i="45"/>
  <c r="N509" i="45" s="1"/>
  <c r="Q513" i="45"/>
  <c r="S513" i="45" s="1"/>
  <c r="K513" i="45"/>
  <c r="N513" i="45" s="1"/>
  <c r="J78" i="45"/>
  <c r="L78" i="45" s="1"/>
  <c r="P78" i="45"/>
  <c r="R78" i="45" s="1"/>
  <c r="T78" i="45" s="1"/>
  <c r="X78" i="45" s="1"/>
  <c r="U78" i="45" s="1"/>
  <c r="Y78" i="45" s="1"/>
  <c r="P12" i="31"/>
  <c r="Y12" i="31" s="1"/>
  <c r="X12" i="31"/>
  <c r="S90" i="40"/>
  <c r="U90" i="40" s="1"/>
  <c r="Y90" i="40" s="1"/>
  <c r="J90" i="40"/>
  <c r="L90" i="40" s="1"/>
  <c r="N90" i="40" s="1"/>
  <c r="W90" i="40"/>
  <c r="B18" i="32"/>
  <c r="J94" i="45"/>
  <c r="L94" i="45" s="1"/>
  <c r="P94" i="45"/>
  <c r="R94" i="45" s="1"/>
  <c r="T94" i="45" s="1"/>
  <c r="X94" i="45" s="1"/>
  <c r="U94" i="45" s="1"/>
  <c r="Y94" i="45" s="1"/>
  <c r="T28" i="31"/>
  <c r="S106" i="40"/>
  <c r="U106" i="40" s="1"/>
  <c r="J106" i="40"/>
  <c r="L106" i="40" s="1"/>
  <c r="N106" i="40" s="1"/>
  <c r="W106" i="40"/>
  <c r="B34" i="32"/>
  <c r="J110" i="45"/>
  <c r="L110" i="45" s="1"/>
  <c r="P110" i="45"/>
  <c r="R110" i="45" s="1"/>
  <c r="T110" i="45" s="1"/>
  <c r="X110" i="45" s="1"/>
  <c r="U110" i="45" s="1"/>
  <c r="Y110" i="45" s="1"/>
  <c r="T44" i="31"/>
  <c r="S122" i="40"/>
  <c r="U122" i="40" s="1"/>
  <c r="W122" i="40"/>
  <c r="J122" i="40"/>
  <c r="L122" i="40" s="1"/>
  <c r="N122" i="40" s="1"/>
  <c r="B50" i="32"/>
  <c r="J126" i="45"/>
  <c r="L126" i="45" s="1"/>
  <c r="P126" i="45"/>
  <c r="R126" i="45" s="1"/>
  <c r="T126" i="45" s="1"/>
  <c r="X126" i="45" s="1"/>
  <c r="U126" i="45" s="1"/>
  <c r="P60" i="31"/>
  <c r="Y60" i="31" s="1"/>
  <c r="X60" i="31"/>
  <c r="W138" i="40"/>
  <c r="S138" i="40"/>
  <c r="U138" i="40" s="1"/>
  <c r="Y138" i="40" s="1"/>
  <c r="J138" i="40"/>
  <c r="L138" i="40" s="1"/>
  <c r="N138" i="40" s="1"/>
  <c r="B66" i="32"/>
  <c r="J142" i="45"/>
  <c r="L142" i="45" s="1"/>
  <c r="P142" i="45"/>
  <c r="R142" i="45" s="1"/>
  <c r="T142" i="45" s="1"/>
  <c r="X142" i="45" s="1"/>
  <c r="U142" i="45" s="1"/>
  <c r="Y142" i="45" s="1"/>
  <c r="P76" i="31"/>
  <c r="Y76" i="31" s="1"/>
  <c r="X76" i="31"/>
  <c r="J154" i="45"/>
  <c r="L154" i="45" s="1"/>
  <c r="P154" i="45"/>
  <c r="R154" i="45" s="1"/>
  <c r="T154" i="45" s="1"/>
  <c r="X154" i="45" s="1"/>
  <c r="U154" i="45" s="1"/>
  <c r="J158" i="45"/>
  <c r="L158" i="45" s="1"/>
  <c r="P158" i="45"/>
  <c r="R158" i="45" s="1"/>
  <c r="T158" i="45" s="1"/>
  <c r="X158" i="45" s="1"/>
  <c r="U158" i="45" s="1"/>
  <c r="T92" i="31"/>
  <c r="W170" i="40"/>
  <c r="J170" i="40"/>
  <c r="L170" i="40" s="1"/>
  <c r="N170" i="40" s="1"/>
  <c r="S170" i="40"/>
  <c r="U170" i="40" s="1"/>
  <c r="Y170" i="40" s="1"/>
  <c r="AA170" i="40" s="1"/>
  <c r="AE170" i="40" s="1"/>
  <c r="AB170" i="40" s="1"/>
  <c r="AF170" i="40" s="1"/>
  <c r="B98" i="32"/>
  <c r="J174" i="45"/>
  <c r="L174" i="45" s="1"/>
  <c r="P174" i="45"/>
  <c r="R174" i="45" s="1"/>
  <c r="T174" i="45" s="1"/>
  <c r="X174" i="45" s="1"/>
  <c r="U174" i="45" s="1"/>
  <c r="T108" i="31"/>
  <c r="W186" i="40"/>
  <c r="J186" i="40"/>
  <c r="L186" i="40" s="1"/>
  <c r="N186" i="40" s="1"/>
  <c r="S186" i="40"/>
  <c r="U186" i="40" s="1"/>
  <c r="Y186" i="40" s="1"/>
  <c r="AA186" i="40" s="1"/>
  <c r="AE186" i="40" s="1"/>
  <c r="AB186" i="40" s="1"/>
  <c r="AF186" i="40" s="1"/>
  <c r="B114" i="32"/>
  <c r="J190" i="45"/>
  <c r="L190" i="45" s="1"/>
  <c r="P190" i="45"/>
  <c r="R190" i="45" s="1"/>
  <c r="T190" i="45" s="1"/>
  <c r="X190" i="45" s="1"/>
  <c r="U190" i="45" s="1"/>
  <c r="P124" i="31"/>
  <c r="Y124" i="31" s="1"/>
  <c r="X124" i="31"/>
  <c r="W202" i="40"/>
  <c r="J202" i="40"/>
  <c r="L202" i="40" s="1"/>
  <c r="N202" i="40" s="1"/>
  <c r="S202" i="40"/>
  <c r="U202" i="40" s="1"/>
  <c r="Y202" i="40" s="1"/>
  <c r="AA202" i="40" s="1"/>
  <c r="AE202" i="40" s="1"/>
  <c r="AB202" i="40" s="1"/>
  <c r="B130" i="32"/>
  <c r="S206" i="40"/>
  <c r="U206" i="40" s="1"/>
  <c r="J206" i="40"/>
  <c r="L206" i="40" s="1"/>
  <c r="N206" i="40" s="1"/>
  <c r="W206" i="40"/>
  <c r="B134" i="32"/>
  <c r="P140" i="31"/>
  <c r="Y140" i="31" s="1"/>
  <c r="X140" i="31"/>
  <c r="J218" i="45"/>
  <c r="L218" i="45" s="1"/>
  <c r="P218" i="45"/>
  <c r="R218" i="45" s="1"/>
  <c r="T218" i="45" s="1"/>
  <c r="X218" i="45" s="1"/>
  <c r="U218" i="45" s="1"/>
  <c r="S222" i="40"/>
  <c r="U222" i="40" s="1"/>
  <c r="J222" i="40"/>
  <c r="L222" i="40" s="1"/>
  <c r="N222" i="40" s="1"/>
  <c r="W222" i="40"/>
  <c r="B150" i="32"/>
  <c r="T156" i="31"/>
  <c r="J234" i="45"/>
  <c r="L234" i="45" s="1"/>
  <c r="P234" i="45"/>
  <c r="R234" i="45" s="1"/>
  <c r="T234" i="45" s="1"/>
  <c r="X234" i="45" s="1"/>
  <c r="U234" i="45" s="1"/>
  <c r="Y234" i="45" s="1"/>
  <c r="S238" i="40"/>
  <c r="U238" i="40" s="1"/>
  <c r="Y238" i="40" s="1"/>
  <c r="AA238" i="40" s="1"/>
  <c r="AE238" i="40" s="1"/>
  <c r="AB238" i="40" s="1"/>
  <c r="AF238" i="40" s="1"/>
  <c r="J238" i="40"/>
  <c r="L238" i="40" s="1"/>
  <c r="N238" i="40" s="1"/>
  <c r="W238" i="40"/>
  <c r="B166" i="32"/>
  <c r="T172" i="31"/>
  <c r="J250" i="45"/>
  <c r="L250" i="45" s="1"/>
  <c r="P250" i="45"/>
  <c r="R250" i="45" s="1"/>
  <c r="T250" i="45" s="1"/>
  <c r="X250" i="45" s="1"/>
  <c r="U250" i="45" s="1"/>
  <c r="Y250" i="45" s="1"/>
  <c r="S254" i="40"/>
  <c r="U254" i="40" s="1"/>
  <c r="Y254" i="40" s="1"/>
  <c r="J254" i="40"/>
  <c r="L254" i="40" s="1"/>
  <c r="N254" i="40" s="1"/>
  <c r="W254" i="40"/>
  <c r="B182" i="32"/>
  <c r="P188" i="31"/>
  <c r="Y188" i="31" s="1"/>
  <c r="X188" i="31"/>
  <c r="T192" i="31"/>
  <c r="S270" i="40"/>
  <c r="U270" i="40" s="1"/>
  <c r="J270" i="40"/>
  <c r="L270" i="40" s="1"/>
  <c r="N270" i="40" s="1"/>
  <c r="W270" i="40"/>
  <c r="B198" i="32"/>
  <c r="T208" i="31"/>
  <c r="X212" i="31"/>
  <c r="P212" i="31"/>
  <c r="Y212" i="31" s="1"/>
  <c r="J290" i="45"/>
  <c r="L290" i="45" s="1"/>
  <c r="P290" i="45"/>
  <c r="R290" i="45" s="1"/>
  <c r="T290" i="45" s="1"/>
  <c r="X290" i="45" s="1"/>
  <c r="U290" i="45" s="1"/>
  <c r="J294" i="45"/>
  <c r="L294" i="45" s="1"/>
  <c r="P294" i="45"/>
  <c r="R294" i="45" s="1"/>
  <c r="T294" i="45" s="1"/>
  <c r="X294" i="45" s="1"/>
  <c r="U294" i="45" s="1"/>
  <c r="Y294" i="45" s="1"/>
  <c r="S298" i="40"/>
  <c r="U298" i="40" s="1"/>
  <c r="J298" i="40"/>
  <c r="L298" i="40" s="1"/>
  <c r="N298" i="40" s="1"/>
  <c r="W298" i="40"/>
  <c r="B226" i="32"/>
  <c r="P448" i="31"/>
  <c r="Y448" i="31" s="1"/>
  <c r="X448" i="31"/>
  <c r="P460" i="31"/>
  <c r="Y460" i="31" s="1"/>
  <c r="X460" i="31"/>
  <c r="P464" i="31"/>
  <c r="Y464" i="31" s="1"/>
  <c r="X464" i="31"/>
  <c r="J322" i="45"/>
  <c r="L322" i="45" s="1"/>
  <c r="P322" i="45"/>
  <c r="R322" i="45" s="1"/>
  <c r="T322" i="45" s="1"/>
  <c r="X322" i="45" s="1"/>
  <c r="U322" i="45" s="1"/>
  <c r="Y322" i="45" s="1"/>
  <c r="W326" i="40"/>
  <c r="S326" i="40"/>
  <c r="U326" i="40" s="1"/>
  <c r="Y326" i="40" s="1"/>
  <c r="J326" i="40"/>
  <c r="L326" i="40" s="1"/>
  <c r="N326" i="40" s="1"/>
  <c r="B254" i="32"/>
  <c r="P476" i="31"/>
  <c r="Y476" i="31" s="1"/>
  <c r="X476" i="31"/>
  <c r="P480" i="31"/>
  <c r="Y480" i="31" s="1"/>
  <c r="X480" i="31"/>
  <c r="J338" i="45"/>
  <c r="L338" i="45" s="1"/>
  <c r="P338" i="45"/>
  <c r="R338" i="45" s="1"/>
  <c r="T338" i="45" s="1"/>
  <c r="X338" i="45" s="1"/>
  <c r="U338" i="45" s="1"/>
  <c r="W342" i="40"/>
  <c r="S342" i="40"/>
  <c r="U342" i="40" s="1"/>
  <c r="Y342" i="40" s="1"/>
  <c r="AA342" i="40" s="1"/>
  <c r="AE342" i="40" s="1"/>
  <c r="AB342" i="40" s="1"/>
  <c r="J342" i="40"/>
  <c r="L342" i="40" s="1"/>
  <c r="N342" i="40" s="1"/>
  <c r="B270" i="32"/>
  <c r="P496" i="31"/>
  <c r="Y496" i="31" s="1"/>
  <c r="X496" i="31"/>
  <c r="J354" i="45"/>
  <c r="L354" i="45" s="1"/>
  <c r="P354" i="45"/>
  <c r="R354" i="45" s="1"/>
  <c r="T354" i="45" s="1"/>
  <c r="X354" i="45" s="1"/>
  <c r="U354" i="45" s="1"/>
  <c r="W358" i="40"/>
  <c r="S358" i="40"/>
  <c r="U358" i="40" s="1"/>
  <c r="Y358" i="40" s="1"/>
  <c r="AA358" i="40" s="1"/>
  <c r="AE358" i="40" s="1"/>
  <c r="AB358" i="40" s="1"/>
  <c r="J358" i="40"/>
  <c r="L358" i="40" s="1"/>
  <c r="N358" i="40" s="1"/>
  <c r="B286" i="32"/>
  <c r="J370" i="45"/>
  <c r="L370" i="45" s="1"/>
  <c r="P370" i="45"/>
  <c r="R370" i="45" s="1"/>
  <c r="T370" i="45" s="1"/>
  <c r="X370" i="45" s="1"/>
  <c r="U370" i="45" s="1"/>
  <c r="W374" i="40"/>
  <c r="S374" i="40"/>
  <c r="U374" i="40" s="1"/>
  <c r="Y374" i="40" s="1"/>
  <c r="J374" i="40"/>
  <c r="L374" i="40" s="1"/>
  <c r="N374" i="40" s="1"/>
  <c r="B302" i="32"/>
  <c r="P528" i="31"/>
  <c r="Y528" i="31" s="1"/>
  <c r="X528" i="31"/>
  <c r="T532" i="31"/>
  <c r="W390" i="40"/>
  <c r="S390" i="40"/>
  <c r="U390" i="40" s="1"/>
  <c r="J390" i="40"/>
  <c r="L390" i="40" s="1"/>
  <c r="N390" i="40" s="1"/>
  <c r="B318" i="32"/>
  <c r="P544" i="31"/>
  <c r="Y544" i="31" s="1"/>
  <c r="X544" i="31"/>
  <c r="J402" i="45"/>
  <c r="L402" i="45" s="1"/>
  <c r="P402" i="45"/>
  <c r="R402" i="45" s="1"/>
  <c r="T402" i="45" s="1"/>
  <c r="X402" i="45" s="1"/>
  <c r="U402" i="45" s="1"/>
  <c r="W406" i="40"/>
  <c r="S406" i="40"/>
  <c r="U406" i="40" s="1"/>
  <c r="J406" i="40"/>
  <c r="L406" i="40" s="1"/>
  <c r="N406" i="40" s="1"/>
  <c r="B334" i="32"/>
  <c r="P556" i="31"/>
  <c r="Y556" i="31" s="1"/>
  <c r="X556" i="31"/>
  <c r="P560" i="31"/>
  <c r="Y560" i="31" s="1"/>
  <c r="X560" i="31"/>
  <c r="X564" i="31"/>
  <c r="P564" i="31"/>
  <c r="Y564" i="31" s="1"/>
  <c r="W422" i="40"/>
  <c r="S422" i="40"/>
  <c r="U422" i="40" s="1"/>
  <c r="Y422" i="40" s="1"/>
  <c r="J422" i="40"/>
  <c r="L422" i="40" s="1"/>
  <c r="N422" i="40" s="1"/>
  <c r="B350" i="32"/>
  <c r="T576" i="31"/>
  <c r="J434" i="45"/>
  <c r="L434" i="45" s="1"/>
  <c r="P434" i="45"/>
  <c r="R434" i="45" s="1"/>
  <c r="T434" i="45" s="1"/>
  <c r="X434" i="45" s="1"/>
  <c r="U434" i="45" s="1"/>
  <c r="Y434" i="45" s="1"/>
  <c r="W438" i="40"/>
  <c r="S438" i="40"/>
  <c r="U438" i="40" s="1"/>
  <c r="Y438" i="40" s="1"/>
  <c r="J438" i="40"/>
  <c r="L438" i="40" s="1"/>
  <c r="N438" i="40" s="1"/>
  <c r="B366" i="32"/>
  <c r="P592" i="31"/>
  <c r="Y592" i="31" s="1"/>
  <c r="X592" i="31"/>
  <c r="J450" i="45"/>
  <c r="L450" i="45" s="1"/>
  <c r="P450" i="45"/>
  <c r="R450" i="45" s="1"/>
  <c r="T450" i="45" s="1"/>
  <c r="X450" i="45" s="1"/>
  <c r="U450" i="45" s="1"/>
  <c r="Y450" i="45" s="1"/>
  <c r="W454" i="40"/>
  <c r="S454" i="40"/>
  <c r="U454" i="40" s="1"/>
  <c r="Y454" i="40" s="1"/>
  <c r="J454" i="40"/>
  <c r="L454" i="40" s="1"/>
  <c r="N454" i="40" s="1"/>
  <c r="B382" i="32"/>
  <c r="P462" i="45"/>
  <c r="R462" i="45" s="1"/>
  <c r="J462" i="45"/>
  <c r="L462" i="45" s="1"/>
  <c r="P466" i="45"/>
  <c r="R466" i="45" s="1"/>
  <c r="J466" i="45"/>
  <c r="L466" i="45" s="1"/>
  <c r="W470" i="40"/>
  <c r="S470" i="40"/>
  <c r="U470" i="40" s="1"/>
  <c r="Y470" i="40" s="1"/>
  <c r="J470" i="40"/>
  <c r="L470" i="40" s="1"/>
  <c r="N470" i="40" s="1"/>
  <c r="B398" i="32"/>
  <c r="P620" i="31"/>
  <c r="Y620" i="31" s="1"/>
  <c r="X620" i="31"/>
  <c r="P624" i="31"/>
  <c r="Y624" i="31" s="1"/>
  <c r="X624" i="31"/>
  <c r="P482" i="45"/>
  <c r="R482" i="45" s="1"/>
  <c r="J482" i="45"/>
  <c r="L482" i="45" s="1"/>
  <c r="W486" i="40"/>
  <c r="S486" i="40"/>
  <c r="U486" i="40" s="1"/>
  <c r="Y486" i="40" s="1"/>
  <c r="AA486" i="40" s="1"/>
  <c r="AE486" i="40" s="1"/>
  <c r="AB486" i="40" s="1"/>
  <c r="J486" i="40"/>
  <c r="L486" i="40" s="1"/>
  <c r="N486" i="40" s="1"/>
  <c r="B414" i="32"/>
  <c r="P640" i="31"/>
  <c r="Y640" i="31" s="1"/>
  <c r="X640" i="31"/>
  <c r="P498" i="45"/>
  <c r="R498" i="45" s="1"/>
  <c r="J498" i="45"/>
  <c r="L498" i="45" s="1"/>
  <c r="W502" i="40"/>
  <c r="S502" i="40"/>
  <c r="U502" i="40" s="1"/>
  <c r="Y502" i="40" s="1"/>
  <c r="AA502" i="40" s="1"/>
  <c r="AE502" i="40" s="1"/>
  <c r="AB502" i="40" s="1"/>
  <c r="J502" i="40"/>
  <c r="L502" i="40" s="1"/>
  <c r="N502" i="40" s="1"/>
  <c r="B430" i="32"/>
  <c r="P656" i="31"/>
  <c r="Y656" i="31" s="1"/>
  <c r="X656" i="31"/>
  <c r="P514" i="45"/>
  <c r="R514" i="45" s="1"/>
  <c r="J514" i="45"/>
  <c r="L514" i="45" s="1"/>
  <c r="BP193" i="32"/>
  <c r="CC193" i="32" s="1"/>
  <c r="CD193" i="32" s="1"/>
  <c r="CE193" i="32" s="1"/>
  <c r="BQ193" i="32" s="1"/>
  <c r="Z423" i="40"/>
  <c r="AC423" i="40" s="1"/>
  <c r="BP416" i="32"/>
  <c r="CC416" i="32" s="1"/>
  <c r="CD416" i="32" s="1"/>
  <c r="CE416" i="32" s="1"/>
  <c r="BQ416" i="32" s="1"/>
  <c r="BP276" i="32"/>
  <c r="CC276" i="32" s="1"/>
  <c r="CD276" i="32" s="1"/>
  <c r="CE276" i="32" s="1"/>
  <c r="BQ276" i="32" s="1"/>
  <c r="BP137" i="32"/>
  <c r="CC137" i="32" s="1"/>
  <c r="CD137" i="32" s="1"/>
  <c r="CE137" i="32" s="1"/>
  <c r="BQ137" i="32" s="1"/>
  <c r="BP145" i="32"/>
  <c r="CC145" i="32" s="1"/>
  <c r="CD145" i="32" s="1"/>
  <c r="CE145" i="32" s="1"/>
  <c r="BQ145" i="32" s="1"/>
  <c r="BP169" i="32"/>
  <c r="CC169" i="32" s="1"/>
  <c r="CD169" i="32" s="1"/>
  <c r="CE169" i="32" s="1"/>
  <c r="BQ169" i="32" s="1"/>
  <c r="BP177" i="32"/>
  <c r="CC177" i="32" s="1"/>
  <c r="CD177" i="32" s="1"/>
  <c r="CE177" i="32" s="1"/>
  <c r="BQ177" i="32" s="1"/>
  <c r="BP286" i="32"/>
  <c r="CC286" i="32" s="1"/>
  <c r="CD286" i="32" s="1"/>
  <c r="CE286" i="32" s="1"/>
  <c r="BQ286" i="32" s="1"/>
  <c r="BP294" i="32"/>
  <c r="CC294" i="32" s="1"/>
  <c r="CD294" i="32" s="1"/>
  <c r="CE294" i="32" s="1"/>
  <c r="BQ294" i="32" s="1"/>
  <c r="BP302" i="32"/>
  <c r="CC302" i="32" s="1"/>
  <c r="CD302" i="32" s="1"/>
  <c r="CE302" i="32" s="1"/>
  <c r="BQ302" i="32" s="1"/>
  <c r="BP310" i="32"/>
  <c r="CC310" i="32" s="1"/>
  <c r="CD310" i="32" s="1"/>
  <c r="CE310" i="32" s="1"/>
  <c r="BQ310" i="32" s="1"/>
  <c r="BP404" i="32"/>
  <c r="CC404" i="32" s="1"/>
  <c r="CD404" i="32" s="1"/>
  <c r="CE404" i="32" s="1"/>
  <c r="BQ404" i="32" s="1"/>
  <c r="BP412" i="32"/>
  <c r="CC412" i="32" s="1"/>
  <c r="CD412" i="32" s="1"/>
  <c r="CE412" i="32" s="1"/>
  <c r="BQ412" i="32" s="1"/>
  <c r="BP420" i="32"/>
  <c r="CC420" i="32" s="1"/>
  <c r="CD420" i="32" s="1"/>
  <c r="CE420" i="32" s="1"/>
  <c r="BQ420" i="32" s="1"/>
  <c r="BP428" i="32"/>
  <c r="CC428" i="32" s="1"/>
  <c r="CD428" i="32" s="1"/>
  <c r="CE428" i="32" s="1"/>
  <c r="BQ428" i="32" s="1"/>
  <c r="BP436" i="32"/>
  <c r="CC436" i="32" s="1"/>
  <c r="CD436" i="32" s="1"/>
  <c r="CE436" i="32" s="1"/>
  <c r="BQ436" i="32" s="1"/>
  <c r="BP444" i="32"/>
  <c r="CC444" i="32" s="1"/>
  <c r="CD444" i="32" s="1"/>
  <c r="CE444" i="32" s="1"/>
  <c r="BQ444" i="32" s="1"/>
  <c r="BH153" i="32"/>
  <c r="BZ153" i="32" s="1"/>
  <c r="CA153" i="32" s="1"/>
  <c r="CB153" i="32" s="1"/>
  <c r="BI153" i="32" s="1"/>
  <c r="BH161" i="32"/>
  <c r="BZ161" i="32" s="1"/>
  <c r="CA161" i="32" s="1"/>
  <c r="CB161" i="32" s="1"/>
  <c r="BI161" i="32" s="1"/>
  <c r="BH185" i="32"/>
  <c r="BZ185" i="32" s="1"/>
  <c r="CA185" i="32" s="1"/>
  <c r="CB185" i="32" s="1"/>
  <c r="BI185" i="32" s="1"/>
  <c r="BH193" i="32"/>
  <c r="BZ193" i="32" s="1"/>
  <c r="CA193" i="32" s="1"/>
  <c r="CB193" i="32" s="1"/>
  <c r="BI193" i="32" s="1"/>
  <c r="BP161" i="32"/>
  <c r="CC161" i="32" s="1"/>
  <c r="CD161" i="32" s="1"/>
  <c r="CE161" i="32" s="1"/>
  <c r="BQ161" i="32" s="1"/>
  <c r="BP280" i="32"/>
  <c r="CC280" i="32" s="1"/>
  <c r="CD280" i="32" s="1"/>
  <c r="CE280" i="32" s="1"/>
  <c r="BQ280" i="32" s="1"/>
  <c r="AC447" i="40"/>
  <c r="AC479" i="40"/>
  <c r="AC511" i="40"/>
  <c r="BP400" i="32"/>
  <c r="CC400" i="32" s="1"/>
  <c r="CD400" i="32" s="1"/>
  <c r="CE400" i="32" s="1"/>
  <c r="BQ400" i="32" s="1"/>
  <c r="AF325" i="40"/>
  <c r="AF333" i="40"/>
  <c r="AF341" i="40"/>
  <c r="AF349" i="40"/>
  <c r="AF357" i="40"/>
  <c r="AF365" i="40"/>
  <c r="AF373" i="40"/>
  <c r="AF381" i="40"/>
  <c r="AF485" i="40"/>
  <c r="AF248" i="40"/>
  <c r="AF216" i="40"/>
  <c r="Q163" i="45"/>
  <c r="S163" i="45" s="1"/>
  <c r="K163" i="45"/>
  <c r="N163" i="45" s="1"/>
  <c r="K78" i="45"/>
  <c r="N78" i="45" s="1"/>
  <c r="Q78" i="45"/>
  <c r="S78" i="45" s="1"/>
  <c r="V78" i="45" s="1"/>
  <c r="P228" i="31"/>
  <c r="Y228" i="31" s="1"/>
  <c r="X228" i="31"/>
  <c r="X232" i="31"/>
  <c r="P232" i="31"/>
  <c r="Y232" i="31" s="1"/>
  <c r="T90" i="40"/>
  <c r="V90" i="40" s="1"/>
  <c r="Z90" i="40" s="1"/>
  <c r="K90" i="40"/>
  <c r="O90" i="40" s="1"/>
  <c r="Q90" i="40" s="1"/>
  <c r="X90" i="40"/>
  <c r="C18" i="32"/>
  <c r="T94" i="40"/>
  <c r="V94" i="40" s="1"/>
  <c r="Z94" i="40" s="1"/>
  <c r="K94" i="40"/>
  <c r="O94" i="40" s="1"/>
  <c r="Q94" i="40" s="1"/>
  <c r="X94" i="40"/>
  <c r="C22" i="32"/>
  <c r="X244" i="31"/>
  <c r="P244" i="31"/>
  <c r="Y244" i="31" s="1"/>
  <c r="P248" i="31"/>
  <c r="Y248" i="31" s="1"/>
  <c r="X248" i="31"/>
  <c r="T106" i="40"/>
  <c r="V106" i="40" s="1"/>
  <c r="Z106" i="40" s="1"/>
  <c r="K106" i="40"/>
  <c r="O106" i="40" s="1"/>
  <c r="Q106" i="40" s="1"/>
  <c r="X106" i="40"/>
  <c r="C34" i="32"/>
  <c r="T110" i="40"/>
  <c r="V110" i="40" s="1"/>
  <c r="Z110" i="40" s="1"/>
  <c r="K110" i="40"/>
  <c r="O110" i="40" s="1"/>
  <c r="Q110" i="40" s="1"/>
  <c r="X110" i="40"/>
  <c r="C38" i="32"/>
  <c r="X264" i="31"/>
  <c r="P264" i="31"/>
  <c r="Y264" i="31" s="1"/>
  <c r="K122" i="40"/>
  <c r="O122" i="40" s="1"/>
  <c r="Q122" i="40" s="1"/>
  <c r="T122" i="40"/>
  <c r="V122" i="40" s="1"/>
  <c r="X122" i="40"/>
  <c r="C50" i="32"/>
  <c r="X126" i="40"/>
  <c r="K126" i="40"/>
  <c r="O126" i="40" s="1"/>
  <c r="Q126" i="40" s="1"/>
  <c r="C54" i="32"/>
  <c r="T126" i="40"/>
  <c r="V126" i="40" s="1"/>
  <c r="Z126" i="40" s="1"/>
  <c r="AC126" i="40" s="1"/>
  <c r="P280" i="31"/>
  <c r="Y280" i="31" s="1"/>
  <c r="X280" i="31"/>
  <c r="T138" i="40"/>
  <c r="V138" i="40" s="1"/>
  <c r="X138" i="40"/>
  <c r="K138" i="40"/>
  <c r="O138" i="40" s="1"/>
  <c r="Q138" i="40" s="1"/>
  <c r="C66" i="32"/>
  <c r="K142" i="40"/>
  <c r="O142" i="40" s="1"/>
  <c r="Q142" i="40" s="1"/>
  <c r="T142" i="40"/>
  <c r="V142" i="40" s="1"/>
  <c r="Z142" i="40" s="1"/>
  <c r="AC142" i="40" s="1"/>
  <c r="X142" i="40"/>
  <c r="C70" i="32"/>
  <c r="P292" i="31"/>
  <c r="Y292" i="31" s="1"/>
  <c r="X292" i="31"/>
  <c r="X296" i="31"/>
  <c r="P296" i="31"/>
  <c r="Y296" i="31" s="1"/>
  <c r="X154" i="40"/>
  <c r="K154" i="40"/>
  <c r="O154" i="40" s="1"/>
  <c r="Q154" i="40" s="1"/>
  <c r="C82" i="32"/>
  <c r="T154" i="40"/>
  <c r="V154" i="40" s="1"/>
  <c r="K158" i="40"/>
  <c r="O158" i="40" s="1"/>
  <c r="Q158" i="40" s="1"/>
  <c r="T158" i="40"/>
  <c r="V158" i="40" s="1"/>
  <c r="Z158" i="40" s="1"/>
  <c r="AC158" i="40" s="1"/>
  <c r="X158" i="40"/>
  <c r="C86" i="32"/>
  <c r="X308" i="31"/>
  <c r="P308" i="31"/>
  <c r="Y308" i="31" s="1"/>
  <c r="X313" i="31"/>
  <c r="P313" i="31"/>
  <c r="Y313" i="31" s="1"/>
  <c r="P317" i="31"/>
  <c r="Y317" i="31" s="1"/>
  <c r="X317" i="31"/>
  <c r="K175" i="40"/>
  <c r="O175" i="40" s="1"/>
  <c r="Q175" i="40" s="1"/>
  <c r="T175" i="40"/>
  <c r="V175" i="40" s="1"/>
  <c r="X175" i="40"/>
  <c r="C103" i="32"/>
  <c r="X333" i="31"/>
  <c r="P333" i="31"/>
  <c r="Y333" i="31" s="1"/>
  <c r="K191" i="40"/>
  <c r="O191" i="40" s="1"/>
  <c r="Q191" i="40" s="1"/>
  <c r="T191" i="40"/>
  <c r="V191" i="40" s="1"/>
  <c r="Z191" i="40" s="1"/>
  <c r="AC191" i="40" s="1"/>
  <c r="X191" i="40"/>
  <c r="C119" i="32"/>
  <c r="X345" i="31"/>
  <c r="P345" i="31"/>
  <c r="Y345" i="31" s="1"/>
  <c r="P349" i="31"/>
  <c r="Y349" i="31" s="1"/>
  <c r="X349" i="31"/>
  <c r="X207" i="40"/>
  <c r="T207" i="40"/>
  <c r="V207" i="40" s="1"/>
  <c r="Z207" i="40" s="1"/>
  <c r="AC207" i="40" s="1"/>
  <c r="K207" i="40"/>
  <c r="O207" i="40" s="1"/>
  <c r="Q207" i="40" s="1"/>
  <c r="C135" i="32"/>
  <c r="P361" i="31"/>
  <c r="Y361" i="31" s="1"/>
  <c r="X361" i="31"/>
  <c r="X365" i="31"/>
  <c r="P365" i="31"/>
  <c r="Y365" i="31" s="1"/>
  <c r="X223" i="40"/>
  <c r="T223" i="40"/>
  <c r="V223" i="40" s="1"/>
  <c r="Z223" i="40" s="1"/>
  <c r="AC223" i="40" s="1"/>
  <c r="K223" i="40"/>
  <c r="O223" i="40" s="1"/>
  <c r="Q223" i="40" s="1"/>
  <c r="C151" i="32"/>
  <c r="X373" i="31"/>
  <c r="P373" i="31"/>
  <c r="Y373" i="31" s="1"/>
  <c r="P381" i="31"/>
  <c r="Y381" i="31" s="1"/>
  <c r="X381" i="31"/>
  <c r="X239" i="40"/>
  <c r="T239" i="40"/>
  <c r="V239" i="40" s="1"/>
  <c r="Z239" i="40" s="1"/>
  <c r="AC239" i="40" s="1"/>
  <c r="K239" i="40"/>
  <c r="O239" i="40" s="1"/>
  <c r="Q239" i="40" s="1"/>
  <c r="C167" i="32"/>
  <c r="Q247" i="45"/>
  <c r="S247" i="45" s="1"/>
  <c r="K247" i="45"/>
  <c r="N247" i="45" s="1"/>
  <c r="X397" i="31"/>
  <c r="P397" i="31"/>
  <c r="Y397" i="31" s="1"/>
  <c r="X255" i="40"/>
  <c r="T255" i="40"/>
  <c r="V255" i="40" s="1"/>
  <c r="Z255" i="40" s="1"/>
  <c r="AC255" i="40" s="1"/>
  <c r="K255" i="40"/>
  <c r="O255" i="40" s="1"/>
  <c r="Q255" i="40" s="1"/>
  <c r="C183" i="32"/>
  <c r="X409" i="31"/>
  <c r="P409" i="31"/>
  <c r="Y409" i="31" s="1"/>
  <c r="P413" i="31"/>
  <c r="Y413" i="31" s="1"/>
  <c r="X413" i="31"/>
  <c r="X271" i="40"/>
  <c r="T271" i="40"/>
  <c r="V271" i="40" s="1"/>
  <c r="Z271" i="40" s="1"/>
  <c r="AC271" i="40" s="1"/>
  <c r="K271" i="40"/>
  <c r="O271" i="40" s="1"/>
  <c r="Q271" i="40" s="1"/>
  <c r="C199" i="32"/>
  <c r="P421" i="31"/>
  <c r="Y421" i="31" s="1"/>
  <c r="X421" i="31"/>
  <c r="P425" i="31"/>
  <c r="Y425" i="31" s="1"/>
  <c r="X425" i="31"/>
  <c r="X429" i="31"/>
  <c r="P429" i="31"/>
  <c r="Y429" i="31" s="1"/>
  <c r="X287" i="40"/>
  <c r="T287" i="40"/>
  <c r="V287" i="40" s="1"/>
  <c r="K287" i="40"/>
  <c r="O287" i="40" s="1"/>
  <c r="Q287" i="40" s="1"/>
  <c r="C215" i="32"/>
  <c r="X441" i="31"/>
  <c r="P441" i="31"/>
  <c r="Y441" i="31" s="1"/>
  <c r="Q299" i="45"/>
  <c r="S299" i="45" s="1"/>
  <c r="K299" i="45"/>
  <c r="N299" i="45" s="1"/>
  <c r="X303" i="40"/>
  <c r="T303" i="40"/>
  <c r="V303" i="40" s="1"/>
  <c r="K303" i="40"/>
  <c r="O303" i="40" s="1"/>
  <c r="Q303" i="40" s="1"/>
  <c r="C231" i="32"/>
  <c r="X677" i="31"/>
  <c r="P677" i="31"/>
  <c r="Y677" i="31" s="1"/>
  <c r="X681" i="31"/>
  <c r="P681" i="31"/>
  <c r="Y681" i="31" s="1"/>
  <c r="T319" i="40"/>
  <c r="V319" i="40" s="1"/>
  <c r="K319" i="40"/>
  <c r="O319" i="40" s="1"/>
  <c r="Q319" i="40" s="1"/>
  <c r="X319" i="40"/>
  <c r="C247" i="32"/>
  <c r="Q327" i="45"/>
  <c r="S327" i="45" s="1"/>
  <c r="V327" i="45" s="1"/>
  <c r="K327" i="45"/>
  <c r="N327" i="45" s="1"/>
  <c r="Q331" i="45"/>
  <c r="S331" i="45" s="1"/>
  <c r="K331" i="45"/>
  <c r="N331" i="45" s="1"/>
  <c r="T335" i="40"/>
  <c r="V335" i="40" s="1"/>
  <c r="K335" i="40"/>
  <c r="O335" i="40" s="1"/>
  <c r="Q335" i="40" s="1"/>
  <c r="X335" i="40"/>
  <c r="C263" i="32"/>
  <c r="X709" i="31"/>
  <c r="P709" i="31"/>
  <c r="Y709" i="31" s="1"/>
  <c r="P714" i="31"/>
  <c r="Y714" i="31" s="1"/>
  <c r="X714" i="31"/>
  <c r="X352" i="40"/>
  <c r="T352" i="40"/>
  <c r="V352" i="40" s="1"/>
  <c r="K352" i="40"/>
  <c r="O352" i="40" s="1"/>
  <c r="Q352" i="40" s="1"/>
  <c r="C280" i="32"/>
  <c r="Q364" i="45"/>
  <c r="S364" i="45" s="1"/>
  <c r="V364" i="45" s="1"/>
  <c r="K364" i="45"/>
  <c r="N364" i="45" s="1"/>
  <c r="X368" i="40"/>
  <c r="T368" i="40"/>
  <c r="V368" i="40" s="1"/>
  <c r="Z368" i="40" s="1"/>
  <c r="AC368" i="40" s="1"/>
  <c r="K368" i="40"/>
  <c r="O368" i="40" s="1"/>
  <c r="Q368" i="40" s="1"/>
  <c r="C296" i="32"/>
  <c r="P742" i="31"/>
  <c r="Y742" i="31" s="1"/>
  <c r="X742" i="31"/>
  <c r="T746" i="31"/>
  <c r="T385" i="40"/>
  <c r="V385" i="40" s="1"/>
  <c r="K385" i="40"/>
  <c r="O385" i="40" s="1"/>
  <c r="Q385" i="40" s="1"/>
  <c r="X385" i="40"/>
  <c r="C313" i="32"/>
  <c r="T751" i="31"/>
  <c r="K397" i="45"/>
  <c r="N397" i="45" s="1"/>
  <c r="Q397" i="45"/>
  <c r="S397" i="45" s="1"/>
  <c r="V397" i="45" s="1"/>
  <c r="T401" i="40"/>
  <c r="V401" i="40" s="1"/>
  <c r="K401" i="40"/>
  <c r="O401" i="40" s="1"/>
  <c r="Q401" i="40" s="1"/>
  <c r="X401" i="40"/>
  <c r="C329" i="32"/>
  <c r="T767" i="31"/>
  <c r="P775" i="31"/>
  <c r="Y775" i="31" s="1"/>
  <c r="X775" i="31"/>
  <c r="K413" i="45"/>
  <c r="N413" i="45" s="1"/>
  <c r="Q413" i="45"/>
  <c r="S413" i="45" s="1"/>
  <c r="T417" i="40"/>
  <c r="V417" i="40" s="1"/>
  <c r="K417" i="40"/>
  <c r="O417" i="40" s="1"/>
  <c r="Q417" i="40" s="1"/>
  <c r="X417" i="40"/>
  <c r="C345" i="32"/>
  <c r="T783" i="31"/>
  <c r="K429" i="45"/>
  <c r="N429" i="45" s="1"/>
  <c r="Q429" i="45"/>
  <c r="S429" i="45" s="1"/>
  <c r="V429" i="45" s="1"/>
  <c r="T433" i="40"/>
  <c r="V433" i="40" s="1"/>
  <c r="K433" i="40"/>
  <c r="O433" i="40" s="1"/>
  <c r="Q433" i="40" s="1"/>
  <c r="X433" i="40"/>
  <c r="C361" i="32"/>
  <c r="T799" i="31"/>
  <c r="P807" i="31"/>
  <c r="Y807" i="31" s="1"/>
  <c r="X807" i="31"/>
  <c r="K445" i="45"/>
  <c r="N445" i="45" s="1"/>
  <c r="Q445" i="45"/>
  <c r="S445" i="45" s="1"/>
  <c r="T449" i="40"/>
  <c r="V449" i="40" s="1"/>
  <c r="K449" i="40"/>
  <c r="O449" i="40" s="1"/>
  <c r="Q449" i="40" s="1"/>
  <c r="X449" i="40"/>
  <c r="C377" i="32"/>
  <c r="T815" i="31"/>
  <c r="Q461" i="45"/>
  <c r="S461" i="45" s="1"/>
  <c r="K461" i="45"/>
  <c r="N461" i="45" s="1"/>
  <c r="T465" i="40"/>
  <c r="V465" i="40" s="1"/>
  <c r="K465" i="40"/>
  <c r="O465" i="40" s="1"/>
  <c r="Q465" i="40" s="1"/>
  <c r="X465" i="40"/>
  <c r="C393" i="32"/>
  <c r="X840" i="31"/>
  <c r="P840" i="31"/>
  <c r="Y840" i="31" s="1"/>
  <c r="Q478" i="45"/>
  <c r="S478" i="45" s="1"/>
  <c r="K478" i="45"/>
  <c r="N478" i="45" s="1"/>
  <c r="X482" i="40"/>
  <c r="T482" i="40"/>
  <c r="V482" i="40" s="1"/>
  <c r="K482" i="40"/>
  <c r="O482" i="40" s="1"/>
  <c r="Q482" i="40" s="1"/>
  <c r="C410" i="32"/>
  <c r="X856" i="31"/>
  <c r="P856" i="31"/>
  <c r="Y856" i="31" s="1"/>
  <c r="Q494" i="45"/>
  <c r="S494" i="45" s="1"/>
  <c r="K494" i="45"/>
  <c r="N494" i="45" s="1"/>
  <c r="X498" i="40"/>
  <c r="T498" i="40"/>
  <c r="V498" i="40" s="1"/>
  <c r="K498" i="40"/>
  <c r="O498" i="40" s="1"/>
  <c r="Q498" i="40" s="1"/>
  <c r="C426" i="32"/>
  <c r="X872" i="31"/>
  <c r="P872" i="31"/>
  <c r="Y872" i="31" s="1"/>
  <c r="Q510" i="45"/>
  <c r="S510" i="45" s="1"/>
  <c r="K510" i="45"/>
  <c r="N510" i="45" s="1"/>
  <c r="X514" i="40"/>
  <c r="T514" i="40"/>
  <c r="V514" i="40" s="1"/>
  <c r="K514" i="40"/>
  <c r="O514" i="40" s="1"/>
  <c r="Q514" i="40" s="1"/>
  <c r="C442" i="32"/>
  <c r="T880" i="31"/>
  <c r="J83" i="45"/>
  <c r="L83" i="45" s="1"/>
  <c r="P83" i="45"/>
  <c r="R83" i="45" s="1"/>
  <c r="T83" i="45" s="1"/>
  <c r="X83" i="45" s="1"/>
  <c r="U83" i="45" s="1"/>
  <c r="Y83" i="45" s="1"/>
  <c r="X13" i="31"/>
  <c r="P13" i="31"/>
  <c r="Y13" i="31" s="1"/>
  <c r="W91" i="40"/>
  <c r="J91" i="40"/>
  <c r="L91" i="40" s="1"/>
  <c r="N91" i="40" s="1"/>
  <c r="S91" i="40"/>
  <c r="U91" i="40" s="1"/>
  <c r="Y91" i="40" s="1"/>
  <c r="AA91" i="40" s="1"/>
  <c r="AE91" i="40" s="1"/>
  <c r="AB91" i="40" s="1"/>
  <c r="B19" i="32"/>
  <c r="X21" i="31"/>
  <c r="P21" i="31"/>
  <c r="Y21" i="31" s="1"/>
  <c r="X25" i="31"/>
  <c r="P25" i="31"/>
  <c r="Y25" i="31" s="1"/>
  <c r="P29" i="31"/>
  <c r="Y29" i="31" s="1"/>
  <c r="X29" i="31"/>
  <c r="W107" i="40"/>
  <c r="J107" i="40"/>
  <c r="L107" i="40" s="1"/>
  <c r="N107" i="40" s="1"/>
  <c r="S107" i="40"/>
  <c r="U107" i="40" s="1"/>
  <c r="B35" i="32"/>
  <c r="D152" i="32" s="1"/>
  <c r="P37" i="31"/>
  <c r="Y37" i="31" s="1"/>
  <c r="X37" i="31"/>
  <c r="P41" i="31"/>
  <c r="Y41" i="31" s="1"/>
  <c r="X41" i="31"/>
  <c r="X45" i="31"/>
  <c r="P45" i="31"/>
  <c r="Y45" i="31" s="1"/>
  <c r="J123" i="40"/>
  <c r="L123" i="40" s="1"/>
  <c r="N123" i="40" s="1"/>
  <c r="S123" i="40"/>
  <c r="U123" i="40" s="1"/>
  <c r="W123" i="40"/>
  <c r="B51" i="32"/>
  <c r="X57" i="31"/>
  <c r="P57" i="31"/>
  <c r="Y57" i="31" s="1"/>
  <c r="P61" i="31"/>
  <c r="Y61" i="31" s="1"/>
  <c r="X61" i="31"/>
  <c r="W139" i="40"/>
  <c r="J139" i="40"/>
  <c r="L139" i="40" s="1"/>
  <c r="N139" i="40" s="1"/>
  <c r="B67" i="32"/>
  <c r="S139" i="40"/>
  <c r="U139" i="40" s="1"/>
  <c r="Y139" i="40" s="1"/>
  <c r="T73" i="31"/>
  <c r="X77" i="31"/>
  <c r="P77" i="31"/>
  <c r="Y77" i="31" s="1"/>
  <c r="W155" i="40"/>
  <c r="J155" i="40"/>
  <c r="L155" i="40" s="1"/>
  <c r="N155" i="40" s="1"/>
  <c r="S155" i="40"/>
  <c r="U155" i="40" s="1"/>
  <c r="Y155" i="40" s="1"/>
  <c r="AA155" i="40" s="1"/>
  <c r="AE155" i="40" s="1"/>
  <c r="AB155" i="40" s="1"/>
  <c r="AF155" i="40" s="1"/>
  <c r="B83" i="32"/>
  <c r="X89" i="31"/>
  <c r="P89" i="31"/>
  <c r="Y89" i="31" s="1"/>
  <c r="P93" i="31"/>
  <c r="Y93" i="31" s="1"/>
  <c r="X93" i="31"/>
  <c r="W171" i="40"/>
  <c r="J171" i="40"/>
  <c r="L171" i="40" s="1"/>
  <c r="N171" i="40" s="1"/>
  <c r="S171" i="40"/>
  <c r="U171" i="40" s="1"/>
  <c r="Y171" i="40" s="1"/>
  <c r="AA171" i="40" s="1"/>
  <c r="AE171" i="40" s="1"/>
  <c r="AB171" i="40" s="1"/>
  <c r="B99" i="32"/>
  <c r="P105" i="31"/>
  <c r="Y105" i="31" s="1"/>
  <c r="X105" i="31"/>
  <c r="X109" i="31"/>
  <c r="P109" i="31"/>
  <c r="Y109" i="31" s="1"/>
  <c r="W187" i="40"/>
  <c r="J187" i="40"/>
  <c r="L187" i="40" s="1"/>
  <c r="N187" i="40" s="1"/>
  <c r="S187" i="40"/>
  <c r="U187" i="40" s="1"/>
  <c r="Y187" i="40" s="1"/>
  <c r="AA187" i="40" s="1"/>
  <c r="AE187" i="40" s="1"/>
  <c r="AB187" i="40" s="1"/>
  <c r="B115" i="32"/>
  <c r="T121" i="31"/>
  <c r="P125" i="31"/>
  <c r="Y125" i="31" s="1"/>
  <c r="X125" i="31"/>
  <c r="W203" i="40"/>
  <c r="J203" i="40"/>
  <c r="L203" i="40" s="1"/>
  <c r="N203" i="40" s="1"/>
  <c r="S203" i="40"/>
  <c r="U203" i="40" s="1"/>
  <c r="B131" i="32"/>
  <c r="J211" i="45"/>
  <c r="L211" i="45" s="1"/>
  <c r="P211" i="45"/>
  <c r="R211" i="45" s="1"/>
  <c r="X141" i="31"/>
  <c r="P141" i="31"/>
  <c r="Y141" i="31" s="1"/>
  <c r="W219" i="40"/>
  <c r="S219" i="40"/>
  <c r="U219" i="40" s="1"/>
  <c r="J219" i="40"/>
  <c r="L219" i="40" s="1"/>
  <c r="N219" i="40" s="1"/>
  <c r="B147" i="32"/>
  <c r="X153" i="31"/>
  <c r="P153" i="31"/>
  <c r="Y153" i="31" s="1"/>
  <c r="P157" i="31"/>
  <c r="Y157" i="31" s="1"/>
  <c r="X157" i="31"/>
  <c r="W235" i="40"/>
  <c r="S235" i="40"/>
  <c r="U235" i="40" s="1"/>
  <c r="J235" i="40"/>
  <c r="L235" i="40" s="1"/>
  <c r="N235" i="40" s="1"/>
  <c r="B163" i="32"/>
  <c r="P165" i="31"/>
  <c r="Y165" i="31" s="1"/>
  <c r="X165" i="31"/>
  <c r="P169" i="31"/>
  <c r="Y169" i="31" s="1"/>
  <c r="X169" i="31"/>
  <c r="X173" i="31"/>
  <c r="P173" i="31"/>
  <c r="Y173" i="31" s="1"/>
  <c r="W251" i="40"/>
  <c r="S251" i="40"/>
  <c r="U251" i="40" s="1"/>
  <c r="Y251" i="40" s="1"/>
  <c r="J251" i="40"/>
  <c r="L251" i="40" s="1"/>
  <c r="N251" i="40" s="1"/>
  <c r="B179" i="32"/>
  <c r="X185" i="31"/>
  <c r="P185" i="31"/>
  <c r="Y185" i="31" s="1"/>
  <c r="P189" i="31"/>
  <c r="Y189" i="31" s="1"/>
  <c r="X189" i="31"/>
  <c r="W267" i="40"/>
  <c r="S267" i="40"/>
  <c r="U267" i="40" s="1"/>
  <c r="Y267" i="40" s="1"/>
  <c r="J267" i="40"/>
  <c r="L267" i="40" s="1"/>
  <c r="N267" i="40" s="1"/>
  <c r="B195" i="32"/>
  <c r="P193" i="31"/>
  <c r="Y193" i="31" s="1"/>
  <c r="X193" i="31"/>
  <c r="T201" i="31"/>
  <c r="X205" i="31"/>
  <c r="P205" i="31"/>
  <c r="Y205" i="31" s="1"/>
  <c r="W283" i="40"/>
  <c r="J283" i="40"/>
  <c r="L283" i="40" s="1"/>
  <c r="N283" i="40" s="1"/>
  <c r="S283" i="40"/>
  <c r="U283" i="40" s="1"/>
  <c r="B211" i="32"/>
  <c r="X217" i="31"/>
  <c r="P217" i="31"/>
  <c r="Y217" i="31" s="1"/>
  <c r="P221" i="31"/>
  <c r="Y221" i="31" s="1"/>
  <c r="X221" i="31"/>
  <c r="W299" i="40"/>
  <c r="J299" i="40"/>
  <c r="L299" i="40" s="1"/>
  <c r="N299" i="40" s="1"/>
  <c r="S299" i="40"/>
  <c r="U299" i="40" s="1"/>
  <c r="B227" i="32"/>
  <c r="P449" i="31"/>
  <c r="Y449" i="31" s="1"/>
  <c r="X449" i="31"/>
  <c r="J307" i="45"/>
  <c r="L307" i="45" s="1"/>
  <c r="P307" i="45"/>
  <c r="R307" i="45" s="1"/>
  <c r="P457" i="31"/>
  <c r="Y457" i="31" s="1"/>
  <c r="X457" i="31"/>
  <c r="W315" i="40"/>
  <c r="J315" i="40"/>
  <c r="L315" i="40" s="1"/>
  <c r="N315" i="40" s="1"/>
  <c r="S315" i="40"/>
  <c r="U315" i="40" s="1"/>
  <c r="Y315" i="40" s="1"/>
  <c r="AA315" i="40" s="1"/>
  <c r="AE315" i="40" s="1"/>
  <c r="AB315" i="40" s="1"/>
  <c r="AF315" i="40" s="1"/>
  <c r="B243" i="32"/>
  <c r="J323" i="45"/>
  <c r="L323" i="45" s="1"/>
  <c r="P323" i="45"/>
  <c r="R323" i="45" s="1"/>
  <c r="J327" i="45"/>
  <c r="L327" i="45" s="1"/>
  <c r="P327" i="45"/>
  <c r="R327" i="45" s="1"/>
  <c r="T327" i="45" s="1"/>
  <c r="X327" i="45" s="1"/>
  <c r="U327" i="45" s="1"/>
  <c r="Y327" i="45" s="1"/>
  <c r="S331" i="40"/>
  <c r="U331" i="40" s="1"/>
  <c r="J331" i="40"/>
  <c r="L331" i="40" s="1"/>
  <c r="N331" i="40" s="1"/>
  <c r="W331" i="40"/>
  <c r="B259" i="32"/>
  <c r="J339" i="45"/>
  <c r="L339" i="45" s="1"/>
  <c r="P339" i="45"/>
  <c r="R339" i="45" s="1"/>
  <c r="P489" i="31"/>
  <c r="Y489" i="31" s="1"/>
  <c r="X489" i="31"/>
  <c r="S347" i="40"/>
  <c r="U347" i="40" s="1"/>
  <c r="J347" i="40"/>
  <c r="L347" i="40" s="1"/>
  <c r="N347" i="40" s="1"/>
  <c r="W347" i="40"/>
  <c r="B275" i="32"/>
  <c r="J355" i="45"/>
  <c r="L355" i="45" s="1"/>
  <c r="P355" i="45"/>
  <c r="R355" i="45" s="1"/>
  <c r="T505" i="31"/>
  <c r="S363" i="40"/>
  <c r="U363" i="40" s="1"/>
  <c r="Y363" i="40" s="1"/>
  <c r="AA363" i="40" s="1"/>
  <c r="AE363" i="40" s="1"/>
  <c r="AB363" i="40" s="1"/>
  <c r="J363" i="40"/>
  <c r="L363" i="40" s="1"/>
  <c r="N363" i="40" s="1"/>
  <c r="W363" i="40"/>
  <c r="B291" i="32"/>
  <c r="P513" i="31"/>
  <c r="Y513" i="31" s="1"/>
  <c r="X513" i="31"/>
  <c r="J371" i="45"/>
  <c r="L371" i="45" s="1"/>
  <c r="P371" i="45"/>
  <c r="R371" i="45" s="1"/>
  <c r="T371" i="45" s="1"/>
  <c r="X371" i="45" s="1"/>
  <c r="U371" i="45" s="1"/>
  <c r="X521" i="31"/>
  <c r="P521" i="31"/>
  <c r="Y521" i="31" s="1"/>
  <c r="S379" i="40"/>
  <c r="U379" i="40" s="1"/>
  <c r="J379" i="40"/>
  <c r="L379" i="40" s="1"/>
  <c r="N379" i="40" s="1"/>
  <c r="W379" i="40"/>
  <c r="B307" i="32"/>
  <c r="P533" i="31"/>
  <c r="Y533" i="31" s="1"/>
  <c r="X533" i="31"/>
  <c r="J391" i="45"/>
  <c r="L391" i="45" s="1"/>
  <c r="P391" i="45"/>
  <c r="R391" i="45" s="1"/>
  <c r="S395" i="40"/>
  <c r="U395" i="40" s="1"/>
  <c r="J395" i="40"/>
  <c r="L395" i="40" s="1"/>
  <c r="N395" i="40" s="1"/>
  <c r="W395" i="40"/>
  <c r="B323" i="32"/>
  <c r="J403" i="45"/>
  <c r="L403" i="45" s="1"/>
  <c r="P403" i="45"/>
  <c r="R403" i="45" s="1"/>
  <c r="T403" i="45" s="1"/>
  <c r="X403" i="45" s="1"/>
  <c r="U403" i="45" s="1"/>
  <c r="X553" i="31"/>
  <c r="P553" i="31"/>
  <c r="Y553" i="31" s="1"/>
  <c r="S411" i="40"/>
  <c r="U411" i="40" s="1"/>
  <c r="J411" i="40"/>
  <c r="L411" i="40" s="1"/>
  <c r="N411" i="40" s="1"/>
  <c r="W411" i="40"/>
  <c r="B339" i="32"/>
  <c r="J423" i="45"/>
  <c r="L423" i="45" s="1"/>
  <c r="P423" i="45"/>
  <c r="R423" i="45" s="1"/>
  <c r="T423" i="45" s="1"/>
  <c r="X423" i="45" s="1"/>
  <c r="U423" i="45" s="1"/>
  <c r="S427" i="40"/>
  <c r="U427" i="40" s="1"/>
  <c r="Y427" i="40" s="1"/>
  <c r="AA427" i="40" s="1"/>
  <c r="AE427" i="40" s="1"/>
  <c r="AB427" i="40" s="1"/>
  <c r="J427" i="40"/>
  <c r="L427" i="40" s="1"/>
  <c r="N427" i="40" s="1"/>
  <c r="W427" i="40"/>
  <c r="B355" i="32"/>
  <c r="J435" i="45"/>
  <c r="L435" i="45" s="1"/>
  <c r="P435" i="45"/>
  <c r="R435" i="45" s="1"/>
  <c r="X585" i="31"/>
  <c r="P585" i="31"/>
  <c r="Y585" i="31" s="1"/>
  <c r="S443" i="40"/>
  <c r="U443" i="40" s="1"/>
  <c r="Y443" i="40" s="1"/>
  <c r="AA443" i="40" s="1"/>
  <c r="AE443" i="40" s="1"/>
  <c r="AB443" i="40" s="1"/>
  <c r="J443" i="40"/>
  <c r="L443" i="40" s="1"/>
  <c r="N443" i="40" s="1"/>
  <c r="W443" i="40"/>
  <c r="B371" i="32"/>
  <c r="J455" i="45"/>
  <c r="L455" i="45" s="1"/>
  <c r="P455" i="45"/>
  <c r="R455" i="45" s="1"/>
  <c r="S459" i="40"/>
  <c r="U459" i="40" s="1"/>
  <c r="J459" i="40"/>
  <c r="L459" i="40" s="1"/>
  <c r="N459" i="40" s="1"/>
  <c r="W459" i="40"/>
  <c r="B387" i="32"/>
  <c r="J467" i="45"/>
  <c r="L467" i="45" s="1"/>
  <c r="P467" i="45"/>
  <c r="R467" i="45" s="1"/>
  <c r="T467" i="45" s="1"/>
  <c r="X467" i="45" s="1"/>
  <c r="U467" i="45" s="1"/>
  <c r="Y467" i="45" s="1"/>
  <c r="T617" i="31"/>
  <c r="S475" i="40"/>
  <c r="U475" i="40" s="1"/>
  <c r="J475" i="40"/>
  <c r="L475" i="40" s="1"/>
  <c r="N475" i="40" s="1"/>
  <c r="W475" i="40"/>
  <c r="B403" i="32"/>
  <c r="J487" i="45"/>
  <c r="L487" i="45" s="1"/>
  <c r="P487" i="45"/>
  <c r="R487" i="45" s="1"/>
  <c r="S491" i="40"/>
  <c r="U491" i="40" s="1"/>
  <c r="Y491" i="40" s="1"/>
  <c r="J491" i="40"/>
  <c r="L491" i="40" s="1"/>
  <c r="N491" i="40" s="1"/>
  <c r="W491" i="40"/>
  <c r="B419" i="32"/>
  <c r="J499" i="45"/>
  <c r="L499" i="45" s="1"/>
  <c r="P499" i="45"/>
  <c r="R499" i="45" s="1"/>
  <c r="T499" i="45" s="1"/>
  <c r="X499" i="45" s="1"/>
  <c r="U499" i="45" s="1"/>
  <c r="Y499" i="45" s="1"/>
  <c r="X649" i="31"/>
  <c r="P649" i="31"/>
  <c r="Y649" i="31" s="1"/>
  <c r="S507" i="40"/>
  <c r="U507" i="40" s="1"/>
  <c r="Y507" i="40" s="1"/>
  <c r="J507" i="40"/>
  <c r="L507" i="40" s="1"/>
  <c r="N507" i="40" s="1"/>
  <c r="W507" i="40"/>
  <c r="B435" i="32"/>
  <c r="P661" i="31"/>
  <c r="Y661" i="31" s="1"/>
  <c r="X661" i="31"/>
  <c r="X375" i="25"/>
  <c r="P375" i="25"/>
  <c r="Y375" i="25" s="1"/>
  <c r="X399" i="25"/>
  <c r="P399" i="25"/>
  <c r="X671" i="25"/>
  <c r="P671" i="25"/>
  <c r="X703" i="25"/>
  <c r="P703" i="25"/>
  <c r="K390" i="44"/>
  <c r="M390" i="44" s="1"/>
  <c r="P390" i="44"/>
  <c r="R390" i="44" s="1"/>
  <c r="O307" i="44"/>
  <c r="Q307" i="44" s="1"/>
  <c r="S307" i="44" s="1"/>
  <c r="W307" i="44" s="1"/>
  <c r="T307" i="44" s="1"/>
  <c r="J307" i="44"/>
  <c r="L307" i="44" s="1"/>
  <c r="X771" i="25"/>
  <c r="P771" i="25"/>
  <c r="Y771" i="25" s="1"/>
  <c r="X231" i="25"/>
  <c r="P231" i="25"/>
  <c r="X239" i="25"/>
  <c r="P239" i="25"/>
  <c r="X291" i="25"/>
  <c r="P291" i="25"/>
  <c r="X323" i="25"/>
  <c r="P323" i="25"/>
  <c r="K358" i="44"/>
  <c r="M358" i="44" s="1"/>
  <c r="P358" i="44"/>
  <c r="R358" i="44" s="1"/>
  <c r="X453" i="25"/>
  <c r="P453" i="25"/>
  <c r="T716" i="25"/>
  <c r="T771" i="25"/>
  <c r="T251" i="25"/>
  <c r="X315" i="25"/>
  <c r="P315" i="25"/>
  <c r="Y315" i="25" s="1"/>
  <c r="P253" i="44"/>
  <c r="R253" i="44" s="1"/>
  <c r="K253" i="44"/>
  <c r="M253" i="44" s="1"/>
  <c r="P257" i="44"/>
  <c r="R257" i="44" s="1"/>
  <c r="K257" i="44"/>
  <c r="M257" i="44" s="1"/>
  <c r="X407" i="25"/>
  <c r="P407" i="25"/>
  <c r="X411" i="25"/>
  <c r="P411" i="25"/>
  <c r="P269" i="44"/>
  <c r="R269" i="44" s="1"/>
  <c r="K269" i="44"/>
  <c r="M269" i="44" s="1"/>
  <c r="P273" i="44"/>
  <c r="R273" i="44" s="1"/>
  <c r="K273" i="44"/>
  <c r="M273" i="44" s="1"/>
  <c r="X423" i="25"/>
  <c r="P423" i="25"/>
  <c r="X427" i="25"/>
  <c r="P427" i="25"/>
  <c r="P285" i="44"/>
  <c r="R285" i="44" s="1"/>
  <c r="K285" i="44"/>
  <c r="M285" i="44" s="1"/>
  <c r="P289" i="44"/>
  <c r="R289" i="44" s="1"/>
  <c r="K289" i="44"/>
  <c r="M289" i="44" s="1"/>
  <c r="X439" i="25"/>
  <c r="P439" i="25"/>
  <c r="X663" i="25"/>
  <c r="P663" i="25"/>
  <c r="X667" i="25"/>
  <c r="P667" i="25"/>
  <c r="P305" i="44"/>
  <c r="R305" i="44" s="1"/>
  <c r="K305" i="44"/>
  <c r="M305" i="44" s="1"/>
  <c r="P309" i="44"/>
  <c r="R309" i="44" s="1"/>
  <c r="K309" i="44"/>
  <c r="M309" i="44" s="1"/>
  <c r="X679" i="25"/>
  <c r="P679" i="25"/>
  <c r="X683" i="25"/>
  <c r="P683" i="25"/>
  <c r="P321" i="44"/>
  <c r="R321" i="44" s="1"/>
  <c r="K321" i="44"/>
  <c r="M321" i="44" s="1"/>
  <c r="P325" i="44"/>
  <c r="R325" i="44" s="1"/>
  <c r="K325" i="44"/>
  <c r="M325" i="44" s="1"/>
  <c r="X695" i="25"/>
  <c r="P695" i="25"/>
  <c r="X699" i="25"/>
  <c r="P699" i="25"/>
  <c r="P337" i="44"/>
  <c r="R337" i="44" s="1"/>
  <c r="K337" i="44"/>
  <c r="M337" i="44" s="1"/>
  <c r="P341" i="44"/>
  <c r="R341" i="44" s="1"/>
  <c r="K341" i="44"/>
  <c r="M341" i="44" s="1"/>
  <c r="X711" i="25"/>
  <c r="P711" i="25"/>
  <c r="X715" i="25"/>
  <c r="P715" i="25"/>
  <c r="P354" i="44"/>
  <c r="R354" i="44" s="1"/>
  <c r="K354" i="44"/>
  <c r="M354" i="44" s="1"/>
  <c r="X724" i="25"/>
  <c r="P724" i="25"/>
  <c r="Y724" i="25" s="1"/>
  <c r="X728" i="25"/>
  <c r="P728" i="25"/>
  <c r="Y728" i="25" s="1"/>
  <c r="T732" i="25"/>
  <c r="P386" i="44"/>
  <c r="R386" i="44" s="1"/>
  <c r="U386" i="44" s="1"/>
  <c r="K386" i="44"/>
  <c r="M386" i="44" s="1"/>
  <c r="X756" i="25"/>
  <c r="P756" i="25"/>
  <c r="Y756" i="25" s="1"/>
  <c r="X760" i="25"/>
  <c r="P760" i="25"/>
  <c r="Y760" i="25" s="1"/>
  <c r="X764" i="25"/>
  <c r="P764" i="25"/>
  <c r="X768" i="25"/>
  <c r="P768" i="25"/>
  <c r="Y768" i="25" s="1"/>
  <c r="T773" i="25"/>
  <c r="T777" i="25"/>
  <c r="T781" i="25"/>
  <c r="T785" i="25"/>
  <c r="T789" i="25"/>
  <c r="T793" i="25"/>
  <c r="T797" i="25"/>
  <c r="T801" i="25"/>
  <c r="T805" i="25"/>
  <c r="T809" i="25"/>
  <c r="T813" i="25"/>
  <c r="T817" i="25"/>
  <c r="T821" i="25"/>
  <c r="T825" i="25"/>
  <c r="T829" i="25"/>
  <c r="T833" i="25"/>
  <c r="T837" i="25"/>
  <c r="T841" i="25"/>
  <c r="T845" i="25"/>
  <c r="T849" i="25"/>
  <c r="T853" i="25"/>
  <c r="T857" i="25"/>
  <c r="T861" i="25"/>
  <c r="T865" i="25"/>
  <c r="T869" i="25"/>
  <c r="T873" i="25"/>
  <c r="T877" i="25"/>
  <c r="T881" i="25"/>
  <c r="Z76" i="37"/>
  <c r="AC76" i="37" s="1"/>
  <c r="P77" i="44"/>
  <c r="R77" i="44" s="1"/>
  <c r="K77" i="44"/>
  <c r="M77" i="44" s="1"/>
  <c r="P80" i="44"/>
  <c r="R80" i="44" s="1"/>
  <c r="K80" i="44"/>
  <c r="M80" i="44" s="1"/>
  <c r="T230" i="25"/>
  <c r="P88" i="44"/>
  <c r="R88" i="44" s="1"/>
  <c r="U88" i="44" s="1"/>
  <c r="K88" i="44"/>
  <c r="M88" i="44" s="1"/>
  <c r="T238" i="25"/>
  <c r="P96" i="44"/>
  <c r="R96" i="44" s="1"/>
  <c r="K96" i="44"/>
  <c r="M96" i="44" s="1"/>
  <c r="T246" i="25"/>
  <c r="P104" i="44"/>
  <c r="R104" i="44" s="1"/>
  <c r="U104" i="44" s="1"/>
  <c r="K104" i="44"/>
  <c r="M104" i="44" s="1"/>
  <c r="T254" i="25"/>
  <c r="X258" i="25"/>
  <c r="P258" i="25"/>
  <c r="T262" i="25"/>
  <c r="P120" i="44"/>
  <c r="R120" i="44" s="1"/>
  <c r="U120" i="44" s="1"/>
  <c r="K120" i="44"/>
  <c r="M120" i="44" s="1"/>
  <c r="T270" i="25"/>
  <c r="P128" i="44"/>
  <c r="R128" i="44" s="1"/>
  <c r="K128" i="44"/>
  <c r="M128" i="44" s="1"/>
  <c r="T278" i="25"/>
  <c r="P136" i="44"/>
  <c r="R136" i="44" s="1"/>
  <c r="U136" i="44" s="1"/>
  <c r="K136" i="44"/>
  <c r="M136" i="44" s="1"/>
  <c r="T286" i="25"/>
  <c r="X290" i="25"/>
  <c r="P290" i="25"/>
  <c r="T294" i="25"/>
  <c r="P152" i="44"/>
  <c r="R152" i="44" s="1"/>
  <c r="U152" i="44" s="1"/>
  <c r="K152" i="44"/>
  <c r="M152" i="44" s="1"/>
  <c r="T302" i="25"/>
  <c r="P160" i="44"/>
  <c r="R160" i="44" s="1"/>
  <c r="K160" i="44"/>
  <c r="M160" i="44" s="1"/>
  <c r="T310" i="25"/>
  <c r="P168" i="44"/>
  <c r="R168" i="44" s="1"/>
  <c r="U168" i="44" s="1"/>
  <c r="K168" i="44"/>
  <c r="M168" i="44" s="1"/>
  <c r="T318" i="25"/>
  <c r="X322" i="25"/>
  <c r="P322" i="25"/>
  <c r="T326" i="25"/>
  <c r="P184" i="44"/>
  <c r="R184" i="44" s="1"/>
  <c r="U184" i="44" s="1"/>
  <c r="K184" i="44"/>
  <c r="M184" i="44" s="1"/>
  <c r="T334" i="25"/>
  <c r="P192" i="44"/>
  <c r="R192" i="44" s="1"/>
  <c r="K192" i="44"/>
  <c r="M192" i="44" s="1"/>
  <c r="T342" i="25"/>
  <c r="P200" i="44"/>
  <c r="R200" i="44" s="1"/>
  <c r="U200" i="44" s="1"/>
  <c r="K200" i="44"/>
  <c r="M200" i="44" s="1"/>
  <c r="T350" i="25"/>
  <c r="P208" i="44"/>
  <c r="R208" i="44" s="1"/>
  <c r="K208" i="44"/>
  <c r="M208" i="44" s="1"/>
  <c r="T358" i="25"/>
  <c r="P216" i="44"/>
  <c r="R216" i="44" s="1"/>
  <c r="U216" i="44" s="1"/>
  <c r="K216" i="44"/>
  <c r="M216" i="44" s="1"/>
  <c r="T366" i="25"/>
  <c r="T370" i="25"/>
  <c r="P228" i="44"/>
  <c r="R228" i="44" s="1"/>
  <c r="U228" i="44" s="1"/>
  <c r="K228" i="44"/>
  <c r="M228" i="44" s="1"/>
  <c r="T378" i="25"/>
  <c r="P236" i="44"/>
  <c r="R236" i="44" s="1"/>
  <c r="K236" i="44"/>
  <c r="M236" i="44" s="1"/>
  <c r="T386" i="25"/>
  <c r="P244" i="44"/>
  <c r="R244" i="44" s="1"/>
  <c r="U244" i="44" s="1"/>
  <c r="K244" i="44"/>
  <c r="M244" i="44" s="1"/>
  <c r="T394" i="25"/>
  <c r="P252" i="44"/>
  <c r="R252" i="44" s="1"/>
  <c r="K252" i="44"/>
  <c r="M252" i="44" s="1"/>
  <c r="T402" i="25"/>
  <c r="T406" i="25"/>
  <c r="X410" i="25"/>
  <c r="P410" i="25"/>
  <c r="T414" i="25"/>
  <c r="T418" i="25"/>
  <c r="T422" i="25"/>
  <c r="T426" i="25"/>
  <c r="T430" i="25"/>
  <c r="P288" i="44"/>
  <c r="R288" i="44" s="1"/>
  <c r="U288" i="44" s="1"/>
  <c r="K288" i="44"/>
  <c r="M288" i="44" s="1"/>
  <c r="T438" i="25"/>
  <c r="P296" i="44"/>
  <c r="R296" i="44" s="1"/>
  <c r="K296" i="44"/>
  <c r="M296" i="44" s="1"/>
  <c r="T666" i="25"/>
  <c r="P304" i="44"/>
  <c r="R304" i="44" s="1"/>
  <c r="U304" i="44" s="1"/>
  <c r="K304" i="44"/>
  <c r="M304" i="44" s="1"/>
  <c r="T674" i="25"/>
  <c r="P312" i="44"/>
  <c r="R312" i="44" s="1"/>
  <c r="K312" i="44"/>
  <c r="M312" i="44" s="1"/>
  <c r="T682" i="25"/>
  <c r="P320" i="44"/>
  <c r="R320" i="44" s="1"/>
  <c r="U320" i="44" s="1"/>
  <c r="K320" i="44"/>
  <c r="M320" i="44" s="1"/>
  <c r="Z321" i="37"/>
  <c r="AC321" i="37" s="1"/>
  <c r="T690" i="25"/>
  <c r="P328" i="44"/>
  <c r="R328" i="44" s="1"/>
  <c r="U328" i="44" s="1"/>
  <c r="K328" i="44"/>
  <c r="M328" i="44" s="1"/>
  <c r="Z329" i="37"/>
  <c r="AC329" i="37" s="1"/>
  <c r="T698" i="25"/>
  <c r="P336" i="44"/>
  <c r="R336" i="44" s="1"/>
  <c r="U336" i="44" s="1"/>
  <c r="K336" i="44"/>
  <c r="M336" i="44" s="1"/>
  <c r="Z337" i="37"/>
  <c r="AC337" i="37" s="1"/>
  <c r="T706" i="25"/>
  <c r="P344" i="44"/>
  <c r="R344" i="44" s="1"/>
  <c r="U344" i="44" s="1"/>
  <c r="K344" i="44"/>
  <c r="M344" i="44" s="1"/>
  <c r="Z345" i="37"/>
  <c r="AC345" i="37" s="1"/>
  <c r="T714" i="25"/>
  <c r="T719" i="25"/>
  <c r="T723" i="25"/>
  <c r="T727" i="25"/>
  <c r="T731" i="25"/>
  <c r="T735" i="25"/>
  <c r="T739" i="25"/>
  <c r="T743" i="25"/>
  <c r="T747" i="25"/>
  <c r="T751" i="25"/>
  <c r="T755" i="25"/>
  <c r="T759" i="25"/>
  <c r="T763" i="25"/>
  <c r="T767" i="25"/>
  <c r="P418" i="44"/>
  <c r="R418" i="44" s="1"/>
  <c r="U418" i="44" s="1"/>
  <c r="K418" i="44"/>
  <c r="M418" i="44" s="1"/>
  <c r="X792" i="25"/>
  <c r="P792" i="25"/>
  <c r="X796" i="25"/>
  <c r="P796" i="25"/>
  <c r="X800" i="25"/>
  <c r="P800" i="25"/>
  <c r="Y800" i="25" s="1"/>
  <c r="Z370" i="37"/>
  <c r="AC370" i="37" s="1"/>
  <c r="Z402" i="37"/>
  <c r="AC402" i="37" s="1"/>
  <c r="T225" i="25"/>
  <c r="P83" i="44"/>
  <c r="R83" i="44" s="1"/>
  <c r="U83" i="44" s="1"/>
  <c r="K83" i="44"/>
  <c r="M83" i="44" s="1"/>
  <c r="T233" i="25"/>
  <c r="P91" i="44"/>
  <c r="R91" i="44" s="1"/>
  <c r="K91" i="44"/>
  <c r="M91" i="44" s="1"/>
  <c r="T241" i="25"/>
  <c r="P99" i="44"/>
  <c r="R99" i="44" s="1"/>
  <c r="U99" i="44" s="1"/>
  <c r="K99" i="44"/>
  <c r="M99" i="44" s="1"/>
  <c r="T249" i="25"/>
  <c r="P107" i="44"/>
  <c r="R107" i="44" s="1"/>
  <c r="U107" i="44" s="1"/>
  <c r="K107" i="44"/>
  <c r="M107" i="44" s="1"/>
  <c r="T257" i="25"/>
  <c r="P115" i="44"/>
  <c r="R115" i="44" s="1"/>
  <c r="U115" i="44" s="1"/>
  <c r="K115" i="44"/>
  <c r="M115" i="44" s="1"/>
  <c r="T265" i="25"/>
  <c r="P123" i="44"/>
  <c r="R123" i="44" s="1"/>
  <c r="K123" i="44"/>
  <c r="M123" i="44" s="1"/>
  <c r="T273" i="25"/>
  <c r="P131" i="44"/>
  <c r="R131" i="44" s="1"/>
  <c r="U131" i="44" s="1"/>
  <c r="K131" i="44"/>
  <c r="M131" i="44" s="1"/>
  <c r="T281" i="25"/>
  <c r="P139" i="44"/>
  <c r="R139" i="44" s="1"/>
  <c r="U139" i="44" s="1"/>
  <c r="K139" i="44"/>
  <c r="M139" i="44" s="1"/>
  <c r="T289" i="25"/>
  <c r="P147" i="44"/>
  <c r="R147" i="44" s="1"/>
  <c r="U147" i="44" s="1"/>
  <c r="K147" i="44"/>
  <c r="M147" i="44" s="1"/>
  <c r="T297" i="25"/>
  <c r="P155" i="44"/>
  <c r="R155" i="44" s="1"/>
  <c r="K155" i="44"/>
  <c r="M155" i="44" s="1"/>
  <c r="T305" i="25"/>
  <c r="P163" i="44"/>
  <c r="R163" i="44" s="1"/>
  <c r="U163" i="44" s="1"/>
  <c r="K163" i="44"/>
  <c r="M163" i="44" s="1"/>
  <c r="T313" i="25"/>
  <c r="P171" i="44"/>
  <c r="R171" i="44" s="1"/>
  <c r="U171" i="44" s="1"/>
  <c r="K171" i="44"/>
  <c r="M171" i="44" s="1"/>
  <c r="T321" i="25"/>
  <c r="P179" i="44"/>
  <c r="R179" i="44" s="1"/>
  <c r="U179" i="44" s="1"/>
  <c r="K179" i="44"/>
  <c r="M179" i="44" s="1"/>
  <c r="T329" i="25"/>
  <c r="P187" i="44"/>
  <c r="R187" i="44" s="1"/>
  <c r="K187" i="44"/>
  <c r="M187" i="44" s="1"/>
  <c r="T337" i="25"/>
  <c r="P195" i="44"/>
  <c r="R195" i="44" s="1"/>
  <c r="U195" i="44" s="1"/>
  <c r="K195" i="44"/>
  <c r="M195" i="44" s="1"/>
  <c r="T345" i="25"/>
  <c r="P203" i="44"/>
  <c r="R203" i="44" s="1"/>
  <c r="U203" i="44" s="1"/>
  <c r="K203" i="44"/>
  <c r="M203" i="44" s="1"/>
  <c r="T353" i="25"/>
  <c r="P211" i="44"/>
  <c r="R211" i="44" s="1"/>
  <c r="K211" i="44"/>
  <c r="M211" i="44" s="1"/>
  <c r="T361" i="25"/>
  <c r="P219" i="44"/>
  <c r="R219" i="44" s="1"/>
  <c r="K219" i="44"/>
  <c r="M219" i="44" s="1"/>
  <c r="T369" i="25"/>
  <c r="P227" i="44"/>
  <c r="R227" i="44" s="1"/>
  <c r="U227" i="44" s="1"/>
  <c r="K227" i="44"/>
  <c r="M227" i="44" s="1"/>
  <c r="T377" i="25"/>
  <c r="P235" i="44"/>
  <c r="R235" i="44" s="1"/>
  <c r="U235" i="44" s="1"/>
  <c r="K235" i="44"/>
  <c r="M235" i="44" s="1"/>
  <c r="T385" i="25"/>
  <c r="P243" i="44"/>
  <c r="R243" i="44" s="1"/>
  <c r="K243" i="44"/>
  <c r="M243" i="44" s="1"/>
  <c r="T393" i="25"/>
  <c r="P251" i="44"/>
  <c r="R251" i="44" s="1"/>
  <c r="K251" i="44"/>
  <c r="M251" i="44" s="1"/>
  <c r="T401" i="25"/>
  <c r="P259" i="44"/>
  <c r="R259" i="44" s="1"/>
  <c r="U259" i="44" s="1"/>
  <c r="K259" i="44"/>
  <c r="M259" i="44" s="1"/>
  <c r="T409" i="25"/>
  <c r="P267" i="44"/>
  <c r="R267" i="44" s="1"/>
  <c r="U267" i="44" s="1"/>
  <c r="K267" i="44"/>
  <c r="M267" i="44" s="1"/>
  <c r="T417" i="25"/>
  <c r="P275" i="44"/>
  <c r="R275" i="44" s="1"/>
  <c r="K275" i="44"/>
  <c r="M275" i="44" s="1"/>
  <c r="T425" i="25"/>
  <c r="P283" i="44"/>
  <c r="R283" i="44" s="1"/>
  <c r="K283" i="44"/>
  <c r="M283" i="44" s="1"/>
  <c r="T433" i="25"/>
  <c r="P291" i="44"/>
  <c r="R291" i="44" s="1"/>
  <c r="U291" i="44" s="1"/>
  <c r="K291" i="44"/>
  <c r="M291" i="44" s="1"/>
  <c r="T441" i="25"/>
  <c r="P299" i="44"/>
  <c r="R299" i="44" s="1"/>
  <c r="U299" i="44" s="1"/>
  <c r="K299" i="44"/>
  <c r="M299" i="44" s="1"/>
  <c r="T669" i="25"/>
  <c r="P307" i="44"/>
  <c r="R307" i="44" s="1"/>
  <c r="U307" i="44" s="1"/>
  <c r="K307" i="44"/>
  <c r="M307" i="44" s="1"/>
  <c r="T677" i="25"/>
  <c r="T681" i="25"/>
  <c r="T685" i="25"/>
  <c r="T689" i="25"/>
  <c r="T693" i="25"/>
  <c r="T697" i="25"/>
  <c r="T701" i="25"/>
  <c r="X705" i="25"/>
  <c r="P705" i="25"/>
  <c r="T709" i="25"/>
  <c r="T713" i="25"/>
  <c r="T722" i="25"/>
  <c r="T730" i="25"/>
  <c r="U398" i="44"/>
  <c r="AC239" i="37"/>
  <c r="T78" i="37"/>
  <c r="V78" i="37" s="1"/>
  <c r="Z78" i="37" s="1"/>
  <c r="AC78" i="37" s="1"/>
  <c r="X78" i="37"/>
  <c r="K78" i="37"/>
  <c r="O78" i="37" s="1"/>
  <c r="Q78" i="37" s="1"/>
  <c r="H6" i="32"/>
  <c r="J95" i="32" s="1"/>
  <c r="T256" i="25"/>
  <c r="Z119" i="37"/>
  <c r="AC119" i="37" s="1"/>
  <c r="P126" i="44"/>
  <c r="R126" i="44" s="1"/>
  <c r="K126" i="44"/>
  <c r="M126" i="44" s="1"/>
  <c r="T142" i="37"/>
  <c r="V142" i="37" s="1"/>
  <c r="Z142" i="37" s="1"/>
  <c r="X142" i="37"/>
  <c r="K142" i="37"/>
  <c r="O142" i="37" s="1"/>
  <c r="Q142" i="37" s="1"/>
  <c r="H70" i="32"/>
  <c r="X320" i="25"/>
  <c r="P320" i="25"/>
  <c r="Y320" i="25" s="1"/>
  <c r="Z183" i="37"/>
  <c r="AC183" i="37" s="1"/>
  <c r="P190" i="44"/>
  <c r="R190" i="44" s="1"/>
  <c r="U190" i="44" s="1"/>
  <c r="K190" i="44"/>
  <c r="M190" i="44" s="1"/>
  <c r="P206" i="44"/>
  <c r="R206" i="44" s="1"/>
  <c r="K206" i="44"/>
  <c r="M206" i="44" s="1"/>
  <c r="T230" i="37"/>
  <c r="V230" i="37" s="1"/>
  <c r="Z230" i="37" s="1"/>
  <c r="X230" i="37"/>
  <c r="K230" i="37"/>
  <c r="O230" i="37" s="1"/>
  <c r="Q230" i="37" s="1"/>
  <c r="H158" i="32"/>
  <c r="T246" i="37"/>
  <c r="V246" i="37" s="1"/>
  <c r="Z246" i="37" s="1"/>
  <c r="X246" i="37"/>
  <c r="K246" i="37"/>
  <c r="O246" i="37" s="1"/>
  <c r="Q246" i="37" s="1"/>
  <c r="H174" i="32"/>
  <c r="T262" i="37"/>
  <c r="V262" i="37" s="1"/>
  <c r="X262" i="37"/>
  <c r="K262" i="37"/>
  <c r="O262" i="37" s="1"/>
  <c r="Q262" i="37" s="1"/>
  <c r="H190" i="32"/>
  <c r="K278" i="44"/>
  <c r="M278" i="44" s="1"/>
  <c r="P278" i="44"/>
  <c r="R278" i="44" s="1"/>
  <c r="X668" i="25"/>
  <c r="P668" i="25"/>
  <c r="Y668" i="25" s="1"/>
  <c r="T318" i="37"/>
  <c r="V318" i="37" s="1"/>
  <c r="Z318" i="37" s="1"/>
  <c r="AC318" i="37" s="1"/>
  <c r="X318" i="37"/>
  <c r="K318" i="37"/>
  <c r="O318" i="37" s="1"/>
  <c r="Q318" i="37" s="1"/>
  <c r="H246" i="32"/>
  <c r="K214" i="44"/>
  <c r="M214" i="44" s="1"/>
  <c r="P214" i="44"/>
  <c r="R214" i="44" s="1"/>
  <c r="T82" i="37"/>
  <c r="V82" i="37" s="1"/>
  <c r="X82" i="37"/>
  <c r="K82" i="37"/>
  <c r="O82" i="37" s="1"/>
  <c r="Q82" i="37" s="1"/>
  <c r="H10" i="32"/>
  <c r="J51" i="32" s="1"/>
  <c r="T244" i="25"/>
  <c r="Z107" i="37"/>
  <c r="AC107" i="37" s="1"/>
  <c r="X260" i="25"/>
  <c r="P260" i="25"/>
  <c r="Y260" i="25" s="1"/>
  <c r="P130" i="44"/>
  <c r="R130" i="44" s="1"/>
  <c r="K130" i="44"/>
  <c r="M130" i="44" s="1"/>
  <c r="T146" i="37"/>
  <c r="V146" i="37" s="1"/>
  <c r="Z146" i="37" s="1"/>
  <c r="X146" i="37"/>
  <c r="K146" i="37"/>
  <c r="O146" i="37" s="1"/>
  <c r="Q146" i="37" s="1"/>
  <c r="H74" i="32"/>
  <c r="X308" i="25"/>
  <c r="P308" i="25"/>
  <c r="Z171" i="37"/>
  <c r="AC171" i="37" s="1"/>
  <c r="P194" i="44"/>
  <c r="R194" i="44" s="1"/>
  <c r="K194" i="44"/>
  <c r="M194" i="44" s="1"/>
  <c r="T210" i="37"/>
  <c r="V210" i="37" s="1"/>
  <c r="Z210" i="37" s="1"/>
  <c r="AC210" i="37" s="1"/>
  <c r="X210" i="37"/>
  <c r="K210" i="37"/>
  <c r="O210" i="37" s="1"/>
  <c r="Q210" i="37" s="1"/>
  <c r="H138" i="32"/>
  <c r="X380" i="25"/>
  <c r="P380" i="25"/>
  <c r="X396" i="25"/>
  <c r="P396" i="25"/>
  <c r="Y396" i="25" s="1"/>
  <c r="P258" i="44"/>
  <c r="R258" i="44" s="1"/>
  <c r="U258" i="44" s="1"/>
  <c r="K258" i="44"/>
  <c r="M258" i="44" s="1"/>
  <c r="T274" i="37"/>
  <c r="V274" i="37" s="1"/>
  <c r="X274" i="37"/>
  <c r="K274" i="37"/>
  <c r="O274" i="37" s="1"/>
  <c r="Q274" i="37" s="1"/>
  <c r="H202" i="32"/>
  <c r="T436" i="25"/>
  <c r="Z207" i="37"/>
  <c r="AC207" i="37" s="1"/>
  <c r="X232" i="25"/>
  <c r="P232" i="25"/>
  <c r="Y232" i="25" s="1"/>
  <c r="X296" i="25"/>
  <c r="P296" i="25"/>
  <c r="Y296" i="25" s="1"/>
  <c r="X312" i="25"/>
  <c r="P312" i="25"/>
  <c r="Y312" i="25" s="1"/>
  <c r="X328" i="25"/>
  <c r="P328" i="25"/>
  <c r="Y328" i="25" s="1"/>
  <c r="X344" i="25"/>
  <c r="P344" i="25"/>
  <c r="Y344" i="25" s="1"/>
  <c r="T360" i="25"/>
  <c r="X368" i="25"/>
  <c r="P368" i="25"/>
  <c r="Y368" i="25" s="1"/>
  <c r="P238" i="44"/>
  <c r="R238" i="44" s="1"/>
  <c r="K238" i="44"/>
  <c r="M238" i="44" s="1"/>
  <c r="P254" i="44"/>
  <c r="R254" i="44" s="1"/>
  <c r="K254" i="44"/>
  <c r="M254" i="44" s="1"/>
  <c r="T270" i="37"/>
  <c r="V270" i="37" s="1"/>
  <c r="Z270" i="37" s="1"/>
  <c r="AC270" i="37" s="1"/>
  <c r="X270" i="37"/>
  <c r="K270" i="37"/>
  <c r="O270" i="37" s="1"/>
  <c r="Q270" i="37" s="1"/>
  <c r="H198" i="32"/>
  <c r="K294" i="44"/>
  <c r="M294" i="44" s="1"/>
  <c r="P294" i="44"/>
  <c r="R294" i="44" s="1"/>
  <c r="T310" i="37"/>
  <c r="V310" i="37" s="1"/>
  <c r="X310" i="37"/>
  <c r="K310" i="37"/>
  <c r="O310" i="37" s="1"/>
  <c r="Q310" i="37" s="1"/>
  <c r="H238" i="32"/>
  <c r="AC319" i="37"/>
  <c r="T692" i="25"/>
  <c r="AC255" i="37"/>
  <c r="X708" i="25"/>
  <c r="P708" i="25"/>
  <c r="Y708" i="25" s="1"/>
  <c r="P359" i="44"/>
  <c r="R359" i="44" s="1"/>
  <c r="U359" i="44" s="1"/>
  <c r="K359" i="44"/>
  <c r="M359" i="44" s="1"/>
  <c r="X738" i="25"/>
  <c r="P738" i="25"/>
  <c r="Y738" i="25" s="1"/>
  <c r="T375" i="37"/>
  <c r="V375" i="37" s="1"/>
  <c r="Z375" i="37" s="1"/>
  <c r="AC375" i="37" s="1"/>
  <c r="H303" i="32"/>
  <c r="K375" i="37"/>
  <c r="O375" i="37" s="1"/>
  <c r="Q375" i="37" s="1"/>
  <c r="X375" i="37"/>
  <c r="X754" i="25"/>
  <c r="P754" i="25"/>
  <c r="Y754" i="25" s="1"/>
  <c r="T391" i="37"/>
  <c r="V391" i="37" s="1"/>
  <c r="H319" i="32"/>
  <c r="K391" i="37"/>
  <c r="O391" i="37" s="1"/>
  <c r="Q391" i="37" s="1"/>
  <c r="X391" i="37"/>
  <c r="X770" i="25"/>
  <c r="P770" i="25"/>
  <c r="Y770" i="25" s="1"/>
  <c r="K408" i="37"/>
  <c r="O408" i="37" s="1"/>
  <c r="Q408" i="37" s="1"/>
  <c r="X408" i="37"/>
  <c r="H336" i="32"/>
  <c r="T408" i="37"/>
  <c r="V408" i="37" s="1"/>
  <c r="Z408" i="37" s="1"/>
  <c r="T787" i="25"/>
  <c r="P424" i="44"/>
  <c r="R424" i="44" s="1"/>
  <c r="U424" i="44" s="1"/>
  <c r="K424" i="44"/>
  <c r="M424" i="44" s="1"/>
  <c r="Z426" i="37"/>
  <c r="AC426" i="37" s="1"/>
  <c r="T433" i="37"/>
  <c r="V433" i="37" s="1"/>
  <c r="Z433" i="37" s="1"/>
  <c r="AC433" i="37" s="1"/>
  <c r="H361" i="32"/>
  <c r="K433" i="37"/>
  <c r="O433" i="37" s="1"/>
  <c r="Q433" i="37" s="1"/>
  <c r="X433" i="37"/>
  <c r="T446" i="37"/>
  <c r="V446" i="37" s="1"/>
  <c r="Z446" i="37" s="1"/>
  <c r="AC446" i="37" s="1"/>
  <c r="K446" i="37"/>
  <c r="O446" i="37" s="1"/>
  <c r="Q446" i="37" s="1"/>
  <c r="X446" i="37"/>
  <c r="H374" i="32"/>
  <c r="T465" i="37"/>
  <c r="V465" i="37" s="1"/>
  <c r="H393" i="32"/>
  <c r="K465" i="37"/>
  <c r="O465" i="37" s="1"/>
  <c r="Q465" i="37" s="1"/>
  <c r="X465" i="37"/>
  <c r="T478" i="37"/>
  <c r="V478" i="37" s="1"/>
  <c r="K478" i="37"/>
  <c r="O478" i="37" s="1"/>
  <c r="Q478" i="37" s="1"/>
  <c r="X478" i="37"/>
  <c r="H406" i="32"/>
  <c r="T497" i="37"/>
  <c r="V497" i="37" s="1"/>
  <c r="H425" i="32"/>
  <c r="K497" i="37"/>
  <c r="O497" i="37" s="1"/>
  <c r="Q497" i="37" s="1"/>
  <c r="X497" i="37"/>
  <c r="T510" i="37"/>
  <c r="V510" i="37" s="1"/>
  <c r="K510" i="37"/>
  <c r="O510" i="37" s="1"/>
  <c r="Q510" i="37" s="1"/>
  <c r="X510" i="37"/>
  <c r="H438" i="32"/>
  <c r="O78" i="44"/>
  <c r="Q78" i="44" s="1"/>
  <c r="J78" i="44"/>
  <c r="L78" i="44" s="1"/>
  <c r="S79" i="37"/>
  <c r="U79" i="37" s="1"/>
  <c r="Y79" i="37" s="1"/>
  <c r="AA79" i="37" s="1"/>
  <c r="AE79" i="37" s="1"/>
  <c r="AB79" i="37" s="1"/>
  <c r="W79" i="37"/>
  <c r="J79" i="37"/>
  <c r="L79" i="37" s="1"/>
  <c r="N79" i="37" s="1"/>
  <c r="G7" i="32"/>
  <c r="T8" i="25"/>
  <c r="O86" i="44"/>
  <c r="Q86" i="44" s="1"/>
  <c r="S86" i="44" s="1"/>
  <c r="W86" i="44" s="1"/>
  <c r="T86" i="44" s="1"/>
  <c r="J86" i="44"/>
  <c r="L86" i="44" s="1"/>
  <c r="S87" i="37"/>
  <c r="U87" i="37" s="1"/>
  <c r="W87" i="37"/>
  <c r="J87" i="37"/>
  <c r="L87" i="37" s="1"/>
  <c r="N87" i="37" s="1"/>
  <c r="G15" i="32"/>
  <c r="X16" i="25"/>
  <c r="P16" i="25"/>
  <c r="Y16" i="25" s="1"/>
  <c r="O94" i="44"/>
  <c r="Q94" i="44" s="1"/>
  <c r="S94" i="44" s="1"/>
  <c r="W94" i="44" s="1"/>
  <c r="T94" i="44" s="1"/>
  <c r="J94" i="44"/>
  <c r="L94" i="44" s="1"/>
  <c r="S95" i="37"/>
  <c r="U95" i="37" s="1"/>
  <c r="W95" i="37"/>
  <c r="J95" i="37"/>
  <c r="L95" i="37" s="1"/>
  <c r="N95" i="37" s="1"/>
  <c r="G23" i="32"/>
  <c r="O102" i="44"/>
  <c r="Q102" i="44" s="1"/>
  <c r="J102" i="44"/>
  <c r="L102" i="44" s="1"/>
  <c r="S103" i="37"/>
  <c r="U103" i="37" s="1"/>
  <c r="Y103" i="37" s="1"/>
  <c r="W103" i="37"/>
  <c r="J103" i="37"/>
  <c r="L103" i="37" s="1"/>
  <c r="N103" i="37" s="1"/>
  <c r="G31" i="32"/>
  <c r="T32" i="25"/>
  <c r="O110" i="44"/>
  <c r="Q110" i="44" s="1"/>
  <c r="J110" i="44"/>
  <c r="L110" i="44" s="1"/>
  <c r="S111" i="37"/>
  <c r="U111" i="37" s="1"/>
  <c r="Y111" i="37" s="1"/>
  <c r="AA111" i="37" s="1"/>
  <c r="AE111" i="37" s="1"/>
  <c r="AB111" i="37" s="1"/>
  <c r="W111" i="37"/>
  <c r="J111" i="37"/>
  <c r="L111" i="37" s="1"/>
  <c r="N111" i="37" s="1"/>
  <c r="G39" i="32"/>
  <c r="T40" i="25"/>
  <c r="O118" i="44"/>
  <c r="Q118" i="44" s="1"/>
  <c r="S118" i="44" s="1"/>
  <c r="W118" i="44" s="1"/>
  <c r="T118" i="44" s="1"/>
  <c r="J118" i="44"/>
  <c r="L118" i="44" s="1"/>
  <c r="S119" i="37"/>
  <c r="U119" i="37" s="1"/>
  <c r="W119" i="37"/>
  <c r="J119" i="37"/>
  <c r="L119" i="37" s="1"/>
  <c r="N119" i="37" s="1"/>
  <c r="G47" i="32"/>
  <c r="O126" i="44"/>
  <c r="Q126" i="44" s="1"/>
  <c r="J126" i="44"/>
  <c r="L126" i="44" s="1"/>
  <c r="S127" i="37"/>
  <c r="U127" i="37" s="1"/>
  <c r="Y127" i="37" s="1"/>
  <c r="W127" i="37"/>
  <c r="J127" i="37"/>
  <c r="L127" i="37" s="1"/>
  <c r="N127" i="37" s="1"/>
  <c r="G55" i="32"/>
  <c r="O134" i="44"/>
  <c r="Q134" i="44" s="1"/>
  <c r="S134" i="44" s="1"/>
  <c r="W134" i="44" s="1"/>
  <c r="T134" i="44" s="1"/>
  <c r="J134" i="44"/>
  <c r="L134" i="44" s="1"/>
  <c r="S135" i="37"/>
  <c r="U135" i="37" s="1"/>
  <c r="W135" i="37"/>
  <c r="J135" i="37"/>
  <c r="L135" i="37" s="1"/>
  <c r="N135" i="37" s="1"/>
  <c r="G63" i="32"/>
  <c r="T64" i="25"/>
  <c r="O142" i="44"/>
  <c r="Q142" i="44" s="1"/>
  <c r="S142" i="44" s="1"/>
  <c r="W142" i="44" s="1"/>
  <c r="T142" i="44" s="1"/>
  <c r="J142" i="44"/>
  <c r="L142" i="44" s="1"/>
  <c r="S143" i="37"/>
  <c r="U143" i="37" s="1"/>
  <c r="W143" i="37"/>
  <c r="J143" i="37"/>
  <c r="L143" i="37" s="1"/>
  <c r="N143" i="37" s="1"/>
  <c r="G71" i="32"/>
  <c r="T72" i="25"/>
  <c r="O150" i="44"/>
  <c r="Q150" i="44" s="1"/>
  <c r="J150" i="44"/>
  <c r="L150" i="44" s="1"/>
  <c r="S151" i="37"/>
  <c r="U151" i="37" s="1"/>
  <c r="Y151" i="37" s="1"/>
  <c r="W151" i="37"/>
  <c r="J151" i="37"/>
  <c r="L151" i="37" s="1"/>
  <c r="N151" i="37" s="1"/>
  <c r="G79" i="32"/>
  <c r="O158" i="44"/>
  <c r="Q158" i="44" s="1"/>
  <c r="S158" i="44" s="1"/>
  <c r="W158" i="44" s="1"/>
  <c r="T158" i="44" s="1"/>
  <c r="J158" i="44"/>
  <c r="L158" i="44" s="1"/>
  <c r="S159" i="37"/>
  <c r="U159" i="37" s="1"/>
  <c r="W159" i="37"/>
  <c r="J159" i="37"/>
  <c r="L159" i="37" s="1"/>
  <c r="N159" i="37" s="1"/>
  <c r="G87" i="32"/>
  <c r="O166" i="44"/>
  <c r="Q166" i="44" s="1"/>
  <c r="J166" i="44"/>
  <c r="L166" i="44" s="1"/>
  <c r="S167" i="37"/>
  <c r="U167" i="37" s="1"/>
  <c r="Y167" i="37" s="1"/>
  <c r="W167" i="37"/>
  <c r="J167" i="37"/>
  <c r="L167" i="37" s="1"/>
  <c r="N167" i="37" s="1"/>
  <c r="G95" i="32"/>
  <c r="T96" i="25"/>
  <c r="O174" i="44"/>
  <c r="Q174" i="44" s="1"/>
  <c r="J174" i="44"/>
  <c r="L174" i="44" s="1"/>
  <c r="S175" i="37"/>
  <c r="U175" i="37" s="1"/>
  <c r="Y175" i="37" s="1"/>
  <c r="AA175" i="37" s="1"/>
  <c r="AE175" i="37" s="1"/>
  <c r="AB175" i="37" s="1"/>
  <c r="W175" i="37"/>
  <c r="J175" i="37"/>
  <c r="L175" i="37" s="1"/>
  <c r="N175" i="37" s="1"/>
  <c r="G103" i="32"/>
  <c r="T104" i="25"/>
  <c r="O182" i="44"/>
  <c r="Q182" i="44" s="1"/>
  <c r="S182" i="44" s="1"/>
  <c r="W182" i="44" s="1"/>
  <c r="T182" i="44" s="1"/>
  <c r="J182" i="44"/>
  <c r="L182" i="44" s="1"/>
  <c r="S183" i="37"/>
  <c r="U183" i="37" s="1"/>
  <c r="W183" i="37"/>
  <c r="J183" i="37"/>
  <c r="L183" i="37" s="1"/>
  <c r="N183" i="37" s="1"/>
  <c r="G111" i="32"/>
  <c r="O190" i="44"/>
  <c r="Q190" i="44" s="1"/>
  <c r="J190" i="44"/>
  <c r="L190" i="44" s="1"/>
  <c r="S191" i="37"/>
  <c r="U191" i="37" s="1"/>
  <c r="Y191" i="37" s="1"/>
  <c r="W191" i="37"/>
  <c r="J191" i="37"/>
  <c r="L191" i="37" s="1"/>
  <c r="N191" i="37" s="1"/>
  <c r="G119" i="32"/>
  <c r="O198" i="44"/>
  <c r="Q198" i="44" s="1"/>
  <c r="S198" i="44" s="1"/>
  <c r="W198" i="44" s="1"/>
  <c r="T198" i="44" s="1"/>
  <c r="J198" i="44"/>
  <c r="L198" i="44" s="1"/>
  <c r="S199" i="37"/>
  <c r="U199" i="37" s="1"/>
  <c r="W199" i="37"/>
  <c r="J199" i="37"/>
  <c r="L199" i="37" s="1"/>
  <c r="N199" i="37" s="1"/>
  <c r="G127" i="32"/>
  <c r="T128" i="25"/>
  <c r="O206" i="44"/>
  <c r="Q206" i="44" s="1"/>
  <c r="S206" i="44" s="1"/>
  <c r="W206" i="44" s="1"/>
  <c r="T206" i="44" s="1"/>
  <c r="J206" i="44"/>
  <c r="L206" i="44" s="1"/>
  <c r="S207" i="37"/>
  <c r="U207" i="37" s="1"/>
  <c r="W207" i="37"/>
  <c r="J207" i="37"/>
  <c r="L207" i="37" s="1"/>
  <c r="N207" i="37" s="1"/>
  <c r="G135" i="32"/>
  <c r="T136" i="25"/>
  <c r="O214" i="44"/>
  <c r="Q214" i="44" s="1"/>
  <c r="J214" i="44"/>
  <c r="L214" i="44" s="1"/>
  <c r="S215" i="37"/>
  <c r="U215" i="37" s="1"/>
  <c r="Y215" i="37" s="1"/>
  <c r="W215" i="37"/>
  <c r="J215" i="37"/>
  <c r="L215" i="37" s="1"/>
  <c r="N215" i="37" s="1"/>
  <c r="G143" i="32"/>
  <c r="X144" i="25"/>
  <c r="P144" i="25"/>
  <c r="Y144" i="25" s="1"/>
  <c r="O222" i="44"/>
  <c r="Q222" i="44" s="1"/>
  <c r="J222" i="44"/>
  <c r="L222" i="44" s="1"/>
  <c r="S223" i="37"/>
  <c r="U223" i="37" s="1"/>
  <c r="Y223" i="37" s="1"/>
  <c r="W223" i="37"/>
  <c r="J223" i="37"/>
  <c r="L223" i="37" s="1"/>
  <c r="N223" i="37" s="1"/>
  <c r="G151" i="32"/>
  <c r="O230" i="44"/>
  <c r="Q230" i="44" s="1"/>
  <c r="S230" i="44" s="1"/>
  <c r="W230" i="44" s="1"/>
  <c r="T230" i="44" s="1"/>
  <c r="J230" i="44"/>
  <c r="L230" i="44" s="1"/>
  <c r="S231" i="37"/>
  <c r="U231" i="37" s="1"/>
  <c r="W231" i="37"/>
  <c r="J231" i="37"/>
  <c r="L231" i="37" s="1"/>
  <c r="N231" i="37" s="1"/>
  <c r="G159" i="32"/>
  <c r="T160" i="25"/>
  <c r="O238" i="44"/>
  <c r="Q238" i="44" s="1"/>
  <c r="S238" i="44" s="1"/>
  <c r="W238" i="44" s="1"/>
  <c r="T238" i="44" s="1"/>
  <c r="J238" i="44"/>
  <c r="L238" i="44" s="1"/>
  <c r="S239" i="37"/>
  <c r="U239" i="37" s="1"/>
  <c r="W239" i="37"/>
  <c r="J239" i="37"/>
  <c r="L239" i="37" s="1"/>
  <c r="N239" i="37" s="1"/>
  <c r="G167" i="32"/>
  <c r="T168" i="25"/>
  <c r="O246" i="44"/>
  <c r="Q246" i="44" s="1"/>
  <c r="J246" i="44"/>
  <c r="L246" i="44" s="1"/>
  <c r="S247" i="37"/>
  <c r="U247" i="37" s="1"/>
  <c r="Y247" i="37" s="1"/>
  <c r="W247" i="37"/>
  <c r="J247" i="37"/>
  <c r="L247" i="37" s="1"/>
  <c r="N247" i="37" s="1"/>
  <c r="G175" i="32"/>
  <c r="O254" i="44"/>
  <c r="Q254" i="44" s="1"/>
  <c r="S254" i="44" s="1"/>
  <c r="W254" i="44" s="1"/>
  <c r="T254" i="44" s="1"/>
  <c r="J254" i="44"/>
  <c r="L254" i="44" s="1"/>
  <c r="S255" i="37"/>
  <c r="U255" i="37" s="1"/>
  <c r="W255" i="37"/>
  <c r="J255" i="37"/>
  <c r="L255" i="37" s="1"/>
  <c r="N255" i="37" s="1"/>
  <c r="G183" i="32"/>
  <c r="O262" i="44"/>
  <c r="Q262" i="44" s="1"/>
  <c r="J262" i="44"/>
  <c r="L262" i="44" s="1"/>
  <c r="S263" i="37"/>
  <c r="U263" i="37" s="1"/>
  <c r="Y263" i="37" s="1"/>
  <c r="W263" i="37"/>
  <c r="J263" i="37"/>
  <c r="L263" i="37" s="1"/>
  <c r="N263" i="37" s="1"/>
  <c r="G191" i="32"/>
  <c r="T192" i="25"/>
  <c r="O270" i="44"/>
  <c r="Q270" i="44" s="1"/>
  <c r="J270" i="44"/>
  <c r="L270" i="44" s="1"/>
  <c r="S271" i="37"/>
  <c r="U271" i="37" s="1"/>
  <c r="Y271" i="37" s="1"/>
  <c r="AA271" i="37" s="1"/>
  <c r="AE271" i="37" s="1"/>
  <c r="AB271" i="37" s="1"/>
  <c r="AF271" i="37" s="1"/>
  <c r="W271" i="37"/>
  <c r="J271" i="37"/>
  <c r="L271" i="37" s="1"/>
  <c r="N271" i="37" s="1"/>
  <c r="G199" i="32"/>
  <c r="T200" i="25"/>
  <c r="O278" i="44"/>
  <c r="Q278" i="44" s="1"/>
  <c r="S278" i="44" s="1"/>
  <c r="W278" i="44" s="1"/>
  <c r="T278" i="44" s="1"/>
  <c r="J278" i="44"/>
  <c r="L278" i="44" s="1"/>
  <c r="S279" i="37"/>
  <c r="U279" i="37" s="1"/>
  <c r="W279" i="37"/>
  <c r="J279" i="37"/>
  <c r="L279" i="37" s="1"/>
  <c r="N279" i="37" s="1"/>
  <c r="G207" i="32"/>
  <c r="O286" i="44"/>
  <c r="Q286" i="44" s="1"/>
  <c r="J286" i="44"/>
  <c r="L286" i="44" s="1"/>
  <c r="S287" i="37"/>
  <c r="U287" i="37" s="1"/>
  <c r="Y287" i="37" s="1"/>
  <c r="W287" i="37"/>
  <c r="J287" i="37"/>
  <c r="L287" i="37" s="1"/>
  <c r="N287" i="37" s="1"/>
  <c r="G215" i="32"/>
  <c r="O294" i="44"/>
  <c r="Q294" i="44" s="1"/>
  <c r="S294" i="44" s="1"/>
  <c r="W294" i="44" s="1"/>
  <c r="T294" i="44" s="1"/>
  <c r="J294" i="44"/>
  <c r="L294" i="44" s="1"/>
  <c r="S295" i="37"/>
  <c r="U295" i="37" s="1"/>
  <c r="W295" i="37"/>
  <c r="J295" i="37"/>
  <c r="L295" i="37" s="1"/>
  <c r="N295" i="37" s="1"/>
  <c r="G223" i="32"/>
  <c r="T444" i="25"/>
  <c r="O302" i="44"/>
  <c r="Q302" i="44" s="1"/>
  <c r="S302" i="44" s="1"/>
  <c r="W302" i="44" s="1"/>
  <c r="T302" i="44" s="1"/>
  <c r="J302" i="44"/>
  <c r="L302" i="44" s="1"/>
  <c r="S303" i="37"/>
  <c r="U303" i="37" s="1"/>
  <c r="W303" i="37"/>
  <c r="J303" i="37"/>
  <c r="L303" i="37" s="1"/>
  <c r="N303" i="37" s="1"/>
  <c r="G231" i="32"/>
  <c r="T452" i="25"/>
  <c r="O311" i="44"/>
  <c r="Q311" i="44" s="1"/>
  <c r="J311" i="44"/>
  <c r="L311" i="44" s="1"/>
  <c r="S312" i="37"/>
  <c r="U312" i="37" s="1"/>
  <c r="Y312" i="37" s="1"/>
  <c r="W312" i="37"/>
  <c r="J312" i="37"/>
  <c r="L312" i="37" s="1"/>
  <c r="N312" i="37" s="1"/>
  <c r="G240" i="32"/>
  <c r="T461" i="25"/>
  <c r="O319" i="44"/>
  <c r="Q319" i="44" s="1"/>
  <c r="J319" i="44"/>
  <c r="L319" i="44" s="1"/>
  <c r="S320" i="37"/>
  <c r="U320" i="37" s="1"/>
  <c r="Y320" i="37" s="1"/>
  <c r="AA320" i="37" s="1"/>
  <c r="AE320" i="37" s="1"/>
  <c r="AB320" i="37" s="1"/>
  <c r="AF320" i="37" s="1"/>
  <c r="W320" i="37"/>
  <c r="J320" i="37"/>
  <c r="L320" i="37" s="1"/>
  <c r="N320" i="37" s="1"/>
  <c r="G248" i="32"/>
  <c r="T469" i="25"/>
  <c r="O327" i="44"/>
  <c r="Q327" i="44" s="1"/>
  <c r="S327" i="44" s="1"/>
  <c r="W327" i="44" s="1"/>
  <c r="T327" i="44" s="1"/>
  <c r="J327" i="44"/>
  <c r="L327" i="44" s="1"/>
  <c r="S328" i="37"/>
  <c r="U328" i="37" s="1"/>
  <c r="W328" i="37"/>
  <c r="J328" i="37"/>
  <c r="L328" i="37" s="1"/>
  <c r="N328" i="37" s="1"/>
  <c r="G256" i="32"/>
  <c r="T477" i="25"/>
  <c r="O335" i="44"/>
  <c r="Q335" i="44" s="1"/>
  <c r="S335" i="44" s="1"/>
  <c r="W335" i="44" s="1"/>
  <c r="T335" i="44" s="1"/>
  <c r="J335" i="44"/>
  <c r="L335" i="44" s="1"/>
  <c r="S336" i="37"/>
  <c r="U336" i="37" s="1"/>
  <c r="W336" i="37"/>
  <c r="J336" i="37"/>
  <c r="L336" i="37" s="1"/>
  <c r="N336" i="37" s="1"/>
  <c r="G264" i="32"/>
  <c r="T485" i="25"/>
  <c r="O343" i="44"/>
  <c r="Q343" i="44" s="1"/>
  <c r="J343" i="44"/>
  <c r="L343" i="44" s="1"/>
  <c r="S344" i="37"/>
  <c r="U344" i="37" s="1"/>
  <c r="Y344" i="37" s="1"/>
  <c r="W344" i="37"/>
  <c r="J344" i="37"/>
  <c r="L344" i="37" s="1"/>
  <c r="N344" i="37" s="1"/>
  <c r="G272" i="32"/>
  <c r="T493" i="25"/>
  <c r="O351" i="44"/>
  <c r="Q351" i="44" s="1"/>
  <c r="J351" i="44"/>
  <c r="L351" i="44" s="1"/>
  <c r="S352" i="37"/>
  <c r="U352" i="37" s="1"/>
  <c r="Y352" i="37" s="1"/>
  <c r="AA352" i="37" s="1"/>
  <c r="AE352" i="37" s="1"/>
  <c r="AB352" i="37" s="1"/>
  <c r="W352" i="37"/>
  <c r="J352" i="37"/>
  <c r="L352" i="37" s="1"/>
  <c r="N352" i="37" s="1"/>
  <c r="G280" i="32"/>
  <c r="T501" i="25"/>
  <c r="O359" i="44"/>
  <c r="Q359" i="44" s="1"/>
  <c r="S359" i="44" s="1"/>
  <c r="W359" i="44" s="1"/>
  <c r="T359" i="44" s="1"/>
  <c r="X359" i="44" s="1"/>
  <c r="J359" i="44"/>
  <c r="L359" i="44" s="1"/>
  <c r="S360" i="37"/>
  <c r="U360" i="37" s="1"/>
  <c r="W360" i="37"/>
  <c r="J360" i="37"/>
  <c r="L360" i="37" s="1"/>
  <c r="N360" i="37" s="1"/>
  <c r="G288" i="32"/>
  <c r="T509" i="25"/>
  <c r="O367" i="44"/>
  <c r="Q367" i="44" s="1"/>
  <c r="S367" i="44" s="1"/>
  <c r="W367" i="44" s="1"/>
  <c r="T367" i="44" s="1"/>
  <c r="J367" i="44"/>
  <c r="L367" i="44" s="1"/>
  <c r="S368" i="37"/>
  <c r="U368" i="37" s="1"/>
  <c r="W368" i="37"/>
  <c r="J368" i="37"/>
  <c r="L368" i="37" s="1"/>
  <c r="N368" i="37" s="1"/>
  <c r="G296" i="32"/>
  <c r="T517" i="25"/>
  <c r="O375" i="44"/>
  <c r="Q375" i="44" s="1"/>
  <c r="J375" i="44"/>
  <c r="L375" i="44" s="1"/>
  <c r="S376" i="37"/>
  <c r="U376" i="37" s="1"/>
  <c r="Y376" i="37" s="1"/>
  <c r="W376" i="37"/>
  <c r="J376" i="37"/>
  <c r="L376" i="37" s="1"/>
  <c r="N376" i="37" s="1"/>
  <c r="G304" i="32"/>
  <c r="T525" i="25"/>
  <c r="O383" i="44"/>
  <c r="Q383" i="44" s="1"/>
  <c r="J383" i="44"/>
  <c r="L383" i="44" s="1"/>
  <c r="S384" i="37"/>
  <c r="U384" i="37" s="1"/>
  <c r="Y384" i="37" s="1"/>
  <c r="AA384" i="37" s="1"/>
  <c r="AE384" i="37" s="1"/>
  <c r="AB384" i="37" s="1"/>
  <c r="W384" i="37"/>
  <c r="J384" i="37"/>
  <c r="L384" i="37" s="1"/>
  <c r="N384" i="37" s="1"/>
  <c r="G312" i="32"/>
  <c r="T533" i="25"/>
  <c r="O391" i="44"/>
  <c r="Q391" i="44" s="1"/>
  <c r="S391" i="44" s="1"/>
  <c r="W391" i="44" s="1"/>
  <c r="T391" i="44" s="1"/>
  <c r="J391" i="44"/>
  <c r="L391" i="44" s="1"/>
  <c r="S392" i="37"/>
  <c r="U392" i="37" s="1"/>
  <c r="W392" i="37"/>
  <c r="J392" i="37"/>
  <c r="L392" i="37" s="1"/>
  <c r="N392" i="37" s="1"/>
  <c r="G320" i="32"/>
  <c r="T541" i="25"/>
  <c r="O399" i="44"/>
  <c r="Q399" i="44" s="1"/>
  <c r="S399" i="44" s="1"/>
  <c r="W399" i="44" s="1"/>
  <c r="T399" i="44" s="1"/>
  <c r="J399" i="44"/>
  <c r="L399" i="44" s="1"/>
  <c r="S400" i="37"/>
  <c r="U400" i="37" s="1"/>
  <c r="W400" i="37"/>
  <c r="J400" i="37"/>
  <c r="L400" i="37" s="1"/>
  <c r="N400" i="37" s="1"/>
  <c r="G328" i="32"/>
  <c r="T549" i="25"/>
  <c r="O407" i="44"/>
  <c r="Q407" i="44" s="1"/>
  <c r="J407" i="44"/>
  <c r="L407" i="44" s="1"/>
  <c r="S408" i="37"/>
  <c r="U408" i="37" s="1"/>
  <c r="Y408" i="37" s="1"/>
  <c r="W408" i="37"/>
  <c r="J408" i="37"/>
  <c r="L408" i="37" s="1"/>
  <c r="N408" i="37" s="1"/>
  <c r="G336" i="32"/>
  <c r="T557" i="25"/>
  <c r="O415" i="44"/>
  <c r="Q415" i="44" s="1"/>
  <c r="J415" i="44"/>
  <c r="L415" i="44" s="1"/>
  <c r="S416" i="37"/>
  <c r="U416" i="37" s="1"/>
  <c r="Y416" i="37" s="1"/>
  <c r="AA416" i="37" s="1"/>
  <c r="AE416" i="37" s="1"/>
  <c r="AB416" i="37" s="1"/>
  <c r="W416" i="37"/>
  <c r="J416" i="37"/>
  <c r="L416" i="37" s="1"/>
  <c r="N416" i="37" s="1"/>
  <c r="G344" i="32"/>
  <c r="T565" i="25"/>
  <c r="O423" i="44"/>
  <c r="Q423" i="44" s="1"/>
  <c r="S423" i="44" s="1"/>
  <c r="W423" i="44" s="1"/>
  <c r="T423" i="44" s="1"/>
  <c r="J423" i="44"/>
  <c r="L423" i="44" s="1"/>
  <c r="S424" i="37"/>
  <c r="U424" i="37" s="1"/>
  <c r="W424" i="37"/>
  <c r="J424" i="37"/>
  <c r="L424" i="37" s="1"/>
  <c r="N424" i="37" s="1"/>
  <c r="G352" i="32"/>
  <c r="T573" i="25"/>
  <c r="O431" i="44"/>
  <c r="Q431" i="44" s="1"/>
  <c r="S431" i="44" s="1"/>
  <c r="W431" i="44" s="1"/>
  <c r="T431" i="44" s="1"/>
  <c r="J431" i="44"/>
  <c r="L431" i="44" s="1"/>
  <c r="S432" i="37"/>
  <c r="U432" i="37" s="1"/>
  <c r="W432" i="37"/>
  <c r="J432" i="37"/>
  <c r="L432" i="37" s="1"/>
  <c r="N432" i="37" s="1"/>
  <c r="G360" i="32"/>
  <c r="T581" i="25"/>
  <c r="O439" i="44"/>
  <c r="Q439" i="44" s="1"/>
  <c r="J439" i="44"/>
  <c r="L439" i="44" s="1"/>
  <c r="S440" i="37"/>
  <c r="U440" i="37" s="1"/>
  <c r="Y440" i="37" s="1"/>
  <c r="W440" i="37"/>
  <c r="J440" i="37"/>
  <c r="L440" i="37" s="1"/>
  <c r="N440" i="37" s="1"/>
  <c r="G368" i="32"/>
  <c r="T589" i="25"/>
  <c r="O447" i="44"/>
  <c r="Q447" i="44" s="1"/>
  <c r="J447" i="44"/>
  <c r="L447" i="44" s="1"/>
  <c r="S448" i="37"/>
  <c r="U448" i="37" s="1"/>
  <c r="Y448" i="37" s="1"/>
  <c r="AA448" i="37" s="1"/>
  <c r="AE448" i="37" s="1"/>
  <c r="AB448" i="37" s="1"/>
  <c r="W448" i="37"/>
  <c r="J448" i="37"/>
  <c r="L448" i="37" s="1"/>
  <c r="N448" i="37" s="1"/>
  <c r="G376" i="32"/>
  <c r="T597" i="25"/>
  <c r="O455" i="44"/>
  <c r="Q455" i="44" s="1"/>
  <c r="S455" i="44" s="1"/>
  <c r="W455" i="44" s="1"/>
  <c r="T455" i="44" s="1"/>
  <c r="J455" i="44"/>
  <c r="L455" i="44" s="1"/>
  <c r="S456" i="37"/>
  <c r="U456" i="37" s="1"/>
  <c r="W456" i="37"/>
  <c r="J456" i="37"/>
  <c r="L456" i="37" s="1"/>
  <c r="N456" i="37" s="1"/>
  <c r="G384" i="32"/>
  <c r="T605" i="25"/>
  <c r="O463" i="44"/>
  <c r="Q463" i="44" s="1"/>
  <c r="S463" i="44" s="1"/>
  <c r="W463" i="44" s="1"/>
  <c r="T463" i="44" s="1"/>
  <c r="J463" i="44"/>
  <c r="L463" i="44" s="1"/>
  <c r="S464" i="37"/>
  <c r="U464" i="37" s="1"/>
  <c r="W464" i="37"/>
  <c r="J464" i="37"/>
  <c r="L464" i="37" s="1"/>
  <c r="N464" i="37" s="1"/>
  <c r="G392" i="32"/>
  <c r="T613" i="25"/>
  <c r="O471" i="44"/>
  <c r="Q471" i="44" s="1"/>
  <c r="J471" i="44"/>
  <c r="L471" i="44" s="1"/>
  <c r="S472" i="37"/>
  <c r="U472" i="37" s="1"/>
  <c r="Y472" i="37" s="1"/>
  <c r="W472" i="37"/>
  <c r="J472" i="37"/>
  <c r="L472" i="37" s="1"/>
  <c r="N472" i="37" s="1"/>
  <c r="G400" i="32"/>
  <c r="T621" i="25"/>
  <c r="O479" i="44"/>
  <c r="Q479" i="44" s="1"/>
  <c r="J479" i="44"/>
  <c r="L479" i="44" s="1"/>
  <c r="S480" i="37"/>
  <c r="U480" i="37" s="1"/>
  <c r="Y480" i="37" s="1"/>
  <c r="AA480" i="37" s="1"/>
  <c r="AE480" i="37" s="1"/>
  <c r="AB480" i="37" s="1"/>
  <c r="W480" i="37"/>
  <c r="J480" i="37"/>
  <c r="L480" i="37" s="1"/>
  <c r="N480" i="37" s="1"/>
  <c r="G408" i="32"/>
  <c r="T629" i="25"/>
  <c r="O487" i="44"/>
  <c r="Q487" i="44" s="1"/>
  <c r="S487" i="44" s="1"/>
  <c r="W487" i="44" s="1"/>
  <c r="T487" i="44" s="1"/>
  <c r="J487" i="44"/>
  <c r="L487" i="44" s="1"/>
  <c r="S488" i="37"/>
  <c r="U488" i="37" s="1"/>
  <c r="W488" i="37"/>
  <c r="J488" i="37"/>
  <c r="L488" i="37" s="1"/>
  <c r="N488" i="37" s="1"/>
  <c r="G416" i="32"/>
  <c r="T637" i="25"/>
  <c r="O495" i="44"/>
  <c r="Q495" i="44" s="1"/>
  <c r="S495" i="44" s="1"/>
  <c r="W495" i="44" s="1"/>
  <c r="T495" i="44" s="1"/>
  <c r="J495" i="44"/>
  <c r="L495" i="44" s="1"/>
  <c r="S496" i="37"/>
  <c r="U496" i="37" s="1"/>
  <c r="W496" i="37"/>
  <c r="J496" i="37"/>
  <c r="L496" i="37" s="1"/>
  <c r="N496" i="37" s="1"/>
  <c r="G424" i="32"/>
  <c r="T645" i="25"/>
  <c r="O503" i="44"/>
  <c r="Q503" i="44" s="1"/>
  <c r="J503" i="44"/>
  <c r="L503" i="44" s="1"/>
  <c r="S504" i="37"/>
  <c r="U504" i="37" s="1"/>
  <c r="Y504" i="37" s="1"/>
  <c r="W504" i="37"/>
  <c r="J504" i="37"/>
  <c r="L504" i="37" s="1"/>
  <c r="N504" i="37" s="1"/>
  <c r="G432" i="32"/>
  <c r="T653" i="25"/>
  <c r="T657" i="25"/>
  <c r="T661" i="25"/>
  <c r="Z83" i="37"/>
  <c r="AC83" i="37" s="1"/>
  <c r="P90" i="44"/>
  <c r="R90" i="44" s="1"/>
  <c r="K90" i="44"/>
  <c r="M90" i="44" s="1"/>
  <c r="T106" i="37"/>
  <c r="V106" i="37" s="1"/>
  <c r="Z106" i="37" s="1"/>
  <c r="AC106" i="37" s="1"/>
  <c r="X106" i="37"/>
  <c r="K106" i="37"/>
  <c r="O106" i="37" s="1"/>
  <c r="Q106" i="37" s="1"/>
  <c r="H34" i="32"/>
  <c r="T268" i="25"/>
  <c r="P154" i="44"/>
  <c r="R154" i="44" s="1"/>
  <c r="K154" i="44"/>
  <c r="M154" i="44" s="1"/>
  <c r="T170" i="37"/>
  <c r="V170" i="37" s="1"/>
  <c r="Z170" i="37" s="1"/>
  <c r="AC170" i="37" s="1"/>
  <c r="X170" i="37"/>
  <c r="K170" i="37"/>
  <c r="O170" i="37" s="1"/>
  <c r="Q170" i="37" s="1"/>
  <c r="H98" i="32"/>
  <c r="X332" i="25"/>
  <c r="P332" i="25"/>
  <c r="P218" i="44"/>
  <c r="R218" i="44" s="1"/>
  <c r="K218" i="44"/>
  <c r="M218" i="44" s="1"/>
  <c r="T226" i="37"/>
  <c r="V226" i="37" s="1"/>
  <c r="Z226" i="37" s="1"/>
  <c r="X226" i="37"/>
  <c r="K226" i="37"/>
  <c r="O226" i="37" s="1"/>
  <c r="Q226" i="37" s="1"/>
  <c r="H154" i="32"/>
  <c r="X388" i="25"/>
  <c r="P388" i="25"/>
  <c r="Z251" i="37"/>
  <c r="AC251" i="37" s="1"/>
  <c r="X412" i="25"/>
  <c r="P412" i="25"/>
  <c r="Y412" i="25" s="1"/>
  <c r="K282" i="44"/>
  <c r="M282" i="44" s="1"/>
  <c r="P282" i="44"/>
  <c r="R282" i="44" s="1"/>
  <c r="U282" i="44" s="1"/>
  <c r="T298" i="37"/>
  <c r="V298" i="37" s="1"/>
  <c r="Z298" i="37" s="1"/>
  <c r="X298" i="37"/>
  <c r="K298" i="37"/>
  <c r="O298" i="37" s="1"/>
  <c r="Q298" i="37" s="1"/>
  <c r="H226" i="32"/>
  <c r="T334" i="37"/>
  <c r="V334" i="37" s="1"/>
  <c r="X334" i="37"/>
  <c r="K334" i="37"/>
  <c r="O334" i="37" s="1"/>
  <c r="Q334" i="37" s="1"/>
  <c r="H262" i="32"/>
  <c r="T351" i="37"/>
  <c r="V351" i="37" s="1"/>
  <c r="H279" i="32"/>
  <c r="K351" i="37"/>
  <c r="O351" i="37" s="1"/>
  <c r="Q351" i="37" s="1"/>
  <c r="X351" i="37"/>
  <c r="Z360" i="37"/>
  <c r="AC360" i="37" s="1"/>
  <c r="T367" i="37"/>
  <c r="V367" i="37" s="1"/>
  <c r="Z367" i="37" s="1"/>
  <c r="AC367" i="37" s="1"/>
  <c r="H295" i="32"/>
  <c r="K367" i="37"/>
  <c r="O367" i="37" s="1"/>
  <c r="Q367" i="37" s="1"/>
  <c r="X367" i="37"/>
  <c r="P380" i="44"/>
  <c r="R380" i="44" s="1"/>
  <c r="K380" i="44"/>
  <c r="M380" i="44" s="1"/>
  <c r="T383" i="37"/>
  <c r="V383" i="37" s="1"/>
  <c r="H311" i="32"/>
  <c r="K383" i="37"/>
  <c r="O383" i="37" s="1"/>
  <c r="Q383" i="37" s="1"/>
  <c r="X383" i="37"/>
  <c r="T762" i="25"/>
  <c r="X765" i="25"/>
  <c r="P765" i="25"/>
  <c r="Y765" i="25" s="1"/>
  <c r="T779" i="25"/>
  <c r="X782" i="25"/>
  <c r="P782" i="25"/>
  <c r="Y782" i="25" s="1"/>
  <c r="P429" i="44"/>
  <c r="R429" i="44" s="1"/>
  <c r="K429" i="44"/>
  <c r="M429" i="44" s="1"/>
  <c r="P432" i="44"/>
  <c r="R432" i="44" s="1"/>
  <c r="U432" i="44" s="1"/>
  <c r="K432" i="44"/>
  <c r="M432" i="44" s="1"/>
  <c r="Z434" i="37"/>
  <c r="AC434" i="37" s="1"/>
  <c r="X3" i="25"/>
  <c r="P3" i="25"/>
  <c r="X6" i="25"/>
  <c r="P6" i="25"/>
  <c r="Y6" i="25" s="1"/>
  <c r="X10" i="25"/>
  <c r="P10" i="25"/>
  <c r="Y10" i="25" s="1"/>
  <c r="X14" i="25"/>
  <c r="P14" i="25"/>
  <c r="Y14" i="25" s="1"/>
  <c r="X18" i="25"/>
  <c r="P18" i="25"/>
  <c r="Y18" i="25" s="1"/>
  <c r="X22" i="25"/>
  <c r="P22" i="25"/>
  <c r="Y22" i="25" s="1"/>
  <c r="X26" i="25"/>
  <c r="P26" i="25"/>
  <c r="Y26" i="25" s="1"/>
  <c r="X30" i="25"/>
  <c r="P30" i="25"/>
  <c r="Y30" i="25" s="1"/>
  <c r="X34" i="25"/>
  <c r="P34" i="25"/>
  <c r="Y34" i="25" s="1"/>
  <c r="X38" i="25"/>
  <c r="P38" i="25"/>
  <c r="Y38" i="25" s="1"/>
  <c r="X42" i="25"/>
  <c r="P42" i="25"/>
  <c r="Y42" i="25" s="1"/>
  <c r="X46" i="25"/>
  <c r="P46" i="25"/>
  <c r="Y46" i="25" s="1"/>
  <c r="X50" i="25"/>
  <c r="P50" i="25"/>
  <c r="Y50" i="25" s="1"/>
  <c r="X54" i="25"/>
  <c r="P54" i="25"/>
  <c r="Y54" i="25" s="1"/>
  <c r="X58" i="25"/>
  <c r="P58" i="25"/>
  <c r="Y58" i="25" s="1"/>
  <c r="X62" i="25"/>
  <c r="P62" i="25"/>
  <c r="Y62" i="25" s="1"/>
  <c r="X66" i="25"/>
  <c r="P66" i="25"/>
  <c r="Y66" i="25" s="1"/>
  <c r="X70" i="25"/>
  <c r="P70" i="25"/>
  <c r="Y70" i="25" s="1"/>
  <c r="X74" i="25"/>
  <c r="P74" i="25"/>
  <c r="Y74" i="25" s="1"/>
  <c r="X78" i="25"/>
  <c r="P78" i="25"/>
  <c r="Y78" i="25" s="1"/>
  <c r="X82" i="25"/>
  <c r="P82" i="25"/>
  <c r="Y82" i="25" s="1"/>
  <c r="X86" i="25"/>
  <c r="P86" i="25"/>
  <c r="Y86" i="25" s="1"/>
  <c r="X90" i="25"/>
  <c r="P90" i="25"/>
  <c r="Y90" i="25" s="1"/>
  <c r="X94" i="25"/>
  <c r="P94" i="25"/>
  <c r="Y94" i="25" s="1"/>
  <c r="X98" i="25"/>
  <c r="P98" i="25"/>
  <c r="Y98" i="25" s="1"/>
  <c r="X102" i="25"/>
  <c r="P102" i="25"/>
  <c r="Y102" i="25" s="1"/>
  <c r="X106" i="25"/>
  <c r="P106" i="25"/>
  <c r="Y106" i="25" s="1"/>
  <c r="X110" i="25"/>
  <c r="P110" i="25"/>
  <c r="Y110" i="25" s="1"/>
  <c r="X114" i="25"/>
  <c r="P114" i="25"/>
  <c r="Y114" i="25" s="1"/>
  <c r="X118" i="25"/>
  <c r="P118" i="25"/>
  <c r="Y118" i="25" s="1"/>
  <c r="X122" i="25"/>
  <c r="P122" i="25"/>
  <c r="Y122" i="25" s="1"/>
  <c r="X126" i="25"/>
  <c r="P126" i="25"/>
  <c r="Y126" i="25" s="1"/>
  <c r="O204" i="44"/>
  <c r="Q204" i="44" s="1"/>
  <c r="S204" i="44" s="1"/>
  <c r="W204" i="44" s="1"/>
  <c r="T204" i="44" s="1"/>
  <c r="J204" i="44"/>
  <c r="L204" i="44" s="1"/>
  <c r="X134" i="25"/>
  <c r="P134" i="25"/>
  <c r="Y134" i="25" s="1"/>
  <c r="X138" i="25"/>
  <c r="P138" i="25"/>
  <c r="Y138" i="25" s="1"/>
  <c r="X142" i="25"/>
  <c r="P142" i="25"/>
  <c r="Y142" i="25" s="1"/>
  <c r="X146" i="25"/>
  <c r="P146" i="25"/>
  <c r="Y146" i="25" s="1"/>
  <c r="X150" i="25"/>
  <c r="P150" i="25"/>
  <c r="Y150" i="25" s="1"/>
  <c r="X154" i="25"/>
  <c r="P154" i="25"/>
  <c r="Y154" i="25" s="1"/>
  <c r="X158" i="25"/>
  <c r="P158" i="25"/>
  <c r="Y158" i="25" s="1"/>
  <c r="O236" i="44"/>
  <c r="Q236" i="44" s="1"/>
  <c r="S236" i="44" s="1"/>
  <c r="W236" i="44" s="1"/>
  <c r="T236" i="44" s="1"/>
  <c r="J236" i="44"/>
  <c r="L236" i="44" s="1"/>
  <c r="X166" i="25"/>
  <c r="P166" i="25"/>
  <c r="Y166" i="25" s="1"/>
  <c r="X170" i="25"/>
  <c r="P170" i="25"/>
  <c r="Y170" i="25" s="1"/>
  <c r="X174" i="25"/>
  <c r="P174" i="25"/>
  <c r="Y174" i="25" s="1"/>
  <c r="X178" i="25"/>
  <c r="P178" i="25"/>
  <c r="Y178" i="25" s="1"/>
  <c r="X182" i="25"/>
  <c r="P182" i="25"/>
  <c r="Y182" i="25" s="1"/>
  <c r="X186" i="25"/>
  <c r="P186" i="25"/>
  <c r="Y186" i="25" s="1"/>
  <c r="X190" i="25"/>
  <c r="P190" i="25"/>
  <c r="Y190" i="25" s="1"/>
  <c r="O268" i="44"/>
  <c r="Q268" i="44" s="1"/>
  <c r="S268" i="44" s="1"/>
  <c r="W268" i="44" s="1"/>
  <c r="T268" i="44" s="1"/>
  <c r="J268" i="44"/>
  <c r="L268" i="44" s="1"/>
  <c r="X198" i="25"/>
  <c r="P198" i="25"/>
  <c r="Y198" i="25" s="1"/>
  <c r="X202" i="25"/>
  <c r="P202" i="25"/>
  <c r="Y202" i="25" s="1"/>
  <c r="X206" i="25"/>
  <c r="P206" i="25"/>
  <c r="Y206" i="25" s="1"/>
  <c r="X210" i="25"/>
  <c r="P210" i="25"/>
  <c r="Y210" i="25" s="1"/>
  <c r="X214" i="25"/>
  <c r="P214" i="25"/>
  <c r="Y214" i="25" s="1"/>
  <c r="X218" i="25"/>
  <c r="P218" i="25"/>
  <c r="Y218" i="25" s="1"/>
  <c r="T442" i="25"/>
  <c r="X446" i="25"/>
  <c r="P446" i="25"/>
  <c r="Y446" i="25" s="1"/>
  <c r="X450" i="25"/>
  <c r="P450" i="25"/>
  <c r="Y450" i="25" s="1"/>
  <c r="J309" i="44"/>
  <c r="L309" i="44" s="1"/>
  <c r="O309" i="44"/>
  <c r="Q309" i="44" s="1"/>
  <c r="S309" i="44" s="1"/>
  <c r="W309" i="44" s="1"/>
  <c r="T309" i="44" s="1"/>
  <c r="J313" i="44"/>
  <c r="L313" i="44" s="1"/>
  <c r="O313" i="44"/>
  <c r="Q313" i="44" s="1"/>
  <c r="X463" i="25"/>
  <c r="P463" i="25"/>
  <c r="Y463" i="25" s="1"/>
  <c r="J321" i="44"/>
  <c r="L321" i="44" s="1"/>
  <c r="O321" i="44"/>
  <c r="Q321" i="44" s="1"/>
  <c r="J325" i="44"/>
  <c r="L325" i="44" s="1"/>
  <c r="O325" i="44"/>
  <c r="Q325" i="44" s="1"/>
  <c r="S325" i="44" s="1"/>
  <c r="W325" i="44" s="1"/>
  <c r="T325" i="44" s="1"/>
  <c r="J329" i="44"/>
  <c r="L329" i="44" s="1"/>
  <c r="O329" i="44"/>
  <c r="Q329" i="44" s="1"/>
  <c r="X479" i="25"/>
  <c r="P479" i="25"/>
  <c r="Y479" i="25" s="1"/>
  <c r="J337" i="44"/>
  <c r="L337" i="44" s="1"/>
  <c r="O337" i="44"/>
  <c r="Q337" i="44" s="1"/>
  <c r="J341" i="44"/>
  <c r="L341" i="44" s="1"/>
  <c r="O341" i="44"/>
  <c r="Q341" i="44" s="1"/>
  <c r="S341" i="44" s="1"/>
  <c r="W341" i="44" s="1"/>
  <c r="T341" i="44" s="1"/>
  <c r="J345" i="44"/>
  <c r="L345" i="44" s="1"/>
  <c r="O345" i="44"/>
  <c r="Q345" i="44" s="1"/>
  <c r="X495" i="25"/>
  <c r="P495" i="25"/>
  <c r="Y495" i="25" s="1"/>
  <c r="J353" i="44"/>
  <c r="L353" i="44" s="1"/>
  <c r="O353" i="44"/>
  <c r="Q353" i="44" s="1"/>
  <c r="J357" i="44"/>
  <c r="L357" i="44" s="1"/>
  <c r="O357" i="44"/>
  <c r="Q357" i="44" s="1"/>
  <c r="S357" i="44" s="1"/>
  <c r="W357" i="44" s="1"/>
  <c r="T357" i="44" s="1"/>
  <c r="J361" i="44"/>
  <c r="L361" i="44" s="1"/>
  <c r="O361" i="44"/>
  <c r="Q361" i="44" s="1"/>
  <c r="X511" i="25"/>
  <c r="P511" i="25"/>
  <c r="Y511" i="25" s="1"/>
  <c r="J369" i="44"/>
  <c r="L369" i="44" s="1"/>
  <c r="O369" i="44"/>
  <c r="Q369" i="44" s="1"/>
  <c r="J373" i="44"/>
  <c r="L373" i="44" s="1"/>
  <c r="O373" i="44"/>
  <c r="Q373" i="44" s="1"/>
  <c r="S373" i="44" s="1"/>
  <c r="W373" i="44" s="1"/>
  <c r="T373" i="44" s="1"/>
  <c r="J377" i="44"/>
  <c r="L377" i="44" s="1"/>
  <c r="O377" i="44"/>
  <c r="Q377" i="44" s="1"/>
  <c r="X527" i="25"/>
  <c r="P527" i="25"/>
  <c r="Y527" i="25" s="1"/>
  <c r="J385" i="44"/>
  <c r="L385" i="44" s="1"/>
  <c r="O385" i="44"/>
  <c r="Q385" i="44" s="1"/>
  <c r="J389" i="44"/>
  <c r="L389" i="44" s="1"/>
  <c r="O389" i="44"/>
  <c r="Q389" i="44" s="1"/>
  <c r="S389" i="44" s="1"/>
  <c r="W389" i="44" s="1"/>
  <c r="T389" i="44" s="1"/>
  <c r="J393" i="44"/>
  <c r="L393" i="44" s="1"/>
  <c r="O393" i="44"/>
  <c r="Q393" i="44" s="1"/>
  <c r="X543" i="25"/>
  <c r="P543" i="25"/>
  <c r="Y543" i="25" s="1"/>
  <c r="J405" i="44"/>
  <c r="L405" i="44" s="1"/>
  <c r="O405" i="44"/>
  <c r="Q405" i="44" s="1"/>
  <c r="J409" i="44"/>
  <c r="L409" i="44" s="1"/>
  <c r="O409" i="44"/>
  <c r="Q409" i="44" s="1"/>
  <c r="S409" i="44" s="1"/>
  <c r="W409" i="44" s="1"/>
  <c r="T409" i="44" s="1"/>
  <c r="X559" i="25"/>
  <c r="P559" i="25"/>
  <c r="Y559" i="25" s="1"/>
  <c r="X563" i="25"/>
  <c r="P563" i="25"/>
  <c r="J421" i="44"/>
  <c r="L421" i="44" s="1"/>
  <c r="O421" i="44"/>
  <c r="Q421" i="44" s="1"/>
  <c r="J425" i="44"/>
  <c r="L425" i="44" s="1"/>
  <c r="O425" i="44"/>
  <c r="Q425" i="44" s="1"/>
  <c r="S425" i="44" s="1"/>
  <c r="W425" i="44" s="1"/>
  <c r="T425" i="44" s="1"/>
  <c r="X575" i="25"/>
  <c r="P575" i="25"/>
  <c r="Y575" i="25" s="1"/>
  <c r="X579" i="25"/>
  <c r="P579" i="25"/>
  <c r="J437" i="44"/>
  <c r="L437" i="44" s="1"/>
  <c r="O437" i="44"/>
  <c r="Q437" i="44" s="1"/>
  <c r="J441" i="44"/>
  <c r="L441" i="44" s="1"/>
  <c r="O441" i="44"/>
  <c r="Q441" i="44" s="1"/>
  <c r="X591" i="25"/>
  <c r="P591" i="25"/>
  <c r="Y591" i="25" s="1"/>
  <c r="J449" i="44"/>
  <c r="L449" i="44" s="1"/>
  <c r="O449" i="44"/>
  <c r="Q449" i="44" s="1"/>
  <c r="J453" i="44"/>
  <c r="L453" i="44" s="1"/>
  <c r="O453" i="44"/>
  <c r="Q453" i="44" s="1"/>
  <c r="J457" i="44"/>
  <c r="L457" i="44" s="1"/>
  <c r="O457" i="44"/>
  <c r="Q457" i="44" s="1"/>
  <c r="X607" i="25"/>
  <c r="P607" i="25"/>
  <c r="Y607" i="25" s="1"/>
  <c r="J469" i="44"/>
  <c r="L469" i="44" s="1"/>
  <c r="O469" i="44"/>
  <c r="Q469" i="44" s="1"/>
  <c r="J473" i="44"/>
  <c r="L473" i="44" s="1"/>
  <c r="O473" i="44"/>
  <c r="Q473" i="44" s="1"/>
  <c r="X623" i="25"/>
  <c r="P623" i="25"/>
  <c r="Y623" i="25" s="1"/>
  <c r="X627" i="25"/>
  <c r="P627" i="25"/>
  <c r="J485" i="44"/>
  <c r="L485" i="44" s="1"/>
  <c r="O485" i="44"/>
  <c r="Q485" i="44" s="1"/>
  <c r="J489" i="44"/>
  <c r="L489" i="44" s="1"/>
  <c r="O489" i="44"/>
  <c r="Q489" i="44" s="1"/>
  <c r="X639" i="25"/>
  <c r="P639" i="25"/>
  <c r="Y639" i="25" s="1"/>
  <c r="X643" i="25"/>
  <c r="P643" i="25"/>
  <c r="J501" i="44"/>
  <c r="L501" i="44" s="1"/>
  <c r="O501" i="44"/>
  <c r="Q501" i="44" s="1"/>
  <c r="J505" i="44"/>
  <c r="L505" i="44" s="1"/>
  <c r="O505" i="44"/>
  <c r="Q505" i="44" s="1"/>
  <c r="X655" i="25"/>
  <c r="P655" i="25"/>
  <c r="Y655" i="25" s="1"/>
  <c r="J513" i="44"/>
  <c r="L513" i="44" s="1"/>
  <c r="O513" i="44"/>
  <c r="Q513" i="44" s="1"/>
  <c r="P322" i="44"/>
  <c r="R322" i="44" s="1"/>
  <c r="K322" i="44"/>
  <c r="M322" i="44" s="1"/>
  <c r="K338" i="37"/>
  <c r="O338" i="37" s="1"/>
  <c r="Q338" i="37" s="1"/>
  <c r="H266" i="32"/>
  <c r="T338" i="37"/>
  <c r="V338" i="37" s="1"/>
  <c r="X338" i="37"/>
  <c r="X721" i="25"/>
  <c r="P721" i="25"/>
  <c r="P387" i="44"/>
  <c r="R387" i="44" s="1"/>
  <c r="K387" i="44"/>
  <c r="M387" i="44" s="1"/>
  <c r="X766" i="25"/>
  <c r="P766" i="25"/>
  <c r="P403" i="44"/>
  <c r="R403" i="44" s="1"/>
  <c r="K403" i="44"/>
  <c r="M403" i="44" s="1"/>
  <c r="K417" i="44"/>
  <c r="M417" i="44" s="1"/>
  <c r="P417" i="44"/>
  <c r="R417" i="44" s="1"/>
  <c r="U417" i="44" s="1"/>
  <c r="P436" i="44"/>
  <c r="R436" i="44" s="1"/>
  <c r="U436" i="44" s="1"/>
  <c r="K436" i="44"/>
  <c r="M436" i="44" s="1"/>
  <c r="K438" i="44"/>
  <c r="M438" i="44" s="1"/>
  <c r="P438" i="44"/>
  <c r="R438" i="44" s="1"/>
  <c r="K441" i="44"/>
  <c r="M441" i="44" s="1"/>
  <c r="P441" i="44"/>
  <c r="R441" i="44" s="1"/>
  <c r="P444" i="44"/>
  <c r="R444" i="44" s="1"/>
  <c r="U444" i="44" s="1"/>
  <c r="K444" i="44"/>
  <c r="M444" i="44" s="1"/>
  <c r="K446" i="44"/>
  <c r="M446" i="44" s="1"/>
  <c r="P446" i="44"/>
  <c r="R446" i="44" s="1"/>
  <c r="X815" i="25"/>
  <c r="P815" i="25"/>
  <c r="P452" i="44"/>
  <c r="R452" i="44" s="1"/>
  <c r="U452" i="44" s="1"/>
  <c r="K452" i="44"/>
  <c r="M452" i="44" s="1"/>
  <c r="K454" i="44"/>
  <c r="M454" i="44" s="1"/>
  <c r="P454" i="44"/>
  <c r="R454" i="44" s="1"/>
  <c r="K457" i="44"/>
  <c r="M457" i="44" s="1"/>
  <c r="P457" i="44"/>
  <c r="R457" i="44" s="1"/>
  <c r="P460" i="44"/>
  <c r="R460" i="44" s="1"/>
  <c r="U460" i="44" s="1"/>
  <c r="K460" i="44"/>
  <c r="M460" i="44" s="1"/>
  <c r="K462" i="44"/>
  <c r="M462" i="44" s="1"/>
  <c r="P462" i="44"/>
  <c r="R462" i="44" s="1"/>
  <c r="X831" i="25"/>
  <c r="P831" i="25"/>
  <c r="P468" i="44"/>
  <c r="R468" i="44" s="1"/>
  <c r="U468" i="44" s="1"/>
  <c r="K468" i="44"/>
  <c r="M468" i="44" s="1"/>
  <c r="K470" i="44"/>
  <c r="M470" i="44" s="1"/>
  <c r="P470" i="44"/>
  <c r="R470" i="44" s="1"/>
  <c r="K473" i="44"/>
  <c r="M473" i="44" s="1"/>
  <c r="P473" i="44"/>
  <c r="R473" i="44" s="1"/>
  <c r="P476" i="44"/>
  <c r="R476" i="44" s="1"/>
  <c r="U476" i="44" s="1"/>
  <c r="K476" i="44"/>
  <c r="M476" i="44" s="1"/>
  <c r="K478" i="44"/>
  <c r="M478" i="44" s="1"/>
  <c r="P478" i="44"/>
  <c r="R478" i="44" s="1"/>
  <c r="X847" i="25"/>
  <c r="P847" i="25"/>
  <c r="P484" i="44"/>
  <c r="R484" i="44" s="1"/>
  <c r="U484" i="44" s="1"/>
  <c r="K484" i="44"/>
  <c r="M484" i="44" s="1"/>
  <c r="K486" i="44"/>
  <c r="M486" i="44" s="1"/>
  <c r="P486" i="44"/>
  <c r="R486" i="44" s="1"/>
  <c r="K489" i="44"/>
  <c r="M489" i="44" s="1"/>
  <c r="P489" i="44"/>
  <c r="R489" i="44" s="1"/>
  <c r="P492" i="44"/>
  <c r="R492" i="44" s="1"/>
  <c r="U492" i="44" s="1"/>
  <c r="K492" i="44"/>
  <c r="M492" i="44" s="1"/>
  <c r="K494" i="44"/>
  <c r="M494" i="44" s="1"/>
  <c r="P494" i="44"/>
  <c r="R494" i="44" s="1"/>
  <c r="X863" i="25"/>
  <c r="P863" i="25"/>
  <c r="Y863" i="25" s="1"/>
  <c r="P500" i="44"/>
  <c r="R500" i="44" s="1"/>
  <c r="U500" i="44" s="1"/>
  <c r="K500" i="44"/>
  <c r="M500" i="44" s="1"/>
  <c r="K502" i="44"/>
  <c r="M502" i="44" s="1"/>
  <c r="P502" i="44"/>
  <c r="R502" i="44" s="1"/>
  <c r="K505" i="44"/>
  <c r="M505" i="44" s="1"/>
  <c r="P505" i="44"/>
  <c r="R505" i="44" s="1"/>
  <c r="P508" i="44"/>
  <c r="R508" i="44" s="1"/>
  <c r="U508" i="44" s="1"/>
  <c r="K508" i="44"/>
  <c r="M508" i="44" s="1"/>
  <c r="K510" i="44"/>
  <c r="M510" i="44" s="1"/>
  <c r="P510" i="44"/>
  <c r="R510" i="44" s="1"/>
  <c r="X879" i="25"/>
  <c r="P879" i="25"/>
  <c r="Y879" i="25" s="1"/>
  <c r="X13" i="25"/>
  <c r="P13" i="25"/>
  <c r="Y13" i="25" s="1"/>
  <c r="O95" i="44"/>
  <c r="Q95" i="44" s="1"/>
  <c r="J95" i="44"/>
  <c r="L95" i="44" s="1"/>
  <c r="X25" i="25"/>
  <c r="P25" i="25"/>
  <c r="Y25" i="25" s="1"/>
  <c r="AA100" i="37"/>
  <c r="AE100" i="37" s="1"/>
  <c r="AB100" i="37" s="1"/>
  <c r="O107" i="44"/>
  <c r="Q107" i="44" s="1"/>
  <c r="S107" i="44" s="1"/>
  <c r="W107" i="44" s="1"/>
  <c r="T107" i="44" s="1"/>
  <c r="X107" i="44" s="1"/>
  <c r="J107" i="44"/>
  <c r="L107" i="44" s="1"/>
  <c r="X45" i="25"/>
  <c r="P45" i="25"/>
  <c r="Y45" i="25" s="1"/>
  <c r="O127" i="44"/>
  <c r="Q127" i="44" s="1"/>
  <c r="J127" i="44"/>
  <c r="L127" i="44" s="1"/>
  <c r="X57" i="25"/>
  <c r="P57" i="25"/>
  <c r="Y57" i="25" s="1"/>
  <c r="AA132" i="37"/>
  <c r="AE132" i="37" s="1"/>
  <c r="AB132" i="37" s="1"/>
  <c r="O139" i="44"/>
  <c r="Q139" i="44" s="1"/>
  <c r="S139" i="44" s="1"/>
  <c r="W139" i="44" s="1"/>
  <c r="T139" i="44" s="1"/>
  <c r="X139" i="44" s="1"/>
  <c r="J139" i="44"/>
  <c r="L139" i="44" s="1"/>
  <c r="X77" i="25"/>
  <c r="P77" i="25"/>
  <c r="Y77" i="25" s="1"/>
  <c r="O159" i="44"/>
  <c r="Q159" i="44" s="1"/>
  <c r="J159" i="44"/>
  <c r="L159" i="44" s="1"/>
  <c r="X89" i="25"/>
  <c r="P89" i="25"/>
  <c r="Y89" i="25" s="1"/>
  <c r="AA164" i="37"/>
  <c r="AE164" i="37" s="1"/>
  <c r="AB164" i="37" s="1"/>
  <c r="O171" i="44"/>
  <c r="Q171" i="44" s="1"/>
  <c r="S171" i="44" s="1"/>
  <c r="W171" i="44" s="1"/>
  <c r="T171" i="44" s="1"/>
  <c r="X171" i="44" s="1"/>
  <c r="J171" i="44"/>
  <c r="L171" i="44" s="1"/>
  <c r="X109" i="25"/>
  <c r="P109" i="25"/>
  <c r="Y109" i="25" s="1"/>
  <c r="O191" i="44"/>
  <c r="Q191" i="44" s="1"/>
  <c r="J191" i="44"/>
  <c r="L191" i="44" s="1"/>
  <c r="X121" i="25"/>
  <c r="P121" i="25"/>
  <c r="Y121" i="25" s="1"/>
  <c r="AA196" i="37"/>
  <c r="AE196" i="37" s="1"/>
  <c r="AB196" i="37" s="1"/>
  <c r="O203" i="44"/>
  <c r="Q203" i="44" s="1"/>
  <c r="S203" i="44" s="1"/>
  <c r="W203" i="44" s="1"/>
  <c r="T203" i="44" s="1"/>
  <c r="X203" i="44" s="1"/>
  <c r="J203" i="44"/>
  <c r="L203" i="44" s="1"/>
  <c r="X141" i="25"/>
  <c r="P141" i="25"/>
  <c r="Y141" i="25" s="1"/>
  <c r="O223" i="44"/>
  <c r="Q223" i="44" s="1"/>
  <c r="J223" i="44"/>
  <c r="L223" i="44" s="1"/>
  <c r="X153" i="25"/>
  <c r="P153" i="25"/>
  <c r="Y153" i="25" s="1"/>
  <c r="AA228" i="37"/>
  <c r="AE228" i="37" s="1"/>
  <c r="AB228" i="37" s="1"/>
  <c r="O235" i="44"/>
  <c r="Q235" i="44" s="1"/>
  <c r="S235" i="44" s="1"/>
  <c r="W235" i="44" s="1"/>
  <c r="T235" i="44" s="1"/>
  <c r="X235" i="44" s="1"/>
  <c r="J235" i="44"/>
  <c r="L235" i="44" s="1"/>
  <c r="X173" i="25"/>
  <c r="P173" i="25"/>
  <c r="Y173" i="25" s="1"/>
  <c r="O255" i="44"/>
  <c r="Q255" i="44" s="1"/>
  <c r="J255" i="44"/>
  <c r="L255" i="44" s="1"/>
  <c r="X185" i="25"/>
  <c r="P185" i="25"/>
  <c r="Y185" i="25" s="1"/>
  <c r="AA260" i="37"/>
  <c r="AE260" i="37" s="1"/>
  <c r="AB260" i="37" s="1"/>
  <c r="O267" i="44"/>
  <c r="Q267" i="44" s="1"/>
  <c r="S267" i="44" s="1"/>
  <c r="W267" i="44" s="1"/>
  <c r="T267" i="44" s="1"/>
  <c r="X267" i="44" s="1"/>
  <c r="J267" i="44"/>
  <c r="L267" i="44" s="1"/>
  <c r="X205" i="25"/>
  <c r="P205" i="25"/>
  <c r="Y205" i="25" s="1"/>
  <c r="O287" i="44"/>
  <c r="Q287" i="44" s="1"/>
  <c r="J287" i="44"/>
  <c r="L287" i="44" s="1"/>
  <c r="X217" i="25"/>
  <c r="P217" i="25"/>
  <c r="Y217" i="25" s="1"/>
  <c r="AA292" i="37"/>
  <c r="AE292" i="37" s="1"/>
  <c r="AB292" i="37" s="1"/>
  <c r="X445" i="25"/>
  <c r="P445" i="25"/>
  <c r="Y445" i="25" s="1"/>
  <c r="J312" i="44"/>
  <c r="L312" i="44" s="1"/>
  <c r="O312" i="44"/>
  <c r="Q312" i="44" s="1"/>
  <c r="S312" i="44" s="1"/>
  <c r="W312" i="44" s="1"/>
  <c r="T312" i="44" s="1"/>
  <c r="X462" i="25"/>
  <c r="P462" i="25"/>
  <c r="Y462" i="25" s="1"/>
  <c r="AF321" i="37"/>
  <c r="J328" i="44"/>
  <c r="L328" i="44" s="1"/>
  <c r="O328" i="44"/>
  <c r="Q328" i="44" s="1"/>
  <c r="X478" i="25"/>
  <c r="P478" i="25"/>
  <c r="Y478" i="25" s="1"/>
  <c r="AF337" i="37"/>
  <c r="J344" i="44"/>
  <c r="L344" i="44" s="1"/>
  <c r="O344" i="44"/>
  <c r="Q344" i="44" s="1"/>
  <c r="S344" i="44" s="1"/>
  <c r="W344" i="44" s="1"/>
  <c r="T344" i="44" s="1"/>
  <c r="X344" i="44" s="1"/>
  <c r="X494" i="25"/>
  <c r="P494" i="25"/>
  <c r="Y494" i="25" s="1"/>
  <c r="AF353" i="37"/>
  <c r="X510" i="25"/>
  <c r="P510" i="25"/>
  <c r="Y510" i="25" s="1"/>
  <c r="AF369" i="37"/>
  <c r="J376" i="44"/>
  <c r="L376" i="44" s="1"/>
  <c r="O376" i="44"/>
  <c r="Q376" i="44" s="1"/>
  <c r="S376" i="44" s="1"/>
  <c r="W376" i="44" s="1"/>
  <c r="T376" i="44" s="1"/>
  <c r="X526" i="25"/>
  <c r="P526" i="25"/>
  <c r="Y526" i="25" s="1"/>
  <c r="J392" i="44"/>
  <c r="L392" i="44" s="1"/>
  <c r="O392" i="44"/>
  <c r="Q392" i="44" s="1"/>
  <c r="S392" i="44" s="1"/>
  <c r="W392" i="44" s="1"/>
  <c r="T392" i="44" s="1"/>
  <c r="X542" i="25"/>
  <c r="P542" i="25"/>
  <c r="Y542" i="25" s="1"/>
  <c r="AF401" i="37"/>
  <c r="J408" i="44"/>
  <c r="L408" i="44" s="1"/>
  <c r="O408" i="44"/>
  <c r="Q408" i="44" s="1"/>
  <c r="S408" i="44" s="1"/>
  <c r="W408" i="44" s="1"/>
  <c r="T408" i="44" s="1"/>
  <c r="X558" i="25"/>
  <c r="P558" i="25"/>
  <c r="Y558" i="25" s="1"/>
  <c r="J424" i="44"/>
  <c r="L424" i="44" s="1"/>
  <c r="O424" i="44"/>
  <c r="Q424" i="44" s="1"/>
  <c r="X574" i="25"/>
  <c r="P574" i="25"/>
  <c r="Y574" i="25" s="1"/>
  <c r="AF433" i="37"/>
  <c r="J440" i="44"/>
  <c r="L440" i="44" s="1"/>
  <c r="O440" i="44"/>
  <c r="Q440" i="44" s="1"/>
  <c r="S440" i="44" s="1"/>
  <c r="W440" i="44" s="1"/>
  <c r="T440" i="44" s="1"/>
  <c r="X590" i="25"/>
  <c r="P590" i="25"/>
  <c r="Y590" i="25" s="1"/>
  <c r="J456" i="44"/>
  <c r="L456" i="44" s="1"/>
  <c r="O456" i="44"/>
  <c r="Q456" i="44" s="1"/>
  <c r="S456" i="44" s="1"/>
  <c r="W456" i="44" s="1"/>
  <c r="T456" i="44" s="1"/>
  <c r="X606" i="25"/>
  <c r="P606" i="25"/>
  <c r="Y606" i="25" s="1"/>
  <c r="J472" i="44"/>
  <c r="L472" i="44" s="1"/>
  <c r="O472" i="44"/>
  <c r="Q472" i="44" s="1"/>
  <c r="S472" i="44" s="1"/>
  <c r="W472" i="44" s="1"/>
  <c r="T472" i="44" s="1"/>
  <c r="X622" i="25"/>
  <c r="P622" i="25"/>
  <c r="Y622" i="25" s="1"/>
  <c r="J488" i="44"/>
  <c r="L488" i="44" s="1"/>
  <c r="O488" i="44"/>
  <c r="Q488" i="44" s="1"/>
  <c r="X638" i="25"/>
  <c r="P638" i="25"/>
  <c r="Y638" i="25" s="1"/>
  <c r="J504" i="44"/>
  <c r="L504" i="44" s="1"/>
  <c r="O504" i="44"/>
  <c r="Q504" i="44" s="1"/>
  <c r="S504" i="44" s="1"/>
  <c r="W504" i="44" s="1"/>
  <c r="T504" i="44" s="1"/>
  <c r="X819" i="25"/>
  <c r="P819" i="25"/>
  <c r="Y819" i="25" s="1"/>
  <c r="P464" i="44"/>
  <c r="R464" i="44" s="1"/>
  <c r="K464" i="44"/>
  <c r="M464" i="44" s="1"/>
  <c r="K482" i="37"/>
  <c r="O482" i="37" s="1"/>
  <c r="Q482" i="37" s="1"/>
  <c r="X482" i="37"/>
  <c r="T482" i="37"/>
  <c r="V482" i="37" s="1"/>
  <c r="Z482" i="37" s="1"/>
  <c r="H410" i="32"/>
  <c r="X862" i="25"/>
  <c r="P862" i="25"/>
  <c r="Y862" i="25" s="1"/>
  <c r="K514" i="44"/>
  <c r="M514" i="44" s="1"/>
  <c r="P514" i="44"/>
  <c r="R514" i="44" s="1"/>
  <c r="J81" i="37"/>
  <c r="L81" i="37" s="1"/>
  <c r="N81" i="37" s="1"/>
  <c r="W81" i="37"/>
  <c r="S81" i="37"/>
  <c r="U81" i="37" s="1"/>
  <c r="Y81" i="37" s="1"/>
  <c r="G9" i="32"/>
  <c r="T23" i="25"/>
  <c r="X39" i="25"/>
  <c r="P39" i="25"/>
  <c r="Y39" i="25" s="1"/>
  <c r="O129" i="44"/>
  <c r="Q129" i="44" s="1"/>
  <c r="S129" i="44" s="1"/>
  <c r="W129" i="44" s="1"/>
  <c r="T129" i="44" s="1"/>
  <c r="J129" i="44"/>
  <c r="L129" i="44" s="1"/>
  <c r="J145" i="37"/>
  <c r="L145" i="37" s="1"/>
  <c r="N145" i="37" s="1"/>
  <c r="W145" i="37"/>
  <c r="S145" i="37"/>
  <c r="U145" i="37" s="1"/>
  <c r="G73" i="32"/>
  <c r="T87" i="25"/>
  <c r="X103" i="25"/>
  <c r="P103" i="25"/>
  <c r="Y103" i="25" s="1"/>
  <c r="O193" i="44"/>
  <c r="Q193" i="44" s="1"/>
  <c r="J193" i="44"/>
  <c r="L193" i="44" s="1"/>
  <c r="J209" i="37"/>
  <c r="L209" i="37" s="1"/>
  <c r="N209" i="37" s="1"/>
  <c r="W209" i="37"/>
  <c r="S209" i="37"/>
  <c r="U209" i="37" s="1"/>
  <c r="Y209" i="37" s="1"/>
  <c r="AA209" i="37" s="1"/>
  <c r="AE209" i="37" s="1"/>
  <c r="AB209" i="37" s="1"/>
  <c r="AF209" i="37" s="1"/>
  <c r="G137" i="32"/>
  <c r="T151" i="25"/>
  <c r="X167" i="25"/>
  <c r="P167" i="25"/>
  <c r="Y167" i="25" s="1"/>
  <c r="J257" i="44"/>
  <c r="L257" i="44" s="1"/>
  <c r="O257" i="44"/>
  <c r="Q257" i="44" s="1"/>
  <c r="J273" i="37"/>
  <c r="L273" i="37" s="1"/>
  <c r="N273" i="37" s="1"/>
  <c r="W273" i="37"/>
  <c r="S273" i="37"/>
  <c r="U273" i="37" s="1"/>
  <c r="G201" i="32"/>
  <c r="T215" i="25"/>
  <c r="J305" i="44"/>
  <c r="L305" i="44" s="1"/>
  <c r="O305" i="44"/>
  <c r="Q305" i="44" s="1"/>
  <c r="S305" i="44" s="1"/>
  <c r="W305" i="44" s="1"/>
  <c r="T305" i="44" s="1"/>
  <c r="O322" i="44"/>
  <c r="Q322" i="44" s="1"/>
  <c r="J322" i="44"/>
  <c r="L322" i="44" s="1"/>
  <c r="W338" i="37"/>
  <c r="J338" i="37"/>
  <c r="L338" i="37" s="1"/>
  <c r="N338" i="37" s="1"/>
  <c r="S338" i="37"/>
  <c r="U338" i="37" s="1"/>
  <c r="G266" i="32"/>
  <c r="AF347" i="37"/>
  <c r="T500" i="25"/>
  <c r="X516" i="25"/>
  <c r="P516" i="25"/>
  <c r="Y516" i="25" s="1"/>
  <c r="O386" i="44"/>
  <c r="Q386" i="44" s="1"/>
  <c r="S386" i="44" s="1"/>
  <c r="W386" i="44" s="1"/>
  <c r="T386" i="44" s="1"/>
  <c r="X386" i="44" s="1"/>
  <c r="J386" i="44"/>
  <c r="L386" i="44" s="1"/>
  <c r="W402" i="37"/>
  <c r="J402" i="37"/>
  <c r="L402" i="37" s="1"/>
  <c r="N402" i="37" s="1"/>
  <c r="S402" i="37"/>
  <c r="U402" i="37" s="1"/>
  <c r="G330" i="32"/>
  <c r="AF411" i="37"/>
  <c r="T564" i="25"/>
  <c r="X580" i="25"/>
  <c r="P580" i="25"/>
  <c r="Y580" i="25" s="1"/>
  <c r="O450" i="44"/>
  <c r="Q450" i="44" s="1"/>
  <c r="J450" i="44"/>
  <c r="L450" i="44" s="1"/>
  <c r="W466" i="37"/>
  <c r="J466" i="37"/>
  <c r="L466" i="37" s="1"/>
  <c r="N466" i="37" s="1"/>
  <c r="S466" i="37"/>
  <c r="U466" i="37" s="1"/>
  <c r="Y466" i="37" s="1"/>
  <c r="AA466" i="37" s="1"/>
  <c r="AE466" i="37" s="1"/>
  <c r="AB466" i="37" s="1"/>
  <c r="G394" i="32"/>
  <c r="T628" i="25"/>
  <c r="X644" i="25"/>
  <c r="P644" i="25"/>
  <c r="Y644" i="25" s="1"/>
  <c r="X745" i="25"/>
  <c r="P745" i="25"/>
  <c r="Y745" i="25" s="1"/>
  <c r="T761" i="25"/>
  <c r="K412" i="37"/>
  <c r="O412" i="37" s="1"/>
  <c r="Q412" i="37" s="1"/>
  <c r="T412" i="37"/>
  <c r="V412" i="37" s="1"/>
  <c r="Z412" i="37" s="1"/>
  <c r="AC412" i="37" s="1"/>
  <c r="X412" i="37"/>
  <c r="H340" i="32"/>
  <c r="X794" i="25"/>
  <c r="P794" i="25"/>
  <c r="Y794" i="25" s="1"/>
  <c r="K442" i="44"/>
  <c r="M442" i="44" s="1"/>
  <c r="P442" i="44"/>
  <c r="R442" i="44" s="1"/>
  <c r="U442" i="44" s="1"/>
  <c r="T445" i="37"/>
  <c r="V445" i="37" s="1"/>
  <c r="H373" i="32"/>
  <c r="K445" i="37"/>
  <c r="O445" i="37" s="1"/>
  <c r="Q445" i="37" s="1"/>
  <c r="X445" i="37"/>
  <c r="T822" i="25"/>
  <c r="X840" i="25"/>
  <c r="P840" i="25"/>
  <c r="Y840" i="25" s="1"/>
  <c r="X843" i="25"/>
  <c r="P843" i="25"/>
  <c r="K488" i="37"/>
  <c r="O488" i="37" s="1"/>
  <c r="Q488" i="37" s="1"/>
  <c r="X488" i="37"/>
  <c r="T488" i="37"/>
  <c r="V488" i="37" s="1"/>
  <c r="Z488" i="37" s="1"/>
  <c r="AC488" i="37" s="1"/>
  <c r="H416" i="32"/>
  <c r="AC491" i="37"/>
  <c r="T872" i="25"/>
  <c r="K509" i="44"/>
  <c r="M509" i="44" s="1"/>
  <c r="P509" i="44"/>
  <c r="R509" i="44" s="1"/>
  <c r="O76" i="44"/>
  <c r="Q76" i="44" s="1"/>
  <c r="J76" i="44"/>
  <c r="L76" i="44" s="1"/>
  <c r="S93" i="37"/>
  <c r="U93" i="37" s="1"/>
  <c r="J93" i="37"/>
  <c r="L93" i="37" s="1"/>
  <c r="N93" i="37" s="1"/>
  <c r="W93" i="37"/>
  <c r="G21" i="32"/>
  <c r="X51" i="25"/>
  <c r="P51" i="25"/>
  <c r="Y51" i="25" s="1"/>
  <c r="O141" i="44"/>
  <c r="Q141" i="44" s="1"/>
  <c r="S141" i="44" s="1"/>
  <c r="W141" i="44" s="1"/>
  <c r="T141" i="44" s="1"/>
  <c r="J141" i="44"/>
  <c r="L141" i="44" s="1"/>
  <c r="S157" i="37"/>
  <c r="U157" i="37" s="1"/>
  <c r="Y157" i="37" s="1"/>
  <c r="J157" i="37"/>
  <c r="L157" i="37" s="1"/>
  <c r="N157" i="37" s="1"/>
  <c r="W157" i="37"/>
  <c r="G85" i="32"/>
  <c r="X115" i="25"/>
  <c r="P115" i="25"/>
  <c r="Y115" i="25" s="1"/>
  <c r="O205" i="44"/>
  <c r="Q205" i="44" s="1"/>
  <c r="J205" i="44"/>
  <c r="L205" i="44" s="1"/>
  <c r="S221" i="37"/>
  <c r="U221" i="37" s="1"/>
  <c r="J221" i="37"/>
  <c r="L221" i="37" s="1"/>
  <c r="N221" i="37" s="1"/>
  <c r="W221" i="37"/>
  <c r="G149" i="32"/>
  <c r="X179" i="25"/>
  <c r="P179" i="25"/>
  <c r="Y179" i="25" s="1"/>
  <c r="J269" i="44"/>
  <c r="L269" i="44" s="1"/>
  <c r="O269" i="44"/>
  <c r="Q269" i="44" s="1"/>
  <c r="S285" i="37"/>
  <c r="U285" i="37" s="1"/>
  <c r="Y285" i="37" s="1"/>
  <c r="J285" i="37"/>
  <c r="L285" i="37" s="1"/>
  <c r="N285" i="37" s="1"/>
  <c r="W285" i="37"/>
  <c r="G213" i="32"/>
  <c r="T447" i="25"/>
  <c r="X464" i="25"/>
  <c r="P464" i="25"/>
  <c r="O334" i="44"/>
  <c r="Q334" i="44" s="1"/>
  <c r="J334" i="44"/>
  <c r="L334" i="44" s="1"/>
  <c r="W350" i="37"/>
  <c r="S350" i="37"/>
  <c r="U350" i="37" s="1"/>
  <c r="Y350" i="37" s="1"/>
  <c r="J350" i="37"/>
  <c r="L350" i="37" s="1"/>
  <c r="N350" i="37" s="1"/>
  <c r="G278" i="32"/>
  <c r="X512" i="25"/>
  <c r="P512" i="25"/>
  <c r="Y512" i="25" s="1"/>
  <c r="X528" i="25"/>
  <c r="P528" i="25"/>
  <c r="O398" i="44"/>
  <c r="Q398" i="44" s="1"/>
  <c r="J398" i="44"/>
  <c r="L398" i="44" s="1"/>
  <c r="W414" i="37"/>
  <c r="S414" i="37"/>
  <c r="U414" i="37" s="1"/>
  <c r="Y414" i="37" s="1"/>
  <c r="J414" i="37"/>
  <c r="L414" i="37" s="1"/>
  <c r="N414" i="37" s="1"/>
  <c r="G342" i="32"/>
  <c r="AF423" i="37"/>
  <c r="X592" i="25"/>
  <c r="P592" i="25"/>
  <c r="O462" i="44"/>
  <c r="Q462" i="44" s="1"/>
  <c r="J462" i="44"/>
  <c r="L462" i="44" s="1"/>
  <c r="W478" i="37"/>
  <c r="S478" i="37"/>
  <c r="U478" i="37" s="1"/>
  <c r="J478" i="37"/>
  <c r="L478" i="37" s="1"/>
  <c r="N478" i="37" s="1"/>
  <c r="G406" i="32"/>
  <c r="T624" i="25"/>
  <c r="AA487" i="37"/>
  <c r="AE487" i="37" s="1"/>
  <c r="AB487" i="37" s="1"/>
  <c r="X640" i="25"/>
  <c r="P640" i="25"/>
  <c r="Y640" i="25" s="1"/>
  <c r="P376" i="44"/>
  <c r="R376" i="44" s="1"/>
  <c r="U376" i="44" s="1"/>
  <c r="K376" i="44"/>
  <c r="M376" i="44" s="1"/>
  <c r="K392" i="37"/>
  <c r="O392" i="37" s="1"/>
  <c r="Q392" i="37" s="1"/>
  <c r="H320" i="32"/>
  <c r="X392" i="37"/>
  <c r="T392" i="37"/>
  <c r="V392" i="37" s="1"/>
  <c r="T758" i="25"/>
  <c r="T775" i="25"/>
  <c r="K425" i="44"/>
  <c r="M425" i="44" s="1"/>
  <c r="P425" i="44"/>
  <c r="R425" i="44" s="1"/>
  <c r="K437" i="44"/>
  <c r="M437" i="44" s="1"/>
  <c r="P437" i="44"/>
  <c r="R437" i="44" s="1"/>
  <c r="K448" i="37"/>
  <c r="O448" i="37" s="1"/>
  <c r="Q448" i="37" s="1"/>
  <c r="X448" i="37"/>
  <c r="T448" i="37"/>
  <c r="V448" i="37" s="1"/>
  <c r="Z448" i="37" s="1"/>
  <c r="H376" i="32"/>
  <c r="AC451" i="37"/>
  <c r="X835" i="25"/>
  <c r="P835" i="25"/>
  <c r="Y835" i="25" s="1"/>
  <c r="P480" i="44"/>
  <c r="R480" i="44" s="1"/>
  <c r="K480" i="44"/>
  <c r="M480" i="44" s="1"/>
  <c r="K498" i="37"/>
  <c r="O498" i="37" s="1"/>
  <c r="Q498" i="37" s="1"/>
  <c r="X498" i="37"/>
  <c r="T498" i="37"/>
  <c r="V498" i="37" s="1"/>
  <c r="Z498" i="37" s="1"/>
  <c r="AC498" i="37" s="1"/>
  <c r="H426" i="32"/>
  <c r="T867" i="25"/>
  <c r="X878" i="25"/>
  <c r="P878" i="25"/>
  <c r="Y878" i="25" s="1"/>
  <c r="O89" i="44"/>
  <c r="Q89" i="44" s="1"/>
  <c r="J89" i="44"/>
  <c r="L89" i="44" s="1"/>
  <c r="S105" i="37"/>
  <c r="U105" i="37" s="1"/>
  <c r="Y105" i="37" s="1"/>
  <c r="AA105" i="37" s="1"/>
  <c r="AE105" i="37" s="1"/>
  <c r="AB105" i="37" s="1"/>
  <c r="AF105" i="37" s="1"/>
  <c r="J105" i="37"/>
  <c r="L105" i="37" s="1"/>
  <c r="N105" i="37" s="1"/>
  <c r="W105" i="37"/>
  <c r="G33" i="32"/>
  <c r="Y114" i="37"/>
  <c r="AA114" i="37" s="1"/>
  <c r="AE114" i="37" s="1"/>
  <c r="AB114" i="37" s="1"/>
  <c r="T47" i="25"/>
  <c r="X63" i="25"/>
  <c r="P63" i="25"/>
  <c r="Y63" i="25" s="1"/>
  <c r="O153" i="44"/>
  <c r="Q153" i="44" s="1"/>
  <c r="S153" i="44" s="1"/>
  <c r="W153" i="44" s="1"/>
  <c r="T153" i="44" s="1"/>
  <c r="J153" i="44"/>
  <c r="L153" i="44" s="1"/>
  <c r="S169" i="37"/>
  <c r="U169" i="37" s="1"/>
  <c r="Y169" i="37" s="1"/>
  <c r="J169" i="37"/>
  <c r="L169" i="37" s="1"/>
  <c r="N169" i="37" s="1"/>
  <c r="W169" i="37"/>
  <c r="G97" i="32"/>
  <c r="Y178" i="37"/>
  <c r="AA178" i="37" s="1"/>
  <c r="AE178" i="37" s="1"/>
  <c r="AB178" i="37" s="1"/>
  <c r="X127" i="25"/>
  <c r="P127" i="25"/>
  <c r="Y127" i="25" s="1"/>
  <c r="O217" i="44"/>
  <c r="Q217" i="44" s="1"/>
  <c r="S217" i="44" s="1"/>
  <c r="W217" i="44" s="1"/>
  <c r="T217" i="44" s="1"/>
  <c r="J217" i="44"/>
  <c r="L217" i="44" s="1"/>
  <c r="S233" i="37"/>
  <c r="U233" i="37" s="1"/>
  <c r="J233" i="37"/>
  <c r="L233" i="37" s="1"/>
  <c r="N233" i="37" s="1"/>
  <c r="W233" i="37"/>
  <c r="G161" i="32"/>
  <c r="Y242" i="37"/>
  <c r="AA242" i="37" s="1"/>
  <c r="AE242" i="37" s="1"/>
  <c r="AB242" i="37" s="1"/>
  <c r="X191" i="25"/>
  <c r="P191" i="25"/>
  <c r="Y191" i="25" s="1"/>
  <c r="J281" i="44"/>
  <c r="L281" i="44" s="1"/>
  <c r="O281" i="44"/>
  <c r="Q281" i="44" s="1"/>
  <c r="S297" i="37"/>
  <c r="U297" i="37" s="1"/>
  <c r="Y297" i="37" s="1"/>
  <c r="J297" i="37"/>
  <c r="L297" i="37" s="1"/>
  <c r="N297" i="37" s="1"/>
  <c r="W297" i="37"/>
  <c r="G225" i="32"/>
  <c r="T443" i="25"/>
  <c r="Y306" i="37"/>
  <c r="AA306" i="37" s="1"/>
  <c r="AE306" i="37" s="1"/>
  <c r="AB306" i="37" s="1"/>
  <c r="X476" i="25"/>
  <c r="P476" i="25"/>
  <c r="Y476" i="25" s="1"/>
  <c r="O346" i="44"/>
  <c r="Q346" i="44" s="1"/>
  <c r="J346" i="44"/>
  <c r="L346" i="44" s="1"/>
  <c r="W362" i="37"/>
  <c r="S362" i="37"/>
  <c r="U362" i="37" s="1"/>
  <c r="J362" i="37"/>
  <c r="L362" i="37" s="1"/>
  <c r="N362" i="37" s="1"/>
  <c r="G290" i="32"/>
  <c r="X540" i="25"/>
  <c r="P540" i="25"/>
  <c r="Y540" i="25" s="1"/>
  <c r="O410" i="44"/>
  <c r="Q410" i="44" s="1"/>
  <c r="J410" i="44"/>
  <c r="L410" i="44" s="1"/>
  <c r="W426" i="37"/>
  <c r="S426" i="37"/>
  <c r="U426" i="37" s="1"/>
  <c r="J426" i="37"/>
  <c r="L426" i="37" s="1"/>
  <c r="N426" i="37" s="1"/>
  <c r="G354" i="32"/>
  <c r="AA435" i="37"/>
  <c r="AE435" i="37" s="1"/>
  <c r="AB435" i="37" s="1"/>
  <c r="AF435" i="37" s="1"/>
  <c r="X604" i="25"/>
  <c r="P604" i="25"/>
  <c r="Y604" i="25" s="1"/>
  <c r="O474" i="44"/>
  <c r="Q474" i="44" s="1"/>
  <c r="J474" i="44"/>
  <c r="L474" i="44" s="1"/>
  <c r="W490" i="37"/>
  <c r="S490" i="37"/>
  <c r="U490" i="37" s="1"/>
  <c r="J490" i="37"/>
  <c r="L490" i="37" s="1"/>
  <c r="N490" i="37" s="1"/>
  <c r="G418" i="32"/>
  <c r="AA499" i="37"/>
  <c r="AE499" i="37" s="1"/>
  <c r="AB499" i="37" s="1"/>
  <c r="X654" i="25"/>
  <c r="P654" i="25"/>
  <c r="Y654" i="25" s="1"/>
  <c r="O510" i="44"/>
  <c r="Q510" i="44" s="1"/>
  <c r="J510" i="44"/>
  <c r="L510" i="44" s="1"/>
  <c r="S512" i="37"/>
  <c r="U512" i="37" s="1"/>
  <c r="W512" i="37"/>
  <c r="J512" i="37"/>
  <c r="L512" i="37" s="1"/>
  <c r="N512" i="37" s="1"/>
  <c r="G440" i="32"/>
  <c r="Z323" i="37"/>
  <c r="AC323" i="37" s="1"/>
  <c r="X696" i="25"/>
  <c r="P696" i="25"/>
  <c r="Y696" i="25" s="1"/>
  <c r="K346" i="37"/>
  <c r="O346" i="37" s="1"/>
  <c r="Q346" i="37" s="1"/>
  <c r="H274" i="32"/>
  <c r="T346" i="37"/>
  <c r="V346" i="37" s="1"/>
  <c r="X346" i="37"/>
  <c r="X729" i="25"/>
  <c r="P729" i="25"/>
  <c r="Y729" i="25" s="1"/>
  <c r="X806" i="25"/>
  <c r="P806" i="25"/>
  <c r="Y806" i="25" s="1"/>
  <c r="K458" i="44"/>
  <c r="M458" i="44" s="1"/>
  <c r="P458" i="44"/>
  <c r="R458" i="44" s="1"/>
  <c r="U458" i="44" s="1"/>
  <c r="T461" i="37"/>
  <c r="V461" i="37" s="1"/>
  <c r="H389" i="32"/>
  <c r="K461" i="37"/>
  <c r="O461" i="37" s="1"/>
  <c r="Q461" i="37" s="1"/>
  <c r="X461" i="37"/>
  <c r="X856" i="25"/>
  <c r="P856" i="25"/>
  <c r="Y856" i="25" s="1"/>
  <c r="X859" i="25"/>
  <c r="P859" i="25"/>
  <c r="K504" i="37"/>
  <c r="O504" i="37" s="1"/>
  <c r="Q504" i="37" s="1"/>
  <c r="X504" i="37"/>
  <c r="T504" i="37"/>
  <c r="V504" i="37" s="1"/>
  <c r="Z504" i="37" s="1"/>
  <c r="AC504" i="37" s="1"/>
  <c r="H432" i="32"/>
  <c r="AC507" i="37"/>
  <c r="Y78" i="37"/>
  <c r="AA78" i="37" s="1"/>
  <c r="AE78" i="37" s="1"/>
  <c r="AB78" i="37" s="1"/>
  <c r="AF78" i="37" s="1"/>
  <c r="X27" i="25"/>
  <c r="P27" i="25"/>
  <c r="O117" i="44"/>
  <c r="Q117" i="44" s="1"/>
  <c r="J117" i="44"/>
  <c r="L117" i="44" s="1"/>
  <c r="J133" i="37"/>
  <c r="L133" i="37" s="1"/>
  <c r="N133" i="37" s="1"/>
  <c r="S133" i="37"/>
  <c r="U133" i="37" s="1"/>
  <c r="W133" i="37"/>
  <c r="G61" i="32"/>
  <c r="Y142" i="37"/>
  <c r="AA142" i="37" s="1"/>
  <c r="AE142" i="37" s="1"/>
  <c r="AB142" i="37" s="1"/>
  <c r="O181" i="44"/>
  <c r="Q181" i="44" s="1"/>
  <c r="J181" i="44"/>
  <c r="L181" i="44" s="1"/>
  <c r="J197" i="37"/>
  <c r="L197" i="37" s="1"/>
  <c r="N197" i="37" s="1"/>
  <c r="S197" i="37"/>
  <c r="U197" i="37" s="1"/>
  <c r="W197" i="37"/>
  <c r="G125" i="32"/>
  <c r="T123" i="25"/>
  <c r="Y206" i="37"/>
  <c r="AA206" i="37" s="1"/>
  <c r="AE206" i="37" s="1"/>
  <c r="AB206" i="37" s="1"/>
  <c r="X155" i="25"/>
  <c r="P155" i="25"/>
  <c r="J245" i="44"/>
  <c r="L245" i="44" s="1"/>
  <c r="O245" i="44"/>
  <c r="Q245" i="44" s="1"/>
  <c r="J261" i="37"/>
  <c r="L261" i="37" s="1"/>
  <c r="N261" i="37" s="1"/>
  <c r="S261" i="37"/>
  <c r="U261" i="37" s="1"/>
  <c r="Y261" i="37" s="1"/>
  <c r="AA261" i="37" s="1"/>
  <c r="AE261" i="37" s="1"/>
  <c r="AB261" i="37" s="1"/>
  <c r="AF261" i="37" s="1"/>
  <c r="W261" i="37"/>
  <c r="G189" i="32"/>
  <c r="Y270" i="37"/>
  <c r="AA270" i="37" s="1"/>
  <c r="AE270" i="37" s="1"/>
  <c r="AB270" i="37" s="1"/>
  <c r="AF270" i="37" s="1"/>
  <c r="O310" i="44"/>
  <c r="Q310" i="44" s="1"/>
  <c r="S310" i="44" s="1"/>
  <c r="W310" i="44" s="1"/>
  <c r="T310" i="44" s="1"/>
  <c r="J310" i="44"/>
  <c r="L310" i="44" s="1"/>
  <c r="S326" i="37"/>
  <c r="U326" i="37" s="1"/>
  <c r="Y326" i="37" s="1"/>
  <c r="J326" i="37"/>
  <c r="L326" i="37" s="1"/>
  <c r="N326" i="37" s="1"/>
  <c r="W326" i="37"/>
  <c r="G254" i="32"/>
  <c r="AF335" i="37"/>
  <c r="X504" i="25"/>
  <c r="P504" i="25"/>
  <c r="O374" i="44"/>
  <c r="Q374" i="44" s="1"/>
  <c r="S374" i="44" s="1"/>
  <c r="W374" i="44" s="1"/>
  <c r="T374" i="44" s="1"/>
  <c r="X374" i="44" s="1"/>
  <c r="J374" i="44"/>
  <c r="L374" i="44" s="1"/>
  <c r="W390" i="37"/>
  <c r="S390" i="37"/>
  <c r="U390" i="37" s="1"/>
  <c r="Y390" i="37" s="1"/>
  <c r="AA390" i="37" s="1"/>
  <c r="AE390" i="37" s="1"/>
  <c r="AB390" i="37" s="1"/>
  <c r="AF390" i="37" s="1"/>
  <c r="J390" i="37"/>
  <c r="L390" i="37" s="1"/>
  <c r="N390" i="37" s="1"/>
  <c r="G318" i="32"/>
  <c r="T536" i="25"/>
  <c r="AA399" i="37"/>
  <c r="AE399" i="37" s="1"/>
  <c r="AB399" i="37" s="1"/>
  <c r="X568" i="25"/>
  <c r="P568" i="25"/>
  <c r="O438" i="44"/>
  <c r="Q438" i="44" s="1"/>
  <c r="J438" i="44"/>
  <c r="L438" i="44" s="1"/>
  <c r="W454" i="37"/>
  <c r="S454" i="37"/>
  <c r="U454" i="37" s="1"/>
  <c r="J454" i="37"/>
  <c r="L454" i="37" s="1"/>
  <c r="N454" i="37" s="1"/>
  <c r="G382" i="32"/>
  <c r="T600" i="25"/>
  <c r="AA463" i="37"/>
  <c r="AE463" i="37" s="1"/>
  <c r="AB463" i="37" s="1"/>
  <c r="X632" i="25"/>
  <c r="P632" i="25"/>
  <c r="O502" i="44"/>
  <c r="Q502" i="44" s="1"/>
  <c r="S502" i="44" s="1"/>
  <c r="W502" i="44" s="1"/>
  <c r="T502" i="44" s="1"/>
  <c r="J502" i="44"/>
  <c r="L502" i="44" s="1"/>
  <c r="X379" i="25"/>
  <c r="P379" i="25"/>
  <c r="Y379" i="25" s="1"/>
  <c r="P237" i="44"/>
  <c r="R237" i="44" s="1"/>
  <c r="U237" i="44" s="1"/>
  <c r="K237" i="44"/>
  <c r="M237" i="44" s="1"/>
  <c r="P241" i="44"/>
  <c r="R241" i="44" s="1"/>
  <c r="U241" i="44" s="1"/>
  <c r="K241" i="44"/>
  <c r="M241" i="44" s="1"/>
  <c r="X415" i="25"/>
  <c r="P415" i="25"/>
  <c r="X435" i="25"/>
  <c r="P435" i="25"/>
  <c r="P293" i="44"/>
  <c r="R293" i="44" s="1"/>
  <c r="U293" i="44" s="1"/>
  <c r="K293" i="44"/>
  <c r="M293" i="44" s="1"/>
  <c r="P297" i="44"/>
  <c r="R297" i="44" s="1"/>
  <c r="U297" i="44" s="1"/>
  <c r="K297" i="44"/>
  <c r="M297" i="44" s="1"/>
  <c r="P301" i="44"/>
  <c r="R301" i="44" s="1"/>
  <c r="U301" i="44" s="1"/>
  <c r="K301" i="44"/>
  <c r="M301" i="44" s="1"/>
  <c r="X687" i="25"/>
  <c r="P687" i="25"/>
  <c r="P329" i="44"/>
  <c r="R329" i="44" s="1"/>
  <c r="U329" i="44" s="1"/>
  <c r="K329" i="44"/>
  <c r="M329" i="44" s="1"/>
  <c r="X748" i="25"/>
  <c r="P748" i="25"/>
  <c r="X226" i="25"/>
  <c r="P226" i="25"/>
  <c r="X234" i="25"/>
  <c r="P234" i="25"/>
  <c r="X242" i="25"/>
  <c r="P242" i="25"/>
  <c r="X250" i="25"/>
  <c r="P250" i="25"/>
  <c r="X266" i="25"/>
  <c r="P266" i="25"/>
  <c r="X274" i="25"/>
  <c r="P274" i="25"/>
  <c r="X282" i="25"/>
  <c r="P282" i="25"/>
  <c r="P144" i="44"/>
  <c r="R144" i="44" s="1"/>
  <c r="U144" i="44" s="1"/>
  <c r="K144" i="44"/>
  <c r="M144" i="44" s="1"/>
  <c r="X314" i="25"/>
  <c r="P314" i="25"/>
  <c r="X330" i="25"/>
  <c r="P330" i="25"/>
  <c r="X338" i="25"/>
  <c r="P338" i="25"/>
  <c r="X346" i="25"/>
  <c r="P346" i="25"/>
  <c r="X354" i="25"/>
  <c r="P354" i="25"/>
  <c r="X362" i="25"/>
  <c r="P362" i="25"/>
  <c r="X374" i="25"/>
  <c r="P374" i="25"/>
  <c r="X662" i="25"/>
  <c r="P662" i="25"/>
  <c r="X686" i="25"/>
  <c r="P686" i="25"/>
  <c r="X694" i="25"/>
  <c r="P694" i="25"/>
  <c r="Y694" i="25" s="1"/>
  <c r="X702" i="25"/>
  <c r="P702" i="25"/>
  <c r="Y702" i="25" s="1"/>
  <c r="X710" i="25"/>
  <c r="P710" i="25"/>
  <c r="Y710" i="25" s="1"/>
  <c r="P410" i="44"/>
  <c r="R410" i="44" s="1"/>
  <c r="U410" i="44" s="1"/>
  <c r="K410" i="44"/>
  <c r="M410" i="44" s="1"/>
  <c r="X784" i="25"/>
  <c r="P784" i="25"/>
  <c r="X788" i="25"/>
  <c r="P788" i="25"/>
  <c r="Y788" i="25" s="1"/>
  <c r="AC84" i="37"/>
  <c r="X237" i="25"/>
  <c r="P237" i="25"/>
  <c r="AC92" i="37"/>
  <c r="X245" i="25"/>
  <c r="P245" i="25"/>
  <c r="AC100" i="37"/>
  <c r="X253" i="25"/>
  <c r="P253" i="25"/>
  <c r="AC108" i="37"/>
  <c r="X261" i="25"/>
  <c r="P261" i="25"/>
  <c r="AC116" i="37"/>
  <c r="X269" i="25"/>
  <c r="P269" i="25"/>
  <c r="AC124" i="37"/>
  <c r="X277" i="25"/>
  <c r="P277" i="25"/>
  <c r="AC132" i="37"/>
  <c r="X285" i="25"/>
  <c r="P285" i="25"/>
  <c r="Y285" i="25" s="1"/>
  <c r="AC140" i="37"/>
  <c r="X293" i="25"/>
  <c r="P293" i="25"/>
  <c r="AC148" i="37"/>
  <c r="X301" i="25"/>
  <c r="P301" i="25"/>
  <c r="AC156" i="37"/>
  <c r="X309" i="25"/>
  <c r="P309" i="25"/>
  <c r="Y309" i="25" s="1"/>
  <c r="AC164" i="37"/>
  <c r="X317" i="25"/>
  <c r="P317" i="25"/>
  <c r="Y317" i="25" s="1"/>
  <c r="AC172" i="37"/>
  <c r="X325" i="25"/>
  <c r="P325" i="25"/>
  <c r="AC180" i="37"/>
  <c r="X333" i="25"/>
  <c r="P333" i="25"/>
  <c r="AC188" i="37"/>
  <c r="X341" i="25"/>
  <c r="P341" i="25"/>
  <c r="Y341" i="25" s="1"/>
  <c r="AC196" i="37"/>
  <c r="X349" i="25"/>
  <c r="P349" i="25"/>
  <c r="Y349" i="25" s="1"/>
  <c r="AC204" i="37"/>
  <c r="AC212" i="37"/>
  <c r="X365" i="25"/>
  <c r="P365" i="25"/>
  <c r="AC220" i="37"/>
  <c r="X373" i="25"/>
  <c r="P373" i="25"/>
  <c r="Y373" i="25" s="1"/>
  <c r="AC228" i="37"/>
  <c r="X381" i="25"/>
  <c r="P381" i="25"/>
  <c r="Y381" i="25" s="1"/>
  <c r="AC236" i="37"/>
  <c r="X389" i="25"/>
  <c r="P389" i="25"/>
  <c r="AC244" i="37"/>
  <c r="X397" i="25"/>
  <c r="P397" i="25"/>
  <c r="Y397" i="25" s="1"/>
  <c r="AC252" i="37"/>
  <c r="X405" i="25"/>
  <c r="P405" i="25"/>
  <c r="Y405" i="25" s="1"/>
  <c r="AC260" i="37"/>
  <c r="X413" i="25"/>
  <c r="P413" i="25"/>
  <c r="Y413" i="25" s="1"/>
  <c r="AC268" i="37"/>
  <c r="X421" i="25"/>
  <c r="P421" i="25"/>
  <c r="AC276" i="37"/>
  <c r="X429" i="25"/>
  <c r="P429" i="25"/>
  <c r="Y429" i="25" s="1"/>
  <c r="AC284" i="37"/>
  <c r="X437" i="25"/>
  <c r="P437" i="25"/>
  <c r="Y437" i="25" s="1"/>
  <c r="AC292" i="37"/>
  <c r="X665" i="25"/>
  <c r="P665" i="25"/>
  <c r="Y665" i="25" s="1"/>
  <c r="AC300" i="37"/>
  <c r="X673" i="25"/>
  <c r="P673" i="25"/>
  <c r="Y673" i="25" s="1"/>
  <c r="AC308" i="37"/>
  <c r="P78" i="44"/>
  <c r="R78" i="44" s="1"/>
  <c r="K78" i="44"/>
  <c r="M78" i="44" s="1"/>
  <c r="T94" i="37"/>
  <c r="V94" i="37" s="1"/>
  <c r="X94" i="37"/>
  <c r="K94" i="37"/>
  <c r="O94" i="37" s="1"/>
  <c r="Q94" i="37" s="1"/>
  <c r="H22" i="32"/>
  <c r="X256" i="25"/>
  <c r="P256" i="25"/>
  <c r="Y256" i="25" s="1"/>
  <c r="P142" i="44"/>
  <c r="R142" i="44" s="1"/>
  <c r="U142" i="44" s="1"/>
  <c r="K142" i="44"/>
  <c r="M142" i="44" s="1"/>
  <c r="T158" i="37"/>
  <c r="V158" i="37" s="1"/>
  <c r="Z158" i="37" s="1"/>
  <c r="AC158" i="37" s="1"/>
  <c r="X158" i="37"/>
  <c r="K158" i="37"/>
  <c r="O158" i="37" s="1"/>
  <c r="Q158" i="37" s="1"/>
  <c r="H86" i="32"/>
  <c r="X336" i="25"/>
  <c r="P336" i="25"/>
  <c r="Y336" i="25" s="1"/>
  <c r="T206" i="37"/>
  <c r="V206" i="37" s="1"/>
  <c r="X206" i="37"/>
  <c r="K206" i="37"/>
  <c r="O206" i="37" s="1"/>
  <c r="Q206" i="37" s="1"/>
  <c r="H134" i="32"/>
  <c r="P230" i="44"/>
  <c r="R230" i="44" s="1"/>
  <c r="K230" i="44"/>
  <c r="M230" i="44" s="1"/>
  <c r="P246" i="44"/>
  <c r="R246" i="44" s="1"/>
  <c r="K246" i="44"/>
  <c r="M246" i="44" s="1"/>
  <c r="K262" i="44"/>
  <c r="M262" i="44" s="1"/>
  <c r="P262" i="44"/>
  <c r="R262" i="44" s="1"/>
  <c r="U262" i="44" s="1"/>
  <c r="T278" i="37"/>
  <c r="V278" i="37" s="1"/>
  <c r="X278" i="37"/>
  <c r="K278" i="37"/>
  <c r="O278" i="37" s="1"/>
  <c r="Q278" i="37" s="1"/>
  <c r="H206" i="32"/>
  <c r="K286" i="44"/>
  <c r="M286" i="44" s="1"/>
  <c r="P286" i="44"/>
  <c r="R286" i="44" s="1"/>
  <c r="U286" i="44" s="1"/>
  <c r="X684" i="25"/>
  <c r="P684" i="25"/>
  <c r="Y684" i="25" s="1"/>
  <c r="AC365" i="37"/>
  <c r="P82" i="44"/>
  <c r="R82" i="44" s="1"/>
  <c r="K82" i="44"/>
  <c r="M82" i="44" s="1"/>
  <c r="T98" i="37"/>
  <c r="V98" i="37" s="1"/>
  <c r="X98" i="37"/>
  <c r="K98" i="37"/>
  <c r="O98" i="37" s="1"/>
  <c r="Q98" i="37" s="1"/>
  <c r="H26" i="32"/>
  <c r="X276" i="25"/>
  <c r="P276" i="25"/>
  <c r="Y276" i="25" s="1"/>
  <c r="T162" i="37"/>
  <c r="V162" i="37" s="1"/>
  <c r="Z162" i="37" s="1"/>
  <c r="AC162" i="37" s="1"/>
  <c r="X162" i="37"/>
  <c r="K162" i="37"/>
  <c r="O162" i="37" s="1"/>
  <c r="Q162" i="37" s="1"/>
  <c r="H90" i="32"/>
  <c r="X324" i="25"/>
  <c r="P324" i="25"/>
  <c r="Y324" i="25" s="1"/>
  <c r="P210" i="44"/>
  <c r="R210" i="44" s="1"/>
  <c r="K210" i="44"/>
  <c r="M210" i="44" s="1"/>
  <c r="T234" i="37"/>
  <c r="V234" i="37" s="1"/>
  <c r="X234" i="37"/>
  <c r="K234" i="37"/>
  <c r="O234" i="37" s="1"/>
  <c r="Q234" i="37" s="1"/>
  <c r="H162" i="32"/>
  <c r="X404" i="25"/>
  <c r="P404" i="25"/>
  <c r="Y404" i="25" s="1"/>
  <c r="P274" i="44"/>
  <c r="R274" i="44" s="1"/>
  <c r="K274" i="44"/>
  <c r="M274" i="44" s="1"/>
  <c r="T290" i="37"/>
  <c r="V290" i="37" s="1"/>
  <c r="X290" i="37"/>
  <c r="K290" i="37"/>
  <c r="O290" i="37" s="1"/>
  <c r="Q290" i="37" s="1"/>
  <c r="H218" i="32"/>
  <c r="X248" i="25"/>
  <c r="P248" i="25"/>
  <c r="Y248" i="25" s="1"/>
  <c r="X264" i="25"/>
  <c r="P264" i="25"/>
  <c r="Y264" i="25" s="1"/>
  <c r="X280" i="25"/>
  <c r="P280" i="25"/>
  <c r="Y280" i="25" s="1"/>
  <c r="X384" i="25"/>
  <c r="P384" i="25"/>
  <c r="Y384" i="25" s="1"/>
  <c r="X400" i="25"/>
  <c r="P400" i="25"/>
  <c r="Y400" i="25" s="1"/>
  <c r="X416" i="25"/>
  <c r="P416" i="25"/>
  <c r="Y416" i="25" s="1"/>
  <c r="X440" i="25"/>
  <c r="P440" i="25"/>
  <c r="X676" i="25"/>
  <c r="P676" i="25"/>
  <c r="Y676" i="25" s="1"/>
  <c r="T326" i="37"/>
  <c r="V326" i="37" s="1"/>
  <c r="X326" i="37"/>
  <c r="K326" i="37"/>
  <c r="O326" i="37" s="1"/>
  <c r="Q326" i="37" s="1"/>
  <c r="H254" i="32"/>
  <c r="X725" i="25"/>
  <c r="P725" i="25"/>
  <c r="Y725" i="25" s="1"/>
  <c r="P375" i="44"/>
  <c r="R375" i="44" s="1"/>
  <c r="K375" i="44"/>
  <c r="M375" i="44" s="1"/>
  <c r="P391" i="44"/>
  <c r="R391" i="44" s="1"/>
  <c r="K391" i="44"/>
  <c r="M391" i="44" s="1"/>
  <c r="P408" i="44"/>
  <c r="R408" i="44" s="1"/>
  <c r="K408" i="44"/>
  <c r="M408" i="44" s="1"/>
  <c r="T417" i="37"/>
  <c r="V417" i="37" s="1"/>
  <c r="H345" i="32"/>
  <c r="K417" i="37"/>
  <c r="O417" i="37" s="1"/>
  <c r="Q417" i="37" s="1"/>
  <c r="X417" i="37"/>
  <c r="X790" i="25"/>
  <c r="P790" i="25"/>
  <c r="Y790" i="25" s="1"/>
  <c r="T438" i="37"/>
  <c r="V438" i="37" s="1"/>
  <c r="Z438" i="37" s="1"/>
  <c r="K438" i="37"/>
  <c r="O438" i="37" s="1"/>
  <c r="Q438" i="37" s="1"/>
  <c r="X438" i="37"/>
  <c r="H366" i="32"/>
  <c r="T457" i="37"/>
  <c r="V457" i="37" s="1"/>
  <c r="Z457" i="37" s="1"/>
  <c r="AC457" i="37" s="1"/>
  <c r="H385" i="32"/>
  <c r="K457" i="37"/>
  <c r="O457" i="37" s="1"/>
  <c r="Q457" i="37" s="1"/>
  <c r="X457" i="37"/>
  <c r="T470" i="37"/>
  <c r="V470" i="37" s="1"/>
  <c r="Z470" i="37" s="1"/>
  <c r="AC470" i="37" s="1"/>
  <c r="K470" i="37"/>
  <c r="O470" i="37" s="1"/>
  <c r="Q470" i="37" s="1"/>
  <c r="X470" i="37"/>
  <c r="H398" i="32"/>
  <c r="T489" i="37"/>
  <c r="V489" i="37" s="1"/>
  <c r="H417" i="32"/>
  <c r="K489" i="37"/>
  <c r="O489" i="37" s="1"/>
  <c r="Q489" i="37" s="1"/>
  <c r="X489" i="37"/>
  <c r="T502" i="37"/>
  <c r="V502" i="37" s="1"/>
  <c r="K502" i="37"/>
  <c r="O502" i="37" s="1"/>
  <c r="Q502" i="37" s="1"/>
  <c r="X502" i="37"/>
  <c r="H430" i="32"/>
  <c r="X4" i="25"/>
  <c r="P4" i="25"/>
  <c r="Y4" i="25" s="1"/>
  <c r="X12" i="25"/>
  <c r="P12" i="25"/>
  <c r="Y12" i="25" s="1"/>
  <c r="X20" i="25"/>
  <c r="P20" i="25"/>
  <c r="Y20" i="25" s="1"/>
  <c r="X28" i="25"/>
  <c r="P28" i="25"/>
  <c r="Y28" i="25" s="1"/>
  <c r="X36" i="25"/>
  <c r="P36" i="25"/>
  <c r="Y36" i="25" s="1"/>
  <c r="X44" i="25"/>
  <c r="P44" i="25"/>
  <c r="Y44" i="25" s="1"/>
  <c r="X52" i="25"/>
  <c r="P52" i="25"/>
  <c r="Y52" i="25" s="1"/>
  <c r="X60" i="25"/>
  <c r="P60" i="25"/>
  <c r="Y60" i="25" s="1"/>
  <c r="X68" i="25"/>
  <c r="P68" i="25"/>
  <c r="Y68" i="25" s="1"/>
  <c r="X76" i="25"/>
  <c r="P76" i="25"/>
  <c r="Y76" i="25" s="1"/>
  <c r="X84" i="25"/>
  <c r="P84" i="25"/>
  <c r="Y84" i="25" s="1"/>
  <c r="X92" i="25"/>
  <c r="P92" i="25"/>
  <c r="Y92" i="25" s="1"/>
  <c r="X100" i="25"/>
  <c r="P100" i="25"/>
  <c r="Y100" i="25" s="1"/>
  <c r="X108" i="25"/>
  <c r="P108" i="25"/>
  <c r="Y108" i="25" s="1"/>
  <c r="X116" i="25"/>
  <c r="P116" i="25"/>
  <c r="Y116" i="25" s="1"/>
  <c r="X124" i="25"/>
  <c r="P124" i="25"/>
  <c r="Y124" i="25" s="1"/>
  <c r="X132" i="25"/>
  <c r="P132" i="25"/>
  <c r="Y132" i="25" s="1"/>
  <c r="X140" i="25"/>
  <c r="P140" i="25"/>
  <c r="Y140" i="25" s="1"/>
  <c r="X148" i="25"/>
  <c r="P148" i="25"/>
  <c r="Y148" i="25" s="1"/>
  <c r="X156" i="25"/>
  <c r="P156" i="25"/>
  <c r="Y156" i="25" s="1"/>
  <c r="X164" i="25"/>
  <c r="P164" i="25"/>
  <c r="Y164" i="25" s="1"/>
  <c r="X172" i="25"/>
  <c r="P172" i="25"/>
  <c r="Y172" i="25" s="1"/>
  <c r="X180" i="25"/>
  <c r="P180" i="25"/>
  <c r="Y180" i="25" s="1"/>
  <c r="X188" i="25"/>
  <c r="P188" i="25"/>
  <c r="Y188" i="25" s="1"/>
  <c r="X196" i="25"/>
  <c r="P196" i="25"/>
  <c r="Y196" i="25" s="1"/>
  <c r="X204" i="25"/>
  <c r="P204" i="25"/>
  <c r="Y204" i="25" s="1"/>
  <c r="X212" i="25"/>
  <c r="P212" i="25"/>
  <c r="Y212" i="25" s="1"/>
  <c r="X220" i="25"/>
  <c r="P220" i="25"/>
  <c r="Y220" i="25" s="1"/>
  <c r="X448" i="25"/>
  <c r="P448" i="25"/>
  <c r="Y448" i="25" s="1"/>
  <c r="X457" i="25"/>
  <c r="P457" i="25"/>
  <c r="Y457" i="25" s="1"/>
  <c r="X465" i="25"/>
  <c r="P465" i="25"/>
  <c r="Y465" i="25" s="1"/>
  <c r="X473" i="25"/>
  <c r="P473" i="25"/>
  <c r="Y473" i="25" s="1"/>
  <c r="X481" i="25"/>
  <c r="P481" i="25"/>
  <c r="Y481" i="25" s="1"/>
  <c r="X489" i="25"/>
  <c r="P489" i="25"/>
  <c r="Y489" i="25" s="1"/>
  <c r="X497" i="25"/>
  <c r="P497" i="25"/>
  <c r="Y497" i="25" s="1"/>
  <c r="X505" i="25"/>
  <c r="P505" i="25"/>
  <c r="Y505" i="25" s="1"/>
  <c r="X513" i="25"/>
  <c r="P513" i="25"/>
  <c r="Y513" i="25" s="1"/>
  <c r="X521" i="25"/>
  <c r="P521" i="25"/>
  <c r="Y521" i="25" s="1"/>
  <c r="X529" i="25"/>
  <c r="P529" i="25"/>
  <c r="Y529" i="25" s="1"/>
  <c r="X537" i="25"/>
  <c r="P537" i="25"/>
  <c r="Y537" i="25" s="1"/>
  <c r="X545" i="25"/>
  <c r="P545" i="25"/>
  <c r="Y545" i="25" s="1"/>
  <c r="X553" i="25"/>
  <c r="P553" i="25"/>
  <c r="Y553" i="25" s="1"/>
  <c r="X561" i="25"/>
  <c r="P561" i="25"/>
  <c r="Y561" i="25" s="1"/>
  <c r="X569" i="25"/>
  <c r="P569" i="25"/>
  <c r="Y569" i="25" s="1"/>
  <c r="X577" i="25"/>
  <c r="P577" i="25"/>
  <c r="Y577" i="25" s="1"/>
  <c r="X585" i="25"/>
  <c r="P585" i="25"/>
  <c r="Y585" i="25" s="1"/>
  <c r="X593" i="25"/>
  <c r="P593" i="25"/>
  <c r="Y593" i="25" s="1"/>
  <c r="X601" i="25"/>
  <c r="P601" i="25"/>
  <c r="Y601" i="25" s="1"/>
  <c r="X609" i="25"/>
  <c r="P609" i="25"/>
  <c r="Y609" i="25" s="1"/>
  <c r="X617" i="25"/>
  <c r="P617" i="25"/>
  <c r="Y617" i="25" s="1"/>
  <c r="X625" i="25"/>
  <c r="P625" i="25"/>
  <c r="Y625" i="25" s="1"/>
  <c r="X633" i="25"/>
  <c r="P633" i="25"/>
  <c r="Y633" i="25" s="1"/>
  <c r="X641" i="25"/>
  <c r="P641" i="25"/>
  <c r="Y641" i="25" s="1"/>
  <c r="X649" i="25"/>
  <c r="P649" i="25"/>
  <c r="Y649" i="25" s="1"/>
  <c r="X236" i="25"/>
  <c r="P236" i="25"/>
  <c r="Y236" i="25" s="1"/>
  <c r="P106" i="44"/>
  <c r="R106" i="44" s="1"/>
  <c r="K106" i="44"/>
  <c r="M106" i="44" s="1"/>
  <c r="T122" i="37"/>
  <c r="V122" i="37" s="1"/>
  <c r="X122" i="37"/>
  <c r="K122" i="37"/>
  <c r="O122" i="37" s="1"/>
  <c r="Q122" i="37" s="1"/>
  <c r="H50" i="32"/>
  <c r="X284" i="25"/>
  <c r="P284" i="25"/>
  <c r="Y284" i="25" s="1"/>
  <c r="P170" i="44"/>
  <c r="R170" i="44" s="1"/>
  <c r="U170" i="44" s="1"/>
  <c r="K170" i="44"/>
  <c r="M170" i="44" s="1"/>
  <c r="T186" i="37"/>
  <c r="V186" i="37" s="1"/>
  <c r="X186" i="37"/>
  <c r="K186" i="37"/>
  <c r="O186" i="37" s="1"/>
  <c r="Q186" i="37" s="1"/>
  <c r="H114" i="32"/>
  <c r="X348" i="25"/>
  <c r="P348" i="25"/>
  <c r="Y348" i="25" s="1"/>
  <c r="X364" i="25"/>
  <c r="P364" i="25"/>
  <c r="Y364" i="25" s="1"/>
  <c r="P226" i="44"/>
  <c r="R226" i="44" s="1"/>
  <c r="K226" i="44"/>
  <c r="M226" i="44" s="1"/>
  <c r="T242" i="37"/>
  <c r="V242" i="37" s="1"/>
  <c r="X242" i="37"/>
  <c r="K242" i="37"/>
  <c r="O242" i="37" s="1"/>
  <c r="Q242" i="37" s="1"/>
  <c r="H170" i="32"/>
  <c r="X428" i="25"/>
  <c r="P428" i="25"/>
  <c r="Y428" i="25" s="1"/>
  <c r="K298" i="44"/>
  <c r="M298" i="44" s="1"/>
  <c r="P298" i="44"/>
  <c r="R298" i="44" s="1"/>
  <c r="T314" i="37"/>
  <c r="V314" i="37" s="1"/>
  <c r="Z314" i="37" s="1"/>
  <c r="K314" i="37"/>
  <c r="O314" i="37" s="1"/>
  <c r="Q314" i="37" s="1"/>
  <c r="H242" i="32"/>
  <c r="X314" i="37"/>
  <c r="AC223" i="37"/>
  <c r="X700" i="25"/>
  <c r="P700" i="25"/>
  <c r="Y700" i="25" s="1"/>
  <c r="P351" i="44"/>
  <c r="R351" i="44" s="1"/>
  <c r="K351" i="44"/>
  <c r="M351" i="44" s="1"/>
  <c r="P367" i="44"/>
  <c r="R367" i="44" s="1"/>
  <c r="U367" i="44" s="1"/>
  <c r="K367" i="44"/>
  <c r="M367" i="44" s="1"/>
  <c r="X746" i="25"/>
  <c r="P746" i="25"/>
  <c r="Y746" i="25" s="1"/>
  <c r="P383" i="44"/>
  <c r="R383" i="44" s="1"/>
  <c r="U383" i="44" s="1"/>
  <c r="K383" i="44"/>
  <c r="M383" i="44" s="1"/>
  <c r="X798" i="25"/>
  <c r="P798" i="25"/>
  <c r="Y798" i="25" s="1"/>
  <c r="X442" i="25"/>
  <c r="P442" i="25"/>
  <c r="Y442" i="25" s="1"/>
  <c r="J401" i="44"/>
  <c r="L401" i="44" s="1"/>
  <c r="O401" i="44"/>
  <c r="Q401" i="44" s="1"/>
  <c r="S401" i="44" s="1"/>
  <c r="W401" i="44" s="1"/>
  <c r="T401" i="44" s="1"/>
  <c r="J417" i="44"/>
  <c r="L417" i="44" s="1"/>
  <c r="O417" i="44"/>
  <c r="Q417" i="44" s="1"/>
  <c r="J433" i="44"/>
  <c r="L433" i="44" s="1"/>
  <c r="O433" i="44"/>
  <c r="Q433" i="44" s="1"/>
  <c r="S433" i="44" s="1"/>
  <c r="W433" i="44" s="1"/>
  <c r="T433" i="44" s="1"/>
  <c r="J465" i="44"/>
  <c r="L465" i="44" s="1"/>
  <c r="O465" i="44"/>
  <c r="Q465" i="44" s="1"/>
  <c r="J481" i="44"/>
  <c r="L481" i="44" s="1"/>
  <c r="O481" i="44"/>
  <c r="Q481" i="44" s="1"/>
  <c r="S481" i="44" s="1"/>
  <c r="W481" i="44" s="1"/>
  <c r="T481" i="44" s="1"/>
  <c r="J497" i="44"/>
  <c r="L497" i="44" s="1"/>
  <c r="O497" i="44"/>
  <c r="Q497" i="44" s="1"/>
  <c r="X672" i="25"/>
  <c r="P672" i="25"/>
  <c r="Z315" i="37"/>
  <c r="AC315" i="37" s="1"/>
  <c r="X688" i="25"/>
  <c r="P688" i="25"/>
  <c r="P338" i="44"/>
  <c r="R338" i="44" s="1"/>
  <c r="U338" i="44" s="1"/>
  <c r="K338" i="44"/>
  <c r="M338" i="44" s="1"/>
  <c r="T355" i="37"/>
  <c r="V355" i="37" s="1"/>
  <c r="Z355" i="37" s="1"/>
  <c r="H283" i="32"/>
  <c r="K355" i="37"/>
  <c r="O355" i="37" s="1"/>
  <c r="Q355" i="37" s="1"/>
  <c r="X355" i="37"/>
  <c r="P371" i="44"/>
  <c r="R371" i="44" s="1"/>
  <c r="K371" i="44"/>
  <c r="M371" i="44" s="1"/>
  <c r="Z380" i="37"/>
  <c r="AC380" i="37" s="1"/>
  <c r="T750" i="25"/>
  <c r="X753" i="25"/>
  <c r="P753" i="25"/>
  <c r="AC389" i="37"/>
  <c r="T766" i="25"/>
  <c r="X769" i="25"/>
  <c r="P769" i="25"/>
  <c r="Y769" i="25" s="1"/>
  <c r="X783" i="25"/>
  <c r="P783" i="25"/>
  <c r="Y783" i="25" s="1"/>
  <c r="K420" i="37"/>
  <c r="O420" i="37" s="1"/>
  <c r="Q420" i="37" s="1"/>
  <c r="T420" i="37"/>
  <c r="V420" i="37" s="1"/>
  <c r="X420" i="37"/>
  <c r="H348" i="32"/>
  <c r="Z429" i="37"/>
  <c r="AC429" i="37" s="1"/>
  <c r="X802" i="25"/>
  <c r="P802" i="25"/>
  <c r="Y802" i="25" s="1"/>
  <c r="T807" i="25"/>
  <c r="X810" i="25"/>
  <c r="P810" i="25"/>
  <c r="Y810" i="25" s="1"/>
  <c r="T815" i="25"/>
  <c r="X818" i="25"/>
  <c r="P818" i="25"/>
  <c r="Y818" i="25" s="1"/>
  <c r="T823" i="25"/>
  <c r="X826" i="25"/>
  <c r="P826" i="25"/>
  <c r="Y826" i="25" s="1"/>
  <c r="T831" i="25"/>
  <c r="X834" i="25"/>
  <c r="P834" i="25"/>
  <c r="Y834" i="25" s="1"/>
  <c r="T839" i="25"/>
  <c r="X842" i="25"/>
  <c r="P842" i="25"/>
  <c r="Y842" i="25" s="1"/>
  <c r="T847" i="25"/>
  <c r="X850" i="25"/>
  <c r="P850" i="25"/>
  <c r="Y850" i="25" s="1"/>
  <c r="X858" i="25"/>
  <c r="P858" i="25"/>
  <c r="X866" i="25"/>
  <c r="P866" i="25"/>
  <c r="X874" i="25"/>
  <c r="P874" i="25"/>
  <c r="AA77" i="37"/>
  <c r="AE77" i="37" s="1"/>
  <c r="AB77" i="37" s="1"/>
  <c r="AF77" i="37" s="1"/>
  <c r="T5" i="25"/>
  <c r="O83" i="44"/>
  <c r="Q83" i="44" s="1"/>
  <c r="J83" i="44"/>
  <c r="L83" i="44" s="1"/>
  <c r="Y88" i="37"/>
  <c r="AA88" i="37" s="1"/>
  <c r="AE88" i="37" s="1"/>
  <c r="AB88" i="37" s="1"/>
  <c r="X21" i="25"/>
  <c r="P21" i="25"/>
  <c r="O103" i="44"/>
  <c r="Q103" i="44" s="1"/>
  <c r="J103" i="44"/>
  <c r="L103" i="44" s="1"/>
  <c r="X33" i="25"/>
  <c r="P33" i="25"/>
  <c r="Y108" i="37"/>
  <c r="AA108" i="37" s="1"/>
  <c r="AE108" i="37" s="1"/>
  <c r="AB108" i="37" s="1"/>
  <c r="AF108" i="37" s="1"/>
  <c r="T37" i="25"/>
  <c r="O115" i="44"/>
  <c r="Q115" i="44" s="1"/>
  <c r="S115" i="44" s="1"/>
  <c r="W115" i="44" s="1"/>
  <c r="T115" i="44" s="1"/>
  <c r="X115" i="44" s="1"/>
  <c r="J115" i="44"/>
  <c r="L115" i="44" s="1"/>
  <c r="Y120" i="37"/>
  <c r="AA120" i="37" s="1"/>
  <c r="AE120" i="37" s="1"/>
  <c r="AB120" i="37" s="1"/>
  <c r="X53" i="25"/>
  <c r="P53" i="25"/>
  <c r="O135" i="44"/>
  <c r="Q135" i="44" s="1"/>
  <c r="J135" i="44"/>
  <c r="L135" i="44" s="1"/>
  <c r="X65" i="25"/>
  <c r="P65" i="25"/>
  <c r="Y140" i="37"/>
  <c r="AA140" i="37" s="1"/>
  <c r="AE140" i="37" s="1"/>
  <c r="AB140" i="37" s="1"/>
  <c r="AF140" i="37" s="1"/>
  <c r="T69" i="25"/>
  <c r="O147" i="44"/>
  <c r="Q147" i="44" s="1"/>
  <c r="J147" i="44"/>
  <c r="L147" i="44" s="1"/>
  <c r="Y152" i="37"/>
  <c r="AA152" i="37" s="1"/>
  <c r="AE152" i="37" s="1"/>
  <c r="AB152" i="37" s="1"/>
  <c r="X85" i="25"/>
  <c r="P85" i="25"/>
  <c r="O167" i="44"/>
  <c r="Q167" i="44" s="1"/>
  <c r="S167" i="44" s="1"/>
  <c r="W167" i="44" s="1"/>
  <c r="T167" i="44" s="1"/>
  <c r="J167" i="44"/>
  <c r="L167" i="44" s="1"/>
  <c r="X97" i="25"/>
  <c r="P97" i="25"/>
  <c r="Y172" i="37"/>
  <c r="AA172" i="37" s="1"/>
  <c r="AE172" i="37" s="1"/>
  <c r="AB172" i="37" s="1"/>
  <c r="AF172" i="37" s="1"/>
  <c r="T101" i="25"/>
  <c r="O179" i="44"/>
  <c r="Q179" i="44" s="1"/>
  <c r="J179" i="44"/>
  <c r="L179" i="44" s="1"/>
  <c r="Y184" i="37"/>
  <c r="AA184" i="37" s="1"/>
  <c r="AE184" i="37" s="1"/>
  <c r="AB184" i="37" s="1"/>
  <c r="X117" i="25"/>
  <c r="P117" i="25"/>
  <c r="O199" i="44"/>
  <c r="Q199" i="44" s="1"/>
  <c r="J199" i="44"/>
  <c r="L199" i="44" s="1"/>
  <c r="X129" i="25"/>
  <c r="P129" i="25"/>
  <c r="Y204" i="37"/>
  <c r="AA204" i="37" s="1"/>
  <c r="AE204" i="37" s="1"/>
  <c r="AB204" i="37" s="1"/>
  <c r="AF204" i="37" s="1"/>
  <c r="T133" i="25"/>
  <c r="O211" i="44"/>
  <c r="Q211" i="44" s="1"/>
  <c r="J211" i="44"/>
  <c r="L211" i="44" s="1"/>
  <c r="Y216" i="37"/>
  <c r="AA216" i="37" s="1"/>
  <c r="AE216" i="37" s="1"/>
  <c r="AB216" i="37" s="1"/>
  <c r="X149" i="25"/>
  <c r="P149" i="25"/>
  <c r="O231" i="44"/>
  <c r="Q231" i="44" s="1"/>
  <c r="J231" i="44"/>
  <c r="L231" i="44" s="1"/>
  <c r="X161" i="25"/>
  <c r="P161" i="25"/>
  <c r="Y236" i="37"/>
  <c r="AA236" i="37" s="1"/>
  <c r="AE236" i="37" s="1"/>
  <c r="AB236" i="37" s="1"/>
  <c r="AF236" i="37" s="1"/>
  <c r="T165" i="25"/>
  <c r="O243" i="44"/>
  <c r="Q243" i="44" s="1"/>
  <c r="S243" i="44" s="1"/>
  <c r="W243" i="44" s="1"/>
  <c r="T243" i="44" s="1"/>
  <c r="J243" i="44"/>
  <c r="L243" i="44" s="1"/>
  <c r="Y248" i="37"/>
  <c r="AA248" i="37" s="1"/>
  <c r="AE248" i="37" s="1"/>
  <c r="AB248" i="37" s="1"/>
  <c r="X181" i="25"/>
  <c r="P181" i="25"/>
  <c r="O263" i="44"/>
  <c r="Q263" i="44" s="1"/>
  <c r="J263" i="44"/>
  <c r="L263" i="44" s="1"/>
  <c r="X193" i="25"/>
  <c r="P193" i="25"/>
  <c r="Y268" i="37"/>
  <c r="AA268" i="37" s="1"/>
  <c r="AE268" i="37" s="1"/>
  <c r="AB268" i="37" s="1"/>
  <c r="AF268" i="37" s="1"/>
  <c r="T197" i="25"/>
  <c r="O275" i="44"/>
  <c r="Q275" i="44" s="1"/>
  <c r="J275" i="44"/>
  <c r="L275" i="44" s="1"/>
  <c r="Y280" i="37"/>
  <c r="AA280" i="37" s="1"/>
  <c r="AE280" i="37" s="1"/>
  <c r="AB280" i="37" s="1"/>
  <c r="X213" i="25"/>
  <c r="P213" i="25"/>
  <c r="O295" i="44"/>
  <c r="Q295" i="44" s="1"/>
  <c r="S295" i="44" s="1"/>
  <c r="W295" i="44" s="1"/>
  <c r="T295" i="44" s="1"/>
  <c r="J295" i="44"/>
  <c r="L295" i="44" s="1"/>
  <c r="Y300" i="37"/>
  <c r="AA300" i="37" s="1"/>
  <c r="AE300" i="37" s="1"/>
  <c r="AB300" i="37" s="1"/>
  <c r="AF300" i="37" s="1"/>
  <c r="O308" i="44"/>
  <c r="Q308" i="44" s="1"/>
  <c r="J308" i="44"/>
  <c r="L308" i="44" s="1"/>
  <c r="X458" i="25"/>
  <c r="P458" i="25"/>
  <c r="AA313" i="37"/>
  <c r="AE313" i="37" s="1"/>
  <c r="AB313" i="37" s="1"/>
  <c r="AF313" i="37" s="1"/>
  <c r="AA317" i="37"/>
  <c r="AE317" i="37" s="1"/>
  <c r="AB317" i="37" s="1"/>
  <c r="O324" i="44"/>
  <c r="Q324" i="44" s="1"/>
  <c r="J324" i="44"/>
  <c r="L324" i="44" s="1"/>
  <c r="AA333" i="37"/>
  <c r="AE333" i="37" s="1"/>
  <c r="AB333" i="37" s="1"/>
  <c r="O340" i="44"/>
  <c r="Q340" i="44" s="1"/>
  <c r="S340" i="44" s="1"/>
  <c r="W340" i="44" s="1"/>
  <c r="T340" i="44" s="1"/>
  <c r="J340" i="44"/>
  <c r="L340" i="44" s="1"/>
  <c r="X490" i="25"/>
  <c r="P490" i="25"/>
  <c r="AA349" i="37"/>
  <c r="AE349" i="37" s="1"/>
  <c r="AB349" i="37" s="1"/>
  <c r="AF349" i="37" s="1"/>
  <c r="J356" i="44"/>
  <c r="L356" i="44" s="1"/>
  <c r="O356" i="44"/>
  <c r="Q356" i="44" s="1"/>
  <c r="S356" i="44" s="1"/>
  <c r="W356" i="44" s="1"/>
  <c r="T356" i="44" s="1"/>
  <c r="J360" i="44"/>
  <c r="L360" i="44" s="1"/>
  <c r="O360" i="44"/>
  <c r="Q360" i="44" s="1"/>
  <c r="S360" i="44" s="1"/>
  <c r="W360" i="44" s="1"/>
  <c r="T360" i="44" s="1"/>
  <c r="AA365" i="37"/>
  <c r="AE365" i="37" s="1"/>
  <c r="AB365" i="37" s="1"/>
  <c r="AF365" i="37" s="1"/>
  <c r="O372" i="44"/>
  <c r="Q372" i="44" s="1"/>
  <c r="J372" i="44"/>
  <c r="L372" i="44" s="1"/>
  <c r="X522" i="25"/>
  <c r="P522" i="25"/>
  <c r="AA381" i="37"/>
  <c r="AE381" i="37" s="1"/>
  <c r="AB381" i="37" s="1"/>
  <c r="O388" i="44"/>
  <c r="Q388" i="44" s="1"/>
  <c r="J388" i="44"/>
  <c r="L388" i="44" s="1"/>
  <c r="X538" i="25"/>
  <c r="P538" i="25"/>
  <c r="AA397" i="37"/>
  <c r="AE397" i="37" s="1"/>
  <c r="AB397" i="37" s="1"/>
  <c r="AF397" i="37" s="1"/>
  <c r="O404" i="44"/>
  <c r="Q404" i="44" s="1"/>
  <c r="S404" i="44" s="1"/>
  <c r="W404" i="44" s="1"/>
  <c r="T404" i="44" s="1"/>
  <c r="J404" i="44"/>
  <c r="L404" i="44" s="1"/>
  <c r="X554" i="25"/>
  <c r="P554" i="25"/>
  <c r="AA413" i="37"/>
  <c r="AE413" i="37" s="1"/>
  <c r="AB413" i="37" s="1"/>
  <c r="J420" i="44"/>
  <c r="L420" i="44" s="1"/>
  <c r="O420" i="44"/>
  <c r="Q420" i="44" s="1"/>
  <c r="X570" i="25"/>
  <c r="P570" i="25"/>
  <c r="AA429" i="37"/>
  <c r="AE429" i="37" s="1"/>
  <c r="AB429" i="37" s="1"/>
  <c r="O436" i="44"/>
  <c r="Q436" i="44" s="1"/>
  <c r="J436" i="44"/>
  <c r="L436" i="44" s="1"/>
  <c r="X586" i="25"/>
  <c r="P586" i="25"/>
  <c r="AA445" i="37"/>
  <c r="AE445" i="37" s="1"/>
  <c r="AB445" i="37" s="1"/>
  <c r="O452" i="44"/>
  <c r="Q452" i="44" s="1"/>
  <c r="J452" i="44"/>
  <c r="L452" i="44" s="1"/>
  <c r="X602" i="25"/>
  <c r="P602" i="25"/>
  <c r="AA461" i="37"/>
  <c r="AE461" i="37" s="1"/>
  <c r="AB461" i="37" s="1"/>
  <c r="O468" i="44"/>
  <c r="Q468" i="44" s="1"/>
  <c r="S468" i="44" s="1"/>
  <c r="W468" i="44" s="1"/>
  <c r="T468" i="44" s="1"/>
  <c r="X468" i="44" s="1"/>
  <c r="J468" i="44"/>
  <c r="L468" i="44" s="1"/>
  <c r="X618" i="25"/>
  <c r="P618" i="25"/>
  <c r="AA477" i="37"/>
  <c r="AE477" i="37" s="1"/>
  <c r="AB477" i="37" s="1"/>
  <c r="J484" i="44"/>
  <c r="L484" i="44" s="1"/>
  <c r="O484" i="44"/>
  <c r="Q484" i="44" s="1"/>
  <c r="X634" i="25"/>
  <c r="P634" i="25"/>
  <c r="AA493" i="37"/>
  <c r="AE493" i="37" s="1"/>
  <c r="AB493" i="37" s="1"/>
  <c r="O500" i="44"/>
  <c r="Q500" i="44" s="1"/>
  <c r="J500" i="44"/>
  <c r="L500" i="44" s="1"/>
  <c r="X650" i="25"/>
  <c r="P650" i="25"/>
  <c r="K450" i="37"/>
  <c r="O450" i="37" s="1"/>
  <c r="Q450" i="37" s="1"/>
  <c r="X450" i="37"/>
  <c r="T450" i="37"/>
  <c r="V450" i="37" s="1"/>
  <c r="Z450" i="37" s="1"/>
  <c r="AC450" i="37" s="1"/>
  <c r="H378" i="32"/>
  <c r="X830" i="25"/>
  <c r="P830" i="25"/>
  <c r="K482" i="44"/>
  <c r="M482" i="44" s="1"/>
  <c r="P482" i="44"/>
  <c r="R482" i="44" s="1"/>
  <c r="T485" i="37"/>
  <c r="V485" i="37" s="1"/>
  <c r="H413" i="32"/>
  <c r="K485" i="37"/>
  <c r="O485" i="37" s="1"/>
  <c r="Q485" i="37" s="1"/>
  <c r="X485" i="37"/>
  <c r="X880" i="25"/>
  <c r="P880" i="25"/>
  <c r="O81" i="44"/>
  <c r="Q81" i="44" s="1"/>
  <c r="S81" i="44" s="1"/>
  <c r="W81" i="44" s="1"/>
  <c r="T81" i="44" s="1"/>
  <c r="J81" i="44"/>
  <c r="L81" i="44" s="1"/>
  <c r="J97" i="37"/>
  <c r="L97" i="37" s="1"/>
  <c r="N97" i="37" s="1"/>
  <c r="S97" i="37"/>
  <c r="U97" i="37" s="1"/>
  <c r="Y97" i="37" s="1"/>
  <c r="AA97" i="37" s="1"/>
  <c r="AE97" i="37" s="1"/>
  <c r="AB97" i="37" s="1"/>
  <c r="AF97" i="37" s="1"/>
  <c r="W97" i="37"/>
  <c r="G25" i="32"/>
  <c r="AF106" i="37"/>
  <c r="X55" i="25"/>
  <c r="P55" i="25"/>
  <c r="O145" i="44"/>
  <c r="Q145" i="44" s="1"/>
  <c r="J145" i="44"/>
  <c r="L145" i="44" s="1"/>
  <c r="J161" i="37"/>
  <c r="L161" i="37" s="1"/>
  <c r="N161" i="37" s="1"/>
  <c r="S161" i="37"/>
  <c r="U161" i="37" s="1"/>
  <c r="W161" i="37"/>
  <c r="G89" i="32"/>
  <c r="AF170" i="37"/>
  <c r="X119" i="25"/>
  <c r="P119" i="25"/>
  <c r="O209" i="44"/>
  <c r="Q209" i="44" s="1"/>
  <c r="S209" i="44" s="1"/>
  <c r="W209" i="44" s="1"/>
  <c r="T209" i="44" s="1"/>
  <c r="J209" i="44"/>
  <c r="L209" i="44" s="1"/>
  <c r="J225" i="37"/>
  <c r="L225" i="37" s="1"/>
  <c r="N225" i="37" s="1"/>
  <c r="S225" i="37"/>
  <c r="U225" i="37" s="1"/>
  <c r="Y225" i="37" s="1"/>
  <c r="AA225" i="37" s="1"/>
  <c r="AE225" i="37" s="1"/>
  <c r="AB225" i="37" s="1"/>
  <c r="AF225" i="37" s="1"/>
  <c r="W225" i="37"/>
  <c r="G153" i="32"/>
  <c r="X183" i="25"/>
  <c r="P183" i="25"/>
  <c r="J273" i="44"/>
  <c r="L273" i="44" s="1"/>
  <c r="O273" i="44"/>
  <c r="Q273" i="44" s="1"/>
  <c r="S273" i="44" s="1"/>
  <c r="W273" i="44" s="1"/>
  <c r="T273" i="44" s="1"/>
  <c r="J289" i="37"/>
  <c r="L289" i="37" s="1"/>
  <c r="N289" i="37" s="1"/>
  <c r="S289" i="37"/>
  <c r="U289" i="37" s="1"/>
  <c r="W289" i="37"/>
  <c r="G217" i="32"/>
  <c r="X468" i="25"/>
  <c r="P468" i="25"/>
  <c r="O338" i="44"/>
  <c r="Q338" i="44" s="1"/>
  <c r="S338" i="44" s="1"/>
  <c r="W338" i="44" s="1"/>
  <c r="T338" i="44" s="1"/>
  <c r="X338" i="44" s="1"/>
  <c r="J338" i="44"/>
  <c r="L338" i="44" s="1"/>
  <c r="W354" i="37"/>
  <c r="S354" i="37"/>
  <c r="U354" i="37" s="1"/>
  <c r="Y354" i="37" s="1"/>
  <c r="AA354" i="37" s="1"/>
  <c r="AE354" i="37" s="1"/>
  <c r="AB354" i="37" s="1"/>
  <c r="J354" i="37"/>
  <c r="L354" i="37" s="1"/>
  <c r="N354" i="37" s="1"/>
  <c r="G282" i="32"/>
  <c r="X532" i="25"/>
  <c r="P532" i="25"/>
  <c r="O402" i="44"/>
  <c r="Q402" i="44" s="1"/>
  <c r="J402" i="44"/>
  <c r="L402" i="44" s="1"/>
  <c r="W418" i="37"/>
  <c r="S418" i="37"/>
  <c r="U418" i="37" s="1"/>
  <c r="J418" i="37"/>
  <c r="L418" i="37" s="1"/>
  <c r="N418" i="37" s="1"/>
  <c r="G346" i="32"/>
  <c r="AF427" i="37"/>
  <c r="X596" i="25"/>
  <c r="P596" i="25"/>
  <c r="O466" i="44"/>
  <c r="Q466" i="44" s="1"/>
  <c r="S466" i="44" s="1"/>
  <c r="W466" i="44" s="1"/>
  <c r="T466" i="44" s="1"/>
  <c r="J466" i="44"/>
  <c r="L466" i="44" s="1"/>
  <c r="W482" i="37"/>
  <c r="S482" i="37"/>
  <c r="U482" i="37" s="1"/>
  <c r="Y482" i="37" s="1"/>
  <c r="AA482" i="37" s="1"/>
  <c r="AE482" i="37" s="1"/>
  <c r="AB482" i="37" s="1"/>
  <c r="J482" i="37"/>
  <c r="L482" i="37" s="1"/>
  <c r="N482" i="37" s="1"/>
  <c r="G410" i="32"/>
  <c r="AF491" i="37"/>
  <c r="T395" i="37"/>
  <c r="V395" i="37" s="1"/>
  <c r="Z395" i="37" s="1"/>
  <c r="AC395" i="37" s="1"/>
  <c r="H323" i="32"/>
  <c r="K395" i="37"/>
  <c r="O395" i="37" s="1"/>
  <c r="Q395" i="37" s="1"/>
  <c r="X395" i="37"/>
  <c r="P412" i="44"/>
  <c r="R412" i="44" s="1"/>
  <c r="U412" i="44" s="1"/>
  <c r="K412" i="44"/>
  <c r="M412" i="44" s="1"/>
  <c r="X808" i="25"/>
  <c r="P808" i="25"/>
  <c r="X811" i="25"/>
  <c r="P811" i="25"/>
  <c r="K456" i="37"/>
  <c r="O456" i="37" s="1"/>
  <c r="Q456" i="37" s="1"/>
  <c r="X456" i="37"/>
  <c r="T456" i="37"/>
  <c r="V456" i="37" s="1"/>
  <c r="H384" i="32"/>
  <c r="K477" i="44"/>
  <c r="M477" i="44" s="1"/>
  <c r="P477" i="44"/>
  <c r="R477" i="44" s="1"/>
  <c r="U477" i="44" s="1"/>
  <c r="P488" i="44"/>
  <c r="R488" i="44" s="1"/>
  <c r="U488" i="44" s="1"/>
  <c r="K488" i="44"/>
  <c r="M488" i="44" s="1"/>
  <c r="K506" i="37"/>
  <c r="O506" i="37" s="1"/>
  <c r="Q506" i="37" s="1"/>
  <c r="X506" i="37"/>
  <c r="T506" i="37"/>
  <c r="V506" i="37" s="1"/>
  <c r="H434" i="32"/>
  <c r="P2" i="25"/>
  <c r="X2" i="25"/>
  <c r="O93" i="44"/>
  <c r="Q93" i="44" s="1"/>
  <c r="J93" i="44"/>
  <c r="L93" i="44" s="1"/>
  <c r="S109" i="37"/>
  <c r="U109" i="37" s="1"/>
  <c r="J109" i="37"/>
  <c r="L109" i="37" s="1"/>
  <c r="N109" i="37" s="1"/>
  <c r="W109" i="37"/>
  <c r="G37" i="32"/>
  <c r="X67" i="25"/>
  <c r="P67" i="25"/>
  <c r="Y67" i="25" s="1"/>
  <c r="O157" i="44"/>
  <c r="Q157" i="44" s="1"/>
  <c r="S157" i="44" s="1"/>
  <c r="W157" i="44" s="1"/>
  <c r="T157" i="44" s="1"/>
  <c r="J157" i="44"/>
  <c r="L157" i="44" s="1"/>
  <c r="S173" i="37"/>
  <c r="U173" i="37" s="1"/>
  <c r="Y173" i="37" s="1"/>
  <c r="J173" i="37"/>
  <c r="L173" i="37" s="1"/>
  <c r="N173" i="37" s="1"/>
  <c r="W173" i="37"/>
  <c r="G101" i="32"/>
  <c r="X131" i="25"/>
  <c r="P131" i="25"/>
  <c r="Y131" i="25" s="1"/>
  <c r="J221" i="44"/>
  <c r="L221" i="44" s="1"/>
  <c r="O221" i="44"/>
  <c r="Q221" i="44" s="1"/>
  <c r="S221" i="44" s="1"/>
  <c r="W221" i="44" s="1"/>
  <c r="T221" i="44" s="1"/>
  <c r="S237" i="37"/>
  <c r="U237" i="37" s="1"/>
  <c r="J237" i="37"/>
  <c r="L237" i="37" s="1"/>
  <c r="N237" i="37" s="1"/>
  <c r="W237" i="37"/>
  <c r="G165" i="32"/>
  <c r="X195" i="25"/>
  <c r="P195" i="25"/>
  <c r="Y195" i="25" s="1"/>
  <c r="J285" i="44"/>
  <c r="L285" i="44" s="1"/>
  <c r="O285" i="44"/>
  <c r="Q285" i="44" s="1"/>
  <c r="S301" i="37"/>
  <c r="U301" i="37" s="1"/>
  <c r="Y301" i="37" s="1"/>
  <c r="J301" i="37"/>
  <c r="L301" i="37" s="1"/>
  <c r="N301" i="37" s="1"/>
  <c r="W301" i="37"/>
  <c r="G229" i="32"/>
  <c r="AF311" i="37"/>
  <c r="O350" i="44"/>
  <c r="Q350" i="44" s="1"/>
  <c r="S350" i="44" s="1"/>
  <c r="W350" i="44" s="1"/>
  <c r="T350" i="44" s="1"/>
  <c r="X350" i="44" s="1"/>
  <c r="J350" i="44"/>
  <c r="L350" i="44" s="1"/>
  <c r="W366" i="37"/>
  <c r="S366" i="37"/>
  <c r="U366" i="37" s="1"/>
  <c r="Y366" i="37" s="1"/>
  <c r="AA366" i="37" s="1"/>
  <c r="AE366" i="37" s="1"/>
  <c r="AB366" i="37" s="1"/>
  <c r="AF366" i="37" s="1"/>
  <c r="J366" i="37"/>
  <c r="L366" i="37" s="1"/>
  <c r="N366" i="37" s="1"/>
  <c r="G294" i="32"/>
  <c r="AF375" i="37"/>
  <c r="O414" i="44"/>
  <c r="Q414" i="44" s="1"/>
  <c r="S414" i="44" s="1"/>
  <c r="W414" i="44" s="1"/>
  <c r="T414" i="44" s="1"/>
  <c r="J414" i="44"/>
  <c r="L414" i="44" s="1"/>
  <c r="W430" i="37"/>
  <c r="S430" i="37"/>
  <c r="U430" i="37" s="1"/>
  <c r="Y430" i="37" s="1"/>
  <c r="AA430" i="37" s="1"/>
  <c r="AE430" i="37" s="1"/>
  <c r="AB430" i="37" s="1"/>
  <c r="J430" i="37"/>
  <c r="L430" i="37" s="1"/>
  <c r="N430" i="37" s="1"/>
  <c r="G358" i="32"/>
  <c r="O478" i="44"/>
  <c r="Q478" i="44" s="1"/>
  <c r="S478" i="44" s="1"/>
  <c r="W478" i="44" s="1"/>
  <c r="T478" i="44" s="1"/>
  <c r="J478" i="44"/>
  <c r="L478" i="44" s="1"/>
  <c r="W494" i="37"/>
  <c r="S494" i="37"/>
  <c r="U494" i="37" s="1"/>
  <c r="Y494" i="37" s="1"/>
  <c r="AA494" i="37" s="1"/>
  <c r="AE494" i="37" s="1"/>
  <c r="AB494" i="37" s="1"/>
  <c r="J494" i="37"/>
  <c r="L494" i="37" s="1"/>
  <c r="N494" i="37" s="1"/>
  <c r="G422" i="32"/>
  <c r="AF507" i="37"/>
  <c r="X742" i="25"/>
  <c r="P742" i="25"/>
  <c r="Y742" i="25" s="1"/>
  <c r="P392" i="44"/>
  <c r="R392" i="44" s="1"/>
  <c r="K392" i="44"/>
  <c r="M392" i="44" s="1"/>
  <c r="T409" i="37"/>
  <c r="V409" i="37" s="1"/>
  <c r="H337" i="32"/>
  <c r="K409" i="37"/>
  <c r="O409" i="37" s="1"/>
  <c r="Q409" i="37" s="1"/>
  <c r="X409" i="37"/>
  <c r="X803" i="25"/>
  <c r="P803" i="25"/>
  <c r="P448" i="44"/>
  <c r="R448" i="44" s="1"/>
  <c r="K448" i="44"/>
  <c r="M448" i="44" s="1"/>
  <c r="K466" i="37"/>
  <c r="O466" i="37" s="1"/>
  <c r="Q466" i="37" s="1"/>
  <c r="X466" i="37"/>
  <c r="T466" i="37"/>
  <c r="V466" i="37" s="1"/>
  <c r="Z466" i="37" s="1"/>
  <c r="AC466" i="37" s="1"/>
  <c r="H394" i="32"/>
  <c r="X846" i="25"/>
  <c r="P846" i="25"/>
  <c r="K498" i="44"/>
  <c r="M498" i="44" s="1"/>
  <c r="P498" i="44"/>
  <c r="R498" i="44" s="1"/>
  <c r="T501" i="37"/>
  <c r="V501" i="37" s="1"/>
  <c r="H429" i="32"/>
  <c r="K501" i="37"/>
  <c r="O501" i="37" s="1"/>
  <c r="Q501" i="37" s="1"/>
  <c r="X501" i="37"/>
  <c r="X15" i="25"/>
  <c r="P15" i="25"/>
  <c r="O105" i="44"/>
  <c r="Q105" i="44" s="1"/>
  <c r="S105" i="44" s="1"/>
  <c r="W105" i="44" s="1"/>
  <c r="T105" i="44" s="1"/>
  <c r="J105" i="44"/>
  <c r="L105" i="44" s="1"/>
  <c r="S121" i="37"/>
  <c r="U121" i="37" s="1"/>
  <c r="J121" i="37"/>
  <c r="L121" i="37" s="1"/>
  <c r="N121" i="37" s="1"/>
  <c r="W121" i="37"/>
  <c r="G49" i="32"/>
  <c r="Y130" i="37"/>
  <c r="AA130" i="37" s="1"/>
  <c r="AE130" i="37" s="1"/>
  <c r="AB130" i="37" s="1"/>
  <c r="X79" i="25"/>
  <c r="P79" i="25"/>
  <c r="O169" i="44"/>
  <c r="Q169" i="44" s="1"/>
  <c r="J169" i="44"/>
  <c r="L169" i="44" s="1"/>
  <c r="S185" i="37"/>
  <c r="U185" i="37" s="1"/>
  <c r="Y185" i="37" s="1"/>
  <c r="AA185" i="37" s="1"/>
  <c r="AE185" i="37" s="1"/>
  <c r="AB185" i="37" s="1"/>
  <c r="AF185" i="37" s="1"/>
  <c r="J185" i="37"/>
  <c r="L185" i="37" s="1"/>
  <c r="N185" i="37" s="1"/>
  <c r="W185" i="37"/>
  <c r="G113" i="32"/>
  <c r="Y194" i="37"/>
  <c r="AA194" i="37" s="1"/>
  <c r="AE194" i="37" s="1"/>
  <c r="AB194" i="37" s="1"/>
  <c r="X143" i="25"/>
  <c r="P143" i="25"/>
  <c r="J233" i="44"/>
  <c r="L233" i="44" s="1"/>
  <c r="O233" i="44"/>
  <c r="Q233" i="44" s="1"/>
  <c r="S249" i="37"/>
  <c r="U249" i="37" s="1"/>
  <c r="J249" i="37"/>
  <c r="L249" i="37" s="1"/>
  <c r="N249" i="37" s="1"/>
  <c r="W249" i="37"/>
  <c r="G177" i="32"/>
  <c r="Y258" i="37"/>
  <c r="AA258" i="37" s="1"/>
  <c r="AE258" i="37" s="1"/>
  <c r="AB258" i="37" s="1"/>
  <c r="X207" i="25"/>
  <c r="P207" i="25"/>
  <c r="X443" i="25"/>
  <c r="P443" i="25"/>
  <c r="Y443" i="25" s="1"/>
  <c r="S314" i="37"/>
  <c r="U314" i="37" s="1"/>
  <c r="Y314" i="37" s="1"/>
  <c r="AA314" i="37" s="1"/>
  <c r="AE314" i="37" s="1"/>
  <c r="AB314" i="37" s="1"/>
  <c r="W314" i="37"/>
  <c r="J314" i="37"/>
  <c r="L314" i="37" s="1"/>
  <c r="N314" i="37" s="1"/>
  <c r="G242" i="32"/>
  <c r="Y323" i="37"/>
  <c r="AA323" i="37" s="1"/>
  <c r="AE323" i="37" s="1"/>
  <c r="AB323" i="37" s="1"/>
  <c r="AF323" i="37" s="1"/>
  <c r="X492" i="25"/>
  <c r="P492" i="25"/>
  <c r="O362" i="44"/>
  <c r="Q362" i="44" s="1"/>
  <c r="S362" i="44" s="1"/>
  <c r="W362" i="44" s="1"/>
  <c r="T362" i="44" s="1"/>
  <c r="J362" i="44"/>
  <c r="L362" i="44" s="1"/>
  <c r="W378" i="37"/>
  <c r="S378" i="37"/>
  <c r="U378" i="37" s="1"/>
  <c r="Y378" i="37" s="1"/>
  <c r="AA378" i="37" s="1"/>
  <c r="AE378" i="37" s="1"/>
  <c r="AB378" i="37" s="1"/>
  <c r="AF378" i="37" s="1"/>
  <c r="J378" i="37"/>
  <c r="L378" i="37" s="1"/>
  <c r="N378" i="37" s="1"/>
  <c r="G306" i="32"/>
  <c r="Y387" i="37"/>
  <c r="AA387" i="37" s="1"/>
  <c r="AE387" i="37" s="1"/>
  <c r="AB387" i="37" s="1"/>
  <c r="X556" i="25"/>
  <c r="P556" i="25"/>
  <c r="O426" i="44"/>
  <c r="Q426" i="44" s="1"/>
  <c r="J426" i="44"/>
  <c r="L426" i="44" s="1"/>
  <c r="W442" i="37"/>
  <c r="S442" i="37"/>
  <c r="U442" i="37" s="1"/>
  <c r="J442" i="37"/>
  <c r="L442" i="37" s="1"/>
  <c r="N442" i="37" s="1"/>
  <c r="G370" i="32"/>
  <c r="Y451" i="37"/>
  <c r="AA451" i="37" s="1"/>
  <c r="AE451" i="37" s="1"/>
  <c r="AB451" i="37" s="1"/>
  <c r="AF451" i="37" s="1"/>
  <c r="X620" i="25"/>
  <c r="P620" i="25"/>
  <c r="O490" i="44"/>
  <c r="Q490" i="44" s="1"/>
  <c r="S490" i="44" s="1"/>
  <c r="W490" i="44" s="1"/>
  <c r="T490" i="44" s="1"/>
  <c r="J490" i="44"/>
  <c r="L490" i="44" s="1"/>
  <c r="W506" i="37"/>
  <c r="S506" i="37"/>
  <c r="U506" i="37" s="1"/>
  <c r="Y506" i="37" s="1"/>
  <c r="AA506" i="37" s="1"/>
  <c r="AE506" i="37" s="1"/>
  <c r="AB506" i="37" s="1"/>
  <c r="J506" i="37"/>
  <c r="L506" i="37" s="1"/>
  <c r="N506" i="37" s="1"/>
  <c r="G434" i="32"/>
  <c r="X656" i="25"/>
  <c r="P656" i="25"/>
  <c r="Y656" i="25" s="1"/>
  <c r="J512" i="44"/>
  <c r="L512" i="44" s="1"/>
  <c r="O512" i="44"/>
  <c r="Q512" i="44" s="1"/>
  <c r="W514" i="37"/>
  <c r="S514" i="37"/>
  <c r="U514" i="37" s="1"/>
  <c r="Y514" i="37" s="1"/>
  <c r="AA514" i="37" s="1"/>
  <c r="AE514" i="37" s="1"/>
  <c r="AB514" i="37" s="1"/>
  <c r="J514" i="37"/>
  <c r="L514" i="37" s="1"/>
  <c r="N514" i="37" s="1"/>
  <c r="G442" i="32"/>
  <c r="K346" i="44"/>
  <c r="M346" i="44" s="1"/>
  <c r="P346" i="44"/>
  <c r="R346" i="44" s="1"/>
  <c r="U346" i="44" s="1"/>
  <c r="Z372" i="37"/>
  <c r="AC372" i="37" s="1"/>
  <c r="Z388" i="37"/>
  <c r="AC388" i="37" s="1"/>
  <c r="Z404" i="37"/>
  <c r="AC404" i="37" s="1"/>
  <c r="X824" i="25"/>
  <c r="P824" i="25"/>
  <c r="Y824" i="25" s="1"/>
  <c r="X827" i="25"/>
  <c r="P827" i="25"/>
  <c r="Y827" i="25" s="1"/>
  <c r="K472" i="37"/>
  <c r="O472" i="37" s="1"/>
  <c r="Q472" i="37" s="1"/>
  <c r="X472" i="37"/>
  <c r="T472" i="37"/>
  <c r="V472" i="37" s="1"/>
  <c r="H400" i="32"/>
  <c r="Z475" i="37"/>
  <c r="AC475" i="37" s="1"/>
  <c r="AF475" i="37" s="1"/>
  <c r="K493" i="44"/>
  <c r="M493" i="44" s="1"/>
  <c r="P493" i="44"/>
  <c r="R493" i="44" s="1"/>
  <c r="P504" i="44"/>
  <c r="R504" i="44" s="1"/>
  <c r="K504" i="44"/>
  <c r="M504" i="44" s="1"/>
  <c r="J85" i="37"/>
  <c r="L85" i="37" s="1"/>
  <c r="N85" i="37" s="1"/>
  <c r="S85" i="37"/>
  <c r="U85" i="37" s="1"/>
  <c r="Y85" i="37" s="1"/>
  <c r="AA85" i="37" s="1"/>
  <c r="AE85" i="37" s="1"/>
  <c r="AB85" i="37" s="1"/>
  <c r="AF85" i="37" s="1"/>
  <c r="W85" i="37"/>
  <c r="G13" i="32"/>
  <c r="AA94" i="37"/>
  <c r="AE94" i="37" s="1"/>
  <c r="AB94" i="37" s="1"/>
  <c r="X43" i="25"/>
  <c r="P43" i="25"/>
  <c r="Y43" i="25" s="1"/>
  <c r="O133" i="44"/>
  <c r="Q133" i="44" s="1"/>
  <c r="J133" i="44"/>
  <c r="L133" i="44" s="1"/>
  <c r="J149" i="37"/>
  <c r="L149" i="37" s="1"/>
  <c r="N149" i="37" s="1"/>
  <c r="S149" i="37"/>
  <c r="U149" i="37" s="1"/>
  <c r="W149" i="37"/>
  <c r="G77" i="32"/>
  <c r="AA158" i="37"/>
  <c r="AE158" i="37" s="1"/>
  <c r="AB158" i="37" s="1"/>
  <c r="AF158" i="37" s="1"/>
  <c r="X91" i="25"/>
  <c r="P91" i="25"/>
  <c r="X107" i="25"/>
  <c r="P107" i="25"/>
  <c r="Y107" i="25" s="1"/>
  <c r="O197" i="44"/>
  <c r="Q197" i="44" s="1"/>
  <c r="J197" i="44"/>
  <c r="L197" i="44" s="1"/>
  <c r="J213" i="37"/>
  <c r="L213" i="37" s="1"/>
  <c r="N213" i="37" s="1"/>
  <c r="S213" i="37"/>
  <c r="U213" i="37" s="1"/>
  <c r="W213" i="37"/>
  <c r="G141" i="32"/>
  <c r="T139" i="25"/>
  <c r="Y222" i="37"/>
  <c r="AA222" i="37" s="1"/>
  <c r="AE222" i="37" s="1"/>
  <c r="AB222" i="37" s="1"/>
  <c r="X171" i="25"/>
  <c r="P171" i="25"/>
  <c r="Y171" i="25" s="1"/>
  <c r="J261" i="44"/>
  <c r="L261" i="44" s="1"/>
  <c r="O261" i="44"/>
  <c r="Q261" i="44" s="1"/>
  <c r="J277" i="37"/>
  <c r="L277" i="37" s="1"/>
  <c r="N277" i="37" s="1"/>
  <c r="S277" i="37"/>
  <c r="U277" i="37" s="1"/>
  <c r="Y277" i="37" s="1"/>
  <c r="W277" i="37"/>
  <c r="G205" i="32"/>
  <c r="T203" i="25"/>
  <c r="Y286" i="37"/>
  <c r="AA286" i="37" s="1"/>
  <c r="AE286" i="37" s="1"/>
  <c r="AB286" i="37" s="1"/>
  <c r="X219" i="25"/>
  <c r="P219" i="25"/>
  <c r="X456" i="25"/>
  <c r="P456" i="25"/>
  <c r="O326" i="44"/>
  <c r="Q326" i="44" s="1"/>
  <c r="J326" i="44"/>
  <c r="L326" i="44" s="1"/>
  <c r="S342" i="37"/>
  <c r="U342" i="37" s="1"/>
  <c r="Y342" i="37" s="1"/>
  <c r="AA342" i="37" s="1"/>
  <c r="AE342" i="37" s="1"/>
  <c r="AB342" i="37" s="1"/>
  <c r="J342" i="37"/>
  <c r="L342" i="37" s="1"/>
  <c r="N342" i="37" s="1"/>
  <c r="W342" i="37"/>
  <c r="G270" i="32"/>
  <c r="T488" i="25"/>
  <c r="AA351" i="37"/>
  <c r="AE351" i="37" s="1"/>
  <c r="AB351" i="37" s="1"/>
  <c r="X520" i="25"/>
  <c r="P520" i="25"/>
  <c r="Y520" i="25" s="1"/>
  <c r="O390" i="44"/>
  <c r="Q390" i="44" s="1"/>
  <c r="S390" i="44" s="1"/>
  <c r="W390" i="44" s="1"/>
  <c r="T390" i="44" s="1"/>
  <c r="J390" i="44"/>
  <c r="L390" i="44" s="1"/>
  <c r="W406" i="37"/>
  <c r="S406" i="37"/>
  <c r="U406" i="37" s="1"/>
  <c r="J406" i="37"/>
  <c r="L406" i="37" s="1"/>
  <c r="N406" i="37" s="1"/>
  <c r="G334" i="32"/>
  <c r="T552" i="25"/>
  <c r="AA415" i="37"/>
  <c r="AE415" i="37" s="1"/>
  <c r="AB415" i="37" s="1"/>
  <c r="AF415" i="37" s="1"/>
  <c r="X584" i="25"/>
  <c r="P584" i="25"/>
  <c r="Y584" i="25" s="1"/>
  <c r="O454" i="44"/>
  <c r="Q454" i="44" s="1"/>
  <c r="S454" i="44" s="1"/>
  <c r="W454" i="44" s="1"/>
  <c r="T454" i="44" s="1"/>
  <c r="J454" i="44"/>
  <c r="L454" i="44" s="1"/>
  <c r="W470" i="37"/>
  <c r="S470" i="37"/>
  <c r="U470" i="37" s="1"/>
  <c r="Y470" i="37" s="1"/>
  <c r="AA470" i="37" s="1"/>
  <c r="AE470" i="37" s="1"/>
  <c r="AB470" i="37" s="1"/>
  <c r="AF470" i="37" s="1"/>
  <c r="J470" i="37"/>
  <c r="L470" i="37" s="1"/>
  <c r="N470" i="37" s="1"/>
  <c r="G398" i="32"/>
  <c r="X648" i="25"/>
  <c r="P648" i="25"/>
  <c r="X391" i="25"/>
  <c r="P391" i="25"/>
  <c r="Y391" i="25" s="1"/>
  <c r="P249" i="44"/>
  <c r="R249" i="44" s="1"/>
  <c r="U249" i="44" s="1"/>
  <c r="K249" i="44"/>
  <c r="M249" i="44" s="1"/>
  <c r="X419" i="25"/>
  <c r="P419" i="25"/>
  <c r="P277" i="44"/>
  <c r="R277" i="44" s="1"/>
  <c r="U277" i="44" s="1"/>
  <c r="K277" i="44"/>
  <c r="M277" i="44" s="1"/>
  <c r="P281" i="44"/>
  <c r="R281" i="44" s="1"/>
  <c r="K281" i="44"/>
  <c r="M281" i="44" s="1"/>
  <c r="X675" i="25"/>
  <c r="P675" i="25"/>
  <c r="Y675" i="25" s="1"/>
  <c r="P313" i="44"/>
  <c r="R313" i="44" s="1"/>
  <c r="K313" i="44"/>
  <c r="M313" i="44" s="1"/>
  <c r="P317" i="44"/>
  <c r="R317" i="44" s="1"/>
  <c r="U317" i="44" s="1"/>
  <c r="K317" i="44"/>
  <c r="M317" i="44" s="1"/>
  <c r="X707" i="25"/>
  <c r="P707" i="25"/>
  <c r="Y707" i="25" s="1"/>
  <c r="P345" i="44"/>
  <c r="R345" i="44" s="1"/>
  <c r="U345" i="44" s="1"/>
  <c r="K345" i="44"/>
  <c r="M345" i="44" s="1"/>
  <c r="P349" i="44"/>
  <c r="R349" i="44" s="1"/>
  <c r="K349" i="44"/>
  <c r="M349" i="44" s="1"/>
  <c r="X736" i="25"/>
  <c r="P736" i="25"/>
  <c r="Y736" i="25" s="1"/>
  <c r="K378" i="44"/>
  <c r="M378" i="44" s="1"/>
  <c r="P378" i="44"/>
  <c r="R378" i="44" s="1"/>
  <c r="U378" i="44" s="1"/>
  <c r="X223" i="25"/>
  <c r="P223" i="25"/>
  <c r="P112" i="44"/>
  <c r="R112" i="44" s="1"/>
  <c r="K112" i="44"/>
  <c r="M112" i="44" s="1"/>
  <c r="X298" i="25"/>
  <c r="P298" i="25"/>
  <c r="X306" i="25"/>
  <c r="P306" i="25"/>
  <c r="P176" i="44"/>
  <c r="R176" i="44" s="1"/>
  <c r="U176" i="44" s="1"/>
  <c r="K176" i="44"/>
  <c r="M176" i="44" s="1"/>
  <c r="X382" i="25"/>
  <c r="P382" i="25"/>
  <c r="X390" i="25"/>
  <c r="P390" i="25"/>
  <c r="X398" i="25"/>
  <c r="P398" i="25"/>
  <c r="X434" i="25"/>
  <c r="P434" i="25"/>
  <c r="X670" i="25"/>
  <c r="P670" i="25"/>
  <c r="X678" i="25"/>
  <c r="P678" i="25"/>
  <c r="K422" i="44"/>
  <c r="M422" i="44" s="1"/>
  <c r="P422" i="44"/>
  <c r="R422" i="44" s="1"/>
  <c r="U422" i="44" s="1"/>
  <c r="T453" i="25"/>
  <c r="P405" i="44"/>
  <c r="R405" i="44" s="1"/>
  <c r="U405" i="44" s="1"/>
  <c r="K405" i="44"/>
  <c r="M405" i="44" s="1"/>
  <c r="X222" i="25"/>
  <c r="P222" i="25"/>
  <c r="Y222" i="25" s="1"/>
  <c r="X227" i="25"/>
  <c r="P227" i="25"/>
  <c r="Y227" i="25" s="1"/>
  <c r="T231" i="25"/>
  <c r="X235" i="25"/>
  <c r="P235" i="25"/>
  <c r="Y235" i="25" s="1"/>
  <c r="T239" i="25"/>
  <c r="X243" i="25"/>
  <c r="P243" i="25"/>
  <c r="Y243" i="25" s="1"/>
  <c r="X247" i="25"/>
  <c r="P247" i="25"/>
  <c r="Y247" i="25" s="1"/>
  <c r="X251" i="25"/>
  <c r="P251" i="25"/>
  <c r="Y251" i="25" s="1"/>
  <c r="X255" i="25"/>
  <c r="P255" i="25"/>
  <c r="Y255" i="25" s="1"/>
  <c r="X259" i="25"/>
  <c r="P259" i="25"/>
  <c r="Y259" i="25" s="1"/>
  <c r="X263" i="25"/>
  <c r="P263" i="25"/>
  <c r="Y263" i="25" s="1"/>
  <c r="X267" i="25"/>
  <c r="P267" i="25"/>
  <c r="Y267" i="25" s="1"/>
  <c r="X271" i="25"/>
  <c r="P271" i="25"/>
  <c r="Y271" i="25" s="1"/>
  <c r="X275" i="25"/>
  <c r="P275" i="25"/>
  <c r="Y275" i="25" s="1"/>
  <c r="X279" i="25"/>
  <c r="P279" i="25"/>
  <c r="Y279" i="25" s="1"/>
  <c r="T283" i="25"/>
  <c r="X287" i="25"/>
  <c r="P287" i="25"/>
  <c r="Y287" i="25" s="1"/>
  <c r="T291" i="25"/>
  <c r="X295" i="25"/>
  <c r="P295" i="25"/>
  <c r="Y295" i="25" s="1"/>
  <c r="T299" i="25"/>
  <c r="X303" i="25"/>
  <c r="P303" i="25"/>
  <c r="Y303" i="25" s="1"/>
  <c r="T307" i="25"/>
  <c r="X311" i="25"/>
  <c r="P311" i="25"/>
  <c r="Y311" i="25" s="1"/>
  <c r="X319" i="25"/>
  <c r="P319" i="25"/>
  <c r="Y319" i="25" s="1"/>
  <c r="T323" i="25"/>
  <c r="X327" i="25"/>
  <c r="P327" i="25"/>
  <c r="Y327" i="25" s="1"/>
  <c r="T331" i="25"/>
  <c r="X335" i="25"/>
  <c r="P335" i="25"/>
  <c r="Y335" i="25" s="1"/>
  <c r="X339" i="25"/>
  <c r="P339" i="25"/>
  <c r="Y339" i="25" s="1"/>
  <c r="X343" i="25"/>
  <c r="P343" i="25"/>
  <c r="Y343" i="25" s="1"/>
  <c r="X347" i="25"/>
  <c r="P347" i="25"/>
  <c r="Y347" i="25" s="1"/>
  <c r="X351" i="25"/>
  <c r="P351" i="25"/>
  <c r="Y351" i="25" s="1"/>
  <c r="X355" i="25"/>
  <c r="P355" i="25"/>
  <c r="Y355" i="25" s="1"/>
  <c r="X359" i="25"/>
  <c r="P359" i="25"/>
  <c r="Y359" i="25" s="1"/>
  <c r="X363" i="25"/>
  <c r="P363" i="25"/>
  <c r="Y363" i="25" s="1"/>
  <c r="X367" i="25"/>
  <c r="P367" i="25"/>
  <c r="Y367" i="25" s="1"/>
  <c r="X371" i="25"/>
  <c r="P371" i="25"/>
  <c r="Y371" i="25" s="1"/>
  <c r="P229" i="44"/>
  <c r="R229" i="44" s="1"/>
  <c r="U229" i="44" s="1"/>
  <c r="K229" i="44"/>
  <c r="M229" i="44" s="1"/>
  <c r="P233" i="44"/>
  <c r="R233" i="44" s="1"/>
  <c r="K233" i="44"/>
  <c r="M233" i="44" s="1"/>
  <c r="X383" i="25"/>
  <c r="P383" i="25"/>
  <c r="Y383" i="25" s="1"/>
  <c r="X387" i="25"/>
  <c r="P387" i="25"/>
  <c r="Y387" i="25" s="1"/>
  <c r="P245" i="44"/>
  <c r="R245" i="44" s="1"/>
  <c r="U245" i="44" s="1"/>
  <c r="K245" i="44"/>
  <c r="M245" i="44" s="1"/>
  <c r="T395" i="25"/>
  <c r="Y395" i="25" s="1"/>
  <c r="T399" i="25"/>
  <c r="T403" i="25"/>
  <c r="T407" i="25"/>
  <c r="T411" i="25"/>
  <c r="T415" i="25"/>
  <c r="T419" i="25"/>
  <c r="T423" i="25"/>
  <c r="T427" i="25"/>
  <c r="T431" i="25"/>
  <c r="T435" i="25"/>
  <c r="T439" i="25"/>
  <c r="T663" i="25"/>
  <c r="T667" i="25"/>
  <c r="T671" i="25"/>
  <c r="T675" i="25"/>
  <c r="T679" i="25"/>
  <c r="T683" i="25"/>
  <c r="T687" i="25"/>
  <c r="T691" i="25"/>
  <c r="T695" i="25"/>
  <c r="T699" i="25"/>
  <c r="T703" i="25"/>
  <c r="T707" i="25"/>
  <c r="T711" i="25"/>
  <c r="T715" i="25"/>
  <c r="X720" i="25"/>
  <c r="P720" i="25"/>
  <c r="Y720" i="25" s="1"/>
  <c r="P370" i="44"/>
  <c r="R370" i="44" s="1"/>
  <c r="K370" i="44"/>
  <c r="M370" i="44" s="1"/>
  <c r="X740" i="25"/>
  <c r="P740" i="25"/>
  <c r="Y740" i="25" s="1"/>
  <c r="X744" i="25"/>
  <c r="P744" i="25"/>
  <c r="Y744" i="25" s="1"/>
  <c r="T748" i="25"/>
  <c r="X752" i="25"/>
  <c r="P752" i="25"/>
  <c r="Y752" i="25" s="1"/>
  <c r="P402" i="44"/>
  <c r="R402" i="44" s="1"/>
  <c r="U402" i="44" s="1"/>
  <c r="K402" i="44"/>
  <c r="M402" i="44" s="1"/>
  <c r="P407" i="44"/>
  <c r="R407" i="44" s="1"/>
  <c r="K407" i="44"/>
  <c r="M407" i="44" s="1"/>
  <c r="P411" i="44"/>
  <c r="R411" i="44" s="1"/>
  <c r="U411" i="44" s="1"/>
  <c r="K411" i="44"/>
  <c r="M411" i="44" s="1"/>
  <c r="P415" i="44"/>
  <c r="R415" i="44" s="1"/>
  <c r="K415" i="44"/>
  <c r="M415" i="44" s="1"/>
  <c r="P419" i="44"/>
  <c r="R419" i="44" s="1"/>
  <c r="U419" i="44" s="1"/>
  <c r="K419" i="44"/>
  <c r="M419" i="44" s="1"/>
  <c r="P423" i="44"/>
  <c r="R423" i="44" s="1"/>
  <c r="K423" i="44"/>
  <c r="M423" i="44" s="1"/>
  <c r="P427" i="44"/>
  <c r="R427" i="44" s="1"/>
  <c r="U427" i="44" s="1"/>
  <c r="K427" i="44"/>
  <c r="M427" i="44" s="1"/>
  <c r="P431" i="44"/>
  <c r="R431" i="44" s="1"/>
  <c r="K431" i="44"/>
  <c r="M431" i="44" s="1"/>
  <c r="P435" i="44"/>
  <c r="R435" i="44" s="1"/>
  <c r="U435" i="44" s="1"/>
  <c r="K435" i="44"/>
  <c r="M435" i="44" s="1"/>
  <c r="P439" i="44"/>
  <c r="R439" i="44" s="1"/>
  <c r="K439" i="44"/>
  <c r="M439" i="44" s="1"/>
  <c r="P443" i="44"/>
  <c r="R443" i="44" s="1"/>
  <c r="U443" i="44" s="1"/>
  <c r="K443" i="44"/>
  <c r="M443" i="44" s="1"/>
  <c r="P447" i="44"/>
  <c r="R447" i="44" s="1"/>
  <c r="K447" i="44"/>
  <c r="M447" i="44" s="1"/>
  <c r="P451" i="44"/>
  <c r="R451" i="44" s="1"/>
  <c r="U451" i="44" s="1"/>
  <c r="K451" i="44"/>
  <c r="M451" i="44" s="1"/>
  <c r="P455" i="44"/>
  <c r="R455" i="44" s="1"/>
  <c r="K455" i="44"/>
  <c r="M455" i="44" s="1"/>
  <c r="P459" i="44"/>
  <c r="R459" i="44" s="1"/>
  <c r="U459" i="44" s="1"/>
  <c r="K459" i="44"/>
  <c r="M459" i="44" s="1"/>
  <c r="P463" i="44"/>
  <c r="R463" i="44" s="1"/>
  <c r="K463" i="44"/>
  <c r="M463" i="44" s="1"/>
  <c r="P467" i="44"/>
  <c r="R467" i="44" s="1"/>
  <c r="U467" i="44" s="1"/>
  <c r="K467" i="44"/>
  <c r="M467" i="44" s="1"/>
  <c r="P471" i="44"/>
  <c r="R471" i="44" s="1"/>
  <c r="K471" i="44"/>
  <c r="M471" i="44" s="1"/>
  <c r="P475" i="44"/>
  <c r="R475" i="44" s="1"/>
  <c r="U475" i="44" s="1"/>
  <c r="K475" i="44"/>
  <c r="M475" i="44" s="1"/>
  <c r="P479" i="44"/>
  <c r="R479" i="44" s="1"/>
  <c r="K479" i="44"/>
  <c r="M479" i="44" s="1"/>
  <c r="P483" i="44"/>
  <c r="R483" i="44" s="1"/>
  <c r="U483" i="44" s="1"/>
  <c r="K483" i="44"/>
  <c r="M483" i="44" s="1"/>
  <c r="P487" i="44"/>
  <c r="R487" i="44" s="1"/>
  <c r="K487" i="44"/>
  <c r="M487" i="44" s="1"/>
  <c r="P491" i="44"/>
  <c r="R491" i="44" s="1"/>
  <c r="U491" i="44" s="1"/>
  <c r="K491" i="44"/>
  <c r="M491" i="44" s="1"/>
  <c r="P495" i="44"/>
  <c r="R495" i="44" s="1"/>
  <c r="K495" i="44"/>
  <c r="M495" i="44" s="1"/>
  <c r="P499" i="44"/>
  <c r="R499" i="44" s="1"/>
  <c r="U499" i="44" s="1"/>
  <c r="K499" i="44"/>
  <c r="M499" i="44" s="1"/>
  <c r="P503" i="44"/>
  <c r="R503" i="44" s="1"/>
  <c r="K503" i="44"/>
  <c r="M503" i="44" s="1"/>
  <c r="P507" i="44"/>
  <c r="R507" i="44" s="1"/>
  <c r="U507" i="44" s="1"/>
  <c r="K507" i="44"/>
  <c r="M507" i="44" s="1"/>
  <c r="P511" i="44"/>
  <c r="R511" i="44" s="1"/>
  <c r="K511" i="44"/>
  <c r="M511" i="44" s="1"/>
  <c r="P515" i="44"/>
  <c r="R515" i="44" s="1"/>
  <c r="U515" i="44" s="1"/>
  <c r="K515" i="44"/>
  <c r="M515" i="44" s="1"/>
  <c r="K414" i="44"/>
  <c r="M414" i="44" s="1"/>
  <c r="P414" i="44"/>
  <c r="R414" i="44" s="1"/>
  <c r="U414" i="44" s="1"/>
  <c r="Z340" i="37"/>
  <c r="AC340" i="37" s="1"/>
  <c r="T223" i="25"/>
  <c r="T226" i="25"/>
  <c r="P84" i="44"/>
  <c r="R84" i="44" s="1"/>
  <c r="K84" i="44"/>
  <c r="M84" i="44" s="1"/>
  <c r="T234" i="25"/>
  <c r="P92" i="44"/>
  <c r="R92" i="44" s="1"/>
  <c r="K92" i="44"/>
  <c r="M92" i="44" s="1"/>
  <c r="T242" i="25"/>
  <c r="P100" i="44"/>
  <c r="R100" i="44" s="1"/>
  <c r="U100" i="44" s="1"/>
  <c r="K100" i="44"/>
  <c r="M100" i="44" s="1"/>
  <c r="T250" i="25"/>
  <c r="P108" i="44"/>
  <c r="R108" i="44" s="1"/>
  <c r="U108" i="44" s="1"/>
  <c r="K108" i="44"/>
  <c r="M108" i="44" s="1"/>
  <c r="T258" i="25"/>
  <c r="P116" i="44"/>
  <c r="R116" i="44" s="1"/>
  <c r="K116" i="44"/>
  <c r="M116" i="44" s="1"/>
  <c r="T266" i="25"/>
  <c r="P124" i="44"/>
  <c r="R124" i="44" s="1"/>
  <c r="K124" i="44"/>
  <c r="M124" i="44" s="1"/>
  <c r="T274" i="25"/>
  <c r="P132" i="44"/>
  <c r="R132" i="44" s="1"/>
  <c r="U132" i="44" s="1"/>
  <c r="K132" i="44"/>
  <c r="M132" i="44" s="1"/>
  <c r="T282" i="25"/>
  <c r="P140" i="44"/>
  <c r="R140" i="44" s="1"/>
  <c r="U140" i="44" s="1"/>
  <c r="K140" i="44"/>
  <c r="M140" i="44" s="1"/>
  <c r="T290" i="25"/>
  <c r="P148" i="44"/>
  <c r="R148" i="44" s="1"/>
  <c r="K148" i="44"/>
  <c r="M148" i="44" s="1"/>
  <c r="T298" i="25"/>
  <c r="P156" i="44"/>
  <c r="R156" i="44" s="1"/>
  <c r="K156" i="44"/>
  <c r="M156" i="44" s="1"/>
  <c r="T306" i="25"/>
  <c r="P164" i="44"/>
  <c r="R164" i="44" s="1"/>
  <c r="U164" i="44" s="1"/>
  <c r="K164" i="44"/>
  <c r="M164" i="44" s="1"/>
  <c r="T314" i="25"/>
  <c r="P172" i="44"/>
  <c r="R172" i="44" s="1"/>
  <c r="U172" i="44" s="1"/>
  <c r="K172" i="44"/>
  <c r="M172" i="44" s="1"/>
  <c r="T322" i="25"/>
  <c r="P180" i="44"/>
  <c r="R180" i="44" s="1"/>
  <c r="K180" i="44"/>
  <c r="M180" i="44" s="1"/>
  <c r="T330" i="25"/>
  <c r="P188" i="44"/>
  <c r="R188" i="44" s="1"/>
  <c r="K188" i="44"/>
  <c r="M188" i="44" s="1"/>
  <c r="T338" i="25"/>
  <c r="P196" i="44"/>
  <c r="R196" i="44" s="1"/>
  <c r="U196" i="44" s="1"/>
  <c r="K196" i="44"/>
  <c r="M196" i="44" s="1"/>
  <c r="T346" i="25"/>
  <c r="P204" i="44"/>
  <c r="R204" i="44" s="1"/>
  <c r="U204" i="44" s="1"/>
  <c r="K204" i="44"/>
  <c r="M204" i="44" s="1"/>
  <c r="T354" i="25"/>
  <c r="P212" i="44"/>
  <c r="R212" i="44" s="1"/>
  <c r="K212" i="44"/>
  <c r="M212" i="44" s="1"/>
  <c r="T362" i="25"/>
  <c r="P220" i="44"/>
  <c r="R220" i="44" s="1"/>
  <c r="K220" i="44"/>
  <c r="M220" i="44" s="1"/>
  <c r="P224" i="44"/>
  <c r="R224" i="44" s="1"/>
  <c r="U224" i="44" s="1"/>
  <c r="K224" i="44"/>
  <c r="M224" i="44" s="1"/>
  <c r="T374" i="25"/>
  <c r="P232" i="44"/>
  <c r="R232" i="44" s="1"/>
  <c r="K232" i="44"/>
  <c r="M232" i="44" s="1"/>
  <c r="T382" i="25"/>
  <c r="P240" i="44"/>
  <c r="R240" i="44" s="1"/>
  <c r="K240" i="44"/>
  <c r="M240" i="44" s="1"/>
  <c r="T390" i="25"/>
  <c r="P248" i="44"/>
  <c r="R248" i="44" s="1"/>
  <c r="U248" i="44" s="1"/>
  <c r="K248" i="44"/>
  <c r="M248" i="44" s="1"/>
  <c r="T398" i="25"/>
  <c r="P256" i="44"/>
  <c r="R256" i="44" s="1"/>
  <c r="U256" i="44" s="1"/>
  <c r="K256" i="44"/>
  <c r="M256" i="44" s="1"/>
  <c r="P260" i="44"/>
  <c r="R260" i="44" s="1"/>
  <c r="K260" i="44"/>
  <c r="M260" i="44" s="1"/>
  <c r="P264" i="44"/>
  <c r="R264" i="44" s="1"/>
  <c r="U264" i="44" s="1"/>
  <c r="K264" i="44"/>
  <c r="M264" i="44" s="1"/>
  <c r="P268" i="44"/>
  <c r="R268" i="44" s="1"/>
  <c r="K268" i="44"/>
  <c r="M268" i="44" s="1"/>
  <c r="P272" i="44"/>
  <c r="R272" i="44" s="1"/>
  <c r="U272" i="44" s="1"/>
  <c r="K272" i="44"/>
  <c r="M272" i="44" s="1"/>
  <c r="P276" i="44"/>
  <c r="R276" i="44" s="1"/>
  <c r="K276" i="44"/>
  <c r="M276" i="44" s="1"/>
  <c r="P280" i="44"/>
  <c r="R280" i="44" s="1"/>
  <c r="U280" i="44" s="1"/>
  <c r="K280" i="44"/>
  <c r="M280" i="44" s="1"/>
  <c r="P284" i="44"/>
  <c r="R284" i="44" s="1"/>
  <c r="K284" i="44"/>
  <c r="M284" i="44" s="1"/>
  <c r="T434" i="25"/>
  <c r="P292" i="44"/>
  <c r="R292" i="44" s="1"/>
  <c r="U292" i="44" s="1"/>
  <c r="K292" i="44"/>
  <c r="M292" i="44" s="1"/>
  <c r="T662" i="25"/>
  <c r="P300" i="44"/>
  <c r="R300" i="44" s="1"/>
  <c r="U300" i="44" s="1"/>
  <c r="K300" i="44"/>
  <c r="M300" i="44" s="1"/>
  <c r="T670" i="25"/>
  <c r="P308" i="44"/>
  <c r="R308" i="44" s="1"/>
  <c r="K308" i="44"/>
  <c r="M308" i="44" s="1"/>
  <c r="T678" i="25"/>
  <c r="P316" i="44"/>
  <c r="R316" i="44" s="1"/>
  <c r="K316" i="44"/>
  <c r="M316" i="44" s="1"/>
  <c r="Z317" i="37"/>
  <c r="AC317" i="37" s="1"/>
  <c r="T686" i="25"/>
  <c r="P324" i="44"/>
  <c r="R324" i="44" s="1"/>
  <c r="K324" i="44"/>
  <c r="M324" i="44" s="1"/>
  <c r="Z325" i="37"/>
  <c r="AC325" i="37" s="1"/>
  <c r="P332" i="44"/>
  <c r="R332" i="44" s="1"/>
  <c r="U332" i="44" s="1"/>
  <c r="K332" i="44"/>
  <c r="M332" i="44" s="1"/>
  <c r="Z333" i="37"/>
  <c r="AC333" i="37" s="1"/>
  <c r="P340" i="44"/>
  <c r="R340" i="44" s="1"/>
  <c r="U340" i="44" s="1"/>
  <c r="K340" i="44"/>
  <c r="M340" i="44" s="1"/>
  <c r="Z341" i="37"/>
  <c r="AC341" i="37" s="1"/>
  <c r="P348" i="44"/>
  <c r="R348" i="44" s="1"/>
  <c r="K348" i="44"/>
  <c r="M348" i="44" s="1"/>
  <c r="P353" i="44"/>
  <c r="R353" i="44" s="1"/>
  <c r="U353" i="44" s="1"/>
  <c r="K353" i="44"/>
  <c r="M353" i="44" s="1"/>
  <c r="P357" i="44"/>
  <c r="R357" i="44" s="1"/>
  <c r="K357" i="44"/>
  <c r="M357" i="44" s="1"/>
  <c r="X727" i="25"/>
  <c r="P727" i="25"/>
  <c r="Y727" i="25" s="1"/>
  <c r="X731" i="25"/>
  <c r="P731" i="25"/>
  <c r="Y731" i="25" s="1"/>
  <c r="P369" i="44"/>
  <c r="R369" i="44" s="1"/>
  <c r="U369" i="44" s="1"/>
  <c r="K369" i="44"/>
  <c r="M369" i="44" s="1"/>
  <c r="P373" i="44"/>
  <c r="R373" i="44" s="1"/>
  <c r="K373" i="44"/>
  <c r="M373" i="44" s="1"/>
  <c r="X743" i="25"/>
  <c r="P743" i="25"/>
  <c r="Y743" i="25" s="1"/>
  <c r="X747" i="25"/>
  <c r="P747" i="25"/>
  <c r="Y747" i="25" s="1"/>
  <c r="P385" i="44"/>
  <c r="R385" i="44" s="1"/>
  <c r="U385" i="44" s="1"/>
  <c r="K385" i="44"/>
  <c r="M385" i="44" s="1"/>
  <c r="P389" i="44"/>
  <c r="R389" i="44" s="1"/>
  <c r="K389" i="44"/>
  <c r="M389" i="44" s="1"/>
  <c r="X759" i="25"/>
  <c r="P759" i="25"/>
  <c r="Y759" i="25" s="1"/>
  <c r="X763" i="25"/>
  <c r="P763" i="25"/>
  <c r="Y763" i="25" s="1"/>
  <c r="K401" i="44"/>
  <c r="M401" i="44" s="1"/>
  <c r="P401" i="44"/>
  <c r="R401" i="44" s="1"/>
  <c r="T772" i="25"/>
  <c r="X776" i="25"/>
  <c r="P776" i="25"/>
  <c r="Y776" i="25" s="1"/>
  <c r="X780" i="25"/>
  <c r="P780" i="25"/>
  <c r="Y780" i="25" s="1"/>
  <c r="T784" i="25"/>
  <c r="T792" i="25"/>
  <c r="K434" i="44"/>
  <c r="M434" i="44" s="1"/>
  <c r="P434" i="44"/>
  <c r="R434" i="44" s="1"/>
  <c r="U434" i="44" s="1"/>
  <c r="Z354" i="37"/>
  <c r="AC354" i="37" s="1"/>
  <c r="Z386" i="37"/>
  <c r="AC386" i="37" s="1"/>
  <c r="P79" i="44"/>
  <c r="R79" i="44" s="1"/>
  <c r="K79" i="44"/>
  <c r="M79" i="44" s="1"/>
  <c r="X229" i="25"/>
  <c r="P229" i="25"/>
  <c r="P87" i="44"/>
  <c r="R87" i="44" s="1"/>
  <c r="K87" i="44"/>
  <c r="M87" i="44" s="1"/>
  <c r="T237" i="25"/>
  <c r="P95" i="44"/>
  <c r="R95" i="44" s="1"/>
  <c r="U95" i="44" s="1"/>
  <c r="K95" i="44"/>
  <c r="M95" i="44" s="1"/>
  <c r="T245" i="25"/>
  <c r="P103" i="44"/>
  <c r="R103" i="44" s="1"/>
  <c r="U103" i="44" s="1"/>
  <c r="K103" i="44"/>
  <c r="M103" i="44" s="1"/>
  <c r="T253" i="25"/>
  <c r="P111" i="44"/>
  <c r="R111" i="44" s="1"/>
  <c r="K111" i="44"/>
  <c r="M111" i="44" s="1"/>
  <c r="T261" i="25"/>
  <c r="P119" i="44"/>
  <c r="R119" i="44" s="1"/>
  <c r="K119" i="44"/>
  <c r="M119" i="44" s="1"/>
  <c r="T269" i="25"/>
  <c r="P127" i="44"/>
  <c r="R127" i="44" s="1"/>
  <c r="U127" i="44" s="1"/>
  <c r="K127" i="44"/>
  <c r="M127" i="44" s="1"/>
  <c r="T277" i="25"/>
  <c r="P135" i="44"/>
  <c r="R135" i="44" s="1"/>
  <c r="U135" i="44" s="1"/>
  <c r="K135" i="44"/>
  <c r="M135" i="44" s="1"/>
  <c r="P143" i="44"/>
  <c r="R143" i="44" s="1"/>
  <c r="K143" i="44"/>
  <c r="M143" i="44" s="1"/>
  <c r="P151" i="44"/>
  <c r="R151" i="44" s="1"/>
  <c r="U151" i="44" s="1"/>
  <c r="K151" i="44"/>
  <c r="M151" i="44" s="1"/>
  <c r="P159" i="44"/>
  <c r="R159" i="44" s="1"/>
  <c r="K159" i="44"/>
  <c r="M159" i="44" s="1"/>
  <c r="P167" i="44"/>
  <c r="R167" i="44" s="1"/>
  <c r="U167" i="44" s="1"/>
  <c r="K167" i="44"/>
  <c r="M167" i="44" s="1"/>
  <c r="P175" i="44"/>
  <c r="R175" i="44" s="1"/>
  <c r="K175" i="44"/>
  <c r="M175" i="44" s="1"/>
  <c r="P183" i="44"/>
  <c r="R183" i="44" s="1"/>
  <c r="U183" i="44" s="1"/>
  <c r="K183" i="44"/>
  <c r="M183" i="44" s="1"/>
  <c r="P191" i="44"/>
  <c r="R191" i="44" s="1"/>
  <c r="K191" i="44"/>
  <c r="M191" i="44" s="1"/>
  <c r="P199" i="44"/>
  <c r="R199" i="44" s="1"/>
  <c r="U199" i="44" s="1"/>
  <c r="K199" i="44"/>
  <c r="M199" i="44" s="1"/>
  <c r="P207" i="44"/>
  <c r="R207" i="44" s="1"/>
  <c r="K207" i="44"/>
  <c r="M207" i="44" s="1"/>
  <c r="X357" i="25"/>
  <c r="P357" i="25"/>
  <c r="P215" i="44"/>
  <c r="R215" i="44" s="1"/>
  <c r="K215" i="44"/>
  <c r="M215" i="44" s="1"/>
  <c r="P223" i="44"/>
  <c r="R223" i="44" s="1"/>
  <c r="U223" i="44" s="1"/>
  <c r="K223" i="44"/>
  <c r="M223" i="44" s="1"/>
  <c r="P231" i="44"/>
  <c r="R231" i="44" s="1"/>
  <c r="K231" i="44"/>
  <c r="M231" i="44" s="1"/>
  <c r="P239" i="44"/>
  <c r="R239" i="44" s="1"/>
  <c r="U239" i="44" s="1"/>
  <c r="K239" i="44"/>
  <c r="M239" i="44" s="1"/>
  <c r="P247" i="44"/>
  <c r="R247" i="44" s="1"/>
  <c r="K247" i="44"/>
  <c r="M247" i="44" s="1"/>
  <c r="P255" i="44"/>
  <c r="R255" i="44" s="1"/>
  <c r="U255" i="44" s="1"/>
  <c r="K255" i="44"/>
  <c r="M255" i="44" s="1"/>
  <c r="P263" i="44"/>
  <c r="R263" i="44" s="1"/>
  <c r="K263" i="44"/>
  <c r="M263" i="44" s="1"/>
  <c r="P271" i="44"/>
  <c r="R271" i="44" s="1"/>
  <c r="U271" i="44" s="1"/>
  <c r="K271" i="44"/>
  <c r="M271" i="44" s="1"/>
  <c r="P279" i="44"/>
  <c r="R279" i="44" s="1"/>
  <c r="K279" i="44"/>
  <c r="M279" i="44" s="1"/>
  <c r="P287" i="44"/>
  <c r="R287" i="44" s="1"/>
  <c r="U287" i="44" s="1"/>
  <c r="K287" i="44"/>
  <c r="M287" i="44" s="1"/>
  <c r="P295" i="44"/>
  <c r="R295" i="44" s="1"/>
  <c r="K295" i="44"/>
  <c r="M295" i="44" s="1"/>
  <c r="P303" i="44"/>
  <c r="R303" i="44" s="1"/>
  <c r="U303" i="44" s="1"/>
  <c r="K303" i="44"/>
  <c r="M303" i="44" s="1"/>
  <c r="P311" i="44"/>
  <c r="R311" i="44" s="1"/>
  <c r="K311" i="44"/>
  <c r="M311" i="44" s="1"/>
  <c r="P315" i="44"/>
  <c r="R315" i="44" s="1"/>
  <c r="U315" i="44" s="1"/>
  <c r="K315" i="44"/>
  <c r="M315" i="44" s="1"/>
  <c r="P319" i="44"/>
  <c r="R319" i="44" s="1"/>
  <c r="K319" i="44"/>
  <c r="M319" i="44" s="1"/>
  <c r="P323" i="44"/>
  <c r="R323" i="44" s="1"/>
  <c r="U323" i="44" s="1"/>
  <c r="K323" i="44"/>
  <c r="M323" i="44" s="1"/>
  <c r="P327" i="44"/>
  <c r="R327" i="44" s="1"/>
  <c r="K327" i="44"/>
  <c r="M327" i="44" s="1"/>
  <c r="P331" i="44"/>
  <c r="R331" i="44" s="1"/>
  <c r="U331" i="44" s="1"/>
  <c r="K331" i="44"/>
  <c r="M331" i="44" s="1"/>
  <c r="P335" i="44"/>
  <c r="R335" i="44" s="1"/>
  <c r="K335" i="44"/>
  <c r="M335" i="44" s="1"/>
  <c r="P339" i="44"/>
  <c r="R339" i="44" s="1"/>
  <c r="U339" i="44" s="1"/>
  <c r="K339" i="44"/>
  <c r="M339" i="44" s="1"/>
  <c r="P343" i="44"/>
  <c r="R343" i="44" s="1"/>
  <c r="K343" i="44"/>
  <c r="M343" i="44" s="1"/>
  <c r="P347" i="44"/>
  <c r="R347" i="44" s="1"/>
  <c r="U347" i="44" s="1"/>
  <c r="K347" i="44"/>
  <c r="M347" i="44" s="1"/>
  <c r="P352" i="44"/>
  <c r="R352" i="44" s="1"/>
  <c r="K352" i="44"/>
  <c r="M352" i="44" s="1"/>
  <c r="P356" i="44"/>
  <c r="R356" i="44" s="1"/>
  <c r="U356" i="44" s="1"/>
  <c r="K356" i="44"/>
  <c r="M356" i="44" s="1"/>
  <c r="P360" i="44"/>
  <c r="R360" i="44" s="1"/>
  <c r="K360" i="44"/>
  <c r="M360" i="44" s="1"/>
  <c r="P364" i="44"/>
  <c r="R364" i="44" s="1"/>
  <c r="U364" i="44" s="1"/>
  <c r="K364" i="44"/>
  <c r="M364" i="44" s="1"/>
  <c r="P368" i="44"/>
  <c r="R368" i="44" s="1"/>
  <c r="K368" i="44"/>
  <c r="M368" i="44" s="1"/>
  <c r="Z111" i="37"/>
  <c r="AC111" i="37" s="1"/>
  <c r="X224" i="25"/>
  <c r="P224" i="25"/>
  <c r="AC87" i="37"/>
  <c r="P94" i="44"/>
  <c r="R94" i="44" s="1"/>
  <c r="U94" i="44" s="1"/>
  <c r="K94" i="44"/>
  <c r="M94" i="44" s="1"/>
  <c r="T110" i="37"/>
  <c r="V110" i="37" s="1"/>
  <c r="X110" i="37"/>
  <c r="K110" i="37"/>
  <c r="O110" i="37" s="1"/>
  <c r="Q110" i="37" s="1"/>
  <c r="H38" i="32"/>
  <c r="X288" i="25"/>
  <c r="P288" i="25"/>
  <c r="AC151" i="37"/>
  <c r="P158" i="44"/>
  <c r="R158" i="44" s="1"/>
  <c r="K158" i="44"/>
  <c r="M158" i="44" s="1"/>
  <c r="T174" i="37"/>
  <c r="V174" i="37" s="1"/>
  <c r="Z174" i="37" s="1"/>
  <c r="AC174" i="37" s="1"/>
  <c r="X174" i="37"/>
  <c r="K174" i="37"/>
  <c r="O174" i="37" s="1"/>
  <c r="Q174" i="37" s="1"/>
  <c r="H102" i="32"/>
  <c r="X352" i="25"/>
  <c r="P352" i="25"/>
  <c r="AC215" i="37"/>
  <c r="X376" i="25"/>
  <c r="P376" i="25"/>
  <c r="X392" i="25"/>
  <c r="P392" i="25"/>
  <c r="X408" i="25"/>
  <c r="P408" i="25"/>
  <c r="Y408" i="25" s="1"/>
  <c r="X424" i="25"/>
  <c r="P424" i="25"/>
  <c r="T286" i="37"/>
  <c r="V286" i="37" s="1"/>
  <c r="Z286" i="37" s="1"/>
  <c r="AC286" i="37" s="1"/>
  <c r="X286" i="37"/>
  <c r="K286" i="37"/>
  <c r="O286" i="37" s="1"/>
  <c r="Q286" i="37" s="1"/>
  <c r="H214" i="32"/>
  <c r="K302" i="44"/>
  <c r="M302" i="44" s="1"/>
  <c r="P302" i="44"/>
  <c r="R302" i="44" s="1"/>
  <c r="Z159" i="37"/>
  <c r="AC159" i="37" s="1"/>
  <c r="X228" i="25"/>
  <c r="P228" i="25"/>
  <c r="P98" i="44"/>
  <c r="R98" i="44" s="1"/>
  <c r="K98" i="44"/>
  <c r="M98" i="44" s="1"/>
  <c r="T114" i="37"/>
  <c r="V114" i="37" s="1"/>
  <c r="Z114" i="37" s="1"/>
  <c r="AC114" i="37" s="1"/>
  <c r="X114" i="37"/>
  <c r="K114" i="37"/>
  <c r="O114" i="37" s="1"/>
  <c r="Q114" i="37" s="1"/>
  <c r="H42" i="32"/>
  <c r="AC139" i="37"/>
  <c r="P146" i="44"/>
  <c r="R146" i="44" s="1"/>
  <c r="U146" i="44" s="1"/>
  <c r="K146" i="44"/>
  <c r="M146" i="44" s="1"/>
  <c r="P162" i="44"/>
  <c r="R162" i="44" s="1"/>
  <c r="U162" i="44" s="1"/>
  <c r="K162" i="44"/>
  <c r="M162" i="44" s="1"/>
  <c r="T178" i="37"/>
  <c r="V178" i="37" s="1"/>
  <c r="X178" i="37"/>
  <c r="K178" i="37"/>
  <c r="O178" i="37" s="1"/>
  <c r="Q178" i="37" s="1"/>
  <c r="H106" i="32"/>
  <c r="X340" i="25"/>
  <c r="P340" i="25"/>
  <c r="Y340" i="25" s="1"/>
  <c r="AC203" i="37"/>
  <c r="T356" i="25"/>
  <c r="Z227" i="37"/>
  <c r="AC227" i="37" s="1"/>
  <c r="P234" i="44"/>
  <c r="R234" i="44" s="1"/>
  <c r="U234" i="44" s="1"/>
  <c r="K234" i="44"/>
  <c r="M234" i="44" s="1"/>
  <c r="T250" i="37"/>
  <c r="V250" i="37" s="1"/>
  <c r="X250" i="37"/>
  <c r="K250" i="37"/>
  <c r="O250" i="37" s="1"/>
  <c r="Q250" i="37" s="1"/>
  <c r="H178" i="32"/>
  <c r="AC267" i="37"/>
  <c r="X420" i="25"/>
  <c r="P420" i="25"/>
  <c r="P290" i="44"/>
  <c r="R290" i="44" s="1"/>
  <c r="K290" i="44"/>
  <c r="M290" i="44" s="1"/>
  <c r="Z79" i="37"/>
  <c r="AC79" i="37" s="1"/>
  <c r="AC357" i="37"/>
  <c r="T86" i="37"/>
  <c r="V86" i="37" s="1"/>
  <c r="X86" i="37"/>
  <c r="K86" i="37"/>
  <c r="O86" i="37" s="1"/>
  <c r="Q86" i="37" s="1"/>
  <c r="H14" i="32"/>
  <c r="T102" i="37"/>
  <c r="V102" i="37" s="1"/>
  <c r="X102" i="37"/>
  <c r="K102" i="37"/>
  <c r="O102" i="37" s="1"/>
  <c r="Q102" i="37" s="1"/>
  <c r="H30" i="32"/>
  <c r="T118" i="37"/>
  <c r="V118" i="37" s="1"/>
  <c r="X118" i="37"/>
  <c r="K118" i="37"/>
  <c r="O118" i="37" s="1"/>
  <c r="Q118" i="37" s="1"/>
  <c r="H46" i="32"/>
  <c r="T134" i="37"/>
  <c r="V134" i="37" s="1"/>
  <c r="X134" i="37"/>
  <c r="K134" i="37"/>
  <c r="O134" i="37" s="1"/>
  <c r="Q134" i="37" s="1"/>
  <c r="H62" i="32"/>
  <c r="T150" i="37"/>
  <c r="V150" i="37" s="1"/>
  <c r="X150" i="37"/>
  <c r="K150" i="37"/>
  <c r="O150" i="37" s="1"/>
  <c r="Q150" i="37" s="1"/>
  <c r="H78" i="32"/>
  <c r="T166" i="37"/>
  <c r="V166" i="37" s="1"/>
  <c r="X166" i="37"/>
  <c r="K166" i="37"/>
  <c r="O166" i="37" s="1"/>
  <c r="Q166" i="37" s="1"/>
  <c r="H94" i="32"/>
  <c r="T182" i="37"/>
  <c r="V182" i="37" s="1"/>
  <c r="X182" i="37"/>
  <c r="K182" i="37"/>
  <c r="O182" i="37" s="1"/>
  <c r="Q182" i="37" s="1"/>
  <c r="H110" i="32"/>
  <c r="T198" i="37"/>
  <c r="V198" i="37" s="1"/>
  <c r="X198" i="37"/>
  <c r="K198" i="37"/>
  <c r="O198" i="37" s="1"/>
  <c r="Q198" i="37" s="1"/>
  <c r="H126" i="32"/>
  <c r="T214" i="37"/>
  <c r="V214" i="37" s="1"/>
  <c r="X214" i="37"/>
  <c r="K214" i="37"/>
  <c r="O214" i="37" s="1"/>
  <c r="Q214" i="37" s="1"/>
  <c r="H142" i="32"/>
  <c r="T222" i="37"/>
  <c r="V222" i="37" s="1"/>
  <c r="X222" i="37"/>
  <c r="K222" i="37"/>
  <c r="O222" i="37" s="1"/>
  <c r="Q222" i="37" s="1"/>
  <c r="H150" i="32"/>
  <c r="T254" i="37"/>
  <c r="V254" i="37" s="1"/>
  <c r="X254" i="37"/>
  <c r="K254" i="37"/>
  <c r="O254" i="37" s="1"/>
  <c r="Q254" i="37" s="1"/>
  <c r="H182" i="32"/>
  <c r="Z265" i="37"/>
  <c r="AC265" i="37" s="1"/>
  <c r="K326" i="44"/>
  <c r="M326" i="44" s="1"/>
  <c r="P326" i="44"/>
  <c r="R326" i="44" s="1"/>
  <c r="U326" i="44" s="1"/>
  <c r="K342" i="44"/>
  <c r="M342" i="44" s="1"/>
  <c r="P342" i="44"/>
  <c r="R342" i="44" s="1"/>
  <c r="X741" i="25"/>
  <c r="P741" i="25"/>
  <c r="K384" i="37"/>
  <c r="O384" i="37" s="1"/>
  <c r="Q384" i="37" s="1"/>
  <c r="H312" i="32"/>
  <c r="X384" i="37"/>
  <c r="T384" i="37"/>
  <c r="V384" i="37" s="1"/>
  <c r="Z384" i="37" s="1"/>
  <c r="X757" i="25"/>
  <c r="P757" i="25"/>
  <c r="K400" i="37"/>
  <c r="O400" i="37" s="1"/>
  <c r="Q400" i="37" s="1"/>
  <c r="H328" i="32"/>
  <c r="X400" i="37"/>
  <c r="T400" i="37"/>
  <c r="V400" i="37" s="1"/>
  <c r="X774" i="25"/>
  <c r="P774" i="25"/>
  <c r="P421" i="44"/>
  <c r="R421" i="44" s="1"/>
  <c r="U421" i="44" s="1"/>
  <c r="K421" i="44"/>
  <c r="M421" i="44" s="1"/>
  <c r="T449" i="37"/>
  <c r="V449" i="37" s="1"/>
  <c r="Z449" i="37" s="1"/>
  <c r="AC449" i="37" s="1"/>
  <c r="AF449" i="37" s="1"/>
  <c r="H377" i="32"/>
  <c r="K449" i="37"/>
  <c r="O449" i="37" s="1"/>
  <c r="Q449" i="37" s="1"/>
  <c r="X449" i="37"/>
  <c r="T462" i="37"/>
  <c r="V462" i="37" s="1"/>
  <c r="Z462" i="37" s="1"/>
  <c r="AC462" i="37" s="1"/>
  <c r="K462" i="37"/>
  <c r="O462" i="37" s="1"/>
  <c r="Q462" i="37" s="1"/>
  <c r="X462" i="37"/>
  <c r="H390" i="32"/>
  <c r="T481" i="37"/>
  <c r="V481" i="37" s="1"/>
  <c r="H409" i="32"/>
  <c r="K481" i="37"/>
  <c r="O481" i="37" s="1"/>
  <c r="Q481" i="37" s="1"/>
  <c r="X481" i="37"/>
  <c r="T494" i="37"/>
  <c r="V494" i="37" s="1"/>
  <c r="K494" i="37"/>
  <c r="O494" i="37" s="1"/>
  <c r="Q494" i="37" s="1"/>
  <c r="X494" i="37"/>
  <c r="H422" i="32"/>
  <c r="T513" i="37"/>
  <c r="V513" i="37" s="1"/>
  <c r="H441" i="32"/>
  <c r="K513" i="37"/>
  <c r="O513" i="37" s="1"/>
  <c r="Q513" i="37" s="1"/>
  <c r="X513" i="37"/>
  <c r="O82" i="44"/>
  <c r="Q82" i="44" s="1"/>
  <c r="J82" i="44"/>
  <c r="L82" i="44" s="1"/>
  <c r="S83" i="37"/>
  <c r="U83" i="37" s="1"/>
  <c r="Y83" i="37" s="1"/>
  <c r="AA83" i="37" s="1"/>
  <c r="AE83" i="37" s="1"/>
  <c r="AB83" i="37" s="1"/>
  <c r="AF83" i="37" s="1"/>
  <c r="W83" i="37"/>
  <c r="J83" i="37"/>
  <c r="L83" i="37" s="1"/>
  <c r="N83" i="37" s="1"/>
  <c r="G11" i="32"/>
  <c r="O90" i="44"/>
  <c r="Q90" i="44" s="1"/>
  <c r="S90" i="44" s="1"/>
  <c r="W90" i="44" s="1"/>
  <c r="T90" i="44" s="1"/>
  <c r="J90" i="44"/>
  <c r="L90" i="44" s="1"/>
  <c r="S91" i="37"/>
  <c r="U91" i="37" s="1"/>
  <c r="W91" i="37"/>
  <c r="J91" i="37"/>
  <c r="L91" i="37" s="1"/>
  <c r="N91" i="37" s="1"/>
  <c r="G19" i="32"/>
  <c r="O98" i="44"/>
  <c r="Q98" i="44" s="1"/>
  <c r="J98" i="44"/>
  <c r="L98" i="44" s="1"/>
  <c r="S99" i="37"/>
  <c r="U99" i="37" s="1"/>
  <c r="Y99" i="37" s="1"/>
  <c r="AA99" i="37" s="1"/>
  <c r="AE99" i="37" s="1"/>
  <c r="AB99" i="37" s="1"/>
  <c r="AF99" i="37" s="1"/>
  <c r="W99" i="37"/>
  <c r="J99" i="37"/>
  <c r="L99" i="37" s="1"/>
  <c r="N99" i="37" s="1"/>
  <c r="G27" i="32"/>
  <c r="O106" i="44"/>
  <c r="Q106" i="44" s="1"/>
  <c r="S106" i="44" s="1"/>
  <c r="W106" i="44" s="1"/>
  <c r="T106" i="44" s="1"/>
  <c r="J106" i="44"/>
  <c r="L106" i="44" s="1"/>
  <c r="S107" i="37"/>
  <c r="U107" i="37" s="1"/>
  <c r="W107" i="37"/>
  <c r="J107" i="37"/>
  <c r="L107" i="37" s="1"/>
  <c r="N107" i="37" s="1"/>
  <c r="G35" i="32"/>
  <c r="O114" i="44"/>
  <c r="Q114" i="44" s="1"/>
  <c r="J114" i="44"/>
  <c r="L114" i="44" s="1"/>
  <c r="S115" i="37"/>
  <c r="U115" i="37" s="1"/>
  <c r="Y115" i="37" s="1"/>
  <c r="AA115" i="37" s="1"/>
  <c r="AE115" i="37" s="1"/>
  <c r="AB115" i="37" s="1"/>
  <c r="W115" i="37"/>
  <c r="J115" i="37"/>
  <c r="L115" i="37" s="1"/>
  <c r="N115" i="37" s="1"/>
  <c r="G43" i="32"/>
  <c r="O122" i="44"/>
  <c r="Q122" i="44" s="1"/>
  <c r="S122" i="44" s="1"/>
  <c r="W122" i="44" s="1"/>
  <c r="T122" i="44" s="1"/>
  <c r="J122" i="44"/>
  <c r="L122" i="44" s="1"/>
  <c r="S123" i="37"/>
  <c r="U123" i="37" s="1"/>
  <c r="W123" i="37"/>
  <c r="J123" i="37"/>
  <c r="L123" i="37" s="1"/>
  <c r="N123" i="37" s="1"/>
  <c r="G51" i="32"/>
  <c r="O130" i="44"/>
  <c r="Q130" i="44" s="1"/>
  <c r="J130" i="44"/>
  <c r="L130" i="44" s="1"/>
  <c r="S131" i="37"/>
  <c r="U131" i="37" s="1"/>
  <c r="Y131" i="37" s="1"/>
  <c r="AA131" i="37" s="1"/>
  <c r="AE131" i="37" s="1"/>
  <c r="AB131" i="37" s="1"/>
  <c r="W131" i="37"/>
  <c r="J131" i="37"/>
  <c r="L131" i="37" s="1"/>
  <c r="N131" i="37" s="1"/>
  <c r="G59" i="32"/>
  <c r="O138" i="44"/>
  <c r="Q138" i="44" s="1"/>
  <c r="S138" i="44" s="1"/>
  <c r="W138" i="44" s="1"/>
  <c r="T138" i="44" s="1"/>
  <c r="J138" i="44"/>
  <c r="L138" i="44" s="1"/>
  <c r="S139" i="37"/>
  <c r="U139" i="37" s="1"/>
  <c r="W139" i="37"/>
  <c r="J139" i="37"/>
  <c r="L139" i="37" s="1"/>
  <c r="N139" i="37" s="1"/>
  <c r="G67" i="32"/>
  <c r="O146" i="44"/>
  <c r="Q146" i="44" s="1"/>
  <c r="J146" i="44"/>
  <c r="L146" i="44" s="1"/>
  <c r="S147" i="37"/>
  <c r="U147" i="37" s="1"/>
  <c r="Y147" i="37" s="1"/>
  <c r="AA147" i="37" s="1"/>
  <c r="AE147" i="37" s="1"/>
  <c r="AB147" i="37" s="1"/>
  <c r="AF147" i="37" s="1"/>
  <c r="W147" i="37"/>
  <c r="J147" i="37"/>
  <c r="L147" i="37" s="1"/>
  <c r="N147" i="37" s="1"/>
  <c r="G75" i="32"/>
  <c r="O154" i="44"/>
  <c r="Q154" i="44" s="1"/>
  <c r="S154" i="44" s="1"/>
  <c r="W154" i="44" s="1"/>
  <c r="T154" i="44" s="1"/>
  <c r="J154" i="44"/>
  <c r="L154" i="44" s="1"/>
  <c r="S155" i="37"/>
  <c r="U155" i="37" s="1"/>
  <c r="W155" i="37"/>
  <c r="J155" i="37"/>
  <c r="L155" i="37" s="1"/>
  <c r="N155" i="37" s="1"/>
  <c r="G83" i="32"/>
  <c r="O162" i="44"/>
  <c r="Q162" i="44" s="1"/>
  <c r="J162" i="44"/>
  <c r="L162" i="44" s="1"/>
  <c r="S163" i="37"/>
  <c r="U163" i="37" s="1"/>
  <c r="Y163" i="37" s="1"/>
  <c r="AA163" i="37" s="1"/>
  <c r="AE163" i="37" s="1"/>
  <c r="AB163" i="37" s="1"/>
  <c r="AF163" i="37" s="1"/>
  <c r="W163" i="37"/>
  <c r="J163" i="37"/>
  <c r="L163" i="37" s="1"/>
  <c r="N163" i="37" s="1"/>
  <c r="G91" i="32"/>
  <c r="O170" i="44"/>
  <c r="Q170" i="44" s="1"/>
  <c r="S170" i="44" s="1"/>
  <c r="W170" i="44" s="1"/>
  <c r="T170" i="44" s="1"/>
  <c r="X170" i="44" s="1"/>
  <c r="J170" i="44"/>
  <c r="L170" i="44" s="1"/>
  <c r="S171" i="37"/>
  <c r="U171" i="37" s="1"/>
  <c r="W171" i="37"/>
  <c r="J171" i="37"/>
  <c r="L171" i="37" s="1"/>
  <c r="N171" i="37" s="1"/>
  <c r="G99" i="32"/>
  <c r="O178" i="44"/>
  <c r="Q178" i="44" s="1"/>
  <c r="J178" i="44"/>
  <c r="L178" i="44" s="1"/>
  <c r="S179" i="37"/>
  <c r="U179" i="37" s="1"/>
  <c r="Y179" i="37" s="1"/>
  <c r="AA179" i="37" s="1"/>
  <c r="AE179" i="37" s="1"/>
  <c r="AB179" i="37" s="1"/>
  <c r="AF179" i="37" s="1"/>
  <c r="W179" i="37"/>
  <c r="J179" i="37"/>
  <c r="L179" i="37" s="1"/>
  <c r="N179" i="37" s="1"/>
  <c r="G107" i="32"/>
  <c r="O186" i="44"/>
  <c r="Q186" i="44" s="1"/>
  <c r="S186" i="44" s="1"/>
  <c r="W186" i="44" s="1"/>
  <c r="T186" i="44" s="1"/>
  <c r="J186" i="44"/>
  <c r="L186" i="44" s="1"/>
  <c r="S187" i="37"/>
  <c r="U187" i="37" s="1"/>
  <c r="W187" i="37"/>
  <c r="J187" i="37"/>
  <c r="L187" i="37" s="1"/>
  <c r="N187" i="37" s="1"/>
  <c r="G115" i="32"/>
  <c r="O194" i="44"/>
  <c r="Q194" i="44" s="1"/>
  <c r="J194" i="44"/>
  <c r="L194" i="44" s="1"/>
  <c r="S195" i="37"/>
  <c r="U195" i="37" s="1"/>
  <c r="Y195" i="37" s="1"/>
  <c r="AA195" i="37" s="1"/>
  <c r="AE195" i="37" s="1"/>
  <c r="AB195" i="37" s="1"/>
  <c r="W195" i="37"/>
  <c r="J195" i="37"/>
  <c r="L195" i="37" s="1"/>
  <c r="N195" i="37" s="1"/>
  <c r="G123" i="32"/>
  <c r="O202" i="44"/>
  <c r="Q202" i="44" s="1"/>
  <c r="S202" i="44" s="1"/>
  <c r="W202" i="44" s="1"/>
  <c r="T202" i="44" s="1"/>
  <c r="J202" i="44"/>
  <c r="L202" i="44" s="1"/>
  <c r="S203" i="37"/>
  <c r="U203" i="37" s="1"/>
  <c r="W203" i="37"/>
  <c r="J203" i="37"/>
  <c r="L203" i="37" s="1"/>
  <c r="N203" i="37" s="1"/>
  <c r="G131" i="32"/>
  <c r="O210" i="44"/>
  <c r="Q210" i="44" s="1"/>
  <c r="J210" i="44"/>
  <c r="L210" i="44" s="1"/>
  <c r="S211" i="37"/>
  <c r="U211" i="37" s="1"/>
  <c r="Y211" i="37" s="1"/>
  <c r="AA211" i="37" s="1"/>
  <c r="AE211" i="37" s="1"/>
  <c r="AB211" i="37" s="1"/>
  <c r="AF211" i="37" s="1"/>
  <c r="W211" i="37"/>
  <c r="J211" i="37"/>
  <c r="L211" i="37" s="1"/>
  <c r="N211" i="37" s="1"/>
  <c r="G139" i="32"/>
  <c r="O218" i="44"/>
  <c r="Q218" i="44" s="1"/>
  <c r="S218" i="44" s="1"/>
  <c r="W218" i="44" s="1"/>
  <c r="T218" i="44" s="1"/>
  <c r="J218" i="44"/>
  <c r="L218" i="44" s="1"/>
  <c r="S219" i="37"/>
  <c r="U219" i="37" s="1"/>
  <c r="W219" i="37"/>
  <c r="J219" i="37"/>
  <c r="L219" i="37" s="1"/>
  <c r="N219" i="37" s="1"/>
  <c r="G147" i="32"/>
  <c r="O226" i="44"/>
  <c r="Q226" i="44" s="1"/>
  <c r="J226" i="44"/>
  <c r="L226" i="44" s="1"/>
  <c r="S227" i="37"/>
  <c r="U227" i="37" s="1"/>
  <c r="Y227" i="37" s="1"/>
  <c r="AA227" i="37" s="1"/>
  <c r="AE227" i="37" s="1"/>
  <c r="AB227" i="37" s="1"/>
  <c r="AF227" i="37" s="1"/>
  <c r="W227" i="37"/>
  <c r="J227" i="37"/>
  <c r="L227" i="37" s="1"/>
  <c r="N227" i="37" s="1"/>
  <c r="G155" i="32"/>
  <c r="O234" i="44"/>
  <c r="Q234" i="44" s="1"/>
  <c r="S234" i="44" s="1"/>
  <c r="W234" i="44" s="1"/>
  <c r="T234" i="44" s="1"/>
  <c r="X234" i="44" s="1"/>
  <c r="J234" i="44"/>
  <c r="L234" i="44" s="1"/>
  <c r="S235" i="37"/>
  <c r="U235" i="37" s="1"/>
  <c r="W235" i="37"/>
  <c r="J235" i="37"/>
  <c r="L235" i="37" s="1"/>
  <c r="N235" i="37" s="1"/>
  <c r="G163" i="32"/>
  <c r="O242" i="44"/>
  <c r="Q242" i="44" s="1"/>
  <c r="J242" i="44"/>
  <c r="L242" i="44" s="1"/>
  <c r="S243" i="37"/>
  <c r="U243" i="37" s="1"/>
  <c r="Y243" i="37" s="1"/>
  <c r="AA243" i="37" s="1"/>
  <c r="AE243" i="37" s="1"/>
  <c r="AB243" i="37" s="1"/>
  <c r="W243" i="37"/>
  <c r="J243" i="37"/>
  <c r="L243" i="37" s="1"/>
  <c r="N243" i="37" s="1"/>
  <c r="G171" i="32"/>
  <c r="O250" i="44"/>
  <c r="Q250" i="44" s="1"/>
  <c r="S250" i="44" s="1"/>
  <c r="W250" i="44" s="1"/>
  <c r="T250" i="44" s="1"/>
  <c r="J250" i="44"/>
  <c r="L250" i="44" s="1"/>
  <c r="S251" i="37"/>
  <c r="U251" i="37" s="1"/>
  <c r="W251" i="37"/>
  <c r="J251" i="37"/>
  <c r="L251" i="37" s="1"/>
  <c r="N251" i="37" s="1"/>
  <c r="G179" i="32"/>
  <c r="O258" i="44"/>
  <c r="Q258" i="44" s="1"/>
  <c r="J258" i="44"/>
  <c r="L258" i="44" s="1"/>
  <c r="S259" i="37"/>
  <c r="U259" i="37" s="1"/>
  <c r="Y259" i="37" s="1"/>
  <c r="AA259" i="37" s="1"/>
  <c r="AE259" i="37" s="1"/>
  <c r="AB259" i="37" s="1"/>
  <c r="W259" i="37"/>
  <c r="J259" i="37"/>
  <c r="L259" i="37" s="1"/>
  <c r="N259" i="37" s="1"/>
  <c r="G187" i="32"/>
  <c r="O266" i="44"/>
  <c r="Q266" i="44" s="1"/>
  <c r="S266" i="44" s="1"/>
  <c r="W266" i="44" s="1"/>
  <c r="T266" i="44" s="1"/>
  <c r="J266" i="44"/>
  <c r="L266" i="44" s="1"/>
  <c r="S267" i="37"/>
  <c r="U267" i="37" s="1"/>
  <c r="W267" i="37"/>
  <c r="J267" i="37"/>
  <c r="L267" i="37" s="1"/>
  <c r="N267" i="37" s="1"/>
  <c r="G195" i="32"/>
  <c r="O274" i="44"/>
  <c r="Q274" i="44" s="1"/>
  <c r="J274" i="44"/>
  <c r="L274" i="44" s="1"/>
  <c r="S275" i="37"/>
  <c r="U275" i="37" s="1"/>
  <c r="Y275" i="37" s="1"/>
  <c r="AA275" i="37" s="1"/>
  <c r="AE275" i="37" s="1"/>
  <c r="AB275" i="37" s="1"/>
  <c r="AF275" i="37" s="1"/>
  <c r="W275" i="37"/>
  <c r="J275" i="37"/>
  <c r="L275" i="37" s="1"/>
  <c r="N275" i="37" s="1"/>
  <c r="G203" i="32"/>
  <c r="O282" i="44"/>
  <c r="Q282" i="44" s="1"/>
  <c r="S282" i="44" s="1"/>
  <c r="W282" i="44" s="1"/>
  <c r="T282" i="44" s="1"/>
  <c r="X282" i="44" s="1"/>
  <c r="J282" i="44"/>
  <c r="L282" i="44" s="1"/>
  <c r="S283" i="37"/>
  <c r="U283" i="37" s="1"/>
  <c r="W283" i="37"/>
  <c r="J283" i="37"/>
  <c r="L283" i="37" s="1"/>
  <c r="N283" i="37" s="1"/>
  <c r="G211" i="32"/>
  <c r="O290" i="44"/>
  <c r="Q290" i="44" s="1"/>
  <c r="J290" i="44"/>
  <c r="L290" i="44" s="1"/>
  <c r="S291" i="37"/>
  <c r="U291" i="37" s="1"/>
  <c r="Y291" i="37" s="1"/>
  <c r="AA291" i="37" s="1"/>
  <c r="AE291" i="37" s="1"/>
  <c r="AB291" i="37" s="1"/>
  <c r="AF291" i="37" s="1"/>
  <c r="W291" i="37"/>
  <c r="J291" i="37"/>
  <c r="L291" i="37" s="1"/>
  <c r="N291" i="37" s="1"/>
  <c r="G219" i="32"/>
  <c r="O298" i="44"/>
  <c r="Q298" i="44" s="1"/>
  <c r="S298" i="44" s="1"/>
  <c r="W298" i="44" s="1"/>
  <c r="T298" i="44" s="1"/>
  <c r="J298" i="44"/>
  <c r="L298" i="44" s="1"/>
  <c r="S299" i="37"/>
  <c r="U299" i="37" s="1"/>
  <c r="W299" i="37"/>
  <c r="J299" i="37"/>
  <c r="L299" i="37" s="1"/>
  <c r="N299" i="37" s="1"/>
  <c r="G227" i="32"/>
  <c r="O306" i="44"/>
  <c r="Q306" i="44" s="1"/>
  <c r="J306" i="44"/>
  <c r="L306" i="44" s="1"/>
  <c r="S308" i="37"/>
  <c r="U308" i="37" s="1"/>
  <c r="Y308" i="37" s="1"/>
  <c r="AA308" i="37" s="1"/>
  <c r="AE308" i="37" s="1"/>
  <c r="AB308" i="37" s="1"/>
  <c r="AF308" i="37" s="1"/>
  <c r="W308" i="37"/>
  <c r="J308" i="37"/>
  <c r="L308" i="37" s="1"/>
  <c r="N308" i="37" s="1"/>
  <c r="G236" i="32"/>
  <c r="O315" i="44"/>
  <c r="Q315" i="44" s="1"/>
  <c r="S315" i="44" s="1"/>
  <c r="W315" i="44" s="1"/>
  <c r="T315" i="44" s="1"/>
  <c r="X315" i="44" s="1"/>
  <c r="J315" i="44"/>
  <c r="L315" i="44" s="1"/>
  <c r="W316" i="37"/>
  <c r="S316" i="37"/>
  <c r="U316" i="37" s="1"/>
  <c r="Y316" i="37" s="1"/>
  <c r="J316" i="37"/>
  <c r="L316" i="37" s="1"/>
  <c r="N316" i="37" s="1"/>
  <c r="G244" i="32"/>
  <c r="O323" i="44"/>
  <c r="Q323" i="44" s="1"/>
  <c r="J323" i="44"/>
  <c r="L323" i="44" s="1"/>
  <c r="W324" i="37"/>
  <c r="S324" i="37"/>
  <c r="U324" i="37" s="1"/>
  <c r="J324" i="37"/>
  <c r="L324" i="37" s="1"/>
  <c r="N324" i="37" s="1"/>
  <c r="G252" i="32"/>
  <c r="O331" i="44"/>
  <c r="Q331" i="44" s="1"/>
  <c r="S331" i="44" s="1"/>
  <c r="W331" i="44" s="1"/>
  <c r="T331" i="44" s="1"/>
  <c r="X331" i="44" s="1"/>
  <c r="J331" i="44"/>
  <c r="L331" i="44" s="1"/>
  <c r="W332" i="37"/>
  <c r="S332" i="37"/>
  <c r="U332" i="37" s="1"/>
  <c r="Y332" i="37" s="1"/>
  <c r="J332" i="37"/>
  <c r="L332" i="37" s="1"/>
  <c r="N332" i="37" s="1"/>
  <c r="G260" i="32"/>
  <c r="O339" i="44"/>
  <c r="Q339" i="44" s="1"/>
  <c r="J339" i="44"/>
  <c r="L339" i="44" s="1"/>
  <c r="W340" i="37"/>
  <c r="S340" i="37"/>
  <c r="U340" i="37" s="1"/>
  <c r="J340" i="37"/>
  <c r="L340" i="37" s="1"/>
  <c r="N340" i="37" s="1"/>
  <c r="G268" i="32"/>
  <c r="O347" i="44"/>
  <c r="Q347" i="44" s="1"/>
  <c r="S347" i="44" s="1"/>
  <c r="W347" i="44" s="1"/>
  <c r="T347" i="44" s="1"/>
  <c r="X347" i="44" s="1"/>
  <c r="J347" i="44"/>
  <c r="L347" i="44" s="1"/>
  <c r="W348" i="37"/>
  <c r="S348" i="37"/>
  <c r="U348" i="37" s="1"/>
  <c r="Y348" i="37" s="1"/>
  <c r="J348" i="37"/>
  <c r="L348" i="37" s="1"/>
  <c r="N348" i="37" s="1"/>
  <c r="G276" i="32"/>
  <c r="O355" i="44"/>
  <c r="Q355" i="44" s="1"/>
  <c r="J355" i="44"/>
  <c r="L355" i="44" s="1"/>
  <c r="W356" i="37"/>
  <c r="S356" i="37"/>
  <c r="U356" i="37" s="1"/>
  <c r="J356" i="37"/>
  <c r="L356" i="37" s="1"/>
  <c r="N356" i="37" s="1"/>
  <c r="G284" i="32"/>
  <c r="O363" i="44"/>
  <c r="Q363" i="44" s="1"/>
  <c r="S363" i="44" s="1"/>
  <c r="W363" i="44" s="1"/>
  <c r="T363" i="44" s="1"/>
  <c r="J363" i="44"/>
  <c r="L363" i="44" s="1"/>
  <c r="W364" i="37"/>
  <c r="S364" i="37"/>
  <c r="U364" i="37" s="1"/>
  <c r="Y364" i="37" s="1"/>
  <c r="J364" i="37"/>
  <c r="L364" i="37" s="1"/>
  <c r="N364" i="37" s="1"/>
  <c r="G292" i="32"/>
  <c r="O371" i="44"/>
  <c r="Q371" i="44" s="1"/>
  <c r="J371" i="44"/>
  <c r="L371" i="44" s="1"/>
  <c r="W372" i="37"/>
  <c r="S372" i="37"/>
  <c r="U372" i="37" s="1"/>
  <c r="J372" i="37"/>
  <c r="L372" i="37" s="1"/>
  <c r="N372" i="37" s="1"/>
  <c r="G300" i="32"/>
  <c r="O379" i="44"/>
  <c r="Q379" i="44" s="1"/>
  <c r="S379" i="44" s="1"/>
  <c r="W379" i="44" s="1"/>
  <c r="T379" i="44" s="1"/>
  <c r="J379" i="44"/>
  <c r="L379" i="44" s="1"/>
  <c r="W380" i="37"/>
  <c r="S380" i="37"/>
  <c r="U380" i="37" s="1"/>
  <c r="Y380" i="37" s="1"/>
  <c r="J380" i="37"/>
  <c r="L380" i="37" s="1"/>
  <c r="N380" i="37" s="1"/>
  <c r="G308" i="32"/>
  <c r="O387" i="44"/>
  <c r="Q387" i="44" s="1"/>
  <c r="J387" i="44"/>
  <c r="L387" i="44" s="1"/>
  <c r="W388" i="37"/>
  <c r="S388" i="37"/>
  <c r="U388" i="37" s="1"/>
  <c r="J388" i="37"/>
  <c r="L388" i="37" s="1"/>
  <c r="N388" i="37" s="1"/>
  <c r="G316" i="32"/>
  <c r="O395" i="44"/>
  <c r="Q395" i="44" s="1"/>
  <c r="S395" i="44" s="1"/>
  <c r="W395" i="44" s="1"/>
  <c r="T395" i="44" s="1"/>
  <c r="J395" i="44"/>
  <c r="L395" i="44" s="1"/>
  <c r="W396" i="37"/>
  <c r="S396" i="37"/>
  <c r="U396" i="37" s="1"/>
  <c r="Y396" i="37" s="1"/>
  <c r="J396" i="37"/>
  <c r="L396" i="37" s="1"/>
  <c r="N396" i="37" s="1"/>
  <c r="G324" i="32"/>
  <c r="O403" i="44"/>
  <c r="Q403" i="44" s="1"/>
  <c r="J403" i="44"/>
  <c r="L403" i="44" s="1"/>
  <c r="W404" i="37"/>
  <c r="S404" i="37"/>
  <c r="U404" i="37" s="1"/>
  <c r="J404" i="37"/>
  <c r="L404" i="37" s="1"/>
  <c r="N404" i="37" s="1"/>
  <c r="G332" i="32"/>
  <c r="O411" i="44"/>
  <c r="Q411" i="44" s="1"/>
  <c r="S411" i="44" s="1"/>
  <c r="W411" i="44" s="1"/>
  <c r="T411" i="44" s="1"/>
  <c r="X411" i="44" s="1"/>
  <c r="J411" i="44"/>
  <c r="L411" i="44" s="1"/>
  <c r="W412" i="37"/>
  <c r="S412" i="37"/>
  <c r="U412" i="37" s="1"/>
  <c r="Y412" i="37" s="1"/>
  <c r="J412" i="37"/>
  <c r="L412" i="37" s="1"/>
  <c r="N412" i="37" s="1"/>
  <c r="G340" i="32"/>
  <c r="O419" i="44"/>
  <c r="Q419" i="44" s="1"/>
  <c r="J419" i="44"/>
  <c r="L419" i="44" s="1"/>
  <c r="W420" i="37"/>
  <c r="S420" i="37"/>
  <c r="U420" i="37" s="1"/>
  <c r="J420" i="37"/>
  <c r="L420" i="37" s="1"/>
  <c r="N420" i="37" s="1"/>
  <c r="G348" i="32"/>
  <c r="O427" i="44"/>
  <c r="Q427" i="44" s="1"/>
  <c r="S427" i="44" s="1"/>
  <c r="W427" i="44" s="1"/>
  <c r="T427" i="44" s="1"/>
  <c r="X427" i="44" s="1"/>
  <c r="J427" i="44"/>
  <c r="L427" i="44" s="1"/>
  <c r="W428" i="37"/>
  <c r="S428" i="37"/>
  <c r="U428" i="37" s="1"/>
  <c r="Y428" i="37" s="1"/>
  <c r="J428" i="37"/>
  <c r="L428" i="37" s="1"/>
  <c r="N428" i="37" s="1"/>
  <c r="G356" i="32"/>
  <c r="O435" i="44"/>
  <c r="Q435" i="44" s="1"/>
  <c r="J435" i="44"/>
  <c r="L435" i="44" s="1"/>
  <c r="W436" i="37"/>
  <c r="S436" i="37"/>
  <c r="U436" i="37" s="1"/>
  <c r="J436" i="37"/>
  <c r="L436" i="37" s="1"/>
  <c r="N436" i="37" s="1"/>
  <c r="G364" i="32"/>
  <c r="O443" i="44"/>
  <c r="Q443" i="44" s="1"/>
  <c r="S443" i="44" s="1"/>
  <c r="W443" i="44" s="1"/>
  <c r="T443" i="44" s="1"/>
  <c r="X443" i="44" s="1"/>
  <c r="J443" i="44"/>
  <c r="L443" i="44" s="1"/>
  <c r="W444" i="37"/>
  <c r="S444" i="37"/>
  <c r="U444" i="37" s="1"/>
  <c r="Y444" i="37" s="1"/>
  <c r="J444" i="37"/>
  <c r="L444" i="37" s="1"/>
  <c r="N444" i="37" s="1"/>
  <c r="G372" i="32"/>
  <c r="O451" i="44"/>
  <c r="Q451" i="44" s="1"/>
  <c r="J451" i="44"/>
  <c r="L451" i="44" s="1"/>
  <c r="W452" i="37"/>
  <c r="S452" i="37"/>
  <c r="U452" i="37" s="1"/>
  <c r="J452" i="37"/>
  <c r="L452" i="37" s="1"/>
  <c r="N452" i="37" s="1"/>
  <c r="G380" i="32"/>
  <c r="O459" i="44"/>
  <c r="Q459" i="44" s="1"/>
  <c r="S459" i="44" s="1"/>
  <c r="W459" i="44" s="1"/>
  <c r="T459" i="44" s="1"/>
  <c r="X459" i="44" s="1"/>
  <c r="J459" i="44"/>
  <c r="L459" i="44" s="1"/>
  <c r="W460" i="37"/>
  <c r="S460" i="37"/>
  <c r="U460" i="37" s="1"/>
  <c r="Y460" i="37" s="1"/>
  <c r="J460" i="37"/>
  <c r="L460" i="37" s="1"/>
  <c r="N460" i="37" s="1"/>
  <c r="G388" i="32"/>
  <c r="O467" i="44"/>
  <c r="Q467" i="44" s="1"/>
  <c r="J467" i="44"/>
  <c r="L467" i="44" s="1"/>
  <c r="W468" i="37"/>
  <c r="S468" i="37"/>
  <c r="U468" i="37" s="1"/>
  <c r="J468" i="37"/>
  <c r="L468" i="37" s="1"/>
  <c r="N468" i="37" s="1"/>
  <c r="G396" i="32"/>
  <c r="O475" i="44"/>
  <c r="Q475" i="44" s="1"/>
  <c r="S475" i="44" s="1"/>
  <c r="W475" i="44" s="1"/>
  <c r="T475" i="44" s="1"/>
  <c r="X475" i="44" s="1"/>
  <c r="J475" i="44"/>
  <c r="L475" i="44" s="1"/>
  <c r="W476" i="37"/>
  <c r="S476" i="37"/>
  <c r="U476" i="37" s="1"/>
  <c r="Y476" i="37" s="1"/>
  <c r="J476" i="37"/>
  <c r="L476" i="37" s="1"/>
  <c r="N476" i="37" s="1"/>
  <c r="G404" i="32"/>
  <c r="O483" i="44"/>
  <c r="Q483" i="44" s="1"/>
  <c r="J483" i="44"/>
  <c r="L483" i="44" s="1"/>
  <c r="W484" i="37"/>
  <c r="S484" i="37"/>
  <c r="U484" i="37" s="1"/>
  <c r="J484" i="37"/>
  <c r="L484" i="37" s="1"/>
  <c r="N484" i="37" s="1"/>
  <c r="G412" i="32"/>
  <c r="O491" i="44"/>
  <c r="Q491" i="44" s="1"/>
  <c r="S491" i="44" s="1"/>
  <c r="W491" i="44" s="1"/>
  <c r="T491" i="44" s="1"/>
  <c r="X491" i="44" s="1"/>
  <c r="J491" i="44"/>
  <c r="L491" i="44" s="1"/>
  <c r="W492" i="37"/>
  <c r="S492" i="37"/>
  <c r="U492" i="37" s="1"/>
  <c r="Y492" i="37" s="1"/>
  <c r="J492" i="37"/>
  <c r="L492" i="37" s="1"/>
  <c r="N492" i="37" s="1"/>
  <c r="G420" i="32"/>
  <c r="O499" i="44"/>
  <c r="Q499" i="44" s="1"/>
  <c r="J499" i="44"/>
  <c r="L499" i="44" s="1"/>
  <c r="W500" i="37"/>
  <c r="S500" i="37"/>
  <c r="U500" i="37" s="1"/>
  <c r="J500" i="37"/>
  <c r="L500" i="37" s="1"/>
  <c r="N500" i="37" s="1"/>
  <c r="G428" i="32"/>
  <c r="O507" i="44"/>
  <c r="Q507" i="44" s="1"/>
  <c r="S507" i="44" s="1"/>
  <c r="W507" i="44" s="1"/>
  <c r="T507" i="44" s="1"/>
  <c r="X507" i="44" s="1"/>
  <c r="J507" i="44"/>
  <c r="L507" i="44" s="1"/>
  <c r="O511" i="44"/>
  <c r="Q511" i="44" s="1"/>
  <c r="J511" i="44"/>
  <c r="L511" i="44" s="1"/>
  <c r="O515" i="44"/>
  <c r="Q515" i="44" s="1"/>
  <c r="S515" i="44" s="1"/>
  <c r="W515" i="44" s="1"/>
  <c r="T515" i="44" s="1"/>
  <c r="X515" i="44" s="1"/>
  <c r="J515" i="44"/>
  <c r="L515" i="44" s="1"/>
  <c r="Y307" i="37"/>
  <c r="AA307" i="37" s="1"/>
  <c r="AE307" i="37" s="1"/>
  <c r="AB307" i="37" s="1"/>
  <c r="AC405" i="37"/>
  <c r="X252" i="25"/>
  <c r="P252" i="25"/>
  <c r="AC115" i="37"/>
  <c r="P122" i="44"/>
  <c r="R122" i="44" s="1"/>
  <c r="U122" i="44" s="1"/>
  <c r="K122" i="44"/>
  <c r="M122" i="44" s="1"/>
  <c r="T138" i="37"/>
  <c r="V138" i="37" s="1"/>
  <c r="X138" i="37"/>
  <c r="K138" i="37"/>
  <c r="O138" i="37" s="1"/>
  <c r="Q138" i="37" s="1"/>
  <c r="H66" i="32"/>
  <c r="X300" i="25"/>
  <c r="P300" i="25"/>
  <c r="Y300" i="25" s="1"/>
  <c r="T316" i="25"/>
  <c r="Z179" i="37"/>
  <c r="AC179" i="37" s="1"/>
  <c r="P186" i="44"/>
  <c r="R186" i="44" s="1"/>
  <c r="K186" i="44"/>
  <c r="M186" i="44" s="1"/>
  <c r="T202" i="37"/>
  <c r="V202" i="37" s="1"/>
  <c r="Z202" i="37" s="1"/>
  <c r="X202" i="37"/>
  <c r="K202" i="37"/>
  <c r="O202" i="37" s="1"/>
  <c r="Q202" i="37" s="1"/>
  <c r="H130" i="32"/>
  <c r="T372" i="25"/>
  <c r="P242" i="44"/>
  <c r="R242" i="44" s="1"/>
  <c r="K242" i="44"/>
  <c r="M242" i="44" s="1"/>
  <c r="T266" i="37"/>
  <c r="V266" i="37" s="1"/>
  <c r="X266" i="37"/>
  <c r="K266" i="37"/>
  <c r="O266" i="37" s="1"/>
  <c r="Q266" i="37" s="1"/>
  <c r="H194" i="32"/>
  <c r="Z277" i="37"/>
  <c r="AC277" i="37" s="1"/>
  <c r="X664" i="25"/>
  <c r="P664" i="25"/>
  <c r="Y664" i="25" s="1"/>
  <c r="Z307" i="37"/>
  <c r="AC307" i="37" s="1"/>
  <c r="K314" i="44"/>
  <c r="M314" i="44" s="1"/>
  <c r="P314" i="44"/>
  <c r="R314" i="44" s="1"/>
  <c r="U314" i="44" s="1"/>
  <c r="Z327" i="37"/>
  <c r="AC327" i="37" s="1"/>
  <c r="X717" i="25"/>
  <c r="P717" i="25"/>
  <c r="X733" i="25"/>
  <c r="P733" i="25"/>
  <c r="X749" i="25"/>
  <c r="P749" i="25"/>
  <c r="P396" i="44"/>
  <c r="R396" i="44" s="1"/>
  <c r="U396" i="44" s="1"/>
  <c r="K396" i="44"/>
  <c r="M396" i="44" s="1"/>
  <c r="T399" i="37"/>
  <c r="V399" i="37" s="1"/>
  <c r="Z399" i="37" s="1"/>
  <c r="AC399" i="37" s="1"/>
  <c r="H327" i="32"/>
  <c r="K399" i="37"/>
  <c r="O399" i="37" s="1"/>
  <c r="Q399" i="37" s="1"/>
  <c r="X399" i="37"/>
  <c r="X779" i="25"/>
  <c r="P779" i="25"/>
  <c r="Y779" i="25" s="1"/>
  <c r="K416" i="37"/>
  <c r="O416" i="37" s="1"/>
  <c r="Q416" i="37" s="1"/>
  <c r="X416" i="37"/>
  <c r="H344" i="32"/>
  <c r="T416" i="37"/>
  <c r="V416" i="37" s="1"/>
  <c r="Z416" i="37" s="1"/>
  <c r="AC416" i="37" s="1"/>
  <c r="T3" i="25"/>
  <c r="T306" i="37"/>
  <c r="V306" i="37" s="1"/>
  <c r="X306" i="37"/>
  <c r="K306" i="37"/>
  <c r="O306" i="37" s="1"/>
  <c r="Q306" i="37" s="1"/>
  <c r="H234" i="32"/>
  <c r="T672" i="25"/>
  <c r="T704" i="25"/>
  <c r="P355" i="44"/>
  <c r="R355" i="44" s="1"/>
  <c r="U355" i="44" s="1"/>
  <c r="K355" i="44"/>
  <c r="M355" i="44" s="1"/>
  <c r="X737" i="25"/>
  <c r="P737" i="25"/>
  <c r="Y737" i="25" s="1"/>
  <c r="Z373" i="37"/>
  <c r="AC373" i="37" s="1"/>
  <c r="P384" i="44"/>
  <c r="R384" i="44" s="1"/>
  <c r="K384" i="44"/>
  <c r="M384" i="44" s="1"/>
  <c r="T387" i="37"/>
  <c r="V387" i="37" s="1"/>
  <c r="H315" i="32"/>
  <c r="K387" i="37"/>
  <c r="O387" i="37" s="1"/>
  <c r="Q387" i="37" s="1"/>
  <c r="X387" i="37"/>
  <c r="Z406" i="37"/>
  <c r="AC406" i="37" s="1"/>
  <c r="P420" i="44"/>
  <c r="R420" i="44" s="1"/>
  <c r="K420" i="44"/>
  <c r="M420" i="44" s="1"/>
  <c r="K433" i="44"/>
  <c r="M433" i="44" s="1"/>
  <c r="P433" i="44"/>
  <c r="R433" i="44" s="1"/>
  <c r="X804" i="25"/>
  <c r="P804" i="25"/>
  <c r="Y804" i="25" s="1"/>
  <c r="Z439" i="37"/>
  <c r="AC439" i="37" s="1"/>
  <c r="AF439" i="37" s="1"/>
  <c r="X812" i="25"/>
  <c r="P812" i="25"/>
  <c r="Y812" i="25" s="1"/>
  <c r="Z447" i="37"/>
  <c r="AC447" i="37" s="1"/>
  <c r="X820" i="25"/>
  <c r="P820" i="25"/>
  <c r="Y820" i="25" s="1"/>
  <c r="Z455" i="37"/>
  <c r="AC455" i="37" s="1"/>
  <c r="X828" i="25"/>
  <c r="P828" i="25"/>
  <c r="Y828" i="25" s="1"/>
  <c r="Z463" i="37"/>
  <c r="AC463" i="37" s="1"/>
  <c r="X836" i="25"/>
  <c r="P836" i="25"/>
  <c r="Y836" i="25" s="1"/>
  <c r="Z471" i="37"/>
  <c r="AC471" i="37" s="1"/>
  <c r="X844" i="25"/>
  <c r="P844" i="25"/>
  <c r="Y844" i="25" s="1"/>
  <c r="Z479" i="37"/>
  <c r="AC479" i="37" s="1"/>
  <c r="AF479" i="37" s="1"/>
  <c r="X852" i="25"/>
  <c r="P852" i="25"/>
  <c r="Y852" i="25" s="1"/>
  <c r="Z487" i="37"/>
  <c r="AC487" i="37" s="1"/>
  <c r="T858" i="25"/>
  <c r="X860" i="25"/>
  <c r="P860" i="25"/>
  <c r="Y860" i="25" s="1"/>
  <c r="Z495" i="37"/>
  <c r="AC495" i="37" s="1"/>
  <c r="T866" i="25"/>
  <c r="X868" i="25"/>
  <c r="P868" i="25"/>
  <c r="Y868" i="25" s="1"/>
  <c r="Z503" i="37"/>
  <c r="AC503" i="37" s="1"/>
  <c r="AF503" i="37" s="1"/>
  <c r="T874" i="25"/>
  <c r="X876" i="25"/>
  <c r="P876" i="25"/>
  <c r="Y876" i="25" s="1"/>
  <c r="Z511" i="37"/>
  <c r="AC511" i="37" s="1"/>
  <c r="AF511" i="37" s="1"/>
  <c r="O79" i="44"/>
  <c r="Q79" i="44" s="1"/>
  <c r="S79" i="44" s="1"/>
  <c r="W79" i="44" s="1"/>
  <c r="T79" i="44" s="1"/>
  <c r="J79" i="44"/>
  <c r="L79" i="44" s="1"/>
  <c r="X9" i="25"/>
  <c r="P9" i="25"/>
  <c r="Y84" i="37"/>
  <c r="AA84" i="37" s="1"/>
  <c r="AE84" i="37" s="1"/>
  <c r="AB84" i="37" s="1"/>
  <c r="AF84" i="37" s="1"/>
  <c r="O91" i="44"/>
  <c r="Q91" i="44" s="1"/>
  <c r="S91" i="44" s="1"/>
  <c r="W91" i="44" s="1"/>
  <c r="T91" i="44" s="1"/>
  <c r="J91" i="44"/>
  <c r="L91" i="44" s="1"/>
  <c r="T21" i="25"/>
  <c r="Y96" i="37"/>
  <c r="AA96" i="37" s="1"/>
  <c r="AE96" i="37" s="1"/>
  <c r="AB96" i="37" s="1"/>
  <c r="X29" i="25"/>
  <c r="P29" i="25"/>
  <c r="T33" i="25"/>
  <c r="O111" i="44"/>
  <c r="Q111" i="44" s="1"/>
  <c r="S111" i="44" s="1"/>
  <c r="W111" i="44" s="1"/>
  <c r="T111" i="44" s="1"/>
  <c r="J111" i="44"/>
  <c r="L111" i="44" s="1"/>
  <c r="X41" i="25"/>
  <c r="P41" i="25"/>
  <c r="Y116" i="37"/>
  <c r="AA116" i="37" s="1"/>
  <c r="AE116" i="37" s="1"/>
  <c r="AB116" i="37" s="1"/>
  <c r="AF116" i="37" s="1"/>
  <c r="O123" i="44"/>
  <c r="Q123" i="44" s="1"/>
  <c r="S123" i="44" s="1"/>
  <c r="W123" i="44" s="1"/>
  <c r="T123" i="44" s="1"/>
  <c r="J123" i="44"/>
  <c r="L123" i="44" s="1"/>
  <c r="T53" i="25"/>
  <c r="Y128" i="37"/>
  <c r="AA128" i="37" s="1"/>
  <c r="AE128" i="37" s="1"/>
  <c r="AB128" i="37" s="1"/>
  <c r="X61" i="25"/>
  <c r="P61" i="25"/>
  <c r="T65" i="25"/>
  <c r="O143" i="44"/>
  <c r="Q143" i="44" s="1"/>
  <c r="S143" i="44" s="1"/>
  <c r="W143" i="44" s="1"/>
  <c r="T143" i="44" s="1"/>
  <c r="J143" i="44"/>
  <c r="L143" i="44" s="1"/>
  <c r="X73" i="25"/>
  <c r="P73" i="25"/>
  <c r="Y148" i="37"/>
  <c r="AA148" i="37" s="1"/>
  <c r="AE148" i="37" s="1"/>
  <c r="AB148" i="37" s="1"/>
  <c r="AF148" i="37" s="1"/>
  <c r="O155" i="44"/>
  <c r="Q155" i="44" s="1"/>
  <c r="S155" i="44" s="1"/>
  <c r="W155" i="44" s="1"/>
  <c r="T155" i="44" s="1"/>
  <c r="J155" i="44"/>
  <c r="L155" i="44" s="1"/>
  <c r="T85" i="25"/>
  <c r="Y160" i="37"/>
  <c r="AA160" i="37" s="1"/>
  <c r="AE160" i="37" s="1"/>
  <c r="AB160" i="37" s="1"/>
  <c r="X93" i="25"/>
  <c r="P93" i="25"/>
  <c r="T97" i="25"/>
  <c r="O175" i="44"/>
  <c r="Q175" i="44" s="1"/>
  <c r="S175" i="44" s="1"/>
  <c r="W175" i="44" s="1"/>
  <c r="T175" i="44" s="1"/>
  <c r="J175" i="44"/>
  <c r="L175" i="44" s="1"/>
  <c r="X105" i="25"/>
  <c r="P105" i="25"/>
  <c r="Y180" i="37"/>
  <c r="AA180" i="37" s="1"/>
  <c r="AE180" i="37" s="1"/>
  <c r="AB180" i="37" s="1"/>
  <c r="AF180" i="37" s="1"/>
  <c r="O187" i="44"/>
  <c r="Q187" i="44" s="1"/>
  <c r="S187" i="44" s="1"/>
  <c r="W187" i="44" s="1"/>
  <c r="T187" i="44" s="1"/>
  <c r="J187" i="44"/>
  <c r="L187" i="44" s="1"/>
  <c r="T117" i="25"/>
  <c r="Y192" i="37"/>
  <c r="AA192" i="37" s="1"/>
  <c r="AE192" i="37" s="1"/>
  <c r="AB192" i="37" s="1"/>
  <c r="X125" i="25"/>
  <c r="P125" i="25"/>
  <c r="T129" i="25"/>
  <c r="O207" i="44"/>
  <c r="Q207" i="44" s="1"/>
  <c r="S207" i="44" s="1"/>
  <c r="W207" i="44" s="1"/>
  <c r="T207" i="44" s="1"/>
  <c r="J207" i="44"/>
  <c r="L207" i="44" s="1"/>
  <c r="X137" i="25"/>
  <c r="P137" i="25"/>
  <c r="Y212" i="37"/>
  <c r="AA212" i="37" s="1"/>
  <c r="AE212" i="37" s="1"/>
  <c r="AB212" i="37" s="1"/>
  <c r="AF212" i="37" s="1"/>
  <c r="O219" i="44"/>
  <c r="Q219" i="44" s="1"/>
  <c r="S219" i="44" s="1"/>
  <c r="W219" i="44" s="1"/>
  <c r="T219" i="44" s="1"/>
  <c r="J219" i="44"/>
  <c r="L219" i="44" s="1"/>
  <c r="T149" i="25"/>
  <c r="Y224" i="37"/>
  <c r="AA224" i="37" s="1"/>
  <c r="AE224" i="37" s="1"/>
  <c r="AB224" i="37" s="1"/>
  <c r="X157" i="25"/>
  <c r="P157" i="25"/>
  <c r="T161" i="25"/>
  <c r="O239" i="44"/>
  <c r="Q239" i="44" s="1"/>
  <c r="S239" i="44" s="1"/>
  <c r="W239" i="44" s="1"/>
  <c r="T239" i="44" s="1"/>
  <c r="X239" i="44" s="1"/>
  <c r="J239" i="44"/>
  <c r="L239" i="44" s="1"/>
  <c r="X169" i="25"/>
  <c r="P169" i="25"/>
  <c r="Y244" i="37"/>
  <c r="AA244" i="37" s="1"/>
  <c r="AE244" i="37" s="1"/>
  <c r="AB244" i="37" s="1"/>
  <c r="AF244" i="37" s="1"/>
  <c r="O251" i="44"/>
  <c r="Q251" i="44" s="1"/>
  <c r="S251" i="44" s="1"/>
  <c r="W251" i="44" s="1"/>
  <c r="T251" i="44" s="1"/>
  <c r="J251" i="44"/>
  <c r="L251" i="44" s="1"/>
  <c r="T181" i="25"/>
  <c r="Y256" i="37"/>
  <c r="AA256" i="37" s="1"/>
  <c r="AE256" i="37" s="1"/>
  <c r="AB256" i="37" s="1"/>
  <c r="X189" i="25"/>
  <c r="P189" i="25"/>
  <c r="T193" i="25"/>
  <c r="O271" i="44"/>
  <c r="Q271" i="44" s="1"/>
  <c r="S271" i="44" s="1"/>
  <c r="W271" i="44" s="1"/>
  <c r="T271" i="44" s="1"/>
  <c r="X271" i="44" s="1"/>
  <c r="J271" i="44"/>
  <c r="L271" i="44" s="1"/>
  <c r="X201" i="25"/>
  <c r="P201" i="25"/>
  <c r="Y276" i="37"/>
  <c r="AA276" i="37" s="1"/>
  <c r="AE276" i="37" s="1"/>
  <c r="AB276" i="37" s="1"/>
  <c r="AF276" i="37" s="1"/>
  <c r="O283" i="44"/>
  <c r="Q283" i="44" s="1"/>
  <c r="S283" i="44" s="1"/>
  <c r="W283" i="44" s="1"/>
  <c r="T283" i="44" s="1"/>
  <c r="J283" i="44"/>
  <c r="L283" i="44" s="1"/>
  <c r="T213" i="25"/>
  <c r="Y288" i="37"/>
  <c r="AA288" i="37" s="1"/>
  <c r="AE288" i="37" s="1"/>
  <c r="AB288" i="37" s="1"/>
  <c r="X221" i="25"/>
  <c r="P221" i="25"/>
  <c r="Y296" i="37"/>
  <c r="AA296" i="37" s="1"/>
  <c r="AE296" i="37" s="1"/>
  <c r="AB296" i="37" s="1"/>
  <c r="O303" i="44"/>
  <c r="Q303" i="44" s="1"/>
  <c r="S303" i="44" s="1"/>
  <c r="W303" i="44" s="1"/>
  <c r="T303" i="44" s="1"/>
  <c r="X303" i="44" s="1"/>
  <c r="J303" i="44"/>
  <c r="L303" i="44" s="1"/>
  <c r="X454" i="25"/>
  <c r="P454" i="25"/>
  <c r="Y309" i="37"/>
  <c r="AA309" i="37" s="1"/>
  <c r="AE309" i="37" s="1"/>
  <c r="AB309" i="37" s="1"/>
  <c r="AF309" i="37" s="1"/>
  <c r="T458" i="25"/>
  <c r="J320" i="44"/>
  <c r="L320" i="44" s="1"/>
  <c r="O320" i="44"/>
  <c r="Q320" i="44" s="1"/>
  <c r="S320" i="44" s="1"/>
  <c r="W320" i="44" s="1"/>
  <c r="T320" i="44" s="1"/>
  <c r="X320" i="44" s="1"/>
  <c r="X470" i="25"/>
  <c r="P470" i="25"/>
  <c r="X474" i="25"/>
  <c r="P474" i="25"/>
  <c r="Y474" i="25" s="1"/>
  <c r="Y329" i="37"/>
  <c r="AA329" i="37" s="1"/>
  <c r="AE329" i="37" s="1"/>
  <c r="AB329" i="37" s="1"/>
  <c r="AF329" i="37" s="1"/>
  <c r="J336" i="44"/>
  <c r="L336" i="44" s="1"/>
  <c r="O336" i="44"/>
  <c r="Q336" i="44" s="1"/>
  <c r="X486" i="25"/>
  <c r="P486" i="25"/>
  <c r="T490" i="25"/>
  <c r="Y345" i="37"/>
  <c r="AA345" i="37" s="1"/>
  <c r="AE345" i="37" s="1"/>
  <c r="AB345" i="37" s="1"/>
  <c r="AF345" i="37" s="1"/>
  <c r="J352" i="44"/>
  <c r="L352" i="44" s="1"/>
  <c r="O352" i="44"/>
  <c r="Q352" i="44" s="1"/>
  <c r="S352" i="44" s="1"/>
  <c r="W352" i="44" s="1"/>
  <c r="T352" i="44" s="1"/>
  <c r="X502" i="25"/>
  <c r="P502" i="25"/>
  <c r="X506" i="25"/>
  <c r="P506" i="25"/>
  <c r="Y506" i="25" s="1"/>
  <c r="Y361" i="37"/>
  <c r="AA361" i="37" s="1"/>
  <c r="AE361" i="37" s="1"/>
  <c r="AB361" i="37" s="1"/>
  <c r="AF361" i="37" s="1"/>
  <c r="J368" i="44"/>
  <c r="L368" i="44" s="1"/>
  <c r="O368" i="44"/>
  <c r="Q368" i="44" s="1"/>
  <c r="S368" i="44" s="1"/>
  <c r="W368" i="44" s="1"/>
  <c r="T368" i="44" s="1"/>
  <c r="X518" i="25"/>
  <c r="P518" i="25"/>
  <c r="T522" i="25"/>
  <c r="Y377" i="37"/>
  <c r="AA377" i="37" s="1"/>
  <c r="AE377" i="37" s="1"/>
  <c r="AB377" i="37" s="1"/>
  <c r="J384" i="44"/>
  <c r="L384" i="44" s="1"/>
  <c r="O384" i="44"/>
  <c r="Q384" i="44" s="1"/>
  <c r="X534" i="25"/>
  <c r="P534" i="25"/>
  <c r="T538" i="25"/>
  <c r="Y393" i="37"/>
  <c r="AA393" i="37" s="1"/>
  <c r="AE393" i="37" s="1"/>
  <c r="AB393" i="37" s="1"/>
  <c r="J400" i="44"/>
  <c r="L400" i="44" s="1"/>
  <c r="O400" i="44"/>
  <c r="Q400" i="44" s="1"/>
  <c r="S400" i="44" s="1"/>
  <c r="W400" i="44" s="1"/>
  <c r="T400" i="44" s="1"/>
  <c r="X550" i="25"/>
  <c r="P550" i="25"/>
  <c r="T554" i="25"/>
  <c r="Y409" i="37"/>
  <c r="AA409" i="37" s="1"/>
  <c r="AE409" i="37" s="1"/>
  <c r="AB409" i="37" s="1"/>
  <c r="J416" i="44"/>
  <c r="L416" i="44" s="1"/>
  <c r="O416" i="44"/>
  <c r="Q416" i="44" s="1"/>
  <c r="X566" i="25"/>
  <c r="P566" i="25"/>
  <c r="T570" i="25"/>
  <c r="Y425" i="37"/>
  <c r="AA425" i="37" s="1"/>
  <c r="AE425" i="37" s="1"/>
  <c r="AB425" i="37" s="1"/>
  <c r="J432" i="44"/>
  <c r="L432" i="44" s="1"/>
  <c r="O432" i="44"/>
  <c r="Q432" i="44" s="1"/>
  <c r="S432" i="44" s="1"/>
  <c r="W432" i="44" s="1"/>
  <c r="T432" i="44" s="1"/>
  <c r="X432" i="44" s="1"/>
  <c r="X582" i="25"/>
  <c r="P582" i="25"/>
  <c r="T586" i="25"/>
  <c r="Y441" i="37"/>
  <c r="AA441" i="37" s="1"/>
  <c r="AE441" i="37" s="1"/>
  <c r="AB441" i="37" s="1"/>
  <c r="J448" i="44"/>
  <c r="L448" i="44" s="1"/>
  <c r="O448" i="44"/>
  <c r="Q448" i="44" s="1"/>
  <c r="X598" i="25"/>
  <c r="P598" i="25"/>
  <c r="T602" i="25"/>
  <c r="Y457" i="37"/>
  <c r="AA457" i="37" s="1"/>
  <c r="AE457" i="37" s="1"/>
  <c r="AB457" i="37" s="1"/>
  <c r="AF457" i="37" s="1"/>
  <c r="J464" i="44"/>
  <c r="L464" i="44" s="1"/>
  <c r="O464" i="44"/>
  <c r="Q464" i="44" s="1"/>
  <c r="S464" i="44" s="1"/>
  <c r="W464" i="44" s="1"/>
  <c r="T464" i="44" s="1"/>
  <c r="X614" i="25"/>
  <c r="P614" i="25"/>
  <c r="T618" i="25"/>
  <c r="Y473" i="37"/>
  <c r="AA473" i="37" s="1"/>
  <c r="AE473" i="37" s="1"/>
  <c r="AB473" i="37" s="1"/>
  <c r="J480" i="44"/>
  <c r="L480" i="44" s="1"/>
  <c r="O480" i="44"/>
  <c r="Q480" i="44" s="1"/>
  <c r="X630" i="25"/>
  <c r="P630" i="25"/>
  <c r="T634" i="25"/>
  <c r="Y489" i="37"/>
  <c r="AA489" i="37" s="1"/>
  <c r="AE489" i="37" s="1"/>
  <c r="AB489" i="37" s="1"/>
  <c r="J496" i="44"/>
  <c r="L496" i="44" s="1"/>
  <c r="O496" i="44"/>
  <c r="Q496" i="44" s="1"/>
  <c r="S496" i="44" s="1"/>
  <c r="W496" i="44" s="1"/>
  <c r="T496" i="44" s="1"/>
  <c r="X646" i="25"/>
  <c r="P646" i="25"/>
  <c r="T650" i="25"/>
  <c r="Y505" i="37"/>
  <c r="AA505" i="37" s="1"/>
  <c r="AE505" i="37" s="1"/>
  <c r="AB505" i="37" s="1"/>
  <c r="K450" i="44"/>
  <c r="M450" i="44" s="1"/>
  <c r="P450" i="44"/>
  <c r="R450" i="44" s="1"/>
  <c r="T453" i="37"/>
  <c r="V453" i="37" s="1"/>
  <c r="H381" i="32"/>
  <c r="K453" i="37"/>
  <c r="O453" i="37" s="1"/>
  <c r="Q453" i="37" s="1"/>
  <c r="X453" i="37"/>
  <c r="T830" i="25"/>
  <c r="X848" i="25"/>
  <c r="P848" i="25"/>
  <c r="K485" i="44"/>
  <c r="M485" i="44" s="1"/>
  <c r="P485" i="44"/>
  <c r="R485" i="44" s="1"/>
  <c r="K496" i="37"/>
  <c r="O496" i="37" s="1"/>
  <c r="Q496" i="37" s="1"/>
  <c r="X496" i="37"/>
  <c r="T496" i="37"/>
  <c r="V496" i="37" s="1"/>
  <c r="H424" i="32"/>
  <c r="Z499" i="37"/>
  <c r="AC499" i="37" s="1"/>
  <c r="T880" i="25"/>
  <c r="X7" i="25"/>
  <c r="P7" i="25"/>
  <c r="O97" i="44"/>
  <c r="Q97" i="44" s="1"/>
  <c r="J97" i="44"/>
  <c r="L97" i="44" s="1"/>
  <c r="J113" i="37"/>
  <c r="L113" i="37" s="1"/>
  <c r="N113" i="37" s="1"/>
  <c r="S113" i="37"/>
  <c r="U113" i="37" s="1"/>
  <c r="W113" i="37"/>
  <c r="G41" i="32"/>
  <c r="Y122" i="37"/>
  <c r="AA122" i="37" s="1"/>
  <c r="AE122" i="37" s="1"/>
  <c r="AB122" i="37" s="1"/>
  <c r="T55" i="25"/>
  <c r="X71" i="25"/>
  <c r="P71" i="25"/>
  <c r="O161" i="44"/>
  <c r="Q161" i="44" s="1"/>
  <c r="J161" i="44"/>
  <c r="L161" i="44" s="1"/>
  <c r="J177" i="37"/>
  <c r="L177" i="37" s="1"/>
  <c r="N177" i="37" s="1"/>
  <c r="S177" i="37"/>
  <c r="U177" i="37" s="1"/>
  <c r="W177" i="37"/>
  <c r="G105" i="32"/>
  <c r="Y186" i="37"/>
  <c r="AA186" i="37" s="1"/>
  <c r="AE186" i="37" s="1"/>
  <c r="AB186" i="37" s="1"/>
  <c r="T119" i="25"/>
  <c r="X135" i="25"/>
  <c r="P135" i="25"/>
  <c r="J225" i="44"/>
  <c r="L225" i="44" s="1"/>
  <c r="O225" i="44"/>
  <c r="Q225" i="44" s="1"/>
  <c r="J241" i="37"/>
  <c r="L241" i="37" s="1"/>
  <c r="N241" i="37" s="1"/>
  <c r="S241" i="37"/>
  <c r="U241" i="37" s="1"/>
  <c r="Y241" i="37" s="1"/>
  <c r="W241" i="37"/>
  <c r="G169" i="32"/>
  <c r="Y250" i="37"/>
  <c r="AA250" i="37" s="1"/>
  <c r="AE250" i="37" s="1"/>
  <c r="AB250" i="37" s="1"/>
  <c r="T183" i="25"/>
  <c r="X199" i="25"/>
  <c r="P199" i="25"/>
  <c r="J289" i="44"/>
  <c r="L289" i="44" s="1"/>
  <c r="O289" i="44"/>
  <c r="Q289" i="44" s="1"/>
  <c r="J305" i="37"/>
  <c r="L305" i="37" s="1"/>
  <c r="N305" i="37" s="1"/>
  <c r="S305" i="37"/>
  <c r="U305" i="37" s="1"/>
  <c r="Y305" i="37" s="1"/>
  <c r="AA305" i="37" s="1"/>
  <c r="AE305" i="37" s="1"/>
  <c r="AB305" i="37" s="1"/>
  <c r="AF305" i="37" s="1"/>
  <c r="W305" i="37"/>
  <c r="G233" i="32"/>
  <c r="Y315" i="37"/>
  <c r="AA315" i="37" s="1"/>
  <c r="AE315" i="37" s="1"/>
  <c r="AB315" i="37" s="1"/>
  <c r="AF315" i="37" s="1"/>
  <c r="T468" i="25"/>
  <c r="X484" i="25"/>
  <c r="P484" i="25"/>
  <c r="O354" i="44"/>
  <c r="Q354" i="44" s="1"/>
  <c r="J354" i="44"/>
  <c r="L354" i="44" s="1"/>
  <c r="W370" i="37"/>
  <c r="J370" i="37"/>
  <c r="L370" i="37" s="1"/>
  <c r="N370" i="37" s="1"/>
  <c r="S370" i="37"/>
  <c r="U370" i="37" s="1"/>
  <c r="Y370" i="37" s="1"/>
  <c r="AA370" i="37" s="1"/>
  <c r="AE370" i="37" s="1"/>
  <c r="AB370" i="37" s="1"/>
  <c r="AF370" i="37" s="1"/>
  <c r="G298" i="32"/>
  <c r="Y379" i="37"/>
  <c r="AA379" i="37" s="1"/>
  <c r="AE379" i="37" s="1"/>
  <c r="AB379" i="37" s="1"/>
  <c r="T532" i="25"/>
  <c r="X548" i="25"/>
  <c r="P548" i="25"/>
  <c r="O418" i="44"/>
  <c r="Q418" i="44" s="1"/>
  <c r="J418" i="44"/>
  <c r="L418" i="44" s="1"/>
  <c r="W434" i="37"/>
  <c r="J434" i="37"/>
  <c r="L434" i="37" s="1"/>
  <c r="N434" i="37" s="1"/>
  <c r="S434" i="37"/>
  <c r="U434" i="37" s="1"/>
  <c r="G362" i="32"/>
  <c r="Y443" i="37"/>
  <c r="AA443" i="37" s="1"/>
  <c r="AE443" i="37" s="1"/>
  <c r="AB443" i="37" s="1"/>
  <c r="T596" i="25"/>
  <c r="X612" i="25"/>
  <c r="P612" i="25"/>
  <c r="O482" i="44"/>
  <c r="Q482" i="44" s="1"/>
  <c r="S482" i="44" s="1"/>
  <c r="W482" i="44" s="1"/>
  <c r="T482" i="44" s="1"/>
  <c r="J482" i="44"/>
  <c r="L482" i="44" s="1"/>
  <c r="W498" i="37"/>
  <c r="J498" i="37"/>
  <c r="L498" i="37" s="1"/>
  <c r="N498" i="37" s="1"/>
  <c r="S498" i="37"/>
  <c r="U498" i="37" s="1"/>
  <c r="G426" i="32"/>
  <c r="T379" i="37"/>
  <c r="V379" i="37" s="1"/>
  <c r="Z379" i="37" s="1"/>
  <c r="AC379" i="37" s="1"/>
  <c r="H307" i="32"/>
  <c r="K379" i="37"/>
  <c r="O379" i="37" s="1"/>
  <c r="Q379" i="37" s="1"/>
  <c r="X379" i="37"/>
  <c r="Z381" i="37"/>
  <c r="AC381" i="37" s="1"/>
  <c r="P395" i="44"/>
  <c r="R395" i="44" s="1"/>
  <c r="U395" i="44" s="1"/>
  <c r="K395" i="44"/>
  <c r="M395" i="44" s="1"/>
  <c r="X778" i="25"/>
  <c r="P778" i="25"/>
  <c r="K428" i="37"/>
  <c r="O428" i="37" s="1"/>
  <c r="Q428" i="37" s="1"/>
  <c r="T428" i="37"/>
  <c r="V428" i="37" s="1"/>
  <c r="X428" i="37"/>
  <c r="H356" i="32"/>
  <c r="Z430" i="37"/>
  <c r="AC430" i="37" s="1"/>
  <c r="T808" i="25"/>
  <c r="K445" i="44"/>
  <c r="M445" i="44" s="1"/>
  <c r="P445" i="44"/>
  <c r="R445" i="44" s="1"/>
  <c r="P456" i="44"/>
  <c r="R456" i="44" s="1"/>
  <c r="K456" i="44"/>
  <c r="M456" i="44" s="1"/>
  <c r="K474" i="37"/>
  <c r="O474" i="37" s="1"/>
  <c r="Q474" i="37" s="1"/>
  <c r="X474" i="37"/>
  <c r="T474" i="37"/>
  <c r="V474" i="37" s="1"/>
  <c r="Z474" i="37" s="1"/>
  <c r="H402" i="32"/>
  <c r="T843" i="25"/>
  <c r="X854" i="25"/>
  <c r="P854" i="25"/>
  <c r="Y854" i="25" s="1"/>
  <c r="K506" i="44"/>
  <c r="M506" i="44" s="1"/>
  <c r="P506" i="44"/>
  <c r="R506" i="44" s="1"/>
  <c r="T509" i="37"/>
  <c r="V509" i="37" s="1"/>
  <c r="H437" i="32"/>
  <c r="K509" i="37"/>
  <c r="O509" i="37" s="1"/>
  <c r="Q509" i="37" s="1"/>
  <c r="X509" i="37"/>
  <c r="T2" i="25"/>
  <c r="X19" i="25"/>
  <c r="P19" i="25"/>
  <c r="O109" i="44"/>
  <c r="Q109" i="44" s="1"/>
  <c r="S109" i="44" s="1"/>
  <c r="W109" i="44" s="1"/>
  <c r="T109" i="44" s="1"/>
  <c r="J109" i="44"/>
  <c r="L109" i="44" s="1"/>
  <c r="S125" i="37"/>
  <c r="U125" i="37" s="1"/>
  <c r="Y125" i="37" s="1"/>
  <c r="AA125" i="37" s="1"/>
  <c r="AE125" i="37" s="1"/>
  <c r="AB125" i="37" s="1"/>
  <c r="AF125" i="37" s="1"/>
  <c r="J125" i="37"/>
  <c r="L125" i="37" s="1"/>
  <c r="N125" i="37" s="1"/>
  <c r="W125" i="37"/>
  <c r="G53" i="32"/>
  <c r="Y134" i="37"/>
  <c r="AA134" i="37" s="1"/>
  <c r="AE134" i="37" s="1"/>
  <c r="AB134" i="37" s="1"/>
  <c r="X83" i="25"/>
  <c r="P83" i="25"/>
  <c r="O173" i="44"/>
  <c r="Q173" i="44" s="1"/>
  <c r="J173" i="44"/>
  <c r="L173" i="44" s="1"/>
  <c r="S189" i="37"/>
  <c r="U189" i="37" s="1"/>
  <c r="J189" i="37"/>
  <c r="L189" i="37" s="1"/>
  <c r="N189" i="37" s="1"/>
  <c r="W189" i="37"/>
  <c r="G117" i="32"/>
  <c r="Y198" i="37"/>
  <c r="AA198" i="37" s="1"/>
  <c r="AE198" i="37" s="1"/>
  <c r="AB198" i="37" s="1"/>
  <c r="X147" i="25"/>
  <c r="P147" i="25"/>
  <c r="J237" i="44"/>
  <c r="L237" i="44" s="1"/>
  <c r="O237" i="44"/>
  <c r="Q237" i="44" s="1"/>
  <c r="S253" i="37"/>
  <c r="U253" i="37" s="1"/>
  <c r="Y253" i="37" s="1"/>
  <c r="AA253" i="37" s="1"/>
  <c r="AE253" i="37" s="1"/>
  <c r="AB253" i="37" s="1"/>
  <c r="AF253" i="37" s="1"/>
  <c r="J253" i="37"/>
  <c r="L253" i="37" s="1"/>
  <c r="N253" i="37" s="1"/>
  <c r="W253" i="37"/>
  <c r="G181" i="32"/>
  <c r="Y262" i="37"/>
  <c r="AA262" i="37" s="1"/>
  <c r="AE262" i="37" s="1"/>
  <c r="AB262" i="37" s="1"/>
  <c r="X211" i="25"/>
  <c r="P211" i="25"/>
  <c r="J301" i="44"/>
  <c r="L301" i="44" s="1"/>
  <c r="O301" i="44"/>
  <c r="Q301" i="44" s="1"/>
  <c r="S301" i="44" s="1"/>
  <c r="W301" i="44" s="1"/>
  <c r="T301" i="44" s="1"/>
  <c r="X301" i="44" s="1"/>
  <c r="S318" i="37"/>
  <c r="U318" i="37" s="1"/>
  <c r="J318" i="37"/>
  <c r="L318" i="37" s="1"/>
  <c r="N318" i="37" s="1"/>
  <c r="W318" i="37"/>
  <c r="G246" i="32"/>
  <c r="T464" i="25"/>
  <c r="Y327" i="37"/>
  <c r="AA327" i="37" s="1"/>
  <c r="AE327" i="37" s="1"/>
  <c r="AB327" i="37" s="1"/>
  <c r="AF327" i="37" s="1"/>
  <c r="X480" i="25"/>
  <c r="P480" i="25"/>
  <c r="X496" i="25"/>
  <c r="P496" i="25"/>
  <c r="Y496" i="25" s="1"/>
  <c r="O366" i="44"/>
  <c r="Q366" i="44" s="1"/>
  <c r="S366" i="44" s="1"/>
  <c r="W366" i="44" s="1"/>
  <c r="T366" i="44" s="1"/>
  <c r="X366" i="44" s="1"/>
  <c r="J366" i="44"/>
  <c r="L366" i="44" s="1"/>
  <c r="W382" i="37"/>
  <c r="S382" i="37"/>
  <c r="U382" i="37" s="1"/>
  <c r="Y382" i="37" s="1"/>
  <c r="AA382" i="37" s="1"/>
  <c r="AE382" i="37" s="1"/>
  <c r="AB382" i="37" s="1"/>
  <c r="AF382" i="37" s="1"/>
  <c r="J382" i="37"/>
  <c r="L382" i="37" s="1"/>
  <c r="N382" i="37" s="1"/>
  <c r="G310" i="32"/>
  <c r="T528" i="25"/>
  <c r="Y391" i="37"/>
  <c r="AA391" i="37" s="1"/>
  <c r="AE391" i="37" s="1"/>
  <c r="AB391" i="37" s="1"/>
  <c r="X544" i="25"/>
  <c r="P544" i="25"/>
  <c r="X560" i="25"/>
  <c r="P560" i="25"/>
  <c r="Y560" i="25" s="1"/>
  <c r="O430" i="44"/>
  <c r="Q430" i="44" s="1"/>
  <c r="S430" i="44" s="1"/>
  <c r="W430" i="44" s="1"/>
  <c r="T430" i="44" s="1"/>
  <c r="X430" i="44" s="1"/>
  <c r="J430" i="44"/>
  <c r="L430" i="44" s="1"/>
  <c r="W446" i="37"/>
  <c r="S446" i="37"/>
  <c r="U446" i="37" s="1"/>
  <c r="J446" i="37"/>
  <c r="L446" i="37" s="1"/>
  <c r="N446" i="37" s="1"/>
  <c r="G374" i="32"/>
  <c r="T592" i="25"/>
  <c r="Y455" i="37"/>
  <c r="AA455" i="37" s="1"/>
  <c r="AE455" i="37" s="1"/>
  <c r="AB455" i="37" s="1"/>
  <c r="AF455" i="37" s="1"/>
  <c r="X608" i="25"/>
  <c r="P608" i="25"/>
  <c r="X624" i="25"/>
  <c r="P624" i="25"/>
  <c r="Y624" i="25" s="1"/>
  <c r="O494" i="44"/>
  <c r="Q494" i="44" s="1"/>
  <c r="J494" i="44"/>
  <c r="L494" i="44" s="1"/>
  <c r="X758" i="25"/>
  <c r="P758" i="25"/>
  <c r="Y758" i="25" s="1"/>
  <c r="X775" i="25"/>
  <c r="P775" i="25"/>
  <c r="Y775" i="25" s="1"/>
  <c r="T425" i="37"/>
  <c r="V425" i="37" s="1"/>
  <c r="H353" i="32"/>
  <c r="K425" i="37"/>
  <c r="O425" i="37" s="1"/>
  <c r="Q425" i="37" s="1"/>
  <c r="X425" i="37"/>
  <c r="T803" i="25"/>
  <c r="X814" i="25"/>
  <c r="P814" i="25"/>
  <c r="Y814" i="25" s="1"/>
  <c r="K466" i="44"/>
  <c r="M466" i="44" s="1"/>
  <c r="P466" i="44"/>
  <c r="R466" i="44" s="1"/>
  <c r="T469" i="37"/>
  <c r="V469" i="37" s="1"/>
  <c r="Z469" i="37" s="1"/>
  <c r="H397" i="32"/>
  <c r="K469" i="37"/>
  <c r="O469" i="37" s="1"/>
  <c r="Q469" i="37" s="1"/>
  <c r="X469" i="37"/>
  <c r="T846" i="25"/>
  <c r="K501" i="44"/>
  <c r="M501" i="44" s="1"/>
  <c r="P501" i="44"/>
  <c r="R501" i="44" s="1"/>
  <c r="K512" i="37"/>
  <c r="O512" i="37" s="1"/>
  <c r="Q512" i="37" s="1"/>
  <c r="X512" i="37"/>
  <c r="T512" i="37"/>
  <c r="V512" i="37" s="1"/>
  <c r="Z512" i="37" s="1"/>
  <c r="AC512" i="37" s="1"/>
  <c r="H440" i="32"/>
  <c r="Z515" i="37"/>
  <c r="AC515" i="37" s="1"/>
  <c r="AF515" i="37" s="1"/>
  <c r="Y82" i="37"/>
  <c r="AA82" i="37" s="1"/>
  <c r="AE82" i="37" s="1"/>
  <c r="AB82" i="37" s="1"/>
  <c r="T15" i="25"/>
  <c r="X31" i="25"/>
  <c r="P31" i="25"/>
  <c r="Y31" i="25" s="1"/>
  <c r="O121" i="44"/>
  <c r="Q121" i="44" s="1"/>
  <c r="J121" i="44"/>
  <c r="L121" i="44" s="1"/>
  <c r="S137" i="37"/>
  <c r="U137" i="37" s="1"/>
  <c r="J137" i="37"/>
  <c r="L137" i="37" s="1"/>
  <c r="N137" i="37" s="1"/>
  <c r="W137" i="37"/>
  <c r="G65" i="32"/>
  <c r="Y146" i="37"/>
  <c r="AA146" i="37" s="1"/>
  <c r="AE146" i="37" s="1"/>
  <c r="AB146" i="37" s="1"/>
  <c r="T79" i="25"/>
  <c r="X95" i="25"/>
  <c r="P95" i="25"/>
  <c r="Y95" i="25" s="1"/>
  <c r="O185" i="44"/>
  <c r="Q185" i="44" s="1"/>
  <c r="J185" i="44"/>
  <c r="L185" i="44" s="1"/>
  <c r="S201" i="37"/>
  <c r="U201" i="37" s="1"/>
  <c r="Y201" i="37" s="1"/>
  <c r="AA201" i="37" s="1"/>
  <c r="AE201" i="37" s="1"/>
  <c r="AB201" i="37" s="1"/>
  <c r="AF201" i="37" s="1"/>
  <c r="J201" i="37"/>
  <c r="L201" i="37" s="1"/>
  <c r="N201" i="37" s="1"/>
  <c r="W201" i="37"/>
  <c r="G129" i="32"/>
  <c r="Y210" i="37"/>
  <c r="AA210" i="37" s="1"/>
  <c r="AE210" i="37" s="1"/>
  <c r="AB210" i="37" s="1"/>
  <c r="AF210" i="37" s="1"/>
  <c r="T143" i="25"/>
  <c r="X159" i="25"/>
  <c r="P159" i="25"/>
  <c r="Y159" i="25" s="1"/>
  <c r="J249" i="44"/>
  <c r="L249" i="44" s="1"/>
  <c r="O249" i="44"/>
  <c r="Q249" i="44" s="1"/>
  <c r="S265" i="37"/>
  <c r="U265" i="37" s="1"/>
  <c r="Y265" i="37" s="1"/>
  <c r="AA265" i="37" s="1"/>
  <c r="AE265" i="37" s="1"/>
  <c r="AB265" i="37" s="1"/>
  <c r="AF265" i="37" s="1"/>
  <c r="J265" i="37"/>
  <c r="L265" i="37" s="1"/>
  <c r="N265" i="37" s="1"/>
  <c r="W265" i="37"/>
  <c r="G193" i="32"/>
  <c r="Y274" i="37"/>
  <c r="AA274" i="37" s="1"/>
  <c r="AE274" i="37" s="1"/>
  <c r="AB274" i="37" s="1"/>
  <c r="T207" i="25"/>
  <c r="J297" i="44"/>
  <c r="L297" i="44" s="1"/>
  <c r="O297" i="44"/>
  <c r="Q297" i="44" s="1"/>
  <c r="S297" i="44" s="1"/>
  <c r="W297" i="44" s="1"/>
  <c r="T297" i="44" s="1"/>
  <c r="X297" i="44" s="1"/>
  <c r="O314" i="44"/>
  <c r="Q314" i="44" s="1"/>
  <c r="S314" i="44" s="1"/>
  <c r="W314" i="44" s="1"/>
  <c r="T314" i="44" s="1"/>
  <c r="X314" i="44" s="1"/>
  <c r="J314" i="44"/>
  <c r="L314" i="44" s="1"/>
  <c r="W330" i="37"/>
  <c r="S330" i="37"/>
  <c r="U330" i="37" s="1"/>
  <c r="Y330" i="37" s="1"/>
  <c r="AA330" i="37" s="1"/>
  <c r="AE330" i="37" s="1"/>
  <c r="AB330" i="37" s="1"/>
  <c r="J330" i="37"/>
  <c r="L330" i="37" s="1"/>
  <c r="N330" i="37" s="1"/>
  <c r="G258" i="32"/>
  <c r="Y339" i="37"/>
  <c r="AA339" i="37" s="1"/>
  <c r="AE339" i="37" s="1"/>
  <c r="AB339" i="37" s="1"/>
  <c r="T492" i="25"/>
  <c r="X508" i="25"/>
  <c r="P508" i="25"/>
  <c r="O378" i="44"/>
  <c r="Q378" i="44" s="1"/>
  <c r="J378" i="44"/>
  <c r="L378" i="44" s="1"/>
  <c r="W394" i="37"/>
  <c r="S394" i="37"/>
  <c r="U394" i="37" s="1"/>
  <c r="Y394" i="37" s="1"/>
  <c r="J394" i="37"/>
  <c r="L394" i="37" s="1"/>
  <c r="N394" i="37" s="1"/>
  <c r="G322" i="32"/>
  <c r="Y403" i="37"/>
  <c r="AA403" i="37" s="1"/>
  <c r="AE403" i="37" s="1"/>
  <c r="AB403" i="37" s="1"/>
  <c r="T556" i="25"/>
  <c r="X572" i="25"/>
  <c r="P572" i="25"/>
  <c r="Y572" i="25" s="1"/>
  <c r="O442" i="44"/>
  <c r="Q442" i="44" s="1"/>
  <c r="J442" i="44"/>
  <c r="L442" i="44" s="1"/>
  <c r="W458" i="37"/>
  <c r="S458" i="37"/>
  <c r="U458" i="37" s="1"/>
  <c r="J458" i="37"/>
  <c r="L458" i="37" s="1"/>
  <c r="N458" i="37" s="1"/>
  <c r="G386" i="32"/>
  <c r="Y467" i="37"/>
  <c r="AA467" i="37" s="1"/>
  <c r="AE467" i="37" s="1"/>
  <c r="AB467" i="37" s="1"/>
  <c r="T620" i="25"/>
  <c r="X636" i="25"/>
  <c r="P636" i="25"/>
  <c r="Y636" i="25" s="1"/>
  <c r="O506" i="44"/>
  <c r="Q506" i="44" s="1"/>
  <c r="S506" i="44" s="1"/>
  <c r="W506" i="44" s="1"/>
  <c r="T506" i="44" s="1"/>
  <c r="J506" i="44"/>
  <c r="L506" i="44" s="1"/>
  <c r="W508" i="37"/>
  <c r="S508" i="37"/>
  <c r="U508" i="37" s="1"/>
  <c r="Y508" i="37" s="1"/>
  <c r="AA508" i="37" s="1"/>
  <c r="AE508" i="37" s="1"/>
  <c r="AB508" i="37" s="1"/>
  <c r="J508" i="37"/>
  <c r="L508" i="37" s="1"/>
  <c r="N508" i="37" s="1"/>
  <c r="G436" i="32"/>
  <c r="X658" i="25"/>
  <c r="P658" i="25"/>
  <c r="Y658" i="25" s="1"/>
  <c r="O514" i="44"/>
  <c r="Q514" i="44" s="1"/>
  <c r="S514" i="44" s="1"/>
  <c r="W514" i="44" s="1"/>
  <c r="T514" i="44" s="1"/>
  <c r="J514" i="44"/>
  <c r="L514" i="44" s="1"/>
  <c r="K330" i="37"/>
  <c r="O330" i="37" s="1"/>
  <c r="Q330" i="37" s="1"/>
  <c r="H258" i="32"/>
  <c r="T330" i="37"/>
  <c r="V330" i="37" s="1"/>
  <c r="X330" i="37"/>
  <c r="Z339" i="37"/>
  <c r="AC339" i="37" s="1"/>
  <c r="X712" i="25"/>
  <c r="P712" i="25"/>
  <c r="Y712" i="25" s="1"/>
  <c r="Z356" i="37"/>
  <c r="AC356" i="37" s="1"/>
  <c r="T363" i="37"/>
  <c r="V363" i="37" s="1"/>
  <c r="Z363" i="37" s="1"/>
  <c r="AC363" i="37" s="1"/>
  <c r="AF363" i="37" s="1"/>
  <c r="H291" i="32"/>
  <c r="K363" i="37"/>
  <c r="O363" i="37" s="1"/>
  <c r="Q363" i="37" s="1"/>
  <c r="X363" i="37"/>
  <c r="K440" i="37"/>
  <c r="O440" i="37" s="1"/>
  <c r="Q440" i="37" s="1"/>
  <c r="X440" i="37"/>
  <c r="T440" i="37"/>
  <c r="V440" i="37" s="1"/>
  <c r="H368" i="32"/>
  <c r="Z443" i="37"/>
  <c r="AC443" i="37" s="1"/>
  <c r="K461" i="44"/>
  <c r="M461" i="44" s="1"/>
  <c r="P461" i="44"/>
  <c r="R461" i="44" s="1"/>
  <c r="P472" i="44"/>
  <c r="R472" i="44" s="1"/>
  <c r="K472" i="44"/>
  <c r="M472" i="44" s="1"/>
  <c r="K490" i="37"/>
  <c r="O490" i="37" s="1"/>
  <c r="Q490" i="37" s="1"/>
  <c r="X490" i="37"/>
  <c r="T490" i="37"/>
  <c r="V490" i="37" s="1"/>
  <c r="Z490" i="37" s="1"/>
  <c r="H418" i="32"/>
  <c r="T859" i="25"/>
  <c r="X870" i="25"/>
  <c r="P870" i="25"/>
  <c r="Y870" i="25" s="1"/>
  <c r="O85" i="44"/>
  <c r="Q85" i="44" s="1"/>
  <c r="S85" i="44" s="1"/>
  <c r="W85" i="44" s="1"/>
  <c r="T85" i="44" s="1"/>
  <c r="J85" i="44"/>
  <c r="L85" i="44" s="1"/>
  <c r="J101" i="37"/>
  <c r="L101" i="37" s="1"/>
  <c r="N101" i="37" s="1"/>
  <c r="S101" i="37"/>
  <c r="U101" i="37" s="1"/>
  <c r="Y101" i="37" s="1"/>
  <c r="AA101" i="37" s="1"/>
  <c r="AE101" i="37" s="1"/>
  <c r="AB101" i="37" s="1"/>
  <c r="AF101" i="37" s="1"/>
  <c r="W101" i="37"/>
  <c r="G29" i="32"/>
  <c r="T27" i="25"/>
  <c r="Y110" i="37"/>
  <c r="AA110" i="37" s="1"/>
  <c r="AE110" i="37" s="1"/>
  <c r="AB110" i="37" s="1"/>
  <c r="O149" i="44"/>
  <c r="Q149" i="44" s="1"/>
  <c r="S149" i="44" s="1"/>
  <c r="W149" i="44" s="1"/>
  <c r="T149" i="44" s="1"/>
  <c r="J149" i="44"/>
  <c r="L149" i="44" s="1"/>
  <c r="J165" i="37"/>
  <c r="L165" i="37" s="1"/>
  <c r="N165" i="37" s="1"/>
  <c r="S165" i="37"/>
  <c r="U165" i="37" s="1"/>
  <c r="Y165" i="37" s="1"/>
  <c r="W165" i="37"/>
  <c r="G93" i="32"/>
  <c r="T91" i="25"/>
  <c r="Y174" i="37"/>
  <c r="AA174" i="37" s="1"/>
  <c r="AE174" i="37" s="1"/>
  <c r="AB174" i="37" s="1"/>
  <c r="AF174" i="37" s="1"/>
  <c r="X123" i="25"/>
  <c r="P123" i="25"/>
  <c r="Y123" i="25" s="1"/>
  <c r="O213" i="44"/>
  <c r="Q213" i="44" s="1"/>
  <c r="S213" i="44" s="1"/>
  <c r="W213" i="44" s="1"/>
  <c r="T213" i="44" s="1"/>
  <c r="J213" i="44"/>
  <c r="L213" i="44" s="1"/>
  <c r="J229" i="37"/>
  <c r="L229" i="37" s="1"/>
  <c r="N229" i="37" s="1"/>
  <c r="S229" i="37"/>
  <c r="U229" i="37" s="1"/>
  <c r="Y229" i="37" s="1"/>
  <c r="AA229" i="37" s="1"/>
  <c r="AE229" i="37" s="1"/>
  <c r="AB229" i="37" s="1"/>
  <c r="AF229" i="37" s="1"/>
  <c r="W229" i="37"/>
  <c r="G157" i="32"/>
  <c r="T155" i="25"/>
  <c r="Y238" i="37"/>
  <c r="AA238" i="37" s="1"/>
  <c r="AE238" i="37" s="1"/>
  <c r="AB238" i="37" s="1"/>
  <c r="J277" i="44"/>
  <c r="L277" i="44" s="1"/>
  <c r="O277" i="44"/>
  <c r="Q277" i="44" s="1"/>
  <c r="J293" i="37"/>
  <c r="L293" i="37" s="1"/>
  <c r="N293" i="37" s="1"/>
  <c r="S293" i="37"/>
  <c r="U293" i="37" s="1"/>
  <c r="Y293" i="37" s="1"/>
  <c r="W293" i="37"/>
  <c r="G221" i="32"/>
  <c r="T219" i="25"/>
  <c r="Y302" i="37"/>
  <c r="AA302" i="37" s="1"/>
  <c r="AE302" i="37" s="1"/>
  <c r="AB302" i="37" s="1"/>
  <c r="T456" i="25"/>
  <c r="X472" i="25"/>
  <c r="P472" i="25"/>
  <c r="Y472" i="25" s="1"/>
  <c r="O342" i="44"/>
  <c r="Q342" i="44" s="1"/>
  <c r="S342" i="44" s="1"/>
  <c r="W342" i="44" s="1"/>
  <c r="T342" i="44" s="1"/>
  <c r="J342" i="44"/>
  <c r="L342" i="44" s="1"/>
  <c r="W358" i="37"/>
  <c r="S358" i="37"/>
  <c r="U358" i="37" s="1"/>
  <c r="J358" i="37"/>
  <c r="L358" i="37" s="1"/>
  <c r="N358" i="37" s="1"/>
  <c r="G286" i="32"/>
  <c r="T504" i="25"/>
  <c r="Y367" i="37"/>
  <c r="AA367" i="37" s="1"/>
  <c r="AE367" i="37" s="1"/>
  <c r="AB367" i="37" s="1"/>
  <c r="AF367" i="37" s="1"/>
  <c r="X536" i="25"/>
  <c r="P536" i="25"/>
  <c r="Y536" i="25" s="1"/>
  <c r="O406" i="44"/>
  <c r="Q406" i="44" s="1"/>
  <c r="S406" i="44" s="1"/>
  <c r="W406" i="44" s="1"/>
  <c r="T406" i="44" s="1"/>
  <c r="J406" i="44"/>
  <c r="L406" i="44" s="1"/>
  <c r="W422" i="37"/>
  <c r="S422" i="37"/>
  <c r="U422" i="37" s="1"/>
  <c r="Y422" i="37" s="1"/>
  <c r="AA422" i="37" s="1"/>
  <c r="AE422" i="37" s="1"/>
  <c r="AB422" i="37" s="1"/>
  <c r="AF422" i="37" s="1"/>
  <c r="J422" i="37"/>
  <c r="L422" i="37" s="1"/>
  <c r="N422" i="37" s="1"/>
  <c r="G350" i="32"/>
  <c r="T568" i="25"/>
  <c r="AA431" i="37"/>
  <c r="AE431" i="37" s="1"/>
  <c r="AB431" i="37" s="1"/>
  <c r="AF431" i="37" s="1"/>
  <c r="X600" i="25"/>
  <c r="P600" i="25"/>
  <c r="Y600" i="25" s="1"/>
  <c r="O470" i="44"/>
  <c r="Q470" i="44" s="1"/>
  <c r="J470" i="44"/>
  <c r="L470" i="44" s="1"/>
  <c r="W486" i="37"/>
  <c r="S486" i="37"/>
  <c r="U486" i="37" s="1"/>
  <c r="Y486" i="37" s="1"/>
  <c r="J486" i="37"/>
  <c r="L486" i="37" s="1"/>
  <c r="N486" i="37" s="1"/>
  <c r="G414" i="32"/>
  <c r="T632" i="25"/>
  <c r="AA495" i="37"/>
  <c r="AE495" i="37" s="1"/>
  <c r="AB495" i="37" s="1"/>
  <c r="AF495" i="37" s="1"/>
  <c r="P81" i="44"/>
  <c r="R81" i="44" s="1"/>
  <c r="U81" i="44" s="1"/>
  <c r="K81" i="44"/>
  <c r="M81" i="44" s="1"/>
  <c r="P85" i="44"/>
  <c r="R85" i="44" s="1"/>
  <c r="K85" i="44"/>
  <c r="M85" i="44" s="1"/>
  <c r="P89" i="44"/>
  <c r="R89" i="44" s="1"/>
  <c r="U89" i="44" s="1"/>
  <c r="K89" i="44"/>
  <c r="M89" i="44" s="1"/>
  <c r="P93" i="44"/>
  <c r="R93" i="44" s="1"/>
  <c r="K93" i="44"/>
  <c r="M93" i="44" s="1"/>
  <c r="P97" i="44"/>
  <c r="R97" i="44" s="1"/>
  <c r="U97" i="44" s="1"/>
  <c r="K97" i="44"/>
  <c r="M97" i="44" s="1"/>
  <c r="P101" i="44"/>
  <c r="R101" i="44" s="1"/>
  <c r="K101" i="44"/>
  <c r="M101" i="44" s="1"/>
  <c r="P105" i="44"/>
  <c r="R105" i="44" s="1"/>
  <c r="U105" i="44" s="1"/>
  <c r="K105" i="44"/>
  <c r="M105" i="44" s="1"/>
  <c r="P109" i="44"/>
  <c r="R109" i="44" s="1"/>
  <c r="K109" i="44"/>
  <c r="M109" i="44" s="1"/>
  <c r="P113" i="44"/>
  <c r="R113" i="44" s="1"/>
  <c r="U113" i="44" s="1"/>
  <c r="K113" i="44"/>
  <c r="M113" i="44" s="1"/>
  <c r="P117" i="44"/>
  <c r="R117" i="44" s="1"/>
  <c r="K117" i="44"/>
  <c r="M117" i="44" s="1"/>
  <c r="P121" i="44"/>
  <c r="R121" i="44" s="1"/>
  <c r="U121" i="44" s="1"/>
  <c r="K121" i="44"/>
  <c r="M121" i="44" s="1"/>
  <c r="P125" i="44"/>
  <c r="R125" i="44" s="1"/>
  <c r="K125" i="44"/>
  <c r="M125" i="44" s="1"/>
  <c r="P129" i="44"/>
  <c r="R129" i="44" s="1"/>
  <c r="U129" i="44" s="1"/>
  <c r="K129" i="44"/>
  <c r="M129" i="44" s="1"/>
  <c r="P133" i="44"/>
  <c r="R133" i="44" s="1"/>
  <c r="K133" i="44"/>
  <c r="M133" i="44" s="1"/>
  <c r="P137" i="44"/>
  <c r="R137" i="44" s="1"/>
  <c r="U137" i="44" s="1"/>
  <c r="K137" i="44"/>
  <c r="M137" i="44" s="1"/>
  <c r="P141" i="44"/>
  <c r="R141" i="44" s="1"/>
  <c r="K141" i="44"/>
  <c r="M141" i="44" s="1"/>
  <c r="P145" i="44"/>
  <c r="R145" i="44" s="1"/>
  <c r="U145" i="44" s="1"/>
  <c r="K145" i="44"/>
  <c r="M145" i="44" s="1"/>
  <c r="P149" i="44"/>
  <c r="R149" i="44" s="1"/>
  <c r="K149" i="44"/>
  <c r="M149" i="44" s="1"/>
  <c r="P153" i="44"/>
  <c r="R153" i="44" s="1"/>
  <c r="U153" i="44" s="1"/>
  <c r="K153" i="44"/>
  <c r="M153" i="44" s="1"/>
  <c r="P157" i="44"/>
  <c r="R157" i="44" s="1"/>
  <c r="K157" i="44"/>
  <c r="M157" i="44" s="1"/>
  <c r="P161" i="44"/>
  <c r="R161" i="44" s="1"/>
  <c r="U161" i="44" s="1"/>
  <c r="K161" i="44"/>
  <c r="M161" i="44" s="1"/>
  <c r="P165" i="44"/>
  <c r="R165" i="44" s="1"/>
  <c r="K165" i="44"/>
  <c r="M165" i="44" s="1"/>
  <c r="P169" i="44"/>
  <c r="R169" i="44" s="1"/>
  <c r="U169" i="44" s="1"/>
  <c r="K169" i="44"/>
  <c r="M169" i="44" s="1"/>
  <c r="P173" i="44"/>
  <c r="R173" i="44" s="1"/>
  <c r="K173" i="44"/>
  <c r="M173" i="44" s="1"/>
  <c r="P177" i="44"/>
  <c r="R177" i="44" s="1"/>
  <c r="U177" i="44" s="1"/>
  <c r="K177" i="44"/>
  <c r="M177" i="44" s="1"/>
  <c r="P181" i="44"/>
  <c r="R181" i="44" s="1"/>
  <c r="K181" i="44"/>
  <c r="M181" i="44" s="1"/>
  <c r="P185" i="44"/>
  <c r="R185" i="44" s="1"/>
  <c r="U185" i="44" s="1"/>
  <c r="K185" i="44"/>
  <c r="M185" i="44" s="1"/>
  <c r="P189" i="44"/>
  <c r="R189" i="44" s="1"/>
  <c r="K189" i="44"/>
  <c r="M189" i="44" s="1"/>
  <c r="P193" i="44"/>
  <c r="R193" i="44" s="1"/>
  <c r="U193" i="44" s="1"/>
  <c r="K193" i="44"/>
  <c r="M193" i="44" s="1"/>
  <c r="P197" i="44"/>
  <c r="R197" i="44" s="1"/>
  <c r="K197" i="44"/>
  <c r="M197" i="44" s="1"/>
  <c r="P201" i="44"/>
  <c r="R201" i="44" s="1"/>
  <c r="U201" i="44" s="1"/>
  <c r="K201" i="44"/>
  <c r="M201" i="44" s="1"/>
  <c r="P205" i="44"/>
  <c r="R205" i="44" s="1"/>
  <c r="K205" i="44"/>
  <c r="M205" i="44" s="1"/>
  <c r="P209" i="44"/>
  <c r="R209" i="44" s="1"/>
  <c r="U209" i="44" s="1"/>
  <c r="K209" i="44"/>
  <c r="M209" i="44" s="1"/>
  <c r="P213" i="44"/>
  <c r="R213" i="44" s="1"/>
  <c r="K213" i="44"/>
  <c r="M213" i="44" s="1"/>
  <c r="P217" i="44"/>
  <c r="R217" i="44" s="1"/>
  <c r="U217" i="44" s="1"/>
  <c r="K217" i="44"/>
  <c r="M217" i="44" s="1"/>
  <c r="P221" i="44"/>
  <c r="R221" i="44" s="1"/>
  <c r="K221" i="44"/>
  <c r="M221" i="44" s="1"/>
  <c r="P225" i="44"/>
  <c r="R225" i="44" s="1"/>
  <c r="U225" i="44" s="1"/>
  <c r="K225" i="44"/>
  <c r="M225" i="44" s="1"/>
  <c r="X403" i="25"/>
  <c r="P403" i="25"/>
  <c r="Y403" i="25" s="1"/>
  <c r="P261" i="44"/>
  <c r="R261" i="44" s="1"/>
  <c r="U261" i="44" s="1"/>
  <c r="K261" i="44"/>
  <c r="M261" i="44" s="1"/>
  <c r="P265" i="44"/>
  <c r="R265" i="44" s="1"/>
  <c r="K265" i="44"/>
  <c r="M265" i="44" s="1"/>
  <c r="X431" i="25"/>
  <c r="P431" i="25"/>
  <c r="Y431" i="25" s="1"/>
  <c r="X691" i="25"/>
  <c r="P691" i="25"/>
  <c r="Y691" i="25" s="1"/>
  <c r="P333" i="44"/>
  <c r="R333" i="44" s="1"/>
  <c r="U333" i="44" s="1"/>
  <c r="K333" i="44"/>
  <c r="M333" i="44" s="1"/>
  <c r="X716" i="25"/>
  <c r="P716" i="25"/>
  <c r="Y716" i="25" s="1"/>
  <c r="X283" i="25"/>
  <c r="P283" i="25"/>
  <c r="Y283" i="25" s="1"/>
  <c r="X299" i="25"/>
  <c r="P299" i="25"/>
  <c r="Y299" i="25" s="1"/>
  <c r="X307" i="25"/>
  <c r="P307" i="25"/>
  <c r="Y307" i="25" s="1"/>
  <c r="X331" i="25"/>
  <c r="P331" i="25"/>
  <c r="Y331" i="25" s="1"/>
  <c r="K362" i="44"/>
  <c r="M362" i="44" s="1"/>
  <c r="P362" i="44"/>
  <c r="R362" i="44" s="1"/>
  <c r="X732" i="25"/>
  <c r="P732" i="25"/>
  <c r="Y732" i="25" s="1"/>
  <c r="K394" i="44"/>
  <c r="M394" i="44" s="1"/>
  <c r="P394" i="44"/>
  <c r="R394" i="44" s="1"/>
  <c r="T764" i="25"/>
  <c r="X773" i="25"/>
  <c r="P773" i="25"/>
  <c r="Y773" i="25" s="1"/>
  <c r="X777" i="25"/>
  <c r="P777" i="25"/>
  <c r="Y777" i="25" s="1"/>
  <c r="X781" i="25"/>
  <c r="P781" i="25"/>
  <c r="Y781" i="25" s="1"/>
  <c r="X785" i="25"/>
  <c r="P785" i="25"/>
  <c r="Y785" i="25" s="1"/>
  <c r="X789" i="25"/>
  <c r="P789" i="25"/>
  <c r="Y789" i="25" s="1"/>
  <c r="X793" i="25"/>
  <c r="P793" i="25"/>
  <c r="Y793" i="25" s="1"/>
  <c r="X797" i="25"/>
  <c r="P797" i="25"/>
  <c r="Y797" i="25" s="1"/>
  <c r="X801" i="25"/>
  <c r="P801" i="25"/>
  <c r="Y801" i="25" s="1"/>
  <c r="X805" i="25"/>
  <c r="P805" i="25"/>
  <c r="Y805" i="25" s="1"/>
  <c r="X809" i="25"/>
  <c r="P809" i="25"/>
  <c r="Y809" i="25" s="1"/>
  <c r="X813" i="25"/>
  <c r="P813" i="25"/>
  <c r="Y813" i="25" s="1"/>
  <c r="X817" i="25"/>
  <c r="P817" i="25"/>
  <c r="Y817" i="25" s="1"/>
  <c r="X821" i="25"/>
  <c r="P821" i="25"/>
  <c r="Y821" i="25" s="1"/>
  <c r="X825" i="25"/>
  <c r="P825" i="25"/>
  <c r="Y825" i="25" s="1"/>
  <c r="X829" i="25"/>
  <c r="P829" i="25"/>
  <c r="Y829" i="25" s="1"/>
  <c r="X833" i="25"/>
  <c r="P833" i="25"/>
  <c r="Y833" i="25" s="1"/>
  <c r="X837" i="25"/>
  <c r="P837" i="25"/>
  <c r="Y837" i="25" s="1"/>
  <c r="X841" i="25"/>
  <c r="P841" i="25"/>
  <c r="Y841" i="25" s="1"/>
  <c r="X845" i="25"/>
  <c r="P845" i="25"/>
  <c r="Y845" i="25" s="1"/>
  <c r="X849" i="25"/>
  <c r="P849" i="25"/>
  <c r="Y849" i="25" s="1"/>
  <c r="X853" i="25"/>
  <c r="P853" i="25"/>
  <c r="Y853" i="25" s="1"/>
  <c r="X857" i="25"/>
  <c r="P857" i="25"/>
  <c r="Y857" i="25" s="1"/>
  <c r="X861" i="25"/>
  <c r="P861" i="25"/>
  <c r="Y861" i="25" s="1"/>
  <c r="X865" i="25"/>
  <c r="P865" i="25"/>
  <c r="Y865" i="25" s="1"/>
  <c r="X869" i="25"/>
  <c r="P869" i="25"/>
  <c r="Y869" i="25" s="1"/>
  <c r="X873" i="25"/>
  <c r="P873" i="25"/>
  <c r="Y873" i="25" s="1"/>
  <c r="X877" i="25"/>
  <c r="P877" i="25"/>
  <c r="Y877" i="25" s="1"/>
  <c r="X881" i="25"/>
  <c r="P881" i="25"/>
  <c r="Y881" i="25" s="1"/>
  <c r="Z316" i="37"/>
  <c r="AC316" i="37" s="1"/>
  <c r="Z348" i="37"/>
  <c r="AC348" i="37" s="1"/>
  <c r="T350" i="37"/>
  <c r="V350" i="37" s="1"/>
  <c r="Z350" i="37" s="1"/>
  <c r="AC350" i="37" s="1"/>
  <c r="K350" i="37"/>
  <c r="O350" i="37" s="1"/>
  <c r="Q350" i="37" s="1"/>
  <c r="X350" i="37"/>
  <c r="H278" i="32"/>
  <c r="X230" i="25"/>
  <c r="P230" i="25"/>
  <c r="Y230" i="25" s="1"/>
  <c r="X238" i="25"/>
  <c r="P238" i="25"/>
  <c r="Y238" i="25" s="1"/>
  <c r="X246" i="25"/>
  <c r="P246" i="25"/>
  <c r="Y246" i="25" s="1"/>
  <c r="X254" i="25"/>
  <c r="P254" i="25"/>
  <c r="Y254" i="25" s="1"/>
  <c r="X262" i="25"/>
  <c r="P262" i="25"/>
  <c r="Y262" i="25" s="1"/>
  <c r="X270" i="25"/>
  <c r="P270" i="25"/>
  <c r="Y270" i="25" s="1"/>
  <c r="X278" i="25"/>
  <c r="P278" i="25"/>
  <c r="Y278" i="25" s="1"/>
  <c r="X286" i="25"/>
  <c r="P286" i="25"/>
  <c r="Y286" i="25" s="1"/>
  <c r="X294" i="25"/>
  <c r="P294" i="25"/>
  <c r="Y294" i="25" s="1"/>
  <c r="X302" i="25"/>
  <c r="P302" i="25"/>
  <c r="Y302" i="25" s="1"/>
  <c r="X310" i="25"/>
  <c r="P310" i="25"/>
  <c r="Y310" i="25" s="1"/>
  <c r="X318" i="25"/>
  <c r="P318" i="25"/>
  <c r="Y318" i="25" s="1"/>
  <c r="X326" i="25"/>
  <c r="P326" i="25"/>
  <c r="Y326" i="25" s="1"/>
  <c r="X334" i="25"/>
  <c r="P334" i="25"/>
  <c r="Y334" i="25" s="1"/>
  <c r="X342" i="25"/>
  <c r="P342" i="25"/>
  <c r="Y342" i="25" s="1"/>
  <c r="X350" i="25"/>
  <c r="P350" i="25"/>
  <c r="Y350" i="25" s="1"/>
  <c r="X358" i="25"/>
  <c r="P358" i="25"/>
  <c r="Y358" i="25" s="1"/>
  <c r="X366" i="25"/>
  <c r="P366" i="25"/>
  <c r="Y366" i="25" s="1"/>
  <c r="X370" i="25"/>
  <c r="P370" i="25"/>
  <c r="Y370" i="25" s="1"/>
  <c r="X378" i="25"/>
  <c r="P378" i="25"/>
  <c r="Y378" i="25" s="1"/>
  <c r="X386" i="25"/>
  <c r="P386" i="25"/>
  <c r="Y386" i="25" s="1"/>
  <c r="X394" i="25"/>
  <c r="P394" i="25"/>
  <c r="Y394" i="25" s="1"/>
  <c r="X402" i="25"/>
  <c r="P402" i="25"/>
  <c r="Y402" i="25" s="1"/>
  <c r="X406" i="25"/>
  <c r="P406" i="25"/>
  <c r="Y406" i="25" s="1"/>
  <c r="T410" i="25"/>
  <c r="X414" i="25"/>
  <c r="P414" i="25"/>
  <c r="Y414" i="25" s="1"/>
  <c r="X418" i="25"/>
  <c r="P418" i="25"/>
  <c r="Y418" i="25" s="1"/>
  <c r="X422" i="25"/>
  <c r="P422" i="25"/>
  <c r="Y422" i="25" s="1"/>
  <c r="X426" i="25"/>
  <c r="P426" i="25"/>
  <c r="Y426" i="25" s="1"/>
  <c r="X430" i="25"/>
  <c r="P430" i="25"/>
  <c r="Y430" i="25" s="1"/>
  <c r="X438" i="25"/>
  <c r="P438" i="25"/>
  <c r="Y438" i="25" s="1"/>
  <c r="X666" i="25"/>
  <c r="P666" i="25"/>
  <c r="Y666" i="25" s="1"/>
  <c r="X674" i="25"/>
  <c r="P674" i="25"/>
  <c r="Y674" i="25" s="1"/>
  <c r="X682" i="25"/>
  <c r="P682" i="25"/>
  <c r="Y682" i="25" s="1"/>
  <c r="X690" i="25"/>
  <c r="P690" i="25"/>
  <c r="Y690" i="25" s="1"/>
  <c r="X698" i="25"/>
  <c r="P698" i="25"/>
  <c r="Y698" i="25" s="1"/>
  <c r="X706" i="25"/>
  <c r="P706" i="25"/>
  <c r="Y706" i="25" s="1"/>
  <c r="X714" i="25"/>
  <c r="P714" i="25"/>
  <c r="Y714" i="25" s="1"/>
  <c r="X719" i="25"/>
  <c r="P719" i="25"/>
  <c r="Y719" i="25" s="1"/>
  <c r="X723" i="25"/>
  <c r="P723" i="25"/>
  <c r="Y723" i="25" s="1"/>
  <c r="P361" i="44"/>
  <c r="R361" i="44" s="1"/>
  <c r="U361" i="44" s="1"/>
  <c r="K361" i="44"/>
  <c r="M361" i="44" s="1"/>
  <c r="P365" i="44"/>
  <c r="R365" i="44" s="1"/>
  <c r="K365" i="44"/>
  <c r="M365" i="44" s="1"/>
  <c r="X735" i="25"/>
  <c r="P735" i="25"/>
  <c r="Y735" i="25" s="1"/>
  <c r="X739" i="25"/>
  <c r="P739" i="25"/>
  <c r="Y739" i="25" s="1"/>
  <c r="P377" i="44"/>
  <c r="R377" i="44" s="1"/>
  <c r="U377" i="44" s="1"/>
  <c r="K377" i="44"/>
  <c r="M377" i="44" s="1"/>
  <c r="P381" i="44"/>
  <c r="R381" i="44" s="1"/>
  <c r="K381" i="44"/>
  <c r="M381" i="44" s="1"/>
  <c r="X751" i="25"/>
  <c r="P751" i="25"/>
  <c r="Y751" i="25" s="1"/>
  <c r="X755" i="25"/>
  <c r="P755" i="25"/>
  <c r="Y755" i="25" s="1"/>
  <c r="P393" i="44"/>
  <c r="R393" i="44" s="1"/>
  <c r="U393" i="44" s="1"/>
  <c r="K393" i="44"/>
  <c r="M393" i="44" s="1"/>
  <c r="P397" i="44"/>
  <c r="R397" i="44" s="1"/>
  <c r="K397" i="44"/>
  <c r="M397" i="44" s="1"/>
  <c r="X767" i="25"/>
  <c r="P767" i="25"/>
  <c r="Y767" i="25" s="1"/>
  <c r="X772" i="25"/>
  <c r="P772" i="25"/>
  <c r="Y772" i="25" s="1"/>
  <c r="P426" i="44"/>
  <c r="R426" i="44" s="1"/>
  <c r="U426" i="44" s="1"/>
  <c r="K426" i="44"/>
  <c r="M426" i="44" s="1"/>
  <c r="T796" i="25"/>
  <c r="Z362" i="37"/>
  <c r="AC362" i="37" s="1"/>
  <c r="Z394" i="37"/>
  <c r="AC394" i="37" s="1"/>
  <c r="X225" i="25"/>
  <c r="P225" i="25"/>
  <c r="Y225" i="25" s="1"/>
  <c r="AC80" i="37"/>
  <c r="AF80" i="37" s="1"/>
  <c r="T229" i="25"/>
  <c r="X233" i="25"/>
  <c r="P233" i="25"/>
  <c r="Y233" i="25" s="1"/>
  <c r="AC88" i="37"/>
  <c r="X241" i="25"/>
  <c r="P241" i="25"/>
  <c r="Y241" i="25" s="1"/>
  <c r="AC96" i="37"/>
  <c r="X249" i="25"/>
  <c r="P249" i="25"/>
  <c r="Y249" i="25" s="1"/>
  <c r="AC104" i="37"/>
  <c r="X257" i="25"/>
  <c r="P257" i="25"/>
  <c r="Y257" i="25" s="1"/>
  <c r="AC112" i="37"/>
  <c r="AF112" i="37" s="1"/>
  <c r="X265" i="25"/>
  <c r="P265" i="25"/>
  <c r="Y265" i="25" s="1"/>
  <c r="AC120" i="37"/>
  <c r="X273" i="25"/>
  <c r="P273" i="25"/>
  <c r="Y273" i="25" s="1"/>
  <c r="AC128" i="37"/>
  <c r="X281" i="25"/>
  <c r="P281" i="25"/>
  <c r="Y281" i="25" s="1"/>
  <c r="Z136" i="37"/>
  <c r="AC136" i="37" s="1"/>
  <c r="X289" i="25"/>
  <c r="P289" i="25"/>
  <c r="Y289" i="25" s="1"/>
  <c r="Z144" i="37"/>
  <c r="AC144" i="37" s="1"/>
  <c r="AF144" i="37" s="1"/>
  <c r="T293" i="25"/>
  <c r="X297" i="25"/>
  <c r="P297" i="25"/>
  <c r="Y297" i="25" s="1"/>
  <c r="Z152" i="37"/>
  <c r="AC152" i="37" s="1"/>
  <c r="T301" i="25"/>
  <c r="X305" i="25"/>
  <c r="P305" i="25"/>
  <c r="Y305" i="25" s="1"/>
  <c r="Z160" i="37"/>
  <c r="AC160" i="37" s="1"/>
  <c r="X313" i="25"/>
  <c r="P313" i="25"/>
  <c r="Y313" i="25" s="1"/>
  <c r="Z168" i="37"/>
  <c r="AC168" i="37" s="1"/>
  <c r="X321" i="25"/>
  <c r="P321" i="25"/>
  <c r="Y321" i="25" s="1"/>
  <c r="Z176" i="37"/>
  <c r="AC176" i="37" s="1"/>
  <c r="AF176" i="37" s="1"/>
  <c r="T325" i="25"/>
  <c r="X329" i="25"/>
  <c r="P329" i="25"/>
  <c r="Y329" i="25" s="1"/>
  <c r="Z184" i="37"/>
  <c r="AC184" i="37" s="1"/>
  <c r="T333" i="25"/>
  <c r="X337" i="25"/>
  <c r="P337" i="25"/>
  <c r="Y337" i="25" s="1"/>
  <c r="Z192" i="37"/>
  <c r="AC192" i="37" s="1"/>
  <c r="X345" i="25"/>
  <c r="P345" i="25"/>
  <c r="Y345" i="25" s="1"/>
  <c r="Z200" i="37"/>
  <c r="AC200" i="37" s="1"/>
  <c r="X353" i="25"/>
  <c r="P353" i="25"/>
  <c r="Y353" i="25" s="1"/>
  <c r="Z208" i="37"/>
  <c r="AC208" i="37" s="1"/>
  <c r="AF208" i="37" s="1"/>
  <c r="T357" i="25"/>
  <c r="X361" i="25"/>
  <c r="P361" i="25"/>
  <c r="Y361" i="25" s="1"/>
  <c r="Z216" i="37"/>
  <c r="AC216" i="37" s="1"/>
  <c r="T365" i="25"/>
  <c r="X369" i="25"/>
  <c r="P369" i="25"/>
  <c r="Y369" i="25" s="1"/>
  <c r="Z224" i="37"/>
  <c r="AC224" i="37" s="1"/>
  <c r="X377" i="25"/>
  <c r="P377" i="25"/>
  <c r="Y377" i="25" s="1"/>
  <c r="Z232" i="37"/>
  <c r="AC232" i="37" s="1"/>
  <c r="X385" i="25"/>
  <c r="P385" i="25"/>
  <c r="Y385" i="25" s="1"/>
  <c r="Z240" i="37"/>
  <c r="AC240" i="37" s="1"/>
  <c r="AF240" i="37" s="1"/>
  <c r="T389" i="25"/>
  <c r="X393" i="25"/>
  <c r="P393" i="25"/>
  <c r="Y393" i="25" s="1"/>
  <c r="Z248" i="37"/>
  <c r="AC248" i="37" s="1"/>
  <c r="X401" i="25"/>
  <c r="P401" i="25"/>
  <c r="Y401" i="25" s="1"/>
  <c r="Z256" i="37"/>
  <c r="AC256" i="37" s="1"/>
  <c r="X409" i="25"/>
  <c r="P409" i="25"/>
  <c r="Y409" i="25" s="1"/>
  <c r="Z264" i="37"/>
  <c r="AC264" i="37" s="1"/>
  <c r="X417" i="25"/>
  <c r="P417" i="25"/>
  <c r="Y417" i="25" s="1"/>
  <c r="Z272" i="37"/>
  <c r="AC272" i="37" s="1"/>
  <c r="AF272" i="37" s="1"/>
  <c r="T421" i="25"/>
  <c r="X425" i="25"/>
  <c r="P425" i="25"/>
  <c r="Y425" i="25" s="1"/>
  <c r="Z280" i="37"/>
  <c r="AC280" i="37" s="1"/>
  <c r="X433" i="25"/>
  <c r="P433" i="25"/>
  <c r="Y433" i="25" s="1"/>
  <c r="Z288" i="37"/>
  <c r="AC288" i="37" s="1"/>
  <c r="X441" i="25"/>
  <c r="P441" i="25"/>
  <c r="Y441" i="25" s="1"/>
  <c r="Z296" i="37"/>
  <c r="AC296" i="37" s="1"/>
  <c r="X669" i="25"/>
  <c r="P669" i="25"/>
  <c r="Y669" i="25" s="1"/>
  <c r="Z304" i="37"/>
  <c r="AC304" i="37" s="1"/>
  <c r="AF304" i="37" s="1"/>
  <c r="X677" i="25"/>
  <c r="P677" i="25"/>
  <c r="Y677" i="25" s="1"/>
  <c r="X681" i="25"/>
  <c r="P681" i="25"/>
  <c r="Y681" i="25" s="1"/>
  <c r="X685" i="25"/>
  <c r="P685" i="25"/>
  <c r="Y685" i="25" s="1"/>
  <c r="X689" i="25"/>
  <c r="P689" i="25"/>
  <c r="Y689" i="25" s="1"/>
  <c r="X693" i="25"/>
  <c r="P693" i="25"/>
  <c r="Y693" i="25" s="1"/>
  <c r="X697" i="25"/>
  <c r="P697" i="25"/>
  <c r="Y697" i="25" s="1"/>
  <c r="X701" i="25"/>
  <c r="P701" i="25"/>
  <c r="Y701" i="25" s="1"/>
  <c r="T705" i="25"/>
  <c r="X709" i="25"/>
  <c r="P709" i="25"/>
  <c r="Y709" i="25" s="1"/>
  <c r="X713" i="25"/>
  <c r="P713" i="25"/>
  <c r="Y713" i="25" s="1"/>
  <c r="X718" i="25"/>
  <c r="P718" i="25"/>
  <c r="Y718" i="25" s="1"/>
  <c r="X722" i="25"/>
  <c r="P722" i="25"/>
  <c r="Y722" i="25" s="1"/>
  <c r="X726" i="25"/>
  <c r="P726" i="25"/>
  <c r="Y726" i="25" s="1"/>
  <c r="X730" i="25"/>
  <c r="P730" i="25"/>
  <c r="Y730" i="25" s="1"/>
  <c r="X734" i="25"/>
  <c r="P734" i="25"/>
  <c r="Y734" i="25" s="1"/>
  <c r="Z175" i="37"/>
  <c r="AC175" i="37" s="1"/>
  <c r="T224" i="25"/>
  <c r="X240" i="25"/>
  <c r="P240" i="25"/>
  <c r="Y240" i="25" s="1"/>
  <c r="Z103" i="37"/>
  <c r="AC103" i="37" s="1"/>
  <c r="P110" i="44"/>
  <c r="R110" i="44" s="1"/>
  <c r="U110" i="44" s="1"/>
  <c r="K110" i="44"/>
  <c r="M110" i="44" s="1"/>
  <c r="T126" i="37"/>
  <c r="V126" i="37" s="1"/>
  <c r="X126" i="37"/>
  <c r="K126" i="37"/>
  <c r="O126" i="37" s="1"/>
  <c r="Q126" i="37" s="1"/>
  <c r="H54" i="32"/>
  <c r="X272" i="25"/>
  <c r="P272" i="25"/>
  <c r="Y272" i="25" s="1"/>
  <c r="T288" i="25"/>
  <c r="X304" i="25"/>
  <c r="P304" i="25"/>
  <c r="Y304" i="25" s="1"/>
  <c r="Z167" i="37"/>
  <c r="AC167" i="37" s="1"/>
  <c r="P174" i="44"/>
  <c r="R174" i="44" s="1"/>
  <c r="U174" i="44" s="1"/>
  <c r="K174" i="44"/>
  <c r="M174" i="44" s="1"/>
  <c r="T190" i="37"/>
  <c r="V190" i="37" s="1"/>
  <c r="X190" i="37"/>
  <c r="K190" i="37"/>
  <c r="O190" i="37" s="1"/>
  <c r="Q190" i="37" s="1"/>
  <c r="H118" i="32"/>
  <c r="T352" i="25"/>
  <c r="T376" i="25"/>
  <c r="T392" i="25"/>
  <c r="Z257" i="37"/>
  <c r="AC257" i="37" s="1"/>
  <c r="Z273" i="37"/>
  <c r="AC273" i="37" s="1"/>
  <c r="T424" i="25"/>
  <c r="X432" i="25"/>
  <c r="P432" i="25"/>
  <c r="Y432" i="25" s="1"/>
  <c r="Z295" i="37"/>
  <c r="AC295" i="37" s="1"/>
  <c r="T302" i="37"/>
  <c r="V302" i="37" s="1"/>
  <c r="Z302" i="37" s="1"/>
  <c r="AC302" i="37" s="1"/>
  <c r="X302" i="37"/>
  <c r="K302" i="37"/>
  <c r="O302" i="37" s="1"/>
  <c r="Q302" i="37" s="1"/>
  <c r="H230" i="32"/>
  <c r="K318" i="44"/>
  <c r="M318" i="44" s="1"/>
  <c r="P318" i="44"/>
  <c r="R318" i="44" s="1"/>
  <c r="Z287" i="37"/>
  <c r="AC287" i="37" s="1"/>
  <c r="T228" i="25"/>
  <c r="Z91" i="37"/>
  <c r="AC91" i="37" s="1"/>
  <c r="X244" i="25"/>
  <c r="P244" i="25"/>
  <c r="Y244" i="25" s="1"/>
  <c r="P114" i="44"/>
  <c r="R114" i="44" s="1"/>
  <c r="U114" i="44" s="1"/>
  <c r="K114" i="44"/>
  <c r="M114" i="44" s="1"/>
  <c r="T130" i="37"/>
  <c r="V130" i="37" s="1"/>
  <c r="X130" i="37"/>
  <c r="K130" i="37"/>
  <c r="O130" i="37" s="1"/>
  <c r="Q130" i="37" s="1"/>
  <c r="H58" i="32"/>
  <c r="X292" i="25"/>
  <c r="P292" i="25"/>
  <c r="Y292" i="25" s="1"/>
  <c r="Z155" i="37"/>
  <c r="AC155" i="37" s="1"/>
  <c r="T308" i="25"/>
  <c r="P178" i="44"/>
  <c r="R178" i="44" s="1"/>
  <c r="U178" i="44" s="1"/>
  <c r="K178" i="44"/>
  <c r="M178" i="44" s="1"/>
  <c r="T194" i="37"/>
  <c r="V194" i="37" s="1"/>
  <c r="X194" i="37"/>
  <c r="K194" i="37"/>
  <c r="O194" i="37" s="1"/>
  <c r="Q194" i="37" s="1"/>
  <c r="H122" i="32"/>
  <c r="X356" i="25"/>
  <c r="P356" i="25"/>
  <c r="Y356" i="25" s="1"/>
  <c r="Z219" i="37"/>
  <c r="AC219" i="37" s="1"/>
  <c r="T380" i="25"/>
  <c r="Z243" i="37"/>
  <c r="AC243" i="37" s="1"/>
  <c r="P250" i="44"/>
  <c r="R250" i="44" s="1"/>
  <c r="U250" i="44" s="1"/>
  <c r="K250" i="44"/>
  <c r="M250" i="44" s="1"/>
  <c r="T258" i="37"/>
  <c r="V258" i="37" s="1"/>
  <c r="X258" i="37"/>
  <c r="K258" i="37"/>
  <c r="O258" i="37" s="1"/>
  <c r="Q258" i="37" s="1"/>
  <c r="H186" i="32"/>
  <c r="Z269" i="37"/>
  <c r="AC269" i="37" s="1"/>
  <c r="T420" i="25"/>
  <c r="Z283" i="37"/>
  <c r="AC283" i="37" s="1"/>
  <c r="X436" i="25"/>
  <c r="P436" i="25"/>
  <c r="Y436" i="25" s="1"/>
  <c r="Z143" i="37"/>
  <c r="AC143" i="37" s="1"/>
  <c r="K86" i="44"/>
  <c r="M86" i="44" s="1"/>
  <c r="P86" i="44"/>
  <c r="R86" i="44" s="1"/>
  <c r="P102" i="44"/>
  <c r="R102" i="44" s="1"/>
  <c r="K102" i="44"/>
  <c r="M102" i="44" s="1"/>
  <c r="P118" i="44"/>
  <c r="R118" i="44" s="1"/>
  <c r="U118" i="44" s="1"/>
  <c r="K118" i="44"/>
  <c r="M118" i="44" s="1"/>
  <c r="K134" i="44"/>
  <c r="M134" i="44" s="1"/>
  <c r="P134" i="44"/>
  <c r="R134" i="44" s="1"/>
  <c r="U134" i="44" s="1"/>
  <c r="K150" i="44"/>
  <c r="M150" i="44" s="1"/>
  <c r="P150" i="44"/>
  <c r="R150" i="44" s="1"/>
  <c r="P166" i="44"/>
  <c r="R166" i="44" s="1"/>
  <c r="K166" i="44"/>
  <c r="M166" i="44" s="1"/>
  <c r="P182" i="44"/>
  <c r="R182" i="44" s="1"/>
  <c r="U182" i="44" s="1"/>
  <c r="K182" i="44"/>
  <c r="M182" i="44" s="1"/>
  <c r="K198" i="44"/>
  <c r="M198" i="44" s="1"/>
  <c r="P198" i="44"/>
  <c r="R198" i="44" s="1"/>
  <c r="U198" i="44" s="1"/>
  <c r="X360" i="25"/>
  <c r="P360" i="25"/>
  <c r="Y360" i="25" s="1"/>
  <c r="P222" i="44"/>
  <c r="R222" i="44" s="1"/>
  <c r="K222" i="44"/>
  <c r="M222" i="44" s="1"/>
  <c r="T238" i="37"/>
  <c r="V238" i="37" s="1"/>
  <c r="Z238" i="37" s="1"/>
  <c r="AC238" i="37" s="1"/>
  <c r="X238" i="37"/>
  <c r="K238" i="37"/>
  <c r="O238" i="37" s="1"/>
  <c r="Q238" i="37" s="1"/>
  <c r="H166" i="32"/>
  <c r="K270" i="44"/>
  <c r="M270" i="44" s="1"/>
  <c r="P270" i="44"/>
  <c r="R270" i="44" s="1"/>
  <c r="Z281" i="37"/>
  <c r="AC281" i="37" s="1"/>
  <c r="T294" i="37"/>
  <c r="V294" i="37" s="1"/>
  <c r="Z294" i="37" s="1"/>
  <c r="AC294" i="37" s="1"/>
  <c r="AF294" i="37" s="1"/>
  <c r="X294" i="37"/>
  <c r="K294" i="37"/>
  <c r="O294" i="37" s="1"/>
  <c r="Q294" i="37" s="1"/>
  <c r="H222" i="32"/>
  <c r="T440" i="25"/>
  <c r="K310" i="44"/>
  <c r="M310" i="44" s="1"/>
  <c r="P310" i="44"/>
  <c r="R310" i="44" s="1"/>
  <c r="X692" i="25"/>
  <c r="P692" i="25"/>
  <c r="Y692" i="25" s="1"/>
  <c r="T342" i="37"/>
  <c r="V342" i="37" s="1"/>
  <c r="X342" i="37"/>
  <c r="K342" i="37"/>
  <c r="O342" i="37" s="1"/>
  <c r="Q342" i="37" s="1"/>
  <c r="H270" i="32"/>
  <c r="Z352" i="37"/>
  <c r="AC352" i="37" s="1"/>
  <c r="T359" i="37"/>
  <c r="V359" i="37" s="1"/>
  <c r="Z359" i="37" s="1"/>
  <c r="H287" i="32"/>
  <c r="K359" i="37"/>
  <c r="O359" i="37" s="1"/>
  <c r="Q359" i="37" s="1"/>
  <c r="X359" i="37"/>
  <c r="Z368" i="37"/>
  <c r="AC368" i="37" s="1"/>
  <c r="P372" i="44"/>
  <c r="R372" i="44" s="1"/>
  <c r="U372" i="44" s="1"/>
  <c r="K372" i="44"/>
  <c r="M372" i="44" s="1"/>
  <c r="T741" i="25"/>
  <c r="Z377" i="37"/>
  <c r="AC377" i="37" s="1"/>
  <c r="P388" i="44"/>
  <c r="R388" i="44" s="1"/>
  <c r="U388" i="44" s="1"/>
  <c r="K388" i="44"/>
  <c r="M388" i="44" s="1"/>
  <c r="T757" i="25"/>
  <c r="Z393" i="37"/>
  <c r="AC393" i="37" s="1"/>
  <c r="P404" i="44"/>
  <c r="R404" i="44" s="1"/>
  <c r="K404" i="44"/>
  <c r="M404" i="44" s="1"/>
  <c r="T774" i="25"/>
  <c r="X787" i="25"/>
  <c r="P787" i="25"/>
  <c r="Y787" i="25" s="1"/>
  <c r="K424" i="37"/>
  <c r="O424" i="37" s="1"/>
  <c r="Q424" i="37" s="1"/>
  <c r="X424" i="37"/>
  <c r="H352" i="32"/>
  <c r="T424" i="37"/>
  <c r="V424" i="37" s="1"/>
  <c r="T441" i="37"/>
  <c r="V441" i="37" s="1"/>
  <c r="Z441" i="37" s="1"/>
  <c r="AC441" i="37" s="1"/>
  <c r="H369" i="32"/>
  <c r="K441" i="37"/>
  <c r="O441" i="37" s="1"/>
  <c r="Q441" i="37" s="1"/>
  <c r="X441" i="37"/>
  <c r="T454" i="37"/>
  <c r="V454" i="37" s="1"/>
  <c r="Z454" i="37" s="1"/>
  <c r="AC454" i="37" s="1"/>
  <c r="K454" i="37"/>
  <c r="O454" i="37" s="1"/>
  <c r="Q454" i="37" s="1"/>
  <c r="X454" i="37"/>
  <c r="H382" i="32"/>
  <c r="T473" i="37"/>
  <c r="V473" i="37" s="1"/>
  <c r="H401" i="32"/>
  <c r="K473" i="37"/>
  <c r="O473" i="37" s="1"/>
  <c r="Q473" i="37" s="1"/>
  <c r="X473" i="37"/>
  <c r="T486" i="37"/>
  <c r="V486" i="37" s="1"/>
  <c r="Z486" i="37" s="1"/>
  <c r="AC486" i="37" s="1"/>
  <c r="K486" i="37"/>
  <c r="O486" i="37" s="1"/>
  <c r="Q486" i="37" s="1"/>
  <c r="X486" i="37"/>
  <c r="H414" i="32"/>
  <c r="T505" i="37"/>
  <c r="V505" i="37" s="1"/>
  <c r="H433" i="32"/>
  <c r="K505" i="37"/>
  <c r="O505" i="37" s="1"/>
  <c r="Q505" i="37" s="1"/>
  <c r="X505" i="37"/>
  <c r="X8" i="25"/>
  <c r="P8" i="25"/>
  <c r="Y8" i="25" s="1"/>
  <c r="X24" i="25"/>
  <c r="P24" i="25"/>
  <c r="Y24" i="25" s="1"/>
  <c r="X32" i="25"/>
  <c r="P32" i="25"/>
  <c r="Y32" i="25" s="1"/>
  <c r="X40" i="25"/>
  <c r="P40" i="25"/>
  <c r="Y40" i="25" s="1"/>
  <c r="X48" i="25"/>
  <c r="P48" i="25"/>
  <c r="Y48" i="25" s="1"/>
  <c r="X56" i="25"/>
  <c r="P56" i="25"/>
  <c r="Y56" i="25" s="1"/>
  <c r="X64" i="25"/>
  <c r="P64" i="25"/>
  <c r="Y64" i="25" s="1"/>
  <c r="X72" i="25"/>
  <c r="P72" i="25"/>
  <c r="Y72" i="25" s="1"/>
  <c r="X80" i="25"/>
  <c r="P80" i="25"/>
  <c r="Y80" i="25" s="1"/>
  <c r="X88" i="25"/>
  <c r="P88" i="25"/>
  <c r="Y88" i="25" s="1"/>
  <c r="X96" i="25"/>
  <c r="P96" i="25"/>
  <c r="Y96" i="25" s="1"/>
  <c r="X104" i="25"/>
  <c r="P104" i="25"/>
  <c r="Y104" i="25" s="1"/>
  <c r="X112" i="25"/>
  <c r="P112" i="25"/>
  <c r="Y112" i="25" s="1"/>
  <c r="X120" i="25"/>
  <c r="P120" i="25"/>
  <c r="Y120" i="25" s="1"/>
  <c r="X128" i="25"/>
  <c r="P128" i="25"/>
  <c r="Y128" i="25" s="1"/>
  <c r="X136" i="25"/>
  <c r="P136" i="25"/>
  <c r="Y136" i="25" s="1"/>
  <c r="X152" i="25"/>
  <c r="P152" i="25"/>
  <c r="Y152" i="25" s="1"/>
  <c r="X160" i="25"/>
  <c r="P160" i="25"/>
  <c r="Y160" i="25" s="1"/>
  <c r="X168" i="25"/>
  <c r="P168" i="25"/>
  <c r="Y168" i="25" s="1"/>
  <c r="X176" i="25"/>
  <c r="P176" i="25"/>
  <c r="Y176" i="25" s="1"/>
  <c r="X184" i="25"/>
  <c r="P184" i="25"/>
  <c r="Y184" i="25" s="1"/>
  <c r="X192" i="25"/>
  <c r="P192" i="25"/>
  <c r="Y192" i="25" s="1"/>
  <c r="X200" i="25"/>
  <c r="P200" i="25"/>
  <c r="Y200" i="25" s="1"/>
  <c r="X208" i="25"/>
  <c r="P208" i="25"/>
  <c r="Y208" i="25" s="1"/>
  <c r="X216" i="25"/>
  <c r="P216" i="25"/>
  <c r="Y216" i="25" s="1"/>
  <c r="X444" i="25"/>
  <c r="P444" i="25"/>
  <c r="Y444" i="25" s="1"/>
  <c r="X452" i="25"/>
  <c r="P452" i="25"/>
  <c r="Y452" i="25" s="1"/>
  <c r="X461" i="25"/>
  <c r="P461" i="25"/>
  <c r="Y461" i="25" s="1"/>
  <c r="X469" i="25"/>
  <c r="P469" i="25"/>
  <c r="Y469" i="25" s="1"/>
  <c r="X477" i="25"/>
  <c r="P477" i="25"/>
  <c r="Y477" i="25" s="1"/>
  <c r="X485" i="25"/>
  <c r="P485" i="25"/>
  <c r="Y485" i="25" s="1"/>
  <c r="X493" i="25"/>
  <c r="P493" i="25"/>
  <c r="Y493" i="25" s="1"/>
  <c r="X501" i="25"/>
  <c r="P501" i="25"/>
  <c r="Y501" i="25" s="1"/>
  <c r="X509" i="25"/>
  <c r="P509" i="25"/>
  <c r="Y509" i="25" s="1"/>
  <c r="X517" i="25"/>
  <c r="P517" i="25"/>
  <c r="Y517" i="25" s="1"/>
  <c r="X525" i="25"/>
  <c r="P525" i="25"/>
  <c r="Y525" i="25" s="1"/>
  <c r="X533" i="25"/>
  <c r="P533" i="25"/>
  <c r="Y533" i="25" s="1"/>
  <c r="X541" i="25"/>
  <c r="P541" i="25"/>
  <c r="Y541" i="25" s="1"/>
  <c r="X549" i="25"/>
  <c r="P549" i="25"/>
  <c r="Y549" i="25" s="1"/>
  <c r="X557" i="25"/>
  <c r="P557" i="25"/>
  <c r="Y557" i="25" s="1"/>
  <c r="X565" i="25"/>
  <c r="P565" i="25"/>
  <c r="Y565" i="25" s="1"/>
  <c r="X573" i="25"/>
  <c r="P573" i="25"/>
  <c r="Y573" i="25" s="1"/>
  <c r="X581" i="25"/>
  <c r="P581" i="25"/>
  <c r="Y581" i="25" s="1"/>
  <c r="X589" i="25"/>
  <c r="P589" i="25"/>
  <c r="Y589" i="25" s="1"/>
  <c r="X597" i="25"/>
  <c r="P597" i="25"/>
  <c r="Y597" i="25" s="1"/>
  <c r="X605" i="25"/>
  <c r="P605" i="25"/>
  <c r="Y605" i="25" s="1"/>
  <c r="X613" i="25"/>
  <c r="P613" i="25"/>
  <c r="Y613" i="25" s="1"/>
  <c r="X621" i="25"/>
  <c r="P621" i="25"/>
  <c r="Y621" i="25" s="1"/>
  <c r="X629" i="25"/>
  <c r="P629" i="25"/>
  <c r="Y629" i="25" s="1"/>
  <c r="X637" i="25"/>
  <c r="P637" i="25"/>
  <c r="Y637" i="25" s="1"/>
  <c r="X645" i="25"/>
  <c r="P645" i="25"/>
  <c r="Y645" i="25" s="1"/>
  <c r="X653" i="25"/>
  <c r="P653" i="25"/>
  <c r="Y653" i="25" s="1"/>
  <c r="X657" i="25"/>
  <c r="P657" i="25"/>
  <c r="Y657" i="25" s="1"/>
  <c r="X661" i="25"/>
  <c r="P661" i="25"/>
  <c r="Y661" i="25" s="1"/>
  <c r="T90" i="37"/>
  <c r="V90" i="37" s="1"/>
  <c r="Z90" i="37" s="1"/>
  <c r="AC90" i="37" s="1"/>
  <c r="AF90" i="37" s="1"/>
  <c r="X90" i="37"/>
  <c r="K90" i="37"/>
  <c r="O90" i="37" s="1"/>
  <c r="Q90" i="37" s="1"/>
  <c r="H18" i="32"/>
  <c r="J247" i="32" s="1"/>
  <c r="T252" i="25"/>
  <c r="X268" i="25"/>
  <c r="P268" i="25"/>
  <c r="Y268" i="25" s="1"/>
  <c r="Z131" i="37"/>
  <c r="AC131" i="37" s="1"/>
  <c r="P138" i="44"/>
  <c r="R138" i="44" s="1"/>
  <c r="K138" i="44"/>
  <c r="M138" i="44" s="1"/>
  <c r="T154" i="37"/>
  <c r="V154" i="37" s="1"/>
  <c r="Z154" i="37" s="1"/>
  <c r="AC154" i="37" s="1"/>
  <c r="AF154" i="37" s="1"/>
  <c r="X154" i="37"/>
  <c r="K154" i="37"/>
  <c r="O154" i="37" s="1"/>
  <c r="Q154" i="37" s="1"/>
  <c r="H82" i="32"/>
  <c r="X316" i="25"/>
  <c r="P316" i="25"/>
  <c r="Y316" i="25" s="1"/>
  <c r="T332" i="25"/>
  <c r="Z195" i="37"/>
  <c r="AC195" i="37" s="1"/>
  <c r="P202" i="44"/>
  <c r="R202" i="44" s="1"/>
  <c r="U202" i="44" s="1"/>
  <c r="K202" i="44"/>
  <c r="M202" i="44" s="1"/>
  <c r="T218" i="37"/>
  <c r="V218" i="37" s="1"/>
  <c r="X218" i="37"/>
  <c r="K218" i="37"/>
  <c r="O218" i="37" s="1"/>
  <c r="Q218" i="37" s="1"/>
  <c r="H146" i="32"/>
  <c r="X372" i="25"/>
  <c r="P372" i="25"/>
  <c r="Y372" i="25" s="1"/>
  <c r="Z235" i="37"/>
  <c r="AC235" i="37" s="1"/>
  <c r="T388" i="25"/>
  <c r="Z259" i="37"/>
  <c r="AC259" i="37" s="1"/>
  <c r="P266" i="44"/>
  <c r="R266" i="44" s="1"/>
  <c r="U266" i="44" s="1"/>
  <c r="K266" i="44"/>
  <c r="M266" i="44" s="1"/>
  <c r="T282" i="37"/>
  <c r="V282" i="37" s="1"/>
  <c r="Z282" i="37" s="1"/>
  <c r="AC282" i="37" s="1"/>
  <c r="AF282" i="37" s="1"/>
  <c r="X282" i="37"/>
  <c r="K282" i="37"/>
  <c r="O282" i="37" s="1"/>
  <c r="Q282" i="37" s="1"/>
  <c r="H210" i="32"/>
  <c r="X680" i="25"/>
  <c r="P680" i="25"/>
  <c r="Y680" i="25" s="1"/>
  <c r="K334" i="44"/>
  <c r="M334" i="44" s="1"/>
  <c r="P334" i="44"/>
  <c r="R334" i="44" s="1"/>
  <c r="U334" i="44" s="1"/>
  <c r="Z343" i="37"/>
  <c r="AC343" i="37" s="1"/>
  <c r="T717" i="25"/>
  <c r="T733" i="25"/>
  <c r="T749" i="25"/>
  <c r="Z385" i="37"/>
  <c r="AC385" i="37" s="1"/>
  <c r="AF385" i="37" s="1"/>
  <c r="X762" i="25"/>
  <c r="P762" i="25"/>
  <c r="Y762" i="25" s="1"/>
  <c r="P399" i="44"/>
  <c r="R399" i="44" s="1"/>
  <c r="U399" i="44" s="1"/>
  <c r="K399" i="44"/>
  <c r="M399" i="44" s="1"/>
  <c r="U406" i="44"/>
  <c r="P413" i="44"/>
  <c r="R413" i="44" s="1"/>
  <c r="K413" i="44"/>
  <c r="M413" i="44" s="1"/>
  <c r="P416" i="44"/>
  <c r="R416" i="44" s="1"/>
  <c r="U416" i="44" s="1"/>
  <c r="K416" i="44"/>
  <c r="M416" i="44" s="1"/>
  <c r="Z418" i="37"/>
  <c r="AC418" i="37" s="1"/>
  <c r="X795" i="25"/>
  <c r="P795" i="25"/>
  <c r="Y795" i="25" s="1"/>
  <c r="K432" i="37"/>
  <c r="O432" i="37" s="1"/>
  <c r="Q432" i="37" s="1"/>
  <c r="X432" i="37"/>
  <c r="H360" i="32"/>
  <c r="T432" i="37"/>
  <c r="V432" i="37" s="1"/>
  <c r="Z432" i="37" s="1"/>
  <c r="AC432" i="37" s="1"/>
  <c r="O77" i="44"/>
  <c r="Q77" i="44" s="1"/>
  <c r="J77" i="44"/>
  <c r="L77" i="44" s="1"/>
  <c r="J80" i="44"/>
  <c r="L80" i="44" s="1"/>
  <c r="O80" i="44"/>
  <c r="Q80" i="44" s="1"/>
  <c r="J84" i="44"/>
  <c r="L84" i="44" s="1"/>
  <c r="O84" i="44"/>
  <c r="Q84" i="44" s="1"/>
  <c r="S84" i="44" s="1"/>
  <c r="W84" i="44" s="1"/>
  <c r="T84" i="44" s="1"/>
  <c r="J88" i="44"/>
  <c r="L88" i="44" s="1"/>
  <c r="O88" i="44"/>
  <c r="Q88" i="44" s="1"/>
  <c r="O92" i="44"/>
  <c r="Q92" i="44" s="1"/>
  <c r="J92" i="44"/>
  <c r="L92" i="44" s="1"/>
  <c r="J96" i="44"/>
  <c r="L96" i="44" s="1"/>
  <c r="O96" i="44"/>
  <c r="Q96" i="44" s="1"/>
  <c r="J100" i="44"/>
  <c r="L100" i="44" s="1"/>
  <c r="O100" i="44"/>
  <c r="Q100" i="44" s="1"/>
  <c r="S100" i="44" s="1"/>
  <c r="W100" i="44" s="1"/>
  <c r="T100" i="44" s="1"/>
  <c r="X100" i="44" s="1"/>
  <c r="J104" i="44"/>
  <c r="L104" i="44" s="1"/>
  <c r="O104" i="44"/>
  <c r="Q104" i="44" s="1"/>
  <c r="O108" i="44"/>
  <c r="Q108" i="44" s="1"/>
  <c r="J108" i="44"/>
  <c r="L108" i="44" s="1"/>
  <c r="J112" i="44"/>
  <c r="L112" i="44" s="1"/>
  <c r="O112" i="44"/>
  <c r="Q112" i="44" s="1"/>
  <c r="J116" i="44"/>
  <c r="L116" i="44" s="1"/>
  <c r="O116" i="44"/>
  <c r="Q116" i="44" s="1"/>
  <c r="S116" i="44" s="1"/>
  <c r="W116" i="44" s="1"/>
  <c r="T116" i="44" s="1"/>
  <c r="J120" i="44"/>
  <c r="L120" i="44" s="1"/>
  <c r="O120" i="44"/>
  <c r="Q120" i="44" s="1"/>
  <c r="O124" i="44"/>
  <c r="Q124" i="44" s="1"/>
  <c r="J124" i="44"/>
  <c r="L124" i="44" s="1"/>
  <c r="J128" i="44"/>
  <c r="L128" i="44" s="1"/>
  <c r="O128" i="44"/>
  <c r="Q128" i="44" s="1"/>
  <c r="J132" i="44"/>
  <c r="L132" i="44" s="1"/>
  <c r="O132" i="44"/>
  <c r="Q132" i="44" s="1"/>
  <c r="S132" i="44" s="1"/>
  <c r="W132" i="44" s="1"/>
  <c r="T132" i="44" s="1"/>
  <c r="X132" i="44" s="1"/>
  <c r="J136" i="44"/>
  <c r="L136" i="44" s="1"/>
  <c r="O136" i="44"/>
  <c r="Q136" i="44" s="1"/>
  <c r="O140" i="44"/>
  <c r="Q140" i="44" s="1"/>
  <c r="J140" i="44"/>
  <c r="L140" i="44" s="1"/>
  <c r="J144" i="44"/>
  <c r="L144" i="44" s="1"/>
  <c r="O144" i="44"/>
  <c r="Q144" i="44" s="1"/>
  <c r="J148" i="44"/>
  <c r="L148" i="44" s="1"/>
  <c r="O148" i="44"/>
  <c r="Q148" i="44" s="1"/>
  <c r="S148" i="44" s="1"/>
  <c r="W148" i="44" s="1"/>
  <c r="T148" i="44" s="1"/>
  <c r="J152" i="44"/>
  <c r="L152" i="44" s="1"/>
  <c r="O152" i="44"/>
  <c r="Q152" i="44" s="1"/>
  <c r="O156" i="44"/>
  <c r="Q156" i="44" s="1"/>
  <c r="J156" i="44"/>
  <c r="L156" i="44" s="1"/>
  <c r="J160" i="44"/>
  <c r="L160" i="44" s="1"/>
  <c r="O160" i="44"/>
  <c r="Q160" i="44" s="1"/>
  <c r="J164" i="44"/>
  <c r="L164" i="44" s="1"/>
  <c r="O164" i="44"/>
  <c r="Q164" i="44" s="1"/>
  <c r="S164" i="44" s="1"/>
  <c r="W164" i="44" s="1"/>
  <c r="T164" i="44" s="1"/>
  <c r="X164" i="44" s="1"/>
  <c r="J168" i="44"/>
  <c r="L168" i="44" s="1"/>
  <c r="O168" i="44"/>
  <c r="Q168" i="44" s="1"/>
  <c r="O172" i="44"/>
  <c r="Q172" i="44" s="1"/>
  <c r="J172" i="44"/>
  <c r="L172" i="44" s="1"/>
  <c r="J176" i="44"/>
  <c r="L176" i="44" s="1"/>
  <c r="O176" i="44"/>
  <c r="Q176" i="44" s="1"/>
  <c r="J180" i="44"/>
  <c r="L180" i="44" s="1"/>
  <c r="O180" i="44"/>
  <c r="Q180" i="44" s="1"/>
  <c r="S180" i="44" s="1"/>
  <c r="W180" i="44" s="1"/>
  <c r="T180" i="44" s="1"/>
  <c r="J184" i="44"/>
  <c r="L184" i="44" s="1"/>
  <c r="O184" i="44"/>
  <c r="Q184" i="44" s="1"/>
  <c r="O188" i="44"/>
  <c r="Q188" i="44" s="1"/>
  <c r="J188" i="44"/>
  <c r="L188" i="44" s="1"/>
  <c r="J192" i="44"/>
  <c r="L192" i="44" s="1"/>
  <c r="O192" i="44"/>
  <c r="Q192" i="44" s="1"/>
  <c r="J196" i="44"/>
  <c r="L196" i="44" s="1"/>
  <c r="O196" i="44"/>
  <c r="Q196" i="44" s="1"/>
  <c r="S196" i="44" s="1"/>
  <c r="W196" i="44" s="1"/>
  <c r="T196" i="44" s="1"/>
  <c r="X196" i="44" s="1"/>
  <c r="O200" i="44"/>
  <c r="Q200" i="44" s="1"/>
  <c r="S200" i="44" s="1"/>
  <c r="W200" i="44" s="1"/>
  <c r="T200" i="44" s="1"/>
  <c r="X200" i="44" s="1"/>
  <c r="J200" i="44"/>
  <c r="L200" i="44" s="1"/>
  <c r="X130" i="25"/>
  <c r="P130" i="25"/>
  <c r="Y130" i="25" s="1"/>
  <c r="J208" i="44"/>
  <c r="L208" i="44" s="1"/>
  <c r="O208" i="44"/>
  <c r="Q208" i="44" s="1"/>
  <c r="J212" i="44"/>
  <c r="L212" i="44" s="1"/>
  <c r="O212" i="44"/>
  <c r="Q212" i="44" s="1"/>
  <c r="S212" i="44" s="1"/>
  <c r="W212" i="44" s="1"/>
  <c r="T212" i="44" s="1"/>
  <c r="O216" i="44"/>
  <c r="Q216" i="44" s="1"/>
  <c r="S216" i="44" s="1"/>
  <c r="W216" i="44" s="1"/>
  <c r="T216" i="44" s="1"/>
  <c r="X216" i="44" s="1"/>
  <c r="J216" i="44"/>
  <c r="L216" i="44" s="1"/>
  <c r="O220" i="44"/>
  <c r="Q220" i="44" s="1"/>
  <c r="J220" i="44"/>
  <c r="L220" i="44" s="1"/>
  <c r="J224" i="44"/>
  <c r="L224" i="44" s="1"/>
  <c r="O224" i="44"/>
  <c r="Q224" i="44" s="1"/>
  <c r="J228" i="44"/>
  <c r="L228" i="44" s="1"/>
  <c r="O228" i="44"/>
  <c r="Q228" i="44" s="1"/>
  <c r="S228" i="44" s="1"/>
  <c r="W228" i="44" s="1"/>
  <c r="T228" i="44" s="1"/>
  <c r="X228" i="44" s="1"/>
  <c r="J232" i="44"/>
  <c r="L232" i="44" s="1"/>
  <c r="O232" i="44"/>
  <c r="Q232" i="44" s="1"/>
  <c r="X162" i="25"/>
  <c r="P162" i="25"/>
  <c r="Y162" i="25" s="1"/>
  <c r="J240" i="44"/>
  <c r="L240" i="44" s="1"/>
  <c r="O240" i="44"/>
  <c r="Q240" i="44" s="1"/>
  <c r="J244" i="44"/>
  <c r="L244" i="44" s="1"/>
  <c r="O244" i="44"/>
  <c r="Q244" i="44" s="1"/>
  <c r="S244" i="44" s="1"/>
  <c r="W244" i="44" s="1"/>
  <c r="T244" i="44" s="1"/>
  <c r="X244" i="44" s="1"/>
  <c r="J248" i="44"/>
  <c r="L248" i="44" s="1"/>
  <c r="O248" i="44"/>
  <c r="Q248" i="44" s="1"/>
  <c r="O252" i="44"/>
  <c r="Q252" i="44" s="1"/>
  <c r="J252" i="44"/>
  <c r="L252" i="44" s="1"/>
  <c r="J256" i="44"/>
  <c r="L256" i="44" s="1"/>
  <c r="O256" i="44"/>
  <c r="Q256" i="44" s="1"/>
  <c r="J260" i="44"/>
  <c r="L260" i="44" s="1"/>
  <c r="O260" i="44"/>
  <c r="Q260" i="44" s="1"/>
  <c r="S260" i="44" s="1"/>
  <c r="W260" i="44" s="1"/>
  <c r="T260" i="44" s="1"/>
  <c r="J264" i="44"/>
  <c r="L264" i="44" s="1"/>
  <c r="O264" i="44"/>
  <c r="Q264" i="44" s="1"/>
  <c r="X194" i="25"/>
  <c r="P194" i="25"/>
  <c r="Y194" i="25" s="1"/>
  <c r="J272" i="44"/>
  <c r="L272" i="44" s="1"/>
  <c r="O272" i="44"/>
  <c r="Q272" i="44" s="1"/>
  <c r="O276" i="44"/>
  <c r="Q276" i="44" s="1"/>
  <c r="J276" i="44"/>
  <c r="L276" i="44" s="1"/>
  <c r="J280" i="44"/>
  <c r="L280" i="44" s="1"/>
  <c r="O280" i="44"/>
  <c r="Q280" i="44" s="1"/>
  <c r="O284" i="44"/>
  <c r="Q284" i="44" s="1"/>
  <c r="J284" i="44"/>
  <c r="L284" i="44" s="1"/>
  <c r="J288" i="44"/>
  <c r="L288" i="44" s="1"/>
  <c r="O288" i="44"/>
  <c r="Q288" i="44" s="1"/>
  <c r="J292" i="44"/>
  <c r="L292" i="44" s="1"/>
  <c r="O292" i="44"/>
  <c r="Q292" i="44" s="1"/>
  <c r="S292" i="44" s="1"/>
  <c r="W292" i="44" s="1"/>
  <c r="T292" i="44" s="1"/>
  <c r="X292" i="44" s="1"/>
  <c r="J296" i="44"/>
  <c r="L296" i="44" s="1"/>
  <c r="O296" i="44"/>
  <c r="Q296" i="44" s="1"/>
  <c r="O300" i="44"/>
  <c r="Q300" i="44" s="1"/>
  <c r="J300" i="44"/>
  <c r="L300" i="44" s="1"/>
  <c r="J304" i="44"/>
  <c r="L304" i="44" s="1"/>
  <c r="O304" i="44"/>
  <c r="Q304" i="44" s="1"/>
  <c r="X455" i="25"/>
  <c r="P455" i="25"/>
  <c r="Y455" i="25" s="1"/>
  <c r="X459" i="25"/>
  <c r="P459" i="25"/>
  <c r="Y459" i="25" s="1"/>
  <c r="J317" i="44"/>
  <c r="L317" i="44" s="1"/>
  <c r="O317" i="44"/>
  <c r="Q317" i="44" s="1"/>
  <c r="S317" i="44" s="1"/>
  <c r="W317" i="44" s="1"/>
  <c r="T317" i="44" s="1"/>
  <c r="X317" i="44" s="1"/>
  <c r="X467" i="25"/>
  <c r="P467" i="25"/>
  <c r="Y467" i="25" s="1"/>
  <c r="X471" i="25"/>
  <c r="P471" i="25"/>
  <c r="Y471" i="25" s="1"/>
  <c r="X475" i="25"/>
  <c r="P475" i="25"/>
  <c r="Y475" i="25" s="1"/>
  <c r="J333" i="44"/>
  <c r="L333" i="44" s="1"/>
  <c r="O333" i="44"/>
  <c r="Q333" i="44" s="1"/>
  <c r="S333" i="44" s="1"/>
  <c r="W333" i="44" s="1"/>
  <c r="T333" i="44" s="1"/>
  <c r="X333" i="44" s="1"/>
  <c r="X483" i="25"/>
  <c r="P483" i="25"/>
  <c r="Y483" i="25" s="1"/>
  <c r="X487" i="25"/>
  <c r="P487" i="25"/>
  <c r="Y487" i="25" s="1"/>
  <c r="X491" i="25"/>
  <c r="P491" i="25"/>
  <c r="Y491" i="25" s="1"/>
  <c r="J349" i="44"/>
  <c r="L349" i="44" s="1"/>
  <c r="O349" i="44"/>
  <c r="Q349" i="44" s="1"/>
  <c r="S349" i="44" s="1"/>
  <c r="W349" i="44" s="1"/>
  <c r="T349" i="44" s="1"/>
  <c r="X499" i="25"/>
  <c r="P499" i="25"/>
  <c r="Y499" i="25" s="1"/>
  <c r="X503" i="25"/>
  <c r="P503" i="25"/>
  <c r="Y503" i="25" s="1"/>
  <c r="X507" i="25"/>
  <c r="P507" i="25"/>
  <c r="Y507" i="25" s="1"/>
  <c r="J365" i="44"/>
  <c r="L365" i="44" s="1"/>
  <c r="O365" i="44"/>
  <c r="Q365" i="44" s="1"/>
  <c r="S365" i="44" s="1"/>
  <c r="W365" i="44" s="1"/>
  <c r="T365" i="44" s="1"/>
  <c r="X515" i="25"/>
  <c r="P515" i="25"/>
  <c r="Y515" i="25" s="1"/>
  <c r="X519" i="25"/>
  <c r="P519" i="25"/>
  <c r="Y519" i="25" s="1"/>
  <c r="X523" i="25"/>
  <c r="P523" i="25"/>
  <c r="Y523" i="25" s="1"/>
  <c r="J381" i="44"/>
  <c r="L381" i="44" s="1"/>
  <c r="O381" i="44"/>
  <c r="Q381" i="44" s="1"/>
  <c r="S381" i="44" s="1"/>
  <c r="W381" i="44" s="1"/>
  <c r="T381" i="44" s="1"/>
  <c r="X531" i="25"/>
  <c r="P531" i="25"/>
  <c r="Y531" i="25" s="1"/>
  <c r="X535" i="25"/>
  <c r="P535" i="25"/>
  <c r="Y535" i="25" s="1"/>
  <c r="X539" i="25"/>
  <c r="P539" i="25"/>
  <c r="Y539" i="25" s="1"/>
  <c r="J397" i="44"/>
  <c r="L397" i="44" s="1"/>
  <c r="O397" i="44"/>
  <c r="Q397" i="44" s="1"/>
  <c r="S397" i="44" s="1"/>
  <c r="W397" i="44" s="1"/>
  <c r="T397" i="44" s="1"/>
  <c r="X547" i="25"/>
  <c r="P547" i="25"/>
  <c r="Y547" i="25" s="1"/>
  <c r="X551" i="25"/>
  <c r="P551" i="25"/>
  <c r="Y551" i="25" s="1"/>
  <c r="X555" i="25"/>
  <c r="P555" i="25"/>
  <c r="Y555" i="25" s="1"/>
  <c r="J413" i="44"/>
  <c r="L413" i="44" s="1"/>
  <c r="O413" i="44"/>
  <c r="Q413" i="44" s="1"/>
  <c r="S413" i="44" s="1"/>
  <c r="W413" i="44" s="1"/>
  <c r="T413" i="44" s="1"/>
  <c r="T563" i="25"/>
  <c r="X567" i="25"/>
  <c r="P567" i="25"/>
  <c r="Y567" i="25" s="1"/>
  <c r="X571" i="25"/>
  <c r="P571" i="25"/>
  <c r="Y571" i="25" s="1"/>
  <c r="J429" i="44"/>
  <c r="L429" i="44" s="1"/>
  <c r="O429" i="44"/>
  <c r="Q429" i="44" s="1"/>
  <c r="T579" i="25"/>
  <c r="X583" i="25"/>
  <c r="P583" i="25"/>
  <c r="Y583" i="25" s="1"/>
  <c r="X587" i="25"/>
  <c r="P587" i="25"/>
  <c r="Y587" i="25" s="1"/>
  <c r="J445" i="44"/>
  <c r="L445" i="44" s="1"/>
  <c r="O445" i="44"/>
  <c r="Q445" i="44" s="1"/>
  <c r="X595" i="25"/>
  <c r="P595" i="25"/>
  <c r="Y595" i="25" s="1"/>
  <c r="X599" i="25"/>
  <c r="P599" i="25"/>
  <c r="Y599" i="25" s="1"/>
  <c r="X603" i="25"/>
  <c r="P603" i="25"/>
  <c r="Y603" i="25" s="1"/>
  <c r="J461" i="44"/>
  <c r="L461" i="44" s="1"/>
  <c r="O461" i="44"/>
  <c r="Q461" i="44" s="1"/>
  <c r="X611" i="25"/>
  <c r="P611" i="25"/>
  <c r="Y611" i="25" s="1"/>
  <c r="X615" i="25"/>
  <c r="P615" i="25"/>
  <c r="Y615" i="25" s="1"/>
  <c r="X619" i="25"/>
  <c r="P619" i="25"/>
  <c r="Y619" i="25" s="1"/>
  <c r="J477" i="44"/>
  <c r="L477" i="44" s="1"/>
  <c r="O477" i="44"/>
  <c r="Q477" i="44" s="1"/>
  <c r="T627" i="25"/>
  <c r="X631" i="25"/>
  <c r="P631" i="25"/>
  <c r="Y631" i="25" s="1"/>
  <c r="X635" i="25"/>
  <c r="P635" i="25"/>
  <c r="Y635" i="25" s="1"/>
  <c r="J493" i="44"/>
  <c r="L493" i="44" s="1"/>
  <c r="O493" i="44"/>
  <c r="Q493" i="44" s="1"/>
  <c r="S493" i="44" s="1"/>
  <c r="W493" i="44" s="1"/>
  <c r="T493" i="44" s="1"/>
  <c r="T643" i="25"/>
  <c r="X647" i="25"/>
  <c r="P647" i="25"/>
  <c r="Y647" i="25" s="1"/>
  <c r="X651" i="25"/>
  <c r="P651" i="25"/>
  <c r="Y651" i="25" s="1"/>
  <c r="J509" i="44"/>
  <c r="L509" i="44" s="1"/>
  <c r="O509" i="44"/>
  <c r="Q509" i="44" s="1"/>
  <c r="S509" i="44" s="1"/>
  <c r="W509" i="44" s="1"/>
  <c r="T509" i="44" s="1"/>
  <c r="X659" i="25"/>
  <c r="P659" i="25"/>
  <c r="Y659" i="25" s="1"/>
  <c r="P306" i="44"/>
  <c r="R306" i="44" s="1"/>
  <c r="K306" i="44"/>
  <c r="M306" i="44" s="1"/>
  <c r="K322" i="37"/>
  <c r="O322" i="37" s="1"/>
  <c r="Q322" i="37" s="1"/>
  <c r="H250" i="32"/>
  <c r="T322" i="37"/>
  <c r="V322" i="37" s="1"/>
  <c r="X322" i="37"/>
  <c r="T688" i="25"/>
  <c r="Z331" i="37"/>
  <c r="AC331" i="37" s="1"/>
  <c r="X704" i="25"/>
  <c r="P704" i="25"/>
  <c r="Y704" i="25" s="1"/>
  <c r="T721" i="25"/>
  <c r="T371" i="37"/>
  <c r="V371" i="37" s="1"/>
  <c r="H299" i="32"/>
  <c r="K371" i="37"/>
  <c r="O371" i="37" s="1"/>
  <c r="Q371" i="37" s="1"/>
  <c r="X371" i="37"/>
  <c r="X750" i="25"/>
  <c r="P750" i="25"/>
  <c r="Y750" i="25" s="1"/>
  <c r="T753" i="25"/>
  <c r="P400" i="44"/>
  <c r="R400" i="44" s="1"/>
  <c r="U400" i="44" s="1"/>
  <c r="K400" i="44"/>
  <c r="M400" i="44" s="1"/>
  <c r="T403" i="37"/>
  <c r="V403" i="37" s="1"/>
  <c r="Z403" i="37" s="1"/>
  <c r="H331" i="32"/>
  <c r="K403" i="37"/>
  <c r="O403" i="37" s="1"/>
  <c r="Q403" i="37" s="1"/>
  <c r="X403" i="37"/>
  <c r="Z413" i="37"/>
  <c r="AC413" i="37" s="1"/>
  <c r="X786" i="25"/>
  <c r="P786" i="25"/>
  <c r="Y786" i="25" s="1"/>
  <c r="X799" i="25"/>
  <c r="P799" i="25"/>
  <c r="Y799" i="25" s="1"/>
  <c r="K436" i="37"/>
  <c r="O436" i="37" s="1"/>
  <c r="Q436" i="37" s="1"/>
  <c r="T436" i="37"/>
  <c r="V436" i="37" s="1"/>
  <c r="Z436" i="37" s="1"/>
  <c r="X436" i="37"/>
  <c r="H364" i="32"/>
  <c r="X807" i="25"/>
  <c r="P807" i="25"/>
  <c r="Y807" i="25" s="1"/>
  <c r="K444" i="37"/>
  <c r="O444" i="37" s="1"/>
  <c r="Q444" i="37" s="1"/>
  <c r="T444" i="37"/>
  <c r="V444" i="37" s="1"/>
  <c r="X444" i="37"/>
  <c r="H372" i="32"/>
  <c r="K449" i="44"/>
  <c r="M449" i="44" s="1"/>
  <c r="P449" i="44"/>
  <c r="R449" i="44" s="1"/>
  <c r="U449" i="44" s="1"/>
  <c r="K452" i="37"/>
  <c r="O452" i="37" s="1"/>
  <c r="Q452" i="37" s="1"/>
  <c r="T452" i="37"/>
  <c r="V452" i="37" s="1"/>
  <c r="Z452" i="37" s="1"/>
  <c r="X452" i="37"/>
  <c r="H380" i="32"/>
  <c r="X823" i="25"/>
  <c r="P823" i="25"/>
  <c r="Y823" i="25" s="1"/>
  <c r="K460" i="37"/>
  <c r="O460" i="37" s="1"/>
  <c r="Q460" i="37" s="1"/>
  <c r="T460" i="37"/>
  <c r="V460" i="37" s="1"/>
  <c r="X460" i="37"/>
  <c r="H388" i="32"/>
  <c r="K465" i="44"/>
  <c r="M465" i="44" s="1"/>
  <c r="P465" i="44"/>
  <c r="R465" i="44" s="1"/>
  <c r="K468" i="37"/>
  <c r="O468" i="37" s="1"/>
  <c r="Q468" i="37" s="1"/>
  <c r="T468" i="37"/>
  <c r="V468" i="37" s="1"/>
  <c r="Z468" i="37" s="1"/>
  <c r="X468" i="37"/>
  <c r="H396" i="32"/>
  <c r="X839" i="25"/>
  <c r="P839" i="25"/>
  <c r="Y839" i="25" s="1"/>
  <c r="K476" i="37"/>
  <c r="O476" i="37" s="1"/>
  <c r="Q476" i="37" s="1"/>
  <c r="T476" i="37"/>
  <c r="V476" i="37" s="1"/>
  <c r="X476" i="37"/>
  <c r="H404" i="32"/>
  <c r="K481" i="44"/>
  <c r="M481" i="44" s="1"/>
  <c r="P481" i="44"/>
  <c r="R481" i="44" s="1"/>
  <c r="K484" i="37"/>
  <c r="O484" i="37" s="1"/>
  <c r="Q484" i="37" s="1"/>
  <c r="T484" i="37"/>
  <c r="V484" i="37" s="1"/>
  <c r="Z484" i="37" s="1"/>
  <c r="X484" i="37"/>
  <c r="H412" i="32"/>
  <c r="X855" i="25"/>
  <c r="P855" i="25"/>
  <c r="Y855" i="25" s="1"/>
  <c r="K492" i="37"/>
  <c r="O492" i="37" s="1"/>
  <c r="Q492" i="37" s="1"/>
  <c r="T492" i="37"/>
  <c r="V492" i="37" s="1"/>
  <c r="X492" i="37"/>
  <c r="H420" i="32"/>
  <c r="K497" i="44"/>
  <c r="M497" i="44" s="1"/>
  <c r="P497" i="44"/>
  <c r="R497" i="44" s="1"/>
  <c r="K500" i="37"/>
  <c r="O500" i="37" s="1"/>
  <c r="Q500" i="37" s="1"/>
  <c r="T500" i="37"/>
  <c r="V500" i="37" s="1"/>
  <c r="Z500" i="37" s="1"/>
  <c r="X500" i="37"/>
  <c r="H428" i="32"/>
  <c r="X871" i="25"/>
  <c r="P871" i="25"/>
  <c r="Y871" i="25" s="1"/>
  <c r="K508" i="37"/>
  <c r="O508" i="37" s="1"/>
  <c r="Q508" i="37" s="1"/>
  <c r="T508" i="37"/>
  <c r="V508" i="37" s="1"/>
  <c r="X508" i="37"/>
  <c r="H436" i="32"/>
  <c r="K513" i="44"/>
  <c r="M513" i="44" s="1"/>
  <c r="P513" i="44"/>
  <c r="R513" i="44" s="1"/>
  <c r="X5" i="25"/>
  <c r="P5" i="25"/>
  <c r="Y5" i="25" s="1"/>
  <c r="T9" i="25"/>
  <c r="O87" i="44"/>
  <c r="Q87" i="44" s="1"/>
  <c r="J87" i="44"/>
  <c r="L87" i="44" s="1"/>
  <c r="X17" i="25"/>
  <c r="P17" i="25"/>
  <c r="Y17" i="25" s="1"/>
  <c r="AA92" i="37"/>
  <c r="AE92" i="37" s="1"/>
  <c r="AB92" i="37" s="1"/>
  <c r="AF92" i="37" s="1"/>
  <c r="O99" i="44"/>
  <c r="Q99" i="44" s="1"/>
  <c r="S99" i="44" s="1"/>
  <c r="W99" i="44" s="1"/>
  <c r="T99" i="44" s="1"/>
  <c r="X99" i="44" s="1"/>
  <c r="J99" i="44"/>
  <c r="L99" i="44" s="1"/>
  <c r="T29" i="25"/>
  <c r="AA104" i="37"/>
  <c r="AE104" i="37" s="1"/>
  <c r="AB104" i="37" s="1"/>
  <c r="AF104" i="37" s="1"/>
  <c r="X37" i="25"/>
  <c r="P37" i="25"/>
  <c r="Y37" i="25" s="1"/>
  <c r="T41" i="25"/>
  <c r="O119" i="44"/>
  <c r="Q119" i="44" s="1"/>
  <c r="J119" i="44"/>
  <c r="L119" i="44" s="1"/>
  <c r="X49" i="25"/>
  <c r="P49" i="25"/>
  <c r="Y49" i="25" s="1"/>
  <c r="AA124" i="37"/>
  <c r="AE124" i="37" s="1"/>
  <c r="AB124" i="37" s="1"/>
  <c r="AF124" i="37" s="1"/>
  <c r="O131" i="44"/>
  <c r="Q131" i="44" s="1"/>
  <c r="S131" i="44" s="1"/>
  <c r="W131" i="44" s="1"/>
  <c r="T131" i="44" s="1"/>
  <c r="X131" i="44" s="1"/>
  <c r="J131" i="44"/>
  <c r="L131" i="44" s="1"/>
  <c r="T61" i="25"/>
  <c r="AA136" i="37"/>
  <c r="AE136" i="37" s="1"/>
  <c r="AB136" i="37" s="1"/>
  <c r="AF136" i="37" s="1"/>
  <c r="X69" i="25"/>
  <c r="P69" i="25"/>
  <c r="Y69" i="25" s="1"/>
  <c r="T73" i="25"/>
  <c r="O151" i="44"/>
  <c r="Q151" i="44" s="1"/>
  <c r="J151" i="44"/>
  <c r="L151" i="44" s="1"/>
  <c r="X81" i="25"/>
  <c r="P81" i="25"/>
  <c r="Y81" i="25" s="1"/>
  <c r="AA156" i="37"/>
  <c r="AE156" i="37" s="1"/>
  <c r="AB156" i="37" s="1"/>
  <c r="AF156" i="37" s="1"/>
  <c r="O163" i="44"/>
  <c r="Q163" i="44" s="1"/>
  <c r="S163" i="44" s="1"/>
  <c r="W163" i="44" s="1"/>
  <c r="T163" i="44" s="1"/>
  <c r="X163" i="44" s="1"/>
  <c r="J163" i="44"/>
  <c r="L163" i="44" s="1"/>
  <c r="T93" i="25"/>
  <c r="AA168" i="37"/>
  <c r="AE168" i="37" s="1"/>
  <c r="AB168" i="37" s="1"/>
  <c r="AF168" i="37" s="1"/>
  <c r="X101" i="25"/>
  <c r="P101" i="25"/>
  <c r="Y101" i="25" s="1"/>
  <c r="T105" i="25"/>
  <c r="O183" i="44"/>
  <c r="Q183" i="44" s="1"/>
  <c r="J183" i="44"/>
  <c r="L183" i="44" s="1"/>
  <c r="X113" i="25"/>
  <c r="P113" i="25"/>
  <c r="Y113" i="25" s="1"/>
  <c r="AA188" i="37"/>
  <c r="AE188" i="37" s="1"/>
  <c r="AB188" i="37" s="1"/>
  <c r="AF188" i="37" s="1"/>
  <c r="O195" i="44"/>
  <c r="Q195" i="44" s="1"/>
  <c r="S195" i="44" s="1"/>
  <c r="W195" i="44" s="1"/>
  <c r="T195" i="44" s="1"/>
  <c r="X195" i="44" s="1"/>
  <c r="J195" i="44"/>
  <c r="L195" i="44" s="1"/>
  <c r="T125" i="25"/>
  <c r="AA200" i="37"/>
  <c r="AE200" i="37" s="1"/>
  <c r="AB200" i="37" s="1"/>
  <c r="AF200" i="37" s="1"/>
  <c r="X133" i="25"/>
  <c r="P133" i="25"/>
  <c r="Y133" i="25" s="1"/>
  <c r="T137" i="25"/>
  <c r="O215" i="44"/>
  <c r="Q215" i="44" s="1"/>
  <c r="J215" i="44"/>
  <c r="L215" i="44" s="1"/>
  <c r="X145" i="25"/>
  <c r="P145" i="25"/>
  <c r="Y145" i="25" s="1"/>
  <c r="AA220" i="37"/>
  <c r="AE220" i="37" s="1"/>
  <c r="AB220" i="37" s="1"/>
  <c r="AF220" i="37" s="1"/>
  <c r="O227" i="44"/>
  <c r="Q227" i="44" s="1"/>
  <c r="S227" i="44" s="1"/>
  <c r="W227" i="44" s="1"/>
  <c r="T227" i="44" s="1"/>
  <c r="X227" i="44" s="1"/>
  <c r="J227" i="44"/>
  <c r="L227" i="44" s="1"/>
  <c r="T157" i="25"/>
  <c r="AA232" i="37"/>
  <c r="AE232" i="37" s="1"/>
  <c r="AB232" i="37" s="1"/>
  <c r="AF232" i="37" s="1"/>
  <c r="X165" i="25"/>
  <c r="P165" i="25"/>
  <c r="Y165" i="25" s="1"/>
  <c r="T169" i="25"/>
  <c r="O247" i="44"/>
  <c r="Q247" i="44" s="1"/>
  <c r="J247" i="44"/>
  <c r="L247" i="44" s="1"/>
  <c r="X177" i="25"/>
  <c r="P177" i="25"/>
  <c r="Y177" i="25" s="1"/>
  <c r="AA252" i="37"/>
  <c r="AE252" i="37" s="1"/>
  <c r="AB252" i="37" s="1"/>
  <c r="AF252" i="37" s="1"/>
  <c r="O259" i="44"/>
  <c r="Q259" i="44" s="1"/>
  <c r="S259" i="44" s="1"/>
  <c r="W259" i="44" s="1"/>
  <c r="T259" i="44" s="1"/>
  <c r="X259" i="44" s="1"/>
  <c r="J259" i="44"/>
  <c r="L259" i="44" s="1"/>
  <c r="T189" i="25"/>
  <c r="AA264" i="37"/>
  <c r="AE264" i="37" s="1"/>
  <c r="AB264" i="37" s="1"/>
  <c r="AF264" i="37" s="1"/>
  <c r="X197" i="25"/>
  <c r="P197" i="25"/>
  <c r="Y197" i="25" s="1"/>
  <c r="T201" i="25"/>
  <c r="O279" i="44"/>
  <c r="Q279" i="44" s="1"/>
  <c r="J279" i="44"/>
  <c r="L279" i="44" s="1"/>
  <c r="X209" i="25"/>
  <c r="P209" i="25"/>
  <c r="Y209" i="25" s="1"/>
  <c r="AA284" i="37"/>
  <c r="AE284" i="37" s="1"/>
  <c r="AB284" i="37" s="1"/>
  <c r="AF284" i="37" s="1"/>
  <c r="O291" i="44"/>
  <c r="Q291" i="44" s="1"/>
  <c r="S291" i="44" s="1"/>
  <c r="W291" i="44" s="1"/>
  <c r="T291" i="44" s="1"/>
  <c r="X291" i="44" s="1"/>
  <c r="J291" i="44"/>
  <c r="L291" i="44" s="1"/>
  <c r="T221" i="25"/>
  <c r="O299" i="44"/>
  <c r="Q299" i="44" s="1"/>
  <c r="J299" i="44"/>
  <c r="L299" i="44" s="1"/>
  <c r="X449" i="25"/>
  <c r="P449" i="25"/>
  <c r="Y449" i="25" s="1"/>
  <c r="T454" i="25"/>
  <c r="O316" i="44"/>
  <c r="Q316" i="44" s="1"/>
  <c r="S316" i="44" s="1"/>
  <c r="W316" i="44" s="1"/>
  <c r="T316" i="44" s="1"/>
  <c r="J316" i="44"/>
  <c r="L316" i="44" s="1"/>
  <c r="X466" i="25"/>
  <c r="P466" i="25"/>
  <c r="Y466" i="25" s="1"/>
  <c r="T470" i="25"/>
  <c r="Y325" i="37"/>
  <c r="AA325" i="37" s="1"/>
  <c r="AE325" i="37" s="1"/>
  <c r="AB325" i="37" s="1"/>
  <c r="AF325" i="37" s="1"/>
  <c r="O332" i="44"/>
  <c r="Q332" i="44" s="1"/>
  <c r="S332" i="44" s="1"/>
  <c r="W332" i="44" s="1"/>
  <c r="T332" i="44" s="1"/>
  <c r="X332" i="44" s="1"/>
  <c r="J332" i="44"/>
  <c r="L332" i="44" s="1"/>
  <c r="X482" i="25"/>
  <c r="P482" i="25"/>
  <c r="Y482" i="25" s="1"/>
  <c r="T486" i="25"/>
  <c r="Y341" i="37"/>
  <c r="AA341" i="37" s="1"/>
  <c r="AE341" i="37" s="1"/>
  <c r="AB341" i="37" s="1"/>
  <c r="AF341" i="37" s="1"/>
  <c r="O348" i="44"/>
  <c r="Q348" i="44" s="1"/>
  <c r="S348" i="44" s="1"/>
  <c r="W348" i="44" s="1"/>
  <c r="T348" i="44" s="1"/>
  <c r="J348" i="44"/>
  <c r="L348" i="44" s="1"/>
  <c r="X498" i="25"/>
  <c r="P498" i="25"/>
  <c r="Y498" i="25" s="1"/>
  <c r="T502" i="25"/>
  <c r="Y357" i="37"/>
  <c r="AA357" i="37" s="1"/>
  <c r="AE357" i="37" s="1"/>
  <c r="AB357" i="37" s="1"/>
  <c r="AF357" i="37" s="1"/>
  <c r="O364" i="44"/>
  <c r="Q364" i="44" s="1"/>
  <c r="S364" i="44" s="1"/>
  <c r="W364" i="44" s="1"/>
  <c r="T364" i="44" s="1"/>
  <c r="X364" i="44" s="1"/>
  <c r="J364" i="44"/>
  <c r="L364" i="44" s="1"/>
  <c r="X514" i="25"/>
  <c r="P514" i="25"/>
  <c r="Y514" i="25" s="1"/>
  <c r="T518" i="25"/>
  <c r="Y373" i="37"/>
  <c r="AA373" i="37" s="1"/>
  <c r="AE373" i="37" s="1"/>
  <c r="AB373" i="37" s="1"/>
  <c r="AF373" i="37" s="1"/>
  <c r="O380" i="44"/>
  <c r="Q380" i="44" s="1"/>
  <c r="S380" i="44" s="1"/>
  <c r="W380" i="44" s="1"/>
  <c r="T380" i="44" s="1"/>
  <c r="J380" i="44"/>
  <c r="L380" i="44" s="1"/>
  <c r="X530" i="25"/>
  <c r="P530" i="25"/>
  <c r="Y530" i="25" s="1"/>
  <c r="T534" i="25"/>
  <c r="Y389" i="37"/>
  <c r="AA389" i="37" s="1"/>
  <c r="AE389" i="37" s="1"/>
  <c r="AB389" i="37" s="1"/>
  <c r="AF389" i="37" s="1"/>
  <c r="O396" i="44"/>
  <c r="Q396" i="44" s="1"/>
  <c r="S396" i="44" s="1"/>
  <c r="W396" i="44" s="1"/>
  <c r="T396" i="44" s="1"/>
  <c r="X396" i="44" s="1"/>
  <c r="J396" i="44"/>
  <c r="L396" i="44" s="1"/>
  <c r="X546" i="25"/>
  <c r="P546" i="25"/>
  <c r="Y546" i="25" s="1"/>
  <c r="T550" i="25"/>
  <c r="Y405" i="37"/>
  <c r="AA405" i="37" s="1"/>
  <c r="AE405" i="37" s="1"/>
  <c r="AB405" i="37" s="1"/>
  <c r="AF405" i="37" s="1"/>
  <c r="O412" i="44"/>
  <c r="Q412" i="44" s="1"/>
  <c r="S412" i="44" s="1"/>
  <c r="W412" i="44" s="1"/>
  <c r="T412" i="44" s="1"/>
  <c r="X412" i="44" s="1"/>
  <c r="J412" i="44"/>
  <c r="L412" i="44" s="1"/>
  <c r="X562" i="25"/>
  <c r="P562" i="25"/>
  <c r="Y562" i="25" s="1"/>
  <c r="T566" i="25"/>
  <c r="Y421" i="37"/>
  <c r="AA421" i="37" s="1"/>
  <c r="AE421" i="37" s="1"/>
  <c r="AB421" i="37" s="1"/>
  <c r="AF421" i="37" s="1"/>
  <c r="O428" i="44"/>
  <c r="Q428" i="44" s="1"/>
  <c r="S428" i="44" s="1"/>
  <c r="W428" i="44" s="1"/>
  <c r="T428" i="44" s="1"/>
  <c r="J428" i="44"/>
  <c r="L428" i="44" s="1"/>
  <c r="X578" i="25"/>
  <c r="P578" i="25"/>
  <c r="Y578" i="25" s="1"/>
  <c r="T582" i="25"/>
  <c r="Y437" i="37"/>
  <c r="AA437" i="37" s="1"/>
  <c r="AE437" i="37" s="1"/>
  <c r="AB437" i="37" s="1"/>
  <c r="O444" i="44"/>
  <c r="Q444" i="44" s="1"/>
  <c r="S444" i="44" s="1"/>
  <c r="W444" i="44" s="1"/>
  <c r="T444" i="44" s="1"/>
  <c r="X444" i="44" s="1"/>
  <c r="J444" i="44"/>
  <c r="L444" i="44" s="1"/>
  <c r="X594" i="25"/>
  <c r="P594" i="25"/>
  <c r="Y594" i="25" s="1"/>
  <c r="T598" i="25"/>
  <c r="Y453" i="37"/>
  <c r="AA453" i="37" s="1"/>
  <c r="AE453" i="37" s="1"/>
  <c r="AB453" i="37" s="1"/>
  <c r="O460" i="44"/>
  <c r="Q460" i="44" s="1"/>
  <c r="S460" i="44" s="1"/>
  <c r="W460" i="44" s="1"/>
  <c r="T460" i="44" s="1"/>
  <c r="X460" i="44" s="1"/>
  <c r="J460" i="44"/>
  <c r="L460" i="44" s="1"/>
  <c r="X610" i="25"/>
  <c r="P610" i="25"/>
  <c r="Y610" i="25" s="1"/>
  <c r="T614" i="25"/>
  <c r="Y469" i="37"/>
  <c r="AA469" i="37" s="1"/>
  <c r="AE469" i="37" s="1"/>
  <c r="AB469" i="37" s="1"/>
  <c r="O476" i="44"/>
  <c r="Q476" i="44" s="1"/>
  <c r="S476" i="44" s="1"/>
  <c r="W476" i="44" s="1"/>
  <c r="T476" i="44" s="1"/>
  <c r="X476" i="44" s="1"/>
  <c r="J476" i="44"/>
  <c r="L476" i="44" s="1"/>
  <c r="X626" i="25"/>
  <c r="P626" i="25"/>
  <c r="Y626" i="25" s="1"/>
  <c r="T630" i="25"/>
  <c r="Y485" i="37"/>
  <c r="AA485" i="37" s="1"/>
  <c r="AE485" i="37" s="1"/>
  <c r="AB485" i="37" s="1"/>
  <c r="O492" i="44"/>
  <c r="Q492" i="44" s="1"/>
  <c r="S492" i="44" s="1"/>
  <c r="W492" i="44" s="1"/>
  <c r="T492" i="44" s="1"/>
  <c r="X492" i="44" s="1"/>
  <c r="J492" i="44"/>
  <c r="L492" i="44" s="1"/>
  <c r="X642" i="25"/>
  <c r="P642" i="25"/>
  <c r="Y642" i="25" s="1"/>
  <c r="T646" i="25"/>
  <c r="Y501" i="37"/>
  <c r="AA501" i="37" s="1"/>
  <c r="AE501" i="37" s="1"/>
  <c r="AB501" i="37" s="1"/>
  <c r="X816" i="25"/>
  <c r="P816" i="25"/>
  <c r="Y816" i="25" s="1"/>
  <c r="K453" i="44"/>
  <c r="M453" i="44" s="1"/>
  <c r="P453" i="44"/>
  <c r="R453" i="44" s="1"/>
  <c r="K464" i="37"/>
  <c r="O464" i="37" s="1"/>
  <c r="Q464" i="37" s="1"/>
  <c r="X464" i="37"/>
  <c r="T464" i="37"/>
  <c r="V464" i="37" s="1"/>
  <c r="H392" i="32"/>
  <c r="Z467" i="37"/>
  <c r="AC467" i="37" s="1"/>
  <c r="T848" i="25"/>
  <c r="X851" i="25"/>
  <c r="P851" i="25"/>
  <c r="Y851" i="25" s="1"/>
  <c r="P496" i="44"/>
  <c r="R496" i="44" s="1"/>
  <c r="K496" i="44"/>
  <c r="M496" i="44" s="1"/>
  <c r="K514" i="37"/>
  <c r="O514" i="37" s="1"/>
  <c r="Q514" i="37" s="1"/>
  <c r="X514" i="37"/>
  <c r="T514" i="37"/>
  <c r="V514" i="37" s="1"/>
  <c r="Z514" i="37" s="1"/>
  <c r="AC514" i="37" s="1"/>
  <c r="H442" i="32"/>
  <c r="T7" i="25"/>
  <c r="X23" i="25"/>
  <c r="P23" i="25"/>
  <c r="Y23" i="25" s="1"/>
  <c r="O113" i="44"/>
  <c r="Q113" i="44" s="1"/>
  <c r="S113" i="44" s="1"/>
  <c r="W113" i="44" s="1"/>
  <c r="T113" i="44" s="1"/>
  <c r="X113" i="44" s="1"/>
  <c r="J113" i="44"/>
  <c r="L113" i="44" s="1"/>
  <c r="J129" i="37"/>
  <c r="L129" i="37" s="1"/>
  <c r="N129" i="37" s="1"/>
  <c r="S129" i="37"/>
  <c r="U129" i="37" s="1"/>
  <c r="Y129" i="37" s="1"/>
  <c r="W129" i="37"/>
  <c r="G57" i="32"/>
  <c r="AA138" i="37"/>
  <c r="AE138" i="37" s="1"/>
  <c r="AB138" i="37" s="1"/>
  <c r="T71" i="25"/>
  <c r="X87" i="25"/>
  <c r="P87" i="25"/>
  <c r="Y87" i="25" s="1"/>
  <c r="O177" i="44"/>
  <c r="Q177" i="44" s="1"/>
  <c r="S177" i="44" s="1"/>
  <c r="W177" i="44" s="1"/>
  <c r="T177" i="44" s="1"/>
  <c r="X177" i="44" s="1"/>
  <c r="J177" i="44"/>
  <c r="L177" i="44" s="1"/>
  <c r="J193" i="37"/>
  <c r="L193" i="37" s="1"/>
  <c r="N193" i="37" s="1"/>
  <c r="S193" i="37"/>
  <c r="U193" i="37" s="1"/>
  <c r="Y193" i="37" s="1"/>
  <c r="AA193" i="37" s="1"/>
  <c r="AE193" i="37" s="1"/>
  <c r="AB193" i="37" s="1"/>
  <c r="AF193" i="37" s="1"/>
  <c r="W193" i="37"/>
  <c r="G121" i="32"/>
  <c r="AA202" i="37"/>
  <c r="AE202" i="37" s="1"/>
  <c r="AB202" i="37" s="1"/>
  <c r="T135" i="25"/>
  <c r="X151" i="25"/>
  <c r="P151" i="25"/>
  <c r="Y151" i="25" s="1"/>
  <c r="J241" i="44"/>
  <c r="L241" i="44" s="1"/>
  <c r="O241" i="44"/>
  <c r="Q241" i="44" s="1"/>
  <c r="S241" i="44" s="1"/>
  <c r="W241" i="44" s="1"/>
  <c r="T241" i="44" s="1"/>
  <c r="X241" i="44" s="1"/>
  <c r="J257" i="37"/>
  <c r="L257" i="37" s="1"/>
  <c r="N257" i="37" s="1"/>
  <c r="S257" i="37"/>
  <c r="U257" i="37" s="1"/>
  <c r="W257" i="37"/>
  <c r="G185" i="32"/>
  <c r="AA266" i="37"/>
  <c r="AE266" i="37" s="1"/>
  <c r="AB266" i="37" s="1"/>
  <c r="T199" i="25"/>
  <c r="X215" i="25"/>
  <c r="P215" i="25"/>
  <c r="Y215" i="25" s="1"/>
  <c r="X451" i="25"/>
  <c r="P451" i="25"/>
  <c r="Y451" i="25" s="1"/>
  <c r="W322" i="37"/>
  <c r="S322" i="37"/>
  <c r="U322" i="37" s="1"/>
  <c r="J322" i="37"/>
  <c r="L322" i="37" s="1"/>
  <c r="N322" i="37" s="1"/>
  <c r="G250" i="32"/>
  <c r="Y331" i="37"/>
  <c r="AA331" i="37" s="1"/>
  <c r="AE331" i="37" s="1"/>
  <c r="AB331" i="37" s="1"/>
  <c r="AF331" i="37" s="1"/>
  <c r="T484" i="25"/>
  <c r="X500" i="25"/>
  <c r="P500" i="25"/>
  <c r="Y500" i="25" s="1"/>
  <c r="O370" i="44"/>
  <c r="Q370" i="44" s="1"/>
  <c r="S370" i="44" s="1"/>
  <c r="W370" i="44" s="1"/>
  <c r="T370" i="44" s="1"/>
  <c r="J370" i="44"/>
  <c r="L370" i="44" s="1"/>
  <c r="W386" i="37"/>
  <c r="S386" i="37"/>
  <c r="U386" i="37" s="1"/>
  <c r="J386" i="37"/>
  <c r="L386" i="37" s="1"/>
  <c r="N386" i="37" s="1"/>
  <c r="G314" i="32"/>
  <c r="Y395" i="37"/>
  <c r="AA395" i="37" s="1"/>
  <c r="AE395" i="37" s="1"/>
  <c r="AB395" i="37" s="1"/>
  <c r="AF395" i="37" s="1"/>
  <c r="T548" i="25"/>
  <c r="X564" i="25"/>
  <c r="P564" i="25"/>
  <c r="Y564" i="25" s="1"/>
  <c r="O434" i="44"/>
  <c r="Q434" i="44" s="1"/>
  <c r="S434" i="44" s="1"/>
  <c r="W434" i="44" s="1"/>
  <c r="T434" i="44" s="1"/>
  <c r="X434" i="44" s="1"/>
  <c r="J434" i="44"/>
  <c r="L434" i="44" s="1"/>
  <c r="W450" i="37"/>
  <c r="S450" i="37"/>
  <c r="U450" i="37" s="1"/>
  <c r="Y450" i="37" s="1"/>
  <c r="AA450" i="37" s="1"/>
  <c r="AE450" i="37" s="1"/>
  <c r="AB450" i="37" s="1"/>
  <c r="AF450" i="37" s="1"/>
  <c r="J450" i="37"/>
  <c r="L450" i="37" s="1"/>
  <c r="N450" i="37" s="1"/>
  <c r="G378" i="32"/>
  <c r="Y459" i="37"/>
  <c r="AA459" i="37" s="1"/>
  <c r="AE459" i="37" s="1"/>
  <c r="AB459" i="37" s="1"/>
  <c r="AF459" i="37" s="1"/>
  <c r="T612" i="25"/>
  <c r="X628" i="25"/>
  <c r="P628" i="25"/>
  <c r="Y628" i="25" s="1"/>
  <c r="O498" i="44"/>
  <c r="Q498" i="44" s="1"/>
  <c r="J498" i="44"/>
  <c r="L498" i="44" s="1"/>
  <c r="P379" i="44"/>
  <c r="R379" i="44" s="1"/>
  <c r="U379" i="44" s="1"/>
  <c r="K379" i="44"/>
  <c r="M379" i="44" s="1"/>
  <c r="X761" i="25"/>
  <c r="P761" i="25"/>
  <c r="Y761" i="25" s="1"/>
  <c r="T778" i="25"/>
  <c r="P428" i="44"/>
  <c r="R428" i="44" s="1"/>
  <c r="K428" i="44"/>
  <c r="M428" i="44" s="1"/>
  <c r="K442" i="37"/>
  <c r="O442" i="37" s="1"/>
  <c r="Q442" i="37" s="1"/>
  <c r="X442" i="37"/>
  <c r="T442" i="37"/>
  <c r="V442" i="37" s="1"/>
  <c r="Z442" i="37" s="1"/>
  <c r="AC442" i="37" s="1"/>
  <c r="H370" i="32"/>
  <c r="T811" i="25"/>
  <c r="X822" i="25"/>
  <c r="P822" i="25"/>
  <c r="Y822" i="25" s="1"/>
  <c r="K474" i="44"/>
  <c r="M474" i="44" s="1"/>
  <c r="P474" i="44"/>
  <c r="R474" i="44" s="1"/>
  <c r="T477" i="37"/>
  <c r="V477" i="37" s="1"/>
  <c r="Z477" i="37" s="1"/>
  <c r="AC477" i="37" s="1"/>
  <c r="H405" i="32"/>
  <c r="K477" i="37"/>
  <c r="O477" i="37" s="1"/>
  <c r="Q477" i="37" s="1"/>
  <c r="X477" i="37"/>
  <c r="X872" i="25"/>
  <c r="P872" i="25"/>
  <c r="Y872" i="25" s="1"/>
  <c r="X875" i="25"/>
  <c r="P875" i="25"/>
  <c r="Y875" i="25" s="1"/>
  <c r="W76" i="37"/>
  <c r="S76" i="37"/>
  <c r="U76" i="37" s="1"/>
  <c r="Y76" i="37" s="1"/>
  <c r="AA76" i="37" s="1"/>
  <c r="AE76" i="37" s="1"/>
  <c r="AB76" i="37" s="1"/>
  <c r="AF76" i="37" s="1"/>
  <c r="J76" i="37"/>
  <c r="L76" i="37" s="1"/>
  <c r="N76" i="37" s="1"/>
  <c r="G4" i="32"/>
  <c r="I194" i="32" s="1"/>
  <c r="AA86" i="37"/>
  <c r="AE86" i="37" s="1"/>
  <c r="AB86" i="37" s="1"/>
  <c r="T19" i="25"/>
  <c r="X35" i="25"/>
  <c r="P35" i="25"/>
  <c r="Y35" i="25" s="1"/>
  <c r="O125" i="44"/>
  <c r="Q125" i="44" s="1"/>
  <c r="J125" i="44"/>
  <c r="L125" i="44" s="1"/>
  <c r="S141" i="37"/>
  <c r="U141" i="37" s="1"/>
  <c r="J141" i="37"/>
  <c r="L141" i="37" s="1"/>
  <c r="N141" i="37" s="1"/>
  <c r="W141" i="37"/>
  <c r="G69" i="32"/>
  <c r="AA150" i="37"/>
  <c r="AE150" i="37" s="1"/>
  <c r="AB150" i="37" s="1"/>
  <c r="T83" i="25"/>
  <c r="X99" i="25"/>
  <c r="P99" i="25"/>
  <c r="Y99" i="25" s="1"/>
  <c r="O189" i="44"/>
  <c r="Q189" i="44" s="1"/>
  <c r="J189" i="44"/>
  <c r="L189" i="44" s="1"/>
  <c r="S205" i="37"/>
  <c r="U205" i="37" s="1"/>
  <c r="J205" i="37"/>
  <c r="L205" i="37" s="1"/>
  <c r="N205" i="37" s="1"/>
  <c r="W205" i="37"/>
  <c r="G133" i="32"/>
  <c r="AA214" i="37"/>
  <c r="AE214" i="37" s="1"/>
  <c r="AB214" i="37" s="1"/>
  <c r="T147" i="25"/>
  <c r="X163" i="25"/>
  <c r="P163" i="25"/>
  <c r="Y163" i="25" s="1"/>
  <c r="J253" i="44"/>
  <c r="L253" i="44" s="1"/>
  <c r="O253" i="44"/>
  <c r="Q253" i="44" s="1"/>
  <c r="S269" i="37"/>
  <c r="U269" i="37" s="1"/>
  <c r="Y269" i="37" s="1"/>
  <c r="AA269" i="37" s="1"/>
  <c r="AE269" i="37" s="1"/>
  <c r="AB269" i="37" s="1"/>
  <c r="AF269" i="37" s="1"/>
  <c r="J269" i="37"/>
  <c r="L269" i="37" s="1"/>
  <c r="N269" i="37" s="1"/>
  <c r="W269" i="37"/>
  <c r="G197" i="32"/>
  <c r="AA278" i="37"/>
  <c r="AE278" i="37" s="1"/>
  <c r="AB278" i="37" s="1"/>
  <c r="T211" i="25"/>
  <c r="X447" i="25"/>
  <c r="P447" i="25"/>
  <c r="Y447" i="25" s="1"/>
  <c r="O318" i="44"/>
  <c r="Q318" i="44" s="1"/>
  <c r="S318" i="44" s="1"/>
  <c r="W318" i="44" s="1"/>
  <c r="T318" i="44" s="1"/>
  <c r="J318" i="44"/>
  <c r="L318" i="44" s="1"/>
  <c r="S334" i="37"/>
  <c r="U334" i="37" s="1"/>
  <c r="W334" i="37"/>
  <c r="J334" i="37"/>
  <c r="L334" i="37" s="1"/>
  <c r="N334" i="37" s="1"/>
  <c r="G262" i="32"/>
  <c r="T480" i="25"/>
  <c r="AA343" i="37"/>
  <c r="AE343" i="37" s="1"/>
  <c r="AB343" i="37" s="1"/>
  <c r="AF343" i="37" s="1"/>
  <c r="O382" i="44"/>
  <c r="Q382" i="44" s="1"/>
  <c r="S382" i="44" s="1"/>
  <c r="W382" i="44" s="1"/>
  <c r="T382" i="44" s="1"/>
  <c r="X382" i="44" s="1"/>
  <c r="J382" i="44"/>
  <c r="L382" i="44" s="1"/>
  <c r="W398" i="37"/>
  <c r="S398" i="37"/>
  <c r="U398" i="37" s="1"/>
  <c r="J398" i="37"/>
  <c r="L398" i="37" s="1"/>
  <c r="N398" i="37" s="1"/>
  <c r="G326" i="32"/>
  <c r="T544" i="25"/>
  <c r="Y407" i="37"/>
  <c r="AA407" i="37" s="1"/>
  <c r="AE407" i="37" s="1"/>
  <c r="AB407" i="37" s="1"/>
  <c r="AF407" i="37" s="1"/>
  <c r="X576" i="25"/>
  <c r="P576" i="25"/>
  <c r="Y576" i="25" s="1"/>
  <c r="O446" i="44"/>
  <c r="Q446" i="44" s="1"/>
  <c r="S446" i="44" s="1"/>
  <c r="W446" i="44" s="1"/>
  <c r="T446" i="44" s="1"/>
  <c r="J446" i="44"/>
  <c r="L446" i="44" s="1"/>
  <c r="W462" i="37"/>
  <c r="S462" i="37"/>
  <c r="U462" i="37" s="1"/>
  <c r="Y462" i="37" s="1"/>
  <c r="AA462" i="37" s="1"/>
  <c r="AE462" i="37" s="1"/>
  <c r="AB462" i="37" s="1"/>
  <c r="AF462" i="37" s="1"/>
  <c r="J462" i="37"/>
  <c r="L462" i="37" s="1"/>
  <c r="N462" i="37" s="1"/>
  <c r="G390" i="32"/>
  <c r="T608" i="25"/>
  <c r="Y471" i="37"/>
  <c r="AA471" i="37" s="1"/>
  <c r="AE471" i="37" s="1"/>
  <c r="AB471" i="37" s="1"/>
  <c r="AF471" i="37" s="1"/>
  <c r="K376" i="37"/>
  <c r="O376" i="37" s="1"/>
  <c r="Q376" i="37" s="1"/>
  <c r="H304" i="32"/>
  <c r="J235" i="32" s="1"/>
  <c r="X376" i="37"/>
  <c r="T376" i="37"/>
  <c r="V376" i="37" s="1"/>
  <c r="Z376" i="37" s="1"/>
  <c r="AC376" i="37" s="1"/>
  <c r="K409" i="44"/>
  <c r="M409" i="44" s="1"/>
  <c r="P409" i="44"/>
  <c r="R409" i="44" s="1"/>
  <c r="X791" i="25"/>
  <c r="P791" i="25"/>
  <c r="Y791" i="25" s="1"/>
  <c r="T437" i="37"/>
  <c r="V437" i="37" s="1"/>
  <c r="H365" i="32"/>
  <c r="K437" i="37"/>
  <c r="O437" i="37" s="1"/>
  <c r="Q437" i="37" s="1"/>
  <c r="X437" i="37"/>
  <c r="X832" i="25"/>
  <c r="P832" i="25"/>
  <c r="Y832" i="25" s="1"/>
  <c r="K469" i="44"/>
  <c r="M469" i="44" s="1"/>
  <c r="P469" i="44"/>
  <c r="R469" i="44" s="1"/>
  <c r="U469" i="44" s="1"/>
  <c r="K480" i="37"/>
  <c r="O480" i="37" s="1"/>
  <c r="Q480" i="37" s="1"/>
  <c r="X480" i="37"/>
  <c r="T480" i="37"/>
  <c r="V480" i="37" s="1"/>
  <c r="Z480" i="37" s="1"/>
  <c r="AC480" i="37" s="1"/>
  <c r="H408" i="32"/>
  <c r="Z483" i="37"/>
  <c r="AC483" i="37" s="1"/>
  <c r="X864" i="25"/>
  <c r="P864" i="25"/>
  <c r="Y864" i="25" s="1"/>
  <c r="X867" i="25"/>
  <c r="P867" i="25"/>
  <c r="Y867" i="25" s="1"/>
  <c r="P512" i="44"/>
  <c r="R512" i="44" s="1"/>
  <c r="K512" i="44"/>
  <c r="M512" i="44" s="1"/>
  <c r="S89" i="37"/>
  <c r="U89" i="37" s="1"/>
  <c r="J89" i="37"/>
  <c r="L89" i="37" s="1"/>
  <c r="N89" i="37" s="1"/>
  <c r="W89" i="37"/>
  <c r="G17" i="32"/>
  <c r="I255" i="32" s="1"/>
  <c r="AA98" i="37"/>
  <c r="AE98" i="37" s="1"/>
  <c r="AB98" i="37" s="1"/>
  <c r="X47" i="25"/>
  <c r="P47" i="25"/>
  <c r="Y47" i="25" s="1"/>
  <c r="O137" i="44"/>
  <c r="Q137" i="44" s="1"/>
  <c r="S137" i="44" s="1"/>
  <c r="W137" i="44" s="1"/>
  <c r="T137" i="44" s="1"/>
  <c r="X137" i="44" s="1"/>
  <c r="J137" i="44"/>
  <c r="L137" i="44" s="1"/>
  <c r="S153" i="37"/>
  <c r="U153" i="37" s="1"/>
  <c r="Y153" i="37" s="1"/>
  <c r="AA153" i="37" s="1"/>
  <c r="AE153" i="37" s="1"/>
  <c r="AB153" i="37" s="1"/>
  <c r="AF153" i="37" s="1"/>
  <c r="J153" i="37"/>
  <c r="L153" i="37" s="1"/>
  <c r="N153" i="37" s="1"/>
  <c r="W153" i="37"/>
  <c r="G81" i="32"/>
  <c r="AF162" i="37"/>
  <c r="X111" i="25"/>
  <c r="P111" i="25"/>
  <c r="Y111" i="25" s="1"/>
  <c r="O201" i="44"/>
  <c r="Q201" i="44" s="1"/>
  <c r="J201" i="44"/>
  <c r="L201" i="44" s="1"/>
  <c r="S217" i="37"/>
  <c r="U217" i="37" s="1"/>
  <c r="J217" i="37"/>
  <c r="L217" i="37" s="1"/>
  <c r="N217" i="37" s="1"/>
  <c r="W217" i="37"/>
  <c r="G145" i="32"/>
  <c r="X175" i="25"/>
  <c r="P175" i="25"/>
  <c r="Y175" i="25" s="1"/>
  <c r="J265" i="44"/>
  <c r="L265" i="44" s="1"/>
  <c r="O265" i="44"/>
  <c r="Q265" i="44" s="1"/>
  <c r="S281" i="37"/>
  <c r="U281" i="37" s="1"/>
  <c r="Y281" i="37" s="1"/>
  <c r="AA281" i="37" s="1"/>
  <c r="AE281" i="37" s="1"/>
  <c r="AB281" i="37" s="1"/>
  <c r="AF281" i="37" s="1"/>
  <c r="J281" i="37"/>
  <c r="L281" i="37" s="1"/>
  <c r="N281" i="37" s="1"/>
  <c r="W281" i="37"/>
  <c r="G209" i="32"/>
  <c r="X460" i="25"/>
  <c r="P460" i="25"/>
  <c r="Y460" i="25" s="1"/>
  <c r="O330" i="44"/>
  <c r="Q330" i="44" s="1"/>
  <c r="J330" i="44"/>
  <c r="L330" i="44" s="1"/>
  <c r="W346" i="37"/>
  <c r="S346" i="37"/>
  <c r="U346" i="37" s="1"/>
  <c r="Y346" i="37" s="1"/>
  <c r="J346" i="37"/>
  <c r="L346" i="37" s="1"/>
  <c r="N346" i="37" s="1"/>
  <c r="G274" i="32"/>
  <c r="T508" i="25"/>
  <c r="X524" i="25"/>
  <c r="P524" i="25"/>
  <c r="Y524" i="25" s="1"/>
  <c r="O394" i="44"/>
  <c r="Q394" i="44" s="1"/>
  <c r="J394" i="44"/>
  <c r="L394" i="44" s="1"/>
  <c r="I331" i="32"/>
  <c r="W410" i="37"/>
  <c r="S410" i="37"/>
  <c r="U410" i="37" s="1"/>
  <c r="J410" i="37"/>
  <c r="L410" i="37" s="1"/>
  <c r="N410" i="37" s="1"/>
  <c r="G338" i="32"/>
  <c r="I338" i="32" s="1"/>
  <c r="AF419" i="37"/>
  <c r="X588" i="25"/>
  <c r="P588" i="25"/>
  <c r="Y588" i="25" s="1"/>
  <c r="O458" i="44"/>
  <c r="Q458" i="44" s="1"/>
  <c r="S458" i="44" s="1"/>
  <c r="W458" i="44" s="1"/>
  <c r="T458" i="44" s="1"/>
  <c r="X458" i="44" s="1"/>
  <c r="J458" i="44"/>
  <c r="L458" i="44" s="1"/>
  <c r="W474" i="37"/>
  <c r="S474" i="37"/>
  <c r="U474" i="37" s="1"/>
  <c r="Y474" i="37" s="1"/>
  <c r="AA474" i="37" s="1"/>
  <c r="AE474" i="37" s="1"/>
  <c r="AB474" i="37" s="1"/>
  <c r="J474" i="37"/>
  <c r="L474" i="37" s="1"/>
  <c r="N474" i="37" s="1"/>
  <c r="G402" i="32"/>
  <c r="AF483" i="37"/>
  <c r="X652" i="25"/>
  <c r="P652" i="25"/>
  <c r="Y652" i="25" s="1"/>
  <c r="O508" i="44"/>
  <c r="Q508" i="44" s="1"/>
  <c r="J508" i="44"/>
  <c r="L508" i="44" s="1"/>
  <c r="W510" i="37"/>
  <c r="S510" i="37"/>
  <c r="U510" i="37" s="1"/>
  <c r="J510" i="37"/>
  <c r="L510" i="37" s="1"/>
  <c r="N510" i="37" s="1"/>
  <c r="G438" i="32"/>
  <c r="X660" i="25"/>
  <c r="P660" i="25"/>
  <c r="Y660" i="25" s="1"/>
  <c r="K330" i="44"/>
  <c r="M330" i="44" s="1"/>
  <c r="P330" i="44"/>
  <c r="R330" i="44" s="1"/>
  <c r="U330" i="44" s="1"/>
  <c r="P363" i="44"/>
  <c r="R363" i="44" s="1"/>
  <c r="U363" i="44" s="1"/>
  <c r="K363" i="44"/>
  <c r="M363" i="44" s="1"/>
  <c r="P440" i="44"/>
  <c r="R440" i="44" s="1"/>
  <c r="U440" i="44" s="1"/>
  <c r="K440" i="44"/>
  <c r="M440" i="44" s="1"/>
  <c r="K458" i="37"/>
  <c r="O458" i="37" s="1"/>
  <c r="Q458" i="37" s="1"/>
  <c r="X458" i="37"/>
  <c r="T458" i="37"/>
  <c r="V458" i="37" s="1"/>
  <c r="H386" i="32"/>
  <c r="X838" i="25"/>
  <c r="P838" i="25"/>
  <c r="Y838" i="25" s="1"/>
  <c r="K490" i="44"/>
  <c r="M490" i="44" s="1"/>
  <c r="P490" i="44"/>
  <c r="R490" i="44" s="1"/>
  <c r="T493" i="37"/>
  <c r="V493" i="37" s="1"/>
  <c r="Z493" i="37" s="1"/>
  <c r="AC493" i="37" s="1"/>
  <c r="H421" i="32"/>
  <c r="J421" i="32" s="1"/>
  <c r="K493" i="37"/>
  <c r="O493" i="37" s="1"/>
  <c r="Q493" i="37" s="1"/>
  <c r="X493" i="37"/>
  <c r="X11" i="25"/>
  <c r="P11" i="25"/>
  <c r="Y11" i="25" s="1"/>
  <c r="O101" i="44"/>
  <c r="Q101" i="44" s="1"/>
  <c r="S101" i="44" s="1"/>
  <c r="W101" i="44" s="1"/>
  <c r="T101" i="44" s="1"/>
  <c r="J101" i="44"/>
  <c r="L101" i="44" s="1"/>
  <c r="J117" i="37"/>
  <c r="L117" i="37" s="1"/>
  <c r="N117" i="37" s="1"/>
  <c r="S117" i="37"/>
  <c r="U117" i="37" s="1"/>
  <c r="Y117" i="37" s="1"/>
  <c r="W117" i="37"/>
  <c r="G45" i="32"/>
  <c r="I50" i="32" s="1"/>
  <c r="X59" i="25"/>
  <c r="P59" i="25"/>
  <c r="Y59" i="25" s="1"/>
  <c r="X75" i="25"/>
  <c r="P75" i="25"/>
  <c r="Y75" i="25" s="1"/>
  <c r="O165" i="44"/>
  <c r="Q165" i="44" s="1"/>
  <c r="S165" i="44" s="1"/>
  <c r="W165" i="44" s="1"/>
  <c r="T165" i="44" s="1"/>
  <c r="J165" i="44"/>
  <c r="L165" i="44" s="1"/>
  <c r="J181" i="37"/>
  <c r="L181" i="37" s="1"/>
  <c r="N181" i="37" s="1"/>
  <c r="S181" i="37"/>
  <c r="U181" i="37" s="1"/>
  <c r="Y181" i="37" s="1"/>
  <c r="W181" i="37"/>
  <c r="G109" i="32"/>
  <c r="X139" i="25"/>
  <c r="P139" i="25"/>
  <c r="Y139" i="25" s="1"/>
  <c r="J229" i="44"/>
  <c r="L229" i="44" s="1"/>
  <c r="O229" i="44"/>
  <c r="Q229" i="44" s="1"/>
  <c r="S229" i="44" s="1"/>
  <c r="W229" i="44" s="1"/>
  <c r="T229" i="44" s="1"/>
  <c r="X229" i="44" s="1"/>
  <c r="J245" i="37"/>
  <c r="L245" i="37" s="1"/>
  <c r="N245" i="37" s="1"/>
  <c r="S245" i="37"/>
  <c r="U245" i="37" s="1"/>
  <c r="W245" i="37"/>
  <c r="G173" i="32"/>
  <c r="X187" i="25"/>
  <c r="P187" i="25"/>
  <c r="Y187" i="25" s="1"/>
  <c r="X203" i="25"/>
  <c r="P203" i="25"/>
  <c r="Y203" i="25" s="1"/>
  <c r="J293" i="44"/>
  <c r="L293" i="44" s="1"/>
  <c r="O293" i="44"/>
  <c r="Q293" i="44" s="1"/>
  <c r="S293" i="44" s="1"/>
  <c r="W293" i="44" s="1"/>
  <c r="T293" i="44" s="1"/>
  <c r="X293" i="44" s="1"/>
  <c r="S310" i="37"/>
  <c r="U310" i="37" s="1"/>
  <c r="W310" i="37"/>
  <c r="J310" i="37"/>
  <c r="L310" i="37" s="1"/>
  <c r="N310" i="37" s="1"/>
  <c r="G238" i="32"/>
  <c r="AF319" i="37"/>
  <c r="X488" i="25"/>
  <c r="P488" i="25"/>
  <c r="Y488" i="25" s="1"/>
  <c r="O358" i="44"/>
  <c r="Q358" i="44" s="1"/>
  <c r="S358" i="44" s="1"/>
  <c r="W358" i="44" s="1"/>
  <c r="T358" i="44" s="1"/>
  <c r="J358" i="44"/>
  <c r="L358" i="44" s="1"/>
  <c r="W374" i="37"/>
  <c r="S374" i="37"/>
  <c r="U374" i="37" s="1"/>
  <c r="J374" i="37"/>
  <c r="L374" i="37" s="1"/>
  <c r="N374" i="37" s="1"/>
  <c r="G302" i="32"/>
  <c r="X552" i="25"/>
  <c r="P552" i="25"/>
  <c r="Y552" i="25" s="1"/>
  <c r="O422" i="44"/>
  <c r="Q422" i="44" s="1"/>
  <c r="J422" i="44"/>
  <c r="L422" i="44" s="1"/>
  <c r="W438" i="37"/>
  <c r="S438" i="37"/>
  <c r="U438" i="37" s="1"/>
  <c r="Y438" i="37" s="1"/>
  <c r="J438" i="37"/>
  <c r="L438" i="37" s="1"/>
  <c r="N438" i="37" s="1"/>
  <c r="G366" i="32"/>
  <c r="AF447" i="37"/>
  <c r="X616" i="25"/>
  <c r="P616" i="25"/>
  <c r="Y616" i="25" s="1"/>
  <c r="O486" i="44"/>
  <c r="Q486" i="44" s="1"/>
  <c r="S486" i="44" s="1"/>
  <c r="W486" i="44" s="1"/>
  <c r="T486" i="44" s="1"/>
  <c r="J486" i="44"/>
  <c r="L486" i="44" s="1"/>
  <c r="W502" i="37"/>
  <c r="S502" i="37"/>
  <c r="U502" i="37" s="1"/>
  <c r="J502" i="37"/>
  <c r="L502" i="37" s="1"/>
  <c r="N502" i="37" s="1"/>
  <c r="G430" i="32"/>
  <c r="T648" i="25"/>
  <c r="D275" i="32" l="1"/>
  <c r="BH276" i="32"/>
  <c r="BZ276" i="32" s="1"/>
  <c r="CA276" i="32" s="1"/>
  <c r="CB276" i="32" s="1"/>
  <c r="BI276" i="32" s="1"/>
  <c r="D259" i="32"/>
  <c r="BH260" i="32"/>
  <c r="BZ260" i="32" s="1"/>
  <c r="CA260" i="32" s="1"/>
  <c r="CB260" i="32" s="1"/>
  <c r="BI260" i="32" s="1"/>
  <c r="E426" i="32"/>
  <c r="BP427" i="32"/>
  <c r="CC427" i="32" s="1"/>
  <c r="CD427" i="32" s="1"/>
  <c r="CE427" i="32" s="1"/>
  <c r="BQ427" i="32" s="1"/>
  <c r="E393" i="32"/>
  <c r="BP394" i="32"/>
  <c r="CC394" i="32" s="1"/>
  <c r="CD394" i="32" s="1"/>
  <c r="CE394" i="32" s="1"/>
  <c r="BQ394" i="32" s="1"/>
  <c r="BP281" i="32"/>
  <c r="CC281" i="32" s="1"/>
  <c r="CD281" i="32" s="1"/>
  <c r="CE281" i="32" s="1"/>
  <c r="BQ281" i="32" s="1"/>
  <c r="E280" i="32"/>
  <c r="BP264" i="32"/>
  <c r="CC264" i="32" s="1"/>
  <c r="CD264" i="32" s="1"/>
  <c r="CE264" i="32" s="1"/>
  <c r="BQ264" i="32" s="1"/>
  <c r="E263" i="32"/>
  <c r="E50" i="32"/>
  <c r="BP51" i="32"/>
  <c r="CC51" i="32" s="1"/>
  <c r="CD51" i="32" s="1"/>
  <c r="CE51" i="32" s="1"/>
  <c r="BQ51" i="32" s="1"/>
  <c r="AA507" i="40"/>
  <c r="AE507" i="40" s="1"/>
  <c r="AB507" i="40" s="1"/>
  <c r="AF507" i="40" s="1"/>
  <c r="D291" i="32"/>
  <c r="BH292" i="32"/>
  <c r="BZ292" i="32" s="1"/>
  <c r="CA292" i="32" s="1"/>
  <c r="CB292" i="32" s="1"/>
  <c r="BI292" i="32" s="1"/>
  <c r="V510" i="45"/>
  <c r="V494" i="45"/>
  <c r="V461" i="45"/>
  <c r="V247" i="45"/>
  <c r="V163" i="45"/>
  <c r="E168" i="32"/>
  <c r="T466" i="45"/>
  <c r="X466" i="45" s="1"/>
  <c r="U466" i="45" s="1"/>
  <c r="AA422" i="40"/>
  <c r="AE422" i="40" s="1"/>
  <c r="AB422" i="40" s="1"/>
  <c r="AF422" i="40" s="1"/>
  <c r="BH335" i="32"/>
  <c r="BZ335" i="32" s="1"/>
  <c r="CA335" i="32" s="1"/>
  <c r="CB335" i="32" s="1"/>
  <c r="BI335" i="32" s="1"/>
  <c r="D334" i="32"/>
  <c r="AA254" i="40"/>
  <c r="AE254" i="40" s="1"/>
  <c r="AB254" i="40" s="1"/>
  <c r="BH167" i="32"/>
  <c r="BZ167" i="32" s="1"/>
  <c r="CA167" i="32" s="1"/>
  <c r="CB167" i="32" s="1"/>
  <c r="BI167" i="32" s="1"/>
  <c r="D166" i="32"/>
  <c r="V509" i="45"/>
  <c r="V464" i="45"/>
  <c r="BP18" i="32"/>
  <c r="CC18" i="32" s="1"/>
  <c r="CD18" i="32" s="1"/>
  <c r="CE18" i="32" s="1"/>
  <c r="BQ18" i="32" s="1"/>
  <c r="E17" i="32"/>
  <c r="D209" i="32"/>
  <c r="BH210" i="32"/>
  <c r="BZ210" i="32" s="1"/>
  <c r="CA210" i="32" s="1"/>
  <c r="CB210" i="32" s="1"/>
  <c r="BI210" i="32" s="1"/>
  <c r="D193" i="32"/>
  <c r="BH194" i="32"/>
  <c r="BZ194" i="32" s="1"/>
  <c r="CA194" i="32" s="1"/>
  <c r="CB194" i="32" s="1"/>
  <c r="BI194" i="32" s="1"/>
  <c r="D177" i="32"/>
  <c r="BH178" i="32"/>
  <c r="BZ178" i="32" s="1"/>
  <c r="CA178" i="32" s="1"/>
  <c r="CB178" i="32" s="1"/>
  <c r="BI178" i="32" s="1"/>
  <c r="D145" i="32"/>
  <c r="BH146" i="32"/>
  <c r="BZ146" i="32" s="1"/>
  <c r="CA146" i="32" s="1"/>
  <c r="CB146" i="32" s="1"/>
  <c r="BI146" i="32" s="1"/>
  <c r="E278" i="32"/>
  <c r="BP279" i="32"/>
  <c r="CC279" i="32" s="1"/>
  <c r="CD279" i="32" s="1"/>
  <c r="CE279" i="32" s="1"/>
  <c r="BQ279" i="32" s="1"/>
  <c r="BP202" i="32"/>
  <c r="CC202" i="32" s="1"/>
  <c r="CD202" i="32" s="1"/>
  <c r="CE202" i="32" s="1"/>
  <c r="BQ202" i="32" s="1"/>
  <c r="E201" i="32"/>
  <c r="BP138" i="32"/>
  <c r="CC138" i="32" s="1"/>
  <c r="CD138" i="32" s="1"/>
  <c r="CE138" i="32" s="1"/>
  <c r="BQ138" i="32" s="1"/>
  <c r="E137" i="32"/>
  <c r="V140" i="45"/>
  <c r="AA375" i="40"/>
  <c r="AE375" i="40" s="1"/>
  <c r="AB375" i="40" s="1"/>
  <c r="AF375" i="40" s="1"/>
  <c r="V506" i="45"/>
  <c r="V490" i="45"/>
  <c r="V474" i="45"/>
  <c r="V376" i="45"/>
  <c r="V360" i="45"/>
  <c r="V343" i="45"/>
  <c r="V311" i="45"/>
  <c r="V295" i="45"/>
  <c r="V275" i="45"/>
  <c r="AC267" i="40"/>
  <c r="BP180" i="32"/>
  <c r="CC180" i="32" s="1"/>
  <c r="CD180" i="32" s="1"/>
  <c r="CE180" i="32" s="1"/>
  <c r="BQ180" i="32" s="1"/>
  <c r="E179" i="32"/>
  <c r="BP164" i="32"/>
  <c r="CC164" i="32" s="1"/>
  <c r="CD164" i="32" s="1"/>
  <c r="CE164" i="32" s="1"/>
  <c r="BQ164" i="32" s="1"/>
  <c r="E163" i="32"/>
  <c r="V215" i="45"/>
  <c r="BP132" i="32"/>
  <c r="CC132" i="32" s="1"/>
  <c r="CD132" i="32" s="1"/>
  <c r="CE132" i="32" s="1"/>
  <c r="BQ132" i="32" s="1"/>
  <c r="E131" i="32"/>
  <c r="Z187" i="40"/>
  <c r="AC187" i="40" s="1"/>
  <c r="AF187" i="40" s="1"/>
  <c r="V167" i="45"/>
  <c r="Z163" i="40"/>
  <c r="AC163" i="40" s="1"/>
  <c r="AA514" i="40"/>
  <c r="AE514" i="40" s="1"/>
  <c r="AB514" i="40" s="1"/>
  <c r="AA498" i="40"/>
  <c r="AE498" i="40" s="1"/>
  <c r="AB498" i="40" s="1"/>
  <c r="AA482" i="40"/>
  <c r="AE482" i="40" s="1"/>
  <c r="AB482" i="40" s="1"/>
  <c r="BH395" i="32"/>
  <c r="BZ395" i="32" s="1"/>
  <c r="CA395" i="32" s="1"/>
  <c r="CB395" i="32" s="1"/>
  <c r="BI395" i="32" s="1"/>
  <c r="D394" i="32"/>
  <c r="BH379" i="32"/>
  <c r="BZ379" i="32" s="1"/>
  <c r="CA379" i="32" s="1"/>
  <c r="CB379" i="32" s="1"/>
  <c r="BI379" i="32" s="1"/>
  <c r="D378" i="32"/>
  <c r="BH363" i="32"/>
  <c r="BZ363" i="32" s="1"/>
  <c r="CA363" i="32" s="1"/>
  <c r="CB363" i="32" s="1"/>
  <c r="BI363" i="32" s="1"/>
  <c r="D362" i="32"/>
  <c r="BH347" i="32"/>
  <c r="BZ347" i="32" s="1"/>
  <c r="CA347" i="32" s="1"/>
  <c r="CB347" i="32" s="1"/>
  <c r="BI347" i="32" s="1"/>
  <c r="D346" i="32"/>
  <c r="AA402" i="40"/>
  <c r="AE402" i="40" s="1"/>
  <c r="AB402" i="40" s="1"/>
  <c r="AF402" i="40" s="1"/>
  <c r="AA386" i="40"/>
  <c r="AE386" i="40" s="1"/>
  <c r="AB386" i="40" s="1"/>
  <c r="AF386" i="40" s="1"/>
  <c r="AA370" i="40"/>
  <c r="AE370" i="40" s="1"/>
  <c r="AB370" i="40" s="1"/>
  <c r="AA354" i="40"/>
  <c r="AE354" i="40" s="1"/>
  <c r="AB354" i="40" s="1"/>
  <c r="BH267" i="32"/>
  <c r="BZ267" i="32" s="1"/>
  <c r="CA267" i="32" s="1"/>
  <c r="CB267" i="32" s="1"/>
  <c r="BI267" i="32" s="1"/>
  <c r="D266" i="32"/>
  <c r="AA322" i="40"/>
  <c r="AE322" i="40" s="1"/>
  <c r="AB322" i="40" s="1"/>
  <c r="BH179" i="32"/>
  <c r="BZ179" i="32" s="1"/>
  <c r="CA179" i="32" s="1"/>
  <c r="CB179" i="32" s="1"/>
  <c r="BI179" i="32" s="1"/>
  <c r="D178" i="32"/>
  <c r="Y246" i="45"/>
  <c r="BH127" i="32"/>
  <c r="BZ127" i="32" s="1"/>
  <c r="CA127" i="32" s="1"/>
  <c r="CB127" i="32" s="1"/>
  <c r="BI127" i="32" s="1"/>
  <c r="D126" i="32"/>
  <c r="Y186" i="45"/>
  <c r="BH95" i="32"/>
  <c r="BZ95" i="32" s="1"/>
  <c r="CA95" i="32" s="1"/>
  <c r="CB95" i="32" s="1"/>
  <c r="BI95" i="32" s="1"/>
  <c r="D94" i="32"/>
  <c r="Y138" i="45"/>
  <c r="Y134" i="40"/>
  <c r="AA134" i="40" s="1"/>
  <c r="AE134" i="40" s="1"/>
  <c r="AB134" i="40" s="1"/>
  <c r="BH47" i="32"/>
  <c r="BZ47" i="32" s="1"/>
  <c r="CA47" i="32" s="1"/>
  <c r="CB47" i="32" s="1"/>
  <c r="BI47" i="32" s="1"/>
  <c r="D46" i="32"/>
  <c r="Y106" i="45"/>
  <c r="Y90" i="45"/>
  <c r="E396" i="32"/>
  <c r="BP397" i="32"/>
  <c r="CC397" i="32" s="1"/>
  <c r="CD397" i="32" s="1"/>
  <c r="CE397" i="32" s="1"/>
  <c r="BQ397" i="32" s="1"/>
  <c r="AC452" i="40"/>
  <c r="AC436" i="40"/>
  <c r="AC420" i="40"/>
  <c r="AC404" i="40"/>
  <c r="AC388" i="40"/>
  <c r="V371" i="45"/>
  <c r="Y371" i="45" s="1"/>
  <c r="V363" i="45"/>
  <c r="V355" i="45"/>
  <c r="AC286" i="40"/>
  <c r="AC262" i="40"/>
  <c r="AC230" i="40"/>
  <c r="T325" i="45"/>
  <c r="X325" i="45" s="1"/>
  <c r="U325" i="45" s="1"/>
  <c r="T257" i="45"/>
  <c r="X257" i="45" s="1"/>
  <c r="U257" i="45" s="1"/>
  <c r="Y257" i="45" s="1"/>
  <c r="T241" i="45"/>
  <c r="X241" i="45" s="1"/>
  <c r="U241" i="45" s="1"/>
  <c r="Y197" i="40"/>
  <c r="AA197" i="40" s="1"/>
  <c r="AE197" i="40" s="1"/>
  <c r="AB197" i="40" s="1"/>
  <c r="T153" i="45"/>
  <c r="X153" i="45" s="1"/>
  <c r="U153" i="45" s="1"/>
  <c r="Y141" i="40"/>
  <c r="AA141" i="40" s="1"/>
  <c r="AE141" i="40" s="1"/>
  <c r="AB141" i="40" s="1"/>
  <c r="T121" i="45"/>
  <c r="X121" i="45" s="1"/>
  <c r="U121" i="45" s="1"/>
  <c r="Y121" i="45" s="1"/>
  <c r="T105" i="45"/>
  <c r="X105" i="45" s="1"/>
  <c r="U105" i="45" s="1"/>
  <c r="T89" i="45"/>
  <c r="X89" i="45" s="1"/>
  <c r="U89" i="45" s="1"/>
  <c r="Y89" i="45" s="1"/>
  <c r="V512" i="45"/>
  <c r="V480" i="45"/>
  <c r="V423" i="45"/>
  <c r="BP246" i="32"/>
  <c r="CC246" i="32" s="1"/>
  <c r="CD246" i="32" s="1"/>
  <c r="CE246" i="32" s="1"/>
  <c r="BQ246" i="32" s="1"/>
  <c r="E245" i="32"/>
  <c r="BP214" i="32"/>
  <c r="CC214" i="32" s="1"/>
  <c r="CD214" i="32" s="1"/>
  <c r="CE214" i="32" s="1"/>
  <c r="BQ214" i="32" s="1"/>
  <c r="E213" i="32"/>
  <c r="Y423" i="31"/>
  <c r="AC237" i="40"/>
  <c r="D443" i="32"/>
  <c r="BH444" i="32"/>
  <c r="BZ444" i="32" s="1"/>
  <c r="CA444" i="32" s="1"/>
  <c r="CB444" i="32" s="1"/>
  <c r="BI444" i="32" s="1"/>
  <c r="AA499" i="40"/>
  <c r="AE499" i="40" s="1"/>
  <c r="AB499" i="40" s="1"/>
  <c r="AF499" i="40" s="1"/>
  <c r="D395" i="32"/>
  <c r="BH396" i="32"/>
  <c r="BZ396" i="32" s="1"/>
  <c r="CA396" i="32" s="1"/>
  <c r="CB396" i="32" s="1"/>
  <c r="BI396" i="32" s="1"/>
  <c r="AA451" i="40"/>
  <c r="AE451" i="40" s="1"/>
  <c r="AB451" i="40" s="1"/>
  <c r="AA403" i="40"/>
  <c r="AE403" i="40" s="1"/>
  <c r="AB403" i="40" s="1"/>
  <c r="D299" i="32"/>
  <c r="BH300" i="32"/>
  <c r="BZ300" i="32" s="1"/>
  <c r="CA300" i="32" s="1"/>
  <c r="CB300" i="32" s="1"/>
  <c r="BI300" i="32" s="1"/>
  <c r="Y367" i="45"/>
  <c r="D251" i="32"/>
  <c r="BH252" i="32"/>
  <c r="BZ252" i="32" s="1"/>
  <c r="CA252" i="32" s="1"/>
  <c r="CB252" i="32" s="1"/>
  <c r="BI252" i="32" s="1"/>
  <c r="Y291" i="40"/>
  <c r="AA291" i="40" s="1"/>
  <c r="AE291" i="40" s="1"/>
  <c r="AB291" i="40" s="1"/>
  <c r="AF291" i="40" s="1"/>
  <c r="AA259" i="40"/>
  <c r="AE259" i="40" s="1"/>
  <c r="AB259" i="40" s="1"/>
  <c r="AF259" i="40" s="1"/>
  <c r="D171" i="32"/>
  <c r="BH172" i="32"/>
  <c r="BZ172" i="32" s="1"/>
  <c r="CA172" i="32" s="1"/>
  <c r="CB172" i="32" s="1"/>
  <c r="BI172" i="32" s="1"/>
  <c r="D139" i="32"/>
  <c r="BH140" i="32"/>
  <c r="BZ140" i="32" s="1"/>
  <c r="CA140" i="32" s="1"/>
  <c r="CB140" i="32" s="1"/>
  <c r="BI140" i="32" s="1"/>
  <c r="D107" i="32"/>
  <c r="BH108" i="32"/>
  <c r="BZ108" i="32" s="1"/>
  <c r="CA108" i="32" s="1"/>
  <c r="CB108" i="32" s="1"/>
  <c r="BI108" i="32" s="1"/>
  <c r="Y880" i="31"/>
  <c r="AC506" i="40"/>
  <c r="E418" i="32"/>
  <c r="BP419" i="32"/>
  <c r="CC419" i="32" s="1"/>
  <c r="CD419" i="32" s="1"/>
  <c r="CE419" i="32" s="1"/>
  <c r="BQ419" i="32" s="1"/>
  <c r="BP370" i="32"/>
  <c r="CC370" i="32" s="1"/>
  <c r="CD370" i="32" s="1"/>
  <c r="CE370" i="32" s="1"/>
  <c r="BQ370" i="32" s="1"/>
  <c r="E369" i="32"/>
  <c r="BP354" i="32"/>
  <c r="CC354" i="32" s="1"/>
  <c r="CD354" i="32" s="1"/>
  <c r="CE354" i="32" s="1"/>
  <c r="BQ354" i="32" s="1"/>
  <c r="E353" i="32"/>
  <c r="BP338" i="32"/>
  <c r="CC338" i="32" s="1"/>
  <c r="CD338" i="32" s="1"/>
  <c r="CE338" i="32" s="1"/>
  <c r="BQ338" i="32" s="1"/>
  <c r="E337" i="32"/>
  <c r="BP322" i="32"/>
  <c r="CC322" i="32" s="1"/>
  <c r="CD322" i="32" s="1"/>
  <c r="CE322" i="32" s="1"/>
  <c r="BQ322" i="32" s="1"/>
  <c r="E321" i="32"/>
  <c r="AC376" i="40"/>
  <c r="V356" i="45"/>
  <c r="BP272" i="32"/>
  <c r="CC272" i="32" s="1"/>
  <c r="CD272" i="32" s="1"/>
  <c r="CE272" i="32" s="1"/>
  <c r="BQ272" i="32" s="1"/>
  <c r="E271" i="32"/>
  <c r="AC327" i="40"/>
  <c r="V307" i="45"/>
  <c r="BP224" i="32"/>
  <c r="CC224" i="32" s="1"/>
  <c r="CD224" i="32" s="1"/>
  <c r="CE224" i="32" s="1"/>
  <c r="BQ224" i="32" s="1"/>
  <c r="E223" i="32"/>
  <c r="BP208" i="32"/>
  <c r="CC208" i="32" s="1"/>
  <c r="CD208" i="32" s="1"/>
  <c r="CE208" i="32" s="1"/>
  <c r="BQ208" i="32" s="1"/>
  <c r="E207" i="32"/>
  <c r="AC263" i="40"/>
  <c r="Y369" i="31"/>
  <c r="AC215" i="40"/>
  <c r="V195" i="45"/>
  <c r="BP96" i="32"/>
  <c r="CC96" i="32" s="1"/>
  <c r="CD96" i="32" s="1"/>
  <c r="CE96" i="32" s="1"/>
  <c r="BQ96" i="32" s="1"/>
  <c r="E95" i="32"/>
  <c r="E78" i="32"/>
  <c r="BP79" i="32"/>
  <c r="CC79" i="32" s="1"/>
  <c r="CD79" i="32" s="1"/>
  <c r="CE79" i="32" s="1"/>
  <c r="BQ79" i="32" s="1"/>
  <c r="E74" i="32"/>
  <c r="BP75" i="32"/>
  <c r="CC75" i="32" s="1"/>
  <c r="CD75" i="32" s="1"/>
  <c r="CE75" i="32" s="1"/>
  <c r="BQ75" i="32" s="1"/>
  <c r="E62" i="32"/>
  <c r="BP63" i="32"/>
  <c r="CC63" i="32" s="1"/>
  <c r="CD63" i="32" s="1"/>
  <c r="CE63" i="32" s="1"/>
  <c r="BQ63" i="32" s="1"/>
  <c r="E58" i="32"/>
  <c r="BP59" i="32"/>
  <c r="CC59" i="32" s="1"/>
  <c r="CD59" i="32" s="1"/>
  <c r="CE59" i="32" s="1"/>
  <c r="BQ59" i="32" s="1"/>
  <c r="E30" i="32"/>
  <c r="BP31" i="32"/>
  <c r="CC31" i="32" s="1"/>
  <c r="CD31" i="32" s="1"/>
  <c r="CE31" i="32" s="1"/>
  <c r="BQ31" i="32" s="1"/>
  <c r="E26" i="32"/>
  <c r="BP27" i="32"/>
  <c r="CC27" i="32" s="1"/>
  <c r="CD27" i="32" s="1"/>
  <c r="CE27" i="32" s="1"/>
  <c r="BQ27" i="32" s="1"/>
  <c r="E14" i="32"/>
  <c r="BP15" i="32"/>
  <c r="CC15" i="32" s="1"/>
  <c r="CD15" i="32" s="1"/>
  <c r="CE15" i="32" s="1"/>
  <c r="BQ15" i="32" s="1"/>
  <c r="E10" i="32"/>
  <c r="BP11" i="32"/>
  <c r="CC11" i="32" s="1"/>
  <c r="CD11" i="32" s="1"/>
  <c r="CE11" i="32" s="1"/>
  <c r="BQ11" i="32" s="1"/>
  <c r="E335" i="32"/>
  <c r="BH439" i="32"/>
  <c r="BZ439" i="32" s="1"/>
  <c r="CA439" i="32" s="1"/>
  <c r="CB439" i="32" s="1"/>
  <c r="BI439" i="32" s="1"/>
  <c r="D438" i="32"/>
  <c r="AA478" i="40"/>
  <c r="AE478" i="40" s="1"/>
  <c r="AB478" i="40" s="1"/>
  <c r="T458" i="45"/>
  <c r="X458" i="45" s="1"/>
  <c r="U458" i="45" s="1"/>
  <c r="Y458" i="45" s="1"/>
  <c r="BH375" i="32"/>
  <c r="BZ375" i="32" s="1"/>
  <c r="CA375" i="32" s="1"/>
  <c r="CB375" i="32" s="1"/>
  <c r="BI375" i="32" s="1"/>
  <c r="D374" i="32"/>
  <c r="AA414" i="40"/>
  <c r="AE414" i="40" s="1"/>
  <c r="AB414" i="40" s="1"/>
  <c r="AF414" i="40" s="1"/>
  <c r="AA366" i="40"/>
  <c r="AE366" i="40" s="1"/>
  <c r="AB366" i="40" s="1"/>
  <c r="BH263" i="32"/>
  <c r="BZ263" i="32" s="1"/>
  <c r="CA263" i="32" s="1"/>
  <c r="CB263" i="32" s="1"/>
  <c r="BI263" i="32" s="1"/>
  <c r="D262" i="32"/>
  <c r="AA314" i="40"/>
  <c r="AE314" i="40" s="1"/>
  <c r="AB314" i="40" s="1"/>
  <c r="AA230" i="40"/>
  <c r="AE230" i="40" s="1"/>
  <c r="AB230" i="40" s="1"/>
  <c r="AF230" i="40" s="1"/>
  <c r="BH43" i="32"/>
  <c r="BZ43" i="32" s="1"/>
  <c r="CA43" i="32" s="1"/>
  <c r="CB43" i="32" s="1"/>
  <c r="BI43" i="32" s="1"/>
  <c r="D42" i="32"/>
  <c r="AC448" i="40"/>
  <c r="V428" i="45"/>
  <c r="E344" i="32"/>
  <c r="BP345" i="32"/>
  <c r="CC345" i="32" s="1"/>
  <c r="CD345" i="32" s="1"/>
  <c r="CE345" i="32" s="1"/>
  <c r="BQ345" i="32" s="1"/>
  <c r="AC400" i="40"/>
  <c r="AC346" i="40"/>
  <c r="E258" i="32"/>
  <c r="BP259" i="32"/>
  <c r="CC259" i="32" s="1"/>
  <c r="CD259" i="32" s="1"/>
  <c r="CE259" i="32" s="1"/>
  <c r="BQ259" i="32" s="1"/>
  <c r="AC210" i="40"/>
  <c r="BP58" i="32"/>
  <c r="CC58" i="32" s="1"/>
  <c r="CD58" i="32" s="1"/>
  <c r="CE58" i="32" s="1"/>
  <c r="BQ58" i="32" s="1"/>
  <c r="E57" i="32"/>
  <c r="BP42" i="32"/>
  <c r="CC42" i="32" s="1"/>
  <c r="CD42" i="32" s="1"/>
  <c r="CE42" i="32" s="1"/>
  <c r="BQ42" i="32" s="1"/>
  <c r="E41" i="32"/>
  <c r="BP26" i="32"/>
  <c r="CC26" i="32" s="1"/>
  <c r="CD26" i="32" s="1"/>
  <c r="CE26" i="32" s="1"/>
  <c r="BQ26" i="32" s="1"/>
  <c r="E25" i="32"/>
  <c r="T505" i="45"/>
  <c r="X505" i="45" s="1"/>
  <c r="U505" i="45" s="1"/>
  <c r="T489" i="45"/>
  <c r="X489" i="45" s="1"/>
  <c r="U489" i="45" s="1"/>
  <c r="T473" i="45"/>
  <c r="X473" i="45" s="1"/>
  <c r="U473" i="45" s="1"/>
  <c r="Y473" i="45" s="1"/>
  <c r="T457" i="45"/>
  <c r="X457" i="45" s="1"/>
  <c r="U457" i="45" s="1"/>
  <c r="Y457" i="45" s="1"/>
  <c r="T445" i="45"/>
  <c r="X445" i="45" s="1"/>
  <c r="U445" i="45" s="1"/>
  <c r="T437" i="45"/>
  <c r="X437" i="45" s="1"/>
  <c r="U437" i="45" s="1"/>
  <c r="Y437" i="45" s="1"/>
  <c r="T429" i="45"/>
  <c r="X429" i="45" s="1"/>
  <c r="U429" i="45" s="1"/>
  <c r="Y429" i="45" s="1"/>
  <c r="T421" i="45"/>
  <c r="X421" i="45" s="1"/>
  <c r="U421" i="45" s="1"/>
  <c r="Y421" i="45" s="1"/>
  <c r="T413" i="45"/>
  <c r="X413" i="45" s="1"/>
  <c r="U413" i="45" s="1"/>
  <c r="T405" i="45"/>
  <c r="X405" i="45" s="1"/>
  <c r="U405" i="45" s="1"/>
  <c r="Y405" i="45" s="1"/>
  <c r="T397" i="45"/>
  <c r="X397" i="45" s="1"/>
  <c r="U397" i="45" s="1"/>
  <c r="Y397" i="45" s="1"/>
  <c r="T389" i="45"/>
  <c r="X389" i="45" s="1"/>
  <c r="U389" i="45" s="1"/>
  <c r="Y389" i="45" s="1"/>
  <c r="T381" i="45"/>
  <c r="X381" i="45" s="1"/>
  <c r="U381" i="45" s="1"/>
  <c r="Y381" i="45" s="1"/>
  <c r="T373" i="45"/>
  <c r="X373" i="45" s="1"/>
  <c r="U373" i="45" s="1"/>
  <c r="Y373" i="45" s="1"/>
  <c r="T365" i="45"/>
  <c r="X365" i="45" s="1"/>
  <c r="U365" i="45" s="1"/>
  <c r="Y365" i="45" s="1"/>
  <c r="T357" i="45"/>
  <c r="X357" i="45" s="1"/>
  <c r="U357" i="45" s="1"/>
  <c r="Y357" i="45" s="1"/>
  <c r="T349" i="45"/>
  <c r="X349" i="45" s="1"/>
  <c r="U349" i="45" s="1"/>
  <c r="Y349" i="45" s="1"/>
  <c r="T341" i="45"/>
  <c r="X341" i="45" s="1"/>
  <c r="U341" i="45" s="1"/>
  <c r="T333" i="45"/>
  <c r="X333" i="45" s="1"/>
  <c r="U333" i="45" s="1"/>
  <c r="T321" i="45"/>
  <c r="X321" i="45" s="1"/>
  <c r="U321" i="45" s="1"/>
  <c r="Y321" i="45" s="1"/>
  <c r="Y459" i="31"/>
  <c r="Y443" i="31"/>
  <c r="Y207" i="31"/>
  <c r="AA273" i="40"/>
  <c r="AE273" i="40" s="1"/>
  <c r="AB273" i="40" s="1"/>
  <c r="AF273" i="40" s="1"/>
  <c r="D185" i="32"/>
  <c r="BH186" i="32"/>
  <c r="BZ186" i="32" s="1"/>
  <c r="CA186" i="32" s="1"/>
  <c r="CB186" i="32" s="1"/>
  <c r="BI186" i="32" s="1"/>
  <c r="D169" i="32"/>
  <c r="BH170" i="32"/>
  <c r="BZ170" i="32" s="1"/>
  <c r="CA170" i="32" s="1"/>
  <c r="CB170" i="32" s="1"/>
  <c r="BI170" i="32" s="1"/>
  <c r="T221" i="45"/>
  <c r="X221" i="45" s="1"/>
  <c r="U221" i="45" s="1"/>
  <c r="Y221" i="45" s="1"/>
  <c r="Y127" i="31"/>
  <c r="T133" i="45"/>
  <c r="X133" i="45" s="1"/>
  <c r="U133" i="45" s="1"/>
  <c r="D49" i="32"/>
  <c r="BH50" i="32"/>
  <c r="BZ50" i="32" s="1"/>
  <c r="CA50" i="32" s="1"/>
  <c r="CB50" i="32" s="1"/>
  <c r="BI50" i="32" s="1"/>
  <c r="AA89" i="40"/>
  <c r="AE89" i="40" s="1"/>
  <c r="AB89" i="40" s="1"/>
  <c r="AF89" i="40" s="1"/>
  <c r="Y842" i="31"/>
  <c r="AC358" i="40"/>
  <c r="Z313" i="40"/>
  <c r="AC313" i="40" s="1"/>
  <c r="AF313" i="40" s="1"/>
  <c r="Z297" i="40"/>
  <c r="AC297" i="40" s="1"/>
  <c r="Z281" i="40"/>
  <c r="AC281" i="40" s="1"/>
  <c r="AC265" i="40"/>
  <c r="BP178" i="32"/>
  <c r="CC178" i="32" s="1"/>
  <c r="CD178" i="32" s="1"/>
  <c r="CE178" i="32" s="1"/>
  <c r="BQ178" i="32" s="1"/>
  <c r="E177" i="32"/>
  <c r="T491" i="45"/>
  <c r="X491" i="45" s="1"/>
  <c r="U491" i="45" s="1"/>
  <c r="Y491" i="45" s="1"/>
  <c r="AA479" i="40"/>
  <c r="AE479" i="40" s="1"/>
  <c r="AB479" i="40" s="1"/>
  <c r="AF479" i="40" s="1"/>
  <c r="Y601" i="31"/>
  <c r="D375" i="32"/>
  <c r="BH376" i="32"/>
  <c r="BZ376" i="32" s="1"/>
  <c r="CA376" i="32" s="1"/>
  <c r="CB376" i="32" s="1"/>
  <c r="BI376" i="32" s="1"/>
  <c r="Y443" i="45"/>
  <c r="AA431" i="40"/>
  <c r="AE431" i="40" s="1"/>
  <c r="AB431" i="40" s="1"/>
  <c r="AF431" i="40" s="1"/>
  <c r="AA383" i="40"/>
  <c r="AE383" i="40" s="1"/>
  <c r="AB383" i="40" s="1"/>
  <c r="AF383" i="40" s="1"/>
  <c r="AA367" i="40"/>
  <c r="AE367" i="40" s="1"/>
  <c r="AB367" i="40" s="1"/>
  <c r="AF367" i="40" s="1"/>
  <c r="Y343" i="45"/>
  <c r="D247" i="32"/>
  <c r="BH248" i="32"/>
  <c r="BZ248" i="32" s="1"/>
  <c r="CA248" i="32" s="1"/>
  <c r="CB248" i="32" s="1"/>
  <c r="BI248" i="32" s="1"/>
  <c r="Y315" i="45"/>
  <c r="AA287" i="40"/>
  <c r="AE287" i="40" s="1"/>
  <c r="AB287" i="40" s="1"/>
  <c r="Y279" i="45"/>
  <c r="D183" i="32"/>
  <c r="BH184" i="32"/>
  <c r="BZ184" i="32" s="1"/>
  <c r="CA184" i="32" s="1"/>
  <c r="CB184" i="32" s="1"/>
  <c r="BI184" i="32" s="1"/>
  <c r="AA223" i="40"/>
  <c r="AE223" i="40" s="1"/>
  <c r="AB223" i="40" s="1"/>
  <c r="AF223" i="40" s="1"/>
  <c r="Y215" i="45"/>
  <c r="D135" i="32"/>
  <c r="BH136" i="32"/>
  <c r="BZ136" i="32" s="1"/>
  <c r="CA136" i="32" s="1"/>
  <c r="CB136" i="32" s="1"/>
  <c r="BI136" i="32" s="1"/>
  <c r="Y121" i="31"/>
  <c r="D103" i="32"/>
  <c r="BH104" i="32"/>
  <c r="BZ104" i="32" s="1"/>
  <c r="CA104" i="32" s="1"/>
  <c r="CB104" i="32" s="1"/>
  <c r="BI104" i="32" s="1"/>
  <c r="D23" i="32"/>
  <c r="BH24" i="32"/>
  <c r="BZ24" i="32" s="1"/>
  <c r="CA24" i="32" s="1"/>
  <c r="CB24" i="32" s="1"/>
  <c r="BI24" i="32" s="1"/>
  <c r="Y79" i="40"/>
  <c r="AA79" i="40" s="1"/>
  <c r="AE79" i="40" s="1"/>
  <c r="AB79" i="40" s="1"/>
  <c r="E430" i="32"/>
  <c r="BP431" i="32"/>
  <c r="CC431" i="32" s="1"/>
  <c r="CD431" i="32" s="1"/>
  <c r="CE431" i="32" s="1"/>
  <c r="BQ431" i="32" s="1"/>
  <c r="E414" i="32"/>
  <c r="BP415" i="32"/>
  <c r="CC415" i="32" s="1"/>
  <c r="CD415" i="32" s="1"/>
  <c r="CE415" i="32" s="1"/>
  <c r="BQ415" i="32" s="1"/>
  <c r="AC469" i="40"/>
  <c r="AF469" i="40" s="1"/>
  <c r="Y827" i="31"/>
  <c r="AC437" i="40"/>
  <c r="AF437" i="40" s="1"/>
  <c r="AC389" i="40"/>
  <c r="AF389" i="40" s="1"/>
  <c r="V380" i="45"/>
  <c r="AC372" i="40"/>
  <c r="BP285" i="32"/>
  <c r="CC285" i="32" s="1"/>
  <c r="CD285" i="32" s="1"/>
  <c r="CE285" i="32" s="1"/>
  <c r="BQ285" i="32" s="1"/>
  <c r="E284" i="32"/>
  <c r="AC339" i="40"/>
  <c r="V287" i="45"/>
  <c r="Y287" i="45" s="1"/>
  <c r="BP204" i="32"/>
  <c r="CC204" i="32" s="1"/>
  <c r="CD204" i="32" s="1"/>
  <c r="CE204" i="32" s="1"/>
  <c r="BQ204" i="32" s="1"/>
  <c r="E203" i="32"/>
  <c r="V251" i="45"/>
  <c r="Y251" i="45" s="1"/>
  <c r="V239" i="45"/>
  <c r="AC227" i="40"/>
  <c r="V207" i="45"/>
  <c r="Y207" i="45" s="1"/>
  <c r="Y268" i="31"/>
  <c r="E423" i="32"/>
  <c r="D230" i="32"/>
  <c r="E202" i="32"/>
  <c r="D109" i="32"/>
  <c r="D437" i="32"/>
  <c r="D421" i="32"/>
  <c r="D405" i="32"/>
  <c r="D389" i="32"/>
  <c r="D373" i="32"/>
  <c r="D357" i="32"/>
  <c r="D341" i="32"/>
  <c r="D325" i="32"/>
  <c r="D309" i="32"/>
  <c r="D293" i="32"/>
  <c r="D277" i="32"/>
  <c r="D261" i="32"/>
  <c r="E367" i="32"/>
  <c r="BH435" i="32"/>
  <c r="BZ435" i="32" s="1"/>
  <c r="CA435" i="32" s="1"/>
  <c r="CB435" i="32" s="1"/>
  <c r="BI435" i="32" s="1"/>
  <c r="D434" i="32"/>
  <c r="T470" i="45"/>
  <c r="X470" i="45" s="1"/>
  <c r="U470" i="45" s="1"/>
  <c r="Y470" i="45" s="1"/>
  <c r="BH387" i="32"/>
  <c r="BZ387" i="32" s="1"/>
  <c r="CA387" i="32" s="1"/>
  <c r="CB387" i="32" s="1"/>
  <c r="BI387" i="32" s="1"/>
  <c r="D386" i="32"/>
  <c r="AA442" i="40"/>
  <c r="AE442" i="40" s="1"/>
  <c r="AB442" i="40" s="1"/>
  <c r="AF442" i="40" s="1"/>
  <c r="Y580" i="31"/>
  <c r="BH355" i="32"/>
  <c r="BZ355" i="32" s="1"/>
  <c r="CA355" i="32" s="1"/>
  <c r="CB355" i="32" s="1"/>
  <c r="BI355" i="32" s="1"/>
  <c r="D354" i="32"/>
  <c r="AA410" i="40"/>
  <c r="AE410" i="40" s="1"/>
  <c r="AB410" i="40" s="1"/>
  <c r="AF410" i="40" s="1"/>
  <c r="Y548" i="31"/>
  <c r="BH307" i="32"/>
  <c r="BZ307" i="32" s="1"/>
  <c r="CA307" i="32" s="1"/>
  <c r="CB307" i="32" s="1"/>
  <c r="BI307" i="32" s="1"/>
  <c r="D306" i="32"/>
  <c r="Y374" i="45"/>
  <c r="AA362" i="40"/>
  <c r="AE362" i="40" s="1"/>
  <c r="AB362" i="40" s="1"/>
  <c r="Y500" i="31"/>
  <c r="Y484" i="31"/>
  <c r="AA330" i="40"/>
  <c r="AE330" i="40" s="1"/>
  <c r="AB330" i="40" s="1"/>
  <c r="Y468" i="31"/>
  <c r="BH235" i="32"/>
  <c r="BZ235" i="32" s="1"/>
  <c r="CA235" i="32" s="1"/>
  <c r="CB235" i="32" s="1"/>
  <c r="BI235" i="32" s="1"/>
  <c r="D234" i="32"/>
  <c r="Y302" i="45"/>
  <c r="Y172" i="31"/>
  <c r="AA242" i="40"/>
  <c r="AE242" i="40" s="1"/>
  <c r="AB242" i="40" s="1"/>
  <c r="Y160" i="31"/>
  <c r="Y190" i="40"/>
  <c r="AA190" i="40" s="1"/>
  <c r="AE190" i="40" s="1"/>
  <c r="AB190" i="40" s="1"/>
  <c r="Y108" i="31"/>
  <c r="BH103" i="32"/>
  <c r="BZ103" i="32" s="1"/>
  <c r="CA103" i="32" s="1"/>
  <c r="CB103" i="32" s="1"/>
  <c r="BI103" i="32" s="1"/>
  <c r="D102" i="32"/>
  <c r="Y96" i="31"/>
  <c r="Y158" i="40"/>
  <c r="AA158" i="40" s="1"/>
  <c r="AE158" i="40" s="1"/>
  <c r="AB158" i="40" s="1"/>
  <c r="AF158" i="40" s="1"/>
  <c r="BH55" i="32"/>
  <c r="BZ55" i="32" s="1"/>
  <c r="CA55" i="32" s="1"/>
  <c r="CB55" i="32" s="1"/>
  <c r="BI55" i="32" s="1"/>
  <c r="D54" i="32"/>
  <c r="BH23" i="32"/>
  <c r="BZ23" i="32" s="1"/>
  <c r="CA23" i="32" s="1"/>
  <c r="CB23" i="32" s="1"/>
  <c r="BI23" i="32" s="1"/>
  <c r="D22" i="32"/>
  <c r="BH7" i="32"/>
  <c r="BZ7" i="32" s="1"/>
  <c r="CA7" i="32" s="1"/>
  <c r="CB7" i="32" s="1"/>
  <c r="BI7" i="32" s="1"/>
  <c r="D6" i="32"/>
  <c r="E388" i="32"/>
  <c r="BP389" i="32"/>
  <c r="CC389" i="32" s="1"/>
  <c r="CD389" i="32" s="1"/>
  <c r="CE389" i="32" s="1"/>
  <c r="BQ389" i="32" s="1"/>
  <c r="Y802" i="31"/>
  <c r="AC428" i="40"/>
  <c r="V408" i="45"/>
  <c r="AC396" i="40"/>
  <c r="V379" i="45"/>
  <c r="AC342" i="40"/>
  <c r="AC302" i="40"/>
  <c r="AF302" i="40" s="1"/>
  <c r="E166" i="32"/>
  <c r="BP167" i="32"/>
  <c r="CC167" i="32" s="1"/>
  <c r="CD167" i="32" s="1"/>
  <c r="CE167" i="32" s="1"/>
  <c r="BQ167" i="32" s="1"/>
  <c r="Y360" i="31"/>
  <c r="E134" i="32"/>
  <c r="BP135" i="32"/>
  <c r="CC135" i="32" s="1"/>
  <c r="CD135" i="32" s="1"/>
  <c r="CE135" i="32" s="1"/>
  <c r="BQ135" i="32" s="1"/>
  <c r="E130" i="32"/>
  <c r="BP131" i="32"/>
  <c r="CC131" i="32" s="1"/>
  <c r="CD131" i="32" s="1"/>
  <c r="CE131" i="32" s="1"/>
  <c r="BQ131" i="32" s="1"/>
  <c r="E114" i="32"/>
  <c r="BP115" i="32"/>
  <c r="CC115" i="32" s="1"/>
  <c r="CD115" i="32" s="1"/>
  <c r="CE115" i="32" s="1"/>
  <c r="BQ115" i="32" s="1"/>
  <c r="Z174" i="40"/>
  <c r="AC174" i="40" s="1"/>
  <c r="Y295" i="31"/>
  <c r="BP54" i="32"/>
  <c r="CC54" i="32" s="1"/>
  <c r="CD54" i="32" s="1"/>
  <c r="CE54" i="32" s="1"/>
  <c r="BQ54" i="32" s="1"/>
  <c r="E53" i="32"/>
  <c r="AC109" i="40"/>
  <c r="AF109" i="40" s="1"/>
  <c r="BP22" i="32"/>
  <c r="CC22" i="32" s="1"/>
  <c r="CD22" i="32" s="1"/>
  <c r="CE22" i="32" s="1"/>
  <c r="BQ22" i="32" s="1"/>
  <c r="E21" i="32"/>
  <c r="E446" i="32"/>
  <c r="E450" i="32"/>
  <c r="E454" i="32"/>
  <c r="E458" i="32"/>
  <c r="E462" i="32"/>
  <c r="E466" i="32"/>
  <c r="E470" i="32"/>
  <c r="E474" i="32"/>
  <c r="E478" i="32"/>
  <c r="E482" i="32"/>
  <c r="E486" i="32"/>
  <c r="E490" i="32"/>
  <c r="E494" i="32"/>
  <c r="E498" i="32"/>
  <c r="E502" i="32"/>
  <c r="E506" i="32"/>
  <c r="E510" i="32"/>
  <c r="E514" i="32"/>
  <c r="E518" i="32"/>
  <c r="E522" i="32"/>
  <c r="E526" i="32"/>
  <c r="E530" i="32"/>
  <c r="E534" i="32"/>
  <c r="E538" i="32"/>
  <c r="E542" i="32"/>
  <c r="E546" i="32"/>
  <c r="E550" i="32"/>
  <c r="E554" i="32"/>
  <c r="E558" i="32"/>
  <c r="E562" i="32"/>
  <c r="E566" i="32"/>
  <c r="E570" i="32"/>
  <c r="E574" i="32"/>
  <c r="E578" i="32"/>
  <c r="E582" i="32"/>
  <c r="E586" i="32"/>
  <c r="E590" i="32"/>
  <c r="E594" i="32"/>
  <c r="E598" i="32"/>
  <c r="E602" i="32"/>
  <c r="E606" i="32"/>
  <c r="E610" i="32"/>
  <c r="E614" i="32"/>
  <c r="E618" i="32"/>
  <c r="E622" i="32"/>
  <c r="E626" i="32"/>
  <c r="E630" i="32"/>
  <c r="E634" i="32"/>
  <c r="E638" i="32"/>
  <c r="E642" i="32"/>
  <c r="E646" i="32"/>
  <c r="E650" i="32"/>
  <c r="E654" i="32"/>
  <c r="E658" i="32"/>
  <c r="E662" i="32"/>
  <c r="BP5" i="32"/>
  <c r="CC5" i="32" s="1"/>
  <c r="CD5" i="32" s="1"/>
  <c r="CE5" i="32" s="1"/>
  <c r="BQ5" i="32" s="1"/>
  <c r="E447" i="32"/>
  <c r="E451" i="32"/>
  <c r="E455" i="32"/>
  <c r="E459" i="32"/>
  <c r="E463" i="32"/>
  <c r="E467" i="32"/>
  <c r="E471" i="32"/>
  <c r="E475" i="32"/>
  <c r="E479" i="32"/>
  <c r="E483" i="32"/>
  <c r="E487" i="32"/>
  <c r="E491" i="32"/>
  <c r="E495" i="32"/>
  <c r="E499" i="32"/>
  <c r="E503" i="32"/>
  <c r="E507" i="32"/>
  <c r="E511" i="32"/>
  <c r="E515" i="32"/>
  <c r="E519" i="32"/>
  <c r="E523" i="32"/>
  <c r="E527" i="32"/>
  <c r="E531" i="32"/>
  <c r="E535" i="32"/>
  <c r="E539" i="32"/>
  <c r="E543" i="32"/>
  <c r="E547" i="32"/>
  <c r="E551" i="32"/>
  <c r="E555" i="32"/>
  <c r="E559" i="32"/>
  <c r="E563" i="32"/>
  <c r="E567" i="32"/>
  <c r="E571" i="32"/>
  <c r="E575" i="32"/>
  <c r="E579" i="32"/>
  <c r="E583" i="32"/>
  <c r="E587" i="32"/>
  <c r="E591" i="32"/>
  <c r="E595" i="32"/>
  <c r="E599" i="32"/>
  <c r="E603" i="32"/>
  <c r="E607" i="32"/>
  <c r="E611" i="32"/>
  <c r="E615" i="32"/>
  <c r="E619" i="32"/>
  <c r="E623" i="32"/>
  <c r="E627" i="32"/>
  <c r="E631" i="32"/>
  <c r="E635" i="32"/>
  <c r="E639" i="32"/>
  <c r="E643" i="32"/>
  <c r="E647" i="32"/>
  <c r="E651" i="32"/>
  <c r="E655" i="32"/>
  <c r="E659" i="32"/>
  <c r="E4" i="32"/>
  <c r="E444" i="32"/>
  <c r="E448" i="32"/>
  <c r="E452" i="32"/>
  <c r="E456" i="32"/>
  <c r="E460" i="32"/>
  <c r="E464" i="32"/>
  <c r="E468" i="32"/>
  <c r="E472" i="32"/>
  <c r="E476" i="32"/>
  <c r="E480" i="32"/>
  <c r="E484" i="32"/>
  <c r="E488" i="32"/>
  <c r="E492" i="32"/>
  <c r="E496" i="32"/>
  <c r="E500" i="32"/>
  <c r="E504" i="32"/>
  <c r="E508" i="32"/>
  <c r="E512" i="32"/>
  <c r="E516" i="32"/>
  <c r="E520" i="32"/>
  <c r="E524" i="32"/>
  <c r="E528" i="32"/>
  <c r="E532" i="32"/>
  <c r="E536" i="32"/>
  <c r="E540" i="32"/>
  <c r="E544" i="32"/>
  <c r="E548" i="32"/>
  <c r="E552" i="32"/>
  <c r="E556" i="32"/>
  <c r="E560" i="32"/>
  <c r="E564" i="32"/>
  <c r="E568" i="32"/>
  <c r="E572" i="32"/>
  <c r="E576" i="32"/>
  <c r="E580" i="32"/>
  <c r="E584" i="32"/>
  <c r="E588" i="32"/>
  <c r="E592" i="32"/>
  <c r="E596" i="32"/>
  <c r="E600" i="32"/>
  <c r="E604" i="32"/>
  <c r="E608" i="32"/>
  <c r="E612" i="32"/>
  <c r="E616" i="32"/>
  <c r="E620" i="32"/>
  <c r="E624" i="32"/>
  <c r="E628" i="32"/>
  <c r="E632" i="32"/>
  <c r="E636" i="32"/>
  <c r="E640" i="32"/>
  <c r="E644" i="32"/>
  <c r="E648" i="32"/>
  <c r="E652" i="32"/>
  <c r="E656" i="32"/>
  <c r="E660" i="32"/>
  <c r="E457" i="32"/>
  <c r="E473" i="32"/>
  <c r="E489" i="32"/>
  <c r="E505" i="32"/>
  <c r="E521" i="32"/>
  <c r="E537" i="32"/>
  <c r="E553" i="32"/>
  <c r="E569" i="32"/>
  <c r="E585" i="32"/>
  <c r="E601" i="32"/>
  <c r="E617" i="32"/>
  <c r="E633" i="32"/>
  <c r="E649" i="32"/>
  <c r="E445" i="32"/>
  <c r="E461" i="32"/>
  <c r="E477" i="32"/>
  <c r="E493" i="32"/>
  <c r="E509" i="32"/>
  <c r="E525" i="32"/>
  <c r="E541" i="32"/>
  <c r="E557" i="32"/>
  <c r="E573" i="32"/>
  <c r="E589" i="32"/>
  <c r="E605" i="32"/>
  <c r="E621" i="32"/>
  <c r="E637" i="32"/>
  <c r="E653" i="32"/>
  <c r="E449" i="32"/>
  <c r="E465" i="32"/>
  <c r="E481" i="32"/>
  <c r="E497" i="32"/>
  <c r="E513" i="32"/>
  <c r="E529" i="32"/>
  <c r="E545" i="32"/>
  <c r="E561" i="32"/>
  <c r="E577" i="32"/>
  <c r="E593" i="32"/>
  <c r="E609" i="32"/>
  <c r="E625" i="32"/>
  <c r="E641" i="32"/>
  <c r="E657" i="32"/>
  <c r="E453" i="32"/>
  <c r="E517" i="32"/>
  <c r="E581" i="32"/>
  <c r="E645" i="32"/>
  <c r="E469" i="32"/>
  <c r="E533" i="32"/>
  <c r="E597" i="32"/>
  <c r="E661" i="32"/>
  <c r="E485" i="32"/>
  <c r="E549" i="32"/>
  <c r="E613" i="32"/>
  <c r="E501" i="32"/>
  <c r="E565" i="32"/>
  <c r="E629" i="32"/>
  <c r="E327" i="32"/>
  <c r="E391" i="32"/>
  <c r="E343" i="32"/>
  <c r="E351" i="32"/>
  <c r="E383" i="32"/>
  <c r="E375" i="32"/>
  <c r="E359" i="32"/>
  <c r="E311" i="32"/>
  <c r="E295" i="32"/>
  <c r="E319" i="32"/>
  <c r="E287" i="32"/>
  <c r="BP414" i="32"/>
  <c r="CC414" i="32" s="1"/>
  <c r="CD414" i="32" s="1"/>
  <c r="CE414" i="32" s="1"/>
  <c r="BQ414" i="32" s="1"/>
  <c r="E413" i="32"/>
  <c r="T297" i="45"/>
  <c r="X297" i="45" s="1"/>
  <c r="U297" i="45" s="1"/>
  <c r="Y297" i="45" s="1"/>
  <c r="T281" i="45"/>
  <c r="X281" i="45" s="1"/>
  <c r="U281" i="45" s="1"/>
  <c r="Y281" i="45" s="1"/>
  <c r="T265" i="45"/>
  <c r="X265" i="45" s="1"/>
  <c r="U265" i="45" s="1"/>
  <c r="T249" i="45"/>
  <c r="X249" i="45" s="1"/>
  <c r="U249" i="45" s="1"/>
  <c r="D165" i="32"/>
  <c r="BH166" i="32"/>
  <c r="BZ166" i="32" s="1"/>
  <c r="CA166" i="32" s="1"/>
  <c r="CB166" i="32" s="1"/>
  <c r="BI166" i="32" s="1"/>
  <c r="AA221" i="40"/>
  <c r="AE221" i="40" s="1"/>
  <c r="AB221" i="40" s="1"/>
  <c r="AF221" i="40" s="1"/>
  <c r="D133" i="32"/>
  <c r="BH134" i="32"/>
  <c r="BZ134" i="32" s="1"/>
  <c r="CA134" i="32" s="1"/>
  <c r="CB134" i="32" s="1"/>
  <c r="BI134" i="32" s="1"/>
  <c r="Y189" i="40"/>
  <c r="AA189" i="40" s="1"/>
  <c r="AE189" i="40" s="1"/>
  <c r="AB189" i="40" s="1"/>
  <c r="T149" i="45"/>
  <c r="X149" i="45" s="1"/>
  <c r="U149" i="45" s="1"/>
  <c r="Y67" i="31"/>
  <c r="T129" i="45"/>
  <c r="X129" i="45" s="1"/>
  <c r="U129" i="45" s="1"/>
  <c r="Y129" i="45" s="1"/>
  <c r="D45" i="32"/>
  <c r="BH46" i="32"/>
  <c r="BZ46" i="32" s="1"/>
  <c r="CA46" i="32" s="1"/>
  <c r="CB46" i="32" s="1"/>
  <c r="BI46" i="32" s="1"/>
  <c r="Y19" i="31"/>
  <c r="Y866" i="31"/>
  <c r="E420" i="32"/>
  <c r="BP421" i="32"/>
  <c r="CC421" i="32" s="1"/>
  <c r="CD421" i="32" s="1"/>
  <c r="CE421" i="32" s="1"/>
  <c r="BQ421" i="32" s="1"/>
  <c r="AC476" i="40"/>
  <c r="Y744" i="31"/>
  <c r="E282" i="32"/>
  <c r="BP283" i="32"/>
  <c r="CC283" i="32" s="1"/>
  <c r="CD283" i="32" s="1"/>
  <c r="CE283" i="32" s="1"/>
  <c r="BQ283" i="32" s="1"/>
  <c r="BP222" i="32"/>
  <c r="CC222" i="32" s="1"/>
  <c r="CD222" i="32" s="1"/>
  <c r="CE222" i="32" s="1"/>
  <c r="BQ222" i="32" s="1"/>
  <c r="E221" i="32"/>
  <c r="AC245" i="40"/>
  <c r="AC229" i="40"/>
  <c r="AC213" i="40"/>
  <c r="BP110" i="32"/>
  <c r="CC110" i="32" s="1"/>
  <c r="CD110" i="32" s="1"/>
  <c r="CE110" i="32" s="1"/>
  <c r="BQ110" i="32" s="1"/>
  <c r="E109" i="32"/>
  <c r="BP94" i="32"/>
  <c r="CC94" i="32" s="1"/>
  <c r="CD94" i="32" s="1"/>
  <c r="CE94" i="32" s="1"/>
  <c r="BQ94" i="32" s="1"/>
  <c r="E93" i="32"/>
  <c r="BP89" i="32"/>
  <c r="CC89" i="32" s="1"/>
  <c r="CD89" i="32" s="1"/>
  <c r="CE89" i="32" s="1"/>
  <c r="BQ89" i="32" s="1"/>
  <c r="E88" i="32"/>
  <c r="BP77" i="32"/>
  <c r="CC77" i="32" s="1"/>
  <c r="CD77" i="32" s="1"/>
  <c r="CE77" i="32" s="1"/>
  <c r="BQ77" i="32" s="1"/>
  <c r="E76" i="32"/>
  <c r="V144" i="45"/>
  <c r="BP61" i="32"/>
  <c r="CC61" i="32" s="1"/>
  <c r="CD61" i="32" s="1"/>
  <c r="CE61" i="32" s="1"/>
  <c r="BQ61" i="32" s="1"/>
  <c r="E60" i="32"/>
  <c r="BP45" i="32"/>
  <c r="CC45" i="32" s="1"/>
  <c r="CD45" i="32" s="1"/>
  <c r="CE45" i="32" s="1"/>
  <c r="BQ45" i="32" s="1"/>
  <c r="E44" i="32"/>
  <c r="BP13" i="32"/>
  <c r="CC13" i="32" s="1"/>
  <c r="CD13" i="32" s="1"/>
  <c r="CE13" i="32" s="1"/>
  <c r="BQ13" i="32" s="1"/>
  <c r="E12" i="32"/>
  <c r="AC467" i="40"/>
  <c r="AC435" i="40"/>
  <c r="AC403" i="40"/>
  <c r="AC371" i="40"/>
  <c r="AC290" i="40"/>
  <c r="BH433" i="32"/>
  <c r="BZ433" i="32" s="1"/>
  <c r="CA433" i="32" s="1"/>
  <c r="CB433" i="32" s="1"/>
  <c r="BI433" i="32" s="1"/>
  <c r="D432" i="32"/>
  <c r="BH401" i="32"/>
  <c r="BZ401" i="32" s="1"/>
  <c r="CA401" i="32" s="1"/>
  <c r="CB401" i="32" s="1"/>
  <c r="BI401" i="32" s="1"/>
  <c r="D400" i="32"/>
  <c r="Y468" i="45"/>
  <c r="AA440" i="40"/>
  <c r="AE440" i="40" s="1"/>
  <c r="AB440" i="40" s="1"/>
  <c r="BH353" i="32"/>
  <c r="BZ353" i="32" s="1"/>
  <c r="CA353" i="32" s="1"/>
  <c r="CB353" i="32" s="1"/>
  <c r="BI353" i="32" s="1"/>
  <c r="D352" i="32"/>
  <c r="AA392" i="40"/>
  <c r="AE392" i="40" s="1"/>
  <c r="AB392" i="40" s="1"/>
  <c r="AF392" i="40" s="1"/>
  <c r="T372" i="45"/>
  <c r="X372" i="45" s="1"/>
  <c r="U372" i="45" s="1"/>
  <c r="Y372" i="45" s="1"/>
  <c r="BH289" i="32"/>
  <c r="BZ289" i="32" s="1"/>
  <c r="CA289" i="32" s="1"/>
  <c r="CB289" i="32" s="1"/>
  <c r="BI289" i="32" s="1"/>
  <c r="D288" i="32"/>
  <c r="T324" i="45"/>
  <c r="X324" i="45" s="1"/>
  <c r="U324" i="45" s="1"/>
  <c r="Y324" i="45" s="1"/>
  <c r="BH241" i="32"/>
  <c r="BZ241" i="32" s="1"/>
  <c r="CA241" i="32" s="1"/>
  <c r="CB241" i="32" s="1"/>
  <c r="BI241" i="32" s="1"/>
  <c r="D240" i="32"/>
  <c r="AA296" i="40"/>
  <c r="AE296" i="40" s="1"/>
  <c r="AB296" i="40" s="1"/>
  <c r="T256" i="45"/>
  <c r="X256" i="45" s="1"/>
  <c r="U256" i="45" s="1"/>
  <c r="T248" i="45"/>
  <c r="X248" i="45" s="1"/>
  <c r="U248" i="45" s="1"/>
  <c r="AA228" i="40"/>
  <c r="AE228" i="40" s="1"/>
  <c r="AB228" i="40" s="1"/>
  <c r="T220" i="45"/>
  <c r="X220" i="45" s="1"/>
  <c r="U220" i="45" s="1"/>
  <c r="Y168" i="40"/>
  <c r="AA168" i="40" s="1"/>
  <c r="AE168" i="40" s="1"/>
  <c r="AB168" i="40" s="1"/>
  <c r="T148" i="45"/>
  <c r="X148" i="45" s="1"/>
  <c r="U148" i="45" s="1"/>
  <c r="BH65" i="32"/>
  <c r="BZ65" i="32" s="1"/>
  <c r="CA65" i="32" s="1"/>
  <c r="CB65" i="32" s="1"/>
  <c r="BI65" i="32" s="1"/>
  <c r="D64" i="32"/>
  <c r="T116" i="45"/>
  <c r="X116" i="45" s="1"/>
  <c r="U116" i="45" s="1"/>
  <c r="Y116" i="45" s="1"/>
  <c r="BH33" i="32"/>
  <c r="BZ33" i="32" s="1"/>
  <c r="CA33" i="32" s="1"/>
  <c r="CB33" i="32" s="1"/>
  <c r="BI33" i="32" s="1"/>
  <c r="D32" i="32"/>
  <c r="T84" i="45"/>
  <c r="X84" i="45" s="1"/>
  <c r="U84" i="45" s="1"/>
  <c r="AC470" i="40"/>
  <c r="E366" i="32"/>
  <c r="BP367" i="32"/>
  <c r="CC367" i="32" s="1"/>
  <c r="CD367" i="32" s="1"/>
  <c r="CE367" i="32" s="1"/>
  <c r="BQ367" i="32" s="1"/>
  <c r="AC406" i="40"/>
  <c r="BP249" i="32"/>
  <c r="CC249" i="32" s="1"/>
  <c r="CD249" i="32" s="1"/>
  <c r="CE249" i="32" s="1"/>
  <c r="BQ249" i="32" s="1"/>
  <c r="E248" i="32"/>
  <c r="BP233" i="32"/>
  <c r="CC233" i="32" s="1"/>
  <c r="CD233" i="32" s="1"/>
  <c r="CE233" i="32" s="1"/>
  <c r="BQ233" i="32" s="1"/>
  <c r="E232" i="32"/>
  <c r="V300" i="45"/>
  <c r="AC272" i="40"/>
  <c r="AF272" i="40" s="1"/>
  <c r="AC244" i="40"/>
  <c r="BP88" i="32"/>
  <c r="CC88" i="32" s="1"/>
  <c r="CD88" i="32" s="1"/>
  <c r="CE88" i="32" s="1"/>
  <c r="BQ88" i="32" s="1"/>
  <c r="E87" i="32"/>
  <c r="BP20" i="32"/>
  <c r="CC20" i="32" s="1"/>
  <c r="CD20" i="32" s="1"/>
  <c r="CE20" i="32" s="1"/>
  <c r="BQ20" i="32" s="1"/>
  <c r="E19" i="32"/>
  <c r="BP41" i="32"/>
  <c r="CC41" i="32" s="1"/>
  <c r="CD41" i="32" s="1"/>
  <c r="CE41" i="32" s="1"/>
  <c r="BQ41" i="32" s="1"/>
  <c r="E40" i="32"/>
  <c r="BH413" i="32"/>
  <c r="BZ413" i="32" s="1"/>
  <c r="CA413" i="32" s="1"/>
  <c r="CB413" i="32" s="1"/>
  <c r="BI413" i="32" s="1"/>
  <c r="D412" i="32"/>
  <c r="Y480" i="45"/>
  <c r="BH381" i="32"/>
  <c r="BZ381" i="32" s="1"/>
  <c r="CA381" i="32" s="1"/>
  <c r="CB381" i="32" s="1"/>
  <c r="BI381" i="32" s="1"/>
  <c r="D380" i="32"/>
  <c r="Y428" i="45"/>
  <c r="AF420" i="40"/>
  <c r="BH333" i="32"/>
  <c r="BZ333" i="32" s="1"/>
  <c r="CA333" i="32" s="1"/>
  <c r="CB333" i="32" s="1"/>
  <c r="BI333" i="32" s="1"/>
  <c r="D332" i="32"/>
  <c r="AF388" i="40"/>
  <c r="Y510" i="31"/>
  <c r="BH269" i="32"/>
  <c r="BZ269" i="32" s="1"/>
  <c r="CA269" i="32" s="1"/>
  <c r="CB269" i="32" s="1"/>
  <c r="BI269" i="32" s="1"/>
  <c r="D268" i="32"/>
  <c r="Y462" i="31"/>
  <c r="Y300" i="45"/>
  <c r="Y162" i="31"/>
  <c r="Y130" i="31"/>
  <c r="AF164" i="40"/>
  <c r="Y66" i="31"/>
  <c r="BH45" i="32"/>
  <c r="BZ45" i="32" s="1"/>
  <c r="CA45" i="32" s="1"/>
  <c r="CB45" i="32" s="1"/>
  <c r="BI45" i="32" s="1"/>
  <c r="D44" i="32"/>
  <c r="AF96" i="40"/>
  <c r="BH13" i="32"/>
  <c r="BZ13" i="32" s="1"/>
  <c r="CA13" i="32" s="1"/>
  <c r="CB13" i="32" s="1"/>
  <c r="BI13" i="32" s="1"/>
  <c r="D12" i="32"/>
  <c r="Y881" i="31"/>
  <c r="Y824" i="31"/>
  <c r="Y808" i="31"/>
  <c r="Y792" i="31"/>
  <c r="E346" i="32"/>
  <c r="BP347" i="32"/>
  <c r="CC347" i="32" s="1"/>
  <c r="CD347" i="32" s="1"/>
  <c r="CE347" i="32" s="1"/>
  <c r="BQ347" i="32" s="1"/>
  <c r="E330" i="32"/>
  <c r="BP331" i="32"/>
  <c r="CC331" i="32" s="1"/>
  <c r="CD331" i="32" s="1"/>
  <c r="CE331" i="32" s="1"/>
  <c r="BQ331" i="32" s="1"/>
  <c r="E314" i="32"/>
  <c r="BP315" i="32"/>
  <c r="CC315" i="32" s="1"/>
  <c r="CD315" i="32" s="1"/>
  <c r="CE315" i="32" s="1"/>
  <c r="BQ315" i="32" s="1"/>
  <c r="Y674" i="31"/>
  <c r="Y438" i="31"/>
  <c r="BP213" i="32"/>
  <c r="CC213" i="32" s="1"/>
  <c r="CD213" i="32" s="1"/>
  <c r="CE213" i="32" s="1"/>
  <c r="BQ213" i="32" s="1"/>
  <c r="E212" i="32"/>
  <c r="BP197" i="32"/>
  <c r="CC197" i="32" s="1"/>
  <c r="CD197" i="32" s="1"/>
  <c r="CE197" i="32" s="1"/>
  <c r="BQ197" i="32" s="1"/>
  <c r="E196" i="32"/>
  <c r="BP165" i="32"/>
  <c r="CC165" i="32" s="1"/>
  <c r="CD165" i="32" s="1"/>
  <c r="CE165" i="32" s="1"/>
  <c r="BQ165" i="32" s="1"/>
  <c r="E164" i="32"/>
  <c r="BP101" i="32"/>
  <c r="CC101" i="32" s="1"/>
  <c r="CD101" i="32" s="1"/>
  <c r="CE101" i="32" s="1"/>
  <c r="BQ101" i="32" s="1"/>
  <c r="E100" i="32"/>
  <c r="Y289" i="31"/>
  <c r="BP48" i="32"/>
  <c r="CC48" i="32" s="1"/>
  <c r="CD48" i="32" s="1"/>
  <c r="CE48" i="32" s="1"/>
  <c r="BQ48" i="32" s="1"/>
  <c r="E47" i="32"/>
  <c r="BP32" i="32"/>
  <c r="CC32" i="32" s="1"/>
  <c r="CD32" i="32" s="1"/>
  <c r="CE32" i="32" s="1"/>
  <c r="BQ32" i="32" s="1"/>
  <c r="E31" i="32"/>
  <c r="Y225" i="31"/>
  <c r="BP150" i="32"/>
  <c r="CC150" i="32" s="1"/>
  <c r="CD150" i="32" s="1"/>
  <c r="CE150" i="32" s="1"/>
  <c r="BQ150" i="32" s="1"/>
  <c r="E149" i="32"/>
  <c r="BP118" i="32"/>
  <c r="CC118" i="32" s="1"/>
  <c r="CD118" i="32" s="1"/>
  <c r="CE118" i="32" s="1"/>
  <c r="BQ118" i="32" s="1"/>
  <c r="E117" i="32"/>
  <c r="BP102" i="32"/>
  <c r="CC102" i="32" s="1"/>
  <c r="CD102" i="32" s="1"/>
  <c r="CE102" i="32" s="1"/>
  <c r="BQ102" i="32" s="1"/>
  <c r="E101" i="32"/>
  <c r="BP37" i="32"/>
  <c r="CC37" i="32" s="1"/>
  <c r="CD37" i="32" s="1"/>
  <c r="CE37" i="32" s="1"/>
  <c r="BQ37" i="32" s="1"/>
  <c r="E36" i="32"/>
  <c r="BP33" i="32"/>
  <c r="CC33" i="32" s="1"/>
  <c r="CD33" i="32" s="1"/>
  <c r="CE33" i="32" s="1"/>
  <c r="BQ33" i="32" s="1"/>
  <c r="E32" i="32"/>
  <c r="Y246" i="31"/>
  <c r="BP6" i="32"/>
  <c r="CC6" i="32" s="1"/>
  <c r="CD6" i="32" s="1"/>
  <c r="CE6" i="32" s="1"/>
  <c r="BQ6" i="32" s="1"/>
  <c r="E5" i="32"/>
  <c r="Y504" i="45"/>
  <c r="AF464" i="40"/>
  <c r="BH377" i="32"/>
  <c r="BZ377" i="32" s="1"/>
  <c r="CA377" i="32" s="1"/>
  <c r="CB377" i="32" s="1"/>
  <c r="BI377" i="32" s="1"/>
  <c r="D376" i="32"/>
  <c r="BH361" i="32"/>
  <c r="BZ361" i="32" s="1"/>
  <c r="CA361" i="32" s="1"/>
  <c r="CB361" i="32" s="1"/>
  <c r="BI361" i="32" s="1"/>
  <c r="D360" i="32"/>
  <c r="BH329" i="32"/>
  <c r="BZ329" i="32" s="1"/>
  <c r="CA329" i="32" s="1"/>
  <c r="CB329" i="32" s="1"/>
  <c r="BI329" i="32" s="1"/>
  <c r="D328" i="32"/>
  <c r="BH313" i="32"/>
  <c r="BZ313" i="32" s="1"/>
  <c r="CA313" i="32" s="1"/>
  <c r="CB313" i="32" s="1"/>
  <c r="BI313" i="32" s="1"/>
  <c r="D312" i="32"/>
  <c r="AF368" i="40"/>
  <c r="Y478" i="31"/>
  <c r="BH249" i="32"/>
  <c r="BZ249" i="32" s="1"/>
  <c r="CA249" i="32" s="1"/>
  <c r="CB249" i="32" s="1"/>
  <c r="BI249" i="32" s="1"/>
  <c r="D248" i="32"/>
  <c r="Y442" i="31"/>
  <c r="AF288" i="40"/>
  <c r="Y280" i="45"/>
  <c r="Y240" i="45"/>
  <c r="BH105" i="32"/>
  <c r="BZ105" i="32" s="1"/>
  <c r="CA105" i="32" s="1"/>
  <c r="CB105" i="32" s="1"/>
  <c r="BI105" i="32" s="1"/>
  <c r="D104" i="32"/>
  <c r="BH89" i="32"/>
  <c r="BZ89" i="32" s="1"/>
  <c r="CA89" i="32" s="1"/>
  <c r="CB89" i="32" s="1"/>
  <c r="BI89" i="32" s="1"/>
  <c r="D88" i="32"/>
  <c r="AF144" i="40"/>
  <c r="BH9" i="32"/>
  <c r="BZ9" i="32" s="1"/>
  <c r="CA9" i="32" s="1"/>
  <c r="CB9" i="32" s="1"/>
  <c r="BI9" i="32" s="1"/>
  <c r="D8" i="32"/>
  <c r="BP241" i="32"/>
  <c r="CC241" i="32" s="1"/>
  <c r="CD241" i="32" s="1"/>
  <c r="CE241" i="32" s="1"/>
  <c r="BQ241" i="32" s="1"/>
  <c r="E240" i="32"/>
  <c r="BP189" i="32"/>
  <c r="CC189" i="32" s="1"/>
  <c r="CD189" i="32" s="1"/>
  <c r="CE189" i="32" s="1"/>
  <c r="BQ189" i="32" s="1"/>
  <c r="E188" i="32"/>
  <c r="BP76" i="32"/>
  <c r="CC76" i="32" s="1"/>
  <c r="CD76" i="32" s="1"/>
  <c r="CE76" i="32" s="1"/>
  <c r="BQ76" i="32" s="1"/>
  <c r="E75" i="32"/>
  <c r="BP44" i="32"/>
  <c r="CC44" i="32" s="1"/>
  <c r="CD44" i="32" s="1"/>
  <c r="CE44" i="32" s="1"/>
  <c r="BQ44" i="32" s="1"/>
  <c r="E43" i="32"/>
  <c r="Y277" i="31"/>
  <c r="BP8" i="32"/>
  <c r="CC8" i="32" s="1"/>
  <c r="CD8" i="32" s="1"/>
  <c r="CE8" i="32" s="1"/>
  <c r="BQ8" i="32" s="1"/>
  <c r="E7" i="32"/>
  <c r="D433" i="32"/>
  <c r="BH434" i="32"/>
  <c r="BZ434" i="32" s="1"/>
  <c r="CA434" i="32" s="1"/>
  <c r="CB434" i="32" s="1"/>
  <c r="BI434" i="32" s="1"/>
  <c r="D417" i="32"/>
  <c r="BH418" i="32"/>
  <c r="BZ418" i="32" s="1"/>
  <c r="CA418" i="32" s="1"/>
  <c r="CB418" i="32" s="1"/>
  <c r="BI418" i="32" s="1"/>
  <c r="D401" i="32"/>
  <c r="BH402" i="32"/>
  <c r="BZ402" i="32" s="1"/>
  <c r="CA402" i="32" s="1"/>
  <c r="CB402" i="32" s="1"/>
  <c r="BI402" i="32" s="1"/>
  <c r="D369" i="32"/>
  <c r="BH370" i="32"/>
  <c r="BZ370" i="32" s="1"/>
  <c r="CA370" i="32" s="1"/>
  <c r="CB370" i="32" s="1"/>
  <c r="BI370" i="32" s="1"/>
  <c r="D337" i="32"/>
  <c r="BH338" i="32"/>
  <c r="BZ338" i="32" s="1"/>
  <c r="CA338" i="32" s="1"/>
  <c r="CB338" i="32" s="1"/>
  <c r="BI338" i="32" s="1"/>
  <c r="BP306" i="32"/>
  <c r="CC306" i="32" s="1"/>
  <c r="CD306" i="32" s="1"/>
  <c r="CE306" i="32" s="1"/>
  <c r="BQ306" i="32" s="1"/>
  <c r="E305" i="32"/>
  <c r="BP290" i="32"/>
  <c r="CC290" i="32" s="1"/>
  <c r="CD290" i="32" s="1"/>
  <c r="CE290" i="32" s="1"/>
  <c r="BQ290" i="32" s="1"/>
  <c r="E289" i="32"/>
  <c r="BP185" i="32"/>
  <c r="CC185" i="32" s="1"/>
  <c r="CD185" i="32" s="1"/>
  <c r="CE185" i="32" s="1"/>
  <c r="BQ185" i="32" s="1"/>
  <c r="E184" i="32"/>
  <c r="D77" i="32"/>
  <c r="BH78" i="32"/>
  <c r="BZ78" i="32" s="1"/>
  <c r="CA78" i="32" s="1"/>
  <c r="CB78" i="32" s="1"/>
  <c r="BI78" i="32" s="1"/>
  <c r="BP162" i="32"/>
  <c r="CC162" i="32" s="1"/>
  <c r="CD162" i="32" s="1"/>
  <c r="CE162" i="32" s="1"/>
  <c r="BQ162" i="32" s="1"/>
  <c r="E161" i="32"/>
  <c r="BP146" i="32"/>
  <c r="CC146" i="32" s="1"/>
  <c r="CD146" i="32" s="1"/>
  <c r="CE146" i="32" s="1"/>
  <c r="BQ146" i="32" s="1"/>
  <c r="E145" i="32"/>
  <c r="BP114" i="32"/>
  <c r="CC114" i="32" s="1"/>
  <c r="CD114" i="32" s="1"/>
  <c r="CE114" i="32" s="1"/>
  <c r="BQ114" i="32" s="1"/>
  <c r="E113" i="32"/>
  <c r="BP81" i="32"/>
  <c r="CC81" i="32" s="1"/>
  <c r="CD81" i="32" s="1"/>
  <c r="CE81" i="32" s="1"/>
  <c r="BQ81" i="32" s="1"/>
  <c r="E80" i="32"/>
  <c r="BP17" i="32"/>
  <c r="CC17" i="32" s="1"/>
  <c r="CD17" i="32" s="1"/>
  <c r="CE17" i="32" s="1"/>
  <c r="BQ17" i="32" s="1"/>
  <c r="E16" i="32"/>
  <c r="Z443" i="40"/>
  <c r="AC443" i="40" s="1"/>
  <c r="AF443" i="40" s="1"/>
  <c r="Z411" i="40"/>
  <c r="AC411" i="40" s="1"/>
  <c r="Z379" i="40"/>
  <c r="AC379" i="40" s="1"/>
  <c r="Y318" i="40"/>
  <c r="AA318" i="40" s="1"/>
  <c r="AE318" i="40" s="1"/>
  <c r="AB318" i="40" s="1"/>
  <c r="AF318" i="40" s="1"/>
  <c r="Y508" i="40"/>
  <c r="AA508" i="40" s="1"/>
  <c r="AE508" i="40" s="1"/>
  <c r="AB508" i="40" s="1"/>
  <c r="AF508" i="40" s="1"/>
  <c r="BH421" i="32"/>
  <c r="BZ421" i="32" s="1"/>
  <c r="CA421" i="32" s="1"/>
  <c r="CB421" i="32" s="1"/>
  <c r="BI421" i="32" s="1"/>
  <c r="D420" i="32"/>
  <c r="T488" i="45"/>
  <c r="X488" i="45" s="1"/>
  <c r="U488" i="45" s="1"/>
  <c r="Y488" i="45" s="1"/>
  <c r="BH389" i="32"/>
  <c r="BZ389" i="32" s="1"/>
  <c r="CA389" i="32" s="1"/>
  <c r="CB389" i="32" s="1"/>
  <c r="BI389" i="32" s="1"/>
  <c r="D388" i="32"/>
  <c r="Y586" i="31"/>
  <c r="T424" i="45"/>
  <c r="X424" i="45" s="1"/>
  <c r="U424" i="45" s="1"/>
  <c r="Y424" i="45" s="1"/>
  <c r="BH341" i="32"/>
  <c r="BZ341" i="32" s="1"/>
  <c r="CA341" i="32" s="1"/>
  <c r="CB341" i="32" s="1"/>
  <c r="BI341" i="32" s="1"/>
  <c r="D340" i="32"/>
  <c r="Y534" i="31"/>
  <c r="Y380" i="40"/>
  <c r="AA380" i="40" s="1"/>
  <c r="AE380" i="40" s="1"/>
  <c r="AB380" i="40" s="1"/>
  <c r="Y364" i="40"/>
  <c r="AA364" i="40" s="1"/>
  <c r="AE364" i="40" s="1"/>
  <c r="AB364" i="40" s="1"/>
  <c r="BH277" i="32"/>
  <c r="BZ277" i="32" s="1"/>
  <c r="CA277" i="32" s="1"/>
  <c r="CB277" i="32" s="1"/>
  <c r="BI277" i="32" s="1"/>
  <c r="D276" i="32"/>
  <c r="BH261" i="32"/>
  <c r="BZ261" i="32" s="1"/>
  <c r="CA261" i="32" s="1"/>
  <c r="CB261" i="32" s="1"/>
  <c r="BI261" i="32" s="1"/>
  <c r="D260" i="32"/>
  <c r="BH117" i="32"/>
  <c r="BZ117" i="32" s="1"/>
  <c r="CA117" i="32" s="1"/>
  <c r="CB117" i="32" s="1"/>
  <c r="BI117" i="32" s="1"/>
  <c r="D116" i="32"/>
  <c r="BH113" i="32"/>
  <c r="BZ113" i="32" s="1"/>
  <c r="CA113" i="32" s="1"/>
  <c r="CB113" i="32" s="1"/>
  <c r="BI113" i="32" s="1"/>
  <c r="D112" i="32"/>
  <c r="BH101" i="32"/>
  <c r="BZ101" i="32" s="1"/>
  <c r="CA101" i="32" s="1"/>
  <c r="CB101" i="32" s="1"/>
  <c r="BI101" i="32" s="1"/>
  <c r="D100" i="32"/>
  <c r="BH85" i="32"/>
  <c r="BZ85" i="32" s="1"/>
  <c r="CA85" i="32" s="1"/>
  <c r="CB85" i="32" s="1"/>
  <c r="BI85" i="32" s="1"/>
  <c r="D84" i="32"/>
  <c r="Y140" i="40"/>
  <c r="AA140" i="40" s="1"/>
  <c r="AE140" i="40" s="1"/>
  <c r="AB140" i="40" s="1"/>
  <c r="BH53" i="32"/>
  <c r="BZ53" i="32" s="1"/>
  <c r="CA53" i="32" s="1"/>
  <c r="CB53" i="32" s="1"/>
  <c r="BI53" i="32" s="1"/>
  <c r="D52" i="32"/>
  <c r="BH49" i="32"/>
  <c r="BZ49" i="32" s="1"/>
  <c r="CA49" i="32" s="1"/>
  <c r="CB49" i="32" s="1"/>
  <c r="BI49" i="32" s="1"/>
  <c r="D48" i="32"/>
  <c r="BH21" i="32"/>
  <c r="BZ21" i="32" s="1"/>
  <c r="CA21" i="32" s="1"/>
  <c r="CB21" i="32" s="1"/>
  <c r="BI21" i="32" s="1"/>
  <c r="D20" i="32"/>
  <c r="BH17" i="32"/>
  <c r="BZ17" i="32" s="1"/>
  <c r="CA17" i="32" s="1"/>
  <c r="CB17" i="32" s="1"/>
  <c r="BI17" i="32" s="1"/>
  <c r="D16" i="32"/>
  <c r="E338" i="32"/>
  <c r="BP339" i="32"/>
  <c r="CC339" i="32" s="1"/>
  <c r="CD339" i="32" s="1"/>
  <c r="CE339" i="32" s="1"/>
  <c r="BQ339" i="32" s="1"/>
  <c r="E322" i="32"/>
  <c r="BP323" i="32"/>
  <c r="CC323" i="32" s="1"/>
  <c r="CD323" i="32" s="1"/>
  <c r="CE323" i="32" s="1"/>
  <c r="BQ323" i="32" s="1"/>
  <c r="BP253" i="32"/>
  <c r="CC253" i="32" s="1"/>
  <c r="CD253" i="32" s="1"/>
  <c r="CE253" i="32" s="1"/>
  <c r="BQ253" i="32" s="1"/>
  <c r="E252" i="32"/>
  <c r="BP149" i="32"/>
  <c r="CC149" i="32" s="1"/>
  <c r="CD149" i="32" s="1"/>
  <c r="CE149" i="32" s="1"/>
  <c r="BQ149" i="32" s="1"/>
  <c r="E148" i="32"/>
  <c r="Z143" i="40"/>
  <c r="AC143" i="40" s="1"/>
  <c r="BP56" i="32"/>
  <c r="CC56" i="32" s="1"/>
  <c r="CD56" i="32" s="1"/>
  <c r="CE56" i="32" s="1"/>
  <c r="BQ56" i="32" s="1"/>
  <c r="E55" i="32"/>
  <c r="E242" i="32"/>
  <c r="BP243" i="32"/>
  <c r="CC243" i="32" s="1"/>
  <c r="CD243" i="32" s="1"/>
  <c r="CE243" i="32" s="1"/>
  <c r="BQ243" i="32" s="1"/>
  <c r="D403" i="32"/>
  <c r="BH404" i="32"/>
  <c r="BZ404" i="32" s="1"/>
  <c r="CA404" i="32" s="1"/>
  <c r="CB404" i="32" s="1"/>
  <c r="BI404" i="32" s="1"/>
  <c r="E442" i="32"/>
  <c r="BP443" i="32"/>
  <c r="CC443" i="32" s="1"/>
  <c r="CD443" i="32" s="1"/>
  <c r="CE443" i="32" s="1"/>
  <c r="BQ443" i="32" s="1"/>
  <c r="E361" i="32"/>
  <c r="BP362" i="32"/>
  <c r="CC362" i="32" s="1"/>
  <c r="CD362" i="32" s="1"/>
  <c r="CE362" i="32" s="1"/>
  <c r="BQ362" i="32" s="1"/>
  <c r="BP216" i="32"/>
  <c r="CC216" i="32" s="1"/>
  <c r="CD216" i="32" s="1"/>
  <c r="CE216" i="32" s="1"/>
  <c r="BQ216" i="32" s="1"/>
  <c r="E215" i="32"/>
  <c r="BP104" i="32"/>
  <c r="CC104" i="32" s="1"/>
  <c r="CD104" i="32" s="1"/>
  <c r="CE104" i="32" s="1"/>
  <c r="BQ104" i="32" s="1"/>
  <c r="E103" i="32"/>
  <c r="AA251" i="40"/>
  <c r="AE251" i="40" s="1"/>
  <c r="AB251" i="40" s="1"/>
  <c r="D163" i="32"/>
  <c r="BH164" i="32"/>
  <c r="BZ164" i="32" s="1"/>
  <c r="CA164" i="32" s="1"/>
  <c r="CB164" i="32" s="1"/>
  <c r="BI164" i="32" s="1"/>
  <c r="D131" i="32"/>
  <c r="BH132" i="32"/>
  <c r="BZ132" i="32" s="1"/>
  <c r="CA132" i="32" s="1"/>
  <c r="CB132" i="32" s="1"/>
  <c r="BI132" i="32" s="1"/>
  <c r="Y123" i="40"/>
  <c r="AA123" i="40" s="1"/>
  <c r="AE123" i="40" s="1"/>
  <c r="AB123" i="40" s="1"/>
  <c r="D35" i="32"/>
  <c r="BH36" i="32"/>
  <c r="BZ36" i="32" s="1"/>
  <c r="CA36" i="32" s="1"/>
  <c r="CB36" i="32" s="1"/>
  <c r="BI36" i="32" s="1"/>
  <c r="Z138" i="40"/>
  <c r="AC138" i="40" s="1"/>
  <c r="E54" i="32"/>
  <c r="BP55" i="32"/>
  <c r="CC55" i="32" s="1"/>
  <c r="CD55" i="32" s="1"/>
  <c r="CE55" i="32" s="1"/>
  <c r="BQ55" i="32" s="1"/>
  <c r="AC106" i="40"/>
  <c r="AC94" i="40"/>
  <c r="D184" i="32"/>
  <c r="E285" i="32"/>
  <c r="BH319" i="32"/>
  <c r="BZ319" i="32" s="1"/>
  <c r="CA319" i="32" s="1"/>
  <c r="CB319" i="32" s="1"/>
  <c r="BI319" i="32" s="1"/>
  <c r="D318" i="32"/>
  <c r="AA90" i="40"/>
  <c r="AE90" i="40" s="1"/>
  <c r="AB90" i="40" s="1"/>
  <c r="V493" i="45"/>
  <c r="V485" i="45"/>
  <c r="D435" i="32"/>
  <c r="BH436" i="32"/>
  <c r="BZ436" i="32" s="1"/>
  <c r="CA436" i="32" s="1"/>
  <c r="CB436" i="32" s="1"/>
  <c r="BI436" i="32" s="1"/>
  <c r="D419" i="32"/>
  <c r="BH420" i="32"/>
  <c r="BZ420" i="32" s="1"/>
  <c r="CA420" i="32" s="1"/>
  <c r="CB420" i="32" s="1"/>
  <c r="BI420" i="32" s="1"/>
  <c r="T487" i="45"/>
  <c r="X487" i="45" s="1"/>
  <c r="U487" i="45" s="1"/>
  <c r="Y459" i="40"/>
  <c r="AA459" i="40" s="1"/>
  <c r="AE459" i="40" s="1"/>
  <c r="AB459" i="40" s="1"/>
  <c r="Y411" i="40"/>
  <c r="AA411" i="40" s="1"/>
  <c r="AE411" i="40" s="1"/>
  <c r="AB411" i="40" s="1"/>
  <c r="AF411" i="40" s="1"/>
  <c r="Y395" i="40"/>
  <c r="AA395" i="40" s="1"/>
  <c r="AE395" i="40" s="1"/>
  <c r="AB395" i="40" s="1"/>
  <c r="Y379" i="40"/>
  <c r="AA379" i="40" s="1"/>
  <c r="AE379" i="40" s="1"/>
  <c r="AB379" i="40" s="1"/>
  <c r="T355" i="45"/>
  <c r="X355" i="45" s="1"/>
  <c r="U355" i="45" s="1"/>
  <c r="Y355" i="45" s="1"/>
  <c r="T339" i="45"/>
  <c r="X339" i="45" s="1"/>
  <c r="U339" i="45" s="1"/>
  <c r="T323" i="45"/>
  <c r="X323" i="45" s="1"/>
  <c r="U323" i="45" s="1"/>
  <c r="Y323" i="45" s="1"/>
  <c r="T307" i="45"/>
  <c r="X307" i="45" s="1"/>
  <c r="U307" i="45" s="1"/>
  <c r="Y307" i="45" s="1"/>
  <c r="D227" i="32"/>
  <c r="BH228" i="32"/>
  <c r="BZ228" i="32" s="1"/>
  <c r="CA228" i="32" s="1"/>
  <c r="CB228" i="32" s="1"/>
  <c r="BI228" i="32" s="1"/>
  <c r="D211" i="32"/>
  <c r="BH212" i="32"/>
  <c r="BZ212" i="32" s="1"/>
  <c r="CA212" i="32" s="1"/>
  <c r="CB212" i="32" s="1"/>
  <c r="BI212" i="32" s="1"/>
  <c r="Y203" i="40"/>
  <c r="AA203" i="40" s="1"/>
  <c r="AE203" i="40" s="1"/>
  <c r="AB203" i="40" s="1"/>
  <c r="AF203" i="40" s="1"/>
  <c r="Y107" i="40"/>
  <c r="AA107" i="40" s="1"/>
  <c r="AE107" i="40" s="1"/>
  <c r="AB107" i="40" s="1"/>
  <c r="Z514" i="40"/>
  <c r="AC514" i="40" s="1"/>
  <c r="Z498" i="40"/>
  <c r="AC498" i="40" s="1"/>
  <c r="Z482" i="40"/>
  <c r="AC482" i="40" s="1"/>
  <c r="Z449" i="40"/>
  <c r="AC449" i="40" s="1"/>
  <c r="Z417" i="40"/>
  <c r="AC417" i="40" s="1"/>
  <c r="Z385" i="40"/>
  <c r="AC385" i="40" s="1"/>
  <c r="BP297" i="32"/>
  <c r="CC297" i="32" s="1"/>
  <c r="CD297" i="32" s="1"/>
  <c r="CE297" i="32" s="1"/>
  <c r="BQ297" i="32" s="1"/>
  <c r="E296" i="32"/>
  <c r="Z352" i="40"/>
  <c r="AC352" i="40" s="1"/>
  <c r="AF352" i="40" s="1"/>
  <c r="Z303" i="40"/>
  <c r="AC303" i="40" s="1"/>
  <c r="Z287" i="40"/>
  <c r="AC287" i="40" s="1"/>
  <c r="BP200" i="32"/>
  <c r="CC200" i="32" s="1"/>
  <c r="CD200" i="32" s="1"/>
  <c r="CE200" i="32" s="1"/>
  <c r="BQ200" i="32" s="1"/>
  <c r="E199" i="32"/>
  <c r="BP184" i="32"/>
  <c r="CC184" i="32" s="1"/>
  <c r="CD184" i="32" s="1"/>
  <c r="CE184" i="32" s="1"/>
  <c r="BQ184" i="32" s="1"/>
  <c r="E183" i="32"/>
  <c r="BP168" i="32"/>
  <c r="CC168" i="32" s="1"/>
  <c r="CD168" i="32" s="1"/>
  <c r="CE168" i="32" s="1"/>
  <c r="BQ168" i="32" s="1"/>
  <c r="E167" i="32"/>
  <c r="BP152" i="32"/>
  <c r="CC152" i="32" s="1"/>
  <c r="CD152" i="32" s="1"/>
  <c r="CE152" i="32" s="1"/>
  <c r="BQ152" i="32" s="1"/>
  <c r="E151" i="32"/>
  <c r="BP136" i="32"/>
  <c r="CC136" i="32" s="1"/>
  <c r="CD136" i="32" s="1"/>
  <c r="CE136" i="32" s="1"/>
  <c r="BQ136" i="32" s="1"/>
  <c r="E135" i="32"/>
  <c r="BP120" i="32"/>
  <c r="CC120" i="32" s="1"/>
  <c r="CD120" i="32" s="1"/>
  <c r="CE120" i="32" s="1"/>
  <c r="BQ120" i="32" s="1"/>
  <c r="E119" i="32"/>
  <c r="Z175" i="40"/>
  <c r="AC175" i="40" s="1"/>
  <c r="E86" i="32"/>
  <c r="BP87" i="32"/>
  <c r="CC87" i="32" s="1"/>
  <c r="CD87" i="32" s="1"/>
  <c r="CE87" i="32" s="1"/>
  <c r="BQ87" i="32" s="1"/>
  <c r="Z154" i="40"/>
  <c r="AC154" i="40" s="1"/>
  <c r="E70" i="32"/>
  <c r="BP71" i="32"/>
  <c r="CC71" i="32" s="1"/>
  <c r="CD71" i="32" s="1"/>
  <c r="CE71" i="32" s="1"/>
  <c r="BQ71" i="32" s="1"/>
  <c r="E66" i="32"/>
  <c r="BP67" i="32"/>
  <c r="CC67" i="32" s="1"/>
  <c r="CD67" i="32" s="1"/>
  <c r="CE67" i="32" s="1"/>
  <c r="BQ67" i="32" s="1"/>
  <c r="Z122" i="40"/>
  <c r="AC122" i="40" s="1"/>
  <c r="E38" i="32"/>
  <c r="BP39" i="32"/>
  <c r="CC39" i="32" s="1"/>
  <c r="CD39" i="32" s="1"/>
  <c r="CE39" i="32" s="1"/>
  <c r="BQ39" i="32" s="1"/>
  <c r="E34" i="32"/>
  <c r="BP35" i="32"/>
  <c r="CC35" i="32" s="1"/>
  <c r="CD35" i="32" s="1"/>
  <c r="CE35" i="32" s="1"/>
  <c r="BQ35" i="32" s="1"/>
  <c r="E22" i="32"/>
  <c r="BP23" i="32"/>
  <c r="CC23" i="32" s="1"/>
  <c r="CD23" i="32" s="1"/>
  <c r="CE23" i="32" s="1"/>
  <c r="BQ23" i="32" s="1"/>
  <c r="E18" i="32"/>
  <c r="BP19" i="32"/>
  <c r="CC19" i="32" s="1"/>
  <c r="CD19" i="32" s="1"/>
  <c r="CE19" i="32" s="1"/>
  <c r="BQ19" i="32" s="1"/>
  <c r="E435" i="32"/>
  <c r="E419" i="32"/>
  <c r="E403" i="32"/>
  <c r="E415" i="32"/>
  <c r="BH431" i="32"/>
  <c r="BZ431" i="32" s="1"/>
  <c r="CA431" i="32" s="1"/>
  <c r="CB431" i="32" s="1"/>
  <c r="BI431" i="32" s="1"/>
  <c r="D430" i="32"/>
  <c r="BH415" i="32"/>
  <c r="BZ415" i="32" s="1"/>
  <c r="CA415" i="32" s="1"/>
  <c r="CB415" i="32" s="1"/>
  <c r="BI415" i="32" s="1"/>
  <c r="D414" i="32"/>
  <c r="AA470" i="40"/>
  <c r="AE470" i="40" s="1"/>
  <c r="AB470" i="40" s="1"/>
  <c r="AF470" i="40" s="1"/>
  <c r="AA454" i="40"/>
  <c r="AE454" i="40" s="1"/>
  <c r="AB454" i="40" s="1"/>
  <c r="AA438" i="40"/>
  <c r="AE438" i="40" s="1"/>
  <c r="AB438" i="40" s="1"/>
  <c r="AA374" i="40"/>
  <c r="AE374" i="40" s="1"/>
  <c r="AB374" i="40" s="1"/>
  <c r="AF374" i="40" s="1"/>
  <c r="BH287" i="32"/>
  <c r="BZ287" i="32" s="1"/>
  <c r="CA287" i="32" s="1"/>
  <c r="CB287" i="32" s="1"/>
  <c r="BI287" i="32" s="1"/>
  <c r="D286" i="32"/>
  <c r="BH271" i="32"/>
  <c r="BZ271" i="32" s="1"/>
  <c r="CA271" i="32" s="1"/>
  <c r="CB271" i="32" s="1"/>
  <c r="BI271" i="32" s="1"/>
  <c r="D270" i="32"/>
  <c r="AA326" i="40"/>
  <c r="AE326" i="40" s="1"/>
  <c r="AB326" i="40" s="1"/>
  <c r="Y270" i="40"/>
  <c r="AA270" i="40" s="1"/>
  <c r="AE270" i="40" s="1"/>
  <c r="AB270" i="40" s="1"/>
  <c r="BH183" i="32"/>
  <c r="BZ183" i="32" s="1"/>
  <c r="CA183" i="32" s="1"/>
  <c r="CB183" i="32" s="1"/>
  <c r="BI183" i="32" s="1"/>
  <c r="D182" i="32"/>
  <c r="AA138" i="40"/>
  <c r="AE138" i="40" s="1"/>
  <c r="AB138" i="40" s="1"/>
  <c r="Y106" i="40"/>
  <c r="AA106" i="40" s="1"/>
  <c r="AE106" i="40" s="1"/>
  <c r="AB106" i="40" s="1"/>
  <c r="AF106" i="40" s="1"/>
  <c r="BH19" i="32"/>
  <c r="BZ19" i="32" s="1"/>
  <c r="CA19" i="32" s="1"/>
  <c r="CB19" i="32" s="1"/>
  <c r="BI19" i="32" s="1"/>
  <c r="D18" i="32"/>
  <c r="E384" i="32"/>
  <c r="BP385" i="32"/>
  <c r="CC385" i="32" s="1"/>
  <c r="CD385" i="32" s="1"/>
  <c r="CE385" i="32" s="1"/>
  <c r="BQ385" i="32" s="1"/>
  <c r="E368" i="32"/>
  <c r="BP369" i="32"/>
  <c r="CC369" i="32" s="1"/>
  <c r="CD369" i="32" s="1"/>
  <c r="CE369" i="32" s="1"/>
  <c r="BQ369" i="32" s="1"/>
  <c r="AC338" i="40"/>
  <c r="AC322" i="40"/>
  <c r="E178" i="32"/>
  <c r="BP179" i="32"/>
  <c r="CC179" i="32" s="1"/>
  <c r="CD179" i="32" s="1"/>
  <c r="CE179" i="32" s="1"/>
  <c r="BQ179" i="32" s="1"/>
  <c r="Z218" i="40"/>
  <c r="AC218" i="40" s="1"/>
  <c r="Z137" i="40"/>
  <c r="AC137" i="40" s="1"/>
  <c r="AA297" i="40"/>
  <c r="AE297" i="40" s="1"/>
  <c r="AB297" i="40" s="1"/>
  <c r="AF297" i="40" s="1"/>
  <c r="T277" i="45"/>
  <c r="X277" i="45" s="1"/>
  <c r="U277" i="45" s="1"/>
  <c r="Y277" i="45" s="1"/>
  <c r="T261" i="45"/>
  <c r="X261" i="45" s="1"/>
  <c r="U261" i="45" s="1"/>
  <c r="T245" i="45"/>
  <c r="X245" i="45" s="1"/>
  <c r="U245" i="45" s="1"/>
  <c r="Y245" i="45" s="1"/>
  <c r="D161" i="32"/>
  <c r="BH162" i="32"/>
  <c r="BZ162" i="32" s="1"/>
  <c r="CA162" i="32" s="1"/>
  <c r="CB162" i="32" s="1"/>
  <c r="BI162" i="32" s="1"/>
  <c r="T213" i="45"/>
  <c r="X213" i="45" s="1"/>
  <c r="U213" i="45" s="1"/>
  <c r="Y213" i="45" s="1"/>
  <c r="Y201" i="40"/>
  <c r="AA201" i="40" s="1"/>
  <c r="AE201" i="40" s="1"/>
  <c r="AB201" i="40" s="1"/>
  <c r="AF201" i="40" s="1"/>
  <c r="Y185" i="40"/>
  <c r="AA185" i="40" s="1"/>
  <c r="AE185" i="40" s="1"/>
  <c r="AB185" i="40" s="1"/>
  <c r="D93" i="32"/>
  <c r="BH94" i="32"/>
  <c r="BZ94" i="32" s="1"/>
  <c r="CA94" i="32" s="1"/>
  <c r="CB94" i="32" s="1"/>
  <c r="BI94" i="32" s="1"/>
  <c r="Y145" i="40"/>
  <c r="AA145" i="40" s="1"/>
  <c r="AE145" i="40" s="1"/>
  <c r="AB145" i="40" s="1"/>
  <c r="AF145" i="40" s="1"/>
  <c r="Y81" i="40"/>
  <c r="AA81" i="40" s="1"/>
  <c r="AE81" i="40" s="1"/>
  <c r="AB81" i="40" s="1"/>
  <c r="AF81" i="40" s="1"/>
  <c r="E432" i="32"/>
  <c r="BP433" i="32"/>
  <c r="CC433" i="32" s="1"/>
  <c r="CD433" i="32" s="1"/>
  <c r="CE433" i="32" s="1"/>
  <c r="BQ433" i="32" s="1"/>
  <c r="AC488" i="40"/>
  <c r="AC382" i="40"/>
  <c r="AC366" i="40"/>
  <c r="Z257" i="40"/>
  <c r="AC257" i="40" s="1"/>
  <c r="Z241" i="40"/>
  <c r="AC241" i="40" s="1"/>
  <c r="Z225" i="40"/>
  <c r="AC225" i="40" s="1"/>
  <c r="BP85" i="32"/>
  <c r="CC85" i="32" s="1"/>
  <c r="CD85" i="32" s="1"/>
  <c r="CE85" i="32" s="1"/>
  <c r="BQ85" i="32" s="1"/>
  <c r="E84" i="32"/>
  <c r="BP53" i="32"/>
  <c r="CC53" i="32" s="1"/>
  <c r="CD53" i="32" s="1"/>
  <c r="CE53" i="32" s="1"/>
  <c r="BQ53" i="32" s="1"/>
  <c r="E52" i="32"/>
  <c r="D303" i="32"/>
  <c r="BH304" i="32"/>
  <c r="BZ304" i="32" s="1"/>
  <c r="CA304" i="32" s="1"/>
  <c r="CB304" i="32" s="1"/>
  <c r="BI304" i="32" s="1"/>
  <c r="Y311" i="40"/>
  <c r="AA311" i="40" s="1"/>
  <c r="AE311" i="40" s="1"/>
  <c r="AB311" i="40" s="1"/>
  <c r="T303" i="45"/>
  <c r="X303" i="45" s="1"/>
  <c r="U303" i="45" s="1"/>
  <c r="Y303" i="45" s="1"/>
  <c r="Y295" i="40"/>
  <c r="AA295" i="40" s="1"/>
  <c r="AE295" i="40" s="1"/>
  <c r="AB295" i="40" s="1"/>
  <c r="Y279" i="40"/>
  <c r="AA279" i="40" s="1"/>
  <c r="AE279" i="40" s="1"/>
  <c r="AB279" i="40" s="1"/>
  <c r="Y263" i="40"/>
  <c r="AA263" i="40" s="1"/>
  <c r="AE263" i="40" s="1"/>
  <c r="AB263" i="40" s="1"/>
  <c r="AF263" i="40" s="1"/>
  <c r="D175" i="32"/>
  <c r="BH176" i="32"/>
  <c r="BZ176" i="32" s="1"/>
  <c r="CA176" i="32" s="1"/>
  <c r="CB176" i="32" s="1"/>
  <c r="BI176" i="32" s="1"/>
  <c r="T243" i="45"/>
  <c r="X243" i="45" s="1"/>
  <c r="U243" i="45" s="1"/>
  <c r="Y243" i="45" s="1"/>
  <c r="D159" i="32"/>
  <c r="BH160" i="32"/>
  <c r="BZ160" i="32" s="1"/>
  <c r="CA160" i="32" s="1"/>
  <c r="CB160" i="32" s="1"/>
  <c r="BI160" i="32" s="1"/>
  <c r="T227" i="45"/>
  <c r="X227" i="45" s="1"/>
  <c r="U227" i="45" s="1"/>
  <c r="Y227" i="45" s="1"/>
  <c r="D143" i="32"/>
  <c r="BH144" i="32"/>
  <c r="BZ144" i="32" s="1"/>
  <c r="CA144" i="32" s="1"/>
  <c r="CB144" i="32" s="1"/>
  <c r="BI144" i="32" s="1"/>
  <c r="D127" i="32"/>
  <c r="BH128" i="32"/>
  <c r="BZ128" i="32" s="1"/>
  <c r="CA128" i="32" s="1"/>
  <c r="CB128" i="32" s="1"/>
  <c r="BI128" i="32" s="1"/>
  <c r="T195" i="45"/>
  <c r="X195" i="45" s="1"/>
  <c r="U195" i="45" s="1"/>
  <c r="Y195" i="45" s="1"/>
  <c r="D111" i="32"/>
  <c r="BH112" i="32"/>
  <c r="BZ112" i="32" s="1"/>
  <c r="CA112" i="32" s="1"/>
  <c r="CB112" i="32" s="1"/>
  <c r="BI112" i="32" s="1"/>
  <c r="T179" i="45"/>
  <c r="X179" i="45" s="1"/>
  <c r="U179" i="45" s="1"/>
  <c r="D95" i="32"/>
  <c r="BH96" i="32"/>
  <c r="BZ96" i="32" s="1"/>
  <c r="CA96" i="32" s="1"/>
  <c r="CB96" i="32" s="1"/>
  <c r="BI96" i="32" s="1"/>
  <c r="T163" i="45"/>
  <c r="X163" i="45" s="1"/>
  <c r="U163" i="45" s="1"/>
  <c r="Y163" i="45" s="1"/>
  <c r="D79" i="32"/>
  <c r="BH80" i="32"/>
  <c r="BZ80" i="32" s="1"/>
  <c r="CA80" i="32" s="1"/>
  <c r="CB80" i="32" s="1"/>
  <c r="BI80" i="32" s="1"/>
  <c r="T147" i="45"/>
  <c r="X147" i="45" s="1"/>
  <c r="U147" i="45" s="1"/>
  <c r="Y147" i="45" s="1"/>
  <c r="Y135" i="40"/>
  <c r="AA135" i="40" s="1"/>
  <c r="AE135" i="40" s="1"/>
  <c r="AB135" i="40" s="1"/>
  <c r="D47" i="32"/>
  <c r="BH48" i="32"/>
  <c r="BZ48" i="32" s="1"/>
  <c r="CA48" i="32" s="1"/>
  <c r="CB48" i="32" s="1"/>
  <c r="BI48" i="32" s="1"/>
  <c r="T115" i="45"/>
  <c r="X115" i="45" s="1"/>
  <c r="U115" i="45" s="1"/>
  <c r="D31" i="32"/>
  <c r="BH32" i="32"/>
  <c r="BZ32" i="32" s="1"/>
  <c r="CA32" i="32" s="1"/>
  <c r="CB32" i="32" s="1"/>
  <c r="BI32" i="32" s="1"/>
  <c r="T99" i="45"/>
  <c r="X99" i="45" s="1"/>
  <c r="U99" i="45" s="1"/>
  <c r="D15" i="32"/>
  <c r="BH16" i="32"/>
  <c r="BZ16" i="32" s="1"/>
  <c r="CA16" i="32" s="1"/>
  <c r="CB16" i="32" s="1"/>
  <c r="BI16" i="32" s="1"/>
  <c r="Z510" i="40"/>
  <c r="AC510" i="40" s="1"/>
  <c r="Z494" i="40"/>
  <c r="AC494" i="40" s="1"/>
  <c r="Z478" i="40"/>
  <c r="AC478" i="40" s="1"/>
  <c r="Z380" i="40"/>
  <c r="AC380" i="40" s="1"/>
  <c r="Z364" i="40"/>
  <c r="AC364" i="40" s="1"/>
  <c r="Z348" i="40"/>
  <c r="AC348" i="40" s="1"/>
  <c r="BP212" i="32"/>
  <c r="CC212" i="32" s="1"/>
  <c r="CD212" i="32" s="1"/>
  <c r="CE212" i="32" s="1"/>
  <c r="BQ212" i="32" s="1"/>
  <c r="E211" i="32"/>
  <c r="V231" i="45"/>
  <c r="Z219" i="40"/>
  <c r="AC219" i="40" s="1"/>
  <c r="V199" i="45"/>
  <c r="BP116" i="32"/>
  <c r="CC116" i="32" s="1"/>
  <c r="CD116" i="32" s="1"/>
  <c r="CE116" i="32" s="1"/>
  <c r="BQ116" i="32" s="1"/>
  <c r="E115" i="32"/>
  <c r="E90" i="32"/>
  <c r="BP91" i="32"/>
  <c r="CC91" i="32" s="1"/>
  <c r="CD91" i="32" s="1"/>
  <c r="CE91" i="32" s="1"/>
  <c r="BQ91" i="32" s="1"/>
  <c r="V134" i="45"/>
  <c r="V118" i="45"/>
  <c r="V102" i="45"/>
  <c r="Y290" i="40"/>
  <c r="AA290" i="40" s="1"/>
  <c r="AE290" i="40" s="1"/>
  <c r="AB290" i="40" s="1"/>
  <c r="AF290" i="40" s="1"/>
  <c r="Y266" i="40"/>
  <c r="AA266" i="40" s="1"/>
  <c r="AE266" i="40" s="1"/>
  <c r="AB266" i="40" s="1"/>
  <c r="Y234" i="40"/>
  <c r="AA234" i="40" s="1"/>
  <c r="AE234" i="40" s="1"/>
  <c r="AB234" i="40" s="1"/>
  <c r="Y218" i="40"/>
  <c r="AA218" i="40" s="1"/>
  <c r="AE218" i="40" s="1"/>
  <c r="AB218" i="40" s="1"/>
  <c r="AF218" i="40" s="1"/>
  <c r="Y182" i="40"/>
  <c r="AA182" i="40" s="1"/>
  <c r="AE182" i="40" s="1"/>
  <c r="AB182" i="40" s="1"/>
  <c r="AF182" i="40" s="1"/>
  <c r="Y150" i="40"/>
  <c r="AA150" i="40" s="1"/>
  <c r="AE150" i="40" s="1"/>
  <c r="AB150" i="40" s="1"/>
  <c r="Y118" i="40"/>
  <c r="AA118" i="40" s="1"/>
  <c r="AE118" i="40" s="1"/>
  <c r="AB118" i="40" s="1"/>
  <c r="AF118" i="40" s="1"/>
  <c r="Y102" i="40"/>
  <c r="AA102" i="40" s="1"/>
  <c r="AE102" i="40" s="1"/>
  <c r="AB102" i="40" s="1"/>
  <c r="AF102" i="40" s="1"/>
  <c r="Y86" i="40"/>
  <c r="AA86" i="40" s="1"/>
  <c r="AE86" i="40" s="1"/>
  <c r="AB86" i="40" s="1"/>
  <c r="AF86" i="40" s="1"/>
  <c r="V412" i="45"/>
  <c r="Y725" i="31"/>
  <c r="E262" i="32"/>
  <c r="BP263" i="32"/>
  <c r="CC263" i="32" s="1"/>
  <c r="CD263" i="32" s="1"/>
  <c r="CE263" i="32" s="1"/>
  <c r="BQ263" i="32" s="1"/>
  <c r="V330" i="45"/>
  <c r="Y330" i="45" s="1"/>
  <c r="E246" i="32"/>
  <c r="BP247" i="32"/>
  <c r="CC247" i="32" s="1"/>
  <c r="CD247" i="32" s="1"/>
  <c r="CE247" i="32" s="1"/>
  <c r="BQ247" i="32" s="1"/>
  <c r="V314" i="45"/>
  <c r="Y314" i="45" s="1"/>
  <c r="E214" i="32"/>
  <c r="BP215" i="32"/>
  <c r="CC215" i="32" s="1"/>
  <c r="CD215" i="32" s="1"/>
  <c r="CE215" i="32" s="1"/>
  <c r="BQ215" i="32" s="1"/>
  <c r="V282" i="45"/>
  <c r="Y282" i="45" s="1"/>
  <c r="E190" i="32"/>
  <c r="BP191" i="32"/>
  <c r="CC191" i="32" s="1"/>
  <c r="CD191" i="32" s="1"/>
  <c r="CE191" i="32" s="1"/>
  <c r="BQ191" i="32" s="1"/>
  <c r="V258" i="45"/>
  <c r="E158" i="32"/>
  <c r="BP159" i="32"/>
  <c r="CC159" i="32" s="1"/>
  <c r="CD159" i="32" s="1"/>
  <c r="CE159" i="32" s="1"/>
  <c r="BQ159" i="32" s="1"/>
  <c r="V226" i="45"/>
  <c r="E122" i="32"/>
  <c r="BP123" i="32"/>
  <c r="CC123" i="32" s="1"/>
  <c r="CD123" i="32" s="1"/>
  <c r="CE123" i="32" s="1"/>
  <c r="BQ123" i="32" s="1"/>
  <c r="E110" i="32"/>
  <c r="BP111" i="32"/>
  <c r="CC111" i="32" s="1"/>
  <c r="CD111" i="32" s="1"/>
  <c r="CE111" i="32" s="1"/>
  <c r="BQ111" i="32" s="1"/>
  <c r="E106" i="32"/>
  <c r="BP107" i="32"/>
  <c r="CC107" i="32" s="1"/>
  <c r="CD107" i="32" s="1"/>
  <c r="CE107" i="32" s="1"/>
  <c r="BQ107" i="32" s="1"/>
  <c r="V161" i="45"/>
  <c r="BP78" i="32"/>
  <c r="CC78" i="32" s="1"/>
  <c r="CD78" i="32" s="1"/>
  <c r="CE78" i="32" s="1"/>
  <c r="BQ78" i="32" s="1"/>
  <c r="E77" i="32"/>
  <c r="V145" i="45"/>
  <c r="Z133" i="40"/>
  <c r="AC133" i="40" s="1"/>
  <c r="Z101" i="40"/>
  <c r="AC101" i="40" s="1"/>
  <c r="Z85" i="40"/>
  <c r="AC85" i="40" s="1"/>
  <c r="D237" i="32"/>
  <c r="BH238" i="32"/>
  <c r="BZ238" i="32" s="1"/>
  <c r="CA238" i="32" s="1"/>
  <c r="CB238" i="32" s="1"/>
  <c r="BI238" i="32" s="1"/>
  <c r="D221" i="32"/>
  <c r="BH222" i="32"/>
  <c r="BZ222" i="32" s="1"/>
  <c r="CA222" i="32" s="1"/>
  <c r="CB222" i="32" s="1"/>
  <c r="BI222" i="32" s="1"/>
  <c r="D205" i="32"/>
  <c r="BH206" i="32"/>
  <c r="BZ206" i="32" s="1"/>
  <c r="CA206" i="32" s="1"/>
  <c r="CB206" i="32" s="1"/>
  <c r="BI206" i="32" s="1"/>
  <c r="Y261" i="40"/>
  <c r="AA261" i="40" s="1"/>
  <c r="AE261" i="40" s="1"/>
  <c r="AB261" i="40" s="1"/>
  <c r="AF261" i="40" s="1"/>
  <c r="Y245" i="40"/>
  <c r="AA245" i="40" s="1"/>
  <c r="AE245" i="40" s="1"/>
  <c r="AB245" i="40" s="1"/>
  <c r="AF245" i="40" s="1"/>
  <c r="Y229" i="40"/>
  <c r="AA229" i="40" s="1"/>
  <c r="AE229" i="40" s="1"/>
  <c r="AB229" i="40" s="1"/>
  <c r="AF229" i="40" s="1"/>
  <c r="D141" i="32"/>
  <c r="BH142" i="32"/>
  <c r="BZ142" i="32" s="1"/>
  <c r="CA142" i="32" s="1"/>
  <c r="CB142" i="32" s="1"/>
  <c r="BI142" i="32" s="1"/>
  <c r="D125" i="32"/>
  <c r="BH126" i="32"/>
  <c r="BZ126" i="32" s="1"/>
  <c r="CA126" i="32" s="1"/>
  <c r="CB126" i="32" s="1"/>
  <c r="BI126" i="32" s="1"/>
  <c r="D105" i="32"/>
  <c r="BH106" i="32"/>
  <c r="BZ106" i="32" s="1"/>
  <c r="CA106" i="32" s="1"/>
  <c r="CB106" i="32" s="1"/>
  <c r="BI106" i="32" s="1"/>
  <c r="D89" i="32"/>
  <c r="BH90" i="32"/>
  <c r="BZ90" i="32" s="1"/>
  <c r="CA90" i="32" s="1"/>
  <c r="CB90" i="32" s="1"/>
  <c r="BI90" i="32" s="1"/>
  <c r="D69" i="32"/>
  <c r="BH70" i="32"/>
  <c r="BZ70" i="32" s="1"/>
  <c r="CA70" i="32" s="1"/>
  <c r="CB70" i="32" s="1"/>
  <c r="BI70" i="32" s="1"/>
  <c r="Y125" i="40"/>
  <c r="AA125" i="40" s="1"/>
  <c r="AE125" i="40" s="1"/>
  <c r="AB125" i="40" s="1"/>
  <c r="E428" i="32"/>
  <c r="BP429" i="32"/>
  <c r="CC429" i="32" s="1"/>
  <c r="CD429" i="32" s="1"/>
  <c r="CE429" i="32" s="1"/>
  <c r="BQ429" i="32" s="1"/>
  <c r="Z484" i="40"/>
  <c r="AC484" i="40" s="1"/>
  <c r="V476" i="45"/>
  <c r="Z378" i="40"/>
  <c r="AC378" i="40" s="1"/>
  <c r="Z362" i="40"/>
  <c r="AC362" i="40" s="1"/>
  <c r="Z317" i="40"/>
  <c r="AC317" i="40" s="1"/>
  <c r="BP230" i="32"/>
  <c r="CC230" i="32" s="1"/>
  <c r="CD230" i="32" s="1"/>
  <c r="CE230" i="32" s="1"/>
  <c r="BQ230" i="32" s="1"/>
  <c r="E229" i="32"/>
  <c r="Z285" i="40"/>
  <c r="AC285" i="40" s="1"/>
  <c r="AF285" i="40" s="1"/>
  <c r="BP198" i="32"/>
  <c r="CC198" i="32" s="1"/>
  <c r="CD198" i="32" s="1"/>
  <c r="CE198" i="32" s="1"/>
  <c r="BQ198" i="32" s="1"/>
  <c r="E197" i="32"/>
  <c r="V265" i="45"/>
  <c r="BP182" i="32"/>
  <c r="CC182" i="32" s="1"/>
  <c r="CD182" i="32" s="1"/>
  <c r="CE182" i="32" s="1"/>
  <c r="BQ182" i="32" s="1"/>
  <c r="E181" i="32"/>
  <c r="V249" i="45"/>
  <c r="T511" i="45"/>
  <c r="X511" i="45" s="1"/>
  <c r="U511" i="45" s="1"/>
  <c r="D427" i="32"/>
  <c r="BH428" i="32"/>
  <c r="BZ428" i="32" s="1"/>
  <c r="CA428" i="32" s="1"/>
  <c r="CB428" i="32" s="1"/>
  <c r="BI428" i="32" s="1"/>
  <c r="Y483" i="40"/>
  <c r="AA483" i="40" s="1"/>
  <c r="AE483" i="40" s="1"/>
  <c r="AB483" i="40" s="1"/>
  <c r="AF483" i="40" s="1"/>
  <c r="T463" i="45"/>
  <c r="X463" i="45" s="1"/>
  <c r="U463" i="45" s="1"/>
  <c r="D379" i="32"/>
  <c r="BH380" i="32"/>
  <c r="BZ380" i="32" s="1"/>
  <c r="CA380" i="32" s="1"/>
  <c r="CB380" i="32" s="1"/>
  <c r="BI380" i="32" s="1"/>
  <c r="T447" i="45"/>
  <c r="X447" i="45" s="1"/>
  <c r="U447" i="45" s="1"/>
  <c r="Y435" i="40"/>
  <c r="AA435" i="40" s="1"/>
  <c r="AE435" i="40" s="1"/>
  <c r="AB435" i="40" s="1"/>
  <c r="AF435" i="40" s="1"/>
  <c r="D331" i="32"/>
  <c r="BH332" i="32"/>
  <c r="BZ332" i="32" s="1"/>
  <c r="CA332" i="32" s="1"/>
  <c r="CB332" i="32" s="1"/>
  <c r="BI332" i="32" s="1"/>
  <c r="T399" i="45"/>
  <c r="X399" i="45" s="1"/>
  <c r="U399" i="45" s="1"/>
  <c r="Y399" i="45" s="1"/>
  <c r="Y387" i="40"/>
  <c r="AA387" i="40" s="1"/>
  <c r="AE387" i="40" s="1"/>
  <c r="AB387" i="40" s="1"/>
  <c r="Y505" i="31"/>
  <c r="Y355" i="40"/>
  <c r="AA355" i="40" s="1"/>
  <c r="AE355" i="40" s="1"/>
  <c r="AB355" i="40" s="1"/>
  <c r="D235" i="32"/>
  <c r="BH236" i="32"/>
  <c r="BZ236" i="32" s="1"/>
  <c r="CA236" i="32" s="1"/>
  <c r="CB236" i="32" s="1"/>
  <c r="BI236" i="32" s="1"/>
  <c r="T299" i="45"/>
  <c r="X299" i="45" s="1"/>
  <c r="U299" i="45" s="1"/>
  <c r="D219" i="32"/>
  <c r="BH220" i="32"/>
  <c r="BZ220" i="32" s="1"/>
  <c r="CA220" i="32" s="1"/>
  <c r="CB220" i="32" s="1"/>
  <c r="BI220" i="32" s="1"/>
  <c r="D203" i="32"/>
  <c r="BH204" i="32"/>
  <c r="BZ204" i="32" s="1"/>
  <c r="CA204" i="32" s="1"/>
  <c r="CB204" i="32" s="1"/>
  <c r="BI204" i="32" s="1"/>
  <c r="T271" i="45"/>
  <c r="X271" i="45" s="1"/>
  <c r="U271" i="45" s="1"/>
  <c r="Y227" i="40"/>
  <c r="AA227" i="40" s="1"/>
  <c r="AE227" i="40" s="1"/>
  <c r="AB227" i="40" s="1"/>
  <c r="AF227" i="40" s="1"/>
  <c r="Y179" i="40"/>
  <c r="AA179" i="40" s="1"/>
  <c r="AE179" i="40" s="1"/>
  <c r="AB179" i="40" s="1"/>
  <c r="D91" i="32"/>
  <c r="BH92" i="32"/>
  <c r="BZ92" i="32" s="1"/>
  <c r="CA92" i="32" s="1"/>
  <c r="CB92" i="32" s="1"/>
  <c r="BI92" i="32" s="1"/>
  <c r="T159" i="45"/>
  <c r="X159" i="45" s="1"/>
  <c r="U159" i="45" s="1"/>
  <c r="Y159" i="45" s="1"/>
  <c r="D75" i="32"/>
  <c r="BH76" i="32"/>
  <c r="BZ76" i="32" s="1"/>
  <c r="CA76" i="32" s="1"/>
  <c r="CB76" i="32" s="1"/>
  <c r="BI76" i="32" s="1"/>
  <c r="T143" i="45"/>
  <c r="X143" i="45" s="1"/>
  <c r="U143" i="45" s="1"/>
  <c r="Y131" i="40"/>
  <c r="AA131" i="40" s="1"/>
  <c r="AE131" i="40" s="1"/>
  <c r="AB131" i="40" s="1"/>
  <c r="D11" i="32"/>
  <c r="BH12" i="32"/>
  <c r="BZ12" i="32" s="1"/>
  <c r="CA12" i="32" s="1"/>
  <c r="CB12" i="32" s="1"/>
  <c r="BI12" i="32" s="1"/>
  <c r="T79" i="45"/>
  <c r="X79" i="45" s="1"/>
  <c r="U79" i="45" s="1"/>
  <c r="E402" i="32"/>
  <c r="BP403" i="32"/>
  <c r="CC403" i="32" s="1"/>
  <c r="CD403" i="32" s="1"/>
  <c r="CE403" i="32" s="1"/>
  <c r="BQ403" i="32" s="1"/>
  <c r="Z457" i="40"/>
  <c r="AC457" i="40" s="1"/>
  <c r="Y815" i="31"/>
  <c r="Y746" i="31"/>
  <c r="V368" i="45"/>
  <c r="Z360" i="40"/>
  <c r="AC360" i="40" s="1"/>
  <c r="V339" i="45"/>
  <c r="BP256" i="32"/>
  <c r="CC256" i="32" s="1"/>
  <c r="CD256" i="32" s="1"/>
  <c r="CE256" i="32" s="1"/>
  <c r="BQ256" i="32" s="1"/>
  <c r="E255" i="32"/>
  <c r="Z311" i="40"/>
  <c r="AC311" i="40" s="1"/>
  <c r="V291" i="45"/>
  <c r="Y417" i="31"/>
  <c r="BP176" i="32"/>
  <c r="CC176" i="32" s="1"/>
  <c r="CD176" i="32" s="1"/>
  <c r="CE176" i="32" s="1"/>
  <c r="BQ176" i="32" s="1"/>
  <c r="E175" i="32"/>
  <c r="BP160" i="32"/>
  <c r="CC160" i="32" s="1"/>
  <c r="CD160" i="32" s="1"/>
  <c r="CE160" i="32" s="1"/>
  <c r="BQ160" i="32" s="1"/>
  <c r="E159" i="32"/>
  <c r="Y353" i="31"/>
  <c r="Z199" i="40"/>
  <c r="AC199" i="40" s="1"/>
  <c r="BP112" i="32"/>
  <c r="CC112" i="32" s="1"/>
  <c r="CD112" i="32" s="1"/>
  <c r="CE112" i="32" s="1"/>
  <c r="BQ112" i="32" s="1"/>
  <c r="E111" i="32"/>
  <c r="V179" i="45"/>
  <c r="Y304" i="31"/>
  <c r="Z146" i="40"/>
  <c r="AC146" i="40" s="1"/>
  <c r="AF146" i="40" s="1"/>
  <c r="Y288" i="31"/>
  <c r="Z134" i="40"/>
  <c r="AC134" i="40" s="1"/>
  <c r="Z114" i="40"/>
  <c r="AC114" i="40" s="1"/>
  <c r="Y240" i="31"/>
  <c r="Y224" i="31"/>
  <c r="E269" i="32"/>
  <c r="E253" i="32"/>
  <c r="T506" i="45"/>
  <c r="X506" i="45" s="1"/>
  <c r="U506" i="45" s="1"/>
  <c r="Y506" i="45" s="1"/>
  <c r="BH423" i="32"/>
  <c r="BZ423" i="32" s="1"/>
  <c r="CA423" i="32" s="1"/>
  <c r="CB423" i="32" s="1"/>
  <c r="BI423" i="32" s="1"/>
  <c r="D422" i="32"/>
  <c r="Y462" i="40"/>
  <c r="AA462" i="40" s="1"/>
  <c r="AE462" i="40" s="1"/>
  <c r="AB462" i="40" s="1"/>
  <c r="BH359" i="32"/>
  <c r="BZ359" i="32" s="1"/>
  <c r="CA359" i="32" s="1"/>
  <c r="CB359" i="32" s="1"/>
  <c r="BI359" i="32" s="1"/>
  <c r="D358" i="32"/>
  <c r="T426" i="45"/>
  <c r="X426" i="45" s="1"/>
  <c r="U426" i="45" s="1"/>
  <c r="Y398" i="40"/>
  <c r="AA398" i="40" s="1"/>
  <c r="AE398" i="40" s="1"/>
  <c r="AB398" i="40" s="1"/>
  <c r="AF398" i="40" s="1"/>
  <c r="BH311" i="32"/>
  <c r="BZ311" i="32" s="1"/>
  <c r="CA311" i="32" s="1"/>
  <c r="CB311" i="32" s="1"/>
  <c r="BI311" i="32" s="1"/>
  <c r="D310" i="32"/>
  <c r="T378" i="45"/>
  <c r="X378" i="45" s="1"/>
  <c r="U378" i="45" s="1"/>
  <c r="Y350" i="40"/>
  <c r="AA350" i="40" s="1"/>
  <c r="AE350" i="40" s="1"/>
  <c r="AB350" i="40" s="1"/>
  <c r="BH243" i="32"/>
  <c r="BZ243" i="32" s="1"/>
  <c r="CA243" i="32" s="1"/>
  <c r="CB243" i="32" s="1"/>
  <c r="BI243" i="32" s="1"/>
  <c r="D242" i="32"/>
  <c r="T310" i="45"/>
  <c r="X310" i="45" s="1"/>
  <c r="U310" i="45" s="1"/>
  <c r="Y310" i="45" s="1"/>
  <c r="T274" i="45"/>
  <c r="X274" i="45" s="1"/>
  <c r="U274" i="45" s="1"/>
  <c r="Y246" i="40"/>
  <c r="AA246" i="40" s="1"/>
  <c r="AE246" i="40" s="1"/>
  <c r="AB246" i="40" s="1"/>
  <c r="BH159" i="32"/>
  <c r="BZ159" i="32" s="1"/>
  <c r="CA159" i="32" s="1"/>
  <c r="CB159" i="32" s="1"/>
  <c r="BI159" i="32" s="1"/>
  <c r="D158" i="32"/>
  <c r="T226" i="45"/>
  <c r="X226" i="45" s="1"/>
  <c r="U226" i="45" s="1"/>
  <c r="T198" i="45"/>
  <c r="X198" i="45" s="1"/>
  <c r="U198" i="45" s="1"/>
  <c r="BH91" i="32"/>
  <c r="BZ91" i="32" s="1"/>
  <c r="CA91" i="32" s="1"/>
  <c r="CB91" i="32" s="1"/>
  <c r="BI91" i="32" s="1"/>
  <c r="D90" i="32"/>
  <c r="T150" i="45"/>
  <c r="X150" i="45" s="1"/>
  <c r="U150" i="45" s="1"/>
  <c r="Y150" i="45" s="1"/>
  <c r="BH59" i="32"/>
  <c r="BZ59" i="32" s="1"/>
  <c r="CA59" i="32" s="1"/>
  <c r="CB59" i="32" s="1"/>
  <c r="BI59" i="32" s="1"/>
  <c r="D58" i="32"/>
  <c r="T102" i="45"/>
  <c r="X102" i="45" s="1"/>
  <c r="U102" i="45" s="1"/>
  <c r="Y102" i="45" s="1"/>
  <c r="BH11" i="32"/>
  <c r="BZ11" i="32" s="1"/>
  <c r="CA11" i="32" s="1"/>
  <c r="CB11" i="32" s="1"/>
  <c r="BI11" i="32" s="1"/>
  <c r="D10" i="32"/>
  <c r="E392" i="32"/>
  <c r="BP393" i="32"/>
  <c r="CC393" i="32" s="1"/>
  <c r="CD393" i="32" s="1"/>
  <c r="CE393" i="32" s="1"/>
  <c r="BQ393" i="32" s="1"/>
  <c r="V460" i="45"/>
  <c r="Y460" i="45" s="1"/>
  <c r="Z432" i="40"/>
  <c r="AC432" i="40" s="1"/>
  <c r="Z310" i="40"/>
  <c r="AC310" i="40" s="1"/>
  <c r="AF310" i="40" s="1"/>
  <c r="Z278" i="40"/>
  <c r="AC278" i="40" s="1"/>
  <c r="Z258" i="40"/>
  <c r="AC258" i="40" s="1"/>
  <c r="Z242" i="40"/>
  <c r="AC242" i="40" s="1"/>
  <c r="Z226" i="40"/>
  <c r="AC226" i="40" s="1"/>
  <c r="E138" i="32"/>
  <c r="BP139" i="32"/>
  <c r="CC139" i="32" s="1"/>
  <c r="CD139" i="32" s="1"/>
  <c r="CE139" i="32" s="1"/>
  <c r="BQ139" i="32" s="1"/>
  <c r="V206" i="45"/>
  <c r="V174" i="45"/>
  <c r="Z113" i="40"/>
  <c r="AC113" i="40" s="1"/>
  <c r="AF113" i="40" s="1"/>
  <c r="Z97" i="40"/>
  <c r="AC97" i="40" s="1"/>
  <c r="AF97" i="40" s="1"/>
  <c r="V76" i="45"/>
  <c r="Y76" i="45" s="1"/>
  <c r="T509" i="45"/>
  <c r="X509" i="45" s="1"/>
  <c r="U509" i="45" s="1"/>
  <c r="Y509" i="45" s="1"/>
  <c r="T477" i="45"/>
  <c r="X477" i="45" s="1"/>
  <c r="U477" i="45" s="1"/>
  <c r="D233" i="32"/>
  <c r="BH234" i="32"/>
  <c r="BZ234" i="32" s="1"/>
  <c r="CA234" i="32" s="1"/>
  <c r="CB234" i="32" s="1"/>
  <c r="BI234" i="32" s="1"/>
  <c r="D217" i="32"/>
  <c r="BH218" i="32"/>
  <c r="BZ218" i="32" s="1"/>
  <c r="CA218" i="32" s="1"/>
  <c r="CB218" i="32" s="1"/>
  <c r="BI218" i="32" s="1"/>
  <c r="T253" i="45"/>
  <c r="X253" i="45" s="1"/>
  <c r="U253" i="45" s="1"/>
  <c r="T237" i="45"/>
  <c r="X237" i="45" s="1"/>
  <c r="U237" i="45" s="1"/>
  <c r="Y237" i="45" s="1"/>
  <c r="Y225" i="40"/>
  <c r="AA225" i="40" s="1"/>
  <c r="AE225" i="40" s="1"/>
  <c r="AB225" i="40" s="1"/>
  <c r="AF225" i="40" s="1"/>
  <c r="D137" i="32"/>
  <c r="BH138" i="32"/>
  <c r="BZ138" i="32" s="1"/>
  <c r="CA138" i="32" s="1"/>
  <c r="CB138" i="32" s="1"/>
  <c r="BI138" i="32" s="1"/>
  <c r="D121" i="32"/>
  <c r="BH122" i="32"/>
  <c r="BZ122" i="32" s="1"/>
  <c r="CA122" i="32" s="1"/>
  <c r="CB122" i="32" s="1"/>
  <c r="BI122" i="32" s="1"/>
  <c r="Y173" i="40"/>
  <c r="AA173" i="40" s="1"/>
  <c r="AE173" i="40" s="1"/>
  <c r="AB173" i="40" s="1"/>
  <c r="Y157" i="40"/>
  <c r="AA157" i="40" s="1"/>
  <c r="AE157" i="40" s="1"/>
  <c r="AB157" i="40" s="1"/>
  <c r="AF157" i="40" s="1"/>
  <c r="Y137" i="40"/>
  <c r="AA137" i="40" s="1"/>
  <c r="AE137" i="40" s="1"/>
  <c r="AB137" i="40" s="1"/>
  <c r="AF137" i="40" s="1"/>
  <c r="T117" i="45"/>
  <c r="X117" i="45" s="1"/>
  <c r="U117" i="45" s="1"/>
  <c r="D33" i="32"/>
  <c r="BH34" i="32"/>
  <c r="BZ34" i="32" s="1"/>
  <c r="CA34" i="32" s="1"/>
  <c r="CB34" i="32" s="1"/>
  <c r="BI34" i="32" s="1"/>
  <c r="Y7" i="31"/>
  <c r="Z512" i="40"/>
  <c r="AC512" i="40" s="1"/>
  <c r="AF512" i="40" s="1"/>
  <c r="Z496" i="40"/>
  <c r="AC496" i="40" s="1"/>
  <c r="AF496" i="40" s="1"/>
  <c r="Z480" i="40"/>
  <c r="AC480" i="40" s="1"/>
  <c r="AF480" i="40" s="1"/>
  <c r="V463" i="45"/>
  <c r="V391" i="45"/>
  <c r="E302" i="32"/>
  <c r="BP303" i="32"/>
  <c r="CC303" i="32" s="1"/>
  <c r="CD303" i="32" s="1"/>
  <c r="CE303" i="32" s="1"/>
  <c r="BQ303" i="32" s="1"/>
  <c r="V370" i="45"/>
  <c r="Y716" i="31"/>
  <c r="BP242" i="32"/>
  <c r="CC242" i="32" s="1"/>
  <c r="CD242" i="32" s="1"/>
  <c r="CE242" i="32" s="1"/>
  <c r="BQ242" i="32" s="1"/>
  <c r="E241" i="32"/>
  <c r="BP226" i="32"/>
  <c r="CC226" i="32" s="1"/>
  <c r="CD226" i="32" s="1"/>
  <c r="CE226" i="32" s="1"/>
  <c r="BQ226" i="32" s="1"/>
  <c r="E225" i="32"/>
  <c r="BP210" i="32"/>
  <c r="CC210" i="32" s="1"/>
  <c r="CD210" i="32" s="1"/>
  <c r="CE210" i="32" s="1"/>
  <c r="BQ210" i="32" s="1"/>
  <c r="E209" i="32"/>
  <c r="T515" i="45"/>
  <c r="X515" i="45" s="1"/>
  <c r="U515" i="45" s="1"/>
  <c r="Y515" i="45" s="1"/>
  <c r="Y511" i="40"/>
  <c r="AA511" i="40" s="1"/>
  <c r="AE511" i="40" s="1"/>
  <c r="AB511" i="40" s="1"/>
  <c r="AF511" i="40" s="1"/>
  <c r="D407" i="32"/>
  <c r="BH408" i="32"/>
  <c r="BZ408" i="32" s="1"/>
  <c r="CA408" i="32" s="1"/>
  <c r="CB408" i="32" s="1"/>
  <c r="BI408" i="32" s="1"/>
  <c r="Y463" i="40"/>
  <c r="AA463" i="40" s="1"/>
  <c r="AE463" i="40" s="1"/>
  <c r="AB463" i="40" s="1"/>
  <c r="AF463" i="40" s="1"/>
  <c r="D359" i="32"/>
  <c r="BH360" i="32"/>
  <c r="BZ360" i="32" s="1"/>
  <c r="CA360" i="32" s="1"/>
  <c r="CB360" i="32" s="1"/>
  <c r="BI360" i="32" s="1"/>
  <c r="T427" i="45"/>
  <c r="X427" i="45" s="1"/>
  <c r="U427" i="45" s="1"/>
  <c r="Y427" i="45" s="1"/>
  <c r="T419" i="45"/>
  <c r="X419" i="45" s="1"/>
  <c r="U419" i="45" s="1"/>
  <c r="D311" i="32"/>
  <c r="BH312" i="32"/>
  <c r="BZ312" i="32" s="1"/>
  <c r="CA312" i="32" s="1"/>
  <c r="CB312" i="32" s="1"/>
  <c r="BI312" i="32" s="1"/>
  <c r="T379" i="45"/>
  <c r="X379" i="45" s="1"/>
  <c r="U379" i="45" s="1"/>
  <c r="Y379" i="45" s="1"/>
  <c r="D295" i="32"/>
  <c r="BH296" i="32"/>
  <c r="BZ296" i="32" s="1"/>
  <c r="CA296" i="32" s="1"/>
  <c r="CB296" i="32" s="1"/>
  <c r="BI296" i="32" s="1"/>
  <c r="T363" i="45"/>
  <c r="X363" i="45" s="1"/>
  <c r="U363" i="45" s="1"/>
  <c r="Y363" i="45" s="1"/>
  <c r="Y351" i="40"/>
  <c r="AA351" i="40" s="1"/>
  <c r="AE351" i="40" s="1"/>
  <c r="AB351" i="40" s="1"/>
  <c r="AF351" i="40" s="1"/>
  <c r="Y473" i="31"/>
  <c r="D199" i="32"/>
  <c r="BH200" i="32"/>
  <c r="BZ200" i="32" s="1"/>
  <c r="CA200" i="32" s="1"/>
  <c r="CB200" i="32" s="1"/>
  <c r="BI200" i="32" s="1"/>
  <c r="T263" i="45"/>
  <c r="X263" i="45" s="1"/>
  <c r="U263" i="45" s="1"/>
  <c r="Y263" i="45" s="1"/>
  <c r="D167" i="32"/>
  <c r="BH168" i="32"/>
  <c r="BZ168" i="32" s="1"/>
  <c r="CA168" i="32" s="1"/>
  <c r="CB168" i="32" s="1"/>
  <c r="BI168" i="32" s="1"/>
  <c r="T235" i="45"/>
  <c r="X235" i="45" s="1"/>
  <c r="U235" i="45" s="1"/>
  <c r="Y235" i="45" s="1"/>
  <c r="Y191" i="40"/>
  <c r="AA191" i="40" s="1"/>
  <c r="AE191" i="40" s="1"/>
  <c r="AB191" i="40" s="1"/>
  <c r="AF191" i="40" s="1"/>
  <c r="T183" i="45"/>
  <c r="X183" i="45" s="1"/>
  <c r="U183" i="45" s="1"/>
  <c r="Y183" i="45" s="1"/>
  <c r="D87" i="32"/>
  <c r="BH88" i="32"/>
  <c r="BZ88" i="32" s="1"/>
  <c r="CA88" i="32" s="1"/>
  <c r="CB88" i="32" s="1"/>
  <c r="BI88" i="32" s="1"/>
  <c r="T155" i="45"/>
  <c r="X155" i="45" s="1"/>
  <c r="U155" i="45" s="1"/>
  <c r="Y143" i="40"/>
  <c r="AA143" i="40" s="1"/>
  <c r="AE143" i="40" s="1"/>
  <c r="AB143" i="40" s="1"/>
  <c r="AF143" i="40" s="1"/>
  <c r="Y127" i="40"/>
  <c r="AA127" i="40" s="1"/>
  <c r="AE127" i="40" s="1"/>
  <c r="AB127" i="40" s="1"/>
  <c r="AF127" i="40" s="1"/>
  <c r="Y111" i="40"/>
  <c r="AA111" i="40" s="1"/>
  <c r="AE111" i="40" s="1"/>
  <c r="AB111" i="40" s="1"/>
  <c r="AF111" i="40" s="1"/>
  <c r="T103" i="45"/>
  <c r="X103" i="45" s="1"/>
  <c r="U103" i="45" s="1"/>
  <c r="Y876" i="31"/>
  <c r="BP398" i="32"/>
  <c r="CC398" i="32" s="1"/>
  <c r="CD398" i="32" s="1"/>
  <c r="CE398" i="32" s="1"/>
  <c r="BQ398" i="32" s="1"/>
  <c r="E397" i="32"/>
  <c r="BP366" i="32"/>
  <c r="CC366" i="32" s="1"/>
  <c r="CD366" i="32" s="1"/>
  <c r="CE366" i="32" s="1"/>
  <c r="BQ366" i="32" s="1"/>
  <c r="E365" i="32"/>
  <c r="V433" i="45"/>
  <c r="BP318" i="32"/>
  <c r="CC318" i="32" s="1"/>
  <c r="CD318" i="32" s="1"/>
  <c r="CE318" i="32" s="1"/>
  <c r="BQ318" i="32" s="1"/>
  <c r="E317" i="32"/>
  <c r="V385" i="45"/>
  <c r="Y730" i="31"/>
  <c r="V352" i="45"/>
  <c r="Y352" i="45" s="1"/>
  <c r="BP268" i="32"/>
  <c r="CC268" i="32" s="1"/>
  <c r="CD268" i="32" s="1"/>
  <c r="CE268" i="32" s="1"/>
  <c r="BQ268" i="32" s="1"/>
  <c r="E267" i="32"/>
  <c r="Z323" i="40"/>
  <c r="AC323" i="40" s="1"/>
  <c r="Y665" i="31"/>
  <c r="Z275" i="40"/>
  <c r="AC275" i="40" s="1"/>
  <c r="V271" i="45"/>
  <c r="BP188" i="32"/>
  <c r="CC188" i="32" s="1"/>
  <c r="CD188" i="32" s="1"/>
  <c r="CE188" i="32" s="1"/>
  <c r="BQ188" i="32" s="1"/>
  <c r="E187" i="32"/>
  <c r="Z243" i="40"/>
  <c r="AC243" i="40" s="1"/>
  <c r="V219" i="45"/>
  <c r="Z211" i="40"/>
  <c r="AC211" i="40" s="1"/>
  <c r="BP124" i="32"/>
  <c r="CC124" i="32" s="1"/>
  <c r="CD124" i="32" s="1"/>
  <c r="CE124" i="32" s="1"/>
  <c r="BQ124" i="32" s="1"/>
  <c r="E123" i="32"/>
  <c r="V191" i="45"/>
  <c r="Z179" i="40"/>
  <c r="AC179" i="40" s="1"/>
  <c r="V171" i="45"/>
  <c r="Y171" i="45" s="1"/>
  <c r="V158" i="45"/>
  <c r="V146" i="45"/>
  <c r="V126" i="45"/>
  <c r="Y126" i="45" s="1"/>
  <c r="V98" i="45"/>
  <c r="E6" i="32"/>
  <c r="BP7" i="32"/>
  <c r="CC7" i="32" s="1"/>
  <c r="CD7" i="32" s="1"/>
  <c r="CE7" i="32" s="1"/>
  <c r="BQ7" i="32" s="1"/>
  <c r="Y309" i="31"/>
  <c r="E431" i="32"/>
  <c r="D176" i="32"/>
  <c r="E83" i="32"/>
  <c r="T502" i="45"/>
  <c r="X502" i="45" s="1"/>
  <c r="U502" i="45" s="1"/>
  <c r="BH419" i="32"/>
  <c r="BZ419" i="32" s="1"/>
  <c r="CA419" i="32" s="1"/>
  <c r="CB419" i="32" s="1"/>
  <c r="BI419" i="32" s="1"/>
  <c r="D418" i="32"/>
  <c r="Y474" i="40"/>
  <c r="AA474" i="40" s="1"/>
  <c r="AE474" i="40" s="1"/>
  <c r="AB474" i="40" s="1"/>
  <c r="AF474" i="40" s="1"/>
  <c r="Y612" i="31"/>
  <c r="Y394" i="40"/>
  <c r="AA394" i="40" s="1"/>
  <c r="AE394" i="40" s="1"/>
  <c r="AB394" i="40" s="1"/>
  <c r="AF394" i="40" s="1"/>
  <c r="T386" i="45"/>
  <c r="X386" i="45" s="1"/>
  <c r="U386" i="45" s="1"/>
  <c r="Y386" i="45" s="1"/>
  <c r="BH275" i="32"/>
  <c r="BZ275" i="32" s="1"/>
  <c r="CA275" i="32" s="1"/>
  <c r="CB275" i="32" s="1"/>
  <c r="BI275" i="32" s="1"/>
  <c r="D274" i="32"/>
  <c r="T342" i="45"/>
  <c r="X342" i="45" s="1"/>
  <c r="U342" i="45" s="1"/>
  <c r="Y208" i="31"/>
  <c r="Y274" i="40"/>
  <c r="AA274" i="40" s="1"/>
  <c r="AE274" i="40" s="1"/>
  <c r="AB274" i="40" s="1"/>
  <c r="AF274" i="40" s="1"/>
  <c r="BH171" i="32"/>
  <c r="BZ171" i="32" s="1"/>
  <c r="CA171" i="32" s="1"/>
  <c r="CB171" i="32" s="1"/>
  <c r="BI171" i="32" s="1"/>
  <c r="D170" i="32"/>
  <c r="T238" i="45"/>
  <c r="X238" i="45" s="1"/>
  <c r="U238" i="45" s="1"/>
  <c r="BH119" i="32"/>
  <c r="BZ119" i="32" s="1"/>
  <c r="CA119" i="32" s="1"/>
  <c r="CB119" i="32" s="1"/>
  <c r="BI119" i="32" s="1"/>
  <c r="D118" i="32"/>
  <c r="T178" i="45"/>
  <c r="X178" i="45" s="1"/>
  <c r="U178" i="45" s="1"/>
  <c r="Y178" i="45" s="1"/>
  <c r="BH87" i="32"/>
  <c r="BZ87" i="32" s="1"/>
  <c r="CA87" i="32" s="1"/>
  <c r="CB87" i="32" s="1"/>
  <c r="BI87" i="32" s="1"/>
  <c r="D86" i="32"/>
  <c r="BH83" i="32"/>
  <c r="BZ83" i="32" s="1"/>
  <c r="CA83" i="32" s="1"/>
  <c r="CB83" i="32" s="1"/>
  <c r="BI83" i="32" s="1"/>
  <c r="D82" i="32"/>
  <c r="BH71" i="32"/>
  <c r="BZ71" i="32" s="1"/>
  <c r="CA71" i="32" s="1"/>
  <c r="CB71" i="32" s="1"/>
  <c r="BI71" i="32" s="1"/>
  <c r="D70" i="32"/>
  <c r="Y48" i="31"/>
  <c r="Y110" i="40"/>
  <c r="AA110" i="40" s="1"/>
  <c r="AE110" i="40" s="1"/>
  <c r="AB110" i="40" s="1"/>
  <c r="AF110" i="40" s="1"/>
  <c r="Y28" i="31"/>
  <c r="Y879" i="31"/>
  <c r="Y871" i="31"/>
  <c r="Y863" i="31"/>
  <c r="Y855" i="31"/>
  <c r="Y843" i="31"/>
  <c r="Y834" i="31"/>
  <c r="V456" i="45"/>
  <c r="E372" i="32"/>
  <c r="BP373" i="32"/>
  <c r="CC373" i="32" s="1"/>
  <c r="CD373" i="32" s="1"/>
  <c r="CE373" i="32" s="1"/>
  <c r="BQ373" i="32" s="1"/>
  <c r="Y786" i="31"/>
  <c r="Z412" i="40"/>
  <c r="AC412" i="40" s="1"/>
  <c r="Z326" i="40"/>
  <c r="AC326" i="40" s="1"/>
  <c r="V318" i="45"/>
  <c r="E230" i="32"/>
  <c r="BP231" i="32"/>
  <c r="CC231" i="32" s="1"/>
  <c r="CD231" i="32" s="1"/>
  <c r="CE231" i="32" s="1"/>
  <c r="BQ231" i="32" s="1"/>
  <c r="V298" i="45"/>
  <c r="Z270" i="40"/>
  <c r="AC270" i="40" s="1"/>
  <c r="Y372" i="31"/>
  <c r="Z222" i="40"/>
  <c r="AC222" i="40" s="1"/>
  <c r="Z202" i="40"/>
  <c r="AC202" i="40" s="1"/>
  <c r="Y344" i="31"/>
  <c r="Z190" i="40"/>
  <c r="AC190" i="40" s="1"/>
  <c r="BP86" i="32"/>
  <c r="CC86" i="32" s="1"/>
  <c r="CD86" i="32" s="1"/>
  <c r="CE86" i="32" s="1"/>
  <c r="BQ86" i="32" s="1"/>
  <c r="E85" i="32"/>
  <c r="V153" i="45"/>
  <c r="Z141" i="40"/>
  <c r="AC141" i="40" s="1"/>
  <c r="Z125" i="40"/>
  <c r="AC125" i="40" s="1"/>
  <c r="Z93" i="40"/>
  <c r="AC93" i="40" s="1"/>
  <c r="AF93" i="40" s="1"/>
  <c r="D245" i="32"/>
  <c r="BH246" i="32"/>
  <c r="BZ246" i="32" s="1"/>
  <c r="CA246" i="32" s="1"/>
  <c r="CB246" i="32" s="1"/>
  <c r="BI246" i="32" s="1"/>
  <c r="Y269" i="40"/>
  <c r="AA269" i="40" s="1"/>
  <c r="AE269" i="40" s="1"/>
  <c r="AB269" i="40" s="1"/>
  <c r="AF269" i="40" s="1"/>
  <c r="Y253" i="40"/>
  <c r="AA253" i="40" s="1"/>
  <c r="AE253" i="40" s="1"/>
  <c r="AB253" i="40" s="1"/>
  <c r="AF253" i="40" s="1"/>
  <c r="T233" i="45"/>
  <c r="X233" i="45" s="1"/>
  <c r="U233" i="45" s="1"/>
  <c r="Y151" i="31"/>
  <c r="Y139" i="31"/>
  <c r="T201" i="45"/>
  <c r="X201" i="45" s="1"/>
  <c r="U201" i="45" s="1"/>
  <c r="D117" i="32"/>
  <c r="BH118" i="32"/>
  <c r="BZ118" i="32" s="1"/>
  <c r="CA118" i="32" s="1"/>
  <c r="CB118" i="32" s="1"/>
  <c r="BI118" i="32" s="1"/>
  <c r="D97" i="32"/>
  <c r="BH98" i="32"/>
  <c r="BZ98" i="32" s="1"/>
  <c r="CA98" i="32" s="1"/>
  <c r="CB98" i="32" s="1"/>
  <c r="BI98" i="32" s="1"/>
  <c r="Y153" i="40"/>
  <c r="AA153" i="40" s="1"/>
  <c r="AE153" i="40" s="1"/>
  <c r="AB153" i="40" s="1"/>
  <c r="AF153" i="40" s="1"/>
  <c r="Y133" i="40"/>
  <c r="AA133" i="40" s="1"/>
  <c r="AE133" i="40" s="1"/>
  <c r="AB133" i="40" s="1"/>
  <c r="AF133" i="40" s="1"/>
  <c r="T113" i="45"/>
  <c r="X113" i="45" s="1"/>
  <c r="U113" i="45" s="1"/>
  <c r="Y113" i="45" s="1"/>
  <c r="D29" i="32"/>
  <c r="BH30" i="32"/>
  <c r="BZ30" i="32" s="1"/>
  <c r="CA30" i="32" s="1"/>
  <c r="CB30" i="32" s="1"/>
  <c r="BI30" i="32" s="1"/>
  <c r="Y85" i="40"/>
  <c r="AA85" i="40" s="1"/>
  <c r="AE85" i="40" s="1"/>
  <c r="AB85" i="40" s="1"/>
  <c r="AF85" i="40" s="1"/>
  <c r="Y2" i="31"/>
  <c r="E436" i="32"/>
  <c r="BP437" i="32"/>
  <c r="CC437" i="32" s="1"/>
  <c r="CD437" i="32" s="1"/>
  <c r="CE437" i="32" s="1"/>
  <c r="BQ437" i="32" s="1"/>
  <c r="V447" i="45"/>
  <c r="V439" i="45"/>
  <c r="V431" i="45"/>
  <c r="V419" i="45"/>
  <c r="V403" i="45"/>
  <c r="Y403" i="45" s="1"/>
  <c r="V395" i="45"/>
  <c r="V387" i="45"/>
  <c r="Z370" i="40"/>
  <c r="AC370" i="40" s="1"/>
  <c r="Y728" i="31"/>
  <c r="Y707" i="31"/>
  <c r="BP238" i="32"/>
  <c r="CC238" i="32" s="1"/>
  <c r="CD238" i="32" s="1"/>
  <c r="CE238" i="32" s="1"/>
  <c r="BQ238" i="32" s="1"/>
  <c r="E237" i="32"/>
  <c r="Z293" i="40"/>
  <c r="AC293" i="40" s="1"/>
  <c r="V273" i="45"/>
  <c r="Z261" i="40"/>
  <c r="AC261" i="40" s="1"/>
  <c r="Y383" i="31"/>
  <c r="Z197" i="40"/>
  <c r="AC197" i="40" s="1"/>
  <c r="Z160" i="40"/>
  <c r="AC160" i="40" s="1"/>
  <c r="V156" i="45"/>
  <c r="V128" i="45"/>
  <c r="Z116" i="40"/>
  <c r="AC116" i="40" s="1"/>
  <c r="V112" i="45"/>
  <c r="Z100" i="40"/>
  <c r="AC100" i="40" s="1"/>
  <c r="AF100" i="40" s="1"/>
  <c r="V92" i="45"/>
  <c r="Y92" i="45" s="1"/>
  <c r="V80" i="45"/>
  <c r="E395" i="32"/>
  <c r="BP396" i="32"/>
  <c r="CC396" i="32" s="1"/>
  <c r="CD396" i="32" s="1"/>
  <c r="CE396" i="32" s="1"/>
  <c r="BQ396" i="32" s="1"/>
  <c r="E363" i="32"/>
  <c r="BP364" i="32"/>
  <c r="CC364" i="32" s="1"/>
  <c r="CD364" i="32" s="1"/>
  <c r="CE364" i="32" s="1"/>
  <c r="BQ364" i="32" s="1"/>
  <c r="E331" i="32"/>
  <c r="BP332" i="32"/>
  <c r="CC332" i="32" s="1"/>
  <c r="CD332" i="32" s="1"/>
  <c r="CE332" i="32" s="1"/>
  <c r="BQ332" i="32" s="1"/>
  <c r="BP300" i="32"/>
  <c r="CC300" i="32" s="1"/>
  <c r="CD300" i="32" s="1"/>
  <c r="CE300" i="32" s="1"/>
  <c r="BQ300" i="32" s="1"/>
  <c r="E299" i="32"/>
  <c r="E218" i="32"/>
  <c r="BP219" i="32"/>
  <c r="CC219" i="32" s="1"/>
  <c r="CD219" i="32" s="1"/>
  <c r="CE219" i="32" s="1"/>
  <c r="BQ219" i="32" s="1"/>
  <c r="Y488" i="40"/>
  <c r="AA488" i="40" s="1"/>
  <c r="AE488" i="40" s="1"/>
  <c r="AB488" i="40" s="1"/>
  <c r="AF488" i="40" s="1"/>
  <c r="BH385" i="32"/>
  <c r="BZ385" i="32" s="1"/>
  <c r="CA385" i="32" s="1"/>
  <c r="CB385" i="32" s="1"/>
  <c r="BI385" i="32" s="1"/>
  <c r="D384" i="32"/>
  <c r="T420" i="45"/>
  <c r="X420" i="45" s="1"/>
  <c r="U420" i="45" s="1"/>
  <c r="Y420" i="45" s="1"/>
  <c r="BH337" i="32"/>
  <c r="BZ337" i="32" s="1"/>
  <c r="CA337" i="32" s="1"/>
  <c r="CB337" i="32" s="1"/>
  <c r="BI337" i="32" s="1"/>
  <c r="D336" i="32"/>
  <c r="Y376" i="40"/>
  <c r="AA376" i="40" s="1"/>
  <c r="AE376" i="40" s="1"/>
  <c r="AB376" i="40" s="1"/>
  <c r="AF376" i="40" s="1"/>
  <c r="T356" i="45"/>
  <c r="X356" i="45" s="1"/>
  <c r="U356" i="45" s="1"/>
  <c r="Y356" i="45" s="1"/>
  <c r="BH273" i="32"/>
  <c r="BZ273" i="32" s="1"/>
  <c r="CA273" i="32" s="1"/>
  <c r="CB273" i="32" s="1"/>
  <c r="BI273" i="32" s="1"/>
  <c r="D272" i="32"/>
  <c r="Y328" i="40"/>
  <c r="AA328" i="40" s="1"/>
  <c r="AE328" i="40" s="1"/>
  <c r="AB328" i="40" s="1"/>
  <c r="AF328" i="40" s="1"/>
  <c r="T308" i="45"/>
  <c r="X308" i="45" s="1"/>
  <c r="U308" i="45" s="1"/>
  <c r="Y308" i="45" s="1"/>
  <c r="Y280" i="40"/>
  <c r="AA280" i="40" s="1"/>
  <c r="AE280" i="40" s="1"/>
  <c r="AB280" i="40" s="1"/>
  <c r="BH157" i="32"/>
  <c r="BZ157" i="32" s="1"/>
  <c r="CA157" i="32" s="1"/>
  <c r="CB157" i="32" s="1"/>
  <c r="BI157" i="32" s="1"/>
  <c r="D156" i="32"/>
  <c r="BH129" i="32"/>
  <c r="BZ129" i="32" s="1"/>
  <c r="CA129" i="32" s="1"/>
  <c r="CB129" i="32" s="1"/>
  <c r="BI129" i="32" s="1"/>
  <c r="D128" i="32"/>
  <c r="T196" i="45"/>
  <c r="X196" i="45" s="1"/>
  <c r="U196" i="45" s="1"/>
  <c r="Y136" i="40"/>
  <c r="AA136" i="40" s="1"/>
  <c r="AE136" i="40" s="1"/>
  <c r="AB136" i="40" s="1"/>
  <c r="T132" i="45"/>
  <c r="X132" i="45" s="1"/>
  <c r="U132" i="45" s="1"/>
  <c r="Y132" i="45" s="1"/>
  <c r="T100" i="45"/>
  <c r="X100" i="45" s="1"/>
  <c r="U100" i="45" s="1"/>
  <c r="Y100" i="45" s="1"/>
  <c r="Z454" i="40"/>
  <c r="AC454" i="40" s="1"/>
  <c r="E350" i="32"/>
  <c r="BP351" i="32"/>
  <c r="CC351" i="32" s="1"/>
  <c r="CD351" i="32" s="1"/>
  <c r="CE351" i="32" s="1"/>
  <c r="BQ351" i="32" s="1"/>
  <c r="V418" i="45"/>
  <c r="Z390" i="40"/>
  <c r="AC390" i="40" s="1"/>
  <c r="BP217" i="32"/>
  <c r="CC217" i="32" s="1"/>
  <c r="CD217" i="32" s="1"/>
  <c r="CE217" i="32" s="1"/>
  <c r="BQ217" i="32" s="1"/>
  <c r="E216" i="32"/>
  <c r="BP173" i="32"/>
  <c r="CC173" i="32" s="1"/>
  <c r="CD173" i="32" s="1"/>
  <c r="CE173" i="32" s="1"/>
  <c r="BQ173" i="32" s="1"/>
  <c r="E172" i="32"/>
  <c r="Z188" i="40"/>
  <c r="AC188" i="40" s="1"/>
  <c r="BP105" i="32"/>
  <c r="CC105" i="32" s="1"/>
  <c r="CD105" i="32" s="1"/>
  <c r="CE105" i="32" s="1"/>
  <c r="BQ105" i="32" s="1"/>
  <c r="E104" i="32"/>
  <c r="Z139" i="40"/>
  <c r="AC139" i="40" s="1"/>
  <c r="V131" i="45"/>
  <c r="Z123" i="40"/>
  <c r="AC123" i="40" s="1"/>
  <c r="BP36" i="32"/>
  <c r="CC36" i="32" s="1"/>
  <c r="CD36" i="32" s="1"/>
  <c r="CE36" i="32" s="1"/>
  <c r="BQ36" i="32" s="1"/>
  <c r="E35" i="32"/>
  <c r="Z91" i="40"/>
  <c r="AC91" i="40" s="1"/>
  <c r="AF91" i="40" s="1"/>
  <c r="V87" i="45"/>
  <c r="E441" i="32"/>
  <c r="BP442" i="32"/>
  <c r="CC442" i="32" s="1"/>
  <c r="CD442" i="32" s="1"/>
  <c r="CE442" i="32" s="1"/>
  <c r="BQ442" i="32" s="1"/>
  <c r="E425" i="32"/>
  <c r="BP426" i="32"/>
  <c r="CC426" i="32" s="1"/>
  <c r="CD426" i="32" s="1"/>
  <c r="CE426" i="32" s="1"/>
  <c r="BQ426" i="32" s="1"/>
  <c r="E409" i="32"/>
  <c r="BP410" i="32"/>
  <c r="CC410" i="32" s="1"/>
  <c r="CD410" i="32" s="1"/>
  <c r="CE410" i="32" s="1"/>
  <c r="BQ410" i="32" s="1"/>
  <c r="D393" i="32"/>
  <c r="BH394" i="32"/>
  <c r="BZ394" i="32" s="1"/>
  <c r="CA394" i="32" s="1"/>
  <c r="CB394" i="32" s="1"/>
  <c r="BI394" i="32" s="1"/>
  <c r="D361" i="32"/>
  <c r="BH362" i="32"/>
  <c r="BZ362" i="32" s="1"/>
  <c r="CA362" i="32" s="1"/>
  <c r="CB362" i="32" s="1"/>
  <c r="BI362" i="32" s="1"/>
  <c r="D329" i="32"/>
  <c r="BH330" i="32"/>
  <c r="BZ330" i="32" s="1"/>
  <c r="CA330" i="32" s="1"/>
  <c r="CB330" i="32" s="1"/>
  <c r="BI330" i="32" s="1"/>
  <c r="D305" i="32"/>
  <c r="BH306" i="32"/>
  <c r="BZ306" i="32" s="1"/>
  <c r="CA306" i="32" s="1"/>
  <c r="CB306" i="32" s="1"/>
  <c r="BI306" i="32" s="1"/>
  <c r="D289" i="32"/>
  <c r="BH290" i="32"/>
  <c r="BZ290" i="32" s="1"/>
  <c r="CA290" i="32" s="1"/>
  <c r="CB290" i="32" s="1"/>
  <c r="BI290" i="32" s="1"/>
  <c r="D273" i="32"/>
  <c r="BH274" i="32"/>
  <c r="BZ274" i="32" s="1"/>
  <c r="CA274" i="32" s="1"/>
  <c r="CB274" i="32" s="1"/>
  <c r="BI274" i="32" s="1"/>
  <c r="D257" i="32"/>
  <c r="BH258" i="32"/>
  <c r="BZ258" i="32" s="1"/>
  <c r="CA258" i="32" s="1"/>
  <c r="CB258" i="32" s="1"/>
  <c r="BI258" i="32" s="1"/>
  <c r="BH239" i="32"/>
  <c r="BZ239" i="32" s="1"/>
  <c r="CA239" i="32" s="1"/>
  <c r="CB239" i="32" s="1"/>
  <c r="BI239" i="32" s="1"/>
  <c r="D238" i="32"/>
  <c r="BH169" i="32"/>
  <c r="BZ169" i="32" s="1"/>
  <c r="CA169" i="32" s="1"/>
  <c r="CB169" i="32" s="1"/>
  <c r="BI169" i="32" s="1"/>
  <c r="D168" i="32"/>
  <c r="Z472" i="40"/>
  <c r="AC472" i="40" s="1"/>
  <c r="BP93" i="32"/>
  <c r="CC93" i="32" s="1"/>
  <c r="CD93" i="32" s="1"/>
  <c r="CE93" i="32" s="1"/>
  <c r="BQ93" i="32" s="1"/>
  <c r="E92" i="32"/>
  <c r="Z95" i="40"/>
  <c r="AC95" i="40" s="1"/>
  <c r="V108" i="45"/>
  <c r="Y108" i="45" s="1"/>
  <c r="BP25" i="32"/>
  <c r="CC25" i="32" s="1"/>
  <c r="CD25" i="32" s="1"/>
  <c r="CE25" i="32" s="1"/>
  <c r="BQ25" i="32" s="1"/>
  <c r="E24" i="32"/>
  <c r="BP21" i="32"/>
  <c r="CC21" i="32" s="1"/>
  <c r="CD21" i="32" s="1"/>
  <c r="CE21" i="32" s="1"/>
  <c r="BQ21" i="32" s="1"/>
  <c r="E20" i="32"/>
  <c r="Y750" i="31"/>
  <c r="Z459" i="40"/>
  <c r="AC459" i="40" s="1"/>
  <c r="Z427" i="40"/>
  <c r="AC427" i="40" s="1"/>
  <c r="AF427" i="40" s="1"/>
  <c r="Z395" i="40"/>
  <c r="AC395" i="40" s="1"/>
  <c r="Z363" i="40"/>
  <c r="AC363" i="40" s="1"/>
  <c r="AF363" i="40" s="1"/>
  <c r="Y286" i="40"/>
  <c r="AA286" i="40" s="1"/>
  <c r="AE286" i="40" s="1"/>
  <c r="AB286" i="40" s="1"/>
  <c r="AF286" i="40" s="1"/>
  <c r="Y654" i="31"/>
  <c r="Y500" i="40"/>
  <c r="AA500" i="40" s="1"/>
  <c r="AE500" i="40" s="1"/>
  <c r="AB500" i="40" s="1"/>
  <c r="AF500" i="40" s="1"/>
  <c r="T448" i="45"/>
  <c r="X448" i="45" s="1"/>
  <c r="U448" i="45" s="1"/>
  <c r="Y448" i="45" s="1"/>
  <c r="BH365" i="32"/>
  <c r="BZ365" i="32" s="1"/>
  <c r="CA365" i="32" s="1"/>
  <c r="CB365" i="32" s="1"/>
  <c r="BI365" i="32" s="1"/>
  <c r="D364" i="32"/>
  <c r="Y558" i="31"/>
  <c r="T400" i="45"/>
  <c r="X400" i="45" s="1"/>
  <c r="U400" i="45" s="1"/>
  <c r="Y400" i="45" s="1"/>
  <c r="Y526" i="31"/>
  <c r="Y372" i="40"/>
  <c r="AA372" i="40" s="1"/>
  <c r="AE372" i="40" s="1"/>
  <c r="AB372" i="40" s="1"/>
  <c r="AF372" i="40" s="1"/>
  <c r="Y356" i="40"/>
  <c r="AA356" i="40" s="1"/>
  <c r="AE356" i="40" s="1"/>
  <c r="AB356" i="40" s="1"/>
  <c r="T336" i="45"/>
  <c r="X336" i="45" s="1"/>
  <c r="U336" i="45" s="1"/>
  <c r="Y336" i="45" s="1"/>
  <c r="BH253" i="32"/>
  <c r="BZ253" i="32" s="1"/>
  <c r="CA253" i="32" s="1"/>
  <c r="CB253" i="32" s="1"/>
  <c r="BI253" i="32" s="1"/>
  <c r="D252" i="32"/>
  <c r="BH237" i="32"/>
  <c r="BZ237" i="32" s="1"/>
  <c r="CA237" i="32" s="1"/>
  <c r="CB237" i="32" s="1"/>
  <c r="BI237" i="32" s="1"/>
  <c r="D236" i="32"/>
  <c r="Y292" i="40"/>
  <c r="AA292" i="40" s="1"/>
  <c r="AE292" i="40" s="1"/>
  <c r="AB292" i="40" s="1"/>
  <c r="Y210" i="31"/>
  <c r="BH181" i="32"/>
  <c r="BZ181" i="32" s="1"/>
  <c r="CA181" i="32" s="1"/>
  <c r="CB181" i="32" s="1"/>
  <c r="BI181" i="32" s="1"/>
  <c r="D180" i="32"/>
  <c r="Y166" i="31"/>
  <c r="BH149" i="32"/>
  <c r="BZ149" i="32" s="1"/>
  <c r="CA149" i="32" s="1"/>
  <c r="CB149" i="32" s="1"/>
  <c r="BI149" i="32" s="1"/>
  <c r="D148" i="32"/>
  <c r="BH77" i="32"/>
  <c r="BZ77" i="32" s="1"/>
  <c r="CA77" i="32" s="1"/>
  <c r="CB77" i="32" s="1"/>
  <c r="BI77" i="32" s="1"/>
  <c r="D76" i="32"/>
  <c r="Y132" i="40"/>
  <c r="AA132" i="40" s="1"/>
  <c r="AE132" i="40" s="1"/>
  <c r="AB132" i="40" s="1"/>
  <c r="Y50" i="31"/>
  <c r="T112" i="45"/>
  <c r="X112" i="45" s="1"/>
  <c r="U112" i="45" s="1"/>
  <c r="Y112" i="45" s="1"/>
  <c r="BH29" i="32"/>
  <c r="BZ29" i="32" s="1"/>
  <c r="CA29" i="32" s="1"/>
  <c r="CB29" i="32" s="1"/>
  <c r="BI29" i="32" s="1"/>
  <c r="D28" i="32"/>
  <c r="BH25" i="32"/>
  <c r="BZ25" i="32" s="1"/>
  <c r="CA25" i="32" s="1"/>
  <c r="CB25" i="32" s="1"/>
  <c r="BI25" i="32" s="1"/>
  <c r="D24" i="32"/>
  <c r="T80" i="45"/>
  <c r="X80" i="45" s="1"/>
  <c r="U80" i="45" s="1"/>
  <c r="Y80" i="45" s="1"/>
  <c r="Z332" i="40"/>
  <c r="AC332" i="40" s="1"/>
  <c r="V328" i="45"/>
  <c r="Z300" i="40"/>
  <c r="AC300" i="40" s="1"/>
  <c r="Y422" i="31"/>
  <c r="V264" i="45"/>
  <c r="Y264" i="45" s="1"/>
  <c r="Y402" i="31"/>
  <c r="V232" i="45"/>
  <c r="Y232" i="45" s="1"/>
  <c r="V220" i="45"/>
  <c r="BP133" i="32"/>
  <c r="CC133" i="32" s="1"/>
  <c r="CD133" i="32" s="1"/>
  <c r="CE133" i="32" s="1"/>
  <c r="BQ133" i="32" s="1"/>
  <c r="E132" i="32"/>
  <c r="V200" i="45"/>
  <c r="Y326" i="31"/>
  <c r="Y310" i="31"/>
  <c r="BP64" i="32"/>
  <c r="CC64" i="32" s="1"/>
  <c r="CD64" i="32" s="1"/>
  <c r="CE64" i="32" s="1"/>
  <c r="BQ64" i="32" s="1"/>
  <c r="E63" i="32"/>
  <c r="V115" i="45"/>
  <c r="V99" i="45"/>
  <c r="BP16" i="32"/>
  <c r="CC16" i="32" s="1"/>
  <c r="CD16" i="32" s="1"/>
  <c r="CE16" i="32" s="1"/>
  <c r="BQ16" i="32" s="1"/>
  <c r="E15" i="32"/>
  <c r="Y513" i="40"/>
  <c r="AA513" i="40" s="1"/>
  <c r="AE513" i="40" s="1"/>
  <c r="AB513" i="40" s="1"/>
  <c r="AF513" i="40" s="1"/>
  <c r="Y497" i="40"/>
  <c r="AA497" i="40" s="1"/>
  <c r="AE497" i="40" s="1"/>
  <c r="AB497" i="40" s="1"/>
  <c r="AF497" i="40" s="1"/>
  <c r="Y481" i="40"/>
  <c r="AA481" i="40" s="1"/>
  <c r="AE481" i="40" s="1"/>
  <c r="AB481" i="40" s="1"/>
  <c r="AF481" i="40" s="1"/>
  <c r="Y457" i="40"/>
  <c r="AA457" i="40" s="1"/>
  <c r="AE457" i="40" s="1"/>
  <c r="AB457" i="40" s="1"/>
  <c r="AF457" i="40" s="1"/>
  <c r="Y425" i="40"/>
  <c r="AA425" i="40" s="1"/>
  <c r="AE425" i="40" s="1"/>
  <c r="AB425" i="40" s="1"/>
  <c r="AF425" i="40" s="1"/>
  <c r="Y393" i="40"/>
  <c r="AA393" i="40" s="1"/>
  <c r="AE393" i="40" s="1"/>
  <c r="AB393" i="40" s="1"/>
  <c r="AF393" i="40" s="1"/>
  <c r="Z369" i="40"/>
  <c r="AC369" i="40" s="1"/>
  <c r="Z353" i="40"/>
  <c r="AC353" i="40" s="1"/>
  <c r="Z337" i="40"/>
  <c r="AC337" i="40" s="1"/>
  <c r="Z321" i="40"/>
  <c r="AC321" i="40" s="1"/>
  <c r="Z282" i="40"/>
  <c r="AC282" i="40" s="1"/>
  <c r="Z224" i="40"/>
  <c r="AC224" i="40" s="1"/>
  <c r="AF224" i="40" s="1"/>
  <c r="Z131" i="40"/>
  <c r="AC131" i="40" s="1"/>
  <c r="BP28" i="32"/>
  <c r="CC28" i="32" s="1"/>
  <c r="CD28" i="32" s="1"/>
  <c r="CE28" i="32" s="1"/>
  <c r="BQ28" i="32" s="1"/>
  <c r="E27" i="32"/>
  <c r="Z196" i="40"/>
  <c r="AC196" i="40" s="1"/>
  <c r="Y293" i="31"/>
  <c r="BP134" i="32"/>
  <c r="CC134" i="32" s="1"/>
  <c r="CD134" i="32" s="1"/>
  <c r="CE134" i="32" s="1"/>
  <c r="BQ134" i="32" s="1"/>
  <c r="E133" i="32"/>
  <c r="V201" i="45"/>
  <c r="Y306" i="31"/>
  <c r="V152" i="45"/>
  <c r="Y152" i="45" s="1"/>
  <c r="BP69" i="32"/>
  <c r="CC69" i="32" s="1"/>
  <c r="CD69" i="32" s="1"/>
  <c r="CE69" i="32" s="1"/>
  <c r="BQ69" i="32" s="1"/>
  <c r="E68" i="32"/>
  <c r="V136" i="45"/>
  <c r="V120" i="45"/>
  <c r="V88" i="45"/>
  <c r="V384" i="45"/>
  <c r="Z451" i="40"/>
  <c r="AC451" i="40" s="1"/>
  <c r="Z419" i="40"/>
  <c r="AC419" i="40" s="1"/>
  <c r="Z387" i="40"/>
  <c r="AC387" i="40" s="1"/>
  <c r="Z355" i="40"/>
  <c r="AC355" i="40" s="1"/>
  <c r="Y634" i="31"/>
  <c r="Y602" i="31"/>
  <c r="T444" i="45"/>
  <c r="X444" i="45" s="1"/>
  <c r="U444" i="45" s="1"/>
  <c r="Y444" i="45" s="1"/>
  <c r="Y570" i="31"/>
  <c r="Y542" i="31"/>
  <c r="T380" i="45"/>
  <c r="X380" i="45" s="1"/>
  <c r="U380" i="45" s="1"/>
  <c r="Y380" i="45" s="1"/>
  <c r="T360" i="45"/>
  <c r="X360" i="45" s="1"/>
  <c r="U360" i="45" s="1"/>
  <c r="Y360" i="45" s="1"/>
  <c r="T344" i="45"/>
  <c r="X344" i="45" s="1"/>
  <c r="U344" i="45" s="1"/>
  <c r="Y336" i="40"/>
  <c r="AA336" i="40" s="1"/>
  <c r="AE336" i="40" s="1"/>
  <c r="AB336" i="40" s="1"/>
  <c r="T316" i="45"/>
  <c r="X316" i="45" s="1"/>
  <c r="U316" i="45" s="1"/>
  <c r="Y316" i="45" s="1"/>
  <c r="T204" i="45"/>
  <c r="X204" i="45" s="1"/>
  <c r="U204" i="45" s="1"/>
  <c r="Y204" i="45" s="1"/>
  <c r="T184" i="45"/>
  <c r="X184" i="45" s="1"/>
  <c r="U184" i="45" s="1"/>
  <c r="Y184" i="45" s="1"/>
  <c r="T172" i="45"/>
  <c r="X172" i="45" s="1"/>
  <c r="U172" i="45" s="1"/>
  <c r="Y172" i="45" s="1"/>
  <c r="T156" i="45"/>
  <c r="X156" i="45" s="1"/>
  <c r="U156" i="45" s="1"/>
  <c r="Y156" i="45" s="1"/>
  <c r="T136" i="45"/>
  <c r="X136" i="45" s="1"/>
  <c r="U136" i="45" s="1"/>
  <c r="Y136" i="45" s="1"/>
  <c r="T120" i="45"/>
  <c r="X120" i="45" s="1"/>
  <c r="U120" i="45" s="1"/>
  <c r="Y120" i="45" s="1"/>
  <c r="Y80" i="40"/>
  <c r="AA80" i="40" s="1"/>
  <c r="AE80" i="40" s="1"/>
  <c r="AB80" i="40" s="1"/>
  <c r="V511" i="45"/>
  <c r="V475" i="45"/>
  <c r="E390" i="32"/>
  <c r="BP391" i="32"/>
  <c r="CC391" i="32" s="1"/>
  <c r="CD391" i="32" s="1"/>
  <c r="CE391" i="32" s="1"/>
  <c r="BQ391" i="32" s="1"/>
  <c r="E374" i="32"/>
  <c r="BP375" i="32"/>
  <c r="CC375" i="32" s="1"/>
  <c r="CD375" i="32" s="1"/>
  <c r="CE375" i="32" s="1"/>
  <c r="BQ375" i="32" s="1"/>
  <c r="V442" i="45"/>
  <c r="Y442" i="45" s="1"/>
  <c r="E358" i="32"/>
  <c r="BP359" i="32"/>
  <c r="CC359" i="32" s="1"/>
  <c r="CD359" i="32" s="1"/>
  <c r="CE359" i="32" s="1"/>
  <c r="BQ359" i="32" s="1"/>
  <c r="V426" i="45"/>
  <c r="BP273" i="32"/>
  <c r="CC273" i="32" s="1"/>
  <c r="CD273" i="32" s="1"/>
  <c r="CE273" i="32" s="1"/>
  <c r="BQ273" i="32" s="1"/>
  <c r="E272" i="32"/>
  <c r="BP257" i="32"/>
  <c r="CC257" i="32" s="1"/>
  <c r="CD257" i="32" s="1"/>
  <c r="CE257" i="32" s="1"/>
  <c r="BQ257" i="32" s="1"/>
  <c r="E256" i="32"/>
  <c r="BP225" i="32"/>
  <c r="CC225" i="32" s="1"/>
  <c r="CD225" i="32" s="1"/>
  <c r="CE225" i="32" s="1"/>
  <c r="BQ225" i="32" s="1"/>
  <c r="E224" i="32"/>
  <c r="V292" i="45"/>
  <c r="BP209" i="32"/>
  <c r="CC209" i="32" s="1"/>
  <c r="CD209" i="32" s="1"/>
  <c r="CE209" i="32" s="1"/>
  <c r="BQ209" i="32" s="1"/>
  <c r="E208" i="32"/>
  <c r="V276" i="45"/>
  <c r="V256" i="45"/>
  <c r="Y394" i="31"/>
  <c r="Z228" i="40"/>
  <c r="AC228" i="40" s="1"/>
  <c r="Y366" i="31"/>
  <c r="Y338" i="31"/>
  <c r="V143" i="45"/>
  <c r="Z115" i="40"/>
  <c r="AC115" i="40" s="1"/>
  <c r="AF115" i="40" s="1"/>
  <c r="V111" i="45"/>
  <c r="Z83" i="40"/>
  <c r="AC83" i="40" s="1"/>
  <c r="V347" i="45"/>
  <c r="AC505" i="40"/>
  <c r="AC489" i="40"/>
  <c r="AC473" i="40"/>
  <c r="AA449" i="40"/>
  <c r="AE449" i="40" s="1"/>
  <c r="AB449" i="40" s="1"/>
  <c r="AF449" i="40" s="1"/>
  <c r="AA417" i="40"/>
  <c r="AE417" i="40" s="1"/>
  <c r="AB417" i="40" s="1"/>
  <c r="AF417" i="40" s="1"/>
  <c r="AA385" i="40"/>
  <c r="AE385" i="40" s="1"/>
  <c r="AB385" i="40" s="1"/>
  <c r="AF385" i="40" s="1"/>
  <c r="AA369" i="40"/>
  <c r="AE369" i="40" s="1"/>
  <c r="AB369" i="40" s="1"/>
  <c r="AA353" i="40"/>
  <c r="AE353" i="40" s="1"/>
  <c r="AB353" i="40" s="1"/>
  <c r="AF353" i="40" s="1"/>
  <c r="AA337" i="40"/>
  <c r="AE337" i="40" s="1"/>
  <c r="AB337" i="40" s="1"/>
  <c r="AF337" i="40" s="1"/>
  <c r="AA321" i="40"/>
  <c r="AE321" i="40" s="1"/>
  <c r="AB321" i="40" s="1"/>
  <c r="AF321" i="40" s="1"/>
  <c r="AA278" i="40"/>
  <c r="AE278" i="40" s="1"/>
  <c r="AB278" i="40" s="1"/>
  <c r="AF278" i="40" s="1"/>
  <c r="AA208" i="40"/>
  <c r="AE208" i="40" s="1"/>
  <c r="AB208" i="40" s="1"/>
  <c r="AF208" i="40" s="1"/>
  <c r="V155" i="45"/>
  <c r="Z79" i="40"/>
  <c r="AC79" i="40" s="1"/>
  <c r="BP274" i="32"/>
  <c r="CC274" i="32" s="1"/>
  <c r="CD274" i="32" s="1"/>
  <c r="CE274" i="32" s="1"/>
  <c r="BQ274" i="32" s="1"/>
  <c r="E273" i="32"/>
  <c r="BP258" i="32"/>
  <c r="CC258" i="32" s="1"/>
  <c r="CD258" i="32" s="1"/>
  <c r="CE258" i="32" s="1"/>
  <c r="BQ258" i="32" s="1"/>
  <c r="E257" i="32"/>
  <c r="BP130" i="32"/>
  <c r="CC130" i="32" s="1"/>
  <c r="CD130" i="32" s="1"/>
  <c r="CE130" i="32" s="1"/>
  <c r="BQ130" i="32" s="1"/>
  <c r="E129" i="32"/>
  <c r="Z185" i="40"/>
  <c r="AC185" i="40" s="1"/>
  <c r="BP98" i="32"/>
  <c r="CC98" i="32" s="1"/>
  <c r="CD98" i="32" s="1"/>
  <c r="CE98" i="32" s="1"/>
  <c r="BQ98" i="32" s="1"/>
  <c r="E97" i="32"/>
  <c r="Z152" i="40"/>
  <c r="AC152" i="40" s="1"/>
  <c r="AF152" i="40" s="1"/>
  <c r="V148" i="45"/>
  <c r="BP65" i="32"/>
  <c r="CC65" i="32" s="1"/>
  <c r="CD65" i="32" s="1"/>
  <c r="CE65" i="32" s="1"/>
  <c r="BQ65" i="32" s="1"/>
  <c r="E64" i="32"/>
  <c r="Z120" i="40"/>
  <c r="AC120" i="40" s="1"/>
  <c r="V84" i="45"/>
  <c r="E312" i="32"/>
  <c r="BP313" i="32"/>
  <c r="CC313" i="32" s="1"/>
  <c r="CD313" i="32" s="1"/>
  <c r="CE313" i="32" s="1"/>
  <c r="BQ313" i="32" s="1"/>
  <c r="E371" i="32"/>
  <c r="BP372" i="32"/>
  <c r="CC372" i="32" s="1"/>
  <c r="CD372" i="32" s="1"/>
  <c r="CE372" i="32" s="1"/>
  <c r="BQ372" i="32" s="1"/>
  <c r="E339" i="32"/>
  <c r="BP340" i="32"/>
  <c r="CC340" i="32" s="1"/>
  <c r="CD340" i="32" s="1"/>
  <c r="CE340" i="32" s="1"/>
  <c r="BQ340" i="32" s="1"/>
  <c r="BP308" i="32"/>
  <c r="CC308" i="32" s="1"/>
  <c r="CD308" i="32" s="1"/>
  <c r="CE308" i="32" s="1"/>
  <c r="BQ308" i="32" s="1"/>
  <c r="E307" i="32"/>
  <c r="BH247" i="32"/>
  <c r="BZ247" i="32" s="1"/>
  <c r="CA247" i="32" s="1"/>
  <c r="CB247" i="32" s="1"/>
  <c r="BI247" i="32" s="1"/>
  <c r="D246" i="32"/>
  <c r="BH405" i="32"/>
  <c r="BZ405" i="32" s="1"/>
  <c r="CA405" i="32" s="1"/>
  <c r="CB405" i="32" s="1"/>
  <c r="BI405" i="32" s="1"/>
  <c r="D404" i="32"/>
  <c r="Y456" i="45"/>
  <c r="Y444" i="40"/>
  <c r="AA444" i="40" s="1"/>
  <c r="AE444" i="40" s="1"/>
  <c r="AB444" i="40" s="1"/>
  <c r="AF444" i="40" s="1"/>
  <c r="Y428" i="40"/>
  <c r="AA428" i="40" s="1"/>
  <c r="AE428" i="40" s="1"/>
  <c r="AB428" i="40" s="1"/>
  <c r="AF428" i="40" s="1"/>
  <c r="BH325" i="32"/>
  <c r="BZ325" i="32" s="1"/>
  <c r="CA325" i="32" s="1"/>
  <c r="CB325" i="32" s="1"/>
  <c r="BI325" i="32" s="1"/>
  <c r="D324" i="32"/>
  <c r="Y490" i="31"/>
  <c r="Y328" i="45"/>
  <c r="Y316" i="40"/>
  <c r="AA316" i="40" s="1"/>
  <c r="AE316" i="40" s="1"/>
  <c r="AB316" i="40" s="1"/>
  <c r="AF316" i="40" s="1"/>
  <c r="Y300" i="40"/>
  <c r="AA300" i="40" s="1"/>
  <c r="AE300" i="40" s="1"/>
  <c r="AB300" i="40" s="1"/>
  <c r="AF300" i="40" s="1"/>
  <c r="Y284" i="40"/>
  <c r="AA284" i="40" s="1"/>
  <c r="AE284" i="40" s="1"/>
  <c r="AB284" i="40" s="1"/>
  <c r="AF284" i="40" s="1"/>
  <c r="Y268" i="40"/>
  <c r="AA268" i="40" s="1"/>
  <c r="AE268" i="40" s="1"/>
  <c r="AB268" i="40" s="1"/>
  <c r="Y236" i="40"/>
  <c r="AA236" i="40" s="1"/>
  <c r="AE236" i="40" s="1"/>
  <c r="AB236" i="40" s="1"/>
  <c r="Y188" i="40"/>
  <c r="AA188" i="40" s="1"/>
  <c r="AE188" i="40" s="1"/>
  <c r="AB188" i="40" s="1"/>
  <c r="AF188" i="40" s="1"/>
  <c r="Y172" i="40"/>
  <c r="AA172" i="40" s="1"/>
  <c r="AE172" i="40" s="1"/>
  <c r="AB172" i="40" s="1"/>
  <c r="AF172" i="40" s="1"/>
  <c r="Y94" i="31"/>
  <c r="Y156" i="40"/>
  <c r="AA156" i="40" s="1"/>
  <c r="AE156" i="40" s="1"/>
  <c r="AB156" i="40" s="1"/>
  <c r="AF156" i="40" s="1"/>
  <c r="BH69" i="32"/>
  <c r="BZ69" i="32" s="1"/>
  <c r="CA69" i="32" s="1"/>
  <c r="CB69" i="32" s="1"/>
  <c r="BI69" i="32" s="1"/>
  <c r="D68" i="32"/>
  <c r="Y62" i="31"/>
  <c r="Y120" i="40"/>
  <c r="AA120" i="40" s="1"/>
  <c r="AE120" i="40" s="1"/>
  <c r="AB120" i="40" s="1"/>
  <c r="Y42" i="31"/>
  <c r="Y108" i="40"/>
  <c r="AA108" i="40" s="1"/>
  <c r="AE108" i="40" s="1"/>
  <c r="AB108" i="40" s="1"/>
  <c r="AF108" i="40" s="1"/>
  <c r="Y77" i="40"/>
  <c r="AA77" i="40" s="1"/>
  <c r="AE77" i="40" s="1"/>
  <c r="AB77" i="40" s="1"/>
  <c r="Y873" i="31"/>
  <c r="AC340" i="40"/>
  <c r="Z308" i="40"/>
  <c r="AC308" i="40" s="1"/>
  <c r="AF308" i="40" s="1"/>
  <c r="Z292" i="40"/>
  <c r="AC292" i="40" s="1"/>
  <c r="V284" i="45"/>
  <c r="Z276" i="40"/>
  <c r="AC276" i="40" s="1"/>
  <c r="AC252" i="40"/>
  <c r="AF252" i="40" s="1"/>
  <c r="AC180" i="40"/>
  <c r="Z127" i="40"/>
  <c r="AC127" i="40" s="1"/>
  <c r="D243" i="32"/>
  <c r="BH244" i="32"/>
  <c r="BZ244" i="32" s="1"/>
  <c r="CA244" i="32" s="1"/>
  <c r="CB244" i="32" s="1"/>
  <c r="BI244" i="32" s="1"/>
  <c r="E410" i="32"/>
  <c r="BP411" i="32"/>
  <c r="CC411" i="32" s="1"/>
  <c r="CD411" i="32" s="1"/>
  <c r="CE411" i="32" s="1"/>
  <c r="BQ411" i="32" s="1"/>
  <c r="E329" i="32"/>
  <c r="BP330" i="32"/>
  <c r="CC330" i="32" s="1"/>
  <c r="CD330" i="32" s="1"/>
  <c r="CE330" i="32" s="1"/>
  <c r="BQ330" i="32" s="1"/>
  <c r="AA491" i="40"/>
  <c r="AE491" i="40" s="1"/>
  <c r="AB491" i="40" s="1"/>
  <c r="AF491" i="40" s="1"/>
  <c r="D371" i="32"/>
  <c r="BH372" i="32"/>
  <c r="BZ372" i="32" s="1"/>
  <c r="CA372" i="32" s="1"/>
  <c r="CB372" i="32" s="1"/>
  <c r="BI372" i="32" s="1"/>
  <c r="D355" i="32"/>
  <c r="BH356" i="32"/>
  <c r="BZ356" i="32" s="1"/>
  <c r="CA356" i="32" s="1"/>
  <c r="CB356" i="32" s="1"/>
  <c r="BI356" i="32" s="1"/>
  <c r="Y423" i="45"/>
  <c r="AA267" i="40"/>
  <c r="AE267" i="40" s="1"/>
  <c r="AB267" i="40" s="1"/>
  <c r="AF267" i="40" s="1"/>
  <c r="D147" i="32"/>
  <c r="BH148" i="32"/>
  <c r="BZ148" i="32" s="1"/>
  <c r="CA148" i="32" s="1"/>
  <c r="CB148" i="32" s="1"/>
  <c r="BI148" i="32" s="1"/>
  <c r="V478" i="45"/>
  <c r="V331" i="45"/>
  <c r="V299" i="45"/>
  <c r="AC110" i="40"/>
  <c r="AC90" i="40"/>
  <c r="E160" i="32"/>
  <c r="E301" i="32"/>
  <c r="E136" i="32"/>
  <c r="AF202" i="40"/>
  <c r="Y174" i="45"/>
  <c r="V501" i="45"/>
  <c r="Y501" i="45" s="1"/>
  <c r="V477" i="45"/>
  <c r="Y475" i="40"/>
  <c r="AA475" i="40" s="1"/>
  <c r="AE475" i="40" s="1"/>
  <c r="AB475" i="40" s="1"/>
  <c r="AF475" i="40" s="1"/>
  <c r="D387" i="32"/>
  <c r="BH388" i="32"/>
  <c r="BZ388" i="32" s="1"/>
  <c r="CA388" i="32" s="1"/>
  <c r="CB388" i="32" s="1"/>
  <c r="BI388" i="32" s="1"/>
  <c r="T455" i="45"/>
  <c r="X455" i="45" s="1"/>
  <c r="U455" i="45" s="1"/>
  <c r="Y455" i="45" s="1"/>
  <c r="T435" i="45"/>
  <c r="X435" i="45" s="1"/>
  <c r="U435" i="45" s="1"/>
  <c r="Y435" i="45" s="1"/>
  <c r="D339" i="32"/>
  <c r="BH340" i="32"/>
  <c r="BZ340" i="32" s="1"/>
  <c r="CA340" i="32" s="1"/>
  <c r="CB340" i="32" s="1"/>
  <c r="BI340" i="32" s="1"/>
  <c r="D323" i="32"/>
  <c r="BH324" i="32"/>
  <c r="BZ324" i="32" s="1"/>
  <c r="CA324" i="32" s="1"/>
  <c r="CB324" i="32" s="1"/>
  <c r="BI324" i="32" s="1"/>
  <c r="T391" i="45"/>
  <c r="X391" i="45" s="1"/>
  <c r="U391" i="45" s="1"/>
  <c r="Y391" i="45" s="1"/>
  <c r="D307" i="32"/>
  <c r="BH308" i="32"/>
  <c r="BZ308" i="32" s="1"/>
  <c r="CA308" i="32" s="1"/>
  <c r="CB308" i="32" s="1"/>
  <c r="BI308" i="32" s="1"/>
  <c r="Y347" i="40"/>
  <c r="AA347" i="40" s="1"/>
  <c r="AE347" i="40" s="1"/>
  <c r="AB347" i="40" s="1"/>
  <c r="AF347" i="40" s="1"/>
  <c r="Y331" i="40"/>
  <c r="AA331" i="40" s="1"/>
  <c r="AE331" i="40" s="1"/>
  <c r="AB331" i="40" s="1"/>
  <c r="Y299" i="40"/>
  <c r="AA299" i="40" s="1"/>
  <c r="AE299" i="40" s="1"/>
  <c r="AB299" i="40" s="1"/>
  <c r="AF299" i="40" s="1"/>
  <c r="Y283" i="40"/>
  <c r="AA283" i="40" s="1"/>
  <c r="AE283" i="40" s="1"/>
  <c r="AB283" i="40" s="1"/>
  <c r="D195" i="32"/>
  <c r="BH196" i="32"/>
  <c r="BZ196" i="32" s="1"/>
  <c r="CA196" i="32" s="1"/>
  <c r="CB196" i="32" s="1"/>
  <c r="BI196" i="32" s="1"/>
  <c r="D179" i="32"/>
  <c r="BH180" i="32"/>
  <c r="BZ180" i="32" s="1"/>
  <c r="CA180" i="32" s="1"/>
  <c r="CB180" i="32" s="1"/>
  <c r="BI180" i="32" s="1"/>
  <c r="Y235" i="40"/>
  <c r="AA235" i="40" s="1"/>
  <c r="AE235" i="40" s="1"/>
  <c r="AB235" i="40" s="1"/>
  <c r="AF235" i="40" s="1"/>
  <c r="Y219" i="40"/>
  <c r="AA219" i="40" s="1"/>
  <c r="AE219" i="40" s="1"/>
  <c r="AB219" i="40" s="1"/>
  <c r="AF219" i="40" s="1"/>
  <c r="T211" i="45"/>
  <c r="X211" i="45" s="1"/>
  <c r="U211" i="45" s="1"/>
  <c r="Y211" i="45" s="1"/>
  <c r="AA139" i="40"/>
  <c r="AE139" i="40" s="1"/>
  <c r="AB139" i="40" s="1"/>
  <c r="D51" i="32"/>
  <c r="BH52" i="32"/>
  <c r="BZ52" i="32" s="1"/>
  <c r="CA52" i="32" s="1"/>
  <c r="CB52" i="32" s="1"/>
  <c r="BI52" i="32" s="1"/>
  <c r="D19" i="32"/>
  <c r="BH20" i="32"/>
  <c r="BZ20" i="32" s="1"/>
  <c r="CA20" i="32" s="1"/>
  <c r="CB20" i="32" s="1"/>
  <c r="BI20" i="32" s="1"/>
  <c r="Z465" i="40"/>
  <c r="AC465" i="40" s="1"/>
  <c r="AF465" i="40" s="1"/>
  <c r="E377" i="32"/>
  <c r="BP378" i="32"/>
  <c r="CC378" i="32" s="1"/>
  <c r="CD378" i="32" s="1"/>
  <c r="CE378" i="32" s="1"/>
  <c r="BQ378" i="32" s="1"/>
  <c r="V445" i="45"/>
  <c r="Z433" i="40"/>
  <c r="AC433" i="40" s="1"/>
  <c r="AF433" i="40" s="1"/>
  <c r="E345" i="32"/>
  <c r="BP346" i="32"/>
  <c r="CC346" i="32" s="1"/>
  <c r="CD346" i="32" s="1"/>
  <c r="CE346" i="32" s="1"/>
  <c r="BQ346" i="32" s="1"/>
  <c r="V413" i="45"/>
  <c r="Z401" i="40"/>
  <c r="AC401" i="40" s="1"/>
  <c r="AF401" i="40" s="1"/>
  <c r="E313" i="32"/>
  <c r="BP314" i="32"/>
  <c r="CC314" i="32" s="1"/>
  <c r="CD314" i="32" s="1"/>
  <c r="CE314" i="32" s="1"/>
  <c r="BQ314" i="32" s="1"/>
  <c r="Z335" i="40"/>
  <c r="AC335" i="40" s="1"/>
  <c r="Z319" i="40"/>
  <c r="AC319" i="40" s="1"/>
  <c r="E82" i="32"/>
  <c r="BP83" i="32"/>
  <c r="CC83" i="32" s="1"/>
  <c r="CD83" i="32" s="1"/>
  <c r="CE83" i="32" s="1"/>
  <c r="BQ83" i="32" s="1"/>
  <c r="E399" i="32"/>
  <c r="E279" i="32"/>
  <c r="D192" i="32"/>
  <c r="E309" i="32"/>
  <c r="E293" i="32"/>
  <c r="E176" i="32"/>
  <c r="E144" i="32"/>
  <c r="E275" i="32"/>
  <c r="T514" i="45"/>
  <c r="X514" i="45" s="1"/>
  <c r="U514" i="45" s="1"/>
  <c r="T498" i="45"/>
  <c r="X498" i="45" s="1"/>
  <c r="U498" i="45" s="1"/>
  <c r="Y498" i="45" s="1"/>
  <c r="T482" i="45"/>
  <c r="X482" i="45" s="1"/>
  <c r="U482" i="45" s="1"/>
  <c r="Y482" i="45" s="1"/>
  <c r="T462" i="45"/>
  <c r="X462" i="45" s="1"/>
  <c r="U462" i="45" s="1"/>
  <c r="Y462" i="45" s="1"/>
  <c r="BH351" i="32"/>
  <c r="BZ351" i="32" s="1"/>
  <c r="CA351" i="32" s="1"/>
  <c r="CB351" i="32" s="1"/>
  <c r="BI351" i="32" s="1"/>
  <c r="D350" i="32"/>
  <c r="Y406" i="40"/>
  <c r="AA406" i="40" s="1"/>
  <c r="AE406" i="40" s="1"/>
  <c r="AB406" i="40" s="1"/>
  <c r="AF406" i="40" s="1"/>
  <c r="Y390" i="40"/>
  <c r="AA390" i="40" s="1"/>
  <c r="AE390" i="40" s="1"/>
  <c r="AB390" i="40" s="1"/>
  <c r="AF390" i="40" s="1"/>
  <c r="Y298" i="40"/>
  <c r="AA298" i="40" s="1"/>
  <c r="AE298" i="40" s="1"/>
  <c r="AB298" i="40" s="1"/>
  <c r="BH199" i="32"/>
  <c r="BZ199" i="32" s="1"/>
  <c r="CA199" i="32" s="1"/>
  <c r="CB199" i="32" s="1"/>
  <c r="BI199" i="32" s="1"/>
  <c r="D198" i="32"/>
  <c r="Y222" i="40"/>
  <c r="AA222" i="40" s="1"/>
  <c r="AE222" i="40" s="1"/>
  <c r="AB222" i="40" s="1"/>
  <c r="AF222" i="40" s="1"/>
  <c r="Y206" i="40"/>
  <c r="AA206" i="40" s="1"/>
  <c r="AE206" i="40" s="1"/>
  <c r="AB206" i="40" s="1"/>
  <c r="AF206" i="40" s="1"/>
  <c r="BH99" i="32"/>
  <c r="BZ99" i="32" s="1"/>
  <c r="CA99" i="32" s="1"/>
  <c r="CB99" i="32" s="1"/>
  <c r="BI99" i="32" s="1"/>
  <c r="D98" i="32"/>
  <c r="Y122" i="40"/>
  <c r="AA122" i="40" s="1"/>
  <c r="AE122" i="40" s="1"/>
  <c r="AB122" i="40" s="1"/>
  <c r="AF122" i="40" s="1"/>
  <c r="BH35" i="32"/>
  <c r="BZ35" i="32" s="1"/>
  <c r="CA35" i="32" s="1"/>
  <c r="CB35" i="32" s="1"/>
  <c r="BI35" i="32" s="1"/>
  <c r="D34" i="32"/>
  <c r="V513" i="45"/>
  <c r="V505" i="45"/>
  <c r="V497" i="45"/>
  <c r="V489" i="45"/>
  <c r="V481" i="45"/>
  <c r="V452" i="45"/>
  <c r="V436" i="45"/>
  <c r="E352" i="32"/>
  <c r="BP353" i="32"/>
  <c r="CC353" i="32" s="1"/>
  <c r="CD353" i="32" s="1"/>
  <c r="CE353" i="32" s="1"/>
  <c r="BQ353" i="32" s="1"/>
  <c r="E336" i="32"/>
  <c r="BP337" i="32"/>
  <c r="CC337" i="32" s="1"/>
  <c r="CD337" i="32" s="1"/>
  <c r="CE337" i="32" s="1"/>
  <c r="BQ337" i="32" s="1"/>
  <c r="E320" i="32"/>
  <c r="BP321" i="32"/>
  <c r="CC321" i="32" s="1"/>
  <c r="CD321" i="32" s="1"/>
  <c r="CE321" i="32" s="1"/>
  <c r="BQ321" i="32" s="1"/>
  <c r="Z294" i="40"/>
  <c r="AC294" i="40" s="1"/>
  <c r="Z266" i="40"/>
  <c r="AC266" i="40" s="1"/>
  <c r="Z234" i="40"/>
  <c r="AC234" i="40" s="1"/>
  <c r="E146" i="32"/>
  <c r="BP147" i="32"/>
  <c r="CC147" i="32" s="1"/>
  <c r="CD147" i="32" s="1"/>
  <c r="CE147" i="32" s="1"/>
  <c r="BQ147" i="32" s="1"/>
  <c r="V214" i="45"/>
  <c r="BP66" i="32"/>
  <c r="CC66" i="32" s="1"/>
  <c r="CD66" i="32" s="1"/>
  <c r="CE66" i="32" s="1"/>
  <c r="BQ66" i="32" s="1"/>
  <c r="E65" i="32"/>
  <c r="V133" i="45"/>
  <c r="BP50" i="32"/>
  <c r="CC50" i="32" s="1"/>
  <c r="CD50" i="32" s="1"/>
  <c r="CE50" i="32" s="1"/>
  <c r="BQ50" i="32" s="1"/>
  <c r="E49" i="32"/>
  <c r="V117" i="45"/>
  <c r="BP34" i="32"/>
  <c r="CC34" i="32" s="1"/>
  <c r="CD34" i="32" s="1"/>
  <c r="CE34" i="32" s="1"/>
  <c r="BQ34" i="32" s="1"/>
  <c r="E33" i="32"/>
  <c r="V101" i="45"/>
  <c r="Z509" i="40"/>
  <c r="AC509" i="40" s="1"/>
  <c r="AF509" i="40" s="1"/>
  <c r="Z477" i="40"/>
  <c r="AC477" i="40" s="1"/>
  <c r="AF477" i="40" s="1"/>
  <c r="D241" i="32"/>
  <c r="BH242" i="32"/>
  <c r="BZ242" i="32" s="1"/>
  <c r="CA242" i="32" s="1"/>
  <c r="CB242" i="32" s="1"/>
  <c r="BI242" i="32" s="1"/>
  <c r="Y281" i="40"/>
  <c r="AA281" i="40" s="1"/>
  <c r="AE281" i="40" s="1"/>
  <c r="AB281" i="40" s="1"/>
  <c r="AF281" i="40" s="1"/>
  <c r="Y265" i="40"/>
  <c r="AA265" i="40" s="1"/>
  <c r="AE265" i="40" s="1"/>
  <c r="AB265" i="40" s="1"/>
  <c r="AF265" i="40" s="1"/>
  <c r="Y249" i="40"/>
  <c r="AA249" i="40" s="1"/>
  <c r="AE249" i="40" s="1"/>
  <c r="AB249" i="40" s="1"/>
  <c r="T225" i="45"/>
  <c r="X225" i="45" s="1"/>
  <c r="U225" i="45" s="1"/>
  <c r="Y225" i="45" s="1"/>
  <c r="Y217" i="40"/>
  <c r="AA217" i="40" s="1"/>
  <c r="AE217" i="40" s="1"/>
  <c r="AB217" i="40" s="1"/>
  <c r="AF217" i="40" s="1"/>
  <c r="T177" i="45"/>
  <c r="X177" i="45" s="1"/>
  <c r="U177" i="45" s="1"/>
  <c r="Y177" i="45" s="1"/>
  <c r="T161" i="45"/>
  <c r="X161" i="45" s="1"/>
  <c r="U161" i="45" s="1"/>
  <c r="Y161" i="45" s="1"/>
  <c r="D57" i="32"/>
  <c r="BH58" i="32"/>
  <c r="BZ58" i="32" s="1"/>
  <c r="CA58" i="32" s="1"/>
  <c r="CB58" i="32" s="1"/>
  <c r="BI58" i="32" s="1"/>
  <c r="D41" i="32"/>
  <c r="BH42" i="32"/>
  <c r="BZ42" i="32" s="1"/>
  <c r="CA42" i="32" s="1"/>
  <c r="CB42" i="32" s="1"/>
  <c r="BI42" i="32" s="1"/>
  <c r="D25" i="32"/>
  <c r="BH26" i="32"/>
  <c r="BZ26" i="32" s="1"/>
  <c r="CA26" i="32" s="1"/>
  <c r="CB26" i="32" s="1"/>
  <c r="BI26" i="32" s="1"/>
  <c r="V500" i="45"/>
  <c r="Y500" i="45" s="1"/>
  <c r="Z350" i="40"/>
  <c r="AC350" i="40" s="1"/>
  <c r="V341" i="45"/>
  <c r="V333" i="45"/>
  <c r="V325" i="45"/>
  <c r="AC305" i="40"/>
  <c r="V301" i="45"/>
  <c r="AC289" i="40"/>
  <c r="V285" i="45"/>
  <c r="Y285" i="45" s="1"/>
  <c r="Z209" i="40"/>
  <c r="AC209" i="40" s="1"/>
  <c r="AC193" i="40"/>
  <c r="V189" i="45"/>
  <c r="BP57" i="32"/>
  <c r="CC57" i="32" s="1"/>
  <c r="CD57" i="32" s="1"/>
  <c r="CE57" i="32" s="1"/>
  <c r="BQ57" i="32" s="1"/>
  <c r="E56" i="32"/>
  <c r="Z124" i="40"/>
  <c r="AC124" i="40" s="1"/>
  <c r="Y503" i="40"/>
  <c r="AA503" i="40" s="1"/>
  <c r="AE503" i="40" s="1"/>
  <c r="AB503" i="40" s="1"/>
  <c r="AF503" i="40" s="1"/>
  <c r="Y487" i="40"/>
  <c r="AA487" i="40" s="1"/>
  <c r="AE487" i="40" s="1"/>
  <c r="AB487" i="40" s="1"/>
  <c r="AF487" i="40" s="1"/>
  <c r="Y471" i="40"/>
  <c r="AA471" i="40" s="1"/>
  <c r="AE471" i="40" s="1"/>
  <c r="AB471" i="40" s="1"/>
  <c r="AF471" i="40" s="1"/>
  <c r="Y455" i="40"/>
  <c r="AA455" i="40" s="1"/>
  <c r="AE455" i="40" s="1"/>
  <c r="AB455" i="40" s="1"/>
  <c r="AF455" i="40" s="1"/>
  <c r="Y439" i="40"/>
  <c r="AA439" i="40" s="1"/>
  <c r="AE439" i="40" s="1"/>
  <c r="AB439" i="40" s="1"/>
  <c r="AF439" i="40" s="1"/>
  <c r="Y423" i="40"/>
  <c r="AA423" i="40" s="1"/>
  <c r="AE423" i="40" s="1"/>
  <c r="AB423" i="40" s="1"/>
  <c r="AF423" i="40" s="1"/>
  <c r="Y407" i="40"/>
  <c r="AA407" i="40" s="1"/>
  <c r="AE407" i="40" s="1"/>
  <c r="AB407" i="40" s="1"/>
  <c r="AF407" i="40" s="1"/>
  <c r="Y391" i="40"/>
  <c r="AA391" i="40" s="1"/>
  <c r="AE391" i="40" s="1"/>
  <c r="AB391" i="40" s="1"/>
  <c r="AF391" i="40" s="1"/>
  <c r="Y359" i="40"/>
  <c r="AA359" i="40" s="1"/>
  <c r="AE359" i="40" s="1"/>
  <c r="AB359" i="40" s="1"/>
  <c r="AF359" i="40" s="1"/>
  <c r="Y343" i="40"/>
  <c r="AA343" i="40" s="1"/>
  <c r="AE343" i="40" s="1"/>
  <c r="AB343" i="40" s="1"/>
  <c r="AF343" i="40" s="1"/>
  <c r="Y327" i="40"/>
  <c r="AA327" i="40" s="1"/>
  <c r="AE327" i="40" s="1"/>
  <c r="AB327" i="40" s="1"/>
  <c r="AF327" i="40" s="1"/>
  <c r="Y119" i="40"/>
  <c r="AA119" i="40" s="1"/>
  <c r="AE119" i="40" s="1"/>
  <c r="AB119" i="40" s="1"/>
  <c r="Z461" i="40"/>
  <c r="AC461" i="40" s="1"/>
  <c r="AF461" i="40" s="1"/>
  <c r="Z445" i="40"/>
  <c r="AC445" i="40" s="1"/>
  <c r="AF445" i="40" s="1"/>
  <c r="Z429" i="40"/>
  <c r="AC429" i="40" s="1"/>
  <c r="AF429" i="40" s="1"/>
  <c r="Z413" i="40"/>
  <c r="AC413" i="40" s="1"/>
  <c r="AF413" i="40" s="1"/>
  <c r="Z397" i="40"/>
  <c r="AC397" i="40" s="1"/>
  <c r="AF397" i="40" s="1"/>
  <c r="Z331" i="40"/>
  <c r="AC331" i="40" s="1"/>
  <c r="Z283" i="40"/>
  <c r="AC283" i="40" s="1"/>
  <c r="BP196" i="32"/>
  <c r="CC196" i="32" s="1"/>
  <c r="CD196" i="32" s="1"/>
  <c r="CE196" i="32" s="1"/>
  <c r="BQ196" i="32" s="1"/>
  <c r="E195" i="32"/>
  <c r="Z251" i="40"/>
  <c r="AC251" i="40" s="1"/>
  <c r="Z235" i="40"/>
  <c r="AC235" i="40" s="1"/>
  <c r="AC171" i="40"/>
  <c r="AF171" i="40" s="1"/>
  <c r="Z162" i="40"/>
  <c r="AC162" i="40" s="1"/>
  <c r="V154" i="45"/>
  <c r="Y154" i="45" s="1"/>
  <c r="V86" i="45"/>
  <c r="BP92" i="32"/>
  <c r="CC92" i="32" s="1"/>
  <c r="CD92" i="32" s="1"/>
  <c r="CE92" i="32" s="1"/>
  <c r="BQ92" i="32" s="1"/>
  <c r="E91" i="32"/>
  <c r="BH443" i="32"/>
  <c r="BZ443" i="32" s="1"/>
  <c r="CA443" i="32" s="1"/>
  <c r="CB443" i="32" s="1"/>
  <c r="BI443" i="32" s="1"/>
  <c r="D442" i="32"/>
  <c r="BH427" i="32"/>
  <c r="BZ427" i="32" s="1"/>
  <c r="CA427" i="32" s="1"/>
  <c r="CB427" i="32" s="1"/>
  <c r="BI427" i="32" s="1"/>
  <c r="D426" i="32"/>
  <c r="BH411" i="32"/>
  <c r="BZ411" i="32" s="1"/>
  <c r="CA411" i="32" s="1"/>
  <c r="CB411" i="32" s="1"/>
  <c r="BI411" i="32" s="1"/>
  <c r="D410" i="32"/>
  <c r="Y466" i="40"/>
  <c r="AA466" i="40" s="1"/>
  <c r="AE466" i="40" s="1"/>
  <c r="AB466" i="40" s="1"/>
  <c r="AF466" i="40" s="1"/>
  <c r="Y450" i="40"/>
  <c r="AA450" i="40" s="1"/>
  <c r="AE450" i="40" s="1"/>
  <c r="AB450" i="40" s="1"/>
  <c r="AF450" i="40" s="1"/>
  <c r="Y434" i="40"/>
  <c r="AA434" i="40" s="1"/>
  <c r="AE434" i="40" s="1"/>
  <c r="AB434" i="40" s="1"/>
  <c r="AF434" i="40" s="1"/>
  <c r="Y418" i="40"/>
  <c r="AA418" i="40" s="1"/>
  <c r="AE418" i="40" s="1"/>
  <c r="AB418" i="40" s="1"/>
  <c r="AF418" i="40" s="1"/>
  <c r="BH331" i="32"/>
  <c r="BZ331" i="32" s="1"/>
  <c r="CA331" i="32" s="1"/>
  <c r="CB331" i="32" s="1"/>
  <c r="BI331" i="32" s="1"/>
  <c r="D330" i="32"/>
  <c r="T398" i="45"/>
  <c r="X398" i="45" s="1"/>
  <c r="U398" i="45" s="1"/>
  <c r="Y398" i="45" s="1"/>
  <c r="BH315" i="32"/>
  <c r="BZ315" i="32" s="1"/>
  <c r="CA315" i="32" s="1"/>
  <c r="CB315" i="32" s="1"/>
  <c r="BI315" i="32" s="1"/>
  <c r="D314" i="32"/>
  <c r="T382" i="45"/>
  <c r="X382" i="45" s="1"/>
  <c r="U382" i="45" s="1"/>
  <c r="Y382" i="45" s="1"/>
  <c r="BH299" i="32"/>
  <c r="BZ299" i="32" s="1"/>
  <c r="CA299" i="32" s="1"/>
  <c r="CB299" i="32" s="1"/>
  <c r="BI299" i="32" s="1"/>
  <c r="D298" i="32"/>
  <c r="T366" i="45"/>
  <c r="X366" i="45" s="1"/>
  <c r="U366" i="45" s="1"/>
  <c r="Y366" i="45" s="1"/>
  <c r="BH283" i="32"/>
  <c r="BZ283" i="32" s="1"/>
  <c r="CA283" i="32" s="1"/>
  <c r="CB283" i="32" s="1"/>
  <c r="BI283" i="32" s="1"/>
  <c r="D282" i="32"/>
  <c r="T350" i="45"/>
  <c r="X350" i="45" s="1"/>
  <c r="U350" i="45" s="1"/>
  <c r="Y350" i="45" s="1"/>
  <c r="Y338" i="40"/>
  <c r="AA338" i="40" s="1"/>
  <c r="AE338" i="40" s="1"/>
  <c r="AB338" i="40" s="1"/>
  <c r="AF338" i="40" s="1"/>
  <c r="BH251" i="32"/>
  <c r="BZ251" i="32" s="1"/>
  <c r="CA251" i="32" s="1"/>
  <c r="CB251" i="32" s="1"/>
  <c r="BI251" i="32" s="1"/>
  <c r="D250" i="32"/>
  <c r="T318" i="45"/>
  <c r="X318" i="45" s="1"/>
  <c r="U318" i="45" s="1"/>
  <c r="BH219" i="32"/>
  <c r="BZ219" i="32" s="1"/>
  <c r="CA219" i="32" s="1"/>
  <c r="CB219" i="32" s="1"/>
  <c r="BI219" i="32" s="1"/>
  <c r="D218" i="32"/>
  <c r="T286" i="45"/>
  <c r="X286" i="45" s="1"/>
  <c r="U286" i="45" s="1"/>
  <c r="Y286" i="45" s="1"/>
  <c r="BH195" i="32"/>
  <c r="BZ195" i="32" s="1"/>
  <c r="CA195" i="32" s="1"/>
  <c r="CB195" i="32" s="1"/>
  <c r="BI195" i="32" s="1"/>
  <c r="D194" i="32"/>
  <c r="T262" i="45"/>
  <c r="X262" i="45" s="1"/>
  <c r="U262" i="45" s="1"/>
  <c r="BH163" i="32"/>
  <c r="BZ163" i="32" s="1"/>
  <c r="CA163" i="32" s="1"/>
  <c r="CB163" i="32" s="1"/>
  <c r="BI163" i="32" s="1"/>
  <c r="D162" i="32"/>
  <c r="T230" i="45"/>
  <c r="X230" i="45" s="1"/>
  <c r="U230" i="45" s="1"/>
  <c r="BH147" i="32"/>
  <c r="BZ147" i="32" s="1"/>
  <c r="CA147" i="32" s="1"/>
  <c r="CB147" i="32" s="1"/>
  <c r="BI147" i="32" s="1"/>
  <c r="D146" i="32"/>
  <c r="T214" i="45"/>
  <c r="X214" i="45" s="1"/>
  <c r="U214" i="45" s="1"/>
  <c r="Y214" i="45" s="1"/>
  <c r="T202" i="45"/>
  <c r="X202" i="45" s="1"/>
  <c r="U202" i="45" s="1"/>
  <c r="Y202" i="45" s="1"/>
  <c r="BH111" i="32"/>
  <c r="BZ111" i="32" s="1"/>
  <c r="CA111" i="32" s="1"/>
  <c r="CB111" i="32" s="1"/>
  <c r="BI111" i="32" s="1"/>
  <c r="D110" i="32"/>
  <c r="T170" i="45"/>
  <c r="X170" i="45" s="1"/>
  <c r="U170" i="45" s="1"/>
  <c r="Y170" i="45" s="1"/>
  <c r="BH79" i="32"/>
  <c r="BZ79" i="32" s="1"/>
  <c r="CA79" i="32" s="1"/>
  <c r="CB79" i="32" s="1"/>
  <c r="BI79" i="32" s="1"/>
  <c r="D78" i="32"/>
  <c r="BH63" i="32"/>
  <c r="BZ63" i="32" s="1"/>
  <c r="CA63" i="32" s="1"/>
  <c r="CB63" i="32" s="1"/>
  <c r="BI63" i="32" s="1"/>
  <c r="D62" i="32"/>
  <c r="T122" i="45"/>
  <c r="X122" i="45" s="1"/>
  <c r="U122" i="45" s="1"/>
  <c r="Y122" i="45" s="1"/>
  <c r="BH31" i="32"/>
  <c r="BZ31" i="32" s="1"/>
  <c r="CA31" i="32" s="1"/>
  <c r="CB31" i="32" s="1"/>
  <c r="BI31" i="32" s="1"/>
  <c r="D30" i="32"/>
  <c r="BH15" i="32"/>
  <c r="BZ15" i="32" s="1"/>
  <c r="CA15" i="32" s="1"/>
  <c r="CB15" i="32" s="1"/>
  <c r="BI15" i="32" s="1"/>
  <c r="D14" i="32"/>
  <c r="Z468" i="40"/>
  <c r="AC468" i="40" s="1"/>
  <c r="AF468" i="40" s="1"/>
  <c r="E380" i="32"/>
  <c r="BP381" i="32"/>
  <c r="CC381" i="32" s="1"/>
  <c r="CD381" i="32" s="1"/>
  <c r="CE381" i="32" s="1"/>
  <c r="BQ381" i="32" s="1"/>
  <c r="E364" i="32"/>
  <c r="BP365" i="32"/>
  <c r="CC365" i="32" s="1"/>
  <c r="CD365" i="32" s="1"/>
  <c r="CE365" i="32" s="1"/>
  <c r="BQ365" i="32" s="1"/>
  <c r="E348" i="32"/>
  <c r="BP349" i="32"/>
  <c r="CC349" i="32" s="1"/>
  <c r="CD349" i="32" s="1"/>
  <c r="CE349" i="32" s="1"/>
  <c r="BQ349" i="32" s="1"/>
  <c r="E332" i="32"/>
  <c r="BP333" i="32"/>
  <c r="CC333" i="32" s="1"/>
  <c r="CD333" i="32" s="1"/>
  <c r="CE333" i="32" s="1"/>
  <c r="BQ333" i="32" s="1"/>
  <c r="E316" i="32"/>
  <c r="BP317" i="32"/>
  <c r="CC317" i="32" s="1"/>
  <c r="CD317" i="32" s="1"/>
  <c r="CE317" i="32" s="1"/>
  <c r="BQ317" i="32" s="1"/>
  <c r="Z246" i="40"/>
  <c r="AC246" i="40" s="1"/>
  <c r="Z214" i="40"/>
  <c r="AC214" i="40" s="1"/>
  <c r="E126" i="32"/>
  <c r="BP127" i="32"/>
  <c r="CC127" i="32" s="1"/>
  <c r="CD127" i="32" s="1"/>
  <c r="CE127" i="32" s="1"/>
  <c r="BQ127" i="32" s="1"/>
  <c r="Z194" i="40"/>
  <c r="AC194" i="40" s="1"/>
  <c r="AF194" i="40" s="1"/>
  <c r="Z178" i="40"/>
  <c r="AC178" i="40" s="1"/>
  <c r="E94" i="32"/>
  <c r="BP95" i="32"/>
  <c r="CC95" i="32" s="1"/>
  <c r="CD95" i="32" s="1"/>
  <c r="CE95" i="32" s="1"/>
  <c r="BQ95" i="32" s="1"/>
  <c r="Z501" i="40"/>
  <c r="AC501" i="40" s="1"/>
  <c r="AF501" i="40" s="1"/>
  <c r="Z298" i="40"/>
  <c r="AC298" i="40" s="1"/>
  <c r="Y309" i="40"/>
  <c r="AA309" i="40" s="1"/>
  <c r="AE309" i="40" s="1"/>
  <c r="AB309" i="40" s="1"/>
  <c r="Y293" i="40"/>
  <c r="AA293" i="40" s="1"/>
  <c r="AE293" i="40" s="1"/>
  <c r="AB293" i="40" s="1"/>
  <c r="AF293" i="40" s="1"/>
  <c r="Y277" i="40"/>
  <c r="AA277" i="40" s="1"/>
  <c r="AE277" i="40" s="1"/>
  <c r="AB277" i="40" s="1"/>
  <c r="AF277" i="40" s="1"/>
  <c r="Y273" i="45"/>
  <c r="Y173" i="45"/>
  <c r="AA76" i="40"/>
  <c r="AE76" i="40" s="1"/>
  <c r="AB76" i="40" s="1"/>
  <c r="AF76" i="40" s="1"/>
  <c r="Y748" i="31"/>
  <c r="Y675" i="31"/>
  <c r="Z301" i="40"/>
  <c r="AC301" i="40" s="1"/>
  <c r="AF301" i="40" s="1"/>
  <c r="BP166" i="32"/>
  <c r="CC166" i="32" s="1"/>
  <c r="CD166" i="32" s="1"/>
  <c r="CE166" i="32" s="1"/>
  <c r="BQ166" i="32" s="1"/>
  <c r="E165" i="32"/>
  <c r="V233" i="45"/>
  <c r="D411" i="32"/>
  <c r="BH412" i="32"/>
  <c r="BZ412" i="32" s="1"/>
  <c r="CA412" i="32" s="1"/>
  <c r="CB412" i="32" s="1"/>
  <c r="BI412" i="32" s="1"/>
  <c r="T471" i="45"/>
  <c r="X471" i="45" s="1"/>
  <c r="U471" i="45" s="1"/>
  <c r="D363" i="32"/>
  <c r="BH364" i="32"/>
  <c r="BZ364" i="32" s="1"/>
  <c r="CA364" i="32" s="1"/>
  <c r="CB364" i="32" s="1"/>
  <c r="BI364" i="32" s="1"/>
  <c r="T431" i="45"/>
  <c r="X431" i="45" s="1"/>
  <c r="U431" i="45" s="1"/>
  <c r="Y431" i="45" s="1"/>
  <c r="Y419" i="40"/>
  <c r="AA419" i="40" s="1"/>
  <c r="AE419" i="40" s="1"/>
  <c r="AB419" i="40" s="1"/>
  <c r="AF419" i="40" s="1"/>
  <c r="D315" i="32"/>
  <c r="BH316" i="32"/>
  <c r="BZ316" i="32" s="1"/>
  <c r="CA316" i="32" s="1"/>
  <c r="CB316" i="32" s="1"/>
  <c r="BI316" i="32" s="1"/>
  <c r="T383" i="45"/>
  <c r="X383" i="45" s="1"/>
  <c r="U383" i="45" s="1"/>
  <c r="Y383" i="45" s="1"/>
  <c r="T375" i="45"/>
  <c r="X375" i="45" s="1"/>
  <c r="U375" i="45" s="1"/>
  <c r="Y375" i="45" s="1"/>
  <c r="D283" i="32"/>
  <c r="BH284" i="32"/>
  <c r="BZ284" i="32" s="1"/>
  <c r="CA284" i="32" s="1"/>
  <c r="CB284" i="32" s="1"/>
  <c r="BI284" i="32" s="1"/>
  <c r="T351" i="45"/>
  <c r="X351" i="45" s="1"/>
  <c r="U351" i="45" s="1"/>
  <c r="Y351" i="45" s="1"/>
  <c r="Y339" i="40"/>
  <c r="AA339" i="40" s="1"/>
  <c r="AE339" i="40" s="1"/>
  <c r="AB339" i="40" s="1"/>
  <c r="AF339" i="40" s="1"/>
  <c r="Y307" i="40"/>
  <c r="AA307" i="40" s="1"/>
  <c r="AE307" i="40" s="1"/>
  <c r="AB307" i="40" s="1"/>
  <c r="AF307" i="40" s="1"/>
  <c r="Y275" i="40"/>
  <c r="AA275" i="40" s="1"/>
  <c r="AE275" i="40" s="1"/>
  <c r="AB275" i="40" s="1"/>
  <c r="AF275" i="40" s="1"/>
  <c r="D187" i="32"/>
  <c r="BH188" i="32"/>
  <c r="BZ188" i="32" s="1"/>
  <c r="CA188" i="32" s="1"/>
  <c r="CB188" i="32" s="1"/>
  <c r="BI188" i="32" s="1"/>
  <c r="T255" i="45"/>
  <c r="X255" i="45" s="1"/>
  <c r="U255" i="45" s="1"/>
  <c r="Y255" i="45" s="1"/>
  <c r="Y243" i="40"/>
  <c r="AA243" i="40" s="1"/>
  <c r="AE243" i="40" s="1"/>
  <c r="AB243" i="40" s="1"/>
  <c r="AF243" i="40" s="1"/>
  <c r="Y211" i="40"/>
  <c r="AA211" i="40" s="1"/>
  <c r="AE211" i="40" s="1"/>
  <c r="AB211" i="40" s="1"/>
  <c r="AF211" i="40" s="1"/>
  <c r="Y163" i="40"/>
  <c r="AA163" i="40" s="1"/>
  <c r="AE163" i="40" s="1"/>
  <c r="AB163" i="40" s="1"/>
  <c r="AF163" i="40" s="1"/>
  <c r="Y147" i="40"/>
  <c r="AA147" i="40" s="1"/>
  <c r="AE147" i="40" s="1"/>
  <c r="AB147" i="40" s="1"/>
  <c r="D59" i="32"/>
  <c r="BH60" i="32"/>
  <c r="BZ60" i="32" s="1"/>
  <c r="CA60" i="32" s="1"/>
  <c r="CB60" i="32" s="1"/>
  <c r="BI60" i="32" s="1"/>
  <c r="T127" i="45"/>
  <c r="X127" i="45" s="1"/>
  <c r="U127" i="45" s="1"/>
  <c r="Y127" i="45" s="1"/>
  <c r="D27" i="32"/>
  <c r="BH28" i="32"/>
  <c r="BZ28" i="32" s="1"/>
  <c r="CA28" i="32" s="1"/>
  <c r="CB28" i="32" s="1"/>
  <c r="BI28" i="32" s="1"/>
  <c r="E434" i="32"/>
  <c r="BP435" i="32"/>
  <c r="CC435" i="32" s="1"/>
  <c r="CD435" i="32" s="1"/>
  <c r="CE435" i="32" s="1"/>
  <c r="BQ435" i="32" s="1"/>
  <c r="V502" i="45"/>
  <c r="Z490" i="40"/>
  <c r="AC490" i="40" s="1"/>
  <c r="BP386" i="32"/>
  <c r="CC386" i="32" s="1"/>
  <c r="CD386" i="32" s="1"/>
  <c r="CE386" i="32" s="1"/>
  <c r="BQ386" i="32" s="1"/>
  <c r="E385" i="32"/>
  <c r="V453" i="45"/>
  <c r="Y453" i="45" s="1"/>
  <c r="Y751" i="31"/>
  <c r="BP305" i="32"/>
  <c r="CC305" i="32" s="1"/>
  <c r="CD305" i="32" s="1"/>
  <c r="CE305" i="32" s="1"/>
  <c r="BQ305" i="32" s="1"/>
  <c r="E304" i="32"/>
  <c r="Z295" i="40"/>
  <c r="AC295" i="40" s="1"/>
  <c r="Z279" i="40"/>
  <c r="AC279" i="40" s="1"/>
  <c r="BP192" i="32"/>
  <c r="CC192" i="32" s="1"/>
  <c r="CD192" i="32" s="1"/>
  <c r="CE192" i="32" s="1"/>
  <c r="BQ192" i="32" s="1"/>
  <c r="E191" i="32"/>
  <c r="BP144" i="32"/>
  <c r="CC144" i="32" s="1"/>
  <c r="CD144" i="32" s="1"/>
  <c r="CE144" i="32" s="1"/>
  <c r="BQ144" i="32" s="1"/>
  <c r="E143" i="32"/>
  <c r="Y337" i="31"/>
  <c r="Z183" i="40"/>
  <c r="AC183" i="40" s="1"/>
  <c r="AC167" i="40"/>
  <c r="AC150" i="40"/>
  <c r="E46" i="32"/>
  <c r="BP47" i="32"/>
  <c r="CC47" i="32" s="1"/>
  <c r="CD47" i="32" s="1"/>
  <c r="CE47" i="32" s="1"/>
  <c r="BQ47" i="32" s="1"/>
  <c r="E42" i="32"/>
  <c r="BP43" i="32"/>
  <c r="CC43" i="32" s="1"/>
  <c r="CD43" i="32" s="1"/>
  <c r="CE43" i="32" s="1"/>
  <c r="BQ43" i="32" s="1"/>
  <c r="Z82" i="40"/>
  <c r="AC82" i="40" s="1"/>
  <c r="Y510" i="40"/>
  <c r="AA510" i="40" s="1"/>
  <c r="AE510" i="40" s="1"/>
  <c r="AB510" i="40" s="1"/>
  <c r="AF510" i="40" s="1"/>
  <c r="Y490" i="45"/>
  <c r="BH407" i="32"/>
  <c r="BZ407" i="32" s="1"/>
  <c r="CA407" i="32" s="1"/>
  <c r="CB407" i="32" s="1"/>
  <c r="BI407" i="32" s="1"/>
  <c r="D406" i="32"/>
  <c r="Y446" i="40"/>
  <c r="AA446" i="40" s="1"/>
  <c r="AE446" i="40" s="1"/>
  <c r="AB446" i="40" s="1"/>
  <c r="BH343" i="32"/>
  <c r="BZ343" i="32" s="1"/>
  <c r="CA343" i="32" s="1"/>
  <c r="CB343" i="32" s="1"/>
  <c r="BI343" i="32" s="1"/>
  <c r="D342" i="32"/>
  <c r="T410" i="45"/>
  <c r="X410" i="45" s="1"/>
  <c r="U410" i="45" s="1"/>
  <c r="Y410" i="45" s="1"/>
  <c r="BH295" i="32"/>
  <c r="BZ295" i="32" s="1"/>
  <c r="CA295" i="32" s="1"/>
  <c r="CB295" i="32" s="1"/>
  <c r="BI295" i="32" s="1"/>
  <c r="D294" i="32"/>
  <c r="T362" i="45"/>
  <c r="X362" i="45" s="1"/>
  <c r="U362" i="45" s="1"/>
  <c r="Y334" i="40"/>
  <c r="AA334" i="40" s="1"/>
  <c r="AE334" i="40" s="1"/>
  <c r="AB334" i="40" s="1"/>
  <c r="AF334" i="40" s="1"/>
  <c r="Y282" i="40"/>
  <c r="AA282" i="40" s="1"/>
  <c r="AE282" i="40" s="1"/>
  <c r="AB282" i="40" s="1"/>
  <c r="AF282" i="40" s="1"/>
  <c r="Y192" i="31"/>
  <c r="Y262" i="40"/>
  <c r="AA262" i="40" s="1"/>
  <c r="AE262" i="40" s="1"/>
  <c r="AB262" i="40" s="1"/>
  <c r="AF262" i="40" s="1"/>
  <c r="BH175" i="32"/>
  <c r="BZ175" i="32" s="1"/>
  <c r="CA175" i="32" s="1"/>
  <c r="CB175" i="32" s="1"/>
  <c r="BI175" i="32" s="1"/>
  <c r="D174" i="32"/>
  <c r="T242" i="45"/>
  <c r="X242" i="45" s="1"/>
  <c r="U242" i="45" s="1"/>
  <c r="Y242" i="45" s="1"/>
  <c r="Y214" i="40"/>
  <c r="AA214" i="40" s="1"/>
  <c r="AE214" i="40" s="1"/>
  <c r="AB214" i="40" s="1"/>
  <c r="AF214" i="40" s="1"/>
  <c r="BH107" i="32"/>
  <c r="BZ107" i="32" s="1"/>
  <c r="CA107" i="32" s="1"/>
  <c r="CB107" i="32" s="1"/>
  <c r="BI107" i="32" s="1"/>
  <c r="D106" i="32"/>
  <c r="Y162" i="40"/>
  <c r="AA162" i="40" s="1"/>
  <c r="AE162" i="40" s="1"/>
  <c r="AB162" i="40" s="1"/>
  <c r="AF162" i="40" s="1"/>
  <c r="Y130" i="40"/>
  <c r="AA130" i="40" s="1"/>
  <c r="AE130" i="40" s="1"/>
  <c r="AB130" i="40" s="1"/>
  <c r="AF130" i="40" s="1"/>
  <c r="T118" i="45"/>
  <c r="X118" i="45" s="1"/>
  <c r="U118" i="45" s="1"/>
  <c r="Y118" i="45" s="1"/>
  <c r="Y98" i="40"/>
  <c r="AA98" i="40" s="1"/>
  <c r="AE98" i="40" s="1"/>
  <c r="AB98" i="40" s="1"/>
  <c r="AF98" i="40" s="1"/>
  <c r="Y82" i="40"/>
  <c r="AA82" i="40" s="1"/>
  <c r="AE82" i="40" s="1"/>
  <c r="AB82" i="40" s="1"/>
  <c r="AF82" i="40" s="1"/>
  <c r="E376" i="32"/>
  <c r="BP377" i="32"/>
  <c r="CC377" i="32" s="1"/>
  <c r="CD377" i="32" s="1"/>
  <c r="CE377" i="32" s="1"/>
  <c r="BQ377" i="32" s="1"/>
  <c r="Y790" i="31"/>
  <c r="Z416" i="40"/>
  <c r="AC416" i="40" s="1"/>
  <c r="AF416" i="40" s="1"/>
  <c r="E328" i="32"/>
  <c r="BP329" i="32"/>
  <c r="CC329" i="32" s="1"/>
  <c r="CD329" i="32" s="1"/>
  <c r="CE329" i="32" s="1"/>
  <c r="BQ329" i="32" s="1"/>
  <c r="E274" i="32"/>
  <c r="BP275" i="32"/>
  <c r="CC275" i="32" s="1"/>
  <c r="CD275" i="32" s="1"/>
  <c r="CE275" i="32" s="1"/>
  <c r="BQ275" i="32" s="1"/>
  <c r="V342" i="45"/>
  <c r="Z330" i="40"/>
  <c r="AC330" i="40" s="1"/>
  <c r="E238" i="32"/>
  <c r="BP239" i="32"/>
  <c r="CC239" i="32" s="1"/>
  <c r="CD239" i="32" s="1"/>
  <c r="CE239" i="32" s="1"/>
  <c r="BQ239" i="32" s="1"/>
  <c r="V306" i="45"/>
  <c r="E206" i="32"/>
  <c r="BP207" i="32"/>
  <c r="CC207" i="32" s="1"/>
  <c r="CD207" i="32" s="1"/>
  <c r="CE207" i="32" s="1"/>
  <c r="BQ207" i="32" s="1"/>
  <c r="V274" i="45"/>
  <c r="E186" i="32"/>
  <c r="BP187" i="32"/>
  <c r="CC187" i="32" s="1"/>
  <c r="CD187" i="32" s="1"/>
  <c r="CE187" i="32" s="1"/>
  <c r="BQ187" i="32" s="1"/>
  <c r="V254" i="45"/>
  <c r="E170" i="32"/>
  <c r="BP171" i="32"/>
  <c r="CC171" i="32" s="1"/>
  <c r="CD171" i="32" s="1"/>
  <c r="CE171" i="32" s="1"/>
  <c r="BQ171" i="32" s="1"/>
  <c r="V238" i="45"/>
  <c r="E154" i="32"/>
  <c r="BP155" i="32"/>
  <c r="CC155" i="32" s="1"/>
  <c r="CD155" i="32" s="1"/>
  <c r="CE155" i="32" s="1"/>
  <c r="BQ155" i="32" s="1"/>
  <c r="V222" i="45"/>
  <c r="V190" i="45"/>
  <c r="Y190" i="45" s="1"/>
  <c r="AC161" i="40"/>
  <c r="V157" i="45"/>
  <c r="Y157" i="45" s="1"/>
  <c r="Y283" i="31"/>
  <c r="BP10" i="32"/>
  <c r="CC10" i="32" s="1"/>
  <c r="CD10" i="32" s="1"/>
  <c r="CE10" i="32" s="1"/>
  <c r="BQ10" i="32" s="1"/>
  <c r="E9" i="32"/>
  <c r="Z493" i="40"/>
  <c r="AC493" i="40" s="1"/>
  <c r="AF493" i="40" s="1"/>
  <c r="Y294" i="40"/>
  <c r="AA294" i="40" s="1"/>
  <c r="AE294" i="40" s="1"/>
  <c r="AB294" i="40" s="1"/>
  <c r="AF294" i="40" s="1"/>
  <c r="Y493" i="45"/>
  <c r="Y485" i="45"/>
  <c r="Y469" i="45"/>
  <c r="Y461" i="45"/>
  <c r="Y441" i="45"/>
  <c r="Y433" i="45"/>
  <c r="Y425" i="45"/>
  <c r="Y409" i="45"/>
  <c r="Y393" i="45"/>
  <c r="Y385" i="45"/>
  <c r="Y345" i="45"/>
  <c r="Y337" i="45"/>
  <c r="Y329" i="45"/>
  <c r="Y301" i="45"/>
  <c r="D201" i="32"/>
  <c r="BH202" i="32"/>
  <c r="BZ202" i="32" s="1"/>
  <c r="CA202" i="32" s="1"/>
  <c r="CB202" i="32" s="1"/>
  <c r="BI202" i="32" s="1"/>
  <c r="Y257" i="40"/>
  <c r="AA257" i="40" s="1"/>
  <c r="AE257" i="40" s="1"/>
  <c r="AB257" i="40" s="1"/>
  <c r="AF257" i="40" s="1"/>
  <c r="Y241" i="40"/>
  <c r="AA241" i="40" s="1"/>
  <c r="AE241" i="40" s="1"/>
  <c r="AB241" i="40" s="1"/>
  <c r="AF241" i="40" s="1"/>
  <c r="Y143" i="31"/>
  <c r="Y205" i="45"/>
  <c r="Y189" i="45"/>
  <c r="D101" i="32"/>
  <c r="BH102" i="32"/>
  <c r="BZ102" i="32" s="1"/>
  <c r="CA102" i="32" s="1"/>
  <c r="CB102" i="32" s="1"/>
  <c r="BI102" i="32" s="1"/>
  <c r="D85" i="32"/>
  <c r="BH86" i="32"/>
  <c r="BZ86" i="32" s="1"/>
  <c r="CA86" i="32" s="1"/>
  <c r="CB86" i="32" s="1"/>
  <c r="BI86" i="32" s="1"/>
  <c r="Y55" i="31"/>
  <c r="Y101" i="45"/>
  <c r="D17" i="32"/>
  <c r="BH18" i="32"/>
  <c r="BZ18" i="32" s="1"/>
  <c r="CA18" i="32" s="1"/>
  <c r="CB18" i="32" s="1"/>
  <c r="BI18" i="32" s="1"/>
  <c r="E286" i="32"/>
  <c r="BP287" i="32"/>
  <c r="CC287" i="32" s="1"/>
  <c r="CD287" i="32" s="1"/>
  <c r="CE287" i="32" s="1"/>
  <c r="BQ287" i="32" s="1"/>
  <c r="V354" i="45"/>
  <c r="Y354" i="45" s="1"/>
  <c r="BP194" i="32"/>
  <c r="CC194" i="32" s="1"/>
  <c r="CD194" i="32" s="1"/>
  <c r="CE194" i="32" s="1"/>
  <c r="BQ194" i="32" s="1"/>
  <c r="E193" i="32"/>
  <c r="V261" i="45"/>
  <c r="Z249" i="40"/>
  <c r="AC249" i="40" s="1"/>
  <c r="D439" i="32"/>
  <c r="BH440" i="32"/>
  <c r="BZ440" i="32" s="1"/>
  <c r="CA440" i="32" s="1"/>
  <c r="CB440" i="32" s="1"/>
  <c r="BI440" i="32" s="1"/>
  <c r="Y495" i="40"/>
  <c r="AA495" i="40" s="1"/>
  <c r="AE495" i="40" s="1"/>
  <c r="AB495" i="40" s="1"/>
  <c r="AF495" i="40" s="1"/>
  <c r="Y633" i="31"/>
  <c r="Y475" i="45"/>
  <c r="D391" i="32"/>
  <c r="BH392" i="32"/>
  <c r="BZ392" i="32" s="1"/>
  <c r="CA392" i="32" s="1"/>
  <c r="CB392" i="32" s="1"/>
  <c r="BI392" i="32" s="1"/>
  <c r="T451" i="45"/>
  <c r="X451" i="45" s="1"/>
  <c r="U451" i="45" s="1"/>
  <c r="Y451" i="45" s="1"/>
  <c r="T439" i="45"/>
  <c r="X439" i="45" s="1"/>
  <c r="U439" i="45" s="1"/>
  <c r="Y439" i="45" s="1"/>
  <c r="Y415" i="40"/>
  <c r="AA415" i="40" s="1"/>
  <c r="AE415" i="40" s="1"/>
  <c r="AB415" i="40" s="1"/>
  <c r="AF415" i="40" s="1"/>
  <c r="Y399" i="40"/>
  <c r="AA399" i="40" s="1"/>
  <c r="AE399" i="40" s="1"/>
  <c r="AB399" i="40" s="1"/>
  <c r="AF399" i="40" s="1"/>
  <c r="Y537" i="31"/>
  <c r="D279" i="32"/>
  <c r="BH280" i="32"/>
  <c r="BZ280" i="32" s="1"/>
  <c r="CA280" i="32" s="1"/>
  <c r="CB280" i="32" s="1"/>
  <c r="BI280" i="32" s="1"/>
  <c r="T347" i="45"/>
  <c r="X347" i="45" s="1"/>
  <c r="U347" i="45" s="1"/>
  <c r="Y347" i="45" s="1"/>
  <c r="Y335" i="40"/>
  <c r="AA335" i="40" s="1"/>
  <c r="AE335" i="40" s="1"/>
  <c r="AB335" i="40" s="1"/>
  <c r="AF335" i="40" s="1"/>
  <c r="T311" i="45"/>
  <c r="X311" i="45" s="1"/>
  <c r="U311" i="45" s="1"/>
  <c r="Y311" i="45" s="1"/>
  <c r="D231" i="32"/>
  <c r="BH232" i="32"/>
  <c r="BZ232" i="32" s="1"/>
  <c r="CA232" i="32" s="1"/>
  <c r="CB232" i="32" s="1"/>
  <c r="BI232" i="32" s="1"/>
  <c r="D215" i="32"/>
  <c r="BH216" i="32"/>
  <c r="BZ216" i="32" s="1"/>
  <c r="CA216" i="32" s="1"/>
  <c r="CB216" i="32" s="1"/>
  <c r="BI216" i="32" s="1"/>
  <c r="T283" i="45"/>
  <c r="X283" i="45" s="1"/>
  <c r="U283" i="45" s="1"/>
  <c r="Y283" i="45" s="1"/>
  <c r="Y271" i="40"/>
  <c r="AA271" i="40" s="1"/>
  <c r="AE271" i="40" s="1"/>
  <c r="AB271" i="40" s="1"/>
  <c r="AF271" i="40" s="1"/>
  <c r="Y255" i="40"/>
  <c r="AA255" i="40" s="1"/>
  <c r="AE255" i="40" s="1"/>
  <c r="AB255" i="40" s="1"/>
  <c r="AF255" i="40" s="1"/>
  <c r="T247" i="45"/>
  <c r="X247" i="45" s="1"/>
  <c r="U247" i="45" s="1"/>
  <c r="Y247" i="45" s="1"/>
  <c r="D151" i="32"/>
  <c r="BH152" i="32"/>
  <c r="BZ152" i="32" s="1"/>
  <c r="CA152" i="32" s="1"/>
  <c r="CB152" i="32" s="1"/>
  <c r="BI152" i="32" s="1"/>
  <c r="T219" i="45"/>
  <c r="X219" i="45" s="1"/>
  <c r="U219" i="45" s="1"/>
  <c r="Y219" i="45" s="1"/>
  <c r="Y207" i="40"/>
  <c r="AA207" i="40" s="1"/>
  <c r="AE207" i="40" s="1"/>
  <c r="AB207" i="40" s="1"/>
  <c r="AF207" i="40" s="1"/>
  <c r="T199" i="45"/>
  <c r="X199" i="45" s="1"/>
  <c r="U199" i="45" s="1"/>
  <c r="Y199" i="45" s="1"/>
  <c r="AA175" i="40"/>
  <c r="AE175" i="40" s="1"/>
  <c r="AB175" i="40" s="1"/>
  <c r="AF175" i="40" s="1"/>
  <c r="T167" i="45"/>
  <c r="X167" i="45" s="1"/>
  <c r="U167" i="45" s="1"/>
  <c r="Y167" i="45" s="1"/>
  <c r="Y73" i="31"/>
  <c r="Y95" i="40"/>
  <c r="AA95" i="40" s="1"/>
  <c r="AE95" i="40" s="1"/>
  <c r="AB95" i="40" s="1"/>
  <c r="AF95" i="40" s="1"/>
  <c r="T87" i="45"/>
  <c r="X87" i="45" s="1"/>
  <c r="U87" i="45" s="1"/>
  <c r="Y87" i="45" s="1"/>
  <c r="D7" i="32"/>
  <c r="BH8" i="32"/>
  <c r="BZ8" i="32" s="1"/>
  <c r="CA8" i="32" s="1"/>
  <c r="CB8" i="32" s="1"/>
  <c r="BI8" i="32" s="1"/>
  <c r="V514" i="45"/>
  <c r="Z502" i="40"/>
  <c r="AC502" i="40" s="1"/>
  <c r="Z486" i="40"/>
  <c r="AC486" i="40" s="1"/>
  <c r="Z453" i="40"/>
  <c r="AC453" i="40" s="1"/>
  <c r="AF453" i="40" s="1"/>
  <c r="Z421" i="40"/>
  <c r="AC421" i="40" s="1"/>
  <c r="AF421" i="40" s="1"/>
  <c r="Z405" i="40"/>
  <c r="AC405" i="40" s="1"/>
  <c r="AF405" i="40" s="1"/>
  <c r="BP301" i="32"/>
  <c r="CC301" i="32" s="1"/>
  <c r="CD301" i="32" s="1"/>
  <c r="CE301" i="32" s="1"/>
  <c r="BQ301" i="32" s="1"/>
  <c r="E300" i="32"/>
  <c r="Z356" i="40"/>
  <c r="AC356" i="40" s="1"/>
  <c r="BP252" i="32"/>
  <c r="CC252" i="32" s="1"/>
  <c r="CD252" i="32" s="1"/>
  <c r="CE252" i="32" s="1"/>
  <c r="BQ252" i="32" s="1"/>
  <c r="E251" i="32"/>
  <c r="BP236" i="32"/>
  <c r="CC236" i="32" s="1"/>
  <c r="CD236" i="32" s="1"/>
  <c r="CE236" i="32" s="1"/>
  <c r="BQ236" i="32" s="1"/>
  <c r="E235" i="32"/>
  <c r="BP156" i="32"/>
  <c r="CC156" i="32" s="1"/>
  <c r="CD156" i="32" s="1"/>
  <c r="CE156" i="32" s="1"/>
  <c r="BQ156" i="32" s="1"/>
  <c r="E155" i="32"/>
  <c r="BP108" i="32"/>
  <c r="CC108" i="32" s="1"/>
  <c r="CD108" i="32" s="1"/>
  <c r="CE108" i="32" s="1"/>
  <c r="BQ108" i="32" s="1"/>
  <c r="E107" i="32"/>
  <c r="V114" i="45"/>
  <c r="Y114" i="45" s="1"/>
  <c r="D144" i="32"/>
  <c r="D429" i="32"/>
  <c r="D413" i="32"/>
  <c r="D397" i="32"/>
  <c r="D381" i="32"/>
  <c r="D365" i="32"/>
  <c r="D349" i="32"/>
  <c r="D333" i="32"/>
  <c r="D317" i="32"/>
  <c r="D301" i="32"/>
  <c r="D285" i="32"/>
  <c r="D269" i="32"/>
  <c r="E439" i="32"/>
  <c r="E277" i="32"/>
  <c r="Y506" i="40"/>
  <c r="AA506" i="40" s="1"/>
  <c r="AE506" i="40" s="1"/>
  <c r="AB506" i="40" s="1"/>
  <c r="AF506" i="40" s="1"/>
  <c r="Y644" i="31"/>
  <c r="Y486" i="45"/>
  <c r="Y458" i="40"/>
  <c r="AA458" i="40" s="1"/>
  <c r="AE458" i="40" s="1"/>
  <c r="AB458" i="40" s="1"/>
  <c r="AF458" i="40" s="1"/>
  <c r="Y596" i="31"/>
  <c r="BH371" i="32"/>
  <c r="BZ371" i="32" s="1"/>
  <c r="CA371" i="32" s="1"/>
  <c r="CB371" i="32" s="1"/>
  <c r="BI371" i="32" s="1"/>
  <c r="D370" i="32"/>
  <c r="T438" i="45"/>
  <c r="X438" i="45" s="1"/>
  <c r="U438" i="45" s="1"/>
  <c r="Y438" i="45" s="1"/>
  <c r="Y426" i="40"/>
  <c r="AA426" i="40" s="1"/>
  <c r="AE426" i="40" s="1"/>
  <c r="AB426" i="40" s="1"/>
  <c r="AF426" i="40" s="1"/>
  <c r="T418" i="45"/>
  <c r="X418" i="45" s="1"/>
  <c r="U418" i="45" s="1"/>
  <c r="Y418" i="45" s="1"/>
  <c r="BH339" i="32"/>
  <c r="BZ339" i="32" s="1"/>
  <c r="CA339" i="32" s="1"/>
  <c r="CB339" i="32" s="1"/>
  <c r="BI339" i="32" s="1"/>
  <c r="D338" i="32"/>
  <c r="T406" i="45"/>
  <c r="X406" i="45" s="1"/>
  <c r="U406" i="45" s="1"/>
  <c r="Y406" i="45" s="1"/>
  <c r="Y378" i="40"/>
  <c r="AA378" i="40" s="1"/>
  <c r="AE378" i="40" s="1"/>
  <c r="AB378" i="40" s="1"/>
  <c r="AF378" i="40" s="1"/>
  <c r="Y516" i="31"/>
  <c r="BH291" i="32"/>
  <c r="BZ291" i="32" s="1"/>
  <c r="CA291" i="32" s="1"/>
  <c r="CB291" i="32" s="1"/>
  <c r="BI291" i="32" s="1"/>
  <c r="D290" i="32"/>
  <c r="T358" i="45"/>
  <c r="X358" i="45" s="1"/>
  <c r="U358" i="45" s="1"/>
  <c r="Y358" i="45" s="1"/>
  <c r="BH259" i="32"/>
  <c r="BZ259" i="32" s="1"/>
  <c r="CA259" i="32" s="1"/>
  <c r="CB259" i="32" s="1"/>
  <c r="BI259" i="32" s="1"/>
  <c r="D258" i="32"/>
  <c r="T326" i="45"/>
  <c r="X326" i="45" s="1"/>
  <c r="U326" i="45" s="1"/>
  <c r="Y326" i="45" s="1"/>
  <c r="T298" i="45"/>
  <c r="X298" i="45" s="1"/>
  <c r="U298" i="45" s="1"/>
  <c r="Y298" i="45" s="1"/>
  <c r="Y216" i="31"/>
  <c r="BH203" i="32"/>
  <c r="BZ203" i="32" s="1"/>
  <c r="CA203" i="32" s="1"/>
  <c r="CB203" i="32" s="1"/>
  <c r="BI203" i="32" s="1"/>
  <c r="D202" i="32"/>
  <c r="T270" i="45"/>
  <c r="X270" i="45" s="1"/>
  <c r="U270" i="45" s="1"/>
  <c r="Y270" i="45" s="1"/>
  <c r="Y258" i="40"/>
  <c r="AA258" i="40" s="1"/>
  <c r="AE258" i="40" s="1"/>
  <c r="AB258" i="40" s="1"/>
  <c r="AF258" i="40" s="1"/>
  <c r="Y176" i="31"/>
  <c r="Y156" i="31"/>
  <c r="Y226" i="40"/>
  <c r="AA226" i="40" s="1"/>
  <c r="AE226" i="40" s="1"/>
  <c r="AB226" i="40" s="1"/>
  <c r="AF226" i="40" s="1"/>
  <c r="Y210" i="40"/>
  <c r="AA210" i="40" s="1"/>
  <c r="AE210" i="40" s="1"/>
  <c r="AB210" i="40" s="1"/>
  <c r="AF210" i="40" s="1"/>
  <c r="Y112" i="31"/>
  <c r="AA174" i="40"/>
  <c r="AE174" i="40" s="1"/>
  <c r="AB174" i="40" s="1"/>
  <c r="AF174" i="40" s="1"/>
  <c r="Y92" i="31"/>
  <c r="Y154" i="40"/>
  <c r="AA154" i="40" s="1"/>
  <c r="AE154" i="40" s="1"/>
  <c r="AB154" i="40" s="1"/>
  <c r="AF154" i="40" s="1"/>
  <c r="T146" i="45"/>
  <c r="X146" i="45" s="1"/>
  <c r="U146" i="45" s="1"/>
  <c r="Y146" i="45" s="1"/>
  <c r="T130" i="45"/>
  <c r="X130" i="45" s="1"/>
  <c r="U130" i="45" s="1"/>
  <c r="Y130" i="45" s="1"/>
  <c r="AA126" i="40"/>
  <c r="AE126" i="40" s="1"/>
  <c r="AB126" i="40" s="1"/>
  <c r="AF126" i="40" s="1"/>
  <c r="BH39" i="32"/>
  <c r="BZ39" i="32" s="1"/>
  <c r="CA39" i="32" s="1"/>
  <c r="CB39" i="32" s="1"/>
  <c r="BI39" i="32" s="1"/>
  <c r="D38" i="32"/>
  <c r="T98" i="45"/>
  <c r="X98" i="45" s="1"/>
  <c r="U98" i="45" s="1"/>
  <c r="Y98" i="45" s="1"/>
  <c r="T82" i="45"/>
  <c r="X82" i="45" s="1"/>
  <c r="U82" i="45" s="1"/>
  <c r="Y82" i="45" s="1"/>
  <c r="Y867" i="31"/>
  <c r="Y851" i="31"/>
  <c r="Z460" i="40"/>
  <c r="AC460" i="40" s="1"/>
  <c r="E356" i="32"/>
  <c r="BP357" i="32"/>
  <c r="CC357" i="32" s="1"/>
  <c r="CD357" i="32" s="1"/>
  <c r="CE357" i="32" s="1"/>
  <c r="BQ357" i="32" s="1"/>
  <c r="E324" i="32"/>
  <c r="BP325" i="32"/>
  <c r="CC325" i="32" s="1"/>
  <c r="CD325" i="32" s="1"/>
  <c r="CE325" i="32" s="1"/>
  <c r="BQ325" i="32" s="1"/>
  <c r="E270" i="32"/>
  <c r="BP271" i="32"/>
  <c r="CC271" i="32" s="1"/>
  <c r="CD271" i="32" s="1"/>
  <c r="CE271" i="32" s="1"/>
  <c r="BQ271" i="32" s="1"/>
  <c r="V338" i="45"/>
  <c r="Y338" i="45" s="1"/>
  <c r="E198" i="32"/>
  <c r="BP199" i="32"/>
  <c r="CC199" i="32" s="1"/>
  <c r="CD199" i="32" s="1"/>
  <c r="CE199" i="32" s="1"/>
  <c r="BQ199" i="32" s="1"/>
  <c r="V266" i="45"/>
  <c r="Y266" i="45" s="1"/>
  <c r="Z254" i="40"/>
  <c r="AC254" i="40" s="1"/>
  <c r="E150" i="32"/>
  <c r="BP151" i="32"/>
  <c r="CC151" i="32" s="1"/>
  <c r="CD151" i="32" s="1"/>
  <c r="CE151" i="32" s="1"/>
  <c r="BQ151" i="32" s="1"/>
  <c r="V218" i="45"/>
  <c r="Y218" i="45" s="1"/>
  <c r="E102" i="32"/>
  <c r="BP103" i="32"/>
  <c r="CC103" i="32" s="1"/>
  <c r="CD103" i="32" s="1"/>
  <c r="CE103" i="32" s="1"/>
  <c r="BQ103" i="32" s="1"/>
  <c r="E98" i="32"/>
  <c r="BP99" i="32"/>
  <c r="CC99" i="32" s="1"/>
  <c r="CD99" i="32" s="1"/>
  <c r="CE99" i="32" s="1"/>
  <c r="BQ99" i="32" s="1"/>
  <c r="Y279" i="31"/>
  <c r="BP38" i="32"/>
  <c r="CC38" i="32" s="1"/>
  <c r="CD38" i="32" s="1"/>
  <c r="CE38" i="32" s="1"/>
  <c r="BQ38" i="32" s="1"/>
  <c r="E37" i="32"/>
  <c r="V105" i="45"/>
  <c r="Y231" i="31"/>
  <c r="Y317" i="40"/>
  <c r="AA317" i="40" s="1"/>
  <c r="AE317" i="40" s="1"/>
  <c r="AB317" i="40" s="1"/>
  <c r="AF317" i="40" s="1"/>
  <c r="Y313" i="45"/>
  <c r="Y203" i="31"/>
  <c r="Y237" i="40"/>
  <c r="AA237" i="40" s="1"/>
  <c r="AE237" i="40" s="1"/>
  <c r="AB237" i="40" s="1"/>
  <c r="AF237" i="40" s="1"/>
  <c r="D149" i="32"/>
  <c r="BH150" i="32"/>
  <c r="BZ150" i="32" s="1"/>
  <c r="CA150" i="32" s="1"/>
  <c r="CB150" i="32" s="1"/>
  <c r="BI150" i="32" s="1"/>
  <c r="Y103" i="31"/>
  <c r="Y145" i="45"/>
  <c r="Y51" i="31"/>
  <c r="AA117" i="40"/>
  <c r="AE117" i="40" s="1"/>
  <c r="AB117" i="40" s="1"/>
  <c r="AF117" i="40" s="1"/>
  <c r="Y101" i="40"/>
  <c r="AA101" i="40" s="1"/>
  <c r="AE101" i="40" s="1"/>
  <c r="AB101" i="40" s="1"/>
  <c r="AF101" i="40" s="1"/>
  <c r="Y97" i="45"/>
  <c r="D13" i="32"/>
  <c r="BH14" i="32"/>
  <c r="BZ14" i="32" s="1"/>
  <c r="CA14" i="32" s="1"/>
  <c r="CB14" i="32" s="1"/>
  <c r="BI14" i="32" s="1"/>
  <c r="Z492" i="40"/>
  <c r="AC492" i="40" s="1"/>
  <c r="E404" i="32"/>
  <c r="BP405" i="32"/>
  <c r="CC405" i="32" s="1"/>
  <c r="CD405" i="32" s="1"/>
  <c r="CE405" i="32" s="1"/>
  <c r="BQ405" i="32" s="1"/>
  <c r="V471" i="45"/>
  <c r="V459" i="45"/>
  <c r="Y809" i="31"/>
  <c r="V382" i="45"/>
  <c r="Z354" i="40"/>
  <c r="AC354" i="40" s="1"/>
  <c r="V317" i="45"/>
  <c r="Y317" i="45" s="1"/>
  <c r="Z309" i="40"/>
  <c r="AC309" i="40" s="1"/>
  <c r="Y431" i="31"/>
  <c r="BP206" i="32"/>
  <c r="CC206" i="32" s="1"/>
  <c r="CD206" i="32" s="1"/>
  <c r="CE206" i="32" s="1"/>
  <c r="BQ206" i="32" s="1"/>
  <c r="E205" i="32"/>
  <c r="BP174" i="32"/>
  <c r="CC174" i="32" s="1"/>
  <c r="CD174" i="32" s="1"/>
  <c r="CE174" i="32" s="1"/>
  <c r="BQ174" i="32" s="1"/>
  <c r="E173" i="32"/>
  <c r="V241" i="45"/>
  <c r="BP158" i="32"/>
  <c r="CC158" i="32" s="1"/>
  <c r="CD158" i="32" s="1"/>
  <c r="CE158" i="32" s="1"/>
  <c r="BQ158" i="32" s="1"/>
  <c r="E157" i="32"/>
  <c r="V225" i="45"/>
  <c r="BP142" i="32"/>
  <c r="CC142" i="32" s="1"/>
  <c r="CD142" i="32" s="1"/>
  <c r="CE142" i="32" s="1"/>
  <c r="BQ142" i="32" s="1"/>
  <c r="E141" i="32"/>
  <c r="V209" i="45"/>
  <c r="Y209" i="45" s="1"/>
  <c r="AC181" i="40"/>
  <c r="AF181" i="40" s="1"/>
  <c r="AC165" i="40"/>
  <c r="AF165" i="40" s="1"/>
  <c r="AC148" i="40"/>
  <c r="AC132" i="40"/>
  <c r="BP29" i="32"/>
  <c r="CC29" i="32" s="1"/>
  <c r="CD29" i="32" s="1"/>
  <c r="CE29" i="32" s="1"/>
  <c r="BQ29" i="32" s="1"/>
  <c r="E28" i="32"/>
  <c r="Y504" i="40"/>
  <c r="AA504" i="40" s="1"/>
  <c r="AE504" i="40" s="1"/>
  <c r="AB504" i="40" s="1"/>
  <c r="Y472" i="40"/>
  <c r="AA472" i="40" s="1"/>
  <c r="AE472" i="40" s="1"/>
  <c r="AB472" i="40" s="1"/>
  <c r="AF472" i="40" s="1"/>
  <c r="Y452" i="45"/>
  <c r="BH369" i="32"/>
  <c r="BZ369" i="32" s="1"/>
  <c r="CA369" i="32" s="1"/>
  <c r="CB369" i="32" s="1"/>
  <c r="BI369" i="32" s="1"/>
  <c r="D368" i="32"/>
  <c r="Y424" i="40"/>
  <c r="AA424" i="40" s="1"/>
  <c r="AE424" i="40" s="1"/>
  <c r="AB424" i="40" s="1"/>
  <c r="AF424" i="40" s="1"/>
  <c r="Y404" i="45"/>
  <c r="BH321" i="32"/>
  <c r="BZ321" i="32" s="1"/>
  <c r="CA321" i="32" s="1"/>
  <c r="CB321" i="32" s="1"/>
  <c r="BI321" i="32" s="1"/>
  <c r="D320" i="32"/>
  <c r="Y368" i="45"/>
  <c r="Y360" i="40"/>
  <c r="AA360" i="40" s="1"/>
  <c r="AE360" i="40" s="1"/>
  <c r="AB360" i="40" s="1"/>
  <c r="AF360" i="40" s="1"/>
  <c r="BH225" i="32"/>
  <c r="BZ225" i="32" s="1"/>
  <c r="CA225" i="32" s="1"/>
  <c r="CB225" i="32" s="1"/>
  <c r="BI225" i="32" s="1"/>
  <c r="D224" i="32"/>
  <c r="Y292" i="45"/>
  <c r="BH209" i="32"/>
  <c r="BZ209" i="32" s="1"/>
  <c r="CA209" i="32" s="1"/>
  <c r="CB209" i="32" s="1"/>
  <c r="BI209" i="32" s="1"/>
  <c r="D208" i="32"/>
  <c r="Y260" i="40"/>
  <c r="AA260" i="40" s="1"/>
  <c r="AE260" i="40" s="1"/>
  <c r="AB260" i="40" s="1"/>
  <c r="Y200" i="40"/>
  <c r="AA200" i="40" s="1"/>
  <c r="AE200" i="40" s="1"/>
  <c r="AB200" i="40" s="1"/>
  <c r="BH97" i="32"/>
  <c r="BZ97" i="32" s="1"/>
  <c r="CA97" i="32" s="1"/>
  <c r="CB97" i="32" s="1"/>
  <c r="BI97" i="32" s="1"/>
  <c r="D96" i="32"/>
  <c r="E398" i="32"/>
  <c r="BP399" i="32"/>
  <c r="CC399" i="32" s="1"/>
  <c r="CD399" i="32" s="1"/>
  <c r="CE399" i="32" s="1"/>
  <c r="BQ399" i="32" s="1"/>
  <c r="V466" i="45"/>
  <c r="Z438" i="40"/>
  <c r="AC438" i="40" s="1"/>
  <c r="E334" i="32"/>
  <c r="BP335" i="32"/>
  <c r="CC335" i="32" s="1"/>
  <c r="CD335" i="32" s="1"/>
  <c r="CE335" i="32" s="1"/>
  <c r="BQ335" i="32" s="1"/>
  <c r="V402" i="45"/>
  <c r="Y402" i="45" s="1"/>
  <c r="Z336" i="40"/>
  <c r="AC336" i="40" s="1"/>
  <c r="Z304" i="40"/>
  <c r="AC304" i="40" s="1"/>
  <c r="AF304" i="40" s="1"/>
  <c r="BP201" i="32"/>
  <c r="CC201" i="32" s="1"/>
  <c r="CD201" i="32" s="1"/>
  <c r="CE201" i="32" s="1"/>
  <c r="BQ201" i="32" s="1"/>
  <c r="E200" i="32"/>
  <c r="Z212" i="40"/>
  <c r="AC212" i="40" s="1"/>
  <c r="BP121" i="32"/>
  <c r="CC121" i="32" s="1"/>
  <c r="CD121" i="32" s="1"/>
  <c r="CE121" i="32" s="1"/>
  <c r="BQ121" i="32" s="1"/>
  <c r="E120" i="32"/>
  <c r="Z176" i="40"/>
  <c r="AC176" i="40" s="1"/>
  <c r="AC159" i="40"/>
  <c r="BP68" i="32"/>
  <c r="CC68" i="32" s="1"/>
  <c r="CD68" i="32" s="1"/>
  <c r="CE68" i="32" s="1"/>
  <c r="BQ68" i="32" s="1"/>
  <c r="E67" i="32"/>
  <c r="Z107" i="40"/>
  <c r="AC107" i="40" s="1"/>
  <c r="BP9" i="32"/>
  <c r="CC9" i="32" s="1"/>
  <c r="CD9" i="32" s="1"/>
  <c r="CE9" i="32" s="1"/>
  <c r="BQ9" i="32" s="1"/>
  <c r="E8" i="32"/>
  <c r="V77" i="45"/>
  <c r="Y77" i="45" s="1"/>
  <c r="E387" i="32"/>
  <c r="BP388" i="32"/>
  <c r="CC388" i="32" s="1"/>
  <c r="CD388" i="32" s="1"/>
  <c r="CE388" i="32" s="1"/>
  <c r="BQ388" i="32" s="1"/>
  <c r="E355" i="32"/>
  <c r="BP356" i="32"/>
  <c r="CC356" i="32" s="1"/>
  <c r="CD356" i="32" s="1"/>
  <c r="CE356" i="32" s="1"/>
  <c r="BQ356" i="32" s="1"/>
  <c r="E323" i="32"/>
  <c r="BP324" i="32"/>
  <c r="CC324" i="32" s="1"/>
  <c r="CD324" i="32" s="1"/>
  <c r="CE324" i="32" s="1"/>
  <c r="BQ324" i="32" s="1"/>
  <c r="BP292" i="32"/>
  <c r="CC292" i="32" s="1"/>
  <c r="CD292" i="32" s="1"/>
  <c r="CE292" i="32" s="1"/>
  <c r="BQ292" i="32" s="1"/>
  <c r="E291" i="32"/>
  <c r="BH215" i="32"/>
  <c r="BZ215" i="32" s="1"/>
  <c r="CA215" i="32" s="1"/>
  <c r="CB215" i="32" s="1"/>
  <c r="BI215" i="32" s="1"/>
  <c r="D214" i="32"/>
  <c r="T512" i="45"/>
  <c r="X512" i="45" s="1"/>
  <c r="U512" i="45" s="1"/>
  <c r="Y512" i="45" s="1"/>
  <c r="Y638" i="31"/>
  <c r="Y484" i="40"/>
  <c r="AA484" i="40" s="1"/>
  <c r="AE484" i="40" s="1"/>
  <c r="AB484" i="40" s="1"/>
  <c r="AF484" i="40" s="1"/>
  <c r="BH397" i="32"/>
  <c r="BZ397" i="32" s="1"/>
  <c r="CA397" i="32" s="1"/>
  <c r="CB397" i="32" s="1"/>
  <c r="BI397" i="32" s="1"/>
  <c r="D396" i="32"/>
  <c r="T464" i="45"/>
  <c r="X464" i="45" s="1"/>
  <c r="U464" i="45" s="1"/>
  <c r="Y464" i="45" s="1"/>
  <c r="Y452" i="40"/>
  <c r="AA452" i="40" s="1"/>
  <c r="AE452" i="40" s="1"/>
  <c r="AB452" i="40" s="1"/>
  <c r="AF452" i="40" s="1"/>
  <c r="Y432" i="45"/>
  <c r="BH349" i="32"/>
  <c r="BZ349" i="32" s="1"/>
  <c r="CA349" i="32" s="1"/>
  <c r="CB349" i="32" s="1"/>
  <c r="BI349" i="32" s="1"/>
  <c r="D348" i="32"/>
  <c r="Y404" i="40"/>
  <c r="AA404" i="40" s="1"/>
  <c r="AE404" i="40" s="1"/>
  <c r="AB404" i="40" s="1"/>
  <c r="AF404" i="40" s="1"/>
  <c r="BH317" i="32"/>
  <c r="BZ317" i="32" s="1"/>
  <c r="CA317" i="32" s="1"/>
  <c r="CB317" i="32" s="1"/>
  <c r="BI317" i="32" s="1"/>
  <c r="D316" i="32"/>
  <c r="Y494" i="31"/>
  <c r="Y340" i="40"/>
  <c r="AA340" i="40" s="1"/>
  <c r="AE340" i="40" s="1"/>
  <c r="AB340" i="40" s="1"/>
  <c r="AF340" i="40" s="1"/>
  <c r="BH221" i="32"/>
  <c r="BZ221" i="32" s="1"/>
  <c r="CA221" i="32" s="1"/>
  <c r="CB221" i="32" s="1"/>
  <c r="BI221" i="32" s="1"/>
  <c r="D220" i="32"/>
  <c r="Y276" i="40"/>
  <c r="AA276" i="40" s="1"/>
  <c r="AE276" i="40" s="1"/>
  <c r="AB276" i="40" s="1"/>
  <c r="AF276" i="40" s="1"/>
  <c r="Y194" i="31"/>
  <c r="Y208" i="45"/>
  <c r="BH125" i="32"/>
  <c r="BZ125" i="32" s="1"/>
  <c r="CA125" i="32" s="1"/>
  <c r="CB125" i="32" s="1"/>
  <c r="BI125" i="32" s="1"/>
  <c r="D124" i="32"/>
  <c r="BH109" i="32"/>
  <c r="BZ109" i="32" s="1"/>
  <c r="CA109" i="32" s="1"/>
  <c r="CB109" i="32" s="1"/>
  <c r="BI109" i="32" s="1"/>
  <c r="D108" i="32"/>
  <c r="Y82" i="31"/>
  <c r="Y148" i="40"/>
  <c r="AA148" i="40" s="1"/>
  <c r="AE148" i="40" s="1"/>
  <c r="AB148" i="40" s="1"/>
  <c r="AF148" i="40" s="1"/>
  <c r="Y144" i="45"/>
  <c r="BH61" i="32"/>
  <c r="BZ61" i="32" s="1"/>
  <c r="CA61" i="32" s="1"/>
  <c r="CB61" i="32" s="1"/>
  <c r="BI61" i="32" s="1"/>
  <c r="D60" i="32"/>
  <c r="Y18" i="31"/>
  <c r="Y84" i="40"/>
  <c r="AA84" i="40" s="1"/>
  <c r="AE84" i="40" s="1"/>
  <c r="AB84" i="40" s="1"/>
  <c r="AF84" i="40" s="1"/>
  <c r="E394" i="32"/>
  <c r="BP395" i="32"/>
  <c r="CC395" i="32" s="1"/>
  <c r="CD395" i="32" s="1"/>
  <c r="CE395" i="32" s="1"/>
  <c r="BQ395" i="32" s="1"/>
  <c r="E378" i="32"/>
  <c r="BP379" i="32"/>
  <c r="CC379" i="32" s="1"/>
  <c r="CD379" i="32" s="1"/>
  <c r="CE379" i="32" s="1"/>
  <c r="BQ379" i="32" s="1"/>
  <c r="V446" i="45"/>
  <c r="Y446" i="45" s="1"/>
  <c r="E362" i="32"/>
  <c r="BP363" i="32"/>
  <c r="CC363" i="32" s="1"/>
  <c r="CD363" i="32" s="1"/>
  <c r="CE363" i="32" s="1"/>
  <c r="BQ363" i="32" s="1"/>
  <c r="Y776" i="31"/>
  <c r="Y760" i="31"/>
  <c r="BP261" i="32"/>
  <c r="CC261" i="32" s="1"/>
  <c r="CD261" i="32" s="1"/>
  <c r="CE261" i="32" s="1"/>
  <c r="BQ261" i="32" s="1"/>
  <c r="E260" i="32"/>
  <c r="BP245" i="32"/>
  <c r="CC245" i="32" s="1"/>
  <c r="CD245" i="32" s="1"/>
  <c r="CE245" i="32" s="1"/>
  <c r="BQ245" i="32" s="1"/>
  <c r="E244" i="32"/>
  <c r="Y342" i="31"/>
  <c r="BP80" i="32"/>
  <c r="CC80" i="32" s="1"/>
  <c r="CD80" i="32" s="1"/>
  <c r="CE80" i="32" s="1"/>
  <c r="BQ80" i="32" s="1"/>
  <c r="E79" i="32"/>
  <c r="D441" i="32"/>
  <c r="BH442" i="32"/>
  <c r="BZ442" i="32" s="1"/>
  <c r="CA442" i="32" s="1"/>
  <c r="CB442" i="32" s="1"/>
  <c r="BI442" i="32" s="1"/>
  <c r="D425" i="32"/>
  <c r="BH426" i="32"/>
  <c r="BZ426" i="32" s="1"/>
  <c r="CA426" i="32" s="1"/>
  <c r="CB426" i="32" s="1"/>
  <c r="BI426" i="32" s="1"/>
  <c r="D409" i="32"/>
  <c r="BH410" i="32"/>
  <c r="BZ410" i="32" s="1"/>
  <c r="CA410" i="32" s="1"/>
  <c r="CB410" i="32" s="1"/>
  <c r="BI410" i="32" s="1"/>
  <c r="D385" i="32"/>
  <c r="BH386" i="32"/>
  <c r="BZ386" i="32" s="1"/>
  <c r="CA386" i="32" s="1"/>
  <c r="CB386" i="32" s="1"/>
  <c r="BI386" i="32" s="1"/>
  <c r="D353" i="32"/>
  <c r="BH354" i="32"/>
  <c r="BZ354" i="32" s="1"/>
  <c r="CA354" i="32" s="1"/>
  <c r="CB354" i="32" s="1"/>
  <c r="BI354" i="32" s="1"/>
  <c r="D321" i="32"/>
  <c r="BH322" i="32"/>
  <c r="BZ322" i="32" s="1"/>
  <c r="CA322" i="32" s="1"/>
  <c r="CB322" i="32" s="1"/>
  <c r="BI322" i="32" s="1"/>
  <c r="BP298" i="32"/>
  <c r="CC298" i="32" s="1"/>
  <c r="CD298" i="32" s="1"/>
  <c r="CE298" i="32" s="1"/>
  <c r="BQ298" i="32" s="1"/>
  <c r="E297" i="32"/>
  <c r="E210" i="32"/>
  <c r="BP211" i="32"/>
  <c r="CC211" i="32" s="1"/>
  <c r="CD211" i="32" s="1"/>
  <c r="CE211" i="32" s="1"/>
  <c r="BQ211" i="32" s="1"/>
  <c r="BP153" i="32"/>
  <c r="CC153" i="32" s="1"/>
  <c r="CD153" i="32" s="1"/>
  <c r="CE153" i="32" s="1"/>
  <c r="BQ153" i="32" s="1"/>
  <c r="E152" i="32"/>
  <c r="Z99" i="40"/>
  <c r="AC99" i="40" s="1"/>
  <c r="BP125" i="32"/>
  <c r="CC125" i="32" s="1"/>
  <c r="CD125" i="32" s="1"/>
  <c r="CE125" i="32" s="1"/>
  <c r="BQ125" i="32" s="1"/>
  <c r="E124" i="32"/>
  <c r="BP40" i="32"/>
  <c r="CC40" i="32" s="1"/>
  <c r="CD40" i="32" s="1"/>
  <c r="CE40" i="32" s="1"/>
  <c r="BQ40" i="32" s="1"/>
  <c r="E39" i="32"/>
  <c r="AC189" i="40"/>
  <c r="AC173" i="40"/>
  <c r="Y294" i="31"/>
  <c r="Y262" i="31"/>
  <c r="AC77" i="40"/>
  <c r="E379" i="32"/>
  <c r="BP380" i="32"/>
  <c r="CC380" i="32" s="1"/>
  <c r="CD380" i="32" s="1"/>
  <c r="CE380" i="32" s="1"/>
  <c r="BQ380" i="32" s="1"/>
  <c r="E347" i="32"/>
  <c r="BP348" i="32"/>
  <c r="CC348" i="32" s="1"/>
  <c r="CD348" i="32" s="1"/>
  <c r="CE348" i="32" s="1"/>
  <c r="BQ348" i="32" s="1"/>
  <c r="E315" i="32"/>
  <c r="BP316" i="32"/>
  <c r="CC316" i="32" s="1"/>
  <c r="CD316" i="32" s="1"/>
  <c r="CE316" i="32" s="1"/>
  <c r="BQ316" i="32" s="1"/>
  <c r="BP284" i="32"/>
  <c r="CC284" i="32" s="1"/>
  <c r="CD284" i="32" s="1"/>
  <c r="CE284" i="32" s="1"/>
  <c r="BQ284" i="32" s="1"/>
  <c r="E283" i="32"/>
  <c r="BH441" i="32"/>
  <c r="BZ441" i="32" s="1"/>
  <c r="CA441" i="32" s="1"/>
  <c r="CB441" i="32" s="1"/>
  <c r="BI441" i="32" s="1"/>
  <c r="D440" i="32"/>
  <c r="T508" i="45"/>
  <c r="X508" i="45" s="1"/>
  <c r="U508" i="45" s="1"/>
  <c r="Y508" i="45" s="1"/>
  <c r="BH425" i="32"/>
  <c r="BZ425" i="32" s="1"/>
  <c r="CA425" i="32" s="1"/>
  <c r="CB425" i="32" s="1"/>
  <c r="BI425" i="32" s="1"/>
  <c r="D424" i="32"/>
  <c r="T492" i="45"/>
  <c r="X492" i="45" s="1"/>
  <c r="U492" i="45" s="1"/>
  <c r="Y492" i="45" s="1"/>
  <c r="BH409" i="32"/>
  <c r="BZ409" i="32" s="1"/>
  <c r="CA409" i="32" s="1"/>
  <c r="CB409" i="32" s="1"/>
  <c r="BI409" i="32" s="1"/>
  <c r="D408" i="32"/>
  <c r="T476" i="45"/>
  <c r="X476" i="45" s="1"/>
  <c r="U476" i="45" s="1"/>
  <c r="Y476" i="45" s="1"/>
  <c r="BH393" i="32"/>
  <c r="BZ393" i="32" s="1"/>
  <c r="CA393" i="32" s="1"/>
  <c r="CB393" i="32" s="1"/>
  <c r="BI393" i="32" s="1"/>
  <c r="D392" i="32"/>
  <c r="AF448" i="40"/>
  <c r="AF432" i="40"/>
  <c r="BH345" i="32"/>
  <c r="BZ345" i="32" s="1"/>
  <c r="CA345" i="32" s="1"/>
  <c r="CB345" i="32" s="1"/>
  <c r="BI345" i="32" s="1"/>
  <c r="D344" i="32"/>
  <c r="AF400" i="40"/>
  <c r="BH297" i="32"/>
  <c r="BZ297" i="32" s="1"/>
  <c r="CA297" i="32" s="1"/>
  <c r="CB297" i="32" s="1"/>
  <c r="BI297" i="32" s="1"/>
  <c r="D296" i="32"/>
  <c r="BH281" i="32"/>
  <c r="BZ281" i="32" s="1"/>
  <c r="CA281" i="32" s="1"/>
  <c r="CB281" i="32" s="1"/>
  <c r="BI281" i="32" s="1"/>
  <c r="D280" i="32"/>
  <c r="AF320" i="40"/>
  <c r="BH233" i="32"/>
  <c r="BZ233" i="32" s="1"/>
  <c r="CA233" i="32" s="1"/>
  <c r="CB233" i="32" s="1"/>
  <c r="BI233" i="32" s="1"/>
  <c r="D232" i="32"/>
  <c r="Y446" i="31"/>
  <c r="BH217" i="32"/>
  <c r="BZ217" i="32" s="1"/>
  <c r="CA217" i="32" s="1"/>
  <c r="CB217" i="32" s="1"/>
  <c r="BI217" i="32" s="1"/>
  <c r="D216" i="32"/>
  <c r="Y284" i="45"/>
  <c r="BH201" i="32"/>
  <c r="BZ201" i="32" s="1"/>
  <c r="CA201" i="32" s="1"/>
  <c r="CB201" i="32" s="1"/>
  <c r="BI201" i="32" s="1"/>
  <c r="D200" i="32"/>
  <c r="Y268" i="45"/>
  <c r="Y186" i="31"/>
  <c r="Y244" i="40"/>
  <c r="AA244" i="40" s="1"/>
  <c r="AE244" i="40" s="1"/>
  <c r="AB244" i="40" s="1"/>
  <c r="AF244" i="40" s="1"/>
  <c r="Y236" i="45"/>
  <c r="Y212" i="40"/>
  <c r="AA212" i="40" s="1"/>
  <c r="AE212" i="40" s="1"/>
  <c r="AB212" i="40" s="1"/>
  <c r="AF212" i="40" s="1"/>
  <c r="BH121" i="32"/>
  <c r="BZ121" i="32" s="1"/>
  <c r="CA121" i="32" s="1"/>
  <c r="CB121" i="32" s="1"/>
  <c r="BI121" i="32" s="1"/>
  <c r="D120" i="32"/>
  <c r="AF176" i="40"/>
  <c r="AF160" i="40"/>
  <c r="BH81" i="32"/>
  <c r="BZ81" i="32" s="1"/>
  <c r="CA81" i="32" s="1"/>
  <c r="CB81" i="32" s="1"/>
  <c r="BI81" i="32" s="1"/>
  <c r="D80" i="32"/>
  <c r="BH73" i="32"/>
  <c r="BZ73" i="32" s="1"/>
  <c r="CA73" i="32" s="1"/>
  <c r="CB73" i="32" s="1"/>
  <c r="BI73" i="32" s="1"/>
  <c r="D72" i="32"/>
  <c r="BH57" i="32"/>
  <c r="BZ57" i="32" s="1"/>
  <c r="CA57" i="32" s="1"/>
  <c r="CB57" i="32" s="1"/>
  <c r="BI57" i="32" s="1"/>
  <c r="D56" i="32"/>
  <c r="Y112" i="40"/>
  <c r="AA112" i="40" s="1"/>
  <c r="AE112" i="40" s="1"/>
  <c r="AB112" i="40" s="1"/>
  <c r="AF112" i="40" s="1"/>
  <c r="Y104" i="45"/>
  <c r="Y88" i="45"/>
  <c r="E342" i="32"/>
  <c r="BP343" i="32"/>
  <c r="CC343" i="32" s="1"/>
  <c r="CD343" i="32" s="1"/>
  <c r="CE343" i="32" s="1"/>
  <c r="BQ343" i="32" s="1"/>
  <c r="E326" i="32"/>
  <c r="BP327" i="32"/>
  <c r="CC327" i="32" s="1"/>
  <c r="CD327" i="32" s="1"/>
  <c r="CE327" i="32" s="1"/>
  <c r="BQ327" i="32" s="1"/>
  <c r="Y686" i="31"/>
  <c r="BP157" i="32"/>
  <c r="CC157" i="32" s="1"/>
  <c r="CD157" i="32" s="1"/>
  <c r="CE157" i="32" s="1"/>
  <c r="BQ157" i="32" s="1"/>
  <c r="E156" i="32"/>
  <c r="BP129" i="32"/>
  <c r="CC129" i="32" s="1"/>
  <c r="CD129" i="32" s="1"/>
  <c r="CE129" i="32" s="1"/>
  <c r="BQ129" i="32" s="1"/>
  <c r="E128" i="32"/>
  <c r="BP113" i="32"/>
  <c r="CC113" i="32" s="1"/>
  <c r="CD113" i="32" s="1"/>
  <c r="CE113" i="32" s="1"/>
  <c r="BQ113" i="32" s="1"/>
  <c r="E112" i="32"/>
  <c r="BP97" i="32"/>
  <c r="CC97" i="32" s="1"/>
  <c r="CD97" i="32" s="1"/>
  <c r="CE97" i="32" s="1"/>
  <c r="BQ97" i="32" s="1"/>
  <c r="E96" i="32"/>
  <c r="BP12" i="32"/>
  <c r="CC12" i="32" s="1"/>
  <c r="CD12" i="32" s="1"/>
  <c r="CE12" i="32" s="1"/>
  <c r="BQ12" i="32" s="1"/>
  <c r="E11" i="32"/>
  <c r="BP434" i="32"/>
  <c r="CC434" i="32" s="1"/>
  <c r="CD434" i="32" s="1"/>
  <c r="CE434" i="32" s="1"/>
  <c r="BQ434" i="32" s="1"/>
  <c r="E433" i="32"/>
  <c r="BP418" i="32"/>
  <c r="CC418" i="32" s="1"/>
  <c r="CD418" i="32" s="1"/>
  <c r="CE418" i="32" s="1"/>
  <c r="BQ418" i="32" s="1"/>
  <c r="E417" i="32"/>
  <c r="BP402" i="32"/>
  <c r="CC402" i="32" s="1"/>
  <c r="CD402" i="32" s="1"/>
  <c r="CE402" i="32" s="1"/>
  <c r="BQ402" i="32" s="1"/>
  <c r="E401" i="32"/>
  <c r="D377" i="32"/>
  <c r="BH378" i="32"/>
  <c r="BZ378" i="32" s="1"/>
  <c r="CA378" i="32" s="1"/>
  <c r="CB378" i="32" s="1"/>
  <c r="BI378" i="32" s="1"/>
  <c r="D345" i="32"/>
  <c r="BH346" i="32"/>
  <c r="BZ346" i="32" s="1"/>
  <c r="CA346" i="32" s="1"/>
  <c r="CB346" i="32" s="1"/>
  <c r="BI346" i="32" s="1"/>
  <c r="D313" i="32"/>
  <c r="BH314" i="32"/>
  <c r="BZ314" i="32" s="1"/>
  <c r="CA314" i="32" s="1"/>
  <c r="CB314" i="32" s="1"/>
  <c r="BI314" i="32" s="1"/>
  <c r="D297" i="32"/>
  <c r="BH298" i="32"/>
  <c r="BZ298" i="32" s="1"/>
  <c r="CA298" i="32" s="1"/>
  <c r="CB298" i="32" s="1"/>
  <c r="BI298" i="32" s="1"/>
  <c r="D281" i="32"/>
  <c r="BH282" i="32"/>
  <c r="BZ282" i="32" s="1"/>
  <c r="CA282" i="32" s="1"/>
  <c r="CB282" i="32" s="1"/>
  <c r="BI282" i="32" s="1"/>
  <c r="D265" i="32"/>
  <c r="BH266" i="32"/>
  <c r="BZ266" i="32" s="1"/>
  <c r="CA266" i="32" s="1"/>
  <c r="CB266" i="32" s="1"/>
  <c r="BI266" i="32" s="1"/>
  <c r="D249" i="32"/>
  <c r="BH250" i="32"/>
  <c r="BZ250" i="32" s="1"/>
  <c r="CA250" i="32" s="1"/>
  <c r="CB250" i="32" s="1"/>
  <c r="BI250" i="32" s="1"/>
  <c r="BH207" i="32"/>
  <c r="BZ207" i="32" s="1"/>
  <c r="CA207" i="32" s="1"/>
  <c r="CB207" i="32" s="1"/>
  <c r="BI207" i="32" s="1"/>
  <c r="D206" i="32"/>
  <c r="BH137" i="32"/>
  <c r="BZ137" i="32" s="1"/>
  <c r="CA137" i="32" s="1"/>
  <c r="CB137" i="32" s="1"/>
  <c r="BI137" i="32" s="1"/>
  <c r="D136" i="32"/>
  <c r="AC233" i="40"/>
  <c r="BH437" i="32"/>
  <c r="BZ437" i="32" s="1"/>
  <c r="CA437" i="32" s="1"/>
  <c r="CB437" i="32" s="1"/>
  <c r="BI437" i="32" s="1"/>
  <c r="D436" i="32"/>
  <c r="Y492" i="40"/>
  <c r="AA492" i="40" s="1"/>
  <c r="AE492" i="40" s="1"/>
  <c r="AB492" i="40" s="1"/>
  <c r="AF492" i="40" s="1"/>
  <c r="Y460" i="40"/>
  <c r="AA460" i="40" s="1"/>
  <c r="AE460" i="40" s="1"/>
  <c r="AB460" i="40" s="1"/>
  <c r="AF460" i="40" s="1"/>
  <c r="Y412" i="40"/>
  <c r="AA412" i="40" s="1"/>
  <c r="AE412" i="40" s="1"/>
  <c r="AB412" i="40" s="1"/>
  <c r="AF412" i="40" s="1"/>
  <c r="Y392" i="45"/>
  <c r="BH309" i="32"/>
  <c r="BZ309" i="32" s="1"/>
  <c r="CA309" i="32" s="1"/>
  <c r="CB309" i="32" s="1"/>
  <c r="BI309" i="32" s="1"/>
  <c r="D308" i="32"/>
  <c r="BH293" i="32"/>
  <c r="BZ293" i="32" s="1"/>
  <c r="CA293" i="32" s="1"/>
  <c r="CB293" i="32" s="1"/>
  <c r="BI293" i="32" s="1"/>
  <c r="D292" i="32"/>
  <c r="Y348" i="40"/>
  <c r="AA348" i="40" s="1"/>
  <c r="AE348" i="40" s="1"/>
  <c r="AB348" i="40" s="1"/>
  <c r="AF348" i="40" s="1"/>
  <c r="Y332" i="40"/>
  <c r="AA332" i="40" s="1"/>
  <c r="AE332" i="40" s="1"/>
  <c r="AB332" i="40" s="1"/>
  <c r="AF332" i="40" s="1"/>
  <c r="BH245" i="32"/>
  <c r="BZ245" i="32" s="1"/>
  <c r="CA245" i="32" s="1"/>
  <c r="CB245" i="32" s="1"/>
  <c r="BI245" i="32" s="1"/>
  <c r="D244" i="32"/>
  <c r="BH229" i="32"/>
  <c r="BZ229" i="32" s="1"/>
  <c r="CA229" i="32" s="1"/>
  <c r="CB229" i="32" s="1"/>
  <c r="BI229" i="32" s="1"/>
  <c r="D228" i="32"/>
  <c r="BH213" i="32"/>
  <c r="BZ213" i="32" s="1"/>
  <c r="CA213" i="32" s="1"/>
  <c r="CB213" i="32" s="1"/>
  <c r="BI213" i="32" s="1"/>
  <c r="D212" i="32"/>
  <c r="BH197" i="32"/>
  <c r="BZ197" i="32" s="1"/>
  <c r="CA197" i="32" s="1"/>
  <c r="CB197" i="32" s="1"/>
  <c r="BI197" i="32" s="1"/>
  <c r="D196" i="32"/>
  <c r="BH165" i="32"/>
  <c r="BZ165" i="32" s="1"/>
  <c r="CA165" i="32" s="1"/>
  <c r="CB165" i="32" s="1"/>
  <c r="BI165" i="32" s="1"/>
  <c r="D164" i="32"/>
  <c r="AF124" i="40"/>
  <c r="BH37" i="32"/>
  <c r="BZ37" i="32" s="1"/>
  <c r="CA37" i="32" s="1"/>
  <c r="CB37" i="32" s="1"/>
  <c r="BI37" i="32" s="1"/>
  <c r="D36" i="32"/>
  <c r="D5" i="32"/>
  <c r="BH6" i="32"/>
  <c r="BZ6" i="32" s="1"/>
  <c r="CA6" i="32" s="1"/>
  <c r="CB6" i="32" s="1"/>
  <c r="BI6" i="32" s="1"/>
  <c r="E386" i="32"/>
  <c r="BP387" i="32"/>
  <c r="CC387" i="32" s="1"/>
  <c r="CD387" i="32" s="1"/>
  <c r="CE387" i="32" s="1"/>
  <c r="BQ387" i="32" s="1"/>
  <c r="E370" i="32"/>
  <c r="BP371" i="32"/>
  <c r="CC371" i="32" s="1"/>
  <c r="CD371" i="32" s="1"/>
  <c r="CE371" i="32" s="1"/>
  <c r="BQ371" i="32" s="1"/>
  <c r="E354" i="32"/>
  <c r="BP355" i="32"/>
  <c r="CC355" i="32" s="1"/>
  <c r="CD355" i="32" s="1"/>
  <c r="CE355" i="32" s="1"/>
  <c r="BQ355" i="32" s="1"/>
  <c r="BP269" i="32"/>
  <c r="CC269" i="32" s="1"/>
  <c r="CD269" i="32" s="1"/>
  <c r="CE269" i="32" s="1"/>
  <c r="BQ269" i="32" s="1"/>
  <c r="E268" i="32"/>
  <c r="BP181" i="32"/>
  <c r="CC181" i="32" s="1"/>
  <c r="CD181" i="32" s="1"/>
  <c r="CE181" i="32" s="1"/>
  <c r="BQ181" i="32" s="1"/>
  <c r="E180" i="32"/>
  <c r="BP72" i="32"/>
  <c r="CC72" i="32" s="1"/>
  <c r="CD72" i="32" s="1"/>
  <c r="CE72" i="32" s="1"/>
  <c r="BQ72" i="32" s="1"/>
  <c r="E71" i="32"/>
  <c r="D115" i="32"/>
  <c r="BH116" i="32"/>
  <c r="BZ116" i="32" s="1"/>
  <c r="CA116" i="32" s="1"/>
  <c r="CB116" i="32" s="1"/>
  <c r="BI116" i="32" s="1"/>
  <c r="D99" i="32"/>
  <c r="BH100" i="32"/>
  <c r="BZ100" i="32" s="1"/>
  <c r="CA100" i="32" s="1"/>
  <c r="CB100" i="32" s="1"/>
  <c r="BI100" i="32" s="1"/>
  <c r="D83" i="32"/>
  <c r="BH84" i="32"/>
  <c r="BZ84" i="32" s="1"/>
  <c r="CA84" i="32" s="1"/>
  <c r="CB84" i="32" s="1"/>
  <c r="BI84" i="32" s="1"/>
  <c r="D67" i="32"/>
  <c r="BH68" i="32"/>
  <c r="BZ68" i="32" s="1"/>
  <c r="CA68" i="32" s="1"/>
  <c r="CB68" i="32" s="1"/>
  <c r="BI68" i="32" s="1"/>
  <c r="BP248" i="32"/>
  <c r="CC248" i="32" s="1"/>
  <c r="CD248" i="32" s="1"/>
  <c r="CE248" i="32" s="1"/>
  <c r="BQ248" i="32" s="1"/>
  <c r="E247" i="32"/>
  <c r="BP232" i="32"/>
  <c r="CC232" i="32" s="1"/>
  <c r="CD232" i="32" s="1"/>
  <c r="CE232" i="32" s="1"/>
  <c r="BQ232" i="32" s="1"/>
  <c r="E231" i="32"/>
  <c r="E443" i="32"/>
  <c r="E427" i="32"/>
  <c r="E411" i="32"/>
  <c r="E192" i="32"/>
  <c r="AF502" i="40"/>
  <c r="AF486" i="40"/>
  <c r="BH399" i="32"/>
  <c r="BZ399" i="32" s="1"/>
  <c r="CA399" i="32" s="1"/>
  <c r="CB399" i="32" s="1"/>
  <c r="BI399" i="32" s="1"/>
  <c r="D398" i="32"/>
  <c r="BH383" i="32"/>
  <c r="BZ383" i="32" s="1"/>
  <c r="CA383" i="32" s="1"/>
  <c r="CB383" i="32" s="1"/>
  <c r="BI383" i="32" s="1"/>
  <c r="D382" i="32"/>
  <c r="BH367" i="32"/>
  <c r="BZ367" i="32" s="1"/>
  <c r="CA367" i="32" s="1"/>
  <c r="CB367" i="32" s="1"/>
  <c r="BI367" i="32" s="1"/>
  <c r="D366" i="32"/>
  <c r="BH303" i="32"/>
  <c r="BZ303" i="32" s="1"/>
  <c r="CA303" i="32" s="1"/>
  <c r="CB303" i="32" s="1"/>
  <c r="BI303" i="32" s="1"/>
  <c r="D302" i="32"/>
  <c r="Y370" i="45"/>
  <c r="AF358" i="40"/>
  <c r="AF342" i="40"/>
  <c r="BH255" i="32"/>
  <c r="BZ255" i="32" s="1"/>
  <c r="CA255" i="32" s="1"/>
  <c r="CB255" i="32" s="1"/>
  <c r="BI255" i="32" s="1"/>
  <c r="D254" i="32"/>
  <c r="BH227" i="32"/>
  <c r="BZ227" i="32" s="1"/>
  <c r="CA227" i="32" s="1"/>
  <c r="CB227" i="32" s="1"/>
  <c r="BI227" i="32" s="1"/>
  <c r="D226" i="32"/>
  <c r="BH151" i="32"/>
  <c r="BZ151" i="32" s="1"/>
  <c r="CA151" i="32" s="1"/>
  <c r="CB151" i="32" s="1"/>
  <c r="BI151" i="32" s="1"/>
  <c r="D150" i="32"/>
  <c r="BH135" i="32"/>
  <c r="BZ135" i="32" s="1"/>
  <c r="CA135" i="32" s="1"/>
  <c r="CB135" i="32" s="1"/>
  <c r="BI135" i="32" s="1"/>
  <c r="D134" i="32"/>
  <c r="BH131" i="32"/>
  <c r="BZ131" i="32" s="1"/>
  <c r="CA131" i="32" s="1"/>
  <c r="CB131" i="32" s="1"/>
  <c r="BI131" i="32" s="1"/>
  <c r="D130" i="32"/>
  <c r="BH115" i="32"/>
  <c r="BZ115" i="32" s="1"/>
  <c r="CA115" i="32" s="1"/>
  <c r="CB115" i="32" s="1"/>
  <c r="BI115" i="32" s="1"/>
  <c r="D114" i="32"/>
  <c r="Y158" i="45"/>
  <c r="BH67" i="32"/>
  <c r="BZ67" i="32" s="1"/>
  <c r="CA67" i="32" s="1"/>
  <c r="CB67" i="32" s="1"/>
  <c r="BI67" i="32" s="1"/>
  <c r="D66" i="32"/>
  <c r="BH51" i="32"/>
  <c r="BZ51" i="32" s="1"/>
  <c r="CA51" i="32" s="1"/>
  <c r="CB51" i="32" s="1"/>
  <c r="BI51" i="32" s="1"/>
  <c r="D50" i="32"/>
  <c r="Z456" i="40"/>
  <c r="AC456" i="40" s="1"/>
  <c r="Z440" i="40"/>
  <c r="AC440" i="40" s="1"/>
  <c r="E266" i="32"/>
  <c r="BP267" i="32"/>
  <c r="CC267" i="32" s="1"/>
  <c r="CD267" i="32" s="1"/>
  <c r="CE267" i="32" s="1"/>
  <c r="BQ267" i="32" s="1"/>
  <c r="V334" i="45"/>
  <c r="Y334" i="45" s="1"/>
  <c r="E250" i="32"/>
  <c r="BP251" i="32"/>
  <c r="CC251" i="32" s="1"/>
  <c r="CD251" i="32" s="1"/>
  <c r="CE251" i="32" s="1"/>
  <c r="BQ251" i="32" s="1"/>
  <c r="E222" i="32"/>
  <c r="BP223" i="32"/>
  <c r="CC223" i="32" s="1"/>
  <c r="CD223" i="32" s="1"/>
  <c r="CE223" i="32" s="1"/>
  <c r="BQ223" i="32" s="1"/>
  <c r="V290" i="45"/>
  <c r="Y290" i="45" s="1"/>
  <c r="E194" i="32"/>
  <c r="BP195" i="32"/>
  <c r="CC195" i="32" s="1"/>
  <c r="CD195" i="32" s="1"/>
  <c r="CE195" i="32" s="1"/>
  <c r="BQ195" i="32" s="1"/>
  <c r="V262" i="45"/>
  <c r="E162" i="32"/>
  <c r="BP163" i="32"/>
  <c r="CC163" i="32" s="1"/>
  <c r="CD163" i="32" s="1"/>
  <c r="CE163" i="32" s="1"/>
  <c r="BQ163" i="32" s="1"/>
  <c r="V230" i="45"/>
  <c r="V198" i="45"/>
  <c r="V182" i="45"/>
  <c r="Y182" i="45" s="1"/>
  <c r="V166" i="45"/>
  <c r="BP82" i="32"/>
  <c r="CC82" i="32" s="1"/>
  <c r="CD82" i="32" s="1"/>
  <c r="CE82" i="32" s="1"/>
  <c r="BQ82" i="32" s="1"/>
  <c r="E81" i="32"/>
  <c r="V149" i="45"/>
  <c r="AC105" i="40"/>
  <c r="V85" i="45"/>
  <c r="BP438" i="32"/>
  <c r="CC438" i="32" s="1"/>
  <c r="CD438" i="32" s="1"/>
  <c r="CE438" i="32" s="1"/>
  <c r="BQ438" i="32" s="1"/>
  <c r="E437" i="32"/>
  <c r="BP406" i="32"/>
  <c r="CC406" i="32" s="1"/>
  <c r="CD406" i="32" s="1"/>
  <c r="CE406" i="32" s="1"/>
  <c r="BQ406" i="32" s="1"/>
  <c r="E405" i="32"/>
  <c r="D225" i="32"/>
  <c r="BH226" i="32"/>
  <c r="BZ226" i="32" s="1"/>
  <c r="CA226" i="32" s="1"/>
  <c r="CB226" i="32" s="1"/>
  <c r="BI226" i="32" s="1"/>
  <c r="Y233" i="40"/>
  <c r="AA233" i="40" s="1"/>
  <c r="AE233" i="40" s="1"/>
  <c r="AB233" i="40" s="1"/>
  <c r="AF233" i="40" s="1"/>
  <c r="D129" i="32"/>
  <c r="BH130" i="32"/>
  <c r="BZ130" i="32" s="1"/>
  <c r="CA130" i="32" s="1"/>
  <c r="CB130" i="32" s="1"/>
  <c r="BI130" i="32" s="1"/>
  <c r="D113" i="32"/>
  <c r="BH114" i="32"/>
  <c r="BZ114" i="32" s="1"/>
  <c r="CA114" i="32" s="1"/>
  <c r="CB114" i="32" s="1"/>
  <c r="BI114" i="32" s="1"/>
  <c r="D73" i="32"/>
  <c r="BH74" i="32"/>
  <c r="BZ74" i="32" s="1"/>
  <c r="CA74" i="32" s="1"/>
  <c r="CB74" i="32" s="1"/>
  <c r="BI74" i="32" s="1"/>
  <c r="D9" i="32"/>
  <c r="BH10" i="32"/>
  <c r="BZ10" i="32" s="1"/>
  <c r="CA10" i="32" s="1"/>
  <c r="CB10" i="32" s="1"/>
  <c r="BI10" i="32" s="1"/>
  <c r="Z504" i="40"/>
  <c r="AC504" i="40" s="1"/>
  <c r="E416" i="32"/>
  <c r="BP417" i="32"/>
  <c r="CC417" i="32" s="1"/>
  <c r="CD417" i="32" s="1"/>
  <c r="CE417" i="32" s="1"/>
  <c r="BQ417" i="32" s="1"/>
  <c r="E310" i="32"/>
  <c r="BP311" i="32"/>
  <c r="CC311" i="32" s="1"/>
  <c r="CD311" i="32" s="1"/>
  <c r="CE311" i="32" s="1"/>
  <c r="BQ311" i="32" s="1"/>
  <c r="V378" i="45"/>
  <c r="E294" i="32"/>
  <c r="BP295" i="32"/>
  <c r="CC295" i="32" s="1"/>
  <c r="CD295" i="32" s="1"/>
  <c r="CE295" i="32" s="1"/>
  <c r="BQ295" i="32" s="1"/>
  <c r="V362" i="45"/>
  <c r="BP234" i="32"/>
  <c r="CC234" i="32" s="1"/>
  <c r="CD234" i="32" s="1"/>
  <c r="CE234" i="32" s="1"/>
  <c r="BQ234" i="32" s="1"/>
  <c r="E233" i="32"/>
  <c r="BP218" i="32"/>
  <c r="CC218" i="32" s="1"/>
  <c r="CD218" i="32" s="1"/>
  <c r="CE218" i="32" s="1"/>
  <c r="BQ218" i="32" s="1"/>
  <c r="E217" i="32"/>
  <c r="V269" i="45"/>
  <c r="BP186" i="32"/>
  <c r="CC186" i="32" s="1"/>
  <c r="CD186" i="32" s="1"/>
  <c r="CE186" i="32" s="1"/>
  <c r="BQ186" i="32" s="1"/>
  <c r="E185" i="32"/>
  <c r="V253" i="45"/>
  <c r="BP170" i="32"/>
  <c r="CC170" i="32" s="1"/>
  <c r="CD170" i="32" s="1"/>
  <c r="CE170" i="32" s="1"/>
  <c r="BQ170" i="32" s="1"/>
  <c r="E169" i="32"/>
  <c r="BP154" i="32"/>
  <c r="CC154" i="32" s="1"/>
  <c r="CD154" i="32" s="1"/>
  <c r="CE154" i="32" s="1"/>
  <c r="BQ154" i="32" s="1"/>
  <c r="E153" i="32"/>
  <c r="BP122" i="32"/>
  <c r="CC122" i="32" s="1"/>
  <c r="CD122" i="32" s="1"/>
  <c r="CE122" i="32" s="1"/>
  <c r="BQ122" i="32" s="1"/>
  <c r="E121" i="32"/>
  <c r="BP106" i="32"/>
  <c r="CC106" i="32" s="1"/>
  <c r="CD106" i="32" s="1"/>
  <c r="CE106" i="32" s="1"/>
  <c r="BQ106" i="32" s="1"/>
  <c r="E105" i="32"/>
  <c r="BP73" i="32"/>
  <c r="CC73" i="32" s="1"/>
  <c r="CD73" i="32" s="1"/>
  <c r="CE73" i="32" s="1"/>
  <c r="BQ73" i="32" s="1"/>
  <c r="E72" i="32"/>
  <c r="D431" i="32"/>
  <c r="BH432" i="32"/>
  <c r="BZ432" i="32" s="1"/>
  <c r="CA432" i="32" s="1"/>
  <c r="CB432" i="32" s="1"/>
  <c r="BI432" i="32" s="1"/>
  <c r="D415" i="32"/>
  <c r="BH416" i="32"/>
  <c r="BZ416" i="32" s="1"/>
  <c r="CA416" i="32" s="1"/>
  <c r="CB416" i="32" s="1"/>
  <c r="BI416" i="32" s="1"/>
  <c r="D399" i="32"/>
  <c r="BH400" i="32"/>
  <c r="BZ400" i="32" s="1"/>
  <c r="CA400" i="32" s="1"/>
  <c r="CB400" i="32" s="1"/>
  <c r="BI400" i="32" s="1"/>
  <c r="D383" i="32"/>
  <c r="BH384" i="32"/>
  <c r="BZ384" i="32" s="1"/>
  <c r="CA384" i="32" s="1"/>
  <c r="CB384" i="32" s="1"/>
  <c r="BI384" i="32" s="1"/>
  <c r="D367" i="32"/>
  <c r="BH368" i="32"/>
  <c r="BZ368" i="32" s="1"/>
  <c r="CA368" i="32" s="1"/>
  <c r="CB368" i="32" s="1"/>
  <c r="BI368" i="32" s="1"/>
  <c r="D351" i="32"/>
  <c r="BH352" i="32"/>
  <c r="BZ352" i="32" s="1"/>
  <c r="CA352" i="32" s="1"/>
  <c r="CB352" i="32" s="1"/>
  <c r="BI352" i="32" s="1"/>
  <c r="D335" i="32"/>
  <c r="BH336" i="32"/>
  <c r="BZ336" i="32" s="1"/>
  <c r="CA336" i="32" s="1"/>
  <c r="CB336" i="32" s="1"/>
  <c r="BI336" i="32" s="1"/>
  <c r="D319" i="32"/>
  <c r="BH320" i="32"/>
  <c r="BZ320" i="32" s="1"/>
  <c r="CA320" i="32" s="1"/>
  <c r="CB320" i="32" s="1"/>
  <c r="BI320" i="32" s="1"/>
  <c r="D287" i="32"/>
  <c r="BH288" i="32"/>
  <c r="BZ288" i="32" s="1"/>
  <c r="CA288" i="32" s="1"/>
  <c r="CB288" i="32" s="1"/>
  <c r="BI288" i="32" s="1"/>
  <c r="D271" i="32"/>
  <c r="BH272" i="32"/>
  <c r="BZ272" i="32" s="1"/>
  <c r="CA272" i="32" s="1"/>
  <c r="CB272" i="32" s="1"/>
  <c r="BI272" i="32" s="1"/>
  <c r="D255" i="32"/>
  <c r="BH256" i="32"/>
  <c r="BZ256" i="32" s="1"/>
  <c r="CA256" i="32" s="1"/>
  <c r="CB256" i="32" s="1"/>
  <c r="BI256" i="32" s="1"/>
  <c r="D239" i="32"/>
  <c r="BH240" i="32"/>
  <c r="BZ240" i="32" s="1"/>
  <c r="CA240" i="32" s="1"/>
  <c r="CB240" i="32" s="1"/>
  <c r="BI240" i="32" s="1"/>
  <c r="D223" i="32"/>
  <c r="BH224" i="32"/>
  <c r="BZ224" i="32" s="1"/>
  <c r="CA224" i="32" s="1"/>
  <c r="CB224" i="32" s="1"/>
  <c r="BI224" i="32" s="1"/>
  <c r="Y291" i="45"/>
  <c r="D207" i="32"/>
  <c r="BH208" i="32"/>
  <c r="BZ208" i="32" s="1"/>
  <c r="CA208" i="32" s="1"/>
  <c r="CB208" i="32" s="1"/>
  <c r="BI208" i="32" s="1"/>
  <c r="Y275" i="45"/>
  <c r="D191" i="32"/>
  <c r="BH192" i="32"/>
  <c r="BZ192" i="32" s="1"/>
  <c r="CA192" i="32" s="1"/>
  <c r="CB192" i="32" s="1"/>
  <c r="BI192" i="32" s="1"/>
  <c r="Y239" i="45"/>
  <c r="AF215" i="40"/>
  <c r="AF199" i="40"/>
  <c r="AF183" i="40"/>
  <c r="AF167" i="40"/>
  <c r="D63" i="32"/>
  <c r="BH64" i="32"/>
  <c r="BZ64" i="32" s="1"/>
  <c r="CA64" i="32" s="1"/>
  <c r="CB64" i="32" s="1"/>
  <c r="BI64" i="32" s="1"/>
  <c r="Y131" i="45"/>
  <c r="Y111" i="45"/>
  <c r="E438" i="32"/>
  <c r="BP439" i="32"/>
  <c r="CC439" i="32" s="1"/>
  <c r="CD439" i="32" s="1"/>
  <c r="CE439" i="32" s="1"/>
  <c r="BQ439" i="32" s="1"/>
  <c r="E422" i="32"/>
  <c r="BP423" i="32"/>
  <c r="CC423" i="32" s="1"/>
  <c r="CD423" i="32" s="1"/>
  <c r="CE423" i="32" s="1"/>
  <c r="BQ423" i="32" s="1"/>
  <c r="E406" i="32"/>
  <c r="BP407" i="32"/>
  <c r="CC407" i="32" s="1"/>
  <c r="CD407" i="32" s="1"/>
  <c r="CE407" i="32" s="1"/>
  <c r="BQ407" i="32" s="1"/>
  <c r="BP390" i="32"/>
  <c r="CC390" i="32" s="1"/>
  <c r="CD390" i="32" s="1"/>
  <c r="CE390" i="32" s="1"/>
  <c r="BQ390" i="32" s="1"/>
  <c r="E389" i="32"/>
  <c r="BP374" i="32"/>
  <c r="CC374" i="32" s="1"/>
  <c r="CD374" i="32" s="1"/>
  <c r="CE374" i="32" s="1"/>
  <c r="BQ374" i="32" s="1"/>
  <c r="E373" i="32"/>
  <c r="BP358" i="32"/>
  <c r="CC358" i="32" s="1"/>
  <c r="CD358" i="32" s="1"/>
  <c r="CE358" i="32" s="1"/>
  <c r="BQ358" i="32" s="1"/>
  <c r="E357" i="32"/>
  <c r="BP342" i="32"/>
  <c r="CC342" i="32" s="1"/>
  <c r="CD342" i="32" s="1"/>
  <c r="CE342" i="32" s="1"/>
  <c r="BQ342" i="32" s="1"/>
  <c r="E341" i="32"/>
  <c r="BP326" i="32"/>
  <c r="CC326" i="32" s="1"/>
  <c r="CD326" i="32" s="1"/>
  <c r="CE326" i="32" s="1"/>
  <c r="BQ326" i="32" s="1"/>
  <c r="E325" i="32"/>
  <c r="BP309" i="32"/>
  <c r="CC309" i="32" s="1"/>
  <c r="CD309" i="32" s="1"/>
  <c r="CE309" i="32" s="1"/>
  <c r="BQ309" i="32" s="1"/>
  <c r="E308" i="32"/>
  <c r="BP293" i="32"/>
  <c r="CC293" i="32" s="1"/>
  <c r="CD293" i="32" s="1"/>
  <c r="CE293" i="32" s="1"/>
  <c r="BQ293" i="32" s="1"/>
  <c r="E292" i="32"/>
  <c r="BP277" i="32"/>
  <c r="CC277" i="32" s="1"/>
  <c r="CD277" i="32" s="1"/>
  <c r="CE277" i="32" s="1"/>
  <c r="BQ277" i="32" s="1"/>
  <c r="E276" i="32"/>
  <c r="BP260" i="32"/>
  <c r="CC260" i="32" s="1"/>
  <c r="CD260" i="32" s="1"/>
  <c r="CE260" i="32" s="1"/>
  <c r="BQ260" i="32" s="1"/>
  <c r="E259" i="32"/>
  <c r="BP244" i="32"/>
  <c r="CC244" i="32" s="1"/>
  <c r="CD244" i="32" s="1"/>
  <c r="CE244" i="32" s="1"/>
  <c r="BQ244" i="32" s="1"/>
  <c r="E243" i="32"/>
  <c r="BP228" i="32"/>
  <c r="CC228" i="32" s="1"/>
  <c r="CD228" i="32" s="1"/>
  <c r="CE228" i="32" s="1"/>
  <c r="BQ228" i="32" s="1"/>
  <c r="E227" i="32"/>
  <c r="BP148" i="32"/>
  <c r="CC148" i="32" s="1"/>
  <c r="CD148" i="32" s="1"/>
  <c r="CE148" i="32" s="1"/>
  <c r="BQ148" i="32" s="1"/>
  <c r="E147" i="32"/>
  <c r="BP100" i="32"/>
  <c r="CC100" i="32" s="1"/>
  <c r="CD100" i="32" s="1"/>
  <c r="CE100" i="32" s="1"/>
  <c r="BQ100" i="32" s="1"/>
  <c r="E99" i="32"/>
  <c r="Y510" i="45"/>
  <c r="Y494" i="45"/>
  <c r="Y478" i="45"/>
  <c r="AF250" i="40"/>
  <c r="E174" i="32"/>
  <c r="BP175" i="32"/>
  <c r="CC175" i="32" s="1"/>
  <c r="CD175" i="32" s="1"/>
  <c r="CE175" i="32" s="1"/>
  <c r="BQ175" i="32" s="1"/>
  <c r="E142" i="32"/>
  <c r="BP143" i="32"/>
  <c r="CC143" i="32" s="1"/>
  <c r="CD143" i="32" s="1"/>
  <c r="CE143" i="32" s="1"/>
  <c r="BQ143" i="32" s="1"/>
  <c r="BP62" i="32"/>
  <c r="CC62" i="32" s="1"/>
  <c r="CD62" i="32" s="1"/>
  <c r="CE62" i="32" s="1"/>
  <c r="BQ62" i="32" s="1"/>
  <c r="E61" i="32"/>
  <c r="BP46" i="32"/>
  <c r="CC46" i="32" s="1"/>
  <c r="CD46" i="32" s="1"/>
  <c r="CE46" i="32" s="1"/>
  <c r="BQ46" i="32" s="1"/>
  <c r="E45" i="32"/>
  <c r="BP30" i="32"/>
  <c r="CC30" i="32" s="1"/>
  <c r="CD30" i="32" s="1"/>
  <c r="CE30" i="32" s="1"/>
  <c r="BQ30" i="32" s="1"/>
  <c r="E29" i="32"/>
  <c r="BP14" i="32"/>
  <c r="CC14" i="32" s="1"/>
  <c r="CD14" i="32" s="1"/>
  <c r="CE14" i="32" s="1"/>
  <c r="BQ14" i="32" s="1"/>
  <c r="E13" i="32"/>
  <c r="BP430" i="32"/>
  <c r="CC430" i="32" s="1"/>
  <c r="CD430" i="32" s="1"/>
  <c r="CE430" i="32" s="1"/>
  <c r="BQ430" i="32" s="1"/>
  <c r="E429" i="32"/>
  <c r="E226" i="32"/>
  <c r="BP227" i="32"/>
  <c r="CC227" i="32" s="1"/>
  <c r="CD227" i="32" s="1"/>
  <c r="CE227" i="32" s="1"/>
  <c r="BQ227" i="32" s="1"/>
  <c r="D189" i="32"/>
  <c r="BH190" i="32"/>
  <c r="BZ190" i="32" s="1"/>
  <c r="CA190" i="32" s="1"/>
  <c r="CB190" i="32" s="1"/>
  <c r="BI190" i="32" s="1"/>
  <c r="D173" i="32"/>
  <c r="BH174" i="32"/>
  <c r="BZ174" i="32" s="1"/>
  <c r="CA174" i="32" s="1"/>
  <c r="CB174" i="32" s="1"/>
  <c r="BI174" i="32" s="1"/>
  <c r="D157" i="32"/>
  <c r="BH158" i="32"/>
  <c r="BZ158" i="32" s="1"/>
  <c r="CA158" i="32" s="1"/>
  <c r="CB158" i="32" s="1"/>
  <c r="BI158" i="32" s="1"/>
  <c r="AF213" i="40"/>
  <c r="AF177" i="40"/>
  <c r="AF161" i="40"/>
  <c r="D53" i="32"/>
  <c r="BH54" i="32"/>
  <c r="BZ54" i="32" s="1"/>
  <c r="CA54" i="32" s="1"/>
  <c r="CB54" i="32" s="1"/>
  <c r="BI54" i="32" s="1"/>
  <c r="D37" i="32"/>
  <c r="BH38" i="32"/>
  <c r="BZ38" i="32" s="1"/>
  <c r="CA38" i="32" s="1"/>
  <c r="CB38" i="32" s="1"/>
  <c r="BI38" i="32" s="1"/>
  <c r="D21" i="32"/>
  <c r="BH22" i="32"/>
  <c r="BZ22" i="32" s="1"/>
  <c r="CA22" i="32" s="1"/>
  <c r="CB22" i="32" s="1"/>
  <c r="BI22" i="32" s="1"/>
  <c r="D445" i="32"/>
  <c r="D449" i="32"/>
  <c r="D453" i="32"/>
  <c r="D457" i="32"/>
  <c r="D461" i="32"/>
  <c r="D465" i="32"/>
  <c r="D469" i="32"/>
  <c r="D473" i="32"/>
  <c r="D477" i="32"/>
  <c r="D481" i="32"/>
  <c r="D485" i="32"/>
  <c r="D489" i="32"/>
  <c r="D493" i="32"/>
  <c r="D497" i="32"/>
  <c r="D501" i="32"/>
  <c r="D505" i="32"/>
  <c r="D509" i="32"/>
  <c r="D513" i="32"/>
  <c r="D517" i="32"/>
  <c r="D521" i="32"/>
  <c r="D525" i="32"/>
  <c r="D529" i="32"/>
  <c r="D533" i="32"/>
  <c r="D537" i="32"/>
  <c r="D541" i="32"/>
  <c r="D545" i="32"/>
  <c r="D549" i="32"/>
  <c r="D553" i="32"/>
  <c r="D557" i="32"/>
  <c r="D561" i="32"/>
  <c r="D565" i="32"/>
  <c r="D569" i="32"/>
  <c r="D573" i="32"/>
  <c r="D577" i="32"/>
  <c r="D581" i="32"/>
  <c r="D585" i="32"/>
  <c r="D589" i="32"/>
  <c r="D593" i="32"/>
  <c r="D597" i="32"/>
  <c r="D601" i="32"/>
  <c r="D605" i="32"/>
  <c r="D609" i="32"/>
  <c r="D613" i="32"/>
  <c r="D617" i="32"/>
  <c r="D621" i="32"/>
  <c r="D625" i="32"/>
  <c r="D629" i="32"/>
  <c r="D633" i="32"/>
  <c r="D637" i="32"/>
  <c r="D641" i="32"/>
  <c r="D645" i="32"/>
  <c r="D649" i="32"/>
  <c r="D653" i="32"/>
  <c r="D657" i="32"/>
  <c r="D661" i="32"/>
  <c r="BH5" i="32"/>
  <c r="BZ5" i="32" s="1"/>
  <c r="CA5" i="32" s="1"/>
  <c r="CB5" i="32" s="1"/>
  <c r="BI5" i="32" s="1"/>
  <c r="D446" i="32"/>
  <c r="D450" i="32"/>
  <c r="D454" i="32"/>
  <c r="D458" i="32"/>
  <c r="D462" i="32"/>
  <c r="D466" i="32"/>
  <c r="D470" i="32"/>
  <c r="D474" i="32"/>
  <c r="D478" i="32"/>
  <c r="D482" i="32"/>
  <c r="D486" i="32"/>
  <c r="D490" i="32"/>
  <c r="D494" i="32"/>
  <c r="D498" i="32"/>
  <c r="D502" i="32"/>
  <c r="D506" i="32"/>
  <c r="D510" i="32"/>
  <c r="D514" i="32"/>
  <c r="D518" i="32"/>
  <c r="D522" i="32"/>
  <c r="D526" i="32"/>
  <c r="D530" i="32"/>
  <c r="D534" i="32"/>
  <c r="D538" i="32"/>
  <c r="D542" i="32"/>
  <c r="D546" i="32"/>
  <c r="D550" i="32"/>
  <c r="D554" i="32"/>
  <c r="D558" i="32"/>
  <c r="D562" i="32"/>
  <c r="D566" i="32"/>
  <c r="D570" i="32"/>
  <c r="D574" i="32"/>
  <c r="D578" i="32"/>
  <c r="D582" i="32"/>
  <c r="D586" i="32"/>
  <c r="D590" i="32"/>
  <c r="D594" i="32"/>
  <c r="D598" i="32"/>
  <c r="D602" i="32"/>
  <c r="D606" i="32"/>
  <c r="D610" i="32"/>
  <c r="D614" i="32"/>
  <c r="D618" i="32"/>
  <c r="D622" i="32"/>
  <c r="D626" i="32"/>
  <c r="D630" i="32"/>
  <c r="D634" i="32"/>
  <c r="D638" i="32"/>
  <c r="D642" i="32"/>
  <c r="D646" i="32"/>
  <c r="D650" i="32"/>
  <c r="D654" i="32"/>
  <c r="D658" i="32"/>
  <c r="D662" i="32"/>
  <c r="D447" i="32"/>
  <c r="D451" i="32"/>
  <c r="D455" i="32"/>
  <c r="D459" i="32"/>
  <c r="D463" i="32"/>
  <c r="D467" i="32"/>
  <c r="D471" i="32"/>
  <c r="D475" i="32"/>
  <c r="D479" i="32"/>
  <c r="D483" i="32"/>
  <c r="D487" i="32"/>
  <c r="D491" i="32"/>
  <c r="D495" i="32"/>
  <c r="D499" i="32"/>
  <c r="D503" i="32"/>
  <c r="D507" i="32"/>
  <c r="D511" i="32"/>
  <c r="D515" i="32"/>
  <c r="D519" i="32"/>
  <c r="D523" i="32"/>
  <c r="D527" i="32"/>
  <c r="D531" i="32"/>
  <c r="D535" i="32"/>
  <c r="D539" i="32"/>
  <c r="D543" i="32"/>
  <c r="D547" i="32"/>
  <c r="D551" i="32"/>
  <c r="D555" i="32"/>
  <c r="D559" i="32"/>
  <c r="D563" i="32"/>
  <c r="D567" i="32"/>
  <c r="D571" i="32"/>
  <c r="D575" i="32"/>
  <c r="D579" i="32"/>
  <c r="D583" i="32"/>
  <c r="D587" i="32"/>
  <c r="D591" i="32"/>
  <c r="D595" i="32"/>
  <c r="D599" i="32"/>
  <c r="D603" i="32"/>
  <c r="D607" i="32"/>
  <c r="D611" i="32"/>
  <c r="D615" i="32"/>
  <c r="D619" i="32"/>
  <c r="D623" i="32"/>
  <c r="D627" i="32"/>
  <c r="D631" i="32"/>
  <c r="D635" i="32"/>
  <c r="D639" i="32"/>
  <c r="D643" i="32"/>
  <c r="D647" i="32"/>
  <c r="D651" i="32"/>
  <c r="D655" i="32"/>
  <c r="D659" i="32"/>
  <c r="D4" i="32"/>
  <c r="D456" i="32"/>
  <c r="D472" i="32"/>
  <c r="D488" i="32"/>
  <c r="D504" i="32"/>
  <c r="D520" i="32"/>
  <c r="D536" i="32"/>
  <c r="D552" i="32"/>
  <c r="D568" i="32"/>
  <c r="D584" i="32"/>
  <c r="D600" i="32"/>
  <c r="D616" i="32"/>
  <c r="D632" i="32"/>
  <c r="D648" i="32"/>
  <c r="D444" i="32"/>
  <c r="D460" i="32"/>
  <c r="D476" i="32"/>
  <c r="D492" i="32"/>
  <c r="D508" i="32"/>
  <c r="D524" i="32"/>
  <c r="D540" i="32"/>
  <c r="D556" i="32"/>
  <c r="D572" i="32"/>
  <c r="D588" i="32"/>
  <c r="D604" i="32"/>
  <c r="D620" i="32"/>
  <c r="D636" i="32"/>
  <c r="D652" i="32"/>
  <c r="D448" i="32"/>
  <c r="D464" i="32"/>
  <c r="D480" i="32"/>
  <c r="D496" i="32"/>
  <c r="D512" i="32"/>
  <c r="D528" i="32"/>
  <c r="D544" i="32"/>
  <c r="D560" i="32"/>
  <c r="D576" i="32"/>
  <c r="D592" i="32"/>
  <c r="D608" i="32"/>
  <c r="D624" i="32"/>
  <c r="D640" i="32"/>
  <c r="D656" i="32"/>
  <c r="D468" i="32"/>
  <c r="D532" i="32"/>
  <c r="D596" i="32"/>
  <c r="D660" i="32"/>
  <c r="D484" i="32"/>
  <c r="D548" i="32"/>
  <c r="D612" i="32"/>
  <c r="D500" i="32"/>
  <c r="D564" i="32"/>
  <c r="D628" i="32"/>
  <c r="D452" i="32"/>
  <c r="D516" i="32"/>
  <c r="D580" i="32"/>
  <c r="D644" i="32"/>
  <c r="E412" i="32"/>
  <c r="BP413" i="32"/>
  <c r="CC413" i="32" s="1"/>
  <c r="CD413" i="32" s="1"/>
  <c r="CE413" i="32" s="1"/>
  <c r="BQ413" i="32" s="1"/>
  <c r="E306" i="32"/>
  <c r="BP307" i="32"/>
  <c r="CC307" i="32" s="1"/>
  <c r="CD307" i="32" s="1"/>
  <c r="CE307" i="32" s="1"/>
  <c r="BQ307" i="32" s="1"/>
  <c r="E290" i="32"/>
  <c r="BP291" i="32"/>
  <c r="CC291" i="32" s="1"/>
  <c r="CD291" i="32" s="1"/>
  <c r="CE291" i="32" s="1"/>
  <c r="BQ291" i="32" s="1"/>
  <c r="AF467" i="40"/>
  <c r="D347" i="32"/>
  <c r="BH348" i="32"/>
  <c r="BZ348" i="32" s="1"/>
  <c r="CA348" i="32" s="1"/>
  <c r="CB348" i="32" s="1"/>
  <c r="BI348" i="32" s="1"/>
  <c r="AF371" i="40"/>
  <c r="D267" i="32"/>
  <c r="BH268" i="32"/>
  <c r="BZ268" i="32" s="1"/>
  <c r="CA268" i="32" s="1"/>
  <c r="CB268" i="32" s="1"/>
  <c r="BI268" i="32" s="1"/>
  <c r="AF323" i="40"/>
  <c r="D155" i="32"/>
  <c r="BH156" i="32"/>
  <c r="BZ156" i="32" s="1"/>
  <c r="CA156" i="32" s="1"/>
  <c r="CB156" i="32" s="1"/>
  <c r="BI156" i="32" s="1"/>
  <c r="D123" i="32"/>
  <c r="BH124" i="32"/>
  <c r="BZ124" i="32" s="1"/>
  <c r="CA124" i="32" s="1"/>
  <c r="CB124" i="32" s="1"/>
  <c r="BI124" i="32" s="1"/>
  <c r="Y191" i="45"/>
  <c r="D43" i="32"/>
  <c r="BH44" i="32"/>
  <c r="BZ44" i="32" s="1"/>
  <c r="CA44" i="32" s="1"/>
  <c r="CB44" i="32" s="1"/>
  <c r="BI44" i="32" s="1"/>
  <c r="AF99" i="40"/>
  <c r="AF83" i="40"/>
  <c r="Y799" i="31"/>
  <c r="Y783" i="31"/>
  <c r="Y767" i="31"/>
  <c r="BP289" i="32"/>
  <c r="CC289" i="32" s="1"/>
  <c r="CD289" i="32" s="1"/>
  <c r="CE289" i="32" s="1"/>
  <c r="BQ289" i="32" s="1"/>
  <c r="E288" i="32"/>
  <c r="BP240" i="32"/>
  <c r="CC240" i="32" s="1"/>
  <c r="CD240" i="32" s="1"/>
  <c r="CE240" i="32" s="1"/>
  <c r="BQ240" i="32" s="1"/>
  <c r="E239" i="32"/>
  <c r="BP128" i="32"/>
  <c r="CC128" i="32" s="1"/>
  <c r="CD128" i="32" s="1"/>
  <c r="CE128" i="32" s="1"/>
  <c r="BQ128" i="32" s="1"/>
  <c r="E127" i="32"/>
  <c r="E261" i="32"/>
  <c r="AF494" i="40"/>
  <c r="Y474" i="45"/>
  <c r="BH391" i="32"/>
  <c r="BZ391" i="32" s="1"/>
  <c r="CA391" i="32" s="1"/>
  <c r="CB391" i="32" s="1"/>
  <c r="BI391" i="32" s="1"/>
  <c r="D390" i="32"/>
  <c r="BH327" i="32"/>
  <c r="BZ327" i="32" s="1"/>
  <c r="CA327" i="32" s="1"/>
  <c r="CB327" i="32" s="1"/>
  <c r="BI327" i="32" s="1"/>
  <c r="D326" i="32"/>
  <c r="Y532" i="31"/>
  <c r="AF382" i="40"/>
  <c r="BH279" i="32"/>
  <c r="BZ279" i="32" s="1"/>
  <c r="CA279" i="32" s="1"/>
  <c r="CB279" i="32" s="1"/>
  <c r="BI279" i="32" s="1"/>
  <c r="D278" i="32"/>
  <c r="Y346" i="45"/>
  <c r="Y306" i="45"/>
  <c r="BH211" i="32"/>
  <c r="BZ211" i="32" s="1"/>
  <c r="CA211" i="32" s="1"/>
  <c r="CB211" i="32" s="1"/>
  <c r="BI211" i="32" s="1"/>
  <c r="D210" i="32"/>
  <c r="Y278" i="45"/>
  <c r="BH191" i="32"/>
  <c r="BZ191" i="32" s="1"/>
  <c r="CA191" i="32" s="1"/>
  <c r="CB191" i="32" s="1"/>
  <c r="BI191" i="32" s="1"/>
  <c r="D190" i="32"/>
  <c r="Y258" i="45"/>
  <c r="BH143" i="32"/>
  <c r="BZ143" i="32" s="1"/>
  <c r="CA143" i="32" s="1"/>
  <c r="CB143" i="32" s="1"/>
  <c r="BI143" i="32" s="1"/>
  <c r="D142" i="32"/>
  <c r="Y210" i="45"/>
  <c r="BH123" i="32"/>
  <c r="BZ123" i="32" s="1"/>
  <c r="CA123" i="32" s="1"/>
  <c r="CB123" i="32" s="1"/>
  <c r="BI123" i="32" s="1"/>
  <c r="D122" i="32"/>
  <c r="AF178" i="40"/>
  <c r="Y166" i="45"/>
  <c r="BH75" i="32"/>
  <c r="BZ75" i="32" s="1"/>
  <c r="CA75" i="32" s="1"/>
  <c r="CB75" i="32" s="1"/>
  <c r="BI75" i="32" s="1"/>
  <c r="D74" i="32"/>
  <c r="Y134" i="45"/>
  <c r="AF114" i="40"/>
  <c r="BH27" i="32"/>
  <c r="BZ27" i="32" s="1"/>
  <c r="CA27" i="32" s="1"/>
  <c r="CB27" i="32" s="1"/>
  <c r="BI27" i="32" s="1"/>
  <c r="D26" i="32"/>
  <c r="Y86" i="45"/>
  <c r="E360" i="32"/>
  <c r="BP361" i="32"/>
  <c r="CC361" i="32" s="1"/>
  <c r="CD361" i="32" s="1"/>
  <c r="CE361" i="32" s="1"/>
  <c r="BQ361" i="32" s="1"/>
  <c r="BP90" i="32"/>
  <c r="CC90" i="32" s="1"/>
  <c r="CD90" i="32" s="1"/>
  <c r="CE90" i="32" s="1"/>
  <c r="BQ90" i="32" s="1"/>
  <c r="E89" i="32"/>
  <c r="BP74" i="32"/>
  <c r="CC74" i="32" s="1"/>
  <c r="CD74" i="32" s="1"/>
  <c r="CE74" i="32" s="1"/>
  <c r="BQ74" i="32" s="1"/>
  <c r="E73" i="32"/>
  <c r="Y235" i="31"/>
  <c r="BP422" i="32"/>
  <c r="CC422" i="32" s="1"/>
  <c r="CD422" i="32" s="1"/>
  <c r="CE422" i="32" s="1"/>
  <c r="BQ422" i="32" s="1"/>
  <c r="E421" i="32"/>
  <c r="BH223" i="32"/>
  <c r="BZ223" i="32" s="1"/>
  <c r="CA223" i="32" s="1"/>
  <c r="CB223" i="32" s="1"/>
  <c r="BI223" i="32" s="1"/>
  <c r="D222" i="32"/>
  <c r="Y513" i="45"/>
  <c r="Y497" i="45"/>
  <c r="Y481" i="45"/>
  <c r="AF305" i="40"/>
  <c r="AF289" i="40"/>
  <c r="Y269" i="45"/>
  <c r="Y159" i="31"/>
  <c r="D153" i="32"/>
  <c r="BH154" i="32"/>
  <c r="BZ154" i="32" s="1"/>
  <c r="CA154" i="32" s="1"/>
  <c r="CB154" i="32" s="1"/>
  <c r="BI154" i="32" s="1"/>
  <c r="AF209" i="40"/>
  <c r="AF193" i="40"/>
  <c r="D65" i="32"/>
  <c r="BH66" i="32"/>
  <c r="BZ66" i="32" s="1"/>
  <c r="CA66" i="32" s="1"/>
  <c r="CB66" i="32" s="1"/>
  <c r="BI66" i="32" s="1"/>
  <c r="AF121" i="40"/>
  <c r="AF105" i="40"/>
  <c r="Y85" i="45"/>
  <c r="E440" i="32"/>
  <c r="BP441" i="32"/>
  <c r="CC441" i="32" s="1"/>
  <c r="CD441" i="32" s="1"/>
  <c r="CE441" i="32" s="1"/>
  <c r="BQ441" i="32" s="1"/>
  <c r="E424" i="32"/>
  <c r="BP425" i="32"/>
  <c r="CC425" i="32" s="1"/>
  <c r="CD425" i="32" s="1"/>
  <c r="CE425" i="32" s="1"/>
  <c r="BQ425" i="32" s="1"/>
  <c r="E408" i="32"/>
  <c r="BP409" i="32"/>
  <c r="CC409" i="32" s="1"/>
  <c r="CD409" i="32" s="1"/>
  <c r="CE409" i="32" s="1"/>
  <c r="BQ409" i="32" s="1"/>
  <c r="Y671" i="31"/>
  <c r="D423" i="32"/>
  <c r="BH424" i="32"/>
  <c r="BZ424" i="32" s="1"/>
  <c r="CA424" i="32" s="1"/>
  <c r="CB424" i="32" s="1"/>
  <c r="BI424" i="32" s="1"/>
  <c r="Y617" i="31"/>
  <c r="Y459" i="45"/>
  <c r="AF447" i="40"/>
  <c r="Y569" i="31"/>
  <c r="D343" i="32"/>
  <c r="BH344" i="32"/>
  <c r="BZ344" i="32" s="1"/>
  <c r="CA344" i="32" s="1"/>
  <c r="CB344" i="32" s="1"/>
  <c r="BI344" i="32" s="1"/>
  <c r="Y411" i="45"/>
  <c r="D327" i="32"/>
  <c r="BH328" i="32"/>
  <c r="BZ328" i="32" s="1"/>
  <c r="CA328" i="32" s="1"/>
  <c r="CB328" i="32" s="1"/>
  <c r="BI328" i="32" s="1"/>
  <c r="Y395" i="45"/>
  <c r="Y387" i="45"/>
  <c r="D263" i="32"/>
  <c r="BH264" i="32"/>
  <c r="BZ264" i="32" s="1"/>
  <c r="CA264" i="32" s="1"/>
  <c r="CB264" i="32" s="1"/>
  <c r="BI264" i="32" s="1"/>
  <c r="Y331" i="45"/>
  <c r="AF319" i="40"/>
  <c r="AF303" i="40"/>
  <c r="Y295" i="45"/>
  <c r="Y201" i="31"/>
  <c r="AF239" i="40"/>
  <c r="Y231" i="45"/>
  <c r="D119" i="32"/>
  <c r="BH120" i="32"/>
  <c r="BZ120" i="32" s="1"/>
  <c r="CA120" i="32" s="1"/>
  <c r="CB120" i="32" s="1"/>
  <c r="BI120" i="32" s="1"/>
  <c r="AF159" i="40"/>
  <c r="D71" i="32"/>
  <c r="BH72" i="32"/>
  <c r="BZ72" i="32" s="1"/>
  <c r="CA72" i="32" s="1"/>
  <c r="CB72" i="32" s="1"/>
  <c r="BI72" i="32" s="1"/>
  <c r="D55" i="32"/>
  <c r="BH56" i="32"/>
  <c r="BZ56" i="32" s="1"/>
  <c r="CA56" i="32" s="1"/>
  <c r="CB56" i="32" s="1"/>
  <c r="BI56" i="32" s="1"/>
  <c r="D39" i="32"/>
  <c r="BH40" i="32"/>
  <c r="BZ40" i="32" s="1"/>
  <c r="CA40" i="32" s="1"/>
  <c r="CB40" i="32" s="1"/>
  <c r="BI40" i="32" s="1"/>
  <c r="Y107" i="45"/>
  <c r="Y844" i="31"/>
  <c r="BP382" i="32"/>
  <c r="CC382" i="32" s="1"/>
  <c r="CD382" i="32" s="1"/>
  <c r="CE382" i="32" s="1"/>
  <c r="BQ382" i="32" s="1"/>
  <c r="E381" i="32"/>
  <c r="BP350" i="32"/>
  <c r="CC350" i="32" s="1"/>
  <c r="CD350" i="32" s="1"/>
  <c r="CE350" i="32" s="1"/>
  <c r="BQ350" i="32" s="1"/>
  <c r="E349" i="32"/>
  <c r="BP334" i="32"/>
  <c r="CC334" i="32" s="1"/>
  <c r="CD334" i="32" s="1"/>
  <c r="CE334" i="32" s="1"/>
  <c r="BQ334" i="32" s="1"/>
  <c r="E333" i="32"/>
  <c r="Y697" i="31"/>
  <c r="BP220" i="32"/>
  <c r="CC220" i="32" s="1"/>
  <c r="CD220" i="32" s="1"/>
  <c r="CE220" i="32" s="1"/>
  <c r="BQ220" i="32" s="1"/>
  <c r="E219" i="32"/>
  <c r="BP172" i="32"/>
  <c r="CC172" i="32" s="1"/>
  <c r="CD172" i="32" s="1"/>
  <c r="CE172" i="32" s="1"/>
  <c r="BQ172" i="32" s="1"/>
  <c r="E171" i="32"/>
  <c r="BP140" i="32"/>
  <c r="CC140" i="32" s="1"/>
  <c r="CD140" i="32" s="1"/>
  <c r="CE140" i="32" s="1"/>
  <c r="BQ140" i="32" s="1"/>
  <c r="E139" i="32"/>
  <c r="Y252" i="31"/>
  <c r="E234" i="32"/>
  <c r="AF490" i="40"/>
  <c r="Y628" i="31"/>
  <c r="BH403" i="32"/>
  <c r="BZ403" i="32" s="1"/>
  <c r="CA403" i="32" s="1"/>
  <c r="CB403" i="32" s="1"/>
  <c r="BI403" i="32" s="1"/>
  <c r="D402" i="32"/>
  <c r="Y576" i="31"/>
  <c r="BH323" i="32"/>
  <c r="BZ323" i="32" s="1"/>
  <c r="CA323" i="32" s="1"/>
  <c r="CB323" i="32" s="1"/>
  <c r="BI323" i="32" s="1"/>
  <c r="D322" i="32"/>
  <c r="AF346" i="40"/>
  <c r="BH187" i="32"/>
  <c r="BZ187" i="32" s="1"/>
  <c r="CA187" i="32" s="1"/>
  <c r="CB187" i="32" s="1"/>
  <c r="BI187" i="32" s="1"/>
  <c r="D186" i="32"/>
  <c r="Y254" i="45"/>
  <c r="BH155" i="32"/>
  <c r="BZ155" i="32" s="1"/>
  <c r="CA155" i="32" s="1"/>
  <c r="CB155" i="32" s="1"/>
  <c r="BI155" i="32" s="1"/>
  <c r="D154" i="32"/>
  <c r="Y222" i="45"/>
  <c r="BH139" i="32"/>
  <c r="BZ139" i="32" s="1"/>
  <c r="CA139" i="32" s="1"/>
  <c r="CB139" i="32" s="1"/>
  <c r="BI139" i="32" s="1"/>
  <c r="D138" i="32"/>
  <c r="Y206" i="45"/>
  <c r="Y194" i="45"/>
  <c r="Y162" i="45"/>
  <c r="AF142" i="40"/>
  <c r="Y44" i="31"/>
  <c r="Y32" i="31"/>
  <c r="AF94" i="40"/>
  <c r="AF78" i="40"/>
  <c r="Y875" i="31"/>
  <c r="Y859" i="31"/>
  <c r="Y818" i="31"/>
  <c r="E340" i="32"/>
  <c r="BP341" i="32"/>
  <c r="CC341" i="32" s="1"/>
  <c r="CD341" i="32" s="1"/>
  <c r="CE341" i="32" s="1"/>
  <c r="BQ341" i="32" s="1"/>
  <c r="E254" i="32"/>
  <c r="BP255" i="32"/>
  <c r="CC255" i="32" s="1"/>
  <c r="CD255" i="32" s="1"/>
  <c r="CE255" i="32" s="1"/>
  <c r="BQ255" i="32" s="1"/>
  <c r="E182" i="32"/>
  <c r="BP183" i="32"/>
  <c r="CC183" i="32" s="1"/>
  <c r="CD183" i="32" s="1"/>
  <c r="CE183" i="32" s="1"/>
  <c r="BQ183" i="32" s="1"/>
  <c r="Y356" i="31"/>
  <c r="E118" i="32"/>
  <c r="BP119" i="32"/>
  <c r="CC119" i="32" s="1"/>
  <c r="CD119" i="32" s="1"/>
  <c r="CE119" i="32" s="1"/>
  <c r="BQ119" i="32" s="1"/>
  <c r="Y328" i="31"/>
  <c r="Y312" i="31"/>
  <c r="BP70" i="32"/>
  <c r="CC70" i="32" s="1"/>
  <c r="CD70" i="32" s="1"/>
  <c r="CE70" i="32" s="1"/>
  <c r="BQ70" i="32" s="1"/>
  <c r="E69" i="32"/>
  <c r="D229" i="32"/>
  <c r="BH230" i="32"/>
  <c r="BZ230" i="32" s="1"/>
  <c r="CA230" i="32" s="1"/>
  <c r="CB230" i="32" s="1"/>
  <c r="BI230" i="32" s="1"/>
  <c r="D213" i="32"/>
  <c r="BH214" i="32"/>
  <c r="BZ214" i="32" s="1"/>
  <c r="CA214" i="32" s="1"/>
  <c r="CB214" i="32" s="1"/>
  <c r="BI214" i="32" s="1"/>
  <c r="D197" i="32"/>
  <c r="BH198" i="32"/>
  <c r="BZ198" i="32" s="1"/>
  <c r="CA198" i="32" s="1"/>
  <c r="CB198" i="32" s="1"/>
  <c r="BI198" i="32" s="1"/>
  <c r="D181" i="32"/>
  <c r="BH182" i="32"/>
  <c r="BZ182" i="32" s="1"/>
  <c r="CA182" i="32" s="1"/>
  <c r="CB182" i="32" s="1"/>
  <c r="BI182" i="32" s="1"/>
  <c r="Y135" i="31"/>
  <c r="D81" i="32"/>
  <c r="BH82" i="32"/>
  <c r="BZ82" i="32" s="1"/>
  <c r="CA82" i="32" s="1"/>
  <c r="CB82" i="32" s="1"/>
  <c r="BI82" i="32" s="1"/>
  <c r="D61" i="32"/>
  <c r="BH62" i="32"/>
  <c r="BZ62" i="32" s="1"/>
  <c r="CA62" i="32" s="1"/>
  <c r="CB62" i="32" s="1"/>
  <c r="BI62" i="32" s="1"/>
  <c r="Y35" i="31"/>
  <c r="Y81" i="45"/>
  <c r="Y850" i="31"/>
  <c r="E298" i="32"/>
  <c r="BP299" i="32"/>
  <c r="CC299" i="32" s="1"/>
  <c r="CD299" i="32" s="1"/>
  <c r="CE299" i="32" s="1"/>
  <c r="BQ299" i="32" s="1"/>
  <c r="Y691" i="31"/>
  <c r="Y667" i="31"/>
  <c r="BP190" i="32"/>
  <c r="CC190" i="32" s="1"/>
  <c r="CD190" i="32" s="1"/>
  <c r="CE190" i="32" s="1"/>
  <c r="BQ190" i="32" s="1"/>
  <c r="E189" i="32"/>
  <c r="BP126" i="32"/>
  <c r="CC126" i="32" s="1"/>
  <c r="CD126" i="32" s="1"/>
  <c r="CE126" i="32" s="1"/>
  <c r="BQ126" i="32" s="1"/>
  <c r="E125" i="32"/>
  <c r="BH417" i="32"/>
  <c r="BZ417" i="32" s="1"/>
  <c r="CA417" i="32" s="1"/>
  <c r="CB417" i="32" s="1"/>
  <c r="BI417" i="32" s="1"/>
  <c r="D416" i="32"/>
  <c r="Y484" i="45"/>
  <c r="AF456" i="40"/>
  <c r="Y436" i="45"/>
  <c r="AF408" i="40"/>
  <c r="Y388" i="45"/>
  <c r="BH305" i="32"/>
  <c r="BZ305" i="32" s="1"/>
  <c r="CA305" i="32" s="1"/>
  <c r="CB305" i="32" s="1"/>
  <c r="BI305" i="32" s="1"/>
  <c r="D304" i="32"/>
  <c r="BH257" i="32"/>
  <c r="BZ257" i="32" s="1"/>
  <c r="CA257" i="32" s="1"/>
  <c r="CB257" i="32" s="1"/>
  <c r="BI257" i="32" s="1"/>
  <c r="D256" i="32"/>
  <c r="Y276" i="45"/>
  <c r="BH189" i="32"/>
  <c r="BZ189" i="32" s="1"/>
  <c r="CA189" i="32" s="1"/>
  <c r="CB189" i="32" s="1"/>
  <c r="BI189" i="32" s="1"/>
  <c r="D188" i="32"/>
  <c r="Y180" i="45"/>
  <c r="Y164" i="45"/>
  <c r="Y96" i="45"/>
  <c r="E382" i="32"/>
  <c r="BP383" i="32"/>
  <c r="CC383" i="32" s="1"/>
  <c r="CD383" i="32" s="1"/>
  <c r="CE383" i="32" s="1"/>
  <c r="BQ383" i="32" s="1"/>
  <c r="E318" i="32"/>
  <c r="BP319" i="32"/>
  <c r="CC319" i="32" s="1"/>
  <c r="CD319" i="32" s="1"/>
  <c r="CE319" i="32" s="1"/>
  <c r="BQ319" i="32" s="1"/>
  <c r="BP265" i="32"/>
  <c r="CC265" i="32" s="1"/>
  <c r="CD265" i="32" s="1"/>
  <c r="CE265" i="32" s="1"/>
  <c r="BQ265" i="32" s="1"/>
  <c r="E264" i="32"/>
  <c r="BP141" i="32"/>
  <c r="CC141" i="32" s="1"/>
  <c r="CD141" i="32" s="1"/>
  <c r="CE141" i="32" s="1"/>
  <c r="BQ141" i="32" s="1"/>
  <c r="E140" i="32"/>
  <c r="AC192" i="40"/>
  <c r="AF192" i="40" s="1"/>
  <c r="BP117" i="32"/>
  <c r="CC117" i="32" s="1"/>
  <c r="CD117" i="32" s="1"/>
  <c r="CE117" i="32" s="1"/>
  <c r="BQ117" i="32" s="1"/>
  <c r="E116" i="32"/>
  <c r="BP52" i="32"/>
  <c r="CC52" i="32" s="1"/>
  <c r="CD52" i="32" s="1"/>
  <c r="CE52" i="32" s="1"/>
  <c r="BQ52" i="32" s="1"/>
  <c r="E51" i="32"/>
  <c r="E400" i="32"/>
  <c r="BP401" i="32"/>
  <c r="CC401" i="32" s="1"/>
  <c r="CD401" i="32" s="1"/>
  <c r="CE401" i="32" s="1"/>
  <c r="BQ401" i="32" s="1"/>
  <c r="BP24" i="32"/>
  <c r="CC24" i="32" s="1"/>
  <c r="CD24" i="32" s="1"/>
  <c r="CE24" i="32" s="1"/>
  <c r="BQ24" i="32" s="1"/>
  <c r="E23" i="32"/>
  <c r="AC80" i="40"/>
  <c r="BH429" i="32"/>
  <c r="BZ429" i="32" s="1"/>
  <c r="CA429" i="32" s="1"/>
  <c r="CB429" i="32" s="1"/>
  <c r="BI429" i="32" s="1"/>
  <c r="D428" i="32"/>
  <c r="T496" i="45"/>
  <c r="X496" i="45" s="1"/>
  <c r="U496" i="45" s="1"/>
  <c r="Y496" i="45" s="1"/>
  <c r="Y622" i="31"/>
  <c r="Y590" i="31"/>
  <c r="Y436" i="40"/>
  <c r="AA436" i="40" s="1"/>
  <c r="AE436" i="40" s="1"/>
  <c r="AB436" i="40" s="1"/>
  <c r="AF436" i="40" s="1"/>
  <c r="Y416" i="45"/>
  <c r="Y408" i="45"/>
  <c r="Y396" i="45"/>
  <c r="Y384" i="45"/>
  <c r="BH301" i="32"/>
  <c r="BZ301" i="32" s="1"/>
  <c r="CA301" i="32" s="1"/>
  <c r="CB301" i="32" s="1"/>
  <c r="BI301" i="32" s="1"/>
  <c r="D300" i="32"/>
  <c r="BH285" i="32"/>
  <c r="BZ285" i="32" s="1"/>
  <c r="CA285" i="32" s="1"/>
  <c r="CB285" i="32" s="1"/>
  <c r="BI285" i="32" s="1"/>
  <c r="D284" i="32"/>
  <c r="Y324" i="40"/>
  <c r="AA324" i="40" s="1"/>
  <c r="AE324" i="40" s="1"/>
  <c r="AB324" i="40" s="1"/>
  <c r="Y288" i="45"/>
  <c r="BH205" i="32"/>
  <c r="BZ205" i="32" s="1"/>
  <c r="CA205" i="32" s="1"/>
  <c r="CB205" i="32" s="1"/>
  <c r="BI205" i="32" s="1"/>
  <c r="D204" i="32"/>
  <c r="AA196" i="40"/>
  <c r="AE196" i="40" s="1"/>
  <c r="AB196" i="40" s="1"/>
  <c r="AF196" i="40" s="1"/>
  <c r="Y192" i="45"/>
  <c r="AA180" i="40"/>
  <c r="AE180" i="40" s="1"/>
  <c r="AB180" i="40" s="1"/>
  <c r="AF180" i="40" s="1"/>
  <c r="BH93" i="32"/>
  <c r="BZ93" i="32" s="1"/>
  <c r="CA93" i="32" s="1"/>
  <c r="CB93" i="32" s="1"/>
  <c r="BI93" i="32" s="1"/>
  <c r="D92" i="32"/>
  <c r="Y128" i="45"/>
  <c r="AF116" i="40"/>
  <c r="Y34" i="31"/>
  <c r="Y3" i="31"/>
  <c r="V344" i="45"/>
  <c r="Y690" i="31"/>
  <c r="BP229" i="32"/>
  <c r="CC229" i="32" s="1"/>
  <c r="CD229" i="32" s="1"/>
  <c r="CE229" i="32" s="1"/>
  <c r="BQ229" i="32" s="1"/>
  <c r="E228" i="32"/>
  <c r="V296" i="45"/>
  <c r="Y296" i="45" s="1"/>
  <c r="AC268" i="40"/>
  <c r="V260" i="45"/>
  <c r="Y260" i="45" s="1"/>
  <c r="V252" i="45"/>
  <c r="Y252" i="45" s="1"/>
  <c r="AC236" i="40"/>
  <c r="V228" i="45"/>
  <c r="Y228" i="45" s="1"/>
  <c r="Z204" i="40"/>
  <c r="AC204" i="40" s="1"/>
  <c r="AF204" i="40" s="1"/>
  <c r="Z151" i="40"/>
  <c r="AC151" i="40" s="1"/>
  <c r="AF151" i="40" s="1"/>
  <c r="Z135" i="40"/>
  <c r="AC135" i="40" s="1"/>
  <c r="Y273" i="31"/>
  <c r="Z119" i="40"/>
  <c r="AC119" i="40" s="1"/>
  <c r="Y241" i="31"/>
  <c r="Z87" i="40"/>
  <c r="AC87" i="40" s="1"/>
  <c r="AF87" i="40" s="1"/>
  <c r="BP282" i="32"/>
  <c r="CC282" i="32" s="1"/>
  <c r="CD282" i="32" s="1"/>
  <c r="CE282" i="32" s="1"/>
  <c r="BQ282" i="32" s="1"/>
  <c r="E281" i="32"/>
  <c r="BP266" i="32"/>
  <c r="CC266" i="32" s="1"/>
  <c r="CD266" i="32" s="1"/>
  <c r="CE266" i="32" s="1"/>
  <c r="BQ266" i="32" s="1"/>
  <c r="E265" i="32"/>
  <c r="BP250" i="32"/>
  <c r="CC250" i="32" s="1"/>
  <c r="CD250" i="32" s="1"/>
  <c r="CE250" i="32" s="1"/>
  <c r="BQ250" i="32" s="1"/>
  <c r="E249" i="32"/>
  <c r="BP60" i="32"/>
  <c r="CC60" i="32" s="1"/>
  <c r="CD60" i="32" s="1"/>
  <c r="CE60" i="32" s="1"/>
  <c r="BQ60" i="32" s="1"/>
  <c r="E59" i="32"/>
  <c r="V188" i="45"/>
  <c r="Y253" i="31"/>
  <c r="Y359" i="31"/>
  <c r="Z205" i="40"/>
  <c r="AC205" i="40" s="1"/>
  <c r="AF205" i="40" s="1"/>
  <c r="Y327" i="31"/>
  <c r="AC140" i="40"/>
  <c r="Y606" i="31"/>
  <c r="Y598" i="31"/>
  <c r="T440" i="45"/>
  <c r="X440" i="45" s="1"/>
  <c r="U440" i="45" s="1"/>
  <c r="Y440" i="45" s="1"/>
  <c r="T412" i="45"/>
  <c r="X412" i="45" s="1"/>
  <c r="U412" i="45" s="1"/>
  <c r="Y412" i="45" s="1"/>
  <c r="Y538" i="31"/>
  <c r="T376" i="45"/>
  <c r="X376" i="45" s="1"/>
  <c r="U376" i="45" s="1"/>
  <c r="Y376" i="45" s="1"/>
  <c r="T364" i="45"/>
  <c r="X364" i="45" s="1"/>
  <c r="U364" i="45" s="1"/>
  <c r="Y364" i="45" s="1"/>
  <c r="T348" i="45"/>
  <c r="X348" i="45" s="1"/>
  <c r="U348" i="45" s="1"/>
  <c r="Y348" i="45" s="1"/>
  <c r="BH265" i="32"/>
  <c r="BZ265" i="32" s="1"/>
  <c r="CA265" i="32" s="1"/>
  <c r="CB265" i="32" s="1"/>
  <c r="BI265" i="32" s="1"/>
  <c r="D264" i="32"/>
  <c r="T312" i="45"/>
  <c r="X312" i="45" s="1"/>
  <c r="U312" i="45" s="1"/>
  <c r="Y312" i="45" s="1"/>
  <c r="BH173" i="32"/>
  <c r="BZ173" i="32" s="1"/>
  <c r="CA173" i="32" s="1"/>
  <c r="CB173" i="32" s="1"/>
  <c r="BI173" i="32" s="1"/>
  <c r="D172" i="32"/>
  <c r="BH141" i="32"/>
  <c r="BZ141" i="32" s="1"/>
  <c r="CA141" i="32" s="1"/>
  <c r="CB141" i="32" s="1"/>
  <c r="BI141" i="32" s="1"/>
  <c r="D140" i="32"/>
  <c r="T200" i="45"/>
  <c r="X200" i="45" s="1"/>
  <c r="U200" i="45" s="1"/>
  <c r="Y200" i="45" s="1"/>
  <c r="T188" i="45"/>
  <c r="X188" i="45" s="1"/>
  <c r="U188" i="45" s="1"/>
  <c r="Y188" i="45" s="1"/>
  <c r="T168" i="45"/>
  <c r="X168" i="45" s="1"/>
  <c r="U168" i="45" s="1"/>
  <c r="Y168" i="45" s="1"/>
  <c r="T140" i="45"/>
  <c r="X140" i="45" s="1"/>
  <c r="U140" i="45" s="1"/>
  <c r="Y140" i="45" s="1"/>
  <c r="AA128" i="40"/>
  <c r="AE128" i="40" s="1"/>
  <c r="AB128" i="40" s="1"/>
  <c r="AF128" i="40" s="1"/>
  <c r="T124" i="45"/>
  <c r="X124" i="45" s="1"/>
  <c r="U124" i="45" s="1"/>
  <c r="Y124" i="45" s="1"/>
  <c r="BH41" i="32"/>
  <c r="BZ41" i="32" s="1"/>
  <c r="CA41" i="32" s="1"/>
  <c r="CB41" i="32" s="1"/>
  <c r="BI41" i="32" s="1"/>
  <c r="D40" i="32"/>
  <c r="V495" i="45"/>
  <c r="Y495" i="45" s="1"/>
  <c r="V487" i="45"/>
  <c r="V479" i="45"/>
  <c r="Y479" i="45" s="1"/>
  <c r="Z462" i="40"/>
  <c r="AC462" i="40" s="1"/>
  <c r="V454" i="45"/>
  <c r="Y454" i="45" s="1"/>
  <c r="Z446" i="40"/>
  <c r="AC446" i="40" s="1"/>
  <c r="Z430" i="40"/>
  <c r="AC430" i="40" s="1"/>
  <c r="AF430" i="40" s="1"/>
  <c r="V422" i="45"/>
  <c r="Y422" i="45" s="1"/>
  <c r="Z296" i="40"/>
  <c r="AC296" i="40" s="1"/>
  <c r="Y434" i="31"/>
  <c r="Z280" i="40"/>
  <c r="AC280" i="40" s="1"/>
  <c r="Y418" i="31"/>
  <c r="AC260" i="40"/>
  <c r="Y398" i="31"/>
  <c r="V224" i="45"/>
  <c r="Y224" i="45" s="1"/>
  <c r="V216" i="45"/>
  <c r="Y216" i="45" s="1"/>
  <c r="AC200" i="40"/>
  <c r="V196" i="45"/>
  <c r="AC184" i="40"/>
  <c r="AF184" i="40" s="1"/>
  <c r="V180" i="45"/>
  <c r="AC168" i="40"/>
  <c r="V164" i="45"/>
  <c r="Z147" i="40"/>
  <c r="AC147" i="40" s="1"/>
  <c r="V139" i="45"/>
  <c r="Y139" i="45" s="1"/>
  <c r="V107" i="45"/>
  <c r="V79" i="45"/>
  <c r="V472" i="45"/>
  <c r="Y472" i="45" s="1"/>
  <c r="V103" i="45"/>
  <c r="Y505" i="40"/>
  <c r="AA505" i="40" s="1"/>
  <c r="AE505" i="40" s="1"/>
  <c r="AB505" i="40" s="1"/>
  <c r="AF505" i="40" s="1"/>
  <c r="Y489" i="40"/>
  <c r="AA489" i="40" s="1"/>
  <c r="AE489" i="40" s="1"/>
  <c r="AB489" i="40" s="1"/>
  <c r="AF489" i="40" s="1"/>
  <c r="Y473" i="40"/>
  <c r="AA473" i="40" s="1"/>
  <c r="AE473" i="40" s="1"/>
  <c r="AB473" i="40" s="1"/>
  <c r="AF473" i="40" s="1"/>
  <c r="Y441" i="40"/>
  <c r="AA441" i="40" s="1"/>
  <c r="AE441" i="40" s="1"/>
  <c r="AB441" i="40" s="1"/>
  <c r="AF441" i="40" s="1"/>
  <c r="Y409" i="40"/>
  <c r="AA409" i="40" s="1"/>
  <c r="AE409" i="40" s="1"/>
  <c r="AB409" i="40" s="1"/>
  <c r="AF409" i="40" s="1"/>
  <c r="Z377" i="40"/>
  <c r="AC377" i="40" s="1"/>
  <c r="AF377" i="40" s="1"/>
  <c r="Z361" i="40"/>
  <c r="AC361" i="40" s="1"/>
  <c r="AF361" i="40" s="1"/>
  <c r="Z345" i="40"/>
  <c r="AC345" i="40" s="1"/>
  <c r="AF345" i="40" s="1"/>
  <c r="Z329" i="40"/>
  <c r="AC329" i="40" s="1"/>
  <c r="AF329" i="40" s="1"/>
  <c r="Z256" i="40"/>
  <c r="AC256" i="40" s="1"/>
  <c r="AF256" i="40" s="1"/>
  <c r="Y149" i="40"/>
  <c r="AA149" i="40" s="1"/>
  <c r="AE149" i="40" s="1"/>
  <c r="AB149" i="40" s="1"/>
  <c r="AF149" i="40" s="1"/>
  <c r="V160" i="45"/>
  <c r="Y160" i="45" s="1"/>
  <c r="Z136" i="40"/>
  <c r="AC136" i="40" s="1"/>
  <c r="BP49" i="32"/>
  <c r="CC49" i="32" s="1"/>
  <c r="CD49" i="32" s="1"/>
  <c r="CE49" i="32" s="1"/>
  <c r="BQ49" i="32" s="1"/>
  <c r="E48" i="32"/>
  <c r="Y650" i="31"/>
  <c r="AF476" i="40"/>
  <c r="BH373" i="32"/>
  <c r="BZ373" i="32" s="1"/>
  <c r="CA373" i="32" s="1"/>
  <c r="CB373" i="32" s="1"/>
  <c r="BI373" i="32" s="1"/>
  <c r="D372" i="32"/>
  <c r="BH357" i="32"/>
  <c r="BZ357" i="32" s="1"/>
  <c r="CA357" i="32" s="1"/>
  <c r="CB357" i="32" s="1"/>
  <c r="BI357" i="32" s="1"/>
  <c r="D356" i="32"/>
  <c r="AF396" i="40"/>
  <c r="Y522" i="31"/>
  <c r="Y206" i="31"/>
  <c r="Y190" i="31"/>
  <c r="BH133" i="32"/>
  <c r="BZ133" i="32" s="1"/>
  <c r="CA133" i="32" s="1"/>
  <c r="CB133" i="32" s="1"/>
  <c r="BI133" i="32" s="1"/>
  <c r="D132" i="32"/>
  <c r="Y126" i="31"/>
  <c r="Y30" i="31"/>
  <c r="AA92" i="40"/>
  <c r="AE92" i="40" s="1"/>
  <c r="AB92" i="40" s="1"/>
  <c r="AF92" i="40" s="1"/>
  <c r="AA88" i="40"/>
  <c r="AE88" i="40" s="1"/>
  <c r="AB88" i="40" s="1"/>
  <c r="AF88" i="40" s="1"/>
  <c r="Z324" i="40"/>
  <c r="AC324" i="40" s="1"/>
  <c r="V320" i="45"/>
  <c r="Y320" i="45" s="1"/>
  <c r="BP237" i="32"/>
  <c r="CC237" i="32" s="1"/>
  <c r="CD237" i="32" s="1"/>
  <c r="CE237" i="32" s="1"/>
  <c r="BQ237" i="32" s="1"/>
  <c r="E236" i="32"/>
  <c r="Y670" i="31"/>
  <c r="BP221" i="32"/>
  <c r="CC221" i="32" s="1"/>
  <c r="CD221" i="32" s="1"/>
  <c r="CE221" i="32" s="1"/>
  <c r="BQ221" i="32" s="1"/>
  <c r="E220" i="32"/>
  <c r="V288" i="45"/>
  <c r="BP205" i="32"/>
  <c r="CC205" i="32" s="1"/>
  <c r="CD205" i="32" s="1"/>
  <c r="CE205" i="32" s="1"/>
  <c r="BQ205" i="32" s="1"/>
  <c r="E204" i="32"/>
  <c r="V272" i="45"/>
  <c r="Y272" i="45" s="1"/>
  <c r="V248" i="45"/>
  <c r="Y386" i="31"/>
  <c r="Y378" i="31"/>
  <c r="Z220" i="40"/>
  <c r="AC220" i="40" s="1"/>
  <c r="AF220" i="40" s="1"/>
  <c r="BP109" i="32"/>
  <c r="CC109" i="32" s="1"/>
  <c r="CD109" i="32" s="1"/>
  <c r="CE109" i="32" s="1"/>
  <c r="BQ109" i="32" s="1"/>
  <c r="E108" i="32"/>
  <c r="V176" i="45"/>
  <c r="Y176" i="45" s="1"/>
  <c r="AC314" i="40"/>
  <c r="I133" i="32"/>
  <c r="I126" i="32"/>
  <c r="J405" i="32"/>
  <c r="I250" i="32"/>
  <c r="I243" i="32"/>
  <c r="J436" i="32"/>
  <c r="AC500" i="37"/>
  <c r="J420" i="32"/>
  <c r="AC484" i="37"/>
  <c r="J404" i="32"/>
  <c r="AC468" i="37"/>
  <c r="J388" i="32"/>
  <c r="AC452" i="37"/>
  <c r="J372" i="32"/>
  <c r="AC436" i="37"/>
  <c r="S477" i="44"/>
  <c r="W477" i="44" s="1"/>
  <c r="T477" i="44" s="1"/>
  <c r="X477" i="44" s="1"/>
  <c r="S461" i="44"/>
  <c r="W461" i="44" s="1"/>
  <c r="T461" i="44" s="1"/>
  <c r="S445" i="44"/>
  <c r="W445" i="44" s="1"/>
  <c r="T445" i="44" s="1"/>
  <c r="S304" i="44"/>
  <c r="W304" i="44" s="1"/>
  <c r="T304" i="44" s="1"/>
  <c r="X304" i="44" s="1"/>
  <c r="S296" i="44"/>
  <c r="W296" i="44" s="1"/>
  <c r="T296" i="44" s="1"/>
  <c r="S288" i="44"/>
  <c r="W288" i="44" s="1"/>
  <c r="T288" i="44" s="1"/>
  <c r="X288" i="44" s="1"/>
  <c r="S280" i="44"/>
  <c r="W280" i="44" s="1"/>
  <c r="T280" i="44" s="1"/>
  <c r="X280" i="44" s="1"/>
  <c r="S272" i="44"/>
  <c r="W272" i="44" s="1"/>
  <c r="T272" i="44" s="1"/>
  <c r="X272" i="44" s="1"/>
  <c r="S264" i="44"/>
  <c r="W264" i="44" s="1"/>
  <c r="T264" i="44" s="1"/>
  <c r="X264" i="44" s="1"/>
  <c r="S256" i="44"/>
  <c r="W256" i="44" s="1"/>
  <c r="T256" i="44" s="1"/>
  <c r="X256" i="44" s="1"/>
  <c r="S248" i="44"/>
  <c r="W248" i="44" s="1"/>
  <c r="T248" i="44" s="1"/>
  <c r="X248" i="44" s="1"/>
  <c r="S240" i="44"/>
  <c r="W240" i="44" s="1"/>
  <c r="T240" i="44" s="1"/>
  <c r="S232" i="44"/>
  <c r="W232" i="44" s="1"/>
  <c r="T232" i="44" s="1"/>
  <c r="S224" i="44"/>
  <c r="W224" i="44" s="1"/>
  <c r="T224" i="44" s="1"/>
  <c r="X224" i="44" s="1"/>
  <c r="S208" i="44"/>
  <c r="W208" i="44" s="1"/>
  <c r="T208" i="44" s="1"/>
  <c r="S192" i="44"/>
  <c r="W192" i="44" s="1"/>
  <c r="T192" i="44" s="1"/>
  <c r="S184" i="44"/>
  <c r="W184" i="44" s="1"/>
  <c r="T184" i="44" s="1"/>
  <c r="X184" i="44" s="1"/>
  <c r="S176" i="44"/>
  <c r="W176" i="44" s="1"/>
  <c r="T176" i="44" s="1"/>
  <c r="X176" i="44" s="1"/>
  <c r="S168" i="44"/>
  <c r="W168" i="44" s="1"/>
  <c r="T168" i="44" s="1"/>
  <c r="X168" i="44" s="1"/>
  <c r="S160" i="44"/>
  <c r="W160" i="44" s="1"/>
  <c r="T160" i="44" s="1"/>
  <c r="S152" i="44"/>
  <c r="W152" i="44" s="1"/>
  <c r="T152" i="44" s="1"/>
  <c r="X152" i="44" s="1"/>
  <c r="S144" i="44"/>
  <c r="W144" i="44" s="1"/>
  <c r="T144" i="44" s="1"/>
  <c r="X144" i="44" s="1"/>
  <c r="S136" i="44"/>
  <c r="W136" i="44" s="1"/>
  <c r="T136" i="44" s="1"/>
  <c r="X136" i="44" s="1"/>
  <c r="S128" i="44"/>
  <c r="W128" i="44" s="1"/>
  <c r="T128" i="44" s="1"/>
  <c r="S120" i="44"/>
  <c r="W120" i="44" s="1"/>
  <c r="T120" i="44" s="1"/>
  <c r="X120" i="44" s="1"/>
  <c r="S112" i="44"/>
  <c r="W112" i="44" s="1"/>
  <c r="T112" i="44" s="1"/>
  <c r="S104" i="44"/>
  <c r="W104" i="44" s="1"/>
  <c r="T104" i="44" s="1"/>
  <c r="X104" i="44" s="1"/>
  <c r="S96" i="44"/>
  <c r="W96" i="44" s="1"/>
  <c r="T96" i="44" s="1"/>
  <c r="S88" i="44"/>
  <c r="W88" i="44" s="1"/>
  <c r="T88" i="44" s="1"/>
  <c r="X88" i="44" s="1"/>
  <c r="S80" i="44"/>
  <c r="W80" i="44" s="1"/>
  <c r="T80" i="44" s="1"/>
  <c r="I429" i="32"/>
  <c r="I397" i="32"/>
  <c r="I365" i="32"/>
  <c r="I333" i="32"/>
  <c r="I301" i="32"/>
  <c r="I269" i="32"/>
  <c r="I237" i="32"/>
  <c r="I204" i="32"/>
  <c r="I172" i="32"/>
  <c r="I124" i="32"/>
  <c r="I92" i="32"/>
  <c r="I60" i="32"/>
  <c r="I28" i="32"/>
  <c r="I12" i="32"/>
  <c r="J423" i="32"/>
  <c r="Z473" i="37"/>
  <c r="AC473" i="37" s="1"/>
  <c r="J369" i="32"/>
  <c r="J270" i="32"/>
  <c r="J263" i="32"/>
  <c r="U150" i="44"/>
  <c r="U86" i="44"/>
  <c r="J186" i="32"/>
  <c r="J155" i="32"/>
  <c r="J122" i="32"/>
  <c r="J79" i="32"/>
  <c r="J54" i="32"/>
  <c r="U394" i="44"/>
  <c r="U362" i="44"/>
  <c r="I414" i="32"/>
  <c r="I407" i="32"/>
  <c r="Y358" i="37"/>
  <c r="AA358" i="37" s="1"/>
  <c r="AE358" i="37" s="1"/>
  <c r="AB358" i="37" s="1"/>
  <c r="AF358" i="37" s="1"/>
  <c r="AF302" i="37"/>
  <c r="AA293" i="37"/>
  <c r="AE293" i="37" s="1"/>
  <c r="AB293" i="37" s="1"/>
  <c r="AF293" i="37" s="1"/>
  <c r="AA165" i="37"/>
  <c r="AE165" i="37" s="1"/>
  <c r="AB165" i="37" s="1"/>
  <c r="AF165" i="37" s="1"/>
  <c r="U461" i="44"/>
  <c r="Z440" i="37"/>
  <c r="AC440" i="37" s="1"/>
  <c r="J316" i="32"/>
  <c r="J291" i="32"/>
  <c r="J258" i="32"/>
  <c r="X506" i="44"/>
  <c r="AF467" i="37"/>
  <c r="I322" i="32"/>
  <c r="I315" i="32"/>
  <c r="I65" i="32"/>
  <c r="I58" i="32"/>
  <c r="J440" i="32"/>
  <c r="U501" i="44"/>
  <c r="I443" i="32"/>
  <c r="I435" i="32"/>
  <c r="Y446" i="37"/>
  <c r="AA446" i="37" s="1"/>
  <c r="AE446" i="37" s="1"/>
  <c r="AB446" i="37" s="1"/>
  <c r="AF446" i="37" s="1"/>
  <c r="Y480" i="25"/>
  <c r="I246" i="32"/>
  <c r="I239" i="32"/>
  <c r="I117" i="32"/>
  <c r="I110" i="32"/>
  <c r="U506" i="44"/>
  <c r="U445" i="44"/>
  <c r="J356" i="32"/>
  <c r="Y778" i="25"/>
  <c r="J307" i="32"/>
  <c r="AF443" i="37"/>
  <c r="Y548" i="25"/>
  <c r="I298" i="32"/>
  <c r="I291" i="32"/>
  <c r="S289" i="44"/>
  <c r="W289" i="44" s="1"/>
  <c r="T289" i="44" s="1"/>
  <c r="AA241" i="37"/>
  <c r="AE241" i="37" s="1"/>
  <c r="AB241" i="37" s="1"/>
  <c r="AF241" i="37" s="1"/>
  <c r="Y71" i="25"/>
  <c r="I41" i="32"/>
  <c r="I34" i="32"/>
  <c r="Z496" i="37"/>
  <c r="AC496" i="37" s="1"/>
  <c r="U450" i="44"/>
  <c r="Y646" i="25"/>
  <c r="S480" i="44"/>
  <c r="W480" i="44" s="1"/>
  <c r="T480" i="44" s="1"/>
  <c r="Y614" i="25"/>
  <c r="S448" i="44"/>
  <c r="W448" i="44" s="1"/>
  <c r="T448" i="44" s="1"/>
  <c r="Y582" i="25"/>
  <c r="S416" i="44"/>
  <c r="W416" i="44" s="1"/>
  <c r="T416" i="44" s="1"/>
  <c r="X416" i="44" s="1"/>
  <c r="Y550" i="25"/>
  <c r="AF393" i="37"/>
  <c r="S384" i="44"/>
  <c r="W384" i="44" s="1"/>
  <c r="T384" i="44" s="1"/>
  <c r="Y518" i="25"/>
  <c r="Y470" i="25"/>
  <c r="Z387" i="37"/>
  <c r="AC387" i="37" s="1"/>
  <c r="J234" i="32"/>
  <c r="J194" i="32"/>
  <c r="J189" i="32"/>
  <c r="AC202" i="37"/>
  <c r="J66" i="32"/>
  <c r="Y500" i="37"/>
  <c r="AA500" i="37" s="1"/>
  <c r="AE500" i="37" s="1"/>
  <c r="AB500" i="37" s="1"/>
  <c r="AF500" i="37" s="1"/>
  <c r="I420" i="32"/>
  <c r="Y484" i="37"/>
  <c r="AA484" i="37" s="1"/>
  <c r="AE484" i="37" s="1"/>
  <c r="AB484" i="37" s="1"/>
  <c r="AF484" i="37" s="1"/>
  <c r="I404" i="32"/>
  <c r="Y468" i="37"/>
  <c r="AA468" i="37" s="1"/>
  <c r="AE468" i="37" s="1"/>
  <c r="AB468" i="37" s="1"/>
  <c r="AF468" i="37" s="1"/>
  <c r="I388" i="32"/>
  <c r="Y452" i="37"/>
  <c r="AA452" i="37" s="1"/>
  <c r="AE452" i="37" s="1"/>
  <c r="AB452" i="37" s="1"/>
  <c r="AF452" i="37" s="1"/>
  <c r="I372" i="32"/>
  <c r="Y436" i="37"/>
  <c r="AA436" i="37" s="1"/>
  <c r="AE436" i="37" s="1"/>
  <c r="AB436" i="37" s="1"/>
  <c r="AF436" i="37" s="1"/>
  <c r="I356" i="32"/>
  <c r="Y420" i="37"/>
  <c r="AA420" i="37" s="1"/>
  <c r="AE420" i="37" s="1"/>
  <c r="AB420" i="37" s="1"/>
  <c r="I340" i="32"/>
  <c r="Y404" i="37"/>
  <c r="AA404" i="37" s="1"/>
  <c r="AE404" i="37" s="1"/>
  <c r="AB404" i="37" s="1"/>
  <c r="AF404" i="37" s="1"/>
  <c r="I324" i="32"/>
  <c r="Y388" i="37"/>
  <c r="AA388" i="37" s="1"/>
  <c r="AE388" i="37" s="1"/>
  <c r="AB388" i="37" s="1"/>
  <c r="AF388" i="37" s="1"/>
  <c r="I308" i="32"/>
  <c r="Y372" i="37"/>
  <c r="AA372" i="37" s="1"/>
  <c r="AE372" i="37" s="1"/>
  <c r="AB372" i="37" s="1"/>
  <c r="AF372" i="37" s="1"/>
  <c r="I292" i="32"/>
  <c r="Y356" i="37"/>
  <c r="AA356" i="37" s="1"/>
  <c r="AE356" i="37" s="1"/>
  <c r="AB356" i="37" s="1"/>
  <c r="AF356" i="37" s="1"/>
  <c r="I276" i="32"/>
  <c r="Y340" i="37"/>
  <c r="AA340" i="37" s="1"/>
  <c r="AE340" i="37" s="1"/>
  <c r="AB340" i="37" s="1"/>
  <c r="AF340" i="37" s="1"/>
  <c r="I260" i="32"/>
  <c r="Y324" i="37"/>
  <c r="AA324" i="37" s="1"/>
  <c r="AE324" i="37" s="1"/>
  <c r="AB324" i="37" s="1"/>
  <c r="AF324" i="37" s="1"/>
  <c r="I244" i="32"/>
  <c r="I227" i="32"/>
  <c r="I211" i="32"/>
  <c r="I195" i="32"/>
  <c r="I179" i="32"/>
  <c r="I163" i="32"/>
  <c r="I147" i="32"/>
  <c r="I131" i="32"/>
  <c r="I115" i="32"/>
  <c r="I99" i="32"/>
  <c r="I83" i="32"/>
  <c r="I67" i="32"/>
  <c r="I51" i="32"/>
  <c r="I35" i="32"/>
  <c r="I19" i="32"/>
  <c r="J431" i="32"/>
  <c r="Z494" i="37"/>
  <c r="AC494" i="37" s="1"/>
  <c r="Z481" i="37"/>
  <c r="AC481" i="37" s="1"/>
  <c r="AF481" i="37" s="1"/>
  <c r="J377" i="32"/>
  <c r="Z400" i="37"/>
  <c r="AC400" i="37" s="1"/>
  <c r="Y757" i="25"/>
  <c r="J312" i="32"/>
  <c r="U342" i="44"/>
  <c r="X342" i="44" s="1"/>
  <c r="J150" i="32"/>
  <c r="J142" i="32"/>
  <c r="J126" i="32"/>
  <c r="J110" i="32"/>
  <c r="J94" i="32"/>
  <c r="J78" i="32"/>
  <c r="J62" i="32"/>
  <c r="J46" i="32"/>
  <c r="J30" i="32"/>
  <c r="J14" i="32"/>
  <c r="J211" i="32"/>
  <c r="J178" i="32"/>
  <c r="J106" i="32"/>
  <c r="J19" i="32"/>
  <c r="U302" i="44"/>
  <c r="J199" i="32"/>
  <c r="Y392" i="25"/>
  <c r="J38" i="32"/>
  <c r="Y357" i="25"/>
  <c r="Y229" i="25"/>
  <c r="Y678" i="25"/>
  <c r="Y434" i="25"/>
  <c r="Y390" i="25"/>
  <c r="Y298" i="25"/>
  <c r="Y223" i="25"/>
  <c r="Y648" i="25"/>
  <c r="Y406" i="37"/>
  <c r="AA406" i="37" s="1"/>
  <c r="AE406" i="37" s="1"/>
  <c r="AB406" i="37" s="1"/>
  <c r="AF406" i="37" s="1"/>
  <c r="Y456" i="25"/>
  <c r="AF286" i="37"/>
  <c r="AA277" i="37"/>
  <c r="AE277" i="37" s="1"/>
  <c r="AB277" i="37" s="1"/>
  <c r="AF277" i="37" s="1"/>
  <c r="J435" i="32"/>
  <c r="Y556" i="25"/>
  <c r="Y207" i="25"/>
  <c r="S233" i="44"/>
  <c r="W233" i="44" s="1"/>
  <c r="T233" i="44" s="1"/>
  <c r="Y79" i="25"/>
  <c r="U498" i="44"/>
  <c r="J394" i="32"/>
  <c r="J379" i="32"/>
  <c r="Z409" i="37"/>
  <c r="AC409" i="37" s="1"/>
  <c r="S285" i="44"/>
  <c r="W285" i="44" s="1"/>
  <c r="T285" i="44" s="1"/>
  <c r="Y237" i="37"/>
  <c r="AA237" i="37" s="1"/>
  <c r="AE237" i="37" s="1"/>
  <c r="AB237" i="37" s="1"/>
  <c r="AF237" i="37" s="1"/>
  <c r="Y109" i="37"/>
  <c r="AA109" i="37" s="1"/>
  <c r="AE109" i="37" s="1"/>
  <c r="AB109" i="37" s="1"/>
  <c r="AF109" i="37" s="1"/>
  <c r="Z456" i="37"/>
  <c r="AC456" i="37" s="1"/>
  <c r="J323" i="32"/>
  <c r="Y532" i="25"/>
  <c r="Y183" i="25"/>
  <c r="Y55" i="25"/>
  <c r="U482" i="44"/>
  <c r="X482" i="44" s="1"/>
  <c r="J378" i="32"/>
  <c r="Y650" i="25"/>
  <c r="AF493" i="37"/>
  <c r="Y586" i="25"/>
  <c r="AF429" i="37"/>
  <c r="Y522" i="25"/>
  <c r="S324" i="44"/>
  <c r="W324" i="44" s="1"/>
  <c r="T324" i="44" s="1"/>
  <c r="AF280" i="37"/>
  <c r="S263" i="44"/>
  <c r="W263" i="44" s="1"/>
  <c r="T263" i="44" s="1"/>
  <c r="Y161" i="25"/>
  <c r="Y149" i="25"/>
  <c r="S211" i="44"/>
  <c r="W211" i="44" s="1"/>
  <c r="T211" i="44" s="1"/>
  <c r="AF152" i="37"/>
  <c r="S135" i="44"/>
  <c r="W135" i="44" s="1"/>
  <c r="T135" i="44" s="1"/>
  <c r="X135" i="44" s="1"/>
  <c r="Y33" i="25"/>
  <c r="Y21" i="25"/>
  <c r="S83" i="44"/>
  <c r="W83" i="44" s="1"/>
  <c r="T83" i="44" s="1"/>
  <c r="X83" i="44" s="1"/>
  <c r="Z420" i="37"/>
  <c r="AC420" i="37" s="1"/>
  <c r="S497" i="44"/>
  <c r="W497" i="44" s="1"/>
  <c r="T497" i="44" s="1"/>
  <c r="S465" i="44"/>
  <c r="W465" i="44" s="1"/>
  <c r="T465" i="44" s="1"/>
  <c r="S417" i="44"/>
  <c r="W417" i="44" s="1"/>
  <c r="T417" i="44" s="1"/>
  <c r="X417" i="44" s="1"/>
  <c r="J271" i="32"/>
  <c r="U298" i="44"/>
  <c r="J203" i="32"/>
  <c r="Z242" i="37"/>
  <c r="AC242" i="37" s="1"/>
  <c r="J114" i="32"/>
  <c r="Z122" i="37"/>
  <c r="AC122" i="37" s="1"/>
  <c r="I417" i="32"/>
  <c r="I385" i="32"/>
  <c r="I353" i="32"/>
  <c r="I321" i="32"/>
  <c r="I289" i="32"/>
  <c r="I257" i="32"/>
  <c r="I224" i="32"/>
  <c r="I192" i="32"/>
  <c r="I160" i="32"/>
  <c r="I128" i="32"/>
  <c r="I96" i="32"/>
  <c r="I64" i="32"/>
  <c r="I32" i="32"/>
  <c r="J439" i="32"/>
  <c r="Z502" i="37"/>
  <c r="AC502" i="37" s="1"/>
  <c r="Z489" i="37"/>
  <c r="AC489" i="37" s="1"/>
  <c r="AF489" i="37" s="1"/>
  <c r="J385" i="32"/>
  <c r="Z417" i="37"/>
  <c r="AC417" i="37" s="1"/>
  <c r="AF417" i="37" s="1"/>
  <c r="U391" i="44"/>
  <c r="J215" i="32"/>
  <c r="J159" i="32"/>
  <c r="U274" i="44"/>
  <c r="J162" i="32"/>
  <c r="J149" i="32"/>
  <c r="Z98" i="37"/>
  <c r="AC98" i="37" s="1"/>
  <c r="Z278" i="37"/>
  <c r="AC278" i="37" s="1"/>
  <c r="U246" i="44"/>
  <c r="J47" i="32"/>
  <c r="U78" i="44"/>
  <c r="Y325" i="25"/>
  <c r="Y293" i="25"/>
  <c r="Y261" i="25"/>
  <c r="Y686" i="25"/>
  <c r="Y374" i="25"/>
  <c r="Y354" i="25"/>
  <c r="Y338" i="25"/>
  <c r="Y314" i="25"/>
  <c r="Y282" i="25"/>
  <c r="Y266" i="25"/>
  <c r="Y242" i="25"/>
  <c r="Y226" i="25"/>
  <c r="Y415" i="25"/>
  <c r="AF463" i="37"/>
  <c r="Y454" i="37"/>
  <c r="AA454" i="37" s="1"/>
  <c r="AE454" i="37" s="1"/>
  <c r="AB454" i="37" s="1"/>
  <c r="AF454" i="37" s="1"/>
  <c r="S438" i="44"/>
  <c r="W438" i="44" s="1"/>
  <c r="T438" i="44" s="1"/>
  <c r="Y504" i="25"/>
  <c r="S245" i="44"/>
  <c r="W245" i="44" s="1"/>
  <c r="T245" i="44" s="1"/>
  <c r="X245" i="44" s="1"/>
  <c r="Y197" i="37"/>
  <c r="AA197" i="37" s="1"/>
  <c r="AE197" i="37" s="1"/>
  <c r="AB197" i="37" s="1"/>
  <c r="AF197" i="37" s="1"/>
  <c r="S181" i="44"/>
  <c r="W181" i="44" s="1"/>
  <c r="T181" i="44" s="1"/>
  <c r="Y133" i="37"/>
  <c r="AA133" i="37" s="1"/>
  <c r="AE133" i="37" s="1"/>
  <c r="AB133" i="37" s="1"/>
  <c r="AF133" i="37" s="1"/>
  <c r="S117" i="44"/>
  <c r="W117" i="44" s="1"/>
  <c r="T117" i="44" s="1"/>
  <c r="Z461" i="37"/>
  <c r="AC461" i="37" s="1"/>
  <c r="Z346" i="37"/>
  <c r="AC346" i="37" s="1"/>
  <c r="S510" i="44"/>
  <c r="W510" i="44" s="1"/>
  <c r="T510" i="44" s="1"/>
  <c r="I418" i="32"/>
  <c r="I411" i="32"/>
  <c r="Y426" i="37"/>
  <c r="AA426" i="37" s="1"/>
  <c r="AE426" i="37" s="1"/>
  <c r="AB426" i="37" s="1"/>
  <c r="AF426" i="37" s="1"/>
  <c r="S410" i="44"/>
  <c r="W410" i="44" s="1"/>
  <c r="T410" i="44" s="1"/>
  <c r="X410" i="44" s="1"/>
  <c r="I290" i="32"/>
  <c r="I283" i="32"/>
  <c r="S281" i="44"/>
  <c r="W281" i="44" s="1"/>
  <c r="T281" i="44" s="1"/>
  <c r="AF242" i="37"/>
  <c r="Y233" i="37"/>
  <c r="AA233" i="37" s="1"/>
  <c r="AE233" i="37" s="1"/>
  <c r="AB233" i="37" s="1"/>
  <c r="AF233" i="37" s="1"/>
  <c r="S89" i="44"/>
  <c r="W89" i="44" s="1"/>
  <c r="T89" i="44" s="1"/>
  <c r="X89" i="44" s="1"/>
  <c r="J426" i="32"/>
  <c r="J411" i="32"/>
  <c r="U425" i="44"/>
  <c r="Z392" i="37"/>
  <c r="AC392" i="37" s="1"/>
  <c r="AF487" i="37"/>
  <c r="Y478" i="37"/>
  <c r="AA478" i="37" s="1"/>
  <c r="AE478" i="37" s="1"/>
  <c r="AB478" i="37" s="1"/>
  <c r="S462" i="44"/>
  <c r="W462" i="44" s="1"/>
  <c r="T462" i="44" s="1"/>
  <c r="I342" i="32"/>
  <c r="I335" i="32"/>
  <c r="I278" i="32"/>
  <c r="I271" i="32"/>
  <c r="S269" i="44"/>
  <c r="W269" i="44" s="1"/>
  <c r="T269" i="44" s="1"/>
  <c r="X269" i="44" s="1"/>
  <c r="Y221" i="37"/>
  <c r="AA221" i="37" s="1"/>
  <c r="AE221" i="37" s="1"/>
  <c r="AB221" i="37" s="1"/>
  <c r="AF221" i="37" s="1"/>
  <c r="Y93" i="37"/>
  <c r="AA93" i="37" s="1"/>
  <c r="AE93" i="37" s="1"/>
  <c r="AB93" i="37" s="1"/>
  <c r="AF93" i="37" s="1"/>
  <c r="U509" i="44"/>
  <c r="J416" i="32"/>
  <c r="Y843" i="25"/>
  <c r="Z445" i="37"/>
  <c r="AC445" i="37" s="1"/>
  <c r="I394" i="32"/>
  <c r="I387" i="32"/>
  <c r="Y402" i="37"/>
  <c r="AA402" i="37" s="1"/>
  <c r="AE402" i="37" s="1"/>
  <c r="AB402" i="37" s="1"/>
  <c r="AF402" i="37" s="1"/>
  <c r="S322" i="44"/>
  <c r="W322" i="44" s="1"/>
  <c r="T322" i="44" s="1"/>
  <c r="I137" i="32"/>
  <c r="I130" i="32"/>
  <c r="Y145" i="37"/>
  <c r="AA145" i="37" s="1"/>
  <c r="AE145" i="37" s="1"/>
  <c r="AB145" i="37" s="1"/>
  <c r="AF145" i="37" s="1"/>
  <c r="U464" i="44"/>
  <c r="S488" i="44"/>
  <c r="W488" i="44" s="1"/>
  <c r="T488" i="44" s="1"/>
  <c r="X488" i="44" s="1"/>
  <c r="S424" i="44"/>
  <c r="W424" i="44" s="1"/>
  <c r="T424" i="44" s="1"/>
  <c r="X424" i="44" s="1"/>
  <c r="S328" i="44"/>
  <c r="W328" i="44" s="1"/>
  <c r="T328" i="44" s="1"/>
  <c r="X328" i="44" s="1"/>
  <c r="AF260" i="37"/>
  <c r="S255" i="44"/>
  <c r="W255" i="44" s="1"/>
  <c r="T255" i="44" s="1"/>
  <c r="X255" i="44" s="1"/>
  <c r="AF196" i="37"/>
  <c r="S191" i="44"/>
  <c r="W191" i="44" s="1"/>
  <c r="T191" i="44" s="1"/>
  <c r="AF132" i="37"/>
  <c r="S127" i="44"/>
  <c r="W127" i="44" s="1"/>
  <c r="T127" i="44" s="1"/>
  <c r="X127" i="44" s="1"/>
  <c r="U510" i="44"/>
  <c r="U505" i="44"/>
  <c r="U494" i="44"/>
  <c r="U489" i="44"/>
  <c r="U478" i="44"/>
  <c r="U473" i="44"/>
  <c r="U462" i="44"/>
  <c r="U457" i="44"/>
  <c r="U446" i="44"/>
  <c r="U441" i="44"/>
  <c r="S513" i="44"/>
  <c r="W513" i="44" s="1"/>
  <c r="T513" i="44" s="1"/>
  <c r="S505" i="44"/>
  <c r="W505" i="44" s="1"/>
  <c r="T505" i="44" s="1"/>
  <c r="Y643" i="25"/>
  <c r="S489" i="44"/>
  <c r="W489" i="44" s="1"/>
  <c r="T489" i="44" s="1"/>
  <c r="X489" i="44" s="1"/>
  <c r="Y627" i="25"/>
  <c r="S473" i="44"/>
  <c r="W473" i="44" s="1"/>
  <c r="T473" i="44" s="1"/>
  <c r="S453" i="44"/>
  <c r="W453" i="44" s="1"/>
  <c r="T453" i="44" s="1"/>
  <c r="S437" i="44"/>
  <c r="W437" i="44" s="1"/>
  <c r="T437" i="44" s="1"/>
  <c r="S421" i="44"/>
  <c r="W421" i="44" s="1"/>
  <c r="T421" i="44" s="1"/>
  <c r="X421" i="44" s="1"/>
  <c r="S405" i="44"/>
  <c r="W405" i="44" s="1"/>
  <c r="T405" i="44" s="1"/>
  <c r="X405" i="44" s="1"/>
  <c r="S393" i="44"/>
  <c r="W393" i="44" s="1"/>
  <c r="T393" i="44" s="1"/>
  <c r="X393" i="44" s="1"/>
  <c r="S385" i="44"/>
  <c r="W385" i="44" s="1"/>
  <c r="T385" i="44" s="1"/>
  <c r="X385" i="44" s="1"/>
  <c r="S377" i="44"/>
  <c r="W377" i="44" s="1"/>
  <c r="T377" i="44" s="1"/>
  <c r="X377" i="44" s="1"/>
  <c r="S369" i="44"/>
  <c r="W369" i="44" s="1"/>
  <c r="T369" i="44" s="1"/>
  <c r="X369" i="44" s="1"/>
  <c r="S361" i="44"/>
  <c r="W361" i="44" s="1"/>
  <c r="T361" i="44" s="1"/>
  <c r="X361" i="44" s="1"/>
  <c r="S353" i="44"/>
  <c r="W353" i="44" s="1"/>
  <c r="T353" i="44" s="1"/>
  <c r="X353" i="44" s="1"/>
  <c r="S345" i="44"/>
  <c r="W345" i="44" s="1"/>
  <c r="T345" i="44" s="1"/>
  <c r="X345" i="44" s="1"/>
  <c r="S337" i="44"/>
  <c r="W337" i="44" s="1"/>
  <c r="T337" i="44" s="1"/>
  <c r="S329" i="44"/>
  <c r="W329" i="44" s="1"/>
  <c r="T329" i="44" s="1"/>
  <c r="X329" i="44" s="1"/>
  <c r="S321" i="44"/>
  <c r="W321" i="44" s="1"/>
  <c r="T321" i="44" s="1"/>
  <c r="S313" i="44"/>
  <c r="W313" i="44" s="1"/>
  <c r="T313" i="44" s="1"/>
  <c r="J311" i="32"/>
  <c r="Z351" i="37"/>
  <c r="AC351" i="37" s="1"/>
  <c r="Z334" i="37"/>
  <c r="AC334" i="37" s="1"/>
  <c r="Y388" i="25"/>
  <c r="J123" i="32"/>
  <c r="U154" i="44"/>
  <c r="U90" i="44"/>
  <c r="Y496" i="37"/>
  <c r="AA496" i="37" s="1"/>
  <c r="AE496" i="37" s="1"/>
  <c r="AB496" i="37" s="1"/>
  <c r="AF496" i="37" s="1"/>
  <c r="I416" i="32"/>
  <c r="S479" i="44"/>
  <c r="W479" i="44" s="1"/>
  <c r="T479" i="44" s="1"/>
  <c r="Y464" i="37"/>
  <c r="AA464" i="37" s="1"/>
  <c r="AE464" i="37" s="1"/>
  <c r="AB464" i="37" s="1"/>
  <c r="I384" i="32"/>
  <c r="S447" i="44"/>
  <c r="W447" i="44" s="1"/>
  <c r="T447" i="44" s="1"/>
  <c r="Y432" i="37"/>
  <c r="AA432" i="37" s="1"/>
  <c r="AE432" i="37" s="1"/>
  <c r="AB432" i="37" s="1"/>
  <c r="AF432" i="37" s="1"/>
  <c r="I352" i="32"/>
  <c r="S415" i="44"/>
  <c r="W415" i="44" s="1"/>
  <c r="T415" i="44" s="1"/>
  <c r="Y400" i="37"/>
  <c r="AA400" i="37" s="1"/>
  <c r="AE400" i="37" s="1"/>
  <c r="AB400" i="37" s="1"/>
  <c r="AF400" i="37" s="1"/>
  <c r="I320" i="32"/>
  <c r="S383" i="44"/>
  <c r="W383" i="44" s="1"/>
  <c r="T383" i="44" s="1"/>
  <c r="X383" i="44" s="1"/>
  <c r="Y368" i="37"/>
  <c r="AA368" i="37" s="1"/>
  <c r="AE368" i="37" s="1"/>
  <c r="AB368" i="37" s="1"/>
  <c r="AF368" i="37" s="1"/>
  <c r="I288" i="32"/>
  <c r="S351" i="44"/>
  <c r="W351" i="44" s="1"/>
  <c r="T351" i="44" s="1"/>
  <c r="Y336" i="37"/>
  <c r="AA336" i="37" s="1"/>
  <c r="AE336" i="37" s="1"/>
  <c r="AB336" i="37" s="1"/>
  <c r="AF336" i="37" s="1"/>
  <c r="I256" i="32"/>
  <c r="S319" i="44"/>
  <c r="W319" i="44" s="1"/>
  <c r="T319" i="44" s="1"/>
  <c r="Y303" i="37"/>
  <c r="AA303" i="37" s="1"/>
  <c r="AE303" i="37" s="1"/>
  <c r="AB303" i="37" s="1"/>
  <c r="AF303" i="37" s="1"/>
  <c r="I223" i="32"/>
  <c r="I207" i="32"/>
  <c r="S270" i="44"/>
  <c r="W270" i="44" s="1"/>
  <c r="T270" i="44" s="1"/>
  <c r="I183" i="32"/>
  <c r="Y239" i="37"/>
  <c r="AA239" i="37" s="1"/>
  <c r="AE239" i="37" s="1"/>
  <c r="AB239" i="37" s="1"/>
  <c r="AF239" i="37" s="1"/>
  <c r="I159" i="32"/>
  <c r="Y207" i="37"/>
  <c r="AA207" i="37" s="1"/>
  <c r="AE207" i="37" s="1"/>
  <c r="AB207" i="37" s="1"/>
  <c r="AF207" i="37" s="1"/>
  <c r="I127" i="32"/>
  <c r="I111" i="32"/>
  <c r="S174" i="44"/>
  <c r="W174" i="44" s="1"/>
  <c r="T174" i="44" s="1"/>
  <c r="X174" i="44" s="1"/>
  <c r="I87" i="32"/>
  <c r="Y143" i="37"/>
  <c r="AA143" i="37" s="1"/>
  <c r="AE143" i="37" s="1"/>
  <c r="AB143" i="37" s="1"/>
  <c r="AF143" i="37" s="1"/>
  <c r="I63" i="32"/>
  <c r="I47" i="32"/>
  <c r="S110" i="44"/>
  <c r="W110" i="44" s="1"/>
  <c r="T110" i="44" s="1"/>
  <c r="X110" i="44" s="1"/>
  <c r="I23" i="32"/>
  <c r="I15" i="32"/>
  <c r="S78" i="44"/>
  <c r="W78" i="44" s="1"/>
  <c r="T78" i="44" s="1"/>
  <c r="X78" i="44" s="1"/>
  <c r="Z510" i="37"/>
  <c r="AC510" i="37" s="1"/>
  <c r="Z497" i="37"/>
  <c r="AC497" i="37" s="1"/>
  <c r="AF497" i="37" s="1"/>
  <c r="J393" i="32"/>
  <c r="J336" i="32"/>
  <c r="Z391" i="37"/>
  <c r="AC391" i="37" s="1"/>
  <c r="J238" i="32"/>
  <c r="U294" i="44"/>
  <c r="U254" i="44"/>
  <c r="J87" i="32"/>
  <c r="J55" i="32"/>
  <c r="J202" i="32"/>
  <c r="J197" i="32"/>
  <c r="J138" i="32"/>
  <c r="Y308" i="25"/>
  <c r="Z82" i="37"/>
  <c r="AC82" i="37" s="1"/>
  <c r="J201" i="32"/>
  <c r="Z262" i="37"/>
  <c r="AC262" i="37" s="1"/>
  <c r="U283" i="44"/>
  <c r="X283" i="44" s="1"/>
  <c r="U251" i="44"/>
  <c r="X251" i="44" s="1"/>
  <c r="U219" i="44"/>
  <c r="X219" i="44" s="1"/>
  <c r="U187" i="44"/>
  <c r="X187" i="44" s="1"/>
  <c r="U155" i="44"/>
  <c r="X155" i="44" s="1"/>
  <c r="U123" i="44"/>
  <c r="X123" i="44" s="1"/>
  <c r="U91" i="44"/>
  <c r="X91" i="44" s="1"/>
  <c r="U296" i="44"/>
  <c r="U236" i="44"/>
  <c r="U192" i="44"/>
  <c r="U160" i="44"/>
  <c r="U128" i="44"/>
  <c r="U96" i="44"/>
  <c r="U77" i="44"/>
  <c r="Y764" i="25"/>
  <c r="U341" i="44"/>
  <c r="U325" i="44"/>
  <c r="U309" i="44"/>
  <c r="U285" i="44"/>
  <c r="U269" i="44"/>
  <c r="U253" i="44"/>
  <c r="U358" i="44"/>
  <c r="Y291" i="25"/>
  <c r="Y231" i="25"/>
  <c r="Y703" i="25"/>
  <c r="Y399" i="25"/>
  <c r="I423" i="32"/>
  <c r="S422" i="44"/>
  <c r="W422" i="44" s="1"/>
  <c r="T422" i="44" s="1"/>
  <c r="X422" i="44" s="1"/>
  <c r="Y245" i="37"/>
  <c r="AA245" i="37" s="1"/>
  <c r="AE245" i="37" s="1"/>
  <c r="AB245" i="37" s="1"/>
  <c r="AF245" i="37" s="1"/>
  <c r="I102" i="32"/>
  <c r="S201" i="44"/>
  <c r="W201" i="44" s="1"/>
  <c r="T201" i="44" s="1"/>
  <c r="X201" i="44" s="1"/>
  <c r="I81" i="32"/>
  <c r="I74" i="32"/>
  <c r="J309" i="32"/>
  <c r="Y257" i="37"/>
  <c r="AA257" i="37" s="1"/>
  <c r="AE257" i="37" s="1"/>
  <c r="AB257" i="37" s="1"/>
  <c r="AF257" i="37" s="1"/>
  <c r="AF202" i="37"/>
  <c r="I57" i="32"/>
  <c r="U496" i="44"/>
  <c r="J331" i="32"/>
  <c r="J360" i="32"/>
  <c r="J18" i="32"/>
  <c r="I235" i="32"/>
  <c r="I405" i="32"/>
  <c r="I373" i="32"/>
  <c r="I341" i="32"/>
  <c r="I309" i="32"/>
  <c r="I277" i="32"/>
  <c r="I245" i="32"/>
  <c r="I212" i="32"/>
  <c r="I180" i="32"/>
  <c r="I148" i="32"/>
  <c r="I132" i="32"/>
  <c r="I100" i="32"/>
  <c r="I68" i="32"/>
  <c r="I36" i="32"/>
  <c r="J414" i="32"/>
  <c r="J391" i="32"/>
  <c r="J334" i="32"/>
  <c r="J287" i="32"/>
  <c r="J193" i="32"/>
  <c r="J35" i="32"/>
  <c r="J230" i="32"/>
  <c r="J143" i="32"/>
  <c r="J15" i="32"/>
  <c r="J278" i="32"/>
  <c r="X406" i="44"/>
  <c r="AF238" i="37"/>
  <c r="J418" i="32"/>
  <c r="J403" i="32"/>
  <c r="J300" i="32"/>
  <c r="I386" i="32"/>
  <c r="I379" i="32"/>
  <c r="I129" i="32"/>
  <c r="I122" i="32"/>
  <c r="J397" i="32"/>
  <c r="I441" i="32"/>
  <c r="I431" i="32"/>
  <c r="AF391" i="37"/>
  <c r="AF262" i="37"/>
  <c r="Y147" i="25"/>
  <c r="Y19" i="25"/>
  <c r="J402" i="32"/>
  <c r="J387" i="32"/>
  <c r="Y612" i="25"/>
  <c r="I362" i="32"/>
  <c r="I355" i="32"/>
  <c r="Y135" i="25"/>
  <c r="I105" i="32"/>
  <c r="I98" i="32"/>
  <c r="Y848" i="25"/>
  <c r="Y486" i="25"/>
  <c r="AF288" i="37"/>
  <c r="AF256" i="37"/>
  <c r="AF224" i="37"/>
  <c r="AF192" i="37"/>
  <c r="AF160" i="37"/>
  <c r="AF128" i="37"/>
  <c r="AF96" i="37"/>
  <c r="J275" i="32"/>
  <c r="J327" i="32"/>
  <c r="Y749" i="25"/>
  <c r="J288" i="32"/>
  <c r="J130" i="32"/>
  <c r="J91" i="32"/>
  <c r="J27" i="32"/>
  <c r="X395" i="44"/>
  <c r="X379" i="44"/>
  <c r="X363" i="44"/>
  <c r="X298" i="44"/>
  <c r="X266" i="44"/>
  <c r="AF259" i="37"/>
  <c r="X250" i="44"/>
  <c r="AF243" i="37"/>
  <c r="X202" i="44"/>
  <c r="AF195" i="37"/>
  <c r="X154" i="44"/>
  <c r="AF131" i="37"/>
  <c r="X122" i="44"/>
  <c r="AF115" i="37"/>
  <c r="X90" i="44"/>
  <c r="J422" i="32"/>
  <c r="J399" i="32"/>
  <c r="J207" i="32"/>
  <c r="Y420" i="25"/>
  <c r="Y228" i="25"/>
  <c r="J151" i="32"/>
  <c r="J127" i="32"/>
  <c r="Y288" i="25"/>
  <c r="I270" i="32"/>
  <c r="I263" i="32"/>
  <c r="I141" i="32"/>
  <c r="I134" i="32"/>
  <c r="I77" i="32"/>
  <c r="I70" i="32"/>
  <c r="AF514" i="37"/>
  <c r="I370" i="32"/>
  <c r="I363" i="32"/>
  <c r="X362" i="44"/>
  <c r="I242" i="32"/>
  <c r="I234" i="32"/>
  <c r="I113" i="32"/>
  <c r="I106" i="32"/>
  <c r="X105" i="44"/>
  <c r="AF494" i="37"/>
  <c r="X478" i="44"/>
  <c r="AF430" i="37"/>
  <c r="X414" i="44"/>
  <c r="I165" i="32"/>
  <c r="I158" i="32"/>
  <c r="I37" i="32"/>
  <c r="I30" i="32"/>
  <c r="Y2" i="25"/>
  <c r="Y808" i="25"/>
  <c r="I346" i="32"/>
  <c r="I339" i="32"/>
  <c r="AF354" i="37"/>
  <c r="I217" i="32"/>
  <c r="I210" i="32"/>
  <c r="X209" i="44"/>
  <c r="I89" i="32"/>
  <c r="I82" i="32"/>
  <c r="X81" i="44"/>
  <c r="Y634" i="25"/>
  <c r="AF477" i="37"/>
  <c r="Y570" i="25"/>
  <c r="AF413" i="37"/>
  <c r="X340" i="44"/>
  <c r="AF317" i="37"/>
  <c r="Y193" i="25"/>
  <c r="Y181" i="25"/>
  <c r="AF184" i="37"/>
  <c r="X167" i="44"/>
  <c r="Y65" i="25"/>
  <c r="Y53" i="25"/>
  <c r="Y866" i="25"/>
  <c r="Y753" i="25"/>
  <c r="J242" i="32"/>
  <c r="J170" i="32"/>
  <c r="J139" i="32"/>
  <c r="J50" i="32"/>
  <c r="J11" i="32"/>
  <c r="I425" i="32"/>
  <c r="I393" i="32"/>
  <c r="I361" i="32"/>
  <c r="I329" i="32"/>
  <c r="I297" i="32"/>
  <c r="I265" i="32"/>
  <c r="I232" i="32"/>
  <c r="I200" i="32"/>
  <c r="I168" i="32"/>
  <c r="I136" i="32"/>
  <c r="I104" i="32"/>
  <c r="I72" i="32"/>
  <c r="I40" i="32"/>
  <c r="I8" i="32"/>
  <c r="J430" i="32"/>
  <c r="J407" i="32"/>
  <c r="J231" i="32"/>
  <c r="J195" i="32"/>
  <c r="J26" i="32"/>
  <c r="J206" i="32"/>
  <c r="J111" i="32"/>
  <c r="Y333" i="25"/>
  <c r="Y301" i="25"/>
  <c r="Y269" i="25"/>
  <c r="Y237" i="25"/>
  <c r="Y568" i="25"/>
  <c r="I318" i="32"/>
  <c r="I311" i="32"/>
  <c r="Y27" i="25"/>
  <c r="J432" i="32"/>
  <c r="Y859" i="25"/>
  <c r="J274" i="32"/>
  <c r="I161" i="32"/>
  <c r="I154" i="32"/>
  <c r="X153" i="44"/>
  <c r="AF114" i="37"/>
  <c r="Y592" i="25"/>
  <c r="I149" i="32"/>
  <c r="I142" i="32"/>
  <c r="I21" i="32"/>
  <c r="I14" i="32"/>
  <c r="J340" i="32"/>
  <c r="AF466" i="37"/>
  <c r="I201" i="32"/>
  <c r="X129" i="44"/>
  <c r="Y3" i="25"/>
  <c r="Z383" i="37"/>
  <c r="AC383" i="37" s="1"/>
  <c r="AF383" i="37" s="1"/>
  <c r="J262" i="32"/>
  <c r="J255" i="32"/>
  <c r="AC298" i="37"/>
  <c r="AF298" i="37" s="1"/>
  <c r="AC226" i="37"/>
  <c r="AF226" i="37" s="1"/>
  <c r="Y332" i="25"/>
  <c r="J59" i="32"/>
  <c r="AA504" i="37"/>
  <c r="AE504" i="37" s="1"/>
  <c r="AB504" i="37" s="1"/>
  <c r="AF504" i="37" s="1"/>
  <c r="I424" i="32"/>
  <c r="AA472" i="37"/>
  <c r="AE472" i="37" s="1"/>
  <c r="AB472" i="37" s="1"/>
  <c r="I392" i="32"/>
  <c r="AA440" i="37"/>
  <c r="AE440" i="37" s="1"/>
  <c r="AB440" i="37" s="1"/>
  <c r="AF440" i="37" s="1"/>
  <c r="I360" i="32"/>
  <c r="AA408" i="37"/>
  <c r="AE408" i="37" s="1"/>
  <c r="AB408" i="37" s="1"/>
  <c r="I328" i="32"/>
  <c r="X391" i="44"/>
  <c r="AA376" i="37"/>
  <c r="AE376" i="37" s="1"/>
  <c r="AB376" i="37" s="1"/>
  <c r="AF376" i="37" s="1"/>
  <c r="I296" i="32"/>
  <c r="AA344" i="37"/>
  <c r="AE344" i="37" s="1"/>
  <c r="AB344" i="37" s="1"/>
  <c r="AF344" i="37" s="1"/>
  <c r="I264" i="32"/>
  <c r="AA312" i="37"/>
  <c r="AE312" i="37" s="1"/>
  <c r="AB312" i="37" s="1"/>
  <c r="AF312" i="37" s="1"/>
  <c r="I231" i="32"/>
  <c r="X294" i="44"/>
  <c r="AA287" i="37"/>
  <c r="AE287" i="37" s="1"/>
  <c r="AB287" i="37" s="1"/>
  <c r="AF287" i="37" s="1"/>
  <c r="AA263" i="37"/>
  <c r="AE263" i="37" s="1"/>
  <c r="AB263" i="37" s="1"/>
  <c r="AF263" i="37" s="1"/>
  <c r="X254" i="44"/>
  <c r="AA247" i="37"/>
  <c r="AE247" i="37" s="1"/>
  <c r="AB247" i="37" s="1"/>
  <c r="AF247" i="37" s="1"/>
  <c r="I167" i="32"/>
  <c r="AA223" i="37"/>
  <c r="AE223" i="37" s="1"/>
  <c r="AB223" i="37" s="1"/>
  <c r="AF223" i="37" s="1"/>
  <c r="AA215" i="37"/>
  <c r="AE215" i="37" s="1"/>
  <c r="AB215" i="37" s="1"/>
  <c r="AF215" i="37" s="1"/>
  <c r="I135" i="32"/>
  <c r="X198" i="44"/>
  <c r="AA191" i="37"/>
  <c r="AE191" i="37" s="1"/>
  <c r="AB191" i="37" s="1"/>
  <c r="AF191" i="37" s="1"/>
  <c r="X182" i="44"/>
  <c r="AA167" i="37"/>
  <c r="AE167" i="37" s="1"/>
  <c r="AB167" i="37" s="1"/>
  <c r="AF167" i="37" s="1"/>
  <c r="AA151" i="37"/>
  <c r="AE151" i="37" s="1"/>
  <c r="AB151" i="37" s="1"/>
  <c r="AF151" i="37" s="1"/>
  <c r="I71" i="32"/>
  <c r="X134" i="44"/>
  <c r="AA127" i="37"/>
  <c r="AE127" i="37" s="1"/>
  <c r="AB127" i="37" s="1"/>
  <c r="AF127" i="37" s="1"/>
  <c r="X118" i="44"/>
  <c r="AA103" i="37"/>
  <c r="AE103" i="37" s="1"/>
  <c r="AB103" i="37" s="1"/>
  <c r="AF103" i="37" s="1"/>
  <c r="X94" i="44"/>
  <c r="X86" i="44"/>
  <c r="J438" i="32"/>
  <c r="J415" i="32"/>
  <c r="Z478" i="37"/>
  <c r="AC478" i="37" s="1"/>
  <c r="Z465" i="37"/>
  <c r="AC465" i="37" s="1"/>
  <c r="AF465" i="37" s="1"/>
  <c r="J361" i="32"/>
  <c r="J303" i="32"/>
  <c r="J103" i="32"/>
  <c r="J39" i="32"/>
  <c r="J7" i="32"/>
  <c r="J171" i="32"/>
  <c r="U194" i="44"/>
  <c r="AC146" i="37"/>
  <c r="J10" i="32"/>
  <c r="U214" i="44"/>
  <c r="J223" i="32"/>
  <c r="J190" i="32"/>
  <c r="J185" i="32"/>
  <c r="AC246" i="37"/>
  <c r="AF246" i="37" s="1"/>
  <c r="AC230" i="37"/>
  <c r="AF230" i="37" s="1"/>
  <c r="AC142" i="37"/>
  <c r="AF142" i="37" s="1"/>
  <c r="Y705" i="25"/>
  <c r="Y796" i="25"/>
  <c r="Y410" i="25"/>
  <c r="Y322" i="25"/>
  <c r="Y290" i="25"/>
  <c r="Y258" i="25"/>
  <c r="Y711" i="25"/>
  <c r="Y695" i="25"/>
  <c r="Y679" i="25"/>
  <c r="Y663" i="25"/>
  <c r="Y427" i="25"/>
  <c r="Y411" i="25"/>
  <c r="X307" i="44"/>
  <c r="J408" i="32"/>
  <c r="X446" i="44"/>
  <c r="AF278" i="37"/>
  <c r="AA438" i="37"/>
  <c r="AE438" i="37" s="1"/>
  <c r="AB438" i="37" s="1"/>
  <c r="I109" i="32"/>
  <c r="I45" i="32"/>
  <c r="I38" i="32"/>
  <c r="S330" i="44"/>
  <c r="W330" i="44" s="1"/>
  <c r="T330" i="44" s="1"/>
  <c r="X330" i="44" s="1"/>
  <c r="I209" i="32"/>
  <c r="I202" i="32"/>
  <c r="Y334" i="37"/>
  <c r="AA334" i="37" s="1"/>
  <c r="AE334" i="37" s="1"/>
  <c r="AB334" i="37" s="1"/>
  <c r="AF334" i="37" s="1"/>
  <c r="I197" i="32"/>
  <c r="I190" i="32"/>
  <c r="U428" i="44"/>
  <c r="I314" i="32"/>
  <c r="I307" i="32"/>
  <c r="Y310" i="37"/>
  <c r="AA310" i="37" s="1"/>
  <c r="AE310" i="37" s="1"/>
  <c r="AB310" i="37" s="1"/>
  <c r="U490" i="44"/>
  <c r="X490" i="44" s="1"/>
  <c r="J386" i="32"/>
  <c r="J371" i="32"/>
  <c r="S508" i="44"/>
  <c r="W508" i="44" s="1"/>
  <c r="T508" i="44" s="1"/>
  <c r="X508" i="44" s="1"/>
  <c r="I402" i="32"/>
  <c r="I395" i="32"/>
  <c r="Y410" i="37"/>
  <c r="AA410" i="37" s="1"/>
  <c r="AE410" i="37" s="1"/>
  <c r="AB410" i="37" s="1"/>
  <c r="AF410" i="37" s="1"/>
  <c r="S394" i="44"/>
  <c r="W394" i="44" s="1"/>
  <c r="T394" i="44" s="1"/>
  <c r="X394" i="44" s="1"/>
  <c r="S265" i="44"/>
  <c r="W265" i="44" s="1"/>
  <c r="T265" i="44" s="1"/>
  <c r="Y217" i="37"/>
  <c r="AA217" i="37" s="1"/>
  <c r="AE217" i="37" s="1"/>
  <c r="AB217" i="37" s="1"/>
  <c r="AF217" i="37" s="1"/>
  <c r="AF98" i="37"/>
  <c r="Y89" i="37"/>
  <c r="AA89" i="37" s="1"/>
  <c r="AE89" i="37" s="1"/>
  <c r="AB89" i="37" s="1"/>
  <c r="AF89" i="37" s="1"/>
  <c r="U512" i="44"/>
  <c r="J365" i="32"/>
  <c r="U409" i="44"/>
  <c r="J304" i="32"/>
  <c r="I390" i="32"/>
  <c r="I383" i="32"/>
  <c r="I262" i="32"/>
  <c r="S253" i="44"/>
  <c r="W253" i="44" s="1"/>
  <c r="T253" i="44" s="1"/>
  <c r="X253" i="44" s="1"/>
  <c r="S189" i="44"/>
  <c r="W189" i="44" s="1"/>
  <c r="T189" i="44" s="1"/>
  <c r="Y141" i="37"/>
  <c r="AA141" i="37" s="1"/>
  <c r="AE141" i="37" s="1"/>
  <c r="AB141" i="37" s="1"/>
  <c r="AF141" i="37" s="1"/>
  <c r="I447" i="32"/>
  <c r="I451" i="32"/>
  <c r="I4" i="32"/>
  <c r="I445" i="32"/>
  <c r="I449" i="32"/>
  <c r="I453" i="32"/>
  <c r="I444" i="32"/>
  <c r="I452" i="32"/>
  <c r="I446" i="32"/>
  <c r="I454" i="32"/>
  <c r="I448" i="32"/>
  <c r="I450" i="32"/>
  <c r="U474" i="44"/>
  <c r="I378" i="32"/>
  <c r="I371" i="32"/>
  <c r="Y322" i="37"/>
  <c r="AA322" i="37" s="1"/>
  <c r="AE322" i="37" s="1"/>
  <c r="AB322" i="37" s="1"/>
  <c r="I121" i="32"/>
  <c r="I114" i="32"/>
  <c r="J392" i="32"/>
  <c r="U453" i="44"/>
  <c r="S299" i="44"/>
  <c r="W299" i="44" s="1"/>
  <c r="T299" i="44" s="1"/>
  <c r="X299" i="44" s="1"/>
  <c r="S279" i="44"/>
  <c r="W279" i="44" s="1"/>
  <c r="T279" i="44" s="1"/>
  <c r="S247" i="44"/>
  <c r="W247" i="44" s="1"/>
  <c r="T247" i="44" s="1"/>
  <c r="S215" i="44"/>
  <c r="W215" i="44" s="1"/>
  <c r="T215" i="44" s="1"/>
  <c r="S183" i="44"/>
  <c r="W183" i="44" s="1"/>
  <c r="T183" i="44" s="1"/>
  <c r="X183" i="44" s="1"/>
  <c r="S151" i="44"/>
  <c r="W151" i="44" s="1"/>
  <c r="T151" i="44" s="1"/>
  <c r="X151" i="44" s="1"/>
  <c r="S119" i="44"/>
  <c r="W119" i="44" s="1"/>
  <c r="T119" i="44" s="1"/>
  <c r="S87" i="44"/>
  <c r="W87" i="44" s="1"/>
  <c r="T87" i="44" s="1"/>
  <c r="U513" i="44"/>
  <c r="Z508" i="37"/>
  <c r="AC508" i="37" s="1"/>
  <c r="AF508" i="37" s="1"/>
  <c r="J428" i="32"/>
  <c r="U497" i="44"/>
  <c r="Z492" i="37"/>
  <c r="AC492" i="37" s="1"/>
  <c r="J412" i="32"/>
  <c r="U481" i="44"/>
  <c r="Z476" i="37"/>
  <c r="AC476" i="37" s="1"/>
  <c r="J396" i="32"/>
  <c r="U465" i="44"/>
  <c r="Z460" i="37"/>
  <c r="AC460" i="37" s="1"/>
  <c r="J380" i="32"/>
  <c r="Z444" i="37"/>
  <c r="AC444" i="37" s="1"/>
  <c r="J364" i="32"/>
  <c r="AC403" i="37"/>
  <c r="J299" i="32"/>
  <c r="Z322" i="37"/>
  <c r="AC322" i="37" s="1"/>
  <c r="U306" i="44"/>
  <c r="X509" i="44"/>
  <c r="U413" i="44"/>
  <c r="X413" i="44" s="1"/>
  <c r="J210" i="32"/>
  <c r="J205" i="32"/>
  <c r="J179" i="32"/>
  <c r="Z218" i="37"/>
  <c r="AC218" i="37" s="1"/>
  <c r="AF218" i="37" s="1"/>
  <c r="J82" i="32"/>
  <c r="I413" i="32"/>
  <c r="I381" i="32"/>
  <c r="I349" i="32"/>
  <c r="I317" i="32"/>
  <c r="I285" i="32"/>
  <c r="I253" i="32"/>
  <c r="I220" i="32"/>
  <c r="I188" i="32"/>
  <c r="I156" i="32"/>
  <c r="I140" i="32"/>
  <c r="I108" i="32"/>
  <c r="I76" i="32"/>
  <c r="I44" i="32"/>
  <c r="J433" i="32"/>
  <c r="J382" i="32"/>
  <c r="Z424" i="37"/>
  <c r="AC424" i="37" s="1"/>
  <c r="J317" i="32"/>
  <c r="AC359" i="37"/>
  <c r="AF359" i="37" s="1"/>
  <c r="J222" i="32"/>
  <c r="J166" i="32"/>
  <c r="J99" i="32"/>
  <c r="Z130" i="37"/>
  <c r="AC130" i="37" s="1"/>
  <c r="Z190" i="37"/>
  <c r="AC190" i="37" s="1"/>
  <c r="AF190" i="37" s="1"/>
  <c r="AA486" i="37"/>
  <c r="AE486" i="37" s="1"/>
  <c r="AB486" i="37" s="1"/>
  <c r="AF486" i="37" s="1"/>
  <c r="S470" i="44"/>
  <c r="W470" i="44" s="1"/>
  <c r="T470" i="44" s="1"/>
  <c r="I286" i="32"/>
  <c r="I279" i="32"/>
  <c r="I221" i="32"/>
  <c r="I214" i="32"/>
  <c r="I93" i="32"/>
  <c r="I86" i="32"/>
  <c r="AC490" i="37"/>
  <c r="J251" i="32"/>
  <c r="AA394" i="37"/>
  <c r="AE394" i="37" s="1"/>
  <c r="AB394" i="37" s="1"/>
  <c r="AF394" i="37" s="1"/>
  <c r="S378" i="44"/>
  <c r="W378" i="44" s="1"/>
  <c r="T378" i="44" s="1"/>
  <c r="X378" i="44" s="1"/>
  <c r="AF339" i="37"/>
  <c r="I193" i="32"/>
  <c r="I186" i="32"/>
  <c r="S121" i="44"/>
  <c r="W121" i="44" s="1"/>
  <c r="T121" i="44" s="1"/>
  <c r="X121" i="44" s="1"/>
  <c r="AF82" i="37"/>
  <c r="AC469" i="37"/>
  <c r="AF469" i="37" s="1"/>
  <c r="J353" i="32"/>
  <c r="I439" i="32"/>
  <c r="Y608" i="25"/>
  <c r="I374" i="32"/>
  <c r="I367" i="32"/>
  <c r="I181" i="32"/>
  <c r="I174" i="32"/>
  <c r="S173" i="44"/>
  <c r="W173" i="44" s="1"/>
  <c r="T173" i="44" s="1"/>
  <c r="I53" i="32"/>
  <c r="I46" i="32"/>
  <c r="J437" i="32"/>
  <c r="AC474" i="37"/>
  <c r="AF474" i="37" s="1"/>
  <c r="Z428" i="37"/>
  <c r="AC428" i="37" s="1"/>
  <c r="J325" i="32"/>
  <c r="I426" i="32"/>
  <c r="I419" i="32"/>
  <c r="Y434" i="37"/>
  <c r="AA434" i="37" s="1"/>
  <c r="AE434" i="37" s="1"/>
  <c r="AB434" i="37" s="1"/>
  <c r="AF434" i="37" s="1"/>
  <c r="S354" i="44"/>
  <c r="W354" i="44" s="1"/>
  <c r="T354" i="44" s="1"/>
  <c r="Y199" i="25"/>
  <c r="I169" i="32"/>
  <c r="I162" i="32"/>
  <c r="Y113" i="37"/>
  <c r="AA113" i="37" s="1"/>
  <c r="AE113" i="37" s="1"/>
  <c r="AB113" i="37" s="1"/>
  <c r="AF113" i="37" s="1"/>
  <c r="S97" i="44"/>
  <c r="W97" i="44" s="1"/>
  <c r="T97" i="44" s="1"/>
  <c r="X97" i="44" s="1"/>
  <c r="J381" i="32"/>
  <c r="X496" i="44"/>
  <c r="Y630" i="25"/>
  <c r="AF473" i="37"/>
  <c r="X464" i="44"/>
  <c r="Y598" i="25"/>
  <c r="AF441" i="37"/>
  <c r="Y566" i="25"/>
  <c r="AF409" i="37"/>
  <c r="X400" i="44"/>
  <c r="Y534" i="25"/>
  <c r="AF377" i="37"/>
  <c r="Y454" i="25"/>
  <c r="AF296" i="37"/>
  <c r="Y201" i="25"/>
  <c r="Y169" i="25"/>
  <c r="Y137" i="25"/>
  <c r="Y105" i="25"/>
  <c r="Y73" i="25"/>
  <c r="Y41" i="25"/>
  <c r="Y9" i="25"/>
  <c r="U420" i="44"/>
  <c r="U384" i="44"/>
  <c r="J344" i="32"/>
  <c r="Y717" i="25"/>
  <c r="J219" i="32"/>
  <c r="U242" i="44"/>
  <c r="U186" i="44"/>
  <c r="X186" i="44" s="1"/>
  <c r="I428" i="32"/>
  <c r="AA492" i="37"/>
  <c r="AE492" i="37" s="1"/>
  <c r="AB492" i="37" s="1"/>
  <c r="I412" i="32"/>
  <c r="AA476" i="37"/>
  <c r="AE476" i="37" s="1"/>
  <c r="AB476" i="37" s="1"/>
  <c r="AF476" i="37" s="1"/>
  <c r="I396" i="32"/>
  <c r="AA460" i="37"/>
  <c r="AE460" i="37" s="1"/>
  <c r="AB460" i="37" s="1"/>
  <c r="I380" i="32"/>
  <c r="AA444" i="37"/>
  <c r="AE444" i="37" s="1"/>
  <c r="AB444" i="37" s="1"/>
  <c r="AF444" i="37" s="1"/>
  <c r="I364" i="32"/>
  <c r="AA428" i="37"/>
  <c r="AE428" i="37" s="1"/>
  <c r="AB428" i="37" s="1"/>
  <c r="I348" i="32"/>
  <c r="AA412" i="37"/>
  <c r="AE412" i="37" s="1"/>
  <c r="AB412" i="37" s="1"/>
  <c r="AF412" i="37" s="1"/>
  <c r="I332" i="32"/>
  <c r="AA396" i="37"/>
  <c r="AE396" i="37" s="1"/>
  <c r="AB396" i="37" s="1"/>
  <c r="AF396" i="37" s="1"/>
  <c r="I316" i="32"/>
  <c r="AA380" i="37"/>
  <c r="AE380" i="37" s="1"/>
  <c r="AB380" i="37" s="1"/>
  <c r="AF380" i="37" s="1"/>
  <c r="I300" i="32"/>
  <c r="AA364" i="37"/>
  <c r="AE364" i="37" s="1"/>
  <c r="AB364" i="37" s="1"/>
  <c r="AF364" i="37" s="1"/>
  <c r="I284" i="32"/>
  <c r="AA348" i="37"/>
  <c r="AE348" i="37" s="1"/>
  <c r="AB348" i="37" s="1"/>
  <c r="AF348" i="37" s="1"/>
  <c r="I268" i="32"/>
  <c r="AA332" i="37"/>
  <c r="AE332" i="37" s="1"/>
  <c r="AB332" i="37" s="1"/>
  <c r="AF332" i="37" s="1"/>
  <c r="I252" i="32"/>
  <c r="AA316" i="37"/>
  <c r="AE316" i="37" s="1"/>
  <c r="AB316" i="37" s="1"/>
  <c r="AF316" i="37" s="1"/>
  <c r="I236" i="32"/>
  <c r="I219" i="32"/>
  <c r="I203" i="32"/>
  <c r="I187" i="32"/>
  <c r="I171" i="32"/>
  <c r="I155" i="32"/>
  <c r="I139" i="32"/>
  <c r="I123" i="32"/>
  <c r="I107" i="32"/>
  <c r="I91" i="32"/>
  <c r="I75" i="32"/>
  <c r="I59" i="32"/>
  <c r="I43" i="32"/>
  <c r="I27" i="32"/>
  <c r="I11" i="32"/>
  <c r="J441" i="32"/>
  <c r="J390" i="32"/>
  <c r="J367" i="32"/>
  <c r="Y774" i="25"/>
  <c r="J328" i="32"/>
  <c r="AC384" i="37"/>
  <c r="Y741" i="25"/>
  <c r="Z254" i="37"/>
  <c r="AC254" i="37" s="1"/>
  <c r="AF254" i="37" s="1"/>
  <c r="J83" i="32"/>
  <c r="J42" i="32"/>
  <c r="J214" i="32"/>
  <c r="Y424" i="25"/>
  <c r="J167" i="32"/>
  <c r="J102" i="32"/>
  <c r="U111" i="44"/>
  <c r="X111" i="44" s="1"/>
  <c r="U389" i="44"/>
  <c r="U373" i="44"/>
  <c r="U357" i="44"/>
  <c r="U348" i="44"/>
  <c r="U308" i="44"/>
  <c r="U232" i="44"/>
  <c r="U212" i="44"/>
  <c r="X212" i="44" s="1"/>
  <c r="U180" i="44"/>
  <c r="X180" i="44" s="1"/>
  <c r="U148" i="44"/>
  <c r="X148" i="44" s="1"/>
  <c r="U116" i="44"/>
  <c r="X116" i="44" s="1"/>
  <c r="U84" i="44"/>
  <c r="X84" i="44" s="1"/>
  <c r="U370" i="44"/>
  <c r="U233" i="44"/>
  <c r="Y670" i="25"/>
  <c r="Y398" i="25"/>
  <c r="Y382" i="25"/>
  <c r="Y306" i="25"/>
  <c r="Y419" i="25"/>
  <c r="I334" i="32"/>
  <c r="I327" i="32"/>
  <c r="Y219" i="25"/>
  <c r="I205" i="32"/>
  <c r="I198" i="32"/>
  <c r="Y91" i="25"/>
  <c r="U504" i="44"/>
  <c r="J400" i="32"/>
  <c r="Y620" i="25"/>
  <c r="AF387" i="37"/>
  <c r="Y492" i="25"/>
  <c r="Y249" i="37"/>
  <c r="AA249" i="37" s="1"/>
  <c r="AE249" i="37" s="1"/>
  <c r="AB249" i="37" s="1"/>
  <c r="AF249" i="37" s="1"/>
  <c r="Y143" i="25"/>
  <c r="AF130" i="37"/>
  <c r="Y121" i="37"/>
  <c r="AA121" i="37" s="1"/>
  <c r="AE121" i="37" s="1"/>
  <c r="AB121" i="37" s="1"/>
  <c r="AF121" i="37" s="1"/>
  <c r="Y15" i="25"/>
  <c r="J429" i="32"/>
  <c r="Y846" i="25"/>
  <c r="U448" i="44"/>
  <c r="U392" i="44"/>
  <c r="AA301" i="37"/>
  <c r="AE301" i="37" s="1"/>
  <c r="AB301" i="37" s="1"/>
  <c r="AF301" i="37" s="1"/>
  <c r="AA173" i="37"/>
  <c r="AE173" i="37" s="1"/>
  <c r="AB173" i="37" s="1"/>
  <c r="AF173" i="37" s="1"/>
  <c r="J434" i="32"/>
  <c r="J419" i="32"/>
  <c r="Y596" i="25"/>
  <c r="Y468" i="25"/>
  <c r="Y119" i="25"/>
  <c r="Y880" i="25"/>
  <c r="J413" i="32"/>
  <c r="Y830" i="25"/>
  <c r="Y618" i="25"/>
  <c r="AF461" i="37"/>
  <c r="S452" i="44"/>
  <c r="W452" i="44" s="1"/>
  <c r="T452" i="44" s="1"/>
  <c r="X452" i="44" s="1"/>
  <c r="Y554" i="25"/>
  <c r="S388" i="44"/>
  <c r="W388" i="44" s="1"/>
  <c r="T388" i="44" s="1"/>
  <c r="X388" i="44" s="1"/>
  <c r="Y490" i="25"/>
  <c r="AF333" i="37"/>
  <c r="S308" i="44"/>
  <c r="W308" i="44" s="1"/>
  <c r="T308" i="44" s="1"/>
  <c r="Y213" i="25"/>
  <c r="S275" i="44"/>
  <c r="W275" i="44" s="1"/>
  <c r="T275" i="44" s="1"/>
  <c r="AF216" i="37"/>
  <c r="S199" i="44"/>
  <c r="W199" i="44" s="1"/>
  <c r="T199" i="44" s="1"/>
  <c r="X199" i="44" s="1"/>
  <c r="Y97" i="25"/>
  <c r="Y85" i="25"/>
  <c r="S147" i="44"/>
  <c r="W147" i="44" s="1"/>
  <c r="T147" i="44" s="1"/>
  <c r="X147" i="44" s="1"/>
  <c r="AF88" i="37"/>
  <c r="J348" i="32"/>
  <c r="U371" i="44"/>
  <c r="J283" i="32"/>
  <c r="J259" i="32"/>
  <c r="Y672" i="25"/>
  <c r="X481" i="44"/>
  <c r="U226" i="44"/>
  <c r="J75" i="32"/>
  <c r="U106" i="44"/>
  <c r="X106" i="44" s="1"/>
  <c r="I433" i="32"/>
  <c r="I401" i="32"/>
  <c r="I369" i="32"/>
  <c r="I337" i="32"/>
  <c r="I305" i="32"/>
  <c r="I273" i="32"/>
  <c r="I241" i="32"/>
  <c r="I208" i="32"/>
  <c r="I176" i="32"/>
  <c r="I144" i="32"/>
  <c r="I112" i="32"/>
  <c r="I80" i="32"/>
  <c r="I48" i="32"/>
  <c r="I16" i="32"/>
  <c r="J398" i="32"/>
  <c r="J375" i="32"/>
  <c r="AC438" i="37"/>
  <c r="U408" i="44"/>
  <c r="X408" i="44" s="1"/>
  <c r="U375" i="44"/>
  <c r="J280" i="32"/>
  <c r="Z326" i="37"/>
  <c r="AC326" i="37" s="1"/>
  <c r="Y440" i="25"/>
  <c r="Z290" i="37"/>
  <c r="AC290" i="37" s="1"/>
  <c r="AF290" i="37" s="1"/>
  <c r="U210" i="44"/>
  <c r="J90" i="32"/>
  <c r="J67" i="32"/>
  <c r="U82" i="44"/>
  <c r="J239" i="32"/>
  <c r="U230" i="44"/>
  <c r="X230" i="44" s="1"/>
  <c r="Z206" i="37"/>
  <c r="AC206" i="37" s="1"/>
  <c r="AF206" i="37" s="1"/>
  <c r="J86" i="32"/>
  <c r="Z94" i="37"/>
  <c r="AC94" i="37" s="1"/>
  <c r="AF94" i="37" s="1"/>
  <c r="Y421" i="25"/>
  <c r="Y389" i="25"/>
  <c r="Y277" i="25"/>
  <c r="Y245" i="25"/>
  <c r="Y784" i="25"/>
  <c r="Y662" i="25"/>
  <c r="Y362" i="25"/>
  <c r="Y346" i="25"/>
  <c r="Y330" i="25"/>
  <c r="Y274" i="25"/>
  <c r="Y250" i="25"/>
  <c r="Y234" i="25"/>
  <c r="Y748" i="25"/>
  <c r="Y687" i="25"/>
  <c r="Y435" i="25"/>
  <c r="Y632" i="25"/>
  <c r="I382" i="32"/>
  <c r="I375" i="32"/>
  <c r="AA326" i="37"/>
  <c r="AE326" i="37" s="1"/>
  <c r="AB326" i="37" s="1"/>
  <c r="AF326" i="37" s="1"/>
  <c r="Y155" i="25"/>
  <c r="I125" i="32"/>
  <c r="I118" i="32"/>
  <c r="I61" i="32"/>
  <c r="I54" i="32"/>
  <c r="Y512" i="37"/>
  <c r="AA512" i="37" s="1"/>
  <c r="AE512" i="37" s="1"/>
  <c r="AB512" i="37" s="1"/>
  <c r="AF512" i="37" s="1"/>
  <c r="Y490" i="37"/>
  <c r="AA490" i="37" s="1"/>
  <c r="AE490" i="37" s="1"/>
  <c r="AB490" i="37" s="1"/>
  <c r="AF490" i="37" s="1"/>
  <c r="S474" i="44"/>
  <c r="W474" i="44" s="1"/>
  <c r="T474" i="44" s="1"/>
  <c r="X474" i="44" s="1"/>
  <c r="I354" i="32"/>
  <c r="I347" i="32"/>
  <c r="Y362" i="37"/>
  <c r="AA362" i="37" s="1"/>
  <c r="AE362" i="37" s="1"/>
  <c r="AB362" i="37" s="1"/>
  <c r="AF362" i="37" s="1"/>
  <c r="S346" i="44"/>
  <c r="W346" i="44" s="1"/>
  <c r="T346" i="44" s="1"/>
  <c r="X346" i="44" s="1"/>
  <c r="AA297" i="37"/>
  <c r="AE297" i="37" s="1"/>
  <c r="AB297" i="37" s="1"/>
  <c r="AF297" i="37" s="1"/>
  <c r="AA169" i="37"/>
  <c r="AE169" i="37" s="1"/>
  <c r="AB169" i="37" s="1"/>
  <c r="AF169" i="37" s="1"/>
  <c r="I33" i="32"/>
  <c r="I26" i="32"/>
  <c r="U480" i="44"/>
  <c r="J376" i="32"/>
  <c r="U437" i="44"/>
  <c r="J320" i="32"/>
  <c r="I406" i="32"/>
  <c r="I399" i="32"/>
  <c r="AA414" i="37"/>
  <c r="AE414" i="37" s="1"/>
  <c r="AB414" i="37" s="1"/>
  <c r="AF414" i="37" s="1"/>
  <c r="S398" i="44"/>
  <c r="W398" i="44" s="1"/>
  <c r="T398" i="44" s="1"/>
  <c r="X398" i="44" s="1"/>
  <c r="AA350" i="37"/>
  <c r="AE350" i="37" s="1"/>
  <c r="AB350" i="37" s="1"/>
  <c r="AF350" i="37" s="1"/>
  <c r="S334" i="44"/>
  <c r="W334" i="44" s="1"/>
  <c r="T334" i="44" s="1"/>
  <c r="X334" i="44" s="1"/>
  <c r="AA285" i="37"/>
  <c r="AE285" i="37" s="1"/>
  <c r="AB285" i="37" s="1"/>
  <c r="AF285" i="37" s="1"/>
  <c r="AA157" i="37"/>
  <c r="AE157" i="37" s="1"/>
  <c r="AB157" i="37" s="1"/>
  <c r="AF157" i="37" s="1"/>
  <c r="S450" i="44"/>
  <c r="W450" i="44" s="1"/>
  <c r="T450" i="44" s="1"/>
  <c r="X450" i="44" s="1"/>
  <c r="I266" i="32"/>
  <c r="I259" i="32"/>
  <c r="Y273" i="37"/>
  <c r="AA273" i="37" s="1"/>
  <c r="AE273" i="37" s="1"/>
  <c r="AB273" i="37" s="1"/>
  <c r="AF273" i="37" s="1"/>
  <c r="S257" i="44"/>
  <c r="W257" i="44" s="1"/>
  <c r="T257" i="44" s="1"/>
  <c r="S193" i="44"/>
  <c r="W193" i="44" s="1"/>
  <c r="T193" i="44" s="1"/>
  <c r="X193" i="44" s="1"/>
  <c r="I9" i="32"/>
  <c r="U514" i="44"/>
  <c r="X514" i="44" s="1"/>
  <c r="J410" i="32"/>
  <c r="J395" i="32"/>
  <c r="X392" i="44"/>
  <c r="AF292" i="37"/>
  <c r="S287" i="44"/>
  <c r="W287" i="44" s="1"/>
  <c r="T287" i="44" s="1"/>
  <c r="X287" i="44" s="1"/>
  <c r="AF228" i="37"/>
  <c r="S223" i="44"/>
  <c r="W223" i="44" s="1"/>
  <c r="T223" i="44" s="1"/>
  <c r="X223" i="44" s="1"/>
  <c r="AF164" i="37"/>
  <c r="S159" i="44"/>
  <c r="W159" i="44" s="1"/>
  <c r="T159" i="44" s="1"/>
  <c r="AF100" i="37"/>
  <c r="S95" i="44"/>
  <c r="W95" i="44" s="1"/>
  <c r="T95" i="44" s="1"/>
  <c r="X95" i="44" s="1"/>
  <c r="U502" i="44"/>
  <c r="X502" i="44" s="1"/>
  <c r="U486" i="44"/>
  <c r="X486" i="44" s="1"/>
  <c r="Y847" i="25"/>
  <c r="U470" i="44"/>
  <c r="Y831" i="25"/>
  <c r="U454" i="44"/>
  <c r="X454" i="44" s="1"/>
  <c r="Y815" i="25"/>
  <c r="U438" i="44"/>
  <c r="J357" i="32"/>
  <c r="U403" i="44"/>
  <c r="U387" i="44"/>
  <c r="Z338" i="37"/>
  <c r="AC338" i="37" s="1"/>
  <c r="U322" i="44"/>
  <c r="S501" i="44"/>
  <c r="W501" i="44" s="1"/>
  <c r="T501" i="44" s="1"/>
  <c r="X501" i="44" s="1"/>
  <c r="S485" i="44"/>
  <c r="W485" i="44" s="1"/>
  <c r="T485" i="44" s="1"/>
  <c r="S469" i="44"/>
  <c r="W469" i="44" s="1"/>
  <c r="T469" i="44" s="1"/>
  <c r="X469" i="44" s="1"/>
  <c r="S457" i="44"/>
  <c r="W457" i="44" s="1"/>
  <c r="T457" i="44" s="1"/>
  <c r="X457" i="44" s="1"/>
  <c r="S449" i="44"/>
  <c r="W449" i="44" s="1"/>
  <c r="T449" i="44" s="1"/>
  <c r="X449" i="44" s="1"/>
  <c r="S441" i="44"/>
  <c r="W441" i="44" s="1"/>
  <c r="T441" i="44" s="1"/>
  <c r="X441" i="44" s="1"/>
  <c r="Y579" i="25"/>
  <c r="X425" i="44"/>
  <c r="Y563" i="25"/>
  <c r="X409" i="44"/>
  <c r="X389" i="44"/>
  <c r="X373" i="44"/>
  <c r="X357" i="44"/>
  <c r="X341" i="44"/>
  <c r="X325" i="44"/>
  <c r="X309" i="44"/>
  <c r="X236" i="44"/>
  <c r="X204" i="44"/>
  <c r="J295" i="32"/>
  <c r="J226" i="32"/>
  <c r="J187" i="32"/>
  <c r="J154" i="32"/>
  <c r="J333" i="32"/>
  <c r="I432" i="32"/>
  <c r="AF480" i="37"/>
  <c r="I400" i="32"/>
  <c r="I368" i="32"/>
  <c r="AF416" i="37"/>
  <c r="I336" i="32"/>
  <c r="X399" i="44"/>
  <c r="AF384" i="37"/>
  <c r="I304" i="32"/>
  <c r="X367" i="44"/>
  <c r="AF352" i="37"/>
  <c r="I272" i="32"/>
  <c r="I240" i="32"/>
  <c r="X302" i="44"/>
  <c r="I215" i="32"/>
  <c r="I191" i="32"/>
  <c r="I175" i="32"/>
  <c r="I151" i="32"/>
  <c r="I143" i="32"/>
  <c r="I119" i="32"/>
  <c r="AF175" i="37"/>
  <c r="I95" i="32"/>
  <c r="I79" i="32"/>
  <c r="X142" i="44"/>
  <c r="I55" i="32"/>
  <c r="AF111" i="37"/>
  <c r="I31" i="32"/>
  <c r="AF79" i="37"/>
  <c r="J406" i="32"/>
  <c r="J383" i="32"/>
  <c r="J209" i="32"/>
  <c r="J119" i="32"/>
  <c r="J23" i="32"/>
  <c r="Y380" i="25"/>
  <c r="J115" i="32"/>
  <c r="J74" i="32"/>
  <c r="U278" i="44"/>
  <c r="X278" i="44" s="1"/>
  <c r="J174" i="32"/>
  <c r="J158" i="32"/>
  <c r="J70" i="32"/>
  <c r="J31" i="32"/>
  <c r="U312" i="44"/>
  <c r="X312" i="44" s="1"/>
  <c r="U252" i="44"/>
  <c r="U208" i="44"/>
  <c r="U80" i="44"/>
  <c r="U354" i="44"/>
  <c r="U337" i="44"/>
  <c r="U321" i="44"/>
  <c r="U305" i="44"/>
  <c r="X305" i="44" s="1"/>
  <c r="U289" i="44"/>
  <c r="U273" i="44"/>
  <c r="X273" i="44" s="1"/>
  <c r="U257" i="44"/>
  <c r="Y453" i="25"/>
  <c r="Y323" i="25"/>
  <c r="Y239" i="25"/>
  <c r="U390" i="44"/>
  <c r="X390" i="44" s="1"/>
  <c r="Y671" i="25"/>
  <c r="J284" i="32"/>
  <c r="J443" i="32"/>
  <c r="I430" i="32"/>
  <c r="I302" i="32"/>
  <c r="I295" i="32"/>
  <c r="J349" i="32"/>
  <c r="I438" i="32"/>
  <c r="AA346" i="37"/>
  <c r="AE346" i="37" s="1"/>
  <c r="AB346" i="37" s="1"/>
  <c r="AF346" i="37" s="1"/>
  <c r="I326" i="32"/>
  <c r="I319" i="32"/>
  <c r="S125" i="44"/>
  <c r="W125" i="44" s="1"/>
  <c r="T125" i="44" s="1"/>
  <c r="S498" i="44"/>
  <c r="W498" i="44" s="1"/>
  <c r="T498" i="44" s="1"/>
  <c r="X498" i="44" s="1"/>
  <c r="X348" i="44"/>
  <c r="Y502" i="37"/>
  <c r="AA502" i="37" s="1"/>
  <c r="AE502" i="37" s="1"/>
  <c r="AB502" i="37" s="1"/>
  <c r="AF502" i="37" s="1"/>
  <c r="I366" i="32"/>
  <c r="I359" i="32"/>
  <c r="Y374" i="37"/>
  <c r="AA374" i="37" s="1"/>
  <c r="AE374" i="37" s="1"/>
  <c r="AB374" i="37" s="1"/>
  <c r="AF374" i="37" s="1"/>
  <c r="X358" i="44"/>
  <c r="I238" i="32"/>
  <c r="I230" i="32"/>
  <c r="I173" i="32"/>
  <c r="I166" i="32"/>
  <c r="AA181" i="37"/>
  <c r="AE181" i="37" s="1"/>
  <c r="AB181" i="37" s="1"/>
  <c r="AF181" i="37" s="1"/>
  <c r="AA117" i="37"/>
  <c r="AE117" i="37" s="1"/>
  <c r="AB117" i="37" s="1"/>
  <c r="AF117" i="37" s="1"/>
  <c r="Z458" i="37"/>
  <c r="AC458" i="37" s="1"/>
  <c r="Y510" i="37"/>
  <c r="AA510" i="37" s="1"/>
  <c r="AE510" i="37" s="1"/>
  <c r="AB510" i="37" s="1"/>
  <c r="AF510" i="37" s="1"/>
  <c r="I274" i="32"/>
  <c r="I267" i="32"/>
  <c r="I145" i="32"/>
  <c r="I138" i="32"/>
  <c r="I17" i="32"/>
  <c r="I10" i="32"/>
  <c r="Z437" i="37"/>
  <c r="AC437" i="37" s="1"/>
  <c r="AF437" i="37" s="1"/>
  <c r="Y398" i="37"/>
  <c r="AA398" i="37" s="1"/>
  <c r="AE398" i="37" s="1"/>
  <c r="AB398" i="37" s="1"/>
  <c r="AF398" i="37" s="1"/>
  <c r="Y205" i="37"/>
  <c r="AA205" i="37" s="1"/>
  <c r="AE205" i="37" s="1"/>
  <c r="AB205" i="37" s="1"/>
  <c r="AF205" i="37" s="1"/>
  <c r="I69" i="32"/>
  <c r="I62" i="32"/>
  <c r="J370" i="32"/>
  <c r="J358" i="32"/>
  <c r="Y386" i="37"/>
  <c r="AA386" i="37" s="1"/>
  <c r="AE386" i="37" s="1"/>
  <c r="AB386" i="37" s="1"/>
  <c r="AF386" i="37" s="1"/>
  <c r="X370" i="44"/>
  <c r="I185" i="32"/>
  <c r="I178" i="32"/>
  <c r="AA129" i="37"/>
  <c r="AE129" i="37" s="1"/>
  <c r="AB129" i="37" s="1"/>
  <c r="AF129" i="37" s="1"/>
  <c r="J442" i="32"/>
  <c r="J427" i="32"/>
  <c r="Z464" i="37"/>
  <c r="AC464" i="37" s="1"/>
  <c r="X428" i="44"/>
  <c r="Z371" i="37"/>
  <c r="AC371" i="37" s="1"/>
  <c r="AF371" i="37" s="1"/>
  <c r="J250" i="32"/>
  <c r="J227" i="32"/>
  <c r="S429" i="44"/>
  <c r="W429" i="44" s="1"/>
  <c r="T429" i="44" s="1"/>
  <c r="S300" i="44"/>
  <c r="W300" i="44" s="1"/>
  <c r="T300" i="44" s="1"/>
  <c r="X300" i="44" s="1"/>
  <c r="S284" i="44"/>
  <c r="W284" i="44" s="1"/>
  <c r="T284" i="44" s="1"/>
  <c r="S276" i="44"/>
  <c r="W276" i="44" s="1"/>
  <c r="T276" i="44" s="1"/>
  <c r="S252" i="44"/>
  <c r="W252" i="44" s="1"/>
  <c r="T252" i="44" s="1"/>
  <c r="X252" i="44" s="1"/>
  <c r="S220" i="44"/>
  <c r="W220" i="44" s="1"/>
  <c r="T220" i="44" s="1"/>
  <c r="S188" i="44"/>
  <c r="W188" i="44" s="1"/>
  <c r="T188" i="44" s="1"/>
  <c r="S172" i="44"/>
  <c r="W172" i="44" s="1"/>
  <c r="T172" i="44" s="1"/>
  <c r="X172" i="44" s="1"/>
  <c r="S156" i="44"/>
  <c r="W156" i="44" s="1"/>
  <c r="T156" i="44" s="1"/>
  <c r="X156" i="44" s="1"/>
  <c r="S140" i="44"/>
  <c r="W140" i="44" s="1"/>
  <c r="T140" i="44" s="1"/>
  <c r="X140" i="44" s="1"/>
  <c r="S124" i="44"/>
  <c r="W124" i="44" s="1"/>
  <c r="T124" i="44" s="1"/>
  <c r="S108" i="44"/>
  <c r="W108" i="44" s="1"/>
  <c r="T108" i="44" s="1"/>
  <c r="X108" i="44" s="1"/>
  <c r="S92" i="44"/>
  <c r="W92" i="44" s="1"/>
  <c r="T92" i="44" s="1"/>
  <c r="S77" i="44"/>
  <c r="W77" i="44" s="1"/>
  <c r="T77" i="44" s="1"/>
  <c r="X77" i="44" s="1"/>
  <c r="J146" i="32"/>
  <c r="J107" i="32"/>
  <c r="U138" i="44"/>
  <c r="X138" i="44" s="1"/>
  <c r="J43" i="32"/>
  <c r="I421" i="32"/>
  <c r="I389" i="32"/>
  <c r="I357" i="32"/>
  <c r="I325" i="32"/>
  <c r="I293" i="32"/>
  <c r="I261" i="32"/>
  <c r="I228" i="32"/>
  <c r="I196" i="32"/>
  <c r="I164" i="32"/>
  <c r="I116" i="32"/>
  <c r="I84" i="32"/>
  <c r="I52" i="32"/>
  <c r="I20" i="32"/>
  <c r="I5" i="32"/>
  <c r="Z505" i="37"/>
  <c r="AC505" i="37" s="1"/>
  <c r="AF505" i="37" s="1"/>
  <c r="J401" i="32"/>
  <c r="J352" i="32"/>
  <c r="U404" i="44"/>
  <c r="X404" i="44" s="1"/>
  <c r="J301" i="32"/>
  <c r="Z342" i="37"/>
  <c r="AC342" i="37" s="1"/>
  <c r="AF342" i="37" s="1"/>
  <c r="U310" i="44"/>
  <c r="X310" i="44" s="1"/>
  <c r="U270" i="44"/>
  <c r="U222" i="44"/>
  <c r="U166" i="44"/>
  <c r="U102" i="44"/>
  <c r="Z258" i="37"/>
  <c r="AC258" i="37" s="1"/>
  <c r="AF258" i="37" s="1"/>
  <c r="Z194" i="37"/>
  <c r="AC194" i="37" s="1"/>
  <c r="AF194" i="37" s="1"/>
  <c r="J58" i="32"/>
  <c r="U318" i="44"/>
  <c r="X318" i="44" s="1"/>
  <c r="J118" i="32"/>
  <c r="Z126" i="37"/>
  <c r="AC126" i="37" s="1"/>
  <c r="AF126" i="37" s="1"/>
  <c r="U397" i="44"/>
  <c r="X397" i="44" s="1"/>
  <c r="U381" i="44"/>
  <c r="X381" i="44" s="1"/>
  <c r="U365" i="44"/>
  <c r="X365" i="44" s="1"/>
  <c r="U265" i="44"/>
  <c r="U221" i="44"/>
  <c r="X221" i="44" s="1"/>
  <c r="U213" i="44"/>
  <c r="X213" i="44" s="1"/>
  <c r="U205" i="44"/>
  <c r="U197" i="44"/>
  <c r="U189" i="44"/>
  <c r="U181" i="44"/>
  <c r="U173" i="44"/>
  <c r="U165" i="44"/>
  <c r="X165" i="44" s="1"/>
  <c r="U157" i="44"/>
  <c r="X157" i="44" s="1"/>
  <c r="U149" i="44"/>
  <c r="X149" i="44" s="1"/>
  <c r="U141" i="44"/>
  <c r="X141" i="44" s="1"/>
  <c r="U133" i="44"/>
  <c r="U125" i="44"/>
  <c r="U117" i="44"/>
  <c r="U109" i="44"/>
  <c r="X109" i="44" s="1"/>
  <c r="U101" i="44"/>
  <c r="X101" i="44" s="1"/>
  <c r="U93" i="44"/>
  <c r="U85" i="44"/>
  <c r="X85" i="44" s="1"/>
  <c r="I350" i="32"/>
  <c r="I343" i="32"/>
  <c r="S277" i="44"/>
  <c r="W277" i="44" s="1"/>
  <c r="T277" i="44" s="1"/>
  <c r="X277" i="44" s="1"/>
  <c r="I157" i="32"/>
  <c r="I150" i="32"/>
  <c r="I29" i="32"/>
  <c r="I22" i="32"/>
  <c r="U472" i="44"/>
  <c r="X472" i="44" s="1"/>
  <c r="J368" i="32"/>
  <c r="J332" i="32"/>
  <c r="Z330" i="37"/>
  <c r="AC330" i="37" s="1"/>
  <c r="AF330" i="37" s="1"/>
  <c r="I436" i="32"/>
  <c r="Y458" i="37"/>
  <c r="AA458" i="37" s="1"/>
  <c r="AE458" i="37" s="1"/>
  <c r="AB458" i="37" s="1"/>
  <c r="S442" i="44"/>
  <c r="W442" i="44" s="1"/>
  <c r="T442" i="44" s="1"/>
  <c r="X442" i="44" s="1"/>
  <c r="AF403" i="37"/>
  <c r="Y508" i="25"/>
  <c r="I258" i="32"/>
  <c r="I251" i="32"/>
  <c r="S249" i="44"/>
  <c r="W249" i="44" s="1"/>
  <c r="T249" i="44" s="1"/>
  <c r="X249" i="44" s="1"/>
  <c r="S185" i="44"/>
  <c r="W185" i="44" s="1"/>
  <c r="T185" i="44" s="1"/>
  <c r="X185" i="44" s="1"/>
  <c r="AF146" i="37"/>
  <c r="Y137" i="37"/>
  <c r="AA137" i="37" s="1"/>
  <c r="AE137" i="37" s="1"/>
  <c r="AB137" i="37" s="1"/>
  <c r="AF137" i="37" s="1"/>
  <c r="U466" i="44"/>
  <c r="X466" i="44" s="1"/>
  <c r="Z425" i="37"/>
  <c r="AC425" i="37" s="1"/>
  <c r="AF425" i="37" s="1"/>
  <c r="I437" i="32"/>
  <c r="S494" i="44"/>
  <c r="W494" i="44" s="1"/>
  <c r="T494" i="44" s="1"/>
  <c r="X494" i="44" s="1"/>
  <c r="Y544" i="25"/>
  <c r="I310" i="32"/>
  <c r="I303" i="32"/>
  <c r="Y318" i="37"/>
  <c r="AA318" i="37" s="1"/>
  <c r="AE318" i="37" s="1"/>
  <c r="AB318" i="37" s="1"/>
  <c r="AF318" i="37" s="1"/>
  <c r="Y211" i="25"/>
  <c r="S237" i="44"/>
  <c r="W237" i="44" s="1"/>
  <c r="T237" i="44" s="1"/>
  <c r="X237" i="44" s="1"/>
  <c r="Y189" i="37"/>
  <c r="AA189" i="37" s="1"/>
  <c r="AE189" i="37" s="1"/>
  <c r="AB189" i="37" s="1"/>
  <c r="AF189" i="37" s="1"/>
  <c r="Y83" i="25"/>
  <c r="Z509" i="37"/>
  <c r="AC509" i="37" s="1"/>
  <c r="AF509" i="37" s="1"/>
  <c r="U456" i="44"/>
  <c r="X456" i="44" s="1"/>
  <c r="Y498" i="37"/>
  <c r="AA498" i="37" s="1"/>
  <c r="AE498" i="37" s="1"/>
  <c r="AB498" i="37" s="1"/>
  <c r="AF498" i="37" s="1"/>
  <c r="S418" i="44"/>
  <c r="W418" i="44" s="1"/>
  <c r="T418" i="44" s="1"/>
  <c r="X418" i="44" s="1"/>
  <c r="AF379" i="37"/>
  <c r="Y484" i="25"/>
  <c r="I233" i="32"/>
  <c r="I226" i="32"/>
  <c r="S225" i="44"/>
  <c r="W225" i="44" s="1"/>
  <c r="T225" i="44" s="1"/>
  <c r="X225" i="44" s="1"/>
  <c r="Y177" i="37"/>
  <c r="AA177" i="37" s="1"/>
  <c r="AE177" i="37" s="1"/>
  <c r="AB177" i="37" s="1"/>
  <c r="AF177" i="37" s="1"/>
  <c r="S161" i="44"/>
  <c r="W161" i="44" s="1"/>
  <c r="T161" i="44" s="1"/>
  <c r="X161" i="44" s="1"/>
  <c r="AF122" i="37"/>
  <c r="Y7" i="25"/>
  <c r="J424" i="32"/>
  <c r="U485" i="44"/>
  <c r="Z453" i="37"/>
  <c r="AC453" i="37" s="1"/>
  <c r="AF453" i="37" s="1"/>
  <c r="Y502" i="25"/>
  <c r="S336" i="44"/>
  <c r="W336" i="44" s="1"/>
  <c r="T336" i="44" s="1"/>
  <c r="X336" i="44" s="1"/>
  <c r="Y221" i="25"/>
  <c r="Y189" i="25"/>
  <c r="Y157" i="25"/>
  <c r="Y125" i="25"/>
  <c r="Y93" i="25"/>
  <c r="Y61" i="25"/>
  <c r="Y29" i="25"/>
  <c r="U433" i="44"/>
  <c r="X433" i="44" s="1"/>
  <c r="J341" i="32"/>
  <c r="J315" i="32"/>
  <c r="J308" i="32"/>
  <c r="Z306" i="37"/>
  <c r="AC306" i="37" s="1"/>
  <c r="AF306" i="37" s="1"/>
  <c r="Y733" i="25"/>
  <c r="Z266" i="37"/>
  <c r="AC266" i="37" s="1"/>
  <c r="AF266" i="37" s="1"/>
  <c r="J163" i="32"/>
  <c r="Z138" i="37"/>
  <c r="AC138" i="37" s="1"/>
  <c r="AF138" i="37" s="1"/>
  <c r="Y252" i="25"/>
  <c r="AF307" i="37"/>
  <c r="S511" i="44"/>
  <c r="W511" i="44" s="1"/>
  <c r="T511" i="44" s="1"/>
  <c r="S499" i="44"/>
  <c r="W499" i="44" s="1"/>
  <c r="T499" i="44" s="1"/>
  <c r="X499" i="44" s="1"/>
  <c r="S483" i="44"/>
  <c r="W483" i="44" s="1"/>
  <c r="T483" i="44" s="1"/>
  <c r="X483" i="44" s="1"/>
  <c r="S467" i="44"/>
  <c r="W467" i="44" s="1"/>
  <c r="T467" i="44" s="1"/>
  <c r="X467" i="44" s="1"/>
  <c r="S451" i="44"/>
  <c r="W451" i="44" s="1"/>
  <c r="T451" i="44" s="1"/>
  <c r="X451" i="44" s="1"/>
  <c r="S435" i="44"/>
  <c r="W435" i="44" s="1"/>
  <c r="T435" i="44" s="1"/>
  <c r="X435" i="44" s="1"/>
  <c r="S419" i="44"/>
  <c r="W419" i="44" s="1"/>
  <c r="T419" i="44" s="1"/>
  <c r="X419" i="44" s="1"/>
  <c r="S403" i="44"/>
  <c r="W403" i="44" s="1"/>
  <c r="T403" i="44" s="1"/>
  <c r="X403" i="44" s="1"/>
  <c r="S387" i="44"/>
  <c r="W387" i="44" s="1"/>
  <c r="T387" i="44" s="1"/>
  <c r="X387" i="44" s="1"/>
  <c r="S371" i="44"/>
  <c r="W371" i="44" s="1"/>
  <c r="T371" i="44" s="1"/>
  <c r="X371" i="44" s="1"/>
  <c r="S355" i="44"/>
  <c r="W355" i="44" s="1"/>
  <c r="T355" i="44" s="1"/>
  <c r="X355" i="44" s="1"/>
  <c r="S339" i="44"/>
  <c r="W339" i="44" s="1"/>
  <c r="T339" i="44" s="1"/>
  <c r="X339" i="44" s="1"/>
  <c r="S323" i="44"/>
  <c r="W323" i="44" s="1"/>
  <c r="T323" i="44" s="1"/>
  <c r="X323" i="44" s="1"/>
  <c r="S306" i="44"/>
  <c r="W306" i="44" s="1"/>
  <c r="T306" i="44" s="1"/>
  <c r="X306" i="44" s="1"/>
  <c r="Y299" i="37"/>
  <c r="AA299" i="37" s="1"/>
  <c r="AE299" i="37" s="1"/>
  <c r="AB299" i="37" s="1"/>
  <c r="AF299" i="37" s="1"/>
  <c r="S290" i="44"/>
  <c r="W290" i="44" s="1"/>
  <c r="T290" i="44" s="1"/>
  <c r="X290" i="44" s="1"/>
  <c r="Y283" i="37"/>
  <c r="AA283" i="37" s="1"/>
  <c r="AE283" i="37" s="1"/>
  <c r="AB283" i="37" s="1"/>
  <c r="AF283" i="37" s="1"/>
  <c r="S274" i="44"/>
  <c r="W274" i="44" s="1"/>
  <c r="T274" i="44" s="1"/>
  <c r="X274" i="44" s="1"/>
  <c r="Y267" i="37"/>
  <c r="AA267" i="37" s="1"/>
  <c r="AE267" i="37" s="1"/>
  <c r="AB267" i="37" s="1"/>
  <c r="AF267" i="37" s="1"/>
  <c r="S258" i="44"/>
  <c r="W258" i="44" s="1"/>
  <c r="T258" i="44" s="1"/>
  <c r="X258" i="44" s="1"/>
  <c r="Y251" i="37"/>
  <c r="AA251" i="37" s="1"/>
  <c r="AE251" i="37" s="1"/>
  <c r="AB251" i="37" s="1"/>
  <c r="AF251" i="37" s="1"/>
  <c r="S242" i="44"/>
  <c r="W242" i="44" s="1"/>
  <c r="T242" i="44" s="1"/>
  <c r="X242" i="44" s="1"/>
  <c r="Y235" i="37"/>
  <c r="AA235" i="37" s="1"/>
  <c r="AE235" i="37" s="1"/>
  <c r="AB235" i="37" s="1"/>
  <c r="AF235" i="37" s="1"/>
  <c r="S226" i="44"/>
  <c r="W226" i="44" s="1"/>
  <c r="T226" i="44" s="1"/>
  <c r="X226" i="44" s="1"/>
  <c r="Y219" i="37"/>
  <c r="AA219" i="37" s="1"/>
  <c r="AE219" i="37" s="1"/>
  <c r="AB219" i="37" s="1"/>
  <c r="AF219" i="37" s="1"/>
  <c r="S210" i="44"/>
  <c r="W210" i="44" s="1"/>
  <c r="T210" i="44" s="1"/>
  <c r="X210" i="44" s="1"/>
  <c r="Y203" i="37"/>
  <c r="AA203" i="37" s="1"/>
  <c r="AE203" i="37" s="1"/>
  <c r="AB203" i="37" s="1"/>
  <c r="AF203" i="37" s="1"/>
  <c r="S194" i="44"/>
  <c r="W194" i="44" s="1"/>
  <c r="T194" i="44" s="1"/>
  <c r="X194" i="44" s="1"/>
  <c r="Y187" i="37"/>
  <c r="AA187" i="37" s="1"/>
  <c r="AE187" i="37" s="1"/>
  <c r="AB187" i="37" s="1"/>
  <c r="AF187" i="37" s="1"/>
  <c r="S178" i="44"/>
  <c r="W178" i="44" s="1"/>
  <c r="T178" i="44" s="1"/>
  <c r="X178" i="44" s="1"/>
  <c r="Y171" i="37"/>
  <c r="AA171" i="37" s="1"/>
  <c r="AE171" i="37" s="1"/>
  <c r="AB171" i="37" s="1"/>
  <c r="AF171" i="37" s="1"/>
  <c r="S162" i="44"/>
  <c r="W162" i="44" s="1"/>
  <c r="T162" i="44" s="1"/>
  <c r="X162" i="44" s="1"/>
  <c r="Y155" i="37"/>
  <c r="AA155" i="37" s="1"/>
  <c r="AE155" i="37" s="1"/>
  <c r="AB155" i="37" s="1"/>
  <c r="AF155" i="37" s="1"/>
  <c r="S146" i="44"/>
  <c r="W146" i="44" s="1"/>
  <c r="T146" i="44" s="1"/>
  <c r="X146" i="44" s="1"/>
  <c r="Y139" i="37"/>
  <c r="AA139" i="37" s="1"/>
  <c r="AE139" i="37" s="1"/>
  <c r="AB139" i="37" s="1"/>
  <c r="AF139" i="37" s="1"/>
  <c r="S130" i="44"/>
  <c r="W130" i="44" s="1"/>
  <c r="T130" i="44" s="1"/>
  <c r="Y123" i="37"/>
  <c r="AA123" i="37" s="1"/>
  <c r="AE123" i="37" s="1"/>
  <c r="AB123" i="37" s="1"/>
  <c r="AF123" i="37" s="1"/>
  <c r="S114" i="44"/>
  <c r="W114" i="44" s="1"/>
  <c r="T114" i="44" s="1"/>
  <c r="X114" i="44" s="1"/>
  <c r="Y107" i="37"/>
  <c r="AA107" i="37" s="1"/>
  <c r="AE107" i="37" s="1"/>
  <c r="AB107" i="37" s="1"/>
  <c r="AF107" i="37" s="1"/>
  <c r="S98" i="44"/>
  <c r="W98" i="44" s="1"/>
  <c r="T98" i="44" s="1"/>
  <c r="X98" i="44" s="1"/>
  <c r="Y91" i="37"/>
  <c r="AA91" i="37" s="1"/>
  <c r="AE91" i="37" s="1"/>
  <c r="AB91" i="37" s="1"/>
  <c r="AF91" i="37" s="1"/>
  <c r="S82" i="44"/>
  <c r="W82" i="44" s="1"/>
  <c r="T82" i="44" s="1"/>
  <c r="X82" i="44" s="1"/>
  <c r="Z513" i="37"/>
  <c r="AC513" i="37" s="1"/>
  <c r="AF513" i="37" s="1"/>
  <c r="J409" i="32"/>
  <c r="J350" i="32"/>
  <c r="J182" i="32"/>
  <c r="J175" i="32"/>
  <c r="Z222" i="37"/>
  <c r="AC222" i="37" s="1"/>
  <c r="Z214" i="37"/>
  <c r="AC214" i="37" s="1"/>
  <c r="AF214" i="37" s="1"/>
  <c r="Z198" i="37"/>
  <c r="AC198" i="37" s="1"/>
  <c r="AF198" i="37" s="1"/>
  <c r="Z182" i="37"/>
  <c r="AC182" i="37" s="1"/>
  <c r="AF182" i="37" s="1"/>
  <c r="Z166" i="37"/>
  <c r="AC166" i="37" s="1"/>
  <c r="AF166" i="37" s="1"/>
  <c r="Z150" i="37"/>
  <c r="AC150" i="37" s="1"/>
  <c r="AF150" i="37" s="1"/>
  <c r="Z134" i="37"/>
  <c r="AC134" i="37" s="1"/>
  <c r="AF134" i="37" s="1"/>
  <c r="Z118" i="37"/>
  <c r="AC118" i="37" s="1"/>
  <c r="AF118" i="37" s="1"/>
  <c r="Z102" i="37"/>
  <c r="AC102" i="37" s="1"/>
  <c r="AF102" i="37" s="1"/>
  <c r="Z86" i="37"/>
  <c r="AC86" i="37" s="1"/>
  <c r="AF86" i="37" s="1"/>
  <c r="U290" i="44"/>
  <c r="Z250" i="37"/>
  <c r="AC250" i="37" s="1"/>
  <c r="AF250" i="37" s="1"/>
  <c r="J147" i="32"/>
  <c r="Z178" i="37"/>
  <c r="AC178" i="37" s="1"/>
  <c r="AF178" i="37" s="1"/>
  <c r="U98" i="44"/>
  <c r="J183" i="32"/>
  <c r="Y376" i="25"/>
  <c r="Y352" i="25"/>
  <c r="U158" i="44"/>
  <c r="X158" i="44" s="1"/>
  <c r="J63" i="32"/>
  <c r="Z110" i="37"/>
  <c r="AC110" i="37" s="1"/>
  <c r="AF110" i="37" s="1"/>
  <c r="Y224" i="25"/>
  <c r="U368" i="44"/>
  <c r="X368" i="44" s="1"/>
  <c r="U360" i="44"/>
  <c r="X360" i="44" s="1"/>
  <c r="U352" i="44"/>
  <c r="X352" i="44" s="1"/>
  <c r="U343" i="44"/>
  <c r="U335" i="44"/>
  <c r="X335" i="44" s="1"/>
  <c r="U327" i="44"/>
  <c r="X327" i="44" s="1"/>
  <c r="U319" i="44"/>
  <c r="U311" i="44"/>
  <c r="U295" i="44"/>
  <c r="X295" i="44" s="1"/>
  <c r="U279" i="44"/>
  <c r="U263" i="44"/>
  <c r="U247" i="44"/>
  <c r="U231" i="44"/>
  <c r="U215" i="44"/>
  <c r="U207" i="44"/>
  <c r="X207" i="44" s="1"/>
  <c r="U191" i="44"/>
  <c r="U175" i="44"/>
  <c r="X175" i="44" s="1"/>
  <c r="U159" i="44"/>
  <c r="U143" i="44"/>
  <c r="X143" i="44" s="1"/>
  <c r="U119" i="44"/>
  <c r="U87" i="44"/>
  <c r="U79" i="44"/>
  <c r="X79" i="44" s="1"/>
  <c r="U401" i="44"/>
  <c r="X401" i="44" s="1"/>
  <c r="U324" i="44"/>
  <c r="U316" i="44"/>
  <c r="X316" i="44" s="1"/>
  <c r="U284" i="44"/>
  <c r="U276" i="44"/>
  <c r="U268" i="44"/>
  <c r="X268" i="44" s="1"/>
  <c r="U260" i="44"/>
  <c r="X260" i="44" s="1"/>
  <c r="U240" i="44"/>
  <c r="U220" i="44"/>
  <c r="U188" i="44"/>
  <c r="U156" i="44"/>
  <c r="U124" i="44"/>
  <c r="U92" i="44"/>
  <c r="U511" i="44"/>
  <c r="U503" i="44"/>
  <c r="U495" i="44"/>
  <c r="X495" i="44" s="1"/>
  <c r="U487" i="44"/>
  <c r="X487" i="44" s="1"/>
  <c r="U479" i="44"/>
  <c r="U471" i="44"/>
  <c r="U463" i="44"/>
  <c r="X463" i="44" s="1"/>
  <c r="U455" i="44"/>
  <c r="X455" i="44" s="1"/>
  <c r="U447" i="44"/>
  <c r="U439" i="44"/>
  <c r="U431" i="44"/>
  <c r="X431" i="44" s="1"/>
  <c r="U423" i="44"/>
  <c r="X423" i="44" s="1"/>
  <c r="U415" i="44"/>
  <c r="U407" i="44"/>
  <c r="U112" i="44"/>
  <c r="U349" i="44"/>
  <c r="X349" i="44" s="1"/>
  <c r="U313" i="44"/>
  <c r="U281" i="44"/>
  <c r="I398" i="32"/>
  <c r="I391" i="32"/>
  <c r="AF351" i="37"/>
  <c r="S326" i="44"/>
  <c r="W326" i="44" s="1"/>
  <c r="T326" i="44" s="1"/>
  <c r="X326" i="44" s="1"/>
  <c r="S261" i="44"/>
  <c r="W261" i="44" s="1"/>
  <c r="T261" i="44" s="1"/>
  <c r="X261" i="44" s="1"/>
  <c r="AF222" i="37"/>
  <c r="Y213" i="37"/>
  <c r="AA213" i="37" s="1"/>
  <c r="AE213" i="37" s="1"/>
  <c r="AB213" i="37" s="1"/>
  <c r="AF213" i="37" s="1"/>
  <c r="S197" i="44"/>
  <c r="W197" i="44" s="1"/>
  <c r="T197" i="44" s="1"/>
  <c r="Y149" i="37"/>
  <c r="AA149" i="37" s="1"/>
  <c r="AE149" i="37" s="1"/>
  <c r="AB149" i="37" s="1"/>
  <c r="AF149" i="37" s="1"/>
  <c r="S133" i="44"/>
  <c r="W133" i="44" s="1"/>
  <c r="T133" i="44" s="1"/>
  <c r="I13" i="32"/>
  <c r="I6" i="32"/>
  <c r="U493" i="44"/>
  <c r="X493" i="44" s="1"/>
  <c r="Z472" i="37"/>
  <c r="AC472" i="37" s="1"/>
  <c r="I442" i="32"/>
  <c r="S512" i="44"/>
  <c r="W512" i="44" s="1"/>
  <c r="T512" i="44" s="1"/>
  <c r="X512" i="44" s="1"/>
  <c r="I434" i="32"/>
  <c r="I427" i="32"/>
  <c r="Y442" i="37"/>
  <c r="AA442" i="37" s="1"/>
  <c r="AE442" i="37" s="1"/>
  <c r="AB442" i="37" s="1"/>
  <c r="AF442" i="37" s="1"/>
  <c r="S426" i="44"/>
  <c r="W426" i="44" s="1"/>
  <c r="T426" i="44" s="1"/>
  <c r="X426" i="44" s="1"/>
  <c r="I306" i="32"/>
  <c r="I299" i="32"/>
  <c r="I177" i="32"/>
  <c r="I170" i="32"/>
  <c r="S169" i="44"/>
  <c r="W169" i="44" s="1"/>
  <c r="T169" i="44" s="1"/>
  <c r="X169" i="44" s="1"/>
  <c r="I49" i="32"/>
  <c r="I42" i="32"/>
  <c r="Z501" i="37"/>
  <c r="AC501" i="37" s="1"/>
  <c r="AF501" i="37" s="1"/>
  <c r="Y803" i="25"/>
  <c r="J337" i="32"/>
  <c r="I422" i="32"/>
  <c r="I415" i="32"/>
  <c r="I358" i="32"/>
  <c r="I351" i="32"/>
  <c r="I294" i="32"/>
  <c r="I287" i="32"/>
  <c r="I229" i="32"/>
  <c r="I222" i="32"/>
  <c r="I101" i="32"/>
  <c r="I94" i="32"/>
  <c r="S93" i="44"/>
  <c r="W93" i="44" s="1"/>
  <c r="T93" i="44" s="1"/>
  <c r="X93" i="44" s="1"/>
  <c r="Z506" i="37"/>
  <c r="AC506" i="37" s="1"/>
  <c r="AF506" i="37" s="1"/>
  <c r="J384" i="32"/>
  <c r="Y811" i="25"/>
  <c r="J342" i="32"/>
  <c r="I410" i="32"/>
  <c r="I403" i="32"/>
  <c r="Y418" i="37"/>
  <c r="AA418" i="37" s="1"/>
  <c r="AE418" i="37" s="1"/>
  <c r="AB418" i="37" s="1"/>
  <c r="AF418" i="37" s="1"/>
  <c r="S402" i="44"/>
  <c r="W402" i="44" s="1"/>
  <c r="T402" i="44" s="1"/>
  <c r="X402" i="44" s="1"/>
  <c r="I282" i="32"/>
  <c r="I275" i="32"/>
  <c r="Y289" i="37"/>
  <c r="AA289" i="37" s="1"/>
  <c r="AE289" i="37" s="1"/>
  <c r="AB289" i="37" s="1"/>
  <c r="AF289" i="37" s="1"/>
  <c r="I153" i="32"/>
  <c r="I146" i="32"/>
  <c r="Y161" i="37"/>
  <c r="AA161" i="37" s="1"/>
  <c r="AE161" i="37" s="1"/>
  <c r="AB161" i="37" s="1"/>
  <c r="AF161" i="37" s="1"/>
  <c r="S145" i="44"/>
  <c r="W145" i="44" s="1"/>
  <c r="T145" i="44" s="1"/>
  <c r="X145" i="44" s="1"/>
  <c r="I25" i="32"/>
  <c r="I18" i="32"/>
  <c r="Z485" i="37"/>
  <c r="AC485" i="37" s="1"/>
  <c r="AF485" i="37" s="1"/>
  <c r="S500" i="44"/>
  <c r="W500" i="44" s="1"/>
  <c r="T500" i="44" s="1"/>
  <c r="X500" i="44" s="1"/>
  <c r="S484" i="44"/>
  <c r="W484" i="44" s="1"/>
  <c r="T484" i="44" s="1"/>
  <c r="X484" i="44" s="1"/>
  <c r="Y602" i="25"/>
  <c r="AF445" i="37"/>
  <c r="S436" i="44"/>
  <c r="W436" i="44" s="1"/>
  <c r="T436" i="44" s="1"/>
  <c r="X436" i="44" s="1"/>
  <c r="S420" i="44"/>
  <c r="W420" i="44" s="1"/>
  <c r="T420" i="44" s="1"/>
  <c r="X420" i="44" s="1"/>
  <c r="Y538" i="25"/>
  <c r="AF381" i="37"/>
  <c r="S372" i="44"/>
  <c r="W372" i="44" s="1"/>
  <c r="T372" i="44" s="1"/>
  <c r="X372" i="44" s="1"/>
  <c r="X356" i="44"/>
  <c r="Y458" i="25"/>
  <c r="AF248" i="37"/>
  <c r="S231" i="44"/>
  <c r="W231" i="44" s="1"/>
  <c r="T231" i="44" s="1"/>
  <c r="X231" i="44" s="1"/>
  <c r="Y129" i="25"/>
  <c r="Y117" i="25"/>
  <c r="S179" i="44"/>
  <c r="W179" i="44" s="1"/>
  <c r="T179" i="44" s="1"/>
  <c r="X179" i="44" s="1"/>
  <c r="AF120" i="37"/>
  <c r="S103" i="44"/>
  <c r="W103" i="44" s="1"/>
  <c r="T103" i="44" s="1"/>
  <c r="X103" i="44" s="1"/>
  <c r="Y874" i="25"/>
  <c r="Y858" i="25"/>
  <c r="J324" i="32"/>
  <c r="J292" i="32"/>
  <c r="AC355" i="37"/>
  <c r="AF355" i="37" s="1"/>
  <c r="Y688" i="25"/>
  <c r="U351" i="44"/>
  <c r="AC314" i="37"/>
  <c r="AF314" i="37" s="1"/>
  <c r="Z186" i="37"/>
  <c r="AC186" i="37" s="1"/>
  <c r="AF186" i="37" s="1"/>
  <c r="I409" i="32"/>
  <c r="I377" i="32"/>
  <c r="I345" i="32"/>
  <c r="I313" i="32"/>
  <c r="I281" i="32"/>
  <c r="I249" i="32"/>
  <c r="I216" i="32"/>
  <c r="I184" i="32"/>
  <c r="I152" i="32"/>
  <c r="I120" i="32"/>
  <c r="I88" i="32"/>
  <c r="I56" i="32"/>
  <c r="I24" i="32"/>
  <c r="J417" i="32"/>
  <c r="J366" i="32"/>
  <c r="J345" i="32"/>
  <c r="J296" i="32"/>
  <c r="J254" i="32"/>
  <c r="J191" i="32"/>
  <c r="J218" i="32"/>
  <c r="Z234" i="37"/>
  <c r="AC234" i="37" s="1"/>
  <c r="AF234" i="37" s="1"/>
  <c r="J131" i="32"/>
  <c r="J134" i="32"/>
  <c r="J22" i="32"/>
  <c r="Y365" i="25"/>
  <c r="Y253" i="25"/>
  <c r="AF399" i="37"/>
  <c r="I254" i="32"/>
  <c r="I247" i="32"/>
  <c r="I189" i="32"/>
  <c r="I182" i="32"/>
  <c r="J389" i="32"/>
  <c r="J267" i="32"/>
  <c r="I440" i="32"/>
  <c r="AF499" i="37"/>
  <c r="I225" i="32"/>
  <c r="I218" i="32"/>
  <c r="X217" i="44"/>
  <c r="I97" i="32"/>
  <c r="I90" i="32"/>
  <c r="AC448" i="37"/>
  <c r="AF448" i="37" s="1"/>
  <c r="Y528" i="25"/>
  <c r="Y464" i="25"/>
  <c r="I213" i="32"/>
  <c r="I206" i="32"/>
  <c r="S205" i="44"/>
  <c r="W205" i="44" s="1"/>
  <c r="T205" i="44" s="1"/>
  <c r="X205" i="44" s="1"/>
  <c r="I85" i="32"/>
  <c r="I78" i="32"/>
  <c r="S76" i="44"/>
  <c r="W76" i="44" s="1"/>
  <c r="T76" i="44" s="1"/>
  <c r="X76" i="44" s="1"/>
  <c r="J373" i="32"/>
  <c r="I330" i="32"/>
  <c r="I323" i="32"/>
  <c r="Y338" i="37"/>
  <c r="AA338" i="37" s="1"/>
  <c r="AE338" i="37" s="1"/>
  <c r="AB338" i="37" s="1"/>
  <c r="AF338" i="37" s="1"/>
  <c r="I73" i="32"/>
  <c r="I66" i="32"/>
  <c r="AA81" i="37"/>
  <c r="AE81" i="37" s="1"/>
  <c r="AB81" i="37" s="1"/>
  <c r="AF81" i="37" s="1"/>
  <c r="AC482" i="37"/>
  <c r="AF482" i="37" s="1"/>
  <c r="X504" i="44"/>
  <c r="X440" i="44"/>
  <c r="X376" i="44"/>
  <c r="Y766" i="25"/>
  <c r="Y721" i="25"/>
  <c r="J266" i="32"/>
  <c r="J243" i="32"/>
  <c r="U429" i="44"/>
  <c r="U380" i="44"/>
  <c r="X380" i="44" s="1"/>
  <c r="J279" i="32"/>
  <c r="U218" i="44"/>
  <c r="X218" i="44" s="1"/>
  <c r="J98" i="32"/>
  <c r="J34" i="32"/>
  <c r="S503" i="44"/>
  <c r="W503" i="44" s="1"/>
  <c r="T503" i="44" s="1"/>
  <c r="X503" i="44" s="1"/>
  <c r="Y488" i="37"/>
  <c r="AA488" i="37" s="1"/>
  <c r="AE488" i="37" s="1"/>
  <c r="AB488" i="37" s="1"/>
  <c r="AF488" i="37" s="1"/>
  <c r="I408" i="32"/>
  <c r="S471" i="44"/>
  <c r="W471" i="44" s="1"/>
  <c r="T471" i="44" s="1"/>
  <c r="X471" i="44" s="1"/>
  <c r="Y456" i="37"/>
  <c r="AA456" i="37" s="1"/>
  <c r="AE456" i="37" s="1"/>
  <c r="AB456" i="37" s="1"/>
  <c r="AF456" i="37" s="1"/>
  <c r="I376" i="32"/>
  <c r="S439" i="44"/>
  <c r="W439" i="44" s="1"/>
  <c r="T439" i="44" s="1"/>
  <c r="X439" i="44" s="1"/>
  <c r="Y424" i="37"/>
  <c r="AA424" i="37" s="1"/>
  <c r="AE424" i="37" s="1"/>
  <c r="AB424" i="37" s="1"/>
  <c r="AF424" i="37" s="1"/>
  <c r="I344" i="32"/>
  <c r="S407" i="44"/>
  <c r="W407" i="44" s="1"/>
  <c r="T407" i="44" s="1"/>
  <c r="X407" i="44" s="1"/>
  <c r="Y392" i="37"/>
  <c r="AA392" i="37" s="1"/>
  <c r="AE392" i="37" s="1"/>
  <c r="AB392" i="37" s="1"/>
  <c r="AF392" i="37" s="1"/>
  <c r="I312" i="32"/>
  <c r="S375" i="44"/>
  <c r="W375" i="44" s="1"/>
  <c r="T375" i="44" s="1"/>
  <c r="X375" i="44" s="1"/>
  <c r="Y360" i="37"/>
  <c r="AA360" i="37" s="1"/>
  <c r="AE360" i="37" s="1"/>
  <c r="AB360" i="37" s="1"/>
  <c r="AF360" i="37" s="1"/>
  <c r="I280" i="32"/>
  <c r="S343" i="44"/>
  <c r="W343" i="44" s="1"/>
  <c r="T343" i="44" s="1"/>
  <c r="Y328" i="37"/>
  <c r="AA328" i="37" s="1"/>
  <c r="AE328" i="37" s="1"/>
  <c r="AB328" i="37" s="1"/>
  <c r="AF328" i="37" s="1"/>
  <c r="I248" i="32"/>
  <c r="S311" i="44"/>
  <c r="W311" i="44" s="1"/>
  <c r="T311" i="44" s="1"/>
  <c r="X311" i="44" s="1"/>
  <c r="Y295" i="37"/>
  <c r="AA295" i="37" s="1"/>
  <c r="AE295" i="37" s="1"/>
  <c r="AB295" i="37" s="1"/>
  <c r="AF295" i="37" s="1"/>
  <c r="S286" i="44"/>
  <c r="W286" i="44" s="1"/>
  <c r="T286" i="44" s="1"/>
  <c r="X286" i="44" s="1"/>
  <c r="Y279" i="37"/>
  <c r="AA279" i="37" s="1"/>
  <c r="AE279" i="37" s="1"/>
  <c r="AB279" i="37" s="1"/>
  <c r="AF279" i="37" s="1"/>
  <c r="I199" i="32"/>
  <c r="S262" i="44"/>
  <c r="W262" i="44" s="1"/>
  <c r="T262" i="44" s="1"/>
  <c r="X262" i="44" s="1"/>
  <c r="Y255" i="37"/>
  <c r="AA255" i="37" s="1"/>
  <c r="AE255" i="37" s="1"/>
  <c r="AB255" i="37" s="1"/>
  <c r="AF255" i="37" s="1"/>
  <c r="S246" i="44"/>
  <c r="W246" i="44" s="1"/>
  <c r="T246" i="44" s="1"/>
  <c r="X246" i="44" s="1"/>
  <c r="Y231" i="37"/>
  <c r="AA231" i="37" s="1"/>
  <c r="AE231" i="37" s="1"/>
  <c r="AB231" i="37" s="1"/>
  <c r="AF231" i="37" s="1"/>
  <c r="S222" i="44"/>
  <c r="W222" i="44" s="1"/>
  <c r="T222" i="44" s="1"/>
  <c r="X222" i="44" s="1"/>
  <c r="S214" i="44"/>
  <c r="W214" i="44" s="1"/>
  <c r="T214" i="44" s="1"/>
  <c r="X214" i="44" s="1"/>
  <c r="Y199" i="37"/>
  <c r="AA199" i="37" s="1"/>
  <c r="AE199" i="37" s="1"/>
  <c r="AB199" i="37" s="1"/>
  <c r="AF199" i="37" s="1"/>
  <c r="S190" i="44"/>
  <c r="W190" i="44" s="1"/>
  <c r="T190" i="44" s="1"/>
  <c r="X190" i="44" s="1"/>
  <c r="Y183" i="37"/>
  <c r="AA183" i="37" s="1"/>
  <c r="AE183" i="37" s="1"/>
  <c r="AB183" i="37" s="1"/>
  <c r="AF183" i="37" s="1"/>
  <c r="I103" i="32"/>
  <c r="S166" i="44"/>
  <c r="W166" i="44" s="1"/>
  <c r="T166" i="44" s="1"/>
  <c r="X166" i="44" s="1"/>
  <c r="Y159" i="37"/>
  <c r="AA159" i="37" s="1"/>
  <c r="AE159" i="37" s="1"/>
  <c r="AB159" i="37" s="1"/>
  <c r="AF159" i="37" s="1"/>
  <c r="S150" i="44"/>
  <c r="W150" i="44" s="1"/>
  <c r="T150" i="44" s="1"/>
  <c r="X150" i="44" s="1"/>
  <c r="Y135" i="37"/>
  <c r="AA135" i="37" s="1"/>
  <c r="AE135" i="37" s="1"/>
  <c r="AB135" i="37" s="1"/>
  <c r="AF135" i="37" s="1"/>
  <c r="S126" i="44"/>
  <c r="W126" i="44" s="1"/>
  <c r="T126" i="44" s="1"/>
  <c r="Y119" i="37"/>
  <c r="AA119" i="37" s="1"/>
  <c r="AE119" i="37" s="1"/>
  <c r="AB119" i="37" s="1"/>
  <c r="AF119" i="37" s="1"/>
  <c r="I39" i="32"/>
  <c r="S102" i="44"/>
  <c r="W102" i="44" s="1"/>
  <c r="T102" i="44" s="1"/>
  <c r="X102" i="44" s="1"/>
  <c r="Y95" i="37"/>
  <c r="AA95" i="37" s="1"/>
  <c r="AE95" i="37" s="1"/>
  <c r="AB95" i="37" s="1"/>
  <c r="AF95" i="37" s="1"/>
  <c r="Y87" i="37"/>
  <c r="AA87" i="37" s="1"/>
  <c r="AE87" i="37" s="1"/>
  <c r="AB87" i="37" s="1"/>
  <c r="AF87" i="37" s="1"/>
  <c r="I7" i="32"/>
  <c r="J425" i="32"/>
  <c r="J374" i="32"/>
  <c r="AC408" i="37"/>
  <c r="J319" i="32"/>
  <c r="Z310" i="37"/>
  <c r="AC310" i="37" s="1"/>
  <c r="J198" i="32"/>
  <c r="U238" i="44"/>
  <c r="X238" i="44" s="1"/>
  <c r="J135" i="32"/>
  <c r="J71" i="32"/>
  <c r="Z274" i="37"/>
  <c r="AC274" i="37" s="1"/>
  <c r="AF274" i="37" s="1"/>
  <c r="U130" i="44"/>
  <c r="J246" i="32"/>
  <c r="U206" i="44"/>
  <c r="X206" i="44" s="1"/>
  <c r="U126" i="44"/>
  <c r="J6" i="32"/>
  <c r="J12" i="32"/>
  <c r="J17" i="32"/>
  <c r="J28" i="32"/>
  <c r="J33" i="32"/>
  <c r="J44" i="32"/>
  <c r="J49" i="32"/>
  <c r="J60" i="32"/>
  <c r="J65" i="32"/>
  <c r="J76" i="32"/>
  <c r="J81" i="32"/>
  <c r="J92" i="32"/>
  <c r="J97" i="32"/>
  <c r="J108" i="32"/>
  <c r="J113" i="32"/>
  <c r="J124" i="32"/>
  <c r="J129" i="32"/>
  <c r="J140" i="32"/>
  <c r="J145" i="32"/>
  <c r="J156" i="32"/>
  <c r="J161" i="32"/>
  <c r="J172" i="32"/>
  <c r="J177" i="32"/>
  <c r="J188" i="32"/>
  <c r="J204" i="32"/>
  <c r="J220" i="32"/>
  <c r="J225" i="32"/>
  <c r="J236" i="32"/>
  <c r="J241" i="32"/>
  <c r="J252" i="32"/>
  <c r="J257" i="32"/>
  <c r="J268" i="32"/>
  <c r="J273" i="32"/>
  <c r="J444" i="32"/>
  <c r="J449" i="32"/>
  <c r="J453" i="32"/>
  <c r="J5" i="32"/>
  <c r="J9" i="32"/>
  <c r="J20" i="32"/>
  <c r="J25" i="32"/>
  <c r="J36" i="32"/>
  <c r="J41" i="32"/>
  <c r="J52" i="32"/>
  <c r="J57" i="32"/>
  <c r="J68" i="32"/>
  <c r="J73" i="32"/>
  <c r="J84" i="32"/>
  <c r="J89" i="32"/>
  <c r="J100" i="32"/>
  <c r="J105" i="32"/>
  <c r="J116" i="32"/>
  <c r="J121" i="32"/>
  <c r="J132" i="32"/>
  <c r="J137" i="32"/>
  <c r="J148" i="32"/>
  <c r="J153" i="32"/>
  <c r="J164" i="32"/>
  <c r="J169" i="32"/>
  <c r="J180" i="32"/>
  <c r="J196" i="32"/>
  <c r="J212" i="32"/>
  <c r="J217" i="32"/>
  <c r="J228" i="32"/>
  <c r="J233" i="32"/>
  <c r="J244" i="32"/>
  <c r="J249" i="32"/>
  <c r="J260" i="32"/>
  <c r="J265" i="32"/>
  <c r="J276" i="32"/>
  <c r="J447" i="32"/>
  <c r="J451" i="32"/>
  <c r="J4" i="32"/>
  <c r="J16" i="32"/>
  <c r="J21" i="32"/>
  <c r="J32" i="32"/>
  <c r="J37" i="32"/>
  <c r="J48" i="32"/>
  <c r="J53" i="32"/>
  <c r="J64" i="32"/>
  <c r="J69" i="32"/>
  <c r="J80" i="32"/>
  <c r="J85" i="32"/>
  <c r="J96" i="32"/>
  <c r="J101" i="32"/>
  <c r="J112" i="32"/>
  <c r="J117" i="32"/>
  <c r="J128" i="32"/>
  <c r="J133" i="32"/>
  <c r="J144" i="32"/>
  <c r="J160" i="32"/>
  <c r="J165" i="32"/>
  <c r="J176" i="32"/>
  <c r="J181" i="32"/>
  <c r="J192" i="32"/>
  <c r="J208" i="32"/>
  <c r="J213" i="32"/>
  <c r="J224" i="32"/>
  <c r="J229" i="32"/>
  <c r="J240" i="32"/>
  <c r="J245" i="32"/>
  <c r="J261" i="32"/>
  <c r="J277" i="32"/>
  <c r="J293" i="32"/>
  <c r="J347" i="32"/>
  <c r="J363" i="32"/>
  <c r="J448" i="32"/>
  <c r="J452" i="32"/>
  <c r="J40" i="32"/>
  <c r="J61" i="32"/>
  <c r="J104" i="32"/>
  <c r="J125" i="32"/>
  <c r="J168" i="32"/>
  <c r="J232" i="32"/>
  <c r="J253" i="32"/>
  <c r="J339" i="32"/>
  <c r="J445" i="32"/>
  <c r="J24" i="32"/>
  <c r="J45" i="32"/>
  <c r="J88" i="32"/>
  <c r="J109" i="32"/>
  <c r="J152" i="32"/>
  <c r="J173" i="32"/>
  <c r="J216" i="32"/>
  <c r="J237" i="32"/>
  <c r="J450" i="32"/>
  <c r="J8" i="32"/>
  <c r="J29" i="32"/>
  <c r="J72" i="32"/>
  <c r="J93" i="32"/>
  <c r="J136" i="32"/>
  <c r="J157" i="32"/>
  <c r="J200" i="32"/>
  <c r="J221" i="32"/>
  <c r="J264" i="32"/>
  <c r="J285" i="32"/>
  <c r="J454" i="32"/>
  <c r="J13" i="32"/>
  <c r="J56" i="32"/>
  <c r="J77" i="32"/>
  <c r="J120" i="32"/>
  <c r="J141" i="32"/>
  <c r="J184" i="32"/>
  <c r="J248" i="32"/>
  <c r="J269" i="32"/>
  <c r="J355" i="32"/>
  <c r="J294" i="32"/>
  <c r="J272" i="32"/>
  <c r="J338" i="32"/>
  <c r="J313" i="32"/>
  <c r="J281" i="32"/>
  <c r="J351" i="32"/>
  <c r="J310" i="32"/>
  <c r="J302" i="32"/>
  <c r="J446" i="32"/>
  <c r="J329" i="32"/>
  <c r="J343" i="32"/>
  <c r="J362" i="32"/>
  <c r="J318" i="32"/>
  <c r="J286" i="32"/>
  <c r="J330" i="32"/>
  <c r="J298" i="32"/>
  <c r="J282" i="32"/>
  <c r="J289" i="32"/>
  <c r="J256" i="32"/>
  <c r="J354" i="32"/>
  <c r="J305" i="32"/>
  <c r="J335" i="32"/>
  <c r="J290" i="32"/>
  <c r="J321" i="32"/>
  <c r="J297" i="32"/>
  <c r="J359" i="32"/>
  <c r="J326" i="32"/>
  <c r="J346" i="32"/>
  <c r="J314" i="32"/>
  <c r="J322" i="32"/>
  <c r="J306" i="32"/>
  <c r="U275" i="44"/>
  <c r="U243" i="44"/>
  <c r="X243" i="44" s="1"/>
  <c r="U211" i="44"/>
  <c r="Y792" i="25"/>
  <c r="Y715" i="25"/>
  <c r="Y699" i="25"/>
  <c r="Y683" i="25"/>
  <c r="Y667" i="25"/>
  <c r="Y439" i="25"/>
  <c r="Y423" i="25"/>
  <c r="Y407" i="25"/>
  <c r="AF446" i="40" l="1"/>
  <c r="Y471" i="45"/>
  <c r="Y230" i="45"/>
  <c r="AF119" i="40"/>
  <c r="AF268" i="40"/>
  <c r="AF356" i="40"/>
  <c r="AF280" i="40"/>
  <c r="Y233" i="45"/>
  <c r="Y419" i="45"/>
  <c r="Y198" i="45"/>
  <c r="AF246" i="40"/>
  <c r="Y79" i="45"/>
  <c r="Y143" i="45"/>
  <c r="Y271" i="45"/>
  <c r="AF355" i="40"/>
  <c r="AF150" i="40"/>
  <c r="AF266" i="40"/>
  <c r="AF135" i="40"/>
  <c r="AF185" i="40"/>
  <c r="AF270" i="40"/>
  <c r="AF395" i="40"/>
  <c r="AF251" i="40"/>
  <c r="Y84" i="45"/>
  <c r="Y220" i="45"/>
  <c r="AF296" i="40"/>
  <c r="AF242" i="40"/>
  <c r="AF287" i="40"/>
  <c r="AF451" i="40"/>
  <c r="AF141" i="40"/>
  <c r="AF370" i="40"/>
  <c r="AF482" i="40"/>
  <c r="AF324" i="40"/>
  <c r="AF309" i="40"/>
  <c r="Y318" i="45"/>
  <c r="AF249" i="40"/>
  <c r="AF298" i="40"/>
  <c r="Y514" i="45"/>
  <c r="AF139" i="40"/>
  <c r="AF283" i="40"/>
  <c r="AF120" i="40"/>
  <c r="AF369" i="40"/>
  <c r="AF132" i="40"/>
  <c r="Y201" i="45"/>
  <c r="Y238" i="45"/>
  <c r="Y103" i="45"/>
  <c r="Y155" i="45"/>
  <c r="Y253" i="45"/>
  <c r="Y226" i="45"/>
  <c r="Y274" i="45"/>
  <c r="AF350" i="40"/>
  <c r="AF462" i="40"/>
  <c r="Y299" i="45"/>
  <c r="Y115" i="45"/>
  <c r="AF311" i="40"/>
  <c r="AF107" i="40"/>
  <c r="Y339" i="45"/>
  <c r="AF140" i="40"/>
  <c r="AF228" i="40"/>
  <c r="Y249" i="45"/>
  <c r="AF79" i="40"/>
  <c r="Y133" i="45"/>
  <c r="Y333" i="45"/>
  <c r="AF314" i="40"/>
  <c r="AF366" i="40"/>
  <c r="Y105" i="45"/>
  <c r="Y153" i="45"/>
  <c r="Y325" i="45"/>
  <c r="AF498" i="40"/>
  <c r="Y362" i="45"/>
  <c r="AF77" i="40"/>
  <c r="AF236" i="40"/>
  <c r="AF80" i="40"/>
  <c r="AF336" i="40"/>
  <c r="AF292" i="40"/>
  <c r="AF136" i="40"/>
  <c r="Y342" i="45"/>
  <c r="AF173" i="40"/>
  <c r="Y477" i="45"/>
  <c r="Y378" i="45"/>
  <c r="Y426" i="45"/>
  <c r="AF179" i="40"/>
  <c r="AF387" i="40"/>
  <c r="Y463" i="45"/>
  <c r="Y511" i="45"/>
  <c r="Y99" i="45"/>
  <c r="AF279" i="40"/>
  <c r="Y261" i="45"/>
  <c r="AF326" i="40"/>
  <c r="AF438" i="40"/>
  <c r="AF459" i="40"/>
  <c r="AF90" i="40"/>
  <c r="AF364" i="40"/>
  <c r="Y148" i="45"/>
  <c r="Y248" i="45"/>
  <c r="AF440" i="40"/>
  <c r="Y149" i="45"/>
  <c r="Y265" i="45"/>
  <c r="AF190" i="40"/>
  <c r="AF362" i="40"/>
  <c r="Y341" i="45"/>
  <c r="Y489" i="45"/>
  <c r="AF197" i="40"/>
  <c r="AF514" i="40"/>
  <c r="AF254" i="40"/>
  <c r="Y466" i="45"/>
  <c r="AF200" i="40"/>
  <c r="AF260" i="40"/>
  <c r="AF504" i="40"/>
  <c r="AF147" i="40"/>
  <c r="Y262" i="45"/>
  <c r="AF331" i="40"/>
  <c r="Y344" i="45"/>
  <c r="Y196" i="45"/>
  <c r="Y502" i="45"/>
  <c r="Y117" i="45"/>
  <c r="AF131" i="40"/>
  <c r="Y447" i="45"/>
  <c r="AF125" i="40"/>
  <c r="AF234" i="40"/>
  <c r="Y179" i="45"/>
  <c r="AF295" i="40"/>
  <c r="AF138" i="40"/>
  <c r="AF454" i="40"/>
  <c r="AF379" i="40"/>
  <c r="Y487" i="45"/>
  <c r="AF123" i="40"/>
  <c r="AF380" i="40"/>
  <c r="AF168" i="40"/>
  <c r="Y256" i="45"/>
  <c r="AF189" i="40"/>
  <c r="AF330" i="40"/>
  <c r="Y413" i="45"/>
  <c r="Y445" i="45"/>
  <c r="Y505" i="45"/>
  <c r="AF478" i="40"/>
  <c r="AF403" i="40"/>
  <c r="Y241" i="45"/>
  <c r="AF134" i="40"/>
  <c r="AF322" i="40"/>
  <c r="AF354" i="40"/>
  <c r="X343" i="44"/>
  <c r="X197" i="44"/>
  <c r="AF458" i="37"/>
  <c r="X276" i="44"/>
  <c r="X257" i="44"/>
  <c r="X308" i="44"/>
  <c r="AF428" i="37"/>
  <c r="AF460" i="37"/>
  <c r="AF492" i="37"/>
  <c r="X87" i="44"/>
  <c r="X215" i="44"/>
  <c r="AF322" i="37"/>
  <c r="AF472" i="37"/>
  <c r="X270" i="44"/>
  <c r="X319" i="44"/>
  <c r="X447" i="44"/>
  <c r="X337" i="44"/>
  <c r="X473" i="44"/>
  <c r="X505" i="44"/>
  <c r="X462" i="44"/>
  <c r="X117" i="44"/>
  <c r="X497" i="44"/>
  <c r="X324" i="44"/>
  <c r="X384" i="44"/>
  <c r="X480" i="44"/>
  <c r="X80" i="44"/>
  <c r="X112" i="44"/>
  <c r="X461" i="44"/>
  <c r="X511" i="44"/>
  <c r="X124" i="44"/>
  <c r="X188" i="44"/>
  <c r="X284" i="44"/>
  <c r="X125" i="44"/>
  <c r="X354" i="44"/>
  <c r="X119" i="44"/>
  <c r="X247" i="44"/>
  <c r="X415" i="44"/>
  <c r="X313" i="44"/>
  <c r="X513" i="44"/>
  <c r="X322" i="44"/>
  <c r="AF478" i="37"/>
  <c r="X510" i="44"/>
  <c r="X232" i="44"/>
  <c r="X296" i="44"/>
  <c r="X126" i="44"/>
  <c r="X133" i="44"/>
  <c r="X130" i="44"/>
  <c r="X220" i="44"/>
  <c r="X485" i="44"/>
  <c r="X275" i="44"/>
  <c r="X279" i="44"/>
  <c r="X189" i="44"/>
  <c r="X265" i="44"/>
  <c r="AF438" i="37"/>
  <c r="AF408" i="37"/>
  <c r="AF464" i="37"/>
  <c r="X321" i="44"/>
  <c r="X437" i="44"/>
  <c r="X191" i="44"/>
  <c r="X281" i="44"/>
  <c r="X181" i="44"/>
  <c r="X263" i="44"/>
  <c r="X233" i="44"/>
  <c r="AF420" i="37"/>
  <c r="X448" i="44"/>
  <c r="X289" i="44"/>
  <c r="X96" i="44"/>
  <c r="X128" i="44"/>
  <c r="X160" i="44"/>
  <c r="X192" i="44"/>
  <c r="X240" i="44"/>
  <c r="X92" i="44"/>
  <c r="X429" i="44"/>
  <c r="X159" i="44"/>
  <c r="X173" i="44"/>
  <c r="X470" i="44"/>
  <c r="AF310" i="37"/>
  <c r="X351" i="44"/>
  <c r="X479" i="44"/>
  <c r="X453" i="44"/>
  <c r="X438" i="44"/>
  <c r="X465" i="44"/>
  <c r="X211" i="44"/>
  <c r="X285" i="44"/>
  <c r="X208" i="44"/>
  <c r="X445" i="44"/>
</calcChain>
</file>

<file path=xl/comments1.xml><?xml version="1.0" encoding="utf-8"?>
<comments xmlns="http://schemas.openxmlformats.org/spreadsheetml/2006/main" xmlns:mc="http://schemas.openxmlformats.org/markup-compatibility/2006" xmlns:xr="http://schemas.microsoft.com/office/spreadsheetml/2014/revision" mc:Ignorable="xr">
  <authors>
    <author>Anders Sundsdal</author>
  </authors>
  <commentList>
    <comment ref="B56" authorId="0" shapeId="0" xr:uid="{6C4541C4-823C-43CD-B9FC-767906E0102C}">
      <text>
        <r>
          <rPr>
            <b/>
            <sz val="9"/>
            <color indexed="81"/>
            <rFont val="Tahoma"/>
            <family val="2"/>
          </rPr>
          <t>Anders Sundsdal:</t>
        </r>
        <r>
          <rPr>
            <sz val="9"/>
            <color indexed="81"/>
            <rFont val="Tahoma"/>
            <family val="2"/>
          </rPr>
          <t xml:space="preserve">
Duplacate, two teabags has written the same code on the bag.</t>
        </r>
      </text>
    </comment>
    <comment ref="C56" authorId="0" shapeId="0" xr:uid="{329F9D84-B8BE-498F-8AE0-DB7A9C43D1CF}">
      <text>
        <r>
          <rPr>
            <b/>
            <sz val="9"/>
            <color indexed="81"/>
            <rFont val="Tahoma"/>
            <family val="2"/>
          </rPr>
          <t>Anders Sundsdal:</t>
        </r>
        <r>
          <rPr>
            <sz val="9"/>
            <color indexed="81"/>
            <rFont val="Tahoma"/>
            <family val="2"/>
          </rPr>
          <t xml:space="preserve">
Duplacate, but this is correct.</t>
        </r>
      </text>
    </comment>
    <comment ref="E58" authorId="0" shapeId="0" xr:uid="{C875A5C7-15A9-42DB-AB16-77C39509C13F}">
      <text>
        <r>
          <rPr>
            <b/>
            <sz val="9"/>
            <color indexed="81"/>
            <rFont val="Tahoma"/>
            <family val="2"/>
          </rPr>
          <t>Anders Sundsdal:</t>
        </r>
        <r>
          <rPr>
            <sz val="9"/>
            <color indexed="81"/>
            <rFont val="Tahoma"/>
            <family val="2"/>
          </rPr>
          <t xml:space="preserve">
This one is wrong. Maybe read the code wrong?</t>
        </r>
      </text>
    </comment>
    <comment ref="C67" authorId="0" shapeId="0" xr:uid="{175D6089-8C8F-474D-8E23-A0E7870C16D5}">
      <text>
        <r>
          <rPr>
            <b/>
            <sz val="9"/>
            <color indexed="81"/>
            <rFont val="Tahoma"/>
            <family val="2"/>
          </rPr>
          <t>Anders Sundsdal:</t>
        </r>
        <r>
          <rPr>
            <sz val="9"/>
            <color indexed="81"/>
            <rFont val="Tahoma"/>
            <family val="2"/>
          </rPr>
          <t xml:space="preserve">
Empty bag</t>
        </r>
      </text>
    </comment>
    <comment ref="B111" authorId="0" shapeId="0" xr:uid="{D9CE4AFB-0A20-4DD3-BC62-590AFF9EFBB0}">
      <text>
        <r>
          <rPr>
            <b/>
            <sz val="9"/>
            <color indexed="81"/>
            <rFont val="Tahoma"/>
            <family val="2"/>
          </rPr>
          <t>Anders Sundsdal:</t>
        </r>
        <r>
          <rPr>
            <sz val="9"/>
            <color indexed="81"/>
            <rFont val="Tahoma"/>
            <family val="2"/>
          </rPr>
          <t xml:space="preserve">
Duplacate, two teabags has written the same code on the bag.</t>
        </r>
      </text>
    </comment>
    <comment ref="B187" authorId="0" shapeId="0" xr:uid="{E3FA2335-BBF3-45EB-BED5-95ACB0AC4B2D}">
      <text>
        <r>
          <rPr>
            <b/>
            <sz val="9"/>
            <color indexed="81"/>
            <rFont val="Tahoma"/>
            <family val="2"/>
          </rPr>
          <t>Anders Sundsdal:</t>
        </r>
        <r>
          <rPr>
            <sz val="9"/>
            <color indexed="81"/>
            <rFont val="Tahoma"/>
            <family val="2"/>
          </rPr>
          <t xml:space="preserve">
R186 written on the bag</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Anders Sundsdal</author>
  </authors>
  <commentList>
    <comment ref="CW13" authorId="0" shapeId="0" xr:uid="{FA40D3F8-7F09-4213-9CC1-BA2630350991}">
      <text>
        <r>
          <rPr>
            <b/>
            <sz val="9"/>
            <color indexed="81"/>
            <rFont val="Tahoma"/>
            <family val="2"/>
          </rPr>
          <t>Anders Sundsdal:</t>
        </r>
        <r>
          <rPr>
            <sz val="9"/>
            <color indexed="81"/>
            <rFont val="Tahoma"/>
            <family val="2"/>
          </rPr>
          <t xml:space="preserve">
Changed from G490 to G510 due to duplicate in the dry season. G510 is not used at all and has almost similar weight.</t>
        </r>
      </text>
    </comment>
    <comment ref="BW47" authorId="0" shapeId="0" xr:uid="{EE10BBAC-5C10-47C9-B789-7E1398AE2327}">
      <text>
        <r>
          <rPr>
            <b/>
            <sz val="9"/>
            <color indexed="81"/>
            <rFont val="Tahoma"/>
            <family val="2"/>
          </rPr>
          <t>Anders Sundsdal:</t>
        </r>
        <r>
          <rPr>
            <sz val="9"/>
            <color indexed="81"/>
            <rFont val="Tahoma"/>
            <family val="2"/>
          </rPr>
          <t xml:space="preserve">
Changed from R279 to R70</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Anders Sundsdal</author>
  </authors>
  <commentList>
    <comment ref="A51" authorId="0" shapeId="0" xr:uid="{8FD46B0C-AA39-47E5-A4F0-24FF8B440C7D}">
      <text>
        <r>
          <rPr>
            <b/>
            <sz val="9"/>
            <color indexed="81"/>
            <rFont val="Tahoma"/>
            <family val="2"/>
          </rPr>
          <t>Anders Sundsdal:</t>
        </r>
        <r>
          <rPr>
            <sz val="9"/>
            <color indexed="81"/>
            <rFont val="Tahoma"/>
            <family val="2"/>
          </rPr>
          <t xml:space="preserve">
Changed from G169 to G162</t>
        </r>
      </text>
    </comment>
    <comment ref="A74" authorId="0" shapeId="0" xr:uid="{6ADAF30B-F3C4-4E17-BCF3-654246B89323}">
      <text>
        <r>
          <rPr>
            <b/>
            <sz val="9"/>
            <color indexed="81"/>
            <rFont val="Tahoma"/>
            <family val="2"/>
          </rPr>
          <t>Anders Sundsdal:</t>
        </r>
        <r>
          <rPr>
            <sz val="9"/>
            <color indexed="81"/>
            <rFont val="Tahoma"/>
            <family val="2"/>
          </rPr>
          <t xml:space="preserve">
Changed from G16 to G19</t>
        </r>
      </text>
    </comment>
    <comment ref="A99" authorId="0" shapeId="0" xr:uid="{E640FE35-5F4E-4138-BF06-BB7871F07F0D}">
      <text>
        <r>
          <rPr>
            <b/>
            <sz val="9"/>
            <color indexed="81"/>
            <rFont val="Tahoma"/>
            <family val="2"/>
          </rPr>
          <t>Anders Sundsdal:</t>
        </r>
        <r>
          <rPr>
            <sz val="9"/>
            <color indexed="81"/>
            <rFont val="Tahoma"/>
            <family val="2"/>
          </rPr>
          <t xml:space="preserve">
Changed from G255 to G225</t>
        </r>
      </text>
    </comment>
    <comment ref="A162" authorId="0" shapeId="0" xr:uid="{A2D19264-F3E4-4F5C-A9BF-DE2ADB732768}">
      <text>
        <r>
          <rPr>
            <b/>
            <sz val="9"/>
            <color indexed="81"/>
            <rFont val="Tahoma"/>
            <family val="2"/>
          </rPr>
          <t>Anders Sundsdal:</t>
        </r>
        <r>
          <rPr>
            <sz val="9"/>
            <color indexed="81"/>
            <rFont val="Tahoma"/>
            <family val="2"/>
          </rPr>
          <t xml:space="preserve">
Changed from G136 to G316</t>
        </r>
      </text>
    </comment>
    <comment ref="A164" authorId="0" shapeId="0" xr:uid="{0A434785-1862-4EA5-B7D9-2A72223C46EB}">
      <text>
        <r>
          <rPr>
            <b/>
            <sz val="9"/>
            <color indexed="81"/>
            <rFont val="Tahoma"/>
            <family val="2"/>
          </rPr>
          <t>Anders Sundsdal:</t>
        </r>
        <r>
          <rPr>
            <sz val="9"/>
            <color indexed="81"/>
            <rFont val="Tahoma"/>
            <family val="2"/>
          </rPr>
          <t xml:space="preserve">
Changed from G139 to G319</t>
        </r>
      </text>
    </comment>
    <comment ref="A268" authorId="0" shapeId="0" xr:uid="{706B949B-11B9-4E1E-9C7C-569348493388}">
      <text>
        <r>
          <rPr>
            <b/>
            <sz val="9"/>
            <color indexed="81"/>
            <rFont val="Tahoma"/>
            <family val="2"/>
          </rPr>
          <t>Anders Sundsdal:</t>
        </r>
        <r>
          <rPr>
            <sz val="9"/>
            <color indexed="81"/>
            <rFont val="Tahoma"/>
            <family val="2"/>
          </rPr>
          <t xml:space="preserve">
Changed from G619 to G617</t>
        </r>
      </text>
    </comment>
    <comment ref="A464" authorId="0" shapeId="0" xr:uid="{2C409451-02FB-47B1-9704-887562E51D6E}">
      <text>
        <r>
          <rPr>
            <b/>
            <sz val="9"/>
            <color indexed="81"/>
            <rFont val="Tahoma"/>
            <family val="2"/>
          </rPr>
          <t>Anders Sundsdal:</t>
        </r>
        <r>
          <rPr>
            <sz val="9"/>
            <color indexed="81"/>
            <rFont val="Tahoma"/>
            <family val="2"/>
          </rPr>
          <t xml:space="preserve">
Anders Sundsdal:
Changed from R601 to R841 due to duplicate between the dry and wet season.</t>
        </r>
      </text>
    </comment>
    <comment ref="A569" authorId="0" shapeId="0" xr:uid="{447D2031-DBE3-4078-ADD4-25CC266E458C}">
      <text>
        <r>
          <rPr>
            <b/>
            <sz val="9"/>
            <color indexed="81"/>
            <rFont val="Tahoma"/>
            <family val="2"/>
          </rPr>
          <t>Anders Sundsdal:</t>
        </r>
        <r>
          <rPr>
            <sz val="9"/>
            <color indexed="81"/>
            <rFont val="Tahoma"/>
            <family val="2"/>
          </rPr>
          <t xml:space="preserve">
Changed from ? to R722.</t>
        </r>
      </text>
    </comment>
    <comment ref="A643" authorId="0" shapeId="0" xr:uid="{99BD2013-7C9C-48C1-BB34-AF681C507073}">
      <text>
        <r>
          <rPr>
            <b/>
            <sz val="9"/>
            <color indexed="81"/>
            <rFont val="Tahoma"/>
            <family val="2"/>
          </rPr>
          <t>Anders Sundsdal:</t>
        </r>
        <r>
          <rPr>
            <sz val="9"/>
            <color indexed="81"/>
            <rFont val="Tahoma"/>
            <family val="2"/>
          </rPr>
          <t xml:space="preserve">
Changed from R809 to R808</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Anders Sundsdal</author>
  </authors>
  <commentList>
    <comment ref="J3" authorId="0" shapeId="0" xr:uid="{30221A05-9C5D-4D43-8B14-37ED1F39EFF2}">
      <text>
        <r>
          <rPr>
            <b/>
            <sz val="9"/>
            <color indexed="81"/>
            <rFont val="Tahoma"/>
            <family val="2"/>
          </rPr>
          <t>Anders Sundsdal:</t>
        </r>
        <r>
          <rPr>
            <sz val="9"/>
            <color indexed="81"/>
            <rFont val="Tahoma"/>
            <family val="2"/>
          </rPr>
          <t xml:space="preserve">
Endret fra 107 til 407 etter collecting</t>
        </r>
      </text>
    </comment>
    <comment ref="J27" authorId="0" shapeId="0" xr:uid="{5461ED45-C337-464C-BCD7-92A4D9239A0E}">
      <text>
        <r>
          <rPr>
            <b/>
            <sz val="9"/>
            <color indexed="81"/>
            <rFont val="Tahoma"/>
            <family val="2"/>
          </rPr>
          <t>Anders Sundsdal:</t>
        </r>
        <r>
          <rPr>
            <sz val="9"/>
            <color indexed="81"/>
            <rFont val="Tahoma"/>
            <family val="2"/>
          </rPr>
          <t xml:space="preserve">
Endret fra 32 til 322 etter collecting
</t>
        </r>
      </text>
    </comment>
    <comment ref="L54" authorId="0" shapeId="0" xr:uid="{2B2C2255-FB42-44F8-8555-8B4A6C8D5F21}">
      <text>
        <r>
          <rPr>
            <b/>
            <sz val="9"/>
            <color indexed="81"/>
            <rFont val="Tahoma"/>
            <family val="2"/>
          </rPr>
          <t>Anders Sundsdal:</t>
        </r>
        <r>
          <rPr>
            <sz val="9"/>
            <color indexed="81"/>
            <rFont val="Tahoma"/>
            <family val="2"/>
          </rPr>
          <t xml:space="preserve">
Endret fra 818 til 848 pga duplikat med wet season. Dette er mest sannsynlig feil skrevet inn.
</t>
        </r>
      </text>
    </comment>
    <comment ref="M54" authorId="0" shapeId="0" xr:uid="{2FF9FA67-0749-43E4-B161-640A0F15201A}">
      <text>
        <r>
          <rPr>
            <b/>
            <sz val="9"/>
            <color indexed="81"/>
            <rFont val="Tahoma"/>
            <family val="2"/>
          </rPr>
          <t>Anders Sundsdal:</t>
        </r>
        <r>
          <rPr>
            <sz val="9"/>
            <color indexed="81"/>
            <rFont val="Tahoma"/>
            <family val="2"/>
          </rPr>
          <t xml:space="preserve">
Endret fra 618 til 648. Update: Changed back.</t>
        </r>
      </text>
    </comment>
    <comment ref="L59" authorId="0" shapeId="0" xr:uid="{A94CE136-01AC-4F4A-AFFD-FC6642035291}">
      <text>
        <r>
          <rPr>
            <b/>
            <sz val="9"/>
            <color indexed="81"/>
            <rFont val="Tahoma"/>
            <family val="2"/>
          </rPr>
          <t>Anders Sundsdal:</t>
        </r>
        <r>
          <rPr>
            <sz val="9"/>
            <color indexed="81"/>
            <rFont val="Tahoma"/>
            <family val="2"/>
          </rPr>
          <t xml:space="preserve">
Endret fra 347 til 342</t>
        </r>
      </text>
    </comment>
    <comment ref="J81" authorId="0" shapeId="0" xr:uid="{700CA594-CF06-4AF7-91CC-740A01402C4D}">
      <text>
        <r>
          <rPr>
            <b/>
            <sz val="9"/>
            <color indexed="81"/>
            <rFont val="Tahoma"/>
            <family val="2"/>
          </rPr>
          <t>Anders Sundsdal:</t>
        </r>
        <r>
          <rPr>
            <sz val="9"/>
            <color indexed="81"/>
            <rFont val="Tahoma"/>
            <family val="2"/>
          </rPr>
          <t xml:space="preserve">
Changed from 120 to 130 due to duplicate.
</t>
        </r>
      </text>
    </comment>
    <comment ref="M91" authorId="0" shapeId="0" xr:uid="{B93742A5-55C9-4DAD-9225-626004AB8A6F}">
      <text>
        <r>
          <rPr>
            <b/>
            <sz val="9"/>
            <color indexed="81"/>
            <rFont val="Tahoma"/>
            <charset val="1"/>
          </rPr>
          <t xml:space="preserve">Anders Sundsdal:
</t>
        </r>
        <r>
          <rPr>
            <sz val="9"/>
            <color indexed="81"/>
            <rFont val="Tahoma"/>
            <family val="2"/>
          </rPr>
          <t>Changed from R601 to R841 due to duplicate between the dry and wet season.</t>
        </r>
      </text>
    </comment>
    <comment ref="M137" authorId="0" shapeId="0" xr:uid="{72C35936-9DB7-43F6-BC7B-3933132AA3F1}">
      <text>
        <r>
          <rPr>
            <b/>
            <sz val="9"/>
            <color indexed="81"/>
            <rFont val="Tahoma"/>
            <family val="2"/>
          </rPr>
          <t>Anders Sundsdal:</t>
        </r>
        <r>
          <rPr>
            <sz val="9"/>
            <color indexed="81"/>
            <rFont val="Tahoma"/>
            <family val="2"/>
          </rPr>
          <t xml:space="preserve">
Endret fra 222 til 223</t>
        </r>
      </text>
    </comment>
    <comment ref="J141" authorId="0" shapeId="0" xr:uid="{6348FC39-4390-4703-ACBB-BF517BAD955A}">
      <text>
        <r>
          <rPr>
            <b/>
            <sz val="9"/>
            <color indexed="81"/>
            <rFont val="Tahoma"/>
            <family val="2"/>
          </rPr>
          <t>Anders Sundsdal:</t>
        </r>
        <r>
          <rPr>
            <sz val="9"/>
            <color indexed="81"/>
            <rFont val="Tahoma"/>
            <family val="2"/>
          </rPr>
          <t xml:space="preserve">
Changed from 250 to 17 due to duplicate. Correspons to ashed sheet now.</t>
        </r>
      </text>
    </comment>
    <comment ref="M179" authorId="0" shapeId="0" xr:uid="{1CAC9066-19A7-4933-8FB1-E70909951356}">
      <text>
        <r>
          <rPr>
            <b/>
            <sz val="9"/>
            <color indexed="81"/>
            <rFont val="Tahoma"/>
            <family val="2"/>
          </rPr>
          <t>Anders Sundsdal:</t>
        </r>
        <r>
          <rPr>
            <sz val="9"/>
            <color indexed="81"/>
            <rFont val="Tahoma"/>
            <family val="2"/>
          </rPr>
          <t xml:space="preserve">
Changed from R279 to R70. R279 is also in wet season. In this season it is lost. Therefore it is changed t R70 which is not used at all, and have similar weight as R279.</t>
        </r>
      </text>
    </comment>
    <comment ref="M206" authorId="0" shapeId="0" xr:uid="{3607953A-D44E-4BE5-88AD-F5692CC19828}">
      <text>
        <r>
          <rPr>
            <b/>
            <sz val="9"/>
            <color indexed="81"/>
            <rFont val="Tahoma"/>
            <family val="2"/>
          </rPr>
          <t>Anders Sundsdal:</t>
        </r>
        <r>
          <rPr>
            <sz val="9"/>
            <color indexed="81"/>
            <rFont val="Tahoma"/>
            <family val="2"/>
          </rPr>
          <t xml:space="preserve">
Endret fra 208 til 708</t>
        </r>
      </text>
    </comment>
    <comment ref="A214" authorId="0" shapeId="0" xr:uid="{629B241B-F563-410D-BD7C-D07E54075B42}">
      <text>
        <r>
          <rPr>
            <b/>
            <sz val="9"/>
            <color indexed="81"/>
            <rFont val="Tahoma"/>
            <family val="2"/>
          </rPr>
          <t>Anders Sundsdal:</t>
        </r>
        <r>
          <rPr>
            <sz val="9"/>
            <color indexed="81"/>
            <rFont val="Tahoma"/>
            <family val="2"/>
          </rPr>
          <t xml:space="preserve">
Changed from 211 to 215, due to duplicate.</t>
        </r>
      </text>
    </comment>
    <comment ref="C214" authorId="0" shapeId="0" xr:uid="{D9E74992-0EAA-4AAF-97AA-3FD8FB132456}">
      <text>
        <r>
          <rPr>
            <b/>
            <sz val="9"/>
            <color indexed="81"/>
            <rFont val="Tahoma"/>
            <family val="2"/>
          </rPr>
          <t>Anders Sundsdal:</t>
        </r>
        <r>
          <rPr>
            <sz val="9"/>
            <color indexed="81"/>
            <rFont val="Tahoma"/>
            <family val="2"/>
          </rPr>
          <t xml:space="preserve">
Changed from Wet_P3_CG1 to Wet_W3_CG1 as there was a duplicate. Looked at the map for CG in my field protocol.</t>
        </r>
      </text>
    </comment>
    <comment ref="L215" authorId="0" shapeId="0" xr:uid="{FC0BF129-1097-4334-A35C-9A4959DC7FF0}">
      <text>
        <r>
          <rPr>
            <b/>
            <sz val="9"/>
            <color indexed="81"/>
            <rFont val="Tahoma"/>
            <family val="2"/>
          </rPr>
          <t>Anders Sundsdal:</t>
        </r>
        <r>
          <rPr>
            <sz val="9"/>
            <color indexed="81"/>
            <rFont val="Tahoma"/>
            <family val="2"/>
          </rPr>
          <t xml:space="preserve">
Endret fra 365 til 363</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Anders Sundsdal</author>
  </authors>
  <commentList>
    <comment ref="A51" authorId="0" shapeId="0" xr:uid="{3FD372DC-F869-44E0-A923-A6C3B154386E}">
      <text>
        <r>
          <rPr>
            <b/>
            <sz val="9"/>
            <color indexed="81"/>
            <rFont val="Tahoma"/>
            <family val="2"/>
          </rPr>
          <t>Anders Sundsdal:</t>
        </r>
        <r>
          <rPr>
            <sz val="9"/>
            <color indexed="81"/>
            <rFont val="Tahoma"/>
            <family val="2"/>
          </rPr>
          <t xml:space="preserve">
Changed from G169 to G162 due to duplicate
</t>
        </r>
      </text>
    </comment>
    <comment ref="A67" authorId="0" shapeId="0" xr:uid="{6F03231B-4377-4907-AC6E-ABBDF40847A3}">
      <text>
        <r>
          <rPr>
            <b/>
            <sz val="9"/>
            <color indexed="81"/>
            <rFont val="Tahoma"/>
            <family val="2"/>
          </rPr>
          <t>Anders Sundsdal:</t>
        </r>
        <r>
          <rPr>
            <sz val="9"/>
            <color indexed="81"/>
            <rFont val="Tahoma"/>
            <family val="2"/>
          </rPr>
          <t xml:space="preserve">
Changed from G123 to G183 due to duplicate. Found the code in placement_collection sheet
</t>
        </r>
      </text>
    </comment>
    <comment ref="A218" authorId="0" shapeId="0" xr:uid="{30503656-DD51-47C0-9F5D-C6AE8296C73D}">
      <text>
        <r>
          <rPr>
            <b/>
            <sz val="9"/>
            <color indexed="81"/>
            <rFont val="Tahoma"/>
            <family val="2"/>
          </rPr>
          <t>Anders Sundsdal:</t>
        </r>
        <r>
          <rPr>
            <sz val="9"/>
            <color indexed="81"/>
            <rFont val="Tahoma"/>
            <family val="2"/>
          </rPr>
          <t xml:space="preserve">
Changed from G112 to G42</t>
        </r>
      </text>
    </comment>
    <comment ref="A283" authorId="0" shapeId="0" xr:uid="{F9DE3600-8B9E-4B66-93DD-96E0DD328978}">
      <text>
        <r>
          <rPr>
            <b/>
            <sz val="9"/>
            <color indexed="81"/>
            <rFont val="Tahoma"/>
            <family val="2"/>
          </rPr>
          <t>Anders Sundsdal:</t>
        </r>
        <r>
          <rPr>
            <sz val="9"/>
            <color indexed="81"/>
            <rFont val="Tahoma"/>
            <family val="2"/>
          </rPr>
          <t xml:space="preserve">
Channged from G67 to G671 due to duplivate. Found the code in placement_collection sheet.</t>
        </r>
      </text>
    </comment>
    <comment ref="A295" authorId="0" shapeId="0" xr:uid="{D880C7BE-8945-4F2D-90D1-27DD7E34D162}">
      <text>
        <r>
          <rPr>
            <b/>
            <sz val="9"/>
            <color indexed="81"/>
            <rFont val="Tahoma"/>
            <family val="2"/>
          </rPr>
          <t>Anders Sundsdal:</t>
        </r>
        <r>
          <rPr>
            <sz val="9"/>
            <color indexed="81"/>
            <rFont val="Tahoma"/>
            <family val="2"/>
          </rPr>
          <t xml:space="preserve">
Changed from R443 to G757 as it was wrong code</t>
        </r>
      </text>
    </comment>
    <comment ref="A332" authorId="0" shapeId="0" xr:uid="{13CE7573-E43D-4DCB-85BE-D628E83F2C53}">
      <text>
        <r>
          <rPr>
            <b/>
            <sz val="9"/>
            <color indexed="81"/>
            <rFont val="Tahoma"/>
            <family val="2"/>
          </rPr>
          <t>Anders Sundsdal:</t>
        </r>
        <r>
          <rPr>
            <sz val="9"/>
            <color indexed="81"/>
            <rFont val="Tahoma"/>
            <family val="2"/>
          </rPr>
          <t xml:space="preserve">
Changed from R94 to G94</t>
        </r>
      </text>
    </comment>
    <comment ref="A435" authorId="0" shapeId="0" xr:uid="{320903FE-157E-44A3-8B42-9F6B87975BB5}">
      <text>
        <r>
          <rPr>
            <b/>
            <sz val="9"/>
            <color indexed="81"/>
            <rFont val="Tahoma"/>
            <family val="2"/>
          </rPr>
          <t>Anders Sundsdal:</t>
        </r>
        <r>
          <rPr>
            <sz val="9"/>
            <color indexed="81"/>
            <rFont val="Tahoma"/>
            <family val="2"/>
          </rPr>
          <t xml:space="preserve">
Changed from G357 to R357 as it was too many green bag codes. Found the code in placement_collection sheet.</t>
        </r>
      </text>
    </comment>
    <comment ref="A464" authorId="0" shapeId="0" xr:uid="{924B00F1-9F1B-4386-9845-7177602A8229}">
      <text>
        <r>
          <rPr>
            <b/>
            <sz val="9"/>
            <color indexed="81"/>
            <rFont val="Tahoma"/>
            <charset val="1"/>
          </rPr>
          <t>Anders Sundsdal:</t>
        </r>
        <r>
          <rPr>
            <sz val="9"/>
            <color indexed="81"/>
            <rFont val="Tahoma"/>
            <charset val="1"/>
          </rPr>
          <t xml:space="preserve">
Changed from R601 to R841 due to duplicate between the dry and wet season.</t>
        </r>
      </text>
    </comment>
    <comment ref="A535" authorId="0" shapeId="0" xr:uid="{4FDD7538-E8B3-4158-A523-6E806D9851E3}">
      <text>
        <r>
          <rPr>
            <b/>
            <sz val="9"/>
            <color indexed="81"/>
            <rFont val="Tahoma"/>
            <family val="2"/>
          </rPr>
          <t>Anders Sundsdal:</t>
        </r>
        <r>
          <rPr>
            <sz val="9"/>
            <color indexed="81"/>
            <rFont val="Tahoma"/>
            <family val="2"/>
          </rPr>
          <t xml:space="preserve">
Changed from G?25 to R682 as it ws wrong code written. Found the code in placement_collection shet.</t>
        </r>
      </text>
    </comment>
    <comment ref="A573" authorId="0" shapeId="0" xr:uid="{E2D1C088-DEFB-46FF-9D24-BDF38E970385}">
      <text>
        <r>
          <rPr>
            <b/>
            <sz val="9"/>
            <color indexed="81"/>
            <rFont val="Tahoma"/>
            <family val="2"/>
          </rPr>
          <t>Anders Sundsdal:</t>
        </r>
        <r>
          <rPr>
            <sz val="9"/>
            <color indexed="81"/>
            <rFont val="Tahoma"/>
            <family val="2"/>
          </rPr>
          <t xml:space="preserve">
Did not see code, found the code from the placement_collecion sheet
</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Anders Sundsdal</author>
  </authors>
  <commentList>
    <comment ref="N14" authorId="0" shapeId="0" xr:uid="{C06F57ED-9C52-453F-B0FF-71F48BA3E259}">
      <text>
        <r>
          <rPr>
            <b/>
            <sz val="9"/>
            <color indexed="81"/>
            <rFont val="Tahoma"/>
            <family val="2"/>
          </rPr>
          <t>Anders Sundsdal:</t>
        </r>
        <r>
          <rPr>
            <sz val="9"/>
            <color indexed="81"/>
            <rFont val="Tahoma"/>
            <family val="2"/>
          </rPr>
          <t xml:space="preserve">
Changed from G490 to G510 due to duplicate in the dry season. G510 is not used at all and has almost similar weight.</t>
        </r>
      </text>
    </comment>
    <comment ref="P23" authorId="0" shapeId="0" xr:uid="{28992491-2F82-47AA-ACA7-B64B3ECEF330}">
      <text>
        <r>
          <rPr>
            <b/>
            <sz val="9"/>
            <color indexed="81"/>
            <rFont val="Tahoma"/>
            <family val="2"/>
          </rPr>
          <t>Anders Sundsdal:</t>
        </r>
        <r>
          <rPr>
            <sz val="9"/>
            <color indexed="81"/>
            <rFont val="Tahoma"/>
            <family val="2"/>
          </rPr>
          <t xml:space="preserve">
Changed from R19 to R79 due to duplicate.</t>
        </r>
      </text>
    </comment>
    <comment ref="J57" authorId="0" shapeId="0" xr:uid="{75378507-2DCF-4B78-8EAF-BB6F3FFF8123}">
      <text>
        <r>
          <rPr>
            <b/>
            <sz val="9"/>
            <color indexed="81"/>
            <rFont val="Tahoma"/>
            <family val="2"/>
          </rPr>
          <t>Anders Sundsdal:</t>
        </r>
        <r>
          <rPr>
            <sz val="9"/>
            <color indexed="81"/>
            <rFont val="Tahoma"/>
            <family val="2"/>
          </rPr>
          <t xml:space="preserve">
Not collected</t>
        </r>
      </text>
    </comment>
    <comment ref="L57" authorId="0" shapeId="0" xr:uid="{9DAE2F06-BAD4-430F-AC3A-70EB35C55218}">
      <text>
        <r>
          <rPr>
            <b/>
            <sz val="9"/>
            <color indexed="81"/>
            <rFont val="Tahoma"/>
            <family val="2"/>
          </rPr>
          <t>Anders Sundsdal:</t>
        </r>
        <r>
          <rPr>
            <sz val="9"/>
            <color indexed="81"/>
            <rFont val="Tahoma"/>
            <family val="2"/>
          </rPr>
          <t xml:space="preserve">
Duplicate. Have been corrected in physical collection sheet stating R14. So this should be correct: 14. UPDATE: Checked the bag itself and it was R19. So now it shold be 19 in this cell.</t>
        </r>
      </text>
    </comment>
    <comment ref="P57" authorId="0" shapeId="0" xr:uid="{7725F615-F2DD-491F-9D65-D3F1F1E4A836}">
      <text>
        <r>
          <rPr>
            <b/>
            <sz val="9"/>
            <color indexed="81"/>
            <rFont val="Tahoma"/>
            <family val="2"/>
          </rPr>
          <t>Anders Sundsdal:</t>
        </r>
        <r>
          <rPr>
            <sz val="9"/>
            <color indexed="81"/>
            <rFont val="Tahoma"/>
            <family val="2"/>
          </rPr>
          <t xml:space="preserve">
Most likely true as the paprbag plot 55 has this number. This plot has only collected 3teabags. UPDATE: The bag contains R54. But There is also a bag with same number. Renamed this bag 54b. UPDATE: Changed from 54b to R53. The wrongly written teabags are probably a mistake when writing on the teabag when they were weighed initially.</t>
        </r>
      </text>
    </comment>
    <comment ref="J58" authorId="0" shapeId="0" xr:uid="{154B26FE-C3AC-4A81-B0A3-4E62129011F2}">
      <text>
        <r>
          <rPr>
            <b/>
            <sz val="9"/>
            <color indexed="81"/>
            <rFont val="Tahoma"/>
            <family val="2"/>
          </rPr>
          <t>Anders Sundsdal:</t>
        </r>
        <r>
          <rPr>
            <sz val="9"/>
            <color indexed="81"/>
            <rFont val="Tahoma"/>
            <family val="2"/>
          </rPr>
          <t xml:space="preserve">
Check paperbag with plot 56. In AfterWet it states that this is correct. Check the other duplucate first below.</t>
        </r>
      </text>
    </comment>
    <comment ref="J59" authorId="0" shapeId="0" xr:uid="{76DC22DC-EDA6-4C9B-84E2-17A701387A44}">
      <text>
        <r>
          <rPr>
            <b/>
            <sz val="9"/>
            <color indexed="81"/>
            <rFont val="Tahoma"/>
            <family val="2"/>
          </rPr>
          <t>Anders Sundsdal:</t>
        </r>
        <r>
          <rPr>
            <sz val="9"/>
            <color indexed="81"/>
            <rFont val="Tahoma"/>
            <family val="2"/>
          </rPr>
          <t xml:space="preserve">
Duplicate. This one is wrong. Need to check the loose teabags in the big paperbag.UPDATE: Can't find it in loose bag. UPDATE: Changed from 540 to 546 by comparing Ashed and both after wet sheets.</t>
        </r>
      </text>
    </comment>
    <comment ref="J72" authorId="0" shapeId="0" xr:uid="{743C3CFA-70D1-49A2-80C7-570BE43EE8C7}">
      <text>
        <r>
          <rPr>
            <b/>
            <sz val="9"/>
            <color indexed="81"/>
            <rFont val="Tahoma"/>
            <family val="2"/>
          </rPr>
          <t>Anders Sundsdal:</t>
        </r>
        <r>
          <rPr>
            <sz val="9"/>
            <color indexed="81"/>
            <rFont val="Tahoma"/>
            <family val="2"/>
          </rPr>
          <t xml:space="preserve">
Check paperbag with plot 70. Maybe G338? In Afterwet it has 3 red codes. One of them green code?</t>
        </r>
      </text>
    </comment>
    <comment ref="P74" authorId="0" shapeId="0" xr:uid="{B6502343-4328-452C-9460-312284FE7E5B}">
      <text>
        <r>
          <rPr>
            <b/>
            <sz val="9"/>
            <color indexed="81"/>
            <rFont val="Tahoma"/>
            <family val="2"/>
          </rPr>
          <t>Anders Sundsdal:</t>
        </r>
        <r>
          <rPr>
            <sz val="9"/>
            <color indexed="81"/>
            <rFont val="Tahoma"/>
            <family val="2"/>
          </rPr>
          <t xml:space="preserve">
No idea why this is a duplicate. Have to try and find he code in the bag with loose tea. If don't find code. This is an other code. UPDATE: this is the correct code: 14</t>
        </r>
      </text>
    </comment>
    <comment ref="N112" authorId="0" shapeId="0" xr:uid="{B911FEDB-8488-484C-8E18-3BCF36F49007}">
      <text>
        <r>
          <rPr>
            <b/>
            <sz val="9"/>
            <color indexed="81"/>
            <rFont val="Tahoma"/>
            <family val="2"/>
          </rPr>
          <t>Anders Sundsdal:</t>
        </r>
        <r>
          <rPr>
            <sz val="9"/>
            <color indexed="81"/>
            <rFont val="Tahoma"/>
            <family val="2"/>
          </rPr>
          <t xml:space="preserve">
Not found in the AfterWet sheet. UPDATE: Found a teabag which looked like 88. But was 882. THs is also updatetd in AfterWet</t>
        </r>
      </text>
    </comment>
    <comment ref="P112" authorId="0" shapeId="0" xr:uid="{72D3609C-7E58-4371-94C8-BE52A9C64DFD}">
      <text>
        <r>
          <rPr>
            <b/>
            <sz val="9"/>
            <color indexed="81"/>
            <rFont val="Tahoma"/>
            <family val="2"/>
          </rPr>
          <t>Anders Sundsdal:</t>
        </r>
        <r>
          <rPr>
            <sz val="9"/>
            <color indexed="81"/>
            <rFont val="Tahoma"/>
            <family val="2"/>
          </rPr>
          <t xml:space="preserve">
Have to check the teabags in loose paperbag. UPDATE: Found one bag with this number. So there is two teabags with same number. Renamed the bag 54a. UPDATE: Changed from 54a to R54. The wrongly written teabags are probably a mistake when writing on the teabag when they were weighed initially.</t>
        </r>
      </text>
    </comment>
    <comment ref="J163" authorId="0" shapeId="0" xr:uid="{66D6417B-9E13-4BDB-8406-D314AEE349A9}">
      <text>
        <r>
          <rPr>
            <b/>
            <sz val="9"/>
            <color indexed="81"/>
            <rFont val="Tahoma"/>
            <charset val="1"/>
          </rPr>
          <t>Anders Sundsdal:</t>
        </r>
        <r>
          <rPr>
            <sz val="9"/>
            <color indexed="81"/>
            <rFont val="Tahoma"/>
            <charset val="1"/>
          </rPr>
          <t xml:space="preserve">
Changed from 252 to 352 since post labwork found this bag to be 352.</t>
        </r>
      </text>
    </comment>
    <comment ref="P188" authorId="0" shapeId="0" xr:uid="{D8A63BBF-D907-4E55-B93D-CDDB7AB59438}">
      <text>
        <r>
          <rPr>
            <b/>
            <sz val="9"/>
            <color indexed="81"/>
            <rFont val="Tahoma"/>
            <family val="2"/>
          </rPr>
          <t>Anders Sundsdal:</t>
        </r>
        <r>
          <rPr>
            <sz val="9"/>
            <color indexed="81"/>
            <rFont val="Tahoma"/>
            <family val="2"/>
          </rPr>
          <t xml:space="preserve">
Endret fra 180 til 186 pga duplikat med dry season. Dette er skrivefeil som nå er rettet opp.
</t>
        </r>
      </text>
    </comment>
    <comment ref="L190" authorId="0" shapeId="0" xr:uid="{5F2F3AFC-1874-4298-AE37-65D59045D9F8}">
      <text>
        <r>
          <rPr>
            <b/>
            <sz val="9"/>
            <color indexed="81"/>
            <rFont val="Tahoma"/>
            <family val="2"/>
          </rPr>
          <t>Anders Sundsdal:</t>
        </r>
        <r>
          <rPr>
            <sz val="9"/>
            <color indexed="81"/>
            <rFont val="Tahoma"/>
            <family val="2"/>
          </rPr>
          <t xml:space="preserve">
Endret pga skrivefeil og duplikat med dry season</t>
        </r>
      </text>
    </comment>
    <comment ref="P201" authorId="0" shapeId="0" xr:uid="{8837CCA6-EF11-4884-8C00-EB795110BBAF}">
      <text>
        <r>
          <rPr>
            <b/>
            <sz val="9"/>
            <color indexed="81"/>
            <rFont val="Tahoma"/>
            <family val="2"/>
          </rPr>
          <t>Anders Sundsdal:</t>
        </r>
        <r>
          <rPr>
            <sz val="9"/>
            <color indexed="81"/>
            <rFont val="Tahoma"/>
            <family val="2"/>
          </rPr>
          <t xml:space="preserve">
Ednret fra R269 til 369. Var duplakat med dry season pga skrivefeil.</t>
        </r>
      </text>
    </comment>
    <comment ref="J203" authorId="0" shapeId="0" xr:uid="{95457642-D0A2-4ADE-9639-87285FA090EE}">
      <text>
        <r>
          <rPr>
            <b/>
            <sz val="9"/>
            <color indexed="81"/>
            <rFont val="Tahoma"/>
            <family val="2"/>
          </rPr>
          <t>Anders Sundsdal:</t>
        </r>
        <r>
          <rPr>
            <sz val="9"/>
            <color indexed="81"/>
            <rFont val="Tahoma"/>
            <family val="2"/>
          </rPr>
          <t xml:space="preserve">
Missing in AfterWet</t>
        </r>
      </text>
    </comment>
    <comment ref="C209" authorId="0" shapeId="0" xr:uid="{9D1AD5B1-8A7D-4118-A2BC-BE9CB3946089}">
      <text>
        <r>
          <rPr>
            <b/>
            <sz val="9"/>
            <color indexed="81"/>
            <rFont val="Tahoma"/>
            <family val="2"/>
          </rPr>
          <t>Anders Sundsdal:</t>
        </r>
        <r>
          <rPr>
            <sz val="9"/>
            <color indexed="81"/>
            <rFont val="Tahoma"/>
            <family val="2"/>
          </rPr>
          <t xml:space="preserve">
Should be: WET_Ag3_CG3</t>
        </r>
      </text>
    </comment>
    <comment ref="N209" authorId="0" shapeId="0" xr:uid="{D55605D6-66E7-4F93-94FA-5E5010329D40}">
      <text>
        <r>
          <rPr>
            <b/>
            <sz val="9"/>
            <color indexed="81"/>
            <rFont val="Tahoma"/>
            <family val="2"/>
          </rPr>
          <t>Anders Sundsdal:</t>
        </r>
        <r>
          <rPr>
            <sz val="9"/>
            <color indexed="81"/>
            <rFont val="Tahoma"/>
            <family val="2"/>
          </rPr>
          <t xml:space="preserve">
Most likely correct</t>
        </r>
      </text>
    </comment>
    <comment ref="C210" authorId="0" shapeId="0" xr:uid="{019FE374-B2BD-4773-99D1-C2C69A13E425}">
      <text>
        <r>
          <rPr>
            <b/>
            <sz val="9"/>
            <color indexed="81"/>
            <rFont val="Tahoma"/>
            <family val="2"/>
          </rPr>
          <t>Anders Sundsdal:</t>
        </r>
        <r>
          <rPr>
            <sz val="9"/>
            <color indexed="81"/>
            <rFont val="Tahoma"/>
            <family val="2"/>
          </rPr>
          <t xml:space="preserve">
Should be: WET_AG4_CG4</t>
        </r>
      </text>
    </comment>
    <comment ref="P212" authorId="0" shapeId="0" xr:uid="{CD927561-0EBD-4D5F-B0C7-364E13058F6F}">
      <text>
        <r>
          <rPr>
            <b/>
            <sz val="9"/>
            <color indexed="81"/>
            <rFont val="Tahoma"/>
            <family val="2"/>
          </rPr>
          <t>Anders Sundsdal:</t>
        </r>
        <r>
          <rPr>
            <sz val="9"/>
            <color indexed="81"/>
            <rFont val="Tahoma"/>
            <family val="2"/>
          </rPr>
          <t xml:space="preserve">
Corrected from 342 to 392. Most likely 392 when looking at the physical placement sheet.</t>
        </r>
      </text>
    </comment>
    <comment ref="P213" authorId="0" shapeId="0" xr:uid="{BB0958F0-DD6E-47B0-B8F6-9025F188363B}">
      <text>
        <r>
          <rPr>
            <b/>
            <sz val="9"/>
            <color indexed="81"/>
            <rFont val="Tahoma"/>
            <family val="2"/>
          </rPr>
          <t>Anders Sundsdal:</t>
        </r>
        <r>
          <rPr>
            <sz val="9"/>
            <color indexed="81"/>
            <rFont val="Tahoma"/>
            <family val="2"/>
          </rPr>
          <t xml:space="preserve">
Corrected by looking at the post-incubation reading.</t>
        </r>
      </text>
    </comment>
    <comment ref="M348" authorId="0" shapeId="0" xr:uid="{98018AFF-730B-486C-B8F1-0BAE9C91B477}">
      <text>
        <r>
          <rPr>
            <b/>
            <sz val="9"/>
            <color indexed="81"/>
            <rFont val="Tahoma"/>
            <family val="2"/>
          </rPr>
          <t>Anders Sundsdal:</t>
        </r>
        <r>
          <rPr>
            <sz val="9"/>
            <color indexed="81"/>
            <rFont val="Tahoma"/>
            <family val="2"/>
          </rPr>
          <t xml:space="preserve">
Need to check in fieldbook for correspondance to temperature. The CG sheet.</t>
        </r>
      </text>
    </comment>
    <comment ref="P351" authorId="0" shapeId="0" xr:uid="{C0DF80DC-4A56-4651-ABB5-5F4810FA6FF6}">
      <text>
        <r>
          <rPr>
            <b/>
            <sz val="9"/>
            <color indexed="81"/>
            <rFont val="Tahoma"/>
            <family val="2"/>
          </rPr>
          <t>Anders Sundsdal:</t>
        </r>
        <r>
          <rPr>
            <sz val="9"/>
            <color indexed="81"/>
            <rFont val="Tahoma"/>
            <family val="2"/>
          </rPr>
          <t xml:space="preserve">
Most likely correct</t>
        </r>
      </text>
    </comment>
    <comment ref="Q354" authorId="0" shapeId="0" xr:uid="{9AB002BC-C792-4230-903F-C3A59E3DF85E}">
      <text>
        <r>
          <rPr>
            <b/>
            <sz val="9"/>
            <color indexed="81"/>
            <rFont val="Tahoma"/>
            <family val="2"/>
          </rPr>
          <t>Anders Sundsdal:</t>
        </r>
        <r>
          <rPr>
            <sz val="9"/>
            <color indexed="81"/>
            <rFont val="Tahoma"/>
            <family val="2"/>
          </rPr>
          <t xml:space="preserve">
Corrected from 342 to 392. Most likely 392 when looking at the physical placement sheet.</t>
        </r>
      </text>
    </comment>
    <comment ref="Q355" authorId="0" shapeId="0" xr:uid="{1199CF79-DC89-440D-B8FE-532B446A4A33}">
      <text>
        <r>
          <rPr>
            <b/>
            <sz val="9"/>
            <color indexed="81"/>
            <rFont val="Tahoma"/>
            <family val="2"/>
          </rPr>
          <t>Anders Sundsdal:</t>
        </r>
        <r>
          <rPr>
            <sz val="9"/>
            <color indexed="81"/>
            <rFont val="Tahoma"/>
            <family val="2"/>
          </rPr>
          <t xml:space="preserve">
Corrected by looking at the post-incubation reading.</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Anders Sundsdal</author>
  </authors>
  <commentList>
    <comment ref="A34" authorId="0" shapeId="0" xr:uid="{DB513DDD-6C90-42EE-AC32-027136932BBE}">
      <text>
        <r>
          <rPr>
            <b/>
            <sz val="9"/>
            <color indexed="81"/>
            <rFont val="Tahoma"/>
            <family val="2"/>
          </rPr>
          <t>Anders Sundsdal:</t>
        </r>
        <r>
          <rPr>
            <sz val="9"/>
            <color indexed="81"/>
            <rFont val="Tahoma"/>
            <family val="2"/>
          </rPr>
          <t xml:space="preserve"> Uncertain if G385 or G365 even reading without tea inside. But looks most like as G385. Update: Changed from G385 to G365 since an other teabag was written G385.</t>
        </r>
      </text>
    </comment>
    <comment ref="C105" authorId="0" shapeId="0" xr:uid="{01CEFEC6-73B3-4863-BB0C-EE4595E1B65E}">
      <text>
        <r>
          <rPr>
            <b/>
            <sz val="9"/>
            <color indexed="81"/>
            <rFont val="Tahoma"/>
            <family val="2"/>
          </rPr>
          <t>Anders Sundsdal:</t>
        </r>
        <r>
          <rPr>
            <sz val="9"/>
            <color indexed="81"/>
            <rFont val="Tahoma"/>
            <family val="2"/>
          </rPr>
          <t xml:space="preserve">
No bag</t>
        </r>
      </text>
    </comment>
    <comment ref="A114" authorId="0" shapeId="0" xr:uid="{8EE6E6C1-91F8-4364-BE06-C664AD98CD24}">
      <text>
        <r>
          <rPr>
            <b/>
            <sz val="9"/>
            <color indexed="81"/>
            <rFont val="Tahoma"/>
            <family val="2"/>
          </rPr>
          <t>Anders Sundsdal:</t>
        </r>
        <r>
          <rPr>
            <sz val="9"/>
            <color indexed="81"/>
            <rFont val="Tahoma"/>
            <family val="2"/>
          </rPr>
          <t xml:space="preserve">
Rozi has written G569, check the Afterwet sheet to correct this: from G569 to G509</t>
        </r>
      </text>
    </comment>
    <comment ref="C138" authorId="0" shapeId="0" xr:uid="{17FFCC4D-FE7C-44C5-905C-A58765928EAD}">
      <text>
        <r>
          <rPr>
            <b/>
            <sz val="9"/>
            <color indexed="81"/>
            <rFont val="Tahoma"/>
            <family val="2"/>
          </rPr>
          <t>Anders Sundsdal:</t>
        </r>
        <r>
          <rPr>
            <sz val="9"/>
            <color indexed="81"/>
            <rFont val="Tahoma"/>
            <family val="2"/>
          </rPr>
          <t xml:space="preserve">
Bag says 206, but in Teabags_used_in _wet says the teabags is in 207.</t>
        </r>
      </text>
    </comment>
    <comment ref="A144" authorId="0" shapeId="0" xr:uid="{948C8701-78D9-4390-A849-1A8BA5A0F40B}">
      <text>
        <r>
          <rPr>
            <b/>
            <sz val="9"/>
            <color indexed="81"/>
            <rFont val="Tahoma"/>
            <family val="2"/>
          </rPr>
          <t>Anders Sundsdal:</t>
        </r>
        <r>
          <rPr>
            <sz val="9"/>
            <color indexed="81"/>
            <rFont val="Tahoma"/>
            <family val="2"/>
          </rPr>
          <t xml:space="preserve">
Corrected in all other sheets. OK now.</t>
        </r>
      </text>
    </comment>
    <comment ref="A158" authorId="0" shapeId="0" xr:uid="{BFCCF097-CE58-421E-AB83-E295599807F7}">
      <text>
        <r>
          <rPr>
            <b/>
            <sz val="9"/>
            <color indexed="81"/>
            <rFont val="Tahoma"/>
            <charset val="1"/>
          </rPr>
          <t>Anders Sundsdal:</t>
        </r>
        <r>
          <rPr>
            <sz val="9"/>
            <color indexed="81"/>
            <rFont val="Tahoma"/>
            <charset val="1"/>
          </rPr>
          <t xml:space="preserve">
Correct</t>
        </r>
      </text>
    </comment>
    <comment ref="C164" authorId="0" shapeId="0" xr:uid="{1982660F-75BE-439C-8C58-B5F2C4C037BA}">
      <text>
        <r>
          <rPr>
            <b/>
            <sz val="9"/>
            <color indexed="81"/>
            <rFont val="Tahoma"/>
            <family val="2"/>
          </rPr>
          <t>Anders Sundsdal:</t>
        </r>
        <r>
          <rPr>
            <sz val="9"/>
            <color indexed="81"/>
            <rFont val="Tahoma"/>
            <family val="2"/>
          </rPr>
          <t xml:space="preserve">
Bag was written 215, but teabags corresponded to plot 213 .</t>
        </r>
      </text>
    </comment>
    <comment ref="C166" authorId="0" shapeId="0" xr:uid="{A0C0469F-F774-4C56-AD01-C90670B074F6}">
      <text>
        <r>
          <rPr>
            <b/>
            <sz val="9"/>
            <color indexed="81"/>
            <rFont val="Tahoma"/>
            <family val="2"/>
          </rPr>
          <t>Anders Sundsdal:</t>
        </r>
        <r>
          <rPr>
            <sz val="9"/>
            <color indexed="81"/>
            <rFont val="Tahoma"/>
            <family val="2"/>
          </rPr>
          <t xml:space="preserve">
Bag says 206, but in Teabags_used_in _wet says the teabags is in 207.</t>
        </r>
      </text>
    </comment>
    <comment ref="C239" authorId="0" shapeId="0" xr:uid="{DFAC4492-5F07-4304-973D-E4C87BB8DD07}">
      <text>
        <r>
          <rPr>
            <b/>
            <sz val="9"/>
            <color indexed="81"/>
            <rFont val="Tahoma"/>
            <family val="2"/>
          </rPr>
          <t>Anders Sundsdal:</t>
        </r>
        <r>
          <rPr>
            <sz val="9"/>
            <color indexed="81"/>
            <rFont val="Tahoma"/>
            <family val="2"/>
          </rPr>
          <t xml:space="preserve">
Bag say plot nr 207, but in Teabag_used_in_wet it says 206. Thus, need to also check the Afterwet sheet to look for discrepancies.</t>
        </r>
      </text>
    </comment>
    <comment ref="A251" authorId="0" shapeId="0" xr:uid="{4918588A-EFAE-47F8-8B72-F4A2F0AD6736}">
      <text>
        <r>
          <rPr>
            <b/>
            <sz val="9"/>
            <color indexed="81"/>
            <rFont val="Tahoma"/>
            <family val="2"/>
          </rPr>
          <t>Anders Sundsdal:</t>
        </r>
        <r>
          <rPr>
            <sz val="9"/>
            <color indexed="81"/>
            <rFont val="Tahoma"/>
            <family val="2"/>
          </rPr>
          <t xml:space="preserve">
Changes from G90 to G690 as G90 was in dry season and that G690 corresponds to collection sheet wet.</t>
        </r>
      </text>
    </comment>
    <comment ref="C264" authorId="0" shapeId="0" xr:uid="{E4BA2D92-CB95-4864-8234-3AC61E89039F}">
      <text>
        <r>
          <rPr>
            <b/>
            <sz val="9"/>
            <color indexed="81"/>
            <rFont val="Tahoma"/>
            <family val="2"/>
          </rPr>
          <t>Anders Sundsdal:</t>
        </r>
        <r>
          <rPr>
            <sz val="9"/>
            <color indexed="81"/>
            <rFont val="Tahoma"/>
            <family val="2"/>
          </rPr>
          <t xml:space="preserve">
No bag</t>
        </r>
      </text>
    </comment>
    <comment ref="C271" authorId="0" shapeId="0" xr:uid="{E180A4B1-C0C0-4F71-A88C-189DB1CC4588}">
      <text>
        <r>
          <rPr>
            <b/>
            <sz val="9"/>
            <color indexed="81"/>
            <rFont val="Tahoma"/>
            <family val="2"/>
          </rPr>
          <t>Anders Sundsdal:</t>
        </r>
        <r>
          <rPr>
            <sz val="9"/>
            <color indexed="81"/>
            <rFont val="Tahoma"/>
            <family val="2"/>
          </rPr>
          <t xml:space="preserve">
Edited to 199 from 109. 109 was written on the paperbag.</t>
        </r>
      </text>
    </comment>
    <comment ref="C274" authorId="0" shapeId="0" xr:uid="{22973698-D1F7-4849-8F85-74D645C5B549}">
      <text>
        <r>
          <rPr>
            <b/>
            <sz val="9"/>
            <color indexed="81"/>
            <rFont val="Tahoma"/>
            <family val="2"/>
          </rPr>
          <t>Anders Sundsdal:</t>
        </r>
        <r>
          <rPr>
            <sz val="9"/>
            <color indexed="81"/>
            <rFont val="Tahoma"/>
            <family val="2"/>
          </rPr>
          <t xml:space="preserve">
Bag was written 215, but teabags corresponded to plot 213 .</t>
        </r>
      </text>
    </comment>
    <comment ref="C397" authorId="0" shapeId="0" xr:uid="{374A2F70-7A65-4401-A3B6-47B0233A56A4}">
      <text>
        <r>
          <rPr>
            <b/>
            <sz val="9"/>
            <color indexed="81"/>
            <rFont val="Tahoma"/>
            <family val="2"/>
          </rPr>
          <t>Anders Sundsdal:</t>
        </r>
        <r>
          <rPr>
            <sz val="9"/>
            <color indexed="81"/>
            <rFont val="Tahoma"/>
            <family val="2"/>
          </rPr>
          <t xml:space="preserve">
Edited to 199 from 109. 109 was written on the paperbag.</t>
        </r>
      </text>
    </comment>
    <comment ref="C410" authorId="0" shapeId="0" xr:uid="{102F5AC2-1420-4DED-B7C3-FA94EBE54275}">
      <text>
        <r>
          <rPr>
            <b/>
            <sz val="9"/>
            <color indexed="81"/>
            <rFont val="Tahoma"/>
            <family val="2"/>
          </rPr>
          <t>Anders Sundsdal:</t>
        </r>
        <r>
          <rPr>
            <sz val="9"/>
            <color indexed="81"/>
            <rFont val="Tahoma"/>
            <family val="2"/>
          </rPr>
          <t xml:space="preserve">
Bag say plot nr 207, but in Teabag_used_in_wet it says 206. Thus, need to also check the Afterwet sheet to look for discrepancies.</t>
        </r>
      </text>
    </comment>
    <comment ref="C429" authorId="0" shapeId="0" xr:uid="{E0C6BC8F-D940-43B9-9C4A-DCABCECCFB4D}">
      <text>
        <r>
          <rPr>
            <b/>
            <sz val="9"/>
            <color indexed="81"/>
            <rFont val="Tahoma"/>
            <family val="2"/>
          </rPr>
          <t>Anders Sundsdal:</t>
        </r>
        <r>
          <rPr>
            <sz val="9"/>
            <color indexed="81"/>
            <rFont val="Tahoma"/>
            <family val="2"/>
          </rPr>
          <t xml:space="preserve">
Bag says plot 46, but Teabags_used in wet says 48 when comparing the teabag codes. Changed the 46 to 48.</t>
        </r>
      </text>
    </comment>
    <comment ref="C433" authorId="0" shapeId="0" xr:uid="{06CFA1A9-0E04-4BF3-A86A-13F4C74B9AD4}">
      <text>
        <r>
          <rPr>
            <b/>
            <sz val="9"/>
            <color indexed="81"/>
            <rFont val="Tahoma"/>
            <family val="2"/>
          </rPr>
          <t>Anders Sundsdal:</t>
        </r>
        <r>
          <rPr>
            <sz val="9"/>
            <color indexed="81"/>
            <rFont val="Tahoma"/>
            <family val="2"/>
          </rPr>
          <t xml:space="preserve">
Bag was written 215, but teabags corresponded to plot 213 .</t>
        </r>
      </text>
    </comment>
    <comment ref="C445" authorId="0" shapeId="0" xr:uid="{FE7A7F6B-B96C-49EC-8C5E-19A2AF7783CE}">
      <text>
        <r>
          <rPr>
            <b/>
            <sz val="9"/>
            <color indexed="81"/>
            <rFont val="Tahoma"/>
            <family val="2"/>
          </rPr>
          <t>Anders Sundsdal:</t>
        </r>
        <r>
          <rPr>
            <sz val="9"/>
            <color indexed="81"/>
            <rFont val="Tahoma"/>
            <family val="2"/>
          </rPr>
          <t xml:space="preserve">
No bag</t>
        </r>
      </text>
    </comment>
    <comment ref="A450" authorId="0" shapeId="0" xr:uid="{35C1731C-2398-4880-8A84-F75279CAF7EA}">
      <text>
        <r>
          <rPr>
            <b/>
            <sz val="9"/>
            <color indexed="81"/>
            <rFont val="Tahoma"/>
            <family val="2"/>
          </rPr>
          <t>Anders Sundsdal:</t>
        </r>
        <r>
          <rPr>
            <sz val="9"/>
            <color indexed="81"/>
            <rFont val="Tahoma"/>
            <family val="2"/>
          </rPr>
          <t xml:space="preserve">
No number on the teabag. Changed from RA to R133.</t>
        </r>
      </text>
    </comment>
    <comment ref="C463" authorId="0" shapeId="0" xr:uid="{8CDEF242-9D4E-43DC-B974-B3E3A216C583}">
      <text>
        <r>
          <rPr>
            <b/>
            <sz val="9"/>
            <color indexed="81"/>
            <rFont val="Tahoma"/>
            <family val="2"/>
          </rPr>
          <t>Anders Sundsdal:</t>
        </r>
        <r>
          <rPr>
            <sz val="9"/>
            <color indexed="81"/>
            <rFont val="Tahoma"/>
            <family val="2"/>
          </rPr>
          <t xml:space="preserve">
No bag</t>
        </r>
      </text>
    </comment>
    <comment ref="C464" authorId="0" shapeId="0" xr:uid="{510E5160-3E60-46DC-8DE5-9A506DE1702B}">
      <text>
        <r>
          <rPr>
            <b/>
            <sz val="9"/>
            <color indexed="81"/>
            <rFont val="Tahoma"/>
            <family val="2"/>
          </rPr>
          <t>Anders Sundsdal:</t>
        </r>
        <r>
          <rPr>
            <sz val="9"/>
            <color indexed="81"/>
            <rFont val="Tahoma"/>
            <family val="2"/>
          </rPr>
          <t xml:space="preserve">
No bag</t>
        </r>
      </text>
    </comment>
    <comment ref="C466" authorId="0" shapeId="0" xr:uid="{71EE2CF5-3D62-407D-9614-2D87EC49F79B}">
      <text>
        <r>
          <rPr>
            <b/>
            <sz val="9"/>
            <color indexed="81"/>
            <rFont val="Tahoma"/>
            <family val="2"/>
          </rPr>
          <t>Anders Sundsdal:</t>
        </r>
        <r>
          <rPr>
            <sz val="9"/>
            <color indexed="81"/>
            <rFont val="Tahoma"/>
            <family val="2"/>
          </rPr>
          <t xml:space="preserve">
Bag says 206, but in Teabags_used_in _wet says the teabags is in 207.</t>
        </r>
      </text>
    </comment>
    <comment ref="C501" authorId="0" shapeId="0" xr:uid="{6FEF8B36-BC55-47FB-93F2-BB654E5DF871}">
      <text>
        <r>
          <rPr>
            <b/>
            <sz val="9"/>
            <color indexed="81"/>
            <rFont val="Tahoma"/>
            <family val="2"/>
          </rPr>
          <t>Anders Sundsdal:</t>
        </r>
        <r>
          <rPr>
            <sz val="9"/>
            <color indexed="81"/>
            <rFont val="Tahoma"/>
            <family val="2"/>
          </rPr>
          <t xml:space="preserve">
No plot number on bag</t>
        </r>
      </text>
    </comment>
    <comment ref="C513" authorId="0" shapeId="0" xr:uid="{AD6801AE-147F-4D6E-B89E-3ADAA03A2452}">
      <text>
        <r>
          <rPr>
            <b/>
            <sz val="9"/>
            <color indexed="81"/>
            <rFont val="Tahoma"/>
            <family val="2"/>
          </rPr>
          <t>Anders Sundsdal:</t>
        </r>
        <r>
          <rPr>
            <sz val="9"/>
            <color indexed="81"/>
            <rFont val="Tahoma"/>
            <family val="2"/>
          </rPr>
          <t xml:space="preserve">
Bag say plot nr 207, but in Teabag_used_in_wet it says 206. Thus, need to also check the Afterwet sheet to look for discrepancies.</t>
        </r>
      </text>
    </comment>
    <comment ref="A520" authorId="0" shapeId="0" xr:uid="{975283A9-88F8-4912-B01E-8DD9285DB580}">
      <text>
        <r>
          <rPr>
            <b/>
            <sz val="9"/>
            <color indexed="81"/>
            <rFont val="Tahoma"/>
            <charset val="1"/>
          </rPr>
          <t>Anders Sundsdal:</t>
        </r>
        <r>
          <rPr>
            <sz val="9"/>
            <color indexed="81"/>
            <rFont val="Tahoma"/>
            <charset val="1"/>
          </rPr>
          <t xml:space="preserve">
This is most likely not correct bagcode. Update: Changed from R25 to R252.</t>
        </r>
      </text>
    </comment>
    <comment ref="C520" authorId="0" shapeId="0" xr:uid="{F163B298-B6B6-48FC-9EE7-6D4021509E43}">
      <text>
        <r>
          <rPr>
            <b/>
            <sz val="9"/>
            <color indexed="81"/>
            <rFont val="Tahoma"/>
            <charset val="1"/>
          </rPr>
          <t>Anders Sundsdal:</t>
        </r>
        <r>
          <rPr>
            <sz val="9"/>
            <color indexed="81"/>
            <rFont val="Tahoma"/>
            <charset val="1"/>
          </rPr>
          <t xml:space="preserve">
Changed from 195 to 66</t>
        </r>
      </text>
    </comment>
    <comment ref="C523" authorId="0" shapeId="0" xr:uid="{2DFBF3BD-8600-4986-ABA2-41DFBF89A2FF}">
      <text>
        <r>
          <rPr>
            <b/>
            <sz val="9"/>
            <color indexed="81"/>
            <rFont val="Tahoma"/>
            <family val="2"/>
          </rPr>
          <t>Anders Sundsdal:</t>
        </r>
        <r>
          <rPr>
            <sz val="9"/>
            <color indexed="81"/>
            <rFont val="Tahoma"/>
            <family val="2"/>
          </rPr>
          <t xml:space="preserve">
Bag says 206, but in Teabags_used_in _wet says the teabags is in 207.</t>
        </r>
      </text>
    </comment>
    <comment ref="A556" authorId="0" shapeId="0" xr:uid="{4F224093-2958-4474-84DA-418076DC057F}">
      <text>
        <r>
          <rPr>
            <b/>
            <sz val="9"/>
            <color indexed="81"/>
            <rFont val="Tahoma"/>
            <charset val="1"/>
          </rPr>
          <t>Anders Sundsdal:</t>
        </r>
        <r>
          <rPr>
            <sz val="9"/>
            <color indexed="81"/>
            <rFont val="Tahoma"/>
            <charset val="1"/>
          </rPr>
          <t xml:space="preserve">
Changed from R312 to R31 due to duplicate in this sheet, and also R31 corresponds to the afterwet and colection sheet with this plot number.</t>
        </r>
      </text>
    </comment>
    <comment ref="C567" authorId="0" shapeId="0" xr:uid="{D36FAEF1-1AE6-4E2B-A074-A77CECE22965}">
      <text>
        <r>
          <rPr>
            <b/>
            <sz val="9"/>
            <color indexed="81"/>
            <rFont val="Tahoma"/>
            <family val="2"/>
          </rPr>
          <t>Anders Sundsdal:</t>
        </r>
        <r>
          <rPr>
            <sz val="9"/>
            <color indexed="81"/>
            <rFont val="Tahoma"/>
            <family val="2"/>
          </rPr>
          <t xml:space="preserve">
Bag say plot nr 207, but in Teabag_used_in_wet it says 206. Thus, need to also check the Afterwet sheet to look for discrepancies.</t>
        </r>
      </text>
    </comment>
    <comment ref="C573" authorId="0" shapeId="0" xr:uid="{A05E791B-5A59-41AF-B2E7-FB1320DD7AE3}">
      <text>
        <r>
          <rPr>
            <b/>
            <sz val="9"/>
            <color indexed="81"/>
            <rFont val="Tahoma"/>
            <family val="2"/>
          </rPr>
          <t>Anders Sundsdal:</t>
        </r>
        <r>
          <rPr>
            <sz val="9"/>
            <color indexed="81"/>
            <rFont val="Tahoma"/>
            <family val="2"/>
          </rPr>
          <t xml:space="preserve">
Not written on bag put found in listofteabags used</t>
        </r>
      </text>
    </comment>
    <comment ref="C575" authorId="0" shapeId="0" xr:uid="{B1CE240D-FCC2-4ADC-A484-7A26E9D170CF}">
      <text>
        <r>
          <rPr>
            <b/>
            <sz val="9"/>
            <color indexed="81"/>
            <rFont val="Tahoma"/>
            <family val="2"/>
          </rPr>
          <t>Anders Sundsdal:</t>
        </r>
        <r>
          <rPr>
            <sz val="9"/>
            <color indexed="81"/>
            <rFont val="Tahoma"/>
            <family val="2"/>
          </rPr>
          <t xml:space="preserve">
Edited to 199 from 109. 109 was written on the paperbag.</t>
        </r>
      </text>
    </comment>
    <comment ref="A585" authorId="0" shapeId="0" xr:uid="{A2107283-5EB8-4368-B6AB-D7739D671576}">
      <text>
        <r>
          <rPr>
            <b/>
            <sz val="9"/>
            <color indexed="81"/>
            <rFont val="Tahoma"/>
            <charset val="1"/>
          </rPr>
          <t>Anders Sundsdal:</t>
        </r>
        <r>
          <rPr>
            <sz val="9"/>
            <color indexed="81"/>
            <rFont val="Tahoma"/>
            <charset val="1"/>
          </rPr>
          <t xml:space="preserve">
Changed from R535 to R353 due to duplicate in this sheet and tha it corresponds to afterwet and collection sheet with this plot number.</t>
        </r>
      </text>
    </comment>
    <comment ref="A594" authorId="0" shapeId="0" xr:uid="{D091CBC6-CA57-4AE1-BC42-C630A1C46FD5}">
      <text>
        <r>
          <rPr>
            <b/>
            <sz val="9"/>
            <color indexed="81"/>
            <rFont val="Tahoma"/>
            <family val="2"/>
          </rPr>
          <t>Anders Sundsdal:</t>
        </r>
        <r>
          <rPr>
            <sz val="9"/>
            <color indexed="81"/>
            <rFont val="Tahoma"/>
            <family val="2"/>
          </rPr>
          <t xml:space="preserve">
Changed fomr R269 to R367. R367 was written on the teabag. While R269 was written on the code list Teabag_used in wet. UPDATE: Changed from R367 to R369 since R367 is in dry season.</t>
        </r>
      </text>
    </comment>
    <comment ref="C594" authorId="0" shapeId="0" xr:uid="{F97754C5-DC6E-4BEA-9D39-A921B9068D47}">
      <text>
        <r>
          <rPr>
            <b/>
            <sz val="9"/>
            <color indexed="81"/>
            <rFont val="Tahoma"/>
            <family val="2"/>
          </rPr>
          <t>Anders Sundsdal:</t>
        </r>
        <r>
          <rPr>
            <sz val="9"/>
            <color indexed="81"/>
            <rFont val="Tahoma"/>
            <family val="2"/>
          </rPr>
          <t xml:space="preserve">
Edited to 199 from 109. 109 was written on the paperbag.</t>
        </r>
      </text>
    </comment>
    <comment ref="A730" authorId="0" shapeId="0" xr:uid="{BEDDC5E9-BDF6-445A-A61C-A3637BCEEB9C}">
      <text>
        <r>
          <rPr>
            <b/>
            <sz val="9"/>
            <color indexed="81"/>
            <rFont val="Tahoma"/>
            <family val="2"/>
          </rPr>
          <t>Anders Sundsdal:</t>
        </r>
        <r>
          <rPr>
            <sz val="9"/>
            <color indexed="81"/>
            <rFont val="Tahoma"/>
            <family val="2"/>
          </rPr>
          <t xml:space="preserve">
Not found in teabags used sheet. UPDATE: Corrected, ok now.</t>
        </r>
      </text>
    </comment>
    <comment ref="A757" authorId="0" shapeId="0" xr:uid="{676430C8-D659-4B3F-B8D3-C8635B3236A6}">
      <text>
        <r>
          <rPr>
            <b/>
            <sz val="9"/>
            <color indexed="81"/>
            <rFont val="Tahoma"/>
            <family val="2"/>
          </rPr>
          <t>Anders Sundsdal:</t>
        </r>
        <r>
          <rPr>
            <sz val="9"/>
            <color indexed="81"/>
            <rFont val="Tahoma"/>
            <family val="2"/>
          </rPr>
          <t xml:space="preserve">
Changed from R54a to R54</t>
        </r>
      </text>
    </comment>
    <comment ref="A758" authorId="0" shapeId="0" xr:uid="{7261B129-C740-41BC-A9C6-74D8400F4A15}">
      <text>
        <r>
          <rPr>
            <b/>
            <sz val="9"/>
            <color indexed="81"/>
            <rFont val="Tahoma"/>
            <family val="2"/>
          </rPr>
          <t>Anders Sundsdal:</t>
        </r>
        <r>
          <rPr>
            <sz val="9"/>
            <color indexed="81"/>
            <rFont val="Tahoma"/>
            <family val="2"/>
          </rPr>
          <t xml:space="preserve">
Changed from R54b to R53</t>
        </r>
      </text>
    </comment>
    <comment ref="A775" authorId="0" shapeId="0" xr:uid="{A58B1ACB-5968-4064-BC8E-6DCFFC36C5AF}">
      <text>
        <r>
          <rPr>
            <b/>
            <sz val="9"/>
            <color indexed="81"/>
            <rFont val="Tahoma"/>
            <charset val="1"/>
          </rPr>
          <t>Anders Sundsdal:</t>
        </r>
        <r>
          <rPr>
            <sz val="9"/>
            <color indexed="81"/>
            <rFont val="Tahoma"/>
            <charset val="1"/>
          </rPr>
          <t xml:space="preserve">
Changed from G565 to R565 due to dupicate in this sheet and that it corresponds to afterwet and collection sheet with this plot number.</t>
        </r>
      </text>
    </comment>
    <comment ref="A782" authorId="0" shapeId="0" xr:uid="{306A7D77-60BC-409C-9241-DE5C673162BF}">
      <text>
        <r>
          <rPr>
            <b/>
            <sz val="9"/>
            <color indexed="81"/>
            <rFont val="Tahoma"/>
            <family val="2"/>
          </rPr>
          <t>Anders Sundsdal:</t>
        </r>
        <r>
          <rPr>
            <sz val="9"/>
            <color indexed="81"/>
            <rFont val="Tahoma"/>
            <family val="2"/>
          </rPr>
          <t xml:space="preserve">
Rozi has written R574 on a bag covering this bag. Check the AfterWet sheet to correct from R574 to R571.</t>
        </r>
      </text>
    </comment>
    <comment ref="A828" authorId="0" shapeId="0" xr:uid="{F13ABE56-231B-45F5-A441-F3FE90668407}">
      <text>
        <r>
          <rPr>
            <b/>
            <sz val="9"/>
            <color indexed="81"/>
            <rFont val="Tahoma"/>
            <family val="2"/>
          </rPr>
          <t xml:space="preserve">Anders Sundsdal:
</t>
        </r>
        <r>
          <rPr>
            <sz val="9"/>
            <color indexed="81"/>
            <rFont val="Tahoma"/>
            <family val="2"/>
          </rPr>
          <t>Corrected in collectionsheet. IN tha sheet it was R79. Corrected this in both teabags afterwet aswell. OK now.</t>
        </r>
      </text>
    </comment>
    <comment ref="C834" authorId="0" shapeId="0" xr:uid="{F42BDC11-1BDF-43E5-91A9-BA0B8A34581A}">
      <text>
        <r>
          <rPr>
            <b/>
            <sz val="9"/>
            <color indexed="81"/>
            <rFont val="Tahoma"/>
            <family val="2"/>
          </rPr>
          <t>Anders Sundsdal:</t>
        </r>
        <r>
          <rPr>
            <sz val="9"/>
            <color indexed="81"/>
            <rFont val="Tahoma"/>
            <family val="2"/>
          </rPr>
          <t xml:space="preserve">
No bag</t>
        </r>
      </text>
    </comment>
    <comment ref="C835" authorId="0" shapeId="0" xr:uid="{4B351A00-AEF8-4203-AA27-50AC0A7B8C0D}">
      <text>
        <r>
          <rPr>
            <b/>
            <sz val="9"/>
            <color indexed="81"/>
            <rFont val="Tahoma"/>
            <family val="2"/>
          </rPr>
          <t>Anders Sundsdal:</t>
        </r>
        <r>
          <rPr>
            <sz val="9"/>
            <color indexed="81"/>
            <rFont val="Tahoma"/>
            <family val="2"/>
          </rPr>
          <t xml:space="preserve">
Bag was written 215, but teabags corresponded to plot 213 .</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Anders Sundsdal</author>
  </authors>
  <commentList>
    <comment ref="A12" authorId="0" shapeId="0" xr:uid="{0F2A7334-368F-48DC-B9DD-C8508D29BC9D}">
      <text>
        <r>
          <rPr>
            <b/>
            <sz val="9"/>
            <color indexed="81"/>
            <rFont val="Tahoma"/>
            <family val="2"/>
          </rPr>
          <t>Anders Sundsdal:</t>
        </r>
        <r>
          <rPr>
            <sz val="9"/>
            <color indexed="81"/>
            <rFont val="Tahoma"/>
            <family val="2"/>
          </rPr>
          <t xml:space="preserve">
Corrected from G264 to G269. Then it corresponds to collectionsheet  AND the physical bag</t>
        </r>
      </text>
    </comment>
    <comment ref="B14" authorId="0" shapeId="0" xr:uid="{1EA3BA1B-3D70-4EFA-A0AB-074B6236942D}">
      <text>
        <r>
          <rPr>
            <b/>
            <sz val="9"/>
            <color indexed="81"/>
            <rFont val="Tahoma"/>
            <charset val="1"/>
          </rPr>
          <t>Anders Sundsdal:</t>
        </r>
        <r>
          <rPr>
            <sz val="9"/>
            <color indexed="81"/>
            <rFont val="Tahoma"/>
            <charset val="1"/>
          </rPr>
          <t xml:space="preserve">
Changed from na to 66</t>
        </r>
      </text>
    </comment>
    <comment ref="A20" authorId="0" shapeId="0" xr:uid="{F8518429-D3D3-49D2-BCB7-AA6F9EA59141}">
      <text>
        <r>
          <rPr>
            <b/>
            <sz val="9"/>
            <color indexed="81"/>
            <rFont val="Tahoma"/>
            <family val="2"/>
          </rPr>
          <t>Anders Sundsdal:</t>
        </r>
        <r>
          <rPr>
            <sz val="9"/>
            <color indexed="81"/>
            <rFont val="Tahoma"/>
            <family val="2"/>
          </rPr>
          <t xml:space="preserve">
Corr. From G798 to G298</t>
        </r>
      </text>
    </comment>
    <comment ref="A22" authorId="0" shapeId="0" xr:uid="{34A3D9A3-892D-4602-99D5-880E128373E2}">
      <text>
        <r>
          <rPr>
            <b/>
            <sz val="9"/>
            <color indexed="81"/>
            <rFont val="Tahoma"/>
            <family val="2"/>
          </rPr>
          <t>Anders Sundsdal:</t>
        </r>
        <r>
          <rPr>
            <sz val="9"/>
            <color indexed="81"/>
            <rFont val="Tahoma"/>
            <family val="2"/>
          </rPr>
          <t xml:space="preserve">
Changed from G302 to G308</t>
        </r>
      </text>
    </comment>
    <comment ref="B32" authorId="0" shapeId="0" xr:uid="{5FA4EE17-780B-4E56-B24D-358FECD93DC8}">
      <text>
        <r>
          <rPr>
            <b/>
            <sz val="9"/>
            <color indexed="81"/>
            <rFont val="Tahoma"/>
            <charset val="1"/>
          </rPr>
          <t>Anders Sundsdal:</t>
        </r>
        <r>
          <rPr>
            <sz val="9"/>
            <color indexed="81"/>
            <rFont val="Tahoma"/>
            <charset val="1"/>
          </rPr>
          <t xml:space="preserve">
Added later</t>
        </r>
      </text>
    </comment>
    <comment ref="A33" authorId="0" shapeId="0" xr:uid="{127FD4B4-B032-418A-A251-CC5E66AA5CEF}">
      <text>
        <r>
          <rPr>
            <b/>
            <sz val="9"/>
            <color indexed="81"/>
            <rFont val="Tahoma"/>
            <family val="2"/>
          </rPr>
          <t>Anders Sundsdal:</t>
        </r>
        <r>
          <rPr>
            <sz val="9"/>
            <color indexed="81"/>
            <rFont val="Tahoma"/>
            <family val="2"/>
          </rPr>
          <t xml:space="preserve">
Changed from G562 to G362</t>
        </r>
      </text>
    </comment>
    <comment ref="B40" authorId="0" shapeId="0" xr:uid="{9ADA7B91-6CCD-4269-9C93-49B3C7EB234B}">
      <text>
        <r>
          <rPr>
            <b/>
            <sz val="9"/>
            <color indexed="81"/>
            <rFont val="Tahoma"/>
            <charset val="1"/>
          </rPr>
          <t>Anders Sundsdal:</t>
        </r>
        <r>
          <rPr>
            <sz val="9"/>
            <color indexed="81"/>
            <rFont val="Tahoma"/>
            <charset val="1"/>
          </rPr>
          <t xml:space="preserve">
Changed from na to 72</t>
        </r>
      </text>
    </comment>
    <comment ref="B52" authorId="0" shapeId="0" xr:uid="{BA00E358-834D-4D02-85C8-DBA7F5445662}">
      <text>
        <r>
          <rPr>
            <b/>
            <sz val="9"/>
            <color indexed="81"/>
            <rFont val="Tahoma"/>
            <charset val="1"/>
          </rPr>
          <t>Anders Sundsdal:</t>
        </r>
        <r>
          <rPr>
            <sz val="9"/>
            <color indexed="81"/>
            <rFont val="Tahoma"/>
            <charset val="1"/>
          </rPr>
          <t xml:space="preserve">
Changed from na to 25</t>
        </r>
      </text>
    </comment>
    <comment ref="B55" authorId="0" shapeId="0" xr:uid="{8F567D7B-D660-4596-AAF8-AEA4671C4822}">
      <text>
        <r>
          <rPr>
            <b/>
            <sz val="9"/>
            <color indexed="81"/>
            <rFont val="Tahoma"/>
            <family val="2"/>
          </rPr>
          <t>Anders Sundsdal:</t>
        </r>
        <r>
          <rPr>
            <sz val="9"/>
            <color indexed="81"/>
            <rFont val="Tahoma"/>
            <family val="2"/>
          </rPr>
          <t xml:space="preserve">
plot 76? It says plot 75 on the bag</t>
        </r>
      </text>
    </comment>
    <comment ref="B59" authorId="0" shapeId="0" xr:uid="{30D32D46-4ADF-43FA-A828-B2C7D50298EF}">
      <text>
        <r>
          <rPr>
            <b/>
            <sz val="9"/>
            <color indexed="81"/>
            <rFont val="Tahoma"/>
            <charset val="1"/>
          </rPr>
          <t>Anders Sundsdal:</t>
        </r>
        <r>
          <rPr>
            <sz val="9"/>
            <color indexed="81"/>
            <rFont val="Tahoma"/>
            <charset val="1"/>
          </rPr>
          <t xml:space="preserve">
Added later</t>
        </r>
      </text>
    </comment>
    <comment ref="B63" authorId="0" shapeId="0" xr:uid="{401931BD-41BD-4AAA-B1D2-85C72A652FE9}">
      <text>
        <r>
          <rPr>
            <b/>
            <sz val="9"/>
            <color indexed="81"/>
            <rFont val="Tahoma"/>
            <family val="2"/>
          </rPr>
          <t>Anders Sundsdal:</t>
        </r>
        <r>
          <rPr>
            <sz val="9"/>
            <color indexed="81"/>
            <rFont val="Tahoma"/>
            <family val="2"/>
          </rPr>
          <t xml:space="preserve">
Added later</t>
        </r>
      </text>
    </comment>
    <comment ref="A64" authorId="0" shapeId="0" xr:uid="{F9FD875B-06CF-4EED-8312-5197BBFE0892}">
      <text>
        <r>
          <rPr>
            <b/>
            <sz val="9"/>
            <color indexed="81"/>
            <rFont val="Tahoma"/>
            <family val="2"/>
          </rPr>
          <t>Anders Sundsdal:</t>
        </r>
        <r>
          <rPr>
            <sz val="9"/>
            <color indexed="81"/>
            <rFont val="Tahoma"/>
            <family val="2"/>
          </rPr>
          <t xml:space="preserve">
G455 should not be in wet season campign. Should check the paperbag 170. Could change to G433, then it corresponds to the collection sheet. Update: Yes bag is G433.</t>
        </r>
      </text>
    </comment>
    <comment ref="B65" authorId="0" shapeId="0" xr:uid="{40A7EE49-243D-46B9-B876-EC38D469A44F}">
      <text>
        <r>
          <rPr>
            <b/>
            <sz val="9"/>
            <color indexed="81"/>
            <rFont val="Tahoma"/>
            <charset val="1"/>
          </rPr>
          <t>Anders Sundsdal:</t>
        </r>
        <r>
          <rPr>
            <sz val="9"/>
            <color indexed="81"/>
            <rFont val="Tahoma"/>
            <charset val="1"/>
          </rPr>
          <t xml:space="preserve">
Changed from na to 1</t>
        </r>
      </text>
    </comment>
    <comment ref="B75" authorId="0" shapeId="0" xr:uid="{5C4389D9-7C76-4E7F-956A-A07BDCA9BE6B}">
      <text>
        <r>
          <rPr>
            <b/>
            <sz val="9"/>
            <color indexed="81"/>
            <rFont val="Tahoma"/>
            <family val="2"/>
          </rPr>
          <t>Anders Sundsdal:</t>
        </r>
        <r>
          <rPr>
            <sz val="9"/>
            <color indexed="81"/>
            <rFont val="Tahoma"/>
            <family val="2"/>
          </rPr>
          <t xml:space="preserve">
Added later</t>
        </r>
      </text>
    </comment>
    <comment ref="A88" authorId="0" shapeId="0" xr:uid="{C1044762-7CF6-4375-A261-F2EAAB67E667}">
      <text>
        <r>
          <rPr>
            <b/>
            <sz val="9"/>
            <color indexed="81"/>
            <rFont val="Tahoma"/>
            <family val="2"/>
          </rPr>
          <t>Anders Sundsdal:</t>
        </r>
        <r>
          <rPr>
            <sz val="9"/>
            <color indexed="81"/>
            <rFont val="Tahoma"/>
            <family val="2"/>
          </rPr>
          <t xml:space="preserve">
Changed from R469 to G469 then it corresponds to collection sheet.</t>
        </r>
      </text>
    </comment>
    <comment ref="A94" authorId="0" shapeId="0" xr:uid="{98793228-66DC-4ADA-9755-BC6F3F036366}">
      <text>
        <r>
          <rPr>
            <b/>
            <sz val="9"/>
            <color indexed="81"/>
            <rFont val="Tahoma"/>
            <family val="2"/>
          </rPr>
          <t>Anders Sundsdal:</t>
        </r>
        <r>
          <rPr>
            <sz val="9"/>
            <color indexed="81"/>
            <rFont val="Tahoma"/>
            <family val="2"/>
          </rPr>
          <t xml:space="preserve">
Corrected from G427 to G477. Then it corresponds to collection sheet  AND the physical bag</t>
        </r>
      </text>
    </comment>
    <comment ref="A97" authorId="0" shapeId="0" xr:uid="{B1C7BE18-F3E7-4732-9F83-E882CBF9AB92}">
      <text>
        <r>
          <rPr>
            <b/>
            <sz val="9"/>
            <color indexed="81"/>
            <rFont val="Tahoma"/>
            <family val="2"/>
          </rPr>
          <t>Anders Sundsdal:</t>
        </r>
        <r>
          <rPr>
            <sz val="9"/>
            <color indexed="81"/>
            <rFont val="Tahoma"/>
            <family val="2"/>
          </rPr>
          <t xml:space="preserve">
Changed from G485 to G486</t>
        </r>
      </text>
    </comment>
    <comment ref="A100" authorId="0" shapeId="0" xr:uid="{DDDFF17F-6DA4-40FA-AA4C-C753F6452C1D}">
      <text>
        <r>
          <rPr>
            <b/>
            <sz val="9"/>
            <color indexed="81"/>
            <rFont val="Tahoma"/>
            <family val="2"/>
          </rPr>
          <t>Anders Sundsdal:</t>
        </r>
        <r>
          <rPr>
            <sz val="9"/>
            <color indexed="81"/>
            <rFont val="Tahoma"/>
            <family val="2"/>
          </rPr>
          <t xml:space="preserve">
Changed from G491 to G492</t>
        </r>
      </text>
    </comment>
    <comment ref="A105" authorId="0" shapeId="0" xr:uid="{F964D60D-D47E-4489-851A-BD2FB8DE7D97}">
      <text>
        <r>
          <rPr>
            <b/>
            <sz val="9"/>
            <color indexed="81"/>
            <rFont val="Tahoma"/>
            <family val="2"/>
          </rPr>
          <t>Anders Sundsdal:</t>
        </r>
        <r>
          <rPr>
            <sz val="9"/>
            <color indexed="81"/>
            <rFont val="Tahoma"/>
            <family val="2"/>
          </rPr>
          <t xml:space="preserve">
Changed from G349 to G499 since G349 is in the dry season and G499 is missing here. So most likely this code is now correct.</t>
        </r>
      </text>
    </comment>
    <comment ref="B105" authorId="0" shapeId="0" xr:uid="{4D36F463-8E1F-4CCF-BDC1-A9E97F33F2AF}">
      <text>
        <r>
          <rPr>
            <b/>
            <sz val="9"/>
            <color indexed="81"/>
            <rFont val="Tahoma"/>
            <family val="2"/>
          </rPr>
          <t>Anders Sundsdal:</t>
        </r>
        <r>
          <rPr>
            <sz val="9"/>
            <color indexed="81"/>
            <rFont val="Tahoma"/>
            <family val="2"/>
          </rPr>
          <t xml:space="preserve">
Added later to corresond to new code.</t>
        </r>
      </text>
    </comment>
    <comment ref="A114" authorId="0" shapeId="0" xr:uid="{B17B172E-CFEF-4FF4-AF33-2D65933789B3}">
      <text>
        <r>
          <rPr>
            <b/>
            <sz val="9"/>
            <color indexed="81"/>
            <rFont val="Tahoma"/>
            <charset val="1"/>
          </rPr>
          <t>Anders Sundsdal:</t>
        </r>
        <r>
          <rPr>
            <sz val="9"/>
            <color indexed="81"/>
            <rFont val="Tahoma"/>
            <charset val="1"/>
          </rPr>
          <t xml:space="preserve">
Changed from G569 to G509.</t>
        </r>
      </text>
    </comment>
    <comment ref="A118" authorId="0" shapeId="0" xr:uid="{952FA6E4-CD1E-414F-8D9E-94B34C4B81C7}">
      <text>
        <r>
          <rPr>
            <b/>
            <sz val="9"/>
            <color indexed="81"/>
            <rFont val="Tahoma"/>
            <charset val="1"/>
          </rPr>
          <t>Anders Sundsdal:</t>
        </r>
        <r>
          <rPr>
            <sz val="9"/>
            <color indexed="81"/>
            <rFont val="Tahoma"/>
            <charset val="1"/>
          </rPr>
          <t xml:space="preserve">
Changed fro G154 to G514 as it now corresponds to the collection sheet. G154 is not in collection sheet.</t>
        </r>
      </text>
    </comment>
    <comment ref="B132" authorId="0" shapeId="0" xr:uid="{370B2259-CB90-4F58-B472-1BBF1BC2EAB5}">
      <text>
        <r>
          <rPr>
            <b/>
            <sz val="9"/>
            <color indexed="81"/>
            <rFont val="Tahoma"/>
            <charset val="1"/>
          </rPr>
          <t>Anders Sundsdal:</t>
        </r>
        <r>
          <rPr>
            <sz val="9"/>
            <color indexed="81"/>
            <rFont val="Tahoma"/>
            <charset val="1"/>
          </rPr>
          <t xml:space="preserve">
Changed from na to 4</t>
        </r>
      </text>
    </comment>
    <comment ref="A133" authorId="0" shapeId="0" xr:uid="{A098F973-7A72-4788-AF64-2B2FF6BA0109}">
      <text>
        <r>
          <rPr>
            <b/>
            <sz val="9"/>
            <color indexed="81"/>
            <rFont val="Tahoma"/>
            <family val="2"/>
          </rPr>
          <t>Anders Sundsdal:</t>
        </r>
        <r>
          <rPr>
            <sz val="9"/>
            <color indexed="81"/>
            <rFont val="Tahoma"/>
            <family val="2"/>
          </rPr>
          <t xml:space="preserve">
Corrected to G535 (from G595) as it then corresponds to collectionsheet </t>
        </r>
      </text>
    </comment>
    <comment ref="B138" authorId="0" shapeId="0" xr:uid="{4DE540ED-358D-444F-AABA-FA24948BC6F6}">
      <text>
        <r>
          <rPr>
            <b/>
            <sz val="9"/>
            <color indexed="81"/>
            <rFont val="Tahoma"/>
            <family val="2"/>
          </rPr>
          <t>Anders Sundsdal:</t>
        </r>
        <r>
          <rPr>
            <sz val="9"/>
            <color indexed="81"/>
            <rFont val="Tahoma"/>
            <family val="2"/>
          </rPr>
          <t xml:space="preserve">
Write as 208 to corresond to collection sheet. UPDATE: It says 206 on bag...</t>
        </r>
      </text>
    </comment>
    <comment ref="D139" authorId="0" shapeId="0" xr:uid="{ADAFCE08-864A-49D6-9A2E-ECC8A9123A88}">
      <text>
        <r>
          <rPr>
            <b/>
            <sz val="9"/>
            <color indexed="81"/>
            <rFont val="Tahoma"/>
            <family val="2"/>
          </rPr>
          <t>Anders Sundsdal:</t>
        </r>
        <r>
          <rPr>
            <sz val="9"/>
            <color indexed="81"/>
            <rFont val="Tahoma"/>
            <family val="2"/>
          </rPr>
          <t xml:space="preserve">
Plot 61 and not 19? Then it corresponds with collectionsheet.</t>
        </r>
      </text>
    </comment>
    <comment ref="B142" authorId="0" shapeId="0" xr:uid="{3616EF11-9B84-4038-8F68-B5AD2F992AD9}">
      <text>
        <r>
          <rPr>
            <b/>
            <sz val="9"/>
            <color indexed="81"/>
            <rFont val="Tahoma"/>
            <family val="2"/>
          </rPr>
          <t>Anders Sundsdal:</t>
        </r>
        <r>
          <rPr>
            <sz val="9"/>
            <color indexed="81"/>
            <rFont val="Tahoma"/>
            <family val="2"/>
          </rPr>
          <t xml:space="preserve">
Change from 18 to 186? Then it corresponds with the collection sheet. UPDATE: Have checked bag 18: No corresponding teabags inside.</t>
        </r>
      </text>
    </comment>
    <comment ref="A151" authorId="0" shapeId="0" xr:uid="{CF6AC9D3-AA49-4E49-8FF6-8FE470A826E5}">
      <text>
        <r>
          <rPr>
            <b/>
            <sz val="9"/>
            <color indexed="81"/>
            <rFont val="Tahoma"/>
            <family val="2"/>
          </rPr>
          <t>Anders Sundsdal:</t>
        </r>
        <r>
          <rPr>
            <sz val="9"/>
            <color indexed="81"/>
            <rFont val="Tahoma"/>
            <family val="2"/>
          </rPr>
          <t xml:space="preserve">
Checked the bag, G554 is correct</t>
        </r>
      </text>
    </comment>
    <comment ref="D151" authorId="0" shapeId="0" xr:uid="{1EEA8398-4CEA-40E8-8AD8-52CFE0EB5912}">
      <text>
        <r>
          <rPr>
            <b/>
            <sz val="9"/>
            <color indexed="81"/>
            <rFont val="Tahoma"/>
            <family val="2"/>
          </rPr>
          <t>Anders Sundsdal:</t>
        </r>
        <r>
          <rPr>
            <sz val="9"/>
            <color indexed="81"/>
            <rFont val="Tahoma"/>
            <family val="2"/>
          </rPr>
          <t xml:space="preserve">
I have checked this. It is G554.</t>
        </r>
      </text>
    </comment>
    <comment ref="A152" authorId="0" shapeId="0" xr:uid="{52966409-D6D5-4B4D-AC8D-193917F660D4}">
      <text>
        <r>
          <rPr>
            <b/>
            <sz val="9"/>
            <color indexed="81"/>
            <rFont val="Tahoma"/>
            <charset val="1"/>
          </rPr>
          <t>Anders Sundsdal:</t>
        </r>
        <r>
          <rPr>
            <sz val="9"/>
            <color indexed="81"/>
            <rFont val="Tahoma"/>
            <charset val="1"/>
          </rPr>
          <t xml:space="preserve">
Changed from G356 to G556.</t>
        </r>
      </text>
    </comment>
    <comment ref="A159" authorId="0" shapeId="0" xr:uid="{01B84762-EF6D-4531-B52C-3BD3B02C6A64}">
      <text>
        <r>
          <rPr>
            <b/>
            <sz val="9"/>
            <color indexed="81"/>
            <rFont val="Tahoma"/>
            <family val="2"/>
          </rPr>
          <t>Anders Sundsdal:</t>
        </r>
        <r>
          <rPr>
            <sz val="9"/>
            <color indexed="81"/>
            <rFont val="Tahoma"/>
            <family val="2"/>
          </rPr>
          <t xml:space="preserve">
Changed from G560 to G566, then it corresponds to collection sheet.</t>
        </r>
      </text>
    </comment>
    <comment ref="B164" authorId="0" shapeId="0" xr:uid="{6155E9E2-2385-4BDF-B103-6AA9DC96C30B}">
      <text>
        <r>
          <rPr>
            <b/>
            <sz val="9"/>
            <color indexed="81"/>
            <rFont val="Tahoma"/>
            <family val="2"/>
          </rPr>
          <t>Anders Sundsdal:</t>
        </r>
        <r>
          <rPr>
            <sz val="9"/>
            <color indexed="81"/>
            <rFont val="Tahoma"/>
            <family val="2"/>
          </rPr>
          <t xml:space="preserve">
Changed from 25 to 213. Then th set of bags corresponds to collection sheet</t>
        </r>
      </text>
    </comment>
    <comment ref="B166" authorId="0" shapeId="0" xr:uid="{43C9C6BD-FC03-4690-B793-CB2B163626D0}">
      <text>
        <r>
          <rPr>
            <b/>
            <sz val="9"/>
            <color indexed="81"/>
            <rFont val="Tahoma"/>
            <family val="2"/>
          </rPr>
          <t>Anders Sundsdal:</t>
        </r>
        <r>
          <rPr>
            <sz val="9"/>
            <color indexed="81"/>
            <rFont val="Tahoma"/>
            <family val="2"/>
          </rPr>
          <t xml:space="preserve">
Write as 208 to corresond to collection sheet. UPDATE: It says 206 on bag...</t>
        </r>
      </text>
    </comment>
    <comment ref="A168" authorId="0" shapeId="0" xr:uid="{A65463FD-10C7-41D0-B58B-B5C1E9682EB7}">
      <text>
        <r>
          <rPr>
            <b/>
            <sz val="9"/>
            <color indexed="81"/>
            <rFont val="Tahoma"/>
            <family val="2"/>
          </rPr>
          <t>Anders Sundsdal:</t>
        </r>
        <r>
          <rPr>
            <sz val="9"/>
            <color indexed="81"/>
            <rFont val="Tahoma"/>
            <family val="2"/>
          </rPr>
          <t xml:space="preserve">
Corrected from G93 to G576</t>
        </r>
      </text>
    </comment>
    <comment ref="B185" authorId="0" shapeId="0" xr:uid="{FD17DEF5-F8D7-4876-9DBB-A3F65BF634FC}">
      <text>
        <r>
          <rPr>
            <b/>
            <sz val="9"/>
            <color indexed="81"/>
            <rFont val="Tahoma"/>
            <family val="2"/>
          </rPr>
          <t>Anders Sundsdal:</t>
        </r>
        <r>
          <rPr>
            <sz val="9"/>
            <color indexed="81"/>
            <rFont val="Tahoma"/>
            <family val="2"/>
          </rPr>
          <t xml:space="preserve">
plot 76? It says plot 75 on the bag</t>
        </r>
      </text>
    </comment>
    <comment ref="G185" authorId="0" shapeId="0" xr:uid="{491ED25A-9477-40E0-A78D-D99F28AB8F5D}">
      <text>
        <r>
          <rPr>
            <b/>
            <sz val="9"/>
            <color indexed="81"/>
            <rFont val="Tahoma"/>
            <family val="2"/>
          </rPr>
          <t>Anders Sundsdal:</t>
        </r>
        <r>
          <rPr>
            <sz val="9"/>
            <color indexed="81"/>
            <rFont val="Tahoma"/>
            <family val="2"/>
          </rPr>
          <t xml:space="preserve">
Correct, missing one green teabag</t>
        </r>
      </text>
    </comment>
    <comment ref="A190" authorId="0" shapeId="0" xr:uid="{ED74DB26-EE19-44D6-8F72-B7100D6D3189}">
      <text>
        <r>
          <rPr>
            <b/>
            <sz val="9"/>
            <color indexed="81"/>
            <rFont val="Tahoma"/>
            <charset val="1"/>
          </rPr>
          <t>Anders Sundsdal:</t>
        </r>
        <r>
          <rPr>
            <sz val="9"/>
            <color indexed="81"/>
            <rFont val="Tahoma"/>
            <charset val="1"/>
          </rPr>
          <t xml:space="preserve">
Changed from R608 to G608 since the code is in dry season and that this plot missing a green bag. Corresponds to ashed and collection wet sheet.</t>
        </r>
      </text>
    </comment>
    <comment ref="B190" authorId="0" shapeId="0" xr:uid="{CC02D4DE-45DA-4AF3-AEB3-CA68555D3060}">
      <text>
        <r>
          <rPr>
            <b/>
            <sz val="9"/>
            <color indexed="81"/>
            <rFont val="Tahoma"/>
            <family val="2"/>
          </rPr>
          <t>Anders Sundsdal:</t>
        </r>
        <r>
          <rPr>
            <sz val="9"/>
            <color indexed="81"/>
            <rFont val="Tahoma"/>
            <family val="2"/>
          </rPr>
          <t xml:space="preserve">
186? Then it corresponds with the collection sheet. UPDATE: Have checked bag 18: No corresponding teabags inside.</t>
        </r>
      </text>
    </comment>
    <comment ref="A196" authorId="0" shapeId="0" xr:uid="{15256623-7CE5-4AF5-9E56-3EDF189B18B8}">
      <text>
        <r>
          <rPr>
            <b/>
            <sz val="9"/>
            <color indexed="81"/>
            <rFont val="Tahoma"/>
            <charset val="1"/>
          </rPr>
          <t>Anders Sundsdal:</t>
        </r>
        <r>
          <rPr>
            <sz val="9"/>
            <color indexed="81"/>
            <rFont val="Tahoma"/>
            <charset val="1"/>
          </rPr>
          <t xml:space="preserve">
Changed from R615 to G615 since this plot had only one red bag and that it now coresponds to the collection sheet. It can't be R615 since its in the dry season.</t>
        </r>
      </text>
    </comment>
    <comment ref="B196" authorId="0" shapeId="0" xr:uid="{DA617FB9-1941-4DF3-A0B7-7406162E40E9}">
      <text>
        <r>
          <rPr>
            <b/>
            <sz val="9"/>
            <color indexed="81"/>
            <rFont val="Tahoma"/>
            <charset val="1"/>
          </rPr>
          <t>Anders Sundsdal:</t>
        </r>
        <r>
          <rPr>
            <sz val="9"/>
            <color indexed="81"/>
            <rFont val="Tahoma"/>
            <charset val="1"/>
          </rPr>
          <t xml:space="preserve">
Changed from 104 to 194 since there was bags for 104 in this sheet and the code coresponds to plot 194 in collection sheet</t>
        </r>
      </text>
    </comment>
    <comment ref="A197" authorId="0" shapeId="0" xr:uid="{226FCAC7-D2F5-4963-B21E-D851B43A1B2B}">
      <text>
        <r>
          <rPr>
            <b/>
            <sz val="9"/>
            <color indexed="81"/>
            <rFont val="Tahoma"/>
            <family val="2"/>
          </rPr>
          <t>Anders Sundsdal:</t>
        </r>
        <r>
          <rPr>
            <sz val="9"/>
            <color indexed="81"/>
            <rFont val="Tahoma"/>
            <family val="2"/>
          </rPr>
          <t xml:space="preserve">
Corrected from 116 to 616 as it was written on the bag.</t>
        </r>
      </text>
    </comment>
    <comment ref="A203" authorId="0" shapeId="0" xr:uid="{AD0ED631-7973-46E7-98A5-FEF139AF70C8}">
      <text>
        <r>
          <rPr>
            <b/>
            <sz val="9"/>
            <color indexed="81"/>
            <rFont val="Tahoma"/>
            <charset val="1"/>
          </rPr>
          <t>Anders Sundsdal:</t>
        </r>
        <r>
          <rPr>
            <sz val="9"/>
            <color indexed="81"/>
            <rFont val="Tahoma"/>
            <charset val="1"/>
          </rPr>
          <t xml:space="preserve">
Changed from R626 (it was in the dry season) to G626. It now corresponds to collection sheet and there was too many R bags in this sheet for this plot.</t>
        </r>
      </text>
    </comment>
    <comment ref="B204" authorId="0" shapeId="0" xr:uid="{28FA5690-BA91-4E8A-897E-F7FAE3C8190B}">
      <text>
        <r>
          <rPr>
            <b/>
            <sz val="9"/>
            <color indexed="81"/>
            <rFont val="Tahoma"/>
            <charset val="1"/>
          </rPr>
          <t>Anders Sundsdal:</t>
        </r>
        <r>
          <rPr>
            <sz val="9"/>
            <color indexed="81"/>
            <rFont val="Tahoma"/>
            <charset val="1"/>
          </rPr>
          <t xml:space="preserve">
Changed from na to 72</t>
        </r>
      </text>
    </comment>
    <comment ref="A210" authorId="0" shapeId="0" xr:uid="{1D4E0875-A442-4D6F-AC78-0E037BAAA260}">
      <text>
        <r>
          <rPr>
            <b/>
            <sz val="9"/>
            <color indexed="81"/>
            <rFont val="Tahoma"/>
            <family val="2"/>
          </rPr>
          <t>Anders Sundsdal:</t>
        </r>
        <r>
          <rPr>
            <sz val="9"/>
            <color indexed="81"/>
            <rFont val="Tahoma"/>
            <family val="2"/>
          </rPr>
          <t xml:space="preserve">
Corr. From G537 to G637</t>
        </r>
      </text>
    </comment>
    <comment ref="A224" authorId="0" shapeId="0" xr:uid="{83E3435E-51A8-4362-BE67-689991389ED1}">
      <text>
        <r>
          <rPr>
            <b/>
            <sz val="9"/>
            <color indexed="81"/>
            <rFont val="Tahoma"/>
            <family val="2"/>
          </rPr>
          <t>Anders Sundsdal:</t>
        </r>
        <r>
          <rPr>
            <sz val="9"/>
            <color indexed="81"/>
            <rFont val="Tahoma"/>
            <family val="2"/>
          </rPr>
          <t xml:space="preserve">
Changed from G665 to G655 then it corresponds to the collection sheet</t>
        </r>
      </text>
    </comment>
    <comment ref="A236" authorId="0" shapeId="0" xr:uid="{FE3DCF07-3942-4690-B195-32FE1FB245CA}">
      <text>
        <r>
          <rPr>
            <b/>
            <sz val="9"/>
            <color indexed="81"/>
            <rFont val="Tahoma"/>
            <family val="2"/>
          </rPr>
          <t>Anders Sundsdal:</t>
        </r>
        <r>
          <rPr>
            <sz val="9"/>
            <color indexed="81"/>
            <rFont val="Tahoma"/>
            <family val="2"/>
          </rPr>
          <t xml:space="preserve">
G674 is correct corresponding to collection sheet.</t>
        </r>
      </text>
    </comment>
    <comment ref="B264" authorId="0" shapeId="0" xr:uid="{38E27E66-EB51-4C8F-8B0C-D3CC68891B1C}">
      <text>
        <r>
          <rPr>
            <b/>
            <sz val="9"/>
            <color indexed="81"/>
            <rFont val="Tahoma"/>
            <family val="2"/>
          </rPr>
          <t>Anders Sundsdal:</t>
        </r>
        <r>
          <rPr>
            <sz val="9"/>
            <color indexed="81"/>
            <rFont val="Tahoma"/>
            <family val="2"/>
          </rPr>
          <t xml:space="preserve">
Changed from 37 to 38</t>
        </r>
      </text>
    </comment>
    <comment ref="B267" authorId="0" shapeId="0" xr:uid="{23DF0AFF-E81B-4314-86DE-F1613A20B66F}">
      <text>
        <r>
          <rPr>
            <b/>
            <sz val="9"/>
            <color indexed="81"/>
            <rFont val="Tahoma"/>
            <charset val="1"/>
          </rPr>
          <t>Anders Sundsdal:</t>
        </r>
        <r>
          <rPr>
            <sz val="9"/>
            <color indexed="81"/>
            <rFont val="Tahoma"/>
            <charset val="1"/>
          </rPr>
          <t xml:space="preserve">
Added later</t>
        </r>
      </text>
    </comment>
    <comment ref="B272" authorId="0" shapeId="0" xr:uid="{A2B74F45-5AD5-46DF-ABC6-5F1F56C1DF0D}">
      <text>
        <r>
          <rPr>
            <b/>
            <sz val="9"/>
            <color indexed="81"/>
            <rFont val="Tahoma"/>
            <charset val="1"/>
          </rPr>
          <t>Anders Sundsdal:</t>
        </r>
        <r>
          <rPr>
            <sz val="9"/>
            <color indexed="81"/>
            <rFont val="Tahoma"/>
            <charset val="1"/>
          </rPr>
          <t xml:space="preserve">
Changed from 104 to 194 since there was bags for 104 in this sheet and the code coresponds to plot 194 in collection sheet</t>
        </r>
      </text>
    </comment>
    <comment ref="B274" authorId="0" shapeId="0" xr:uid="{F4C18F11-D571-4A6B-A599-C8ADC40A330A}">
      <text>
        <r>
          <rPr>
            <b/>
            <sz val="9"/>
            <color indexed="81"/>
            <rFont val="Tahoma"/>
            <family val="2"/>
          </rPr>
          <t>Anders Sundsdal:</t>
        </r>
        <r>
          <rPr>
            <sz val="9"/>
            <color indexed="81"/>
            <rFont val="Tahoma"/>
            <family val="2"/>
          </rPr>
          <t xml:space="preserve">
Changed from 25 to 213. Then th set of bags corresponds to collection sheet</t>
        </r>
      </text>
    </comment>
    <comment ref="A279" authorId="0" shapeId="0" xr:uid="{E0278E0E-720C-4894-9F2F-E6D70A1C3688}">
      <text>
        <r>
          <rPr>
            <b/>
            <sz val="9"/>
            <color indexed="81"/>
            <rFont val="Tahoma"/>
            <family val="2"/>
          </rPr>
          <t>Anders Sundsdal:</t>
        </r>
        <r>
          <rPr>
            <sz val="9"/>
            <color indexed="81"/>
            <rFont val="Tahoma"/>
            <family val="2"/>
          </rPr>
          <t xml:space="preserve">
Changed from G674 to G724 then it corresponds to collection sheet (Update: checked the bag, it s correct)</t>
        </r>
      </text>
    </comment>
    <comment ref="A285" authorId="0" shapeId="0" xr:uid="{1C80AF49-E06B-4C59-AAB7-5F357355B203}">
      <text>
        <r>
          <rPr>
            <b/>
            <sz val="9"/>
            <color indexed="81"/>
            <rFont val="Tahoma"/>
            <family val="2"/>
          </rPr>
          <t>Anders Sundsdal:</t>
        </r>
        <r>
          <rPr>
            <sz val="9"/>
            <color indexed="81"/>
            <rFont val="Tahoma"/>
            <family val="2"/>
          </rPr>
          <t xml:space="preserve">
Correced from G752(7) to G732. Then it corresponds to collection sheet.</t>
        </r>
      </text>
    </comment>
    <comment ref="B289" authorId="0" shapeId="0" xr:uid="{0A6A7924-68B3-465F-8E9D-972ED3DEBE81}">
      <text>
        <r>
          <rPr>
            <b/>
            <sz val="9"/>
            <color indexed="81"/>
            <rFont val="Tahoma"/>
            <family val="2"/>
          </rPr>
          <t>Anders Sundsdal:</t>
        </r>
        <r>
          <rPr>
            <sz val="9"/>
            <color indexed="81"/>
            <rFont val="Tahoma"/>
            <family val="2"/>
          </rPr>
          <t xml:space="preserve">
Plot 106 most likely</t>
        </r>
      </text>
    </comment>
    <comment ref="B300" authorId="0" shapeId="0" xr:uid="{390A1031-6607-42E9-81FA-46AB81F0359E}">
      <text>
        <r>
          <rPr>
            <b/>
            <sz val="9"/>
            <color indexed="81"/>
            <rFont val="Tahoma"/>
            <charset val="1"/>
          </rPr>
          <t>Anders Sundsdal:</t>
        </r>
        <r>
          <rPr>
            <sz val="9"/>
            <color indexed="81"/>
            <rFont val="Tahoma"/>
            <charset val="1"/>
          </rPr>
          <t xml:space="preserve">
Changed from na to 1</t>
        </r>
      </text>
    </comment>
    <comment ref="B306" authorId="0" shapeId="0" xr:uid="{76C34040-5034-4478-8024-C1476983555D}">
      <text>
        <r>
          <rPr>
            <b/>
            <sz val="9"/>
            <color indexed="81"/>
            <rFont val="Tahoma"/>
            <charset val="1"/>
          </rPr>
          <t>Anders Sundsdal:</t>
        </r>
        <r>
          <rPr>
            <sz val="9"/>
            <color indexed="81"/>
            <rFont val="Tahoma"/>
            <charset val="1"/>
          </rPr>
          <t xml:space="preserve">
Changed from na to 66</t>
        </r>
      </text>
    </comment>
    <comment ref="A309" authorId="0" shapeId="0" xr:uid="{46883683-9479-4537-A2D1-439B0352F6B3}">
      <text>
        <r>
          <rPr>
            <b/>
            <sz val="9"/>
            <color indexed="81"/>
            <rFont val="Tahoma"/>
            <charset val="1"/>
          </rPr>
          <t>Anders Sundsdal:</t>
        </r>
        <r>
          <rPr>
            <sz val="9"/>
            <color indexed="81"/>
            <rFont val="Tahoma"/>
            <charset val="1"/>
          </rPr>
          <t xml:space="preserve">
Changed from R763 (it is in the dry season) to G763. Now it corresonds to collection sheet and to correct number of each type in this plot in this sheet.</t>
        </r>
      </text>
    </comment>
    <comment ref="A318" authorId="0" shapeId="0" xr:uid="{D420E598-A186-44CE-B755-475E6D421BED}">
      <text>
        <r>
          <rPr>
            <b/>
            <sz val="9"/>
            <color indexed="81"/>
            <rFont val="Tahoma"/>
            <family val="2"/>
          </rPr>
          <t>Anders Sundsdal:</t>
        </r>
        <r>
          <rPr>
            <sz val="9"/>
            <color indexed="81"/>
            <rFont val="Tahoma"/>
            <family val="2"/>
          </rPr>
          <t xml:space="preserve">
Changed from G675 to G775 as it then corresponds to collection sheet.</t>
        </r>
      </text>
    </comment>
    <comment ref="B324" authorId="0" shapeId="0" xr:uid="{B945EFF7-BDD5-4241-AEE4-5D371FEA2657}">
      <text>
        <r>
          <rPr>
            <b/>
            <sz val="9"/>
            <color indexed="81"/>
            <rFont val="Tahoma"/>
            <charset val="1"/>
          </rPr>
          <t>Anders Sundsdal:</t>
        </r>
        <r>
          <rPr>
            <sz val="9"/>
            <color indexed="81"/>
            <rFont val="Tahoma"/>
            <charset val="1"/>
          </rPr>
          <t xml:space="preserve">
Added later</t>
        </r>
      </text>
    </comment>
    <comment ref="A329" authorId="0" shapeId="0" xr:uid="{18D49196-A49E-4162-833A-806F527E76FC}">
      <text>
        <r>
          <rPr>
            <b/>
            <sz val="9"/>
            <color indexed="81"/>
            <rFont val="Tahoma"/>
            <family val="2"/>
          </rPr>
          <t>Anders Sundsdal:</t>
        </r>
        <r>
          <rPr>
            <sz val="9"/>
            <color indexed="81"/>
            <rFont val="Tahoma"/>
            <family val="2"/>
          </rPr>
          <t xml:space="preserve">
Corr. From G787 to G789</t>
        </r>
      </text>
    </comment>
    <comment ref="A330" authorId="0" shapeId="0" xr:uid="{940AE0DD-B972-4D2D-9280-0A87A82DF1A1}">
      <text>
        <r>
          <rPr>
            <b/>
            <sz val="9"/>
            <color indexed="81"/>
            <rFont val="Tahoma"/>
            <family val="2"/>
          </rPr>
          <t>Anders Sundsdal:</t>
        </r>
        <r>
          <rPr>
            <sz val="9"/>
            <color indexed="81"/>
            <rFont val="Tahoma"/>
            <family val="2"/>
          </rPr>
          <t xml:space="preserve">
Endret fra G792 til G791 pga duplikat</t>
        </r>
      </text>
    </comment>
    <comment ref="A334" authorId="0" shapeId="0" xr:uid="{5AF1FFF2-BC0E-42A8-875A-36E12A7C60E8}">
      <text>
        <r>
          <rPr>
            <b/>
            <sz val="9"/>
            <color indexed="81"/>
            <rFont val="Tahoma"/>
            <family val="2"/>
          </rPr>
          <t>Anders Sundsdal:</t>
        </r>
        <r>
          <rPr>
            <sz val="9"/>
            <color indexed="81"/>
            <rFont val="Tahoma"/>
            <family val="2"/>
          </rPr>
          <t xml:space="preserve">
Corr. From G718 to G798</t>
        </r>
      </text>
    </comment>
    <comment ref="A339" authorId="0" shapeId="0" xr:uid="{66F0BC4B-7820-46B2-A713-ECF255547FD6}">
      <text>
        <r>
          <rPr>
            <b/>
            <sz val="9"/>
            <color indexed="81"/>
            <rFont val="Tahoma"/>
            <family val="2"/>
          </rPr>
          <t>Anders Sundsdal:</t>
        </r>
        <r>
          <rPr>
            <sz val="9"/>
            <color indexed="81"/>
            <rFont val="Tahoma"/>
            <family val="2"/>
          </rPr>
          <t xml:space="preserve">
Corrected from G805 to G803</t>
        </r>
      </text>
    </comment>
    <comment ref="B343" authorId="0" shapeId="0" xr:uid="{BC276DA7-4BBF-4260-9069-8332B00351C5}">
      <text>
        <r>
          <rPr>
            <b/>
            <sz val="9"/>
            <color indexed="81"/>
            <rFont val="Tahoma"/>
            <charset val="1"/>
          </rPr>
          <t>Anders Sundsdal:</t>
        </r>
        <r>
          <rPr>
            <sz val="9"/>
            <color indexed="81"/>
            <rFont val="Tahoma"/>
            <charset val="1"/>
          </rPr>
          <t xml:space="preserve">
changed from na to 148</t>
        </r>
      </text>
    </comment>
    <comment ref="A347" authorId="0" shapeId="0" xr:uid="{0FD2AFA5-852F-4AD4-B97D-AF4FE5D49E51}">
      <text>
        <r>
          <rPr>
            <b/>
            <sz val="9"/>
            <color indexed="81"/>
            <rFont val="Tahoma"/>
            <family val="2"/>
          </rPr>
          <t>Anders Sundsdal:</t>
        </r>
        <r>
          <rPr>
            <sz val="9"/>
            <color indexed="81"/>
            <rFont val="Tahoma"/>
            <family val="2"/>
          </rPr>
          <t xml:space="preserve">
Has been corrected by reading the teabag again.</t>
        </r>
      </text>
    </comment>
    <comment ref="B347" authorId="0" shapeId="0" xr:uid="{4123E9C2-519A-45CF-ACFC-749CA9AB5AA4}">
      <text>
        <r>
          <rPr>
            <b/>
            <sz val="9"/>
            <color indexed="81"/>
            <rFont val="Tahoma"/>
            <charset val="1"/>
          </rPr>
          <t>Anders Sundsdal:</t>
        </r>
        <r>
          <rPr>
            <sz val="9"/>
            <color indexed="81"/>
            <rFont val="Tahoma"/>
            <charset val="1"/>
          </rPr>
          <t xml:space="preserve">
Added later</t>
        </r>
      </text>
    </comment>
    <comment ref="B348" authorId="0" shapeId="0" xr:uid="{0FB5E4DB-9435-4C83-875A-508A4C358603}">
      <text>
        <r>
          <rPr>
            <b/>
            <sz val="9"/>
            <color indexed="81"/>
            <rFont val="Tahoma"/>
            <charset val="1"/>
          </rPr>
          <t>Anders Sundsdal:</t>
        </r>
        <r>
          <rPr>
            <sz val="9"/>
            <color indexed="81"/>
            <rFont val="Tahoma"/>
            <charset val="1"/>
          </rPr>
          <t xml:space="preserve">
Added later</t>
        </r>
      </text>
    </comment>
    <comment ref="A361" authorId="0" shapeId="0" xr:uid="{FA48D6E1-5910-42EA-8C60-537D38425C19}">
      <text>
        <r>
          <rPr>
            <b/>
            <sz val="9"/>
            <color indexed="81"/>
            <rFont val="Tahoma"/>
            <charset val="1"/>
          </rPr>
          <t>Anders Sundsdal:</t>
        </r>
        <r>
          <rPr>
            <sz val="9"/>
            <color indexed="81"/>
            <rFont val="Tahoma"/>
            <charset val="1"/>
          </rPr>
          <t xml:space="preserve">
Changed from G824 to G827 as it now corresponds to collectionsheet.</t>
        </r>
      </text>
    </comment>
    <comment ref="A362" authorId="0" shapeId="0" xr:uid="{EC94DA98-F629-4B83-96EF-95B5ABADB999}">
      <text>
        <r>
          <rPr>
            <b/>
            <sz val="9"/>
            <color indexed="81"/>
            <rFont val="Tahoma"/>
            <family val="2"/>
          </rPr>
          <t>Anders Sundsdal:</t>
        </r>
        <r>
          <rPr>
            <sz val="9"/>
            <color indexed="81"/>
            <rFont val="Tahoma"/>
            <family val="2"/>
          </rPr>
          <t xml:space="preserve">
Changed from G825 to G828</t>
        </r>
      </text>
    </comment>
    <comment ref="A364" authorId="0" shapeId="0" xr:uid="{7C132205-919C-4590-94FC-3B7C41D3CA15}">
      <text>
        <r>
          <rPr>
            <b/>
            <sz val="9"/>
            <color indexed="81"/>
            <rFont val="Tahoma"/>
            <charset val="1"/>
          </rPr>
          <t>Anders Sundsdal:</t>
        </r>
        <r>
          <rPr>
            <sz val="9"/>
            <color indexed="81"/>
            <rFont val="Tahoma"/>
            <charset val="1"/>
          </rPr>
          <t xml:space="preserve">
Change from G381 to G831</t>
        </r>
      </text>
    </comment>
    <comment ref="A366" authorId="0" shapeId="0" xr:uid="{1BE0F66B-FD26-472E-A308-2D9E40E35EA4}">
      <text>
        <r>
          <rPr>
            <b/>
            <sz val="9"/>
            <color indexed="81"/>
            <rFont val="Tahoma"/>
            <family val="2"/>
          </rPr>
          <t>Anders Sundsdal:</t>
        </r>
        <r>
          <rPr>
            <sz val="9"/>
            <color indexed="81"/>
            <rFont val="Tahoma"/>
            <family val="2"/>
          </rPr>
          <t xml:space="preserve">
Changed from G835 to G833 then it corresponds to collection sheet</t>
        </r>
      </text>
    </comment>
    <comment ref="A368" authorId="0" shapeId="0" xr:uid="{69079D49-09F3-4AAB-BF3F-85A5ADE3D46F}">
      <text>
        <r>
          <rPr>
            <b/>
            <sz val="9"/>
            <color indexed="81"/>
            <rFont val="Tahoma"/>
            <family val="2"/>
          </rPr>
          <t>Anders Sundsdal:</t>
        </r>
        <r>
          <rPr>
            <sz val="9"/>
            <color indexed="81"/>
            <rFont val="Tahoma"/>
            <family val="2"/>
          </rPr>
          <t xml:space="preserve">
Changed from G835? To G835</t>
        </r>
      </text>
    </comment>
    <comment ref="B368" authorId="0" shapeId="0" xr:uid="{00448A46-C89E-4FCA-A7BA-9F85C8B83509}">
      <text>
        <r>
          <rPr>
            <b/>
            <sz val="9"/>
            <color indexed="81"/>
            <rFont val="Tahoma"/>
            <charset val="1"/>
          </rPr>
          <t>Anders Sundsdal:</t>
        </r>
        <r>
          <rPr>
            <sz val="9"/>
            <color indexed="81"/>
            <rFont val="Tahoma"/>
            <charset val="1"/>
          </rPr>
          <t xml:space="preserve">
Changed from na to 148</t>
        </r>
      </text>
    </comment>
    <comment ref="A370" authorId="0" shapeId="0" xr:uid="{F01A6C3E-7826-4123-ACA9-39C8144664A2}">
      <text>
        <r>
          <rPr>
            <b/>
            <sz val="9"/>
            <color indexed="81"/>
            <rFont val="Tahoma"/>
            <family val="2"/>
          </rPr>
          <t>Anders Sundsdal:</t>
        </r>
        <r>
          <rPr>
            <sz val="9"/>
            <color indexed="81"/>
            <rFont val="Tahoma"/>
            <family val="2"/>
          </rPr>
          <t xml:space="preserve">
Duplicate, this is not correct. UPDATE: Looking at collection sheet: this should be G837. So, corrected from G852 to G837</t>
        </r>
      </text>
    </comment>
    <comment ref="B370" authorId="0" shapeId="0" xr:uid="{89DC1B1E-9E97-4E75-A5B8-011708BC6334}">
      <text>
        <r>
          <rPr>
            <b/>
            <sz val="9"/>
            <color indexed="81"/>
            <rFont val="Tahoma"/>
            <family val="2"/>
          </rPr>
          <t>Anders Sundsdal:</t>
        </r>
        <r>
          <rPr>
            <sz val="9"/>
            <color indexed="81"/>
            <rFont val="Tahoma"/>
            <family val="2"/>
          </rPr>
          <t xml:space="preserve">
Plot 106 most likely</t>
        </r>
      </text>
    </comment>
    <comment ref="A375" authorId="0" shapeId="0" xr:uid="{7F25DF4C-4F33-42B2-A982-5F227805FD58}">
      <text>
        <r>
          <rPr>
            <b/>
            <sz val="9"/>
            <color indexed="81"/>
            <rFont val="Tahoma"/>
            <charset val="1"/>
          </rPr>
          <t>Anders Sundsdal:</t>
        </r>
        <r>
          <rPr>
            <sz val="9"/>
            <color indexed="81"/>
            <rFont val="Tahoma"/>
            <charset val="1"/>
          </rPr>
          <t xml:space="preserve">
Changed from G482 to G842</t>
        </r>
      </text>
    </comment>
    <comment ref="A376" authorId="0" shapeId="0" xr:uid="{C0BB82B9-9F44-4624-84C4-68B2FBE0571D}">
      <text>
        <r>
          <rPr>
            <b/>
            <sz val="9"/>
            <color indexed="81"/>
            <rFont val="Tahoma"/>
            <family val="2"/>
          </rPr>
          <t>Anders Sundsdal:</t>
        </r>
        <r>
          <rPr>
            <sz val="9"/>
            <color indexed="81"/>
            <rFont val="Tahoma"/>
            <family val="2"/>
          </rPr>
          <t xml:space="preserve">
Changed G895 to G845 then it corresponds to the collection sheet.</t>
        </r>
      </text>
    </comment>
    <comment ref="A380" authorId="0" shapeId="0" xr:uid="{B2C0AB04-B758-4E91-A101-B1040E816E54}">
      <text>
        <r>
          <rPr>
            <b/>
            <sz val="9"/>
            <color indexed="81"/>
            <rFont val="Tahoma"/>
            <charset val="1"/>
          </rPr>
          <t>Anders Sundsdal:</t>
        </r>
        <r>
          <rPr>
            <sz val="9"/>
            <color indexed="81"/>
            <rFont val="Tahoma"/>
            <charset val="1"/>
          </rPr>
          <t xml:space="preserve">
Changed from G85 to G850</t>
        </r>
      </text>
    </comment>
    <comment ref="A381" authorId="0" shapeId="0" xr:uid="{DABD0BB3-BFBF-4B67-9E94-7B8834BA685C}">
      <text>
        <r>
          <rPr>
            <b/>
            <sz val="9"/>
            <color indexed="81"/>
            <rFont val="Tahoma"/>
            <family val="2"/>
          </rPr>
          <t>Anders Sundsdal:</t>
        </r>
        <r>
          <rPr>
            <sz val="9"/>
            <color indexed="81"/>
            <rFont val="Tahoma"/>
            <family val="2"/>
          </rPr>
          <t xml:space="preserve">
Changed and then corresponds to the collection sheet.</t>
        </r>
      </text>
    </comment>
    <comment ref="B390" authorId="0" shapeId="0" xr:uid="{D9A1E476-B8CA-4DD3-8FF5-675E0CB67753}">
      <text>
        <r>
          <rPr>
            <b/>
            <sz val="9"/>
            <color indexed="81"/>
            <rFont val="Tahoma"/>
            <charset val="1"/>
          </rPr>
          <t>Anders Sundsdal:</t>
        </r>
        <r>
          <rPr>
            <sz val="9"/>
            <color indexed="81"/>
            <rFont val="Tahoma"/>
            <charset val="1"/>
          </rPr>
          <t xml:space="preserve">
Changed from na to 25</t>
        </r>
      </text>
    </comment>
    <comment ref="A392" authorId="0" shapeId="0" xr:uid="{777C2B3B-901D-4BBA-8735-EE873DAED722}">
      <text>
        <r>
          <rPr>
            <b/>
            <sz val="9"/>
            <color indexed="81"/>
            <rFont val="Tahoma"/>
            <charset val="1"/>
          </rPr>
          <t>Anders Sundsdal:</t>
        </r>
        <r>
          <rPr>
            <sz val="9"/>
            <color indexed="81"/>
            <rFont val="Tahoma"/>
            <charset val="1"/>
          </rPr>
          <t xml:space="preserve">
Changed from G862 to G867.</t>
        </r>
      </text>
    </comment>
    <comment ref="A421" authorId="0" shapeId="0" xr:uid="{5B464960-B1F0-4745-AAC5-6A4CB7CC1D2C}">
      <text>
        <r>
          <rPr>
            <b/>
            <sz val="9"/>
            <color indexed="81"/>
            <rFont val="Tahoma"/>
            <family val="2"/>
          </rPr>
          <t>Anders Sundsdal:</t>
        </r>
        <r>
          <rPr>
            <sz val="9"/>
            <color indexed="81"/>
            <rFont val="Tahoma"/>
            <family val="2"/>
          </rPr>
          <t xml:space="preserve">
Corr. From G692 to G902</t>
        </r>
      </text>
    </comment>
    <comment ref="B427" authorId="0" shapeId="0" xr:uid="{03AE7389-6465-49BF-A6FD-F5048AADAF3C}">
      <text>
        <r>
          <rPr>
            <b/>
            <sz val="9"/>
            <color indexed="81"/>
            <rFont val="Tahoma"/>
            <charset val="1"/>
          </rPr>
          <t>Anders Sundsdal:</t>
        </r>
        <r>
          <rPr>
            <sz val="9"/>
            <color indexed="81"/>
            <rFont val="Tahoma"/>
            <charset val="1"/>
          </rPr>
          <t xml:space="preserve">
Changed from na to 25</t>
        </r>
      </text>
    </comment>
    <comment ref="B433" authorId="0" shapeId="0" xr:uid="{9A6757EE-0E34-42D2-8DBF-BBA82C19DF59}">
      <text>
        <r>
          <rPr>
            <b/>
            <sz val="9"/>
            <color indexed="81"/>
            <rFont val="Tahoma"/>
            <family val="2"/>
          </rPr>
          <t>Anders Sundsdal:</t>
        </r>
        <r>
          <rPr>
            <sz val="9"/>
            <color indexed="81"/>
            <rFont val="Tahoma"/>
            <family val="2"/>
          </rPr>
          <t xml:space="preserve">
Changed from 25 to 213. Then th set of bags corresponds to collection sheet</t>
        </r>
      </text>
    </comment>
    <comment ref="B436" authorId="0" shapeId="0" xr:uid="{BF611820-640D-4C5D-9AA2-EC486F591758}">
      <text>
        <r>
          <rPr>
            <b/>
            <sz val="9"/>
            <color indexed="81"/>
            <rFont val="Tahoma"/>
            <charset val="1"/>
          </rPr>
          <t>Anders Sundsdal:</t>
        </r>
        <r>
          <rPr>
            <sz val="9"/>
            <color indexed="81"/>
            <rFont val="Tahoma"/>
            <charset val="1"/>
          </rPr>
          <t xml:space="preserve">
Changed from na to 4</t>
        </r>
      </text>
    </comment>
    <comment ref="A442" authorId="0" shapeId="0" xr:uid="{CD9ACDE0-8F2D-4135-87FF-F02679679432}">
      <text>
        <r>
          <rPr>
            <b/>
            <sz val="9"/>
            <color indexed="81"/>
            <rFont val="Tahoma"/>
            <family val="2"/>
          </rPr>
          <t>Anders Sundsdal:</t>
        </r>
        <r>
          <rPr>
            <sz val="9"/>
            <color indexed="81"/>
            <rFont val="Tahoma"/>
            <family val="2"/>
          </rPr>
          <t xml:space="preserve">
Changed from N.A to R122
</t>
        </r>
      </text>
    </comment>
    <comment ref="A447" authorId="0" shapeId="0" xr:uid="{373031F3-C63E-4339-87C0-7106C5559A0B}">
      <text>
        <r>
          <rPr>
            <b/>
            <sz val="9"/>
            <color indexed="81"/>
            <rFont val="Tahoma"/>
            <family val="2"/>
          </rPr>
          <t>Anders Sundsdal:</t>
        </r>
        <r>
          <rPr>
            <sz val="9"/>
            <color indexed="81"/>
            <rFont val="Tahoma"/>
            <family val="2"/>
          </rPr>
          <t xml:space="preserve">
Corrected from R260orR129 to R129. Then it corresponds to collection sheet AND the physical bag. </t>
        </r>
      </text>
    </comment>
    <comment ref="B450" authorId="0" shapeId="0" xr:uid="{CBC6FADC-3162-4A82-AE07-DE438346C742}">
      <text>
        <r>
          <rPr>
            <b/>
            <sz val="9"/>
            <color indexed="81"/>
            <rFont val="Tahoma"/>
            <charset val="1"/>
          </rPr>
          <t>Anders Sundsdal:</t>
        </r>
        <r>
          <rPr>
            <sz val="9"/>
            <color indexed="81"/>
            <rFont val="Tahoma"/>
            <charset val="1"/>
          </rPr>
          <t xml:space="preserve">
Changed from na to 1</t>
        </r>
      </text>
    </comment>
    <comment ref="A455" authorId="0" shapeId="0" xr:uid="{3ABF4066-18FC-4CF8-A75C-AE445BFCAD58}">
      <text>
        <r>
          <rPr>
            <b/>
            <sz val="9"/>
            <color indexed="81"/>
            <rFont val="Tahoma"/>
            <family val="2"/>
          </rPr>
          <t>Anders Sundsdal:</t>
        </r>
        <r>
          <rPr>
            <sz val="9"/>
            <color indexed="81"/>
            <rFont val="Tahoma"/>
            <family val="2"/>
          </rPr>
          <t xml:space="preserve">
Duplicate. Physically checked the bags of R138 and G579. G579 has less weight than R138. Therefore this cell is changed from G579 to R138. R138 is also and exclosed bag. G579 is also an axclosed bag.</t>
        </r>
      </text>
    </comment>
    <comment ref="B457" authorId="0" shapeId="0" xr:uid="{5E868702-3496-4080-B05E-28399B185637}">
      <text>
        <r>
          <rPr>
            <b/>
            <sz val="9"/>
            <color indexed="81"/>
            <rFont val="Tahoma"/>
            <charset val="1"/>
          </rPr>
          <t>Anders Sundsdal:</t>
        </r>
        <r>
          <rPr>
            <sz val="9"/>
            <color indexed="81"/>
            <rFont val="Tahoma"/>
            <charset val="1"/>
          </rPr>
          <t xml:space="preserve">
Changed from na to 72</t>
        </r>
      </text>
    </comment>
    <comment ref="B461" authorId="0" shapeId="0" xr:uid="{9BD407AF-3AEF-4792-9C17-B8EB82C716E1}">
      <text>
        <r>
          <rPr>
            <b/>
            <sz val="9"/>
            <color indexed="81"/>
            <rFont val="Tahoma"/>
            <charset val="1"/>
          </rPr>
          <t>Anders Sundsdal:</t>
        </r>
        <r>
          <rPr>
            <sz val="9"/>
            <color indexed="81"/>
            <rFont val="Tahoma"/>
            <charset val="1"/>
          </rPr>
          <t xml:space="preserve">
Added later</t>
        </r>
      </text>
    </comment>
    <comment ref="B464" authorId="0" shapeId="0" xr:uid="{E612D8D1-92A9-438E-8E50-2D6190B9BDBB}">
      <text>
        <r>
          <rPr>
            <b/>
            <sz val="9"/>
            <color indexed="81"/>
            <rFont val="Tahoma"/>
            <family val="2"/>
          </rPr>
          <t>Anders Sundsdal:</t>
        </r>
        <r>
          <rPr>
            <sz val="9"/>
            <color indexed="81"/>
            <rFont val="Tahoma"/>
            <family val="2"/>
          </rPr>
          <t xml:space="preserve">
Added later</t>
        </r>
      </text>
    </comment>
    <comment ref="B466" authorId="0" shapeId="0" xr:uid="{091AE4F7-C663-42E0-8369-70B3A6383B38}">
      <text>
        <r>
          <rPr>
            <b/>
            <sz val="9"/>
            <color indexed="81"/>
            <rFont val="Tahoma"/>
            <family val="2"/>
          </rPr>
          <t>Anders Sundsdal:</t>
        </r>
        <r>
          <rPr>
            <sz val="9"/>
            <color indexed="81"/>
            <rFont val="Tahoma"/>
            <family val="2"/>
          </rPr>
          <t xml:space="preserve">
Write as 208 to corresond to collection sheet. UPDATE: It says 206 on bag...</t>
        </r>
      </text>
    </comment>
    <comment ref="B468" authorId="0" shapeId="0" xr:uid="{33452D43-34A7-414C-9BBE-2D51A6DC5B9B}">
      <text>
        <r>
          <rPr>
            <b/>
            <sz val="9"/>
            <color indexed="81"/>
            <rFont val="Tahoma"/>
            <charset val="1"/>
          </rPr>
          <t>Anders Sundsdal:</t>
        </r>
        <r>
          <rPr>
            <sz val="9"/>
            <color indexed="81"/>
            <rFont val="Tahoma"/>
            <charset val="1"/>
          </rPr>
          <t xml:space="preserve">
Changed from na to 66</t>
        </r>
      </text>
    </comment>
    <comment ref="B481" authorId="0" shapeId="0" xr:uid="{EEAF222B-1EB8-4F58-97D4-C8A4B5B7F461}">
      <text>
        <r>
          <rPr>
            <b/>
            <sz val="9"/>
            <color indexed="81"/>
            <rFont val="Tahoma"/>
            <charset val="1"/>
          </rPr>
          <t>Anders Sundsdal:</t>
        </r>
        <r>
          <rPr>
            <sz val="9"/>
            <color indexed="81"/>
            <rFont val="Tahoma"/>
            <charset val="1"/>
          </rPr>
          <t xml:space="preserve">
Changed from 104 to 194 since there was bags for 104 in this sheet and the code coresponds to plot 194 in collection sheet</t>
        </r>
      </text>
    </comment>
    <comment ref="B484" authorId="0" shapeId="0" xr:uid="{D347BD48-67B6-4DBA-BDC7-729FC9A91530}">
      <text>
        <r>
          <rPr>
            <b/>
            <sz val="9"/>
            <color indexed="81"/>
            <rFont val="Tahoma"/>
            <charset val="1"/>
          </rPr>
          <t>Anders Sundsdal:</t>
        </r>
        <r>
          <rPr>
            <sz val="9"/>
            <color indexed="81"/>
            <rFont val="Tahoma"/>
            <charset val="1"/>
          </rPr>
          <t xml:space="preserve">
Changed from na to 1</t>
        </r>
      </text>
    </comment>
    <comment ref="B491" authorId="0" shapeId="0" xr:uid="{16A5FACA-C047-4BB7-A262-245D8E000A3C}">
      <text>
        <r>
          <rPr>
            <b/>
            <sz val="9"/>
            <color indexed="81"/>
            <rFont val="Tahoma"/>
            <family val="2"/>
          </rPr>
          <t>Anders Sundsdal:</t>
        </r>
        <r>
          <rPr>
            <sz val="9"/>
            <color indexed="81"/>
            <rFont val="Tahoma"/>
            <family val="2"/>
          </rPr>
          <t xml:space="preserve">
plot 76? It says plot 75 on the bag</t>
        </r>
      </text>
    </comment>
    <comment ref="B493" authorId="0" shapeId="0" xr:uid="{45099C53-ADA3-481B-8EA4-82BAD5A90767}">
      <text>
        <r>
          <rPr>
            <b/>
            <sz val="9"/>
            <color indexed="81"/>
            <rFont val="Tahoma"/>
            <family val="2"/>
          </rPr>
          <t>Anders Sundsdal:</t>
        </r>
        <r>
          <rPr>
            <sz val="9"/>
            <color indexed="81"/>
            <rFont val="Tahoma"/>
            <family val="2"/>
          </rPr>
          <t xml:space="preserve">
186? Then it corresponds with the collection sheet. UPDATE: Have checked bag 18: No corresponding teabags inside.</t>
        </r>
      </text>
    </comment>
    <comment ref="B500" authorId="0" shapeId="0" xr:uid="{34F8805D-C225-453D-B345-527A0838955D}">
      <text>
        <r>
          <rPr>
            <b/>
            <sz val="9"/>
            <color indexed="81"/>
            <rFont val="Tahoma"/>
            <charset val="1"/>
          </rPr>
          <t>Anders Sundsdal:</t>
        </r>
        <r>
          <rPr>
            <sz val="9"/>
            <color indexed="81"/>
            <rFont val="Tahoma"/>
            <charset val="1"/>
          </rPr>
          <t xml:space="preserve">
Changed from na to 148</t>
        </r>
      </text>
    </comment>
    <comment ref="B506" authorId="0" shapeId="0" xr:uid="{E855B8AF-73F2-4235-9AD0-0068D91D7942}">
      <text>
        <r>
          <rPr>
            <b/>
            <sz val="9"/>
            <color indexed="81"/>
            <rFont val="Tahoma"/>
            <charset val="1"/>
          </rPr>
          <t>Anders Sundsdal:</t>
        </r>
        <r>
          <rPr>
            <sz val="9"/>
            <color indexed="81"/>
            <rFont val="Tahoma"/>
            <charset val="1"/>
          </rPr>
          <t xml:space="preserve">
Added later</t>
        </r>
      </text>
    </comment>
    <comment ref="B520" authorId="0" shapeId="0" xr:uid="{96E172AB-8C25-47C2-B275-CBB72C39C23A}">
      <text>
        <r>
          <rPr>
            <b/>
            <sz val="9"/>
            <color indexed="81"/>
            <rFont val="Tahoma"/>
            <charset val="1"/>
          </rPr>
          <t>Anders Sundsdal:</t>
        </r>
        <r>
          <rPr>
            <sz val="9"/>
            <color indexed="81"/>
            <rFont val="Tahoma"/>
            <charset val="1"/>
          </rPr>
          <t xml:space="preserve">
Changed from na to 66</t>
        </r>
      </text>
    </comment>
    <comment ref="B523" authorId="0" shapeId="0" xr:uid="{E2CBB86B-E83E-4415-9D41-5A592AFFC3C6}">
      <text>
        <r>
          <rPr>
            <b/>
            <sz val="9"/>
            <color indexed="81"/>
            <rFont val="Tahoma"/>
            <family val="2"/>
          </rPr>
          <t>Anders Sundsdal:</t>
        </r>
        <r>
          <rPr>
            <sz val="9"/>
            <color indexed="81"/>
            <rFont val="Tahoma"/>
            <family val="2"/>
          </rPr>
          <t xml:space="preserve">
Write as 208 to corresond to collection sheet. UPDATE: It says 206 on bag...</t>
        </r>
      </text>
    </comment>
    <comment ref="B531" authorId="0" shapeId="0" xr:uid="{526E1162-73AA-421D-ABF3-64FB68199FB9}">
      <text>
        <r>
          <rPr>
            <b/>
            <sz val="9"/>
            <color indexed="81"/>
            <rFont val="Tahoma"/>
            <charset val="1"/>
          </rPr>
          <t>Anders Sundsdal:</t>
        </r>
        <r>
          <rPr>
            <sz val="9"/>
            <color indexed="81"/>
            <rFont val="Tahoma"/>
            <charset val="1"/>
          </rPr>
          <t xml:space="preserve">
Added later</t>
        </r>
      </text>
    </comment>
    <comment ref="B543" authorId="0" shapeId="0" xr:uid="{8E0CECEE-EAAA-4CB1-B829-AE6E0BFB3F54}">
      <text>
        <r>
          <rPr>
            <b/>
            <sz val="9"/>
            <color indexed="81"/>
            <rFont val="Tahoma"/>
            <charset val="1"/>
          </rPr>
          <t>Anders Sundsdal:</t>
        </r>
        <r>
          <rPr>
            <sz val="9"/>
            <color indexed="81"/>
            <rFont val="Tahoma"/>
            <charset val="1"/>
          </rPr>
          <t xml:space="preserve">
Changed from 104 to 194 since there was bags for 104 in this sheet and the code coresponds to plot 194 in collection sheet</t>
        </r>
      </text>
    </comment>
    <comment ref="B551" authorId="0" shapeId="0" xr:uid="{4291BCB9-2C50-4A28-ABD0-F235BB76221A}">
      <text>
        <r>
          <rPr>
            <b/>
            <sz val="9"/>
            <color indexed="81"/>
            <rFont val="Tahoma"/>
            <charset val="1"/>
          </rPr>
          <t>Anders Sundsdal:</t>
        </r>
        <r>
          <rPr>
            <sz val="9"/>
            <color indexed="81"/>
            <rFont val="Tahoma"/>
            <charset val="1"/>
          </rPr>
          <t xml:space="preserve">
Added later</t>
        </r>
      </text>
    </comment>
    <comment ref="A611" authorId="0" shapeId="0" xr:uid="{97C88E04-3116-47DF-A7D8-43B907993D0A}">
      <text>
        <r>
          <rPr>
            <b/>
            <sz val="9"/>
            <color indexed="81"/>
            <rFont val="Tahoma"/>
            <family val="2"/>
          </rPr>
          <t>Anders Sundsdal:</t>
        </r>
        <r>
          <rPr>
            <sz val="9"/>
            <color indexed="81"/>
            <rFont val="Tahoma"/>
            <family val="2"/>
          </rPr>
          <t xml:space="preserve">
Changed from R396 to R390 then it corresponds to collectionsheet</t>
        </r>
      </text>
    </comment>
    <comment ref="B615" authorId="0" shapeId="0" xr:uid="{E0B3F95F-780F-4D88-997A-7EE9E8B0B9B4}">
      <text>
        <r>
          <rPr>
            <b/>
            <sz val="9"/>
            <color indexed="81"/>
            <rFont val="Tahoma"/>
            <charset val="1"/>
          </rPr>
          <t>Anders Sundsdal:</t>
        </r>
        <r>
          <rPr>
            <sz val="9"/>
            <color indexed="81"/>
            <rFont val="Tahoma"/>
            <charset val="1"/>
          </rPr>
          <t xml:space="preserve">
Added later</t>
        </r>
      </text>
    </comment>
    <comment ref="A665" authorId="0" shapeId="0" xr:uid="{3DD147BC-760A-4DB7-8585-A61CABF6BE00}">
      <text>
        <r>
          <rPr>
            <b/>
            <sz val="9"/>
            <color indexed="81"/>
            <rFont val="Tahoma"/>
            <family val="2"/>
          </rPr>
          <t>Anders Sundsdal:</t>
        </r>
        <r>
          <rPr>
            <sz val="9"/>
            <color indexed="81"/>
            <rFont val="Tahoma"/>
            <family val="2"/>
          </rPr>
          <t xml:space="preserve">
Changed from G457 to R457 then it corresponds to the collection sheet.</t>
        </r>
      </text>
    </comment>
    <comment ref="A669" authorId="0" shapeId="0" xr:uid="{99205E28-84FA-4D85-8D89-C8DBD867F3D4}">
      <text>
        <r>
          <rPr>
            <b/>
            <sz val="9"/>
            <color indexed="81"/>
            <rFont val="Tahoma"/>
            <family val="2"/>
          </rPr>
          <t>Anders Sundsdal:</t>
        </r>
        <r>
          <rPr>
            <sz val="9"/>
            <color indexed="81"/>
            <rFont val="Tahoma"/>
            <family val="2"/>
          </rPr>
          <t xml:space="preserve">
Changed from R46 to R460 then it corresponds to collection sheet</t>
        </r>
      </text>
    </comment>
    <comment ref="B681" authorId="0" shapeId="0" xr:uid="{F8C00DF5-04DE-459C-AE56-96B62E14CB51}">
      <text>
        <r>
          <rPr>
            <b/>
            <sz val="9"/>
            <color indexed="81"/>
            <rFont val="Tahoma"/>
            <charset val="1"/>
          </rPr>
          <t>Anders Sundsdal:</t>
        </r>
        <r>
          <rPr>
            <sz val="9"/>
            <color indexed="81"/>
            <rFont val="Tahoma"/>
            <charset val="1"/>
          </rPr>
          <t xml:space="preserve">
Changed from na to 148</t>
        </r>
      </text>
    </comment>
    <comment ref="A686" authorId="0" shapeId="0" xr:uid="{6595BDBF-27C7-4E6C-88B6-D19590865840}">
      <text>
        <r>
          <rPr>
            <b/>
            <sz val="9"/>
            <color indexed="81"/>
            <rFont val="Tahoma"/>
            <family val="2"/>
          </rPr>
          <t>Anders Sundsdal:</t>
        </r>
        <r>
          <rPr>
            <sz val="9"/>
            <color indexed="81"/>
            <rFont val="Tahoma"/>
            <family val="2"/>
          </rPr>
          <t xml:space="preserve">
Corrected from R479? To R479 as it then corresponds to collection sheet.</t>
        </r>
      </text>
    </comment>
    <comment ref="A694" authorId="0" shapeId="0" xr:uid="{D79A5FF3-879D-4373-9851-CD76C30F2F16}">
      <text>
        <r>
          <rPr>
            <b/>
            <sz val="9"/>
            <color indexed="81"/>
            <rFont val="Tahoma"/>
            <charset val="1"/>
          </rPr>
          <t>Anders Sundsdal:</t>
        </r>
        <r>
          <rPr>
            <sz val="9"/>
            <color indexed="81"/>
            <rFont val="Tahoma"/>
            <charset val="1"/>
          </rPr>
          <t xml:space="preserve">
Changed from R480 to R486 due to duplicate in this sheet and it now corrsponds to ashed and collection sheet.</t>
        </r>
      </text>
    </comment>
    <comment ref="A709" authorId="0" shapeId="0" xr:uid="{86029802-79EF-421D-AA38-E54D1E2E5D69}">
      <text>
        <r>
          <rPr>
            <b/>
            <sz val="9"/>
            <color indexed="81"/>
            <rFont val="Tahoma"/>
            <family val="2"/>
          </rPr>
          <t>Anders Sundsdal:</t>
        </r>
        <r>
          <rPr>
            <sz val="9"/>
            <color indexed="81"/>
            <rFont val="Tahoma"/>
            <family val="2"/>
          </rPr>
          <t xml:space="preserve">
Changed from R561 to R501 then it corresponds to collectionsheet in plot 76</t>
        </r>
      </text>
    </comment>
    <comment ref="B709" authorId="0" shapeId="0" xr:uid="{BE39C1AA-0255-485D-8B9C-343071826F45}">
      <text>
        <r>
          <rPr>
            <b/>
            <sz val="9"/>
            <color indexed="81"/>
            <rFont val="Tahoma"/>
            <family val="2"/>
          </rPr>
          <t>Anders Sundsdal:</t>
        </r>
        <r>
          <rPr>
            <sz val="9"/>
            <color indexed="81"/>
            <rFont val="Tahoma"/>
            <family val="2"/>
          </rPr>
          <t xml:space="preserve">
plot 76? It says plot 75 on the bag</t>
        </r>
      </text>
    </comment>
    <comment ref="A714" authorId="0" shapeId="0" xr:uid="{6572A554-AB1F-4AB6-9A91-DC3A6CF6C2D4}">
      <text>
        <r>
          <rPr>
            <b/>
            <sz val="9"/>
            <color indexed="81"/>
            <rFont val="Tahoma"/>
            <family val="2"/>
          </rPr>
          <t>Anders Sundsdal:</t>
        </r>
        <r>
          <rPr>
            <sz val="9"/>
            <color indexed="81"/>
            <rFont val="Tahoma"/>
            <family val="2"/>
          </rPr>
          <t xml:space="preserve">
Change from G_ to R_ then it corresponds to ollection sheet.</t>
        </r>
      </text>
    </comment>
    <comment ref="B744" authorId="0" shapeId="0" xr:uid="{33719FF1-2E45-404C-A903-ED47DAE95BDD}">
      <text>
        <r>
          <rPr>
            <b/>
            <sz val="9"/>
            <color indexed="81"/>
            <rFont val="Tahoma"/>
            <family val="2"/>
          </rPr>
          <t>Anders Sundsdal:</t>
        </r>
        <r>
          <rPr>
            <sz val="9"/>
            <color indexed="81"/>
            <rFont val="Tahoma"/>
            <family val="2"/>
          </rPr>
          <t xml:space="preserve">
plot 182?</t>
        </r>
      </text>
    </comment>
    <comment ref="A753" authorId="0" shapeId="0" xr:uid="{EFB8EF1D-B878-49B8-B795-1E89C65F2408}">
      <text>
        <r>
          <rPr>
            <b/>
            <sz val="9"/>
            <color indexed="81"/>
            <rFont val="Tahoma"/>
            <charset val="1"/>
          </rPr>
          <t>Anders Sundsdal:</t>
        </r>
        <r>
          <rPr>
            <sz val="9"/>
            <color indexed="81"/>
            <rFont val="Tahoma"/>
            <charset val="1"/>
          </rPr>
          <t xml:space="preserve">
Changed from R516 to R546, since R516 is in dry season (R546 is not) and G516 is already in this sheet. It now corresponds to collection sheet.</t>
        </r>
      </text>
    </comment>
    <comment ref="B753" authorId="0" shapeId="0" xr:uid="{1843C560-B19A-4BB9-9C0A-A853A01AAD6D}">
      <text>
        <r>
          <rPr>
            <b/>
            <sz val="9"/>
            <color indexed="81"/>
            <rFont val="Tahoma"/>
            <charset val="1"/>
          </rPr>
          <t>Anders Sundsdal:</t>
        </r>
        <r>
          <rPr>
            <sz val="9"/>
            <color indexed="81"/>
            <rFont val="Tahoma"/>
            <charset val="1"/>
          </rPr>
          <t xml:space="preserve">
Changed from na to 72</t>
        </r>
      </text>
    </comment>
    <comment ref="A757" authorId="0" shapeId="0" xr:uid="{4A532ADB-01F3-4D35-8DF2-C1A58DFC8A45}">
      <text>
        <r>
          <rPr>
            <b/>
            <sz val="9"/>
            <color indexed="81"/>
            <rFont val="Tahoma"/>
            <family val="2"/>
          </rPr>
          <t>Anders Sundsdal:</t>
        </r>
        <r>
          <rPr>
            <sz val="9"/>
            <color indexed="81"/>
            <rFont val="Tahoma"/>
            <family val="2"/>
          </rPr>
          <t xml:space="preserve">
Duplicate (There is 2 bags with this code). UPDATE: Changed from 54a to R54. The wrongly written teabags are probably a mistake when writing on the teabag when they were weighed initially.</t>
        </r>
      </text>
    </comment>
    <comment ref="C757" authorId="0" shapeId="0" xr:uid="{E4C57499-CEE5-4071-BE62-804284B8D9C3}">
      <text>
        <r>
          <rPr>
            <b/>
            <sz val="9"/>
            <color indexed="81"/>
            <rFont val="Tahoma"/>
            <family val="2"/>
          </rPr>
          <t>Anders Sundsdal:</t>
        </r>
        <r>
          <rPr>
            <sz val="9"/>
            <color indexed="81"/>
            <rFont val="Tahoma"/>
            <family val="2"/>
          </rPr>
          <t xml:space="preserve">
Due to duplicate, it is weighed again (23.02.18) from 1.4925 to 1.4870.</t>
        </r>
      </text>
    </comment>
    <comment ref="A758" authorId="0" shapeId="0" xr:uid="{8ED9B794-F91D-4C78-A4B2-89AAA2EB4CCA}">
      <text>
        <r>
          <rPr>
            <b/>
            <sz val="9"/>
            <color indexed="81"/>
            <rFont val="Tahoma"/>
            <family val="2"/>
          </rPr>
          <t>Anders Sundsdal:</t>
        </r>
        <r>
          <rPr>
            <sz val="9"/>
            <color indexed="81"/>
            <rFont val="Tahoma"/>
            <family val="2"/>
          </rPr>
          <t xml:space="preserve">
Duplicate. Two teabags has the same code.UPDATE: Changed from 54b to R53. The wrongly written teabags are probably a mistake when writing on the teabag when they were weighed initially.</t>
        </r>
      </text>
    </comment>
    <comment ref="C758" authorId="0" shapeId="0" xr:uid="{4E14211A-D9F2-4B50-8444-39D964A1B1A8}">
      <text>
        <r>
          <rPr>
            <b/>
            <sz val="9"/>
            <color indexed="81"/>
            <rFont val="Tahoma"/>
            <family val="2"/>
          </rPr>
          <t>Anders Sundsdal:</t>
        </r>
        <r>
          <rPr>
            <sz val="9"/>
            <color indexed="81"/>
            <rFont val="Tahoma"/>
            <family val="2"/>
          </rPr>
          <t xml:space="preserve">
Due to duplicate, it is weighed again (23.02.18) from 1.555 to 1.5208.</t>
        </r>
      </text>
    </comment>
    <comment ref="B766" authorId="0" shapeId="0" xr:uid="{B8684FA5-A68A-422F-8AE6-63B070988564}">
      <text>
        <r>
          <rPr>
            <b/>
            <sz val="9"/>
            <color indexed="81"/>
            <rFont val="Tahoma"/>
            <family val="2"/>
          </rPr>
          <t>Anders Sundsdal:</t>
        </r>
        <r>
          <rPr>
            <sz val="9"/>
            <color indexed="81"/>
            <rFont val="Tahoma"/>
            <family val="2"/>
          </rPr>
          <t xml:space="preserve">
186? Then it corresponds with the collection sheet. UPDATE: Have checked bag 18: No corresponding teabags inside.</t>
        </r>
      </text>
    </comment>
    <comment ref="A774" authorId="0" shapeId="0" xr:uid="{53A1FE3C-DC70-4FE5-BBB5-324CBED60D3A}">
      <text>
        <r>
          <rPr>
            <b/>
            <sz val="9"/>
            <color indexed="81"/>
            <rFont val="Tahoma"/>
            <family val="2"/>
          </rPr>
          <t>Anders Sundsdal:</t>
        </r>
        <r>
          <rPr>
            <sz val="9"/>
            <color indexed="81"/>
            <rFont val="Tahoma"/>
            <family val="2"/>
          </rPr>
          <t xml:space="preserve">
Changed from R534 to R564 then it corresponds to collectionsheet</t>
        </r>
      </text>
    </comment>
    <comment ref="A782" authorId="0" shapeId="0" xr:uid="{A86A02C4-1821-40BC-9FCA-32B75AC04AEB}">
      <text>
        <r>
          <rPr>
            <b/>
            <sz val="9"/>
            <color indexed="81"/>
            <rFont val="Tahoma"/>
            <family val="2"/>
          </rPr>
          <t>Anders Sundsdal:</t>
        </r>
        <r>
          <rPr>
            <sz val="9"/>
            <color indexed="81"/>
            <rFont val="Tahoma"/>
            <family val="2"/>
          </rPr>
          <t xml:space="preserve">
Changed from R574 to R571 then it corresponds to the colection sheet</t>
        </r>
      </text>
    </comment>
    <comment ref="A784" authorId="0" shapeId="0" xr:uid="{816E7C54-E427-4E6B-95D2-CDFB266AF4BB}">
      <text>
        <r>
          <rPr>
            <b/>
            <sz val="9"/>
            <color indexed="81"/>
            <rFont val="Tahoma"/>
            <family val="2"/>
          </rPr>
          <t>Anders Sundsdal:</t>
        </r>
        <r>
          <rPr>
            <sz val="9"/>
            <color indexed="81"/>
            <rFont val="Tahoma"/>
            <family val="2"/>
          </rPr>
          <t xml:space="preserve">
Corrected from 523 to 573</t>
        </r>
      </text>
    </comment>
    <comment ref="A787" authorId="0" shapeId="0" xr:uid="{F7E32FAB-F223-4B86-9A8B-1D171D437EB3}">
      <text>
        <r>
          <rPr>
            <b/>
            <sz val="9"/>
            <color indexed="81"/>
            <rFont val="Tahoma"/>
            <family val="2"/>
          </rPr>
          <t>Anders Sundsdal:</t>
        </r>
        <r>
          <rPr>
            <sz val="9"/>
            <color indexed="81"/>
            <rFont val="Tahoma"/>
            <family val="2"/>
          </rPr>
          <t xml:space="preserve">
Duplicate. Uncertain what code this could be. UPDATE: Changed From R578 to R576 since this was recorder in ashed wet and collection.</t>
        </r>
      </text>
    </comment>
    <comment ref="B787" authorId="0" shapeId="0" xr:uid="{A40DA89A-8197-4B51-9F73-B6A1FA0C5F24}">
      <text>
        <r>
          <rPr>
            <b/>
            <sz val="9"/>
            <color indexed="81"/>
            <rFont val="Tahoma"/>
            <charset val="1"/>
          </rPr>
          <t>Anders Sundsdal:</t>
        </r>
        <r>
          <rPr>
            <sz val="9"/>
            <color indexed="81"/>
            <rFont val="Tahoma"/>
            <charset val="1"/>
          </rPr>
          <t xml:space="preserve">
Changed from na to 97</t>
        </r>
      </text>
    </comment>
    <comment ref="A789" authorId="0" shapeId="0" xr:uid="{C5A6D853-76B9-417C-A532-05605914201C}">
      <text>
        <r>
          <rPr>
            <b/>
            <sz val="9"/>
            <color indexed="81"/>
            <rFont val="Tahoma"/>
            <family val="2"/>
          </rPr>
          <t>Anders Sundsdal:</t>
        </r>
        <r>
          <rPr>
            <sz val="9"/>
            <color indexed="81"/>
            <rFont val="Tahoma"/>
            <family val="2"/>
          </rPr>
          <t xml:space="preserve">
Correct, corresponding to collecting sheet</t>
        </r>
      </text>
    </comment>
    <comment ref="A796" authorId="0" shapeId="0" xr:uid="{AD61690D-A390-40D0-91CC-682372A36AF5}">
      <text>
        <r>
          <rPr>
            <b/>
            <sz val="9"/>
            <color indexed="81"/>
            <rFont val="Tahoma"/>
            <family val="2"/>
          </rPr>
          <t>Anders Sundsdal:</t>
        </r>
        <r>
          <rPr>
            <sz val="9"/>
            <color indexed="81"/>
            <rFont val="Tahoma"/>
            <family val="2"/>
          </rPr>
          <t xml:space="preserve">
Corrected from G584 to R584. Checked the paperbag. This is correct.</t>
        </r>
      </text>
    </comment>
    <comment ref="B802" authorId="0" shapeId="0" xr:uid="{8264AFC7-89B4-4A13-8847-7805301D21C0}">
      <text>
        <r>
          <rPr>
            <b/>
            <sz val="9"/>
            <color indexed="81"/>
            <rFont val="Tahoma"/>
            <family val="2"/>
          </rPr>
          <t>Anders Sundsdal:</t>
        </r>
        <r>
          <rPr>
            <sz val="9"/>
            <color indexed="81"/>
            <rFont val="Tahoma"/>
            <family val="2"/>
          </rPr>
          <t xml:space="preserve">
Plot 106 most likely</t>
        </r>
      </text>
    </comment>
    <comment ref="B805" authorId="0" shapeId="0" xr:uid="{01331946-0856-43D0-BE95-B3EFB0070C27}">
      <text>
        <r>
          <rPr>
            <b/>
            <sz val="9"/>
            <color indexed="81"/>
            <rFont val="Tahoma"/>
            <family val="2"/>
          </rPr>
          <t>Anders Sundsdal:</t>
        </r>
        <r>
          <rPr>
            <sz val="9"/>
            <color indexed="81"/>
            <rFont val="Tahoma"/>
            <family val="2"/>
          </rPr>
          <t xml:space="preserve">
Plot 106 most likely</t>
        </r>
      </text>
    </comment>
    <comment ref="B815" authorId="0" shapeId="0" xr:uid="{1EBC5177-E452-4E61-A152-098C0EDCC87B}">
      <text>
        <r>
          <rPr>
            <b/>
            <sz val="9"/>
            <color indexed="81"/>
            <rFont val="Tahoma"/>
            <family val="2"/>
          </rPr>
          <t>Anders Sundsdal:</t>
        </r>
        <r>
          <rPr>
            <sz val="9"/>
            <color indexed="81"/>
            <rFont val="Tahoma"/>
            <family val="2"/>
          </rPr>
          <t xml:space="preserve">
Added later</t>
        </r>
      </text>
    </comment>
    <comment ref="B821" authorId="0" shapeId="0" xr:uid="{BF612AE5-FA10-4612-8170-2FB9EC9503BF}">
      <text>
        <r>
          <rPr>
            <b/>
            <sz val="9"/>
            <color indexed="81"/>
            <rFont val="Tahoma"/>
            <charset val="1"/>
          </rPr>
          <t>Anders Sundsdal:</t>
        </r>
        <r>
          <rPr>
            <sz val="9"/>
            <color indexed="81"/>
            <rFont val="Tahoma"/>
            <charset val="1"/>
          </rPr>
          <t xml:space="preserve">
Added later</t>
        </r>
      </text>
    </comment>
    <comment ref="B834" authorId="0" shapeId="0" xr:uid="{466F9910-399A-4870-A78E-D7B7DFCE09D6}">
      <text>
        <r>
          <rPr>
            <b/>
            <sz val="9"/>
            <color indexed="81"/>
            <rFont val="Tahoma"/>
            <family val="2"/>
          </rPr>
          <t>Anders Sundsdal:</t>
        </r>
        <r>
          <rPr>
            <sz val="9"/>
            <color indexed="81"/>
            <rFont val="Tahoma"/>
            <family val="2"/>
          </rPr>
          <t xml:space="preserve">
Added later</t>
        </r>
      </text>
    </comment>
    <comment ref="B835" authorId="0" shapeId="0" xr:uid="{216355CC-A6AF-4B08-8614-0EC2BC0B711D}">
      <text>
        <r>
          <rPr>
            <b/>
            <sz val="9"/>
            <color indexed="81"/>
            <rFont val="Tahoma"/>
            <family val="2"/>
          </rPr>
          <t>Anders Sundsdal:</t>
        </r>
        <r>
          <rPr>
            <sz val="9"/>
            <color indexed="81"/>
            <rFont val="Tahoma"/>
            <family val="2"/>
          </rPr>
          <t xml:space="preserve">
Changed from 25 to 213. Then th set of bags corresponds to collection sheet</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Anders Sundsdal</author>
  </authors>
  <commentList>
    <comment ref="A1510" authorId="0" shapeId="0" xr:uid="{74BFA3B5-D2AF-46D0-A9E3-0D2367D4810F}">
      <text>
        <r>
          <rPr>
            <b/>
            <sz val="9"/>
            <color indexed="81"/>
            <rFont val="Tahoma"/>
            <charset val="1"/>
          </rPr>
          <t>Anders Sundsdal:</t>
        </r>
        <r>
          <rPr>
            <sz val="9"/>
            <color indexed="81"/>
            <rFont val="Tahoma"/>
            <charset val="1"/>
          </rPr>
          <t xml:space="preserve">
Changed from R601 to R841 since this was a duplicate. Changed this number in all other sheets for dry season(including collection placement sheet for dry season)</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Anders Sundsdal</author>
  </authors>
  <commentList>
    <comment ref="J22" authorId="0" shapeId="0" xr:uid="{91A62570-80DA-49B5-9E59-6ADFBFA758A2}">
      <text>
        <r>
          <rPr>
            <b/>
            <sz val="9"/>
            <color indexed="81"/>
            <rFont val="Tahoma"/>
            <family val="2"/>
          </rPr>
          <t>Anders Sundsdal:</t>
        </r>
        <r>
          <rPr>
            <sz val="9"/>
            <color indexed="81"/>
            <rFont val="Tahoma"/>
            <family val="2"/>
          </rPr>
          <t xml:space="preserve">
NOT COLLECTED. Duplicate. Not correct. Cant' be R14 either as an other bag has this code. In AfterWet, plot number 21 is not written anywhere in the data.</t>
        </r>
      </text>
    </comment>
    <comment ref="G56" authorId="0" shapeId="0" xr:uid="{C8AAEC52-A57C-44EC-BD50-5C488AFC8F02}">
      <text>
        <r>
          <rPr>
            <b/>
            <sz val="9"/>
            <color indexed="81"/>
            <rFont val="Tahoma"/>
            <family val="2"/>
          </rPr>
          <t>Anders Sundsdal:</t>
        </r>
        <r>
          <rPr>
            <sz val="9"/>
            <color indexed="81"/>
            <rFont val="Tahoma"/>
            <family val="2"/>
          </rPr>
          <t xml:space="preserve">
Not collected</t>
        </r>
      </text>
    </comment>
    <comment ref="H56" authorId="0" shapeId="0" xr:uid="{4F58583B-DF85-482F-A0A3-A00F24187466}">
      <text>
        <r>
          <rPr>
            <b/>
            <sz val="9"/>
            <color indexed="81"/>
            <rFont val="Tahoma"/>
            <family val="2"/>
          </rPr>
          <t>Anders Sundsdal:</t>
        </r>
        <r>
          <rPr>
            <sz val="9"/>
            <color indexed="81"/>
            <rFont val="Tahoma"/>
            <family val="2"/>
          </rPr>
          <t xml:space="preserve">
Duplicate. Have been corrected in physical collection sheet stating R14. So this should be correct: 14. UPDATE: Checked the bag itself and it was R19. So now it shold be 19 in this cell.</t>
        </r>
      </text>
    </comment>
    <comment ref="J56" authorId="0" shapeId="0" xr:uid="{68D556D3-4060-4315-B270-2AEE1DA1823C}">
      <text>
        <r>
          <rPr>
            <b/>
            <sz val="9"/>
            <color indexed="81"/>
            <rFont val="Tahoma"/>
            <family val="2"/>
          </rPr>
          <t>Anders Sundsdal:</t>
        </r>
        <r>
          <rPr>
            <sz val="9"/>
            <color indexed="81"/>
            <rFont val="Tahoma"/>
            <family val="2"/>
          </rPr>
          <t xml:space="preserve">
Most likely true as the paprbag plot 55 has this number. This plot has only collected 3 teabags. UPDATE: The bag contains R54. But There is also a bag with same number. Enamed this bag 54b</t>
        </r>
      </text>
    </comment>
    <comment ref="G57" authorId="0" shapeId="0" xr:uid="{D5AD1576-1E7C-4232-AF57-1D2463439047}">
      <text>
        <r>
          <rPr>
            <b/>
            <sz val="9"/>
            <color indexed="81"/>
            <rFont val="Tahoma"/>
            <family val="2"/>
          </rPr>
          <t>Anders Sundsdal:</t>
        </r>
        <r>
          <rPr>
            <sz val="9"/>
            <color indexed="81"/>
            <rFont val="Tahoma"/>
            <family val="2"/>
          </rPr>
          <t xml:space="preserve">
Check paperbag with plot 56. In AfterWet it states that this is correct. Check the other duplucate first below.</t>
        </r>
      </text>
    </comment>
    <comment ref="G58" authorId="0" shapeId="0" xr:uid="{4765A9C4-22BC-45BC-B4D9-3E4AFBC3F166}">
      <text>
        <r>
          <rPr>
            <b/>
            <sz val="9"/>
            <color indexed="81"/>
            <rFont val="Tahoma"/>
            <family val="2"/>
          </rPr>
          <t>Anders Sundsdal:</t>
        </r>
        <r>
          <rPr>
            <sz val="9"/>
            <color indexed="81"/>
            <rFont val="Tahoma"/>
            <family val="2"/>
          </rPr>
          <t xml:space="preserve">
Duplicate. This one is wrong. Need to check the loose teabags in the big paperbag.UPDATE: Can't find it in loose bag</t>
        </r>
      </text>
    </comment>
    <comment ref="G71" authorId="0" shapeId="0" xr:uid="{1478B5A8-A198-4003-A284-06C3C9AA605D}">
      <text>
        <r>
          <rPr>
            <b/>
            <sz val="9"/>
            <color indexed="81"/>
            <rFont val="Tahoma"/>
            <family val="2"/>
          </rPr>
          <t>Anders Sundsdal:</t>
        </r>
        <r>
          <rPr>
            <sz val="9"/>
            <color indexed="81"/>
            <rFont val="Tahoma"/>
            <family val="2"/>
          </rPr>
          <t xml:space="preserve">
Check paperbag with plot 70. Maybe G338? In Afterwet it has 3 red codes. One of them green code?</t>
        </r>
      </text>
    </comment>
    <comment ref="J73" authorId="0" shapeId="0" xr:uid="{4772C744-75A5-4F09-A4E8-51530C757844}">
      <text>
        <r>
          <rPr>
            <b/>
            <sz val="9"/>
            <color indexed="81"/>
            <rFont val="Tahoma"/>
            <family val="2"/>
          </rPr>
          <t>Anders Sundsdal:</t>
        </r>
        <r>
          <rPr>
            <sz val="9"/>
            <color indexed="81"/>
            <rFont val="Tahoma"/>
            <family val="2"/>
          </rPr>
          <t xml:space="preserve">
No idea why this is a duplicate. Have to try and find he code in the bag with loose tea. If don't find code. This is an other code. UPDATE: this is the correct code: 14</t>
        </r>
      </text>
    </comment>
    <comment ref="I111" authorId="0" shapeId="0" xr:uid="{AB8165A4-CEE4-46DD-98A8-62C03F9B45B5}">
      <text>
        <r>
          <rPr>
            <b/>
            <sz val="9"/>
            <color indexed="81"/>
            <rFont val="Tahoma"/>
            <family val="2"/>
          </rPr>
          <t>Anders Sundsdal:</t>
        </r>
        <r>
          <rPr>
            <sz val="9"/>
            <color indexed="81"/>
            <rFont val="Tahoma"/>
            <family val="2"/>
          </rPr>
          <t xml:space="preserve">
Not found in the AfterWet sheet. UPDATE: Found a teabag which looked like 88. But was 882. THs is also updatetd in AfterWet</t>
        </r>
      </text>
    </comment>
    <comment ref="J111" authorId="0" shapeId="0" xr:uid="{B1CDC4A4-AA60-455B-9260-5DA36BEEADE9}">
      <text>
        <r>
          <rPr>
            <b/>
            <sz val="9"/>
            <color indexed="81"/>
            <rFont val="Tahoma"/>
            <family val="2"/>
          </rPr>
          <t>Anders Sundsdal:</t>
        </r>
        <r>
          <rPr>
            <sz val="9"/>
            <color indexed="81"/>
            <rFont val="Tahoma"/>
            <family val="2"/>
          </rPr>
          <t xml:space="preserve">
Have to check the teabags in loose paperbag. UPDATE: Found one bag with this number. So there is two teabags with same number. Renamed the bag 54a.</t>
        </r>
      </text>
    </comment>
    <comment ref="G202" authorId="0" shapeId="0" xr:uid="{750A5902-59E3-4A66-A056-8C8CC77CF580}">
      <text>
        <r>
          <rPr>
            <b/>
            <sz val="9"/>
            <color indexed="81"/>
            <rFont val="Tahoma"/>
            <family val="2"/>
          </rPr>
          <t>Anders Sundsdal:</t>
        </r>
        <r>
          <rPr>
            <sz val="9"/>
            <color indexed="81"/>
            <rFont val="Tahoma"/>
            <family val="2"/>
          </rPr>
          <t xml:space="preserve">
Missing in AfterWet</t>
        </r>
      </text>
    </comment>
    <comment ref="I208" authorId="0" shapeId="0" xr:uid="{A3A7B9FD-7C11-46B7-BD58-F3F56B877DC5}">
      <text>
        <r>
          <rPr>
            <b/>
            <sz val="9"/>
            <color indexed="81"/>
            <rFont val="Tahoma"/>
            <family val="2"/>
          </rPr>
          <t>Anders Sundsdal:</t>
        </r>
        <r>
          <rPr>
            <sz val="9"/>
            <color indexed="81"/>
            <rFont val="Tahoma"/>
            <family val="2"/>
          </rPr>
          <t xml:space="preserve">
Most likely correct</t>
        </r>
      </text>
    </comment>
    <comment ref="J211" authorId="0" shapeId="0" xr:uid="{7B7A3926-F583-4308-8D9C-087956E6ECC7}">
      <text>
        <r>
          <rPr>
            <b/>
            <sz val="9"/>
            <color indexed="81"/>
            <rFont val="Tahoma"/>
            <family val="2"/>
          </rPr>
          <t>Anders Sundsdal:</t>
        </r>
        <r>
          <rPr>
            <sz val="9"/>
            <color indexed="81"/>
            <rFont val="Tahoma"/>
            <family val="2"/>
          </rPr>
          <t xml:space="preserve">
Corrected from 342 to 392. Most likely 392 when looking at the physical placement sheet.</t>
        </r>
      </text>
    </comment>
    <comment ref="J212" authorId="0" shapeId="0" xr:uid="{7F77E8A2-2BC6-44CE-B4D3-3EA6BC418F23}">
      <text>
        <r>
          <rPr>
            <b/>
            <sz val="9"/>
            <color indexed="81"/>
            <rFont val="Tahoma"/>
            <family val="2"/>
          </rPr>
          <t>Anders Sundsdal:</t>
        </r>
        <r>
          <rPr>
            <sz val="9"/>
            <color indexed="81"/>
            <rFont val="Tahoma"/>
            <family val="2"/>
          </rPr>
          <t xml:space="preserve">
Corrected by looking at the post-incubation reading.</t>
        </r>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Anders Sundsdal</author>
  </authors>
  <commentList>
    <comment ref="K350" authorId="0" shapeId="0" xr:uid="{69857D80-FB1B-4FD0-BD9D-3BCDFE167C91}">
      <text>
        <r>
          <rPr>
            <b/>
            <sz val="9"/>
            <color indexed="81"/>
            <rFont val="Tahoma"/>
            <family val="2"/>
          </rPr>
          <t>Anders Sundsdal:</t>
        </r>
        <r>
          <rPr>
            <sz val="9"/>
            <color indexed="81"/>
            <rFont val="Tahoma"/>
            <family val="2"/>
          </rPr>
          <t xml:space="preserve">
Finner ikke R54b i initial weight</t>
        </r>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Anders Sundsdal</author>
  </authors>
  <commentList>
    <comment ref="K350" authorId="0" shapeId="0" xr:uid="{6A816C0E-DA43-465F-A974-173FEB66AEA9}">
      <text>
        <r>
          <rPr>
            <b/>
            <sz val="9"/>
            <color indexed="81"/>
            <rFont val="Tahoma"/>
            <family val="2"/>
          </rPr>
          <t>Anders Sundsdal:</t>
        </r>
        <r>
          <rPr>
            <sz val="9"/>
            <color indexed="81"/>
            <rFont val="Tahoma"/>
            <family val="2"/>
          </rPr>
          <t xml:space="preserve">
Finner ikke R54b i initial weight</t>
        </r>
      </text>
    </comment>
  </commentList>
</comments>
</file>

<file path=xl/comments13.xml><?xml version="1.0" encoding="utf-8"?>
<comments xmlns="http://schemas.openxmlformats.org/spreadsheetml/2006/main" xmlns:mc="http://schemas.openxmlformats.org/markup-compatibility/2006" xmlns:xr="http://schemas.microsoft.com/office/spreadsheetml/2014/revision" mc:Ignorable="xr">
  <authors>
    <author>Anders Sundsdal</author>
  </authors>
  <commentList>
    <comment ref="K350" authorId="0" shapeId="0" xr:uid="{8108A2CD-ABFD-43CE-9F51-C8E728B3BBE5}">
      <text>
        <r>
          <rPr>
            <b/>
            <sz val="9"/>
            <color indexed="81"/>
            <rFont val="Tahoma"/>
            <family val="2"/>
          </rPr>
          <t>Anders Sundsdal:</t>
        </r>
        <r>
          <rPr>
            <sz val="9"/>
            <color indexed="81"/>
            <rFont val="Tahoma"/>
            <family val="2"/>
          </rPr>
          <t xml:space="preserve">
Finner ikke R54b i initial weight</t>
        </r>
      </text>
    </comment>
    <comment ref="K405" authorId="0" shapeId="0" xr:uid="{79D8EFFC-EAA6-4134-9D54-56D2A2749273}">
      <text>
        <r>
          <rPr>
            <b/>
            <sz val="9"/>
            <color indexed="81"/>
            <rFont val="Tahoma"/>
            <family val="2"/>
          </rPr>
          <t>Anders Sundsdal:</t>
        </r>
        <r>
          <rPr>
            <sz val="9"/>
            <color indexed="81"/>
            <rFont val="Tahoma"/>
            <family val="2"/>
          </rPr>
          <t xml:space="preserve">
R54a ikke i initial weight arket
</t>
        </r>
      </text>
    </comment>
  </commentList>
</comments>
</file>

<file path=xl/comments14.xml><?xml version="1.0" encoding="utf-8"?>
<comments xmlns="http://schemas.openxmlformats.org/spreadsheetml/2006/main" xmlns:mc="http://schemas.openxmlformats.org/markup-compatibility/2006" xmlns:xr="http://schemas.microsoft.com/office/spreadsheetml/2014/revision" mc:Ignorable="xr">
  <authors>
    <author>Anders Sundsdal</author>
  </authors>
  <commentList>
    <comment ref="K350" authorId="0" shapeId="0" xr:uid="{D92F788D-0498-4AA2-B741-D6428F6FC5B0}">
      <text>
        <r>
          <rPr>
            <b/>
            <sz val="9"/>
            <color indexed="81"/>
            <rFont val="Tahoma"/>
            <family val="2"/>
          </rPr>
          <t>Anders Sundsdal:</t>
        </r>
        <r>
          <rPr>
            <sz val="9"/>
            <color indexed="81"/>
            <rFont val="Tahoma"/>
            <family val="2"/>
          </rPr>
          <t xml:space="preserve">
Finner ikke R54b i initial weight</t>
        </r>
      </text>
    </comment>
    <comment ref="K405" authorId="0" shapeId="0" xr:uid="{6810FF8F-78ED-45BC-A3E5-391374467E5F}">
      <text>
        <r>
          <rPr>
            <b/>
            <sz val="9"/>
            <color indexed="81"/>
            <rFont val="Tahoma"/>
            <family val="2"/>
          </rPr>
          <t>Anders Sundsdal:</t>
        </r>
        <r>
          <rPr>
            <sz val="9"/>
            <color indexed="81"/>
            <rFont val="Tahoma"/>
            <family val="2"/>
          </rPr>
          <t xml:space="preserve">
R54a ikke i initial weight arket
</t>
        </r>
      </text>
    </comment>
  </commentList>
</comments>
</file>

<file path=xl/sharedStrings.xml><?xml version="1.0" encoding="utf-8"?>
<sst xmlns="http://schemas.openxmlformats.org/spreadsheetml/2006/main" count="39481" uniqueCount="3250">
  <si>
    <t>Principal investigator</t>
  </si>
  <si>
    <t>Affiliation PI</t>
  </si>
  <si>
    <t>Email address of principal investigator</t>
  </si>
  <si>
    <t>Email address secondary investigator</t>
  </si>
  <si>
    <t>Country</t>
  </si>
  <si>
    <t>Name of the project</t>
  </si>
  <si>
    <t>Aim of the project</t>
  </si>
  <si>
    <t>Reference (APA)</t>
  </si>
  <si>
    <r>
      <t>Hydrolysable fraction green tea (</t>
    </r>
    <r>
      <rPr>
        <b/>
        <sz val="11"/>
        <rFont val="Calibri"/>
        <family val="2"/>
      </rPr>
      <t>Hg</t>
    </r>
    <r>
      <rPr>
        <sz val="11"/>
        <rFont val="Calibri"/>
        <family val="2"/>
      </rPr>
      <t>)</t>
    </r>
  </si>
  <si>
    <r>
      <t>Hydrolysable fraction red tea (</t>
    </r>
    <r>
      <rPr>
        <b/>
        <sz val="11"/>
        <rFont val="Calibri"/>
        <family val="2"/>
      </rPr>
      <t>Hr</t>
    </r>
    <r>
      <rPr>
        <sz val="11"/>
        <rFont val="Calibri"/>
        <family val="2"/>
      </rPr>
      <t>)</t>
    </r>
  </si>
  <si>
    <t>Weight of bag (Wbag)</t>
  </si>
  <si>
    <t>Weight of cord (Wcord)</t>
  </si>
  <si>
    <t>Weight of cord + bag (Wcordandbag)</t>
  </si>
  <si>
    <t>Weight of label (Wlabel)</t>
  </si>
  <si>
    <t>Correction for handling and drying green tea (FcorrGreen)</t>
  </si>
  <si>
    <t>Correction for handling and drying red tea (FcorrRed)</t>
  </si>
  <si>
    <t>Location codes</t>
  </si>
  <si>
    <t>Coordinates (WGS1984 - decimal)</t>
  </si>
  <si>
    <t>LAT</t>
  </si>
  <si>
    <t>Grassland</t>
  </si>
  <si>
    <t>Pasture</t>
  </si>
  <si>
    <t>Treatment codes</t>
  </si>
  <si>
    <t>Ambient</t>
  </si>
  <si>
    <t>Sample ID</t>
  </si>
  <si>
    <t>Location</t>
  </si>
  <si>
    <t>Treatment</t>
  </si>
  <si>
    <t>Replicate</t>
  </si>
  <si>
    <r>
      <t>D</t>
    </r>
    <r>
      <rPr>
        <sz val="11"/>
        <rFont val="Calibri"/>
        <family val="2"/>
      </rPr>
      <t>ate of burial</t>
    </r>
  </si>
  <si>
    <r>
      <t xml:space="preserve">Initial weight </t>
    </r>
    <r>
      <rPr>
        <sz val="11"/>
        <color indexed="10"/>
        <rFont val="Calibri"/>
        <family val="2"/>
      </rPr>
      <t xml:space="preserve">red tea </t>
    </r>
    <r>
      <rPr>
        <sz val="11"/>
        <color indexed="8"/>
        <rFont val="Calibri"/>
        <family val="2"/>
      </rPr>
      <t>including bag, cord, and label</t>
    </r>
  </si>
  <si>
    <r>
      <t xml:space="preserve">Initial weight </t>
    </r>
    <r>
      <rPr>
        <sz val="11"/>
        <color indexed="17"/>
        <rFont val="Calibri"/>
        <family val="2"/>
      </rPr>
      <t>green tea</t>
    </r>
    <r>
      <rPr>
        <sz val="11"/>
        <color indexed="8"/>
        <rFont val="Calibri"/>
        <family val="2"/>
      </rPr>
      <t xml:space="preserve"> tea only</t>
    </r>
  </si>
  <si>
    <r>
      <t xml:space="preserve">Initial weight </t>
    </r>
    <r>
      <rPr>
        <sz val="11"/>
        <color indexed="10"/>
        <rFont val="Calibri"/>
        <family val="2"/>
      </rPr>
      <t xml:space="preserve">red tea </t>
    </r>
    <r>
      <rPr>
        <sz val="11"/>
        <color indexed="8"/>
        <rFont val="Calibri"/>
        <family val="2"/>
      </rPr>
      <t>tea only</t>
    </r>
  </si>
  <si>
    <t>Recovery date</t>
  </si>
  <si>
    <t>Final weight green tea including bag and cord, no label</t>
  </si>
  <si>
    <t>Final weight red tea including bag and cord, no label</t>
  </si>
  <si>
    <r>
      <t xml:space="preserve">Final weight </t>
    </r>
    <r>
      <rPr>
        <sz val="11"/>
        <color indexed="17"/>
        <rFont val="Calibri"/>
        <family val="2"/>
      </rPr>
      <t xml:space="preserve">green tea </t>
    </r>
    <r>
      <rPr>
        <sz val="11"/>
        <color indexed="8"/>
        <rFont val="Calibri"/>
        <family val="2"/>
      </rPr>
      <t>tea only</t>
    </r>
  </si>
  <si>
    <r>
      <t xml:space="preserve">Final weight </t>
    </r>
    <r>
      <rPr>
        <sz val="11"/>
        <color indexed="10"/>
        <rFont val="Calibri"/>
        <family val="2"/>
      </rPr>
      <t xml:space="preserve">red tea </t>
    </r>
    <r>
      <rPr>
        <sz val="11"/>
        <color indexed="8"/>
        <rFont val="Calibri"/>
        <family val="2"/>
      </rPr>
      <t>tea only</t>
    </r>
  </si>
  <si>
    <r>
      <t xml:space="preserve">Fraction decomposed </t>
    </r>
    <r>
      <rPr>
        <sz val="11"/>
        <color indexed="17"/>
        <rFont val="Calibri"/>
        <family val="2"/>
      </rPr>
      <t>green tea</t>
    </r>
    <r>
      <rPr>
        <sz val="11"/>
        <color indexed="8"/>
        <rFont val="Calibri"/>
        <family val="2"/>
      </rPr>
      <t xml:space="preserve"> (</t>
    </r>
    <r>
      <rPr>
        <b/>
        <sz val="11"/>
        <color indexed="8"/>
        <rFont val="Calibri"/>
        <family val="2"/>
      </rPr>
      <t>ag</t>
    </r>
    <r>
      <rPr>
        <sz val="11"/>
        <color indexed="8"/>
        <rFont val="Calibri"/>
        <family val="2"/>
      </rPr>
      <t>)</t>
    </r>
  </si>
  <si>
    <r>
      <t xml:space="preserve">Predicted labile fraction </t>
    </r>
    <r>
      <rPr>
        <sz val="11"/>
        <color indexed="10"/>
        <rFont val="Calibri"/>
        <family val="2"/>
      </rPr>
      <t>red tea</t>
    </r>
    <r>
      <rPr>
        <sz val="11"/>
        <color indexed="8"/>
        <rFont val="Calibri"/>
        <family val="2"/>
      </rPr>
      <t xml:space="preserve"> (</t>
    </r>
    <r>
      <rPr>
        <b/>
        <sz val="11"/>
        <color indexed="8"/>
        <rFont val="Calibri"/>
        <family val="2"/>
      </rPr>
      <t>ar</t>
    </r>
    <r>
      <rPr>
        <sz val="11"/>
        <color indexed="8"/>
        <rFont val="Calibri"/>
        <family val="2"/>
      </rPr>
      <t>)</t>
    </r>
  </si>
  <si>
    <r>
      <t xml:space="preserve"> Fraction remaining   </t>
    </r>
    <r>
      <rPr>
        <sz val="11"/>
        <color indexed="10"/>
        <rFont val="Calibri"/>
        <family val="2"/>
      </rPr>
      <t xml:space="preserve">   red tea</t>
    </r>
    <r>
      <rPr>
        <sz val="11"/>
        <color indexed="8"/>
        <rFont val="Calibri"/>
        <family val="2"/>
      </rPr>
      <t xml:space="preserve"> (</t>
    </r>
    <r>
      <rPr>
        <b/>
        <sz val="11"/>
        <color indexed="8"/>
        <rFont val="Calibri"/>
        <family val="2"/>
      </rPr>
      <t>Wt</t>
    </r>
    <r>
      <rPr>
        <sz val="11"/>
        <color indexed="8"/>
        <rFont val="Calibri"/>
        <family val="2"/>
      </rPr>
      <t>)</t>
    </r>
  </si>
  <si>
    <r>
      <t xml:space="preserve">incubation time      </t>
    </r>
    <r>
      <rPr>
        <sz val="11"/>
        <color indexed="10"/>
        <rFont val="Calibri"/>
        <family val="2"/>
      </rPr>
      <t>red</t>
    </r>
    <r>
      <rPr>
        <sz val="11"/>
        <color indexed="8"/>
        <rFont val="Calibri"/>
        <family val="2"/>
      </rPr>
      <t xml:space="preserve"> and </t>
    </r>
    <r>
      <rPr>
        <sz val="11"/>
        <color indexed="17"/>
        <rFont val="Calibri"/>
        <family val="2"/>
      </rPr>
      <t>green</t>
    </r>
    <r>
      <rPr>
        <sz val="11"/>
        <color indexed="8"/>
        <rFont val="Calibri"/>
        <family val="2"/>
      </rPr>
      <t xml:space="preserve"> tea (</t>
    </r>
    <r>
      <rPr>
        <b/>
        <sz val="11"/>
        <color indexed="8"/>
        <rFont val="Calibri"/>
        <family val="2"/>
      </rPr>
      <t>t</t>
    </r>
    <r>
      <rPr>
        <sz val="11"/>
        <color indexed="8"/>
        <rFont val="Calibri"/>
        <family val="2"/>
      </rPr>
      <t>)</t>
    </r>
  </si>
  <si>
    <t>S</t>
  </si>
  <si>
    <t>k</t>
  </si>
  <si>
    <t>GENERAL COMMENTS</t>
  </si>
  <si>
    <t>Use 'ambient' for your treatment that resembles the natural/unchanged/control conditions for your location</t>
  </si>
  <si>
    <t>Simply leave the field open in case of missing data.</t>
  </si>
  <si>
    <t>Restrict making remarks on your samples to a minimum. Instead, leave out questionable datapoints (e.g. from bags with root ingrowth or holes or that deviate otherwise from the standardized method).</t>
  </si>
  <si>
    <r>
      <t xml:space="preserve">When sending the data back to us, only send the data that you trust and that followed the standardized protocol </t>
    </r>
    <r>
      <rPr>
        <sz val="11"/>
        <color indexed="17"/>
        <rFont val="Calibri"/>
        <family val="2"/>
      </rPr>
      <t>(Keuskamp et al., 2013)</t>
    </r>
    <r>
      <rPr>
        <sz val="11"/>
        <color indexed="8"/>
        <rFont val="Calibri"/>
        <family val="2"/>
      </rPr>
      <t>.
Data can be sent to TBIteam@decolab.org.</t>
    </r>
  </si>
  <si>
    <t>PROTOCOL</t>
  </si>
  <si>
    <t>1. Take an unused Lipton Green tea (EAN 87 22700 05552 5) and Rooibos tea (EAN 87 22700 18843 8) bag per replicate. To obtain better estimates of TBI, bury more replicates per site.</t>
  </si>
  <si>
    <t>2. Measure the initial, air-dry weight of the tea bag (.000 g) -including bag, cord and label-</t>
  </si>
  <si>
    <t>3. (optional) Determine the air-dry to oven-dry ratio on bags without label. Also determine the weigh of a few empty the bags, cords and labels.</t>
  </si>
  <si>
    <t>4. Mark the tea bags on the white side of the label with a permanent black marker.</t>
  </si>
  <si>
    <t>5. Bury the teabags in 8 cm-deep, separate holes while keeping the labels visible above the soil.</t>
  </si>
  <si>
    <t>6. Note the date of burial and geographical position of the site.</t>
  </si>
  <si>
    <t>7. Recover the tea bags after approximately 90 days</t>
  </si>
  <si>
    <t>8. Remove adhered soil particles and dry in a stove for 48h at 70°C (not warmer!).</t>
  </si>
  <si>
    <t>9. Remove what is left of the label but leave the cord and weigh the bags (.000 g).</t>
  </si>
  <si>
    <t>10. Fill in this sheet and send it to TBIteam@decolab.org</t>
  </si>
  <si>
    <t>EXPLANATION OF THE FIELDS</t>
  </si>
  <si>
    <t>METADATA</t>
  </si>
  <si>
    <t>Your full name.</t>
  </si>
  <si>
    <t>Affiliation name and country.</t>
  </si>
  <si>
    <t>Your email address.</t>
  </si>
  <si>
    <t>If available, someone who, in ten year will still be available.</t>
  </si>
  <si>
    <t>Which name do you use to describe your project? If your 
research is part of a bigger initiative, write the project name.</t>
  </si>
  <si>
    <t>The country where you work</t>
  </si>
  <si>
    <t>Shortly describe your main question, and other relevant 
information to understand differences between your treatments.</t>
  </si>
  <si>
    <t>Provide a references to publications in which these data are used (if applicable).</t>
  </si>
  <si>
    <t>COMMON DATA</t>
  </si>
  <si>
    <t>This is the fraction of the green tea material that is considered to be decomposable. It is all the material that can be removed by water and acid extractions.</t>
  </si>
  <si>
    <t>See Keuskamp et al., 2013 for methods</t>
  </si>
  <si>
    <t>Idem for red tea.</t>
  </si>
  <si>
    <t>Weight of the plastic of the triangular bag only (g).</t>
  </si>
  <si>
    <t>you can replace the standard weight by your own weight</t>
  </si>
  <si>
    <t>Weight of the plastic cord only (g).</t>
  </si>
  <si>
    <t>Weight of the square label only (g).</t>
  </si>
  <si>
    <t>Correction that can be applied to correct for air-dry start weight and oven
dried end weight and loss of litter before digging down the GREEN tea. Under the assumption that the bag and cord have a negligible moisture content</t>
  </si>
  <si>
    <t>Not obligatory</t>
  </si>
  <si>
    <t>calculate correction factor</t>
  </si>
  <si>
    <t>Start weight (air-dry, with label and cord)</t>
  </si>
  <si>
    <t>Weight after handling and drying (without label, remove the label after drying, before weighing)</t>
  </si>
  <si>
    <t>F corr</t>
  </si>
  <si>
    <t>green1</t>
  </si>
  <si>
    <t>green2</t>
  </si>
  <si>
    <t>etc.</t>
  </si>
  <si>
    <t>red1</t>
  </si>
  <si>
    <t>red2</t>
  </si>
  <si>
    <t>LOCATION CODES</t>
  </si>
  <si>
    <t>example</t>
  </si>
  <si>
    <t>TREATMENT CODES</t>
  </si>
  <si>
    <t>Shortly describe your treatments here, or refer to an accepted
manuscript that describes the treatments. Make sure that the treatment codes are consistent with this manuscript.</t>
  </si>
  <si>
    <t xml:space="preserve">Use ambient if the data aplies to unchanged conditions of your location (e.g. do not use control, unwarmed, unfertilized,  not treated etc., use ambient instead). </t>
  </si>
  <si>
    <t>Give a general description of the treatment.</t>
  </si>
  <si>
    <t>SAMPLE DATA</t>
  </si>
  <si>
    <t>If you don't have your own sample ID, you can number them.</t>
  </si>
  <si>
    <t>Use location codes as you defined above.</t>
  </si>
  <si>
    <t>If applicable, use treatment codes defined as above, else leave empty.</t>
  </si>
  <si>
    <t>If applicable, use a code to indicate replicates, else leave empty.</t>
  </si>
  <si>
    <r>
      <t>D</t>
    </r>
    <r>
      <rPr>
        <sz val="11"/>
        <rFont val="Calibri"/>
        <family val="2"/>
      </rPr>
      <t xml:space="preserve">ate of burial (dd/mm/yyyy) </t>
    </r>
  </si>
  <si>
    <t>Date on which you buried the tea. Use the format that your computer settings wants you to use. Check if it shows correctly.</t>
  </si>
  <si>
    <r>
      <t xml:space="preserve">Initial weight </t>
    </r>
    <r>
      <rPr>
        <sz val="11"/>
        <color indexed="17"/>
        <rFont val="Calibri"/>
        <family val="2"/>
      </rPr>
      <t xml:space="preserve">green tea </t>
    </r>
    <r>
      <rPr>
        <sz val="11"/>
        <color indexed="8"/>
        <rFont val="Calibri"/>
        <family val="2"/>
      </rPr>
      <t xml:space="preserve">including bag, cord and label </t>
    </r>
  </si>
  <si>
    <r>
      <t xml:space="preserve">This is the dry weight (g) of the </t>
    </r>
    <r>
      <rPr>
        <b/>
        <sz val="11"/>
        <color indexed="8"/>
        <rFont val="Calibri"/>
        <family val="2"/>
      </rPr>
      <t xml:space="preserve">entire bag </t>
    </r>
    <r>
      <rPr>
        <sz val="11"/>
        <color indexed="8"/>
        <rFont val="Calibri"/>
        <family val="2"/>
      </rPr>
      <t>before burial of Green tea.</t>
    </r>
  </si>
  <si>
    <r>
      <t xml:space="preserve">This is the dry weight (g) of the </t>
    </r>
    <r>
      <rPr>
        <b/>
        <sz val="11"/>
        <color indexed="8"/>
        <rFont val="Calibri"/>
        <family val="2"/>
      </rPr>
      <t xml:space="preserve">entire bag </t>
    </r>
    <r>
      <rPr>
        <sz val="11"/>
        <color indexed="8"/>
        <rFont val="Calibri"/>
        <family val="2"/>
      </rPr>
      <t>before burial of Rooibos tea.</t>
    </r>
  </si>
  <si>
    <t xml:space="preserve">This is the dry weight (g) of the Green tea inside the bag. </t>
  </si>
  <si>
    <t>Optional: Use FcorrGreen for correcting weight loss by handling and drying</t>
  </si>
  <si>
    <t xml:space="preserve">This is the dry weight (g) of the Rooibos tea inside the bag. </t>
  </si>
  <si>
    <t>Optional: Use FcorrRed for correcting weight loss by handling and drying</t>
  </si>
  <si>
    <t xml:space="preserve">Recovery date (dd/mm/yyyy) </t>
  </si>
  <si>
    <t>Date on which the tea was retrieved. Check if the date is shown correctly.</t>
  </si>
  <si>
    <t>This is the dry weight of the Green tea inside the bag after decomposition.</t>
  </si>
  <si>
    <t>This is the dry weight of the Rooibos tea inside the bag after decomposition.</t>
  </si>
  <si>
    <t>This is the fraction of the Green tea inside the bag that was decomposed (ag).</t>
  </si>
  <si>
    <t>This is a intermediate step to come to the calculation of k.</t>
  </si>
  <si>
    <t>This is the fraction of the Rooibos tea that is remaining. (Wt).</t>
  </si>
  <si>
    <t>This is the number of days that the tea bag was in the soil.</t>
  </si>
  <si>
    <t>This is the stabilization factor indicating how much of the material was stabilized.</t>
  </si>
  <si>
    <t>This is decomposition speed k, higher values indicate faster decomposition.</t>
  </si>
  <si>
    <t>See Keuskamp et al, 2013 for reasoning behind the formulae used in this sheet</t>
  </si>
  <si>
    <t>Issue</t>
  </si>
  <si>
    <t>Status</t>
  </si>
  <si>
    <t>Open Since</t>
  </si>
  <si>
    <t xml:space="preserve">Days </t>
  </si>
  <si>
    <t>noted by</t>
  </si>
  <si>
    <t xml:space="preserve">assigned to </t>
  </si>
  <si>
    <t>Resolved</t>
  </si>
  <si>
    <t>JS</t>
  </si>
  <si>
    <t>JK</t>
  </si>
  <si>
    <t>in colom I and J and N and O, there are cell numbers in the formula's no names. I think it is no problem, but I don't know if it was on purpose? JK: Yes</t>
  </si>
  <si>
    <t>minor suggestions for labels (r21,25 and 28)</t>
  </si>
  <si>
    <t>TL</t>
  </si>
  <si>
    <t>manual, row 37: should say Keuskamp et al., 2013, right?</t>
  </si>
  <si>
    <t>data, row 3: consists of four part, at the moment code legend is missing.</t>
  </si>
  <si>
    <t>metadata: I would add affiliation of the PI as well</t>
  </si>
  <si>
    <t>on hold</t>
  </si>
  <si>
    <t xml:space="preserve">wieghts of the empty bags: with how many different sets have we confirmed this?
I´ve noticed there is quite a lot of differences in the weights of the tea bags nowadays. </t>
  </si>
  <si>
    <t>JS: by adding the protocol for researchers we stimulate people to determine it themselves</t>
  </si>
  <si>
    <t xml:space="preserve">location codes: we could expand this already with some more location codes (e.g. Forest, cropland). Could we call location code land use type? </t>
  </si>
  <si>
    <t>JK: Land use type is only one example of the possible variation that is measured.
This field might also contain something like ecosystem, height, etc etc</t>
  </si>
  <si>
    <t>JS: Location doesn't win the beauty contest, but can't think of something better either. I added extra explanation in the manual sheet.</t>
  </si>
  <si>
    <t>Add possibility to include handling loss</t>
  </si>
  <si>
    <t>JK: I have added a factor Fcorrection, which can be used for this purpose. 
People should be instructed about correctly using this term in the manual see also issue 19</t>
  </si>
  <si>
    <t>we now double ask for location details in row 15-16 and row 31</t>
  </si>
  <si>
    <t>in row 25 and 29 there remained a comment, should be removed</t>
  </si>
  <si>
    <t>the manual labels and their explanation are still from an older version, I gave suggestions, placed in colum G and further</t>
  </si>
  <si>
    <t>the format of the bury and retrieve date changes when you want to alter it, first it si shown date/month/year, and when you double click on it, you get month/date/year. This is confusing and will lead to mistakes</t>
  </si>
  <si>
    <t>do we want to correct airdry starting values to ovendry starting values??</t>
  </si>
  <si>
    <t>JK: I included Fcorrection factor (see also issue 10). Created issue 19</t>
  </si>
  <si>
    <t>there does not appear an error if S cannot be calculated</t>
  </si>
  <si>
    <t>JK: Judith, what do you mean by this comment?</t>
  </si>
  <si>
    <t>JS: I was referring to error 2 and 3 in the datasheet (i added examples). In an older version, in the absence of endweight of green tea,
 it still calculated a S, by which you would get a weird k. pondering on that I wondered if we should do something to prevent example 1 mistakes.</t>
  </si>
  <si>
    <t>it is not possible to copy paste some information directly into the purlpe cells, you first have to go in to the cel, and than paste, it is not lethal, just a bit anoying</t>
  </si>
  <si>
    <t>Judith, I cannot reproduce this error</t>
  </si>
  <si>
    <t>stap 1: copieer de cellen in het blokje</t>
  </si>
  <si>
    <t>stap 2: ga naar de data sheet, en selecteer daar twee cellen in het bovenste paarse blokje</t>
  </si>
  <si>
    <t>stap 3: ctr v</t>
  </si>
  <si>
    <t>geeft error due to merged cells =&gt; daarom heb ik ze ge-unmerged</t>
  </si>
  <si>
    <t>there is no possibility to write down remarks per sample. Do we want to instruct people only to add thrustworthy data or should it also be possible to add somewhere: string was lost, fungus growth observed, this value is the average of 3, small hole after digging, maybe not completely dry, silt in bag, bag was pulled out the soil, etc...</t>
  </si>
  <si>
    <t>JK: we want to instruct people to only add thrustworthy data: qualitative remarks to quantitative data cannot be uniformely processesed Created issue 20</t>
  </si>
  <si>
    <t>how do we want missing values to be indicated? As NA, broken, missing…..</t>
  </si>
  <si>
    <t>JK: Empty would work best. NA is also fine, anything else is won't work. in a future version I could program the script such that anything non-numerical will be ignored. Created issue 21</t>
  </si>
  <si>
    <t>there is a small risk that the words &lt;end data&gt; etc are accidently removed when you do automatic numbering of the sample numbers. Maybe start with number 5 after the four 'examples'</t>
  </si>
  <si>
    <t>Write instructions on determining Fcorrection factor. (see issue 13,8)</t>
  </si>
  <si>
    <t xml:space="preserve">open </t>
  </si>
  <si>
    <t>Instruct people to only add thrustworthy, numerical data</t>
  </si>
  <si>
    <t>JS: what do you mean with only numerical data? They also have to give site descriptions/treatmentcodes and dates</t>
  </si>
  <si>
    <t>Instruct people to use leave NA fields open</t>
  </si>
  <si>
    <t>separate Fcor in green and red tea</t>
  </si>
  <si>
    <t>in row 8, latest version is available online after april 2016?</t>
  </si>
  <si>
    <t xml:space="preserve">in the protocol in the manual sheet. Should we meantion something about the depth? Many people bury it at 5cm, and this should also be ok. </t>
  </si>
  <si>
    <t xml:space="preserve">JS: I think it will be fine like this. JK: agree with JS. Suggesting variety doesn't improve clarity, uniformity and reproducability of the TBI </t>
  </si>
  <si>
    <t>what does the sheet diagnostics mean? I think when we have the first version that we send to people we should only include the sheet manual and data.</t>
  </si>
  <si>
    <t>DIAGNOSTICS is necessary to test whether data is not corrupted and is a necessary part of this sheet. Changed its status to hidden</t>
  </si>
  <si>
    <t>is it a problem that when you insert rows, for instance to add locations or treatment, that you than mess up with merged and unmerged cells? Sometimes when you insert, a merged cell changes to unmerged. Should we not unmerge all cells?</t>
  </si>
  <si>
    <t>If people start to add their data including treatments, they should use the same wording for the 'ambient' or control treatment
Therefore, this was indicated explicitly in the manual and in the data entry sheet</t>
  </si>
  <si>
    <t>V1.0</t>
  </si>
  <si>
    <t>Lots of minor changes &amp; a new manual</t>
  </si>
  <si>
    <t>V.93</t>
  </si>
  <si>
    <t>JK: Corrected bag and label weights</t>
  </si>
  <si>
    <t>V.91</t>
  </si>
  <si>
    <t>JK: Introduced the Bugs&amp;Issues tab for requests and comments</t>
  </si>
  <si>
    <t>JS/JK: Improved consistency in labels (changed rope-&gt;cord)</t>
  </si>
  <si>
    <t>JS: removed numbers from Q30, Q31 and R30</t>
  </si>
  <si>
    <t>JK: added a comment to assure that the bag weight will be checked before final release</t>
  </si>
  <si>
    <t>JK: minor changes to improve formula consistency within a column</t>
  </si>
  <si>
    <t>JK: minor changes to labels of columns</t>
  </si>
  <si>
    <t>V.9</t>
  </si>
  <si>
    <t>Preview Version</t>
  </si>
  <si>
    <t>version 1</t>
  </si>
  <si>
    <t>JK: added Fcorr</t>
  </si>
  <si>
    <t>JS: minor typos in manual</t>
  </si>
  <si>
    <t>JS: unmerged cells and restricted entries to one field</t>
  </si>
  <si>
    <t>JS: added general instructions</t>
  </si>
  <si>
    <t>JS: added description of Fcorr and a small calculation example</t>
  </si>
  <si>
    <t>JS: removed all the weird codings of formula names in name manager</t>
  </si>
  <si>
    <t>JS: added protocol</t>
  </si>
  <si>
    <r>
      <t xml:space="preserve">Initial weight </t>
    </r>
    <r>
      <rPr>
        <sz val="11"/>
        <color indexed="17"/>
        <rFont val="Calibri"/>
        <family val="2"/>
      </rPr>
      <t xml:space="preserve">green tea </t>
    </r>
    <r>
      <rPr>
        <sz val="11"/>
        <color indexed="8"/>
        <rFont val="Calibri"/>
        <family val="2"/>
      </rPr>
      <t>including bag,cord and label</t>
    </r>
  </si>
  <si>
    <t>pair</t>
  </si>
  <si>
    <t>Wstart_green</t>
  </si>
  <si>
    <t>Wstart_red</t>
  </si>
  <si>
    <t>Wend_green</t>
  </si>
  <si>
    <t>Wend_red</t>
  </si>
  <si>
    <t>inctime</t>
  </si>
  <si>
    <t>open</t>
  </si>
  <si>
    <t>Human impact</t>
  </si>
  <si>
    <t>Shading</t>
  </si>
  <si>
    <t>Soil texture</t>
  </si>
  <si>
    <t>Soil depth</t>
  </si>
  <si>
    <t>Rooting depth</t>
  </si>
  <si>
    <t>Soil pH</t>
  </si>
  <si>
    <t>locked the headings in the tier1 sheet. Is this desired?</t>
  </si>
  <si>
    <t>to unlock, go to review and click protect sheet</t>
  </si>
  <si>
    <t>Further description</t>
  </si>
  <si>
    <t>LON</t>
  </si>
  <si>
    <t>Median air temp</t>
  </si>
  <si>
    <t>Soil C content</t>
  </si>
  <si>
    <t>Soil N content</t>
  </si>
  <si>
    <t>Ecosystem/vegetation</t>
  </si>
  <si>
    <t>Slope</t>
  </si>
  <si>
    <t>Aspect</t>
  </si>
  <si>
    <t>Fill in the purple and optionally the blue fields and leave the other fields untouched.</t>
  </si>
  <si>
    <t>you need to make sure that all purple fields are filled in (so please calculate back if you weighed only the tea without a bag)</t>
  </si>
  <si>
    <t>blue fields are optional to fill in</t>
  </si>
  <si>
    <t>CALCULATION HELP FOR CORRECTION FACTOR</t>
  </si>
  <si>
    <t>Contains formula of cord and bag (g).</t>
  </si>
  <si>
    <t>Describe any environmental data that you would have on request, and that is not covered by the optional data. Request may come in a later stage of the project (&lt;250 characters)</t>
  </si>
  <si>
    <t>Your own location codes and their description. 
Location can include ecosystem, altitude, land use.
If available provide optional metatdata
Provide only one code per line. Please expand as necessary but only use the space in between CODE LEGEND and END CODE LEGEND. If you repeated the same treatments in all your locations, specify treatment codes in the next item.</t>
  </si>
  <si>
    <t>Latitude of the sample location (WGS1984, decimal notation) can be selected in google maps under 'tools' and than 'options'</t>
  </si>
  <si>
    <t>Longitude of the sample location (WGS1984, decimal notation) can be selected in google maps under 'tools' and than 'options'</t>
  </si>
  <si>
    <t>Median day average air temperature during the incubation period. It would be of great help if you could find this at the closest weather station from your own data or the national meteorological institute</t>
  </si>
  <si>
    <t>1.No shade</t>
  </si>
  <si>
    <t xml:space="preserve">1.No impact </t>
  </si>
  <si>
    <t>1. Silt</t>
  </si>
  <si>
    <t>1. Glacier</t>
  </si>
  <si>
    <t>1. &lt;5cm</t>
  </si>
  <si>
    <t>1. Flat</t>
  </si>
  <si>
    <t>1.N</t>
  </si>
  <si>
    <t>Soil concentration (%) of C measured with combustion, please do not fill in N concentrations obtained with other methods. Inform us in the section 'Further description' if you happen to have LOI data</t>
  </si>
  <si>
    <t xml:space="preserve">2.Little shade </t>
  </si>
  <si>
    <t>2. Sand</t>
  </si>
  <si>
    <t>2. Lake</t>
  </si>
  <si>
    <t>2. 5-15 cm</t>
  </si>
  <si>
    <t>2.NE</t>
  </si>
  <si>
    <t>Soil concentration (%) of N measured with combustion, please do not fill in N concentrations obtained with other methods</t>
  </si>
  <si>
    <t>3.Shaded half of the day</t>
  </si>
  <si>
    <t>3.Reasonable impact</t>
  </si>
  <si>
    <t>3. Clay</t>
  </si>
  <si>
    <t>3. Wetland</t>
  </si>
  <si>
    <t>3. &gt;15 cm</t>
  </si>
  <si>
    <t>3. Steep, &gt;1:1</t>
  </si>
  <si>
    <t>3.E</t>
  </si>
  <si>
    <t>Soil pH, measured after shaking for several hours in demiwater</t>
  </si>
  <si>
    <t>4.Shaded most of the day</t>
  </si>
  <si>
    <t>4.Strongly influenced</t>
  </si>
  <si>
    <t>4. Urban</t>
  </si>
  <si>
    <t>4.SE</t>
  </si>
  <si>
    <t>Shading classes (see table at the right) to indicate the general amount of shading</t>
  </si>
  <si>
    <t>5.Always shaded</t>
  </si>
  <si>
    <t>5.Soil completely disturbed</t>
  </si>
  <si>
    <t>5. Needle leaf evergreen</t>
  </si>
  <si>
    <t>5.S</t>
  </si>
  <si>
    <t>Classes to define differences in human impact on the sample location (think of fertilization, hydrological schanges, buildings, roads, plowing)</t>
  </si>
  <si>
    <t>6. Needle leaf deciduous tree</t>
  </si>
  <si>
    <t>6.SW</t>
  </si>
  <si>
    <t>Indicate if your soil is mainly sand, clay or silt</t>
  </si>
  <si>
    <t>7. Broadleaf evergreen</t>
  </si>
  <si>
    <t>7.W</t>
  </si>
  <si>
    <t>Ecosystem/Vegetation</t>
  </si>
  <si>
    <t>Select the correct ecosystem type and vegetation class</t>
  </si>
  <si>
    <t>8. Deciduous tree</t>
  </si>
  <si>
    <t>8.NW</t>
  </si>
  <si>
    <t>Select average soil depth class</t>
  </si>
  <si>
    <t>9. Evergreen shrub</t>
  </si>
  <si>
    <t>Select the average rootingdepth class</t>
  </si>
  <si>
    <t>10. Deciduous shrub</t>
  </si>
  <si>
    <t>Indicate how steep your sample location was</t>
  </si>
  <si>
    <t>11. Grass</t>
  </si>
  <si>
    <t>In cases of slopes, indicate the orientation of the slope (e.g. What wind direction does the slope face)</t>
  </si>
  <si>
    <t>12. Herbaceous</t>
  </si>
  <si>
    <t>13. Crop</t>
  </si>
  <si>
    <t>This is the dry weight of the Green teabag after burial and drying.
If possible, use an oven for drying, 60°C, 48 hours, or place it in a warm, dry and sunny place for 3 days.</t>
  </si>
  <si>
    <t>2. Gradual, &lt; 1:1</t>
  </si>
  <si>
    <t>to lock certain cells yes. But care should be taken to remain able to edit and insert colums</t>
  </si>
  <si>
    <t>tier 2 (light blue shading) and 3 data was incorporated.</t>
  </si>
  <si>
    <t xml:space="preserve">Tier 2 data was described in the manual </t>
  </si>
  <si>
    <t>JS/JK</t>
  </si>
  <si>
    <t>enable dropdownlists that show words but save numbers. And allow typing</t>
  </si>
  <si>
    <t>2.Little impact</t>
  </si>
  <si>
    <t>Fraction decomposed green tea (ag)</t>
  </si>
  <si>
    <t>Predicted labile fraction red tea (ar)</t>
  </si>
  <si>
    <t xml:space="preserve"> Fraction remaining red tea (Wt)</t>
  </si>
  <si>
    <t>incubation time red and green tea (t)</t>
  </si>
  <si>
    <t xml:space="preserve"> Fraction remaining      red tea (Wt)</t>
  </si>
  <si>
    <t>incubation time      red and green tea (t)</t>
  </si>
  <si>
    <t>standing biomass</t>
  </si>
  <si>
    <t>Mean standing biomass kg/ha, as aboveground biomass at the peak of the growing season</t>
  </si>
  <si>
    <t>Please leave the example entries untouched.</t>
  </si>
  <si>
    <t>Poured rooibos in empty green meshbag</t>
  </si>
  <si>
    <t>Scale: PG403-S Delta Range, D=0.001g</t>
  </si>
  <si>
    <t>Rooibos</t>
  </si>
  <si>
    <t>R840</t>
  </si>
  <si>
    <t>R839</t>
  </si>
  <si>
    <t>R838</t>
  </si>
  <si>
    <t>R837</t>
  </si>
  <si>
    <t>R836</t>
  </si>
  <si>
    <t>R835</t>
  </si>
  <si>
    <t>R834</t>
  </si>
  <si>
    <t>R833</t>
  </si>
  <si>
    <t>R832</t>
  </si>
  <si>
    <t>R831</t>
  </si>
  <si>
    <t>R830</t>
  </si>
  <si>
    <t>R829</t>
  </si>
  <si>
    <t>R828</t>
  </si>
  <si>
    <t>R827</t>
  </si>
  <si>
    <t>R826</t>
  </si>
  <si>
    <t>R825</t>
  </si>
  <si>
    <t>R824</t>
  </si>
  <si>
    <t>R823</t>
  </si>
  <si>
    <t>R822</t>
  </si>
  <si>
    <t>R821</t>
  </si>
  <si>
    <t>R820</t>
  </si>
  <si>
    <t>R819</t>
  </si>
  <si>
    <t>R818</t>
  </si>
  <si>
    <t>R817</t>
  </si>
  <si>
    <t>R816</t>
  </si>
  <si>
    <t>R815</t>
  </si>
  <si>
    <t>R814</t>
  </si>
  <si>
    <t>R813</t>
  </si>
  <si>
    <t>R812</t>
  </si>
  <si>
    <t>R811</t>
  </si>
  <si>
    <t>R810</t>
  </si>
  <si>
    <t>R809</t>
  </si>
  <si>
    <t>R808</t>
  </si>
  <si>
    <t>R807</t>
  </si>
  <si>
    <t>R806</t>
  </si>
  <si>
    <t>R805</t>
  </si>
  <si>
    <t>R804</t>
  </si>
  <si>
    <t>R803</t>
  </si>
  <si>
    <t>R802</t>
  </si>
  <si>
    <t>R801</t>
  </si>
  <si>
    <t>R800</t>
  </si>
  <si>
    <t>R799</t>
  </si>
  <si>
    <t>R798</t>
  </si>
  <si>
    <t>R797</t>
  </si>
  <si>
    <t>R796</t>
  </si>
  <si>
    <t>R795</t>
  </si>
  <si>
    <t>R794</t>
  </si>
  <si>
    <t>R793</t>
  </si>
  <si>
    <t>R792</t>
  </si>
  <si>
    <t>R791</t>
  </si>
  <si>
    <t>R790</t>
  </si>
  <si>
    <t>R789</t>
  </si>
  <si>
    <t>R788</t>
  </si>
  <si>
    <t>R787</t>
  </si>
  <si>
    <t>R786</t>
  </si>
  <si>
    <t>R785</t>
  </si>
  <si>
    <t>R784</t>
  </si>
  <si>
    <t>R783</t>
  </si>
  <si>
    <t>R782</t>
  </si>
  <si>
    <t>R781</t>
  </si>
  <si>
    <t>R780</t>
  </si>
  <si>
    <t>R779</t>
  </si>
  <si>
    <t>R778</t>
  </si>
  <si>
    <t>R777</t>
  </si>
  <si>
    <t>R776</t>
  </si>
  <si>
    <t>R775</t>
  </si>
  <si>
    <t>R774</t>
  </si>
  <si>
    <t>R773</t>
  </si>
  <si>
    <t>R772</t>
  </si>
  <si>
    <t>R771</t>
  </si>
  <si>
    <t>R770</t>
  </si>
  <si>
    <t>R769</t>
  </si>
  <si>
    <t>R768</t>
  </si>
  <si>
    <t>R767</t>
  </si>
  <si>
    <t>R766</t>
  </si>
  <si>
    <t>R765</t>
  </si>
  <si>
    <t>R764</t>
  </si>
  <si>
    <t>R763</t>
  </si>
  <si>
    <t>R762</t>
  </si>
  <si>
    <t>R761</t>
  </si>
  <si>
    <t>R760</t>
  </si>
  <si>
    <t>R759</t>
  </si>
  <si>
    <t>R758</t>
  </si>
  <si>
    <t>R757</t>
  </si>
  <si>
    <t>R756</t>
  </si>
  <si>
    <t>R755</t>
  </si>
  <si>
    <t>R754</t>
  </si>
  <si>
    <t>R753</t>
  </si>
  <si>
    <t>R752</t>
  </si>
  <si>
    <t>R751</t>
  </si>
  <si>
    <t>R750</t>
  </si>
  <si>
    <t>R749</t>
  </si>
  <si>
    <t>R748</t>
  </si>
  <si>
    <t>R747</t>
  </si>
  <si>
    <t>R746</t>
  </si>
  <si>
    <t>R745</t>
  </si>
  <si>
    <t>R744</t>
  </si>
  <si>
    <t>R743</t>
  </si>
  <si>
    <t>R742</t>
  </si>
  <si>
    <t>R741</t>
  </si>
  <si>
    <t>R740</t>
  </si>
  <si>
    <t>R739</t>
  </si>
  <si>
    <t>R738</t>
  </si>
  <si>
    <t>R737</t>
  </si>
  <si>
    <t>R736</t>
  </si>
  <si>
    <t>R735</t>
  </si>
  <si>
    <t>R734</t>
  </si>
  <si>
    <t>R733</t>
  </si>
  <si>
    <t>R732</t>
  </si>
  <si>
    <t>R731</t>
  </si>
  <si>
    <t>R730</t>
  </si>
  <si>
    <t>R729</t>
  </si>
  <si>
    <t>R728</t>
  </si>
  <si>
    <t>R727</t>
  </si>
  <si>
    <t>R726</t>
  </si>
  <si>
    <t>R725</t>
  </si>
  <si>
    <t>R724</t>
  </si>
  <si>
    <t>R723</t>
  </si>
  <si>
    <t>R722</t>
  </si>
  <si>
    <t>R721</t>
  </si>
  <si>
    <t>R720</t>
  </si>
  <si>
    <t>R719</t>
  </si>
  <si>
    <t>R718</t>
  </si>
  <si>
    <t>R717</t>
  </si>
  <si>
    <t>R716</t>
  </si>
  <si>
    <t>R715</t>
  </si>
  <si>
    <t>R714</t>
  </si>
  <si>
    <t>R713</t>
  </si>
  <si>
    <t>R712</t>
  </si>
  <si>
    <t>R711</t>
  </si>
  <si>
    <t>R710</t>
  </si>
  <si>
    <t>R709</t>
  </si>
  <si>
    <t>R708</t>
  </si>
  <si>
    <t>R707</t>
  </si>
  <si>
    <t>R706</t>
  </si>
  <si>
    <t>R705</t>
  </si>
  <si>
    <t>R704</t>
  </si>
  <si>
    <t>R703</t>
  </si>
  <si>
    <t>R702</t>
  </si>
  <si>
    <t>R701</t>
  </si>
  <si>
    <t>R700</t>
  </si>
  <si>
    <t>R699</t>
  </si>
  <si>
    <t>R698</t>
  </si>
  <si>
    <t>R697</t>
  </si>
  <si>
    <t>R696</t>
  </si>
  <si>
    <t>R695</t>
  </si>
  <si>
    <t>R694</t>
  </si>
  <si>
    <t>R693</t>
  </si>
  <si>
    <t>R692</t>
  </si>
  <si>
    <t>R691</t>
  </si>
  <si>
    <t>R690</t>
  </si>
  <si>
    <t>R689</t>
  </si>
  <si>
    <t>R688</t>
  </si>
  <si>
    <t>R687</t>
  </si>
  <si>
    <t>R686</t>
  </si>
  <si>
    <t>R685</t>
  </si>
  <si>
    <t>R684</t>
  </si>
  <si>
    <t>R683</t>
  </si>
  <si>
    <t>R682</t>
  </si>
  <si>
    <t>R681</t>
  </si>
  <si>
    <t>R680</t>
  </si>
  <si>
    <t>R679</t>
  </si>
  <si>
    <t>R678</t>
  </si>
  <si>
    <t>R677</t>
  </si>
  <si>
    <t>R676</t>
  </si>
  <si>
    <t>R675</t>
  </si>
  <si>
    <t>R674</t>
  </si>
  <si>
    <t>R673</t>
  </si>
  <si>
    <t>R672</t>
  </si>
  <si>
    <t>R671</t>
  </si>
  <si>
    <t>R670</t>
  </si>
  <si>
    <t>R669</t>
  </si>
  <si>
    <t>R668</t>
  </si>
  <si>
    <t>R667</t>
  </si>
  <si>
    <t>R666</t>
  </si>
  <si>
    <t>R665</t>
  </si>
  <si>
    <t>R664</t>
  </si>
  <si>
    <t>R663</t>
  </si>
  <si>
    <t>R662</t>
  </si>
  <si>
    <t>R661</t>
  </si>
  <si>
    <t>R660</t>
  </si>
  <si>
    <t>R659</t>
  </si>
  <si>
    <t>R658</t>
  </si>
  <si>
    <t>R657</t>
  </si>
  <si>
    <t>R656</t>
  </si>
  <si>
    <t>R655</t>
  </si>
  <si>
    <t>R654</t>
  </si>
  <si>
    <t>R653</t>
  </si>
  <si>
    <t>R652</t>
  </si>
  <si>
    <t>R651</t>
  </si>
  <si>
    <t>R650</t>
  </si>
  <si>
    <t>R649</t>
  </si>
  <si>
    <t>R648</t>
  </si>
  <si>
    <t>R647</t>
  </si>
  <si>
    <t>R646</t>
  </si>
  <si>
    <t>R645</t>
  </si>
  <si>
    <t>R644</t>
  </si>
  <si>
    <t>R643</t>
  </si>
  <si>
    <t>R642</t>
  </si>
  <si>
    <t>R641</t>
  </si>
  <si>
    <t>R640</t>
  </si>
  <si>
    <t>R639</t>
  </si>
  <si>
    <t>R638</t>
  </si>
  <si>
    <t>R637</t>
  </si>
  <si>
    <t>R636</t>
  </si>
  <si>
    <t>R635</t>
  </si>
  <si>
    <t>R634</t>
  </si>
  <si>
    <t>R633</t>
  </si>
  <si>
    <t>R632</t>
  </si>
  <si>
    <t>R631</t>
  </si>
  <si>
    <t>R630</t>
  </si>
  <si>
    <t>R629</t>
  </si>
  <si>
    <t>R628</t>
  </si>
  <si>
    <t>R627</t>
  </si>
  <si>
    <t>R626</t>
  </si>
  <si>
    <t>R625</t>
  </si>
  <si>
    <t>R624</t>
  </si>
  <si>
    <t>R623</t>
  </si>
  <si>
    <t>R622</t>
  </si>
  <si>
    <t>R621</t>
  </si>
  <si>
    <t>R620</t>
  </si>
  <si>
    <t>R619</t>
  </si>
  <si>
    <t>R618</t>
  </si>
  <si>
    <t>R617</t>
  </si>
  <si>
    <t>R616</t>
  </si>
  <si>
    <t>R615</t>
  </si>
  <si>
    <t>R614</t>
  </si>
  <si>
    <t>R613</t>
  </si>
  <si>
    <t>R612</t>
  </si>
  <si>
    <t>R611</t>
  </si>
  <si>
    <t>R610</t>
  </si>
  <si>
    <t>R609</t>
  </si>
  <si>
    <t>R608</t>
  </si>
  <si>
    <t>R607</t>
  </si>
  <si>
    <t>R606</t>
  </si>
  <si>
    <t>R605</t>
  </si>
  <si>
    <t>R604</t>
  </si>
  <si>
    <t>R603</t>
  </si>
  <si>
    <t>R602</t>
  </si>
  <si>
    <t>Dry season</t>
  </si>
  <si>
    <t>R601</t>
  </si>
  <si>
    <t>Wet season</t>
  </si>
  <si>
    <t>R600</t>
  </si>
  <si>
    <t>R599</t>
  </si>
  <si>
    <t>R598</t>
  </si>
  <si>
    <t>R597</t>
  </si>
  <si>
    <t>R596</t>
  </si>
  <si>
    <t>R595</t>
  </si>
  <si>
    <t>R594</t>
  </si>
  <si>
    <t>R593</t>
  </si>
  <si>
    <t>R592</t>
  </si>
  <si>
    <t>R591</t>
  </si>
  <si>
    <t>R590</t>
  </si>
  <si>
    <t>R589</t>
  </si>
  <si>
    <t>R588</t>
  </si>
  <si>
    <t>R587</t>
  </si>
  <si>
    <t>R586</t>
  </si>
  <si>
    <t>R585</t>
  </si>
  <si>
    <t>R584</t>
  </si>
  <si>
    <t>R583</t>
  </si>
  <si>
    <t>R582</t>
  </si>
  <si>
    <t>R581</t>
  </si>
  <si>
    <t>R580</t>
  </si>
  <si>
    <t>R579</t>
  </si>
  <si>
    <t>R578</t>
  </si>
  <si>
    <t>R577</t>
  </si>
  <si>
    <t>R576</t>
  </si>
  <si>
    <t>R575</t>
  </si>
  <si>
    <t>R574</t>
  </si>
  <si>
    <t>R573</t>
  </si>
  <si>
    <t>R572</t>
  </si>
  <si>
    <t>R571</t>
  </si>
  <si>
    <t>R570</t>
  </si>
  <si>
    <t>R569</t>
  </si>
  <si>
    <t>R568</t>
  </si>
  <si>
    <t>R567</t>
  </si>
  <si>
    <t>R566</t>
  </si>
  <si>
    <t>R565</t>
  </si>
  <si>
    <t>R564</t>
  </si>
  <si>
    <t>R563</t>
  </si>
  <si>
    <t>R562</t>
  </si>
  <si>
    <t>R561</t>
  </si>
  <si>
    <t>R560</t>
  </si>
  <si>
    <t>R559</t>
  </si>
  <si>
    <t>R558</t>
  </si>
  <si>
    <t>R557</t>
  </si>
  <si>
    <t>R556</t>
  </si>
  <si>
    <t>R555</t>
  </si>
  <si>
    <t>R554</t>
  </si>
  <si>
    <t>R553</t>
  </si>
  <si>
    <t>R552</t>
  </si>
  <si>
    <t>R551</t>
  </si>
  <si>
    <t>R550</t>
  </si>
  <si>
    <t>R549</t>
  </si>
  <si>
    <t>R548</t>
  </si>
  <si>
    <t>R547</t>
  </si>
  <si>
    <t>R546</t>
  </si>
  <si>
    <t>R545</t>
  </si>
  <si>
    <t>R544</t>
  </si>
  <si>
    <t>R543</t>
  </si>
  <si>
    <t>R542</t>
  </si>
  <si>
    <t>R541</t>
  </si>
  <si>
    <t>R540</t>
  </si>
  <si>
    <t>R539</t>
  </si>
  <si>
    <t>R538</t>
  </si>
  <si>
    <t>R537</t>
  </si>
  <si>
    <t>R536</t>
  </si>
  <si>
    <t>R535</t>
  </si>
  <si>
    <t>R534</t>
  </si>
  <si>
    <t>R533</t>
  </si>
  <si>
    <t>R532</t>
  </si>
  <si>
    <t>R531</t>
  </si>
  <si>
    <t>R530</t>
  </si>
  <si>
    <t>R529</t>
  </si>
  <si>
    <t>R528</t>
  </si>
  <si>
    <t>R527</t>
  </si>
  <si>
    <t>R526</t>
  </si>
  <si>
    <t>R525</t>
  </si>
  <si>
    <t>R524</t>
  </si>
  <si>
    <t>R523</t>
  </si>
  <si>
    <t>R522</t>
  </si>
  <si>
    <t>R521</t>
  </si>
  <si>
    <t>R520</t>
  </si>
  <si>
    <t>R519</t>
  </si>
  <si>
    <t>R518</t>
  </si>
  <si>
    <t>R517</t>
  </si>
  <si>
    <t>R516</t>
  </si>
  <si>
    <t>R515</t>
  </si>
  <si>
    <t>R514</t>
  </si>
  <si>
    <t>R513</t>
  </si>
  <si>
    <t>R512</t>
  </si>
  <si>
    <t>R511</t>
  </si>
  <si>
    <t>R510</t>
  </si>
  <si>
    <t>R509</t>
  </si>
  <si>
    <t>R508</t>
  </si>
  <si>
    <t>R507</t>
  </si>
  <si>
    <t>R506</t>
  </si>
  <si>
    <t>R505</t>
  </si>
  <si>
    <t>R504</t>
  </si>
  <si>
    <t>R503</t>
  </si>
  <si>
    <t>R502</t>
  </si>
  <si>
    <t>R501</t>
  </si>
  <si>
    <t>R500</t>
  </si>
  <si>
    <t>R499</t>
  </si>
  <si>
    <t>R498</t>
  </si>
  <si>
    <t>R497</t>
  </si>
  <si>
    <t>R496</t>
  </si>
  <si>
    <t>R495</t>
  </si>
  <si>
    <t>R494</t>
  </si>
  <si>
    <t>R493</t>
  </si>
  <si>
    <t>R492</t>
  </si>
  <si>
    <t>R491</t>
  </si>
  <si>
    <t>R490</t>
  </si>
  <si>
    <t>R489</t>
  </si>
  <si>
    <t>R488</t>
  </si>
  <si>
    <t>R487</t>
  </si>
  <si>
    <t>R486</t>
  </si>
  <si>
    <t>R485</t>
  </si>
  <si>
    <t>R484</t>
  </si>
  <si>
    <t>R483</t>
  </si>
  <si>
    <t>R482</t>
  </si>
  <si>
    <t>R481</t>
  </si>
  <si>
    <t>R480</t>
  </si>
  <si>
    <t>R479</t>
  </si>
  <si>
    <t>R478</t>
  </si>
  <si>
    <t>R477</t>
  </si>
  <si>
    <t>R476</t>
  </si>
  <si>
    <t>R475</t>
  </si>
  <si>
    <t>R474</t>
  </si>
  <si>
    <t>R473</t>
  </si>
  <si>
    <t>R472</t>
  </si>
  <si>
    <t>R471</t>
  </si>
  <si>
    <t>R470</t>
  </si>
  <si>
    <t>R469</t>
  </si>
  <si>
    <t>R468</t>
  </si>
  <si>
    <t>R467</t>
  </si>
  <si>
    <t>R466</t>
  </si>
  <si>
    <t>R465</t>
  </si>
  <si>
    <t>R464</t>
  </si>
  <si>
    <t>R463</t>
  </si>
  <si>
    <t>R462</t>
  </si>
  <si>
    <t>R461</t>
  </si>
  <si>
    <t>R460</t>
  </si>
  <si>
    <t>R459</t>
  </si>
  <si>
    <t>R458</t>
  </si>
  <si>
    <t>R457</t>
  </si>
  <si>
    <t>R456</t>
  </si>
  <si>
    <t>R455</t>
  </si>
  <si>
    <t>R454</t>
  </si>
  <si>
    <t>R453</t>
  </si>
  <si>
    <t>R452</t>
  </si>
  <si>
    <t>R451</t>
  </si>
  <si>
    <t>R450</t>
  </si>
  <si>
    <t>R449</t>
  </si>
  <si>
    <t>R448</t>
  </si>
  <si>
    <t>R447</t>
  </si>
  <si>
    <t>R446</t>
  </si>
  <si>
    <t>R445</t>
  </si>
  <si>
    <t>R444</t>
  </si>
  <si>
    <t>R443</t>
  </si>
  <si>
    <t>R442</t>
  </si>
  <si>
    <t>R441</t>
  </si>
  <si>
    <t>R440</t>
  </si>
  <si>
    <t>R439</t>
  </si>
  <si>
    <t>R438</t>
  </si>
  <si>
    <t>R437</t>
  </si>
  <si>
    <t>R436</t>
  </si>
  <si>
    <t>R435</t>
  </si>
  <si>
    <t>R434</t>
  </si>
  <si>
    <t>R433</t>
  </si>
  <si>
    <t>R432</t>
  </si>
  <si>
    <t>R431</t>
  </si>
  <si>
    <t>R430</t>
  </si>
  <si>
    <t>R429</t>
  </si>
  <si>
    <t>R428</t>
  </si>
  <si>
    <t>R427</t>
  </si>
  <si>
    <t>R426</t>
  </si>
  <si>
    <t>R425</t>
  </si>
  <si>
    <t>R424</t>
  </si>
  <si>
    <t>R423</t>
  </si>
  <si>
    <t>R422</t>
  </si>
  <si>
    <t>R421</t>
  </si>
  <si>
    <t>R420</t>
  </si>
  <si>
    <t>R419</t>
  </si>
  <si>
    <t>R418</t>
  </si>
  <si>
    <t>R417</t>
  </si>
  <si>
    <t>R416</t>
  </si>
  <si>
    <t>R415</t>
  </si>
  <si>
    <t>R414</t>
  </si>
  <si>
    <t>R413</t>
  </si>
  <si>
    <t>R412</t>
  </si>
  <si>
    <t>R411</t>
  </si>
  <si>
    <t>R410</t>
  </si>
  <si>
    <t>R409</t>
  </si>
  <si>
    <t>R408</t>
  </si>
  <si>
    <t>R407</t>
  </si>
  <si>
    <t>R406</t>
  </si>
  <si>
    <t>R405</t>
  </si>
  <si>
    <t>R404</t>
  </si>
  <si>
    <t>R403</t>
  </si>
  <si>
    <t>R402</t>
  </si>
  <si>
    <t>R401</t>
  </si>
  <si>
    <t>R400</t>
  </si>
  <si>
    <t>R399</t>
  </si>
  <si>
    <t>R398</t>
  </si>
  <si>
    <t>R397</t>
  </si>
  <si>
    <t>R396</t>
  </si>
  <si>
    <t>R395</t>
  </si>
  <si>
    <t>R394</t>
  </si>
  <si>
    <t>R393</t>
  </si>
  <si>
    <t>R392</t>
  </si>
  <si>
    <t>R391</t>
  </si>
  <si>
    <t>R390</t>
  </si>
  <si>
    <t>R389</t>
  </si>
  <si>
    <t>R388</t>
  </si>
  <si>
    <t>R387</t>
  </si>
  <si>
    <t>R386</t>
  </si>
  <si>
    <t>R385</t>
  </si>
  <si>
    <t>R384</t>
  </si>
  <si>
    <t>R383</t>
  </si>
  <si>
    <t>R382</t>
  </si>
  <si>
    <t>R381</t>
  </si>
  <si>
    <t>R380</t>
  </si>
  <si>
    <t>R379</t>
  </si>
  <si>
    <t>R378</t>
  </si>
  <si>
    <t>R377</t>
  </si>
  <si>
    <t>R376</t>
  </si>
  <si>
    <t>R375</t>
  </si>
  <si>
    <t>R374</t>
  </si>
  <si>
    <t>R373</t>
  </si>
  <si>
    <t>R372</t>
  </si>
  <si>
    <t>R371</t>
  </si>
  <si>
    <t>R370</t>
  </si>
  <si>
    <t>R369</t>
  </si>
  <si>
    <t>R368</t>
  </si>
  <si>
    <t>R367</t>
  </si>
  <si>
    <t>R366</t>
  </si>
  <si>
    <t>R365</t>
  </si>
  <si>
    <t>R364</t>
  </si>
  <si>
    <t>R363</t>
  </si>
  <si>
    <t>R362</t>
  </si>
  <si>
    <t>R361</t>
  </si>
  <si>
    <t>R360</t>
  </si>
  <si>
    <t>R359</t>
  </si>
  <si>
    <t>R358</t>
  </si>
  <si>
    <t>R357</t>
  </si>
  <si>
    <t>R356</t>
  </si>
  <si>
    <t>R355</t>
  </si>
  <si>
    <t>R354</t>
  </si>
  <si>
    <t>R353</t>
  </si>
  <si>
    <t>R352</t>
  </si>
  <si>
    <t>R351</t>
  </si>
  <si>
    <t>R350</t>
  </si>
  <si>
    <t>R349</t>
  </si>
  <si>
    <t>R348</t>
  </si>
  <si>
    <t>R347</t>
  </si>
  <si>
    <t>R346</t>
  </si>
  <si>
    <t>R345</t>
  </si>
  <si>
    <t>R344</t>
  </si>
  <si>
    <t>R343</t>
  </si>
  <si>
    <t>R342</t>
  </si>
  <si>
    <t>R341</t>
  </si>
  <si>
    <t>R340</t>
  </si>
  <si>
    <t>R339</t>
  </si>
  <si>
    <t>R338</t>
  </si>
  <si>
    <t>R337</t>
  </si>
  <si>
    <t>R336</t>
  </si>
  <si>
    <t>R335</t>
  </si>
  <si>
    <t>R334</t>
  </si>
  <si>
    <t>R333</t>
  </si>
  <si>
    <t>R332</t>
  </si>
  <si>
    <t>R331</t>
  </si>
  <si>
    <t>R330</t>
  </si>
  <si>
    <t>R329</t>
  </si>
  <si>
    <t>R328</t>
  </si>
  <si>
    <t>R327</t>
  </si>
  <si>
    <t>R326</t>
  </si>
  <si>
    <t>R325</t>
  </si>
  <si>
    <t>R324</t>
  </si>
  <si>
    <t>R323</t>
  </si>
  <si>
    <t>R322</t>
  </si>
  <si>
    <t>R321</t>
  </si>
  <si>
    <t>R320</t>
  </si>
  <si>
    <t>R319</t>
  </si>
  <si>
    <t>R318</t>
  </si>
  <si>
    <t>R317</t>
  </si>
  <si>
    <t>R316</t>
  </si>
  <si>
    <t>R315</t>
  </si>
  <si>
    <t>R314</t>
  </si>
  <si>
    <t>R313</t>
  </si>
  <si>
    <t>R312</t>
  </si>
  <si>
    <t>R311</t>
  </si>
  <si>
    <t>R310</t>
  </si>
  <si>
    <t>R309</t>
  </si>
  <si>
    <t>R308</t>
  </si>
  <si>
    <t>R307</t>
  </si>
  <si>
    <t>R306</t>
  </si>
  <si>
    <t>R305</t>
  </si>
  <si>
    <t>R304</t>
  </si>
  <si>
    <t>R303</t>
  </si>
  <si>
    <t>R302</t>
  </si>
  <si>
    <t>R301</t>
  </si>
  <si>
    <t>R300</t>
  </si>
  <si>
    <t>R299</t>
  </si>
  <si>
    <t>R298</t>
  </si>
  <si>
    <t>R297</t>
  </si>
  <si>
    <t>R296</t>
  </si>
  <si>
    <t>R295</t>
  </si>
  <si>
    <t>R294</t>
  </si>
  <si>
    <t>R293</t>
  </si>
  <si>
    <t>R292</t>
  </si>
  <si>
    <t>R291</t>
  </si>
  <si>
    <t>R290</t>
  </si>
  <si>
    <t>R289</t>
  </si>
  <si>
    <t>R288</t>
  </si>
  <si>
    <t>R287</t>
  </si>
  <si>
    <t>R286</t>
  </si>
  <si>
    <t>R285</t>
  </si>
  <si>
    <t>R284</t>
  </si>
  <si>
    <t>R283</t>
  </si>
  <si>
    <t>R282</t>
  </si>
  <si>
    <t>R281</t>
  </si>
  <si>
    <t>R280</t>
  </si>
  <si>
    <t>R279</t>
  </si>
  <si>
    <t>R278</t>
  </si>
  <si>
    <t>R277</t>
  </si>
  <si>
    <t>R276</t>
  </si>
  <si>
    <t>R275</t>
  </si>
  <si>
    <t>R274</t>
  </si>
  <si>
    <t>R273</t>
  </si>
  <si>
    <t>R272</t>
  </si>
  <si>
    <t>R271</t>
  </si>
  <si>
    <t>R270</t>
  </si>
  <si>
    <t>R269</t>
  </si>
  <si>
    <t>R268</t>
  </si>
  <si>
    <t>R267</t>
  </si>
  <si>
    <t>R266</t>
  </si>
  <si>
    <t>R265</t>
  </si>
  <si>
    <t>R264</t>
  </si>
  <si>
    <t>R263</t>
  </si>
  <si>
    <t>R262</t>
  </si>
  <si>
    <t>R261</t>
  </si>
  <si>
    <t>R260</t>
  </si>
  <si>
    <t>R259</t>
  </si>
  <si>
    <t>R258</t>
  </si>
  <si>
    <t>R257</t>
  </si>
  <si>
    <t>R256</t>
  </si>
  <si>
    <t>R255</t>
  </si>
  <si>
    <t>R254</t>
  </si>
  <si>
    <t>R253</t>
  </si>
  <si>
    <t>R252</t>
  </si>
  <si>
    <t>R251</t>
  </si>
  <si>
    <t>R250</t>
  </si>
  <si>
    <t>R249</t>
  </si>
  <si>
    <t>R248</t>
  </si>
  <si>
    <t>R247</t>
  </si>
  <si>
    <t>R246</t>
  </si>
  <si>
    <t>R245</t>
  </si>
  <si>
    <t>R244</t>
  </si>
  <si>
    <t>R243</t>
  </si>
  <si>
    <t>R242</t>
  </si>
  <si>
    <t>R241</t>
  </si>
  <si>
    <t>R240</t>
  </si>
  <si>
    <t>R239</t>
  </si>
  <si>
    <t>R238</t>
  </si>
  <si>
    <t>R237</t>
  </si>
  <si>
    <t>R236</t>
  </si>
  <si>
    <t>R235</t>
  </si>
  <si>
    <t>R234</t>
  </si>
  <si>
    <t>R233</t>
  </si>
  <si>
    <t>R232</t>
  </si>
  <si>
    <t>R231</t>
  </si>
  <si>
    <t>R230</t>
  </si>
  <si>
    <t>R229</t>
  </si>
  <si>
    <t>R228</t>
  </si>
  <si>
    <t>R227</t>
  </si>
  <si>
    <t>R226</t>
  </si>
  <si>
    <t>R225</t>
  </si>
  <si>
    <t>R224</t>
  </si>
  <si>
    <t>R223</t>
  </si>
  <si>
    <t>R222</t>
  </si>
  <si>
    <t>R221</t>
  </si>
  <si>
    <t>R220</t>
  </si>
  <si>
    <t>R219</t>
  </si>
  <si>
    <t>R218</t>
  </si>
  <si>
    <t>R217</t>
  </si>
  <si>
    <t>R216</t>
  </si>
  <si>
    <t>R215</t>
  </si>
  <si>
    <t>R214</t>
  </si>
  <si>
    <t>R213</t>
  </si>
  <si>
    <t>R212</t>
  </si>
  <si>
    <t>R211</t>
  </si>
  <si>
    <t>R210</t>
  </si>
  <si>
    <t>R209</t>
  </si>
  <si>
    <t>R208</t>
  </si>
  <si>
    <t>R207</t>
  </si>
  <si>
    <t>R206</t>
  </si>
  <si>
    <t>R205</t>
  </si>
  <si>
    <t>R204</t>
  </si>
  <si>
    <t>R203</t>
  </si>
  <si>
    <t>R202</t>
  </si>
  <si>
    <t>R201</t>
  </si>
  <si>
    <t>R200</t>
  </si>
  <si>
    <t>R199</t>
  </si>
  <si>
    <t>R198</t>
  </si>
  <si>
    <t>R197</t>
  </si>
  <si>
    <t>R196</t>
  </si>
  <si>
    <t>R195</t>
  </si>
  <si>
    <t>R194</t>
  </si>
  <si>
    <t>R193</t>
  </si>
  <si>
    <t>R192</t>
  </si>
  <si>
    <t>R191</t>
  </si>
  <si>
    <t>R190</t>
  </si>
  <si>
    <t>R189</t>
  </si>
  <si>
    <t>R188</t>
  </si>
  <si>
    <t>R187</t>
  </si>
  <si>
    <t>R186</t>
  </si>
  <si>
    <t>R185</t>
  </si>
  <si>
    <t>R184</t>
  </si>
  <si>
    <t>R183</t>
  </si>
  <si>
    <t>R182</t>
  </si>
  <si>
    <t>R181</t>
  </si>
  <si>
    <t>R180</t>
  </si>
  <si>
    <t>R179</t>
  </si>
  <si>
    <t>R178</t>
  </si>
  <si>
    <t>R177</t>
  </si>
  <si>
    <t>R176</t>
  </si>
  <si>
    <t>R175</t>
  </si>
  <si>
    <t>R174</t>
  </si>
  <si>
    <t>R173</t>
  </si>
  <si>
    <t>R172</t>
  </si>
  <si>
    <t>R171</t>
  </si>
  <si>
    <t>R170</t>
  </si>
  <si>
    <t>R169</t>
  </si>
  <si>
    <t>R168</t>
  </si>
  <si>
    <t>R167</t>
  </si>
  <si>
    <t>R166</t>
  </si>
  <si>
    <t>R165</t>
  </si>
  <si>
    <t>R164</t>
  </si>
  <si>
    <t>R163</t>
  </si>
  <si>
    <t>R162</t>
  </si>
  <si>
    <t>R161</t>
  </si>
  <si>
    <t>R160</t>
  </si>
  <si>
    <t>R159</t>
  </si>
  <si>
    <t>R158</t>
  </si>
  <si>
    <t>R157</t>
  </si>
  <si>
    <t>R156</t>
  </si>
  <si>
    <t>R155</t>
  </si>
  <si>
    <t>R154</t>
  </si>
  <si>
    <t>R153</t>
  </si>
  <si>
    <t>R152</t>
  </si>
  <si>
    <t>R151</t>
  </si>
  <si>
    <t>R150</t>
  </si>
  <si>
    <t>R149</t>
  </si>
  <si>
    <t>R148</t>
  </si>
  <si>
    <t>R147</t>
  </si>
  <si>
    <t>R146</t>
  </si>
  <si>
    <t>R145</t>
  </si>
  <si>
    <t>R144</t>
  </si>
  <si>
    <t>R143</t>
  </si>
  <si>
    <t>R142</t>
  </si>
  <si>
    <t>R141</t>
  </si>
  <si>
    <t>R140</t>
  </si>
  <si>
    <t>R139</t>
  </si>
  <si>
    <t>R138</t>
  </si>
  <si>
    <t>R137</t>
  </si>
  <si>
    <t>R136</t>
  </si>
  <si>
    <t>R135</t>
  </si>
  <si>
    <t>R134</t>
  </si>
  <si>
    <t>R133</t>
  </si>
  <si>
    <t>R132</t>
  </si>
  <si>
    <t>R131</t>
  </si>
  <si>
    <t>R130</t>
  </si>
  <si>
    <t>R129</t>
  </si>
  <si>
    <t>R128</t>
  </si>
  <si>
    <t>R127</t>
  </si>
  <si>
    <t>R126</t>
  </si>
  <si>
    <t>R125</t>
  </si>
  <si>
    <t>R124</t>
  </si>
  <si>
    <t>R123</t>
  </si>
  <si>
    <t>R122</t>
  </si>
  <si>
    <t>R121</t>
  </si>
  <si>
    <t>R120</t>
  </si>
  <si>
    <t>R119</t>
  </si>
  <si>
    <t>R118</t>
  </si>
  <si>
    <t>R117</t>
  </si>
  <si>
    <t>R116</t>
  </si>
  <si>
    <t>R115</t>
  </si>
  <si>
    <t>R114</t>
  </si>
  <si>
    <t>R113</t>
  </si>
  <si>
    <t>R112</t>
  </si>
  <si>
    <t>R111</t>
  </si>
  <si>
    <t>R110</t>
  </si>
  <si>
    <t>R109</t>
  </si>
  <si>
    <t>R108</t>
  </si>
  <si>
    <t>R107</t>
  </si>
  <si>
    <t>R106</t>
  </si>
  <si>
    <t>R105</t>
  </si>
  <si>
    <t>R104</t>
  </si>
  <si>
    <t>R103</t>
  </si>
  <si>
    <t>R102</t>
  </si>
  <si>
    <t>R101</t>
  </si>
  <si>
    <t>R100</t>
  </si>
  <si>
    <t>R99</t>
  </si>
  <si>
    <t>R98</t>
  </si>
  <si>
    <t>R97</t>
  </si>
  <si>
    <t>R96</t>
  </si>
  <si>
    <t>R95</t>
  </si>
  <si>
    <t>R94</t>
  </si>
  <si>
    <t>R93</t>
  </si>
  <si>
    <t>R92</t>
  </si>
  <si>
    <t>R91</t>
  </si>
  <si>
    <t>R90</t>
  </si>
  <si>
    <t>R89</t>
  </si>
  <si>
    <t>R88</t>
  </si>
  <si>
    <t>R87</t>
  </si>
  <si>
    <t>R86</t>
  </si>
  <si>
    <t>R85</t>
  </si>
  <si>
    <t>R84</t>
  </si>
  <si>
    <t>R83</t>
  </si>
  <si>
    <t>R82</t>
  </si>
  <si>
    <t>R81</t>
  </si>
  <si>
    <t>R80</t>
  </si>
  <si>
    <t>R79</t>
  </si>
  <si>
    <t>R78</t>
  </si>
  <si>
    <t>R77</t>
  </si>
  <si>
    <t>R76</t>
  </si>
  <si>
    <t>R75</t>
  </si>
  <si>
    <t>R74</t>
  </si>
  <si>
    <t>R73</t>
  </si>
  <si>
    <t>R72</t>
  </si>
  <si>
    <t>R71</t>
  </si>
  <si>
    <t>R70</t>
  </si>
  <si>
    <t>R69</t>
  </si>
  <si>
    <t>R68</t>
  </si>
  <si>
    <t>R67</t>
  </si>
  <si>
    <t>R66</t>
  </si>
  <si>
    <t>R65</t>
  </si>
  <si>
    <t>R64</t>
  </si>
  <si>
    <t>R63</t>
  </si>
  <si>
    <t>R62</t>
  </si>
  <si>
    <t>R61</t>
  </si>
  <si>
    <t>R60</t>
  </si>
  <si>
    <t>R59</t>
  </si>
  <si>
    <t>R58</t>
  </si>
  <si>
    <t>R57</t>
  </si>
  <si>
    <t>R56</t>
  </si>
  <si>
    <t>R55</t>
  </si>
  <si>
    <t>R54</t>
  </si>
  <si>
    <t>R53</t>
  </si>
  <si>
    <t>R52</t>
  </si>
  <si>
    <t>R51</t>
  </si>
  <si>
    <t>R50</t>
  </si>
  <si>
    <t>R49</t>
  </si>
  <si>
    <t>R48</t>
  </si>
  <si>
    <t>R47</t>
  </si>
  <si>
    <t>R46</t>
  </si>
  <si>
    <t>R45</t>
  </si>
  <si>
    <t>R44</t>
  </si>
  <si>
    <t>R43</t>
  </si>
  <si>
    <t>R42</t>
  </si>
  <si>
    <t>R41</t>
  </si>
  <si>
    <t>R40</t>
  </si>
  <si>
    <t>R39</t>
  </si>
  <si>
    <t>R38</t>
  </si>
  <si>
    <t>R37</t>
  </si>
  <si>
    <t>R36</t>
  </si>
  <si>
    <t>R35</t>
  </si>
  <si>
    <t>R34</t>
  </si>
  <si>
    <t>R33</t>
  </si>
  <si>
    <t>R32</t>
  </si>
  <si>
    <t>R31</t>
  </si>
  <si>
    <t>R30</t>
  </si>
  <si>
    <t>R29</t>
  </si>
  <si>
    <t>R28</t>
  </si>
  <si>
    <t>R27</t>
  </si>
  <si>
    <t>R26</t>
  </si>
  <si>
    <t>R25</t>
  </si>
  <si>
    <t>R24</t>
  </si>
  <si>
    <t>R23</t>
  </si>
  <si>
    <t>R22</t>
  </si>
  <si>
    <t>R21</t>
  </si>
  <si>
    <t>R20</t>
  </si>
  <si>
    <t>R19</t>
  </si>
  <si>
    <t>R18</t>
  </si>
  <si>
    <t>R17</t>
  </si>
  <si>
    <t>R16</t>
  </si>
  <si>
    <t>R15</t>
  </si>
  <si>
    <t>R14</t>
  </si>
  <si>
    <t>R13</t>
  </si>
  <si>
    <t>R12</t>
  </si>
  <si>
    <t>R11</t>
  </si>
  <si>
    <t>R10</t>
  </si>
  <si>
    <t>R9</t>
  </si>
  <si>
    <t>R8</t>
  </si>
  <si>
    <t>R7</t>
  </si>
  <si>
    <t>R6</t>
  </si>
  <si>
    <t>R5</t>
  </si>
  <si>
    <t>R4</t>
  </si>
  <si>
    <t>R3</t>
  </si>
  <si>
    <t>R2</t>
  </si>
  <si>
    <t>R1</t>
  </si>
  <si>
    <t>Date</t>
  </si>
  <si>
    <t>Initial Weight(g)</t>
  </si>
  <si>
    <t>Type</t>
  </si>
  <si>
    <t>Code</t>
  </si>
  <si>
    <t>Scale: sartorius ISO9001 d=0.1mg</t>
  </si>
  <si>
    <t>Protocol: Weigh teabags with string and label. Then, mark teabag with markerpenn a code on both side of label and on the bag itself. R=rooibos, G=green tea. E.g: R25 or G34</t>
  </si>
  <si>
    <t>Green</t>
  </si>
  <si>
    <t>G902</t>
  </si>
  <si>
    <t>G901</t>
  </si>
  <si>
    <t>G900</t>
  </si>
  <si>
    <t>G899</t>
  </si>
  <si>
    <t>G898</t>
  </si>
  <si>
    <t>G897</t>
  </si>
  <si>
    <t>G896</t>
  </si>
  <si>
    <t>G895</t>
  </si>
  <si>
    <t>G894</t>
  </si>
  <si>
    <t>G893</t>
  </si>
  <si>
    <t>G892</t>
  </si>
  <si>
    <t>G891</t>
  </si>
  <si>
    <t>G890</t>
  </si>
  <si>
    <t>G889</t>
  </si>
  <si>
    <t>G888</t>
  </si>
  <si>
    <t>G887</t>
  </si>
  <si>
    <t>G886</t>
  </si>
  <si>
    <t>G885</t>
  </si>
  <si>
    <t>G884</t>
  </si>
  <si>
    <t>G883</t>
  </si>
  <si>
    <t>G882</t>
  </si>
  <si>
    <t>G881</t>
  </si>
  <si>
    <t>G880</t>
  </si>
  <si>
    <t>G879</t>
  </si>
  <si>
    <t>G878</t>
  </si>
  <si>
    <t>G877</t>
  </si>
  <si>
    <t>G876</t>
  </si>
  <si>
    <t>G875</t>
  </si>
  <si>
    <t>G874</t>
  </si>
  <si>
    <t>G873</t>
  </si>
  <si>
    <t>G872</t>
  </si>
  <si>
    <t>G871</t>
  </si>
  <si>
    <t>G870</t>
  </si>
  <si>
    <t>G869</t>
  </si>
  <si>
    <t>G868</t>
  </si>
  <si>
    <t>G867</t>
  </si>
  <si>
    <t>G866</t>
  </si>
  <si>
    <t>G865</t>
  </si>
  <si>
    <t>G864</t>
  </si>
  <si>
    <t>G863</t>
  </si>
  <si>
    <t>G862</t>
  </si>
  <si>
    <t>G861</t>
  </si>
  <si>
    <t>G860</t>
  </si>
  <si>
    <t>G859</t>
  </si>
  <si>
    <t>G858</t>
  </si>
  <si>
    <t>G857</t>
  </si>
  <si>
    <t>G856</t>
  </si>
  <si>
    <t>G855</t>
  </si>
  <si>
    <t>G854</t>
  </si>
  <si>
    <t>G853</t>
  </si>
  <si>
    <t>G852</t>
  </si>
  <si>
    <t>G851</t>
  </si>
  <si>
    <t>G850</t>
  </si>
  <si>
    <t>G849</t>
  </si>
  <si>
    <t>G848</t>
  </si>
  <si>
    <t>G847</t>
  </si>
  <si>
    <t>G846</t>
  </si>
  <si>
    <t>G845</t>
  </si>
  <si>
    <t>G844</t>
  </si>
  <si>
    <t>G843</t>
  </si>
  <si>
    <t>G842</t>
  </si>
  <si>
    <t>G841</t>
  </si>
  <si>
    <t>G840</t>
  </si>
  <si>
    <t>G839</t>
  </si>
  <si>
    <t>G838</t>
  </si>
  <si>
    <t>G837</t>
  </si>
  <si>
    <t>G836</t>
  </si>
  <si>
    <t>G835</t>
  </si>
  <si>
    <t>G834</t>
  </si>
  <si>
    <t>G833</t>
  </si>
  <si>
    <t>G832</t>
  </si>
  <si>
    <t>G831</t>
  </si>
  <si>
    <t>G830</t>
  </si>
  <si>
    <t>G829</t>
  </si>
  <si>
    <t>G828</t>
  </si>
  <si>
    <t>G827</t>
  </si>
  <si>
    <t>G826</t>
  </si>
  <si>
    <t>G825</t>
  </si>
  <si>
    <t>G824</t>
  </si>
  <si>
    <t>G823</t>
  </si>
  <si>
    <t>G822</t>
  </si>
  <si>
    <t>G821</t>
  </si>
  <si>
    <t>G820</t>
  </si>
  <si>
    <t>G819</t>
  </si>
  <si>
    <t>G818</t>
  </si>
  <si>
    <t>G817</t>
  </si>
  <si>
    <t>G816</t>
  </si>
  <si>
    <t>G815</t>
  </si>
  <si>
    <t>G814</t>
  </si>
  <si>
    <t>G813</t>
  </si>
  <si>
    <t>G812</t>
  </si>
  <si>
    <t>G811</t>
  </si>
  <si>
    <t>G810</t>
  </si>
  <si>
    <t>G809</t>
  </si>
  <si>
    <t>G808</t>
  </si>
  <si>
    <t>G807</t>
  </si>
  <si>
    <t>G806</t>
  </si>
  <si>
    <t>G805</t>
  </si>
  <si>
    <t>G804</t>
  </si>
  <si>
    <t>G803</t>
  </si>
  <si>
    <t>G802</t>
  </si>
  <si>
    <t>G801</t>
  </si>
  <si>
    <t>G800</t>
  </si>
  <si>
    <t>G799</t>
  </si>
  <si>
    <t>G798</t>
  </si>
  <si>
    <t>G797</t>
  </si>
  <si>
    <t>G796</t>
  </si>
  <si>
    <t>G795</t>
  </si>
  <si>
    <t>G794</t>
  </si>
  <si>
    <t>G793</t>
  </si>
  <si>
    <t>G792</t>
  </si>
  <si>
    <t>G791</t>
  </si>
  <si>
    <t>G790</t>
  </si>
  <si>
    <t>G789</t>
  </si>
  <si>
    <t>G788</t>
  </si>
  <si>
    <t>G787</t>
  </si>
  <si>
    <t>G786</t>
  </si>
  <si>
    <t>G785</t>
  </si>
  <si>
    <t>G784</t>
  </si>
  <si>
    <t>G783</t>
  </si>
  <si>
    <t>G782</t>
  </si>
  <si>
    <t>G781</t>
  </si>
  <si>
    <t>G780</t>
  </si>
  <si>
    <t>G779</t>
  </si>
  <si>
    <t>G778</t>
  </si>
  <si>
    <t>G777</t>
  </si>
  <si>
    <t>G776</t>
  </si>
  <si>
    <t>G775</t>
  </si>
  <si>
    <t>G774</t>
  </si>
  <si>
    <t>G773</t>
  </si>
  <si>
    <t>G772</t>
  </si>
  <si>
    <t>G771</t>
  </si>
  <si>
    <t>G770</t>
  </si>
  <si>
    <t>G769</t>
  </si>
  <si>
    <t>G768</t>
  </si>
  <si>
    <t>G767</t>
  </si>
  <si>
    <t>G766</t>
  </si>
  <si>
    <t>G765</t>
  </si>
  <si>
    <t>G764</t>
  </si>
  <si>
    <t>G763</t>
  </si>
  <si>
    <t>G762</t>
  </si>
  <si>
    <t>G761</t>
  </si>
  <si>
    <t>G760</t>
  </si>
  <si>
    <t>G759</t>
  </si>
  <si>
    <t>G758</t>
  </si>
  <si>
    <t>G757</t>
  </si>
  <si>
    <t>G756</t>
  </si>
  <si>
    <t>G755</t>
  </si>
  <si>
    <t>G754</t>
  </si>
  <si>
    <t>G753</t>
  </si>
  <si>
    <t>G752</t>
  </si>
  <si>
    <t>G751</t>
  </si>
  <si>
    <t>G750</t>
  </si>
  <si>
    <t>G749</t>
  </si>
  <si>
    <t>G748</t>
  </si>
  <si>
    <t>G747</t>
  </si>
  <si>
    <t>G746</t>
  </si>
  <si>
    <t>G745</t>
  </si>
  <si>
    <t>G744</t>
  </si>
  <si>
    <t>G743</t>
  </si>
  <si>
    <t>G742</t>
  </si>
  <si>
    <t>G741</t>
  </si>
  <si>
    <t>G740</t>
  </si>
  <si>
    <t>G739</t>
  </si>
  <si>
    <t>G738</t>
  </si>
  <si>
    <t>G737</t>
  </si>
  <si>
    <t>G736</t>
  </si>
  <si>
    <t>G735</t>
  </si>
  <si>
    <t>G734</t>
  </si>
  <si>
    <t>G733</t>
  </si>
  <si>
    <t>G732</t>
  </si>
  <si>
    <t>G731</t>
  </si>
  <si>
    <t>G730</t>
  </si>
  <si>
    <t>G729</t>
  </si>
  <si>
    <t>G728</t>
  </si>
  <si>
    <t>G727</t>
  </si>
  <si>
    <t>G726</t>
  </si>
  <si>
    <t>G725</t>
  </si>
  <si>
    <t>G724</t>
  </si>
  <si>
    <t>G723</t>
  </si>
  <si>
    <t>G722</t>
  </si>
  <si>
    <t>G721</t>
  </si>
  <si>
    <t>G720</t>
  </si>
  <si>
    <t>G719</t>
  </si>
  <si>
    <t>G718</t>
  </si>
  <si>
    <t>G717</t>
  </si>
  <si>
    <t>G716</t>
  </si>
  <si>
    <t>G715</t>
  </si>
  <si>
    <t>G714</t>
  </si>
  <si>
    <t>G713</t>
  </si>
  <si>
    <t>G712</t>
  </si>
  <si>
    <t>G711</t>
  </si>
  <si>
    <t>G710</t>
  </si>
  <si>
    <t>G709</t>
  </si>
  <si>
    <t>G708</t>
  </si>
  <si>
    <t>G707</t>
  </si>
  <si>
    <t>G706</t>
  </si>
  <si>
    <t>G705</t>
  </si>
  <si>
    <t>G704</t>
  </si>
  <si>
    <t>G703</t>
  </si>
  <si>
    <t>G702</t>
  </si>
  <si>
    <t>G701</t>
  </si>
  <si>
    <t>G700</t>
  </si>
  <si>
    <t>G699</t>
  </si>
  <si>
    <t>G698</t>
  </si>
  <si>
    <t>G697</t>
  </si>
  <si>
    <t>G696</t>
  </si>
  <si>
    <t>G695</t>
  </si>
  <si>
    <t>G694</t>
  </si>
  <si>
    <t>G693</t>
  </si>
  <si>
    <t>G692</t>
  </si>
  <si>
    <t>G691</t>
  </si>
  <si>
    <t>G690</t>
  </si>
  <si>
    <t>G689</t>
  </si>
  <si>
    <t>G688</t>
  </si>
  <si>
    <t>G687</t>
  </si>
  <si>
    <t>G686</t>
  </si>
  <si>
    <t>G685</t>
  </si>
  <si>
    <t>G684</t>
  </si>
  <si>
    <t>G683</t>
  </si>
  <si>
    <t>G682</t>
  </si>
  <si>
    <t>G681</t>
  </si>
  <si>
    <t>G680</t>
  </si>
  <si>
    <t>G679</t>
  </si>
  <si>
    <t>G678</t>
  </si>
  <si>
    <t>G677</t>
  </si>
  <si>
    <t>G676</t>
  </si>
  <si>
    <t>G675</t>
  </si>
  <si>
    <t>G674</t>
  </si>
  <si>
    <t>G673</t>
  </si>
  <si>
    <t>G672</t>
  </si>
  <si>
    <t>G671</t>
  </si>
  <si>
    <t>G670</t>
  </si>
  <si>
    <t>G669</t>
  </si>
  <si>
    <t>G668</t>
  </si>
  <si>
    <t>G667</t>
  </si>
  <si>
    <t>G666</t>
  </si>
  <si>
    <t>G665</t>
  </si>
  <si>
    <t>G664</t>
  </si>
  <si>
    <t>G663</t>
  </si>
  <si>
    <t>G662</t>
  </si>
  <si>
    <t>G661</t>
  </si>
  <si>
    <t>G660</t>
  </si>
  <si>
    <t>G659</t>
  </si>
  <si>
    <t>G658</t>
  </si>
  <si>
    <t>G657</t>
  </si>
  <si>
    <t>G656</t>
  </si>
  <si>
    <t>G655</t>
  </si>
  <si>
    <t>G654</t>
  </si>
  <si>
    <t>G653</t>
  </si>
  <si>
    <t>G652</t>
  </si>
  <si>
    <t>G651</t>
  </si>
  <si>
    <t>G650</t>
  </si>
  <si>
    <t>G649</t>
  </si>
  <si>
    <t>G648</t>
  </si>
  <si>
    <t>G647</t>
  </si>
  <si>
    <t>G646</t>
  </si>
  <si>
    <t>G645</t>
  </si>
  <si>
    <t>G644</t>
  </si>
  <si>
    <t>G643</t>
  </si>
  <si>
    <t>G642</t>
  </si>
  <si>
    <t>G641</t>
  </si>
  <si>
    <t>G640</t>
  </si>
  <si>
    <t>G639</t>
  </si>
  <si>
    <t>G638</t>
  </si>
  <si>
    <t>G637</t>
  </si>
  <si>
    <t>G636</t>
  </si>
  <si>
    <t>G635</t>
  </si>
  <si>
    <t>G634</t>
  </si>
  <si>
    <t>G633</t>
  </si>
  <si>
    <t>G632</t>
  </si>
  <si>
    <t>G631</t>
  </si>
  <si>
    <t>G630</t>
  </si>
  <si>
    <t>G629</t>
  </si>
  <si>
    <t>G628</t>
  </si>
  <si>
    <t>G627</t>
  </si>
  <si>
    <t>G626</t>
  </si>
  <si>
    <t>G625</t>
  </si>
  <si>
    <t>G624</t>
  </si>
  <si>
    <t>G623</t>
  </si>
  <si>
    <t>G622</t>
  </si>
  <si>
    <t>G621</t>
  </si>
  <si>
    <t>G620</t>
  </si>
  <si>
    <t>G619</t>
  </si>
  <si>
    <t>G618</t>
  </si>
  <si>
    <t>G617</t>
  </si>
  <si>
    <t>G616</t>
  </si>
  <si>
    <t>G615</t>
  </si>
  <si>
    <t>G614</t>
  </si>
  <si>
    <t>G613</t>
  </si>
  <si>
    <t>G612</t>
  </si>
  <si>
    <t>G611</t>
  </si>
  <si>
    <t>G610</t>
  </si>
  <si>
    <t>G609</t>
  </si>
  <si>
    <t>G608</t>
  </si>
  <si>
    <t>G607</t>
  </si>
  <si>
    <t>G606</t>
  </si>
  <si>
    <t>G605</t>
  </si>
  <si>
    <t>G604</t>
  </si>
  <si>
    <t>G603</t>
  </si>
  <si>
    <t>G602</t>
  </si>
  <si>
    <t>G601</t>
  </si>
  <si>
    <t>G600</t>
  </si>
  <si>
    <t>G599</t>
  </si>
  <si>
    <t>G598</t>
  </si>
  <si>
    <t>G597</t>
  </si>
  <si>
    <t>G596</t>
  </si>
  <si>
    <t>G595</t>
  </si>
  <si>
    <t>G594</t>
  </si>
  <si>
    <t>G593</t>
  </si>
  <si>
    <t>G592</t>
  </si>
  <si>
    <t>G591</t>
  </si>
  <si>
    <t>G590</t>
  </si>
  <si>
    <t>G589</t>
  </si>
  <si>
    <t>G588</t>
  </si>
  <si>
    <t>G587</t>
  </si>
  <si>
    <t>G586</t>
  </si>
  <si>
    <t>G585</t>
  </si>
  <si>
    <t>G584</t>
  </si>
  <si>
    <t>G583</t>
  </si>
  <si>
    <t>G582</t>
  </si>
  <si>
    <t>G581</t>
  </si>
  <si>
    <t>G580</t>
  </si>
  <si>
    <t>G579</t>
  </si>
  <si>
    <t>G578</t>
  </si>
  <si>
    <t>G577</t>
  </si>
  <si>
    <t>G576</t>
  </si>
  <si>
    <t>G575</t>
  </si>
  <si>
    <t>G574</t>
  </si>
  <si>
    <t>G573</t>
  </si>
  <si>
    <t>G572</t>
  </si>
  <si>
    <t>G571</t>
  </si>
  <si>
    <t>G570</t>
  </si>
  <si>
    <t>G569</t>
  </si>
  <si>
    <t>G568</t>
  </si>
  <si>
    <t>G567</t>
  </si>
  <si>
    <t>G566</t>
  </si>
  <si>
    <t>G565</t>
  </si>
  <si>
    <t>G564</t>
  </si>
  <si>
    <t>G563</t>
  </si>
  <si>
    <t>G562</t>
  </si>
  <si>
    <t>G561</t>
  </si>
  <si>
    <t>G560</t>
  </si>
  <si>
    <t>G559</t>
  </si>
  <si>
    <t>G558</t>
  </si>
  <si>
    <t>G557</t>
  </si>
  <si>
    <t>G556</t>
  </si>
  <si>
    <t>G555</t>
  </si>
  <si>
    <t>G554</t>
  </si>
  <si>
    <t>G553</t>
  </si>
  <si>
    <t>G552</t>
  </si>
  <si>
    <t>G551</t>
  </si>
  <si>
    <t>G550</t>
  </si>
  <si>
    <t>G549</t>
  </si>
  <si>
    <t>G548</t>
  </si>
  <si>
    <t>G547</t>
  </si>
  <si>
    <t>G546</t>
  </si>
  <si>
    <t>G545</t>
  </si>
  <si>
    <t>G544</t>
  </si>
  <si>
    <t>G543</t>
  </si>
  <si>
    <t>G542</t>
  </si>
  <si>
    <t>G541</t>
  </si>
  <si>
    <t>G540</t>
  </si>
  <si>
    <t>G539</t>
  </si>
  <si>
    <t>G538</t>
  </si>
  <si>
    <t>G537</t>
  </si>
  <si>
    <t>G536</t>
  </si>
  <si>
    <t>G535</t>
  </si>
  <si>
    <t>G534</t>
  </si>
  <si>
    <t>G533</t>
  </si>
  <si>
    <t>G532</t>
  </si>
  <si>
    <t>G531</t>
  </si>
  <si>
    <t>G530</t>
  </si>
  <si>
    <t>G529</t>
  </si>
  <si>
    <t>G528</t>
  </si>
  <si>
    <t>G527</t>
  </si>
  <si>
    <t>G526</t>
  </si>
  <si>
    <t>G525</t>
  </si>
  <si>
    <t>G524</t>
  </si>
  <si>
    <t>G523</t>
  </si>
  <si>
    <t>G522</t>
  </si>
  <si>
    <t>G521</t>
  </si>
  <si>
    <t>G520</t>
  </si>
  <si>
    <t>G519</t>
  </si>
  <si>
    <t>G518</t>
  </si>
  <si>
    <t>G517</t>
  </si>
  <si>
    <t>G516</t>
  </si>
  <si>
    <t>G515</t>
  </si>
  <si>
    <t>G514</t>
  </si>
  <si>
    <t>G513</t>
  </si>
  <si>
    <t>G512</t>
  </si>
  <si>
    <t>G511</t>
  </si>
  <si>
    <t>G510</t>
  </si>
  <si>
    <t>G509</t>
  </si>
  <si>
    <t>G508</t>
  </si>
  <si>
    <t>G507</t>
  </si>
  <si>
    <t>G506</t>
  </si>
  <si>
    <t>G505</t>
  </si>
  <si>
    <t>G504</t>
  </si>
  <si>
    <t>G503</t>
  </si>
  <si>
    <t>G502</t>
  </si>
  <si>
    <t>G501</t>
  </si>
  <si>
    <t>G500</t>
  </si>
  <si>
    <t>G499</t>
  </si>
  <si>
    <t>G498</t>
  </si>
  <si>
    <t>G497</t>
  </si>
  <si>
    <t>G496</t>
  </si>
  <si>
    <t>G495</t>
  </si>
  <si>
    <t>G494</t>
  </si>
  <si>
    <t>G493</t>
  </si>
  <si>
    <t>G492</t>
  </si>
  <si>
    <t>G491</t>
  </si>
  <si>
    <t>G490</t>
  </si>
  <si>
    <t>G489</t>
  </si>
  <si>
    <t>G488</t>
  </si>
  <si>
    <t>G487</t>
  </si>
  <si>
    <t>G486</t>
  </si>
  <si>
    <t>G485</t>
  </si>
  <si>
    <t>G484</t>
  </si>
  <si>
    <t>G483</t>
  </si>
  <si>
    <t>G482</t>
  </si>
  <si>
    <t>G481</t>
  </si>
  <si>
    <t>G480</t>
  </si>
  <si>
    <t>G479</t>
  </si>
  <si>
    <t>G478</t>
  </si>
  <si>
    <t>G477</t>
  </si>
  <si>
    <t>G476</t>
  </si>
  <si>
    <t>G475</t>
  </si>
  <si>
    <t>G474</t>
  </si>
  <si>
    <t>G473</t>
  </si>
  <si>
    <t>G472</t>
  </si>
  <si>
    <t>G471</t>
  </si>
  <si>
    <t>G470</t>
  </si>
  <si>
    <t>G469</t>
  </si>
  <si>
    <t>G468</t>
  </si>
  <si>
    <t>G467</t>
  </si>
  <si>
    <t>G466</t>
  </si>
  <si>
    <t>G465</t>
  </si>
  <si>
    <t>G464</t>
  </si>
  <si>
    <t>G463</t>
  </si>
  <si>
    <t>G462</t>
  </si>
  <si>
    <t>G461</t>
  </si>
  <si>
    <t>G460</t>
  </si>
  <si>
    <t>G459</t>
  </si>
  <si>
    <t>G458</t>
  </si>
  <si>
    <t>G457</t>
  </si>
  <si>
    <t>G456</t>
  </si>
  <si>
    <t>G455</t>
  </si>
  <si>
    <t>G454</t>
  </si>
  <si>
    <t>G453</t>
  </si>
  <si>
    <t>G452</t>
  </si>
  <si>
    <t>G451</t>
  </si>
  <si>
    <t>G450</t>
  </si>
  <si>
    <t>G449</t>
  </si>
  <si>
    <t>G448</t>
  </si>
  <si>
    <t>G447</t>
  </si>
  <si>
    <t>G446</t>
  </si>
  <si>
    <t>G445</t>
  </si>
  <si>
    <t>G444</t>
  </si>
  <si>
    <t>G443</t>
  </si>
  <si>
    <t>G442</t>
  </si>
  <si>
    <t>G441</t>
  </si>
  <si>
    <t>G440</t>
  </si>
  <si>
    <t>G439</t>
  </si>
  <si>
    <t>G438</t>
  </si>
  <si>
    <t>G437</t>
  </si>
  <si>
    <t>G436</t>
  </si>
  <si>
    <t>G435</t>
  </si>
  <si>
    <t>G434</t>
  </si>
  <si>
    <t>G433</t>
  </si>
  <si>
    <t>G432</t>
  </si>
  <si>
    <t>G431</t>
  </si>
  <si>
    <t>G430</t>
  </si>
  <si>
    <t>G429</t>
  </si>
  <si>
    <t>G428</t>
  </si>
  <si>
    <t>G427</t>
  </si>
  <si>
    <t>G426</t>
  </si>
  <si>
    <t>G425</t>
  </si>
  <si>
    <t>G424</t>
  </si>
  <si>
    <t>G423</t>
  </si>
  <si>
    <t>G422</t>
  </si>
  <si>
    <t>G421</t>
  </si>
  <si>
    <t>G420</t>
  </si>
  <si>
    <t>G419</t>
  </si>
  <si>
    <t>G418</t>
  </si>
  <si>
    <t>G417</t>
  </si>
  <si>
    <t>G416</t>
  </si>
  <si>
    <t>G415</t>
  </si>
  <si>
    <t>G414</t>
  </si>
  <si>
    <t>G413</t>
  </si>
  <si>
    <t>G412</t>
  </si>
  <si>
    <t>G411</t>
  </si>
  <si>
    <t>G410</t>
  </si>
  <si>
    <t>G409</t>
  </si>
  <si>
    <t>G408</t>
  </si>
  <si>
    <t>G407</t>
  </si>
  <si>
    <t>G406</t>
  </si>
  <si>
    <t>G405</t>
  </si>
  <si>
    <t>G404</t>
  </si>
  <si>
    <t>G403</t>
  </si>
  <si>
    <t>G402</t>
  </si>
  <si>
    <t>G401</t>
  </si>
  <si>
    <t>G400</t>
  </si>
  <si>
    <t>G399</t>
  </si>
  <si>
    <t>G398</t>
  </si>
  <si>
    <t>G397</t>
  </si>
  <si>
    <t>G396</t>
  </si>
  <si>
    <t>G395</t>
  </si>
  <si>
    <t>G394</t>
  </si>
  <si>
    <t>G393</t>
  </si>
  <si>
    <t>G392</t>
  </si>
  <si>
    <t>G391</t>
  </si>
  <si>
    <t>G390</t>
  </si>
  <si>
    <t>G389</t>
  </si>
  <si>
    <t>G388</t>
  </si>
  <si>
    <t>G387</t>
  </si>
  <si>
    <t>G386</t>
  </si>
  <si>
    <t>G385</t>
  </si>
  <si>
    <t>G384</t>
  </si>
  <si>
    <t>G383</t>
  </si>
  <si>
    <t>G382</t>
  </si>
  <si>
    <t>G381</t>
  </si>
  <si>
    <t>G380</t>
  </si>
  <si>
    <t>G379</t>
  </si>
  <si>
    <t>G378</t>
  </si>
  <si>
    <t>G377</t>
  </si>
  <si>
    <t>G376</t>
  </si>
  <si>
    <t>G375</t>
  </si>
  <si>
    <t>G374</t>
  </si>
  <si>
    <t>G373</t>
  </si>
  <si>
    <t>G372</t>
  </si>
  <si>
    <t>G371</t>
  </si>
  <si>
    <t>G370</t>
  </si>
  <si>
    <t>G369</t>
  </si>
  <si>
    <t>G368</t>
  </si>
  <si>
    <t>G367</t>
  </si>
  <si>
    <t>G366</t>
  </si>
  <si>
    <t>G365</t>
  </si>
  <si>
    <t>G364</t>
  </si>
  <si>
    <t>G363</t>
  </si>
  <si>
    <t>G362</t>
  </si>
  <si>
    <t>G361</t>
  </si>
  <si>
    <t>G360</t>
  </si>
  <si>
    <t>G359</t>
  </si>
  <si>
    <t>G358</t>
  </si>
  <si>
    <t>G357</t>
  </si>
  <si>
    <t>G356</t>
  </si>
  <si>
    <t>G355</t>
  </si>
  <si>
    <t>G354</t>
  </si>
  <si>
    <t>G353</t>
  </si>
  <si>
    <t>G352</t>
  </si>
  <si>
    <t>G351</t>
  </si>
  <si>
    <t>G350</t>
  </si>
  <si>
    <t>G349</t>
  </si>
  <si>
    <t>G348</t>
  </si>
  <si>
    <t>G347</t>
  </si>
  <si>
    <t>G346</t>
  </si>
  <si>
    <t>G345</t>
  </si>
  <si>
    <t>G344</t>
  </si>
  <si>
    <t>G343</t>
  </si>
  <si>
    <t>G342</t>
  </si>
  <si>
    <t>G341</t>
  </si>
  <si>
    <t>G340</t>
  </si>
  <si>
    <t>G339</t>
  </si>
  <si>
    <t>G338</t>
  </si>
  <si>
    <t>G337</t>
  </si>
  <si>
    <t>G336</t>
  </si>
  <si>
    <t>G335</t>
  </si>
  <si>
    <t>G334</t>
  </si>
  <si>
    <t>G333</t>
  </si>
  <si>
    <t>G332</t>
  </si>
  <si>
    <t>G331</t>
  </si>
  <si>
    <t>G330</t>
  </si>
  <si>
    <t>G329</t>
  </si>
  <si>
    <t>G328</t>
  </si>
  <si>
    <t>G327</t>
  </si>
  <si>
    <t>G326</t>
  </si>
  <si>
    <t>G325</t>
  </si>
  <si>
    <t>G324</t>
  </si>
  <si>
    <t>G323</t>
  </si>
  <si>
    <t>G322</t>
  </si>
  <si>
    <t>G321</t>
  </si>
  <si>
    <t>G320</t>
  </si>
  <si>
    <t>G319</t>
  </si>
  <si>
    <t>G318</t>
  </si>
  <si>
    <t>G317</t>
  </si>
  <si>
    <t>G316</t>
  </si>
  <si>
    <t>G315</t>
  </si>
  <si>
    <t>G314</t>
  </si>
  <si>
    <t>G313</t>
  </si>
  <si>
    <t>G312</t>
  </si>
  <si>
    <t>G311</t>
  </si>
  <si>
    <t>G310</t>
  </si>
  <si>
    <t>G309</t>
  </si>
  <si>
    <t>G308</t>
  </si>
  <si>
    <t>G307</t>
  </si>
  <si>
    <t>G306</t>
  </si>
  <si>
    <t>G305</t>
  </si>
  <si>
    <t>G304</t>
  </si>
  <si>
    <t>G303</t>
  </si>
  <si>
    <t>G302</t>
  </si>
  <si>
    <t>G301</t>
  </si>
  <si>
    <t>G300</t>
  </si>
  <si>
    <t>G299</t>
  </si>
  <si>
    <t>G298</t>
  </si>
  <si>
    <t>G297</t>
  </si>
  <si>
    <t>G296</t>
  </si>
  <si>
    <t>G295</t>
  </si>
  <si>
    <t>G294</t>
  </si>
  <si>
    <t>G293</t>
  </si>
  <si>
    <t>G292</t>
  </si>
  <si>
    <t>G291</t>
  </si>
  <si>
    <t>G290</t>
  </si>
  <si>
    <t>G289</t>
  </si>
  <si>
    <t>G288</t>
  </si>
  <si>
    <t>G287</t>
  </si>
  <si>
    <t>G286</t>
  </si>
  <si>
    <t>G285</t>
  </si>
  <si>
    <t>G284</t>
  </si>
  <si>
    <t>G283</t>
  </si>
  <si>
    <t>G282</t>
  </si>
  <si>
    <t>G281</t>
  </si>
  <si>
    <t>G280</t>
  </si>
  <si>
    <t>G279</t>
  </si>
  <si>
    <t>G278</t>
  </si>
  <si>
    <t>G277</t>
  </si>
  <si>
    <t>G276</t>
  </si>
  <si>
    <t>G275</t>
  </si>
  <si>
    <t>G274</t>
  </si>
  <si>
    <t>G273</t>
  </si>
  <si>
    <t>G272</t>
  </si>
  <si>
    <t>G271</t>
  </si>
  <si>
    <t>G270</t>
  </si>
  <si>
    <t>G269</t>
  </si>
  <si>
    <t>G268</t>
  </si>
  <si>
    <t>G267</t>
  </si>
  <si>
    <t>G266</t>
  </si>
  <si>
    <t>G265</t>
  </si>
  <si>
    <t>G264</t>
  </si>
  <si>
    <t>G263</t>
  </si>
  <si>
    <t>G262</t>
  </si>
  <si>
    <t>G261</t>
  </si>
  <si>
    <t>G260</t>
  </si>
  <si>
    <t>G259</t>
  </si>
  <si>
    <t>G258</t>
  </si>
  <si>
    <t>G257</t>
  </si>
  <si>
    <t>G256</t>
  </si>
  <si>
    <t>G255</t>
  </si>
  <si>
    <t>G254</t>
  </si>
  <si>
    <t>G253</t>
  </si>
  <si>
    <t>G252</t>
  </si>
  <si>
    <t>G251</t>
  </si>
  <si>
    <t>G250</t>
  </si>
  <si>
    <t>G249</t>
  </si>
  <si>
    <t>G248</t>
  </si>
  <si>
    <t>G247</t>
  </si>
  <si>
    <t>G246</t>
  </si>
  <si>
    <t>G245</t>
  </si>
  <si>
    <t>G244</t>
  </si>
  <si>
    <t>G243</t>
  </si>
  <si>
    <t>G242</t>
  </si>
  <si>
    <t>G241</t>
  </si>
  <si>
    <t>G240</t>
  </si>
  <si>
    <t>G239</t>
  </si>
  <si>
    <t>G238</t>
  </si>
  <si>
    <t>G237</t>
  </si>
  <si>
    <t>G236</t>
  </si>
  <si>
    <t>G235</t>
  </si>
  <si>
    <t>G234</t>
  </si>
  <si>
    <t>G233</t>
  </si>
  <si>
    <t>G232</t>
  </si>
  <si>
    <t>G231</t>
  </si>
  <si>
    <t>G230</t>
  </si>
  <si>
    <t>G229</t>
  </si>
  <si>
    <t>G228</t>
  </si>
  <si>
    <t>G227</t>
  </si>
  <si>
    <t>G226</t>
  </si>
  <si>
    <t>G225</t>
  </si>
  <si>
    <t>G224</t>
  </si>
  <si>
    <t>G223</t>
  </si>
  <si>
    <t>G222</t>
  </si>
  <si>
    <t>G221</t>
  </si>
  <si>
    <t>G220</t>
  </si>
  <si>
    <t>G219</t>
  </si>
  <si>
    <t>G218</t>
  </si>
  <si>
    <t>G217</t>
  </si>
  <si>
    <t>G216</t>
  </si>
  <si>
    <t>G215</t>
  </si>
  <si>
    <t>G214</t>
  </si>
  <si>
    <t>G213</t>
  </si>
  <si>
    <t>G212</t>
  </si>
  <si>
    <t>G211</t>
  </si>
  <si>
    <t>G210</t>
  </si>
  <si>
    <t>G209</t>
  </si>
  <si>
    <t>G208</t>
  </si>
  <si>
    <t>G207</t>
  </si>
  <si>
    <t>G206</t>
  </si>
  <si>
    <t>G205</t>
  </si>
  <si>
    <t>G204</t>
  </si>
  <si>
    <t>G203</t>
  </si>
  <si>
    <t>G202</t>
  </si>
  <si>
    <t>G201</t>
  </si>
  <si>
    <t>G200</t>
  </si>
  <si>
    <t>G199</t>
  </si>
  <si>
    <t>G198</t>
  </si>
  <si>
    <t>G197</t>
  </si>
  <si>
    <t>G196</t>
  </si>
  <si>
    <t>G195</t>
  </si>
  <si>
    <t>G194</t>
  </si>
  <si>
    <t>G193</t>
  </si>
  <si>
    <t>G192</t>
  </si>
  <si>
    <t>G191</t>
  </si>
  <si>
    <t>G190</t>
  </si>
  <si>
    <t>G189</t>
  </si>
  <si>
    <t>G188</t>
  </si>
  <si>
    <t>G187</t>
  </si>
  <si>
    <t>G186</t>
  </si>
  <si>
    <t>G185</t>
  </si>
  <si>
    <t>G184</t>
  </si>
  <si>
    <t>G183</t>
  </si>
  <si>
    <t>G182</t>
  </si>
  <si>
    <t>G181</t>
  </si>
  <si>
    <t>G180</t>
  </si>
  <si>
    <t>G179</t>
  </si>
  <si>
    <t>G178</t>
  </si>
  <si>
    <t>G177</t>
  </si>
  <si>
    <t>G176</t>
  </si>
  <si>
    <t>G175</t>
  </si>
  <si>
    <t>G174</t>
  </si>
  <si>
    <t>G173</t>
  </si>
  <si>
    <t>G172</t>
  </si>
  <si>
    <t>G171</t>
  </si>
  <si>
    <t>G170</t>
  </si>
  <si>
    <t>G169</t>
  </si>
  <si>
    <t>G168</t>
  </si>
  <si>
    <t>G167</t>
  </si>
  <si>
    <t>G166</t>
  </si>
  <si>
    <t>G165</t>
  </si>
  <si>
    <t>G164</t>
  </si>
  <si>
    <t>G163</t>
  </si>
  <si>
    <t>G162</t>
  </si>
  <si>
    <t>G161</t>
  </si>
  <si>
    <t>G160</t>
  </si>
  <si>
    <t>G159</t>
  </si>
  <si>
    <t>G158</t>
  </si>
  <si>
    <t>G157</t>
  </si>
  <si>
    <t>G156</t>
  </si>
  <si>
    <t>G155</t>
  </si>
  <si>
    <t>G154</t>
  </si>
  <si>
    <t>G153</t>
  </si>
  <si>
    <t>G152</t>
  </si>
  <si>
    <t>G151</t>
  </si>
  <si>
    <t>G150</t>
  </si>
  <si>
    <t>G149</t>
  </si>
  <si>
    <t>G148</t>
  </si>
  <si>
    <t>G147</t>
  </si>
  <si>
    <t>G146</t>
  </si>
  <si>
    <t>G145</t>
  </si>
  <si>
    <t>G144</t>
  </si>
  <si>
    <t>G143</t>
  </si>
  <si>
    <t>G142</t>
  </si>
  <si>
    <t>G141</t>
  </si>
  <si>
    <t>G140</t>
  </si>
  <si>
    <t>G139</t>
  </si>
  <si>
    <t>G138</t>
  </si>
  <si>
    <t>G137</t>
  </si>
  <si>
    <t>G136</t>
  </si>
  <si>
    <t>G135</t>
  </si>
  <si>
    <t>G134</t>
  </si>
  <si>
    <t>G133</t>
  </si>
  <si>
    <t>G132</t>
  </si>
  <si>
    <t>G131</t>
  </si>
  <si>
    <t>G130</t>
  </si>
  <si>
    <t>G129</t>
  </si>
  <si>
    <t>G128</t>
  </si>
  <si>
    <t>G127</t>
  </si>
  <si>
    <t>G126</t>
  </si>
  <si>
    <t>G125</t>
  </si>
  <si>
    <t>G124</t>
  </si>
  <si>
    <t>G123</t>
  </si>
  <si>
    <t>G122</t>
  </si>
  <si>
    <t>G121</t>
  </si>
  <si>
    <t>G120</t>
  </si>
  <si>
    <t>G119</t>
  </si>
  <si>
    <t>G118</t>
  </si>
  <si>
    <t>G117</t>
  </si>
  <si>
    <t>G116</t>
  </si>
  <si>
    <t>G115</t>
  </si>
  <si>
    <t>G114</t>
  </si>
  <si>
    <t>G113</t>
  </si>
  <si>
    <t>G112</t>
  </si>
  <si>
    <t>G111</t>
  </si>
  <si>
    <t>G110</t>
  </si>
  <si>
    <t>G109</t>
  </si>
  <si>
    <t>G108</t>
  </si>
  <si>
    <t>G107</t>
  </si>
  <si>
    <t>G106</t>
  </si>
  <si>
    <t>G105</t>
  </si>
  <si>
    <t>G104</t>
  </si>
  <si>
    <t>G103</t>
  </si>
  <si>
    <t>G102</t>
  </si>
  <si>
    <t>G101</t>
  </si>
  <si>
    <t>G100</t>
  </si>
  <si>
    <t>G99</t>
  </si>
  <si>
    <t>G98</t>
  </si>
  <si>
    <t>G97</t>
  </si>
  <si>
    <t>G96</t>
  </si>
  <si>
    <t>G95</t>
  </si>
  <si>
    <t>G94</t>
  </si>
  <si>
    <t>G93</t>
  </si>
  <si>
    <t>G92</t>
  </si>
  <si>
    <t>G91</t>
  </si>
  <si>
    <t>G90</t>
  </si>
  <si>
    <t>G89</t>
  </si>
  <si>
    <t>G88</t>
  </si>
  <si>
    <t>G87</t>
  </si>
  <si>
    <t>G86</t>
  </si>
  <si>
    <t>G85</t>
  </si>
  <si>
    <t>G84</t>
  </si>
  <si>
    <t>G83</t>
  </si>
  <si>
    <t>G82</t>
  </si>
  <si>
    <t>G81</t>
  </si>
  <si>
    <t>G80</t>
  </si>
  <si>
    <t>G79</t>
  </si>
  <si>
    <t>G78</t>
  </si>
  <si>
    <t>G77</t>
  </si>
  <si>
    <t>G76</t>
  </si>
  <si>
    <t>G75</t>
  </si>
  <si>
    <t>G74</t>
  </si>
  <si>
    <t>G73</t>
  </si>
  <si>
    <t>G72</t>
  </si>
  <si>
    <t>G71</t>
  </si>
  <si>
    <t>G70</t>
  </si>
  <si>
    <t>G69</t>
  </si>
  <si>
    <t>G68</t>
  </si>
  <si>
    <t>G67</t>
  </si>
  <si>
    <t>G66</t>
  </si>
  <si>
    <t>G65</t>
  </si>
  <si>
    <t>G64</t>
  </si>
  <si>
    <t>G63</t>
  </si>
  <si>
    <t>G62</t>
  </si>
  <si>
    <t>G61</t>
  </si>
  <si>
    <t>G60</t>
  </si>
  <si>
    <t>G59</t>
  </si>
  <si>
    <t>G58</t>
  </si>
  <si>
    <t>G57</t>
  </si>
  <si>
    <t>G56</t>
  </si>
  <si>
    <t>G55</t>
  </si>
  <si>
    <t>G54</t>
  </si>
  <si>
    <t>G53</t>
  </si>
  <si>
    <t>G52</t>
  </si>
  <si>
    <t>G51</t>
  </si>
  <si>
    <t>G50</t>
  </si>
  <si>
    <t>G49</t>
  </si>
  <si>
    <t>G48</t>
  </si>
  <si>
    <t>G47</t>
  </si>
  <si>
    <t>G46</t>
  </si>
  <si>
    <t>G45</t>
  </si>
  <si>
    <t>G44</t>
  </si>
  <si>
    <t>G43</t>
  </si>
  <si>
    <t>G42</t>
  </si>
  <si>
    <t>G41</t>
  </si>
  <si>
    <t>G40</t>
  </si>
  <si>
    <t>G39</t>
  </si>
  <si>
    <t>G38</t>
  </si>
  <si>
    <t>G37</t>
  </si>
  <si>
    <t>G36</t>
  </si>
  <si>
    <t>G35</t>
  </si>
  <si>
    <t>G34</t>
  </si>
  <si>
    <t>G33</t>
  </si>
  <si>
    <t>G32</t>
  </si>
  <si>
    <t>G31</t>
  </si>
  <si>
    <t>G30</t>
  </si>
  <si>
    <t>G29</t>
  </si>
  <si>
    <t>G28</t>
  </si>
  <si>
    <t>G27</t>
  </si>
  <si>
    <t>G26</t>
  </si>
  <si>
    <t>G25</t>
  </si>
  <si>
    <t>G24</t>
  </si>
  <si>
    <t>G23</t>
  </si>
  <si>
    <t>G22</t>
  </si>
  <si>
    <t>G21</t>
  </si>
  <si>
    <t>G20</t>
  </si>
  <si>
    <t>G19</t>
  </si>
  <si>
    <t>G18</t>
  </si>
  <si>
    <t>G17</t>
  </si>
  <si>
    <t>G16</t>
  </si>
  <si>
    <t>G15</t>
  </si>
  <si>
    <t>G14</t>
  </si>
  <si>
    <t>G13</t>
  </si>
  <si>
    <t>G12</t>
  </si>
  <si>
    <t>G11</t>
  </si>
  <si>
    <t>G10</t>
  </si>
  <si>
    <t>G9</t>
  </si>
  <si>
    <t>G8</t>
  </si>
  <si>
    <t>G7</t>
  </si>
  <si>
    <t>G6</t>
  </si>
  <si>
    <t>G5</t>
  </si>
  <si>
    <t>G4</t>
  </si>
  <si>
    <t>G3</t>
  </si>
  <si>
    <t>G2</t>
  </si>
  <si>
    <t>G1</t>
  </si>
  <si>
    <t xml:space="preserve">Half string </t>
  </si>
  <si>
    <t xml:space="preserve">No string </t>
  </si>
  <si>
    <t xml:space="preserve">Empty bag </t>
  </si>
  <si>
    <t xml:space="preserve">No tag, can't read the number </t>
  </si>
  <si>
    <t xml:space="preserve">Empty </t>
  </si>
  <si>
    <t>N.A</t>
  </si>
  <si>
    <t xml:space="preserve">Holes </t>
  </si>
  <si>
    <t xml:space="preserve">Holes, soil inside </t>
  </si>
  <si>
    <t xml:space="preserve">Empty, chewed </t>
  </si>
  <si>
    <t xml:space="preserve">N.A. </t>
  </si>
  <si>
    <t xml:space="preserve">No tag and no string </t>
  </si>
  <si>
    <t xml:space="preserve">No string and no tag </t>
  </si>
  <si>
    <t>only 3</t>
  </si>
  <si>
    <t xml:space="preserve">empty and hole </t>
  </si>
  <si>
    <t xml:space="preserve">empty, tag and bag  chewed, cant recognize number </t>
  </si>
  <si>
    <t xml:space="preserve">Soil inside </t>
  </si>
  <si>
    <t xml:space="preserve">No string and tag </t>
  </si>
  <si>
    <t>holes</t>
  </si>
  <si>
    <t>Can't read the midnumber only</t>
  </si>
  <si>
    <t>holes. soil inside</t>
  </si>
  <si>
    <t>no tag</t>
  </si>
  <si>
    <t>tag nibbled. bag almost eaten</t>
  </si>
  <si>
    <t>Empty and destroyed bag. G8 is clearly vsible the 3 in midle is not so easy and the 5 is most likely right. Sheeting.</t>
  </si>
  <si>
    <t>n.a</t>
  </si>
  <si>
    <t>sheeting. empty and destroyed bag</t>
  </si>
  <si>
    <t>some roots inside</t>
  </si>
  <si>
    <t>holes. empty. prob only soil inside</t>
  </si>
  <si>
    <t>empty. prob only soil inside</t>
  </si>
  <si>
    <t>small tearing</t>
  </si>
  <si>
    <t>na</t>
  </si>
  <si>
    <t>empty</t>
  </si>
  <si>
    <t>small roots inside</t>
  </si>
  <si>
    <t>small roots. holes and prob soil inside</t>
  </si>
  <si>
    <t>string not attached. but weighed with bag</t>
  </si>
  <si>
    <t>short string</t>
  </si>
  <si>
    <t>nibled tag</t>
  </si>
  <si>
    <t>A big tearing in one corner of bag</t>
  </si>
  <si>
    <t>small holes</t>
  </si>
  <si>
    <t>tearing</t>
  </si>
  <si>
    <t>a tearing</t>
  </si>
  <si>
    <t>one hole</t>
  </si>
  <si>
    <t>small holes. no tag. no string</t>
  </si>
  <si>
    <t>any holes and a tearing</t>
  </si>
  <si>
    <t>many holes. prob. Soil inside</t>
  </si>
  <si>
    <t>a small tearing</t>
  </si>
  <si>
    <t>some holes. uncertain if soil inside</t>
  </si>
  <si>
    <t>lots of holes and termite sheeting. Probably no litter left only soil.</t>
  </si>
  <si>
    <t>Only half bag left with some litter and soil inside</t>
  </si>
  <si>
    <t>teared open. prob. Soil inside</t>
  </si>
  <si>
    <t>Empty. holes. soil inside</t>
  </si>
  <si>
    <t>one hole. some soil inside probably</t>
  </si>
  <si>
    <t>empty. a bit soil inside</t>
  </si>
  <si>
    <t>no tag. no string. one smal hole.</t>
  </si>
  <si>
    <t>many holes. probably only soil inside. So empty no litter left. Termite cheeting</t>
  </si>
  <si>
    <t>destroyed empty bag</t>
  </si>
  <si>
    <t>Hole. porbably soil inside</t>
  </si>
  <si>
    <t>holes and soil inside</t>
  </si>
  <si>
    <t>holes and soil inside (probaby empty of litter)</t>
  </si>
  <si>
    <t>Roots inside</t>
  </si>
  <si>
    <t>Empty. soil inside</t>
  </si>
  <si>
    <t>roots. few small holes</t>
  </si>
  <si>
    <t>No string</t>
  </si>
  <si>
    <t>holes and roots inside. sheeting. Bag supposed to freeze due to termite inside. but forgot.</t>
  </si>
  <si>
    <t>Some roots inside</t>
  </si>
  <si>
    <t>holes. some soil and roots inside</t>
  </si>
  <si>
    <t>Short string</t>
  </si>
  <si>
    <t>No string/tag</t>
  </si>
  <si>
    <t>No string/tag. code looks like G816 or G811</t>
  </si>
  <si>
    <t>String and bag weighed seperately</t>
  </si>
  <si>
    <t>Small holes. does not look like termites</t>
  </si>
  <si>
    <t>roots inside</t>
  </si>
  <si>
    <t>no string</t>
  </si>
  <si>
    <t>part of string not attached when weighed</t>
  </si>
  <si>
    <t>Tag nibbled</t>
  </si>
  <si>
    <t>Small roots</t>
  </si>
  <si>
    <t>small roots</t>
  </si>
  <si>
    <t>Soil inside(plot141)</t>
  </si>
  <si>
    <t>no string. soil inside</t>
  </si>
  <si>
    <t>no string. no tag</t>
  </si>
  <si>
    <t>empty. no string. no tag</t>
  </si>
  <si>
    <t>no tag and string</t>
  </si>
  <si>
    <t>Empty/holes</t>
  </si>
  <si>
    <t>Roots</t>
  </si>
  <si>
    <t>Chewed tag</t>
  </si>
  <si>
    <t>No string/no tag</t>
  </si>
  <si>
    <t>In plot bag 64: DOUBLE CHECK THIS! Not readable number on the bag and tag.</t>
  </si>
  <si>
    <t>holes + soil</t>
  </si>
  <si>
    <t>holes. no string attached but measured with it</t>
  </si>
  <si>
    <t>Holes. unreadable number</t>
  </si>
  <si>
    <t>no number on the bag or unreadable</t>
  </si>
  <si>
    <t>no number on the bag</t>
  </si>
  <si>
    <t>Empty</t>
  </si>
  <si>
    <t>Empty. Bag not weighed</t>
  </si>
  <si>
    <t>Comment</t>
  </si>
  <si>
    <t>Weight after incubation (g)</t>
  </si>
  <si>
    <t>Plot nr</t>
  </si>
  <si>
    <t>Short string means half string left or less</t>
  </si>
  <si>
    <t>Teabags post incubation wet season</t>
  </si>
  <si>
    <t>Scale: sartorius Mettler Toledo BP221S d=0.1mg</t>
  </si>
  <si>
    <t>Plot details</t>
  </si>
  <si>
    <t>Time placement</t>
  </si>
  <si>
    <t>Time collected</t>
  </si>
  <si>
    <t>GPS</t>
  </si>
  <si>
    <t>Litterbag tag number</t>
  </si>
  <si>
    <t>Holes, Roots, cheating (H, R, C)</t>
  </si>
  <si>
    <t xml:space="preserve">Mound </t>
  </si>
  <si>
    <t xml:space="preserve">Tree </t>
  </si>
  <si>
    <t>Comments</t>
  </si>
  <si>
    <t>Codes</t>
  </si>
  <si>
    <t>Plot</t>
  </si>
  <si>
    <t>REGION</t>
  </si>
  <si>
    <t>Sitecode</t>
  </si>
  <si>
    <t>SITE</t>
  </si>
  <si>
    <t>Time</t>
  </si>
  <si>
    <t>WP</t>
  </si>
  <si>
    <t>Ex.Gr.</t>
  </si>
  <si>
    <t>Ex.Roi</t>
  </si>
  <si>
    <t>Temp. C</t>
  </si>
  <si>
    <t>Moist. %</t>
  </si>
  <si>
    <t>Ex.Gr</t>
  </si>
  <si>
    <t>N.D (m)</t>
  </si>
  <si>
    <t>Makao</t>
  </si>
  <si>
    <t>Dry_Ag1_T1</t>
  </si>
  <si>
    <t>A1</t>
  </si>
  <si>
    <t>H</t>
  </si>
  <si>
    <t>M</t>
  </si>
  <si>
    <t>Hull åpenbart etter spade</t>
  </si>
  <si>
    <t>Orange=Not found</t>
  </si>
  <si>
    <t>Dry_Ag1_T2</t>
  </si>
  <si>
    <t>Dry_Ag1_T3</t>
  </si>
  <si>
    <t>Ag=agriculture(maizefield)</t>
  </si>
  <si>
    <t>Dry_Ag1_T4</t>
  </si>
  <si>
    <t>R</t>
  </si>
  <si>
    <t>T= Teabag-plot</t>
  </si>
  <si>
    <t>Dry_Ag1_T5</t>
  </si>
  <si>
    <t>Dry_Ag1_T6</t>
  </si>
  <si>
    <t>Dry_Ag1_T7</t>
  </si>
  <si>
    <t>Dry_Ag1_T8</t>
  </si>
  <si>
    <t>Dry_Ag2_T1</t>
  </si>
  <si>
    <t>A2</t>
  </si>
  <si>
    <t>HC</t>
  </si>
  <si>
    <t>Dry_Ag2_T2</t>
  </si>
  <si>
    <t>Dry_Ag2_T3</t>
  </si>
  <si>
    <t>Dry_Ag2_T4</t>
  </si>
  <si>
    <t>Dry_Ag2_T5</t>
  </si>
  <si>
    <t>HR</t>
  </si>
  <si>
    <t>Dry_Ag2_T6</t>
  </si>
  <si>
    <t>Dry_Ag2_T7</t>
  </si>
  <si>
    <t>RHC</t>
  </si>
  <si>
    <t>De i mesh lå helt i overflaten, DE UTEN MESH lenger ned</t>
  </si>
  <si>
    <t>Dry_Ag2_T8</t>
  </si>
  <si>
    <t>RH</t>
  </si>
  <si>
    <t>Dry_Ag3_T1</t>
  </si>
  <si>
    <t>A3</t>
  </si>
  <si>
    <t>NO MOUNDS OR TREES IN AREA</t>
  </si>
  <si>
    <t>Dry_Ag3_T2</t>
  </si>
  <si>
    <t>Dry_Ag3_T3</t>
  </si>
  <si>
    <t>Dry_Ag3_T4</t>
  </si>
  <si>
    <t>Dry_Ag3_T5</t>
  </si>
  <si>
    <t>Dry_Ag3_T6</t>
  </si>
  <si>
    <t>Dry_Ag3_T7</t>
  </si>
  <si>
    <t>Dry_Ag3_T8</t>
  </si>
  <si>
    <t>Dry_Ag4_T1</t>
  </si>
  <si>
    <t>A4</t>
  </si>
  <si>
    <t>Dry_Ag4_T2</t>
  </si>
  <si>
    <t>Dry_Ag4_T3</t>
  </si>
  <si>
    <t>Dry_Ag4_T4</t>
  </si>
  <si>
    <t>Dry_Ag4_T5</t>
  </si>
  <si>
    <t>Dry_Ag4_T6</t>
  </si>
  <si>
    <t>Dry_Ag4_T7</t>
  </si>
  <si>
    <t>Dry_Ag4_T8</t>
  </si>
  <si>
    <t>Dry_P1_T1</t>
  </si>
  <si>
    <t>P1</t>
  </si>
  <si>
    <t>G</t>
  </si>
  <si>
    <t>Dry_P1_T2</t>
  </si>
  <si>
    <t>HRC</t>
  </si>
  <si>
    <t>Ants in plot</t>
  </si>
  <si>
    <t>Dry_P1_T3</t>
  </si>
  <si>
    <t>Dry_P1_T4</t>
  </si>
  <si>
    <t>RC</t>
  </si>
  <si>
    <t>Dry_P1_T5</t>
  </si>
  <si>
    <t>HCR</t>
  </si>
  <si>
    <t>Dry_P1_T6</t>
  </si>
  <si>
    <t>CH</t>
  </si>
  <si>
    <t>Dry_P1_T7</t>
  </si>
  <si>
    <t>ANTS IN PLOT</t>
  </si>
  <si>
    <t>Dry_P1_T8</t>
  </si>
  <si>
    <t>G&amp;R open: hole from digging</t>
  </si>
  <si>
    <t>Dry_P2_T1</t>
  </si>
  <si>
    <t>P2</t>
  </si>
  <si>
    <t>Dry_P2_T2</t>
  </si>
  <si>
    <t>G open: hole from digging</t>
  </si>
  <si>
    <t>Dry_P2_T3</t>
  </si>
  <si>
    <t>Dry_P2_T4</t>
  </si>
  <si>
    <t>Dry_P2_T5</t>
  </si>
  <si>
    <t>O</t>
  </si>
  <si>
    <t>Dry_P2_T6</t>
  </si>
  <si>
    <t>Dry_P2_T7</t>
  </si>
  <si>
    <t>R OPEN: HOLE FROM DIGGING</t>
  </si>
  <si>
    <t>Dry_P2_T8</t>
  </si>
  <si>
    <t>Dry_P3_T1</t>
  </si>
  <si>
    <t>P3</t>
  </si>
  <si>
    <t>Dry_P3_T2</t>
  </si>
  <si>
    <t>Dry_P3_T3</t>
  </si>
  <si>
    <t>Dry_P3_T4</t>
  </si>
  <si>
    <t>Dry_P3_T5</t>
  </si>
  <si>
    <t>Dry_P3_T6</t>
  </si>
  <si>
    <t>Dry_P3_T7</t>
  </si>
  <si>
    <t>Dry_P3_T8</t>
  </si>
  <si>
    <t>Dry_P4_T1</t>
  </si>
  <si>
    <t>P4</t>
  </si>
  <si>
    <t>R OPEN: HOLE ROM DIGGING</t>
  </si>
  <si>
    <t>Dry_P4_T2</t>
  </si>
  <si>
    <t>Dry_P4_T3</t>
  </si>
  <si>
    <t>Dry_P4_T4</t>
  </si>
  <si>
    <t>Ex.roi: hole from digging</t>
  </si>
  <si>
    <t>Dry_P4_T5</t>
  </si>
  <si>
    <t>Dry_P4_T6</t>
  </si>
  <si>
    <t>r OPEN: HOLE FROM DIGGING</t>
  </si>
  <si>
    <t>Dry_P4_T7</t>
  </si>
  <si>
    <t>Dry_P4_T8</t>
  </si>
  <si>
    <t>Maswa</t>
  </si>
  <si>
    <t>Dry_W1_T1</t>
  </si>
  <si>
    <t>W1</t>
  </si>
  <si>
    <t>Dry_W1_T2</t>
  </si>
  <si>
    <t>Dry_W1_T3</t>
  </si>
  <si>
    <t>Dry_W1_T4</t>
  </si>
  <si>
    <t>Dry_W1_T5</t>
  </si>
  <si>
    <t>Dry_W1_T6</t>
  </si>
  <si>
    <t>Dry_W1_T7</t>
  </si>
  <si>
    <t>Dry_W1_T8</t>
  </si>
  <si>
    <t>Dry_W2_T1</t>
  </si>
  <si>
    <t>W2</t>
  </si>
  <si>
    <t>Dry_W2_T2</t>
  </si>
  <si>
    <t>Dry_W2_T3</t>
  </si>
  <si>
    <t>Dry_W2_T4</t>
  </si>
  <si>
    <t>Dry_W2_T5</t>
  </si>
  <si>
    <t>Dry_W2_T6</t>
  </si>
  <si>
    <t>Dry_W2_T7</t>
  </si>
  <si>
    <t>Dry_W2_T8</t>
  </si>
  <si>
    <t>Dry_W3_T1</t>
  </si>
  <si>
    <t>W3</t>
  </si>
  <si>
    <t>Maswa GR</t>
  </si>
  <si>
    <t>Dry_W3_T2</t>
  </si>
  <si>
    <t>Dry_W3_T3</t>
  </si>
  <si>
    <t>Dry_W3_T4</t>
  </si>
  <si>
    <t>Dry_W3_T5</t>
  </si>
  <si>
    <t>Dry_W3_T6</t>
  </si>
  <si>
    <t>Dry_W3_T7</t>
  </si>
  <si>
    <t>Dry_W3_T8</t>
  </si>
  <si>
    <t>Dry_W4_T1</t>
  </si>
  <si>
    <t>W4</t>
  </si>
  <si>
    <t>Dry_W4_T2</t>
  </si>
  <si>
    <t>Dry_W4_T3</t>
  </si>
  <si>
    <t>Dry_W4_T4</t>
  </si>
  <si>
    <t>Dry_W4_T5</t>
  </si>
  <si>
    <t>Dry_W4_T6</t>
  </si>
  <si>
    <t>Dry_W4_T7</t>
  </si>
  <si>
    <t>Dry_W4_T8</t>
  </si>
  <si>
    <t xml:space="preserve">Mwantimba
</t>
  </si>
  <si>
    <t>Wet_Ag1_T1</t>
  </si>
  <si>
    <t>Wet_Ag1_T2</t>
  </si>
  <si>
    <t>Wet_Ag1_T3</t>
  </si>
  <si>
    <t>Wet_Ag1_T4</t>
  </si>
  <si>
    <t>C</t>
  </si>
  <si>
    <t>Wet_Ag1_T5</t>
  </si>
  <si>
    <t>Wet_Ag1_T6</t>
  </si>
  <si>
    <t>Wet_Ag1_T7</t>
  </si>
  <si>
    <t>Wet_Ag1_T8</t>
  </si>
  <si>
    <t>Wet_Ag2_T1</t>
  </si>
  <si>
    <t>Wet_Ag2_T2</t>
  </si>
  <si>
    <t>Wet_Ag2_T3</t>
  </si>
  <si>
    <t>Wet_Ag2_T4</t>
  </si>
  <si>
    <t>R OPEN: CRACK IN BAG (PROB. FABRIC FAIL)</t>
  </si>
  <si>
    <t>Wet_Ag2_T5</t>
  </si>
  <si>
    <t>Wet_Ag2_T6</t>
  </si>
  <si>
    <t>Wet_Ag2_T7</t>
  </si>
  <si>
    <t>Wet_Ag2_T8</t>
  </si>
  <si>
    <t>Wet_Ag3_T1</t>
  </si>
  <si>
    <t>Wet_Ag3_T2</t>
  </si>
  <si>
    <t>Wet_Ag3_T3</t>
  </si>
  <si>
    <t>Wet_Ag3_T4</t>
  </si>
  <si>
    <t>Wet_Ag3_T5</t>
  </si>
  <si>
    <t>Wet_Ag3_T6</t>
  </si>
  <si>
    <t>Wet_Ag3_T7</t>
  </si>
  <si>
    <t>Wet_Ag3_T8</t>
  </si>
  <si>
    <t>Wet_Ag4_T1</t>
  </si>
  <si>
    <t>Wet_Ag4_T2</t>
  </si>
  <si>
    <t>Wet_Ag4_T3</t>
  </si>
  <si>
    <t>TERMITES INSIDE BAG, DID NOT REMEMBER TO KILL THEM AFTER COLLECTING BAG</t>
  </si>
  <si>
    <t>Wet_Ag4_T4</t>
  </si>
  <si>
    <t>Wet_Ag4_T5</t>
  </si>
  <si>
    <t>Wet_Ag4_T6</t>
  </si>
  <si>
    <t>Wet_Ag4_T7</t>
  </si>
  <si>
    <t>Wet_Ag4_T8</t>
  </si>
  <si>
    <t>Wet_P1_T1</t>
  </si>
  <si>
    <t>Wet_P1_T2</t>
  </si>
  <si>
    <t>Wet_P1_T3</t>
  </si>
  <si>
    <t>Wet_P1_T4</t>
  </si>
  <si>
    <t>Wet_P1_T5</t>
  </si>
  <si>
    <t>Wet_P1_T6</t>
  </si>
  <si>
    <t>Wet_P1_T7</t>
  </si>
  <si>
    <t>Wet_P1_T8</t>
  </si>
  <si>
    <t>Wet_P2_T1</t>
  </si>
  <si>
    <t>Wet_P2_T2</t>
  </si>
  <si>
    <t>Wet_P2_T3</t>
  </si>
  <si>
    <t>RCH</t>
  </si>
  <si>
    <t>Wet_P2_T4</t>
  </si>
  <si>
    <t>Wet_P2_T5</t>
  </si>
  <si>
    <t>Wet_P2_T6</t>
  </si>
  <si>
    <t>Wet_P2_T7</t>
  </si>
  <si>
    <t>Wet_P2_T8</t>
  </si>
  <si>
    <t>Wet_P3_T1</t>
  </si>
  <si>
    <t>Wet_P3_T2</t>
  </si>
  <si>
    <t>Wet_P3_T3</t>
  </si>
  <si>
    <t>Wet_P3_T4</t>
  </si>
  <si>
    <t>Wet_P3_T5</t>
  </si>
  <si>
    <t>Wet_P3_T6</t>
  </si>
  <si>
    <t>Wet_P3_T7</t>
  </si>
  <si>
    <t>Wet_P3_T8</t>
  </si>
  <si>
    <t>Ex.gr: plant growth out of mesh</t>
  </si>
  <si>
    <t>Wet_P4_T1</t>
  </si>
  <si>
    <t>Wet_P4_T2</t>
  </si>
  <si>
    <t>Wet_P4_T3</t>
  </si>
  <si>
    <t>Wet_P4_T4</t>
  </si>
  <si>
    <t>G.OPEN: LOOKS AS IF CUTTED OPEN WHEN DIGGING UP</t>
  </si>
  <si>
    <t>Wet_P4_T5</t>
  </si>
  <si>
    <t>Wet_P4_T6</t>
  </si>
  <si>
    <t>Wet_P4_T7</t>
  </si>
  <si>
    <t>Wet_P4_T8</t>
  </si>
  <si>
    <t>Handajega</t>
  </si>
  <si>
    <t>Wet_W1_T1</t>
  </si>
  <si>
    <t>Wet_W1_T2</t>
  </si>
  <si>
    <t>Wet_W1_T3</t>
  </si>
  <si>
    <t>Wet_W1_T4</t>
  </si>
  <si>
    <t>Wet_W1_T5</t>
  </si>
  <si>
    <t>Wet_W1_T6</t>
  </si>
  <si>
    <t>G.OP: RIPPED OPEN</t>
  </si>
  <si>
    <t>Wet_W1_T7</t>
  </si>
  <si>
    <t>Wet_W1_T8</t>
  </si>
  <si>
    <t>Wet_W2_T1</t>
  </si>
  <si>
    <t>Wet_W2_T2</t>
  </si>
  <si>
    <t>Wet_W2_T3</t>
  </si>
  <si>
    <t>Wet_W2_T4</t>
  </si>
  <si>
    <t>Wet_W2_T5</t>
  </si>
  <si>
    <t>Wet_W2_T6</t>
  </si>
  <si>
    <t>Wet_W2_T7</t>
  </si>
  <si>
    <t>Wet_W2_T8</t>
  </si>
  <si>
    <t>Wet_W3_T1</t>
  </si>
  <si>
    <t>Wet_W3_T2</t>
  </si>
  <si>
    <t>Wet_W3_T3</t>
  </si>
  <si>
    <t>Wet_W3_T4</t>
  </si>
  <si>
    <t>Wet_W3_T5</t>
  </si>
  <si>
    <t>Wet_W3_T6</t>
  </si>
  <si>
    <t>Wet_W3_T7</t>
  </si>
  <si>
    <t>Wet_W3_T8</t>
  </si>
  <si>
    <t>G.EX: WAS OPEN IN CORNER</t>
  </si>
  <si>
    <t>Wet_W4_T1</t>
  </si>
  <si>
    <t>Wet_W4_T2</t>
  </si>
  <si>
    <t>Wet_W4_T3</t>
  </si>
  <si>
    <t>Wet_W4_T4</t>
  </si>
  <si>
    <t>G.OPEN: RIPPED OPEN</t>
  </si>
  <si>
    <t>Wet_W4_T5</t>
  </si>
  <si>
    <t>Wet_W4_T6</t>
  </si>
  <si>
    <t>Wet_W4_T7</t>
  </si>
  <si>
    <t>Wet_W4_T8</t>
  </si>
  <si>
    <t>Dry_Ag4_CG1</t>
  </si>
  <si>
    <t>G.EX: TERMITES OUTSIDE MESH</t>
  </si>
  <si>
    <t>Dry_P3_CG1</t>
  </si>
  <si>
    <t>Dry_W2_CG1</t>
  </si>
  <si>
    <t>Wet_Ag2_CG1</t>
  </si>
  <si>
    <t>Wet_P3_CG1</t>
  </si>
  <si>
    <t>Wet_W3_CG1</t>
  </si>
  <si>
    <t>Seronera</t>
  </si>
  <si>
    <t>Local1_CG1</t>
  </si>
  <si>
    <t>Dry_Ag3_CG2</t>
  </si>
  <si>
    <t>Dry_P1_CG2</t>
  </si>
  <si>
    <t>CG =Common Garden</t>
  </si>
  <si>
    <t>Dry_W1_CG2</t>
  </si>
  <si>
    <t>Wet_Ag1_CG2</t>
  </si>
  <si>
    <t>Wet_P1_CG2</t>
  </si>
  <si>
    <t>Wet_W4_CG2</t>
  </si>
  <si>
    <t>Local2_CG2</t>
  </si>
  <si>
    <t>Dry_Ag2_CG3</t>
  </si>
  <si>
    <t>Dry_P2_CG3</t>
  </si>
  <si>
    <t>Dry_W4_CG3</t>
  </si>
  <si>
    <t>Wet_Ag4_CG3</t>
  </si>
  <si>
    <t>Wet_P4_CG3</t>
  </si>
  <si>
    <t>Wet_W2_CG3</t>
  </si>
  <si>
    <t>Local3_CG3</t>
  </si>
  <si>
    <t>Dry_Ag1_CG4</t>
  </si>
  <si>
    <t>Dry_P4_CG4</t>
  </si>
  <si>
    <t>Dry_W3_CG4</t>
  </si>
  <si>
    <t>Wet_Ag3_CG4</t>
  </si>
  <si>
    <t>Wet_P2_CG4</t>
  </si>
  <si>
    <t>Wet_W1_CG4</t>
  </si>
  <si>
    <t>Local4_CG4</t>
  </si>
  <si>
    <t>CG1</t>
  </si>
  <si>
    <t>CG2</t>
  </si>
  <si>
    <t>CG3</t>
  </si>
  <si>
    <t>CG4</t>
  </si>
  <si>
    <t>Season</t>
  </si>
  <si>
    <t>Soil at collection</t>
  </si>
  <si>
    <t>Soil at placement</t>
  </si>
  <si>
    <t>Wet</t>
  </si>
  <si>
    <t>Tear open. but uncertain if soil inside</t>
  </si>
  <si>
    <t>holes. soil inside. maybe only soil inside? Empty ?</t>
  </si>
  <si>
    <t>Teared open. litter easely fall out. but lots of litter left and uncertain if soil visible inside.</t>
  </si>
  <si>
    <t xml:space="preserve">A tearing. </t>
  </si>
  <si>
    <t>some holes.</t>
  </si>
  <si>
    <t>a tearing.</t>
  </si>
  <si>
    <t>big tearing. some significant amount could have fallen out. Uncetain if soil inside</t>
  </si>
  <si>
    <t>dusty teabag. Soil ?</t>
  </si>
  <si>
    <t>Duplicates?</t>
  </si>
  <si>
    <t>Placement</t>
  </si>
  <si>
    <t>Unused bag. Has not been incubated. Will be used as a controll.</t>
  </si>
  <si>
    <t>Was collected from bucket attached to a tentpeg. Where used in dry experiement. But not recorded?</t>
  </si>
  <si>
    <t>A tube with code R288 has some termites inside.</t>
  </si>
  <si>
    <t>G903</t>
  </si>
  <si>
    <t>Unused bag</t>
  </si>
  <si>
    <t>G904</t>
  </si>
  <si>
    <t>Plotnr</t>
  </si>
  <si>
    <t>SiteCode</t>
  </si>
  <si>
    <t>Not found</t>
  </si>
  <si>
    <t>R19 not found</t>
  </si>
  <si>
    <t>G448 not found</t>
  </si>
  <si>
    <t>G339 not found</t>
  </si>
  <si>
    <t>REDexcl</t>
  </si>
  <si>
    <t>REDop</t>
  </si>
  <si>
    <t>GREENexcl</t>
  </si>
  <si>
    <t>GREENop</t>
  </si>
  <si>
    <t>R54a</t>
  </si>
  <si>
    <t>R54b</t>
  </si>
  <si>
    <t>54a</t>
  </si>
  <si>
    <t>54b</t>
  </si>
  <si>
    <t>19?</t>
  </si>
  <si>
    <t>R19?</t>
  </si>
  <si>
    <t>G622 not found</t>
  </si>
  <si>
    <t>R562 not found</t>
  </si>
  <si>
    <t>wt(g)</t>
  </si>
  <si>
    <t>CG</t>
  </si>
  <si>
    <t>CG6</t>
  </si>
  <si>
    <t>CG6 No string</t>
  </si>
  <si>
    <t>Code unclear, no cord</t>
  </si>
  <si>
    <t>CG7</t>
  </si>
  <si>
    <t>CG5</t>
  </si>
  <si>
    <t>CG5, no cord</t>
  </si>
  <si>
    <t>Soil</t>
  </si>
  <si>
    <t>No white marker</t>
  </si>
  <si>
    <t>No white marker. Soil here is more black and dense.</t>
  </si>
  <si>
    <t>Needed to dig new holes approx to old ones, as they were not found.</t>
  </si>
  <si>
    <t>Needed to dig new holes approx to old ones, as they were not found. No white marker.</t>
  </si>
  <si>
    <t>Close to fallen tree and transplantplots</t>
  </si>
  <si>
    <t>Did not find last time in wet period.</t>
  </si>
  <si>
    <t>Close to Stuarts exclosed fence</t>
  </si>
  <si>
    <t>N,A</t>
  </si>
  <si>
    <t>Next to Stuarts open plot</t>
  </si>
  <si>
    <t>Moist. Added day after</t>
  </si>
  <si>
    <t>Was not closed before day after. Moist added da after.</t>
  </si>
  <si>
    <t>White marker at east side of plot hole</t>
  </si>
  <si>
    <t>White marker at the south side of plot hole</t>
  </si>
  <si>
    <t>South-east side of big tree. White marker at the south side of plot hole</t>
  </si>
  <si>
    <t>Common Garden</t>
  </si>
  <si>
    <t>Comments at placement</t>
  </si>
  <si>
    <t>Comments at collection</t>
  </si>
  <si>
    <r>
      <t>D</t>
    </r>
    <r>
      <rPr>
        <b/>
        <sz val="11"/>
        <rFont val="Calibri"/>
        <family val="2"/>
      </rPr>
      <t>ate of burial</t>
    </r>
  </si>
  <si>
    <t>incubation time #days (t)</t>
  </si>
  <si>
    <t>Controll (unused)</t>
  </si>
  <si>
    <t>ConG1</t>
  </si>
  <si>
    <t>ConG2</t>
  </si>
  <si>
    <t>ConG3</t>
  </si>
  <si>
    <t>ConG4</t>
  </si>
  <si>
    <t>ConG5</t>
  </si>
  <si>
    <t>Hydrolysable fraction green tea (Hg)</t>
  </si>
  <si>
    <t>Hydrolysable fraction red tea (Hr)</t>
  </si>
  <si>
    <t>Open</t>
  </si>
  <si>
    <t>G252 is G352(G352 is written on the bag)</t>
  </si>
  <si>
    <t>G817 not found. UPDATE: 1 rooibos bag empty R460, the other rooibos R503 s not found. Both green tea is found, where G870 is intact while G817 is with lot of holes and teared up.</t>
  </si>
  <si>
    <t>Codes not correspinding to plot code.</t>
  </si>
  <si>
    <t>ConG5 With bag: 1.8782g</t>
  </si>
  <si>
    <t>ConG4 With bag: 1.8752g</t>
  </si>
  <si>
    <t>ConG3 With bag: 1.9309g</t>
  </si>
  <si>
    <t>ConG2 With bag: 1.8897g</t>
  </si>
  <si>
    <t>ConG1 With bag: 1.8648g</t>
  </si>
  <si>
    <t>DU2-142</t>
  </si>
  <si>
    <t>Stuart and Anders did this</t>
  </si>
  <si>
    <t>Redone sample, ut these numbers into previous entry furtherup. Used all of the sample.</t>
  </si>
  <si>
    <t>Redone sample, ut these numbers into previous entry furtherup</t>
  </si>
  <si>
    <t>R146 not found</t>
  </si>
  <si>
    <t>Stuart did before ashing</t>
  </si>
  <si>
    <t>EU2-109</t>
  </si>
  <si>
    <t>Looks like only soil inside</t>
  </si>
  <si>
    <t>R109 was empty</t>
  </si>
  <si>
    <t>Spilled, need to redo it</t>
  </si>
  <si>
    <t>R57 eaten and empty</t>
  </si>
  <si>
    <t>R472 and G835 was empty</t>
  </si>
  <si>
    <t>R453 empty</t>
  </si>
  <si>
    <t>R493 was empty</t>
  </si>
  <si>
    <t>Looks like ony soil inside</t>
  </si>
  <si>
    <t>Bag ripped open from diggging</t>
  </si>
  <si>
    <t>nothing left of sample</t>
  </si>
  <si>
    <t>Initially, plot nr not written on bag but found in nr in "list of teabags used". Wrote the plot nr on bag. Only 1 teabag inside the bag.</t>
  </si>
  <si>
    <t>Difficult to read the code with tea inside.</t>
  </si>
  <si>
    <t>Last bag not found</t>
  </si>
  <si>
    <t>Bag with a lot of soil and some litter left</t>
  </si>
  <si>
    <t>Looks like only soil in the bag</t>
  </si>
  <si>
    <t>Before ashing: Looks like only soil in bag</t>
  </si>
  <si>
    <t>Rozi wrote this as G338 in the weighing of teabags (in the AfterWet sheet)</t>
  </si>
  <si>
    <t>re-did sample</t>
  </si>
  <si>
    <t>re-did sample,this is the max I could get from the remaining sample</t>
  </si>
  <si>
    <t>22.02.2018 13:30</t>
  </si>
  <si>
    <t>R19 empty</t>
  </si>
  <si>
    <t>One rooibos R568 totaly empty</t>
  </si>
  <si>
    <t>21.02.2018 18:30</t>
  </si>
  <si>
    <t>21.02.2018 14:30</t>
  </si>
  <si>
    <t>Probably only soil inside, bag many holes.</t>
  </si>
  <si>
    <t>Bag was broken (probably by digging it up)</t>
  </si>
  <si>
    <t>Half bag gone, prob due to digging up.</t>
  </si>
  <si>
    <t>R584: empry cheeting and holes</t>
  </si>
  <si>
    <t>21.02.2018 13:15</t>
  </si>
  <si>
    <t>21.02.2018 9:15</t>
  </si>
  <si>
    <t>R396/390</t>
  </si>
  <si>
    <t>G535/595??</t>
  </si>
  <si>
    <t>dry litter weight (g)</t>
  </si>
  <si>
    <t>Weight bag+litter</t>
  </si>
  <si>
    <t>Litterbagcode</t>
  </si>
  <si>
    <t>Avarage zipbag weight (g)</t>
  </si>
  <si>
    <t>Weght of a zip bag</t>
  </si>
  <si>
    <t>Type: VWR 129-0311 (60x80x0,05mm write on)</t>
  </si>
  <si>
    <t>G576 totaly eaten up</t>
  </si>
  <si>
    <t>Not written on bag put found in listofteabags used</t>
  </si>
  <si>
    <t>the other bag R445 is empty</t>
  </si>
  <si>
    <t>R196 empty</t>
  </si>
  <si>
    <t>inner left in the furnace</t>
  </si>
  <si>
    <t>lookes like only soil inside the bag</t>
  </si>
  <si>
    <t>furnace</t>
  </si>
  <si>
    <t>ashing ended</t>
  </si>
  <si>
    <t>ashing started</t>
  </si>
  <si>
    <t>ashing order</t>
  </si>
  <si>
    <t>crucible + litter weight after ashing (g)</t>
  </si>
  <si>
    <t>crucible+litter (g)</t>
  </si>
  <si>
    <t>litter (g)</t>
  </si>
  <si>
    <t>crucible weight (g)</t>
  </si>
  <si>
    <t>litterbag code</t>
  </si>
  <si>
    <t>Plot code</t>
  </si>
  <si>
    <t>dager igjen</t>
  </si>
  <si>
    <t>timer</t>
  </si>
  <si>
    <t>Tid igjen</t>
  </si>
  <si>
    <t>batch pr dag</t>
  </si>
  <si>
    <t>Batcher igjen:</t>
  </si>
  <si>
    <t>Prøver igjen:</t>
  </si>
  <si>
    <t>Tidsbruk:</t>
  </si>
  <si>
    <t>Prøver ferdig:</t>
  </si>
  <si>
    <t>dessikator og veieing</t>
  </si>
  <si>
    <t>Brenning</t>
  </si>
  <si>
    <t>Digler</t>
  </si>
  <si>
    <t>Antal prøver</t>
  </si>
  <si>
    <t>1,1</t>
  </si>
  <si>
    <t>0,2</t>
  </si>
  <si>
    <t>1,0</t>
  </si>
  <si>
    <t>Post-ashed Crucible+litter</t>
  </si>
  <si>
    <t>Pre-ashed litter</t>
  </si>
  <si>
    <t>Crucible (g)</t>
  </si>
  <si>
    <t>Example data input:</t>
  </si>
  <si>
    <r>
      <t>10)</t>
    </r>
    <r>
      <rPr>
        <sz val="7"/>
        <color rgb="FF000000"/>
        <rFont val="Times New Roman"/>
        <family val="1"/>
      </rPr>
      <t xml:space="preserve">  </t>
    </r>
    <r>
      <rPr>
        <sz val="11"/>
        <color rgb="FF000000"/>
        <rFont val="Calibri"/>
        <family val="2"/>
        <scheme val="minor"/>
      </rPr>
      <t>Wash the crucibles with water and either dry them overnight at 105 C or put them in the muffle furnace for an hour at 550 C. If the latter, you’ll need to let them cool down on the side outside the oven and take them out of the furnace with tongs.</t>
    </r>
  </si>
  <si>
    <r>
      <t>9)</t>
    </r>
    <r>
      <rPr>
        <sz val="7"/>
        <color rgb="FF000000"/>
        <rFont val="Times New Roman"/>
        <family val="1"/>
      </rPr>
      <t xml:space="preserve">     </t>
    </r>
    <r>
      <rPr>
        <sz val="11"/>
        <color rgb="FF000000"/>
        <rFont val="Calibri"/>
        <family val="2"/>
        <scheme val="minor"/>
      </rPr>
      <t>Weigh the crucibles and write down the weight. Throw away the ashed litter.</t>
    </r>
  </si>
  <si>
    <r>
      <t>8)</t>
    </r>
    <r>
      <rPr>
        <sz val="7"/>
        <color rgb="FF000000"/>
        <rFont val="Times New Roman"/>
        <family val="1"/>
      </rPr>
      <t xml:space="preserve">     </t>
    </r>
    <r>
      <rPr>
        <sz val="11"/>
        <color rgb="FF000000"/>
        <rFont val="Calibri"/>
        <family val="2"/>
        <scheme val="minor"/>
      </rPr>
      <t>When finnish, turn of furnace and let cool down (over night). Then put the samples into a desiccator for 20min.</t>
    </r>
  </si>
  <si>
    <r>
      <t>7)</t>
    </r>
    <r>
      <rPr>
        <sz val="7"/>
        <color rgb="FF000000"/>
        <rFont val="Times New Roman"/>
        <family val="1"/>
      </rPr>
      <t xml:space="preserve">     </t>
    </r>
    <r>
      <rPr>
        <sz val="11"/>
        <color rgb="FF000000"/>
        <rFont val="Calibri"/>
        <family val="2"/>
        <scheme val="minor"/>
      </rPr>
      <t>Ash the crucibles in furnace for 4hours 550 degrees celsius.</t>
    </r>
  </si>
  <si>
    <r>
      <t>6)</t>
    </r>
    <r>
      <rPr>
        <sz val="7"/>
        <color rgb="FF000000"/>
        <rFont val="Times New Roman"/>
        <family val="1"/>
      </rPr>
      <t xml:space="preserve">     </t>
    </r>
    <r>
      <rPr>
        <sz val="11"/>
        <color rgb="FF000000"/>
        <rFont val="Calibri"/>
        <family val="2"/>
        <scheme val="minor"/>
      </rPr>
      <t>Make a map or a system for yourself to know which crucible is which, before putting into furnace and when putting in and collecting after burning.</t>
    </r>
  </si>
  <si>
    <r>
      <t>5)</t>
    </r>
    <r>
      <rPr>
        <sz val="7"/>
        <color rgb="FF000000"/>
        <rFont val="Times New Roman"/>
        <family val="1"/>
      </rPr>
      <t xml:space="preserve">     </t>
    </r>
    <r>
      <rPr>
        <sz val="11"/>
        <color rgb="FF000000"/>
        <rFont val="Calibri"/>
        <family val="2"/>
        <scheme val="minor"/>
      </rPr>
      <t>Follow 1-3 to create a batch for furnace.</t>
    </r>
  </si>
  <si>
    <r>
      <t>4)</t>
    </r>
    <r>
      <rPr>
        <sz val="7"/>
        <color rgb="FF000000"/>
        <rFont val="Times New Roman"/>
        <family val="1"/>
      </rPr>
      <t xml:space="preserve">     </t>
    </r>
    <r>
      <rPr>
        <sz val="11"/>
        <color rgb="FF000000"/>
        <rFont val="Calibri"/>
        <family val="2"/>
        <scheme val="minor"/>
      </rPr>
      <t xml:space="preserve">The rest of litter is put into a small zip lock polybag and mark it with </t>
    </r>
    <r>
      <rPr>
        <b/>
        <sz val="11"/>
        <color rgb="FF000000"/>
        <rFont val="Calibri"/>
        <family val="2"/>
        <scheme val="minor"/>
      </rPr>
      <t>bag code</t>
    </r>
    <r>
      <rPr>
        <sz val="11"/>
        <color rgb="FF000000"/>
        <rFont val="Calibri"/>
        <family val="2"/>
        <scheme val="minor"/>
      </rPr>
      <t xml:space="preserve"> and </t>
    </r>
    <r>
      <rPr>
        <b/>
        <sz val="11"/>
        <color rgb="FF000000"/>
        <rFont val="Calibri"/>
        <family val="2"/>
        <scheme val="minor"/>
      </rPr>
      <t>plot nr</t>
    </r>
    <r>
      <rPr>
        <sz val="11"/>
        <color rgb="FF000000"/>
        <rFont val="Calibri"/>
        <family val="2"/>
        <scheme val="minor"/>
      </rPr>
      <t xml:space="preserve"> if given on the paper bag. Tag and empty teabag is put back into the paperbag.</t>
    </r>
  </si>
  <si>
    <r>
      <t>3)</t>
    </r>
    <r>
      <rPr>
        <sz val="7"/>
        <color rgb="FF000000"/>
        <rFont val="Times New Roman"/>
        <family val="1"/>
      </rPr>
      <t xml:space="preserve">     </t>
    </r>
    <r>
      <rPr>
        <sz val="11"/>
        <color rgb="FF000000"/>
        <rFont val="Calibri"/>
        <family val="2"/>
        <scheme val="minor"/>
      </rPr>
      <t>Weigh oven dry crucibles [USE TWEEZERS], write this down. Tare the weight and then add 0,2g of grinded litter, wrote this down. M</t>
    </r>
    <r>
      <rPr>
        <sz val="10.5"/>
        <color rgb="FF000000"/>
        <rFont val="Calibri"/>
        <family val="2"/>
        <scheme val="minor"/>
      </rPr>
      <t>ake sure that the subsample 0.2 g is a mixture of litter and any sediment.</t>
    </r>
  </si>
  <si>
    <r>
      <t>2)</t>
    </r>
    <r>
      <rPr>
        <sz val="7"/>
        <color rgb="FF000000"/>
        <rFont val="Times New Roman"/>
        <family val="1"/>
      </rPr>
      <t xml:space="preserve">     </t>
    </r>
    <r>
      <rPr>
        <sz val="11"/>
        <color rgb="FF000000"/>
        <rFont val="Calibri"/>
        <family val="2"/>
        <scheme val="minor"/>
      </rPr>
      <t>Empty oven dried litter from bag and weigh it, then grind it in a pestle mortar.</t>
    </r>
  </si>
  <si>
    <r>
      <t>1)</t>
    </r>
    <r>
      <rPr>
        <sz val="7"/>
        <color rgb="FF000000"/>
        <rFont val="Times New Roman"/>
        <family val="1"/>
      </rPr>
      <t xml:space="preserve">     </t>
    </r>
    <r>
      <rPr>
        <sz val="11"/>
        <color rgb="FF000000"/>
        <rFont val="Calibri"/>
        <family val="2"/>
        <scheme val="minor"/>
      </rPr>
      <t>Dry crucibles and litter in oven for 48h 60degrees Celsius.</t>
    </r>
  </si>
  <si>
    <t>Protocol for ashing</t>
  </si>
  <si>
    <t>Block</t>
  </si>
  <si>
    <t>Blockcode</t>
  </si>
  <si>
    <t>Site</t>
  </si>
  <si>
    <t>diff (what is actually litter) (g)</t>
  </si>
  <si>
    <t>Ash (g) (What is soil)</t>
  </si>
  <si>
    <t>Ash percentage (the percentage of total litter weight that is soil)</t>
  </si>
  <si>
    <t>Teabag code</t>
  </si>
  <si>
    <t>Landuse</t>
  </si>
  <si>
    <t>Initial weight including bag, cord and label (g)</t>
  </si>
  <si>
    <t>Initial weight tea only (g)</t>
  </si>
  <si>
    <t>Ashed subsample percentage controll initial tea only (%)</t>
  </si>
  <si>
    <t>Ashed initial corrected weight  tea only (g)</t>
  </si>
  <si>
    <t>Final weight including bag and cord, no label (g)</t>
  </si>
  <si>
    <t>Final weight  tea only (g)</t>
  </si>
  <si>
    <t>Ashed final subsample percentage  (%)</t>
  </si>
  <si>
    <t>Ashed final corrected weight  tea only (g)</t>
  </si>
  <si>
    <t>incubation time red and green tea (days)</t>
  </si>
  <si>
    <t>Burial date</t>
  </si>
  <si>
    <t>Dry</t>
  </si>
  <si>
    <t>Agriculture</t>
  </si>
  <si>
    <t>Wild</t>
  </si>
  <si>
    <t>Massloss (g)</t>
  </si>
  <si>
    <t>Littertype</t>
  </si>
  <si>
    <t>Region</t>
  </si>
  <si>
    <t>Mwantimba</t>
  </si>
  <si>
    <t>Missing R19, NO MOUNDS OR TREES IN AREA</t>
  </si>
  <si>
    <t>sandy clay loam</t>
  </si>
  <si>
    <t>sandy loam</t>
  </si>
  <si>
    <t>loamy sand</t>
  </si>
  <si>
    <t>clay</t>
  </si>
  <si>
    <t>sandy clay</t>
  </si>
  <si>
    <t>clay loam</t>
  </si>
  <si>
    <t>CLAY %</t>
  </si>
  <si>
    <t>SILT %</t>
  </si>
  <si>
    <t>SAND %</t>
  </si>
  <si>
    <t>OC %</t>
  </si>
  <si>
    <t>rain.sum (mm)</t>
  </si>
  <si>
    <t>Soil.Class</t>
  </si>
  <si>
    <t>Mound type</t>
  </si>
  <si>
    <t>Tree with ants</t>
  </si>
  <si>
    <t>N.D. tree (m)</t>
  </si>
  <si>
    <t>N.D.Mound (m)</t>
  </si>
  <si>
    <t>Ants (1/N)</t>
  </si>
  <si>
    <t>R.OP: COMPLETEL1 EATEN</t>
  </si>
  <si>
    <t>T1pe (M, O, G)</t>
  </si>
  <si>
    <t>Moisture %</t>
  </si>
  <si>
    <t>Temperature (C)</t>
  </si>
  <si>
    <t>Lat</t>
  </si>
  <si>
    <t>Long</t>
  </si>
  <si>
    <t>Dry=Makao/Maswa</t>
  </si>
  <si>
    <t>Type (M, O, G)</t>
  </si>
  <si>
    <t>CG203(7)</t>
  </si>
  <si>
    <t>No cord</t>
  </si>
  <si>
    <t>CG211(7)</t>
  </si>
  <si>
    <t>No tag</t>
  </si>
  <si>
    <t>WET-Ag2-T6</t>
  </si>
  <si>
    <t>WET-Ag2-T7</t>
  </si>
  <si>
    <t>WET-Ag2-T8</t>
  </si>
  <si>
    <t>WET-Ag2-T9</t>
  </si>
  <si>
    <t>WET-Ag2-T10</t>
  </si>
  <si>
    <t>CG202(5)</t>
  </si>
  <si>
    <t>CG217(6)</t>
  </si>
  <si>
    <t>CG200(7)</t>
  </si>
  <si>
    <t>No litter</t>
  </si>
  <si>
    <t>CG209(3)</t>
  </si>
  <si>
    <t>CG206</t>
  </si>
  <si>
    <t>CG205(6)</t>
  </si>
  <si>
    <t>No cord or tag</t>
  </si>
  <si>
    <t>CG199</t>
  </si>
  <si>
    <t>CG219(1)</t>
  </si>
  <si>
    <t>CG204(4)</t>
  </si>
  <si>
    <t>WET-W4-T7</t>
  </si>
  <si>
    <t>WET-Ag3-T1</t>
  </si>
  <si>
    <t>WET-W4-T2</t>
  </si>
  <si>
    <t>WET-W4-T3</t>
  </si>
  <si>
    <t>WET-W1-T5</t>
  </si>
  <si>
    <t>WET-P2-T2</t>
  </si>
  <si>
    <t>WET-P2-T8</t>
  </si>
  <si>
    <t>Difficulty reading labbel + bag number</t>
  </si>
  <si>
    <t>WET-W1-T1</t>
  </si>
  <si>
    <t>WET-P1-T7</t>
  </si>
  <si>
    <t>WET-W2-T3</t>
  </si>
  <si>
    <t>WET-P1-T3</t>
  </si>
  <si>
    <t>WET-P1-T1</t>
  </si>
  <si>
    <t>WET-W1-T2</t>
  </si>
  <si>
    <t>WET-W3-T3</t>
  </si>
  <si>
    <t>WET-P2-T1</t>
  </si>
  <si>
    <t>WET-P2-T3</t>
  </si>
  <si>
    <t>Holes</t>
  </si>
  <si>
    <t>WET-P1-T8</t>
  </si>
  <si>
    <t>WET-W2-T6</t>
  </si>
  <si>
    <t>No cord or tag + holes</t>
  </si>
  <si>
    <t>WET-P1-T2</t>
  </si>
  <si>
    <t>Cord detached</t>
  </si>
  <si>
    <t>WET-W3-T4</t>
  </si>
  <si>
    <t>WET-W1-T4</t>
  </si>
  <si>
    <t>DRY-Ag2-T7</t>
  </si>
  <si>
    <t>DRY-Ag4-T1</t>
  </si>
  <si>
    <t>DRY-Ag1-T3</t>
  </si>
  <si>
    <t>Difficult to read label</t>
  </si>
  <si>
    <t>DRY-Ag2-T6</t>
  </si>
  <si>
    <t>DRY-Ag4-T8</t>
  </si>
  <si>
    <t>DRY-Ag3-T1</t>
  </si>
  <si>
    <t>DRY-Ag3-T3</t>
  </si>
  <si>
    <t>DRY-Ag4-T5</t>
  </si>
  <si>
    <t>DRY-Ag3-T2</t>
  </si>
  <si>
    <t>DRY-Ag1-T4</t>
  </si>
  <si>
    <t>DRY-Ag2-T1</t>
  </si>
  <si>
    <t>DRY-Ag4-T2</t>
  </si>
  <si>
    <t>DRY-Ag1-T1</t>
  </si>
  <si>
    <t>DRY-Ag4-T6</t>
  </si>
  <si>
    <t>DRY-Ag2-T3</t>
  </si>
  <si>
    <t>DRY-Ag3-T4</t>
  </si>
  <si>
    <t>DRY-Ag4-T4</t>
  </si>
  <si>
    <t>DRY-Ag3-T8</t>
  </si>
  <si>
    <t>WET-W1-T3</t>
  </si>
  <si>
    <t>Openned</t>
  </si>
  <si>
    <t>WET-P2-T4</t>
  </si>
  <si>
    <t>WET-W3-T8</t>
  </si>
  <si>
    <t>Cord detached, weight with the cord</t>
  </si>
  <si>
    <t>WET-W2-T7</t>
  </si>
  <si>
    <t>WET-W2-T2</t>
  </si>
  <si>
    <t>No tag or cord</t>
  </si>
  <si>
    <t>WET-W3-T2</t>
  </si>
  <si>
    <t>Wide open, soil inside</t>
  </si>
  <si>
    <t>WET-W2-T1</t>
  </si>
  <si>
    <t>WET-W4-T6</t>
  </si>
  <si>
    <t>WET-W3-T6</t>
  </si>
  <si>
    <t>WET-W4-T4</t>
  </si>
  <si>
    <t>No cord, no tag, difficult to read</t>
  </si>
  <si>
    <t>Empty, no tag, no cord, difficult to read</t>
  </si>
  <si>
    <t>WET-W4-T5</t>
  </si>
  <si>
    <t>WET-W2-T8</t>
  </si>
  <si>
    <t>No cord or tag, open, soil inside</t>
  </si>
  <si>
    <t>WET-W1-T6</t>
  </si>
  <si>
    <t>WET-W3-T5</t>
  </si>
  <si>
    <t>DRY-Ag3-T6</t>
  </si>
  <si>
    <t>DRY-Ag2-T5</t>
  </si>
  <si>
    <t>Oppen, soil inside</t>
  </si>
  <si>
    <t>DRY-Ag1-T7</t>
  </si>
  <si>
    <t>DRY-Ag1-T8</t>
  </si>
  <si>
    <t>Open, soil inside, no tag, no cord</t>
  </si>
  <si>
    <t>WET-P1-T6</t>
  </si>
  <si>
    <t>WET-Ag1-T8</t>
  </si>
  <si>
    <t>WET-Ag1-T5</t>
  </si>
  <si>
    <t>WET-P3-T3</t>
  </si>
  <si>
    <t>WET-P4-T1</t>
  </si>
  <si>
    <t>WET-P4-T6</t>
  </si>
  <si>
    <t>WET-P3-T5</t>
  </si>
  <si>
    <t>WET-P4-T8</t>
  </si>
  <si>
    <t>WET-P4-T3</t>
  </si>
  <si>
    <t>WET-P3-T8</t>
  </si>
  <si>
    <t>WET-Ag1-T2</t>
  </si>
  <si>
    <t>Nothing much left</t>
  </si>
  <si>
    <t>WET-Ag2-T4</t>
  </si>
  <si>
    <t>WET-P3-T4</t>
  </si>
  <si>
    <t>Open, soil inside</t>
  </si>
  <si>
    <t>WET-P4-T4</t>
  </si>
  <si>
    <t>WET-P4-T2</t>
  </si>
  <si>
    <t>WET-P3-T1</t>
  </si>
  <si>
    <t>WET-Ag1-T7</t>
  </si>
  <si>
    <t>WET-Ag2-T2</t>
  </si>
  <si>
    <t>No tag, difficult to read</t>
  </si>
  <si>
    <t>WET-Ag1-T6</t>
  </si>
  <si>
    <t>WET-Ag2-T5</t>
  </si>
  <si>
    <t>WET-Ag2-T1</t>
  </si>
  <si>
    <t>WET-Ag4-T2</t>
  </si>
  <si>
    <t>WET-Ag4-T3</t>
  </si>
  <si>
    <t>WET-Ag4-T8</t>
  </si>
  <si>
    <t>WET-Ag3-T6</t>
  </si>
  <si>
    <t>WET-Ag3-T4</t>
  </si>
  <si>
    <t>Duplikat?</t>
  </si>
  <si>
    <t>Green teabags(op/ex)</t>
  </si>
  <si>
    <t>Red tabags (op/ex)</t>
  </si>
  <si>
    <t>Duplicate codes</t>
  </si>
  <si>
    <t>Red</t>
  </si>
  <si>
    <t>Keushamp</t>
  </si>
  <si>
    <t>P.Mueller et al.</t>
  </si>
  <si>
    <t>Sign of termite cheeting</t>
  </si>
  <si>
    <t>Sign of hole(s)</t>
  </si>
  <si>
    <t xml:space="preserve">Sign of roots </t>
  </si>
  <si>
    <t>Holes, Roots, Cheating (H,R,C)</t>
  </si>
  <si>
    <t>h</t>
  </si>
  <si>
    <t>Old plot, no data sampled</t>
  </si>
  <si>
    <t>DNA sampled</t>
  </si>
  <si>
    <t>R: Loots of cheating</t>
  </si>
  <si>
    <t>Did not find plot</t>
  </si>
  <si>
    <t>DNA sampled, R: Leaked in transportation</t>
  </si>
  <si>
    <t>G: 322</t>
  </si>
  <si>
    <t>(:31</t>
  </si>
  <si>
    <t>Ex.green: Opened up</t>
  </si>
  <si>
    <t>DNA Sampled. G.ex: Leaked</t>
  </si>
  <si>
    <t>Ex.roi not found, Already opened/disturbed on top</t>
  </si>
  <si>
    <t>G + R completely eaten</t>
  </si>
  <si>
    <r>
      <t xml:space="preserve">Was opened as the first. </t>
    </r>
    <r>
      <rPr>
        <sz val="11"/>
        <color rgb="FFFF0000"/>
        <rFont val="Calibri"/>
        <family val="2"/>
      </rPr>
      <t>Probably means opened as in plot 36</t>
    </r>
  </si>
  <si>
    <t>DNA Sampled. R.ex leaked</t>
  </si>
  <si>
    <t>Lost plot, had been dug up</t>
  </si>
  <si>
    <t>DNA Sampled</t>
  </si>
  <si>
    <t>10;59</t>
  </si>
  <si>
    <t>Termites on R bag, DNA sampled</t>
  </si>
  <si>
    <t>R: Destroyed completely empty</t>
  </si>
  <si>
    <t>R with termites</t>
  </si>
  <si>
    <t>G: hole made by shovel</t>
  </si>
  <si>
    <t>R: termites</t>
  </si>
  <si>
    <t>CR</t>
  </si>
  <si>
    <t>CHR</t>
  </si>
  <si>
    <t>R: almost nothing left</t>
  </si>
  <si>
    <t>R: all gone inside</t>
  </si>
  <si>
    <t>R: almost nothing inside</t>
  </si>
  <si>
    <t>R.ex: Termites on outside, but nothing inside</t>
  </si>
  <si>
    <t>G: completely opened and empty</t>
  </si>
  <si>
    <t>G: Many roots</t>
  </si>
  <si>
    <t>Ex.Gr: some myco</t>
  </si>
  <si>
    <t>R:empty, big holes</t>
  </si>
  <si>
    <t>No temp taken</t>
  </si>
  <si>
    <t>EX.Gr: few roots</t>
  </si>
  <si>
    <t>Switched with plot 217</t>
  </si>
  <si>
    <t>EX.R: Some roots</t>
  </si>
  <si>
    <t>Ex:Gr: Hole in mesh due to digging</t>
  </si>
  <si>
    <t>R: Lots of cheating!</t>
  </si>
  <si>
    <t>R: empty, lots of cheating!</t>
  </si>
  <si>
    <t>Ex.r: some roots</t>
  </si>
  <si>
    <t>Ex.Gr: Many roots, R: Almost all gone</t>
  </si>
  <si>
    <t>no tag or cord</t>
  </si>
  <si>
    <t>DRY_P3_T4</t>
  </si>
  <si>
    <t>DRY_P2_T3</t>
  </si>
  <si>
    <t>Just a cord stump left</t>
  </si>
  <si>
    <t>Lot of soil and termite attack</t>
  </si>
  <si>
    <t>Cheating, small holes, cord stump</t>
  </si>
  <si>
    <t>DRY_P2_T2</t>
  </si>
  <si>
    <t>empty, cheating, short cord</t>
  </si>
  <si>
    <t>hole,cheating</t>
  </si>
  <si>
    <t>DRY_P1_T8</t>
  </si>
  <si>
    <t>cheating, 1 small hole</t>
  </si>
  <si>
    <t>DRY_P4_T2</t>
  </si>
  <si>
    <t>DRY_P1_T5</t>
  </si>
  <si>
    <t>empty, soil, destroyed bag</t>
  </si>
  <si>
    <t>cheating, lots of soil, holes, short string</t>
  </si>
  <si>
    <t>DRY_P2_T4</t>
  </si>
  <si>
    <t>DRY_P3_T7</t>
  </si>
  <si>
    <t>Cheating, hole</t>
  </si>
  <si>
    <t>DRY_P4_T4</t>
  </si>
  <si>
    <t>DRY_P1_T6</t>
  </si>
  <si>
    <t>DRY_W3_T1</t>
  </si>
  <si>
    <t>DRY_W3_T7</t>
  </si>
  <si>
    <t>DRY_P2_T7</t>
  </si>
  <si>
    <t>two holes, some have fallen out</t>
  </si>
  <si>
    <t>DRY_P4_T7</t>
  </si>
  <si>
    <t>nibbled tag (termites?)</t>
  </si>
  <si>
    <t>DRY_W2_T7</t>
  </si>
  <si>
    <t>cheating, hole</t>
  </si>
  <si>
    <t>DRY_P3_T8</t>
  </si>
  <si>
    <t>DRY_W1_T2</t>
  </si>
  <si>
    <t>DRY_P3_T3</t>
  </si>
  <si>
    <t>DRY_P4_T1</t>
  </si>
  <si>
    <t>DRY_P2_T1</t>
  </si>
  <si>
    <t>holes (looks like its been ripped by digging), short string</t>
  </si>
  <si>
    <t>holes (some litter fallen out)</t>
  </si>
  <si>
    <t>DRY_W1_T6</t>
  </si>
  <si>
    <t>cheating, holes, eaten bag</t>
  </si>
  <si>
    <t>WET_AG3_T7</t>
  </si>
  <si>
    <t>WET_AG4_T7</t>
  </si>
  <si>
    <t>Soil, cheating, destroyed bag</t>
  </si>
  <si>
    <t>WET_P3_T2</t>
  </si>
  <si>
    <t>cheating, destroyed bag, soil</t>
  </si>
  <si>
    <t>Cheating on tag and string</t>
  </si>
  <si>
    <t>WET_AG3_T3</t>
  </si>
  <si>
    <t>cheating, small holes</t>
  </si>
  <si>
    <t>WET_AG3_T2</t>
  </si>
  <si>
    <t>unsure about the 3, no string</t>
  </si>
  <si>
    <t>WET_AG1_T4</t>
  </si>
  <si>
    <t>cheating, holes, destryed bag, soil. Uncertain about the code</t>
  </si>
  <si>
    <t>Cheating, holes</t>
  </si>
  <si>
    <t>WET_AG4_T4</t>
  </si>
  <si>
    <t>roots</t>
  </si>
  <si>
    <t>WET_AG4_T5</t>
  </si>
  <si>
    <t>hole, cheating</t>
  </si>
  <si>
    <t>cheating, holes, destroyed bag, roots, soil</t>
  </si>
  <si>
    <t>DRY_W3_T4</t>
  </si>
  <si>
    <t>DRY_P3_T5</t>
  </si>
  <si>
    <t>DRY_W4_T1</t>
  </si>
  <si>
    <t>DRY_P1_T3</t>
  </si>
  <si>
    <t>DRY_P4_T3</t>
  </si>
  <si>
    <t>DRY_W4_T5</t>
  </si>
  <si>
    <t>Hole</t>
  </si>
  <si>
    <t>DRY_P1_T1</t>
  </si>
  <si>
    <t>DRY_W3_T3</t>
  </si>
  <si>
    <t>DRY_W2_T4</t>
  </si>
  <si>
    <t>DRY_W4_T4</t>
  </si>
  <si>
    <t>DRY_W3_T8</t>
  </si>
  <si>
    <t>DRY_W3_T2</t>
  </si>
  <si>
    <t>DRY_W1_T4</t>
  </si>
  <si>
    <t>DRY_W4_T3</t>
  </si>
  <si>
    <t>DRY_P2_T8</t>
  </si>
  <si>
    <t>DRY_W2_T6</t>
  </si>
  <si>
    <t>Hole (ripped by digging?)</t>
  </si>
  <si>
    <t>DRY_W4_T8</t>
  </si>
  <si>
    <t>DRY_W1_T5</t>
  </si>
  <si>
    <t>DRY_P4_T8</t>
  </si>
  <si>
    <t>DRY_W2_T3</t>
  </si>
  <si>
    <t>DRY_W2_T2</t>
  </si>
  <si>
    <t>DRY_W2_T8</t>
  </si>
  <si>
    <t>DRY_W1_T8</t>
  </si>
  <si>
    <t>DRY_W4_T7</t>
  </si>
  <si>
    <t>DRY_W1_T7</t>
  </si>
  <si>
    <t>Original CG when not corrected. Keep this until I find the original sheet for the collectiondata. Update: Have found it, but missing the original sheet for some of the data for moisture and temp. It may have been lost in transportation. But all the data is writen down.</t>
  </si>
  <si>
    <t>Ants (Yes=1/No=0)</t>
  </si>
  <si>
    <t>Exclosed</t>
  </si>
  <si>
    <t>Soil 0 No litter?</t>
  </si>
  <si>
    <t>Massloss (g) Ash uncorrected</t>
  </si>
  <si>
    <t>Antall digler pr batch</t>
  </si>
  <si>
    <t>TOTALT (timer</t>
  </si>
  <si>
    <t>Dry-P4-T3</t>
  </si>
  <si>
    <t>Lab oposite side</t>
  </si>
  <si>
    <t>Dry-W1-T8</t>
  </si>
  <si>
    <t>Dry-W2-T2</t>
  </si>
  <si>
    <t>Dry-W2-T3</t>
  </si>
  <si>
    <t>Dry-W2-T8</t>
  </si>
  <si>
    <t>Dry-W1-T7</t>
  </si>
  <si>
    <t>Dry-P4-T8</t>
  </si>
  <si>
    <t>Dry-W1-T5</t>
  </si>
  <si>
    <t>Dry-W4-T7</t>
  </si>
  <si>
    <t>Dry-W4-T8</t>
  </si>
  <si>
    <t>Dry-W2-T6</t>
  </si>
  <si>
    <t>Dry-W3-T4</t>
  </si>
  <si>
    <t>Dry-W3-T3</t>
  </si>
  <si>
    <t>Dry-W4-T1</t>
  </si>
  <si>
    <t>Dry-P1-T3</t>
  </si>
  <si>
    <t>Dry-W2-T4</t>
  </si>
  <si>
    <t>Dry-P2-T8</t>
  </si>
  <si>
    <t>Dry-W3-T2</t>
  </si>
  <si>
    <t>Dry-P1-T1</t>
  </si>
  <si>
    <t>Dry-W4-T4</t>
  </si>
  <si>
    <t>WET-A1-T6</t>
  </si>
  <si>
    <t>DRY-P3-T3</t>
  </si>
  <si>
    <t>WET-A4-T4</t>
  </si>
  <si>
    <t>WET-A1-T7</t>
  </si>
  <si>
    <t>DRY-P1-T1</t>
  </si>
  <si>
    <t>WET-A2-T1</t>
  </si>
  <si>
    <t>DRY-P2-T7</t>
  </si>
  <si>
    <t>DRY-P3-T5</t>
  </si>
  <si>
    <t>DRY-P3-T8</t>
  </si>
  <si>
    <t>DRY-W2-T7</t>
  </si>
  <si>
    <t>DRY-W1-T2</t>
  </si>
  <si>
    <t>DRY-W2-T4</t>
  </si>
  <si>
    <t>DRY-W1-T4</t>
  </si>
  <si>
    <t>WET-A3-T7</t>
  </si>
  <si>
    <t>WET-A3-T3</t>
  </si>
  <si>
    <t>DRY-P4-T3</t>
  </si>
  <si>
    <t>WET-P3-T2</t>
  </si>
  <si>
    <t>DRY-W2-T2</t>
  </si>
  <si>
    <t>DRY-W3-T8</t>
  </si>
  <si>
    <t>DRY-W4-T4</t>
  </si>
  <si>
    <t>DRY-P4-T2</t>
  </si>
  <si>
    <t>DRY-P1-T8</t>
  </si>
  <si>
    <t>WET-A4-T3</t>
  </si>
  <si>
    <t>DRY-P1-T5</t>
  </si>
  <si>
    <t>DRY-P2-T3</t>
  </si>
  <si>
    <t>DRY-W4-T5</t>
  </si>
  <si>
    <t>Wet-P4-T2</t>
  </si>
  <si>
    <t>Ole lab, på bordet</t>
  </si>
  <si>
    <t>REDONE</t>
  </si>
  <si>
    <t>Wet-A2-T2</t>
  </si>
  <si>
    <t>Wet-P3-T1</t>
  </si>
  <si>
    <t>DRY-P4-T7</t>
  </si>
  <si>
    <t>DRY-P4-T4</t>
  </si>
  <si>
    <t>DRY-P2-T1</t>
  </si>
  <si>
    <t>DRY-W1-T6</t>
  </si>
  <si>
    <t>DRY-P1-T4</t>
  </si>
  <si>
    <t>DRY-P2-T8</t>
  </si>
  <si>
    <t>WET-A3-T2</t>
  </si>
  <si>
    <t>DRY-P1-T6</t>
  </si>
  <si>
    <t>WET-A2-T2</t>
  </si>
  <si>
    <t>WET-A4-T7</t>
  </si>
  <si>
    <t>DRY-W3-T2</t>
  </si>
  <si>
    <t>DRY-W1-T8</t>
  </si>
  <si>
    <t>DRY-W4-T1</t>
  </si>
  <si>
    <t>DRY-W3-T4</t>
  </si>
  <si>
    <t>DRY-P4-T1</t>
  </si>
  <si>
    <t>DRY-P2-T2</t>
  </si>
  <si>
    <t>DRY-W3-T7</t>
  </si>
  <si>
    <t>DRY-P3-T7</t>
  </si>
  <si>
    <t>WET-A4-T8</t>
  </si>
  <si>
    <t>Ole lab</t>
  </si>
  <si>
    <t>DRY-W4-T3</t>
  </si>
  <si>
    <t>DRY-P3-T4</t>
  </si>
  <si>
    <t>DRY-P2-T4</t>
  </si>
  <si>
    <t>WET-A2-T5</t>
  </si>
  <si>
    <t>very little left of sample</t>
  </si>
  <si>
    <t>WET-A4-T2</t>
  </si>
  <si>
    <t xml:space="preserve">fungi </t>
  </si>
  <si>
    <t>DRY-A3-T6</t>
  </si>
  <si>
    <t>DRY-A1-T7</t>
  </si>
  <si>
    <t>DRY-A3-T2</t>
  </si>
  <si>
    <t>DRY-A4-T4</t>
  </si>
  <si>
    <t>DRY-A2-T3</t>
  </si>
  <si>
    <t>DRY-A3-T3</t>
  </si>
  <si>
    <t>DRY-A4-T2</t>
  </si>
  <si>
    <t>DRY-A4-T6</t>
  </si>
  <si>
    <t>DRY-A1-T4</t>
  </si>
  <si>
    <t>DRY-A2-T1</t>
  </si>
  <si>
    <t>DRY-A1-T8</t>
  </si>
  <si>
    <t>DRY-A3-T4</t>
  </si>
  <si>
    <t>DRY-A3-T1</t>
  </si>
  <si>
    <t>DRY-A2-T6</t>
  </si>
  <si>
    <t>DRY-A4-T1</t>
  </si>
  <si>
    <t>DRY-A2-T5</t>
  </si>
  <si>
    <t>DRY-A4-T8</t>
  </si>
  <si>
    <t>FURNACE OLE PÅ BORDET</t>
  </si>
  <si>
    <t>Feil kode, endret fra G283</t>
  </si>
  <si>
    <t>WET-A1-T2</t>
  </si>
  <si>
    <t>WET-A2-T4</t>
  </si>
  <si>
    <t>WET-A1-T8</t>
  </si>
  <si>
    <t>WET-A1-T5</t>
  </si>
  <si>
    <t>mycelia from fungi</t>
  </si>
  <si>
    <t>WET-A3-T6</t>
  </si>
  <si>
    <t>WET-A3-T1</t>
  </si>
  <si>
    <t>WET-A3-T4</t>
  </si>
  <si>
    <t>Code could be R727</t>
  </si>
  <si>
    <t>DRY-W3-T6</t>
  </si>
  <si>
    <t>DRY-A1-T1</t>
  </si>
  <si>
    <t>On zipbag: G389 (or G384). It is G384</t>
  </si>
  <si>
    <t>DRY-A1-T3</t>
  </si>
  <si>
    <t>DRY-A3-T8</t>
  </si>
  <si>
    <t>DRY-A2-T7</t>
  </si>
  <si>
    <t>SRY-A3-T8</t>
  </si>
  <si>
    <t>DRY-A4-T5</t>
  </si>
  <si>
    <t>WET-A2-T7</t>
  </si>
  <si>
    <t>DRY-P1-T3</t>
  </si>
  <si>
    <t>DRY-W3-T3</t>
  </si>
  <si>
    <t>DRY-W3-T1</t>
  </si>
  <si>
    <t>202(5)</t>
  </si>
  <si>
    <t>USED ALMOST ALL OF THE SAMPLE</t>
  </si>
  <si>
    <t>HIGH WEIGHT, ONLY SOIL AND ROCKS</t>
  </si>
  <si>
    <t>WET-A1-T4</t>
  </si>
  <si>
    <t>WET-AG4-T5</t>
  </si>
  <si>
    <t>WET-A4-T5</t>
  </si>
  <si>
    <t>WET-A2-T6</t>
  </si>
  <si>
    <t>USED ALL OF THE SAMPLE</t>
  </si>
  <si>
    <t>ZIPBAG SAID R299?, BUT TEABAG SAID R249</t>
  </si>
  <si>
    <t>PROBABLY ALL SOIL</t>
  </si>
  <si>
    <t>PROB ONLY SOIL</t>
  </si>
  <si>
    <t>PROB ONLY SOIL, MANY ROOTS</t>
  </si>
  <si>
    <t xml:space="preserve">&lt;TBI DATA FORM&gt; </t>
  </si>
  <si>
    <t>VERSION 2.01</t>
  </si>
  <si>
    <t>NOTE</t>
  </si>
  <si>
    <t>READ GENERAL INSTRUCTIONS IN THE MANUAL SHEET BEFORE YOU START</t>
  </si>
  <si>
    <t>This form consists of five parts: METADATA (L10-L20), COMMON DATA (L24-L40), LOCATION CODES (L42-L52), TREATMENT LEGEND (L54-L58) AND SAMPLE DATA (L61-)</t>
  </si>
  <si>
    <t>The formulae used in this sheet are based on Keuskamp et al. 2013 (http://onlinelibrary.wiley.com/enhanced/doi/10.1111/2041-210X.12097/)</t>
  </si>
  <si>
    <t xml:space="preserve">For more information please refer to the manual included with this file </t>
  </si>
  <si>
    <t>Please fill out the data in the purple cells, and optionally in the blue cells and send form to tbiteam@decolab.org or upload it on www.teatime4science.org</t>
  </si>
  <si>
    <t xml:space="preserve"> </t>
  </si>
  <si>
    <t>Item</t>
  </si>
  <si>
    <t>Value</t>
  </si>
  <si>
    <t>Anders Sundsdal</t>
  </si>
  <si>
    <t>Secondary investigator</t>
  </si>
  <si>
    <t>Stuart W Smith</t>
  </si>
  <si>
    <t>Norwegian University of Science and Technology (NTNU)</t>
  </si>
  <si>
    <t>andersun@stud.ntnu.no</t>
  </si>
  <si>
    <t>stuart.smith@ntnu.no</t>
  </si>
  <si>
    <t>Tanzania</t>
  </si>
  <si>
    <t>AfricanBioServices</t>
  </si>
  <si>
    <t>Understanding the impact of human land-use on termite and soil microbe litter decomposition in the Serengeti savannah ecosystem.</t>
  </si>
  <si>
    <t>Pending</t>
  </si>
  <si>
    <t>&lt;END OF METADATA&gt;</t>
  </si>
  <si>
    <t>&lt;COMMON DATA&gt;</t>
  </si>
  <si>
    <t>item</t>
  </si>
  <si>
    <t>Calculation help in manual sheet</t>
  </si>
  <si>
    <t>&lt;END OF COMMON DATA&gt;</t>
  </si>
  <si>
    <t>&lt;LOCATION CODES&gt;</t>
  </si>
  <si>
    <t>OPTIONAL DATA</t>
  </si>
  <si>
    <t>Only one item per line - expand as necessary</t>
  </si>
  <si>
    <t>Optional data - Numerical</t>
  </si>
  <si>
    <t>Optional data - Classifications, use the dropdown lists.</t>
  </si>
  <si>
    <t>Dry_Ag1</t>
  </si>
  <si>
    <t>Dry region, agriculture</t>
  </si>
  <si>
    <t>Savanna- mixed decidious tree and grassland</t>
  </si>
  <si>
    <t>NESW (all)</t>
  </si>
  <si>
    <t>Dry_Ag2</t>
  </si>
  <si>
    <t>Dry_Ag3</t>
  </si>
  <si>
    <t>Dry_Ag4</t>
  </si>
  <si>
    <t>Dry_P1</t>
  </si>
  <si>
    <t>Dry region, pasture</t>
  </si>
  <si>
    <t>Dry_P2</t>
  </si>
  <si>
    <t>Dry_P3</t>
  </si>
  <si>
    <t>Dry_P4</t>
  </si>
  <si>
    <t>Dry_W1</t>
  </si>
  <si>
    <t>Dry region, wild area</t>
  </si>
  <si>
    <t>Dry_W2</t>
  </si>
  <si>
    <t>Dry_W3</t>
  </si>
  <si>
    <t>Dry_W4</t>
  </si>
  <si>
    <t>Wet_Ag1</t>
  </si>
  <si>
    <t>Wet region, agriculture</t>
  </si>
  <si>
    <t>Wet_Ag2</t>
  </si>
  <si>
    <t>Wet_Ag3</t>
  </si>
  <si>
    <t>Wet_Ag4</t>
  </si>
  <si>
    <t>Wet_P1</t>
  </si>
  <si>
    <t>Wet region, pasture</t>
  </si>
  <si>
    <t>Wet_P2</t>
  </si>
  <si>
    <t>Wet_P3</t>
  </si>
  <si>
    <t>Wet_P4</t>
  </si>
  <si>
    <t>Wet_W1</t>
  </si>
  <si>
    <t>Wet region, wild area</t>
  </si>
  <si>
    <t>Wet_W2</t>
  </si>
  <si>
    <t>Wet_W3</t>
  </si>
  <si>
    <t>Wet_W4</t>
  </si>
  <si>
    <t>Intermediate area, wild</t>
  </si>
  <si>
    <t>&lt;END OF LOCATION CODES&gt;</t>
  </si>
  <si>
    <t>&lt;TREATMENT CODES&gt;</t>
  </si>
  <si>
    <t>General description</t>
  </si>
  <si>
    <t>Teabags standard buried, open for all micro- and macro soil organisms.</t>
  </si>
  <si>
    <t>Teabags wrapped with an additional 0.3 mm aperture size stainless steel metal mesh to exclude macro soil organisms, mainly termites. Otherwise standard buried.</t>
  </si>
  <si>
    <t>&lt;END OF TREATMENT CODES&gt;</t>
  </si>
  <si>
    <t>NOTE: USING ASHED WEIGHTS</t>
  </si>
  <si>
    <t>&lt;SAMPLE DATA&gt;</t>
  </si>
  <si>
    <t>Other notes</t>
  </si>
  <si>
    <t>Location code</t>
  </si>
  <si>
    <r>
      <rPr>
        <sz val="11"/>
        <color rgb="FF008000"/>
        <rFont val="Calibri"/>
        <family val="2"/>
      </rPr>
      <t>Green tea</t>
    </r>
    <r>
      <rPr>
        <sz val="11"/>
        <color indexed="8"/>
        <rFont val="Calibri"/>
        <family val="2"/>
      </rPr>
      <t xml:space="preserve"> code</t>
    </r>
  </si>
  <si>
    <r>
      <rPr>
        <sz val="11"/>
        <color rgb="FFFF0000"/>
        <rFont val="Calibri"/>
        <family val="2"/>
      </rPr>
      <t>Red tea</t>
    </r>
    <r>
      <rPr>
        <sz val="11"/>
        <color indexed="8"/>
        <rFont val="Calibri"/>
        <family val="2"/>
      </rPr>
      <t xml:space="preserve"> code</t>
    </r>
  </si>
  <si>
    <r>
      <t xml:space="preserve">Initial weight </t>
    </r>
    <r>
      <rPr>
        <sz val="11"/>
        <color indexed="17"/>
        <rFont val="Calibri"/>
        <family val="2"/>
      </rPr>
      <t xml:space="preserve">green tea </t>
    </r>
    <r>
      <rPr>
        <sz val="11"/>
        <color indexed="8"/>
        <rFont val="Calibri"/>
        <family val="2"/>
      </rPr>
      <t>including bag, cord and label</t>
    </r>
  </si>
  <si>
    <r>
      <rPr>
        <sz val="11"/>
        <rFont val="Calibri"/>
        <family val="2"/>
      </rPr>
      <t xml:space="preserve">Ashed subsample percentage controll initial </t>
    </r>
    <r>
      <rPr>
        <sz val="11"/>
        <color rgb="FF008000"/>
        <rFont val="Calibri"/>
        <family val="2"/>
      </rPr>
      <t>green tea</t>
    </r>
    <r>
      <rPr>
        <sz val="11"/>
        <color indexed="8"/>
        <rFont val="Calibri"/>
        <family val="2"/>
      </rPr>
      <t xml:space="preserve"> </t>
    </r>
    <r>
      <rPr>
        <sz val="11"/>
        <rFont val="Calibri"/>
        <family val="2"/>
      </rPr>
      <t>tea only (Avarage)</t>
    </r>
  </si>
  <si>
    <r>
      <t xml:space="preserve">Ashed initial corrected weight </t>
    </r>
    <r>
      <rPr>
        <sz val="11"/>
        <color indexed="17"/>
        <rFont val="Calibri"/>
        <family val="2"/>
      </rPr>
      <t>green tea</t>
    </r>
    <r>
      <rPr>
        <sz val="11"/>
        <color indexed="8"/>
        <rFont val="Calibri"/>
        <family val="2"/>
      </rPr>
      <t xml:space="preserve"> tea only</t>
    </r>
  </si>
  <si>
    <r>
      <rPr>
        <sz val="11"/>
        <rFont val="Calibri"/>
        <family val="2"/>
      </rPr>
      <t xml:space="preserve">Ashed subsample percentage controll initiall </t>
    </r>
    <r>
      <rPr>
        <sz val="11"/>
        <color rgb="FFFF0000"/>
        <rFont val="Calibri"/>
        <family val="2"/>
      </rPr>
      <t>red tea</t>
    </r>
    <r>
      <rPr>
        <sz val="11"/>
        <color indexed="8"/>
        <rFont val="Calibri"/>
        <family val="2"/>
      </rPr>
      <t xml:space="preserve"> tea only</t>
    </r>
  </si>
  <si>
    <r>
      <t xml:space="preserve">Ashed Initial corrected weight </t>
    </r>
    <r>
      <rPr>
        <sz val="11"/>
        <color rgb="FFFF0000"/>
        <rFont val="Calibri"/>
        <family val="2"/>
      </rPr>
      <t>red tea</t>
    </r>
    <r>
      <rPr>
        <sz val="11"/>
        <color indexed="8"/>
        <rFont val="Calibri"/>
        <family val="2"/>
      </rPr>
      <t xml:space="preserve"> tea only</t>
    </r>
  </si>
  <si>
    <r>
      <t xml:space="preserve">Final weight </t>
    </r>
    <r>
      <rPr>
        <sz val="11"/>
        <color indexed="17"/>
        <rFont val="Calibri"/>
        <family val="2"/>
      </rPr>
      <t xml:space="preserve">green tea </t>
    </r>
    <r>
      <rPr>
        <sz val="11"/>
        <color indexed="8"/>
        <rFont val="Calibri"/>
        <family val="2"/>
      </rPr>
      <t>including bag and cord, no label</t>
    </r>
  </si>
  <si>
    <r>
      <t>Final weight</t>
    </r>
    <r>
      <rPr>
        <sz val="11"/>
        <color indexed="10"/>
        <rFont val="Calibri"/>
        <family val="2"/>
      </rPr>
      <t xml:space="preserve"> red tea </t>
    </r>
    <r>
      <rPr>
        <sz val="11"/>
        <color indexed="8"/>
        <rFont val="Calibri"/>
        <family val="2"/>
      </rPr>
      <t>including bag and cord, no label</t>
    </r>
  </si>
  <si>
    <r>
      <t xml:space="preserve">Ashed subsample percentage </t>
    </r>
    <r>
      <rPr>
        <sz val="11"/>
        <color rgb="FF008000"/>
        <rFont val="Calibri"/>
        <family val="2"/>
      </rPr>
      <t>green tea</t>
    </r>
  </si>
  <si>
    <r>
      <rPr>
        <sz val="11"/>
        <rFont val="Calibri"/>
        <family val="2"/>
      </rPr>
      <t xml:space="preserve">Ashed subsample percentage </t>
    </r>
    <r>
      <rPr>
        <sz val="11"/>
        <color rgb="FFFF0000"/>
        <rFont val="Calibri"/>
        <family val="2"/>
      </rPr>
      <t>red tea</t>
    </r>
  </si>
  <si>
    <r>
      <t xml:space="preserve">Ashed final weight </t>
    </r>
    <r>
      <rPr>
        <sz val="11"/>
        <color rgb="FF008000"/>
        <rFont val="Calibri"/>
        <family val="2"/>
      </rPr>
      <t>green tea</t>
    </r>
    <r>
      <rPr>
        <sz val="11"/>
        <color indexed="8"/>
        <rFont val="Calibri"/>
        <family val="2"/>
      </rPr>
      <t xml:space="preserve"> tea only</t>
    </r>
  </si>
  <si>
    <r>
      <t xml:space="preserve">Ashed final weight </t>
    </r>
    <r>
      <rPr>
        <sz val="11"/>
        <color rgb="FFFF0000"/>
        <rFont val="Calibri"/>
        <family val="2"/>
      </rPr>
      <t>red tea</t>
    </r>
    <r>
      <rPr>
        <sz val="11"/>
        <color indexed="8"/>
        <rFont val="Calibri"/>
        <family val="2"/>
      </rPr>
      <t xml:space="preserve"> tea only</t>
    </r>
  </si>
  <si>
    <r>
      <t xml:space="preserve">Fraction decomposed </t>
    </r>
    <r>
      <rPr>
        <sz val="11"/>
        <color rgb="FF00B050"/>
        <rFont val="Calibri"/>
        <family val="2"/>
      </rPr>
      <t xml:space="preserve">green tea </t>
    </r>
    <r>
      <rPr>
        <sz val="11"/>
        <rFont val="Calibri"/>
        <family val="2"/>
      </rPr>
      <t>(ash corrected)</t>
    </r>
    <r>
      <rPr>
        <sz val="11"/>
        <color indexed="8"/>
        <rFont val="Calibri"/>
        <family val="2"/>
      </rPr>
      <t xml:space="preserve"> (ag) </t>
    </r>
  </si>
  <si>
    <r>
      <t xml:space="preserve">Sign of hole(s) on </t>
    </r>
    <r>
      <rPr>
        <sz val="11"/>
        <color rgb="FFFF0000"/>
        <rFont val="Calibri"/>
        <family val="2"/>
      </rPr>
      <t>red tea</t>
    </r>
  </si>
  <si>
    <r>
      <t xml:space="preserve">Sign of roots on </t>
    </r>
    <r>
      <rPr>
        <sz val="11"/>
        <color rgb="FFFF0000"/>
        <rFont val="Calibri"/>
        <family val="2"/>
      </rPr>
      <t>red tea</t>
    </r>
  </si>
  <si>
    <r>
      <t xml:space="preserve">Sign of hole(s) on </t>
    </r>
    <r>
      <rPr>
        <sz val="11"/>
        <color rgb="FF008000"/>
        <rFont val="Calibri"/>
        <family val="2"/>
      </rPr>
      <t>green tea</t>
    </r>
  </si>
  <si>
    <r>
      <t xml:space="preserve">Sign of roots on </t>
    </r>
    <r>
      <rPr>
        <sz val="11"/>
        <color rgb="FF008000"/>
        <rFont val="Calibri"/>
        <family val="2"/>
      </rPr>
      <t>green tea</t>
    </r>
  </si>
  <si>
    <t>NOTE: USING UNASHED WEIGHTS</t>
  </si>
  <si>
    <r>
      <rPr>
        <sz val="11"/>
        <rFont val="Calibri"/>
        <family val="2"/>
      </rPr>
      <t xml:space="preserve">Ashed subsample percentage controll initiall </t>
    </r>
    <r>
      <rPr>
        <sz val="11"/>
        <color rgb="FFFF0000"/>
        <rFont val="Calibri"/>
        <family val="2"/>
      </rPr>
      <t>red tea</t>
    </r>
    <r>
      <rPr>
        <sz val="11"/>
        <color indexed="8"/>
        <rFont val="Calibri"/>
        <family val="2"/>
      </rPr>
      <t xml:space="preserve"> tea only (Avarage)</t>
    </r>
  </si>
  <si>
    <t>Sign of termite cheeting on green tea</t>
  </si>
  <si>
    <t>Sign of termite cheeting on red tea</t>
  </si>
  <si>
    <t>Duplicate check formula</t>
  </si>
  <si>
    <t>GREEN</t>
  </si>
  <si>
    <t>RED</t>
  </si>
  <si>
    <t>Duplicate check formula (Remeber to check for "Search in values"</t>
  </si>
  <si>
    <t>TBI WET</t>
  </si>
  <si>
    <t>TBI DRY (This datalist is created from the TBI data sheet which in turn is created from "Final_data_for_R_Wet/dry" which in turn are made from the collection_placement sheet.)</t>
  </si>
  <si>
    <t>BOTH TEABAGS AFTERWET</t>
  </si>
  <si>
    <t>BOTH TEABAGS AFTERDRY</t>
  </si>
  <si>
    <t>Green_Rooibos initial weight</t>
  </si>
  <si>
    <t>R841</t>
  </si>
  <si>
    <t>STATUS: 0</t>
  </si>
  <si>
    <t>UPDATED 22.11.18</t>
  </si>
  <si>
    <t>STATUS: 1</t>
  </si>
  <si>
    <t>STATUS: 1 (and 2x NA)</t>
  </si>
  <si>
    <t>STATUS: 1 (and 1 ?)</t>
  </si>
  <si>
    <t>Wet_Collection_placement</t>
  </si>
  <si>
    <t>Dry_Collection_placement</t>
  </si>
  <si>
    <t>STATUS: 4</t>
  </si>
  <si>
    <t>Ashed dry</t>
  </si>
  <si>
    <t>Ashed wet</t>
  </si>
  <si>
    <t>&lt;--Same code in both campaign?--&gt;</t>
  </si>
  <si>
    <t>Samplecode</t>
  </si>
  <si>
    <t>Local1</t>
  </si>
  <si>
    <t>Local2</t>
  </si>
  <si>
    <t>Local3</t>
  </si>
  <si>
    <t>Local4</t>
  </si>
  <si>
    <t>UPDATED 03.12.18</t>
  </si>
  <si>
    <t>Checking if all bags has been recorded in both: collection_placement dry and ashed dry</t>
  </si>
  <si>
    <t>GREENAsh</t>
  </si>
  <si>
    <t>Green place</t>
  </si>
  <si>
    <t>Redash</t>
  </si>
  <si>
    <t>Redplace</t>
  </si>
  <si>
    <t>Status:</t>
  </si>
  <si>
    <t>DNA sampled. G: hole because of digging</t>
  </si>
  <si>
    <t>Green code in ashed?</t>
  </si>
  <si>
    <t>Red code in ashed?</t>
  </si>
  <si>
    <t>Green place corrected for missing bags</t>
  </si>
  <si>
    <t>Red place corrected for missing bags</t>
  </si>
  <si>
    <t>Correction for missing and dna bags.</t>
  </si>
  <si>
    <t>Ordered green ash</t>
  </si>
  <si>
    <t>Ordered Green place corrected for missing bags</t>
  </si>
  <si>
    <t>Ordered red ash</t>
  </si>
  <si>
    <t>Ordered Red place corrected for missing bags</t>
  </si>
  <si>
    <t>Greenash code in green place?/omvendt</t>
  </si>
  <si>
    <t>Redash code in redplace?/omvendt</t>
  </si>
  <si>
    <t>Total list of green place</t>
  </si>
  <si>
    <t>total vs dna+missing</t>
  </si>
  <si>
    <t>Status: NO discrepancies, i.e. none of the codes below is found in ashed wet</t>
  </si>
  <si>
    <t>Total list of red place</t>
  </si>
  <si>
    <t>total vs missing</t>
  </si>
  <si>
    <t>Teabags lost when collected in field  (i.e not recorded in ashing) BUT Not included single bags in a plot missing.</t>
  </si>
  <si>
    <t>Added later to create a full list of teabags used even if there was no tea left. Therefore there is no number in this column.</t>
  </si>
  <si>
    <t>Checking if all bags has been recorded in both: collection_placement wet, afterwet and ashed wet</t>
  </si>
  <si>
    <t>RED afterwet</t>
  </si>
  <si>
    <t>Single bags missing from a plot</t>
  </si>
  <si>
    <t>Green afterwet</t>
  </si>
  <si>
    <t>Green Ordered both teabags afterwet</t>
  </si>
  <si>
    <t>Status: OK. All bags are accounted for. Removed the lost bags from collection list, see the table to the left for list of lost bags.</t>
  </si>
  <si>
    <t>REDOrdered afterwet</t>
  </si>
  <si>
    <t>red list Corrected for lost bags red</t>
  </si>
  <si>
    <t>green list Corrected for lost bags collected</t>
  </si>
  <si>
    <t>Added from ashed sheet. The weight here is without the bag and cord. Therfore the estimated weight of a empty litterbag and string is added.</t>
  </si>
  <si>
    <r>
      <rPr>
        <b/>
        <sz val="11"/>
        <color rgb="FF9C5700"/>
        <rFont val="Calibri"/>
        <family val="2"/>
        <scheme val="minor"/>
      </rPr>
      <t>Status:</t>
    </r>
    <r>
      <rPr>
        <sz val="11"/>
        <color rgb="FF9C5700"/>
        <rFont val="Calibri"/>
        <family val="2"/>
        <scheme val="minor"/>
      </rPr>
      <t xml:space="preserve"> Both green and red OK</t>
    </r>
  </si>
  <si>
    <t>Updated: 07.12.18</t>
  </si>
  <si>
    <t>List of teabags lost in field in wetseason</t>
  </si>
  <si>
    <t>Lost or DNA sampled teabags</t>
  </si>
  <si>
    <t>Green afterdry</t>
  </si>
  <si>
    <t>Green Ordered both teabags afterdry</t>
  </si>
  <si>
    <t>RED afterdry</t>
  </si>
  <si>
    <t>REDOrdered afterdry</t>
  </si>
  <si>
    <t>Added from Ashed dry. This bag was found in a bucket when out in field in dry season. So its processsed with dry season samples.</t>
  </si>
  <si>
    <t>EMPTY BAG, NO PLOT CODE.  Added from Ashed dry. This bag was found in a bucket when out in field in dry season. So its processsed with dry season samples.</t>
  </si>
  <si>
    <t>Teabag found in Seronera after Marit's sampling attached to pipes. Added from afterdry. This bag was found in a bucket when out in field in dry season. So its processsed with dry season samples.</t>
  </si>
  <si>
    <t>green list Corrected for dna and missing teabags in collected</t>
  </si>
  <si>
    <t>list Corrected for dna and missing in collected red</t>
  </si>
  <si>
    <t>LOT OF LITTER FALLEN OUT OF BAG (0,6850g) seen left in the paper bag, bag ripped open. This is added to the litterweight.</t>
  </si>
  <si>
    <t>After collected bags: two bags had the same number… So they are called R54a and R54b. Need to find out which of them is the real R54 and what the other one is. UPDATE: Have assigned 54a as 54 and 54b as 53, since 53 is not listed in the data at all. So most likely one of them are 53. And they have similar weight so it should be ok.</t>
  </si>
  <si>
    <t>STATUS:</t>
  </si>
  <si>
    <t>All bags counted for? TRUE=YES</t>
  </si>
  <si>
    <t>Teabags sampled for DNA (i.e not recorded in ashing yet)=Yellow</t>
  </si>
  <si>
    <t>Teabags lost when collected in field  (i.e not recorded in ashing) BUT not included singel bag in a plot missing=brown</t>
  </si>
  <si>
    <r>
      <t xml:space="preserve">Sign of termite cheeting on </t>
    </r>
    <r>
      <rPr>
        <sz val="11"/>
        <color rgb="FFFF0000"/>
        <rFont val="Calibri"/>
        <family val="2"/>
      </rPr>
      <t>red tea</t>
    </r>
  </si>
  <si>
    <r>
      <t xml:space="preserve">Sign of termite cheeting on </t>
    </r>
    <r>
      <rPr>
        <sz val="11"/>
        <color rgb="FF008000"/>
        <rFont val="Calibri"/>
        <family val="2"/>
      </rPr>
      <t>green tea</t>
    </r>
  </si>
  <si>
    <t>Experiment</t>
  </si>
  <si>
    <t>Main</t>
  </si>
  <si>
    <t>Intermediate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</si>
</sst>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6">
    <numFmt numFmtId="164" formatCode="0.000"/>
    <numFmt numFmtId="165" formatCode="[$-809]dd\ mmmm\ yyyy;@"/>
    <numFmt numFmtId="166" formatCode="0.0000"/>
    <numFmt numFmtId="167" formatCode="dd/mm/yyyy;@"/>
    <numFmt numFmtId="168" formatCode="[$-409]d\-mmm\-yy;@"/>
    <numFmt numFmtId="169" formatCode="0.0"/>
  </numFmts>
  <fonts count="65">
    <font>
      <sz val="11"/>
      <color indexed="8"/>
      <name val="Calibri"/>
      <family val="2"/>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name val="Calibri"/>
      <family val="2"/>
    </font>
    <font>
      <sz val="11"/>
      <color indexed="10"/>
      <name val="Calibri"/>
      <family val="2"/>
    </font>
    <font>
      <b/>
      <sz val="11"/>
      <color indexed="8"/>
      <name val="Calibri"/>
      <family val="2"/>
    </font>
    <font>
      <b/>
      <sz val="11"/>
      <name val="Calibri"/>
      <family val="2"/>
    </font>
    <font>
      <sz val="11"/>
      <color indexed="17"/>
      <name val="Calibri"/>
      <family val="2"/>
    </font>
    <font>
      <b/>
      <sz val="11"/>
      <color theme="1"/>
      <name val="Calibri"/>
      <family val="2"/>
      <scheme val="minor"/>
    </font>
    <font>
      <sz val="11"/>
      <color theme="1"/>
      <name val="Calibri"/>
      <family val="2"/>
    </font>
    <font>
      <sz val="11"/>
      <color rgb="FF9C0006"/>
      <name val="Calibri"/>
      <family val="2"/>
      <scheme val="minor"/>
    </font>
    <font>
      <b/>
      <sz val="11"/>
      <color rgb="FF000000"/>
      <name val="Calibri"/>
      <family val="2"/>
      <scheme val="minor"/>
    </font>
    <font>
      <sz val="11"/>
      <name val="Calibri"/>
      <family val="2"/>
      <scheme val="minor"/>
    </font>
    <font>
      <b/>
      <sz val="11"/>
      <name val="Calibri"/>
      <family val="2"/>
      <scheme val="minor"/>
    </font>
    <font>
      <sz val="11"/>
      <color rgb="FFFF0000"/>
      <name val="Calibri"/>
      <family val="2"/>
    </font>
    <font>
      <sz val="9"/>
      <color indexed="81"/>
      <name val="Tahoma"/>
      <family val="2"/>
    </font>
    <font>
      <b/>
      <sz val="9"/>
      <color indexed="81"/>
      <name val="Tahoma"/>
      <family val="2"/>
    </font>
    <font>
      <sz val="11"/>
      <color rgb="FF9C5700"/>
      <name val="Calibri"/>
      <family val="2"/>
      <scheme val="minor"/>
    </font>
    <font>
      <sz val="11"/>
      <color rgb="FF3F3F76"/>
      <name val="Calibri"/>
      <family val="2"/>
      <scheme val="minor"/>
    </font>
    <font>
      <sz val="11"/>
      <color rgb="FF006100"/>
      <name val="Calibri"/>
      <family val="2"/>
      <scheme val="minor"/>
    </font>
    <font>
      <b/>
      <sz val="11"/>
      <color theme="5"/>
      <name val="Calibri"/>
      <family val="2"/>
      <scheme val="minor"/>
    </font>
    <font>
      <sz val="11"/>
      <color indexed="8"/>
      <name val="Calibri"/>
      <family val="2"/>
    </font>
    <font>
      <b/>
      <sz val="11"/>
      <color rgb="FF006100"/>
      <name val="Calibri"/>
      <family val="2"/>
      <scheme val="minor"/>
    </font>
    <font>
      <b/>
      <sz val="11"/>
      <color rgb="FFFF0000"/>
      <name val="Calibri"/>
      <family val="2"/>
    </font>
    <font>
      <sz val="11"/>
      <color theme="1"/>
      <name val="Calibri"/>
      <family val="2"/>
      <charset val="238"/>
      <scheme val="minor"/>
    </font>
    <font>
      <sz val="11"/>
      <color rgb="FF000000"/>
      <name val="Calibri"/>
      <family val="2"/>
      <scheme val="minor"/>
    </font>
    <font>
      <sz val="7"/>
      <color rgb="FF000000"/>
      <name val="Times New Roman"/>
      <family val="1"/>
    </font>
    <font>
      <sz val="10.5"/>
      <color rgb="FF000000"/>
      <name val="Calibri"/>
      <family val="2"/>
      <scheme val="minor"/>
    </font>
    <font>
      <sz val="28"/>
      <color theme="1"/>
      <name val="Calibri Light"/>
      <family val="2"/>
    </font>
    <font>
      <sz val="11"/>
      <name val="Calibri (Body)"/>
    </font>
    <font>
      <sz val="10"/>
      <name val="Arial"/>
      <family val="2"/>
    </font>
    <font>
      <b/>
      <sz val="11"/>
      <color rgb="FFC00000"/>
      <name val="Calibri"/>
      <family val="2"/>
    </font>
    <font>
      <sz val="11"/>
      <color indexed="8"/>
      <name val="Calibri"/>
      <family val="2"/>
      <scheme val="minor"/>
    </font>
    <font>
      <u/>
      <sz val="11"/>
      <color theme="10"/>
      <name val="Calibri"/>
      <family val="2"/>
    </font>
    <font>
      <b/>
      <sz val="16"/>
      <color rgb="FFC00000"/>
      <name val="Calibri"/>
      <family val="2"/>
    </font>
    <font>
      <sz val="16"/>
      <color rgb="FFC00000"/>
      <name val="Calibri"/>
      <family val="2"/>
    </font>
    <font>
      <sz val="11"/>
      <color rgb="FF000000"/>
      <name val="Calibri"/>
      <family val="2"/>
    </font>
    <font>
      <sz val="12"/>
      <color rgb="FFFF0000"/>
      <name val="Calibri"/>
      <family val="2"/>
    </font>
    <font>
      <sz val="8"/>
      <color rgb="FFFF0000"/>
      <name val="Calibri"/>
      <family val="2"/>
    </font>
    <font>
      <b/>
      <sz val="14"/>
      <color indexed="8"/>
      <name val="Calibri"/>
      <family val="2"/>
    </font>
    <font>
      <sz val="11"/>
      <color rgb="FF008000"/>
      <name val="Calibri"/>
      <family val="2"/>
    </font>
    <font>
      <sz val="11"/>
      <color rgb="FF00B050"/>
      <name val="Calibri"/>
      <family val="2"/>
    </font>
    <font>
      <sz val="11"/>
      <color theme="0"/>
      <name val="Calibri"/>
      <family val="2"/>
      <scheme val="minor"/>
    </font>
    <font>
      <sz val="9"/>
      <color indexed="81"/>
      <name val="Tahoma"/>
      <charset val="1"/>
    </font>
    <font>
      <b/>
      <sz val="9"/>
      <color indexed="81"/>
      <name val="Tahoma"/>
      <charset val="1"/>
    </font>
    <font>
      <b/>
      <sz val="11"/>
      <color rgb="FF9C5700"/>
      <name val="Calibri"/>
      <family val="2"/>
      <scheme val="minor"/>
    </font>
  </fonts>
  <fills count="23">
    <fill>
      <patternFill patternType="none"/>
    </fill>
    <fill>
      <patternFill patternType="gray125"/>
    </fill>
    <fill>
      <patternFill patternType="solid">
        <fgColor rgb="FF00B050"/>
        <bgColor indexed="64"/>
      </patternFill>
    </fill>
    <fill>
      <patternFill patternType="solid">
        <fgColor rgb="FFFFFF00"/>
        <bgColor indexed="64"/>
      </patternFill>
    </fill>
    <fill>
      <patternFill patternType="solid">
        <fgColor theme="7" tint="0.79998168889431442"/>
        <bgColor indexed="64"/>
      </patternFill>
    </fill>
    <fill>
      <patternFill patternType="solid">
        <fgColor rgb="FFFF0000"/>
        <bgColor indexed="64"/>
      </patternFill>
    </fill>
    <fill>
      <patternFill patternType="solid">
        <fgColor theme="3" tint="0.79998168889431442"/>
        <bgColor indexed="64"/>
      </patternFill>
    </fill>
    <fill>
      <patternFill patternType="solid">
        <fgColor theme="4" tint="0.59999389629810485"/>
        <bgColor indexed="64"/>
      </patternFill>
    </fill>
    <fill>
      <patternFill patternType="solid">
        <fgColor rgb="FFFFC7CE"/>
      </patternFill>
    </fill>
    <fill>
      <patternFill patternType="solid">
        <fgColor theme="0" tint="-4.9989318521683403E-2"/>
        <bgColor indexed="64"/>
      </patternFill>
    </fill>
    <fill>
      <patternFill patternType="solid">
        <fgColor rgb="FFFFEB9C"/>
      </patternFill>
    </fill>
    <fill>
      <patternFill patternType="solid">
        <fgColor rgb="FFFFCC99"/>
      </patternFill>
    </fill>
    <fill>
      <patternFill patternType="solid">
        <fgColor rgb="FFC6EFCE"/>
      </patternFill>
    </fill>
    <fill>
      <patternFill patternType="solid">
        <fgColor theme="5" tint="0.79998168889431442"/>
        <bgColor indexed="64"/>
      </patternFill>
    </fill>
    <fill>
      <patternFill patternType="solid">
        <fgColor theme="0"/>
        <bgColor indexed="64"/>
      </patternFill>
    </fill>
    <fill>
      <patternFill patternType="solid">
        <fgColor theme="9" tint="0.59999389629810485"/>
        <bgColor indexed="64"/>
      </patternFill>
    </fill>
    <fill>
      <patternFill patternType="solid">
        <fgColor rgb="FF92D050"/>
        <bgColor indexed="64"/>
      </patternFill>
    </fill>
    <fill>
      <patternFill patternType="solid">
        <fgColor theme="7" tint="0.39997558519241921"/>
        <bgColor indexed="64"/>
      </patternFill>
    </fill>
    <fill>
      <patternFill patternType="solid">
        <fgColor rgb="FFFFFFCC"/>
      </patternFill>
    </fill>
    <fill>
      <patternFill patternType="solid">
        <fgColor theme="7" tint="0.79998168889431442"/>
        <bgColor indexed="65"/>
      </patternFill>
    </fill>
    <fill>
      <patternFill patternType="solid">
        <fgColor theme="8" tint="0.79998168889431442"/>
        <bgColor indexed="64"/>
      </patternFill>
    </fill>
    <fill>
      <patternFill patternType="solid">
        <fgColor theme="7"/>
      </patternFill>
    </fill>
    <fill>
      <patternFill patternType="solid">
        <fgColor theme="9" tint="0.39997558519241921"/>
        <bgColor indexed="65"/>
      </patternFill>
    </fill>
  </fills>
  <borders count="38">
    <border>
      <left/>
      <right/>
      <top/>
      <bottom/>
      <diagonal/>
    </border>
    <border>
      <left style="thin">
        <color auto="1"/>
      </left>
      <right style="thin">
        <color auto="1"/>
      </right>
      <top style="medium">
        <color auto="1"/>
      </top>
      <bottom style="medium">
        <color auto="1"/>
      </bottom>
      <diagonal/>
    </border>
    <border>
      <left/>
      <right style="thin">
        <color auto="1"/>
      </right>
      <top style="medium">
        <color auto="1"/>
      </top>
      <bottom style="medium">
        <color auto="1"/>
      </bottom>
      <diagonal/>
    </border>
    <border>
      <left style="medium">
        <color auto="1"/>
      </left>
      <right/>
      <top style="medium">
        <color auto="1"/>
      </top>
      <bottom style="medium">
        <color auto="1"/>
      </bottom>
      <diagonal/>
    </border>
    <border>
      <left/>
      <right/>
      <top/>
      <bottom style="medium">
        <color auto="1"/>
      </bottom>
      <diagonal/>
    </border>
    <border>
      <left/>
      <right/>
      <top style="medium">
        <color auto="1"/>
      </top>
      <bottom/>
      <diagonal/>
    </border>
    <border>
      <left style="medium">
        <color auto="1"/>
      </left>
      <right/>
      <top style="medium">
        <color auto="1"/>
      </top>
      <bottom/>
      <diagonal/>
    </border>
    <border>
      <left/>
      <right/>
      <top style="medium">
        <color auto="1"/>
      </top>
      <bottom style="medium">
        <color auto="1"/>
      </bottom>
      <diagonal/>
    </border>
    <border>
      <left style="medium">
        <color auto="1"/>
      </left>
      <right/>
      <top/>
      <bottom/>
      <diagonal/>
    </border>
    <border>
      <left style="medium">
        <color auto="1"/>
      </left>
      <right/>
      <top/>
      <bottom style="medium">
        <color auto="1"/>
      </bottom>
      <diagonal/>
    </border>
    <border>
      <left/>
      <right style="medium">
        <color auto="1"/>
      </right>
      <top/>
      <bottom/>
      <diagonal/>
    </border>
    <border>
      <left/>
      <right style="medium">
        <color auto="1"/>
      </right>
      <top/>
      <bottom style="medium">
        <color auto="1"/>
      </bottom>
      <diagonal/>
    </border>
    <border>
      <left/>
      <right style="medium">
        <color auto="1"/>
      </right>
      <top style="medium">
        <color auto="1"/>
      </top>
      <bottom style="medium">
        <color auto="1"/>
      </bottom>
      <diagonal/>
    </border>
    <border>
      <left style="medium">
        <color auto="1"/>
      </left>
      <right style="medium">
        <color auto="1"/>
      </right>
      <top style="medium">
        <color auto="1"/>
      </top>
      <bottom style="medium">
        <color auto="1"/>
      </bottom>
      <diagonal/>
    </border>
    <border>
      <left style="thin">
        <color auto="1"/>
      </left>
      <right/>
      <top style="thin">
        <color auto="1"/>
      </top>
      <bottom style="thin">
        <color auto="1"/>
      </bottom>
      <diagonal/>
    </border>
    <border>
      <left/>
      <right/>
      <top style="thin">
        <color auto="1"/>
      </top>
      <bottom style="thin">
        <color auto="1"/>
      </bottom>
      <diagonal/>
    </border>
    <border>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top style="thin">
        <color auto="1"/>
      </top>
      <bottom/>
      <diagonal/>
    </border>
    <border>
      <left/>
      <right/>
      <top style="thin">
        <color auto="1"/>
      </top>
      <bottom/>
      <diagonal/>
    </border>
    <border>
      <left/>
      <right style="thin">
        <color auto="1"/>
      </right>
      <top style="thin">
        <color auto="1"/>
      </top>
      <bottom/>
      <diagonal/>
    </border>
    <border>
      <left style="thin">
        <color auto="1"/>
      </left>
      <right style="thin">
        <color auto="1"/>
      </right>
      <top style="thin">
        <color auto="1"/>
      </top>
      <bottom/>
      <diagonal/>
    </border>
    <border>
      <left style="thin">
        <color auto="1"/>
      </left>
      <right/>
      <top/>
      <bottom/>
      <diagonal/>
    </border>
    <border>
      <left style="thin">
        <color auto="1"/>
      </left>
      <right style="thin">
        <color auto="1"/>
      </right>
      <top/>
      <bottom style="thin">
        <color auto="1"/>
      </bottom>
      <diagonal/>
    </border>
    <border>
      <left style="thin">
        <color auto="1"/>
      </left>
      <right style="thin">
        <color auto="1"/>
      </right>
      <top/>
      <bottom/>
      <diagonal/>
    </border>
    <border>
      <left style="thin">
        <color rgb="FF7F7F7F"/>
      </left>
      <right style="thin">
        <color rgb="FF7F7F7F"/>
      </right>
      <top style="thin">
        <color rgb="FF7F7F7F"/>
      </top>
      <bottom style="thin">
        <color rgb="FF7F7F7F"/>
      </bottom>
      <diagonal/>
    </border>
    <border>
      <left style="medium">
        <color indexed="64"/>
      </left>
      <right style="medium">
        <color indexed="64"/>
      </right>
      <top/>
      <bottom style="medium">
        <color indexed="64"/>
      </bottom>
      <diagonal/>
    </border>
    <border>
      <left/>
      <right style="thick">
        <color indexed="64"/>
      </right>
      <top/>
      <bottom/>
      <diagonal/>
    </border>
    <border>
      <left/>
      <right style="thick">
        <color indexed="64"/>
      </right>
      <top style="medium">
        <color auto="1"/>
      </top>
      <bottom style="medium">
        <color auto="1"/>
      </bottom>
      <diagonal/>
    </border>
    <border>
      <left/>
      <right style="thin">
        <color auto="1"/>
      </right>
      <top/>
      <bottom/>
      <diagonal/>
    </border>
    <border>
      <left style="thin">
        <color rgb="FFB2B2B2"/>
      </left>
      <right style="thin">
        <color rgb="FFB2B2B2"/>
      </right>
      <top style="thin">
        <color rgb="FFB2B2B2"/>
      </top>
      <bottom style="thin">
        <color rgb="FFB2B2B2"/>
      </bottom>
      <diagonal/>
    </border>
    <border>
      <left/>
      <right style="medium">
        <color auto="1"/>
      </right>
      <top style="medium">
        <color auto="1"/>
      </top>
      <bottom/>
      <diagonal/>
    </border>
    <border>
      <left/>
      <right style="thin">
        <color rgb="FFB2B2B2"/>
      </right>
      <top style="thin">
        <color rgb="FFB2B2B2"/>
      </top>
      <bottom style="thin">
        <color rgb="FFB2B2B2"/>
      </bottom>
      <diagonal/>
    </border>
    <border>
      <left/>
      <right style="thin">
        <color indexed="64"/>
      </right>
      <top style="medium">
        <color auto="1"/>
      </top>
      <bottom/>
      <diagonal/>
    </border>
    <border>
      <left style="thin">
        <color auto="1"/>
      </left>
      <right/>
      <top style="medium">
        <color auto="1"/>
      </top>
      <bottom/>
      <diagonal/>
    </border>
    <border>
      <left/>
      <right style="thin">
        <color auto="1"/>
      </right>
      <top/>
      <bottom style="medium">
        <color indexed="64"/>
      </bottom>
      <diagonal/>
    </border>
    <border>
      <left style="thin">
        <color auto="1"/>
      </left>
      <right/>
      <top/>
      <bottom style="medium">
        <color auto="1"/>
      </bottom>
      <diagonal/>
    </border>
    <border>
      <left/>
      <right/>
      <top/>
      <bottom style="thin">
        <color auto="1"/>
      </bottom>
      <diagonal/>
    </border>
  </borders>
  <cellStyleXfs count="13">
    <xf numFmtId="0" fontId="0" fillId="0" borderId="0"/>
    <xf numFmtId="0" fontId="29" fillId="8" borderId="0" applyNumberFormat="0" applyBorder="0" applyAlignment="0" applyProtection="0"/>
    <xf numFmtId="0" fontId="21" fillId="0" borderId="0"/>
    <xf numFmtId="0" fontId="36" fillId="10" borderId="0" applyNumberFormat="0" applyBorder="0" applyAlignment="0" applyProtection="0"/>
    <xf numFmtId="0" fontId="37" fillId="11" borderId="25" applyNumberFormat="0" applyAlignment="0" applyProtection="0"/>
    <xf numFmtId="0" fontId="38" fillId="12" borderId="0" applyNumberFormat="0" applyBorder="0" applyAlignment="0" applyProtection="0"/>
    <xf numFmtId="0" fontId="43" fillId="0" borderId="0"/>
    <xf numFmtId="0" fontId="49" fillId="0" borderId="0"/>
    <xf numFmtId="0" fontId="10" fillId="19" borderId="0" applyNumberFormat="0" applyBorder="0" applyAlignment="0" applyProtection="0"/>
    <xf numFmtId="0" fontId="52" fillId="0" borderId="0" applyNumberFormat="0" applyFill="0" applyBorder="0" applyAlignment="0" applyProtection="0"/>
    <xf numFmtId="0" fontId="10" fillId="18" borderId="30" applyNumberFormat="0" applyFont="0" applyAlignment="0" applyProtection="0"/>
    <xf numFmtId="0" fontId="61" fillId="21" borderId="0" applyNumberFormat="0" applyBorder="0" applyAlignment="0" applyProtection="0"/>
    <xf numFmtId="0" fontId="6" fillId="22" borderId="0" applyNumberFormat="0" applyBorder="0" applyAlignment="0" applyProtection="0"/>
  </cellStyleXfs>
  <cellXfs count="467">
    <xf numFmtId="0" fontId="0" fillId="0" borderId="0" xfId="0"/>
    <xf numFmtId="0" fontId="0" fillId="0" borderId="0" xfId="0" applyFill="1"/>
    <xf numFmtId="0" fontId="22" fillId="0" borderId="0" xfId="0" applyFont="1" applyFill="1"/>
    <xf numFmtId="0" fontId="22" fillId="0" borderId="0" xfId="0" applyFont="1" applyFill="1" applyAlignment="1">
      <alignment wrapText="1"/>
    </xf>
    <xf numFmtId="166" fontId="22" fillId="0" borderId="0" xfId="0" applyNumberFormat="1" applyFont="1" applyFill="1"/>
    <xf numFmtId="166" fontId="0" fillId="0" borderId="0" xfId="0" applyNumberFormat="1"/>
    <xf numFmtId="166" fontId="22" fillId="0" borderId="0" xfId="0" applyNumberFormat="1" applyFont="1" applyFill="1" applyAlignment="1">
      <alignment wrapText="1"/>
    </xf>
    <xf numFmtId="0" fontId="24" fillId="0" borderId="1" xfId="0" applyFont="1" applyFill="1" applyBorder="1" applyAlignment="1">
      <alignment horizontal="center" vertical="center" wrapText="1"/>
    </xf>
    <xf numFmtId="165" fontId="0" fillId="0" borderId="1" xfId="0" applyNumberFormat="1" applyFont="1" applyFill="1" applyBorder="1" applyAlignment="1">
      <alignment horizontal="center" vertical="center" wrapText="1"/>
    </xf>
    <xf numFmtId="0" fontId="0" fillId="0" borderId="1" xfId="0" applyFont="1" applyFill="1" applyBorder="1" applyAlignment="1">
      <alignment horizontal="center" vertical="center" wrapText="1"/>
    </xf>
    <xf numFmtId="0" fontId="0" fillId="0" borderId="0" xfId="0" applyFont="1" applyFill="1" applyBorder="1" applyAlignment="1">
      <alignment horizontal="center" vertical="center"/>
    </xf>
    <xf numFmtId="0" fontId="22" fillId="0" borderId="0" xfId="0" applyFont="1" applyFill="1" applyAlignment="1">
      <alignment horizontal="left"/>
    </xf>
    <xf numFmtId="167" fontId="0" fillId="0" borderId="1" xfId="0" applyNumberFormat="1" applyFont="1" applyFill="1" applyBorder="1" applyAlignment="1">
      <alignment horizontal="center" vertical="center" wrapText="1"/>
    </xf>
    <xf numFmtId="166" fontId="0" fillId="0" borderId="1" xfId="0" applyNumberFormat="1" applyFont="1" applyFill="1" applyBorder="1" applyAlignment="1">
      <alignment horizontal="center" vertical="center" wrapText="1"/>
    </xf>
    <xf numFmtId="0" fontId="0" fillId="0" borderId="2" xfId="0" applyFont="1" applyFill="1" applyBorder="1" applyAlignment="1">
      <alignment horizontal="center" vertical="center" wrapText="1"/>
    </xf>
    <xf numFmtId="0" fontId="0" fillId="0" borderId="3" xfId="0" applyFont="1" applyFill="1" applyBorder="1" applyAlignment="1">
      <alignment horizontal="center" vertical="center" wrapText="1"/>
    </xf>
    <xf numFmtId="14" fontId="0" fillId="0" borderId="0" xfId="0" applyNumberFormat="1"/>
    <xf numFmtId="1" fontId="0" fillId="0" borderId="0" xfId="0" applyNumberFormat="1"/>
    <xf numFmtId="0" fontId="0" fillId="2" borderId="0" xfId="0" applyFill="1"/>
    <xf numFmtId="14" fontId="0" fillId="2" borderId="0" xfId="0" applyNumberFormat="1" applyFill="1"/>
    <xf numFmtId="1" fontId="0" fillId="2" borderId="0" xfId="0" applyNumberFormat="1" applyFill="1"/>
    <xf numFmtId="0" fontId="28" fillId="3" borderId="0" xfId="0" applyFont="1" applyFill="1"/>
    <xf numFmtId="14" fontId="28" fillId="3" borderId="0" xfId="0" applyNumberFormat="1" applyFont="1" applyFill="1"/>
    <xf numFmtId="1" fontId="28" fillId="3" borderId="0" xfId="0" applyNumberFormat="1" applyFont="1" applyFill="1"/>
    <xf numFmtId="0" fontId="0" fillId="3" borderId="0" xfId="0" applyFill="1"/>
    <xf numFmtId="1" fontId="0" fillId="3" borderId="0" xfId="0" applyNumberFormat="1" applyFill="1"/>
    <xf numFmtId="0" fontId="25" fillId="0" borderId="0" xfId="0" applyFont="1" applyFill="1" applyBorder="1"/>
    <xf numFmtId="0" fontId="22" fillId="0" borderId="0" xfId="0" applyFont="1" applyFill="1" applyBorder="1" applyAlignment="1">
      <alignment horizontal="left" wrapText="1"/>
    </xf>
    <xf numFmtId="0" fontId="22" fillId="0" borderId="4" xfId="0" applyFont="1" applyFill="1" applyBorder="1" applyAlignment="1">
      <alignment horizontal="left" wrapText="1"/>
    </xf>
    <xf numFmtId="0" fontId="22" fillId="0" borderId="5" xfId="0" applyFont="1" applyFill="1" applyBorder="1" applyAlignment="1">
      <alignment horizontal="left" wrapText="1"/>
    </xf>
    <xf numFmtId="0" fontId="0" fillId="0" borderId="0" xfId="0" applyAlignment="1">
      <alignment horizontal="left"/>
    </xf>
    <xf numFmtId="166" fontId="0" fillId="0" borderId="0" xfId="0" applyNumberFormat="1" applyAlignment="1">
      <alignment horizontal="left"/>
    </xf>
    <xf numFmtId="0" fontId="22" fillId="0" borderId="0" xfId="0" applyFont="1" applyFill="1" applyAlignment="1">
      <alignment horizontal="left" wrapText="1"/>
    </xf>
    <xf numFmtId="166" fontId="22" fillId="0" borderId="0" xfId="0" applyNumberFormat="1" applyFont="1" applyFill="1" applyAlignment="1">
      <alignment horizontal="left" wrapText="1"/>
    </xf>
    <xf numFmtId="166" fontId="22" fillId="0" borderId="0" xfId="0" applyNumberFormat="1" applyFont="1" applyFill="1" applyAlignment="1">
      <alignment horizontal="left"/>
    </xf>
    <xf numFmtId="0" fontId="25" fillId="0" borderId="6" xfId="0" applyFont="1" applyFill="1" applyBorder="1" applyAlignment="1">
      <alignment horizontal="left"/>
    </xf>
    <xf numFmtId="166" fontId="0" fillId="0" borderId="0" xfId="0" applyNumberFormat="1" applyAlignment="1">
      <alignment horizontal="left" wrapText="1"/>
    </xf>
    <xf numFmtId="0" fontId="0" fillId="0" borderId="0" xfId="0" applyFill="1" applyBorder="1" applyAlignment="1">
      <alignment horizontal="left"/>
    </xf>
    <xf numFmtId="0" fontId="22" fillId="2" borderId="0" xfId="0" applyFont="1" applyFill="1"/>
    <xf numFmtId="14" fontId="22" fillId="2" borderId="0" xfId="0" applyNumberFormat="1" applyFont="1" applyFill="1"/>
    <xf numFmtId="1" fontId="22" fillId="2" borderId="0" xfId="0" applyNumberFormat="1" applyFont="1" applyFill="1"/>
    <xf numFmtId="0" fontId="28" fillId="3" borderId="0" xfId="0" applyFont="1" applyFill="1" applyAlignment="1">
      <alignment wrapText="1"/>
    </xf>
    <xf numFmtId="168" fontId="0" fillId="0" borderId="0" xfId="0" applyNumberFormat="1"/>
    <xf numFmtId="0" fontId="28" fillId="2" borderId="0" xfId="0" applyFont="1" applyFill="1"/>
    <xf numFmtId="14" fontId="28" fillId="2" borderId="0" xfId="0" applyNumberFormat="1" applyFont="1" applyFill="1"/>
    <xf numFmtId="1" fontId="28" fillId="2" borderId="0" xfId="0" applyNumberFormat="1" applyFont="1" applyFill="1"/>
    <xf numFmtId="0" fontId="28" fillId="2" borderId="0" xfId="0" applyFont="1" applyFill="1" applyAlignment="1">
      <alignment wrapText="1"/>
    </xf>
    <xf numFmtId="0" fontId="0" fillId="2" borderId="0" xfId="0" applyFill="1" applyAlignment="1">
      <alignment wrapText="1"/>
    </xf>
    <xf numFmtId="0" fontId="0" fillId="2" borderId="0" xfId="0" applyFill="1" applyAlignment="1">
      <alignment horizontal="left"/>
    </xf>
    <xf numFmtId="0" fontId="0" fillId="2" borderId="0" xfId="0" applyFill="1" applyAlignment="1">
      <alignment horizontal="left" wrapText="1"/>
    </xf>
    <xf numFmtId="0" fontId="22" fillId="4" borderId="0" xfId="0" applyFont="1" applyFill="1" applyBorder="1" applyAlignment="1">
      <alignment horizontal="left"/>
    </xf>
    <xf numFmtId="0" fontId="0" fillId="0" borderId="0" xfId="0" applyAlignment="1">
      <alignment horizontal="left" vertical="center" indent="1"/>
    </xf>
    <xf numFmtId="166" fontId="22" fillId="0" borderId="7" xfId="0" applyNumberFormat="1" applyFont="1" applyFill="1" applyBorder="1" applyAlignment="1">
      <alignment wrapText="1"/>
    </xf>
    <xf numFmtId="0" fontId="0" fillId="3" borderId="0" xfId="0" applyFill="1" applyAlignment="1">
      <alignment horizontal="left" wrapText="1"/>
    </xf>
    <xf numFmtId="0" fontId="0" fillId="3" borderId="0" xfId="0" applyFill="1" applyAlignment="1">
      <alignment horizontal="left"/>
    </xf>
    <xf numFmtId="0" fontId="0" fillId="5" borderId="0" xfId="0" applyFill="1"/>
    <xf numFmtId="1" fontId="0" fillId="5" borderId="0" xfId="0" applyNumberFormat="1" applyFill="1"/>
    <xf numFmtId="14" fontId="0" fillId="5" borderId="0" xfId="0" applyNumberFormat="1" applyFill="1"/>
    <xf numFmtId="0" fontId="0" fillId="0" borderId="0" xfId="0" applyFill="1" applyAlignment="1">
      <alignment horizontal="left" vertical="center" indent="1"/>
    </xf>
    <xf numFmtId="14" fontId="0" fillId="2" borderId="0" xfId="0" applyNumberFormat="1" applyFill="1" applyBorder="1"/>
    <xf numFmtId="0" fontId="25" fillId="0" borderId="5" xfId="0" applyFont="1" applyFill="1" applyBorder="1"/>
    <xf numFmtId="0" fontId="22" fillId="0" borderId="0" xfId="0" applyFont="1" applyFill="1" applyBorder="1"/>
    <xf numFmtId="0" fontId="22" fillId="0" borderId="4" xfId="0" applyFont="1" applyFill="1" applyBorder="1"/>
    <xf numFmtId="0" fontId="22" fillId="2" borderId="0" xfId="0" applyFont="1" applyFill="1" applyAlignment="1">
      <alignment wrapText="1"/>
    </xf>
    <xf numFmtId="0" fontId="22" fillId="0" borderId="8" xfId="0" applyFont="1" applyFill="1" applyBorder="1" applyAlignment="1">
      <alignment horizontal="left"/>
    </xf>
    <xf numFmtId="0" fontId="22" fillId="0" borderId="0" xfId="0" applyFont="1" applyFill="1" applyBorder="1" applyAlignment="1">
      <alignment horizontal="left"/>
    </xf>
    <xf numFmtId="0" fontId="22" fillId="0" borderId="6" xfId="0" applyFont="1" applyFill="1" applyBorder="1" applyAlignment="1">
      <alignment horizontal="left"/>
    </xf>
    <xf numFmtId="0" fontId="22" fillId="0" borderId="5" xfId="0" applyFont="1" applyFill="1" applyBorder="1" applyAlignment="1">
      <alignment horizontal="left"/>
    </xf>
    <xf numFmtId="0" fontId="22" fillId="0" borderId="9" xfId="0" applyFont="1" applyFill="1" applyBorder="1" applyAlignment="1">
      <alignment horizontal="left"/>
    </xf>
    <xf numFmtId="0" fontId="22" fillId="0" borderId="4" xfId="0" applyFont="1" applyFill="1" applyBorder="1" applyAlignment="1">
      <alignment horizontal="left"/>
    </xf>
    <xf numFmtId="0" fontId="0" fillId="0" borderId="2" xfId="0" applyFont="1" applyFill="1" applyBorder="1" applyAlignment="1" applyProtection="1">
      <alignment horizontal="center" vertical="center" wrapText="1"/>
    </xf>
    <xf numFmtId="0" fontId="22" fillId="0" borderId="8" xfId="0" applyFont="1" applyFill="1" applyBorder="1" applyAlignment="1" applyProtection="1">
      <alignment horizontal="left"/>
      <protection locked="0"/>
    </xf>
    <xf numFmtId="0" fontId="22" fillId="6" borderId="3" xfId="0" applyFont="1" applyFill="1" applyBorder="1" applyProtection="1">
      <protection locked="0"/>
    </xf>
    <xf numFmtId="0" fontId="22" fillId="6" borderId="7" xfId="0" applyFont="1" applyFill="1" applyBorder="1" applyProtection="1">
      <protection locked="0"/>
    </xf>
    <xf numFmtId="0" fontId="22" fillId="6" borderId="12" xfId="0" applyFont="1" applyFill="1" applyBorder="1" applyProtection="1">
      <protection locked="0"/>
    </xf>
    <xf numFmtId="167" fontId="22" fillId="6" borderId="7" xfId="0" applyNumberFormat="1" applyFont="1" applyFill="1" applyBorder="1" applyProtection="1">
      <protection locked="0"/>
    </xf>
    <xf numFmtId="166" fontId="22" fillId="6" borderId="7" xfId="0" applyNumberFormat="1" applyFont="1" applyFill="1" applyBorder="1" applyProtection="1">
      <protection locked="0"/>
    </xf>
    <xf numFmtId="0" fontId="0" fillId="4" borderId="0" xfId="0" applyFill="1" applyAlignment="1">
      <alignment horizontal="left"/>
    </xf>
    <xf numFmtId="0" fontId="0" fillId="7" borderId="0" xfId="0" applyFill="1" applyAlignment="1">
      <alignment horizontal="left"/>
    </xf>
    <xf numFmtId="0" fontId="0" fillId="0" borderId="0" xfId="0" applyFill="1" applyAlignment="1">
      <alignment horizontal="left"/>
    </xf>
    <xf numFmtId="0" fontId="24" fillId="0" borderId="0" xfId="0" applyFont="1" applyAlignment="1">
      <alignment horizontal="left"/>
    </xf>
    <xf numFmtId="0" fontId="25" fillId="0" borderId="0" xfId="0" applyFont="1" applyFill="1" applyAlignment="1">
      <alignment horizontal="left" wrapText="1"/>
    </xf>
    <xf numFmtId="0" fontId="25" fillId="0" borderId="3" xfId="0" applyFont="1" applyFill="1" applyBorder="1" applyAlignment="1">
      <alignment horizontal="left"/>
    </xf>
    <xf numFmtId="0" fontId="22" fillId="0" borderId="7" xfId="0" applyFont="1" applyFill="1" applyBorder="1" applyAlignment="1">
      <alignment horizontal="left"/>
    </xf>
    <xf numFmtId="0" fontId="22" fillId="0" borderId="12" xfId="0" applyFont="1" applyFill="1" applyBorder="1" applyAlignment="1">
      <alignment horizontal="left"/>
    </xf>
    <xf numFmtId="0" fontId="22" fillId="0" borderId="10" xfId="0" applyFont="1" applyFill="1" applyBorder="1"/>
    <xf numFmtId="164" fontId="22" fillId="0" borderId="10" xfId="0" applyNumberFormat="1" applyFont="1" applyFill="1" applyBorder="1"/>
    <xf numFmtId="0" fontId="22" fillId="4" borderId="4" xfId="0" applyFont="1" applyFill="1" applyBorder="1" applyAlignment="1">
      <alignment horizontal="left"/>
    </xf>
    <xf numFmtId="0" fontId="25" fillId="0" borderId="0" xfId="0" applyFont="1" applyFill="1" applyAlignment="1">
      <alignment horizontal="left"/>
    </xf>
    <xf numFmtId="0" fontId="22" fillId="0" borderId="8" xfId="0" applyFont="1" applyFill="1" applyBorder="1"/>
    <xf numFmtId="0" fontId="0" fillId="0" borderId="0" xfId="0" applyFill="1" applyBorder="1"/>
    <xf numFmtId="0" fontId="0" fillId="0" borderId="8" xfId="0" applyBorder="1"/>
    <xf numFmtId="0" fontId="0" fillId="0" borderId="0" xfId="0" applyBorder="1"/>
    <xf numFmtId="0" fontId="25" fillId="0" borderId="8" xfId="0" applyFont="1" applyFill="1" applyBorder="1"/>
    <xf numFmtId="0" fontId="22" fillId="0" borderId="7" xfId="0" applyFont="1" applyFill="1" applyBorder="1"/>
    <xf numFmtId="0" fontId="22" fillId="0" borderId="12" xfId="0" applyFont="1" applyFill="1" applyBorder="1"/>
    <xf numFmtId="0" fontId="25" fillId="0" borderId="9" xfId="0" applyFont="1" applyFill="1" applyBorder="1"/>
    <xf numFmtId="0" fontId="22" fillId="0" borderId="11" xfId="0" applyFont="1" applyFill="1" applyBorder="1"/>
    <xf numFmtId="0" fontId="0" fillId="0" borderId="3" xfId="0" applyBorder="1" applyAlignment="1">
      <alignment horizontal="left"/>
    </xf>
    <xf numFmtId="166" fontId="0" fillId="0" borderId="7" xfId="0" applyNumberFormat="1" applyBorder="1" applyAlignment="1">
      <alignment horizontal="left"/>
    </xf>
    <xf numFmtId="166" fontId="0" fillId="0" borderId="7" xfId="0" applyNumberFormat="1" applyBorder="1"/>
    <xf numFmtId="0" fontId="0" fillId="0" borderId="0" xfId="0" applyFont="1" applyFill="1" applyBorder="1" applyAlignment="1">
      <alignment horizontal="left" vertical="center" wrapText="1"/>
    </xf>
    <xf numFmtId="167" fontId="0" fillId="0" borderId="0" xfId="0" applyNumberFormat="1" applyFont="1" applyFill="1" applyBorder="1" applyAlignment="1">
      <alignment horizontal="left" vertical="center" wrapText="1"/>
    </xf>
    <xf numFmtId="165" fontId="0" fillId="0" borderId="0" xfId="0" applyNumberFormat="1" applyFont="1" applyFill="1" applyBorder="1" applyAlignment="1">
      <alignment horizontal="left" vertical="center" wrapText="1"/>
    </xf>
    <xf numFmtId="166" fontId="0" fillId="0" borderId="0" xfId="0" applyNumberFormat="1" applyFont="1" applyFill="1" applyBorder="1" applyAlignment="1">
      <alignment horizontal="left" vertical="center" wrapText="1"/>
    </xf>
    <xf numFmtId="0" fontId="22" fillId="3" borderId="0" xfId="0" applyFont="1" applyFill="1"/>
    <xf numFmtId="14" fontId="22" fillId="3" borderId="0" xfId="0" applyNumberFormat="1" applyFont="1" applyFill="1"/>
    <xf numFmtId="1" fontId="22" fillId="3" borderId="0" xfId="0" applyNumberFormat="1" applyFont="1" applyFill="1"/>
    <xf numFmtId="14" fontId="0" fillId="3" borderId="0" xfId="0" applyNumberFormat="1" applyFill="1"/>
    <xf numFmtId="0" fontId="0" fillId="0" borderId="7" xfId="0" applyFont="1" applyFill="1" applyBorder="1" applyAlignment="1" applyProtection="1">
      <alignment horizontal="center" vertical="center" wrapText="1"/>
    </xf>
    <xf numFmtId="0" fontId="21" fillId="0" borderId="0" xfId="2"/>
    <xf numFmtId="0" fontId="27" fillId="0" borderId="0" xfId="2" applyFont="1"/>
    <xf numFmtId="14" fontId="21" fillId="0" borderId="0" xfId="2" applyNumberFormat="1"/>
    <xf numFmtId="0" fontId="29" fillId="8" borderId="0" xfId="1"/>
    <xf numFmtId="14" fontId="29" fillId="8" borderId="0" xfId="1" applyNumberFormat="1"/>
    <xf numFmtId="0" fontId="21" fillId="0" borderId="0" xfId="2" applyFont="1"/>
    <xf numFmtId="2" fontId="21" fillId="0" borderId="0" xfId="2" applyNumberFormat="1"/>
    <xf numFmtId="0" fontId="27" fillId="9" borderId="17" xfId="0" applyFont="1" applyFill="1" applyBorder="1"/>
    <xf numFmtId="0" fontId="27" fillId="9" borderId="17" xfId="0" applyFont="1" applyFill="1" applyBorder="1" applyAlignment="1">
      <alignment horizontal="center"/>
    </xf>
    <xf numFmtId="0" fontId="27" fillId="9" borderId="17" xfId="0" applyFont="1" applyFill="1" applyBorder="1" applyAlignment="1">
      <alignment horizontal="center" vertical="center"/>
    </xf>
    <xf numFmtId="0" fontId="30" fillId="9" borderId="17" xfId="0" applyFont="1" applyFill="1" applyBorder="1" applyAlignment="1">
      <alignment horizontal="center"/>
    </xf>
    <xf numFmtId="0" fontId="27" fillId="0" borderId="17" xfId="0" applyFont="1" applyBorder="1"/>
    <xf numFmtId="0" fontId="0" fillId="0" borderId="17" xfId="0" applyBorder="1" applyAlignment="1">
      <alignment horizontal="center" vertical="center"/>
    </xf>
    <xf numFmtId="0" fontId="0" fillId="0" borderId="17" xfId="0" applyBorder="1"/>
    <xf numFmtId="14" fontId="0" fillId="0" borderId="17" xfId="0" applyNumberFormat="1" applyBorder="1"/>
    <xf numFmtId="20" fontId="0" fillId="0" borderId="17" xfId="0" applyNumberFormat="1" applyBorder="1"/>
    <xf numFmtId="0" fontId="0" fillId="0" borderId="17" xfId="0" applyBorder="1" applyAlignment="1">
      <alignment horizontal="center"/>
    </xf>
    <xf numFmtId="0" fontId="0" fillId="0" borderId="17" xfId="0" applyNumberFormat="1" applyBorder="1"/>
    <xf numFmtId="2" fontId="0" fillId="0" borderId="17" xfId="0" applyNumberFormat="1" applyBorder="1"/>
    <xf numFmtId="0" fontId="31" fillId="0" borderId="17" xfId="0" applyFont="1" applyBorder="1"/>
    <xf numFmtId="0" fontId="0" fillId="0" borderId="17" xfId="0" applyBorder="1" applyAlignment="1">
      <alignment wrapText="1"/>
    </xf>
    <xf numFmtId="0" fontId="0" fillId="0" borderId="17" xfId="0" applyBorder="1" applyAlignment="1">
      <alignment horizontal="center" vertical="center" wrapText="1"/>
    </xf>
    <xf numFmtId="0" fontId="32" fillId="0" borderId="17" xfId="0" applyFont="1" applyBorder="1"/>
    <xf numFmtId="0" fontId="0" fillId="0" borderId="17" xfId="0" applyFill="1" applyBorder="1" applyAlignment="1">
      <alignment horizontal="center" vertical="center"/>
    </xf>
    <xf numFmtId="0" fontId="27" fillId="0" borderId="14" xfId="0" applyFont="1" applyBorder="1"/>
    <xf numFmtId="0" fontId="27" fillId="9" borderId="17" xfId="0" applyFont="1" applyFill="1" applyBorder="1" applyAlignment="1"/>
    <xf numFmtId="0" fontId="0" fillId="0" borderId="15" xfId="0" applyBorder="1" applyAlignment="1">
      <alignment horizontal="center" vertical="center"/>
    </xf>
    <xf numFmtId="0" fontId="0" fillId="0" borderId="16" xfId="0" applyBorder="1" applyAlignment="1">
      <alignment horizontal="center" vertical="center"/>
    </xf>
    <xf numFmtId="0" fontId="0" fillId="0" borderId="14" xfId="0" applyBorder="1"/>
    <xf numFmtId="0" fontId="0" fillId="0" borderId="16" xfId="0" applyBorder="1"/>
    <xf numFmtId="14" fontId="0" fillId="0" borderId="14" xfId="0" applyNumberFormat="1" applyBorder="1"/>
    <xf numFmtId="20" fontId="0" fillId="0" borderId="16" xfId="0" applyNumberFormat="1" applyBorder="1"/>
    <xf numFmtId="0" fontId="0" fillId="0" borderId="15" xfId="0" applyBorder="1"/>
    <xf numFmtId="0" fontId="31" fillId="0" borderId="17" xfId="0" applyFont="1" applyFill="1" applyBorder="1"/>
    <xf numFmtId="0" fontId="0" fillId="0" borderId="24" xfId="0" applyBorder="1"/>
    <xf numFmtId="0" fontId="0" fillId="0" borderId="17" xfId="0" applyFill="1" applyBorder="1"/>
    <xf numFmtId="0" fontId="0" fillId="0" borderId="18" xfId="0" applyBorder="1"/>
    <xf numFmtId="0" fontId="27" fillId="9" borderId="17" xfId="0" applyFont="1" applyFill="1" applyBorder="1" applyAlignment="1">
      <alignment vertical="center"/>
    </xf>
    <xf numFmtId="0" fontId="0" fillId="0" borderId="19" xfId="0" applyBorder="1" applyAlignment="1">
      <alignment horizontal="center"/>
    </xf>
    <xf numFmtId="0" fontId="0" fillId="0" borderId="20" xfId="0" applyBorder="1" applyAlignment="1">
      <alignment horizontal="center"/>
    </xf>
    <xf numFmtId="0" fontId="30" fillId="9" borderId="17" xfId="0" applyFont="1" applyFill="1" applyBorder="1" applyAlignment="1"/>
    <xf numFmtId="0" fontId="0" fillId="0" borderId="17" xfId="0" applyFill="1" applyBorder="1" applyAlignment="1">
      <alignment horizontal="center"/>
    </xf>
    <xf numFmtId="0" fontId="0" fillId="0" borderId="24" xfId="0" applyBorder="1" applyAlignment="1">
      <alignment horizontal="center"/>
    </xf>
    <xf numFmtId="0" fontId="0" fillId="0" borderId="23" xfId="0" applyBorder="1"/>
    <xf numFmtId="0" fontId="0" fillId="0" borderId="21" xfId="0" applyBorder="1"/>
    <xf numFmtId="0" fontId="30" fillId="9" borderId="17" xfId="0" applyFont="1" applyFill="1" applyBorder="1" applyAlignment="1">
      <alignment vertical="center"/>
    </xf>
    <xf numFmtId="0" fontId="0" fillId="0" borderId="22" xfId="0" applyBorder="1"/>
    <xf numFmtId="0" fontId="0" fillId="0" borderId="0" xfId="0" applyFill="1" applyBorder="1" applyAlignment="1">
      <alignment horizontal="center"/>
    </xf>
    <xf numFmtId="0" fontId="27" fillId="0" borderId="0" xfId="0" applyFont="1" applyBorder="1" applyAlignment="1">
      <alignment vertical="center"/>
    </xf>
    <xf numFmtId="0" fontId="31" fillId="0" borderId="24" xfId="0" applyFont="1" applyBorder="1"/>
    <xf numFmtId="0" fontId="0" fillId="0" borderId="18" xfId="0" applyFont="1" applyBorder="1" applyAlignment="1">
      <alignment horizontal="center"/>
    </xf>
    <xf numFmtId="0" fontId="0" fillId="0" borderId="18" xfId="0" applyNumberFormat="1" applyBorder="1"/>
    <xf numFmtId="0" fontId="0" fillId="0" borderId="23" xfId="0" applyBorder="1" applyAlignment="1">
      <alignment horizontal="center"/>
    </xf>
    <xf numFmtId="0" fontId="0" fillId="0" borderId="24" xfId="0" applyFill="1" applyBorder="1"/>
    <xf numFmtId="0" fontId="29" fillId="8" borderId="17" xfId="1" applyBorder="1"/>
    <xf numFmtId="0" fontId="24" fillId="0" borderId="0" xfId="0" applyFont="1"/>
    <xf numFmtId="0" fontId="20" fillId="0" borderId="0" xfId="2" applyFont="1"/>
    <xf numFmtId="0" fontId="19" fillId="0" borderId="0" xfId="2" applyFont="1"/>
    <xf numFmtId="0" fontId="36" fillId="10" borderId="17" xfId="3" applyBorder="1"/>
    <xf numFmtId="0" fontId="36" fillId="10" borderId="17" xfId="3" applyBorder="1" applyAlignment="1">
      <alignment horizontal="center" vertical="center"/>
    </xf>
    <xf numFmtId="14" fontId="36" fillId="10" borderId="17" xfId="3" applyNumberFormat="1" applyBorder="1"/>
    <xf numFmtId="0" fontId="36" fillId="10" borderId="17" xfId="3" applyBorder="1" applyAlignment="1">
      <alignment horizontal="center"/>
    </xf>
    <xf numFmtId="14" fontId="36" fillId="10" borderId="14" xfId="3" applyNumberFormat="1" applyBorder="1"/>
    <xf numFmtId="20" fontId="36" fillId="10" borderId="17" xfId="3" applyNumberFormat="1" applyBorder="1"/>
    <xf numFmtId="0" fontId="36" fillId="10" borderId="17" xfId="3" applyNumberFormat="1" applyBorder="1"/>
    <xf numFmtId="0" fontId="37" fillId="11" borderId="25" xfId="4"/>
    <xf numFmtId="14" fontId="37" fillId="11" borderId="25" xfId="4" applyNumberFormat="1"/>
    <xf numFmtId="0" fontId="38" fillId="12" borderId="17" xfId="5" applyBorder="1"/>
    <xf numFmtId="0" fontId="18" fillId="0" borderId="0" xfId="2" applyFont="1"/>
    <xf numFmtId="0" fontId="38" fillId="12" borderId="0" xfId="5"/>
    <xf numFmtId="0" fontId="36" fillId="10" borderId="0" xfId="3"/>
    <xf numFmtId="0" fontId="17" fillId="0" borderId="0" xfId="2" applyFont="1"/>
    <xf numFmtId="0" fontId="16" fillId="0" borderId="17" xfId="0" applyFont="1" applyBorder="1"/>
    <xf numFmtId="0" fontId="16" fillId="0" borderId="0" xfId="2" applyFont="1"/>
    <xf numFmtId="0" fontId="0" fillId="0" borderId="17" xfId="0" applyBorder="1" applyAlignment="1">
      <alignment horizontal="left" vertical="center"/>
    </xf>
    <xf numFmtId="0" fontId="39" fillId="0" borderId="17" xfId="0" applyFont="1" applyBorder="1"/>
    <xf numFmtId="0" fontId="0" fillId="0" borderId="17" xfId="0" applyBorder="1" applyAlignment="1">
      <alignment horizontal="left" vertical="center" wrapText="1"/>
    </xf>
    <xf numFmtId="0" fontId="0" fillId="9" borderId="17" xfId="0" applyFont="1" applyFill="1" applyBorder="1"/>
    <xf numFmtId="0" fontId="27" fillId="0" borderId="17" xfId="0" applyFont="1" applyBorder="1" applyAlignment="1">
      <alignment horizontal="left"/>
    </xf>
    <xf numFmtId="0" fontId="0" fillId="0" borderId="17" xfId="0" applyFill="1" applyBorder="1" applyAlignment="1">
      <alignment horizontal="left" vertical="center"/>
    </xf>
    <xf numFmtId="49" fontId="0" fillId="0" borderId="17" xfId="0" applyNumberFormat="1" applyFill="1" applyBorder="1" applyAlignment="1">
      <alignment horizontal="center" vertical="center"/>
    </xf>
    <xf numFmtId="0" fontId="0" fillId="0" borderId="17" xfId="0" applyFont="1" applyBorder="1"/>
    <xf numFmtId="0" fontId="27" fillId="9" borderId="17" xfId="0" applyFont="1" applyFill="1" applyBorder="1" applyAlignment="1">
      <alignment horizontal="left" vertical="top"/>
    </xf>
    <xf numFmtId="0" fontId="0" fillId="0" borderId="17" xfId="0" applyBorder="1" applyAlignment="1">
      <alignment horizontal="right"/>
    </xf>
    <xf numFmtId="164" fontId="0" fillId="0" borderId="0" xfId="0" applyNumberFormat="1"/>
    <xf numFmtId="0" fontId="41" fillId="12" borderId="0" xfId="5" applyFont="1"/>
    <xf numFmtId="0" fontId="43" fillId="0" borderId="0" xfId="6"/>
    <xf numFmtId="0" fontId="40" fillId="0" borderId="0" xfId="6" applyFont="1"/>
    <xf numFmtId="0" fontId="14" fillId="0" borderId="0" xfId="6" applyFont="1"/>
    <xf numFmtId="0" fontId="24" fillId="0" borderId="0" xfId="6" applyFont="1"/>
    <xf numFmtId="0" fontId="43" fillId="0" borderId="0" xfId="6" applyFill="1"/>
    <xf numFmtId="0" fontId="43" fillId="0" borderId="0" xfId="6" applyFont="1" applyFill="1"/>
    <xf numFmtId="22" fontId="43" fillId="0" borderId="0" xfId="6" applyNumberFormat="1" applyFill="1"/>
    <xf numFmtId="14" fontId="43" fillId="0" borderId="0" xfId="6" applyNumberFormat="1"/>
    <xf numFmtId="14" fontId="43" fillId="0" borderId="0" xfId="6" applyNumberFormat="1" applyFill="1"/>
    <xf numFmtId="0" fontId="43" fillId="0" borderId="0" xfId="6" applyFont="1"/>
    <xf numFmtId="22" fontId="43" fillId="0" borderId="0" xfId="6" applyNumberFormat="1"/>
    <xf numFmtId="0" fontId="43" fillId="0" borderId="0" xfId="6" applyFont="1" applyAlignment="1">
      <alignment wrapText="1"/>
    </xf>
    <xf numFmtId="0" fontId="43" fillId="13" borderId="0" xfId="6" applyFill="1" applyAlignment="1">
      <alignment horizontal="center"/>
    </xf>
    <xf numFmtId="0" fontId="32" fillId="14" borderId="23" xfId="6" applyFont="1" applyFill="1" applyBorder="1" applyAlignment="1">
      <alignment horizontal="center" wrapText="1"/>
    </xf>
    <xf numFmtId="0" fontId="32" fillId="14" borderId="17" xfId="6" applyFont="1" applyFill="1" applyBorder="1" applyAlignment="1">
      <alignment horizontal="center" wrapText="1"/>
    </xf>
    <xf numFmtId="0" fontId="27" fillId="0" borderId="0" xfId="6" applyFont="1"/>
    <xf numFmtId="0" fontId="43" fillId="0" borderId="0" xfId="6" applyAlignment="1">
      <alignment horizontal="center"/>
    </xf>
    <xf numFmtId="0" fontId="44" fillId="0" borderId="11" xfId="6" applyFont="1" applyBorder="1" applyAlignment="1">
      <alignment vertical="center" wrapText="1"/>
    </xf>
    <xf numFmtId="14" fontId="44" fillId="0" borderId="11" xfId="6" applyNumberFormat="1" applyFont="1" applyBorder="1" applyAlignment="1">
      <alignment vertical="center" wrapText="1"/>
    </xf>
    <xf numFmtId="0" fontId="44" fillId="0" borderId="26" xfId="6" applyFont="1" applyBorder="1" applyAlignment="1">
      <alignment vertical="center" wrapText="1"/>
    </xf>
    <xf numFmtId="0" fontId="44" fillId="0" borderId="12" xfId="6" applyFont="1" applyBorder="1" applyAlignment="1">
      <alignment vertical="center" wrapText="1"/>
    </xf>
    <xf numFmtId="0" fontId="44" fillId="0" borderId="13" xfId="6" applyFont="1" applyBorder="1" applyAlignment="1">
      <alignment vertical="center" wrapText="1"/>
    </xf>
    <xf numFmtId="0" fontId="44" fillId="0" borderId="0" xfId="6" applyFont="1" applyAlignment="1">
      <alignment horizontal="left" vertical="center" indent="5"/>
    </xf>
    <xf numFmtId="0" fontId="44" fillId="0" borderId="0" xfId="6" applyFont="1" applyAlignment="1">
      <alignment vertical="center"/>
    </xf>
    <xf numFmtId="0" fontId="47" fillId="0" borderId="0" xfId="6" applyFont="1" applyAlignment="1">
      <alignment vertical="center"/>
    </xf>
    <xf numFmtId="0" fontId="0" fillId="0" borderId="0" xfId="0" applyAlignment="1"/>
    <xf numFmtId="0" fontId="0" fillId="0" borderId="27" xfId="0" applyBorder="1" applyAlignment="1"/>
    <xf numFmtId="164" fontId="0" fillId="0" borderId="0" xfId="0" applyNumberFormat="1" applyAlignment="1"/>
    <xf numFmtId="14" fontId="0" fillId="0" borderId="0" xfId="0" applyNumberFormat="1" applyAlignment="1"/>
    <xf numFmtId="1" fontId="0" fillId="0" borderId="0" xfId="0" applyNumberFormat="1" applyAlignment="1"/>
    <xf numFmtId="2" fontId="48" fillId="0" borderId="0" xfId="0" quotePrefix="1" applyNumberFormat="1" applyFont="1" applyFill="1" applyBorder="1" applyAlignment="1">
      <alignment horizontal="left" vertical="center"/>
    </xf>
    <xf numFmtId="0" fontId="48" fillId="0" borderId="0" xfId="0" applyFont="1" applyFill="1" applyBorder="1" applyAlignment="1">
      <alignment horizontal="left"/>
    </xf>
    <xf numFmtId="0" fontId="0" fillId="0" borderId="28" xfId="0" applyFont="1" applyFill="1" applyBorder="1" applyAlignment="1" applyProtection="1">
      <alignment horizontal="center" vertical="center" wrapText="1"/>
    </xf>
    <xf numFmtId="14" fontId="22" fillId="0" borderId="2" xfId="0" applyNumberFormat="1" applyFont="1" applyFill="1" applyBorder="1" applyAlignment="1" applyProtection="1">
      <alignment horizontal="center" vertical="center" wrapText="1"/>
    </xf>
    <xf numFmtId="14" fontId="0" fillId="0" borderId="2" xfId="0" applyNumberFormat="1" applyFont="1" applyFill="1" applyBorder="1" applyAlignment="1" applyProtection="1">
      <alignment horizontal="center" vertical="center" wrapText="1"/>
    </xf>
    <xf numFmtId="1" fontId="0" fillId="0" borderId="2" xfId="0" applyNumberFormat="1" applyFont="1" applyFill="1" applyBorder="1" applyAlignment="1" applyProtection="1">
      <alignment horizontal="center" vertical="center" wrapText="1"/>
    </xf>
    <xf numFmtId="1" fontId="0" fillId="0" borderId="29" xfId="0" applyNumberFormat="1" applyFont="1" applyFill="1" applyBorder="1" applyAlignment="1" applyProtection="1">
      <alignment horizontal="center" vertical="center" wrapText="1"/>
    </xf>
    <xf numFmtId="2" fontId="0" fillId="0" borderId="0" xfId="0" applyNumberFormat="1"/>
    <xf numFmtId="0" fontId="13" fillId="0" borderId="17" xfId="0" applyFont="1" applyBorder="1"/>
    <xf numFmtId="49" fontId="0" fillId="0" borderId="29" xfId="0" applyNumberFormat="1" applyFont="1" applyFill="1" applyBorder="1" applyAlignment="1" applyProtection="1">
      <alignment horizontal="center" vertical="center" wrapText="1"/>
    </xf>
    <xf numFmtId="49" fontId="0" fillId="0" borderId="0" xfId="0" applyNumberFormat="1"/>
    <xf numFmtId="0" fontId="0" fillId="0" borderId="0" xfId="0" applyAlignment="1">
      <alignment horizontal="center" vertical="center"/>
    </xf>
    <xf numFmtId="14" fontId="0" fillId="0" borderId="0" xfId="0" applyNumberFormat="1" applyAlignment="1">
      <alignment horizontal="center" vertical="center"/>
    </xf>
    <xf numFmtId="166" fontId="0" fillId="0" borderId="0" xfId="0" applyNumberFormat="1" applyAlignment="1">
      <alignment horizontal="center" vertical="center"/>
    </xf>
    <xf numFmtId="0" fontId="27" fillId="9" borderId="0" xfId="0" applyFont="1" applyFill="1" applyBorder="1" applyAlignment="1">
      <alignment horizontal="left" vertical="top"/>
    </xf>
    <xf numFmtId="0" fontId="0" fillId="0" borderId="29" xfId="0" applyFont="1" applyFill="1" applyBorder="1" applyAlignment="1" applyProtection="1">
      <alignment horizontal="center" vertical="center" wrapText="1"/>
    </xf>
    <xf numFmtId="169" fontId="0" fillId="0" borderId="17" xfId="0" applyNumberFormat="1" applyBorder="1"/>
    <xf numFmtId="0" fontId="27" fillId="9" borderId="23" xfId="0" applyFont="1" applyFill="1" applyBorder="1" applyAlignment="1">
      <alignment horizontal="center"/>
    </xf>
    <xf numFmtId="0" fontId="0" fillId="0" borderId="0" xfId="0" applyAlignment="1">
      <alignment horizontal="left" vertical="center"/>
    </xf>
    <xf numFmtId="0" fontId="0" fillId="0" borderId="0" xfId="0" applyAlignment="1">
      <alignment horizontal="center"/>
    </xf>
    <xf numFmtId="0" fontId="50" fillId="0" borderId="0" xfId="0" applyFont="1"/>
    <xf numFmtId="0" fontId="0" fillId="6" borderId="2" xfId="0" applyFont="1" applyFill="1" applyBorder="1" applyAlignment="1" applyProtection="1">
      <alignment horizontal="center" vertical="center" wrapText="1"/>
    </xf>
    <xf numFmtId="0" fontId="0" fillId="6" borderId="0" xfId="0" applyFill="1" applyAlignment="1"/>
    <xf numFmtId="0" fontId="0" fillId="15" borderId="0" xfId="0" applyFill="1" applyAlignment="1"/>
    <xf numFmtId="2" fontId="31" fillId="0" borderId="0" xfId="0" quotePrefix="1" applyNumberFormat="1" applyFont="1" applyFill="1" applyBorder="1" applyAlignment="1">
      <alignment horizontal="left" vertical="center"/>
    </xf>
    <xf numFmtId="0" fontId="31" fillId="0" borderId="0" xfId="0" applyFont="1" applyFill="1" applyBorder="1" applyAlignment="1">
      <alignment horizontal="left"/>
    </xf>
    <xf numFmtId="0" fontId="51" fillId="15" borderId="0" xfId="0" applyFont="1" applyFill="1" applyAlignment="1"/>
    <xf numFmtId="0" fontId="51" fillId="0" borderId="0" xfId="0" applyFont="1" applyAlignment="1"/>
    <xf numFmtId="0" fontId="51" fillId="0" borderId="27" xfId="0" applyFont="1" applyBorder="1" applyAlignment="1"/>
    <xf numFmtId="0" fontId="51" fillId="4" borderId="0" xfId="0" applyFont="1" applyFill="1" applyAlignment="1"/>
    <xf numFmtId="0" fontId="51" fillId="16" borderId="0" xfId="0" applyFont="1" applyFill="1" applyAlignment="1"/>
    <xf numFmtId="164" fontId="51" fillId="0" borderId="0" xfId="0" applyNumberFormat="1" applyFont="1" applyAlignment="1"/>
    <xf numFmtId="14" fontId="51" fillId="0" borderId="0" xfId="0" applyNumberFormat="1" applyFont="1" applyAlignment="1"/>
    <xf numFmtId="1" fontId="51" fillId="0" borderId="0" xfId="0" applyNumberFormat="1" applyFont="1" applyAlignment="1"/>
    <xf numFmtId="0" fontId="51" fillId="0" borderId="0" xfId="0" applyFont="1"/>
    <xf numFmtId="2" fontId="51" fillId="0" borderId="0" xfId="0" applyNumberFormat="1" applyFont="1"/>
    <xf numFmtId="0" fontId="31" fillId="5" borderId="0" xfId="0" applyFont="1" applyFill="1" applyAlignment="1"/>
    <xf numFmtId="0" fontId="51" fillId="17" borderId="0" xfId="0" applyFont="1" applyFill="1" applyAlignment="1"/>
    <xf numFmtId="0" fontId="51" fillId="5" borderId="0" xfId="0" applyFont="1" applyFill="1" applyAlignment="1"/>
    <xf numFmtId="0" fontId="12" fillId="0" borderId="0" xfId="2" applyFont="1"/>
    <xf numFmtId="0" fontId="11" fillId="0" borderId="0" xfId="6" applyFont="1" applyAlignment="1">
      <alignment vertical="center"/>
    </xf>
    <xf numFmtId="2" fontId="0" fillId="0" borderId="2" xfId="0" applyNumberFormat="1" applyFont="1" applyFill="1" applyBorder="1" applyAlignment="1" applyProtection="1">
      <alignment horizontal="center" vertical="center" wrapText="1"/>
    </xf>
    <xf numFmtId="2" fontId="51" fillId="0" borderId="0" xfId="0" applyNumberFormat="1" applyFont="1" applyAlignment="1"/>
    <xf numFmtId="164" fontId="0" fillId="0" borderId="2" xfId="0" applyNumberFormat="1" applyFont="1" applyFill="1" applyBorder="1" applyAlignment="1" applyProtection="1">
      <alignment horizontal="center" vertical="center" wrapText="1"/>
    </xf>
    <xf numFmtId="2" fontId="43" fillId="0" borderId="0" xfId="6" applyNumberFormat="1" applyFill="1"/>
    <xf numFmtId="0" fontId="32" fillId="14" borderId="17" xfId="0" applyFont="1" applyFill="1" applyBorder="1" applyAlignment="1">
      <alignment horizontal="center" wrapText="1"/>
    </xf>
    <xf numFmtId="0" fontId="32" fillId="14" borderId="23" xfId="0" applyFont="1" applyFill="1" applyBorder="1" applyAlignment="1">
      <alignment horizontal="center" wrapText="1"/>
    </xf>
    <xf numFmtId="0" fontId="31" fillId="0" borderId="0" xfId="0" applyFont="1"/>
    <xf numFmtId="0" fontId="31" fillId="0" borderId="0" xfId="0" applyFont="1" applyFill="1"/>
    <xf numFmtId="2" fontId="31" fillId="0" borderId="0" xfId="0" applyNumberFormat="1" applyFont="1"/>
    <xf numFmtId="14" fontId="31" fillId="0" borderId="0" xfId="0" applyNumberFormat="1" applyFont="1"/>
    <xf numFmtId="2" fontId="31" fillId="0" borderId="0" xfId="0" applyNumberFormat="1" applyFont="1" applyFill="1"/>
    <xf numFmtId="166" fontId="31" fillId="0" borderId="0" xfId="0" applyNumberFormat="1" applyFont="1" applyFill="1"/>
    <xf numFmtId="0" fontId="0" fillId="0" borderId="0" xfId="0" applyProtection="1">
      <protection locked="0"/>
    </xf>
    <xf numFmtId="167" fontId="0" fillId="0" borderId="0" xfId="0" applyNumberFormat="1" applyProtection="1">
      <protection locked="0"/>
    </xf>
    <xf numFmtId="166" fontId="0" fillId="0" borderId="0" xfId="0" applyNumberFormat="1" applyProtection="1">
      <protection locked="0"/>
    </xf>
    <xf numFmtId="0" fontId="24" fillId="0" borderId="0" xfId="0" applyFont="1" applyProtection="1">
      <protection locked="0"/>
    </xf>
    <xf numFmtId="0" fontId="53" fillId="2" borderId="0" xfId="0" applyFont="1" applyFill="1" applyProtection="1">
      <protection locked="0"/>
    </xf>
    <xf numFmtId="0" fontId="54" fillId="2" borderId="0" xfId="0" applyFont="1" applyFill="1" applyProtection="1">
      <protection locked="0"/>
    </xf>
    <xf numFmtId="167" fontId="54" fillId="2" borderId="0" xfId="0" applyNumberFormat="1" applyFont="1" applyFill="1" applyProtection="1">
      <protection locked="0"/>
    </xf>
    <xf numFmtId="166" fontId="54" fillId="2" borderId="0" xfId="0" applyNumberFormat="1" applyFont="1" applyFill="1" applyProtection="1">
      <protection locked="0"/>
    </xf>
    <xf numFmtId="0" fontId="28" fillId="0" borderId="0" xfId="0" applyFont="1" applyFill="1" applyProtection="1">
      <protection locked="0"/>
    </xf>
    <xf numFmtId="0" fontId="28" fillId="0" borderId="0" xfId="0" applyFont="1" applyProtection="1">
      <protection locked="0"/>
    </xf>
    <xf numFmtId="167" fontId="28" fillId="0" borderId="0" xfId="0" applyNumberFormat="1" applyFont="1" applyProtection="1">
      <protection locked="0"/>
    </xf>
    <xf numFmtId="166" fontId="28" fillId="0" borderId="0" xfId="0" applyNumberFormat="1" applyFont="1" applyProtection="1">
      <protection locked="0"/>
    </xf>
    <xf numFmtId="167" fontId="28" fillId="0" borderId="0" xfId="0" applyNumberFormat="1" applyFont="1" applyFill="1" applyProtection="1">
      <protection locked="0"/>
    </xf>
    <xf numFmtId="166" fontId="28" fillId="0" borderId="0" xfId="0" applyNumberFormat="1" applyFont="1" applyFill="1" applyProtection="1">
      <protection locked="0"/>
    </xf>
    <xf numFmtId="0" fontId="22" fillId="0" borderId="0" xfId="0" applyFont="1" applyFill="1" applyProtection="1">
      <protection locked="0"/>
    </xf>
    <xf numFmtId="0" fontId="0" fillId="0" borderId="0" xfId="0" applyFill="1" applyProtection="1">
      <protection locked="0"/>
    </xf>
    <xf numFmtId="167" fontId="0" fillId="0" borderId="0" xfId="0" applyNumberFormat="1" applyFill="1" applyProtection="1">
      <protection locked="0"/>
    </xf>
    <xf numFmtId="0" fontId="24" fillId="0" borderId="0" xfId="0" applyFont="1" applyFill="1" applyBorder="1" applyProtection="1">
      <protection locked="0"/>
    </xf>
    <xf numFmtId="166" fontId="0" fillId="0" borderId="0" xfId="0" applyNumberFormat="1" applyFill="1" applyProtection="1">
      <protection locked="0"/>
    </xf>
    <xf numFmtId="0" fontId="22" fillId="4" borderId="31" xfId="0" applyFont="1" applyFill="1" applyBorder="1" applyAlignment="1" applyProtection="1">
      <alignment horizontal="left"/>
      <protection locked="0"/>
    </xf>
    <xf numFmtId="0" fontId="22" fillId="0" borderId="0" xfId="0" applyFont="1" applyFill="1" applyBorder="1" applyAlignment="1" applyProtection="1">
      <alignment horizontal="left"/>
      <protection locked="0"/>
    </xf>
    <xf numFmtId="167" fontId="22" fillId="0" borderId="0" xfId="0" applyNumberFormat="1" applyFont="1" applyFill="1" applyProtection="1">
      <protection locked="0"/>
    </xf>
    <xf numFmtId="166" fontId="22" fillId="0" borderId="0" xfId="0" applyNumberFormat="1" applyFont="1" applyFill="1" applyProtection="1">
      <protection locked="0"/>
    </xf>
    <xf numFmtId="0" fontId="22" fillId="4" borderId="10" xfId="0" applyFont="1" applyFill="1" applyBorder="1" applyAlignment="1" applyProtection="1">
      <alignment horizontal="left"/>
      <protection locked="0"/>
    </xf>
    <xf numFmtId="0" fontId="10" fillId="19" borderId="10" xfId="8" applyBorder="1" applyProtection="1">
      <protection locked="0"/>
    </xf>
    <xf numFmtId="0" fontId="22" fillId="18" borderId="32" xfId="10" applyFont="1" applyBorder="1" applyProtection="1">
      <protection locked="0"/>
    </xf>
    <xf numFmtId="0" fontId="22" fillId="18" borderId="30" xfId="10" applyFont="1" applyProtection="1">
      <protection locked="0"/>
    </xf>
    <xf numFmtId="0" fontId="52" fillId="19" borderId="10" xfId="9" applyFill="1" applyBorder="1" applyProtection="1">
      <protection locked="0"/>
    </xf>
    <xf numFmtId="0" fontId="10" fillId="19" borderId="32" xfId="8" applyBorder="1" applyProtection="1">
      <protection locked="0"/>
    </xf>
    <xf numFmtId="0" fontId="22" fillId="0" borderId="0" xfId="0" applyFont="1" applyFill="1" applyBorder="1" applyProtection="1">
      <protection locked="0"/>
    </xf>
    <xf numFmtId="0" fontId="52" fillId="4" borderId="10" xfId="9" applyFill="1" applyBorder="1" applyProtection="1">
      <protection locked="0"/>
    </xf>
    <xf numFmtId="0" fontId="22" fillId="4" borderId="10" xfId="0" applyFont="1" applyFill="1" applyBorder="1" applyProtection="1">
      <protection locked="0"/>
    </xf>
    <xf numFmtId="0" fontId="10" fillId="19" borderId="30" xfId="8" applyBorder="1" applyProtection="1">
      <protection locked="0"/>
    </xf>
    <xf numFmtId="0" fontId="22" fillId="4" borderId="11" xfId="0" applyFont="1" applyFill="1" applyBorder="1" applyProtection="1">
      <protection locked="0"/>
    </xf>
    <xf numFmtId="0" fontId="25" fillId="0" borderId="0" xfId="0" applyFont="1" applyFill="1" applyBorder="1" applyAlignment="1" applyProtection="1">
      <alignment horizontal="left"/>
      <protection locked="0"/>
    </xf>
    <xf numFmtId="0" fontId="22" fillId="0" borderId="0" xfId="0" applyFont="1" applyFill="1" applyAlignment="1" applyProtection="1">
      <alignment horizontal="left"/>
      <protection locked="0"/>
    </xf>
    <xf numFmtId="167" fontId="22" fillId="0" borderId="0" xfId="0" applyNumberFormat="1" applyFont="1" applyFill="1" applyAlignment="1" applyProtection="1">
      <alignment horizontal="left"/>
      <protection locked="0"/>
    </xf>
    <xf numFmtId="0" fontId="22" fillId="0" borderId="31" xfId="0" applyFont="1" applyFill="1" applyBorder="1" applyProtection="1">
      <protection locked="0"/>
    </xf>
    <xf numFmtId="0" fontId="22" fillId="0" borderId="10" xfId="0" applyFont="1" applyFill="1" applyBorder="1" applyProtection="1">
      <protection locked="0"/>
    </xf>
    <xf numFmtId="0" fontId="55" fillId="20" borderId="10" xfId="0" applyFont="1" applyFill="1" applyBorder="1" applyProtection="1">
      <protection locked="0"/>
    </xf>
    <xf numFmtId="0" fontId="55" fillId="0" borderId="10" xfId="0" applyFont="1" applyBorder="1" applyProtection="1">
      <protection locked="0"/>
    </xf>
    <xf numFmtId="0" fontId="55" fillId="20" borderId="11" xfId="0" applyFont="1" applyFill="1" applyBorder="1" applyProtection="1">
      <protection locked="0"/>
    </xf>
    <xf numFmtId="0" fontId="55" fillId="0" borderId="0" xfId="0" applyFont="1" applyFill="1" applyBorder="1" applyProtection="1">
      <protection locked="0"/>
    </xf>
    <xf numFmtId="0" fontId="25" fillId="0" borderId="0" xfId="0" applyFont="1" applyFill="1" applyBorder="1" applyProtection="1">
      <protection locked="0"/>
    </xf>
    <xf numFmtId="0" fontId="22" fillId="0" borderId="6" xfId="0" applyFont="1" applyFill="1" applyBorder="1" applyProtection="1">
      <protection locked="0"/>
    </xf>
    <xf numFmtId="0" fontId="0" fillId="0" borderId="5" xfId="0" applyBorder="1"/>
    <xf numFmtId="0" fontId="22" fillId="0" borderId="5" xfId="0" applyFont="1" applyFill="1" applyBorder="1" applyProtection="1">
      <protection locked="0"/>
    </xf>
    <xf numFmtId="0" fontId="25" fillId="0" borderId="6" xfId="0" applyFont="1" applyFill="1" applyBorder="1" applyAlignment="1" applyProtection="1">
      <alignment horizontal="center" vertical="center"/>
      <protection locked="0"/>
    </xf>
    <xf numFmtId="0" fontId="25" fillId="0" borderId="31" xfId="0" applyFont="1" applyFill="1" applyBorder="1" applyAlignment="1" applyProtection="1">
      <alignment horizontal="center" vertical="center"/>
      <protection locked="0"/>
    </xf>
    <xf numFmtId="1" fontId="51" fillId="0" borderId="6" xfId="0" applyNumberFormat="1" applyFont="1" applyFill="1" applyBorder="1" applyAlignment="1" applyProtection="1">
      <alignment horizontal="center" vertical="center" wrapText="1"/>
    </xf>
    <xf numFmtId="1" fontId="51" fillId="0" borderId="5" xfId="0" applyNumberFormat="1" applyFont="1" applyFill="1" applyBorder="1" applyAlignment="1" applyProtection="1">
      <alignment horizontal="center" vertical="center" wrapText="1"/>
    </xf>
    <xf numFmtId="0" fontId="25" fillId="4" borderId="6" xfId="0" applyFont="1" applyFill="1" applyBorder="1" applyAlignment="1" applyProtection="1">
      <alignment vertical="center"/>
      <protection locked="0"/>
    </xf>
    <xf numFmtId="0" fontId="25" fillId="4" borderId="5" xfId="0" applyFont="1" applyFill="1" applyBorder="1" applyAlignment="1" applyProtection="1">
      <alignment vertical="center"/>
      <protection locked="0"/>
    </xf>
    <xf numFmtId="0" fontId="25" fillId="4" borderId="33" xfId="0" applyFont="1" applyFill="1" applyBorder="1" applyAlignment="1" applyProtection="1">
      <alignment vertical="center"/>
      <protection locked="0"/>
    </xf>
    <xf numFmtId="0" fontId="22" fillId="4" borderId="34" xfId="0" applyFont="1" applyFill="1" applyBorder="1" applyAlignment="1" applyProtection="1">
      <alignment horizontal="left"/>
      <protection locked="0"/>
    </xf>
    <xf numFmtId="0" fontId="22" fillId="4" borderId="33" xfId="0" applyFont="1" applyFill="1" applyBorder="1" applyAlignment="1" applyProtection="1">
      <alignment horizontal="left"/>
      <protection locked="0"/>
    </xf>
    <xf numFmtId="2" fontId="22" fillId="4" borderId="34" xfId="0" applyNumberFormat="1" applyFont="1" applyFill="1" applyBorder="1" applyAlignment="1" applyProtection="1">
      <alignment horizontal="left"/>
      <protection locked="0"/>
    </xf>
    <xf numFmtId="2" fontId="22" fillId="4" borderId="5" xfId="0" applyNumberFormat="1" applyFont="1" applyFill="1" applyBorder="1" applyAlignment="1" applyProtection="1">
      <alignment horizontal="left"/>
      <protection locked="0"/>
    </xf>
    <xf numFmtId="2" fontId="22" fillId="4" borderId="33" xfId="0" applyNumberFormat="1" applyFont="1" applyFill="1" applyBorder="1" applyAlignment="1" applyProtection="1">
      <alignment horizontal="left"/>
      <protection locked="0"/>
    </xf>
    <xf numFmtId="0" fontId="22" fillId="4" borderId="5" xfId="0" applyFont="1" applyFill="1" applyBorder="1" applyAlignment="1" applyProtection="1">
      <alignment horizontal="left"/>
      <protection locked="0"/>
    </xf>
    <xf numFmtId="0" fontId="25" fillId="4" borderId="8" xfId="0" applyFont="1" applyFill="1" applyBorder="1" applyAlignment="1" applyProtection="1">
      <alignment vertical="center"/>
      <protection locked="0"/>
    </xf>
    <xf numFmtId="0" fontId="25" fillId="4" borderId="0" xfId="0" applyFont="1" applyFill="1" applyBorder="1" applyAlignment="1" applyProtection="1">
      <alignment vertical="center"/>
      <protection locked="0"/>
    </xf>
    <xf numFmtId="0" fontId="25" fillId="4" borderId="29" xfId="0" applyFont="1" applyFill="1" applyBorder="1" applyAlignment="1" applyProtection="1">
      <alignment vertical="center"/>
      <protection locked="0"/>
    </xf>
    <xf numFmtId="0" fontId="22" fillId="4" borderId="22" xfId="0" applyFont="1" applyFill="1" applyBorder="1" applyAlignment="1" applyProtection="1">
      <alignment horizontal="left"/>
      <protection locked="0"/>
    </xf>
    <xf numFmtId="0" fontId="22" fillId="4" borderId="29" xfId="0" applyFont="1" applyFill="1" applyBorder="1" applyAlignment="1" applyProtection="1">
      <alignment horizontal="left"/>
      <protection locked="0"/>
    </xf>
    <xf numFmtId="2" fontId="22" fillId="4" borderId="22" xfId="0" applyNumberFormat="1" applyFont="1" applyFill="1" applyBorder="1" applyAlignment="1" applyProtection="1">
      <alignment horizontal="left"/>
      <protection locked="0"/>
    </xf>
    <xf numFmtId="2" fontId="22" fillId="4" borderId="0" xfId="0" applyNumberFormat="1" applyFont="1" applyFill="1" applyBorder="1" applyAlignment="1" applyProtection="1">
      <alignment horizontal="left"/>
      <protection locked="0"/>
    </xf>
    <xf numFmtId="2" fontId="22" fillId="4" borderId="29" xfId="0" applyNumberFormat="1" applyFont="1" applyFill="1" applyBorder="1" applyAlignment="1" applyProtection="1">
      <alignment horizontal="left"/>
      <protection locked="0"/>
    </xf>
    <xf numFmtId="0" fontId="22" fillId="4" borderId="0" xfId="0" applyFont="1" applyFill="1" applyBorder="1" applyAlignment="1" applyProtection="1">
      <alignment horizontal="left"/>
      <protection locked="0"/>
    </xf>
    <xf numFmtId="0" fontId="25" fillId="4" borderId="9" xfId="0" applyFont="1" applyFill="1" applyBorder="1" applyAlignment="1" applyProtection="1">
      <alignment vertical="center"/>
      <protection locked="0"/>
    </xf>
    <xf numFmtId="0" fontId="25" fillId="4" borderId="4" xfId="0" applyFont="1" applyFill="1" applyBorder="1" applyAlignment="1" applyProtection="1">
      <alignment vertical="center"/>
      <protection locked="0"/>
    </xf>
    <xf numFmtId="0" fontId="25" fillId="4" borderId="35" xfId="0" applyFont="1" applyFill="1" applyBorder="1" applyAlignment="1" applyProtection="1">
      <alignment vertical="center"/>
      <protection locked="0"/>
    </xf>
    <xf numFmtId="0" fontId="22" fillId="4" borderId="36" xfId="0" applyFont="1" applyFill="1" applyBorder="1" applyAlignment="1" applyProtection="1">
      <alignment horizontal="left"/>
      <protection locked="0"/>
    </xf>
    <xf numFmtId="0" fontId="22" fillId="4" borderId="35" xfId="0" applyFont="1" applyFill="1" applyBorder="1" applyAlignment="1" applyProtection="1">
      <alignment horizontal="left"/>
      <protection locked="0"/>
    </xf>
    <xf numFmtId="2" fontId="22" fillId="4" borderId="36" xfId="0" applyNumberFormat="1" applyFont="1" applyFill="1" applyBorder="1" applyAlignment="1" applyProtection="1">
      <alignment horizontal="left"/>
      <protection locked="0"/>
    </xf>
    <xf numFmtId="2" fontId="22" fillId="4" borderId="4" xfId="0" applyNumberFormat="1" applyFont="1" applyFill="1" applyBorder="1" applyAlignment="1" applyProtection="1">
      <alignment horizontal="left"/>
      <protection locked="0"/>
    </xf>
    <xf numFmtId="2" fontId="22" fillId="4" borderId="35" xfId="0" applyNumberFormat="1" applyFont="1" applyFill="1" applyBorder="1" applyAlignment="1" applyProtection="1">
      <alignment horizontal="left"/>
      <protection locked="0"/>
    </xf>
    <xf numFmtId="0" fontId="22" fillId="4" borderId="4" xfId="0" applyFont="1" applyFill="1" applyBorder="1" applyAlignment="1" applyProtection="1">
      <alignment horizontal="left"/>
      <protection locked="0"/>
    </xf>
    <xf numFmtId="0" fontId="22" fillId="4" borderId="11" xfId="0" applyFont="1" applyFill="1" applyBorder="1" applyAlignment="1" applyProtection="1">
      <alignment horizontal="left"/>
      <protection locked="0"/>
    </xf>
    <xf numFmtId="0" fontId="28" fillId="0" borderId="0" xfId="0" applyFont="1" applyFill="1" applyBorder="1" applyProtection="1">
      <protection locked="0"/>
    </xf>
    <xf numFmtId="167" fontId="22" fillId="0" borderId="0" xfId="0" applyNumberFormat="1" applyFont="1" applyFill="1" applyBorder="1" applyProtection="1">
      <protection locked="0"/>
    </xf>
    <xf numFmtId="166" fontId="22" fillId="0" borderId="0" xfId="0" applyNumberFormat="1" applyFont="1" applyFill="1" applyBorder="1" applyProtection="1">
      <protection locked="0"/>
    </xf>
    <xf numFmtId="0" fontId="25" fillId="0" borderId="34" xfId="0" applyFont="1" applyFill="1" applyBorder="1" applyAlignment="1" applyProtection="1">
      <protection locked="0"/>
    </xf>
    <xf numFmtId="0" fontId="25" fillId="0" borderId="5" xfId="0" applyFont="1" applyFill="1" applyBorder="1" applyAlignment="1" applyProtection="1">
      <protection locked="0"/>
    </xf>
    <xf numFmtId="0" fontId="25" fillId="0" borderId="31" xfId="0" applyFont="1" applyFill="1" applyBorder="1" applyAlignment="1" applyProtection="1">
      <protection locked="0"/>
    </xf>
    <xf numFmtId="0" fontId="22" fillId="4" borderId="34" xfId="0" applyFont="1" applyFill="1" applyBorder="1" applyAlignment="1" applyProtection="1">
      <protection locked="0"/>
    </xf>
    <xf numFmtId="0" fontId="22" fillId="4" borderId="5" xfId="0" applyFont="1" applyFill="1" applyBorder="1" applyAlignment="1" applyProtection="1">
      <protection locked="0"/>
    </xf>
    <xf numFmtId="0" fontId="22" fillId="4" borderId="31" xfId="0" applyFont="1" applyFill="1" applyBorder="1" applyAlignment="1" applyProtection="1">
      <protection locked="0"/>
    </xf>
    <xf numFmtId="0" fontId="58" fillId="0" borderId="0" xfId="0" applyFont="1" applyAlignment="1"/>
    <xf numFmtId="0" fontId="25" fillId="0" borderId="0" xfId="0" applyFont="1" applyFill="1" applyProtection="1">
      <protection locked="0"/>
    </xf>
    <xf numFmtId="0" fontId="0" fillId="0" borderId="3" xfId="0" applyFont="1" applyFill="1" applyBorder="1" applyAlignment="1" applyProtection="1">
      <alignment horizontal="center" vertical="center" wrapText="1"/>
    </xf>
    <xf numFmtId="167" fontId="0" fillId="0" borderId="7" xfId="0" applyNumberFormat="1" applyFont="1" applyFill="1" applyBorder="1" applyAlignment="1" applyProtection="1">
      <alignment horizontal="center" vertical="center" wrapText="1"/>
    </xf>
    <xf numFmtId="0" fontId="24" fillId="0" borderId="12" xfId="0" applyFont="1" applyFill="1" applyBorder="1" applyAlignment="1" applyProtection="1">
      <alignment horizontal="center" vertical="center"/>
      <protection locked="0"/>
    </xf>
    <xf numFmtId="0" fontId="0" fillId="0" borderId="15" xfId="0" applyFont="1" applyFill="1" applyBorder="1" applyAlignment="1" applyProtection="1">
      <alignment horizontal="center" vertical="center" wrapText="1"/>
    </xf>
    <xf numFmtId="0" fontId="0" fillId="0" borderId="16" xfId="0" applyFont="1" applyFill="1" applyBorder="1" applyAlignment="1" applyProtection="1">
      <alignment horizontal="center" vertical="center" wrapText="1"/>
    </xf>
    <xf numFmtId="0" fontId="51" fillId="0" borderId="0" xfId="0" applyFont="1" applyBorder="1" applyAlignment="1"/>
    <xf numFmtId="0" fontId="51" fillId="0" borderId="0" xfId="0" applyFont="1" applyFill="1" applyBorder="1" applyAlignment="1"/>
    <xf numFmtId="14" fontId="0" fillId="0" borderId="0" xfId="0" applyNumberFormat="1" applyBorder="1"/>
    <xf numFmtId="164" fontId="0" fillId="0" borderId="0" xfId="0" applyNumberFormat="1" applyBorder="1"/>
    <xf numFmtId="2" fontId="0" fillId="0" borderId="0" xfId="0" applyNumberFormat="1" applyAlignment="1"/>
    <xf numFmtId="0" fontId="24" fillId="0" borderId="0" xfId="0" applyFont="1" applyAlignment="1"/>
    <xf numFmtId="0" fontId="61" fillId="21" borderId="0" xfId="11"/>
    <xf numFmtId="0" fontId="15" fillId="0" borderId="0" xfId="2" applyFont="1" applyAlignment="1">
      <alignment vertical="top" wrapText="1"/>
    </xf>
    <xf numFmtId="0" fontId="21" fillId="0" borderId="0" xfId="2" applyAlignment="1">
      <alignment vertical="top" wrapText="1"/>
    </xf>
    <xf numFmtId="0" fontId="9" fillId="0" borderId="0" xfId="2" applyFont="1"/>
    <xf numFmtId="0" fontId="31" fillId="0" borderId="0" xfId="0" applyFont="1" applyFill="1" applyBorder="1"/>
    <xf numFmtId="0" fontId="31" fillId="0" borderId="0" xfId="0" applyFont="1" applyBorder="1"/>
    <xf numFmtId="2" fontId="31" fillId="0" borderId="0" xfId="0" applyNumberFormat="1" applyFont="1" applyBorder="1"/>
    <xf numFmtId="14" fontId="31" fillId="0" borderId="0" xfId="0" applyNumberFormat="1" applyFont="1" applyBorder="1"/>
    <xf numFmtId="0" fontId="0" fillId="0" borderId="0" xfId="0" applyFont="1"/>
    <xf numFmtId="0" fontId="8" fillId="0" borderId="0" xfId="2" applyFont="1"/>
    <xf numFmtId="0" fontId="7" fillId="0" borderId="0" xfId="2" applyFont="1"/>
    <xf numFmtId="0" fontId="32" fillId="14" borderId="24" xfId="6" applyFont="1" applyFill="1" applyBorder="1" applyAlignment="1">
      <alignment horizontal="center" wrapText="1"/>
    </xf>
    <xf numFmtId="0" fontId="64" fillId="10" borderId="0" xfId="3" applyFont="1"/>
    <xf numFmtId="0" fontId="6" fillId="22" borderId="0" xfId="12"/>
    <xf numFmtId="0" fontId="5" fillId="22" borderId="0" xfId="12" applyFont="1"/>
    <xf numFmtId="0" fontId="5" fillId="0" borderId="0" xfId="2" applyFont="1"/>
    <xf numFmtId="0" fontId="43" fillId="0" borderId="0" xfId="6" applyBorder="1"/>
    <xf numFmtId="0" fontId="40" fillId="0" borderId="0" xfId="6" applyFont="1" applyBorder="1"/>
    <xf numFmtId="0" fontId="43" fillId="0" borderId="0" xfId="6" applyFont="1" applyFill="1" applyBorder="1"/>
    <xf numFmtId="0" fontId="43" fillId="0" borderId="0" xfId="6" applyFill="1" applyBorder="1"/>
    <xf numFmtId="2" fontId="43" fillId="0" borderId="0" xfId="6" applyNumberFormat="1" applyFill="1" applyBorder="1"/>
    <xf numFmtId="14" fontId="43" fillId="0" borderId="0" xfId="6" applyNumberFormat="1" applyBorder="1"/>
    <xf numFmtId="0" fontId="4" fillId="0" borderId="0" xfId="2" applyFont="1"/>
    <xf numFmtId="0" fontId="4" fillId="22" borderId="0" xfId="12" applyFont="1"/>
    <xf numFmtId="0" fontId="38" fillId="12" borderId="0" xfId="5" applyAlignment="1">
      <alignment wrapText="1"/>
    </xf>
    <xf numFmtId="14" fontId="36" fillId="10" borderId="0" xfId="3" applyNumberFormat="1"/>
    <xf numFmtId="0" fontId="27" fillId="22" borderId="0" xfId="12" applyFont="1"/>
    <xf numFmtId="0" fontId="27" fillId="0" borderId="17" xfId="0" applyFont="1" applyBorder="1" applyAlignment="1">
      <alignment horizontal="center"/>
    </xf>
    <xf numFmtId="0" fontId="3" fillId="22" borderId="0" xfId="12" applyFont="1"/>
    <xf numFmtId="0" fontId="22" fillId="4" borderId="0" xfId="0" applyFont="1" applyFill="1" applyBorder="1" applyAlignment="1" applyProtection="1">
      <alignment horizontal="left"/>
      <protection locked="0"/>
    </xf>
    <xf numFmtId="0" fontId="25" fillId="0" borderId="5" xfId="0" applyFont="1" applyFill="1" applyBorder="1" applyAlignment="1" applyProtection="1">
      <protection locked="0"/>
    </xf>
    <xf numFmtId="0" fontId="22" fillId="4" borderId="22" xfId="0" applyFont="1" applyFill="1" applyBorder="1" applyAlignment="1" applyProtection="1">
      <alignment horizontal="left"/>
      <protection locked="0"/>
    </xf>
    <xf numFmtId="0" fontId="22" fillId="0" borderId="5" xfId="0" applyFont="1" applyFill="1" applyBorder="1" applyAlignment="1" applyProtection="1">
      <alignment horizontal="left"/>
      <protection locked="0"/>
    </xf>
    <xf numFmtId="0" fontId="22" fillId="0" borderId="0" xfId="0" applyFont="1" applyFill="1" applyBorder="1" applyAlignment="1" applyProtection="1">
      <alignment horizontal="left"/>
      <protection locked="0"/>
    </xf>
    <xf numFmtId="0" fontId="36" fillId="10" borderId="22" xfId="3" applyBorder="1"/>
    <xf numFmtId="0" fontId="29" fillId="18" borderId="30" xfId="10" applyFont="1"/>
    <xf numFmtId="14" fontId="29" fillId="18" borderId="30" xfId="10" applyNumberFormat="1" applyFont="1"/>
    <xf numFmtId="0" fontId="2" fillId="22" borderId="0" xfId="12" applyFont="1"/>
    <xf numFmtId="0" fontId="38" fillId="12" borderId="0" xfId="5" applyAlignment="1"/>
    <xf numFmtId="0" fontId="1" fillId="22" borderId="0" xfId="12" applyFont="1"/>
    <xf numFmtId="0" fontId="0" fillId="0" borderId="4" xfId="0" applyBorder="1"/>
    <xf numFmtId="0" fontId="51" fillId="0" borderId="4" xfId="0" applyFont="1" applyBorder="1" applyAlignment="1"/>
    <xf numFmtId="0" fontId="51" fillId="0" borderId="4" xfId="0" applyFont="1" applyFill="1" applyBorder="1" applyAlignment="1"/>
    <xf numFmtId="14" fontId="0" fillId="0" borderId="4" xfId="0" applyNumberFormat="1" applyBorder="1"/>
    <xf numFmtId="164" fontId="0" fillId="0" borderId="4" xfId="0" applyNumberFormat="1" applyBorder="1"/>
    <xf numFmtId="2" fontId="0" fillId="0" borderId="4" xfId="0" applyNumberFormat="1" applyBorder="1"/>
    <xf numFmtId="0" fontId="21" fillId="18" borderId="30" xfId="10" applyFont="1"/>
    <xf numFmtId="0" fontId="43" fillId="18" borderId="30" xfId="10" applyFont="1"/>
    <xf numFmtId="0" fontId="36" fillId="18" borderId="30" xfId="10" applyFont="1"/>
    <xf numFmtId="14" fontId="21" fillId="18" borderId="30" xfId="10" applyNumberFormat="1" applyFont="1"/>
    <xf numFmtId="0" fontId="24" fillId="0" borderId="0" xfId="0" applyFont="1" applyAlignment="1">
      <alignment horizontal="center"/>
    </xf>
    <xf numFmtId="0" fontId="24" fillId="0" borderId="0" xfId="0" applyFont="1" applyAlignment="1">
      <alignment horizontal="center" wrapText="1"/>
    </xf>
    <xf numFmtId="0" fontId="27" fillId="9" borderId="14" xfId="0" applyFont="1" applyFill="1" applyBorder="1" applyAlignment="1">
      <alignment horizontal="center"/>
    </xf>
    <xf numFmtId="0" fontId="27" fillId="9" borderId="16" xfId="0" applyFont="1" applyFill="1" applyBorder="1" applyAlignment="1">
      <alignment horizontal="center"/>
    </xf>
    <xf numFmtId="0" fontId="30" fillId="9" borderId="21" xfId="0" applyFont="1" applyFill="1" applyBorder="1" applyAlignment="1">
      <alignment horizontal="center" vertical="center"/>
    </xf>
    <xf numFmtId="0" fontId="30" fillId="9" borderId="23" xfId="0" applyFont="1" applyFill="1" applyBorder="1" applyAlignment="1">
      <alignment horizontal="center" vertical="center"/>
    </xf>
    <xf numFmtId="0" fontId="27" fillId="9" borderId="15" xfId="0" applyFont="1" applyFill="1" applyBorder="1" applyAlignment="1">
      <alignment horizontal="center"/>
    </xf>
    <xf numFmtId="0" fontId="27" fillId="9" borderId="18" xfId="0" applyFont="1" applyFill="1" applyBorder="1" applyAlignment="1">
      <alignment horizontal="center"/>
    </xf>
    <xf numFmtId="0" fontId="27" fillId="9" borderId="19" xfId="0" applyFont="1" applyFill="1" applyBorder="1" applyAlignment="1">
      <alignment horizontal="center"/>
    </xf>
    <xf numFmtId="0" fontId="27" fillId="9" borderId="20" xfId="0" applyFont="1" applyFill="1" applyBorder="1" applyAlignment="1">
      <alignment horizontal="center"/>
    </xf>
    <xf numFmtId="0" fontId="21" fillId="0" borderId="0" xfId="2" applyAlignment="1">
      <alignment horizontal="center" vertical="top" wrapText="1"/>
    </xf>
    <xf numFmtId="0" fontId="22" fillId="0" borderId="8" xfId="0" applyFont="1" applyFill="1" applyBorder="1" applyAlignment="1" applyProtection="1">
      <alignment horizontal="left"/>
      <protection locked="0"/>
    </xf>
    <xf numFmtId="0" fontId="22" fillId="0" borderId="0" xfId="0" applyFont="1" applyFill="1" applyBorder="1" applyAlignment="1" applyProtection="1">
      <alignment horizontal="left"/>
      <protection locked="0"/>
    </xf>
    <xf numFmtId="0" fontId="22" fillId="0" borderId="6" xfId="0" applyFont="1" applyFill="1" applyBorder="1" applyAlignment="1" applyProtection="1">
      <alignment horizontal="left"/>
      <protection locked="0"/>
    </xf>
    <xf numFmtId="0" fontId="22" fillId="0" borderId="5" xfId="0" applyFont="1" applyFill="1" applyBorder="1" applyAlignment="1" applyProtection="1">
      <alignment horizontal="left"/>
      <protection locked="0"/>
    </xf>
    <xf numFmtId="0" fontId="22" fillId="0" borderId="9" xfId="0" applyFont="1" applyFill="1" applyBorder="1" applyAlignment="1" applyProtection="1">
      <alignment horizontal="left"/>
      <protection locked="0"/>
    </xf>
    <xf numFmtId="0" fontId="22" fillId="0" borderId="4" xfId="0" applyFont="1" applyFill="1" applyBorder="1" applyAlignment="1" applyProtection="1">
      <alignment horizontal="left"/>
      <protection locked="0"/>
    </xf>
    <xf numFmtId="0" fontId="22" fillId="0" borderId="3" xfId="0" applyFont="1" applyFill="1" applyBorder="1" applyAlignment="1" applyProtection="1">
      <alignment horizontal="left"/>
      <protection locked="0"/>
    </xf>
    <xf numFmtId="0" fontId="22" fillId="0" borderId="7" xfId="0" applyFont="1" applyFill="1" applyBorder="1" applyAlignment="1" applyProtection="1">
      <alignment horizontal="left"/>
      <protection locked="0"/>
    </xf>
    <xf numFmtId="0" fontId="22" fillId="0" borderId="12" xfId="0" applyFont="1" applyFill="1" applyBorder="1" applyAlignment="1" applyProtection="1">
      <alignment horizontal="left"/>
      <protection locked="0"/>
    </xf>
    <xf numFmtId="0" fontId="25" fillId="0" borderId="6" xfId="0" applyFont="1" applyFill="1" applyBorder="1" applyAlignment="1" applyProtection="1">
      <alignment horizontal="center"/>
      <protection locked="0"/>
    </xf>
    <xf numFmtId="0" fontId="25" fillId="0" borderId="5" xfId="0" applyFont="1" applyFill="1" applyBorder="1" applyAlignment="1" applyProtection="1">
      <alignment horizontal="center"/>
      <protection locked="0"/>
    </xf>
    <xf numFmtId="0" fontId="56" fillId="0" borderId="4" xfId="0" applyFont="1" applyFill="1" applyBorder="1" applyAlignment="1" applyProtection="1">
      <alignment horizontal="center" wrapText="1"/>
      <protection locked="0"/>
    </xf>
    <xf numFmtId="0" fontId="57" fillId="0" borderId="4" xfId="0" applyFont="1" applyFill="1" applyBorder="1" applyAlignment="1" applyProtection="1">
      <alignment horizontal="center" wrapText="1"/>
      <protection locked="0"/>
    </xf>
    <xf numFmtId="0" fontId="28" fillId="0" borderId="6" xfId="0" applyFont="1" applyFill="1" applyBorder="1" applyAlignment="1" applyProtection="1">
      <alignment horizontal="center" vertical="center" wrapText="1"/>
      <protection locked="0"/>
    </xf>
    <xf numFmtId="0" fontId="28" fillId="0" borderId="31" xfId="0" applyFont="1" applyFill="1" applyBorder="1" applyAlignment="1" applyProtection="1">
      <alignment horizontal="center" vertical="center" wrapText="1"/>
      <protection locked="0"/>
    </xf>
    <xf numFmtId="0" fontId="42" fillId="0" borderId="0" xfId="0" applyFont="1" applyAlignment="1">
      <alignment horizontal="center" vertical="center"/>
    </xf>
    <xf numFmtId="0" fontId="42" fillId="0" borderId="4" xfId="0" applyFont="1" applyBorder="1" applyAlignment="1">
      <alignment horizontal="center" vertical="center"/>
    </xf>
    <xf numFmtId="0" fontId="58" fillId="0" borderId="37" xfId="0" applyFont="1" applyBorder="1" applyAlignment="1">
      <alignment horizontal="center"/>
    </xf>
    <xf numFmtId="0" fontId="25" fillId="0" borderId="6" xfId="0" applyFont="1" applyFill="1" applyBorder="1" applyAlignment="1" applyProtection="1">
      <protection locked="0"/>
    </xf>
    <xf numFmtId="0" fontId="25" fillId="0" borderId="5" xfId="0" applyFont="1" applyFill="1" applyBorder="1" applyAlignment="1" applyProtection="1">
      <protection locked="0"/>
    </xf>
    <xf numFmtId="0" fontId="22" fillId="0" borderId="6" xfId="0" applyFont="1" applyFill="1" applyBorder="1" applyAlignment="1" applyProtection="1">
      <protection locked="0"/>
    </xf>
    <xf numFmtId="0" fontId="22" fillId="0" borderId="5" xfId="0" applyFont="1" applyFill="1" applyBorder="1" applyAlignment="1" applyProtection="1">
      <protection locked="0"/>
    </xf>
    <xf numFmtId="0" fontId="22" fillId="0" borderId="9" xfId="0" applyFont="1" applyFill="1" applyBorder="1" applyAlignment="1" applyProtection="1">
      <protection locked="0"/>
    </xf>
    <xf numFmtId="0" fontId="22" fillId="0" borderId="4" xfId="0" applyFont="1" applyFill="1" applyBorder="1" applyAlignment="1" applyProtection="1">
      <protection locked="0"/>
    </xf>
    <xf numFmtId="0" fontId="22" fillId="4" borderId="22" xfId="0" applyFont="1" applyFill="1" applyBorder="1" applyAlignment="1" applyProtection="1">
      <alignment horizontal="left"/>
      <protection locked="0"/>
    </xf>
    <xf numFmtId="0" fontId="22" fillId="4" borderId="0" xfId="0" applyFont="1" applyFill="1" applyBorder="1" applyAlignment="1" applyProtection="1">
      <alignment horizontal="left"/>
      <protection locked="0"/>
    </xf>
  </cellXfs>
  <cellStyles count="13">
    <cellStyle name="20 % – uthevingsfarge 4" xfId="8" builtinId="42"/>
    <cellStyle name="60 % – uthevingsfarge 6" xfId="12" builtinId="52"/>
    <cellStyle name="Dårlig" xfId="1" builtinId="27"/>
    <cellStyle name="God" xfId="5" builtinId="26"/>
    <cellStyle name="Hyperkobling" xfId="9" builtinId="8"/>
    <cellStyle name="Inndata" xfId="4" builtinId="20"/>
    <cellStyle name="Merknad 2" xfId="10" xr:uid="{7BF7A679-D5E4-4AE1-9CEF-CF1B194A8761}"/>
    <cellStyle name="Normal" xfId="0" builtinId="0"/>
    <cellStyle name="Normal 2" xfId="2" xr:uid="{C5975B6D-E5BE-4E8F-9F76-B32E3A819151}"/>
    <cellStyle name="Normal 3" xfId="6" xr:uid="{71BDF9BC-06B0-4E05-88ED-1E31297BD71D}"/>
    <cellStyle name="Normal 4" xfId="7" xr:uid="{00000000-0005-0000-0000-000031000000}"/>
    <cellStyle name="Nøytral" xfId="3" builtinId="28"/>
    <cellStyle name="Uthevingsfarge4" xfId="11" builtinId="41"/>
  </cellStyles>
  <dxfs count="4">
    <dxf>
      <font>
        <color theme="0"/>
      </font>
      <fill>
        <patternFill patternType="none">
          <bgColor indexed="65"/>
        </patternFill>
      </fill>
    </dxf>
    <dxf>
      <font>
        <strike val="0"/>
        <color theme="0"/>
      </font>
    </dxf>
    <dxf>
      <fill>
        <patternFill patternType="none">
          <fgColor indexed="64"/>
          <bgColor indexed="65"/>
        </patternFill>
      </fill>
      <alignment horizontal="center" vertical="center" textRotation="0" wrapText="0" indent="0" justifyLastLine="0" shrinkToFit="0" readingOrder="0"/>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11"/>
        <color indexed="8"/>
        <name val="Calibri"/>
        <family val="2"/>
        <scheme val="none"/>
      </font>
    </dxf>
  </dxfs>
  <tableStyles count="0" defaultTableStyle="TableStyleMedium9" defaultPivotStyle="PivotStyleMedium4"/>
  <colors>
    <mruColors>
      <color rgb="FF008000"/>
      <color rgb="FF607731"/>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externalLink" Target="externalLinks/externalLink1.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externalLink" Target="externalLinks/externalLink3.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externalLink" Target="externalLinks/externalLink2.xml"/><Relationship Id="rId30" Type="http://schemas.openxmlformats.org/officeDocument/2006/relationships/styles" Target="styles.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Users/ansun/Documents/Master%20data/GitHub__R-stat/AfricanBioServices-Vegetation-and-soils/Termites/Precipitation%20data/Rainfall_wet.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Users/ansun/Documents/Master%20data/GitHub__R-stat/AfricanBioServices-Vegetation-and-soils/Termites/Mapping/Coordinates_sites.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Users/ansun/Documents/Master%20data/GitHub__R-stat/AfricanBioServices-Vegetation-and-soils/Termites/Precipitation%20data/Rainfall_dry.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ainfall_Wet"/>
    </sheetNames>
    <sheetDataSet>
      <sheetData sheetId="0">
        <row r="2">
          <cell r="A2">
            <v>193</v>
          </cell>
          <cell r="O2">
            <v>175.054685654</v>
          </cell>
        </row>
        <row r="3">
          <cell r="A3">
            <v>194</v>
          </cell>
          <cell r="O3">
            <v>175.054685654</v>
          </cell>
        </row>
        <row r="4">
          <cell r="A4">
            <v>198</v>
          </cell>
          <cell r="O4">
            <v>175.054685654</v>
          </cell>
        </row>
        <row r="5">
          <cell r="A5">
            <v>200</v>
          </cell>
          <cell r="O5">
            <v>175.054685654</v>
          </cell>
        </row>
        <row r="6">
          <cell r="A6">
            <v>201</v>
          </cell>
          <cell r="O6">
            <v>175.054685654</v>
          </cell>
        </row>
        <row r="7">
          <cell r="A7">
            <v>204</v>
          </cell>
          <cell r="O7">
            <v>175.054685654</v>
          </cell>
        </row>
        <row r="8">
          <cell r="A8">
            <v>207</v>
          </cell>
          <cell r="O8">
            <v>175.054685654</v>
          </cell>
        </row>
        <row r="9">
          <cell r="A9">
            <v>208</v>
          </cell>
          <cell r="O9">
            <v>175.054685654</v>
          </cell>
        </row>
        <row r="10">
          <cell r="A10">
            <v>210</v>
          </cell>
          <cell r="O10">
            <v>175.054685654</v>
          </cell>
        </row>
        <row r="11">
          <cell r="A11">
            <v>212</v>
          </cell>
          <cell r="O11">
            <v>175.054685654</v>
          </cell>
        </row>
        <row r="12">
          <cell r="A12">
            <v>213</v>
          </cell>
          <cell r="O12">
            <v>175.054685654</v>
          </cell>
        </row>
        <row r="13">
          <cell r="A13">
            <v>214</v>
          </cell>
          <cell r="O13">
            <v>175.054685654</v>
          </cell>
        </row>
        <row r="14">
          <cell r="A14">
            <v>219</v>
          </cell>
          <cell r="O14">
            <v>175.054685654</v>
          </cell>
        </row>
        <row r="15">
          <cell r="A15">
            <v>220</v>
          </cell>
          <cell r="O15">
            <v>175.054685654</v>
          </cell>
        </row>
        <row r="16">
          <cell r="A16">
            <v>195</v>
          </cell>
          <cell r="O16">
            <v>175.377105089</v>
          </cell>
        </row>
        <row r="17">
          <cell r="A17">
            <v>196</v>
          </cell>
          <cell r="O17">
            <v>175.377105089</v>
          </cell>
        </row>
        <row r="18">
          <cell r="A18">
            <v>197</v>
          </cell>
          <cell r="O18">
            <v>175.377105089</v>
          </cell>
        </row>
        <row r="19">
          <cell r="A19">
            <v>199</v>
          </cell>
          <cell r="O19">
            <v>175.377105089</v>
          </cell>
        </row>
        <row r="20">
          <cell r="A20">
            <v>202</v>
          </cell>
          <cell r="O20">
            <v>175.377105089</v>
          </cell>
        </row>
        <row r="21">
          <cell r="A21">
            <v>203</v>
          </cell>
          <cell r="O21">
            <v>175.377105089</v>
          </cell>
        </row>
        <row r="22">
          <cell r="A22">
            <v>205</v>
          </cell>
          <cell r="O22">
            <v>175.377105089</v>
          </cell>
        </row>
        <row r="23">
          <cell r="A23">
            <v>206</v>
          </cell>
          <cell r="O23">
            <v>175.377105089</v>
          </cell>
        </row>
        <row r="24">
          <cell r="A24">
            <v>209</v>
          </cell>
          <cell r="O24">
            <v>175.377105089</v>
          </cell>
        </row>
        <row r="25">
          <cell r="A25">
            <v>211</v>
          </cell>
          <cell r="O25">
            <v>175.377105089</v>
          </cell>
        </row>
        <row r="26">
          <cell r="A26">
            <v>215</v>
          </cell>
          <cell r="O26">
            <v>175.377105089</v>
          </cell>
        </row>
        <row r="27">
          <cell r="A27">
            <v>216</v>
          </cell>
          <cell r="O27">
            <v>175.377105089</v>
          </cell>
        </row>
        <row r="28">
          <cell r="A28">
            <v>217</v>
          </cell>
          <cell r="O28">
            <v>175.377105089</v>
          </cell>
        </row>
        <row r="29">
          <cell r="A29">
            <v>218</v>
          </cell>
          <cell r="O29">
            <v>175.377105089</v>
          </cell>
        </row>
        <row r="30">
          <cell r="A30">
            <v>161</v>
          </cell>
          <cell r="O30">
            <v>181.383442621</v>
          </cell>
        </row>
        <row r="31">
          <cell r="A31">
            <v>162</v>
          </cell>
          <cell r="O31">
            <v>181.383442621</v>
          </cell>
        </row>
        <row r="32">
          <cell r="A32">
            <v>163</v>
          </cell>
          <cell r="O32">
            <v>181.383442621</v>
          </cell>
        </row>
        <row r="33">
          <cell r="A33">
            <v>164</v>
          </cell>
          <cell r="O33">
            <v>181.383442621</v>
          </cell>
        </row>
        <row r="34">
          <cell r="A34">
            <v>165</v>
          </cell>
          <cell r="O34">
            <v>181.383442621</v>
          </cell>
        </row>
        <row r="35">
          <cell r="A35">
            <v>166</v>
          </cell>
          <cell r="O35">
            <v>181.383442621</v>
          </cell>
        </row>
        <row r="36">
          <cell r="A36">
            <v>167</v>
          </cell>
          <cell r="O36">
            <v>181.383442621</v>
          </cell>
        </row>
        <row r="37">
          <cell r="A37">
            <v>168</v>
          </cell>
          <cell r="O37">
            <v>181.383442621</v>
          </cell>
        </row>
        <row r="38">
          <cell r="A38">
            <v>169</v>
          </cell>
          <cell r="O38">
            <v>181.383442621</v>
          </cell>
        </row>
        <row r="39">
          <cell r="A39">
            <v>170</v>
          </cell>
          <cell r="O39">
            <v>181.383442621</v>
          </cell>
        </row>
        <row r="40">
          <cell r="A40">
            <v>171</v>
          </cell>
          <cell r="O40">
            <v>181.383442621</v>
          </cell>
        </row>
        <row r="41">
          <cell r="A41">
            <v>172</v>
          </cell>
          <cell r="O41">
            <v>181.383442621</v>
          </cell>
        </row>
        <row r="42">
          <cell r="A42">
            <v>173</v>
          </cell>
          <cell r="O42">
            <v>181.383442621</v>
          </cell>
        </row>
        <row r="43">
          <cell r="A43">
            <v>174</v>
          </cell>
          <cell r="O43">
            <v>181.383442621</v>
          </cell>
        </row>
        <row r="44">
          <cell r="A44">
            <v>175</v>
          </cell>
          <cell r="O44">
            <v>181.383442621</v>
          </cell>
        </row>
        <row r="45">
          <cell r="A45">
            <v>176</v>
          </cell>
          <cell r="O45">
            <v>181.383442621</v>
          </cell>
        </row>
        <row r="46">
          <cell r="A46">
            <v>81</v>
          </cell>
          <cell r="O46">
            <v>185.01185076100001</v>
          </cell>
        </row>
        <row r="47">
          <cell r="A47">
            <v>17</v>
          </cell>
          <cell r="O47">
            <v>185.630065823</v>
          </cell>
        </row>
        <row r="48">
          <cell r="A48">
            <v>18</v>
          </cell>
          <cell r="O48">
            <v>185.630065823</v>
          </cell>
        </row>
        <row r="49">
          <cell r="A49">
            <v>19</v>
          </cell>
          <cell r="O49">
            <v>185.630065823</v>
          </cell>
        </row>
        <row r="50">
          <cell r="A50">
            <v>20</v>
          </cell>
          <cell r="O50">
            <v>185.630065823</v>
          </cell>
        </row>
        <row r="51">
          <cell r="A51">
            <v>21</v>
          </cell>
          <cell r="O51">
            <v>185.630065823</v>
          </cell>
        </row>
        <row r="52">
          <cell r="A52">
            <v>22</v>
          </cell>
          <cell r="O52">
            <v>185.630065823</v>
          </cell>
        </row>
        <row r="53">
          <cell r="A53">
            <v>23</v>
          </cell>
          <cell r="O53">
            <v>185.630065823</v>
          </cell>
        </row>
        <row r="54">
          <cell r="A54">
            <v>24</v>
          </cell>
          <cell r="O54">
            <v>185.630065823</v>
          </cell>
        </row>
        <row r="55">
          <cell r="A55">
            <v>25</v>
          </cell>
          <cell r="O55">
            <v>185.630065823</v>
          </cell>
        </row>
        <row r="56">
          <cell r="A56">
            <v>26</v>
          </cell>
          <cell r="O56">
            <v>185.630065823</v>
          </cell>
        </row>
        <row r="57">
          <cell r="A57">
            <v>27</v>
          </cell>
          <cell r="O57">
            <v>185.630065823</v>
          </cell>
        </row>
        <row r="58">
          <cell r="A58">
            <v>28</v>
          </cell>
          <cell r="O58">
            <v>185.630065823</v>
          </cell>
        </row>
        <row r="59">
          <cell r="A59">
            <v>29</v>
          </cell>
          <cell r="O59">
            <v>185.630065823</v>
          </cell>
        </row>
        <row r="60">
          <cell r="A60">
            <v>30</v>
          </cell>
          <cell r="O60">
            <v>185.630065823</v>
          </cell>
        </row>
        <row r="61">
          <cell r="A61">
            <v>31</v>
          </cell>
          <cell r="O61">
            <v>185.630065823</v>
          </cell>
        </row>
        <row r="62">
          <cell r="A62">
            <v>32</v>
          </cell>
          <cell r="O62">
            <v>185.630065823</v>
          </cell>
        </row>
        <row r="63">
          <cell r="A63">
            <v>65</v>
          </cell>
          <cell r="O63">
            <v>185.630065823</v>
          </cell>
        </row>
        <row r="64">
          <cell r="A64">
            <v>66</v>
          </cell>
          <cell r="O64">
            <v>185.630065823</v>
          </cell>
        </row>
        <row r="65">
          <cell r="A65">
            <v>67</v>
          </cell>
          <cell r="O65">
            <v>185.630065823</v>
          </cell>
        </row>
        <row r="66">
          <cell r="A66">
            <v>68</v>
          </cell>
          <cell r="O66">
            <v>185.630065823</v>
          </cell>
        </row>
        <row r="67">
          <cell r="A67">
            <v>69</v>
          </cell>
          <cell r="O67">
            <v>185.630065823</v>
          </cell>
        </row>
        <row r="68">
          <cell r="A68">
            <v>70</v>
          </cell>
          <cell r="O68">
            <v>185.630065823</v>
          </cell>
        </row>
        <row r="69">
          <cell r="A69">
            <v>71</v>
          </cell>
          <cell r="O69">
            <v>185.630065823</v>
          </cell>
        </row>
        <row r="70">
          <cell r="A70">
            <v>72</v>
          </cell>
          <cell r="O70">
            <v>185.630065823</v>
          </cell>
        </row>
        <row r="71">
          <cell r="A71">
            <v>73</v>
          </cell>
          <cell r="O71">
            <v>185.630065823</v>
          </cell>
        </row>
        <row r="72">
          <cell r="A72">
            <v>74</v>
          </cell>
          <cell r="O72">
            <v>185.630065823</v>
          </cell>
        </row>
        <row r="73">
          <cell r="A73">
            <v>75</v>
          </cell>
          <cell r="O73">
            <v>185.630065823</v>
          </cell>
        </row>
        <row r="74">
          <cell r="A74">
            <v>76</v>
          </cell>
          <cell r="O74">
            <v>185.630065823</v>
          </cell>
        </row>
        <row r="75">
          <cell r="A75">
            <v>77</v>
          </cell>
          <cell r="O75">
            <v>185.630065823</v>
          </cell>
        </row>
        <row r="76">
          <cell r="A76">
            <v>78</v>
          </cell>
          <cell r="O76">
            <v>185.630065823</v>
          </cell>
        </row>
        <row r="77">
          <cell r="A77">
            <v>79</v>
          </cell>
          <cell r="O77">
            <v>185.630065823</v>
          </cell>
        </row>
        <row r="78">
          <cell r="A78">
            <v>80</v>
          </cell>
          <cell r="O78">
            <v>185.630065823</v>
          </cell>
        </row>
        <row r="79">
          <cell r="A79">
            <v>177</v>
          </cell>
          <cell r="O79">
            <v>188.24043152799999</v>
          </cell>
        </row>
        <row r="80">
          <cell r="A80">
            <v>178</v>
          </cell>
          <cell r="O80">
            <v>188.24043152799999</v>
          </cell>
        </row>
        <row r="81">
          <cell r="A81">
            <v>179</v>
          </cell>
          <cell r="O81">
            <v>188.24043152799999</v>
          </cell>
        </row>
        <row r="82">
          <cell r="A82">
            <v>180</v>
          </cell>
          <cell r="O82">
            <v>188.24043152799999</v>
          </cell>
        </row>
        <row r="83">
          <cell r="A83">
            <v>181</v>
          </cell>
          <cell r="O83">
            <v>188.24043152799999</v>
          </cell>
        </row>
        <row r="84">
          <cell r="A84">
            <v>182</v>
          </cell>
          <cell r="O84">
            <v>188.24043152799999</v>
          </cell>
        </row>
        <row r="85">
          <cell r="A85">
            <v>183</v>
          </cell>
          <cell r="O85">
            <v>188.24043152799999</v>
          </cell>
        </row>
        <row r="86">
          <cell r="A86">
            <v>184</v>
          </cell>
          <cell r="O86">
            <v>188.24043152799999</v>
          </cell>
        </row>
        <row r="87">
          <cell r="A87">
            <v>185</v>
          </cell>
          <cell r="O87">
            <v>188.24043152799999</v>
          </cell>
        </row>
        <row r="88">
          <cell r="A88">
            <v>186</v>
          </cell>
          <cell r="O88">
            <v>188.24043152799999</v>
          </cell>
        </row>
        <row r="89">
          <cell r="A89">
            <v>187</v>
          </cell>
          <cell r="O89">
            <v>188.24043152799999</v>
          </cell>
        </row>
        <row r="90">
          <cell r="A90">
            <v>188</v>
          </cell>
          <cell r="O90">
            <v>188.24043152799999</v>
          </cell>
        </row>
        <row r="91">
          <cell r="A91">
            <v>189</v>
          </cell>
          <cell r="O91">
            <v>188.24043152799999</v>
          </cell>
        </row>
        <row r="92">
          <cell r="A92">
            <v>190</v>
          </cell>
          <cell r="O92">
            <v>188.24043152799999</v>
          </cell>
        </row>
        <row r="93">
          <cell r="A93">
            <v>191</v>
          </cell>
          <cell r="O93">
            <v>188.24043152799999</v>
          </cell>
        </row>
        <row r="94">
          <cell r="A94">
            <v>192</v>
          </cell>
          <cell r="O94">
            <v>188.24043152799999</v>
          </cell>
        </row>
        <row r="95">
          <cell r="A95">
            <v>1</v>
          </cell>
          <cell r="O95">
            <v>194.43839254400001</v>
          </cell>
        </row>
        <row r="96">
          <cell r="A96">
            <v>2</v>
          </cell>
          <cell r="O96">
            <v>194.43839254400001</v>
          </cell>
        </row>
        <row r="97">
          <cell r="A97">
            <v>4</v>
          </cell>
          <cell r="O97">
            <v>194.43839254400001</v>
          </cell>
        </row>
        <row r="98">
          <cell r="A98">
            <v>5</v>
          </cell>
          <cell r="O98">
            <v>194.43839254400001</v>
          </cell>
        </row>
        <row r="99">
          <cell r="A99">
            <v>6</v>
          </cell>
          <cell r="O99">
            <v>194.43839254400001</v>
          </cell>
        </row>
        <row r="100">
          <cell r="A100">
            <v>7</v>
          </cell>
          <cell r="O100">
            <v>194.43839254400001</v>
          </cell>
        </row>
        <row r="101">
          <cell r="A101">
            <v>8</v>
          </cell>
          <cell r="O101">
            <v>194.43839254400001</v>
          </cell>
        </row>
        <row r="102">
          <cell r="A102">
            <v>9</v>
          </cell>
          <cell r="O102">
            <v>194.43839254400001</v>
          </cell>
        </row>
        <row r="103">
          <cell r="A103">
            <v>10</v>
          </cell>
          <cell r="O103">
            <v>194.43839254400001</v>
          </cell>
        </row>
        <row r="104">
          <cell r="A104">
            <v>11</v>
          </cell>
          <cell r="O104">
            <v>194.43839254400001</v>
          </cell>
        </row>
        <row r="105">
          <cell r="A105">
            <v>13</v>
          </cell>
          <cell r="O105">
            <v>194.43839254400001</v>
          </cell>
        </row>
        <row r="106">
          <cell r="A106">
            <v>14</v>
          </cell>
          <cell r="O106">
            <v>194.43839254400001</v>
          </cell>
        </row>
        <row r="107">
          <cell r="A107">
            <v>15</v>
          </cell>
          <cell r="O107">
            <v>194.43839254400001</v>
          </cell>
        </row>
        <row r="108">
          <cell r="A108">
            <v>16</v>
          </cell>
          <cell r="O108">
            <v>194.43839254400001</v>
          </cell>
        </row>
        <row r="109">
          <cell r="A109">
            <v>82</v>
          </cell>
          <cell r="O109">
            <v>194.93009798400001</v>
          </cell>
        </row>
        <row r="110">
          <cell r="A110">
            <v>83</v>
          </cell>
          <cell r="O110">
            <v>194.93009798400001</v>
          </cell>
        </row>
        <row r="111">
          <cell r="A111">
            <v>84</v>
          </cell>
          <cell r="O111">
            <v>194.93009798400001</v>
          </cell>
        </row>
        <row r="112">
          <cell r="A112">
            <v>85</v>
          </cell>
          <cell r="O112">
            <v>194.93009798400001</v>
          </cell>
        </row>
        <row r="113">
          <cell r="A113">
            <v>86</v>
          </cell>
          <cell r="O113">
            <v>194.93009798400001</v>
          </cell>
        </row>
        <row r="114">
          <cell r="A114">
            <v>87</v>
          </cell>
          <cell r="O114">
            <v>194.93009798400001</v>
          </cell>
        </row>
        <row r="115">
          <cell r="A115">
            <v>89</v>
          </cell>
          <cell r="O115">
            <v>194.93009798400001</v>
          </cell>
        </row>
        <row r="116">
          <cell r="A116">
            <v>90</v>
          </cell>
          <cell r="O116">
            <v>194.93009798400001</v>
          </cell>
        </row>
        <row r="117">
          <cell r="A117">
            <v>91</v>
          </cell>
          <cell r="O117">
            <v>194.93009798400001</v>
          </cell>
        </row>
        <row r="118">
          <cell r="A118">
            <v>92</v>
          </cell>
          <cell r="O118">
            <v>194.93009798400001</v>
          </cell>
        </row>
        <row r="119">
          <cell r="A119">
            <v>93</v>
          </cell>
          <cell r="O119">
            <v>194.93009798400001</v>
          </cell>
        </row>
        <row r="120">
          <cell r="A120">
            <v>95</v>
          </cell>
          <cell r="O120">
            <v>194.93009798400001</v>
          </cell>
        </row>
        <row r="121">
          <cell r="A121">
            <v>96</v>
          </cell>
          <cell r="O121">
            <v>194.93009798400001</v>
          </cell>
        </row>
        <row r="122">
          <cell r="A122">
            <v>145</v>
          </cell>
          <cell r="O122">
            <v>205.76139209600001</v>
          </cell>
        </row>
        <row r="123">
          <cell r="A123">
            <v>146</v>
          </cell>
          <cell r="O123">
            <v>205.76139209600001</v>
          </cell>
        </row>
        <row r="124">
          <cell r="A124">
            <v>97</v>
          </cell>
          <cell r="O124">
            <v>206.85140822299999</v>
          </cell>
        </row>
        <row r="125">
          <cell r="A125">
            <v>98</v>
          </cell>
          <cell r="O125">
            <v>206.85140822299999</v>
          </cell>
        </row>
        <row r="126">
          <cell r="A126">
            <v>99</v>
          </cell>
          <cell r="O126">
            <v>206.85140822299999</v>
          </cell>
        </row>
        <row r="127">
          <cell r="A127">
            <v>100</v>
          </cell>
          <cell r="O127">
            <v>206.85140822299999</v>
          </cell>
        </row>
        <row r="128">
          <cell r="A128">
            <v>101</v>
          </cell>
          <cell r="O128">
            <v>206.85140822299999</v>
          </cell>
        </row>
        <row r="129">
          <cell r="A129">
            <v>102</v>
          </cell>
          <cell r="O129">
            <v>206.85140822299999</v>
          </cell>
        </row>
        <row r="130">
          <cell r="A130">
            <v>103</v>
          </cell>
          <cell r="O130">
            <v>206.85140822299999</v>
          </cell>
        </row>
        <row r="131">
          <cell r="A131">
            <v>104</v>
          </cell>
          <cell r="O131">
            <v>206.85140822299999</v>
          </cell>
        </row>
        <row r="132">
          <cell r="A132">
            <v>105</v>
          </cell>
          <cell r="O132">
            <v>206.85140822299999</v>
          </cell>
        </row>
        <row r="133">
          <cell r="A133">
            <v>106</v>
          </cell>
          <cell r="O133">
            <v>206.85140822299999</v>
          </cell>
        </row>
        <row r="134">
          <cell r="A134">
            <v>107</v>
          </cell>
          <cell r="O134">
            <v>206.85140822299999</v>
          </cell>
        </row>
        <row r="135">
          <cell r="A135">
            <v>108</v>
          </cell>
          <cell r="O135">
            <v>206.85140822299999</v>
          </cell>
        </row>
        <row r="136">
          <cell r="A136">
            <v>109</v>
          </cell>
          <cell r="O136">
            <v>206.85140822299999</v>
          </cell>
        </row>
        <row r="137">
          <cell r="A137">
            <v>110</v>
          </cell>
          <cell r="O137">
            <v>206.85140822299999</v>
          </cell>
        </row>
        <row r="138">
          <cell r="A138">
            <v>111</v>
          </cell>
          <cell r="O138">
            <v>206.85140822299999</v>
          </cell>
        </row>
        <row r="139">
          <cell r="A139">
            <v>112</v>
          </cell>
          <cell r="O139">
            <v>206.85140822299999</v>
          </cell>
        </row>
        <row r="140">
          <cell r="A140">
            <v>113</v>
          </cell>
          <cell r="O140">
            <v>206.85140822299999</v>
          </cell>
        </row>
        <row r="141">
          <cell r="A141">
            <v>114</v>
          </cell>
          <cell r="O141">
            <v>206.85140822299999</v>
          </cell>
        </row>
        <row r="142">
          <cell r="A142">
            <v>115</v>
          </cell>
          <cell r="O142">
            <v>206.85140822299999</v>
          </cell>
        </row>
        <row r="143">
          <cell r="A143">
            <v>116</v>
          </cell>
          <cell r="O143">
            <v>206.85140822299999</v>
          </cell>
        </row>
        <row r="144">
          <cell r="A144">
            <v>117</v>
          </cell>
          <cell r="O144">
            <v>206.85140822299999</v>
          </cell>
        </row>
        <row r="145">
          <cell r="A145">
            <v>118</v>
          </cell>
          <cell r="O145">
            <v>206.85140822299999</v>
          </cell>
        </row>
        <row r="146">
          <cell r="A146">
            <v>119</v>
          </cell>
          <cell r="O146">
            <v>206.85140822299999</v>
          </cell>
        </row>
        <row r="147">
          <cell r="A147">
            <v>120</v>
          </cell>
          <cell r="O147">
            <v>206.85140822299999</v>
          </cell>
        </row>
        <row r="148">
          <cell r="A148">
            <v>121</v>
          </cell>
          <cell r="O148">
            <v>206.85140822299999</v>
          </cell>
        </row>
        <row r="149">
          <cell r="A149">
            <v>122</v>
          </cell>
          <cell r="O149">
            <v>206.85140822299999</v>
          </cell>
        </row>
        <row r="150">
          <cell r="A150">
            <v>123</v>
          </cell>
          <cell r="O150">
            <v>206.85140822299999</v>
          </cell>
        </row>
        <row r="151">
          <cell r="A151">
            <v>124</v>
          </cell>
          <cell r="O151">
            <v>206.85140822299999</v>
          </cell>
        </row>
        <row r="152">
          <cell r="A152">
            <v>125</v>
          </cell>
          <cell r="O152">
            <v>206.85140822299999</v>
          </cell>
        </row>
        <row r="153">
          <cell r="A153">
            <v>126</v>
          </cell>
          <cell r="O153">
            <v>206.85140822299999</v>
          </cell>
        </row>
        <row r="154">
          <cell r="A154">
            <v>127</v>
          </cell>
          <cell r="O154">
            <v>206.85140822299999</v>
          </cell>
        </row>
        <row r="155">
          <cell r="A155">
            <v>128</v>
          </cell>
          <cell r="O155">
            <v>206.85140822299999</v>
          </cell>
        </row>
        <row r="156">
          <cell r="A156">
            <v>129</v>
          </cell>
          <cell r="O156">
            <v>206.85140822299999</v>
          </cell>
        </row>
        <row r="157">
          <cell r="A157">
            <v>130</v>
          </cell>
          <cell r="O157">
            <v>206.85140822299999</v>
          </cell>
        </row>
        <row r="158">
          <cell r="A158">
            <v>131</v>
          </cell>
          <cell r="O158">
            <v>206.85140822299999</v>
          </cell>
        </row>
        <row r="159">
          <cell r="A159">
            <v>132</v>
          </cell>
          <cell r="O159">
            <v>206.85140822299999</v>
          </cell>
        </row>
        <row r="160">
          <cell r="A160">
            <v>133</v>
          </cell>
          <cell r="O160">
            <v>206.85140822299999</v>
          </cell>
        </row>
        <row r="161">
          <cell r="A161">
            <v>134</v>
          </cell>
          <cell r="O161">
            <v>206.85140822299999</v>
          </cell>
        </row>
        <row r="162">
          <cell r="A162">
            <v>135</v>
          </cell>
          <cell r="O162">
            <v>206.85140822299999</v>
          </cell>
        </row>
        <row r="163">
          <cell r="A163">
            <v>136</v>
          </cell>
          <cell r="O163">
            <v>206.85140822299999</v>
          </cell>
        </row>
        <row r="164">
          <cell r="A164">
            <v>137</v>
          </cell>
          <cell r="O164">
            <v>206.85140822299999</v>
          </cell>
        </row>
        <row r="165">
          <cell r="A165">
            <v>138</v>
          </cell>
          <cell r="O165">
            <v>206.85140822299999</v>
          </cell>
        </row>
        <row r="166">
          <cell r="A166">
            <v>139</v>
          </cell>
          <cell r="O166">
            <v>206.85140822299999</v>
          </cell>
        </row>
        <row r="167">
          <cell r="A167">
            <v>140</v>
          </cell>
          <cell r="O167">
            <v>206.85140822299999</v>
          </cell>
        </row>
        <row r="168">
          <cell r="A168">
            <v>141</v>
          </cell>
          <cell r="O168">
            <v>206.85140822299999</v>
          </cell>
        </row>
        <row r="169">
          <cell r="A169">
            <v>142</v>
          </cell>
          <cell r="O169">
            <v>206.85140822299999</v>
          </cell>
        </row>
        <row r="170">
          <cell r="A170">
            <v>143</v>
          </cell>
          <cell r="O170">
            <v>206.85140822299999</v>
          </cell>
        </row>
        <row r="171">
          <cell r="A171">
            <v>144</v>
          </cell>
          <cell r="O171">
            <v>206.85140822299999</v>
          </cell>
        </row>
        <row r="172">
          <cell r="A172">
            <v>147</v>
          </cell>
          <cell r="O172">
            <v>206.85140822299999</v>
          </cell>
        </row>
        <row r="173">
          <cell r="A173">
            <v>148</v>
          </cell>
          <cell r="O173">
            <v>206.85140822299999</v>
          </cell>
        </row>
        <row r="174">
          <cell r="A174">
            <v>149</v>
          </cell>
          <cell r="O174">
            <v>206.85140822299999</v>
          </cell>
        </row>
        <row r="175">
          <cell r="A175">
            <v>150</v>
          </cell>
          <cell r="O175">
            <v>206.85140822299999</v>
          </cell>
        </row>
        <row r="176">
          <cell r="A176">
            <v>151</v>
          </cell>
          <cell r="O176">
            <v>206.85140822299999</v>
          </cell>
        </row>
        <row r="177">
          <cell r="A177">
            <v>152</v>
          </cell>
          <cell r="O177">
            <v>206.85140822299999</v>
          </cell>
        </row>
        <row r="178">
          <cell r="A178">
            <v>153</v>
          </cell>
          <cell r="O178">
            <v>206.85140822299999</v>
          </cell>
        </row>
        <row r="179">
          <cell r="A179">
            <v>154</v>
          </cell>
          <cell r="O179">
            <v>206.85140822299999</v>
          </cell>
        </row>
        <row r="180">
          <cell r="A180">
            <v>155</v>
          </cell>
          <cell r="O180">
            <v>206.85140822299999</v>
          </cell>
        </row>
        <row r="181">
          <cell r="A181">
            <v>156</v>
          </cell>
          <cell r="O181">
            <v>206.85140822299999</v>
          </cell>
        </row>
        <row r="182">
          <cell r="A182">
            <v>157</v>
          </cell>
          <cell r="O182">
            <v>206.85140822299999</v>
          </cell>
        </row>
        <row r="183">
          <cell r="A183">
            <v>158</v>
          </cell>
          <cell r="O183">
            <v>206.85140822299999</v>
          </cell>
        </row>
        <row r="184">
          <cell r="A184">
            <v>159</v>
          </cell>
          <cell r="O184">
            <v>206.85140822299999</v>
          </cell>
        </row>
        <row r="185">
          <cell r="A185">
            <v>160</v>
          </cell>
          <cell r="O185">
            <v>206.85140822299999</v>
          </cell>
        </row>
        <row r="186">
          <cell r="A186">
            <v>41</v>
          </cell>
          <cell r="O186">
            <v>214.262898705</v>
          </cell>
        </row>
        <row r="187">
          <cell r="A187">
            <v>42</v>
          </cell>
          <cell r="O187">
            <v>214.262898705</v>
          </cell>
        </row>
        <row r="188">
          <cell r="A188">
            <v>43</v>
          </cell>
          <cell r="O188">
            <v>214.262898705</v>
          </cell>
        </row>
        <row r="189">
          <cell r="A189">
            <v>44</v>
          </cell>
          <cell r="O189">
            <v>214.262898705</v>
          </cell>
        </row>
        <row r="190">
          <cell r="A190">
            <v>45</v>
          </cell>
          <cell r="O190">
            <v>214.262898705</v>
          </cell>
        </row>
        <row r="191">
          <cell r="A191">
            <v>46</v>
          </cell>
          <cell r="O191">
            <v>214.262898705</v>
          </cell>
        </row>
        <row r="192">
          <cell r="A192">
            <v>47</v>
          </cell>
          <cell r="O192">
            <v>214.262898705</v>
          </cell>
        </row>
        <row r="193">
          <cell r="A193">
            <v>48</v>
          </cell>
          <cell r="O193">
            <v>214.262898705</v>
          </cell>
        </row>
        <row r="194">
          <cell r="A194">
            <v>49</v>
          </cell>
          <cell r="O194">
            <v>214.262898705</v>
          </cell>
        </row>
        <row r="195">
          <cell r="A195">
            <v>50</v>
          </cell>
          <cell r="O195">
            <v>214.262898705</v>
          </cell>
        </row>
        <row r="196">
          <cell r="A196">
            <v>51</v>
          </cell>
          <cell r="O196">
            <v>214.262898705</v>
          </cell>
        </row>
        <row r="197">
          <cell r="A197">
            <v>52</v>
          </cell>
          <cell r="O197">
            <v>214.262898705</v>
          </cell>
        </row>
        <row r="198">
          <cell r="A198">
            <v>53</v>
          </cell>
          <cell r="O198">
            <v>214.262898705</v>
          </cell>
        </row>
        <row r="199">
          <cell r="A199">
            <v>54</v>
          </cell>
          <cell r="O199">
            <v>214.262898705</v>
          </cell>
        </row>
        <row r="200">
          <cell r="A200">
            <v>55</v>
          </cell>
          <cell r="O200">
            <v>214.262898705</v>
          </cell>
        </row>
        <row r="201">
          <cell r="A201">
            <v>56</v>
          </cell>
          <cell r="O201">
            <v>214.262898705</v>
          </cell>
        </row>
        <row r="202">
          <cell r="A202">
            <v>57</v>
          </cell>
          <cell r="O202">
            <v>214.262898705</v>
          </cell>
        </row>
        <row r="203">
          <cell r="A203">
            <v>58</v>
          </cell>
          <cell r="O203">
            <v>214.262898705</v>
          </cell>
        </row>
        <row r="204">
          <cell r="A204">
            <v>59</v>
          </cell>
          <cell r="O204">
            <v>214.262898705</v>
          </cell>
        </row>
        <row r="205">
          <cell r="A205">
            <v>60</v>
          </cell>
          <cell r="O205">
            <v>214.262898705</v>
          </cell>
        </row>
        <row r="206">
          <cell r="A206">
            <v>61</v>
          </cell>
          <cell r="O206">
            <v>214.262898705</v>
          </cell>
        </row>
        <row r="207">
          <cell r="A207">
            <v>62</v>
          </cell>
          <cell r="O207">
            <v>214.262898705</v>
          </cell>
        </row>
        <row r="208">
          <cell r="A208">
            <v>63</v>
          </cell>
          <cell r="O208">
            <v>214.262898705</v>
          </cell>
        </row>
        <row r="209">
          <cell r="A209">
            <v>64</v>
          </cell>
          <cell r="O209">
            <v>214.262898705</v>
          </cell>
        </row>
        <row r="210">
          <cell r="A210">
            <v>33</v>
          </cell>
          <cell r="O210">
            <v>228.324359195</v>
          </cell>
        </row>
        <row r="211">
          <cell r="A211">
            <v>34</v>
          </cell>
          <cell r="O211">
            <v>228.324359195</v>
          </cell>
        </row>
        <row r="212">
          <cell r="A212">
            <v>35</v>
          </cell>
          <cell r="O212">
            <v>228.324359195</v>
          </cell>
        </row>
        <row r="213">
          <cell r="A213">
            <v>36</v>
          </cell>
          <cell r="O213">
            <v>228.324359195</v>
          </cell>
        </row>
        <row r="214">
          <cell r="A214">
            <v>37</v>
          </cell>
          <cell r="O214">
            <v>228.324359195</v>
          </cell>
        </row>
        <row r="215">
          <cell r="A215">
            <v>38</v>
          </cell>
          <cell r="O215">
            <v>228.324359195</v>
          </cell>
        </row>
        <row r="216">
          <cell r="A216">
            <v>39</v>
          </cell>
          <cell r="O216">
            <v>228.324359195</v>
          </cell>
        </row>
        <row r="217">
          <cell r="A217">
            <v>40</v>
          </cell>
          <cell r="O217">
            <v>228.324359195</v>
          </cell>
        </row>
      </sheetData>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ordinates"/>
    </sheetNames>
    <sheetDataSet>
      <sheetData sheetId="0">
        <row r="2">
          <cell r="B2">
            <v>-3.3978609999999998</v>
          </cell>
          <cell r="C2">
            <v>34.837608000000003</v>
          </cell>
          <cell r="J2" t="str">
            <v>Dry_Ag1_T1</v>
          </cell>
        </row>
        <row r="3">
          <cell r="B3">
            <v>-3.397879042</v>
          </cell>
          <cell r="C3">
            <v>34.837536010000001</v>
          </cell>
          <cell r="J3" t="str">
            <v>Dry_Ag1_T2</v>
          </cell>
        </row>
        <row r="4">
          <cell r="B4">
            <v>-3.3978739999999998</v>
          </cell>
          <cell r="C4">
            <v>34.837578999999998</v>
          </cell>
          <cell r="J4" t="str">
            <v>Dry_Ag1_T3</v>
          </cell>
        </row>
        <row r="5">
          <cell r="B5">
            <v>-3.3977780399999999</v>
          </cell>
          <cell r="C5">
            <v>34.83751204</v>
          </cell>
          <cell r="J5" t="str">
            <v>Dry_Ag1_T4</v>
          </cell>
        </row>
        <row r="6">
          <cell r="B6">
            <v>-3.3978020120000001</v>
          </cell>
          <cell r="C6">
            <v>34.83751204</v>
          </cell>
          <cell r="J6" t="str">
            <v>Dry_Ag1_T5</v>
          </cell>
        </row>
        <row r="7">
          <cell r="B7">
            <v>-3.3977389800000002</v>
          </cell>
          <cell r="C7">
            <v>34.837501979999999</v>
          </cell>
          <cell r="J7" t="str">
            <v>Dry_Ag1_T6</v>
          </cell>
        </row>
        <row r="8">
          <cell r="B8">
            <v>-3.3977630360000002</v>
          </cell>
          <cell r="C8">
            <v>34.837600969999997</v>
          </cell>
          <cell r="J8" t="str">
            <v>Dry_Ag1_T7</v>
          </cell>
        </row>
        <row r="9">
          <cell r="B9">
            <v>-3.3977320230000001</v>
          </cell>
          <cell r="C9">
            <v>34.837561989999998</v>
          </cell>
          <cell r="J9" t="str">
            <v>Dry_Ag1_T8</v>
          </cell>
        </row>
        <row r="10">
          <cell r="B10">
            <v>-3.3978290019999999</v>
          </cell>
          <cell r="C10">
            <v>34.837011969999999</v>
          </cell>
          <cell r="J10" t="str">
            <v>Dry_Ag2_T1</v>
          </cell>
        </row>
        <row r="11">
          <cell r="B11">
            <v>-3.3978119869999999</v>
          </cell>
          <cell r="C11">
            <v>34.836968980000002</v>
          </cell>
          <cell r="J11" t="str">
            <v>Dry_Ag2_T2</v>
          </cell>
        </row>
        <row r="12">
          <cell r="B12">
            <v>-3.3977929599999999</v>
          </cell>
          <cell r="C12">
            <v>34.837102999999999</v>
          </cell>
          <cell r="J12" t="str">
            <v>Dry_Ag2_T3</v>
          </cell>
        </row>
        <row r="13">
          <cell r="B13">
            <v>-3.3979050260000001</v>
          </cell>
          <cell r="C13">
            <v>34.837123030000001</v>
          </cell>
          <cell r="J13" t="str">
            <v>Dry_Ag2_T4</v>
          </cell>
        </row>
        <row r="14">
          <cell r="B14">
            <v>-3.3979040199999999</v>
          </cell>
          <cell r="C14">
            <v>34.837027980000002</v>
          </cell>
          <cell r="J14" t="str">
            <v>Dry_Ag2_T5</v>
          </cell>
        </row>
        <row r="15">
          <cell r="B15">
            <v>-3.397854986</v>
          </cell>
          <cell r="C15">
            <v>34.836874010000002</v>
          </cell>
          <cell r="J15" t="str">
            <v>Dry_Ag2_T6</v>
          </cell>
        </row>
        <row r="16">
          <cell r="B16">
            <v>-3.3978060349999999</v>
          </cell>
          <cell r="C16">
            <v>34.837023960000003</v>
          </cell>
          <cell r="J16" t="str">
            <v>Dry_Ag2_T7</v>
          </cell>
        </row>
        <row r="17">
          <cell r="B17">
            <v>-3.3977669760000002</v>
          </cell>
          <cell r="C17">
            <v>34.837181039999997</v>
          </cell>
          <cell r="J17" t="str">
            <v>Dry_Ag2_T8</v>
          </cell>
        </row>
        <row r="18">
          <cell r="B18">
            <v>-3.3854090330000002</v>
          </cell>
          <cell r="C18">
            <v>34.818901029999999</v>
          </cell>
          <cell r="J18" t="str">
            <v>Dry_Ag3_T1</v>
          </cell>
        </row>
        <row r="19">
          <cell r="B19">
            <v>-3.385375002</v>
          </cell>
          <cell r="C19">
            <v>34.818939999999998</v>
          </cell>
          <cell r="J19" t="str">
            <v>Dry_Ag3_T2</v>
          </cell>
        </row>
        <row r="20">
          <cell r="B20">
            <v>-3.3853589930000001</v>
          </cell>
          <cell r="C20">
            <v>34.818991969999999</v>
          </cell>
          <cell r="J20" t="str">
            <v>Dry_Ag3_T3</v>
          </cell>
        </row>
        <row r="21">
          <cell r="B21">
            <v>-3.3853969629999998</v>
          </cell>
          <cell r="C21">
            <v>34.818977969999999</v>
          </cell>
          <cell r="J21" t="str">
            <v>Dry_Ag3_T4</v>
          </cell>
        </row>
        <row r="22">
          <cell r="B22">
            <v>-3.3854019919999998</v>
          </cell>
          <cell r="C22">
            <v>34.81894604</v>
          </cell>
          <cell r="J22" t="str">
            <v>Dry_Ag3_T5</v>
          </cell>
        </row>
        <row r="23">
          <cell r="B23">
            <v>-3.3854470029999999</v>
          </cell>
          <cell r="C23">
            <v>34.818946959999998</v>
          </cell>
          <cell r="J23" t="str">
            <v>Dry_Ag3_T6</v>
          </cell>
        </row>
        <row r="24">
          <cell r="B24">
            <v>-3.3854200130000001</v>
          </cell>
          <cell r="C24">
            <v>34.818856019999998</v>
          </cell>
          <cell r="J24" t="str">
            <v>Dry_Ag3_T7</v>
          </cell>
        </row>
        <row r="25">
          <cell r="B25">
            <v>-3.3853829649999998</v>
          </cell>
          <cell r="C25">
            <v>34.818877980000003</v>
          </cell>
          <cell r="J25" t="str">
            <v>Dry_Ag3_T8</v>
          </cell>
        </row>
        <row r="26">
          <cell r="B26">
            <v>-3.3849129919999998</v>
          </cell>
          <cell r="C26">
            <v>34.818899020000003</v>
          </cell>
          <cell r="J26" t="str">
            <v>Dry_Ag4_T1</v>
          </cell>
        </row>
        <row r="27">
          <cell r="B27">
            <v>-3.3849689999999999</v>
          </cell>
          <cell r="C27">
            <v>34.818908</v>
          </cell>
          <cell r="J27" t="str">
            <v>Dry_Ag4_T2</v>
          </cell>
        </row>
        <row r="28">
          <cell r="B28">
            <v>-3.3849350359999999</v>
          </cell>
          <cell r="C28">
            <v>34.818943019999999</v>
          </cell>
          <cell r="J28" t="str">
            <v>Dry_Ag4_T3</v>
          </cell>
        </row>
        <row r="29">
          <cell r="B29">
            <v>-3.3850070369999998</v>
          </cell>
          <cell r="C29">
            <v>34.818888960000002</v>
          </cell>
          <cell r="J29" t="str">
            <v>Dry_Ag4_T4</v>
          </cell>
        </row>
        <row r="30">
          <cell r="B30">
            <v>-3.3849480280000002</v>
          </cell>
          <cell r="C30">
            <v>34.818854010000003</v>
          </cell>
          <cell r="J30" t="str">
            <v>Dry_Ag4_T5</v>
          </cell>
        </row>
        <row r="31">
          <cell r="B31">
            <v>-3.38496496</v>
          </cell>
          <cell r="C31">
            <v>34.818790970000002</v>
          </cell>
          <cell r="J31" t="str">
            <v>Dry_Ag4_T6</v>
          </cell>
        </row>
        <row r="32">
          <cell r="B32">
            <v>-3.3848409909999999</v>
          </cell>
          <cell r="C32">
            <v>34.818838999999997</v>
          </cell>
          <cell r="J32" t="str">
            <v>Dry_Ag4_T7</v>
          </cell>
        </row>
        <row r="33">
          <cell r="B33">
            <v>-3.3849010060000002</v>
          </cell>
          <cell r="C33">
            <v>34.818979990000003</v>
          </cell>
          <cell r="J33" t="str">
            <v>Dry_Ag4_T8</v>
          </cell>
        </row>
        <row r="34">
          <cell r="B34">
            <v>-3.4092039989999998</v>
          </cell>
          <cell r="C34">
            <v>34.852751009999999</v>
          </cell>
          <cell r="J34" t="str">
            <v>Dry_P1_T1</v>
          </cell>
        </row>
        <row r="35">
          <cell r="B35">
            <v>-3.4092350119999999</v>
          </cell>
          <cell r="C35">
            <v>34.852782019999999</v>
          </cell>
          <cell r="J35" t="str">
            <v>Dry_P1_T2</v>
          </cell>
        </row>
        <row r="36">
          <cell r="B36">
            <v>-3.409177009</v>
          </cell>
          <cell r="C36">
            <v>34.852818990000003</v>
          </cell>
          <cell r="J36" t="str">
            <v>Dry_P1_T3</v>
          </cell>
        </row>
        <row r="37">
          <cell r="B37">
            <v>-3.40917198</v>
          </cell>
          <cell r="C37">
            <v>34.852960979999999</v>
          </cell>
          <cell r="J37" t="str">
            <v>Dry_P1_T4</v>
          </cell>
        </row>
        <row r="38">
          <cell r="B38">
            <v>-3.4090709779999999</v>
          </cell>
          <cell r="C38">
            <v>34.852712029999999</v>
          </cell>
          <cell r="J38" t="str">
            <v>Dry_P1_T5</v>
          </cell>
        </row>
        <row r="39">
          <cell r="B39">
            <v>-3.409280023</v>
          </cell>
          <cell r="C39">
            <v>34.852612960000002</v>
          </cell>
          <cell r="J39" t="str">
            <v>Dry_P1_T6</v>
          </cell>
        </row>
        <row r="40">
          <cell r="B40">
            <v>-3.4093859700000002</v>
          </cell>
          <cell r="C40">
            <v>34.852855030000001</v>
          </cell>
          <cell r="J40" t="str">
            <v>Dry_P1_T7</v>
          </cell>
        </row>
        <row r="41">
          <cell r="B41">
            <v>-3.4091539590000002</v>
          </cell>
          <cell r="C41">
            <v>34.852755029999997</v>
          </cell>
          <cell r="J41" t="str">
            <v>Dry_P1_T8</v>
          </cell>
        </row>
        <row r="42">
          <cell r="B42">
            <v>-3.4083420040000001</v>
          </cell>
          <cell r="C42">
            <v>34.850283040000001</v>
          </cell>
          <cell r="J42" t="str">
            <v>Dry_P2_T1</v>
          </cell>
        </row>
        <row r="43">
          <cell r="B43">
            <v>-3.4084079690000002</v>
          </cell>
          <cell r="C43">
            <v>34.850295029999998</v>
          </cell>
          <cell r="J43" t="str">
            <v>Dry_P2_T2</v>
          </cell>
        </row>
        <row r="44">
          <cell r="B44">
            <v>-3.4082369789999998</v>
          </cell>
          <cell r="C44">
            <v>34.850189999999998</v>
          </cell>
          <cell r="J44" t="str">
            <v>Dry_P2_T3</v>
          </cell>
        </row>
        <row r="45">
          <cell r="B45">
            <v>-3.4081529920000002</v>
          </cell>
          <cell r="C45">
            <v>34.850168959999998</v>
          </cell>
          <cell r="J45" t="str">
            <v>Dry_P2_T4</v>
          </cell>
        </row>
        <row r="46">
          <cell r="B46">
            <v>-3.4081789759999999</v>
          </cell>
          <cell r="C46">
            <v>34.850516980000002</v>
          </cell>
          <cell r="J46" t="str">
            <v>Dry_P2_T5</v>
          </cell>
        </row>
        <row r="47">
          <cell r="B47">
            <v>-3.4084730130000001</v>
          </cell>
          <cell r="C47">
            <v>34.850401980000001</v>
          </cell>
          <cell r="J47" t="str">
            <v>Dry_P2_T6</v>
          </cell>
        </row>
        <row r="48">
          <cell r="B48">
            <v>-3.4084819820000001</v>
          </cell>
          <cell r="C48">
            <v>34.850024040000001</v>
          </cell>
          <cell r="J48" t="str">
            <v>Dry_P2_T7</v>
          </cell>
        </row>
        <row r="49">
          <cell r="B49">
            <v>-3.4081990090000001</v>
          </cell>
          <cell r="C49">
            <v>34.850254960000001</v>
          </cell>
          <cell r="J49" t="str">
            <v>Dry_P2_T8</v>
          </cell>
        </row>
        <row r="50">
          <cell r="B50">
            <v>-3.406225992</v>
          </cell>
          <cell r="C50">
            <v>34.85055998</v>
          </cell>
          <cell r="J50" t="str">
            <v>Dry_P3_T1</v>
          </cell>
        </row>
        <row r="51">
          <cell r="B51">
            <v>-3.4062630399999998</v>
          </cell>
          <cell r="C51">
            <v>34.850566010000001</v>
          </cell>
          <cell r="J51" t="str">
            <v>Dry_P3_T2</v>
          </cell>
        </row>
        <row r="52">
          <cell r="B52">
            <v>-3.4063920379999999</v>
          </cell>
          <cell r="C52">
            <v>34.850696020000001</v>
          </cell>
          <cell r="J52" t="str">
            <v>Dry_P3_T3</v>
          </cell>
        </row>
        <row r="53">
          <cell r="B53">
            <v>-3.4061569999999999</v>
          </cell>
          <cell r="C53">
            <v>34.850738999999997</v>
          </cell>
          <cell r="J53" t="str">
            <v>Dry_P3_T4</v>
          </cell>
        </row>
        <row r="54">
          <cell r="B54">
            <v>-3.4061140000000001</v>
          </cell>
          <cell r="C54">
            <v>34.850596000000003</v>
          </cell>
          <cell r="J54" t="str">
            <v>Dry_P3_T5</v>
          </cell>
        </row>
        <row r="55">
          <cell r="B55">
            <v>-3.406058019</v>
          </cell>
          <cell r="C55">
            <v>34.850466019999999</v>
          </cell>
          <cell r="J55" t="str">
            <v>Dry_P3_T6</v>
          </cell>
        </row>
        <row r="56">
          <cell r="B56">
            <v>-3.4061389879999999</v>
          </cell>
          <cell r="C56">
            <v>34.850574979999998</v>
          </cell>
          <cell r="J56" t="str">
            <v>Dry_P3_T7</v>
          </cell>
        </row>
        <row r="57">
          <cell r="B57">
            <v>-3.4062900300000001</v>
          </cell>
          <cell r="C57">
            <v>34.850441959999998</v>
          </cell>
          <cell r="J57" t="str">
            <v>Dry_P3_T8</v>
          </cell>
        </row>
        <row r="58">
          <cell r="B58">
            <v>-3.4064239729999999</v>
          </cell>
          <cell r="C58">
            <v>34.851213010000002</v>
          </cell>
          <cell r="J58" t="str">
            <v>Dry_P4_T1</v>
          </cell>
        </row>
        <row r="59">
          <cell r="B59">
            <v>-3.4065020079999999</v>
          </cell>
          <cell r="C59">
            <v>34.851056020000001</v>
          </cell>
          <cell r="J59" t="str">
            <v>Dry_P4_T2</v>
          </cell>
        </row>
        <row r="60">
          <cell r="B60">
            <v>-3.4062359670000002</v>
          </cell>
          <cell r="C60">
            <v>34.851107990000003</v>
          </cell>
          <cell r="J60" t="str">
            <v>Dry_P4_T3</v>
          </cell>
        </row>
        <row r="61">
          <cell r="B61">
            <v>-3.406281983</v>
          </cell>
          <cell r="C61">
            <v>34.85137898</v>
          </cell>
          <cell r="J61" t="str">
            <v>Dry_P4_T4</v>
          </cell>
        </row>
        <row r="62">
          <cell r="B62">
            <v>-3.406569986</v>
          </cell>
          <cell r="C62">
            <v>34.851323989999997</v>
          </cell>
          <cell r="J62" t="str">
            <v>Dry_P4_T5</v>
          </cell>
        </row>
        <row r="63">
          <cell r="B63">
            <v>-3.4065180179999999</v>
          </cell>
          <cell r="C63">
            <v>34.85121402</v>
          </cell>
          <cell r="J63" t="str">
            <v>Dry_P4_T6</v>
          </cell>
        </row>
        <row r="64">
          <cell r="B64">
            <v>-3.406334035</v>
          </cell>
          <cell r="C64">
            <v>34.851172030000001</v>
          </cell>
          <cell r="J64" t="str">
            <v>Dry_P4_T7</v>
          </cell>
        </row>
        <row r="65">
          <cell r="B65">
            <v>-3.4063409920000001</v>
          </cell>
          <cell r="C65">
            <v>34.85126004</v>
          </cell>
          <cell r="J65" t="str">
            <v>Dry_P4_T8</v>
          </cell>
        </row>
        <row r="66">
          <cell r="B66">
            <v>-3.2993960379999998</v>
          </cell>
          <cell r="C66">
            <v>34.848240959999998</v>
          </cell>
          <cell r="J66" t="str">
            <v>Dry_W1_T1</v>
          </cell>
        </row>
        <row r="67">
          <cell r="B67">
            <v>-3.2993090340000002</v>
          </cell>
          <cell r="C67">
            <v>34.848404989999999</v>
          </cell>
          <cell r="J67" t="str">
            <v>Dry_W1_T2</v>
          </cell>
        </row>
        <row r="68">
          <cell r="B68">
            <v>-3.299434008</v>
          </cell>
          <cell r="C68">
            <v>34.848514960000003</v>
          </cell>
          <cell r="J68" t="str">
            <v>Dry_W1_T3</v>
          </cell>
        </row>
        <row r="69">
          <cell r="B69">
            <v>-3.2991180099999999</v>
          </cell>
          <cell r="C69">
            <v>34.84824699</v>
          </cell>
          <cell r="J69" t="str">
            <v>Dry_W1_T4</v>
          </cell>
        </row>
        <row r="70">
          <cell r="B70">
            <v>-3.2993180030000002</v>
          </cell>
          <cell r="C70">
            <v>34.848235010000003</v>
          </cell>
          <cell r="J70" t="str">
            <v>Dry_W1_T5</v>
          </cell>
        </row>
        <row r="71">
          <cell r="B71">
            <v>-3.299381034</v>
          </cell>
          <cell r="C71">
            <v>34.848312040000003</v>
          </cell>
          <cell r="J71" t="str">
            <v>Dry_W1_T6</v>
          </cell>
        </row>
        <row r="72">
          <cell r="B72">
            <v>-3.2992429849999998</v>
          </cell>
          <cell r="C72">
            <v>34.847900989999999</v>
          </cell>
          <cell r="J72" t="str">
            <v>Dry_W1_T7</v>
          </cell>
        </row>
        <row r="73">
          <cell r="B73">
            <v>-3.2996540329999999</v>
          </cell>
          <cell r="C73">
            <v>34.848151020000003</v>
          </cell>
          <cell r="J73" t="str">
            <v>Dry_W1_T8</v>
          </cell>
        </row>
        <row r="74">
          <cell r="B74">
            <v>-3.3025860229999999</v>
          </cell>
          <cell r="C74">
            <v>34.848048009999999</v>
          </cell>
          <cell r="J74" t="str">
            <v>Dry_W2_T1</v>
          </cell>
        </row>
        <row r="75">
          <cell r="B75">
            <v>-3.3025779759999998</v>
          </cell>
          <cell r="C75">
            <v>34.848041969999997</v>
          </cell>
          <cell r="J75" t="str">
            <v>Dry_W2_T2</v>
          </cell>
        </row>
        <row r="76">
          <cell r="B76">
            <v>-3.302687025</v>
          </cell>
          <cell r="C76">
            <v>34.847926970000003</v>
          </cell>
          <cell r="J76" t="str">
            <v>Dry_W2_T3</v>
          </cell>
        </row>
        <row r="77">
          <cell r="B77">
            <v>-3.3024560190000001</v>
          </cell>
          <cell r="C77">
            <v>34.847871990000002</v>
          </cell>
          <cell r="J77" t="str">
            <v>Dry_W2_T4</v>
          </cell>
        </row>
        <row r="78">
          <cell r="B78">
            <v>-3.3023280279999998</v>
          </cell>
          <cell r="C78">
            <v>34.848223019999999</v>
          </cell>
          <cell r="J78" t="str">
            <v>Dry_W2_T5</v>
          </cell>
        </row>
        <row r="79">
          <cell r="B79">
            <v>-3.3025680020000001</v>
          </cell>
          <cell r="C79">
            <v>34.848167029999999</v>
          </cell>
          <cell r="J79" t="str">
            <v>Dry_W2_T6</v>
          </cell>
        </row>
        <row r="80">
          <cell r="B80">
            <v>-3.3026270100000001</v>
          </cell>
          <cell r="C80">
            <v>34.84840801</v>
          </cell>
          <cell r="J80" t="str">
            <v>Dry_W2_T7</v>
          </cell>
        </row>
        <row r="81">
          <cell r="B81">
            <v>-3.3028539920000002</v>
          </cell>
          <cell r="C81">
            <v>34.847988999999998</v>
          </cell>
          <cell r="J81" t="str">
            <v>Dry_W2_T8</v>
          </cell>
        </row>
        <row r="82">
          <cell r="B82">
            <v>-3.2957159630000001</v>
          </cell>
          <cell r="C82">
            <v>34.852460999999998</v>
          </cell>
          <cell r="J82" t="str">
            <v>Dry_W3_T1</v>
          </cell>
        </row>
        <row r="83">
          <cell r="B83">
            <v>-3.2957230040000001</v>
          </cell>
          <cell r="C83">
            <v>34.852416990000002</v>
          </cell>
          <cell r="J83" t="str">
            <v>Dry_W3_T2</v>
          </cell>
        </row>
        <row r="84">
          <cell r="B84">
            <v>-3.2957430369999998</v>
          </cell>
          <cell r="C84">
            <v>34.852309030000001</v>
          </cell>
          <cell r="J84" t="str">
            <v>Dry_W3_T3</v>
          </cell>
        </row>
        <row r="85">
          <cell r="B85">
            <v>-3.295795005</v>
          </cell>
          <cell r="C85">
            <v>34.85232001</v>
          </cell>
          <cell r="J85" t="str">
            <v>Dry_W3_T4</v>
          </cell>
        </row>
        <row r="86">
          <cell r="B86">
            <v>-3.2957100119999998</v>
          </cell>
          <cell r="C86">
            <v>34.852283970000002</v>
          </cell>
          <cell r="J86" t="str">
            <v>Dry_W3_T5</v>
          </cell>
        </row>
        <row r="87">
          <cell r="B87">
            <v>-3.2956140399999998</v>
          </cell>
          <cell r="C87">
            <v>34.852137030000002</v>
          </cell>
          <cell r="J87" t="str">
            <v>Dry_W3_T6</v>
          </cell>
        </row>
        <row r="88">
          <cell r="B88">
            <v>-3.295904975</v>
          </cell>
          <cell r="C88">
            <v>34.852136029999997</v>
          </cell>
          <cell r="J88" t="str">
            <v>Dry_W3_T7</v>
          </cell>
        </row>
        <row r="89">
          <cell r="B89">
            <v>-3.2959530039999998</v>
          </cell>
          <cell r="C89">
            <v>34.85242504</v>
          </cell>
          <cell r="J89" t="str">
            <v>Dry_W3_T8</v>
          </cell>
        </row>
        <row r="90">
          <cell r="B90">
            <v>-3.2966709980000002</v>
          </cell>
          <cell r="C90">
            <v>34.854407019999996</v>
          </cell>
          <cell r="J90" t="str">
            <v>Dry_W4_T1</v>
          </cell>
        </row>
        <row r="91">
          <cell r="B91">
            <v>-3.2966860009999999</v>
          </cell>
          <cell r="C91">
            <v>34.854371989999997</v>
          </cell>
          <cell r="J91" t="str">
            <v>Dry_W4_T2</v>
          </cell>
        </row>
        <row r="92">
          <cell r="B92">
            <v>-3.2966180239999998</v>
          </cell>
          <cell r="C92">
            <v>34.854464020000002</v>
          </cell>
          <cell r="J92" t="str">
            <v>Dry_W4_T3</v>
          </cell>
        </row>
        <row r="93">
          <cell r="B93">
            <v>-3.2965539860000002</v>
          </cell>
          <cell r="C93">
            <v>34.854455969999997</v>
          </cell>
          <cell r="J93" t="str">
            <v>Dry_W4_T4</v>
          </cell>
        </row>
        <row r="94">
          <cell r="B94">
            <v>-3.2964789680000002</v>
          </cell>
          <cell r="C94">
            <v>34.854331000000002</v>
          </cell>
          <cell r="J94" t="str">
            <v>Dry_W4_T5</v>
          </cell>
        </row>
        <row r="95">
          <cell r="B95">
            <v>-3.2964649700000002</v>
          </cell>
          <cell r="C95">
            <v>34.854340970000003</v>
          </cell>
          <cell r="J95" t="str">
            <v>Dry_W4_T6</v>
          </cell>
        </row>
        <row r="96">
          <cell r="B96">
            <v>-3.296725983</v>
          </cell>
          <cell r="C96">
            <v>34.854216000000001</v>
          </cell>
          <cell r="J96" t="str">
            <v>Dry_W4_T7</v>
          </cell>
        </row>
        <row r="97">
          <cell r="B97">
            <v>-3.2968360369999998</v>
          </cell>
          <cell r="C97">
            <v>34.854462009999999</v>
          </cell>
          <cell r="J97" t="str">
            <v>Dry_W4_T8</v>
          </cell>
        </row>
        <row r="98">
          <cell r="B98">
            <v>-2.3691620310000001</v>
          </cell>
          <cell r="C98">
            <v>34.06028104</v>
          </cell>
          <cell r="J98" t="str">
            <v>Wet_Ag1_T1</v>
          </cell>
        </row>
        <row r="99">
          <cell r="B99">
            <v>-2.3692249790000002</v>
          </cell>
          <cell r="C99">
            <v>34.060285989999997</v>
          </cell>
          <cell r="J99" t="str">
            <v>Wet_Ag1_T2</v>
          </cell>
        </row>
        <row r="100">
          <cell r="B100">
            <v>-2.369284993</v>
          </cell>
          <cell r="C100">
            <v>34.06028104</v>
          </cell>
          <cell r="J100" t="str">
            <v>Wet_Ag1_T3</v>
          </cell>
        </row>
        <row r="101">
          <cell r="B101">
            <v>-2.3691989950000001</v>
          </cell>
          <cell r="C101">
            <v>34.060208029999998</v>
          </cell>
          <cell r="J101" t="str">
            <v>Wet_Ag1_T4</v>
          </cell>
        </row>
        <row r="102">
          <cell r="B102">
            <v>-2.3691900260000001</v>
          </cell>
          <cell r="C102">
            <v>34.060177019999998</v>
          </cell>
          <cell r="J102" t="str">
            <v>Wet_Ag1_T5</v>
          </cell>
        </row>
        <row r="103">
          <cell r="B103">
            <v>-2.3691350409999998</v>
          </cell>
          <cell r="C103">
            <v>34.06018297</v>
          </cell>
          <cell r="J103" t="str">
            <v>Wet_Ag1_T6</v>
          </cell>
        </row>
        <row r="104">
          <cell r="B104">
            <v>-2.3691330289999999</v>
          </cell>
          <cell r="C104">
            <v>34.060233009999997</v>
          </cell>
          <cell r="J104" t="str">
            <v>Wet_Ag1_T7</v>
          </cell>
        </row>
        <row r="105">
          <cell r="B105">
            <v>-2.3692910280000001</v>
          </cell>
          <cell r="C105">
            <v>34.06016202</v>
          </cell>
          <cell r="J105" t="str">
            <v>Wet_Ag1_T8</v>
          </cell>
        </row>
        <row r="106">
          <cell r="B106">
            <v>-2.3698080240000001</v>
          </cell>
          <cell r="C106">
            <v>34.059671010000002</v>
          </cell>
          <cell r="J106" t="str">
            <v>Wet_Ag2_T1</v>
          </cell>
        </row>
        <row r="107">
          <cell r="B107">
            <v>-2.3697620069999998</v>
          </cell>
          <cell r="C107">
            <v>34.059730010000003</v>
          </cell>
          <cell r="J107" t="str">
            <v>Wet_Ag2_T2</v>
          </cell>
        </row>
        <row r="108">
          <cell r="B108">
            <v>-2.3698409649999999</v>
          </cell>
          <cell r="C108">
            <v>34.059814000000003</v>
          </cell>
          <cell r="J108" t="str">
            <v>Wet_Ag2_T3</v>
          </cell>
        </row>
        <row r="109">
          <cell r="B109">
            <v>-2.3698620030000002</v>
          </cell>
          <cell r="C109">
            <v>34.059759020000001</v>
          </cell>
          <cell r="J109" t="str">
            <v>Wet_Ag2_T4</v>
          </cell>
        </row>
        <row r="110">
          <cell r="B110">
            <v>-2.3698390370000002</v>
          </cell>
          <cell r="C110">
            <v>34.059714</v>
          </cell>
          <cell r="J110" t="str">
            <v>Wet_Ag2_T5</v>
          </cell>
        </row>
        <row r="111">
          <cell r="B111">
            <v>-2.3697549659999999</v>
          </cell>
          <cell r="C111">
            <v>34.059668989999999</v>
          </cell>
          <cell r="J111" t="str">
            <v>Wet_Ag2_T6</v>
          </cell>
        </row>
        <row r="112">
          <cell r="B112">
            <v>-2.3697330060000001</v>
          </cell>
          <cell r="C112">
            <v>34.059615010000002</v>
          </cell>
          <cell r="J112" t="str">
            <v>Wet_Ag2_T7</v>
          </cell>
        </row>
        <row r="113">
          <cell r="B113">
            <v>-2.36967098</v>
          </cell>
          <cell r="C113">
            <v>34.059735959999998</v>
          </cell>
          <cell r="J113" t="str">
            <v>Wet_Ag2_T8</v>
          </cell>
        </row>
        <row r="114">
          <cell r="B114">
            <v>-2.3487199940000001</v>
          </cell>
          <cell r="C114">
            <v>34.051391029999998</v>
          </cell>
          <cell r="J114" t="str">
            <v>Wet_Ag3_T1</v>
          </cell>
        </row>
        <row r="115">
          <cell r="B115">
            <v>-2.348716976</v>
          </cell>
          <cell r="C115">
            <v>34.051484989999999</v>
          </cell>
          <cell r="J115" t="str">
            <v>Wet_Ag3_T2</v>
          </cell>
        </row>
        <row r="116">
          <cell r="B116">
            <v>-2.3487800079999999</v>
          </cell>
          <cell r="C116">
            <v>34.051495969999998</v>
          </cell>
          <cell r="J116" t="str">
            <v>Wet_Ag3_T3</v>
          </cell>
        </row>
        <row r="117">
          <cell r="B117">
            <v>-2.3488120270000001</v>
          </cell>
          <cell r="C117">
            <v>34.05146697</v>
          </cell>
          <cell r="J117" t="str">
            <v>Wet_Ag3_T4</v>
          </cell>
        </row>
        <row r="118">
          <cell r="B118">
            <v>-2.348814961</v>
          </cell>
          <cell r="C118">
            <v>34.051439979999998</v>
          </cell>
          <cell r="J118" t="str">
            <v>Wet_Ag3_T5</v>
          </cell>
        </row>
        <row r="119">
          <cell r="B119">
            <v>-2.3488729629999998</v>
          </cell>
          <cell r="C119">
            <v>34.051454980000003</v>
          </cell>
          <cell r="J119" t="str">
            <v>Wet_Ag3_T6</v>
          </cell>
        </row>
        <row r="120">
          <cell r="B120">
            <v>-2.3488589659999999</v>
          </cell>
          <cell r="C120">
            <v>34.051389010000001</v>
          </cell>
          <cell r="J120" t="str">
            <v>Wet_Ag3_T7</v>
          </cell>
        </row>
        <row r="121">
          <cell r="B121">
            <v>-2.3486449760000001</v>
          </cell>
          <cell r="C121">
            <v>34.051495969999998</v>
          </cell>
          <cell r="J121" t="str">
            <v>Wet_Ag3_T8</v>
          </cell>
        </row>
        <row r="122">
          <cell r="B122">
            <v>-2.3492639789999998</v>
          </cell>
          <cell r="C122">
            <v>34.051464029999998</v>
          </cell>
          <cell r="J122" t="str">
            <v>Wet_Ag4_T1</v>
          </cell>
        </row>
        <row r="123">
          <cell r="B123">
            <v>-2.34923196</v>
          </cell>
          <cell r="C123">
            <v>34.051422039999999</v>
          </cell>
          <cell r="J123" t="str">
            <v>Wet_Ag4_T2</v>
          </cell>
        </row>
        <row r="124">
          <cell r="B124">
            <v>-2.3492390009999999</v>
          </cell>
          <cell r="C124">
            <v>34.051304020000003</v>
          </cell>
          <cell r="J124" t="str">
            <v>Wet_Ag4_T3</v>
          </cell>
        </row>
        <row r="125">
          <cell r="B125">
            <v>-2.3492799889999998</v>
          </cell>
          <cell r="C125">
            <v>34.051280970000001</v>
          </cell>
          <cell r="J125" t="str">
            <v>Wet_Ag4_T4</v>
          </cell>
        </row>
        <row r="126">
          <cell r="B126">
            <v>-2.3493320400000002</v>
          </cell>
          <cell r="C126">
            <v>34.051321960000003</v>
          </cell>
          <cell r="J126" t="str">
            <v>Wet_Ag4_T5</v>
          </cell>
        </row>
        <row r="127">
          <cell r="B127">
            <v>-2.3493509829999999</v>
          </cell>
          <cell r="C127">
            <v>34.051332019999997</v>
          </cell>
          <cell r="J127" t="str">
            <v>Wet_Ag4_T6</v>
          </cell>
        </row>
        <row r="128">
          <cell r="B128">
            <v>-2.3491850219999999</v>
          </cell>
          <cell r="C128">
            <v>34.051264959999997</v>
          </cell>
          <cell r="J128" t="str">
            <v>Wet_Ag4_T7</v>
          </cell>
        </row>
        <row r="129">
          <cell r="B129">
            <v>-2.3493099960000001</v>
          </cell>
          <cell r="C129">
            <v>34.05141802</v>
          </cell>
          <cell r="J129" t="str">
            <v>Wet_Ag4_T8</v>
          </cell>
        </row>
        <row r="130">
          <cell r="B130">
            <v>-2.3503360249999998</v>
          </cell>
          <cell r="C130">
            <v>34.049662009999999</v>
          </cell>
          <cell r="J130" t="str">
            <v>Wet_P1_T1</v>
          </cell>
        </row>
        <row r="131">
          <cell r="B131">
            <v>-2.3503729889999998</v>
          </cell>
          <cell r="C131">
            <v>34.049626969999998</v>
          </cell>
          <cell r="J131" t="str">
            <v>Wet_P1_T2</v>
          </cell>
        </row>
        <row r="132">
          <cell r="B132">
            <v>-2.3503259660000002</v>
          </cell>
          <cell r="C132">
            <v>34.049616999999998</v>
          </cell>
          <cell r="J132" t="str">
            <v>Wet_P1_T3</v>
          </cell>
        </row>
        <row r="133">
          <cell r="B133">
            <v>-2.3504800260000001</v>
          </cell>
          <cell r="C133">
            <v>34.049551030000003</v>
          </cell>
          <cell r="J133" t="str">
            <v>Wet_P1_T4</v>
          </cell>
        </row>
        <row r="134">
          <cell r="B134">
            <v>-2.350474996</v>
          </cell>
          <cell r="C134">
            <v>34.049801979999998</v>
          </cell>
          <cell r="J134" t="str">
            <v>Wet_P1_T5</v>
          </cell>
        </row>
        <row r="135">
          <cell r="B135">
            <v>-2.3503559730000001</v>
          </cell>
          <cell r="C135">
            <v>34.049800980000001</v>
          </cell>
          <cell r="J135" t="str">
            <v>Wet_P1_T6</v>
          </cell>
        </row>
        <row r="136">
          <cell r="B136">
            <v>-2.3503589909999998</v>
          </cell>
          <cell r="C136">
            <v>34.049719000000003</v>
          </cell>
          <cell r="J136" t="str">
            <v>Wet_P1_T7</v>
          </cell>
        </row>
        <row r="137">
          <cell r="B137">
            <v>-2.3502159960000002</v>
          </cell>
          <cell r="C137">
            <v>34.049822020000001</v>
          </cell>
          <cell r="J137" t="str">
            <v>Wet_P1_T8</v>
          </cell>
        </row>
        <row r="138">
          <cell r="B138">
            <v>-2.348596025</v>
          </cell>
          <cell r="C138">
            <v>34.050070959999999</v>
          </cell>
          <cell r="J138" t="str">
            <v>Wet_P2_T1</v>
          </cell>
        </row>
        <row r="139">
          <cell r="B139">
            <v>-2.3485449790000001</v>
          </cell>
          <cell r="C139">
            <v>34.050146980000001</v>
          </cell>
          <cell r="J139" t="str">
            <v>Wet_P2_T2</v>
          </cell>
        </row>
        <row r="140">
          <cell r="B140">
            <v>-2.3487209990000002</v>
          </cell>
          <cell r="C140">
            <v>34.050128039999997</v>
          </cell>
          <cell r="J140" t="str">
            <v>Wet_P2_T3</v>
          </cell>
        </row>
        <row r="141">
          <cell r="B141">
            <v>-2.3486250270000002</v>
          </cell>
          <cell r="C141">
            <v>34.050070959999999</v>
          </cell>
          <cell r="J141" t="str">
            <v>Wet_P2_T4</v>
          </cell>
        </row>
        <row r="142">
          <cell r="B142">
            <v>-2.3486060000000002</v>
          </cell>
          <cell r="C142">
            <v>34.050010020000002</v>
          </cell>
          <cell r="J142" t="str">
            <v>Wet_P2_T5</v>
          </cell>
        </row>
        <row r="143">
          <cell r="B143">
            <v>-2.348618992</v>
          </cell>
          <cell r="C143">
            <v>34.049996030000003</v>
          </cell>
          <cell r="J143" t="str">
            <v>Wet_P2_T6</v>
          </cell>
        </row>
        <row r="144">
          <cell r="B144">
            <v>-2.3484970349999998</v>
          </cell>
          <cell r="C144">
            <v>34.049979010000001</v>
          </cell>
          <cell r="J144" t="str">
            <v>Wet_P2_T7</v>
          </cell>
        </row>
        <row r="145">
          <cell r="B145">
            <v>-2.3486560399999998</v>
          </cell>
          <cell r="C145">
            <v>34.049895020000001</v>
          </cell>
          <cell r="J145" t="str">
            <v>Wet_P2_T8</v>
          </cell>
        </row>
        <row r="146">
          <cell r="B146">
            <v>-2.3675269729999999</v>
          </cell>
          <cell r="C146">
            <v>34.06035799</v>
          </cell>
          <cell r="J146" t="str">
            <v>Wet_P3_T1</v>
          </cell>
        </row>
        <row r="147">
          <cell r="B147">
            <v>-2.3675380370000001</v>
          </cell>
          <cell r="C147">
            <v>34.060381960000001</v>
          </cell>
          <cell r="J147" t="str">
            <v>Wet_P3_T2</v>
          </cell>
        </row>
        <row r="148">
          <cell r="B148">
            <v>-2.3675780180000001</v>
          </cell>
          <cell r="C148">
            <v>34.060323029999999</v>
          </cell>
          <cell r="J148" t="str">
            <v>Wet_P3_T3</v>
          </cell>
        </row>
        <row r="149">
          <cell r="B149">
            <v>-2.3676269689999998</v>
          </cell>
          <cell r="C149">
            <v>34.060310960000002</v>
          </cell>
          <cell r="J149" t="str">
            <v>Wet_P3_T4</v>
          </cell>
        </row>
        <row r="150">
          <cell r="B150">
            <v>-2.3677179960000001</v>
          </cell>
          <cell r="C150">
            <v>34.060324960000003</v>
          </cell>
          <cell r="J150" t="str">
            <v>Wet_P3_T5</v>
          </cell>
        </row>
        <row r="151">
          <cell r="B151">
            <v>-2.3675230329999999</v>
          </cell>
          <cell r="C151">
            <v>34.060512969999998</v>
          </cell>
          <cell r="J151" t="str">
            <v>Wet_P3_T6</v>
          </cell>
        </row>
        <row r="152">
          <cell r="B152">
            <v>-2.3673460070000001</v>
          </cell>
          <cell r="C152">
            <v>34.060310039999997</v>
          </cell>
          <cell r="J152" t="str">
            <v>Wet_P3_T7</v>
          </cell>
        </row>
        <row r="153">
          <cell r="B153">
            <v>-2.367543988</v>
          </cell>
          <cell r="C153">
            <v>34.060168969999999</v>
          </cell>
          <cell r="J153" t="str">
            <v>Wet_P3_T8</v>
          </cell>
        </row>
        <row r="154">
          <cell r="B154">
            <v>-2.3676780150000001</v>
          </cell>
          <cell r="C154">
            <v>34.05937797</v>
          </cell>
          <cell r="J154" t="str">
            <v>Wet_P4_T1</v>
          </cell>
        </row>
        <row r="155">
          <cell r="B155">
            <v>-2.3677299820000002</v>
          </cell>
          <cell r="C155">
            <v>34.059351990000003</v>
          </cell>
          <cell r="J155" t="str">
            <v>Wet_P4_T2</v>
          </cell>
        </row>
        <row r="156">
          <cell r="B156">
            <v>-2.3677119609999999</v>
          </cell>
          <cell r="C156">
            <v>34.059339000000001</v>
          </cell>
          <cell r="J156" t="str">
            <v>Wet_P4_T3</v>
          </cell>
        </row>
        <row r="157">
          <cell r="B157">
            <v>-2.3676950300000001</v>
          </cell>
          <cell r="C157">
            <v>34.059499010000003</v>
          </cell>
          <cell r="J157" t="str">
            <v>Wet_P4_T4</v>
          </cell>
        </row>
        <row r="158">
          <cell r="B158">
            <v>-2.3678019830000001</v>
          </cell>
          <cell r="C158">
            <v>34.059521969999999</v>
          </cell>
          <cell r="J158" t="str">
            <v>Wet_P4_T5</v>
          </cell>
        </row>
        <row r="159">
          <cell r="B159">
            <v>-2.3679270410000002</v>
          </cell>
          <cell r="C159">
            <v>34.059300020000002</v>
          </cell>
          <cell r="J159" t="str">
            <v>Wet_P4_T6</v>
          </cell>
        </row>
        <row r="160">
          <cell r="B160">
            <v>-2.3676829599999998</v>
          </cell>
          <cell r="C160">
            <v>34.059236990000002</v>
          </cell>
          <cell r="J160" t="str">
            <v>Wet_P4_T7</v>
          </cell>
        </row>
        <row r="161">
          <cell r="B161">
            <v>-2.367547005</v>
          </cell>
          <cell r="C161">
            <v>34.059494989999997</v>
          </cell>
          <cell r="J161" t="str">
            <v>Wet_P4_T8</v>
          </cell>
        </row>
        <row r="162">
          <cell r="B162">
            <v>-2.272751033</v>
          </cell>
          <cell r="C162">
            <v>34.023176030000002</v>
          </cell>
          <cell r="J162" t="str">
            <v>Wet_W1_T1</v>
          </cell>
        </row>
        <row r="163">
          <cell r="B163">
            <v>-2.2727060219999999</v>
          </cell>
          <cell r="C163">
            <v>34.023162030000002</v>
          </cell>
          <cell r="J163" t="str">
            <v>Wet_W1_T2</v>
          </cell>
        </row>
        <row r="164">
          <cell r="B164">
            <v>-2.2726719919999998</v>
          </cell>
          <cell r="C164">
            <v>34.023210980000002</v>
          </cell>
          <cell r="J164" t="str">
            <v>Wet_W1_T3</v>
          </cell>
        </row>
        <row r="165">
          <cell r="B165">
            <v>-2.2726180130000002</v>
          </cell>
          <cell r="C165">
            <v>34.023212999999998</v>
          </cell>
          <cell r="J165" t="str">
            <v>Wet_W1_T4</v>
          </cell>
        </row>
        <row r="166">
          <cell r="B166">
            <v>-2.2724750170000001</v>
          </cell>
          <cell r="C166">
            <v>34.02334501</v>
          </cell>
          <cell r="J166" t="str">
            <v>Wet_W1_T5</v>
          </cell>
        </row>
        <row r="167">
          <cell r="B167">
            <v>-2.2725490289999999</v>
          </cell>
          <cell r="C167">
            <v>34.022886020000001</v>
          </cell>
          <cell r="J167" t="str">
            <v>Wet_W1_T6</v>
          </cell>
        </row>
        <row r="168">
          <cell r="B168">
            <v>-2.2729950310000002</v>
          </cell>
          <cell r="C168">
            <v>34.022923990000002</v>
          </cell>
          <cell r="J168" t="str">
            <v>Wet_W1_T7</v>
          </cell>
        </row>
        <row r="169">
          <cell r="B169">
            <v>-2.2729129719999999</v>
          </cell>
          <cell r="C169">
            <v>34.023350039999997</v>
          </cell>
          <cell r="J169" t="str">
            <v>Wet_W1_T8</v>
          </cell>
        </row>
        <row r="170">
          <cell r="B170">
            <v>-2.2784290180000002</v>
          </cell>
          <cell r="C170">
            <v>34.024240030000001</v>
          </cell>
          <cell r="J170" t="str">
            <v>Wet_W2_T1</v>
          </cell>
        </row>
        <row r="171">
          <cell r="B171">
            <v>-2.2784629650000001</v>
          </cell>
          <cell r="C171">
            <v>34.024177999999999</v>
          </cell>
          <cell r="J171" t="str">
            <v>Wet_W2_T2</v>
          </cell>
        </row>
        <row r="172">
          <cell r="B172">
            <v>-2.2785389889999998</v>
          </cell>
          <cell r="C172">
            <v>34.024371039999998</v>
          </cell>
          <cell r="J172" t="str">
            <v>Wet_W2_T3</v>
          </cell>
        </row>
        <row r="173">
          <cell r="B173">
            <v>-2.2781410160000002</v>
          </cell>
          <cell r="C173">
            <v>34.024136009999999</v>
          </cell>
          <cell r="J173" t="str">
            <v>Wet_W2_T4</v>
          </cell>
        </row>
        <row r="174">
          <cell r="B174">
            <v>-2.27856799</v>
          </cell>
          <cell r="C174">
            <v>34.023969970000003</v>
          </cell>
          <cell r="J174" t="str">
            <v>Wet_W2_T5</v>
          </cell>
        </row>
        <row r="175">
          <cell r="B175">
            <v>-2.2786809780000001</v>
          </cell>
          <cell r="C175">
            <v>34.02434899</v>
          </cell>
          <cell r="J175" t="str">
            <v>Wet_W2_T6</v>
          </cell>
        </row>
        <row r="176">
          <cell r="B176">
            <v>-2.2784219779999999</v>
          </cell>
          <cell r="C176">
            <v>34.024374979999997</v>
          </cell>
          <cell r="J176" t="str">
            <v>Wet_W2_T7</v>
          </cell>
        </row>
        <row r="177">
          <cell r="B177">
            <v>-2.2782909679999999</v>
          </cell>
          <cell r="C177">
            <v>34.024574970000003</v>
          </cell>
          <cell r="J177" t="str">
            <v>Wet_W2_T8</v>
          </cell>
        </row>
        <row r="178">
          <cell r="B178">
            <v>-2.277740026</v>
          </cell>
          <cell r="C178">
            <v>34.027640990000002</v>
          </cell>
          <cell r="J178" t="str">
            <v>Wet_W3_T1</v>
          </cell>
        </row>
        <row r="179">
          <cell r="B179">
            <v>-2.2777889760000001</v>
          </cell>
          <cell r="C179">
            <v>34.027664960000003</v>
          </cell>
          <cell r="J179" t="str">
            <v>Wet_W3_T2</v>
          </cell>
        </row>
        <row r="180">
          <cell r="B180">
            <v>-2.2778579589999999</v>
          </cell>
          <cell r="C180">
            <v>34.027682980000002</v>
          </cell>
          <cell r="J180" t="str">
            <v>Wet_W3_T3</v>
          </cell>
        </row>
        <row r="181">
          <cell r="B181">
            <v>-2.2780199809999999</v>
          </cell>
          <cell r="C181">
            <v>34.027705019999999</v>
          </cell>
          <cell r="J181" t="str">
            <v>Wet_W3_T4</v>
          </cell>
        </row>
        <row r="182">
          <cell r="B182">
            <v>-2.2777329850000001</v>
          </cell>
          <cell r="C182">
            <v>34.027422970000003</v>
          </cell>
          <cell r="J182" t="str">
            <v>Wet_W3_T5</v>
          </cell>
        </row>
        <row r="183">
          <cell r="B183">
            <v>-2.2777009659999998</v>
          </cell>
          <cell r="C183">
            <v>34.027393969999999</v>
          </cell>
          <cell r="J183" t="str">
            <v>Wet_W3_T6</v>
          </cell>
        </row>
        <row r="184">
          <cell r="B184">
            <v>-2.2777790019999999</v>
          </cell>
          <cell r="C184">
            <v>34.028066029999998</v>
          </cell>
          <cell r="J184" t="str">
            <v>Wet_W3_T7</v>
          </cell>
        </row>
        <row r="185">
          <cell r="B185">
            <v>-2.2775169829999999</v>
          </cell>
          <cell r="C185">
            <v>34.027766970000002</v>
          </cell>
          <cell r="J185" t="str">
            <v>Wet_W3_T8</v>
          </cell>
        </row>
        <row r="186">
          <cell r="B186">
            <v>-2.2787330300000002</v>
          </cell>
          <cell r="C186">
            <v>34.032136029999997</v>
          </cell>
          <cell r="J186" t="str">
            <v>Wet_W4_T1</v>
          </cell>
        </row>
        <row r="187">
          <cell r="B187">
            <v>-2.278763037</v>
          </cell>
          <cell r="C187">
            <v>34.031974009999999</v>
          </cell>
          <cell r="J187" t="str">
            <v>Wet_W4_T2</v>
          </cell>
        </row>
        <row r="188">
          <cell r="B188">
            <v>-2.2785890289999999</v>
          </cell>
          <cell r="C188">
            <v>34.031841999999997</v>
          </cell>
          <cell r="J188" t="str">
            <v>Wet_W4_T3</v>
          </cell>
        </row>
        <row r="189">
          <cell r="B189">
            <v>-2.278422983</v>
          </cell>
          <cell r="C189">
            <v>34.032261009999999</v>
          </cell>
          <cell r="J189" t="str">
            <v>Wet_W4_T4</v>
          </cell>
        </row>
        <row r="190">
          <cell r="B190">
            <v>-2.2787580080000001</v>
          </cell>
          <cell r="C190">
            <v>34.032463010000001</v>
          </cell>
          <cell r="J190" t="str">
            <v>Wet_W4_T5</v>
          </cell>
        </row>
        <row r="191">
          <cell r="B191">
            <v>-2.2787559960000001</v>
          </cell>
          <cell r="C191">
            <v>34.032268969999997</v>
          </cell>
          <cell r="J191" t="str">
            <v>Wet_W4_T6</v>
          </cell>
        </row>
        <row r="192">
          <cell r="B192">
            <v>-2.278704029</v>
          </cell>
          <cell r="C192">
            <v>34.032182970000001</v>
          </cell>
          <cell r="J192" t="str">
            <v>Wet_W4_T7</v>
          </cell>
        </row>
        <row r="193">
          <cell r="B193">
            <v>-2.2789770269999998</v>
          </cell>
          <cell r="C193">
            <v>34.032051039999999</v>
          </cell>
          <cell r="J193" t="str">
            <v>Wet_W4_T8</v>
          </cell>
        </row>
        <row r="194">
          <cell r="B194">
            <v>-2.4396949910000001</v>
          </cell>
          <cell r="C194">
            <v>34.838574029999997</v>
          </cell>
          <cell r="J194" t="str">
            <v>Tea_CG4</v>
          </cell>
        </row>
        <row r="195">
          <cell r="B195">
            <v>-2.4395990190000001</v>
          </cell>
          <cell r="C195">
            <v>34.838418959999998</v>
          </cell>
          <cell r="J195" t="str">
            <v>Tea_CG3</v>
          </cell>
        </row>
        <row r="196">
          <cell r="B196">
            <v>-2.439403972</v>
          </cell>
          <cell r="C196">
            <v>34.838404959999998</v>
          </cell>
          <cell r="J196" t="str">
            <v>Tea_CG1</v>
          </cell>
        </row>
        <row r="197">
          <cell r="B197">
            <v>-2.4396450349999999</v>
          </cell>
          <cell r="C197">
            <v>34.83836599</v>
          </cell>
          <cell r="J197" t="str">
            <v>Tea_CG2</v>
          </cell>
        </row>
      </sheetData>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ainfall_Dry"/>
    </sheetNames>
    <sheetDataSet>
      <sheetData sheetId="0">
        <row r="2">
          <cell r="A2">
            <v>1</v>
          </cell>
          <cell r="O2">
            <v>6.900000125</v>
          </cell>
        </row>
        <row r="3">
          <cell r="A3">
            <v>3</v>
          </cell>
          <cell r="O3">
            <v>6.900000125</v>
          </cell>
        </row>
        <row r="4">
          <cell r="A4">
            <v>4</v>
          </cell>
          <cell r="O4">
            <v>6.900000125</v>
          </cell>
        </row>
        <row r="5">
          <cell r="A5">
            <v>6</v>
          </cell>
          <cell r="O5">
            <v>6.900000125</v>
          </cell>
        </row>
        <row r="6">
          <cell r="A6">
            <v>7</v>
          </cell>
          <cell r="O6">
            <v>6.900000125</v>
          </cell>
        </row>
        <row r="7">
          <cell r="A7">
            <v>8</v>
          </cell>
          <cell r="O7">
            <v>6.900000125</v>
          </cell>
        </row>
        <row r="8">
          <cell r="A8">
            <v>9</v>
          </cell>
          <cell r="O8">
            <v>6.900000125</v>
          </cell>
        </row>
        <row r="9">
          <cell r="A9">
            <v>11</v>
          </cell>
          <cell r="O9">
            <v>6.900000125</v>
          </cell>
        </row>
        <row r="10">
          <cell r="A10">
            <v>13</v>
          </cell>
          <cell r="O10">
            <v>6.900000125</v>
          </cell>
        </row>
        <row r="11">
          <cell r="A11">
            <v>14</v>
          </cell>
          <cell r="O11">
            <v>6.900000125</v>
          </cell>
        </row>
        <row r="12">
          <cell r="A12">
            <v>15</v>
          </cell>
          <cell r="O12">
            <v>6.900000125</v>
          </cell>
        </row>
        <row r="13">
          <cell r="A13">
            <v>16</v>
          </cell>
          <cell r="O13">
            <v>6.900000125</v>
          </cell>
        </row>
        <row r="14">
          <cell r="A14">
            <v>17</v>
          </cell>
          <cell r="O14">
            <v>6.900000125</v>
          </cell>
        </row>
        <row r="15">
          <cell r="A15">
            <v>18</v>
          </cell>
          <cell r="O15">
            <v>6.900000125</v>
          </cell>
        </row>
        <row r="16">
          <cell r="A16">
            <v>19</v>
          </cell>
          <cell r="O16">
            <v>6.900000125</v>
          </cell>
        </row>
        <row r="17">
          <cell r="A17">
            <v>20</v>
          </cell>
          <cell r="O17">
            <v>6.900000125</v>
          </cell>
        </row>
        <row r="18">
          <cell r="A18">
            <v>21</v>
          </cell>
          <cell r="O18">
            <v>6.900000125</v>
          </cell>
        </row>
        <row r="19">
          <cell r="A19">
            <v>22</v>
          </cell>
          <cell r="O19">
            <v>6.900000125</v>
          </cell>
        </row>
        <row r="20">
          <cell r="A20">
            <v>24</v>
          </cell>
          <cell r="O20">
            <v>6.900000125</v>
          </cell>
        </row>
        <row r="21">
          <cell r="A21">
            <v>25</v>
          </cell>
          <cell r="O21">
            <v>6.900000125</v>
          </cell>
        </row>
        <row r="22">
          <cell r="A22">
            <v>26</v>
          </cell>
          <cell r="O22">
            <v>6.900000125</v>
          </cell>
        </row>
        <row r="23">
          <cell r="A23">
            <v>27</v>
          </cell>
          <cell r="O23">
            <v>6.900000125</v>
          </cell>
        </row>
        <row r="24">
          <cell r="A24">
            <v>28</v>
          </cell>
          <cell r="O24">
            <v>6.900000125</v>
          </cell>
        </row>
        <row r="25">
          <cell r="A25">
            <v>29</v>
          </cell>
          <cell r="O25">
            <v>6.900000125</v>
          </cell>
        </row>
        <row r="26">
          <cell r="A26">
            <v>30</v>
          </cell>
          <cell r="O26">
            <v>6.900000125</v>
          </cell>
        </row>
        <row r="27">
          <cell r="A27">
            <v>32</v>
          </cell>
          <cell r="O27">
            <v>6.900000125</v>
          </cell>
        </row>
        <row r="28">
          <cell r="A28">
            <v>33</v>
          </cell>
          <cell r="O28">
            <v>6.5250000359999998</v>
          </cell>
        </row>
        <row r="29">
          <cell r="A29">
            <v>34</v>
          </cell>
          <cell r="O29">
            <v>6.5250000359999998</v>
          </cell>
        </row>
        <row r="30">
          <cell r="A30">
            <v>35</v>
          </cell>
          <cell r="O30">
            <v>6.5250000359999998</v>
          </cell>
        </row>
        <row r="31">
          <cell r="A31">
            <v>36</v>
          </cell>
          <cell r="O31">
            <v>6.5250000359999998</v>
          </cell>
        </row>
        <row r="32">
          <cell r="A32">
            <v>37</v>
          </cell>
          <cell r="O32">
            <v>6.5250000359999998</v>
          </cell>
        </row>
        <row r="33">
          <cell r="A33">
            <v>38</v>
          </cell>
          <cell r="O33">
            <v>6.5250000359999998</v>
          </cell>
        </row>
        <row r="34">
          <cell r="A34">
            <v>40</v>
          </cell>
          <cell r="O34">
            <v>6.5250000359999998</v>
          </cell>
        </row>
        <row r="35">
          <cell r="A35">
            <v>41</v>
          </cell>
          <cell r="O35">
            <v>6.5250000359999998</v>
          </cell>
        </row>
        <row r="36">
          <cell r="A36">
            <v>42</v>
          </cell>
          <cell r="O36">
            <v>6.5250000359999998</v>
          </cell>
        </row>
        <row r="37">
          <cell r="A37">
            <v>43</v>
          </cell>
          <cell r="O37">
            <v>6.5250000359999998</v>
          </cell>
        </row>
        <row r="38">
          <cell r="A38">
            <v>44</v>
          </cell>
          <cell r="O38">
            <v>6.5250000359999998</v>
          </cell>
        </row>
        <row r="39">
          <cell r="A39">
            <v>45</v>
          </cell>
          <cell r="O39">
            <v>6.5250000359999998</v>
          </cell>
        </row>
        <row r="40">
          <cell r="A40">
            <v>47</v>
          </cell>
          <cell r="O40">
            <v>6.5250000359999998</v>
          </cell>
        </row>
        <row r="41">
          <cell r="A41">
            <v>48</v>
          </cell>
          <cell r="O41">
            <v>6.5250000359999998</v>
          </cell>
        </row>
        <row r="42">
          <cell r="A42">
            <v>49</v>
          </cell>
          <cell r="O42">
            <v>6.5250000359999998</v>
          </cell>
        </row>
        <row r="43">
          <cell r="A43">
            <v>51</v>
          </cell>
          <cell r="O43">
            <v>6.5250000359999998</v>
          </cell>
        </row>
        <row r="44">
          <cell r="A44">
            <v>52</v>
          </cell>
          <cell r="O44">
            <v>6.5250000359999998</v>
          </cell>
        </row>
        <row r="45">
          <cell r="A45">
            <v>53</v>
          </cell>
          <cell r="O45">
            <v>6.5250000359999998</v>
          </cell>
        </row>
        <row r="46">
          <cell r="A46">
            <v>55</v>
          </cell>
          <cell r="O46">
            <v>6.5250000359999998</v>
          </cell>
        </row>
        <row r="47">
          <cell r="A47">
            <v>56</v>
          </cell>
          <cell r="O47">
            <v>6.5250000359999998</v>
          </cell>
        </row>
        <row r="48">
          <cell r="A48">
            <v>57</v>
          </cell>
          <cell r="O48">
            <v>6.5250000359999998</v>
          </cell>
        </row>
        <row r="49">
          <cell r="A49">
            <v>58</v>
          </cell>
          <cell r="O49">
            <v>6.5250000359999998</v>
          </cell>
        </row>
        <row r="50">
          <cell r="A50">
            <v>59</v>
          </cell>
          <cell r="O50">
            <v>6.5250000359999998</v>
          </cell>
        </row>
        <row r="51">
          <cell r="A51">
            <v>60</v>
          </cell>
          <cell r="O51">
            <v>6.5250000359999998</v>
          </cell>
        </row>
        <row r="52">
          <cell r="A52">
            <v>61</v>
          </cell>
          <cell r="O52">
            <v>6.5250000359999998</v>
          </cell>
        </row>
        <row r="53">
          <cell r="A53">
            <v>63</v>
          </cell>
          <cell r="O53">
            <v>6.5250000359999998</v>
          </cell>
        </row>
        <row r="54">
          <cell r="A54">
            <v>64</v>
          </cell>
          <cell r="O54">
            <v>6.5250000359999998</v>
          </cell>
        </row>
        <row r="55">
          <cell r="A55">
            <v>65</v>
          </cell>
          <cell r="O55">
            <v>6.900000125</v>
          </cell>
        </row>
        <row r="56">
          <cell r="A56">
            <v>66</v>
          </cell>
          <cell r="O56">
            <v>6.900000125</v>
          </cell>
        </row>
        <row r="57">
          <cell r="A57">
            <v>68</v>
          </cell>
          <cell r="O57">
            <v>6.900000125</v>
          </cell>
        </row>
        <row r="58">
          <cell r="A58">
            <v>69</v>
          </cell>
          <cell r="O58">
            <v>6.900000125</v>
          </cell>
        </row>
        <row r="59">
          <cell r="A59">
            <v>70</v>
          </cell>
          <cell r="O59">
            <v>6.900000125</v>
          </cell>
        </row>
        <row r="60">
          <cell r="A60">
            <v>71</v>
          </cell>
          <cell r="O60">
            <v>6.900000125</v>
          </cell>
        </row>
        <row r="61">
          <cell r="A61">
            <v>72</v>
          </cell>
          <cell r="O61">
            <v>6.900000125</v>
          </cell>
        </row>
        <row r="62">
          <cell r="A62">
            <v>73</v>
          </cell>
          <cell r="O62">
            <v>6.900000125</v>
          </cell>
        </row>
        <row r="63">
          <cell r="A63">
            <v>74</v>
          </cell>
          <cell r="O63">
            <v>6.900000125</v>
          </cell>
        </row>
        <row r="64">
          <cell r="A64">
            <v>75</v>
          </cell>
          <cell r="O64">
            <v>6.900000125</v>
          </cell>
        </row>
        <row r="65">
          <cell r="A65">
            <v>76</v>
          </cell>
          <cell r="O65">
            <v>6.900000125</v>
          </cell>
        </row>
        <row r="66">
          <cell r="A66">
            <v>78</v>
          </cell>
          <cell r="O66">
            <v>6.900000125</v>
          </cell>
        </row>
        <row r="67">
          <cell r="A67">
            <v>79</v>
          </cell>
          <cell r="O67">
            <v>6.900000125</v>
          </cell>
        </row>
        <row r="68">
          <cell r="A68">
            <v>80</v>
          </cell>
          <cell r="O68">
            <v>6.900000125</v>
          </cell>
        </row>
        <row r="69">
          <cell r="A69">
            <v>81</v>
          </cell>
          <cell r="O69">
            <v>12.563016860999999</v>
          </cell>
        </row>
        <row r="70">
          <cell r="A70">
            <v>82</v>
          </cell>
          <cell r="O70">
            <v>12.563016860999999</v>
          </cell>
        </row>
        <row r="71">
          <cell r="A71">
            <v>83</v>
          </cell>
          <cell r="O71">
            <v>12.563016860999999</v>
          </cell>
        </row>
        <row r="72">
          <cell r="A72">
            <v>84</v>
          </cell>
          <cell r="O72">
            <v>12.563016860999999</v>
          </cell>
        </row>
        <row r="73">
          <cell r="A73">
            <v>86</v>
          </cell>
          <cell r="O73">
            <v>12.563016860999999</v>
          </cell>
        </row>
        <row r="74">
          <cell r="A74">
            <v>87</v>
          </cell>
          <cell r="O74">
            <v>12.563016860999999</v>
          </cell>
        </row>
        <row r="75">
          <cell r="A75">
            <v>88</v>
          </cell>
          <cell r="O75">
            <v>12.563016860999999</v>
          </cell>
        </row>
        <row r="76">
          <cell r="A76">
            <v>89</v>
          </cell>
          <cell r="O76">
            <v>12.563016860999999</v>
          </cell>
        </row>
        <row r="77">
          <cell r="A77">
            <v>90</v>
          </cell>
          <cell r="O77">
            <v>12.563016860999999</v>
          </cell>
        </row>
        <row r="78">
          <cell r="A78">
            <v>91</v>
          </cell>
          <cell r="O78">
            <v>12.563016860999999</v>
          </cell>
        </row>
        <row r="79">
          <cell r="A79">
            <v>92</v>
          </cell>
          <cell r="O79">
            <v>12.563016860999999</v>
          </cell>
        </row>
        <row r="80">
          <cell r="A80">
            <v>93</v>
          </cell>
          <cell r="O80">
            <v>12.563016860999999</v>
          </cell>
        </row>
        <row r="81">
          <cell r="A81">
            <v>95</v>
          </cell>
          <cell r="O81">
            <v>12.563016860999999</v>
          </cell>
        </row>
        <row r="82">
          <cell r="A82">
            <v>96</v>
          </cell>
          <cell r="O82">
            <v>12.563016860999999</v>
          </cell>
        </row>
        <row r="83">
          <cell r="A83">
            <v>97</v>
          </cell>
          <cell r="O83">
            <v>137.19979645800001</v>
          </cell>
        </row>
        <row r="84">
          <cell r="A84">
            <v>98</v>
          </cell>
          <cell r="O84">
            <v>137.19979645800001</v>
          </cell>
        </row>
        <row r="85">
          <cell r="A85">
            <v>100</v>
          </cell>
          <cell r="O85">
            <v>137.19979645800001</v>
          </cell>
        </row>
        <row r="86">
          <cell r="A86">
            <v>101</v>
          </cell>
          <cell r="O86">
            <v>137.19979645800001</v>
          </cell>
        </row>
        <row r="87">
          <cell r="A87">
            <v>102</v>
          </cell>
          <cell r="O87">
            <v>137.19979645800001</v>
          </cell>
        </row>
        <row r="88">
          <cell r="A88">
            <v>103</v>
          </cell>
          <cell r="O88">
            <v>137.19979645800001</v>
          </cell>
        </row>
        <row r="89">
          <cell r="A89">
            <v>104</v>
          </cell>
          <cell r="O89">
            <v>137.19979645800001</v>
          </cell>
        </row>
        <row r="90">
          <cell r="A90">
            <v>105</v>
          </cell>
          <cell r="O90">
            <v>137.19979645800001</v>
          </cell>
        </row>
        <row r="91">
          <cell r="A91">
            <v>106</v>
          </cell>
          <cell r="O91">
            <v>137.19979645800001</v>
          </cell>
        </row>
        <row r="92">
          <cell r="A92">
            <v>107</v>
          </cell>
          <cell r="O92">
            <v>137.19979645800001</v>
          </cell>
        </row>
        <row r="93">
          <cell r="A93">
            <v>108</v>
          </cell>
          <cell r="O93">
            <v>137.19979645800001</v>
          </cell>
        </row>
        <row r="94">
          <cell r="A94">
            <v>109</v>
          </cell>
          <cell r="O94">
            <v>137.19979645800001</v>
          </cell>
        </row>
        <row r="95">
          <cell r="A95">
            <v>110</v>
          </cell>
          <cell r="O95">
            <v>137.19979645800001</v>
          </cell>
        </row>
        <row r="96">
          <cell r="A96">
            <v>111</v>
          </cell>
          <cell r="O96">
            <v>137.19979645800001</v>
          </cell>
        </row>
        <row r="97">
          <cell r="A97">
            <v>113</v>
          </cell>
          <cell r="O97">
            <v>136.27214243</v>
          </cell>
        </row>
        <row r="98">
          <cell r="A98">
            <v>114</v>
          </cell>
          <cell r="O98">
            <v>136.27214243</v>
          </cell>
        </row>
        <row r="99">
          <cell r="A99">
            <v>115</v>
          </cell>
          <cell r="O99">
            <v>136.27214243</v>
          </cell>
        </row>
        <row r="100">
          <cell r="A100">
            <v>116</v>
          </cell>
          <cell r="O100">
            <v>136.27214243</v>
          </cell>
        </row>
        <row r="101">
          <cell r="A101">
            <v>117</v>
          </cell>
          <cell r="O101">
            <v>136.27214243</v>
          </cell>
        </row>
        <row r="102">
          <cell r="A102">
            <v>118</v>
          </cell>
          <cell r="O102">
            <v>136.27214243</v>
          </cell>
        </row>
        <row r="103">
          <cell r="A103">
            <v>119</v>
          </cell>
          <cell r="O103">
            <v>136.27214243</v>
          </cell>
        </row>
        <row r="104">
          <cell r="A104">
            <v>121</v>
          </cell>
          <cell r="O104">
            <v>136.27214243</v>
          </cell>
        </row>
        <row r="105">
          <cell r="A105">
            <v>122</v>
          </cell>
          <cell r="O105">
            <v>136.27214243</v>
          </cell>
        </row>
        <row r="106">
          <cell r="A106">
            <v>123</v>
          </cell>
          <cell r="O106">
            <v>136.27214243</v>
          </cell>
        </row>
        <row r="107">
          <cell r="A107">
            <v>124</v>
          </cell>
          <cell r="O107">
            <v>136.27214243</v>
          </cell>
        </row>
        <row r="108">
          <cell r="A108">
            <v>125</v>
          </cell>
          <cell r="O108">
            <v>136.27214243</v>
          </cell>
        </row>
        <row r="109">
          <cell r="A109">
            <v>127</v>
          </cell>
          <cell r="O109">
            <v>136.27214243</v>
          </cell>
        </row>
        <row r="110">
          <cell r="A110">
            <v>128</v>
          </cell>
          <cell r="O110">
            <v>136.27214243</v>
          </cell>
        </row>
        <row r="111">
          <cell r="A111">
            <v>129</v>
          </cell>
          <cell r="O111">
            <v>136.27214243</v>
          </cell>
        </row>
        <row r="112">
          <cell r="A112">
            <v>130</v>
          </cell>
          <cell r="O112">
            <v>136.27214243</v>
          </cell>
        </row>
        <row r="113">
          <cell r="A113">
            <v>131</v>
          </cell>
          <cell r="O113">
            <v>136.27214243</v>
          </cell>
        </row>
        <row r="114">
          <cell r="A114">
            <v>133</v>
          </cell>
          <cell r="O114">
            <v>136.27214243</v>
          </cell>
        </row>
        <row r="115">
          <cell r="A115">
            <v>134</v>
          </cell>
          <cell r="O115">
            <v>136.27214243</v>
          </cell>
        </row>
        <row r="116">
          <cell r="A116">
            <v>135</v>
          </cell>
          <cell r="O116">
            <v>136.27214243</v>
          </cell>
        </row>
        <row r="117">
          <cell r="A117">
            <v>136</v>
          </cell>
          <cell r="O117">
            <v>136.27214243</v>
          </cell>
        </row>
        <row r="118">
          <cell r="A118">
            <v>137</v>
          </cell>
          <cell r="O118">
            <v>136.27214243</v>
          </cell>
        </row>
        <row r="119">
          <cell r="A119">
            <v>138</v>
          </cell>
          <cell r="O119">
            <v>136.27214243</v>
          </cell>
        </row>
        <row r="120">
          <cell r="A120">
            <v>139</v>
          </cell>
          <cell r="O120">
            <v>136.27214243</v>
          </cell>
        </row>
        <row r="121">
          <cell r="A121">
            <v>140</v>
          </cell>
          <cell r="O121">
            <v>136.27214243</v>
          </cell>
        </row>
        <row r="122">
          <cell r="A122">
            <v>142</v>
          </cell>
          <cell r="O122">
            <v>136.27214243</v>
          </cell>
        </row>
        <row r="123">
          <cell r="A123">
            <v>143</v>
          </cell>
          <cell r="O123">
            <v>136.27214243</v>
          </cell>
        </row>
        <row r="124">
          <cell r="A124">
            <v>144</v>
          </cell>
          <cell r="O124">
            <v>136.27214243</v>
          </cell>
        </row>
        <row r="125">
          <cell r="A125">
            <v>145</v>
          </cell>
          <cell r="O125">
            <v>137.19979645800001</v>
          </cell>
        </row>
        <row r="126">
          <cell r="A126">
            <v>146</v>
          </cell>
          <cell r="O126">
            <v>137.19979645800001</v>
          </cell>
        </row>
        <row r="127">
          <cell r="A127">
            <v>147</v>
          </cell>
          <cell r="O127">
            <v>137.19979645800001</v>
          </cell>
        </row>
        <row r="128">
          <cell r="A128">
            <v>148</v>
          </cell>
          <cell r="O128">
            <v>137.19979645800001</v>
          </cell>
        </row>
        <row r="129">
          <cell r="A129">
            <v>149</v>
          </cell>
          <cell r="O129">
            <v>137.19979645800001</v>
          </cell>
        </row>
        <row r="130">
          <cell r="A130">
            <v>150</v>
          </cell>
          <cell r="O130">
            <v>137.19979645800001</v>
          </cell>
        </row>
        <row r="131">
          <cell r="A131">
            <v>152</v>
          </cell>
          <cell r="O131">
            <v>137.19979645800001</v>
          </cell>
        </row>
        <row r="132">
          <cell r="A132">
            <v>153</v>
          </cell>
          <cell r="O132">
            <v>137.19979645800001</v>
          </cell>
        </row>
        <row r="133">
          <cell r="A133">
            <v>154</v>
          </cell>
          <cell r="O133">
            <v>137.19979645800001</v>
          </cell>
        </row>
        <row r="134">
          <cell r="A134">
            <v>155</v>
          </cell>
          <cell r="O134">
            <v>137.19979645800001</v>
          </cell>
        </row>
        <row r="135">
          <cell r="A135">
            <v>156</v>
          </cell>
          <cell r="O135">
            <v>137.19979645800001</v>
          </cell>
        </row>
        <row r="136">
          <cell r="A136">
            <v>157</v>
          </cell>
          <cell r="O136">
            <v>137.19979645800001</v>
          </cell>
        </row>
        <row r="137">
          <cell r="A137">
            <v>158</v>
          </cell>
          <cell r="O137">
            <v>137.19979645800001</v>
          </cell>
        </row>
        <row r="138">
          <cell r="A138">
            <v>160</v>
          </cell>
          <cell r="O138">
            <v>137.19979645800001</v>
          </cell>
        </row>
        <row r="139">
          <cell r="A139">
            <v>161</v>
          </cell>
          <cell r="O139">
            <v>162.634207253</v>
          </cell>
        </row>
        <row r="140">
          <cell r="A140">
            <v>162</v>
          </cell>
          <cell r="O140">
            <v>162.634207253</v>
          </cell>
        </row>
        <row r="141">
          <cell r="A141">
            <v>163</v>
          </cell>
          <cell r="O141">
            <v>162.634207253</v>
          </cell>
        </row>
        <row r="142">
          <cell r="A142">
            <v>164</v>
          </cell>
          <cell r="O142">
            <v>162.634207253</v>
          </cell>
        </row>
        <row r="143">
          <cell r="A143">
            <v>165</v>
          </cell>
          <cell r="O143">
            <v>162.634207253</v>
          </cell>
        </row>
        <row r="144">
          <cell r="A144">
            <v>166</v>
          </cell>
          <cell r="O144">
            <v>162.634207253</v>
          </cell>
        </row>
        <row r="145">
          <cell r="A145">
            <v>168</v>
          </cell>
          <cell r="O145">
            <v>162.634207253</v>
          </cell>
        </row>
        <row r="146">
          <cell r="A146">
            <v>169</v>
          </cell>
          <cell r="O146">
            <v>162.634207253</v>
          </cell>
        </row>
        <row r="147">
          <cell r="A147">
            <v>170</v>
          </cell>
          <cell r="O147">
            <v>162.634207253</v>
          </cell>
        </row>
        <row r="148">
          <cell r="A148">
            <v>171</v>
          </cell>
          <cell r="O148">
            <v>162.634207253</v>
          </cell>
        </row>
        <row r="149">
          <cell r="A149">
            <v>173</v>
          </cell>
          <cell r="O149">
            <v>162.634207253</v>
          </cell>
        </row>
        <row r="150">
          <cell r="A150">
            <v>174</v>
          </cell>
          <cell r="O150">
            <v>162.634207253</v>
          </cell>
        </row>
        <row r="151">
          <cell r="A151">
            <v>175</v>
          </cell>
          <cell r="O151">
            <v>162.634207253</v>
          </cell>
        </row>
        <row r="152">
          <cell r="A152">
            <v>176</v>
          </cell>
          <cell r="O152">
            <v>162.634207253</v>
          </cell>
        </row>
        <row r="153">
          <cell r="A153">
            <v>177</v>
          </cell>
          <cell r="O153">
            <v>162.634207253</v>
          </cell>
        </row>
        <row r="154">
          <cell r="A154">
            <v>178</v>
          </cell>
          <cell r="O154">
            <v>162.634207253</v>
          </cell>
        </row>
        <row r="155">
          <cell r="A155">
            <v>179</v>
          </cell>
          <cell r="O155">
            <v>162.634207253</v>
          </cell>
        </row>
        <row r="156">
          <cell r="A156">
            <v>180</v>
          </cell>
          <cell r="O156">
            <v>162.634207253</v>
          </cell>
        </row>
        <row r="157">
          <cell r="A157">
            <v>181</v>
          </cell>
          <cell r="O157">
            <v>162.634207253</v>
          </cell>
        </row>
        <row r="158">
          <cell r="A158">
            <v>182</v>
          </cell>
          <cell r="O158">
            <v>162.634207253</v>
          </cell>
        </row>
        <row r="159">
          <cell r="A159">
            <v>184</v>
          </cell>
          <cell r="O159">
            <v>162.634207253</v>
          </cell>
        </row>
        <row r="160">
          <cell r="A160">
            <v>185</v>
          </cell>
          <cell r="O160">
            <v>162.634207253</v>
          </cell>
        </row>
        <row r="161">
          <cell r="A161">
            <v>186</v>
          </cell>
          <cell r="O161">
            <v>162.634207253</v>
          </cell>
        </row>
        <row r="162">
          <cell r="A162">
            <v>187</v>
          </cell>
          <cell r="O162">
            <v>162.634207253</v>
          </cell>
        </row>
        <row r="163">
          <cell r="A163">
            <v>188</v>
          </cell>
          <cell r="O163">
            <v>162.634207253</v>
          </cell>
        </row>
        <row r="164">
          <cell r="A164">
            <v>189</v>
          </cell>
          <cell r="O164">
            <v>162.634207253</v>
          </cell>
        </row>
        <row r="165">
          <cell r="A165">
            <v>190</v>
          </cell>
          <cell r="O165">
            <v>162.634207253</v>
          </cell>
        </row>
        <row r="166">
          <cell r="A166">
            <v>191</v>
          </cell>
          <cell r="O166">
            <v>162.634207253</v>
          </cell>
        </row>
        <row r="167">
          <cell r="A167">
            <v>193</v>
          </cell>
          <cell r="O167">
            <v>171.84818423999999</v>
          </cell>
        </row>
        <row r="168">
          <cell r="A168">
            <v>194</v>
          </cell>
          <cell r="O168">
            <v>171.84818423999999</v>
          </cell>
        </row>
        <row r="169">
          <cell r="A169">
            <v>195</v>
          </cell>
          <cell r="O169">
            <v>171.84818423999999</v>
          </cell>
        </row>
        <row r="170">
          <cell r="A170">
            <v>196</v>
          </cell>
          <cell r="O170">
            <v>171.84818423999999</v>
          </cell>
        </row>
        <row r="171">
          <cell r="A171">
            <v>197</v>
          </cell>
          <cell r="O171">
            <v>171.84818423999999</v>
          </cell>
        </row>
        <row r="172">
          <cell r="A172">
            <v>198</v>
          </cell>
          <cell r="O172">
            <v>171.84818423999999</v>
          </cell>
        </row>
        <row r="173">
          <cell r="A173">
            <v>199</v>
          </cell>
          <cell r="O173">
            <v>171.84818423999999</v>
          </cell>
        </row>
        <row r="174">
          <cell r="A174">
            <v>200</v>
          </cell>
          <cell r="O174">
            <v>171.84818423999999</v>
          </cell>
        </row>
        <row r="175">
          <cell r="A175">
            <v>201</v>
          </cell>
          <cell r="O175">
            <v>171.84818423999999</v>
          </cell>
        </row>
        <row r="176">
          <cell r="A176">
            <v>202</v>
          </cell>
          <cell r="O176">
            <v>171.84818423999999</v>
          </cell>
        </row>
        <row r="177">
          <cell r="A177">
            <v>203</v>
          </cell>
          <cell r="O177">
            <v>171.84818423999999</v>
          </cell>
        </row>
        <row r="178">
          <cell r="A178">
            <v>204</v>
          </cell>
          <cell r="O178">
            <v>171.84818423999999</v>
          </cell>
        </row>
        <row r="179">
          <cell r="A179">
            <v>205</v>
          </cell>
          <cell r="O179">
            <v>171.84818423999999</v>
          </cell>
        </row>
        <row r="180">
          <cell r="A180">
            <v>206</v>
          </cell>
          <cell r="O180">
            <v>171.84818423999999</v>
          </cell>
        </row>
        <row r="181">
          <cell r="A181">
            <v>207</v>
          </cell>
          <cell r="O181">
            <v>171.84818423999999</v>
          </cell>
        </row>
        <row r="182">
          <cell r="A182">
            <v>208</v>
          </cell>
          <cell r="O182">
            <v>171.84818423999999</v>
          </cell>
        </row>
        <row r="183">
          <cell r="A183">
            <v>209</v>
          </cell>
          <cell r="O183">
            <v>171.84818423999999</v>
          </cell>
        </row>
        <row r="184">
          <cell r="A184">
            <v>210</v>
          </cell>
          <cell r="O184">
            <v>171.84818423999999</v>
          </cell>
        </row>
        <row r="185">
          <cell r="A185">
            <v>211</v>
          </cell>
          <cell r="O185">
            <v>171.84818423999999</v>
          </cell>
        </row>
        <row r="186">
          <cell r="A186">
            <v>211</v>
          </cell>
          <cell r="O186">
            <v>171.84818423999999</v>
          </cell>
        </row>
        <row r="187">
          <cell r="A187">
            <v>212</v>
          </cell>
          <cell r="O187">
            <v>171.84818423999999</v>
          </cell>
        </row>
        <row r="188">
          <cell r="A188">
            <v>213</v>
          </cell>
          <cell r="O188">
            <v>171.84818423999999</v>
          </cell>
        </row>
        <row r="189">
          <cell r="A189">
            <v>214</v>
          </cell>
          <cell r="O189">
            <v>171.84818423999999</v>
          </cell>
        </row>
        <row r="190">
          <cell r="A190">
            <v>216</v>
          </cell>
          <cell r="O190">
            <v>171.84818423999999</v>
          </cell>
        </row>
        <row r="191">
          <cell r="A191">
            <v>217</v>
          </cell>
          <cell r="O191">
            <v>171.84818423999999</v>
          </cell>
        </row>
        <row r="192">
          <cell r="A192">
            <v>218</v>
          </cell>
          <cell r="O192">
            <v>171.84818423999999</v>
          </cell>
        </row>
        <row r="193">
          <cell r="A193">
            <v>219</v>
          </cell>
          <cell r="O193">
            <v>171.84818423999999</v>
          </cell>
        </row>
        <row r="194">
          <cell r="A194">
            <v>220</v>
          </cell>
          <cell r="O194">
            <v>171.84818423999999</v>
          </cell>
        </row>
      </sheetData>
    </sheetDataSet>
  </externalBook>
</externalLink>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C6D47407-5CFD-40F7-9B6D-804A35192386}" name="Tabell1" displayName="Tabell1" ref="A1:G221" totalsRowShown="0">
  <autoFilter ref="A1:G221" xr:uid="{87D6DA96-7E31-4009-895C-0A2AD5114E90}"/>
  <tableColumns count="7">
    <tableColumn id="1" xr3:uid="{A0246395-C074-40E3-914D-39F3418AE8A4}" name="Plotnr" dataDxfId="3"/>
    <tableColumn id="3" xr3:uid="{FF77EEBE-EE38-49C8-8ACB-DCC7F67660EB}" name="REDexcl"/>
    <tableColumn id="4" xr3:uid="{E9FB8996-D0A0-4218-9256-57BD4954DA9F}" name="REDop"/>
    <tableColumn id="5" xr3:uid="{797608D0-8403-46FA-9B09-253352F156C0}" name="GREENexcl"/>
    <tableColumn id="6" xr3:uid="{E28BCD63-CE2D-4DFD-9A28-FB570B1F0D1B}" name="GREENop"/>
    <tableColumn id="2" xr3:uid="{E2DF98D1-441D-4AB0-9902-4D0A2D79332B}" name="SiteCode" dataDxfId="2"/>
    <tableColumn id="7" xr3:uid="{8153671F-9C79-45A0-80DF-E269B6563482}" name="Comment"/>
  </tableColumns>
  <tableStyleInfo name="TableStyleMedium21"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table" Target="../tables/table1.xml"/><Relationship Id="rId1" Type="http://schemas.openxmlformats.org/officeDocument/2006/relationships/vmlDrawing" Target="../drawings/vmlDrawing1.vml"/></Relationships>
</file>

<file path=xl/worksheets/_rels/sheet6.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3.bin"/></Relationships>
</file>

<file path=xl/worksheets/_rels/sheet7.xml.rels><?xml version="1.0" encoding="UTF-8" standalone="yes"?>
<Relationships xmlns="http://schemas.openxmlformats.org/package/2006/relationships"><Relationship Id="rId2" Type="http://schemas.openxmlformats.org/officeDocument/2006/relationships/comments" Target="../comments3.xml"/><Relationship Id="rId1" Type="http://schemas.openxmlformats.org/officeDocument/2006/relationships/vmlDrawing" Target="../drawings/vmlDrawing3.vml"/></Relationships>
</file>

<file path=xl/worksheets/_rels/sheet8.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printerSettings" Target="../printerSettings/printerSettings4.bin"/></Relationships>
</file>

<file path=xl/worksheets/_rels/sheet9.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printerSettings" Target="../printerSettings/printerSettings5.bin"/></Relationships>
</file>

<file path=xl/worksheets/_rels/sheet10.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printerSettings" Target="../printerSettings/printerSettings6.bin"/></Relationships>
</file>

<file path=xl/worksheets/_rels/sheet11.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vmlDrawing" Target="../drawings/vmlDrawing7.vml"/><Relationship Id="rId1" Type="http://schemas.openxmlformats.org/officeDocument/2006/relationships/printerSettings" Target="../printerSettings/printerSettings7.bin"/></Relationships>
</file>

<file path=xl/worksheets/_rels/sheet12.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vmlDrawing" Target="../drawings/vmlDrawing8.vml"/><Relationship Id="rId1" Type="http://schemas.openxmlformats.org/officeDocument/2006/relationships/printerSettings" Target="../printerSettings/printerSettings8.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4.xml.rels><?xml version="1.0" encoding="UTF-8" standalone="yes"?>
<Relationships xmlns="http://schemas.openxmlformats.org/package/2006/relationships"><Relationship Id="rId2" Type="http://schemas.openxmlformats.org/officeDocument/2006/relationships/comments" Target="../comments9.xml"/><Relationship Id="rId1" Type="http://schemas.openxmlformats.org/officeDocument/2006/relationships/vmlDrawing" Target="../drawings/vmlDrawing9.vml"/></Relationships>
</file>

<file path=xl/worksheets/_rels/sheet16.xml.rels><?xml version="1.0" encoding="UTF-8" standalone="yes"?>
<Relationships xmlns="http://schemas.openxmlformats.org/package/2006/relationships"><Relationship Id="rId3" Type="http://schemas.openxmlformats.org/officeDocument/2006/relationships/comments" Target="../comments10.xml"/><Relationship Id="rId2" Type="http://schemas.openxmlformats.org/officeDocument/2006/relationships/vmlDrawing" Target="../drawings/vmlDrawing10.vml"/><Relationship Id="rId1" Type="http://schemas.openxmlformats.org/officeDocument/2006/relationships/printerSettings" Target="../printerSettings/printerSettings10.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20.xml.rels><?xml version="1.0" encoding="UTF-8" standalone="yes"?>
<Relationships xmlns="http://schemas.openxmlformats.org/package/2006/relationships"><Relationship Id="rId3" Type="http://schemas.openxmlformats.org/officeDocument/2006/relationships/printerSettings" Target="../printerSettings/printerSettings12.bin"/><Relationship Id="rId2" Type="http://schemas.openxmlformats.org/officeDocument/2006/relationships/hyperlink" Target="mailto:andersun@stud.ntnu.no" TargetMode="External"/><Relationship Id="rId1" Type="http://schemas.openxmlformats.org/officeDocument/2006/relationships/hyperlink" Target="mailto:stuart.smith@ntnu.no" TargetMode="External"/><Relationship Id="rId5" Type="http://schemas.openxmlformats.org/officeDocument/2006/relationships/comments" Target="../comments11.xml"/><Relationship Id="rId4" Type="http://schemas.openxmlformats.org/officeDocument/2006/relationships/vmlDrawing" Target="../drawings/vmlDrawing11.vml"/></Relationships>
</file>

<file path=xl/worksheets/_rels/sheet21.xml.rels><?xml version="1.0" encoding="UTF-8" standalone="yes"?>
<Relationships xmlns="http://schemas.openxmlformats.org/package/2006/relationships"><Relationship Id="rId3" Type="http://schemas.openxmlformats.org/officeDocument/2006/relationships/printerSettings" Target="../printerSettings/printerSettings13.bin"/><Relationship Id="rId2" Type="http://schemas.openxmlformats.org/officeDocument/2006/relationships/hyperlink" Target="mailto:andersun@stud.ntnu.no" TargetMode="External"/><Relationship Id="rId1" Type="http://schemas.openxmlformats.org/officeDocument/2006/relationships/hyperlink" Target="mailto:stuart.smith@ntnu.no" TargetMode="External"/><Relationship Id="rId5" Type="http://schemas.openxmlformats.org/officeDocument/2006/relationships/comments" Target="../comments12.xml"/><Relationship Id="rId4" Type="http://schemas.openxmlformats.org/officeDocument/2006/relationships/vmlDrawing" Target="../drawings/vmlDrawing12.vml"/></Relationships>
</file>

<file path=xl/worksheets/_rels/sheet22.xml.rels><?xml version="1.0" encoding="UTF-8" standalone="yes"?>
<Relationships xmlns="http://schemas.openxmlformats.org/package/2006/relationships"><Relationship Id="rId3" Type="http://schemas.openxmlformats.org/officeDocument/2006/relationships/printerSettings" Target="../printerSettings/printerSettings14.bin"/><Relationship Id="rId2" Type="http://schemas.openxmlformats.org/officeDocument/2006/relationships/hyperlink" Target="mailto:andersun@stud.ntnu.no" TargetMode="External"/><Relationship Id="rId1" Type="http://schemas.openxmlformats.org/officeDocument/2006/relationships/hyperlink" Target="mailto:stuart.smith@ntnu.no" TargetMode="External"/><Relationship Id="rId5" Type="http://schemas.openxmlformats.org/officeDocument/2006/relationships/comments" Target="../comments13.xml"/><Relationship Id="rId4" Type="http://schemas.openxmlformats.org/officeDocument/2006/relationships/vmlDrawing" Target="../drawings/vmlDrawing13.vml"/></Relationships>
</file>

<file path=xl/worksheets/_rels/sheet23.xml.rels><?xml version="1.0" encoding="UTF-8" standalone="yes"?>
<Relationships xmlns="http://schemas.openxmlformats.org/package/2006/relationships"><Relationship Id="rId3" Type="http://schemas.openxmlformats.org/officeDocument/2006/relationships/printerSettings" Target="../printerSettings/printerSettings15.bin"/><Relationship Id="rId2" Type="http://schemas.openxmlformats.org/officeDocument/2006/relationships/hyperlink" Target="mailto:andersun@stud.ntnu.no" TargetMode="External"/><Relationship Id="rId1" Type="http://schemas.openxmlformats.org/officeDocument/2006/relationships/hyperlink" Target="mailto:stuart.smith@ntnu.no" TargetMode="External"/><Relationship Id="rId5" Type="http://schemas.openxmlformats.org/officeDocument/2006/relationships/comments" Target="../comments14.xml"/><Relationship Id="rId4" Type="http://schemas.openxmlformats.org/officeDocument/2006/relationships/vmlDrawing" Target="../drawings/vmlDrawing14.v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DA9600A-F5EB-45DC-8C04-9CC3874CF9AE}">
  <dimension ref="A1:AP881"/>
  <sheetViews>
    <sheetView tabSelected="1" zoomScale="55" zoomScaleNormal="55" workbookViewId="0">
      <pane xSplit="9" ySplit="1" topLeftCell="J179" activePane="bottomRight" state="frozen"/>
      <selection pane="topRight" activeCell="F1" sqref="F1"/>
      <selection pane="bottomLeft" activeCell="A2" sqref="A2"/>
      <selection pane="bottomRight" activeCell="F190" sqref="F190"/>
    </sheetView>
  </sheetViews>
  <sheetFormatPr baseColWidth="10" defaultColWidth="11.44140625" defaultRowHeight="14.4"/>
  <cols>
    <col min="1" max="1" width="15.44140625" customWidth="1"/>
    <col min="2" max="2" width="11.44140625" style="221"/>
    <col min="3" max="3" width="6.109375" style="221" customWidth="1"/>
    <col min="4" max="8" width="11.44140625" style="221"/>
    <col min="9" max="9" width="20.109375" style="222" customWidth="1"/>
    <col min="10" max="11" width="11.44140625" style="221"/>
    <col min="13" max="14" width="11.44140625" style="194"/>
    <col min="15" max="15" width="11.44140625" style="233"/>
    <col min="16" max="18" width="11.44140625" style="194"/>
    <col min="19" max="19" width="21.88671875" style="194" customWidth="1"/>
    <col min="20" max="20" width="24.44140625" style="194" customWidth="1"/>
    <col min="21" max="22" width="11.44140625" style="16"/>
    <col min="23" max="24" width="11.44140625" style="17"/>
    <col min="30" max="30" width="16.88671875" customWidth="1"/>
    <col min="34" max="34" width="11.44140625" style="236"/>
  </cols>
  <sheetData>
    <row r="1" spans="1:42" ht="87" thickBot="1">
      <c r="A1" s="70" t="s">
        <v>3247</v>
      </c>
      <c r="B1" s="247" t="s">
        <v>2451</v>
      </c>
      <c r="C1" s="70" t="s">
        <v>2159</v>
      </c>
      <c r="D1" s="70" t="s">
        <v>2627</v>
      </c>
      <c r="E1" s="70" t="s">
        <v>2648</v>
      </c>
      <c r="F1" s="70" t="s">
        <v>2632</v>
      </c>
      <c r="G1" s="70" t="s">
        <v>2625</v>
      </c>
      <c r="H1" s="228" t="s">
        <v>2626</v>
      </c>
      <c r="I1" s="228" t="s">
        <v>3185</v>
      </c>
      <c r="J1" s="70" t="s">
        <v>25</v>
      </c>
      <c r="K1" s="70" t="s">
        <v>2647</v>
      </c>
      <c r="L1" s="70" t="s">
        <v>2631</v>
      </c>
      <c r="M1" s="269" t="s">
        <v>2633</v>
      </c>
      <c r="N1" s="269" t="s">
        <v>2634</v>
      </c>
      <c r="O1" s="267" t="s">
        <v>2635</v>
      </c>
      <c r="P1" s="269" t="s">
        <v>2636</v>
      </c>
      <c r="Q1" s="269" t="s">
        <v>2637</v>
      </c>
      <c r="R1" s="269" t="s">
        <v>2638</v>
      </c>
      <c r="S1" s="269" t="s">
        <v>2639</v>
      </c>
      <c r="T1" s="269" t="s">
        <v>2640</v>
      </c>
      <c r="U1" s="229" t="s">
        <v>2642</v>
      </c>
      <c r="V1" s="230" t="s">
        <v>31</v>
      </c>
      <c r="W1" s="231" t="s">
        <v>2641</v>
      </c>
      <c r="X1" s="231" t="s">
        <v>2934</v>
      </c>
      <c r="Y1" s="231" t="s">
        <v>2646</v>
      </c>
      <c r="Z1" s="231" t="s">
        <v>2661</v>
      </c>
      <c r="AA1" s="231" t="s">
        <v>2657</v>
      </c>
      <c r="AB1" s="231" t="s">
        <v>2658</v>
      </c>
      <c r="AC1" s="231" t="s">
        <v>2659</v>
      </c>
      <c r="AD1" s="231" t="s">
        <v>2662</v>
      </c>
      <c r="AE1" s="231" t="s">
        <v>2660</v>
      </c>
      <c r="AF1" s="232" t="s">
        <v>2665</v>
      </c>
      <c r="AG1" s="232" t="s">
        <v>2666</v>
      </c>
      <c r="AH1" s="235" t="s">
        <v>2663</v>
      </c>
      <c r="AI1" s="232" t="s">
        <v>2664</v>
      </c>
      <c r="AJ1" s="232" t="s">
        <v>2670</v>
      </c>
      <c r="AK1" s="232" t="s">
        <v>2671</v>
      </c>
      <c r="AL1" s="232" t="s">
        <v>2672</v>
      </c>
      <c r="AM1" s="232" t="s">
        <v>2673</v>
      </c>
      <c r="AN1" s="241" t="s">
        <v>2803</v>
      </c>
      <c r="AO1" s="241" t="s">
        <v>2804</v>
      </c>
      <c r="AP1" s="241" t="s">
        <v>2805</v>
      </c>
    </row>
    <row r="2" spans="1:42">
      <c r="A2" t="s">
        <v>3248</v>
      </c>
      <c r="B2" s="248" t="s">
        <v>2454</v>
      </c>
      <c r="C2" s="253">
        <f>'Dry_Litterbag Placem_Collection'!A3</f>
        <v>1</v>
      </c>
      <c r="D2" s="253" t="str">
        <f>'Dry_Litterbag Placem_Collection'!B3</f>
        <v>Makao</v>
      </c>
      <c r="E2" s="253" t="s">
        <v>2643</v>
      </c>
      <c r="F2" s="253" t="s">
        <v>2644</v>
      </c>
      <c r="G2" s="253">
        <v>1</v>
      </c>
      <c r="H2" s="253" t="s">
        <v>3099</v>
      </c>
      <c r="I2" s="254" t="str">
        <f>'Dry_Litterbag Placem_Collection'!C3</f>
        <v>Dry_Ag1_T1</v>
      </c>
      <c r="J2" s="255" t="s">
        <v>2525</v>
      </c>
      <c r="K2" s="256" t="s">
        <v>1147</v>
      </c>
      <c r="L2" s="221" t="str">
        <f>'WetLitterbags placem_collection'!K3</f>
        <v>G436</v>
      </c>
      <c r="M2" s="223">
        <f>IFERROR(INDEX('Green_rooibos initial weight'!$C$5:$C$2000,MATCH(L2, 'Green_rooibos initial weight'!$A$5:$A$2000,0)),"")</f>
        <v>2.0329999999999999</v>
      </c>
      <c r="N2" s="223">
        <f>IFERROR(M2-(TBIcalc!$H$9+TBIcalc!$H$10),"")</f>
        <v>1.7831999999999999</v>
      </c>
      <c r="O2" s="378">
        <f>AVERAGE(Ashed_controlls!$K$2:$K$11)</f>
        <v>5.5147656768714146</v>
      </c>
      <c r="P2" s="223">
        <f>IFERROR(N2-(O2/100)*N2,"")</f>
        <v>1.6848606984500289</v>
      </c>
      <c r="Q2" s="223">
        <f>IFERROR(INDEX('Both teabags AfterWet'!$C$3:$C$840,MATCH(L2,'Both teabags AfterWet'!$A$3:$A$840,0)),"")</f>
        <v>0.43290000000000001</v>
      </c>
      <c r="R2" s="223">
        <f>IFERROR(IF(Q2&gt;0,Q2-(TBIcalc!$H$9),""),"")</f>
        <v>0.2823</v>
      </c>
      <c r="S2" s="223">
        <f>IFERROR(INDEX('Ashed teabags wet'!$K$2:$K$2000,MATCH(L2,'Ashed teabags wet'!$A$2:$A$2000,0)),"")</f>
        <v>27.683896620278237</v>
      </c>
      <c r="T2" s="223">
        <f>IFERROR(R2-(S2/100)*R2,"")</f>
        <v>0.20414835984095453</v>
      </c>
      <c r="U2" s="224">
        <f>'WetLitterbags placem_collection'!E3</f>
        <v>42766</v>
      </c>
      <c r="V2" s="224">
        <f>IF('WetLitterbags placem_collection'!G3="","",'WetLitterbags placem_collection'!G3)</f>
        <v>42818</v>
      </c>
      <c r="W2" s="225">
        <f t="shared" ref="W2:W65" si="0">IFERROR(V2-U2,"")</f>
        <v>52</v>
      </c>
      <c r="X2" s="223">
        <f>IFERROR(N2-R2,"")</f>
        <v>1.5008999999999999</v>
      </c>
      <c r="Y2" s="223">
        <f>IFERROR(P2-T2,"")</f>
        <v>1.4807123386090744</v>
      </c>
      <c r="Z2">
        <f>IFERROR(INDEX([1]Rainfall_Wet!$O$2:$O$217,MATCH(C2, [1]Rainfall_Wet!$A$2:$A$217,0)),"")</f>
        <v>194.43839254400001</v>
      </c>
      <c r="AA2" s="226">
        <v>12.565665055683967</v>
      </c>
      <c r="AB2" s="226">
        <v>0.9665896196679955</v>
      </c>
      <c r="AC2" s="226">
        <v>86.467745324648035</v>
      </c>
      <c r="AD2" s="227" t="s">
        <v>2653</v>
      </c>
      <c r="AE2" s="226">
        <v>1.0225726959093147</v>
      </c>
      <c r="AF2">
        <f>IF('WetLitterbags placem_collection'!AB3="","",'WetLitterbags placem_collection'!AB3)</f>
        <v>26.4</v>
      </c>
      <c r="AG2">
        <f>IF('WetLitterbags placem_collection'!Z3="","",'WetLitterbags placem_collection'!Z3)</f>
        <v>41</v>
      </c>
      <c r="AH2" s="236" t="str">
        <f>IF('WetLitterbags placem_collection'!AA3="","",'WetLitterbags placem_collection'!AA3)</f>
        <v>M</v>
      </c>
      <c r="AI2">
        <f>IF('WetLitterbags placem_collection'!AC3="","",'WetLitterbags placem_collection'!AC3)</f>
        <v>1</v>
      </c>
      <c r="AJ2" s="233">
        <f>AVERAGE('WetLitterbags placem_collection'!S3,'WetLitterbags placem_collection'!U3)</f>
        <v>14.75</v>
      </c>
      <c r="AK2">
        <f>AVERAGE('WetLitterbags placem_collection'!R3,'WetLitterbags placem_collection'!T3)</f>
        <v>24.7</v>
      </c>
      <c r="AL2">
        <f>INDEX([2]Coordinates!$B$2:$B$197,MATCH(I2,[2]Coordinates!$J$2:$J$197,0))</f>
        <v>-3.3978609999999998</v>
      </c>
      <c r="AM2">
        <f>INDEX([2]Coordinates!$C$2:$C$197,MATCH(I2,[2]Coordinates!$J$2:$J$197,0))</f>
        <v>34.837608000000003</v>
      </c>
      <c r="AN2" t="str">
        <f>IF(ISNUMBER(SEARCH("C", 'WetLitterbags placem_collection'!$V3)),"YES","NO")</f>
        <v>NO</v>
      </c>
      <c r="AO2" t="str">
        <f>IF(ISNUMBER(SEARCH("H", 'WetLitterbags placem_collection'!$V3)),"YES","NO")</f>
        <v>YES</v>
      </c>
      <c r="AP2" t="str">
        <f>IF(ISNUMBER(SEARCH("R", 'WetLitterbags placem_collection'!$V3)),"YES","NO")</f>
        <v>NO</v>
      </c>
    </row>
    <row r="3" spans="1:42">
      <c r="A3" t="s">
        <v>3248</v>
      </c>
      <c r="B3" s="248" t="s">
        <v>2454</v>
      </c>
      <c r="C3" s="253">
        <f>'Dry_Litterbag Placem_Collection'!A4</f>
        <v>2</v>
      </c>
      <c r="D3" s="253" t="str">
        <f>'Dry_Litterbag Placem_Collection'!B4</f>
        <v>Makao</v>
      </c>
      <c r="E3" s="253" t="s">
        <v>2643</v>
      </c>
      <c r="F3" s="253" t="s">
        <v>2644</v>
      </c>
      <c r="G3" s="253">
        <v>1</v>
      </c>
      <c r="H3" s="253" t="s">
        <v>3099</v>
      </c>
      <c r="I3" s="254" t="str">
        <f>'Dry_Litterbag Placem_Collection'!C4</f>
        <v>Dry_Ag1_T2</v>
      </c>
      <c r="J3" s="255" t="s">
        <v>2525</v>
      </c>
      <c r="K3" s="256" t="s">
        <v>1147</v>
      </c>
      <c r="L3" s="221" t="str">
        <f>'WetLitterbags placem_collection'!K4</f>
        <v>G568</v>
      </c>
      <c r="M3" s="223">
        <f>IFERROR(INDEX('Green_rooibos initial weight'!$C$5:$C$2000,MATCH(L3, 'Green_rooibos initial weight'!$A$5:$A$2000,0)),"")</f>
        <v>2.0059999999999998</v>
      </c>
      <c r="N3" s="223">
        <f>IFERROR(M3-(TBIcalc!$H$9+TBIcalc!$H$10),"")</f>
        <v>1.7561999999999998</v>
      </c>
      <c r="O3" s="378">
        <f>AVERAGE(Ashed_controlls!$K$2:$K$11)</f>
        <v>5.5147656768714146</v>
      </c>
      <c r="P3" s="223">
        <f t="shared" ref="P3:P66" si="1">IFERROR(N3-(O3/100)*N3,"")</f>
        <v>1.659349685182784</v>
      </c>
      <c r="Q3" s="223">
        <f>IFERROR(INDEX('Both teabags AfterWet'!$C$3:$C$840,MATCH(L3,'Both teabags AfterWet'!$A$3:$A$840,0)),"")</f>
        <v>0.629</v>
      </c>
      <c r="R3" s="223">
        <f>IFERROR(IF(Q3&gt;0,Q3-(TBIcalc!$H$9),""),"")</f>
        <v>0.47839999999999999</v>
      </c>
      <c r="S3" s="223">
        <f>IFERROR(INDEX('Ashed teabags wet'!$K$2:$K$2000,MATCH(L3,'Ashed teabags wet'!$A$2:$A$2000,0)),"")</f>
        <v>8.5032322227742174</v>
      </c>
      <c r="T3" s="223">
        <f t="shared" ref="T3:T66" si="2">IFERROR(R3-(S3/100)*R3,"")</f>
        <v>0.43772053704624814</v>
      </c>
      <c r="U3" s="224">
        <f>'WetLitterbags placem_collection'!E4</f>
        <v>42766</v>
      </c>
      <c r="V3" s="224">
        <f>IF('WetLitterbags placem_collection'!G4="","",'WetLitterbags placem_collection'!G4)</f>
        <v>42818</v>
      </c>
      <c r="W3" s="225">
        <f t="shared" si="0"/>
        <v>52</v>
      </c>
      <c r="X3" s="223">
        <f t="shared" ref="X3:X66" si="3">IFERROR(N3-R3,"")</f>
        <v>1.2777999999999998</v>
      </c>
      <c r="Y3" s="223">
        <f t="shared" ref="Y3:Y66" si="4">IFERROR(P3-T3,"")</f>
        <v>1.221629148136536</v>
      </c>
      <c r="Z3">
        <f>IFERROR(INDEX([1]Rainfall_Wet!$O$2:$O$217,MATCH(C3, [1]Rainfall_Wet!$A$2:$A$217,0)),"")</f>
        <v>194.43839254400001</v>
      </c>
      <c r="AA3" s="226">
        <v>12.565665055683967</v>
      </c>
      <c r="AB3" s="226">
        <v>0.9665896196679955</v>
      </c>
      <c r="AC3" s="226">
        <v>86.467745324648035</v>
      </c>
      <c r="AD3" s="227" t="s">
        <v>2653</v>
      </c>
      <c r="AE3" s="226">
        <v>2.02257269590931</v>
      </c>
      <c r="AF3">
        <f>IF('WetLitterbags placem_collection'!AB4="","",'WetLitterbags placem_collection'!AB4)</f>
        <v>22.4</v>
      </c>
      <c r="AG3">
        <f>IF('WetLitterbags placem_collection'!Z4="","",'WetLitterbags placem_collection'!Z4)</f>
        <v>39.799999999999997</v>
      </c>
      <c r="AH3" s="236" t="str">
        <f>IF('WetLitterbags placem_collection'!AA4="","",'WetLitterbags placem_collection'!AA4)</f>
        <v>M</v>
      </c>
      <c r="AI3">
        <f>IF('WetLitterbags placem_collection'!AC4="","",'WetLitterbags placem_collection'!AC4)</f>
        <v>1</v>
      </c>
      <c r="AJ3" s="233">
        <f>AVERAGE('WetLitterbags placem_collection'!S4,'WetLitterbags placem_collection'!U4)</f>
        <v>13.1</v>
      </c>
      <c r="AK3">
        <f>AVERAGE('WetLitterbags placem_collection'!R4,'WetLitterbags placem_collection'!T4)</f>
        <v>24.9</v>
      </c>
      <c r="AL3">
        <f>INDEX([2]Coordinates!$B$2:$B$197,MATCH(I3,[2]Coordinates!$J$2:$J$197,0))</f>
        <v>-3.397879042</v>
      </c>
      <c r="AM3">
        <f>INDEX([2]Coordinates!$C$2:$C$197,MATCH(I3,[2]Coordinates!$J$2:$J$197,0))</f>
        <v>34.837536010000001</v>
      </c>
      <c r="AN3" t="str">
        <f>IF(ISNUMBER(SEARCH("C", 'WetLitterbags placem_collection'!$V4)),"YES","NO")</f>
        <v>NO</v>
      </c>
      <c r="AO3" t="str">
        <f>IF(ISNUMBER(SEARCH("H", 'WetLitterbags placem_collection'!$V4)),"YES","NO")</f>
        <v>NO</v>
      </c>
      <c r="AP3" t="str">
        <f>IF(ISNUMBER(SEARCH("R", 'WetLitterbags placem_collection'!$V4)),"YES","NO")</f>
        <v>NO</v>
      </c>
    </row>
    <row r="4" spans="1:42">
      <c r="A4" t="s">
        <v>3248</v>
      </c>
      <c r="B4" s="248" t="s">
        <v>2454</v>
      </c>
      <c r="C4" s="253">
        <f>'Dry_Litterbag Placem_Collection'!A5</f>
        <v>3</v>
      </c>
      <c r="D4" s="253" t="str">
        <f>'Dry_Litterbag Placem_Collection'!B5</f>
        <v>Makao</v>
      </c>
      <c r="E4" s="253" t="s">
        <v>2643</v>
      </c>
      <c r="F4" s="253" t="s">
        <v>2644</v>
      </c>
      <c r="G4" s="253">
        <v>1</v>
      </c>
      <c r="H4" s="253" t="s">
        <v>3099</v>
      </c>
      <c r="I4" s="254" t="str">
        <f>'Dry_Litterbag Placem_Collection'!C5</f>
        <v>Dry_Ag1_T3</v>
      </c>
      <c r="J4" s="255" t="s">
        <v>2525</v>
      </c>
      <c r="K4" s="256" t="s">
        <v>1147</v>
      </c>
      <c r="L4" s="221" t="str">
        <f>'WetLitterbags placem_collection'!K5</f>
        <v>G631</v>
      </c>
      <c r="M4" s="223">
        <f>IFERROR(INDEX('Green_rooibos initial weight'!$C$5:$C$2000,MATCH(L4, 'Green_rooibos initial weight'!$A$5:$A$2000,0)),"")</f>
        <v>1.99</v>
      </c>
      <c r="N4" s="223">
        <f>IFERROR(M4-(TBIcalc!$H$9+TBIcalc!$H$10),"")</f>
        <v>1.7402</v>
      </c>
      <c r="O4" s="378">
        <f>AVERAGE(Ashed_controlls!$K$2:$K$11)</f>
        <v>5.5147656768714146</v>
      </c>
      <c r="P4" s="223">
        <f t="shared" si="1"/>
        <v>1.6442320476910837</v>
      </c>
      <c r="Q4" s="223" t="str">
        <f>IFERROR(INDEX('Both teabags AfterWet'!$C$3:$C$840,MATCH(L4,'Both teabags AfterWet'!$A$3:$A$840,0)),"")</f>
        <v/>
      </c>
      <c r="R4" s="223" t="str">
        <f>IFERROR(IF(Q4&gt;0,Q4-(TBIcalc!$H$9),""),"")</f>
        <v/>
      </c>
      <c r="S4" s="223" t="str">
        <f>IFERROR(INDEX('Ashed teabags wet'!$K$2:$K$2000,MATCH(L4,'Ashed teabags wet'!$A$2:$A$2000,0)),"")</f>
        <v/>
      </c>
      <c r="T4" s="223" t="str">
        <f t="shared" si="2"/>
        <v/>
      </c>
      <c r="U4" s="224">
        <f>'WetLitterbags placem_collection'!E5</f>
        <v>42766</v>
      </c>
      <c r="V4" s="224">
        <f>IF('WetLitterbags placem_collection'!G5="","",'WetLitterbags placem_collection'!G5)</f>
        <v>42819</v>
      </c>
      <c r="W4" s="225">
        <f t="shared" si="0"/>
        <v>53</v>
      </c>
      <c r="X4" s="223" t="str">
        <f t="shared" si="3"/>
        <v/>
      </c>
      <c r="Y4" s="223" t="str">
        <f t="shared" si="4"/>
        <v/>
      </c>
      <c r="Z4" t="str">
        <f>IFERROR(INDEX([1]Rainfall_Wet!$O$2:$O$217,MATCH(C4, [1]Rainfall_Wet!$A$2:$A$217,0)),"")</f>
        <v/>
      </c>
      <c r="AA4" s="226">
        <v>12.565665055683967</v>
      </c>
      <c r="AB4" s="226">
        <v>0.9665896196679955</v>
      </c>
      <c r="AC4" s="226">
        <v>86.467745324648035</v>
      </c>
      <c r="AD4" s="227" t="s">
        <v>2653</v>
      </c>
      <c r="AE4" s="226">
        <v>3.02257269590931</v>
      </c>
      <c r="AF4" t="str">
        <f>IF('WetLitterbags placem_collection'!AB5="","",'WetLitterbags placem_collection'!AB5)</f>
        <v/>
      </c>
      <c r="AG4" t="str">
        <f>IF('WetLitterbags placem_collection'!Z5="","",'WetLitterbags placem_collection'!Z5)</f>
        <v/>
      </c>
      <c r="AH4" s="236" t="str">
        <f>IF('WetLitterbags placem_collection'!AA5="","",'WetLitterbags placem_collection'!AA5)</f>
        <v/>
      </c>
      <c r="AI4" t="str">
        <f>IF('WetLitterbags placem_collection'!AC5="","",'WetLitterbags placem_collection'!AC5)</f>
        <v/>
      </c>
      <c r="AJ4" s="233">
        <f>AVERAGE('WetLitterbags placem_collection'!S5,'WetLitterbags placem_collection'!U5)</f>
        <v>14.649999999999999</v>
      </c>
      <c r="AK4">
        <f>AVERAGE('WetLitterbags placem_collection'!R5,'WetLitterbags placem_collection'!T5)</f>
        <v>24.7</v>
      </c>
      <c r="AL4">
        <f>INDEX([2]Coordinates!$B$2:$B$197,MATCH(I4,[2]Coordinates!$J$2:$J$197,0))</f>
        <v>-3.3978739999999998</v>
      </c>
      <c r="AM4">
        <f>INDEX([2]Coordinates!$C$2:$C$197,MATCH(I4,[2]Coordinates!$J$2:$J$197,0))</f>
        <v>34.837578999999998</v>
      </c>
      <c r="AN4" t="str">
        <f>IF(ISNUMBER(SEARCH("C", 'WetLitterbags placem_collection'!$V5)),"YES","NO")</f>
        <v>NO</v>
      </c>
      <c r="AO4" t="str">
        <f>IF(ISNUMBER(SEARCH("H", 'WetLitterbags placem_collection'!$V5)),"YES","NO")</f>
        <v>NO</v>
      </c>
      <c r="AP4" t="str">
        <f>IF(ISNUMBER(SEARCH("R", 'WetLitterbags placem_collection'!$V5)),"YES","NO")</f>
        <v>NO</v>
      </c>
    </row>
    <row r="5" spans="1:42">
      <c r="A5" t="s">
        <v>3248</v>
      </c>
      <c r="B5" s="248" t="s">
        <v>2454</v>
      </c>
      <c r="C5" s="253">
        <f>'Dry_Litterbag Placem_Collection'!A6</f>
        <v>4</v>
      </c>
      <c r="D5" s="253" t="str">
        <f>'Dry_Litterbag Placem_Collection'!B6</f>
        <v>Makao</v>
      </c>
      <c r="E5" s="253" t="s">
        <v>2643</v>
      </c>
      <c r="F5" s="253" t="s">
        <v>2644</v>
      </c>
      <c r="G5" s="253">
        <v>1</v>
      </c>
      <c r="H5" s="253" t="s">
        <v>3099</v>
      </c>
      <c r="I5" s="254" t="str">
        <f>'Dry_Litterbag Placem_Collection'!C6</f>
        <v>Dry_Ag1_T4</v>
      </c>
      <c r="J5" s="255" t="s">
        <v>2525</v>
      </c>
      <c r="K5" s="256" t="s">
        <v>1147</v>
      </c>
      <c r="L5" s="221" t="str">
        <f>'WetLitterbags placem_collection'!K6</f>
        <v>G652</v>
      </c>
      <c r="M5" s="223">
        <f>IFERROR(INDEX('Green_rooibos initial weight'!$C$5:$C$2000,MATCH(L5, 'Green_rooibos initial weight'!$A$5:$A$2000,0)),"")</f>
        <v>2.024</v>
      </c>
      <c r="N5" s="223">
        <f>IFERROR(M5-(TBIcalc!$H$9+TBIcalc!$H$10),"")</f>
        <v>1.7742</v>
      </c>
      <c r="O5" s="378">
        <f>AVERAGE(Ashed_controlls!$K$2:$K$11)</f>
        <v>5.5147656768714146</v>
      </c>
      <c r="P5" s="223">
        <f t="shared" si="1"/>
        <v>1.6763570273609474</v>
      </c>
      <c r="Q5" s="223" t="str">
        <f>IFERROR(INDEX('Both teabags AfterWet'!$C$3:$C$840,MATCH(L5,'Both teabags AfterWet'!$A$3:$A$840,0)),"")</f>
        <v/>
      </c>
      <c r="R5" s="223" t="str">
        <f>IFERROR(IF(Q5&gt;0,Q5-(TBIcalc!$H$9),""),"")</f>
        <v/>
      </c>
      <c r="S5" s="223" t="str">
        <f>IFERROR(INDEX('Ashed teabags wet'!$K$2:$K$2000,MATCH(L5,'Ashed teabags wet'!$A$2:$A$2000,0)),"")</f>
        <v/>
      </c>
      <c r="T5" s="223" t="str">
        <f t="shared" si="2"/>
        <v/>
      </c>
      <c r="U5" s="224">
        <f>'WetLitterbags placem_collection'!E6</f>
        <v>42766</v>
      </c>
      <c r="V5" s="224">
        <f>IF('WetLitterbags placem_collection'!G6="","",'WetLitterbags placem_collection'!G6)</f>
        <v>42818</v>
      </c>
      <c r="W5" s="225">
        <f t="shared" si="0"/>
        <v>52</v>
      </c>
      <c r="X5" s="223" t="str">
        <f t="shared" si="3"/>
        <v/>
      </c>
      <c r="Y5" s="223" t="str">
        <f t="shared" si="4"/>
        <v/>
      </c>
      <c r="Z5">
        <f>IFERROR(INDEX([1]Rainfall_Wet!$O$2:$O$217,MATCH(C5, [1]Rainfall_Wet!$A$2:$A$217,0)),"")</f>
        <v>194.43839254400001</v>
      </c>
      <c r="AA5" s="226">
        <v>12.565665055683967</v>
      </c>
      <c r="AB5" s="226">
        <v>0.9665896196679955</v>
      </c>
      <c r="AC5" s="226">
        <v>86.467745324648035</v>
      </c>
      <c r="AD5" s="227" t="s">
        <v>2653</v>
      </c>
      <c r="AE5" s="226">
        <v>4.02257269590931</v>
      </c>
      <c r="AF5" t="str">
        <f>IF('WetLitterbags placem_collection'!AB6="","",'WetLitterbags placem_collection'!AB6)</f>
        <v/>
      </c>
      <c r="AG5" t="str">
        <f>IF('WetLitterbags placem_collection'!Z6="","",'WetLitterbags placem_collection'!Z6)</f>
        <v/>
      </c>
      <c r="AH5" s="236" t="str">
        <f>IF('WetLitterbags placem_collection'!AA6="","",'WetLitterbags placem_collection'!AA6)</f>
        <v/>
      </c>
      <c r="AI5" t="str">
        <f>IF('WetLitterbags placem_collection'!AC6="","",'WetLitterbags placem_collection'!AC6)</f>
        <v/>
      </c>
      <c r="AJ5" s="233">
        <f>AVERAGE('WetLitterbags placem_collection'!S6,'WetLitterbags placem_collection'!U6)</f>
        <v>17.399999999999999</v>
      </c>
      <c r="AK5">
        <f>AVERAGE('WetLitterbags placem_collection'!R6,'WetLitterbags placem_collection'!T6)</f>
        <v>25.549999999999997</v>
      </c>
      <c r="AL5">
        <f>INDEX([2]Coordinates!$B$2:$B$197,MATCH(I5,[2]Coordinates!$J$2:$J$197,0))</f>
        <v>-3.3977780399999999</v>
      </c>
      <c r="AM5">
        <f>INDEX([2]Coordinates!$C$2:$C$197,MATCH(I5,[2]Coordinates!$J$2:$J$197,0))</f>
        <v>34.83751204</v>
      </c>
      <c r="AN5" t="str">
        <f>IF(ISNUMBER(SEARCH("C", 'WetLitterbags placem_collection'!$V6)),"YES","NO")</f>
        <v>NO</v>
      </c>
      <c r="AO5" t="str">
        <f>IF(ISNUMBER(SEARCH("H", 'WetLitterbags placem_collection'!$V6)),"YES","NO")</f>
        <v>NO</v>
      </c>
      <c r="AP5" t="str">
        <f>IF(ISNUMBER(SEARCH("R", 'WetLitterbags placem_collection'!$V6)),"YES","NO")</f>
        <v>NO</v>
      </c>
    </row>
    <row r="6" spans="1:42">
      <c r="A6" t="s">
        <v>3248</v>
      </c>
      <c r="B6" s="248" t="s">
        <v>2454</v>
      </c>
      <c r="C6" s="253">
        <f>'Dry_Litterbag Placem_Collection'!A7</f>
        <v>5</v>
      </c>
      <c r="D6" s="253" t="str">
        <f>'Dry_Litterbag Placem_Collection'!B7</f>
        <v>Makao</v>
      </c>
      <c r="E6" s="253" t="s">
        <v>2643</v>
      </c>
      <c r="F6" s="253" t="s">
        <v>2644</v>
      </c>
      <c r="G6" s="253">
        <v>1</v>
      </c>
      <c r="H6" s="253" t="s">
        <v>3099</v>
      </c>
      <c r="I6" s="254" t="str">
        <f>'Dry_Litterbag Placem_Collection'!C7</f>
        <v>Dry_Ag1_T5</v>
      </c>
      <c r="J6" s="255" t="s">
        <v>2525</v>
      </c>
      <c r="K6" s="256" t="s">
        <v>1147</v>
      </c>
      <c r="L6" s="221" t="str">
        <f>'WetLitterbags placem_collection'!K7</f>
        <v>G497</v>
      </c>
      <c r="M6" s="223">
        <f>IFERROR(INDEX('Green_rooibos initial weight'!$C$5:$C$2000,MATCH(L6, 'Green_rooibos initial weight'!$A$5:$A$2000,0)),"")</f>
        <v>2.0019999999999998</v>
      </c>
      <c r="N6" s="223">
        <f>IFERROR(M6-(TBIcalc!$H$9+TBIcalc!$H$10),"")</f>
        <v>1.7521999999999998</v>
      </c>
      <c r="O6" s="378">
        <f>AVERAGE(Ashed_controlls!$K$2:$K$11)</f>
        <v>5.5147656768714146</v>
      </c>
      <c r="P6" s="223">
        <f t="shared" si="1"/>
        <v>1.6555702758098589</v>
      </c>
      <c r="Q6" s="223">
        <f>IFERROR(INDEX('Both teabags AfterWet'!$C$3:$C$840,MATCH(L6,'Both teabags AfterWet'!$A$3:$A$840,0)),"")</f>
        <v>0.46</v>
      </c>
      <c r="R6" s="223">
        <f>IFERROR(IF(Q6&gt;0,Q6-(TBIcalc!$H$9),""),"")</f>
        <v>0.30940000000000001</v>
      </c>
      <c r="S6" s="223">
        <f>IFERROR(INDEX('Ashed teabags wet'!$K$2:$K$2000,MATCH(L6,'Ashed teabags wet'!$A$2:$A$2000,0)),"")</f>
        <v>19.444444444444176</v>
      </c>
      <c r="T6" s="223">
        <f t="shared" si="2"/>
        <v>0.24923888888888973</v>
      </c>
      <c r="U6" s="224">
        <f>'WetLitterbags placem_collection'!E7</f>
        <v>42766</v>
      </c>
      <c r="V6" s="224">
        <f>IF('WetLitterbags placem_collection'!G7="","",'WetLitterbags placem_collection'!G7)</f>
        <v>42818</v>
      </c>
      <c r="W6" s="225">
        <f t="shared" si="0"/>
        <v>52</v>
      </c>
      <c r="X6" s="223">
        <f t="shared" si="3"/>
        <v>1.4427999999999996</v>
      </c>
      <c r="Y6" s="223">
        <f t="shared" si="4"/>
        <v>1.4063313869209693</v>
      </c>
      <c r="Z6">
        <f>IFERROR(INDEX([1]Rainfall_Wet!$O$2:$O$217,MATCH(C6, [1]Rainfall_Wet!$A$2:$A$217,0)),"")</f>
        <v>194.43839254400001</v>
      </c>
      <c r="AA6" s="226">
        <v>12.565665055683967</v>
      </c>
      <c r="AB6" s="226">
        <v>0.9665896196679955</v>
      </c>
      <c r="AC6" s="226">
        <v>86.467745324648035</v>
      </c>
      <c r="AD6" s="227" t="s">
        <v>2653</v>
      </c>
      <c r="AE6" s="226">
        <v>5.02257269590931</v>
      </c>
      <c r="AF6">
        <f>IF('WetLitterbags placem_collection'!AB7="","",'WetLitterbags placem_collection'!AB7)</f>
        <v>28.4</v>
      </c>
      <c r="AG6">
        <f>IF('WetLitterbags placem_collection'!Z7="","",'WetLitterbags placem_collection'!Z7)</f>
        <v>36.4</v>
      </c>
      <c r="AH6" s="236" t="str">
        <f>IF('WetLitterbags placem_collection'!AA7="","",'WetLitterbags placem_collection'!AA7)</f>
        <v>M</v>
      </c>
      <c r="AI6">
        <f>IF('WetLitterbags placem_collection'!AC7="","",'WetLitterbags placem_collection'!AC7)</f>
        <v>1</v>
      </c>
      <c r="AJ6" s="233">
        <f>AVERAGE('WetLitterbags placem_collection'!S7,'WetLitterbags placem_collection'!U7)</f>
        <v>12.100000000000001</v>
      </c>
      <c r="AK6">
        <f>AVERAGE('WetLitterbags placem_collection'!R7,'WetLitterbags placem_collection'!T7)</f>
        <v>25.1</v>
      </c>
      <c r="AL6">
        <f>INDEX([2]Coordinates!$B$2:$B$197,MATCH(I6,[2]Coordinates!$J$2:$J$197,0))</f>
        <v>-3.3978020120000001</v>
      </c>
      <c r="AM6">
        <f>INDEX([2]Coordinates!$C$2:$C$197,MATCH(I6,[2]Coordinates!$J$2:$J$197,0))</f>
        <v>34.83751204</v>
      </c>
      <c r="AN6" t="str">
        <f>IF(ISNUMBER(SEARCH("C", 'WetLitterbags placem_collection'!$V7)),"YES","NO")</f>
        <v>NO</v>
      </c>
      <c r="AO6" t="str">
        <f>IF(ISNUMBER(SEARCH("H", 'WetLitterbags placem_collection'!$V7)),"YES","NO")</f>
        <v>NO</v>
      </c>
      <c r="AP6" t="str">
        <f>IF(ISNUMBER(SEARCH("R", 'WetLitterbags placem_collection'!$V7)),"YES","NO")</f>
        <v>NO</v>
      </c>
    </row>
    <row r="7" spans="1:42">
      <c r="A7" t="s">
        <v>3248</v>
      </c>
      <c r="B7" s="248" t="s">
        <v>2454</v>
      </c>
      <c r="C7" s="253">
        <f>'Dry_Litterbag Placem_Collection'!A8</f>
        <v>6</v>
      </c>
      <c r="D7" s="253" t="str">
        <f>'Dry_Litterbag Placem_Collection'!B8</f>
        <v>Makao</v>
      </c>
      <c r="E7" s="253" t="s">
        <v>2643</v>
      </c>
      <c r="F7" s="253" t="s">
        <v>2644</v>
      </c>
      <c r="G7" s="253">
        <v>1</v>
      </c>
      <c r="H7" s="253" t="s">
        <v>3099</v>
      </c>
      <c r="I7" s="254" t="str">
        <f>'Dry_Litterbag Placem_Collection'!C8</f>
        <v>Dry_Ag1_T6</v>
      </c>
      <c r="J7" s="255" t="s">
        <v>2525</v>
      </c>
      <c r="K7" s="256" t="s">
        <v>1147</v>
      </c>
      <c r="L7" s="221" t="str">
        <f>'WetLitterbags placem_collection'!K8</f>
        <v>G447</v>
      </c>
      <c r="M7" s="223">
        <f>IFERROR(INDEX('Green_rooibos initial weight'!$C$5:$C$2000,MATCH(L7, 'Green_rooibos initial weight'!$A$5:$A$2000,0)),"")</f>
        <v>2.0579999999999998</v>
      </c>
      <c r="N7" s="223">
        <f>IFERROR(M7-(TBIcalc!$H$9+TBIcalc!$H$10),"")</f>
        <v>1.8081999999999998</v>
      </c>
      <c r="O7" s="378">
        <f>AVERAGE(Ashed_controlls!$K$2:$K$11)</f>
        <v>5.5147656768714146</v>
      </c>
      <c r="P7" s="223">
        <f t="shared" si="1"/>
        <v>1.7084820070308109</v>
      </c>
      <c r="Q7" s="223">
        <f>IFERROR(INDEX('Both teabags AfterWet'!$C$3:$C$840,MATCH(L7,'Both teabags AfterWet'!$A$3:$A$840,0)),"")</f>
        <v>0.67749999999999999</v>
      </c>
      <c r="R7" s="223">
        <f>IFERROR(IF(Q7&gt;0,Q7-(TBIcalc!$H$9),""),"")</f>
        <v>0.52689999999999992</v>
      </c>
      <c r="S7" s="223">
        <f>IFERROR(INDEX('Ashed teabags wet'!$K$2:$K$2000,MATCH(L7,'Ashed teabags wet'!$A$2:$A$2000,0)),"")</f>
        <v>11.472945891783862</v>
      </c>
      <c r="T7" s="223">
        <f t="shared" si="2"/>
        <v>0.46644904809619075</v>
      </c>
      <c r="U7" s="224">
        <f>'WetLitterbags placem_collection'!E8</f>
        <v>42766</v>
      </c>
      <c r="V7" s="224">
        <f>IF('WetLitterbags placem_collection'!G8="","",'WetLitterbags placem_collection'!G8)</f>
        <v>42818</v>
      </c>
      <c r="W7" s="225">
        <f t="shared" si="0"/>
        <v>52</v>
      </c>
      <c r="X7" s="223">
        <f t="shared" si="3"/>
        <v>1.2812999999999999</v>
      </c>
      <c r="Y7" s="223">
        <f t="shared" si="4"/>
        <v>1.2420329589346202</v>
      </c>
      <c r="Z7">
        <f>IFERROR(INDEX([1]Rainfall_Wet!$O$2:$O$217,MATCH(C7, [1]Rainfall_Wet!$A$2:$A$217,0)),"")</f>
        <v>194.43839254400001</v>
      </c>
      <c r="AA7" s="226">
        <v>12.565665055683967</v>
      </c>
      <c r="AB7" s="226">
        <v>0.9665896196679955</v>
      </c>
      <c r="AC7" s="226">
        <v>86.467745324648035</v>
      </c>
      <c r="AD7" s="227" t="s">
        <v>2653</v>
      </c>
      <c r="AE7" s="226">
        <v>6.02257269590931</v>
      </c>
      <c r="AF7">
        <f>IF('WetLitterbags placem_collection'!AB8="","",'WetLitterbags placem_collection'!AB8)</f>
        <v>32.4</v>
      </c>
      <c r="AG7">
        <f>IF('WetLitterbags placem_collection'!Z8="","",'WetLitterbags placem_collection'!Z8)</f>
        <v>31</v>
      </c>
      <c r="AH7" s="236" t="str">
        <f>IF('WetLitterbags placem_collection'!AA8="","",'WetLitterbags placem_collection'!AA8)</f>
        <v>M</v>
      </c>
      <c r="AI7">
        <f>IF('WetLitterbags placem_collection'!AC8="","",'WetLitterbags placem_collection'!AC8)</f>
        <v>1</v>
      </c>
      <c r="AJ7" s="233">
        <f>AVERAGE('WetLitterbags placem_collection'!S8,'WetLitterbags placem_collection'!U8)</f>
        <v>13.45</v>
      </c>
      <c r="AK7">
        <f>AVERAGE('WetLitterbags placem_collection'!R8,'WetLitterbags placem_collection'!T8)</f>
        <v>25.1</v>
      </c>
      <c r="AL7">
        <f>INDEX([2]Coordinates!$B$2:$B$197,MATCH(I7,[2]Coordinates!$J$2:$J$197,0))</f>
        <v>-3.3977389800000002</v>
      </c>
      <c r="AM7">
        <f>INDEX([2]Coordinates!$C$2:$C$197,MATCH(I7,[2]Coordinates!$J$2:$J$197,0))</f>
        <v>34.837501979999999</v>
      </c>
      <c r="AN7" t="str">
        <f>IF(ISNUMBER(SEARCH("C", 'WetLitterbags placem_collection'!$V8)),"YES","NO")</f>
        <v>NO</v>
      </c>
      <c r="AO7" t="str">
        <f>IF(ISNUMBER(SEARCH("H", 'WetLitterbags placem_collection'!$V8)),"YES","NO")</f>
        <v>NO</v>
      </c>
      <c r="AP7" t="str">
        <f>IF(ISNUMBER(SEARCH("R", 'WetLitterbags placem_collection'!$V8)),"YES","NO")</f>
        <v>NO</v>
      </c>
    </row>
    <row r="8" spans="1:42">
      <c r="A8" t="s">
        <v>3248</v>
      </c>
      <c r="B8" s="248" t="s">
        <v>2454</v>
      </c>
      <c r="C8" s="253">
        <f>'Dry_Litterbag Placem_Collection'!A9</f>
        <v>7</v>
      </c>
      <c r="D8" s="253" t="str">
        <f>'Dry_Litterbag Placem_Collection'!B9</f>
        <v>Makao</v>
      </c>
      <c r="E8" s="253" t="s">
        <v>2643</v>
      </c>
      <c r="F8" s="253" t="s">
        <v>2644</v>
      </c>
      <c r="G8" s="253">
        <v>1</v>
      </c>
      <c r="H8" s="253" t="s">
        <v>3099</v>
      </c>
      <c r="I8" s="254" t="str">
        <f>'Dry_Litterbag Placem_Collection'!C9</f>
        <v>Dry_Ag1_T7</v>
      </c>
      <c r="J8" s="255" t="s">
        <v>2525</v>
      </c>
      <c r="K8" s="256" t="s">
        <v>1147</v>
      </c>
      <c r="L8" s="221" t="str">
        <f>'WetLitterbags placem_collection'!K9</f>
        <v>G452</v>
      </c>
      <c r="M8" s="223">
        <f>IFERROR(INDEX('Green_rooibos initial weight'!$C$5:$C$2000,MATCH(L8, 'Green_rooibos initial weight'!$A$5:$A$2000,0)),"")</f>
        <v>2.0550000000000002</v>
      </c>
      <c r="N8" s="223">
        <f>IFERROR(M8-(TBIcalc!$H$9+TBIcalc!$H$10),"")</f>
        <v>1.8052000000000001</v>
      </c>
      <c r="O8" s="378">
        <f>AVERAGE(Ashed_controlls!$K$2:$K$11)</f>
        <v>5.5147656768714146</v>
      </c>
      <c r="P8" s="223">
        <f t="shared" si="1"/>
        <v>1.7056474500011174</v>
      </c>
      <c r="Q8" s="223">
        <f>IFERROR(INDEX('Both teabags AfterWet'!$C$3:$C$840,MATCH(L8,'Both teabags AfterWet'!$A$3:$A$840,0)),"")</f>
        <v>0.67900000000000005</v>
      </c>
      <c r="R8" s="223">
        <f>IFERROR(IF(Q8&gt;0,Q8-(TBIcalc!$H$9),""),"")</f>
        <v>0.52839999999999998</v>
      </c>
      <c r="S8" s="223">
        <f>IFERROR(INDEX('Ashed teabags wet'!$K$2:$K$2000,MATCH(L8,'Ashed teabags wet'!$A$2:$A$2000,0)),"")</f>
        <v>11.36705057586399</v>
      </c>
      <c r="T8" s="223">
        <f t="shared" si="2"/>
        <v>0.46833650475713468</v>
      </c>
      <c r="U8" s="224">
        <f>'WetLitterbags placem_collection'!E9</f>
        <v>42766</v>
      </c>
      <c r="V8" s="224">
        <f>IF('WetLitterbags placem_collection'!G9="","",'WetLitterbags placem_collection'!G9)</f>
        <v>42818</v>
      </c>
      <c r="W8" s="225">
        <f t="shared" si="0"/>
        <v>52</v>
      </c>
      <c r="X8" s="223">
        <f t="shared" si="3"/>
        <v>1.2768000000000002</v>
      </c>
      <c r="Y8" s="223">
        <f t="shared" si="4"/>
        <v>1.2373109452439828</v>
      </c>
      <c r="Z8">
        <f>IFERROR(INDEX([1]Rainfall_Wet!$O$2:$O$217,MATCH(C8, [1]Rainfall_Wet!$A$2:$A$217,0)),"")</f>
        <v>194.43839254400001</v>
      </c>
      <c r="AA8" s="226">
        <v>12.565665055683967</v>
      </c>
      <c r="AB8" s="226">
        <v>0.9665896196679955</v>
      </c>
      <c r="AC8" s="226">
        <v>86.467745324648035</v>
      </c>
      <c r="AD8" s="227" t="s">
        <v>2653</v>
      </c>
      <c r="AE8" s="226">
        <v>7.02257269590931</v>
      </c>
      <c r="AF8">
        <f>IF('WetLitterbags placem_collection'!AB9="","",'WetLitterbags placem_collection'!AB9)</f>
        <v>36</v>
      </c>
      <c r="AG8">
        <f>IF('WetLitterbags placem_collection'!Z9="","",'WetLitterbags placem_collection'!Z9)</f>
        <v>43.4</v>
      </c>
      <c r="AH8" s="236" t="str">
        <f>IF('WetLitterbags placem_collection'!AA9="","",'WetLitterbags placem_collection'!AA9)</f>
        <v>M</v>
      </c>
      <c r="AI8">
        <f>IF('WetLitterbags placem_collection'!AC9="","",'WetLitterbags placem_collection'!AC9)</f>
        <v>1</v>
      </c>
      <c r="AJ8" s="233">
        <f>AVERAGE('WetLitterbags placem_collection'!S9,'WetLitterbags placem_collection'!U9)</f>
        <v>9.8500000000000014</v>
      </c>
      <c r="AK8">
        <f>AVERAGE('WetLitterbags placem_collection'!R9,'WetLitterbags placem_collection'!T9)</f>
        <v>26.2</v>
      </c>
      <c r="AL8">
        <f>INDEX([2]Coordinates!$B$2:$B$197,MATCH(I8,[2]Coordinates!$J$2:$J$197,0))</f>
        <v>-3.3977630360000002</v>
      </c>
      <c r="AM8">
        <f>INDEX([2]Coordinates!$C$2:$C$197,MATCH(I8,[2]Coordinates!$J$2:$J$197,0))</f>
        <v>34.837600969999997</v>
      </c>
      <c r="AN8" t="str">
        <f>IF(ISNUMBER(SEARCH("C", 'WetLitterbags placem_collection'!$V9)),"YES","NO")</f>
        <v>NO</v>
      </c>
      <c r="AO8" t="str">
        <f>IF(ISNUMBER(SEARCH("H", 'WetLitterbags placem_collection'!$V9)),"YES","NO")</f>
        <v>NO</v>
      </c>
      <c r="AP8" t="str">
        <f>IF(ISNUMBER(SEARCH("R", 'WetLitterbags placem_collection'!$V9)),"YES","NO")</f>
        <v>NO</v>
      </c>
    </row>
    <row r="9" spans="1:42">
      <c r="A9" t="s">
        <v>3248</v>
      </c>
      <c r="B9" s="248" t="s">
        <v>2454</v>
      </c>
      <c r="C9" s="253">
        <f>'Dry_Litterbag Placem_Collection'!A10</f>
        <v>8</v>
      </c>
      <c r="D9" s="253" t="str">
        <f>'Dry_Litterbag Placem_Collection'!B10</f>
        <v>Makao</v>
      </c>
      <c r="E9" s="253" t="s">
        <v>2643</v>
      </c>
      <c r="F9" s="253" t="s">
        <v>2644</v>
      </c>
      <c r="G9" s="253">
        <v>1</v>
      </c>
      <c r="H9" s="253" t="s">
        <v>3099</v>
      </c>
      <c r="I9" s="254" t="str">
        <f>'Dry_Litterbag Placem_Collection'!C10</f>
        <v>Dry_Ag1_T8</v>
      </c>
      <c r="J9" s="255" t="s">
        <v>2525</v>
      </c>
      <c r="K9" s="256" t="s">
        <v>1147</v>
      </c>
      <c r="L9" s="221" t="str">
        <f>'WetLitterbags placem_collection'!K10</f>
        <v>G389</v>
      </c>
      <c r="M9" s="223">
        <f>IFERROR(INDEX('Green_rooibos initial weight'!$C$5:$C$2000,MATCH(L9, 'Green_rooibos initial weight'!$A$5:$A$2000,0)),"")</f>
        <v>1.9710000000000001</v>
      </c>
      <c r="N9" s="223">
        <f>IFERROR(M9-(TBIcalc!$H$9+TBIcalc!$H$10),"")</f>
        <v>1.7212000000000001</v>
      </c>
      <c r="O9" s="378">
        <f>AVERAGE(Ashed_controlls!$K$2:$K$11)</f>
        <v>5.5147656768714146</v>
      </c>
      <c r="P9" s="223">
        <f t="shared" si="1"/>
        <v>1.6262798531696894</v>
      </c>
      <c r="Q9" s="223">
        <f>IFERROR(INDEX('Both teabags AfterWet'!$C$3:$C$840,MATCH(L9,'Both teabags AfterWet'!$A$3:$A$840,0)),"")</f>
        <v>0.61950000000000005</v>
      </c>
      <c r="R9" s="223">
        <f>IFERROR(IF(Q9&gt;0,Q9-(TBIcalc!$H$9),""),"")</f>
        <v>0.46890000000000004</v>
      </c>
      <c r="S9" s="223">
        <f>IFERROR(INDEX('Ashed teabags wet'!$K$2:$K$2000,MATCH(L9,'Ashed teabags wet'!$A$2:$A$2000,0)),"")</f>
        <v>9.7706879361918428</v>
      </c>
      <c r="T9" s="223">
        <f t="shared" si="2"/>
        <v>0.42308524426719651</v>
      </c>
      <c r="U9" s="224">
        <f>'WetLitterbags placem_collection'!E10</f>
        <v>42766</v>
      </c>
      <c r="V9" s="224">
        <f>IF('WetLitterbags placem_collection'!G10="","",'WetLitterbags placem_collection'!G10)</f>
        <v>42818</v>
      </c>
      <c r="W9" s="225">
        <f t="shared" si="0"/>
        <v>52</v>
      </c>
      <c r="X9" s="223">
        <f t="shared" si="3"/>
        <v>1.2523</v>
      </c>
      <c r="Y9" s="223">
        <f t="shared" si="4"/>
        <v>1.2031946089024927</v>
      </c>
      <c r="Z9">
        <f>IFERROR(INDEX([1]Rainfall_Wet!$O$2:$O$217,MATCH(C9, [1]Rainfall_Wet!$A$2:$A$217,0)),"")</f>
        <v>194.43839254400001</v>
      </c>
      <c r="AA9" s="226">
        <v>12.565665055683967</v>
      </c>
      <c r="AB9" s="226">
        <v>0.9665896196679955</v>
      </c>
      <c r="AC9" s="226">
        <v>86.467745324648035</v>
      </c>
      <c r="AD9" s="227" t="s">
        <v>2653</v>
      </c>
      <c r="AE9" s="226">
        <v>8.0225726959093109</v>
      </c>
      <c r="AF9">
        <f>IF('WetLitterbags placem_collection'!AB10="","",'WetLitterbags placem_collection'!AB10)</f>
        <v>36</v>
      </c>
      <c r="AG9">
        <f>IF('WetLitterbags placem_collection'!Z10="","",'WetLitterbags placem_collection'!Z10)</f>
        <v>38.4</v>
      </c>
      <c r="AH9" s="236" t="str">
        <f>IF('WetLitterbags placem_collection'!AA10="","",'WetLitterbags placem_collection'!AA10)</f>
        <v>M</v>
      </c>
      <c r="AI9" t="str">
        <f>IF('WetLitterbags placem_collection'!AC10="","",'WetLitterbags placem_collection'!AC10)</f>
        <v/>
      </c>
      <c r="AJ9" s="233">
        <f>AVERAGE('WetLitterbags placem_collection'!S10,'WetLitterbags placem_collection'!U10)</f>
        <v>10.600000000000001</v>
      </c>
      <c r="AK9">
        <f>AVERAGE('WetLitterbags placem_collection'!R10,'WetLitterbags placem_collection'!T10)</f>
        <v>25.5</v>
      </c>
      <c r="AL9">
        <f>INDEX([2]Coordinates!$B$2:$B$197,MATCH(I9,[2]Coordinates!$J$2:$J$197,0))</f>
        <v>-3.3977320230000001</v>
      </c>
      <c r="AM9">
        <f>INDEX([2]Coordinates!$C$2:$C$197,MATCH(I9,[2]Coordinates!$J$2:$J$197,0))</f>
        <v>34.837561989999998</v>
      </c>
      <c r="AN9" t="str">
        <f>IF(ISNUMBER(SEARCH("C", 'WetLitterbags placem_collection'!$V10)),"YES","NO")</f>
        <v>NO</v>
      </c>
      <c r="AO9" t="str">
        <f>IF(ISNUMBER(SEARCH("H", 'WetLitterbags placem_collection'!$V10)),"YES","NO")</f>
        <v>YES</v>
      </c>
      <c r="AP9" t="str">
        <f>IF(ISNUMBER(SEARCH("R", 'WetLitterbags placem_collection'!$V10)),"YES","NO")</f>
        <v>NO</v>
      </c>
    </row>
    <row r="10" spans="1:42">
      <c r="A10" t="s">
        <v>3248</v>
      </c>
      <c r="B10" s="248" t="s">
        <v>2454</v>
      </c>
      <c r="C10" s="253">
        <f>'Dry_Litterbag Placem_Collection'!A11</f>
        <v>9</v>
      </c>
      <c r="D10" s="253" t="str">
        <f>'Dry_Litterbag Placem_Collection'!B11</f>
        <v>Makao</v>
      </c>
      <c r="E10" s="253" t="s">
        <v>2643</v>
      </c>
      <c r="F10" s="253" t="s">
        <v>2644</v>
      </c>
      <c r="G10" s="253">
        <v>2</v>
      </c>
      <c r="H10" s="253" t="s">
        <v>3103</v>
      </c>
      <c r="I10" s="254" t="str">
        <f>'Dry_Litterbag Placem_Collection'!C11</f>
        <v>Dry_Ag2_T1</v>
      </c>
      <c r="J10" s="255" t="s">
        <v>2525</v>
      </c>
      <c r="K10" s="256" t="s">
        <v>1147</v>
      </c>
      <c r="L10" s="221" t="str">
        <f>'WetLitterbags placem_collection'!K11</f>
        <v>G514</v>
      </c>
      <c r="M10" s="223">
        <f>IFERROR(INDEX('Green_rooibos initial weight'!$C$5:$C$2000,MATCH(L10, 'Green_rooibos initial weight'!$A$5:$A$2000,0)),"")</f>
        <v>1.9350000000000001</v>
      </c>
      <c r="N10" s="223">
        <f>IFERROR(M10-(TBIcalc!$H$9+TBIcalc!$H$10),"")</f>
        <v>1.6852</v>
      </c>
      <c r="O10" s="378">
        <f>AVERAGE(Ashed_controlls!$K$2:$K$11)</f>
        <v>5.5147656768714146</v>
      </c>
      <c r="P10" s="223">
        <f t="shared" si="1"/>
        <v>1.5922651688133629</v>
      </c>
      <c r="Q10" s="223">
        <f>IFERROR(INDEX('Both teabags AfterWet'!$C$3:$C$840,MATCH(L10,'Both teabags AfterWet'!$A$3:$A$840,0)),"")</f>
        <v>0.59470000000000001</v>
      </c>
      <c r="R10" s="223">
        <f>IFERROR(IF(Q10&gt;0,Q10-(TBIcalc!$H$9),""),"")</f>
        <v>0.44409999999999999</v>
      </c>
      <c r="S10" s="223">
        <f>IFERROR(INDEX('Ashed teabags wet'!$K$2:$K$2000,MATCH(L10,'Ashed teabags wet'!$A$2:$A$2000,0)),"")</f>
        <v>9.2933204259437421</v>
      </c>
      <c r="T10" s="223">
        <f t="shared" si="2"/>
        <v>0.40282836398838384</v>
      </c>
      <c r="U10" s="224">
        <f>'WetLitterbags placem_collection'!E11</f>
        <v>42766</v>
      </c>
      <c r="V10" s="224">
        <f>IF('WetLitterbags placem_collection'!G11="","",'WetLitterbags placem_collection'!G11)</f>
        <v>42818</v>
      </c>
      <c r="W10" s="225">
        <f t="shared" si="0"/>
        <v>52</v>
      </c>
      <c r="X10" s="223">
        <f t="shared" si="3"/>
        <v>1.2411000000000001</v>
      </c>
      <c r="Y10" s="223">
        <f t="shared" si="4"/>
        <v>1.189436804824979</v>
      </c>
      <c r="Z10">
        <f>IFERROR(INDEX([1]Rainfall_Wet!$O$2:$O$217,MATCH(C10, [1]Rainfall_Wet!$A$2:$A$217,0)),"")</f>
        <v>194.43839254400001</v>
      </c>
      <c r="AA10" s="226">
        <v>21.13063730679653</v>
      </c>
      <c r="AB10" s="226">
        <v>3.0912555579081076</v>
      </c>
      <c r="AC10" s="226">
        <v>75.778107135295357</v>
      </c>
      <c r="AD10" s="227" t="s">
        <v>2651</v>
      </c>
      <c r="AE10" s="226">
        <v>0.46131099063578063</v>
      </c>
      <c r="AF10">
        <f>IF('WetLitterbags placem_collection'!AB11="","",'WetLitterbags placem_collection'!AB11)</f>
        <v>10.8</v>
      </c>
      <c r="AG10">
        <f>IF('WetLitterbags placem_collection'!Z11="","",'WetLitterbags placem_collection'!Z11)</f>
        <v>28.4</v>
      </c>
      <c r="AH10" s="236" t="str">
        <f>IF('WetLitterbags placem_collection'!AA11="","",'WetLitterbags placem_collection'!AA11)</f>
        <v>M</v>
      </c>
      <c r="AI10">
        <f>IF('WetLitterbags placem_collection'!AC11="","",'WetLitterbags placem_collection'!AC11)</f>
        <v>0</v>
      </c>
      <c r="AJ10" s="233">
        <f>AVERAGE('WetLitterbags placem_collection'!S11,'WetLitterbags placem_collection'!U11)</f>
        <v>14.5</v>
      </c>
      <c r="AK10">
        <f>AVERAGE('WetLitterbags placem_collection'!R11,'WetLitterbags placem_collection'!T11)</f>
        <v>24.4</v>
      </c>
      <c r="AL10">
        <f>INDEX([2]Coordinates!$B$2:$B$197,MATCH(I10,[2]Coordinates!$J$2:$J$197,0))</f>
        <v>-3.3978290019999999</v>
      </c>
      <c r="AM10">
        <f>INDEX([2]Coordinates!$C$2:$C$197,MATCH(I10,[2]Coordinates!$J$2:$J$197,0))</f>
        <v>34.837011969999999</v>
      </c>
      <c r="AN10" t="str">
        <f>IF(ISNUMBER(SEARCH("C", 'WetLitterbags placem_collection'!$V11)),"YES","NO")</f>
        <v>NO</v>
      </c>
      <c r="AO10" t="str">
        <f>IF(ISNUMBER(SEARCH("H", 'WetLitterbags placem_collection'!$V11)),"YES","NO")</f>
        <v>NO</v>
      </c>
      <c r="AP10" t="str">
        <f>IF(ISNUMBER(SEARCH("R", 'WetLitterbags placem_collection'!$V11)),"YES","NO")</f>
        <v>YES</v>
      </c>
    </row>
    <row r="11" spans="1:42">
      <c r="A11" t="s">
        <v>3248</v>
      </c>
      <c r="B11" s="248" t="s">
        <v>2454</v>
      </c>
      <c r="C11" s="253">
        <f>'Dry_Litterbag Placem_Collection'!A12</f>
        <v>10</v>
      </c>
      <c r="D11" s="253" t="str">
        <f>'Dry_Litterbag Placem_Collection'!B12</f>
        <v>Makao</v>
      </c>
      <c r="E11" s="253" t="s">
        <v>2643</v>
      </c>
      <c r="F11" s="253" t="s">
        <v>2644</v>
      </c>
      <c r="G11" s="253">
        <v>2</v>
      </c>
      <c r="H11" s="253" t="s">
        <v>3103</v>
      </c>
      <c r="I11" s="254" t="str">
        <f>'Dry_Litterbag Placem_Collection'!C12</f>
        <v>Dry_Ag2_T2</v>
      </c>
      <c r="J11" s="255" t="s">
        <v>2525</v>
      </c>
      <c r="K11" s="256" t="s">
        <v>1147</v>
      </c>
      <c r="L11" s="221" t="str">
        <f>'WetLitterbags placem_collection'!K12</f>
        <v>G286</v>
      </c>
      <c r="M11" s="223">
        <f>IFERROR(INDEX('Green_rooibos initial weight'!$C$5:$C$2000,MATCH(L11, 'Green_rooibos initial weight'!$A$5:$A$2000,0)),"")</f>
        <v>2.0710000000000002</v>
      </c>
      <c r="N11" s="223">
        <f>IFERROR(M11-(TBIcalc!$H$9+TBIcalc!$H$10),"")</f>
        <v>1.8212000000000002</v>
      </c>
      <c r="O11" s="378">
        <f>AVERAGE(Ashed_controlls!$K$2:$K$11)</f>
        <v>5.5147656768714146</v>
      </c>
      <c r="P11" s="223">
        <f t="shared" si="1"/>
        <v>1.720765087492818</v>
      </c>
      <c r="Q11" s="223">
        <f>IFERROR(INDEX('Both teabags AfterWet'!$C$3:$C$840,MATCH(L11,'Both teabags AfterWet'!$A$3:$A$840,0)),"")</f>
        <v>0.80200000000000005</v>
      </c>
      <c r="R11" s="223">
        <f>IFERROR(IF(Q11&gt;0,Q11-(TBIcalc!$H$9),""),"")</f>
        <v>0.65139999999999998</v>
      </c>
      <c r="S11" s="223">
        <f>IFERROR(INDEX('Ashed teabags wet'!$K$2:$K$2000,MATCH(L11,'Ashed teabags wet'!$A$2:$A$2000,0)),"")</f>
        <v>14.321233217304874</v>
      </c>
      <c r="T11" s="223">
        <f t="shared" si="2"/>
        <v>0.55811148682247602</v>
      </c>
      <c r="U11" s="224">
        <f>'WetLitterbags placem_collection'!E12</f>
        <v>42766</v>
      </c>
      <c r="V11" s="224">
        <f>IF('WetLitterbags placem_collection'!G12="","",'WetLitterbags placem_collection'!G12)</f>
        <v>42818</v>
      </c>
      <c r="W11" s="225">
        <f t="shared" si="0"/>
        <v>52</v>
      </c>
      <c r="X11" s="223">
        <f t="shared" si="3"/>
        <v>1.1698000000000002</v>
      </c>
      <c r="Y11" s="223">
        <f t="shared" si="4"/>
        <v>1.1626536006703421</v>
      </c>
      <c r="Z11">
        <f>IFERROR(INDEX([1]Rainfall_Wet!$O$2:$O$217,MATCH(C11, [1]Rainfall_Wet!$A$2:$A$217,0)),"")</f>
        <v>194.43839254400001</v>
      </c>
      <c r="AA11" s="226">
        <v>21.13063730679653</v>
      </c>
      <c r="AB11" s="226">
        <v>3.0912555579081076</v>
      </c>
      <c r="AC11" s="226">
        <v>75.778107135295357</v>
      </c>
      <c r="AD11" s="227" t="s">
        <v>2651</v>
      </c>
      <c r="AE11" s="226">
        <v>1.46131099063578</v>
      </c>
      <c r="AF11">
        <f>IF('WetLitterbags placem_collection'!AB12="","",'WetLitterbags placem_collection'!AB12)</f>
        <v>16.8</v>
      </c>
      <c r="AG11">
        <f>IF('WetLitterbags placem_collection'!Z12="","",'WetLitterbags placem_collection'!Z12)</f>
        <v>30</v>
      </c>
      <c r="AH11" s="236" t="str">
        <f>IF('WetLitterbags placem_collection'!AA12="","",'WetLitterbags placem_collection'!AA12)</f>
        <v>M</v>
      </c>
      <c r="AI11">
        <f>IF('WetLitterbags placem_collection'!AC12="","",'WetLitterbags placem_collection'!AC12)</f>
        <v>0</v>
      </c>
      <c r="AJ11" s="233">
        <f>AVERAGE('WetLitterbags placem_collection'!S12,'WetLitterbags placem_collection'!U12)</f>
        <v>14.649999999999999</v>
      </c>
      <c r="AK11">
        <f>AVERAGE('WetLitterbags placem_collection'!R12,'WetLitterbags placem_collection'!T12)</f>
        <v>24.299999999999997</v>
      </c>
      <c r="AL11">
        <f>INDEX([2]Coordinates!$B$2:$B$197,MATCH(I11,[2]Coordinates!$J$2:$J$197,0))</f>
        <v>-3.3978119869999999</v>
      </c>
      <c r="AM11">
        <f>INDEX([2]Coordinates!$C$2:$C$197,MATCH(I11,[2]Coordinates!$J$2:$J$197,0))</f>
        <v>34.836968980000002</v>
      </c>
      <c r="AN11" t="str">
        <f>IF(ISNUMBER(SEARCH("C", 'WetLitterbags placem_collection'!$V12)),"YES","NO")</f>
        <v>NO</v>
      </c>
      <c r="AO11" t="str">
        <f>IF(ISNUMBER(SEARCH("H", 'WetLitterbags placem_collection'!$V12)),"YES","NO")</f>
        <v>NO</v>
      </c>
      <c r="AP11" t="str">
        <f>IF(ISNUMBER(SEARCH("R", 'WetLitterbags placem_collection'!$V12)),"YES","NO")</f>
        <v>NO</v>
      </c>
    </row>
    <row r="12" spans="1:42">
      <c r="A12" t="s">
        <v>3248</v>
      </c>
      <c r="B12" s="248" t="s">
        <v>2454</v>
      </c>
      <c r="C12" s="253">
        <f>'Dry_Litterbag Placem_Collection'!A13</f>
        <v>11</v>
      </c>
      <c r="D12" s="253" t="str">
        <f>'Dry_Litterbag Placem_Collection'!B13</f>
        <v>Makao</v>
      </c>
      <c r="E12" s="253" t="s">
        <v>2643</v>
      </c>
      <c r="F12" s="253" t="s">
        <v>2644</v>
      </c>
      <c r="G12" s="253">
        <v>2</v>
      </c>
      <c r="H12" s="253" t="s">
        <v>3103</v>
      </c>
      <c r="I12" s="254" t="str">
        <f>'Dry_Litterbag Placem_Collection'!C13</f>
        <v>Dry_Ag2_T3</v>
      </c>
      <c r="J12" s="255" t="s">
        <v>2525</v>
      </c>
      <c r="K12" s="256" t="s">
        <v>1147</v>
      </c>
      <c r="L12" s="221" t="str">
        <f>'WetLitterbags placem_collection'!K13</f>
        <v>G543</v>
      </c>
      <c r="M12" s="223">
        <f>IFERROR(INDEX('Green_rooibos initial weight'!$C$5:$C$2000,MATCH(L12, 'Green_rooibos initial weight'!$A$5:$A$2000,0)),"")</f>
        <v>2.0920000000000001</v>
      </c>
      <c r="N12" s="223">
        <f>IFERROR(M12-(TBIcalc!$H$9+TBIcalc!$H$10),"")</f>
        <v>1.8422000000000001</v>
      </c>
      <c r="O12" s="378">
        <f>AVERAGE(Ashed_controlls!$K$2:$K$11)</f>
        <v>5.5147656768714146</v>
      </c>
      <c r="P12" s="223">
        <f t="shared" si="1"/>
        <v>1.7406069867006748</v>
      </c>
      <c r="Q12" s="223">
        <f>IFERROR(INDEX('Both teabags AfterWet'!$C$3:$C$840,MATCH(L12,'Both teabags AfterWet'!$A$3:$A$840,0)),"")</f>
        <v>0.71650000000000003</v>
      </c>
      <c r="R12" s="223">
        <f>IFERROR(IF(Q12&gt;0,Q12-(TBIcalc!$H$9),""),"")</f>
        <v>0.56590000000000007</v>
      </c>
      <c r="S12" s="223">
        <f>IFERROR(INDEX('Ashed teabags wet'!$K$2:$K$2000,MATCH(L12,'Ashed teabags wet'!$A$2:$A$2000,0)),"")</f>
        <v>12.04819277108421</v>
      </c>
      <c r="T12" s="223">
        <f t="shared" si="2"/>
        <v>0.4977192771084345</v>
      </c>
      <c r="U12" s="224">
        <f>'WetLitterbags placem_collection'!E13</f>
        <v>42766</v>
      </c>
      <c r="V12" s="224">
        <f>IF('WetLitterbags placem_collection'!G13="","",'WetLitterbags placem_collection'!G13)</f>
        <v>42818</v>
      </c>
      <c r="W12" s="225">
        <f t="shared" si="0"/>
        <v>52</v>
      </c>
      <c r="X12" s="223">
        <f t="shared" si="3"/>
        <v>1.2763</v>
      </c>
      <c r="Y12" s="223">
        <f t="shared" si="4"/>
        <v>1.2428877095922404</v>
      </c>
      <c r="Z12">
        <f>IFERROR(INDEX([1]Rainfall_Wet!$O$2:$O$217,MATCH(C12, [1]Rainfall_Wet!$A$2:$A$217,0)),"")</f>
        <v>194.43839254400001</v>
      </c>
      <c r="AA12" s="226">
        <v>21.13063730679653</v>
      </c>
      <c r="AB12" s="226">
        <v>3.0912555579081076</v>
      </c>
      <c r="AC12" s="226">
        <v>75.778107135295357</v>
      </c>
      <c r="AD12" s="227" t="s">
        <v>2651</v>
      </c>
      <c r="AE12" s="226">
        <v>2.4613109906357802</v>
      </c>
      <c r="AF12">
        <f>IF('WetLitterbags placem_collection'!AB13="","",'WetLitterbags placem_collection'!AB13)</f>
        <v>11.4</v>
      </c>
      <c r="AG12">
        <f>IF('WetLitterbags placem_collection'!Z13="","",'WetLitterbags placem_collection'!Z13)</f>
        <v>24.4</v>
      </c>
      <c r="AH12" s="236" t="str">
        <f>IF('WetLitterbags placem_collection'!AA13="","",'WetLitterbags placem_collection'!AA13)</f>
        <v>M</v>
      </c>
      <c r="AI12">
        <f>IF('WetLitterbags placem_collection'!AC13="","",'WetLitterbags placem_collection'!AC13)</f>
        <v>0</v>
      </c>
      <c r="AJ12" s="233">
        <f>AVERAGE('WetLitterbags placem_collection'!S13,'WetLitterbags placem_collection'!U13)</f>
        <v>21.1</v>
      </c>
      <c r="AK12">
        <f>AVERAGE('WetLitterbags placem_collection'!R13,'WetLitterbags placem_collection'!T13)</f>
        <v>24.05</v>
      </c>
      <c r="AL12">
        <f>INDEX([2]Coordinates!$B$2:$B$197,MATCH(I12,[2]Coordinates!$J$2:$J$197,0))</f>
        <v>-3.3977929599999999</v>
      </c>
      <c r="AM12">
        <f>INDEX([2]Coordinates!$C$2:$C$197,MATCH(I12,[2]Coordinates!$J$2:$J$197,0))</f>
        <v>34.837102999999999</v>
      </c>
      <c r="AN12" t="str">
        <f>IF(ISNUMBER(SEARCH("C", 'WetLitterbags placem_collection'!$V13)),"YES","NO")</f>
        <v>NO</v>
      </c>
      <c r="AO12" t="str">
        <f>IF(ISNUMBER(SEARCH("H", 'WetLitterbags placem_collection'!$V13)),"YES","NO")</f>
        <v>NO</v>
      </c>
      <c r="AP12" t="str">
        <f>IF(ISNUMBER(SEARCH("R", 'WetLitterbags placem_collection'!$V13)),"YES","NO")</f>
        <v>YES</v>
      </c>
    </row>
    <row r="13" spans="1:42">
      <c r="A13" t="s">
        <v>3248</v>
      </c>
      <c r="B13" s="248" t="s">
        <v>2454</v>
      </c>
      <c r="C13" s="253">
        <f>'Dry_Litterbag Placem_Collection'!A14</f>
        <v>12</v>
      </c>
      <c r="D13" s="253" t="str">
        <f>'Dry_Litterbag Placem_Collection'!B14</f>
        <v>Makao</v>
      </c>
      <c r="E13" s="253" t="s">
        <v>2643</v>
      </c>
      <c r="F13" s="253" t="s">
        <v>2644</v>
      </c>
      <c r="G13" s="253">
        <v>2</v>
      </c>
      <c r="H13" s="253" t="s">
        <v>3103</v>
      </c>
      <c r="I13" s="254" t="str">
        <f>'Dry_Litterbag Placem_Collection'!C14</f>
        <v>Dry_Ag2_T4</v>
      </c>
      <c r="J13" s="255" t="s">
        <v>2525</v>
      </c>
      <c r="K13" s="256" t="s">
        <v>1147</v>
      </c>
      <c r="L13" s="221" t="str">
        <f>'WetLitterbags placem_collection'!K14</f>
        <v>G590</v>
      </c>
      <c r="M13" s="223">
        <f>IFERROR(INDEX('Green_rooibos initial weight'!$C$5:$C$2000,MATCH(L13, 'Green_rooibos initial weight'!$A$5:$A$2000,0)),"")</f>
        <v>2.0830000000000002</v>
      </c>
      <c r="N13" s="223">
        <f>IFERROR(M13-(TBIcalc!$H$9+TBIcalc!$H$10),"")</f>
        <v>1.8332000000000002</v>
      </c>
      <c r="O13" s="378">
        <f>AVERAGE(Ashed_controlls!$K$2:$K$11)</f>
        <v>5.5147656768714146</v>
      </c>
      <c r="P13" s="223">
        <f t="shared" si="1"/>
        <v>1.7321033156115935</v>
      </c>
      <c r="Q13" s="223" t="str">
        <f>IFERROR(INDEX('Both teabags AfterWet'!$C$3:$C$840,MATCH(L13,'Both teabags AfterWet'!$A$3:$A$840,0)),"")</f>
        <v/>
      </c>
      <c r="R13" s="223" t="str">
        <f>IFERROR(IF(Q13&gt;0,Q13-(TBIcalc!$H$9),""),"")</f>
        <v/>
      </c>
      <c r="S13" s="223" t="str">
        <f>IFERROR(INDEX('Ashed teabags wet'!$K$2:$K$2000,MATCH(L13,'Ashed teabags wet'!$A$2:$A$2000,0)),"")</f>
        <v/>
      </c>
      <c r="T13" s="223" t="str">
        <f t="shared" si="2"/>
        <v/>
      </c>
      <c r="U13" s="224">
        <f>'WetLitterbags placem_collection'!E14</f>
        <v>42766</v>
      </c>
      <c r="V13" s="224">
        <f>IF('WetLitterbags placem_collection'!G14="","",'WetLitterbags placem_collection'!G14)</f>
        <v>42818</v>
      </c>
      <c r="W13" s="225">
        <f t="shared" si="0"/>
        <v>52</v>
      </c>
      <c r="X13" s="223" t="str">
        <f t="shared" si="3"/>
        <v/>
      </c>
      <c r="Y13" s="223" t="str">
        <f t="shared" si="4"/>
        <v/>
      </c>
      <c r="Z13" t="str">
        <f>IFERROR(INDEX([1]Rainfall_Wet!$O$2:$O$217,MATCH(C13, [1]Rainfall_Wet!$A$2:$A$217,0)),"")</f>
        <v/>
      </c>
      <c r="AA13" s="226">
        <v>21.13063730679653</v>
      </c>
      <c r="AB13" s="226">
        <v>3.0912555579081076</v>
      </c>
      <c r="AC13" s="226">
        <v>75.778107135295357</v>
      </c>
      <c r="AD13" s="227" t="s">
        <v>2651</v>
      </c>
      <c r="AE13" s="226">
        <v>3.4613109906357802</v>
      </c>
      <c r="AF13" t="str">
        <f>IF('WetLitterbags placem_collection'!AB14="","",'WetLitterbags placem_collection'!AB14)</f>
        <v/>
      </c>
      <c r="AG13" t="str">
        <f>IF('WetLitterbags placem_collection'!Z14="","",'WetLitterbags placem_collection'!Z14)</f>
        <v/>
      </c>
      <c r="AH13" s="236" t="str">
        <f>IF('WetLitterbags placem_collection'!AA14="","",'WetLitterbags placem_collection'!AA14)</f>
        <v/>
      </c>
      <c r="AI13" t="str">
        <f>IF('WetLitterbags placem_collection'!AC14="","",'WetLitterbags placem_collection'!AC14)</f>
        <v/>
      </c>
      <c r="AJ13" s="233">
        <f>AVERAGE('WetLitterbags placem_collection'!S14,'WetLitterbags placem_collection'!U14)</f>
        <v>25.8</v>
      </c>
      <c r="AK13">
        <f>AVERAGE('WetLitterbags placem_collection'!R14,'WetLitterbags placem_collection'!T14)</f>
        <v>21.7</v>
      </c>
      <c r="AL13">
        <f>INDEX([2]Coordinates!$B$2:$B$197,MATCH(I13,[2]Coordinates!$J$2:$J$197,0))</f>
        <v>-3.3979050260000001</v>
      </c>
      <c r="AM13">
        <f>INDEX([2]Coordinates!$C$2:$C$197,MATCH(I13,[2]Coordinates!$J$2:$J$197,0))</f>
        <v>34.837123030000001</v>
      </c>
      <c r="AN13" t="str">
        <f>IF(ISNUMBER(SEARCH("C", 'WetLitterbags placem_collection'!$V14)),"YES","NO")</f>
        <v>NO</v>
      </c>
      <c r="AO13" t="str">
        <f>IF(ISNUMBER(SEARCH("H", 'WetLitterbags placem_collection'!$V14)),"YES","NO")</f>
        <v>NO</v>
      </c>
      <c r="AP13" t="str">
        <f>IF(ISNUMBER(SEARCH("R", 'WetLitterbags placem_collection'!$V14)),"YES","NO")</f>
        <v>NO</v>
      </c>
    </row>
    <row r="14" spans="1:42">
      <c r="A14" t="s">
        <v>3248</v>
      </c>
      <c r="B14" s="248" t="s">
        <v>2454</v>
      </c>
      <c r="C14" s="253">
        <f>'Dry_Litterbag Placem_Collection'!A15</f>
        <v>13</v>
      </c>
      <c r="D14" s="253" t="str">
        <f>'Dry_Litterbag Placem_Collection'!B15</f>
        <v>Makao</v>
      </c>
      <c r="E14" s="253" t="s">
        <v>2643</v>
      </c>
      <c r="F14" s="253" t="s">
        <v>2644</v>
      </c>
      <c r="G14" s="253">
        <v>2</v>
      </c>
      <c r="H14" s="253" t="s">
        <v>3103</v>
      </c>
      <c r="I14" s="254" t="str">
        <f>'Dry_Litterbag Placem_Collection'!C15</f>
        <v>Dry_Ag2_T5</v>
      </c>
      <c r="J14" s="255" t="s">
        <v>2525</v>
      </c>
      <c r="K14" s="256" t="s">
        <v>1147</v>
      </c>
      <c r="L14" s="221" t="str">
        <f>'WetLitterbags placem_collection'!K15</f>
        <v>G595</v>
      </c>
      <c r="M14" s="223">
        <f>IFERROR(INDEX('Green_rooibos initial weight'!$C$5:$C$2000,MATCH(L14, 'Green_rooibos initial weight'!$A$5:$A$2000,0)),"")</f>
        <v>2.1160000000000001</v>
      </c>
      <c r="N14" s="223">
        <f>IFERROR(M14-(TBIcalc!$H$9+TBIcalc!$H$10),"")</f>
        <v>1.8662000000000001</v>
      </c>
      <c r="O14" s="378">
        <f>AVERAGE(Ashed_controlls!$K$2:$K$11)</f>
        <v>5.5147656768714146</v>
      </c>
      <c r="P14" s="223">
        <f t="shared" si="1"/>
        <v>1.7632834429382258</v>
      </c>
      <c r="Q14" s="223">
        <f>IFERROR(INDEX('Both teabags AfterWet'!$C$3:$C$840,MATCH(L14,'Both teabags AfterWet'!$A$3:$A$840,0)),"")</f>
        <v>0.62809999999999999</v>
      </c>
      <c r="R14" s="223">
        <f>IFERROR(IF(Q14&gt;0,Q14-(TBIcalc!$H$9),""),"")</f>
        <v>0.47749999999999998</v>
      </c>
      <c r="S14" s="223">
        <f>IFERROR(INDEX('Ashed teabags wet'!$K$2:$K$2000,MATCH(L14,'Ashed teabags wet'!$A$2:$A$2000,0)),"")</f>
        <v>29.168740666998239</v>
      </c>
      <c r="T14" s="223">
        <f t="shared" si="2"/>
        <v>0.3382192633150834</v>
      </c>
      <c r="U14" s="224">
        <f>'WetLitterbags placem_collection'!E15</f>
        <v>42766</v>
      </c>
      <c r="V14" s="224">
        <f>IF('WetLitterbags placem_collection'!G15="","",'WetLitterbags placem_collection'!G15)</f>
        <v>42818</v>
      </c>
      <c r="W14" s="225">
        <f t="shared" si="0"/>
        <v>52</v>
      </c>
      <c r="X14" s="223">
        <f t="shared" si="3"/>
        <v>1.3887</v>
      </c>
      <c r="Y14" s="223">
        <f t="shared" si="4"/>
        <v>1.4250641796231425</v>
      </c>
      <c r="Z14">
        <f>IFERROR(INDEX([1]Rainfall_Wet!$O$2:$O$217,MATCH(C14, [1]Rainfall_Wet!$A$2:$A$217,0)),"")</f>
        <v>194.43839254400001</v>
      </c>
      <c r="AA14" s="226">
        <v>21.13063730679653</v>
      </c>
      <c r="AB14" s="226">
        <v>3.0912555579081076</v>
      </c>
      <c r="AC14" s="226">
        <v>75.778107135295357</v>
      </c>
      <c r="AD14" s="227" t="s">
        <v>2651</v>
      </c>
      <c r="AE14" s="226">
        <v>4.4613109906357797</v>
      </c>
      <c r="AF14">
        <f>IF('WetLitterbags placem_collection'!AB15="","",'WetLitterbags placem_collection'!AB15)</f>
        <v>11.4</v>
      </c>
      <c r="AG14">
        <f>IF('WetLitterbags placem_collection'!Z15="","",'WetLitterbags placem_collection'!Z15)</f>
        <v>31</v>
      </c>
      <c r="AH14" s="236" t="str">
        <f>IF('WetLitterbags placem_collection'!AA15="","",'WetLitterbags placem_collection'!AA15)</f>
        <v>M</v>
      </c>
      <c r="AI14">
        <f>IF('WetLitterbags placem_collection'!AC15="","",'WetLitterbags placem_collection'!AC15)</f>
        <v>0</v>
      </c>
      <c r="AJ14" s="233">
        <f>AVERAGE('WetLitterbags placem_collection'!S15,'WetLitterbags placem_collection'!U15)</f>
        <v>20.8</v>
      </c>
      <c r="AK14">
        <f>AVERAGE('WetLitterbags placem_collection'!R15,'WetLitterbags placem_collection'!T15)</f>
        <v>23.4</v>
      </c>
      <c r="AL14">
        <f>INDEX([2]Coordinates!$B$2:$B$197,MATCH(I14,[2]Coordinates!$J$2:$J$197,0))</f>
        <v>-3.3979040199999999</v>
      </c>
      <c r="AM14">
        <f>INDEX([2]Coordinates!$C$2:$C$197,MATCH(I14,[2]Coordinates!$J$2:$J$197,0))</f>
        <v>34.837027980000002</v>
      </c>
      <c r="AN14" t="str">
        <f>IF(ISNUMBER(SEARCH("C", 'WetLitterbags placem_collection'!$V15)),"YES","NO")</f>
        <v>NO</v>
      </c>
      <c r="AO14" t="str">
        <f>IF(ISNUMBER(SEARCH("H", 'WetLitterbags placem_collection'!$V15)),"YES","NO")</f>
        <v>YES</v>
      </c>
      <c r="AP14" t="str">
        <f>IF(ISNUMBER(SEARCH("R", 'WetLitterbags placem_collection'!$V15)),"YES","NO")</f>
        <v>NO</v>
      </c>
    </row>
    <row r="15" spans="1:42">
      <c r="A15" t="s">
        <v>3248</v>
      </c>
      <c r="B15" s="248" t="s">
        <v>2454</v>
      </c>
      <c r="C15" s="253">
        <f>'Dry_Litterbag Placem_Collection'!A16</f>
        <v>14</v>
      </c>
      <c r="D15" s="253" t="str">
        <f>'Dry_Litterbag Placem_Collection'!B16</f>
        <v>Makao</v>
      </c>
      <c r="E15" s="253" t="s">
        <v>2643</v>
      </c>
      <c r="F15" s="253" t="s">
        <v>2644</v>
      </c>
      <c r="G15" s="253">
        <v>2</v>
      </c>
      <c r="H15" s="253" t="s">
        <v>3103</v>
      </c>
      <c r="I15" s="254" t="str">
        <f>'Dry_Litterbag Placem_Collection'!C16</f>
        <v>Dry_Ag2_T6</v>
      </c>
      <c r="J15" s="255" t="s">
        <v>2525</v>
      </c>
      <c r="K15" s="256" t="s">
        <v>1147</v>
      </c>
      <c r="L15" s="221" t="str">
        <f>'WetLitterbags placem_collection'!K16</f>
        <v>G609</v>
      </c>
      <c r="M15" s="223">
        <f>IFERROR(INDEX('Green_rooibos initial weight'!$C$5:$C$2000,MATCH(L15, 'Green_rooibos initial weight'!$A$5:$A$2000,0)),"")</f>
        <v>2.089</v>
      </c>
      <c r="N15" s="223">
        <f>IFERROR(M15-(TBIcalc!$H$9+TBIcalc!$H$10),"")</f>
        <v>1.8391999999999999</v>
      </c>
      <c r="O15" s="378">
        <f>AVERAGE(Ashed_controlls!$K$2:$K$11)</f>
        <v>5.5147656768714146</v>
      </c>
      <c r="P15" s="223">
        <f t="shared" si="1"/>
        <v>1.7377724296709809</v>
      </c>
      <c r="Q15" s="223">
        <f>IFERROR(INDEX('Both teabags AfterWet'!$C$3:$C$840,MATCH(L15,'Both teabags AfterWet'!$A$3:$A$840,0)),"")</f>
        <v>0.498</v>
      </c>
      <c r="R15" s="223">
        <f>IFERROR(IF(Q15&gt;0,Q15-(TBIcalc!$H$9),""),"")</f>
        <v>0.34739999999999999</v>
      </c>
      <c r="S15" s="223">
        <f>IFERROR(INDEX('Ashed teabags wet'!$K$2:$K$2000,MATCH(L15,'Ashed teabags wet'!$A$2:$A$2000,0)),"")</f>
        <v>16.033966033965626</v>
      </c>
      <c r="T15" s="223">
        <f t="shared" si="2"/>
        <v>0.29169800199800339</v>
      </c>
      <c r="U15" s="224">
        <f>'WetLitterbags placem_collection'!E16</f>
        <v>42766</v>
      </c>
      <c r="V15" s="224">
        <f>IF('WetLitterbags placem_collection'!G16="","",'WetLitterbags placem_collection'!G16)</f>
        <v>42818</v>
      </c>
      <c r="W15" s="225">
        <f t="shared" si="0"/>
        <v>52</v>
      </c>
      <c r="X15" s="223">
        <f t="shared" si="3"/>
        <v>1.4918</v>
      </c>
      <c r="Y15" s="223">
        <f t="shared" si="4"/>
        <v>1.4460744276729776</v>
      </c>
      <c r="Z15">
        <f>IFERROR(INDEX([1]Rainfall_Wet!$O$2:$O$217,MATCH(C15, [1]Rainfall_Wet!$A$2:$A$217,0)),"")</f>
        <v>194.43839254400001</v>
      </c>
      <c r="AA15" s="226">
        <v>21.13063730679653</v>
      </c>
      <c r="AB15" s="226">
        <v>3.0912555579081076</v>
      </c>
      <c r="AC15" s="226">
        <v>75.778107135295357</v>
      </c>
      <c r="AD15" s="227" t="s">
        <v>2651</v>
      </c>
      <c r="AE15" s="226">
        <v>5.4613109906357797</v>
      </c>
      <c r="AF15">
        <f>IF('WetLitterbags placem_collection'!AB16="","",'WetLitterbags placem_collection'!AB16)</f>
        <v>28.4</v>
      </c>
      <c r="AG15">
        <f>IF('WetLitterbags placem_collection'!Z16="","",'WetLitterbags placem_collection'!Z16)</f>
        <v>42.4</v>
      </c>
      <c r="AH15" s="236" t="str">
        <f>IF('WetLitterbags placem_collection'!AA16="","",'WetLitterbags placem_collection'!AA16)</f>
        <v>M</v>
      </c>
      <c r="AI15">
        <f>IF('WetLitterbags placem_collection'!AC16="","",'WetLitterbags placem_collection'!AC16)</f>
        <v>0</v>
      </c>
      <c r="AJ15" s="233">
        <f>AVERAGE('WetLitterbags placem_collection'!S16,'WetLitterbags placem_collection'!U16)</f>
        <v>15.7</v>
      </c>
      <c r="AK15">
        <f>AVERAGE('WetLitterbags placem_collection'!R16,'WetLitterbags placem_collection'!T16)</f>
        <v>24.1</v>
      </c>
      <c r="AL15">
        <f>INDEX([2]Coordinates!$B$2:$B$197,MATCH(I15,[2]Coordinates!$J$2:$J$197,0))</f>
        <v>-3.397854986</v>
      </c>
      <c r="AM15">
        <f>INDEX([2]Coordinates!$C$2:$C$197,MATCH(I15,[2]Coordinates!$J$2:$J$197,0))</f>
        <v>34.836874010000002</v>
      </c>
      <c r="AN15" t="str">
        <f>IF(ISNUMBER(SEARCH("C", 'WetLitterbags placem_collection'!$V16)),"YES","NO")</f>
        <v>NO</v>
      </c>
      <c r="AO15" t="str">
        <f>IF(ISNUMBER(SEARCH("H", 'WetLitterbags placem_collection'!$V16)),"YES","NO")</f>
        <v>NO</v>
      </c>
      <c r="AP15" t="str">
        <f>IF(ISNUMBER(SEARCH("R", 'WetLitterbags placem_collection'!$V16)),"YES","NO")</f>
        <v>NO</v>
      </c>
    </row>
    <row r="16" spans="1:42">
      <c r="A16" t="s">
        <v>3248</v>
      </c>
      <c r="B16" s="248" t="s">
        <v>2454</v>
      </c>
      <c r="C16" s="253">
        <f>'Dry_Litterbag Placem_Collection'!A17</f>
        <v>15</v>
      </c>
      <c r="D16" s="253" t="str">
        <f>'Dry_Litterbag Placem_Collection'!B17</f>
        <v>Makao</v>
      </c>
      <c r="E16" s="253" t="s">
        <v>2643</v>
      </c>
      <c r="F16" s="253" t="s">
        <v>2644</v>
      </c>
      <c r="G16" s="253">
        <v>2</v>
      </c>
      <c r="H16" s="253" t="s">
        <v>3103</v>
      </c>
      <c r="I16" s="254" t="str">
        <f>'Dry_Litterbag Placem_Collection'!C17</f>
        <v>Dry_Ag2_T7</v>
      </c>
      <c r="J16" s="255" t="s">
        <v>2525</v>
      </c>
      <c r="K16" s="256" t="s">
        <v>1147</v>
      </c>
      <c r="L16" s="221" t="str">
        <f>'WetLitterbags placem_collection'!K17</f>
        <v>G222</v>
      </c>
      <c r="M16" s="223">
        <f>IFERROR(INDEX('Green_rooibos initial weight'!$C$5:$C$2000,MATCH(L16, 'Green_rooibos initial weight'!$A$5:$A$2000,0)),"")</f>
        <v>1.889</v>
      </c>
      <c r="N16" s="223">
        <f>IFERROR(M16-(TBIcalc!$H$9+TBIcalc!$H$10),"")</f>
        <v>1.6392</v>
      </c>
      <c r="O16" s="378">
        <f>AVERAGE(Ashed_controlls!$K$2:$K$11)</f>
        <v>5.5147656768714146</v>
      </c>
      <c r="P16" s="223">
        <f t="shared" si="1"/>
        <v>1.5488019610247237</v>
      </c>
      <c r="Q16" s="223">
        <f>IFERROR(INDEX('Both teabags AfterWet'!$C$3:$C$840,MATCH(L16,'Both teabags AfterWet'!$A$3:$A$840,0)),"")</f>
        <v>0.67100000000000004</v>
      </c>
      <c r="R16" s="223">
        <f>IFERROR(IF(Q16&gt;0,Q16-(TBIcalc!$H$9),""),"")</f>
        <v>0.52039999999999997</v>
      </c>
      <c r="S16" s="223">
        <f>IFERROR(INDEX('Ashed teabags wet'!$K$2:$K$2000,MATCH(L16,'Ashed teabags wet'!$A$2:$A$2000,0)),"")</f>
        <v>15.805168986083718</v>
      </c>
      <c r="T16" s="223">
        <f t="shared" si="2"/>
        <v>0.43814990059642034</v>
      </c>
      <c r="U16" s="224">
        <f>'WetLitterbags placem_collection'!E17</f>
        <v>42766</v>
      </c>
      <c r="V16" s="224">
        <f>IF('WetLitterbags placem_collection'!G17="","",'WetLitterbags placem_collection'!G17)</f>
        <v>42818</v>
      </c>
      <c r="W16" s="225">
        <f t="shared" si="0"/>
        <v>52</v>
      </c>
      <c r="X16" s="223">
        <f t="shared" si="3"/>
        <v>1.1188</v>
      </c>
      <c r="Y16" s="223">
        <f t="shared" si="4"/>
        <v>1.1106520604283032</v>
      </c>
      <c r="Z16">
        <f>IFERROR(INDEX([1]Rainfall_Wet!$O$2:$O$217,MATCH(C16, [1]Rainfall_Wet!$A$2:$A$217,0)),"")</f>
        <v>194.43839254400001</v>
      </c>
      <c r="AA16" s="226">
        <v>21.13063730679653</v>
      </c>
      <c r="AB16" s="226">
        <v>3.0912555579081076</v>
      </c>
      <c r="AC16" s="226">
        <v>75.778107135295357</v>
      </c>
      <c r="AD16" s="227" t="s">
        <v>2651</v>
      </c>
      <c r="AE16" s="226">
        <v>6.4613109906357797</v>
      </c>
      <c r="AF16">
        <f>IF('WetLitterbags placem_collection'!AB17="","",'WetLitterbags placem_collection'!AB17)</f>
        <v>15.8</v>
      </c>
      <c r="AG16">
        <f>IF('WetLitterbags placem_collection'!Z17="","",'WetLitterbags placem_collection'!Z17)</f>
        <v>30.4</v>
      </c>
      <c r="AH16" s="236" t="str">
        <f>IF('WetLitterbags placem_collection'!AA17="","",'WetLitterbags placem_collection'!AA17)</f>
        <v>M</v>
      </c>
      <c r="AI16">
        <f>IF('WetLitterbags placem_collection'!AC17="","",'WetLitterbags placem_collection'!AC17)</f>
        <v>0</v>
      </c>
      <c r="AJ16" s="233">
        <f>AVERAGE('WetLitterbags placem_collection'!S17,'WetLitterbags placem_collection'!U17)</f>
        <v>23.9</v>
      </c>
      <c r="AK16">
        <f>AVERAGE('WetLitterbags placem_collection'!R17,'WetLitterbags placem_collection'!T17)</f>
        <v>23.95</v>
      </c>
      <c r="AL16">
        <f>INDEX([2]Coordinates!$B$2:$B$197,MATCH(I16,[2]Coordinates!$J$2:$J$197,0))</f>
        <v>-3.3978060349999999</v>
      </c>
      <c r="AM16">
        <f>INDEX([2]Coordinates!$C$2:$C$197,MATCH(I16,[2]Coordinates!$J$2:$J$197,0))</f>
        <v>34.837023960000003</v>
      </c>
      <c r="AN16" t="str">
        <f>IF(ISNUMBER(SEARCH("C", 'WetLitterbags placem_collection'!$V17)),"YES","NO")</f>
        <v>NO</v>
      </c>
      <c r="AO16" t="str">
        <f>IF(ISNUMBER(SEARCH("H", 'WetLitterbags placem_collection'!$V17)),"YES","NO")</f>
        <v>NO</v>
      </c>
      <c r="AP16" t="str">
        <f>IF(ISNUMBER(SEARCH("R", 'WetLitterbags placem_collection'!$V17)),"YES","NO")</f>
        <v>NO</v>
      </c>
    </row>
    <row r="17" spans="1:42">
      <c r="A17" t="s">
        <v>3248</v>
      </c>
      <c r="B17" s="248" t="s">
        <v>2454</v>
      </c>
      <c r="C17" s="253">
        <f>'Dry_Litterbag Placem_Collection'!A18</f>
        <v>16</v>
      </c>
      <c r="D17" s="253" t="str">
        <f>'Dry_Litterbag Placem_Collection'!B18</f>
        <v>Makao</v>
      </c>
      <c r="E17" s="253" t="s">
        <v>2643</v>
      </c>
      <c r="F17" s="253" t="s">
        <v>2644</v>
      </c>
      <c r="G17" s="253">
        <v>2</v>
      </c>
      <c r="H17" s="253" t="s">
        <v>3103</v>
      </c>
      <c r="I17" s="254" t="str">
        <f>'Dry_Litterbag Placem_Collection'!C18</f>
        <v>Dry_Ag2_T8</v>
      </c>
      <c r="J17" s="255" t="s">
        <v>2525</v>
      </c>
      <c r="K17" s="256" t="s">
        <v>1147</v>
      </c>
      <c r="L17" s="221" t="str">
        <f>'WetLitterbags placem_collection'!K18</f>
        <v>G405</v>
      </c>
      <c r="M17" s="223">
        <f>IFERROR(INDEX('Green_rooibos initial weight'!$C$5:$C$2000,MATCH(L17, 'Green_rooibos initial weight'!$A$5:$A$2000,0)),"")</f>
        <v>2.056</v>
      </c>
      <c r="N17" s="223">
        <f>IFERROR(M17-(TBIcalc!$H$9+TBIcalc!$H$10),"")</f>
        <v>1.8062</v>
      </c>
      <c r="O17" s="378">
        <f>AVERAGE(Ashed_controlls!$K$2:$K$11)</f>
        <v>5.5147656768714146</v>
      </c>
      <c r="P17" s="223">
        <f t="shared" si="1"/>
        <v>1.7065923023443486</v>
      </c>
      <c r="Q17" s="223">
        <f>IFERROR(INDEX('Both teabags AfterWet'!$C$3:$C$840,MATCH(L17,'Both teabags AfterWet'!$A$3:$A$840,0)),"")</f>
        <v>0.70150000000000001</v>
      </c>
      <c r="R17" s="223">
        <f>IFERROR(IF(Q17&gt;0,Q17-(TBIcalc!$H$9),""),"")</f>
        <v>0.55089999999999995</v>
      </c>
      <c r="S17" s="223">
        <f>IFERROR(INDEX('Ashed teabags wet'!$K$2:$K$2000,MATCH(L17,'Ashed teabags wet'!$A$2:$A$2000,0)),"")</f>
        <v>15.725413826680606</v>
      </c>
      <c r="T17" s="223">
        <f t="shared" si="2"/>
        <v>0.46426869522881647</v>
      </c>
      <c r="U17" s="224">
        <f>'WetLitterbags placem_collection'!E18</f>
        <v>42766</v>
      </c>
      <c r="V17" s="224">
        <f>IF('WetLitterbags placem_collection'!G18="","",'WetLitterbags placem_collection'!G18)</f>
        <v>42818</v>
      </c>
      <c r="W17" s="225">
        <f t="shared" si="0"/>
        <v>52</v>
      </c>
      <c r="X17" s="223">
        <f t="shared" si="3"/>
        <v>1.2553000000000001</v>
      </c>
      <c r="Y17" s="223">
        <f t="shared" si="4"/>
        <v>1.2423236071155321</v>
      </c>
      <c r="Z17">
        <f>IFERROR(INDEX([1]Rainfall_Wet!$O$2:$O$217,MATCH(C17, [1]Rainfall_Wet!$A$2:$A$217,0)),"")</f>
        <v>194.43839254400001</v>
      </c>
      <c r="AA17" s="226">
        <v>21.13063730679653</v>
      </c>
      <c r="AB17" s="226">
        <v>3.0912555579081076</v>
      </c>
      <c r="AC17" s="226">
        <v>75.778107135295357</v>
      </c>
      <c r="AD17" s="227" t="s">
        <v>2651</v>
      </c>
      <c r="AE17" s="226">
        <v>7.4613109906357797</v>
      </c>
      <c r="AF17">
        <f>IF('WetLitterbags placem_collection'!AB18="","",'WetLitterbags placem_collection'!AB18)</f>
        <v>8</v>
      </c>
      <c r="AG17">
        <f>IF('WetLitterbags placem_collection'!Z18="","",'WetLitterbags placem_collection'!Z18)</f>
        <v>12.4</v>
      </c>
      <c r="AH17" s="236" t="str">
        <f>IF('WetLitterbags placem_collection'!AA18="","",'WetLitterbags placem_collection'!AA18)</f>
        <v>M</v>
      </c>
      <c r="AI17">
        <f>IF('WetLitterbags placem_collection'!AC18="","",'WetLitterbags placem_collection'!AC18)</f>
        <v>0</v>
      </c>
      <c r="AJ17" s="233">
        <f>AVERAGE('WetLitterbags placem_collection'!S18,'WetLitterbags placem_collection'!U18)</f>
        <v>17.5</v>
      </c>
      <c r="AK17">
        <f>AVERAGE('WetLitterbags placem_collection'!R18,'WetLitterbags placem_collection'!T18)</f>
        <v>24.05</v>
      </c>
      <c r="AL17">
        <f>INDEX([2]Coordinates!$B$2:$B$197,MATCH(I17,[2]Coordinates!$J$2:$J$197,0))</f>
        <v>-3.3977669760000002</v>
      </c>
      <c r="AM17">
        <f>INDEX([2]Coordinates!$C$2:$C$197,MATCH(I17,[2]Coordinates!$J$2:$J$197,0))</f>
        <v>34.837181039999997</v>
      </c>
      <c r="AN17" t="str">
        <f>IF(ISNUMBER(SEARCH("C", 'WetLitterbags placem_collection'!$V18)),"YES","NO")</f>
        <v>NO</v>
      </c>
      <c r="AO17" t="str">
        <f>IF(ISNUMBER(SEARCH("H", 'WetLitterbags placem_collection'!$V18)),"YES","NO")</f>
        <v>YES</v>
      </c>
      <c r="AP17" t="str">
        <f>IF(ISNUMBER(SEARCH("R", 'WetLitterbags placem_collection'!$V18)),"YES","NO")</f>
        <v>YES</v>
      </c>
    </row>
    <row r="18" spans="1:42">
      <c r="A18" t="s">
        <v>3248</v>
      </c>
      <c r="B18" s="248" t="s">
        <v>2454</v>
      </c>
      <c r="C18" s="253">
        <f>'Dry_Litterbag Placem_Collection'!A19</f>
        <v>17</v>
      </c>
      <c r="D18" s="253" t="str">
        <f>'Dry_Litterbag Placem_Collection'!B19</f>
        <v>Makao</v>
      </c>
      <c r="E18" s="253" t="s">
        <v>2643</v>
      </c>
      <c r="F18" s="253" t="s">
        <v>2644</v>
      </c>
      <c r="G18" s="253">
        <v>3</v>
      </c>
      <c r="H18" s="253" t="s">
        <v>3104</v>
      </c>
      <c r="I18" s="254" t="str">
        <f>'Dry_Litterbag Placem_Collection'!C19</f>
        <v>Dry_Ag3_T1</v>
      </c>
      <c r="J18" s="255" t="s">
        <v>2525</v>
      </c>
      <c r="K18" s="256" t="s">
        <v>1147</v>
      </c>
      <c r="L18" s="221" t="str">
        <f>'WetLitterbags placem_collection'!K19</f>
        <v>G571</v>
      </c>
      <c r="M18" s="223">
        <f>IFERROR(INDEX('Green_rooibos initial weight'!$C$5:$C$2000,MATCH(L18, 'Green_rooibos initial weight'!$A$5:$A$2000,0)),"")</f>
        <v>2.0489999999999999</v>
      </c>
      <c r="N18" s="223">
        <f>IFERROR(M18-(TBIcalc!$H$9+TBIcalc!$H$10),"")</f>
        <v>1.7991999999999999</v>
      </c>
      <c r="O18" s="378">
        <f>AVERAGE(Ashed_controlls!$K$2:$K$11)</f>
        <v>5.5147656768714146</v>
      </c>
      <c r="P18" s="223">
        <f t="shared" si="1"/>
        <v>1.6999783359417293</v>
      </c>
      <c r="Q18" s="223">
        <f>IFERROR(INDEX('Both teabags AfterWet'!$C$3:$C$840,MATCH(L18,'Both teabags AfterWet'!$A$3:$A$840,0)),"")</f>
        <v>0.67520000000000002</v>
      </c>
      <c r="R18" s="223">
        <f>IFERROR(IF(Q18&gt;0,Q18-(TBIcalc!$H$9),""),"")</f>
        <v>0.52459999999999996</v>
      </c>
      <c r="S18" s="223">
        <f>IFERROR(INDEX('Ashed teabags wet'!$K$2:$K$2000,MATCH(L18,'Ashed teabags wet'!$A$2:$A$2000,0)),"")</f>
        <v>9.6710849288172405</v>
      </c>
      <c r="T18" s="223">
        <f t="shared" si="2"/>
        <v>0.47386548846342469</v>
      </c>
      <c r="U18" s="224">
        <f>'WetLitterbags placem_collection'!E19</f>
        <v>42767</v>
      </c>
      <c r="V18" s="224">
        <f>IF('WetLitterbags placem_collection'!G19="","",'WetLitterbags placem_collection'!G19)</f>
        <v>42818</v>
      </c>
      <c r="W18" s="225">
        <f t="shared" si="0"/>
        <v>51</v>
      </c>
      <c r="X18" s="223">
        <f t="shared" si="3"/>
        <v>1.2746</v>
      </c>
      <c r="Y18" s="223">
        <f t="shared" si="4"/>
        <v>1.2261128474783045</v>
      </c>
      <c r="Z18">
        <f>IFERROR(INDEX([1]Rainfall_Wet!$O$2:$O$217,MATCH(C18, [1]Rainfall_Wet!$A$2:$A$217,0)),"")</f>
        <v>185.630065823</v>
      </c>
      <c r="AA18" s="226">
        <v>54.080969906906262</v>
      </c>
      <c r="AB18" s="226">
        <v>21.264484651351896</v>
      </c>
      <c r="AC18" s="226">
        <v>24.654545441741845</v>
      </c>
      <c r="AD18" s="227" t="s">
        <v>2654</v>
      </c>
      <c r="AE18" s="226">
        <v>1.8433218334154755</v>
      </c>
      <c r="AF18" t="str">
        <f>IF('WetLitterbags placem_collection'!AB19="","",'WetLitterbags placem_collection'!AB19)</f>
        <v/>
      </c>
      <c r="AG18" t="str">
        <f>IF('WetLitterbags placem_collection'!Z19="","",'WetLitterbags placem_collection'!Z19)</f>
        <v/>
      </c>
      <c r="AH18" s="236" t="str">
        <f>IF('WetLitterbags placem_collection'!AA19="","",'WetLitterbags placem_collection'!AA19)</f>
        <v/>
      </c>
      <c r="AI18" t="str">
        <f>IF('WetLitterbags placem_collection'!AC19="","",'WetLitterbags placem_collection'!AC19)</f>
        <v/>
      </c>
      <c r="AJ18" s="233">
        <f>AVERAGE('WetLitterbags placem_collection'!S19,'WetLitterbags placem_collection'!U19)</f>
        <v>35.9</v>
      </c>
      <c r="AK18">
        <f>AVERAGE('WetLitterbags placem_collection'!R19,'WetLitterbags placem_collection'!T19)</f>
        <v>21.35</v>
      </c>
      <c r="AL18">
        <f>INDEX([2]Coordinates!$B$2:$B$197,MATCH(I18,[2]Coordinates!$J$2:$J$197,0))</f>
        <v>-3.3854090330000002</v>
      </c>
      <c r="AM18">
        <f>INDEX([2]Coordinates!$C$2:$C$197,MATCH(I18,[2]Coordinates!$J$2:$J$197,0))</f>
        <v>34.818901029999999</v>
      </c>
      <c r="AN18" t="str">
        <f>IF(ISNUMBER(SEARCH("C", 'WetLitterbags placem_collection'!$V19)),"YES","NO")</f>
        <v>NO</v>
      </c>
      <c r="AO18" t="str">
        <f>IF(ISNUMBER(SEARCH("H", 'WetLitterbags placem_collection'!$V19)),"YES","NO")</f>
        <v>NO</v>
      </c>
      <c r="AP18" t="str">
        <f>IF(ISNUMBER(SEARCH("R", 'WetLitterbags placem_collection'!$V19)),"YES","NO")</f>
        <v>NO</v>
      </c>
    </row>
    <row r="19" spans="1:42">
      <c r="A19" t="s">
        <v>3248</v>
      </c>
      <c r="B19" s="248" t="s">
        <v>2454</v>
      </c>
      <c r="C19" s="253">
        <f>'Dry_Litterbag Placem_Collection'!A20</f>
        <v>18</v>
      </c>
      <c r="D19" s="253" t="str">
        <f>'Dry_Litterbag Placem_Collection'!B20</f>
        <v>Makao</v>
      </c>
      <c r="E19" s="253" t="s">
        <v>2643</v>
      </c>
      <c r="F19" s="253" t="s">
        <v>2644</v>
      </c>
      <c r="G19" s="253">
        <v>3</v>
      </c>
      <c r="H19" s="253" t="s">
        <v>3104</v>
      </c>
      <c r="I19" s="254" t="str">
        <f>'Dry_Litterbag Placem_Collection'!C20</f>
        <v>Dry_Ag3_T2</v>
      </c>
      <c r="J19" s="255" t="s">
        <v>2525</v>
      </c>
      <c r="K19" s="256" t="s">
        <v>1147</v>
      </c>
      <c r="L19" s="221" t="str">
        <f>'WetLitterbags placem_collection'!K20</f>
        <v>G419</v>
      </c>
      <c r="M19" s="223">
        <f>IFERROR(INDEX('Green_rooibos initial weight'!$C$5:$C$2000,MATCH(L19, 'Green_rooibos initial weight'!$A$5:$A$2000,0)),"")</f>
        <v>2.0779999999999998</v>
      </c>
      <c r="N19" s="223">
        <f>IFERROR(M19-(TBIcalc!$H$9+TBIcalc!$H$10),"")</f>
        <v>1.8281999999999998</v>
      </c>
      <c r="O19" s="378">
        <f>AVERAGE(Ashed_controlls!$K$2:$K$11)</f>
        <v>5.5147656768714146</v>
      </c>
      <c r="P19" s="223">
        <f t="shared" si="1"/>
        <v>1.7273790538954366</v>
      </c>
      <c r="Q19" s="223">
        <f>IFERROR(INDEX('Both teabags AfterWet'!$C$3:$C$840,MATCH(L19,'Both teabags AfterWet'!$A$3:$A$840,0)),"")</f>
        <v>0.79100000000000004</v>
      </c>
      <c r="R19" s="223">
        <f>IFERROR(IF(Q19&gt;0,Q19-(TBIcalc!$H$9),""),"")</f>
        <v>0.64040000000000008</v>
      </c>
      <c r="S19" s="223">
        <f>IFERROR(INDEX('Ashed teabags wet'!$K$2:$K$2000,MATCH(L19,'Ashed teabags wet'!$A$2:$A$2000,0)),"")</f>
        <v>15.166340508806261</v>
      </c>
      <c r="T19" s="223">
        <f t="shared" si="2"/>
        <v>0.54327475538160475</v>
      </c>
      <c r="U19" s="224">
        <f>'WetLitterbags placem_collection'!E20</f>
        <v>42767</v>
      </c>
      <c r="V19" s="224">
        <f>IF('WetLitterbags placem_collection'!G20="","",'WetLitterbags placem_collection'!G20)</f>
        <v>42818</v>
      </c>
      <c r="W19" s="225">
        <f t="shared" si="0"/>
        <v>51</v>
      </c>
      <c r="X19" s="223">
        <f t="shared" si="3"/>
        <v>1.1877999999999997</v>
      </c>
      <c r="Y19" s="223">
        <f t="shared" si="4"/>
        <v>1.1841042985138319</v>
      </c>
      <c r="Z19">
        <f>IFERROR(INDEX([1]Rainfall_Wet!$O$2:$O$217,MATCH(C19, [1]Rainfall_Wet!$A$2:$A$217,0)),"")</f>
        <v>185.630065823</v>
      </c>
      <c r="AA19" s="226">
        <v>54.080969906906262</v>
      </c>
      <c r="AB19" s="226">
        <v>21.264484651351896</v>
      </c>
      <c r="AC19" s="226">
        <v>24.654545441741845</v>
      </c>
      <c r="AD19" s="227" t="s">
        <v>2654</v>
      </c>
      <c r="AE19" s="226">
        <v>2.8433218334154802</v>
      </c>
      <c r="AF19" t="str">
        <f>IF('WetLitterbags placem_collection'!AB20="","",'WetLitterbags placem_collection'!AB20)</f>
        <v/>
      </c>
      <c r="AG19" t="str">
        <f>IF('WetLitterbags placem_collection'!Z20="","",'WetLitterbags placem_collection'!Z20)</f>
        <v/>
      </c>
      <c r="AH19" s="236" t="str">
        <f>IF('WetLitterbags placem_collection'!AA20="","",'WetLitterbags placem_collection'!AA20)</f>
        <v/>
      </c>
      <c r="AI19" t="str">
        <f>IF('WetLitterbags placem_collection'!AC20="","",'WetLitterbags placem_collection'!AC20)</f>
        <v/>
      </c>
      <c r="AJ19" s="233">
        <f>AVERAGE('WetLitterbags placem_collection'!S20,'WetLitterbags placem_collection'!U20)</f>
        <v>36.950000000000003</v>
      </c>
      <c r="AK19">
        <f>AVERAGE('WetLitterbags placem_collection'!R20,'WetLitterbags placem_collection'!T20)</f>
        <v>21.35</v>
      </c>
      <c r="AL19">
        <f>INDEX([2]Coordinates!$B$2:$B$197,MATCH(I19,[2]Coordinates!$J$2:$J$197,0))</f>
        <v>-3.385375002</v>
      </c>
      <c r="AM19">
        <f>INDEX([2]Coordinates!$C$2:$C$197,MATCH(I19,[2]Coordinates!$J$2:$J$197,0))</f>
        <v>34.818939999999998</v>
      </c>
      <c r="AN19" t="str">
        <f>IF(ISNUMBER(SEARCH("C", 'WetLitterbags placem_collection'!$V20)),"YES","NO")</f>
        <v>NO</v>
      </c>
      <c r="AO19" t="str">
        <f>IF(ISNUMBER(SEARCH("H", 'WetLitterbags placem_collection'!$V20)),"YES","NO")</f>
        <v>NO</v>
      </c>
      <c r="AP19" t="str">
        <f>IF(ISNUMBER(SEARCH("R", 'WetLitterbags placem_collection'!$V20)),"YES","NO")</f>
        <v>YES</v>
      </c>
    </row>
    <row r="20" spans="1:42">
      <c r="A20" t="s">
        <v>3248</v>
      </c>
      <c r="B20" s="248" t="s">
        <v>2454</v>
      </c>
      <c r="C20" s="253">
        <f>'Dry_Litterbag Placem_Collection'!A21</f>
        <v>19</v>
      </c>
      <c r="D20" s="253" t="str">
        <f>'Dry_Litterbag Placem_Collection'!B21</f>
        <v>Makao</v>
      </c>
      <c r="E20" s="253" t="s">
        <v>2643</v>
      </c>
      <c r="F20" s="253" t="s">
        <v>2644</v>
      </c>
      <c r="G20" s="253">
        <v>3</v>
      </c>
      <c r="H20" s="253" t="s">
        <v>3104</v>
      </c>
      <c r="I20" s="254" t="str">
        <f>'Dry_Litterbag Placem_Collection'!C21</f>
        <v>Dry_Ag3_T3</v>
      </c>
      <c r="J20" s="255" t="s">
        <v>2525</v>
      </c>
      <c r="K20" s="256" t="s">
        <v>1147</v>
      </c>
      <c r="L20" s="221" t="str">
        <f>'WetLitterbags placem_collection'!K21</f>
        <v>G240</v>
      </c>
      <c r="M20" s="223">
        <f>IFERROR(INDEX('Green_rooibos initial weight'!$C$5:$C$2000,MATCH(L20, 'Green_rooibos initial weight'!$A$5:$A$2000,0)),"")</f>
        <v>2.117</v>
      </c>
      <c r="N20" s="223">
        <f>IFERROR(M20-(TBIcalc!$H$9+TBIcalc!$H$10),"")</f>
        <v>1.8672</v>
      </c>
      <c r="O20" s="378">
        <f>AVERAGE(Ashed_controlls!$K$2:$K$11)</f>
        <v>5.5147656768714146</v>
      </c>
      <c r="P20" s="223">
        <f t="shared" si="1"/>
        <v>1.764228295281457</v>
      </c>
      <c r="Q20" s="223">
        <f>IFERROR(INDEX('Both teabags AfterWet'!$C$3:$C$840,MATCH(L20,'Both teabags AfterWet'!$A$3:$A$840,0)),"")</f>
        <v>0.88690000000000002</v>
      </c>
      <c r="R20" s="223">
        <f>IFERROR(IF(Q20&gt;0,Q20-(TBIcalc!$H$9),""),"")</f>
        <v>0.73629999999999995</v>
      </c>
      <c r="S20" s="223">
        <f>IFERROR(INDEX('Ashed teabags wet'!$K$2:$K$2000,MATCH(L20,'Ashed teabags wet'!$A$2:$A$2000,0)),"")</f>
        <v>18.480392156862031</v>
      </c>
      <c r="T20" s="223">
        <f t="shared" si="2"/>
        <v>0.60022887254902479</v>
      </c>
      <c r="U20" s="224">
        <f>'WetLitterbags placem_collection'!E21</f>
        <v>42767</v>
      </c>
      <c r="V20" s="224">
        <f>IF('WetLitterbags placem_collection'!G21="","",'WetLitterbags placem_collection'!G21)</f>
        <v>42818</v>
      </c>
      <c r="W20" s="225">
        <f t="shared" si="0"/>
        <v>51</v>
      </c>
      <c r="X20" s="223">
        <f t="shared" si="3"/>
        <v>1.1309</v>
      </c>
      <c r="Y20" s="223">
        <f t="shared" si="4"/>
        <v>1.1639994227324322</v>
      </c>
      <c r="Z20">
        <f>IFERROR(INDEX([1]Rainfall_Wet!$O$2:$O$217,MATCH(C20, [1]Rainfall_Wet!$A$2:$A$217,0)),"")</f>
        <v>185.630065823</v>
      </c>
      <c r="AA20" s="226">
        <v>54.080969906906262</v>
      </c>
      <c r="AB20" s="226">
        <v>21.264484651351896</v>
      </c>
      <c r="AC20" s="226">
        <v>24.654545441741845</v>
      </c>
      <c r="AD20" s="227" t="s">
        <v>2654</v>
      </c>
      <c r="AE20" s="226">
        <v>3.8433218334154802</v>
      </c>
      <c r="AF20" t="str">
        <f>IF('WetLitterbags placem_collection'!AB21="","",'WetLitterbags placem_collection'!AB21)</f>
        <v/>
      </c>
      <c r="AG20" t="str">
        <f>IF('WetLitterbags placem_collection'!Z21="","",'WetLitterbags placem_collection'!Z21)</f>
        <v/>
      </c>
      <c r="AH20" s="236" t="str">
        <f>IF('WetLitterbags placem_collection'!AA21="","",'WetLitterbags placem_collection'!AA21)</f>
        <v/>
      </c>
      <c r="AI20" t="str">
        <f>IF('WetLitterbags placem_collection'!AC21="","",'WetLitterbags placem_collection'!AC21)</f>
        <v/>
      </c>
      <c r="AJ20" s="233">
        <f>AVERAGE('WetLitterbags placem_collection'!S21,'WetLitterbags placem_collection'!U21)</f>
        <v>39.299999999999997</v>
      </c>
      <c r="AK20">
        <f>AVERAGE('WetLitterbags placem_collection'!R21,'WetLitterbags placem_collection'!T21)</f>
        <v>21.1</v>
      </c>
      <c r="AL20">
        <f>INDEX([2]Coordinates!$B$2:$B$197,MATCH(I20,[2]Coordinates!$J$2:$J$197,0))</f>
        <v>-3.3853589930000001</v>
      </c>
      <c r="AM20">
        <f>INDEX([2]Coordinates!$C$2:$C$197,MATCH(I20,[2]Coordinates!$J$2:$J$197,0))</f>
        <v>34.818991969999999</v>
      </c>
      <c r="AN20" t="str">
        <f>IF(ISNUMBER(SEARCH("C", 'WetLitterbags placem_collection'!$V21)),"YES","NO")</f>
        <v>NO</v>
      </c>
      <c r="AO20" t="str">
        <f>IF(ISNUMBER(SEARCH("H", 'WetLitterbags placem_collection'!$V21)),"YES","NO")</f>
        <v>NO</v>
      </c>
      <c r="AP20" t="str">
        <f>IF(ISNUMBER(SEARCH("R", 'WetLitterbags placem_collection'!$V21)),"YES","NO")</f>
        <v>NO</v>
      </c>
    </row>
    <row r="21" spans="1:42">
      <c r="A21" t="s">
        <v>3248</v>
      </c>
      <c r="B21" s="248" t="s">
        <v>2454</v>
      </c>
      <c r="C21" s="253">
        <f>'Dry_Litterbag Placem_Collection'!A22</f>
        <v>20</v>
      </c>
      <c r="D21" s="253" t="str">
        <f>'Dry_Litterbag Placem_Collection'!B22</f>
        <v>Makao</v>
      </c>
      <c r="E21" s="253" t="s">
        <v>2643</v>
      </c>
      <c r="F21" s="253" t="s">
        <v>2644</v>
      </c>
      <c r="G21" s="253">
        <v>3</v>
      </c>
      <c r="H21" s="253" t="s">
        <v>3104</v>
      </c>
      <c r="I21" s="254" t="str">
        <f>'Dry_Litterbag Placem_Collection'!C22</f>
        <v>Dry_Ag3_T4</v>
      </c>
      <c r="J21" s="255" t="s">
        <v>2525</v>
      </c>
      <c r="K21" s="256" t="s">
        <v>1147</v>
      </c>
      <c r="L21" s="221" t="str">
        <f>'WetLitterbags placem_collection'!K22</f>
        <v>G524</v>
      </c>
      <c r="M21" s="223">
        <f>IFERROR(INDEX('Green_rooibos initial weight'!$C$5:$C$2000,MATCH(L21, 'Green_rooibos initial weight'!$A$5:$A$2000,0)),"")</f>
        <v>1.962</v>
      </c>
      <c r="N21" s="223">
        <f>IFERROR(M21-(TBIcalc!$H$9+TBIcalc!$H$10),"")</f>
        <v>1.7121999999999999</v>
      </c>
      <c r="O21" s="378">
        <f>AVERAGE(Ashed_controlls!$K$2:$K$11)</f>
        <v>5.5147656768714146</v>
      </c>
      <c r="P21" s="223">
        <f t="shared" si="1"/>
        <v>1.6177761820806076</v>
      </c>
      <c r="Q21" s="223">
        <f>IFERROR(INDEX('Both teabags AfterWet'!$C$3:$C$840,MATCH(L21,'Both teabags AfterWet'!$A$3:$A$840,0)),"")</f>
        <v>0.71609999999999996</v>
      </c>
      <c r="R21" s="223">
        <f>IFERROR(IF(Q21&gt;0,Q21-(TBIcalc!$H$9),""),"")</f>
        <v>0.56549999999999989</v>
      </c>
      <c r="S21" s="223">
        <f>IFERROR(INDEX('Ashed teabags wet'!$K$2:$K$2000,MATCH(L21,'Ashed teabags wet'!$A$2:$A$2000,0)),"")</f>
        <v>12.986381322956955</v>
      </c>
      <c r="T21" s="223">
        <f t="shared" si="2"/>
        <v>0.4920620136186783</v>
      </c>
      <c r="U21" s="224">
        <f>'WetLitterbags placem_collection'!E22</f>
        <v>42767</v>
      </c>
      <c r="V21" s="224">
        <f>IF('WetLitterbags placem_collection'!G22="","",'WetLitterbags placem_collection'!G22)</f>
        <v>42818</v>
      </c>
      <c r="W21" s="225">
        <f t="shared" si="0"/>
        <v>51</v>
      </c>
      <c r="X21" s="223">
        <f t="shared" si="3"/>
        <v>1.1467000000000001</v>
      </c>
      <c r="Y21" s="223">
        <f t="shared" si="4"/>
        <v>1.1257141684619292</v>
      </c>
      <c r="Z21">
        <f>IFERROR(INDEX([1]Rainfall_Wet!$O$2:$O$217,MATCH(C21, [1]Rainfall_Wet!$A$2:$A$217,0)),"")</f>
        <v>185.630065823</v>
      </c>
      <c r="AA21" s="226">
        <v>54.080969906906262</v>
      </c>
      <c r="AB21" s="226">
        <v>21.264484651351896</v>
      </c>
      <c r="AC21" s="226">
        <v>24.654545441741845</v>
      </c>
      <c r="AD21" s="227" t="s">
        <v>2654</v>
      </c>
      <c r="AE21" s="226">
        <v>4.8433218334154802</v>
      </c>
      <c r="AF21" t="str">
        <f>IF('WetLitterbags placem_collection'!AB22="","",'WetLitterbags placem_collection'!AB22)</f>
        <v/>
      </c>
      <c r="AG21" t="str">
        <f>IF('WetLitterbags placem_collection'!Z22="","",'WetLitterbags placem_collection'!Z22)</f>
        <v/>
      </c>
      <c r="AH21" s="236" t="str">
        <f>IF('WetLitterbags placem_collection'!AA22="","",'WetLitterbags placem_collection'!AA22)</f>
        <v/>
      </c>
      <c r="AI21" t="str">
        <f>IF('WetLitterbags placem_collection'!AC22="","",'WetLitterbags placem_collection'!AC22)</f>
        <v/>
      </c>
      <c r="AJ21" s="233">
        <f>AVERAGE('WetLitterbags placem_collection'!S22,'WetLitterbags placem_collection'!U22)</f>
        <v>40.049999999999997</v>
      </c>
      <c r="AK21">
        <f>AVERAGE('WetLitterbags placem_collection'!R22,'WetLitterbags placem_collection'!T22)</f>
        <v>21.35</v>
      </c>
      <c r="AL21">
        <f>INDEX([2]Coordinates!$B$2:$B$197,MATCH(I21,[2]Coordinates!$J$2:$J$197,0))</f>
        <v>-3.3853969629999998</v>
      </c>
      <c r="AM21">
        <f>INDEX([2]Coordinates!$C$2:$C$197,MATCH(I21,[2]Coordinates!$J$2:$J$197,0))</f>
        <v>34.818977969999999</v>
      </c>
      <c r="AN21" t="str">
        <f>IF(ISNUMBER(SEARCH("C", 'WetLitterbags placem_collection'!$V22)),"YES","NO")</f>
        <v>NO</v>
      </c>
      <c r="AO21" t="str">
        <f>IF(ISNUMBER(SEARCH("H", 'WetLitterbags placem_collection'!$V22)),"YES","NO")</f>
        <v>NO</v>
      </c>
      <c r="AP21" t="str">
        <f>IF(ISNUMBER(SEARCH("R", 'WetLitterbags placem_collection'!$V22)),"YES","NO")</f>
        <v>NO</v>
      </c>
    </row>
    <row r="22" spans="1:42">
      <c r="A22" t="s">
        <v>3248</v>
      </c>
      <c r="B22" s="248" t="s">
        <v>2454</v>
      </c>
      <c r="C22" s="253">
        <f>'Dry_Litterbag Placem_Collection'!A23</f>
        <v>21</v>
      </c>
      <c r="D22" s="253" t="str">
        <f>'Dry_Litterbag Placem_Collection'!B23</f>
        <v>Makao</v>
      </c>
      <c r="E22" s="253" t="s">
        <v>2643</v>
      </c>
      <c r="F22" s="253" t="s">
        <v>2644</v>
      </c>
      <c r="G22" s="253">
        <v>3</v>
      </c>
      <c r="H22" s="253" t="s">
        <v>3104</v>
      </c>
      <c r="I22" s="254" t="str">
        <f>'Dry_Litterbag Placem_Collection'!C23</f>
        <v>Dry_Ag3_T5</v>
      </c>
      <c r="J22" s="255" t="s">
        <v>2525</v>
      </c>
      <c r="K22" s="256" t="s">
        <v>1147</v>
      </c>
      <c r="L22" s="221" t="str">
        <f>'WetLitterbags placem_collection'!K23</f>
        <v>G699</v>
      </c>
      <c r="M22" s="223">
        <f>IFERROR(INDEX('Green_rooibos initial weight'!$C$5:$C$2000,MATCH(L22, 'Green_rooibos initial weight'!$A$5:$A$2000,0)),"")</f>
        <v>1.984</v>
      </c>
      <c r="N22" s="223">
        <f>IFERROR(M22-(TBIcalc!$H$9+TBIcalc!$H$10),"")</f>
        <v>1.7342</v>
      </c>
      <c r="O22" s="378">
        <f>AVERAGE(Ashed_controlls!$K$2:$K$11)</f>
        <v>5.5147656768714146</v>
      </c>
      <c r="P22" s="223">
        <f t="shared" si="1"/>
        <v>1.6385629336316958</v>
      </c>
      <c r="Q22" s="223">
        <f>IFERROR(INDEX('Both teabags AfterWet'!$C$3:$C$840,MATCH(L22,'Both teabags AfterWet'!$A$3:$A$840,0)),"")</f>
        <v>0.7389</v>
      </c>
      <c r="R22" s="223">
        <f>IFERROR(IF(Q22&gt;0,Q22-(TBIcalc!$H$9),""),"")</f>
        <v>0.58830000000000005</v>
      </c>
      <c r="S22" s="223">
        <f>IFERROR(INDEX('Ashed teabags wet'!$K$2:$K$2000,MATCH(L22,'Ashed teabags wet'!$A$2:$A$2000,0)),"")</f>
        <v>10.099009900989453</v>
      </c>
      <c r="T22" s="223">
        <f t="shared" si="2"/>
        <v>0.52888752475247913</v>
      </c>
      <c r="U22" s="224">
        <f>'WetLitterbags placem_collection'!E23</f>
        <v>42767</v>
      </c>
      <c r="V22" s="224">
        <f>IF('WetLitterbags placem_collection'!G23="","",'WetLitterbags placem_collection'!G23)</f>
        <v>42818</v>
      </c>
      <c r="W22" s="225">
        <f t="shared" si="0"/>
        <v>51</v>
      </c>
      <c r="X22" s="223">
        <f t="shared" si="3"/>
        <v>1.1458999999999999</v>
      </c>
      <c r="Y22" s="223">
        <f t="shared" si="4"/>
        <v>1.1096754088792167</v>
      </c>
      <c r="Z22">
        <f>IFERROR(INDEX([1]Rainfall_Wet!$O$2:$O$217,MATCH(C22, [1]Rainfall_Wet!$A$2:$A$217,0)),"")</f>
        <v>185.630065823</v>
      </c>
      <c r="AA22" s="226">
        <v>54.080969906906262</v>
      </c>
      <c r="AB22" s="226">
        <v>21.264484651351896</v>
      </c>
      <c r="AC22" s="226">
        <v>24.654545441741845</v>
      </c>
      <c r="AD22" s="227" t="s">
        <v>2654</v>
      </c>
      <c r="AE22" s="226">
        <v>5.8433218334154802</v>
      </c>
      <c r="AF22" t="str">
        <f>IF('WetLitterbags placem_collection'!AB23="","",'WetLitterbags placem_collection'!AB23)</f>
        <v/>
      </c>
      <c r="AG22" t="str">
        <f>IF('WetLitterbags placem_collection'!Z23="","",'WetLitterbags placem_collection'!Z23)</f>
        <v/>
      </c>
      <c r="AH22" s="236" t="str">
        <f>IF('WetLitterbags placem_collection'!AA23="","",'WetLitterbags placem_collection'!AA23)</f>
        <v/>
      </c>
      <c r="AI22" t="str">
        <f>IF('WetLitterbags placem_collection'!AC23="","",'WetLitterbags placem_collection'!AC23)</f>
        <v/>
      </c>
      <c r="AJ22" s="233">
        <f>AVERAGE('WetLitterbags placem_collection'!S23,'WetLitterbags placem_collection'!U23)</f>
        <v>34.150000000000006</v>
      </c>
      <c r="AK22">
        <f>AVERAGE('WetLitterbags placem_collection'!R23,'WetLitterbags placem_collection'!T23)</f>
        <v>20.6</v>
      </c>
      <c r="AL22">
        <f>INDEX([2]Coordinates!$B$2:$B$197,MATCH(I22,[2]Coordinates!$J$2:$J$197,0))</f>
        <v>-3.3854019919999998</v>
      </c>
      <c r="AM22">
        <f>INDEX([2]Coordinates!$C$2:$C$197,MATCH(I22,[2]Coordinates!$J$2:$J$197,0))</f>
        <v>34.81894604</v>
      </c>
      <c r="AN22" t="str">
        <f>IF(ISNUMBER(SEARCH("C", 'WetLitterbags placem_collection'!$V23)),"YES","NO")</f>
        <v>NO</v>
      </c>
      <c r="AO22" t="str">
        <f>IF(ISNUMBER(SEARCH("H", 'WetLitterbags placem_collection'!$V23)),"YES","NO")</f>
        <v>NO</v>
      </c>
      <c r="AP22" t="str">
        <f>IF(ISNUMBER(SEARCH("R", 'WetLitterbags placem_collection'!$V23)),"YES","NO")</f>
        <v>YES</v>
      </c>
    </row>
    <row r="23" spans="1:42">
      <c r="A23" t="s">
        <v>3248</v>
      </c>
      <c r="B23" s="248" t="s">
        <v>2454</v>
      </c>
      <c r="C23" s="253">
        <f>'Dry_Litterbag Placem_Collection'!A24</f>
        <v>22</v>
      </c>
      <c r="D23" s="253" t="str">
        <f>'Dry_Litterbag Placem_Collection'!B24</f>
        <v>Makao</v>
      </c>
      <c r="E23" s="253" t="s">
        <v>2643</v>
      </c>
      <c r="F23" s="253" t="s">
        <v>2644</v>
      </c>
      <c r="G23" s="253">
        <v>3</v>
      </c>
      <c r="H23" s="253" t="s">
        <v>3104</v>
      </c>
      <c r="I23" s="254" t="str">
        <f>'Dry_Litterbag Placem_Collection'!C24</f>
        <v>Dry_Ag3_T6</v>
      </c>
      <c r="J23" s="255" t="s">
        <v>2525</v>
      </c>
      <c r="K23" s="256" t="s">
        <v>1147</v>
      </c>
      <c r="L23" s="221" t="str">
        <f>'WetLitterbags placem_collection'!K24</f>
        <v>G575</v>
      </c>
      <c r="M23" s="223">
        <f>IFERROR(INDEX('Green_rooibos initial weight'!$C$5:$C$2000,MATCH(L23, 'Green_rooibos initial weight'!$A$5:$A$2000,0)),"")</f>
        <v>1.9970000000000001</v>
      </c>
      <c r="N23" s="223">
        <f>IFERROR(M23-(TBIcalc!$H$9+TBIcalc!$H$10),"")</f>
        <v>1.7472000000000001</v>
      </c>
      <c r="O23" s="378">
        <f>AVERAGE(Ashed_controlls!$K$2:$K$11)</f>
        <v>5.5147656768714146</v>
      </c>
      <c r="P23" s="223">
        <f t="shared" si="1"/>
        <v>1.6508460140937027</v>
      </c>
      <c r="Q23" s="223">
        <f>IFERROR(INDEX('Both teabags AfterWet'!$C$3:$C$840,MATCH(L23,'Both teabags AfterWet'!$A$3:$A$840,0)),"")</f>
        <v>0.74019999999999997</v>
      </c>
      <c r="R23" s="223">
        <f>IFERROR(IF(Q23&gt;0,Q23-(TBIcalc!$H$9),""),"")</f>
        <v>0.5895999999999999</v>
      </c>
      <c r="S23" s="223">
        <f>IFERROR(INDEX('Ashed teabags wet'!$K$2:$K$2000,MATCH(L23,'Ashed teabags wet'!$A$2:$A$2000,0)),"")</f>
        <v>9.8263027295288854</v>
      </c>
      <c r="T23" s="223">
        <f t="shared" si="2"/>
        <v>0.53166411910669764</v>
      </c>
      <c r="U23" s="224">
        <f>'WetLitterbags placem_collection'!E24</f>
        <v>42767</v>
      </c>
      <c r="V23" s="224">
        <f>IF('WetLitterbags placem_collection'!G24="","",'WetLitterbags placem_collection'!G24)</f>
        <v>42818</v>
      </c>
      <c r="W23" s="225">
        <f t="shared" si="0"/>
        <v>51</v>
      </c>
      <c r="X23" s="223">
        <f t="shared" si="3"/>
        <v>1.1576000000000002</v>
      </c>
      <c r="Y23" s="223">
        <f t="shared" si="4"/>
        <v>1.1191818949870052</v>
      </c>
      <c r="Z23">
        <f>IFERROR(INDEX([1]Rainfall_Wet!$O$2:$O$217,MATCH(C23, [1]Rainfall_Wet!$A$2:$A$217,0)),"")</f>
        <v>185.630065823</v>
      </c>
      <c r="AA23" s="226">
        <v>54.080969906906262</v>
      </c>
      <c r="AB23" s="226">
        <v>21.264484651351896</v>
      </c>
      <c r="AC23" s="226">
        <v>24.654545441741845</v>
      </c>
      <c r="AD23" s="227" t="s">
        <v>2654</v>
      </c>
      <c r="AE23" s="226">
        <v>6.8433218334154802</v>
      </c>
      <c r="AF23" t="str">
        <f>IF('WetLitterbags placem_collection'!AB24="","",'WetLitterbags placem_collection'!AB24)</f>
        <v/>
      </c>
      <c r="AG23" t="str">
        <f>IF('WetLitterbags placem_collection'!Z24="","",'WetLitterbags placem_collection'!Z24)</f>
        <v/>
      </c>
      <c r="AH23" s="236" t="str">
        <f>IF('WetLitterbags placem_collection'!AA24="","",'WetLitterbags placem_collection'!AA24)</f>
        <v/>
      </c>
      <c r="AI23" t="str">
        <f>IF('WetLitterbags placem_collection'!AC24="","",'WetLitterbags placem_collection'!AC24)</f>
        <v/>
      </c>
      <c r="AJ23" s="233">
        <f>AVERAGE('WetLitterbags placem_collection'!S24,'WetLitterbags placem_collection'!U24)</f>
        <v>34.549999999999997</v>
      </c>
      <c r="AK23">
        <f>AVERAGE('WetLitterbags placem_collection'!R24,'WetLitterbags placem_collection'!T24)</f>
        <v>21.5</v>
      </c>
      <c r="AL23">
        <f>INDEX([2]Coordinates!$B$2:$B$197,MATCH(I23,[2]Coordinates!$J$2:$J$197,0))</f>
        <v>-3.3854470029999999</v>
      </c>
      <c r="AM23">
        <f>INDEX([2]Coordinates!$C$2:$C$197,MATCH(I23,[2]Coordinates!$J$2:$J$197,0))</f>
        <v>34.818946959999998</v>
      </c>
      <c r="AN23" t="str">
        <f>IF(ISNUMBER(SEARCH("C", 'WetLitterbags placem_collection'!$V24)),"YES","NO")</f>
        <v>NO</v>
      </c>
      <c r="AO23" t="str">
        <f>IF(ISNUMBER(SEARCH("H", 'WetLitterbags placem_collection'!$V24)),"YES","NO")</f>
        <v>NO</v>
      </c>
      <c r="AP23" t="str">
        <f>IF(ISNUMBER(SEARCH("R", 'WetLitterbags placem_collection'!$V24)),"YES","NO")</f>
        <v>YES</v>
      </c>
    </row>
    <row r="24" spans="1:42">
      <c r="A24" t="s">
        <v>3248</v>
      </c>
      <c r="B24" s="248" t="s">
        <v>2454</v>
      </c>
      <c r="C24" s="253">
        <f>'Dry_Litterbag Placem_Collection'!A25</f>
        <v>23</v>
      </c>
      <c r="D24" s="253" t="str">
        <f>'Dry_Litterbag Placem_Collection'!B25</f>
        <v>Makao</v>
      </c>
      <c r="E24" s="253" t="s">
        <v>2643</v>
      </c>
      <c r="F24" s="253" t="s">
        <v>2644</v>
      </c>
      <c r="G24" s="253">
        <v>3</v>
      </c>
      <c r="H24" s="253" t="s">
        <v>3104</v>
      </c>
      <c r="I24" s="254" t="str">
        <f>'Dry_Litterbag Placem_Collection'!C25</f>
        <v>Dry_Ag3_T7</v>
      </c>
      <c r="J24" s="255" t="s">
        <v>2525</v>
      </c>
      <c r="K24" s="256" t="s">
        <v>1147</v>
      </c>
      <c r="L24" s="221" t="str">
        <f>'WetLitterbags placem_collection'!K25</f>
        <v>G492</v>
      </c>
      <c r="M24" s="223">
        <f>IFERROR(INDEX('Green_rooibos initial weight'!$C$5:$C$2000,MATCH(L24, 'Green_rooibos initial weight'!$A$5:$A$2000,0)),"")</f>
        <v>1.948</v>
      </c>
      <c r="N24" s="223">
        <f>IFERROR(M24-(TBIcalc!$H$9+TBIcalc!$H$10),"")</f>
        <v>1.6981999999999999</v>
      </c>
      <c r="O24" s="378">
        <f>AVERAGE(Ashed_controlls!$K$2:$K$11)</f>
        <v>5.5147656768714146</v>
      </c>
      <c r="P24" s="223">
        <f t="shared" si="1"/>
        <v>1.6045482492753695</v>
      </c>
      <c r="Q24" s="223">
        <f>IFERROR(INDEX('Both teabags AfterWet'!$C$3:$C$840,MATCH(L24,'Both teabags AfterWet'!$A$3:$A$840,0)),"")</f>
        <v>0.76959999999999995</v>
      </c>
      <c r="R24" s="223">
        <f>IFERROR(IF(Q24&gt;0,Q24-(TBIcalc!$H$9),""),"")</f>
        <v>0.61899999999999999</v>
      </c>
      <c r="S24" s="223">
        <f>IFERROR(INDEX('Ashed teabags wet'!$K$2:$K$2000,MATCH(L24,'Ashed teabags wet'!$A$2:$A$2000,0)),"")</f>
        <v>11.478696741854373</v>
      </c>
      <c r="T24" s="223">
        <f t="shared" si="2"/>
        <v>0.5479468671679214</v>
      </c>
      <c r="U24" s="224">
        <f>'WetLitterbags placem_collection'!E25</f>
        <v>42767</v>
      </c>
      <c r="V24" s="224">
        <f>IF('WetLitterbags placem_collection'!G25="","",'WetLitterbags placem_collection'!G25)</f>
        <v>42818</v>
      </c>
      <c r="W24" s="225">
        <f t="shared" si="0"/>
        <v>51</v>
      </c>
      <c r="X24" s="223">
        <f t="shared" si="3"/>
        <v>1.0791999999999999</v>
      </c>
      <c r="Y24" s="223">
        <f t="shared" si="4"/>
        <v>1.056601382107448</v>
      </c>
      <c r="Z24">
        <f>IFERROR(INDEX([1]Rainfall_Wet!$O$2:$O$217,MATCH(C24, [1]Rainfall_Wet!$A$2:$A$217,0)),"")</f>
        <v>185.630065823</v>
      </c>
      <c r="AA24" s="226">
        <v>54.080969906906262</v>
      </c>
      <c r="AB24" s="226">
        <v>21.264484651351896</v>
      </c>
      <c r="AC24" s="226">
        <v>24.654545441741845</v>
      </c>
      <c r="AD24" s="227" t="s">
        <v>2654</v>
      </c>
      <c r="AE24" s="226">
        <v>7.8433218334154802</v>
      </c>
      <c r="AF24" t="str">
        <f>IF('WetLitterbags placem_collection'!AB25="","",'WetLitterbags placem_collection'!AB25)</f>
        <v/>
      </c>
      <c r="AG24" t="str">
        <f>IF('WetLitterbags placem_collection'!Z25="","",'WetLitterbags placem_collection'!Z25)</f>
        <v/>
      </c>
      <c r="AH24" s="236" t="str">
        <f>IF('WetLitterbags placem_collection'!AA25="","",'WetLitterbags placem_collection'!AA25)</f>
        <v/>
      </c>
      <c r="AI24" t="str">
        <f>IF('WetLitterbags placem_collection'!AC25="","",'WetLitterbags placem_collection'!AC25)</f>
        <v/>
      </c>
      <c r="AJ24" s="233">
        <f>AVERAGE('WetLitterbags placem_collection'!S25,'WetLitterbags placem_collection'!U25)</f>
        <v>34.5</v>
      </c>
      <c r="AK24">
        <f>AVERAGE('WetLitterbags placem_collection'!R25,'WetLitterbags placem_collection'!T25)</f>
        <v>20.65</v>
      </c>
      <c r="AL24">
        <f>INDEX([2]Coordinates!$B$2:$B$197,MATCH(I24,[2]Coordinates!$J$2:$J$197,0))</f>
        <v>-3.3854200130000001</v>
      </c>
      <c r="AM24">
        <f>INDEX([2]Coordinates!$C$2:$C$197,MATCH(I24,[2]Coordinates!$J$2:$J$197,0))</f>
        <v>34.818856019999998</v>
      </c>
      <c r="AN24" t="str">
        <f>IF(ISNUMBER(SEARCH("C", 'WetLitterbags placem_collection'!$V25)),"YES","NO")</f>
        <v>NO</v>
      </c>
      <c r="AO24" t="str">
        <f>IF(ISNUMBER(SEARCH("H", 'WetLitterbags placem_collection'!$V25)),"YES","NO")</f>
        <v>NO</v>
      </c>
      <c r="AP24" t="str">
        <f>IF(ISNUMBER(SEARCH("R", 'WetLitterbags placem_collection'!$V25)),"YES","NO")</f>
        <v>YES</v>
      </c>
    </row>
    <row r="25" spans="1:42">
      <c r="A25" t="s">
        <v>3248</v>
      </c>
      <c r="B25" s="248" t="s">
        <v>2454</v>
      </c>
      <c r="C25" s="253">
        <f>'Dry_Litterbag Placem_Collection'!A26</f>
        <v>24</v>
      </c>
      <c r="D25" s="253" t="str">
        <f>'Dry_Litterbag Placem_Collection'!B26</f>
        <v>Makao</v>
      </c>
      <c r="E25" s="253" t="s">
        <v>2643</v>
      </c>
      <c r="F25" s="253" t="s">
        <v>2644</v>
      </c>
      <c r="G25" s="253">
        <v>3</v>
      </c>
      <c r="H25" s="253" t="s">
        <v>3104</v>
      </c>
      <c r="I25" s="254" t="str">
        <f>'Dry_Litterbag Placem_Collection'!C26</f>
        <v>Dry_Ag3_T8</v>
      </c>
      <c r="J25" s="255" t="s">
        <v>2525</v>
      </c>
      <c r="K25" s="256" t="s">
        <v>1147</v>
      </c>
      <c r="L25" s="221" t="str">
        <f>'WetLitterbags placem_collection'!K26</f>
        <v>G813</v>
      </c>
      <c r="M25" s="223">
        <f>IFERROR(INDEX('Green_rooibos initial weight'!$C$5:$C$2000,MATCH(L25, 'Green_rooibos initial weight'!$A$5:$A$2000,0)),"")</f>
        <v>1.9550000000000001</v>
      </c>
      <c r="N25" s="223">
        <f>IFERROR(M25-(TBIcalc!$H$9+TBIcalc!$H$10),"")</f>
        <v>1.7052</v>
      </c>
      <c r="O25" s="378">
        <f>AVERAGE(Ashed_controlls!$K$2:$K$11)</f>
        <v>5.5147656768714146</v>
      </c>
      <c r="P25" s="223">
        <f t="shared" si="1"/>
        <v>1.6111622156779888</v>
      </c>
      <c r="Q25" s="223">
        <f>IFERROR(INDEX('Both teabags AfterWet'!$C$3:$C$840,MATCH(L25,'Both teabags AfterWet'!$A$3:$A$840,0)),"")</f>
        <v>0.74790000000000001</v>
      </c>
      <c r="R25" s="223">
        <f>IFERROR(IF(Q25&gt;0,Q25-(TBIcalc!$H$9),""),"")</f>
        <v>0.59729999999999994</v>
      </c>
      <c r="S25" s="223">
        <f>IFERROR(INDEX('Ashed teabags wet'!$K$2:$K$2000,MATCH(L25,'Ashed teabags wet'!$A$2:$A$2000,0)),"")</f>
        <v>11.584158415841873</v>
      </c>
      <c r="T25" s="223">
        <f t="shared" si="2"/>
        <v>0.52810782178217641</v>
      </c>
      <c r="U25" s="224">
        <f>'WetLitterbags placem_collection'!E26</f>
        <v>42767</v>
      </c>
      <c r="V25" s="224">
        <f>IF('WetLitterbags placem_collection'!G26="","",'WetLitterbags placem_collection'!G26)</f>
        <v>42818</v>
      </c>
      <c r="W25" s="225">
        <f t="shared" si="0"/>
        <v>51</v>
      </c>
      <c r="X25" s="223">
        <f t="shared" si="3"/>
        <v>1.1079000000000001</v>
      </c>
      <c r="Y25" s="223">
        <f t="shared" si="4"/>
        <v>1.0830543938958124</v>
      </c>
      <c r="Z25">
        <f>IFERROR(INDEX([1]Rainfall_Wet!$O$2:$O$217,MATCH(C25, [1]Rainfall_Wet!$A$2:$A$217,0)),"")</f>
        <v>185.630065823</v>
      </c>
      <c r="AA25" s="226">
        <v>54.080969906906262</v>
      </c>
      <c r="AB25" s="226">
        <v>21.264484651351896</v>
      </c>
      <c r="AC25" s="226">
        <v>24.654545441741845</v>
      </c>
      <c r="AD25" s="227" t="s">
        <v>2654</v>
      </c>
      <c r="AE25" s="226">
        <v>8.8433218334154695</v>
      </c>
      <c r="AF25" t="str">
        <f>IF('WetLitterbags placem_collection'!AB26="","",'WetLitterbags placem_collection'!AB26)</f>
        <v/>
      </c>
      <c r="AG25" t="str">
        <f>IF('WetLitterbags placem_collection'!Z26="","",'WetLitterbags placem_collection'!Z26)</f>
        <v/>
      </c>
      <c r="AH25" s="236" t="str">
        <f>IF('WetLitterbags placem_collection'!AA26="","",'WetLitterbags placem_collection'!AA26)</f>
        <v/>
      </c>
      <c r="AI25" t="str">
        <f>IF('WetLitterbags placem_collection'!AC26="","",'WetLitterbags placem_collection'!AC26)</f>
        <v/>
      </c>
      <c r="AJ25" s="233">
        <f>AVERAGE('WetLitterbags placem_collection'!S26,'WetLitterbags placem_collection'!U26)</f>
        <v>36.950000000000003</v>
      </c>
      <c r="AK25">
        <f>AVERAGE('WetLitterbags placem_collection'!R26,'WetLitterbags placem_collection'!T26)</f>
        <v>21.1</v>
      </c>
      <c r="AL25">
        <f>INDEX([2]Coordinates!$B$2:$B$197,MATCH(I25,[2]Coordinates!$J$2:$J$197,0))</f>
        <v>-3.3853829649999998</v>
      </c>
      <c r="AM25">
        <f>INDEX([2]Coordinates!$C$2:$C$197,MATCH(I25,[2]Coordinates!$J$2:$J$197,0))</f>
        <v>34.818877980000003</v>
      </c>
      <c r="AN25" t="str">
        <f>IF(ISNUMBER(SEARCH("C", 'WetLitterbags placem_collection'!$V26)),"YES","NO")</f>
        <v>NO</v>
      </c>
      <c r="AO25" t="str">
        <f>IF(ISNUMBER(SEARCH("H", 'WetLitterbags placem_collection'!$V26)),"YES","NO")</f>
        <v>NO</v>
      </c>
      <c r="AP25" t="str">
        <f>IF(ISNUMBER(SEARCH("R", 'WetLitterbags placem_collection'!$V26)),"YES","NO")</f>
        <v>YES</v>
      </c>
    </row>
    <row r="26" spans="1:42">
      <c r="A26" t="s">
        <v>3248</v>
      </c>
      <c r="B26" s="248" t="s">
        <v>2454</v>
      </c>
      <c r="C26" s="253">
        <f>'Dry_Litterbag Placem_Collection'!A27</f>
        <v>25</v>
      </c>
      <c r="D26" s="253" t="str">
        <f>'Dry_Litterbag Placem_Collection'!B27</f>
        <v>Makao</v>
      </c>
      <c r="E26" s="253" t="s">
        <v>2643</v>
      </c>
      <c r="F26" s="253" t="s">
        <v>2644</v>
      </c>
      <c r="G26" s="253">
        <v>4</v>
      </c>
      <c r="H26" s="253" t="s">
        <v>3105</v>
      </c>
      <c r="I26" s="254" t="str">
        <f>'Dry_Litterbag Placem_Collection'!C27</f>
        <v>Dry_Ag4_T1</v>
      </c>
      <c r="J26" s="255" t="s">
        <v>2525</v>
      </c>
      <c r="K26" s="256" t="s">
        <v>1147</v>
      </c>
      <c r="L26" s="221" t="str">
        <f>'WetLitterbags placem_collection'!K27</f>
        <v>G406</v>
      </c>
      <c r="M26" s="223">
        <f>IFERROR(INDEX('Green_rooibos initial weight'!$C$5:$C$2000,MATCH(L26, 'Green_rooibos initial weight'!$A$5:$A$2000,0)),"")</f>
        <v>2.0910000000000002</v>
      </c>
      <c r="N26" s="223">
        <f>IFERROR(M26-(TBIcalc!$H$9+TBIcalc!$H$10),"")</f>
        <v>1.8412000000000002</v>
      </c>
      <c r="O26" s="378">
        <f>AVERAGE(Ashed_controlls!$K$2:$K$11)</f>
        <v>5.5147656768714146</v>
      </c>
      <c r="P26" s="223">
        <f t="shared" si="1"/>
        <v>1.7396621343574437</v>
      </c>
      <c r="Q26" s="223">
        <f>IFERROR(INDEX('Both teabags AfterWet'!$C$3:$C$840,MATCH(L26,'Both teabags AfterWet'!$A$3:$A$840,0)),"")</f>
        <v>0.68400000000000005</v>
      </c>
      <c r="R26" s="223">
        <f>IFERROR(IF(Q26&gt;0,Q26-(TBIcalc!$H$9),""),"")</f>
        <v>0.5334000000000001</v>
      </c>
      <c r="S26" s="223">
        <f>IFERROR(INDEX('Ashed teabags wet'!$K$2:$K$2000,MATCH(L26,'Ashed teabags wet'!$A$2:$A$2000,0)),"")</f>
        <v>12.537313432835518</v>
      </c>
      <c r="T26" s="223">
        <f t="shared" si="2"/>
        <v>0.46652597014925545</v>
      </c>
      <c r="U26" s="224">
        <f>'WetLitterbags placem_collection'!E27</f>
        <v>42767</v>
      </c>
      <c r="V26" s="224">
        <f>IF('WetLitterbags placem_collection'!G27="","",'WetLitterbags placem_collection'!G27)</f>
        <v>42818</v>
      </c>
      <c r="W26" s="225">
        <f t="shared" si="0"/>
        <v>51</v>
      </c>
      <c r="X26" s="223">
        <f t="shared" si="3"/>
        <v>1.3078000000000001</v>
      </c>
      <c r="Y26" s="223">
        <f t="shared" si="4"/>
        <v>1.2731361642081882</v>
      </c>
      <c r="Z26">
        <f>IFERROR(INDEX([1]Rainfall_Wet!$O$2:$O$217,MATCH(C26, [1]Rainfall_Wet!$A$2:$A$217,0)),"")</f>
        <v>185.630065823</v>
      </c>
      <c r="AA26" s="226">
        <v>51.960000000000008</v>
      </c>
      <c r="AB26" s="226">
        <v>18.919999999999995</v>
      </c>
      <c r="AC26" s="226">
        <v>29.120000000000005</v>
      </c>
      <c r="AD26" s="227" t="s">
        <v>2654</v>
      </c>
      <c r="AE26" s="226">
        <v>1.85293247905372</v>
      </c>
      <c r="AF26" t="str">
        <f>IF('WetLitterbags placem_collection'!AB27="","",'WetLitterbags placem_collection'!AB27)</f>
        <v/>
      </c>
      <c r="AG26" t="str">
        <f>IF('WetLitterbags placem_collection'!Z27="","",'WetLitterbags placem_collection'!Z27)</f>
        <v/>
      </c>
      <c r="AH26" s="236" t="str">
        <f>IF('WetLitterbags placem_collection'!AA27="","",'WetLitterbags placem_collection'!AA27)</f>
        <v/>
      </c>
      <c r="AI26" t="str">
        <f>IF('WetLitterbags placem_collection'!AC27="","",'WetLitterbags placem_collection'!AC27)</f>
        <v/>
      </c>
      <c r="AJ26" s="233">
        <f>AVERAGE('WetLitterbags placem_collection'!S27,'WetLitterbags placem_collection'!U27)</f>
        <v>36.85</v>
      </c>
      <c r="AK26">
        <f>AVERAGE('WetLitterbags placem_collection'!R27,'WetLitterbags placem_collection'!T27)</f>
        <v>21.35</v>
      </c>
      <c r="AL26">
        <f>INDEX([2]Coordinates!$B$2:$B$197,MATCH(I26,[2]Coordinates!$J$2:$J$197,0))</f>
        <v>-3.3849129919999998</v>
      </c>
      <c r="AM26">
        <f>INDEX([2]Coordinates!$C$2:$C$197,MATCH(I26,[2]Coordinates!$J$2:$J$197,0))</f>
        <v>34.818899020000003</v>
      </c>
      <c r="AN26" t="str">
        <f>IF(ISNUMBER(SEARCH("C", 'WetLitterbags placem_collection'!$V27)),"YES","NO")</f>
        <v>NO</v>
      </c>
      <c r="AO26" t="str">
        <f>IF(ISNUMBER(SEARCH("H", 'WetLitterbags placem_collection'!$V27)),"YES","NO")</f>
        <v>NO</v>
      </c>
      <c r="AP26" t="str">
        <f>IF(ISNUMBER(SEARCH("R", 'WetLitterbags placem_collection'!$V27)),"YES","NO")</f>
        <v>NO</v>
      </c>
    </row>
    <row r="27" spans="1:42">
      <c r="A27" t="s">
        <v>3248</v>
      </c>
      <c r="B27" s="248" t="s">
        <v>2454</v>
      </c>
      <c r="C27" s="253">
        <f>'Dry_Litterbag Placem_Collection'!A28</f>
        <v>26</v>
      </c>
      <c r="D27" s="253" t="str">
        <f>'Dry_Litterbag Placem_Collection'!B28</f>
        <v>Makao</v>
      </c>
      <c r="E27" s="253" t="s">
        <v>2643</v>
      </c>
      <c r="F27" s="253" t="s">
        <v>2644</v>
      </c>
      <c r="G27" s="253">
        <v>4</v>
      </c>
      <c r="H27" s="253" t="s">
        <v>3105</v>
      </c>
      <c r="I27" s="254" t="str">
        <f>'Dry_Litterbag Placem_Collection'!C28</f>
        <v>Dry_Ag4_T2</v>
      </c>
      <c r="J27" s="255" t="s">
        <v>2525</v>
      </c>
      <c r="K27" s="256" t="s">
        <v>1147</v>
      </c>
      <c r="L27" s="221" t="str">
        <f>'WetLitterbags placem_collection'!K28</f>
        <v>G651</v>
      </c>
      <c r="M27" s="223">
        <f>IFERROR(INDEX('Green_rooibos initial weight'!$C$5:$C$2000,MATCH(L27, 'Green_rooibos initial weight'!$A$5:$A$2000,0)),"")</f>
        <v>1.97</v>
      </c>
      <c r="N27" s="223">
        <f>IFERROR(M27-(TBIcalc!$H$9+TBIcalc!$H$10),"")</f>
        <v>1.7202</v>
      </c>
      <c r="O27" s="378">
        <f>AVERAGE(Ashed_controlls!$K$2:$K$11)</f>
        <v>5.5147656768714146</v>
      </c>
      <c r="P27" s="223">
        <f t="shared" si="1"/>
        <v>1.6253350008264578</v>
      </c>
      <c r="Q27" s="223">
        <f>IFERROR(INDEX('Both teabags AfterWet'!$C$3:$C$840,MATCH(L27,'Both teabags AfterWet'!$A$3:$A$840,0)),"")</f>
        <v>0.77580000000000005</v>
      </c>
      <c r="R27" s="223">
        <f>IFERROR(IF(Q27&gt;0,Q27-(TBIcalc!$H$9),""),"")</f>
        <v>0.62519999999999998</v>
      </c>
      <c r="S27" s="223">
        <f>IFERROR(INDEX('Ashed teabags wet'!$K$2:$K$2000,MATCH(L27,'Ashed teabags wet'!$A$2:$A$2000,0)),"")</f>
        <v>12.512218963832606</v>
      </c>
      <c r="T27" s="223">
        <f t="shared" si="2"/>
        <v>0.54697360703811859</v>
      </c>
      <c r="U27" s="224">
        <f>'WetLitterbags placem_collection'!E28</f>
        <v>42767</v>
      </c>
      <c r="V27" s="224">
        <f>IF('WetLitterbags placem_collection'!G28="","",'WetLitterbags placem_collection'!G28)</f>
        <v>42818</v>
      </c>
      <c r="W27" s="225">
        <f t="shared" si="0"/>
        <v>51</v>
      </c>
      <c r="X27" s="223">
        <f t="shared" si="3"/>
        <v>1.095</v>
      </c>
      <c r="Y27" s="223">
        <f t="shared" si="4"/>
        <v>1.0783613937883392</v>
      </c>
      <c r="Z27">
        <f>IFERROR(INDEX([1]Rainfall_Wet!$O$2:$O$217,MATCH(C27, [1]Rainfall_Wet!$A$2:$A$217,0)),"")</f>
        <v>185.630065823</v>
      </c>
      <c r="AA27" s="226">
        <v>51.960000000000008</v>
      </c>
      <c r="AB27" s="226">
        <v>18.919999999999995</v>
      </c>
      <c r="AC27" s="226">
        <v>29.120000000000005</v>
      </c>
      <c r="AD27" s="227" t="s">
        <v>2654</v>
      </c>
      <c r="AE27" s="226">
        <v>2.8529324790537198</v>
      </c>
      <c r="AF27" t="str">
        <f>IF('WetLitterbags placem_collection'!AB28="","",'WetLitterbags placem_collection'!AB28)</f>
        <v/>
      </c>
      <c r="AG27" t="str">
        <f>IF('WetLitterbags placem_collection'!Z28="","",'WetLitterbags placem_collection'!Z28)</f>
        <v/>
      </c>
      <c r="AH27" s="236" t="str">
        <f>IF('WetLitterbags placem_collection'!AA28="","",'WetLitterbags placem_collection'!AA28)</f>
        <v/>
      </c>
      <c r="AI27" t="str">
        <f>IF('WetLitterbags placem_collection'!AC28="","",'WetLitterbags placem_collection'!AC28)</f>
        <v/>
      </c>
      <c r="AJ27" s="233">
        <f>AVERAGE('WetLitterbags placem_collection'!S28,'WetLitterbags placem_collection'!U28)</f>
        <v>31.3</v>
      </c>
      <c r="AK27">
        <f>AVERAGE('WetLitterbags placem_collection'!R28,'WetLitterbags placem_collection'!T28)</f>
        <v>20.7</v>
      </c>
      <c r="AL27">
        <f>INDEX([2]Coordinates!$B$2:$B$197,MATCH(I27,[2]Coordinates!$J$2:$J$197,0))</f>
        <v>-3.3849689999999999</v>
      </c>
      <c r="AM27">
        <f>INDEX([2]Coordinates!$C$2:$C$197,MATCH(I27,[2]Coordinates!$J$2:$J$197,0))</f>
        <v>34.818908</v>
      </c>
      <c r="AN27" t="str">
        <f>IF(ISNUMBER(SEARCH("C", 'WetLitterbags placem_collection'!$V28)),"YES","NO")</f>
        <v>NO</v>
      </c>
      <c r="AO27" t="str">
        <f>IF(ISNUMBER(SEARCH("H", 'WetLitterbags placem_collection'!$V28)),"YES","NO")</f>
        <v>NO</v>
      </c>
      <c r="AP27" t="str">
        <f>IF(ISNUMBER(SEARCH("R", 'WetLitterbags placem_collection'!$V28)),"YES","NO")</f>
        <v>YES</v>
      </c>
    </row>
    <row r="28" spans="1:42">
      <c r="A28" t="s">
        <v>3248</v>
      </c>
      <c r="B28" s="248" t="s">
        <v>2454</v>
      </c>
      <c r="C28" s="253">
        <f>'Dry_Litterbag Placem_Collection'!A29</f>
        <v>27</v>
      </c>
      <c r="D28" s="253" t="str">
        <f>'Dry_Litterbag Placem_Collection'!B29</f>
        <v>Makao</v>
      </c>
      <c r="E28" s="253" t="s">
        <v>2643</v>
      </c>
      <c r="F28" s="253" t="s">
        <v>2644</v>
      </c>
      <c r="G28" s="253">
        <v>4</v>
      </c>
      <c r="H28" s="253" t="s">
        <v>3105</v>
      </c>
      <c r="I28" s="254" t="str">
        <f>'Dry_Litterbag Placem_Collection'!C29</f>
        <v>Dry_Ag4_T3</v>
      </c>
      <c r="J28" s="255" t="s">
        <v>2525</v>
      </c>
      <c r="K28" s="256" t="s">
        <v>1147</v>
      </c>
      <c r="L28" s="221" t="str">
        <f>'WetLitterbags placem_collection'!K29</f>
        <v>G583</v>
      </c>
      <c r="M28" s="223">
        <f>IFERROR(INDEX('Green_rooibos initial weight'!$C$5:$C$2000,MATCH(L28, 'Green_rooibos initial weight'!$A$5:$A$2000,0)),"")</f>
        <v>2.1829999999999998</v>
      </c>
      <c r="N28" s="223">
        <f>IFERROR(M28-(TBIcalc!$H$9+TBIcalc!$H$10),"")</f>
        <v>1.9331999999999998</v>
      </c>
      <c r="O28" s="378">
        <f>AVERAGE(Ashed_controlls!$K$2:$K$11)</f>
        <v>5.5147656768714146</v>
      </c>
      <c r="P28" s="223">
        <f t="shared" si="1"/>
        <v>1.8265885499347216</v>
      </c>
      <c r="Q28" s="223">
        <f>IFERROR(INDEX('Both teabags AfterWet'!$C$3:$C$840,MATCH(L28,'Both teabags AfterWet'!$A$3:$A$840,0)),"")</f>
        <v>0.66169999999999995</v>
      </c>
      <c r="R28" s="223">
        <f>IFERROR(IF(Q28&gt;0,Q28-(TBIcalc!$H$9),""),"")</f>
        <v>0.51109999999999989</v>
      </c>
      <c r="S28" s="223">
        <f>IFERROR(INDEX('Ashed teabags wet'!$K$2:$K$2000,MATCH(L28,'Ashed teabags wet'!$A$2:$A$2000,0)),"")</f>
        <v>12.756598240469378</v>
      </c>
      <c r="T28" s="223">
        <f t="shared" si="2"/>
        <v>0.44590102639296092</v>
      </c>
      <c r="U28" s="224">
        <f>'WetLitterbags placem_collection'!E29</f>
        <v>42767</v>
      </c>
      <c r="V28" s="224">
        <f>IF('WetLitterbags placem_collection'!G29="","",'WetLitterbags placem_collection'!G29)</f>
        <v>42818</v>
      </c>
      <c r="W28" s="225">
        <f t="shared" si="0"/>
        <v>51</v>
      </c>
      <c r="X28" s="223">
        <f t="shared" si="3"/>
        <v>1.4220999999999999</v>
      </c>
      <c r="Y28" s="223">
        <f t="shared" si="4"/>
        <v>1.3806875235417606</v>
      </c>
      <c r="Z28">
        <f>IFERROR(INDEX([1]Rainfall_Wet!$O$2:$O$217,MATCH(C28, [1]Rainfall_Wet!$A$2:$A$217,0)),"")</f>
        <v>185.630065823</v>
      </c>
      <c r="AA28" s="226">
        <v>51.960000000000008</v>
      </c>
      <c r="AB28" s="226">
        <v>18.919999999999995</v>
      </c>
      <c r="AC28" s="226">
        <v>29.120000000000005</v>
      </c>
      <c r="AD28" s="227" t="s">
        <v>2654</v>
      </c>
      <c r="AE28" s="226">
        <v>3.8529324790537198</v>
      </c>
      <c r="AF28" t="str">
        <f>IF('WetLitterbags placem_collection'!AB29="","",'WetLitterbags placem_collection'!AB29)</f>
        <v/>
      </c>
      <c r="AG28" t="str">
        <f>IF('WetLitterbags placem_collection'!Z29="","",'WetLitterbags placem_collection'!Z29)</f>
        <v/>
      </c>
      <c r="AH28" s="236" t="str">
        <f>IF('WetLitterbags placem_collection'!AA29="","",'WetLitterbags placem_collection'!AA29)</f>
        <v/>
      </c>
      <c r="AI28" t="str">
        <f>IF('WetLitterbags placem_collection'!AC29="","",'WetLitterbags placem_collection'!AC29)</f>
        <v/>
      </c>
      <c r="AJ28" s="233">
        <f>AVERAGE('WetLitterbags placem_collection'!S29,'WetLitterbags placem_collection'!U29)</f>
        <v>28.900000000000002</v>
      </c>
      <c r="AK28">
        <f>AVERAGE('WetLitterbags placem_collection'!R29,'WetLitterbags placem_collection'!T29)</f>
        <v>21.4</v>
      </c>
      <c r="AL28">
        <f>INDEX([2]Coordinates!$B$2:$B$197,MATCH(I28,[2]Coordinates!$J$2:$J$197,0))</f>
        <v>-3.3849350359999999</v>
      </c>
      <c r="AM28">
        <f>INDEX([2]Coordinates!$C$2:$C$197,MATCH(I28,[2]Coordinates!$J$2:$J$197,0))</f>
        <v>34.818943019999999</v>
      </c>
      <c r="AN28" t="str">
        <f>IF(ISNUMBER(SEARCH("C", 'WetLitterbags placem_collection'!$V29)),"YES","NO")</f>
        <v>NO</v>
      </c>
      <c r="AO28" t="str">
        <f>IF(ISNUMBER(SEARCH("H", 'WetLitterbags placem_collection'!$V29)),"YES","NO")</f>
        <v>NO</v>
      </c>
      <c r="AP28" t="str">
        <f>IF(ISNUMBER(SEARCH("R", 'WetLitterbags placem_collection'!$V29)),"YES","NO")</f>
        <v>NO</v>
      </c>
    </row>
    <row r="29" spans="1:42">
      <c r="A29" t="s">
        <v>3248</v>
      </c>
      <c r="B29" s="248" t="s">
        <v>2454</v>
      </c>
      <c r="C29" s="253">
        <f>'Dry_Litterbag Placem_Collection'!A30</f>
        <v>28</v>
      </c>
      <c r="D29" s="253" t="str">
        <f>'Dry_Litterbag Placem_Collection'!B30</f>
        <v>Makao</v>
      </c>
      <c r="E29" s="253" t="s">
        <v>2643</v>
      </c>
      <c r="F29" s="253" t="s">
        <v>2644</v>
      </c>
      <c r="G29" s="253">
        <v>4</v>
      </c>
      <c r="H29" s="253" t="s">
        <v>3105</v>
      </c>
      <c r="I29" s="254" t="str">
        <f>'Dry_Litterbag Placem_Collection'!C30</f>
        <v>Dry_Ag4_T4</v>
      </c>
      <c r="J29" s="255" t="s">
        <v>2525</v>
      </c>
      <c r="K29" s="256" t="s">
        <v>1147</v>
      </c>
      <c r="L29" s="221" t="str">
        <f>'WetLitterbags placem_collection'!K30</f>
        <v>G702</v>
      </c>
      <c r="M29" s="223">
        <f>IFERROR(INDEX('Green_rooibos initial weight'!$C$5:$C$2000,MATCH(L29, 'Green_rooibos initial weight'!$A$5:$A$2000,0)),"")</f>
        <v>2.109</v>
      </c>
      <c r="N29" s="223">
        <f>IFERROR(M29-(TBIcalc!$H$9+TBIcalc!$H$10),"")</f>
        <v>1.8592</v>
      </c>
      <c r="O29" s="378">
        <f>AVERAGE(Ashed_controlls!$K$2:$K$11)</f>
        <v>5.5147656768714146</v>
      </c>
      <c r="P29" s="223">
        <f t="shared" si="1"/>
        <v>1.7566694765356066</v>
      </c>
      <c r="Q29" s="223">
        <f>IFERROR(INDEX('Both teabags AfterWet'!$C$3:$C$840,MATCH(L29,'Both teabags AfterWet'!$A$3:$A$840,0)),"")</f>
        <v>0.73699999999999999</v>
      </c>
      <c r="R29" s="223">
        <f>IFERROR(IF(Q29&gt;0,Q29-(TBIcalc!$H$9),""),"")</f>
        <v>0.58640000000000003</v>
      </c>
      <c r="S29" s="223">
        <f>IFERROR(INDEX('Ashed teabags wet'!$K$2:$K$2000,MATCH(L29,'Ashed teabags wet'!$A$2:$A$2000,0)),"")</f>
        <v>10.710760118459444</v>
      </c>
      <c r="T29" s="223">
        <f t="shared" si="2"/>
        <v>0.52359210266535383</v>
      </c>
      <c r="U29" s="224">
        <f>'WetLitterbags placem_collection'!E30</f>
        <v>42767</v>
      </c>
      <c r="V29" s="224">
        <f>IF('WetLitterbags placem_collection'!G30="","",'WetLitterbags placem_collection'!G30)</f>
        <v>42818</v>
      </c>
      <c r="W29" s="225">
        <f t="shared" si="0"/>
        <v>51</v>
      </c>
      <c r="X29" s="223">
        <f t="shared" si="3"/>
        <v>1.2727999999999999</v>
      </c>
      <c r="Y29" s="223">
        <f t="shared" si="4"/>
        <v>1.2330773738702527</v>
      </c>
      <c r="Z29">
        <f>IFERROR(INDEX([1]Rainfall_Wet!$O$2:$O$217,MATCH(C29, [1]Rainfall_Wet!$A$2:$A$217,0)),"")</f>
        <v>185.630065823</v>
      </c>
      <c r="AA29" s="226">
        <v>51.960000000000008</v>
      </c>
      <c r="AB29" s="226">
        <v>18.919999999999995</v>
      </c>
      <c r="AC29" s="226">
        <v>29.120000000000005</v>
      </c>
      <c r="AD29" s="227" t="s">
        <v>2654</v>
      </c>
      <c r="AE29" s="226">
        <v>4.8529324790537203</v>
      </c>
      <c r="AF29" t="str">
        <f>IF('WetLitterbags placem_collection'!AB30="","",'WetLitterbags placem_collection'!AB30)</f>
        <v/>
      </c>
      <c r="AG29" t="str">
        <f>IF('WetLitterbags placem_collection'!Z30="","",'WetLitterbags placem_collection'!Z30)</f>
        <v/>
      </c>
      <c r="AH29" s="236" t="str">
        <f>IF('WetLitterbags placem_collection'!AA30="","",'WetLitterbags placem_collection'!AA30)</f>
        <v/>
      </c>
      <c r="AI29" t="str">
        <f>IF('WetLitterbags placem_collection'!AC30="","",'WetLitterbags placem_collection'!AC30)</f>
        <v/>
      </c>
      <c r="AJ29" s="233">
        <f>AVERAGE('WetLitterbags placem_collection'!S30,'WetLitterbags placem_collection'!U30)</f>
        <v>33.4</v>
      </c>
      <c r="AK29">
        <f>AVERAGE('WetLitterbags placem_collection'!R30,'WetLitterbags placem_collection'!T30)</f>
        <v>20.6</v>
      </c>
      <c r="AL29">
        <f>INDEX([2]Coordinates!$B$2:$B$197,MATCH(I29,[2]Coordinates!$J$2:$J$197,0))</f>
        <v>-3.3850070369999998</v>
      </c>
      <c r="AM29">
        <f>INDEX([2]Coordinates!$C$2:$C$197,MATCH(I29,[2]Coordinates!$J$2:$J$197,0))</f>
        <v>34.818888960000002</v>
      </c>
      <c r="AN29" t="str">
        <f>IF(ISNUMBER(SEARCH("C", 'WetLitterbags placem_collection'!$V30)),"YES","NO")</f>
        <v>NO</v>
      </c>
      <c r="AO29" t="str">
        <f>IF(ISNUMBER(SEARCH("H", 'WetLitterbags placem_collection'!$V30)),"YES","NO")</f>
        <v>NO</v>
      </c>
      <c r="AP29" t="str">
        <f>IF(ISNUMBER(SEARCH("R", 'WetLitterbags placem_collection'!$V30)),"YES","NO")</f>
        <v>NO</v>
      </c>
    </row>
    <row r="30" spans="1:42">
      <c r="A30" t="s">
        <v>3248</v>
      </c>
      <c r="B30" s="248" t="s">
        <v>2454</v>
      </c>
      <c r="C30" s="253">
        <f>'Dry_Litterbag Placem_Collection'!A31</f>
        <v>29</v>
      </c>
      <c r="D30" s="253" t="str">
        <f>'Dry_Litterbag Placem_Collection'!B31</f>
        <v>Makao</v>
      </c>
      <c r="E30" s="253" t="s">
        <v>2643</v>
      </c>
      <c r="F30" s="253" t="s">
        <v>2644</v>
      </c>
      <c r="G30" s="253">
        <v>4</v>
      </c>
      <c r="H30" s="253" t="s">
        <v>3105</v>
      </c>
      <c r="I30" s="254" t="str">
        <f>'Dry_Litterbag Placem_Collection'!C31</f>
        <v>Dry_Ag4_T5</v>
      </c>
      <c r="J30" s="255" t="s">
        <v>2525</v>
      </c>
      <c r="K30" s="256" t="s">
        <v>1147</v>
      </c>
      <c r="L30" s="221" t="str">
        <f>'WetLitterbags placem_collection'!K31</f>
        <v>G838</v>
      </c>
      <c r="M30" s="223">
        <f>IFERROR(INDEX('Green_rooibos initial weight'!$C$5:$C$2000,MATCH(L30, 'Green_rooibos initial weight'!$A$5:$A$2000,0)),"")</f>
        <v>2.0369999999999999</v>
      </c>
      <c r="N30" s="223">
        <f>IFERROR(M30-(TBIcalc!$H$9+TBIcalc!$H$10),"")</f>
        <v>1.7871999999999999</v>
      </c>
      <c r="O30" s="378">
        <f>AVERAGE(Ashed_controlls!$K$2:$K$11)</f>
        <v>5.5147656768714146</v>
      </c>
      <c r="P30" s="223">
        <f t="shared" si="1"/>
        <v>1.688640107822954</v>
      </c>
      <c r="Q30" s="223">
        <f>IFERROR(INDEX('Both teabags AfterWet'!$C$3:$C$840,MATCH(L30,'Both teabags AfterWet'!$A$3:$A$840,0)),"")</f>
        <v>0.70830000000000004</v>
      </c>
      <c r="R30" s="223">
        <f>IFERROR(IF(Q30&gt;0,Q30-(TBIcalc!$H$9),""),"")</f>
        <v>0.55770000000000008</v>
      </c>
      <c r="S30" s="223">
        <f>IFERROR(INDEX('Ashed teabags wet'!$K$2:$K$2000,MATCH(L30,'Ashed teabags wet'!$A$2:$A$2000,0)),"")</f>
        <v>8.2404265632568467</v>
      </c>
      <c r="T30" s="223">
        <f t="shared" si="2"/>
        <v>0.51174314105671659</v>
      </c>
      <c r="U30" s="224">
        <f>'WetLitterbags placem_collection'!E31</f>
        <v>42767</v>
      </c>
      <c r="V30" s="224">
        <f>IF('WetLitterbags placem_collection'!G31="","",'WetLitterbags placem_collection'!G31)</f>
        <v>42818</v>
      </c>
      <c r="W30" s="225">
        <f t="shared" si="0"/>
        <v>51</v>
      </c>
      <c r="X30" s="223">
        <f t="shared" si="3"/>
        <v>1.2294999999999998</v>
      </c>
      <c r="Y30" s="223">
        <f t="shared" si="4"/>
        <v>1.1768969667662375</v>
      </c>
      <c r="Z30">
        <f>IFERROR(INDEX([1]Rainfall_Wet!$O$2:$O$217,MATCH(C30, [1]Rainfall_Wet!$A$2:$A$217,0)),"")</f>
        <v>185.630065823</v>
      </c>
      <c r="AA30" s="226">
        <v>51.960000000000008</v>
      </c>
      <c r="AB30" s="226">
        <v>18.919999999999995</v>
      </c>
      <c r="AC30" s="226">
        <v>29.120000000000005</v>
      </c>
      <c r="AD30" s="227" t="s">
        <v>2654</v>
      </c>
      <c r="AE30" s="226">
        <v>5.8529324790537203</v>
      </c>
      <c r="AF30" t="str">
        <f>IF('WetLitterbags placem_collection'!AB31="","",'WetLitterbags placem_collection'!AB31)</f>
        <v/>
      </c>
      <c r="AG30" t="str">
        <f>IF('WetLitterbags placem_collection'!Z31="","",'WetLitterbags placem_collection'!Z31)</f>
        <v/>
      </c>
      <c r="AH30" s="236" t="str">
        <f>IF('WetLitterbags placem_collection'!AA31="","",'WetLitterbags placem_collection'!AA31)</f>
        <v/>
      </c>
      <c r="AI30" t="str">
        <f>IF('WetLitterbags placem_collection'!AC31="","",'WetLitterbags placem_collection'!AC31)</f>
        <v/>
      </c>
      <c r="AJ30" s="233">
        <f>AVERAGE('WetLitterbags placem_collection'!S31,'WetLitterbags placem_collection'!U31)</f>
        <v>28.4</v>
      </c>
      <c r="AK30">
        <f>AVERAGE('WetLitterbags placem_collection'!R31,'WetLitterbags placem_collection'!T31)</f>
        <v>21.049999999999997</v>
      </c>
      <c r="AL30">
        <f>INDEX([2]Coordinates!$B$2:$B$197,MATCH(I30,[2]Coordinates!$J$2:$J$197,0))</f>
        <v>-3.3849480280000002</v>
      </c>
      <c r="AM30">
        <f>INDEX([2]Coordinates!$C$2:$C$197,MATCH(I30,[2]Coordinates!$J$2:$J$197,0))</f>
        <v>34.818854010000003</v>
      </c>
      <c r="AN30" t="str">
        <f>IF(ISNUMBER(SEARCH("C", 'WetLitterbags placem_collection'!$V31)),"YES","NO")</f>
        <v>NO</v>
      </c>
      <c r="AO30" t="str">
        <f>IF(ISNUMBER(SEARCH("H", 'WetLitterbags placem_collection'!$V31)),"YES","NO")</f>
        <v>NO</v>
      </c>
      <c r="AP30" t="str">
        <f>IF(ISNUMBER(SEARCH("R", 'WetLitterbags placem_collection'!$V31)),"YES","NO")</f>
        <v>YES</v>
      </c>
    </row>
    <row r="31" spans="1:42">
      <c r="A31" t="s">
        <v>3248</v>
      </c>
      <c r="B31" s="248" t="s">
        <v>2454</v>
      </c>
      <c r="C31" s="253">
        <f>'Dry_Litterbag Placem_Collection'!A32</f>
        <v>30</v>
      </c>
      <c r="D31" s="253" t="str">
        <f>'Dry_Litterbag Placem_Collection'!B32</f>
        <v>Makao</v>
      </c>
      <c r="E31" s="253" t="s">
        <v>2643</v>
      </c>
      <c r="F31" s="253" t="s">
        <v>2644</v>
      </c>
      <c r="G31" s="253">
        <v>4</v>
      </c>
      <c r="H31" s="253" t="s">
        <v>3105</v>
      </c>
      <c r="I31" s="254" t="str">
        <f>'Dry_Litterbag Placem_Collection'!C32</f>
        <v>Dry_Ag4_T6</v>
      </c>
      <c r="J31" s="255" t="s">
        <v>2525</v>
      </c>
      <c r="K31" s="256" t="s">
        <v>1147</v>
      </c>
      <c r="L31" s="221" t="str">
        <f>'WetLitterbags placem_collection'!K32</f>
        <v>G518</v>
      </c>
      <c r="M31" s="223">
        <f>IFERROR(INDEX('Green_rooibos initial weight'!$C$5:$C$2000,MATCH(L31, 'Green_rooibos initial weight'!$A$5:$A$2000,0)),"")</f>
        <v>1.9950000000000001</v>
      </c>
      <c r="N31" s="223">
        <f>IFERROR(M31-(TBIcalc!$H$9+TBIcalc!$H$10),"")</f>
        <v>1.7452000000000001</v>
      </c>
      <c r="O31" s="378">
        <f>AVERAGE(Ashed_controlls!$K$2:$K$11)</f>
        <v>5.5147656768714146</v>
      </c>
      <c r="P31" s="223">
        <f t="shared" si="1"/>
        <v>1.6489563094072401</v>
      </c>
      <c r="Q31" s="223">
        <f>IFERROR(INDEX('Both teabags AfterWet'!$C$3:$C$840,MATCH(L31,'Both teabags AfterWet'!$A$3:$A$840,0)),"")</f>
        <v>0.68200000000000005</v>
      </c>
      <c r="R31" s="223">
        <f>IFERROR(IF(Q31&gt;0,Q31-(TBIcalc!$H$9),""),"")</f>
        <v>0.53140000000000009</v>
      </c>
      <c r="S31" s="223">
        <f>IFERROR(INDEX('Ashed teabags wet'!$K$2:$K$2000,MATCH(L31,'Ashed teabags wet'!$A$2:$A$2000,0)),"")</f>
        <v>11.009615384615254</v>
      </c>
      <c r="T31" s="223">
        <f t="shared" si="2"/>
        <v>0.47289490384615462</v>
      </c>
      <c r="U31" s="224">
        <f>'WetLitterbags placem_collection'!E32</f>
        <v>42767</v>
      </c>
      <c r="V31" s="224">
        <f>IF('WetLitterbags placem_collection'!G32="","",'WetLitterbags placem_collection'!G32)</f>
        <v>42818</v>
      </c>
      <c r="W31" s="225">
        <f t="shared" si="0"/>
        <v>51</v>
      </c>
      <c r="X31" s="223">
        <f t="shared" si="3"/>
        <v>1.2138</v>
      </c>
      <c r="Y31" s="223">
        <f t="shared" si="4"/>
        <v>1.1760614055610854</v>
      </c>
      <c r="Z31">
        <f>IFERROR(INDEX([1]Rainfall_Wet!$O$2:$O$217,MATCH(C31, [1]Rainfall_Wet!$A$2:$A$217,0)),"")</f>
        <v>185.630065823</v>
      </c>
      <c r="AA31" s="226">
        <v>51.960000000000008</v>
      </c>
      <c r="AB31" s="226">
        <v>18.919999999999995</v>
      </c>
      <c r="AC31" s="226">
        <v>29.120000000000005</v>
      </c>
      <c r="AD31" s="227" t="s">
        <v>2654</v>
      </c>
      <c r="AE31" s="226">
        <v>6.8529324790537203</v>
      </c>
      <c r="AF31" t="str">
        <f>IF('WetLitterbags placem_collection'!AB32="","",'WetLitterbags placem_collection'!AB32)</f>
        <v/>
      </c>
      <c r="AG31" t="str">
        <f>IF('WetLitterbags placem_collection'!Z32="","",'WetLitterbags placem_collection'!Z32)</f>
        <v/>
      </c>
      <c r="AH31" s="236" t="str">
        <f>IF('WetLitterbags placem_collection'!AA32="","",'WetLitterbags placem_collection'!AA32)</f>
        <v/>
      </c>
      <c r="AI31" t="str">
        <f>IF('WetLitterbags placem_collection'!AC32="","",'WetLitterbags placem_collection'!AC32)</f>
        <v/>
      </c>
      <c r="AJ31" s="233">
        <f>AVERAGE('WetLitterbags placem_collection'!S32,'WetLitterbags placem_collection'!U32)</f>
        <v>26.9</v>
      </c>
      <c r="AK31">
        <f>AVERAGE('WetLitterbags placem_collection'!R32,'WetLitterbags placem_collection'!T32)</f>
        <v>20.7</v>
      </c>
      <c r="AL31">
        <f>INDEX([2]Coordinates!$B$2:$B$197,MATCH(I31,[2]Coordinates!$J$2:$J$197,0))</f>
        <v>-3.38496496</v>
      </c>
      <c r="AM31">
        <f>INDEX([2]Coordinates!$C$2:$C$197,MATCH(I31,[2]Coordinates!$J$2:$J$197,0))</f>
        <v>34.818790970000002</v>
      </c>
      <c r="AN31" t="str">
        <f>IF(ISNUMBER(SEARCH("C", 'WetLitterbags placem_collection'!$V32)),"YES","NO")</f>
        <v>NO</v>
      </c>
      <c r="AO31" t="str">
        <f>IF(ISNUMBER(SEARCH("H", 'WetLitterbags placem_collection'!$V32)),"YES","NO")</f>
        <v>NO</v>
      </c>
      <c r="AP31" t="str">
        <f>IF(ISNUMBER(SEARCH("R", 'WetLitterbags placem_collection'!$V32)),"YES","NO")</f>
        <v>YES</v>
      </c>
    </row>
    <row r="32" spans="1:42">
      <c r="A32" t="s">
        <v>3248</v>
      </c>
      <c r="B32" s="248" t="s">
        <v>2454</v>
      </c>
      <c r="C32" s="253">
        <f>'Dry_Litterbag Placem_Collection'!A33</f>
        <v>31</v>
      </c>
      <c r="D32" s="253" t="str">
        <f>'Dry_Litterbag Placem_Collection'!B33</f>
        <v>Makao</v>
      </c>
      <c r="E32" s="253" t="s">
        <v>2643</v>
      </c>
      <c r="F32" s="253" t="s">
        <v>2644</v>
      </c>
      <c r="G32" s="253">
        <v>4</v>
      </c>
      <c r="H32" s="253" t="s">
        <v>3105</v>
      </c>
      <c r="I32" s="254" t="str">
        <f>'Dry_Litterbag Placem_Collection'!C33</f>
        <v>Dry_Ag4_T7</v>
      </c>
      <c r="J32" s="255" t="s">
        <v>2525</v>
      </c>
      <c r="K32" s="256" t="s">
        <v>1147</v>
      </c>
      <c r="L32" s="221" t="str">
        <f>'WetLitterbags placem_collection'!K33</f>
        <v>G404</v>
      </c>
      <c r="M32" s="223">
        <f>IFERROR(INDEX('Green_rooibos initial weight'!$C$5:$C$2000,MATCH(L32, 'Green_rooibos initial weight'!$A$5:$A$2000,0)),"")</f>
        <v>2.113</v>
      </c>
      <c r="N32" s="223">
        <f>IFERROR(M32-(TBIcalc!$H$9+TBIcalc!$H$10),"")</f>
        <v>1.8632</v>
      </c>
      <c r="O32" s="378">
        <f>AVERAGE(Ashed_controlls!$K$2:$K$11)</f>
        <v>5.5147656768714146</v>
      </c>
      <c r="P32" s="223">
        <f t="shared" si="1"/>
        <v>1.7604488859085319</v>
      </c>
      <c r="Q32" s="223">
        <f>IFERROR(INDEX('Both teabags AfterWet'!$C$3:$C$840,MATCH(L32,'Both teabags AfterWet'!$A$3:$A$840,0)),"")</f>
        <v>0.75349999999999995</v>
      </c>
      <c r="R32" s="223">
        <f>IFERROR(IF(Q32&gt;0,Q32-(TBIcalc!$H$9),""),"")</f>
        <v>0.60289999999999999</v>
      </c>
      <c r="S32" s="223">
        <f>IFERROR(INDEX('Ashed teabags wet'!$K$2:$K$2000,MATCH(L32,'Ashed teabags wet'!$A$2:$A$2000,0)),"")</f>
        <v>13.930110100526482</v>
      </c>
      <c r="T32" s="223">
        <f t="shared" si="2"/>
        <v>0.51891536620392587</v>
      </c>
      <c r="U32" s="224">
        <f>'WetLitterbags placem_collection'!E33</f>
        <v>42767</v>
      </c>
      <c r="V32" s="224">
        <f>IF('WetLitterbags placem_collection'!G33="","",'WetLitterbags placem_collection'!G33)</f>
        <v>42818</v>
      </c>
      <c r="W32" s="225">
        <f t="shared" si="0"/>
        <v>51</v>
      </c>
      <c r="X32" s="223">
        <f t="shared" si="3"/>
        <v>1.2603</v>
      </c>
      <c r="Y32" s="223">
        <f t="shared" si="4"/>
        <v>1.241533519704606</v>
      </c>
      <c r="Z32">
        <f>IFERROR(INDEX([1]Rainfall_Wet!$O$2:$O$217,MATCH(C32, [1]Rainfall_Wet!$A$2:$A$217,0)),"")</f>
        <v>185.630065823</v>
      </c>
      <c r="AA32" s="226">
        <v>51.960000000000008</v>
      </c>
      <c r="AB32" s="226">
        <v>18.919999999999995</v>
      </c>
      <c r="AC32" s="226">
        <v>29.120000000000005</v>
      </c>
      <c r="AD32" s="227" t="s">
        <v>2654</v>
      </c>
      <c r="AE32" s="226">
        <v>7.8529324790537203</v>
      </c>
      <c r="AF32" t="str">
        <f>IF('WetLitterbags placem_collection'!AB33="","",'WetLitterbags placem_collection'!AB33)</f>
        <v/>
      </c>
      <c r="AG32" t="str">
        <f>IF('WetLitterbags placem_collection'!Z33="","",'WetLitterbags placem_collection'!Z33)</f>
        <v/>
      </c>
      <c r="AH32" s="236" t="str">
        <f>IF('WetLitterbags placem_collection'!AA33="","",'WetLitterbags placem_collection'!AA33)</f>
        <v/>
      </c>
      <c r="AI32" t="str">
        <f>IF('WetLitterbags placem_collection'!AC33="","",'WetLitterbags placem_collection'!AC33)</f>
        <v/>
      </c>
      <c r="AJ32" s="233">
        <f>AVERAGE('WetLitterbags placem_collection'!S33,'WetLitterbags placem_collection'!U33)</f>
        <v>33</v>
      </c>
      <c r="AK32">
        <f>AVERAGE('WetLitterbags placem_collection'!R33,'WetLitterbags placem_collection'!T33)</f>
        <v>20.950000000000003</v>
      </c>
      <c r="AL32">
        <f>INDEX([2]Coordinates!$B$2:$B$197,MATCH(I32,[2]Coordinates!$J$2:$J$197,0))</f>
        <v>-3.3848409909999999</v>
      </c>
      <c r="AM32">
        <f>INDEX([2]Coordinates!$C$2:$C$197,MATCH(I32,[2]Coordinates!$J$2:$J$197,0))</f>
        <v>34.818838999999997</v>
      </c>
      <c r="AN32" t="str">
        <f>IF(ISNUMBER(SEARCH("C", 'WetLitterbags placem_collection'!$V33)),"YES","NO")</f>
        <v>NO</v>
      </c>
      <c r="AO32" t="str">
        <f>IF(ISNUMBER(SEARCH("H", 'WetLitterbags placem_collection'!$V33)),"YES","NO")</f>
        <v>NO</v>
      </c>
      <c r="AP32" t="str">
        <f>IF(ISNUMBER(SEARCH("R", 'WetLitterbags placem_collection'!$V33)),"YES","NO")</f>
        <v>YES</v>
      </c>
    </row>
    <row r="33" spans="1:42">
      <c r="A33" t="s">
        <v>3248</v>
      </c>
      <c r="B33" s="248" t="s">
        <v>2454</v>
      </c>
      <c r="C33" s="253">
        <f>'Dry_Litterbag Placem_Collection'!A34</f>
        <v>32</v>
      </c>
      <c r="D33" s="253" t="str">
        <f>'Dry_Litterbag Placem_Collection'!B34</f>
        <v>Makao</v>
      </c>
      <c r="E33" s="253" t="s">
        <v>2643</v>
      </c>
      <c r="F33" s="253" t="s">
        <v>2644</v>
      </c>
      <c r="G33" s="253">
        <v>4</v>
      </c>
      <c r="H33" s="253" t="s">
        <v>3105</v>
      </c>
      <c r="I33" s="254" t="str">
        <f>'Dry_Litterbag Placem_Collection'!C34</f>
        <v>Dry_Ag4_T8</v>
      </c>
      <c r="J33" s="255" t="s">
        <v>2525</v>
      </c>
      <c r="K33" s="256" t="s">
        <v>1147</v>
      </c>
      <c r="L33" s="221" t="str">
        <f>'WetLitterbags placem_collection'!K34</f>
        <v>G527</v>
      </c>
      <c r="M33" s="223">
        <f>IFERROR(INDEX('Green_rooibos initial weight'!$C$5:$C$2000,MATCH(L33, 'Green_rooibos initial weight'!$A$5:$A$2000,0)),"")</f>
        <v>1.913</v>
      </c>
      <c r="N33" s="223">
        <f>IFERROR(M33-(TBIcalc!$H$9+TBIcalc!$H$10),"")</f>
        <v>1.6632</v>
      </c>
      <c r="O33" s="378">
        <f>AVERAGE(Ashed_controlls!$K$2:$K$11)</f>
        <v>5.5147656768714146</v>
      </c>
      <c r="P33" s="223">
        <f t="shared" si="1"/>
        <v>1.5714784172622747</v>
      </c>
      <c r="Q33" s="223">
        <f>IFERROR(INDEX('Both teabags AfterWet'!$C$3:$C$840,MATCH(L33,'Both teabags AfterWet'!$A$3:$A$840,0)),"")</f>
        <v>0.66439999999999999</v>
      </c>
      <c r="R33" s="223">
        <f>IFERROR(IF(Q33&gt;0,Q33-(TBIcalc!$H$9),""),"")</f>
        <v>0.51380000000000003</v>
      </c>
      <c r="S33" s="223">
        <f>IFERROR(INDEX('Ashed teabags wet'!$K$2:$K$2000,MATCH(L33,'Ashed teabags wet'!$A$2:$A$2000,0)),"")</f>
        <v>8.4915084915079166</v>
      </c>
      <c r="T33" s="223">
        <f t="shared" si="2"/>
        <v>0.47017062937063236</v>
      </c>
      <c r="U33" s="224">
        <f>'WetLitterbags placem_collection'!E34</f>
        <v>42767</v>
      </c>
      <c r="V33" s="224">
        <f>IF('WetLitterbags placem_collection'!G34="","",'WetLitterbags placem_collection'!G34)</f>
        <v>42818</v>
      </c>
      <c r="W33" s="225">
        <f t="shared" si="0"/>
        <v>51</v>
      </c>
      <c r="X33" s="223">
        <f t="shared" si="3"/>
        <v>1.1494</v>
      </c>
      <c r="Y33" s="223">
        <f t="shared" si="4"/>
        <v>1.1013077878916424</v>
      </c>
      <c r="Z33">
        <f>IFERROR(INDEX([1]Rainfall_Wet!$O$2:$O$217,MATCH(C33, [1]Rainfall_Wet!$A$2:$A$217,0)),"")</f>
        <v>185.630065823</v>
      </c>
      <c r="AA33" s="226">
        <v>51.960000000000008</v>
      </c>
      <c r="AB33" s="226">
        <v>18.919999999999995</v>
      </c>
      <c r="AC33" s="226">
        <v>29.120000000000005</v>
      </c>
      <c r="AD33" s="227" t="s">
        <v>2654</v>
      </c>
      <c r="AE33" s="226">
        <v>8.8529324790537203</v>
      </c>
      <c r="AF33" t="str">
        <f>IF('WetLitterbags placem_collection'!AB34="","",'WetLitterbags placem_collection'!AB34)</f>
        <v/>
      </c>
      <c r="AG33" t="str">
        <f>IF('WetLitterbags placem_collection'!Z34="","",'WetLitterbags placem_collection'!Z34)</f>
        <v/>
      </c>
      <c r="AH33" s="236" t="str">
        <f>IF('WetLitterbags placem_collection'!AA34="","",'WetLitterbags placem_collection'!AA34)</f>
        <v/>
      </c>
      <c r="AI33" t="str">
        <f>IF('WetLitterbags placem_collection'!AC34="","",'WetLitterbags placem_collection'!AC34)</f>
        <v/>
      </c>
      <c r="AJ33" s="233">
        <f>AVERAGE('WetLitterbags placem_collection'!S34,'WetLitterbags placem_collection'!U34)</f>
        <v>32.849999999999994</v>
      </c>
      <c r="AK33">
        <f>AVERAGE('WetLitterbags placem_collection'!R34,'WetLitterbags placem_collection'!T34)</f>
        <v>20.9</v>
      </c>
      <c r="AL33">
        <f>INDEX([2]Coordinates!$B$2:$B$197,MATCH(I33,[2]Coordinates!$J$2:$J$197,0))</f>
        <v>-3.3849010060000002</v>
      </c>
      <c r="AM33">
        <f>INDEX([2]Coordinates!$C$2:$C$197,MATCH(I33,[2]Coordinates!$J$2:$J$197,0))</f>
        <v>34.818979990000003</v>
      </c>
      <c r="AN33" t="str">
        <f>IF(ISNUMBER(SEARCH("C", 'WetLitterbags placem_collection'!$V34)),"YES","NO")</f>
        <v>NO</v>
      </c>
      <c r="AO33" t="str">
        <f>IF(ISNUMBER(SEARCH("H", 'WetLitterbags placem_collection'!$V34)),"YES","NO")</f>
        <v>NO</v>
      </c>
      <c r="AP33" t="str">
        <f>IF(ISNUMBER(SEARCH("R", 'WetLitterbags placem_collection'!$V34)),"YES","NO")</f>
        <v>YES</v>
      </c>
    </row>
    <row r="34" spans="1:42">
      <c r="A34" t="s">
        <v>3248</v>
      </c>
      <c r="B34" s="248" t="s">
        <v>2454</v>
      </c>
      <c r="C34" s="253">
        <f>'Dry_Litterbag Placem_Collection'!A35</f>
        <v>33</v>
      </c>
      <c r="D34" s="253" t="str">
        <f>'Dry_Litterbag Placem_Collection'!B35</f>
        <v>Makao</v>
      </c>
      <c r="E34" s="253" t="s">
        <v>2643</v>
      </c>
      <c r="F34" s="253" t="s">
        <v>20</v>
      </c>
      <c r="G34" s="253">
        <v>1</v>
      </c>
      <c r="H34" s="253" t="s">
        <v>3106</v>
      </c>
      <c r="I34" s="254" t="str">
        <f>'Dry_Litterbag Placem_Collection'!C35</f>
        <v>Dry_P1_T1</v>
      </c>
      <c r="J34" s="255" t="s">
        <v>2525</v>
      </c>
      <c r="K34" s="256" t="s">
        <v>1147</v>
      </c>
      <c r="L34" s="221" t="str">
        <f>'WetLitterbags placem_collection'!K35</f>
        <v>G366</v>
      </c>
      <c r="M34" s="223">
        <f>IFERROR(INDEX('Green_rooibos initial weight'!$C$5:$C$2000,MATCH(L34, 'Green_rooibos initial weight'!$A$5:$A$2000,0)),"")</f>
        <v>2.1070000000000002</v>
      </c>
      <c r="N34" s="223">
        <f>IFERROR(M34-(TBIcalc!$H$9+TBIcalc!$H$10),"")</f>
        <v>1.8572000000000002</v>
      </c>
      <c r="O34" s="378">
        <f>AVERAGE(Ashed_controlls!$K$2:$K$11)</f>
        <v>5.5147656768714146</v>
      </c>
      <c r="P34" s="223">
        <f t="shared" si="1"/>
        <v>1.7547797718491442</v>
      </c>
      <c r="Q34" s="223">
        <f>IFERROR(INDEX('Both teabags AfterWet'!$C$3:$C$840,MATCH(L34,'Both teabags AfterWet'!$A$3:$A$840,0)),"")</f>
        <v>0.76700000000000002</v>
      </c>
      <c r="R34" s="223">
        <f>IFERROR(IF(Q34&gt;0,Q34-(TBIcalc!$H$9),""),"")</f>
        <v>0.61640000000000006</v>
      </c>
      <c r="S34" s="223">
        <f>IFERROR(INDEX('Ashed teabags wet'!$K$2:$K$2000,MATCH(L34,'Ashed teabags wet'!$A$2:$A$2000,0)),"")</f>
        <v>9.3672147483803556</v>
      </c>
      <c r="T34" s="223">
        <f t="shared" si="2"/>
        <v>0.55866048829098358</v>
      </c>
      <c r="U34" s="224">
        <f>'WetLitterbags placem_collection'!E35</f>
        <v>42765</v>
      </c>
      <c r="V34" s="224">
        <f>IF('WetLitterbags placem_collection'!G35="","",'WetLitterbags placem_collection'!G35)</f>
        <v>42820</v>
      </c>
      <c r="W34" s="225">
        <f t="shared" si="0"/>
        <v>55</v>
      </c>
      <c r="X34" s="223">
        <f t="shared" si="3"/>
        <v>1.2408000000000001</v>
      </c>
      <c r="Y34" s="223">
        <f t="shared" si="4"/>
        <v>1.1961192835581607</v>
      </c>
      <c r="Z34">
        <f>IFERROR(INDEX([1]Rainfall_Wet!$O$2:$O$217,MATCH(C34, [1]Rainfall_Wet!$A$2:$A$217,0)),"")</f>
        <v>228.324359195</v>
      </c>
      <c r="AA34" s="226">
        <v>23.96</v>
      </c>
      <c r="AB34" s="226">
        <v>0.91999999999999804</v>
      </c>
      <c r="AC34" s="226">
        <v>75.12</v>
      </c>
      <c r="AD34" s="227" t="s">
        <v>2651</v>
      </c>
      <c r="AE34" s="226">
        <v>1.2493839329719072</v>
      </c>
      <c r="AF34">
        <f>IF('WetLitterbags placem_collection'!AB35="","",'WetLitterbags placem_collection'!AB35)</f>
        <v>9.5</v>
      </c>
      <c r="AG34">
        <f>IF('WetLitterbags placem_collection'!Z35="","",'WetLitterbags placem_collection'!Z35)</f>
        <v>17.2</v>
      </c>
      <c r="AH34" s="236" t="str">
        <f>IF('WetLitterbags placem_collection'!AA35="","",'WetLitterbags placem_collection'!AA35)</f>
        <v>G</v>
      </c>
      <c r="AI34">
        <f>IF('WetLitterbags placem_collection'!AC35="","",'WetLitterbags placem_collection'!AC35)</f>
        <v>0</v>
      </c>
      <c r="AJ34" s="233">
        <f>AVERAGE('WetLitterbags placem_collection'!S35,'WetLitterbags placem_collection'!U35)</f>
        <v>30.5</v>
      </c>
      <c r="AK34">
        <f>AVERAGE('WetLitterbags placem_collection'!R35,'WetLitterbags placem_collection'!T35)</f>
        <v>25.25</v>
      </c>
      <c r="AL34">
        <f>INDEX([2]Coordinates!$B$2:$B$197,MATCH(I34,[2]Coordinates!$J$2:$J$197,0))</f>
        <v>-3.4092039989999998</v>
      </c>
      <c r="AM34">
        <f>INDEX([2]Coordinates!$C$2:$C$197,MATCH(I34,[2]Coordinates!$J$2:$J$197,0))</f>
        <v>34.852751009999999</v>
      </c>
      <c r="AN34" t="str">
        <f>IF(ISNUMBER(SEARCH("C", 'WetLitterbags placem_collection'!$V35)),"YES","NO")</f>
        <v>NO</v>
      </c>
      <c r="AO34" t="str">
        <f>IF(ISNUMBER(SEARCH("H", 'WetLitterbags placem_collection'!$V35)),"YES","NO")</f>
        <v>NO</v>
      </c>
      <c r="AP34" t="str">
        <f>IF(ISNUMBER(SEARCH("R", 'WetLitterbags placem_collection'!$V35)),"YES","NO")</f>
        <v>YES</v>
      </c>
    </row>
    <row r="35" spans="1:42">
      <c r="A35" t="s">
        <v>3248</v>
      </c>
      <c r="B35" s="248" t="s">
        <v>2454</v>
      </c>
      <c r="C35" s="253">
        <f>'Dry_Litterbag Placem_Collection'!A36</f>
        <v>34</v>
      </c>
      <c r="D35" s="253" t="str">
        <f>'Dry_Litterbag Placem_Collection'!B36</f>
        <v>Makao</v>
      </c>
      <c r="E35" s="253" t="s">
        <v>2643</v>
      </c>
      <c r="F35" s="253" t="s">
        <v>20</v>
      </c>
      <c r="G35" s="253">
        <v>1</v>
      </c>
      <c r="H35" s="253" t="s">
        <v>3106</v>
      </c>
      <c r="I35" s="254" t="str">
        <f>'Dry_Litterbag Placem_Collection'!C36</f>
        <v>Dry_P1_T2</v>
      </c>
      <c r="J35" s="255" t="s">
        <v>2525</v>
      </c>
      <c r="K35" s="256" t="s">
        <v>1147</v>
      </c>
      <c r="L35" s="221" t="str">
        <f>'WetLitterbags placem_collection'!K36</f>
        <v>G516</v>
      </c>
      <c r="M35" s="223">
        <f>IFERROR(INDEX('Green_rooibos initial weight'!$C$5:$C$2000,MATCH(L35, 'Green_rooibos initial weight'!$A$5:$A$2000,0)),"")</f>
        <v>2.1160000000000001</v>
      </c>
      <c r="N35" s="223">
        <f>IFERROR(M35-(TBIcalc!$H$9+TBIcalc!$H$10),"")</f>
        <v>1.8662000000000001</v>
      </c>
      <c r="O35" s="378">
        <f>AVERAGE(Ashed_controlls!$K$2:$K$11)</f>
        <v>5.5147656768714146</v>
      </c>
      <c r="P35" s="223">
        <f t="shared" si="1"/>
        <v>1.7632834429382258</v>
      </c>
      <c r="Q35" s="223">
        <f>IFERROR(INDEX('Both teabags AfterWet'!$C$3:$C$840,MATCH(L35,'Both teabags AfterWet'!$A$3:$A$840,0)),"")</f>
        <v>0.87270000000000003</v>
      </c>
      <c r="R35" s="223">
        <f>IFERROR(IF(Q35&gt;0,Q35-(TBIcalc!$H$9),""),"")</f>
        <v>0.72209999999999996</v>
      </c>
      <c r="S35" s="223">
        <f>IFERROR(INDEX('Ashed teabags wet'!$K$2:$K$2000,MATCH(L35,'Ashed teabags wet'!$A$2:$A$2000,0)),"")</f>
        <v>39.314115308151266</v>
      </c>
      <c r="T35" s="223">
        <f t="shared" si="2"/>
        <v>0.43821277335983971</v>
      </c>
      <c r="U35" s="224">
        <f>'WetLitterbags placem_collection'!E36</f>
        <v>42765</v>
      </c>
      <c r="V35" s="224">
        <f>IF('WetLitterbags placem_collection'!G36="","",'WetLitterbags placem_collection'!G36)</f>
        <v>42820</v>
      </c>
      <c r="W35" s="225">
        <f t="shared" si="0"/>
        <v>55</v>
      </c>
      <c r="X35" s="223">
        <f t="shared" si="3"/>
        <v>1.1441000000000001</v>
      </c>
      <c r="Y35" s="223">
        <f t="shared" si="4"/>
        <v>1.325070669578386</v>
      </c>
      <c r="Z35">
        <f>IFERROR(INDEX([1]Rainfall_Wet!$O$2:$O$217,MATCH(C35, [1]Rainfall_Wet!$A$2:$A$217,0)),"")</f>
        <v>228.324359195</v>
      </c>
      <c r="AA35" s="226">
        <v>23.96</v>
      </c>
      <c r="AB35" s="226">
        <v>0.91999999999999804</v>
      </c>
      <c r="AC35" s="226">
        <v>75.12</v>
      </c>
      <c r="AD35" s="227" t="s">
        <v>2651</v>
      </c>
      <c r="AE35" s="226">
        <v>1.2493839329719072</v>
      </c>
      <c r="AF35">
        <f>IF('WetLitterbags placem_collection'!AB36="","",'WetLitterbags placem_collection'!AB36)</f>
        <v>6.5</v>
      </c>
      <c r="AG35">
        <f>IF('WetLitterbags placem_collection'!Z36="","",'WetLitterbags placem_collection'!Z36)</f>
        <v>14.2</v>
      </c>
      <c r="AH35" s="236" t="str">
        <f>IF('WetLitterbags placem_collection'!AA36="","",'WetLitterbags placem_collection'!AA36)</f>
        <v>G</v>
      </c>
      <c r="AI35">
        <f>IF('WetLitterbags placem_collection'!AC36="","",'WetLitterbags placem_collection'!AC36)</f>
        <v>0</v>
      </c>
      <c r="AJ35" s="233">
        <f>AVERAGE('WetLitterbags placem_collection'!S36,'WetLitterbags placem_collection'!U36)</f>
        <v>21</v>
      </c>
      <c r="AK35">
        <f>AVERAGE('WetLitterbags placem_collection'!R36,'WetLitterbags placem_collection'!T36)</f>
        <v>25.55</v>
      </c>
      <c r="AL35">
        <f>INDEX([2]Coordinates!$B$2:$B$197,MATCH(I35,[2]Coordinates!$J$2:$J$197,0))</f>
        <v>-3.4092350119999999</v>
      </c>
      <c r="AM35">
        <f>INDEX([2]Coordinates!$C$2:$C$197,MATCH(I35,[2]Coordinates!$J$2:$J$197,0))</f>
        <v>34.852782019999999</v>
      </c>
      <c r="AN35" t="str">
        <f>IF(ISNUMBER(SEARCH("C", 'WetLitterbags placem_collection'!$V36)),"YES","NO")</f>
        <v>YES</v>
      </c>
      <c r="AO35" t="str">
        <f>IF(ISNUMBER(SEARCH("H", 'WetLitterbags placem_collection'!$V36)),"YES","NO")</f>
        <v>YES</v>
      </c>
      <c r="AP35" t="str">
        <f>IF(ISNUMBER(SEARCH("R", 'WetLitterbags placem_collection'!$V36)),"YES","NO")</f>
        <v>YES</v>
      </c>
    </row>
    <row r="36" spans="1:42">
      <c r="A36" t="s">
        <v>3248</v>
      </c>
      <c r="B36" s="248" t="s">
        <v>2454</v>
      </c>
      <c r="C36" s="253">
        <f>'Dry_Litterbag Placem_Collection'!A37</f>
        <v>35</v>
      </c>
      <c r="D36" s="253" t="str">
        <f>'Dry_Litterbag Placem_Collection'!B37</f>
        <v>Makao</v>
      </c>
      <c r="E36" s="253" t="s">
        <v>2643</v>
      </c>
      <c r="F36" s="253" t="s">
        <v>20</v>
      </c>
      <c r="G36" s="253">
        <v>1</v>
      </c>
      <c r="H36" s="253" t="s">
        <v>3106</v>
      </c>
      <c r="I36" s="254" t="str">
        <f>'Dry_Litterbag Placem_Collection'!C37</f>
        <v>Dry_P1_T3</v>
      </c>
      <c r="J36" s="255" t="s">
        <v>2525</v>
      </c>
      <c r="K36" s="256" t="s">
        <v>1147</v>
      </c>
      <c r="L36" s="221" t="str">
        <f>'WetLitterbags placem_collection'!K37</f>
        <v>G670</v>
      </c>
      <c r="M36" s="223">
        <f>IFERROR(INDEX('Green_rooibos initial weight'!$C$5:$C$2000,MATCH(L36, 'Green_rooibos initial weight'!$A$5:$A$2000,0)),"")</f>
        <v>2.0950000000000002</v>
      </c>
      <c r="N36" s="223">
        <f>IFERROR(M36-(TBIcalc!$H$9+TBIcalc!$H$10),"")</f>
        <v>1.8452000000000002</v>
      </c>
      <c r="O36" s="378">
        <f>AVERAGE(Ashed_controlls!$K$2:$K$11)</f>
        <v>5.5147656768714146</v>
      </c>
      <c r="P36" s="223">
        <f t="shared" si="1"/>
        <v>1.7434415437303687</v>
      </c>
      <c r="Q36" s="223">
        <f>IFERROR(INDEX('Both teabags AfterWet'!$C$3:$C$840,MATCH(L36,'Both teabags AfterWet'!$A$3:$A$840,0)),"")</f>
        <v>0.81699999999999995</v>
      </c>
      <c r="R36" s="223">
        <f>IFERROR(IF(Q36&gt;0,Q36-(TBIcalc!$H$9),""),"")</f>
        <v>0.66639999999999988</v>
      </c>
      <c r="S36" s="223">
        <f>IFERROR(INDEX('Ashed teabags wet'!$K$2:$K$2000,MATCH(L36,'Ashed teabags wet'!$A$2:$A$2000,0)),"")</f>
        <v>18.585762064022571</v>
      </c>
      <c r="T36" s="223">
        <f t="shared" si="2"/>
        <v>0.54254448160535351</v>
      </c>
      <c r="U36" s="224">
        <f>'WetLitterbags placem_collection'!E37</f>
        <v>42765</v>
      </c>
      <c r="V36" s="224">
        <f>IF('WetLitterbags placem_collection'!G37="","",'WetLitterbags placem_collection'!G37)</f>
        <v>42820</v>
      </c>
      <c r="W36" s="225">
        <f t="shared" si="0"/>
        <v>55</v>
      </c>
      <c r="X36" s="223">
        <f t="shared" si="3"/>
        <v>1.1788000000000003</v>
      </c>
      <c r="Y36" s="223">
        <f t="shared" si="4"/>
        <v>1.2008970621250152</v>
      </c>
      <c r="Z36">
        <f>IFERROR(INDEX([1]Rainfall_Wet!$O$2:$O$217,MATCH(C36, [1]Rainfall_Wet!$A$2:$A$217,0)),"")</f>
        <v>228.324359195</v>
      </c>
      <c r="AA36" s="226">
        <v>23.96</v>
      </c>
      <c r="AB36" s="226">
        <v>0.91999999999999804</v>
      </c>
      <c r="AC36" s="226">
        <v>75.12</v>
      </c>
      <c r="AD36" s="227" t="s">
        <v>2651</v>
      </c>
      <c r="AE36" s="226">
        <v>1.2493839329719072</v>
      </c>
      <c r="AF36">
        <f>IF('WetLitterbags placem_collection'!AB37="","",'WetLitterbags placem_collection'!AB37)</f>
        <v>0.7</v>
      </c>
      <c r="AG36">
        <f>IF('WetLitterbags placem_collection'!Z37="","",'WetLitterbags placem_collection'!Z37)</f>
        <v>10.6</v>
      </c>
      <c r="AH36" s="236" t="str">
        <f>IF('WetLitterbags placem_collection'!AA37="","",'WetLitterbags placem_collection'!AA37)</f>
        <v>G</v>
      </c>
      <c r="AI36">
        <f>IF('WetLitterbags placem_collection'!AC37="","",'WetLitterbags placem_collection'!AC37)</f>
        <v>0</v>
      </c>
      <c r="AJ36" s="233">
        <f>AVERAGE('WetLitterbags placem_collection'!S37,'WetLitterbags placem_collection'!U37)</f>
        <v>10.9</v>
      </c>
      <c r="AK36">
        <f>AVERAGE('WetLitterbags placem_collection'!R37,'WetLitterbags placem_collection'!T37)</f>
        <v>24.45</v>
      </c>
      <c r="AL36">
        <f>INDEX([2]Coordinates!$B$2:$B$197,MATCH(I36,[2]Coordinates!$J$2:$J$197,0))</f>
        <v>-3.409177009</v>
      </c>
      <c r="AM36">
        <f>INDEX([2]Coordinates!$C$2:$C$197,MATCH(I36,[2]Coordinates!$J$2:$J$197,0))</f>
        <v>34.852818990000003</v>
      </c>
      <c r="AN36" t="str">
        <f>IF(ISNUMBER(SEARCH("C", 'WetLitterbags placem_collection'!$V37)),"YES","NO")</f>
        <v>NO</v>
      </c>
      <c r="AO36" t="str">
        <f>IF(ISNUMBER(SEARCH("H", 'WetLitterbags placem_collection'!$V37)),"YES","NO")</f>
        <v>NO</v>
      </c>
      <c r="AP36" t="str">
        <f>IF(ISNUMBER(SEARCH("R", 'WetLitterbags placem_collection'!$V37)),"YES","NO")</f>
        <v>NO</v>
      </c>
    </row>
    <row r="37" spans="1:42">
      <c r="A37" t="s">
        <v>3248</v>
      </c>
      <c r="B37" s="248" t="s">
        <v>2454</v>
      </c>
      <c r="C37" s="253">
        <f>'Dry_Litterbag Placem_Collection'!A38</f>
        <v>36</v>
      </c>
      <c r="D37" s="253" t="str">
        <f>'Dry_Litterbag Placem_Collection'!B38</f>
        <v>Makao</v>
      </c>
      <c r="E37" s="253" t="s">
        <v>2643</v>
      </c>
      <c r="F37" s="253" t="s">
        <v>20</v>
      </c>
      <c r="G37" s="253">
        <v>1</v>
      </c>
      <c r="H37" s="253" t="s">
        <v>3106</v>
      </c>
      <c r="I37" s="254" t="str">
        <f>'Dry_Litterbag Placem_Collection'!C38</f>
        <v>Dry_P1_T4</v>
      </c>
      <c r="J37" s="255" t="s">
        <v>2525</v>
      </c>
      <c r="K37" s="256" t="s">
        <v>1147</v>
      </c>
      <c r="L37" s="221" t="str">
        <f>'WetLitterbags placem_collection'!K38</f>
        <v>G507</v>
      </c>
      <c r="M37" s="223">
        <f>IFERROR(INDEX('Green_rooibos initial weight'!$C$5:$C$2000,MATCH(L37, 'Green_rooibos initial weight'!$A$5:$A$2000,0)),"")</f>
        <v>1.99</v>
      </c>
      <c r="N37" s="223">
        <f>IFERROR(M37-(TBIcalc!$H$9+TBIcalc!$H$10),"")</f>
        <v>1.7402</v>
      </c>
      <c r="O37" s="378">
        <f>AVERAGE(Ashed_controlls!$K$2:$K$11)</f>
        <v>5.5147656768714146</v>
      </c>
      <c r="P37" s="223">
        <f t="shared" si="1"/>
        <v>1.6442320476910837</v>
      </c>
      <c r="Q37" s="223">
        <f>IFERROR(INDEX('Both teabags AfterWet'!$C$3:$C$840,MATCH(L37,'Both teabags AfterWet'!$A$3:$A$840,0)),"")</f>
        <v>0.68100000000000005</v>
      </c>
      <c r="R37" s="223">
        <f>IFERROR(IF(Q37&gt;0,Q37-(TBIcalc!$H$9),""),"")</f>
        <v>0.53039999999999998</v>
      </c>
      <c r="S37" s="223">
        <f>IFERROR(INDEX('Ashed teabags wet'!$K$2:$K$2000,MATCH(L37,'Ashed teabags wet'!$A$2:$A$2000,0)),"")</f>
        <v>8.3009708737862624</v>
      </c>
      <c r="T37" s="223">
        <f t="shared" si="2"/>
        <v>0.48637165048543762</v>
      </c>
      <c r="U37" s="224">
        <f>'WetLitterbags placem_collection'!E38</f>
        <v>42765</v>
      </c>
      <c r="V37" s="224">
        <f>IF('WetLitterbags placem_collection'!G38="","",'WetLitterbags placem_collection'!G38)</f>
        <v>42820</v>
      </c>
      <c r="W37" s="225">
        <f t="shared" si="0"/>
        <v>55</v>
      </c>
      <c r="X37" s="223">
        <f t="shared" si="3"/>
        <v>1.2098</v>
      </c>
      <c r="Y37" s="223">
        <f t="shared" si="4"/>
        <v>1.157860397205646</v>
      </c>
      <c r="Z37">
        <f>IFERROR(INDEX([1]Rainfall_Wet!$O$2:$O$217,MATCH(C37, [1]Rainfall_Wet!$A$2:$A$217,0)),"")</f>
        <v>228.324359195</v>
      </c>
      <c r="AA37" s="226">
        <v>23.96</v>
      </c>
      <c r="AB37" s="226">
        <v>0.91999999999999804</v>
      </c>
      <c r="AC37" s="226">
        <v>75.12</v>
      </c>
      <c r="AD37" s="227" t="s">
        <v>2651</v>
      </c>
      <c r="AE37" s="226">
        <v>1.2493839329719072</v>
      </c>
      <c r="AF37">
        <f>IF('WetLitterbags placem_collection'!AB38="","",'WetLitterbags placem_collection'!AB38)</f>
        <v>3.3</v>
      </c>
      <c r="AG37">
        <f>IF('WetLitterbags placem_collection'!Z38="","",'WetLitterbags placem_collection'!Z38)</f>
        <v>4.9000000000000004</v>
      </c>
      <c r="AH37" s="236" t="str">
        <f>IF('WetLitterbags placem_collection'!AA38="","",'WetLitterbags placem_collection'!AA38)</f>
        <v>G</v>
      </c>
      <c r="AI37">
        <f>IF('WetLitterbags placem_collection'!AC38="","",'WetLitterbags placem_collection'!AC38)</f>
        <v>1</v>
      </c>
      <c r="AJ37" s="233">
        <f>AVERAGE('WetLitterbags placem_collection'!S38,'WetLitterbags placem_collection'!U38)</f>
        <v>14.1</v>
      </c>
      <c r="AK37">
        <f>AVERAGE('WetLitterbags placem_collection'!R38,'WetLitterbags placem_collection'!T38)</f>
        <v>24.75</v>
      </c>
      <c r="AL37">
        <f>INDEX([2]Coordinates!$B$2:$B$197,MATCH(I37,[2]Coordinates!$J$2:$J$197,0))</f>
        <v>-3.40917198</v>
      </c>
      <c r="AM37">
        <f>INDEX([2]Coordinates!$C$2:$C$197,MATCH(I37,[2]Coordinates!$J$2:$J$197,0))</f>
        <v>34.852960979999999</v>
      </c>
      <c r="AN37" t="str">
        <f>IF(ISNUMBER(SEARCH("C", 'WetLitterbags placem_collection'!$V38)),"YES","NO")</f>
        <v>NO</v>
      </c>
      <c r="AO37" t="str">
        <f>IF(ISNUMBER(SEARCH("H", 'WetLitterbags placem_collection'!$V38)),"YES","NO")</f>
        <v>NO</v>
      </c>
      <c r="AP37" t="str">
        <f>IF(ISNUMBER(SEARCH("R", 'WetLitterbags placem_collection'!$V38)),"YES","NO")</f>
        <v>YES</v>
      </c>
    </row>
    <row r="38" spans="1:42">
      <c r="A38" t="s">
        <v>3248</v>
      </c>
      <c r="B38" s="248" t="s">
        <v>2454</v>
      </c>
      <c r="C38" s="253">
        <f>'Dry_Litterbag Placem_Collection'!A39</f>
        <v>37</v>
      </c>
      <c r="D38" s="253" t="str">
        <f>'Dry_Litterbag Placem_Collection'!B39</f>
        <v>Makao</v>
      </c>
      <c r="E38" s="253" t="s">
        <v>2643</v>
      </c>
      <c r="F38" s="253" t="s">
        <v>20</v>
      </c>
      <c r="G38" s="253">
        <v>1</v>
      </c>
      <c r="H38" s="253" t="s">
        <v>3106</v>
      </c>
      <c r="I38" s="254" t="str">
        <f>'Dry_Litterbag Placem_Collection'!C39</f>
        <v>Dry_P1_T5</v>
      </c>
      <c r="J38" s="255" t="s">
        <v>2525</v>
      </c>
      <c r="K38" s="256" t="s">
        <v>1147</v>
      </c>
      <c r="L38" s="221" t="str">
        <f>'WetLitterbags placem_collection'!K39</f>
        <v>G359</v>
      </c>
      <c r="M38" s="223">
        <f>IFERROR(INDEX('Green_rooibos initial weight'!$C$5:$C$2000,MATCH(L38, 'Green_rooibos initial weight'!$A$5:$A$2000,0)),"")</f>
        <v>1.9790000000000001</v>
      </c>
      <c r="N38" s="223">
        <f>IFERROR(M38-(TBIcalc!$H$9+TBIcalc!$H$10),"")</f>
        <v>1.7292000000000001</v>
      </c>
      <c r="O38" s="378">
        <f>AVERAGE(Ashed_controlls!$K$2:$K$11)</f>
        <v>5.5147656768714146</v>
      </c>
      <c r="P38" s="223">
        <f t="shared" si="1"/>
        <v>1.6338386719155396</v>
      </c>
      <c r="Q38" s="223">
        <f>IFERROR(INDEX('Both teabags AfterWet'!$C$3:$C$840,MATCH(L38,'Both teabags AfterWet'!$A$3:$A$840,0)),"")</f>
        <v>0.94699999999999995</v>
      </c>
      <c r="R38" s="223">
        <f>IFERROR(IF(Q38&gt;0,Q38-(TBIcalc!$H$9),""),"")</f>
        <v>0.7964</v>
      </c>
      <c r="S38" s="223">
        <f>IFERROR(INDEX('Ashed teabags wet'!$K$2:$K$2000,MATCH(L38,'Ashed teabags wet'!$A$2:$A$2000,0)),"")</f>
        <v>25.172074729596577</v>
      </c>
      <c r="T38" s="223">
        <f t="shared" si="2"/>
        <v>0.59592959685349289</v>
      </c>
      <c r="U38" s="224">
        <f>'WetLitterbags placem_collection'!E39</f>
        <v>42765</v>
      </c>
      <c r="V38" s="224">
        <f>IF('WetLitterbags placem_collection'!G39="","",'WetLitterbags placem_collection'!G39)</f>
        <v>42820</v>
      </c>
      <c r="W38" s="225">
        <f t="shared" si="0"/>
        <v>55</v>
      </c>
      <c r="X38" s="223">
        <f t="shared" si="3"/>
        <v>0.93280000000000007</v>
      </c>
      <c r="Y38" s="223">
        <f t="shared" si="4"/>
        <v>1.0379090750620468</v>
      </c>
      <c r="Z38">
        <f>IFERROR(INDEX([1]Rainfall_Wet!$O$2:$O$217,MATCH(C38, [1]Rainfall_Wet!$A$2:$A$217,0)),"")</f>
        <v>228.324359195</v>
      </c>
      <c r="AA38" s="226">
        <v>23.96</v>
      </c>
      <c r="AB38" s="226">
        <v>0.91999999999999804</v>
      </c>
      <c r="AC38" s="226">
        <v>75.12</v>
      </c>
      <c r="AD38" s="227" t="s">
        <v>2651</v>
      </c>
      <c r="AE38" s="226">
        <v>1.2493839329719072</v>
      </c>
      <c r="AF38">
        <f>IF('WetLitterbags placem_collection'!AB39="","",'WetLitterbags placem_collection'!AB39)</f>
        <v>8.3000000000000007</v>
      </c>
      <c r="AG38">
        <f>IF('WetLitterbags placem_collection'!Z39="","",'WetLitterbags placem_collection'!Z39)</f>
        <v>27.8</v>
      </c>
      <c r="AH38" s="236" t="str">
        <f>IF('WetLitterbags placem_collection'!AA39="","",'WetLitterbags placem_collection'!AA39)</f>
        <v>G</v>
      </c>
      <c r="AI38">
        <f>IF('WetLitterbags placem_collection'!AC39="","",'WetLitterbags placem_collection'!AC39)</f>
        <v>0</v>
      </c>
      <c r="AJ38" s="233">
        <f>AVERAGE('WetLitterbags placem_collection'!S39,'WetLitterbags placem_collection'!U39)</f>
        <v>19.299999999999997</v>
      </c>
      <c r="AK38">
        <f>AVERAGE('WetLitterbags placem_collection'!R39,'WetLitterbags placem_collection'!T39)</f>
        <v>24.55</v>
      </c>
      <c r="AL38">
        <f>INDEX([2]Coordinates!$B$2:$B$197,MATCH(I38,[2]Coordinates!$J$2:$J$197,0))</f>
        <v>-3.4090709779999999</v>
      </c>
      <c r="AM38">
        <f>INDEX([2]Coordinates!$C$2:$C$197,MATCH(I38,[2]Coordinates!$J$2:$J$197,0))</f>
        <v>34.852712029999999</v>
      </c>
      <c r="AN38" t="str">
        <f>IF(ISNUMBER(SEARCH("C", 'WetLitterbags placem_collection'!$V39)),"YES","NO")</f>
        <v>YES</v>
      </c>
      <c r="AO38" t="str">
        <f>IF(ISNUMBER(SEARCH("H", 'WetLitterbags placem_collection'!$V39)),"YES","NO")</f>
        <v>YES</v>
      </c>
      <c r="AP38" t="str">
        <f>IF(ISNUMBER(SEARCH("R", 'WetLitterbags placem_collection'!$V39)),"YES","NO")</f>
        <v>NO</v>
      </c>
    </row>
    <row r="39" spans="1:42">
      <c r="A39" t="s">
        <v>3248</v>
      </c>
      <c r="B39" s="248" t="s">
        <v>2454</v>
      </c>
      <c r="C39" s="253">
        <f>'Dry_Litterbag Placem_Collection'!A40</f>
        <v>38</v>
      </c>
      <c r="D39" s="253" t="str">
        <f>'Dry_Litterbag Placem_Collection'!B40</f>
        <v>Makao</v>
      </c>
      <c r="E39" s="253" t="s">
        <v>2643</v>
      </c>
      <c r="F39" s="253" t="s">
        <v>20</v>
      </c>
      <c r="G39" s="253">
        <v>1</v>
      </c>
      <c r="H39" s="253" t="s">
        <v>3106</v>
      </c>
      <c r="I39" s="254" t="str">
        <f>'Dry_Litterbag Placem_Collection'!C40</f>
        <v>Dry_P1_T6</v>
      </c>
      <c r="J39" s="255" t="s">
        <v>2525</v>
      </c>
      <c r="K39" s="256" t="s">
        <v>1147</v>
      </c>
      <c r="L39" s="221" t="str">
        <f>'WetLitterbags placem_collection'!K40</f>
        <v>G499</v>
      </c>
      <c r="M39" s="223">
        <f>IFERROR(INDEX('Green_rooibos initial weight'!$C$5:$C$2000,MATCH(L39, 'Green_rooibos initial weight'!$A$5:$A$2000,0)),"")</f>
        <v>1.9419999999999999</v>
      </c>
      <c r="N39" s="223">
        <f>IFERROR(M39-(TBIcalc!$H$9+TBIcalc!$H$10),"")</f>
        <v>1.6921999999999999</v>
      </c>
      <c r="O39" s="378">
        <f>AVERAGE(Ashed_controlls!$K$2:$K$11)</f>
        <v>5.5147656768714146</v>
      </c>
      <c r="P39" s="223">
        <f t="shared" si="1"/>
        <v>1.5988791352159819</v>
      </c>
      <c r="Q39" s="223">
        <f>IFERROR(INDEX('Both teabags AfterWet'!$C$3:$C$840,MATCH(L39,'Both teabags AfterWet'!$A$3:$A$840,0)),"")</f>
        <v>1.4741</v>
      </c>
      <c r="R39" s="223">
        <f>IFERROR(IF(Q39&gt;0,Q39-(TBIcalc!$H$9),""),"")</f>
        <v>1.3234999999999999</v>
      </c>
      <c r="S39" s="223">
        <f>IFERROR(INDEX('Ashed teabags wet'!$K$2:$K$2000,MATCH(L39,'Ashed teabags wet'!$A$2:$A$2000,0)),"")</f>
        <v>18.802992518703331</v>
      </c>
      <c r="T39" s="223">
        <f t="shared" si="2"/>
        <v>1.0746423940149614</v>
      </c>
      <c r="U39" s="224">
        <f>'WetLitterbags placem_collection'!E40</f>
        <v>42765</v>
      </c>
      <c r="V39" s="224">
        <f>IF('WetLitterbags placem_collection'!G40="","",'WetLitterbags placem_collection'!G40)</f>
        <v>42820</v>
      </c>
      <c r="W39" s="225">
        <f t="shared" si="0"/>
        <v>55</v>
      </c>
      <c r="X39" s="223">
        <f t="shared" si="3"/>
        <v>0.36870000000000003</v>
      </c>
      <c r="Y39" s="223">
        <f t="shared" si="4"/>
        <v>0.52423674120102048</v>
      </c>
      <c r="Z39">
        <f>IFERROR(INDEX([1]Rainfall_Wet!$O$2:$O$217,MATCH(C39, [1]Rainfall_Wet!$A$2:$A$217,0)),"")</f>
        <v>228.324359195</v>
      </c>
      <c r="AA39" s="226">
        <v>23.96</v>
      </c>
      <c r="AB39" s="226">
        <v>0.91999999999999804</v>
      </c>
      <c r="AC39" s="226">
        <v>75.12</v>
      </c>
      <c r="AD39" s="227" t="s">
        <v>2651</v>
      </c>
      <c r="AE39" s="226">
        <v>1.2493839329719072</v>
      </c>
      <c r="AF39">
        <f>IF('WetLitterbags placem_collection'!AB40="","",'WetLitterbags placem_collection'!AB40)</f>
        <v>2</v>
      </c>
      <c r="AG39">
        <f>IF('WetLitterbags placem_collection'!Z40="","",'WetLitterbags placem_collection'!Z40)</f>
        <v>20.399999999999999</v>
      </c>
      <c r="AH39" s="236" t="str">
        <f>IF('WetLitterbags placem_collection'!AA40="","",'WetLitterbags placem_collection'!AA40)</f>
        <v>O</v>
      </c>
      <c r="AI39">
        <f>IF('WetLitterbags placem_collection'!AC40="","",'WetLitterbags placem_collection'!AC40)</f>
        <v>0</v>
      </c>
      <c r="AJ39" s="233">
        <f>AVERAGE('WetLitterbags placem_collection'!S40,'WetLitterbags placem_collection'!U40)</f>
        <v>20.9</v>
      </c>
      <c r="AK39">
        <f>AVERAGE('WetLitterbags placem_collection'!R40,'WetLitterbags placem_collection'!T40)</f>
        <v>24.1</v>
      </c>
      <c r="AL39">
        <f>INDEX([2]Coordinates!$B$2:$B$197,MATCH(I39,[2]Coordinates!$J$2:$J$197,0))</f>
        <v>-3.409280023</v>
      </c>
      <c r="AM39">
        <f>INDEX([2]Coordinates!$C$2:$C$197,MATCH(I39,[2]Coordinates!$J$2:$J$197,0))</f>
        <v>34.852612960000002</v>
      </c>
      <c r="AN39" t="str">
        <f>IF(ISNUMBER(SEARCH("C", 'WetLitterbags placem_collection'!$V40)),"YES","NO")</f>
        <v>YES</v>
      </c>
      <c r="AO39" t="str">
        <f>IF(ISNUMBER(SEARCH("H", 'WetLitterbags placem_collection'!$V40)),"YES","NO")</f>
        <v>YES</v>
      </c>
      <c r="AP39" t="str">
        <f>IF(ISNUMBER(SEARCH("R", 'WetLitterbags placem_collection'!$V40)),"YES","NO")</f>
        <v>YES</v>
      </c>
    </row>
    <row r="40" spans="1:42">
      <c r="A40" t="s">
        <v>3248</v>
      </c>
      <c r="B40" s="248" t="s">
        <v>2454</v>
      </c>
      <c r="C40" s="253">
        <f>'Dry_Litterbag Placem_Collection'!A41</f>
        <v>39</v>
      </c>
      <c r="D40" s="253" t="str">
        <f>'Dry_Litterbag Placem_Collection'!B41</f>
        <v>Makao</v>
      </c>
      <c r="E40" s="253" t="s">
        <v>2643</v>
      </c>
      <c r="F40" s="253" t="s">
        <v>20</v>
      </c>
      <c r="G40" s="253">
        <v>1</v>
      </c>
      <c r="H40" s="253" t="s">
        <v>3106</v>
      </c>
      <c r="I40" s="254" t="str">
        <f>'Dry_Litterbag Placem_Collection'!C41</f>
        <v>Dry_P1_T7</v>
      </c>
      <c r="J40" s="255" t="s">
        <v>2525</v>
      </c>
      <c r="K40" s="256" t="s">
        <v>1147</v>
      </c>
      <c r="L40" s="221" t="str">
        <f>'WetLitterbags placem_collection'!K41</f>
        <v>G214</v>
      </c>
      <c r="M40" s="223">
        <f>IFERROR(INDEX('Green_rooibos initial weight'!$C$5:$C$2000,MATCH(L40, 'Green_rooibos initial weight'!$A$5:$A$2000,0)),"")</f>
        <v>1.9850000000000001</v>
      </c>
      <c r="N40" s="223">
        <f>IFERROR(M40-(TBIcalc!$H$9+TBIcalc!$H$10),"")</f>
        <v>1.7352000000000001</v>
      </c>
      <c r="O40" s="378">
        <f>AVERAGE(Ashed_controlls!$K$2:$K$11)</f>
        <v>5.5147656768714146</v>
      </c>
      <c r="P40" s="223">
        <f t="shared" si="1"/>
        <v>1.6395077859749272</v>
      </c>
      <c r="Q40" s="223">
        <f>IFERROR(INDEX('Both teabags AfterWet'!$C$3:$C$840,MATCH(L40,'Both teabags AfterWet'!$A$3:$A$840,0)),"")</f>
        <v>0.8327</v>
      </c>
      <c r="R40" s="223">
        <f>IFERROR(IF(Q40&gt;0,Q40-(TBIcalc!$H$9),""),"")</f>
        <v>0.68209999999999993</v>
      </c>
      <c r="S40" s="223">
        <f>IFERROR(INDEX('Ashed teabags wet'!$K$2:$K$2000,MATCH(L40,'Ashed teabags wet'!$A$2:$A$2000,0)),"")</f>
        <v>9.9461048505627083</v>
      </c>
      <c r="T40" s="223">
        <f t="shared" si="2"/>
        <v>0.61425761881431173</v>
      </c>
      <c r="U40" s="224">
        <f>'WetLitterbags placem_collection'!E41</f>
        <v>42765</v>
      </c>
      <c r="V40" s="224">
        <f>IF('WetLitterbags placem_collection'!G41="","",'WetLitterbags placem_collection'!G41)</f>
        <v>42820</v>
      </c>
      <c r="W40" s="225">
        <f t="shared" si="0"/>
        <v>55</v>
      </c>
      <c r="X40" s="223">
        <f t="shared" si="3"/>
        <v>1.0531000000000001</v>
      </c>
      <c r="Y40" s="223">
        <f t="shared" si="4"/>
        <v>1.0252501671606153</v>
      </c>
      <c r="Z40">
        <f>IFERROR(INDEX([1]Rainfall_Wet!$O$2:$O$217,MATCH(C40, [1]Rainfall_Wet!$A$2:$A$217,0)),"")</f>
        <v>228.324359195</v>
      </c>
      <c r="AA40" s="226">
        <v>23.96</v>
      </c>
      <c r="AB40" s="226">
        <v>0.91999999999999804</v>
      </c>
      <c r="AC40" s="226">
        <v>75.12</v>
      </c>
      <c r="AD40" s="227" t="s">
        <v>2651</v>
      </c>
      <c r="AE40" s="226">
        <v>1.2493839329719072</v>
      </c>
      <c r="AF40">
        <f>IF('WetLitterbags placem_collection'!AB41="","",'WetLitterbags placem_collection'!AB41)</f>
        <v>2.4</v>
      </c>
      <c r="AG40">
        <f>IF('WetLitterbags placem_collection'!Z41="","",'WetLitterbags placem_collection'!Z41)</f>
        <v>18</v>
      </c>
      <c r="AH40" s="236" t="str">
        <f>IF('WetLitterbags placem_collection'!AA41="","",'WetLitterbags placem_collection'!AA41)</f>
        <v>G</v>
      </c>
      <c r="AI40">
        <f>IF('WetLitterbags placem_collection'!AC41="","",'WetLitterbags placem_collection'!AC41)</f>
        <v>1</v>
      </c>
      <c r="AJ40" s="233">
        <f>AVERAGE('WetLitterbags placem_collection'!S41,'WetLitterbags placem_collection'!U41)</f>
        <v>26.9</v>
      </c>
      <c r="AK40">
        <f>AVERAGE('WetLitterbags placem_collection'!R41,'WetLitterbags placem_collection'!T41)</f>
        <v>23.299999999999997</v>
      </c>
      <c r="AL40">
        <f>INDEX([2]Coordinates!$B$2:$B$197,MATCH(I40,[2]Coordinates!$J$2:$J$197,0))</f>
        <v>-3.4093859700000002</v>
      </c>
      <c r="AM40">
        <f>INDEX([2]Coordinates!$C$2:$C$197,MATCH(I40,[2]Coordinates!$J$2:$J$197,0))</f>
        <v>34.852855030000001</v>
      </c>
      <c r="AN40" t="str">
        <f>IF(ISNUMBER(SEARCH("C", 'WetLitterbags placem_collection'!$V41)),"YES","NO")</f>
        <v>NO</v>
      </c>
      <c r="AO40" t="str">
        <f>IF(ISNUMBER(SEARCH("H", 'WetLitterbags placem_collection'!$V41)),"YES","NO")</f>
        <v>NO</v>
      </c>
      <c r="AP40" t="str">
        <f>IF(ISNUMBER(SEARCH("R", 'WetLitterbags placem_collection'!$V41)),"YES","NO")</f>
        <v>YES</v>
      </c>
    </row>
    <row r="41" spans="1:42">
      <c r="A41" t="s">
        <v>3248</v>
      </c>
      <c r="B41" s="248" t="s">
        <v>2454</v>
      </c>
      <c r="C41" s="253">
        <f>'Dry_Litterbag Placem_Collection'!A42</f>
        <v>40</v>
      </c>
      <c r="D41" s="253" t="str">
        <f>'Dry_Litterbag Placem_Collection'!B42</f>
        <v>Makao</v>
      </c>
      <c r="E41" s="253" t="s">
        <v>2643</v>
      </c>
      <c r="F41" s="253" t="s">
        <v>20</v>
      </c>
      <c r="G41" s="253">
        <v>1</v>
      </c>
      <c r="H41" s="253" t="s">
        <v>3106</v>
      </c>
      <c r="I41" s="254" t="str">
        <f>'Dry_Litterbag Placem_Collection'!C42</f>
        <v>Dry_P1_T8</v>
      </c>
      <c r="J41" s="255" t="s">
        <v>2525</v>
      </c>
      <c r="K41" s="256" t="s">
        <v>1147</v>
      </c>
      <c r="L41" s="221" t="str">
        <f>'WetLitterbags placem_collection'!K42</f>
        <v>G582</v>
      </c>
      <c r="M41" s="223">
        <f>IFERROR(INDEX('Green_rooibos initial weight'!$C$5:$C$2000,MATCH(L41, 'Green_rooibos initial weight'!$A$5:$A$2000,0)),"")</f>
        <v>2.0219999999999998</v>
      </c>
      <c r="N41" s="223">
        <f>IFERROR(M41-(TBIcalc!$H$9+TBIcalc!$H$10),"")</f>
        <v>1.7721999999999998</v>
      </c>
      <c r="O41" s="378">
        <f>AVERAGE(Ashed_controlls!$K$2:$K$11)</f>
        <v>5.5147656768714146</v>
      </c>
      <c r="P41" s="223">
        <f t="shared" si="1"/>
        <v>1.6744673226744846</v>
      </c>
      <c r="Q41" s="223">
        <f>IFERROR(INDEX('Both teabags AfterWet'!$C$3:$C$840,MATCH(L41,'Both teabags AfterWet'!$A$3:$A$840,0)),"")</f>
        <v>0.89800000000000002</v>
      </c>
      <c r="R41" s="223">
        <f>IFERROR(IF(Q41&gt;0,Q41-(TBIcalc!$H$9),""),"")</f>
        <v>0.74740000000000006</v>
      </c>
      <c r="S41" s="223">
        <f>IFERROR(INDEX('Ashed teabags wet'!$K$2:$K$2000,MATCH(L41,'Ashed teabags wet'!$A$2:$A$2000,0)),"")</f>
        <v>16.507777220271233</v>
      </c>
      <c r="T41" s="223">
        <f t="shared" si="2"/>
        <v>0.62402087305569287</v>
      </c>
      <c r="U41" s="224">
        <f>'WetLitterbags placem_collection'!E42</f>
        <v>42765</v>
      </c>
      <c r="V41" s="224">
        <f>IF('WetLitterbags placem_collection'!G42="","",'WetLitterbags placem_collection'!G42)</f>
        <v>42820</v>
      </c>
      <c r="W41" s="225">
        <f t="shared" si="0"/>
        <v>55</v>
      </c>
      <c r="X41" s="223">
        <f t="shared" si="3"/>
        <v>1.0247999999999997</v>
      </c>
      <c r="Y41" s="223">
        <f t="shared" si="4"/>
        <v>1.0504464496187917</v>
      </c>
      <c r="Z41">
        <f>IFERROR(INDEX([1]Rainfall_Wet!$O$2:$O$217,MATCH(C41, [1]Rainfall_Wet!$A$2:$A$217,0)),"")</f>
        <v>228.324359195</v>
      </c>
      <c r="AA41" s="226">
        <v>23.96</v>
      </c>
      <c r="AB41" s="226">
        <v>0.91999999999999804</v>
      </c>
      <c r="AC41" s="226">
        <v>75.12</v>
      </c>
      <c r="AD41" s="227" t="s">
        <v>2651</v>
      </c>
      <c r="AE41" s="226">
        <v>1.2493839329719072</v>
      </c>
      <c r="AF41">
        <f>IF('WetLitterbags placem_collection'!AB42="","",'WetLitterbags placem_collection'!AB42)</f>
        <v>8.6999999999999993</v>
      </c>
      <c r="AG41">
        <f>IF('WetLitterbags placem_collection'!Z42="","",'WetLitterbags placem_collection'!Z42)</f>
        <v>19.3</v>
      </c>
      <c r="AH41" s="236" t="str">
        <f>IF('WetLitterbags placem_collection'!AA42="","",'WetLitterbags placem_collection'!AA42)</f>
        <v>G</v>
      </c>
      <c r="AI41">
        <f>IF('WetLitterbags placem_collection'!AC42="","",'WetLitterbags placem_collection'!AC42)</f>
        <v>0</v>
      </c>
      <c r="AJ41" s="233">
        <f>AVERAGE('WetLitterbags placem_collection'!S42,'WetLitterbags placem_collection'!U42)</f>
        <v>31.9</v>
      </c>
      <c r="AK41">
        <f>AVERAGE('WetLitterbags placem_collection'!R42,'WetLitterbags placem_collection'!T42)</f>
        <v>23.9</v>
      </c>
      <c r="AL41">
        <f>INDEX([2]Coordinates!$B$2:$B$197,MATCH(I41,[2]Coordinates!$J$2:$J$197,0))</f>
        <v>-3.4091539590000002</v>
      </c>
      <c r="AM41">
        <f>INDEX([2]Coordinates!$C$2:$C$197,MATCH(I41,[2]Coordinates!$J$2:$J$197,0))</f>
        <v>34.852755029999997</v>
      </c>
      <c r="AN41" t="str">
        <f>IF(ISNUMBER(SEARCH("C", 'WetLitterbags placem_collection'!$V42)),"YES","NO")</f>
        <v>NO</v>
      </c>
      <c r="AO41" t="str">
        <f>IF(ISNUMBER(SEARCH("H", 'WetLitterbags placem_collection'!$V42)),"YES","NO")</f>
        <v>YES</v>
      </c>
      <c r="AP41" t="str">
        <f>IF(ISNUMBER(SEARCH("R", 'WetLitterbags placem_collection'!$V42)),"YES","NO")</f>
        <v>NO</v>
      </c>
    </row>
    <row r="42" spans="1:42">
      <c r="A42" t="s">
        <v>3248</v>
      </c>
      <c r="B42" s="248" t="s">
        <v>2454</v>
      </c>
      <c r="C42" s="253">
        <f>'Dry_Litterbag Placem_Collection'!A43</f>
        <v>41</v>
      </c>
      <c r="D42" s="253" t="str">
        <f>'Dry_Litterbag Placem_Collection'!B43</f>
        <v>Makao</v>
      </c>
      <c r="E42" s="253" t="s">
        <v>2643</v>
      </c>
      <c r="F42" s="253" t="s">
        <v>20</v>
      </c>
      <c r="G42" s="253">
        <v>2</v>
      </c>
      <c r="H42" s="253" t="s">
        <v>3108</v>
      </c>
      <c r="I42" s="254" t="str">
        <f>'Dry_Litterbag Placem_Collection'!C43</f>
        <v>Dry_P2_T1</v>
      </c>
      <c r="J42" s="255" t="s">
        <v>2525</v>
      </c>
      <c r="K42" s="256" t="s">
        <v>1147</v>
      </c>
      <c r="L42" s="221" t="str">
        <f>'WetLitterbags placem_collection'!K43</f>
        <v>G453</v>
      </c>
      <c r="M42" s="223">
        <f>IFERROR(INDEX('Green_rooibos initial weight'!$C$5:$C$2000,MATCH(L42, 'Green_rooibos initial weight'!$A$5:$A$2000,0)),"")</f>
        <v>2.0790000000000002</v>
      </c>
      <c r="N42" s="223">
        <f>IFERROR(M42-(TBIcalc!$H$9+TBIcalc!$H$10),"")</f>
        <v>1.8292000000000002</v>
      </c>
      <c r="O42" s="378">
        <f>AVERAGE(Ashed_controlls!$K$2:$K$11)</f>
        <v>5.5147656768714146</v>
      </c>
      <c r="P42" s="223">
        <f t="shared" si="1"/>
        <v>1.7283239062386682</v>
      </c>
      <c r="Q42" s="223">
        <f>IFERROR(INDEX('Both teabags AfterWet'!$C$3:$C$840,MATCH(L42,'Both teabags AfterWet'!$A$3:$A$840,0)),"")</f>
        <v>1.0509999999999999</v>
      </c>
      <c r="R42" s="223">
        <f>IFERROR(IF(Q42&gt;0,Q42-(TBIcalc!$H$9),""),"")</f>
        <v>0.90039999999999987</v>
      </c>
      <c r="S42" s="223">
        <f>IFERROR(INDEX('Ashed teabags wet'!$K$2:$K$2000,MATCH(L42,'Ashed teabags wet'!$A$2:$A$2000,0)),"")</f>
        <v>20.029673590504579</v>
      </c>
      <c r="T42" s="223">
        <f t="shared" si="2"/>
        <v>0.72005281899109663</v>
      </c>
      <c r="U42" s="224">
        <f>'WetLitterbags placem_collection'!E43</f>
        <v>42766</v>
      </c>
      <c r="V42" s="224">
        <f>IF('WetLitterbags placem_collection'!G43="","",'WetLitterbags placem_collection'!G43)</f>
        <v>42820</v>
      </c>
      <c r="W42" s="225">
        <f t="shared" si="0"/>
        <v>54</v>
      </c>
      <c r="X42" s="223">
        <f t="shared" si="3"/>
        <v>0.92880000000000029</v>
      </c>
      <c r="Y42" s="223">
        <f t="shared" si="4"/>
        <v>1.0082710872475715</v>
      </c>
      <c r="Z42">
        <f>IFERROR(INDEX([1]Rainfall_Wet!$O$2:$O$217,MATCH(C42, [1]Rainfall_Wet!$A$2:$A$217,0)),"")</f>
        <v>214.262898705</v>
      </c>
      <c r="AA42" s="226">
        <v>19.96</v>
      </c>
      <c r="AB42" s="226">
        <v>4.9199999999999982</v>
      </c>
      <c r="AC42" s="226">
        <v>75.12</v>
      </c>
      <c r="AD42" s="227" t="s">
        <v>2652</v>
      </c>
      <c r="AE42" s="226">
        <v>1.641498275012321</v>
      </c>
      <c r="AF42">
        <f>IF('WetLitterbags placem_collection'!AB43="","",'WetLitterbags placem_collection'!AB43)</f>
        <v>4</v>
      </c>
      <c r="AG42">
        <f>IF('WetLitterbags placem_collection'!Z43="","",'WetLitterbags placem_collection'!Z43)</f>
        <v>19.100000000000001</v>
      </c>
      <c r="AH42" s="236" t="str">
        <f>IF('WetLitterbags placem_collection'!AA43="","",'WetLitterbags placem_collection'!AA43)</f>
        <v>G</v>
      </c>
      <c r="AI42">
        <f>IF('WetLitterbags placem_collection'!AC43="","",'WetLitterbags placem_collection'!AC43)</f>
        <v>0</v>
      </c>
      <c r="AJ42" s="233">
        <f>AVERAGE('WetLitterbags placem_collection'!S43,'WetLitterbags placem_collection'!U43)</f>
        <v>21.9</v>
      </c>
      <c r="AK42">
        <f>AVERAGE('WetLitterbags placem_collection'!R43,'WetLitterbags placem_collection'!T43)</f>
        <v>24.5</v>
      </c>
      <c r="AL42">
        <f>INDEX([2]Coordinates!$B$2:$B$197,MATCH(I42,[2]Coordinates!$J$2:$J$197,0))</f>
        <v>-3.4083420040000001</v>
      </c>
      <c r="AM42">
        <f>INDEX([2]Coordinates!$C$2:$C$197,MATCH(I42,[2]Coordinates!$J$2:$J$197,0))</f>
        <v>34.850283040000001</v>
      </c>
      <c r="AN42" t="str">
        <f>IF(ISNUMBER(SEARCH("C", 'WetLitterbags placem_collection'!$V43)),"YES","NO")</f>
        <v>NO</v>
      </c>
      <c r="AO42" t="str">
        <f>IF(ISNUMBER(SEARCH("H", 'WetLitterbags placem_collection'!$V43)),"YES","NO")</f>
        <v>YES</v>
      </c>
      <c r="AP42" t="str">
        <f>IF(ISNUMBER(SEARCH("R", 'WetLitterbags placem_collection'!$V43)),"YES","NO")</f>
        <v>YES</v>
      </c>
    </row>
    <row r="43" spans="1:42">
      <c r="A43" t="s">
        <v>3248</v>
      </c>
      <c r="B43" s="248" t="s">
        <v>2454</v>
      </c>
      <c r="C43" s="253">
        <f>'Dry_Litterbag Placem_Collection'!A44</f>
        <v>42</v>
      </c>
      <c r="D43" s="253" t="str">
        <f>'Dry_Litterbag Placem_Collection'!B44</f>
        <v>Makao</v>
      </c>
      <c r="E43" s="253" t="s">
        <v>2643</v>
      </c>
      <c r="F43" s="253" t="s">
        <v>20</v>
      </c>
      <c r="G43" s="253">
        <v>2</v>
      </c>
      <c r="H43" s="253" t="s">
        <v>3108</v>
      </c>
      <c r="I43" s="254" t="str">
        <f>'Dry_Litterbag Placem_Collection'!C44</f>
        <v>Dry_P2_T2</v>
      </c>
      <c r="J43" s="255" t="s">
        <v>2525</v>
      </c>
      <c r="K43" s="256" t="s">
        <v>1147</v>
      </c>
      <c r="L43" s="221" t="str">
        <f>'WetLitterbags placem_collection'!K44</f>
        <v>G764</v>
      </c>
      <c r="M43" s="223">
        <f>IFERROR(INDEX('Green_rooibos initial weight'!$C$5:$C$2000,MATCH(L43, 'Green_rooibos initial weight'!$A$5:$A$2000,0)),"")</f>
        <v>1.9510000000000001</v>
      </c>
      <c r="N43" s="223">
        <f>IFERROR(M43-(TBIcalc!$H$9+TBIcalc!$H$10),"")</f>
        <v>1.7012</v>
      </c>
      <c r="O43" s="378">
        <f>AVERAGE(Ashed_controlls!$K$2:$K$11)</f>
        <v>5.5147656768714146</v>
      </c>
      <c r="P43" s="223">
        <f t="shared" si="1"/>
        <v>1.6073828063050635</v>
      </c>
      <c r="Q43" s="223">
        <f>IFERROR(INDEX('Both teabags AfterWet'!$C$3:$C$840,MATCH(L43,'Both teabags AfterWet'!$A$3:$A$840,0)),"")</f>
        <v>0.72199999999999998</v>
      </c>
      <c r="R43" s="223">
        <f>IFERROR(IF(Q43&gt;0,Q43-(TBIcalc!$H$9),""),"")</f>
        <v>0.57139999999999991</v>
      </c>
      <c r="S43" s="223">
        <f>IFERROR(INDEX('Ashed teabags wet'!$K$2:$K$2000,MATCH(L43,'Ashed teabags wet'!$A$2:$A$2000,0)),"")</f>
        <v>14.236790606653615</v>
      </c>
      <c r="T43" s="223">
        <f t="shared" si="2"/>
        <v>0.49005097847358114</v>
      </c>
      <c r="U43" s="224">
        <f>'WetLitterbags placem_collection'!E44</f>
        <v>42766</v>
      </c>
      <c r="V43" s="224">
        <f>IF('WetLitterbags placem_collection'!G44="","",'WetLitterbags placem_collection'!G44)</f>
        <v>42820</v>
      </c>
      <c r="W43" s="225">
        <f t="shared" si="0"/>
        <v>54</v>
      </c>
      <c r="X43" s="223">
        <f t="shared" si="3"/>
        <v>1.1298000000000001</v>
      </c>
      <c r="Y43" s="223">
        <f t="shared" si="4"/>
        <v>1.1173318278314823</v>
      </c>
      <c r="Z43">
        <f>IFERROR(INDEX([1]Rainfall_Wet!$O$2:$O$217,MATCH(C43, [1]Rainfall_Wet!$A$2:$A$217,0)),"")</f>
        <v>214.262898705</v>
      </c>
      <c r="AA43" s="226">
        <v>19.96</v>
      </c>
      <c r="AB43" s="226">
        <v>4.9199999999999982</v>
      </c>
      <c r="AC43" s="226">
        <v>75.12</v>
      </c>
      <c r="AD43" s="227" t="s">
        <v>2652</v>
      </c>
      <c r="AE43" s="226">
        <v>1.641498275012321</v>
      </c>
      <c r="AF43">
        <f>IF('WetLitterbags placem_collection'!AB44="","",'WetLitterbags placem_collection'!AB44)</f>
        <v>5.9</v>
      </c>
      <c r="AG43">
        <f>IF('WetLitterbags placem_collection'!Z44="","",'WetLitterbags placem_collection'!Z44)</f>
        <v>12.7</v>
      </c>
      <c r="AH43" s="236" t="str">
        <f>IF('WetLitterbags placem_collection'!AA44="","",'WetLitterbags placem_collection'!AA44)</f>
        <v>G</v>
      </c>
      <c r="AI43">
        <f>IF('WetLitterbags placem_collection'!AC44="","",'WetLitterbags placem_collection'!AC44)</f>
        <v>0</v>
      </c>
      <c r="AJ43" s="233">
        <f>AVERAGE('WetLitterbags placem_collection'!S44,'WetLitterbags placem_collection'!U44)</f>
        <v>19</v>
      </c>
      <c r="AK43">
        <f>AVERAGE('WetLitterbags placem_collection'!R44,'WetLitterbags placem_collection'!T44)</f>
        <v>22.950000000000003</v>
      </c>
      <c r="AL43">
        <f>INDEX([2]Coordinates!$B$2:$B$197,MATCH(I43,[2]Coordinates!$J$2:$J$197,0))</f>
        <v>-3.4084079690000002</v>
      </c>
      <c r="AM43">
        <f>INDEX([2]Coordinates!$C$2:$C$197,MATCH(I43,[2]Coordinates!$J$2:$J$197,0))</f>
        <v>34.850295029999998</v>
      </c>
      <c r="AN43" t="str">
        <f>IF(ISNUMBER(SEARCH("C", 'WetLitterbags placem_collection'!$V44)),"YES","NO")</f>
        <v>NO</v>
      </c>
      <c r="AO43" t="str">
        <f>IF(ISNUMBER(SEARCH("H", 'WetLitterbags placem_collection'!$V44)),"YES","NO")</f>
        <v>YES</v>
      </c>
      <c r="AP43" t="str">
        <f>IF(ISNUMBER(SEARCH("R", 'WetLitterbags placem_collection'!$V44)),"YES","NO")</f>
        <v>NO</v>
      </c>
    </row>
    <row r="44" spans="1:42">
      <c r="A44" t="s">
        <v>3248</v>
      </c>
      <c r="B44" s="248" t="s">
        <v>2454</v>
      </c>
      <c r="C44" s="253">
        <f>'Dry_Litterbag Placem_Collection'!A45</f>
        <v>43</v>
      </c>
      <c r="D44" s="253" t="str">
        <f>'Dry_Litterbag Placem_Collection'!B45</f>
        <v>Makao</v>
      </c>
      <c r="E44" s="253" t="s">
        <v>2643</v>
      </c>
      <c r="F44" s="253" t="s">
        <v>20</v>
      </c>
      <c r="G44" s="253">
        <v>2</v>
      </c>
      <c r="H44" s="253" t="s">
        <v>3108</v>
      </c>
      <c r="I44" s="254" t="str">
        <f>'Dry_Litterbag Placem_Collection'!C45</f>
        <v>Dry_P2_T3</v>
      </c>
      <c r="J44" s="255" t="s">
        <v>2525</v>
      </c>
      <c r="K44" s="256" t="s">
        <v>1147</v>
      </c>
      <c r="L44" s="221" t="str">
        <f>'WetLitterbags placem_collection'!K45</f>
        <v>G690</v>
      </c>
      <c r="M44" s="223">
        <f>IFERROR(INDEX('Green_rooibos initial weight'!$C$5:$C$2000,MATCH(L44, 'Green_rooibos initial weight'!$A$5:$A$2000,0)),"")</f>
        <v>2.0739999999999998</v>
      </c>
      <c r="N44" s="223">
        <f>IFERROR(M44-(TBIcalc!$H$9+TBIcalc!$H$10),"")</f>
        <v>1.8241999999999998</v>
      </c>
      <c r="O44" s="378">
        <f>AVERAGE(Ashed_controlls!$K$2:$K$11)</f>
        <v>5.5147656768714146</v>
      </c>
      <c r="P44" s="223">
        <f t="shared" si="1"/>
        <v>1.7235996445225115</v>
      </c>
      <c r="Q44" s="223">
        <f>IFERROR(INDEX('Both teabags AfterWet'!$C$3:$C$840,MATCH(L44,'Both teabags AfterWet'!$A$3:$A$840,0)),"")</f>
        <v>0.71519999999999995</v>
      </c>
      <c r="R44" s="223">
        <f>IFERROR(IF(Q44&gt;0,Q44-(TBIcalc!$H$9),""),"")</f>
        <v>0.56459999999999999</v>
      </c>
      <c r="S44" s="223">
        <f>IFERROR(INDEX('Ashed teabags wet'!$K$2:$K$2000,MATCH(L44,'Ashed teabags wet'!$A$2:$A$2000,0)),"")</f>
        <v>10.60532687651348</v>
      </c>
      <c r="T44" s="223">
        <f t="shared" si="2"/>
        <v>0.50472232445520493</v>
      </c>
      <c r="U44" s="224">
        <f>'WetLitterbags placem_collection'!E45</f>
        <v>42766</v>
      </c>
      <c r="V44" s="224">
        <f>IF('WetLitterbags placem_collection'!G45="","",'WetLitterbags placem_collection'!G45)</f>
        <v>42820</v>
      </c>
      <c r="W44" s="225">
        <f t="shared" si="0"/>
        <v>54</v>
      </c>
      <c r="X44" s="223">
        <f t="shared" si="3"/>
        <v>1.2595999999999998</v>
      </c>
      <c r="Y44" s="223">
        <f t="shared" si="4"/>
        <v>1.2188773200673064</v>
      </c>
      <c r="Z44">
        <f>IFERROR(INDEX([1]Rainfall_Wet!$O$2:$O$217,MATCH(C44, [1]Rainfall_Wet!$A$2:$A$217,0)),"")</f>
        <v>214.262898705</v>
      </c>
      <c r="AA44" s="226">
        <v>19.96</v>
      </c>
      <c r="AB44" s="226">
        <v>4.9199999999999982</v>
      </c>
      <c r="AC44" s="226">
        <v>75.12</v>
      </c>
      <c r="AD44" s="227" t="s">
        <v>2652</v>
      </c>
      <c r="AE44" s="226">
        <v>1.641498275012321</v>
      </c>
      <c r="AF44">
        <f>IF('WetLitterbags placem_collection'!AB45="","",'WetLitterbags placem_collection'!AB45)</f>
        <v>5</v>
      </c>
      <c r="AG44">
        <f>IF('WetLitterbags placem_collection'!Z45="","",'WetLitterbags placem_collection'!Z45)</f>
        <v>26.3</v>
      </c>
      <c r="AH44" s="236" t="str">
        <f>IF('WetLitterbags placem_collection'!AA45="","",'WetLitterbags placem_collection'!AA45)</f>
        <v>G</v>
      </c>
      <c r="AI44">
        <f>IF('WetLitterbags placem_collection'!AC45="","",'WetLitterbags placem_collection'!AC45)</f>
        <v>0</v>
      </c>
      <c r="AJ44" s="233">
        <f>AVERAGE('WetLitterbags placem_collection'!S45,'WetLitterbags placem_collection'!U45)</f>
        <v>18.3</v>
      </c>
      <c r="AK44">
        <f>AVERAGE('WetLitterbags placem_collection'!R45,'WetLitterbags placem_collection'!T45)</f>
        <v>21.799999999999997</v>
      </c>
      <c r="AL44">
        <f>INDEX([2]Coordinates!$B$2:$B$197,MATCH(I44,[2]Coordinates!$J$2:$J$197,0))</f>
        <v>-3.4082369789999998</v>
      </c>
      <c r="AM44">
        <f>INDEX([2]Coordinates!$C$2:$C$197,MATCH(I44,[2]Coordinates!$J$2:$J$197,0))</f>
        <v>34.850189999999998</v>
      </c>
      <c r="AN44" t="str">
        <f>IF(ISNUMBER(SEARCH("C", 'WetLitterbags placem_collection'!$V45)),"YES","NO")</f>
        <v>NO</v>
      </c>
      <c r="AO44" t="str">
        <f>IF(ISNUMBER(SEARCH("H", 'WetLitterbags placem_collection'!$V45)),"YES","NO")</f>
        <v>YES</v>
      </c>
      <c r="AP44" t="str">
        <f>IF(ISNUMBER(SEARCH("R", 'WetLitterbags placem_collection'!$V45)),"YES","NO")</f>
        <v>YES</v>
      </c>
    </row>
    <row r="45" spans="1:42">
      <c r="A45" t="s">
        <v>3248</v>
      </c>
      <c r="B45" s="248" t="s">
        <v>2454</v>
      </c>
      <c r="C45" s="253">
        <f>'Dry_Litterbag Placem_Collection'!A46</f>
        <v>44</v>
      </c>
      <c r="D45" s="253" t="str">
        <f>'Dry_Litterbag Placem_Collection'!B46</f>
        <v>Makao</v>
      </c>
      <c r="E45" s="253" t="s">
        <v>2643</v>
      </c>
      <c r="F45" s="253" t="s">
        <v>20</v>
      </c>
      <c r="G45" s="253">
        <v>2</v>
      </c>
      <c r="H45" s="253" t="s">
        <v>3108</v>
      </c>
      <c r="I45" s="254" t="str">
        <f>'Dry_Litterbag Placem_Collection'!C46</f>
        <v>Dry_P2_T4</v>
      </c>
      <c r="J45" s="255" t="s">
        <v>2525</v>
      </c>
      <c r="K45" s="256" t="s">
        <v>1147</v>
      </c>
      <c r="L45" s="221" t="str">
        <f>'WetLitterbags placem_collection'!K46</f>
        <v>G774</v>
      </c>
      <c r="M45" s="223">
        <f>IFERROR(INDEX('Green_rooibos initial weight'!$C$5:$C$2000,MATCH(L45, 'Green_rooibos initial weight'!$A$5:$A$2000,0)),"")</f>
        <v>2.0049999999999999</v>
      </c>
      <c r="N45" s="223">
        <f>IFERROR(M45-(TBIcalc!$H$9+TBIcalc!$H$10),"")</f>
        <v>1.7551999999999999</v>
      </c>
      <c r="O45" s="378">
        <f>AVERAGE(Ashed_controlls!$K$2:$K$11)</f>
        <v>5.5147656768714146</v>
      </c>
      <c r="P45" s="223">
        <f t="shared" si="1"/>
        <v>1.6584048328395529</v>
      </c>
      <c r="Q45" s="223">
        <f>IFERROR(INDEX('Both teabags AfterWet'!$C$3:$C$840,MATCH(L45,'Both teabags AfterWet'!$A$3:$A$840,0)),"")</f>
        <v>0.89559999999999995</v>
      </c>
      <c r="R45" s="223">
        <f>IFERROR(IF(Q45&gt;0,Q45-(TBIcalc!$H$9),""),"")</f>
        <v>0.74499999999999988</v>
      </c>
      <c r="S45" s="223">
        <f>IFERROR(INDEX('Ashed teabags wet'!$K$2:$K$2000,MATCH(L45,'Ashed teabags wet'!$A$2:$A$2000,0)),"")</f>
        <v>8.346293416277824</v>
      </c>
      <c r="T45" s="223">
        <f t="shared" si="2"/>
        <v>0.68282011404873011</v>
      </c>
      <c r="U45" s="224">
        <f>'WetLitterbags placem_collection'!E46</f>
        <v>42766</v>
      </c>
      <c r="V45" s="224">
        <f>IF('WetLitterbags placem_collection'!G46="","",'WetLitterbags placem_collection'!G46)</f>
        <v>42820</v>
      </c>
      <c r="W45" s="225">
        <f t="shared" si="0"/>
        <v>54</v>
      </c>
      <c r="X45" s="223">
        <f t="shared" si="3"/>
        <v>1.0102</v>
      </c>
      <c r="Y45" s="223">
        <f t="shared" si="4"/>
        <v>0.97558471879082276</v>
      </c>
      <c r="Z45">
        <f>IFERROR(INDEX([1]Rainfall_Wet!$O$2:$O$217,MATCH(C45, [1]Rainfall_Wet!$A$2:$A$217,0)),"")</f>
        <v>214.262898705</v>
      </c>
      <c r="AA45" s="226">
        <v>19.96</v>
      </c>
      <c r="AB45" s="226">
        <v>4.9199999999999982</v>
      </c>
      <c r="AC45" s="226">
        <v>75.12</v>
      </c>
      <c r="AD45" s="227" t="s">
        <v>2652</v>
      </c>
      <c r="AE45" s="226">
        <v>1.641498275012321</v>
      </c>
      <c r="AF45">
        <f>IF('WetLitterbags placem_collection'!AB46="","",'WetLitterbags placem_collection'!AB46)</f>
        <v>2.6</v>
      </c>
      <c r="AG45">
        <f>IF('WetLitterbags placem_collection'!Z46="","",'WetLitterbags placem_collection'!Z46)</f>
        <v>39.200000000000003</v>
      </c>
      <c r="AH45" s="236" t="str">
        <f>IF('WetLitterbags placem_collection'!AA46="","",'WetLitterbags placem_collection'!AA46)</f>
        <v>G</v>
      </c>
      <c r="AI45">
        <f>IF('WetLitterbags placem_collection'!AC46="","",'WetLitterbags placem_collection'!AC46)</f>
        <v>0</v>
      </c>
      <c r="AJ45" s="233">
        <f>AVERAGE('WetLitterbags placem_collection'!S46,'WetLitterbags placem_collection'!U46)</f>
        <v>20.6</v>
      </c>
      <c r="AK45">
        <f>AVERAGE('WetLitterbags placem_collection'!R46,'WetLitterbags placem_collection'!T46)</f>
        <v>22.65</v>
      </c>
      <c r="AL45">
        <f>INDEX([2]Coordinates!$B$2:$B$197,MATCH(I45,[2]Coordinates!$J$2:$J$197,0))</f>
        <v>-3.4081529920000002</v>
      </c>
      <c r="AM45">
        <f>INDEX([2]Coordinates!$C$2:$C$197,MATCH(I45,[2]Coordinates!$J$2:$J$197,0))</f>
        <v>34.850168959999998</v>
      </c>
      <c r="AN45" t="str">
        <f>IF(ISNUMBER(SEARCH("C", 'WetLitterbags placem_collection'!$V46)),"YES","NO")</f>
        <v>NO</v>
      </c>
      <c r="AO45" t="str">
        <f>IF(ISNUMBER(SEARCH("H", 'WetLitterbags placem_collection'!$V46)),"YES","NO")</f>
        <v>NO</v>
      </c>
      <c r="AP45" t="str">
        <f>IF(ISNUMBER(SEARCH("R", 'WetLitterbags placem_collection'!$V46)),"YES","NO")</f>
        <v>YES</v>
      </c>
    </row>
    <row r="46" spans="1:42">
      <c r="A46" t="s">
        <v>3248</v>
      </c>
      <c r="B46" s="248" t="s">
        <v>2454</v>
      </c>
      <c r="C46" s="253">
        <f>'Dry_Litterbag Placem_Collection'!A47</f>
        <v>45</v>
      </c>
      <c r="D46" s="253" t="str">
        <f>'Dry_Litterbag Placem_Collection'!B47</f>
        <v>Makao</v>
      </c>
      <c r="E46" s="253" t="s">
        <v>2643</v>
      </c>
      <c r="F46" s="253" t="s">
        <v>20</v>
      </c>
      <c r="G46" s="253">
        <v>2</v>
      </c>
      <c r="H46" s="253" t="s">
        <v>3108</v>
      </c>
      <c r="I46" s="254" t="str">
        <f>'Dry_Litterbag Placem_Collection'!C47</f>
        <v>Dry_P2_T5</v>
      </c>
      <c r="J46" s="255" t="s">
        <v>2525</v>
      </c>
      <c r="K46" s="256" t="s">
        <v>1147</v>
      </c>
      <c r="L46" s="221" t="str">
        <f>'WetLitterbags placem_collection'!K47</f>
        <v>G519</v>
      </c>
      <c r="M46" s="223">
        <f>IFERROR(INDEX('Green_rooibos initial weight'!$C$5:$C$2000,MATCH(L46, 'Green_rooibos initial weight'!$A$5:$A$2000,0)),"")</f>
        <v>2.1429999999999998</v>
      </c>
      <c r="N46" s="223">
        <f>IFERROR(M46-(TBIcalc!$H$9+TBIcalc!$H$10),"")</f>
        <v>1.8931999999999998</v>
      </c>
      <c r="O46" s="378">
        <f>AVERAGE(Ashed_controlls!$K$2:$K$11)</f>
        <v>5.5147656768714146</v>
      </c>
      <c r="P46" s="223">
        <f t="shared" si="1"/>
        <v>1.7887944562054701</v>
      </c>
      <c r="Q46" s="223">
        <f>IFERROR(INDEX('Both teabags AfterWet'!$C$3:$C$840,MATCH(L46,'Both teabags AfterWet'!$A$3:$A$840,0)),"")</f>
        <v>0.77569999999999995</v>
      </c>
      <c r="R46" s="223">
        <f>IFERROR(IF(Q46&gt;0,Q46-(TBIcalc!$H$9),""),"")</f>
        <v>0.62509999999999999</v>
      </c>
      <c r="S46" s="223">
        <f>IFERROR(INDEX('Ashed teabags wet'!$K$2:$K$2000,MATCH(L46,'Ashed teabags wet'!$A$2:$A$2000,0)),"")</f>
        <v>9.376558603491624</v>
      </c>
      <c r="T46" s="223">
        <f t="shared" si="2"/>
        <v>0.5664871321695738</v>
      </c>
      <c r="U46" s="224">
        <f>'WetLitterbags placem_collection'!E47</f>
        <v>42766</v>
      </c>
      <c r="V46" s="224">
        <f>IF('WetLitterbags placem_collection'!G47="","",'WetLitterbags placem_collection'!G47)</f>
        <v>42820</v>
      </c>
      <c r="W46" s="225">
        <f t="shared" si="0"/>
        <v>54</v>
      </c>
      <c r="X46" s="223">
        <f t="shared" si="3"/>
        <v>1.2680999999999998</v>
      </c>
      <c r="Y46" s="223">
        <f t="shared" si="4"/>
        <v>1.2223073240358961</v>
      </c>
      <c r="Z46">
        <f>IFERROR(INDEX([1]Rainfall_Wet!$O$2:$O$217,MATCH(C46, [1]Rainfall_Wet!$A$2:$A$217,0)),"")</f>
        <v>214.262898705</v>
      </c>
      <c r="AA46" s="226">
        <v>19.96</v>
      </c>
      <c r="AB46" s="226">
        <v>4.9199999999999982</v>
      </c>
      <c r="AC46" s="226">
        <v>75.12</v>
      </c>
      <c r="AD46" s="227" t="s">
        <v>2652</v>
      </c>
      <c r="AE46" s="226">
        <v>1.641498275012321</v>
      </c>
      <c r="AF46">
        <f>IF('WetLitterbags placem_collection'!AB47="","",'WetLitterbags placem_collection'!AB47)</f>
        <v>2.2999999999999998</v>
      </c>
      <c r="AG46">
        <f>IF('WetLitterbags placem_collection'!Z47="","",'WetLitterbags placem_collection'!Z47)</f>
        <v>9.3000000000000007</v>
      </c>
      <c r="AH46" s="236" t="str">
        <f>IF('WetLitterbags placem_collection'!AA47="","",'WetLitterbags placem_collection'!AA47)</f>
        <v>O</v>
      </c>
      <c r="AI46">
        <f>IF('WetLitterbags placem_collection'!AC47="","",'WetLitterbags placem_collection'!AC47)</f>
        <v>0</v>
      </c>
      <c r="AJ46" s="233">
        <f>AVERAGE('WetLitterbags placem_collection'!S47,'WetLitterbags placem_collection'!U47)</f>
        <v>24.4</v>
      </c>
      <c r="AK46">
        <f>AVERAGE('WetLitterbags placem_collection'!R47,'WetLitterbags placem_collection'!T47)</f>
        <v>22.15</v>
      </c>
      <c r="AL46">
        <f>INDEX([2]Coordinates!$B$2:$B$197,MATCH(I46,[2]Coordinates!$J$2:$J$197,0))</f>
        <v>-3.4081789759999999</v>
      </c>
      <c r="AM46">
        <f>INDEX([2]Coordinates!$C$2:$C$197,MATCH(I46,[2]Coordinates!$J$2:$J$197,0))</f>
        <v>34.850516980000002</v>
      </c>
      <c r="AN46" t="str">
        <f>IF(ISNUMBER(SEARCH("C", 'WetLitterbags placem_collection'!$V47)),"YES","NO")</f>
        <v>NO</v>
      </c>
      <c r="AO46" t="str">
        <f>IF(ISNUMBER(SEARCH("H", 'WetLitterbags placem_collection'!$V47)),"YES","NO")</f>
        <v>NO</v>
      </c>
      <c r="AP46" t="str">
        <f>IF(ISNUMBER(SEARCH("R", 'WetLitterbags placem_collection'!$V47)),"YES","NO")</f>
        <v>YES</v>
      </c>
    </row>
    <row r="47" spans="1:42">
      <c r="A47" t="s">
        <v>3248</v>
      </c>
      <c r="B47" s="248" t="s">
        <v>2454</v>
      </c>
      <c r="C47" s="253">
        <f>'Dry_Litterbag Placem_Collection'!A48</f>
        <v>46</v>
      </c>
      <c r="D47" s="253" t="str">
        <f>'Dry_Litterbag Placem_Collection'!B48</f>
        <v>Makao</v>
      </c>
      <c r="E47" s="253" t="s">
        <v>2643</v>
      </c>
      <c r="F47" s="253" t="s">
        <v>20</v>
      </c>
      <c r="G47" s="253">
        <v>2</v>
      </c>
      <c r="H47" s="253" t="s">
        <v>3108</v>
      </c>
      <c r="I47" s="254" t="str">
        <f>'Dry_Litterbag Placem_Collection'!C48</f>
        <v>Dry_P2_T6</v>
      </c>
      <c r="J47" s="255" t="s">
        <v>2525</v>
      </c>
      <c r="K47" s="256" t="s">
        <v>1147</v>
      </c>
      <c r="L47" s="221" t="str">
        <f>'WetLitterbags placem_collection'!K48</f>
        <v>G635</v>
      </c>
      <c r="M47" s="223">
        <f>IFERROR(INDEX('Green_rooibos initial weight'!$C$5:$C$2000,MATCH(L47, 'Green_rooibos initial weight'!$A$5:$A$2000,0)),"")</f>
        <v>2.073</v>
      </c>
      <c r="N47" s="223">
        <f>IFERROR(M47-(TBIcalc!$H$9+TBIcalc!$H$10),"")</f>
        <v>1.8231999999999999</v>
      </c>
      <c r="O47" s="378">
        <f>AVERAGE(Ashed_controlls!$K$2:$K$11)</f>
        <v>5.5147656768714146</v>
      </c>
      <c r="P47" s="223">
        <f t="shared" si="1"/>
        <v>1.7226547921792803</v>
      </c>
      <c r="Q47" s="223" t="str">
        <f>IFERROR(INDEX('Both teabags AfterWet'!$C$3:$C$840,MATCH(L47,'Both teabags AfterWet'!$A$3:$A$840,0)),"")</f>
        <v/>
      </c>
      <c r="R47" s="223" t="str">
        <f>IFERROR(IF(Q47&gt;0,Q47-(TBIcalc!$H$9),""),"")</f>
        <v/>
      </c>
      <c r="S47" s="223" t="str">
        <f>IFERROR(INDEX('Ashed teabags wet'!$K$2:$K$2000,MATCH(L47,'Ashed teabags wet'!$A$2:$A$2000,0)),"")</f>
        <v/>
      </c>
      <c r="T47" s="223" t="str">
        <f t="shared" si="2"/>
        <v/>
      </c>
      <c r="U47" s="224">
        <f>'WetLitterbags placem_collection'!E48</f>
        <v>42766</v>
      </c>
      <c r="V47" s="224">
        <f>IF('WetLitterbags placem_collection'!G48="","",'WetLitterbags placem_collection'!G48)</f>
        <v>42820</v>
      </c>
      <c r="W47" s="225">
        <f t="shared" si="0"/>
        <v>54</v>
      </c>
      <c r="X47" s="223" t="str">
        <f t="shared" si="3"/>
        <v/>
      </c>
      <c r="Y47" s="223" t="str">
        <f t="shared" si="4"/>
        <v/>
      </c>
      <c r="Z47">
        <f>IFERROR(INDEX([1]Rainfall_Wet!$O$2:$O$217,MATCH(C47, [1]Rainfall_Wet!$A$2:$A$217,0)),"")</f>
        <v>214.262898705</v>
      </c>
      <c r="AA47" s="226">
        <v>19.96</v>
      </c>
      <c r="AB47" s="226">
        <v>4.9199999999999982</v>
      </c>
      <c r="AC47" s="226">
        <v>75.12</v>
      </c>
      <c r="AD47" s="227" t="s">
        <v>2652</v>
      </c>
      <c r="AE47" s="226">
        <v>1.641498275012321</v>
      </c>
      <c r="AF47" t="str">
        <f>IF('WetLitterbags placem_collection'!AB48="","",'WetLitterbags placem_collection'!AB48)</f>
        <v/>
      </c>
      <c r="AG47" t="str">
        <f>IF('WetLitterbags placem_collection'!Z48="","",'WetLitterbags placem_collection'!Z48)</f>
        <v/>
      </c>
      <c r="AH47" s="236" t="str">
        <f>IF('WetLitterbags placem_collection'!AA48="","",'WetLitterbags placem_collection'!AA48)</f>
        <v/>
      </c>
      <c r="AI47" t="str">
        <f>IF('WetLitterbags placem_collection'!AC48="","",'WetLitterbags placem_collection'!AC48)</f>
        <v/>
      </c>
      <c r="AJ47" s="233">
        <f>AVERAGE('WetLitterbags placem_collection'!S48,'WetLitterbags placem_collection'!U48)</f>
        <v>22.5</v>
      </c>
      <c r="AK47">
        <f>AVERAGE('WetLitterbags placem_collection'!R48,'WetLitterbags placem_collection'!T48)</f>
        <v>20.100000000000001</v>
      </c>
      <c r="AL47">
        <f>INDEX([2]Coordinates!$B$2:$B$197,MATCH(I47,[2]Coordinates!$J$2:$J$197,0))</f>
        <v>-3.4084730130000001</v>
      </c>
      <c r="AM47">
        <f>INDEX([2]Coordinates!$C$2:$C$197,MATCH(I47,[2]Coordinates!$J$2:$J$197,0))</f>
        <v>34.850401980000001</v>
      </c>
      <c r="AN47" t="str">
        <f>IF(ISNUMBER(SEARCH("C", 'WetLitterbags placem_collection'!$V48)),"YES","NO")</f>
        <v>NO</v>
      </c>
      <c r="AO47" t="str">
        <f>IF(ISNUMBER(SEARCH("H", 'WetLitterbags placem_collection'!$V48)),"YES","NO")</f>
        <v>NO</v>
      </c>
      <c r="AP47" t="str">
        <f>IF(ISNUMBER(SEARCH("R", 'WetLitterbags placem_collection'!$V48)),"YES","NO")</f>
        <v>NO</v>
      </c>
    </row>
    <row r="48" spans="1:42">
      <c r="A48" t="s">
        <v>3248</v>
      </c>
      <c r="B48" s="248" t="s">
        <v>2454</v>
      </c>
      <c r="C48" s="253">
        <f>'Dry_Litterbag Placem_Collection'!A49</f>
        <v>47</v>
      </c>
      <c r="D48" s="253" t="str">
        <f>'Dry_Litterbag Placem_Collection'!B49</f>
        <v>Makao</v>
      </c>
      <c r="E48" s="253" t="s">
        <v>2643</v>
      </c>
      <c r="F48" s="253" t="s">
        <v>20</v>
      </c>
      <c r="G48" s="253">
        <v>2</v>
      </c>
      <c r="H48" s="253" t="s">
        <v>3108</v>
      </c>
      <c r="I48" s="254" t="str">
        <f>'Dry_Litterbag Placem_Collection'!C49</f>
        <v>Dry_P2_T7</v>
      </c>
      <c r="J48" s="255" t="s">
        <v>2525</v>
      </c>
      <c r="K48" s="256" t="s">
        <v>1147</v>
      </c>
      <c r="L48" s="221" t="str">
        <f>'WetLitterbags placem_collection'!K49</f>
        <v>G539</v>
      </c>
      <c r="M48" s="223">
        <f>IFERROR(INDEX('Green_rooibos initial weight'!$C$5:$C$2000,MATCH(L48, 'Green_rooibos initial weight'!$A$5:$A$2000,0)),"")</f>
        <v>2.1219999999999999</v>
      </c>
      <c r="N48" s="223">
        <f>IFERROR(M48-(TBIcalc!$H$9+TBIcalc!$H$10),"")</f>
        <v>1.8721999999999999</v>
      </c>
      <c r="O48" s="378">
        <f>AVERAGE(Ashed_controlls!$K$2:$K$11)</f>
        <v>5.5147656768714146</v>
      </c>
      <c r="P48" s="223">
        <f t="shared" si="1"/>
        <v>1.7689525569976132</v>
      </c>
      <c r="Q48" s="223">
        <f>IFERROR(INDEX('Both teabags AfterWet'!$C$3:$C$840,MATCH(L48,'Both teabags AfterWet'!$A$3:$A$840,0)),"")</f>
        <v>0.80700000000000005</v>
      </c>
      <c r="R48" s="223">
        <f>IFERROR(IF(Q48&gt;0,Q48-(TBIcalc!$H$9),""),"")</f>
        <v>0.65640000000000009</v>
      </c>
      <c r="S48" s="223">
        <f>IFERROR(INDEX('Ashed teabags wet'!$K$2:$K$2000,MATCH(L48,'Ashed teabags wet'!$A$2:$A$2000,0)),"")</f>
        <v>11.917347429120182</v>
      </c>
      <c r="T48" s="223">
        <f t="shared" si="2"/>
        <v>0.57817453147525522</v>
      </c>
      <c r="U48" s="224">
        <f>'WetLitterbags placem_collection'!E49</f>
        <v>42766</v>
      </c>
      <c r="V48" s="224">
        <f>IF('WetLitterbags placem_collection'!G49="","",'WetLitterbags placem_collection'!G49)</f>
        <v>42820</v>
      </c>
      <c r="W48" s="225">
        <f t="shared" si="0"/>
        <v>54</v>
      </c>
      <c r="X48" s="223">
        <f t="shared" si="3"/>
        <v>1.2157999999999998</v>
      </c>
      <c r="Y48" s="223">
        <f t="shared" si="4"/>
        <v>1.1907780255223579</v>
      </c>
      <c r="Z48">
        <f>IFERROR(INDEX([1]Rainfall_Wet!$O$2:$O$217,MATCH(C48, [1]Rainfall_Wet!$A$2:$A$217,0)),"")</f>
        <v>214.262898705</v>
      </c>
      <c r="AA48" s="226">
        <v>19.96</v>
      </c>
      <c r="AB48" s="226">
        <v>4.9199999999999982</v>
      </c>
      <c r="AC48" s="226">
        <v>75.12</v>
      </c>
      <c r="AD48" s="227" t="s">
        <v>2652</v>
      </c>
      <c r="AE48" s="226">
        <v>1.641498275012321</v>
      </c>
      <c r="AF48">
        <f>IF('WetLitterbags placem_collection'!AB49="","",'WetLitterbags placem_collection'!AB49)</f>
        <v>5.2</v>
      </c>
      <c r="AG48">
        <f>IF('WetLitterbags placem_collection'!Z49="","",'WetLitterbags placem_collection'!Z49)</f>
        <v>5.2</v>
      </c>
      <c r="AH48" s="236" t="str">
        <f>IF('WetLitterbags placem_collection'!AA49="","",'WetLitterbags placem_collection'!AA49)</f>
        <v>G</v>
      </c>
      <c r="AI48">
        <f>IF('WetLitterbags placem_collection'!AC49="","",'WetLitterbags placem_collection'!AC49)</f>
        <v>0</v>
      </c>
      <c r="AJ48" s="233">
        <f>AVERAGE('WetLitterbags placem_collection'!S49,'WetLitterbags placem_collection'!U49)</f>
        <v>23.7</v>
      </c>
      <c r="AK48">
        <f>AVERAGE('WetLitterbags placem_collection'!R49,'WetLitterbags placem_collection'!T49)</f>
        <v>22.6</v>
      </c>
      <c r="AL48">
        <f>INDEX([2]Coordinates!$B$2:$B$197,MATCH(I48,[2]Coordinates!$J$2:$J$197,0))</f>
        <v>-3.4084819820000001</v>
      </c>
      <c r="AM48">
        <f>INDEX([2]Coordinates!$C$2:$C$197,MATCH(I48,[2]Coordinates!$J$2:$J$197,0))</f>
        <v>34.850024040000001</v>
      </c>
      <c r="AN48" t="str">
        <f>IF(ISNUMBER(SEARCH("C", 'WetLitterbags placem_collection'!$V49)),"YES","NO")</f>
        <v>NO</v>
      </c>
      <c r="AO48" t="str">
        <f>IF(ISNUMBER(SEARCH("H", 'WetLitterbags placem_collection'!$V49)),"YES","NO")</f>
        <v>NO</v>
      </c>
      <c r="AP48" t="str">
        <f>IF(ISNUMBER(SEARCH("R", 'WetLitterbags placem_collection'!$V49)),"YES","NO")</f>
        <v>YES</v>
      </c>
    </row>
    <row r="49" spans="1:42">
      <c r="A49" t="s">
        <v>3248</v>
      </c>
      <c r="B49" s="248" t="s">
        <v>2454</v>
      </c>
      <c r="C49" s="253">
        <f>'Dry_Litterbag Placem_Collection'!A50</f>
        <v>48</v>
      </c>
      <c r="D49" s="253" t="str">
        <f>'Dry_Litterbag Placem_Collection'!B50</f>
        <v>Makao</v>
      </c>
      <c r="E49" s="253" t="s">
        <v>2643</v>
      </c>
      <c r="F49" s="253" t="s">
        <v>20</v>
      </c>
      <c r="G49" s="253">
        <v>2</v>
      </c>
      <c r="H49" s="253" t="s">
        <v>3108</v>
      </c>
      <c r="I49" s="254" t="str">
        <f>'Dry_Litterbag Placem_Collection'!C50</f>
        <v>Dry_P2_T8</v>
      </c>
      <c r="J49" s="255" t="s">
        <v>2525</v>
      </c>
      <c r="K49" s="256" t="s">
        <v>1147</v>
      </c>
      <c r="L49" s="221" t="str">
        <f>'WetLitterbags placem_collection'!K50</f>
        <v>G679</v>
      </c>
      <c r="M49" s="223">
        <f>IFERROR(INDEX('Green_rooibos initial weight'!$C$5:$C$2000,MATCH(L49, 'Green_rooibos initial weight'!$A$5:$A$2000,0)),"")</f>
        <v>2.052</v>
      </c>
      <c r="N49" s="223">
        <f>IFERROR(M49-(TBIcalc!$H$9+TBIcalc!$H$10),"")</f>
        <v>1.8022</v>
      </c>
      <c r="O49" s="378">
        <f>AVERAGE(Ashed_controlls!$K$2:$K$11)</f>
        <v>5.5147656768714146</v>
      </c>
      <c r="P49" s="223">
        <f t="shared" si="1"/>
        <v>1.7028128929714235</v>
      </c>
      <c r="Q49" s="223">
        <f>IFERROR(INDEX('Both teabags AfterWet'!$C$3:$C$840,MATCH(L49,'Both teabags AfterWet'!$A$3:$A$840,0)),"")</f>
        <v>0.83199999999999996</v>
      </c>
      <c r="R49" s="223">
        <f>IFERROR(IF(Q49&gt;0,Q49-(TBIcalc!$H$9),""),"")</f>
        <v>0.68140000000000001</v>
      </c>
      <c r="S49" s="223">
        <f>IFERROR(INDEX('Ashed teabags wet'!$K$2:$K$2000,MATCH(L49,'Ashed teabags wet'!$A$2:$A$2000,0)),"")</f>
        <v>7.6283618581914308</v>
      </c>
      <c r="T49" s="223">
        <f t="shared" si="2"/>
        <v>0.62942034229828359</v>
      </c>
      <c r="U49" s="224">
        <f>'WetLitterbags placem_collection'!E50</f>
        <v>42766</v>
      </c>
      <c r="V49" s="224">
        <f>IF('WetLitterbags placem_collection'!G50="","",'WetLitterbags placem_collection'!G50)</f>
        <v>42820</v>
      </c>
      <c r="W49" s="225">
        <f t="shared" si="0"/>
        <v>54</v>
      </c>
      <c r="X49" s="223">
        <f t="shared" si="3"/>
        <v>1.1208</v>
      </c>
      <c r="Y49" s="223">
        <f t="shared" si="4"/>
        <v>1.0733925506731399</v>
      </c>
      <c r="Z49">
        <f>IFERROR(INDEX([1]Rainfall_Wet!$O$2:$O$217,MATCH(C49, [1]Rainfall_Wet!$A$2:$A$217,0)),"")</f>
        <v>214.262898705</v>
      </c>
      <c r="AA49" s="226">
        <v>19.96</v>
      </c>
      <c r="AB49" s="226">
        <v>4.9199999999999982</v>
      </c>
      <c r="AC49" s="226">
        <v>75.12</v>
      </c>
      <c r="AD49" s="227" t="s">
        <v>2652</v>
      </c>
      <c r="AE49" s="226">
        <v>1.641498275012321</v>
      </c>
      <c r="AF49">
        <f>IF('WetLitterbags placem_collection'!AB50="","",'WetLitterbags placem_collection'!AB50)</f>
        <v>7.3</v>
      </c>
      <c r="AG49">
        <f>IF('WetLitterbags placem_collection'!Z50="","",'WetLitterbags placem_collection'!Z50)</f>
        <v>27.2</v>
      </c>
      <c r="AH49" s="236" t="str">
        <f>IF('WetLitterbags placem_collection'!AA50="","",'WetLitterbags placem_collection'!AA50)</f>
        <v>M</v>
      </c>
      <c r="AI49">
        <f>IF('WetLitterbags placem_collection'!AC50="","",'WetLitterbags placem_collection'!AC50)</f>
        <v>0</v>
      </c>
      <c r="AJ49" s="233">
        <f>AVERAGE('WetLitterbags placem_collection'!S50,'WetLitterbags placem_collection'!U50)</f>
        <v>21.8</v>
      </c>
      <c r="AK49">
        <f>AVERAGE('WetLitterbags placem_collection'!R50,'WetLitterbags placem_collection'!T50)</f>
        <v>21.65</v>
      </c>
      <c r="AL49">
        <f>INDEX([2]Coordinates!$B$2:$B$197,MATCH(I49,[2]Coordinates!$J$2:$J$197,0))</f>
        <v>-3.4081990090000001</v>
      </c>
      <c r="AM49">
        <f>INDEX([2]Coordinates!$C$2:$C$197,MATCH(I49,[2]Coordinates!$J$2:$J$197,0))</f>
        <v>34.850254960000001</v>
      </c>
      <c r="AN49" t="str">
        <f>IF(ISNUMBER(SEARCH("C", 'WetLitterbags placem_collection'!$V50)),"YES","NO")</f>
        <v>NO</v>
      </c>
      <c r="AO49" t="str">
        <f>IF(ISNUMBER(SEARCH("H", 'WetLitterbags placem_collection'!$V50)),"YES","NO")</f>
        <v>NO</v>
      </c>
      <c r="AP49" t="str">
        <f>IF(ISNUMBER(SEARCH("R", 'WetLitterbags placem_collection'!$V50)),"YES","NO")</f>
        <v>YES</v>
      </c>
    </row>
    <row r="50" spans="1:42">
      <c r="A50" t="s">
        <v>3248</v>
      </c>
      <c r="B50" s="248" t="s">
        <v>2454</v>
      </c>
      <c r="C50" s="253">
        <f>'Dry_Litterbag Placem_Collection'!A51</f>
        <v>49</v>
      </c>
      <c r="D50" s="253" t="str">
        <f>'Dry_Litterbag Placem_Collection'!B51</f>
        <v>Makao</v>
      </c>
      <c r="E50" s="253" t="s">
        <v>2643</v>
      </c>
      <c r="F50" s="253" t="s">
        <v>20</v>
      </c>
      <c r="G50" s="253">
        <v>3</v>
      </c>
      <c r="H50" s="253" t="s">
        <v>3109</v>
      </c>
      <c r="I50" s="254" t="str">
        <f>'Dry_Litterbag Placem_Collection'!C51</f>
        <v>Dry_P3_T1</v>
      </c>
      <c r="J50" s="255" t="s">
        <v>2525</v>
      </c>
      <c r="K50" s="256" t="s">
        <v>1147</v>
      </c>
      <c r="L50" s="221" t="str">
        <f>'WetLitterbags placem_collection'!K51</f>
        <v>G346</v>
      </c>
      <c r="M50" s="223">
        <f>IFERROR(INDEX('Green_rooibos initial weight'!$C$5:$C$2000,MATCH(L50, 'Green_rooibos initial weight'!$A$5:$A$2000,0)),"")</f>
        <v>2.012</v>
      </c>
      <c r="N50" s="223">
        <f>IFERROR(M50-(TBIcalc!$H$9+TBIcalc!$H$10),"")</f>
        <v>1.7622</v>
      </c>
      <c r="O50" s="378">
        <f>AVERAGE(Ashed_controlls!$K$2:$K$11)</f>
        <v>5.5147656768714146</v>
      </c>
      <c r="P50" s="223">
        <f t="shared" si="1"/>
        <v>1.6650187992421719</v>
      </c>
      <c r="Q50" s="223">
        <f>IFERROR(INDEX('Both teabags AfterWet'!$C$3:$C$840,MATCH(L50,'Both teabags AfterWet'!$A$3:$A$840,0)),"")</f>
        <v>1.0001</v>
      </c>
      <c r="R50" s="223">
        <f>IFERROR(IF(Q50&gt;0,Q50-(TBIcalc!$H$9),""),"")</f>
        <v>0.84949999999999992</v>
      </c>
      <c r="S50" s="223">
        <f>IFERROR(INDEX('Ashed teabags wet'!$K$2:$K$2000,MATCH(L50,'Ashed teabags wet'!$A$2:$A$2000,0)),"")</f>
        <v>20.217498764212234</v>
      </c>
      <c r="T50" s="223">
        <f t="shared" si="2"/>
        <v>0.67775234799801698</v>
      </c>
      <c r="U50" s="224">
        <f>'WetLitterbags placem_collection'!E51</f>
        <v>42766</v>
      </c>
      <c r="V50" s="224">
        <f>IF('WetLitterbags placem_collection'!G51="","",'WetLitterbags placem_collection'!G51)</f>
        <v>42820</v>
      </c>
      <c r="W50" s="225">
        <f t="shared" si="0"/>
        <v>54</v>
      </c>
      <c r="X50" s="223">
        <f t="shared" si="3"/>
        <v>0.91270000000000007</v>
      </c>
      <c r="Y50" s="223">
        <f t="shared" si="4"/>
        <v>0.98726645124415491</v>
      </c>
      <c r="Z50">
        <f>IFERROR(INDEX([1]Rainfall_Wet!$O$2:$O$217,MATCH(C50, [1]Rainfall_Wet!$A$2:$A$217,0)),"")</f>
        <v>214.262898705</v>
      </c>
      <c r="AA50" s="226">
        <v>21.96</v>
      </c>
      <c r="AB50" s="226">
        <v>8.9199999999999982</v>
      </c>
      <c r="AC50" s="226">
        <v>69.12</v>
      </c>
      <c r="AD50" s="227" t="s">
        <v>2651</v>
      </c>
      <c r="AE50" s="226">
        <v>1.7491375061606702</v>
      </c>
      <c r="AF50">
        <f>IF('WetLitterbags placem_collection'!AB51="","",'WetLitterbags placem_collection'!AB51)</f>
        <v>10.4</v>
      </c>
      <c r="AG50">
        <f>IF('WetLitterbags placem_collection'!Z51="","",'WetLitterbags placem_collection'!Z51)</f>
        <v>36</v>
      </c>
      <c r="AH50" s="236" t="str">
        <f>IF('WetLitterbags placem_collection'!AA51="","",'WetLitterbags placem_collection'!AA51)</f>
        <v>M</v>
      </c>
      <c r="AI50">
        <f>IF('WetLitterbags placem_collection'!AC51="","",'WetLitterbags placem_collection'!AC51)</f>
        <v>1</v>
      </c>
      <c r="AJ50" s="233">
        <f>AVERAGE('WetLitterbags placem_collection'!S51,'WetLitterbags placem_collection'!U51)</f>
        <v>26.2</v>
      </c>
      <c r="AK50">
        <f>AVERAGE('WetLitterbags placem_collection'!R51,'WetLitterbags placem_collection'!T51)</f>
        <v>26.55</v>
      </c>
      <c r="AL50">
        <f>INDEX([2]Coordinates!$B$2:$B$197,MATCH(I50,[2]Coordinates!$J$2:$J$197,0))</f>
        <v>-3.406225992</v>
      </c>
      <c r="AM50">
        <f>INDEX([2]Coordinates!$C$2:$C$197,MATCH(I50,[2]Coordinates!$J$2:$J$197,0))</f>
        <v>34.85055998</v>
      </c>
      <c r="AN50" t="str">
        <f>IF(ISNUMBER(SEARCH("C", 'WetLitterbags placem_collection'!$V51)),"YES","NO")</f>
        <v>NO</v>
      </c>
      <c r="AO50" t="str">
        <f>IF(ISNUMBER(SEARCH("H", 'WetLitterbags placem_collection'!$V51)),"YES","NO")</f>
        <v>NO</v>
      </c>
      <c r="AP50" t="str">
        <f>IF(ISNUMBER(SEARCH("R", 'WetLitterbags placem_collection'!$V51)),"YES","NO")</f>
        <v>YES</v>
      </c>
    </row>
    <row r="51" spans="1:42">
      <c r="A51" t="s">
        <v>3248</v>
      </c>
      <c r="B51" s="248" t="s">
        <v>2454</v>
      </c>
      <c r="C51" s="253">
        <f>'Dry_Litterbag Placem_Collection'!A52</f>
        <v>50</v>
      </c>
      <c r="D51" s="253" t="str">
        <f>'Dry_Litterbag Placem_Collection'!B52</f>
        <v>Makao</v>
      </c>
      <c r="E51" s="253" t="s">
        <v>2643</v>
      </c>
      <c r="F51" s="253" t="s">
        <v>20</v>
      </c>
      <c r="G51" s="253">
        <v>3</v>
      </c>
      <c r="H51" s="253" t="s">
        <v>3109</v>
      </c>
      <c r="I51" s="254" t="str">
        <f>'Dry_Litterbag Placem_Collection'!C52</f>
        <v>Dry_P3_T2</v>
      </c>
      <c r="J51" s="255" t="s">
        <v>2525</v>
      </c>
      <c r="K51" s="256" t="s">
        <v>1147</v>
      </c>
      <c r="L51" s="221" t="str">
        <f>'WetLitterbags placem_collection'!K52</f>
        <v>G418</v>
      </c>
      <c r="M51" s="223">
        <f>IFERROR(INDEX('Green_rooibos initial weight'!$C$5:$C$2000,MATCH(L51, 'Green_rooibos initial weight'!$A$5:$A$2000,0)),"")</f>
        <v>2.016</v>
      </c>
      <c r="N51" s="223">
        <f>IFERROR(M51-(TBIcalc!$H$9+TBIcalc!$H$10),"")</f>
        <v>1.7662</v>
      </c>
      <c r="O51" s="378">
        <f>AVERAGE(Ashed_controlls!$K$2:$K$11)</f>
        <v>5.5147656768714146</v>
      </c>
      <c r="P51" s="223">
        <f t="shared" si="1"/>
        <v>1.668798208615097</v>
      </c>
      <c r="Q51" s="223" t="str">
        <f>IFERROR(INDEX('Both teabags AfterWet'!$C$3:$C$840,MATCH(L51,'Both teabags AfterWet'!$A$3:$A$840,0)),"")</f>
        <v/>
      </c>
      <c r="R51" s="223" t="str">
        <f>IFERROR(IF(Q51&gt;0,Q51-(TBIcalc!$H$9),""),"")</f>
        <v/>
      </c>
      <c r="S51" s="223" t="str">
        <f>IFERROR(INDEX('Ashed teabags wet'!$K$2:$K$2000,MATCH(L51,'Ashed teabags wet'!$A$2:$A$2000,0)),"")</f>
        <v/>
      </c>
      <c r="T51" s="223" t="str">
        <f t="shared" si="2"/>
        <v/>
      </c>
      <c r="U51" s="224">
        <f>'WetLitterbags placem_collection'!E52</f>
        <v>42766</v>
      </c>
      <c r="V51" s="224">
        <f>IF('WetLitterbags placem_collection'!G52="","",'WetLitterbags placem_collection'!G52)</f>
        <v>42820</v>
      </c>
      <c r="W51" s="225">
        <f t="shared" si="0"/>
        <v>54</v>
      </c>
      <c r="X51" s="223" t="str">
        <f t="shared" si="3"/>
        <v/>
      </c>
      <c r="Y51" s="223" t="str">
        <f t="shared" si="4"/>
        <v/>
      </c>
      <c r="Z51">
        <f>IFERROR(INDEX([1]Rainfall_Wet!$O$2:$O$217,MATCH(C51, [1]Rainfall_Wet!$A$2:$A$217,0)),"")</f>
        <v>214.262898705</v>
      </c>
      <c r="AA51" s="226">
        <v>21.96</v>
      </c>
      <c r="AB51" s="226">
        <v>8.9199999999999982</v>
      </c>
      <c r="AC51" s="226">
        <v>69.12</v>
      </c>
      <c r="AD51" s="227" t="s">
        <v>2651</v>
      </c>
      <c r="AE51" s="226">
        <v>1.7491375061606702</v>
      </c>
      <c r="AF51">
        <f>IF('WetLitterbags placem_collection'!AB52="","",'WetLitterbags placem_collection'!AB52)</f>
        <v>10</v>
      </c>
      <c r="AG51">
        <f>IF('WetLitterbags placem_collection'!Z52="","",'WetLitterbags placem_collection'!Z52)</f>
        <v>22.5</v>
      </c>
      <c r="AH51" s="236" t="str">
        <f>IF('WetLitterbags placem_collection'!AA52="","",'WetLitterbags placem_collection'!AA52)</f>
        <v>M</v>
      </c>
      <c r="AI51">
        <f>IF('WetLitterbags placem_collection'!AC52="","",'WetLitterbags placem_collection'!AC52)</f>
        <v>1</v>
      </c>
      <c r="AJ51" s="233">
        <f>AVERAGE('WetLitterbags placem_collection'!S52,'WetLitterbags placem_collection'!U52)</f>
        <v>31.4</v>
      </c>
      <c r="AK51">
        <f>AVERAGE('WetLitterbags placem_collection'!R52,'WetLitterbags placem_collection'!T52)</f>
        <v>22.4</v>
      </c>
      <c r="AL51">
        <f>INDEX([2]Coordinates!$B$2:$B$197,MATCH(I51,[2]Coordinates!$J$2:$J$197,0))</f>
        <v>-3.4062630399999998</v>
      </c>
      <c r="AM51">
        <f>INDEX([2]Coordinates!$C$2:$C$197,MATCH(I51,[2]Coordinates!$J$2:$J$197,0))</f>
        <v>34.850566010000001</v>
      </c>
      <c r="AN51" t="str">
        <f>IF(ISNUMBER(SEARCH("C", 'WetLitterbags placem_collection'!$V52)),"YES","NO")</f>
        <v>NO</v>
      </c>
      <c r="AO51" t="str">
        <f>IF(ISNUMBER(SEARCH("H", 'WetLitterbags placem_collection'!$V52)),"YES","NO")</f>
        <v>NO</v>
      </c>
      <c r="AP51" t="str">
        <f>IF(ISNUMBER(SEARCH("R", 'WetLitterbags placem_collection'!$V52)),"YES","NO")</f>
        <v>NO</v>
      </c>
    </row>
    <row r="52" spans="1:42">
      <c r="A52" t="s">
        <v>3248</v>
      </c>
      <c r="B52" s="248" t="s">
        <v>2454</v>
      </c>
      <c r="C52" s="253">
        <f>'Dry_Litterbag Placem_Collection'!A53</f>
        <v>51</v>
      </c>
      <c r="D52" s="253" t="str">
        <f>'Dry_Litterbag Placem_Collection'!B53</f>
        <v>Makao</v>
      </c>
      <c r="E52" s="253" t="s">
        <v>2643</v>
      </c>
      <c r="F52" s="253" t="s">
        <v>20</v>
      </c>
      <c r="G52" s="253">
        <v>3</v>
      </c>
      <c r="H52" s="253" t="s">
        <v>3109</v>
      </c>
      <c r="I52" s="254" t="str">
        <f>'Dry_Litterbag Placem_Collection'!C53</f>
        <v>Dry_P3_T3</v>
      </c>
      <c r="J52" s="255" t="s">
        <v>2525</v>
      </c>
      <c r="K52" s="256" t="s">
        <v>1147</v>
      </c>
      <c r="L52" s="221" t="str">
        <f>'WetLitterbags placem_collection'!K53</f>
        <v>G548</v>
      </c>
      <c r="M52" s="223">
        <f>IFERROR(INDEX('Green_rooibos initial weight'!$C$5:$C$2000,MATCH(L52, 'Green_rooibos initial weight'!$A$5:$A$2000,0)),"")</f>
        <v>2.169</v>
      </c>
      <c r="N52" s="223">
        <f>IFERROR(M52-(TBIcalc!$H$9+TBIcalc!$H$10),"")</f>
        <v>1.9192</v>
      </c>
      <c r="O52" s="378">
        <f>AVERAGE(Ashed_controlls!$K$2:$K$11)</f>
        <v>5.5147656768714146</v>
      </c>
      <c r="P52" s="223">
        <f t="shared" si="1"/>
        <v>1.8133606171294838</v>
      </c>
      <c r="Q52" s="223">
        <f>IFERROR(INDEX('Both teabags AfterWet'!$C$3:$C$840,MATCH(L52,'Both teabags AfterWet'!$A$3:$A$840,0)),"")</f>
        <v>0.86399999999999999</v>
      </c>
      <c r="R52" s="223">
        <f>IFERROR(IF(Q52&gt;0,Q52-(TBIcalc!$H$9),""),"")</f>
        <v>0.71340000000000003</v>
      </c>
      <c r="S52" s="223">
        <f>IFERROR(INDEX('Ashed teabags wet'!$K$2:$K$2000,MATCH(L52,'Ashed teabags wet'!$A$2:$A$2000,0)),"")</f>
        <v>8.9955022488745993</v>
      </c>
      <c r="T52" s="223">
        <f t="shared" si="2"/>
        <v>0.64922608695652861</v>
      </c>
      <c r="U52" s="224">
        <f>'WetLitterbags placem_collection'!E53</f>
        <v>42766</v>
      </c>
      <c r="V52" s="224">
        <f>IF('WetLitterbags placem_collection'!G53="","",'WetLitterbags placem_collection'!G53)</f>
        <v>42820</v>
      </c>
      <c r="W52" s="225">
        <f t="shared" si="0"/>
        <v>54</v>
      </c>
      <c r="X52" s="223">
        <f t="shared" si="3"/>
        <v>1.2058</v>
      </c>
      <c r="Y52" s="223">
        <f t="shared" si="4"/>
        <v>1.1641345301729551</v>
      </c>
      <c r="Z52">
        <f>IFERROR(INDEX([1]Rainfall_Wet!$O$2:$O$217,MATCH(C52, [1]Rainfall_Wet!$A$2:$A$217,0)),"")</f>
        <v>214.262898705</v>
      </c>
      <c r="AA52" s="226">
        <v>21.96</v>
      </c>
      <c r="AB52" s="226">
        <v>8.9199999999999982</v>
      </c>
      <c r="AC52" s="226">
        <v>69.12</v>
      </c>
      <c r="AD52" s="227" t="s">
        <v>2651</v>
      </c>
      <c r="AE52" s="226">
        <v>1.7491375061606702</v>
      </c>
      <c r="AF52">
        <f>IF('WetLitterbags placem_collection'!AB53="","",'WetLitterbags placem_collection'!AB53)</f>
        <v>3</v>
      </c>
      <c r="AG52">
        <f>IF('WetLitterbags placem_collection'!Z53="","",'WetLitterbags placem_collection'!Z53)</f>
        <v>18</v>
      </c>
      <c r="AH52" s="236" t="str">
        <f>IF('WetLitterbags placem_collection'!AA53="","",'WetLitterbags placem_collection'!AA53)</f>
        <v>O</v>
      </c>
      <c r="AI52">
        <f>IF('WetLitterbags placem_collection'!AC53="","",'WetLitterbags placem_collection'!AC53)</f>
        <v>0</v>
      </c>
      <c r="AJ52" s="233">
        <f>AVERAGE('WetLitterbags placem_collection'!S53,'WetLitterbags placem_collection'!U53)</f>
        <v>20.2</v>
      </c>
      <c r="AK52">
        <f>AVERAGE('WetLitterbags placem_collection'!R53,'WetLitterbags placem_collection'!T53)</f>
        <v>27.4</v>
      </c>
      <c r="AL52">
        <f>INDEX([2]Coordinates!$B$2:$B$197,MATCH(I52,[2]Coordinates!$J$2:$J$197,0))</f>
        <v>-3.4063920379999999</v>
      </c>
      <c r="AM52">
        <f>INDEX([2]Coordinates!$C$2:$C$197,MATCH(I52,[2]Coordinates!$J$2:$J$197,0))</f>
        <v>34.850696020000001</v>
      </c>
      <c r="AN52" t="str">
        <f>IF(ISNUMBER(SEARCH("C", 'WetLitterbags placem_collection'!$V53)),"YES","NO")</f>
        <v>NO</v>
      </c>
      <c r="AO52" t="str">
        <f>IF(ISNUMBER(SEARCH("H", 'WetLitterbags placem_collection'!$V53)),"YES","NO")</f>
        <v>NO</v>
      </c>
      <c r="AP52" t="str">
        <f>IF(ISNUMBER(SEARCH("R", 'WetLitterbags placem_collection'!$V53)),"YES","NO")</f>
        <v>YES</v>
      </c>
    </row>
    <row r="53" spans="1:42">
      <c r="A53" t="s">
        <v>3248</v>
      </c>
      <c r="B53" s="248" t="s">
        <v>2454</v>
      </c>
      <c r="C53" s="253">
        <f>'Dry_Litterbag Placem_Collection'!A54</f>
        <v>52</v>
      </c>
      <c r="D53" s="253" t="str">
        <f>'Dry_Litterbag Placem_Collection'!B54</f>
        <v>Makao</v>
      </c>
      <c r="E53" s="253" t="s">
        <v>2643</v>
      </c>
      <c r="F53" s="253" t="s">
        <v>20</v>
      </c>
      <c r="G53" s="253">
        <v>3</v>
      </c>
      <c r="H53" s="253" t="s">
        <v>3109</v>
      </c>
      <c r="I53" s="254" t="str">
        <f>'Dry_Litterbag Placem_Collection'!C54</f>
        <v>Dry_P3_T4</v>
      </c>
      <c r="J53" s="255" t="s">
        <v>2525</v>
      </c>
      <c r="K53" s="256" t="s">
        <v>1147</v>
      </c>
      <c r="L53" s="221" t="str">
        <f>'WetLitterbags placem_collection'!K54</f>
        <v>G638</v>
      </c>
      <c r="M53" s="223">
        <f>IFERROR(INDEX('Green_rooibos initial weight'!$C$5:$C$2000,MATCH(L53, 'Green_rooibos initial weight'!$A$5:$A$2000,0)),"")</f>
        <v>2.0409999999999999</v>
      </c>
      <c r="N53" s="223">
        <f>IFERROR(M53-(TBIcalc!$H$9+TBIcalc!$H$10),"")</f>
        <v>1.7911999999999999</v>
      </c>
      <c r="O53" s="378">
        <f>AVERAGE(Ashed_controlls!$K$2:$K$11)</f>
        <v>5.5147656768714146</v>
      </c>
      <c r="P53" s="223">
        <f t="shared" si="1"/>
        <v>1.6924195171958791</v>
      </c>
      <c r="Q53" s="223">
        <f>IFERROR(INDEX('Both teabags AfterWet'!$C$3:$C$840,MATCH(L53,'Both teabags AfterWet'!$A$3:$A$840,0)),"")</f>
        <v>1.075</v>
      </c>
      <c r="R53" s="223">
        <f>IFERROR(IF(Q53&gt;0,Q53-(TBIcalc!$H$9),""),"")</f>
        <v>0.92439999999999989</v>
      </c>
      <c r="S53" s="223">
        <f>IFERROR(INDEX('Ashed teabags wet'!$K$2:$K$2000,MATCH(L53,'Ashed teabags wet'!$A$2:$A$2000,0)),"")</f>
        <v>30.654761904762275</v>
      </c>
      <c r="T53" s="223">
        <f t="shared" si="2"/>
        <v>0.64102738095237743</v>
      </c>
      <c r="U53" s="224">
        <f>'WetLitterbags placem_collection'!E54</f>
        <v>42766</v>
      </c>
      <c r="V53" s="224">
        <f>IF('WetLitterbags placem_collection'!G54="","",'WetLitterbags placem_collection'!G54)</f>
        <v>42820</v>
      </c>
      <c r="W53" s="225">
        <f t="shared" si="0"/>
        <v>54</v>
      </c>
      <c r="X53" s="223">
        <f t="shared" si="3"/>
        <v>0.86680000000000001</v>
      </c>
      <c r="Y53" s="223">
        <f t="shared" si="4"/>
        <v>1.0513921362435017</v>
      </c>
      <c r="Z53">
        <f>IFERROR(INDEX([1]Rainfall_Wet!$O$2:$O$217,MATCH(C53, [1]Rainfall_Wet!$A$2:$A$217,0)),"")</f>
        <v>214.262898705</v>
      </c>
      <c r="AA53" s="226">
        <v>21.96</v>
      </c>
      <c r="AB53" s="226">
        <v>8.9199999999999982</v>
      </c>
      <c r="AC53" s="226">
        <v>69.12</v>
      </c>
      <c r="AD53" s="227" t="s">
        <v>2651</v>
      </c>
      <c r="AE53" s="226">
        <v>1.7491375061606702</v>
      </c>
      <c r="AF53">
        <f>IF('WetLitterbags placem_collection'!AB54="","",'WetLitterbags placem_collection'!AB54)</f>
        <v>13.4</v>
      </c>
      <c r="AG53">
        <f>IF('WetLitterbags placem_collection'!Z54="","",'WetLitterbags placem_collection'!Z54)</f>
        <v>67</v>
      </c>
      <c r="AH53" s="236" t="str">
        <f>IF('WetLitterbags placem_collection'!AA54="","",'WetLitterbags placem_collection'!AA54)</f>
        <v>M</v>
      </c>
      <c r="AI53">
        <f>IF('WetLitterbags placem_collection'!AC54="","",'WetLitterbags placem_collection'!AC54)</f>
        <v>1</v>
      </c>
      <c r="AJ53" s="233">
        <f>AVERAGE('WetLitterbags placem_collection'!S54,'WetLitterbags placem_collection'!U54)</f>
        <v>29.8</v>
      </c>
      <c r="AK53">
        <f>AVERAGE('WetLitterbags placem_collection'!R54,'WetLitterbags placem_collection'!T54)</f>
        <v>25.799999999999997</v>
      </c>
      <c r="AL53">
        <f>INDEX([2]Coordinates!$B$2:$B$197,MATCH(I53,[2]Coordinates!$J$2:$J$197,0))</f>
        <v>-3.4061569999999999</v>
      </c>
      <c r="AM53">
        <f>INDEX([2]Coordinates!$C$2:$C$197,MATCH(I53,[2]Coordinates!$J$2:$J$197,0))</f>
        <v>34.850738999999997</v>
      </c>
      <c r="AN53" t="str">
        <f>IF(ISNUMBER(SEARCH("C", 'WetLitterbags placem_collection'!$V54)),"YES","NO")</f>
        <v>NO</v>
      </c>
      <c r="AO53" t="str">
        <f>IF(ISNUMBER(SEARCH("H", 'WetLitterbags placem_collection'!$V54)),"YES","NO")</f>
        <v>YES</v>
      </c>
      <c r="AP53" t="str">
        <f>IF(ISNUMBER(SEARCH("R", 'WetLitterbags placem_collection'!$V54)),"YES","NO")</f>
        <v>YES</v>
      </c>
    </row>
    <row r="54" spans="1:42">
      <c r="A54" t="s">
        <v>3248</v>
      </c>
      <c r="B54" s="248" t="s">
        <v>2454</v>
      </c>
      <c r="C54" s="253">
        <f>'Dry_Litterbag Placem_Collection'!A55</f>
        <v>53</v>
      </c>
      <c r="D54" s="253" t="str">
        <f>'Dry_Litterbag Placem_Collection'!B55</f>
        <v>Makao</v>
      </c>
      <c r="E54" s="253" t="s">
        <v>2643</v>
      </c>
      <c r="F54" s="253" t="s">
        <v>20</v>
      </c>
      <c r="G54" s="253">
        <v>3</v>
      </c>
      <c r="H54" s="253" t="s">
        <v>3109</v>
      </c>
      <c r="I54" s="254" t="str">
        <f>'Dry_Litterbag Placem_Collection'!C55</f>
        <v>Dry_P3_T5</v>
      </c>
      <c r="J54" s="255" t="s">
        <v>2525</v>
      </c>
      <c r="K54" s="256" t="s">
        <v>1147</v>
      </c>
      <c r="L54" s="221" t="str">
        <f>'WetLitterbags placem_collection'!K55</f>
        <v>G426</v>
      </c>
      <c r="M54" s="223">
        <f>IFERROR(INDEX('Green_rooibos initial weight'!$C$5:$C$2000,MATCH(L54, 'Green_rooibos initial weight'!$A$5:$A$2000,0)),"")</f>
        <v>2.0230000000000001</v>
      </c>
      <c r="N54" s="223">
        <f>IFERROR(M54-(TBIcalc!$H$9+TBIcalc!$H$10),"")</f>
        <v>1.7732000000000001</v>
      </c>
      <c r="O54" s="378">
        <f>AVERAGE(Ashed_controlls!$K$2:$K$11)</f>
        <v>5.5147656768714146</v>
      </c>
      <c r="P54" s="223">
        <f t="shared" si="1"/>
        <v>1.6754121750177162</v>
      </c>
      <c r="Q54" s="223" t="str">
        <f>IFERROR(INDEX('Both teabags AfterWet'!$C$3:$C$840,MATCH(L54,'Both teabags AfterWet'!$A$3:$A$840,0)),"")</f>
        <v/>
      </c>
      <c r="R54" s="223" t="str">
        <f>IFERROR(IF(Q54&gt;0,Q54-(TBIcalc!$H$9),""),"")</f>
        <v/>
      </c>
      <c r="S54" s="223" t="str">
        <f>IFERROR(INDEX('Ashed teabags wet'!$K$2:$K$2000,MATCH(L54,'Ashed teabags wet'!$A$2:$A$2000,0)),"")</f>
        <v/>
      </c>
      <c r="T54" s="223" t="str">
        <f t="shared" si="2"/>
        <v/>
      </c>
      <c r="U54" s="224">
        <f>'WetLitterbags placem_collection'!E55</f>
        <v>42766</v>
      </c>
      <c r="V54" s="224">
        <f>IF('WetLitterbags placem_collection'!G55="","",'WetLitterbags placem_collection'!G55)</f>
        <v>42820</v>
      </c>
      <c r="W54" s="225">
        <f t="shared" si="0"/>
        <v>54</v>
      </c>
      <c r="X54" s="223" t="str">
        <f t="shared" si="3"/>
        <v/>
      </c>
      <c r="Y54" s="223" t="str">
        <f t="shared" si="4"/>
        <v/>
      </c>
      <c r="Z54">
        <f>IFERROR(INDEX([1]Rainfall_Wet!$O$2:$O$217,MATCH(C54, [1]Rainfall_Wet!$A$2:$A$217,0)),"")</f>
        <v>214.262898705</v>
      </c>
      <c r="AA54" s="226">
        <v>21.96</v>
      </c>
      <c r="AB54" s="226">
        <v>8.9199999999999982</v>
      </c>
      <c r="AC54" s="226">
        <v>69.12</v>
      </c>
      <c r="AD54" s="227" t="s">
        <v>2651</v>
      </c>
      <c r="AE54" s="226">
        <v>1.7491375061606702</v>
      </c>
      <c r="AF54" t="str">
        <f>IF('WetLitterbags placem_collection'!AB55="","",'WetLitterbags placem_collection'!AB55)</f>
        <v/>
      </c>
      <c r="AG54" t="str">
        <f>IF('WetLitterbags placem_collection'!Z55="","",'WetLitterbags placem_collection'!Z55)</f>
        <v/>
      </c>
      <c r="AH54" s="236" t="str">
        <f>IF('WetLitterbags placem_collection'!AA55="","",'WetLitterbags placem_collection'!AA55)</f>
        <v/>
      </c>
      <c r="AI54" t="str">
        <f>IF('WetLitterbags placem_collection'!AC55="","",'WetLitterbags placem_collection'!AC55)</f>
        <v/>
      </c>
      <c r="AJ54" s="233">
        <f>AVERAGE('WetLitterbags placem_collection'!S55,'WetLitterbags placem_collection'!U55)</f>
        <v>20.2</v>
      </c>
      <c r="AK54">
        <f>AVERAGE('WetLitterbags placem_collection'!R55,'WetLitterbags placem_collection'!T55)</f>
        <v>22.2</v>
      </c>
      <c r="AL54">
        <f>INDEX([2]Coordinates!$B$2:$B$197,MATCH(I54,[2]Coordinates!$J$2:$J$197,0))</f>
        <v>-3.4061140000000001</v>
      </c>
      <c r="AM54">
        <f>INDEX([2]Coordinates!$C$2:$C$197,MATCH(I54,[2]Coordinates!$J$2:$J$197,0))</f>
        <v>34.850596000000003</v>
      </c>
      <c r="AN54" t="str">
        <f>IF(ISNUMBER(SEARCH("C", 'WetLitterbags placem_collection'!$V55)),"YES","NO")</f>
        <v>NO</v>
      </c>
      <c r="AO54" t="str">
        <f>IF(ISNUMBER(SEARCH("H", 'WetLitterbags placem_collection'!$V55)),"YES","NO")</f>
        <v>NO</v>
      </c>
      <c r="AP54" t="str">
        <f>IF(ISNUMBER(SEARCH("R", 'WetLitterbags placem_collection'!$V55)),"YES","NO")</f>
        <v>NO</v>
      </c>
    </row>
    <row r="55" spans="1:42">
      <c r="A55" t="s">
        <v>3248</v>
      </c>
      <c r="B55" s="248" t="s">
        <v>2454</v>
      </c>
      <c r="C55" s="253">
        <f>'Dry_Litterbag Placem_Collection'!A56</f>
        <v>54</v>
      </c>
      <c r="D55" s="253" t="str">
        <f>'Dry_Litterbag Placem_Collection'!B56</f>
        <v>Makao</v>
      </c>
      <c r="E55" s="253" t="s">
        <v>2643</v>
      </c>
      <c r="F55" s="253" t="s">
        <v>20</v>
      </c>
      <c r="G55" s="253">
        <v>3</v>
      </c>
      <c r="H55" s="253" t="s">
        <v>3109</v>
      </c>
      <c r="I55" s="254" t="str">
        <f>'Dry_Litterbag Placem_Collection'!C56</f>
        <v>Dry_P3_T6</v>
      </c>
      <c r="J55" s="255" t="s">
        <v>2525</v>
      </c>
      <c r="K55" s="256" t="s">
        <v>1147</v>
      </c>
      <c r="L55" s="221" t="str">
        <f>'WetLitterbags placem_collection'!K56</f>
        <v>G589</v>
      </c>
      <c r="M55" s="223">
        <f>IFERROR(INDEX('Green_rooibos initial weight'!$C$5:$C$2000,MATCH(L55, 'Green_rooibos initial weight'!$A$5:$A$2000,0)),"")</f>
        <v>2.0419999999999998</v>
      </c>
      <c r="N55" s="223">
        <f>IFERROR(M55-(TBIcalc!$H$9+TBIcalc!$H$10),"")</f>
        <v>1.7921999999999998</v>
      </c>
      <c r="O55" s="378">
        <f>AVERAGE(Ashed_controlls!$K$2:$K$11)</f>
        <v>5.5147656768714146</v>
      </c>
      <c r="P55" s="223">
        <f t="shared" si="1"/>
        <v>1.6933643695391103</v>
      </c>
      <c r="Q55" s="223" t="str">
        <f>IFERROR(INDEX('Both teabags AfterWet'!$C$3:$C$840,MATCH(L55,'Both teabags AfterWet'!$A$3:$A$840,0)),"")</f>
        <v/>
      </c>
      <c r="R55" s="223" t="str">
        <f>IFERROR(IF(Q55&gt;0,Q55-(TBIcalc!$H$9),""),"")</f>
        <v/>
      </c>
      <c r="S55" s="223" t="str">
        <f>IFERROR(INDEX('Ashed teabags wet'!$K$2:$K$2000,MATCH(L55,'Ashed teabags wet'!$A$2:$A$2000,0)),"")</f>
        <v/>
      </c>
      <c r="T55" s="223" t="str">
        <f t="shared" si="2"/>
        <v/>
      </c>
      <c r="U55" s="224">
        <f>'WetLitterbags placem_collection'!E56</f>
        <v>42766</v>
      </c>
      <c r="V55" s="224">
        <f>IF('WetLitterbags placem_collection'!G56="","",'WetLitterbags placem_collection'!G56)</f>
        <v>42820</v>
      </c>
      <c r="W55" s="225">
        <f t="shared" si="0"/>
        <v>54</v>
      </c>
      <c r="X55" s="223" t="str">
        <f t="shared" si="3"/>
        <v/>
      </c>
      <c r="Y55" s="223" t="str">
        <f t="shared" si="4"/>
        <v/>
      </c>
      <c r="Z55">
        <f>IFERROR(INDEX([1]Rainfall_Wet!$O$2:$O$217,MATCH(C55, [1]Rainfall_Wet!$A$2:$A$217,0)),"")</f>
        <v>214.262898705</v>
      </c>
      <c r="AA55" s="226">
        <v>21.96</v>
      </c>
      <c r="AB55" s="226">
        <v>8.9199999999999982</v>
      </c>
      <c r="AC55" s="226">
        <v>69.12</v>
      </c>
      <c r="AD55" s="227" t="s">
        <v>2651</v>
      </c>
      <c r="AE55" s="226">
        <v>1.7491375061606702</v>
      </c>
      <c r="AF55" t="str">
        <f>IF('WetLitterbags placem_collection'!AB56="","",'WetLitterbags placem_collection'!AB56)</f>
        <v/>
      </c>
      <c r="AG55" t="str">
        <f>IF('WetLitterbags placem_collection'!Z56="","",'WetLitterbags placem_collection'!Z56)</f>
        <v/>
      </c>
      <c r="AH55" s="236" t="str">
        <f>IF('WetLitterbags placem_collection'!AA56="","",'WetLitterbags placem_collection'!AA56)</f>
        <v/>
      </c>
      <c r="AI55" t="str">
        <f>IF('WetLitterbags placem_collection'!AC56="","",'WetLitterbags placem_collection'!AC56)</f>
        <v/>
      </c>
      <c r="AJ55" s="233">
        <f>AVERAGE('WetLitterbags placem_collection'!S56,'WetLitterbags placem_collection'!U56)</f>
        <v>30.1</v>
      </c>
      <c r="AK55">
        <f>AVERAGE('WetLitterbags placem_collection'!R56,'WetLitterbags placem_collection'!T56)</f>
        <v>22.2</v>
      </c>
      <c r="AL55">
        <f>INDEX([2]Coordinates!$B$2:$B$197,MATCH(I55,[2]Coordinates!$J$2:$J$197,0))</f>
        <v>-3.406058019</v>
      </c>
      <c r="AM55">
        <f>INDEX([2]Coordinates!$C$2:$C$197,MATCH(I55,[2]Coordinates!$J$2:$J$197,0))</f>
        <v>34.850466019999999</v>
      </c>
      <c r="AN55" t="str">
        <f>IF(ISNUMBER(SEARCH("C", 'WetLitterbags placem_collection'!$V56)),"YES","NO")</f>
        <v>NO</v>
      </c>
      <c r="AO55" t="str">
        <f>IF(ISNUMBER(SEARCH("H", 'WetLitterbags placem_collection'!$V56)),"YES","NO")</f>
        <v>NO</v>
      </c>
      <c r="AP55" t="str">
        <f>IF(ISNUMBER(SEARCH("R", 'WetLitterbags placem_collection'!$V56)),"YES","NO")</f>
        <v>NO</v>
      </c>
    </row>
    <row r="56" spans="1:42">
      <c r="A56" t="s">
        <v>3248</v>
      </c>
      <c r="B56" s="248" t="s">
        <v>2454</v>
      </c>
      <c r="C56" s="253">
        <f>'Dry_Litterbag Placem_Collection'!A57</f>
        <v>55</v>
      </c>
      <c r="D56" s="253" t="str">
        <f>'Dry_Litterbag Placem_Collection'!B57</f>
        <v>Makao</v>
      </c>
      <c r="E56" s="253" t="s">
        <v>2643</v>
      </c>
      <c r="F56" s="253" t="s">
        <v>20</v>
      </c>
      <c r="G56" s="253">
        <v>3</v>
      </c>
      <c r="H56" s="253" t="s">
        <v>3109</v>
      </c>
      <c r="I56" s="254" t="str">
        <f>'Dry_Litterbag Placem_Collection'!C57</f>
        <v>Dry_P3_T7</v>
      </c>
      <c r="J56" s="255" t="s">
        <v>2525</v>
      </c>
      <c r="K56" s="256" t="s">
        <v>1147</v>
      </c>
      <c r="L56" s="221" t="str">
        <f>'WetLitterbags placem_collection'!K57</f>
        <v>G622</v>
      </c>
      <c r="M56" s="223">
        <f>IFERROR(INDEX('Green_rooibos initial weight'!$C$5:$C$2000,MATCH(L56, 'Green_rooibos initial weight'!$A$5:$A$2000,0)),"")</f>
        <v>1.978</v>
      </c>
      <c r="N56" s="223">
        <f>IFERROR(M56-(TBIcalc!$H$9+TBIcalc!$H$10),"")</f>
        <v>1.7282</v>
      </c>
      <c r="O56" s="378">
        <f>AVERAGE(Ashed_controlls!$K$2:$K$11)</f>
        <v>5.5147656768714146</v>
      </c>
      <c r="P56" s="223">
        <f t="shared" si="1"/>
        <v>1.6328938195723082</v>
      </c>
      <c r="Q56" s="223" t="str">
        <f>IFERROR(INDEX('Both teabags AfterWet'!$C$3:$C$840,MATCH(L56,'Both teabags AfterWet'!$A$3:$A$840,0)),"")</f>
        <v/>
      </c>
      <c r="R56" s="223" t="str">
        <f>IFERROR(IF(Q56&gt;0,Q56-(TBIcalc!$H$9),""),"")</f>
        <v/>
      </c>
      <c r="S56" s="223" t="str">
        <f>IFERROR(INDEX('Ashed teabags wet'!$K$2:$K$2000,MATCH(L56,'Ashed teabags wet'!$A$2:$A$2000,0)),"")</f>
        <v/>
      </c>
      <c r="T56" s="223" t="str">
        <f t="shared" si="2"/>
        <v/>
      </c>
      <c r="U56" s="224">
        <f>'WetLitterbags placem_collection'!E57</f>
        <v>42766</v>
      </c>
      <c r="V56" s="224">
        <f>IF('WetLitterbags placem_collection'!G57="","",'WetLitterbags placem_collection'!G57)</f>
        <v>42820</v>
      </c>
      <c r="W56" s="225">
        <f t="shared" si="0"/>
        <v>54</v>
      </c>
      <c r="X56" s="223" t="str">
        <f t="shared" si="3"/>
        <v/>
      </c>
      <c r="Y56" s="223" t="str">
        <f t="shared" si="4"/>
        <v/>
      </c>
      <c r="Z56">
        <f>IFERROR(INDEX([1]Rainfall_Wet!$O$2:$O$217,MATCH(C56, [1]Rainfall_Wet!$A$2:$A$217,0)),"")</f>
        <v>214.262898705</v>
      </c>
      <c r="AA56" s="226">
        <v>21.96</v>
      </c>
      <c r="AB56" s="226">
        <v>8.9199999999999982</v>
      </c>
      <c r="AC56" s="226">
        <v>69.12</v>
      </c>
      <c r="AD56" s="227" t="s">
        <v>2651</v>
      </c>
      <c r="AE56" s="226">
        <v>1.7491375061606702</v>
      </c>
      <c r="AF56">
        <f>IF('WetLitterbags placem_collection'!AB57="","",'WetLitterbags placem_collection'!AB57)</f>
        <v>15.8</v>
      </c>
      <c r="AG56">
        <f>IF('WetLitterbags placem_collection'!Z57="","",'WetLitterbags placem_collection'!Z57)</f>
        <v>45</v>
      </c>
      <c r="AH56" s="236" t="str">
        <f>IF('WetLitterbags placem_collection'!AA57="","",'WetLitterbags placem_collection'!AA57)</f>
        <v>M</v>
      </c>
      <c r="AI56">
        <f>IF('WetLitterbags placem_collection'!AC57="","",'WetLitterbags placem_collection'!AC57)</f>
        <v>1</v>
      </c>
      <c r="AJ56" s="233">
        <f>AVERAGE('WetLitterbags placem_collection'!S57,'WetLitterbags placem_collection'!U57)</f>
        <v>33</v>
      </c>
      <c r="AK56">
        <f>AVERAGE('WetLitterbags placem_collection'!R57,'WetLitterbags placem_collection'!T57)</f>
        <v>25.9</v>
      </c>
      <c r="AL56">
        <f>INDEX([2]Coordinates!$B$2:$B$197,MATCH(I56,[2]Coordinates!$J$2:$J$197,0))</f>
        <v>-3.4061389879999999</v>
      </c>
      <c r="AM56">
        <f>INDEX([2]Coordinates!$C$2:$C$197,MATCH(I56,[2]Coordinates!$J$2:$J$197,0))</f>
        <v>34.850574979999998</v>
      </c>
      <c r="AN56" t="str">
        <f>IF(ISNUMBER(SEARCH("C", 'WetLitterbags placem_collection'!$V57)),"YES","NO")</f>
        <v>NO</v>
      </c>
      <c r="AO56" t="str">
        <f>IF(ISNUMBER(SEARCH("H", 'WetLitterbags placem_collection'!$V57)),"YES","NO")</f>
        <v>NO</v>
      </c>
      <c r="AP56" t="str">
        <f>IF(ISNUMBER(SEARCH("R", 'WetLitterbags placem_collection'!$V57)),"YES","NO")</f>
        <v>NO</v>
      </c>
    </row>
    <row r="57" spans="1:42">
      <c r="A57" t="s">
        <v>3248</v>
      </c>
      <c r="B57" s="248" t="s">
        <v>2454</v>
      </c>
      <c r="C57" s="253">
        <f>'Dry_Litterbag Placem_Collection'!A58</f>
        <v>56</v>
      </c>
      <c r="D57" s="253" t="str">
        <f>'Dry_Litterbag Placem_Collection'!B58</f>
        <v>Makao</v>
      </c>
      <c r="E57" s="253" t="s">
        <v>2643</v>
      </c>
      <c r="F57" s="253" t="s">
        <v>20</v>
      </c>
      <c r="G57" s="253">
        <v>3</v>
      </c>
      <c r="H57" s="253" t="s">
        <v>3109</v>
      </c>
      <c r="I57" s="254" t="str">
        <f>'Dry_Litterbag Placem_Collection'!C58</f>
        <v>Dry_P3_T8</v>
      </c>
      <c r="J57" s="255" t="s">
        <v>2525</v>
      </c>
      <c r="K57" s="256" t="s">
        <v>1147</v>
      </c>
      <c r="L57" s="221" t="str">
        <f>'WetLitterbags placem_collection'!K58</f>
        <v>G538</v>
      </c>
      <c r="M57" s="223">
        <f>IFERROR(INDEX('Green_rooibos initial weight'!$C$5:$C$2000,MATCH(L57, 'Green_rooibos initial weight'!$A$5:$A$2000,0)),"")</f>
        <v>2.1760000000000002</v>
      </c>
      <c r="N57" s="223">
        <f>IFERROR(M57-(TBIcalc!$H$9+TBIcalc!$H$10),"")</f>
        <v>1.9262000000000001</v>
      </c>
      <c r="O57" s="378">
        <f>AVERAGE(Ashed_controlls!$K$2:$K$11)</f>
        <v>5.5147656768714146</v>
      </c>
      <c r="P57" s="223">
        <f t="shared" si="1"/>
        <v>1.8199745835321028</v>
      </c>
      <c r="Q57" s="223">
        <f>IFERROR(INDEX('Both teabags AfterWet'!$C$3:$C$840,MATCH(L57,'Both teabags AfterWet'!$A$3:$A$840,0)),"")</f>
        <v>0.81</v>
      </c>
      <c r="R57" s="223">
        <f>IFERROR(IF(Q57&gt;0,Q57-(TBIcalc!$H$9),""),"")</f>
        <v>0.65939999999999999</v>
      </c>
      <c r="S57" s="223">
        <f>IFERROR(INDEX('Ashed teabags wet'!$K$2:$K$2000,MATCH(L57,'Ashed teabags wet'!$A$2:$A$2000,0)),"")</f>
        <v>21.852387843704392</v>
      </c>
      <c r="T57" s="223">
        <f t="shared" si="2"/>
        <v>0.51530535455861326</v>
      </c>
      <c r="U57" s="224">
        <f>'WetLitterbags placem_collection'!E58</f>
        <v>42766</v>
      </c>
      <c r="V57" s="224">
        <f>IF('WetLitterbags placem_collection'!G58="","",'WetLitterbags placem_collection'!G58)</f>
        <v>42820</v>
      </c>
      <c r="W57" s="225">
        <f t="shared" si="0"/>
        <v>54</v>
      </c>
      <c r="X57" s="223">
        <f t="shared" si="3"/>
        <v>1.2668000000000001</v>
      </c>
      <c r="Y57" s="223">
        <f t="shared" si="4"/>
        <v>1.3046692289734896</v>
      </c>
      <c r="Z57">
        <f>IFERROR(INDEX([1]Rainfall_Wet!$O$2:$O$217,MATCH(C57, [1]Rainfall_Wet!$A$2:$A$217,0)),"")</f>
        <v>214.262898705</v>
      </c>
      <c r="AA57" s="226">
        <v>21.96</v>
      </c>
      <c r="AB57" s="226">
        <v>8.9199999999999982</v>
      </c>
      <c r="AC57" s="226">
        <v>69.12</v>
      </c>
      <c r="AD57" s="227" t="s">
        <v>2651</v>
      </c>
      <c r="AE57" s="226">
        <v>1.7491375061606702</v>
      </c>
      <c r="AF57">
        <f>IF('WetLitterbags placem_collection'!AB58="","",'WetLitterbags placem_collection'!AB58)</f>
        <v>15.4</v>
      </c>
      <c r="AG57">
        <f>IF('WetLitterbags placem_collection'!Z58="","",'WetLitterbags placem_collection'!Z58)</f>
        <v>30.8</v>
      </c>
      <c r="AH57" s="236" t="str">
        <f>IF('WetLitterbags placem_collection'!AA58="","",'WetLitterbags placem_collection'!AA58)</f>
        <v>M</v>
      </c>
      <c r="AI57">
        <f>IF('WetLitterbags placem_collection'!AC58="","",'WetLitterbags placem_collection'!AC58)</f>
        <v>0</v>
      </c>
      <c r="AJ57" s="233">
        <f>AVERAGE('WetLitterbags placem_collection'!S58,'WetLitterbags placem_collection'!U58)</f>
        <v>29.5</v>
      </c>
      <c r="AK57">
        <f>AVERAGE('WetLitterbags placem_collection'!R58,'WetLitterbags placem_collection'!T58)</f>
        <v>27.6</v>
      </c>
      <c r="AL57">
        <f>INDEX([2]Coordinates!$B$2:$B$197,MATCH(I57,[2]Coordinates!$J$2:$J$197,0))</f>
        <v>-3.4062900300000001</v>
      </c>
      <c r="AM57">
        <f>INDEX([2]Coordinates!$C$2:$C$197,MATCH(I57,[2]Coordinates!$J$2:$J$197,0))</f>
        <v>34.850441959999998</v>
      </c>
      <c r="AN57" t="str">
        <f>IF(ISNUMBER(SEARCH("C", 'WetLitterbags placem_collection'!$V58)),"YES","NO")</f>
        <v>NO</v>
      </c>
      <c r="AO57" t="str">
        <f>IF(ISNUMBER(SEARCH("H", 'WetLitterbags placem_collection'!$V58)),"YES","NO")</f>
        <v>YES</v>
      </c>
      <c r="AP57" t="str">
        <f>IF(ISNUMBER(SEARCH("R", 'WetLitterbags placem_collection'!$V58)),"YES","NO")</f>
        <v>YES</v>
      </c>
    </row>
    <row r="58" spans="1:42">
      <c r="A58" t="s">
        <v>3248</v>
      </c>
      <c r="B58" s="248" t="s">
        <v>2454</v>
      </c>
      <c r="C58" s="253">
        <f>'Dry_Litterbag Placem_Collection'!A59</f>
        <v>57</v>
      </c>
      <c r="D58" s="253" t="str">
        <f>'Dry_Litterbag Placem_Collection'!B59</f>
        <v>Makao</v>
      </c>
      <c r="E58" s="253" t="s">
        <v>2643</v>
      </c>
      <c r="F58" s="253" t="s">
        <v>20</v>
      </c>
      <c r="G58" s="253">
        <v>4</v>
      </c>
      <c r="H58" s="253" t="s">
        <v>3110</v>
      </c>
      <c r="I58" s="254" t="str">
        <f>'Dry_Litterbag Placem_Collection'!C59</f>
        <v>Dry_P4_T1</v>
      </c>
      <c r="J58" s="255" t="s">
        <v>2525</v>
      </c>
      <c r="K58" s="256" t="s">
        <v>1147</v>
      </c>
      <c r="L58" s="221" t="str">
        <f>'WetLitterbags placem_collection'!K59</f>
        <v>G546</v>
      </c>
      <c r="M58" s="223">
        <f>IFERROR(INDEX('Green_rooibos initial weight'!$C$5:$C$2000,MATCH(L58, 'Green_rooibos initial weight'!$A$5:$A$2000,0)),"")</f>
        <v>2.1429999999999998</v>
      </c>
      <c r="N58" s="223">
        <f>IFERROR(M58-(TBIcalc!$H$9+TBIcalc!$H$10),"")</f>
        <v>1.8931999999999998</v>
      </c>
      <c r="O58" s="378">
        <f>AVERAGE(Ashed_controlls!$K$2:$K$11)</f>
        <v>5.5147656768714146</v>
      </c>
      <c r="P58" s="223">
        <f t="shared" si="1"/>
        <v>1.7887944562054701</v>
      </c>
      <c r="Q58" s="223">
        <f>IFERROR(INDEX('Both teabags AfterWet'!$C$3:$C$840,MATCH(L58,'Both teabags AfterWet'!$A$3:$A$840,0)),"")</f>
        <v>0.88660000000000005</v>
      </c>
      <c r="R58" s="223">
        <f>IFERROR(IF(Q58&gt;0,Q58-(TBIcalc!$H$9),""),"")</f>
        <v>0.73599999999999999</v>
      </c>
      <c r="S58" s="223">
        <f>IFERROR(INDEX('Ashed teabags wet'!$K$2:$K$2000,MATCH(L58,'Ashed teabags wet'!$A$2:$A$2000,0)),"")</f>
        <v>16.553398058252881</v>
      </c>
      <c r="T58" s="223">
        <f t="shared" si="2"/>
        <v>0.61416699029125876</v>
      </c>
      <c r="U58" s="224">
        <f>'WetLitterbags placem_collection'!E59</f>
        <v>42766</v>
      </c>
      <c r="V58" s="224">
        <f>IF('WetLitterbags placem_collection'!G59="","",'WetLitterbags placem_collection'!G59)</f>
        <v>42820</v>
      </c>
      <c r="W58" s="225">
        <f t="shared" si="0"/>
        <v>54</v>
      </c>
      <c r="X58" s="223">
        <f t="shared" si="3"/>
        <v>1.1571999999999998</v>
      </c>
      <c r="Y58" s="223">
        <f t="shared" si="4"/>
        <v>1.1746274659142113</v>
      </c>
      <c r="Z58">
        <f>IFERROR(INDEX([1]Rainfall_Wet!$O$2:$O$217,MATCH(C58, [1]Rainfall_Wet!$A$2:$A$217,0)),"")</f>
        <v>214.262898705</v>
      </c>
      <c r="AA58" s="226">
        <v>25.96</v>
      </c>
      <c r="AB58" s="226">
        <v>6.9200000000000008</v>
      </c>
      <c r="AC58" s="226">
        <v>67.12</v>
      </c>
      <c r="AD58" s="227" t="s">
        <v>2651</v>
      </c>
      <c r="AE58" s="226">
        <v>1.7568260226712666</v>
      </c>
      <c r="AF58">
        <f>IF('WetLitterbags placem_collection'!AB59="","",'WetLitterbags placem_collection'!AB59)</f>
        <v>3.3</v>
      </c>
      <c r="AG58">
        <f>IF('WetLitterbags placem_collection'!Z59="","",'WetLitterbags placem_collection'!Z59)</f>
        <v>28.4</v>
      </c>
      <c r="AH58" s="236" t="str">
        <f>IF('WetLitterbags placem_collection'!AA59="","",'WetLitterbags placem_collection'!AA59)</f>
        <v>O</v>
      </c>
      <c r="AI58">
        <f>IF('WetLitterbags placem_collection'!AC59="","",'WetLitterbags placem_collection'!AC59)</f>
        <v>1</v>
      </c>
      <c r="AJ58" s="233">
        <f>AVERAGE('WetLitterbags placem_collection'!S59,'WetLitterbags placem_collection'!U59)</f>
        <v>31.6</v>
      </c>
      <c r="AK58">
        <f>AVERAGE('WetLitterbags placem_collection'!R59,'WetLitterbags placem_collection'!T59)</f>
        <v>26.9</v>
      </c>
      <c r="AL58">
        <f>INDEX([2]Coordinates!$B$2:$B$197,MATCH(I58,[2]Coordinates!$J$2:$J$197,0))</f>
        <v>-3.4064239729999999</v>
      </c>
      <c r="AM58">
        <f>INDEX([2]Coordinates!$C$2:$C$197,MATCH(I58,[2]Coordinates!$J$2:$J$197,0))</f>
        <v>34.851213010000002</v>
      </c>
      <c r="AN58" t="str">
        <f>IF(ISNUMBER(SEARCH("C", 'WetLitterbags placem_collection'!$V59)),"YES","NO")</f>
        <v>NO</v>
      </c>
      <c r="AO58" t="str">
        <f>IF(ISNUMBER(SEARCH("H", 'WetLitterbags placem_collection'!$V59)),"YES","NO")</f>
        <v>NO</v>
      </c>
      <c r="AP58" t="str">
        <f>IF(ISNUMBER(SEARCH("R", 'WetLitterbags placem_collection'!$V59)),"YES","NO")</f>
        <v>YES</v>
      </c>
    </row>
    <row r="59" spans="1:42">
      <c r="A59" t="s">
        <v>3248</v>
      </c>
      <c r="B59" s="248" t="s">
        <v>2454</v>
      </c>
      <c r="C59" s="253">
        <f>'Dry_Litterbag Placem_Collection'!A60</f>
        <v>58</v>
      </c>
      <c r="D59" s="253" t="str">
        <f>'Dry_Litterbag Placem_Collection'!B60</f>
        <v>Makao</v>
      </c>
      <c r="E59" s="253" t="s">
        <v>2643</v>
      </c>
      <c r="F59" s="253" t="s">
        <v>20</v>
      </c>
      <c r="G59" s="253">
        <v>4</v>
      </c>
      <c r="H59" s="253" t="s">
        <v>3110</v>
      </c>
      <c r="I59" s="254" t="str">
        <f>'Dry_Litterbag Placem_Collection'!C60</f>
        <v>Dry_P4_T2</v>
      </c>
      <c r="J59" s="255" t="s">
        <v>2525</v>
      </c>
      <c r="K59" s="256" t="s">
        <v>1147</v>
      </c>
      <c r="L59" s="221" t="str">
        <f>'WetLitterbags placem_collection'!K60</f>
        <v>G513</v>
      </c>
      <c r="M59" s="223">
        <f>IFERROR(INDEX('Green_rooibos initial weight'!$C$5:$C$2000,MATCH(L59, 'Green_rooibos initial weight'!$A$5:$A$2000,0)),"")</f>
        <v>2.0179999999999998</v>
      </c>
      <c r="N59" s="223">
        <f>IFERROR(M59-(TBIcalc!$H$9+TBIcalc!$H$10),"")</f>
        <v>1.7681999999999998</v>
      </c>
      <c r="O59" s="378">
        <f>AVERAGE(Ashed_controlls!$K$2:$K$11)</f>
        <v>5.5147656768714146</v>
      </c>
      <c r="P59" s="223">
        <f t="shared" si="1"/>
        <v>1.6706879133015595</v>
      </c>
      <c r="Q59" s="223">
        <f>IFERROR(INDEX('Both teabags AfterWet'!$C$3:$C$840,MATCH(L59,'Both teabags AfterWet'!$A$3:$A$840,0)),"")</f>
        <v>0.93279999999999996</v>
      </c>
      <c r="R59" s="223">
        <f>IFERROR(IF(Q59&gt;0,Q59-(TBIcalc!$H$9),""),"")</f>
        <v>0.78220000000000001</v>
      </c>
      <c r="S59" s="223">
        <f>IFERROR(INDEX('Ashed teabags wet'!$K$2:$K$2000,MATCH(L59,'Ashed teabags wet'!$A$2:$A$2000,0)),"")</f>
        <v>17.757936507936094</v>
      </c>
      <c r="T59" s="223">
        <f t="shared" si="2"/>
        <v>0.6432974206349239</v>
      </c>
      <c r="U59" s="224">
        <f>'WetLitterbags placem_collection'!E60</f>
        <v>42766</v>
      </c>
      <c r="V59" s="224">
        <f>IF('WetLitterbags placem_collection'!G60="","",'WetLitterbags placem_collection'!G60)</f>
        <v>42820</v>
      </c>
      <c r="W59" s="225">
        <f t="shared" si="0"/>
        <v>54</v>
      </c>
      <c r="X59" s="223">
        <f t="shared" si="3"/>
        <v>0.98599999999999977</v>
      </c>
      <c r="Y59" s="223">
        <f t="shared" si="4"/>
        <v>1.0273904926666355</v>
      </c>
      <c r="Z59">
        <f>IFERROR(INDEX([1]Rainfall_Wet!$O$2:$O$217,MATCH(C59, [1]Rainfall_Wet!$A$2:$A$217,0)),"")</f>
        <v>214.262898705</v>
      </c>
      <c r="AA59" s="226">
        <v>25.96</v>
      </c>
      <c r="AB59" s="226">
        <v>6.9200000000000008</v>
      </c>
      <c r="AC59" s="226">
        <v>67.12</v>
      </c>
      <c r="AD59" s="227" t="s">
        <v>2651</v>
      </c>
      <c r="AE59" s="226">
        <v>1.7568260226712666</v>
      </c>
      <c r="AF59">
        <f>IF('WetLitterbags placem_collection'!AB60="","",'WetLitterbags placem_collection'!AB60)</f>
        <v>1.4</v>
      </c>
      <c r="AG59">
        <f>IF('WetLitterbags placem_collection'!Z60="","",'WetLitterbags placem_collection'!Z60)</f>
        <v>54.4</v>
      </c>
      <c r="AH59" s="236" t="str">
        <f>IF('WetLitterbags placem_collection'!AA60="","",'WetLitterbags placem_collection'!AA60)</f>
        <v>O</v>
      </c>
      <c r="AI59">
        <f>IF('WetLitterbags placem_collection'!AC60="","",'WetLitterbags placem_collection'!AC60)</f>
        <v>0</v>
      </c>
      <c r="AJ59" s="233">
        <f>AVERAGE('WetLitterbags placem_collection'!S60,'WetLitterbags placem_collection'!U60)</f>
        <v>31.6</v>
      </c>
      <c r="AK59">
        <f>AVERAGE('WetLitterbags placem_collection'!R60,'WetLitterbags placem_collection'!T60)</f>
        <v>26.700000000000003</v>
      </c>
      <c r="AL59">
        <f>INDEX([2]Coordinates!$B$2:$B$197,MATCH(I59,[2]Coordinates!$J$2:$J$197,0))</f>
        <v>-3.4065020079999999</v>
      </c>
      <c r="AM59">
        <f>INDEX([2]Coordinates!$C$2:$C$197,MATCH(I59,[2]Coordinates!$J$2:$J$197,0))</f>
        <v>34.851056020000001</v>
      </c>
      <c r="AN59" t="str">
        <f>IF(ISNUMBER(SEARCH("C", 'WetLitterbags placem_collection'!$V60)),"YES","NO")</f>
        <v>NO</v>
      </c>
      <c r="AO59" t="str">
        <f>IF(ISNUMBER(SEARCH("H", 'WetLitterbags placem_collection'!$V60)),"YES","NO")</f>
        <v>YES</v>
      </c>
      <c r="AP59" t="str">
        <f>IF(ISNUMBER(SEARCH("R", 'WetLitterbags placem_collection'!$V60)),"YES","NO")</f>
        <v>YES</v>
      </c>
    </row>
    <row r="60" spans="1:42">
      <c r="A60" t="s">
        <v>3248</v>
      </c>
      <c r="B60" s="248" t="s">
        <v>2454</v>
      </c>
      <c r="C60" s="253">
        <f>'Dry_Litterbag Placem_Collection'!A61</f>
        <v>59</v>
      </c>
      <c r="D60" s="253" t="str">
        <f>'Dry_Litterbag Placem_Collection'!B61</f>
        <v>Makao</v>
      </c>
      <c r="E60" s="253" t="s">
        <v>2643</v>
      </c>
      <c r="F60" s="253" t="s">
        <v>20</v>
      </c>
      <c r="G60" s="253">
        <v>4</v>
      </c>
      <c r="H60" s="253" t="s">
        <v>3110</v>
      </c>
      <c r="I60" s="254" t="str">
        <f>'Dry_Litterbag Placem_Collection'!C61</f>
        <v>Dry_P4_T3</v>
      </c>
      <c r="J60" s="255" t="s">
        <v>2525</v>
      </c>
      <c r="K60" s="256" t="s">
        <v>1147</v>
      </c>
      <c r="L60" s="221" t="str">
        <f>'WetLitterbags placem_collection'!K61</f>
        <v>G489</v>
      </c>
      <c r="M60" s="223">
        <f>IFERROR(INDEX('Green_rooibos initial weight'!$C$5:$C$2000,MATCH(L60, 'Green_rooibos initial weight'!$A$5:$A$2000,0)),"")</f>
        <v>1.9</v>
      </c>
      <c r="N60" s="223">
        <f>IFERROR(M60-(TBIcalc!$H$9+TBIcalc!$H$10),"")</f>
        <v>1.6501999999999999</v>
      </c>
      <c r="O60" s="378">
        <f>AVERAGE(Ashed_controlls!$K$2:$K$11)</f>
        <v>5.5147656768714146</v>
      </c>
      <c r="P60" s="223">
        <f t="shared" si="1"/>
        <v>1.5591953368002678</v>
      </c>
      <c r="Q60" s="223">
        <f>IFERROR(INDEX('Both teabags AfterWet'!$C$3:$C$840,MATCH(L60,'Both teabags AfterWet'!$A$3:$A$840,0)),"")</f>
        <v>0.88400000000000001</v>
      </c>
      <c r="R60" s="223">
        <f>IFERROR(IF(Q60&gt;0,Q60-(TBIcalc!$H$9),""),"")</f>
        <v>0.73340000000000005</v>
      </c>
      <c r="S60" s="223">
        <f>IFERROR(INDEX('Ashed teabags wet'!$K$2:$K$2000,MATCH(L60,'Ashed teabags wet'!$A$2:$A$2000,0)),"")</f>
        <v>11.144278606964582</v>
      </c>
      <c r="T60" s="223">
        <f t="shared" si="2"/>
        <v>0.65166786069652183</v>
      </c>
      <c r="U60" s="224">
        <f>'WetLitterbags placem_collection'!E61</f>
        <v>42766</v>
      </c>
      <c r="V60" s="224">
        <f>IF('WetLitterbags placem_collection'!G61="","",'WetLitterbags placem_collection'!G61)</f>
        <v>42820</v>
      </c>
      <c r="W60" s="225">
        <f t="shared" si="0"/>
        <v>54</v>
      </c>
      <c r="X60" s="223">
        <f t="shared" si="3"/>
        <v>0.91679999999999984</v>
      </c>
      <c r="Y60" s="223">
        <f t="shared" si="4"/>
        <v>0.90752747610374596</v>
      </c>
      <c r="Z60">
        <f>IFERROR(INDEX([1]Rainfall_Wet!$O$2:$O$217,MATCH(C60, [1]Rainfall_Wet!$A$2:$A$217,0)),"")</f>
        <v>214.262898705</v>
      </c>
      <c r="AA60" s="226">
        <v>25.96</v>
      </c>
      <c r="AB60" s="226">
        <v>6.9200000000000008</v>
      </c>
      <c r="AC60" s="226">
        <v>67.12</v>
      </c>
      <c r="AD60" s="227" t="s">
        <v>2651</v>
      </c>
      <c r="AE60" s="226">
        <v>1.7568260226712666</v>
      </c>
      <c r="AF60">
        <f>IF('WetLitterbags placem_collection'!AB61="","",'WetLitterbags placem_collection'!AB61)</f>
        <v>3.3</v>
      </c>
      <c r="AG60">
        <f>IF('WetLitterbags placem_collection'!Z61="","",'WetLitterbags placem_collection'!Z61)</f>
        <v>46</v>
      </c>
      <c r="AH60" s="236" t="str">
        <f>IF('WetLitterbags placem_collection'!AA61="","",'WetLitterbags placem_collection'!AA61)</f>
        <v>O</v>
      </c>
      <c r="AI60">
        <f>IF('WetLitterbags placem_collection'!AC61="","",'WetLitterbags placem_collection'!AC61)</f>
        <v>0</v>
      </c>
      <c r="AJ60" s="233">
        <f>AVERAGE('WetLitterbags placem_collection'!S61,'WetLitterbags placem_collection'!U61)</f>
        <v>27.9</v>
      </c>
      <c r="AK60">
        <f>AVERAGE('WetLitterbags placem_collection'!R61,'WetLitterbags placem_collection'!T61)</f>
        <v>27.049999999999997</v>
      </c>
      <c r="AL60">
        <f>INDEX([2]Coordinates!$B$2:$B$197,MATCH(I60,[2]Coordinates!$J$2:$J$197,0))</f>
        <v>-3.4062359670000002</v>
      </c>
      <c r="AM60">
        <f>INDEX([2]Coordinates!$C$2:$C$197,MATCH(I60,[2]Coordinates!$J$2:$J$197,0))</f>
        <v>34.851107990000003</v>
      </c>
      <c r="AN60" t="str">
        <f>IF(ISNUMBER(SEARCH("C", 'WetLitterbags placem_collection'!$V61)),"YES","NO")</f>
        <v>NO</v>
      </c>
      <c r="AO60" t="str">
        <f>IF(ISNUMBER(SEARCH("H", 'WetLitterbags placem_collection'!$V61)),"YES","NO")</f>
        <v>NO</v>
      </c>
      <c r="AP60" t="str">
        <f>IF(ISNUMBER(SEARCH("R", 'WetLitterbags placem_collection'!$V61)),"YES","NO")</f>
        <v>NO</v>
      </c>
    </row>
    <row r="61" spans="1:42">
      <c r="A61" t="s">
        <v>3248</v>
      </c>
      <c r="B61" s="248" t="s">
        <v>2454</v>
      </c>
      <c r="C61" s="253">
        <f>'Dry_Litterbag Placem_Collection'!A62</f>
        <v>60</v>
      </c>
      <c r="D61" s="253" t="str">
        <f>'Dry_Litterbag Placem_Collection'!B62</f>
        <v>Makao</v>
      </c>
      <c r="E61" s="253" t="s">
        <v>2643</v>
      </c>
      <c r="F61" s="253" t="s">
        <v>20</v>
      </c>
      <c r="G61" s="253">
        <v>4</v>
      </c>
      <c r="H61" s="253" t="s">
        <v>3110</v>
      </c>
      <c r="I61" s="254" t="str">
        <f>'Dry_Litterbag Placem_Collection'!C62</f>
        <v>Dry_P4_T4</v>
      </c>
      <c r="J61" s="255" t="s">
        <v>2525</v>
      </c>
      <c r="K61" s="256" t="s">
        <v>1147</v>
      </c>
      <c r="L61" s="221" t="str">
        <f>'WetLitterbags placem_collection'!K62</f>
        <v>G633</v>
      </c>
      <c r="M61" s="223">
        <f>IFERROR(INDEX('Green_rooibos initial weight'!$C$5:$C$2000,MATCH(L61, 'Green_rooibos initial weight'!$A$5:$A$2000,0)),"")</f>
        <v>2.0630000000000002</v>
      </c>
      <c r="N61" s="223">
        <f>IFERROR(M61-(TBIcalc!$H$9+TBIcalc!$H$10),"")</f>
        <v>1.8132000000000001</v>
      </c>
      <c r="O61" s="378">
        <f>AVERAGE(Ashed_controlls!$K$2:$K$11)</f>
        <v>5.5147656768714146</v>
      </c>
      <c r="P61" s="223">
        <f t="shared" si="1"/>
        <v>1.7132062687469676</v>
      </c>
      <c r="Q61" s="223">
        <f>IFERROR(INDEX('Both teabags AfterWet'!$C$3:$C$840,MATCH(L61,'Both teabags AfterWet'!$A$3:$A$840,0)),"")</f>
        <v>0.874</v>
      </c>
      <c r="R61" s="223">
        <f>IFERROR(IF(Q61&gt;0,Q61-(TBIcalc!$H$9),""),"")</f>
        <v>0.72340000000000004</v>
      </c>
      <c r="S61" s="223">
        <f>IFERROR(INDEX('Ashed teabags wet'!$K$2:$K$2000,MATCH(L61,'Ashed teabags wet'!$A$2:$A$2000,0)),"")</f>
        <v>12.827988338192315</v>
      </c>
      <c r="T61" s="223">
        <f t="shared" si="2"/>
        <v>0.63060233236151686</v>
      </c>
      <c r="U61" s="224">
        <f>'WetLitterbags placem_collection'!E62</f>
        <v>42766</v>
      </c>
      <c r="V61" s="224">
        <f>IF('WetLitterbags placem_collection'!G62="","",'WetLitterbags placem_collection'!G62)</f>
        <v>42820</v>
      </c>
      <c r="W61" s="225">
        <f t="shared" si="0"/>
        <v>54</v>
      </c>
      <c r="X61" s="223">
        <f t="shared" si="3"/>
        <v>1.0898000000000001</v>
      </c>
      <c r="Y61" s="223">
        <f t="shared" si="4"/>
        <v>1.0826039363854507</v>
      </c>
      <c r="Z61">
        <f>IFERROR(INDEX([1]Rainfall_Wet!$O$2:$O$217,MATCH(C61, [1]Rainfall_Wet!$A$2:$A$217,0)),"")</f>
        <v>214.262898705</v>
      </c>
      <c r="AA61" s="226">
        <v>25.96</v>
      </c>
      <c r="AB61" s="226">
        <v>6.9200000000000008</v>
      </c>
      <c r="AC61" s="226">
        <v>67.12</v>
      </c>
      <c r="AD61" s="227" t="s">
        <v>2651</v>
      </c>
      <c r="AE61" s="226">
        <v>1.7568260226712666</v>
      </c>
      <c r="AF61">
        <f>IF('WetLitterbags placem_collection'!AB62="","",'WetLitterbags placem_collection'!AB62)</f>
        <v>2.4</v>
      </c>
      <c r="AG61">
        <f>IF('WetLitterbags placem_collection'!Z62="","",'WetLitterbags placem_collection'!Z62)</f>
        <v>10.199999999999999</v>
      </c>
      <c r="AH61" s="236" t="str">
        <f>IF('WetLitterbags placem_collection'!AA62="","",'WetLitterbags placem_collection'!AA62)</f>
        <v>O</v>
      </c>
      <c r="AI61">
        <f>IF('WetLitterbags placem_collection'!AC62="","",'WetLitterbags placem_collection'!AC62)</f>
        <v>0</v>
      </c>
      <c r="AJ61" s="233">
        <f>AVERAGE('WetLitterbags placem_collection'!S62,'WetLitterbags placem_collection'!U62)</f>
        <v>22.5</v>
      </c>
      <c r="AK61">
        <f>AVERAGE('WetLitterbags placem_collection'!R62,'WetLitterbags placem_collection'!T62)</f>
        <v>28.6</v>
      </c>
      <c r="AL61">
        <f>INDEX([2]Coordinates!$B$2:$B$197,MATCH(I61,[2]Coordinates!$J$2:$J$197,0))</f>
        <v>-3.406281983</v>
      </c>
      <c r="AM61">
        <f>INDEX([2]Coordinates!$C$2:$C$197,MATCH(I61,[2]Coordinates!$J$2:$J$197,0))</f>
        <v>34.85137898</v>
      </c>
      <c r="AN61" t="str">
        <f>IF(ISNUMBER(SEARCH("C", 'WetLitterbags placem_collection'!$V62)),"YES","NO")</f>
        <v>NO</v>
      </c>
      <c r="AO61" t="str">
        <f>IF(ISNUMBER(SEARCH("H", 'WetLitterbags placem_collection'!$V62)),"YES","NO")</f>
        <v>NO</v>
      </c>
      <c r="AP61" t="str">
        <f>IF(ISNUMBER(SEARCH("R", 'WetLitterbags placem_collection'!$V62)),"YES","NO")</f>
        <v>YES</v>
      </c>
    </row>
    <row r="62" spans="1:42">
      <c r="A62" t="s">
        <v>3248</v>
      </c>
      <c r="B62" s="248" t="s">
        <v>2454</v>
      </c>
      <c r="C62" s="253">
        <f>'Dry_Litterbag Placem_Collection'!A63</f>
        <v>61</v>
      </c>
      <c r="D62" s="253" t="str">
        <f>'Dry_Litterbag Placem_Collection'!B63</f>
        <v>Makao</v>
      </c>
      <c r="E62" s="253" t="s">
        <v>2643</v>
      </c>
      <c r="F62" s="253" t="s">
        <v>20</v>
      </c>
      <c r="G62" s="253">
        <v>4</v>
      </c>
      <c r="H62" s="253" t="s">
        <v>3110</v>
      </c>
      <c r="I62" s="254" t="str">
        <f>'Dry_Litterbag Placem_Collection'!C63</f>
        <v>Dry_P4_T5</v>
      </c>
      <c r="J62" s="255" t="s">
        <v>2525</v>
      </c>
      <c r="K62" s="256" t="s">
        <v>1147</v>
      </c>
      <c r="L62" s="221" t="str">
        <f>'WetLitterbags placem_collection'!K63</f>
        <v>G541</v>
      </c>
      <c r="M62" s="223">
        <f>IFERROR(INDEX('Green_rooibos initial weight'!$C$5:$C$2000,MATCH(L62, 'Green_rooibos initial weight'!$A$5:$A$2000,0)),"")</f>
        <v>1.978</v>
      </c>
      <c r="N62" s="223">
        <f>IFERROR(M62-(TBIcalc!$H$9+TBIcalc!$H$10),"")</f>
        <v>1.7282</v>
      </c>
      <c r="O62" s="378">
        <f>AVERAGE(Ashed_controlls!$K$2:$K$11)</f>
        <v>5.5147656768714146</v>
      </c>
      <c r="P62" s="223">
        <f t="shared" si="1"/>
        <v>1.6328938195723082</v>
      </c>
      <c r="Q62" s="223">
        <f>IFERROR(INDEX('Both teabags AfterWet'!$C$3:$C$840,MATCH(L62,'Both teabags AfterWet'!$A$3:$A$840,0)),"")</f>
        <v>0.78600000000000003</v>
      </c>
      <c r="R62" s="223">
        <f>IFERROR(IF(Q62&gt;0,Q62-(TBIcalc!$H$9),""),"")</f>
        <v>0.63539999999999996</v>
      </c>
      <c r="S62" s="223">
        <f>IFERROR(INDEX('Ashed teabags wet'!$K$2:$K$2000,MATCH(L62,'Ashed teabags wet'!$A$2:$A$2000,0)),"")</f>
        <v>12.728194726166139</v>
      </c>
      <c r="T62" s="223">
        <f t="shared" si="2"/>
        <v>0.55452505070994029</v>
      </c>
      <c r="U62" s="224">
        <f>'WetLitterbags placem_collection'!E63</f>
        <v>42766</v>
      </c>
      <c r="V62" s="224">
        <f>IF('WetLitterbags placem_collection'!G63="","",'WetLitterbags placem_collection'!G63)</f>
        <v>42820</v>
      </c>
      <c r="W62" s="225">
        <f t="shared" si="0"/>
        <v>54</v>
      </c>
      <c r="X62" s="223">
        <f t="shared" si="3"/>
        <v>1.0928</v>
      </c>
      <c r="Y62" s="223">
        <f t="shared" si="4"/>
        <v>1.0783687688623678</v>
      </c>
      <c r="Z62">
        <f>IFERROR(INDEX([1]Rainfall_Wet!$O$2:$O$217,MATCH(C62, [1]Rainfall_Wet!$A$2:$A$217,0)),"")</f>
        <v>214.262898705</v>
      </c>
      <c r="AA62" s="226">
        <v>25.96</v>
      </c>
      <c r="AB62" s="226">
        <v>6.9200000000000008</v>
      </c>
      <c r="AC62" s="226">
        <v>67.12</v>
      </c>
      <c r="AD62" s="227" t="s">
        <v>2651</v>
      </c>
      <c r="AE62" s="226">
        <v>1.7568260226712666</v>
      </c>
      <c r="AF62">
        <f>IF('WetLitterbags placem_collection'!AB63="","",'WetLitterbags placem_collection'!AB63)</f>
        <v>5.6</v>
      </c>
      <c r="AG62">
        <f>IF('WetLitterbags placem_collection'!Z63="","",'WetLitterbags placem_collection'!Z63)</f>
        <v>34.200000000000003</v>
      </c>
      <c r="AH62" s="236" t="str">
        <f>IF('WetLitterbags placem_collection'!AA63="","",'WetLitterbags placem_collection'!AA63)</f>
        <v>O</v>
      </c>
      <c r="AI62">
        <f>IF('WetLitterbags placem_collection'!AC63="","",'WetLitterbags placem_collection'!AC63)</f>
        <v>0</v>
      </c>
      <c r="AJ62" s="233">
        <f>AVERAGE('WetLitterbags placem_collection'!S63,'WetLitterbags placem_collection'!U63)</f>
        <v>20.399999999999999</v>
      </c>
      <c r="AK62">
        <f>AVERAGE('WetLitterbags placem_collection'!R63,'WetLitterbags placem_collection'!T63)</f>
        <v>27.450000000000003</v>
      </c>
      <c r="AL62">
        <f>INDEX([2]Coordinates!$B$2:$B$197,MATCH(I62,[2]Coordinates!$J$2:$J$197,0))</f>
        <v>-3.406569986</v>
      </c>
      <c r="AM62">
        <f>INDEX([2]Coordinates!$C$2:$C$197,MATCH(I62,[2]Coordinates!$J$2:$J$197,0))</f>
        <v>34.851323989999997</v>
      </c>
      <c r="AN62" t="str">
        <f>IF(ISNUMBER(SEARCH("C", 'WetLitterbags placem_collection'!$V63)),"YES","NO")</f>
        <v>YES</v>
      </c>
      <c r="AO62" t="str">
        <f>IF(ISNUMBER(SEARCH("H", 'WetLitterbags placem_collection'!$V63)),"YES","NO")</f>
        <v>YES</v>
      </c>
      <c r="AP62" t="str">
        <f>IF(ISNUMBER(SEARCH("R", 'WetLitterbags placem_collection'!$V63)),"YES","NO")</f>
        <v>NO</v>
      </c>
    </row>
    <row r="63" spans="1:42">
      <c r="A63" t="s">
        <v>3248</v>
      </c>
      <c r="B63" s="248" t="s">
        <v>2454</v>
      </c>
      <c r="C63" s="253">
        <f>'Dry_Litterbag Placem_Collection'!A64</f>
        <v>62</v>
      </c>
      <c r="D63" s="253" t="str">
        <f>'Dry_Litterbag Placem_Collection'!B64</f>
        <v>Makao</v>
      </c>
      <c r="E63" s="253" t="s">
        <v>2643</v>
      </c>
      <c r="F63" s="253" t="s">
        <v>20</v>
      </c>
      <c r="G63" s="253">
        <v>4</v>
      </c>
      <c r="H63" s="253" t="s">
        <v>3110</v>
      </c>
      <c r="I63" s="254" t="str">
        <f>'Dry_Litterbag Placem_Collection'!C64</f>
        <v>Dry_P4_T6</v>
      </c>
      <c r="J63" s="255" t="s">
        <v>2525</v>
      </c>
      <c r="K63" s="256" t="s">
        <v>1147</v>
      </c>
      <c r="L63" s="221" t="str">
        <f>'WetLitterbags placem_collection'!K64</f>
        <v>G565</v>
      </c>
      <c r="M63" s="223">
        <f>IFERROR(INDEX('Green_rooibos initial weight'!$C$5:$C$2000,MATCH(L63, 'Green_rooibos initial weight'!$A$5:$A$2000,0)),"")</f>
        <v>2.109</v>
      </c>
      <c r="N63" s="223">
        <f>IFERROR(M63-(TBIcalc!$H$9+TBIcalc!$H$10),"")</f>
        <v>1.8592</v>
      </c>
      <c r="O63" s="378">
        <f>AVERAGE(Ashed_controlls!$K$2:$K$11)</f>
        <v>5.5147656768714146</v>
      </c>
      <c r="P63" s="223">
        <f t="shared" si="1"/>
        <v>1.7566694765356066</v>
      </c>
      <c r="Q63" s="223">
        <f>IFERROR(INDEX('Both teabags AfterWet'!$C$3:$C$840,MATCH(L63,'Both teabags AfterWet'!$A$3:$A$840,0)),"")</f>
        <v>0.9224</v>
      </c>
      <c r="R63" s="223">
        <f>IFERROR(IF(Q63&gt;0,Q63-(TBIcalc!$H$9),""),"")</f>
        <v>0.77180000000000004</v>
      </c>
      <c r="S63" s="223">
        <f>IFERROR(INDEX('Ashed teabags wet'!$K$2:$K$2000,MATCH(L63,'Ashed teabags wet'!$A$2:$A$2000,0)),"")</f>
        <v>20.729927007299029</v>
      </c>
      <c r="T63" s="223">
        <f t="shared" si="2"/>
        <v>0.61180642335766611</v>
      </c>
      <c r="U63" s="224">
        <f>'WetLitterbags placem_collection'!E64</f>
        <v>42766</v>
      </c>
      <c r="V63" s="224">
        <f>IF('WetLitterbags placem_collection'!G64="","",'WetLitterbags placem_collection'!G64)</f>
        <v>42820</v>
      </c>
      <c r="W63" s="225">
        <f t="shared" si="0"/>
        <v>54</v>
      </c>
      <c r="X63" s="223">
        <f t="shared" si="3"/>
        <v>1.0873999999999999</v>
      </c>
      <c r="Y63" s="223">
        <f t="shared" si="4"/>
        <v>1.1448630531779405</v>
      </c>
      <c r="Z63">
        <f>IFERROR(INDEX([1]Rainfall_Wet!$O$2:$O$217,MATCH(C63, [1]Rainfall_Wet!$A$2:$A$217,0)),"")</f>
        <v>214.262898705</v>
      </c>
      <c r="AA63" s="226">
        <v>25.96</v>
      </c>
      <c r="AB63" s="226">
        <v>6.9200000000000008</v>
      </c>
      <c r="AC63" s="226">
        <v>67.12</v>
      </c>
      <c r="AD63" s="227" t="s">
        <v>2651</v>
      </c>
      <c r="AE63" s="226">
        <v>1.7568260226712666</v>
      </c>
      <c r="AF63">
        <f>IF('WetLitterbags placem_collection'!AB64="","",'WetLitterbags placem_collection'!AB64)</f>
        <v>4.2</v>
      </c>
      <c r="AG63">
        <f>IF('WetLitterbags placem_collection'!Z64="","",'WetLitterbags placem_collection'!Z64)</f>
        <v>40.4</v>
      </c>
      <c r="AH63" s="236" t="str">
        <f>IF('WetLitterbags placem_collection'!AA64="","",'WetLitterbags placem_collection'!AA64)</f>
        <v>O</v>
      </c>
      <c r="AI63">
        <f>IF('WetLitterbags placem_collection'!AC64="","",'WetLitterbags placem_collection'!AC64)</f>
        <v>0</v>
      </c>
      <c r="AJ63" s="233">
        <f>AVERAGE('WetLitterbags placem_collection'!S64,'WetLitterbags placem_collection'!U64)</f>
        <v>24.7</v>
      </c>
      <c r="AK63">
        <f>AVERAGE('WetLitterbags placem_collection'!R64,'WetLitterbags placem_collection'!T64)</f>
        <v>26.799999999999997</v>
      </c>
      <c r="AL63">
        <f>INDEX([2]Coordinates!$B$2:$B$197,MATCH(I63,[2]Coordinates!$J$2:$J$197,0))</f>
        <v>-3.4065180179999999</v>
      </c>
      <c r="AM63">
        <f>INDEX([2]Coordinates!$C$2:$C$197,MATCH(I63,[2]Coordinates!$J$2:$J$197,0))</f>
        <v>34.85121402</v>
      </c>
      <c r="AN63" t="str">
        <f>IF(ISNUMBER(SEARCH("C", 'WetLitterbags placem_collection'!$V64)),"YES","NO")</f>
        <v>NO</v>
      </c>
      <c r="AO63" t="str">
        <f>IF(ISNUMBER(SEARCH("H", 'WetLitterbags placem_collection'!$V64)),"YES","NO")</f>
        <v>YES</v>
      </c>
      <c r="AP63" t="str">
        <f>IF(ISNUMBER(SEARCH("R", 'WetLitterbags placem_collection'!$V64)),"YES","NO")</f>
        <v>NO</v>
      </c>
    </row>
    <row r="64" spans="1:42">
      <c r="A64" t="s">
        <v>3248</v>
      </c>
      <c r="B64" s="248" t="s">
        <v>2454</v>
      </c>
      <c r="C64" s="253">
        <f>'Dry_Litterbag Placem_Collection'!A65</f>
        <v>63</v>
      </c>
      <c r="D64" s="253" t="str">
        <f>'Dry_Litterbag Placem_Collection'!B65</f>
        <v>Makao</v>
      </c>
      <c r="E64" s="253" t="s">
        <v>2643</v>
      </c>
      <c r="F64" s="253" t="s">
        <v>20</v>
      </c>
      <c r="G64" s="253">
        <v>4</v>
      </c>
      <c r="H64" s="253" t="s">
        <v>3110</v>
      </c>
      <c r="I64" s="254" t="str">
        <f>'Dry_Litterbag Placem_Collection'!C65</f>
        <v>Dry_P4_T7</v>
      </c>
      <c r="J64" s="255" t="s">
        <v>2525</v>
      </c>
      <c r="K64" s="256" t="s">
        <v>1147</v>
      </c>
      <c r="L64" s="221" t="str">
        <f>'WetLitterbags placem_collection'!K65</f>
        <v>G387</v>
      </c>
      <c r="M64" s="223">
        <f>IFERROR(INDEX('Green_rooibos initial weight'!$C$5:$C$2000,MATCH(L64, 'Green_rooibos initial weight'!$A$5:$A$2000,0)),"")</f>
        <v>2.0139999999999998</v>
      </c>
      <c r="N64" s="223">
        <f>IFERROR(M64-(TBIcalc!$H$9+TBIcalc!$H$10),"")</f>
        <v>1.7641999999999998</v>
      </c>
      <c r="O64" s="378">
        <f>AVERAGE(Ashed_controlls!$K$2:$K$11)</f>
        <v>5.5147656768714146</v>
      </c>
      <c r="P64" s="223">
        <f t="shared" si="1"/>
        <v>1.6669085039286342</v>
      </c>
      <c r="Q64" s="223">
        <f>IFERROR(INDEX('Both teabags AfterWet'!$C$3:$C$840,MATCH(L64,'Both teabags AfterWet'!$A$3:$A$840,0)),"")</f>
        <v>1.083</v>
      </c>
      <c r="R64" s="223">
        <f>IFERROR(IF(Q64&gt;0,Q64-(TBIcalc!$H$9),""),"")</f>
        <v>0.9323999999999999</v>
      </c>
      <c r="S64" s="223">
        <f>IFERROR(INDEX('Ashed teabags wet'!$K$2:$K$2000,MATCH(L64,'Ashed teabags wet'!$A$2:$A$2000,0)),"")</f>
        <v>20.515313563441481</v>
      </c>
      <c r="T64" s="223">
        <f t="shared" si="2"/>
        <v>0.74111521633447153</v>
      </c>
      <c r="U64" s="224">
        <f>'WetLitterbags placem_collection'!E65</f>
        <v>42766</v>
      </c>
      <c r="V64" s="224">
        <f>IF('WetLitterbags placem_collection'!G65="","",'WetLitterbags placem_collection'!G65)</f>
        <v>42820</v>
      </c>
      <c r="W64" s="225">
        <f t="shared" si="0"/>
        <v>54</v>
      </c>
      <c r="X64" s="223">
        <f t="shared" si="3"/>
        <v>0.83179999999999987</v>
      </c>
      <c r="Y64" s="223">
        <f t="shared" si="4"/>
        <v>0.92579328759416268</v>
      </c>
      <c r="Z64">
        <f>IFERROR(INDEX([1]Rainfall_Wet!$O$2:$O$217,MATCH(C64, [1]Rainfall_Wet!$A$2:$A$217,0)),"")</f>
        <v>214.262898705</v>
      </c>
      <c r="AA64" s="226">
        <v>25.96</v>
      </c>
      <c r="AB64" s="226">
        <v>6.9200000000000008</v>
      </c>
      <c r="AC64" s="226">
        <v>67.12</v>
      </c>
      <c r="AD64" s="227" t="s">
        <v>2651</v>
      </c>
      <c r="AE64" s="226">
        <v>1.7568260226712666</v>
      </c>
      <c r="AF64">
        <f>IF('WetLitterbags placem_collection'!AB65="","",'WetLitterbags placem_collection'!AB65)</f>
        <v>4.9000000000000004</v>
      </c>
      <c r="AG64">
        <f>IF('WetLitterbags placem_collection'!Z65="","",'WetLitterbags placem_collection'!Z65)</f>
        <v>45</v>
      </c>
      <c r="AH64" s="236" t="str">
        <f>IF('WetLitterbags placem_collection'!AA65="","",'WetLitterbags placem_collection'!AA65)</f>
        <v>O</v>
      </c>
      <c r="AI64">
        <f>IF('WetLitterbags placem_collection'!AC65="","",'WetLitterbags placem_collection'!AC65)</f>
        <v>0</v>
      </c>
      <c r="AJ64" s="233">
        <f>AVERAGE('WetLitterbags placem_collection'!S65,'WetLitterbags placem_collection'!U65)</f>
        <v>22.9</v>
      </c>
      <c r="AK64">
        <f>AVERAGE('WetLitterbags placem_collection'!R65,'WetLitterbags placem_collection'!T65)</f>
        <v>28.25</v>
      </c>
      <c r="AL64">
        <f>INDEX([2]Coordinates!$B$2:$B$197,MATCH(I64,[2]Coordinates!$J$2:$J$197,0))</f>
        <v>-3.406334035</v>
      </c>
      <c r="AM64">
        <f>INDEX([2]Coordinates!$C$2:$C$197,MATCH(I64,[2]Coordinates!$J$2:$J$197,0))</f>
        <v>34.851172030000001</v>
      </c>
      <c r="AN64" t="str">
        <f>IF(ISNUMBER(SEARCH("C", 'WetLitterbags placem_collection'!$V65)),"YES","NO")</f>
        <v>NO</v>
      </c>
      <c r="AO64" t="str">
        <f>IF(ISNUMBER(SEARCH("H", 'WetLitterbags placem_collection'!$V65)),"YES","NO")</f>
        <v>NO</v>
      </c>
      <c r="AP64" t="str">
        <f>IF(ISNUMBER(SEARCH("R", 'WetLitterbags placem_collection'!$V65)),"YES","NO")</f>
        <v>YES</v>
      </c>
    </row>
    <row r="65" spans="1:42">
      <c r="A65" t="s">
        <v>3248</v>
      </c>
      <c r="B65" s="248" t="s">
        <v>2454</v>
      </c>
      <c r="C65" s="253">
        <f>'Dry_Litterbag Placem_Collection'!A66</f>
        <v>64</v>
      </c>
      <c r="D65" s="253" t="str">
        <f>'Dry_Litterbag Placem_Collection'!B66</f>
        <v>Makao</v>
      </c>
      <c r="E65" s="253" t="s">
        <v>2643</v>
      </c>
      <c r="F65" s="253" t="s">
        <v>20</v>
      </c>
      <c r="G65" s="253">
        <v>4</v>
      </c>
      <c r="H65" s="253" t="s">
        <v>3110</v>
      </c>
      <c r="I65" s="254" t="str">
        <f>'Dry_Litterbag Placem_Collection'!C66</f>
        <v>Dry_P4_T8</v>
      </c>
      <c r="J65" s="255" t="s">
        <v>2525</v>
      </c>
      <c r="K65" s="256" t="s">
        <v>1147</v>
      </c>
      <c r="L65" s="221" t="str">
        <f>'WetLitterbags placem_collection'!K66</f>
        <v>G554</v>
      </c>
      <c r="M65" s="223">
        <f>IFERROR(INDEX('Green_rooibos initial weight'!$C$5:$C$2000,MATCH(L65, 'Green_rooibos initial weight'!$A$5:$A$2000,0)),"")</f>
        <v>2.0840000000000001</v>
      </c>
      <c r="N65" s="223">
        <f>IFERROR(M65-(TBIcalc!$H$9+TBIcalc!$H$10),"")</f>
        <v>1.8342000000000001</v>
      </c>
      <c r="O65" s="378">
        <f>AVERAGE(Ashed_controlls!$K$2:$K$11)</f>
        <v>5.5147656768714146</v>
      </c>
      <c r="P65" s="223">
        <f t="shared" si="1"/>
        <v>1.7330481679548246</v>
      </c>
      <c r="Q65" s="223">
        <f>IFERROR(INDEX('Both teabags AfterWet'!$C$3:$C$840,MATCH(L65,'Both teabags AfterWet'!$A$3:$A$840,0)),"")</f>
        <v>1.29</v>
      </c>
      <c r="R65" s="223">
        <f>IFERROR(IF(Q65&gt;0,Q65-(TBIcalc!$H$9),""),"")</f>
        <v>1.1394</v>
      </c>
      <c r="S65" s="223">
        <f>IFERROR(INDEX('Ashed teabags wet'!$K$2:$K$2000,MATCH(L65,'Ashed teabags wet'!$A$2:$A$2000,0)),"")</f>
        <v>36.815920398009624</v>
      </c>
      <c r="T65" s="223">
        <f t="shared" si="2"/>
        <v>0.71991940298507839</v>
      </c>
      <c r="U65" s="224">
        <f>'WetLitterbags placem_collection'!E66</f>
        <v>42766</v>
      </c>
      <c r="V65" s="224">
        <f>IF('WetLitterbags placem_collection'!G66="","",'WetLitterbags placem_collection'!G66)</f>
        <v>42820</v>
      </c>
      <c r="W65" s="225">
        <f t="shared" si="0"/>
        <v>54</v>
      </c>
      <c r="X65" s="223">
        <f t="shared" si="3"/>
        <v>0.69480000000000008</v>
      </c>
      <c r="Y65" s="223">
        <f t="shared" si="4"/>
        <v>1.0131287649697462</v>
      </c>
      <c r="Z65">
        <f>IFERROR(INDEX([1]Rainfall_Wet!$O$2:$O$217,MATCH(C65, [1]Rainfall_Wet!$A$2:$A$217,0)),"")</f>
        <v>214.262898705</v>
      </c>
      <c r="AA65" s="226">
        <v>25.96</v>
      </c>
      <c r="AB65" s="226">
        <v>6.9200000000000008</v>
      </c>
      <c r="AC65" s="226">
        <v>67.12</v>
      </c>
      <c r="AD65" s="227" t="s">
        <v>2651</v>
      </c>
      <c r="AE65" s="226">
        <v>1.7568260226712666</v>
      </c>
      <c r="AF65">
        <f>IF('WetLitterbags placem_collection'!AB66="","",'WetLitterbags placem_collection'!AB66)</f>
        <v>3</v>
      </c>
      <c r="AG65">
        <f>IF('WetLitterbags placem_collection'!Z66="","",'WetLitterbags placem_collection'!Z66)</f>
        <v>22.8</v>
      </c>
      <c r="AH65" s="236" t="str">
        <f>IF('WetLitterbags placem_collection'!AA66="","",'WetLitterbags placem_collection'!AA66)</f>
        <v>O</v>
      </c>
      <c r="AI65">
        <f>IF('WetLitterbags placem_collection'!AC66="","",'WetLitterbags placem_collection'!AC66)</f>
        <v>1</v>
      </c>
      <c r="AJ65" s="233">
        <f>AVERAGE('WetLitterbags placem_collection'!S66,'WetLitterbags placem_collection'!U66)</f>
        <v>34.6</v>
      </c>
      <c r="AK65">
        <f>AVERAGE('WetLitterbags placem_collection'!R66,'WetLitterbags placem_collection'!T66)</f>
        <v>22.7</v>
      </c>
      <c r="AL65">
        <f>INDEX([2]Coordinates!$B$2:$B$197,MATCH(I65,[2]Coordinates!$J$2:$J$197,0))</f>
        <v>-3.4063409920000001</v>
      </c>
      <c r="AM65">
        <f>INDEX([2]Coordinates!$C$2:$C$197,MATCH(I65,[2]Coordinates!$J$2:$J$197,0))</f>
        <v>34.85126004</v>
      </c>
      <c r="AN65" t="str">
        <f>IF(ISNUMBER(SEARCH("C", 'WetLitterbags placem_collection'!$V66)),"YES","NO")</f>
        <v>NO</v>
      </c>
      <c r="AO65" t="str">
        <f>IF(ISNUMBER(SEARCH("H", 'WetLitterbags placem_collection'!$V66)),"YES","NO")</f>
        <v>YES</v>
      </c>
      <c r="AP65" t="str">
        <f>IF(ISNUMBER(SEARCH("R", 'WetLitterbags placem_collection'!$V66)),"YES","NO")</f>
        <v>YES</v>
      </c>
    </row>
    <row r="66" spans="1:42">
      <c r="A66" t="s">
        <v>3248</v>
      </c>
      <c r="B66" s="248" t="s">
        <v>2454</v>
      </c>
      <c r="C66" s="253">
        <f>'Dry_Litterbag Placem_Collection'!A67</f>
        <v>65</v>
      </c>
      <c r="D66" s="253" t="str">
        <f>'Dry_Litterbag Placem_Collection'!B67</f>
        <v>Maswa</v>
      </c>
      <c r="E66" s="253" t="s">
        <v>2643</v>
      </c>
      <c r="F66" s="253" t="s">
        <v>2645</v>
      </c>
      <c r="G66" s="253">
        <v>1</v>
      </c>
      <c r="H66" s="253" t="s">
        <v>3111</v>
      </c>
      <c r="I66" s="254" t="str">
        <f>'Dry_Litterbag Placem_Collection'!C67</f>
        <v>Dry_W1_T1</v>
      </c>
      <c r="J66" s="255" t="s">
        <v>2525</v>
      </c>
      <c r="K66" s="256" t="s">
        <v>1147</v>
      </c>
      <c r="L66" s="221" t="str">
        <f>'WetLitterbags placem_collection'!K67</f>
        <v>G614</v>
      </c>
      <c r="M66" s="223">
        <f>IFERROR(INDEX('Green_rooibos initial weight'!$C$5:$C$2000,MATCH(L66, 'Green_rooibos initial weight'!$A$5:$A$2000,0)),"")</f>
        <v>2.1709999999999998</v>
      </c>
      <c r="N66" s="223">
        <f>IFERROR(M66-(TBIcalc!$H$9+TBIcalc!$H$10),"")</f>
        <v>1.9211999999999998</v>
      </c>
      <c r="O66" s="378">
        <f>AVERAGE(Ashed_controlls!$K$2:$K$11)</f>
        <v>5.5147656768714146</v>
      </c>
      <c r="P66" s="223">
        <f t="shared" si="1"/>
        <v>1.8152503218159461</v>
      </c>
      <c r="Q66" s="223">
        <f>IFERROR(INDEX('Both teabags AfterWet'!$C$3:$C$840,MATCH(L66,'Both teabags AfterWet'!$A$3:$A$840,0)),"")</f>
        <v>0.96099999999999997</v>
      </c>
      <c r="R66" s="223">
        <f>IFERROR(IF(Q66&gt;0,Q66-(TBIcalc!$H$9),""),"")</f>
        <v>0.81040000000000001</v>
      </c>
      <c r="S66" s="223">
        <f>IFERROR(INDEX('Ashed teabags wet'!$K$2:$K$2000,MATCH(L66,'Ashed teabags wet'!$A$2:$A$2000,0)),"")</f>
        <v>15.67460317460233</v>
      </c>
      <c r="T66" s="223">
        <f t="shared" si="2"/>
        <v>0.68337301587302268</v>
      </c>
      <c r="U66" s="224">
        <f>'WetLitterbags placem_collection'!E67</f>
        <v>42767</v>
      </c>
      <c r="V66" s="224">
        <f>IF('WetLitterbags placem_collection'!G67="","",'WetLitterbags placem_collection'!G67)</f>
        <v>42818</v>
      </c>
      <c r="W66" s="225">
        <f t="shared" ref="W66:W129" si="5">IFERROR(V66-U66,"")</f>
        <v>51</v>
      </c>
      <c r="X66" s="223">
        <f t="shared" si="3"/>
        <v>1.1107999999999998</v>
      </c>
      <c r="Y66" s="223">
        <f t="shared" si="4"/>
        <v>1.1318773059429235</v>
      </c>
      <c r="Z66">
        <f>IFERROR(INDEX([1]Rainfall_Wet!$O$2:$O$217,MATCH(C66, [1]Rainfall_Wet!$A$2:$A$217,0)),"")</f>
        <v>185.630065823</v>
      </c>
      <c r="AA66" s="226">
        <v>47.96</v>
      </c>
      <c r="AB66" s="226">
        <v>22.919999999999995</v>
      </c>
      <c r="AC66" s="226">
        <v>29.120000000000012</v>
      </c>
      <c r="AD66" s="227" t="s">
        <v>2654</v>
      </c>
      <c r="AE66" s="226">
        <v>2.8831936914736325</v>
      </c>
      <c r="AF66">
        <f>IF('WetLitterbags placem_collection'!AB67="","",'WetLitterbags placem_collection'!AB67)</f>
        <v>13.8</v>
      </c>
      <c r="AG66">
        <f>IF('WetLitterbags placem_collection'!Z67="","",'WetLitterbags placem_collection'!Z67)</f>
        <v>13.8</v>
      </c>
      <c r="AH66" s="236" t="str">
        <f>IF('WetLitterbags placem_collection'!AA67="","",'WetLitterbags placem_collection'!AA67)</f>
        <v>O</v>
      </c>
      <c r="AI66">
        <f>IF('WetLitterbags placem_collection'!AC67="","",'WetLitterbags placem_collection'!AC67)</f>
        <v>1</v>
      </c>
      <c r="AJ66" s="233">
        <f>AVERAGE('WetLitterbags placem_collection'!S67,'WetLitterbags placem_collection'!U67)</f>
        <v>32.299999999999997</v>
      </c>
      <c r="AK66">
        <f>AVERAGE('WetLitterbags placem_collection'!R67,'WetLitterbags placem_collection'!T67)</f>
        <v>22.75</v>
      </c>
      <c r="AL66">
        <f>INDEX([2]Coordinates!$B$2:$B$197,MATCH(I66,[2]Coordinates!$J$2:$J$197,0))</f>
        <v>-3.2993960379999998</v>
      </c>
      <c r="AM66">
        <f>INDEX([2]Coordinates!$C$2:$C$197,MATCH(I66,[2]Coordinates!$J$2:$J$197,0))</f>
        <v>34.848240959999998</v>
      </c>
      <c r="AN66" t="str">
        <f>IF(ISNUMBER(SEARCH("C", 'WetLitterbags placem_collection'!$V67)),"YES","NO")</f>
        <v>NO</v>
      </c>
      <c r="AO66" t="str">
        <f>IF(ISNUMBER(SEARCH("H", 'WetLitterbags placem_collection'!$V67)),"YES","NO")</f>
        <v>NO</v>
      </c>
      <c r="AP66" t="str">
        <f>IF(ISNUMBER(SEARCH("R", 'WetLitterbags placem_collection'!$V67)),"YES","NO")</f>
        <v>YES</v>
      </c>
    </row>
    <row r="67" spans="1:42">
      <c r="A67" t="s">
        <v>3248</v>
      </c>
      <c r="B67" s="248" t="s">
        <v>2454</v>
      </c>
      <c r="C67" s="253">
        <f>'Dry_Litterbag Placem_Collection'!A68</f>
        <v>66</v>
      </c>
      <c r="D67" s="253" t="str">
        <f>'Dry_Litterbag Placem_Collection'!B68</f>
        <v>Maswa</v>
      </c>
      <c r="E67" s="253" t="s">
        <v>2643</v>
      </c>
      <c r="F67" s="253" t="s">
        <v>2645</v>
      </c>
      <c r="G67" s="253">
        <v>1</v>
      </c>
      <c r="H67" s="253" t="s">
        <v>3111</v>
      </c>
      <c r="I67" s="254" t="str">
        <f>'Dry_Litterbag Placem_Collection'!C68</f>
        <v>Dry_W1_T2</v>
      </c>
      <c r="J67" s="255" t="s">
        <v>2525</v>
      </c>
      <c r="K67" s="256" t="s">
        <v>1147</v>
      </c>
      <c r="L67" s="221" t="str">
        <f>'WetLitterbags placem_collection'!K68</f>
        <v>G282</v>
      </c>
      <c r="M67" s="223">
        <f>IFERROR(INDEX('Green_rooibos initial weight'!$C$5:$C$2000,MATCH(L67, 'Green_rooibos initial weight'!$A$5:$A$2000,0)),"")</f>
        <v>1.9730000000000001</v>
      </c>
      <c r="N67" s="223">
        <f>IFERROR(M67-(TBIcalc!$H$9+TBIcalc!$H$10),"")</f>
        <v>1.7232000000000001</v>
      </c>
      <c r="O67" s="378">
        <f>AVERAGE(Ashed_controlls!$K$2:$K$11)</f>
        <v>5.5147656768714146</v>
      </c>
      <c r="P67" s="223">
        <f t="shared" ref="P67:P130" si="6">IFERROR(N67-(O67/100)*N67,"")</f>
        <v>1.6281695578561519</v>
      </c>
      <c r="Q67" s="223">
        <f>IFERROR(INDEX('Both teabags AfterWet'!$C$3:$C$840,MATCH(L67,'Both teabags AfterWet'!$A$3:$A$840,0)),"")</f>
        <v>1.1456</v>
      </c>
      <c r="R67" s="223">
        <f>IFERROR(IF(Q67&gt;0,Q67-(TBIcalc!$H$9),""),"")</f>
        <v>0.99499999999999988</v>
      </c>
      <c r="S67" s="223">
        <f>IFERROR(INDEX('Ashed teabags wet'!$K$2:$K$2000,MATCH(L67,'Ashed teabags wet'!$A$2:$A$2000,0)),"")</f>
        <v>31.190019193858088</v>
      </c>
      <c r="T67" s="223">
        <f t="shared" ref="T67:T130" si="7">IFERROR(R67-(S67/100)*R67,"")</f>
        <v>0.68465930902111194</v>
      </c>
      <c r="U67" s="224">
        <f>'WetLitterbags placem_collection'!E68</f>
        <v>42767</v>
      </c>
      <c r="V67" s="224">
        <f>IF('WetLitterbags placem_collection'!G68="","",'WetLitterbags placem_collection'!G68)</f>
        <v>42818</v>
      </c>
      <c r="W67" s="225">
        <f t="shared" si="5"/>
        <v>51</v>
      </c>
      <c r="X67" s="223">
        <f t="shared" ref="X67:X130" si="8">IFERROR(N67-R67,"")</f>
        <v>0.72820000000000018</v>
      </c>
      <c r="Y67" s="223">
        <f t="shared" ref="Y67:Y130" si="9">IFERROR(P67-T67,"")</f>
        <v>0.94351024883503998</v>
      </c>
      <c r="Z67">
        <f>IFERROR(INDEX([1]Rainfall_Wet!$O$2:$O$217,MATCH(C67, [1]Rainfall_Wet!$A$2:$A$217,0)),"")</f>
        <v>185.630065823</v>
      </c>
      <c r="AA67" s="226">
        <v>47.96</v>
      </c>
      <c r="AB67" s="226">
        <v>22.919999999999995</v>
      </c>
      <c r="AC67" s="226">
        <v>29.120000000000012</v>
      </c>
      <c r="AD67" s="227" t="s">
        <v>2654</v>
      </c>
      <c r="AE67" s="226">
        <v>3.8831936914736298</v>
      </c>
      <c r="AF67">
        <f>IF('WetLitterbags placem_collection'!AB68="","",'WetLitterbags placem_collection'!AB68)</f>
        <v>8</v>
      </c>
      <c r="AG67">
        <f>IF('WetLitterbags placem_collection'!Z68="","",'WetLitterbags placem_collection'!Z68)</f>
        <v>19.8</v>
      </c>
      <c r="AH67" s="236" t="str">
        <f>IF('WetLitterbags placem_collection'!AA68="","",'WetLitterbags placem_collection'!AA68)</f>
        <v>O</v>
      </c>
      <c r="AI67">
        <f>IF('WetLitterbags placem_collection'!AC68="","",'WetLitterbags placem_collection'!AC68)</f>
        <v>1</v>
      </c>
      <c r="AJ67" s="233">
        <f>AVERAGE('WetLitterbags placem_collection'!S68,'WetLitterbags placem_collection'!U68)</f>
        <v>30.6</v>
      </c>
      <c r="AK67">
        <f>AVERAGE('WetLitterbags placem_collection'!R68,'WetLitterbags placem_collection'!T68)</f>
        <v>21.95</v>
      </c>
      <c r="AL67">
        <f>INDEX([2]Coordinates!$B$2:$B$197,MATCH(I67,[2]Coordinates!$J$2:$J$197,0))</f>
        <v>-3.2993090340000002</v>
      </c>
      <c r="AM67">
        <f>INDEX([2]Coordinates!$C$2:$C$197,MATCH(I67,[2]Coordinates!$J$2:$J$197,0))</f>
        <v>34.848404989999999</v>
      </c>
      <c r="AN67" t="str">
        <f>IF(ISNUMBER(SEARCH("C", 'WetLitterbags placem_collection'!$V68)),"YES","NO")</f>
        <v>NO</v>
      </c>
      <c r="AO67" t="str">
        <f>IF(ISNUMBER(SEARCH("H", 'WetLitterbags placem_collection'!$V68)),"YES","NO")</f>
        <v>NO</v>
      </c>
      <c r="AP67" t="str">
        <f>IF(ISNUMBER(SEARCH("R", 'WetLitterbags placem_collection'!$V68)),"YES","NO")</f>
        <v>YES</v>
      </c>
    </row>
    <row r="68" spans="1:42">
      <c r="A68" t="s">
        <v>3248</v>
      </c>
      <c r="B68" s="248" t="s">
        <v>2454</v>
      </c>
      <c r="C68" s="253">
        <f>'Dry_Litterbag Placem_Collection'!A69</f>
        <v>67</v>
      </c>
      <c r="D68" s="253" t="str">
        <f>'Dry_Litterbag Placem_Collection'!B69</f>
        <v>Maswa</v>
      </c>
      <c r="E68" s="253" t="s">
        <v>2643</v>
      </c>
      <c r="F68" s="253" t="s">
        <v>2645</v>
      </c>
      <c r="G68" s="253">
        <v>1</v>
      </c>
      <c r="H68" s="253" t="s">
        <v>3111</v>
      </c>
      <c r="I68" s="254" t="str">
        <f>'Dry_Litterbag Placem_Collection'!C69</f>
        <v>Dry_W1_T3</v>
      </c>
      <c r="J68" s="255" t="s">
        <v>2525</v>
      </c>
      <c r="K68" s="256" t="s">
        <v>1147</v>
      </c>
      <c r="L68" s="221" t="str">
        <f>'WetLitterbags placem_collection'!K69</f>
        <v>G450</v>
      </c>
      <c r="M68" s="223">
        <f>IFERROR(INDEX('Green_rooibos initial weight'!$C$5:$C$2000,MATCH(L68, 'Green_rooibos initial weight'!$A$5:$A$2000,0)),"")</f>
        <v>2.1629999999999998</v>
      </c>
      <c r="N68" s="223">
        <f>IFERROR(M68-(TBIcalc!$H$9+TBIcalc!$H$10),"")</f>
        <v>1.9131999999999998</v>
      </c>
      <c r="O68" s="378">
        <f>AVERAGE(Ashed_controlls!$K$2:$K$11)</f>
        <v>5.5147656768714146</v>
      </c>
      <c r="P68" s="223">
        <f t="shared" si="6"/>
        <v>1.807691503070096</v>
      </c>
      <c r="Q68" s="223">
        <f>IFERROR(INDEX('Both teabags AfterWet'!$C$3:$C$840,MATCH(L68,'Both teabags AfterWet'!$A$3:$A$840,0)),"")</f>
        <v>0.89059999999999995</v>
      </c>
      <c r="R68" s="223">
        <f>IFERROR(IF(Q68&gt;0,Q68-(TBIcalc!$H$9),""),"")</f>
        <v>0.74</v>
      </c>
      <c r="S68" s="223">
        <f>IFERROR(INDEX('Ashed teabags wet'!$K$2:$K$2000,MATCH(L68,'Ashed teabags wet'!$A$2:$A$2000,0)),"")</f>
        <v>13.860419716935581</v>
      </c>
      <c r="T68" s="223">
        <f t="shared" si="7"/>
        <v>0.63743289409467674</v>
      </c>
      <c r="U68" s="224">
        <f>'WetLitterbags placem_collection'!E69</f>
        <v>42767</v>
      </c>
      <c r="V68" s="224">
        <f>IF('WetLitterbags placem_collection'!G69="","",'WetLitterbags placem_collection'!G69)</f>
        <v>42818</v>
      </c>
      <c r="W68" s="225">
        <f t="shared" si="5"/>
        <v>51</v>
      </c>
      <c r="X68" s="223">
        <f t="shared" si="8"/>
        <v>1.1731999999999998</v>
      </c>
      <c r="Y68" s="223">
        <f t="shared" si="9"/>
        <v>1.1702586089754192</v>
      </c>
      <c r="Z68">
        <f>IFERROR(INDEX([1]Rainfall_Wet!$O$2:$O$217,MATCH(C68, [1]Rainfall_Wet!$A$2:$A$217,0)),"")</f>
        <v>185.630065823</v>
      </c>
      <c r="AA68" s="226">
        <v>47.96</v>
      </c>
      <c r="AB68" s="226">
        <v>22.919999999999995</v>
      </c>
      <c r="AC68" s="226">
        <v>29.120000000000012</v>
      </c>
      <c r="AD68" s="227" t="s">
        <v>2654</v>
      </c>
      <c r="AE68" s="226">
        <v>4.8831936914736298</v>
      </c>
      <c r="AF68">
        <f>IF('WetLitterbags placem_collection'!AB69="","",'WetLitterbags placem_collection'!AB69)</f>
        <v>5.5</v>
      </c>
      <c r="AG68">
        <f>IF('WetLitterbags placem_collection'!Z69="","",'WetLitterbags placem_collection'!Z69)</f>
        <v>5.5</v>
      </c>
      <c r="AH68" s="236" t="str">
        <f>IF('WetLitterbags placem_collection'!AA69="","",'WetLitterbags placem_collection'!AA69)</f>
        <v>O</v>
      </c>
      <c r="AI68">
        <f>IF('WetLitterbags placem_collection'!AC69="","",'WetLitterbags placem_collection'!AC69)</f>
        <v>1</v>
      </c>
      <c r="AJ68" s="233">
        <f>AVERAGE('WetLitterbags placem_collection'!S69,'WetLitterbags placem_collection'!U69)</f>
        <v>29.9</v>
      </c>
      <c r="AK68">
        <f>AVERAGE('WetLitterbags placem_collection'!R69,'WetLitterbags placem_collection'!T69)</f>
        <v>20.7</v>
      </c>
      <c r="AL68">
        <f>INDEX([2]Coordinates!$B$2:$B$197,MATCH(I68,[2]Coordinates!$J$2:$J$197,0))</f>
        <v>-3.299434008</v>
      </c>
      <c r="AM68">
        <f>INDEX([2]Coordinates!$C$2:$C$197,MATCH(I68,[2]Coordinates!$J$2:$J$197,0))</f>
        <v>34.848514960000003</v>
      </c>
      <c r="AN68" t="str">
        <f>IF(ISNUMBER(SEARCH("C", 'WetLitterbags placem_collection'!$V69)),"YES","NO")</f>
        <v>NO</v>
      </c>
      <c r="AO68" t="str">
        <f>IF(ISNUMBER(SEARCH("H", 'WetLitterbags placem_collection'!$V69)),"YES","NO")</f>
        <v>YES</v>
      </c>
      <c r="AP68" t="str">
        <f>IF(ISNUMBER(SEARCH("R", 'WetLitterbags placem_collection'!$V69)),"YES","NO")</f>
        <v>YES</v>
      </c>
    </row>
    <row r="69" spans="1:42">
      <c r="A69" t="s">
        <v>3248</v>
      </c>
      <c r="B69" s="248" t="s">
        <v>2454</v>
      </c>
      <c r="C69" s="253">
        <f>'Dry_Litterbag Placem_Collection'!A70</f>
        <v>68</v>
      </c>
      <c r="D69" s="253" t="str">
        <f>'Dry_Litterbag Placem_Collection'!B70</f>
        <v>Maswa</v>
      </c>
      <c r="E69" s="253" t="s">
        <v>2643</v>
      </c>
      <c r="F69" s="253" t="s">
        <v>2645</v>
      </c>
      <c r="G69" s="253">
        <v>1</v>
      </c>
      <c r="H69" s="253" t="s">
        <v>3111</v>
      </c>
      <c r="I69" s="254" t="str">
        <f>'Dry_Litterbag Placem_Collection'!C70</f>
        <v>Dry_W1_T4</v>
      </c>
      <c r="J69" s="255" t="s">
        <v>2525</v>
      </c>
      <c r="K69" s="256" t="s">
        <v>1147</v>
      </c>
      <c r="L69" s="221" t="str">
        <f>'WetLitterbags placem_collection'!K70</f>
        <v>G269</v>
      </c>
      <c r="M69" s="223">
        <f>IFERROR(INDEX('Green_rooibos initial weight'!$C$5:$C$2000,MATCH(L69, 'Green_rooibos initial weight'!$A$5:$A$2000,0)),"")</f>
        <v>2.0419999999999998</v>
      </c>
      <c r="N69" s="223">
        <f>IFERROR(M69-(TBIcalc!$H$9+TBIcalc!$H$10),"")</f>
        <v>1.7921999999999998</v>
      </c>
      <c r="O69" s="378">
        <f>AVERAGE(Ashed_controlls!$K$2:$K$11)</f>
        <v>5.5147656768714146</v>
      </c>
      <c r="P69" s="223">
        <f t="shared" si="6"/>
        <v>1.6933643695391103</v>
      </c>
      <c r="Q69" s="223">
        <f>IFERROR(INDEX('Both teabags AfterWet'!$C$3:$C$840,MATCH(L69,'Both teabags AfterWet'!$A$3:$A$840,0)),"")</f>
        <v>1.018</v>
      </c>
      <c r="R69" s="223">
        <f>IFERROR(IF(Q69&gt;0,Q69-(TBIcalc!$H$9),""),"")</f>
        <v>0.86739999999999995</v>
      </c>
      <c r="S69" s="223">
        <f>IFERROR(INDEX('Ashed teabags wet'!$K$2:$K$2000,MATCH(L69,'Ashed teabags wet'!$A$2:$A$2000,0)),"")</f>
        <v>19.040626529613323</v>
      </c>
      <c r="T69" s="223">
        <f t="shared" si="7"/>
        <v>0.70224160548213399</v>
      </c>
      <c r="U69" s="224">
        <f>'WetLitterbags placem_collection'!E70</f>
        <v>42767</v>
      </c>
      <c r="V69" s="224">
        <f>IF('WetLitterbags placem_collection'!G70="","",'WetLitterbags placem_collection'!G70)</f>
        <v>42818</v>
      </c>
      <c r="W69" s="225">
        <f t="shared" si="5"/>
        <v>51</v>
      </c>
      <c r="X69" s="223">
        <f t="shared" si="8"/>
        <v>0.92479999999999984</v>
      </c>
      <c r="Y69" s="223">
        <f t="shared" si="9"/>
        <v>0.9911227640569763</v>
      </c>
      <c r="Z69">
        <f>IFERROR(INDEX([1]Rainfall_Wet!$O$2:$O$217,MATCH(C69, [1]Rainfall_Wet!$A$2:$A$217,0)),"")</f>
        <v>185.630065823</v>
      </c>
      <c r="AA69" s="226">
        <v>47.96</v>
      </c>
      <c r="AB69" s="226">
        <v>22.919999999999995</v>
      </c>
      <c r="AC69" s="226">
        <v>29.120000000000012</v>
      </c>
      <c r="AD69" s="227" t="s">
        <v>2654</v>
      </c>
      <c r="AE69" s="226">
        <v>5.8831936914736298</v>
      </c>
      <c r="AF69">
        <f>IF('WetLitterbags placem_collection'!AB70="","",'WetLitterbags placem_collection'!AB70)</f>
        <v>9.6999999999999993</v>
      </c>
      <c r="AG69">
        <f>IF('WetLitterbags placem_collection'!Z70="","",'WetLitterbags placem_collection'!Z70)</f>
        <v>23.4</v>
      </c>
      <c r="AH69" s="236" t="str">
        <f>IF('WetLitterbags placem_collection'!AA70="","",'WetLitterbags placem_collection'!AA70)</f>
        <v>O</v>
      </c>
      <c r="AI69">
        <f>IF('WetLitterbags placem_collection'!AC70="","",'WetLitterbags placem_collection'!AC70)</f>
        <v>1</v>
      </c>
      <c r="AJ69" s="233">
        <f>AVERAGE('WetLitterbags placem_collection'!S70,'WetLitterbags placem_collection'!U70)</f>
        <v>29.85</v>
      </c>
      <c r="AK69">
        <f>AVERAGE('WetLitterbags placem_collection'!R70,'WetLitterbags placem_collection'!T70)</f>
        <v>21.2</v>
      </c>
      <c r="AL69">
        <f>INDEX([2]Coordinates!$B$2:$B$197,MATCH(I69,[2]Coordinates!$J$2:$J$197,0))</f>
        <v>-3.2991180099999999</v>
      </c>
      <c r="AM69">
        <f>INDEX([2]Coordinates!$C$2:$C$197,MATCH(I69,[2]Coordinates!$J$2:$J$197,0))</f>
        <v>34.84824699</v>
      </c>
      <c r="AN69" t="str">
        <f>IF(ISNUMBER(SEARCH("C", 'WetLitterbags placem_collection'!$V70)),"YES","NO")</f>
        <v>NO</v>
      </c>
      <c r="AO69" t="str">
        <f>IF(ISNUMBER(SEARCH("H", 'WetLitterbags placem_collection'!$V70)),"YES","NO")</f>
        <v>NO</v>
      </c>
      <c r="AP69" t="str">
        <f>IF(ISNUMBER(SEARCH("R", 'WetLitterbags placem_collection'!$V70)),"YES","NO")</f>
        <v>YES</v>
      </c>
    </row>
    <row r="70" spans="1:42">
      <c r="A70" t="s">
        <v>3248</v>
      </c>
      <c r="B70" s="248" t="s">
        <v>2454</v>
      </c>
      <c r="C70" s="253">
        <f>'Dry_Litterbag Placem_Collection'!A71</f>
        <v>69</v>
      </c>
      <c r="D70" s="253" t="str">
        <f>'Dry_Litterbag Placem_Collection'!B71</f>
        <v>Maswa</v>
      </c>
      <c r="E70" s="253" t="s">
        <v>2643</v>
      </c>
      <c r="F70" s="253" t="s">
        <v>2645</v>
      </c>
      <c r="G70" s="253">
        <v>1</v>
      </c>
      <c r="H70" s="253" t="s">
        <v>3111</v>
      </c>
      <c r="I70" s="254" t="str">
        <f>'Dry_Litterbag Placem_Collection'!C71</f>
        <v>Dry_W1_T5</v>
      </c>
      <c r="J70" s="255" t="s">
        <v>2525</v>
      </c>
      <c r="K70" s="256" t="s">
        <v>1147</v>
      </c>
      <c r="L70" s="221" t="str">
        <f>'WetLitterbags placem_collection'!K71</f>
        <v>G448</v>
      </c>
      <c r="M70" s="223">
        <f>IFERROR(INDEX('Green_rooibos initial weight'!$C$5:$C$2000,MATCH(L70, 'Green_rooibos initial weight'!$A$5:$A$2000,0)),"")</f>
        <v>2.0179999999999998</v>
      </c>
      <c r="N70" s="223">
        <f>IFERROR(M70-(TBIcalc!$H$9+TBIcalc!$H$10),"")</f>
        <v>1.7681999999999998</v>
      </c>
      <c r="O70" s="378">
        <f>AVERAGE(Ashed_controlls!$K$2:$K$11)</f>
        <v>5.5147656768714146</v>
      </c>
      <c r="P70" s="223">
        <f t="shared" si="6"/>
        <v>1.6706879133015595</v>
      </c>
      <c r="Q70" s="223" t="str">
        <f>IFERROR(INDEX('Both teabags AfterWet'!$C$3:$C$840,MATCH(L70,'Both teabags AfterWet'!$A$3:$A$840,0)),"")</f>
        <v/>
      </c>
      <c r="R70" s="223" t="str">
        <f>IFERROR(IF(Q70&gt;0,Q70-(TBIcalc!$H$9),""),"")</f>
        <v/>
      </c>
      <c r="S70" s="223" t="str">
        <f>IFERROR(INDEX('Ashed teabags wet'!$K$2:$K$2000,MATCH(L70,'Ashed teabags wet'!$A$2:$A$2000,0)),"")</f>
        <v/>
      </c>
      <c r="T70" s="223" t="str">
        <f t="shared" si="7"/>
        <v/>
      </c>
      <c r="U70" s="224">
        <f>'WetLitterbags placem_collection'!E71</f>
        <v>42767</v>
      </c>
      <c r="V70" s="224">
        <f>IF('WetLitterbags placem_collection'!G71="","",'WetLitterbags placem_collection'!G71)</f>
        <v>42818</v>
      </c>
      <c r="W70" s="225">
        <f t="shared" si="5"/>
        <v>51</v>
      </c>
      <c r="X70" s="223" t="str">
        <f t="shared" si="8"/>
        <v/>
      </c>
      <c r="Y70" s="223" t="str">
        <f t="shared" si="9"/>
        <v/>
      </c>
      <c r="Z70">
        <f>IFERROR(INDEX([1]Rainfall_Wet!$O$2:$O$217,MATCH(C70, [1]Rainfall_Wet!$A$2:$A$217,0)),"")</f>
        <v>185.630065823</v>
      </c>
      <c r="AA70" s="226">
        <v>47.96</v>
      </c>
      <c r="AB70" s="226">
        <v>22.919999999999995</v>
      </c>
      <c r="AC70" s="226">
        <v>29.120000000000012</v>
      </c>
      <c r="AD70" s="227" t="s">
        <v>2654</v>
      </c>
      <c r="AE70" s="226">
        <v>6.8831936914736298</v>
      </c>
      <c r="AF70">
        <f>IF('WetLitterbags placem_collection'!AB71="","",'WetLitterbags placem_collection'!AB71)</f>
        <v>14.4</v>
      </c>
      <c r="AG70">
        <f>IF('WetLitterbags placem_collection'!Z71="","",'WetLitterbags placem_collection'!Z71)</f>
        <v>24.4</v>
      </c>
      <c r="AH70" s="236" t="str">
        <f>IF('WetLitterbags placem_collection'!AA71="","",'WetLitterbags placem_collection'!AA71)</f>
        <v>O</v>
      </c>
      <c r="AI70">
        <f>IF('WetLitterbags placem_collection'!AC71="","",'WetLitterbags placem_collection'!AC71)</f>
        <v>1</v>
      </c>
      <c r="AJ70" s="233">
        <f>AVERAGE('WetLitterbags placem_collection'!S71,'WetLitterbags placem_collection'!U71)</f>
        <v>31.25</v>
      </c>
      <c r="AK70">
        <f>AVERAGE('WetLitterbags placem_collection'!R71,'WetLitterbags placem_collection'!T71)</f>
        <v>23.450000000000003</v>
      </c>
      <c r="AL70">
        <f>INDEX([2]Coordinates!$B$2:$B$197,MATCH(I70,[2]Coordinates!$J$2:$J$197,0))</f>
        <v>-3.2993180030000002</v>
      </c>
      <c r="AM70">
        <f>INDEX([2]Coordinates!$C$2:$C$197,MATCH(I70,[2]Coordinates!$J$2:$J$197,0))</f>
        <v>34.848235010000003</v>
      </c>
      <c r="AN70" t="str">
        <f>IF(ISNUMBER(SEARCH("C", 'WetLitterbags placem_collection'!$V71)),"YES","NO")</f>
        <v>NO</v>
      </c>
      <c r="AO70" t="str">
        <f>IF(ISNUMBER(SEARCH("H", 'WetLitterbags placem_collection'!$V71)),"YES","NO")</f>
        <v>NO</v>
      </c>
      <c r="AP70" t="str">
        <f>IF(ISNUMBER(SEARCH("R", 'WetLitterbags placem_collection'!$V71)),"YES","NO")</f>
        <v>NO</v>
      </c>
    </row>
    <row r="71" spans="1:42">
      <c r="A71" t="s">
        <v>3248</v>
      </c>
      <c r="B71" s="248" t="s">
        <v>2454</v>
      </c>
      <c r="C71" s="253">
        <f>'Dry_Litterbag Placem_Collection'!A72</f>
        <v>70</v>
      </c>
      <c r="D71" s="253" t="str">
        <f>'Dry_Litterbag Placem_Collection'!B72</f>
        <v>Maswa</v>
      </c>
      <c r="E71" s="253" t="s">
        <v>2643</v>
      </c>
      <c r="F71" s="253" t="s">
        <v>2645</v>
      </c>
      <c r="G71" s="253">
        <v>1</v>
      </c>
      <c r="H71" s="253" t="s">
        <v>3111</v>
      </c>
      <c r="I71" s="254" t="str">
        <f>'Dry_Litterbag Placem_Collection'!C72</f>
        <v>Dry_W1_T6</v>
      </c>
      <c r="J71" s="255" t="s">
        <v>2525</v>
      </c>
      <c r="K71" s="256" t="s">
        <v>1147</v>
      </c>
      <c r="L71" s="221" t="str">
        <f>'WetLitterbags placem_collection'!K72</f>
        <v>G358</v>
      </c>
      <c r="M71" s="223">
        <f>IFERROR(INDEX('Green_rooibos initial weight'!$C$5:$C$2000,MATCH(L71, 'Green_rooibos initial weight'!$A$5:$A$2000,0)),"")</f>
        <v>2.016</v>
      </c>
      <c r="N71" s="223">
        <f>IFERROR(M71-(TBIcalc!$H$9+TBIcalc!$H$10),"")</f>
        <v>1.7662</v>
      </c>
      <c r="O71" s="378">
        <f>AVERAGE(Ashed_controlls!$K$2:$K$11)</f>
        <v>5.5147656768714146</v>
      </c>
      <c r="P71" s="223">
        <f t="shared" si="6"/>
        <v>1.668798208615097</v>
      </c>
      <c r="Q71" s="223">
        <f>IFERROR(INDEX('Both teabags AfterWet'!$C$3:$C$840,MATCH(L71,'Both teabags AfterWet'!$A$3:$A$840,0)),"")</f>
        <v>0.84299999999999997</v>
      </c>
      <c r="R71" s="223">
        <f>IFERROR(IF(Q71&gt;0,Q71-(TBIcalc!$H$9),""),"")</f>
        <v>0.6923999999999999</v>
      </c>
      <c r="S71" s="223">
        <f>IFERROR(INDEX('Ashed teabags wet'!$K$2:$K$2000,MATCH(L71,'Ashed teabags wet'!$A$2:$A$2000,0)),"")</f>
        <v>13.570741097208547</v>
      </c>
      <c r="T71" s="223">
        <f t="shared" si="7"/>
        <v>0.59843618864292791</v>
      </c>
      <c r="U71" s="224">
        <f>'WetLitterbags placem_collection'!E72</f>
        <v>42767</v>
      </c>
      <c r="V71" s="224">
        <f>IF('WetLitterbags placem_collection'!G72="","",'WetLitterbags placem_collection'!G72)</f>
        <v>42818</v>
      </c>
      <c r="W71" s="225">
        <f t="shared" si="5"/>
        <v>51</v>
      </c>
      <c r="X71" s="223">
        <f t="shared" si="8"/>
        <v>1.0738000000000001</v>
      </c>
      <c r="Y71" s="223">
        <f t="shared" si="9"/>
        <v>1.0703620199721691</v>
      </c>
      <c r="Z71">
        <f>IFERROR(INDEX([1]Rainfall_Wet!$O$2:$O$217,MATCH(C71, [1]Rainfall_Wet!$A$2:$A$217,0)),"")</f>
        <v>185.630065823</v>
      </c>
      <c r="AA71" s="226">
        <v>47.96</v>
      </c>
      <c r="AB71" s="226">
        <v>22.919999999999995</v>
      </c>
      <c r="AC71" s="226">
        <v>29.120000000000012</v>
      </c>
      <c r="AD71" s="227" t="s">
        <v>2654</v>
      </c>
      <c r="AE71" s="226">
        <v>7.8831936914736298</v>
      </c>
      <c r="AF71">
        <f>IF('WetLitterbags placem_collection'!AB72="","",'WetLitterbags placem_collection'!AB72)</f>
        <v>15</v>
      </c>
      <c r="AG71">
        <f>IF('WetLitterbags placem_collection'!Z72="","",'WetLitterbags placem_collection'!Z72)</f>
        <v>28</v>
      </c>
      <c r="AH71" s="236" t="str">
        <f>IF('WetLitterbags placem_collection'!AA72="","",'WetLitterbags placem_collection'!AA72)</f>
        <v>O</v>
      </c>
      <c r="AI71">
        <f>IF('WetLitterbags placem_collection'!AC72="","",'WetLitterbags placem_collection'!AC72)</f>
        <v>0</v>
      </c>
      <c r="AJ71" s="233">
        <f>AVERAGE('WetLitterbags placem_collection'!S72,'WetLitterbags placem_collection'!U72)</f>
        <v>32.15</v>
      </c>
      <c r="AK71">
        <f>AVERAGE('WetLitterbags placem_collection'!R72,'WetLitterbags placem_collection'!T72)</f>
        <v>23.7</v>
      </c>
      <c r="AL71">
        <f>INDEX([2]Coordinates!$B$2:$B$197,MATCH(I71,[2]Coordinates!$J$2:$J$197,0))</f>
        <v>-3.299381034</v>
      </c>
      <c r="AM71">
        <f>INDEX([2]Coordinates!$C$2:$C$197,MATCH(I71,[2]Coordinates!$J$2:$J$197,0))</f>
        <v>34.848312040000003</v>
      </c>
      <c r="AN71" t="str">
        <f>IF(ISNUMBER(SEARCH("C", 'WetLitterbags placem_collection'!$V72)),"YES","NO")</f>
        <v>YES</v>
      </c>
      <c r="AO71" t="str">
        <f>IF(ISNUMBER(SEARCH("H", 'WetLitterbags placem_collection'!$V72)),"YES","NO")</f>
        <v>YES</v>
      </c>
      <c r="AP71" t="str">
        <f>IF(ISNUMBER(SEARCH("R", 'WetLitterbags placem_collection'!$V72)),"YES","NO")</f>
        <v>YES</v>
      </c>
    </row>
    <row r="72" spans="1:42">
      <c r="A72" t="s">
        <v>3248</v>
      </c>
      <c r="B72" s="248" t="s">
        <v>2454</v>
      </c>
      <c r="C72" s="253">
        <f>'Dry_Litterbag Placem_Collection'!A73</f>
        <v>71</v>
      </c>
      <c r="D72" s="253" t="str">
        <f>'Dry_Litterbag Placem_Collection'!B73</f>
        <v>Maswa</v>
      </c>
      <c r="E72" s="253" t="s">
        <v>2643</v>
      </c>
      <c r="F72" s="253" t="s">
        <v>2645</v>
      </c>
      <c r="G72" s="253">
        <v>1</v>
      </c>
      <c r="H72" s="253" t="s">
        <v>3111</v>
      </c>
      <c r="I72" s="254" t="str">
        <f>'Dry_Litterbag Placem_Collection'!C73</f>
        <v>Dry_W1_T7</v>
      </c>
      <c r="J72" s="255" t="s">
        <v>2525</v>
      </c>
      <c r="K72" s="256" t="s">
        <v>1147</v>
      </c>
      <c r="L72" s="221" t="str">
        <f>'WetLitterbags placem_collection'!K73</f>
        <v>G511</v>
      </c>
      <c r="M72" s="223">
        <f>IFERROR(INDEX('Green_rooibos initial weight'!$C$5:$C$2000,MATCH(L72, 'Green_rooibos initial weight'!$A$5:$A$2000,0)),"")</f>
        <v>1.9930000000000001</v>
      </c>
      <c r="N72" s="223">
        <f>IFERROR(M72-(TBIcalc!$H$9+TBIcalc!$H$10),"")</f>
        <v>1.7432000000000001</v>
      </c>
      <c r="O72" s="378">
        <f>AVERAGE(Ashed_controlls!$K$2:$K$11)</f>
        <v>5.5147656768714146</v>
      </c>
      <c r="P72" s="223">
        <f t="shared" si="6"/>
        <v>1.6470666047207776</v>
      </c>
      <c r="Q72" s="223">
        <f>IFERROR(INDEX('Both teabags AfterWet'!$C$3:$C$840,MATCH(L72,'Both teabags AfterWet'!$A$3:$A$840,0)),"")</f>
        <v>0.83740000000000003</v>
      </c>
      <c r="R72" s="223">
        <f>IFERROR(IF(Q72&gt;0,Q72-(TBIcalc!$H$9),""),"")</f>
        <v>0.68680000000000008</v>
      </c>
      <c r="S72" s="223">
        <f>IFERROR(INDEX('Ashed teabags wet'!$K$2:$K$2000,MATCH(L72,'Ashed teabags wet'!$A$2:$A$2000,0)),"")</f>
        <v>9.3359960059912463</v>
      </c>
      <c r="T72" s="223">
        <f t="shared" si="7"/>
        <v>0.62268037943085219</v>
      </c>
      <c r="U72" s="224">
        <f>'WetLitterbags placem_collection'!E73</f>
        <v>42767</v>
      </c>
      <c r="V72" s="224">
        <f>IF('WetLitterbags placem_collection'!G73="","",'WetLitterbags placem_collection'!G73)</f>
        <v>42818</v>
      </c>
      <c r="W72" s="225">
        <f t="shared" si="5"/>
        <v>51</v>
      </c>
      <c r="X72" s="223">
        <f t="shared" si="8"/>
        <v>1.0564</v>
      </c>
      <c r="Y72" s="223">
        <f t="shared" si="9"/>
        <v>1.0243862252899254</v>
      </c>
      <c r="Z72">
        <f>IFERROR(INDEX([1]Rainfall_Wet!$O$2:$O$217,MATCH(C72, [1]Rainfall_Wet!$A$2:$A$217,0)),"")</f>
        <v>185.630065823</v>
      </c>
      <c r="AA72" s="226">
        <v>47.96</v>
      </c>
      <c r="AB72" s="226">
        <v>22.919999999999995</v>
      </c>
      <c r="AC72" s="226">
        <v>29.120000000000012</v>
      </c>
      <c r="AD72" s="227" t="s">
        <v>2654</v>
      </c>
      <c r="AE72" s="226">
        <v>8.8831936914736307</v>
      </c>
      <c r="AF72">
        <f>IF('WetLitterbags placem_collection'!AB73="","",'WetLitterbags placem_collection'!AB73)</f>
        <v>15.5</v>
      </c>
      <c r="AG72">
        <f>IF('WetLitterbags placem_collection'!Z73="","",'WetLitterbags placem_collection'!Z73)</f>
        <v>32</v>
      </c>
      <c r="AH72" s="236" t="str">
        <f>IF('WetLitterbags placem_collection'!AA73="","",'WetLitterbags placem_collection'!AA73)</f>
        <v>O</v>
      </c>
      <c r="AI72">
        <f>IF('WetLitterbags placem_collection'!AC73="","",'WetLitterbags placem_collection'!AC73)</f>
        <v>1</v>
      </c>
      <c r="AJ72" s="233">
        <f>AVERAGE('WetLitterbags placem_collection'!S73,'WetLitterbags placem_collection'!U73)</f>
        <v>29.35</v>
      </c>
      <c r="AK72">
        <f>AVERAGE('WetLitterbags placem_collection'!R73,'WetLitterbags placem_collection'!T73)</f>
        <v>21.95</v>
      </c>
      <c r="AL72">
        <f>INDEX([2]Coordinates!$B$2:$B$197,MATCH(I72,[2]Coordinates!$J$2:$J$197,0))</f>
        <v>-3.2992429849999998</v>
      </c>
      <c r="AM72">
        <f>INDEX([2]Coordinates!$C$2:$C$197,MATCH(I72,[2]Coordinates!$J$2:$J$197,0))</f>
        <v>34.847900989999999</v>
      </c>
      <c r="AN72" t="str">
        <f>IF(ISNUMBER(SEARCH("C", 'WetLitterbags placem_collection'!$V73)),"YES","NO")</f>
        <v>NO</v>
      </c>
      <c r="AO72" t="str">
        <f>IF(ISNUMBER(SEARCH("H", 'WetLitterbags placem_collection'!$V73)),"YES","NO")</f>
        <v>NO</v>
      </c>
      <c r="AP72" t="str">
        <f>IF(ISNUMBER(SEARCH("R", 'WetLitterbags placem_collection'!$V73)),"YES","NO")</f>
        <v>YES</v>
      </c>
    </row>
    <row r="73" spans="1:42">
      <c r="A73" t="s">
        <v>3248</v>
      </c>
      <c r="B73" s="248" t="s">
        <v>2454</v>
      </c>
      <c r="C73" s="253">
        <f>'Dry_Litterbag Placem_Collection'!A74</f>
        <v>72</v>
      </c>
      <c r="D73" s="253" t="str">
        <f>'Dry_Litterbag Placem_Collection'!B74</f>
        <v>Maswa</v>
      </c>
      <c r="E73" s="253" t="s">
        <v>2643</v>
      </c>
      <c r="F73" s="253" t="s">
        <v>2645</v>
      </c>
      <c r="G73" s="253">
        <v>1</v>
      </c>
      <c r="H73" s="253" t="s">
        <v>3111</v>
      </c>
      <c r="I73" s="254" t="str">
        <f>'Dry_Litterbag Placem_Collection'!C74</f>
        <v>Dry_W1_T8</v>
      </c>
      <c r="J73" s="255" t="s">
        <v>2525</v>
      </c>
      <c r="K73" s="256" t="s">
        <v>1147</v>
      </c>
      <c r="L73" s="221" t="str">
        <f>'WetLitterbags placem_collection'!K74</f>
        <v>G383</v>
      </c>
      <c r="M73" s="223">
        <f>IFERROR(INDEX('Green_rooibos initial weight'!$C$5:$C$2000,MATCH(L73, 'Green_rooibos initial weight'!$A$5:$A$2000,0)),"")</f>
        <v>1.956</v>
      </c>
      <c r="N73" s="223">
        <f>IFERROR(M73-(TBIcalc!$H$9+TBIcalc!$H$10),"")</f>
        <v>1.7061999999999999</v>
      </c>
      <c r="O73" s="378">
        <f>AVERAGE(Ashed_controlls!$K$2:$K$11)</f>
        <v>5.5147656768714146</v>
      </c>
      <c r="P73" s="223">
        <f t="shared" si="6"/>
        <v>1.6121070680212199</v>
      </c>
      <c r="Q73" s="223">
        <f>IFERROR(INDEX('Both teabags AfterWet'!$C$3:$C$840,MATCH(L73,'Both teabags AfterWet'!$A$3:$A$840,0)),"")</f>
        <v>0.82550000000000001</v>
      </c>
      <c r="R73" s="223">
        <f>IFERROR(IF(Q73&gt;0,Q73-(TBIcalc!$H$9),""),"")</f>
        <v>0.67490000000000006</v>
      </c>
      <c r="S73" s="223">
        <f>IFERROR(INDEX('Ashed teabags wet'!$K$2:$K$2000,MATCH(L73,'Ashed teabags wet'!$A$2:$A$2000,0)),"")</f>
        <v>8.9603960396033298</v>
      </c>
      <c r="T73" s="223">
        <f t="shared" si="7"/>
        <v>0.61442628712871716</v>
      </c>
      <c r="U73" s="224">
        <f>'WetLitterbags placem_collection'!E74</f>
        <v>42767</v>
      </c>
      <c r="V73" s="224">
        <f>IF('WetLitterbags placem_collection'!G74="","",'WetLitterbags placem_collection'!G74)</f>
        <v>42818</v>
      </c>
      <c r="W73" s="225">
        <f t="shared" si="5"/>
        <v>51</v>
      </c>
      <c r="X73" s="223">
        <f t="shared" si="8"/>
        <v>1.0312999999999999</v>
      </c>
      <c r="Y73" s="223">
        <f t="shared" si="9"/>
        <v>0.99768078089250278</v>
      </c>
      <c r="Z73">
        <f>IFERROR(INDEX([1]Rainfall_Wet!$O$2:$O$217,MATCH(C73, [1]Rainfall_Wet!$A$2:$A$217,0)),"")</f>
        <v>185.630065823</v>
      </c>
      <c r="AA73" s="226">
        <v>47.96</v>
      </c>
      <c r="AB73" s="226">
        <v>22.919999999999995</v>
      </c>
      <c r="AC73" s="226">
        <v>29.120000000000012</v>
      </c>
      <c r="AD73" s="227" t="s">
        <v>2654</v>
      </c>
      <c r="AE73" s="226">
        <v>9.8831936914736307</v>
      </c>
      <c r="AF73">
        <f>IF('WetLitterbags placem_collection'!AB74="","",'WetLitterbags placem_collection'!AB74)</f>
        <v>2.6</v>
      </c>
      <c r="AG73">
        <f>IF('WetLitterbags placem_collection'!Z74="","",'WetLitterbags placem_collection'!Z74)</f>
        <v>44</v>
      </c>
      <c r="AH73" s="236" t="str">
        <f>IF('WetLitterbags placem_collection'!AA74="","",'WetLitterbags placem_collection'!AA74)</f>
        <v>O</v>
      </c>
      <c r="AI73">
        <f>IF('WetLitterbags placem_collection'!AC74="","",'WetLitterbags placem_collection'!AC74)</f>
        <v>1</v>
      </c>
      <c r="AJ73" s="233">
        <f>AVERAGE('WetLitterbags placem_collection'!S74,'WetLitterbags placem_collection'!U74)</f>
        <v>32</v>
      </c>
      <c r="AK73">
        <f>AVERAGE('WetLitterbags placem_collection'!R74,'WetLitterbags placem_collection'!T74)</f>
        <v>21.9</v>
      </c>
      <c r="AL73">
        <f>INDEX([2]Coordinates!$B$2:$B$197,MATCH(I73,[2]Coordinates!$J$2:$J$197,0))</f>
        <v>-3.2996540329999999</v>
      </c>
      <c r="AM73">
        <f>INDEX([2]Coordinates!$C$2:$C$197,MATCH(I73,[2]Coordinates!$J$2:$J$197,0))</f>
        <v>34.848151020000003</v>
      </c>
      <c r="AN73" t="str">
        <f>IF(ISNUMBER(SEARCH("C", 'WetLitterbags placem_collection'!$V74)),"YES","NO")</f>
        <v>NO</v>
      </c>
      <c r="AO73" t="str">
        <f>IF(ISNUMBER(SEARCH("H", 'WetLitterbags placem_collection'!$V74)),"YES","NO")</f>
        <v>NO</v>
      </c>
      <c r="AP73" t="str">
        <f>IF(ISNUMBER(SEARCH("R", 'WetLitterbags placem_collection'!$V74)),"YES","NO")</f>
        <v>YES</v>
      </c>
    </row>
    <row r="74" spans="1:42">
      <c r="A74" t="s">
        <v>3248</v>
      </c>
      <c r="B74" s="248" t="s">
        <v>2454</v>
      </c>
      <c r="C74" s="253">
        <f>'Dry_Litterbag Placem_Collection'!A75</f>
        <v>73</v>
      </c>
      <c r="D74" s="253" t="str">
        <f>'Dry_Litterbag Placem_Collection'!B75</f>
        <v>Maswa</v>
      </c>
      <c r="E74" s="253" t="s">
        <v>2643</v>
      </c>
      <c r="F74" s="253" t="s">
        <v>2645</v>
      </c>
      <c r="G74" s="253">
        <v>2</v>
      </c>
      <c r="H74" s="253" t="s">
        <v>3113</v>
      </c>
      <c r="I74" s="254" t="str">
        <f>'Dry_Litterbag Placem_Collection'!C75</f>
        <v>Dry_W2_T1</v>
      </c>
      <c r="J74" s="255" t="s">
        <v>2525</v>
      </c>
      <c r="K74" s="256" t="s">
        <v>1147</v>
      </c>
      <c r="L74" s="221" t="str">
        <f>'WetLitterbags placem_collection'!K75</f>
        <v>G549</v>
      </c>
      <c r="M74" s="223">
        <f>IFERROR(INDEX('Green_rooibos initial weight'!$C$5:$C$2000,MATCH(L74, 'Green_rooibos initial weight'!$A$5:$A$2000,0)),"")</f>
        <v>2.016</v>
      </c>
      <c r="N74" s="223">
        <f>IFERROR(M74-(TBIcalc!$H$9+TBIcalc!$H$10),"")</f>
        <v>1.7662</v>
      </c>
      <c r="O74" s="378">
        <f>AVERAGE(Ashed_controlls!$K$2:$K$11)</f>
        <v>5.5147656768714146</v>
      </c>
      <c r="P74" s="223">
        <f t="shared" si="6"/>
        <v>1.668798208615097</v>
      </c>
      <c r="Q74" s="223">
        <f>IFERROR(INDEX('Both teabags AfterWet'!$C$3:$C$840,MATCH(L74,'Both teabags AfterWet'!$A$3:$A$840,0)),"")</f>
        <v>0.74199999999999999</v>
      </c>
      <c r="R74" s="223">
        <f>IFERROR(IF(Q74&gt;0,Q74-(TBIcalc!$H$9),""),"")</f>
        <v>0.59139999999999993</v>
      </c>
      <c r="S74" s="223">
        <f>IFERROR(INDEX('Ashed teabags wet'!$K$2:$K$2000,MATCH(L74,'Ashed teabags wet'!$A$2:$A$2000,0)),"")</f>
        <v>10.980392156862093</v>
      </c>
      <c r="T74" s="223">
        <f t="shared" si="7"/>
        <v>0.52646196078431751</v>
      </c>
      <c r="U74" s="224">
        <f>'WetLitterbags placem_collection'!E75</f>
        <v>42767</v>
      </c>
      <c r="V74" s="224">
        <f>IF('WetLitterbags placem_collection'!G75="","",'WetLitterbags placem_collection'!G75)</f>
        <v>42818</v>
      </c>
      <c r="W74" s="225">
        <f t="shared" si="5"/>
        <v>51</v>
      </c>
      <c r="X74" s="223">
        <f t="shared" si="8"/>
        <v>1.1748000000000001</v>
      </c>
      <c r="Y74" s="223">
        <f t="shared" si="9"/>
        <v>1.1423362478307795</v>
      </c>
      <c r="Z74">
        <f>IFERROR(INDEX([1]Rainfall_Wet!$O$2:$O$217,MATCH(C74, [1]Rainfall_Wet!$A$2:$A$217,0)),"")</f>
        <v>185.630065823</v>
      </c>
      <c r="AA74" s="226">
        <v>45.272914521112256</v>
      </c>
      <c r="AB74" s="226">
        <v>23.604531410916575</v>
      </c>
      <c r="AC74" s="226">
        <v>31.122554067971166</v>
      </c>
      <c r="AD74" s="227" t="s">
        <v>2654</v>
      </c>
      <c r="AE74" s="226">
        <v>2.0547560374568752</v>
      </c>
      <c r="AF74">
        <f>IF('WetLitterbags placem_collection'!AB75="","",'WetLitterbags placem_collection'!AB75)</f>
        <v>9.1</v>
      </c>
      <c r="AG74">
        <f>IF('WetLitterbags placem_collection'!Z75="","",'WetLitterbags placem_collection'!Z75)</f>
        <v>10</v>
      </c>
      <c r="AH74" s="236" t="str">
        <f>IF('WetLitterbags placem_collection'!AA75="","",'WetLitterbags placem_collection'!AA75)</f>
        <v>M</v>
      </c>
      <c r="AI74">
        <f>IF('WetLitterbags placem_collection'!AC75="","",'WetLitterbags placem_collection'!AC75)</f>
        <v>1</v>
      </c>
      <c r="AJ74" s="233">
        <f>AVERAGE('WetLitterbags placem_collection'!S75,'WetLitterbags placem_collection'!U75)</f>
        <v>27.85</v>
      </c>
      <c r="AK74">
        <f>AVERAGE('WetLitterbags placem_collection'!R75,'WetLitterbags placem_collection'!T75)</f>
        <v>26.15</v>
      </c>
      <c r="AL74">
        <f>INDEX([2]Coordinates!$B$2:$B$197,MATCH(I74,[2]Coordinates!$J$2:$J$197,0))</f>
        <v>-3.3025860229999999</v>
      </c>
      <c r="AM74">
        <f>INDEX([2]Coordinates!$C$2:$C$197,MATCH(I74,[2]Coordinates!$J$2:$J$197,0))</f>
        <v>34.848048009999999</v>
      </c>
      <c r="AN74" t="str">
        <f>IF(ISNUMBER(SEARCH("C", 'WetLitterbags placem_collection'!$V75)),"YES","NO")</f>
        <v>NO</v>
      </c>
      <c r="AO74" t="str">
        <f>IF(ISNUMBER(SEARCH("H", 'WetLitterbags placem_collection'!$V75)),"YES","NO")</f>
        <v>YES</v>
      </c>
      <c r="AP74" t="str">
        <f>IF(ISNUMBER(SEARCH("R", 'WetLitterbags placem_collection'!$V75)),"YES","NO")</f>
        <v>YES</v>
      </c>
    </row>
    <row r="75" spans="1:42">
      <c r="A75" t="s">
        <v>3248</v>
      </c>
      <c r="B75" s="248" t="s">
        <v>2454</v>
      </c>
      <c r="C75" s="253">
        <f>'Dry_Litterbag Placem_Collection'!A76</f>
        <v>74</v>
      </c>
      <c r="D75" s="253" t="str">
        <f>'Dry_Litterbag Placem_Collection'!B76</f>
        <v>Maswa</v>
      </c>
      <c r="E75" s="253" t="s">
        <v>2643</v>
      </c>
      <c r="F75" s="253" t="s">
        <v>2645</v>
      </c>
      <c r="G75" s="253">
        <v>2</v>
      </c>
      <c r="H75" s="253" t="s">
        <v>3113</v>
      </c>
      <c r="I75" s="254" t="str">
        <f>'Dry_Litterbag Placem_Collection'!C76</f>
        <v>Dry_W2_T2</v>
      </c>
      <c r="J75" s="255" t="s">
        <v>2525</v>
      </c>
      <c r="K75" s="256" t="s">
        <v>1147</v>
      </c>
      <c r="L75" s="221" t="str">
        <f>'WetLitterbags placem_collection'!K76</f>
        <v>G605</v>
      </c>
      <c r="M75" s="223">
        <f>IFERROR(INDEX('Green_rooibos initial weight'!$C$5:$C$2000,MATCH(L75, 'Green_rooibos initial weight'!$A$5:$A$2000,0)),"")</f>
        <v>2.0459999999999998</v>
      </c>
      <c r="N75" s="223">
        <f>IFERROR(M75-(TBIcalc!$H$9+TBIcalc!$H$10),"")</f>
        <v>1.7961999999999998</v>
      </c>
      <c r="O75" s="378">
        <f>AVERAGE(Ashed_controlls!$K$2:$K$11)</f>
        <v>5.5147656768714146</v>
      </c>
      <c r="P75" s="223">
        <f t="shared" si="6"/>
        <v>1.6971437789120354</v>
      </c>
      <c r="Q75" s="223">
        <f>IFERROR(INDEX('Both teabags AfterWet'!$C$3:$C$840,MATCH(L75,'Both teabags AfterWet'!$A$3:$A$840,0)),"")</f>
        <v>1.1950000000000001</v>
      </c>
      <c r="R75" s="223">
        <f>IFERROR(IF(Q75&gt;0,Q75-(TBIcalc!$H$9),""),"")</f>
        <v>1.0444</v>
      </c>
      <c r="S75" s="223">
        <f>IFERROR(INDEX('Ashed teabags wet'!$K$2:$K$2000,MATCH(L75,'Ashed teabags wet'!$A$2:$A$2000,0)),"")</f>
        <v>62.512315270936703</v>
      </c>
      <c r="T75" s="223">
        <f t="shared" si="7"/>
        <v>0.39152137931033704</v>
      </c>
      <c r="U75" s="224">
        <f>'WetLitterbags placem_collection'!E76</f>
        <v>42767</v>
      </c>
      <c r="V75" s="224">
        <f>IF('WetLitterbags placem_collection'!G76="","",'WetLitterbags placem_collection'!G76)</f>
        <v>42818</v>
      </c>
      <c r="W75" s="225">
        <f t="shared" si="5"/>
        <v>51</v>
      </c>
      <c r="X75" s="223">
        <f t="shared" si="8"/>
        <v>0.7517999999999998</v>
      </c>
      <c r="Y75" s="223">
        <f t="shared" si="9"/>
        <v>1.3056223996016985</v>
      </c>
      <c r="Z75">
        <f>IFERROR(INDEX([1]Rainfall_Wet!$O$2:$O$217,MATCH(C75, [1]Rainfall_Wet!$A$2:$A$217,0)),"")</f>
        <v>185.630065823</v>
      </c>
      <c r="AA75" s="226">
        <v>45.272914521112256</v>
      </c>
      <c r="AB75" s="226">
        <v>23.604531410916575</v>
      </c>
      <c r="AC75" s="226">
        <v>31.122554067971166</v>
      </c>
      <c r="AD75" s="227" t="s">
        <v>2654</v>
      </c>
      <c r="AE75" s="226">
        <v>3.0547560374568801</v>
      </c>
      <c r="AF75">
        <f>IF('WetLitterbags placem_collection'!AB76="","",'WetLitterbags placem_collection'!AB76)</f>
        <v>7.7</v>
      </c>
      <c r="AG75">
        <f>IF('WetLitterbags placem_collection'!Z76="","",'WetLitterbags placem_collection'!Z76)</f>
        <v>9.4</v>
      </c>
      <c r="AH75" s="236" t="str">
        <f>IF('WetLitterbags placem_collection'!AA76="","",'WetLitterbags placem_collection'!AA76)</f>
        <v>M</v>
      </c>
      <c r="AI75">
        <f>IF('WetLitterbags placem_collection'!AC76="","",'WetLitterbags placem_collection'!AC76)</f>
        <v>1</v>
      </c>
      <c r="AJ75" s="233">
        <f>AVERAGE('WetLitterbags placem_collection'!S76,'WetLitterbags placem_collection'!U76)</f>
        <v>24.65</v>
      </c>
      <c r="AK75">
        <f>AVERAGE('WetLitterbags placem_collection'!R76,'WetLitterbags placem_collection'!T76)</f>
        <v>24.35</v>
      </c>
      <c r="AL75">
        <f>INDEX([2]Coordinates!$B$2:$B$197,MATCH(I75,[2]Coordinates!$J$2:$J$197,0))</f>
        <v>-3.3025779759999998</v>
      </c>
      <c r="AM75">
        <f>INDEX([2]Coordinates!$C$2:$C$197,MATCH(I75,[2]Coordinates!$J$2:$J$197,0))</f>
        <v>34.848041969999997</v>
      </c>
      <c r="AN75" t="str">
        <f>IF(ISNUMBER(SEARCH("C", 'WetLitterbags placem_collection'!$V76)),"YES","NO")</f>
        <v>NO</v>
      </c>
      <c r="AO75" t="str">
        <f>IF(ISNUMBER(SEARCH("H", 'WetLitterbags placem_collection'!$V76)),"YES","NO")</f>
        <v>YES</v>
      </c>
      <c r="AP75" t="str">
        <f>IF(ISNUMBER(SEARCH("R", 'WetLitterbags placem_collection'!$V76)),"YES","NO")</f>
        <v>YES</v>
      </c>
    </row>
    <row r="76" spans="1:42">
      <c r="A76" t="s">
        <v>3248</v>
      </c>
      <c r="B76" s="248" t="s">
        <v>2454</v>
      </c>
      <c r="C76" s="253">
        <f>'Dry_Litterbag Placem_Collection'!A77</f>
        <v>75</v>
      </c>
      <c r="D76" s="253" t="str">
        <f>'Dry_Litterbag Placem_Collection'!B77</f>
        <v>Maswa</v>
      </c>
      <c r="E76" s="253" t="s">
        <v>2643</v>
      </c>
      <c r="F76" s="253" t="s">
        <v>2645</v>
      </c>
      <c r="G76" s="253">
        <v>2</v>
      </c>
      <c r="H76" s="253" t="s">
        <v>3113</v>
      </c>
      <c r="I76" s="254" t="str">
        <f>'Dry_Litterbag Placem_Collection'!C77</f>
        <v>Dry_W2_T3</v>
      </c>
      <c r="J76" s="255" t="s">
        <v>2525</v>
      </c>
      <c r="K76" s="256" t="s">
        <v>1147</v>
      </c>
      <c r="L76" s="221" t="str">
        <f>'WetLitterbags placem_collection'!K77</f>
        <v>G408</v>
      </c>
      <c r="M76" s="223">
        <f>IFERROR(INDEX('Green_rooibos initial weight'!$C$5:$C$2000,MATCH(L76, 'Green_rooibos initial weight'!$A$5:$A$2000,0)),"")</f>
        <v>2.044</v>
      </c>
      <c r="N76" s="223">
        <f>IFERROR(M76-(TBIcalc!$H$9+TBIcalc!$H$10),"")</f>
        <v>1.7942</v>
      </c>
      <c r="O76" s="378">
        <f>AVERAGE(Ashed_controlls!$K$2:$K$11)</f>
        <v>5.5147656768714146</v>
      </c>
      <c r="P76" s="223">
        <f t="shared" si="6"/>
        <v>1.6952540742255731</v>
      </c>
      <c r="Q76" s="223">
        <f>IFERROR(INDEX('Both teabags AfterWet'!$C$3:$C$840,MATCH(L76,'Both teabags AfterWet'!$A$3:$A$840,0)),"")</f>
        <v>0.85780000000000001</v>
      </c>
      <c r="R76" s="223">
        <f>IFERROR(IF(Q76&gt;0,Q76-(TBIcalc!$H$9),""),"")</f>
        <v>0.70720000000000005</v>
      </c>
      <c r="S76" s="223">
        <f>IFERROR(INDEX('Ashed teabags wet'!$K$2:$K$2000,MATCH(L76,'Ashed teabags wet'!$A$2:$A$2000,0)),"")</f>
        <v>10.812157448929053</v>
      </c>
      <c r="T76" s="223">
        <f t="shared" si="7"/>
        <v>0.63073642252117379</v>
      </c>
      <c r="U76" s="224">
        <f>'WetLitterbags placem_collection'!E77</f>
        <v>42767</v>
      </c>
      <c r="V76" s="224">
        <f>IF('WetLitterbags placem_collection'!G77="","",'WetLitterbags placem_collection'!G77)</f>
        <v>42818</v>
      </c>
      <c r="W76" s="225">
        <f t="shared" si="5"/>
        <v>51</v>
      </c>
      <c r="X76" s="223">
        <f t="shared" si="8"/>
        <v>1.087</v>
      </c>
      <c r="Y76" s="223">
        <f t="shared" si="9"/>
        <v>1.0645176517043993</v>
      </c>
      <c r="Z76">
        <f>IFERROR(INDEX([1]Rainfall_Wet!$O$2:$O$217,MATCH(C76, [1]Rainfall_Wet!$A$2:$A$217,0)),"")</f>
        <v>185.630065823</v>
      </c>
      <c r="AA76" s="226">
        <v>45.272914521112256</v>
      </c>
      <c r="AB76" s="226">
        <v>23.604531410916575</v>
      </c>
      <c r="AC76" s="226">
        <v>31.122554067971166</v>
      </c>
      <c r="AD76" s="227" t="s">
        <v>2654</v>
      </c>
      <c r="AE76" s="226">
        <v>4.0547560374568796</v>
      </c>
      <c r="AF76">
        <f>IF('WetLitterbags placem_collection'!AB77="","",'WetLitterbags placem_collection'!AB77)</f>
        <v>6.1</v>
      </c>
      <c r="AG76">
        <f>IF('WetLitterbags placem_collection'!Z77="","",'WetLitterbags placem_collection'!Z77)</f>
        <v>13.8</v>
      </c>
      <c r="AH76" s="236" t="str">
        <f>IF('WetLitterbags placem_collection'!AA77="","",'WetLitterbags placem_collection'!AA77)</f>
        <v>O</v>
      </c>
      <c r="AI76">
        <f>IF('WetLitterbags placem_collection'!AC77="","",'WetLitterbags placem_collection'!AC77)</f>
        <v>0</v>
      </c>
      <c r="AJ76" s="233">
        <f>AVERAGE('WetLitterbags placem_collection'!S77,'WetLitterbags placem_collection'!U77)</f>
        <v>27.150000000000002</v>
      </c>
      <c r="AK76">
        <f>AVERAGE('WetLitterbags placem_collection'!R77,'WetLitterbags placem_collection'!T77)</f>
        <v>25.65</v>
      </c>
      <c r="AL76">
        <f>INDEX([2]Coordinates!$B$2:$B$197,MATCH(I76,[2]Coordinates!$J$2:$J$197,0))</f>
        <v>-3.302687025</v>
      </c>
      <c r="AM76">
        <f>INDEX([2]Coordinates!$C$2:$C$197,MATCH(I76,[2]Coordinates!$J$2:$J$197,0))</f>
        <v>34.847926970000003</v>
      </c>
      <c r="AN76" t="str">
        <f>IF(ISNUMBER(SEARCH("C", 'WetLitterbags placem_collection'!$V77)),"YES","NO")</f>
        <v>NO</v>
      </c>
      <c r="AO76" t="str">
        <f>IF(ISNUMBER(SEARCH("H", 'WetLitterbags placem_collection'!$V77)),"YES","NO")</f>
        <v>YES</v>
      </c>
      <c r="AP76" t="str">
        <f>IF(ISNUMBER(SEARCH("R", 'WetLitterbags placem_collection'!$V77)),"YES","NO")</f>
        <v>YES</v>
      </c>
    </row>
    <row r="77" spans="1:42">
      <c r="A77" t="s">
        <v>3248</v>
      </c>
      <c r="B77" s="248" t="s">
        <v>2454</v>
      </c>
      <c r="C77" s="253">
        <f>'Dry_Litterbag Placem_Collection'!A78</f>
        <v>76</v>
      </c>
      <c r="D77" s="253" t="str">
        <f>'Dry_Litterbag Placem_Collection'!B78</f>
        <v>Maswa</v>
      </c>
      <c r="E77" s="253" t="s">
        <v>2643</v>
      </c>
      <c r="F77" s="253" t="s">
        <v>2645</v>
      </c>
      <c r="G77" s="253">
        <v>2</v>
      </c>
      <c r="H77" s="253" t="s">
        <v>3113</v>
      </c>
      <c r="I77" s="254" t="str">
        <f>'Dry_Litterbag Placem_Collection'!C78</f>
        <v>Dry_W2_T4</v>
      </c>
      <c r="J77" s="255" t="s">
        <v>2525</v>
      </c>
      <c r="K77" s="256" t="s">
        <v>1147</v>
      </c>
      <c r="L77" s="221" t="str">
        <f>'WetLitterbags placem_collection'!K78</f>
        <v>G416</v>
      </c>
      <c r="M77" s="223">
        <f>IFERROR(INDEX('Green_rooibos initial weight'!$C$5:$C$2000,MATCH(L77, 'Green_rooibos initial weight'!$A$5:$A$2000,0)),"")</f>
        <v>2.1819999999999999</v>
      </c>
      <c r="N77" s="223">
        <f>IFERROR(M77-(TBIcalc!$H$9+TBIcalc!$H$10),"")</f>
        <v>1.9321999999999999</v>
      </c>
      <c r="O77" s="378">
        <f>AVERAGE(Ashed_controlls!$K$2:$K$11)</f>
        <v>5.5147656768714146</v>
      </c>
      <c r="P77" s="223">
        <f t="shared" si="6"/>
        <v>1.8256436975914905</v>
      </c>
      <c r="Q77" s="223">
        <f>IFERROR(INDEX('Both teabags AfterWet'!$C$3:$C$840,MATCH(L77,'Both teabags AfterWet'!$A$3:$A$840,0)),"")</f>
        <v>0.94399999999999995</v>
      </c>
      <c r="R77" s="223">
        <f>IFERROR(IF(Q77&gt;0,Q77-(TBIcalc!$H$9),""),"")</f>
        <v>0.79339999999999988</v>
      </c>
      <c r="S77" s="223">
        <f>IFERROR(INDEX('Ashed teabags wet'!$K$2:$K$2000,MATCH(L77,'Ashed teabags wet'!$A$2:$A$2000,0)),"")</f>
        <v>14.711729622266519</v>
      </c>
      <c r="T77" s="223">
        <f t="shared" si="7"/>
        <v>0.67667713717693734</v>
      </c>
      <c r="U77" s="224">
        <f>'WetLitterbags placem_collection'!E78</f>
        <v>42767</v>
      </c>
      <c r="V77" s="224">
        <f>IF('WetLitterbags placem_collection'!G78="","",'WetLitterbags placem_collection'!G78)</f>
        <v>42818</v>
      </c>
      <c r="W77" s="225">
        <f t="shared" si="5"/>
        <v>51</v>
      </c>
      <c r="X77" s="223">
        <f t="shared" si="8"/>
        <v>1.1388</v>
      </c>
      <c r="Y77" s="223">
        <f t="shared" si="9"/>
        <v>1.1489665604145531</v>
      </c>
      <c r="Z77">
        <f>IFERROR(INDEX([1]Rainfall_Wet!$O$2:$O$217,MATCH(C77, [1]Rainfall_Wet!$A$2:$A$217,0)),"")</f>
        <v>185.630065823</v>
      </c>
      <c r="AA77" s="226">
        <v>45.272914521112256</v>
      </c>
      <c r="AB77" s="226">
        <v>23.604531410916575</v>
      </c>
      <c r="AC77" s="226">
        <v>31.122554067971166</v>
      </c>
      <c r="AD77" s="227" t="s">
        <v>2654</v>
      </c>
      <c r="AE77" s="226">
        <v>5.0547560374568796</v>
      </c>
      <c r="AF77">
        <f>IF('WetLitterbags placem_collection'!AB78="","",'WetLitterbags placem_collection'!AB78)</f>
        <v>6.7</v>
      </c>
      <c r="AG77">
        <f>IF('WetLitterbags placem_collection'!Z78="","",'WetLitterbags placem_collection'!Z78)</f>
        <v>19.3</v>
      </c>
      <c r="AH77" s="236" t="str">
        <f>IF('WetLitterbags placem_collection'!AA78="","",'WetLitterbags placem_collection'!AA78)</f>
        <v>M</v>
      </c>
      <c r="AI77">
        <f>IF('WetLitterbags placem_collection'!AC78="","",'WetLitterbags placem_collection'!AC78)</f>
        <v>1</v>
      </c>
      <c r="AJ77" s="233">
        <f>AVERAGE('WetLitterbags placem_collection'!S78,'WetLitterbags placem_collection'!U78)</f>
        <v>26.8</v>
      </c>
      <c r="AK77">
        <f>AVERAGE('WetLitterbags placem_collection'!R78,'WetLitterbags placem_collection'!T78)</f>
        <v>23.7</v>
      </c>
      <c r="AL77">
        <f>INDEX([2]Coordinates!$B$2:$B$197,MATCH(I77,[2]Coordinates!$J$2:$J$197,0))</f>
        <v>-3.3024560190000001</v>
      </c>
      <c r="AM77">
        <f>INDEX([2]Coordinates!$C$2:$C$197,MATCH(I77,[2]Coordinates!$J$2:$J$197,0))</f>
        <v>34.847871990000002</v>
      </c>
      <c r="AN77" t="str">
        <f>IF(ISNUMBER(SEARCH("C", 'WetLitterbags placem_collection'!$V78)),"YES","NO")</f>
        <v>NO</v>
      </c>
      <c r="AO77" t="str">
        <f>IF(ISNUMBER(SEARCH("H", 'WetLitterbags placem_collection'!$V78)),"YES","NO")</f>
        <v>YES</v>
      </c>
      <c r="AP77" t="str">
        <f>IF(ISNUMBER(SEARCH("R", 'WetLitterbags placem_collection'!$V78)),"YES","NO")</f>
        <v>NO</v>
      </c>
    </row>
    <row r="78" spans="1:42">
      <c r="A78" t="s">
        <v>3248</v>
      </c>
      <c r="B78" s="248" t="s">
        <v>2454</v>
      </c>
      <c r="C78" s="253">
        <f>'Dry_Litterbag Placem_Collection'!A79</f>
        <v>77</v>
      </c>
      <c r="D78" s="253" t="str">
        <f>'Dry_Litterbag Placem_Collection'!B79</f>
        <v>Maswa</v>
      </c>
      <c r="E78" s="253" t="s">
        <v>2643</v>
      </c>
      <c r="F78" s="253" t="s">
        <v>2645</v>
      </c>
      <c r="G78" s="253">
        <v>2</v>
      </c>
      <c r="H78" s="253" t="s">
        <v>3113</v>
      </c>
      <c r="I78" s="254" t="str">
        <f>'Dry_Litterbag Placem_Collection'!C79</f>
        <v>Dry_W2_T5</v>
      </c>
      <c r="J78" s="255" t="s">
        <v>2525</v>
      </c>
      <c r="K78" s="256" t="s">
        <v>1147</v>
      </c>
      <c r="L78" s="221" t="str">
        <f>'WetLitterbags placem_collection'!K79</f>
        <v>G594</v>
      </c>
      <c r="M78" s="223">
        <f>IFERROR(INDEX('Green_rooibos initial weight'!$C$5:$C$2000,MATCH(L78, 'Green_rooibos initial weight'!$A$5:$A$2000,0)),"")</f>
        <v>2.0680000000000001</v>
      </c>
      <c r="N78" s="223">
        <f>IFERROR(M78-(TBIcalc!$H$9+TBIcalc!$H$10),"")</f>
        <v>1.8182</v>
      </c>
      <c r="O78" s="378">
        <f>AVERAGE(Ashed_controlls!$K$2:$K$11)</f>
        <v>5.5147656768714146</v>
      </c>
      <c r="P78" s="223">
        <f t="shared" si="6"/>
        <v>1.7179305304631241</v>
      </c>
      <c r="Q78" s="223">
        <f>IFERROR(INDEX('Both teabags AfterWet'!$C$3:$C$840,MATCH(L78,'Both teabags AfterWet'!$A$3:$A$840,0)),"")</f>
        <v>0.94699999999999995</v>
      </c>
      <c r="R78" s="223">
        <f>IFERROR(IF(Q78&gt;0,Q78-(TBIcalc!$H$9),""),"")</f>
        <v>0.7964</v>
      </c>
      <c r="S78" s="223">
        <f>IFERROR(INDEX('Ashed teabags wet'!$K$2:$K$2000,MATCH(L78,'Ashed teabags wet'!$A$2:$A$2000,0)),"")</f>
        <v>12.475633528264789</v>
      </c>
      <c r="T78" s="223">
        <f t="shared" si="7"/>
        <v>0.69704405458089924</v>
      </c>
      <c r="U78" s="224">
        <f>'WetLitterbags placem_collection'!E79</f>
        <v>42767</v>
      </c>
      <c r="V78" s="224">
        <f>IF('WetLitterbags placem_collection'!G79="","",'WetLitterbags placem_collection'!G79)</f>
        <v>42818</v>
      </c>
      <c r="W78" s="225">
        <f t="shared" si="5"/>
        <v>51</v>
      </c>
      <c r="X78" s="223">
        <f t="shared" si="8"/>
        <v>1.0218</v>
      </c>
      <c r="Y78" s="223">
        <f t="shared" si="9"/>
        <v>1.0208864758822247</v>
      </c>
      <c r="Z78">
        <f>IFERROR(INDEX([1]Rainfall_Wet!$O$2:$O$217,MATCH(C78, [1]Rainfall_Wet!$A$2:$A$217,0)),"")</f>
        <v>185.630065823</v>
      </c>
      <c r="AA78" s="226">
        <v>45.272914521112256</v>
      </c>
      <c r="AB78" s="226">
        <v>23.604531410916575</v>
      </c>
      <c r="AC78" s="226">
        <v>31.122554067971166</v>
      </c>
      <c r="AD78" s="227" t="s">
        <v>2654</v>
      </c>
      <c r="AE78" s="226">
        <v>6.0547560374568796</v>
      </c>
      <c r="AF78">
        <f>IF('WetLitterbags placem_collection'!AB79="","",'WetLitterbags placem_collection'!AB79)</f>
        <v>3.1</v>
      </c>
      <c r="AG78">
        <f>IF('WetLitterbags placem_collection'!Z79="","",'WetLitterbags placem_collection'!Z79)</f>
        <v>9.8000000000000007</v>
      </c>
      <c r="AH78" s="236" t="str">
        <f>IF('WetLitterbags placem_collection'!AA79="","",'WetLitterbags placem_collection'!AA79)</f>
        <v>O</v>
      </c>
      <c r="AI78">
        <f>IF('WetLitterbags placem_collection'!AC79="","",'WetLitterbags placem_collection'!AC79)</f>
        <v>1</v>
      </c>
      <c r="AJ78" s="233">
        <f>AVERAGE('WetLitterbags placem_collection'!S79,'WetLitterbags placem_collection'!U79)</f>
        <v>25.950000000000003</v>
      </c>
      <c r="AK78">
        <f>AVERAGE('WetLitterbags placem_collection'!R79,'WetLitterbags placem_collection'!T79)</f>
        <v>25.950000000000003</v>
      </c>
      <c r="AL78">
        <f>INDEX([2]Coordinates!$B$2:$B$197,MATCH(I78,[2]Coordinates!$J$2:$J$197,0))</f>
        <v>-3.3023280279999998</v>
      </c>
      <c r="AM78">
        <f>INDEX([2]Coordinates!$C$2:$C$197,MATCH(I78,[2]Coordinates!$J$2:$J$197,0))</f>
        <v>34.848223019999999</v>
      </c>
      <c r="AN78" t="str">
        <f>IF(ISNUMBER(SEARCH("C", 'WetLitterbags placem_collection'!$V79)),"YES","NO")</f>
        <v>NO</v>
      </c>
      <c r="AO78" t="str">
        <f>IF(ISNUMBER(SEARCH("H", 'WetLitterbags placem_collection'!$V79)),"YES","NO")</f>
        <v>NO</v>
      </c>
      <c r="AP78" t="str">
        <f>IF(ISNUMBER(SEARCH("R", 'WetLitterbags placem_collection'!$V79)),"YES","NO")</f>
        <v>YES</v>
      </c>
    </row>
    <row r="79" spans="1:42">
      <c r="A79" t="s">
        <v>3248</v>
      </c>
      <c r="B79" s="248" t="s">
        <v>2454</v>
      </c>
      <c r="C79" s="253">
        <f>'Dry_Litterbag Placem_Collection'!A80</f>
        <v>78</v>
      </c>
      <c r="D79" s="253" t="str">
        <f>'Dry_Litterbag Placem_Collection'!B80</f>
        <v>Maswa</v>
      </c>
      <c r="E79" s="253" t="s">
        <v>2643</v>
      </c>
      <c r="F79" s="253" t="s">
        <v>2645</v>
      </c>
      <c r="G79" s="253">
        <v>2</v>
      </c>
      <c r="H79" s="253" t="s">
        <v>3113</v>
      </c>
      <c r="I79" s="254" t="str">
        <f>'Dry_Litterbag Placem_Collection'!C80</f>
        <v>Dry_W2_T6</v>
      </c>
      <c r="J79" s="255" t="s">
        <v>2525</v>
      </c>
      <c r="K79" s="256" t="s">
        <v>1147</v>
      </c>
      <c r="L79" s="221" t="str">
        <f>'WetLitterbags placem_collection'!K80</f>
        <v>G460</v>
      </c>
      <c r="M79" s="223">
        <f>IFERROR(INDEX('Green_rooibos initial weight'!$C$5:$C$2000,MATCH(L79, 'Green_rooibos initial weight'!$A$5:$A$2000,0)),"")</f>
        <v>2.1560000000000001</v>
      </c>
      <c r="N79" s="223">
        <f>IFERROR(M79-(TBIcalc!$H$9+TBIcalc!$H$10),"")</f>
        <v>1.9062000000000001</v>
      </c>
      <c r="O79" s="378">
        <f>AVERAGE(Ashed_controlls!$K$2:$K$11)</f>
        <v>5.5147656768714146</v>
      </c>
      <c r="P79" s="223">
        <f t="shared" si="6"/>
        <v>1.8010775366674772</v>
      </c>
      <c r="Q79" s="223">
        <f>IFERROR(INDEX('Both teabags AfterWet'!$C$3:$C$840,MATCH(L79,'Both teabags AfterWet'!$A$3:$A$840,0)),"")</f>
        <v>0.90669999999999995</v>
      </c>
      <c r="R79" s="223">
        <f>IFERROR(IF(Q79&gt;0,Q79-(TBIcalc!$H$9),""),"")</f>
        <v>0.75609999999999999</v>
      </c>
      <c r="S79" s="223">
        <f>IFERROR(INDEX('Ashed teabags wet'!$K$2:$K$2000,MATCH(L79,'Ashed teabags wet'!$A$2:$A$2000,0)),"")</f>
        <v>10.069790628115374</v>
      </c>
      <c r="T79" s="223">
        <f t="shared" si="7"/>
        <v>0.67996231306081967</v>
      </c>
      <c r="U79" s="224">
        <f>'WetLitterbags placem_collection'!E80</f>
        <v>42767</v>
      </c>
      <c r="V79" s="224">
        <f>IF('WetLitterbags placem_collection'!G80="","",'WetLitterbags placem_collection'!G80)</f>
        <v>42818</v>
      </c>
      <c r="W79" s="225">
        <f t="shared" si="5"/>
        <v>51</v>
      </c>
      <c r="X79" s="223">
        <f t="shared" si="8"/>
        <v>1.1501000000000001</v>
      </c>
      <c r="Y79" s="223">
        <f t="shared" si="9"/>
        <v>1.1211152236066575</v>
      </c>
      <c r="Z79">
        <f>IFERROR(INDEX([1]Rainfall_Wet!$O$2:$O$217,MATCH(C79, [1]Rainfall_Wet!$A$2:$A$217,0)),"")</f>
        <v>185.630065823</v>
      </c>
      <c r="AA79" s="226">
        <v>45.272914521112256</v>
      </c>
      <c r="AB79" s="226">
        <v>23.604531410916575</v>
      </c>
      <c r="AC79" s="226">
        <v>31.122554067971166</v>
      </c>
      <c r="AD79" s="227" t="s">
        <v>2654</v>
      </c>
      <c r="AE79" s="226">
        <v>7.0547560374568796</v>
      </c>
      <c r="AF79">
        <f>IF('WetLitterbags placem_collection'!AB80="","",'WetLitterbags placem_collection'!AB80)</f>
        <v>10.4</v>
      </c>
      <c r="AG79">
        <f>IF('WetLitterbags placem_collection'!Z80="","",'WetLitterbags placem_collection'!Z80)</f>
        <v>15.4</v>
      </c>
      <c r="AH79" s="236" t="str">
        <f>IF('WetLitterbags placem_collection'!AA80="","",'WetLitterbags placem_collection'!AA80)</f>
        <v>M</v>
      </c>
      <c r="AI79">
        <f>IF('WetLitterbags placem_collection'!AC80="","",'WetLitterbags placem_collection'!AC80)</f>
        <v>1</v>
      </c>
      <c r="AJ79" s="233">
        <f>AVERAGE('WetLitterbags placem_collection'!S80,'WetLitterbags placem_collection'!U80)</f>
        <v>24.15</v>
      </c>
      <c r="AK79">
        <f>AVERAGE('WetLitterbags placem_collection'!R80,'WetLitterbags placem_collection'!T80)</f>
        <v>27.75</v>
      </c>
      <c r="AL79">
        <f>INDEX([2]Coordinates!$B$2:$B$197,MATCH(I79,[2]Coordinates!$J$2:$J$197,0))</f>
        <v>-3.3025680020000001</v>
      </c>
      <c r="AM79">
        <f>INDEX([2]Coordinates!$C$2:$C$197,MATCH(I79,[2]Coordinates!$J$2:$J$197,0))</f>
        <v>34.848167029999999</v>
      </c>
      <c r="AN79" t="str">
        <f>IF(ISNUMBER(SEARCH("C", 'WetLitterbags placem_collection'!$V80)),"YES","NO")</f>
        <v>NO</v>
      </c>
      <c r="AO79" t="str">
        <f>IF(ISNUMBER(SEARCH("H", 'WetLitterbags placem_collection'!$V80)),"YES","NO")</f>
        <v>NO</v>
      </c>
      <c r="AP79" t="str">
        <f>IF(ISNUMBER(SEARCH("R", 'WetLitterbags placem_collection'!$V80)),"YES","NO")</f>
        <v>YES</v>
      </c>
    </row>
    <row r="80" spans="1:42">
      <c r="A80" t="s">
        <v>3248</v>
      </c>
      <c r="B80" s="248" t="s">
        <v>2454</v>
      </c>
      <c r="C80" s="253">
        <f>'Dry_Litterbag Placem_Collection'!A81</f>
        <v>79</v>
      </c>
      <c r="D80" s="253" t="str">
        <f>'Dry_Litterbag Placem_Collection'!B81</f>
        <v>Maswa</v>
      </c>
      <c r="E80" s="253" t="s">
        <v>2643</v>
      </c>
      <c r="F80" s="253" t="s">
        <v>2645</v>
      </c>
      <c r="G80" s="253">
        <v>2</v>
      </c>
      <c r="H80" s="253" t="s">
        <v>3113</v>
      </c>
      <c r="I80" s="254" t="str">
        <f>'Dry_Litterbag Placem_Collection'!C81</f>
        <v>Dry_W2_T7</v>
      </c>
      <c r="J80" s="255" t="s">
        <v>2525</v>
      </c>
      <c r="K80" s="256" t="s">
        <v>1147</v>
      </c>
      <c r="L80" s="221" t="str">
        <f>'WetLitterbags placem_collection'!K81</f>
        <v>G217</v>
      </c>
      <c r="M80" s="223">
        <f>IFERROR(INDEX('Green_rooibos initial weight'!$C$5:$C$2000,MATCH(L80, 'Green_rooibos initial weight'!$A$5:$A$2000,0)),"")</f>
        <v>1.944</v>
      </c>
      <c r="N80" s="223">
        <f>IFERROR(M80-(TBIcalc!$H$9+TBIcalc!$H$10),"")</f>
        <v>1.6941999999999999</v>
      </c>
      <c r="O80" s="378">
        <f>AVERAGE(Ashed_controlls!$K$2:$K$11)</f>
        <v>5.5147656768714146</v>
      </c>
      <c r="P80" s="223">
        <f t="shared" si="6"/>
        <v>1.6007688399024445</v>
      </c>
      <c r="Q80" s="223">
        <f>IFERROR(INDEX('Both teabags AfterWet'!$C$3:$C$840,MATCH(L80,'Both teabags AfterWet'!$A$3:$A$840,0)),"")</f>
        <v>0.85370000000000001</v>
      </c>
      <c r="R80" s="223">
        <f>IFERROR(IF(Q80&gt;0,Q80-(TBIcalc!$H$9),""),"")</f>
        <v>0.70310000000000006</v>
      </c>
      <c r="S80" s="223">
        <f>IFERROR(INDEX('Ashed teabags wet'!$K$2:$K$2000,MATCH(L80,'Ashed teabags wet'!$A$2:$A$2000,0)),"")</f>
        <v>15.104419621176483</v>
      </c>
      <c r="T80" s="223">
        <f t="shared" si="7"/>
        <v>0.59690082564350821</v>
      </c>
      <c r="U80" s="224">
        <f>'WetLitterbags placem_collection'!E81</f>
        <v>42767</v>
      </c>
      <c r="V80" s="224">
        <f>IF('WetLitterbags placem_collection'!G81="","",'WetLitterbags placem_collection'!G81)</f>
        <v>42818</v>
      </c>
      <c r="W80" s="225">
        <f t="shared" si="5"/>
        <v>51</v>
      </c>
      <c r="X80" s="223">
        <f t="shared" si="8"/>
        <v>0.99109999999999987</v>
      </c>
      <c r="Y80" s="223">
        <f t="shared" si="9"/>
        <v>1.0038680142589362</v>
      </c>
      <c r="Z80">
        <f>IFERROR(INDEX([1]Rainfall_Wet!$O$2:$O$217,MATCH(C80, [1]Rainfall_Wet!$A$2:$A$217,0)),"")</f>
        <v>185.630065823</v>
      </c>
      <c r="AA80" s="226">
        <v>45.272914521112256</v>
      </c>
      <c r="AB80" s="226">
        <v>23.604531410916575</v>
      </c>
      <c r="AC80" s="226">
        <v>31.122554067971166</v>
      </c>
      <c r="AD80" s="227" t="s">
        <v>2654</v>
      </c>
      <c r="AE80" s="226">
        <v>8.0547560374568796</v>
      </c>
      <c r="AF80">
        <f>IF('WetLitterbags placem_collection'!AB81="","",'WetLitterbags placem_collection'!AB81)</f>
        <v>3</v>
      </c>
      <c r="AG80">
        <f>IF('WetLitterbags placem_collection'!Z81="","",'WetLitterbags placem_collection'!Z81)</f>
        <v>5</v>
      </c>
      <c r="AH80" s="236" t="str">
        <f>IF('WetLitterbags placem_collection'!AA81="","",'WetLitterbags placem_collection'!AA81)</f>
        <v>G</v>
      </c>
      <c r="AI80">
        <f>IF('WetLitterbags placem_collection'!AC81="","",'WetLitterbags placem_collection'!AC81)</f>
        <v>1</v>
      </c>
      <c r="AJ80" s="233">
        <f>AVERAGE('WetLitterbags placem_collection'!S81,'WetLitterbags placem_collection'!U81)</f>
        <v>26.9</v>
      </c>
      <c r="AK80">
        <f>AVERAGE('WetLitterbags placem_collection'!R81,'WetLitterbags placem_collection'!T81)</f>
        <v>26.25</v>
      </c>
      <c r="AL80">
        <f>INDEX([2]Coordinates!$B$2:$B$197,MATCH(I80,[2]Coordinates!$J$2:$J$197,0))</f>
        <v>-3.3026270100000001</v>
      </c>
      <c r="AM80">
        <f>INDEX([2]Coordinates!$C$2:$C$197,MATCH(I80,[2]Coordinates!$J$2:$J$197,0))</f>
        <v>34.84840801</v>
      </c>
      <c r="AN80" t="str">
        <f>IF(ISNUMBER(SEARCH("C", 'WetLitterbags placem_collection'!$V81)),"YES","NO")</f>
        <v>NO</v>
      </c>
      <c r="AO80" t="str">
        <f>IF(ISNUMBER(SEARCH("H", 'WetLitterbags placem_collection'!$V81)),"YES","NO")</f>
        <v>NO</v>
      </c>
      <c r="AP80" t="str">
        <f>IF(ISNUMBER(SEARCH("R", 'WetLitterbags placem_collection'!$V81)),"YES","NO")</f>
        <v>YES</v>
      </c>
    </row>
    <row r="81" spans="1:42">
      <c r="A81" t="s">
        <v>3248</v>
      </c>
      <c r="B81" s="248" t="s">
        <v>2454</v>
      </c>
      <c r="C81" s="253">
        <f>'Dry_Litterbag Placem_Collection'!A82</f>
        <v>80</v>
      </c>
      <c r="D81" s="253" t="str">
        <f>'Dry_Litterbag Placem_Collection'!B82</f>
        <v>Maswa</v>
      </c>
      <c r="E81" s="253" t="s">
        <v>2643</v>
      </c>
      <c r="F81" s="253" t="s">
        <v>2645</v>
      </c>
      <c r="G81" s="253">
        <v>2</v>
      </c>
      <c r="H81" s="253" t="s">
        <v>3113</v>
      </c>
      <c r="I81" s="254" t="str">
        <f>'Dry_Litterbag Placem_Collection'!C82</f>
        <v>Dry_W2_T8</v>
      </c>
      <c r="J81" s="255" t="s">
        <v>2525</v>
      </c>
      <c r="K81" s="256" t="s">
        <v>1147</v>
      </c>
      <c r="L81" s="221" t="str">
        <f>'WetLitterbags placem_collection'!K82</f>
        <v>G607</v>
      </c>
      <c r="M81" s="223">
        <f>IFERROR(INDEX('Green_rooibos initial weight'!$C$5:$C$2000,MATCH(L81, 'Green_rooibos initial weight'!$A$5:$A$2000,0)),"")</f>
        <v>1.9450000000000001</v>
      </c>
      <c r="N81" s="223">
        <f>IFERROR(M81-(TBIcalc!$H$9+TBIcalc!$H$10),"")</f>
        <v>1.6952</v>
      </c>
      <c r="O81" s="378">
        <f>AVERAGE(Ashed_controlls!$K$2:$K$11)</f>
        <v>5.5147656768714146</v>
      </c>
      <c r="P81" s="223">
        <f t="shared" si="6"/>
        <v>1.6017136922456758</v>
      </c>
      <c r="Q81" s="223">
        <f>IFERROR(INDEX('Both teabags AfterWet'!$C$3:$C$840,MATCH(L81,'Both teabags AfterWet'!$A$3:$A$840,0)),"")</f>
        <v>0.92400000000000004</v>
      </c>
      <c r="R81" s="223">
        <f>IFERROR(IF(Q81&gt;0,Q81-(TBIcalc!$H$9),""),"")</f>
        <v>0.77340000000000009</v>
      </c>
      <c r="S81" s="223">
        <f>IFERROR(INDEX('Ashed teabags wet'!$K$2:$K$2000,MATCH(L81,'Ashed teabags wet'!$A$2:$A$2000,0)),"")</f>
        <v>13.619696176008233</v>
      </c>
      <c r="T81" s="223">
        <f t="shared" si="7"/>
        <v>0.66806526977475245</v>
      </c>
      <c r="U81" s="224">
        <f>'WetLitterbags placem_collection'!E82</f>
        <v>42767</v>
      </c>
      <c r="V81" s="224">
        <f>IF('WetLitterbags placem_collection'!G82="","",'WetLitterbags placem_collection'!G82)</f>
        <v>42818</v>
      </c>
      <c r="W81" s="225">
        <f t="shared" si="5"/>
        <v>51</v>
      </c>
      <c r="X81" s="223">
        <f t="shared" si="8"/>
        <v>0.92179999999999995</v>
      </c>
      <c r="Y81" s="223">
        <f t="shared" si="9"/>
        <v>0.93364842247092339</v>
      </c>
      <c r="Z81">
        <f>IFERROR(INDEX([1]Rainfall_Wet!$O$2:$O$217,MATCH(C81, [1]Rainfall_Wet!$A$2:$A$217,0)),"")</f>
        <v>185.630065823</v>
      </c>
      <c r="AA81" s="226">
        <v>45.272914521112256</v>
      </c>
      <c r="AB81" s="226">
        <v>23.604531410916575</v>
      </c>
      <c r="AC81" s="226">
        <v>31.122554067971166</v>
      </c>
      <c r="AD81" s="227" t="s">
        <v>2654</v>
      </c>
      <c r="AE81" s="226">
        <v>9.0547560374568796</v>
      </c>
      <c r="AF81">
        <f>IF('WetLitterbags placem_collection'!AB82="","",'WetLitterbags placem_collection'!AB82)</f>
        <v>2.7</v>
      </c>
      <c r="AG81">
        <f>IF('WetLitterbags placem_collection'!Z82="","",'WetLitterbags placem_collection'!Z82)</f>
        <v>12.4</v>
      </c>
      <c r="AH81" s="236" t="str">
        <f>IF('WetLitterbags placem_collection'!AA82="","",'WetLitterbags placem_collection'!AA82)</f>
        <v>O</v>
      </c>
      <c r="AI81">
        <f>IF('WetLitterbags placem_collection'!AC82="","",'WetLitterbags placem_collection'!AC82)</f>
        <v>1</v>
      </c>
      <c r="AJ81" s="233">
        <f>AVERAGE('WetLitterbags placem_collection'!S82,'WetLitterbags placem_collection'!U82)</f>
        <v>28.55</v>
      </c>
      <c r="AK81">
        <f>AVERAGE('WetLitterbags placem_collection'!R82,'WetLitterbags placem_collection'!T82)</f>
        <v>27.450000000000003</v>
      </c>
      <c r="AL81">
        <f>INDEX([2]Coordinates!$B$2:$B$197,MATCH(I81,[2]Coordinates!$J$2:$J$197,0))</f>
        <v>-3.3028539920000002</v>
      </c>
      <c r="AM81">
        <f>INDEX([2]Coordinates!$C$2:$C$197,MATCH(I81,[2]Coordinates!$J$2:$J$197,0))</f>
        <v>34.847988999999998</v>
      </c>
      <c r="AN81" t="str">
        <f>IF(ISNUMBER(SEARCH("C", 'WetLitterbags placem_collection'!$V82)),"YES","NO")</f>
        <v>YES</v>
      </c>
      <c r="AO81" t="str">
        <f>IF(ISNUMBER(SEARCH("H", 'WetLitterbags placem_collection'!$V82)),"YES","NO")</f>
        <v>YES</v>
      </c>
      <c r="AP81" t="str">
        <f>IF(ISNUMBER(SEARCH("R", 'WetLitterbags placem_collection'!$V82)),"YES","NO")</f>
        <v>NO</v>
      </c>
    </row>
    <row r="82" spans="1:42">
      <c r="A82" t="s">
        <v>3248</v>
      </c>
      <c r="B82" s="248" t="s">
        <v>2454</v>
      </c>
      <c r="C82" s="253">
        <f>'Dry_Litterbag Placem_Collection'!A83</f>
        <v>81</v>
      </c>
      <c r="D82" s="253" t="str">
        <f>'Dry_Litterbag Placem_Collection'!B83</f>
        <v>Maswa</v>
      </c>
      <c r="E82" s="253" t="s">
        <v>2643</v>
      </c>
      <c r="F82" s="253" t="s">
        <v>2645</v>
      </c>
      <c r="G82" s="253">
        <v>3</v>
      </c>
      <c r="H82" s="253" t="s">
        <v>3114</v>
      </c>
      <c r="I82" s="254" t="str">
        <f>'Dry_Litterbag Placem_Collection'!C83</f>
        <v>Dry_W3_T1</v>
      </c>
      <c r="J82" s="255" t="s">
        <v>2525</v>
      </c>
      <c r="K82" s="256" t="s">
        <v>1147</v>
      </c>
      <c r="L82" s="221" t="str">
        <f>'WetLitterbags placem_collection'!K83</f>
        <v>G542</v>
      </c>
      <c r="M82" s="223">
        <f>IFERROR(INDEX('Green_rooibos initial weight'!$C$5:$C$2000,MATCH(L82, 'Green_rooibos initial weight'!$A$5:$A$2000,0)),"")</f>
        <v>2.0779999999999998</v>
      </c>
      <c r="N82" s="223">
        <f>IFERROR(M82-(TBIcalc!$H$9+TBIcalc!$H$10),"")</f>
        <v>1.8281999999999998</v>
      </c>
      <c r="O82" s="378">
        <f>AVERAGE(Ashed_controlls!$K$2:$K$11)</f>
        <v>5.5147656768714146</v>
      </c>
      <c r="P82" s="223">
        <f t="shared" si="6"/>
        <v>1.7273790538954366</v>
      </c>
      <c r="Q82" s="223">
        <f>IFERROR(INDEX('Both teabags AfterWet'!$C$3:$C$840,MATCH(L82,'Both teabags AfterWet'!$A$3:$A$840,0)),"")</f>
        <v>0.85099999999999998</v>
      </c>
      <c r="R82" s="223">
        <f>IFERROR(IF(Q82&gt;0,Q82-(TBIcalc!$H$9),""),"")</f>
        <v>0.70039999999999991</v>
      </c>
      <c r="S82" s="223">
        <f>IFERROR(INDEX('Ashed teabags wet'!$K$2:$K$2000,MATCH(L82,'Ashed teabags wet'!$A$2:$A$2000,0)),"")</f>
        <v>15.009940357852306</v>
      </c>
      <c r="T82" s="223">
        <f t="shared" si="7"/>
        <v>0.59527037773360236</v>
      </c>
      <c r="U82" s="224">
        <f>'WetLitterbags placem_collection'!E83</f>
        <v>42767</v>
      </c>
      <c r="V82" s="224">
        <f>IF('WetLitterbags placem_collection'!G83="","",'WetLitterbags placem_collection'!G83)</f>
        <v>42818</v>
      </c>
      <c r="W82" s="225">
        <f t="shared" si="5"/>
        <v>51</v>
      </c>
      <c r="X82" s="223">
        <f t="shared" si="8"/>
        <v>1.1277999999999999</v>
      </c>
      <c r="Y82" s="223">
        <f t="shared" si="9"/>
        <v>1.1321086761618342</v>
      </c>
      <c r="Z82">
        <f>IFERROR(INDEX([1]Rainfall_Wet!$O$2:$O$217,MATCH(C82, [1]Rainfall_Wet!$A$2:$A$217,0)),"")</f>
        <v>185.01185076100001</v>
      </c>
      <c r="AA82" s="226">
        <v>38.691629007962128</v>
      </c>
      <c r="AB82" s="226">
        <v>26.81299763288143</v>
      </c>
      <c r="AC82" s="226">
        <v>34.495373359156439</v>
      </c>
      <c r="AD82" s="227" t="s">
        <v>2656</v>
      </c>
      <c r="AE82" s="226">
        <v>2.5483587974371611</v>
      </c>
      <c r="AF82">
        <f>IF('WetLitterbags placem_collection'!AB83="","",'WetLitterbags placem_collection'!AB83)</f>
        <v>6.2</v>
      </c>
      <c r="AG82">
        <f>IF('WetLitterbags placem_collection'!Z83="","",'WetLitterbags placem_collection'!Z83)</f>
        <v>13.3</v>
      </c>
      <c r="AH82" s="236" t="str">
        <f>IF('WetLitterbags placem_collection'!AA83="","",'WetLitterbags placem_collection'!AA83)</f>
        <v>O</v>
      </c>
      <c r="AI82">
        <f>IF('WetLitterbags placem_collection'!AC83="","",'WetLitterbags placem_collection'!AC83)</f>
        <v>0</v>
      </c>
      <c r="AJ82" s="233">
        <f>AVERAGE('WetLitterbags placem_collection'!S83,'WetLitterbags placem_collection'!U83)</f>
        <v>26.35</v>
      </c>
      <c r="AK82">
        <f>AVERAGE('WetLitterbags placem_collection'!R83,'WetLitterbags placem_collection'!T83)</f>
        <v>26.65</v>
      </c>
      <c r="AL82">
        <f>INDEX([2]Coordinates!$B$2:$B$197,MATCH(I82,[2]Coordinates!$J$2:$J$197,0))</f>
        <v>-3.2957159630000001</v>
      </c>
      <c r="AM82">
        <f>INDEX([2]Coordinates!$C$2:$C$197,MATCH(I82,[2]Coordinates!$J$2:$J$197,0))</f>
        <v>34.852460999999998</v>
      </c>
      <c r="AN82" t="str">
        <f>IF(ISNUMBER(SEARCH("C", 'WetLitterbags placem_collection'!$V83)),"YES","NO")</f>
        <v>NO</v>
      </c>
      <c r="AO82" t="str">
        <f>IF(ISNUMBER(SEARCH("H", 'WetLitterbags placem_collection'!$V83)),"YES","NO")</f>
        <v>YES</v>
      </c>
      <c r="AP82" t="str">
        <f>IF(ISNUMBER(SEARCH("R", 'WetLitterbags placem_collection'!$V83)),"YES","NO")</f>
        <v>YES</v>
      </c>
    </row>
    <row r="83" spans="1:42">
      <c r="A83" t="s">
        <v>3248</v>
      </c>
      <c r="B83" s="248" t="s">
        <v>2454</v>
      </c>
      <c r="C83" s="253">
        <f>'Dry_Litterbag Placem_Collection'!A84</f>
        <v>82</v>
      </c>
      <c r="D83" s="253" t="str">
        <f>'Dry_Litterbag Placem_Collection'!B84</f>
        <v>Maswa</v>
      </c>
      <c r="E83" s="253" t="s">
        <v>2643</v>
      </c>
      <c r="F83" s="253" t="s">
        <v>2645</v>
      </c>
      <c r="G83" s="253">
        <v>3</v>
      </c>
      <c r="H83" s="253" t="s">
        <v>3114</v>
      </c>
      <c r="I83" s="254" t="str">
        <f>'Dry_Litterbag Placem_Collection'!C84</f>
        <v>Dry_W3_T2</v>
      </c>
      <c r="J83" s="255" t="s">
        <v>2525</v>
      </c>
      <c r="K83" s="256" t="s">
        <v>1147</v>
      </c>
      <c r="L83" s="221" t="str">
        <f>'WetLitterbags placem_collection'!K84</f>
        <v>G536</v>
      </c>
      <c r="M83" s="223">
        <f>IFERROR(INDEX('Green_rooibos initial weight'!$C$5:$C$2000,MATCH(L83, 'Green_rooibos initial weight'!$A$5:$A$2000,0)),"")</f>
        <v>2.0510000000000002</v>
      </c>
      <c r="N83" s="223">
        <f>IFERROR(M83-(TBIcalc!$H$9+TBIcalc!$H$10),"")</f>
        <v>1.8012000000000001</v>
      </c>
      <c r="O83" s="378">
        <f>AVERAGE(Ashed_controlls!$K$2:$K$11)</f>
        <v>5.5147656768714146</v>
      </c>
      <c r="P83" s="223">
        <f t="shared" si="6"/>
        <v>1.7018680406281923</v>
      </c>
      <c r="Q83" s="223">
        <f>IFERROR(INDEX('Both teabags AfterWet'!$C$3:$C$840,MATCH(L83,'Both teabags AfterWet'!$A$3:$A$840,0)),"")</f>
        <v>0.748</v>
      </c>
      <c r="R83" s="223">
        <f>IFERROR(IF(Q83&gt;0,Q83-(TBIcalc!$H$9),""),"")</f>
        <v>0.59739999999999993</v>
      </c>
      <c r="S83" s="223">
        <f>IFERROR(INDEX('Ashed teabags wet'!$K$2:$K$2000,MATCH(L83,'Ashed teabags wet'!$A$2:$A$2000,0)),"")</f>
        <v>10.317848410758481</v>
      </c>
      <c r="T83" s="223">
        <f t="shared" si="7"/>
        <v>0.53576117359412878</v>
      </c>
      <c r="U83" s="224">
        <f>'WetLitterbags placem_collection'!E84</f>
        <v>42767</v>
      </c>
      <c r="V83" s="224">
        <f>IF('WetLitterbags placem_collection'!G84="","",'WetLitterbags placem_collection'!G84)</f>
        <v>42819</v>
      </c>
      <c r="W83" s="225">
        <f t="shared" si="5"/>
        <v>52</v>
      </c>
      <c r="X83" s="223">
        <f t="shared" si="8"/>
        <v>1.2038000000000002</v>
      </c>
      <c r="Y83" s="223">
        <f t="shared" si="9"/>
        <v>1.1661068670340635</v>
      </c>
      <c r="Z83">
        <f>IFERROR(INDEX([1]Rainfall_Wet!$O$2:$O$217,MATCH(C83, [1]Rainfall_Wet!$A$2:$A$217,0)),"")</f>
        <v>194.93009798400001</v>
      </c>
      <c r="AA83" s="226">
        <v>38.691629007962128</v>
      </c>
      <c r="AB83" s="226">
        <v>26.81299763288143</v>
      </c>
      <c r="AC83" s="226">
        <v>34.495373359156439</v>
      </c>
      <c r="AD83" s="227" t="s">
        <v>2656</v>
      </c>
      <c r="AE83" s="226">
        <v>3.5483587974371602</v>
      </c>
      <c r="AF83">
        <f>IF('WetLitterbags placem_collection'!AB84="","",'WetLitterbags placem_collection'!AB84)</f>
        <v>2.4</v>
      </c>
      <c r="AG83">
        <f>IF('WetLitterbags placem_collection'!Z84="","",'WetLitterbags placem_collection'!Z84)</f>
        <v>16.600000000000001</v>
      </c>
      <c r="AH83" s="236" t="str">
        <f>IF('WetLitterbags placem_collection'!AA84="","",'WetLitterbags placem_collection'!AA84)</f>
        <v>O</v>
      </c>
      <c r="AI83" t="str">
        <f>IF('WetLitterbags placem_collection'!AC84="","",'WetLitterbags placem_collection'!AC84)</f>
        <v/>
      </c>
      <c r="AJ83" s="233">
        <f>AVERAGE('WetLitterbags placem_collection'!S84,'WetLitterbags placem_collection'!U84)</f>
        <v>26.6</v>
      </c>
      <c r="AK83">
        <f>AVERAGE('WetLitterbags placem_collection'!R84,'WetLitterbags placem_collection'!T84)</f>
        <v>23.05</v>
      </c>
      <c r="AL83">
        <f>INDEX([2]Coordinates!$B$2:$B$197,MATCH(I83,[2]Coordinates!$J$2:$J$197,0))</f>
        <v>-3.2957230040000001</v>
      </c>
      <c r="AM83">
        <f>INDEX([2]Coordinates!$C$2:$C$197,MATCH(I83,[2]Coordinates!$J$2:$J$197,0))</f>
        <v>34.852416990000002</v>
      </c>
      <c r="AN83" t="str">
        <f>IF(ISNUMBER(SEARCH("C", 'WetLitterbags placem_collection'!$V84)),"YES","NO")</f>
        <v>NO</v>
      </c>
      <c r="AO83" t="str">
        <f>IF(ISNUMBER(SEARCH("H", 'WetLitterbags placem_collection'!$V84)),"YES","NO")</f>
        <v>YES</v>
      </c>
      <c r="AP83" t="str">
        <f>IF(ISNUMBER(SEARCH("R", 'WetLitterbags placem_collection'!$V84)),"YES","NO")</f>
        <v>YES</v>
      </c>
    </row>
    <row r="84" spans="1:42">
      <c r="A84" t="s">
        <v>3248</v>
      </c>
      <c r="B84" s="248" t="s">
        <v>2454</v>
      </c>
      <c r="C84" s="253">
        <f>'Dry_Litterbag Placem_Collection'!A85</f>
        <v>83</v>
      </c>
      <c r="D84" s="253" t="str">
        <f>'Dry_Litterbag Placem_Collection'!B85</f>
        <v>Maswa</v>
      </c>
      <c r="E84" s="253" t="s">
        <v>2643</v>
      </c>
      <c r="F84" s="253" t="s">
        <v>2645</v>
      </c>
      <c r="G84" s="253">
        <v>3</v>
      </c>
      <c r="H84" s="253" t="s">
        <v>3114</v>
      </c>
      <c r="I84" s="254" t="str">
        <f>'Dry_Litterbag Placem_Collection'!C85</f>
        <v>Dry_W3_T3</v>
      </c>
      <c r="J84" s="255" t="s">
        <v>2525</v>
      </c>
      <c r="K84" s="256" t="s">
        <v>1147</v>
      </c>
      <c r="L84" s="221" t="str">
        <f>'WetLitterbags placem_collection'!K85</f>
        <v>G494</v>
      </c>
      <c r="M84" s="223">
        <f>IFERROR(INDEX('Green_rooibos initial weight'!$C$5:$C$2000,MATCH(L84, 'Green_rooibos initial weight'!$A$5:$A$2000,0)),"")</f>
        <v>1.903</v>
      </c>
      <c r="N84" s="223">
        <f>IFERROR(M84-(TBIcalc!$H$9+TBIcalc!$H$10),"")</f>
        <v>1.6532</v>
      </c>
      <c r="O84" s="378">
        <f>AVERAGE(Ashed_controlls!$K$2:$K$11)</f>
        <v>5.5147656768714146</v>
      </c>
      <c r="P84" s="223">
        <f t="shared" si="6"/>
        <v>1.5620298938299617</v>
      </c>
      <c r="Q84" s="223">
        <f>IFERROR(INDEX('Both teabags AfterWet'!$C$3:$C$840,MATCH(L84,'Both teabags AfterWet'!$A$3:$A$840,0)),"")</f>
        <v>0.90200000000000002</v>
      </c>
      <c r="R84" s="223">
        <f>IFERROR(IF(Q84&gt;0,Q84-(TBIcalc!$H$9),""),"")</f>
        <v>0.75140000000000007</v>
      </c>
      <c r="S84" s="223">
        <f>IFERROR(INDEX('Ashed teabags wet'!$K$2:$K$2000,MATCH(L84,'Ashed teabags wet'!$A$2:$A$2000,0)),"")</f>
        <v>18.525798525798983</v>
      </c>
      <c r="T84" s="223">
        <f t="shared" si="7"/>
        <v>0.61219714987714646</v>
      </c>
      <c r="U84" s="224">
        <f>'WetLitterbags placem_collection'!E85</f>
        <v>42767</v>
      </c>
      <c r="V84" s="224">
        <f>IF('WetLitterbags placem_collection'!G85="","",'WetLitterbags placem_collection'!G85)</f>
        <v>42819</v>
      </c>
      <c r="W84" s="225">
        <f t="shared" si="5"/>
        <v>52</v>
      </c>
      <c r="X84" s="223">
        <f t="shared" si="8"/>
        <v>0.90179999999999993</v>
      </c>
      <c r="Y84" s="223">
        <f t="shared" si="9"/>
        <v>0.94983274395281525</v>
      </c>
      <c r="Z84">
        <f>IFERROR(INDEX([1]Rainfall_Wet!$O$2:$O$217,MATCH(C84, [1]Rainfall_Wet!$A$2:$A$217,0)),"")</f>
        <v>194.93009798400001</v>
      </c>
      <c r="AA84" s="226">
        <v>38.691629007962128</v>
      </c>
      <c r="AB84" s="226">
        <v>26.81299763288143</v>
      </c>
      <c r="AC84" s="226">
        <v>34.495373359156439</v>
      </c>
      <c r="AD84" s="227" t="s">
        <v>2656</v>
      </c>
      <c r="AE84" s="226">
        <v>4.5483587974371602</v>
      </c>
      <c r="AF84">
        <f>IF('WetLitterbags placem_collection'!AB85="","",'WetLitterbags placem_collection'!AB85)</f>
        <v>6.4</v>
      </c>
      <c r="AG84">
        <f>IF('WetLitterbags placem_collection'!Z85="","",'WetLitterbags placem_collection'!Z85)</f>
        <v>42</v>
      </c>
      <c r="AH84" s="236" t="str">
        <f>IF('WetLitterbags placem_collection'!AA85="","",'WetLitterbags placem_collection'!AA85)</f>
        <v>M</v>
      </c>
      <c r="AI84">
        <f>IF('WetLitterbags placem_collection'!AC85="","",'WetLitterbags placem_collection'!AC85)</f>
        <v>1</v>
      </c>
      <c r="AJ84" s="233">
        <f>AVERAGE('WetLitterbags placem_collection'!S85,'WetLitterbags placem_collection'!U85)</f>
        <v>30.099999999999998</v>
      </c>
      <c r="AK84">
        <f>AVERAGE('WetLitterbags placem_collection'!R85,'WetLitterbags placem_collection'!T85)</f>
        <v>25.05</v>
      </c>
      <c r="AL84">
        <f>INDEX([2]Coordinates!$B$2:$B$197,MATCH(I84,[2]Coordinates!$J$2:$J$197,0))</f>
        <v>-3.2957430369999998</v>
      </c>
      <c r="AM84">
        <f>INDEX([2]Coordinates!$C$2:$C$197,MATCH(I84,[2]Coordinates!$J$2:$J$197,0))</f>
        <v>34.852309030000001</v>
      </c>
      <c r="AN84" t="str">
        <f>IF(ISNUMBER(SEARCH("C", 'WetLitterbags placem_collection'!$V85)),"YES","NO")</f>
        <v>NO</v>
      </c>
      <c r="AO84" t="str">
        <f>IF(ISNUMBER(SEARCH("H", 'WetLitterbags placem_collection'!$V85)),"YES","NO")</f>
        <v>NO</v>
      </c>
      <c r="AP84" t="str">
        <f>IF(ISNUMBER(SEARCH("R", 'WetLitterbags placem_collection'!$V85)),"YES","NO")</f>
        <v>YES</v>
      </c>
    </row>
    <row r="85" spans="1:42">
      <c r="A85" t="s">
        <v>3248</v>
      </c>
      <c r="B85" s="248" t="s">
        <v>2454</v>
      </c>
      <c r="C85" s="253">
        <f>'Dry_Litterbag Placem_Collection'!A86</f>
        <v>84</v>
      </c>
      <c r="D85" s="253" t="str">
        <f>'Dry_Litterbag Placem_Collection'!B86</f>
        <v>Maswa</v>
      </c>
      <c r="E85" s="253" t="s">
        <v>2643</v>
      </c>
      <c r="F85" s="253" t="s">
        <v>2645</v>
      </c>
      <c r="G85" s="253">
        <v>3</v>
      </c>
      <c r="H85" s="253" t="s">
        <v>3114</v>
      </c>
      <c r="I85" s="254" t="str">
        <f>'Dry_Litterbag Placem_Collection'!C86</f>
        <v>Dry_W3_T4</v>
      </c>
      <c r="J85" s="255" t="s">
        <v>2525</v>
      </c>
      <c r="K85" s="256" t="s">
        <v>1147</v>
      </c>
      <c r="L85" s="221" t="str">
        <f>'WetLitterbags placem_collection'!K86</f>
        <v>G291</v>
      </c>
      <c r="M85" s="223">
        <f>IFERROR(INDEX('Green_rooibos initial weight'!$C$5:$C$2000,MATCH(L85, 'Green_rooibos initial weight'!$A$5:$A$2000,0)),"")</f>
        <v>2.0880000000000001</v>
      </c>
      <c r="N85" s="223">
        <f>IFERROR(M85-(TBIcalc!$H$9+TBIcalc!$H$10),"")</f>
        <v>1.8382000000000001</v>
      </c>
      <c r="O85" s="378">
        <f>AVERAGE(Ashed_controlls!$K$2:$K$11)</f>
        <v>5.5147656768714146</v>
      </c>
      <c r="P85" s="223">
        <f t="shared" si="6"/>
        <v>1.7368275773277497</v>
      </c>
      <c r="Q85" s="223">
        <f>IFERROR(INDEX('Both teabags AfterWet'!$C$3:$C$840,MATCH(L85,'Both teabags AfterWet'!$A$3:$A$840,0)),"")</f>
        <v>0.90300000000000002</v>
      </c>
      <c r="R85" s="223">
        <f>IFERROR(IF(Q85&gt;0,Q85-(TBIcalc!$H$9),""),"")</f>
        <v>0.75239999999999996</v>
      </c>
      <c r="S85" s="223">
        <f>IFERROR(INDEX('Ashed teabags wet'!$K$2:$K$2000,MATCH(L85,'Ashed teabags wet'!$A$2:$A$2000,0)),"")</f>
        <v>11.922503725782521</v>
      </c>
      <c r="T85" s="223">
        <f t="shared" si="7"/>
        <v>0.66269508196721227</v>
      </c>
      <c r="U85" s="224">
        <f>'WetLitterbags placem_collection'!E86</f>
        <v>42767</v>
      </c>
      <c r="V85" s="224">
        <f>IF('WetLitterbags placem_collection'!G86="","",'WetLitterbags placem_collection'!G86)</f>
        <v>42819</v>
      </c>
      <c r="W85" s="225">
        <f t="shared" si="5"/>
        <v>52</v>
      </c>
      <c r="X85" s="223">
        <f t="shared" si="8"/>
        <v>1.0858000000000001</v>
      </c>
      <c r="Y85" s="223">
        <f t="shared" si="9"/>
        <v>1.0741324953605376</v>
      </c>
      <c r="Z85">
        <f>IFERROR(INDEX([1]Rainfall_Wet!$O$2:$O$217,MATCH(C85, [1]Rainfall_Wet!$A$2:$A$217,0)),"")</f>
        <v>194.93009798400001</v>
      </c>
      <c r="AA85" s="226">
        <v>38.691629007962128</v>
      </c>
      <c r="AB85" s="226">
        <v>26.81299763288143</v>
      </c>
      <c r="AC85" s="226">
        <v>34.495373359156439</v>
      </c>
      <c r="AD85" s="227" t="s">
        <v>2656</v>
      </c>
      <c r="AE85" s="226">
        <v>5.5483587974371602</v>
      </c>
      <c r="AF85">
        <f>IF('WetLitterbags placem_collection'!AB86="","",'WetLitterbags placem_collection'!AB86)</f>
        <v>5.5</v>
      </c>
      <c r="AG85">
        <f>IF('WetLitterbags placem_collection'!Z86="","",'WetLitterbags placem_collection'!Z86)</f>
        <v>55.8</v>
      </c>
      <c r="AH85" s="236" t="str">
        <f>IF('WetLitterbags placem_collection'!AA86="","",'WetLitterbags placem_collection'!AA86)</f>
        <v>M</v>
      </c>
      <c r="AI85">
        <f>IF('WetLitterbags placem_collection'!AC86="","",'WetLitterbags placem_collection'!AC86)</f>
        <v>1</v>
      </c>
      <c r="AJ85" s="233">
        <f>AVERAGE('WetLitterbags placem_collection'!S86,'WetLitterbags placem_collection'!U86)</f>
        <v>27.75</v>
      </c>
      <c r="AK85">
        <f>AVERAGE('WetLitterbags placem_collection'!R86,'WetLitterbags placem_collection'!T86)</f>
        <v>23.6</v>
      </c>
      <c r="AL85">
        <f>INDEX([2]Coordinates!$B$2:$B$197,MATCH(I85,[2]Coordinates!$J$2:$J$197,0))</f>
        <v>-3.295795005</v>
      </c>
      <c r="AM85">
        <f>INDEX([2]Coordinates!$C$2:$C$197,MATCH(I85,[2]Coordinates!$J$2:$J$197,0))</f>
        <v>34.85232001</v>
      </c>
      <c r="AN85" t="str">
        <f>IF(ISNUMBER(SEARCH("C", 'WetLitterbags placem_collection'!$V86)),"YES","NO")</f>
        <v>NO</v>
      </c>
      <c r="AO85" t="str">
        <f>IF(ISNUMBER(SEARCH("H", 'WetLitterbags placem_collection'!$V86)),"YES","NO")</f>
        <v>NO</v>
      </c>
      <c r="AP85" t="str">
        <f>IF(ISNUMBER(SEARCH("R", 'WetLitterbags placem_collection'!$V86)),"YES","NO")</f>
        <v>YES</v>
      </c>
    </row>
    <row r="86" spans="1:42">
      <c r="A86" t="s">
        <v>3248</v>
      </c>
      <c r="B86" s="248" t="s">
        <v>2454</v>
      </c>
      <c r="C86" s="253">
        <f>'Dry_Litterbag Placem_Collection'!A87</f>
        <v>85</v>
      </c>
      <c r="D86" s="253" t="str">
        <f>'Dry_Litterbag Placem_Collection'!B87</f>
        <v>Maswa</v>
      </c>
      <c r="E86" s="253" t="s">
        <v>2643</v>
      </c>
      <c r="F86" s="253" t="s">
        <v>2645</v>
      </c>
      <c r="G86" s="253">
        <v>3</v>
      </c>
      <c r="H86" s="253" t="s">
        <v>3114</v>
      </c>
      <c r="I86" s="254" t="str">
        <f>'Dry_Litterbag Placem_Collection'!C87</f>
        <v>Dry_W3_T5</v>
      </c>
      <c r="J86" s="255" t="s">
        <v>2525</v>
      </c>
      <c r="K86" s="256" t="s">
        <v>1147</v>
      </c>
      <c r="L86" s="221" t="str">
        <f>'WetLitterbags placem_collection'!K87</f>
        <v>G308</v>
      </c>
      <c r="M86" s="223">
        <f>IFERROR(INDEX('Green_rooibos initial weight'!$C$5:$C$2000,MATCH(L86, 'Green_rooibos initial weight'!$A$5:$A$2000,0)),"")</f>
        <v>1.982</v>
      </c>
      <c r="N86" s="223">
        <f>IFERROR(M86-(TBIcalc!$H$9+TBIcalc!$H$10),"")</f>
        <v>1.7322</v>
      </c>
      <c r="O86" s="378">
        <f>AVERAGE(Ashed_controlls!$K$2:$K$11)</f>
        <v>5.5147656768714146</v>
      </c>
      <c r="P86" s="223">
        <f t="shared" si="6"/>
        <v>1.6366732289452333</v>
      </c>
      <c r="Q86" s="223">
        <f>IFERROR(INDEX('Both teabags AfterWet'!$C$3:$C$840,MATCH(L86,'Both teabags AfterWet'!$A$3:$A$840,0)),"")</f>
        <v>1.256</v>
      </c>
      <c r="R86" s="223">
        <f>IFERROR(IF(Q86&gt;0,Q86-(TBIcalc!$H$9),""),"")</f>
        <v>1.1053999999999999</v>
      </c>
      <c r="S86" s="223">
        <f>IFERROR(INDEX('Ashed teabags wet'!$K$2:$K$2000,MATCH(L86,'Ashed teabags wet'!$A$2:$A$2000,0)),"")</f>
        <v>39.801980198020281</v>
      </c>
      <c r="T86" s="223">
        <f t="shared" si="7"/>
        <v>0.6654289108910838</v>
      </c>
      <c r="U86" s="224">
        <f>'WetLitterbags placem_collection'!E87</f>
        <v>42767</v>
      </c>
      <c r="V86" s="224">
        <f>IF('WetLitterbags placem_collection'!G87="","",'WetLitterbags placem_collection'!G87)</f>
        <v>42819</v>
      </c>
      <c r="W86" s="225">
        <f t="shared" si="5"/>
        <v>52</v>
      </c>
      <c r="X86" s="223">
        <f t="shared" si="8"/>
        <v>0.62680000000000002</v>
      </c>
      <c r="Y86" s="223">
        <f t="shared" si="9"/>
        <v>0.97124431805414946</v>
      </c>
      <c r="Z86">
        <f>IFERROR(INDEX([1]Rainfall_Wet!$O$2:$O$217,MATCH(C86, [1]Rainfall_Wet!$A$2:$A$217,0)),"")</f>
        <v>194.93009798400001</v>
      </c>
      <c r="AA86" s="226">
        <v>38.691629007962128</v>
      </c>
      <c r="AB86" s="226">
        <v>26.81299763288143</v>
      </c>
      <c r="AC86" s="226">
        <v>34.495373359156439</v>
      </c>
      <c r="AD86" s="227" t="s">
        <v>2656</v>
      </c>
      <c r="AE86" s="226">
        <v>6.5483587974371602</v>
      </c>
      <c r="AF86">
        <f>IF('WetLitterbags placem_collection'!AB87="","",'WetLitterbags placem_collection'!AB87)</f>
        <v>8.6</v>
      </c>
      <c r="AG86">
        <f>IF('WetLitterbags placem_collection'!Z87="","",'WetLitterbags placem_collection'!Z87)</f>
        <v>3.8</v>
      </c>
      <c r="AH86" s="236" t="str">
        <f>IF('WetLitterbags placem_collection'!AA87="","",'WetLitterbags placem_collection'!AA87)</f>
        <v>O</v>
      </c>
      <c r="AI86">
        <f>IF('WetLitterbags placem_collection'!AC87="","",'WetLitterbags placem_collection'!AC87)</f>
        <v>0</v>
      </c>
      <c r="AJ86" s="233">
        <f>AVERAGE('WetLitterbags placem_collection'!S87,'WetLitterbags placem_collection'!U87)</f>
        <v>26.55</v>
      </c>
      <c r="AK86">
        <f>AVERAGE('WetLitterbags placem_collection'!R87,'WetLitterbags placem_collection'!T87)</f>
        <v>23.15</v>
      </c>
      <c r="AL86">
        <f>INDEX([2]Coordinates!$B$2:$B$197,MATCH(I86,[2]Coordinates!$J$2:$J$197,0))</f>
        <v>-3.2957100119999998</v>
      </c>
      <c r="AM86">
        <f>INDEX([2]Coordinates!$C$2:$C$197,MATCH(I86,[2]Coordinates!$J$2:$J$197,0))</f>
        <v>34.852283970000002</v>
      </c>
      <c r="AN86" t="str">
        <f>IF(ISNUMBER(SEARCH("C", 'WetLitterbags placem_collection'!$V87)),"YES","NO")</f>
        <v>NO</v>
      </c>
      <c r="AO86" t="str">
        <f>IF(ISNUMBER(SEARCH("H", 'WetLitterbags placem_collection'!$V87)),"YES","NO")</f>
        <v>YES</v>
      </c>
      <c r="AP86" t="str">
        <f>IF(ISNUMBER(SEARCH("R", 'WetLitterbags placem_collection'!$V87)),"YES","NO")</f>
        <v>YES</v>
      </c>
    </row>
    <row r="87" spans="1:42">
      <c r="A87" t="s">
        <v>3248</v>
      </c>
      <c r="B87" s="248" t="s">
        <v>2454</v>
      </c>
      <c r="C87" s="253">
        <f>'Dry_Litterbag Placem_Collection'!A88</f>
        <v>86</v>
      </c>
      <c r="D87" s="253" t="str">
        <f>'Dry_Litterbag Placem_Collection'!B88</f>
        <v>Maswa</v>
      </c>
      <c r="E87" s="253" t="s">
        <v>2643</v>
      </c>
      <c r="F87" s="253" t="s">
        <v>2645</v>
      </c>
      <c r="G87" s="253">
        <v>3</v>
      </c>
      <c r="H87" s="253" t="s">
        <v>3114</v>
      </c>
      <c r="I87" s="254" t="str">
        <f>'Dry_Litterbag Placem_Collection'!C88</f>
        <v>Dry_W3_T6</v>
      </c>
      <c r="J87" s="255" t="s">
        <v>2525</v>
      </c>
      <c r="K87" s="256" t="s">
        <v>1147</v>
      </c>
      <c r="L87" s="221" t="str">
        <f>'WetLitterbags placem_collection'!K88</f>
        <v>G723</v>
      </c>
      <c r="M87" s="223">
        <f>IFERROR(INDEX('Green_rooibos initial weight'!$C$5:$C$2000,MATCH(L87, 'Green_rooibos initial weight'!$A$5:$A$2000,0)),"")</f>
        <v>2.0129999999999999</v>
      </c>
      <c r="N87" s="223">
        <f>IFERROR(M87-(TBIcalc!$H$9+TBIcalc!$H$10),"")</f>
        <v>1.7631999999999999</v>
      </c>
      <c r="O87" s="378">
        <f>AVERAGE(Ashed_controlls!$K$2:$K$11)</f>
        <v>5.5147656768714146</v>
      </c>
      <c r="P87" s="223">
        <f t="shared" si="6"/>
        <v>1.665963651585403</v>
      </c>
      <c r="Q87" s="223">
        <f>IFERROR(INDEX('Both teabags AfterWet'!$C$3:$C$840,MATCH(L87,'Both teabags AfterWet'!$A$3:$A$840,0)),"")</f>
        <v>0.78249999999999997</v>
      </c>
      <c r="R87" s="223">
        <f>IFERROR(IF(Q87&gt;0,Q87-(TBIcalc!$H$9),""),"")</f>
        <v>0.63189999999999991</v>
      </c>
      <c r="S87" s="223">
        <f>IFERROR(INDEX('Ashed teabags wet'!$K$2:$K$2000,MATCH(L87,'Ashed teabags wet'!$A$2:$A$2000,0)),"")</f>
        <v>7.4680306905364882</v>
      </c>
      <c r="T87" s="223">
        <f t="shared" si="7"/>
        <v>0.58470951406649985</v>
      </c>
      <c r="U87" s="224">
        <f>'WetLitterbags placem_collection'!E88</f>
        <v>42767</v>
      </c>
      <c r="V87" s="224">
        <f>IF('WetLitterbags placem_collection'!G88="","",'WetLitterbags placem_collection'!G88)</f>
        <v>42819</v>
      </c>
      <c r="W87" s="225">
        <f t="shared" si="5"/>
        <v>52</v>
      </c>
      <c r="X87" s="223">
        <f t="shared" si="8"/>
        <v>1.1313</v>
      </c>
      <c r="Y87" s="223">
        <f t="shared" si="9"/>
        <v>1.0812541375189033</v>
      </c>
      <c r="Z87">
        <f>IFERROR(INDEX([1]Rainfall_Wet!$O$2:$O$217,MATCH(C87, [1]Rainfall_Wet!$A$2:$A$217,0)),"")</f>
        <v>194.93009798400001</v>
      </c>
      <c r="AA87" s="226">
        <v>38.691629007962128</v>
      </c>
      <c r="AB87" s="226">
        <v>26.81299763288143</v>
      </c>
      <c r="AC87" s="226">
        <v>34.495373359156439</v>
      </c>
      <c r="AD87" s="227" t="s">
        <v>2656</v>
      </c>
      <c r="AE87" s="226">
        <v>7.5483587974371602</v>
      </c>
      <c r="AF87">
        <f>IF('WetLitterbags placem_collection'!AB88="","",'WetLitterbags placem_collection'!AB88)</f>
        <v>3.7</v>
      </c>
      <c r="AG87">
        <f>IF('WetLitterbags placem_collection'!Z88="","",'WetLitterbags placem_collection'!Z88)</f>
        <v>7.5</v>
      </c>
      <c r="AH87" s="236" t="str">
        <f>IF('WetLitterbags placem_collection'!AA88="","",'WetLitterbags placem_collection'!AA88)</f>
        <v>O</v>
      </c>
      <c r="AI87">
        <f>IF('WetLitterbags placem_collection'!AC88="","",'WetLitterbags placem_collection'!AC88)</f>
        <v>0</v>
      </c>
      <c r="AJ87" s="233">
        <f>AVERAGE('WetLitterbags placem_collection'!S88,'WetLitterbags placem_collection'!U88)</f>
        <v>24.05</v>
      </c>
      <c r="AK87">
        <f>AVERAGE('WetLitterbags placem_collection'!R88,'WetLitterbags placem_collection'!T88)</f>
        <v>25.799999999999997</v>
      </c>
      <c r="AL87">
        <f>INDEX([2]Coordinates!$B$2:$B$197,MATCH(I87,[2]Coordinates!$J$2:$J$197,0))</f>
        <v>-3.2956140399999998</v>
      </c>
      <c r="AM87">
        <f>INDEX([2]Coordinates!$C$2:$C$197,MATCH(I87,[2]Coordinates!$J$2:$J$197,0))</f>
        <v>34.852137030000002</v>
      </c>
      <c r="AN87" t="str">
        <f>IF(ISNUMBER(SEARCH("C", 'WetLitterbags placem_collection'!$V88)),"YES","NO")</f>
        <v>NO</v>
      </c>
      <c r="AO87" t="str">
        <f>IF(ISNUMBER(SEARCH("H", 'WetLitterbags placem_collection'!$V88)),"YES","NO")</f>
        <v>NO</v>
      </c>
      <c r="AP87" t="str">
        <f>IF(ISNUMBER(SEARCH("R", 'WetLitterbags placem_collection'!$V88)),"YES","NO")</f>
        <v>YES</v>
      </c>
    </row>
    <row r="88" spans="1:42">
      <c r="A88" t="s">
        <v>3248</v>
      </c>
      <c r="B88" s="248" t="s">
        <v>2454</v>
      </c>
      <c r="C88" s="253">
        <f>'Dry_Litterbag Placem_Collection'!A89</f>
        <v>87</v>
      </c>
      <c r="D88" s="253" t="str">
        <f>'Dry_Litterbag Placem_Collection'!B89</f>
        <v>Maswa</v>
      </c>
      <c r="E88" s="253" t="s">
        <v>2643</v>
      </c>
      <c r="F88" s="253" t="s">
        <v>2645</v>
      </c>
      <c r="G88" s="253">
        <v>3</v>
      </c>
      <c r="H88" s="253" t="s">
        <v>3114</v>
      </c>
      <c r="I88" s="254" t="str">
        <f>'Dry_Litterbag Placem_Collection'!C89</f>
        <v>Dry_W3_T7</v>
      </c>
      <c r="J88" s="255" t="s">
        <v>2525</v>
      </c>
      <c r="K88" s="256" t="s">
        <v>1147</v>
      </c>
      <c r="L88" s="221" t="str">
        <f>'WetLitterbags placem_collection'!K89</f>
        <v>G628</v>
      </c>
      <c r="M88" s="223">
        <f>IFERROR(INDEX('Green_rooibos initial weight'!$C$5:$C$2000,MATCH(L88, 'Green_rooibos initial weight'!$A$5:$A$2000,0)),"")</f>
        <v>2.0739999999999998</v>
      </c>
      <c r="N88" s="223">
        <f>IFERROR(M88-(TBIcalc!$H$9+TBIcalc!$H$10),"")</f>
        <v>1.8241999999999998</v>
      </c>
      <c r="O88" s="378">
        <f>AVERAGE(Ashed_controlls!$K$2:$K$11)</f>
        <v>5.5147656768714146</v>
      </c>
      <c r="P88" s="223">
        <f t="shared" si="6"/>
        <v>1.7235996445225115</v>
      </c>
      <c r="Q88" s="223">
        <f>IFERROR(INDEX('Both teabags AfterWet'!$C$3:$C$840,MATCH(L88,'Both teabags AfterWet'!$A$3:$A$840,0)),"")</f>
        <v>0.8639</v>
      </c>
      <c r="R88" s="223">
        <f>IFERROR(IF(Q88&gt;0,Q88-(TBIcalc!$H$9),""),"")</f>
        <v>0.71330000000000005</v>
      </c>
      <c r="S88" s="223">
        <f>IFERROR(INDEX('Ashed teabags wet'!$K$2:$K$2000,MATCH(L88,'Ashed teabags wet'!$A$2:$A$2000,0)),"")</f>
        <v>12.74038461538643</v>
      </c>
      <c r="T88" s="223">
        <f t="shared" si="7"/>
        <v>0.62242283653844865</v>
      </c>
      <c r="U88" s="224">
        <f>'WetLitterbags placem_collection'!E89</f>
        <v>42767</v>
      </c>
      <c r="V88" s="224">
        <f>IF('WetLitterbags placem_collection'!G89="","",'WetLitterbags placem_collection'!G89)</f>
        <v>42819</v>
      </c>
      <c r="W88" s="225">
        <f t="shared" si="5"/>
        <v>52</v>
      </c>
      <c r="X88" s="223">
        <f t="shared" si="8"/>
        <v>1.1108999999999998</v>
      </c>
      <c r="Y88" s="223">
        <f t="shared" si="9"/>
        <v>1.1011768079840629</v>
      </c>
      <c r="Z88">
        <f>IFERROR(INDEX([1]Rainfall_Wet!$O$2:$O$217,MATCH(C88, [1]Rainfall_Wet!$A$2:$A$217,0)),"")</f>
        <v>194.93009798400001</v>
      </c>
      <c r="AA88" s="226">
        <v>38.691629007962128</v>
      </c>
      <c r="AB88" s="226">
        <v>26.81299763288143</v>
      </c>
      <c r="AC88" s="226">
        <v>34.495373359156439</v>
      </c>
      <c r="AD88" s="227" t="s">
        <v>2656</v>
      </c>
      <c r="AE88" s="226">
        <v>8.5483587974371602</v>
      </c>
      <c r="AF88">
        <f>IF('WetLitterbags placem_collection'!AB89="","",'WetLitterbags placem_collection'!AB89)</f>
        <v>7.5</v>
      </c>
      <c r="AG88">
        <f>IF('WetLitterbags placem_collection'!Z89="","",'WetLitterbags placem_collection'!Z89)</f>
        <v>12.6</v>
      </c>
      <c r="AH88" s="236" t="str">
        <f>IF('WetLitterbags placem_collection'!AA89="","",'WetLitterbags placem_collection'!AA89)</f>
        <v>O</v>
      </c>
      <c r="AI88">
        <f>IF('WetLitterbags placem_collection'!AC89="","",'WetLitterbags placem_collection'!AC89)</f>
        <v>1</v>
      </c>
      <c r="AJ88" s="233">
        <f>AVERAGE('WetLitterbags placem_collection'!S89,'WetLitterbags placem_collection'!U89)</f>
        <v>25.85</v>
      </c>
      <c r="AK88">
        <f>AVERAGE('WetLitterbags placem_collection'!R89,'WetLitterbags placem_collection'!T89)</f>
        <v>21.55</v>
      </c>
      <c r="AL88">
        <f>INDEX([2]Coordinates!$B$2:$B$197,MATCH(I88,[2]Coordinates!$J$2:$J$197,0))</f>
        <v>-3.295904975</v>
      </c>
      <c r="AM88">
        <f>INDEX([2]Coordinates!$C$2:$C$197,MATCH(I88,[2]Coordinates!$J$2:$J$197,0))</f>
        <v>34.852136029999997</v>
      </c>
      <c r="AN88" t="str">
        <f>IF(ISNUMBER(SEARCH("C", 'WetLitterbags placem_collection'!$V89)),"YES","NO")</f>
        <v>YES</v>
      </c>
      <c r="AO88" t="str">
        <f>IF(ISNUMBER(SEARCH("H", 'WetLitterbags placem_collection'!$V89)),"YES","NO")</f>
        <v>YES</v>
      </c>
      <c r="AP88" t="str">
        <f>IF(ISNUMBER(SEARCH("R", 'WetLitterbags placem_collection'!$V89)),"YES","NO")</f>
        <v>YES</v>
      </c>
    </row>
    <row r="89" spans="1:42">
      <c r="A89" t="s">
        <v>3248</v>
      </c>
      <c r="B89" s="248" t="s">
        <v>2454</v>
      </c>
      <c r="C89" s="253">
        <f>'Dry_Litterbag Placem_Collection'!A90</f>
        <v>88</v>
      </c>
      <c r="D89" s="253" t="str">
        <f>'Dry_Litterbag Placem_Collection'!B90</f>
        <v>Maswa</v>
      </c>
      <c r="E89" s="253" t="s">
        <v>2643</v>
      </c>
      <c r="F89" s="253" t="s">
        <v>2645</v>
      </c>
      <c r="G89" s="253">
        <v>3</v>
      </c>
      <c r="H89" s="253" t="s">
        <v>3114</v>
      </c>
      <c r="I89" s="254" t="str">
        <f>'Dry_Litterbag Placem_Collection'!C90</f>
        <v>Dry_W3_T8</v>
      </c>
      <c r="J89" s="255" t="s">
        <v>2525</v>
      </c>
      <c r="K89" s="256" t="s">
        <v>1147</v>
      </c>
      <c r="L89" s="221" t="str">
        <f>'WetLitterbags placem_collection'!K90</f>
        <v>G569</v>
      </c>
      <c r="M89" s="223">
        <f>IFERROR(INDEX('Green_rooibos initial weight'!$C$5:$C$2000,MATCH(L89, 'Green_rooibos initial weight'!$A$5:$A$2000,0)),"")</f>
        <v>1.9950000000000001</v>
      </c>
      <c r="N89" s="223">
        <f>IFERROR(M89-(TBIcalc!$H$9+TBIcalc!$H$10),"")</f>
        <v>1.7452000000000001</v>
      </c>
      <c r="O89" s="378">
        <f>AVERAGE(Ashed_controlls!$K$2:$K$11)</f>
        <v>5.5147656768714146</v>
      </c>
      <c r="P89" s="223">
        <f t="shared" si="6"/>
        <v>1.6489563094072401</v>
      </c>
      <c r="Q89" s="223">
        <f>IFERROR(INDEX('Both teabags AfterWet'!$C$3:$C$840,MATCH(L89,'Both teabags AfterWet'!$A$3:$A$840,0)),"")</f>
        <v>0.75700000000000001</v>
      </c>
      <c r="R89" s="223">
        <f>IFERROR(IF(Q89&gt;0,Q89-(TBIcalc!$H$9),""),"")</f>
        <v>0.60640000000000005</v>
      </c>
      <c r="S89" s="223">
        <f>IFERROR(INDEX('Ashed teabags wet'!$K$2:$K$2000,MATCH(L89,'Ashed teabags wet'!$A$2:$A$2000,0)),"")</f>
        <v>14.724480578138884</v>
      </c>
      <c r="T89" s="223">
        <f t="shared" si="7"/>
        <v>0.51711074977416582</v>
      </c>
      <c r="U89" s="224">
        <f>'WetLitterbags placem_collection'!E90</f>
        <v>42767</v>
      </c>
      <c r="V89" s="224">
        <f>IF('WetLitterbags placem_collection'!G90="","",'WetLitterbags placem_collection'!G90)</f>
        <v>42819</v>
      </c>
      <c r="W89" s="225">
        <f t="shared" si="5"/>
        <v>52</v>
      </c>
      <c r="X89" s="223">
        <f t="shared" si="8"/>
        <v>1.1388</v>
      </c>
      <c r="Y89" s="223">
        <f t="shared" si="9"/>
        <v>1.1318455596330743</v>
      </c>
      <c r="Z89" t="str">
        <f>IFERROR(INDEX([1]Rainfall_Wet!$O$2:$O$217,MATCH(C89, [1]Rainfall_Wet!$A$2:$A$217,0)),"")</f>
        <v/>
      </c>
      <c r="AA89" s="226">
        <v>38.691629007962128</v>
      </c>
      <c r="AB89" s="226">
        <v>26.81299763288143</v>
      </c>
      <c r="AC89" s="226">
        <v>34.495373359156439</v>
      </c>
      <c r="AD89" s="227" t="s">
        <v>2656</v>
      </c>
      <c r="AE89" s="226">
        <v>9.5483587974371602</v>
      </c>
      <c r="AF89" t="str">
        <f>IF('WetLitterbags placem_collection'!AB90="","",'WetLitterbags placem_collection'!AB90)</f>
        <v/>
      </c>
      <c r="AG89" t="str">
        <f>IF('WetLitterbags placem_collection'!Z90="","",'WetLitterbags placem_collection'!Z90)</f>
        <v/>
      </c>
      <c r="AH89" s="236" t="str">
        <f>IF('WetLitterbags placem_collection'!AA90="","",'WetLitterbags placem_collection'!AA90)</f>
        <v/>
      </c>
      <c r="AI89" t="str">
        <f>IF('WetLitterbags placem_collection'!AC90="","",'WetLitterbags placem_collection'!AC90)</f>
        <v/>
      </c>
      <c r="AJ89" s="233">
        <f>AVERAGE('WetLitterbags placem_collection'!S90,'WetLitterbags placem_collection'!U90)</f>
        <v>29.7</v>
      </c>
      <c r="AK89">
        <f>AVERAGE('WetLitterbags placem_collection'!R90,'WetLitterbags placem_collection'!T90)</f>
        <v>21.4</v>
      </c>
      <c r="AL89">
        <f>INDEX([2]Coordinates!$B$2:$B$197,MATCH(I89,[2]Coordinates!$J$2:$J$197,0))</f>
        <v>-3.2959530039999998</v>
      </c>
      <c r="AM89">
        <f>INDEX([2]Coordinates!$C$2:$C$197,MATCH(I89,[2]Coordinates!$J$2:$J$197,0))</f>
        <v>34.85242504</v>
      </c>
      <c r="AN89" t="str">
        <f>IF(ISNUMBER(SEARCH("C", 'WetLitterbags placem_collection'!$V90)),"YES","NO")</f>
        <v>NO</v>
      </c>
      <c r="AO89" t="str">
        <f>IF(ISNUMBER(SEARCH("H", 'WetLitterbags placem_collection'!$V90)),"YES","NO")</f>
        <v>NO</v>
      </c>
      <c r="AP89" t="str">
        <f>IF(ISNUMBER(SEARCH("R", 'WetLitterbags placem_collection'!$V90)),"YES","NO")</f>
        <v>NO</v>
      </c>
    </row>
    <row r="90" spans="1:42">
      <c r="A90" t="s">
        <v>3248</v>
      </c>
      <c r="B90" s="248" t="s">
        <v>2454</v>
      </c>
      <c r="C90" s="253">
        <f>'Dry_Litterbag Placem_Collection'!A91</f>
        <v>89</v>
      </c>
      <c r="D90" s="253" t="str">
        <f>'Dry_Litterbag Placem_Collection'!B91</f>
        <v>Maswa</v>
      </c>
      <c r="E90" s="253" t="s">
        <v>2643</v>
      </c>
      <c r="F90" s="253" t="s">
        <v>2645</v>
      </c>
      <c r="G90" s="253">
        <v>4</v>
      </c>
      <c r="H90" s="253" t="s">
        <v>3115</v>
      </c>
      <c r="I90" s="254" t="str">
        <f>'Dry_Litterbag Placem_Collection'!C91</f>
        <v>Dry_W4_T1</v>
      </c>
      <c r="J90" s="255" t="s">
        <v>2525</v>
      </c>
      <c r="K90" s="256" t="s">
        <v>1147</v>
      </c>
      <c r="L90" s="221" t="str">
        <f>'WetLitterbags placem_collection'!K91</f>
        <v>G339</v>
      </c>
      <c r="M90" s="223">
        <f>IFERROR(INDEX('Green_rooibos initial weight'!$C$5:$C$2000,MATCH(L90, 'Green_rooibos initial weight'!$A$5:$A$2000,0)),"")</f>
        <v>2.0219999999999998</v>
      </c>
      <c r="N90" s="223">
        <f>IFERROR(M90-(TBIcalc!$H$9+TBIcalc!$H$10),"")</f>
        <v>1.7721999999999998</v>
      </c>
      <c r="O90" s="378">
        <f>AVERAGE(Ashed_controlls!$K$2:$K$11)</f>
        <v>5.5147656768714146</v>
      </c>
      <c r="P90" s="223">
        <f t="shared" si="6"/>
        <v>1.6744673226744846</v>
      </c>
      <c r="Q90" s="223" t="str">
        <f>IFERROR(INDEX('Both teabags AfterWet'!$C$3:$C$840,MATCH(L90,'Both teabags AfterWet'!$A$3:$A$840,0)),"")</f>
        <v/>
      </c>
      <c r="R90" s="223" t="str">
        <f>IFERROR(IF(Q90&gt;0,Q90-(TBIcalc!$H$9),""),"")</f>
        <v/>
      </c>
      <c r="S90" s="223" t="str">
        <f>IFERROR(INDEX('Ashed teabags wet'!$K$2:$K$2000,MATCH(L90,'Ashed teabags wet'!$A$2:$A$2000,0)),"")</f>
        <v/>
      </c>
      <c r="T90" s="223" t="str">
        <f t="shared" si="7"/>
        <v/>
      </c>
      <c r="U90" s="224">
        <f>'WetLitterbags placem_collection'!E91</f>
        <v>42767</v>
      </c>
      <c r="V90" s="224">
        <f>IF('WetLitterbags placem_collection'!G91="","",'WetLitterbags placem_collection'!G91)</f>
        <v>42819</v>
      </c>
      <c r="W90" s="225">
        <f t="shared" si="5"/>
        <v>52</v>
      </c>
      <c r="X90" s="223" t="str">
        <f t="shared" si="8"/>
        <v/>
      </c>
      <c r="Y90" s="223" t="str">
        <f t="shared" si="9"/>
        <v/>
      </c>
      <c r="Z90">
        <f>IFERROR(INDEX([1]Rainfall_Wet!$O$2:$O$217,MATCH(C90, [1]Rainfall_Wet!$A$2:$A$217,0)),"")</f>
        <v>194.93009798400001</v>
      </c>
      <c r="AA90" s="226">
        <v>28.145762029394</v>
      </c>
      <c r="AB90" s="226">
        <v>25.085564727199518</v>
      </c>
      <c r="AC90" s="226">
        <v>46.768673243406489</v>
      </c>
      <c r="AD90" s="227" t="s">
        <v>2651</v>
      </c>
      <c r="AE90" s="226">
        <v>2.1716214884179394</v>
      </c>
      <c r="AF90">
        <f>IF('WetLitterbags placem_collection'!AB91="","",'WetLitterbags placem_collection'!AB91)</f>
        <v>7.3</v>
      </c>
      <c r="AG90">
        <f>IF('WetLitterbags placem_collection'!Z91="","",'WetLitterbags placem_collection'!Z91)</f>
        <v>35.799999999999997</v>
      </c>
      <c r="AH90" s="236" t="str">
        <f>IF('WetLitterbags placem_collection'!AA91="","",'WetLitterbags placem_collection'!AA91)</f>
        <v>O</v>
      </c>
      <c r="AI90">
        <f>IF('WetLitterbags placem_collection'!AC91="","",'WetLitterbags placem_collection'!AC91)</f>
        <v>0</v>
      </c>
      <c r="AJ90" s="233">
        <f>AVERAGE('WetLitterbags placem_collection'!S91,'WetLitterbags placem_collection'!U91)</f>
        <v>20.95</v>
      </c>
      <c r="AK90">
        <f>AVERAGE('WetLitterbags placem_collection'!R91,'WetLitterbags placem_collection'!T91)</f>
        <v>24.45</v>
      </c>
      <c r="AL90">
        <f>INDEX([2]Coordinates!$B$2:$B$197,MATCH(I90,[2]Coordinates!$J$2:$J$197,0))</f>
        <v>-3.2966709980000002</v>
      </c>
      <c r="AM90">
        <f>INDEX([2]Coordinates!$C$2:$C$197,MATCH(I90,[2]Coordinates!$J$2:$J$197,0))</f>
        <v>34.854407019999996</v>
      </c>
      <c r="AN90" t="str">
        <f>IF(ISNUMBER(SEARCH("C", 'WetLitterbags placem_collection'!$V91)),"YES","NO")</f>
        <v>NO</v>
      </c>
      <c r="AO90" t="str">
        <f>IF(ISNUMBER(SEARCH("H", 'WetLitterbags placem_collection'!$V91)),"YES","NO")</f>
        <v>NO</v>
      </c>
      <c r="AP90" t="str">
        <f>IF(ISNUMBER(SEARCH("R", 'WetLitterbags placem_collection'!$V91)),"YES","NO")</f>
        <v>NO</v>
      </c>
    </row>
    <row r="91" spans="1:42">
      <c r="A91" t="s">
        <v>3248</v>
      </c>
      <c r="B91" s="248" t="s">
        <v>2454</v>
      </c>
      <c r="C91" s="253">
        <f>'Dry_Litterbag Placem_Collection'!A92</f>
        <v>90</v>
      </c>
      <c r="D91" s="253" t="str">
        <f>'Dry_Litterbag Placem_Collection'!B92</f>
        <v>Maswa</v>
      </c>
      <c r="E91" s="253" t="s">
        <v>2643</v>
      </c>
      <c r="F91" s="253" t="s">
        <v>2645</v>
      </c>
      <c r="G91" s="253">
        <v>4</v>
      </c>
      <c r="H91" s="253" t="s">
        <v>3115</v>
      </c>
      <c r="I91" s="254" t="str">
        <f>'Dry_Litterbag Placem_Collection'!C92</f>
        <v>Dry_W4_T2</v>
      </c>
      <c r="J91" s="255" t="s">
        <v>2525</v>
      </c>
      <c r="K91" s="256" t="s">
        <v>1147</v>
      </c>
      <c r="L91" s="221" t="str">
        <f>'WetLitterbags placem_collection'!K92</f>
        <v>G592</v>
      </c>
      <c r="M91" s="223">
        <f>IFERROR(INDEX('Green_rooibos initial weight'!$C$5:$C$2000,MATCH(L91, 'Green_rooibos initial weight'!$A$5:$A$2000,0)),"")</f>
        <v>2.0699999999999998</v>
      </c>
      <c r="N91" s="223">
        <f>IFERROR(M91-(TBIcalc!$H$9+TBIcalc!$H$10),"")</f>
        <v>1.8201999999999998</v>
      </c>
      <c r="O91" s="378">
        <f>AVERAGE(Ashed_controlls!$K$2:$K$11)</f>
        <v>5.5147656768714146</v>
      </c>
      <c r="P91" s="223">
        <f t="shared" si="6"/>
        <v>1.7198202351495864</v>
      </c>
      <c r="Q91" s="223">
        <f>IFERROR(INDEX('Both teabags AfterWet'!$C$3:$C$840,MATCH(L91,'Both teabags AfterWet'!$A$3:$A$840,0)),"")</f>
        <v>1.0779000000000001</v>
      </c>
      <c r="R91" s="223">
        <f>IFERROR(IF(Q91&gt;0,Q91-(TBIcalc!$H$9),""),"")</f>
        <v>0.92730000000000001</v>
      </c>
      <c r="S91" s="223">
        <f>IFERROR(INDEX('Ashed teabags wet'!$K$2:$K$2000,MATCH(L91,'Ashed teabags wet'!$A$2:$A$2000,0)),"")</f>
        <v>33.166583291646958</v>
      </c>
      <c r="T91" s="223">
        <f t="shared" si="7"/>
        <v>0.61974627313655772</v>
      </c>
      <c r="U91" s="224">
        <f>'WetLitterbags placem_collection'!E92</f>
        <v>42767</v>
      </c>
      <c r="V91" s="224">
        <f>IF('WetLitterbags placem_collection'!G92="","",'WetLitterbags placem_collection'!G92)</f>
        <v>42819</v>
      </c>
      <c r="W91" s="225">
        <f t="shared" si="5"/>
        <v>52</v>
      </c>
      <c r="X91" s="223">
        <f t="shared" si="8"/>
        <v>0.8928999999999998</v>
      </c>
      <c r="Y91" s="223">
        <f t="shared" si="9"/>
        <v>1.1000739620130287</v>
      </c>
      <c r="Z91">
        <f>IFERROR(INDEX([1]Rainfall_Wet!$O$2:$O$217,MATCH(C91, [1]Rainfall_Wet!$A$2:$A$217,0)),"")</f>
        <v>194.93009798400001</v>
      </c>
      <c r="AA91" s="226">
        <v>28.145762029394</v>
      </c>
      <c r="AB91" s="226">
        <v>25.085564727199518</v>
      </c>
      <c r="AC91" s="226">
        <v>46.768673243406489</v>
      </c>
      <c r="AD91" s="227" t="s">
        <v>2651</v>
      </c>
      <c r="AE91" s="226">
        <v>3.1716214884179399</v>
      </c>
      <c r="AF91">
        <f>IF('WetLitterbags placem_collection'!AB92="","",'WetLitterbags placem_collection'!AB92)</f>
        <v>7.7</v>
      </c>
      <c r="AG91">
        <f>IF('WetLitterbags placem_collection'!Z92="","",'WetLitterbags placem_collection'!Z92)</f>
        <v>30.4</v>
      </c>
      <c r="AH91" s="236" t="str">
        <f>IF('WetLitterbags placem_collection'!AA92="","",'WetLitterbags placem_collection'!AA92)</f>
        <v>O</v>
      </c>
      <c r="AI91">
        <f>IF('WetLitterbags placem_collection'!AC92="","",'WetLitterbags placem_collection'!AC92)</f>
        <v>0</v>
      </c>
      <c r="AJ91" s="233">
        <f>AVERAGE('WetLitterbags placem_collection'!S92,'WetLitterbags placem_collection'!U92)</f>
        <v>27.5</v>
      </c>
      <c r="AK91">
        <f>AVERAGE('WetLitterbags placem_collection'!R92,'WetLitterbags placem_collection'!T92)</f>
        <v>23.85</v>
      </c>
      <c r="AL91">
        <f>INDEX([2]Coordinates!$B$2:$B$197,MATCH(I91,[2]Coordinates!$J$2:$J$197,0))</f>
        <v>-3.2966860009999999</v>
      </c>
      <c r="AM91">
        <f>INDEX([2]Coordinates!$C$2:$C$197,MATCH(I91,[2]Coordinates!$J$2:$J$197,0))</f>
        <v>34.854371989999997</v>
      </c>
      <c r="AN91" t="str">
        <f>IF(ISNUMBER(SEARCH("C", 'WetLitterbags placem_collection'!$V92)),"YES","NO")</f>
        <v>NO</v>
      </c>
      <c r="AO91" t="str">
        <f>IF(ISNUMBER(SEARCH("H", 'WetLitterbags placem_collection'!$V92)),"YES","NO")</f>
        <v>NO</v>
      </c>
      <c r="AP91" t="str">
        <f>IF(ISNUMBER(SEARCH("R", 'WetLitterbags placem_collection'!$V92)),"YES","NO")</f>
        <v>NO</v>
      </c>
    </row>
    <row r="92" spans="1:42">
      <c r="A92" t="s">
        <v>3248</v>
      </c>
      <c r="B92" s="248" t="s">
        <v>2454</v>
      </c>
      <c r="C92" s="253">
        <f>'Dry_Litterbag Placem_Collection'!A93</f>
        <v>91</v>
      </c>
      <c r="D92" s="253" t="str">
        <f>'Dry_Litterbag Placem_Collection'!B93</f>
        <v>Maswa</v>
      </c>
      <c r="E92" s="253" t="s">
        <v>2643</v>
      </c>
      <c r="F92" s="253" t="s">
        <v>2645</v>
      </c>
      <c r="G92" s="253">
        <v>4</v>
      </c>
      <c r="H92" s="253" t="s">
        <v>3115</v>
      </c>
      <c r="I92" s="254" t="str">
        <f>'Dry_Litterbag Placem_Collection'!C93</f>
        <v>Dry_W4_T3</v>
      </c>
      <c r="J92" s="255" t="s">
        <v>2525</v>
      </c>
      <c r="K92" s="256" t="s">
        <v>1147</v>
      </c>
      <c r="L92" s="221" t="str">
        <f>'WetLitterbags placem_collection'!K93</f>
        <v>G472</v>
      </c>
      <c r="M92" s="223">
        <f>IFERROR(INDEX('Green_rooibos initial weight'!$C$5:$C$2000,MATCH(L92, 'Green_rooibos initial weight'!$A$5:$A$2000,0)),"")</f>
        <v>1.9710000000000001</v>
      </c>
      <c r="N92" s="223">
        <f>IFERROR(M92-(TBIcalc!$H$9+TBIcalc!$H$10),"")</f>
        <v>1.7212000000000001</v>
      </c>
      <c r="O92" s="378">
        <f>AVERAGE(Ashed_controlls!$K$2:$K$11)</f>
        <v>5.5147656768714146</v>
      </c>
      <c r="P92" s="223">
        <f t="shared" si="6"/>
        <v>1.6262798531696894</v>
      </c>
      <c r="Q92" s="223">
        <f>IFERROR(INDEX('Both teabags AfterWet'!$C$3:$C$840,MATCH(L92,'Both teabags AfterWet'!$A$3:$A$840,0)),"")</f>
        <v>0.76100000000000001</v>
      </c>
      <c r="R92" s="223">
        <f>IFERROR(IF(Q92&gt;0,Q92-(TBIcalc!$H$9),""),"")</f>
        <v>0.61040000000000005</v>
      </c>
      <c r="S92" s="223">
        <f>IFERROR(INDEX('Ashed teabags wet'!$K$2:$K$2000,MATCH(L92,'Ashed teabags wet'!$A$2:$A$2000,0)),"")</f>
        <v>13.069604406610589</v>
      </c>
      <c r="T92" s="223">
        <f t="shared" si="7"/>
        <v>0.53062313470204903</v>
      </c>
      <c r="U92" s="224">
        <f>'WetLitterbags placem_collection'!E93</f>
        <v>42767</v>
      </c>
      <c r="V92" s="224">
        <f>IF('WetLitterbags placem_collection'!G93="","",'WetLitterbags placem_collection'!G93)</f>
        <v>42819</v>
      </c>
      <c r="W92" s="225">
        <f t="shared" si="5"/>
        <v>52</v>
      </c>
      <c r="X92" s="223">
        <f t="shared" si="8"/>
        <v>1.1108</v>
      </c>
      <c r="Y92" s="223">
        <f t="shared" si="9"/>
        <v>1.0956567184676405</v>
      </c>
      <c r="Z92">
        <f>IFERROR(INDEX([1]Rainfall_Wet!$O$2:$O$217,MATCH(C92, [1]Rainfall_Wet!$A$2:$A$217,0)),"")</f>
        <v>194.93009798400001</v>
      </c>
      <c r="AA92" s="226">
        <v>28.145762029394</v>
      </c>
      <c r="AB92" s="226">
        <v>25.085564727199518</v>
      </c>
      <c r="AC92" s="226">
        <v>46.768673243406489</v>
      </c>
      <c r="AD92" s="227" t="s">
        <v>2651</v>
      </c>
      <c r="AE92" s="226">
        <v>4.1716214884179399</v>
      </c>
      <c r="AF92">
        <f>IF('WetLitterbags placem_collection'!AB93="","",'WetLitterbags placem_collection'!AB93)</f>
        <v>6.1</v>
      </c>
      <c r="AG92">
        <f>IF('WetLitterbags placem_collection'!Z93="","",'WetLitterbags placem_collection'!Z93)</f>
        <v>39.4</v>
      </c>
      <c r="AH92" s="236" t="str">
        <f>IF('WetLitterbags placem_collection'!AA93="","",'WetLitterbags placem_collection'!AA93)</f>
        <v>O</v>
      </c>
      <c r="AI92">
        <f>IF('WetLitterbags placem_collection'!AC93="","",'WetLitterbags placem_collection'!AC93)</f>
        <v>1</v>
      </c>
      <c r="AJ92" s="233">
        <f>AVERAGE('WetLitterbags placem_collection'!S93,'WetLitterbags placem_collection'!U93)</f>
        <v>26.4</v>
      </c>
      <c r="AK92">
        <f>AVERAGE('WetLitterbags placem_collection'!R93,'WetLitterbags placem_collection'!T93)</f>
        <v>24.35</v>
      </c>
      <c r="AL92">
        <f>INDEX([2]Coordinates!$B$2:$B$197,MATCH(I92,[2]Coordinates!$J$2:$J$197,0))</f>
        <v>-3.2966180239999998</v>
      </c>
      <c r="AM92">
        <f>INDEX([2]Coordinates!$C$2:$C$197,MATCH(I92,[2]Coordinates!$J$2:$J$197,0))</f>
        <v>34.854464020000002</v>
      </c>
      <c r="AN92" t="str">
        <f>IF(ISNUMBER(SEARCH("C", 'WetLitterbags placem_collection'!$V93)),"YES","NO")</f>
        <v>NO</v>
      </c>
      <c r="AO92" t="str">
        <f>IF(ISNUMBER(SEARCH("H", 'WetLitterbags placem_collection'!$V93)),"YES","NO")</f>
        <v>YES</v>
      </c>
      <c r="AP92" t="str">
        <f>IF(ISNUMBER(SEARCH("R", 'WetLitterbags placem_collection'!$V93)),"YES","NO")</f>
        <v>YES</v>
      </c>
    </row>
    <row r="93" spans="1:42">
      <c r="A93" t="s">
        <v>3248</v>
      </c>
      <c r="B93" s="248" t="s">
        <v>2454</v>
      </c>
      <c r="C93" s="253">
        <f>'Dry_Litterbag Placem_Collection'!A94</f>
        <v>92</v>
      </c>
      <c r="D93" s="253" t="str">
        <f>'Dry_Litterbag Placem_Collection'!B94</f>
        <v>Maswa</v>
      </c>
      <c r="E93" s="253" t="s">
        <v>2643</v>
      </c>
      <c r="F93" s="253" t="s">
        <v>2645</v>
      </c>
      <c r="G93" s="253">
        <v>4</v>
      </c>
      <c r="H93" s="253" t="s">
        <v>3115</v>
      </c>
      <c r="I93" s="254" t="str">
        <f>'Dry_Litterbag Placem_Collection'!C94</f>
        <v>Dry_W4_T4</v>
      </c>
      <c r="J93" s="255" t="s">
        <v>2525</v>
      </c>
      <c r="K93" s="256" t="s">
        <v>1147</v>
      </c>
      <c r="L93" s="221" t="str">
        <f>'WetLitterbags placem_collection'!K94</f>
        <v>G529</v>
      </c>
      <c r="M93" s="223">
        <f>IFERROR(INDEX('Green_rooibos initial weight'!$C$5:$C$2000,MATCH(L93, 'Green_rooibos initial weight'!$A$5:$A$2000,0)),"")</f>
        <v>2.089</v>
      </c>
      <c r="N93" s="223">
        <f>IFERROR(M93-(TBIcalc!$H$9+TBIcalc!$H$10),"")</f>
        <v>1.8391999999999999</v>
      </c>
      <c r="O93" s="378">
        <f>AVERAGE(Ashed_controlls!$K$2:$K$11)</f>
        <v>5.5147656768714146</v>
      </c>
      <c r="P93" s="223">
        <f t="shared" si="6"/>
        <v>1.7377724296709809</v>
      </c>
      <c r="Q93" s="223">
        <f>IFERROR(INDEX('Both teabags AfterWet'!$C$3:$C$840,MATCH(L93,'Both teabags AfterWet'!$A$3:$A$840,0)),"")</f>
        <v>0.76500000000000001</v>
      </c>
      <c r="R93" s="223">
        <f>IFERROR(IF(Q93&gt;0,Q93-(TBIcalc!$H$9),""),"")</f>
        <v>0.61440000000000006</v>
      </c>
      <c r="S93" s="223">
        <f>IFERROR(INDEX('Ashed teabags wet'!$K$2:$K$2000,MATCH(L93,'Ashed teabags wet'!$A$2:$A$2000,0)),"")</f>
        <v>11.868446139180241</v>
      </c>
      <c r="T93" s="223">
        <f t="shared" si="7"/>
        <v>0.5414802669208767</v>
      </c>
      <c r="U93" s="224">
        <f>'WetLitterbags placem_collection'!E94</f>
        <v>42767</v>
      </c>
      <c r="V93" s="224">
        <f>IF('WetLitterbags placem_collection'!G94="","",'WetLitterbags placem_collection'!G94)</f>
        <v>42819</v>
      </c>
      <c r="W93" s="225">
        <f t="shared" si="5"/>
        <v>52</v>
      </c>
      <c r="X93" s="223">
        <f t="shared" si="8"/>
        <v>1.2247999999999999</v>
      </c>
      <c r="Y93" s="223">
        <f t="shared" si="9"/>
        <v>1.1962921627501042</v>
      </c>
      <c r="Z93">
        <f>IFERROR(INDEX([1]Rainfall_Wet!$O$2:$O$217,MATCH(C93, [1]Rainfall_Wet!$A$2:$A$217,0)),"")</f>
        <v>194.93009798400001</v>
      </c>
      <c r="AA93" s="226">
        <v>28.145762029394</v>
      </c>
      <c r="AB93" s="226">
        <v>25.085564727199518</v>
      </c>
      <c r="AC93" s="226">
        <v>46.768673243406489</v>
      </c>
      <c r="AD93" s="227" t="s">
        <v>2651</v>
      </c>
      <c r="AE93" s="226">
        <v>5.1716214884179399</v>
      </c>
      <c r="AF93">
        <f>IF('WetLitterbags placem_collection'!AB94="","",'WetLitterbags placem_collection'!AB94)</f>
        <v>7.7</v>
      </c>
      <c r="AG93">
        <f>IF('WetLitterbags placem_collection'!Z94="","",'WetLitterbags placem_collection'!Z94)</f>
        <v>24.8</v>
      </c>
      <c r="AH93" s="236" t="str">
        <f>IF('WetLitterbags placem_collection'!AA94="","",'WetLitterbags placem_collection'!AA94)</f>
        <v>O</v>
      </c>
      <c r="AI93">
        <f>IF('WetLitterbags placem_collection'!AC94="","",'WetLitterbags placem_collection'!AC94)</f>
        <v>1</v>
      </c>
      <c r="AJ93" s="233">
        <f>AVERAGE('WetLitterbags placem_collection'!S94,'WetLitterbags placem_collection'!U94)</f>
        <v>26.45</v>
      </c>
      <c r="AK93">
        <f>AVERAGE('WetLitterbags placem_collection'!R94,'WetLitterbags placem_collection'!T94)</f>
        <v>22.6</v>
      </c>
      <c r="AL93">
        <f>INDEX([2]Coordinates!$B$2:$B$197,MATCH(I93,[2]Coordinates!$J$2:$J$197,0))</f>
        <v>-3.2965539860000002</v>
      </c>
      <c r="AM93">
        <f>INDEX([2]Coordinates!$C$2:$C$197,MATCH(I93,[2]Coordinates!$J$2:$J$197,0))</f>
        <v>34.854455969999997</v>
      </c>
      <c r="AN93" t="str">
        <f>IF(ISNUMBER(SEARCH("C", 'WetLitterbags placem_collection'!$V94)),"YES","NO")</f>
        <v>YES</v>
      </c>
      <c r="AO93" t="str">
        <f>IF(ISNUMBER(SEARCH("H", 'WetLitterbags placem_collection'!$V94)),"YES","NO")</f>
        <v>YES</v>
      </c>
      <c r="AP93" t="str">
        <f>IF(ISNUMBER(SEARCH("R", 'WetLitterbags placem_collection'!$V94)),"YES","NO")</f>
        <v>NO</v>
      </c>
    </row>
    <row r="94" spans="1:42">
      <c r="A94" t="s">
        <v>3248</v>
      </c>
      <c r="B94" s="248" t="s">
        <v>2454</v>
      </c>
      <c r="C94" s="253">
        <f>'Dry_Litterbag Placem_Collection'!A95</f>
        <v>93</v>
      </c>
      <c r="D94" s="253" t="str">
        <f>'Dry_Litterbag Placem_Collection'!B95</f>
        <v>Maswa</v>
      </c>
      <c r="E94" s="253" t="s">
        <v>2643</v>
      </c>
      <c r="F94" s="253" t="s">
        <v>2645</v>
      </c>
      <c r="G94" s="253">
        <v>4</v>
      </c>
      <c r="H94" s="253" t="s">
        <v>3115</v>
      </c>
      <c r="I94" s="254" t="str">
        <f>'Dry_Litterbag Placem_Collection'!C95</f>
        <v>Dry_W4_T5</v>
      </c>
      <c r="J94" s="255" t="s">
        <v>2525</v>
      </c>
      <c r="K94" s="256" t="s">
        <v>1147</v>
      </c>
      <c r="L94" s="221" t="str">
        <f>'WetLitterbags placem_collection'!K95</f>
        <v>G636</v>
      </c>
      <c r="M94" s="223">
        <f>IFERROR(INDEX('Green_rooibos initial weight'!$C$5:$C$2000,MATCH(L94, 'Green_rooibos initial weight'!$A$5:$A$2000,0)),"")</f>
        <v>2.133</v>
      </c>
      <c r="N94" s="223">
        <f>IFERROR(M94-(TBIcalc!$H$9+TBIcalc!$H$10),"")</f>
        <v>1.8832</v>
      </c>
      <c r="O94" s="378">
        <f>AVERAGE(Ashed_controlls!$K$2:$K$11)</f>
        <v>5.5147656768714146</v>
      </c>
      <c r="P94" s="223">
        <f t="shared" si="6"/>
        <v>1.7793459327731576</v>
      </c>
      <c r="Q94" s="223">
        <f>IFERROR(INDEX('Both teabags AfterWet'!$C$3:$C$840,MATCH(L94,'Both teabags AfterWet'!$A$3:$A$840,0)),"")</f>
        <v>0.79630000000000001</v>
      </c>
      <c r="R94" s="223">
        <f>IFERROR(IF(Q94&gt;0,Q94-(TBIcalc!$H$9),""),"")</f>
        <v>0.64569999999999994</v>
      </c>
      <c r="S94" s="223">
        <f>IFERROR(INDEX('Ashed teabags wet'!$K$2:$K$2000,MATCH(L94,'Ashed teabags wet'!$A$2:$A$2000,0)),"")</f>
        <v>13.477619281849297</v>
      </c>
      <c r="T94" s="223">
        <f t="shared" si="7"/>
        <v>0.55867501229709904</v>
      </c>
      <c r="U94" s="224">
        <f>'WetLitterbags placem_collection'!E95</f>
        <v>42767</v>
      </c>
      <c r="V94" s="224">
        <f>IF('WetLitterbags placem_collection'!G95="","",'WetLitterbags placem_collection'!G95)</f>
        <v>42819</v>
      </c>
      <c r="W94" s="225">
        <f t="shared" si="5"/>
        <v>52</v>
      </c>
      <c r="X94" s="223">
        <f t="shared" si="8"/>
        <v>1.2375</v>
      </c>
      <c r="Y94" s="223">
        <f t="shared" si="9"/>
        <v>1.2206709204760586</v>
      </c>
      <c r="Z94">
        <f>IFERROR(INDEX([1]Rainfall_Wet!$O$2:$O$217,MATCH(C94, [1]Rainfall_Wet!$A$2:$A$217,0)),"")</f>
        <v>194.93009798400001</v>
      </c>
      <c r="AA94" s="226">
        <v>28.145762029394</v>
      </c>
      <c r="AB94" s="226">
        <v>25.085564727199518</v>
      </c>
      <c r="AC94" s="226">
        <v>46.768673243406489</v>
      </c>
      <c r="AD94" s="227" t="s">
        <v>2651</v>
      </c>
      <c r="AE94" s="226">
        <v>6.1716214884179399</v>
      </c>
      <c r="AF94">
        <f>IF('WetLitterbags placem_collection'!AB95="","",'WetLitterbags placem_collection'!AB95)</f>
        <v>6.6</v>
      </c>
      <c r="AG94">
        <f>IF('WetLitterbags placem_collection'!Z95="","",'WetLitterbags placem_collection'!Z95)</f>
        <v>40</v>
      </c>
      <c r="AH94" s="236" t="str">
        <f>IF('WetLitterbags placem_collection'!AA95="","",'WetLitterbags placem_collection'!AA95)</f>
        <v>O</v>
      </c>
      <c r="AI94">
        <f>IF('WetLitterbags placem_collection'!AC95="","",'WetLitterbags placem_collection'!AC95)</f>
        <v>1</v>
      </c>
      <c r="AJ94" s="233">
        <f>AVERAGE('WetLitterbags placem_collection'!S95,'WetLitterbags placem_collection'!U95)</f>
        <v>25.25</v>
      </c>
      <c r="AK94">
        <f>AVERAGE('WetLitterbags placem_collection'!R95,'WetLitterbags placem_collection'!T95)</f>
        <v>23.5</v>
      </c>
      <c r="AL94">
        <f>INDEX([2]Coordinates!$B$2:$B$197,MATCH(I94,[2]Coordinates!$J$2:$J$197,0))</f>
        <v>-3.2964789680000002</v>
      </c>
      <c r="AM94">
        <f>INDEX([2]Coordinates!$C$2:$C$197,MATCH(I94,[2]Coordinates!$J$2:$J$197,0))</f>
        <v>34.854331000000002</v>
      </c>
      <c r="AN94" t="str">
        <f>IF(ISNUMBER(SEARCH("C", 'WetLitterbags placem_collection'!$V95)),"YES","NO")</f>
        <v>NO</v>
      </c>
      <c r="AO94" t="str">
        <f>IF(ISNUMBER(SEARCH("H", 'WetLitterbags placem_collection'!$V95)),"YES","NO")</f>
        <v>NO</v>
      </c>
      <c r="AP94" t="str">
        <f>IF(ISNUMBER(SEARCH("R", 'WetLitterbags placem_collection'!$V95)),"YES","NO")</f>
        <v>YES</v>
      </c>
    </row>
    <row r="95" spans="1:42">
      <c r="A95" t="s">
        <v>3248</v>
      </c>
      <c r="B95" s="248" t="s">
        <v>2454</v>
      </c>
      <c r="C95" s="253">
        <f>'Dry_Litterbag Placem_Collection'!A96</f>
        <v>94</v>
      </c>
      <c r="D95" s="253" t="str">
        <f>'Dry_Litterbag Placem_Collection'!B96</f>
        <v>Maswa</v>
      </c>
      <c r="E95" s="253" t="s">
        <v>2643</v>
      </c>
      <c r="F95" s="253" t="s">
        <v>2645</v>
      </c>
      <c r="G95" s="253">
        <v>4</v>
      </c>
      <c r="H95" s="253" t="s">
        <v>3115</v>
      </c>
      <c r="I95" s="254" t="str">
        <f>'Dry_Litterbag Placem_Collection'!C96</f>
        <v>Dry_W4_T6</v>
      </c>
      <c r="J95" s="255" t="s">
        <v>2525</v>
      </c>
      <c r="K95" s="256" t="s">
        <v>1147</v>
      </c>
      <c r="L95" s="221" t="str">
        <f>'WetLitterbags placem_collection'!K96</f>
        <v>G534</v>
      </c>
      <c r="M95" s="223">
        <f>IFERROR(INDEX('Green_rooibos initial weight'!$C$5:$C$2000,MATCH(L95, 'Green_rooibos initial weight'!$A$5:$A$2000,0)),"")</f>
        <v>2.169</v>
      </c>
      <c r="N95" s="223">
        <f>IFERROR(M95-(TBIcalc!$H$9+TBIcalc!$H$10),"")</f>
        <v>1.9192</v>
      </c>
      <c r="O95" s="378">
        <f>AVERAGE(Ashed_controlls!$K$2:$K$11)</f>
        <v>5.5147656768714146</v>
      </c>
      <c r="P95" s="223">
        <f t="shared" si="6"/>
        <v>1.8133606171294838</v>
      </c>
      <c r="Q95" s="223" t="str">
        <f>IFERROR(INDEX('Both teabags AfterWet'!$C$3:$C$840,MATCH(L95,'Both teabags AfterWet'!$A$3:$A$840,0)),"")</f>
        <v/>
      </c>
      <c r="R95" s="223" t="str">
        <f>IFERROR(IF(Q95&gt;0,Q95-(TBIcalc!$H$9),""),"")</f>
        <v/>
      </c>
      <c r="S95" s="223" t="str">
        <f>IFERROR(INDEX('Ashed teabags wet'!$K$2:$K$2000,MATCH(L95,'Ashed teabags wet'!$A$2:$A$2000,0)),"")</f>
        <v/>
      </c>
      <c r="T95" s="223" t="str">
        <f t="shared" si="7"/>
        <v/>
      </c>
      <c r="U95" s="224">
        <f>'WetLitterbags placem_collection'!E96</f>
        <v>42767</v>
      </c>
      <c r="V95" s="224">
        <f>IF('WetLitterbags placem_collection'!G96="","",'WetLitterbags placem_collection'!G96)</f>
        <v>42819</v>
      </c>
      <c r="W95" s="225">
        <f t="shared" si="5"/>
        <v>52</v>
      </c>
      <c r="X95" s="223" t="str">
        <f t="shared" si="8"/>
        <v/>
      </c>
      <c r="Y95" s="223" t="str">
        <f t="shared" si="9"/>
        <v/>
      </c>
      <c r="Z95" t="str">
        <f>IFERROR(INDEX([1]Rainfall_Wet!$O$2:$O$217,MATCH(C95, [1]Rainfall_Wet!$A$2:$A$217,0)),"")</f>
        <v/>
      </c>
      <c r="AA95" s="226">
        <v>28.145762029394</v>
      </c>
      <c r="AB95" s="226">
        <v>25.085564727199518</v>
      </c>
      <c r="AC95" s="226">
        <v>46.768673243406489</v>
      </c>
      <c r="AD95" s="227" t="s">
        <v>2651</v>
      </c>
      <c r="AE95" s="226">
        <v>7.1716214884179399</v>
      </c>
      <c r="AF95" t="str">
        <f>IF('WetLitterbags placem_collection'!AB96="","",'WetLitterbags placem_collection'!AB96)</f>
        <v/>
      </c>
      <c r="AG95" t="str">
        <f>IF('WetLitterbags placem_collection'!Z96="","",'WetLitterbags placem_collection'!Z96)</f>
        <v/>
      </c>
      <c r="AH95" s="236" t="str">
        <f>IF('WetLitterbags placem_collection'!AA96="","",'WetLitterbags placem_collection'!AA96)</f>
        <v/>
      </c>
      <c r="AI95" t="str">
        <f>IF('WetLitterbags placem_collection'!AC96="","",'WetLitterbags placem_collection'!AC96)</f>
        <v/>
      </c>
      <c r="AJ95" s="233">
        <f>AVERAGE('WetLitterbags placem_collection'!S96,'WetLitterbags placem_collection'!U96)</f>
        <v>36.200000000000003</v>
      </c>
      <c r="AK95">
        <f>AVERAGE('WetLitterbags placem_collection'!R96,'WetLitterbags placem_collection'!T96)</f>
        <v>22</v>
      </c>
      <c r="AL95">
        <f>INDEX([2]Coordinates!$B$2:$B$197,MATCH(I95,[2]Coordinates!$J$2:$J$197,0))</f>
        <v>-3.2964649700000002</v>
      </c>
      <c r="AM95">
        <f>INDEX([2]Coordinates!$C$2:$C$197,MATCH(I95,[2]Coordinates!$J$2:$J$197,0))</f>
        <v>34.854340970000003</v>
      </c>
      <c r="AN95" t="str">
        <f>IF(ISNUMBER(SEARCH("C", 'WetLitterbags placem_collection'!$V96)),"YES","NO")</f>
        <v>NO</v>
      </c>
      <c r="AO95" t="str">
        <f>IF(ISNUMBER(SEARCH("H", 'WetLitterbags placem_collection'!$V96)),"YES","NO")</f>
        <v>NO</v>
      </c>
      <c r="AP95" t="str">
        <f>IF(ISNUMBER(SEARCH("R", 'WetLitterbags placem_collection'!$V96)),"YES","NO")</f>
        <v>NO</v>
      </c>
    </row>
    <row r="96" spans="1:42" ht="15" customHeight="1">
      <c r="A96" t="s">
        <v>3248</v>
      </c>
      <c r="B96" s="248" t="s">
        <v>2454</v>
      </c>
      <c r="C96" s="253">
        <f>'Dry_Litterbag Placem_Collection'!A97</f>
        <v>95</v>
      </c>
      <c r="D96" s="253" t="str">
        <f>'Dry_Litterbag Placem_Collection'!B97</f>
        <v>Maswa</v>
      </c>
      <c r="E96" s="253" t="s">
        <v>2643</v>
      </c>
      <c r="F96" s="253" t="s">
        <v>2645</v>
      </c>
      <c r="G96" s="253">
        <v>4</v>
      </c>
      <c r="H96" s="253" t="s">
        <v>3115</v>
      </c>
      <c r="I96" s="254" t="str">
        <f>'Dry_Litterbag Placem_Collection'!C97</f>
        <v>Dry_W4_T7</v>
      </c>
      <c r="J96" s="255" t="s">
        <v>2525</v>
      </c>
      <c r="K96" s="256" t="s">
        <v>1147</v>
      </c>
      <c r="L96" s="221" t="str">
        <f>'WetLitterbags placem_collection'!K97</f>
        <v>G641</v>
      </c>
      <c r="M96" s="223">
        <f>IFERROR(INDEX('Green_rooibos initial weight'!$C$5:$C$2000,MATCH(L96, 'Green_rooibos initial weight'!$A$5:$A$2000,0)),"")</f>
        <v>2.14</v>
      </c>
      <c r="N96" s="223">
        <f>IFERROR(M96-(TBIcalc!$H$9+TBIcalc!$H$10),"")</f>
        <v>1.8902000000000001</v>
      </c>
      <c r="O96" s="378">
        <f>AVERAGE(Ashed_controlls!$K$2:$K$11)</f>
        <v>5.5147656768714146</v>
      </c>
      <c r="P96" s="223">
        <f t="shared" si="6"/>
        <v>1.7859598991757766</v>
      </c>
      <c r="Q96" s="223">
        <f>IFERROR(INDEX('Both teabags AfterWet'!$C$3:$C$840,MATCH(L96,'Both teabags AfterWet'!$A$3:$A$840,0)),"")</f>
        <v>1.254</v>
      </c>
      <c r="R96" s="223">
        <f>IFERROR(IF(Q96&gt;0,Q96-(TBIcalc!$H$9),""),"")</f>
        <v>1.1033999999999999</v>
      </c>
      <c r="S96" s="223">
        <f>IFERROR(INDEX('Ashed teabags wet'!$K$2:$K$2000,MATCH(L96,'Ashed teabags wet'!$A$2:$A$2000,0)),"")</f>
        <v>33.235294117646788</v>
      </c>
      <c r="T96" s="223">
        <f t="shared" si="7"/>
        <v>0.73668176470588531</v>
      </c>
      <c r="U96" s="224">
        <f>'WetLitterbags placem_collection'!E97</f>
        <v>42767</v>
      </c>
      <c r="V96" s="224">
        <f>IF('WetLitterbags placem_collection'!G97="","",'WetLitterbags placem_collection'!G97)</f>
        <v>42819</v>
      </c>
      <c r="W96" s="225">
        <f t="shared" si="5"/>
        <v>52</v>
      </c>
      <c r="X96" s="223">
        <f t="shared" si="8"/>
        <v>0.78680000000000017</v>
      </c>
      <c r="Y96" s="223">
        <f t="shared" si="9"/>
        <v>1.0492781344698914</v>
      </c>
      <c r="Z96">
        <f>IFERROR(INDEX([1]Rainfall_Wet!$O$2:$O$217,MATCH(C96, [1]Rainfall_Wet!$A$2:$A$217,0)),"")</f>
        <v>194.93009798400001</v>
      </c>
      <c r="AA96" s="226">
        <v>28.145762029394</v>
      </c>
      <c r="AB96" s="226">
        <v>25.085564727199518</v>
      </c>
      <c r="AC96" s="226">
        <v>46.768673243406489</v>
      </c>
      <c r="AD96" s="227" t="s">
        <v>2651</v>
      </c>
      <c r="AE96" s="226">
        <v>8.1716214884179408</v>
      </c>
      <c r="AF96">
        <f>IF('WetLitterbags placem_collection'!AB97="","",'WetLitterbags placem_collection'!AB97)</f>
        <v>5.4</v>
      </c>
      <c r="AG96">
        <f>IF('WetLitterbags placem_collection'!Z97="","",'WetLitterbags placem_collection'!Z97)</f>
        <v>15.2</v>
      </c>
      <c r="AH96" s="236" t="str">
        <f>IF('WetLitterbags placem_collection'!AA97="","",'WetLitterbags placem_collection'!AA97)</f>
        <v>O</v>
      </c>
      <c r="AI96">
        <f>IF('WetLitterbags placem_collection'!AC97="","",'WetLitterbags placem_collection'!AC97)</f>
        <v>0</v>
      </c>
      <c r="AJ96" s="233">
        <f>AVERAGE('WetLitterbags placem_collection'!S97,'WetLitterbags placem_collection'!U97)</f>
        <v>28.85</v>
      </c>
      <c r="AK96">
        <f>AVERAGE('WetLitterbags placem_collection'!R97,'WetLitterbags placem_collection'!T97)</f>
        <v>23.2</v>
      </c>
      <c r="AL96">
        <f>INDEX([2]Coordinates!$B$2:$B$197,MATCH(I96,[2]Coordinates!$J$2:$J$197,0))</f>
        <v>-3.296725983</v>
      </c>
      <c r="AM96">
        <f>INDEX([2]Coordinates!$C$2:$C$197,MATCH(I96,[2]Coordinates!$J$2:$J$197,0))</f>
        <v>34.854216000000001</v>
      </c>
      <c r="AN96" t="str">
        <f>IF(ISNUMBER(SEARCH("C", 'WetLitterbags placem_collection'!$V97)),"YES","NO")</f>
        <v>YES</v>
      </c>
      <c r="AO96" t="str">
        <f>IF(ISNUMBER(SEARCH("H", 'WetLitterbags placem_collection'!$V97)),"YES","NO")</f>
        <v>YES</v>
      </c>
      <c r="AP96" t="str">
        <f>IF(ISNUMBER(SEARCH("R", 'WetLitterbags placem_collection'!$V97)),"YES","NO")</f>
        <v>YES</v>
      </c>
    </row>
    <row r="97" spans="1:42" ht="15" customHeight="1">
      <c r="A97" t="s">
        <v>3248</v>
      </c>
      <c r="B97" s="248" t="s">
        <v>2454</v>
      </c>
      <c r="C97" s="253">
        <f>'Dry_Litterbag Placem_Collection'!A98</f>
        <v>96</v>
      </c>
      <c r="D97" s="253" t="str">
        <f>'Dry_Litterbag Placem_Collection'!B98</f>
        <v>Maswa</v>
      </c>
      <c r="E97" s="253" t="s">
        <v>2643</v>
      </c>
      <c r="F97" s="253" t="s">
        <v>2645</v>
      </c>
      <c r="G97" s="253">
        <v>4</v>
      </c>
      <c r="H97" s="253" t="s">
        <v>3115</v>
      </c>
      <c r="I97" s="254" t="str">
        <f>'Dry_Litterbag Placem_Collection'!C98</f>
        <v>Dry_W4_T8</v>
      </c>
      <c r="J97" s="255" t="s">
        <v>2525</v>
      </c>
      <c r="K97" s="256" t="s">
        <v>1147</v>
      </c>
      <c r="L97" s="221" t="str">
        <f>'WetLitterbags placem_collection'!K98</f>
        <v>G479</v>
      </c>
      <c r="M97" s="223">
        <f>IFERROR(INDEX('Green_rooibos initial weight'!$C$5:$C$2000,MATCH(L97, 'Green_rooibos initial weight'!$A$5:$A$2000,0)),"")</f>
        <v>1.982</v>
      </c>
      <c r="N97" s="223">
        <f>IFERROR(M97-(TBIcalc!$H$9+TBIcalc!$H$10),"")</f>
        <v>1.7322</v>
      </c>
      <c r="O97" s="378">
        <f>AVERAGE(Ashed_controlls!$K$2:$K$11)</f>
        <v>5.5147656768714146</v>
      </c>
      <c r="P97" s="223">
        <f t="shared" si="6"/>
        <v>1.6366732289452333</v>
      </c>
      <c r="Q97" s="223">
        <f>IFERROR(INDEX('Both teabags AfterWet'!$C$3:$C$840,MATCH(L97,'Both teabags AfterWet'!$A$3:$A$840,0)),"")</f>
        <v>0.90410000000000001</v>
      </c>
      <c r="R97" s="223">
        <f>IFERROR(IF(Q97&gt;0,Q97-(TBIcalc!$H$9),""),"")</f>
        <v>0.75350000000000006</v>
      </c>
      <c r="S97" s="223">
        <f>IFERROR(INDEX('Ashed teabags wet'!$K$2:$K$2000,MATCH(L97,'Ashed teabags wet'!$A$2:$A$2000,0)),"")</f>
        <v>16.839506172838583</v>
      </c>
      <c r="T97" s="223">
        <f t="shared" si="7"/>
        <v>0.62661432098766134</v>
      </c>
      <c r="U97" s="224">
        <f>'WetLitterbags placem_collection'!E98</f>
        <v>42767</v>
      </c>
      <c r="V97" s="224">
        <f>IF('WetLitterbags placem_collection'!G98="","",'WetLitterbags placem_collection'!G98)</f>
        <v>42819</v>
      </c>
      <c r="W97" s="225">
        <f t="shared" si="5"/>
        <v>52</v>
      </c>
      <c r="X97" s="223">
        <f t="shared" si="8"/>
        <v>0.9786999999999999</v>
      </c>
      <c r="Y97" s="223">
        <f t="shared" si="9"/>
        <v>1.0100589079575719</v>
      </c>
      <c r="Z97">
        <f>IFERROR(INDEX([1]Rainfall_Wet!$O$2:$O$217,MATCH(C97, [1]Rainfall_Wet!$A$2:$A$217,0)),"")</f>
        <v>194.93009798400001</v>
      </c>
      <c r="AA97" s="226">
        <v>28.145762029394</v>
      </c>
      <c r="AB97" s="226">
        <v>25.085564727199518</v>
      </c>
      <c r="AC97" s="226">
        <v>46.768673243406489</v>
      </c>
      <c r="AD97" s="227" t="s">
        <v>2651</v>
      </c>
      <c r="AE97" s="226">
        <v>9.1716214884179408</v>
      </c>
      <c r="AF97">
        <f>IF('WetLitterbags placem_collection'!AB98="","",'WetLitterbags placem_collection'!AB98)</f>
        <v>4</v>
      </c>
      <c r="AG97">
        <f>IF('WetLitterbags placem_collection'!Z98="","",'WetLitterbags placem_collection'!Z98)</f>
        <v>34.4</v>
      </c>
      <c r="AH97" s="236" t="str">
        <f>IF('WetLitterbags placem_collection'!AA98="","",'WetLitterbags placem_collection'!AA98)</f>
        <v>O</v>
      </c>
      <c r="AI97">
        <f>IF('WetLitterbags placem_collection'!AC98="","",'WetLitterbags placem_collection'!AC98)</f>
        <v>0</v>
      </c>
      <c r="AJ97" s="233">
        <f>AVERAGE('WetLitterbags placem_collection'!S98,'WetLitterbags placem_collection'!U98)</f>
        <v>16.799999999999997</v>
      </c>
      <c r="AK97">
        <f>AVERAGE('WetLitterbags placem_collection'!R98,'WetLitterbags placem_collection'!T98)</f>
        <v>24.3</v>
      </c>
      <c r="AL97">
        <f>INDEX([2]Coordinates!$B$2:$B$197,MATCH(I97,[2]Coordinates!$J$2:$J$197,0))</f>
        <v>-3.2968360369999998</v>
      </c>
      <c r="AM97">
        <f>INDEX([2]Coordinates!$C$2:$C$197,MATCH(I97,[2]Coordinates!$J$2:$J$197,0))</f>
        <v>34.854462009999999</v>
      </c>
      <c r="AN97" t="str">
        <f>IF(ISNUMBER(SEARCH("C", 'WetLitterbags placem_collection'!$V98)),"YES","NO")</f>
        <v>NO</v>
      </c>
      <c r="AO97" t="str">
        <f>IF(ISNUMBER(SEARCH("H", 'WetLitterbags placem_collection'!$V98)),"YES","NO")</f>
        <v>NO</v>
      </c>
      <c r="AP97" t="str">
        <f>IF(ISNUMBER(SEARCH("R", 'WetLitterbags placem_collection'!$V98)),"YES","NO")</f>
        <v>YES</v>
      </c>
    </row>
    <row r="98" spans="1:42" ht="15" customHeight="1">
      <c r="A98" t="s">
        <v>3248</v>
      </c>
      <c r="B98" s="248" t="s">
        <v>2454</v>
      </c>
      <c r="C98" s="253">
        <f>'Dry_Litterbag Placem_Collection'!A99</f>
        <v>97</v>
      </c>
      <c r="D98" s="253" t="str">
        <f>'Dry_Litterbag Placem_Collection'!B99</f>
        <v xml:space="preserve">Mwantimba
</v>
      </c>
      <c r="E98" s="253" t="s">
        <v>2454</v>
      </c>
      <c r="F98" s="253" t="s">
        <v>2644</v>
      </c>
      <c r="G98" s="253">
        <v>1</v>
      </c>
      <c r="H98" s="253" t="s">
        <v>3116</v>
      </c>
      <c r="I98" s="254" t="str">
        <f>'Dry_Litterbag Placem_Collection'!C99</f>
        <v>Wet_Ag1_T1</v>
      </c>
      <c r="J98" s="255" t="s">
        <v>2525</v>
      </c>
      <c r="K98" s="256" t="s">
        <v>1147</v>
      </c>
      <c r="L98" s="221" t="str">
        <f>'WetLitterbags placem_collection'!K99</f>
        <v>G741</v>
      </c>
      <c r="M98" s="223">
        <f>IFERROR(INDEX('Green_rooibos initial weight'!$C$5:$C$2000,MATCH(L98, 'Green_rooibos initial weight'!$A$5:$A$2000,0)),"")</f>
        <v>2.1019999999999999</v>
      </c>
      <c r="N98" s="223">
        <f>IFERROR(M98-(TBIcalc!$H$9+TBIcalc!$H$10),"")</f>
        <v>1.8521999999999998</v>
      </c>
      <c r="O98" s="378">
        <f>AVERAGE(Ashed_controlls!$K$2:$K$11)</f>
        <v>5.5147656768714146</v>
      </c>
      <c r="P98" s="223">
        <f t="shared" si="6"/>
        <v>1.7500555101329875</v>
      </c>
      <c r="Q98" s="223">
        <f>IFERROR(INDEX('Both teabags AfterWet'!$C$3:$C$840,MATCH(L98,'Both teabags AfterWet'!$A$3:$A$840,0)),"")</f>
        <v>0.60680000000000001</v>
      </c>
      <c r="R98" s="223">
        <f>IFERROR(IF(Q98&gt;0,Q98-(TBIcalc!$H$9),""),"")</f>
        <v>0.45619999999999999</v>
      </c>
      <c r="S98" s="223">
        <f>IFERROR(INDEX('Ashed teabags wet'!$K$2:$K$2000,MATCH(L98,'Ashed teabags wet'!$A$2:$A$2000,0)),"")</f>
        <v>20.517928286852939</v>
      </c>
      <c r="T98" s="223">
        <f t="shared" si="7"/>
        <v>0.36259721115537691</v>
      </c>
      <c r="U98" s="224">
        <f>'WetLitterbags placem_collection'!E99</f>
        <v>42762</v>
      </c>
      <c r="V98" s="224">
        <f>IF('WetLitterbags placem_collection'!G99="","",'WetLitterbags placem_collection'!G99)</f>
        <v>42816</v>
      </c>
      <c r="W98" s="225">
        <f t="shared" si="5"/>
        <v>54</v>
      </c>
      <c r="X98" s="223">
        <f t="shared" si="8"/>
        <v>1.3959999999999999</v>
      </c>
      <c r="Y98" s="223">
        <f t="shared" si="9"/>
        <v>1.3874582989776107</v>
      </c>
      <c r="Z98">
        <f>IFERROR(INDEX([1]Rainfall_Wet!$O$2:$O$217,MATCH(C98, [1]Rainfall_Wet!$A$2:$A$217,0)),"")</f>
        <v>206.85140822299999</v>
      </c>
      <c r="AA98" s="226">
        <v>45.96</v>
      </c>
      <c r="AB98" s="226">
        <v>14.920000000000003</v>
      </c>
      <c r="AC98" s="226">
        <v>39.119999999999997</v>
      </c>
      <c r="AD98" s="227" t="s">
        <v>2654</v>
      </c>
      <c r="AE98" s="226">
        <v>2.0374568753080333</v>
      </c>
      <c r="AF98">
        <f>IF('WetLitterbags placem_collection'!AB99="","",'WetLitterbags placem_collection'!AB99)</f>
        <v>2.4</v>
      </c>
      <c r="AG98">
        <f>IF('WetLitterbags placem_collection'!Z99="","",'WetLitterbags placem_collection'!Z99)</f>
        <v>8.9</v>
      </c>
      <c r="AH98" s="236" t="str">
        <f>IF('WetLitterbags placem_collection'!AA99="","",'WetLitterbags placem_collection'!AA99)</f>
        <v>G</v>
      </c>
      <c r="AI98">
        <f>IF('WetLitterbags placem_collection'!AC99="","",'WetLitterbags placem_collection'!AC99)</f>
        <v>1</v>
      </c>
      <c r="AJ98" s="233">
        <f>AVERAGE('WetLitterbags placem_collection'!S99,'WetLitterbags placem_collection'!U99)</f>
        <v>19.25</v>
      </c>
      <c r="AK98">
        <f>AVERAGE('WetLitterbags placem_collection'!R99,'WetLitterbags placem_collection'!T99)</f>
        <v>28.75</v>
      </c>
      <c r="AL98">
        <f>INDEX([2]Coordinates!$B$2:$B$197,MATCH(I98,[2]Coordinates!$J$2:$J$197,0))</f>
        <v>-2.3691620310000001</v>
      </c>
      <c r="AM98">
        <f>INDEX([2]Coordinates!$C$2:$C$197,MATCH(I98,[2]Coordinates!$J$2:$J$197,0))</f>
        <v>34.06028104</v>
      </c>
      <c r="AN98" t="str">
        <f>IF(ISNUMBER(SEARCH("C", 'WetLitterbags placem_collection'!$V99)),"YES","NO")</f>
        <v>NO</v>
      </c>
      <c r="AO98" t="str">
        <f>IF(ISNUMBER(SEARCH("H", 'WetLitterbags placem_collection'!$V99)),"YES","NO")</f>
        <v>NO</v>
      </c>
      <c r="AP98" t="str">
        <f>IF(ISNUMBER(SEARCH("R", 'WetLitterbags placem_collection'!$V99)),"YES","NO")</f>
        <v>NO</v>
      </c>
    </row>
    <row r="99" spans="1:42" ht="15" customHeight="1">
      <c r="A99" t="s">
        <v>3248</v>
      </c>
      <c r="B99" s="248" t="s">
        <v>2454</v>
      </c>
      <c r="C99" s="253">
        <f>'Dry_Litterbag Placem_Collection'!A100</f>
        <v>98</v>
      </c>
      <c r="D99" s="253" t="str">
        <f>'Dry_Litterbag Placem_Collection'!B100</f>
        <v xml:space="preserve">Mwantimba
</v>
      </c>
      <c r="E99" s="253" t="s">
        <v>2454</v>
      </c>
      <c r="F99" s="253" t="s">
        <v>2644</v>
      </c>
      <c r="G99" s="253">
        <v>1</v>
      </c>
      <c r="H99" s="253" t="s">
        <v>3116</v>
      </c>
      <c r="I99" s="254" t="str">
        <f>'Dry_Litterbag Placem_Collection'!C100</f>
        <v>Wet_Ag1_T2</v>
      </c>
      <c r="J99" s="255" t="s">
        <v>2525</v>
      </c>
      <c r="K99" s="256" t="s">
        <v>1147</v>
      </c>
      <c r="L99" s="221" t="str">
        <f>'WetLitterbags placem_collection'!K100</f>
        <v>G610</v>
      </c>
      <c r="M99" s="223">
        <f>IFERROR(INDEX('Green_rooibos initial weight'!$C$5:$C$2000,MATCH(L99, 'Green_rooibos initial weight'!$A$5:$A$2000,0)),"")</f>
        <v>2.0379999999999998</v>
      </c>
      <c r="N99" s="223">
        <f>IFERROR(M99-(TBIcalc!$H$9+TBIcalc!$H$10),"")</f>
        <v>1.7881999999999998</v>
      </c>
      <c r="O99" s="378">
        <f>AVERAGE(Ashed_controlls!$K$2:$K$11)</f>
        <v>5.5147656768714146</v>
      </c>
      <c r="P99" s="223">
        <f t="shared" si="6"/>
        <v>1.6895849601661852</v>
      </c>
      <c r="Q99" s="223">
        <f>IFERROR(INDEX('Both teabags AfterWet'!$C$3:$C$840,MATCH(L99,'Both teabags AfterWet'!$A$3:$A$840,0)),"")</f>
        <v>0.56599999999999995</v>
      </c>
      <c r="R99" s="223">
        <f>IFERROR(IF(Q99&gt;0,Q99-(TBIcalc!$H$9),""),"")</f>
        <v>0.41539999999999994</v>
      </c>
      <c r="S99" s="223">
        <f>IFERROR(INDEX('Ashed teabags wet'!$K$2:$K$2000,MATCH(L99,'Ashed teabags wet'!$A$2:$A$2000,0)),"")</f>
        <v>14.682539682539385</v>
      </c>
      <c r="T99" s="223">
        <f t="shared" si="7"/>
        <v>0.35440873015873131</v>
      </c>
      <c r="U99" s="224">
        <f>'WetLitterbags placem_collection'!E100</f>
        <v>42762</v>
      </c>
      <c r="V99" s="224">
        <f>IF('WetLitterbags placem_collection'!G100="","",'WetLitterbags placem_collection'!G100)</f>
        <v>42816</v>
      </c>
      <c r="W99" s="225">
        <f t="shared" si="5"/>
        <v>54</v>
      </c>
      <c r="X99" s="223">
        <f t="shared" si="8"/>
        <v>1.3727999999999998</v>
      </c>
      <c r="Y99" s="223">
        <f t="shared" si="9"/>
        <v>1.3351762300074539</v>
      </c>
      <c r="Z99">
        <f>IFERROR(INDEX([1]Rainfall_Wet!$O$2:$O$217,MATCH(C99, [1]Rainfall_Wet!$A$2:$A$217,0)),"")</f>
        <v>206.85140822299999</v>
      </c>
      <c r="AA99" s="226">
        <v>45.96</v>
      </c>
      <c r="AB99" s="226">
        <v>14.920000000000003</v>
      </c>
      <c r="AC99" s="226">
        <v>39.119999999999997</v>
      </c>
      <c r="AD99" s="227" t="s">
        <v>2654</v>
      </c>
      <c r="AE99" s="226">
        <v>3.0374568753080302</v>
      </c>
      <c r="AF99">
        <f>IF('WetLitterbags placem_collection'!AB100="","",'WetLitterbags placem_collection'!AB100)</f>
        <v>7.8</v>
      </c>
      <c r="AG99">
        <f>IF('WetLitterbags placem_collection'!Z100="","",'WetLitterbags placem_collection'!Z100)</f>
        <v>4.45</v>
      </c>
      <c r="AH99" s="236" t="str">
        <f>IF('WetLitterbags placem_collection'!AA100="","",'WetLitterbags placem_collection'!AA100)</f>
        <v>G</v>
      </c>
      <c r="AI99">
        <f>IF('WetLitterbags placem_collection'!AC100="","",'WetLitterbags placem_collection'!AC100)</f>
        <v>1</v>
      </c>
      <c r="AJ99" s="233">
        <f>AVERAGE('WetLitterbags placem_collection'!S100,'WetLitterbags placem_collection'!U100)</f>
        <v>22.25</v>
      </c>
      <c r="AK99">
        <f>AVERAGE('WetLitterbags placem_collection'!R100,'WetLitterbags placem_collection'!T100)</f>
        <v>29.85</v>
      </c>
      <c r="AL99">
        <f>INDEX([2]Coordinates!$B$2:$B$197,MATCH(I99,[2]Coordinates!$J$2:$J$197,0))</f>
        <v>-2.3692249790000002</v>
      </c>
      <c r="AM99">
        <f>INDEX([2]Coordinates!$C$2:$C$197,MATCH(I99,[2]Coordinates!$J$2:$J$197,0))</f>
        <v>34.060285989999997</v>
      </c>
      <c r="AN99" t="str">
        <f>IF(ISNUMBER(SEARCH("C", 'WetLitterbags placem_collection'!$V100)),"YES","NO")</f>
        <v>NO</v>
      </c>
      <c r="AO99" t="str">
        <f>IF(ISNUMBER(SEARCH("H", 'WetLitterbags placem_collection'!$V100)),"YES","NO")</f>
        <v>NO</v>
      </c>
      <c r="AP99" t="str">
        <f>IF(ISNUMBER(SEARCH("R", 'WetLitterbags placem_collection'!$V100)),"YES","NO")</f>
        <v>NO</v>
      </c>
    </row>
    <row r="100" spans="1:42" ht="15" customHeight="1">
      <c r="A100" t="s">
        <v>3248</v>
      </c>
      <c r="B100" s="248" t="s">
        <v>2454</v>
      </c>
      <c r="C100" s="253">
        <f>'Dry_Litterbag Placem_Collection'!A101</f>
        <v>99</v>
      </c>
      <c r="D100" s="253" t="str">
        <f>'Dry_Litterbag Placem_Collection'!B101</f>
        <v xml:space="preserve">Mwantimba
</v>
      </c>
      <c r="E100" s="253" t="s">
        <v>2454</v>
      </c>
      <c r="F100" s="253" t="s">
        <v>2644</v>
      </c>
      <c r="G100" s="253">
        <v>1</v>
      </c>
      <c r="H100" s="253" t="s">
        <v>3116</v>
      </c>
      <c r="I100" s="254" t="str">
        <f>'Dry_Litterbag Placem_Collection'!C101</f>
        <v>Wet_Ag1_T3</v>
      </c>
      <c r="J100" s="255" t="s">
        <v>2525</v>
      </c>
      <c r="K100" s="256" t="s">
        <v>1147</v>
      </c>
      <c r="L100" s="221" t="str">
        <f>'WetLitterbags placem_collection'!K101</f>
        <v>G765</v>
      </c>
      <c r="M100" s="223">
        <f>IFERROR(INDEX('Green_rooibos initial weight'!$C$5:$C$2000,MATCH(L100, 'Green_rooibos initial weight'!$A$5:$A$2000,0)),"")</f>
        <v>2.08</v>
      </c>
      <c r="N100" s="223">
        <f>IFERROR(M100-(TBIcalc!$H$9+TBIcalc!$H$10),"")</f>
        <v>1.8302</v>
      </c>
      <c r="O100" s="378">
        <f>AVERAGE(Ashed_controlls!$K$2:$K$11)</f>
        <v>5.5147656768714146</v>
      </c>
      <c r="P100" s="223">
        <f t="shared" si="6"/>
        <v>1.7292687585818993</v>
      </c>
      <c r="Q100" s="223">
        <f>IFERROR(INDEX('Both teabags AfterWet'!$C$3:$C$840,MATCH(L100,'Both teabags AfterWet'!$A$3:$A$840,0)),"")</f>
        <v>0.65149999999999997</v>
      </c>
      <c r="R100" s="223">
        <f>IFERROR(IF(Q100&gt;0,Q100-(TBIcalc!$H$9),""),"")</f>
        <v>0.5008999999999999</v>
      </c>
      <c r="S100" s="223">
        <f>IFERROR(INDEX('Ashed teabags wet'!$K$2:$K$2000,MATCH(L100,'Ashed teabags wet'!$A$2:$A$2000,0)),"")</f>
        <v>16.733295259852824</v>
      </c>
      <c r="T100" s="223">
        <f t="shared" si="7"/>
        <v>0.41708292404339714</v>
      </c>
      <c r="U100" s="224">
        <f>'WetLitterbags placem_collection'!E101</f>
        <v>42762</v>
      </c>
      <c r="V100" s="224">
        <f>IF('WetLitterbags placem_collection'!G101="","",'WetLitterbags placem_collection'!G101)</f>
        <v>42816</v>
      </c>
      <c r="W100" s="225">
        <f t="shared" si="5"/>
        <v>54</v>
      </c>
      <c r="X100" s="223">
        <f t="shared" si="8"/>
        <v>1.3293000000000001</v>
      </c>
      <c r="Y100" s="223">
        <f t="shared" si="9"/>
        <v>1.3121858345385022</v>
      </c>
      <c r="Z100">
        <f>IFERROR(INDEX([1]Rainfall_Wet!$O$2:$O$217,MATCH(C100, [1]Rainfall_Wet!$A$2:$A$217,0)),"")</f>
        <v>206.85140822299999</v>
      </c>
      <c r="AA100" s="226">
        <v>45.96</v>
      </c>
      <c r="AB100" s="226">
        <v>14.920000000000003</v>
      </c>
      <c r="AC100" s="226">
        <v>39.119999999999997</v>
      </c>
      <c r="AD100" s="227" t="s">
        <v>2654</v>
      </c>
      <c r="AE100" s="226">
        <v>4.0374568753080302</v>
      </c>
      <c r="AF100">
        <f>IF('WetLitterbags placem_collection'!AB101="","",'WetLitterbags placem_collection'!AB101)</f>
        <v>5.0999999999999996</v>
      </c>
      <c r="AG100">
        <f>IF('WetLitterbags placem_collection'!Z101="","",'WetLitterbags placem_collection'!Z101)</f>
        <v>2.2999999999999998</v>
      </c>
      <c r="AH100" s="236" t="str">
        <f>IF('WetLitterbags placem_collection'!AA101="","",'WetLitterbags placem_collection'!AA101)</f>
        <v>G</v>
      </c>
      <c r="AI100">
        <f>IF('WetLitterbags placem_collection'!AC101="","",'WetLitterbags placem_collection'!AC101)</f>
        <v>0</v>
      </c>
      <c r="AJ100" s="233">
        <f>AVERAGE('WetLitterbags placem_collection'!S101,'WetLitterbags placem_collection'!U101)</f>
        <v>17.95</v>
      </c>
      <c r="AK100">
        <f>AVERAGE('WetLitterbags placem_collection'!R101,'WetLitterbags placem_collection'!T101)</f>
        <v>30.85</v>
      </c>
      <c r="AL100">
        <f>INDEX([2]Coordinates!$B$2:$B$197,MATCH(I100,[2]Coordinates!$J$2:$J$197,0))</f>
        <v>-2.369284993</v>
      </c>
      <c r="AM100">
        <f>INDEX([2]Coordinates!$C$2:$C$197,MATCH(I100,[2]Coordinates!$J$2:$J$197,0))</f>
        <v>34.06028104</v>
      </c>
      <c r="AN100" t="str">
        <f>IF(ISNUMBER(SEARCH("C", 'WetLitterbags placem_collection'!$V101)),"YES","NO")</f>
        <v>NO</v>
      </c>
      <c r="AO100" t="str">
        <f>IF(ISNUMBER(SEARCH("H", 'WetLitterbags placem_collection'!$V101)),"YES","NO")</f>
        <v>NO</v>
      </c>
      <c r="AP100" t="str">
        <f>IF(ISNUMBER(SEARCH("R", 'WetLitterbags placem_collection'!$V101)),"YES","NO")</f>
        <v>YES</v>
      </c>
    </row>
    <row r="101" spans="1:42" ht="15" customHeight="1">
      <c r="A101" t="s">
        <v>3248</v>
      </c>
      <c r="B101" s="248" t="s">
        <v>2454</v>
      </c>
      <c r="C101" s="253">
        <f>'Dry_Litterbag Placem_Collection'!A102</f>
        <v>100</v>
      </c>
      <c r="D101" s="253" t="str">
        <f>'Dry_Litterbag Placem_Collection'!B102</f>
        <v xml:space="preserve">Mwantimba
</v>
      </c>
      <c r="E101" s="253" t="s">
        <v>2454</v>
      </c>
      <c r="F101" s="253" t="s">
        <v>2644</v>
      </c>
      <c r="G101" s="253">
        <v>1</v>
      </c>
      <c r="H101" s="253" t="s">
        <v>3116</v>
      </c>
      <c r="I101" s="254" t="str">
        <f>'Dry_Litterbag Placem_Collection'!C102</f>
        <v>Wet_Ag1_T4</v>
      </c>
      <c r="J101" s="255" t="s">
        <v>2525</v>
      </c>
      <c r="K101" s="256" t="s">
        <v>1147</v>
      </c>
      <c r="L101" s="221" t="str">
        <f>'WetLitterbags placem_collection'!K102</f>
        <v>G728</v>
      </c>
      <c r="M101" s="223">
        <f>IFERROR(INDEX('Green_rooibos initial weight'!$C$5:$C$2000,MATCH(L101, 'Green_rooibos initial weight'!$A$5:$A$2000,0)),"")</f>
        <v>1.962</v>
      </c>
      <c r="N101" s="223">
        <f>IFERROR(M101-(TBIcalc!$H$9+TBIcalc!$H$10),"")</f>
        <v>1.7121999999999999</v>
      </c>
      <c r="O101" s="378">
        <f>AVERAGE(Ashed_controlls!$K$2:$K$11)</f>
        <v>5.5147656768714146</v>
      </c>
      <c r="P101" s="223">
        <f t="shared" si="6"/>
        <v>1.6177761820806076</v>
      </c>
      <c r="Q101" s="223">
        <f>IFERROR(INDEX('Both teabags AfterWet'!$C$3:$C$840,MATCH(L101,'Both teabags AfterWet'!$A$3:$A$840,0)),"")</f>
        <v>0.59699999999999998</v>
      </c>
      <c r="R101" s="223">
        <f>IFERROR(IF(Q101&gt;0,Q101-(TBIcalc!$H$9),""),"")</f>
        <v>0.44639999999999996</v>
      </c>
      <c r="S101" s="223">
        <f>IFERROR(INDEX('Ashed teabags wet'!$K$2:$K$2000,MATCH(L101,'Ashed teabags wet'!$A$2:$A$2000,0)),"")</f>
        <v>12.794117647059169</v>
      </c>
      <c r="T101" s="223">
        <f t="shared" si="7"/>
        <v>0.38928705882352782</v>
      </c>
      <c r="U101" s="224">
        <f>'WetLitterbags placem_collection'!E102</f>
        <v>42762</v>
      </c>
      <c r="V101" s="224">
        <f>IF('WetLitterbags placem_collection'!G102="","",'WetLitterbags placem_collection'!G102)</f>
        <v>42816</v>
      </c>
      <c r="W101" s="225">
        <f t="shared" si="5"/>
        <v>54</v>
      </c>
      <c r="X101" s="223">
        <f t="shared" si="8"/>
        <v>1.2658</v>
      </c>
      <c r="Y101" s="223">
        <f t="shared" si="9"/>
        <v>1.2284891232570798</v>
      </c>
      <c r="Z101">
        <f>IFERROR(INDEX([1]Rainfall_Wet!$O$2:$O$217,MATCH(C101, [1]Rainfall_Wet!$A$2:$A$217,0)),"")</f>
        <v>206.85140822299999</v>
      </c>
      <c r="AA101" s="226">
        <v>45.96</v>
      </c>
      <c r="AB101" s="226">
        <v>14.920000000000003</v>
      </c>
      <c r="AC101" s="226">
        <v>39.119999999999997</v>
      </c>
      <c r="AD101" s="227" t="s">
        <v>2654</v>
      </c>
      <c r="AE101" s="226">
        <v>5.0374568753080302</v>
      </c>
      <c r="AF101">
        <f>IF('WetLitterbags placem_collection'!AB102="","",'WetLitterbags placem_collection'!AB102)</f>
        <v>1.6</v>
      </c>
      <c r="AG101">
        <f>IF('WetLitterbags placem_collection'!Z102="","",'WetLitterbags placem_collection'!Z102)</f>
        <v>15</v>
      </c>
      <c r="AH101" s="236" t="str">
        <f>IF('WetLitterbags placem_collection'!AA102="","",'WetLitterbags placem_collection'!AA102)</f>
        <v>G</v>
      </c>
      <c r="AI101">
        <f>IF('WetLitterbags placem_collection'!AC102="","",'WetLitterbags placem_collection'!AC102)</f>
        <v>1</v>
      </c>
      <c r="AJ101" s="233">
        <f>AVERAGE('WetLitterbags placem_collection'!S102,'WetLitterbags placem_collection'!U102)</f>
        <v>16.5</v>
      </c>
      <c r="AK101">
        <f>AVERAGE('WetLitterbags placem_collection'!R102,'WetLitterbags placem_collection'!T102)</f>
        <v>29.85</v>
      </c>
      <c r="AL101">
        <f>INDEX([2]Coordinates!$B$2:$B$197,MATCH(I101,[2]Coordinates!$J$2:$J$197,0))</f>
        <v>-2.3691989950000001</v>
      </c>
      <c r="AM101">
        <f>INDEX([2]Coordinates!$C$2:$C$197,MATCH(I101,[2]Coordinates!$J$2:$J$197,0))</f>
        <v>34.060208029999998</v>
      </c>
      <c r="AN101" t="str">
        <f>IF(ISNUMBER(SEARCH("C", 'WetLitterbags placem_collection'!$V102)),"YES","NO")</f>
        <v>YES</v>
      </c>
      <c r="AO101" t="str">
        <f>IF(ISNUMBER(SEARCH("H", 'WetLitterbags placem_collection'!$V102)),"YES","NO")</f>
        <v>NO</v>
      </c>
      <c r="AP101" t="str">
        <f>IF(ISNUMBER(SEARCH("R", 'WetLitterbags placem_collection'!$V102)),"YES","NO")</f>
        <v>NO</v>
      </c>
    </row>
    <row r="102" spans="1:42" ht="15" customHeight="1">
      <c r="A102" t="s">
        <v>3248</v>
      </c>
      <c r="B102" s="248" t="s">
        <v>2454</v>
      </c>
      <c r="C102" s="253">
        <f>'Dry_Litterbag Placem_Collection'!A103</f>
        <v>101</v>
      </c>
      <c r="D102" s="253" t="str">
        <f>'Dry_Litterbag Placem_Collection'!B103</f>
        <v xml:space="preserve">Mwantimba
</v>
      </c>
      <c r="E102" s="253" t="s">
        <v>2454</v>
      </c>
      <c r="F102" s="253" t="s">
        <v>2644</v>
      </c>
      <c r="G102" s="253">
        <v>1</v>
      </c>
      <c r="H102" s="253" t="s">
        <v>3116</v>
      </c>
      <c r="I102" s="254" t="str">
        <f>'Dry_Litterbag Placem_Collection'!C103</f>
        <v>Wet_Ag1_T5</v>
      </c>
      <c r="J102" s="255" t="s">
        <v>2525</v>
      </c>
      <c r="K102" s="256" t="s">
        <v>1147</v>
      </c>
      <c r="L102" s="221" t="str">
        <f>'WetLitterbags placem_collection'!K103</f>
        <v>G808</v>
      </c>
      <c r="M102" s="223">
        <f>IFERROR(INDEX('Green_rooibos initial weight'!$C$5:$C$2000,MATCH(L102, 'Green_rooibos initial weight'!$A$5:$A$2000,0)),"")</f>
        <v>1.86</v>
      </c>
      <c r="N102" s="223">
        <f>IFERROR(M102-(TBIcalc!$H$9+TBIcalc!$H$10),"")</f>
        <v>1.6102000000000001</v>
      </c>
      <c r="O102" s="378">
        <f>AVERAGE(Ashed_controlls!$K$2:$K$11)</f>
        <v>5.5147656768714146</v>
      </c>
      <c r="P102" s="223">
        <f t="shared" si="6"/>
        <v>1.5214012430710167</v>
      </c>
      <c r="Q102" s="223">
        <f>IFERROR(INDEX('Both teabags AfterWet'!$C$3:$C$840,MATCH(L102,'Both teabags AfterWet'!$A$3:$A$840,0)),"")</f>
        <v>0.54810000000000003</v>
      </c>
      <c r="R102" s="223">
        <f>IFERROR(IF(Q102&gt;0,Q102-(TBIcalc!$H$9),""),"")</f>
        <v>0.39750000000000002</v>
      </c>
      <c r="S102" s="223">
        <f>IFERROR(INDEX('Ashed teabags wet'!$K$2:$K$2000,MATCH(L102,'Ashed teabags wet'!$A$2:$A$2000,0)),"")</f>
        <v>16.81547619047533</v>
      </c>
      <c r="T102" s="223">
        <f t="shared" si="7"/>
        <v>0.33065848214286059</v>
      </c>
      <c r="U102" s="224">
        <f>'WetLitterbags placem_collection'!E103</f>
        <v>42762</v>
      </c>
      <c r="V102" s="224">
        <f>IF('WetLitterbags placem_collection'!G103="","",'WetLitterbags placem_collection'!G103)</f>
        <v>42816</v>
      </c>
      <c r="W102" s="225">
        <f t="shared" si="5"/>
        <v>54</v>
      </c>
      <c r="X102" s="223">
        <f t="shared" si="8"/>
        <v>1.2127000000000001</v>
      </c>
      <c r="Y102" s="223">
        <f t="shared" si="9"/>
        <v>1.190742760928156</v>
      </c>
      <c r="Z102">
        <f>IFERROR(INDEX([1]Rainfall_Wet!$O$2:$O$217,MATCH(C102, [1]Rainfall_Wet!$A$2:$A$217,0)),"")</f>
        <v>206.85140822299999</v>
      </c>
      <c r="AA102" s="226">
        <v>45.96</v>
      </c>
      <c r="AB102" s="226">
        <v>14.920000000000003</v>
      </c>
      <c r="AC102" s="226">
        <v>39.119999999999997</v>
      </c>
      <c r="AD102" s="227" t="s">
        <v>2654</v>
      </c>
      <c r="AE102" s="226">
        <v>6.0374568753080302</v>
      </c>
      <c r="AF102">
        <f>IF('WetLitterbags placem_collection'!AB103="","",'WetLitterbags placem_collection'!AB103)</f>
        <v>4.3499999999999996</v>
      </c>
      <c r="AG102">
        <f>IF('WetLitterbags placem_collection'!Z103="","",'WetLitterbags placem_collection'!Z103)</f>
        <v>17</v>
      </c>
      <c r="AH102" s="236" t="str">
        <f>IF('WetLitterbags placem_collection'!AA103="","",'WetLitterbags placem_collection'!AA103)</f>
        <v>G</v>
      </c>
      <c r="AI102">
        <f>IF('WetLitterbags placem_collection'!AC103="","",'WetLitterbags placem_collection'!AC103)</f>
        <v>1</v>
      </c>
      <c r="AJ102" s="233">
        <f>AVERAGE('WetLitterbags placem_collection'!S103,'WetLitterbags placem_collection'!U103)</f>
        <v>22.549999999999997</v>
      </c>
      <c r="AK102">
        <f>AVERAGE('WetLitterbags placem_collection'!R103,'WetLitterbags placem_collection'!T103)</f>
        <v>31.150000000000002</v>
      </c>
      <c r="AL102">
        <f>INDEX([2]Coordinates!$B$2:$B$197,MATCH(I102,[2]Coordinates!$J$2:$J$197,0))</f>
        <v>-2.3691900260000001</v>
      </c>
      <c r="AM102">
        <f>INDEX([2]Coordinates!$C$2:$C$197,MATCH(I102,[2]Coordinates!$J$2:$J$197,0))</f>
        <v>34.060177019999998</v>
      </c>
      <c r="AN102" t="str">
        <f>IF(ISNUMBER(SEARCH("C", 'WetLitterbags placem_collection'!$V103)),"YES","NO")</f>
        <v>NO</v>
      </c>
      <c r="AO102" t="str">
        <f>IF(ISNUMBER(SEARCH("H", 'WetLitterbags placem_collection'!$V103)),"YES","NO")</f>
        <v>YES</v>
      </c>
      <c r="AP102" t="str">
        <f>IF(ISNUMBER(SEARCH("R", 'WetLitterbags placem_collection'!$V103)),"YES","NO")</f>
        <v>NO</v>
      </c>
    </row>
    <row r="103" spans="1:42" ht="15" customHeight="1">
      <c r="A103" t="s">
        <v>3248</v>
      </c>
      <c r="B103" s="248" t="s">
        <v>2454</v>
      </c>
      <c r="C103" s="253">
        <f>'Dry_Litterbag Placem_Collection'!A104</f>
        <v>102</v>
      </c>
      <c r="D103" s="253" t="str">
        <f>'Dry_Litterbag Placem_Collection'!B104</f>
        <v xml:space="preserve">Mwantimba
</v>
      </c>
      <c r="E103" s="253" t="s">
        <v>2454</v>
      </c>
      <c r="F103" s="253" t="s">
        <v>2644</v>
      </c>
      <c r="G103" s="253">
        <v>1</v>
      </c>
      <c r="H103" s="253" t="s">
        <v>3116</v>
      </c>
      <c r="I103" s="254" t="str">
        <f>'Dry_Litterbag Placem_Collection'!C104</f>
        <v>Wet_Ag1_T6</v>
      </c>
      <c r="J103" s="255" t="s">
        <v>2525</v>
      </c>
      <c r="K103" s="256" t="s">
        <v>1147</v>
      </c>
      <c r="L103" s="221" t="str">
        <f>'WetLitterbags placem_collection'!K104</f>
        <v>G892</v>
      </c>
      <c r="M103" s="223">
        <f>IFERROR(INDEX('Green_rooibos initial weight'!$C$5:$C$2000,MATCH(L103, 'Green_rooibos initial weight'!$A$5:$A$2000,0)),"")</f>
        <v>1.9510000000000001</v>
      </c>
      <c r="N103" s="223">
        <f>IFERROR(M103-(TBIcalc!$H$9+TBIcalc!$H$10),"")</f>
        <v>1.7012</v>
      </c>
      <c r="O103" s="378">
        <f>AVERAGE(Ashed_controlls!$K$2:$K$11)</f>
        <v>5.5147656768714146</v>
      </c>
      <c r="P103" s="223">
        <f t="shared" si="6"/>
        <v>1.6073828063050635</v>
      </c>
      <c r="Q103" s="223">
        <f>IFERROR(INDEX('Both teabags AfterWet'!$C$3:$C$840,MATCH(L103,'Both teabags AfterWet'!$A$3:$A$840,0)),"")</f>
        <v>0.63100000000000001</v>
      </c>
      <c r="R103" s="223">
        <f>IFERROR(IF(Q103&gt;0,Q103-(TBIcalc!$H$9),""),"")</f>
        <v>0.48039999999999999</v>
      </c>
      <c r="S103" s="223">
        <f>IFERROR(INDEX('Ashed teabags wet'!$K$2:$K$2000,MATCH(L103,'Ashed teabags wet'!$A$2:$A$2000,0)),"")</f>
        <v>12.703905091448961</v>
      </c>
      <c r="T103" s="223">
        <f t="shared" si="7"/>
        <v>0.41937043994067918</v>
      </c>
      <c r="U103" s="224">
        <f>'WetLitterbags placem_collection'!E104</f>
        <v>42762</v>
      </c>
      <c r="V103" s="224">
        <f>IF('WetLitterbags placem_collection'!G104="","",'WetLitterbags placem_collection'!G104)</f>
        <v>42816</v>
      </c>
      <c r="W103" s="225">
        <f t="shared" si="5"/>
        <v>54</v>
      </c>
      <c r="X103" s="223">
        <f t="shared" si="8"/>
        <v>1.2208000000000001</v>
      </c>
      <c r="Y103" s="223">
        <f t="shared" si="9"/>
        <v>1.1880123663643842</v>
      </c>
      <c r="Z103">
        <f>IFERROR(INDEX([1]Rainfall_Wet!$O$2:$O$217,MATCH(C103, [1]Rainfall_Wet!$A$2:$A$217,0)),"")</f>
        <v>206.85140822299999</v>
      </c>
      <c r="AA103" s="226">
        <v>45.96</v>
      </c>
      <c r="AB103" s="226">
        <v>14.920000000000003</v>
      </c>
      <c r="AC103" s="226">
        <v>39.119999999999997</v>
      </c>
      <c r="AD103" s="227" t="s">
        <v>2654</v>
      </c>
      <c r="AE103" s="226">
        <v>7.0374568753080302</v>
      </c>
      <c r="AF103">
        <f>IF('WetLitterbags placem_collection'!AB104="","",'WetLitterbags placem_collection'!AB104)</f>
        <v>7.7</v>
      </c>
      <c r="AG103">
        <f>IF('WetLitterbags placem_collection'!Z104="","",'WetLitterbags placem_collection'!Z104)</f>
        <v>21</v>
      </c>
      <c r="AH103" s="236" t="str">
        <f>IF('WetLitterbags placem_collection'!AA104="","",'WetLitterbags placem_collection'!AA104)</f>
        <v>G</v>
      </c>
      <c r="AI103">
        <f>IF('WetLitterbags placem_collection'!AC104="","",'WetLitterbags placem_collection'!AC104)</f>
        <v>1</v>
      </c>
      <c r="AJ103" s="233">
        <f>AVERAGE('WetLitterbags placem_collection'!S104,'WetLitterbags placem_collection'!U104)</f>
        <v>21.099999999999998</v>
      </c>
      <c r="AK103">
        <f>AVERAGE('WetLitterbags placem_collection'!R104,'WetLitterbags placem_collection'!T104)</f>
        <v>31.8</v>
      </c>
      <c r="AL103">
        <f>INDEX([2]Coordinates!$B$2:$B$197,MATCH(I103,[2]Coordinates!$J$2:$J$197,0))</f>
        <v>-2.3691350409999998</v>
      </c>
      <c r="AM103">
        <f>INDEX([2]Coordinates!$C$2:$C$197,MATCH(I103,[2]Coordinates!$J$2:$J$197,0))</f>
        <v>34.06018297</v>
      </c>
      <c r="AN103" t="str">
        <f>IF(ISNUMBER(SEARCH("C", 'WetLitterbags placem_collection'!$V104)),"YES","NO")</f>
        <v>NO</v>
      </c>
      <c r="AO103" t="str">
        <f>IF(ISNUMBER(SEARCH("H", 'WetLitterbags placem_collection'!$V104)),"YES","NO")</f>
        <v>NO</v>
      </c>
      <c r="AP103" t="str">
        <f>IF(ISNUMBER(SEARCH("R", 'WetLitterbags placem_collection'!$V104)),"YES","NO")</f>
        <v>NO</v>
      </c>
    </row>
    <row r="104" spans="1:42" ht="15" customHeight="1">
      <c r="A104" t="s">
        <v>3248</v>
      </c>
      <c r="B104" s="248" t="s">
        <v>2454</v>
      </c>
      <c r="C104" s="253">
        <f>'Dry_Litterbag Placem_Collection'!A105</f>
        <v>103</v>
      </c>
      <c r="D104" s="253" t="str">
        <f>'Dry_Litterbag Placem_Collection'!B105</f>
        <v xml:space="preserve">Mwantimba
</v>
      </c>
      <c r="E104" s="253" t="s">
        <v>2454</v>
      </c>
      <c r="F104" s="253" t="s">
        <v>2644</v>
      </c>
      <c r="G104" s="253">
        <v>1</v>
      </c>
      <c r="H104" s="253" t="s">
        <v>3116</v>
      </c>
      <c r="I104" s="254" t="str">
        <f>'Dry_Litterbag Placem_Collection'!C105</f>
        <v>Wet_Ag1_T7</v>
      </c>
      <c r="J104" s="255" t="s">
        <v>2525</v>
      </c>
      <c r="K104" s="256" t="s">
        <v>1147</v>
      </c>
      <c r="L104" s="221" t="str">
        <f>'WetLitterbags placem_collection'!K105</f>
        <v>G869</v>
      </c>
      <c r="M104" s="223">
        <f>IFERROR(INDEX('Green_rooibos initial weight'!$C$5:$C$2000,MATCH(L104, 'Green_rooibos initial weight'!$A$5:$A$2000,0)),"")</f>
        <v>2.0489999999999999</v>
      </c>
      <c r="N104" s="223">
        <f>IFERROR(M104-(TBIcalc!$H$9+TBIcalc!$H$10),"")</f>
        <v>1.7991999999999999</v>
      </c>
      <c r="O104" s="378">
        <f>AVERAGE(Ashed_controlls!$K$2:$K$11)</f>
        <v>5.5147656768714146</v>
      </c>
      <c r="P104" s="223">
        <f t="shared" si="6"/>
        <v>1.6999783359417293</v>
      </c>
      <c r="Q104" s="223">
        <f>IFERROR(INDEX('Both teabags AfterWet'!$C$3:$C$840,MATCH(L104,'Both teabags AfterWet'!$A$3:$A$840,0)),"")</f>
        <v>0.55800000000000005</v>
      </c>
      <c r="R104" s="223">
        <f>IFERROR(IF(Q104&gt;0,Q104-(TBIcalc!$H$9),""),"")</f>
        <v>0.40740000000000004</v>
      </c>
      <c r="S104" s="223">
        <f>IFERROR(INDEX('Ashed teabags wet'!$K$2:$K$2000,MATCH(L104,'Ashed teabags wet'!$A$2:$A$2000,0)),"")</f>
        <v>13.925925925925654</v>
      </c>
      <c r="T104" s="223">
        <f t="shared" si="7"/>
        <v>0.35066577777777891</v>
      </c>
      <c r="U104" s="224">
        <f>'WetLitterbags placem_collection'!E105</f>
        <v>42762</v>
      </c>
      <c r="V104" s="224">
        <f>IF('WetLitterbags placem_collection'!G105="","",'WetLitterbags placem_collection'!G105)</f>
        <v>42816</v>
      </c>
      <c r="W104" s="225">
        <f t="shared" si="5"/>
        <v>54</v>
      </c>
      <c r="X104" s="223">
        <f t="shared" si="8"/>
        <v>1.3917999999999999</v>
      </c>
      <c r="Y104" s="223">
        <f t="shared" si="9"/>
        <v>1.3493125581639505</v>
      </c>
      <c r="Z104">
        <f>IFERROR(INDEX([1]Rainfall_Wet!$O$2:$O$217,MATCH(C104, [1]Rainfall_Wet!$A$2:$A$217,0)),"")</f>
        <v>206.85140822299999</v>
      </c>
      <c r="AA104" s="226">
        <v>45.96</v>
      </c>
      <c r="AB104" s="226">
        <v>14.920000000000003</v>
      </c>
      <c r="AC104" s="226">
        <v>39.119999999999997</v>
      </c>
      <c r="AD104" s="227" t="s">
        <v>2654</v>
      </c>
      <c r="AE104" s="226">
        <v>8.0374568753080293</v>
      </c>
      <c r="AF104">
        <f>IF('WetLitterbags placem_collection'!AB105="","",'WetLitterbags placem_collection'!AB105)</f>
        <v>3.25</v>
      </c>
      <c r="AG104">
        <f>IF('WetLitterbags placem_collection'!Z105="","",'WetLitterbags placem_collection'!Z105)</f>
        <v>16</v>
      </c>
      <c r="AH104" s="236" t="str">
        <f>IF('WetLitterbags placem_collection'!AA105="","",'WetLitterbags placem_collection'!AA105)</f>
        <v>G</v>
      </c>
      <c r="AI104">
        <f>IF('WetLitterbags placem_collection'!AC105="","",'WetLitterbags placem_collection'!AC105)</f>
        <v>1</v>
      </c>
      <c r="AJ104" s="233">
        <f>AVERAGE('WetLitterbags placem_collection'!S105,'WetLitterbags placem_collection'!U105)</f>
        <v>20.450000000000003</v>
      </c>
      <c r="AK104">
        <f>AVERAGE('WetLitterbags placem_collection'!R105,'WetLitterbags placem_collection'!T105)</f>
        <v>30.25</v>
      </c>
      <c r="AL104">
        <f>INDEX([2]Coordinates!$B$2:$B$197,MATCH(I104,[2]Coordinates!$J$2:$J$197,0))</f>
        <v>-2.3691330289999999</v>
      </c>
      <c r="AM104">
        <f>INDEX([2]Coordinates!$C$2:$C$197,MATCH(I104,[2]Coordinates!$J$2:$J$197,0))</f>
        <v>34.060233009999997</v>
      </c>
      <c r="AN104" t="str">
        <f>IF(ISNUMBER(SEARCH("C", 'WetLitterbags placem_collection'!$V105)),"YES","NO")</f>
        <v>NO</v>
      </c>
      <c r="AO104" t="str">
        <f>IF(ISNUMBER(SEARCH("H", 'WetLitterbags placem_collection'!$V105)),"YES","NO")</f>
        <v>NO</v>
      </c>
      <c r="AP104" t="str">
        <f>IF(ISNUMBER(SEARCH("R", 'WetLitterbags placem_collection'!$V105)),"YES","NO")</f>
        <v>NO</v>
      </c>
    </row>
    <row r="105" spans="1:42" ht="15" customHeight="1">
      <c r="A105" t="s">
        <v>3248</v>
      </c>
      <c r="B105" s="248" t="s">
        <v>2454</v>
      </c>
      <c r="C105" s="253">
        <f>'Dry_Litterbag Placem_Collection'!A106</f>
        <v>104</v>
      </c>
      <c r="D105" s="253" t="str">
        <f>'Dry_Litterbag Placem_Collection'!B106</f>
        <v xml:space="preserve">Mwantimba
</v>
      </c>
      <c r="E105" s="253" t="s">
        <v>2454</v>
      </c>
      <c r="F105" s="253" t="s">
        <v>2644</v>
      </c>
      <c r="G105" s="253">
        <v>1</v>
      </c>
      <c r="H105" s="253" t="s">
        <v>3116</v>
      </c>
      <c r="I105" s="254" t="str">
        <f>'Dry_Litterbag Placem_Collection'!C106</f>
        <v>Wet_Ag1_T8</v>
      </c>
      <c r="J105" s="255" t="s">
        <v>2525</v>
      </c>
      <c r="K105" s="256" t="s">
        <v>1147</v>
      </c>
      <c r="L105" s="221" t="str">
        <f>'WetLitterbags placem_collection'!K106</f>
        <v>G881</v>
      </c>
      <c r="M105" s="223">
        <f>IFERROR(INDEX('Green_rooibos initial weight'!$C$5:$C$2000,MATCH(L105, 'Green_rooibos initial weight'!$A$5:$A$2000,0)),"")</f>
        <v>1.9570000000000001</v>
      </c>
      <c r="N105" s="223">
        <f>IFERROR(M105-(TBIcalc!$H$9+TBIcalc!$H$10),"")</f>
        <v>1.7072000000000001</v>
      </c>
      <c r="O105" s="378">
        <f>AVERAGE(Ashed_controlls!$K$2:$K$11)</f>
        <v>5.5147656768714146</v>
      </c>
      <c r="P105" s="223">
        <f t="shared" si="6"/>
        <v>1.6130519203644513</v>
      </c>
      <c r="Q105" s="223">
        <f>IFERROR(INDEX('Both teabags AfterWet'!$C$3:$C$840,MATCH(L105,'Both teabags AfterWet'!$A$3:$A$840,0)),"")</f>
        <v>0.61</v>
      </c>
      <c r="R105" s="223">
        <f>IFERROR(IF(Q105&gt;0,Q105-(TBIcalc!$H$9),""),"")</f>
        <v>0.45939999999999998</v>
      </c>
      <c r="S105" s="223">
        <f>IFERROR(INDEX('Ashed teabags wet'!$K$2:$K$2000,MATCH(L105,'Ashed teabags wet'!$A$2:$A$2000,0)),"")</f>
        <v>13.465250965250315</v>
      </c>
      <c r="T105" s="223">
        <f t="shared" si="7"/>
        <v>0.39754063706564002</v>
      </c>
      <c r="U105" s="224">
        <f>'WetLitterbags placem_collection'!E106</f>
        <v>42762</v>
      </c>
      <c r="V105" s="224">
        <f>IF('WetLitterbags placem_collection'!G106="","",'WetLitterbags placem_collection'!G106)</f>
        <v>42816</v>
      </c>
      <c r="W105" s="225">
        <f t="shared" si="5"/>
        <v>54</v>
      </c>
      <c r="X105" s="223">
        <f t="shared" si="8"/>
        <v>1.2478</v>
      </c>
      <c r="Y105" s="223">
        <f t="shared" si="9"/>
        <v>1.2155112832988113</v>
      </c>
      <c r="Z105">
        <f>IFERROR(INDEX([1]Rainfall_Wet!$O$2:$O$217,MATCH(C105, [1]Rainfall_Wet!$A$2:$A$217,0)),"")</f>
        <v>206.85140822299999</v>
      </c>
      <c r="AA105" s="226">
        <v>45.96</v>
      </c>
      <c r="AB105" s="226">
        <v>14.920000000000003</v>
      </c>
      <c r="AC105" s="226">
        <v>39.119999999999997</v>
      </c>
      <c r="AD105" s="227" t="s">
        <v>2654</v>
      </c>
      <c r="AE105" s="226">
        <v>9.0374568753080293</v>
      </c>
      <c r="AF105">
        <f>IF('WetLitterbags placem_collection'!AB106="","",'WetLitterbags placem_collection'!AB106)</f>
        <v>10.5</v>
      </c>
      <c r="AG105">
        <f>IF('WetLitterbags placem_collection'!Z106="","",'WetLitterbags placem_collection'!Z106)</f>
        <v>17</v>
      </c>
      <c r="AH105" s="236" t="str">
        <f>IF('WetLitterbags placem_collection'!AA106="","",'WetLitterbags placem_collection'!AA106)</f>
        <v>G</v>
      </c>
      <c r="AI105">
        <f>IF('WetLitterbags placem_collection'!AC106="","",'WetLitterbags placem_collection'!AC106)</f>
        <v>1</v>
      </c>
      <c r="AJ105" s="233">
        <f>AVERAGE('WetLitterbags placem_collection'!S106,'WetLitterbags placem_collection'!U106)</f>
        <v>21.6</v>
      </c>
      <c r="AK105">
        <f>AVERAGE('WetLitterbags placem_collection'!R106,'WetLitterbags placem_collection'!T106)</f>
        <v>29.3</v>
      </c>
      <c r="AL105">
        <f>INDEX([2]Coordinates!$B$2:$B$197,MATCH(I105,[2]Coordinates!$J$2:$J$197,0))</f>
        <v>-2.3692910280000001</v>
      </c>
      <c r="AM105">
        <f>INDEX([2]Coordinates!$C$2:$C$197,MATCH(I105,[2]Coordinates!$J$2:$J$197,0))</f>
        <v>34.06016202</v>
      </c>
      <c r="AN105" t="str">
        <f>IF(ISNUMBER(SEARCH("C", 'WetLitterbags placem_collection'!$V106)),"YES","NO")</f>
        <v>NO</v>
      </c>
      <c r="AO105" t="str">
        <f>IF(ISNUMBER(SEARCH("H", 'WetLitterbags placem_collection'!$V106)),"YES","NO")</f>
        <v>NO</v>
      </c>
      <c r="AP105" t="str">
        <f>IF(ISNUMBER(SEARCH("R", 'WetLitterbags placem_collection'!$V106)),"YES","NO")</f>
        <v>NO</v>
      </c>
    </row>
    <row r="106" spans="1:42" ht="15" customHeight="1">
      <c r="A106" t="s">
        <v>3248</v>
      </c>
      <c r="B106" s="248" t="s">
        <v>2454</v>
      </c>
      <c r="C106" s="253">
        <f>'Dry_Litterbag Placem_Collection'!A107</f>
        <v>105</v>
      </c>
      <c r="D106" s="253" t="str">
        <f>'Dry_Litterbag Placem_Collection'!B107</f>
        <v xml:space="preserve">Mwantimba
</v>
      </c>
      <c r="E106" s="253" t="s">
        <v>2454</v>
      </c>
      <c r="F106" s="253" t="s">
        <v>2644</v>
      </c>
      <c r="G106" s="253">
        <v>2</v>
      </c>
      <c r="H106" s="253" t="s">
        <v>3118</v>
      </c>
      <c r="I106" s="254" t="str">
        <f>'Dry_Litterbag Placem_Collection'!C107</f>
        <v>Wet_Ag2_T1</v>
      </c>
      <c r="J106" s="255" t="s">
        <v>2525</v>
      </c>
      <c r="K106" s="256" t="s">
        <v>1147</v>
      </c>
      <c r="L106" s="221" t="str">
        <f>'WetLitterbags placem_collection'!K107</f>
        <v>G729</v>
      </c>
      <c r="M106" s="223">
        <f>IFERROR(INDEX('Green_rooibos initial weight'!$C$5:$C$2000,MATCH(L106, 'Green_rooibos initial weight'!$A$5:$A$2000,0)),"")</f>
        <v>1.984</v>
      </c>
      <c r="N106" s="223">
        <f>IFERROR(M106-(TBIcalc!$H$9+TBIcalc!$H$10),"")</f>
        <v>1.7342</v>
      </c>
      <c r="O106" s="378">
        <f>AVERAGE(Ashed_controlls!$K$2:$K$11)</f>
        <v>5.5147656768714146</v>
      </c>
      <c r="P106" s="223">
        <f t="shared" si="6"/>
        <v>1.6385629336316958</v>
      </c>
      <c r="Q106" s="223">
        <f>IFERROR(INDEX('Both teabags AfterWet'!$C$3:$C$840,MATCH(L106,'Both teabags AfterWet'!$A$3:$A$840,0)),"")</f>
        <v>0.72399999999999998</v>
      </c>
      <c r="R106" s="223">
        <f>IFERROR(IF(Q106&gt;0,Q106-(TBIcalc!$H$9),""),"")</f>
        <v>0.57339999999999991</v>
      </c>
      <c r="S106" s="223">
        <f>IFERROR(INDEX('Ashed teabags wet'!$K$2:$K$2000,MATCH(L106,'Ashed teabags wet'!$A$2:$A$2000,0)),"")</f>
        <v>19.719771665802661</v>
      </c>
      <c r="T106" s="223">
        <f t="shared" si="7"/>
        <v>0.4603268292682875</v>
      </c>
      <c r="U106" s="224">
        <f>'WetLitterbags placem_collection'!E107</f>
        <v>42762</v>
      </c>
      <c r="V106" s="224">
        <f>IF('WetLitterbags placem_collection'!G107="","",'WetLitterbags placem_collection'!G107)</f>
        <v>42816</v>
      </c>
      <c r="W106" s="225">
        <f t="shared" si="5"/>
        <v>54</v>
      </c>
      <c r="X106" s="223">
        <f t="shared" si="8"/>
        <v>1.1608000000000001</v>
      </c>
      <c r="Y106" s="223">
        <f t="shared" si="9"/>
        <v>1.1782361043634082</v>
      </c>
      <c r="Z106">
        <f>IFERROR(INDEX([1]Rainfall_Wet!$O$2:$O$217,MATCH(C106, [1]Rainfall_Wet!$A$2:$A$217,0)),"")</f>
        <v>206.85140822299999</v>
      </c>
      <c r="AA106" s="226">
        <v>34.344660194174757</v>
      </c>
      <c r="AB106" s="226">
        <v>19.22727272727273</v>
      </c>
      <c r="AC106" s="226">
        <v>46.428067078552509</v>
      </c>
      <c r="AD106" s="227" t="s">
        <v>2651</v>
      </c>
      <c r="AE106" s="226">
        <v>1.7452932479053718</v>
      </c>
      <c r="AF106">
        <f>IF('WetLitterbags placem_collection'!AB107="","",'WetLitterbags placem_collection'!AB107)</f>
        <v>5.5</v>
      </c>
      <c r="AG106">
        <f>IF('WetLitterbags placem_collection'!Z107="","",'WetLitterbags placem_collection'!Z107)</f>
        <v>23.5</v>
      </c>
      <c r="AH106" s="236" t="str">
        <f>IF('WetLitterbags placem_collection'!AA107="","",'WetLitterbags placem_collection'!AA107)</f>
        <v>M</v>
      </c>
      <c r="AI106">
        <f>IF('WetLitterbags placem_collection'!AC107="","",'WetLitterbags placem_collection'!AC107)</f>
        <v>0</v>
      </c>
      <c r="AJ106" s="233">
        <f>AVERAGE('WetLitterbags placem_collection'!S107,'WetLitterbags placem_collection'!U107)</f>
        <v>11.350000000000001</v>
      </c>
      <c r="AK106">
        <f>AVERAGE('WetLitterbags placem_collection'!R107,'WetLitterbags placem_collection'!T107)</f>
        <v>32.150000000000006</v>
      </c>
      <c r="AL106">
        <f>INDEX([2]Coordinates!$B$2:$B$197,MATCH(I106,[2]Coordinates!$J$2:$J$197,0))</f>
        <v>-2.3698080240000001</v>
      </c>
      <c r="AM106">
        <f>INDEX([2]Coordinates!$C$2:$C$197,MATCH(I106,[2]Coordinates!$J$2:$J$197,0))</f>
        <v>34.059671010000002</v>
      </c>
      <c r="AN106" t="str">
        <f>IF(ISNUMBER(SEARCH("C", 'WetLitterbags placem_collection'!$V107)),"YES","NO")</f>
        <v>NO</v>
      </c>
      <c r="AO106" t="str">
        <f>IF(ISNUMBER(SEARCH("H", 'WetLitterbags placem_collection'!$V107)),"YES","NO")</f>
        <v>NO</v>
      </c>
      <c r="AP106" t="str">
        <f>IF(ISNUMBER(SEARCH("R", 'WetLitterbags placem_collection'!$V107)),"YES","NO")</f>
        <v>NO</v>
      </c>
    </row>
    <row r="107" spans="1:42" ht="15" customHeight="1">
      <c r="A107" t="s">
        <v>3248</v>
      </c>
      <c r="B107" s="248" t="s">
        <v>2454</v>
      </c>
      <c r="C107" s="253">
        <f>'Dry_Litterbag Placem_Collection'!A108</f>
        <v>106</v>
      </c>
      <c r="D107" s="253" t="str">
        <f>'Dry_Litterbag Placem_Collection'!B108</f>
        <v xml:space="preserve">Mwantimba
</v>
      </c>
      <c r="E107" s="253" t="s">
        <v>2454</v>
      </c>
      <c r="F107" s="253" t="s">
        <v>2644</v>
      </c>
      <c r="G107" s="253">
        <v>2</v>
      </c>
      <c r="H107" s="253" t="s">
        <v>3118</v>
      </c>
      <c r="I107" s="254" t="str">
        <f>'Dry_Litterbag Placem_Collection'!C108</f>
        <v>Wet_Ag2_T2</v>
      </c>
      <c r="J107" s="255" t="s">
        <v>2525</v>
      </c>
      <c r="K107" s="256" t="s">
        <v>1147</v>
      </c>
      <c r="L107" s="221" t="str">
        <f>'WetLitterbags placem_collection'!K108</f>
        <v>G837</v>
      </c>
      <c r="M107" s="223">
        <f>IFERROR(INDEX('Green_rooibos initial weight'!$C$5:$C$2000,MATCH(L107, 'Green_rooibos initial weight'!$A$5:$A$2000,0)),"")</f>
        <v>1.1910000000000001</v>
      </c>
      <c r="N107" s="223">
        <f>IFERROR(M107-(TBIcalc!$H$9+TBIcalc!$H$10),"")</f>
        <v>0.94120000000000004</v>
      </c>
      <c r="O107" s="378">
        <f>AVERAGE(Ashed_controlls!$K$2:$K$11)</f>
        <v>5.5147656768714146</v>
      </c>
      <c r="P107" s="223">
        <f t="shared" si="6"/>
        <v>0.88929502544928629</v>
      </c>
      <c r="Q107" s="223">
        <f>IFERROR(INDEX('Both teabags AfterWet'!$C$3:$C$840,MATCH(L107,'Both teabags AfterWet'!$A$3:$A$840,0)),"")</f>
        <v>0.62</v>
      </c>
      <c r="R107" s="223">
        <f>IFERROR(IF(Q107&gt;0,Q107-(TBIcalc!$H$9),""),"")</f>
        <v>0.46939999999999998</v>
      </c>
      <c r="S107" s="223">
        <f>IFERROR(INDEX('Ashed teabags wet'!$K$2:$K$2000,MATCH(L107,'Ashed teabags wet'!$A$2:$A$2000,0)),"")</f>
        <v>13.95235780262451</v>
      </c>
      <c r="T107" s="223">
        <f t="shared" si="7"/>
        <v>0.40390763247448053</v>
      </c>
      <c r="U107" s="224">
        <f>'WetLitterbags placem_collection'!E108</f>
        <v>42762</v>
      </c>
      <c r="V107" s="224">
        <f>IF('WetLitterbags placem_collection'!G108="","",'WetLitterbags placem_collection'!G108)</f>
        <v>42816</v>
      </c>
      <c r="W107" s="225">
        <f t="shared" si="5"/>
        <v>54</v>
      </c>
      <c r="X107" s="223">
        <f t="shared" si="8"/>
        <v>0.47180000000000005</v>
      </c>
      <c r="Y107" s="223">
        <f t="shared" si="9"/>
        <v>0.48538739297480576</v>
      </c>
      <c r="Z107">
        <f>IFERROR(INDEX([1]Rainfall_Wet!$O$2:$O$217,MATCH(C107, [1]Rainfall_Wet!$A$2:$A$217,0)),"")</f>
        <v>206.85140822299999</v>
      </c>
      <c r="AA107" s="226">
        <v>34.344660194174757</v>
      </c>
      <c r="AB107" s="226">
        <v>19.22727272727273</v>
      </c>
      <c r="AC107" s="226">
        <v>46.428067078552509</v>
      </c>
      <c r="AD107" s="227" t="s">
        <v>2651</v>
      </c>
      <c r="AE107" s="226">
        <v>2.7452932479053702</v>
      </c>
      <c r="AF107">
        <f>IF('WetLitterbags placem_collection'!AB108="","",'WetLitterbags placem_collection'!AB108)</f>
        <v>8.6</v>
      </c>
      <c r="AG107">
        <f>IF('WetLitterbags placem_collection'!Z108="","",'WetLitterbags placem_collection'!Z108)</f>
        <v>17</v>
      </c>
      <c r="AH107" s="236" t="str">
        <f>IF('WetLitterbags placem_collection'!AA108="","",'WetLitterbags placem_collection'!AA108)</f>
        <v>M</v>
      </c>
      <c r="AI107">
        <f>IF('WetLitterbags placem_collection'!AC108="","",'WetLitterbags placem_collection'!AC108)</f>
        <v>0</v>
      </c>
      <c r="AJ107" s="233">
        <f>AVERAGE('WetLitterbags placem_collection'!S108,'WetLitterbags placem_collection'!U108)</f>
        <v>12.4</v>
      </c>
      <c r="AK107">
        <f>AVERAGE('WetLitterbags placem_collection'!R108,'WetLitterbags placem_collection'!T108)</f>
        <v>32.950000000000003</v>
      </c>
      <c r="AL107">
        <f>INDEX([2]Coordinates!$B$2:$B$197,MATCH(I107,[2]Coordinates!$J$2:$J$197,0))</f>
        <v>-2.3697620069999998</v>
      </c>
      <c r="AM107">
        <f>INDEX([2]Coordinates!$C$2:$C$197,MATCH(I107,[2]Coordinates!$J$2:$J$197,0))</f>
        <v>34.059730010000003</v>
      </c>
      <c r="AN107" t="str">
        <f>IF(ISNUMBER(SEARCH("C", 'WetLitterbags placem_collection'!$V108)),"YES","NO")</f>
        <v>NO</v>
      </c>
      <c r="AO107" t="str">
        <f>IF(ISNUMBER(SEARCH("H", 'WetLitterbags placem_collection'!$V108)),"YES","NO")</f>
        <v>NO</v>
      </c>
      <c r="AP107" t="str">
        <f>IF(ISNUMBER(SEARCH("R", 'WetLitterbags placem_collection'!$V108)),"YES","NO")</f>
        <v>YES</v>
      </c>
    </row>
    <row r="108" spans="1:42" ht="15" customHeight="1">
      <c r="A108" t="s">
        <v>3248</v>
      </c>
      <c r="B108" s="248" t="s">
        <v>2454</v>
      </c>
      <c r="C108" s="253">
        <f>'Dry_Litterbag Placem_Collection'!A109</f>
        <v>107</v>
      </c>
      <c r="D108" s="253" t="str">
        <f>'Dry_Litterbag Placem_Collection'!B109</f>
        <v xml:space="preserve">Mwantimba
</v>
      </c>
      <c r="E108" s="253" t="s">
        <v>2454</v>
      </c>
      <c r="F108" s="253" t="s">
        <v>2644</v>
      </c>
      <c r="G108" s="253">
        <v>2</v>
      </c>
      <c r="H108" s="253" t="s">
        <v>3118</v>
      </c>
      <c r="I108" s="254" t="str">
        <f>'Dry_Litterbag Placem_Collection'!C109</f>
        <v>Wet_Ag2_T3</v>
      </c>
      <c r="J108" s="255" t="s">
        <v>2525</v>
      </c>
      <c r="K108" s="256" t="s">
        <v>1147</v>
      </c>
      <c r="L108" s="221" t="str">
        <f>'WetLitterbags placem_collection'!K109</f>
        <v>G688</v>
      </c>
      <c r="M108" s="223">
        <f>IFERROR(INDEX('Green_rooibos initial weight'!$C$5:$C$2000,MATCH(L108, 'Green_rooibos initial weight'!$A$5:$A$2000,0)),"")</f>
        <v>2.125</v>
      </c>
      <c r="N108" s="223">
        <f>IFERROR(M108-(TBIcalc!$H$9+TBIcalc!$H$10),"")</f>
        <v>1.8752</v>
      </c>
      <c r="O108" s="378">
        <f>AVERAGE(Ashed_controlls!$K$2:$K$11)</f>
        <v>5.5147656768714146</v>
      </c>
      <c r="P108" s="223">
        <f t="shared" si="6"/>
        <v>1.7717871140273072</v>
      </c>
      <c r="Q108" s="223">
        <f>IFERROR(INDEX('Both teabags AfterWet'!$C$3:$C$840,MATCH(L108,'Both teabags AfterWet'!$A$3:$A$840,0)),"")</f>
        <v>0.60899999999999999</v>
      </c>
      <c r="R108" s="223">
        <f>IFERROR(IF(Q108&gt;0,Q108-(TBIcalc!$H$9),""),"")</f>
        <v>0.45839999999999997</v>
      </c>
      <c r="S108" s="223">
        <f>IFERROR(INDEX('Ashed teabags wet'!$K$2:$K$2000,MATCH(L108,'Ashed teabags wet'!$A$2:$A$2000,0)),"")</f>
        <v>14.504950495050023</v>
      </c>
      <c r="T108" s="223">
        <f t="shared" si="7"/>
        <v>0.3919093069306907</v>
      </c>
      <c r="U108" s="224">
        <f>'WetLitterbags placem_collection'!E109</f>
        <v>42762</v>
      </c>
      <c r="V108" s="224">
        <f>IF('WetLitterbags placem_collection'!G109="","",'WetLitterbags placem_collection'!G109)</f>
        <v>42816</v>
      </c>
      <c r="W108" s="225">
        <f t="shared" si="5"/>
        <v>54</v>
      </c>
      <c r="X108" s="223">
        <f t="shared" si="8"/>
        <v>1.4168000000000001</v>
      </c>
      <c r="Y108" s="223">
        <f t="shared" si="9"/>
        <v>1.3798778070966164</v>
      </c>
      <c r="Z108">
        <f>IFERROR(INDEX([1]Rainfall_Wet!$O$2:$O$217,MATCH(C108, [1]Rainfall_Wet!$A$2:$A$217,0)),"")</f>
        <v>206.85140822299999</v>
      </c>
      <c r="AA108" s="226">
        <v>34.344660194174757</v>
      </c>
      <c r="AB108" s="226">
        <v>19.22727272727273</v>
      </c>
      <c r="AC108" s="226">
        <v>46.428067078552509</v>
      </c>
      <c r="AD108" s="227" t="s">
        <v>2651</v>
      </c>
      <c r="AE108" s="226">
        <v>3.7452932479053702</v>
      </c>
      <c r="AF108">
        <f>IF('WetLitterbags placem_collection'!AB109="","",'WetLitterbags placem_collection'!AB109)</f>
        <v>3.85</v>
      </c>
      <c r="AG108">
        <f>IF('WetLitterbags placem_collection'!Z109="","",'WetLitterbags placem_collection'!Z109)</f>
        <v>15.5</v>
      </c>
      <c r="AH108" s="236" t="str">
        <f>IF('WetLitterbags placem_collection'!AA109="","",'WetLitterbags placem_collection'!AA109)</f>
        <v>M</v>
      </c>
      <c r="AI108">
        <f>IF('WetLitterbags placem_collection'!AC109="","",'WetLitterbags placem_collection'!AC109)</f>
        <v>0</v>
      </c>
      <c r="AJ108" s="233">
        <f>AVERAGE('WetLitterbags placem_collection'!S109,'WetLitterbags placem_collection'!U109)</f>
        <v>11.299999999999999</v>
      </c>
      <c r="AK108">
        <f>AVERAGE('WetLitterbags placem_collection'!R109,'WetLitterbags placem_collection'!T109)</f>
        <v>32.450000000000003</v>
      </c>
      <c r="AL108">
        <f>INDEX([2]Coordinates!$B$2:$B$197,MATCH(I108,[2]Coordinates!$J$2:$J$197,0))</f>
        <v>-2.3698409649999999</v>
      </c>
      <c r="AM108">
        <f>INDEX([2]Coordinates!$C$2:$C$197,MATCH(I108,[2]Coordinates!$J$2:$J$197,0))</f>
        <v>34.059814000000003</v>
      </c>
      <c r="AN108" t="str">
        <f>IF(ISNUMBER(SEARCH("C", 'WetLitterbags placem_collection'!$V109)),"YES","NO")</f>
        <v>NO</v>
      </c>
      <c r="AO108" t="str">
        <f>IF(ISNUMBER(SEARCH("H", 'WetLitterbags placem_collection'!$V109)),"YES","NO")</f>
        <v>NO</v>
      </c>
      <c r="AP108" t="str">
        <f>IF(ISNUMBER(SEARCH("R", 'WetLitterbags placem_collection'!$V109)),"YES","NO")</f>
        <v>YES</v>
      </c>
    </row>
    <row r="109" spans="1:42" ht="15" customHeight="1">
      <c r="A109" t="s">
        <v>3248</v>
      </c>
      <c r="B109" s="248" t="s">
        <v>2454</v>
      </c>
      <c r="C109" s="253">
        <f>'Dry_Litterbag Placem_Collection'!A110</f>
        <v>108</v>
      </c>
      <c r="D109" s="253" t="str">
        <f>'Dry_Litterbag Placem_Collection'!B110</f>
        <v xml:space="preserve">Mwantimba
</v>
      </c>
      <c r="E109" s="253" t="s">
        <v>2454</v>
      </c>
      <c r="F109" s="253" t="s">
        <v>2644</v>
      </c>
      <c r="G109" s="253">
        <v>2</v>
      </c>
      <c r="H109" s="253" t="s">
        <v>3118</v>
      </c>
      <c r="I109" s="254" t="str">
        <f>'Dry_Litterbag Placem_Collection'!C110</f>
        <v>Wet_Ag2_T4</v>
      </c>
      <c r="J109" s="255" t="s">
        <v>2525</v>
      </c>
      <c r="K109" s="256" t="s">
        <v>1147</v>
      </c>
      <c r="L109" s="221" t="str">
        <f>'WetLitterbags placem_collection'!K110</f>
        <v>G883</v>
      </c>
      <c r="M109" s="223">
        <f>IFERROR(INDEX('Green_rooibos initial weight'!$C$5:$C$2000,MATCH(L109, 'Green_rooibos initial weight'!$A$5:$A$2000,0)),"")</f>
        <v>2.073</v>
      </c>
      <c r="N109" s="223">
        <f>IFERROR(M109-(TBIcalc!$H$9+TBIcalc!$H$10),"")</f>
        <v>1.8231999999999999</v>
      </c>
      <c r="O109" s="378">
        <f>AVERAGE(Ashed_controlls!$K$2:$K$11)</f>
        <v>5.5147656768714146</v>
      </c>
      <c r="P109" s="223">
        <f t="shared" si="6"/>
        <v>1.7226547921792803</v>
      </c>
      <c r="Q109" s="223">
        <f>IFERROR(INDEX('Both teabags AfterWet'!$C$3:$C$840,MATCH(L109,'Both teabags AfterWet'!$A$3:$A$840,0)),"")</f>
        <v>0.67200000000000004</v>
      </c>
      <c r="R109" s="223">
        <f>IFERROR(IF(Q109&gt;0,Q109-(TBIcalc!$H$9),""),"")</f>
        <v>0.52140000000000009</v>
      </c>
      <c r="S109" s="223">
        <f>IFERROR(INDEX('Ashed teabags wet'!$K$2:$K$2000,MATCH(L109,'Ashed teabags wet'!$A$2:$A$2000,0)),"")</f>
        <v>14.878892733563953</v>
      </c>
      <c r="T109" s="223">
        <f t="shared" si="7"/>
        <v>0.44382145328719763</v>
      </c>
      <c r="U109" s="224">
        <f>'WetLitterbags placem_collection'!E110</f>
        <v>42762</v>
      </c>
      <c r="V109" s="224">
        <f>IF('WetLitterbags placem_collection'!G110="","",'WetLitterbags placem_collection'!G110)</f>
        <v>42816</v>
      </c>
      <c r="W109" s="225">
        <f t="shared" si="5"/>
        <v>54</v>
      </c>
      <c r="X109" s="223">
        <f t="shared" si="8"/>
        <v>1.3017999999999998</v>
      </c>
      <c r="Y109" s="223">
        <f t="shared" si="9"/>
        <v>1.2788333388920827</v>
      </c>
      <c r="Z109">
        <f>IFERROR(INDEX([1]Rainfall_Wet!$O$2:$O$217,MATCH(C109, [1]Rainfall_Wet!$A$2:$A$217,0)),"")</f>
        <v>206.85140822299999</v>
      </c>
      <c r="AA109" s="226">
        <v>34.344660194174757</v>
      </c>
      <c r="AB109" s="226">
        <v>19.22727272727273</v>
      </c>
      <c r="AC109" s="226">
        <v>46.428067078552509</v>
      </c>
      <c r="AD109" s="227" t="s">
        <v>2651</v>
      </c>
      <c r="AE109" s="226">
        <v>4.7452932479053702</v>
      </c>
      <c r="AF109">
        <f>IF('WetLitterbags placem_collection'!AB110="","",'WetLitterbags placem_collection'!AB110)</f>
        <v>9.6999999999999993</v>
      </c>
      <c r="AG109">
        <f>IF('WetLitterbags placem_collection'!Z110="","",'WetLitterbags placem_collection'!Z110)</f>
        <v>22.5</v>
      </c>
      <c r="AH109" s="236" t="str">
        <f>IF('WetLitterbags placem_collection'!AA110="","",'WetLitterbags placem_collection'!AA110)</f>
        <v>M</v>
      </c>
      <c r="AI109">
        <f>IF('WetLitterbags placem_collection'!AC110="","",'WetLitterbags placem_collection'!AC110)</f>
        <v>0</v>
      </c>
      <c r="AJ109" s="233">
        <f>AVERAGE('WetLitterbags placem_collection'!S110,'WetLitterbags placem_collection'!U110)</f>
        <v>15.1</v>
      </c>
      <c r="AK109">
        <f>AVERAGE('WetLitterbags placem_collection'!R110,'WetLitterbags placem_collection'!T110)</f>
        <v>31.55</v>
      </c>
      <c r="AL109">
        <f>INDEX([2]Coordinates!$B$2:$B$197,MATCH(I109,[2]Coordinates!$J$2:$J$197,0))</f>
        <v>-2.3698620030000002</v>
      </c>
      <c r="AM109">
        <f>INDEX([2]Coordinates!$C$2:$C$197,MATCH(I109,[2]Coordinates!$J$2:$J$197,0))</f>
        <v>34.059759020000001</v>
      </c>
      <c r="AN109" t="str">
        <f>IF(ISNUMBER(SEARCH("C", 'WetLitterbags placem_collection'!$V110)),"YES","NO")</f>
        <v>NO</v>
      </c>
      <c r="AO109" t="str">
        <f>IF(ISNUMBER(SEARCH("H", 'WetLitterbags placem_collection'!$V110)),"YES","NO")</f>
        <v>NO</v>
      </c>
      <c r="AP109" t="str">
        <f>IF(ISNUMBER(SEARCH("R", 'WetLitterbags placem_collection'!$V110)),"YES","NO")</f>
        <v>YES</v>
      </c>
    </row>
    <row r="110" spans="1:42" ht="15" customHeight="1">
      <c r="A110" t="s">
        <v>3248</v>
      </c>
      <c r="B110" s="248" t="s">
        <v>2454</v>
      </c>
      <c r="C110" s="253">
        <f>'Dry_Litterbag Placem_Collection'!A111</f>
        <v>109</v>
      </c>
      <c r="D110" s="253" t="str">
        <f>'Dry_Litterbag Placem_Collection'!B111</f>
        <v xml:space="preserve">Mwantimba
</v>
      </c>
      <c r="E110" s="253" t="s">
        <v>2454</v>
      </c>
      <c r="F110" s="253" t="s">
        <v>2644</v>
      </c>
      <c r="G110" s="253">
        <v>2</v>
      </c>
      <c r="H110" s="253" t="s">
        <v>3118</v>
      </c>
      <c r="I110" s="254" t="str">
        <f>'Dry_Litterbag Placem_Collection'!C111</f>
        <v>Wet_Ag2_T5</v>
      </c>
      <c r="J110" s="255" t="s">
        <v>2525</v>
      </c>
      <c r="K110" s="256" t="s">
        <v>1147</v>
      </c>
      <c r="L110" s="221" t="str">
        <f>'WetLitterbags placem_collection'!K111</f>
        <v>G704</v>
      </c>
      <c r="M110" s="223">
        <f>IFERROR(INDEX('Green_rooibos initial weight'!$C$5:$C$2000,MATCH(L110, 'Green_rooibos initial weight'!$A$5:$A$2000,0)),"")</f>
        <v>2.0219999999999998</v>
      </c>
      <c r="N110" s="223">
        <f>IFERROR(M110-(TBIcalc!$H$9+TBIcalc!$H$10),"")</f>
        <v>1.7721999999999998</v>
      </c>
      <c r="O110" s="378">
        <f>AVERAGE(Ashed_controlls!$K$2:$K$11)</f>
        <v>5.5147656768714146</v>
      </c>
      <c r="P110" s="223">
        <f t="shared" si="6"/>
        <v>1.6744673226744846</v>
      </c>
      <c r="Q110" s="223">
        <f>IFERROR(INDEX('Both teabags AfterWet'!$C$3:$C$840,MATCH(L110,'Both teabags AfterWet'!$A$3:$A$840,0)),"")</f>
        <v>0.63019999999999998</v>
      </c>
      <c r="R110" s="223">
        <f>IFERROR(IF(Q110&gt;0,Q110-(TBIcalc!$H$9),""),"")</f>
        <v>0.47959999999999997</v>
      </c>
      <c r="S110" s="223">
        <f>IFERROR(INDEX('Ashed teabags wet'!$K$2:$K$2000,MATCH(L110,'Ashed teabags wet'!$A$2:$A$2000,0)),"")</f>
        <v>7.733990147783028</v>
      </c>
      <c r="T110" s="223">
        <f t="shared" si="7"/>
        <v>0.44250778325123258</v>
      </c>
      <c r="U110" s="224">
        <f>'WetLitterbags placem_collection'!E111</f>
        <v>42762</v>
      </c>
      <c r="V110" s="224">
        <f>IF('WetLitterbags placem_collection'!G111="","",'WetLitterbags placem_collection'!G111)</f>
        <v>42816</v>
      </c>
      <c r="W110" s="225">
        <f t="shared" si="5"/>
        <v>54</v>
      </c>
      <c r="X110" s="223">
        <f t="shared" si="8"/>
        <v>1.2925999999999997</v>
      </c>
      <c r="Y110" s="223">
        <f t="shared" si="9"/>
        <v>1.2319595394232521</v>
      </c>
      <c r="Z110">
        <f>IFERROR(INDEX([1]Rainfall_Wet!$O$2:$O$217,MATCH(C110, [1]Rainfall_Wet!$A$2:$A$217,0)),"")</f>
        <v>206.85140822299999</v>
      </c>
      <c r="AA110" s="226">
        <v>34.344660194174757</v>
      </c>
      <c r="AB110" s="226">
        <v>19.22727272727273</v>
      </c>
      <c r="AC110" s="226">
        <v>46.428067078552509</v>
      </c>
      <c r="AD110" s="227" t="s">
        <v>2651</v>
      </c>
      <c r="AE110" s="226">
        <v>5.7452932479053702</v>
      </c>
      <c r="AF110">
        <f>IF('WetLitterbags placem_collection'!AB111="","",'WetLitterbags placem_collection'!AB111)</f>
        <v>10.5</v>
      </c>
      <c r="AG110">
        <f>IF('WetLitterbags placem_collection'!Z111="","",'WetLitterbags placem_collection'!Z111)</f>
        <v>22.5</v>
      </c>
      <c r="AH110" s="236" t="str">
        <f>IF('WetLitterbags placem_collection'!AA111="","",'WetLitterbags placem_collection'!AA111)</f>
        <v>M</v>
      </c>
      <c r="AI110">
        <f>IF('WetLitterbags placem_collection'!AC111="","",'WetLitterbags placem_collection'!AC111)</f>
        <v>0</v>
      </c>
      <c r="AJ110" s="233">
        <f>AVERAGE('WetLitterbags placem_collection'!S111,'WetLitterbags placem_collection'!U111)</f>
        <v>9</v>
      </c>
      <c r="AK110">
        <f>AVERAGE('WetLitterbags placem_collection'!R111,'WetLitterbags placem_collection'!T111)</f>
        <v>33.5</v>
      </c>
      <c r="AL110">
        <f>INDEX([2]Coordinates!$B$2:$B$197,MATCH(I110,[2]Coordinates!$J$2:$J$197,0))</f>
        <v>-2.3698390370000002</v>
      </c>
      <c r="AM110">
        <f>INDEX([2]Coordinates!$C$2:$C$197,MATCH(I110,[2]Coordinates!$J$2:$J$197,0))</f>
        <v>34.059714</v>
      </c>
      <c r="AN110" t="str">
        <f>IF(ISNUMBER(SEARCH("C", 'WetLitterbags placem_collection'!$V111)),"YES","NO")</f>
        <v>NO</v>
      </c>
      <c r="AO110" t="str">
        <f>IF(ISNUMBER(SEARCH("H", 'WetLitterbags placem_collection'!$V111)),"YES","NO")</f>
        <v>YES</v>
      </c>
      <c r="AP110" t="str">
        <f>IF(ISNUMBER(SEARCH("R", 'WetLitterbags placem_collection'!$V111)),"YES","NO")</f>
        <v>NO</v>
      </c>
    </row>
    <row r="111" spans="1:42" ht="15" customHeight="1">
      <c r="A111" t="s">
        <v>3248</v>
      </c>
      <c r="B111" s="248" t="s">
        <v>2454</v>
      </c>
      <c r="C111" s="253">
        <f>'Dry_Litterbag Placem_Collection'!A112</f>
        <v>110</v>
      </c>
      <c r="D111" s="253" t="str">
        <f>'Dry_Litterbag Placem_Collection'!B112</f>
        <v xml:space="preserve">Mwantimba
</v>
      </c>
      <c r="E111" s="253" t="s">
        <v>2454</v>
      </c>
      <c r="F111" s="253" t="s">
        <v>2644</v>
      </c>
      <c r="G111" s="253">
        <v>2</v>
      </c>
      <c r="H111" s="253" t="s">
        <v>3118</v>
      </c>
      <c r="I111" s="254" t="str">
        <f>'Dry_Litterbag Placem_Collection'!C112</f>
        <v>Wet_Ag2_T6</v>
      </c>
      <c r="J111" s="255" t="s">
        <v>2525</v>
      </c>
      <c r="K111" s="256" t="s">
        <v>1147</v>
      </c>
      <c r="L111" s="221" t="str">
        <f>'WetLitterbags placem_collection'!K112</f>
        <v>G742</v>
      </c>
      <c r="M111" s="223">
        <f>IFERROR(INDEX('Green_rooibos initial weight'!$C$5:$C$2000,MATCH(L111, 'Green_rooibos initial weight'!$A$5:$A$2000,0)),"")</f>
        <v>2.0510000000000002</v>
      </c>
      <c r="N111" s="223">
        <f>IFERROR(M111-(TBIcalc!$H$9+TBIcalc!$H$10),"")</f>
        <v>1.8012000000000001</v>
      </c>
      <c r="O111" s="378">
        <f>AVERAGE(Ashed_controlls!$K$2:$K$11)</f>
        <v>5.5147656768714146</v>
      </c>
      <c r="P111" s="223">
        <f t="shared" si="6"/>
        <v>1.7018680406281923</v>
      </c>
      <c r="Q111" s="223">
        <f>IFERROR(INDEX('Both teabags AfterWet'!$C$3:$C$840,MATCH(L111,'Both teabags AfterWet'!$A$3:$A$840,0)),"")</f>
        <v>0.57879999999999998</v>
      </c>
      <c r="R111" s="223">
        <f>IFERROR(IF(Q111&gt;0,Q111-(TBIcalc!$H$9),""),"")</f>
        <v>0.42819999999999997</v>
      </c>
      <c r="S111" s="223">
        <f>IFERROR(INDEX('Ashed teabags wet'!$K$2:$K$2000,MATCH(L111,'Ashed teabags wet'!$A$2:$A$2000,0)),"")</f>
        <v>13.253612356751738</v>
      </c>
      <c r="T111" s="223">
        <f t="shared" si="7"/>
        <v>0.37144803188838904</v>
      </c>
      <c r="U111" s="224">
        <f>'WetLitterbags placem_collection'!E112</f>
        <v>42762</v>
      </c>
      <c r="V111" s="224">
        <f>IF('WetLitterbags placem_collection'!G112="","",'WetLitterbags placem_collection'!G112)</f>
        <v>42816</v>
      </c>
      <c r="W111" s="225">
        <f t="shared" si="5"/>
        <v>54</v>
      </c>
      <c r="X111" s="223">
        <f t="shared" si="8"/>
        <v>1.3730000000000002</v>
      </c>
      <c r="Y111" s="223">
        <f t="shared" si="9"/>
        <v>1.3304200087398033</v>
      </c>
      <c r="Z111">
        <f>IFERROR(INDEX([1]Rainfall_Wet!$O$2:$O$217,MATCH(C111, [1]Rainfall_Wet!$A$2:$A$217,0)),"")</f>
        <v>206.85140822299999</v>
      </c>
      <c r="AA111" s="226">
        <v>34.344660194174757</v>
      </c>
      <c r="AB111" s="226">
        <v>19.22727272727273</v>
      </c>
      <c r="AC111" s="226">
        <v>46.428067078552509</v>
      </c>
      <c r="AD111" s="227" t="s">
        <v>2651</v>
      </c>
      <c r="AE111" s="226">
        <v>6.7452932479053702</v>
      </c>
      <c r="AF111">
        <f>IF('WetLitterbags placem_collection'!AB112="","",'WetLitterbags placem_collection'!AB112)</f>
        <v>5.75</v>
      </c>
      <c r="AG111">
        <f>IF('WetLitterbags placem_collection'!Z112="","",'WetLitterbags placem_collection'!Z112)</f>
        <v>22.5</v>
      </c>
      <c r="AH111" s="236" t="str">
        <f>IF('WetLitterbags placem_collection'!AA112="","",'WetLitterbags placem_collection'!AA112)</f>
        <v>M</v>
      </c>
      <c r="AI111">
        <f>IF('WetLitterbags placem_collection'!AC112="","",'WetLitterbags placem_collection'!AC112)</f>
        <v>0</v>
      </c>
      <c r="AJ111" s="233">
        <f>AVERAGE('WetLitterbags placem_collection'!S112,'WetLitterbags placem_collection'!U112)</f>
        <v>16.950000000000003</v>
      </c>
      <c r="AK111">
        <f>AVERAGE('WetLitterbags placem_collection'!R112,'WetLitterbags placem_collection'!T112)</f>
        <v>30.5</v>
      </c>
      <c r="AL111">
        <f>INDEX([2]Coordinates!$B$2:$B$197,MATCH(I111,[2]Coordinates!$J$2:$J$197,0))</f>
        <v>-2.3697549659999999</v>
      </c>
      <c r="AM111">
        <f>INDEX([2]Coordinates!$C$2:$C$197,MATCH(I111,[2]Coordinates!$J$2:$J$197,0))</f>
        <v>34.059668989999999</v>
      </c>
      <c r="AN111" t="str">
        <f>IF(ISNUMBER(SEARCH("C", 'WetLitterbags placem_collection'!$V112)),"YES","NO")</f>
        <v>NO</v>
      </c>
      <c r="AO111" t="str">
        <f>IF(ISNUMBER(SEARCH("H", 'WetLitterbags placem_collection'!$V112)),"YES","NO")</f>
        <v>NO</v>
      </c>
      <c r="AP111" t="str">
        <f>IF(ISNUMBER(SEARCH("R", 'WetLitterbags placem_collection'!$V112)),"YES","NO")</f>
        <v>NO</v>
      </c>
    </row>
    <row r="112" spans="1:42" ht="15" customHeight="1">
      <c r="A112" t="s">
        <v>3248</v>
      </c>
      <c r="B112" s="248" t="s">
        <v>2454</v>
      </c>
      <c r="C112" s="253">
        <f>'Dry_Litterbag Placem_Collection'!A113</f>
        <v>111</v>
      </c>
      <c r="D112" s="253" t="str">
        <f>'Dry_Litterbag Placem_Collection'!B113</f>
        <v xml:space="preserve">Mwantimba
</v>
      </c>
      <c r="E112" s="253" t="s">
        <v>2454</v>
      </c>
      <c r="F112" s="253" t="s">
        <v>2644</v>
      </c>
      <c r="G112" s="253">
        <v>2</v>
      </c>
      <c r="H112" s="253" t="s">
        <v>3118</v>
      </c>
      <c r="I112" s="254" t="str">
        <f>'Dry_Litterbag Placem_Collection'!C113</f>
        <v>Wet_Ag2_T7</v>
      </c>
      <c r="J112" s="255" t="s">
        <v>2525</v>
      </c>
      <c r="K112" s="256" t="s">
        <v>1147</v>
      </c>
      <c r="L112" s="221" t="str">
        <f>'WetLitterbags placem_collection'!K113</f>
        <v>G831</v>
      </c>
      <c r="M112" s="223">
        <f>IFERROR(INDEX('Green_rooibos initial weight'!$C$5:$C$2000,MATCH(L112, 'Green_rooibos initial weight'!$A$5:$A$2000,0)),"")</f>
        <v>2.1190000000000002</v>
      </c>
      <c r="N112" s="223">
        <f>IFERROR(M112-(TBIcalc!$H$9+TBIcalc!$H$10),"")</f>
        <v>1.8692000000000002</v>
      </c>
      <c r="O112" s="378">
        <f>AVERAGE(Ashed_controlls!$K$2:$K$11)</f>
        <v>5.5147656768714146</v>
      </c>
      <c r="P112" s="223">
        <f t="shared" si="6"/>
        <v>1.7661179999679197</v>
      </c>
      <c r="Q112" s="223">
        <f>IFERROR(INDEX('Both teabags AfterWet'!$C$3:$C$840,MATCH(L112,'Both teabags AfterWet'!$A$3:$A$840,0)),"")</f>
        <v>0.66200000000000003</v>
      </c>
      <c r="R112" s="223">
        <f>IFERROR(IF(Q112&gt;0,Q112-(TBIcalc!$H$9),""),"")</f>
        <v>0.51140000000000008</v>
      </c>
      <c r="S112" s="223">
        <f>IFERROR(INDEX('Ashed teabags wet'!$K$2:$K$2000,MATCH(L112,'Ashed teabags wet'!$A$2:$A$2000,0)),"")</f>
        <v>14.3622200584224</v>
      </c>
      <c r="T112" s="223">
        <f t="shared" si="7"/>
        <v>0.4379516066212279</v>
      </c>
      <c r="U112" s="224">
        <f>'WetLitterbags placem_collection'!E113</f>
        <v>42762</v>
      </c>
      <c r="V112" s="224">
        <f>IF('WetLitterbags placem_collection'!G113="","",'WetLitterbags placem_collection'!G113)</f>
        <v>42816</v>
      </c>
      <c r="W112" s="225">
        <f t="shared" si="5"/>
        <v>54</v>
      </c>
      <c r="X112" s="223">
        <f t="shared" si="8"/>
        <v>1.3578000000000001</v>
      </c>
      <c r="Y112" s="223">
        <f t="shared" si="9"/>
        <v>1.3281663933466918</v>
      </c>
      <c r="Z112">
        <f>IFERROR(INDEX([1]Rainfall_Wet!$O$2:$O$217,MATCH(C112, [1]Rainfall_Wet!$A$2:$A$217,0)),"")</f>
        <v>206.85140822299999</v>
      </c>
      <c r="AA112" s="226">
        <v>34.344660194174757</v>
      </c>
      <c r="AB112" s="226">
        <v>19.22727272727273</v>
      </c>
      <c r="AC112" s="226">
        <v>46.428067078552509</v>
      </c>
      <c r="AD112" s="227" t="s">
        <v>2651</v>
      </c>
      <c r="AE112" s="226">
        <v>7.7452932479053702</v>
      </c>
      <c r="AF112">
        <f>IF('WetLitterbags placem_collection'!AB113="","",'WetLitterbags placem_collection'!AB113)</f>
        <v>6.1</v>
      </c>
      <c r="AG112">
        <f>IF('WetLitterbags placem_collection'!Z113="","",'WetLitterbags placem_collection'!Z113)</f>
        <v>26</v>
      </c>
      <c r="AH112" s="236" t="str">
        <f>IF('WetLitterbags placem_collection'!AA113="","",'WetLitterbags placem_collection'!AA113)</f>
        <v>M</v>
      </c>
      <c r="AI112">
        <f>IF('WetLitterbags placem_collection'!AC113="","",'WetLitterbags placem_collection'!AC113)</f>
        <v>0</v>
      </c>
      <c r="AJ112" s="233">
        <f>AVERAGE('WetLitterbags placem_collection'!S113,'WetLitterbags placem_collection'!U113)</f>
        <v>11.1</v>
      </c>
      <c r="AK112">
        <f>AVERAGE('WetLitterbags placem_collection'!R113,'WetLitterbags placem_collection'!T113)</f>
        <v>32.65</v>
      </c>
      <c r="AL112">
        <f>INDEX([2]Coordinates!$B$2:$B$197,MATCH(I112,[2]Coordinates!$J$2:$J$197,0))</f>
        <v>-2.3697330060000001</v>
      </c>
      <c r="AM112">
        <f>INDEX([2]Coordinates!$C$2:$C$197,MATCH(I112,[2]Coordinates!$J$2:$J$197,0))</f>
        <v>34.059615010000002</v>
      </c>
      <c r="AN112" t="str">
        <f>IF(ISNUMBER(SEARCH("C", 'WetLitterbags placem_collection'!$V113)),"YES","NO")</f>
        <v>NO</v>
      </c>
      <c r="AO112" t="str">
        <f>IF(ISNUMBER(SEARCH("H", 'WetLitterbags placem_collection'!$V113)),"YES","NO")</f>
        <v>NO</v>
      </c>
      <c r="AP112" t="str">
        <f>IF(ISNUMBER(SEARCH("R", 'WetLitterbags placem_collection'!$V113)),"YES","NO")</f>
        <v>NO</v>
      </c>
    </row>
    <row r="113" spans="1:42" ht="15" customHeight="1">
      <c r="A113" t="s">
        <v>3248</v>
      </c>
      <c r="B113" s="248" t="s">
        <v>2454</v>
      </c>
      <c r="C113" s="253">
        <f>'Dry_Litterbag Placem_Collection'!A114</f>
        <v>112</v>
      </c>
      <c r="D113" s="253" t="str">
        <f>'Dry_Litterbag Placem_Collection'!B114</f>
        <v xml:space="preserve">Mwantimba
</v>
      </c>
      <c r="E113" s="253" t="s">
        <v>2454</v>
      </c>
      <c r="F113" s="253" t="s">
        <v>2644</v>
      </c>
      <c r="G113" s="253">
        <v>2</v>
      </c>
      <c r="H113" s="253" t="s">
        <v>3118</v>
      </c>
      <c r="I113" s="254" t="str">
        <f>'Dry_Litterbag Placem_Collection'!C114</f>
        <v>Wet_Ag2_T8</v>
      </c>
      <c r="J113" s="255" t="s">
        <v>2525</v>
      </c>
      <c r="K113" s="256" t="s">
        <v>1147</v>
      </c>
      <c r="L113" s="221" t="str">
        <f>'WetLitterbags placem_collection'!K114</f>
        <v>G899</v>
      </c>
      <c r="M113" s="223">
        <f>IFERROR(INDEX('Green_rooibos initial weight'!$C$5:$C$2000,MATCH(L113, 'Green_rooibos initial weight'!$A$5:$A$2000,0)),"")</f>
        <v>2.0129999999999999</v>
      </c>
      <c r="N113" s="223">
        <f>IFERROR(M113-(TBIcalc!$H$9+TBIcalc!$H$10),"")</f>
        <v>1.7631999999999999</v>
      </c>
      <c r="O113" s="378">
        <f>AVERAGE(Ashed_controlls!$K$2:$K$11)</f>
        <v>5.5147656768714146</v>
      </c>
      <c r="P113" s="223">
        <f t="shared" si="6"/>
        <v>1.665963651585403</v>
      </c>
      <c r="Q113" s="223">
        <f>IFERROR(INDEX('Both teabags AfterWet'!$C$3:$C$840,MATCH(L113,'Both teabags AfterWet'!$A$3:$A$840,0)),"")</f>
        <v>0.71899999999999997</v>
      </c>
      <c r="R113" s="223">
        <f>IFERROR(IF(Q113&gt;0,Q113-(TBIcalc!$H$9),""),"")</f>
        <v>0.56840000000000002</v>
      </c>
      <c r="S113" s="223">
        <f>IFERROR(INDEX('Ashed teabags wet'!$K$2:$K$2000,MATCH(L113,'Ashed teabags wet'!$A$2:$A$2000,0)),"")</f>
        <v>25.775193798450474</v>
      </c>
      <c r="T113" s="223">
        <f t="shared" si="7"/>
        <v>0.4218937984496075</v>
      </c>
      <c r="U113" s="224">
        <f>'WetLitterbags placem_collection'!E114</f>
        <v>42762</v>
      </c>
      <c r="V113" s="224">
        <f>IF('WetLitterbags placem_collection'!G114="","",'WetLitterbags placem_collection'!G114)</f>
        <v>42816</v>
      </c>
      <c r="W113" s="225">
        <f t="shared" si="5"/>
        <v>54</v>
      </c>
      <c r="X113" s="223">
        <f t="shared" si="8"/>
        <v>1.1947999999999999</v>
      </c>
      <c r="Y113" s="223">
        <f t="shared" si="9"/>
        <v>1.2440698531357954</v>
      </c>
      <c r="Z113">
        <f>IFERROR(INDEX([1]Rainfall_Wet!$O$2:$O$217,MATCH(C113, [1]Rainfall_Wet!$A$2:$A$217,0)),"")</f>
        <v>206.85140822299999</v>
      </c>
      <c r="AA113" s="226">
        <v>34.344660194174757</v>
      </c>
      <c r="AB113" s="226">
        <v>19.22727272727273</v>
      </c>
      <c r="AC113" s="226">
        <v>46.428067078552509</v>
      </c>
      <c r="AD113" s="227" t="s">
        <v>2651</v>
      </c>
      <c r="AE113" s="226">
        <v>8.7452932479053693</v>
      </c>
      <c r="AF113">
        <f>IF('WetLitterbags placem_collection'!AB114="","",'WetLitterbags placem_collection'!AB114)</f>
        <v>11.5</v>
      </c>
      <c r="AG113">
        <f>IF('WetLitterbags placem_collection'!Z114="","",'WetLitterbags placem_collection'!Z114)</f>
        <v>15</v>
      </c>
      <c r="AH113" s="236" t="str">
        <f>IF('WetLitterbags placem_collection'!AA114="","",'WetLitterbags placem_collection'!AA114)</f>
        <v>M</v>
      </c>
      <c r="AI113">
        <f>IF('WetLitterbags placem_collection'!AC114="","",'WetLitterbags placem_collection'!AC114)</f>
        <v>0</v>
      </c>
      <c r="AJ113" s="233">
        <f>AVERAGE('WetLitterbags placem_collection'!S114,'WetLitterbags placem_collection'!U114)</f>
        <v>15.2</v>
      </c>
      <c r="AK113">
        <f>AVERAGE('WetLitterbags placem_collection'!R114,'WetLitterbags placem_collection'!T114)</f>
        <v>31.450000000000003</v>
      </c>
      <c r="AL113">
        <f>INDEX([2]Coordinates!$B$2:$B$197,MATCH(I113,[2]Coordinates!$J$2:$J$197,0))</f>
        <v>-2.36967098</v>
      </c>
      <c r="AM113">
        <f>INDEX([2]Coordinates!$C$2:$C$197,MATCH(I113,[2]Coordinates!$J$2:$J$197,0))</f>
        <v>34.059735959999998</v>
      </c>
      <c r="AN113" t="str">
        <f>IF(ISNUMBER(SEARCH("C", 'WetLitterbags placem_collection'!$V114)),"YES","NO")</f>
        <v>NO</v>
      </c>
      <c r="AO113" t="str">
        <f>IF(ISNUMBER(SEARCH("H", 'WetLitterbags placem_collection'!$V114)),"YES","NO")</f>
        <v>YES</v>
      </c>
      <c r="AP113" t="str">
        <f>IF(ISNUMBER(SEARCH("R", 'WetLitterbags placem_collection'!$V114)),"YES","NO")</f>
        <v>NO</v>
      </c>
    </row>
    <row r="114" spans="1:42" ht="15" customHeight="1">
      <c r="A114" t="s">
        <v>3248</v>
      </c>
      <c r="B114" s="248" t="s">
        <v>2454</v>
      </c>
      <c r="C114" s="253">
        <f>'Dry_Litterbag Placem_Collection'!A115</f>
        <v>113</v>
      </c>
      <c r="D114" s="253" t="str">
        <f>'Dry_Litterbag Placem_Collection'!B115</f>
        <v xml:space="preserve">Mwantimba
</v>
      </c>
      <c r="E114" s="253" t="s">
        <v>2454</v>
      </c>
      <c r="F114" s="253" t="s">
        <v>2644</v>
      </c>
      <c r="G114" s="253">
        <v>3</v>
      </c>
      <c r="H114" s="253" t="s">
        <v>3119</v>
      </c>
      <c r="I114" s="254" t="str">
        <f>'Dry_Litterbag Placem_Collection'!C115</f>
        <v>Wet_Ag3_T1</v>
      </c>
      <c r="J114" s="255" t="s">
        <v>2525</v>
      </c>
      <c r="K114" s="256" t="s">
        <v>1147</v>
      </c>
      <c r="L114" s="221" t="str">
        <f>'WetLitterbags placem_collection'!K115</f>
        <v>G724</v>
      </c>
      <c r="M114" s="223">
        <f>IFERROR(INDEX('Green_rooibos initial weight'!$C$5:$C$2000,MATCH(L114, 'Green_rooibos initial weight'!$A$5:$A$2000,0)),"")</f>
        <v>2.0289999999999999</v>
      </c>
      <c r="N114" s="223">
        <f>IFERROR(M114-(TBIcalc!$H$9+TBIcalc!$H$10),"")</f>
        <v>1.7791999999999999</v>
      </c>
      <c r="O114" s="378">
        <f>AVERAGE(Ashed_controlls!$K$2:$K$11)</f>
        <v>5.5147656768714146</v>
      </c>
      <c r="P114" s="223">
        <f t="shared" si="6"/>
        <v>1.6810812890771036</v>
      </c>
      <c r="Q114" s="223">
        <f>IFERROR(INDEX('Both teabags AfterWet'!$C$3:$C$840,MATCH(L114,'Both teabags AfterWet'!$A$3:$A$840,0)),"")</f>
        <v>0.61099999999999999</v>
      </c>
      <c r="R114" s="223">
        <f>IFERROR(IF(Q114&gt;0,Q114-(TBIcalc!$H$9),""),"")</f>
        <v>0.46039999999999998</v>
      </c>
      <c r="S114" s="223">
        <f>IFERROR(INDEX('Ashed teabags wet'!$K$2:$K$2000,MATCH(L114,'Ashed teabags wet'!$A$2:$A$2000,0)),"")</f>
        <v>15.414073719482863</v>
      </c>
      <c r="T114" s="223">
        <f t="shared" si="7"/>
        <v>0.38943360459550092</v>
      </c>
      <c r="U114" s="224">
        <f>'WetLitterbags placem_collection'!E115</f>
        <v>42762</v>
      </c>
      <c r="V114" s="224">
        <f>IF('WetLitterbags placem_collection'!G115="","",'WetLitterbags placem_collection'!G115)</f>
        <v>42816</v>
      </c>
      <c r="W114" s="225">
        <f t="shared" si="5"/>
        <v>54</v>
      </c>
      <c r="X114" s="223">
        <f t="shared" si="8"/>
        <v>1.3188</v>
      </c>
      <c r="Y114" s="223">
        <f t="shared" si="9"/>
        <v>1.2916476844816027</v>
      </c>
      <c r="Z114">
        <f>IFERROR(INDEX([1]Rainfall_Wet!$O$2:$O$217,MATCH(C114, [1]Rainfall_Wet!$A$2:$A$217,0)),"")</f>
        <v>206.85140822299999</v>
      </c>
      <c r="AA114" s="226">
        <v>27.96</v>
      </c>
      <c r="AB114" s="226">
        <v>4.9200000000000017</v>
      </c>
      <c r="AC114" s="226">
        <v>67.12</v>
      </c>
      <c r="AD114" s="227" t="s">
        <v>2651</v>
      </c>
      <c r="AE114" s="226">
        <v>0.88610152784622953</v>
      </c>
      <c r="AF114">
        <f>IF('WetLitterbags placem_collection'!AB115="","",'WetLitterbags placem_collection'!AB115)</f>
        <v>26</v>
      </c>
      <c r="AG114">
        <f>IF('WetLitterbags placem_collection'!Z115="","",'WetLitterbags placem_collection'!Z115)</f>
        <v>88.5</v>
      </c>
      <c r="AH114" s="236" t="str">
        <f>IF('WetLitterbags placem_collection'!AA115="","",'WetLitterbags placem_collection'!AA115)</f>
        <v>G</v>
      </c>
      <c r="AI114">
        <f>IF('WetLitterbags placem_collection'!AC115="","",'WetLitterbags placem_collection'!AC115)</f>
        <v>0</v>
      </c>
      <c r="AJ114" s="233">
        <f>AVERAGE('WetLitterbags placem_collection'!S115,'WetLitterbags placem_collection'!U115)</f>
        <v>8.6999999999999993</v>
      </c>
      <c r="AK114">
        <f>AVERAGE('WetLitterbags placem_collection'!R115,'WetLitterbags placem_collection'!T115)</f>
        <v>32.4</v>
      </c>
      <c r="AL114">
        <f>INDEX([2]Coordinates!$B$2:$B$197,MATCH(I114,[2]Coordinates!$J$2:$J$197,0))</f>
        <v>-2.3487199940000001</v>
      </c>
      <c r="AM114">
        <f>INDEX([2]Coordinates!$C$2:$C$197,MATCH(I114,[2]Coordinates!$J$2:$J$197,0))</f>
        <v>34.051391029999998</v>
      </c>
      <c r="AN114" t="str">
        <f>IF(ISNUMBER(SEARCH("C", 'WetLitterbags placem_collection'!$V115)),"YES","NO")</f>
        <v>YES</v>
      </c>
      <c r="AO114" t="str">
        <f>IF(ISNUMBER(SEARCH("H", 'WetLitterbags placem_collection'!$V115)),"YES","NO")</f>
        <v>NO</v>
      </c>
      <c r="AP114" t="str">
        <f>IF(ISNUMBER(SEARCH("R", 'WetLitterbags placem_collection'!$V115)),"YES","NO")</f>
        <v>YES</v>
      </c>
    </row>
    <row r="115" spans="1:42" ht="15" customHeight="1">
      <c r="A115" t="s">
        <v>3248</v>
      </c>
      <c r="B115" s="248" t="s">
        <v>2454</v>
      </c>
      <c r="C115" s="253">
        <f>'Dry_Litterbag Placem_Collection'!A116</f>
        <v>114</v>
      </c>
      <c r="D115" s="253" t="str">
        <f>'Dry_Litterbag Placem_Collection'!B116</f>
        <v xml:space="preserve">Mwantimba
</v>
      </c>
      <c r="E115" s="253" t="s">
        <v>2454</v>
      </c>
      <c r="F115" s="253" t="s">
        <v>2644</v>
      </c>
      <c r="G115" s="253">
        <v>3</v>
      </c>
      <c r="H115" s="253" t="s">
        <v>3119</v>
      </c>
      <c r="I115" s="254" t="str">
        <f>'Dry_Litterbag Placem_Collection'!C116</f>
        <v>Wet_Ag3_T2</v>
      </c>
      <c r="J115" s="255" t="s">
        <v>2525</v>
      </c>
      <c r="K115" s="256" t="s">
        <v>1147</v>
      </c>
      <c r="L115" s="221" t="str">
        <f>'WetLitterbags placem_collection'!K116</f>
        <v>G803</v>
      </c>
      <c r="M115" s="223">
        <f>IFERROR(INDEX('Green_rooibos initial weight'!$C$5:$C$2000,MATCH(L115, 'Green_rooibos initial weight'!$A$5:$A$2000,0)),"")</f>
        <v>2.0590000000000002</v>
      </c>
      <c r="N115" s="223">
        <f>IFERROR(M115-(TBIcalc!$H$9+TBIcalc!$H$10),"")</f>
        <v>1.8092000000000001</v>
      </c>
      <c r="O115" s="378">
        <f>AVERAGE(Ashed_controlls!$K$2:$K$11)</f>
        <v>5.5147656768714146</v>
      </c>
      <c r="P115" s="223">
        <f t="shared" si="6"/>
        <v>1.7094268593740425</v>
      </c>
      <c r="Q115" s="223">
        <f>IFERROR(INDEX('Both teabags AfterWet'!$C$3:$C$840,MATCH(L115,'Both teabags AfterWet'!$A$3:$A$840,0)),"")</f>
        <v>0.64300000000000002</v>
      </c>
      <c r="R115" s="223">
        <f>IFERROR(IF(Q115&gt;0,Q115-(TBIcalc!$H$9),""),"")</f>
        <v>0.4924</v>
      </c>
      <c r="S115" s="223">
        <f>IFERROR(INDEX('Ashed teabags wet'!$K$2:$K$2000,MATCH(L115,'Ashed teabags wet'!$A$2:$A$2000,0)),"")</f>
        <v>21.028971028971405</v>
      </c>
      <c r="T115" s="223">
        <f t="shared" si="7"/>
        <v>0.38885334665334481</v>
      </c>
      <c r="U115" s="224">
        <f>'WetLitterbags placem_collection'!E116</f>
        <v>42762</v>
      </c>
      <c r="V115" s="224">
        <f>IF('WetLitterbags placem_collection'!G116="","",'WetLitterbags placem_collection'!G116)</f>
        <v>42816</v>
      </c>
      <c r="W115" s="225">
        <f t="shared" si="5"/>
        <v>54</v>
      </c>
      <c r="X115" s="223">
        <f t="shared" si="8"/>
        <v>1.3168000000000002</v>
      </c>
      <c r="Y115" s="223">
        <f t="shared" si="9"/>
        <v>1.3205735127206977</v>
      </c>
      <c r="Z115">
        <f>IFERROR(INDEX([1]Rainfall_Wet!$O$2:$O$217,MATCH(C115, [1]Rainfall_Wet!$A$2:$A$217,0)),"")</f>
        <v>206.85140822299999</v>
      </c>
      <c r="AA115" s="226">
        <v>27.96</v>
      </c>
      <c r="AB115" s="226">
        <v>4.9200000000000017</v>
      </c>
      <c r="AC115" s="226">
        <v>67.12</v>
      </c>
      <c r="AD115" s="227" t="s">
        <v>2651</v>
      </c>
      <c r="AE115" s="226">
        <v>1.8861015278462301</v>
      </c>
      <c r="AF115">
        <f>IF('WetLitterbags placem_collection'!AB116="","",'WetLitterbags placem_collection'!AB116)</f>
        <v>16.5</v>
      </c>
      <c r="AG115">
        <f>IF('WetLitterbags placem_collection'!Z116="","",'WetLitterbags placem_collection'!Z116)</f>
        <v>87.5</v>
      </c>
      <c r="AH115" s="236" t="str">
        <f>IF('WetLitterbags placem_collection'!AA116="","",'WetLitterbags placem_collection'!AA116)</f>
        <v>G</v>
      </c>
      <c r="AI115">
        <f>IF('WetLitterbags placem_collection'!AC116="","",'WetLitterbags placem_collection'!AC116)</f>
        <v>0</v>
      </c>
      <c r="AJ115" s="233">
        <f>AVERAGE('WetLitterbags placem_collection'!S116,'WetLitterbags placem_collection'!U116)</f>
        <v>12.899999999999999</v>
      </c>
      <c r="AK115">
        <f>AVERAGE('WetLitterbags placem_collection'!R116,'WetLitterbags placem_collection'!T116)</f>
        <v>30.450000000000003</v>
      </c>
      <c r="AL115">
        <f>INDEX([2]Coordinates!$B$2:$B$197,MATCH(I115,[2]Coordinates!$J$2:$J$197,0))</f>
        <v>-2.348716976</v>
      </c>
      <c r="AM115">
        <f>INDEX([2]Coordinates!$C$2:$C$197,MATCH(I115,[2]Coordinates!$J$2:$J$197,0))</f>
        <v>34.051484989999999</v>
      </c>
      <c r="AN115" t="str">
        <f>IF(ISNUMBER(SEARCH("C", 'WetLitterbags placem_collection'!$V116)),"YES","NO")</f>
        <v>NO</v>
      </c>
      <c r="AO115" t="str">
        <f>IF(ISNUMBER(SEARCH("H", 'WetLitterbags placem_collection'!$V116)),"YES","NO")</f>
        <v>YES</v>
      </c>
      <c r="AP115" t="str">
        <f>IF(ISNUMBER(SEARCH("R", 'WetLitterbags placem_collection'!$V116)),"YES","NO")</f>
        <v>YES</v>
      </c>
    </row>
    <row r="116" spans="1:42" ht="15" customHeight="1">
      <c r="A116" t="s">
        <v>3248</v>
      </c>
      <c r="B116" s="248" t="s">
        <v>2454</v>
      </c>
      <c r="C116" s="253">
        <f>'Dry_Litterbag Placem_Collection'!A117</f>
        <v>115</v>
      </c>
      <c r="D116" s="253" t="str">
        <f>'Dry_Litterbag Placem_Collection'!B117</f>
        <v xml:space="preserve">Mwantimba
</v>
      </c>
      <c r="E116" s="253" t="s">
        <v>2454</v>
      </c>
      <c r="F116" s="253" t="s">
        <v>2644</v>
      </c>
      <c r="G116" s="253">
        <v>3</v>
      </c>
      <c r="H116" s="253" t="s">
        <v>3119</v>
      </c>
      <c r="I116" s="254" t="str">
        <f>'Dry_Litterbag Placem_Collection'!C117</f>
        <v>Wet_Ag3_T3</v>
      </c>
      <c r="J116" s="255" t="s">
        <v>2525</v>
      </c>
      <c r="K116" s="256" t="s">
        <v>1147</v>
      </c>
      <c r="L116" s="221" t="str">
        <f>'WetLitterbags placem_collection'!K117</f>
        <v>G693</v>
      </c>
      <c r="M116" s="223">
        <f>IFERROR(INDEX('Green_rooibos initial weight'!$C$5:$C$2000,MATCH(L116, 'Green_rooibos initial weight'!$A$5:$A$2000,0)),"")</f>
        <v>2.0710000000000002</v>
      </c>
      <c r="N116" s="223">
        <f>IFERROR(M116-(TBIcalc!$H$9+TBIcalc!$H$10),"")</f>
        <v>1.8212000000000002</v>
      </c>
      <c r="O116" s="378">
        <f>AVERAGE(Ashed_controlls!$K$2:$K$11)</f>
        <v>5.5147656768714146</v>
      </c>
      <c r="P116" s="223">
        <f t="shared" si="6"/>
        <v>1.720765087492818</v>
      </c>
      <c r="Q116" s="223">
        <f>IFERROR(INDEX('Both teabags AfterWet'!$C$3:$C$840,MATCH(L116,'Both teabags AfterWet'!$A$3:$A$840,0)),"")</f>
        <v>0.63400000000000001</v>
      </c>
      <c r="R116" s="223">
        <f>IFERROR(IF(Q116&gt;0,Q116-(TBIcalc!$H$9),""),"")</f>
        <v>0.4834</v>
      </c>
      <c r="S116" s="223">
        <f>IFERROR(INDEX('Ashed teabags wet'!$K$2:$K$2000,MATCH(L116,'Ashed teabags wet'!$A$2:$A$2000,0)),"")</f>
        <v>16.568993074054781</v>
      </c>
      <c r="T116" s="223">
        <f t="shared" si="7"/>
        <v>0.40330548748001921</v>
      </c>
      <c r="U116" s="224">
        <f>'WetLitterbags placem_collection'!E117</f>
        <v>42762</v>
      </c>
      <c r="V116" s="224">
        <f>IF('WetLitterbags placem_collection'!G117="","",'WetLitterbags placem_collection'!G117)</f>
        <v>42816</v>
      </c>
      <c r="W116" s="225">
        <f t="shared" si="5"/>
        <v>54</v>
      </c>
      <c r="X116" s="223">
        <f t="shared" si="8"/>
        <v>1.3378000000000001</v>
      </c>
      <c r="Y116" s="223">
        <f t="shared" si="9"/>
        <v>1.3174596000127987</v>
      </c>
      <c r="Z116">
        <f>IFERROR(INDEX([1]Rainfall_Wet!$O$2:$O$217,MATCH(C116, [1]Rainfall_Wet!$A$2:$A$217,0)),"")</f>
        <v>206.85140822299999</v>
      </c>
      <c r="AA116" s="226">
        <v>27.96</v>
      </c>
      <c r="AB116" s="226">
        <v>4.9200000000000017</v>
      </c>
      <c r="AC116" s="226">
        <v>67.12</v>
      </c>
      <c r="AD116" s="227" t="s">
        <v>2651</v>
      </c>
      <c r="AE116" s="226">
        <v>2.8861015278462299</v>
      </c>
      <c r="AF116">
        <f>IF('WetLitterbags placem_collection'!AB117="","",'WetLitterbags placem_collection'!AB117)</f>
        <v>19</v>
      </c>
      <c r="AG116">
        <f>IF('WetLitterbags placem_collection'!Z117="","",'WetLitterbags placem_collection'!Z117)</f>
        <v>79.5</v>
      </c>
      <c r="AH116" s="236" t="str">
        <f>IF('WetLitterbags placem_collection'!AA117="","",'WetLitterbags placem_collection'!AA117)</f>
        <v>G</v>
      </c>
      <c r="AI116">
        <f>IF('WetLitterbags placem_collection'!AC117="","",'WetLitterbags placem_collection'!AC117)</f>
        <v>1</v>
      </c>
      <c r="AJ116" s="233">
        <f>AVERAGE('WetLitterbags placem_collection'!S117,'WetLitterbags placem_collection'!U117)</f>
        <v>9.9499999999999993</v>
      </c>
      <c r="AK116">
        <f>AVERAGE('WetLitterbags placem_collection'!R117,'WetLitterbags placem_collection'!T117)</f>
        <v>31.7</v>
      </c>
      <c r="AL116">
        <f>INDEX([2]Coordinates!$B$2:$B$197,MATCH(I116,[2]Coordinates!$J$2:$J$197,0))</f>
        <v>-2.3487800079999999</v>
      </c>
      <c r="AM116">
        <f>INDEX([2]Coordinates!$C$2:$C$197,MATCH(I116,[2]Coordinates!$J$2:$J$197,0))</f>
        <v>34.051495969999998</v>
      </c>
      <c r="AN116" t="str">
        <f>IF(ISNUMBER(SEARCH("C", 'WetLitterbags placem_collection'!$V117)),"YES","NO")</f>
        <v>NO</v>
      </c>
      <c r="AO116" t="str">
        <f>IF(ISNUMBER(SEARCH("H", 'WetLitterbags placem_collection'!$V117)),"YES","NO")</f>
        <v>NO</v>
      </c>
      <c r="AP116" t="str">
        <f>IF(ISNUMBER(SEARCH("R", 'WetLitterbags placem_collection'!$V117)),"YES","NO")</f>
        <v>YES</v>
      </c>
    </row>
    <row r="117" spans="1:42" ht="15" customHeight="1">
      <c r="A117" t="s">
        <v>3248</v>
      </c>
      <c r="B117" s="248" t="s">
        <v>2454</v>
      </c>
      <c r="C117" s="253">
        <f>'Dry_Litterbag Placem_Collection'!A118</f>
        <v>116</v>
      </c>
      <c r="D117" s="253" t="str">
        <f>'Dry_Litterbag Placem_Collection'!B118</f>
        <v xml:space="preserve">Mwantimba
</v>
      </c>
      <c r="E117" s="253" t="s">
        <v>2454</v>
      </c>
      <c r="F117" s="253" t="s">
        <v>2644</v>
      </c>
      <c r="G117" s="253">
        <v>3</v>
      </c>
      <c r="H117" s="253" t="s">
        <v>3119</v>
      </c>
      <c r="I117" s="254" t="str">
        <f>'Dry_Litterbag Placem_Collection'!C118</f>
        <v>Wet_Ag3_T4</v>
      </c>
      <c r="J117" s="255" t="s">
        <v>2525</v>
      </c>
      <c r="K117" s="256" t="s">
        <v>1147</v>
      </c>
      <c r="L117" s="221" t="str">
        <f>'WetLitterbags placem_collection'!K118</f>
        <v>G897</v>
      </c>
      <c r="M117" s="223">
        <f>IFERROR(INDEX('Green_rooibos initial weight'!$C$5:$C$2000,MATCH(L117, 'Green_rooibos initial weight'!$A$5:$A$2000,0)),"")</f>
        <v>2.0299999999999998</v>
      </c>
      <c r="N117" s="223">
        <f>IFERROR(M117-(TBIcalc!$H$9+TBIcalc!$H$10),"")</f>
        <v>1.7801999999999998</v>
      </c>
      <c r="O117" s="378">
        <f>AVERAGE(Ashed_controlls!$K$2:$K$11)</f>
        <v>5.5147656768714146</v>
      </c>
      <c r="P117" s="223">
        <f t="shared" si="6"/>
        <v>1.6820261414203348</v>
      </c>
      <c r="Q117" s="223">
        <f>IFERROR(INDEX('Both teabags AfterWet'!$C$3:$C$840,MATCH(L117,'Both teabags AfterWet'!$A$3:$A$840,0)),"")</f>
        <v>0.67869999999999997</v>
      </c>
      <c r="R117" s="223">
        <f>IFERROR(IF(Q117&gt;0,Q117-(TBIcalc!$H$9),""),"")</f>
        <v>0.52810000000000001</v>
      </c>
      <c r="S117" s="223">
        <f>IFERROR(INDEX('Ashed teabags wet'!$K$2:$K$2000,MATCH(L117,'Ashed teabags wet'!$A$2:$A$2000,0)),"")</f>
        <v>16.164658634537794</v>
      </c>
      <c r="T117" s="223">
        <f t="shared" si="7"/>
        <v>0.44273443775100596</v>
      </c>
      <c r="U117" s="224">
        <f>'WetLitterbags placem_collection'!E118</f>
        <v>42762</v>
      </c>
      <c r="V117" s="224">
        <f>IF('WetLitterbags placem_collection'!G118="","",'WetLitterbags placem_collection'!G118)</f>
        <v>42816</v>
      </c>
      <c r="W117" s="225">
        <f t="shared" si="5"/>
        <v>54</v>
      </c>
      <c r="X117" s="223">
        <f t="shared" si="8"/>
        <v>1.2520999999999998</v>
      </c>
      <c r="Y117" s="223">
        <f t="shared" si="9"/>
        <v>1.2392917036693287</v>
      </c>
      <c r="Z117">
        <f>IFERROR(INDEX([1]Rainfall_Wet!$O$2:$O$217,MATCH(C117, [1]Rainfall_Wet!$A$2:$A$217,0)),"")</f>
        <v>206.85140822299999</v>
      </c>
      <c r="AA117" s="226">
        <v>27.96</v>
      </c>
      <c r="AB117" s="226">
        <v>4.9200000000000017</v>
      </c>
      <c r="AC117" s="226">
        <v>67.12</v>
      </c>
      <c r="AD117" s="227" t="s">
        <v>2651</v>
      </c>
      <c r="AE117" s="226">
        <v>3.8861015278462299</v>
      </c>
      <c r="AF117">
        <f>IF('WetLitterbags placem_collection'!AB118="","",'WetLitterbags placem_collection'!AB118)</f>
        <v>22.5</v>
      </c>
      <c r="AG117">
        <f>IF('WetLitterbags placem_collection'!Z118="","",'WetLitterbags placem_collection'!Z118)</f>
        <v>76</v>
      </c>
      <c r="AH117" s="236" t="str">
        <f>IF('WetLitterbags placem_collection'!AA118="","",'WetLitterbags placem_collection'!AA118)</f>
        <v>G</v>
      </c>
      <c r="AI117">
        <f>IF('WetLitterbags placem_collection'!AC118="","",'WetLitterbags placem_collection'!AC118)</f>
        <v>1</v>
      </c>
      <c r="AJ117" s="233">
        <f>AVERAGE('WetLitterbags placem_collection'!S118,'WetLitterbags placem_collection'!U118)</f>
        <v>8.75</v>
      </c>
      <c r="AK117">
        <f>AVERAGE('WetLitterbags placem_collection'!R118,'WetLitterbags placem_collection'!T118)</f>
        <v>25.6</v>
      </c>
      <c r="AL117">
        <f>INDEX([2]Coordinates!$B$2:$B$197,MATCH(I117,[2]Coordinates!$J$2:$J$197,0))</f>
        <v>-2.3488120270000001</v>
      </c>
      <c r="AM117">
        <f>INDEX([2]Coordinates!$C$2:$C$197,MATCH(I117,[2]Coordinates!$J$2:$J$197,0))</f>
        <v>34.05146697</v>
      </c>
      <c r="AN117" t="str">
        <f>IF(ISNUMBER(SEARCH("C", 'WetLitterbags placem_collection'!$V118)),"YES","NO")</f>
        <v>NO</v>
      </c>
      <c r="AO117" t="str">
        <f>IF(ISNUMBER(SEARCH("H", 'WetLitterbags placem_collection'!$V118)),"YES","NO")</f>
        <v>NO</v>
      </c>
      <c r="AP117" t="str">
        <f>IF(ISNUMBER(SEARCH("R", 'WetLitterbags placem_collection'!$V118)),"YES","NO")</f>
        <v>NO</v>
      </c>
    </row>
    <row r="118" spans="1:42" ht="15" customHeight="1">
      <c r="A118" t="s">
        <v>3248</v>
      </c>
      <c r="B118" s="248" t="s">
        <v>2454</v>
      </c>
      <c r="C118" s="253">
        <f>'Dry_Litterbag Placem_Collection'!A119</f>
        <v>117</v>
      </c>
      <c r="D118" s="253" t="str">
        <f>'Dry_Litterbag Placem_Collection'!B119</f>
        <v xml:space="preserve">Mwantimba
</v>
      </c>
      <c r="E118" s="253" t="s">
        <v>2454</v>
      </c>
      <c r="F118" s="253" t="s">
        <v>2644</v>
      </c>
      <c r="G118" s="253">
        <v>3</v>
      </c>
      <c r="H118" s="253" t="s">
        <v>3119</v>
      </c>
      <c r="I118" s="254" t="str">
        <f>'Dry_Litterbag Placem_Collection'!C119</f>
        <v>Wet_Ag3_T5</v>
      </c>
      <c r="J118" s="255" t="s">
        <v>2525</v>
      </c>
      <c r="K118" s="256" t="s">
        <v>1147</v>
      </c>
      <c r="L118" s="221" t="str">
        <f>'WetLitterbags placem_collection'!K119</f>
        <v>G789</v>
      </c>
      <c r="M118" s="223">
        <f>IFERROR(INDEX('Green_rooibos initial weight'!$C$5:$C$2000,MATCH(L118, 'Green_rooibos initial weight'!$A$5:$A$2000,0)),"")</f>
        <v>2.109</v>
      </c>
      <c r="N118" s="223">
        <f>IFERROR(M118-(TBIcalc!$H$9+TBIcalc!$H$10),"")</f>
        <v>1.8592</v>
      </c>
      <c r="O118" s="378">
        <f>AVERAGE(Ashed_controlls!$K$2:$K$11)</f>
        <v>5.5147656768714146</v>
      </c>
      <c r="P118" s="223">
        <f t="shared" si="6"/>
        <v>1.7566694765356066</v>
      </c>
      <c r="Q118" s="223">
        <f>IFERROR(INDEX('Both teabags AfterWet'!$C$3:$C$840,MATCH(L118,'Both teabags AfterWet'!$A$3:$A$840,0)),"")</f>
        <v>0.79800000000000004</v>
      </c>
      <c r="R118" s="223">
        <f>IFERROR(IF(Q118&gt;0,Q118-(TBIcalc!$H$9),""),"")</f>
        <v>0.64739999999999998</v>
      </c>
      <c r="S118" s="223">
        <f>IFERROR(INDEX('Ashed teabags wet'!$K$2:$K$2000,MATCH(L118,'Ashed teabags wet'!$A$2:$A$2000,0)),"")</f>
        <v>28.215353938185377</v>
      </c>
      <c r="T118" s="223">
        <f t="shared" si="7"/>
        <v>0.46473379860418784</v>
      </c>
      <c r="U118" s="224">
        <f>'WetLitterbags placem_collection'!E119</f>
        <v>42762</v>
      </c>
      <c r="V118" s="224">
        <f>IF('WetLitterbags placem_collection'!G119="","",'WetLitterbags placem_collection'!G119)</f>
        <v>42816</v>
      </c>
      <c r="W118" s="225">
        <f t="shared" si="5"/>
        <v>54</v>
      </c>
      <c r="X118" s="223">
        <f t="shared" si="8"/>
        <v>1.2118</v>
      </c>
      <c r="Y118" s="223">
        <f t="shared" si="9"/>
        <v>1.2919356779314186</v>
      </c>
      <c r="Z118">
        <f>IFERROR(INDEX([1]Rainfall_Wet!$O$2:$O$217,MATCH(C118, [1]Rainfall_Wet!$A$2:$A$217,0)),"")</f>
        <v>206.85140822299999</v>
      </c>
      <c r="AA118" s="226">
        <v>27.96</v>
      </c>
      <c r="AB118" s="226">
        <v>4.9200000000000017</v>
      </c>
      <c r="AC118" s="226">
        <v>67.12</v>
      </c>
      <c r="AD118" s="227" t="s">
        <v>2651</v>
      </c>
      <c r="AE118" s="226">
        <v>4.8861015278462299</v>
      </c>
      <c r="AF118">
        <f>IF('WetLitterbags placem_collection'!AB119="","",'WetLitterbags placem_collection'!AB119)</f>
        <v>23.5</v>
      </c>
      <c r="AG118">
        <f>IF('WetLitterbags placem_collection'!Z119="","",'WetLitterbags placem_collection'!Z119)</f>
        <v>76</v>
      </c>
      <c r="AH118" s="236" t="str">
        <f>IF('WetLitterbags placem_collection'!AA119="","",'WetLitterbags placem_collection'!AA119)</f>
        <v>G</v>
      </c>
      <c r="AI118">
        <f>IF('WetLitterbags placem_collection'!AC119="","",'WetLitterbags placem_collection'!AC119)</f>
        <v>1</v>
      </c>
      <c r="AJ118" s="233">
        <f>AVERAGE('WetLitterbags placem_collection'!S119,'WetLitterbags placem_collection'!U119)</f>
        <v>5.6999999999999993</v>
      </c>
      <c r="AK118">
        <f>AVERAGE('WetLitterbags placem_collection'!R119,'WetLitterbags placem_collection'!T119)</f>
        <v>31.75</v>
      </c>
      <c r="AL118">
        <f>INDEX([2]Coordinates!$B$2:$B$197,MATCH(I118,[2]Coordinates!$J$2:$J$197,0))</f>
        <v>-2.348814961</v>
      </c>
      <c r="AM118">
        <f>INDEX([2]Coordinates!$C$2:$C$197,MATCH(I118,[2]Coordinates!$J$2:$J$197,0))</f>
        <v>34.051439979999998</v>
      </c>
      <c r="AN118" t="str">
        <f>IF(ISNUMBER(SEARCH("C", 'WetLitterbags placem_collection'!$V119)),"YES","NO")</f>
        <v>NO</v>
      </c>
      <c r="AO118" t="str">
        <f>IF(ISNUMBER(SEARCH("H", 'WetLitterbags placem_collection'!$V119)),"YES","NO")</f>
        <v>YES</v>
      </c>
      <c r="AP118" t="str">
        <f>IF(ISNUMBER(SEARCH("R", 'WetLitterbags placem_collection'!$V119)),"YES","NO")</f>
        <v>YES</v>
      </c>
    </row>
    <row r="119" spans="1:42" ht="15" customHeight="1">
      <c r="A119" t="s">
        <v>3248</v>
      </c>
      <c r="B119" s="248" t="s">
        <v>2454</v>
      </c>
      <c r="C119" s="253">
        <f>'Dry_Litterbag Placem_Collection'!A120</f>
        <v>118</v>
      </c>
      <c r="D119" s="253" t="str">
        <f>'Dry_Litterbag Placem_Collection'!B120</f>
        <v xml:space="preserve">Mwantimba
</v>
      </c>
      <c r="E119" s="253" t="s">
        <v>2454</v>
      </c>
      <c r="F119" s="253" t="s">
        <v>2644</v>
      </c>
      <c r="G119" s="253">
        <v>3</v>
      </c>
      <c r="H119" s="253" t="s">
        <v>3119</v>
      </c>
      <c r="I119" s="254" t="str">
        <f>'Dry_Litterbag Placem_Collection'!C120</f>
        <v>Wet_Ag3_T6</v>
      </c>
      <c r="J119" s="255" t="s">
        <v>2525</v>
      </c>
      <c r="K119" s="256" t="s">
        <v>1147</v>
      </c>
      <c r="L119" s="221" t="str">
        <f>'WetLitterbags placem_collection'!K120</f>
        <v>G681</v>
      </c>
      <c r="M119" s="223">
        <f>IFERROR(INDEX('Green_rooibos initial weight'!$C$5:$C$2000,MATCH(L119, 'Green_rooibos initial weight'!$A$5:$A$2000,0)),"")</f>
        <v>2.0790000000000002</v>
      </c>
      <c r="N119" s="223">
        <f>IFERROR(M119-(TBIcalc!$H$9+TBIcalc!$H$10),"")</f>
        <v>1.8292000000000002</v>
      </c>
      <c r="O119" s="378">
        <f>AVERAGE(Ashed_controlls!$K$2:$K$11)</f>
        <v>5.5147656768714146</v>
      </c>
      <c r="P119" s="223">
        <f t="shared" si="6"/>
        <v>1.7283239062386682</v>
      </c>
      <c r="Q119" s="223">
        <f>IFERROR(INDEX('Both teabags AfterWet'!$C$3:$C$840,MATCH(L119,'Both teabags AfterWet'!$A$3:$A$840,0)),"")</f>
        <v>0.56799999999999995</v>
      </c>
      <c r="R119" s="223">
        <f>IFERROR(IF(Q119&gt;0,Q119-(TBIcalc!$H$9),""),"")</f>
        <v>0.41739999999999994</v>
      </c>
      <c r="S119" s="223">
        <f>IFERROR(INDEX('Ashed teabags wet'!$K$2:$K$2000,MATCH(L119,'Ashed teabags wet'!$A$2:$A$2000,0)),"")</f>
        <v>15.039447731755478</v>
      </c>
      <c r="T119" s="223">
        <f t="shared" si="7"/>
        <v>0.35462534516765259</v>
      </c>
      <c r="U119" s="224">
        <f>'WetLitterbags placem_collection'!E120</f>
        <v>42762</v>
      </c>
      <c r="V119" s="224">
        <f>IF('WetLitterbags placem_collection'!G120="","",'WetLitterbags placem_collection'!G120)</f>
        <v>42816</v>
      </c>
      <c r="W119" s="225">
        <f t="shared" si="5"/>
        <v>54</v>
      </c>
      <c r="X119" s="223">
        <f t="shared" si="8"/>
        <v>1.4118000000000002</v>
      </c>
      <c r="Y119" s="223">
        <f t="shared" si="9"/>
        <v>1.3736985610710155</v>
      </c>
      <c r="Z119">
        <f>IFERROR(INDEX([1]Rainfall_Wet!$O$2:$O$217,MATCH(C119, [1]Rainfall_Wet!$A$2:$A$217,0)),"")</f>
        <v>206.85140822299999</v>
      </c>
      <c r="AA119" s="226">
        <v>27.96</v>
      </c>
      <c r="AB119" s="226">
        <v>4.9200000000000017</v>
      </c>
      <c r="AC119" s="226">
        <v>67.12</v>
      </c>
      <c r="AD119" s="227" t="s">
        <v>2651</v>
      </c>
      <c r="AE119" s="226">
        <v>5.8861015278462299</v>
      </c>
      <c r="AF119">
        <f>IF('WetLitterbags placem_collection'!AB120="","",'WetLitterbags placem_collection'!AB120)</f>
        <v>17.5</v>
      </c>
      <c r="AG119">
        <f>IF('WetLitterbags placem_collection'!Z120="","",'WetLitterbags placem_collection'!Z120)</f>
        <v>70.5</v>
      </c>
      <c r="AH119" s="236" t="str">
        <f>IF('WetLitterbags placem_collection'!AA120="","",'WetLitterbags placem_collection'!AA120)</f>
        <v>G</v>
      </c>
      <c r="AI119">
        <f>IF('WetLitterbags placem_collection'!AC120="","",'WetLitterbags placem_collection'!AC120)</f>
        <v>1</v>
      </c>
      <c r="AJ119" s="233">
        <f>AVERAGE('WetLitterbags placem_collection'!S120,'WetLitterbags placem_collection'!U120)</f>
        <v>10.7</v>
      </c>
      <c r="AK119">
        <f>AVERAGE('WetLitterbags placem_collection'!R120,'WetLitterbags placem_collection'!T120)</f>
        <v>30.85</v>
      </c>
      <c r="AL119">
        <f>INDEX([2]Coordinates!$B$2:$B$197,MATCH(I119,[2]Coordinates!$J$2:$J$197,0))</f>
        <v>-2.3488729629999998</v>
      </c>
      <c r="AM119">
        <f>INDEX([2]Coordinates!$C$2:$C$197,MATCH(I119,[2]Coordinates!$J$2:$J$197,0))</f>
        <v>34.051454980000003</v>
      </c>
      <c r="AN119" t="str">
        <f>IF(ISNUMBER(SEARCH("C", 'WetLitterbags placem_collection'!$V120)),"YES","NO")</f>
        <v>YES</v>
      </c>
      <c r="AO119" t="str">
        <f>IF(ISNUMBER(SEARCH("H", 'WetLitterbags placem_collection'!$V120)),"YES","NO")</f>
        <v>YES</v>
      </c>
      <c r="AP119" t="str">
        <f>IF(ISNUMBER(SEARCH("R", 'WetLitterbags placem_collection'!$V120)),"YES","NO")</f>
        <v>YES</v>
      </c>
    </row>
    <row r="120" spans="1:42" ht="15" customHeight="1">
      <c r="A120" t="s">
        <v>3248</v>
      </c>
      <c r="B120" s="248" t="s">
        <v>2454</v>
      </c>
      <c r="C120" s="253">
        <f>'Dry_Litterbag Placem_Collection'!A121</f>
        <v>119</v>
      </c>
      <c r="D120" s="253" t="str">
        <f>'Dry_Litterbag Placem_Collection'!B121</f>
        <v xml:space="preserve">Mwantimba
</v>
      </c>
      <c r="E120" s="253" t="s">
        <v>2454</v>
      </c>
      <c r="F120" s="253" t="s">
        <v>2644</v>
      </c>
      <c r="G120" s="253">
        <v>3</v>
      </c>
      <c r="H120" s="253" t="s">
        <v>3119</v>
      </c>
      <c r="I120" s="254" t="str">
        <f>'Dry_Litterbag Placem_Collection'!C121</f>
        <v>Wet_Ag3_T7</v>
      </c>
      <c r="J120" s="255" t="s">
        <v>2525</v>
      </c>
      <c r="K120" s="256" t="s">
        <v>1147</v>
      </c>
      <c r="L120" s="221" t="str">
        <f>'WetLitterbags placem_collection'!K121</f>
        <v>G657</v>
      </c>
      <c r="M120" s="223">
        <f>IFERROR(INDEX('Green_rooibos initial weight'!$C$5:$C$2000,MATCH(L120, 'Green_rooibos initial weight'!$A$5:$A$2000,0)),"")</f>
        <v>1.9910000000000001</v>
      </c>
      <c r="N120" s="223">
        <f>IFERROR(M120-(TBIcalc!$H$9+TBIcalc!$H$10),"")</f>
        <v>1.7412000000000001</v>
      </c>
      <c r="O120" s="378">
        <f>AVERAGE(Ashed_controlls!$K$2:$K$11)</f>
        <v>5.5147656768714146</v>
      </c>
      <c r="P120" s="223">
        <f t="shared" si="6"/>
        <v>1.645176900034315</v>
      </c>
      <c r="Q120" s="223">
        <f>IFERROR(INDEX('Both teabags AfterWet'!$C$3:$C$840,MATCH(L120,'Both teabags AfterWet'!$A$3:$A$840,0)),"")</f>
        <v>0.70099999999999996</v>
      </c>
      <c r="R120" s="223">
        <f>IFERROR(IF(Q120&gt;0,Q120-(TBIcalc!$H$9),""),"")</f>
        <v>0.5504</v>
      </c>
      <c r="S120" s="223">
        <f>IFERROR(INDEX('Ashed teabags wet'!$K$2:$K$2000,MATCH(L120,'Ashed teabags wet'!$A$2:$A$2000,0)),"")</f>
        <v>15.711556829035821</v>
      </c>
      <c r="T120" s="223">
        <f t="shared" si="7"/>
        <v>0.46392359121298682</v>
      </c>
      <c r="U120" s="224">
        <f>'WetLitterbags placem_collection'!E121</f>
        <v>42762</v>
      </c>
      <c r="V120" s="224">
        <f>IF('WetLitterbags placem_collection'!G121="","",'WetLitterbags placem_collection'!G121)</f>
        <v>42816</v>
      </c>
      <c r="W120" s="225">
        <f t="shared" si="5"/>
        <v>54</v>
      </c>
      <c r="X120" s="223">
        <f t="shared" si="8"/>
        <v>1.1908000000000001</v>
      </c>
      <c r="Y120" s="223">
        <f t="shared" si="9"/>
        <v>1.1812533088213282</v>
      </c>
      <c r="Z120">
        <f>IFERROR(INDEX([1]Rainfall_Wet!$O$2:$O$217,MATCH(C120, [1]Rainfall_Wet!$A$2:$A$217,0)),"")</f>
        <v>206.85140822299999</v>
      </c>
      <c r="AA120" s="226">
        <v>27.96</v>
      </c>
      <c r="AB120" s="226">
        <v>4.9200000000000017</v>
      </c>
      <c r="AC120" s="226">
        <v>67.12</v>
      </c>
      <c r="AD120" s="227" t="s">
        <v>2651</v>
      </c>
      <c r="AE120" s="226">
        <v>6.8861015278462299</v>
      </c>
      <c r="AF120">
        <f>IF('WetLitterbags placem_collection'!AB121="","",'WetLitterbags placem_collection'!AB121)</f>
        <v>18.5</v>
      </c>
      <c r="AG120">
        <f>IF('WetLitterbags placem_collection'!Z121="","",'WetLitterbags placem_collection'!Z121)</f>
        <v>74.5</v>
      </c>
      <c r="AH120" s="236" t="str">
        <f>IF('WetLitterbags placem_collection'!AA121="","",'WetLitterbags placem_collection'!AA121)</f>
        <v>G</v>
      </c>
      <c r="AI120">
        <f>IF('WetLitterbags placem_collection'!AC121="","",'WetLitterbags placem_collection'!AC121)</f>
        <v>1</v>
      </c>
      <c r="AJ120" s="233">
        <f>AVERAGE('WetLitterbags placem_collection'!S121,'WetLitterbags placem_collection'!U121)</f>
        <v>11.05</v>
      </c>
      <c r="AK120">
        <f>AVERAGE('WetLitterbags placem_collection'!R121,'WetLitterbags placem_collection'!T121)</f>
        <v>30.450000000000003</v>
      </c>
      <c r="AL120">
        <f>INDEX([2]Coordinates!$B$2:$B$197,MATCH(I120,[2]Coordinates!$J$2:$J$197,0))</f>
        <v>-2.3488589659999999</v>
      </c>
      <c r="AM120">
        <f>INDEX([2]Coordinates!$C$2:$C$197,MATCH(I120,[2]Coordinates!$J$2:$J$197,0))</f>
        <v>34.051389010000001</v>
      </c>
      <c r="AN120" t="str">
        <f>IF(ISNUMBER(SEARCH("C", 'WetLitterbags placem_collection'!$V121)),"YES","NO")</f>
        <v>NO</v>
      </c>
      <c r="AO120" t="str">
        <f>IF(ISNUMBER(SEARCH("H", 'WetLitterbags placem_collection'!$V121)),"YES","NO")</f>
        <v>NO</v>
      </c>
      <c r="AP120" t="str">
        <f>IF(ISNUMBER(SEARCH("R", 'WetLitterbags placem_collection'!$V121)),"YES","NO")</f>
        <v>YES</v>
      </c>
    </row>
    <row r="121" spans="1:42" ht="15" customHeight="1">
      <c r="A121" t="s">
        <v>3248</v>
      </c>
      <c r="B121" s="248" t="s">
        <v>2454</v>
      </c>
      <c r="C121" s="253">
        <f>'Dry_Litterbag Placem_Collection'!A122</f>
        <v>120</v>
      </c>
      <c r="D121" s="253" t="str">
        <f>'Dry_Litterbag Placem_Collection'!B122</f>
        <v xml:space="preserve">Mwantimba
</v>
      </c>
      <c r="E121" s="253" t="s">
        <v>2454</v>
      </c>
      <c r="F121" s="253" t="s">
        <v>2644</v>
      </c>
      <c r="G121" s="253">
        <v>3</v>
      </c>
      <c r="H121" s="253" t="s">
        <v>3119</v>
      </c>
      <c r="I121" s="254" t="str">
        <f>'Dry_Litterbag Placem_Collection'!C122</f>
        <v>Wet_Ag3_T8</v>
      </c>
      <c r="J121" s="255" t="s">
        <v>2525</v>
      </c>
      <c r="K121" s="256" t="s">
        <v>1147</v>
      </c>
      <c r="L121" s="221" t="str">
        <f>'WetLitterbags placem_collection'!K122</f>
        <v>G758</v>
      </c>
      <c r="M121" s="223">
        <f>IFERROR(INDEX('Green_rooibos initial weight'!$C$5:$C$2000,MATCH(L121, 'Green_rooibos initial weight'!$A$5:$A$2000,0)),"")</f>
        <v>2.0310000000000001</v>
      </c>
      <c r="N121" s="223">
        <f>IFERROR(M121-(TBIcalc!$H$9+TBIcalc!$H$10),"")</f>
        <v>1.7812000000000001</v>
      </c>
      <c r="O121" s="378">
        <f>AVERAGE(Ashed_controlls!$K$2:$K$11)</f>
        <v>5.5147656768714146</v>
      </c>
      <c r="P121" s="223">
        <f t="shared" si="6"/>
        <v>1.6829709937635664</v>
      </c>
      <c r="Q121" s="223">
        <f>IFERROR(INDEX('Both teabags AfterWet'!$C$3:$C$840,MATCH(L121,'Both teabags AfterWet'!$A$3:$A$840,0)),"")</f>
        <v>0.67110000000000003</v>
      </c>
      <c r="R121" s="223">
        <f>IFERROR(IF(Q121&gt;0,Q121-(TBIcalc!$H$9),""),"")</f>
        <v>0.52049999999999996</v>
      </c>
      <c r="S121" s="223">
        <f>IFERROR(INDEX('Ashed teabags wet'!$K$2:$K$2000,MATCH(L121,'Ashed teabags wet'!$A$2:$A$2000,0)),"")</f>
        <v>20.466444550213541</v>
      </c>
      <c r="T121" s="223">
        <f t="shared" si="7"/>
        <v>0.41397215611613847</v>
      </c>
      <c r="U121" s="224">
        <f>'WetLitterbags placem_collection'!E122</f>
        <v>42762</v>
      </c>
      <c r="V121" s="224">
        <f>IF('WetLitterbags placem_collection'!G122="","",'WetLitterbags placem_collection'!G122)</f>
        <v>42816</v>
      </c>
      <c r="W121" s="225">
        <f t="shared" si="5"/>
        <v>54</v>
      </c>
      <c r="X121" s="223">
        <f t="shared" si="8"/>
        <v>1.2607000000000002</v>
      </c>
      <c r="Y121" s="223">
        <f t="shared" si="9"/>
        <v>1.2689988376474279</v>
      </c>
      <c r="Z121">
        <f>IFERROR(INDEX([1]Rainfall_Wet!$O$2:$O$217,MATCH(C121, [1]Rainfall_Wet!$A$2:$A$217,0)),"")</f>
        <v>206.85140822299999</v>
      </c>
      <c r="AA121" s="226">
        <v>27.96</v>
      </c>
      <c r="AB121" s="226">
        <v>4.9200000000000017</v>
      </c>
      <c r="AC121" s="226">
        <v>67.12</v>
      </c>
      <c r="AD121" s="227" t="s">
        <v>2651</v>
      </c>
      <c r="AE121" s="226">
        <v>7.8861015278462299</v>
      </c>
      <c r="AF121">
        <f>IF('WetLitterbags placem_collection'!AB122="","",'WetLitterbags placem_collection'!AB122)</f>
        <v>19</v>
      </c>
      <c r="AG121">
        <f>IF('WetLitterbags placem_collection'!Z122="","",'WetLitterbags placem_collection'!Z122)</f>
        <v>98.5</v>
      </c>
      <c r="AH121" s="236" t="str">
        <f>IF('WetLitterbags placem_collection'!AA122="","",'WetLitterbags placem_collection'!AA122)</f>
        <v>G</v>
      </c>
      <c r="AI121">
        <f>IF('WetLitterbags placem_collection'!AC122="","",'WetLitterbags placem_collection'!AC122)</f>
        <v>0</v>
      </c>
      <c r="AJ121" s="233">
        <f>AVERAGE('WetLitterbags placem_collection'!S122,'WetLitterbags placem_collection'!U122)</f>
        <v>14.95</v>
      </c>
      <c r="AK121">
        <f>AVERAGE('WetLitterbags placem_collection'!R122,'WetLitterbags placem_collection'!T122)</f>
        <v>30.299999999999997</v>
      </c>
      <c r="AL121">
        <f>INDEX([2]Coordinates!$B$2:$B$197,MATCH(I121,[2]Coordinates!$J$2:$J$197,0))</f>
        <v>-2.3486449760000001</v>
      </c>
      <c r="AM121">
        <f>INDEX([2]Coordinates!$C$2:$C$197,MATCH(I121,[2]Coordinates!$J$2:$J$197,0))</f>
        <v>34.051495969999998</v>
      </c>
      <c r="AN121" t="str">
        <f>IF(ISNUMBER(SEARCH("C", 'WetLitterbags placem_collection'!$V122)),"YES","NO")</f>
        <v>NO</v>
      </c>
      <c r="AO121" t="str">
        <f>IF(ISNUMBER(SEARCH("H", 'WetLitterbags placem_collection'!$V122)),"YES","NO")</f>
        <v>YES</v>
      </c>
      <c r="AP121" t="str">
        <f>IF(ISNUMBER(SEARCH("R", 'WetLitterbags placem_collection'!$V122)),"YES","NO")</f>
        <v>NO</v>
      </c>
    </row>
    <row r="122" spans="1:42" ht="15" customHeight="1">
      <c r="A122" t="s">
        <v>3248</v>
      </c>
      <c r="B122" s="248" t="s">
        <v>2454</v>
      </c>
      <c r="C122" s="253">
        <f>'Dry_Litterbag Placem_Collection'!A123</f>
        <v>121</v>
      </c>
      <c r="D122" s="253" t="str">
        <f>'Dry_Litterbag Placem_Collection'!B123</f>
        <v xml:space="preserve">Mwantimba
</v>
      </c>
      <c r="E122" s="253" t="s">
        <v>2454</v>
      </c>
      <c r="F122" s="253" t="s">
        <v>2644</v>
      </c>
      <c r="G122" s="253">
        <v>4</v>
      </c>
      <c r="H122" s="253" t="s">
        <v>3120</v>
      </c>
      <c r="I122" s="254" t="str">
        <f>'Dry_Litterbag Placem_Collection'!C123</f>
        <v>Wet_Ag4_T1</v>
      </c>
      <c r="J122" s="255" t="s">
        <v>2525</v>
      </c>
      <c r="K122" s="256" t="s">
        <v>1147</v>
      </c>
      <c r="L122" s="221" t="str">
        <f>'WetLitterbags placem_collection'!K123</f>
        <v>G666</v>
      </c>
      <c r="M122" s="223">
        <f>IFERROR(INDEX('Green_rooibos initial weight'!$C$5:$C$2000,MATCH(L122, 'Green_rooibos initial weight'!$A$5:$A$2000,0)),"")</f>
        <v>2.0819999999999999</v>
      </c>
      <c r="N122" s="223">
        <f>IFERROR(M122-(TBIcalc!$H$9+TBIcalc!$H$10),"")</f>
        <v>1.8321999999999998</v>
      </c>
      <c r="O122" s="378">
        <f>AVERAGE(Ashed_controlls!$K$2:$K$11)</f>
        <v>5.5147656768714146</v>
      </c>
      <c r="P122" s="223">
        <f t="shared" si="6"/>
        <v>1.7311584632683619</v>
      </c>
      <c r="Q122" s="223">
        <f>IFERROR(INDEX('Both teabags AfterWet'!$C$3:$C$840,MATCH(L122,'Both teabags AfterWet'!$A$3:$A$840,0)),"")</f>
        <v>0.63500000000000001</v>
      </c>
      <c r="R122" s="223">
        <f>IFERROR(IF(Q122&gt;0,Q122-(TBIcalc!$H$9),""),"")</f>
        <v>0.4844</v>
      </c>
      <c r="S122" s="223">
        <f>IFERROR(INDEX('Ashed teabags wet'!$K$2:$K$2000,MATCH(L122,'Ashed teabags wet'!$A$2:$A$2000,0)),"")</f>
        <v>11.971153846154037</v>
      </c>
      <c r="T122" s="223">
        <f t="shared" si="7"/>
        <v>0.42641173076922984</v>
      </c>
      <c r="U122" s="224">
        <f>'WetLitterbags placem_collection'!E123</f>
        <v>42762</v>
      </c>
      <c r="V122" s="224">
        <f>IF('WetLitterbags placem_collection'!G123="","",'WetLitterbags placem_collection'!G123)</f>
        <v>42816</v>
      </c>
      <c r="W122" s="225">
        <f t="shared" si="5"/>
        <v>54</v>
      </c>
      <c r="X122" s="223">
        <f t="shared" si="8"/>
        <v>1.3477999999999999</v>
      </c>
      <c r="Y122" s="223">
        <f t="shared" si="9"/>
        <v>1.304746732499132</v>
      </c>
      <c r="Z122">
        <f>IFERROR(INDEX([1]Rainfall_Wet!$O$2:$O$217,MATCH(C122, [1]Rainfall_Wet!$A$2:$A$217,0)),"")</f>
        <v>206.85140822299999</v>
      </c>
      <c r="AA122" s="226">
        <v>17.96</v>
      </c>
      <c r="AB122" s="226">
        <v>4.9199999999999982</v>
      </c>
      <c r="AC122" s="226">
        <v>77.12</v>
      </c>
      <c r="AD122" s="227" t="s">
        <v>2652</v>
      </c>
      <c r="AE122" s="226">
        <v>2.0220798422868409</v>
      </c>
      <c r="AF122">
        <f>IF('WetLitterbags placem_collection'!AB123="","",'WetLitterbags placem_collection'!AB123)</f>
        <v>9.65</v>
      </c>
      <c r="AG122">
        <f>IF('WetLitterbags placem_collection'!Z123="","",'WetLitterbags placem_collection'!Z123)</f>
        <v>63</v>
      </c>
      <c r="AH122" s="236" t="str">
        <f>IF('WetLitterbags placem_collection'!AA123="","",'WetLitterbags placem_collection'!AA123)</f>
        <v>G</v>
      </c>
      <c r="AI122">
        <f>IF('WetLitterbags placem_collection'!AC123="","",'WetLitterbags placem_collection'!AC123)</f>
        <v>0</v>
      </c>
      <c r="AJ122" s="233">
        <f>AVERAGE('WetLitterbags placem_collection'!S123,'WetLitterbags placem_collection'!U123)</f>
        <v>9.5500000000000007</v>
      </c>
      <c r="AK122">
        <f>AVERAGE('WetLitterbags placem_collection'!R123,'WetLitterbags placem_collection'!T123)</f>
        <v>30.75</v>
      </c>
      <c r="AL122">
        <f>INDEX([2]Coordinates!$B$2:$B$197,MATCH(I122,[2]Coordinates!$J$2:$J$197,0))</f>
        <v>-2.3492639789999998</v>
      </c>
      <c r="AM122">
        <f>INDEX([2]Coordinates!$C$2:$C$197,MATCH(I122,[2]Coordinates!$J$2:$J$197,0))</f>
        <v>34.051464029999998</v>
      </c>
      <c r="AN122" t="str">
        <f>IF(ISNUMBER(SEARCH("C", 'WetLitterbags placem_collection'!$V123)),"YES","NO")</f>
        <v>NO</v>
      </c>
      <c r="AO122" t="str">
        <f>IF(ISNUMBER(SEARCH("H", 'WetLitterbags placem_collection'!$V123)),"YES","NO")</f>
        <v>NO</v>
      </c>
      <c r="AP122" t="str">
        <f>IF(ISNUMBER(SEARCH("R", 'WetLitterbags placem_collection'!$V123)),"YES","NO")</f>
        <v>YES</v>
      </c>
    </row>
    <row r="123" spans="1:42" ht="15" customHeight="1">
      <c r="A123" t="s">
        <v>3248</v>
      </c>
      <c r="B123" s="248" t="s">
        <v>2454</v>
      </c>
      <c r="C123" s="253">
        <f>'Dry_Litterbag Placem_Collection'!A124</f>
        <v>122</v>
      </c>
      <c r="D123" s="253" t="str">
        <f>'Dry_Litterbag Placem_Collection'!B124</f>
        <v xml:space="preserve">Mwantimba
</v>
      </c>
      <c r="E123" s="253" t="s">
        <v>2454</v>
      </c>
      <c r="F123" s="253" t="s">
        <v>2644</v>
      </c>
      <c r="G123" s="253">
        <v>4</v>
      </c>
      <c r="H123" s="253" t="s">
        <v>3120</v>
      </c>
      <c r="I123" s="254" t="str">
        <f>'Dry_Litterbag Placem_Collection'!C124</f>
        <v>Wet_Ag4_T2</v>
      </c>
      <c r="J123" s="255" t="s">
        <v>2525</v>
      </c>
      <c r="K123" s="256" t="s">
        <v>1147</v>
      </c>
      <c r="L123" s="221" t="str">
        <f>'WetLitterbags placem_collection'!K124</f>
        <v>G860</v>
      </c>
      <c r="M123" s="223">
        <f>IFERROR(INDEX('Green_rooibos initial weight'!$C$5:$C$2000,MATCH(L123, 'Green_rooibos initial weight'!$A$5:$A$2000,0)),"")</f>
        <v>1.9570000000000001</v>
      </c>
      <c r="N123" s="223">
        <f>IFERROR(M123-(TBIcalc!$H$9+TBIcalc!$H$10),"")</f>
        <v>1.7072000000000001</v>
      </c>
      <c r="O123" s="378">
        <f>AVERAGE(Ashed_controlls!$K$2:$K$11)</f>
        <v>5.5147656768714146</v>
      </c>
      <c r="P123" s="223">
        <f t="shared" si="6"/>
        <v>1.6130519203644513</v>
      </c>
      <c r="Q123" s="223">
        <f>IFERROR(INDEX('Both teabags AfterWet'!$C$3:$C$840,MATCH(L123,'Both teabags AfterWet'!$A$3:$A$840,0)),"")</f>
        <v>0.76800000000000002</v>
      </c>
      <c r="R123" s="223">
        <f>IFERROR(IF(Q123&gt;0,Q123-(TBIcalc!$H$9),""),"")</f>
        <v>0.61739999999999995</v>
      </c>
      <c r="S123" s="223">
        <f>IFERROR(INDEX('Ashed teabags wet'!$K$2:$K$2000,MATCH(L123,'Ashed teabags wet'!$A$2:$A$2000,0)),"")</f>
        <v>32.606541129831015</v>
      </c>
      <c r="T123" s="223">
        <f t="shared" si="7"/>
        <v>0.41608721506442325</v>
      </c>
      <c r="U123" s="224">
        <f>'WetLitterbags placem_collection'!E124</f>
        <v>42762</v>
      </c>
      <c r="V123" s="224">
        <f>IF('WetLitterbags placem_collection'!G124="","",'WetLitterbags placem_collection'!G124)</f>
        <v>42816</v>
      </c>
      <c r="W123" s="225">
        <f t="shared" si="5"/>
        <v>54</v>
      </c>
      <c r="X123" s="223">
        <f t="shared" si="8"/>
        <v>1.0898000000000001</v>
      </c>
      <c r="Y123" s="223">
        <f t="shared" si="9"/>
        <v>1.1969647053000281</v>
      </c>
      <c r="Z123">
        <f>IFERROR(INDEX([1]Rainfall_Wet!$O$2:$O$217,MATCH(C123, [1]Rainfall_Wet!$A$2:$A$217,0)),"")</f>
        <v>206.85140822299999</v>
      </c>
      <c r="AA123" s="226">
        <v>17.96</v>
      </c>
      <c r="AB123" s="226">
        <v>4.9199999999999982</v>
      </c>
      <c r="AC123" s="226">
        <v>77.12</v>
      </c>
      <c r="AD123" s="227" t="s">
        <v>2652</v>
      </c>
      <c r="AE123" s="226">
        <v>3.02207984228684</v>
      </c>
      <c r="AF123">
        <f>IF('WetLitterbags placem_collection'!AB124="","",'WetLitterbags placem_collection'!AB124)</f>
        <v>3.1</v>
      </c>
      <c r="AG123">
        <f>IF('WetLitterbags placem_collection'!Z124="","",'WetLitterbags placem_collection'!Z124)</f>
        <v>53</v>
      </c>
      <c r="AH123" s="236" t="str">
        <f>IF('WetLitterbags placem_collection'!AA124="","",'WetLitterbags placem_collection'!AA124)</f>
        <v>G</v>
      </c>
      <c r="AI123">
        <f>IF('WetLitterbags placem_collection'!AC124="","",'WetLitterbags placem_collection'!AC124)</f>
        <v>0</v>
      </c>
      <c r="AJ123" s="233">
        <f>AVERAGE('WetLitterbags placem_collection'!S124,'WetLitterbags placem_collection'!U124)</f>
        <v>11.8</v>
      </c>
      <c r="AK123">
        <f>AVERAGE('WetLitterbags placem_collection'!R124,'WetLitterbags placem_collection'!T124)</f>
        <v>30.650000000000002</v>
      </c>
      <c r="AL123">
        <f>INDEX([2]Coordinates!$B$2:$B$197,MATCH(I123,[2]Coordinates!$J$2:$J$197,0))</f>
        <v>-2.34923196</v>
      </c>
      <c r="AM123">
        <f>INDEX([2]Coordinates!$C$2:$C$197,MATCH(I123,[2]Coordinates!$J$2:$J$197,0))</f>
        <v>34.051422039999999</v>
      </c>
      <c r="AN123" t="str">
        <f>IF(ISNUMBER(SEARCH("C", 'WetLitterbags placem_collection'!$V124)),"YES","NO")</f>
        <v>NO</v>
      </c>
      <c r="AO123" t="str">
        <f>IF(ISNUMBER(SEARCH("H", 'WetLitterbags placem_collection'!$V124)),"YES","NO")</f>
        <v>YES</v>
      </c>
      <c r="AP123" t="str">
        <f>IF(ISNUMBER(SEARCH("R", 'WetLitterbags placem_collection'!$V124)),"YES","NO")</f>
        <v>YES</v>
      </c>
    </row>
    <row r="124" spans="1:42" ht="15" customHeight="1">
      <c r="A124" t="s">
        <v>3248</v>
      </c>
      <c r="B124" s="248" t="s">
        <v>2454</v>
      </c>
      <c r="C124" s="253">
        <f>'Dry_Litterbag Placem_Collection'!A125</f>
        <v>123</v>
      </c>
      <c r="D124" s="253" t="str">
        <f>'Dry_Litterbag Placem_Collection'!B125</f>
        <v xml:space="preserve">Mwantimba
</v>
      </c>
      <c r="E124" s="253" t="s">
        <v>2454</v>
      </c>
      <c r="F124" s="253" t="s">
        <v>2644</v>
      </c>
      <c r="G124" s="253">
        <v>4</v>
      </c>
      <c r="H124" s="253" t="s">
        <v>3120</v>
      </c>
      <c r="I124" s="254" t="str">
        <f>'Dry_Litterbag Placem_Collection'!C125</f>
        <v>Wet_Ag4_T3</v>
      </c>
      <c r="J124" s="255" t="s">
        <v>2525</v>
      </c>
      <c r="K124" s="256" t="s">
        <v>1147</v>
      </c>
      <c r="L124" s="221" t="str">
        <f>'WetLitterbags placem_collection'!K125</f>
        <v>G694</v>
      </c>
      <c r="M124" s="223">
        <f>IFERROR(INDEX('Green_rooibos initial weight'!$C$5:$C$2000,MATCH(L124, 'Green_rooibos initial weight'!$A$5:$A$2000,0)),"")</f>
        <v>1.992</v>
      </c>
      <c r="N124" s="223">
        <f>IFERROR(M124-(TBIcalc!$H$9+TBIcalc!$H$10),"")</f>
        <v>1.7422</v>
      </c>
      <c r="O124" s="378">
        <f>AVERAGE(Ashed_controlls!$K$2:$K$11)</f>
        <v>5.5147656768714146</v>
      </c>
      <c r="P124" s="223">
        <f t="shared" si="6"/>
        <v>1.6461217523775462</v>
      </c>
      <c r="Q124" s="223">
        <f>IFERROR(INDEX('Both teabags AfterWet'!$C$3:$C$840,MATCH(L124,'Both teabags AfterWet'!$A$3:$A$840,0)),"")</f>
        <v>0.622</v>
      </c>
      <c r="R124" s="223">
        <f>IFERROR(IF(Q124&gt;0,Q124-(TBIcalc!$H$9),""),"")</f>
        <v>0.47139999999999999</v>
      </c>
      <c r="S124" s="223">
        <f>IFERROR(INDEX('Ashed teabags wet'!$K$2:$K$2000,MATCH(L124,'Ashed teabags wet'!$A$2:$A$2000,0)),"")</f>
        <v>15.574174470182131</v>
      </c>
      <c r="T124" s="223">
        <f t="shared" si="7"/>
        <v>0.39798334154756143</v>
      </c>
      <c r="U124" s="224">
        <f>'WetLitterbags placem_collection'!E125</f>
        <v>42762</v>
      </c>
      <c r="V124" s="224">
        <f>IF('WetLitterbags placem_collection'!G125="","",'WetLitterbags placem_collection'!G125)</f>
        <v>42816</v>
      </c>
      <c r="W124" s="225">
        <f t="shared" si="5"/>
        <v>54</v>
      </c>
      <c r="X124" s="223">
        <f t="shared" si="8"/>
        <v>1.2707999999999999</v>
      </c>
      <c r="Y124" s="223">
        <f t="shared" si="9"/>
        <v>1.2481384108299847</v>
      </c>
      <c r="Z124">
        <f>IFERROR(INDEX([1]Rainfall_Wet!$O$2:$O$217,MATCH(C124, [1]Rainfall_Wet!$A$2:$A$217,0)),"")</f>
        <v>206.85140822299999</v>
      </c>
      <c r="AA124" s="226">
        <v>17.96</v>
      </c>
      <c r="AB124" s="226">
        <v>4.9199999999999982</v>
      </c>
      <c r="AC124" s="226">
        <v>77.12</v>
      </c>
      <c r="AD124" s="227" t="s">
        <v>2652</v>
      </c>
      <c r="AE124" s="226">
        <v>4.02207984228684</v>
      </c>
      <c r="AF124">
        <f>IF('WetLitterbags placem_collection'!AB125="","",'WetLitterbags placem_collection'!AB125)</f>
        <v>3.9</v>
      </c>
      <c r="AG124">
        <f>IF('WetLitterbags placem_collection'!Z125="","",'WetLitterbags placem_collection'!Z125)</f>
        <v>51</v>
      </c>
      <c r="AH124" s="236" t="str">
        <f>IF('WetLitterbags placem_collection'!AA125="","",'WetLitterbags placem_collection'!AA125)</f>
        <v>G</v>
      </c>
      <c r="AI124">
        <f>IF('WetLitterbags placem_collection'!AC125="","",'WetLitterbags placem_collection'!AC125)</f>
        <v>1</v>
      </c>
      <c r="AJ124" s="233">
        <f>AVERAGE('WetLitterbags placem_collection'!S125,'WetLitterbags placem_collection'!U125)</f>
        <v>13.2</v>
      </c>
      <c r="AK124">
        <f>AVERAGE('WetLitterbags placem_collection'!R125,'WetLitterbags placem_collection'!T125)</f>
        <v>31.85</v>
      </c>
      <c r="AL124">
        <f>INDEX([2]Coordinates!$B$2:$B$197,MATCH(I124,[2]Coordinates!$J$2:$J$197,0))</f>
        <v>-2.3492390009999999</v>
      </c>
      <c r="AM124">
        <f>INDEX([2]Coordinates!$C$2:$C$197,MATCH(I124,[2]Coordinates!$J$2:$J$197,0))</f>
        <v>34.051304020000003</v>
      </c>
      <c r="AN124" t="str">
        <f>IF(ISNUMBER(SEARCH("C", 'WetLitterbags placem_collection'!$V125)),"YES","NO")</f>
        <v>NO</v>
      </c>
      <c r="AO124" t="str">
        <f>IF(ISNUMBER(SEARCH("H", 'WetLitterbags placem_collection'!$V125)),"YES","NO")</f>
        <v>NO</v>
      </c>
      <c r="AP124" t="str">
        <f>IF(ISNUMBER(SEARCH("R", 'WetLitterbags placem_collection'!$V125)),"YES","NO")</f>
        <v>YES</v>
      </c>
    </row>
    <row r="125" spans="1:42" ht="15" customHeight="1">
      <c r="A125" t="s">
        <v>3248</v>
      </c>
      <c r="B125" s="248" t="s">
        <v>2454</v>
      </c>
      <c r="C125" s="253">
        <f>'Dry_Litterbag Placem_Collection'!A126</f>
        <v>124</v>
      </c>
      <c r="D125" s="253" t="str">
        <f>'Dry_Litterbag Placem_Collection'!B126</f>
        <v xml:space="preserve">Mwantimba
</v>
      </c>
      <c r="E125" s="253" t="s">
        <v>2454</v>
      </c>
      <c r="F125" s="253" t="s">
        <v>2644</v>
      </c>
      <c r="G125" s="253">
        <v>4</v>
      </c>
      <c r="H125" s="253" t="s">
        <v>3120</v>
      </c>
      <c r="I125" s="254" t="str">
        <f>'Dry_Litterbag Placem_Collection'!C126</f>
        <v>Wet_Ag4_T4</v>
      </c>
      <c r="J125" s="255" t="s">
        <v>2525</v>
      </c>
      <c r="K125" s="256" t="s">
        <v>1147</v>
      </c>
      <c r="L125" s="221" t="str">
        <f>'WetLitterbags placem_collection'!K126</f>
        <v>G867</v>
      </c>
      <c r="M125" s="223">
        <f>IFERROR(INDEX('Green_rooibos initial weight'!$C$5:$C$2000,MATCH(L125, 'Green_rooibos initial weight'!$A$5:$A$2000,0)),"")</f>
        <v>1.907</v>
      </c>
      <c r="N125" s="223">
        <f>IFERROR(M125-(TBIcalc!$H$9+TBIcalc!$H$10),"")</f>
        <v>1.6572</v>
      </c>
      <c r="O125" s="378">
        <f>AVERAGE(Ashed_controlls!$K$2:$K$11)</f>
        <v>5.5147656768714146</v>
      </c>
      <c r="P125" s="223">
        <f t="shared" si="6"/>
        <v>1.565809303202887</v>
      </c>
      <c r="Q125" s="223">
        <f>IFERROR(INDEX('Both teabags AfterWet'!$C$3:$C$840,MATCH(L125,'Both teabags AfterWet'!$A$3:$A$840,0)),"")</f>
        <v>0.84799999999999998</v>
      </c>
      <c r="R125" s="223">
        <f>IFERROR(IF(Q125&gt;0,Q125-(TBIcalc!$H$9),""),"")</f>
        <v>0.69740000000000002</v>
      </c>
      <c r="S125" s="223">
        <f>IFERROR(INDEX('Ashed teabags wet'!$K$2:$K$2000,MATCH(L125,'Ashed teabags wet'!$A$2:$A$2000,0)),"")</f>
        <v>31.594202898550535</v>
      </c>
      <c r="T125" s="223">
        <f t="shared" si="7"/>
        <v>0.47706202898550859</v>
      </c>
      <c r="U125" s="224">
        <f>'WetLitterbags placem_collection'!E126</f>
        <v>42762</v>
      </c>
      <c r="V125" s="224">
        <f>IF('WetLitterbags placem_collection'!G126="","",'WetLitterbags placem_collection'!G126)</f>
        <v>42816</v>
      </c>
      <c r="W125" s="225">
        <f t="shared" si="5"/>
        <v>54</v>
      </c>
      <c r="X125" s="223">
        <f t="shared" si="8"/>
        <v>0.95979999999999999</v>
      </c>
      <c r="Y125" s="223">
        <f t="shared" si="9"/>
        <v>1.0887472742173785</v>
      </c>
      <c r="Z125">
        <f>IFERROR(INDEX([1]Rainfall_Wet!$O$2:$O$217,MATCH(C125, [1]Rainfall_Wet!$A$2:$A$217,0)),"")</f>
        <v>206.85140822299999</v>
      </c>
      <c r="AA125" s="226">
        <v>17.96</v>
      </c>
      <c r="AB125" s="226">
        <v>4.9199999999999982</v>
      </c>
      <c r="AC125" s="226">
        <v>77.12</v>
      </c>
      <c r="AD125" s="227" t="s">
        <v>2652</v>
      </c>
      <c r="AE125" s="226">
        <v>5.02207984228684</v>
      </c>
      <c r="AF125">
        <f>IF('WetLitterbags placem_collection'!AB126="","",'WetLitterbags placem_collection'!AB126)</f>
        <v>5.45</v>
      </c>
      <c r="AG125">
        <f>IF('WetLitterbags placem_collection'!Z126="","",'WetLitterbags placem_collection'!Z126)</f>
        <v>47</v>
      </c>
      <c r="AH125" s="236" t="str">
        <f>IF('WetLitterbags placem_collection'!AA126="","",'WetLitterbags placem_collection'!AA126)</f>
        <v>G</v>
      </c>
      <c r="AI125">
        <f>IF('WetLitterbags placem_collection'!AC126="","",'WetLitterbags placem_collection'!AC126)</f>
        <v>1</v>
      </c>
      <c r="AJ125" s="233">
        <f>AVERAGE('WetLitterbags placem_collection'!S126,'WetLitterbags placem_collection'!U126)</f>
        <v>18.2</v>
      </c>
      <c r="AK125">
        <f>AVERAGE('WetLitterbags placem_collection'!R126,'WetLitterbags placem_collection'!T126)</f>
        <v>31.1</v>
      </c>
      <c r="AL125">
        <f>INDEX([2]Coordinates!$B$2:$B$197,MATCH(I125,[2]Coordinates!$J$2:$J$197,0))</f>
        <v>-2.3492799889999998</v>
      </c>
      <c r="AM125">
        <f>INDEX([2]Coordinates!$C$2:$C$197,MATCH(I125,[2]Coordinates!$J$2:$J$197,0))</f>
        <v>34.051280970000001</v>
      </c>
      <c r="AN125" t="str">
        <f>IF(ISNUMBER(SEARCH("C", 'WetLitterbags placem_collection'!$V126)),"YES","NO")</f>
        <v>NO</v>
      </c>
      <c r="AO125" t="str">
        <f>IF(ISNUMBER(SEARCH("H", 'WetLitterbags placem_collection'!$V126)),"YES","NO")</f>
        <v>YES</v>
      </c>
      <c r="AP125" t="str">
        <f>IF(ISNUMBER(SEARCH("R", 'WetLitterbags placem_collection'!$V126)),"YES","NO")</f>
        <v>YES</v>
      </c>
    </row>
    <row r="126" spans="1:42" ht="15" customHeight="1">
      <c r="A126" t="s">
        <v>3248</v>
      </c>
      <c r="B126" s="248" t="s">
        <v>2454</v>
      </c>
      <c r="C126" s="253">
        <f>'Dry_Litterbag Placem_Collection'!A127</f>
        <v>125</v>
      </c>
      <c r="D126" s="253" t="str">
        <f>'Dry_Litterbag Placem_Collection'!B127</f>
        <v xml:space="preserve">Mwantimba
</v>
      </c>
      <c r="E126" s="253" t="s">
        <v>2454</v>
      </c>
      <c r="F126" s="253" t="s">
        <v>2644</v>
      </c>
      <c r="G126" s="253">
        <v>4</v>
      </c>
      <c r="H126" s="253" t="s">
        <v>3120</v>
      </c>
      <c r="I126" s="254" t="str">
        <f>'Dry_Litterbag Placem_Collection'!C127</f>
        <v>Wet_Ag4_T5</v>
      </c>
      <c r="J126" s="255" t="s">
        <v>2525</v>
      </c>
      <c r="K126" s="256" t="s">
        <v>1147</v>
      </c>
      <c r="L126" s="221" t="str">
        <f>'WetLitterbags placem_collection'!K127</f>
        <v>G793</v>
      </c>
      <c r="M126" s="223">
        <f>IFERROR(INDEX('Green_rooibos initial weight'!$C$5:$C$2000,MATCH(L126, 'Green_rooibos initial weight'!$A$5:$A$2000,0)),"")</f>
        <v>2.0459999999999998</v>
      </c>
      <c r="N126" s="223">
        <f>IFERROR(M126-(TBIcalc!$H$9+TBIcalc!$H$10),"")</f>
        <v>1.7961999999999998</v>
      </c>
      <c r="O126" s="378">
        <f>AVERAGE(Ashed_controlls!$K$2:$K$11)</f>
        <v>5.5147656768714146</v>
      </c>
      <c r="P126" s="223">
        <f t="shared" si="6"/>
        <v>1.6971437789120354</v>
      </c>
      <c r="Q126" s="223">
        <f>IFERROR(INDEX('Both teabags AfterWet'!$C$3:$C$840,MATCH(L126,'Both teabags AfterWet'!$A$3:$A$840,0)),"")</f>
        <v>0.77200000000000002</v>
      </c>
      <c r="R126" s="223">
        <f>IFERROR(IF(Q126&gt;0,Q126-(TBIcalc!$H$9),""),"")</f>
        <v>0.62139999999999995</v>
      </c>
      <c r="S126" s="223">
        <f>IFERROR(INDEX('Ashed teabags wet'!$K$2:$K$2000,MATCH(L126,'Ashed teabags wet'!$A$2:$A$2000,0)),"")</f>
        <v>27.918529557873711</v>
      </c>
      <c r="T126" s="223">
        <f t="shared" si="7"/>
        <v>0.44791425732737272</v>
      </c>
      <c r="U126" s="224">
        <f>'WetLitterbags placem_collection'!E127</f>
        <v>42762</v>
      </c>
      <c r="V126" s="224">
        <f>IF('WetLitterbags placem_collection'!G127="","",'WetLitterbags placem_collection'!G127)</f>
        <v>42816</v>
      </c>
      <c r="W126" s="225">
        <f t="shared" si="5"/>
        <v>54</v>
      </c>
      <c r="X126" s="223">
        <f t="shared" si="8"/>
        <v>1.1747999999999998</v>
      </c>
      <c r="Y126" s="223">
        <f t="shared" si="9"/>
        <v>1.2492295215846627</v>
      </c>
      <c r="Z126">
        <f>IFERROR(INDEX([1]Rainfall_Wet!$O$2:$O$217,MATCH(C126, [1]Rainfall_Wet!$A$2:$A$217,0)),"")</f>
        <v>206.85140822299999</v>
      </c>
      <c r="AA126" s="226">
        <v>17.96</v>
      </c>
      <c r="AB126" s="226">
        <v>4.9199999999999982</v>
      </c>
      <c r="AC126" s="226">
        <v>77.12</v>
      </c>
      <c r="AD126" s="227" t="s">
        <v>2652</v>
      </c>
      <c r="AE126" s="226">
        <v>6.02207984228684</v>
      </c>
      <c r="AF126">
        <f>IF('WetLitterbags placem_collection'!AB127="","",'WetLitterbags placem_collection'!AB127)</f>
        <v>9.3000000000000007</v>
      </c>
      <c r="AG126">
        <f>IF('WetLitterbags placem_collection'!Z127="","",'WetLitterbags placem_collection'!Z127)</f>
        <v>43</v>
      </c>
      <c r="AH126" s="236" t="str">
        <f>IF('WetLitterbags placem_collection'!AA127="","",'WetLitterbags placem_collection'!AA127)</f>
        <v>G</v>
      </c>
      <c r="AI126">
        <f>IF('WetLitterbags placem_collection'!AC127="","",'WetLitterbags placem_collection'!AC127)</f>
        <v>1</v>
      </c>
      <c r="AJ126" s="233">
        <f>AVERAGE('WetLitterbags placem_collection'!S127,'WetLitterbags placem_collection'!U127)</f>
        <v>19.25</v>
      </c>
      <c r="AK126">
        <f>AVERAGE('WetLitterbags placem_collection'!R127,'WetLitterbags placem_collection'!T127)</f>
        <v>32.049999999999997</v>
      </c>
      <c r="AL126">
        <f>INDEX([2]Coordinates!$B$2:$B$197,MATCH(I126,[2]Coordinates!$J$2:$J$197,0))</f>
        <v>-2.3493320400000002</v>
      </c>
      <c r="AM126">
        <f>INDEX([2]Coordinates!$C$2:$C$197,MATCH(I126,[2]Coordinates!$J$2:$J$197,0))</f>
        <v>34.051321960000003</v>
      </c>
      <c r="AN126" t="str">
        <f>IF(ISNUMBER(SEARCH("C", 'WetLitterbags placem_collection'!$V127)),"YES","NO")</f>
        <v>NO</v>
      </c>
      <c r="AO126" t="str">
        <f>IF(ISNUMBER(SEARCH("H", 'WetLitterbags placem_collection'!$V127)),"YES","NO")</f>
        <v>YES</v>
      </c>
      <c r="AP126" t="str">
        <f>IF(ISNUMBER(SEARCH("R", 'WetLitterbags placem_collection'!$V127)),"YES","NO")</f>
        <v>YES</v>
      </c>
    </row>
    <row r="127" spans="1:42" ht="15" customHeight="1">
      <c r="A127" t="s">
        <v>3248</v>
      </c>
      <c r="B127" s="248" t="s">
        <v>2454</v>
      </c>
      <c r="C127" s="253">
        <f>'Dry_Litterbag Placem_Collection'!A128</f>
        <v>126</v>
      </c>
      <c r="D127" s="253" t="str">
        <f>'Dry_Litterbag Placem_Collection'!B128</f>
        <v xml:space="preserve">Mwantimba
</v>
      </c>
      <c r="E127" s="253" t="s">
        <v>2454</v>
      </c>
      <c r="F127" s="253" t="s">
        <v>2644</v>
      </c>
      <c r="G127" s="253">
        <v>4</v>
      </c>
      <c r="H127" s="253" t="s">
        <v>3120</v>
      </c>
      <c r="I127" s="254" t="str">
        <f>'Dry_Litterbag Placem_Collection'!C128</f>
        <v>Wet_Ag4_T6</v>
      </c>
      <c r="J127" s="255" t="s">
        <v>2525</v>
      </c>
      <c r="K127" s="256" t="s">
        <v>1147</v>
      </c>
      <c r="L127" s="221" t="str">
        <f>'WetLitterbags placem_collection'!K128</f>
        <v>G749</v>
      </c>
      <c r="M127" s="223">
        <f>IFERROR(INDEX('Green_rooibos initial weight'!$C$5:$C$2000,MATCH(L127, 'Green_rooibos initial weight'!$A$5:$A$2000,0)),"")</f>
        <v>2.0179999999999998</v>
      </c>
      <c r="N127" s="223">
        <f>IFERROR(M127-(TBIcalc!$H$9+TBIcalc!$H$10),"")</f>
        <v>1.7681999999999998</v>
      </c>
      <c r="O127" s="378">
        <f>AVERAGE(Ashed_controlls!$K$2:$K$11)</f>
        <v>5.5147656768714146</v>
      </c>
      <c r="P127" s="223">
        <f t="shared" si="6"/>
        <v>1.6706879133015595</v>
      </c>
      <c r="Q127" s="223">
        <f>IFERROR(INDEX('Both teabags AfterWet'!$C$3:$C$840,MATCH(L127,'Both teabags AfterWet'!$A$3:$A$840,0)),"")</f>
        <v>0.67800000000000005</v>
      </c>
      <c r="R127" s="223">
        <f>IFERROR(IF(Q127&gt;0,Q127-(TBIcalc!$H$9),""),"")</f>
        <v>0.52740000000000009</v>
      </c>
      <c r="S127" s="223">
        <f>IFERROR(INDEX('Ashed teabags wet'!$K$2:$K$2000,MATCH(L127,'Ashed teabags wet'!$A$2:$A$2000,0)),"")</f>
        <v>14.484818317570399</v>
      </c>
      <c r="T127" s="223">
        <f t="shared" si="7"/>
        <v>0.4510070681931338</v>
      </c>
      <c r="U127" s="224">
        <f>'WetLitterbags placem_collection'!E128</f>
        <v>42762</v>
      </c>
      <c r="V127" s="224">
        <f>IF('WetLitterbags placem_collection'!G128="","",'WetLitterbags placem_collection'!G128)</f>
        <v>42816</v>
      </c>
      <c r="W127" s="225">
        <f t="shared" si="5"/>
        <v>54</v>
      </c>
      <c r="X127" s="223">
        <f t="shared" si="8"/>
        <v>1.2407999999999997</v>
      </c>
      <c r="Y127" s="223">
        <f t="shared" si="9"/>
        <v>1.2196808451084258</v>
      </c>
      <c r="Z127">
        <f>IFERROR(INDEX([1]Rainfall_Wet!$O$2:$O$217,MATCH(C127, [1]Rainfall_Wet!$A$2:$A$217,0)),"")</f>
        <v>206.85140822299999</v>
      </c>
      <c r="AA127" s="226">
        <v>17.96</v>
      </c>
      <c r="AB127" s="226">
        <v>4.9199999999999982</v>
      </c>
      <c r="AC127" s="226">
        <v>77.12</v>
      </c>
      <c r="AD127" s="227" t="s">
        <v>2652</v>
      </c>
      <c r="AE127" s="226">
        <v>7.02207984228684</v>
      </c>
      <c r="AF127">
        <f>IF('WetLitterbags placem_collection'!AB128="","",'WetLitterbags placem_collection'!AB128)</f>
        <v>10.85</v>
      </c>
      <c r="AG127">
        <f>IF('WetLitterbags placem_collection'!Z128="","",'WetLitterbags placem_collection'!Z128)</f>
        <v>40</v>
      </c>
      <c r="AH127" s="236" t="str">
        <f>IF('WetLitterbags placem_collection'!AA128="","",'WetLitterbags placem_collection'!AA128)</f>
        <v>G</v>
      </c>
      <c r="AI127">
        <f>IF('WetLitterbags placem_collection'!AC128="","",'WetLitterbags placem_collection'!AC128)</f>
        <v>1</v>
      </c>
      <c r="AJ127" s="233">
        <f>AVERAGE('WetLitterbags placem_collection'!S128,'WetLitterbags placem_collection'!U128)</f>
        <v>16.649999999999999</v>
      </c>
      <c r="AK127">
        <f>AVERAGE('WetLitterbags placem_collection'!R128,'WetLitterbags placem_collection'!T128)</f>
        <v>32</v>
      </c>
      <c r="AL127">
        <f>INDEX([2]Coordinates!$B$2:$B$197,MATCH(I127,[2]Coordinates!$J$2:$J$197,0))</f>
        <v>-2.3493509829999999</v>
      </c>
      <c r="AM127">
        <f>INDEX([2]Coordinates!$C$2:$C$197,MATCH(I127,[2]Coordinates!$J$2:$J$197,0))</f>
        <v>34.051332019999997</v>
      </c>
      <c r="AN127" t="str">
        <f>IF(ISNUMBER(SEARCH("C", 'WetLitterbags placem_collection'!$V128)),"YES","NO")</f>
        <v>NO</v>
      </c>
      <c r="AO127" t="str">
        <f>IF(ISNUMBER(SEARCH("H", 'WetLitterbags placem_collection'!$V128)),"YES","NO")</f>
        <v>YES</v>
      </c>
      <c r="AP127" t="str">
        <f>IF(ISNUMBER(SEARCH("R", 'WetLitterbags placem_collection'!$V128)),"YES","NO")</f>
        <v>YES</v>
      </c>
    </row>
    <row r="128" spans="1:42" ht="15" customHeight="1">
      <c r="A128" t="s">
        <v>3248</v>
      </c>
      <c r="B128" s="248" t="s">
        <v>2454</v>
      </c>
      <c r="C128" s="253">
        <f>'Dry_Litterbag Placem_Collection'!A129</f>
        <v>127</v>
      </c>
      <c r="D128" s="253" t="str">
        <f>'Dry_Litterbag Placem_Collection'!B129</f>
        <v xml:space="preserve">Mwantimba
</v>
      </c>
      <c r="E128" s="253" t="s">
        <v>2454</v>
      </c>
      <c r="F128" s="253" t="s">
        <v>2644</v>
      </c>
      <c r="G128" s="253">
        <v>4</v>
      </c>
      <c r="H128" s="253" t="s">
        <v>3120</v>
      </c>
      <c r="I128" s="254" t="str">
        <f>'Dry_Litterbag Placem_Collection'!C129</f>
        <v>Wet_Ag4_T7</v>
      </c>
      <c r="J128" s="255" t="s">
        <v>2525</v>
      </c>
      <c r="K128" s="256" t="s">
        <v>1147</v>
      </c>
      <c r="L128" s="221" t="str">
        <f>'WetLitterbags placem_collection'!K129</f>
        <v>G898</v>
      </c>
      <c r="M128" s="223">
        <f>IFERROR(INDEX('Green_rooibos initial weight'!$C$5:$C$2000,MATCH(L128, 'Green_rooibos initial weight'!$A$5:$A$2000,0)),"")</f>
        <v>1.893</v>
      </c>
      <c r="N128" s="223">
        <f>IFERROR(M128-(TBIcalc!$H$9+TBIcalc!$H$10),"")</f>
        <v>1.6432</v>
      </c>
      <c r="O128" s="378">
        <f>AVERAGE(Ashed_controlls!$K$2:$K$11)</f>
        <v>5.5147656768714146</v>
      </c>
      <c r="P128" s="223">
        <f t="shared" si="6"/>
        <v>1.552581370397649</v>
      </c>
      <c r="Q128" s="223">
        <f>IFERROR(INDEX('Both teabags AfterWet'!$C$3:$C$840,MATCH(L128,'Both teabags AfterWet'!$A$3:$A$840,0)),"")</f>
        <v>0.59099999999999997</v>
      </c>
      <c r="R128" s="223">
        <f>IFERROR(IF(Q128&gt;0,Q128-(TBIcalc!$H$9),""),"")</f>
        <v>0.44039999999999996</v>
      </c>
      <c r="S128" s="223">
        <f>IFERROR(INDEX('Ashed teabags wet'!$K$2:$K$2000,MATCH(L128,'Ashed teabags wet'!$A$2:$A$2000,0)),"")</f>
        <v>18.25037707390678</v>
      </c>
      <c r="T128" s="223">
        <f t="shared" si="7"/>
        <v>0.36002533936651449</v>
      </c>
      <c r="U128" s="224">
        <f>'WetLitterbags placem_collection'!E129</f>
        <v>42762</v>
      </c>
      <c r="V128" s="224">
        <f>IF('WetLitterbags placem_collection'!G129="","",'WetLitterbags placem_collection'!G129)</f>
        <v>42816</v>
      </c>
      <c r="W128" s="225">
        <f t="shared" si="5"/>
        <v>54</v>
      </c>
      <c r="X128" s="223">
        <f t="shared" si="8"/>
        <v>1.2028000000000001</v>
      </c>
      <c r="Y128" s="223">
        <f t="shared" si="9"/>
        <v>1.1925560310311345</v>
      </c>
      <c r="Z128">
        <f>IFERROR(INDEX([1]Rainfall_Wet!$O$2:$O$217,MATCH(C128, [1]Rainfall_Wet!$A$2:$A$217,0)),"")</f>
        <v>206.85140822299999</v>
      </c>
      <c r="AA128" s="226">
        <v>17.96</v>
      </c>
      <c r="AB128" s="226">
        <v>4.9199999999999982</v>
      </c>
      <c r="AC128" s="226">
        <v>77.12</v>
      </c>
      <c r="AD128" s="227" t="s">
        <v>2652</v>
      </c>
      <c r="AE128" s="226">
        <v>8.0220798422868391</v>
      </c>
      <c r="AF128">
        <f>IF('WetLitterbags placem_collection'!AB129="","",'WetLitterbags placem_collection'!AB129)</f>
        <v>5.35</v>
      </c>
      <c r="AG128">
        <f>IF('WetLitterbags placem_collection'!Z129="","",'WetLitterbags placem_collection'!Z129)</f>
        <v>58</v>
      </c>
      <c r="AH128" s="236" t="str">
        <f>IF('WetLitterbags placem_collection'!AA129="","",'WetLitterbags placem_collection'!AA129)</f>
        <v>G</v>
      </c>
      <c r="AI128">
        <f>IF('WetLitterbags placem_collection'!AC129="","",'WetLitterbags placem_collection'!AC129)</f>
        <v>1</v>
      </c>
      <c r="AJ128" s="233">
        <f>AVERAGE('WetLitterbags placem_collection'!S129,'WetLitterbags placem_collection'!U129)</f>
        <v>15.8</v>
      </c>
      <c r="AK128">
        <f>AVERAGE('WetLitterbags placem_collection'!R129,'WetLitterbags placem_collection'!T129)</f>
        <v>31.55</v>
      </c>
      <c r="AL128">
        <f>INDEX([2]Coordinates!$B$2:$B$197,MATCH(I128,[2]Coordinates!$J$2:$J$197,0))</f>
        <v>-2.3491850219999999</v>
      </c>
      <c r="AM128">
        <f>INDEX([2]Coordinates!$C$2:$C$197,MATCH(I128,[2]Coordinates!$J$2:$J$197,0))</f>
        <v>34.051264959999997</v>
      </c>
      <c r="AN128" t="str">
        <f>IF(ISNUMBER(SEARCH("C", 'WetLitterbags placem_collection'!$V129)),"YES","NO")</f>
        <v>NO</v>
      </c>
      <c r="AO128" t="str">
        <f>IF(ISNUMBER(SEARCH("H", 'WetLitterbags placem_collection'!$V129)),"YES","NO")</f>
        <v>YES</v>
      </c>
      <c r="AP128" t="str">
        <f>IF(ISNUMBER(SEARCH("R", 'WetLitterbags placem_collection'!$V129)),"YES","NO")</f>
        <v>YES</v>
      </c>
    </row>
    <row r="129" spans="1:42" ht="15" customHeight="1">
      <c r="A129" t="s">
        <v>3248</v>
      </c>
      <c r="B129" s="248" t="s">
        <v>2454</v>
      </c>
      <c r="C129" s="253">
        <f>'Dry_Litterbag Placem_Collection'!A130</f>
        <v>128</v>
      </c>
      <c r="D129" s="253" t="str">
        <f>'Dry_Litterbag Placem_Collection'!B130</f>
        <v xml:space="preserve">Mwantimba
</v>
      </c>
      <c r="E129" s="253" t="s">
        <v>2454</v>
      </c>
      <c r="F129" s="253" t="s">
        <v>2644</v>
      </c>
      <c r="G129" s="253">
        <v>4</v>
      </c>
      <c r="H129" s="253" t="s">
        <v>3120</v>
      </c>
      <c r="I129" s="254" t="str">
        <f>'Dry_Litterbag Placem_Collection'!C130</f>
        <v>Wet_Ag4_T8</v>
      </c>
      <c r="J129" s="255" t="s">
        <v>2525</v>
      </c>
      <c r="K129" s="256" t="s">
        <v>1147</v>
      </c>
      <c r="L129" s="221" t="str">
        <f>'WetLitterbags placem_collection'!K130</f>
        <v>G834</v>
      </c>
      <c r="M129" s="223">
        <f>IFERROR(INDEX('Green_rooibos initial weight'!$C$5:$C$2000,MATCH(L129, 'Green_rooibos initial weight'!$A$5:$A$2000,0)),"")</f>
        <v>1.956</v>
      </c>
      <c r="N129" s="223">
        <f>IFERROR(M129-(TBIcalc!$H$9+TBIcalc!$H$10),"")</f>
        <v>1.7061999999999999</v>
      </c>
      <c r="O129" s="378">
        <f>AVERAGE(Ashed_controlls!$K$2:$K$11)</f>
        <v>5.5147656768714146</v>
      </c>
      <c r="P129" s="223">
        <f t="shared" si="6"/>
        <v>1.6121070680212199</v>
      </c>
      <c r="Q129" s="223">
        <f>IFERROR(INDEX('Both teabags AfterWet'!$C$3:$C$840,MATCH(L129,'Both teabags AfterWet'!$A$3:$A$840,0)),"")</f>
        <v>0.54500000000000004</v>
      </c>
      <c r="R129" s="223">
        <f>IFERROR(IF(Q129&gt;0,Q129-(TBIcalc!$H$9),""),"")</f>
        <v>0.39440000000000003</v>
      </c>
      <c r="S129" s="223">
        <f>IFERROR(INDEX('Ashed teabags wet'!$K$2:$K$2000,MATCH(L129,'Ashed teabags wet'!$A$2:$A$2000,0)),"")</f>
        <v>12.928123492523619</v>
      </c>
      <c r="T129" s="223">
        <f t="shared" si="7"/>
        <v>0.3434114809454869</v>
      </c>
      <c r="U129" s="224">
        <f>'WetLitterbags placem_collection'!E130</f>
        <v>42762</v>
      </c>
      <c r="V129" s="224">
        <f>IF('WetLitterbags placem_collection'!G130="","",'WetLitterbags placem_collection'!G130)</f>
        <v>42816</v>
      </c>
      <c r="W129" s="225">
        <f t="shared" si="5"/>
        <v>54</v>
      </c>
      <c r="X129" s="223">
        <f t="shared" si="8"/>
        <v>1.3117999999999999</v>
      </c>
      <c r="Y129" s="223">
        <f t="shared" si="9"/>
        <v>1.268695587075733</v>
      </c>
      <c r="Z129">
        <f>IFERROR(INDEX([1]Rainfall_Wet!$O$2:$O$217,MATCH(C129, [1]Rainfall_Wet!$A$2:$A$217,0)),"")</f>
        <v>206.85140822299999</v>
      </c>
      <c r="AA129" s="226">
        <v>17.96</v>
      </c>
      <c r="AB129" s="226">
        <v>4.9199999999999982</v>
      </c>
      <c r="AC129" s="226">
        <v>77.12</v>
      </c>
      <c r="AD129" s="227" t="s">
        <v>2652</v>
      </c>
      <c r="AE129" s="226">
        <v>9.0220798422868391</v>
      </c>
      <c r="AF129">
        <f>IF('WetLitterbags placem_collection'!AB130="","",'WetLitterbags placem_collection'!AB130)</f>
        <v>10.9</v>
      </c>
      <c r="AG129">
        <f>IF('WetLitterbags placem_collection'!Z130="","",'WetLitterbags placem_collection'!Z130)</f>
        <v>44</v>
      </c>
      <c r="AH129" s="236" t="str">
        <f>IF('WetLitterbags placem_collection'!AA130="","",'WetLitterbags placem_collection'!AA130)</f>
        <v>G</v>
      </c>
      <c r="AI129">
        <f>IF('WetLitterbags placem_collection'!AC130="","",'WetLitterbags placem_collection'!AC130)</f>
        <v>0</v>
      </c>
      <c r="AJ129" s="233">
        <f>AVERAGE('WetLitterbags placem_collection'!S130,'WetLitterbags placem_collection'!U130)</f>
        <v>8.15</v>
      </c>
      <c r="AK129">
        <f>AVERAGE('WetLitterbags placem_collection'!R130,'WetLitterbags placem_collection'!T130)</f>
        <v>31.650000000000002</v>
      </c>
      <c r="AL129">
        <f>INDEX([2]Coordinates!$B$2:$B$197,MATCH(I129,[2]Coordinates!$J$2:$J$197,0))</f>
        <v>-2.3493099960000001</v>
      </c>
      <c r="AM129">
        <f>INDEX([2]Coordinates!$C$2:$C$197,MATCH(I129,[2]Coordinates!$J$2:$J$197,0))</f>
        <v>34.05141802</v>
      </c>
      <c r="AN129" t="str">
        <f>IF(ISNUMBER(SEARCH("C", 'WetLitterbags placem_collection'!$V130)),"YES","NO")</f>
        <v>NO</v>
      </c>
      <c r="AO129" t="str">
        <f>IF(ISNUMBER(SEARCH("H", 'WetLitterbags placem_collection'!$V130)),"YES","NO")</f>
        <v>NO</v>
      </c>
      <c r="AP129" t="str">
        <f>IF(ISNUMBER(SEARCH("R", 'WetLitterbags placem_collection'!$V130)),"YES","NO")</f>
        <v>YES</v>
      </c>
    </row>
    <row r="130" spans="1:42" ht="15" customHeight="1">
      <c r="A130" t="s">
        <v>3248</v>
      </c>
      <c r="B130" s="248" t="s">
        <v>2454</v>
      </c>
      <c r="C130" s="253">
        <f>'Dry_Litterbag Placem_Collection'!A131</f>
        <v>129</v>
      </c>
      <c r="D130" s="253" t="str">
        <f>'Dry_Litterbag Placem_Collection'!B131</f>
        <v xml:space="preserve">Mwantimba
</v>
      </c>
      <c r="E130" s="253" t="s">
        <v>2454</v>
      </c>
      <c r="F130" s="253" t="s">
        <v>20</v>
      </c>
      <c r="G130" s="253">
        <v>1</v>
      </c>
      <c r="H130" s="253" t="s">
        <v>3121</v>
      </c>
      <c r="I130" s="254" t="str">
        <f>'Dry_Litterbag Placem_Collection'!C131</f>
        <v>Wet_P1_T1</v>
      </c>
      <c r="J130" s="255" t="s">
        <v>2525</v>
      </c>
      <c r="K130" s="256" t="s">
        <v>1147</v>
      </c>
      <c r="L130" s="221" t="str">
        <f>'WetLitterbags placem_collection'!K131</f>
        <v>G819</v>
      </c>
      <c r="M130" s="223">
        <f>IFERROR(INDEX('Green_rooibos initial weight'!$C$5:$C$2000,MATCH(L130, 'Green_rooibos initial weight'!$A$5:$A$2000,0)),"")</f>
        <v>1.9770000000000001</v>
      </c>
      <c r="N130" s="223">
        <f>IFERROR(M130-(TBIcalc!$H$9+TBIcalc!$H$10),"")</f>
        <v>1.7272000000000001</v>
      </c>
      <c r="O130" s="378">
        <f>AVERAGE(Ashed_controlls!$K$2:$K$11)</f>
        <v>5.5147656768714146</v>
      </c>
      <c r="P130" s="223">
        <f t="shared" si="6"/>
        <v>1.631948967229077</v>
      </c>
      <c r="Q130" s="223">
        <f>IFERROR(INDEX('Both teabags AfterWet'!$C$3:$C$840,MATCH(L130,'Both teabags AfterWet'!$A$3:$A$840,0)),"")</f>
        <v>0.59719999999999995</v>
      </c>
      <c r="R130" s="223">
        <f>IFERROR(IF(Q130&gt;0,Q130-(TBIcalc!$H$9),""),"")</f>
        <v>0.44659999999999994</v>
      </c>
      <c r="S130" s="223">
        <f>IFERROR(INDEX('Ashed teabags wet'!$K$2:$K$2000,MATCH(L130,'Ashed teabags wet'!$A$2:$A$2000,0)),"")</f>
        <v>16.047548291233621</v>
      </c>
      <c r="T130" s="223">
        <f t="shared" si="7"/>
        <v>0.37493164933135059</v>
      </c>
      <c r="U130" s="224">
        <f>'WetLitterbags placem_collection'!E131</f>
        <v>42762</v>
      </c>
      <c r="V130" s="224">
        <f>IF('WetLitterbags placem_collection'!G131="","",'WetLitterbags placem_collection'!G131)</f>
        <v>42816</v>
      </c>
      <c r="W130" s="225">
        <f t="shared" ref="W130:W193" si="10">IFERROR(V130-U130,"")</f>
        <v>54</v>
      </c>
      <c r="X130" s="223">
        <f t="shared" si="8"/>
        <v>1.2806000000000002</v>
      </c>
      <c r="Y130" s="223">
        <f t="shared" si="9"/>
        <v>1.2570173178977264</v>
      </c>
      <c r="Z130">
        <f>IFERROR(INDEX([1]Rainfall_Wet!$O$2:$O$217,MATCH(C130, [1]Rainfall_Wet!$A$2:$A$217,0)),"")</f>
        <v>206.85140822299999</v>
      </c>
      <c r="AA130" s="226">
        <v>31.214836424255054</v>
      </c>
      <c r="AB130" s="226">
        <v>11.377370285476141</v>
      </c>
      <c r="AC130" s="226">
        <v>57.407793290268799</v>
      </c>
      <c r="AD130" s="227" t="s">
        <v>2651</v>
      </c>
      <c r="AE130" s="226">
        <v>1.7337604731394776</v>
      </c>
      <c r="AF130">
        <f>IF('WetLitterbags placem_collection'!AB131="","",'WetLitterbags placem_collection'!AB131)</f>
        <v>2.4</v>
      </c>
      <c r="AG130">
        <f>IF('WetLitterbags placem_collection'!Z131="","",'WetLitterbags placem_collection'!Z131)</f>
        <v>2.4</v>
      </c>
      <c r="AH130" s="236" t="str">
        <f>IF('WetLitterbags placem_collection'!AA131="","",'WetLitterbags placem_collection'!AA131)</f>
        <v>O</v>
      </c>
      <c r="AI130">
        <f>IF('WetLitterbags placem_collection'!AC131="","",'WetLitterbags placem_collection'!AC131)</f>
        <v>1</v>
      </c>
      <c r="AJ130" s="233">
        <f>AVERAGE('WetLitterbags placem_collection'!S131,'WetLitterbags placem_collection'!U131)</f>
        <v>15.05</v>
      </c>
      <c r="AK130">
        <f>AVERAGE('WetLitterbags placem_collection'!R131,'WetLitterbags placem_collection'!T131)</f>
        <v>28</v>
      </c>
      <c r="AL130">
        <f>INDEX([2]Coordinates!$B$2:$B$197,MATCH(I130,[2]Coordinates!$J$2:$J$197,0))</f>
        <v>-2.3503360249999998</v>
      </c>
      <c r="AM130">
        <f>INDEX([2]Coordinates!$C$2:$C$197,MATCH(I130,[2]Coordinates!$J$2:$J$197,0))</f>
        <v>34.049662009999999</v>
      </c>
      <c r="AN130" t="str">
        <f>IF(ISNUMBER(SEARCH("C", 'WetLitterbags placem_collection'!$V131)),"YES","NO")</f>
        <v>NO</v>
      </c>
      <c r="AO130" t="str">
        <f>IF(ISNUMBER(SEARCH("H", 'WetLitterbags placem_collection'!$V131)),"YES","NO")</f>
        <v>NO</v>
      </c>
      <c r="AP130" t="str">
        <f>IF(ISNUMBER(SEARCH("R", 'WetLitterbags placem_collection'!$V131)),"YES","NO")</f>
        <v>NO</v>
      </c>
    </row>
    <row r="131" spans="1:42" ht="15" customHeight="1">
      <c r="A131" t="s">
        <v>3248</v>
      </c>
      <c r="B131" s="248" t="s">
        <v>2454</v>
      </c>
      <c r="C131" s="253">
        <f>'Dry_Litterbag Placem_Collection'!A132</f>
        <v>130</v>
      </c>
      <c r="D131" s="253" t="str">
        <f>'Dry_Litterbag Placem_Collection'!B132</f>
        <v xml:space="preserve">Mwantimba
</v>
      </c>
      <c r="E131" s="253" t="s">
        <v>2454</v>
      </c>
      <c r="F131" s="253" t="s">
        <v>20</v>
      </c>
      <c r="G131" s="253">
        <v>1</v>
      </c>
      <c r="H131" s="253" t="s">
        <v>3121</v>
      </c>
      <c r="I131" s="254" t="str">
        <f>'Dry_Litterbag Placem_Collection'!C132</f>
        <v>Wet_P1_T2</v>
      </c>
      <c r="J131" s="255" t="s">
        <v>2525</v>
      </c>
      <c r="K131" s="256" t="s">
        <v>1147</v>
      </c>
      <c r="L131" s="221" t="str">
        <f>'WetLitterbags placem_collection'!K132</f>
        <v>G830</v>
      </c>
      <c r="M131" s="223">
        <f>IFERROR(INDEX('Green_rooibos initial weight'!$C$5:$C$2000,MATCH(L131, 'Green_rooibos initial weight'!$A$5:$A$2000,0)),"")</f>
        <v>1.8939999999999999</v>
      </c>
      <c r="N131" s="223">
        <f>IFERROR(M131-(TBIcalc!$H$9+TBIcalc!$H$10),"")</f>
        <v>1.6441999999999999</v>
      </c>
      <c r="O131" s="378">
        <f>AVERAGE(Ashed_controlls!$K$2:$K$11)</f>
        <v>5.5147656768714146</v>
      </c>
      <c r="P131" s="223">
        <f t="shared" ref="P131:P194" si="11">IFERROR(N131-(O131/100)*N131,"")</f>
        <v>1.5535262227408801</v>
      </c>
      <c r="Q131" s="223">
        <f>IFERROR(INDEX('Both teabags AfterWet'!$C$3:$C$840,MATCH(L131,'Both teabags AfterWet'!$A$3:$A$840,0)),"")</f>
        <v>0.54</v>
      </c>
      <c r="R131" s="223">
        <f>IFERROR(IF(Q131&gt;0,Q131-(TBIcalc!$H$9),""),"")</f>
        <v>0.38940000000000002</v>
      </c>
      <c r="S131" s="223">
        <f>IFERROR(INDEX('Ashed teabags wet'!$K$2:$K$2000,MATCH(L131,'Ashed teabags wet'!$A$2:$A$2000,0)),"")</f>
        <v>12.680978532201229</v>
      </c>
      <c r="T131" s="223">
        <f t="shared" ref="T131:T194" si="12">IFERROR(R131-(S131/100)*R131,"")</f>
        <v>0.34002026959560844</v>
      </c>
      <c r="U131" s="224">
        <f>'WetLitterbags placem_collection'!E132</f>
        <v>42762</v>
      </c>
      <c r="V131" s="224">
        <f>IF('WetLitterbags placem_collection'!G132="","",'WetLitterbags placem_collection'!G132)</f>
        <v>42816</v>
      </c>
      <c r="W131" s="225">
        <f t="shared" si="10"/>
        <v>54</v>
      </c>
      <c r="X131" s="223">
        <f t="shared" ref="X131:X194" si="13">IFERROR(N131-R131,"")</f>
        <v>1.2547999999999999</v>
      </c>
      <c r="Y131" s="223">
        <f t="shared" ref="Y131:Y194" si="14">IFERROR(P131-T131,"")</f>
        <v>1.2135059531452717</v>
      </c>
      <c r="Z131">
        <f>IFERROR(INDEX([1]Rainfall_Wet!$O$2:$O$217,MATCH(C131, [1]Rainfall_Wet!$A$2:$A$217,0)),"")</f>
        <v>206.85140822299999</v>
      </c>
      <c r="AA131" s="226">
        <v>31.214836424255054</v>
      </c>
      <c r="AB131" s="226">
        <v>11.377370285476141</v>
      </c>
      <c r="AC131" s="226">
        <v>57.407793290268799</v>
      </c>
      <c r="AD131" s="227" t="s">
        <v>2651</v>
      </c>
      <c r="AE131" s="226">
        <v>2.7337604731394798</v>
      </c>
      <c r="AF131">
        <f>IF('WetLitterbags placem_collection'!AB132="","",'WetLitterbags placem_collection'!AB132)</f>
        <v>2.1</v>
      </c>
      <c r="AG131">
        <f>IF('WetLitterbags placem_collection'!Z132="","",'WetLitterbags placem_collection'!Z132)</f>
        <v>3.5</v>
      </c>
      <c r="AH131" s="236" t="str">
        <f>IF('WetLitterbags placem_collection'!AA132="","",'WetLitterbags placem_collection'!AA132)</f>
        <v>O</v>
      </c>
      <c r="AI131">
        <f>IF('WetLitterbags placem_collection'!AC132="","",'WetLitterbags placem_collection'!AC132)</f>
        <v>0</v>
      </c>
      <c r="AJ131" s="233">
        <f>AVERAGE('WetLitterbags placem_collection'!S132,'WetLitterbags placem_collection'!U132)</f>
        <v>16.3</v>
      </c>
      <c r="AK131">
        <f>AVERAGE('WetLitterbags placem_collection'!R132,'WetLitterbags placem_collection'!T132)</f>
        <v>28.5</v>
      </c>
      <c r="AL131">
        <f>INDEX([2]Coordinates!$B$2:$B$197,MATCH(I131,[2]Coordinates!$J$2:$J$197,0))</f>
        <v>-2.3503729889999998</v>
      </c>
      <c r="AM131">
        <f>INDEX([2]Coordinates!$C$2:$C$197,MATCH(I131,[2]Coordinates!$J$2:$J$197,0))</f>
        <v>34.049626969999998</v>
      </c>
      <c r="AN131" t="str">
        <f>IF(ISNUMBER(SEARCH("C", 'WetLitterbags placem_collection'!$V132)),"YES","NO")</f>
        <v>NO</v>
      </c>
      <c r="AO131" t="str">
        <f>IF(ISNUMBER(SEARCH("H", 'WetLitterbags placem_collection'!$V132)),"YES","NO")</f>
        <v>NO</v>
      </c>
      <c r="AP131" t="str">
        <f>IF(ISNUMBER(SEARCH("R", 'WetLitterbags placem_collection'!$V132)),"YES","NO")</f>
        <v>YES</v>
      </c>
    </row>
    <row r="132" spans="1:42" ht="15" customHeight="1">
      <c r="A132" t="s">
        <v>3248</v>
      </c>
      <c r="B132" s="248" t="s">
        <v>2454</v>
      </c>
      <c r="C132" s="253">
        <f>'Dry_Litterbag Placem_Collection'!A133</f>
        <v>131</v>
      </c>
      <c r="D132" s="253" t="str">
        <f>'Dry_Litterbag Placem_Collection'!B133</f>
        <v xml:space="preserve">Mwantimba
</v>
      </c>
      <c r="E132" s="253" t="s">
        <v>2454</v>
      </c>
      <c r="F132" s="253" t="s">
        <v>20</v>
      </c>
      <c r="G132" s="253">
        <v>1</v>
      </c>
      <c r="H132" s="253" t="s">
        <v>3121</v>
      </c>
      <c r="I132" s="254" t="str">
        <f>'Dry_Litterbag Placem_Collection'!C133</f>
        <v>Wet_P1_T3</v>
      </c>
      <c r="J132" s="255" t="s">
        <v>2525</v>
      </c>
      <c r="K132" s="256" t="s">
        <v>1147</v>
      </c>
      <c r="L132" s="221" t="str">
        <f>'WetLitterbags placem_collection'!K133</f>
        <v>G746</v>
      </c>
      <c r="M132" s="223">
        <f>IFERROR(INDEX('Green_rooibos initial weight'!$C$5:$C$2000,MATCH(L132, 'Green_rooibos initial weight'!$A$5:$A$2000,0)),"")</f>
        <v>2.198</v>
      </c>
      <c r="N132" s="223">
        <f>IFERROR(M132-(TBIcalc!$H$9+TBIcalc!$H$10),"")</f>
        <v>1.9481999999999999</v>
      </c>
      <c r="O132" s="378">
        <f>AVERAGE(Ashed_controlls!$K$2:$K$11)</f>
        <v>5.5147656768714146</v>
      </c>
      <c r="P132" s="223">
        <f t="shared" si="11"/>
        <v>1.8407613350831911</v>
      </c>
      <c r="Q132" s="223">
        <f>IFERROR(INDEX('Both teabags AfterWet'!$C$3:$C$840,MATCH(L132,'Both teabags AfterWet'!$A$3:$A$840,0)),"")</f>
        <v>0.6613</v>
      </c>
      <c r="R132" s="223">
        <f>IFERROR(IF(Q132&gt;0,Q132-(TBIcalc!$H$9),""),"")</f>
        <v>0.51069999999999993</v>
      </c>
      <c r="S132" s="223">
        <f>IFERROR(INDEX('Ashed teabags wet'!$K$2:$K$2000,MATCH(L132,'Ashed teabags wet'!$A$2:$A$2000,0)),"")</f>
        <v>16.72456575682352</v>
      </c>
      <c r="T132" s="223">
        <f t="shared" si="12"/>
        <v>0.42528764267990221</v>
      </c>
      <c r="U132" s="224">
        <f>'WetLitterbags placem_collection'!E133</f>
        <v>42762</v>
      </c>
      <c r="V132" s="224">
        <f>IF('WetLitterbags placem_collection'!G133="","",'WetLitterbags placem_collection'!G133)</f>
        <v>42816</v>
      </c>
      <c r="W132" s="225">
        <f t="shared" si="10"/>
        <v>54</v>
      </c>
      <c r="X132" s="223">
        <f t="shared" si="13"/>
        <v>1.4375</v>
      </c>
      <c r="Y132" s="223">
        <f t="shared" si="14"/>
        <v>1.4154736924032889</v>
      </c>
      <c r="Z132">
        <f>IFERROR(INDEX([1]Rainfall_Wet!$O$2:$O$217,MATCH(C132, [1]Rainfall_Wet!$A$2:$A$217,0)),"")</f>
        <v>206.85140822299999</v>
      </c>
      <c r="AA132" s="226">
        <v>31.214836424255054</v>
      </c>
      <c r="AB132" s="226">
        <v>11.377370285476141</v>
      </c>
      <c r="AC132" s="226">
        <v>57.407793290268799</v>
      </c>
      <c r="AD132" s="227" t="s">
        <v>2651</v>
      </c>
      <c r="AE132" s="226">
        <v>3.7337604731394798</v>
      </c>
      <c r="AF132">
        <f>IF('WetLitterbags placem_collection'!AB133="","",'WetLitterbags placem_collection'!AB133)</f>
        <v>4.5</v>
      </c>
      <c r="AG132">
        <f>IF('WetLitterbags placem_collection'!Z133="","",'WetLitterbags placem_collection'!Z133)</f>
        <v>7.5</v>
      </c>
      <c r="AH132" s="236" t="str">
        <f>IF('WetLitterbags placem_collection'!AA133="","",'WetLitterbags placem_collection'!AA133)</f>
        <v>O</v>
      </c>
      <c r="AI132">
        <f>IF('WetLitterbags placem_collection'!AC133="","",'WetLitterbags placem_collection'!AC133)</f>
        <v>0</v>
      </c>
      <c r="AJ132" s="233">
        <f>AVERAGE('WetLitterbags placem_collection'!S133,'WetLitterbags placem_collection'!U133)</f>
        <v>9.3000000000000007</v>
      </c>
      <c r="AK132">
        <f>AVERAGE('WetLitterbags placem_collection'!R133,'WetLitterbags placem_collection'!T133)</f>
        <v>28.950000000000003</v>
      </c>
      <c r="AL132">
        <f>INDEX([2]Coordinates!$B$2:$B$197,MATCH(I132,[2]Coordinates!$J$2:$J$197,0))</f>
        <v>-2.3503259660000002</v>
      </c>
      <c r="AM132">
        <f>INDEX([2]Coordinates!$C$2:$C$197,MATCH(I132,[2]Coordinates!$J$2:$J$197,0))</f>
        <v>34.049616999999998</v>
      </c>
      <c r="AN132" t="str">
        <f>IF(ISNUMBER(SEARCH("C", 'WetLitterbags placem_collection'!$V133)),"YES","NO")</f>
        <v>NO</v>
      </c>
      <c r="AO132" t="str">
        <f>IF(ISNUMBER(SEARCH("H", 'WetLitterbags placem_collection'!$V133)),"YES","NO")</f>
        <v>YES</v>
      </c>
      <c r="AP132" t="str">
        <f>IF(ISNUMBER(SEARCH("R", 'WetLitterbags placem_collection'!$V133)),"YES","NO")</f>
        <v>NO</v>
      </c>
    </row>
    <row r="133" spans="1:42" ht="15" customHeight="1">
      <c r="A133" t="s">
        <v>3248</v>
      </c>
      <c r="B133" s="248" t="s">
        <v>2454</v>
      </c>
      <c r="C133" s="253">
        <f>'Dry_Litterbag Placem_Collection'!A134</f>
        <v>132</v>
      </c>
      <c r="D133" s="253" t="str">
        <f>'Dry_Litterbag Placem_Collection'!B134</f>
        <v xml:space="preserve">Mwantimba
</v>
      </c>
      <c r="E133" s="253" t="s">
        <v>2454</v>
      </c>
      <c r="F133" s="253" t="s">
        <v>20</v>
      </c>
      <c r="G133" s="253">
        <v>1</v>
      </c>
      <c r="H133" s="253" t="s">
        <v>3121</v>
      </c>
      <c r="I133" s="254" t="str">
        <f>'Dry_Litterbag Placem_Collection'!C134</f>
        <v>Wet_P1_T4</v>
      </c>
      <c r="J133" s="255" t="s">
        <v>2525</v>
      </c>
      <c r="K133" s="256" t="s">
        <v>1147</v>
      </c>
      <c r="L133" s="221" t="str">
        <f>'WetLitterbags placem_collection'!K134</f>
        <v>G725</v>
      </c>
      <c r="M133" s="223">
        <f>IFERROR(INDEX('Green_rooibos initial weight'!$C$5:$C$2000,MATCH(L133, 'Green_rooibos initial weight'!$A$5:$A$2000,0)),"")</f>
        <v>2.0270000000000001</v>
      </c>
      <c r="N133" s="223">
        <f>IFERROR(M133-(TBIcalc!$H$9+TBIcalc!$H$10),"")</f>
        <v>1.7772000000000001</v>
      </c>
      <c r="O133" s="378">
        <f>AVERAGE(Ashed_controlls!$K$2:$K$11)</f>
        <v>5.5147656768714146</v>
      </c>
      <c r="P133" s="223">
        <f t="shared" si="11"/>
        <v>1.6791915843906413</v>
      </c>
      <c r="Q133" s="223">
        <f>IFERROR(INDEX('Both teabags AfterWet'!$C$3:$C$840,MATCH(L133,'Both teabags AfterWet'!$A$3:$A$840,0)),"")</f>
        <v>0.56820000000000004</v>
      </c>
      <c r="R133" s="223">
        <f>IFERROR(IF(Q133&gt;0,Q133-(TBIcalc!$H$9),""),"")</f>
        <v>0.41760000000000003</v>
      </c>
      <c r="S133" s="223">
        <f>IFERROR(INDEX('Ashed teabags wet'!$K$2:$K$2000,MATCH(L133,'Ashed teabags wet'!$A$2:$A$2000,0)),"")</f>
        <v>14.355948869222813</v>
      </c>
      <c r="T133" s="223">
        <f t="shared" si="12"/>
        <v>0.35764955752212557</v>
      </c>
      <c r="U133" s="224">
        <f>'WetLitterbags placem_collection'!E134</f>
        <v>42762</v>
      </c>
      <c r="V133" s="224">
        <f>IF('WetLitterbags placem_collection'!G134="","",'WetLitterbags placem_collection'!G134)</f>
        <v>42816</v>
      </c>
      <c r="W133" s="225">
        <f t="shared" si="10"/>
        <v>54</v>
      </c>
      <c r="X133" s="223">
        <f t="shared" si="13"/>
        <v>1.3596000000000001</v>
      </c>
      <c r="Y133" s="223">
        <f t="shared" si="14"/>
        <v>1.3215420268685159</v>
      </c>
      <c r="Z133">
        <f>IFERROR(INDEX([1]Rainfall_Wet!$O$2:$O$217,MATCH(C133, [1]Rainfall_Wet!$A$2:$A$217,0)),"")</f>
        <v>206.85140822299999</v>
      </c>
      <c r="AA133" s="226">
        <v>31.214836424255054</v>
      </c>
      <c r="AB133" s="226">
        <v>11.377370285476141</v>
      </c>
      <c r="AC133" s="226">
        <v>57.407793290268799</v>
      </c>
      <c r="AD133" s="227" t="s">
        <v>2651</v>
      </c>
      <c r="AE133" s="226">
        <v>4.7337604731394798</v>
      </c>
      <c r="AF133">
        <f>IF('WetLitterbags placem_collection'!AB134="","",'WetLitterbags placem_collection'!AB134)</f>
        <v>0.7</v>
      </c>
      <c r="AG133">
        <f>IF('WetLitterbags placem_collection'!Z134="","",'WetLitterbags placem_collection'!Z134)</f>
        <v>9.8000000000000007</v>
      </c>
      <c r="AH133" s="236" t="str">
        <f>IF('WetLitterbags placem_collection'!AA134="","",'WetLitterbags placem_collection'!AA134)</f>
        <v>G</v>
      </c>
      <c r="AI133">
        <f>IF('WetLitterbags placem_collection'!AC134="","",'WetLitterbags placem_collection'!AC134)</f>
        <v>1</v>
      </c>
      <c r="AJ133" s="233">
        <f>AVERAGE('WetLitterbags placem_collection'!S134,'WetLitterbags placem_collection'!U134)</f>
        <v>18.55</v>
      </c>
      <c r="AK133">
        <f>AVERAGE('WetLitterbags placem_collection'!R134,'WetLitterbags placem_collection'!T134)</f>
        <v>28.95</v>
      </c>
      <c r="AL133">
        <f>INDEX([2]Coordinates!$B$2:$B$197,MATCH(I133,[2]Coordinates!$J$2:$J$197,0))</f>
        <v>-2.3504800260000001</v>
      </c>
      <c r="AM133">
        <f>INDEX([2]Coordinates!$C$2:$C$197,MATCH(I133,[2]Coordinates!$J$2:$J$197,0))</f>
        <v>34.049551030000003</v>
      </c>
      <c r="AN133" t="str">
        <f>IF(ISNUMBER(SEARCH("C", 'WetLitterbags placem_collection'!$V134)),"YES","NO")</f>
        <v>NO</v>
      </c>
      <c r="AO133" t="str">
        <f>IF(ISNUMBER(SEARCH("H", 'WetLitterbags placem_collection'!$V134)),"YES","NO")</f>
        <v>NO</v>
      </c>
      <c r="AP133" t="str">
        <f>IF(ISNUMBER(SEARCH("R", 'WetLitterbags placem_collection'!$V134)),"YES","NO")</f>
        <v>NO</v>
      </c>
    </row>
    <row r="134" spans="1:42" ht="15" customHeight="1">
      <c r="A134" t="s">
        <v>3248</v>
      </c>
      <c r="B134" s="248" t="s">
        <v>2454</v>
      </c>
      <c r="C134" s="253">
        <f>'Dry_Litterbag Placem_Collection'!A135</f>
        <v>133</v>
      </c>
      <c r="D134" s="253" t="str">
        <f>'Dry_Litterbag Placem_Collection'!B135</f>
        <v xml:space="preserve">Mwantimba
</v>
      </c>
      <c r="E134" s="253" t="s">
        <v>2454</v>
      </c>
      <c r="F134" s="253" t="s">
        <v>20</v>
      </c>
      <c r="G134" s="253">
        <v>1</v>
      </c>
      <c r="H134" s="253" t="s">
        <v>3121</v>
      </c>
      <c r="I134" s="254" t="str">
        <f>'Dry_Litterbag Placem_Collection'!C135</f>
        <v>Wet_P1_T5</v>
      </c>
      <c r="J134" s="255" t="s">
        <v>2525</v>
      </c>
      <c r="K134" s="256" t="s">
        <v>1147</v>
      </c>
      <c r="L134" s="221" t="str">
        <f>'WetLitterbags placem_collection'!K135</f>
        <v>G846</v>
      </c>
      <c r="M134" s="223">
        <f>IFERROR(INDEX('Green_rooibos initial weight'!$C$5:$C$2000,MATCH(L134, 'Green_rooibos initial weight'!$A$5:$A$2000,0)),"")</f>
        <v>2.0350000000000001</v>
      </c>
      <c r="N134" s="223">
        <f>IFERROR(M134-(TBIcalc!$H$9+TBIcalc!$H$10),"")</f>
        <v>1.7852000000000001</v>
      </c>
      <c r="O134" s="378">
        <f>AVERAGE(Ashed_controlls!$K$2:$K$11)</f>
        <v>5.5147656768714146</v>
      </c>
      <c r="P134" s="223">
        <f t="shared" si="11"/>
        <v>1.6867504031364917</v>
      </c>
      <c r="Q134" s="223">
        <f>IFERROR(INDEX('Both teabags AfterWet'!$C$3:$C$840,MATCH(L134,'Both teabags AfterWet'!$A$3:$A$840,0)),"")</f>
        <v>0.59309999999999996</v>
      </c>
      <c r="R134" s="223">
        <f>IFERROR(IF(Q134&gt;0,Q134-(TBIcalc!$H$9),""),"")</f>
        <v>0.44249999999999995</v>
      </c>
      <c r="S134" s="223">
        <f>IFERROR(INDEX('Ashed teabags wet'!$K$2:$K$2000,MATCH(L134,'Ashed teabags wet'!$A$2:$A$2000,0)),"")</f>
        <v>11.326378539493467</v>
      </c>
      <c r="T134" s="223">
        <f t="shared" si="12"/>
        <v>0.39238077496274137</v>
      </c>
      <c r="U134" s="224">
        <f>'WetLitterbags placem_collection'!E135</f>
        <v>42762</v>
      </c>
      <c r="V134" s="224">
        <f>IF('WetLitterbags placem_collection'!G135="","",'WetLitterbags placem_collection'!G135)</f>
        <v>42816</v>
      </c>
      <c r="W134" s="225">
        <f t="shared" si="10"/>
        <v>54</v>
      </c>
      <c r="X134" s="223">
        <f t="shared" si="13"/>
        <v>1.3427000000000002</v>
      </c>
      <c r="Y134" s="223">
        <f t="shared" si="14"/>
        <v>1.2943696281737505</v>
      </c>
      <c r="Z134">
        <f>IFERROR(INDEX([1]Rainfall_Wet!$O$2:$O$217,MATCH(C134, [1]Rainfall_Wet!$A$2:$A$217,0)),"")</f>
        <v>206.85140822299999</v>
      </c>
      <c r="AA134" s="226">
        <v>31.214836424255054</v>
      </c>
      <c r="AB134" s="226">
        <v>11.377370285476141</v>
      </c>
      <c r="AC134" s="226">
        <v>57.407793290268799</v>
      </c>
      <c r="AD134" s="227" t="s">
        <v>2651</v>
      </c>
      <c r="AE134" s="226">
        <v>5.7337604731394798</v>
      </c>
      <c r="AF134">
        <f>IF('WetLitterbags placem_collection'!AB135="","",'WetLitterbags placem_collection'!AB135)</f>
        <v>2.2000000000000002</v>
      </c>
      <c r="AG134">
        <f>IF('WetLitterbags placem_collection'!Z135="","",'WetLitterbags placem_collection'!Z135)</f>
        <v>10</v>
      </c>
      <c r="AH134" s="236" t="str">
        <f>IF('WetLitterbags placem_collection'!AA135="","",'WetLitterbags placem_collection'!AA135)</f>
        <v>O</v>
      </c>
      <c r="AI134">
        <f>IF('WetLitterbags placem_collection'!AC135="","",'WetLitterbags placem_collection'!AC135)</f>
        <v>1</v>
      </c>
      <c r="AJ134" s="233">
        <f>AVERAGE('WetLitterbags placem_collection'!S135,'WetLitterbags placem_collection'!U135)</f>
        <v>13.399999999999999</v>
      </c>
      <c r="AK134">
        <f>AVERAGE('WetLitterbags placem_collection'!R135,'WetLitterbags placem_collection'!T135)</f>
        <v>31.349999999999998</v>
      </c>
      <c r="AL134">
        <f>INDEX([2]Coordinates!$B$2:$B$197,MATCH(I134,[2]Coordinates!$J$2:$J$197,0))</f>
        <v>-2.350474996</v>
      </c>
      <c r="AM134">
        <f>INDEX([2]Coordinates!$C$2:$C$197,MATCH(I134,[2]Coordinates!$J$2:$J$197,0))</f>
        <v>34.049801979999998</v>
      </c>
      <c r="AN134" t="str">
        <f>IF(ISNUMBER(SEARCH("C", 'WetLitterbags placem_collection'!$V135)),"YES","NO")</f>
        <v>NO</v>
      </c>
      <c r="AO134" t="str">
        <f>IF(ISNUMBER(SEARCH("H", 'WetLitterbags placem_collection'!$V135)),"YES","NO")</f>
        <v>NO</v>
      </c>
      <c r="AP134" t="str">
        <f>IF(ISNUMBER(SEARCH("R", 'WetLitterbags placem_collection'!$V135)),"YES","NO")</f>
        <v>NO</v>
      </c>
    </row>
    <row r="135" spans="1:42" ht="15" customHeight="1">
      <c r="A135" t="s">
        <v>3248</v>
      </c>
      <c r="B135" s="248" t="s">
        <v>2454</v>
      </c>
      <c r="C135" s="253">
        <f>'Dry_Litterbag Placem_Collection'!A136</f>
        <v>134</v>
      </c>
      <c r="D135" s="253" t="str">
        <f>'Dry_Litterbag Placem_Collection'!B136</f>
        <v xml:space="preserve">Mwantimba
</v>
      </c>
      <c r="E135" s="253" t="s">
        <v>2454</v>
      </c>
      <c r="F135" s="253" t="s">
        <v>20</v>
      </c>
      <c r="G135" s="253">
        <v>1</v>
      </c>
      <c r="H135" s="253" t="s">
        <v>3121</v>
      </c>
      <c r="I135" s="254" t="str">
        <f>'Dry_Litterbag Placem_Collection'!C136</f>
        <v>Wet_P1_T6</v>
      </c>
      <c r="J135" s="255" t="s">
        <v>2525</v>
      </c>
      <c r="K135" s="256" t="s">
        <v>1147</v>
      </c>
      <c r="L135" s="221" t="str">
        <f>'WetLitterbags placem_collection'!K136</f>
        <v>G756</v>
      </c>
      <c r="M135" s="223">
        <f>IFERROR(INDEX('Green_rooibos initial weight'!$C$5:$C$2000,MATCH(L135, 'Green_rooibos initial weight'!$A$5:$A$2000,0)),"")</f>
        <v>2.1459999999999999</v>
      </c>
      <c r="N135" s="223">
        <f>IFERROR(M135-(TBIcalc!$H$9+TBIcalc!$H$10),"")</f>
        <v>1.8961999999999999</v>
      </c>
      <c r="O135" s="378">
        <f>AVERAGE(Ashed_controlls!$K$2:$K$11)</f>
        <v>5.5147656768714146</v>
      </c>
      <c r="P135" s="223">
        <f t="shared" si="11"/>
        <v>1.7916290132351642</v>
      </c>
      <c r="Q135" s="223">
        <f>IFERROR(INDEX('Both teabags AfterWet'!$C$3:$C$840,MATCH(L135,'Both teabags AfterWet'!$A$3:$A$840,0)),"")</f>
        <v>0.69399999999999995</v>
      </c>
      <c r="R135" s="223">
        <f>IFERROR(IF(Q135&gt;0,Q135-(TBIcalc!$H$9),""),"")</f>
        <v>0.54339999999999988</v>
      </c>
      <c r="S135" s="223">
        <f>IFERROR(INDEX('Ashed teabags wet'!$K$2:$K$2000,MATCH(L135,'Ashed teabags wet'!$A$2:$A$2000,0)),"")</f>
        <v>17.213930348258991</v>
      </c>
      <c r="T135" s="223">
        <f t="shared" si="12"/>
        <v>0.44985950248756057</v>
      </c>
      <c r="U135" s="224">
        <f>'WetLitterbags placem_collection'!E136</f>
        <v>42762</v>
      </c>
      <c r="V135" s="224">
        <f>IF('WetLitterbags placem_collection'!G136="","",'WetLitterbags placem_collection'!G136)</f>
        <v>42816</v>
      </c>
      <c r="W135" s="225">
        <f t="shared" si="10"/>
        <v>54</v>
      </c>
      <c r="X135" s="223">
        <f t="shared" si="13"/>
        <v>1.3528</v>
      </c>
      <c r="Y135" s="223">
        <f t="shared" si="14"/>
        <v>1.3417695107476035</v>
      </c>
      <c r="Z135">
        <f>IFERROR(INDEX([1]Rainfall_Wet!$O$2:$O$217,MATCH(C135, [1]Rainfall_Wet!$A$2:$A$217,0)),"")</f>
        <v>206.85140822299999</v>
      </c>
      <c r="AA135" s="226">
        <v>31.214836424255054</v>
      </c>
      <c r="AB135" s="226">
        <v>11.377370285476141</v>
      </c>
      <c r="AC135" s="226">
        <v>57.407793290268799</v>
      </c>
      <c r="AD135" s="227" t="s">
        <v>2651</v>
      </c>
      <c r="AE135" s="226">
        <v>6.7337604731394798</v>
      </c>
      <c r="AF135">
        <f>IF('WetLitterbags placem_collection'!AB136="","",'WetLitterbags placem_collection'!AB136)</f>
        <v>1.1000000000000001</v>
      </c>
      <c r="AG135">
        <f>IF('WetLitterbags placem_collection'!Z136="","",'WetLitterbags placem_collection'!Z136)</f>
        <v>15.4</v>
      </c>
      <c r="AH135" s="236" t="str">
        <f>IF('WetLitterbags placem_collection'!AA136="","",'WetLitterbags placem_collection'!AA136)</f>
        <v>O</v>
      </c>
      <c r="AI135">
        <f>IF('WetLitterbags placem_collection'!AC136="","",'WetLitterbags placem_collection'!AC136)</f>
        <v>1</v>
      </c>
      <c r="AJ135" s="233">
        <f>AVERAGE('WetLitterbags placem_collection'!S136,'WetLitterbags placem_collection'!U136)</f>
        <v>12.7</v>
      </c>
      <c r="AK135">
        <f>AVERAGE('WetLitterbags placem_collection'!R136,'WetLitterbags placem_collection'!T136)</f>
        <v>30.15</v>
      </c>
      <c r="AL135">
        <f>INDEX([2]Coordinates!$B$2:$B$197,MATCH(I135,[2]Coordinates!$J$2:$J$197,0))</f>
        <v>-2.3503559730000001</v>
      </c>
      <c r="AM135">
        <f>INDEX([2]Coordinates!$C$2:$C$197,MATCH(I135,[2]Coordinates!$J$2:$J$197,0))</f>
        <v>34.049800980000001</v>
      </c>
      <c r="AN135" t="str">
        <f>IF(ISNUMBER(SEARCH("C", 'WetLitterbags placem_collection'!$V136)),"YES","NO")</f>
        <v>NO</v>
      </c>
      <c r="AO135" t="str">
        <f>IF(ISNUMBER(SEARCH("H", 'WetLitterbags placem_collection'!$V136)),"YES","NO")</f>
        <v>NO</v>
      </c>
      <c r="AP135" t="str">
        <f>IF(ISNUMBER(SEARCH("R", 'WetLitterbags placem_collection'!$V136)),"YES","NO")</f>
        <v>YES</v>
      </c>
    </row>
    <row r="136" spans="1:42" ht="15" customHeight="1">
      <c r="A136" t="s">
        <v>3248</v>
      </c>
      <c r="B136" s="248" t="s">
        <v>2454</v>
      </c>
      <c r="C136" s="253">
        <f>'Dry_Litterbag Placem_Collection'!A137</f>
        <v>135</v>
      </c>
      <c r="D136" s="253" t="str">
        <f>'Dry_Litterbag Placem_Collection'!B137</f>
        <v xml:space="preserve">Mwantimba
</v>
      </c>
      <c r="E136" s="253" t="s">
        <v>2454</v>
      </c>
      <c r="F136" s="253" t="s">
        <v>20</v>
      </c>
      <c r="G136" s="253">
        <v>1</v>
      </c>
      <c r="H136" s="253" t="s">
        <v>3121</v>
      </c>
      <c r="I136" s="254" t="str">
        <f>'Dry_Litterbag Placem_Collection'!C137</f>
        <v>Wet_P1_T7</v>
      </c>
      <c r="J136" s="255" t="s">
        <v>2525</v>
      </c>
      <c r="K136" s="256" t="s">
        <v>1147</v>
      </c>
      <c r="L136" s="221" t="str">
        <f>'WetLitterbags placem_collection'!K137</f>
        <v>G745</v>
      </c>
      <c r="M136" s="223">
        <f>IFERROR(INDEX('Green_rooibos initial weight'!$C$5:$C$2000,MATCH(L136, 'Green_rooibos initial weight'!$A$5:$A$2000,0)),"")</f>
        <v>1.9570000000000001</v>
      </c>
      <c r="N136" s="223">
        <f>IFERROR(M136-(TBIcalc!$H$9+TBIcalc!$H$10),"")</f>
        <v>1.7072000000000001</v>
      </c>
      <c r="O136" s="378">
        <f>AVERAGE(Ashed_controlls!$K$2:$K$11)</f>
        <v>5.5147656768714146</v>
      </c>
      <c r="P136" s="223">
        <f t="shared" si="11"/>
        <v>1.6130519203644513</v>
      </c>
      <c r="Q136" s="223">
        <f>IFERROR(INDEX('Both teabags AfterWet'!$C$3:$C$840,MATCH(L136,'Both teabags AfterWet'!$A$3:$A$840,0)),"")</f>
        <v>0.61099999999999999</v>
      </c>
      <c r="R136" s="223">
        <f>IFERROR(IF(Q136&gt;0,Q136-(TBIcalc!$H$9),""),"")</f>
        <v>0.46039999999999998</v>
      </c>
      <c r="S136" s="223">
        <f>IFERROR(INDEX('Ashed teabags wet'!$K$2:$K$2000,MATCH(L136,'Ashed teabags wet'!$A$2:$A$2000,0)),"")</f>
        <v>14.334637964774716</v>
      </c>
      <c r="T136" s="223">
        <f t="shared" si="12"/>
        <v>0.3944033268101772</v>
      </c>
      <c r="U136" s="224">
        <f>'WetLitterbags placem_collection'!E137</f>
        <v>42762</v>
      </c>
      <c r="V136" s="224">
        <f>IF('WetLitterbags placem_collection'!G137="","",'WetLitterbags placem_collection'!G137)</f>
        <v>42816</v>
      </c>
      <c r="W136" s="225">
        <f t="shared" si="10"/>
        <v>54</v>
      </c>
      <c r="X136" s="223">
        <f t="shared" si="13"/>
        <v>1.2468000000000001</v>
      </c>
      <c r="Y136" s="223">
        <f t="shared" si="14"/>
        <v>1.2186485935542741</v>
      </c>
      <c r="Z136">
        <f>IFERROR(INDEX([1]Rainfall_Wet!$O$2:$O$217,MATCH(C136, [1]Rainfall_Wet!$A$2:$A$217,0)),"")</f>
        <v>206.85140822299999</v>
      </c>
      <c r="AA136" s="226">
        <v>31.214836424255054</v>
      </c>
      <c r="AB136" s="226">
        <v>11.377370285476141</v>
      </c>
      <c r="AC136" s="226">
        <v>57.407793290268799</v>
      </c>
      <c r="AD136" s="227" t="s">
        <v>2651</v>
      </c>
      <c r="AE136" s="226">
        <v>7.7337604731394798</v>
      </c>
      <c r="AF136">
        <f>IF('WetLitterbags placem_collection'!AB137="","",'WetLitterbags placem_collection'!AB137)</f>
        <v>2.1</v>
      </c>
      <c r="AG136">
        <f>IF('WetLitterbags placem_collection'!Z137="","",'WetLitterbags placem_collection'!Z137)</f>
        <v>5.6</v>
      </c>
      <c r="AH136" s="236" t="str">
        <f>IF('WetLitterbags placem_collection'!AA137="","",'WetLitterbags placem_collection'!AA137)</f>
        <v>O</v>
      </c>
      <c r="AI136">
        <f>IF('WetLitterbags placem_collection'!AC137="","",'WetLitterbags placem_collection'!AC137)</f>
        <v>1</v>
      </c>
      <c r="AJ136" s="233">
        <f>AVERAGE('WetLitterbags placem_collection'!S137,'WetLitterbags placem_collection'!U137)</f>
        <v>14.5</v>
      </c>
      <c r="AK136">
        <f>AVERAGE('WetLitterbags placem_collection'!R137,'WetLitterbags placem_collection'!T137)</f>
        <v>29.65</v>
      </c>
      <c r="AL136">
        <f>INDEX([2]Coordinates!$B$2:$B$197,MATCH(I136,[2]Coordinates!$J$2:$J$197,0))</f>
        <v>-2.3503589909999998</v>
      </c>
      <c r="AM136">
        <f>INDEX([2]Coordinates!$C$2:$C$197,MATCH(I136,[2]Coordinates!$J$2:$J$197,0))</f>
        <v>34.049719000000003</v>
      </c>
      <c r="AN136" t="str">
        <f>IF(ISNUMBER(SEARCH("C", 'WetLitterbags placem_collection'!$V137)),"YES","NO")</f>
        <v>NO</v>
      </c>
      <c r="AO136" t="str">
        <f>IF(ISNUMBER(SEARCH("H", 'WetLitterbags placem_collection'!$V137)),"YES","NO")</f>
        <v>NO</v>
      </c>
      <c r="AP136" t="str">
        <f>IF(ISNUMBER(SEARCH("R", 'WetLitterbags placem_collection'!$V137)),"YES","NO")</f>
        <v>YES</v>
      </c>
    </row>
    <row r="137" spans="1:42" ht="15" customHeight="1">
      <c r="A137" t="s">
        <v>3248</v>
      </c>
      <c r="B137" s="248" t="s">
        <v>2454</v>
      </c>
      <c r="C137" s="253">
        <f>'Dry_Litterbag Placem_Collection'!A138</f>
        <v>136</v>
      </c>
      <c r="D137" s="253" t="str">
        <f>'Dry_Litterbag Placem_Collection'!B138</f>
        <v xml:space="preserve">Mwantimba
</v>
      </c>
      <c r="E137" s="253" t="s">
        <v>2454</v>
      </c>
      <c r="F137" s="253" t="s">
        <v>20</v>
      </c>
      <c r="G137" s="253">
        <v>1</v>
      </c>
      <c r="H137" s="253" t="s">
        <v>3121</v>
      </c>
      <c r="I137" s="254" t="str">
        <f>'Dry_Litterbag Placem_Collection'!C138</f>
        <v>Wet_P1_T8</v>
      </c>
      <c r="J137" s="255" t="s">
        <v>2525</v>
      </c>
      <c r="K137" s="256" t="s">
        <v>1147</v>
      </c>
      <c r="L137" s="221" t="str">
        <f>'WetLitterbags placem_collection'!K138</f>
        <v>G832</v>
      </c>
      <c r="M137" s="223">
        <f>IFERROR(INDEX('Green_rooibos initial weight'!$C$5:$C$2000,MATCH(L137, 'Green_rooibos initial weight'!$A$5:$A$2000,0)),"")</f>
        <v>2.0470000000000002</v>
      </c>
      <c r="N137" s="223">
        <f>IFERROR(M137-(TBIcalc!$H$9+TBIcalc!$H$10),"")</f>
        <v>1.7972000000000001</v>
      </c>
      <c r="O137" s="378">
        <f>AVERAGE(Ashed_controlls!$K$2:$K$11)</f>
        <v>5.5147656768714146</v>
      </c>
      <c r="P137" s="223">
        <f t="shared" si="11"/>
        <v>1.698088631255267</v>
      </c>
      <c r="Q137" s="223">
        <f>IFERROR(INDEX('Both teabags AfterWet'!$C$3:$C$840,MATCH(L137,'Both teabags AfterWet'!$A$3:$A$840,0)),"")</f>
        <v>0.5796</v>
      </c>
      <c r="R137" s="223">
        <f>IFERROR(IF(Q137&gt;0,Q137-(TBIcalc!$H$9),""),"")</f>
        <v>0.42899999999999999</v>
      </c>
      <c r="S137" s="223">
        <f>IFERROR(INDEX('Ashed teabags wet'!$K$2:$K$2000,MATCH(L137,'Ashed teabags wet'!$A$2:$A$2000,0)),"")</f>
        <v>15.08132084770828</v>
      </c>
      <c r="T137" s="223">
        <f t="shared" si="12"/>
        <v>0.36430113356333149</v>
      </c>
      <c r="U137" s="224">
        <f>'WetLitterbags placem_collection'!E138</f>
        <v>42762</v>
      </c>
      <c r="V137" s="224">
        <f>IF('WetLitterbags placem_collection'!G138="","",'WetLitterbags placem_collection'!G138)</f>
        <v>42816</v>
      </c>
      <c r="W137" s="225">
        <f t="shared" si="10"/>
        <v>54</v>
      </c>
      <c r="X137" s="223">
        <f t="shared" si="13"/>
        <v>1.3682000000000001</v>
      </c>
      <c r="Y137" s="223">
        <f t="shared" si="14"/>
        <v>1.3337874976919355</v>
      </c>
      <c r="Z137">
        <f>IFERROR(INDEX([1]Rainfall_Wet!$O$2:$O$217,MATCH(C137, [1]Rainfall_Wet!$A$2:$A$217,0)),"")</f>
        <v>206.85140822299999</v>
      </c>
      <c r="AA137" s="226">
        <v>31.214836424255054</v>
      </c>
      <c r="AB137" s="226">
        <v>11.377370285476141</v>
      </c>
      <c r="AC137" s="226">
        <v>57.407793290268799</v>
      </c>
      <c r="AD137" s="227" t="s">
        <v>2651</v>
      </c>
      <c r="AE137" s="226">
        <v>8.7337604731394798</v>
      </c>
      <c r="AF137">
        <f>IF('WetLitterbags placem_collection'!AB138="","",'WetLitterbags placem_collection'!AB138)</f>
        <v>2.2999999999999998</v>
      </c>
      <c r="AG137">
        <f>IF('WetLitterbags placem_collection'!Z138="","",'WetLitterbags placem_collection'!Z138)</f>
        <v>16.3</v>
      </c>
      <c r="AH137" s="236" t="str">
        <f>IF('WetLitterbags placem_collection'!AA138="","",'WetLitterbags placem_collection'!AA138)</f>
        <v>G</v>
      </c>
      <c r="AI137">
        <f>IF('WetLitterbags placem_collection'!AC138="","",'WetLitterbags placem_collection'!AC138)</f>
        <v>1</v>
      </c>
      <c r="AJ137" s="233">
        <f>AVERAGE('WetLitterbags placem_collection'!S138,'WetLitterbags placem_collection'!U138)</f>
        <v>14.65</v>
      </c>
      <c r="AK137">
        <f>AVERAGE('WetLitterbags placem_collection'!R138,'WetLitterbags placem_collection'!T138)</f>
        <v>30.6</v>
      </c>
      <c r="AL137">
        <f>INDEX([2]Coordinates!$B$2:$B$197,MATCH(I137,[2]Coordinates!$J$2:$J$197,0))</f>
        <v>-2.3502159960000002</v>
      </c>
      <c r="AM137">
        <f>INDEX([2]Coordinates!$C$2:$C$197,MATCH(I137,[2]Coordinates!$J$2:$J$197,0))</f>
        <v>34.049822020000001</v>
      </c>
      <c r="AN137" t="str">
        <f>IF(ISNUMBER(SEARCH("C", 'WetLitterbags placem_collection'!$V138)),"YES","NO")</f>
        <v>NO</v>
      </c>
      <c r="AO137" t="str">
        <f>IF(ISNUMBER(SEARCH("H", 'WetLitterbags placem_collection'!$V138)),"YES","NO")</f>
        <v>NO</v>
      </c>
      <c r="AP137" t="str">
        <f>IF(ISNUMBER(SEARCH("R", 'WetLitterbags placem_collection'!$V138)),"YES","NO")</f>
        <v>YES</v>
      </c>
    </row>
    <row r="138" spans="1:42" ht="15" customHeight="1">
      <c r="A138" t="s">
        <v>3248</v>
      </c>
      <c r="B138" s="248" t="s">
        <v>2454</v>
      </c>
      <c r="C138" s="253">
        <f>'Dry_Litterbag Placem_Collection'!A139</f>
        <v>137</v>
      </c>
      <c r="D138" s="253" t="str">
        <f>'Dry_Litterbag Placem_Collection'!B139</f>
        <v xml:space="preserve">Mwantimba
</v>
      </c>
      <c r="E138" s="253" t="s">
        <v>2454</v>
      </c>
      <c r="F138" s="253" t="s">
        <v>20</v>
      </c>
      <c r="G138" s="253">
        <v>2</v>
      </c>
      <c r="H138" s="253" t="s">
        <v>3123</v>
      </c>
      <c r="I138" s="254" t="str">
        <f>'Dry_Litterbag Placem_Collection'!C139</f>
        <v>Wet_P2_T1</v>
      </c>
      <c r="J138" s="255" t="s">
        <v>2525</v>
      </c>
      <c r="K138" s="256" t="s">
        <v>1147</v>
      </c>
      <c r="L138" s="221" t="str">
        <f>'WetLitterbags placem_collection'!K139</f>
        <v>G805</v>
      </c>
      <c r="M138" s="223">
        <f>IFERROR(INDEX('Green_rooibos initial weight'!$C$5:$C$2000,MATCH(L138, 'Green_rooibos initial weight'!$A$5:$A$2000,0)),"")</f>
        <v>1.9810000000000001</v>
      </c>
      <c r="N138" s="223">
        <f>IFERROR(M138-(TBIcalc!$H$9+TBIcalc!$H$10),"")</f>
        <v>1.7312000000000001</v>
      </c>
      <c r="O138" s="378">
        <f>AVERAGE(Ashed_controlls!$K$2:$K$11)</f>
        <v>5.5147656768714146</v>
      </c>
      <c r="P138" s="223">
        <f t="shared" si="11"/>
        <v>1.6357283766020021</v>
      </c>
      <c r="Q138" s="223">
        <f>IFERROR(INDEX('Both teabags AfterWet'!$C$3:$C$840,MATCH(L138,'Both teabags AfterWet'!$A$3:$A$840,0)),"")</f>
        <v>1.5740000000000001</v>
      </c>
      <c r="R138" s="223">
        <f>IFERROR(IF(Q138&gt;0,Q138-(TBIcalc!$H$9),""),"")</f>
        <v>1.4234</v>
      </c>
      <c r="S138" s="223">
        <f>IFERROR(INDEX('Ashed teabags wet'!$K$2:$K$2000,MATCH(L138,'Ashed teabags wet'!$A$2:$A$2000,0)),"")</f>
        <v>15.662650602409292</v>
      </c>
      <c r="T138" s="223">
        <f t="shared" si="12"/>
        <v>1.200457831325306</v>
      </c>
      <c r="U138" s="224">
        <f>'WetLitterbags placem_collection'!E139</f>
        <v>42762</v>
      </c>
      <c r="V138" s="224">
        <f>IF('WetLitterbags placem_collection'!G139="","",'WetLitterbags placem_collection'!G139)</f>
        <v>42816</v>
      </c>
      <c r="W138" s="225">
        <f t="shared" si="10"/>
        <v>54</v>
      </c>
      <c r="X138" s="223">
        <f t="shared" si="13"/>
        <v>0.30780000000000007</v>
      </c>
      <c r="Y138" s="223">
        <f t="shared" si="14"/>
        <v>0.43527054527669606</v>
      </c>
      <c r="Z138">
        <f>IFERROR(INDEX([1]Rainfall_Wet!$O$2:$O$217,MATCH(C138, [1]Rainfall_Wet!$A$2:$A$217,0)),"")</f>
        <v>206.85140822299999</v>
      </c>
      <c r="AA138" s="226">
        <v>33.96</v>
      </c>
      <c r="AB138" s="226">
        <v>8.9200000000000017</v>
      </c>
      <c r="AC138" s="226">
        <v>57.12</v>
      </c>
      <c r="AD138" s="227" t="s">
        <v>2651</v>
      </c>
      <c r="AE138" s="226">
        <v>2.072055199605717</v>
      </c>
      <c r="AF138">
        <f>IF('WetLitterbags placem_collection'!AB139="","",'WetLitterbags placem_collection'!AB139)</f>
        <v>1.2</v>
      </c>
      <c r="AG138">
        <f>IF('WetLitterbags placem_collection'!Z139="","",'WetLitterbags placem_collection'!Z139)</f>
        <v>32.4</v>
      </c>
      <c r="AH138" s="236" t="str">
        <f>IF('WetLitterbags placem_collection'!AA139="","",'WetLitterbags placem_collection'!AA139)</f>
        <v>G</v>
      </c>
      <c r="AI138">
        <f>IF('WetLitterbags placem_collection'!AC139="","",'WetLitterbags placem_collection'!AC139)</f>
        <v>1</v>
      </c>
      <c r="AJ138" s="233">
        <f>AVERAGE('WetLitterbags placem_collection'!S139,'WetLitterbags placem_collection'!U139)</f>
        <v>15.5</v>
      </c>
      <c r="AK138">
        <f>AVERAGE('WetLitterbags placem_collection'!R139,'WetLitterbags placem_collection'!T139)</f>
        <v>28.5</v>
      </c>
      <c r="AL138">
        <f>INDEX([2]Coordinates!$B$2:$B$197,MATCH(I138,[2]Coordinates!$J$2:$J$197,0))</f>
        <v>-2.348596025</v>
      </c>
      <c r="AM138">
        <f>INDEX([2]Coordinates!$C$2:$C$197,MATCH(I138,[2]Coordinates!$J$2:$J$197,0))</f>
        <v>34.050070959999999</v>
      </c>
      <c r="AN138" t="str">
        <f>IF(ISNUMBER(SEARCH("C", 'WetLitterbags placem_collection'!$V139)),"YES","NO")</f>
        <v>NO</v>
      </c>
      <c r="AO138" t="str">
        <f>IF(ISNUMBER(SEARCH("H", 'WetLitterbags placem_collection'!$V139)),"YES","NO")</f>
        <v>NO</v>
      </c>
      <c r="AP138" t="str">
        <f>IF(ISNUMBER(SEARCH("R", 'WetLitterbags placem_collection'!$V139)),"YES","NO")</f>
        <v>YES</v>
      </c>
    </row>
    <row r="139" spans="1:42" ht="15" customHeight="1">
      <c r="A139" t="s">
        <v>3248</v>
      </c>
      <c r="B139" s="248" t="s">
        <v>2454</v>
      </c>
      <c r="C139" s="253">
        <f>'Dry_Litterbag Placem_Collection'!A140</f>
        <v>138</v>
      </c>
      <c r="D139" s="253" t="str">
        <f>'Dry_Litterbag Placem_Collection'!B140</f>
        <v xml:space="preserve">Mwantimba
</v>
      </c>
      <c r="E139" s="253" t="s">
        <v>2454</v>
      </c>
      <c r="F139" s="253" t="s">
        <v>20</v>
      </c>
      <c r="G139" s="253">
        <v>2</v>
      </c>
      <c r="H139" s="253" t="s">
        <v>3123</v>
      </c>
      <c r="I139" s="254" t="str">
        <f>'Dry_Litterbag Placem_Collection'!C140</f>
        <v>Wet_P2_T2</v>
      </c>
      <c r="J139" s="255" t="s">
        <v>2525</v>
      </c>
      <c r="K139" s="256" t="s">
        <v>1147</v>
      </c>
      <c r="L139" s="221" t="str">
        <f>'WetLitterbags placem_collection'!K140</f>
        <v>G815</v>
      </c>
      <c r="M139" s="223">
        <f>IFERROR(INDEX('Green_rooibos initial weight'!$C$5:$C$2000,MATCH(L139, 'Green_rooibos initial weight'!$A$5:$A$2000,0)),"")</f>
        <v>1.998</v>
      </c>
      <c r="N139" s="223">
        <f>IFERROR(M139-(TBIcalc!$H$9+TBIcalc!$H$10),"")</f>
        <v>1.7482</v>
      </c>
      <c r="O139" s="378">
        <f>AVERAGE(Ashed_controlls!$K$2:$K$11)</f>
        <v>5.5147656768714146</v>
      </c>
      <c r="P139" s="223">
        <f t="shared" si="11"/>
        <v>1.6517908664369338</v>
      </c>
      <c r="Q139" s="223">
        <f>IFERROR(INDEX('Both teabags AfterWet'!$C$3:$C$840,MATCH(L139,'Both teabags AfterWet'!$A$3:$A$840,0)),"")</f>
        <v>0.64300000000000002</v>
      </c>
      <c r="R139" s="223">
        <f>IFERROR(IF(Q139&gt;0,Q139-(TBIcalc!$H$9),""),"")</f>
        <v>0.4924</v>
      </c>
      <c r="S139" s="223">
        <f>IFERROR(INDEX('Ashed teabags wet'!$K$2:$K$2000,MATCH(L139,'Ashed teabags wet'!$A$2:$A$2000,0)),"")</f>
        <v>14.392059553350164</v>
      </c>
      <c r="T139" s="223">
        <f t="shared" si="12"/>
        <v>0.42153349875930379</v>
      </c>
      <c r="U139" s="224">
        <f>'WetLitterbags placem_collection'!E140</f>
        <v>42762</v>
      </c>
      <c r="V139" s="224">
        <f>IF('WetLitterbags placem_collection'!G140="","",'WetLitterbags placem_collection'!G140)</f>
        <v>42816</v>
      </c>
      <c r="W139" s="225">
        <f t="shared" si="10"/>
        <v>54</v>
      </c>
      <c r="X139" s="223">
        <f t="shared" si="13"/>
        <v>1.2558</v>
      </c>
      <c r="Y139" s="223">
        <f t="shared" si="14"/>
        <v>1.2302573676776301</v>
      </c>
      <c r="Z139">
        <f>IFERROR(INDEX([1]Rainfall_Wet!$O$2:$O$217,MATCH(C139, [1]Rainfall_Wet!$A$2:$A$217,0)),"")</f>
        <v>206.85140822299999</v>
      </c>
      <c r="AA139" s="226">
        <v>33.96</v>
      </c>
      <c r="AB139" s="226">
        <v>8.9200000000000017</v>
      </c>
      <c r="AC139" s="226">
        <v>57.12</v>
      </c>
      <c r="AD139" s="227" t="s">
        <v>2651</v>
      </c>
      <c r="AE139" s="226">
        <v>3.0720551996057202</v>
      </c>
      <c r="AF139">
        <f>IF('WetLitterbags placem_collection'!AB140="","",'WetLitterbags placem_collection'!AB140)</f>
        <v>2.8</v>
      </c>
      <c r="AG139">
        <f>IF('WetLitterbags placem_collection'!Z140="","",'WetLitterbags placem_collection'!Z140)</f>
        <v>26.4</v>
      </c>
      <c r="AH139" s="236" t="str">
        <f>IF('WetLitterbags placem_collection'!AA140="","",'WetLitterbags placem_collection'!AA140)</f>
        <v>G</v>
      </c>
      <c r="AI139">
        <f>IF('WetLitterbags placem_collection'!AC140="","",'WetLitterbags placem_collection'!AC140)</f>
        <v>1</v>
      </c>
      <c r="AJ139" s="233">
        <f>AVERAGE('WetLitterbags placem_collection'!S140,'WetLitterbags placem_collection'!U140)</f>
        <v>15.5</v>
      </c>
      <c r="AK139">
        <f>AVERAGE('WetLitterbags placem_collection'!R140,'WetLitterbags placem_collection'!T140)</f>
        <v>29.35</v>
      </c>
      <c r="AL139">
        <f>INDEX([2]Coordinates!$B$2:$B$197,MATCH(I139,[2]Coordinates!$J$2:$J$197,0))</f>
        <v>-2.3485449790000001</v>
      </c>
      <c r="AM139">
        <f>INDEX([2]Coordinates!$C$2:$C$197,MATCH(I139,[2]Coordinates!$J$2:$J$197,0))</f>
        <v>34.050146980000001</v>
      </c>
      <c r="AN139" t="str">
        <f>IF(ISNUMBER(SEARCH("C", 'WetLitterbags placem_collection'!$V140)),"YES","NO")</f>
        <v>NO</v>
      </c>
      <c r="AO139" t="str">
        <f>IF(ISNUMBER(SEARCH("H", 'WetLitterbags placem_collection'!$V140)),"YES","NO")</f>
        <v>NO</v>
      </c>
      <c r="AP139" t="str">
        <f>IF(ISNUMBER(SEARCH("R", 'WetLitterbags placem_collection'!$V140)),"YES","NO")</f>
        <v>YES</v>
      </c>
    </row>
    <row r="140" spans="1:42" ht="15" customHeight="1">
      <c r="A140" t="s">
        <v>3248</v>
      </c>
      <c r="B140" s="248" t="s">
        <v>2454</v>
      </c>
      <c r="C140" s="253">
        <f>'Dry_Litterbag Placem_Collection'!A141</f>
        <v>139</v>
      </c>
      <c r="D140" s="253" t="str">
        <f>'Dry_Litterbag Placem_Collection'!B141</f>
        <v xml:space="preserve">Mwantimba
</v>
      </c>
      <c r="E140" s="253" t="s">
        <v>2454</v>
      </c>
      <c r="F140" s="253" t="s">
        <v>20</v>
      </c>
      <c r="G140" s="253">
        <v>2</v>
      </c>
      <c r="H140" s="253" t="s">
        <v>3123</v>
      </c>
      <c r="I140" s="254" t="str">
        <f>'Dry_Litterbag Placem_Collection'!C141</f>
        <v>Wet_P2_T3</v>
      </c>
      <c r="J140" s="255" t="s">
        <v>2525</v>
      </c>
      <c r="K140" s="256" t="s">
        <v>1147</v>
      </c>
      <c r="L140" s="221" t="str">
        <f>'WetLitterbags placem_collection'!K141</f>
        <v>G798</v>
      </c>
      <c r="M140" s="223">
        <f>IFERROR(INDEX('Green_rooibos initial weight'!$C$5:$C$2000,MATCH(L140, 'Green_rooibos initial weight'!$A$5:$A$2000,0)),"")</f>
        <v>2.089</v>
      </c>
      <c r="N140" s="223">
        <f>IFERROR(M140-(TBIcalc!$H$9+TBIcalc!$H$10),"")</f>
        <v>1.8391999999999999</v>
      </c>
      <c r="O140" s="378">
        <f>AVERAGE(Ashed_controlls!$K$2:$K$11)</f>
        <v>5.5147656768714146</v>
      </c>
      <c r="P140" s="223">
        <f t="shared" si="11"/>
        <v>1.7377724296709809</v>
      </c>
      <c r="Q140" s="223">
        <f>IFERROR(INDEX('Both teabags AfterWet'!$C$3:$C$840,MATCH(L140,'Both teabags AfterWet'!$A$3:$A$840,0)),"")</f>
        <v>0.73499999999999999</v>
      </c>
      <c r="R140" s="223">
        <f>IFERROR(IF(Q140&gt;0,Q140-(TBIcalc!$H$9),""),"")</f>
        <v>0.58440000000000003</v>
      </c>
      <c r="S140" s="223">
        <f>IFERROR(INDEX('Ashed teabags wet'!$K$2:$K$2000,MATCH(L140,'Ashed teabags wet'!$A$2:$A$2000,0)),"")</f>
        <v>19.704433497536826</v>
      </c>
      <c r="T140" s="223">
        <f t="shared" si="12"/>
        <v>0.46924729064039483</v>
      </c>
      <c r="U140" s="224">
        <f>'WetLitterbags placem_collection'!E141</f>
        <v>42762</v>
      </c>
      <c r="V140" s="224">
        <f>IF('WetLitterbags placem_collection'!G141="","",'WetLitterbags placem_collection'!G141)</f>
        <v>42816</v>
      </c>
      <c r="W140" s="225">
        <f t="shared" si="10"/>
        <v>54</v>
      </c>
      <c r="X140" s="223">
        <f t="shared" si="13"/>
        <v>1.2547999999999999</v>
      </c>
      <c r="Y140" s="223">
        <f t="shared" si="14"/>
        <v>1.2685251390305861</v>
      </c>
      <c r="Z140">
        <f>IFERROR(INDEX([1]Rainfall_Wet!$O$2:$O$217,MATCH(C140, [1]Rainfall_Wet!$A$2:$A$217,0)),"")</f>
        <v>206.85140822299999</v>
      </c>
      <c r="AA140" s="226">
        <v>33.96</v>
      </c>
      <c r="AB140" s="226">
        <v>8.9200000000000017</v>
      </c>
      <c r="AC140" s="226">
        <v>57.12</v>
      </c>
      <c r="AD140" s="227" t="s">
        <v>2651</v>
      </c>
      <c r="AE140" s="226">
        <v>4.0720551996057202</v>
      </c>
      <c r="AF140">
        <f>IF('WetLitterbags placem_collection'!AB141="","",'WetLitterbags placem_collection'!AB141)</f>
        <v>5.7</v>
      </c>
      <c r="AG140">
        <f>IF('WetLitterbags placem_collection'!Z141="","",'WetLitterbags placem_collection'!Z141)</f>
        <v>19.399999999999999</v>
      </c>
      <c r="AH140" s="236" t="str">
        <f>IF('WetLitterbags placem_collection'!AA141="","",'WetLitterbags placem_collection'!AA141)</f>
        <v>G</v>
      </c>
      <c r="AI140">
        <f>IF('WetLitterbags placem_collection'!AC141="","",'WetLitterbags placem_collection'!AC141)</f>
        <v>1</v>
      </c>
      <c r="AJ140" s="233">
        <f>AVERAGE('WetLitterbags placem_collection'!S141,'WetLitterbags placem_collection'!U141)</f>
        <v>16.850000000000001</v>
      </c>
      <c r="AK140">
        <f>AVERAGE('WetLitterbags placem_collection'!R141,'WetLitterbags placem_collection'!T141)</f>
        <v>28.65</v>
      </c>
      <c r="AL140">
        <f>INDEX([2]Coordinates!$B$2:$B$197,MATCH(I140,[2]Coordinates!$J$2:$J$197,0))</f>
        <v>-2.3487209990000002</v>
      </c>
      <c r="AM140">
        <f>INDEX([2]Coordinates!$C$2:$C$197,MATCH(I140,[2]Coordinates!$J$2:$J$197,0))</f>
        <v>34.050128039999997</v>
      </c>
      <c r="AN140" t="str">
        <f>IF(ISNUMBER(SEARCH("C", 'WetLitterbags placem_collection'!$V141)),"YES","NO")</f>
        <v>NO</v>
      </c>
      <c r="AO140" t="str">
        <f>IF(ISNUMBER(SEARCH("H", 'WetLitterbags placem_collection'!$V141)),"YES","NO")</f>
        <v>NO</v>
      </c>
      <c r="AP140" t="str">
        <f>IF(ISNUMBER(SEARCH("R", 'WetLitterbags placem_collection'!$V141)),"YES","NO")</f>
        <v>NO</v>
      </c>
    </row>
    <row r="141" spans="1:42" ht="15" customHeight="1">
      <c r="A141" t="s">
        <v>3248</v>
      </c>
      <c r="B141" s="248" t="s">
        <v>2454</v>
      </c>
      <c r="C141" s="253">
        <f>'Dry_Litterbag Placem_Collection'!A142</f>
        <v>140</v>
      </c>
      <c r="D141" s="253" t="str">
        <f>'Dry_Litterbag Placem_Collection'!B142</f>
        <v xml:space="preserve">Mwantimba
</v>
      </c>
      <c r="E141" s="253" t="s">
        <v>2454</v>
      </c>
      <c r="F141" s="253" t="s">
        <v>20</v>
      </c>
      <c r="G141" s="253">
        <v>2</v>
      </c>
      <c r="H141" s="253" t="s">
        <v>3123</v>
      </c>
      <c r="I141" s="254" t="str">
        <f>'Dry_Litterbag Placem_Collection'!C142</f>
        <v>Wet_P2_T4</v>
      </c>
      <c r="J141" s="255" t="s">
        <v>2525</v>
      </c>
      <c r="K141" s="256" t="s">
        <v>1147</v>
      </c>
      <c r="L141" s="221" t="str">
        <f>'WetLitterbags placem_collection'!K142</f>
        <v>G787</v>
      </c>
      <c r="M141" s="223">
        <f>IFERROR(INDEX('Green_rooibos initial weight'!$C$5:$C$2000,MATCH(L141, 'Green_rooibos initial weight'!$A$5:$A$2000,0)),"")</f>
        <v>2.11</v>
      </c>
      <c r="N141" s="223">
        <f>IFERROR(M141-(TBIcalc!$H$9+TBIcalc!$H$10),"")</f>
        <v>1.8601999999999999</v>
      </c>
      <c r="O141" s="378">
        <f>AVERAGE(Ashed_controlls!$K$2:$K$11)</f>
        <v>5.5147656768714146</v>
      </c>
      <c r="P141" s="223">
        <f t="shared" si="11"/>
        <v>1.7576143288788377</v>
      </c>
      <c r="Q141" s="223">
        <f>IFERROR(INDEX('Both teabags AfterWet'!$C$3:$C$840,MATCH(L141,'Both teabags AfterWet'!$A$3:$A$840,0)),"")</f>
        <v>0.67869999999999997</v>
      </c>
      <c r="R141" s="223">
        <f>IFERROR(IF(Q141&gt;0,Q141-(TBIcalc!$H$9),""),"")</f>
        <v>0.52810000000000001</v>
      </c>
      <c r="S141" s="223">
        <f>IFERROR(INDEX('Ashed teabags wet'!$K$2:$K$2000,MATCH(L141,'Ashed teabags wet'!$A$2:$A$2000,0)),"")</f>
        <v>15.0602409638563</v>
      </c>
      <c r="T141" s="223">
        <f t="shared" si="12"/>
        <v>0.4485668674698749</v>
      </c>
      <c r="U141" s="224">
        <f>'WetLitterbags placem_collection'!E142</f>
        <v>42762</v>
      </c>
      <c r="V141" s="224">
        <f>IF('WetLitterbags placem_collection'!G142="","",'WetLitterbags placem_collection'!G142)</f>
        <v>42816</v>
      </c>
      <c r="W141" s="225">
        <f t="shared" si="10"/>
        <v>54</v>
      </c>
      <c r="X141" s="223">
        <f t="shared" si="13"/>
        <v>1.3320999999999998</v>
      </c>
      <c r="Y141" s="223">
        <f t="shared" si="14"/>
        <v>1.3090474614089629</v>
      </c>
      <c r="Z141">
        <f>IFERROR(INDEX([1]Rainfall_Wet!$O$2:$O$217,MATCH(C141, [1]Rainfall_Wet!$A$2:$A$217,0)),"")</f>
        <v>206.85140822299999</v>
      </c>
      <c r="AA141" s="226">
        <v>33.96</v>
      </c>
      <c r="AB141" s="226">
        <v>8.9200000000000017</v>
      </c>
      <c r="AC141" s="226">
        <v>57.12</v>
      </c>
      <c r="AD141" s="227" t="s">
        <v>2651</v>
      </c>
      <c r="AE141" s="226">
        <v>5.0720551996057202</v>
      </c>
      <c r="AF141">
        <f>IF('WetLitterbags placem_collection'!AB142="","",'WetLitterbags placem_collection'!AB142)</f>
        <v>1.4</v>
      </c>
      <c r="AG141">
        <f>IF('WetLitterbags placem_collection'!Z142="","",'WetLitterbags placem_collection'!Z142)</f>
        <v>33.4</v>
      </c>
      <c r="AH141" s="236" t="str">
        <f>IF('WetLitterbags placem_collection'!AA142="","",'WetLitterbags placem_collection'!AA142)</f>
        <v>G</v>
      </c>
      <c r="AI141">
        <f>IF('WetLitterbags placem_collection'!AC142="","",'WetLitterbags placem_collection'!AC142)</f>
        <v>1</v>
      </c>
      <c r="AJ141" s="233">
        <f>AVERAGE('WetLitterbags placem_collection'!S142,'WetLitterbags placem_collection'!U142)</f>
        <v>11.55</v>
      </c>
      <c r="AK141">
        <f>AVERAGE('WetLitterbags placem_collection'!R142,'WetLitterbags placem_collection'!T142)</f>
        <v>30.85</v>
      </c>
      <c r="AL141">
        <f>INDEX([2]Coordinates!$B$2:$B$197,MATCH(I141,[2]Coordinates!$J$2:$J$197,0))</f>
        <v>-2.3486250270000002</v>
      </c>
      <c r="AM141">
        <f>INDEX([2]Coordinates!$C$2:$C$197,MATCH(I141,[2]Coordinates!$J$2:$J$197,0))</f>
        <v>34.050070959999999</v>
      </c>
      <c r="AN141" t="str">
        <f>IF(ISNUMBER(SEARCH("C", 'WetLitterbags placem_collection'!$V142)),"YES","NO")</f>
        <v>NO</v>
      </c>
      <c r="AO141" t="str">
        <f>IF(ISNUMBER(SEARCH("H", 'WetLitterbags placem_collection'!$V142)),"YES","NO")</f>
        <v>NO</v>
      </c>
      <c r="AP141" t="str">
        <f>IF(ISNUMBER(SEARCH("R", 'WetLitterbags placem_collection'!$V142)),"YES","NO")</f>
        <v>NO</v>
      </c>
    </row>
    <row r="142" spans="1:42" ht="15" customHeight="1">
      <c r="A142" t="s">
        <v>3248</v>
      </c>
      <c r="B142" s="248" t="s">
        <v>2454</v>
      </c>
      <c r="C142" s="253">
        <f>'Dry_Litterbag Placem_Collection'!A143</f>
        <v>141</v>
      </c>
      <c r="D142" s="253" t="str">
        <f>'Dry_Litterbag Placem_Collection'!B143</f>
        <v xml:space="preserve">Mwantimba
</v>
      </c>
      <c r="E142" s="253" t="s">
        <v>2454</v>
      </c>
      <c r="F142" s="253" t="s">
        <v>20</v>
      </c>
      <c r="G142" s="253">
        <v>2</v>
      </c>
      <c r="H142" s="253" t="s">
        <v>3123</v>
      </c>
      <c r="I142" s="254" t="str">
        <f>'Dry_Litterbag Placem_Collection'!C143</f>
        <v>Wet_P2_T5</v>
      </c>
      <c r="J142" s="255" t="s">
        <v>2525</v>
      </c>
      <c r="K142" s="256" t="s">
        <v>1147</v>
      </c>
      <c r="L142" s="221" t="str">
        <f>'WetLitterbags placem_collection'!K143</f>
        <v>G900</v>
      </c>
      <c r="M142" s="223">
        <f>IFERROR(INDEX('Green_rooibos initial weight'!$C$5:$C$2000,MATCH(L142, 'Green_rooibos initial weight'!$A$5:$A$2000,0)),"")</f>
        <v>2.0910000000000002</v>
      </c>
      <c r="N142" s="223">
        <f>IFERROR(M142-(TBIcalc!$H$9+TBIcalc!$H$10),"")</f>
        <v>1.8412000000000002</v>
      </c>
      <c r="O142" s="378">
        <f>AVERAGE(Ashed_controlls!$K$2:$K$11)</f>
        <v>5.5147656768714146</v>
      </c>
      <c r="P142" s="223">
        <f t="shared" si="11"/>
        <v>1.7396621343574437</v>
      </c>
      <c r="Q142" s="223">
        <f>IFERROR(INDEX('Both teabags AfterWet'!$C$3:$C$840,MATCH(L142,'Both teabags AfterWet'!$A$3:$A$840,0)),"")</f>
        <v>1.5369999999999999</v>
      </c>
      <c r="R142" s="223">
        <f>IFERROR(IF(Q142&gt;0,Q142-(TBIcalc!$H$9),""),"")</f>
        <v>1.3863999999999999</v>
      </c>
      <c r="S142" s="223">
        <f>IFERROR(INDEX('Ashed teabags wet'!$K$2:$K$2000,MATCH(L142,'Ashed teabags wet'!$A$2:$A$2000,0)),"")</f>
        <v>34.652509652509345</v>
      </c>
      <c r="T142" s="223">
        <f t="shared" si="12"/>
        <v>0.90597760617761036</v>
      </c>
      <c r="U142" s="224">
        <f>'WetLitterbags placem_collection'!E143</f>
        <v>42762</v>
      </c>
      <c r="V142" s="224">
        <f>IF('WetLitterbags placem_collection'!G143="","",'WetLitterbags placem_collection'!G143)</f>
        <v>42816</v>
      </c>
      <c r="W142" s="225">
        <f t="shared" si="10"/>
        <v>54</v>
      </c>
      <c r="X142" s="223">
        <f t="shared" si="13"/>
        <v>0.45480000000000032</v>
      </c>
      <c r="Y142" s="223">
        <f t="shared" si="14"/>
        <v>0.8336845281798333</v>
      </c>
      <c r="Z142">
        <f>IFERROR(INDEX([1]Rainfall_Wet!$O$2:$O$217,MATCH(C142, [1]Rainfall_Wet!$A$2:$A$217,0)),"")</f>
        <v>206.85140822299999</v>
      </c>
      <c r="AA142" s="226">
        <v>33.96</v>
      </c>
      <c r="AB142" s="226">
        <v>8.9200000000000017</v>
      </c>
      <c r="AC142" s="226">
        <v>57.12</v>
      </c>
      <c r="AD142" s="227" t="s">
        <v>2651</v>
      </c>
      <c r="AE142" s="226">
        <v>6.0720551996057202</v>
      </c>
      <c r="AF142">
        <f>IF('WetLitterbags placem_collection'!AB143="","",'WetLitterbags placem_collection'!AB143)</f>
        <v>1.4</v>
      </c>
      <c r="AG142">
        <f>IF('WetLitterbags placem_collection'!Z143="","",'WetLitterbags placem_collection'!Z143)</f>
        <v>28.4</v>
      </c>
      <c r="AH142" s="236" t="str">
        <f>IF('WetLitterbags placem_collection'!AA143="","",'WetLitterbags placem_collection'!AA143)</f>
        <v>G</v>
      </c>
      <c r="AI142">
        <f>IF('WetLitterbags placem_collection'!AC143="","",'WetLitterbags placem_collection'!AC143)</f>
        <v>1</v>
      </c>
      <c r="AJ142" s="233">
        <f>AVERAGE('WetLitterbags placem_collection'!S143,'WetLitterbags placem_collection'!U143)</f>
        <v>9.6999999999999993</v>
      </c>
      <c r="AK142">
        <f>AVERAGE('WetLitterbags placem_collection'!R143,'WetLitterbags placem_collection'!T143)</f>
        <v>30.75</v>
      </c>
      <c r="AL142">
        <f>INDEX([2]Coordinates!$B$2:$B$197,MATCH(I142,[2]Coordinates!$J$2:$J$197,0))</f>
        <v>-2.3486060000000002</v>
      </c>
      <c r="AM142">
        <f>INDEX([2]Coordinates!$C$2:$C$197,MATCH(I142,[2]Coordinates!$J$2:$J$197,0))</f>
        <v>34.050010020000002</v>
      </c>
      <c r="AN142" t="str">
        <f>IF(ISNUMBER(SEARCH("C", 'WetLitterbags placem_collection'!$V143)),"YES","NO")</f>
        <v>NO</v>
      </c>
      <c r="AO142" t="str">
        <f>IF(ISNUMBER(SEARCH("H", 'WetLitterbags placem_collection'!$V143)),"YES","NO")</f>
        <v>YES</v>
      </c>
      <c r="AP142" t="str">
        <f>IF(ISNUMBER(SEARCH("R", 'WetLitterbags placem_collection'!$V143)),"YES","NO")</f>
        <v>YES</v>
      </c>
    </row>
    <row r="143" spans="1:42" ht="15" customHeight="1">
      <c r="A143" t="s">
        <v>3248</v>
      </c>
      <c r="B143" s="248" t="s">
        <v>2454</v>
      </c>
      <c r="C143" s="253">
        <f>'Dry_Litterbag Placem_Collection'!A144</f>
        <v>142</v>
      </c>
      <c r="D143" s="253" t="str">
        <f>'Dry_Litterbag Placem_Collection'!B144</f>
        <v xml:space="preserve">Mwantimba
</v>
      </c>
      <c r="E143" s="253" t="s">
        <v>2454</v>
      </c>
      <c r="F143" s="253" t="s">
        <v>20</v>
      </c>
      <c r="G143" s="253">
        <v>2</v>
      </c>
      <c r="H143" s="253" t="s">
        <v>3123</v>
      </c>
      <c r="I143" s="254" t="str">
        <f>'Dry_Litterbag Placem_Collection'!C144</f>
        <v>Wet_P2_T6</v>
      </c>
      <c r="J143" s="255" t="s">
        <v>2525</v>
      </c>
      <c r="K143" s="256" t="s">
        <v>1147</v>
      </c>
      <c r="L143" s="221" t="str">
        <f>'WetLitterbags placem_collection'!K144</f>
        <v>G817</v>
      </c>
      <c r="M143" s="223">
        <f>IFERROR(INDEX('Green_rooibos initial weight'!$C$5:$C$2000,MATCH(L143, 'Green_rooibos initial weight'!$A$5:$A$2000,0)),"")</f>
        <v>1.9770000000000001</v>
      </c>
      <c r="N143" s="223">
        <f>IFERROR(M143-(TBIcalc!$H$9+TBIcalc!$H$10),"")</f>
        <v>1.7272000000000001</v>
      </c>
      <c r="O143" s="378">
        <f>AVERAGE(Ashed_controlls!$K$2:$K$11)</f>
        <v>5.5147656768714146</v>
      </c>
      <c r="P143" s="223">
        <f t="shared" si="11"/>
        <v>1.631948967229077</v>
      </c>
      <c r="Q143" s="223">
        <f>IFERROR(INDEX('Both teabags AfterWet'!$C$3:$C$840,MATCH(L143,'Both teabags AfterWet'!$A$3:$A$840,0)),"")</f>
        <v>0.99069999999999991</v>
      </c>
      <c r="R143" s="223">
        <f>IFERROR(IF(Q143&gt;0,Q143-(TBIcalc!$H$9),""),"")</f>
        <v>0.84009999999999985</v>
      </c>
      <c r="S143" s="223">
        <f>IFERROR(INDEX('Ashed teabags wet'!$K$2:$K$2000,MATCH(L143,'Ashed teabags wet'!$A$2:$A$2000,0)),"")</f>
        <v>45.987198424421408</v>
      </c>
      <c r="T143" s="223">
        <f t="shared" si="12"/>
        <v>0.4537615460364357</v>
      </c>
      <c r="U143" s="224">
        <f>'WetLitterbags placem_collection'!E144</f>
        <v>42762</v>
      </c>
      <c r="V143" s="224">
        <f>IF('WetLitterbags placem_collection'!G144="","",'WetLitterbags placem_collection'!G144)</f>
        <v>42816</v>
      </c>
      <c r="W143" s="225">
        <f t="shared" si="10"/>
        <v>54</v>
      </c>
      <c r="X143" s="223">
        <f t="shared" si="13"/>
        <v>0.88710000000000022</v>
      </c>
      <c r="Y143" s="223">
        <f t="shared" si="14"/>
        <v>1.1781874211926413</v>
      </c>
      <c r="Z143">
        <f>IFERROR(INDEX([1]Rainfall_Wet!$O$2:$O$217,MATCH(C143, [1]Rainfall_Wet!$A$2:$A$217,0)),"")</f>
        <v>206.85140822299999</v>
      </c>
      <c r="AA143" s="226">
        <v>33.96</v>
      </c>
      <c r="AB143" s="226">
        <v>8.9200000000000017</v>
      </c>
      <c r="AC143" s="226">
        <v>57.12</v>
      </c>
      <c r="AD143" s="227" t="s">
        <v>2651</v>
      </c>
      <c r="AE143" s="226">
        <v>7.0720551996057202</v>
      </c>
      <c r="AF143">
        <f>IF('WetLitterbags placem_collection'!AB144="","",'WetLitterbags placem_collection'!AB144)</f>
        <v>1.7</v>
      </c>
      <c r="AG143">
        <f>IF('WetLitterbags placem_collection'!Z144="","",'WetLitterbags placem_collection'!Z144)</f>
        <v>33.799999999999997</v>
      </c>
      <c r="AH143" s="236" t="str">
        <f>IF('WetLitterbags placem_collection'!AA144="","",'WetLitterbags placem_collection'!AA144)</f>
        <v>G</v>
      </c>
      <c r="AI143">
        <f>IF('WetLitterbags placem_collection'!AC144="","",'WetLitterbags placem_collection'!AC144)</f>
        <v>1</v>
      </c>
      <c r="AJ143" s="233">
        <f>AVERAGE('WetLitterbags placem_collection'!S144,'WetLitterbags placem_collection'!U144)</f>
        <v>15.5</v>
      </c>
      <c r="AK143">
        <f>AVERAGE('WetLitterbags placem_collection'!R144,'WetLitterbags placem_collection'!T144)</f>
        <v>28.75</v>
      </c>
      <c r="AL143">
        <f>INDEX([2]Coordinates!$B$2:$B$197,MATCH(I143,[2]Coordinates!$J$2:$J$197,0))</f>
        <v>-2.348618992</v>
      </c>
      <c r="AM143">
        <f>INDEX([2]Coordinates!$C$2:$C$197,MATCH(I143,[2]Coordinates!$J$2:$J$197,0))</f>
        <v>34.049996030000003</v>
      </c>
      <c r="AN143" t="str">
        <f>IF(ISNUMBER(SEARCH("C", 'WetLitterbags placem_collection'!$V144)),"YES","NO")</f>
        <v>NO</v>
      </c>
      <c r="AO143" t="str">
        <f>IF(ISNUMBER(SEARCH("H", 'WetLitterbags placem_collection'!$V144)),"YES","NO")</f>
        <v>YES</v>
      </c>
      <c r="AP143" t="str">
        <f>IF(ISNUMBER(SEARCH("R", 'WetLitterbags placem_collection'!$V144)),"YES","NO")</f>
        <v>NO</v>
      </c>
    </row>
    <row r="144" spans="1:42" ht="15" customHeight="1">
      <c r="A144" t="s">
        <v>3248</v>
      </c>
      <c r="B144" s="248" t="s">
        <v>2454</v>
      </c>
      <c r="C144" s="253">
        <f>'Dry_Litterbag Placem_Collection'!A145</f>
        <v>143</v>
      </c>
      <c r="D144" s="253" t="str">
        <f>'Dry_Litterbag Placem_Collection'!B145</f>
        <v xml:space="preserve">Mwantimba
</v>
      </c>
      <c r="E144" s="253" t="s">
        <v>2454</v>
      </c>
      <c r="F144" s="253" t="s">
        <v>20</v>
      </c>
      <c r="G144" s="253">
        <v>2</v>
      </c>
      <c r="H144" s="253" t="s">
        <v>3123</v>
      </c>
      <c r="I144" s="254" t="str">
        <f>'Dry_Litterbag Placem_Collection'!C145</f>
        <v>Wet_P2_T7</v>
      </c>
      <c r="J144" s="255" t="s">
        <v>2525</v>
      </c>
      <c r="K144" s="256" t="s">
        <v>1147</v>
      </c>
      <c r="L144" s="221" t="str">
        <f>'WetLitterbags placem_collection'!K145</f>
        <v>G836</v>
      </c>
      <c r="M144" s="223">
        <f>IFERROR(INDEX('Green_rooibos initial weight'!$C$5:$C$2000,MATCH(L144, 'Green_rooibos initial weight'!$A$5:$A$2000,0)),"")</f>
        <v>2.0419999999999998</v>
      </c>
      <c r="N144" s="223">
        <f>IFERROR(M144-(TBIcalc!$H$9+TBIcalc!$H$10),"")</f>
        <v>1.7921999999999998</v>
      </c>
      <c r="O144" s="378">
        <f>AVERAGE(Ashed_controlls!$K$2:$K$11)</f>
        <v>5.5147656768714146</v>
      </c>
      <c r="P144" s="223">
        <f t="shared" si="11"/>
        <v>1.6933643695391103</v>
      </c>
      <c r="Q144" s="223">
        <f>IFERROR(INDEX('Both teabags AfterWet'!$C$3:$C$840,MATCH(L144,'Both teabags AfterWet'!$A$3:$A$840,0)),"")</f>
        <v>0.60970000000000002</v>
      </c>
      <c r="R144" s="223">
        <f>IFERROR(IF(Q144&gt;0,Q144-(TBIcalc!$H$9),""),"")</f>
        <v>0.45910000000000001</v>
      </c>
      <c r="S144" s="223">
        <f>IFERROR(INDEX('Ashed teabags wet'!$K$2:$K$2000,MATCH(L144,'Ashed teabags wet'!$A$2:$A$2000,0)),"")</f>
        <v>13.060240963856003</v>
      </c>
      <c r="T144" s="223">
        <f t="shared" si="12"/>
        <v>0.39914043373493707</v>
      </c>
      <c r="U144" s="224">
        <f>'WetLitterbags placem_collection'!E145</f>
        <v>42762</v>
      </c>
      <c r="V144" s="224">
        <f>IF('WetLitterbags placem_collection'!G145="","",'WetLitterbags placem_collection'!G145)</f>
        <v>42816</v>
      </c>
      <c r="W144" s="225">
        <f t="shared" si="10"/>
        <v>54</v>
      </c>
      <c r="X144" s="223">
        <f t="shared" si="13"/>
        <v>1.3330999999999997</v>
      </c>
      <c r="Y144" s="223">
        <f t="shared" si="14"/>
        <v>1.2942239358041732</v>
      </c>
      <c r="Z144">
        <f>IFERROR(INDEX([1]Rainfall_Wet!$O$2:$O$217,MATCH(C144, [1]Rainfall_Wet!$A$2:$A$217,0)),"")</f>
        <v>206.85140822299999</v>
      </c>
      <c r="AA144" s="226">
        <v>33.96</v>
      </c>
      <c r="AB144" s="226">
        <v>8.9200000000000017</v>
      </c>
      <c r="AC144" s="226">
        <v>57.12</v>
      </c>
      <c r="AD144" s="227" t="s">
        <v>2651</v>
      </c>
      <c r="AE144" s="226">
        <v>8.0720551996057193</v>
      </c>
      <c r="AF144">
        <f>IF('WetLitterbags placem_collection'!AB145="","",'WetLitterbags placem_collection'!AB145)</f>
        <v>2</v>
      </c>
      <c r="AG144">
        <f>IF('WetLitterbags placem_collection'!Z145="","",'WetLitterbags placem_collection'!Z145)</f>
        <v>23.4</v>
      </c>
      <c r="AH144" s="236" t="str">
        <f>IF('WetLitterbags placem_collection'!AA145="","",'WetLitterbags placem_collection'!AA145)</f>
        <v>G</v>
      </c>
      <c r="AI144">
        <f>IF('WetLitterbags placem_collection'!AC145="","",'WetLitterbags placem_collection'!AC145)</f>
        <v>1</v>
      </c>
      <c r="AJ144" s="233">
        <f>AVERAGE('WetLitterbags placem_collection'!S145,'WetLitterbags placem_collection'!U145)</f>
        <v>14.5</v>
      </c>
      <c r="AK144">
        <f>AVERAGE('WetLitterbags placem_collection'!R145,'WetLitterbags placem_collection'!T145)</f>
        <v>30.9</v>
      </c>
      <c r="AL144">
        <f>INDEX([2]Coordinates!$B$2:$B$197,MATCH(I144,[2]Coordinates!$J$2:$J$197,0))</f>
        <v>-2.3484970349999998</v>
      </c>
      <c r="AM144">
        <f>INDEX([2]Coordinates!$C$2:$C$197,MATCH(I144,[2]Coordinates!$J$2:$J$197,0))</f>
        <v>34.049979010000001</v>
      </c>
      <c r="AN144" t="str">
        <f>IF(ISNUMBER(SEARCH("C", 'WetLitterbags placem_collection'!$V145)),"YES","NO")</f>
        <v>NO</v>
      </c>
      <c r="AO144" t="str">
        <f>IF(ISNUMBER(SEARCH("H", 'WetLitterbags placem_collection'!$V145)),"YES","NO")</f>
        <v>NO</v>
      </c>
      <c r="AP144" t="str">
        <f>IF(ISNUMBER(SEARCH("R", 'WetLitterbags placem_collection'!$V145)),"YES","NO")</f>
        <v>YES</v>
      </c>
    </row>
    <row r="145" spans="1:42" ht="15" customHeight="1">
      <c r="A145" t="s">
        <v>3248</v>
      </c>
      <c r="B145" s="248" t="s">
        <v>2454</v>
      </c>
      <c r="C145" s="253">
        <f>'Dry_Litterbag Placem_Collection'!A146</f>
        <v>144</v>
      </c>
      <c r="D145" s="253" t="str">
        <f>'Dry_Litterbag Placem_Collection'!B146</f>
        <v xml:space="preserve">Mwantimba
</v>
      </c>
      <c r="E145" s="253" t="s">
        <v>2454</v>
      </c>
      <c r="F145" s="253" t="s">
        <v>20</v>
      </c>
      <c r="G145" s="253">
        <v>2</v>
      </c>
      <c r="H145" s="253" t="s">
        <v>3123</v>
      </c>
      <c r="I145" s="254" t="str">
        <f>'Dry_Litterbag Placem_Collection'!C146</f>
        <v>Wet_P2_T8</v>
      </c>
      <c r="J145" s="255" t="s">
        <v>2525</v>
      </c>
      <c r="K145" s="256" t="s">
        <v>1147</v>
      </c>
      <c r="L145" s="221" t="str">
        <f>'WetLitterbags placem_collection'!K146</f>
        <v>G784</v>
      </c>
      <c r="M145" s="223">
        <f>IFERROR(INDEX('Green_rooibos initial weight'!$C$5:$C$2000,MATCH(L145, 'Green_rooibos initial weight'!$A$5:$A$2000,0)),"")</f>
        <v>2.1070000000000002</v>
      </c>
      <c r="N145" s="223">
        <f>IFERROR(M145-(TBIcalc!$H$9+TBIcalc!$H$10),"")</f>
        <v>1.8572000000000002</v>
      </c>
      <c r="O145" s="378">
        <f>AVERAGE(Ashed_controlls!$K$2:$K$11)</f>
        <v>5.5147656768714146</v>
      </c>
      <c r="P145" s="223">
        <f t="shared" si="11"/>
        <v>1.7547797718491442</v>
      </c>
      <c r="Q145" s="223">
        <f>IFERROR(INDEX('Both teabags AfterWet'!$C$3:$C$840,MATCH(L145,'Both teabags AfterWet'!$A$3:$A$840,0)),"")</f>
        <v>0.78500000000000003</v>
      </c>
      <c r="R145" s="223">
        <f>IFERROR(IF(Q145&gt;0,Q145-(TBIcalc!$H$9),""),"")</f>
        <v>0.63440000000000007</v>
      </c>
      <c r="S145" s="223">
        <f>IFERROR(INDEX('Ashed teabags wet'!$K$2:$K$2000,MATCH(L145,'Ashed teabags wet'!$A$2:$A$2000,0)),"")</f>
        <v>26.404773744405041</v>
      </c>
      <c r="T145" s="223">
        <f t="shared" si="12"/>
        <v>0.46688811536549446</v>
      </c>
      <c r="U145" s="224">
        <f>'WetLitterbags placem_collection'!E146</f>
        <v>42762</v>
      </c>
      <c r="V145" s="224">
        <f>IF('WetLitterbags placem_collection'!G146="","",'WetLitterbags placem_collection'!G146)</f>
        <v>42816</v>
      </c>
      <c r="W145" s="225">
        <f t="shared" si="10"/>
        <v>54</v>
      </c>
      <c r="X145" s="223">
        <f t="shared" si="13"/>
        <v>1.2228000000000001</v>
      </c>
      <c r="Y145" s="223">
        <f t="shared" si="14"/>
        <v>1.2878916564836498</v>
      </c>
      <c r="Z145">
        <f>IFERROR(INDEX([1]Rainfall_Wet!$O$2:$O$217,MATCH(C145, [1]Rainfall_Wet!$A$2:$A$217,0)),"")</f>
        <v>206.85140822299999</v>
      </c>
      <c r="AA145" s="226">
        <v>33.96</v>
      </c>
      <c r="AB145" s="226">
        <v>8.9200000000000017</v>
      </c>
      <c r="AC145" s="226">
        <v>57.12</v>
      </c>
      <c r="AD145" s="227" t="s">
        <v>2651</v>
      </c>
      <c r="AE145" s="226">
        <v>9.0720551996057193</v>
      </c>
      <c r="AF145">
        <f>IF('WetLitterbags placem_collection'!AB146="","",'WetLitterbags placem_collection'!AB146)</f>
        <v>2.5</v>
      </c>
      <c r="AG145">
        <f>IF('WetLitterbags placem_collection'!Z146="","",'WetLitterbags placem_collection'!Z146)</f>
        <v>19.8</v>
      </c>
      <c r="AH145" s="236" t="str">
        <f>IF('WetLitterbags placem_collection'!AA146="","",'WetLitterbags placem_collection'!AA146)</f>
        <v>G</v>
      </c>
      <c r="AI145">
        <f>IF('WetLitterbags placem_collection'!AC146="","",'WetLitterbags placem_collection'!AC146)</f>
        <v>1</v>
      </c>
      <c r="AJ145" s="233">
        <f>AVERAGE('WetLitterbags placem_collection'!S146,'WetLitterbags placem_collection'!U146)</f>
        <v>17.149999999999999</v>
      </c>
      <c r="AK145">
        <f>AVERAGE('WetLitterbags placem_collection'!R146,'WetLitterbags placem_collection'!T146)</f>
        <v>31.4</v>
      </c>
      <c r="AL145">
        <f>INDEX([2]Coordinates!$B$2:$B$197,MATCH(I145,[2]Coordinates!$J$2:$J$197,0))</f>
        <v>-2.3486560399999998</v>
      </c>
      <c r="AM145">
        <f>INDEX([2]Coordinates!$C$2:$C$197,MATCH(I145,[2]Coordinates!$J$2:$J$197,0))</f>
        <v>34.049895020000001</v>
      </c>
      <c r="AN145" t="str">
        <f>IF(ISNUMBER(SEARCH("C", 'WetLitterbags placem_collection'!$V146)),"YES","NO")</f>
        <v>NO</v>
      </c>
      <c r="AO145" t="str">
        <f>IF(ISNUMBER(SEARCH("H", 'WetLitterbags placem_collection'!$V146)),"YES","NO")</f>
        <v>NO</v>
      </c>
      <c r="AP145" t="str">
        <f>IF(ISNUMBER(SEARCH("R", 'WetLitterbags placem_collection'!$V146)),"YES","NO")</f>
        <v>YES</v>
      </c>
    </row>
    <row r="146" spans="1:42" ht="15" customHeight="1">
      <c r="A146" t="s">
        <v>3248</v>
      </c>
      <c r="B146" s="248" t="s">
        <v>2454</v>
      </c>
      <c r="C146" s="253">
        <f>'Dry_Litterbag Placem_Collection'!A147</f>
        <v>145</v>
      </c>
      <c r="D146" s="253" t="str">
        <f>'Dry_Litterbag Placem_Collection'!B147</f>
        <v xml:space="preserve">Mwantimba
</v>
      </c>
      <c r="E146" s="253" t="s">
        <v>2454</v>
      </c>
      <c r="F146" s="253" t="s">
        <v>20</v>
      </c>
      <c r="G146" s="253">
        <v>3</v>
      </c>
      <c r="H146" s="253" t="s">
        <v>3124</v>
      </c>
      <c r="I146" s="254" t="str">
        <f>'Dry_Litterbag Placem_Collection'!C147</f>
        <v>Wet_P3_T1</v>
      </c>
      <c r="J146" s="255" t="s">
        <v>2525</v>
      </c>
      <c r="K146" s="256" t="s">
        <v>1147</v>
      </c>
      <c r="L146" s="221" t="str">
        <f>'WetLitterbags placem_collection'!K147</f>
        <v>G902</v>
      </c>
      <c r="M146" s="223">
        <f>IFERROR(INDEX('Green_rooibos initial weight'!$C$5:$C$2000,MATCH(L146, 'Green_rooibos initial weight'!$A$5:$A$2000,0)),"")</f>
        <v>2.0750000000000002</v>
      </c>
      <c r="N146" s="223">
        <f>IFERROR(M146-(TBIcalc!$H$9+TBIcalc!$H$10),"")</f>
        <v>1.8252000000000002</v>
      </c>
      <c r="O146" s="378">
        <f>AVERAGE(Ashed_controlls!$K$2:$K$11)</f>
        <v>5.5147656768714146</v>
      </c>
      <c r="P146" s="223">
        <f t="shared" si="11"/>
        <v>1.7245444968657431</v>
      </c>
      <c r="Q146" s="223">
        <f>IFERROR(INDEX('Both teabags AfterWet'!$C$3:$C$840,MATCH(L146,'Both teabags AfterWet'!$A$3:$A$840,0)),"")</f>
        <v>0.79200000000000004</v>
      </c>
      <c r="R146" s="223">
        <f>IFERROR(IF(Q146&gt;0,Q146-(TBIcalc!$H$9),""),"")</f>
        <v>0.64139999999999997</v>
      </c>
      <c r="S146" s="223">
        <f>IFERROR(INDEX('Ashed teabags wet'!$K$2:$K$2000,MATCH(L146,'Ashed teabags wet'!$A$2:$A$2000,0)),"")</f>
        <v>20.158102766798436</v>
      </c>
      <c r="T146" s="223">
        <f t="shared" si="12"/>
        <v>0.51210592885375483</v>
      </c>
      <c r="U146" s="224">
        <f>'WetLitterbags placem_collection'!E147</f>
        <v>42762</v>
      </c>
      <c r="V146" s="224">
        <f>IF('WetLitterbags placem_collection'!G147="","",'WetLitterbags placem_collection'!G147)</f>
        <v>42815</v>
      </c>
      <c r="W146" s="225">
        <f t="shared" si="10"/>
        <v>53</v>
      </c>
      <c r="X146" s="223">
        <f t="shared" si="13"/>
        <v>1.1838000000000002</v>
      </c>
      <c r="Y146" s="223">
        <f t="shared" si="14"/>
        <v>1.2124385680119882</v>
      </c>
      <c r="Z146">
        <f>IFERROR(INDEX([1]Rainfall_Wet!$O$2:$O$217,MATCH(C146, [1]Rainfall_Wet!$A$2:$A$217,0)),"")</f>
        <v>205.76139209600001</v>
      </c>
      <c r="AA146" s="226">
        <v>39.96</v>
      </c>
      <c r="AB146" s="226">
        <v>12.920000000000002</v>
      </c>
      <c r="AC146" s="226">
        <v>47.12</v>
      </c>
      <c r="AD146" s="227" t="s">
        <v>2655</v>
      </c>
      <c r="AE146" s="226">
        <v>1.6549531789058647</v>
      </c>
      <c r="AF146">
        <f>IF('WetLitterbags placem_collection'!AB147="","",'WetLitterbags placem_collection'!AB147)</f>
        <v>3.95</v>
      </c>
      <c r="AG146">
        <f>IF('WetLitterbags placem_collection'!Z147="","",'WetLitterbags placem_collection'!Z147)</f>
        <v>13</v>
      </c>
      <c r="AH146" s="236" t="str">
        <f>IF('WetLitterbags placem_collection'!AA147="","",'WetLitterbags placem_collection'!AA147)</f>
        <v>O</v>
      </c>
      <c r="AI146">
        <f>IF('WetLitterbags placem_collection'!AC147="","",'WetLitterbags placem_collection'!AC147)</f>
        <v>0</v>
      </c>
      <c r="AJ146" s="233">
        <f>AVERAGE('WetLitterbags placem_collection'!S147,'WetLitterbags placem_collection'!U147)</f>
        <v>27.200000000000003</v>
      </c>
      <c r="AK146">
        <f>AVERAGE('WetLitterbags placem_collection'!R147,'WetLitterbags placem_collection'!T147)</f>
        <v>30.9</v>
      </c>
      <c r="AL146">
        <f>INDEX([2]Coordinates!$B$2:$B$197,MATCH(I146,[2]Coordinates!$J$2:$J$197,0))</f>
        <v>-2.3675269729999999</v>
      </c>
      <c r="AM146">
        <f>INDEX([2]Coordinates!$C$2:$C$197,MATCH(I146,[2]Coordinates!$J$2:$J$197,0))</f>
        <v>34.06035799</v>
      </c>
      <c r="AN146" t="str">
        <f>IF(ISNUMBER(SEARCH("C", 'WetLitterbags placem_collection'!$V147)),"YES","NO")</f>
        <v>NO</v>
      </c>
      <c r="AO146" t="str">
        <f>IF(ISNUMBER(SEARCH("H", 'WetLitterbags placem_collection'!$V147)),"YES","NO")</f>
        <v>NO</v>
      </c>
      <c r="AP146" t="str">
        <f>IF(ISNUMBER(SEARCH("R", 'WetLitterbags placem_collection'!$V147)),"YES","NO")</f>
        <v>YES</v>
      </c>
    </row>
    <row r="147" spans="1:42" ht="15" customHeight="1">
      <c r="A147" t="s">
        <v>3248</v>
      </c>
      <c r="B147" s="248" t="s">
        <v>2454</v>
      </c>
      <c r="C147" s="253">
        <f>'Dry_Litterbag Placem_Collection'!A148</f>
        <v>146</v>
      </c>
      <c r="D147" s="253" t="str">
        <f>'Dry_Litterbag Placem_Collection'!B148</f>
        <v xml:space="preserve">Mwantimba
</v>
      </c>
      <c r="E147" s="253" t="s">
        <v>2454</v>
      </c>
      <c r="F147" s="253" t="s">
        <v>20</v>
      </c>
      <c r="G147" s="253">
        <v>3</v>
      </c>
      <c r="H147" s="253" t="s">
        <v>3124</v>
      </c>
      <c r="I147" s="254" t="str">
        <f>'Dry_Litterbag Placem_Collection'!C148</f>
        <v>Wet_P3_T2</v>
      </c>
      <c r="J147" s="255" t="s">
        <v>2525</v>
      </c>
      <c r="K147" s="256" t="s">
        <v>1147</v>
      </c>
      <c r="L147" s="221" t="str">
        <f>'WetLitterbags placem_collection'!K148</f>
        <v>G689</v>
      </c>
      <c r="M147" s="223">
        <f>IFERROR(INDEX('Green_rooibos initial weight'!$C$5:$C$2000,MATCH(L147, 'Green_rooibos initial weight'!$A$5:$A$2000,0)),"")</f>
        <v>2.0339999999999998</v>
      </c>
      <c r="N147" s="223">
        <f>IFERROR(M147-(TBIcalc!$H$9+TBIcalc!$H$10),"")</f>
        <v>1.7841999999999998</v>
      </c>
      <c r="O147" s="378">
        <f>AVERAGE(Ashed_controlls!$K$2:$K$11)</f>
        <v>5.5147656768714146</v>
      </c>
      <c r="P147" s="223">
        <f t="shared" si="11"/>
        <v>1.6858055507932601</v>
      </c>
      <c r="Q147" s="223">
        <f>IFERROR(INDEX('Both teabags AfterWet'!$C$3:$C$840,MATCH(L147,'Both teabags AfterWet'!$A$3:$A$840,0)),"")</f>
        <v>0.52200000000000002</v>
      </c>
      <c r="R147" s="223">
        <f>IFERROR(IF(Q147&gt;0,Q147-(TBIcalc!$H$9),""),"")</f>
        <v>0.37140000000000001</v>
      </c>
      <c r="S147" s="223">
        <f>IFERROR(INDEX('Ashed teabags wet'!$K$2:$K$2000,MATCH(L147,'Ashed teabags wet'!$A$2:$A$2000,0)),"")</f>
        <v>14.092009685229803</v>
      </c>
      <c r="T147" s="223">
        <f t="shared" si="12"/>
        <v>0.31906227602905651</v>
      </c>
      <c r="U147" s="224">
        <f>'WetLitterbags placem_collection'!E148</f>
        <v>42762</v>
      </c>
      <c r="V147" s="224">
        <f>IF('WetLitterbags placem_collection'!G148="","",'WetLitterbags placem_collection'!G148)</f>
        <v>42815</v>
      </c>
      <c r="W147" s="225">
        <f t="shared" si="10"/>
        <v>53</v>
      </c>
      <c r="X147" s="223">
        <f t="shared" si="13"/>
        <v>1.4127999999999998</v>
      </c>
      <c r="Y147" s="223">
        <f t="shared" si="14"/>
        <v>1.3667432747642037</v>
      </c>
      <c r="Z147">
        <f>IFERROR(INDEX([1]Rainfall_Wet!$O$2:$O$217,MATCH(C147, [1]Rainfall_Wet!$A$2:$A$217,0)),"")</f>
        <v>205.76139209600001</v>
      </c>
      <c r="AA147" s="226">
        <v>39.96</v>
      </c>
      <c r="AB147" s="226">
        <v>12.920000000000002</v>
      </c>
      <c r="AC147" s="226">
        <v>47.12</v>
      </c>
      <c r="AD147" s="227" t="s">
        <v>2655</v>
      </c>
      <c r="AE147" s="226">
        <v>2.6549531789058598</v>
      </c>
      <c r="AF147">
        <f>IF('WetLitterbags placem_collection'!AB148="","",'WetLitterbags placem_collection'!AB148)</f>
        <v>2.75</v>
      </c>
      <c r="AG147">
        <f>IF('WetLitterbags placem_collection'!Z148="","",'WetLitterbags placem_collection'!Z148)</f>
        <v>17.7</v>
      </c>
      <c r="AH147" s="236" t="str">
        <f>IF('WetLitterbags placem_collection'!AA148="","",'WetLitterbags placem_collection'!AA148)</f>
        <v>O</v>
      </c>
      <c r="AI147">
        <f>IF('WetLitterbags placem_collection'!AC148="","",'WetLitterbags placem_collection'!AC148)</f>
        <v>1</v>
      </c>
      <c r="AJ147" s="233">
        <f>AVERAGE('WetLitterbags placem_collection'!S148,'WetLitterbags placem_collection'!U148)</f>
        <v>22.65</v>
      </c>
      <c r="AK147">
        <f>AVERAGE('WetLitterbags placem_collection'!R148,'WetLitterbags placem_collection'!T148)</f>
        <v>30.549999999999997</v>
      </c>
      <c r="AL147">
        <f>INDEX([2]Coordinates!$B$2:$B$197,MATCH(I147,[2]Coordinates!$J$2:$J$197,0))</f>
        <v>-2.3675380370000001</v>
      </c>
      <c r="AM147">
        <f>INDEX([2]Coordinates!$C$2:$C$197,MATCH(I147,[2]Coordinates!$J$2:$J$197,0))</f>
        <v>34.060381960000001</v>
      </c>
      <c r="AN147" t="str">
        <f>IF(ISNUMBER(SEARCH("C", 'WetLitterbags placem_collection'!$V148)),"YES","NO")</f>
        <v>NO</v>
      </c>
      <c r="AO147" t="str">
        <f>IF(ISNUMBER(SEARCH("H", 'WetLitterbags placem_collection'!$V148)),"YES","NO")</f>
        <v>YES</v>
      </c>
      <c r="AP147" t="str">
        <f>IF(ISNUMBER(SEARCH("R", 'WetLitterbags placem_collection'!$V148)),"YES","NO")</f>
        <v>YES</v>
      </c>
    </row>
    <row r="148" spans="1:42" ht="15" customHeight="1">
      <c r="A148" t="s">
        <v>3248</v>
      </c>
      <c r="B148" s="248" t="s">
        <v>2454</v>
      </c>
      <c r="C148" s="253">
        <f>'Dry_Litterbag Placem_Collection'!A149</f>
        <v>147</v>
      </c>
      <c r="D148" s="253" t="str">
        <f>'Dry_Litterbag Placem_Collection'!B149</f>
        <v xml:space="preserve">Mwantimba
</v>
      </c>
      <c r="E148" s="253" t="s">
        <v>2454</v>
      </c>
      <c r="F148" s="253" t="s">
        <v>20</v>
      </c>
      <c r="G148" s="253">
        <v>3</v>
      </c>
      <c r="H148" s="253" t="s">
        <v>3124</v>
      </c>
      <c r="I148" s="254" t="str">
        <f>'Dry_Litterbag Placem_Collection'!C149</f>
        <v>Wet_P3_T3</v>
      </c>
      <c r="J148" s="255" t="s">
        <v>2525</v>
      </c>
      <c r="K148" s="256" t="s">
        <v>1147</v>
      </c>
      <c r="L148" s="221" t="str">
        <f>'WetLitterbags placem_collection'!K149</f>
        <v>G678</v>
      </c>
      <c r="M148" s="223">
        <f>IFERROR(INDEX('Green_rooibos initial weight'!$C$5:$C$2000,MATCH(L148, 'Green_rooibos initial weight'!$A$5:$A$2000,0)),"")</f>
        <v>2.012</v>
      </c>
      <c r="N148" s="223">
        <f>IFERROR(M148-(TBIcalc!$H$9+TBIcalc!$H$10),"")</f>
        <v>1.7622</v>
      </c>
      <c r="O148" s="378">
        <f>AVERAGE(Ashed_controlls!$K$2:$K$11)</f>
        <v>5.5147656768714146</v>
      </c>
      <c r="P148" s="223">
        <f t="shared" si="11"/>
        <v>1.6650187992421719</v>
      </c>
      <c r="Q148" s="223">
        <f>IFERROR(INDEX('Both teabags AfterWet'!$C$3:$C$840,MATCH(L148,'Both teabags AfterWet'!$A$3:$A$840,0)),"")</f>
        <v>0.70199999999999996</v>
      </c>
      <c r="R148" s="223">
        <f>IFERROR(IF(Q148&gt;0,Q148-(TBIcalc!$H$9),""),"")</f>
        <v>0.55139999999999989</v>
      </c>
      <c r="S148" s="223">
        <f>IFERROR(INDEX('Ashed teabags wet'!$K$2:$K$2000,MATCH(L148,'Ashed teabags wet'!$A$2:$A$2000,0)),"")</f>
        <v>16.333666333666116</v>
      </c>
      <c r="T148" s="223">
        <f t="shared" si="12"/>
        <v>0.46133616383616494</v>
      </c>
      <c r="U148" s="224">
        <f>'WetLitterbags placem_collection'!E149</f>
        <v>42762</v>
      </c>
      <c r="V148" s="224">
        <f>IF('WetLitterbags placem_collection'!G149="","",'WetLitterbags placem_collection'!G149)</f>
        <v>42816</v>
      </c>
      <c r="W148" s="225">
        <f t="shared" si="10"/>
        <v>54</v>
      </c>
      <c r="X148" s="223">
        <f t="shared" si="13"/>
        <v>1.2108000000000001</v>
      </c>
      <c r="Y148" s="223">
        <f t="shared" si="14"/>
        <v>1.2036826354060071</v>
      </c>
      <c r="Z148">
        <f>IFERROR(INDEX([1]Rainfall_Wet!$O$2:$O$217,MATCH(C148, [1]Rainfall_Wet!$A$2:$A$217,0)),"")</f>
        <v>206.85140822299999</v>
      </c>
      <c r="AA148" s="226">
        <v>39.96</v>
      </c>
      <c r="AB148" s="226">
        <v>12.920000000000002</v>
      </c>
      <c r="AC148" s="226">
        <v>47.12</v>
      </c>
      <c r="AD148" s="227" t="s">
        <v>2655</v>
      </c>
      <c r="AE148" s="226">
        <v>3.6549531789058598</v>
      </c>
      <c r="AF148">
        <f>IF('WetLitterbags placem_collection'!AB149="","",'WetLitterbags placem_collection'!AB149)</f>
        <v>3.6</v>
      </c>
      <c r="AG148">
        <f>IF('WetLitterbags placem_collection'!Z149="","",'WetLitterbags placem_collection'!Z149)</f>
        <v>19</v>
      </c>
      <c r="AH148" s="236" t="str">
        <f>IF('WetLitterbags placem_collection'!AA149="","",'WetLitterbags placem_collection'!AA149)</f>
        <v>M</v>
      </c>
      <c r="AI148">
        <f>IF('WetLitterbags placem_collection'!AC149="","",'WetLitterbags placem_collection'!AC149)</f>
        <v>1</v>
      </c>
      <c r="AJ148" s="233">
        <f>AVERAGE('WetLitterbags placem_collection'!S149,'WetLitterbags placem_collection'!U149)</f>
        <v>23.35</v>
      </c>
      <c r="AK148">
        <f>AVERAGE('WetLitterbags placem_collection'!R149,'WetLitterbags placem_collection'!T149)</f>
        <v>29.9</v>
      </c>
      <c r="AL148">
        <f>INDEX([2]Coordinates!$B$2:$B$197,MATCH(I148,[2]Coordinates!$J$2:$J$197,0))</f>
        <v>-2.3675780180000001</v>
      </c>
      <c r="AM148">
        <f>INDEX([2]Coordinates!$C$2:$C$197,MATCH(I148,[2]Coordinates!$J$2:$J$197,0))</f>
        <v>34.060323029999999</v>
      </c>
      <c r="AN148" t="str">
        <f>IF(ISNUMBER(SEARCH("C", 'WetLitterbags placem_collection'!$V149)),"YES","NO")</f>
        <v>NO</v>
      </c>
      <c r="AO148" t="str">
        <f>IF(ISNUMBER(SEARCH("H", 'WetLitterbags placem_collection'!$V149)),"YES","NO")</f>
        <v>NO</v>
      </c>
      <c r="AP148" t="str">
        <f>IF(ISNUMBER(SEARCH("R", 'WetLitterbags placem_collection'!$V149)),"YES","NO")</f>
        <v>NO</v>
      </c>
    </row>
    <row r="149" spans="1:42" ht="15" customHeight="1">
      <c r="A149" t="s">
        <v>3248</v>
      </c>
      <c r="B149" s="248" t="s">
        <v>2454</v>
      </c>
      <c r="C149" s="253">
        <f>'Dry_Litterbag Placem_Collection'!A150</f>
        <v>148</v>
      </c>
      <c r="D149" s="253" t="str">
        <f>'Dry_Litterbag Placem_Collection'!B150</f>
        <v xml:space="preserve">Mwantimba
</v>
      </c>
      <c r="E149" s="253" t="s">
        <v>2454</v>
      </c>
      <c r="F149" s="253" t="s">
        <v>20</v>
      </c>
      <c r="G149" s="253">
        <v>3</v>
      </c>
      <c r="H149" s="253" t="s">
        <v>3124</v>
      </c>
      <c r="I149" s="254" t="str">
        <f>'Dry_Litterbag Placem_Collection'!C150</f>
        <v>Wet_P3_T4</v>
      </c>
      <c r="J149" s="255" t="s">
        <v>2525</v>
      </c>
      <c r="K149" s="256" t="s">
        <v>1147</v>
      </c>
      <c r="L149" s="221" t="str">
        <f>'WetLitterbags placem_collection'!K150</f>
        <v>G835</v>
      </c>
      <c r="M149" s="223">
        <f>IFERROR(INDEX('Green_rooibos initial weight'!$C$5:$C$2000,MATCH(L149, 'Green_rooibos initial weight'!$A$5:$A$2000,0)),"")</f>
        <v>1.819</v>
      </c>
      <c r="N149" s="223">
        <f>IFERROR(M149-(TBIcalc!$H$9+TBIcalc!$H$10),"")</f>
        <v>1.5691999999999999</v>
      </c>
      <c r="O149" s="378">
        <f>AVERAGE(Ashed_controlls!$K$2:$K$11)</f>
        <v>5.5147656768714146</v>
      </c>
      <c r="P149" s="223">
        <f t="shared" si="11"/>
        <v>1.4826622969985337</v>
      </c>
      <c r="Q149" s="223">
        <f>IFERROR(INDEX('Both teabags AfterWet'!$C$3:$C$840,MATCH(L149,'Both teabags AfterWet'!$A$3:$A$840,0)),"")</f>
        <v>0.24560000000000001</v>
      </c>
      <c r="R149" s="223">
        <f>IFERROR(IF(Q149&gt;0,Q149-(TBIcalc!$H$9),""),"")</f>
        <v>9.5000000000000001E-2</v>
      </c>
      <c r="S149" s="223">
        <f>IFERROR(INDEX('Ashed teabags wet'!$K$2:$K$2000,MATCH(L149,'Ashed teabags wet'!$A$2:$A$2000,0)),"")</f>
        <v>0</v>
      </c>
      <c r="T149" s="223">
        <f t="shared" si="12"/>
        <v>9.5000000000000001E-2</v>
      </c>
      <c r="U149" s="224">
        <f>'WetLitterbags placem_collection'!E150</f>
        <v>42762</v>
      </c>
      <c r="V149" s="224">
        <f>IF('WetLitterbags placem_collection'!G150="","",'WetLitterbags placem_collection'!G150)</f>
        <v>42816</v>
      </c>
      <c r="W149" s="225">
        <f t="shared" si="10"/>
        <v>54</v>
      </c>
      <c r="X149" s="223">
        <f t="shared" si="13"/>
        <v>1.4742</v>
      </c>
      <c r="Y149" s="223">
        <f t="shared" si="14"/>
        <v>1.3876622969985337</v>
      </c>
      <c r="Z149">
        <f>IFERROR(INDEX([1]Rainfall_Wet!$O$2:$O$217,MATCH(C149, [1]Rainfall_Wet!$A$2:$A$217,0)),"")</f>
        <v>206.85140822299999</v>
      </c>
      <c r="AA149" s="226">
        <v>39.96</v>
      </c>
      <c r="AB149" s="226">
        <v>12.920000000000002</v>
      </c>
      <c r="AC149" s="226">
        <v>47.12</v>
      </c>
      <c r="AD149" s="227" t="s">
        <v>2655</v>
      </c>
      <c r="AE149" s="226">
        <v>4.6549531789058696</v>
      </c>
      <c r="AF149">
        <f>IF('WetLitterbags placem_collection'!AB150="","",'WetLitterbags placem_collection'!AB150)</f>
        <v>4.9000000000000004</v>
      </c>
      <c r="AG149">
        <f>IF('WetLitterbags placem_collection'!Z150="","",'WetLitterbags placem_collection'!Z150)</f>
        <v>17.489999999999998</v>
      </c>
      <c r="AH149" s="236" t="str">
        <f>IF('WetLitterbags placem_collection'!AA150="","",'WetLitterbags placem_collection'!AA150)</f>
        <v>M</v>
      </c>
      <c r="AI149">
        <f>IF('WetLitterbags placem_collection'!AC150="","",'WetLitterbags placem_collection'!AC150)</f>
        <v>1</v>
      </c>
      <c r="AJ149" s="233">
        <f>AVERAGE('WetLitterbags placem_collection'!S150,'WetLitterbags placem_collection'!U150)</f>
        <v>28.2</v>
      </c>
      <c r="AK149">
        <f>AVERAGE('WetLitterbags placem_collection'!R150,'WetLitterbags placem_collection'!T150)</f>
        <v>25.299999999999997</v>
      </c>
      <c r="AL149">
        <f>INDEX([2]Coordinates!$B$2:$B$197,MATCH(I149,[2]Coordinates!$J$2:$J$197,0))</f>
        <v>-2.3676269689999998</v>
      </c>
      <c r="AM149">
        <f>INDEX([2]Coordinates!$C$2:$C$197,MATCH(I149,[2]Coordinates!$J$2:$J$197,0))</f>
        <v>34.060310960000002</v>
      </c>
      <c r="AN149" t="str">
        <f>IF(ISNUMBER(SEARCH("C", 'WetLitterbags placem_collection'!$V150)),"YES","NO")</f>
        <v>NO</v>
      </c>
      <c r="AO149" t="str">
        <f>IF(ISNUMBER(SEARCH("H", 'WetLitterbags placem_collection'!$V150)),"YES","NO")</f>
        <v>YES</v>
      </c>
      <c r="AP149" t="str">
        <f>IF(ISNUMBER(SEARCH("R", 'WetLitterbags placem_collection'!$V150)),"YES","NO")</f>
        <v>NO</v>
      </c>
    </row>
    <row r="150" spans="1:42" ht="15" customHeight="1">
      <c r="A150" t="s">
        <v>3248</v>
      </c>
      <c r="B150" s="248" t="s">
        <v>2454</v>
      </c>
      <c r="C150" s="253">
        <f>'Dry_Litterbag Placem_Collection'!A151</f>
        <v>149</v>
      </c>
      <c r="D150" s="253" t="str">
        <f>'Dry_Litterbag Placem_Collection'!B151</f>
        <v xml:space="preserve">Mwantimba
</v>
      </c>
      <c r="E150" s="253" t="s">
        <v>2454</v>
      </c>
      <c r="F150" s="253" t="s">
        <v>20</v>
      </c>
      <c r="G150" s="253">
        <v>3</v>
      </c>
      <c r="H150" s="253" t="s">
        <v>3124</v>
      </c>
      <c r="I150" s="254" t="str">
        <f>'Dry_Litterbag Placem_Collection'!C151</f>
        <v>Wet_P3_T5</v>
      </c>
      <c r="J150" s="255" t="s">
        <v>2525</v>
      </c>
      <c r="K150" s="256" t="s">
        <v>1147</v>
      </c>
      <c r="L150" s="221" t="str">
        <f>'WetLitterbags placem_collection'!K151</f>
        <v>G733</v>
      </c>
      <c r="M150" s="223">
        <f>IFERROR(INDEX('Green_rooibos initial weight'!$C$5:$C$2000,MATCH(L150, 'Green_rooibos initial weight'!$A$5:$A$2000,0)),"")</f>
        <v>1.8280000000000001</v>
      </c>
      <c r="N150" s="223">
        <f>IFERROR(M150-(TBIcalc!$H$9+TBIcalc!$H$10),"")</f>
        <v>1.5782</v>
      </c>
      <c r="O150" s="378">
        <f>AVERAGE(Ashed_controlls!$K$2:$K$11)</f>
        <v>5.5147656768714146</v>
      </c>
      <c r="P150" s="223">
        <f t="shared" si="11"/>
        <v>1.4911659680876155</v>
      </c>
      <c r="Q150" s="223">
        <f>IFERROR(INDEX('Both teabags AfterWet'!$C$3:$C$840,MATCH(L150,'Both teabags AfterWet'!$A$3:$A$840,0)),"")</f>
        <v>0.73760000000000003</v>
      </c>
      <c r="R150" s="223">
        <f>IFERROR(IF(Q150&gt;0,Q150-(TBIcalc!$H$9),""),"")</f>
        <v>0.58699999999999997</v>
      </c>
      <c r="S150" s="223">
        <f>IFERROR(INDEX('Ashed teabags wet'!$K$2:$K$2000,MATCH(L150,'Ashed teabags wet'!$A$2:$A$2000,0)),"")</f>
        <v>30.262506191183512</v>
      </c>
      <c r="T150" s="223">
        <f t="shared" si="12"/>
        <v>0.40935908865775272</v>
      </c>
      <c r="U150" s="224">
        <f>'WetLitterbags placem_collection'!E151</f>
        <v>42762</v>
      </c>
      <c r="V150" s="224">
        <f>IF('WetLitterbags placem_collection'!G151="","",'WetLitterbags placem_collection'!G151)</f>
        <v>42816</v>
      </c>
      <c r="W150" s="225">
        <f t="shared" si="10"/>
        <v>54</v>
      </c>
      <c r="X150" s="223">
        <f t="shared" si="13"/>
        <v>0.99120000000000008</v>
      </c>
      <c r="Y150" s="223">
        <f t="shared" si="14"/>
        <v>1.0818068794298628</v>
      </c>
      <c r="Z150">
        <f>IFERROR(INDEX([1]Rainfall_Wet!$O$2:$O$217,MATCH(C150, [1]Rainfall_Wet!$A$2:$A$217,0)),"")</f>
        <v>206.85140822299999</v>
      </c>
      <c r="AA150" s="226">
        <v>39.96</v>
      </c>
      <c r="AB150" s="226">
        <v>12.920000000000002</v>
      </c>
      <c r="AC150" s="226">
        <v>47.12</v>
      </c>
      <c r="AD150" s="227" t="s">
        <v>2655</v>
      </c>
      <c r="AE150" s="226">
        <v>5.6549531789058696</v>
      </c>
      <c r="AF150">
        <f>IF('WetLitterbags placem_collection'!AB151="","",'WetLitterbags placem_collection'!AB151)</f>
        <v>2.8</v>
      </c>
      <c r="AG150">
        <f>IF('WetLitterbags placem_collection'!Z151="","",'WetLitterbags placem_collection'!Z151)</f>
        <v>13</v>
      </c>
      <c r="AH150" s="236" t="str">
        <f>IF('WetLitterbags placem_collection'!AA151="","",'WetLitterbags placem_collection'!AA151)</f>
        <v>M</v>
      </c>
      <c r="AI150">
        <f>IF('WetLitterbags placem_collection'!AC151="","",'WetLitterbags placem_collection'!AC151)</f>
        <v>1</v>
      </c>
      <c r="AJ150" s="233">
        <f>AVERAGE('WetLitterbags placem_collection'!S151,'WetLitterbags placem_collection'!U151)</f>
        <v>25.4</v>
      </c>
      <c r="AK150">
        <f>AVERAGE('WetLitterbags placem_collection'!R151,'WetLitterbags placem_collection'!T151)</f>
        <v>26.9</v>
      </c>
      <c r="AL150">
        <f>INDEX([2]Coordinates!$B$2:$B$197,MATCH(I150,[2]Coordinates!$J$2:$J$197,0))</f>
        <v>-2.3677179960000001</v>
      </c>
      <c r="AM150">
        <f>INDEX([2]Coordinates!$C$2:$C$197,MATCH(I150,[2]Coordinates!$J$2:$J$197,0))</f>
        <v>34.060324960000003</v>
      </c>
      <c r="AN150" t="str">
        <f>IF(ISNUMBER(SEARCH("C", 'WetLitterbags placem_collection'!$V151)),"YES","NO")</f>
        <v>NO</v>
      </c>
      <c r="AO150" t="str">
        <f>IF(ISNUMBER(SEARCH("H", 'WetLitterbags placem_collection'!$V151)),"YES","NO")</f>
        <v>NO</v>
      </c>
      <c r="AP150" t="str">
        <f>IF(ISNUMBER(SEARCH("R", 'WetLitterbags placem_collection'!$V151)),"YES","NO")</f>
        <v>NO</v>
      </c>
    </row>
    <row r="151" spans="1:42" ht="15" customHeight="1">
      <c r="A151" t="s">
        <v>3248</v>
      </c>
      <c r="B151" s="248" t="s">
        <v>2454</v>
      </c>
      <c r="C151" s="253">
        <f>'Dry_Litterbag Placem_Collection'!A152</f>
        <v>150</v>
      </c>
      <c r="D151" s="253" t="str">
        <f>'Dry_Litterbag Placem_Collection'!B152</f>
        <v xml:space="preserve">Mwantimba
</v>
      </c>
      <c r="E151" s="253" t="s">
        <v>2454</v>
      </c>
      <c r="F151" s="253" t="s">
        <v>20</v>
      </c>
      <c r="G151" s="253">
        <v>3</v>
      </c>
      <c r="H151" s="253" t="s">
        <v>3124</v>
      </c>
      <c r="I151" s="254" t="str">
        <f>'Dry_Litterbag Placem_Collection'!C152</f>
        <v>Wet_P3_T6</v>
      </c>
      <c r="J151" s="255" t="s">
        <v>2525</v>
      </c>
      <c r="K151" s="256" t="s">
        <v>1147</v>
      </c>
      <c r="L151" s="221" t="str">
        <f>'WetLitterbags placem_collection'!K152</f>
        <v>G658</v>
      </c>
      <c r="M151" s="223">
        <f>IFERROR(INDEX('Green_rooibos initial weight'!$C$5:$C$2000,MATCH(L151, 'Green_rooibos initial weight'!$A$5:$A$2000,0)),"")</f>
        <v>2.129</v>
      </c>
      <c r="N151" s="223">
        <f>IFERROR(M151-(TBIcalc!$H$9+TBIcalc!$H$10),"")</f>
        <v>1.8792</v>
      </c>
      <c r="O151" s="378">
        <f>AVERAGE(Ashed_controlls!$K$2:$K$11)</f>
        <v>5.5147656768714146</v>
      </c>
      <c r="P151" s="223">
        <f t="shared" si="11"/>
        <v>1.7755665234002325</v>
      </c>
      <c r="Q151" s="223">
        <f>IFERROR(INDEX('Both teabags AfterWet'!$C$3:$C$840,MATCH(L151,'Both teabags AfterWet'!$A$3:$A$840,0)),"")</f>
        <v>0.71799999999999997</v>
      </c>
      <c r="R151" s="223">
        <f>IFERROR(IF(Q151&gt;0,Q151-(TBIcalc!$H$9),""),"")</f>
        <v>0.5673999999999999</v>
      </c>
      <c r="S151" s="223">
        <f>IFERROR(INDEX('Ashed teabags wet'!$K$2:$K$2000,MATCH(L151,'Ashed teabags wet'!$A$2:$A$2000,0)),"")</f>
        <v>23.716990533134794</v>
      </c>
      <c r="T151" s="223">
        <f t="shared" si="12"/>
        <v>0.43282979571499314</v>
      </c>
      <c r="U151" s="224">
        <f>'WetLitterbags placem_collection'!E152</f>
        <v>42762</v>
      </c>
      <c r="V151" s="224">
        <f>IF('WetLitterbags placem_collection'!G152="","",'WetLitterbags placem_collection'!G152)</f>
        <v>42816</v>
      </c>
      <c r="W151" s="225">
        <f t="shared" si="10"/>
        <v>54</v>
      </c>
      <c r="X151" s="223">
        <f t="shared" si="13"/>
        <v>1.3118000000000001</v>
      </c>
      <c r="Y151" s="223">
        <f t="shared" si="14"/>
        <v>1.3427367276852393</v>
      </c>
      <c r="Z151">
        <f>IFERROR(INDEX([1]Rainfall_Wet!$O$2:$O$217,MATCH(C151, [1]Rainfall_Wet!$A$2:$A$217,0)),"")</f>
        <v>206.85140822299999</v>
      </c>
      <c r="AA151" s="226">
        <v>39.96</v>
      </c>
      <c r="AB151" s="226">
        <v>12.920000000000002</v>
      </c>
      <c r="AC151" s="226">
        <v>47.12</v>
      </c>
      <c r="AD151" s="227" t="s">
        <v>2655</v>
      </c>
      <c r="AE151" s="226">
        <v>6.6549531789058696</v>
      </c>
      <c r="AF151">
        <f>IF('WetLitterbags placem_collection'!AB152="","",'WetLitterbags placem_collection'!AB152)</f>
        <v>2.75</v>
      </c>
      <c r="AG151">
        <f>IF('WetLitterbags placem_collection'!Z152="","",'WetLitterbags placem_collection'!Z152)</f>
        <v>19</v>
      </c>
      <c r="AH151" s="236" t="str">
        <f>IF('WetLitterbags placem_collection'!AA152="","",'WetLitterbags placem_collection'!AA152)</f>
        <v>O</v>
      </c>
      <c r="AI151">
        <f>IF('WetLitterbags placem_collection'!AC152="","",'WetLitterbags placem_collection'!AC152)</f>
        <v>0</v>
      </c>
      <c r="AJ151" s="233">
        <f>AVERAGE('WetLitterbags placem_collection'!S152,'WetLitterbags placem_collection'!U152)</f>
        <v>22.55</v>
      </c>
      <c r="AK151">
        <f>AVERAGE('WetLitterbags placem_collection'!R152,'WetLitterbags placem_collection'!T152)</f>
        <v>24.75</v>
      </c>
      <c r="AL151">
        <f>INDEX([2]Coordinates!$B$2:$B$197,MATCH(I151,[2]Coordinates!$J$2:$J$197,0))</f>
        <v>-2.3675230329999999</v>
      </c>
      <c r="AM151">
        <f>INDEX([2]Coordinates!$C$2:$C$197,MATCH(I151,[2]Coordinates!$J$2:$J$197,0))</f>
        <v>34.060512969999998</v>
      </c>
      <c r="AN151" t="str">
        <f>IF(ISNUMBER(SEARCH("C", 'WetLitterbags placem_collection'!$V152)),"YES","NO")</f>
        <v>NO</v>
      </c>
      <c r="AO151" t="str">
        <f>IF(ISNUMBER(SEARCH("H", 'WetLitterbags placem_collection'!$V152)),"YES","NO")</f>
        <v>NO</v>
      </c>
      <c r="AP151" t="str">
        <f>IF(ISNUMBER(SEARCH("R", 'WetLitterbags placem_collection'!$V152)),"YES","NO")</f>
        <v>NO</v>
      </c>
    </row>
    <row r="152" spans="1:42" ht="15" customHeight="1">
      <c r="A152" t="s">
        <v>3248</v>
      </c>
      <c r="B152" s="248" t="s">
        <v>2454</v>
      </c>
      <c r="C152" s="253">
        <f>'Dry_Litterbag Placem_Collection'!A153</f>
        <v>151</v>
      </c>
      <c r="D152" s="253" t="str">
        <f>'Dry_Litterbag Placem_Collection'!B153</f>
        <v xml:space="preserve">Mwantimba
</v>
      </c>
      <c r="E152" s="253" t="s">
        <v>2454</v>
      </c>
      <c r="F152" s="253" t="s">
        <v>20</v>
      </c>
      <c r="G152" s="253">
        <v>3</v>
      </c>
      <c r="H152" s="253" t="s">
        <v>3124</v>
      </c>
      <c r="I152" s="254" t="str">
        <f>'Dry_Litterbag Placem_Collection'!C153</f>
        <v>Wet_P3_T7</v>
      </c>
      <c r="J152" s="255" t="s">
        <v>2525</v>
      </c>
      <c r="K152" s="256" t="s">
        <v>1147</v>
      </c>
      <c r="L152" s="221" t="str">
        <f>'WetLitterbags placem_collection'!K153</f>
        <v>G567</v>
      </c>
      <c r="M152" s="223">
        <f>IFERROR(INDEX('Green_rooibos initial weight'!$C$5:$C$2000,MATCH(L152, 'Green_rooibos initial weight'!$A$5:$A$2000,0)),"")</f>
        <v>2.0569999999999999</v>
      </c>
      <c r="N152" s="223">
        <f>IFERROR(M152-(TBIcalc!$H$9+TBIcalc!$H$10),"")</f>
        <v>1.8071999999999999</v>
      </c>
      <c r="O152" s="378">
        <f>AVERAGE(Ashed_controlls!$K$2:$K$11)</f>
        <v>5.5147656768714146</v>
      </c>
      <c r="P152" s="223">
        <f t="shared" si="11"/>
        <v>1.7075371546875797</v>
      </c>
      <c r="Q152" s="223">
        <f>IFERROR(INDEX('Both teabags AfterWet'!$C$3:$C$840,MATCH(L152,'Both teabags AfterWet'!$A$3:$A$840,0)),"")</f>
        <v>0.86499999999999999</v>
      </c>
      <c r="R152" s="223">
        <f>IFERROR(IF(Q152&gt;0,Q152-(TBIcalc!$H$9),""),"")</f>
        <v>0.71439999999999992</v>
      </c>
      <c r="S152" s="223">
        <f>IFERROR(INDEX('Ashed teabags wet'!$K$2:$K$2000,MATCH(L152,'Ashed teabags wet'!$A$2:$A$2000,0)),"")</f>
        <v>20.077034183919789</v>
      </c>
      <c r="T152" s="223">
        <f t="shared" si="12"/>
        <v>0.57096966779007696</v>
      </c>
      <c r="U152" s="224">
        <f>'WetLitterbags placem_collection'!E153</f>
        <v>42762</v>
      </c>
      <c r="V152" s="224">
        <f>IF('WetLitterbags placem_collection'!G153="","",'WetLitterbags placem_collection'!G153)</f>
        <v>42816</v>
      </c>
      <c r="W152" s="225">
        <f t="shared" si="10"/>
        <v>54</v>
      </c>
      <c r="X152" s="223">
        <f t="shared" si="13"/>
        <v>1.0928</v>
      </c>
      <c r="Y152" s="223">
        <f t="shared" si="14"/>
        <v>1.1365674868975026</v>
      </c>
      <c r="Z152">
        <f>IFERROR(INDEX([1]Rainfall_Wet!$O$2:$O$217,MATCH(C152, [1]Rainfall_Wet!$A$2:$A$217,0)),"")</f>
        <v>206.85140822299999</v>
      </c>
      <c r="AA152" s="226">
        <v>39.96</v>
      </c>
      <c r="AB152" s="226">
        <v>12.920000000000002</v>
      </c>
      <c r="AC152" s="226">
        <v>47.12</v>
      </c>
      <c r="AD152" s="227" t="s">
        <v>2655</v>
      </c>
      <c r="AE152" s="226">
        <v>7.6549531789058696</v>
      </c>
      <c r="AF152">
        <f>IF('WetLitterbags placem_collection'!AB153="","",'WetLitterbags placem_collection'!AB153)</f>
        <v>1.4</v>
      </c>
      <c r="AG152">
        <f>IF('WetLitterbags placem_collection'!Z153="","",'WetLitterbags placem_collection'!Z153)</f>
        <v>7.9</v>
      </c>
      <c r="AH152" s="236" t="str">
        <f>IF('WetLitterbags placem_collection'!AA153="","",'WetLitterbags placem_collection'!AA153)</f>
        <v>O</v>
      </c>
      <c r="AI152">
        <f>IF('WetLitterbags placem_collection'!AC153="","",'WetLitterbags placem_collection'!AC153)</f>
        <v>1</v>
      </c>
      <c r="AJ152" s="233">
        <f>AVERAGE('WetLitterbags placem_collection'!S153,'WetLitterbags placem_collection'!U153)</f>
        <v>26.049999999999997</v>
      </c>
      <c r="AK152">
        <f>AVERAGE('WetLitterbags placem_collection'!R153,'WetLitterbags placem_collection'!T153)</f>
        <v>26.5</v>
      </c>
      <c r="AL152">
        <f>INDEX([2]Coordinates!$B$2:$B$197,MATCH(I152,[2]Coordinates!$J$2:$J$197,0))</f>
        <v>-2.3673460070000001</v>
      </c>
      <c r="AM152">
        <f>INDEX([2]Coordinates!$C$2:$C$197,MATCH(I152,[2]Coordinates!$J$2:$J$197,0))</f>
        <v>34.060310039999997</v>
      </c>
      <c r="AN152" t="str">
        <f>IF(ISNUMBER(SEARCH("C", 'WetLitterbags placem_collection'!$V153)),"YES","NO")</f>
        <v>NO</v>
      </c>
      <c r="AO152" t="str">
        <f>IF(ISNUMBER(SEARCH("H", 'WetLitterbags placem_collection'!$V153)),"YES","NO")</f>
        <v>NO</v>
      </c>
      <c r="AP152" t="str">
        <f>IF(ISNUMBER(SEARCH("R", 'WetLitterbags placem_collection'!$V153)),"YES","NO")</f>
        <v>YES</v>
      </c>
    </row>
    <row r="153" spans="1:42" ht="15" customHeight="1">
      <c r="A153" t="s">
        <v>3248</v>
      </c>
      <c r="B153" s="248" t="s">
        <v>2454</v>
      </c>
      <c r="C153" s="253">
        <f>'Dry_Litterbag Placem_Collection'!A154</f>
        <v>152</v>
      </c>
      <c r="D153" s="253" t="str">
        <f>'Dry_Litterbag Placem_Collection'!B154</f>
        <v xml:space="preserve">Mwantimba
</v>
      </c>
      <c r="E153" s="253" t="s">
        <v>2454</v>
      </c>
      <c r="F153" s="253" t="s">
        <v>20</v>
      </c>
      <c r="G153" s="253">
        <v>3</v>
      </c>
      <c r="H153" s="253" t="s">
        <v>3124</v>
      </c>
      <c r="I153" s="254" t="str">
        <f>'Dry_Litterbag Placem_Collection'!C154</f>
        <v>Wet_P3_T8</v>
      </c>
      <c r="J153" s="255" t="s">
        <v>2525</v>
      </c>
      <c r="K153" s="256" t="s">
        <v>1147</v>
      </c>
      <c r="L153" s="221" t="str">
        <f>'WetLitterbags placem_collection'!K154</f>
        <v>G853</v>
      </c>
      <c r="M153" s="223">
        <f>IFERROR(INDEX('Green_rooibos initial weight'!$C$5:$C$2000,MATCH(L153, 'Green_rooibos initial weight'!$A$5:$A$2000,0)),"")</f>
        <v>1.972</v>
      </c>
      <c r="N153" s="223">
        <f>IFERROR(M153-(TBIcalc!$H$9+TBIcalc!$H$10),"")</f>
        <v>1.7222</v>
      </c>
      <c r="O153" s="378">
        <f>AVERAGE(Ashed_controlls!$K$2:$K$11)</f>
        <v>5.5147656768714146</v>
      </c>
      <c r="P153" s="223">
        <f t="shared" si="11"/>
        <v>1.6272247055129205</v>
      </c>
      <c r="Q153" s="223">
        <f>IFERROR(INDEX('Both teabags AfterWet'!$C$3:$C$840,MATCH(L153,'Both teabags AfterWet'!$A$3:$A$840,0)),"")</f>
        <v>0.58509999999999995</v>
      </c>
      <c r="R153" s="223">
        <f>IFERROR(IF(Q153&gt;0,Q153-(TBIcalc!$H$9),""),"")</f>
        <v>0.43449999999999994</v>
      </c>
      <c r="S153" s="223">
        <f>IFERROR(INDEX('Ashed teabags wet'!$K$2:$K$2000,MATCH(L153,'Ashed teabags wet'!$A$2:$A$2000,0)),"")</f>
        <v>20.802377414561477</v>
      </c>
      <c r="T153" s="223">
        <f t="shared" si="12"/>
        <v>0.34411367013373034</v>
      </c>
      <c r="U153" s="224">
        <f>'WetLitterbags placem_collection'!E154</f>
        <v>42762</v>
      </c>
      <c r="V153" s="224">
        <f>IF('WetLitterbags placem_collection'!G154="","",'WetLitterbags placem_collection'!G154)</f>
        <v>42816</v>
      </c>
      <c r="W153" s="225">
        <f t="shared" si="10"/>
        <v>54</v>
      </c>
      <c r="X153" s="223">
        <f t="shared" si="13"/>
        <v>1.2877000000000001</v>
      </c>
      <c r="Y153" s="223">
        <f t="shared" si="14"/>
        <v>1.2831110353791901</v>
      </c>
      <c r="Z153">
        <f>IFERROR(INDEX([1]Rainfall_Wet!$O$2:$O$217,MATCH(C153, [1]Rainfall_Wet!$A$2:$A$217,0)),"")</f>
        <v>206.85140822299999</v>
      </c>
      <c r="AA153" s="226">
        <v>39.96</v>
      </c>
      <c r="AB153" s="226">
        <v>12.920000000000002</v>
      </c>
      <c r="AC153" s="226">
        <v>47.12</v>
      </c>
      <c r="AD153" s="227" t="s">
        <v>2655</v>
      </c>
      <c r="AE153" s="226">
        <v>8.6549531789058705</v>
      </c>
      <c r="AF153">
        <f>IF('WetLitterbags placem_collection'!AB154="","",'WetLitterbags placem_collection'!AB154)</f>
        <v>2.2000000000000002</v>
      </c>
      <c r="AG153">
        <f>IF('WetLitterbags placem_collection'!Z154="","",'WetLitterbags placem_collection'!Z154)</f>
        <v>15</v>
      </c>
      <c r="AH153" s="236" t="str">
        <f>IF('WetLitterbags placem_collection'!AA154="","",'WetLitterbags placem_collection'!AA154)</f>
        <v>M</v>
      </c>
      <c r="AI153">
        <f>IF('WetLitterbags placem_collection'!AC154="","",'WetLitterbags placem_collection'!AC154)</f>
        <v>0</v>
      </c>
      <c r="AJ153" s="233">
        <f>AVERAGE('WetLitterbags placem_collection'!S154,'WetLitterbags placem_collection'!U154)</f>
        <v>18.8</v>
      </c>
      <c r="AK153">
        <f>AVERAGE('WetLitterbags placem_collection'!R154,'WetLitterbags placem_collection'!T154)</f>
        <v>23.7</v>
      </c>
      <c r="AL153">
        <f>INDEX([2]Coordinates!$B$2:$B$197,MATCH(I153,[2]Coordinates!$J$2:$J$197,0))</f>
        <v>-2.367543988</v>
      </c>
      <c r="AM153">
        <f>INDEX([2]Coordinates!$C$2:$C$197,MATCH(I153,[2]Coordinates!$J$2:$J$197,0))</f>
        <v>34.060168969999999</v>
      </c>
      <c r="AN153" t="str">
        <f>IF(ISNUMBER(SEARCH("C", 'WetLitterbags placem_collection'!$V154)),"YES","NO")</f>
        <v>NO</v>
      </c>
      <c r="AO153" t="str">
        <f>IF(ISNUMBER(SEARCH("H", 'WetLitterbags placem_collection'!$V154)),"YES","NO")</f>
        <v>NO</v>
      </c>
      <c r="AP153" t="str">
        <f>IF(ISNUMBER(SEARCH("R", 'WetLitterbags placem_collection'!$V154)),"YES","NO")</f>
        <v>NO</v>
      </c>
    </row>
    <row r="154" spans="1:42" ht="15" customHeight="1">
      <c r="A154" t="s">
        <v>3248</v>
      </c>
      <c r="B154" s="248" t="s">
        <v>2454</v>
      </c>
      <c r="C154" s="253">
        <f>'Dry_Litterbag Placem_Collection'!A155</f>
        <v>153</v>
      </c>
      <c r="D154" s="253" t="str">
        <f>'Dry_Litterbag Placem_Collection'!B155</f>
        <v xml:space="preserve">Mwantimba
</v>
      </c>
      <c r="E154" s="253" t="s">
        <v>2454</v>
      </c>
      <c r="F154" s="253" t="s">
        <v>20</v>
      </c>
      <c r="G154" s="253">
        <v>4</v>
      </c>
      <c r="H154" s="253" t="s">
        <v>3125</v>
      </c>
      <c r="I154" s="254" t="str">
        <f>'Dry_Litterbag Placem_Collection'!C155</f>
        <v>Wet_P4_T1</v>
      </c>
      <c r="J154" s="255" t="s">
        <v>2525</v>
      </c>
      <c r="K154" s="256" t="s">
        <v>1147</v>
      </c>
      <c r="L154" s="221" t="str">
        <f>'WetLitterbags placem_collection'!K155</f>
        <v>G800</v>
      </c>
      <c r="M154" s="223">
        <f>IFERROR(INDEX('Green_rooibos initial weight'!$C$5:$C$2000,MATCH(L154, 'Green_rooibos initial weight'!$A$5:$A$2000,0)),"")</f>
        <v>2.1179999999999999</v>
      </c>
      <c r="N154" s="223">
        <f>IFERROR(M154-(TBIcalc!$H$9+TBIcalc!$H$10),"")</f>
        <v>1.8681999999999999</v>
      </c>
      <c r="O154" s="378">
        <f>AVERAGE(Ashed_controlls!$K$2:$K$11)</f>
        <v>5.5147656768714146</v>
      </c>
      <c r="P154" s="223">
        <f t="shared" si="11"/>
        <v>1.7651731476246881</v>
      </c>
      <c r="Q154" s="223">
        <f>IFERROR(INDEX('Both teabags AfterWet'!$C$3:$C$840,MATCH(L154,'Both teabags AfterWet'!$A$3:$A$840,0)),"")</f>
        <v>0.58630000000000004</v>
      </c>
      <c r="R154" s="223">
        <f>IFERROR(IF(Q154&gt;0,Q154-(TBIcalc!$H$9),""),"")</f>
        <v>0.43570000000000003</v>
      </c>
      <c r="S154" s="223">
        <f>IFERROR(INDEX('Ashed teabags wet'!$K$2:$K$2000,MATCH(L154,'Ashed teabags wet'!$A$2:$A$2000,0)),"")</f>
        <v>16.871618298081419</v>
      </c>
      <c r="T154" s="223">
        <f t="shared" si="12"/>
        <v>0.36219035907525926</v>
      </c>
      <c r="U154" s="224">
        <f>'WetLitterbags placem_collection'!E155</f>
        <v>42762</v>
      </c>
      <c r="V154" s="224">
        <f>IF('WetLitterbags placem_collection'!G155="","",'WetLitterbags placem_collection'!G155)</f>
        <v>42816</v>
      </c>
      <c r="W154" s="225">
        <f t="shared" si="10"/>
        <v>54</v>
      </c>
      <c r="X154" s="223">
        <f t="shared" si="13"/>
        <v>1.4324999999999999</v>
      </c>
      <c r="Y154" s="223">
        <f t="shared" si="14"/>
        <v>1.4029827885494288</v>
      </c>
      <c r="Z154">
        <f>IFERROR(INDEX([1]Rainfall_Wet!$O$2:$O$217,MATCH(C154, [1]Rainfall_Wet!$A$2:$A$217,0)),"")</f>
        <v>206.85140822299999</v>
      </c>
      <c r="AA154" s="226">
        <v>27.96</v>
      </c>
      <c r="AB154" s="226">
        <v>4.9200000000000017</v>
      </c>
      <c r="AC154" s="226">
        <v>67.12</v>
      </c>
      <c r="AD154" s="227" t="s">
        <v>2651</v>
      </c>
      <c r="AE154" s="226">
        <v>1.0437161163134547</v>
      </c>
      <c r="AF154">
        <f>IF('WetLitterbags placem_collection'!AB155="","",'WetLitterbags placem_collection'!AB155)</f>
        <v>2.1</v>
      </c>
      <c r="AG154">
        <f>IF('WetLitterbags placem_collection'!Z155="","",'WetLitterbags placem_collection'!Z155)</f>
        <v>16.399999999999999</v>
      </c>
      <c r="AH154" s="236" t="str">
        <f>IF('WetLitterbags placem_collection'!AA155="","",'WetLitterbags placem_collection'!AA155)</f>
        <v>G</v>
      </c>
      <c r="AI154">
        <f>IF('WetLitterbags placem_collection'!AC155="","",'WetLitterbags placem_collection'!AC155)</f>
        <v>0</v>
      </c>
      <c r="AJ154" s="233">
        <f>AVERAGE('WetLitterbags placem_collection'!S155,'WetLitterbags placem_collection'!U155)</f>
        <v>21.35</v>
      </c>
      <c r="AK154">
        <f>AVERAGE('WetLitterbags placem_collection'!R155,'WetLitterbags placem_collection'!T155)</f>
        <v>26.700000000000003</v>
      </c>
      <c r="AL154">
        <f>INDEX([2]Coordinates!$B$2:$B$197,MATCH(I154,[2]Coordinates!$J$2:$J$197,0))</f>
        <v>-2.3676780150000001</v>
      </c>
      <c r="AM154">
        <f>INDEX([2]Coordinates!$C$2:$C$197,MATCH(I154,[2]Coordinates!$J$2:$J$197,0))</f>
        <v>34.05937797</v>
      </c>
      <c r="AN154" t="str">
        <f>IF(ISNUMBER(SEARCH("C", 'WetLitterbags placem_collection'!$V155)),"YES","NO")</f>
        <v>NO</v>
      </c>
      <c r="AO154" t="str">
        <f>IF(ISNUMBER(SEARCH("H", 'WetLitterbags placem_collection'!$V155)),"YES","NO")</f>
        <v>NO</v>
      </c>
      <c r="AP154" t="str">
        <f>IF(ISNUMBER(SEARCH("R", 'WetLitterbags placem_collection'!$V155)),"YES","NO")</f>
        <v>YES</v>
      </c>
    </row>
    <row r="155" spans="1:42" ht="15" customHeight="1">
      <c r="A155" t="s">
        <v>3248</v>
      </c>
      <c r="B155" s="248" t="s">
        <v>2454</v>
      </c>
      <c r="C155" s="253">
        <f>'Dry_Litterbag Placem_Collection'!A156</f>
        <v>154</v>
      </c>
      <c r="D155" s="253" t="str">
        <f>'Dry_Litterbag Placem_Collection'!B156</f>
        <v xml:space="preserve">Mwantimba
</v>
      </c>
      <c r="E155" s="253" t="s">
        <v>2454</v>
      </c>
      <c r="F155" s="253" t="s">
        <v>20</v>
      </c>
      <c r="G155" s="253">
        <v>4</v>
      </c>
      <c r="H155" s="253" t="s">
        <v>3125</v>
      </c>
      <c r="I155" s="254" t="str">
        <f>'Dry_Litterbag Placem_Collection'!C156</f>
        <v>Wet_P4_T2</v>
      </c>
      <c r="J155" s="255" t="s">
        <v>2525</v>
      </c>
      <c r="K155" s="256" t="s">
        <v>1147</v>
      </c>
      <c r="L155" s="221" t="str">
        <f>'WetLitterbags placem_collection'!K156</f>
        <v>G675</v>
      </c>
      <c r="M155" s="223">
        <f>IFERROR(INDEX('Green_rooibos initial weight'!$C$5:$C$2000,MATCH(L155, 'Green_rooibos initial weight'!$A$5:$A$2000,0)),"")</f>
        <v>1.9950000000000001</v>
      </c>
      <c r="N155" s="223">
        <f>IFERROR(M155-(TBIcalc!$H$9+TBIcalc!$H$10),"")</f>
        <v>1.7452000000000001</v>
      </c>
      <c r="O155" s="378">
        <f>AVERAGE(Ashed_controlls!$K$2:$K$11)</f>
        <v>5.5147656768714146</v>
      </c>
      <c r="P155" s="223">
        <f t="shared" si="11"/>
        <v>1.6489563094072401</v>
      </c>
      <c r="Q155" s="223">
        <f>IFERROR(INDEX('Both teabags AfterWet'!$C$3:$C$840,MATCH(L155,'Both teabags AfterWet'!$A$3:$A$840,0)),"")</f>
        <v>0.61299999999999999</v>
      </c>
      <c r="R155" s="223">
        <f>IFERROR(IF(Q155&gt;0,Q155-(TBIcalc!$H$9),""),"")</f>
        <v>0.46239999999999998</v>
      </c>
      <c r="S155" s="223">
        <f>IFERROR(INDEX('Ashed teabags wet'!$K$2:$K$2000,MATCH(L155,'Ashed teabags wet'!$A$2:$A$2000,0)),"")</f>
        <v>18.033573141486571</v>
      </c>
      <c r="T155" s="223">
        <f t="shared" si="12"/>
        <v>0.37901275779376609</v>
      </c>
      <c r="U155" s="224">
        <f>'WetLitterbags placem_collection'!E156</f>
        <v>42762</v>
      </c>
      <c r="V155" s="224">
        <f>IF('WetLitterbags placem_collection'!G156="","",'WetLitterbags placem_collection'!G156)</f>
        <v>42816</v>
      </c>
      <c r="W155" s="225">
        <f t="shared" si="10"/>
        <v>54</v>
      </c>
      <c r="X155" s="223">
        <f t="shared" si="13"/>
        <v>1.2828000000000002</v>
      </c>
      <c r="Y155" s="223">
        <f t="shared" si="14"/>
        <v>1.2699435516134741</v>
      </c>
      <c r="Z155">
        <f>IFERROR(INDEX([1]Rainfall_Wet!$O$2:$O$217,MATCH(C155, [1]Rainfall_Wet!$A$2:$A$217,0)),"")</f>
        <v>206.85140822299999</v>
      </c>
      <c r="AA155" s="226">
        <v>27.96</v>
      </c>
      <c r="AB155" s="226">
        <v>4.9200000000000017</v>
      </c>
      <c r="AC155" s="226">
        <v>67.12</v>
      </c>
      <c r="AD155" s="227" t="s">
        <v>2651</v>
      </c>
      <c r="AE155" s="226">
        <v>2.0437161163134498</v>
      </c>
      <c r="AF155">
        <f>IF('WetLitterbags placem_collection'!AB156="","",'WetLitterbags placem_collection'!AB156)</f>
        <v>2.15</v>
      </c>
      <c r="AG155">
        <f>IF('WetLitterbags placem_collection'!Z156="","",'WetLitterbags placem_collection'!Z156)</f>
        <v>9</v>
      </c>
      <c r="AH155" s="236" t="str">
        <f>IF('WetLitterbags placem_collection'!AA156="","",'WetLitterbags placem_collection'!AA156)</f>
        <v>G</v>
      </c>
      <c r="AI155">
        <f>IF('WetLitterbags placem_collection'!AC156="","",'WetLitterbags placem_collection'!AC156)</f>
        <v>0</v>
      </c>
      <c r="AJ155" s="233">
        <f>AVERAGE('WetLitterbags placem_collection'!S156,'WetLitterbags placem_collection'!U156)</f>
        <v>23.5</v>
      </c>
      <c r="AK155">
        <f>AVERAGE('WetLitterbags placem_collection'!R156,'WetLitterbags placem_collection'!T156)</f>
        <v>25.7</v>
      </c>
      <c r="AL155">
        <f>INDEX([2]Coordinates!$B$2:$B$197,MATCH(I155,[2]Coordinates!$J$2:$J$197,0))</f>
        <v>-2.3677299820000002</v>
      </c>
      <c r="AM155">
        <f>INDEX([2]Coordinates!$C$2:$C$197,MATCH(I155,[2]Coordinates!$J$2:$J$197,0))</f>
        <v>34.059351990000003</v>
      </c>
      <c r="AN155" t="str">
        <f>IF(ISNUMBER(SEARCH("C", 'WetLitterbags placem_collection'!$V156)),"YES","NO")</f>
        <v>YES</v>
      </c>
      <c r="AO155" t="str">
        <f>IF(ISNUMBER(SEARCH("H", 'WetLitterbags placem_collection'!$V156)),"YES","NO")</f>
        <v>YES</v>
      </c>
      <c r="AP155" t="str">
        <f>IF(ISNUMBER(SEARCH("R", 'WetLitterbags placem_collection'!$V156)),"YES","NO")</f>
        <v>NO</v>
      </c>
    </row>
    <row r="156" spans="1:42" ht="15" customHeight="1">
      <c r="A156" t="s">
        <v>3248</v>
      </c>
      <c r="B156" s="248" t="s">
        <v>2454</v>
      </c>
      <c r="C156" s="253">
        <f>'Dry_Litterbag Placem_Collection'!A157</f>
        <v>155</v>
      </c>
      <c r="D156" s="253" t="str">
        <f>'Dry_Litterbag Placem_Collection'!B157</f>
        <v xml:space="preserve">Mwantimba
</v>
      </c>
      <c r="E156" s="253" t="s">
        <v>2454</v>
      </c>
      <c r="F156" s="253" t="s">
        <v>20</v>
      </c>
      <c r="G156" s="253">
        <v>4</v>
      </c>
      <c r="H156" s="253" t="s">
        <v>3125</v>
      </c>
      <c r="I156" s="254" t="str">
        <f>'Dry_Litterbag Placem_Collection'!C157</f>
        <v>Wet_P4_T3</v>
      </c>
      <c r="J156" s="255" t="s">
        <v>2525</v>
      </c>
      <c r="K156" s="256" t="s">
        <v>1147</v>
      </c>
      <c r="L156" s="221" t="str">
        <f>'WetLitterbags placem_collection'!K157</f>
        <v>G859</v>
      </c>
      <c r="M156" s="223">
        <f>IFERROR(INDEX('Green_rooibos initial weight'!$C$5:$C$2000,MATCH(L156, 'Green_rooibos initial weight'!$A$5:$A$2000,0)),"")</f>
        <v>2</v>
      </c>
      <c r="N156" s="223">
        <f>IFERROR(M156-(TBIcalc!$H$9+TBIcalc!$H$10),"")</f>
        <v>1.7502</v>
      </c>
      <c r="O156" s="378">
        <f>AVERAGE(Ashed_controlls!$K$2:$K$11)</f>
        <v>5.5147656768714146</v>
      </c>
      <c r="P156" s="223">
        <f t="shared" si="11"/>
        <v>1.6536805711233964</v>
      </c>
      <c r="Q156" s="223">
        <f>IFERROR(INDEX('Both teabags AfterWet'!$C$3:$C$840,MATCH(L156,'Both teabags AfterWet'!$A$3:$A$840,0)),"")</f>
        <v>0.71599999999999997</v>
      </c>
      <c r="R156" s="223">
        <f>IFERROR(IF(Q156&gt;0,Q156-(TBIcalc!$H$9),""),"")</f>
        <v>0.5653999999999999</v>
      </c>
      <c r="S156" s="223">
        <f>IFERROR(INDEX('Ashed teabags wet'!$K$2:$K$2000,MATCH(L156,'Ashed teabags wet'!$A$2:$A$2000,0)),"")</f>
        <v>17.148456638902378</v>
      </c>
      <c r="T156" s="223">
        <f t="shared" si="12"/>
        <v>0.4684426261636459</v>
      </c>
      <c r="U156" s="224">
        <f>'WetLitterbags placem_collection'!E157</f>
        <v>42762</v>
      </c>
      <c r="V156" s="224">
        <f>IF('WetLitterbags placem_collection'!G157="","",'WetLitterbags placem_collection'!G157)</f>
        <v>42816</v>
      </c>
      <c r="W156" s="225">
        <f t="shared" si="10"/>
        <v>54</v>
      </c>
      <c r="X156" s="223">
        <f t="shared" si="13"/>
        <v>1.1848000000000001</v>
      </c>
      <c r="Y156" s="223">
        <f t="shared" si="14"/>
        <v>1.1852379449597505</v>
      </c>
      <c r="Z156">
        <f>IFERROR(INDEX([1]Rainfall_Wet!$O$2:$O$217,MATCH(C156, [1]Rainfall_Wet!$A$2:$A$217,0)),"")</f>
        <v>206.85140822299999</v>
      </c>
      <c r="AA156" s="226">
        <v>27.96</v>
      </c>
      <c r="AB156" s="226">
        <v>4.9200000000000017</v>
      </c>
      <c r="AC156" s="226">
        <v>67.12</v>
      </c>
      <c r="AD156" s="227" t="s">
        <v>2651</v>
      </c>
      <c r="AE156" s="226">
        <v>3.0437161163134498</v>
      </c>
      <c r="AF156">
        <f>IF('WetLitterbags placem_collection'!AB157="","",'WetLitterbags placem_collection'!AB157)</f>
        <v>1.2</v>
      </c>
      <c r="AG156">
        <f>IF('WetLitterbags placem_collection'!Z157="","",'WetLitterbags placem_collection'!Z157)</f>
        <v>11</v>
      </c>
      <c r="AH156" s="236" t="str">
        <f>IF('WetLitterbags placem_collection'!AA157="","",'WetLitterbags placem_collection'!AA157)</f>
        <v>G</v>
      </c>
      <c r="AI156">
        <f>IF('WetLitterbags placem_collection'!AC157="","",'WetLitterbags placem_collection'!AC157)</f>
        <v>0</v>
      </c>
      <c r="AJ156" s="233">
        <f>AVERAGE('WetLitterbags placem_collection'!S157,'WetLitterbags placem_collection'!U157)</f>
        <v>23.75</v>
      </c>
      <c r="AK156">
        <f>AVERAGE('WetLitterbags placem_collection'!R157,'WetLitterbags placem_collection'!T157)</f>
        <v>26.799999999999997</v>
      </c>
      <c r="AL156">
        <f>INDEX([2]Coordinates!$B$2:$B$197,MATCH(I156,[2]Coordinates!$J$2:$J$197,0))</f>
        <v>-2.3677119609999999</v>
      </c>
      <c r="AM156">
        <f>INDEX([2]Coordinates!$C$2:$C$197,MATCH(I156,[2]Coordinates!$J$2:$J$197,0))</f>
        <v>34.059339000000001</v>
      </c>
      <c r="AN156" t="str">
        <f>IF(ISNUMBER(SEARCH("C", 'WetLitterbags placem_collection'!$V157)),"YES","NO")</f>
        <v>NO</v>
      </c>
      <c r="AO156" t="str">
        <f>IF(ISNUMBER(SEARCH("H", 'WetLitterbags placem_collection'!$V157)),"YES","NO")</f>
        <v>NO</v>
      </c>
      <c r="AP156" t="str">
        <f>IF(ISNUMBER(SEARCH("R", 'WetLitterbags placem_collection'!$V157)),"YES","NO")</f>
        <v>YES</v>
      </c>
    </row>
    <row r="157" spans="1:42" ht="15" customHeight="1">
      <c r="A157" t="s">
        <v>3248</v>
      </c>
      <c r="B157" s="248" t="s">
        <v>2454</v>
      </c>
      <c r="C157" s="253">
        <f>'Dry_Litterbag Placem_Collection'!A158</f>
        <v>156</v>
      </c>
      <c r="D157" s="253" t="str">
        <f>'Dry_Litterbag Placem_Collection'!B158</f>
        <v xml:space="preserve">Mwantimba
</v>
      </c>
      <c r="E157" s="253" t="s">
        <v>2454</v>
      </c>
      <c r="F157" s="253" t="s">
        <v>20</v>
      </c>
      <c r="G157" s="253">
        <v>4</v>
      </c>
      <c r="H157" s="253" t="s">
        <v>3125</v>
      </c>
      <c r="I157" s="254" t="str">
        <f>'Dry_Litterbag Placem_Collection'!C158</f>
        <v>Wet_P4_T4</v>
      </c>
      <c r="J157" s="255" t="s">
        <v>2525</v>
      </c>
      <c r="K157" s="256" t="s">
        <v>1147</v>
      </c>
      <c r="L157" s="221" t="str">
        <f>'WetLitterbags placem_collection'!K158</f>
        <v>G654</v>
      </c>
      <c r="M157" s="223">
        <f>IFERROR(INDEX('Green_rooibos initial weight'!$C$5:$C$2000,MATCH(L157, 'Green_rooibos initial weight'!$A$5:$A$2000,0)),"")</f>
        <v>2.0169999999999999</v>
      </c>
      <c r="N157" s="223">
        <f>IFERROR(M157-(TBIcalc!$H$9+TBIcalc!$H$10),"")</f>
        <v>1.7671999999999999</v>
      </c>
      <c r="O157" s="378">
        <f>AVERAGE(Ashed_controlls!$K$2:$K$11)</f>
        <v>5.5147656768714146</v>
      </c>
      <c r="P157" s="223">
        <f t="shared" si="11"/>
        <v>1.6697430609583281</v>
      </c>
      <c r="Q157" s="223">
        <f>IFERROR(INDEX('Both teabags AfterWet'!$C$3:$C$840,MATCH(L157,'Both teabags AfterWet'!$A$3:$A$840,0)),"")</f>
        <v>0.73799999999999999</v>
      </c>
      <c r="R157" s="223">
        <f>IFERROR(IF(Q157&gt;0,Q157-(TBIcalc!$H$9),""),"")</f>
        <v>0.58739999999999992</v>
      </c>
      <c r="S157" s="223">
        <f>IFERROR(INDEX('Ashed teabags wet'!$K$2:$K$2000,MATCH(L157,'Ashed teabags wet'!$A$2:$A$2000,0)),"")</f>
        <v>25.036109773712322</v>
      </c>
      <c r="T157" s="223">
        <f t="shared" si="12"/>
        <v>0.44033789118921374</v>
      </c>
      <c r="U157" s="224">
        <f>'WetLitterbags placem_collection'!E158</f>
        <v>42762</v>
      </c>
      <c r="V157" s="224">
        <f>IF('WetLitterbags placem_collection'!G158="","",'WetLitterbags placem_collection'!G158)</f>
        <v>42816</v>
      </c>
      <c r="W157" s="225">
        <f t="shared" si="10"/>
        <v>54</v>
      </c>
      <c r="X157" s="223">
        <f t="shared" si="13"/>
        <v>1.1798</v>
      </c>
      <c r="Y157" s="223">
        <f t="shared" si="14"/>
        <v>1.2294051697691144</v>
      </c>
      <c r="Z157">
        <f>IFERROR(INDEX([1]Rainfall_Wet!$O$2:$O$217,MATCH(C157, [1]Rainfall_Wet!$A$2:$A$217,0)),"")</f>
        <v>206.85140822299999</v>
      </c>
      <c r="AA157" s="226">
        <v>27.96</v>
      </c>
      <c r="AB157" s="226">
        <v>4.9200000000000017</v>
      </c>
      <c r="AC157" s="226">
        <v>67.12</v>
      </c>
      <c r="AD157" s="227" t="s">
        <v>2651</v>
      </c>
      <c r="AE157" s="226">
        <v>4.0437161163134503</v>
      </c>
      <c r="AF157">
        <f>IF('WetLitterbags placem_collection'!AB158="","",'WetLitterbags placem_collection'!AB158)</f>
        <v>1.55</v>
      </c>
      <c r="AG157">
        <f>IF('WetLitterbags placem_collection'!Z158="","",'WetLitterbags placem_collection'!Z158)</f>
        <v>9.1</v>
      </c>
      <c r="AH157" s="236" t="str">
        <f>IF('WetLitterbags placem_collection'!AA158="","",'WetLitterbags placem_collection'!AA158)</f>
        <v>O</v>
      </c>
      <c r="AI157">
        <f>IF('WetLitterbags placem_collection'!AC158="","",'WetLitterbags placem_collection'!AC158)</f>
        <v>0</v>
      </c>
      <c r="AJ157" s="233">
        <f>AVERAGE('WetLitterbags placem_collection'!S158,'WetLitterbags placem_collection'!U158)</f>
        <v>21.700000000000003</v>
      </c>
      <c r="AK157">
        <f>AVERAGE('WetLitterbags placem_collection'!R158,'WetLitterbags placem_collection'!T158)</f>
        <v>26.95</v>
      </c>
      <c r="AL157">
        <f>INDEX([2]Coordinates!$B$2:$B$197,MATCH(I157,[2]Coordinates!$J$2:$J$197,0))</f>
        <v>-2.3676950300000001</v>
      </c>
      <c r="AM157">
        <f>INDEX([2]Coordinates!$C$2:$C$197,MATCH(I157,[2]Coordinates!$J$2:$J$197,0))</f>
        <v>34.059499010000003</v>
      </c>
      <c r="AN157" t="str">
        <f>IF(ISNUMBER(SEARCH("C", 'WetLitterbags placem_collection'!$V158)),"YES","NO")</f>
        <v>NO</v>
      </c>
      <c r="AO157" t="str">
        <f>IF(ISNUMBER(SEARCH("H", 'WetLitterbags placem_collection'!$V158)),"YES","NO")</f>
        <v>YES</v>
      </c>
      <c r="AP157" t="str">
        <f>IF(ISNUMBER(SEARCH("R", 'WetLitterbags placem_collection'!$V158)),"YES","NO")</f>
        <v>NO</v>
      </c>
    </row>
    <row r="158" spans="1:42" ht="15" customHeight="1">
      <c r="A158" t="s">
        <v>3248</v>
      </c>
      <c r="B158" s="248" t="s">
        <v>2454</v>
      </c>
      <c r="C158" s="253">
        <f>'Dry_Litterbag Placem_Collection'!A159</f>
        <v>157</v>
      </c>
      <c r="D158" s="253" t="str">
        <f>'Dry_Litterbag Placem_Collection'!B159</f>
        <v xml:space="preserve">Mwantimba
</v>
      </c>
      <c r="E158" s="253" t="s">
        <v>2454</v>
      </c>
      <c r="F158" s="253" t="s">
        <v>20</v>
      </c>
      <c r="G158" s="253">
        <v>4</v>
      </c>
      <c r="H158" s="253" t="s">
        <v>3125</v>
      </c>
      <c r="I158" s="254" t="str">
        <f>'Dry_Litterbag Placem_Collection'!C159</f>
        <v>Wet_P4_T5</v>
      </c>
      <c r="J158" s="255" t="s">
        <v>2525</v>
      </c>
      <c r="K158" s="256" t="s">
        <v>1147</v>
      </c>
      <c r="L158" s="221" t="str">
        <f>'WetLitterbags placem_collection'!K159</f>
        <v>G890</v>
      </c>
      <c r="M158" s="223">
        <f>IFERROR(INDEX('Green_rooibos initial weight'!$C$5:$C$2000,MATCH(L158, 'Green_rooibos initial weight'!$A$5:$A$2000,0)),"")</f>
        <v>1.9930000000000001</v>
      </c>
      <c r="N158" s="223">
        <f>IFERROR(M158-(TBIcalc!$H$9+TBIcalc!$H$10),"")</f>
        <v>1.7432000000000001</v>
      </c>
      <c r="O158" s="378">
        <f>AVERAGE(Ashed_controlls!$K$2:$K$11)</f>
        <v>5.5147656768714146</v>
      </c>
      <c r="P158" s="223">
        <f t="shared" si="11"/>
        <v>1.6470666047207776</v>
      </c>
      <c r="Q158" s="223">
        <f>IFERROR(INDEX('Both teabags AfterWet'!$C$3:$C$840,MATCH(L158,'Both teabags AfterWet'!$A$3:$A$840,0)),"")</f>
        <v>0.74099999999999999</v>
      </c>
      <c r="R158" s="223">
        <f>IFERROR(IF(Q158&gt;0,Q158-(TBIcalc!$H$9),""),"")</f>
        <v>0.59040000000000004</v>
      </c>
      <c r="S158" s="223">
        <f>IFERROR(INDEX('Ashed teabags wet'!$K$2:$K$2000,MATCH(L158,'Ashed teabags wet'!$A$2:$A$2000,0)),"")</f>
        <v>13.769192669637922</v>
      </c>
      <c r="T158" s="223">
        <f t="shared" si="12"/>
        <v>0.50910668647845769</v>
      </c>
      <c r="U158" s="224">
        <f>'WetLitterbags placem_collection'!E159</f>
        <v>42762</v>
      </c>
      <c r="V158" s="224">
        <f>IF('WetLitterbags placem_collection'!G159="","",'WetLitterbags placem_collection'!G159)</f>
        <v>42816</v>
      </c>
      <c r="W158" s="225">
        <f t="shared" si="10"/>
        <v>54</v>
      </c>
      <c r="X158" s="223">
        <f t="shared" si="13"/>
        <v>1.1528</v>
      </c>
      <c r="Y158" s="223">
        <f t="shared" si="14"/>
        <v>1.1379599182423199</v>
      </c>
      <c r="Z158">
        <f>IFERROR(INDEX([1]Rainfall_Wet!$O$2:$O$217,MATCH(C158, [1]Rainfall_Wet!$A$2:$A$217,0)),"")</f>
        <v>206.85140822299999</v>
      </c>
      <c r="AA158" s="226">
        <v>27.96</v>
      </c>
      <c r="AB158" s="226">
        <v>4.9200000000000017</v>
      </c>
      <c r="AC158" s="226">
        <v>67.12</v>
      </c>
      <c r="AD158" s="227" t="s">
        <v>2651</v>
      </c>
      <c r="AE158" s="226">
        <v>5.0437161163134503</v>
      </c>
      <c r="AF158">
        <f>IF('WetLitterbags placem_collection'!AB159="","",'WetLitterbags placem_collection'!AB159)</f>
        <v>2.2999999999999998</v>
      </c>
      <c r="AG158">
        <f>IF('WetLitterbags placem_collection'!Z159="","",'WetLitterbags placem_collection'!Z159)</f>
        <v>7.7</v>
      </c>
      <c r="AH158" s="236" t="str">
        <f>IF('WetLitterbags placem_collection'!AA159="","",'WetLitterbags placem_collection'!AA159)</f>
        <v>O</v>
      </c>
      <c r="AI158">
        <f>IF('WetLitterbags placem_collection'!AC159="","",'WetLitterbags placem_collection'!AC159)</f>
        <v>0</v>
      </c>
      <c r="AJ158" s="233">
        <f>AVERAGE('WetLitterbags placem_collection'!S159,'WetLitterbags placem_collection'!U159)</f>
        <v>22.6</v>
      </c>
      <c r="AK158">
        <f>AVERAGE('WetLitterbags placem_collection'!R159,'WetLitterbags placem_collection'!T159)</f>
        <v>29.2</v>
      </c>
      <c r="AL158">
        <f>INDEX([2]Coordinates!$B$2:$B$197,MATCH(I158,[2]Coordinates!$J$2:$J$197,0))</f>
        <v>-2.3678019830000001</v>
      </c>
      <c r="AM158">
        <f>INDEX([2]Coordinates!$C$2:$C$197,MATCH(I158,[2]Coordinates!$J$2:$J$197,0))</f>
        <v>34.059521969999999</v>
      </c>
      <c r="AN158" t="str">
        <f>IF(ISNUMBER(SEARCH("C", 'WetLitterbags placem_collection'!$V159)),"YES","NO")</f>
        <v>NO</v>
      </c>
      <c r="AO158" t="str">
        <f>IF(ISNUMBER(SEARCH("H", 'WetLitterbags placem_collection'!$V159)),"YES","NO")</f>
        <v>NO</v>
      </c>
      <c r="AP158" t="str">
        <f>IF(ISNUMBER(SEARCH("R", 'WetLitterbags placem_collection'!$V159)),"YES","NO")</f>
        <v>YES</v>
      </c>
    </row>
    <row r="159" spans="1:42" ht="15" customHeight="1">
      <c r="A159" t="s">
        <v>3248</v>
      </c>
      <c r="B159" s="248" t="s">
        <v>2454</v>
      </c>
      <c r="C159" s="253">
        <f>'Dry_Litterbag Placem_Collection'!A160</f>
        <v>158</v>
      </c>
      <c r="D159" s="253" t="str">
        <f>'Dry_Litterbag Placem_Collection'!B160</f>
        <v xml:space="preserve">Mwantimba
</v>
      </c>
      <c r="E159" s="253" t="s">
        <v>2454</v>
      </c>
      <c r="F159" s="253" t="s">
        <v>20</v>
      </c>
      <c r="G159" s="253">
        <v>4</v>
      </c>
      <c r="H159" s="253" t="s">
        <v>3125</v>
      </c>
      <c r="I159" s="254" t="str">
        <f>'Dry_Litterbag Placem_Collection'!C160</f>
        <v>Wet_P4_T6</v>
      </c>
      <c r="J159" s="255" t="s">
        <v>2525</v>
      </c>
      <c r="K159" s="256" t="s">
        <v>1147</v>
      </c>
      <c r="L159" s="221" t="str">
        <f>'WetLitterbags placem_collection'!K160</f>
        <v>G576</v>
      </c>
      <c r="M159" s="223">
        <f>IFERROR(INDEX('Green_rooibos initial weight'!$C$5:$C$2000,MATCH(L159, 'Green_rooibos initial weight'!$A$5:$A$2000,0)),"")</f>
        <v>2.056</v>
      </c>
      <c r="N159" s="223">
        <f>IFERROR(M159-(TBIcalc!$H$9+TBIcalc!$H$10),"")</f>
        <v>1.8062</v>
      </c>
      <c r="O159" s="378">
        <f>AVERAGE(Ashed_controlls!$K$2:$K$11)</f>
        <v>5.5147656768714146</v>
      </c>
      <c r="P159" s="223">
        <f t="shared" si="11"/>
        <v>1.7065923023443486</v>
      </c>
      <c r="Q159" s="223">
        <f>IFERROR(INDEX('Both teabags AfterWet'!$C$3:$C$840,MATCH(L159,'Both teabags AfterWet'!$A$3:$A$840,0)),"")</f>
        <v>0.26600000000000001</v>
      </c>
      <c r="R159" s="223">
        <f>IFERROR(IF(Q159&gt;0,Q159-(TBIcalc!$H$9),""),"")</f>
        <v>0.1154</v>
      </c>
      <c r="S159" s="223">
        <f>IFERROR(INDEX('Ashed teabags wet'!$K$2:$K$2000,MATCH(L159,'Ashed teabags wet'!$A$2:$A$2000,0)),"")</f>
        <v>0</v>
      </c>
      <c r="T159" s="223">
        <f t="shared" si="12"/>
        <v>0.1154</v>
      </c>
      <c r="U159" s="224">
        <f>'WetLitterbags placem_collection'!E160</f>
        <v>42762</v>
      </c>
      <c r="V159" s="224">
        <f>IF('WetLitterbags placem_collection'!G160="","",'WetLitterbags placem_collection'!G160)</f>
        <v>42816</v>
      </c>
      <c r="W159" s="225">
        <f t="shared" si="10"/>
        <v>54</v>
      </c>
      <c r="X159" s="223">
        <f t="shared" si="13"/>
        <v>1.6908000000000001</v>
      </c>
      <c r="Y159" s="223">
        <f t="shared" si="14"/>
        <v>1.5911923023443486</v>
      </c>
      <c r="Z159">
        <f>IFERROR(INDEX([1]Rainfall_Wet!$O$2:$O$217,MATCH(C159, [1]Rainfall_Wet!$A$2:$A$217,0)),"")</f>
        <v>206.85140822299999</v>
      </c>
      <c r="AA159" s="226">
        <v>27.96</v>
      </c>
      <c r="AB159" s="226">
        <v>4.9200000000000017</v>
      </c>
      <c r="AC159" s="226">
        <v>67.12</v>
      </c>
      <c r="AD159" s="227" t="s">
        <v>2651</v>
      </c>
      <c r="AE159" s="226">
        <v>6.0437161163134503</v>
      </c>
      <c r="AF159">
        <f>IF('WetLitterbags placem_collection'!AB160="","",'WetLitterbags placem_collection'!AB160)</f>
        <v>1.9</v>
      </c>
      <c r="AG159">
        <f>IF('WetLitterbags placem_collection'!Z160="","",'WetLitterbags placem_collection'!Z160)</f>
        <v>4.3</v>
      </c>
      <c r="AH159" s="236" t="str">
        <f>IF('WetLitterbags placem_collection'!AA160="","",'WetLitterbags placem_collection'!AA160)</f>
        <v>O</v>
      </c>
      <c r="AI159">
        <f>IF('WetLitterbags placem_collection'!AC160="","",'WetLitterbags placem_collection'!AC160)</f>
        <v>0</v>
      </c>
      <c r="AJ159" s="233">
        <f>AVERAGE('WetLitterbags placem_collection'!S160,'WetLitterbags placem_collection'!U160)</f>
        <v>22.45</v>
      </c>
      <c r="AK159">
        <f>AVERAGE('WetLitterbags placem_collection'!R160,'WetLitterbags placem_collection'!T160)</f>
        <v>26.35</v>
      </c>
      <c r="AL159">
        <f>INDEX([2]Coordinates!$B$2:$B$197,MATCH(I159,[2]Coordinates!$J$2:$J$197,0))</f>
        <v>-2.3679270410000002</v>
      </c>
      <c r="AM159">
        <f>INDEX([2]Coordinates!$C$2:$C$197,MATCH(I159,[2]Coordinates!$J$2:$J$197,0))</f>
        <v>34.059300020000002</v>
      </c>
      <c r="AN159" t="str">
        <f>IF(ISNUMBER(SEARCH("C", 'WetLitterbags placem_collection'!$V160)),"YES","NO")</f>
        <v>NO</v>
      </c>
      <c r="AO159" t="str">
        <f>IF(ISNUMBER(SEARCH("H", 'WetLitterbags placem_collection'!$V160)),"YES","NO")</f>
        <v>YES</v>
      </c>
      <c r="AP159" t="str">
        <f>IF(ISNUMBER(SEARCH("R", 'WetLitterbags placem_collection'!$V160)),"YES","NO")</f>
        <v>YES</v>
      </c>
    </row>
    <row r="160" spans="1:42" ht="15" customHeight="1">
      <c r="A160" t="s">
        <v>3248</v>
      </c>
      <c r="B160" s="248" t="s">
        <v>2454</v>
      </c>
      <c r="C160" s="253">
        <f>'Dry_Litterbag Placem_Collection'!A161</f>
        <v>159</v>
      </c>
      <c r="D160" s="253" t="str">
        <f>'Dry_Litterbag Placem_Collection'!B161</f>
        <v xml:space="preserve">Mwantimba
</v>
      </c>
      <c r="E160" s="253" t="s">
        <v>2454</v>
      </c>
      <c r="F160" s="253" t="s">
        <v>20</v>
      </c>
      <c r="G160" s="253">
        <v>4</v>
      </c>
      <c r="H160" s="253" t="s">
        <v>3125</v>
      </c>
      <c r="I160" s="254" t="str">
        <f>'Dry_Litterbag Placem_Collection'!C161</f>
        <v>Wet_P4_T7</v>
      </c>
      <c r="J160" s="255" t="s">
        <v>2525</v>
      </c>
      <c r="K160" s="256" t="s">
        <v>1147</v>
      </c>
      <c r="L160" s="221" t="str">
        <f>'WetLitterbags placem_collection'!K161</f>
        <v>G829</v>
      </c>
      <c r="M160" s="223">
        <f>IFERROR(INDEX('Green_rooibos initial weight'!$C$5:$C$2000,MATCH(L160, 'Green_rooibos initial weight'!$A$5:$A$2000,0)),"")</f>
        <v>1.9610000000000001</v>
      </c>
      <c r="N160" s="223">
        <f>IFERROR(M160-(TBIcalc!$H$9+TBIcalc!$H$10),"")</f>
        <v>1.7112000000000001</v>
      </c>
      <c r="O160" s="378">
        <f>AVERAGE(Ashed_controlls!$K$2:$K$11)</f>
        <v>5.5147656768714146</v>
      </c>
      <c r="P160" s="223">
        <f t="shared" si="11"/>
        <v>1.6168313297373764</v>
      </c>
      <c r="Q160" s="223" t="str">
        <f>IFERROR(INDEX('Both teabags AfterWet'!$C$3:$C$840,MATCH(L160,'Both teabags AfterWet'!$A$3:$A$840,0)),"")</f>
        <v/>
      </c>
      <c r="R160" s="223" t="str">
        <f>IFERROR(IF(Q160&gt;0,Q160-(TBIcalc!$H$9),""),"")</f>
        <v/>
      </c>
      <c r="S160" s="223" t="str">
        <f>IFERROR(INDEX('Ashed teabags wet'!$K$2:$K$2000,MATCH(L160,'Ashed teabags wet'!$A$2:$A$2000,0)),"")</f>
        <v/>
      </c>
      <c r="T160" s="223" t="str">
        <f t="shared" si="12"/>
        <v/>
      </c>
      <c r="U160" s="224">
        <f>'WetLitterbags placem_collection'!E161</f>
        <v>42762</v>
      </c>
      <c r="V160" s="224">
        <f>IF('WetLitterbags placem_collection'!G161="","",'WetLitterbags placem_collection'!G161)</f>
        <v>42816</v>
      </c>
      <c r="W160" s="225">
        <f t="shared" si="10"/>
        <v>54</v>
      </c>
      <c r="X160" s="223" t="str">
        <f t="shared" si="13"/>
        <v/>
      </c>
      <c r="Y160" s="223" t="str">
        <f t="shared" si="14"/>
        <v/>
      </c>
      <c r="Z160">
        <f>IFERROR(INDEX([1]Rainfall_Wet!$O$2:$O$217,MATCH(C160, [1]Rainfall_Wet!$A$2:$A$217,0)),"")</f>
        <v>206.85140822299999</v>
      </c>
      <c r="AA160" s="226">
        <v>27.96</v>
      </c>
      <c r="AB160" s="226">
        <v>4.9200000000000017</v>
      </c>
      <c r="AC160" s="226">
        <v>67.12</v>
      </c>
      <c r="AD160" s="227" t="s">
        <v>2651</v>
      </c>
      <c r="AE160" s="226">
        <v>7.0437161163134503</v>
      </c>
      <c r="AF160">
        <f>IF('WetLitterbags placem_collection'!AB161="","",'WetLitterbags placem_collection'!AB161)</f>
        <v>2.65</v>
      </c>
      <c r="AG160">
        <f>IF('WetLitterbags placem_collection'!Z161="","",'WetLitterbags placem_collection'!Z161)</f>
        <v>0</v>
      </c>
      <c r="AH160" s="236" t="str">
        <f>IF('WetLitterbags placem_collection'!AA161="","",'WetLitterbags placem_collection'!AA161)</f>
        <v>G</v>
      </c>
      <c r="AI160">
        <f>IF('WetLitterbags placem_collection'!AC161="","",'WetLitterbags placem_collection'!AC161)</f>
        <v>1</v>
      </c>
      <c r="AJ160" s="233">
        <f>AVERAGE('WetLitterbags placem_collection'!S161,'WetLitterbags placem_collection'!U161)</f>
        <v>14.4</v>
      </c>
      <c r="AK160">
        <f>AVERAGE('WetLitterbags placem_collection'!R161,'WetLitterbags placem_collection'!T161)</f>
        <v>28</v>
      </c>
      <c r="AL160">
        <f>INDEX([2]Coordinates!$B$2:$B$197,MATCH(I160,[2]Coordinates!$J$2:$J$197,0))</f>
        <v>-2.3676829599999998</v>
      </c>
      <c r="AM160">
        <f>INDEX([2]Coordinates!$C$2:$C$197,MATCH(I160,[2]Coordinates!$J$2:$J$197,0))</f>
        <v>34.059236990000002</v>
      </c>
      <c r="AN160" t="str">
        <f>IF(ISNUMBER(SEARCH("C", 'WetLitterbags placem_collection'!$V161)),"YES","NO")</f>
        <v>NO</v>
      </c>
      <c r="AO160" t="str">
        <f>IF(ISNUMBER(SEARCH("H", 'WetLitterbags placem_collection'!$V161)),"YES","NO")</f>
        <v>NO</v>
      </c>
      <c r="AP160" t="str">
        <f>IF(ISNUMBER(SEARCH("R", 'WetLitterbags placem_collection'!$V161)),"YES","NO")</f>
        <v>NO</v>
      </c>
    </row>
    <row r="161" spans="1:42" ht="15" customHeight="1">
      <c r="A161" t="s">
        <v>3248</v>
      </c>
      <c r="B161" s="248" t="s">
        <v>2454</v>
      </c>
      <c r="C161" s="253">
        <f>'Dry_Litterbag Placem_Collection'!A162</f>
        <v>160</v>
      </c>
      <c r="D161" s="253" t="str">
        <f>'Dry_Litterbag Placem_Collection'!B162</f>
        <v xml:space="preserve">Mwantimba
</v>
      </c>
      <c r="E161" s="253" t="s">
        <v>2454</v>
      </c>
      <c r="F161" s="253" t="s">
        <v>20</v>
      </c>
      <c r="G161" s="253">
        <v>4</v>
      </c>
      <c r="H161" s="253" t="s">
        <v>3125</v>
      </c>
      <c r="I161" s="254" t="str">
        <f>'Dry_Litterbag Placem_Collection'!C162</f>
        <v>Wet_P4_T8</v>
      </c>
      <c r="J161" s="255" t="s">
        <v>2525</v>
      </c>
      <c r="K161" s="256" t="s">
        <v>1147</v>
      </c>
      <c r="L161" s="221" t="str">
        <f>'WetLitterbags placem_collection'!K162</f>
        <v>G809</v>
      </c>
      <c r="M161" s="223">
        <f>IFERROR(INDEX('Green_rooibos initial weight'!$C$5:$C$2000,MATCH(L161, 'Green_rooibos initial weight'!$A$5:$A$2000,0)),"")</f>
        <v>1.9279999999999999</v>
      </c>
      <c r="N161" s="223">
        <f>IFERROR(M161-(TBIcalc!$H$9+TBIcalc!$H$10),"")</f>
        <v>1.6781999999999999</v>
      </c>
      <c r="O161" s="378">
        <f>AVERAGE(Ashed_controlls!$K$2:$K$11)</f>
        <v>5.5147656768714146</v>
      </c>
      <c r="P161" s="223">
        <f t="shared" si="11"/>
        <v>1.5856512024107439</v>
      </c>
      <c r="Q161" s="223">
        <f>IFERROR(INDEX('Both teabags AfterWet'!$C$3:$C$840,MATCH(L161,'Both teabags AfterWet'!$A$3:$A$840,0)),"")</f>
        <v>0.72</v>
      </c>
      <c r="R161" s="223">
        <f>IFERROR(IF(Q161&gt;0,Q161-(TBIcalc!$H$9),""),"")</f>
        <v>0.56939999999999991</v>
      </c>
      <c r="S161" s="223">
        <f>IFERROR(INDEX('Ashed teabags wet'!$K$2:$K$2000,MATCH(L161,'Ashed teabags wet'!$A$2:$A$2000,0)),"")</f>
        <v>14.278846153846089</v>
      </c>
      <c r="T161" s="223">
        <f t="shared" si="12"/>
        <v>0.48809625000000029</v>
      </c>
      <c r="U161" s="224">
        <f>'WetLitterbags placem_collection'!E162</f>
        <v>42762</v>
      </c>
      <c r="V161" s="224">
        <f>IF('WetLitterbags placem_collection'!G162="","",'WetLitterbags placem_collection'!G162)</f>
        <v>42816</v>
      </c>
      <c r="W161" s="225">
        <f t="shared" si="10"/>
        <v>54</v>
      </c>
      <c r="X161" s="223">
        <f t="shared" si="13"/>
        <v>1.1088</v>
      </c>
      <c r="Y161" s="223">
        <f t="shared" si="14"/>
        <v>1.0975549524107435</v>
      </c>
      <c r="Z161">
        <f>IFERROR(INDEX([1]Rainfall_Wet!$O$2:$O$217,MATCH(C161, [1]Rainfall_Wet!$A$2:$A$217,0)),"")</f>
        <v>206.85140822299999</v>
      </c>
      <c r="AA161" s="226">
        <v>27.96</v>
      </c>
      <c r="AB161" s="226">
        <v>4.9200000000000017</v>
      </c>
      <c r="AC161" s="226">
        <v>67.12</v>
      </c>
      <c r="AD161" s="227" t="s">
        <v>2651</v>
      </c>
      <c r="AE161" s="226">
        <v>8.0437161163134494</v>
      </c>
      <c r="AF161">
        <f>IF('WetLitterbags placem_collection'!AB162="","",'WetLitterbags placem_collection'!AB162)</f>
        <v>0.8</v>
      </c>
      <c r="AG161">
        <f>IF('WetLitterbags placem_collection'!Z162="","",'WetLitterbags placem_collection'!Z162)</f>
        <v>10.8</v>
      </c>
      <c r="AH161" s="236" t="str">
        <f>IF('WetLitterbags placem_collection'!AA162="","",'WetLitterbags placem_collection'!AA162)</f>
        <v>O</v>
      </c>
      <c r="AI161">
        <f>IF('WetLitterbags placem_collection'!AC162="","",'WetLitterbags placem_collection'!AC162)</f>
        <v>0</v>
      </c>
      <c r="AJ161" s="233">
        <f>AVERAGE('WetLitterbags placem_collection'!S162,'WetLitterbags placem_collection'!U162)</f>
        <v>16.5</v>
      </c>
      <c r="AK161">
        <f>AVERAGE('WetLitterbags placem_collection'!R162,'WetLitterbags placem_collection'!T162)</f>
        <v>27.15</v>
      </c>
      <c r="AL161">
        <f>INDEX([2]Coordinates!$B$2:$B$197,MATCH(I161,[2]Coordinates!$J$2:$J$197,0))</f>
        <v>-2.367547005</v>
      </c>
      <c r="AM161">
        <f>INDEX([2]Coordinates!$C$2:$C$197,MATCH(I161,[2]Coordinates!$J$2:$J$197,0))</f>
        <v>34.059494989999997</v>
      </c>
      <c r="AN161" t="str">
        <f>IF(ISNUMBER(SEARCH("C", 'WetLitterbags placem_collection'!$V162)),"YES","NO")</f>
        <v>NO</v>
      </c>
      <c r="AO161" t="str">
        <f>IF(ISNUMBER(SEARCH("H", 'WetLitterbags placem_collection'!$V162)),"YES","NO")</f>
        <v>NO</v>
      </c>
      <c r="AP161" t="str">
        <f>IF(ISNUMBER(SEARCH("R", 'WetLitterbags placem_collection'!$V162)),"YES","NO")</f>
        <v>YES</v>
      </c>
    </row>
    <row r="162" spans="1:42" ht="15" customHeight="1">
      <c r="A162" t="s">
        <v>3248</v>
      </c>
      <c r="B162" s="248" t="s">
        <v>2454</v>
      </c>
      <c r="C162" s="253">
        <f>'Dry_Litterbag Placem_Collection'!A163</f>
        <v>161</v>
      </c>
      <c r="D162" s="253" t="str">
        <f>'Dry_Litterbag Placem_Collection'!B163</f>
        <v>Handajega</v>
      </c>
      <c r="E162" s="253" t="s">
        <v>2454</v>
      </c>
      <c r="F162" s="253" t="s">
        <v>2645</v>
      </c>
      <c r="G162" s="253">
        <v>1</v>
      </c>
      <c r="H162" s="253" t="s">
        <v>3126</v>
      </c>
      <c r="I162" s="254" t="str">
        <f>'Dry_Litterbag Placem_Collection'!C163</f>
        <v>Wet_W1_T1</v>
      </c>
      <c r="J162" s="255" t="s">
        <v>2525</v>
      </c>
      <c r="K162" s="256" t="s">
        <v>1147</v>
      </c>
      <c r="L162" s="221" t="str">
        <f>'WetLitterbags placem_collection'!K163</f>
        <v>G352</v>
      </c>
      <c r="M162" s="223">
        <f>IFERROR(INDEX('Green_rooibos initial weight'!$C$5:$C$2000,MATCH(L162, 'Green_rooibos initial weight'!$A$5:$A$2000,0)),"")</f>
        <v>1.9490000000000001</v>
      </c>
      <c r="N162" s="223">
        <f>IFERROR(M162-(TBIcalc!$H$9+TBIcalc!$H$10),"")</f>
        <v>1.6992</v>
      </c>
      <c r="O162" s="378">
        <f>AVERAGE(Ashed_controlls!$K$2:$K$11)</f>
        <v>5.5147656768714146</v>
      </c>
      <c r="P162" s="223">
        <f t="shared" si="11"/>
        <v>1.6054931016186009</v>
      </c>
      <c r="Q162" s="223">
        <f>IFERROR(INDEX('Both teabags AfterWet'!$C$3:$C$840,MATCH(L162,'Both teabags AfterWet'!$A$3:$A$840,0)),"")</f>
        <v>0.57509999999999994</v>
      </c>
      <c r="R162" s="223">
        <f>IFERROR(IF(Q162&gt;0,Q162-(TBIcalc!$H$9),""),"")</f>
        <v>0.42449999999999993</v>
      </c>
      <c r="S162" s="223">
        <f>IFERROR(INDEX('Ashed teabags wet'!$K$2:$K$2000,MATCH(L162,'Ashed teabags wet'!$A$2:$A$2000,0)),"")</f>
        <v>6.9085487077541252</v>
      </c>
      <c r="T162" s="223">
        <f t="shared" si="12"/>
        <v>0.3951732107355837</v>
      </c>
      <c r="U162" s="224">
        <f>'WetLitterbags placem_collection'!E163</f>
        <v>42763</v>
      </c>
      <c r="V162" s="224">
        <f>IF('WetLitterbags placem_collection'!G163="","",'WetLitterbags placem_collection'!G163)</f>
        <v>42814</v>
      </c>
      <c r="W162" s="225">
        <f t="shared" si="10"/>
        <v>51</v>
      </c>
      <c r="X162" s="223">
        <f t="shared" si="13"/>
        <v>1.2747000000000002</v>
      </c>
      <c r="Y162" s="223">
        <f t="shared" si="14"/>
        <v>1.2103198908830173</v>
      </c>
      <c r="Z162">
        <f>IFERROR(INDEX([1]Rainfall_Wet!$O$2:$O$217,MATCH(C162, [1]Rainfall_Wet!$A$2:$A$217,0)),"")</f>
        <v>181.383442621</v>
      </c>
      <c r="AA162" s="226">
        <v>21.96</v>
      </c>
      <c r="AB162" s="226">
        <v>4.9199999999999982</v>
      </c>
      <c r="AC162" s="226">
        <v>73.12</v>
      </c>
      <c r="AD162" s="227" t="s">
        <v>2651</v>
      </c>
      <c r="AE162" s="226">
        <v>1.2416954164613114</v>
      </c>
      <c r="AF162">
        <f>IF('WetLitterbags placem_collection'!AB163="","",'WetLitterbags placem_collection'!AB163)</f>
        <v>7.6</v>
      </c>
      <c r="AG162">
        <f>IF('WetLitterbags placem_collection'!Z163="","",'WetLitterbags placem_collection'!Z163)</f>
        <v>35.799999999999997</v>
      </c>
      <c r="AH162" s="236" t="str">
        <f>IF('WetLitterbags placem_collection'!AA163="","",'WetLitterbags placem_collection'!AA163)</f>
        <v>M</v>
      </c>
      <c r="AI162">
        <f>IF('WetLitterbags placem_collection'!AC163="","",'WetLitterbags placem_collection'!AC163)</f>
        <v>0</v>
      </c>
      <c r="AJ162" s="233">
        <f>AVERAGE('WetLitterbags placem_collection'!S163,'WetLitterbags placem_collection'!U163)</f>
        <v>11.100000000000001</v>
      </c>
      <c r="AK162">
        <f>AVERAGE('WetLitterbags placem_collection'!R163,'WetLitterbags placem_collection'!T163)</f>
        <v>33.6</v>
      </c>
      <c r="AL162">
        <f>INDEX([2]Coordinates!$B$2:$B$197,MATCH(I162,[2]Coordinates!$J$2:$J$197,0))</f>
        <v>-2.272751033</v>
      </c>
      <c r="AM162">
        <f>INDEX([2]Coordinates!$C$2:$C$197,MATCH(I162,[2]Coordinates!$J$2:$J$197,0))</f>
        <v>34.023176030000002</v>
      </c>
      <c r="AN162" t="str">
        <f>IF(ISNUMBER(SEARCH("C", 'WetLitterbags placem_collection'!$V163)),"YES","NO")</f>
        <v>NO</v>
      </c>
      <c r="AO162" t="str">
        <f>IF(ISNUMBER(SEARCH("H", 'WetLitterbags placem_collection'!$V163)),"YES","NO")</f>
        <v>NO</v>
      </c>
      <c r="AP162" t="str">
        <f>IF(ISNUMBER(SEARCH("R", 'WetLitterbags placem_collection'!$V163)),"YES","NO")</f>
        <v>NO</v>
      </c>
    </row>
    <row r="163" spans="1:42" ht="15" customHeight="1">
      <c r="A163" t="s">
        <v>3248</v>
      </c>
      <c r="B163" s="248" t="s">
        <v>2454</v>
      </c>
      <c r="C163" s="253">
        <f>'Dry_Litterbag Placem_Collection'!A164</f>
        <v>162</v>
      </c>
      <c r="D163" s="253" t="str">
        <f>'Dry_Litterbag Placem_Collection'!B164</f>
        <v>Handajega</v>
      </c>
      <c r="E163" s="253" t="s">
        <v>2454</v>
      </c>
      <c r="F163" s="253" t="s">
        <v>2645</v>
      </c>
      <c r="G163" s="253">
        <v>1</v>
      </c>
      <c r="H163" s="253" t="s">
        <v>3126</v>
      </c>
      <c r="I163" s="254" t="str">
        <f>'Dry_Litterbag Placem_Collection'!C164</f>
        <v>Wet_W1_T2</v>
      </c>
      <c r="J163" s="255" t="s">
        <v>2525</v>
      </c>
      <c r="K163" s="256" t="s">
        <v>1147</v>
      </c>
      <c r="L163" s="221" t="str">
        <f>'WetLitterbags placem_collection'!K164</f>
        <v>G385</v>
      </c>
      <c r="M163" s="223">
        <f>IFERROR(INDEX('Green_rooibos initial weight'!$C$5:$C$2000,MATCH(L163, 'Green_rooibos initial weight'!$A$5:$A$2000,0)),"")</f>
        <v>1.962</v>
      </c>
      <c r="N163" s="223">
        <f>IFERROR(M163-(TBIcalc!$H$9+TBIcalc!$H$10),"")</f>
        <v>1.7121999999999999</v>
      </c>
      <c r="O163" s="378">
        <f>AVERAGE(Ashed_controlls!$K$2:$K$11)</f>
        <v>5.5147656768714146</v>
      </c>
      <c r="P163" s="223">
        <f t="shared" si="11"/>
        <v>1.6177761820806076</v>
      </c>
      <c r="Q163" s="223">
        <f>IFERROR(INDEX('Both teabags AfterWet'!$C$3:$C$840,MATCH(L163,'Both teabags AfterWet'!$A$3:$A$840,0)),"")</f>
        <v>0.62280000000000002</v>
      </c>
      <c r="R163" s="223">
        <f>IFERROR(IF(Q163&gt;0,Q163-(TBIcalc!$H$9),""),"")</f>
        <v>0.47220000000000001</v>
      </c>
      <c r="S163" s="223">
        <f>IFERROR(INDEX('Ashed teabags wet'!$K$2:$K$2000,MATCH(L163,'Ashed teabags wet'!$A$2:$A$2000,0)),"")</f>
        <v>8.5545722713864567</v>
      </c>
      <c r="T163" s="223">
        <f t="shared" si="12"/>
        <v>0.43180530973451314</v>
      </c>
      <c r="U163" s="224">
        <f>'WetLitterbags placem_collection'!E164</f>
        <v>42763</v>
      </c>
      <c r="V163" s="224">
        <f>IF('WetLitterbags placem_collection'!G164="","",'WetLitterbags placem_collection'!G164)</f>
        <v>42814</v>
      </c>
      <c r="W163" s="225">
        <f t="shared" si="10"/>
        <v>51</v>
      </c>
      <c r="X163" s="223">
        <f t="shared" si="13"/>
        <v>1.24</v>
      </c>
      <c r="Y163" s="223">
        <f t="shared" si="14"/>
        <v>1.1859708723460944</v>
      </c>
      <c r="Z163">
        <f>IFERROR(INDEX([1]Rainfall_Wet!$O$2:$O$217,MATCH(C163, [1]Rainfall_Wet!$A$2:$A$217,0)),"")</f>
        <v>181.383442621</v>
      </c>
      <c r="AA163" s="226">
        <v>21.96</v>
      </c>
      <c r="AB163" s="226">
        <v>4.9199999999999982</v>
      </c>
      <c r="AC163" s="226">
        <v>73.12</v>
      </c>
      <c r="AD163" s="227" t="s">
        <v>2651</v>
      </c>
      <c r="AE163" s="226">
        <v>2.2416954164613099</v>
      </c>
      <c r="AF163">
        <f>IF('WetLitterbags placem_collection'!AB164="","",'WetLitterbags placem_collection'!AB164)</f>
        <v>4.0999999999999996</v>
      </c>
      <c r="AG163">
        <f>IF('WetLitterbags placem_collection'!Z164="","",'WetLitterbags placem_collection'!Z164)</f>
        <v>31.4</v>
      </c>
      <c r="AH163" s="236" t="str">
        <f>IF('WetLitterbags placem_collection'!AA164="","",'WetLitterbags placem_collection'!AA164)</f>
        <v>M</v>
      </c>
      <c r="AI163">
        <f>IF('WetLitterbags placem_collection'!AC164="","",'WetLitterbags placem_collection'!AC164)</f>
        <v>0</v>
      </c>
      <c r="AJ163" s="233">
        <f>AVERAGE('WetLitterbags placem_collection'!S164,'WetLitterbags placem_collection'!U164)</f>
        <v>9.35</v>
      </c>
      <c r="AK163">
        <f>AVERAGE('WetLitterbags placem_collection'!R164,'WetLitterbags placem_collection'!T164)</f>
        <v>34.450000000000003</v>
      </c>
      <c r="AL163">
        <f>INDEX([2]Coordinates!$B$2:$B$197,MATCH(I163,[2]Coordinates!$J$2:$J$197,0))</f>
        <v>-2.2727060219999999</v>
      </c>
      <c r="AM163">
        <f>INDEX([2]Coordinates!$C$2:$C$197,MATCH(I163,[2]Coordinates!$J$2:$J$197,0))</f>
        <v>34.023162030000002</v>
      </c>
      <c r="AN163" t="str">
        <f>IF(ISNUMBER(SEARCH("C", 'WetLitterbags placem_collection'!$V164)),"YES","NO")</f>
        <v>NO</v>
      </c>
      <c r="AO163" t="str">
        <f>IF(ISNUMBER(SEARCH("H", 'WetLitterbags placem_collection'!$V164)),"YES","NO")</f>
        <v>NO</v>
      </c>
      <c r="AP163" t="str">
        <f>IF(ISNUMBER(SEARCH("R", 'WetLitterbags placem_collection'!$V164)),"YES","NO")</f>
        <v>NO</v>
      </c>
    </row>
    <row r="164" spans="1:42" ht="15" customHeight="1">
      <c r="A164" t="s">
        <v>3248</v>
      </c>
      <c r="B164" s="248" t="s">
        <v>2454</v>
      </c>
      <c r="C164" s="253">
        <f>'Dry_Litterbag Placem_Collection'!A165</f>
        <v>163</v>
      </c>
      <c r="D164" s="253" t="str">
        <f>'Dry_Litterbag Placem_Collection'!B165</f>
        <v>Handajega</v>
      </c>
      <c r="E164" s="253" t="s">
        <v>2454</v>
      </c>
      <c r="F164" s="253" t="s">
        <v>2645</v>
      </c>
      <c r="G164" s="253">
        <v>1</v>
      </c>
      <c r="H164" s="253" t="s">
        <v>3126</v>
      </c>
      <c r="I164" s="254" t="str">
        <f>'Dry_Litterbag Placem_Collection'!C165</f>
        <v>Wet_W1_T3</v>
      </c>
      <c r="J164" s="255" t="s">
        <v>2525</v>
      </c>
      <c r="K164" s="256" t="s">
        <v>1147</v>
      </c>
      <c r="L164" s="221" t="str">
        <f>'WetLitterbags placem_collection'!K165</f>
        <v>G202</v>
      </c>
      <c r="M164" s="223">
        <f>IFERROR(INDEX('Green_rooibos initial weight'!$C$5:$C$2000,MATCH(L164, 'Green_rooibos initial weight'!$A$5:$A$2000,0)),"")</f>
        <v>1.986</v>
      </c>
      <c r="N164" s="223">
        <f>IFERROR(M164-(TBIcalc!$H$9+TBIcalc!$H$10),"")</f>
        <v>1.7362</v>
      </c>
      <c r="O164" s="378">
        <f>AVERAGE(Ashed_controlls!$K$2:$K$11)</f>
        <v>5.5147656768714146</v>
      </c>
      <c r="P164" s="223">
        <f t="shared" si="11"/>
        <v>1.6404526383181586</v>
      </c>
      <c r="Q164" s="223">
        <f>IFERROR(INDEX('Both teabags AfterWet'!$C$3:$C$840,MATCH(L164,'Both teabags AfterWet'!$A$3:$A$840,0)),"")</f>
        <v>0.64500000000000002</v>
      </c>
      <c r="R164" s="223">
        <f>IFERROR(IF(Q164&gt;0,Q164-(TBIcalc!$H$9),""),"")</f>
        <v>0.49440000000000001</v>
      </c>
      <c r="S164" s="223">
        <f>IFERROR(INDEX('Ashed teabags wet'!$K$2:$K$2000,MATCH(L164,'Ashed teabags wet'!$A$2:$A$2000,0)),"")</f>
        <v>9.4152626362733951</v>
      </c>
      <c r="T164" s="223">
        <f t="shared" si="12"/>
        <v>0.44785094152626437</v>
      </c>
      <c r="U164" s="224">
        <f>'WetLitterbags placem_collection'!E165</f>
        <v>42763</v>
      </c>
      <c r="V164" s="224">
        <f>IF('WetLitterbags placem_collection'!G165="","",'WetLitterbags placem_collection'!G165)</f>
        <v>42814</v>
      </c>
      <c r="W164" s="225">
        <f t="shared" si="10"/>
        <v>51</v>
      </c>
      <c r="X164" s="223">
        <f t="shared" si="13"/>
        <v>1.2418</v>
      </c>
      <c r="Y164" s="223">
        <f t="shared" si="14"/>
        <v>1.1926016967918942</v>
      </c>
      <c r="Z164">
        <f>IFERROR(INDEX([1]Rainfall_Wet!$O$2:$O$217,MATCH(C164, [1]Rainfall_Wet!$A$2:$A$217,0)),"")</f>
        <v>181.383442621</v>
      </c>
      <c r="AA164" s="226">
        <v>21.96</v>
      </c>
      <c r="AB164" s="226">
        <v>4.9199999999999982</v>
      </c>
      <c r="AC164" s="226">
        <v>73.12</v>
      </c>
      <c r="AD164" s="227" t="s">
        <v>2651</v>
      </c>
      <c r="AE164" s="226">
        <v>3.2416954164613099</v>
      </c>
      <c r="AF164">
        <f>IF('WetLitterbags placem_collection'!AB165="","",'WetLitterbags placem_collection'!AB165)</f>
        <v>7.8</v>
      </c>
      <c r="AG164">
        <f>IF('WetLitterbags placem_collection'!Z165="","",'WetLitterbags placem_collection'!Z165)</f>
        <v>28.8</v>
      </c>
      <c r="AH164" s="236" t="str">
        <f>IF('WetLitterbags placem_collection'!AA165="","",'WetLitterbags placem_collection'!AA165)</f>
        <v>M</v>
      </c>
      <c r="AI164">
        <f>IF('WetLitterbags placem_collection'!AC165="","",'WetLitterbags placem_collection'!AC165)</f>
        <v>0</v>
      </c>
      <c r="AJ164" s="233">
        <f>AVERAGE('WetLitterbags placem_collection'!S165,'WetLitterbags placem_collection'!U165)</f>
        <v>9.3000000000000007</v>
      </c>
      <c r="AK164">
        <f>AVERAGE('WetLitterbags placem_collection'!R165,'WetLitterbags placem_collection'!T165)</f>
        <v>33.5</v>
      </c>
      <c r="AL164">
        <f>INDEX([2]Coordinates!$B$2:$B$197,MATCH(I164,[2]Coordinates!$J$2:$J$197,0))</f>
        <v>-2.2726719919999998</v>
      </c>
      <c r="AM164">
        <f>INDEX([2]Coordinates!$C$2:$C$197,MATCH(I164,[2]Coordinates!$J$2:$J$197,0))</f>
        <v>34.023210980000002</v>
      </c>
      <c r="AN164" t="str">
        <f>IF(ISNUMBER(SEARCH("C", 'WetLitterbags placem_collection'!$V165)),"YES","NO")</f>
        <v>NO</v>
      </c>
      <c r="AO164" t="str">
        <f>IF(ISNUMBER(SEARCH("H", 'WetLitterbags placem_collection'!$V165)),"YES","NO")</f>
        <v>YES</v>
      </c>
      <c r="AP164" t="str">
        <f>IF(ISNUMBER(SEARCH("R", 'WetLitterbags placem_collection'!$V165)),"YES","NO")</f>
        <v>NO</v>
      </c>
    </row>
    <row r="165" spans="1:42" ht="15" customHeight="1">
      <c r="A165" t="s">
        <v>3248</v>
      </c>
      <c r="B165" s="248" t="s">
        <v>2454</v>
      </c>
      <c r="C165" s="253">
        <f>'Dry_Litterbag Placem_Collection'!A166</f>
        <v>164</v>
      </c>
      <c r="D165" s="253" t="str">
        <f>'Dry_Litterbag Placem_Collection'!B166</f>
        <v>Handajega</v>
      </c>
      <c r="E165" s="253" t="s">
        <v>2454</v>
      </c>
      <c r="F165" s="253" t="s">
        <v>2645</v>
      </c>
      <c r="G165" s="253">
        <v>1</v>
      </c>
      <c r="H165" s="253" t="s">
        <v>3126</v>
      </c>
      <c r="I165" s="254" t="str">
        <f>'Dry_Litterbag Placem_Collection'!C166</f>
        <v>Wet_W1_T4</v>
      </c>
      <c r="J165" s="255" t="s">
        <v>2525</v>
      </c>
      <c r="K165" s="256" t="s">
        <v>1147</v>
      </c>
      <c r="L165" s="221" t="str">
        <f>'WetLitterbags placem_collection'!K166</f>
        <v>G686</v>
      </c>
      <c r="M165" s="223">
        <f>IFERROR(INDEX('Green_rooibos initial weight'!$C$5:$C$2000,MATCH(L165, 'Green_rooibos initial weight'!$A$5:$A$2000,0)),"")</f>
        <v>1.9510000000000001</v>
      </c>
      <c r="N165" s="223">
        <f>IFERROR(M165-(TBIcalc!$H$9+TBIcalc!$H$10),"")</f>
        <v>1.7012</v>
      </c>
      <c r="O165" s="378">
        <f>AVERAGE(Ashed_controlls!$K$2:$K$11)</f>
        <v>5.5147656768714146</v>
      </c>
      <c r="P165" s="223">
        <f t="shared" si="11"/>
        <v>1.6073828063050635</v>
      </c>
      <c r="Q165" s="223">
        <f>IFERROR(INDEX('Both teabags AfterWet'!$C$3:$C$840,MATCH(L165,'Both teabags AfterWet'!$A$3:$A$840,0)),"")</f>
        <v>0.628</v>
      </c>
      <c r="R165" s="223">
        <f>IFERROR(IF(Q165&gt;0,Q165-(TBIcalc!$H$9),""),"")</f>
        <v>0.47739999999999999</v>
      </c>
      <c r="S165" s="223">
        <f>IFERROR(INDEX('Ashed teabags wet'!$K$2:$K$2000,MATCH(L165,'Ashed teabags wet'!$A$2:$A$2000,0)),"")</f>
        <v>9.7268806899849256</v>
      </c>
      <c r="T165" s="223">
        <f t="shared" si="12"/>
        <v>0.43096387158601196</v>
      </c>
      <c r="U165" s="224">
        <f>'WetLitterbags placem_collection'!E166</f>
        <v>42763</v>
      </c>
      <c r="V165" s="224">
        <f>IF('WetLitterbags placem_collection'!G166="","",'WetLitterbags placem_collection'!G166)</f>
        <v>42814</v>
      </c>
      <c r="W165" s="225">
        <f t="shared" si="10"/>
        <v>51</v>
      </c>
      <c r="X165" s="223">
        <f t="shared" si="13"/>
        <v>1.2238</v>
      </c>
      <c r="Y165" s="223">
        <f t="shared" si="14"/>
        <v>1.1764189347190515</v>
      </c>
      <c r="Z165">
        <f>IFERROR(INDEX([1]Rainfall_Wet!$O$2:$O$217,MATCH(C165, [1]Rainfall_Wet!$A$2:$A$217,0)),"")</f>
        <v>181.383442621</v>
      </c>
      <c r="AA165" s="226">
        <v>21.96</v>
      </c>
      <c r="AB165" s="226">
        <v>4.9199999999999982</v>
      </c>
      <c r="AC165" s="226">
        <v>73.12</v>
      </c>
      <c r="AD165" s="227" t="s">
        <v>2651</v>
      </c>
      <c r="AE165" s="226">
        <v>4.2416954164613099</v>
      </c>
      <c r="AF165">
        <f>IF('WetLitterbags placem_collection'!AB166="","",'WetLitterbags placem_collection'!AB166)</f>
        <v>9.5</v>
      </c>
      <c r="AG165">
        <f>IF('WetLitterbags placem_collection'!Z166="","",'WetLitterbags placem_collection'!Z166)</f>
        <v>20.8</v>
      </c>
      <c r="AH165" s="236" t="str">
        <f>IF('WetLitterbags placem_collection'!AA166="","",'WetLitterbags placem_collection'!AA166)</f>
        <v>M</v>
      </c>
      <c r="AI165">
        <f>IF('WetLitterbags placem_collection'!AC166="","",'WetLitterbags placem_collection'!AC166)</f>
        <v>0</v>
      </c>
      <c r="AJ165" s="233">
        <f>AVERAGE('WetLitterbags placem_collection'!S166,'WetLitterbags placem_collection'!U166)</f>
        <v>9.25</v>
      </c>
      <c r="AK165">
        <f>AVERAGE('WetLitterbags placem_collection'!R166,'WetLitterbags placem_collection'!T166)</f>
        <v>33.799999999999997</v>
      </c>
      <c r="AL165">
        <f>INDEX([2]Coordinates!$B$2:$B$197,MATCH(I165,[2]Coordinates!$J$2:$J$197,0))</f>
        <v>-2.2726180130000002</v>
      </c>
      <c r="AM165">
        <f>INDEX([2]Coordinates!$C$2:$C$197,MATCH(I165,[2]Coordinates!$J$2:$J$197,0))</f>
        <v>34.023212999999998</v>
      </c>
      <c r="AN165" t="str">
        <f>IF(ISNUMBER(SEARCH("C", 'WetLitterbags placem_collection'!$V166)),"YES","NO")</f>
        <v>NO</v>
      </c>
      <c r="AO165" t="str">
        <f>IF(ISNUMBER(SEARCH("H", 'WetLitterbags placem_collection'!$V166)),"YES","NO")</f>
        <v>NO</v>
      </c>
      <c r="AP165" t="str">
        <f>IF(ISNUMBER(SEARCH("R", 'WetLitterbags placem_collection'!$V166)),"YES","NO")</f>
        <v>NO</v>
      </c>
    </row>
    <row r="166" spans="1:42" ht="15" customHeight="1">
      <c r="A166" t="s">
        <v>3248</v>
      </c>
      <c r="B166" s="248" t="s">
        <v>2454</v>
      </c>
      <c r="C166" s="253">
        <f>'Dry_Litterbag Placem_Collection'!A167</f>
        <v>165</v>
      </c>
      <c r="D166" s="253" t="str">
        <f>'Dry_Litterbag Placem_Collection'!B167</f>
        <v>Handajega</v>
      </c>
      <c r="E166" s="253" t="s">
        <v>2454</v>
      </c>
      <c r="F166" s="253" t="s">
        <v>2645</v>
      </c>
      <c r="G166" s="253">
        <v>1</v>
      </c>
      <c r="H166" s="253" t="s">
        <v>3126</v>
      </c>
      <c r="I166" s="254" t="str">
        <f>'Dry_Litterbag Placem_Collection'!C167</f>
        <v>Wet_W1_T5</v>
      </c>
      <c r="J166" s="255" t="s">
        <v>2525</v>
      </c>
      <c r="K166" s="256" t="s">
        <v>1147</v>
      </c>
      <c r="L166" s="221" t="str">
        <f>'WetLitterbags placem_collection'!K167</f>
        <v>G368</v>
      </c>
      <c r="M166" s="223">
        <f>IFERROR(INDEX('Green_rooibos initial weight'!$C$5:$C$2000,MATCH(L166, 'Green_rooibos initial weight'!$A$5:$A$2000,0)),"")</f>
        <v>2.1709999999999998</v>
      </c>
      <c r="N166" s="223">
        <f>IFERROR(M166-(TBIcalc!$H$9+TBIcalc!$H$10),"")</f>
        <v>1.9211999999999998</v>
      </c>
      <c r="O166" s="378">
        <f>AVERAGE(Ashed_controlls!$K$2:$K$11)</f>
        <v>5.5147656768714146</v>
      </c>
      <c r="P166" s="223">
        <f t="shared" si="11"/>
        <v>1.8152503218159461</v>
      </c>
      <c r="Q166" s="223">
        <f>IFERROR(INDEX('Both teabags AfterWet'!$C$3:$C$840,MATCH(L166,'Both teabags AfterWet'!$A$3:$A$840,0)),"")</f>
        <v>0.72699999999999998</v>
      </c>
      <c r="R166" s="223">
        <f>IFERROR(IF(Q166&gt;0,Q166-(TBIcalc!$H$9),""),"")</f>
        <v>0.57640000000000002</v>
      </c>
      <c r="S166" s="223">
        <f>IFERROR(INDEX('Ashed teabags wet'!$K$2:$K$2000,MATCH(L166,'Ashed teabags wet'!$A$2:$A$2000,0)),"")</f>
        <v>7.2371638141808248</v>
      </c>
      <c r="T166" s="223">
        <f t="shared" si="12"/>
        <v>0.53468498777506179</v>
      </c>
      <c r="U166" s="224">
        <f>'WetLitterbags placem_collection'!E167</f>
        <v>42763</v>
      </c>
      <c r="V166" s="224">
        <f>IF('WetLitterbags placem_collection'!G167="","",'WetLitterbags placem_collection'!G167)</f>
        <v>42814</v>
      </c>
      <c r="W166" s="225">
        <f t="shared" si="10"/>
        <v>51</v>
      </c>
      <c r="X166" s="223">
        <f t="shared" si="13"/>
        <v>1.3447999999999998</v>
      </c>
      <c r="Y166" s="223">
        <f t="shared" si="14"/>
        <v>1.2805653340408845</v>
      </c>
      <c r="Z166">
        <f>IFERROR(INDEX([1]Rainfall_Wet!$O$2:$O$217,MATCH(C166, [1]Rainfall_Wet!$A$2:$A$217,0)),"")</f>
        <v>181.383442621</v>
      </c>
      <c r="AA166" s="226">
        <v>21.96</v>
      </c>
      <c r="AB166" s="226">
        <v>4.9199999999999982</v>
      </c>
      <c r="AC166" s="226">
        <v>73.12</v>
      </c>
      <c r="AD166" s="227" t="s">
        <v>2651</v>
      </c>
      <c r="AE166" s="226">
        <v>5.2416954164613099</v>
      </c>
      <c r="AF166">
        <f>IF('WetLitterbags placem_collection'!AB167="","",'WetLitterbags placem_collection'!AB167)</f>
        <v>10.4</v>
      </c>
      <c r="AG166">
        <f>IF('WetLitterbags placem_collection'!Z167="","",'WetLitterbags placem_collection'!Z167)</f>
        <v>13.8</v>
      </c>
      <c r="AH166" s="236" t="str">
        <f>IF('WetLitterbags placem_collection'!AA167="","",'WetLitterbags placem_collection'!AA167)</f>
        <v>M</v>
      </c>
      <c r="AI166">
        <f>IF('WetLitterbags placem_collection'!AC167="","",'WetLitterbags placem_collection'!AC167)</f>
        <v>0</v>
      </c>
      <c r="AJ166" s="233">
        <f>AVERAGE('WetLitterbags placem_collection'!S167,'WetLitterbags placem_collection'!U167)</f>
        <v>12</v>
      </c>
      <c r="AK166">
        <f>AVERAGE('WetLitterbags placem_collection'!R167,'WetLitterbags placem_collection'!T167)</f>
        <v>31.5</v>
      </c>
      <c r="AL166">
        <f>INDEX([2]Coordinates!$B$2:$B$197,MATCH(I166,[2]Coordinates!$J$2:$J$197,0))</f>
        <v>-2.2724750170000001</v>
      </c>
      <c r="AM166">
        <f>INDEX([2]Coordinates!$C$2:$C$197,MATCH(I166,[2]Coordinates!$J$2:$J$197,0))</f>
        <v>34.02334501</v>
      </c>
      <c r="AN166" t="str">
        <f>IF(ISNUMBER(SEARCH("C", 'WetLitterbags placem_collection'!$V167)),"YES","NO")</f>
        <v>NO</v>
      </c>
      <c r="AO166" t="str">
        <f>IF(ISNUMBER(SEARCH("H", 'WetLitterbags placem_collection'!$V167)),"YES","NO")</f>
        <v>NO</v>
      </c>
      <c r="AP166" t="str">
        <f>IF(ISNUMBER(SEARCH("R", 'WetLitterbags placem_collection'!$V167)),"YES","NO")</f>
        <v>NO</v>
      </c>
    </row>
    <row r="167" spans="1:42" ht="15" customHeight="1">
      <c r="A167" t="s">
        <v>3248</v>
      </c>
      <c r="B167" s="248" t="s">
        <v>2454</v>
      </c>
      <c r="C167" s="253">
        <f>'Dry_Litterbag Placem_Collection'!A168</f>
        <v>166</v>
      </c>
      <c r="D167" s="253" t="str">
        <f>'Dry_Litterbag Placem_Collection'!B168</f>
        <v>Handajega</v>
      </c>
      <c r="E167" s="253" t="s">
        <v>2454</v>
      </c>
      <c r="F167" s="253" t="s">
        <v>2645</v>
      </c>
      <c r="G167" s="253">
        <v>1</v>
      </c>
      <c r="H167" s="253" t="s">
        <v>3126</v>
      </c>
      <c r="I167" s="254" t="str">
        <f>'Dry_Litterbag Placem_Collection'!C168</f>
        <v>Wet_W1_T6</v>
      </c>
      <c r="J167" s="255" t="s">
        <v>2525</v>
      </c>
      <c r="K167" s="256" t="s">
        <v>1147</v>
      </c>
      <c r="L167" s="221" t="str">
        <f>'WetLitterbags placem_collection'!K168</f>
        <v>G334</v>
      </c>
      <c r="M167" s="223">
        <f>IFERROR(INDEX('Green_rooibos initial weight'!$C$5:$C$2000,MATCH(L167, 'Green_rooibos initial weight'!$A$5:$A$2000,0)),"")</f>
        <v>2.0710000000000002</v>
      </c>
      <c r="N167" s="223">
        <f>IFERROR(M167-(TBIcalc!$H$9+TBIcalc!$H$10),"")</f>
        <v>1.8212000000000002</v>
      </c>
      <c r="O167" s="378">
        <f>AVERAGE(Ashed_controlls!$K$2:$K$11)</f>
        <v>5.5147656768714146</v>
      </c>
      <c r="P167" s="223">
        <f t="shared" si="11"/>
        <v>1.720765087492818</v>
      </c>
      <c r="Q167" s="223">
        <f>IFERROR(INDEX('Both teabags AfterWet'!$C$3:$C$840,MATCH(L167,'Both teabags AfterWet'!$A$3:$A$840,0)),"")</f>
        <v>0.80800000000000005</v>
      </c>
      <c r="R167" s="223">
        <f>IFERROR(IF(Q167&gt;0,Q167-(TBIcalc!$H$9),""),"")</f>
        <v>0.65739999999999998</v>
      </c>
      <c r="S167" s="223">
        <f>IFERROR(INDEX('Ashed teabags wet'!$K$2:$K$2000,MATCH(L167,'Ashed teabags wet'!$A$2:$A$2000,0)),"")</f>
        <v>13.234567901234151</v>
      </c>
      <c r="T167" s="223">
        <f t="shared" si="12"/>
        <v>0.57039595061728665</v>
      </c>
      <c r="U167" s="224">
        <f>'WetLitterbags placem_collection'!E168</f>
        <v>42763</v>
      </c>
      <c r="V167" s="224">
        <f>IF('WetLitterbags placem_collection'!G168="","",'WetLitterbags placem_collection'!G168)</f>
        <v>42814</v>
      </c>
      <c r="W167" s="225">
        <f t="shared" si="10"/>
        <v>51</v>
      </c>
      <c r="X167" s="223">
        <f t="shared" si="13"/>
        <v>1.1638000000000002</v>
      </c>
      <c r="Y167" s="223">
        <f t="shared" si="14"/>
        <v>1.1503691368755313</v>
      </c>
      <c r="Z167">
        <f>IFERROR(INDEX([1]Rainfall_Wet!$O$2:$O$217,MATCH(C167, [1]Rainfall_Wet!$A$2:$A$217,0)),"")</f>
        <v>181.383442621</v>
      </c>
      <c r="AA167" s="226">
        <v>21.96</v>
      </c>
      <c r="AB167" s="226">
        <v>4.9199999999999982</v>
      </c>
      <c r="AC167" s="226">
        <v>73.12</v>
      </c>
      <c r="AD167" s="227" t="s">
        <v>2651</v>
      </c>
      <c r="AE167" s="226">
        <v>6.2416954164613099</v>
      </c>
      <c r="AF167">
        <f>IF('WetLitterbags placem_collection'!AB168="","",'WetLitterbags placem_collection'!AB168)</f>
        <v>2.1</v>
      </c>
      <c r="AG167">
        <f>IF('WetLitterbags placem_collection'!Z168="","",'WetLitterbags placem_collection'!Z168)</f>
        <v>4.7</v>
      </c>
      <c r="AH167" s="236" t="str">
        <f>IF('WetLitterbags placem_collection'!AA168="","",'WetLitterbags placem_collection'!AA168)</f>
        <v>M</v>
      </c>
      <c r="AI167">
        <f>IF('WetLitterbags placem_collection'!AC168="","",'WetLitterbags placem_collection'!AC168)</f>
        <v>0</v>
      </c>
      <c r="AJ167" s="233">
        <f>AVERAGE('WetLitterbags placem_collection'!S168,'WetLitterbags placem_collection'!U168)</f>
        <v>11</v>
      </c>
      <c r="AK167">
        <f>AVERAGE('WetLitterbags placem_collection'!R168,'WetLitterbags placem_collection'!T168)</f>
        <v>31.5</v>
      </c>
      <c r="AL167">
        <f>INDEX([2]Coordinates!$B$2:$B$197,MATCH(I167,[2]Coordinates!$J$2:$J$197,0))</f>
        <v>-2.2725490289999999</v>
      </c>
      <c r="AM167">
        <f>INDEX([2]Coordinates!$C$2:$C$197,MATCH(I167,[2]Coordinates!$J$2:$J$197,0))</f>
        <v>34.022886020000001</v>
      </c>
      <c r="AN167" t="str">
        <f>IF(ISNUMBER(SEARCH("C", 'WetLitterbags placem_collection'!$V168)),"YES","NO")</f>
        <v>NO</v>
      </c>
      <c r="AO167" t="str">
        <f>IF(ISNUMBER(SEARCH("H", 'WetLitterbags placem_collection'!$V168)),"YES","NO")</f>
        <v>NO</v>
      </c>
      <c r="AP167" t="str">
        <f>IF(ISNUMBER(SEARCH("R", 'WetLitterbags placem_collection'!$V168)),"YES","NO")</f>
        <v>NO</v>
      </c>
    </row>
    <row r="168" spans="1:42" ht="15" customHeight="1">
      <c r="A168" t="s">
        <v>3248</v>
      </c>
      <c r="B168" s="248" t="s">
        <v>2454</v>
      </c>
      <c r="C168" s="253">
        <f>'Dry_Litterbag Placem_Collection'!A169</f>
        <v>167</v>
      </c>
      <c r="D168" s="253" t="str">
        <f>'Dry_Litterbag Placem_Collection'!B169</f>
        <v>Handajega</v>
      </c>
      <c r="E168" s="253" t="s">
        <v>2454</v>
      </c>
      <c r="F168" s="253" t="s">
        <v>2645</v>
      </c>
      <c r="G168" s="253">
        <v>1</v>
      </c>
      <c r="H168" s="253" t="s">
        <v>3126</v>
      </c>
      <c r="I168" s="254" t="str">
        <f>'Dry_Litterbag Placem_Collection'!C169</f>
        <v>Wet_W1_T7</v>
      </c>
      <c r="J168" s="255" t="s">
        <v>2525</v>
      </c>
      <c r="K168" s="256" t="s">
        <v>1147</v>
      </c>
      <c r="L168" s="221" t="str">
        <f>'WetLitterbags placem_collection'!K169</f>
        <v>G429</v>
      </c>
      <c r="M168" s="223">
        <f>IFERROR(INDEX('Green_rooibos initial weight'!$C$5:$C$2000,MATCH(L168, 'Green_rooibos initial weight'!$A$5:$A$2000,0)),"")</f>
        <v>1.9319999999999999</v>
      </c>
      <c r="N168" s="223">
        <f>IFERROR(M168-(TBIcalc!$H$9+TBIcalc!$H$10),"")</f>
        <v>1.6821999999999999</v>
      </c>
      <c r="O168" s="378">
        <f>AVERAGE(Ashed_controlls!$K$2:$K$11)</f>
        <v>5.5147656768714146</v>
      </c>
      <c r="P168" s="223">
        <f t="shared" si="11"/>
        <v>1.589430611783669</v>
      </c>
      <c r="Q168" s="223">
        <f>IFERROR(INDEX('Both teabags AfterWet'!$C$3:$C$840,MATCH(L168,'Both teabags AfterWet'!$A$3:$A$840,0)),"")</f>
        <v>0.64529999999999998</v>
      </c>
      <c r="R168" s="223">
        <f>IFERROR(IF(Q168&gt;0,Q168-(TBIcalc!$H$9),""),"")</f>
        <v>0.49469999999999997</v>
      </c>
      <c r="S168" s="223">
        <f>IFERROR(INDEX('Ashed teabags wet'!$K$2:$K$2000,MATCH(L168,'Ashed teabags wet'!$A$2:$A$2000,0)),"")</f>
        <v>8.4409136047665729</v>
      </c>
      <c r="T168" s="223">
        <f t="shared" si="12"/>
        <v>0.45294280039721974</v>
      </c>
      <c r="U168" s="224">
        <f>'WetLitterbags placem_collection'!E169</f>
        <v>42763</v>
      </c>
      <c r="V168" s="224">
        <f>IF('WetLitterbags placem_collection'!G169="","",'WetLitterbags placem_collection'!G169)</f>
        <v>42814</v>
      </c>
      <c r="W168" s="225">
        <f t="shared" si="10"/>
        <v>51</v>
      </c>
      <c r="X168" s="223">
        <f t="shared" si="13"/>
        <v>1.1875</v>
      </c>
      <c r="Y168" s="223">
        <f t="shared" si="14"/>
        <v>1.1364878113864492</v>
      </c>
      <c r="Z168">
        <f>IFERROR(INDEX([1]Rainfall_Wet!$O$2:$O$217,MATCH(C168, [1]Rainfall_Wet!$A$2:$A$217,0)),"")</f>
        <v>181.383442621</v>
      </c>
      <c r="AA168" s="226">
        <v>21.96</v>
      </c>
      <c r="AB168" s="226">
        <v>4.9199999999999982</v>
      </c>
      <c r="AC168" s="226">
        <v>73.12</v>
      </c>
      <c r="AD168" s="227" t="s">
        <v>2651</v>
      </c>
      <c r="AE168" s="226">
        <v>7.2416954164613099</v>
      </c>
      <c r="AF168">
        <f>IF('WetLitterbags placem_collection'!AB169="","",'WetLitterbags placem_collection'!AB169)</f>
        <v>5.6</v>
      </c>
      <c r="AG168">
        <f>IF('WetLitterbags placem_collection'!Z169="","",'WetLitterbags placem_collection'!Z169)</f>
        <v>4.2</v>
      </c>
      <c r="AH168" s="236" t="str">
        <f>IF('WetLitterbags placem_collection'!AA169="","",'WetLitterbags placem_collection'!AA169)</f>
        <v>M</v>
      </c>
      <c r="AI168">
        <f>IF('WetLitterbags placem_collection'!AC169="","",'WetLitterbags placem_collection'!AC169)</f>
        <v>1</v>
      </c>
      <c r="AJ168" s="233">
        <f>AVERAGE('WetLitterbags placem_collection'!S169,'WetLitterbags placem_collection'!U169)</f>
        <v>10.45</v>
      </c>
      <c r="AK168">
        <f>AVERAGE('WetLitterbags placem_collection'!R169,'WetLitterbags placem_collection'!T169)</f>
        <v>31</v>
      </c>
      <c r="AL168">
        <f>INDEX([2]Coordinates!$B$2:$B$197,MATCH(I168,[2]Coordinates!$J$2:$J$197,0))</f>
        <v>-2.2729950310000002</v>
      </c>
      <c r="AM168">
        <f>INDEX([2]Coordinates!$C$2:$C$197,MATCH(I168,[2]Coordinates!$J$2:$J$197,0))</f>
        <v>34.022923990000002</v>
      </c>
      <c r="AN168" t="str">
        <f>IF(ISNUMBER(SEARCH("C", 'WetLitterbags placem_collection'!$V169)),"YES","NO")</f>
        <v>NO</v>
      </c>
      <c r="AO168" t="str">
        <f>IF(ISNUMBER(SEARCH("H", 'WetLitterbags placem_collection'!$V169)),"YES","NO")</f>
        <v>NO</v>
      </c>
      <c r="AP168" t="str">
        <f>IF(ISNUMBER(SEARCH("R", 'WetLitterbags placem_collection'!$V169)),"YES","NO")</f>
        <v>NO</v>
      </c>
    </row>
    <row r="169" spans="1:42" ht="15" customHeight="1">
      <c r="A169" t="s">
        <v>3248</v>
      </c>
      <c r="B169" s="248" t="s">
        <v>2454</v>
      </c>
      <c r="C169" s="253">
        <f>'Dry_Litterbag Placem_Collection'!A170</f>
        <v>168</v>
      </c>
      <c r="D169" s="253" t="str">
        <f>'Dry_Litterbag Placem_Collection'!B170</f>
        <v>Handajega</v>
      </c>
      <c r="E169" s="253" t="s">
        <v>2454</v>
      </c>
      <c r="F169" s="253" t="s">
        <v>2645</v>
      </c>
      <c r="G169" s="253">
        <v>1</v>
      </c>
      <c r="H169" s="253" t="s">
        <v>3126</v>
      </c>
      <c r="I169" s="254" t="str">
        <f>'Dry_Litterbag Placem_Collection'!C170</f>
        <v>Wet_W1_T8</v>
      </c>
      <c r="J169" s="255" t="s">
        <v>2525</v>
      </c>
      <c r="K169" s="256" t="s">
        <v>1147</v>
      </c>
      <c r="L169" s="221" t="str">
        <f>'WetLitterbags placem_collection'!K170</f>
        <v>G461</v>
      </c>
      <c r="M169" s="223">
        <f>IFERROR(INDEX('Green_rooibos initial weight'!$C$5:$C$2000,MATCH(L169, 'Green_rooibos initial weight'!$A$5:$A$2000,0)),"")</f>
        <v>2.1030000000000002</v>
      </c>
      <c r="N169" s="223">
        <f>IFERROR(M169-(TBIcalc!$H$9+TBIcalc!$H$10),"")</f>
        <v>1.8532000000000002</v>
      </c>
      <c r="O169" s="378">
        <f>AVERAGE(Ashed_controlls!$K$2:$K$11)</f>
        <v>5.5147656768714146</v>
      </c>
      <c r="P169" s="223">
        <f t="shared" si="11"/>
        <v>1.7510003624762192</v>
      </c>
      <c r="Q169" s="223">
        <f>IFERROR(INDEX('Both teabags AfterWet'!$C$3:$C$840,MATCH(L169,'Both teabags AfterWet'!$A$3:$A$840,0)),"")</f>
        <v>0.79400000000000004</v>
      </c>
      <c r="R169" s="223">
        <f>IFERROR(IF(Q169&gt;0,Q169-(TBIcalc!$H$9),""),"")</f>
        <v>0.64339999999999997</v>
      </c>
      <c r="S169" s="223">
        <f>IFERROR(INDEX('Ashed teabags wet'!$K$2:$K$2000,MATCH(L169,'Ashed teabags wet'!$A$2:$A$2000,0)),"")</f>
        <v>8.9463220675947444</v>
      </c>
      <c r="T169" s="223">
        <f t="shared" si="12"/>
        <v>0.58583936381709534</v>
      </c>
      <c r="U169" s="224">
        <f>'WetLitterbags placem_collection'!E170</f>
        <v>42763</v>
      </c>
      <c r="V169" s="224">
        <f>IF('WetLitterbags placem_collection'!G170="","",'WetLitterbags placem_collection'!G170)</f>
        <v>42814</v>
      </c>
      <c r="W169" s="225">
        <f t="shared" si="10"/>
        <v>51</v>
      </c>
      <c r="X169" s="223">
        <f t="shared" si="13"/>
        <v>1.2098000000000002</v>
      </c>
      <c r="Y169" s="223">
        <f t="shared" si="14"/>
        <v>1.1651609986591238</v>
      </c>
      <c r="Z169">
        <f>IFERROR(INDEX([1]Rainfall_Wet!$O$2:$O$217,MATCH(C169, [1]Rainfall_Wet!$A$2:$A$217,0)),"")</f>
        <v>181.383442621</v>
      </c>
      <c r="AA169" s="226">
        <v>21.96</v>
      </c>
      <c r="AB169" s="226">
        <v>4.9199999999999982</v>
      </c>
      <c r="AC169" s="226">
        <v>73.12</v>
      </c>
      <c r="AD169" s="227" t="s">
        <v>2651</v>
      </c>
      <c r="AE169" s="226">
        <v>8.2416954164613099</v>
      </c>
      <c r="AF169">
        <f>IF('WetLitterbags placem_collection'!AB170="","",'WetLitterbags placem_collection'!AB170)</f>
        <v>2.4</v>
      </c>
      <c r="AG169">
        <f>IF('WetLitterbags placem_collection'!Z170="","",'WetLitterbags placem_collection'!Z170)</f>
        <v>46</v>
      </c>
      <c r="AH169" s="236" t="str">
        <f>IF('WetLitterbags placem_collection'!AA170="","",'WetLitterbags placem_collection'!AA170)</f>
        <v>M</v>
      </c>
      <c r="AI169">
        <f>IF('WetLitterbags placem_collection'!AC170="","",'WetLitterbags placem_collection'!AC170)</f>
        <v>0</v>
      </c>
      <c r="AJ169" s="233">
        <f>AVERAGE('WetLitterbags placem_collection'!S170,'WetLitterbags placem_collection'!U170)</f>
        <v>11.25</v>
      </c>
      <c r="AK169">
        <f>AVERAGE('WetLitterbags placem_collection'!R170,'WetLitterbags placem_collection'!T170)</f>
        <v>33.299999999999997</v>
      </c>
      <c r="AL169">
        <f>INDEX([2]Coordinates!$B$2:$B$197,MATCH(I169,[2]Coordinates!$J$2:$J$197,0))</f>
        <v>-2.2729129719999999</v>
      </c>
      <c r="AM169">
        <f>INDEX([2]Coordinates!$C$2:$C$197,MATCH(I169,[2]Coordinates!$J$2:$J$197,0))</f>
        <v>34.023350039999997</v>
      </c>
      <c r="AN169" t="str">
        <f>IF(ISNUMBER(SEARCH("C", 'WetLitterbags placem_collection'!$V170)),"YES","NO")</f>
        <v>YES</v>
      </c>
      <c r="AO169" t="str">
        <f>IF(ISNUMBER(SEARCH("H", 'WetLitterbags placem_collection'!$V170)),"YES","NO")</f>
        <v>YES</v>
      </c>
      <c r="AP169" t="str">
        <f>IF(ISNUMBER(SEARCH("R", 'WetLitterbags placem_collection'!$V170)),"YES","NO")</f>
        <v>NO</v>
      </c>
    </row>
    <row r="170" spans="1:42" ht="15" customHeight="1">
      <c r="A170" t="s">
        <v>3248</v>
      </c>
      <c r="B170" s="248" t="s">
        <v>2454</v>
      </c>
      <c r="C170" s="253">
        <f>'Dry_Litterbag Placem_Collection'!A171</f>
        <v>169</v>
      </c>
      <c r="D170" s="253" t="str">
        <f>'Dry_Litterbag Placem_Collection'!B171</f>
        <v>Handajega</v>
      </c>
      <c r="E170" s="253" t="s">
        <v>2454</v>
      </c>
      <c r="F170" s="253" t="s">
        <v>2645</v>
      </c>
      <c r="G170" s="253">
        <v>2</v>
      </c>
      <c r="H170" s="253" t="s">
        <v>3128</v>
      </c>
      <c r="I170" s="254" t="str">
        <f>'Dry_Litterbag Placem_Collection'!C171</f>
        <v>Wet_W2_T1</v>
      </c>
      <c r="J170" s="255" t="s">
        <v>2525</v>
      </c>
      <c r="K170" s="256" t="s">
        <v>1147</v>
      </c>
      <c r="L170" s="221" t="str">
        <f>'WetLitterbags placem_collection'!K171</f>
        <v>G425</v>
      </c>
      <c r="M170" s="223">
        <f>IFERROR(INDEX('Green_rooibos initial weight'!$C$5:$C$2000,MATCH(L170, 'Green_rooibos initial weight'!$A$5:$A$2000,0)),"")</f>
        <v>1.9750000000000001</v>
      </c>
      <c r="N170" s="223">
        <f>IFERROR(M170-(TBIcalc!$H$9+TBIcalc!$H$10),"")</f>
        <v>1.7252000000000001</v>
      </c>
      <c r="O170" s="378">
        <f>AVERAGE(Ashed_controlls!$K$2:$K$11)</f>
        <v>5.5147656768714146</v>
      </c>
      <c r="P170" s="223">
        <f t="shared" si="11"/>
        <v>1.6300592625426145</v>
      </c>
      <c r="Q170" s="223">
        <f>IFERROR(INDEX('Both teabags AfterWet'!$C$3:$C$840,MATCH(L170,'Both teabags AfterWet'!$A$3:$A$840,0)),"")</f>
        <v>0.65800000000000003</v>
      </c>
      <c r="R170" s="223">
        <f>IFERROR(IF(Q170&gt;0,Q170-(TBIcalc!$H$9),""),"")</f>
        <v>0.50740000000000007</v>
      </c>
      <c r="S170" s="223">
        <f>IFERROR(INDEX('Ashed teabags wet'!$K$2:$K$2000,MATCH(L170,'Ashed teabags wet'!$A$2:$A$2000,0)),"")</f>
        <v>11.404382470119883</v>
      </c>
      <c r="T170" s="223">
        <f t="shared" si="12"/>
        <v>0.44953416334661178</v>
      </c>
      <c r="U170" s="224">
        <f>'WetLitterbags placem_collection'!E171</f>
        <v>42763</v>
      </c>
      <c r="V170" s="224">
        <f>IF('WetLitterbags placem_collection'!G171="","",'WetLitterbags placem_collection'!G171)</f>
        <v>42814</v>
      </c>
      <c r="W170" s="225">
        <f t="shared" si="10"/>
        <v>51</v>
      </c>
      <c r="X170" s="223">
        <f t="shared" si="13"/>
        <v>1.2178</v>
      </c>
      <c r="Y170" s="223">
        <f t="shared" si="14"/>
        <v>1.1805250991960028</v>
      </c>
      <c r="Z170">
        <f>IFERROR(INDEX([1]Rainfall_Wet!$O$2:$O$217,MATCH(C170, [1]Rainfall_Wet!$A$2:$A$217,0)),"")</f>
        <v>181.383442621</v>
      </c>
      <c r="AA170" s="226">
        <v>23.96</v>
      </c>
      <c r="AB170" s="226">
        <v>4.9199999999999982</v>
      </c>
      <c r="AC170" s="226">
        <v>71.12</v>
      </c>
      <c r="AD170" s="227" t="s">
        <v>2651</v>
      </c>
      <c r="AE170" s="226">
        <v>3.30913750616067</v>
      </c>
      <c r="AF170">
        <f>IF('WetLitterbags placem_collection'!AB171="","",'WetLitterbags placem_collection'!AB171)</f>
        <v>8.1999999999999993</v>
      </c>
      <c r="AG170">
        <f>IF('WetLitterbags placem_collection'!Z171="","",'WetLitterbags placem_collection'!Z171)</f>
        <v>11.4</v>
      </c>
      <c r="AH170" s="236" t="str">
        <f>IF('WetLitterbags placem_collection'!AA171="","",'WetLitterbags placem_collection'!AA171)</f>
        <v>O</v>
      </c>
      <c r="AI170">
        <f>IF('WetLitterbags placem_collection'!AC171="","",'WetLitterbags placem_collection'!AC171)</f>
        <v>1</v>
      </c>
      <c r="AJ170" s="233">
        <f>AVERAGE('WetLitterbags placem_collection'!S171,'WetLitterbags placem_collection'!U171)</f>
        <v>9.65</v>
      </c>
      <c r="AK170">
        <f>AVERAGE('WetLitterbags placem_collection'!R171,'WetLitterbags placem_collection'!T171)</f>
        <v>36.200000000000003</v>
      </c>
      <c r="AL170">
        <f>INDEX([2]Coordinates!$B$2:$B$197,MATCH(I170,[2]Coordinates!$J$2:$J$197,0))</f>
        <v>-2.2784290180000002</v>
      </c>
      <c r="AM170">
        <f>INDEX([2]Coordinates!$C$2:$C$197,MATCH(I170,[2]Coordinates!$J$2:$J$197,0))</f>
        <v>34.024240030000001</v>
      </c>
      <c r="AN170" t="str">
        <f>IF(ISNUMBER(SEARCH("C", 'WetLitterbags placem_collection'!$V171)),"YES","NO")</f>
        <v>NO</v>
      </c>
      <c r="AO170" t="str">
        <f>IF(ISNUMBER(SEARCH("H", 'WetLitterbags placem_collection'!$V171)),"YES","NO")</f>
        <v>NO</v>
      </c>
      <c r="AP170" t="str">
        <f>IF(ISNUMBER(SEARCH("R", 'WetLitterbags placem_collection'!$V171)),"YES","NO")</f>
        <v>NO</v>
      </c>
    </row>
    <row r="171" spans="1:42" ht="15" customHeight="1">
      <c r="A171" t="s">
        <v>3248</v>
      </c>
      <c r="B171" s="248" t="s">
        <v>2454</v>
      </c>
      <c r="C171" s="253">
        <f>'Dry_Litterbag Placem_Collection'!A172</f>
        <v>170</v>
      </c>
      <c r="D171" s="253" t="str">
        <f>'Dry_Litterbag Placem_Collection'!B172</f>
        <v>Handajega</v>
      </c>
      <c r="E171" s="253" t="s">
        <v>2454</v>
      </c>
      <c r="F171" s="253" t="s">
        <v>2645</v>
      </c>
      <c r="G171" s="253">
        <v>2</v>
      </c>
      <c r="H171" s="253" t="s">
        <v>3128</v>
      </c>
      <c r="I171" s="254" t="str">
        <f>'Dry_Litterbag Placem_Collection'!C172</f>
        <v>Wet_W2_T2</v>
      </c>
      <c r="J171" s="255" t="s">
        <v>2525</v>
      </c>
      <c r="K171" s="256" t="s">
        <v>1147</v>
      </c>
      <c r="L171" s="221" t="str">
        <f>'WetLitterbags placem_collection'!K172</f>
        <v>G433</v>
      </c>
      <c r="M171" s="223">
        <f>IFERROR(INDEX('Green_rooibos initial weight'!$C$5:$C$2000,MATCH(L171, 'Green_rooibos initial weight'!$A$5:$A$2000,0)),"")</f>
        <v>2.06</v>
      </c>
      <c r="N171" s="223">
        <f>IFERROR(M171-(TBIcalc!$H$9+TBIcalc!$H$10),"")</f>
        <v>1.8102</v>
      </c>
      <c r="O171" s="378">
        <f>AVERAGE(Ashed_controlls!$K$2:$K$11)</f>
        <v>5.5147656768714146</v>
      </c>
      <c r="P171" s="223">
        <f t="shared" si="11"/>
        <v>1.7103717117172736</v>
      </c>
      <c r="Q171" s="223">
        <f>IFERROR(INDEX('Both teabags AfterWet'!$C$3:$C$840,MATCH(L171,'Both teabags AfterWet'!$A$3:$A$840,0)),"")</f>
        <v>0.64800000000000002</v>
      </c>
      <c r="R171" s="223">
        <f>IFERROR(IF(Q171&gt;0,Q171-(TBIcalc!$H$9),""),"")</f>
        <v>0.49740000000000001</v>
      </c>
      <c r="S171" s="223">
        <f>IFERROR(INDEX('Ashed teabags wet'!$K$2:$K$2000,MATCH(L171,'Ashed teabags wet'!$A$2:$A$2000,0)),"")</f>
        <v>9.4836146971203146</v>
      </c>
      <c r="T171" s="223">
        <f t="shared" si="12"/>
        <v>0.45022850049652358</v>
      </c>
      <c r="U171" s="224">
        <f>'WetLitterbags placem_collection'!E172</f>
        <v>42763</v>
      </c>
      <c r="V171" s="224">
        <f>IF('WetLitterbags placem_collection'!G172="","",'WetLitterbags placem_collection'!G172)</f>
        <v>42814</v>
      </c>
      <c r="W171" s="225">
        <f t="shared" si="10"/>
        <v>51</v>
      </c>
      <c r="X171" s="223">
        <f t="shared" si="13"/>
        <v>1.3128</v>
      </c>
      <c r="Y171" s="223">
        <f t="shared" si="14"/>
        <v>1.26014321122075</v>
      </c>
      <c r="Z171">
        <f>IFERROR(INDEX([1]Rainfall_Wet!$O$2:$O$217,MATCH(C171, [1]Rainfall_Wet!$A$2:$A$217,0)),"")</f>
        <v>181.383442621</v>
      </c>
      <c r="AA171" s="226">
        <v>23.96</v>
      </c>
      <c r="AB171" s="226">
        <v>4.9199999999999982</v>
      </c>
      <c r="AC171" s="226">
        <v>71.12</v>
      </c>
      <c r="AD171" s="227" t="s">
        <v>2651</v>
      </c>
      <c r="AE171" s="226">
        <v>4.3091375061606696</v>
      </c>
      <c r="AF171">
        <f>IF('WetLitterbags placem_collection'!AB172="","",'WetLitterbags placem_collection'!AB172)</f>
        <v>7.7</v>
      </c>
      <c r="AG171">
        <f>IF('WetLitterbags placem_collection'!Z172="","",'WetLitterbags placem_collection'!Z172)</f>
        <v>15.8</v>
      </c>
      <c r="AH171" s="236" t="str">
        <f>IF('WetLitterbags placem_collection'!AA172="","",'WetLitterbags placem_collection'!AA172)</f>
        <v>O</v>
      </c>
      <c r="AI171">
        <f>IF('WetLitterbags placem_collection'!AC172="","",'WetLitterbags placem_collection'!AC172)</f>
        <v>1</v>
      </c>
      <c r="AJ171" s="233">
        <f>AVERAGE('WetLitterbags placem_collection'!S172,'WetLitterbags placem_collection'!U172)</f>
        <v>8.1</v>
      </c>
      <c r="AK171">
        <f>AVERAGE('WetLitterbags placem_collection'!R172,'WetLitterbags placem_collection'!T172)</f>
        <v>33.599999999999994</v>
      </c>
      <c r="AL171">
        <f>INDEX([2]Coordinates!$B$2:$B$197,MATCH(I171,[2]Coordinates!$J$2:$J$197,0))</f>
        <v>-2.2784629650000001</v>
      </c>
      <c r="AM171">
        <f>INDEX([2]Coordinates!$C$2:$C$197,MATCH(I171,[2]Coordinates!$J$2:$J$197,0))</f>
        <v>34.024177999999999</v>
      </c>
      <c r="AN171" t="str">
        <f>IF(ISNUMBER(SEARCH("C", 'WetLitterbags placem_collection'!$V172)),"YES","NO")</f>
        <v>NO</v>
      </c>
      <c r="AO171" t="str">
        <f>IF(ISNUMBER(SEARCH("H", 'WetLitterbags placem_collection'!$V172)),"YES","NO")</f>
        <v>NO</v>
      </c>
      <c r="AP171" t="str">
        <f>IF(ISNUMBER(SEARCH("R", 'WetLitterbags placem_collection'!$V172)),"YES","NO")</f>
        <v>NO</v>
      </c>
    </row>
    <row r="172" spans="1:42" ht="15" customHeight="1">
      <c r="A172" t="s">
        <v>3248</v>
      </c>
      <c r="B172" s="248" t="s">
        <v>2454</v>
      </c>
      <c r="C172" s="253">
        <f>'Dry_Litterbag Placem_Collection'!A173</f>
        <v>171</v>
      </c>
      <c r="D172" s="253" t="str">
        <f>'Dry_Litterbag Placem_Collection'!B173</f>
        <v>Handajega</v>
      </c>
      <c r="E172" s="253" t="s">
        <v>2454</v>
      </c>
      <c r="F172" s="253" t="s">
        <v>2645</v>
      </c>
      <c r="G172" s="253">
        <v>2</v>
      </c>
      <c r="H172" s="253" t="s">
        <v>3128</v>
      </c>
      <c r="I172" s="254" t="str">
        <f>'Dry_Litterbag Placem_Collection'!C173</f>
        <v>Wet_W2_T3</v>
      </c>
      <c r="J172" s="255" t="s">
        <v>2525</v>
      </c>
      <c r="K172" s="256" t="s">
        <v>1147</v>
      </c>
      <c r="L172" s="221" t="str">
        <f>'WetLitterbags placem_collection'!K173</f>
        <v>G656</v>
      </c>
      <c r="M172" s="223">
        <f>IFERROR(INDEX('Green_rooibos initial weight'!$C$5:$C$2000,MATCH(L172, 'Green_rooibos initial weight'!$A$5:$A$2000,0)),"")</f>
        <v>2.1320000000000001</v>
      </c>
      <c r="N172" s="223">
        <f>IFERROR(M172-(TBIcalc!$H$9+TBIcalc!$H$10),"")</f>
        <v>1.8822000000000001</v>
      </c>
      <c r="O172" s="378">
        <f>AVERAGE(Ashed_controlls!$K$2:$K$11)</f>
        <v>5.5147656768714146</v>
      </c>
      <c r="P172" s="223">
        <f t="shared" si="11"/>
        <v>1.7784010804299264</v>
      </c>
      <c r="Q172" s="223">
        <f>IFERROR(INDEX('Both teabags AfterWet'!$C$3:$C$840,MATCH(L172,'Both teabags AfterWet'!$A$3:$A$840,0)),"")</f>
        <v>0.63100000000000001</v>
      </c>
      <c r="R172" s="223">
        <f>IFERROR(IF(Q172&gt;0,Q172-(TBIcalc!$H$9),""),"")</f>
        <v>0.48039999999999999</v>
      </c>
      <c r="S172" s="223">
        <f>IFERROR(INDEX('Ashed teabags wet'!$K$2:$K$2000,MATCH(L172,'Ashed teabags wet'!$A$2:$A$2000,0)),"")</f>
        <v>12.283308568598626</v>
      </c>
      <c r="T172" s="223">
        <f t="shared" si="12"/>
        <v>0.42139098563645216</v>
      </c>
      <c r="U172" s="224">
        <f>'WetLitterbags placem_collection'!E173</f>
        <v>42763</v>
      </c>
      <c r="V172" s="224">
        <f>IF('WetLitterbags placem_collection'!G173="","",'WetLitterbags placem_collection'!G173)</f>
        <v>42814</v>
      </c>
      <c r="W172" s="225">
        <f t="shared" si="10"/>
        <v>51</v>
      </c>
      <c r="X172" s="223">
        <f t="shared" si="13"/>
        <v>1.4018000000000002</v>
      </c>
      <c r="Y172" s="223">
        <f t="shared" si="14"/>
        <v>1.3570100947934742</v>
      </c>
      <c r="Z172">
        <f>IFERROR(INDEX([1]Rainfall_Wet!$O$2:$O$217,MATCH(C172, [1]Rainfall_Wet!$A$2:$A$217,0)),"")</f>
        <v>181.383442621</v>
      </c>
      <c r="AA172" s="226">
        <v>23.96</v>
      </c>
      <c r="AB172" s="226">
        <v>4.9199999999999982</v>
      </c>
      <c r="AC172" s="226">
        <v>71.12</v>
      </c>
      <c r="AD172" s="227" t="s">
        <v>2651</v>
      </c>
      <c r="AE172" s="226">
        <v>5.3091375061606696</v>
      </c>
      <c r="AF172">
        <f>IF('WetLitterbags placem_collection'!AB173="","",'WetLitterbags placem_collection'!AB173)</f>
        <v>13.4</v>
      </c>
      <c r="AG172">
        <f>IF('WetLitterbags placem_collection'!Z173="","",'WetLitterbags placem_collection'!Z173)</f>
        <v>7.6</v>
      </c>
      <c r="AH172" s="236" t="str">
        <f>IF('WetLitterbags placem_collection'!AA173="","",'WetLitterbags placem_collection'!AA173)</f>
        <v>O</v>
      </c>
      <c r="AI172">
        <f>IF('WetLitterbags placem_collection'!AC173="","",'WetLitterbags placem_collection'!AC173)</f>
        <v>1</v>
      </c>
      <c r="AJ172" s="233">
        <f>AVERAGE('WetLitterbags placem_collection'!S173,'WetLitterbags placem_collection'!U173)</f>
        <v>10.5</v>
      </c>
      <c r="AK172">
        <f>AVERAGE('WetLitterbags placem_collection'!R173,'WetLitterbags placem_collection'!T173)</f>
        <v>34.15</v>
      </c>
      <c r="AL172">
        <f>INDEX([2]Coordinates!$B$2:$B$197,MATCH(I172,[2]Coordinates!$J$2:$J$197,0))</f>
        <v>-2.2785389889999998</v>
      </c>
      <c r="AM172">
        <f>INDEX([2]Coordinates!$C$2:$C$197,MATCH(I172,[2]Coordinates!$J$2:$J$197,0))</f>
        <v>34.024371039999998</v>
      </c>
      <c r="AN172" t="str">
        <f>IF(ISNUMBER(SEARCH("C", 'WetLitterbags placem_collection'!$V173)),"YES","NO")</f>
        <v>NO</v>
      </c>
      <c r="AO172" t="str">
        <f>IF(ISNUMBER(SEARCH("H", 'WetLitterbags placem_collection'!$V173)),"YES","NO")</f>
        <v>NO</v>
      </c>
      <c r="AP172" t="str">
        <f>IF(ISNUMBER(SEARCH("R", 'WetLitterbags placem_collection'!$V173)),"YES","NO")</f>
        <v>YES</v>
      </c>
    </row>
    <row r="173" spans="1:42" ht="15" customHeight="1">
      <c r="A173" t="s">
        <v>3248</v>
      </c>
      <c r="B173" s="248" t="s">
        <v>2454</v>
      </c>
      <c r="C173" s="253">
        <f>'Dry_Litterbag Placem_Collection'!A174</f>
        <v>172</v>
      </c>
      <c r="D173" s="253" t="str">
        <f>'Dry_Litterbag Placem_Collection'!B174</f>
        <v>Handajega</v>
      </c>
      <c r="E173" s="253" t="s">
        <v>2454</v>
      </c>
      <c r="F173" s="253" t="s">
        <v>2645</v>
      </c>
      <c r="G173" s="253">
        <v>2</v>
      </c>
      <c r="H173" s="253" t="s">
        <v>3128</v>
      </c>
      <c r="I173" s="254" t="str">
        <f>'Dry_Litterbag Placem_Collection'!C174</f>
        <v>Wet_W2_T4</v>
      </c>
      <c r="J173" s="255" t="s">
        <v>2525</v>
      </c>
      <c r="K173" s="256" t="s">
        <v>1147</v>
      </c>
      <c r="L173" s="221" t="str">
        <f>'WetLitterbags placem_collection'!K174</f>
        <v>G281</v>
      </c>
      <c r="M173" s="223">
        <f>IFERROR(INDEX('Green_rooibos initial weight'!$C$5:$C$2000,MATCH(L173, 'Green_rooibos initial weight'!$A$5:$A$2000,0)),"")</f>
        <v>2.0419999999999998</v>
      </c>
      <c r="N173" s="223">
        <f>IFERROR(M173-(TBIcalc!$H$9+TBIcalc!$H$10),"")</f>
        <v>1.7921999999999998</v>
      </c>
      <c r="O173" s="378">
        <f>AVERAGE(Ashed_controlls!$K$2:$K$11)</f>
        <v>5.5147656768714146</v>
      </c>
      <c r="P173" s="223">
        <f t="shared" si="11"/>
        <v>1.6933643695391103</v>
      </c>
      <c r="Q173" s="223">
        <f>IFERROR(INDEX('Both teabags AfterWet'!$C$3:$C$840,MATCH(L173,'Both teabags AfterWet'!$A$3:$A$840,0)),"")</f>
        <v>0.69520000000000004</v>
      </c>
      <c r="R173" s="223">
        <f>IFERROR(IF(Q173&gt;0,Q173-(TBIcalc!$H$9),""),"")</f>
        <v>0.54459999999999997</v>
      </c>
      <c r="S173" s="223">
        <f>IFERROR(INDEX('Ashed teabags wet'!$K$2:$K$2000,MATCH(L173,'Ashed teabags wet'!$A$2:$A$2000,0)),"")</f>
        <v>8.6181277860327441</v>
      </c>
      <c r="T173" s="223">
        <f t="shared" si="12"/>
        <v>0.49766567607726564</v>
      </c>
      <c r="U173" s="224">
        <f>'WetLitterbags placem_collection'!E174</f>
        <v>42763</v>
      </c>
      <c r="V173" s="224">
        <f>IF('WetLitterbags placem_collection'!G174="","",'WetLitterbags placem_collection'!G174)</f>
        <v>42814</v>
      </c>
      <c r="W173" s="225">
        <f t="shared" si="10"/>
        <v>51</v>
      </c>
      <c r="X173" s="223">
        <f t="shared" si="13"/>
        <v>1.2475999999999998</v>
      </c>
      <c r="Y173" s="223">
        <f t="shared" si="14"/>
        <v>1.1956986934618445</v>
      </c>
      <c r="Z173">
        <f>IFERROR(INDEX([1]Rainfall_Wet!$O$2:$O$217,MATCH(C173, [1]Rainfall_Wet!$A$2:$A$217,0)),"")</f>
        <v>181.383442621</v>
      </c>
      <c r="AA173" s="226">
        <v>23.96</v>
      </c>
      <c r="AB173" s="226">
        <v>4.9199999999999982</v>
      </c>
      <c r="AC173" s="226">
        <v>71.12</v>
      </c>
      <c r="AD173" s="227" t="s">
        <v>2651</v>
      </c>
      <c r="AE173" s="226">
        <v>6.3091375061606696</v>
      </c>
      <c r="AF173">
        <f>IF('WetLitterbags placem_collection'!AB174="","",'WetLitterbags placem_collection'!AB174)</f>
        <v>3.3</v>
      </c>
      <c r="AG173">
        <f>IF('WetLitterbags placem_collection'!Z174="","",'WetLitterbags placem_collection'!Z174)</f>
        <v>28.4</v>
      </c>
      <c r="AH173" s="236" t="str">
        <f>IF('WetLitterbags placem_collection'!AA174="","",'WetLitterbags placem_collection'!AA174)</f>
        <v>G</v>
      </c>
      <c r="AI173">
        <f>IF('WetLitterbags placem_collection'!AC174="","",'WetLitterbags placem_collection'!AC174)</f>
        <v>1</v>
      </c>
      <c r="AJ173" s="233">
        <f>AVERAGE('WetLitterbags placem_collection'!S174,'WetLitterbags placem_collection'!U174)</f>
        <v>9.6499999999999986</v>
      </c>
      <c r="AK173">
        <f>AVERAGE('WetLitterbags placem_collection'!R174,'WetLitterbags placem_collection'!T174)</f>
        <v>35.1</v>
      </c>
      <c r="AL173">
        <f>INDEX([2]Coordinates!$B$2:$B$197,MATCH(I173,[2]Coordinates!$J$2:$J$197,0))</f>
        <v>-2.2781410160000002</v>
      </c>
      <c r="AM173">
        <f>INDEX([2]Coordinates!$C$2:$C$197,MATCH(I173,[2]Coordinates!$J$2:$J$197,0))</f>
        <v>34.024136009999999</v>
      </c>
      <c r="AN173" t="str">
        <f>IF(ISNUMBER(SEARCH("C", 'WetLitterbags placem_collection'!$V174)),"YES","NO")</f>
        <v>NO</v>
      </c>
      <c r="AO173" t="str">
        <f>IF(ISNUMBER(SEARCH("H", 'WetLitterbags placem_collection'!$V174)),"YES","NO")</f>
        <v>NO</v>
      </c>
      <c r="AP173" t="str">
        <f>IF(ISNUMBER(SEARCH("R", 'WetLitterbags placem_collection'!$V174)),"YES","NO")</f>
        <v>YES</v>
      </c>
    </row>
    <row r="174" spans="1:42" ht="15" customHeight="1">
      <c r="A174" t="s">
        <v>3248</v>
      </c>
      <c r="B174" s="248" t="s">
        <v>2454</v>
      </c>
      <c r="C174" s="253">
        <f>'Dry_Litterbag Placem_Collection'!A175</f>
        <v>173</v>
      </c>
      <c r="D174" s="253" t="str">
        <f>'Dry_Litterbag Placem_Collection'!B175</f>
        <v>Handajega</v>
      </c>
      <c r="E174" s="253" t="s">
        <v>2454</v>
      </c>
      <c r="F174" s="253" t="s">
        <v>2645</v>
      </c>
      <c r="G174" s="253">
        <v>2</v>
      </c>
      <c r="H174" s="253" t="s">
        <v>3128</v>
      </c>
      <c r="I174" s="254" t="str">
        <f>'Dry_Litterbag Placem_Collection'!C175</f>
        <v>Wet_W2_T5</v>
      </c>
      <c r="J174" s="255" t="s">
        <v>2525</v>
      </c>
      <c r="K174" s="256" t="s">
        <v>1147</v>
      </c>
      <c r="L174" s="221" t="str">
        <f>'WetLitterbags placem_collection'!K175</f>
        <v>G216</v>
      </c>
      <c r="M174" s="223">
        <f>IFERROR(INDEX('Green_rooibos initial weight'!$C$5:$C$2000,MATCH(L174, 'Green_rooibos initial weight'!$A$5:$A$2000,0)),"")</f>
        <v>2.1150000000000002</v>
      </c>
      <c r="N174" s="223">
        <f>IFERROR(M174-(TBIcalc!$H$9+TBIcalc!$H$10),"")</f>
        <v>1.8652000000000002</v>
      </c>
      <c r="O174" s="378">
        <f>AVERAGE(Ashed_controlls!$K$2:$K$11)</f>
        <v>5.5147656768714146</v>
      </c>
      <c r="P174" s="223">
        <f t="shared" si="11"/>
        <v>1.7623385905949946</v>
      </c>
      <c r="Q174" s="223">
        <f>IFERROR(INDEX('Both teabags AfterWet'!$C$3:$C$840,MATCH(L174,'Both teabags AfterWet'!$A$3:$A$840,0)),"")</f>
        <v>0.57999999999999996</v>
      </c>
      <c r="R174" s="223">
        <f>IFERROR(IF(Q174&gt;0,Q174-(TBIcalc!$H$9),""),"")</f>
        <v>0.42939999999999995</v>
      </c>
      <c r="S174" s="223">
        <f>IFERROR(INDEX('Ashed teabags wet'!$K$2:$K$2000,MATCH(L174,'Ashed teabags wet'!$A$2:$A$2000,0)),"")</f>
        <v>9.4980314960627936</v>
      </c>
      <c r="T174" s="223">
        <f t="shared" si="12"/>
        <v>0.38861545275590631</v>
      </c>
      <c r="U174" s="224">
        <f>'WetLitterbags placem_collection'!E175</f>
        <v>42763</v>
      </c>
      <c r="V174" s="224">
        <f>IF('WetLitterbags placem_collection'!G175="","",'WetLitterbags placem_collection'!G175)</f>
        <v>42814</v>
      </c>
      <c r="W174" s="225">
        <f t="shared" si="10"/>
        <v>51</v>
      </c>
      <c r="X174" s="223">
        <f t="shared" si="13"/>
        <v>1.4358000000000002</v>
      </c>
      <c r="Y174" s="223">
        <f t="shared" si="14"/>
        <v>1.3737231378390884</v>
      </c>
      <c r="Z174">
        <f>IFERROR(INDEX([1]Rainfall_Wet!$O$2:$O$217,MATCH(C174, [1]Rainfall_Wet!$A$2:$A$217,0)),"")</f>
        <v>181.383442621</v>
      </c>
      <c r="AA174" s="226">
        <v>23.96</v>
      </c>
      <c r="AB174" s="226">
        <v>4.9199999999999982</v>
      </c>
      <c r="AC174" s="226">
        <v>71.12</v>
      </c>
      <c r="AD174" s="227" t="s">
        <v>2651</v>
      </c>
      <c r="AE174" s="226">
        <v>7.3091375061606696</v>
      </c>
      <c r="AF174">
        <f>IF('WetLitterbags placem_collection'!AB175="","",'WetLitterbags placem_collection'!AB175)</f>
        <v>15.4</v>
      </c>
      <c r="AG174">
        <f>IF('WetLitterbags placem_collection'!Z175="","",'WetLitterbags placem_collection'!Z175)</f>
        <v>12.4</v>
      </c>
      <c r="AH174" s="236" t="str">
        <f>IF('WetLitterbags placem_collection'!AA175="","",'WetLitterbags placem_collection'!AA175)</f>
        <v>O</v>
      </c>
      <c r="AI174">
        <f>IF('WetLitterbags placem_collection'!AC175="","",'WetLitterbags placem_collection'!AC175)</f>
        <v>0</v>
      </c>
      <c r="AJ174" s="233">
        <f>AVERAGE('WetLitterbags placem_collection'!S175,'WetLitterbags placem_collection'!U175)</f>
        <v>10.450000000000001</v>
      </c>
      <c r="AK174">
        <f>AVERAGE('WetLitterbags placem_collection'!R175,'WetLitterbags placem_collection'!T175)</f>
        <v>36.349999999999994</v>
      </c>
      <c r="AL174">
        <f>INDEX([2]Coordinates!$B$2:$B$197,MATCH(I174,[2]Coordinates!$J$2:$J$197,0))</f>
        <v>-2.27856799</v>
      </c>
      <c r="AM174">
        <f>INDEX([2]Coordinates!$C$2:$C$197,MATCH(I174,[2]Coordinates!$J$2:$J$197,0))</f>
        <v>34.023969970000003</v>
      </c>
      <c r="AN174" t="str">
        <f>IF(ISNUMBER(SEARCH("C", 'WetLitterbags placem_collection'!$V175)),"YES","NO")</f>
        <v>NO</v>
      </c>
      <c r="AO174" t="str">
        <f>IF(ISNUMBER(SEARCH("H", 'WetLitterbags placem_collection'!$V175)),"YES","NO")</f>
        <v>NO</v>
      </c>
      <c r="AP174" t="str">
        <f>IF(ISNUMBER(SEARCH("R", 'WetLitterbags placem_collection'!$V175)),"YES","NO")</f>
        <v>YES</v>
      </c>
    </row>
    <row r="175" spans="1:42" ht="15" customHeight="1">
      <c r="A175" t="s">
        <v>3248</v>
      </c>
      <c r="B175" s="248" t="s">
        <v>2454</v>
      </c>
      <c r="C175" s="253">
        <f>'Dry_Litterbag Placem_Collection'!A176</f>
        <v>174</v>
      </c>
      <c r="D175" s="253" t="str">
        <f>'Dry_Litterbag Placem_Collection'!B176</f>
        <v>Handajega</v>
      </c>
      <c r="E175" s="253" t="s">
        <v>2454</v>
      </c>
      <c r="F175" s="253" t="s">
        <v>2645</v>
      </c>
      <c r="G175" s="253">
        <v>2</v>
      </c>
      <c r="H175" s="253" t="s">
        <v>3128</v>
      </c>
      <c r="I175" s="254" t="str">
        <f>'Dry_Litterbag Placem_Collection'!C176</f>
        <v>Wet_W2_T6</v>
      </c>
      <c r="J175" s="255" t="s">
        <v>2525</v>
      </c>
      <c r="K175" s="256" t="s">
        <v>1147</v>
      </c>
      <c r="L175" s="221" t="str">
        <f>'WetLitterbags placem_collection'!K176</f>
        <v>G655</v>
      </c>
      <c r="M175" s="223">
        <f>IFERROR(INDEX('Green_rooibos initial weight'!$C$5:$C$2000,MATCH(L175, 'Green_rooibos initial weight'!$A$5:$A$2000,0)),"")</f>
        <v>2.0009999999999999</v>
      </c>
      <c r="N175" s="223">
        <f>IFERROR(M175-(TBIcalc!$H$9+TBIcalc!$H$10),"")</f>
        <v>1.7511999999999999</v>
      </c>
      <c r="O175" s="378">
        <f>AVERAGE(Ashed_controlls!$K$2:$K$11)</f>
        <v>5.5147656768714146</v>
      </c>
      <c r="P175" s="223">
        <f t="shared" si="11"/>
        <v>1.6546254234666278</v>
      </c>
      <c r="Q175" s="223">
        <f>IFERROR(INDEX('Both teabags AfterWet'!$C$3:$C$840,MATCH(L175,'Both teabags AfterWet'!$A$3:$A$840,0)),"")</f>
        <v>0.68300000000000005</v>
      </c>
      <c r="R175" s="223">
        <f>IFERROR(IF(Q175&gt;0,Q175-(TBIcalc!$H$9),""),"")</f>
        <v>0.53239999999999998</v>
      </c>
      <c r="S175" s="223">
        <f>IFERROR(INDEX('Ashed teabags wet'!$K$2:$K$2000,MATCH(L175,'Ashed teabags wet'!$A$2:$A$2000,0)),"")</f>
        <v>7.6961026147010658</v>
      </c>
      <c r="T175" s="223">
        <f t="shared" si="12"/>
        <v>0.49142594967933151</v>
      </c>
      <c r="U175" s="224">
        <f>'WetLitterbags placem_collection'!E176</f>
        <v>42763</v>
      </c>
      <c r="V175" s="224">
        <f>IF('WetLitterbags placem_collection'!G176="","",'WetLitterbags placem_collection'!G176)</f>
        <v>42814</v>
      </c>
      <c r="W175" s="225">
        <f t="shared" si="10"/>
        <v>51</v>
      </c>
      <c r="X175" s="223">
        <f t="shared" si="13"/>
        <v>1.2187999999999999</v>
      </c>
      <c r="Y175" s="223">
        <f t="shared" si="14"/>
        <v>1.1631994737872962</v>
      </c>
      <c r="Z175">
        <f>IFERROR(INDEX([1]Rainfall_Wet!$O$2:$O$217,MATCH(C175, [1]Rainfall_Wet!$A$2:$A$217,0)),"")</f>
        <v>181.383442621</v>
      </c>
      <c r="AA175" s="226">
        <v>23.96</v>
      </c>
      <c r="AB175" s="226">
        <v>4.9199999999999982</v>
      </c>
      <c r="AC175" s="226">
        <v>71.12</v>
      </c>
      <c r="AD175" s="227" t="s">
        <v>2651</v>
      </c>
      <c r="AE175" s="226">
        <v>8.3091375061606705</v>
      </c>
      <c r="AF175">
        <f>IF('WetLitterbags placem_collection'!AB176="","",'WetLitterbags placem_collection'!AB176)</f>
        <v>7.4</v>
      </c>
      <c r="AG175">
        <f>IF('WetLitterbags placem_collection'!Z176="","",'WetLitterbags placem_collection'!Z176)</f>
        <v>7.4</v>
      </c>
      <c r="AH175" s="236" t="str">
        <f>IF('WetLitterbags placem_collection'!AA176="","",'WetLitterbags placem_collection'!AA176)</f>
        <v>O</v>
      </c>
      <c r="AI175">
        <f>IF('WetLitterbags placem_collection'!AC176="","",'WetLitterbags placem_collection'!AC176)</f>
        <v>0</v>
      </c>
      <c r="AJ175" s="233">
        <f>AVERAGE('WetLitterbags placem_collection'!S176,'WetLitterbags placem_collection'!U176)</f>
        <v>17.75</v>
      </c>
      <c r="AK175">
        <f>AVERAGE('WetLitterbags placem_collection'!R176,'WetLitterbags placem_collection'!T176)</f>
        <v>34.85</v>
      </c>
      <c r="AL175">
        <f>INDEX([2]Coordinates!$B$2:$B$197,MATCH(I175,[2]Coordinates!$J$2:$J$197,0))</f>
        <v>-2.2786809780000001</v>
      </c>
      <c r="AM175">
        <f>INDEX([2]Coordinates!$C$2:$C$197,MATCH(I175,[2]Coordinates!$J$2:$J$197,0))</f>
        <v>34.02434899</v>
      </c>
      <c r="AN175" t="str">
        <f>IF(ISNUMBER(SEARCH("C", 'WetLitterbags placem_collection'!$V176)),"YES","NO")</f>
        <v>NO</v>
      </c>
      <c r="AO175" t="str">
        <f>IF(ISNUMBER(SEARCH("H", 'WetLitterbags placem_collection'!$V176)),"YES","NO")</f>
        <v>NO</v>
      </c>
      <c r="AP175" t="str">
        <f>IF(ISNUMBER(SEARCH("R", 'WetLitterbags placem_collection'!$V176)),"YES","NO")</f>
        <v>YES</v>
      </c>
    </row>
    <row r="176" spans="1:42" ht="15" customHeight="1">
      <c r="A176" t="s">
        <v>3248</v>
      </c>
      <c r="B176" s="248" t="s">
        <v>2454</v>
      </c>
      <c r="C176" s="253">
        <f>'Dry_Litterbag Placem_Collection'!A177</f>
        <v>175</v>
      </c>
      <c r="D176" s="253" t="str">
        <f>'Dry_Litterbag Placem_Collection'!B177</f>
        <v>Handajega</v>
      </c>
      <c r="E176" s="253" t="s">
        <v>2454</v>
      </c>
      <c r="F176" s="253" t="s">
        <v>2645</v>
      </c>
      <c r="G176" s="253">
        <v>2</v>
      </c>
      <c r="H176" s="253" t="s">
        <v>3128</v>
      </c>
      <c r="I176" s="254" t="str">
        <f>'Dry_Litterbag Placem_Collection'!C177</f>
        <v>Wet_W2_T7</v>
      </c>
      <c r="J176" s="255" t="s">
        <v>2525</v>
      </c>
      <c r="K176" s="256" t="s">
        <v>1147</v>
      </c>
      <c r="L176" s="221" t="str">
        <f>'WetLitterbags placem_collection'!K177</f>
        <v>G457</v>
      </c>
      <c r="M176" s="223">
        <f>IFERROR(INDEX('Green_rooibos initial weight'!$C$5:$C$2000,MATCH(L176, 'Green_rooibos initial weight'!$A$5:$A$2000,0)),"")</f>
        <v>2.1579999999999999</v>
      </c>
      <c r="N176" s="223">
        <f>IFERROR(M176-(TBIcalc!$H$9+TBIcalc!$H$10),"")</f>
        <v>1.9081999999999999</v>
      </c>
      <c r="O176" s="378">
        <f>AVERAGE(Ashed_controlls!$K$2:$K$11)</f>
        <v>5.5147656768714146</v>
      </c>
      <c r="P176" s="223">
        <f t="shared" si="11"/>
        <v>1.8029672413539395</v>
      </c>
      <c r="Q176" s="223">
        <f>IFERROR(INDEX('Both teabags AfterWet'!$C$3:$C$840,MATCH(L176,'Both teabags AfterWet'!$A$3:$A$840,0)),"")</f>
        <v>0.68200000000000005</v>
      </c>
      <c r="R176" s="223">
        <f>IFERROR(IF(Q176&gt;0,Q176-(TBIcalc!$H$9),""),"")</f>
        <v>0.53140000000000009</v>
      </c>
      <c r="S176" s="223">
        <f>IFERROR(INDEX('Ashed teabags wet'!$K$2:$K$2000,MATCH(L176,'Ashed teabags wet'!$A$2:$A$2000,0)),"")</f>
        <v>9.6918489065609759</v>
      </c>
      <c r="T176" s="223">
        <f t="shared" si="12"/>
        <v>0.47989751491053506</v>
      </c>
      <c r="U176" s="224">
        <f>'WetLitterbags placem_collection'!E177</f>
        <v>42763</v>
      </c>
      <c r="V176" s="224">
        <f>IF('WetLitterbags placem_collection'!G177="","",'WetLitterbags placem_collection'!G177)</f>
        <v>42814</v>
      </c>
      <c r="W176" s="225">
        <f t="shared" si="10"/>
        <v>51</v>
      </c>
      <c r="X176" s="223">
        <f t="shared" si="13"/>
        <v>1.3767999999999998</v>
      </c>
      <c r="Y176" s="223">
        <f t="shared" si="14"/>
        <v>1.3230697264434044</v>
      </c>
      <c r="Z176">
        <f>IFERROR(INDEX([1]Rainfall_Wet!$O$2:$O$217,MATCH(C176, [1]Rainfall_Wet!$A$2:$A$217,0)),"")</f>
        <v>181.383442621</v>
      </c>
      <c r="AA176" s="226">
        <v>23.96</v>
      </c>
      <c r="AB176" s="226">
        <v>4.9199999999999982</v>
      </c>
      <c r="AC176" s="226">
        <v>71.12</v>
      </c>
      <c r="AD176" s="227" t="s">
        <v>2651</v>
      </c>
      <c r="AE176" s="226">
        <v>9.3091375061606705</v>
      </c>
      <c r="AF176">
        <f>IF('WetLitterbags placem_collection'!AB177="","",'WetLitterbags placem_collection'!AB177)</f>
        <v>15.4</v>
      </c>
      <c r="AG176">
        <f>IF('WetLitterbags placem_collection'!Z177="","",'WetLitterbags placem_collection'!Z177)</f>
        <v>9.8000000000000007</v>
      </c>
      <c r="AH176" s="236" t="str">
        <f>IF('WetLitterbags placem_collection'!AA177="","",'WetLitterbags placem_collection'!AA177)</f>
        <v>O</v>
      </c>
      <c r="AI176">
        <f>IF('WetLitterbags placem_collection'!AC177="","",'WetLitterbags placem_collection'!AC177)</f>
        <v>1</v>
      </c>
      <c r="AJ176" s="233">
        <f>AVERAGE('WetLitterbags placem_collection'!S177,'WetLitterbags placem_collection'!U177)</f>
        <v>11.55</v>
      </c>
      <c r="AK176">
        <f>AVERAGE('WetLitterbags placem_collection'!R177,'WetLitterbags placem_collection'!T177)</f>
        <v>36.25</v>
      </c>
      <c r="AL176">
        <f>INDEX([2]Coordinates!$B$2:$B$197,MATCH(I176,[2]Coordinates!$J$2:$J$197,0))</f>
        <v>-2.2784219779999999</v>
      </c>
      <c r="AM176">
        <f>INDEX([2]Coordinates!$C$2:$C$197,MATCH(I176,[2]Coordinates!$J$2:$J$197,0))</f>
        <v>34.024374979999997</v>
      </c>
      <c r="AN176" t="str">
        <f>IF(ISNUMBER(SEARCH("C", 'WetLitterbags placem_collection'!$V177)),"YES","NO")</f>
        <v>NO</v>
      </c>
      <c r="AO176" t="str">
        <f>IF(ISNUMBER(SEARCH("H", 'WetLitterbags placem_collection'!$V177)),"YES","NO")</f>
        <v>NO</v>
      </c>
      <c r="AP176" t="str">
        <f>IF(ISNUMBER(SEARCH("R", 'WetLitterbags placem_collection'!$V177)),"YES","NO")</f>
        <v>NO</v>
      </c>
    </row>
    <row r="177" spans="1:42" ht="15" customHeight="1">
      <c r="A177" t="s">
        <v>3248</v>
      </c>
      <c r="B177" s="248" t="s">
        <v>2454</v>
      </c>
      <c r="C177" s="253">
        <f>'Dry_Litterbag Placem_Collection'!A178</f>
        <v>176</v>
      </c>
      <c r="D177" s="253" t="str">
        <f>'Dry_Litterbag Placem_Collection'!B178</f>
        <v>Handajega</v>
      </c>
      <c r="E177" s="253" t="s">
        <v>2454</v>
      </c>
      <c r="F177" s="253" t="s">
        <v>2645</v>
      </c>
      <c r="G177" s="253">
        <v>2</v>
      </c>
      <c r="H177" s="253" t="s">
        <v>3128</v>
      </c>
      <c r="I177" s="254" t="str">
        <f>'Dry_Litterbag Placem_Collection'!C178</f>
        <v>Wet_W2_T8</v>
      </c>
      <c r="J177" s="255" t="s">
        <v>2525</v>
      </c>
      <c r="K177" s="256" t="s">
        <v>1147</v>
      </c>
      <c r="L177" s="221" t="str">
        <f>'WetLitterbags placem_collection'!K178</f>
        <v>G454</v>
      </c>
      <c r="M177" s="223">
        <f>IFERROR(INDEX('Green_rooibos initial weight'!$C$5:$C$2000,MATCH(L177, 'Green_rooibos initial weight'!$A$5:$A$2000,0)),"")</f>
        <v>2.0920000000000001</v>
      </c>
      <c r="N177" s="223">
        <f>IFERROR(M177-(TBIcalc!$H$9+TBIcalc!$H$10),"")</f>
        <v>1.8422000000000001</v>
      </c>
      <c r="O177" s="378">
        <f>AVERAGE(Ashed_controlls!$K$2:$K$11)</f>
        <v>5.5147656768714146</v>
      </c>
      <c r="P177" s="223">
        <f t="shared" si="11"/>
        <v>1.7406069867006748</v>
      </c>
      <c r="Q177" s="223">
        <f>IFERROR(INDEX('Both teabags AfterWet'!$C$3:$C$840,MATCH(L177,'Both teabags AfterWet'!$A$3:$A$840,0)),"")</f>
        <v>0.63900000000000001</v>
      </c>
      <c r="R177" s="223">
        <f>IFERROR(IF(Q177&gt;0,Q177-(TBIcalc!$H$9),""),"")</f>
        <v>0.4884</v>
      </c>
      <c r="S177" s="223">
        <f>IFERROR(INDEX('Ashed teabags wet'!$K$2:$K$2000,MATCH(L177,'Ashed teabags wet'!$A$2:$A$2000,0)),"")</f>
        <v>10.539215686274888</v>
      </c>
      <c r="T177" s="223">
        <f t="shared" si="12"/>
        <v>0.43692647058823342</v>
      </c>
      <c r="U177" s="224">
        <f>'WetLitterbags placem_collection'!E178</f>
        <v>42763</v>
      </c>
      <c r="V177" s="224">
        <f>IF('WetLitterbags placem_collection'!G178="","",'WetLitterbags placem_collection'!G178)</f>
        <v>42814</v>
      </c>
      <c r="W177" s="225">
        <f t="shared" si="10"/>
        <v>51</v>
      </c>
      <c r="X177" s="223">
        <f t="shared" si="13"/>
        <v>1.3538000000000001</v>
      </c>
      <c r="Y177" s="223">
        <f t="shared" si="14"/>
        <v>1.3036805161124414</v>
      </c>
      <c r="Z177">
        <f>IFERROR(INDEX([1]Rainfall_Wet!$O$2:$O$217,MATCH(C177, [1]Rainfall_Wet!$A$2:$A$217,0)),"")</f>
        <v>181.383442621</v>
      </c>
      <c r="AA177" s="226">
        <v>23.96</v>
      </c>
      <c r="AB177" s="226">
        <v>4.9199999999999982</v>
      </c>
      <c r="AC177" s="226">
        <v>71.12</v>
      </c>
      <c r="AD177" s="227" t="s">
        <v>2651</v>
      </c>
      <c r="AE177" s="226">
        <v>10.309137506160701</v>
      </c>
      <c r="AF177">
        <f>IF('WetLitterbags placem_collection'!AB178="","",'WetLitterbags placem_collection'!AB178)</f>
        <v>6.8</v>
      </c>
      <c r="AG177">
        <f>IF('WetLitterbags placem_collection'!Z178="","",'WetLitterbags placem_collection'!Z178)</f>
        <v>6.9</v>
      </c>
      <c r="AH177" s="236" t="str">
        <f>IF('WetLitterbags placem_collection'!AA178="","",'WetLitterbags placem_collection'!AA178)</f>
        <v>O</v>
      </c>
      <c r="AI177">
        <f>IF('WetLitterbags placem_collection'!AC178="","",'WetLitterbags placem_collection'!AC178)</f>
        <v>0</v>
      </c>
      <c r="AJ177" s="233">
        <f>AVERAGE('WetLitterbags placem_collection'!S178,'WetLitterbags placem_collection'!U178)</f>
        <v>11.4</v>
      </c>
      <c r="AK177">
        <f>AVERAGE('WetLitterbags placem_collection'!R178,'WetLitterbags placem_collection'!T178)</f>
        <v>34.15</v>
      </c>
      <c r="AL177">
        <f>INDEX([2]Coordinates!$B$2:$B$197,MATCH(I177,[2]Coordinates!$J$2:$J$197,0))</f>
        <v>-2.2782909679999999</v>
      </c>
      <c r="AM177">
        <f>INDEX([2]Coordinates!$C$2:$C$197,MATCH(I177,[2]Coordinates!$J$2:$J$197,0))</f>
        <v>34.024574970000003</v>
      </c>
      <c r="AN177" t="str">
        <f>IF(ISNUMBER(SEARCH("C", 'WetLitterbags placem_collection'!$V178)),"YES","NO")</f>
        <v>NO</v>
      </c>
      <c r="AO177" t="str">
        <f>IF(ISNUMBER(SEARCH("H", 'WetLitterbags placem_collection'!$V178)),"YES","NO")</f>
        <v>NO</v>
      </c>
      <c r="AP177" t="str">
        <f>IF(ISNUMBER(SEARCH("R", 'WetLitterbags placem_collection'!$V178)),"YES","NO")</f>
        <v>NO</v>
      </c>
    </row>
    <row r="178" spans="1:42" ht="15" customHeight="1">
      <c r="A178" t="s">
        <v>3248</v>
      </c>
      <c r="B178" s="248" t="s">
        <v>2454</v>
      </c>
      <c r="C178" s="253">
        <f>'Dry_Litterbag Placem_Collection'!A179</f>
        <v>177</v>
      </c>
      <c r="D178" s="253" t="str">
        <f>'Dry_Litterbag Placem_Collection'!B179</f>
        <v>Handajega</v>
      </c>
      <c r="E178" s="253" t="s">
        <v>2454</v>
      </c>
      <c r="F178" s="253" t="s">
        <v>2645</v>
      </c>
      <c r="G178" s="253">
        <v>3</v>
      </c>
      <c r="H178" s="253" t="s">
        <v>3129</v>
      </c>
      <c r="I178" s="254" t="str">
        <f>'Dry_Litterbag Placem_Collection'!C179</f>
        <v>Wet_W3_T1</v>
      </c>
      <c r="J178" s="255" t="s">
        <v>2525</v>
      </c>
      <c r="K178" s="256" t="s">
        <v>1147</v>
      </c>
      <c r="L178" s="221" t="str">
        <f>'WetLitterbags placem_collection'!K179</f>
        <v>G362</v>
      </c>
      <c r="M178" s="223">
        <f>IFERROR(INDEX('Green_rooibos initial weight'!$C$5:$C$2000,MATCH(L178, 'Green_rooibos initial weight'!$A$5:$A$2000,0)),"")</f>
        <v>2.0659999999999998</v>
      </c>
      <c r="N178" s="223">
        <f>IFERROR(M178-(TBIcalc!$H$9+TBIcalc!$H$10),"")</f>
        <v>1.8161999999999998</v>
      </c>
      <c r="O178" s="378">
        <f>AVERAGE(Ashed_controlls!$K$2:$K$11)</f>
        <v>5.5147656768714146</v>
      </c>
      <c r="P178" s="223">
        <f t="shared" si="11"/>
        <v>1.7160408257766613</v>
      </c>
      <c r="Q178" s="223">
        <f>IFERROR(INDEX('Both teabags AfterWet'!$C$3:$C$840,MATCH(L178,'Both teabags AfterWet'!$A$3:$A$840,0)),"")</f>
        <v>0.61299999999999999</v>
      </c>
      <c r="R178" s="223">
        <f>IFERROR(IF(Q178&gt;0,Q178-(TBIcalc!$H$9),""),"")</f>
        <v>0.46239999999999998</v>
      </c>
      <c r="S178" s="223">
        <f>IFERROR(INDEX('Ashed teabags wet'!$K$2:$K$2000,MATCH(L178,'Ashed teabags wet'!$A$2:$A$2000,0)),"")</f>
        <v>9.1395235780264326</v>
      </c>
      <c r="T178" s="223">
        <f t="shared" si="12"/>
        <v>0.42013884297520576</v>
      </c>
      <c r="U178" s="224">
        <f>'WetLitterbags placem_collection'!E179</f>
        <v>42763</v>
      </c>
      <c r="V178" s="224">
        <f>IF('WetLitterbags placem_collection'!G179="","",'WetLitterbags placem_collection'!G179)</f>
        <v>42815</v>
      </c>
      <c r="W178" s="225">
        <f t="shared" si="10"/>
        <v>52</v>
      </c>
      <c r="X178" s="223">
        <f t="shared" si="13"/>
        <v>1.3537999999999999</v>
      </c>
      <c r="Y178" s="223">
        <f t="shared" si="14"/>
        <v>1.2959019828014555</v>
      </c>
      <c r="Z178">
        <f>IFERROR(INDEX([1]Rainfall_Wet!$O$2:$O$217,MATCH(C178, [1]Rainfall_Wet!$A$2:$A$217,0)),"")</f>
        <v>188.24043152799999</v>
      </c>
      <c r="AA178" s="226">
        <v>25.96</v>
      </c>
      <c r="AB178" s="226">
        <v>8.9200000000000017</v>
      </c>
      <c r="AC178" s="226">
        <v>65.12</v>
      </c>
      <c r="AD178" s="227" t="s">
        <v>2651</v>
      </c>
      <c r="AE178" s="226">
        <v>1.614588467225234</v>
      </c>
      <c r="AF178">
        <f>IF('WetLitterbags placem_collection'!AB179="","",'WetLitterbags placem_collection'!AB179)</f>
        <v>17.8</v>
      </c>
      <c r="AG178">
        <f>IF('WetLitterbags placem_collection'!Z179="","",'WetLitterbags placem_collection'!Z179)</f>
        <v>25.8</v>
      </c>
      <c r="AH178" s="236" t="str">
        <f>IF('WetLitterbags placem_collection'!AA179="","",'WetLitterbags placem_collection'!AA179)</f>
        <v>O</v>
      </c>
      <c r="AI178">
        <f>IF('WetLitterbags placem_collection'!AC179="","",'WetLitterbags placem_collection'!AC179)</f>
        <v>0</v>
      </c>
      <c r="AJ178" s="233">
        <f>AVERAGE('WetLitterbags placem_collection'!S179,'WetLitterbags placem_collection'!U179)</f>
        <v>19.200000000000003</v>
      </c>
      <c r="AK178">
        <f>AVERAGE('WetLitterbags placem_collection'!R179,'WetLitterbags placem_collection'!T179)</f>
        <v>32.1</v>
      </c>
      <c r="AL178">
        <f>INDEX([2]Coordinates!$B$2:$B$197,MATCH(I178,[2]Coordinates!$J$2:$J$197,0))</f>
        <v>-2.277740026</v>
      </c>
      <c r="AM178">
        <f>INDEX([2]Coordinates!$C$2:$C$197,MATCH(I178,[2]Coordinates!$J$2:$J$197,0))</f>
        <v>34.027640990000002</v>
      </c>
      <c r="AN178" t="str">
        <f>IF(ISNUMBER(SEARCH("C", 'WetLitterbags placem_collection'!$V179)),"YES","NO")</f>
        <v>NO</v>
      </c>
      <c r="AO178" t="str">
        <f>IF(ISNUMBER(SEARCH("H", 'WetLitterbags placem_collection'!$V179)),"YES","NO")</f>
        <v>NO</v>
      </c>
      <c r="AP178" t="str">
        <f>IF(ISNUMBER(SEARCH("R", 'WetLitterbags placem_collection'!$V179)),"YES","NO")</f>
        <v>NO</v>
      </c>
    </row>
    <row r="179" spans="1:42" ht="15" customHeight="1">
      <c r="A179" t="s">
        <v>3248</v>
      </c>
      <c r="B179" s="248" t="s">
        <v>2454</v>
      </c>
      <c r="C179" s="253">
        <f>'Dry_Litterbag Placem_Collection'!A180</f>
        <v>178</v>
      </c>
      <c r="D179" s="253" t="str">
        <f>'Dry_Litterbag Placem_Collection'!B180</f>
        <v>Handajega</v>
      </c>
      <c r="E179" s="253" t="s">
        <v>2454</v>
      </c>
      <c r="F179" s="253" t="s">
        <v>2645</v>
      </c>
      <c r="G179" s="253">
        <v>3</v>
      </c>
      <c r="H179" s="253" t="s">
        <v>3129</v>
      </c>
      <c r="I179" s="254" t="str">
        <f>'Dry_Litterbag Placem_Collection'!C180</f>
        <v>Wet_W3_T2</v>
      </c>
      <c r="J179" s="255" t="s">
        <v>2525</v>
      </c>
      <c r="K179" s="256" t="s">
        <v>1147</v>
      </c>
      <c r="L179" s="221" t="str">
        <f>'WetLitterbags placem_collection'!K180</f>
        <v>G781</v>
      </c>
      <c r="M179" s="223">
        <f>IFERROR(INDEX('Green_rooibos initial weight'!$C$5:$C$2000,MATCH(L179, 'Green_rooibos initial weight'!$A$5:$A$2000,0)),"")</f>
        <v>2.0920000000000001</v>
      </c>
      <c r="N179" s="223">
        <f>IFERROR(M179-(TBIcalc!$H$9+TBIcalc!$H$10),"")</f>
        <v>1.8422000000000001</v>
      </c>
      <c r="O179" s="378">
        <f>AVERAGE(Ashed_controlls!$K$2:$K$11)</f>
        <v>5.5147656768714146</v>
      </c>
      <c r="P179" s="223">
        <f t="shared" si="11"/>
        <v>1.7406069867006748</v>
      </c>
      <c r="Q179" s="223">
        <f>IFERROR(INDEX('Both teabags AfterWet'!$C$3:$C$840,MATCH(L179,'Both teabags AfterWet'!$A$3:$A$840,0)),"")</f>
        <v>0.62549999999999994</v>
      </c>
      <c r="R179" s="223">
        <f>IFERROR(IF(Q179&gt;0,Q179-(TBIcalc!$H$9),""),"")</f>
        <v>0.47489999999999993</v>
      </c>
      <c r="S179" s="223">
        <f>IFERROR(INDEX('Ashed teabags wet'!$K$2:$K$2000,MATCH(L179,'Ashed teabags wet'!$A$2:$A$2000,0)),"")</f>
        <v>7.0843373493975461</v>
      </c>
      <c r="T179" s="223">
        <f t="shared" si="12"/>
        <v>0.441256481927711</v>
      </c>
      <c r="U179" s="224">
        <f>'WetLitterbags placem_collection'!E180</f>
        <v>42763</v>
      </c>
      <c r="V179" s="224">
        <f>IF('WetLitterbags placem_collection'!G180="","",'WetLitterbags placem_collection'!G180)</f>
        <v>42815</v>
      </c>
      <c r="W179" s="225">
        <f t="shared" si="10"/>
        <v>52</v>
      </c>
      <c r="X179" s="223">
        <f t="shared" si="13"/>
        <v>1.3673000000000002</v>
      </c>
      <c r="Y179" s="223">
        <f t="shared" si="14"/>
        <v>1.2993505047729639</v>
      </c>
      <c r="Z179">
        <f>IFERROR(INDEX([1]Rainfall_Wet!$O$2:$O$217,MATCH(C179, [1]Rainfall_Wet!$A$2:$A$217,0)),"")</f>
        <v>188.24043152799999</v>
      </c>
      <c r="AA179" s="226">
        <v>25.96</v>
      </c>
      <c r="AB179" s="226">
        <v>8.9200000000000017</v>
      </c>
      <c r="AC179" s="226">
        <v>65.12</v>
      </c>
      <c r="AD179" s="227" t="s">
        <v>2651</v>
      </c>
      <c r="AE179" s="226">
        <v>2.61458846722523</v>
      </c>
      <c r="AF179">
        <f>IF('WetLitterbags placem_collection'!AB180="","",'WetLitterbags placem_collection'!AB180)</f>
        <v>15.4</v>
      </c>
      <c r="AG179">
        <f>IF('WetLitterbags placem_collection'!Z180="","",'WetLitterbags placem_collection'!Z180)</f>
        <v>18.8</v>
      </c>
      <c r="AH179" s="236" t="str">
        <f>IF('WetLitterbags placem_collection'!AA180="","",'WetLitterbags placem_collection'!AA180)</f>
        <v>O</v>
      </c>
      <c r="AI179">
        <f>IF('WetLitterbags placem_collection'!AC180="","",'WetLitterbags placem_collection'!AC180)</f>
        <v>1</v>
      </c>
      <c r="AJ179" s="233">
        <f>AVERAGE('WetLitterbags placem_collection'!S180,'WetLitterbags placem_collection'!U180)</f>
        <v>17.149999999999999</v>
      </c>
      <c r="AK179">
        <f>AVERAGE('WetLitterbags placem_collection'!R180,'WetLitterbags placem_collection'!T180)</f>
        <v>32.950000000000003</v>
      </c>
      <c r="AL179">
        <f>INDEX([2]Coordinates!$B$2:$B$197,MATCH(I179,[2]Coordinates!$J$2:$J$197,0))</f>
        <v>-2.2777889760000001</v>
      </c>
      <c r="AM179">
        <f>INDEX([2]Coordinates!$C$2:$C$197,MATCH(I179,[2]Coordinates!$J$2:$J$197,0))</f>
        <v>34.027664960000003</v>
      </c>
      <c r="AN179" t="str">
        <f>IF(ISNUMBER(SEARCH("C", 'WetLitterbags placem_collection'!$V180)),"YES","NO")</f>
        <v>YES</v>
      </c>
      <c r="AO179" t="str">
        <f>IF(ISNUMBER(SEARCH("H", 'WetLitterbags placem_collection'!$V180)),"YES","NO")</f>
        <v>YES</v>
      </c>
      <c r="AP179" t="str">
        <f>IF(ISNUMBER(SEARCH("R", 'WetLitterbags placem_collection'!$V180)),"YES","NO")</f>
        <v>NO</v>
      </c>
    </row>
    <row r="180" spans="1:42" ht="15" customHeight="1">
      <c r="A180" t="s">
        <v>3248</v>
      </c>
      <c r="B180" s="248" t="s">
        <v>2454</v>
      </c>
      <c r="C180" s="253">
        <f>'Dry_Litterbag Placem_Collection'!A181</f>
        <v>179</v>
      </c>
      <c r="D180" s="253" t="str">
        <f>'Dry_Litterbag Placem_Collection'!B181</f>
        <v>Handajega</v>
      </c>
      <c r="E180" s="253" t="s">
        <v>2454</v>
      </c>
      <c r="F180" s="253" t="s">
        <v>2645</v>
      </c>
      <c r="G180" s="253">
        <v>3</v>
      </c>
      <c r="H180" s="253" t="s">
        <v>3129</v>
      </c>
      <c r="I180" s="254" t="str">
        <f>'Dry_Litterbag Placem_Collection'!C181</f>
        <v>Wet_W3_T3</v>
      </c>
      <c r="J180" s="255" t="s">
        <v>2525</v>
      </c>
      <c r="K180" s="256" t="s">
        <v>1147</v>
      </c>
      <c r="L180" s="221" t="str">
        <f>'WetLitterbags placem_collection'!K181</f>
        <v>G451</v>
      </c>
      <c r="M180" s="223">
        <f>IFERROR(INDEX('Green_rooibos initial weight'!$C$5:$C$2000,MATCH(L180, 'Green_rooibos initial weight'!$A$5:$A$2000,0)),"")</f>
        <v>2.1139999999999999</v>
      </c>
      <c r="N180" s="223">
        <f>IFERROR(M180-(TBIcalc!$H$9+TBIcalc!$H$10),"")</f>
        <v>1.8641999999999999</v>
      </c>
      <c r="O180" s="378">
        <f>AVERAGE(Ashed_controlls!$K$2:$K$11)</f>
        <v>5.5147656768714146</v>
      </c>
      <c r="P180" s="223">
        <f t="shared" si="11"/>
        <v>1.761393738251763</v>
      </c>
      <c r="Q180" s="223">
        <f>IFERROR(INDEX('Both teabags AfterWet'!$C$3:$C$840,MATCH(L180,'Both teabags AfterWet'!$A$3:$A$840,0)),"")</f>
        <v>0.60329999999999995</v>
      </c>
      <c r="R180" s="223">
        <f>IFERROR(IF(Q180&gt;0,Q180-(TBIcalc!$H$9),""),"")</f>
        <v>0.45269999999999994</v>
      </c>
      <c r="S180" s="223">
        <f>IFERROR(INDEX('Ashed teabags wet'!$K$2:$K$2000,MATCH(L180,'Ashed teabags wet'!$A$2:$A$2000,0)),"")</f>
        <v>8.9466089466084018</v>
      </c>
      <c r="T180" s="223">
        <f t="shared" si="12"/>
        <v>0.41219870129870373</v>
      </c>
      <c r="U180" s="224">
        <f>'WetLitterbags placem_collection'!E181</f>
        <v>42763</v>
      </c>
      <c r="V180" s="224">
        <f>IF('WetLitterbags placem_collection'!G181="","",'WetLitterbags placem_collection'!G181)</f>
        <v>42815</v>
      </c>
      <c r="W180" s="225">
        <f t="shared" si="10"/>
        <v>52</v>
      </c>
      <c r="X180" s="223">
        <f t="shared" si="13"/>
        <v>1.4115</v>
      </c>
      <c r="Y180" s="223">
        <f t="shared" si="14"/>
        <v>1.3491950369530592</v>
      </c>
      <c r="Z180">
        <f>IFERROR(INDEX([1]Rainfall_Wet!$O$2:$O$217,MATCH(C180, [1]Rainfall_Wet!$A$2:$A$217,0)),"")</f>
        <v>188.24043152799999</v>
      </c>
      <c r="AA180" s="226">
        <v>25.96</v>
      </c>
      <c r="AB180" s="226">
        <v>8.9200000000000017</v>
      </c>
      <c r="AC180" s="226">
        <v>65.12</v>
      </c>
      <c r="AD180" s="227" t="s">
        <v>2651</v>
      </c>
      <c r="AE180" s="226">
        <v>3.61458846722523</v>
      </c>
      <c r="AF180">
        <f>IF('WetLitterbags placem_collection'!AB181="","",'WetLitterbags placem_collection'!AB181)</f>
        <v>11.8</v>
      </c>
      <c r="AG180">
        <f>IF('WetLitterbags placem_collection'!Z181="","",'WetLitterbags placem_collection'!Z181)</f>
        <v>15.4</v>
      </c>
      <c r="AH180" s="236" t="str">
        <f>IF('WetLitterbags placem_collection'!AA181="","",'WetLitterbags placem_collection'!AA181)</f>
        <v>O</v>
      </c>
      <c r="AI180">
        <f>IF('WetLitterbags placem_collection'!AC181="","",'WetLitterbags placem_collection'!AC181)</f>
        <v>1</v>
      </c>
      <c r="AJ180" s="233">
        <f>AVERAGE('WetLitterbags placem_collection'!S181,'WetLitterbags placem_collection'!U181)</f>
        <v>14.8</v>
      </c>
      <c r="AK180">
        <f>AVERAGE('WetLitterbags placem_collection'!R181,'WetLitterbags placem_collection'!T181)</f>
        <v>32.150000000000006</v>
      </c>
      <c r="AL180">
        <f>INDEX([2]Coordinates!$B$2:$B$197,MATCH(I180,[2]Coordinates!$J$2:$J$197,0))</f>
        <v>-2.2778579589999999</v>
      </c>
      <c r="AM180">
        <f>INDEX([2]Coordinates!$C$2:$C$197,MATCH(I180,[2]Coordinates!$J$2:$J$197,0))</f>
        <v>34.027682980000002</v>
      </c>
      <c r="AN180" t="str">
        <f>IF(ISNUMBER(SEARCH("C", 'WetLitterbags placem_collection'!$V181)),"YES","NO")</f>
        <v>NO</v>
      </c>
      <c r="AO180" t="str">
        <f>IF(ISNUMBER(SEARCH("H", 'WetLitterbags placem_collection'!$V181)),"YES","NO")</f>
        <v>NO</v>
      </c>
      <c r="AP180" t="str">
        <f>IF(ISNUMBER(SEARCH("R", 'WetLitterbags placem_collection'!$V181)),"YES","NO")</f>
        <v>YES</v>
      </c>
    </row>
    <row r="181" spans="1:42" ht="15" customHeight="1">
      <c r="A181" t="s">
        <v>3248</v>
      </c>
      <c r="B181" s="248" t="s">
        <v>2454</v>
      </c>
      <c r="C181" s="253">
        <f>'Dry_Litterbag Placem_Collection'!A182</f>
        <v>180</v>
      </c>
      <c r="D181" s="253" t="str">
        <f>'Dry_Litterbag Placem_Collection'!B182</f>
        <v>Handajega</v>
      </c>
      <c r="E181" s="253" t="s">
        <v>2454</v>
      </c>
      <c r="F181" s="253" t="s">
        <v>2645</v>
      </c>
      <c r="G181" s="253">
        <v>3</v>
      </c>
      <c r="H181" s="253" t="s">
        <v>3129</v>
      </c>
      <c r="I181" s="254" t="str">
        <f>'Dry_Litterbag Placem_Collection'!C182</f>
        <v>Wet_W3_T4</v>
      </c>
      <c r="J181" s="255" t="s">
        <v>2525</v>
      </c>
      <c r="K181" s="256" t="s">
        <v>1147</v>
      </c>
      <c r="L181" s="221" t="str">
        <f>'WetLitterbags placem_collection'!K182</f>
        <v>G360</v>
      </c>
      <c r="M181" s="223">
        <f>IFERROR(INDEX('Green_rooibos initial weight'!$C$5:$C$2000,MATCH(L181, 'Green_rooibos initial weight'!$A$5:$A$2000,0)),"")</f>
        <v>2.0099999999999998</v>
      </c>
      <c r="N181" s="223">
        <f>IFERROR(M181-(TBIcalc!$H$9+TBIcalc!$H$10),"")</f>
        <v>1.7601999999999998</v>
      </c>
      <c r="O181" s="378">
        <f>AVERAGE(Ashed_controlls!$K$2:$K$11)</f>
        <v>5.5147656768714146</v>
      </c>
      <c r="P181" s="223">
        <f t="shared" si="11"/>
        <v>1.6631290945557091</v>
      </c>
      <c r="Q181" s="223">
        <f>IFERROR(INDEX('Both teabags AfterWet'!$C$3:$C$840,MATCH(L181,'Both teabags AfterWet'!$A$3:$A$840,0)),"")</f>
        <v>0.62219999999999998</v>
      </c>
      <c r="R181" s="223">
        <f>IFERROR(IF(Q181&gt;0,Q181-(TBIcalc!$H$9),""),"")</f>
        <v>0.47159999999999996</v>
      </c>
      <c r="S181" s="223">
        <f>IFERROR(INDEX('Ashed teabags wet'!$K$2:$K$2000,MATCH(L181,'Ashed teabags wet'!$A$2:$A$2000,0)),"")</f>
        <v>9.1525423728814648</v>
      </c>
      <c r="T181" s="223">
        <f t="shared" si="12"/>
        <v>0.42843661016949097</v>
      </c>
      <c r="U181" s="224">
        <f>'WetLitterbags placem_collection'!E182</f>
        <v>42763</v>
      </c>
      <c r="V181" s="224">
        <f>IF('WetLitterbags placem_collection'!G182="","",'WetLitterbags placem_collection'!G182)</f>
        <v>42815</v>
      </c>
      <c r="W181" s="225">
        <f t="shared" si="10"/>
        <v>52</v>
      </c>
      <c r="X181" s="223">
        <f t="shared" si="13"/>
        <v>1.2885999999999997</v>
      </c>
      <c r="Y181" s="223">
        <f t="shared" si="14"/>
        <v>1.2346924843862181</v>
      </c>
      <c r="Z181">
        <f>IFERROR(INDEX([1]Rainfall_Wet!$O$2:$O$217,MATCH(C181, [1]Rainfall_Wet!$A$2:$A$217,0)),"")</f>
        <v>188.24043152799999</v>
      </c>
      <c r="AA181" s="226">
        <v>25.96</v>
      </c>
      <c r="AB181" s="226">
        <v>8.9200000000000017</v>
      </c>
      <c r="AC181" s="226">
        <v>65.12</v>
      </c>
      <c r="AD181" s="227" t="s">
        <v>2651</v>
      </c>
      <c r="AE181" s="226">
        <v>4.6145884672252304</v>
      </c>
      <c r="AF181">
        <f>IF('WetLitterbags placem_collection'!AB182="","",'WetLitterbags placem_collection'!AB182)</f>
        <v>8.3000000000000007</v>
      </c>
      <c r="AG181">
        <f>IF('WetLitterbags placem_collection'!Z182="","",'WetLitterbags placem_collection'!Z182)</f>
        <v>35</v>
      </c>
      <c r="AH181" s="236" t="str">
        <f>IF('WetLitterbags placem_collection'!AA182="","",'WetLitterbags placem_collection'!AA182)</f>
        <v>O</v>
      </c>
      <c r="AI181">
        <f>IF('WetLitterbags placem_collection'!AC182="","",'WetLitterbags placem_collection'!AC182)</f>
        <v>0</v>
      </c>
      <c r="AJ181" s="233">
        <f>AVERAGE('WetLitterbags placem_collection'!S182,'WetLitterbags placem_collection'!U182)</f>
        <v>12.85</v>
      </c>
      <c r="AK181">
        <f>AVERAGE('WetLitterbags placem_collection'!R182,'WetLitterbags placem_collection'!T182)</f>
        <v>32.450000000000003</v>
      </c>
      <c r="AL181">
        <f>INDEX([2]Coordinates!$B$2:$B$197,MATCH(I181,[2]Coordinates!$J$2:$J$197,0))</f>
        <v>-2.2780199809999999</v>
      </c>
      <c r="AM181">
        <f>INDEX([2]Coordinates!$C$2:$C$197,MATCH(I181,[2]Coordinates!$J$2:$J$197,0))</f>
        <v>34.027705019999999</v>
      </c>
      <c r="AN181" t="str">
        <f>IF(ISNUMBER(SEARCH("C", 'WetLitterbags placem_collection'!$V182)),"YES","NO")</f>
        <v>NO</v>
      </c>
      <c r="AO181" t="str">
        <f>IF(ISNUMBER(SEARCH("H", 'WetLitterbags placem_collection'!$V182)),"YES","NO")</f>
        <v>NO</v>
      </c>
      <c r="AP181" t="str">
        <f>IF(ISNUMBER(SEARCH("R", 'WetLitterbags placem_collection'!$V182)),"YES","NO")</f>
        <v>NO</v>
      </c>
    </row>
    <row r="182" spans="1:42" ht="15" customHeight="1">
      <c r="A182" t="s">
        <v>3248</v>
      </c>
      <c r="B182" s="248" t="s">
        <v>2454</v>
      </c>
      <c r="C182" s="253">
        <f>'Dry_Litterbag Placem_Collection'!A183</f>
        <v>181</v>
      </c>
      <c r="D182" s="253" t="str">
        <f>'Dry_Litterbag Placem_Collection'!B183</f>
        <v>Handajega</v>
      </c>
      <c r="E182" s="253" t="s">
        <v>2454</v>
      </c>
      <c r="F182" s="253" t="s">
        <v>2645</v>
      </c>
      <c r="G182" s="253">
        <v>3</v>
      </c>
      <c r="H182" s="253" t="s">
        <v>3129</v>
      </c>
      <c r="I182" s="254" t="str">
        <f>'Dry_Litterbag Placem_Collection'!C183</f>
        <v>Wet_W3_T5</v>
      </c>
      <c r="J182" s="255" t="s">
        <v>2525</v>
      </c>
      <c r="K182" s="256" t="s">
        <v>1147</v>
      </c>
      <c r="L182" s="221" t="str">
        <f>'WetLitterbags placem_collection'!K183</f>
        <v>G458</v>
      </c>
      <c r="M182" s="223">
        <f>IFERROR(INDEX('Green_rooibos initial weight'!$C$5:$C$2000,MATCH(L182, 'Green_rooibos initial weight'!$A$5:$A$2000,0)),"")</f>
        <v>1.9770000000000001</v>
      </c>
      <c r="N182" s="223">
        <f>IFERROR(M182-(TBIcalc!$H$9+TBIcalc!$H$10),"")</f>
        <v>1.7272000000000001</v>
      </c>
      <c r="O182" s="378">
        <f>AVERAGE(Ashed_controlls!$K$2:$K$11)</f>
        <v>5.5147656768714146</v>
      </c>
      <c r="P182" s="223">
        <f t="shared" si="11"/>
        <v>1.631948967229077</v>
      </c>
      <c r="Q182" s="223">
        <f>IFERROR(INDEX('Both teabags AfterWet'!$C$3:$C$840,MATCH(L182,'Both teabags AfterWet'!$A$3:$A$840,0)),"")</f>
        <v>0.57499999999999996</v>
      </c>
      <c r="R182" s="223">
        <f>IFERROR(IF(Q182&gt;0,Q182-(TBIcalc!$H$9),""),"")</f>
        <v>0.42439999999999994</v>
      </c>
      <c r="S182" s="223">
        <f>IFERROR(INDEX('Ashed teabags wet'!$K$2:$K$2000,MATCH(L182,'Ashed teabags wet'!$A$2:$A$2000,0)),"")</f>
        <v>9.1358024691352888</v>
      </c>
      <c r="T182" s="223">
        <f t="shared" si="12"/>
        <v>0.38562765432098978</v>
      </c>
      <c r="U182" s="224">
        <f>'WetLitterbags placem_collection'!E183</f>
        <v>42763</v>
      </c>
      <c r="V182" s="224">
        <f>IF('WetLitterbags placem_collection'!G183="","",'WetLitterbags placem_collection'!G183)</f>
        <v>42815</v>
      </c>
      <c r="W182" s="225">
        <f t="shared" si="10"/>
        <v>52</v>
      </c>
      <c r="X182" s="223">
        <f t="shared" si="13"/>
        <v>1.3028000000000002</v>
      </c>
      <c r="Y182" s="223">
        <f t="shared" si="14"/>
        <v>1.2463213129080872</v>
      </c>
      <c r="Z182">
        <f>IFERROR(INDEX([1]Rainfall_Wet!$O$2:$O$217,MATCH(C182, [1]Rainfall_Wet!$A$2:$A$217,0)),"")</f>
        <v>188.24043152799999</v>
      </c>
      <c r="AA182" s="226">
        <v>25.96</v>
      </c>
      <c r="AB182" s="226">
        <v>8.9200000000000017</v>
      </c>
      <c r="AC182" s="226">
        <v>65.12</v>
      </c>
      <c r="AD182" s="227" t="s">
        <v>2651</v>
      </c>
      <c r="AE182" s="226">
        <v>5.6145884672252304</v>
      </c>
      <c r="AF182">
        <f>IF('WetLitterbags placem_collection'!AB183="","",'WetLitterbags placem_collection'!AB183)</f>
        <v>11.4</v>
      </c>
      <c r="AG182">
        <f>IF('WetLitterbags placem_collection'!Z183="","",'WetLitterbags placem_collection'!Z183)</f>
        <v>15.8</v>
      </c>
      <c r="AH182" s="236" t="str">
        <f>IF('WetLitterbags placem_collection'!AA183="","",'WetLitterbags placem_collection'!AA183)</f>
        <v>O</v>
      </c>
      <c r="AI182">
        <f>IF('WetLitterbags placem_collection'!AC183="","",'WetLitterbags placem_collection'!AC183)</f>
        <v>1</v>
      </c>
      <c r="AJ182" s="233">
        <f>AVERAGE('WetLitterbags placem_collection'!S183,'WetLitterbags placem_collection'!U183)</f>
        <v>13.75</v>
      </c>
      <c r="AK182">
        <f>AVERAGE('WetLitterbags placem_collection'!R183,'WetLitterbags placem_collection'!T183)</f>
        <v>32.650000000000006</v>
      </c>
      <c r="AL182">
        <f>INDEX([2]Coordinates!$B$2:$B$197,MATCH(I182,[2]Coordinates!$J$2:$J$197,0))</f>
        <v>-2.2777329850000001</v>
      </c>
      <c r="AM182">
        <f>INDEX([2]Coordinates!$C$2:$C$197,MATCH(I182,[2]Coordinates!$J$2:$J$197,0))</f>
        <v>34.027422970000003</v>
      </c>
      <c r="AN182" t="str">
        <f>IF(ISNUMBER(SEARCH("C", 'WetLitterbags placem_collection'!$V183)),"YES","NO")</f>
        <v>NO</v>
      </c>
      <c r="AO182" t="str">
        <f>IF(ISNUMBER(SEARCH("H", 'WetLitterbags placem_collection'!$V183)),"YES","NO")</f>
        <v>NO</v>
      </c>
      <c r="AP182" t="str">
        <f>IF(ISNUMBER(SEARCH("R", 'WetLitterbags placem_collection'!$V183)),"YES","NO")</f>
        <v>NO</v>
      </c>
    </row>
    <row r="183" spans="1:42" ht="15" customHeight="1">
      <c r="A183" t="s">
        <v>3248</v>
      </c>
      <c r="B183" s="248" t="s">
        <v>2454</v>
      </c>
      <c r="C183" s="253">
        <f>'Dry_Litterbag Placem_Collection'!A184</f>
        <v>182</v>
      </c>
      <c r="D183" s="253" t="str">
        <f>'Dry_Litterbag Placem_Collection'!B184</f>
        <v>Handajega</v>
      </c>
      <c r="E183" s="253" t="s">
        <v>2454</v>
      </c>
      <c r="F183" s="253" t="s">
        <v>2645</v>
      </c>
      <c r="G183" s="253">
        <v>3</v>
      </c>
      <c r="H183" s="253" t="s">
        <v>3129</v>
      </c>
      <c r="I183" s="254" t="str">
        <f>'Dry_Litterbag Placem_Collection'!C184</f>
        <v>Wet_W3_T6</v>
      </c>
      <c r="J183" s="255" t="s">
        <v>2525</v>
      </c>
      <c r="K183" s="256" t="s">
        <v>1147</v>
      </c>
      <c r="L183" s="221" t="str">
        <f>'WetLitterbags placem_collection'!K184</f>
        <v>G403</v>
      </c>
      <c r="M183" s="223">
        <f>IFERROR(INDEX('Green_rooibos initial weight'!$C$5:$C$2000,MATCH(L183, 'Green_rooibos initial weight'!$A$5:$A$2000,0)),"")</f>
        <v>2.06</v>
      </c>
      <c r="N183" s="223">
        <f>IFERROR(M183-(TBIcalc!$H$9+TBIcalc!$H$10),"")</f>
        <v>1.8102</v>
      </c>
      <c r="O183" s="378">
        <f>AVERAGE(Ashed_controlls!$K$2:$K$11)</f>
        <v>5.5147656768714146</v>
      </c>
      <c r="P183" s="223">
        <f t="shared" si="11"/>
        <v>1.7103717117172736</v>
      </c>
      <c r="Q183" s="223">
        <f>IFERROR(INDEX('Both teabags AfterWet'!$C$3:$C$840,MATCH(L183,'Both teabags AfterWet'!$A$3:$A$840,0)),"")</f>
        <v>0.69440000000000002</v>
      </c>
      <c r="R183" s="223">
        <f>IFERROR(IF(Q183&gt;0,Q183-(TBIcalc!$H$9),""),"")</f>
        <v>0.54380000000000006</v>
      </c>
      <c r="S183" s="223">
        <f>IFERROR(INDEX('Ashed teabags wet'!$K$2:$K$2000,MATCH(L183,'Ashed teabags wet'!$A$2:$A$2000,0)),"")</f>
        <v>8.8845014807495417</v>
      </c>
      <c r="T183" s="223">
        <f t="shared" si="12"/>
        <v>0.49548608094768404</v>
      </c>
      <c r="U183" s="224">
        <f>'WetLitterbags placem_collection'!E184</f>
        <v>42763</v>
      </c>
      <c r="V183" s="224">
        <f>IF('WetLitterbags placem_collection'!G184="","",'WetLitterbags placem_collection'!G184)</f>
        <v>42815</v>
      </c>
      <c r="W183" s="225">
        <f t="shared" si="10"/>
        <v>52</v>
      </c>
      <c r="X183" s="223">
        <f t="shared" si="13"/>
        <v>1.2664</v>
      </c>
      <c r="Y183" s="223">
        <f t="shared" si="14"/>
        <v>1.2148856307695897</v>
      </c>
      <c r="Z183">
        <f>IFERROR(INDEX([1]Rainfall_Wet!$O$2:$O$217,MATCH(C183, [1]Rainfall_Wet!$A$2:$A$217,0)),"")</f>
        <v>188.24043152799999</v>
      </c>
      <c r="AA183" s="226">
        <v>25.96</v>
      </c>
      <c r="AB183" s="226">
        <v>8.9200000000000017</v>
      </c>
      <c r="AC183" s="226">
        <v>65.12</v>
      </c>
      <c r="AD183" s="227" t="s">
        <v>2651</v>
      </c>
      <c r="AE183" s="226">
        <v>6.6145884672252304</v>
      </c>
      <c r="AF183">
        <f>IF('WetLitterbags placem_collection'!AB184="","",'WetLitterbags placem_collection'!AB184)</f>
        <v>8.8000000000000007</v>
      </c>
      <c r="AG183">
        <f>IF('WetLitterbags placem_collection'!Z184="","",'WetLitterbags placem_collection'!Z184)</f>
        <v>15.8</v>
      </c>
      <c r="AH183" s="236" t="str">
        <f>IF('WetLitterbags placem_collection'!AA184="","",'WetLitterbags placem_collection'!AA184)</f>
        <v>O</v>
      </c>
      <c r="AI183">
        <f>IF('WetLitterbags placem_collection'!AC184="","",'WetLitterbags placem_collection'!AC184)</f>
        <v>1</v>
      </c>
      <c r="AJ183" s="233">
        <f>AVERAGE('WetLitterbags placem_collection'!S184,'WetLitterbags placem_collection'!U184)</f>
        <v>11.55</v>
      </c>
      <c r="AK183">
        <f>AVERAGE('WetLitterbags placem_collection'!R184,'WetLitterbags placem_collection'!T184)</f>
        <v>33.299999999999997</v>
      </c>
      <c r="AL183">
        <f>INDEX([2]Coordinates!$B$2:$B$197,MATCH(I183,[2]Coordinates!$J$2:$J$197,0))</f>
        <v>-2.2777009659999998</v>
      </c>
      <c r="AM183">
        <f>INDEX([2]Coordinates!$C$2:$C$197,MATCH(I183,[2]Coordinates!$J$2:$J$197,0))</f>
        <v>34.027393969999999</v>
      </c>
      <c r="AN183" t="str">
        <f>IF(ISNUMBER(SEARCH("C", 'WetLitterbags placem_collection'!$V184)),"YES","NO")</f>
        <v>NO</v>
      </c>
      <c r="AO183" t="str">
        <f>IF(ISNUMBER(SEARCH("H", 'WetLitterbags placem_collection'!$V184)),"YES","NO")</f>
        <v>YES</v>
      </c>
      <c r="AP183" t="str">
        <f>IF(ISNUMBER(SEARCH("R", 'WetLitterbags placem_collection'!$V184)),"YES","NO")</f>
        <v>YES</v>
      </c>
    </row>
    <row r="184" spans="1:42" ht="15" customHeight="1">
      <c r="A184" t="s">
        <v>3248</v>
      </c>
      <c r="B184" s="248" t="s">
        <v>2454</v>
      </c>
      <c r="C184" s="253">
        <f>'Dry_Litterbag Placem_Collection'!A185</f>
        <v>183</v>
      </c>
      <c r="D184" s="253" t="str">
        <f>'Dry_Litterbag Placem_Collection'!B185</f>
        <v>Handajega</v>
      </c>
      <c r="E184" s="253" t="s">
        <v>2454</v>
      </c>
      <c r="F184" s="253" t="s">
        <v>2645</v>
      </c>
      <c r="G184" s="253">
        <v>3</v>
      </c>
      <c r="H184" s="253" t="s">
        <v>3129</v>
      </c>
      <c r="I184" s="254" t="str">
        <f>'Dry_Litterbag Placem_Collection'!C185</f>
        <v>Wet_W3_T7</v>
      </c>
      <c r="J184" s="255" t="s">
        <v>2525</v>
      </c>
      <c r="K184" s="256" t="s">
        <v>1147</v>
      </c>
      <c r="L184" s="221" t="str">
        <f>'WetLitterbags placem_collection'!K185</f>
        <v>G585</v>
      </c>
      <c r="M184" s="223">
        <f>IFERROR(INDEX('Green_rooibos initial weight'!$C$5:$C$2000,MATCH(L184, 'Green_rooibos initial weight'!$A$5:$A$2000,0)),"")</f>
        <v>2.1669999999999998</v>
      </c>
      <c r="N184" s="223">
        <f>IFERROR(M184-(TBIcalc!$H$9+TBIcalc!$H$10),"")</f>
        <v>1.9171999999999998</v>
      </c>
      <c r="O184" s="378">
        <f>AVERAGE(Ashed_controlls!$K$2:$K$11)</f>
        <v>5.5147656768714146</v>
      </c>
      <c r="P184" s="223">
        <f t="shared" si="11"/>
        <v>1.8114709124430211</v>
      </c>
      <c r="Q184" s="223">
        <f>IFERROR(INDEX('Both teabags AfterWet'!$C$3:$C$840,MATCH(L184,'Both teabags AfterWet'!$A$3:$A$840,0)),"")</f>
        <v>0.71799999999999997</v>
      </c>
      <c r="R184" s="223">
        <f>IFERROR(IF(Q184&gt;0,Q184-(TBIcalc!$H$9),""),"")</f>
        <v>0.5673999999999999</v>
      </c>
      <c r="S184" s="223">
        <f>IFERROR(INDEX('Ashed teabags wet'!$K$2:$K$2000,MATCH(L184,'Ashed teabags wet'!$A$2:$A$2000,0)),"")</f>
        <v>10.155490767735316</v>
      </c>
      <c r="T184" s="223">
        <f t="shared" si="12"/>
        <v>0.50977774538386977</v>
      </c>
      <c r="U184" s="224">
        <f>'WetLitterbags placem_collection'!E185</f>
        <v>42763</v>
      </c>
      <c r="V184" s="224">
        <f>IF('WetLitterbags placem_collection'!G185="","",'WetLitterbags placem_collection'!G185)</f>
        <v>42815</v>
      </c>
      <c r="W184" s="225">
        <f t="shared" si="10"/>
        <v>52</v>
      </c>
      <c r="X184" s="223">
        <f t="shared" si="13"/>
        <v>1.3497999999999999</v>
      </c>
      <c r="Y184" s="223">
        <f t="shared" si="14"/>
        <v>1.3016931670591512</v>
      </c>
      <c r="Z184">
        <f>IFERROR(INDEX([1]Rainfall_Wet!$O$2:$O$217,MATCH(C184, [1]Rainfall_Wet!$A$2:$A$217,0)),"")</f>
        <v>188.24043152799999</v>
      </c>
      <c r="AA184" s="226">
        <v>25.96</v>
      </c>
      <c r="AB184" s="226">
        <v>8.9200000000000017</v>
      </c>
      <c r="AC184" s="226">
        <v>65.12</v>
      </c>
      <c r="AD184" s="227" t="s">
        <v>2651</v>
      </c>
      <c r="AE184" s="226">
        <v>7.6145884672252304</v>
      </c>
      <c r="AF184">
        <f>IF('WetLitterbags placem_collection'!AB185="","",'WetLitterbags placem_collection'!AB185)</f>
        <v>11.4</v>
      </c>
      <c r="AG184">
        <f>IF('WetLitterbags placem_collection'!Z185="","",'WetLitterbags placem_collection'!Z185)</f>
        <v>35.799999999999997</v>
      </c>
      <c r="AH184" s="236" t="str">
        <f>IF('WetLitterbags placem_collection'!AA185="","",'WetLitterbags placem_collection'!AA185)</f>
        <v>G</v>
      </c>
      <c r="AI184">
        <f>IF('WetLitterbags placem_collection'!AC185="","",'WetLitterbags placem_collection'!AC185)</f>
        <v>1</v>
      </c>
      <c r="AJ184" s="233">
        <f>AVERAGE('WetLitterbags placem_collection'!S185,'WetLitterbags placem_collection'!U185)</f>
        <v>13.4</v>
      </c>
      <c r="AK184">
        <f>AVERAGE('WetLitterbags placem_collection'!R185,'WetLitterbags placem_collection'!T185)</f>
        <v>33.5</v>
      </c>
      <c r="AL184">
        <f>INDEX([2]Coordinates!$B$2:$B$197,MATCH(I184,[2]Coordinates!$J$2:$J$197,0))</f>
        <v>-2.2777790019999999</v>
      </c>
      <c r="AM184">
        <f>INDEX([2]Coordinates!$C$2:$C$197,MATCH(I184,[2]Coordinates!$J$2:$J$197,0))</f>
        <v>34.028066029999998</v>
      </c>
      <c r="AN184" t="str">
        <f>IF(ISNUMBER(SEARCH("C", 'WetLitterbags placem_collection'!$V185)),"YES","NO")</f>
        <v>YES</v>
      </c>
      <c r="AO184" t="str">
        <f>IF(ISNUMBER(SEARCH("H", 'WetLitterbags placem_collection'!$V185)),"YES","NO")</f>
        <v>NO</v>
      </c>
      <c r="AP184" t="str">
        <f>IF(ISNUMBER(SEARCH("R", 'WetLitterbags placem_collection'!$V185)),"YES","NO")</f>
        <v>NO</v>
      </c>
    </row>
    <row r="185" spans="1:42" ht="15" customHeight="1">
      <c r="A185" t="s">
        <v>3248</v>
      </c>
      <c r="B185" s="248" t="s">
        <v>2454</v>
      </c>
      <c r="C185" s="253">
        <f>'Dry_Litterbag Placem_Collection'!A186</f>
        <v>184</v>
      </c>
      <c r="D185" s="253" t="str">
        <f>'Dry_Litterbag Placem_Collection'!B186</f>
        <v>Handajega</v>
      </c>
      <c r="E185" s="253" t="s">
        <v>2454</v>
      </c>
      <c r="F185" s="253" t="s">
        <v>2645</v>
      </c>
      <c r="G185" s="253">
        <v>3</v>
      </c>
      <c r="H185" s="253" t="s">
        <v>3129</v>
      </c>
      <c r="I185" s="254" t="str">
        <f>'Dry_Litterbag Placem_Collection'!C186</f>
        <v>Wet_W3_T8</v>
      </c>
      <c r="J185" s="255" t="s">
        <v>2525</v>
      </c>
      <c r="K185" s="256" t="s">
        <v>1147</v>
      </c>
      <c r="L185" s="221" t="str">
        <f>'WetLitterbags placem_collection'!K186</f>
        <v>G669</v>
      </c>
      <c r="M185" s="223">
        <f>IFERROR(INDEX('Green_rooibos initial weight'!$C$5:$C$2000,MATCH(L185, 'Green_rooibos initial weight'!$A$5:$A$2000,0)),"")</f>
        <v>1.9359999999999999</v>
      </c>
      <c r="N185" s="223">
        <f>IFERROR(M185-(TBIcalc!$H$9+TBIcalc!$H$10),"")</f>
        <v>1.6861999999999999</v>
      </c>
      <c r="O185" s="378">
        <f>AVERAGE(Ashed_controlls!$K$2:$K$11)</f>
        <v>5.5147656768714146</v>
      </c>
      <c r="P185" s="223">
        <f t="shared" si="11"/>
        <v>1.593210021156594</v>
      </c>
      <c r="Q185" s="223">
        <f>IFERROR(INDEX('Both teabags AfterWet'!$C$3:$C$840,MATCH(L185,'Both teabags AfterWet'!$A$3:$A$840,0)),"")</f>
        <v>0.7097</v>
      </c>
      <c r="R185" s="223">
        <f>IFERROR(IF(Q185&gt;0,Q185-(TBIcalc!$H$9),""),"")</f>
        <v>0.55909999999999993</v>
      </c>
      <c r="S185" s="223">
        <f>IFERROR(INDEX('Ashed teabags wet'!$K$2:$K$2000,MATCH(L185,'Ashed teabags wet'!$A$2:$A$2000,0)),"")</f>
        <v>8.7171867261018541</v>
      </c>
      <c r="T185" s="223">
        <f t="shared" si="12"/>
        <v>0.51036220901436447</v>
      </c>
      <c r="U185" s="224">
        <f>'WetLitterbags placem_collection'!E186</f>
        <v>42763</v>
      </c>
      <c r="V185" s="224">
        <f>IF('WetLitterbags placem_collection'!G186="","",'WetLitterbags placem_collection'!G186)</f>
        <v>42815</v>
      </c>
      <c r="W185" s="225">
        <f t="shared" si="10"/>
        <v>52</v>
      </c>
      <c r="X185" s="223">
        <f t="shared" si="13"/>
        <v>1.1271</v>
      </c>
      <c r="Y185" s="223">
        <f t="shared" si="14"/>
        <v>1.0828478121422296</v>
      </c>
      <c r="Z185">
        <f>IFERROR(INDEX([1]Rainfall_Wet!$O$2:$O$217,MATCH(C185, [1]Rainfall_Wet!$A$2:$A$217,0)),"")</f>
        <v>188.24043152799999</v>
      </c>
      <c r="AA185" s="226">
        <v>25.96</v>
      </c>
      <c r="AB185" s="226">
        <v>8.9200000000000017</v>
      </c>
      <c r="AC185" s="226">
        <v>65.12</v>
      </c>
      <c r="AD185" s="227" t="s">
        <v>2651</v>
      </c>
      <c r="AE185" s="226">
        <v>8.6145884672252304</v>
      </c>
      <c r="AF185">
        <f>IF('WetLitterbags placem_collection'!AB186="","",'WetLitterbags placem_collection'!AB186)</f>
        <v>3.7</v>
      </c>
      <c r="AG185">
        <f>IF('WetLitterbags placem_collection'!Z186="","",'WetLitterbags placem_collection'!Z186)</f>
        <v>16.399999999999999</v>
      </c>
      <c r="AH185" s="236" t="str">
        <f>IF('WetLitterbags placem_collection'!AA186="","",'WetLitterbags placem_collection'!AA186)</f>
        <v>O</v>
      </c>
      <c r="AI185">
        <f>IF('WetLitterbags placem_collection'!AC186="","",'WetLitterbags placem_collection'!AC186)</f>
        <v>0</v>
      </c>
      <c r="AJ185" s="233">
        <f>AVERAGE('WetLitterbags placem_collection'!S186,'WetLitterbags placem_collection'!U186)</f>
        <v>13.3</v>
      </c>
      <c r="AK185">
        <f>AVERAGE('WetLitterbags placem_collection'!R186,'WetLitterbags placem_collection'!T186)</f>
        <v>29.950000000000003</v>
      </c>
      <c r="AL185">
        <f>INDEX([2]Coordinates!$B$2:$B$197,MATCH(I185,[2]Coordinates!$J$2:$J$197,0))</f>
        <v>-2.2775169829999999</v>
      </c>
      <c r="AM185">
        <f>INDEX([2]Coordinates!$C$2:$C$197,MATCH(I185,[2]Coordinates!$J$2:$J$197,0))</f>
        <v>34.027766970000002</v>
      </c>
      <c r="AN185" t="str">
        <f>IF(ISNUMBER(SEARCH("C", 'WetLitterbags placem_collection'!$V186)),"YES","NO")</f>
        <v>NO</v>
      </c>
      <c r="AO185" t="str">
        <f>IF(ISNUMBER(SEARCH("H", 'WetLitterbags placem_collection'!$V186)),"YES","NO")</f>
        <v>NO</v>
      </c>
      <c r="AP185" t="str">
        <f>IF(ISNUMBER(SEARCH("R", 'WetLitterbags placem_collection'!$V186)),"YES","NO")</f>
        <v>YES</v>
      </c>
    </row>
    <row r="186" spans="1:42" ht="15" customHeight="1">
      <c r="A186" t="s">
        <v>3248</v>
      </c>
      <c r="B186" s="248" t="s">
        <v>2454</v>
      </c>
      <c r="C186" s="253">
        <f>'Dry_Litterbag Placem_Collection'!A187</f>
        <v>185</v>
      </c>
      <c r="D186" s="253" t="str">
        <f>'Dry_Litterbag Placem_Collection'!B187</f>
        <v>Handajega</v>
      </c>
      <c r="E186" s="253" t="s">
        <v>2454</v>
      </c>
      <c r="F186" s="253" t="s">
        <v>2645</v>
      </c>
      <c r="G186" s="253">
        <v>4</v>
      </c>
      <c r="H186" s="253" t="s">
        <v>3130</v>
      </c>
      <c r="I186" s="254" t="str">
        <f>'Dry_Litterbag Placem_Collection'!C187</f>
        <v>Wet_W4_T1</v>
      </c>
      <c r="J186" s="255" t="s">
        <v>2525</v>
      </c>
      <c r="K186" s="256" t="s">
        <v>1147</v>
      </c>
      <c r="L186" s="221" t="str">
        <f>'WetLitterbags placem_collection'!K187</f>
        <v>G423</v>
      </c>
      <c r="M186" s="223">
        <f>IFERROR(INDEX('Green_rooibos initial weight'!$C$5:$C$2000,MATCH(L186, 'Green_rooibos initial weight'!$A$5:$A$2000,0)),"")</f>
        <v>2.0649999999999999</v>
      </c>
      <c r="N186" s="223">
        <f>IFERROR(M186-(TBIcalc!$H$9+TBIcalc!$H$10),"")</f>
        <v>1.8151999999999999</v>
      </c>
      <c r="O186" s="378">
        <f>AVERAGE(Ashed_controlls!$K$2:$K$11)</f>
        <v>5.5147656768714146</v>
      </c>
      <c r="P186" s="223">
        <f t="shared" si="11"/>
        <v>1.7150959734334301</v>
      </c>
      <c r="Q186" s="223">
        <f>IFERROR(INDEX('Both teabags AfterWet'!$C$3:$C$840,MATCH(L186,'Both teabags AfterWet'!$A$3:$A$840,0)),"")</f>
        <v>0.62319999999999998</v>
      </c>
      <c r="R186" s="223">
        <f>IFERROR(IF(Q186&gt;0,Q186-(TBIcalc!$H$9),""),"")</f>
        <v>0.47259999999999996</v>
      </c>
      <c r="S186" s="223">
        <f>IFERROR(INDEX('Ashed teabags wet'!$K$2:$K$2000,MATCH(L186,'Ashed teabags wet'!$A$2:$A$2000,0)),"")</f>
        <v>9.4793713163063114</v>
      </c>
      <c r="T186" s="223">
        <f t="shared" si="12"/>
        <v>0.42780049115913632</v>
      </c>
      <c r="U186" s="224">
        <f>'WetLitterbags placem_collection'!E187</f>
        <v>42763</v>
      </c>
      <c r="V186" s="224">
        <f>IF('WetLitterbags placem_collection'!G187="","",'WetLitterbags placem_collection'!G187)</f>
        <v>42815</v>
      </c>
      <c r="W186" s="225">
        <f t="shared" si="10"/>
        <v>52</v>
      </c>
      <c r="X186" s="223">
        <f t="shared" si="13"/>
        <v>1.3426</v>
      </c>
      <c r="Y186" s="223">
        <f t="shared" si="14"/>
        <v>1.2872954822742937</v>
      </c>
      <c r="Z186">
        <f>IFERROR(INDEX([1]Rainfall_Wet!$O$2:$O$217,MATCH(C186, [1]Rainfall_Wet!$A$2:$A$217,0)),"")</f>
        <v>188.24043152799999</v>
      </c>
      <c r="AA186" s="226">
        <v>25.96</v>
      </c>
      <c r="AB186" s="226">
        <v>8.9200000000000017</v>
      </c>
      <c r="AC186" s="226">
        <v>65.12</v>
      </c>
      <c r="AD186" s="227" t="s">
        <v>2651</v>
      </c>
      <c r="AE186" s="226">
        <v>1.6991621488417901</v>
      </c>
      <c r="AF186">
        <f>IF('WetLitterbags placem_collection'!AB187="","",'WetLitterbags placem_collection'!AB187)</f>
        <v>9.8000000000000007</v>
      </c>
      <c r="AG186">
        <f>IF('WetLitterbags placem_collection'!Z187="","",'WetLitterbags placem_collection'!Z187)</f>
        <v>29.4</v>
      </c>
      <c r="AH186" s="236" t="str">
        <f>IF('WetLitterbags placem_collection'!AA187="","",'WetLitterbags placem_collection'!AA187)</f>
        <v>O</v>
      </c>
      <c r="AI186">
        <f>IF('WetLitterbags placem_collection'!AC187="","",'WetLitterbags placem_collection'!AC187)</f>
        <v>0</v>
      </c>
      <c r="AJ186" s="233">
        <f>AVERAGE('WetLitterbags placem_collection'!S187,'WetLitterbags placem_collection'!U187)</f>
        <v>17.850000000000001</v>
      </c>
      <c r="AK186">
        <f>AVERAGE('WetLitterbags placem_collection'!R187,'WetLitterbags placem_collection'!T187)</f>
        <v>35.400000000000006</v>
      </c>
      <c r="AL186">
        <f>INDEX([2]Coordinates!$B$2:$B$197,MATCH(I186,[2]Coordinates!$J$2:$J$197,0))</f>
        <v>-2.2787330300000002</v>
      </c>
      <c r="AM186">
        <f>INDEX([2]Coordinates!$C$2:$C$197,MATCH(I186,[2]Coordinates!$J$2:$J$197,0))</f>
        <v>34.032136029999997</v>
      </c>
      <c r="AN186" t="str">
        <f>IF(ISNUMBER(SEARCH("C", 'WetLitterbags placem_collection'!$V187)),"YES","NO")</f>
        <v>NO</v>
      </c>
      <c r="AO186" t="str">
        <f>IF(ISNUMBER(SEARCH("H", 'WetLitterbags placem_collection'!$V187)),"YES","NO")</f>
        <v>NO</v>
      </c>
      <c r="AP186" t="str">
        <f>IF(ISNUMBER(SEARCH("R", 'WetLitterbags placem_collection'!$V187)),"YES","NO")</f>
        <v>NO</v>
      </c>
    </row>
    <row r="187" spans="1:42" ht="15" customHeight="1">
      <c r="A187" t="s">
        <v>3248</v>
      </c>
      <c r="B187" s="248" t="s">
        <v>2454</v>
      </c>
      <c r="C187" s="253">
        <f>'Dry_Litterbag Placem_Collection'!A188</f>
        <v>186</v>
      </c>
      <c r="D187" s="253" t="str">
        <f>'Dry_Litterbag Placem_Collection'!B188</f>
        <v>Handajega</v>
      </c>
      <c r="E187" s="253" t="s">
        <v>2454</v>
      </c>
      <c r="F187" s="253" t="s">
        <v>2645</v>
      </c>
      <c r="G187" s="253">
        <v>4</v>
      </c>
      <c r="H187" s="253" t="s">
        <v>3130</v>
      </c>
      <c r="I187" s="254" t="str">
        <f>'Dry_Litterbag Placem_Collection'!C188</f>
        <v>Wet_W4_T2</v>
      </c>
      <c r="J187" s="255" t="s">
        <v>2525</v>
      </c>
      <c r="K187" s="256" t="s">
        <v>1147</v>
      </c>
      <c r="L187" s="221" t="str">
        <f>'WetLitterbags placem_collection'!K188</f>
        <v>G544</v>
      </c>
      <c r="M187" s="223">
        <f>IFERROR(INDEX('Green_rooibos initial weight'!$C$5:$C$2000,MATCH(L187, 'Green_rooibos initial weight'!$A$5:$A$2000,0)),"")</f>
        <v>2.0830000000000002</v>
      </c>
      <c r="N187" s="223">
        <f>IFERROR(M187-(TBIcalc!$H$9+TBIcalc!$H$10),"")</f>
        <v>1.8332000000000002</v>
      </c>
      <c r="O187" s="378">
        <f>AVERAGE(Ashed_controlls!$K$2:$K$11)</f>
        <v>5.5147656768714146</v>
      </c>
      <c r="P187" s="223">
        <f t="shared" si="11"/>
        <v>1.7321033156115935</v>
      </c>
      <c r="Q187" s="223">
        <f>IFERROR(INDEX('Both teabags AfterWet'!$C$3:$C$840,MATCH(L187,'Both teabags AfterWet'!$A$3:$A$840,0)),"")</f>
        <v>0.69</v>
      </c>
      <c r="R187" s="223">
        <f>IFERROR(IF(Q187&gt;0,Q187-(TBIcalc!$H$9),""),"")</f>
        <v>0.53939999999999988</v>
      </c>
      <c r="S187" s="223">
        <f>IFERROR(INDEX('Ashed teabags wet'!$K$2:$K$2000,MATCH(L187,'Ashed teabags wet'!$A$2:$A$2000,0)),"")</f>
        <v>9.5401174168302578</v>
      </c>
      <c r="T187" s="223">
        <f t="shared" si="12"/>
        <v>0.48794060665361749</v>
      </c>
      <c r="U187" s="224">
        <f>'WetLitterbags placem_collection'!E188</f>
        <v>42763</v>
      </c>
      <c r="V187" s="224">
        <f>IF('WetLitterbags placem_collection'!G188="","",'WetLitterbags placem_collection'!G188)</f>
        <v>42815</v>
      </c>
      <c r="W187" s="225">
        <f t="shared" si="10"/>
        <v>52</v>
      </c>
      <c r="X187" s="223">
        <f t="shared" si="13"/>
        <v>1.2938000000000003</v>
      </c>
      <c r="Y187" s="223">
        <f t="shared" si="14"/>
        <v>1.2441627089579761</v>
      </c>
      <c r="Z187">
        <f>IFERROR(INDEX([1]Rainfall_Wet!$O$2:$O$217,MATCH(C187, [1]Rainfall_Wet!$A$2:$A$217,0)),"")</f>
        <v>188.24043152799999</v>
      </c>
      <c r="AA187" s="226">
        <v>25.96</v>
      </c>
      <c r="AB187" s="226">
        <v>8.9200000000000017</v>
      </c>
      <c r="AC187" s="226">
        <v>65.12</v>
      </c>
      <c r="AD187" s="227" t="s">
        <v>2651</v>
      </c>
      <c r="AE187" s="226">
        <v>2.6991621488417898</v>
      </c>
      <c r="AF187">
        <f>IF('WetLitterbags placem_collection'!AB188="","",'WetLitterbags placem_collection'!AB188)</f>
        <v>11.4</v>
      </c>
      <c r="AG187">
        <f>IF('WetLitterbags placem_collection'!Z188="","",'WetLitterbags placem_collection'!Z188)</f>
        <v>45.4</v>
      </c>
      <c r="AH187" s="236" t="str">
        <f>IF('WetLitterbags placem_collection'!AA188="","",'WetLitterbags placem_collection'!AA188)</f>
        <v>O</v>
      </c>
      <c r="AI187">
        <f>IF('WetLitterbags placem_collection'!AC188="","",'WetLitterbags placem_collection'!AC188)</f>
        <v>0</v>
      </c>
      <c r="AJ187" s="233">
        <f>AVERAGE('WetLitterbags placem_collection'!S188,'WetLitterbags placem_collection'!U188)</f>
        <v>16.899999999999999</v>
      </c>
      <c r="AK187">
        <f>AVERAGE('WetLitterbags placem_collection'!R188,'WetLitterbags placem_collection'!T188)</f>
        <v>33.9</v>
      </c>
      <c r="AL187">
        <f>INDEX([2]Coordinates!$B$2:$B$197,MATCH(I187,[2]Coordinates!$J$2:$J$197,0))</f>
        <v>-2.278763037</v>
      </c>
      <c r="AM187">
        <f>INDEX([2]Coordinates!$C$2:$C$197,MATCH(I187,[2]Coordinates!$J$2:$J$197,0))</f>
        <v>34.031974009999999</v>
      </c>
      <c r="AN187" t="str">
        <f>IF(ISNUMBER(SEARCH("C", 'WetLitterbags placem_collection'!$V188)),"YES","NO")</f>
        <v>NO</v>
      </c>
      <c r="AO187" t="str">
        <f>IF(ISNUMBER(SEARCH("H", 'WetLitterbags placem_collection'!$V188)),"YES","NO")</f>
        <v>NO</v>
      </c>
      <c r="AP187" t="str">
        <f>IF(ISNUMBER(SEARCH("R", 'WetLitterbags placem_collection'!$V188)),"YES","NO")</f>
        <v>YES</v>
      </c>
    </row>
    <row r="188" spans="1:42" ht="15" customHeight="1">
      <c r="A188" t="s">
        <v>3248</v>
      </c>
      <c r="B188" s="248" t="s">
        <v>2454</v>
      </c>
      <c r="C188" s="253">
        <f>'Dry_Litterbag Placem_Collection'!A189</f>
        <v>187</v>
      </c>
      <c r="D188" s="253" t="str">
        <f>'Dry_Litterbag Placem_Collection'!B189</f>
        <v>Handajega</v>
      </c>
      <c r="E188" s="253" t="s">
        <v>2454</v>
      </c>
      <c r="F188" s="253" t="s">
        <v>2645</v>
      </c>
      <c r="G188" s="253">
        <v>4</v>
      </c>
      <c r="H188" s="253" t="s">
        <v>3130</v>
      </c>
      <c r="I188" s="254" t="str">
        <f>'Dry_Litterbag Placem_Collection'!C189</f>
        <v>Wet_W4_T3</v>
      </c>
      <c r="J188" s="255" t="s">
        <v>2525</v>
      </c>
      <c r="K188" s="256" t="s">
        <v>1147</v>
      </c>
      <c r="L188" s="221" t="str">
        <f>'WetLitterbags placem_collection'!K189</f>
        <v>G620</v>
      </c>
      <c r="M188" s="223">
        <f>IFERROR(INDEX('Green_rooibos initial weight'!$C$5:$C$2000,MATCH(L188, 'Green_rooibos initial weight'!$A$5:$A$2000,0)),"")</f>
        <v>2.0019999999999998</v>
      </c>
      <c r="N188" s="223">
        <f>IFERROR(M188-(TBIcalc!$H$9+TBIcalc!$H$10),"")</f>
        <v>1.7521999999999998</v>
      </c>
      <c r="O188" s="378">
        <f>AVERAGE(Ashed_controlls!$K$2:$K$11)</f>
        <v>5.5147656768714146</v>
      </c>
      <c r="P188" s="223">
        <f t="shared" si="11"/>
        <v>1.6555702758098589</v>
      </c>
      <c r="Q188" s="223">
        <f>IFERROR(INDEX('Both teabags AfterWet'!$C$3:$C$840,MATCH(L188,'Both teabags AfterWet'!$A$3:$A$840,0)),"")</f>
        <v>0.59950000000000003</v>
      </c>
      <c r="R188" s="223">
        <f>IFERROR(IF(Q188&gt;0,Q188-(TBIcalc!$H$9),""),"")</f>
        <v>0.44890000000000002</v>
      </c>
      <c r="S188" s="223">
        <f>IFERROR(INDEX('Ashed teabags wet'!$K$2:$K$2000,MATCH(L188,'Ashed teabags wet'!$A$2:$A$2000,0)),"")</f>
        <v>8.6766844401358867</v>
      </c>
      <c r="T188" s="223">
        <f t="shared" si="12"/>
        <v>0.40995036354823</v>
      </c>
      <c r="U188" s="224">
        <f>'WetLitterbags placem_collection'!E189</f>
        <v>42763</v>
      </c>
      <c r="V188" s="224">
        <f>IF('WetLitterbags placem_collection'!G189="","",'WetLitterbags placem_collection'!G189)</f>
        <v>42815</v>
      </c>
      <c r="W188" s="225">
        <f t="shared" si="10"/>
        <v>52</v>
      </c>
      <c r="X188" s="223">
        <f t="shared" si="13"/>
        <v>1.3032999999999997</v>
      </c>
      <c r="Y188" s="223">
        <f t="shared" si="14"/>
        <v>1.2456199122616289</v>
      </c>
      <c r="Z188">
        <f>IFERROR(INDEX([1]Rainfall_Wet!$O$2:$O$217,MATCH(C188, [1]Rainfall_Wet!$A$2:$A$217,0)),"")</f>
        <v>188.24043152799999</v>
      </c>
      <c r="AA188" s="226">
        <v>25.96</v>
      </c>
      <c r="AB188" s="226">
        <v>8.9200000000000017</v>
      </c>
      <c r="AC188" s="226">
        <v>65.12</v>
      </c>
      <c r="AD188" s="227" t="s">
        <v>2651</v>
      </c>
      <c r="AE188" s="226">
        <v>3.6991621488417898</v>
      </c>
      <c r="AF188">
        <f>IF('WetLitterbags placem_collection'!AB189="","",'WetLitterbags placem_collection'!AB189)</f>
        <v>0.6</v>
      </c>
      <c r="AG188">
        <f>IF('WetLitterbags placem_collection'!Z189="","",'WetLitterbags placem_collection'!Z189)</f>
        <v>39.4</v>
      </c>
      <c r="AH188" s="236" t="str">
        <f>IF('WetLitterbags placem_collection'!AA189="","",'WetLitterbags placem_collection'!AA189)</f>
        <v>O</v>
      </c>
      <c r="AI188">
        <f>IF('WetLitterbags placem_collection'!AC189="","",'WetLitterbags placem_collection'!AC189)</f>
        <v>1</v>
      </c>
      <c r="AJ188" s="233">
        <f>AVERAGE('WetLitterbags placem_collection'!S189,'WetLitterbags placem_collection'!U189)</f>
        <v>14.2</v>
      </c>
      <c r="AK188">
        <f>AVERAGE('WetLitterbags placem_collection'!R189,'WetLitterbags placem_collection'!T189)</f>
        <v>33</v>
      </c>
      <c r="AL188">
        <f>INDEX([2]Coordinates!$B$2:$B$197,MATCH(I188,[2]Coordinates!$J$2:$J$197,0))</f>
        <v>-2.2785890289999999</v>
      </c>
      <c r="AM188">
        <f>INDEX([2]Coordinates!$C$2:$C$197,MATCH(I188,[2]Coordinates!$J$2:$J$197,0))</f>
        <v>34.031841999999997</v>
      </c>
      <c r="AN188" t="str">
        <f>IF(ISNUMBER(SEARCH("C", 'WetLitterbags placem_collection'!$V189)),"YES","NO")</f>
        <v>NO</v>
      </c>
      <c r="AO188" t="str">
        <f>IF(ISNUMBER(SEARCH("H", 'WetLitterbags placem_collection'!$V189)),"YES","NO")</f>
        <v>NO</v>
      </c>
      <c r="AP188" t="str">
        <f>IF(ISNUMBER(SEARCH("R", 'WetLitterbags placem_collection'!$V189)),"YES","NO")</f>
        <v>NO</v>
      </c>
    </row>
    <row r="189" spans="1:42" ht="15" customHeight="1">
      <c r="A189" t="s">
        <v>3248</v>
      </c>
      <c r="B189" s="248" t="s">
        <v>2454</v>
      </c>
      <c r="C189" s="253">
        <f>'Dry_Litterbag Placem_Collection'!A190</f>
        <v>188</v>
      </c>
      <c r="D189" s="253" t="str">
        <f>'Dry_Litterbag Placem_Collection'!B190</f>
        <v>Handajega</v>
      </c>
      <c r="E189" s="253" t="s">
        <v>2454</v>
      </c>
      <c r="F189" s="253" t="s">
        <v>2645</v>
      </c>
      <c r="G189" s="253">
        <v>4</v>
      </c>
      <c r="H189" s="253" t="s">
        <v>3130</v>
      </c>
      <c r="I189" s="254" t="str">
        <f>'Dry_Litterbag Placem_Collection'!C190</f>
        <v>Wet_W4_T4</v>
      </c>
      <c r="J189" s="255" t="s">
        <v>2525</v>
      </c>
      <c r="K189" s="256" t="s">
        <v>1147</v>
      </c>
      <c r="L189" s="221" t="str">
        <f>'WetLitterbags placem_collection'!K190</f>
        <v>G420</v>
      </c>
      <c r="M189" s="223">
        <f>IFERROR(INDEX('Green_rooibos initial weight'!$C$5:$C$2000,MATCH(L189, 'Green_rooibos initial weight'!$A$5:$A$2000,0)),"")</f>
        <v>2.0390000000000001</v>
      </c>
      <c r="N189" s="223">
        <f>IFERROR(M189-(TBIcalc!$H$9+TBIcalc!$H$10),"")</f>
        <v>1.7892000000000001</v>
      </c>
      <c r="O189" s="378">
        <f>AVERAGE(Ashed_controlls!$K$2:$K$11)</f>
        <v>5.5147656768714146</v>
      </c>
      <c r="P189" s="223">
        <f t="shared" si="11"/>
        <v>1.6905298125094168</v>
      </c>
      <c r="Q189" s="223">
        <f>IFERROR(INDEX('Both teabags AfterWet'!$C$3:$C$840,MATCH(L189,'Both teabags AfterWet'!$A$3:$A$840,0)),"")</f>
        <v>0.29980000000000001</v>
      </c>
      <c r="R189" s="223">
        <f>IFERROR(IF(Q189&gt;0,Q189-(TBIcalc!$H$9),""),"")</f>
        <v>0.1492</v>
      </c>
      <c r="S189" s="223">
        <f>IFERROR(INDEX('Ashed teabags wet'!$K$2:$K$2000,MATCH(L189,'Ashed teabags wet'!$A$2:$A$2000,0)),"")</f>
        <v>12.313003452243912</v>
      </c>
      <c r="T189" s="223">
        <f t="shared" si="12"/>
        <v>0.13082899884925209</v>
      </c>
      <c r="U189" s="224">
        <f>'WetLitterbags placem_collection'!E190</f>
        <v>42763</v>
      </c>
      <c r="V189" s="224">
        <f>IF('WetLitterbags placem_collection'!G190="","",'WetLitterbags placem_collection'!G190)</f>
        <v>42815</v>
      </c>
      <c r="W189" s="225">
        <f t="shared" si="10"/>
        <v>52</v>
      </c>
      <c r="X189" s="223">
        <f t="shared" si="13"/>
        <v>1.6400000000000001</v>
      </c>
      <c r="Y189" s="223">
        <f t="shared" si="14"/>
        <v>1.5597008136601647</v>
      </c>
      <c r="Z189">
        <f>IFERROR(INDEX([1]Rainfall_Wet!$O$2:$O$217,MATCH(C189, [1]Rainfall_Wet!$A$2:$A$217,0)),"")</f>
        <v>188.24043152799999</v>
      </c>
      <c r="AA189" s="226">
        <v>25.96</v>
      </c>
      <c r="AB189" s="226">
        <v>8.9200000000000017</v>
      </c>
      <c r="AC189" s="226">
        <v>65.12</v>
      </c>
      <c r="AD189" s="227" t="s">
        <v>2651</v>
      </c>
      <c r="AE189" s="226">
        <v>4.6991621488417898</v>
      </c>
      <c r="AF189">
        <f>IF('WetLitterbags placem_collection'!AB190="","",'WetLitterbags placem_collection'!AB190)</f>
        <v>2.2999999999999998</v>
      </c>
      <c r="AG189">
        <f>IF('WetLitterbags placem_collection'!Z190="","",'WetLitterbags placem_collection'!Z190)</f>
        <v>14.4</v>
      </c>
      <c r="AH189" s="236" t="str">
        <f>IF('WetLitterbags placem_collection'!AA190="","",'WetLitterbags placem_collection'!AA190)</f>
        <v>O</v>
      </c>
      <c r="AI189">
        <f>IF('WetLitterbags placem_collection'!AC190="","",'WetLitterbags placem_collection'!AC190)</f>
        <v>0</v>
      </c>
      <c r="AJ189" s="233">
        <f>AVERAGE('WetLitterbags placem_collection'!S190,'WetLitterbags placem_collection'!U190)</f>
        <v>10.45</v>
      </c>
      <c r="AK189">
        <f>AVERAGE('WetLitterbags placem_collection'!R190,'WetLitterbags placem_collection'!T190)</f>
        <v>34.15</v>
      </c>
      <c r="AL189">
        <f>INDEX([2]Coordinates!$B$2:$B$197,MATCH(I189,[2]Coordinates!$J$2:$J$197,0))</f>
        <v>-2.278422983</v>
      </c>
      <c r="AM189">
        <f>INDEX([2]Coordinates!$C$2:$C$197,MATCH(I189,[2]Coordinates!$J$2:$J$197,0))</f>
        <v>34.032261009999999</v>
      </c>
      <c r="AN189" t="str">
        <f>IF(ISNUMBER(SEARCH("C", 'WetLitterbags placem_collection'!$V190)),"YES","NO")</f>
        <v>NO</v>
      </c>
      <c r="AO189" t="str">
        <f>IF(ISNUMBER(SEARCH("H", 'WetLitterbags placem_collection'!$V190)),"YES","NO")</f>
        <v>YES</v>
      </c>
      <c r="AP189" t="str">
        <f>IF(ISNUMBER(SEARCH("R", 'WetLitterbags placem_collection'!$V190)),"YES","NO")</f>
        <v>NO</v>
      </c>
    </row>
    <row r="190" spans="1:42" ht="15" customHeight="1">
      <c r="A190" t="s">
        <v>3248</v>
      </c>
      <c r="B190" s="248" t="s">
        <v>2454</v>
      </c>
      <c r="C190" s="253">
        <f>'Dry_Litterbag Placem_Collection'!A191</f>
        <v>189</v>
      </c>
      <c r="D190" s="253" t="str">
        <f>'Dry_Litterbag Placem_Collection'!B191</f>
        <v>Handajega</v>
      </c>
      <c r="E190" s="253" t="s">
        <v>2454</v>
      </c>
      <c r="F190" s="253" t="s">
        <v>2645</v>
      </c>
      <c r="G190" s="253">
        <v>4</v>
      </c>
      <c r="H190" s="253" t="s">
        <v>3130</v>
      </c>
      <c r="I190" s="254" t="str">
        <f>'Dry_Litterbag Placem_Collection'!C191</f>
        <v>Wet_W4_T5</v>
      </c>
      <c r="J190" s="255" t="s">
        <v>2525</v>
      </c>
      <c r="K190" s="256" t="s">
        <v>1147</v>
      </c>
      <c r="L190" s="221" t="str">
        <f>'WetLitterbags placem_collection'!K191</f>
        <v>G367</v>
      </c>
      <c r="M190" s="223">
        <f>IFERROR(INDEX('Green_rooibos initial weight'!$C$5:$C$2000,MATCH(L190, 'Green_rooibos initial weight'!$A$5:$A$2000,0)),"")</f>
        <v>2.0990000000000002</v>
      </c>
      <c r="N190" s="223">
        <f>IFERROR(M190-(TBIcalc!$H$9+TBIcalc!$H$10),"")</f>
        <v>1.8492000000000002</v>
      </c>
      <c r="O190" s="378">
        <f>AVERAGE(Ashed_controlls!$K$2:$K$11)</f>
        <v>5.5147656768714146</v>
      </c>
      <c r="P190" s="223">
        <f t="shared" si="11"/>
        <v>1.7472209531032941</v>
      </c>
      <c r="Q190" s="223">
        <f>IFERROR(INDEX('Both teabags AfterWet'!$C$3:$C$840,MATCH(L190,'Both teabags AfterWet'!$A$3:$A$840,0)),"")</f>
        <v>0.80840000000000001</v>
      </c>
      <c r="R190" s="223">
        <f>IFERROR(IF(Q190&gt;0,Q190-(TBIcalc!$H$9),""),"")</f>
        <v>0.65779999999999994</v>
      </c>
      <c r="S190" s="223">
        <f>IFERROR(INDEX('Ashed teabags wet'!$K$2:$K$2000,MATCH(L190,'Ashed teabags wet'!$A$2:$A$2000,0)),"")</f>
        <v>9.3843098311821134</v>
      </c>
      <c r="T190" s="223">
        <f t="shared" si="12"/>
        <v>0.59607000993048398</v>
      </c>
      <c r="U190" s="224">
        <f>'WetLitterbags placem_collection'!E191</f>
        <v>42763</v>
      </c>
      <c r="V190" s="224">
        <f>IF('WetLitterbags placem_collection'!G191="","",'WetLitterbags placem_collection'!G191)</f>
        <v>42815</v>
      </c>
      <c r="W190" s="225">
        <f t="shared" si="10"/>
        <v>52</v>
      </c>
      <c r="X190" s="223">
        <f t="shared" si="13"/>
        <v>1.1914000000000002</v>
      </c>
      <c r="Y190" s="223">
        <f t="shared" si="14"/>
        <v>1.15115094317281</v>
      </c>
      <c r="Z190">
        <f>IFERROR(INDEX([1]Rainfall_Wet!$O$2:$O$217,MATCH(C190, [1]Rainfall_Wet!$A$2:$A$217,0)),"")</f>
        <v>188.24043152799999</v>
      </c>
      <c r="AA190" s="226">
        <v>25.96</v>
      </c>
      <c r="AB190" s="226">
        <v>8.9200000000000017</v>
      </c>
      <c r="AC190" s="226">
        <v>65.12</v>
      </c>
      <c r="AD190" s="227" t="s">
        <v>2651</v>
      </c>
      <c r="AE190" s="226">
        <v>5.6991621488417898</v>
      </c>
      <c r="AF190">
        <f>IF('WetLitterbags placem_collection'!AB191="","",'WetLitterbags placem_collection'!AB191)</f>
        <v>0.6</v>
      </c>
      <c r="AG190">
        <f>IF('WetLitterbags placem_collection'!Z191="","",'WetLitterbags placem_collection'!Z191)</f>
        <v>7</v>
      </c>
      <c r="AH190" s="236" t="str">
        <f>IF('WetLitterbags placem_collection'!AA191="","",'WetLitterbags placem_collection'!AA191)</f>
        <v>O</v>
      </c>
      <c r="AI190">
        <f>IF('WetLitterbags placem_collection'!AC191="","",'WetLitterbags placem_collection'!AC191)</f>
        <v>1</v>
      </c>
      <c r="AJ190" s="233">
        <f>AVERAGE('WetLitterbags placem_collection'!S191,'WetLitterbags placem_collection'!U191)</f>
        <v>13.6</v>
      </c>
      <c r="AK190">
        <f>AVERAGE('WetLitterbags placem_collection'!R191,'WetLitterbags placem_collection'!T191)</f>
        <v>30.6</v>
      </c>
      <c r="AL190">
        <f>INDEX([2]Coordinates!$B$2:$B$197,MATCH(I190,[2]Coordinates!$J$2:$J$197,0))</f>
        <v>-2.2787580080000001</v>
      </c>
      <c r="AM190">
        <f>INDEX([2]Coordinates!$C$2:$C$197,MATCH(I190,[2]Coordinates!$J$2:$J$197,0))</f>
        <v>34.032463010000001</v>
      </c>
      <c r="AN190" t="str">
        <f>IF(ISNUMBER(SEARCH("C", 'WetLitterbags placem_collection'!$V191)),"YES","NO")</f>
        <v>YES</v>
      </c>
      <c r="AO190" t="str">
        <f>IF(ISNUMBER(SEARCH("H", 'WetLitterbags placem_collection'!$V191)),"YES","NO")</f>
        <v>NO</v>
      </c>
      <c r="AP190" t="str">
        <f>IF(ISNUMBER(SEARCH("R", 'WetLitterbags placem_collection'!$V191)),"YES","NO")</f>
        <v>YES</v>
      </c>
    </row>
    <row r="191" spans="1:42" ht="15" customHeight="1">
      <c r="A191" t="s">
        <v>3248</v>
      </c>
      <c r="B191" s="248" t="s">
        <v>2454</v>
      </c>
      <c r="C191" s="253">
        <f>'Dry_Litterbag Placem_Collection'!A192</f>
        <v>190</v>
      </c>
      <c r="D191" s="253" t="str">
        <f>'Dry_Litterbag Placem_Collection'!B192</f>
        <v>Handajega</v>
      </c>
      <c r="E191" s="253" t="s">
        <v>2454</v>
      </c>
      <c r="F191" s="253" t="s">
        <v>2645</v>
      </c>
      <c r="G191" s="253">
        <v>4</v>
      </c>
      <c r="H191" s="253" t="s">
        <v>3130</v>
      </c>
      <c r="I191" s="254" t="str">
        <f>'Dry_Litterbag Placem_Collection'!C192</f>
        <v>Wet_W4_T6</v>
      </c>
      <c r="J191" s="255" t="s">
        <v>2525</v>
      </c>
      <c r="K191" s="256" t="s">
        <v>1147</v>
      </c>
      <c r="L191" s="221" t="str">
        <f>'WetLitterbags placem_collection'!K192</f>
        <v>G526</v>
      </c>
      <c r="M191" s="223">
        <f>IFERROR(INDEX('Green_rooibos initial weight'!$C$5:$C$2000,MATCH(L191, 'Green_rooibos initial weight'!$A$5:$A$2000,0)),"")</f>
        <v>2.0760000000000001</v>
      </c>
      <c r="N191" s="223">
        <f>IFERROR(M191-(TBIcalc!$H$9+TBIcalc!$H$10),"")</f>
        <v>1.8262</v>
      </c>
      <c r="O191" s="378">
        <f>AVERAGE(Ashed_controlls!$K$2:$K$11)</f>
        <v>5.5147656768714146</v>
      </c>
      <c r="P191" s="223">
        <f t="shared" si="11"/>
        <v>1.7254893492089742</v>
      </c>
      <c r="Q191" s="223">
        <f>IFERROR(INDEX('Both teabags AfterWet'!$C$3:$C$840,MATCH(L191,'Both teabags AfterWet'!$A$3:$A$840,0)),"")</f>
        <v>0.61960000000000004</v>
      </c>
      <c r="R191" s="223">
        <f>IFERROR(IF(Q191&gt;0,Q191-(TBIcalc!$H$9),""),"")</f>
        <v>0.46900000000000003</v>
      </c>
      <c r="S191" s="223">
        <f>IFERROR(INDEX('Ashed teabags wet'!$K$2:$K$2000,MATCH(L191,'Ashed teabags wet'!$A$2:$A$2000,0)),"")</f>
        <v>9.78043912175667</v>
      </c>
      <c r="T191" s="223">
        <f t="shared" si="12"/>
        <v>0.42312974051896124</v>
      </c>
      <c r="U191" s="224">
        <f>'WetLitterbags placem_collection'!E192</f>
        <v>42763</v>
      </c>
      <c r="V191" s="224">
        <f>IF('WetLitterbags placem_collection'!G192="","",'WetLitterbags placem_collection'!G192)</f>
        <v>42815</v>
      </c>
      <c r="W191" s="225">
        <f t="shared" si="10"/>
        <v>52</v>
      </c>
      <c r="X191" s="223">
        <f t="shared" si="13"/>
        <v>1.3572</v>
      </c>
      <c r="Y191" s="223">
        <f t="shared" si="14"/>
        <v>1.3023596086900131</v>
      </c>
      <c r="Z191">
        <f>IFERROR(INDEX([1]Rainfall_Wet!$O$2:$O$217,MATCH(C191, [1]Rainfall_Wet!$A$2:$A$217,0)),"")</f>
        <v>188.24043152799999</v>
      </c>
      <c r="AA191" s="226">
        <v>25.96</v>
      </c>
      <c r="AB191" s="226">
        <v>8.9200000000000017</v>
      </c>
      <c r="AC191" s="226">
        <v>65.12</v>
      </c>
      <c r="AD191" s="227" t="s">
        <v>2651</v>
      </c>
      <c r="AE191" s="226">
        <v>6.6991621488417898</v>
      </c>
      <c r="AF191">
        <f>IF('WetLitterbags placem_collection'!AB192="","",'WetLitterbags placem_collection'!AB192)</f>
        <v>9.5</v>
      </c>
      <c r="AG191">
        <f>IF('WetLitterbags placem_collection'!Z192="","",'WetLitterbags placem_collection'!Z192)</f>
        <v>17.399999999999999</v>
      </c>
      <c r="AH191" s="236" t="str">
        <f>IF('WetLitterbags placem_collection'!AA192="","",'WetLitterbags placem_collection'!AA192)</f>
        <v>O</v>
      </c>
      <c r="AI191">
        <f>IF('WetLitterbags placem_collection'!AC192="","",'WetLitterbags placem_collection'!AC192)</f>
        <v>0</v>
      </c>
      <c r="AJ191" s="233">
        <f>AVERAGE('WetLitterbags placem_collection'!S192,'WetLitterbags placem_collection'!U192)</f>
        <v>13.55</v>
      </c>
      <c r="AK191">
        <f>AVERAGE('WetLitterbags placem_collection'!R192,'WetLitterbags placem_collection'!T192)</f>
        <v>34.049999999999997</v>
      </c>
      <c r="AL191">
        <f>INDEX([2]Coordinates!$B$2:$B$197,MATCH(I191,[2]Coordinates!$J$2:$J$197,0))</f>
        <v>-2.2787559960000001</v>
      </c>
      <c r="AM191">
        <f>INDEX([2]Coordinates!$C$2:$C$197,MATCH(I191,[2]Coordinates!$J$2:$J$197,0))</f>
        <v>34.032268969999997</v>
      </c>
      <c r="AN191" t="str">
        <f>IF(ISNUMBER(SEARCH("C", 'WetLitterbags placem_collection'!$V192)),"YES","NO")</f>
        <v>NO</v>
      </c>
      <c r="AO191" t="str">
        <f>IF(ISNUMBER(SEARCH("H", 'WetLitterbags placem_collection'!$V192)),"YES","NO")</f>
        <v>NO</v>
      </c>
      <c r="AP191" t="str">
        <f>IF(ISNUMBER(SEARCH("R", 'WetLitterbags placem_collection'!$V192)),"YES","NO")</f>
        <v>NO</v>
      </c>
    </row>
    <row r="192" spans="1:42" ht="15" customHeight="1">
      <c r="A192" t="s">
        <v>3248</v>
      </c>
      <c r="B192" s="248" t="s">
        <v>2454</v>
      </c>
      <c r="C192" s="253">
        <f>'Dry_Litterbag Placem_Collection'!A193</f>
        <v>191</v>
      </c>
      <c r="D192" s="253" t="str">
        <f>'Dry_Litterbag Placem_Collection'!B193</f>
        <v>Handajega</v>
      </c>
      <c r="E192" s="253" t="s">
        <v>2454</v>
      </c>
      <c r="F192" s="253" t="s">
        <v>2645</v>
      </c>
      <c r="G192" s="253">
        <v>4</v>
      </c>
      <c r="H192" s="253" t="s">
        <v>3130</v>
      </c>
      <c r="I192" s="254" t="str">
        <f>'Dry_Litterbag Placem_Collection'!C193</f>
        <v>Wet_W4_T7</v>
      </c>
      <c r="J192" s="255" t="s">
        <v>2525</v>
      </c>
      <c r="K192" s="256" t="s">
        <v>1147</v>
      </c>
      <c r="L192" s="221" t="str">
        <f>'WetLitterbags placem_collection'!K193</f>
        <v>G522</v>
      </c>
      <c r="M192" s="223">
        <f>IFERROR(INDEX('Green_rooibos initial weight'!$C$5:$C$2000,MATCH(L192, 'Green_rooibos initial weight'!$A$5:$A$2000,0)),"")</f>
        <v>1.821</v>
      </c>
      <c r="N192" s="223">
        <f>IFERROR(M192-(TBIcalc!$H$9+TBIcalc!$H$10),"")</f>
        <v>1.5711999999999999</v>
      </c>
      <c r="O192" s="378">
        <f>AVERAGE(Ashed_controlls!$K$2:$K$11)</f>
        <v>5.5147656768714146</v>
      </c>
      <c r="P192" s="223">
        <f t="shared" si="11"/>
        <v>1.4845520016849962</v>
      </c>
      <c r="Q192" s="223">
        <f>IFERROR(INDEX('Both teabags AfterWet'!$C$3:$C$840,MATCH(L192,'Both teabags AfterWet'!$A$3:$A$840,0)),"")</f>
        <v>0.628</v>
      </c>
      <c r="R192" s="223">
        <f>IFERROR(IF(Q192&gt;0,Q192-(TBIcalc!$H$9),""),"")</f>
        <v>0.47739999999999999</v>
      </c>
      <c r="S192" s="223">
        <f>IFERROR(INDEX('Ashed teabags wet'!$K$2:$K$2000,MATCH(L192,'Ashed teabags wet'!$A$2:$A$2000,0)),"")</f>
        <v>9.2361457813275862</v>
      </c>
      <c r="T192" s="223">
        <f t="shared" si="12"/>
        <v>0.43330664003994213</v>
      </c>
      <c r="U192" s="224">
        <f>'WetLitterbags placem_collection'!E193</f>
        <v>42763</v>
      </c>
      <c r="V192" s="224">
        <f>IF('WetLitterbags placem_collection'!G193="","",'WetLitterbags placem_collection'!G193)</f>
        <v>42815</v>
      </c>
      <c r="W192" s="225">
        <f t="shared" si="10"/>
        <v>52</v>
      </c>
      <c r="X192" s="223">
        <f t="shared" si="13"/>
        <v>1.0937999999999999</v>
      </c>
      <c r="Y192" s="223">
        <f t="shared" si="14"/>
        <v>1.0512453616450541</v>
      </c>
      <c r="Z192">
        <f>IFERROR(INDEX([1]Rainfall_Wet!$O$2:$O$217,MATCH(C192, [1]Rainfall_Wet!$A$2:$A$217,0)),"")</f>
        <v>188.24043152799999</v>
      </c>
      <c r="AA192" s="226">
        <v>25.96</v>
      </c>
      <c r="AB192" s="226">
        <v>8.9200000000000017</v>
      </c>
      <c r="AC192" s="226">
        <v>65.12</v>
      </c>
      <c r="AD192" s="227" t="s">
        <v>2651</v>
      </c>
      <c r="AE192" s="226">
        <v>7.6991621488417898</v>
      </c>
      <c r="AF192">
        <f>IF('WetLitterbags placem_collection'!AB193="","",'WetLitterbags placem_collection'!AB193)</f>
        <v>12.4</v>
      </c>
      <c r="AG192">
        <f>IF('WetLitterbags placem_collection'!Z193="","",'WetLitterbags placem_collection'!Z193)</f>
        <v>29.8</v>
      </c>
      <c r="AH192" s="236" t="str">
        <f>IF('WetLitterbags placem_collection'!AA193="","",'WetLitterbags placem_collection'!AA193)</f>
        <v>O</v>
      </c>
      <c r="AI192">
        <f>IF('WetLitterbags placem_collection'!AC193="","",'WetLitterbags placem_collection'!AC193)</f>
        <v>0</v>
      </c>
      <c r="AJ192" s="233">
        <f>AVERAGE('WetLitterbags placem_collection'!S193,'WetLitterbags placem_collection'!U193)</f>
        <v>12.350000000000001</v>
      </c>
      <c r="AK192">
        <f>AVERAGE('WetLitterbags placem_collection'!R193,'WetLitterbags placem_collection'!T193)</f>
        <v>35</v>
      </c>
      <c r="AL192">
        <f>INDEX([2]Coordinates!$B$2:$B$197,MATCH(I192,[2]Coordinates!$J$2:$J$197,0))</f>
        <v>-2.278704029</v>
      </c>
      <c r="AM192">
        <f>INDEX([2]Coordinates!$C$2:$C$197,MATCH(I192,[2]Coordinates!$J$2:$J$197,0))</f>
        <v>34.032182970000001</v>
      </c>
      <c r="AN192" t="str">
        <f>IF(ISNUMBER(SEARCH("C", 'WetLitterbags placem_collection'!$V193)),"YES","NO")</f>
        <v>NO</v>
      </c>
      <c r="AO192" t="str">
        <f>IF(ISNUMBER(SEARCH("H", 'WetLitterbags placem_collection'!$V193)),"YES","NO")</f>
        <v>NO</v>
      </c>
      <c r="AP192" t="str">
        <f>IF(ISNUMBER(SEARCH("R", 'WetLitterbags placem_collection'!$V193)),"YES","NO")</f>
        <v>NO</v>
      </c>
    </row>
    <row r="193" spans="1:42" ht="15" customHeight="1">
      <c r="A193" t="s">
        <v>3248</v>
      </c>
      <c r="B193" s="248" t="s">
        <v>2454</v>
      </c>
      <c r="C193" s="253">
        <f>'Dry_Litterbag Placem_Collection'!A194</f>
        <v>192</v>
      </c>
      <c r="D193" s="253" t="str">
        <f>'Dry_Litterbag Placem_Collection'!B194</f>
        <v>Handajega</v>
      </c>
      <c r="E193" s="253" t="s">
        <v>2454</v>
      </c>
      <c r="F193" s="253" t="s">
        <v>2645</v>
      </c>
      <c r="G193" s="253">
        <v>4</v>
      </c>
      <c r="H193" s="253" t="s">
        <v>3130</v>
      </c>
      <c r="I193" s="254" t="str">
        <f>'Dry_Litterbag Placem_Collection'!C194</f>
        <v>Wet_W4_T8</v>
      </c>
      <c r="J193" s="255" t="s">
        <v>2525</v>
      </c>
      <c r="K193" s="256" t="s">
        <v>1147</v>
      </c>
      <c r="L193" s="221" t="str">
        <f>'WetLitterbags placem_collection'!K194</f>
        <v>G591</v>
      </c>
      <c r="M193" s="223">
        <f>IFERROR(INDEX('Green_rooibos initial weight'!$C$5:$C$2000,MATCH(L193, 'Green_rooibos initial weight'!$A$5:$A$2000,0)),"")</f>
        <v>2.0920000000000001</v>
      </c>
      <c r="N193" s="223">
        <f>IFERROR(M193-(TBIcalc!$H$9+TBIcalc!$H$10),"")</f>
        <v>1.8422000000000001</v>
      </c>
      <c r="O193" s="378">
        <f>AVERAGE(Ashed_controlls!$K$2:$K$11)</f>
        <v>5.5147656768714146</v>
      </c>
      <c r="P193" s="223">
        <f t="shared" si="11"/>
        <v>1.7406069867006748</v>
      </c>
      <c r="Q193" s="223">
        <f>IFERROR(INDEX('Both teabags AfterWet'!$C$3:$C$840,MATCH(L193,'Both teabags AfterWet'!$A$3:$A$840,0)),"")</f>
        <v>0.66100000000000003</v>
      </c>
      <c r="R193" s="223">
        <f>IFERROR(IF(Q193&gt;0,Q193-(TBIcalc!$H$9),""),"")</f>
        <v>0.51039999999999996</v>
      </c>
      <c r="S193" s="223">
        <f>IFERROR(INDEX('Ashed teabags wet'!$K$2:$K$2000,MATCH(L193,'Ashed teabags wet'!$A$2:$A$2000,0)),"")</f>
        <v>10.322580645161365</v>
      </c>
      <c r="T193" s="223">
        <f t="shared" si="12"/>
        <v>0.45771354838709638</v>
      </c>
      <c r="U193" s="224">
        <f>'WetLitterbags placem_collection'!E194</f>
        <v>42763</v>
      </c>
      <c r="V193" s="224">
        <f>IF('WetLitterbags placem_collection'!G194="","",'WetLitterbags placem_collection'!G194)</f>
        <v>42815</v>
      </c>
      <c r="W193" s="225">
        <f t="shared" si="10"/>
        <v>52</v>
      </c>
      <c r="X193" s="223">
        <f t="shared" si="13"/>
        <v>1.3318000000000001</v>
      </c>
      <c r="Y193" s="223">
        <f t="shared" si="14"/>
        <v>1.2828934383135784</v>
      </c>
      <c r="Z193">
        <f>IFERROR(INDEX([1]Rainfall_Wet!$O$2:$O$217,MATCH(C193, [1]Rainfall_Wet!$A$2:$A$217,0)),"")</f>
        <v>188.24043152799999</v>
      </c>
      <c r="AA193" s="226">
        <v>25.96</v>
      </c>
      <c r="AB193" s="226">
        <v>8.9200000000000017</v>
      </c>
      <c r="AC193" s="226">
        <v>65.12</v>
      </c>
      <c r="AD193" s="227" t="s">
        <v>2651</v>
      </c>
      <c r="AE193" s="226">
        <v>8.6991621488417898</v>
      </c>
      <c r="AF193">
        <f>IF('WetLitterbags placem_collection'!AB194="","",'WetLitterbags placem_collection'!AB194)</f>
        <v>3.6</v>
      </c>
      <c r="AG193">
        <f>IF('WetLitterbags placem_collection'!Z194="","",'WetLitterbags placem_collection'!Z194)</f>
        <v>37.799999999999997</v>
      </c>
      <c r="AH193" s="236" t="str">
        <f>IF('WetLitterbags placem_collection'!AA194="","",'WetLitterbags placem_collection'!AA194)</f>
        <v>O</v>
      </c>
      <c r="AI193">
        <f>IF('WetLitterbags placem_collection'!AC194="","",'WetLitterbags placem_collection'!AC194)</f>
        <v>0</v>
      </c>
      <c r="AJ193" s="233">
        <f>AVERAGE('WetLitterbags placem_collection'!S194,'WetLitterbags placem_collection'!U194)</f>
        <v>9.25</v>
      </c>
      <c r="AK193">
        <f>AVERAGE('WetLitterbags placem_collection'!R194,'WetLitterbags placem_collection'!T194)</f>
        <v>33.299999999999997</v>
      </c>
      <c r="AL193">
        <f>INDEX([2]Coordinates!$B$2:$B$197,MATCH(I193,[2]Coordinates!$J$2:$J$197,0))</f>
        <v>-2.2789770269999998</v>
      </c>
      <c r="AM193">
        <f>INDEX([2]Coordinates!$C$2:$C$197,MATCH(I193,[2]Coordinates!$J$2:$J$197,0))</f>
        <v>34.032051039999999</v>
      </c>
      <c r="AN193" t="str">
        <f>IF(ISNUMBER(SEARCH("C", 'WetLitterbags placem_collection'!$V194)),"YES","NO")</f>
        <v>NO</v>
      </c>
      <c r="AO193" t="str">
        <f>IF(ISNUMBER(SEARCH("H", 'WetLitterbags placem_collection'!$V194)),"YES","NO")</f>
        <v>NO</v>
      </c>
      <c r="AP193" t="str">
        <f>IF(ISNUMBER(SEARCH("R", 'WetLitterbags placem_collection'!$V194)),"YES","NO")</f>
        <v>NO</v>
      </c>
    </row>
    <row r="194" spans="1:42" ht="15" customHeight="1">
      <c r="A194" t="s">
        <v>2490</v>
      </c>
      <c r="B194" s="248" t="s">
        <v>2454</v>
      </c>
      <c r="C194" s="253">
        <f>'Dry_Litterbag Placem_Collection'!A195</f>
        <v>193</v>
      </c>
      <c r="D194" s="253" t="str">
        <f>'Dry_Litterbag Placem_Collection'!B195</f>
        <v>Makao</v>
      </c>
      <c r="E194" s="253" t="s">
        <v>2643</v>
      </c>
      <c r="F194" s="253" t="s">
        <v>2644</v>
      </c>
      <c r="G194" s="253">
        <v>4</v>
      </c>
      <c r="H194" s="253" t="s">
        <v>3099</v>
      </c>
      <c r="I194" s="254" t="str">
        <f>'Dry_Litterbag Placem_Collection'!C195</f>
        <v>Dry_Ag1_CG4</v>
      </c>
      <c r="J194" s="255" t="s">
        <v>2525</v>
      </c>
      <c r="K194" s="256" t="s">
        <v>1147</v>
      </c>
      <c r="L194" s="221" t="str">
        <f>'WetLitterbags placem_collection'!K195</f>
        <v>G863</v>
      </c>
      <c r="M194" s="223">
        <f>IFERROR(INDEX('Green_rooibos initial weight'!$C$5:$C$2000,MATCH(L194, 'Green_rooibos initial weight'!$A$5:$A$2000,0)),"")</f>
        <v>2.0230000000000001</v>
      </c>
      <c r="N194" s="223">
        <f>IFERROR(M194-(TBIcalc!$H$9+TBIcalc!$H$10),"")</f>
        <v>1.7732000000000001</v>
      </c>
      <c r="O194" s="378">
        <f>AVERAGE(Ashed_controlls!$K$2:$K$11)</f>
        <v>5.5147656768714146</v>
      </c>
      <c r="P194" s="223">
        <f t="shared" si="11"/>
        <v>1.6754121750177162</v>
      </c>
      <c r="Q194" s="223">
        <f>IFERROR(INDEX('Both teabags AfterWet'!$C$3:$C$840,MATCH(L194,'Both teabags AfterWet'!$A$3:$A$840,0)),"")</f>
        <v>0.64890000000000003</v>
      </c>
      <c r="R194" s="223">
        <f>IFERROR(IF(Q194&gt;0,Q194-(TBIcalc!$H$9),""),"")</f>
        <v>0.49830000000000002</v>
      </c>
      <c r="S194" s="223">
        <f>IFERROR(INDEX('Ashed teabags wet'!$K$2:$K$2000,MATCH(L194,'Ashed teabags wet'!$A$2:$A$2000,0)),"")</f>
        <v>8.2238442822379554</v>
      </c>
      <c r="T194" s="223">
        <f t="shared" si="12"/>
        <v>0.45732058394160829</v>
      </c>
      <c r="U194" s="224">
        <f>'WetLitterbags placem_collection'!E195</f>
        <v>42769</v>
      </c>
      <c r="V194" s="224">
        <f>IF('WetLitterbags placem_collection'!G195="","",'WetLitterbags placem_collection'!G195)</f>
        <v>42813</v>
      </c>
      <c r="W194" s="225">
        <f t="shared" ref="W194:W257" si="15">IFERROR(V194-U194,"")</f>
        <v>44</v>
      </c>
      <c r="X194" s="223">
        <f t="shared" si="13"/>
        <v>1.2749000000000001</v>
      </c>
      <c r="Y194" s="223">
        <f t="shared" si="14"/>
        <v>1.2180915910761079</v>
      </c>
      <c r="Z194">
        <f>IFERROR(INDEX([1]Rainfall_Wet!$O$2:$O$217,MATCH(C194, [1]Rainfall_Wet!$A$2:$A$217,0)),"")</f>
        <v>175.054685654</v>
      </c>
      <c r="AA194" s="226">
        <v>12.565665055683967</v>
      </c>
      <c r="AB194" s="226">
        <v>0.9665896196679955</v>
      </c>
      <c r="AC194" s="226">
        <v>86.467745324648035</v>
      </c>
      <c r="AD194" s="227" t="s">
        <v>2653</v>
      </c>
      <c r="AE194" s="226">
        <v>1.0225726959093147</v>
      </c>
      <c r="AF194">
        <f>IF('WetLitterbags placem_collection'!AB195="","",'WetLitterbags placem_collection'!AB195)</f>
        <v>15.2</v>
      </c>
      <c r="AG194">
        <f>IF('WetLitterbags placem_collection'!Z195="","",'WetLitterbags placem_collection'!Z195)</f>
        <v>12.2</v>
      </c>
      <c r="AH194" s="236" t="str">
        <f>IF('WetLitterbags placem_collection'!AA195="","",'WetLitterbags placem_collection'!AA195)</f>
        <v>O</v>
      </c>
      <c r="AI194">
        <f>IF('WetLitterbags placem_collection'!AC195="","",'WetLitterbags placem_collection'!AC195)</f>
        <v>1</v>
      </c>
      <c r="AJ194" s="233">
        <f>AVERAGE('WetLitterbags placem_collection'!S195,'WetLitterbags placem_collection'!U195)</f>
        <v>22.4</v>
      </c>
      <c r="AK194">
        <f>AVERAGE('WetLitterbags placem_collection'!R195,'WetLitterbags placem_collection'!T195)</f>
        <v>28.95</v>
      </c>
      <c r="AL194">
        <v>-2.4396949910000001</v>
      </c>
      <c r="AM194">
        <v>34.838574029999997</v>
      </c>
      <c r="AN194" t="str">
        <f>IF(ISNUMBER(SEARCH("C", 'WetLitterbags placem_collection'!$V195)),"YES","NO")</f>
        <v>NO</v>
      </c>
      <c r="AO194" t="str">
        <f>IF(ISNUMBER(SEARCH("H", 'WetLitterbags placem_collection'!$V195)),"YES","NO")</f>
        <v>NO</v>
      </c>
      <c r="AP194" t="str">
        <f>IF(ISNUMBER(SEARCH("R", 'WetLitterbags placem_collection'!$V195)),"YES","NO")</f>
        <v>YES</v>
      </c>
    </row>
    <row r="195" spans="1:42" ht="15" customHeight="1">
      <c r="A195" t="s">
        <v>2490</v>
      </c>
      <c r="B195" s="248" t="s">
        <v>2454</v>
      </c>
      <c r="C195" s="253">
        <f>'Dry_Litterbag Placem_Collection'!A196</f>
        <v>194</v>
      </c>
      <c r="D195" s="253" t="str">
        <f>'Dry_Litterbag Placem_Collection'!B196</f>
        <v>Makao</v>
      </c>
      <c r="E195" s="253" t="s">
        <v>2643</v>
      </c>
      <c r="F195" s="253" t="s">
        <v>2644</v>
      </c>
      <c r="G195" s="253">
        <v>3</v>
      </c>
      <c r="H195" s="253" t="s">
        <v>3103</v>
      </c>
      <c r="I195" s="254" t="str">
        <f>'Dry_Litterbag Placem_Collection'!C196</f>
        <v>Dry_Ag2_CG3</v>
      </c>
      <c r="J195" s="255" t="s">
        <v>2525</v>
      </c>
      <c r="K195" s="256" t="s">
        <v>1147</v>
      </c>
      <c r="L195" s="221" t="str">
        <f>'WetLitterbags placem_collection'!K196</f>
        <v>G615</v>
      </c>
      <c r="M195" s="223">
        <f>IFERROR(INDEX('Green_rooibos initial weight'!$C$5:$C$2000,MATCH(L195, 'Green_rooibos initial weight'!$A$5:$A$2000,0)),"")</f>
        <v>1.9630000000000001</v>
      </c>
      <c r="N195" s="223">
        <f>IFERROR(M195-(TBIcalc!$H$9+TBIcalc!$H$10),"")</f>
        <v>1.7132000000000001</v>
      </c>
      <c r="O195" s="378">
        <f>AVERAGE(Ashed_controlls!$K$2:$K$11)</f>
        <v>5.5147656768714146</v>
      </c>
      <c r="P195" s="223">
        <f t="shared" ref="P195:P258" si="16">IFERROR(N195-(O195/100)*N195,"")</f>
        <v>1.618721034423839</v>
      </c>
      <c r="Q195" s="223">
        <f>IFERROR(INDEX('Both teabags AfterWet'!$C$3:$C$840,MATCH(L195,'Both teabags AfterWet'!$A$3:$A$840,0)),"")</f>
        <v>0.64100000000000001</v>
      </c>
      <c r="R195" s="223">
        <f>IFERROR(IF(Q195&gt;0,Q195-(TBIcalc!$H$9),""),"")</f>
        <v>0.4904</v>
      </c>
      <c r="S195" s="223">
        <f>IFERROR(INDEX('Ashed teabags wet'!$K$2:$K$2000,MATCH(L195,'Ashed teabags wet'!$A$2:$A$2000,0)),"")</f>
        <v>11.187777230163009</v>
      </c>
      <c r="T195" s="223">
        <f t="shared" ref="T195:T258" si="17">IFERROR(R195-(S195/100)*R195,"")</f>
        <v>0.43553514046328062</v>
      </c>
      <c r="U195" s="224">
        <f>'WetLitterbags placem_collection'!E196</f>
        <v>42769</v>
      </c>
      <c r="V195" s="224">
        <f>IF('WetLitterbags placem_collection'!G196="","",'WetLitterbags placem_collection'!G196)</f>
        <v>42813</v>
      </c>
      <c r="W195" s="225">
        <f t="shared" si="15"/>
        <v>44</v>
      </c>
      <c r="X195" s="223">
        <f t="shared" ref="X195:X258" si="18">IFERROR(N195-R195,"")</f>
        <v>1.2228000000000001</v>
      </c>
      <c r="Y195" s="223">
        <f t="shared" ref="Y195:Y258" si="19">IFERROR(P195-T195,"")</f>
        <v>1.1831858939605584</v>
      </c>
      <c r="Z195">
        <f>IFERROR(INDEX([1]Rainfall_Wet!$O$2:$O$217,MATCH(C195, [1]Rainfall_Wet!$A$2:$A$217,0)),"")</f>
        <v>175.054685654</v>
      </c>
      <c r="AA195" s="226">
        <v>21.13063730679653</v>
      </c>
      <c r="AB195" s="226">
        <v>3.0912555579081076</v>
      </c>
      <c r="AC195" s="226">
        <v>75.778107135295357</v>
      </c>
      <c r="AD195" s="227" t="s">
        <v>2651</v>
      </c>
      <c r="AE195" s="226">
        <v>0.46131099063578063</v>
      </c>
      <c r="AF195">
        <f>IF('WetLitterbags placem_collection'!AB196="","",'WetLitterbags placem_collection'!AB196)</f>
        <v>7.9</v>
      </c>
      <c r="AG195">
        <f>IF('WetLitterbags placem_collection'!Z196="","",'WetLitterbags placem_collection'!Z196)</f>
        <v>7.9</v>
      </c>
      <c r="AH195" s="236" t="str">
        <f>IF('WetLitterbags placem_collection'!AA196="","",'WetLitterbags placem_collection'!AA196)</f>
        <v>O</v>
      </c>
      <c r="AI195">
        <f>IF('WetLitterbags placem_collection'!AC196="","",'WetLitterbags placem_collection'!AC196)</f>
        <v>1</v>
      </c>
      <c r="AJ195" s="233">
        <f>AVERAGE('WetLitterbags placem_collection'!S196,'WetLitterbags placem_collection'!U196)</f>
        <v>19.600000000000001</v>
      </c>
      <c r="AK195">
        <f>AVERAGE('WetLitterbags placem_collection'!R196,'WetLitterbags placem_collection'!T196)</f>
        <v>29.3</v>
      </c>
      <c r="AL195">
        <v>-2.4395990190000001</v>
      </c>
      <c r="AM195">
        <v>34.838418959999998</v>
      </c>
      <c r="AN195" t="str">
        <f>IF(ISNUMBER(SEARCH("C", 'WetLitterbags placem_collection'!$V196)),"YES","NO")</f>
        <v>NO</v>
      </c>
      <c r="AO195" t="str">
        <f>IF(ISNUMBER(SEARCH("H", 'WetLitterbags placem_collection'!$V196)),"YES","NO")</f>
        <v>NO</v>
      </c>
      <c r="AP195" t="str">
        <f>IF(ISNUMBER(SEARCH("R", 'WetLitterbags placem_collection'!$V196)),"YES","NO")</f>
        <v>YES</v>
      </c>
    </row>
    <row r="196" spans="1:42" ht="15" customHeight="1">
      <c r="A196" t="s">
        <v>2490</v>
      </c>
      <c r="B196" s="248" t="s">
        <v>2454</v>
      </c>
      <c r="C196" s="253">
        <f>'Dry_Litterbag Placem_Collection'!A197</f>
        <v>195</v>
      </c>
      <c r="D196" s="253" t="str">
        <f>'Dry_Litterbag Placem_Collection'!B197</f>
        <v>Makao</v>
      </c>
      <c r="E196" s="253" t="s">
        <v>2643</v>
      </c>
      <c r="F196" s="253" t="s">
        <v>2644</v>
      </c>
      <c r="G196" s="253">
        <v>2</v>
      </c>
      <c r="H196" s="253" t="s">
        <v>3104</v>
      </c>
      <c r="I196" s="254" t="str">
        <f>'Dry_Litterbag Placem_Collection'!C197</f>
        <v>Dry_Ag3_CG2</v>
      </c>
      <c r="J196" s="255" t="s">
        <v>2525</v>
      </c>
      <c r="K196" s="256" t="s">
        <v>1147</v>
      </c>
      <c r="L196" s="221" t="str">
        <f>'WetLitterbags placem_collection'!K197</f>
        <v>G821</v>
      </c>
      <c r="M196" s="223">
        <f>IFERROR(INDEX('Green_rooibos initial weight'!$C$5:$C$2000,MATCH(L196, 'Green_rooibos initial weight'!$A$5:$A$2000,0)),"")</f>
        <v>1.9990000000000001</v>
      </c>
      <c r="N196" s="223">
        <f>IFERROR(M196-(TBIcalc!$H$9+TBIcalc!$H$10),"")</f>
        <v>1.7492000000000001</v>
      </c>
      <c r="O196" s="378">
        <f>AVERAGE(Ashed_controlls!$K$2:$K$11)</f>
        <v>5.5147656768714146</v>
      </c>
      <c r="P196" s="223">
        <f t="shared" si="16"/>
        <v>1.6527357187801652</v>
      </c>
      <c r="Q196" s="223">
        <f>IFERROR(INDEX('Both teabags AfterWet'!$C$3:$C$840,MATCH(L196,'Both teabags AfterWet'!$A$3:$A$840,0)),"")</f>
        <v>0.7641</v>
      </c>
      <c r="R196" s="223">
        <f>IFERROR(IF(Q196&gt;0,Q196-(TBIcalc!$H$9),""),"")</f>
        <v>0.61349999999999993</v>
      </c>
      <c r="S196" s="223">
        <f>IFERROR(INDEX('Ashed teabags wet'!$K$2:$K$2000,MATCH(L196,'Ashed teabags wet'!$A$2:$A$2000,0)),"")</f>
        <v>15.097159940208879</v>
      </c>
      <c r="T196" s="223">
        <f t="shared" si="17"/>
        <v>0.52087892376681844</v>
      </c>
      <c r="U196" s="224">
        <f>'WetLitterbags placem_collection'!E197</f>
        <v>42769</v>
      </c>
      <c r="V196" s="224">
        <f>IF('WetLitterbags placem_collection'!G197="","",'WetLitterbags placem_collection'!G197)</f>
        <v>42814</v>
      </c>
      <c r="W196" s="225">
        <f t="shared" si="15"/>
        <v>45</v>
      </c>
      <c r="X196" s="223">
        <f t="shared" si="18"/>
        <v>1.1357000000000002</v>
      </c>
      <c r="Y196" s="223">
        <f t="shared" si="19"/>
        <v>1.1318567950133467</v>
      </c>
      <c r="Z196">
        <f>IFERROR(INDEX([1]Rainfall_Wet!$O$2:$O$217,MATCH(C196, [1]Rainfall_Wet!$A$2:$A$217,0)),"")</f>
        <v>175.377105089</v>
      </c>
      <c r="AA196" s="226">
        <v>54.080969906906262</v>
      </c>
      <c r="AB196" s="226">
        <v>21.264484651351896</v>
      </c>
      <c r="AC196" s="226">
        <v>24.654545441741845</v>
      </c>
      <c r="AD196" s="227" t="s">
        <v>2654</v>
      </c>
      <c r="AE196" s="226">
        <v>1.8433218334154755</v>
      </c>
      <c r="AF196">
        <f>IF('WetLitterbags placem_collection'!AB197="","",'WetLitterbags placem_collection'!AB197)</f>
        <v>5.13</v>
      </c>
      <c r="AG196">
        <f>IF('WetLitterbags placem_collection'!Z197="","",'WetLitterbags placem_collection'!Z197)</f>
        <v>5.13</v>
      </c>
      <c r="AH196" s="236" t="str">
        <f>IF('WetLitterbags placem_collection'!AA197="","",'WetLitterbags placem_collection'!AA197)</f>
        <v>O</v>
      </c>
      <c r="AI196">
        <f>IF('WetLitterbags placem_collection'!AC197="","",'WetLitterbags placem_collection'!AC197)</f>
        <v>1</v>
      </c>
      <c r="AJ196" s="233">
        <f>AVERAGE('WetLitterbags placem_collection'!S197,'WetLitterbags placem_collection'!U197)</f>
        <v>29.700000000000003</v>
      </c>
      <c r="AK196">
        <f>AVERAGE('WetLitterbags placem_collection'!R197,'WetLitterbags placem_collection'!T197)</f>
        <v>24.35</v>
      </c>
      <c r="AL196">
        <v>-2.4396450349999999</v>
      </c>
      <c r="AM196">
        <v>34.83836599</v>
      </c>
      <c r="AN196" t="str">
        <f>IF(ISNUMBER(SEARCH("C", 'WetLitterbags placem_collection'!$V197)),"YES","NO")</f>
        <v>NO</v>
      </c>
      <c r="AO196" t="str">
        <f>IF(ISNUMBER(SEARCH("H", 'WetLitterbags placem_collection'!$V197)),"YES","NO")</f>
        <v>NO</v>
      </c>
      <c r="AP196" t="str">
        <f>IF(ISNUMBER(SEARCH("R", 'WetLitterbags placem_collection'!$V197)),"YES","NO")</f>
        <v>YES</v>
      </c>
    </row>
    <row r="197" spans="1:42" ht="15" customHeight="1">
      <c r="A197" t="s">
        <v>2490</v>
      </c>
      <c r="B197" s="248" t="s">
        <v>2454</v>
      </c>
      <c r="C197" s="253">
        <f>'Dry_Litterbag Placem_Collection'!A198</f>
        <v>196</v>
      </c>
      <c r="D197" s="253" t="str">
        <f>'Dry_Litterbag Placem_Collection'!B198</f>
        <v>Makao</v>
      </c>
      <c r="E197" s="253" t="s">
        <v>2643</v>
      </c>
      <c r="F197" s="253" t="s">
        <v>2644</v>
      </c>
      <c r="G197" s="253">
        <v>1</v>
      </c>
      <c r="H197" s="253" t="s">
        <v>3105</v>
      </c>
      <c r="I197" s="254" t="str">
        <f>'Dry_Litterbag Placem_Collection'!C198</f>
        <v>Dry_Ag4_CG1</v>
      </c>
      <c r="J197" s="255" t="s">
        <v>2525</v>
      </c>
      <c r="K197" s="256" t="s">
        <v>1147</v>
      </c>
      <c r="L197" s="221" t="str">
        <f>'WetLitterbags placem_collection'!K198</f>
        <v>G754</v>
      </c>
      <c r="M197" s="223">
        <f>IFERROR(INDEX('Green_rooibos initial weight'!$C$5:$C$2000,MATCH(L197, 'Green_rooibos initial weight'!$A$5:$A$2000,0)),"")</f>
        <v>2.0609999999999999</v>
      </c>
      <c r="N197" s="223">
        <f>IFERROR(M197-(TBIcalc!$H$9+TBIcalc!$H$10),"")</f>
        <v>1.8111999999999999</v>
      </c>
      <c r="O197" s="378">
        <f>AVERAGE(Ashed_controlls!$K$2:$K$11)</f>
        <v>5.5147656768714146</v>
      </c>
      <c r="P197" s="223">
        <f t="shared" si="16"/>
        <v>1.7113165640605048</v>
      </c>
      <c r="Q197" s="223">
        <f>IFERROR(INDEX('Both teabags AfterWet'!$C$3:$C$840,MATCH(L197,'Both teabags AfterWet'!$A$3:$A$840,0)),"")</f>
        <v>0.6452</v>
      </c>
      <c r="R197" s="223">
        <f>IFERROR(IF(Q197&gt;0,Q197-(TBIcalc!$H$9),""),"")</f>
        <v>0.49459999999999998</v>
      </c>
      <c r="S197" s="223">
        <f>IFERROR(INDEX('Ashed teabags wet'!$K$2:$K$2000,MATCH(L197,'Ashed teabags wet'!$A$2:$A$2000,0)),"")</f>
        <v>10.498306724722434</v>
      </c>
      <c r="T197" s="223">
        <f t="shared" si="17"/>
        <v>0.4426753749395228</v>
      </c>
      <c r="U197" s="224">
        <f>'WetLitterbags placem_collection'!E198</f>
        <v>42769</v>
      </c>
      <c r="V197" s="224">
        <f>IF('WetLitterbags placem_collection'!G198="","",'WetLitterbags placem_collection'!G198)</f>
        <v>42814</v>
      </c>
      <c r="W197" s="225">
        <f t="shared" si="15"/>
        <v>45</v>
      </c>
      <c r="X197" s="223">
        <f t="shared" si="18"/>
        <v>1.3166</v>
      </c>
      <c r="Y197" s="223">
        <f t="shared" si="19"/>
        <v>1.2686411891209821</v>
      </c>
      <c r="Z197">
        <f>IFERROR(INDEX([1]Rainfall_Wet!$O$2:$O$217,MATCH(C197, [1]Rainfall_Wet!$A$2:$A$217,0)),"")</f>
        <v>175.377105089</v>
      </c>
      <c r="AA197" s="226">
        <v>51.960000000000008</v>
      </c>
      <c r="AB197" s="226">
        <v>18.919999999999995</v>
      </c>
      <c r="AC197" s="226">
        <v>29.120000000000005</v>
      </c>
      <c r="AD197" s="227" t="s">
        <v>2654</v>
      </c>
      <c r="AE197" s="226">
        <v>1.85293247905372</v>
      </c>
      <c r="AF197">
        <f>IF('WetLitterbags placem_collection'!AB198="","",'WetLitterbags placem_collection'!AB198)</f>
        <v>13.8</v>
      </c>
      <c r="AG197">
        <f>IF('WetLitterbags placem_collection'!Z198="","",'WetLitterbags placem_collection'!Z198)</f>
        <v>17.399999999999999</v>
      </c>
      <c r="AH197" s="236" t="str">
        <f>IF('WetLitterbags placem_collection'!AA198="","",'WetLitterbags placem_collection'!AA198)</f>
        <v>O</v>
      </c>
      <c r="AI197">
        <f>IF('WetLitterbags placem_collection'!AC198="","",'WetLitterbags placem_collection'!AC198)</f>
        <v>1</v>
      </c>
      <c r="AJ197" s="233">
        <f>AVERAGE('WetLitterbags placem_collection'!S198,'WetLitterbags placem_collection'!U198)</f>
        <v>23.75</v>
      </c>
      <c r="AK197">
        <f>AVERAGE('WetLitterbags placem_collection'!R198,'WetLitterbags placem_collection'!T198)</f>
        <v>25.25</v>
      </c>
      <c r="AL197">
        <v>-2.439403972</v>
      </c>
      <c r="AM197">
        <v>34.838404959999998</v>
      </c>
      <c r="AN197" t="str">
        <f>IF(ISNUMBER(SEARCH("C", 'WetLitterbags placem_collection'!$V198)),"YES","NO")</f>
        <v>NO</v>
      </c>
      <c r="AO197" t="str">
        <f>IF(ISNUMBER(SEARCH("H", 'WetLitterbags placem_collection'!$V198)),"YES","NO")</f>
        <v>NO</v>
      </c>
      <c r="AP197" t="str">
        <f>IF(ISNUMBER(SEARCH("R", 'WetLitterbags placem_collection'!$V198)),"YES","NO")</f>
        <v>YES</v>
      </c>
    </row>
    <row r="198" spans="1:42" ht="15" customHeight="1">
      <c r="A198" t="s">
        <v>2490</v>
      </c>
      <c r="B198" s="248" t="s">
        <v>2454</v>
      </c>
      <c r="C198" s="253">
        <f>'Dry_Litterbag Placem_Collection'!A199</f>
        <v>197</v>
      </c>
      <c r="D198" s="253" t="str">
        <f>'Dry_Litterbag Placem_Collection'!B199</f>
        <v>Makao</v>
      </c>
      <c r="E198" s="253" t="s">
        <v>2643</v>
      </c>
      <c r="F198" s="253" t="s">
        <v>20</v>
      </c>
      <c r="G198" s="253">
        <v>2</v>
      </c>
      <c r="H198" s="253" t="s">
        <v>3106</v>
      </c>
      <c r="I198" s="254" t="str">
        <f>'Dry_Litterbag Placem_Collection'!C199</f>
        <v>Dry_P1_CG2</v>
      </c>
      <c r="J198" s="255" t="s">
        <v>2525</v>
      </c>
      <c r="K198" s="256" t="s">
        <v>1147</v>
      </c>
      <c r="L198" s="221" t="str">
        <f>'WetLitterbags placem_collection'!K199</f>
        <v>G715</v>
      </c>
      <c r="M198" s="223">
        <f>IFERROR(INDEX('Green_rooibos initial weight'!$C$5:$C$2000,MATCH(L198, 'Green_rooibos initial weight'!$A$5:$A$2000,0)),"")</f>
        <v>2.0179999999999998</v>
      </c>
      <c r="N198" s="223">
        <f>IFERROR(M198-(TBIcalc!$H$9+TBIcalc!$H$10),"")</f>
        <v>1.7681999999999998</v>
      </c>
      <c r="O198" s="378">
        <f>AVERAGE(Ashed_controlls!$K$2:$K$11)</f>
        <v>5.5147656768714146</v>
      </c>
      <c r="P198" s="223">
        <f t="shared" si="16"/>
        <v>1.6706879133015595</v>
      </c>
      <c r="Q198" s="223">
        <f>IFERROR(INDEX('Both teabags AfterWet'!$C$3:$C$840,MATCH(L198,'Both teabags AfterWet'!$A$3:$A$840,0)),"")</f>
        <v>0.69089999999999996</v>
      </c>
      <c r="R198" s="223">
        <f>IFERROR(IF(Q198&gt;0,Q198-(TBIcalc!$H$9),""),"")</f>
        <v>0.5403</v>
      </c>
      <c r="S198" s="223">
        <f>IFERROR(INDEX('Ashed teabags wet'!$K$2:$K$2000,MATCH(L198,'Ashed teabags wet'!$A$2:$A$2000,0)),"")</f>
        <v>12.326732673267644</v>
      </c>
      <c r="T198" s="223">
        <f t="shared" si="17"/>
        <v>0.47369866336633493</v>
      </c>
      <c r="U198" s="224">
        <f>'WetLitterbags placem_collection'!E199</f>
        <v>42769</v>
      </c>
      <c r="V198" s="224">
        <f>IF('WetLitterbags placem_collection'!G199="","",'WetLitterbags placem_collection'!G199)</f>
        <v>42814</v>
      </c>
      <c r="W198" s="225">
        <f t="shared" si="15"/>
        <v>45</v>
      </c>
      <c r="X198" s="223">
        <f t="shared" si="18"/>
        <v>1.2278999999999998</v>
      </c>
      <c r="Y198" s="223">
        <f t="shared" si="19"/>
        <v>1.1969892499352246</v>
      </c>
      <c r="Z198">
        <f>IFERROR(INDEX([1]Rainfall_Wet!$O$2:$O$217,MATCH(C198, [1]Rainfall_Wet!$A$2:$A$217,0)),"")</f>
        <v>175.377105089</v>
      </c>
      <c r="AA198" s="226">
        <v>23.96</v>
      </c>
      <c r="AB198" s="226">
        <v>0.91999999999999804</v>
      </c>
      <c r="AC198" s="226">
        <v>75.12</v>
      </c>
      <c r="AD198" s="227" t="s">
        <v>2651</v>
      </c>
      <c r="AE198" s="226">
        <v>1.2493839329719072</v>
      </c>
      <c r="AF198">
        <f>IF('WetLitterbags placem_collection'!AB199="","",'WetLitterbags placem_collection'!AB199)</f>
        <v>5.13</v>
      </c>
      <c r="AG198">
        <f>IF('WetLitterbags placem_collection'!Z199="","",'WetLitterbags placem_collection'!Z199)</f>
        <v>5.13</v>
      </c>
      <c r="AH198" s="236" t="str">
        <f>IF('WetLitterbags placem_collection'!AA199="","",'WetLitterbags placem_collection'!AA199)</f>
        <v>O</v>
      </c>
      <c r="AI198">
        <f>IF('WetLitterbags placem_collection'!AC199="","",'WetLitterbags placem_collection'!AC199)</f>
        <v>1</v>
      </c>
      <c r="AJ198" s="233">
        <f>AVERAGE('WetLitterbags placem_collection'!S199,'WetLitterbags placem_collection'!U199)</f>
        <v>22.85</v>
      </c>
      <c r="AK198">
        <f>AVERAGE('WetLitterbags placem_collection'!R199,'WetLitterbags placem_collection'!T199)</f>
        <v>24.4</v>
      </c>
      <c r="AL198">
        <v>-2.4396450349999999</v>
      </c>
      <c r="AM198">
        <v>34.83836599</v>
      </c>
      <c r="AN198" t="str">
        <f>IF(ISNUMBER(SEARCH("C", 'WetLitterbags placem_collection'!$V199)),"YES","NO")</f>
        <v>NO</v>
      </c>
      <c r="AO198" t="str">
        <f>IF(ISNUMBER(SEARCH("H", 'WetLitterbags placem_collection'!$V199)),"YES","NO")</f>
        <v>NO</v>
      </c>
      <c r="AP198" t="str">
        <f>IF(ISNUMBER(SEARCH("R", 'WetLitterbags placem_collection'!$V199)),"YES","NO")</f>
        <v>YES</v>
      </c>
    </row>
    <row r="199" spans="1:42" ht="15" customHeight="1">
      <c r="A199" t="s">
        <v>2490</v>
      </c>
      <c r="B199" s="248" t="s">
        <v>2454</v>
      </c>
      <c r="C199" s="253">
        <f>'Dry_Litterbag Placem_Collection'!A200</f>
        <v>198</v>
      </c>
      <c r="D199" s="253" t="str">
        <f>'Dry_Litterbag Placem_Collection'!B200</f>
        <v>Makao</v>
      </c>
      <c r="E199" s="253" t="s">
        <v>2643</v>
      </c>
      <c r="F199" s="253" t="s">
        <v>20</v>
      </c>
      <c r="G199" s="253">
        <v>3</v>
      </c>
      <c r="H199" s="253" t="s">
        <v>3108</v>
      </c>
      <c r="I199" s="254" t="str">
        <f>'Dry_Litterbag Placem_Collection'!C200</f>
        <v>Dry_P2_CG3</v>
      </c>
      <c r="J199" s="255" t="s">
        <v>2525</v>
      </c>
      <c r="K199" s="256" t="s">
        <v>1147</v>
      </c>
      <c r="L199" s="221" t="str">
        <f>'WetLitterbags placem_collection'!K200</f>
        <v>G785</v>
      </c>
      <c r="M199" s="223">
        <f>IFERROR(INDEX('Green_rooibos initial weight'!$C$5:$C$2000,MATCH(L199, 'Green_rooibos initial weight'!$A$5:$A$2000,0)),"")</f>
        <v>2.008</v>
      </c>
      <c r="N199" s="223">
        <f>IFERROR(M199-(TBIcalc!$H$9+TBIcalc!$H$10),"")</f>
        <v>1.7582</v>
      </c>
      <c r="O199" s="378">
        <f>AVERAGE(Ashed_controlls!$K$2:$K$11)</f>
        <v>5.5147656768714146</v>
      </c>
      <c r="P199" s="223">
        <f t="shared" si="16"/>
        <v>1.6612393898692468</v>
      </c>
      <c r="Q199" s="223">
        <f>IFERROR(INDEX('Both teabags AfterWet'!$C$3:$C$840,MATCH(L199,'Both teabags AfterWet'!$A$3:$A$840,0)),"")</f>
        <v>0.64690000000000003</v>
      </c>
      <c r="R199" s="223">
        <f>IFERROR(IF(Q199&gt;0,Q199-(TBIcalc!$H$9),""),"")</f>
        <v>0.49630000000000002</v>
      </c>
      <c r="S199" s="223">
        <f>IFERROR(INDEX('Ashed teabags wet'!$K$2:$K$2000,MATCH(L199,'Ashed teabags wet'!$A$2:$A$2000,0)),"")</f>
        <v>9.3718843469595843</v>
      </c>
      <c r="T199" s="223">
        <f t="shared" si="17"/>
        <v>0.44978733798603959</v>
      </c>
      <c r="U199" s="224">
        <f>'WetLitterbags placem_collection'!E200</f>
        <v>42769</v>
      </c>
      <c r="V199" s="224">
        <f>IF('WetLitterbags placem_collection'!G200="","",'WetLitterbags placem_collection'!G200)</f>
        <v>42813</v>
      </c>
      <c r="W199" s="225">
        <f t="shared" si="15"/>
        <v>44</v>
      </c>
      <c r="X199" s="223">
        <f t="shared" si="18"/>
        <v>1.2619</v>
      </c>
      <c r="Y199" s="223">
        <f t="shared" si="19"/>
        <v>1.2114520518832073</v>
      </c>
      <c r="Z199">
        <f>IFERROR(INDEX([1]Rainfall_Wet!$O$2:$O$217,MATCH(C199, [1]Rainfall_Wet!$A$2:$A$217,0)),"")</f>
        <v>175.054685654</v>
      </c>
      <c r="AA199" s="226">
        <v>19.96</v>
      </c>
      <c r="AB199" s="226">
        <v>4.9199999999999982</v>
      </c>
      <c r="AC199" s="226">
        <v>75.12</v>
      </c>
      <c r="AD199" s="227" t="s">
        <v>2652</v>
      </c>
      <c r="AE199" s="226">
        <v>1.641498275012321</v>
      </c>
      <c r="AF199">
        <f>IF('WetLitterbags placem_collection'!AB200="","",'WetLitterbags placem_collection'!AB200)</f>
        <v>7.9</v>
      </c>
      <c r="AG199">
        <f>IF('WetLitterbags placem_collection'!Z200="","",'WetLitterbags placem_collection'!Z200)</f>
        <v>7.9</v>
      </c>
      <c r="AH199" s="236" t="str">
        <f>IF('WetLitterbags placem_collection'!AA200="","",'WetLitterbags placem_collection'!AA200)</f>
        <v>O</v>
      </c>
      <c r="AI199">
        <f>IF('WetLitterbags placem_collection'!AC200="","",'WetLitterbags placem_collection'!AC200)</f>
        <v>1</v>
      </c>
      <c r="AJ199" s="233">
        <f>AVERAGE('WetLitterbags placem_collection'!S200,'WetLitterbags placem_collection'!U200)</f>
        <v>20.9</v>
      </c>
      <c r="AK199">
        <f>AVERAGE('WetLitterbags placem_collection'!R200,'WetLitterbags placem_collection'!T200)</f>
        <v>27.45</v>
      </c>
      <c r="AL199">
        <v>-2.4395990190000001</v>
      </c>
      <c r="AM199">
        <v>34.838418959999998</v>
      </c>
      <c r="AN199" t="str">
        <f>IF(ISNUMBER(SEARCH("C", 'WetLitterbags placem_collection'!$V200)),"YES","NO")</f>
        <v>NO</v>
      </c>
      <c r="AO199" t="str">
        <f>IF(ISNUMBER(SEARCH("H", 'WetLitterbags placem_collection'!$V200)),"YES","NO")</f>
        <v>NO</v>
      </c>
      <c r="AP199" t="str">
        <f>IF(ISNUMBER(SEARCH("R", 'WetLitterbags placem_collection'!$V200)),"YES","NO")</f>
        <v>YES</v>
      </c>
    </row>
    <row r="200" spans="1:42" ht="15" customHeight="1">
      <c r="A200" t="s">
        <v>2490</v>
      </c>
      <c r="B200" s="248" t="s">
        <v>2454</v>
      </c>
      <c r="C200" s="253">
        <f>'Dry_Litterbag Placem_Collection'!A201</f>
        <v>199</v>
      </c>
      <c r="D200" s="253" t="str">
        <f>'Dry_Litterbag Placem_Collection'!B201</f>
        <v>Makao</v>
      </c>
      <c r="E200" s="253" t="s">
        <v>2643</v>
      </c>
      <c r="F200" s="253" t="s">
        <v>20</v>
      </c>
      <c r="G200" s="253">
        <v>1</v>
      </c>
      <c r="H200" s="253" t="s">
        <v>3109</v>
      </c>
      <c r="I200" s="254" t="str">
        <f>'Dry_Litterbag Placem_Collection'!C201</f>
        <v>Dry_P3_CG1</v>
      </c>
      <c r="J200" s="255" t="s">
        <v>2525</v>
      </c>
      <c r="K200" s="256" t="s">
        <v>1147</v>
      </c>
      <c r="L200" s="221" t="str">
        <f>'WetLitterbags placem_collection'!K201</f>
        <v>G877</v>
      </c>
      <c r="M200" s="223">
        <f>IFERROR(INDEX('Green_rooibos initial weight'!$C$5:$C$2000,MATCH(L200, 'Green_rooibos initial weight'!$A$5:$A$2000,0)),"")</f>
        <v>2.0649999999999999</v>
      </c>
      <c r="N200" s="223">
        <f>IFERROR(M200-(TBIcalc!$H$9+TBIcalc!$H$10),"")</f>
        <v>1.8151999999999999</v>
      </c>
      <c r="O200" s="378">
        <f>AVERAGE(Ashed_controlls!$K$2:$K$11)</f>
        <v>5.5147656768714146</v>
      </c>
      <c r="P200" s="223">
        <f t="shared" si="16"/>
        <v>1.7150959734334301</v>
      </c>
      <c r="Q200" s="223">
        <f>IFERROR(INDEX('Both teabags AfterWet'!$C$3:$C$840,MATCH(L200,'Both teabags AfterWet'!$A$3:$A$840,0)),"")</f>
        <v>0.67900000000000005</v>
      </c>
      <c r="R200" s="223">
        <f>IFERROR(IF(Q200&gt;0,Q200-(TBIcalc!$H$9),""),"")</f>
        <v>0.52839999999999998</v>
      </c>
      <c r="S200" s="223">
        <f>IFERROR(INDEX('Ashed teabags wet'!$K$2:$K$2000,MATCH(L200,'Ashed teabags wet'!$A$2:$A$2000,0)),"")</f>
        <v>11.636001989060295</v>
      </c>
      <c r="T200" s="223">
        <f t="shared" si="17"/>
        <v>0.46691536548980539</v>
      </c>
      <c r="U200" s="224">
        <f>'WetLitterbags placem_collection'!E201</f>
        <v>42769</v>
      </c>
      <c r="V200" s="224">
        <f>IF('WetLitterbags placem_collection'!G201="","",'WetLitterbags placem_collection'!G201)</f>
        <v>42814</v>
      </c>
      <c r="W200" s="225">
        <f t="shared" si="15"/>
        <v>45</v>
      </c>
      <c r="X200" s="223">
        <f t="shared" si="18"/>
        <v>1.2867999999999999</v>
      </c>
      <c r="Y200" s="223">
        <f t="shared" si="19"/>
        <v>1.2481806079436248</v>
      </c>
      <c r="Z200">
        <f>IFERROR(INDEX([1]Rainfall_Wet!$O$2:$O$217,MATCH(C200, [1]Rainfall_Wet!$A$2:$A$217,0)),"")</f>
        <v>175.377105089</v>
      </c>
      <c r="AA200" s="226">
        <v>21.96</v>
      </c>
      <c r="AB200" s="226">
        <v>8.9199999999999982</v>
      </c>
      <c r="AC200" s="226">
        <v>69.12</v>
      </c>
      <c r="AD200" s="227" t="s">
        <v>2651</v>
      </c>
      <c r="AE200" s="226">
        <v>1.7491375061606702</v>
      </c>
      <c r="AF200">
        <f>IF('WetLitterbags placem_collection'!AB201="","",'WetLitterbags placem_collection'!AB201)</f>
        <v>13.8</v>
      </c>
      <c r="AG200">
        <f>IF('WetLitterbags placem_collection'!Z201="","",'WetLitterbags placem_collection'!Z201)</f>
        <v>17.399999999999999</v>
      </c>
      <c r="AH200" s="236" t="str">
        <f>IF('WetLitterbags placem_collection'!AA201="","",'WetLitterbags placem_collection'!AA201)</f>
        <v>O</v>
      </c>
      <c r="AI200">
        <f>IF('WetLitterbags placem_collection'!AC201="","",'WetLitterbags placem_collection'!AC201)</f>
        <v>1</v>
      </c>
      <c r="AJ200" s="233">
        <f>AVERAGE('WetLitterbags placem_collection'!S201,'WetLitterbags placem_collection'!U201)</f>
        <v>18.149999999999999</v>
      </c>
      <c r="AK200">
        <f>AVERAGE('WetLitterbags placem_collection'!R201,'WetLitterbags placem_collection'!T201)</f>
        <v>24.549999999999997</v>
      </c>
      <c r="AL200">
        <v>-2.439403972</v>
      </c>
      <c r="AM200">
        <v>34.838404959999998</v>
      </c>
      <c r="AN200" t="str">
        <f>IF(ISNUMBER(SEARCH("C", 'WetLitterbags placem_collection'!$V201)),"YES","NO")</f>
        <v>NO</v>
      </c>
      <c r="AO200" t="str">
        <f>IF(ISNUMBER(SEARCH("H", 'WetLitterbags placem_collection'!$V201)),"YES","NO")</f>
        <v>NO</v>
      </c>
      <c r="AP200" t="str">
        <f>IF(ISNUMBER(SEARCH("R", 'WetLitterbags placem_collection'!$V201)),"YES","NO")</f>
        <v>YES</v>
      </c>
    </row>
    <row r="201" spans="1:42" ht="15" customHeight="1">
      <c r="A201" t="s">
        <v>2490</v>
      </c>
      <c r="B201" s="248" t="s">
        <v>2454</v>
      </c>
      <c r="C201" s="253">
        <f>'Dry_Litterbag Placem_Collection'!A202</f>
        <v>200</v>
      </c>
      <c r="D201" s="253" t="str">
        <f>'Dry_Litterbag Placem_Collection'!B202</f>
        <v>Makao</v>
      </c>
      <c r="E201" s="253" t="s">
        <v>2643</v>
      </c>
      <c r="F201" s="253" t="s">
        <v>20</v>
      </c>
      <c r="G201" s="253">
        <v>4</v>
      </c>
      <c r="H201" s="253" t="s">
        <v>3110</v>
      </c>
      <c r="I201" s="254" t="str">
        <f>'Dry_Litterbag Placem_Collection'!C202</f>
        <v>Dry_P4_CG4</v>
      </c>
      <c r="J201" s="255" t="s">
        <v>2525</v>
      </c>
      <c r="K201" s="256" t="s">
        <v>1147</v>
      </c>
      <c r="L201" s="221" t="str">
        <f>'WetLitterbags placem_collection'!K202</f>
        <v>G816</v>
      </c>
      <c r="M201" s="223">
        <f>IFERROR(INDEX('Green_rooibos initial weight'!$C$5:$C$2000,MATCH(L201, 'Green_rooibos initial weight'!$A$5:$A$2000,0)),"")</f>
        <v>2.0139999999999998</v>
      </c>
      <c r="N201" s="223">
        <f>IFERROR(M201-(TBIcalc!$H$9+TBIcalc!$H$10),"")</f>
        <v>1.7641999999999998</v>
      </c>
      <c r="O201" s="378">
        <f>AVERAGE(Ashed_controlls!$K$2:$K$11)</f>
        <v>5.5147656768714146</v>
      </c>
      <c r="P201" s="223">
        <f t="shared" si="16"/>
        <v>1.6669085039286342</v>
      </c>
      <c r="Q201" s="223">
        <f>IFERROR(INDEX('Both teabags AfterWet'!$C$3:$C$840,MATCH(L201,'Both teabags AfterWet'!$A$3:$A$840,0)),"")</f>
        <v>0.67120000000000002</v>
      </c>
      <c r="R201" s="223">
        <f>IFERROR(IF(Q201&gt;0,Q201-(TBIcalc!$H$9),""),"")</f>
        <v>0.52059999999999995</v>
      </c>
      <c r="S201" s="223">
        <f>IFERROR(INDEX('Ashed teabags wet'!$K$2:$K$2000,MATCH(L201,'Ashed teabags wet'!$A$2:$A$2000,0)),"")</f>
        <v>11.089206505668416</v>
      </c>
      <c r="T201" s="223">
        <f t="shared" si="17"/>
        <v>0.46286959093149016</v>
      </c>
      <c r="U201" s="224">
        <f>'WetLitterbags placem_collection'!E202</f>
        <v>42769</v>
      </c>
      <c r="V201" s="224">
        <f>IF('WetLitterbags placem_collection'!G202="","",'WetLitterbags placem_collection'!G202)</f>
        <v>42813</v>
      </c>
      <c r="W201" s="225">
        <f t="shared" si="15"/>
        <v>44</v>
      </c>
      <c r="X201" s="223">
        <f t="shared" si="18"/>
        <v>1.2435999999999998</v>
      </c>
      <c r="Y201" s="223">
        <f t="shared" si="19"/>
        <v>1.2040389129971441</v>
      </c>
      <c r="Z201">
        <f>IFERROR(INDEX([1]Rainfall_Wet!$O$2:$O$217,MATCH(C201, [1]Rainfall_Wet!$A$2:$A$217,0)),"")</f>
        <v>175.054685654</v>
      </c>
      <c r="AA201" s="226">
        <v>25.96</v>
      </c>
      <c r="AB201" s="226">
        <v>6.9200000000000008</v>
      </c>
      <c r="AC201" s="226">
        <v>67.12</v>
      </c>
      <c r="AD201" s="227" t="s">
        <v>2651</v>
      </c>
      <c r="AE201" s="226">
        <v>1.7568260226712666</v>
      </c>
      <c r="AF201">
        <f>IF('WetLitterbags placem_collection'!AB202="","",'WetLitterbags placem_collection'!AB202)</f>
        <v>15.2</v>
      </c>
      <c r="AG201">
        <f>IF('WetLitterbags placem_collection'!Z202="","",'WetLitterbags placem_collection'!Z202)</f>
        <v>12.2</v>
      </c>
      <c r="AH201" s="236" t="str">
        <f>IF('WetLitterbags placem_collection'!AA202="","",'WetLitterbags placem_collection'!AA202)</f>
        <v>O</v>
      </c>
      <c r="AI201">
        <f>IF('WetLitterbags placem_collection'!AC202="","",'WetLitterbags placem_collection'!AC202)</f>
        <v>1</v>
      </c>
      <c r="AJ201" s="233">
        <f>AVERAGE('WetLitterbags placem_collection'!S202,'WetLitterbags placem_collection'!U202)</f>
        <v>22.799999999999997</v>
      </c>
      <c r="AK201">
        <f>AVERAGE('WetLitterbags placem_collection'!R202,'WetLitterbags placem_collection'!T202)</f>
        <v>27.9</v>
      </c>
      <c r="AL201">
        <v>-2.4396949910000001</v>
      </c>
      <c r="AM201">
        <v>34.838574029999997</v>
      </c>
      <c r="AN201" t="str">
        <f>IF(ISNUMBER(SEARCH("C", 'WetLitterbags placem_collection'!$V202)),"YES","NO")</f>
        <v>NO</v>
      </c>
      <c r="AO201" t="str">
        <f>IF(ISNUMBER(SEARCH("H", 'WetLitterbags placem_collection'!$V202)),"YES","NO")</f>
        <v>NO</v>
      </c>
      <c r="AP201" t="str">
        <f>IF(ISNUMBER(SEARCH("R", 'WetLitterbags placem_collection'!$V202)),"YES","NO")</f>
        <v>YES</v>
      </c>
    </row>
    <row r="202" spans="1:42" ht="15" customHeight="1">
      <c r="A202" t="s">
        <v>2490</v>
      </c>
      <c r="B202" s="248" t="s">
        <v>2454</v>
      </c>
      <c r="C202" s="253">
        <f>'Dry_Litterbag Placem_Collection'!A203</f>
        <v>201</v>
      </c>
      <c r="D202" s="253" t="str">
        <f>'Dry_Litterbag Placem_Collection'!B203</f>
        <v>Maswa</v>
      </c>
      <c r="E202" s="253" t="s">
        <v>2643</v>
      </c>
      <c r="F202" s="253" t="s">
        <v>2645</v>
      </c>
      <c r="G202" s="253">
        <v>4</v>
      </c>
      <c r="H202" s="253" t="s">
        <v>3114</v>
      </c>
      <c r="I202" s="254" t="str">
        <f>'Dry_Litterbag Placem_Collection'!C203</f>
        <v>Dry_W3_CG4</v>
      </c>
      <c r="J202" s="255" t="s">
        <v>2525</v>
      </c>
      <c r="K202" s="256" t="s">
        <v>1147</v>
      </c>
      <c r="L202" s="221" t="str">
        <f>'WetLitterbags placem_collection'!K203</f>
        <v>G811</v>
      </c>
      <c r="M202" s="223">
        <f>IFERROR(INDEX('Green_rooibos initial weight'!$C$5:$C$2000,MATCH(L202, 'Green_rooibos initial weight'!$A$5:$A$2000,0)),"")</f>
        <v>1.9930000000000001</v>
      </c>
      <c r="N202" s="223">
        <f>IFERROR(M202-(TBIcalc!$H$9+TBIcalc!$H$10),"")</f>
        <v>1.7432000000000001</v>
      </c>
      <c r="O202" s="378">
        <f>AVERAGE(Ashed_controlls!$K$2:$K$11)</f>
        <v>5.5147656768714146</v>
      </c>
      <c r="P202" s="223">
        <f t="shared" si="16"/>
        <v>1.6470666047207776</v>
      </c>
      <c r="Q202" s="223">
        <f>IFERROR(INDEX('Both teabags AfterWet'!$C$3:$C$840,MATCH(L202,'Both teabags AfterWet'!$A$3:$A$840,0)),"")</f>
        <v>0.56630000000000003</v>
      </c>
      <c r="R202" s="223">
        <f>IFERROR(IF(Q202&gt;0,Q202-(TBIcalc!$H$9),""),"")</f>
        <v>0.41570000000000001</v>
      </c>
      <c r="S202" s="223">
        <f>IFERROR(INDEX('Ashed teabags wet'!$K$2:$K$2000,MATCH(L202,'Ashed teabags wet'!$A$2:$A$2000,0)),"")</f>
        <v>11.712158808933365</v>
      </c>
      <c r="T202" s="223">
        <f t="shared" si="17"/>
        <v>0.36701255583126402</v>
      </c>
      <c r="U202" s="224">
        <f>'WetLitterbags placem_collection'!E203</f>
        <v>42769</v>
      </c>
      <c r="V202" s="224">
        <f>IF('WetLitterbags placem_collection'!G203="","",'WetLitterbags placem_collection'!G203)</f>
        <v>42813</v>
      </c>
      <c r="W202" s="225">
        <f t="shared" si="15"/>
        <v>44</v>
      </c>
      <c r="X202" s="223">
        <f t="shared" si="18"/>
        <v>1.3275000000000001</v>
      </c>
      <c r="Y202" s="223">
        <f t="shared" si="19"/>
        <v>1.2800540488895136</v>
      </c>
      <c r="Z202">
        <f>IFERROR(INDEX([1]Rainfall_Wet!$O$2:$O$217,MATCH(C202, [1]Rainfall_Wet!$A$2:$A$217,0)),"")</f>
        <v>175.054685654</v>
      </c>
      <c r="AA202" s="226">
        <v>38.691629007962128</v>
      </c>
      <c r="AB202" s="226">
        <v>26.81299763288143</v>
      </c>
      <c r="AC202" s="226">
        <v>34.495373359156439</v>
      </c>
      <c r="AD202" s="227" t="s">
        <v>2656</v>
      </c>
      <c r="AE202" s="226">
        <v>2.5483587974371611</v>
      </c>
      <c r="AF202">
        <f>IF('WetLitterbags placem_collection'!AB203="","",'WetLitterbags placem_collection'!AB203)</f>
        <v>15.2</v>
      </c>
      <c r="AG202">
        <f>IF('WetLitterbags placem_collection'!Z203="","",'WetLitterbags placem_collection'!Z203)</f>
        <v>12.2</v>
      </c>
      <c r="AH202" s="236" t="str">
        <f>IF('WetLitterbags placem_collection'!AA203="","",'WetLitterbags placem_collection'!AA203)</f>
        <v>O</v>
      </c>
      <c r="AI202">
        <f>IF('WetLitterbags placem_collection'!AC203="","",'WetLitterbags placem_collection'!AC203)</f>
        <v>1</v>
      </c>
      <c r="AJ202" s="233">
        <f>AVERAGE('WetLitterbags placem_collection'!S203,'WetLitterbags placem_collection'!U203)</f>
        <v>22</v>
      </c>
      <c r="AK202">
        <f>AVERAGE('WetLitterbags placem_collection'!R203,'WetLitterbags placem_collection'!T203)</f>
        <v>28</v>
      </c>
      <c r="AL202">
        <v>-2.4396949910000001</v>
      </c>
      <c r="AM202">
        <v>34.838574029999997</v>
      </c>
      <c r="AN202" t="str">
        <f>IF(ISNUMBER(SEARCH("C", 'WetLitterbags placem_collection'!$V203)),"YES","NO")</f>
        <v>NO</v>
      </c>
      <c r="AO202" t="str">
        <f>IF(ISNUMBER(SEARCH("H", 'WetLitterbags placem_collection'!$V203)),"YES","NO")</f>
        <v>NO</v>
      </c>
      <c r="AP202" t="str">
        <f>IF(ISNUMBER(SEARCH("R", 'WetLitterbags placem_collection'!$V203)),"YES","NO")</f>
        <v>YES</v>
      </c>
    </row>
    <row r="203" spans="1:42" ht="15" customHeight="1">
      <c r="A203" t="s">
        <v>2490</v>
      </c>
      <c r="B203" s="248" t="s">
        <v>2454</v>
      </c>
      <c r="C203" s="253">
        <f>'Dry_Litterbag Placem_Collection'!A204</f>
        <v>202</v>
      </c>
      <c r="D203" s="253" t="str">
        <f>'Dry_Litterbag Placem_Collection'!B204</f>
        <v>Maswa</v>
      </c>
      <c r="E203" s="253" t="s">
        <v>2643</v>
      </c>
      <c r="F203" s="253" t="s">
        <v>2645</v>
      </c>
      <c r="G203" s="253">
        <v>1</v>
      </c>
      <c r="H203" s="253" t="s">
        <v>3113</v>
      </c>
      <c r="I203" s="254" t="str">
        <f>'Dry_Litterbag Placem_Collection'!C204</f>
        <v>Dry_W2_CG1</v>
      </c>
      <c r="J203" s="255" t="s">
        <v>2525</v>
      </c>
      <c r="K203" s="256" t="s">
        <v>1147</v>
      </c>
      <c r="L203" s="221" t="str">
        <f>'WetLitterbags placem_collection'!K204</f>
        <v>G773</v>
      </c>
      <c r="M203" s="223">
        <f>IFERROR(INDEX('Green_rooibos initial weight'!$C$5:$C$2000,MATCH(L203, 'Green_rooibos initial weight'!$A$5:$A$2000,0)),"")</f>
        <v>1.718</v>
      </c>
      <c r="N203" s="223">
        <f>IFERROR(M203-(TBIcalc!$H$9+TBIcalc!$H$10),"")</f>
        <v>1.4681999999999999</v>
      </c>
      <c r="O203" s="378">
        <f>AVERAGE(Ashed_controlls!$K$2:$K$11)</f>
        <v>5.5147656768714146</v>
      </c>
      <c r="P203" s="223">
        <f t="shared" si="16"/>
        <v>1.3872322103321739</v>
      </c>
      <c r="Q203" s="223">
        <f>IFERROR(INDEX('Both teabags AfterWet'!$C$3:$C$840,MATCH(L203,'Both teabags AfterWet'!$A$3:$A$840,0)),"")</f>
        <v>0.84</v>
      </c>
      <c r="R203" s="223">
        <f>IFERROR(IF(Q203&gt;0,Q203-(TBIcalc!$H$9),""),"")</f>
        <v>0.68940000000000001</v>
      </c>
      <c r="S203" s="223">
        <f>IFERROR(INDEX('Ashed teabags wet'!$K$2:$K$2000,MATCH(L203,'Ashed teabags wet'!$A$2:$A$2000,0)),"")</f>
        <v>12.200000000000349</v>
      </c>
      <c r="T203" s="223">
        <f t="shared" si="17"/>
        <v>0.60529319999999764</v>
      </c>
      <c r="U203" s="224">
        <f>'WetLitterbags placem_collection'!E204</f>
        <v>42769</v>
      </c>
      <c r="V203" s="224">
        <f>IF('WetLitterbags placem_collection'!G204="","",'WetLitterbags placem_collection'!G204)</f>
        <v>42814</v>
      </c>
      <c r="W203" s="225">
        <f t="shared" si="15"/>
        <v>45</v>
      </c>
      <c r="X203" s="223">
        <f t="shared" si="18"/>
        <v>0.77879999999999994</v>
      </c>
      <c r="Y203" s="223">
        <f t="shared" si="19"/>
        <v>0.78193901033217628</v>
      </c>
      <c r="Z203">
        <f>IFERROR(INDEX([1]Rainfall_Wet!$O$2:$O$217,MATCH(C203, [1]Rainfall_Wet!$A$2:$A$217,0)),"")</f>
        <v>175.377105089</v>
      </c>
      <c r="AA203" s="226">
        <v>45.272914521112256</v>
      </c>
      <c r="AB203" s="226">
        <v>23.604531410916575</v>
      </c>
      <c r="AC203" s="226">
        <v>31.122554067971166</v>
      </c>
      <c r="AD203" s="227" t="s">
        <v>2654</v>
      </c>
      <c r="AE203" s="226">
        <v>2.0547560374568752</v>
      </c>
      <c r="AF203">
        <f>IF('WetLitterbags placem_collection'!AB204="","",'WetLitterbags placem_collection'!AB204)</f>
        <v>13.8</v>
      </c>
      <c r="AG203">
        <f>IF('WetLitterbags placem_collection'!Z204="","",'WetLitterbags placem_collection'!Z204)</f>
        <v>17.399999999999999</v>
      </c>
      <c r="AH203" s="236" t="str">
        <f>IF('WetLitterbags placem_collection'!AA204="","",'WetLitterbags placem_collection'!AA204)</f>
        <v>O</v>
      </c>
      <c r="AI203">
        <f>IF('WetLitterbags placem_collection'!AC204="","",'WetLitterbags placem_collection'!AC204)</f>
        <v>1</v>
      </c>
      <c r="AJ203" s="233">
        <f>AVERAGE('WetLitterbags placem_collection'!S204,'WetLitterbags placem_collection'!U204)</f>
        <v>20.65</v>
      </c>
      <c r="AK203">
        <f>AVERAGE('WetLitterbags placem_collection'!R204,'WetLitterbags placem_collection'!T204)</f>
        <v>24.1</v>
      </c>
      <c r="AL203">
        <v>-2.439403972</v>
      </c>
      <c r="AM203">
        <v>34.838404959999998</v>
      </c>
      <c r="AN203" t="str">
        <f>IF(ISNUMBER(SEARCH("C", 'WetLitterbags placem_collection'!$V204)),"YES","NO")</f>
        <v>NO</v>
      </c>
      <c r="AO203" t="str">
        <f>IF(ISNUMBER(SEARCH("H", 'WetLitterbags placem_collection'!$V204)),"YES","NO")</f>
        <v>NO</v>
      </c>
      <c r="AP203" t="str">
        <f>IF(ISNUMBER(SEARCH("R", 'WetLitterbags placem_collection'!$V204)),"YES","NO")</f>
        <v>YES</v>
      </c>
    </row>
    <row r="204" spans="1:42" ht="15" customHeight="1">
      <c r="A204" t="s">
        <v>2490</v>
      </c>
      <c r="B204" s="248" t="s">
        <v>2454</v>
      </c>
      <c r="C204" s="253">
        <f>'Dry_Litterbag Placem_Collection'!A205</f>
        <v>203</v>
      </c>
      <c r="D204" s="253" t="str">
        <f>'Dry_Litterbag Placem_Collection'!B205</f>
        <v>Maswa</v>
      </c>
      <c r="E204" s="253" t="s">
        <v>2643</v>
      </c>
      <c r="F204" s="253" t="s">
        <v>2645</v>
      </c>
      <c r="G204" s="253">
        <v>2</v>
      </c>
      <c r="H204" s="253" t="s">
        <v>3111</v>
      </c>
      <c r="I204" s="254" t="str">
        <f>'Dry_Litterbag Placem_Collection'!C205</f>
        <v>Dry_W1_CG2</v>
      </c>
      <c r="J204" s="255" t="s">
        <v>2525</v>
      </c>
      <c r="K204" s="256" t="s">
        <v>1147</v>
      </c>
      <c r="L204" s="221" t="str">
        <f>'WetLitterbags placem_collection'!K205</f>
        <v>G645</v>
      </c>
      <c r="M204" s="223">
        <f>IFERROR(INDEX('Green_rooibos initial weight'!$C$5:$C$2000,MATCH(L204, 'Green_rooibos initial weight'!$A$5:$A$2000,0)),"")</f>
        <v>2.238</v>
      </c>
      <c r="N204" s="223">
        <f>IFERROR(M204-(TBIcalc!$H$9+TBIcalc!$H$10),"")</f>
        <v>1.9882</v>
      </c>
      <c r="O204" s="378">
        <f>AVERAGE(Ashed_controlls!$K$2:$K$11)</f>
        <v>5.5147656768714146</v>
      </c>
      <c r="P204" s="223">
        <f t="shared" si="16"/>
        <v>1.8785554288124424</v>
      </c>
      <c r="Q204" s="223">
        <f>IFERROR(INDEX('Both teabags AfterWet'!$C$3:$C$840,MATCH(L204,'Both teabags AfterWet'!$A$3:$A$840,0)),"")</f>
        <v>0.80930000000000002</v>
      </c>
      <c r="R204" s="223">
        <f>IFERROR(IF(Q204&gt;0,Q204-(TBIcalc!$H$9),""),"")</f>
        <v>0.65870000000000006</v>
      </c>
      <c r="S204" s="223">
        <f>IFERROR(INDEX('Ashed teabags wet'!$K$2:$K$2000,MATCH(L204,'Ashed teabags wet'!$A$2:$A$2000,0)),"")</f>
        <v>11.067388096409434</v>
      </c>
      <c r="T204" s="223">
        <f t="shared" si="17"/>
        <v>0.58579911460895107</v>
      </c>
      <c r="U204" s="224">
        <f>'WetLitterbags placem_collection'!E205</f>
        <v>42769</v>
      </c>
      <c r="V204" s="224">
        <f>IF('WetLitterbags placem_collection'!G205="","",'WetLitterbags placem_collection'!G205)</f>
        <v>42814</v>
      </c>
      <c r="W204" s="225">
        <f t="shared" si="15"/>
        <v>45</v>
      </c>
      <c r="X204" s="223">
        <f t="shared" si="18"/>
        <v>1.3294999999999999</v>
      </c>
      <c r="Y204" s="223">
        <f t="shared" si="19"/>
        <v>1.2927563142034915</v>
      </c>
      <c r="Z204">
        <f>IFERROR(INDEX([1]Rainfall_Wet!$O$2:$O$217,MATCH(C204, [1]Rainfall_Wet!$A$2:$A$217,0)),"")</f>
        <v>175.377105089</v>
      </c>
      <c r="AA204" s="226">
        <v>47.96</v>
      </c>
      <c r="AB204" s="226">
        <v>22.919999999999995</v>
      </c>
      <c r="AC204" s="226">
        <v>29.120000000000012</v>
      </c>
      <c r="AD204" s="227" t="s">
        <v>2654</v>
      </c>
      <c r="AE204" s="226">
        <v>2.8831936914736325</v>
      </c>
      <c r="AF204">
        <f>IF('WetLitterbags placem_collection'!AB205="","",'WetLitterbags placem_collection'!AB205)</f>
        <v>5.13</v>
      </c>
      <c r="AG204">
        <f>IF('WetLitterbags placem_collection'!Z205="","",'WetLitterbags placem_collection'!Z205)</f>
        <v>5.13</v>
      </c>
      <c r="AH204" s="236" t="str">
        <f>IF('WetLitterbags placem_collection'!AA205="","",'WetLitterbags placem_collection'!AA205)</f>
        <v>O</v>
      </c>
      <c r="AI204">
        <f>IF('WetLitterbags placem_collection'!AC205="","",'WetLitterbags placem_collection'!AC205)</f>
        <v>1</v>
      </c>
      <c r="AJ204" s="233">
        <f>AVERAGE('WetLitterbags placem_collection'!S205,'WetLitterbags placem_collection'!U205)</f>
        <v>27</v>
      </c>
      <c r="AK204">
        <f>AVERAGE('WetLitterbags placem_collection'!R205,'WetLitterbags placem_collection'!T205)</f>
        <v>28.4</v>
      </c>
      <c r="AL204">
        <v>-2.4396450349999999</v>
      </c>
      <c r="AM204">
        <v>34.83836599</v>
      </c>
      <c r="AN204" t="str">
        <f>IF(ISNUMBER(SEARCH("C", 'WetLitterbags placem_collection'!$V205)),"YES","NO")</f>
        <v>NO</v>
      </c>
      <c r="AO204" t="str">
        <f>IF(ISNUMBER(SEARCH("H", 'WetLitterbags placem_collection'!$V205)),"YES","NO")</f>
        <v>NO</v>
      </c>
      <c r="AP204" t="str">
        <f>IF(ISNUMBER(SEARCH("R", 'WetLitterbags placem_collection'!$V205)),"YES","NO")</f>
        <v>YES</v>
      </c>
    </row>
    <row r="205" spans="1:42" ht="15" customHeight="1">
      <c r="A205" t="s">
        <v>2490</v>
      </c>
      <c r="B205" s="248" t="s">
        <v>2454</v>
      </c>
      <c r="C205" s="253">
        <f>'Dry_Litterbag Placem_Collection'!A206</f>
        <v>204</v>
      </c>
      <c r="D205" s="253" t="str">
        <f>'Dry_Litterbag Placem_Collection'!B206</f>
        <v>Maswa</v>
      </c>
      <c r="E205" s="253" t="s">
        <v>2643</v>
      </c>
      <c r="F205" s="253" t="s">
        <v>2645</v>
      </c>
      <c r="G205" s="253">
        <v>3</v>
      </c>
      <c r="H205" s="253" t="s">
        <v>3115</v>
      </c>
      <c r="I205" s="254" t="str">
        <f>'Dry_Litterbag Placem_Collection'!C206</f>
        <v>Dry_W4_CG3</v>
      </c>
      <c r="J205" s="255" t="s">
        <v>2525</v>
      </c>
      <c r="K205" s="256" t="s">
        <v>1147</v>
      </c>
      <c r="L205" s="221" t="str">
        <f>'WetLitterbags placem_collection'!K206</f>
        <v>G814</v>
      </c>
      <c r="M205" s="223">
        <f>IFERROR(INDEX('Green_rooibos initial weight'!$C$5:$C$2000,MATCH(L205, 'Green_rooibos initial weight'!$A$5:$A$2000,0)),"")</f>
        <v>2.1480000000000001</v>
      </c>
      <c r="N205" s="223">
        <f>IFERROR(M205-(TBIcalc!$H$9+TBIcalc!$H$10),"")</f>
        <v>1.8982000000000001</v>
      </c>
      <c r="O205" s="378">
        <f>AVERAGE(Ashed_controlls!$K$2:$K$11)</f>
        <v>5.5147656768714146</v>
      </c>
      <c r="P205" s="223">
        <f t="shared" si="16"/>
        <v>1.793518717921627</v>
      </c>
      <c r="Q205" s="223">
        <f>IFERROR(INDEX('Both teabags AfterWet'!$C$3:$C$840,MATCH(L205,'Both teabags AfterWet'!$A$3:$A$840,0)),"")</f>
        <v>0.68300000000000005</v>
      </c>
      <c r="R205" s="223">
        <f>IFERROR(IF(Q205&gt;0,Q205-(TBIcalc!$H$9),""),"")</f>
        <v>0.53239999999999998</v>
      </c>
      <c r="S205" s="223">
        <f>IFERROR(INDEX('Ashed teabags wet'!$K$2:$K$2000,MATCH(L205,'Ashed teabags wet'!$A$2:$A$2000,0)),"")</f>
        <v>11.500000000000204</v>
      </c>
      <c r="T205" s="223">
        <f t="shared" si="17"/>
        <v>0.47117399999999887</v>
      </c>
      <c r="U205" s="224">
        <f>'WetLitterbags placem_collection'!E206</f>
        <v>42769</v>
      </c>
      <c r="V205" s="224">
        <f>IF('WetLitterbags placem_collection'!G206="","",'WetLitterbags placem_collection'!G206)</f>
        <v>42813</v>
      </c>
      <c r="W205" s="225">
        <f t="shared" si="15"/>
        <v>44</v>
      </c>
      <c r="X205" s="223">
        <f t="shared" si="18"/>
        <v>1.3658000000000001</v>
      </c>
      <c r="Y205" s="223">
        <f t="shared" si="19"/>
        <v>1.3223447179216281</v>
      </c>
      <c r="Z205">
        <f>IFERROR(INDEX([1]Rainfall_Wet!$O$2:$O$217,MATCH(C205, [1]Rainfall_Wet!$A$2:$A$217,0)),"")</f>
        <v>175.054685654</v>
      </c>
      <c r="AA205" s="226">
        <v>28.145762029394</v>
      </c>
      <c r="AB205" s="226">
        <v>25.085564727199518</v>
      </c>
      <c r="AC205" s="226">
        <v>46.768673243406489</v>
      </c>
      <c r="AD205" s="227" t="s">
        <v>2651</v>
      </c>
      <c r="AE205" s="226">
        <v>2.1716214884179394</v>
      </c>
      <c r="AF205">
        <f>IF('WetLitterbags placem_collection'!AB206="","",'WetLitterbags placem_collection'!AB206)</f>
        <v>7.9</v>
      </c>
      <c r="AG205">
        <f>IF('WetLitterbags placem_collection'!Z206="","",'WetLitterbags placem_collection'!Z206)</f>
        <v>7.9</v>
      </c>
      <c r="AH205" s="236" t="str">
        <f>IF('WetLitterbags placem_collection'!AA206="","",'WetLitterbags placem_collection'!AA206)</f>
        <v>O</v>
      </c>
      <c r="AI205">
        <f>IF('WetLitterbags placem_collection'!AC206="","",'WetLitterbags placem_collection'!AC206)</f>
        <v>1</v>
      </c>
      <c r="AJ205" s="233">
        <f>AVERAGE('WetLitterbags placem_collection'!S206,'WetLitterbags placem_collection'!U206)</f>
        <v>21.6</v>
      </c>
      <c r="AK205">
        <f>AVERAGE('WetLitterbags placem_collection'!R206,'WetLitterbags placem_collection'!T206)</f>
        <v>30.950000000000003</v>
      </c>
      <c r="AL205">
        <v>-2.4395990190000001</v>
      </c>
      <c r="AM205">
        <v>34.838418959999998</v>
      </c>
      <c r="AN205" t="str">
        <f>IF(ISNUMBER(SEARCH("C", 'WetLitterbags placem_collection'!$V206)),"YES","NO")</f>
        <v>NO</v>
      </c>
      <c r="AO205" t="str">
        <f>IF(ISNUMBER(SEARCH("H", 'WetLitterbags placem_collection'!$V206)),"YES","NO")</f>
        <v>NO</v>
      </c>
      <c r="AP205" t="str">
        <f>IF(ISNUMBER(SEARCH("R", 'WetLitterbags placem_collection'!$V206)),"YES","NO")</f>
        <v>YES</v>
      </c>
    </row>
    <row r="206" spans="1:42" ht="15" customHeight="1">
      <c r="A206" t="s">
        <v>2490</v>
      </c>
      <c r="B206" s="248" t="s">
        <v>2454</v>
      </c>
      <c r="C206" s="253">
        <f>'Dry_Litterbag Placem_Collection'!A207</f>
        <v>205</v>
      </c>
      <c r="D206" s="253" t="str">
        <f>'Dry_Litterbag Placem_Collection'!B207</f>
        <v xml:space="preserve">Mwantimba
</v>
      </c>
      <c r="E206" s="253" t="s">
        <v>2454</v>
      </c>
      <c r="F206" s="253" t="s">
        <v>2644</v>
      </c>
      <c r="G206" s="253">
        <v>2</v>
      </c>
      <c r="H206" s="253" t="s">
        <v>3116</v>
      </c>
      <c r="I206" s="254" t="str">
        <f>'Dry_Litterbag Placem_Collection'!C207</f>
        <v>Wet_Ag1_CG2</v>
      </c>
      <c r="J206" s="255" t="s">
        <v>2525</v>
      </c>
      <c r="K206" s="256" t="s">
        <v>1147</v>
      </c>
      <c r="L206" s="221" t="str">
        <f>'WetLitterbags placem_collection'!K207</f>
        <v>G621</v>
      </c>
      <c r="M206" s="223">
        <f>IFERROR(INDEX('Green_rooibos initial weight'!$C$5:$C$2000,MATCH(L206, 'Green_rooibos initial weight'!$A$5:$A$2000,0)),"")</f>
        <v>1.925</v>
      </c>
      <c r="N206" s="223">
        <f>IFERROR(M206-(TBIcalc!$H$9+TBIcalc!$H$10),"")</f>
        <v>1.6752</v>
      </c>
      <c r="O206" s="378">
        <f>AVERAGE(Ashed_controlls!$K$2:$K$11)</f>
        <v>5.5147656768714146</v>
      </c>
      <c r="P206" s="223">
        <f t="shared" si="16"/>
        <v>1.5828166453810502</v>
      </c>
      <c r="Q206" s="223">
        <f>IFERROR(INDEX('Both teabags AfterWet'!$C$3:$C$840,MATCH(L206,'Both teabags AfterWet'!$A$3:$A$840,0)),"")</f>
        <v>0.74099999999999999</v>
      </c>
      <c r="R206" s="223">
        <f>IFERROR(IF(Q206&gt;0,Q206-(TBIcalc!$H$9),""),"")</f>
        <v>0.59040000000000004</v>
      </c>
      <c r="S206" s="223">
        <f>IFERROR(INDEX('Ashed teabags wet'!$K$2:$K$2000,MATCH(L206,'Ashed teabags wet'!$A$2:$A$2000,0)),"")</f>
        <v>22.042218949435743</v>
      </c>
      <c r="T206" s="223">
        <f t="shared" si="17"/>
        <v>0.46026273932253137</v>
      </c>
      <c r="U206" s="224">
        <f>'WetLitterbags placem_collection'!E207</f>
        <v>42769</v>
      </c>
      <c r="V206" s="224">
        <f>IF('WetLitterbags placem_collection'!G207="","",'WetLitterbags placem_collection'!G207)</f>
        <v>42814</v>
      </c>
      <c r="W206" s="225">
        <f t="shared" si="15"/>
        <v>45</v>
      </c>
      <c r="X206" s="223">
        <f t="shared" si="18"/>
        <v>1.0848</v>
      </c>
      <c r="Y206" s="223">
        <f t="shared" si="19"/>
        <v>1.1225539060585188</v>
      </c>
      <c r="Z206">
        <f>IFERROR(INDEX([1]Rainfall_Wet!$O$2:$O$217,MATCH(C206, [1]Rainfall_Wet!$A$2:$A$217,0)),"")</f>
        <v>175.377105089</v>
      </c>
      <c r="AA206" s="226">
        <v>45.96</v>
      </c>
      <c r="AB206" s="226">
        <v>14.920000000000003</v>
      </c>
      <c r="AC206" s="226">
        <v>39.119999999999997</v>
      </c>
      <c r="AD206" s="227" t="s">
        <v>2654</v>
      </c>
      <c r="AE206" s="226">
        <v>2.0374568753080333</v>
      </c>
      <c r="AF206">
        <f>IF('WetLitterbags placem_collection'!AB207="","",'WetLitterbags placem_collection'!AB207)</f>
        <v>5.13</v>
      </c>
      <c r="AG206">
        <f>IF('WetLitterbags placem_collection'!Z207="","",'WetLitterbags placem_collection'!Z207)</f>
        <v>5.13</v>
      </c>
      <c r="AH206" s="236" t="str">
        <f>IF('WetLitterbags placem_collection'!AA207="","",'WetLitterbags placem_collection'!AA207)</f>
        <v>O</v>
      </c>
      <c r="AI206">
        <f>IF('WetLitterbags placem_collection'!AC207="","",'WetLitterbags placem_collection'!AC207)</f>
        <v>1</v>
      </c>
      <c r="AJ206" s="233">
        <f>AVERAGE('WetLitterbags placem_collection'!S207,'WetLitterbags placem_collection'!U207)</f>
        <v>24.45</v>
      </c>
      <c r="AK206">
        <f>AVERAGE('WetLitterbags placem_collection'!R207,'WetLitterbags placem_collection'!T207)</f>
        <v>26.299999999999997</v>
      </c>
      <c r="AL206">
        <v>-2.4396450349999999</v>
      </c>
      <c r="AM206">
        <v>34.83836599</v>
      </c>
      <c r="AN206" t="str">
        <f>IF(ISNUMBER(SEARCH("C", 'WetLitterbags placem_collection'!$V207)),"YES","NO")</f>
        <v>NO</v>
      </c>
      <c r="AO206" t="str">
        <f>IF(ISNUMBER(SEARCH("H", 'WetLitterbags placem_collection'!$V207)),"YES","NO")</f>
        <v>YES</v>
      </c>
      <c r="AP206" t="str">
        <f>IF(ISNUMBER(SEARCH("R", 'WetLitterbags placem_collection'!$V207)),"YES","NO")</f>
        <v>YES</v>
      </c>
    </row>
    <row r="207" spans="1:42" ht="15" customHeight="1">
      <c r="A207" t="s">
        <v>2490</v>
      </c>
      <c r="B207" s="248" t="s">
        <v>2454</v>
      </c>
      <c r="C207" s="253">
        <f>'Dry_Litterbag Placem_Collection'!A208</f>
        <v>206</v>
      </c>
      <c r="D207" s="253" t="str">
        <f>'Dry_Litterbag Placem_Collection'!B208</f>
        <v xml:space="preserve">Mwantimba
</v>
      </c>
      <c r="E207" s="253" t="s">
        <v>2454</v>
      </c>
      <c r="F207" s="253" t="s">
        <v>2644</v>
      </c>
      <c r="G207" s="253">
        <v>1</v>
      </c>
      <c r="H207" s="253" t="s">
        <v>3118</v>
      </c>
      <c r="I207" s="254" t="str">
        <f>'Dry_Litterbag Placem_Collection'!C208</f>
        <v>Wet_Ag2_CG1</v>
      </c>
      <c r="J207" s="255" t="s">
        <v>2525</v>
      </c>
      <c r="K207" s="256" t="s">
        <v>1147</v>
      </c>
      <c r="L207" s="221" t="str">
        <f>'WetLitterbags placem_collection'!K208</f>
        <v>G677</v>
      </c>
      <c r="M207" s="223">
        <f>IFERROR(INDEX('Green_rooibos initial weight'!$C$5:$C$2000,MATCH(L207, 'Green_rooibos initial weight'!$A$5:$A$2000,0)),"")</f>
        <v>2.1269999999999998</v>
      </c>
      <c r="N207" s="223">
        <f>IFERROR(M207-(TBIcalc!$H$9+TBIcalc!$H$10),"")</f>
        <v>1.8771999999999998</v>
      </c>
      <c r="O207" s="378">
        <f>AVERAGE(Ashed_controlls!$K$2:$K$11)</f>
        <v>5.5147656768714146</v>
      </c>
      <c r="P207" s="223">
        <f t="shared" si="16"/>
        <v>1.7736768187137695</v>
      </c>
      <c r="Q207" s="223">
        <f>IFERROR(INDEX('Both teabags AfterWet'!$C$3:$C$840,MATCH(L207,'Both teabags AfterWet'!$A$3:$A$840,0)),"")</f>
        <v>0.85699999999999998</v>
      </c>
      <c r="R207" s="223">
        <f>IFERROR(IF(Q207&gt;0,Q207-(TBIcalc!$H$9),""),"")</f>
        <v>0.70639999999999992</v>
      </c>
      <c r="S207" s="223">
        <f>IFERROR(INDEX('Ashed teabags wet'!$K$2:$K$2000,MATCH(L207,'Ashed teabags wet'!$A$2:$A$2000,0)),"")</f>
        <v>17.335314512134694</v>
      </c>
      <c r="T207" s="223">
        <f t="shared" si="17"/>
        <v>0.58394333828628042</v>
      </c>
      <c r="U207" s="224">
        <f>'WetLitterbags placem_collection'!E208</f>
        <v>42769</v>
      </c>
      <c r="V207" s="224">
        <f>IF('WetLitterbags placem_collection'!G208="","",'WetLitterbags placem_collection'!G208)</f>
        <v>42814</v>
      </c>
      <c r="W207" s="225">
        <f t="shared" si="15"/>
        <v>45</v>
      </c>
      <c r="X207" s="223">
        <f t="shared" si="18"/>
        <v>1.1707999999999998</v>
      </c>
      <c r="Y207" s="223">
        <f t="shared" si="19"/>
        <v>1.1897334804274891</v>
      </c>
      <c r="Z207">
        <f>IFERROR(INDEX([1]Rainfall_Wet!$O$2:$O$217,MATCH(C207, [1]Rainfall_Wet!$A$2:$A$217,0)),"")</f>
        <v>175.377105089</v>
      </c>
      <c r="AA207" s="226">
        <v>34.344660194174757</v>
      </c>
      <c r="AB207" s="226">
        <v>19.22727272727273</v>
      </c>
      <c r="AC207" s="226">
        <v>46.428067078552509</v>
      </c>
      <c r="AD207" s="227" t="s">
        <v>2651</v>
      </c>
      <c r="AE207" s="226">
        <v>1.7452932479053718</v>
      </c>
      <c r="AF207">
        <f>IF('WetLitterbags placem_collection'!AB208="","",'WetLitterbags placem_collection'!AB208)</f>
        <v>13.8</v>
      </c>
      <c r="AG207">
        <f>IF('WetLitterbags placem_collection'!Z208="","",'WetLitterbags placem_collection'!Z208)</f>
        <v>17.399999999999999</v>
      </c>
      <c r="AH207" s="236" t="str">
        <f>IF('WetLitterbags placem_collection'!AA208="","",'WetLitterbags placem_collection'!AA208)</f>
        <v>O</v>
      </c>
      <c r="AI207">
        <f>IF('WetLitterbags placem_collection'!AC208="","",'WetLitterbags placem_collection'!AC208)</f>
        <v>1</v>
      </c>
      <c r="AJ207" s="233">
        <f>AVERAGE('WetLitterbags placem_collection'!S208,'WetLitterbags placem_collection'!U208)</f>
        <v>19.05</v>
      </c>
      <c r="AK207">
        <f>AVERAGE('WetLitterbags placem_collection'!R208,'WetLitterbags placem_collection'!T208)</f>
        <v>24.15</v>
      </c>
      <c r="AL207">
        <v>-2.439403972</v>
      </c>
      <c r="AM207">
        <v>34.838404959999998</v>
      </c>
      <c r="AN207" t="str">
        <f>IF(ISNUMBER(SEARCH("C", 'WetLitterbags placem_collection'!$V208)),"YES","NO")</f>
        <v>NO</v>
      </c>
      <c r="AO207" t="str">
        <f>IF(ISNUMBER(SEARCH("H", 'WetLitterbags placem_collection'!$V208)),"YES","NO")</f>
        <v>NO</v>
      </c>
      <c r="AP207" t="str">
        <f>IF(ISNUMBER(SEARCH("R", 'WetLitterbags placem_collection'!$V208)),"YES","NO")</f>
        <v>YES</v>
      </c>
    </row>
    <row r="208" spans="1:42" ht="15" customHeight="1">
      <c r="A208" t="s">
        <v>2490</v>
      </c>
      <c r="B208" s="248" t="s">
        <v>2454</v>
      </c>
      <c r="C208" s="253">
        <f>'Dry_Litterbag Placem_Collection'!A209</f>
        <v>207</v>
      </c>
      <c r="D208" s="253" t="str">
        <f>'Dry_Litterbag Placem_Collection'!B209</f>
        <v xml:space="preserve">Mwantimba
</v>
      </c>
      <c r="E208" s="253" t="s">
        <v>2454</v>
      </c>
      <c r="F208" s="253" t="s">
        <v>2644</v>
      </c>
      <c r="G208" s="253">
        <v>4</v>
      </c>
      <c r="H208" s="253" t="s">
        <v>3119</v>
      </c>
      <c r="I208" s="254" t="str">
        <f>'Dry_Litterbag Placem_Collection'!C209</f>
        <v>Wet_Ag3_CG4</v>
      </c>
      <c r="J208" s="255" t="s">
        <v>2525</v>
      </c>
      <c r="K208" s="256" t="s">
        <v>1147</v>
      </c>
      <c r="L208" s="221" t="str">
        <f>'WetLitterbags placem_collection'!K209</f>
        <v>G574</v>
      </c>
      <c r="M208" s="223">
        <f>IFERROR(INDEX('Green_rooibos initial weight'!$C$5:$C$2000,MATCH(L208, 'Green_rooibos initial weight'!$A$5:$A$2000,0)),"")</f>
        <v>1.984</v>
      </c>
      <c r="N208" s="223">
        <f>IFERROR(M208-(TBIcalc!$H$9+TBIcalc!$H$10),"")</f>
        <v>1.7342</v>
      </c>
      <c r="O208" s="378">
        <f>AVERAGE(Ashed_controlls!$K$2:$K$11)</f>
        <v>5.5147656768714146</v>
      </c>
      <c r="P208" s="223">
        <f t="shared" si="16"/>
        <v>1.6385629336316958</v>
      </c>
      <c r="Q208" s="223">
        <f>IFERROR(INDEX('Both teabags AfterWet'!$C$3:$C$840,MATCH(L208,'Both teabags AfterWet'!$A$3:$A$840,0)),"")</f>
        <v>0.77700000000000002</v>
      </c>
      <c r="R208" s="223">
        <f>IFERROR(IF(Q208&gt;0,Q208-(TBIcalc!$H$9),""),"")</f>
        <v>0.62640000000000007</v>
      </c>
      <c r="S208" s="223">
        <f>IFERROR(INDEX('Ashed teabags wet'!$K$2:$K$2000,MATCH(L208,'Ashed teabags wet'!$A$2:$A$2000,0)),"")</f>
        <v>23.600000000000428</v>
      </c>
      <c r="T208" s="223">
        <f t="shared" si="17"/>
        <v>0.47856959999999737</v>
      </c>
      <c r="U208" s="224">
        <f>'WetLitterbags placem_collection'!E209</f>
        <v>42769</v>
      </c>
      <c r="V208" s="224">
        <f>IF('WetLitterbags placem_collection'!G209="","",'WetLitterbags placem_collection'!G209)</f>
        <v>42813</v>
      </c>
      <c r="W208" s="225">
        <f t="shared" si="15"/>
        <v>44</v>
      </c>
      <c r="X208" s="223">
        <f t="shared" si="18"/>
        <v>1.1077999999999999</v>
      </c>
      <c r="Y208" s="223">
        <f t="shared" si="19"/>
        <v>1.1599933336316983</v>
      </c>
      <c r="Z208">
        <f>IFERROR(INDEX([1]Rainfall_Wet!$O$2:$O$217,MATCH(C208, [1]Rainfall_Wet!$A$2:$A$217,0)),"")</f>
        <v>175.054685654</v>
      </c>
      <c r="AA208" s="226">
        <v>27.96</v>
      </c>
      <c r="AB208" s="226">
        <v>4.9200000000000017</v>
      </c>
      <c r="AC208" s="226">
        <v>67.12</v>
      </c>
      <c r="AD208" s="227" t="s">
        <v>2651</v>
      </c>
      <c r="AE208" s="226">
        <v>0.88610152784622953</v>
      </c>
      <c r="AF208">
        <f>IF('WetLitterbags placem_collection'!AB209="","",'WetLitterbags placem_collection'!AB209)</f>
        <v>15.2</v>
      </c>
      <c r="AG208">
        <f>IF('WetLitterbags placem_collection'!Z209="","",'WetLitterbags placem_collection'!Z209)</f>
        <v>12.2</v>
      </c>
      <c r="AH208" s="236" t="str">
        <f>IF('WetLitterbags placem_collection'!AA209="","",'WetLitterbags placem_collection'!AA209)</f>
        <v>O</v>
      </c>
      <c r="AI208">
        <f>IF('WetLitterbags placem_collection'!AC209="","",'WetLitterbags placem_collection'!AC209)</f>
        <v>1</v>
      </c>
      <c r="AJ208" s="233">
        <f>AVERAGE('WetLitterbags placem_collection'!S209,'WetLitterbags placem_collection'!U209)</f>
        <v>19.8</v>
      </c>
      <c r="AK208">
        <f>AVERAGE('WetLitterbags placem_collection'!R209,'WetLitterbags placem_collection'!T209)</f>
        <v>29.05</v>
      </c>
      <c r="AL208">
        <v>-2.4396949910000001</v>
      </c>
      <c r="AM208">
        <v>34.838574029999997</v>
      </c>
      <c r="AN208" t="str">
        <f>IF(ISNUMBER(SEARCH("C", 'WetLitterbags placem_collection'!$V209)),"YES","NO")</f>
        <v>NO</v>
      </c>
      <c r="AO208" t="str">
        <f>IF(ISNUMBER(SEARCH("H", 'WetLitterbags placem_collection'!$V209)),"YES","NO")</f>
        <v>NO</v>
      </c>
      <c r="AP208" t="str">
        <f>IF(ISNUMBER(SEARCH("R", 'WetLitterbags placem_collection'!$V209)),"YES","NO")</f>
        <v>YES</v>
      </c>
    </row>
    <row r="209" spans="1:42" ht="15" customHeight="1">
      <c r="A209" t="s">
        <v>2490</v>
      </c>
      <c r="B209" s="248" t="s">
        <v>2454</v>
      </c>
      <c r="C209" s="253">
        <f>'Dry_Litterbag Placem_Collection'!A210</f>
        <v>208</v>
      </c>
      <c r="D209" s="253" t="str">
        <f>'Dry_Litterbag Placem_Collection'!B210</f>
        <v xml:space="preserve">Mwantimba
</v>
      </c>
      <c r="E209" s="253" t="s">
        <v>2454</v>
      </c>
      <c r="F209" s="253" t="s">
        <v>2644</v>
      </c>
      <c r="G209" s="253">
        <v>3</v>
      </c>
      <c r="H209" s="253" t="s">
        <v>3120</v>
      </c>
      <c r="I209" s="254" t="str">
        <f>'Dry_Litterbag Placem_Collection'!C210</f>
        <v>Wet_Ag4_CG3</v>
      </c>
      <c r="J209" s="255" t="s">
        <v>2525</v>
      </c>
      <c r="K209" s="256" t="s">
        <v>1147</v>
      </c>
      <c r="L209" s="221" t="str">
        <f>'WetLitterbags placem_collection'!K210</f>
        <v>G710</v>
      </c>
      <c r="M209" s="223">
        <f>IFERROR(INDEX('Green_rooibos initial weight'!$C$5:$C$2000,MATCH(L209, 'Green_rooibos initial weight'!$A$5:$A$2000,0)),"")</f>
        <v>2.0270000000000001</v>
      </c>
      <c r="N209" s="223">
        <f>IFERROR(M209-(TBIcalc!$H$9+TBIcalc!$H$10),"")</f>
        <v>1.7772000000000001</v>
      </c>
      <c r="O209" s="378">
        <f>AVERAGE(Ashed_controlls!$K$2:$K$11)</f>
        <v>5.5147656768714146</v>
      </c>
      <c r="P209" s="223">
        <f t="shared" si="16"/>
        <v>1.6791915843906413</v>
      </c>
      <c r="Q209" s="223">
        <f>IFERROR(INDEX('Both teabags AfterWet'!$C$3:$C$840,MATCH(L209,'Both teabags AfterWet'!$A$3:$A$840,0)),"")</f>
        <v>0.91</v>
      </c>
      <c r="R209" s="223">
        <f>IFERROR(IF(Q209&gt;0,Q209-(TBIcalc!$H$9),""),"")</f>
        <v>0.75940000000000007</v>
      </c>
      <c r="S209" s="223">
        <f>IFERROR(INDEX('Ashed teabags wet'!$K$2:$K$2000,MATCH(L209,'Ashed teabags wet'!$A$2:$A$2000,0)),"")</f>
        <v>18.435475834579655</v>
      </c>
      <c r="T209" s="223">
        <f t="shared" si="17"/>
        <v>0.61940099651220215</v>
      </c>
      <c r="U209" s="224">
        <f>'WetLitterbags placem_collection'!E210</f>
        <v>42769</v>
      </c>
      <c r="V209" s="224">
        <f>IF('WetLitterbags placem_collection'!G210="","",'WetLitterbags placem_collection'!G210)</f>
        <v>42813</v>
      </c>
      <c r="W209" s="225">
        <f t="shared" si="15"/>
        <v>44</v>
      </c>
      <c r="X209" s="223">
        <f t="shared" si="18"/>
        <v>1.0178</v>
      </c>
      <c r="Y209" s="223">
        <f t="shared" si="19"/>
        <v>1.0597905878784393</v>
      </c>
      <c r="Z209">
        <f>IFERROR(INDEX([1]Rainfall_Wet!$O$2:$O$217,MATCH(C209, [1]Rainfall_Wet!$A$2:$A$217,0)),"")</f>
        <v>175.054685654</v>
      </c>
      <c r="AA209" s="226">
        <v>17.96</v>
      </c>
      <c r="AB209" s="226">
        <v>4.9199999999999982</v>
      </c>
      <c r="AC209" s="226">
        <v>77.12</v>
      </c>
      <c r="AD209" s="227" t="s">
        <v>2652</v>
      </c>
      <c r="AE209" s="226">
        <v>2.0220798422868409</v>
      </c>
      <c r="AF209">
        <f>IF('WetLitterbags placem_collection'!AB210="","",'WetLitterbags placem_collection'!AB210)</f>
        <v>7.9</v>
      </c>
      <c r="AG209">
        <f>IF('WetLitterbags placem_collection'!Z210="","",'WetLitterbags placem_collection'!Z210)</f>
        <v>7.9</v>
      </c>
      <c r="AH209" s="236" t="str">
        <f>IF('WetLitterbags placem_collection'!AA210="","",'WetLitterbags placem_collection'!AA210)</f>
        <v>O</v>
      </c>
      <c r="AI209">
        <f>IF('WetLitterbags placem_collection'!AC210="","",'WetLitterbags placem_collection'!AC210)</f>
        <v>1</v>
      </c>
      <c r="AJ209" s="233">
        <f>AVERAGE('WetLitterbags placem_collection'!S210,'WetLitterbags placem_collection'!U210)</f>
        <v>22.200000000000003</v>
      </c>
      <c r="AK209">
        <f>AVERAGE('WetLitterbags placem_collection'!R210,'WetLitterbags placem_collection'!T210)</f>
        <v>27.45</v>
      </c>
      <c r="AL209">
        <v>-2.4395990190000001</v>
      </c>
      <c r="AM209">
        <v>34.838418959999998</v>
      </c>
      <c r="AN209" t="str">
        <f>IF(ISNUMBER(SEARCH("C", 'WetLitterbags placem_collection'!$V210)),"YES","NO")</f>
        <v>NO</v>
      </c>
      <c r="AO209" t="str">
        <f>IF(ISNUMBER(SEARCH("H", 'WetLitterbags placem_collection'!$V210)),"YES","NO")</f>
        <v>NO</v>
      </c>
      <c r="AP209" t="str">
        <f>IF(ISNUMBER(SEARCH("R", 'WetLitterbags placem_collection'!$V210)),"YES","NO")</f>
        <v>YES</v>
      </c>
    </row>
    <row r="210" spans="1:42" ht="15" customHeight="1">
      <c r="A210" t="s">
        <v>2490</v>
      </c>
      <c r="B210" s="248" t="s">
        <v>2454</v>
      </c>
      <c r="C210" s="253">
        <f>'Dry_Litterbag Placem_Collection'!A211</f>
        <v>209</v>
      </c>
      <c r="D210" s="253" t="str">
        <f>'Dry_Litterbag Placem_Collection'!B211</f>
        <v xml:space="preserve">Mwantimba
</v>
      </c>
      <c r="E210" s="253" t="s">
        <v>2454</v>
      </c>
      <c r="F210" s="253" t="s">
        <v>20</v>
      </c>
      <c r="G210" s="253">
        <v>2</v>
      </c>
      <c r="H210" s="253" t="s">
        <v>3121</v>
      </c>
      <c r="I210" s="254" t="str">
        <f>'Dry_Litterbag Placem_Collection'!C211</f>
        <v>Wet_P1_CG2</v>
      </c>
      <c r="J210" s="255" t="s">
        <v>2525</v>
      </c>
      <c r="K210" s="256" t="s">
        <v>1147</v>
      </c>
      <c r="L210" s="221" t="str">
        <f>'WetLitterbags placem_collection'!K211</f>
        <v>G604</v>
      </c>
      <c r="M210" s="223">
        <f>IFERROR(INDEX('Green_rooibos initial weight'!$C$5:$C$2000,MATCH(L210, 'Green_rooibos initial weight'!$A$5:$A$2000,0)),"")</f>
        <v>2.0390000000000001</v>
      </c>
      <c r="N210" s="223">
        <f>IFERROR(M210-(TBIcalc!$H$9+TBIcalc!$H$10),"")</f>
        <v>1.7892000000000001</v>
      </c>
      <c r="O210" s="378">
        <f>AVERAGE(Ashed_controlls!$K$2:$K$11)</f>
        <v>5.5147656768714146</v>
      </c>
      <c r="P210" s="223">
        <f t="shared" si="16"/>
        <v>1.6905298125094168</v>
      </c>
      <c r="Q210" s="223">
        <f>IFERROR(INDEX('Both teabags AfterWet'!$C$3:$C$840,MATCH(L210,'Both teabags AfterWet'!$A$3:$A$840,0)),"")</f>
        <v>0.748</v>
      </c>
      <c r="R210" s="223">
        <f>IFERROR(IF(Q210&gt;0,Q210-(TBIcalc!$H$9),""),"")</f>
        <v>0.59739999999999993</v>
      </c>
      <c r="S210" s="223">
        <f>IFERROR(INDEX('Ashed teabags wet'!$K$2:$K$2000,MATCH(L210,'Ashed teabags wet'!$A$2:$A$2000,0)),"")</f>
        <v>16.351888667991876</v>
      </c>
      <c r="T210" s="223">
        <f t="shared" si="17"/>
        <v>0.49971381709741647</v>
      </c>
      <c r="U210" s="224">
        <f>'WetLitterbags placem_collection'!E211</f>
        <v>42769</v>
      </c>
      <c r="V210" s="224">
        <f>IF('WetLitterbags placem_collection'!G211="","",'WetLitterbags placem_collection'!G211)</f>
        <v>42814</v>
      </c>
      <c r="W210" s="225">
        <f t="shared" si="15"/>
        <v>45</v>
      </c>
      <c r="X210" s="223">
        <f t="shared" si="18"/>
        <v>1.1918000000000002</v>
      </c>
      <c r="Y210" s="223">
        <f t="shared" si="19"/>
        <v>1.1908159954120003</v>
      </c>
      <c r="Z210">
        <f>IFERROR(INDEX([1]Rainfall_Wet!$O$2:$O$217,MATCH(C210, [1]Rainfall_Wet!$A$2:$A$217,0)),"")</f>
        <v>175.377105089</v>
      </c>
      <c r="AA210" s="226">
        <v>31.214836424255054</v>
      </c>
      <c r="AB210" s="226">
        <v>11.377370285476141</v>
      </c>
      <c r="AC210" s="226">
        <v>57.407793290268799</v>
      </c>
      <c r="AD210" s="227" t="s">
        <v>2651</v>
      </c>
      <c r="AE210" s="226">
        <v>1.7337604731394776</v>
      </c>
      <c r="AF210">
        <f>IF('WetLitterbags placem_collection'!AB211="","",'WetLitterbags placem_collection'!AB211)</f>
        <v>5.13</v>
      </c>
      <c r="AG210">
        <f>IF('WetLitterbags placem_collection'!Z211="","",'WetLitterbags placem_collection'!Z211)</f>
        <v>5.13</v>
      </c>
      <c r="AH210" s="236" t="str">
        <f>IF('WetLitterbags placem_collection'!AA211="","",'WetLitterbags placem_collection'!AA211)</f>
        <v>O</v>
      </c>
      <c r="AI210">
        <f>IF('WetLitterbags placem_collection'!AC211="","",'WetLitterbags placem_collection'!AC211)</f>
        <v>1</v>
      </c>
      <c r="AJ210" s="233">
        <f>AVERAGE('WetLitterbags placem_collection'!S211,'WetLitterbags placem_collection'!U211)</f>
        <v>24.5</v>
      </c>
      <c r="AK210">
        <f>AVERAGE('WetLitterbags placem_collection'!R211,'WetLitterbags placem_collection'!T211)</f>
        <v>24.4</v>
      </c>
      <c r="AL210">
        <v>-2.4396450349999999</v>
      </c>
      <c r="AM210">
        <v>34.83836599</v>
      </c>
      <c r="AN210" t="str">
        <f>IF(ISNUMBER(SEARCH("C", 'WetLitterbags placem_collection'!$V211)),"YES","NO")</f>
        <v>NO</v>
      </c>
      <c r="AO210" t="str">
        <f>IF(ISNUMBER(SEARCH("H", 'WetLitterbags placem_collection'!$V211)),"YES","NO")</f>
        <v>NO</v>
      </c>
      <c r="AP210" t="str">
        <f>IF(ISNUMBER(SEARCH("R", 'WetLitterbags placem_collection'!$V211)),"YES","NO")</f>
        <v>YES</v>
      </c>
    </row>
    <row r="211" spans="1:42" ht="15" customHeight="1">
      <c r="A211" t="s">
        <v>2490</v>
      </c>
      <c r="B211" s="248" t="s">
        <v>2454</v>
      </c>
      <c r="C211" s="253">
        <f>'Dry_Litterbag Placem_Collection'!A212</f>
        <v>210</v>
      </c>
      <c r="D211" s="253" t="str">
        <f>'Dry_Litterbag Placem_Collection'!B212</f>
        <v xml:space="preserve">Mwantimba
</v>
      </c>
      <c r="E211" s="253" t="s">
        <v>2454</v>
      </c>
      <c r="F211" s="253" t="s">
        <v>20</v>
      </c>
      <c r="G211" s="253">
        <v>4</v>
      </c>
      <c r="H211" s="253" t="s">
        <v>3123</v>
      </c>
      <c r="I211" s="254" t="str">
        <f>'Dry_Litterbag Placem_Collection'!C212</f>
        <v>Wet_P2_CG4</v>
      </c>
      <c r="J211" s="255" t="s">
        <v>2525</v>
      </c>
      <c r="K211" s="256" t="s">
        <v>1147</v>
      </c>
      <c r="L211" s="221" t="str">
        <f>'WetLitterbags placem_collection'!K212</f>
        <v>G871</v>
      </c>
      <c r="M211" s="223">
        <f>IFERROR(INDEX('Green_rooibos initial weight'!$C$5:$C$2000,MATCH(L211, 'Green_rooibos initial weight'!$A$5:$A$2000,0)),"")</f>
        <v>2.0680000000000001</v>
      </c>
      <c r="N211" s="223">
        <f>IFERROR(M211-(TBIcalc!$H$9+TBIcalc!$H$10),"")</f>
        <v>1.8182</v>
      </c>
      <c r="O211" s="378">
        <f>AVERAGE(Ashed_controlls!$K$2:$K$11)</f>
        <v>5.5147656768714146</v>
      </c>
      <c r="P211" s="223">
        <f t="shared" si="16"/>
        <v>1.7179305304631241</v>
      </c>
      <c r="Q211" s="223">
        <f>IFERROR(INDEX('Both teabags AfterWet'!$C$3:$C$840,MATCH(L211,'Both teabags AfterWet'!$A$3:$A$840,0)),"")</f>
        <v>0.83130000000000004</v>
      </c>
      <c r="R211" s="223">
        <f>IFERROR(IF(Q211&gt;0,Q211-(TBIcalc!$H$9),""),"")</f>
        <v>0.68070000000000008</v>
      </c>
      <c r="S211" s="223">
        <f>IFERROR(INDEX('Ashed teabags wet'!$K$2:$K$2000,MATCH(L211,'Ashed teabags wet'!$A$2:$A$2000,0)),"")</f>
        <v>17.063492063492387</v>
      </c>
      <c r="T211" s="223">
        <f t="shared" si="17"/>
        <v>0.56454880952380737</v>
      </c>
      <c r="U211" s="224">
        <f>'WetLitterbags placem_collection'!E212</f>
        <v>42769</v>
      </c>
      <c r="V211" s="224">
        <f>IF('WetLitterbags placem_collection'!G212="","",'WetLitterbags placem_collection'!G212)</f>
        <v>42813</v>
      </c>
      <c r="W211" s="225">
        <f t="shared" si="15"/>
        <v>44</v>
      </c>
      <c r="X211" s="223">
        <f t="shared" si="18"/>
        <v>1.1375</v>
      </c>
      <c r="Y211" s="223">
        <f t="shared" si="19"/>
        <v>1.1533817209393167</v>
      </c>
      <c r="Z211">
        <f>IFERROR(INDEX([1]Rainfall_Wet!$O$2:$O$217,MATCH(C211, [1]Rainfall_Wet!$A$2:$A$217,0)),"")</f>
        <v>175.054685654</v>
      </c>
      <c r="AA211" s="226">
        <v>33.96</v>
      </c>
      <c r="AB211" s="226">
        <v>8.9200000000000017</v>
      </c>
      <c r="AC211" s="226">
        <v>57.12</v>
      </c>
      <c r="AD211" s="227" t="s">
        <v>2651</v>
      </c>
      <c r="AE211" s="226">
        <v>2.072055199605717</v>
      </c>
      <c r="AF211">
        <f>IF('WetLitterbags placem_collection'!AB212="","",'WetLitterbags placem_collection'!AB212)</f>
        <v>15.2</v>
      </c>
      <c r="AG211">
        <f>IF('WetLitterbags placem_collection'!Z212="","",'WetLitterbags placem_collection'!Z212)</f>
        <v>12.2</v>
      </c>
      <c r="AH211" s="236" t="str">
        <f>IF('WetLitterbags placem_collection'!AA212="","",'WetLitterbags placem_collection'!AA212)</f>
        <v>O</v>
      </c>
      <c r="AI211">
        <f>IF('WetLitterbags placem_collection'!AC212="","",'WetLitterbags placem_collection'!AC212)</f>
        <v>1</v>
      </c>
      <c r="AJ211" s="233">
        <f>AVERAGE('WetLitterbags placem_collection'!S212,'WetLitterbags placem_collection'!U212)</f>
        <v>22.4</v>
      </c>
      <c r="AK211">
        <f>AVERAGE('WetLitterbags placem_collection'!R212,'WetLitterbags placem_collection'!T212)</f>
        <v>28.400000000000002</v>
      </c>
      <c r="AL211">
        <v>-2.4396949910000001</v>
      </c>
      <c r="AM211">
        <v>34.838574029999997</v>
      </c>
      <c r="AN211" t="str">
        <f>IF(ISNUMBER(SEARCH("C", 'WetLitterbags placem_collection'!$V212)),"YES","NO")</f>
        <v>NO</v>
      </c>
      <c r="AO211" t="str">
        <f>IF(ISNUMBER(SEARCH("H", 'WetLitterbags placem_collection'!$V212)),"YES","NO")</f>
        <v>NO</v>
      </c>
      <c r="AP211" t="str">
        <f>IF(ISNUMBER(SEARCH("R", 'WetLitterbags placem_collection'!$V212)),"YES","NO")</f>
        <v>YES</v>
      </c>
    </row>
    <row r="212" spans="1:42" ht="15" customHeight="1">
      <c r="A212" t="s">
        <v>2490</v>
      </c>
      <c r="B212" s="248" t="s">
        <v>2454</v>
      </c>
      <c r="C212" s="253">
        <f>'Dry_Litterbag Placem_Collection'!A213</f>
        <v>211</v>
      </c>
      <c r="D212" s="253" t="str">
        <f>'Dry_Litterbag Placem_Collection'!B213</f>
        <v xml:space="preserve">Mwantimba
</v>
      </c>
      <c r="E212" s="253" t="s">
        <v>2454</v>
      </c>
      <c r="F212" s="253" t="s">
        <v>20</v>
      </c>
      <c r="G212" s="253">
        <v>1</v>
      </c>
      <c r="H212" s="253" t="s">
        <v>3124</v>
      </c>
      <c r="I212" s="254" t="str">
        <f>'Dry_Litterbag Placem_Collection'!C213</f>
        <v>Wet_P3_CG1</v>
      </c>
      <c r="J212" s="255" t="s">
        <v>2525</v>
      </c>
      <c r="K212" s="256" t="s">
        <v>1147</v>
      </c>
      <c r="L212" s="221" t="str">
        <f>'WetLitterbags placem_collection'!K213</f>
        <v>G822</v>
      </c>
      <c r="M212" s="223">
        <f>IFERROR(INDEX('Green_rooibos initial weight'!$C$5:$C$2000,MATCH(L212, 'Green_rooibos initial weight'!$A$5:$A$2000,0)),"")</f>
        <v>2.02</v>
      </c>
      <c r="N212" s="223">
        <f>IFERROR(M212-(TBIcalc!$H$9+TBIcalc!$H$10),"")</f>
        <v>1.7702</v>
      </c>
      <c r="O212" s="378">
        <f>AVERAGE(Ashed_controlls!$K$2:$K$11)</f>
        <v>5.5147656768714146</v>
      </c>
      <c r="P212" s="223">
        <f t="shared" si="16"/>
        <v>1.6725776179880223</v>
      </c>
      <c r="Q212" s="223">
        <f>IFERROR(INDEX('Both teabags AfterWet'!$C$3:$C$840,MATCH(L212,'Both teabags AfterWet'!$A$3:$A$840,0)),"")</f>
        <v>0.85699999999999998</v>
      </c>
      <c r="R212" s="223">
        <f>IFERROR(IF(Q212&gt;0,Q212-(TBIcalc!$H$9),""),"")</f>
        <v>0.70639999999999992</v>
      </c>
      <c r="S212" s="223">
        <f>IFERROR(INDEX('Ashed teabags wet'!$K$2:$K$2000,MATCH(L212,'Ashed teabags wet'!$A$2:$A$2000,0)),"")</f>
        <v>17.246520874750999</v>
      </c>
      <c r="T212" s="223">
        <f t="shared" si="17"/>
        <v>0.58457057654075884</v>
      </c>
      <c r="U212" s="224">
        <f>'WetLitterbags placem_collection'!E213</f>
        <v>42769</v>
      </c>
      <c r="V212" s="224">
        <f>IF('WetLitterbags placem_collection'!G213="","",'WetLitterbags placem_collection'!G213)</f>
        <v>42814</v>
      </c>
      <c r="W212" s="225">
        <f t="shared" si="15"/>
        <v>45</v>
      </c>
      <c r="X212" s="223">
        <f t="shared" si="18"/>
        <v>1.0638000000000001</v>
      </c>
      <c r="Y212" s="223">
        <f t="shared" si="19"/>
        <v>1.0880070414472636</v>
      </c>
      <c r="Z212">
        <f>IFERROR(INDEX([1]Rainfall_Wet!$O$2:$O$217,MATCH(C212, [1]Rainfall_Wet!$A$2:$A$217,0)),"")</f>
        <v>175.377105089</v>
      </c>
      <c r="AA212" s="226">
        <v>39.96</v>
      </c>
      <c r="AB212" s="226">
        <v>12.920000000000002</v>
      </c>
      <c r="AC212" s="226">
        <v>47.12</v>
      </c>
      <c r="AD212" s="227" t="s">
        <v>2655</v>
      </c>
      <c r="AE212" s="226">
        <v>1.6549531789058647</v>
      </c>
      <c r="AF212">
        <f>IF('WetLitterbags placem_collection'!AB213="","",'WetLitterbags placem_collection'!AB213)</f>
        <v>13.8</v>
      </c>
      <c r="AG212">
        <f>IF('WetLitterbags placem_collection'!Z213="","",'WetLitterbags placem_collection'!Z213)</f>
        <v>17.399999999999999</v>
      </c>
      <c r="AH212" s="236" t="str">
        <f>IF('WetLitterbags placem_collection'!AA213="","",'WetLitterbags placem_collection'!AA213)</f>
        <v>O</v>
      </c>
      <c r="AI212">
        <f>IF('WetLitterbags placem_collection'!AC213="","",'WetLitterbags placem_collection'!AC213)</f>
        <v>1</v>
      </c>
      <c r="AJ212" s="233">
        <f>AVERAGE('WetLitterbags placem_collection'!S213,'WetLitterbags placem_collection'!U213)</f>
        <v>16.850000000000001</v>
      </c>
      <c r="AK212">
        <f>AVERAGE('WetLitterbags placem_collection'!R213,'WetLitterbags placem_collection'!T213)</f>
        <v>23.95</v>
      </c>
      <c r="AL212">
        <v>-2.439403972</v>
      </c>
      <c r="AM212">
        <v>34.838404959999998</v>
      </c>
      <c r="AN212" t="str">
        <f>IF(ISNUMBER(SEARCH("C", 'WetLitterbags placem_collection'!$V213)),"YES","NO")</f>
        <v>NO</v>
      </c>
      <c r="AO212" t="str">
        <f>IF(ISNUMBER(SEARCH("H", 'WetLitterbags placem_collection'!$V213)),"YES","NO")</f>
        <v>NO</v>
      </c>
      <c r="AP212" t="str">
        <f>IF(ISNUMBER(SEARCH("R", 'WetLitterbags placem_collection'!$V213)),"YES","NO")</f>
        <v>YES</v>
      </c>
    </row>
    <row r="213" spans="1:42" ht="15" customHeight="1">
      <c r="A213" t="s">
        <v>2490</v>
      </c>
      <c r="B213" s="248" t="s">
        <v>2454</v>
      </c>
      <c r="C213" s="253">
        <f>'Dry_Litterbag Placem_Collection'!A214</f>
        <v>215</v>
      </c>
      <c r="D213" s="253" t="str">
        <f>'Dry_Litterbag Placem_Collection'!B214</f>
        <v xml:space="preserve">Mwantimba
</v>
      </c>
      <c r="E213" s="253" t="s">
        <v>2454</v>
      </c>
      <c r="F213" s="253" t="s">
        <v>2645</v>
      </c>
      <c r="G213" s="253">
        <v>3</v>
      </c>
      <c r="H213" s="253" t="s">
        <v>3129</v>
      </c>
      <c r="I213" s="254" t="str">
        <f>'Dry_Litterbag Placem_Collection'!C214</f>
        <v>Wet_W3_CG1</v>
      </c>
      <c r="J213" s="255" t="s">
        <v>2525</v>
      </c>
      <c r="K213" s="256" t="s">
        <v>1147</v>
      </c>
      <c r="L213" s="221" t="str">
        <f>'WetLitterbags placem_collection'!K214</f>
        <v>G786</v>
      </c>
      <c r="M213" s="223">
        <f>IFERROR(INDEX('Green_rooibos initial weight'!$C$5:$C$2000,MATCH(L213, 'Green_rooibos initial weight'!$A$5:$A$2000,0)),"")</f>
        <v>2.097</v>
      </c>
      <c r="N213" s="223">
        <f>IFERROR(M213-(TBIcalc!$H$9+TBIcalc!$H$10),"")</f>
        <v>1.8472</v>
      </c>
      <c r="O213" s="378">
        <f>AVERAGE(Ashed_controlls!$K$2:$K$11)</f>
        <v>5.5147656768714146</v>
      </c>
      <c r="P213" s="223">
        <f t="shared" si="16"/>
        <v>1.7453312484168313</v>
      </c>
      <c r="Q213" s="223">
        <f>IFERROR(INDEX('Both teabags AfterWet'!$C$3:$C$840,MATCH(L213,'Both teabags AfterWet'!$A$3:$A$840,0)),"")</f>
        <v>0.86439999999999995</v>
      </c>
      <c r="R213" s="223">
        <f>IFERROR(IF(Q213&gt;0,Q213-(TBIcalc!$H$9),""),"")</f>
        <v>0.71379999999999999</v>
      </c>
      <c r="S213" s="223">
        <f>IFERROR(INDEX('Ashed teabags wet'!$K$2:$K$2000,MATCH(L213,'Ashed teabags wet'!$A$2:$A$2000,0)),"")</f>
        <v>12.518778167251055</v>
      </c>
      <c r="T213" s="223">
        <f t="shared" si="17"/>
        <v>0.62444096144216199</v>
      </c>
      <c r="U213" s="224">
        <f>'WetLitterbags placem_collection'!E214</f>
        <v>42769</v>
      </c>
      <c r="V213" s="224">
        <f>IF('WetLitterbags placem_collection'!G214="","",'WetLitterbags placem_collection'!G214)</f>
        <v>42813</v>
      </c>
      <c r="W213" s="225">
        <f t="shared" si="15"/>
        <v>44</v>
      </c>
      <c r="X213" s="223">
        <f t="shared" si="18"/>
        <v>1.1334</v>
      </c>
      <c r="Y213" s="223">
        <f t="shared" si="19"/>
        <v>1.1208902869746693</v>
      </c>
      <c r="Z213">
        <f>IFERROR(INDEX([1]Rainfall_Wet!$O$2:$O$217,MATCH(C213, [1]Rainfall_Wet!$A$2:$A$217,0)),"")</f>
        <v>175.377105089</v>
      </c>
      <c r="AA213" s="226">
        <v>27.96</v>
      </c>
      <c r="AB213" s="226">
        <v>4.9200000000000017</v>
      </c>
      <c r="AC213" s="226">
        <v>67.12</v>
      </c>
      <c r="AD213" s="227" t="s">
        <v>2651</v>
      </c>
      <c r="AE213" s="226">
        <v>1.0437161163134547</v>
      </c>
      <c r="AF213">
        <f>IF('WetLitterbags placem_collection'!AB214="","",'WetLitterbags placem_collection'!AB214)</f>
        <v>7.9</v>
      </c>
      <c r="AG213">
        <f>IF('WetLitterbags placem_collection'!Z214="","",'WetLitterbags placem_collection'!Z214)</f>
        <v>7.9</v>
      </c>
      <c r="AH213" s="236" t="str">
        <f>IF('WetLitterbags placem_collection'!AA214="","",'WetLitterbags placem_collection'!AA214)</f>
        <v>O</v>
      </c>
      <c r="AI213">
        <f>IF('WetLitterbags placem_collection'!AC214="","",'WetLitterbags placem_collection'!AC214)</f>
        <v>1</v>
      </c>
      <c r="AJ213" s="233">
        <f>AVERAGE('WetLitterbags placem_collection'!S214,'WetLitterbags placem_collection'!U214)</f>
        <v>22.45</v>
      </c>
      <c r="AK213">
        <f>AVERAGE('WetLitterbags placem_collection'!R214,'WetLitterbags placem_collection'!T214)</f>
        <v>27.450000000000003</v>
      </c>
      <c r="AL213">
        <v>-2.4395990190000001</v>
      </c>
      <c r="AM213">
        <v>34.838418959999998</v>
      </c>
      <c r="AN213" t="str">
        <f>IF(ISNUMBER(SEARCH("C", 'WetLitterbags placem_collection'!$V214)),"YES","NO")</f>
        <v>NO</v>
      </c>
      <c r="AO213" t="str">
        <f>IF(ISNUMBER(SEARCH("H", 'WetLitterbags placem_collection'!$V214)),"YES","NO")</f>
        <v>NO</v>
      </c>
      <c r="AP213" t="str">
        <f>IF(ISNUMBER(SEARCH("R", 'WetLitterbags placem_collection'!$V214)),"YES","NO")</f>
        <v>NO</v>
      </c>
    </row>
    <row r="214" spans="1:42" ht="15" customHeight="1">
      <c r="A214" t="s">
        <v>2490</v>
      </c>
      <c r="B214" s="248" t="s">
        <v>2454</v>
      </c>
      <c r="C214" s="253">
        <f>'Dry_Litterbag Placem_Collection'!A215</f>
        <v>212</v>
      </c>
      <c r="D214" s="253" t="str">
        <f>'Dry_Litterbag Placem_Collection'!B215</f>
        <v xml:space="preserve">Mwantimba
</v>
      </c>
      <c r="E214" s="253" t="s">
        <v>2454</v>
      </c>
      <c r="F214" s="253" t="s">
        <v>20</v>
      </c>
      <c r="G214" s="253">
        <v>4</v>
      </c>
      <c r="H214" s="253" t="s">
        <v>3125</v>
      </c>
      <c r="I214" s="254" t="str">
        <f>'Dry_Litterbag Placem_Collection'!C215</f>
        <v>Wet_P4_CG3</v>
      </c>
      <c r="J214" s="255" t="s">
        <v>2525</v>
      </c>
      <c r="K214" s="256" t="s">
        <v>1147</v>
      </c>
      <c r="L214" s="221" t="str">
        <f>'WetLitterbags placem_collection'!K215</f>
        <v>G572</v>
      </c>
      <c r="M214" s="223">
        <f>IFERROR(INDEX('Green_rooibos initial weight'!$C$5:$C$2000,MATCH(L214, 'Green_rooibos initial weight'!$A$5:$A$2000,0)),"")</f>
        <v>1.972</v>
      </c>
      <c r="N214" s="223">
        <f>IFERROR(M214-(TBIcalc!$H$9+TBIcalc!$H$10),"")</f>
        <v>1.7222</v>
      </c>
      <c r="O214" s="378">
        <f>AVERAGE(Ashed_controlls!$K$2:$K$11)</f>
        <v>5.5147656768714146</v>
      </c>
      <c r="P214" s="223">
        <f t="shared" si="16"/>
        <v>1.6272247055129205</v>
      </c>
      <c r="Q214" s="223">
        <f>IFERROR(INDEX('Both teabags AfterWet'!$C$3:$C$840,MATCH(L214,'Both teabags AfterWet'!$A$3:$A$840,0)),"")</f>
        <v>0.71399999999999997</v>
      </c>
      <c r="R214" s="223">
        <f>IFERROR(IF(Q214&gt;0,Q214-(TBIcalc!$H$9),""),"")</f>
        <v>0.5633999999999999</v>
      </c>
      <c r="S214" s="223">
        <f>IFERROR(INDEX('Ashed teabags wet'!$K$2:$K$2000,MATCH(L214,'Ashed teabags wet'!$A$2:$A$2000,0)),"")</f>
        <v>10.252600297176585</v>
      </c>
      <c r="T214" s="223">
        <f t="shared" si="17"/>
        <v>0.50563684992570701</v>
      </c>
      <c r="U214" s="224">
        <f>'WetLitterbags placem_collection'!E215</f>
        <v>42769</v>
      </c>
      <c r="V214" s="224">
        <f>IF('WetLitterbags placem_collection'!G215="","",'WetLitterbags placem_collection'!G215)</f>
        <v>42813</v>
      </c>
      <c r="W214" s="225">
        <f t="shared" si="15"/>
        <v>44</v>
      </c>
      <c r="X214" s="223">
        <f t="shared" si="18"/>
        <v>1.1588000000000001</v>
      </c>
      <c r="Y214" s="223">
        <f t="shared" si="19"/>
        <v>1.1215878555872134</v>
      </c>
      <c r="Z214">
        <f>IFERROR(INDEX([1]Rainfall_Wet!$O$2:$O$217,MATCH(C214, [1]Rainfall_Wet!$A$2:$A$217,0)),"")</f>
        <v>175.054685654</v>
      </c>
      <c r="AA214" s="226">
        <v>21.96</v>
      </c>
      <c r="AB214" s="226">
        <v>4.9199999999999982</v>
      </c>
      <c r="AC214" s="226">
        <v>73.12</v>
      </c>
      <c r="AD214" s="227" t="s">
        <v>2651</v>
      </c>
      <c r="AE214" s="226">
        <v>1.2416954164613114</v>
      </c>
      <c r="AF214">
        <f>IF('WetLitterbags placem_collection'!AB215="","",'WetLitterbags placem_collection'!AB215)</f>
        <v>15.2</v>
      </c>
      <c r="AG214">
        <f>IF('WetLitterbags placem_collection'!Z215="","",'WetLitterbags placem_collection'!Z215)</f>
        <v>12.2</v>
      </c>
      <c r="AH214" s="236" t="str">
        <f>IF('WetLitterbags placem_collection'!AA215="","",'WetLitterbags placem_collection'!AA215)</f>
        <v>O</v>
      </c>
      <c r="AI214">
        <f>IF('WetLitterbags placem_collection'!AC215="","",'WetLitterbags placem_collection'!AC215)</f>
        <v>1</v>
      </c>
      <c r="AJ214" s="233">
        <f>AVERAGE('WetLitterbags placem_collection'!S215,'WetLitterbags placem_collection'!U215)</f>
        <v>19.75</v>
      </c>
      <c r="AK214">
        <f>AVERAGE('WetLitterbags placem_collection'!R215,'WetLitterbags placem_collection'!T215)</f>
        <v>28.15</v>
      </c>
      <c r="AL214">
        <v>-2.4396949910000001</v>
      </c>
      <c r="AM214">
        <v>34.838574029999997</v>
      </c>
      <c r="AN214" t="str">
        <f>IF(ISNUMBER(SEARCH("C", 'WetLitterbags placem_collection'!$V215)),"YES","NO")</f>
        <v>NO</v>
      </c>
      <c r="AO214" t="str">
        <f>IF(ISNUMBER(SEARCH("H", 'WetLitterbags placem_collection'!$V215)),"YES","NO")</f>
        <v>NO</v>
      </c>
      <c r="AP214" t="str">
        <f>IF(ISNUMBER(SEARCH("R", 'WetLitterbags placem_collection'!$V215)),"YES","NO")</f>
        <v>YES</v>
      </c>
    </row>
    <row r="215" spans="1:42" ht="15" customHeight="1">
      <c r="A215" t="s">
        <v>2490</v>
      </c>
      <c r="B215" s="248" t="s">
        <v>2454</v>
      </c>
      <c r="C215" s="253">
        <f>'Dry_Litterbag Placem_Collection'!A216</f>
        <v>213</v>
      </c>
      <c r="D215" s="253" t="str">
        <f>'Dry_Litterbag Placem_Collection'!B216</f>
        <v>Handajega</v>
      </c>
      <c r="E215" s="253" t="s">
        <v>2454</v>
      </c>
      <c r="F215" s="253" t="s">
        <v>2645</v>
      </c>
      <c r="G215" s="253">
        <v>3</v>
      </c>
      <c r="H215" s="253" t="s">
        <v>3126</v>
      </c>
      <c r="I215" s="254" t="str">
        <f>'Dry_Litterbag Placem_Collection'!C216</f>
        <v>Wet_W1_CG4</v>
      </c>
      <c r="J215" s="255" t="s">
        <v>2525</v>
      </c>
      <c r="K215" s="256" t="s">
        <v>1147</v>
      </c>
      <c r="L215" s="221" t="str">
        <f>'WetLitterbags placem_collection'!K216</f>
        <v>G761</v>
      </c>
      <c r="M215" s="223">
        <f>IFERROR(INDEX('Green_rooibos initial weight'!$C$5:$C$2000,MATCH(L215, 'Green_rooibos initial weight'!$A$5:$A$2000,0)),"")</f>
        <v>2.0110000000000001</v>
      </c>
      <c r="N215" s="223">
        <f>IFERROR(M215-(TBIcalc!$H$9+TBIcalc!$H$10),"")</f>
        <v>1.7612000000000001</v>
      </c>
      <c r="O215" s="378">
        <f>AVERAGE(Ashed_controlls!$K$2:$K$11)</f>
        <v>5.5147656768714146</v>
      </c>
      <c r="P215" s="223">
        <f t="shared" si="16"/>
        <v>1.6640739468989407</v>
      </c>
      <c r="Q215" s="223">
        <f>IFERROR(INDEX('Both teabags AfterWet'!$C$3:$C$840,MATCH(L215,'Both teabags AfterWet'!$A$3:$A$840,0)),"")</f>
        <v>0.71299999999999997</v>
      </c>
      <c r="R215" s="223">
        <f>IFERROR(IF(Q215&gt;0,Q215-(TBIcalc!$H$9),""),"")</f>
        <v>0.56240000000000001</v>
      </c>
      <c r="S215" s="223">
        <f>IFERROR(INDEX('Ashed teabags wet'!$K$2:$K$2000,MATCH(L215,'Ashed teabags wet'!$A$2:$A$2000,0)),"")</f>
        <v>10.989010989010806</v>
      </c>
      <c r="T215" s="223">
        <f t="shared" si="17"/>
        <v>0.50059780219780325</v>
      </c>
      <c r="U215" s="224">
        <f>'WetLitterbags placem_collection'!E216</f>
        <v>42769</v>
      </c>
      <c r="V215" s="224">
        <f>IF('WetLitterbags placem_collection'!G216="","",'WetLitterbags placem_collection'!G216)</f>
        <v>42813</v>
      </c>
      <c r="W215" s="225">
        <f t="shared" si="15"/>
        <v>44</v>
      </c>
      <c r="X215" s="223">
        <f t="shared" si="18"/>
        <v>1.1988000000000001</v>
      </c>
      <c r="Y215" s="223">
        <f t="shared" si="19"/>
        <v>1.1634761447011375</v>
      </c>
      <c r="Z215">
        <f>IFERROR(INDEX([1]Rainfall_Wet!$O$2:$O$217,MATCH(C215, [1]Rainfall_Wet!$A$2:$A$217,0)),"")</f>
        <v>175.054685654</v>
      </c>
      <c r="AA215" s="226">
        <v>23.96</v>
      </c>
      <c r="AB215" s="226">
        <v>4.9199999999999982</v>
      </c>
      <c r="AC215" s="226">
        <v>71.12</v>
      </c>
      <c r="AD215" s="227" t="s">
        <v>2651</v>
      </c>
      <c r="AE215" s="226">
        <v>3.30913750616067</v>
      </c>
      <c r="AF215">
        <f>IF('WetLitterbags placem_collection'!AB216="","",'WetLitterbags placem_collection'!AB216)</f>
        <v>7.9</v>
      </c>
      <c r="AG215">
        <f>IF('WetLitterbags placem_collection'!Z216="","",'WetLitterbags placem_collection'!Z216)</f>
        <v>7.9</v>
      </c>
      <c r="AH215" s="236" t="str">
        <f>IF('WetLitterbags placem_collection'!AA216="","",'WetLitterbags placem_collection'!AA216)</f>
        <v>O</v>
      </c>
      <c r="AI215">
        <f>IF('WetLitterbags placem_collection'!AC216="","",'WetLitterbags placem_collection'!AC216)</f>
        <v>1</v>
      </c>
      <c r="AJ215" s="233">
        <f>AVERAGE('WetLitterbags placem_collection'!S216,'WetLitterbags placem_collection'!U216)</f>
        <v>19.45</v>
      </c>
      <c r="AK215">
        <f>AVERAGE('WetLitterbags placem_collection'!R216,'WetLitterbags placem_collection'!T216)</f>
        <v>29.200000000000003</v>
      </c>
      <c r="AL215">
        <v>-2.4396949910000001</v>
      </c>
      <c r="AM215">
        <v>34.838574029999997</v>
      </c>
      <c r="AN215" t="str">
        <f>IF(ISNUMBER(SEARCH("C", 'WetLitterbags placem_collection'!$V216)),"YES","NO")</f>
        <v>NO</v>
      </c>
      <c r="AO215" t="str">
        <f>IF(ISNUMBER(SEARCH("H", 'WetLitterbags placem_collection'!$V216)),"YES","NO")</f>
        <v>NO</v>
      </c>
      <c r="AP215" t="str">
        <f>IF(ISNUMBER(SEARCH("R", 'WetLitterbags placem_collection'!$V216)),"YES","NO")</f>
        <v>YES</v>
      </c>
    </row>
    <row r="216" spans="1:42" ht="15" customHeight="1">
      <c r="A216" t="s">
        <v>2490</v>
      </c>
      <c r="B216" s="248" t="s">
        <v>2454</v>
      </c>
      <c r="C216" s="253">
        <f>'Dry_Litterbag Placem_Collection'!A217</f>
        <v>214</v>
      </c>
      <c r="D216" s="253" t="str">
        <f>'Dry_Litterbag Placem_Collection'!B217</f>
        <v>Handajega</v>
      </c>
      <c r="E216" s="253" t="s">
        <v>2454</v>
      </c>
      <c r="F216" s="253" t="s">
        <v>2645</v>
      </c>
      <c r="G216" s="253">
        <v>1</v>
      </c>
      <c r="H216" s="253" t="s">
        <v>3128</v>
      </c>
      <c r="I216" s="254" t="str">
        <f>'Dry_Litterbag Placem_Collection'!C217</f>
        <v>Wet_W2_CG3</v>
      </c>
      <c r="J216" s="255" t="s">
        <v>2525</v>
      </c>
      <c r="K216" s="256" t="s">
        <v>1147</v>
      </c>
      <c r="L216" s="221" t="str">
        <f>'WetLitterbags placem_collection'!K217</f>
        <v>G858</v>
      </c>
      <c r="M216" s="223">
        <f>IFERROR(INDEX('Green_rooibos initial weight'!$C$5:$C$2000,MATCH(L216, 'Green_rooibos initial weight'!$A$5:$A$2000,0)),"")</f>
        <v>2.1040000000000001</v>
      </c>
      <c r="N216" s="223">
        <f>IFERROR(M216-(TBIcalc!$H$9+TBIcalc!$H$10),"")</f>
        <v>1.8542000000000001</v>
      </c>
      <c r="O216" s="378">
        <f>AVERAGE(Ashed_controlls!$K$2:$K$11)</f>
        <v>5.5147656768714146</v>
      </c>
      <c r="P216" s="223">
        <f t="shared" si="16"/>
        <v>1.7519452148194503</v>
      </c>
      <c r="Q216" s="223">
        <f>IFERROR(INDEX('Both teabags AfterWet'!$C$3:$C$840,MATCH(L216,'Both teabags AfterWet'!$A$3:$A$840,0)),"")</f>
        <v>0.69730000000000003</v>
      </c>
      <c r="R216" s="223">
        <f>IFERROR(IF(Q216&gt;0,Q216-(TBIcalc!$H$9),""),"")</f>
        <v>0.54669999999999996</v>
      </c>
      <c r="S216" s="223">
        <f>IFERROR(INDEX('Ashed teabags wet'!$K$2:$K$2000,MATCH(L216,'Ashed teabags wet'!$A$2:$A$2000,0)),"")</f>
        <v>7.1357285429143147</v>
      </c>
      <c r="T216" s="223">
        <f t="shared" si="17"/>
        <v>0.50768897205588737</v>
      </c>
      <c r="U216" s="224">
        <f>'WetLitterbags placem_collection'!E217</f>
        <v>42769</v>
      </c>
      <c r="V216" s="224">
        <f>IF('WetLitterbags placem_collection'!G217="","",'WetLitterbags placem_collection'!G217)</f>
        <v>42814</v>
      </c>
      <c r="W216" s="225">
        <f t="shared" si="15"/>
        <v>45</v>
      </c>
      <c r="X216" s="223">
        <f t="shared" si="18"/>
        <v>1.3075000000000001</v>
      </c>
      <c r="Y216" s="223">
        <f t="shared" si="19"/>
        <v>1.2442562427635631</v>
      </c>
      <c r="Z216">
        <f>IFERROR(INDEX([1]Rainfall_Wet!$O$2:$O$217,MATCH(C216, [1]Rainfall_Wet!$A$2:$A$217,0)),"")</f>
        <v>175.054685654</v>
      </c>
      <c r="AA216" s="226">
        <v>25.96</v>
      </c>
      <c r="AB216" s="226">
        <v>8.9200000000000017</v>
      </c>
      <c r="AC216" s="226">
        <v>65.12</v>
      </c>
      <c r="AD216" s="227" t="s">
        <v>2651</v>
      </c>
      <c r="AE216" s="226">
        <v>1.614588467225234</v>
      </c>
      <c r="AF216">
        <f>IF('WetLitterbags placem_collection'!AB217="","",'WetLitterbags placem_collection'!AB217)</f>
        <v>13.8</v>
      </c>
      <c r="AG216">
        <f>IF('WetLitterbags placem_collection'!Z217="","",'WetLitterbags placem_collection'!Z217)</f>
        <v>17.399999999999999</v>
      </c>
      <c r="AH216" s="236" t="str">
        <f>IF('WetLitterbags placem_collection'!AA217="","",'WetLitterbags placem_collection'!AA217)</f>
        <v>O</v>
      </c>
      <c r="AI216">
        <f>IF('WetLitterbags placem_collection'!AC217="","",'WetLitterbags placem_collection'!AC217)</f>
        <v>1</v>
      </c>
      <c r="AJ216" s="233">
        <f>AVERAGE('WetLitterbags placem_collection'!S217,'WetLitterbags placem_collection'!U217)</f>
        <v>20.3</v>
      </c>
      <c r="AK216">
        <f>AVERAGE('WetLitterbags placem_collection'!R217,'WetLitterbags placem_collection'!T217)</f>
        <v>26.25</v>
      </c>
      <c r="AL216">
        <v>-2.439403972</v>
      </c>
      <c r="AM216">
        <v>34.838404959999998</v>
      </c>
      <c r="AN216" t="str">
        <f>IF(ISNUMBER(SEARCH("C", 'WetLitterbags placem_collection'!$V217)),"YES","NO")</f>
        <v>NO</v>
      </c>
      <c r="AO216" t="str">
        <f>IF(ISNUMBER(SEARCH("H", 'WetLitterbags placem_collection'!$V217)),"YES","NO")</f>
        <v>NO</v>
      </c>
      <c r="AP216" t="str">
        <f>IF(ISNUMBER(SEARCH("R", 'WetLitterbags placem_collection'!$V217)),"YES","NO")</f>
        <v>YES</v>
      </c>
    </row>
    <row r="217" spans="1:42" ht="15" customHeight="1">
      <c r="A217" t="s">
        <v>2490</v>
      </c>
      <c r="B217" s="248" t="s">
        <v>2454</v>
      </c>
      <c r="C217" s="253">
        <f>'Dry_Litterbag Placem_Collection'!A218</f>
        <v>216</v>
      </c>
      <c r="D217" s="253" t="str">
        <f>'Dry_Litterbag Placem_Collection'!B218</f>
        <v>Handajega</v>
      </c>
      <c r="E217" s="253" t="s">
        <v>2454</v>
      </c>
      <c r="F217" s="253" t="s">
        <v>2645</v>
      </c>
      <c r="G217" s="253">
        <v>2</v>
      </c>
      <c r="H217" s="253" t="s">
        <v>3130</v>
      </c>
      <c r="I217" s="254" t="str">
        <f>'Dry_Litterbag Placem_Collection'!C218</f>
        <v>Wet_W4_CG2</v>
      </c>
      <c r="J217" s="255" t="s">
        <v>2525</v>
      </c>
      <c r="K217" s="256" t="s">
        <v>1147</v>
      </c>
      <c r="L217" s="221" t="str">
        <f>'WetLitterbags placem_collection'!K218</f>
        <v>G755</v>
      </c>
      <c r="M217" s="223">
        <f>IFERROR(INDEX('Green_rooibos initial weight'!$C$5:$C$2000,MATCH(L217, 'Green_rooibos initial weight'!$A$5:$A$2000,0)),"")</f>
        <v>2.0190000000000001</v>
      </c>
      <c r="N217" s="223">
        <f>IFERROR(M217-(TBIcalc!$H$9+TBIcalc!$H$10),"")</f>
        <v>1.7692000000000001</v>
      </c>
      <c r="O217" s="378">
        <f>AVERAGE(Ashed_controlls!$K$2:$K$11)</f>
        <v>5.5147656768714146</v>
      </c>
      <c r="P217" s="223">
        <f t="shared" si="16"/>
        <v>1.6716327656447911</v>
      </c>
      <c r="Q217" s="223">
        <f>IFERROR(INDEX('Both teabags AfterWet'!$C$3:$C$840,MATCH(L217,'Both teabags AfterWet'!$A$3:$A$840,0)),"")</f>
        <v>0.88700000000000001</v>
      </c>
      <c r="R217" s="223">
        <f>IFERROR(IF(Q217&gt;0,Q217-(TBIcalc!$H$9),""),"")</f>
        <v>0.73639999999999994</v>
      </c>
      <c r="S217" s="223">
        <f>IFERROR(INDEX('Ashed teabags wet'!$K$2:$K$2000,MATCH(L217,'Ashed teabags wet'!$A$2:$A$2000,0)),"")</f>
        <v>8.3005893909626298</v>
      </c>
      <c r="T217" s="223">
        <f t="shared" si="17"/>
        <v>0.67527445972495115</v>
      </c>
      <c r="U217" s="224">
        <f>'WetLitterbags placem_collection'!E218</f>
        <v>42769</v>
      </c>
      <c r="V217" s="224">
        <f>IF('WetLitterbags placem_collection'!G218="","",'WetLitterbags placem_collection'!G218)</f>
        <v>42814</v>
      </c>
      <c r="W217" s="225">
        <f t="shared" si="15"/>
        <v>45</v>
      </c>
      <c r="X217" s="223">
        <f t="shared" si="18"/>
        <v>1.0328000000000002</v>
      </c>
      <c r="Y217" s="223">
        <f t="shared" si="19"/>
        <v>0.99635830591983998</v>
      </c>
      <c r="Z217">
        <f>IFERROR(INDEX([1]Rainfall_Wet!$O$2:$O$217,MATCH(C217, [1]Rainfall_Wet!$A$2:$A$217,0)),"")</f>
        <v>175.377105089</v>
      </c>
      <c r="AA217" s="226">
        <v>25.96</v>
      </c>
      <c r="AB217" s="226">
        <v>8.9200000000000017</v>
      </c>
      <c r="AC217" s="226">
        <v>65.12</v>
      </c>
      <c r="AD217" s="227" t="s">
        <v>2651</v>
      </c>
      <c r="AE217" s="226">
        <v>1.6991621488417901</v>
      </c>
      <c r="AF217">
        <f>IF('WetLitterbags placem_collection'!AB218="","",'WetLitterbags placem_collection'!AB218)</f>
        <v>5.13</v>
      </c>
      <c r="AG217">
        <f>IF('WetLitterbags placem_collection'!Z218="","",'WetLitterbags placem_collection'!Z218)</f>
        <v>5.13</v>
      </c>
      <c r="AH217" s="236" t="str">
        <f>IF('WetLitterbags placem_collection'!AA218="","",'WetLitterbags placem_collection'!AA218)</f>
        <v>O</v>
      </c>
      <c r="AI217">
        <f>IF('WetLitterbags placem_collection'!AC218="","",'WetLitterbags placem_collection'!AC218)</f>
        <v>1</v>
      </c>
      <c r="AJ217" s="233">
        <f>AVERAGE('WetLitterbags placem_collection'!S218,'WetLitterbags placem_collection'!U218)</f>
        <v>20.65</v>
      </c>
      <c r="AK217">
        <f>AVERAGE('WetLitterbags placem_collection'!R218,'WetLitterbags placem_collection'!T218)</f>
        <v>25.05</v>
      </c>
      <c r="AL217">
        <v>-2.4396450349999999</v>
      </c>
      <c r="AM217">
        <v>34.83836599</v>
      </c>
      <c r="AN217" t="str">
        <f>IF(ISNUMBER(SEARCH("C", 'WetLitterbags placem_collection'!$V218)),"YES","NO")</f>
        <v>YES</v>
      </c>
      <c r="AO217" t="str">
        <f>IF(ISNUMBER(SEARCH("H", 'WetLitterbags placem_collection'!$V218)),"YES","NO")</f>
        <v>YES</v>
      </c>
      <c r="AP217" t="str">
        <f>IF(ISNUMBER(SEARCH("R", 'WetLitterbags placem_collection'!$V218)),"YES","NO")</f>
        <v>YES</v>
      </c>
    </row>
    <row r="218" spans="1:42" ht="15" customHeight="1">
      <c r="A218" t="s">
        <v>2490</v>
      </c>
      <c r="B218" s="248" t="s">
        <v>2454</v>
      </c>
      <c r="C218" s="253">
        <f>'Dry_Litterbag Placem_Collection'!A219</f>
        <v>217</v>
      </c>
      <c r="D218" s="253" t="str">
        <f>'Dry_Litterbag Placem_Collection'!B219</f>
        <v>Seronera</v>
      </c>
      <c r="E218" s="253" t="s">
        <v>3249</v>
      </c>
      <c r="F218" s="253" t="s">
        <v>2423</v>
      </c>
      <c r="G218" s="253">
        <v>1</v>
      </c>
      <c r="H218" s="253" t="s">
        <v>3186</v>
      </c>
      <c r="I218" s="254" t="str">
        <f>'Dry_Litterbag Placem_Collection'!C219</f>
        <v>Local1_CG1</v>
      </c>
      <c r="J218" s="255" t="s">
        <v>2525</v>
      </c>
      <c r="K218" s="256" t="s">
        <v>1147</v>
      </c>
      <c r="L218" s="221" t="str">
        <f>'WetLitterbags placem_collection'!K219</f>
        <v>G795</v>
      </c>
      <c r="M218" s="223">
        <f>IFERROR(INDEX('Green_rooibos initial weight'!$C$5:$C$2000,MATCH(L218, 'Green_rooibos initial weight'!$A$5:$A$2000,0)),"")</f>
        <v>1.9530000000000001</v>
      </c>
      <c r="N218" s="223">
        <f>IFERROR(M218-(TBIcalc!$H$9+TBIcalc!$H$10),"")</f>
        <v>1.7032</v>
      </c>
      <c r="O218" s="378">
        <f>AVERAGE(Ashed_controlls!$K$2:$K$11)</f>
        <v>5.5147656768714146</v>
      </c>
      <c r="P218" s="223">
        <f t="shared" si="16"/>
        <v>1.609272510991526</v>
      </c>
      <c r="Q218" s="223">
        <f>IFERROR(INDEX('Both teabags AfterWet'!$C$3:$C$840,MATCH(L218,'Both teabags AfterWet'!$A$3:$A$840,0)),"")</f>
        <v>0.78100000000000003</v>
      </c>
      <c r="R218" s="223">
        <f>IFERROR(IF(Q218&gt;0,Q218-(TBIcalc!$H$9),""),"")</f>
        <v>0.63040000000000007</v>
      </c>
      <c r="S218" s="223">
        <f>IFERROR(INDEX('Ashed teabags wet'!$K$2:$K$2000,MATCH(L218,'Ashed teabags wet'!$A$2:$A$2000,0)),"")</f>
        <v>8.99805447470772</v>
      </c>
      <c r="T218" s="223">
        <f t="shared" si="17"/>
        <v>0.57367626459144261</v>
      </c>
      <c r="U218" s="224">
        <f>'WetLitterbags placem_collection'!E219</f>
        <v>42769</v>
      </c>
      <c r="V218" s="224">
        <f>IF('WetLitterbags placem_collection'!G219="","",'WetLitterbags placem_collection'!G219)</f>
        <v>42814</v>
      </c>
      <c r="W218" s="225">
        <f t="shared" si="15"/>
        <v>45</v>
      </c>
      <c r="X218" s="223">
        <f t="shared" si="18"/>
        <v>1.0728</v>
      </c>
      <c r="Y218" s="223">
        <f t="shared" si="19"/>
        <v>1.0355962464000834</v>
      </c>
      <c r="Z218">
        <f>IFERROR(INDEX([1]Rainfall_Wet!$O$2:$O$217,MATCH(C218, [1]Rainfall_Wet!$A$2:$A$217,0)),"")</f>
        <v>175.377105089</v>
      </c>
      <c r="AA218" s="226">
        <v>29.076539101497506</v>
      </c>
      <c r="AB218" s="226">
        <v>7.1963394342762079</v>
      </c>
      <c r="AC218" s="226">
        <v>63.727121464226286</v>
      </c>
      <c r="AD218" s="226" t="s">
        <v>2651</v>
      </c>
      <c r="AE218" s="226">
        <v>1.0994578610152781</v>
      </c>
      <c r="AF218">
        <f>IF('WetLitterbags placem_collection'!AB219="","",'WetLitterbags placem_collection'!AB219)</f>
        <v>13.8</v>
      </c>
      <c r="AG218">
        <f>IF('WetLitterbags placem_collection'!Z219="","",'WetLitterbags placem_collection'!Z219)</f>
        <v>17.399999999999999</v>
      </c>
      <c r="AH218" s="236" t="str">
        <f>IF('WetLitterbags placem_collection'!AA219="","",'WetLitterbags placem_collection'!AA219)</f>
        <v>O</v>
      </c>
      <c r="AI218">
        <f>IF('WetLitterbags placem_collection'!AC219="","",'WetLitterbags placem_collection'!AC219)</f>
        <v>1</v>
      </c>
      <c r="AJ218" s="233">
        <f>AVERAGE('WetLitterbags placem_collection'!S219,'WetLitterbags placem_collection'!U219)</f>
        <v>20.049999999999997</v>
      </c>
      <c r="AK218">
        <f>AVERAGE('WetLitterbags placem_collection'!R219,'WetLitterbags placem_collection'!T219)</f>
        <v>25.5</v>
      </c>
      <c r="AL218">
        <v>-2.439403972</v>
      </c>
      <c r="AM218">
        <v>34.838404959999998</v>
      </c>
      <c r="AN218" t="str">
        <f>IF(ISNUMBER(SEARCH("C", 'WetLitterbags placem_collection'!$V219)),"YES","NO")</f>
        <v>NO</v>
      </c>
      <c r="AO218" t="str">
        <f>IF(ISNUMBER(SEARCH("H", 'WetLitterbags placem_collection'!$V219)),"YES","NO")</f>
        <v>NO</v>
      </c>
      <c r="AP218" t="str">
        <f>IF(ISNUMBER(SEARCH("R", 'WetLitterbags placem_collection'!$V219)),"YES","NO")</f>
        <v>YES</v>
      </c>
    </row>
    <row r="219" spans="1:42" ht="15" customHeight="1">
      <c r="A219" t="s">
        <v>2490</v>
      </c>
      <c r="B219" s="248" t="s">
        <v>2454</v>
      </c>
      <c r="C219" s="253">
        <f>'Dry_Litterbag Placem_Collection'!A220</f>
        <v>218</v>
      </c>
      <c r="D219" s="253" t="str">
        <f>'Dry_Litterbag Placem_Collection'!B220</f>
        <v>Seronera</v>
      </c>
      <c r="E219" s="253" t="s">
        <v>3249</v>
      </c>
      <c r="F219" s="253" t="s">
        <v>2423</v>
      </c>
      <c r="G219" s="253">
        <v>2</v>
      </c>
      <c r="H219" s="253" t="s">
        <v>3187</v>
      </c>
      <c r="I219" s="254" t="str">
        <f>'Dry_Litterbag Placem_Collection'!C220</f>
        <v>Local2_CG2</v>
      </c>
      <c r="J219" s="255" t="s">
        <v>2525</v>
      </c>
      <c r="K219" s="256" t="s">
        <v>1147</v>
      </c>
      <c r="L219" s="221" t="str">
        <f>'WetLitterbags placem_collection'!K220</f>
        <v>G251</v>
      </c>
      <c r="M219" s="223">
        <f>IFERROR(INDEX('Green_rooibos initial weight'!$C$5:$C$2000,MATCH(L219, 'Green_rooibos initial weight'!$A$5:$A$2000,0)),"")</f>
        <v>2.0539999999999998</v>
      </c>
      <c r="N219" s="223">
        <f>IFERROR(M219-(TBIcalc!$H$9+TBIcalc!$H$10),"")</f>
        <v>1.8041999999999998</v>
      </c>
      <c r="O219" s="378">
        <f>AVERAGE(Ashed_controlls!$K$2:$K$11)</f>
        <v>5.5147656768714146</v>
      </c>
      <c r="P219" s="223">
        <f t="shared" si="16"/>
        <v>1.7047025976578858</v>
      </c>
      <c r="Q219" s="223">
        <f>IFERROR(INDEX('Both teabags AfterWet'!$C$3:$C$840,MATCH(L219,'Both teabags AfterWet'!$A$3:$A$840,0)),"")</f>
        <v>0.75700000000000001</v>
      </c>
      <c r="R219" s="223">
        <f>IFERROR(IF(Q219&gt;0,Q219-(TBIcalc!$H$9),""),"")</f>
        <v>0.60640000000000005</v>
      </c>
      <c r="S219" s="223">
        <f>IFERROR(INDEX('Ashed teabags wet'!$K$2:$K$2000,MATCH(L219,'Ashed teabags wet'!$A$2:$A$2000,0)),"")</f>
        <v>12.853598014887801</v>
      </c>
      <c r="T219" s="223">
        <f t="shared" si="17"/>
        <v>0.52845578163772045</v>
      </c>
      <c r="U219" s="224">
        <f>'WetLitterbags placem_collection'!E220</f>
        <v>42769</v>
      </c>
      <c r="V219" s="224">
        <f>IF('WetLitterbags placem_collection'!G220="","",'WetLitterbags placem_collection'!G220)</f>
        <v>42814</v>
      </c>
      <c r="W219" s="225">
        <f t="shared" si="15"/>
        <v>45</v>
      </c>
      <c r="X219" s="223">
        <f t="shared" si="18"/>
        <v>1.1977999999999998</v>
      </c>
      <c r="Y219" s="223">
        <f t="shared" si="19"/>
        <v>1.1762468160201653</v>
      </c>
      <c r="Z219">
        <f>IFERROR(INDEX([1]Rainfall_Wet!$O$2:$O$217,MATCH(C219, [1]Rainfall_Wet!$A$2:$A$217,0)),"")</f>
        <v>175.377105089</v>
      </c>
      <c r="AA219" s="226">
        <v>21.072635135135137</v>
      </c>
      <c r="AB219" s="226">
        <v>7.3057432432432412</v>
      </c>
      <c r="AC219" s="226">
        <v>71.621621621621614</v>
      </c>
      <c r="AD219" s="226" t="s">
        <v>2651</v>
      </c>
      <c r="AE219" s="226">
        <v>1.4512074913750617</v>
      </c>
      <c r="AF219">
        <f>IF('WetLitterbags placem_collection'!AB220="","",'WetLitterbags placem_collection'!AB220)</f>
        <v>5.13</v>
      </c>
      <c r="AG219">
        <f>IF('WetLitterbags placem_collection'!Z220="","",'WetLitterbags placem_collection'!Z220)</f>
        <v>5.13</v>
      </c>
      <c r="AH219" s="236" t="str">
        <f>IF('WetLitterbags placem_collection'!AA220="","",'WetLitterbags placem_collection'!AA220)</f>
        <v>O</v>
      </c>
      <c r="AI219">
        <f>IF('WetLitterbags placem_collection'!AC220="","",'WetLitterbags placem_collection'!AC220)</f>
        <v>1</v>
      </c>
      <c r="AJ219" s="233">
        <f>AVERAGE('WetLitterbags placem_collection'!S220,'WetLitterbags placem_collection'!U220)</f>
        <v>22.1</v>
      </c>
      <c r="AK219">
        <f>AVERAGE('WetLitterbags placem_collection'!R220,'WetLitterbags placem_collection'!T220)</f>
        <v>24.5</v>
      </c>
      <c r="AL219">
        <v>-2.4396450349999999</v>
      </c>
      <c r="AM219">
        <v>34.83836599</v>
      </c>
      <c r="AN219" t="str">
        <f>IF(ISNUMBER(SEARCH("C", 'WetLitterbags placem_collection'!$V220)),"YES","NO")</f>
        <v>NO</v>
      </c>
      <c r="AO219" t="str">
        <f>IF(ISNUMBER(SEARCH("H", 'WetLitterbags placem_collection'!$V220)),"YES","NO")</f>
        <v>NO</v>
      </c>
      <c r="AP219" t="str">
        <f>IF(ISNUMBER(SEARCH("R", 'WetLitterbags placem_collection'!$V220)),"YES","NO")</f>
        <v>YES</v>
      </c>
    </row>
    <row r="220" spans="1:42" ht="15" customHeight="1">
      <c r="A220" t="s">
        <v>2490</v>
      </c>
      <c r="B220" s="248" t="s">
        <v>2454</v>
      </c>
      <c r="C220" s="253">
        <f>'Dry_Litterbag Placem_Collection'!A221</f>
        <v>219</v>
      </c>
      <c r="D220" s="253" t="str">
        <f>'Dry_Litterbag Placem_Collection'!B221</f>
        <v>Seronera</v>
      </c>
      <c r="E220" s="253" t="s">
        <v>3249</v>
      </c>
      <c r="F220" s="253" t="s">
        <v>2423</v>
      </c>
      <c r="G220" s="253">
        <v>3</v>
      </c>
      <c r="H220" s="253" t="s">
        <v>3188</v>
      </c>
      <c r="I220" s="254" t="str">
        <f>'Dry_Litterbag Placem_Collection'!C221</f>
        <v>Local3_CG3</v>
      </c>
      <c r="J220" s="255" t="s">
        <v>2525</v>
      </c>
      <c r="K220" s="256" t="s">
        <v>1147</v>
      </c>
      <c r="L220" s="221" t="str">
        <f>'WetLitterbags placem_collection'!K221</f>
        <v>G727</v>
      </c>
      <c r="M220" s="223">
        <f>IFERROR(INDEX('Green_rooibos initial weight'!$C$5:$C$2000,MATCH(L220, 'Green_rooibos initial weight'!$A$5:$A$2000,0)),"")</f>
        <v>2.0270000000000001</v>
      </c>
      <c r="N220" s="223">
        <f>IFERROR(M220-(TBIcalc!$H$9+TBIcalc!$H$10),"")</f>
        <v>1.7772000000000001</v>
      </c>
      <c r="O220" s="378">
        <f>AVERAGE(Ashed_controlls!$K$2:$K$11)</f>
        <v>5.5147656768714146</v>
      </c>
      <c r="P220" s="223">
        <f t="shared" si="16"/>
        <v>1.6791915843906413</v>
      </c>
      <c r="Q220" s="223">
        <f>IFERROR(INDEX('Both teabags AfterWet'!$C$3:$C$840,MATCH(L220,'Both teabags AfterWet'!$A$3:$A$840,0)),"")</f>
        <v>0.70650000000000002</v>
      </c>
      <c r="R220" s="223">
        <f>IFERROR(IF(Q220&gt;0,Q220-(TBIcalc!$H$9),""),"")</f>
        <v>0.55590000000000006</v>
      </c>
      <c r="S220" s="223">
        <f>IFERROR(INDEX('Ashed teabags wet'!$K$2:$K$2000,MATCH(L220,'Ashed teabags wet'!$A$2:$A$2000,0)),"")</f>
        <v>11.604439959636602</v>
      </c>
      <c r="T220" s="223">
        <f t="shared" si="17"/>
        <v>0.49139091826438019</v>
      </c>
      <c r="U220" s="224">
        <f>'WetLitterbags placem_collection'!E221</f>
        <v>42769</v>
      </c>
      <c r="V220" s="224">
        <f>IF('WetLitterbags placem_collection'!G221="","",'WetLitterbags placem_collection'!G221)</f>
        <v>42813</v>
      </c>
      <c r="W220" s="225">
        <f t="shared" si="15"/>
        <v>44</v>
      </c>
      <c r="X220" s="223">
        <f t="shared" si="18"/>
        <v>1.2213000000000001</v>
      </c>
      <c r="Y220" s="223">
        <f t="shared" si="19"/>
        <v>1.187800666126261</v>
      </c>
      <c r="Z220">
        <f>IFERROR(INDEX([1]Rainfall_Wet!$O$2:$O$217,MATCH(C220, [1]Rainfall_Wet!$A$2:$A$217,0)),"")</f>
        <v>175.054685654</v>
      </c>
      <c r="AA220" s="226">
        <v>21.96</v>
      </c>
      <c r="AB220" s="226">
        <v>4.9199999999999982</v>
      </c>
      <c r="AC220" s="226">
        <v>73.12</v>
      </c>
      <c r="AD220" s="226" t="s">
        <v>2651</v>
      </c>
      <c r="AE220" s="226">
        <v>1.4012321340561851</v>
      </c>
      <c r="AF220">
        <f>IF('WetLitterbags placem_collection'!AB221="","",'WetLitterbags placem_collection'!AB221)</f>
        <v>7.9</v>
      </c>
      <c r="AG220">
        <f>IF('WetLitterbags placem_collection'!Z221="","",'WetLitterbags placem_collection'!Z221)</f>
        <v>7.9</v>
      </c>
      <c r="AH220" s="236" t="str">
        <f>IF('WetLitterbags placem_collection'!AA221="","",'WetLitterbags placem_collection'!AA221)</f>
        <v>O</v>
      </c>
      <c r="AI220">
        <f>IF('WetLitterbags placem_collection'!AC221="","",'WetLitterbags placem_collection'!AC221)</f>
        <v>1</v>
      </c>
      <c r="AJ220" s="233">
        <f>AVERAGE('WetLitterbags placem_collection'!S221,'WetLitterbags placem_collection'!U221)</f>
        <v>21.75</v>
      </c>
      <c r="AK220">
        <f>AVERAGE('WetLitterbags placem_collection'!R221,'WetLitterbags placem_collection'!T221)</f>
        <v>27.55</v>
      </c>
      <c r="AL220">
        <v>-2.4395990190000001</v>
      </c>
      <c r="AM220">
        <v>34.838418959999998</v>
      </c>
      <c r="AN220" t="str">
        <f>IF(ISNUMBER(SEARCH("C", 'WetLitterbags placem_collection'!$V221)),"YES","NO")</f>
        <v>NO</v>
      </c>
      <c r="AO220" t="str">
        <f>IF(ISNUMBER(SEARCH("H", 'WetLitterbags placem_collection'!$V221)),"YES","NO")</f>
        <v>YES</v>
      </c>
      <c r="AP220" t="str">
        <f>IF(ISNUMBER(SEARCH("R", 'WetLitterbags placem_collection'!$V221)),"YES","NO")</f>
        <v>YES</v>
      </c>
    </row>
    <row r="221" spans="1:42" ht="15" customHeight="1">
      <c r="A221" t="s">
        <v>2490</v>
      </c>
      <c r="B221" s="248" t="s">
        <v>2454</v>
      </c>
      <c r="C221" s="253">
        <f>'Dry_Litterbag Placem_Collection'!A222</f>
        <v>220</v>
      </c>
      <c r="D221" s="253" t="str">
        <f>'Dry_Litterbag Placem_Collection'!B222</f>
        <v>Seronera</v>
      </c>
      <c r="E221" s="253" t="s">
        <v>3249</v>
      </c>
      <c r="F221" s="253" t="s">
        <v>2423</v>
      </c>
      <c r="G221" s="253">
        <v>4</v>
      </c>
      <c r="H221" s="253" t="s">
        <v>3189</v>
      </c>
      <c r="I221" s="254" t="str">
        <f>'Dry_Litterbag Placem_Collection'!C222</f>
        <v>Local4_CG4</v>
      </c>
      <c r="J221" s="255" t="s">
        <v>2525</v>
      </c>
      <c r="K221" s="256" t="s">
        <v>1147</v>
      </c>
      <c r="L221" s="221" t="str">
        <f>'WetLitterbags placem_collection'!K222</f>
        <v>G782</v>
      </c>
      <c r="M221" s="223">
        <f>IFERROR(INDEX('Green_rooibos initial weight'!$C$5:$C$2000,MATCH(L221, 'Green_rooibos initial weight'!$A$5:$A$2000,0)),"")</f>
        <v>1.9510000000000001</v>
      </c>
      <c r="N221" s="223">
        <f>IFERROR(M221-(TBIcalc!$H$9+TBIcalc!$H$10),"")</f>
        <v>1.7012</v>
      </c>
      <c r="O221" s="378">
        <f>AVERAGE(Ashed_controlls!$K$2:$K$11)</f>
        <v>5.5147656768714146</v>
      </c>
      <c r="P221" s="223">
        <f t="shared" si="16"/>
        <v>1.6073828063050635</v>
      </c>
      <c r="Q221" s="223">
        <f>IFERROR(INDEX('Both teabags AfterWet'!$C$3:$C$840,MATCH(L221,'Both teabags AfterWet'!$A$3:$A$840,0)),"")</f>
        <v>0.6169</v>
      </c>
      <c r="R221" s="223">
        <f>IFERROR(IF(Q221&gt;0,Q221-(TBIcalc!$H$9),""),"")</f>
        <v>0.46629999999999999</v>
      </c>
      <c r="S221" s="223">
        <f>IFERROR(INDEX('Ashed teabags wet'!$K$2:$K$2000,MATCH(L221,'Ashed teabags wet'!$A$2:$A$2000,0)),"")</f>
        <v>11.045655375552919</v>
      </c>
      <c r="T221" s="223">
        <f t="shared" si="17"/>
        <v>0.41479410898379676</v>
      </c>
      <c r="U221" s="224">
        <f>'WetLitterbags placem_collection'!E222</f>
        <v>42769</v>
      </c>
      <c r="V221" s="224">
        <f>IF('WetLitterbags placem_collection'!G222="","",'WetLitterbags placem_collection'!G222)</f>
        <v>42813</v>
      </c>
      <c r="W221" s="225">
        <f t="shared" si="15"/>
        <v>44</v>
      </c>
      <c r="X221" s="223">
        <f t="shared" si="18"/>
        <v>1.2349000000000001</v>
      </c>
      <c r="Y221" s="223">
        <f t="shared" si="19"/>
        <v>1.1925886973212667</v>
      </c>
      <c r="Z221">
        <f>IFERROR(INDEX([1]Rainfall_Wet!$O$2:$O$217,MATCH(C221, [1]Rainfall_Wet!$A$2:$A$217,0)),"")</f>
        <v>175.054685654</v>
      </c>
      <c r="AA221" s="226">
        <v>15.960000000000003</v>
      </c>
      <c r="AB221" s="226">
        <v>6.9199999999999982</v>
      </c>
      <c r="AC221" s="226">
        <v>77.11999999999999</v>
      </c>
      <c r="AD221" s="226" t="s">
        <v>2652</v>
      </c>
      <c r="AE221" s="226">
        <v>0.60547067520946207</v>
      </c>
      <c r="AF221">
        <f>IF('WetLitterbags placem_collection'!AB222="","",'WetLitterbags placem_collection'!AB222)</f>
        <v>15.2</v>
      </c>
      <c r="AG221">
        <f>IF('WetLitterbags placem_collection'!Z222="","",'WetLitterbags placem_collection'!Z222)</f>
        <v>12.2</v>
      </c>
      <c r="AH221" s="236" t="str">
        <f>IF('WetLitterbags placem_collection'!AA222="","",'WetLitterbags placem_collection'!AA222)</f>
        <v>O</v>
      </c>
      <c r="AI221">
        <f>IF('WetLitterbags placem_collection'!AC222="","",'WetLitterbags placem_collection'!AC222)</f>
        <v>1</v>
      </c>
      <c r="AJ221" s="233">
        <f>AVERAGE('WetLitterbags placem_collection'!S222,'WetLitterbags placem_collection'!U222)</f>
        <v>20.85</v>
      </c>
      <c r="AK221">
        <f>AVERAGE('WetLitterbags placem_collection'!R222,'WetLitterbags placem_collection'!T222)</f>
        <v>27.950000000000003</v>
      </c>
      <c r="AL221">
        <v>-2.4396949910000001</v>
      </c>
      <c r="AM221">
        <v>34.838574029999997</v>
      </c>
      <c r="AN221" t="str">
        <f>IF(ISNUMBER(SEARCH("C", 'WetLitterbags placem_collection'!$V222)),"YES","NO")</f>
        <v>NO</v>
      </c>
      <c r="AO221" t="str">
        <f>IF(ISNUMBER(SEARCH("H", 'WetLitterbags placem_collection'!$V222)),"YES","NO")</f>
        <v>NO</v>
      </c>
      <c r="AP221" t="str">
        <f>IF(ISNUMBER(SEARCH("R", 'WetLitterbags placem_collection'!$V222)),"YES","NO")</f>
        <v>YES</v>
      </c>
    </row>
    <row r="222" spans="1:42" ht="15" customHeight="1">
      <c r="A222" t="s">
        <v>3248</v>
      </c>
      <c r="B222" s="248" t="s">
        <v>2454</v>
      </c>
      <c r="C222" s="253">
        <f>'Dry_Litterbag Placem_Collection'!A3</f>
        <v>1</v>
      </c>
      <c r="D222" s="253" t="str">
        <f>'Dry_Litterbag Placem_Collection'!B3</f>
        <v>Makao</v>
      </c>
      <c r="E222" s="253" t="s">
        <v>2643</v>
      </c>
      <c r="F222" s="253" t="s">
        <v>2644</v>
      </c>
      <c r="G222" s="253">
        <v>1</v>
      </c>
      <c r="H222" s="253" t="s">
        <v>3099</v>
      </c>
      <c r="I222" s="254" t="str">
        <f>'Dry_Litterbag Placem_Collection'!C3</f>
        <v>Dry_Ag1_T1</v>
      </c>
      <c r="J222" s="255" t="s">
        <v>2525</v>
      </c>
      <c r="K222" s="262" t="s">
        <v>298</v>
      </c>
      <c r="L222" s="221" t="str">
        <f>'WetLitterbags placem_collection'!M3</f>
        <v>R17</v>
      </c>
      <c r="M222" s="223">
        <f>IFERROR(INDEX('Green_rooibos initial weight'!$C$5:$C$2000,MATCH(L222, 'Green_rooibos initial weight'!$A$5:$A$2000,0)),"")</f>
        <v>2.169</v>
      </c>
      <c r="N222" s="223">
        <f>IFERROR(M222-(TBIcalc!$H$9+TBIcalc!$H$10),"")</f>
        <v>1.9192</v>
      </c>
      <c r="O222" s="378">
        <f>AVERAGE(Ashed_controlls!$K$2:$K$11)</f>
        <v>5.5147656768714146</v>
      </c>
      <c r="P222" s="223">
        <f t="shared" si="16"/>
        <v>1.8133606171294838</v>
      </c>
      <c r="Q222" s="223">
        <f>IFERROR(INDEX('Both teabags AfterWet'!$C$3:$C$840,MATCH(L222,'Both teabags AfterWet'!$A$3:$A$840,0)),"")</f>
        <v>1.0208999999999999</v>
      </c>
      <c r="R222" s="223">
        <f>IFERROR(IF(Q222&gt;0,Q222-(TBIcalc!$H$9),""),"")</f>
        <v>0.87029999999999985</v>
      </c>
      <c r="S222" s="223">
        <f>IFERROR(INDEX('Ashed teabags wet'!$K$2:$K$2000,MATCH(L222,'Ashed teabags wet'!$A$2:$A$2000,0)),"")</f>
        <v>17.918507609229575</v>
      </c>
      <c r="T222" s="223">
        <f t="shared" si="17"/>
        <v>0.71435522827687492</v>
      </c>
      <c r="U222" s="224">
        <f>'WetLitterbags placem_collection'!E3</f>
        <v>42766</v>
      </c>
      <c r="V222" s="224">
        <f>IF('WetLitterbags placem_collection'!G3="","",'WetLitterbags placem_collection'!G3)</f>
        <v>42818</v>
      </c>
      <c r="W222" s="225">
        <f t="shared" si="15"/>
        <v>52</v>
      </c>
      <c r="X222" s="223">
        <f t="shared" si="18"/>
        <v>1.0489000000000002</v>
      </c>
      <c r="Y222" s="223">
        <f t="shared" si="19"/>
        <v>1.0990053888526088</v>
      </c>
      <c r="Z222">
        <f>IFERROR(INDEX([1]Rainfall_Wet!$O$2:$O$217,MATCH(C222, [1]Rainfall_Wet!$A$2:$A$217,0)),"")</f>
        <v>194.43839254400001</v>
      </c>
      <c r="AA222" s="226">
        <v>12.565665055683967</v>
      </c>
      <c r="AB222" s="226">
        <v>0.9665896196679955</v>
      </c>
      <c r="AC222" s="226">
        <v>86.467745324648035</v>
      </c>
      <c r="AD222" s="227" t="s">
        <v>2653</v>
      </c>
      <c r="AE222" s="226">
        <v>1.0225726959093147</v>
      </c>
      <c r="AF222">
        <f>IF('WetLitterbags placem_collection'!AB3="","",'WetLitterbags placem_collection'!AB3)</f>
        <v>26.4</v>
      </c>
      <c r="AG222">
        <f>IF('WetLitterbags placem_collection'!Z3="","",'WetLitterbags placem_collection'!Z3)</f>
        <v>41</v>
      </c>
      <c r="AH222" s="236" t="str">
        <f>IF('WetLitterbags placem_collection'!AA3="","",'WetLitterbags placem_collection'!AA3)</f>
        <v>M</v>
      </c>
      <c r="AI222">
        <f>IF('WetLitterbags placem_collection'!AC3="","",'WetLitterbags placem_collection'!AC3)</f>
        <v>1</v>
      </c>
      <c r="AJ222" s="233">
        <f>AVERAGE('WetLitterbags placem_collection'!S3,'WetLitterbags placem_collection'!U3)</f>
        <v>14.75</v>
      </c>
      <c r="AK222">
        <f>AVERAGE('WetLitterbags placem_collection'!R3,'WetLitterbags placem_collection'!T3)</f>
        <v>24.7</v>
      </c>
      <c r="AL222">
        <f>INDEX([2]Coordinates!$B$2:$B$197,MATCH(I222,[2]Coordinates!$J$2:$J$197,0))</f>
        <v>-3.3978609999999998</v>
      </c>
      <c r="AM222">
        <f>INDEX([2]Coordinates!$C$2:$C$197,MATCH(I222,[2]Coordinates!$J$2:$J$197,0))</f>
        <v>34.837608000000003</v>
      </c>
      <c r="AN222" t="str">
        <f>IF(ISNUMBER(SEARCH("C", 'WetLitterbags placem_collection'!$W3)),"YES","NO")</f>
        <v>NO</v>
      </c>
      <c r="AO222" t="str">
        <f>IF(ISNUMBER(SEARCH("H", 'WetLitterbags placem_collection'!$W3)),"YES","NO")</f>
        <v>YES</v>
      </c>
      <c r="AP222" t="str">
        <f>IF(ISNUMBER(SEARCH("R", 'WetLitterbags placem_collection'!$W3)),"YES","NO")</f>
        <v>NO</v>
      </c>
    </row>
    <row r="223" spans="1:42" ht="15" customHeight="1">
      <c r="A223" t="s">
        <v>3248</v>
      </c>
      <c r="B223" s="248" t="s">
        <v>2454</v>
      </c>
      <c r="C223" s="253">
        <f>'Dry_Litterbag Placem_Collection'!A4</f>
        <v>2</v>
      </c>
      <c r="D223" s="253" t="str">
        <f>'Dry_Litterbag Placem_Collection'!B4</f>
        <v>Makao</v>
      </c>
      <c r="E223" s="253" t="s">
        <v>2643</v>
      </c>
      <c r="F223" s="253" t="s">
        <v>2644</v>
      </c>
      <c r="G223" s="253">
        <v>1</v>
      </c>
      <c r="H223" s="253" t="s">
        <v>3099</v>
      </c>
      <c r="I223" s="254" t="str">
        <f>'Dry_Litterbag Placem_Collection'!C4</f>
        <v>Dry_Ag1_T2</v>
      </c>
      <c r="J223" s="255" t="s">
        <v>2525</v>
      </c>
      <c r="K223" s="262" t="s">
        <v>298</v>
      </c>
      <c r="L223" s="221" t="str">
        <f>'WetLitterbags placem_collection'!M4</f>
        <v>R121</v>
      </c>
      <c r="M223" s="223">
        <f>IFERROR(INDEX('Green_rooibos initial weight'!$C$5:$C$2000,MATCH(L223, 'Green_rooibos initial weight'!$A$5:$A$2000,0)),"")</f>
        <v>2.165</v>
      </c>
      <c r="N223" s="223">
        <f>IFERROR(M223-(TBIcalc!$H$9+TBIcalc!$H$10),"")</f>
        <v>1.9152</v>
      </c>
      <c r="O223" s="378">
        <f>AVERAGE(Ashed_controlls!$K$2:$K$11)</f>
        <v>5.5147656768714146</v>
      </c>
      <c r="P223" s="223">
        <f t="shared" si="16"/>
        <v>1.8095812077565587</v>
      </c>
      <c r="Q223" s="223">
        <f>IFERROR(INDEX('Both teabags AfterWet'!$C$3:$C$840,MATCH(L223,'Both teabags AfterWet'!$A$3:$A$840,0)),"")</f>
        <v>1.3073999999999999</v>
      </c>
      <c r="R223" s="223">
        <f>IFERROR(IF(Q223&gt;0,Q223-(TBIcalc!$H$9),""),"")</f>
        <v>1.1567999999999998</v>
      </c>
      <c r="S223" s="223">
        <f>IFERROR(INDEX('Ashed teabags wet'!$K$2:$K$2000,MATCH(L223,'Ashed teabags wet'!$A$2:$A$2000,0)),"")</f>
        <v>5.6218905472635869</v>
      </c>
      <c r="T223" s="223">
        <f t="shared" si="17"/>
        <v>1.0917659701492546</v>
      </c>
      <c r="U223" s="224">
        <f>'WetLitterbags placem_collection'!E4</f>
        <v>42766</v>
      </c>
      <c r="V223" s="224">
        <f>IF('WetLitterbags placem_collection'!G4="","",'WetLitterbags placem_collection'!G4)</f>
        <v>42818</v>
      </c>
      <c r="W223" s="225">
        <f t="shared" si="15"/>
        <v>52</v>
      </c>
      <c r="X223" s="223">
        <f t="shared" si="18"/>
        <v>0.75840000000000019</v>
      </c>
      <c r="Y223" s="223">
        <f t="shared" si="19"/>
        <v>0.71781523760730415</v>
      </c>
      <c r="Z223">
        <f>IFERROR(INDEX([1]Rainfall_Wet!$O$2:$O$217,MATCH(C223, [1]Rainfall_Wet!$A$2:$A$217,0)),"")</f>
        <v>194.43839254400001</v>
      </c>
      <c r="AA223" s="226">
        <v>12.565665055683967</v>
      </c>
      <c r="AB223" s="226">
        <v>0.9665896196679955</v>
      </c>
      <c r="AC223" s="226">
        <v>86.467745324648035</v>
      </c>
      <c r="AD223" s="227" t="s">
        <v>2653</v>
      </c>
      <c r="AE223" s="226">
        <v>2.02257269590931</v>
      </c>
      <c r="AF223">
        <f>IF('WetLitterbags placem_collection'!AB4="","",'WetLitterbags placem_collection'!AB4)</f>
        <v>22.4</v>
      </c>
      <c r="AG223">
        <f>IF('WetLitterbags placem_collection'!Z4="","",'WetLitterbags placem_collection'!Z4)</f>
        <v>39.799999999999997</v>
      </c>
      <c r="AH223" s="236" t="str">
        <f>IF('WetLitterbags placem_collection'!AA4="","",'WetLitterbags placem_collection'!AA4)</f>
        <v>M</v>
      </c>
      <c r="AI223">
        <f>IF('WetLitterbags placem_collection'!AC4="","",'WetLitterbags placem_collection'!AC4)</f>
        <v>1</v>
      </c>
      <c r="AJ223" s="233">
        <f>AVERAGE('WetLitterbags placem_collection'!S4,'WetLitterbags placem_collection'!U4)</f>
        <v>13.1</v>
      </c>
      <c r="AK223">
        <f>AVERAGE('WetLitterbags placem_collection'!R4,'WetLitterbags placem_collection'!T4)</f>
        <v>24.9</v>
      </c>
      <c r="AL223">
        <f>INDEX([2]Coordinates!$B$2:$B$197,MATCH(I223,[2]Coordinates!$J$2:$J$197,0))</f>
        <v>-3.397879042</v>
      </c>
      <c r="AM223">
        <f>INDEX([2]Coordinates!$C$2:$C$197,MATCH(I223,[2]Coordinates!$J$2:$J$197,0))</f>
        <v>34.837536010000001</v>
      </c>
      <c r="AN223" t="str">
        <f>IF(ISNUMBER(SEARCH("C", 'WetLitterbags placem_collection'!$W4)),"YES","NO")</f>
        <v>NO</v>
      </c>
      <c r="AO223" t="str">
        <f>IF(ISNUMBER(SEARCH("H", 'WetLitterbags placem_collection'!$W4)),"YES","NO")</f>
        <v>NO</v>
      </c>
      <c r="AP223" t="str">
        <f>IF(ISNUMBER(SEARCH("R", 'WetLitterbags placem_collection'!$W4)),"YES","NO")</f>
        <v>NO</v>
      </c>
    </row>
    <row r="224" spans="1:42" ht="15" customHeight="1">
      <c r="A224" t="s">
        <v>3248</v>
      </c>
      <c r="B224" s="248" t="s">
        <v>2454</v>
      </c>
      <c r="C224" s="253">
        <f>'Dry_Litterbag Placem_Collection'!A5</f>
        <v>3</v>
      </c>
      <c r="D224" s="253" t="str">
        <f>'Dry_Litterbag Placem_Collection'!B5</f>
        <v>Makao</v>
      </c>
      <c r="E224" s="253" t="s">
        <v>2643</v>
      </c>
      <c r="F224" s="253" t="s">
        <v>2644</v>
      </c>
      <c r="G224" s="253">
        <v>1</v>
      </c>
      <c r="H224" s="253" t="s">
        <v>3099</v>
      </c>
      <c r="I224" s="254" t="str">
        <f>'Dry_Litterbag Placem_Collection'!C5</f>
        <v>Dry_Ag1_T3</v>
      </c>
      <c r="J224" s="255" t="s">
        <v>2525</v>
      </c>
      <c r="K224" s="262" t="s">
        <v>298</v>
      </c>
      <c r="L224" s="221" t="str">
        <f>'WetLitterbags placem_collection'!M5</f>
        <v>R158</v>
      </c>
      <c r="M224" s="223">
        <f>IFERROR(INDEX('Green_rooibos initial weight'!$C$5:$C$2000,MATCH(L224, 'Green_rooibos initial weight'!$A$5:$A$2000,0)),"")</f>
        <v>2.2959999999999998</v>
      </c>
      <c r="N224" s="223">
        <f>IFERROR(M224-(TBIcalc!$H$9+TBIcalc!$H$10),"")</f>
        <v>2.0461999999999998</v>
      </c>
      <c r="O224" s="378">
        <f>AVERAGE(Ashed_controlls!$K$2:$K$11)</f>
        <v>5.5147656768714146</v>
      </c>
      <c r="P224" s="223">
        <f t="shared" si="16"/>
        <v>1.9333568647198569</v>
      </c>
      <c r="Q224" s="223" t="str">
        <f>IFERROR(INDEX('Both teabags AfterWet'!$C$3:$C$840,MATCH(L224,'Both teabags AfterWet'!$A$3:$A$840,0)),"")</f>
        <v/>
      </c>
      <c r="R224" s="223" t="str">
        <f>IFERROR(IF(Q224&gt;0,Q224-(TBIcalc!$H$9),""),"")</f>
        <v/>
      </c>
      <c r="S224" s="223" t="str">
        <f>IFERROR(INDEX('Ashed teabags wet'!$K$2:$K$2000,MATCH(L224,'Ashed teabags wet'!$A$2:$A$2000,0)),"")</f>
        <v/>
      </c>
      <c r="T224" s="223" t="str">
        <f t="shared" si="17"/>
        <v/>
      </c>
      <c r="U224" s="224">
        <f>'WetLitterbags placem_collection'!E5</f>
        <v>42766</v>
      </c>
      <c r="V224" s="224">
        <f>IF('WetLitterbags placem_collection'!G5="","",'WetLitterbags placem_collection'!G5)</f>
        <v>42819</v>
      </c>
      <c r="W224" s="225">
        <f t="shared" si="15"/>
        <v>53</v>
      </c>
      <c r="X224" s="223" t="str">
        <f t="shared" si="18"/>
        <v/>
      </c>
      <c r="Y224" s="223" t="str">
        <f t="shared" si="19"/>
        <v/>
      </c>
      <c r="Z224" t="str">
        <f>IFERROR(INDEX([1]Rainfall_Wet!$O$2:$O$217,MATCH(C224, [1]Rainfall_Wet!$A$2:$A$217,0)),"")</f>
        <v/>
      </c>
      <c r="AA224" s="226">
        <v>12.565665055683967</v>
      </c>
      <c r="AB224" s="226">
        <v>0.9665896196679955</v>
      </c>
      <c r="AC224" s="226">
        <v>86.467745324648035</v>
      </c>
      <c r="AD224" s="227" t="s">
        <v>2653</v>
      </c>
      <c r="AE224" s="226">
        <v>3.02257269590931</v>
      </c>
      <c r="AF224" t="str">
        <f>IF('WetLitterbags placem_collection'!AB5="","",'WetLitterbags placem_collection'!AB5)</f>
        <v/>
      </c>
      <c r="AG224" t="str">
        <f>IF('WetLitterbags placem_collection'!Z5="","",'WetLitterbags placem_collection'!Z5)</f>
        <v/>
      </c>
      <c r="AH224" s="236" t="str">
        <f>IF('WetLitterbags placem_collection'!AA5="","",'WetLitterbags placem_collection'!AA5)</f>
        <v/>
      </c>
      <c r="AI224" t="str">
        <f>IF('WetLitterbags placem_collection'!AC5="","",'WetLitterbags placem_collection'!AC5)</f>
        <v/>
      </c>
      <c r="AJ224" s="233">
        <f>AVERAGE('WetLitterbags placem_collection'!S5,'WetLitterbags placem_collection'!U5)</f>
        <v>14.649999999999999</v>
      </c>
      <c r="AK224">
        <f>AVERAGE('WetLitterbags placem_collection'!R5,'WetLitterbags placem_collection'!T5)</f>
        <v>24.7</v>
      </c>
      <c r="AL224">
        <f>INDEX([2]Coordinates!$B$2:$B$197,MATCH(I224,[2]Coordinates!$J$2:$J$197,0))</f>
        <v>-3.3978739999999998</v>
      </c>
      <c r="AM224">
        <f>INDEX([2]Coordinates!$C$2:$C$197,MATCH(I224,[2]Coordinates!$J$2:$J$197,0))</f>
        <v>34.837578999999998</v>
      </c>
      <c r="AN224" t="str">
        <f>IF(ISNUMBER(SEARCH("C", 'WetLitterbags placem_collection'!$W5)),"YES","NO")</f>
        <v>NO</v>
      </c>
      <c r="AO224" t="str">
        <f>IF(ISNUMBER(SEARCH("H", 'WetLitterbags placem_collection'!$W5)),"YES","NO")</f>
        <v>NO</v>
      </c>
      <c r="AP224" t="str">
        <f>IF(ISNUMBER(SEARCH("R", 'WetLitterbags placem_collection'!$W5)),"YES","NO")</f>
        <v>NO</v>
      </c>
    </row>
    <row r="225" spans="1:42" ht="15" customHeight="1">
      <c r="A225" t="s">
        <v>3248</v>
      </c>
      <c r="B225" s="248" t="s">
        <v>2454</v>
      </c>
      <c r="C225" s="253">
        <f>'Dry_Litterbag Placem_Collection'!A6</f>
        <v>4</v>
      </c>
      <c r="D225" s="253" t="str">
        <f>'Dry_Litterbag Placem_Collection'!B6</f>
        <v>Makao</v>
      </c>
      <c r="E225" s="253" t="s">
        <v>2643</v>
      </c>
      <c r="F225" s="253" t="s">
        <v>2644</v>
      </c>
      <c r="G225" s="253">
        <v>1</v>
      </c>
      <c r="H225" s="253" t="s">
        <v>3099</v>
      </c>
      <c r="I225" s="254" t="str">
        <f>'Dry_Litterbag Placem_Collection'!C6</f>
        <v>Dry_Ag1_T4</v>
      </c>
      <c r="J225" s="255" t="s">
        <v>2525</v>
      </c>
      <c r="K225" s="262" t="s">
        <v>298</v>
      </c>
      <c r="L225" s="221" t="str">
        <f>'WetLitterbags placem_collection'!M6</f>
        <v>R115</v>
      </c>
      <c r="M225" s="223">
        <f>IFERROR(INDEX('Green_rooibos initial weight'!$C$5:$C$2000,MATCH(L225, 'Green_rooibos initial weight'!$A$5:$A$2000,0)),"")</f>
        <v>2.3119999999999998</v>
      </c>
      <c r="N225" s="223">
        <f>IFERROR(M225-(TBIcalc!$H$9+TBIcalc!$H$10),"")</f>
        <v>2.0621999999999998</v>
      </c>
      <c r="O225" s="378">
        <f>AVERAGE(Ashed_controlls!$K$2:$K$11)</f>
        <v>5.5147656768714146</v>
      </c>
      <c r="P225" s="223">
        <f t="shared" si="16"/>
        <v>1.9484745022115575</v>
      </c>
      <c r="Q225" s="223">
        <f>IFERROR(INDEX('Both teabags AfterWet'!$C$3:$C$840,MATCH(L225,'Both teabags AfterWet'!$A$3:$A$840,0)),"")</f>
        <v>1.4075</v>
      </c>
      <c r="R225" s="223">
        <f>IFERROR(IF(Q225&gt;0,Q225-(TBIcalc!$H$9),""),"")</f>
        <v>1.2568999999999999</v>
      </c>
      <c r="S225" s="223">
        <f>IFERROR(INDEX('Ashed teabags wet'!$K$2:$K$2000,MATCH(L225,'Ashed teabags wet'!$A$2:$A$2000,0)),"")</f>
        <v>5.3919121318019663</v>
      </c>
      <c r="T225" s="223">
        <f t="shared" si="17"/>
        <v>1.1891290564153809</v>
      </c>
      <c r="U225" s="224">
        <f>'WetLitterbags placem_collection'!E6</f>
        <v>42766</v>
      </c>
      <c r="V225" s="224">
        <f>IF('WetLitterbags placem_collection'!G6="","",'WetLitterbags placem_collection'!G6)</f>
        <v>42818</v>
      </c>
      <c r="W225" s="225">
        <f t="shared" si="15"/>
        <v>52</v>
      </c>
      <c r="X225" s="223">
        <f t="shared" si="18"/>
        <v>0.8052999999999999</v>
      </c>
      <c r="Y225" s="223">
        <f t="shared" si="19"/>
        <v>0.75934544579617658</v>
      </c>
      <c r="Z225">
        <f>IFERROR(INDEX([1]Rainfall_Wet!$O$2:$O$217,MATCH(C225, [1]Rainfall_Wet!$A$2:$A$217,0)),"")</f>
        <v>194.43839254400001</v>
      </c>
      <c r="AA225" s="226">
        <v>12.565665055683967</v>
      </c>
      <c r="AB225" s="226">
        <v>0.9665896196679955</v>
      </c>
      <c r="AC225" s="226">
        <v>86.467745324648035</v>
      </c>
      <c r="AD225" s="227" t="s">
        <v>2653</v>
      </c>
      <c r="AE225" s="226">
        <v>4.02257269590931</v>
      </c>
      <c r="AF225" t="str">
        <f>IF('WetLitterbags placem_collection'!AB6="","",'WetLitterbags placem_collection'!AB6)</f>
        <v/>
      </c>
      <c r="AG225" t="str">
        <f>IF('WetLitterbags placem_collection'!Z6="","",'WetLitterbags placem_collection'!Z6)</f>
        <v/>
      </c>
      <c r="AH225" s="236" t="str">
        <f>IF('WetLitterbags placem_collection'!AA6="","",'WetLitterbags placem_collection'!AA6)</f>
        <v/>
      </c>
      <c r="AI225" t="str">
        <f>IF('WetLitterbags placem_collection'!AC6="","",'WetLitterbags placem_collection'!AC6)</f>
        <v/>
      </c>
      <c r="AJ225" s="233">
        <f>AVERAGE('WetLitterbags placem_collection'!S6,'WetLitterbags placem_collection'!U6)</f>
        <v>17.399999999999999</v>
      </c>
      <c r="AK225">
        <f>AVERAGE('WetLitterbags placem_collection'!R6,'WetLitterbags placem_collection'!T6)</f>
        <v>25.549999999999997</v>
      </c>
      <c r="AL225">
        <f>INDEX([2]Coordinates!$B$2:$B$197,MATCH(I225,[2]Coordinates!$J$2:$J$197,0))</f>
        <v>-3.3977780399999999</v>
      </c>
      <c r="AM225">
        <f>INDEX([2]Coordinates!$C$2:$C$197,MATCH(I225,[2]Coordinates!$J$2:$J$197,0))</f>
        <v>34.83751204</v>
      </c>
      <c r="AN225" t="str">
        <f>IF(ISNUMBER(SEARCH("C", 'WetLitterbags placem_collection'!$W6)),"YES","NO")</f>
        <v>NO</v>
      </c>
      <c r="AO225" t="str">
        <f>IF(ISNUMBER(SEARCH("H", 'WetLitterbags placem_collection'!$W6)),"YES","NO")</f>
        <v>NO</v>
      </c>
      <c r="AP225" t="str">
        <f>IF(ISNUMBER(SEARCH("R", 'WetLitterbags placem_collection'!$W6)),"YES","NO")</f>
        <v>YES</v>
      </c>
    </row>
    <row r="226" spans="1:42" ht="15" customHeight="1">
      <c r="A226" t="s">
        <v>3248</v>
      </c>
      <c r="B226" s="248" t="s">
        <v>2454</v>
      </c>
      <c r="C226" s="253">
        <f>'Dry_Litterbag Placem_Collection'!A7</f>
        <v>5</v>
      </c>
      <c r="D226" s="253" t="str">
        <f>'Dry_Litterbag Placem_Collection'!B7</f>
        <v>Makao</v>
      </c>
      <c r="E226" s="253" t="s">
        <v>2643</v>
      </c>
      <c r="F226" s="253" t="s">
        <v>2644</v>
      </c>
      <c r="G226" s="253">
        <v>1</v>
      </c>
      <c r="H226" s="253" t="s">
        <v>3099</v>
      </c>
      <c r="I226" s="254" t="str">
        <f>'Dry_Litterbag Placem_Collection'!C7</f>
        <v>Dry_Ag1_T5</v>
      </c>
      <c r="J226" s="255" t="s">
        <v>2525</v>
      </c>
      <c r="K226" s="262" t="s">
        <v>298</v>
      </c>
      <c r="L226" s="221" t="str">
        <f>'WetLitterbags placem_collection'!M7</f>
        <v>R502</v>
      </c>
      <c r="M226" s="223">
        <f>IFERROR(INDEX('Green_rooibos initial weight'!$C$5:$C$2000,MATCH(L226, 'Green_rooibos initial weight'!$A$5:$A$2000,0)),"")</f>
        <v>2.1840000000000002</v>
      </c>
      <c r="N226" s="223">
        <f>IFERROR(M226-(TBIcalc!$H$9+TBIcalc!$H$10),"")</f>
        <v>1.9342000000000001</v>
      </c>
      <c r="O226" s="378">
        <f>AVERAGE(Ashed_controlls!$K$2:$K$11)</f>
        <v>5.5147656768714146</v>
      </c>
      <c r="P226" s="223">
        <f t="shared" si="16"/>
        <v>1.8275334022779532</v>
      </c>
      <c r="Q226" s="223">
        <f>IFERROR(INDEX('Both teabags AfterWet'!$C$3:$C$840,MATCH(L226,'Both teabags AfterWet'!$A$3:$A$840,0)),"")</f>
        <v>1.3823000000000001</v>
      </c>
      <c r="R226" s="223">
        <f>IFERROR(IF(Q226&gt;0,Q226-(TBIcalc!$H$9),""),"")</f>
        <v>1.2317</v>
      </c>
      <c r="S226" s="223">
        <f>IFERROR(INDEX('Ashed teabags wet'!$K$2:$K$2000,MATCH(L226,'Ashed teabags wet'!$A$2:$A$2000,0)),"")</f>
        <v>4.6214355948865089</v>
      </c>
      <c r="T226" s="223">
        <f t="shared" si="17"/>
        <v>1.1747777777777828</v>
      </c>
      <c r="U226" s="224">
        <f>'WetLitterbags placem_collection'!E7</f>
        <v>42766</v>
      </c>
      <c r="V226" s="224">
        <f>IF('WetLitterbags placem_collection'!G7="","",'WetLitterbags placem_collection'!G7)</f>
        <v>42818</v>
      </c>
      <c r="W226" s="225">
        <f t="shared" si="15"/>
        <v>52</v>
      </c>
      <c r="X226" s="223">
        <f t="shared" si="18"/>
        <v>0.70250000000000012</v>
      </c>
      <c r="Y226" s="223">
        <f t="shared" si="19"/>
        <v>0.65275562450017044</v>
      </c>
      <c r="Z226">
        <f>IFERROR(INDEX([1]Rainfall_Wet!$O$2:$O$217,MATCH(C226, [1]Rainfall_Wet!$A$2:$A$217,0)),"")</f>
        <v>194.43839254400001</v>
      </c>
      <c r="AA226" s="226">
        <v>12.565665055683967</v>
      </c>
      <c r="AB226" s="226">
        <v>0.9665896196679955</v>
      </c>
      <c r="AC226" s="226">
        <v>86.467745324648035</v>
      </c>
      <c r="AD226" s="227" t="s">
        <v>2653</v>
      </c>
      <c r="AE226" s="226">
        <v>5.02257269590931</v>
      </c>
      <c r="AF226">
        <f>IF('WetLitterbags placem_collection'!AB7="","",'WetLitterbags placem_collection'!AB7)</f>
        <v>28.4</v>
      </c>
      <c r="AG226">
        <f>IF('WetLitterbags placem_collection'!Z7="","",'WetLitterbags placem_collection'!Z7)</f>
        <v>36.4</v>
      </c>
      <c r="AH226" s="236" t="str">
        <f>IF('WetLitterbags placem_collection'!AA7="","",'WetLitterbags placem_collection'!AA7)</f>
        <v>M</v>
      </c>
      <c r="AI226">
        <f>IF('WetLitterbags placem_collection'!AC7="","",'WetLitterbags placem_collection'!AC7)</f>
        <v>1</v>
      </c>
      <c r="AJ226" s="233">
        <f>AVERAGE('WetLitterbags placem_collection'!S7,'WetLitterbags placem_collection'!U7)</f>
        <v>12.100000000000001</v>
      </c>
      <c r="AK226">
        <f>AVERAGE('WetLitterbags placem_collection'!R7,'WetLitterbags placem_collection'!T7)</f>
        <v>25.1</v>
      </c>
      <c r="AL226">
        <f>INDEX([2]Coordinates!$B$2:$B$197,MATCH(I226,[2]Coordinates!$J$2:$J$197,0))</f>
        <v>-3.3978020120000001</v>
      </c>
      <c r="AM226">
        <f>INDEX([2]Coordinates!$C$2:$C$197,MATCH(I226,[2]Coordinates!$J$2:$J$197,0))</f>
        <v>34.83751204</v>
      </c>
      <c r="AN226" t="str">
        <f>IF(ISNUMBER(SEARCH("C", 'WetLitterbags placem_collection'!$W7)),"YES","NO")</f>
        <v>NO</v>
      </c>
      <c r="AO226" t="str">
        <f>IF(ISNUMBER(SEARCH("H", 'WetLitterbags placem_collection'!$W7)),"YES","NO")</f>
        <v>NO</v>
      </c>
      <c r="AP226" t="str">
        <f>IF(ISNUMBER(SEARCH("R", 'WetLitterbags placem_collection'!$W7)),"YES","NO")</f>
        <v>NO</v>
      </c>
    </row>
    <row r="227" spans="1:42" ht="15" customHeight="1">
      <c r="A227" t="s">
        <v>3248</v>
      </c>
      <c r="B227" s="248" t="s">
        <v>2454</v>
      </c>
      <c r="C227" s="253">
        <f>'Dry_Litterbag Placem_Collection'!A8</f>
        <v>6</v>
      </c>
      <c r="D227" s="253" t="str">
        <f>'Dry_Litterbag Placem_Collection'!B8</f>
        <v>Makao</v>
      </c>
      <c r="E227" s="253" t="s">
        <v>2643</v>
      </c>
      <c r="F227" s="253" t="s">
        <v>2644</v>
      </c>
      <c r="G227" s="253">
        <v>1</v>
      </c>
      <c r="H227" s="253" t="s">
        <v>3099</v>
      </c>
      <c r="I227" s="254" t="str">
        <f>'Dry_Litterbag Placem_Collection'!C8</f>
        <v>Dry_Ag1_T6</v>
      </c>
      <c r="J227" s="255" t="s">
        <v>2525</v>
      </c>
      <c r="K227" s="262" t="s">
        <v>298</v>
      </c>
      <c r="L227" s="221" t="str">
        <f>'WetLitterbags placem_collection'!M8</f>
        <v>R177</v>
      </c>
      <c r="M227" s="223">
        <f>IFERROR(INDEX('Green_rooibos initial weight'!$C$5:$C$2000,MATCH(L227, 'Green_rooibos initial weight'!$A$5:$A$2000,0)),"")</f>
        <v>2.153</v>
      </c>
      <c r="N227" s="223">
        <f>IFERROR(M227-(TBIcalc!$H$9+TBIcalc!$H$10),"")</f>
        <v>1.9032</v>
      </c>
      <c r="O227" s="378">
        <f>AVERAGE(Ashed_controlls!$K$2:$K$11)</f>
        <v>5.5147656768714146</v>
      </c>
      <c r="P227" s="223">
        <f t="shared" si="16"/>
        <v>1.7982429796377832</v>
      </c>
      <c r="Q227" s="223">
        <f>IFERROR(INDEX('Both teabags AfterWet'!$C$3:$C$840,MATCH(L227,'Both teabags AfterWet'!$A$3:$A$840,0)),"")</f>
        <v>1.4271</v>
      </c>
      <c r="R227" s="223">
        <f>IFERROR(IF(Q227&gt;0,Q227-(TBIcalc!$H$9),""),"")</f>
        <v>1.2765</v>
      </c>
      <c r="S227" s="223">
        <f>IFERROR(INDEX('Ashed teabags wet'!$K$2:$K$2000,MATCH(L227,'Ashed teabags wet'!$A$2:$A$2000,0)),"")</f>
        <v>14.46446446446422</v>
      </c>
      <c r="T227" s="223">
        <f t="shared" si="17"/>
        <v>1.0918611111111143</v>
      </c>
      <c r="U227" s="224">
        <f>'WetLitterbags placem_collection'!E8</f>
        <v>42766</v>
      </c>
      <c r="V227" s="224">
        <f>IF('WetLitterbags placem_collection'!G8="","",'WetLitterbags placem_collection'!G8)</f>
        <v>42818</v>
      </c>
      <c r="W227" s="225">
        <f t="shared" si="15"/>
        <v>52</v>
      </c>
      <c r="X227" s="223">
        <f t="shared" si="18"/>
        <v>0.62670000000000003</v>
      </c>
      <c r="Y227" s="223">
        <f t="shared" si="19"/>
        <v>0.70638186852666895</v>
      </c>
      <c r="Z227">
        <f>IFERROR(INDEX([1]Rainfall_Wet!$O$2:$O$217,MATCH(C227, [1]Rainfall_Wet!$A$2:$A$217,0)),"")</f>
        <v>194.43839254400001</v>
      </c>
      <c r="AA227" s="226">
        <v>12.565665055683967</v>
      </c>
      <c r="AB227" s="226">
        <v>0.9665896196679955</v>
      </c>
      <c r="AC227" s="226">
        <v>86.467745324648035</v>
      </c>
      <c r="AD227" s="227" t="s">
        <v>2653</v>
      </c>
      <c r="AE227" s="226">
        <v>6.02257269590931</v>
      </c>
      <c r="AF227">
        <f>IF('WetLitterbags placem_collection'!AB8="","",'WetLitterbags placem_collection'!AB8)</f>
        <v>32.4</v>
      </c>
      <c r="AG227">
        <f>IF('WetLitterbags placem_collection'!Z8="","",'WetLitterbags placem_collection'!Z8)</f>
        <v>31</v>
      </c>
      <c r="AH227" s="236" t="str">
        <f>IF('WetLitterbags placem_collection'!AA8="","",'WetLitterbags placem_collection'!AA8)</f>
        <v>M</v>
      </c>
      <c r="AI227">
        <f>IF('WetLitterbags placem_collection'!AC8="","",'WetLitterbags placem_collection'!AC8)</f>
        <v>1</v>
      </c>
      <c r="AJ227" s="233">
        <f>AVERAGE('WetLitterbags placem_collection'!S8,'WetLitterbags placem_collection'!U8)</f>
        <v>13.45</v>
      </c>
      <c r="AK227">
        <f>AVERAGE('WetLitterbags placem_collection'!R8,'WetLitterbags placem_collection'!T8)</f>
        <v>25.1</v>
      </c>
      <c r="AL227">
        <f>INDEX([2]Coordinates!$B$2:$B$197,MATCH(I227,[2]Coordinates!$J$2:$J$197,0))</f>
        <v>-3.3977389800000002</v>
      </c>
      <c r="AM227">
        <f>INDEX([2]Coordinates!$C$2:$C$197,MATCH(I227,[2]Coordinates!$J$2:$J$197,0))</f>
        <v>34.837501979999999</v>
      </c>
      <c r="AN227" t="str">
        <f>IF(ISNUMBER(SEARCH("C", 'WetLitterbags placem_collection'!$W8)),"YES","NO")</f>
        <v>NO</v>
      </c>
      <c r="AO227" t="str">
        <f>IF(ISNUMBER(SEARCH("H", 'WetLitterbags placem_collection'!$W8)),"YES","NO")</f>
        <v>NO</v>
      </c>
      <c r="AP227" t="str">
        <f>IF(ISNUMBER(SEARCH("R", 'WetLitterbags placem_collection'!$W8)),"YES","NO")</f>
        <v>YES</v>
      </c>
    </row>
    <row r="228" spans="1:42" ht="15" customHeight="1">
      <c r="A228" t="s">
        <v>3248</v>
      </c>
      <c r="B228" s="248" t="s">
        <v>2454</v>
      </c>
      <c r="C228" s="253">
        <f>'Dry_Litterbag Placem_Collection'!A9</f>
        <v>7</v>
      </c>
      <c r="D228" s="253" t="str">
        <f>'Dry_Litterbag Placem_Collection'!B9</f>
        <v>Makao</v>
      </c>
      <c r="E228" s="253" t="s">
        <v>2643</v>
      </c>
      <c r="F228" s="253" t="s">
        <v>2644</v>
      </c>
      <c r="G228" s="253">
        <v>1</v>
      </c>
      <c r="H228" s="253" t="s">
        <v>3099</v>
      </c>
      <c r="I228" s="254" t="str">
        <f>'Dry_Litterbag Placem_Collection'!C9</f>
        <v>Dry_Ag1_T7</v>
      </c>
      <c r="J228" s="255" t="s">
        <v>2525</v>
      </c>
      <c r="K228" s="262" t="s">
        <v>298</v>
      </c>
      <c r="L228" s="221" t="str">
        <f>'WetLitterbags placem_collection'!M9</f>
        <v>R531</v>
      </c>
      <c r="M228" s="223">
        <f>IFERROR(INDEX('Green_rooibos initial weight'!$C$5:$C$2000,MATCH(L228, 'Green_rooibos initial weight'!$A$5:$A$2000,0)),"")</f>
        <v>2.101</v>
      </c>
      <c r="N228" s="223">
        <f>IFERROR(M228-(TBIcalc!$H$9+TBIcalc!$H$10),"")</f>
        <v>1.8512</v>
      </c>
      <c r="O228" s="378">
        <f>AVERAGE(Ashed_controlls!$K$2:$K$11)</f>
        <v>5.5147656768714146</v>
      </c>
      <c r="P228" s="223">
        <f t="shared" si="16"/>
        <v>1.7491106577897564</v>
      </c>
      <c r="Q228" s="223">
        <f>IFERROR(INDEX('Both teabags AfterWet'!$C$3:$C$840,MATCH(L228,'Both teabags AfterWet'!$A$3:$A$840,0)),"")</f>
        <v>1.4430000000000001</v>
      </c>
      <c r="R228" s="223">
        <f>IFERROR(IF(Q228&gt;0,Q228-(TBIcalc!$H$9),""),"")</f>
        <v>1.2924</v>
      </c>
      <c r="S228" s="223">
        <f>IFERROR(INDEX('Ashed teabags wet'!$K$2:$K$2000,MATCH(L228,'Ashed teabags wet'!$A$2:$A$2000,0)),"")</f>
        <v>3.1630170316302406</v>
      </c>
      <c r="T228" s="223">
        <f t="shared" si="17"/>
        <v>1.2515211678832108</v>
      </c>
      <c r="U228" s="224">
        <f>'WetLitterbags placem_collection'!E9</f>
        <v>42766</v>
      </c>
      <c r="V228" s="224">
        <f>IF('WetLitterbags placem_collection'!G9="","",'WetLitterbags placem_collection'!G9)</f>
        <v>42818</v>
      </c>
      <c r="W228" s="225">
        <f t="shared" si="15"/>
        <v>52</v>
      </c>
      <c r="X228" s="223">
        <f t="shared" si="18"/>
        <v>0.55879999999999996</v>
      </c>
      <c r="Y228" s="223">
        <f t="shared" si="19"/>
        <v>0.49758948990654561</v>
      </c>
      <c r="Z228">
        <f>IFERROR(INDEX([1]Rainfall_Wet!$O$2:$O$217,MATCH(C228, [1]Rainfall_Wet!$A$2:$A$217,0)),"")</f>
        <v>194.43839254400001</v>
      </c>
      <c r="AA228" s="226">
        <v>12.565665055683967</v>
      </c>
      <c r="AB228" s="226">
        <v>0.9665896196679955</v>
      </c>
      <c r="AC228" s="226">
        <v>86.467745324648035</v>
      </c>
      <c r="AD228" s="227" t="s">
        <v>2653</v>
      </c>
      <c r="AE228" s="226">
        <v>7.02257269590931</v>
      </c>
      <c r="AF228">
        <f>IF('WetLitterbags placem_collection'!AB9="","",'WetLitterbags placem_collection'!AB9)</f>
        <v>36</v>
      </c>
      <c r="AG228">
        <f>IF('WetLitterbags placem_collection'!Z9="","",'WetLitterbags placem_collection'!Z9)</f>
        <v>43.4</v>
      </c>
      <c r="AH228" s="236" t="str">
        <f>IF('WetLitterbags placem_collection'!AA9="","",'WetLitterbags placem_collection'!AA9)</f>
        <v>M</v>
      </c>
      <c r="AI228">
        <f>IF('WetLitterbags placem_collection'!AC9="","",'WetLitterbags placem_collection'!AC9)</f>
        <v>1</v>
      </c>
      <c r="AJ228" s="233">
        <f>AVERAGE('WetLitterbags placem_collection'!S9,'WetLitterbags placem_collection'!U9)</f>
        <v>9.8500000000000014</v>
      </c>
      <c r="AK228">
        <f>AVERAGE('WetLitterbags placem_collection'!R9,'WetLitterbags placem_collection'!T9)</f>
        <v>26.2</v>
      </c>
      <c r="AL228">
        <f>INDEX([2]Coordinates!$B$2:$B$197,MATCH(I228,[2]Coordinates!$J$2:$J$197,0))</f>
        <v>-3.3977630360000002</v>
      </c>
      <c r="AM228">
        <f>INDEX([2]Coordinates!$C$2:$C$197,MATCH(I228,[2]Coordinates!$J$2:$J$197,0))</f>
        <v>34.837600969999997</v>
      </c>
      <c r="AN228" t="str">
        <f>IF(ISNUMBER(SEARCH("C", 'WetLitterbags placem_collection'!$W9)),"YES","NO")</f>
        <v>NO</v>
      </c>
      <c r="AO228" t="str">
        <f>IF(ISNUMBER(SEARCH("H", 'WetLitterbags placem_collection'!$W9)),"YES","NO")</f>
        <v>NO</v>
      </c>
      <c r="AP228" t="str">
        <f>IF(ISNUMBER(SEARCH("R", 'WetLitterbags placem_collection'!$W9)),"YES","NO")</f>
        <v>NO</v>
      </c>
    </row>
    <row r="229" spans="1:42" ht="15" customHeight="1">
      <c r="A229" t="s">
        <v>3248</v>
      </c>
      <c r="B229" s="248" t="s">
        <v>2454</v>
      </c>
      <c r="C229" s="253">
        <f>'Dry_Litterbag Placem_Collection'!A10</f>
        <v>8</v>
      </c>
      <c r="D229" s="253" t="str">
        <f>'Dry_Litterbag Placem_Collection'!B10</f>
        <v>Makao</v>
      </c>
      <c r="E229" s="253" t="s">
        <v>2643</v>
      </c>
      <c r="F229" s="253" t="s">
        <v>2644</v>
      </c>
      <c r="G229" s="253">
        <v>1</v>
      </c>
      <c r="H229" s="253" t="s">
        <v>3099</v>
      </c>
      <c r="I229" s="254" t="str">
        <f>'Dry_Litterbag Placem_Collection'!C10</f>
        <v>Dry_Ag1_T8</v>
      </c>
      <c r="J229" s="255" t="s">
        <v>2525</v>
      </c>
      <c r="K229" s="262" t="s">
        <v>298</v>
      </c>
      <c r="L229" s="221" t="str">
        <f>'WetLitterbags placem_collection'!M10</f>
        <v>R406</v>
      </c>
      <c r="M229" s="223">
        <f>IFERROR(INDEX('Green_rooibos initial weight'!$C$5:$C$2000,MATCH(L229, 'Green_rooibos initial weight'!$A$5:$A$2000,0)),"")</f>
        <v>2.1739999999999999</v>
      </c>
      <c r="N229" s="223">
        <f>IFERROR(M229-(TBIcalc!$H$9+TBIcalc!$H$10),"")</f>
        <v>1.9241999999999999</v>
      </c>
      <c r="O229" s="378">
        <f>AVERAGE(Ashed_controlls!$K$2:$K$11)</f>
        <v>5.5147656768714146</v>
      </c>
      <c r="P229" s="223">
        <f t="shared" si="16"/>
        <v>1.8180848788456401</v>
      </c>
      <c r="Q229" s="223">
        <f>IFERROR(INDEX('Both teabags AfterWet'!$C$3:$C$840,MATCH(L229,'Both teabags AfterWet'!$A$3:$A$840,0)),"")</f>
        <v>1.4278999999999999</v>
      </c>
      <c r="R229" s="223">
        <f>IFERROR(IF(Q229&gt;0,Q229-(TBIcalc!$H$9),""),"")</f>
        <v>1.2772999999999999</v>
      </c>
      <c r="S229" s="223">
        <f>IFERROR(INDEX('Ashed teabags wet'!$K$2:$K$2000,MATCH(L229,'Ashed teabags wet'!$A$2:$A$2000,0)),"")</f>
        <v>2.5291828793778013</v>
      </c>
      <c r="T229" s="223">
        <f t="shared" si="17"/>
        <v>1.2449947470817073</v>
      </c>
      <c r="U229" s="224">
        <f>'WetLitterbags placem_collection'!E10</f>
        <v>42766</v>
      </c>
      <c r="V229" s="224">
        <f>IF('WetLitterbags placem_collection'!G10="","",'WetLitterbags placem_collection'!G10)</f>
        <v>42818</v>
      </c>
      <c r="W229" s="225">
        <f t="shared" si="15"/>
        <v>52</v>
      </c>
      <c r="X229" s="223">
        <f t="shared" si="18"/>
        <v>0.64690000000000003</v>
      </c>
      <c r="Y229" s="223">
        <f t="shared" si="19"/>
        <v>0.57309013176393275</v>
      </c>
      <c r="Z229">
        <f>IFERROR(INDEX([1]Rainfall_Wet!$O$2:$O$217,MATCH(C229, [1]Rainfall_Wet!$A$2:$A$217,0)),"")</f>
        <v>194.43839254400001</v>
      </c>
      <c r="AA229" s="226">
        <v>12.565665055683967</v>
      </c>
      <c r="AB229" s="226">
        <v>0.9665896196679955</v>
      </c>
      <c r="AC229" s="226">
        <v>86.467745324648035</v>
      </c>
      <c r="AD229" s="227" t="s">
        <v>2653</v>
      </c>
      <c r="AE229" s="226">
        <v>8.0225726959093109</v>
      </c>
      <c r="AF229">
        <f>IF('WetLitterbags placem_collection'!AB10="","",'WetLitterbags placem_collection'!AB10)</f>
        <v>36</v>
      </c>
      <c r="AG229">
        <f>IF('WetLitterbags placem_collection'!Z10="","",'WetLitterbags placem_collection'!Z10)</f>
        <v>38.4</v>
      </c>
      <c r="AH229" s="236" t="str">
        <f>IF('WetLitterbags placem_collection'!AA10="","",'WetLitterbags placem_collection'!AA10)</f>
        <v>M</v>
      </c>
      <c r="AI229" t="str">
        <f>IF('WetLitterbags placem_collection'!AC10="","",'WetLitterbags placem_collection'!AC10)</f>
        <v/>
      </c>
      <c r="AJ229" s="233">
        <f>AVERAGE('WetLitterbags placem_collection'!S10,'WetLitterbags placem_collection'!U10)</f>
        <v>10.600000000000001</v>
      </c>
      <c r="AK229">
        <f>AVERAGE('WetLitterbags placem_collection'!R10,'WetLitterbags placem_collection'!T10)</f>
        <v>25.5</v>
      </c>
      <c r="AL229">
        <f>INDEX([2]Coordinates!$B$2:$B$197,MATCH(I229,[2]Coordinates!$J$2:$J$197,0))</f>
        <v>-3.3977320230000001</v>
      </c>
      <c r="AM229">
        <f>INDEX([2]Coordinates!$C$2:$C$197,MATCH(I229,[2]Coordinates!$J$2:$J$197,0))</f>
        <v>34.837561989999998</v>
      </c>
      <c r="AN229" t="str">
        <f>IF(ISNUMBER(SEARCH("C", 'WetLitterbags placem_collection'!$W10)),"YES","NO")</f>
        <v>NO</v>
      </c>
      <c r="AO229" t="str">
        <f>IF(ISNUMBER(SEARCH("H", 'WetLitterbags placem_collection'!$W10)),"YES","NO")</f>
        <v>NO</v>
      </c>
      <c r="AP229" t="str">
        <f>IF(ISNUMBER(SEARCH("R", 'WetLitterbags placem_collection'!$W10)),"YES","NO")</f>
        <v>YES</v>
      </c>
    </row>
    <row r="230" spans="1:42" ht="15" customHeight="1">
      <c r="A230" t="s">
        <v>3248</v>
      </c>
      <c r="B230" s="248" t="s">
        <v>2454</v>
      </c>
      <c r="C230" s="253">
        <f>'Dry_Litterbag Placem_Collection'!A11</f>
        <v>9</v>
      </c>
      <c r="D230" s="253" t="str">
        <f>'Dry_Litterbag Placem_Collection'!B11</f>
        <v>Makao</v>
      </c>
      <c r="E230" s="253" t="s">
        <v>2643</v>
      </c>
      <c r="F230" s="253" t="s">
        <v>2644</v>
      </c>
      <c r="G230" s="253">
        <v>2</v>
      </c>
      <c r="H230" s="253" t="s">
        <v>3103</v>
      </c>
      <c r="I230" s="254" t="str">
        <f>'Dry_Litterbag Placem_Collection'!C11</f>
        <v>Dry_Ag2_T1</v>
      </c>
      <c r="J230" s="255" t="s">
        <v>2525</v>
      </c>
      <c r="K230" s="262" t="s">
        <v>298</v>
      </c>
      <c r="L230" s="221" t="str">
        <f>'WetLitterbags placem_collection'!M11</f>
        <v>R169</v>
      </c>
      <c r="M230" s="223">
        <f>IFERROR(INDEX('Green_rooibos initial weight'!$C$5:$C$2000,MATCH(L230, 'Green_rooibos initial weight'!$A$5:$A$2000,0)),"")</f>
        <v>2.2010000000000001</v>
      </c>
      <c r="N230" s="223">
        <f>IFERROR(M230-(TBIcalc!$H$9+TBIcalc!$H$10),"")</f>
        <v>1.9512</v>
      </c>
      <c r="O230" s="378">
        <f>AVERAGE(Ashed_controlls!$K$2:$K$11)</f>
        <v>5.5147656768714146</v>
      </c>
      <c r="P230" s="223">
        <f t="shared" si="16"/>
        <v>1.843595892112885</v>
      </c>
      <c r="Q230" s="223">
        <f>IFERROR(INDEX('Both teabags AfterWet'!$C$3:$C$840,MATCH(L230,'Both teabags AfterWet'!$A$3:$A$840,0)),"")</f>
        <v>2.8336999999999999</v>
      </c>
      <c r="R230" s="223">
        <f>IFERROR(IF(Q230&gt;0,Q230-(TBIcalc!$H$9),""),"")</f>
        <v>2.6831</v>
      </c>
      <c r="S230" s="223">
        <f>IFERROR(INDEX('Ashed teabags wet'!$K$2:$K$2000,MATCH(L230,'Ashed teabags wet'!$A$2:$A$2000,0)),"")</f>
        <v>95.2866861030124</v>
      </c>
      <c r="T230" s="223">
        <f t="shared" si="17"/>
        <v>0.1264629251700744</v>
      </c>
      <c r="U230" s="224">
        <f>'WetLitterbags placem_collection'!E11</f>
        <v>42766</v>
      </c>
      <c r="V230" s="224">
        <f>IF('WetLitterbags placem_collection'!G11="","",'WetLitterbags placem_collection'!G11)</f>
        <v>42818</v>
      </c>
      <c r="W230" s="225">
        <f t="shared" si="15"/>
        <v>52</v>
      </c>
      <c r="X230" s="223">
        <f t="shared" si="18"/>
        <v>-0.7319</v>
      </c>
      <c r="Y230" s="223">
        <f t="shared" si="19"/>
        <v>1.7171329669428106</v>
      </c>
      <c r="Z230">
        <f>IFERROR(INDEX([1]Rainfall_Wet!$O$2:$O$217,MATCH(C230, [1]Rainfall_Wet!$A$2:$A$217,0)),"")</f>
        <v>194.43839254400001</v>
      </c>
      <c r="AA230" s="226">
        <v>21.13063730679653</v>
      </c>
      <c r="AB230" s="226">
        <v>3.0912555579081076</v>
      </c>
      <c r="AC230" s="226">
        <v>75.778107135295357</v>
      </c>
      <c r="AD230" s="227" t="s">
        <v>2651</v>
      </c>
      <c r="AE230" s="226">
        <v>0.46131099063578063</v>
      </c>
      <c r="AF230">
        <f>IF('WetLitterbags placem_collection'!AB11="","",'WetLitterbags placem_collection'!AB11)</f>
        <v>10.8</v>
      </c>
      <c r="AG230">
        <f>IF('WetLitterbags placem_collection'!Z11="","",'WetLitterbags placem_collection'!Z11)</f>
        <v>28.4</v>
      </c>
      <c r="AH230" s="236" t="str">
        <f>IF('WetLitterbags placem_collection'!AA11="","",'WetLitterbags placem_collection'!AA11)</f>
        <v>M</v>
      </c>
      <c r="AI230">
        <f>IF('WetLitterbags placem_collection'!AC11="","",'WetLitterbags placem_collection'!AC11)</f>
        <v>0</v>
      </c>
      <c r="AJ230" s="233">
        <f>AVERAGE('WetLitterbags placem_collection'!S11,'WetLitterbags placem_collection'!U11)</f>
        <v>14.5</v>
      </c>
      <c r="AK230">
        <f>AVERAGE('WetLitterbags placem_collection'!R11,'WetLitterbags placem_collection'!T11)</f>
        <v>24.4</v>
      </c>
      <c r="AL230">
        <f>INDEX([2]Coordinates!$B$2:$B$197,MATCH(I230,[2]Coordinates!$J$2:$J$197,0))</f>
        <v>-3.3978290019999999</v>
      </c>
      <c r="AM230">
        <f>INDEX([2]Coordinates!$C$2:$C$197,MATCH(I230,[2]Coordinates!$J$2:$J$197,0))</f>
        <v>34.837011969999999</v>
      </c>
      <c r="AN230" t="str">
        <f>IF(ISNUMBER(SEARCH("C", 'WetLitterbags placem_collection'!$W11)),"YES","NO")</f>
        <v>YES</v>
      </c>
      <c r="AO230" t="str">
        <f>IF(ISNUMBER(SEARCH("H", 'WetLitterbags placem_collection'!$W11)),"YES","NO")</f>
        <v>YES</v>
      </c>
      <c r="AP230" t="str">
        <f>IF(ISNUMBER(SEARCH("R", 'WetLitterbags placem_collection'!$W11)),"YES","NO")</f>
        <v>NO</v>
      </c>
    </row>
    <row r="231" spans="1:42" ht="15" customHeight="1">
      <c r="A231" t="s">
        <v>3248</v>
      </c>
      <c r="B231" s="248" t="s">
        <v>2454</v>
      </c>
      <c r="C231" s="253">
        <f>'Dry_Litterbag Placem_Collection'!A12</f>
        <v>10</v>
      </c>
      <c r="D231" s="253" t="str">
        <f>'Dry_Litterbag Placem_Collection'!B12</f>
        <v>Makao</v>
      </c>
      <c r="E231" s="253" t="s">
        <v>2643</v>
      </c>
      <c r="F231" s="253" t="s">
        <v>2644</v>
      </c>
      <c r="G231" s="253">
        <v>2</v>
      </c>
      <c r="H231" s="253" t="s">
        <v>3103</v>
      </c>
      <c r="I231" s="254" t="str">
        <f>'Dry_Litterbag Placem_Collection'!C12</f>
        <v>Dry_Ag2_T2</v>
      </c>
      <c r="J231" s="255" t="s">
        <v>2525</v>
      </c>
      <c r="K231" s="262" t="s">
        <v>298</v>
      </c>
      <c r="L231" s="221" t="str">
        <f>'WetLitterbags placem_collection'!M12</f>
        <v>R91</v>
      </c>
      <c r="M231" s="223">
        <f>IFERROR(INDEX('Green_rooibos initial weight'!$C$5:$C$2000,MATCH(L231, 'Green_rooibos initial weight'!$A$5:$A$2000,0)),"")</f>
        <v>2.133</v>
      </c>
      <c r="N231" s="223">
        <f>IFERROR(M231-(TBIcalc!$H$9+TBIcalc!$H$10),"")</f>
        <v>1.8832</v>
      </c>
      <c r="O231" s="378">
        <f>AVERAGE(Ashed_controlls!$K$2:$K$11)</f>
        <v>5.5147656768714146</v>
      </c>
      <c r="P231" s="223">
        <f t="shared" si="16"/>
        <v>1.7793459327731576</v>
      </c>
      <c r="Q231" s="223">
        <f>IFERROR(INDEX('Both teabags AfterWet'!$C$3:$C$840,MATCH(L231,'Both teabags AfterWet'!$A$3:$A$840,0)),"")</f>
        <v>1.3628</v>
      </c>
      <c r="R231" s="223">
        <f>IFERROR(IF(Q231&gt;0,Q231-(TBIcalc!$H$9),""),"")</f>
        <v>1.2121999999999999</v>
      </c>
      <c r="S231" s="223">
        <f>IFERROR(INDEX('Ashed teabags wet'!$K$2:$K$2000,MATCH(L231,'Ashed teabags wet'!$A$2:$A$2000,0)),"")</f>
        <v>4.3562439496613994</v>
      </c>
      <c r="T231" s="223">
        <f t="shared" si="17"/>
        <v>1.1593936108422045</v>
      </c>
      <c r="U231" s="224">
        <f>'WetLitterbags placem_collection'!E12</f>
        <v>42766</v>
      </c>
      <c r="V231" s="224">
        <f>IF('WetLitterbags placem_collection'!G12="","",'WetLitterbags placem_collection'!G12)</f>
        <v>42818</v>
      </c>
      <c r="W231" s="225">
        <f t="shared" si="15"/>
        <v>52</v>
      </c>
      <c r="X231" s="223">
        <f t="shared" si="18"/>
        <v>0.67100000000000004</v>
      </c>
      <c r="Y231" s="223">
        <f t="shared" si="19"/>
        <v>0.61995232193095307</v>
      </c>
      <c r="Z231">
        <f>IFERROR(INDEX([1]Rainfall_Wet!$O$2:$O$217,MATCH(C231, [1]Rainfall_Wet!$A$2:$A$217,0)),"")</f>
        <v>194.43839254400001</v>
      </c>
      <c r="AA231" s="226">
        <v>21.13063730679653</v>
      </c>
      <c r="AB231" s="226">
        <v>3.0912555579081076</v>
      </c>
      <c r="AC231" s="226">
        <v>75.778107135295357</v>
      </c>
      <c r="AD231" s="227" t="s">
        <v>2651</v>
      </c>
      <c r="AE231" s="226">
        <v>1.46131099063578</v>
      </c>
      <c r="AF231">
        <f>IF('WetLitterbags placem_collection'!AB12="","",'WetLitterbags placem_collection'!AB12)</f>
        <v>16.8</v>
      </c>
      <c r="AG231">
        <f>IF('WetLitterbags placem_collection'!Z12="","",'WetLitterbags placem_collection'!Z12)</f>
        <v>30</v>
      </c>
      <c r="AH231" s="236" t="str">
        <f>IF('WetLitterbags placem_collection'!AA12="","",'WetLitterbags placem_collection'!AA12)</f>
        <v>M</v>
      </c>
      <c r="AI231">
        <f>IF('WetLitterbags placem_collection'!AC12="","",'WetLitterbags placem_collection'!AC12)</f>
        <v>0</v>
      </c>
      <c r="AJ231" s="233">
        <f>AVERAGE('WetLitterbags placem_collection'!S12,'WetLitterbags placem_collection'!U12)</f>
        <v>14.649999999999999</v>
      </c>
      <c r="AK231">
        <f>AVERAGE('WetLitterbags placem_collection'!R12,'WetLitterbags placem_collection'!T12)</f>
        <v>24.299999999999997</v>
      </c>
      <c r="AL231">
        <f>INDEX([2]Coordinates!$B$2:$B$197,MATCH(I231,[2]Coordinates!$J$2:$J$197,0))</f>
        <v>-3.3978119869999999</v>
      </c>
      <c r="AM231">
        <f>INDEX([2]Coordinates!$C$2:$C$197,MATCH(I231,[2]Coordinates!$J$2:$J$197,0))</f>
        <v>34.836968980000002</v>
      </c>
      <c r="AN231" t="str">
        <f>IF(ISNUMBER(SEARCH("C", 'WetLitterbags placem_collection'!$W12)),"YES","NO")</f>
        <v>NO</v>
      </c>
      <c r="AO231" t="str">
        <f>IF(ISNUMBER(SEARCH("H", 'WetLitterbags placem_collection'!$W12)),"YES","NO")</f>
        <v>NO</v>
      </c>
      <c r="AP231" t="str">
        <f>IF(ISNUMBER(SEARCH("R", 'WetLitterbags placem_collection'!$W12)),"YES","NO")</f>
        <v>NO</v>
      </c>
    </row>
    <row r="232" spans="1:42" ht="15" customHeight="1">
      <c r="A232" t="s">
        <v>3248</v>
      </c>
      <c r="B232" s="248" t="s">
        <v>2454</v>
      </c>
      <c r="C232" s="253">
        <f>'Dry_Litterbag Placem_Collection'!A13</f>
        <v>11</v>
      </c>
      <c r="D232" s="253" t="str">
        <f>'Dry_Litterbag Placem_Collection'!B13</f>
        <v>Makao</v>
      </c>
      <c r="E232" s="253" t="s">
        <v>2643</v>
      </c>
      <c r="F232" s="253" t="s">
        <v>2644</v>
      </c>
      <c r="G232" s="253">
        <v>2</v>
      </c>
      <c r="H232" s="253" t="s">
        <v>3103</v>
      </c>
      <c r="I232" s="254" t="str">
        <f>'Dry_Litterbag Placem_Collection'!C13</f>
        <v>Dry_Ag2_T3</v>
      </c>
      <c r="J232" s="255" t="s">
        <v>2525</v>
      </c>
      <c r="K232" s="262" t="s">
        <v>298</v>
      </c>
      <c r="L232" s="221" t="str">
        <f>'WetLitterbags placem_collection'!M13</f>
        <v>R446</v>
      </c>
      <c r="M232" s="223">
        <f>IFERROR(INDEX('Green_rooibos initial weight'!$C$5:$C$2000,MATCH(L232, 'Green_rooibos initial weight'!$A$5:$A$2000,0)),"")</f>
        <v>2.2679999999999998</v>
      </c>
      <c r="N232" s="223">
        <f>IFERROR(M232-(TBIcalc!$H$9+TBIcalc!$H$10),"")</f>
        <v>2.0181999999999998</v>
      </c>
      <c r="O232" s="378">
        <f>AVERAGE(Ashed_controlls!$K$2:$K$11)</f>
        <v>5.5147656768714146</v>
      </c>
      <c r="P232" s="223">
        <f t="shared" si="16"/>
        <v>1.9069009991093808</v>
      </c>
      <c r="Q232" s="223">
        <f>IFERROR(INDEX('Both teabags AfterWet'!$C$3:$C$840,MATCH(L232,'Both teabags AfterWet'!$A$3:$A$840,0)),"")</f>
        <v>1.4224000000000001</v>
      </c>
      <c r="R232" s="223">
        <f>IFERROR(IF(Q232&gt;0,Q232-(TBIcalc!$H$9),""),"")</f>
        <v>1.2718</v>
      </c>
      <c r="S232" s="223">
        <f>IFERROR(INDEX('Ashed teabags wet'!$K$2:$K$2000,MATCH(L232,'Ashed teabags wet'!$A$2:$A$2000,0)),"")</f>
        <v>5.1775147928992347</v>
      </c>
      <c r="T232" s="223">
        <f t="shared" si="17"/>
        <v>1.2059523668639076</v>
      </c>
      <c r="U232" s="224">
        <f>'WetLitterbags placem_collection'!E13</f>
        <v>42766</v>
      </c>
      <c r="V232" s="224">
        <f>IF('WetLitterbags placem_collection'!G13="","",'WetLitterbags placem_collection'!G13)</f>
        <v>42818</v>
      </c>
      <c r="W232" s="225">
        <f t="shared" si="15"/>
        <v>52</v>
      </c>
      <c r="X232" s="223">
        <f t="shared" si="18"/>
        <v>0.74639999999999973</v>
      </c>
      <c r="Y232" s="223">
        <f t="shared" si="19"/>
        <v>0.70094863224547321</v>
      </c>
      <c r="Z232">
        <f>IFERROR(INDEX([1]Rainfall_Wet!$O$2:$O$217,MATCH(C232, [1]Rainfall_Wet!$A$2:$A$217,0)),"")</f>
        <v>194.43839254400001</v>
      </c>
      <c r="AA232" s="226">
        <v>21.13063730679653</v>
      </c>
      <c r="AB232" s="226">
        <v>3.0912555579081076</v>
      </c>
      <c r="AC232" s="226">
        <v>75.778107135295357</v>
      </c>
      <c r="AD232" s="227" t="s">
        <v>2651</v>
      </c>
      <c r="AE232" s="226">
        <v>2.4613109906357802</v>
      </c>
      <c r="AF232">
        <f>IF('WetLitterbags placem_collection'!AB13="","",'WetLitterbags placem_collection'!AB13)</f>
        <v>11.4</v>
      </c>
      <c r="AG232">
        <f>IF('WetLitterbags placem_collection'!Z13="","",'WetLitterbags placem_collection'!Z13)</f>
        <v>24.4</v>
      </c>
      <c r="AH232" s="236" t="str">
        <f>IF('WetLitterbags placem_collection'!AA13="","",'WetLitterbags placem_collection'!AA13)</f>
        <v>M</v>
      </c>
      <c r="AI232">
        <f>IF('WetLitterbags placem_collection'!AC13="","",'WetLitterbags placem_collection'!AC13)</f>
        <v>0</v>
      </c>
      <c r="AJ232" s="233">
        <f>AVERAGE('WetLitterbags placem_collection'!S13,'WetLitterbags placem_collection'!U13)</f>
        <v>21.1</v>
      </c>
      <c r="AK232">
        <f>AVERAGE('WetLitterbags placem_collection'!R13,'WetLitterbags placem_collection'!T13)</f>
        <v>24.05</v>
      </c>
      <c r="AL232">
        <f>INDEX([2]Coordinates!$B$2:$B$197,MATCH(I232,[2]Coordinates!$J$2:$J$197,0))</f>
        <v>-3.3977929599999999</v>
      </c>
      <c r="AM232">
        <f>INDEX([2]Coordinates!$C$2:$C$197,MATCH(I232,[2]Coordinates!$J$2:$J$197,0))</f>
        <v>34.837102999999999</v>
      </c>
      <c r="AN232" t="str">
        <f>IF(ISNUMBER(SEARCH("C", 'WetLitterbags placem_collection'!$W13)),"YES","NO")</f>
        <v>NO</v>
      </c>
      <c r="AO232" t="str">
        <f>IF(ISNUMBER(SEARCH("H", 'WetLitterbags placem_collection'!$W13)),"YES","NO")</f>
        <v>NO</v>
      </c>
      <c r="AP232" t="str">
        <f>IF(ISNUMBER(SEARCH("R", 'WetLitterbags placem_collection'!$W13)),"YES","NO")</f>
        <v>NO</v>
      </c>
    </row>
    <row r="233" spans="1:42" ht="15" customHeight="1">
      <c r="A233" t="s">
        <v>3248</v>
      </c>
      <c r="B233" s="248" t="s">
        <v>2454</v>
      </c>
      <c r="C233" s="253">
        <f>'Dry_Litterbag Placem_Collection'!A14</f>
        <v>12</v>
      </c>
      <c r="D233" s="253" t="str">
        <f>'Dry_Litterbag Placem_Collection'!B14</f>
        <v>Makao</v>
      </c>
      <c r="E233" s="253" t="s">
        <v>2643</v>
      </c>
      <c r="F233" s="253" t="s">
        <v>2644</v>
      </c>
      <c r="G233" s="253">
        <v>2</v>
      </c>
      <c r="H233" s="253" t="s">
        <v>3103</v>
      </c>
      <c r="I233" s="254" t="str">
        <f>'Dry_Litterbag Placem_Collection'!C14</f>
        <v>Dry_Ag2_T4</v>
      </c>
      <c r="J233" s="255" t="s">
        <v>2525</v>
      </c>
      <c r="K233" s="262" t="s">
        <v>298</v>
      </c>
      <c r="L233" s="221" t="str">
        <f>'WetLitterbags placem_collection'!M14</f>
        <v>R409</v>
      </c>
      <c r="M233" s="223">
        <f>IFERROR(INDEX('Green_rooibos initial weight'!$C$5:$C$2000,MATCH(L233, 'Green_rooibos initial weight'!$A$5:$A$2000,0)),"")</f>
        <v>2.2000000000000002</v>
      </c>
      <c r="N233" s="223">
        <f>IFERROR(M233-(TBIcalc!$H$9+TBIcalc!$H$10),"")</f>
        <v>1.9502000000000002</v>
      </c>
      <c r="O233" s="378">
        <f>AVERAGE(Ashed_controlls!$K$2:$K$11)</f>
        <v>5.5147656768714146</v>
      </c>
      <c r="P233" s="223">
        <f t="shared" si="16"/>
        <v>1.8426510397696538</v>
      </c>
      <c r="Q233" s="223" t="str">
        <f>IFERROR(INDEX('Both teabags AfterWet'!$C$3:$C$840,MATCH(L233,'Both teabags AfterWet'!$A$3:$A$840,0)),"")</f>
        <v/>
      </c>
      <c r="R233" s="223" t="str">
        <f>IFERROR(IF(Q233&gt;0,Q233-(TBIcalc!$H$9),""),"")</f>
        <v/>
      </c>
      <c r="S233" s="223" t="str">
        <f>IFERROR(INDEX('Ashed teabags wet'!$K$2:$K$2000,MATCH(L233,'Ashed teabags wet'!$A$2:$A$2000,0)),"")</f>
        <v/>
      </c>
      <c r="T233" s="223" t="str">
        <f t="shared" si="17"/>
        <v/>
      </c>
      <c r="U233" s="224">
        <f>'WetLitterbags placem_collection'!E14</f>
        <v>42766</v>
      </c>
      <c r="V233" s="224">
        <f>IF('WetLitterbags placem_collection'!G14="","",'WetLitterbags placem_collection'!G14)</f>
        <v>42818</v>
      </c>
      <c r="W233" s="225">
        <f t="shared" si="15"/>
        <v>52</v>
      </c>
      <c r="X233" s="223" t="str">
        <f t="shared" si="18"/>
        <v/>
      </c>
      <c r="Y233" s="223" t="str">
        <f t="shared" si="19"/>
        <v/>
      </c>
      <c r="Z233" t="str">
        <f>IFERROR(INDEX([1]Rainfall_Wet!$O$2:$O$217,MATCH(C233, [1]Rainfall_Wet!$A$2:$A$217,0)),"")</f>
        <v/>
      </c>
      <c r="AA233" s="226">
        <v>21.13063730679653</v>
      </c>
      <c r="AB233" s="226">
        <v>3.0912555579081076</v>
      </c>
      <c r="AC233" s="226">
        <v>75.778107135295357</v>
      </c>
      <c r="AD233" s="227" t="s">
        <v>2651</v>
      </c>
      <c r="AE233" s="226">
        <v>3.4613109906357802</v>
      </c>
      <c r="AF233" t="str">
        <f>IF('WetLitterbags placem_collection'!AB14="","",'WetLitterbags placem_collection'!AB14)</f>
        <v/>
      </c>
      <c r="AG233" t="str">
        <f>IF('WetLitterbags placem_collection'!Z14="","",'WetLitterbags placem_collection'!Z14)</f>
        <v/>
      </c>
      <c r="AH233" s="236" t="str">
        <f>IF('WetLitterbags placem_collection'!AA14="","",'WetLitterbags placem_collection'!AA14)</f>
        <v/>
      </c>
      <c r="AI233" t="str">
        <f>IF('WetLitterbags placem_collection'!AC14="","",'WetLitterbags placem_collection'!AC14)</f>
        <v/>
      </c>
      <c r="AJ233" s="233">
        <f>AVERAGE('WetLitterbags placem_collection'!S14,'WetLitterbags placem_collection'!U14)</f>
        <v>25.8</v>
      </c>
      <c r="AK233">
        <f>AVERAGE('WetLitterbags placem_collection'!R14,'WetLitterbags placem_collection'!T14)</f>
        <v>21.7</v>
      </c>
      <c r="AL233">
        <f>INDEX([2]Coordinates!$B$2:$B$197,MATCH(I233,[2]Coordinates!$J$2:$J$197,0))</f>
        <v>-3.3979050260000001</v>
      </c>
      <c r="AM233">
        <f>INDEX([2]Coordinates!$C$2:$C$197,MATCH(I233,[2]Coordinates!$J$2:$J$197,0))</f>
        <v>34.837123030000001</v>
      </c>
      <c r="AN233" t="str">
        <f>IF(ISNUMBER(SEARCH("C", 'WetLitterbags placem_collection'!$W14)),"YES","NO")</f>
        <v>NO</v>
      </c>
      <c r="AO233" t="str">
        <f>IF(ISNUMBER(SEARCH("H", 'WetLitterbags placem_collection'!$W14)),"YES","NO")</f>
        <v>NO</v>
      </c>
      <c r="AP233" t="str">
        <f>IF(ISNUMBER(SEARCH("R", 'WetLitterbags placem_collection'!$W14)),"YES","NO")</f>
        <v>NO</v>
      </c>
    </row>
    <row r="234" spans="1:42" ht="15" customHeight="1">
      <c r="A234" t="s">
        <v>3248</v>
      </c>
      <c r="B234" s="248" t="s">
        <v>2454</v>
      </c>
      <c r="C234" s="253">
        <f>'Dry_Litterbag Placem_Collection'!A15</f>
        <v>13</v>
      </c>
      <c r="D234" s="253" t="str">
        <f>'Dry_Litterbag Placem_Collection'!B15</f>
        <v>Makao</v>
      </c>
      <c r="E234" s="253" t="s">
        <v>2643</v>
      </c>
      <c r="F234" s="253" t="s">
        <v>2644</v>
      </c>
      <c r="G234" s="253">
        <v>2</v>
      </c>
      <c r="H234" s="253" t="s">
        <v>3103</v>
      </c>
      <c r="I234" s="254" t="str">
        <f>'Dry_Litterbag Placem_Collection'!C15</f>
        <v>Dry_Ag2_T5</v>
      </c>
      <c r="J234" s="255" t="s">
        <v>2525</v>
      </c>
      <c r="K234" s="262" t="s">
        <v>298</v>
      </c>
      <c r="L234" s="221" t="str">
        <f>'WetLitterbags placem_collection'!M15</f>
        <v>R450</v>
      </c>
      <c r="M234" s="223">
        <f>IFERROR(INDEX('Green_rooibos initial weight'!$C$5:$C$2000,MATCH(L234, 'Green_rooibos initial weight'!$A$5:$A$2000,0)),"")</f>
        <v>2.2250000000000001</v>
      </c>
      <c r="N234" s="223">
        <f>IFERROR(M234-(TBIcalc!$H$9+TBIcalc!$H$10),"")</f>
        <v>1.9752000000000001</v>
      </c>
      <c r="O234" s="378">
        <f>AVERAGE(Ashed_controlls!$K$2:$K$11)</f>
        <v>5.5147656768714146</v>
      </c>
      <c r="P234" s="223">
        <f t="shared" si="16"/>
        <v>1.866272348350436</v>
      </c>
      <c r="Q234" s="223">
        <f>IFERROR(INDEX('Both teabags AfterWet'!$C$3:$C$840,MATCH(L234,'Both teabags AfterWet'!$A$3:$A$840,0)),"")</f>
        <v>0.91920000000000002</v>
      </c>
      <c r="R234" s="223">
        <f>IFERROR(IF(Q234&gt;0,Q234-(TBIcalc!$H$9),""),"")</f>
        <v>0.76859999999999995</v>
      </c>
      <c r="S234" s="223">
        <f>IFERROR(INDEX('Ashed teabags wet'!$K$2:$K$2000,MATCH(L234,'Ashed teabags wet'!$A$2:$A$2000,0)),"")</f>
        <v>41.214534594325485</v>
      </c>
      <c r="T234" s="223">
        <f t="shared" si="17"/>
        <v>0.45182508710801428</v>
      </c>
      <c r="U234" s="224">
        <f>'WetLitterbags placem_collection'!E15</f>
        <v>42766</v>
      </c>
      <c r="V234" s="224">
        <f>IF('WetLitterbags placem_collection'!G15="","",'WetLitterbags placem_collection'!G15)</f>
        <v>42818</v>
      </c>
      <c r="W234" s="225">
        <f t="shared" si="15"/>
        <v>52</v>
      </c>
      <c r="X234" s="223">
        <f t="shared" si="18"/>
        <v>1.2066000000000001</v>
      </c>
      <c r="Y234" s="223">
        <f t="shared" si="19"/>
        <v>1.4144472612424217</v>
      </c>
      <c r="Z234">
        <f>IFERROR(INDEX([1]Rainfall_Wet!$O$2:$O$217,MATCH(C234, [1]Rainfall_Wet!$A$2:$A$217,0)),"")</f>
        <v>194.43839254400001</v>
      </c>
      <c r="AA234" s="226">
        <v>21.13063730679653</v>
      </c>
      <c r="AB234" s="226">
        <v>3.0912555579081076</v>
      </c>
      <c r="AC234" s="226">
        <v>75.778107135295357</v>
      </c>
      <c r="AD234" s="227" t="s">
        <v>2651</v>
      </c>
      <c r="AE234" s="226">
        <v>4.4613109906357797</v>
      </c>
      <c r="AF234">
        <f>IF('WetLitterbags placem_collection'!AB15="","",'WetLitterbags placem_collection'!AB15)</f>
        <v>11.4</v>
      </c>
      <c r="AG234">
        <f>IF('WetLitterbags placem_collection'!Z15="","",'WetLitterbags placem_collection'!Z15)</f>
        <v>31</v>
      </c>
      <c r="AH234" s="236" t="str">
        <f>IF('WetLitterbags placem_collection'!AA15="","",'WetLitterbags placem_collection'!AA15)</f>
        <v>M</v>
      </c>
      <c r="AI234">
        <f>IF('WetLitterbags placem_collection'!AC15="","",'WetLitterbags placem_collection'!AC15)</f>
        <v>0</v>
      </c>
      <c r="AJ234" s="233">
        <f>AVERAGE('WetLitterbags placem_collection'!S15,'WetLitterbags placem_collection'!U15)</f>
        <v>20.8</v>
      </c>
      <c r="AK234">
        <f>AVERAGE('WetLitterbags placem_collection'!R15,'WetLitterbags placem_collection'!T15)</f>
        <v>23.4</v>
      </c>
      <c r="AL234">
        <f>INDEX([2]Coordinates!$B$2:$B$197,MATCH(I234,[2]Coordinates!$J$2:$J$197,0))</f>
        <v>-3.3979040199999999</v>
      </c>
      <c r="AM234">
        <f>INDEX([2]Coordinates!$C$2:$C$197,MATCH(I234,[2]Coordinates!$J$2:$J$197,0))</f>
        <v>34.837027980000002</v>
      </c>
      <c r="AN234" t="str">
        <f>IF(ISNUMBER(SEARCH("C", 'WetLitterbags placem_collection'!$W15)),"YES","NO")</f>
        <v>NO</v>
      </c>
      <c r="AO234" t="str">
        <f>IF(ISNUMBER(SEARCH("H", 'WetLitterbags placem_collection'!$W15)),"YES","NO")</f>
        <v>YES</v>
      </c>
      <c r="AP234" t="str">
        <f>IF(ISNUMBER(SEARCH("R", 'WetLitterbags placem_collection'!$W15)),"YES","NO")</f>
        <v>YES</v>
      </c>
    </row>
    <row r="235" spans="1:42" ht="15" customHeight="1">
      <c r="A235" t="s">
        <v>3248</v>
      </c>
      <c r="B235" s="248" t="s">
        <v>2454</v>
      </c>
      <c r="C235" s="253">
        <f>'Dry_Litterbag Placem_Collection'!A16</f>
        <v>14</v>
      </c>
      <c r="D235" s="253" t="str">
        <f>'Dry_Litterbag Placem_Collection'!B16</f>
        <v>Makao</v>
      </c>
      <c r="E235" s="253" t="s">
        <v>2643</v>
      </c>
      <c r="F235" s="253" t="s">
        <v>2644</v>
      </c>
      <c r="G235" s="253">
        <v>2</v>
      </c>
      <c r="H235" s="253" t="s">
        <v>3103</v>
      </c>
      <c r="I235" s="254" t="str">
        <f>'Dry_Litterbag Placem_Collection'!C16</f>
        <v>Dry_Ag2_T6</v>
      </c>
      <c r="J235" s="255" t="s">
        <v>2525</v>
      </c>
      <c r="K235" s="262" t="s">
        <v>298</v>
      </c>
      <c r="L235" s="221" t="str">
        <f>'WetLitterbags placem_collection'!M16</f>
        <v>R382</v>
      </c>
      <c r="M235" s="223">
        <f>IFERROR(INDEX('Green_rooibos initial weight'!$C$5:$C$2000,MATCH(L235, 'Green_rooibos initial weight'!$A$5:$A$2000,0)),"")</f>
        <v>2.2210000000000001</v>
      </c>
      <c r="N235" s="223">
        <f>IFERROR(M235-(TBIcalc!$H$9+TBIcalc!$H$10),"")</f>
        <v>1.9712000000000001</v>
      </c>
      <c r="O235" s="378">
        <f>AVERAGE(Ashed_controlls!$K$2:$K$11)</f>
        <v>5.5147656768714146</v>
      </c>
      <c r="P235" s="223">
        <f t="shared" si="16"/>
        <v>1.8624929389775107</v>
      </c>
      <c r="Q235" s="223">
        <f>IFERROR(INDEX('Both teabags AfterWet'!$C$3:$C$840,MATCH(L235,'Both teabags AfterWet'!$A$3:$A$840,0)),"")</f>
        <v>1.794</v>
      </c>
      <c r="R235" s="223">
        <f>IFERROR(IF(Q235&gt;0,Q235-(TBIcalc!$H$9),""),"")</f>
        <v>1.6434</v>
      </c>
      <c r="S235" s="223">
        <f>IFERROR(INDEX('Ashed teabags wet'!$K$2:$K$2000,MATCH(L235,'Ashed teabags wet'!$A$2:$A$2000,0)),"")</f>
        <v>87.890437289764591</v>
      </c>
      <c r="T235" s="223">
        <f t="shared" si="17"/>
        <v>0.1990085535800088</v>
      </c>
      <c r="U235" s="224">
        <f>'WetLitterbags placem_collection'!E16</f>
        <v>42766</v>
      </c>
      <c r="V235" s="224">
        <f>IF('WetLitterbags placem_collection'!G16="","",'WetLitterbags placem_collection'!G16)</f>
        <v>42818</v>
      </c>
      <c r="W235" s="225">
        <f t="shared" si="15"/>
        <v>52</v>
      </c>
      <c r="X235" s="223">
        <f t="shared" si="18"/>
        <v>0.32780000000000009</v>
      </c>
      <c r="Y235" s="223">
        <f t="shared" si="19"/>
        <v>1.6634843853975019</v>
      </c>
      <c r="Z235">
        <f>IFERROR(INDEX([1]Rainfall_Wet!$O$2:$O$217,MATCH(C235, [1]Rainfall_Wet!$A$2:$A$217,0)),"")</f>
        <v>194.43839254400001</v>
      </c>
      <c r="AA235" s="226">
        <v>21.13063730679653</v>
      </c>
      <c r="AB235" s="226">
        <v>3.0912555579081076</v>
      </c>
      <c r="AC235" s="226">
        <v>75.778107135295357</v>
      </c>
      <c r="AD235" s="227" t="s">
        <v>2651</v>
      </c>
      <c r="AE235" s="226">
        <v>5.4613109906357797</v>
      </c>
      <c r="AF235">
        <f>IF('WetLitterbags placem_collection'!AB16="","",'WetLitterbags placem_collection'!AB16)</f>
        <v>28.4</v>
      </c>
      <c r="AG235">
        <f>IF('WetLitterbags placem_collection'!Z16="","",'WetLitterbags placem_collection'!Z16)</f>
        <v>42.4</v>
      </c>
      <c r="AH235" s="236" t="str">
        <f>IF('WetLitterbags placem_collection'!AA16="","",'WetLitterbags placem_collection'!AA16)</f>
        <v>M</v>
      </c>
      <c r="AI235">
        <f>IF('WetLitterbags placem_collection'!AC16="","",'WetLitterbags placem_collection'!AC16)</f>
        <v>0</v>
      </c>
      <c r="AJ235" s="233">
        <f>AVERAGE('WetLitterbags placem_collection'!S16,'WetLitterbags placem_collection'!U16)</f>
        <v>15.7</v>
      </c>
      <c r="AK235">
        <f>AVERAGE('WetLitterbags placem_collection'!R16,'WetLitterbags placem_collection'!T16)</f>
        <v>24.1</v>
      </c>
      <c r="AL235">
        <f>INDEX([2]Coordinates!$B$2:$B$197,MATCH(I235,[2]Coordinates!$J$2:$J$197,0))</f>
        <v>-3.397854986</v>
      </c>
      <c r="AM235">
        <f>INDEX([2]Coordinates!$C$2:$C$197,MATCH(I235,[2]Coordinates!$J$2:$J$197,0))</f>
        <v>34.836874010000002</v>
      </c>
      <c r="AN235" t="str">
        <f>IF(ISNUMBER(SEARCH("C", 'WetLitterbags placem_collection'!$W16)),"YES","NO")</f>
        <v>NO</v>
      </c>
      <c r="AO235" t="str">
        <f>IF(ISNUMBER(SEARCH("H", 'WetLitterbags placem_collection'!$W16)),"YES","NO")</f>
        <v>YES</v>
      </c>
      <c r="AP235" t="str">
        <f>IF(ISNUMBER(SEARCH("R", 'WetLitterbags placem_collection'!$W16)),"YES","NO")</f>
        <v>YES</v>
      </c>
    </row>
    <row r="236" spans="1:42" ht="15" customHeight="1">
      <c r="A236" t="s">
        <v>3248</v>
      </c>
      <c r="B236" s="248" t="s">
        <v>2454</v>
      </c>
      <c r="C236" s="253">
        <f>'Dry_Litterbag Placem_Collection'!A17</f>
        <v>15</v>
      </c>
      <c r="D236" s="253" t="str">
        <f>'Dry_Litterbag Placem_Collection'!B17</f>
        <v>Makao</v>
      </c>
      <c r="E236" s="253" t="s">
        <v>2643</v>
      </c>
      <c r="F236" s="253" t="s">
        <v>2644</v>
      </c>
      <c r="G236" s="253">
        <v>2</v>
      </c>
      <c r="H236" s="253" t="s">
        <v>3103</v>
      </c>
      <c r="I236" s="254" t="str">
        <f>'Dry_Litterbag Placem_Collection'!C17</f>
        <v>Dry_Ag2_T7</v>
      </c>
      <c r="J236" s="255" t="s">
        <v>2525</v>
      </c>
      <c r="K236" s="262" t="s">
        <v>298</v>
      </c>
      <c r="L236" s="221" t="str">
        <f>'WetLitterbags placem_collection'!M17</f>
        <v>R415</v>
      </c>
      <c r="M236" s="223">
        <f>IFERROR(INDEX('Green_rooibos initial weight'!$C$5:$C$2000,MATCH(L236, 'Green_rooibos initial weight'!$A$5:$A$2000,0)),"")</f>
        <v>2.2160000000000002</v>
      </c>
      <c r="N236" s="223">
        <f>IFERROR(M236-(TBIcalc!$H$9+TBIcalc!$H$10),"")</f>
        <v>1.9662000000000002</v>
      </c>
      <c r="O236" s="378">
        <f>AVERAGE(Ashed_controlls!$K$2:$K$11)</f>
        <v>5.5147656768714146</v>
      </c>
      <c r="P236" s="223">
        <f t="shared" si="16"/>
        <v>1.8577686772613544</v>
      </c>
      <c r="Q236" s="223">
        <f>IFERROR(INDEX('Both teabags AfterWet'!$C$3:$C$840,MATCH(L236,'Both teabags AfterWet'!$A$3:$A$840,0)),"")</f>
        <v>2.96</v>
      </c>
      <c r="R236" s="223">
        <f>IFERROR(IF(Q236&gt;0,Q236-(TBIcalc!$H$9),""),"")</f>
        <v>2.8094000000000001</v>
      </c>
      <c r="S236" s="223">
        <f>IFERROR(INDEX('Ashed teabags wet'!$K$2:$K$2000,MATCH(L236,'Ashed teabags wet'!$A$2:$A$2000,0)),"")</f>
        <v>78.641732283464947</v>
      </c>
      <c r="T236" s="223">
        <f t="shared" si="17"/>
        <v>0.60003917322833589</v>
      </c>
      <c r="U236" s="224">
        <f>'WetLitterbags placem_collection'!E17</f>
        <v>42766</v>
      </c>
      <c r="V236" s="224">
        <f>IF('WetLitterbags placem_collection'!G17="","",'WetLitterbags placem_collection'!G17)</f>
        <v>42818</v>
      </c>
      <c r="W236" s="225">
        <f t="shared" si="15"/>
        <v>52</v>
      </c>
      <c r="X236" s="223">
        <f t="shared" si="18"/>
        <v>-0.84319999999999995</v>
      </c>
      <c r="Y236" s="223">
        <f t="shared" si="19"/>
        <v>1.2577295040330185</v>
      </c>
      <c r="Z236">
        <f>IFERROR(INDEX([1]Rainfall_Wet!$O$2:$O$217,MATCH(C236, [1]Rainfall_Wet!$A$2:$A$217,0)),"")</f>
        <v>194.43839254400001</v>
      </c>
      <c r="AA236" s="226">
        <v>21.13063730679653</v>
      </c>
      <c r="AB236" s="226">
        <v>3.0912555579081076</v>
      </c>
      <c r="AC236" s="226">
        <v>75.778107135295357</v>
      </c>
      <c r="AD236" s="227" t="s">
        <v>2651</v>
      </c>
      <c r="AE236" s="226">
        <v>6.4613109906357797</v>
      </c>
      <c r="AF236">
        <f>IF('WetLitterbags placem_collection'!AB17="","",'WetLitterbags placem_collection'!AB17)</f>
        <v>15.8</v>
      </c>
      <c r="AG236">
        <f>IF('WetLitterbags placem_collection'!Z17="","",'WetLitterbags placem_collection'!Z17)</f>
        <v>30.4</v>
      </c>
      <c r="AH236" s="236" t="str">
        <f>IF('WetLitterbags placem_collection'!AA17="","",'WetLitterbags placem_collection'!AA17)</f>
        <v>M</v>
      </c>
      <c r="AI236">
        <f>IF('WetLitterbags placem_collection'!AC17="","",'WetLitterbags placem_collection'!AC17)</f>
        <v>0</v>
      </c>
      <c r="AJ236" s="233">
        <f>AVERAGE('WetLitterbags placem_collection'!S17,'WetLitterbags placem_collection'!U17)</f>
        <v>23.9</v>
      </c>
      <c r="AK236">
        <f>AVERAGE('WetLitterbags placem_collection'!R17,'WetLitterbags placem_collection'!T17)</f>
        <v>23.95</v>
      </c>
      <c r="AL236">
        <f>INDEX([2]Coordinates!$B$2:$B$197,MATCH(I236,[2]Coordinates!$J$2:$J$197,0))</f>
        <v>-3.3978060349999999</v>
      </c>
      <c r="AM236">
        <f>INDEX([2]Coordinates!$C$2:$C$197,MATCH(I236,[2]Coordinates!$J$2:$J$197,0))</f>
        <v>34.837023960000003</v>
      </c>
      <c r="AN236" t="str">
        <f>IF(ISNUMBER(SEARCH("C", 'WetLitterbags placem_collection'!$W17)),"YES","NO")</f>
        <v>YES</v>
      </c>
      <c r="AO236" t="str">
        <f>IF(ISNUMBER(SEARCH("H", 'WetLitterbags placem_collection'!$W17)),"YES","NO")</f>
        <v>YES</v>
      </c>
      <c r="AP236" t="str">
        <f>IF(ISNUMBER(SEARCH("R", 'WetLitterbags placem_collection'!$W17)),"YES","NO")</f>
        <v>YES</v>
      </c>
    </row>
    <row r="237" spans="1:42" ht="15" customHeight="1">
      <c r="A237" t="s">
        <v>3248</v>
      </c>
      <c r="B237" s="248" t="s">
        <v>2454</v>
      </c>
      <c r="C237" s="253">
        <f>'Dry_Litterbag Placem_Collection'!A18</f>
        <v>16</v>
      </c>
      <c r="D237" s="253" t="str">
        <f>'Dry_Litterbag Placem_Collection'!B18</f>
        <v>Makao</v>
      </c>
      <c r="E237" s="253" t="s">
        <v>2643</v>
      </c>
      <c r="F237" s="253" t="s">
        <v>2644</v>
      </c>
      <c r="G237" s="253">
        <v>2</v>
      </c>
      <c r="H237" s="253" t="s">
        <v>3103</v>
      </c>
      <c r="I237" s="254" t="str">
        <f>'Dry_Litterbag Placem_Collection'!C18</f>
        <v>Dry_Ag2_T8</v>
      </c>
      <c r="J237" s="255" t="s">
        <v>2525</v>
      </c>
      <c r="K237" s="262" t="s">
        <v>298</v>
      </c>
      <c r="L237" s="221" t="str">
        <f>'WetLitterbags placem_collection'!M18</f>
        <v>R519</v>
      </c>
      <c r="M237" s="223">
        <f>IFERROR(INDEX('Green_rooibos initial weight'!$C$5:$C$2000,MATCH(L237, 'Green_rooibos initial weight'!$A$5:$A$2000,0)),"")</f>
        <v>2.21</v>
      </c>
      <c r="N237" s="223">
        <f>IFERROR(M237-(TBIcalc!$H$9+TBIcalc!$H$10),"")</f>
        <v>1.9601999999999999</v>
      </c>
      <c r="O237" s="378">
        <f>AVERAGE(Ashed_controlls!$K$2:$K$11)</f>
        <v>5.5147656768714146</v>
      </c>
      <c r="P237" s="223">
        <f t="shared" si="16"/>
        <v>1.8520995632019666</v>
      </c>
      <c r="Q237" s="223">
        <f>IFERROR(INDEX('Both teabags AfterWet'!$C$3:$C$840,MATCH(L237,'Both teabags AfterWet'!$A$3:$A$840,0)),"")</f>
        <v>1.4281999999999999</v>
      </c>
      <c r="R237" s="223">
        <f>IFERROR(IF(Q237&gt;0,Q237-(TBIcalc!$H$9),""),"")</f>
        <v>1.2775999999999998</v>
      </c>
      <c r="S237" s="223">
        <f>IFERROR(INDEX('Ashed teabags wet'!$K$2:$K$2000,MATCH(L237,'Ashed teabags wet'!$A$2:$A$2000,0)),"")</f>
        <v>5.8709364386224854</v>
      </c>
      <c r="T237" s="223">
        <f t="shared" si="17"/>
        <v>1.2025929160601589</v>
      </c>
      <c r="U237" s="224">
        <f>'WetLitterbags placem_collection'!E18</f>
        <v>42766</v>
      </c>
      <c r="V237" s="224">
        <f>IF('WetLitterbags placem_collection'!G18="","",'WetLitterbags placem_collection'!G18)</f>
        <v>42818</v>
      </c>
      <c r="W237" s="225">
        <f t="shared" si="15"/>
        <v>52</v>
      </c>
      <c r="X237" s="223">
        <f t="shared" si="18"/>
        <v>0.6826000000000001</v>
      </c>
      <c r="Y237" s="223">
        <f t="shared" si="19"/>
        <v>0.64950664714180761</v>
      </c>
      <c r="Z237">
        <f>IFERROR(INDEX([1]Rainfall_Wet!$O$2:$O$217,MATCH(C237, [1]Rainfall_Wet!$A$2:$A$217,0)),"")</f>
        <v>194.43839254400001</v>
      </c>
      <c r="AA237" s="226">
        <v>21.13063730679653</v>
      </c>
      <c r="AB237" s="226">
        <v>3.0912555579081076</v>
      </c>
      <c r="AC237" s="226">
        <v>75.778107135295357</v>
      </c>
      <c r="AD237" s="227" t="s">
        <v>2651</v>
      </c>
      <c r="AE237" s="226">
        <v>7.4613109906357797</v>
      </c>
      <c r="AF237">
        <f>IF('WetLitterbags placem_collection'!AB18="","",'WetLitterbags placem_collection'!AB18)</f>
        <v>8</v>
      </c>
      <c r="AG237">
        <f>IF('WetLitterbags placem_collection'!Z18="","",'WetLitterbags placem_collection'!Z18)</f>
        <v>12.4</v>
      </c>
      <c r="AH237" s="236" t="str">
        <f>IF('WetLitterbags placem_collection'!AA18="","",'WetLitterbags placem_collection'!AA18)</f>
        <v>M</v>
      </c>
      <c r="AI237">
        <f>IF('WetLitterbags placem_collection'!AC18="","",'WetLitterbags placem_collection'!AC18)</f>
        <v>0</v>
      </c>
      <c r="AJ237" s="233">
        <f>AVERAGE('WetLitterbags placem_collection'!S18,'WetLitterbags placem_collection'!U18)</f>
        <v>17.5</v>
      </c>
      <c r="AK237">
        <f>AVERAGE('WetLitterbags placem_collection'!R18,'WetLitterbags placem_collection'!T18)</f>
        <v>24.05</v>
      </c>
      <c r="AL237">
        <f>INDEX([2]Coordinates!$B$2:$B$197,MATCH(I237,[2]Coordinates!$J$2:$J$197,0))</f>
        <v>-3.3977669760000002</v>
      </c>
      <c r="AM237">
        <f>INDEX([2]Coordinates!$C$2:$C$197,MATCH(I237,[2]Coordinates!$J$2:$J$197,0))</f>
        <v>34.837181039999997</v>
      </c>
      <c r="AN237" t="str">
        <f>IF(ISNUMBER(SEARCH("C", 'WetLitterbags placem_collection'!$W18)),"YES","NO")</f>
        <v>NO</v>
      </c>
      <c r="AO237" t="str">
        <f>IF(ISNUMBER(SEARCH("H", 'WetLitterbags placem_collection'!$W18)),"YES","NO")</f>
        <v>YES</v>
      </c>
      <c r="AP237" t="str">
        <f>IF(ISNUMBER(SEARCH("R", 'WetLitterbags placem_collection'!$W18)),"YES","NO")</f>
        <v>YES</v>
      </c>
    </row>
    <row r="238" spans="1:42" ht="15" customHeight="1">
      <c r="A238" t="s">
        <v>3248</v>
      </c>
      <c r="B238" s="248" t="s">
        <v>2454</v>
      </c>
      <c r="C238" s="253">
        <f>'Dry_Litterbag Placem_Collection'!A19</f>
        <v>17</v>
      </c>
      <c r="D238" s="253" t="str">
        <f>'Dry_Litterbag Placem_Collection'!B19</f>
        <v>Makao</v>
      </c>
      <c r="E238" s="253" t="s">
        <v>2643</v>
      </c>
      <c r="F238" s="253" t="s">
        <v>2644</v>
      </c>
      <c r="G238" s="253">
        <v>3</v>
      </c>
      <c r="H238" s="253" t="s">
        <v>3104</v>
      </c>
      <c r="I238" s="254" t="str">
        <f>'Dry_Litterbag Placem_Collection'!C19</f>
        <v>Dry_Ag3_T1</v>
      </c>
      <c r="J238" s="255" t="s">
        <v>2525</v>
      </c>
      <c r="K238" s="262" t="s">
        <v>298</v>
      </c>
      <c r="L238" s="221" t="str">
        <f>'WetLitterbags placem_collection'!M19</f>
        <v>R542</v>
      </c>
      <c r="M238" s="223">
        <f>IFERROR(INDEX('Green_rooibos initial weight'!$C$5:$C$2000,MATCH(L238, 'Green_rooibos initial weight'!$A$5:$A$2000,0)),"")</f>
        <v>2.2010000000000001</v>
      </c>
      <c r="N238" s="223">
        <f>IFERROR(M238-(TBIcalc!$H$9+TBIcalc!$H$10),"")</f>
        <v>1.9512</v>
      </c>
      <c r="O238" s="378">
        <f>AVERAGE(Ashed_controlls!$K$2:$K$11)</f>
        <v>5.5147656768714146</v>
      </c>
      <c r="P238" s="223">
        <f t="shared" si="16"/>
        <v>1.843595892112885</v>
      </c>
      <c r="Q238" s="223">
        <f>IFERROR(INDEX('Both teabags AfterWet'!$C$3:$C$840,MATCH(L238,'Both teabags AfterWet'!$A$3:$A$840,0)),"")</f>
        <v>1.6227</v>
      </c>
      <c r="R238" s="223">
        <f>IFERROR(IF(Q238&gt;0,Q238-(TBIcalc!$H$9),""),"")</f>
        <v>1.4721</v>
      </c>
      <c r="S238" s="223">
        <f>IFERROR(INDEX('Ashed teabags wet'!$K$2:$K$2000,MATCH(L238,'Ashed teabags wet'!$A$2:$A$2000,0)),"")</f>
        <v>7.361376673040378</v>
      </c>
      <c r="T238" s="223">
        <f t="shared" si="17"/>
        <v>1.3637331739961727</v>
      </c>
      <c r="U238" s="224">
        <f>'WetLitterbags placem_collection'!E19</f>
        <v>42767</v>
      </c>
      <c r="V238" s="224">
        <f>IF('WetLitterbags placem_collection'!G19="","",'WetLitterbags placem_collection'!G19)</f>
        <v>42818</v>
      </c>
      <c r="W238" s="225">
        <f t="shared" si="15"/>
        <v>51</v>
      </c>
      <c r="X238" s="223">
        <f t="shared" si="18"/>
        <v>0.47910000000000008</v>
      </c>
      <c r="Y238" s="223">
        <f t="shared" si="19"/>
        <v>0.47986271811671233</v>
      </c>
      <c r="Z238">
        <f>IFERROR(INDEX([1]Rainfall_Wet!$O$2:$O$217,MATCH(C238, [1]Rainfall_Wet!$A$2:$A$217,0)),"")</f>
        <v>185.630065823</v>
      </c>
      <c r="AA238" s="226">
        <v>54.080969906906262</v>
      </c>
      <c r="AB238" s="226">
        <v>21.264484651351896</v>
      </c>
      <c r="AC238" s="226">
        <v>24.654545441741845</v>
      </c>
      <c r="AD238" s="227" t="s">
        <v>2654</v>
      </c>
      <c r="AE238" s="226">
        <v>1.8433218334154755</v>
      </c>
      <c r="AF238" t="str">
        <f>IF('WetLitterbags placem_collection'!AB19="","",'WetLitterbags placem_collection'!AB19)</f>
        <v/>
      </c>
      <c r="AG238" t="str">
        <f>IF('WetLitterbags placem_collection'!Z19="","",'WetLitterbags placem_collection'!Z19)</f>
        <v/>
      </c>
      <c r="AH238" s="236" t="str">
        <f>IF('WetLitterbags placem_collection'!AA19="","",'WetLitterbags placem_collection'!AA19)</f>
        <v/>
      </c>
      <c r="AI238" t="str">
        <f>IF('WetLitterbags placem_collection'!AC19="","",'WetLitterbags placem_collection'!AC19)</f>
        <v/>
      </c>
      <c r="AJ238" s="233">
        <f>AVERAGE('WetLitterbags placem_collection'!S19,'WetLitterbags placem_collection'!U19)</f>
        <v>35.9</v>
      </c>
      <c r="AK238">
        <f>AVERAGE('WetLitterbags placem_collection'!R19,'WetLitterbags placem_collection'!T19)</f>
        <v>21.35</v>
      </c>
      <c r="AL238">
        <f>INDEX([2]Coordinates!$B$2:$B$197,MATCH(I238,[2]Coordinates!$J$2:$J$197,0))</f>
        <v>-3.3854090330000002</v>
      </c>
      <c r="AM238">
        <f>INDEX([2]Coordinates!$C$2:$C$197,MATCH(I238,[2]Coordinates!$J$2:$J$197,0))</f>
        <v>34.818901029999999</v>
      </c>
      <c r="AN238" t="str">
        <f>IF(ISNUMBER(SEARCH("C", 'WetLitterbags placem_collection'!$W19)),"YES","NO")</f>
        <v>NO</v>
      </c>
      <c r="AO238" t="str">
        <f>IF(ISNUMBER(SEARCH("H", 'WetLitterbags placem_collection'!$W19)),"YES","NO")</f>
        <v>NO</v>
      </c>
      <c r="AP238" t="str">
        <f>IF(ISNUMBER(SEARCH("R", 'WetLitterbags placem_collection'!$W19)),"YES","NO")</f>
        <v>YES</v>
      </c>
    </row>
    <row r="239" spans="1:42" ht="15" customHeight="1">
      <c r="A239" t="s">
        <v>3248</v>
      </c>
      <c r="B239" s="248" t="s">
        <v>2454</v>
      </c>
      <c r="C239" s="253">
        <f>'Dry_Litterbag Placem_Collection'!A20</f>
        <v>18</v>
      </c>
      <c r="D239" s="253" t="str">
        <f>'Dry_Litterbag Placem_Collection'!B20</f>
        <v>Makao</v>
      </c>
      <c r="E239" s="253" t="s">
        <v>2643</v>
      </c>
      <c r="F239" s="253" t="s">
        <v>2644</v>
      </c>
      <c r="G239" s="253">
        <v>3</v>
      </c>
      <c r="H239" s="253" t="s">
        <v>3104</v>
      </c>
      <c r="I239" s="254" t="str">
        <f>'Dry_Litterbag Placem_Collection'!C20</f>
        <v>Dry_Ag3_T2</v>
      </c>
      <c r="J239" s="255" t="s">
        <v>2525</v>
      </c>
      <c r="K239" s="262" t="s">
        <v>298</v>
      </c>
      <c r="L239" s="221" t="str">
        <f>'WetLitterbags placem_collection'!M20</f>
        <v>R128</v>
      </c>
      <c r="M239" s="223">
        <f>IFERROR(INDEX('Green_rooibos initial weight'!$C$5:$C$2000,MATCH(L239, 'Green_rooibos initial weight'!$A$5:$A$2000,0)),"")</f>
        <v>2.2370000000000001</v>
      </c>
      <c r="N239" s="223">
        <f>IFERROR(M239-(TBIcalc!$H$9+TBIcalc!$H$10),"")</f>
        <v>1.9872000000000001</v>
      </c>
      <c r="O239" s="378">
        <f>AVERAGE(Ashed_controlls!$K$2:$K$11)</f>
        <v>5.5147656768714146</v>
      </c>
      <c r="P239" s="223">
        <f t="shared" si="16"/>
        <v>1.8776105764692113</v>
      </c>
      <c r="Q239" s="223">
        <f>IFERROR(INDEX('Both teabags AfterWet'!$C$3:$C$840,MATCH(L239,'Both teabags AfterWet'!$A$3:$A$840,0)),"")</f>
        <v>1.79</v>
      </c>
      <c r="R239" s="223">
        <f>IFERROR(IF(Q239&gt;0,Q239-(TBIcalc!$H$9),""),"")</f>
        <v>1.6394</v>
      </c>
      <c r="S239" s="223">
        <f>IFERROR(INDEX('Ashed teabags wet'!$K$2:$K$2000,MATCH(L239,'Ashed teabags wet'!$A$2:$A$2000,0)),"")</f>
        <v>6.4723320158097151</v>
      </c>
      <c r="T239" s="223">
        <f t="shared" si="17"/>
        <v>1.5332925889328155</v>
      </c>
      <c r="U239" s="224">
        <f>'WetLitterbags placem_collection'!E20</f>
        <v>42767</v>
      </c>
      <c r="V239" s="224">
        <f>IF('WetLitterbags placem_collection'!G20="","",'WetLitterbags placem_collection'!G20)</f>
        <v>42818</v>
      </c>
      <c r="W239" s="225">
        <f t="shared" si="15"/>
        <v>51</v>
      </c>
      <c r="X239" s="223">
        <f t="shared" si="18"/>
        <v>0.34780000000000011</v>
      </c>
      <c r="Y239" s="223">
        <f t="shared" si="19"/>
        <v>0.34431798753639575</v>
      </c>
      <c r="Z239">
        <f>IFERROR(INDEX([1]Rainfall_Wet!$O$2:$O$217,MATCH(C239, [1]Rainfall_Wet!$A$2:$A$217,0)),"")</f>
        <v>185.630065823</v>
      </c>
      <c r="AA239" s="226">
        <v>54.080969906906262</v>
      </c>
      <c r="AB239" s="226">
        <v>21.264484651351896</v>
      </c>
      <c r="AC239" s="226">
        <v>24.654545441741845</v>
      </c>
      <c r="AD239" s="227" t="s">
        <v>2654</v>
      </c>
      <c r="AE239" s="226">
        <v>2.8433218334154802</v>
      </c>
      <c r="AF239" t="str">
        <f>IF('WetLitterbags placem_collection'!AB20="","",'WetLitterbags placem_collection'!AB20)</f>
        <v/>
      </c>
      <c r="AG239" t="str">
        <f>IF('WetLitterbags placem_collection'!Z20="","",'WetLitterbags placem_collection'!Z20)</f>
        <v/>
      </c>
      <c r="AH239" s="236" t="str">
        <f>IF('WetLitterbags placem_collection'!AA20="","",'WetLitterbags placem_collection'!AA20)</f>
        <v/>
      </c>
      <c r="AI239" t="str">
        <f>IF('WetLitterbags placem_collection'!AC20="","",'WetLitterbags placem_collection'!AC20)</f>
        <v/>
      </c>
      <c r="AJ239" s="233">
        <f>AVERAGE('WetLitterbags placem_collection'!S20,'WetLitterbags placem_collection'!U20)</f>
        <v>36.950000000000003</v>
      </c>
      <c r="AK239">
        <f>AVERAGE('WetLitterbags placem_collection'!R20,'WetLitterbags placem_collection'!T20)</f>
        <v>21.35</v>
      </c>
      <c r="AL239">
        <f>INDEX([2]Coordinates!$B$2:$B$197,MATCH(I239,[2]Coordinates!$J$2:$J$197,0))</f>
        <v>-3.385375002</v>
      </c>
      <c r="AM239">
        <f>INDEX([2]Coordinates!$C$2:$C$197,MATCH(I239,[2]Coordinates!$J$2:$J$197,0))</f>
        <v>34.818939999999998</v>
      </c>
      <c r="AN239" t="str">
        <f>IF(ISNUMBER(SEARCH("C", 'WetLitterbags placem_collection'!$W20)),"YES","NO")</f>
        <v>NO</v>
      </c>
      <c r="AO239" t="str">
        <f>IF(ISNUMBER(SEARCH("H", 'WetLitterbags placem_collection'!$W20)),"YES","NO")</f>
        <v>NO</v>
      </c>
      <c r="AP239" t="str">
        <f>IF(ISNUMBER(SEARCH("R", 'WetLitterbags placem_collection'!$W20)),"YES","NO")</f>
        <v>NO</v>
      </c>
    </row>
    <row r="240" spans="1:42" ht="15" customHeight="1">
      <c r="A240" t="s">
        <v>3248</v>
      </c>
      <c r="B240" s="248" t="s">
        <v>2454</v>
      </c>
      <c r="C240" s="253">
        <f>'Dry_Litterbag Placem_Collection'!A21</f>
        <v>19</v>
      </c>
      <c r="D240" s="253" t="str">
        <f>'Dry_Litterbag Placem_Collection'!B21</f>
        <v>Makao</v>
      </c>
      <c r="E240" s="253" t="s">
        <v>2643</v>
      </c>
      <c r="F240" s="253" t="s">
        <v>2644</v>
      </c>
      <c r="G240" s="253">
        <v>3</v>
      </c>
      <c r="H240" s="253" t="s">
        <v>3104</v>
      </c>
      <c r="I240" s="254" t="str">
        <f>'Dry_Litterbag Placem_Collection'!C21</f>
        <v>Dry_Ag3_T3</v>
      </c>
      <c r="J240" s="255" t="s">
        <v>2525</v>
      </c>
      <c r="K240" s="262" t="s">
        <v>298</v>
      </c>
      <c r="L240" s="221" t="str">
        <f>'WetLitterbags placem_collection'!M21</f>
        <v>R82</v>
      </c>
      <c r="M240" s="223">
        <f>IFERROR(INDEX('Green_rooibos initial weight'!$C$5:$C$2000,MATCH(L240, 'Green_rooibos initial weight'!$A$5:$A$2000,0)),"")</f>
        <v>2.2490000000000001</v>
      </c>
      <c r="N240" s="223">
        <f>IFERROR(M240-(TBIcalc!$H$9+TBIcalc!$H$10),"")</f>
        <v>1.9992000000000001</v>
      </c>
      <c r="O240" s="378">
        <f>AVERAGE(Ashed_controlls!$K$2:$K$11)</f>
        <v>5.5147656768714146</v>
      </c>
      <c r="P240" s="223">
        <f t="shared" si="16"/>
        <v>1.8889488045879868</v>
      </c>
      <c r="Q240" s="223">
        <f>IFERROR(INDEX('Both teabags AfterWet'!$C$3:$C$840,MATCH(L240,'Both teabags AfterWet'!$A$3:$A$840,0)),"")</f>
        <v>1.514</v>
      </c>
      <c r="R240" s="223">
        <f>IFERROR(IF(Q240&gt;0,Q240-(TBIcalc!$H$9),""),"")</f>
        <v>1.3633999999999999</v>
      </c>
      <c r="S240" s="223">
        <f>IFERROR(INDEX('Ashed teabags wet'!$K$2:$K$2000,MATCH(L240,'Ashed teabags wet'!$A$2:$A$2000,0)),"")</f>
        <v>11.013215859030426</v>
      </c>
      <c r="T240" s="223">
        <f t="shared" si="17"/>
        <v>1.213245814977979</v>
      </c>
      <c r="U240" s="224">
        <f>'WetLitterbags placem_collection'!E21</f>
        <v>42767</v>
      </c>
      <c r="V240" s="224">
        <f>IF('WetLitterbags placem_collection'!G21="","",'WetLitterbags placem_collection'!G21)</f>
        <v>42818</v>
      </c>
      <c r="W240" s="225">
        <f t="shared" si="15"/>
        <v>51</v>
      </c>
      <c r="X240" s="223">
        <f t="shared" si="18"/>
        <v>0.63580000000000014</v>
      </c>
      <c r="Y240" s="223">
        <f t="shared" si="19"/>
        <v>0.67570298961000774</v>
      </c>
      <c r="Z240">
        <f>IFERROR(INDEX([1]Rainfall_Wet!$O$2:$O$217,MATCH(C240, [1]Rainfall_Wet!$A$2:$A$217,0)),"")</f>
        <v>185.630065823</v>
      </c>
      <c r="AA240" s="226">
        <v>54.080969906906262</v>
      </c>
      <c r="AB240" s="226">
        <v>21.264484651351896</v>
      </c>
      <c r="AC240" s="226">
        <v>24.654545441741845</v>
      </c>
      <c r="AD240" s="227" t="s">
        <v>2654</v>
      </c>
      <c r="AE240" s="226">
        <v>3.8433218334154802</v>
      </c>
      <c r="AF240" t="str">
        <f>IF('WetLitterbags placem_collection'!AB21="","",'WetLitterbags placem_collection'!AB21)</f>
        <v/>
      </c>
      <c r="AG240" t="str">
        <f>IF('WetLitterbags placem_collection'!Z21="","",'WetLitterbags placem_collection'!Z21)</f>
        <v/>
      </c>
      <c r="AH240" s="236" t="str">
        <f>IF('WetLitterbags placem_collection'!AA21="","",'WetLitterbags placem_collection'!AA21)</f>
        <v/>
      </c>
      <c r="AI240" t="str">
        <f>IF('WetLitterbags placem_collection'!AC21="","",'WetLitterbags placem_collection'!AC21)</f>
        <v/>
      </c>
      <c r="AJ240" s="233">
        <f>AVERAGE('WetLitterbags placem_collection'!S21,'WetLitterbags placem_collection'!U21)</f>
        <v>39.299999999999997</v>
      </c>
      <c r="AK240">
        <f>AVERAGE('WetLitterbags placem_collection'!R21,'WetLitterbags placem_collection'!T21)</f>
        <v>21.1</v>
      </c>
      <c r="AL240">
        <f>INDEX([2]Coordinates!$B$2:$B$197,MATCH(I240,[2]Coordinates!$J$2:$J$197,0))</f>
        <v>-3.3853589930000001</v>
      </c>
      <c r="AM240">
        <f>INDEX([2]Coordinates!$C$2:$C$197,MATCH(I240,[2]Coordinates!$J$2:$J$197,0))</f>
        <v>34.818991969999999</v>
      </c>
      <c r="AN240" t="str">
        <f>IF(ISNUMBER(SEARCH("C", 'WetLitterbags placem_collection'!$W21)),"YES","NO")</f>
        <v>NO</v>
      </c>
      <c r="AO240" t="str">
        <f>IF(ISNUMBER(SEARCH("H", 'WetLitterbags placem_collection'!$W21)),"YES","NO")</f>
        <v>NO</v>
      </c>
      <c r="AP240" t="str">
        <f>IF(ISNUMBER(SEARCH("R", 'WetLitterbags placem_collection'!$W21)),"YES","NO")</f>
        <v>NO</v>
      </c>
    </row>
    <row r="241" spans="1:42" ht="15" customHeight="1">
      <c r="A241" t="s">
        <v>3248</v>
      </c>
      <c r="B241" s="248" t="s">
        <v>2454</v>
      </c>
      <c r="C241" s="253">
        <f>'Dry_Litterbag Placem_Collection'!A22</f>
        <v>20</v>
      </c>
      <c r="D241" s="253" t="str">
        <f>'Dry_Litterbag Placem_Collection'!B22</f>
        <v>Makao</v>
      </c>
      <c r="E241" s="253" t="s">
        <v>2643</v>
      </c>
      <c r="F241" s="253" t="s">
        <v>2644</v>
      </c>
      <c r="G241" s="253">
        <v>3</v>
      </c>
      <c r="H241" s="253" t="s">
        <v>3104</v>
      </c>
      <c r="I241" s="254" t="str">
        <f>'Dry_Litterbag Placem_Collection'!C22</f>
        <v>Dry_Ag3_T4</v>
      </c>
      <c r="J241" s="255" t="s">
        <v>2525</v>
      </c>
      <c r="K241" s="262" t="s">
        <v>298</v>
      </c>
      <c r="L241" s="221" t="str">
        <f>'WetLitterbags placem_collection'!M22</f>
        <v>R50</v>
      </c>
      <c r="M241" s="223">
        <f>IFERROR(INDEX('Green_rooibos initial weight'!$C$5:$C$2000,MATCH(L241, 'Green_rooibos initial weight'!$A$5:$A$2000,0)),"")</f>
        <v>2.2490000000000001</v>
      </c>
      <c r="N241" s="223">
        <f>IFERROR(M241-(TBIcalc!$H$9+TBIcalc!$H$10),"")</f>
        <v>1.9992000000000001</v>
      </c>
      <c r="O241" s="378">
        <f>AVERAGE(Ashed_controlls!$K$2:$K$11)</f>
        <v>5.5147656768714146</v>
      </c>
      <c r="P241" s="223">
        <f t="shared" si="16"/>
        <v>1.8889488045879868</v>
      </c>
      <c r="Q241" s="223">
        <f>IFERROR(INDEX('Both teabags AfterWet'!$C$3:$C$840,MATCH(L241,'Both teabags AfterWet'!$A$3:$A$840,0)),"")</f>
        <v>1.51</v>
      </c>
      <c r="R241" s="223">
        <f>IFERROR(IF(Q241&gt;0,Q241-(TBIcalc!$H$9),""),"")</f>
        <v>1.3593999999999999</v>
      </c>
      <c r="S241" s="223">
        <f>IFERROR(INDEX('Ashed teabags wet'!$K$2:$K$2000,MATCH(L241,'Ashed teabags wet'!$A$2:$A$2000,0)),"")</f>
        <v>8.4126189283921065</v>
      </c>
      <c r="T241" s="223">
        <f t="shared" si="17"/>
        <v>1.2450388582874377</v>
      </c>
      <c r="U241" s="224">
        <f>'WetLitterbags placem_collection'!E22</f>
        <v>42767</v>
      </c>
      <c r="V241" s="224">
        <f>IF('WetLitterbags placem_collection'!G22="","",'WetLitterbags placem_collection'!G22)</f>
        <v>42818</v>
      </c>
      <c r="W241" s="225">
        <f t="shared" si="15"/>
        <v>51</v>
      </c>
      <c r="X241" s="223">
        <f t="shared" si="18"/>
        <v>0.63980000000000015</v>
      </c>
      <c r="Y241" s="223">
        <f t="shared" si="19"/>
        <v>0.6439099463005491</v>
      </c>
      <c r="Z241">
        <f>IFERROR(INDEX([1]Rainfall_Wet!$O$2:$O$217,MATCH(C241, [1]Rainfall_Wet!$A$2:$A$217,0)),"")</f>
        <v>185.630065823</v>
      </c>
      <c r="AA241" s="226">
        <v>54.080969906906262</v>
      </c>
      <c r="AB241" s="226">
        <v>21.264484651351896</v>
      </c>
      <c r="AC241" s="226">
        <v>24.654545441741845</v>
      </c>
      <c r="AD241" s="227" t="s">
        <v>2654</v>
      </c>
      <c r="AE241" s="226">
        <v>4.8433218334154802</v>
      </c>
      <c r="AF241" t="str">
        <f>IF('WetLitterbags placem_collection'!AB22="","",'WetLitterbags placem_collection'!AB22)</f>
        <v/>
      </c>
      <c r="AG241" t="str">
        <f>IF('WetLitterbags placem_collection'!Z22="","",'WetLitterbags placem_collection'!Z22)</f>
        <v/>
      </c>
      <c r="AH241" s="236" t="str">
        <f>IF('WetLitterbags placem_collection'!AA22="","",'WetLitterbags placem_collection'!AA22)</f>
        <v/>
      </c>
      <c r="AI241" t="str">
        <f>IF('WetLitterbags placem_collection'!AC22="","",'WetLitterbags placem_collection'!AC22)</f>
        <v/>
      </c>
      <c r="AJ241" s="233">
        <f>AVERAGE('WetLitterbags placem_collection'!S22,'WetLitterbags placem_collection'!U22)</f>
        <v>40.049999999999997</v>
      </c>
      <c r="AK241">
        <f>AVERAGE('WetLitterbags placem_collection'!R22,'WetLitterbags placem_collection'!T22)</f>
        <v>21.35</v>
      </c>
      <c r="AL241">
        <f>INDEX([2]Coordinates!$B$2:$B$197,MATCH(I241,[2]Coordinates!$J$2:$J$197,0))</f>
        <v>-3.3853969629999998</v>
      </c>
      <c r="AM241">
        <f>INDEX([2]Coordinates!$C$2:$C$197,MATCH(I241,[2]Coordinates!$J$2:$J$197,0))</f>
        <v>34.818977969999999</v>
      </c>
      <c r="AN241" t="str">
        <f>IF(ISNUMBER(SEARCH("C", 'WetLitterbags placem_collection'!$W22)),"YES","NO")</f>
        <v>NO</v>
      </c>
      <c r="AO241" t="str">
        <f>IF(ISNUMBER(SEARCH("H", 'WetLitterbags placem_collection'!$W22)),"YES","NO")</f>
        <v>NO</v>
      </c>
      <c r="AP241" t="str">
        <f>IF(ISNUMBER(SEARCH("R", 'WetLitterbags placem_collection'!$W22)),"YES","NO")</f>
        <v>NO</v>
      </c>
    </row>
    <row r="242" spans="1:42" ht="15" customHeight="1">
      <c r="A242" t="s">
        <v>3248</v>
      </c>
      <c r="B242" s="248" t="s">
        <v>2454</v>
      </c>
      <c r="C242" s="253">
        <f>'Dry_Litterbag Placem_Collection'!A23</f>
        <v>21</v>
      </c>
      <c r="D242" s="253" t="str">
        <f>'Dry_Litterbag Placem_Collection'!B23</f>
        <v>Makao</v>
      </c>
      <c r="E242" s="253" t="s">
        <v>2643</v>
      </c>
      <c r="F242" s="253" t="s">
        <v>2644</v>
      </c>
      <c r="G242" s="253">
        <v>3</v>
      </c>
      <c r="H242" s="253" t="s">
        <v>3104</v>
      </c>
      <c r="I242" s="254" t="str">
        <f>'Dry_Litterbag Placem_Collection'!C23</f>
        <v>Dry_Ag3_T5</v>
      </c>
      <c r="J242" s="255" t="s">
        <v>2525</v>
      </c>
      <c r="K242" s="262" t="s">
        <v>298</v>
      </c>
      <c r="L242" s="221" t="str">
        <f>'WetLitterbags placem_collection'!M23</f>
        <v>R529</v>
      </c>
      <c r="M242" s="223">
        <f>IFERROR(INDEX('Green_rooibos initial weight'!$C$5:$C$2000,MATCH(L242, 'Green_rooibos initial weight'!$A$5:$A$2000,0)),"")</f>
        <v>2.157</v>
      </c>
      <c r="N242" s="223">
        <f>IFERROR(M242-(TBIcalc!$H$9+TBIcalc!$H$10),"")</f>
        <v>1.9072</v>
      </c>
      <c r="O242" s="378">
        <f>AVERAGE(Ashed_controlls!$K$2:$K$11)</f>
        <v>5.5147656768714146</v>
      </c>
      <c r="P242" s="223">
        <f t="shared" si="16"/>
        <v>1.8020223890107083</v>
      </c>
      <c r="Q242" s="223">
        <f>IFERROR(INDEX('Both teabags AfterWet'!$C$3:$C$840,MATCH(L242,'Both teabags AfterWet'!$A$3:$A$840,0)),"")</f>
        <v>1.4387000000000001</v>
      </c>
      <c r="R242" s="223">
        <f>IFERROR(IF(Q242&gt;0,Q242-(TBIcalc!$H$9),""),"")</f>
        <v>1.2881</v>
      </c>
      <c r="S242" s="223">
        <f>IFERROR(INDEX('Ashed teabags wet'!$K$2:$K$2000,MATCH(L242,'Ashed teabags wet'!$A$2:$A$2000,0)),"")</f>
        <v>6.9930069930072492</v>
      </c>
      <c r="T242" s="223">
        <f t="shared" si="17"/>
        <v>1.1980230769230737</v>
      </c>
      <c r="U242" s="224">
        <f>'WetLitterbags placem_collection'!E23</f>
        <v>42767</v>
      </c>
      <c r="V242" s="224">
        <f>IF('WetLitterbags placem_collection'!G23="","",'WetLitterbags placem_collection'!G23)</f>
        <v>42818</v>
      </c>
      <c r="W242" s="225">
        <f t="shared" si="15"/>
        <v>51</v>
      </c>
      <c r="X242" s="223">
        <f t="shared" si="18"/>
        <v>0.61909999999999998</v>
      </c>
      <c r="Y242" s="223">
        <f t="shared" si="19"/>
        <v>0.60399931208763458</v>
      </c>
      <c r="Z242">
        <f>IFERROR(INDEX([1]Rainfall_Wet!$O$2:$O$217,MATCH(C242, [1]Rainfall_Wet!$A$2:$A$217,0)),"")</f>
        <v>185.630065823</v>
      </c>
      <c r="AA242" s="226">
        <v>54.080969906906262</v>
      </c>
      <c r="AB242" s="226">
        <v>21.264484651351896</v>
      </c>
      <c r="AC242" s="226">
        <v>24.654545441741845</v>
      </c>
      <c r="AD242" s="227" t="s">
        <v>2654</v>
      </c>
      <c r="AE242" s="226">
        <v>5.8433218334154802</v>
      </c>
      <c r="AF242" t="str">
        <f>IF('WetLitterbags placem_collection'!AB23="","",'WetLitterbags placem_collection'!AB23)</f>
        <v/>
      </c>
      <c r="AG242" t="str">
        <f>IF('WetLitterbags placem_collection'!Z23="","",'WetLitterbags placem_collection'!Z23)</f>
        <v/>
      </c>
      <c r="AH242" s="236" t="str">
        <f>IF('WetLitterbags placem_collection'!AA23="","",'WetLitterbags placem_collection'!AA23)</f>
        <v/>
      </c>
      <c r="AI242" t="str">
        <f>IF('WetLitterbags placem_collection'!AC23="","",'WetLitterbags placem_collection'!AC23)</f>
        <v/>
      </c>
      <c r="AJ242" s="233">
        <f>AVERAGE('WetLitterbags placem_collection'!S23,'WetLitterbags placem_collection'!U23)</f>
        <v>34.150000000000006</v>
      </c>
      <c r="AK242">
        <f>AVERAGE('WetLitterbags placem_collection'!R23,'WetLitterbags placem_collection'!T23)</f>
        <v>20.6</v>
      </c>
      <c r="AL242">
        <f>INDEX([2]Coordinates!$B$2:$B$197,MATCH(I242,[2]Coordinates!$J$2:$J$197,0))</f>
        <v>-3.3854019919999998</v>
      </c>
      <c r="AM242">
        <f>INDEX([2]Coordinates!$C$2:$C$197,MATCH(I242,[2]Coordinates!$J$2:$J$197,0))</f>
        <v>34.81894604</v>
      </c>
      <c r="AN242" t="str">
        <f>IF(ISNUMBER(SEARCH("C", 'WetLitterbags placem_collection'!$W23)),"YES","NO")</f>
        <v>NO</v>
      </c>
      <c r="AO242" t="str">
        <f>IF(ISNUMBER(SEARCH("H", 'WetLitterbags placem_collection'!$W23)),"YES","NO")</f>
        <v>NO</v>
      </c>
      <c r="AP242" t="str">
        <f>IF(ISNUMBER(SEARCH("R", 'WetLitterbags placem_collection'!$W23)),"YES","NO")</f>
        <v>YES</v>
      </c>
    </row>
    <row r="243" spans="1:42" ht="15" customHeight="1">
      <c r="A243" t="s">
        <v>3248</v>
      </c>
      <c r="B243" s="248" t="s">
        <v>2454</v>
      </c>
      <c r="C243" s="253">
        <f>'Dry_Litterbag Placem_Collection'!A24</f>
        <v>22</v>
      </c>
      <c r="D243" s="253" t="str">
        <f>'Dry_Litterbag Placem_Collection'!B24</f>
        <v>Makao</v>
      </c>
      <c r="E243" s="253" t="s">
        <v>2643</v>
      </c>
      <c r="F243" s="253" t="s">
        <v>2644</v>
      </c>
      <c r="G243" s="253">
        <v>3</v>
      </c>
      <c r="H243" s="253" t="s">
        <v>3104</v>
      </c>
      <c r="I243" s="254" t="str">
        <f>'Dry_Litterbag Placem_Collection'!C24</f>
        <v>Dry_Ag3_T6</v>
      </c>
      <c r="J243" s="255" t="s">
        <v>2525</v>
      </c>
      <c r="K243" s="262" t="s">
        <v>298</v>
      </c>
      <c r="L243" s="221" t="str">
        <f>'WetLitterbags placem_collection'!M24</f>
        <v>R363</v>
      </c>
      <c r="M243" s="223">
        <f>IFERROR(INDEX('Green_rooibos initial weight'!$C$5:$C$2000,MATCH(L243, 'Green_rooibos initial weight'!$A$5:$A$2000,0)),"")</f>
        <v>2.1659999999999999</v>
      </c>
      <c r="N243" s="223">
        <f>IFERROR(M243-(TBIcalc!$H$9+TBIcalc!$H$10),"")</f>
        <v>1.9161999999999999</v>
      </c>
      <c r="O243" s="378">
        <f>AVERAGE(Ashed_controlls!$K$2:$K$11)</f>
        <v>5.5147656768714146</v>
      </c>
      <c r="P243" s="223">
        <f t="shared" si="16"/>
        <v>1.8105260600997899</v>
      </c>
      <c r="Q243" s="223">
        <f>IFERROR(INDEX('Both teabags AfterWet'!$C$3:$C$840,MATCH(L243,'Both teabags AfterWet'!$A$3:$A$840,0)),"")</f>
        <v>1.5164</v>
      </c>
      <c r="R243" s="223">
        <f>IFERROR(IF(Q243&gt;0,Q243-(TBIcalc!$H$9),""),"")</f>
        <v>1.3657999999999999</v>
      </c>
      <c r="S243" s="223">
        <f>IFERROR(INDEX('Ashed teabags wet'!$K$2:$K$2000,MATCH(L243,'Ashed teabags wet'!$A$2:$A$2000,0)),"")</f>
        <v>3.5079051383401243</v>
      </c>
      <c r="T243" s="223">
        <f t="shared" si="17"/>
        <v>1.3178890316205505</v>
      </c>
      <c r="U243" s="224">
        <f>'WetLitterbags placem_collection'!E24</f>
        <v>42767</v>
      </c>
      <c r="V243" s="224">
        <f>IF('WetLitterbags placem_collection'!G24="","",'WetLitterbags placem_collection'!G24)</f>
        <v>42818</v>
      </c>
      <c r="W243" s="225">
        <f t="shared" si="15"/>
        <v>51</v>
      </c>
      <c r="X243" s="223">
        <f t="shared" si="18"/>
        <v>0.5504</v>
      </c>
      <c r="Y243" s="223">
        <f t="shared" si="19"/>
        <v>0.4926370284792394</v>
      </c>
      <c r="Z243">
        <f>IFERROR(INDEX([1]Rainfall_Wet!$O$2:$O$217,MATCH(C243, [1]Rainfall_Wet!$A$2:$A$217,0)),"")</f>
        <v>185.630065823</v>
      </c>
      <c r="AA243" s="226">
        <v>54.080969906906262</v>
      </c>
      <c r="AB243" s="226">
        <v>21.264484651351896</v>
      </c>
      <c r="AC243" s="226">
        <v>24.654545441741845</v>
      </c>
      <c r="AD243" s="227" t="s">
        <v>2654</v>
      </c>
      <c r="AE243" s="226">
        <v>6.8433218334154802</v>
      </c>
      <c r="AF243" t="str">
        <f>IF('WetLitterbags placem_collection'!AB24="","",'WetLitterbags placem_collection'!AB24)</f>
        <v/>
      </c>
      <c r="AG243" t="str">
        <f>IF('WetLitterbags placem_collection'!Z24="","",'WetLitterbags placem_collection'!Z24)</f>
        <v/>
      </c>
      <c r="AH243" s="236" t="str">
        <f>IF('WetLitterbags placem_collection'!AA24="","",'WetLitterbags placem_collection'!AA24)</f>
        <v/>
      </c>
      <c r="AI243" t="str">
        <f>IF('WetLitterbags placem_collection'!AC24="","",'WetLitterbags placem_collection'!AC24)</f>
        <v/>
      </c>
      <c r="AJ243" s="233">
        <f>AVERAGE('WetLitterbags placem_collection'!S24,'WetLitterbags placem_collection'!U24)</f>
        <v>34.549999999999997</v>
      </c>
      <c r="AK243">
        <f>AVERAGE('WetLitterbags placem_collection'!R24,'WetLitterbags placem_collection'!T24)</f>
        <v>21.5</v>
      </c>
      <c r="AL243">
        <f>INDEX([2]Coordinates!$B$2:$B$197,MATCH(I243,[2]Coordinates!$J$2:$J$197,0))</f>
        <v>-3.3854470029999999</v>
      </c>
      <c r="AM243">
        <f>INDEX([2]Coordinates!$C$2:$C$197,MATCH(I243,[2]Coordinates!$J$2:$J$197,0))</f>
        <v>34.818946959999998</v>
      </c>
      <c r="AN243" t="str">
        <f>IF(ISNUMBER(SEARCH("C", 'WetLitterbags placem_collection'!$W24)),"YES","NO")</f>
        <v>NO</v>
      </c>
      <c r="AO243" t="str">
        <f>IF(ISNUMBER(SEARCH("H", 'WetLitterbags placem_collection'!$W24)),"YES","NO")</f>
        <v>NO</v>
      </c>
      <c r="AP243" t="str">
        <f>IF(ISNUMBER(SEARCH("R", 'WetLitterbags placem_collection'!$W24)),"YES","NO")</f>
        <v>NO</v>
      </c>
    </row>
    <row r="244" spans="1:42" ht="15" customHeight="1">
      <c r="A244" t="s">
        <v>3248</v>
      </c>
      <c r="B244" s="248" t="s">
        <v>2454</v>
      </c>
      <c r="C244" s="253">
        <f>'Dry_Litterbag Placem_Collection'!A25</f>
        <v>23</v>
      </c>
      <c r="D244" s="253" t="str">
        <f>'Dry_Litterbag Placem_Collection'!B25</f>
        <v>Makao</v>
      </c>
      <c r="E244" s="253" t="s">
        <v>2643</v>
      </c>
      <c r="F244" s="253" t="s">
        <v>2644</v>
      </c>
      <c r="G244" s="253">
        <v>3</v>
      </c>
      <c r="H244" s="253" t="s">
        <v>3104</v>
      </c>
      <c r="I244" s="254" t="str">
        <f>'Dry_Litterbag Placem_Collection'!C25</f>
        <v>Dry_Ag3_T7</v>
      </c>
      <c r="J244" s="255" t="s">
        <v>2525</v>
      </c>
      <c r="K244" s="262" t="s">
        <v>298</v>
      </c>
      <c r="L244" s="221" t="str">
        <f>'WetLitterbags placem_collection'!M25</f>
        <v>R190</v>
      </c>
      <c r="M244" s="223">
        <f>IFERROR(INDEX('Green_rooibos initial weight'!$C$5:$C$2000,MATCH(L244, 'Green_rooibos initial weight'!$A$5:$A$2000,0)),"")</f>
        <v>2.2240000000000002</v>
      </c>
      <c r="N244" s="223">
        <f>IFERROR(M244-(TBIcalc!$H$9+TBIcalc!$H$10),"")</f>
        <v>1.9742000000000002</v>
      </c>
      <c r="O244" s="378">
        <f>AVERAGE(Ashed_controlls!$K$2:$K$11)</f>
        <v>5.5147656768714146</v>
      </c>
      <c r="P244" s="223">
        <f t="shared" si="16"/>
        <v>1.8653274960072048</v>
      </c>
      <c r="Q244" s="223">
        <f>IFERROR(INDEX('Both teabags AfterWet'!$C$3:$C$840,MATCH(L244,'Both teabags AfterWet'!$A$3:$A$840,0)),"")</f>
        <v>1.5019</v>
      </c>
      <c r="R244" s="223">
        <f>IFERROR(IF(Q244&gt;0,Q244-(TBIcalc!$H$9),""),"")</f>
        <v>1.3512999999999999</v>
      </c>
      <c r="S244" s="223">
        <f>IFERROR(INDEX('Ashed teabags wet'!$K$2:$K$2000,MATCH(L244,'Ashed teabags wet'!$A$2:$A$2000,0)),"")</f>
        <v>3.0390738060779063</v>
      </c>
      <c r="T244" s="223">
        <f t="shared" si="17"/>
        <v>1.3102329956584693</v>
      </c>
      <c r="U244" s="224">
        <f>'WetLitterbags placem_collection'!E25</f>
        <v>42767</v>
      </c>
      <c r="V244" s="224">
        <f>IF('WetLitterbags placem_collection'!G25="","",'WetLitterbags placem_collection'!G25)</f>
        <v>42818</v>
      </c>
      <c r="W244" s="225">
        <f t="shared" si="15"/>
        <v>51</v>
      </c>
      <c r="X244" s="223">
        <f t="shared" si="18"/>
        <v>0.62290000000000023</v>
      </c>
      <c r="Y244" s="223">
        <f t="shared" si="19"/>
        <v>0.55509450034873553</v>
      </c>
      <c r="Z244">
        <f>IFERROR(INDEX([1]Rainfall_Wet!$O$2:$O$217,MATCH(C244, [1]Rainfall_Wet!$A$2:$A$217,0)),"")</f>
        <v>185.630065823</v>
      </c>
      <c r="AA244" s="226">
        <v>54.080969906906262</v>
      </c>
      <c r="AB244" s="226">
        <v>21.264484651351896</v>
      </c>
      <c r="AC244" s="226">
        <v>24.654545441741845</v>
      </c>
      <c r="AD244" s="227" t="s">
        <v>2654</v>
      </c>
      <c r="AE244" s="226">
        <v>7.8433218334154802</v>
      </c>
      <c r="AF244" t="str">
        <f>IF('WetLitterbags placem_collection'!AB25="","",'WetLitterbags placem_collection'!AB25)</f>
        <v/>
      </c>
      <c r="AG244" t="str">
        <f>IF('WetLitterbags placem_collection'!Z25="","",'WetLitterbags placem_collection'!Z25)</f>
        <v/>
      </c>
      <c r="AH244" s="236" t="str">
        <f>IF('WetLitterbags placem_collection'!AA25="","",'WetLitterbags placem_collection'!AA25)</f>
        <v/>
      </c>
      <c r="AI244" t="str">
        <f>IF('WetLitterbags placem_collection'!AC25="","",'WetLitterbags placem_collection'!AC25)</f>
        <v/>
      </c>
      <c r="AJ244" s="233">
        <f>AVERAGE('WetLitterbags placem_collection'!S25,'WetLitterbags placem_collection'!U25)</f>
        <v>34.5</v>
      </c>
      <c r="AK244">
        <f>AVERAGE('WetLitterbags placem_collection'!R25,'WetLitterbags placem_collection'!T25)</f>
        <v>20.65</v>
      </c>
      <c r="AL244">
        <f>INDEX([2]Coordinates!$B$2:$B$197,MATCH(I244,[2]Coordinates!$J$2:$J$197,0))</f>
        <v>-3.3854200130000001</v>
      </c>
      <c r="AM244">
        <f>INDEX([2]Coordinates!$C$2:$C$197,MATCH(I244,[2]Coordinates!$J$2:$J$197,0))</f>
        <v>34.818856019999998</v>
      </c>
      <c r="AN244" t="str">
        <f>IF(ISNUMBER(SEARCH("C", 'WetLitterbags placem_collection'!$W25)),"YES","NO")</f>
        <v>NO</v>
      </c>
      <c r="AO244" t="str">
        <f>IF(ISNUMBER(SEARCH("H", 'WetLitterbags placem_collection'!$W25)),"YES","NO")</f>
        <v>NO</v>
      </c>
      <c r="AP244" t="str">
        <f>IF(ISNUMBER(SEARCH("R", 'WetLitterbags placem_collection'!$W25)),"YES","NO")</f>
        <v>NO</v>
      </c>
    </row>
    <row r="245" spans="1:42" ht="15" customHeight="1">
      <c r="A245" t="s">
        <v>3248</v>
      </c>
      <c r="B245" s="248" t="s">
        <v>2454</v>
      </c>
      <c r="C245" s="253">
        <f>'Dry_Litterbag Placem_Collection'!A26</f>
        <v>24</v>
      </c>
      <c r="D245" s="253" t="str">
        <f>'Dry_Litterbag Placem_Collection'!B26</f>
        <v>Makao</v>
      </c>
      <c r="E245" s="253" t="s">
        <v>2643</v>
      </c>
      <c r="F245" s="253" t="s">
        <v>2644</v>
      </c>
      <c r="G245" s="253">
        <v>3</v>
      </c>
      <c r="H245" s="253" t="s">
        <v>3104</v>
      </c>
      <c r="I245" s="254" t="str">
        <f>'Dry_Litterbag Placem_Collection'!C26</f>
        <v>Dry_Ag3_T8</v>
      </c>
      <c r="J245" s="255" t="s">
        <v>2525</v>
      </c>
      <c r="K245" s="262" t="s">
        <v>298</v>
      </c>
      <c r="L245" s="221" t="str">
        <f>'WetLitterbags placem_collection'!M26</f>
        <v>R144</v>
      </c>
      <c r="M245" s="223">
        <f>IFERROR(INDEX('Green_rooibos initial weight'!$C$5:$C$2000,MATCH(L245, 'Green_rooibos initial weight'!$A$5:$A$2000,0)),"")</f>
        <v>2.1429999999999998</v>
      </c>
      <c r="N245" s="223">
        <f>IFERROR(M245-(TBIcalc!$H$9+TBIcalc!$H$10),"")</f>
        <v>1.8931999999999998</v>
      </c>
      <c r="O245" s="378">
        <f>AVERAGE(Ashed_controlls!$K$2:$K$11)</f>
        <v>5.5147656768714146</v>
      </c>
      <c r="P245" s="223">
        <f t="shared" si="16"/>
        <v>1.7887944562054701</v>
      </c>
      <c r="Q245" s="223">
        <f>IFERROR(INDEX('Both teabags AfterWet'!$C$3:$C$840,MATCH(L245,'Both teabags AfterWet'!$A$3:$A$840,0)),"")</f>
        <v>1.6077999999999999</v>
      </c>
      <c r="R245" s="223">
        <f>IFERROR(IF(Q245&gt;0,Q245-(TBIcalc!$H$9),""),"")</f>
        <v>1.4571999999999998</v>
      </c>
      <c r="S245" s="223">
        <f>IFERROR(INDEX('Ashed teabags wet'!$K$2:$K$2000,MATCH(L245,'Ashed teabags wet'!$A$2:$A$2000,0)),"")</f>
        <v>4.9655850540802868</v>
      </c>
      <c r="T245" s="223">
        <f t="shared" si="17"/>
        <v>1.3848414945919418</v>
      </c>
      <c r="U245" s="224">
        <f>'WetLitterbags placem_collection'!E26</f>
        <v>42767</v>
      </c>
      <c r="V245" s="224">
        <f>IF('WetLitterbags placem_collection'!G26="","",'WetLitterbags placem_collection'!G26)</f>
        <v>42818</v>
      </c>
      <c r="W245" s="225">
        <f t="shared" si="15"/>
        <v>51</v>
      </c>
      <c r="X245" s="223">
        <f t="shared" si="18"/>
        <v>0.43599999999999994</v>
      </c>
      <c r="Y245" s="223">
        <f t="shared" si="19"/>
        <v>0.40395296161352823</v>
      </c>
      <c r="Z245">
        <f>IFERROR(INDEX([1]Rainfall_Wet!$O$2:$O$217,MATCH(C245, [1]Rainfall_Wet!$A$2:$A$217,0)),"")</f>
        <v>185.630065823</v>
      </c>
      <c r="AA245" s="226">
        <v>54.080969906906262</v>
      </c>
      <c r="AB245" s="226">
        <v>21.264484651351896</v>
      </c>
      <c r="AC245" s="226">
        <v>24.654545441741845</v>
      </c>
      <c r="AD245" s="227" t="s">
        <v>2654</v>
      </c>
      <c r="AE245" s="226">
        <v>8.8433218334154695</v>
      </c>
      <c r="AF245" t="str">
        <f>IF('WetLitterbags placem_collection'!AB26="","",'WetLitterbags placem_collection'!AB26)</f>
        <v/>
      </c>
      <c r="AG245" t="str">
        <f>IF('WetLitterbags placem_collection'!Z26="","",'WetLitterbags placem_collection'!Z26)</f>
        <v/>
      </c>
      <c r="AH245" s="236" t="str">
        <f>IF('WetLitterbags placem_collection'!AA26="","",'WetLitterbags placem_collection'!AA26)</f>
        <v/>
      </c>
      <c r="AI245" t="str">
        <f>IF('WetLitterbags placem_collection'!AC26="","",'WetLitterbags placem_collection'!AC26)</f>
        <v/>
      </c>
      <c r="AJ245" s="233">
        <f>AVERAGE('WetLitterbags placem_collection'!S26,'WetLitterbags placem_collection'!U26)</f>
        <v>36.950000000000003</v>
      </c>
      <c r="AK245">
        <f>AVERAGE('WetLitterbags placem_collection'!R26,'WetLitterbags placem_collection'!T26)</f>
        <v>21.1</v>
      </c>
      <c r="AL245">
        <f>INDEX([2]Coordinates!$B$2:$B$197,MATCH(I245,[2]Coordinates!$J$2:$J$197,0))</f>
        <v>-3.3853829649999998</v>
      </c>
      <c r="AM245">
        <f>INDEX([2]Coordinates!$C$2:$C$197,MATCH(I245,[2]Coordinates!$J$2:$J$197,0))</f>
        <v>34.818877980000003</v>
      </c>
      <c r="AN245" t="str">
        <f>IF(ISNUMBER(SEARCH("C", 'WetLitterbags placem_collection'!$W26)),"YES","NO")</f>
        <v>NO</v>
      </c>
      <c r="AO245" t="str">
        <f>IF(ISNUMBER(SEARCH("H", 'WetLitterbags placem_collection'!$W26)),"YES","NO")</f>
        <v>NO</v>
      </c>
      <c r="AP245" t="str">
        <f>IF(ISNUMBER(SEARCH("R", 'WetLitterbags placem_collection'!$W26)),"YES","NO")</f>
        <v>YES</v>
      </c>
    </row>
    <row r="246" spans="1:42" ht="15" customHeight="1">
      <c r="A246" t="s">
        <v>3248</v>
      </c>
      <c r="B246" s="248" t="s">
        <v>2454</v>
      </c>
      <c r="C246" s="253">
        <f>'Dry_Litterbag Placem_Collection'!A27</f>
        <v>25</v>
      </c>
      <c r="D246" s="253" t="str">
        <f>'Dry_Litterbag Placem_Collection'!B27</f>
        <v>Makao</v>
      </c>
      <c r="E246" s="253" t="s">
        <v>2643</v>
      </c>
      <c r="F246" s="253" t="s">
        <v>2644</v>
      </c>
      <c r="G246" s="253">
        <v>4</v>
      </c>
      <c r="H246" s="253" t="s">
        <v>3105</v>
      </c>
      <c r="I246" s="254" t="str">
        <f>'Dry_Litterbag Placem_Collection'!C27</f>
        <v>Dry_Ag4_T1</v>
      </c>
      <c r="J246" s="255" t="s">
        <v>2525</v>
      </c>
      <c r="K246" s="262" t="s">
        <v>298</v>
      </c>
      <c r="L246" s="221" t="str">
        <f>'WetLitterbags placem_collection'!M27</f>
        <v>R279</v>
      </c>
      <c r="M246" s="223">
        <f>IFERROR(INDEX('Green_rooibos initial weight'!$C$5:$C$2000,MATCH(L246, 'Green_rooibos initial weight'!$A$5:$A$2000,0)),"")</f>
        <v>2.161</v>
      </c>
      <c r="N246" s="223">
        <f>IFERROR(M246-(TBIcalc!$H$9+TBIcalc!$H$10),"")</f>
        <v>1.9112</v>
      </c>
      <c r="O246" s="378">
        <f>AVERAGE(Ashed_controlls!$K$2:$K$11)</f>
        <v>5.5147656768714146</v>
      </c>
      <c r="P246" s="223">
        <f t="shared" si="16"/>
        <v>1.8058017983836336</v>
      </c>
      <c r="Q246" s="223">
        <f>IFERROR(INDEX('Both teabags AfterWet'!$C$3:$C$840,MATCH(L246,'Both teabags AfterWet'!$A$3:$A$840,0)),"")</f>
        <v>1.6192</v>
      </c>
      <c r="R246" s="223">
        <f>IFERROR(IF(Q246&gt;0,Q246-(TBIcalc!$H$9),""),"")</f>
        <v>1.4685999999999999</v>
      </c>
      <c r="S246" s="223">
        <f>IFERROR(INDEX('Ashed teabags wet'!$K$2:$K$2000,MATCH(L246,'Ashed teabags wet'!$A$2:$A$2000,0)),"")</f>
        <v>2.7040077257358202</v>
      </c>
      <c r="T246" s="223">
        <f t="shared" si="17"/>
        <v>1.4288889425398437</v>
      </c>
      <c r="U246" s="224">
        <f>'WetLitterbags placem_collection'!E27</f>
        <v>42767</v>
      </c>
      <c r="V246" s="224">
        <f>IF('WetLitterbags placem_collection'!G27="","",'WetLitterbags placem_collection'!G27)</f>
        <v>42818</v>
      </c>
      <c r="W246" s="225">
        <f t="shared" si="15"/>
        <v>51</v>
      </c>
      <c r="X246" s="223">
        <f t="shared" si="18"/>
        <v>0.4426000000000001</v>
      </c>
      <c r="Y246" s="223">
        <f t="shared" si="19"/>
        <v>0.37691285584378997</v>
      </c>
      <c r="Z246">
        <f>IFERROR(INDEX([1]Rainfall_Wet!$O$2:$O$217,MATCH(C246, [1]Rainfall_Wet!$A$2:$A$217,0)),"")</f>
        <v>185.630065823</v>
      </c>
      <c r="AA246" s="226">
        <v>51.960000000000008</v>
      </c>
      <c r="AB246" s="226">
        <v>18.919999999999995</v>
      </c>
      <c r="AC246" s="226">
        <v>29.120000000000005</v>
      </c>
      <c r="AD246" s="227" t="s">
        <v>2654</v>
      </c>
      <c r="AE246" s="226">
        <v>1.85293247905372</v>
      </c>
      <c r="AF246" t="str">
        <f>IF('WetLitterbags placem_collection'!AB27="","",'WetLitterbags placem_collection'!AB27)</f>
        <v/>
      </c>
      <c r="AG246" t="str">
        <f>IF('WetLitterbags placem_collection'!Z27="","",'WetLitterbags placem_collection'!Z27)</f>
        <v/>
      </c>
      <c r="AH246" s="236" t="str">
        <f>IF('WetLitterbags placem_collection'!AA27="","",'WetLitterbags placem_collection'!AA27)</f>
        <v/>
      </c>
      <c r="AI246" t="str">
        <f>IF('WetLitterbags placem_collection'!AC27="","",'WetLitterbags placem_collection'!AC27)</f>
        <v/>
      </c>
      <c r="AJ246" s="233">
        <f>AVERAGE('WetLitterbags placem_collection'!S27,'WetLitterbags placem_collection'!U27)</f>
        <v>36.85</v>
      </c>
      <c r="AK246">
        <f>AVERAGE('WetLitterbags placem_collection'!R27,'WetLitterbags placem_collection'!T27)</f>
        <v>21.35</v>
      </c>
      <c r="AL246">
        <f>INDEX([2]Coordinates!$B$2:$B$197,MATCH(I246,[2]Coordinates!$J$2:$J$197,0))</f>
        <v>-3.3849129919999998</v>
      </c>
      <c r="AM246">
        <f>INDEX([2]Coordinates!$C$2:$C$197,MATCH(I246,[2]Coordinates!$J$2:$J$197,0))</f>
        <v>34.818899020000003</v>
      </c>
      <c r="AN246" t="str">
        <f>IF(ISNUMBER(SEARCH("C", 'WetLitterbags placem_collection'!$W27)),"YES","NO")</f>
        <v>NO</v>
      </c>
      <c r="AO246" t="str">
        <f>IF(ISNUMBER(SEARCH("H", 'WetLitterbags placem_collection'!$W27)),"YES","NO")</f>
        <v>NO</v>
      </c>
      <c r="AP246" t="str">
        <f>IF(ISNUMBER(SEARCH("R", 'WetLitterbags placem_collection'!$W27)),"YES","NO")</f>
        <v>NO</v>
      </c>
    </row>
    <row r="247" spans="1:42" ht="15" customHeight="1">
      <c r="A247" t="s">
        <v>3248</v>
      </c>
      <c r="B247" s="248" t="s">
        <v>2454</v>
      </c>
      <c r="C247" s="253">
        <f>'Dry_Litterbag Placem_Collection'!A28</f>
        <v>26</v>
      </c>
      <c r="D247" s="253" t="str">
        <f>'Dry_Litterbag Placem_Collection'!B28</f>
        <v>Makao</v>
      </c>
      <c r="E247" s="253" t="s">
        <v>2643</v>
      </c>
      <c r="F247" s="253" t="s">
        <v>2644</v>
      </c>
      <c r="G247" s="253">
        <v>4</v>
      </c>
      <c r="H247" s="253" t="s">
        <v>3105</v>
      </c>
      <c r="I247" s="254" t="str">
        <f>'Dry_Litterbag Placem_Collection'!C28</f>
        <v>Dry_Ag4_T2</v>
      </c>
      <c r="J247" s="255" t="s">
        <v>2525</v>
      </c>
      <c r="K247" s="262" t="s">
        <v>298</v>
      </c>
      <c r="L247" s="221" t="str">
        <f>'WetLitterbags placem_collection'!M28</f>
        <v>R148</v>
      </c>
      <c r="M247" s="223">
        <f>IFERROR(INDEX('Green_rooibos initial weight'!$C$5:$C$2000,MATCH(L247, 'Green_rooibos initial weight'!$A$5:$A$2000,0)),"")</f>
        <v>2.149</v>
      </c>
      <c r="N247" s="223">
        <f>IFERROR(M247-(TBIcalc!$H$9+TBIcalc!$H$10),"")</f>
        <v>1.8992</v>
      </c>
      <c r="O247" s="378">
        <f>AVERAGE(Ashed_controlls!$K$2:$K$11)</f>
        <v>5.5147656768714146</v>
      </c>
      <c r="P247" s="223">
        <f t="shared" si="16"/>
        <v>1.7944635702648581</v>
      </c>
      <c r="Q247" s="223">
        <f>IFERROR(INDEX('Both teabags AfterWet'!$C$3:$C$840,MATCH(L247,'Both teabags AfterWet'!$A$3:$A$840,0)),"")</f>
        <v>1.5741000000000001</v>
      </c>
      <c r="R247" s="223">
        <f>IFERROR(IF(Q247&gt;0,Q247-(TBIcalc!$H$9),""),"")</f>
        <v>1.4235</v>
      </c>
      <c r="S247" s="223">
        <f>IFERROR(INDEX('Ashed teabags wet'!$K$2:$K$2000,MATCH(L247,'Ashed teabags wet'!$A$2:$A$2000,0)),"")</f>
        <v>3.3466533466532278</v>
      </c>
      <c r="T247" s="223">
        <f t="shared" si="17"/>
        <v>1.3758603896103914</v>
      </c>
      <c r="U247" s="224">
        <f>'WetLitterbags placem_collection'!E28</f>
        <v>42767</v>
      </c>
      <c r="V247" s="224">
        <f>IF('WetLitterbags placem_collection'!G28="","",'WetLitterbags placem_collection'!G28)</f>
        <v>42818</v>
      </c>
      <c r="W247" s="225">
        <f t="shared" si="15"/>
        <v>51</v>
      </c>
      <c r="X247" s="223">
        <f t="shared" si="18"/>
        <v>0.47570000000000001</v>
      </c>
      <c r="Y247" s="223">
        <f t="shared" si="19"/>
        <v>0.41860318065446678</v>
      </c>
      <c r="Z247">
        <f>IFERROR(INDEX([1]Rainfall_Wet!$O$2:$O$217,MATCH(C247, [1]Rainfall_Wet!$A$2:$A$217,0)),"")</f>
        <v>185.630065823</v>
      </c>
      <c r="AA247" s="226">
        <v>51.960000000000008</v>
      </c>
      <c r="AB247" s="226">
        <v>18.919999999999995</v>
      </c>
      <c r="AC247" s="226">
        <v>29.120000000000005</v>
      </c>
      <c r="AD247" s="227" t="s">
        <v>2654</v>
      </c>
      <c r="AE247" s="226">
        <v>2.8529324790537198</v>
      </c>
      <c r="AF247" t="str">
        <f>IF('WetLitterbags placem_collection'!AB28="","",'WetLitterbags placem_collection'!AB28)</f>
        <v/>
      </c>
      <c r="AG247" t="str">
        <f>IF('WetLitterbags placem_collection'!Z28="","",'WetLitterbags placem_collection'!Z28)</f>
        <v/>
      </c>
      <c r="AH247" s="236" t="str">
        <f>IF('WetLitterbags placem_collection'!AA28="","",'WetLitterbags placem_collection'!AA28)</f>
        <v/>
      </c>
      <c r="AI247" t="str">
        <f>IF('WetLitterbags placem_collection'!AC28="","",'WetLitterbags placem_collection'!AC28)</f>
        <v/>
      </c>
      <c r="AJ247" s="233">
        <f>AVERAGE('WetLitterbags placem_collection'!S28,'WetLitterbags placem_collection'!U28)</f>
        <v>31.3</v>
      </c>
      <c r="AK247">
        <f>AVERAGE('WetLitterbags placem_collection'!R28,'WetLitterbags placem_collection'!T28)</f>
        <v>20.7</v>
      </c>
      <c r="AL247">
        <f>INDEX([2]Coordinates!$B$2:$B$197,MATCH(I247,[2]Coordinates!$J$2:$J$197,0))</f>
        <v>-3.3849689999999999</v>
      </c>
      <c r="AM247">
        <f>INDEX([2]Coordinates!$C$2:$C$197,MATCH(I247,[2]Coordinates!$J$2:$J$197,0))</f>
        <v>34.818908</v>
      </c>
      <c r="AN247" t="str">
        <f>IF(ISNUMBER(SEARCH("C", 'WetLitterbags placem_collection'!$W28)),"YES","NO")</f>
        <v>NO</v>
      </c>
      <c r="AO247" t="str">
        <f>IF(ISNUMBER(SEARCH("H", 'WetLitterbags placem_collection'!$W28)),"YES","NO")</f>
        <v>NO</v>
      </c>
      <c r="AP247" t="str">
        <f>IF(ISNUMBER(SEARCH("R", 'WetLitterbags placem_collection'!$W28)),"YES","NO")</f>
        <v>NO</v>
      </c>
    </row>
    <row r="248" spans="1:42" ht="15" customHeight="1">
      <c r="A248" t="s">
        <v>3248</v>
      </c>
      <c r="B248" s="248" t="s">
        <v>2454</v>
      </c>
      <c r="C248" s="253">
        <f>'Dry_Litterbag Placem_Collection'!A29</f>
        <v>27</v>
      </c>
      <c r="D248" s="253" t="str">
        <f>'Dry_Litterbag Placem_Collection'!B29</f>
        <v>Makao</v>
      </c>
      <c r="E248" s="253" t="s">
        <v>2643</v>
      </c>
      <c r="F248" s="253" t="s">
        <v>2644</v>
      </c>
      <c r="G248" s="253">
        <v>4</v>
      </c>
      <c r="H248" s="253" t="s">
        <v>3105</v>
      </c>
      <c r="I248" s="254" t="str">
        <f>'Dry_Litterbag Placem_Collection'!C29</f>
        <v>Dry_Ag4_T3</v>
      </c>
      <c r="J248" s="255" t="s">
        <v>2525</v>
      </c>
      <c r="K248" s="262" t="s">
        <v>298</v>
      </c>
      <c r="L248" s="221" t="str">
        <f>'WetLitterbags placem_collection'!M29</f>
        <v>R112</v>
      </c>
      <c r="M248" s="223">
        <f>IFERROR(INDEX('Green_rooibos initial weight'!$C$5:$C$2000,MATCH(L248, 'Green_rooibos initial weight'!$A$5:$A$2000,0)),"")</f>
        <v>2.2610000000000001</v>
      </c>
      <c r="N248" s="223">
        <f>IFERROR(M248-(TBIcalc!$H$9+TBIcalc!$H$10),"")</f>
        <v>2.0112000000000001</v>
      </c>
      <c r="O248" s="378">
        <f>AVERAGE(Ashed_controlls!$K$2:$K$11)</f>
        <v>5.5147656768714146</v>
      </c>
      <c r="P248" s="223">
        <f t="shared" si="16"/>
        <v>1.9002870327067622</v>
      </c>
      <c r="Q248" s="223">
        <f>IFERROR(INDEX('Both teabags AfterWet'!$C$3:$C$840,MATCH(L248,'Both teabags AfterWet'!$A$3:$A$840,0)),"")</f>
        <v>1.3584000000000001</v>
      </c>
      <c r="R248" s="223">
        <f>IFERROR(IF(Q248&gt;0,Q248-(TBIcalc!$H$9),""),"")</f>
        <v>1.2078</v>
      </c>
      <c r="S248" s="223">
        <f>IFERROR(INDEX('Ashed teabags wet'!$K$2:$K$2000,MATCH(L248,'Ashed teabags wet'!$A$2:$A$2000,0)),"")</f>
        <v>6.1105722599418044</v>
      </c>
      <c r="T248" s="223">
        <f t="shared" si="17"/>
        <v>1.1339965082444228</v>
      </c>
      <c r="U248" s="224">
        <f>'WetLitterbags placem_collection'!E29</f>
        <v>42767</v>
      </c>
      <c r="V248" s="224">
        <f>IF('WetLitterbags placem_collection'!G29="","",'WetLitterbags placem_collection'!G29)</f>
        <v>42818</v>
      </c>
      <c r="W248" s="225">
        <f t="shared" si="15"/>
        <v>51</v>
      </c>
      <c r="X248" s="223">
        <f t="shared" si="18"/>
        <v>0.80340000000000011</v>
      </c>
      <c r="Y248" s="223">
        <f t="shared" si="19"/>
        <v>0.76629052446233947</v>
      </c>
      <c r="Z248">
        <f>IFERROR(INDEX([1]Rainfall_Wet!$O$2:$O$217,MATCH(C248, [1]Rainfall_Wet!$A$2:$A$217,0)),"")</f>
        <v>185.630065823</v>
      </c>
      <c r="AA248" s="226">
        <v>51.960000000000008</v>
      </c>
      <c r="AB248" s="226">
        <v>18.919999999999995</v>
      </c>
      <c r="AC248" s="226">
        <v>29.120000000000005</v>
      </c>
      <c r="AD248" s="227" t="s">
        <v>2654</v>
      </c>
      <c r="AE248" s="226">
        <v>3.8529324790537198</v>
      </c>
      <c r="AF248" t="str">
        <f>IF('WetLitterbags placem_collection'!AB29="","",'WetLitterbags placem_collection'!AB29)</f>
        <v/>
      </c>
      <c r="AG248" t="str">
        <f>IF('WetLitterbags placem_collection'!Z29="","",'WetLitterbags placem_collection'!Z29)</f>
        <v/>
      </c>
      <c r="AH248" s="236" t="str">
        <f>IF('WetLitterbags placem_collection'!AA29="","",'WetLitterbags placem_collection'!AA29)</f>
        <v/>
      </c>
      <c r="AI248" t="str">
        <f>IF('WetLitterbags placem_collection'!AC29="","",'WetLitterbags placem_collection'!AC29)</f>
        <v/>
      </c>
      <c r="AJ248" s="233">
        <f>AVERAGE('WetLitterbags placem_collection'!S29,'WetLitterbags placem_collection'!U29)</f>
        <v>28.900000000000002</v>
      </c>
      <c r="AK248">
        <f>AVERAGE('WetLitterbags placem_collection'!R29,'WetLitterbags placem_collection'!T29)</f>
        <v>21.4</v>
      </c>
      <c r="AL248">
        <f>INDEX([2]Coordinates!$B$2:$B$197,MATCH(I248,[2]Coordinates!$J$2:$J$197,0))</f>
        <v>-3.3849350359999999</v>
      </c>
      <c r="AM248">
        <f>INDEX([2]Coordinates!$C$2:$C$197,MATCH(I248,[2]Coordinates!$J$2:$J$197,0))</f>
        <v>34.818943019999999</v>
      </c>
      <c r="AN248" t="str">
        <f>IF(ISNUMBER(SEARCH("C", 'WetLitterbags placem_collection'!$W29)),"YES","NO")</f>
        <v>NO</v>
      </c>
      <c r="AO248" t="str">
        <f>IF(ISNUMBER(SEARCH("H", 'WetLitterbags placem_collection'!$W29)),"YES","NO")</f>
        <v>NO</v>
      </c>
      <c r="AP248" t="str">
        <f>IF(ISNUMBER(SEARCH("R", 'WetLitterbags placem_collection'!$W29)),"YES","NO")</f>
        <v>NO</v>
      </c>
    </row>
    <row r="249" spans="1:42" ht="15" customHeight="1">
      <c r="A249" t="s">
        <v>3248</v>
      </c>
      <c r="B249" s="248" t="s">
        <v>2454</v>
      </c>
      <c r="C249" s="253">
        <f>'Dry_Litterbag Placem_Collection'!A30</f>
        <v>28</v>
      </c>
      <c r="D249" s="253" t="str">
        <f>'Dry_Litterbag Placem_Collection'!B30</f>
        <v>Makao</v>
      </c>
      <c r="E249" s="253" t="s">
        <v>2643</v>
      </c>
      <c r="F249" s="253" t="s">
        <v>2644</v>
      </c>
      <c r="G249" s="253">
        <v>4</v>
      </c>
      <c r="H249" s="253" t="s">
        <v>3105</v>
      </c>
      <c r="I249" s="254" t="str">
        <f>'Dry_Litterbag Placem_Collection'!C30</f>
        <v>Dry_Ag4_T4</v>
      </c>
      <c r="J249" s="255" t="s">
        <v>2525</v>
      </c>
      <c r="K249" s="262" t="s">
        <v>298</v>
      </c>
      <c r="L249" s="221" t="str">
        <f>'WetLitterbags placem_collection'!M30</f>
        <v>R436</v>
      </c>
      <c r="M249" s="223">
        <f>IFERROR(INDEX('Green_rooibos initial weight'!$C$5:$C$2000,MATCH(L249, 'Green_rooibos initial weight'!$A$5:$A$2000,0)),"")</f>
        <v>2.2240000000000002</v>
      </c>
      <c r="N249" s="223">
        <f>IFERROR(M249-(TBIcalc!$H$9+TBIcalc!$H$10),"")</f>
        <v>1.9742000000000002</v>
      </c>
      <c r="O249" s="378">
        <f>AVERAGE(Ashed_controlls!$K$2:$K$11)</f>
        <v>5.5147656768714146</v>
      </c>
      <c r="P249" s="223">
        <f t="shared" si="16"/>
        <v>1.8653274960072048</v>
      </c>
      <c r="Q249" s="223">
        <f>IFERROR(INDEX('Both teabags AfterWet'!$C$3:$C$840,MATCH(L249,'Both teabags AfterWet'!$A$3:$A$840,0)),"")</f>
        <v>1.5295000000000001</v>
      </c>
      <c r="R249" s="223">
        <f>IFERROR(IF(Q249&gt;0,Q249-(TBIcalc!$H$9),""),"")</f>
        <v>1.3789</v>
      </c>
      <c r="S249" s="223">
        <f>IFERROR(INDEX('Ashed teabags wet'!$K$2:$K$2000,MATCH(L249,'Ashed teabags wet'!$A$2:$A$2000,0)),"")</f>
        <v>4.1749502982106899</v>
      </c>
      <c r="T249" s="223">
        <f t="shared" si="17"/>
        <v>1.3213316103379729</v>
      </c>
      <c r="U249" s="224">
        <f>'WetLitterbags placem_collection'!E30</f>
        <v>42767</v>
      </c>
      <c r="V249" s="224">
        <f>IF('WetLitterbags placem_collection'!G30="","",'WetLitterbags placem_collection'!G30)</f>
        <v>42818</v>
      </c>
      <c r="W249" s="225">
        <f t="shared" si="15"/>
        <v>51</v>
      </c>
      <c r="X249" s="223">
        <f t="shared" si="18"/>
        <v>0.59530000000000016</v>
      </c>
      <c r="Y249" s="223">
        <f t="shared" si="19"/>
        <v>0.54399588566923196</v>
      </c>
      <c r="Z249">
        <f>IFERROR(INDEX([1]Rainfall_Wet!$O$2:$O$217,MATCH(C249, [1]Rainfall_Wet!$A$2:$A$217,0)),"")</f>
        <v>185.630065823</v>
      </c>
      <c r="AA249" s="226">
        <v>51.960000000000008</v>
      </c>
      <c r="AB249" s="226">
        <v>18.919999999999995</v>
      </c>
      <c r="AC249" s="226">
        <v>29.120000000000005</v>
      </c>
      <c r="AD249" s="227" t="s">
        <v>2654</v>
      </c>
      <c r="AE249" s="226">
        <v>4.8529324790537203</v>
      </c>
      <c r="AF249" t="str">
        <f>IF('WetLitterbags placem_collection'!AB30="","",'WetLitterbags placem_collection'!AB30)</f>
        <v/>
      </c>
      <c r="AG249" t="str">
        <f>IF('WetLitterbags placem_collection'!Z30="","",'WetLitterbags placem_collection'!Z30)</f>
        <v/>
      </c>
      <c r="AH249" s="236" t="str">
        <f>IF('WetLitterbags placem_collection'!AA30="","",'WetLitterbags placem_collection'!AA30)</f>
        <v/>
      </c>
      <c r="AI249" t="str">
        <f>IF('WetLitterbags placem_collection'!AC30="","",'WetLitterbags placem_collection'!AC30)</f>
        <v/>
      </c>
      <c r="AJ249" s="233">
        <f>AVERAGE('WetLitterbags placem_collection'!S30,'WetLitterbags placem_collection'!U30)</f>
        <v>33.4</v>
      </c>
      <c r="AK249">
        <f>AVERAGE('WetLitterbags placem_collection'!R30,'WetLitterbags placem_collection'!T30)</f>
        <v>20.6</v>
      </c>
      <c r="AL249">
        <f>INDEX([2]Coordinates!$B$2:$B$197,MATCH(I249,[2]Coordinates!$J$2:$J$197,0))</f>
        <v>-3.3850070369999998</v>
      </c>
      <c r="AM249">
        <f>INDEX([2]Coordinates!$C$2:$C$197,MATCH(I249,[2]Coordinates!$J$2:$J$197,0))</f>
        <v>34.818888960000002</v>
      </c>
      <c r="AN249" t="str">
        <f>IF(ISNUMBER(SEARCH("C", 'WetLitterbags placem_collection'!$W30)),"YES","NO")</f>
        <v>NO</v>
      </c>
      <c r="AO249" t="str">
        <f>IF(ISNUMBER(SEARCH("H", 'WetLitterbags placem_collection'!$W30)),"YES","NO")</f>
        <v>NO</v>
      </c>
      <c r="AP249" t="str">
        <f>IF(ISNUMBER(SEARCH("R", 'WetLitterbags placem_collection'!$W30)),"YES","NO")</f>
        <v>NO</v>
      </c>
    </row>
    <row r="250" spans="1:42" ht="15" customHeight="1">
      <c r="A250" t="s">
        <v>3248</v>
      </c>
      <c r="B250" s="248" t="s">
        <v>2454</v>
      </c>
      <c r="C250" s="253">
        <f>'Dry_Litterbag Placem_Collection'!A31</f>
        <v>29</v>
      </c>
      <c r="D250" s="253" t="str">
        <f>'Dry_Litterbag Placem_Collection'!B31</f>
        <v>Makao</v>
      </c>
      <c r="E250" s="253" t="s">
        <v>2643</v>
      </c>
      <c r="F250" s="253" t="s">
        <v>2644</v>
      </c>
      <c r="G250" s="253">
        <v>4</v>
      </c>
      <c r="H250" s="253" t="s">
        <v>3105</v>
      </c>
      <c r="I250" s="254" t="str">
        <f>'Dry_Litterbag Placem_Collection'!C31</f>
        <v>Dry_Ag4_T5</v>
      </c>
      <c r="J250" s="255" t="s">
        <v>2525</v>
      </c>
      <c r="K250" s="262" t="s">
        <v>298</v>
      </c>
      <c r="L250" s="221" t="str">
        <f>'WetLitterbags placem_collection'!M31</f>
        <v>R386</v>
      </c>
      <c r="M250" s="223">
        <f>IFERROR(INDEX('Green_rooibos initial weight'!$C$5:$C$2000,MATCH(L250, 'Green_rooibos initial weight'!$A$5:$A$2000,0)),"")</f>
        <v>2.2309999999999999</v>
      </c>
      <c r="N250" s="223">
        <f>IFERROR(M250-(TBIcalc!$H$9+TBIcalc!$H$10),"")</f>
        <v>1.9811999999999999</v>
      </c>
      <c r="O250" s="378">
        <f>AVERAGE(Ashed_controlls!$K$2:$K$11)</f>
        <v>5.5147656768714146</v>
      </c>
      <c r="P250" s="223">
        <f t="shared" si="16"/>
        <v>1.8719414624098234</v>
      </c>
      <c r="Q250" s="223">
        <f>IFERROR(INDEX('Both teabags AfterWet'!$C$3:$C$840,MATCH(L250,'Both teabags AfterWet'!$A$3:$A$840,0)),"")</f>
        <v>1.5941000000000001</v>
      </c>
      <c r="R250" s="223">
        <f>IFERROR(IF(Q250&gt;0,Q250-(TBIcalc!$H$9),""),"")</f>
        <v>1.4435</v>
      </c>
      <c r="S250" s="223">
        <f>IFERROR(INDEX('Ashed teabags wet'!$K$2:$K$2000,MATCH(L250,'Ashed teabags wet'!$A$2:$A$2000,0)),"")</f>
        <v>10.99756690997477</v>
      </c>
      <c r="T250" s="223">
        <f t="shared" si="17"/>
        <v>1.2847501216545143</v>
      </c>
      <c r="U250" s="224">
        <f>'WetLitterbags placem_collection'!E31</f>
        <v>42767</v>
      </c>
      <c r="V250" s="224">
        <f>IF('WetLitterbags placem_collection'!G31="","",'WetLitterbags placem_collection'!G31)</f>
        <v>42818</v>
      </c>
      <c r="W250" s="225">
        <f t="shared" si="15"/>
        <v>51</v>
      </c>
      <c r="X250" s="223">
        <f t="shared" si="18"/>
        <v>0.53769999999999984</v>
      </c>
      <c r="Y250" s="223">
        <f t="shared" si="19"/>
        <v>0.5871913407553091</v>
      </c>
      <c r="Z250">
        <f>IFERROR(INDEX([1]Rainfall_Wet!$O$2:$O$217,MATCH(C250, [1]Rainfall_Wet!$A$2:$A$217,0)),"")</f>
        <v>185.630065823</v>
      </c>
      <c r="AA250" s="226">
        <v>51.960000000000008</v>
      </c>
      <c r="AB250" s="226">
        <v>18.919999999999995</v>
      </c>
      <c r="AC250" s="226">
        <v>29.120000000000005</v>
      </c>
      <c r="AD250" s="227" t="s">
        <v>2654</v>
      </c>
      <c r="AE250" s="226">
        <v>5.8529324790537203</v>
      </c>
      <c r="AF250" t="str">
        <f>IF('WetLitterbags placem_collection'!AB31="","",'WetLitterbags placem_collection'!AB31)</f>
        <v/>
      </c>
      <c r="AG250" t="str">
        <f>IF('WetLitterbags placem_collection'!Z31="","",'WetLitterbags placem_collection'!Z31)</f>
        <v/>
      </c>
      <c r="AH250" s="236" t="str">
        <f>IF('WetLitterbags placem_collection'!AA31="","",'WetLitterbags placem_collection'!AA31)</f>
        <v/>
      </c>
      <c r="AI250" t="str">
        <f>IF('WetLitterbags placem_collection'!AC31="","",'WetLitterbags placem_collection'!AC31)</f>
        <v/>
      </c>
      <c r="AJ250" s="233">
        <f>AVERAGE('WetLitterbags placem_collection'!S31,'WetLitterbags placem_collection'!U31)</f>
        <v>28.4</v>
      </c>
      <c r="AK250">
        <f>AVERAGE('WetLitterbags placem_collection'!R31,'WetLitterbags placem_collection'!T31)</f>
        <v>21.049999999999997</v>
      </c>
      <c r="AL250">
        <f>INDEX([2]Coordinates!$B$2:$B$197,MATCH(I250,[2]Coordinates!$J$2:$J$197,0))</f>
        <v>-3.3849480280000002</v>
      </c>
      <c r="AM250">
        <f>INDEX([2]Coordinates!$C$2:$C$197,MATCH(I250,[2]Coordinates!$J$2:$J$197,0))</f>
        <v>34.818854010000003</v>
      </c>
      <c r="AN250" t="str">
        <f>IF(ISNUMBER(SEARCH("C", 'WetLitterbags placem_collection'!$W31)),"YES","NO")</f>
        <v>NO</v>
      </c>
      <c r="AO250" t="str">
        <f>IF(ISNUMBER(SEARCH("H", 'WetLitterbags placem_collection'!$W31)),"YES","NO")</f>
        <v>YES</v>
      </c>
      <c r="AP250" t="str">
        <f>IF(ISNUMBER(SEARCH("R", 'WetLitterbags placem_collection'!$W31)),"YES","NO")</f>
        <v>YES</v>
      </c>
    </row>
    <row r="251" spans="1:42" ht="15" customHeight="1">
      <c r="A251" t="s">
        <v>3248</v>
      </c>
      <c r="B251" s="248" t="s">
        <v>2454</v>
      </c>
      <c r="C251" s="253">
        <f>'Dry_Litterbag Placem_Collection'!A32</f>
        <v>30</v>
      </c>
      <c r="D251" s="253" t="str">
        <f>'Dry_Litterbag Placem_Collection'!B32</f>
        <v>Makao</v>
      </c>
      <c r="E251" s="253" t="s">
        <v>2643</v>
      </c>
      <c r="F251" s="253" t="s">
        <v>2644</v>
      </c>
      <c r="G251" s="253">
        <v>4</v>
      </c>
      <c r="H251" s="253" t="s">
        <v>3105</v>
      </c>
      <c r="I251" s="254" t="str">
        <f>'Dry_Litterbag Placem_Collection'!C32</f>
        <v>Dry_Ag4_T6</v>
      </c>
      <c r="J251" s="255" t="s">
        <v>2525</v>
      </c>
      <c r="K251" s="262" t="s">
        <v>298</v>
      </c>
      <c r="L251" s="221" t="str">
        <f>'WetLitterbags placem_collection'!M32</f>
        <v>R507</v>
      </c>
      <c r="M251" s="223">
        <f>IFERROR(INDEX('Green_rooibos initial weight'!$C$5:$C$2000,MATCH(L251, 'Green_rooibos initial weight'!$A$5:$A$2000,0)),"")</f>
        <v>2.1920000000000002</v>
      </c>
      <c r="N251" s="223">
        <f>IFERROR(M251-(TBIcalc!$H$9+TBIcalc!$H$10),"")</f>
        <v>1.9422000000000001</v>
      </c>
      <c r="O251" s="378">
        <f>AVERAGE(Ashed_controlls!$K$2:$K$11)</f>
        <v>5.5147656768714146</v>
      </c>
      <c r="P251" s="223">
        <f t="shared" si="16"/>
        <v>1.8350922210238034</v>
      </c>
      <c r="Q251" s="223">
        <f>IFERROR(INDEX('Both teabags AfterWet'!$C$3:$C$840,MATCH(L251,'Both teabags AfterWet'!$A$3:$A$840,0)),"")</f>
        <v>1.3523000000000001</v>
      </c>
      <c r="R251" s="223">
        <f>IFERROR(IF(Q251&gt;0,Q251-(TBIcalc!$H$9),""),"")</f>
        <v>1.2017</v>
      </c>
      <c r="S251" s="223">
        <f>IFERROR(INDEX('Ashed teabags wet'!$K$2:$K$2000,MATCH(L251,'Ashed teabags wet'!$A$2:$A$2000,0)),"")</f>
        <v>4.821073558648326</v>
      </c>
      <c r="T251" s="223">
        <f t="shared" si="17"/>
        <v>1.143765159045723</v>
      </c>
      <c r="U251" s="224">
        <f>'WetLitterbags placem_collection'!E32</f>
        <v>42767</v>
      </c>
      <c r="V251" s="224">
        <f>IF('WetLitterbags placem_collection'!G32="","",'WetLitterbags placem_collection'!G32)</f>
        <v>42818</v>
      </c>
      <c r="W251" s="225">
        <f t="shared" si="15"/>
        <v>51</v>
      </c>
      <c r="X251" s="223">
        <f t="shared" si="18"/>
        <v>0.74050000000000016</v>
      </c>
      <c r="Y251" s="223">
        <f t="shared" si="19"/>
        <v>0.69132706197808047</v>
      </c>
      <c r="Z251">
        <f>IFERROR(INDEX([1]Rainfall_Wet!$O$2:$O$217,MATCH(C251, [1]Rainfall_Wet!$A$2:$A$217,0)),"")</f>
        <v>185.630065823</v>
      </c>
      <c r="AA251" s="226">
        <v>51.960000000000008</v>
      </c>
      <c r="AB251" s="226">
        <v>18.919999999999995</v>
      </c>
      <c r="AC251" s="226">
        <v>29.120000000000005</v>
      </c>
      <c r="AD251" s="227" t="s">
        <v>2654</v>
      </c>
      <c r="AE251" s="226">
        <v>6.8529324790537203</v>
      </c>
      <c r="AF251" t="str">
        <f>IF('WetLitterbags placem_collection'!AB32="","",'WetLitterbags placem_collection'!AB32)</f>
        <v/>
      </c>
      <c r="AG251" t="str">
        <f>IF('WetLitterbags placem_collection'!Z32="","",'WetLitterbags placem_collection'!Z32)</f>
        <v/>
      </c>
      <c r="AH251" s="236" t="str">
        <f>IF('WetLitterbags placem_collection'!AA32="","",'WetLitterbags placem_collection'!AA32)</f>
        <v/>
      </c>
      <c r="AI251" t="str">
        <f>IF('WetLitterbags placem_collection'!AC32="","",'WetLitterbags placem_collection'!AC32)</f>
        <v/>
      </c>
      <c r="AJ251" s="233">
        <f>AVERAGE('WetLitterbags placem_collection'!S32,'WetLitterbags placem_collection'!U32)</f>
        <v>26.9</v>
      </c>
      <c r="AK251">
        <f>AVERAGE('WetLitterbags placem_collection'!R32,'WetLitterbags placem_collection'!T32)</f>
        <v>20.7</v>
      </c>
      <c r="AL251">
        <f>INDEX([2]Coordinates!$B$2:$B$197,MATCH(I251,[2]Coordinates!$J$2:$J$197,0))</f>
        <v>-3.38496496</v>
      </c>
      <c r="AM251">
        <f>INDEX([2]Coordinates!$C$2:$C$197,MATCH(I251,[2]Coordinates!$J$2:$J$197,0))</f>
        <v>34.818790970000002</v>
      </c>
      <c r="AN251" t="str">
        <f>IF(ISNUMBER(SEARCH("C", 'WetLitterbags placem_collection'!$W32)),"YES","NO")</f>
        <v>NO</v>
      </c>
      <c r="AO251" t="str">
        <f>IF(ISNUMBER(SEARCH("H", 'WetLitterbags placem_collection'!$W32)),"YES","NO")</f>
        <v>NO</v>
      </c>
      <c r="AP251" t="str">
        <f>IF(ISNUMBER(SEARCH("R", 'WetLitterbags placem_collection'!$W32)),"YES","NO")</f>
        <v>YES</v>
      </c>
    </row>
    <row r="252" spans="1:42" ht="15" customHeight="1">
      <c r="A252" t="s">
        <v>3248</v>
      </c>
      <c r="B252" s="248" t="s">
        <v>2454</v>
      </c>
      <c r="C252" s="253">
        <f>'Dry_Litterbag Placem_Collection'!A33</f>
        <v>31</v>
      </c>
      <c r="D252" s="253" t="str">
        <f>'Dry_Litterbag Placem_Collection'!B33</f>
        <v>Makao</v>
      </c>
      <c r="E252" s="253" t="s">
        <v>2643</v>
      </c>
      <c r="F252" s="253" t="s">
        <v>2644</v>
      </c>
      <c r="G252" s="253">
        <v>4</v>
      </c>
      <c r="H252" s="253" t="s">
        <v>3105</v>
      </c>
      <c r="I252" s="254" t="str">
        <f>'Dry_Litterbag Placem_Collection'!C33</f>
        <v>Dry_Ag4_T7</v>
      </c>
      <c r="J252" s="255" t="s">
        <v>2525</v>
      </c>
      <c r="K252" s="262" t="s">
        <v>298</v>
      </c>
      <c r="L252" s="221" t="str">
        <f>'WetLitterbags placem_collection'!M33</f>
        <v>R141</v>
      </c>
      <c r="M252" s="223">
        <f>IFERROR(INDEX('Green_rooibos initial weight'!$C$5:$C$2000,MATCH(L252, 'Green_rooibos initial weight'!$A$5:$A$2000,0)),"")</f>
        <v>2.2029999999999998</v>
      </c>
      <c r="N252" s="223">
        <f>IFERROR(M252-(TBIcalc!$H$9+TBIcalc!$H$10),"")</f>
        <v>1.9531999999999998</v>
      </c>
      <c r="O252" s="378">
        <f>AVERAGE(Ashed_controlls!$K$2:$K$11)</f>
        <v>5.5147656768714146</v>
      </c>
      <c r="P252" s="223">
        <f t="shared" si="16"/>
        <v>1.8454855967993473</v>
      </c>
      <c r="Q252" s="223">
        <f>IFERROR(INDEX('Both teabags AfterWet'!$C$3:$C$840,MATCH(L252,'Both teabags AfterWet'!$A$3:$A$840,0)),"")</f>
        <v>1.3197000000000001</v>
      </c>
      <c r="R252" s="223">
        <f>IFERROR(IF(Q252&gt;0,Q252-(TBIcalc!$H$9),""),"")</f>
        <v>1.1691</v>
      </c>
      <c r="S252" s="223">
        <f>IFERROR(INDEX('Ashed teabags wet'!$K$2:$K$2000,MATCH(L252,'Ashed teabags wet'!$A$2:$A$2000,0)),"")</f>
        <v>5.5501460564756266</v>
      </c>
      <c r="T252" s="223">
        <f t="shared" si="17"/>
        <v>1.1042132424537434</v>
      </c>
      <c r="U252" s="224">
        <f>'WetLitterbags placem_collection'!E33</f>
        <v>42767</v>
      </c>
      <c r="V252" s="224">
        <f>IF('WetLitterbags placem_collection'!G33="","",'WetLitterbags placem_collection'!G33)</f>
        <v>42818</v>
      </c>
      <c r="W252" s="225">
        <f t="shared" si="15"/>
        <v>51</v>
      </c>
      <c r="X252" s="223">
        <f t="shared" si="18"/>
        <v>0.7840999999999998</v>
      </c>
      <c r="Y252" s="223">
        <f t="shared" si="19"/>
        <v>0.7412723543456039</v>
      </c>
      <c r="Z252">
        <f>IFERROR(INDEX([1]Rainfall_Wet!$O$2:$O$217,MATCH(C252, [1]Rainfall_Wet!$A$2:$A$217,0)),"")</f>
        <v>185.630065823</v>
      </c>
      <c r="AA252" s="226">
        <v>51.960000000000008</v>
      </c>
      <c r="AB252" s="226">
        <v>18.919999999999995</v>
      </c>
      <c r="AC252" s="226">
        <v>29.120000000000005</v>
      </c>
      <c r="AD252" s="227" t="s">
        <v>2654</v>
      </c>
      <c r="AE252" s="226">
        <v>7.8529324790537203</v>
      </c>
      <c r="AF252" t="str">
        <f>IF('WetLitterbags placem_collection'!AB33="","",'WetLitterbags placem_collection'!AB33)</f>
        <v/>
      </c>
      <c r="AG252" t="str">
        <f>IF('WetLitterbags placem_collection'!Z33="","",'WetLitterbags placem_collection'!Z33)</f>
        <v/>
      </c>
      <c r="AH252" s="236" t="str">
        <f>IF('WetLitterbags placem_collection'!AA33="","",'WetLitterbags placem_collection'!AA33)</f>
        <v/>
      </c>
      <c r="AI252" t="str">
        <f>IF('WetLitterbags placem_collection'!AC33="","",'WetLitterbags placem_collection'!AC33)</f>
        <v/>
      </c>
      <c r="AJ252" s="233">
        <f>AVERAGE('WetLitterbags placem_collection'!S33,'WetLitterbags placem_collection'!U33)</f>
        <v>33</v>
      </c>
      <c r="AK252">
        <f>AVERAGE('WetLitterbags placem_collection'!R33,'WetLitterbags placem_collection'!T33)</f>
        <v>20.950000000000003</v>
      </c>
      <c r="AL252">
        <f>INDEX([2]Coordinates!$B$2:$B$197,MATCH(I252,[2]Coordinates!$J$2:$J$197,0))</f>
        <v>-3.3848409909999999</v>
      </c>
      <c r="AM252">
        <f>INDEX([2]Coordinates!$C$2:$C$197,MATCH(I252,[2]Coordinates!$J$2:$J$197,0))</f>
        <v>34.818838999999997</v>
      </c>
      <c r="AN252" t="str">
        <f>IF(ISNUMBER(SEARCH("C", 'WetLitterbags placem_collection'!$W33)),"YES","NO")</f>
        <v>NO</v>
      </c>
      <c r="AO252" t="str">
        <f>IF(ISNUMBER(SEARCH("H", 'WetLitterbags placem_collection'!$W33)),"YES","NO")</f>
        <v>NO</v>
      </c>
      <c r="AP252" t="str">
        <f>IF(ISNUMBER(SEARCH("R", 'WetLitterbags placem_collection'!$W33)),"YES","NO")</f>
        <v>YES</v>
      </c>
    </row>
    <row r="253" spans="1:42" ht="15" customHeight="1">
      <c r="A253" t="s">
        <v>3248</v>
      </c>
      <c r="B253" s="248" t="s">
        <v>2454</v>
      </c>
      <c r="C253" s="253">
        <f>'Dry_Litterbag Placem_Collection'!A34</f>
        <v>32</v>
      </c>
      <c r="D253" s="253" t="str">
        <f>'Dry_Litterbag Placem_Collection'!B34</f>
        <v>Makao</v>
      </c>
      <c r="E253" s="253" t="s">
        <v>2643</v>
      </c>
      <c r="F253" s="253" t="s">
        <v>2644</v>
      </c>
      <c r="G253" s="253">
        <v>4</v>
      </c>
      <c r="H253" s="253" t="s">
        <v>3105</v>
      </c>
      <c r="I253" s="254" t="str">
        <f>'Dry_Litterbag Placem_Collection'!C34</f>
        <v>Dry_Ag4_T8</v>
      </c>
      <c r="J253" s="255" t="s">
        <v>2525</v>
      </c>
      <c r="K253" s="262" t="s">
        <v>298</v>
      </c>
      <c r="L253" s="221" t="str">
        <f>'WetLitterbags placem_collection'!M34</f>
        <v>R396</v>
      </c>
      <c r="M253" s="223">
        <f>IFERROR(INDEX('Green_rooibos initial weight'!$C$5:$C$2000,MATCH(L253, 'Green_rooibos initial weight'!$A$5:$A$2000,0)),"")</f>
        <v>2.14</v>
      </c>
      <c r="N253" s="223">
        <f>IFERROR(M253-(TBIcalc!$H$9+TBIcalc!$H$10),"")</f>
        <v>1.8902000000000001</v>
      </c>
      <c r="O253" s="378">
        <f>AVERAGE(Ashed_controlls!$K$2:$K$11)</f>
        <v>5.5147656768714146</v>
      </c>
      <c r="P253" s="223">
        <f t="shared" si="16"/>
        <v>1.7859598991757766</v>
      </c>
      <c r="Q253" s="223">
        <f>IFERROR(INDEX('Both teabags AfterWet'!$C$3:$C$840,MATCH(L253,'Both teabags AfterWet'!$A$3:$A$840,0)),"")</f>
        <v>1.3464</v>
      </c>
      <c r="R253" s="223">
        <f>IFERROR(IF(Q253&gt;0,Q253-(TBIcalc!$H$9),""),"")</f>
        <v>1.1958</v>
      </c>
      <c r="S253" s="223">
        <f>IFERROR(INDEX('Ashed teabags wet'!$K$2:$K$2000,MATCH(L253,'Ashed teabags wet'!$A$2:$A$2000,0)),"")</f>
        <v>7.5764934434188538</v>
      </c>
      <c r="T253" s="223">
        <f t="shared" si="17"/>
        <v>1.1052002914035972</v>
      </c>
      <c r="U253" s="224">
        <f>'WetLitterbags placem_collection'!E34</f>
        <v>42767</v>
      </c>
      <c r="V253" s="224">
        <f>IF('WetLitterbags placem_collection'!G34="","",'WetLitterbags placem_collection'!G34)</f>
        <v>42818</v>
      </c>
      <c r="W253" s="225">
        <f t="shared" si="15"/>
        <v>51</v>
      </c>
      <c r="X253" s="223">
        <f t="shared" si="18"/>
        <v>0.69440000000000013</v>
      </c>
      <c r="Y253" s="223">
        <f t="shared" si="19"/>
        <v>0.68075960777217936</v>
      </c>
      <c r="Z253">
        <f>IFERROR(INDEX([1]Rainfall_Wet!$O$2:$O$217,MATCH(C253, [1]Rainfall_Wet!$A$2:$A$217,0)),"")</f>
        <v>185.630065823</v>
      </c>
      <c r="AA253" s="226">
        <v>51.960000000000008</v>
      </c>
      <c r="AB253" s="226">
        <v>18.919999999999995</v>
      </c>
      <c r="AC253" s="226">
        <v>29.120000000000005</v>
      </c>
      <c r="AD253" s="227" t="s">
        <v>2654</v>
      </c>
      <c r="AE253" s="226">
        <v>8.8529324790537203</v>
      </c>
      <c r="AF253" t="str">
        <f>IF('WetLitterbags placem_collection'!AB34="","",'WetLitterbags placem_collection'!AB34)</f>
        <v/>
      </c>
      <c r="AG253" t="str">
        <f>IF('WetLitterbags placem_collection'!Z34="","",'WetLitterbags placem_collection'!Z34)</f>
        <v/>
      </c>
      <c r="AH253" s="236" t="str">
        <f>IF('WetLitterbags placem_collection'!AA34="","",'WetLitterbags placem_collection'!AA34)</f>
        <v/>
      </c>
      <c r="AI253" t="str">
        <f>IF('WetLitterbags placem_collection'!AC34="","",'WetLitterbags placem_collection'!AC34)</f>
        <v/>
      </c>
      <c r="AJ253" s="233">
        <f>AVERAGE('WetLitterbags placem_collection'!S34,'WetLitterbags placem_collection'!U34)</f>
        <v>32.849999999999994</v>
      </c>
      <c r="AK253">
        <f>AVERAGE('WetLitterbags placem_collection'!R34,'WetLitterbags placem_collection'!T34)</f>
        <v>20.9</v>
      </c>
      <c r="AL253">
        <f>INDEX([2]Coordinates!$B$2:$B$197,MATCH(I253,[2]Coordinates!$J$2:$J$197,0))</f>
        <v>-3.3849010060000002</v>
      </c>
      <c r="AM253">
        <f>INDEX([2]Coordinates!$C$2:$C$197,MATCH(I253,[2]Coordinates!$J$2:$J$197,0))</f>
        <v>34.818979990000003</v>
      </c>
      <c r="AN253" t="str">
        <f>IF(ISNUMBER(SEARCH("C", 'WetLitterbags placem_collection'!$W34)),"YES","NO")</f>
        <v>NO</v>
      </c>
      <c r="AO253" t="str">
        <f>IF(ISNUMBER(SEARCH("H", 'WetLitterbags placem_collection'!$W34)),"YES","NO")</f>
        <v>NO</v>
      </c>
      <c r="AP253" t="str">
        <f>IF(ISNUMBER(SEARCH("R", 'WetLitterbags placem_collection'!$W34)),"YES","NO")</f>
        <v>YES</v>
      </c>
    </row>
    <row r="254" spans="1:42" ht="15" customHeight="1">
      <c r="A254" t="s">
        <v>3248</v>
      </c>
      <c r="B254" s="248" t="s">
        <v>2454</v>
      </c>
      <c r="C254" s="253">
        <f>'Dry_Litterbag Placem_Collection'!A35</f>
        <v>33</v>
      </c>
      <c r="D254" s="253" t="str">
        <f>'Dry_Litterbag Placem_Collection'!B35</f>
        <v>Makao</v>
      </c>
      <c r="E254" s="253" t="s">
        <v>2643</v>
      </c>
      <c r="F254" s="253" t="s">
        <v>20</v>
      </c>
      <c r="G254" s="253">
        <v>1</v>
      </c>
      <c r="H254" s="253" t="s">
        <v>3106</v>
      </c>
      <c r="I254" s="254" t="str">
        <f>'Dry_Litterbag Placem_Collection'!C35</f>
        <v>Dry_P1_T1</v>
      </c>
      <c r="J254" s="255" t="s">
        <v>2525</v>
      </c>
      <c r="K254" s="262" t="s">
        <v>298</v>
      </c>
      <c r="L254" s="221" t="str">
        <f>'WetLitterbags placem_collection'!M35</f>
        <v>R109</v>
      </c>
      <c r="M254" s="223">
        <f>IFERROR(INDEX('Green_rooibos initial weight'!$C$5:$C$2000,MATCH(L254, 'Green_rooibos initial weight'!$A$5:$A$2000,0)),"")</f>
        <v>2.2090000000000001</v>
      </c>
      <c r="N254" s="223">
        <f>IFERROR(M254-(TBIcalc!$H$9+TBIcalc!$H$10),"")</f>
        <v>1.9592000000000001</v>
      </c>
      <c r="O254" s="378">
        <f>AVERAGE(Ashed_controlls!$K$2:$K$11)</f>
        <v>5.5147656768714146</v>
      </c>
      <c r="P254" s="223">
        <f t="shared" si="16"/>
        <v>1.8511547108587354</v>
      </c>
      <c r="Q254" s="223">
        <f>IFERROR(INDEX('Both teabags AfterWet'!$C$3:$C$840,MATCH(L254,'Both teabags AfterWet'!$A$3:$A$840,0)),"")</f>
        <v>0.41499999999999998</v>
      </c>
      <c r="R254" s="223">
        <f>IFERROR(IF(Q254&gt;0,Q254-(TBIcalc!$H$9),""),"")</f>
        <v>0.26439999999999997</v>
      </c>
      <c r="S254" s="223">
        <f>IFERROR(INDEX('Ashed teabags wet'!$K$2:$K$2000,MATCH(L254,'Ashed teabags wet'!$A$2:$A$2000,0)),"")</f>
        <v>0</v>
      </c>
      <c r="T254" s="223">
        <f t="shared" si="17"/>
        <v>0.26439999999999997</v>
      </c>
      <c r="U254" s="224">
        <f>'WetLitterbags placem_collection'!E35</f>
        <v>42765</v>
      </c>
      <c r="V254" s="224">
        <f>IF('WetLitterbags placem_collection'!G35="","",'WetLitterbags placem_collection'!G35)</f>
        <v>42820</v>
      </c>
      <c r="W254" s="225">
        <f t="shared" si="15"/>
        <v>55</v>
      </c>
      <c r="X254" s="223">
        <f t="shared" si="18"/>
        <v>1.6948000000000001</v>
      </c>
      <c r="Y254" s="223">
        <f t="shared" si="19"/>
        <v>1.5867547108587354</v>
      </c>
      <c r="Z254">
        <f>IFERROR(INDEX([1]Rainfall_Wet!$O$2:$O$217,MATCH(C254, [1]Rainfall_Wet!$A$2:$A$217,0)),"")</f>
        <v>228.324359195</v>
      </c>
      <c r="AA254" s="226">
        <v>23.96</v>
      </c>
      <c r="AB254" s="226">
        <v>0.91999999999999804</v>
      </c>
      <c r="AC254" s="226">
        <v>75.12</v>
      </c>
      <c r="AD254" s="227" t="s">
        <v>2651</v>
      </c>
      <c r="AE254" s="226">
        <v>1.2493839329719072</v>
      </c>
      <c r="AF254">
        <f>IF('WetLitterbags placem_collection'!AB35="","",'WetLitterbags placem_collection'!AB35)</f>
        <v>9.5</v>
      </c>
      <c r="AG254">
        <f>IF('WetLitterbags placem_collection'!Z35="","",'WetLitterbags placem_collection'!Z35)</f>
        <v>17.2</v>
      </c>
      <c r="AH254" s="236" t="str">
        <f>IF('WetLitterbags placem_collection'!AA35="","",'WetLitterbags placem_collection'!AA35)</f>
        <v>G</v>
      </c>
      <c r="AI254">
        <f>IF('WetLitterbags placem_collection'!AC35="","",'WetLitterbags placem_collection'!AC35)</f>
        <v>0</v>
      </c>
      <c r="AJ254" s="233">
        <f>AVERAGE('WetLitterbags placem_collection'!S35,'WetLitterbags placem_collection'!U35)</f>
        <v>30.5</v>
      </c>
      <c r="AK254">
        <f>AVERAGE('WetLitterbags placem_collection'!R35,'WetLitterbags placem_collection'!T35)</f>
        <v>25.25</v>
      </c>
      <c r="AL254">
        <f>INDEX([2]Coordinates!$B$2:$B$197,MATCH(I254,[2]Coordinates!$J$2:$J$197,0))</f>
        <v>-3.4092039989999998</v>
      </c>
      <c r="AM254">
        <f>INDEX([2]Coordinates!$C$2:$C$197,MATCH(I254,[2]Coordinates!$J$2:$J$197,0))</f>
        <v>34.852751009999999</v>
      </c>
      <c r="AN254" t="str">
        <f>IF(ISNUMBER(SEARCH("C", 'WetLitterbags placem_collection'!$W35)),"YES","NO")</f>
        <v>YES</v>
      </c>
      <c r="AO254" t="str">
        <f>IF(ISNUMBER(SEARCH("H", 'WetLitterbags placem_collection'!$W35)),"YES","NO")</f>
        <v>YES</v>
      </c>
      <c r="AP254" t="str">
        <f>IF(ISNUMBER(SEARCH("R", 'WetLitterbags placem_collection'!$W35)),"YES","NO")</f>
        <v>NO</v>
      </c>
    </row>
    <row r="255" spans="1:42" ht="15" customHeight="1">
      <c r="A255" t="s">
        <v>3248</v>
      </c>
      <c r="B255" s="248" t="s">
        <v>2454</v>
      </c>
      <c r="C255" s="253">
        <f>'Dry_Litterbag Placem_Collection'!A36</f>
        <v>34</v>
      </c>
      <c r="D255" s="253" t="str">
        <f>'Dry_Litterbag Placem_Collection'!B36</f>
        <v>Makao</v>
      </c>
      <c r="E255" s="253" t="s">
        <v>2643</v>
      </c>
      <c r="F255" s="253" t="s">
        <v>20</v>
      </c>
      <c r="G255" s="253">
        <v>1</v>
      </c>
      <c r="H255" s="253" t="s">
        <v>3106</v>
      </c>
      <c r="I255" s="254" t="str">
        <f>'Dry_Litterbag Placem_Collection'!C36</f>
        <v>Dry_P1_T2</v>
      </c>
      <c r="J255" s="255" t="s">
        <v>2525</v>
      </c>
      <c r="K255" s="262" t="s">
        <v>298</v>
      </c>
      <c r="L255" s="221" t="str">
        <f>'WetLitterbags placem_collection'!M36</f>
        <v>R153</v>
      </c>
      <c r="M255" s="223">
        <f>IFERROR(INDEX('Green_rooibos initial weight'!$C$5:$C$2000,MATCH(L255, 'Green_rooibos initial weight'!$A$5:$A$2000,0)),"")</f>
        <v>2.2200000000000002</v>
      </c>
      <c r="N255" s="223">
        <f>IFERROR(M255-(TBIcalc!$H$9+TBIcalc!$H$10),"")</f>
        <v>1.9702000000000002</v>
      </c>
      <c r="O255" s="378">
        <f>AVERAGE(Ashed_controlls!$K$2:$K$11)</f>
        <v>5.5147656768714146</v>
      </c>
      <c r="P255" s="223">
        <f t="shared" si="16"/>
        <v>1.8615480866342795</v>
      </c>
      <c r="Q255" s="223">
        <f>IFERROR(INDEX('Both teabags AfterWet'!$C$3:$C$840,MATCH(L255,'Both teabags AfterWet'!$A$3:$A$840,0)),"")</f>
        <v>0.34520000000000001</v>
      </c>
      <c r="R255" s="223">
        <f>IFERROR(IF(Q255&gt;0,Q255-(TBIcalc!$H$9),""),"")</f>
        <v>0.1946</v>
      </c>
      <c r="S255" s="223">
        <f>IFERROR(INDEX('Ashed teabags wet'!$K$2:$K$2000,MATCH(L255,'Ashed teabags wet'!$A$2:$A$2000,0)),"")</f>
        <v>0</v>
      </c>
      <c r="T255" s="223">
        <f t="shared" si="17"/>
        <v>0.1946</v>
      </c>
      <c r="U255" s="224">
        <f>'WetLitterbags placem_collection'!E36</f>
        <v>42765</v>
      </c>
      <c r="V255" s="224">
        <f>IF('WetLitterbags placem_collection'!G36="","",'WetLitterbags placem_collection'!G36)</f>
        <v>42820</v>
      </c>
      <c r="W255" s="225">
        <f t="shared" si="15"/>
        <v>55</v>
      </c>
      <c r="X255" s="223">
        <f t="shared" si="18"/>
        <v>1.7756000000000003</v>
      </c>
      <c r="Y255" s="223">
        <f t="shared" si="19"/>
        <v>1.6669480866342794</v>
      </c>
      <c r="Z255">
        <f>IFERROR(INDEX([1]Rainfall_Wet!$O$2:$O$217,MATCH(C255, [1]Rainfall_Wet!$A$2:$A$217,0)),"")</f>
        <v>228.324359195</v>
      </c>
      <c r="AA255" s="226">
        <v>23.96</v>
      </c>
      <c r="AB255" s="226">
        <v>0.91999999999999804</v>
      </c>
      <c r="AC255" s="226">
        <v>75.12</v>
      </c>
      <c r="AD255" s="227" t="s">
        <v>2651</v>
      </c>
      <c r="AE255" s="226">
        <v>1.2493839329719072</v>
      </c>
      <c r="AF255">
        <f>IF('WetLitterbags placem_collection'!AB36="","",'WetLitterbags placem_collection'!AB36)</f>
        <v>6.5</v>
      </c>
      <c r="AG255">
        <f>IF('WetLitterbags placem_collection'!Z36="","",'WetLitterbags placem_collection'!Z36)</f>
        <v>14.2</v>
      </c>
      <c r="AH255" s="236" t="str">
        <f>IF('WetLitterbags placem_collection'!AA36="","",'WetLitterbags placem_collection'!AA36)</f>
        <v>G</v>
      </c>
      <c r="AI255">
        <f>IF('WetLitterbags placem_collection'!AC36="","",'WetLitterbags placem_collection'!AC36)</f>
        <v>0</v>
      </c>
      <c r="AJ255" s="233">
        <f>AVERAGE('WetLitterbags placem_collection'!S36,'WetLitterbags placem_collection'!U36)</f>
        <v>21</v>
      </c>
      <c r="AK255">
        <f>AVERAGE('WetLitterbags placem_collection'!R36,'WetLitterbags placem_collection'!T36)</f>
        <v>25.55</v>
      </c>
      <c r="AL255">
        <f>INDEX([2]Coordinates!$B$2:$B$197,MATCH(I255,[2]Coordinates!$J$2:$J$197,0))</f>
        <v>-3.4092350119999999</v>
      </c>
      <c r="AM255">
        <f>INDEX([2]Coordinates!$C$2:$C$197,MATCH(I255,[2]Coordinates!$J$2:$J$197,0))</f>
        <v>34.852782019999999</v>
      </c>
      <c r="AN255" t="str">
        <f>IF(ISNUMBER(SEARCH("C", 'WetLitterbags placem_collection'!$W36)),"YES","NO")</f>
        <v>YES</v>
      </c>
      <c r="AO255" t="str">
        <f>IF(ISNUMBER(SEARCH("H", 'WetLitterbags placem_collection'!$W36)),"YES","NO")</f>
        <v>YES</v>
      </c>
      <c r="AP255" t="str">
        <f>IF(ISNUMBER(SEARCH("R", 'WetLitterbags placem_collection'!$W36)),"YES","NO")</f>
        <v>NO</v>
      </c>
    </row>
    <row r="256" spans="1:42" ht="15" customHeight="1">
      <c r="A256" t="s">
        <v>3248</v>
      </c>
      <c r="B256" s="248" t="s">
        <v>2454</v>
      </c>
      <c r="C256" s="253">
        <f>'Dry_Litterbag Placem_Collection'!A37</f>
        <v>35</v>
      </c>
      <c r="D256" s="253" t="str">
        <f>'Dry_Litterbag Placem_Collection'!B37</f>
        <v>Makao</v>
      </c>
      <c r="E256" s="253" t="s">
        <v>2643</v>
      </c>
      <c r="F256" s="253" t="s">
        <v>20</v>
      </c>
      <c r="G256" s="253">
        <v>1</v>
      </c>
      <c r="H256" s="253" t="s">
        <v>3106</v>
      </c>
      <c r="I256" s="254" t="str">
        <f>'Dry_Litterbag Placem_Collection'!C37</f>
        <v>Dry_P1_T3</v>
      </c>
      <c r="J256" s="255" t="s">
        <v>2525</v>
      </c>
      <c r="K256" s="262" t="s">
        <v>298</v>
      </c>
      <c r="L256" s="221" t="str">
        <f>'WetLitterbags placem_collection'!M37</f>
        <v>R64</v>
      </c>
      <c r="M256" s="223">
        <f>IFERROR(INDEX('Green_rooibos initial weight'!$C$5:$C$2000,MATCH(L256, 'Green_rooibos initial weight'!$A$5:$A$2000,0)),"")</f>
        <v>2.2879999999999998</v>
      </c>
      <c r="N256" s="223">
        <f>IFERROR(M256-(TBIcalc!$H$9+TBIcalc!$H$10),"")</f>
        <v>2.0381999999999998</v>
      </c>
      <c r="O256" s="378">
        <f>AVERAGE(Ashed_controlls!$K$2:$K$11)</f>
        <v>5.5147656768714146</v>
      </c>
      <c r="P256" s="223">
        <f t="shared" si="16"/>
        <v>1.9257980459740067</v>
      </c>
      <c r="Q256" s="223">
        <f>IFERROR(INDEX('Both teabags AfterWet'!$C$3:$C$840,MATCH(L256,'Both teabags AfterWet'!$A$3:$A$840,0)),"")</f>
        <v>1.615</v>
      </c>
      <c r="R256" s="223">
        <f>IFERROR(IF(Q256&gt;0,Q256-(TBIcalc!$H$9),""),"")</f>
        <v>1.4643999999999999</v>
      </c>
      <c r="S256" s="223">
        <f>IFERROR(INDEX('Ashed teabags wet'!$K$2:$K$2000,MATCH(L256,'Ashed teabags wet'!$A$2:$A$2000,0)),"")</f>
        <v>5.3045186640471123</v>
      </c>
      <c r="T256" s="223">
        <f t="shared" si="17"/>
        <v>1.3867206286836939</v>
      </c>
      <c r="U256" s="224">
        <f>'WetLitterbags placem_collection'!E37</f>
        <v>42765</v>
      </c>
      <c r="V256" s="224">
        <f>IF('WetLitterbags placem_collection'!G37="","",'WetLitterbags placem_collection'!G37)</f>
        <v>42820</v>
      </c>
      <c r="W256" s="225">
        <f t="shared" si="15"/>
        <v>55</v>
      </c>
      <c r="X256" s="223">
        <f t="shared" si="18"/>
        <v>0.57379999999999987</v>
      </c>
      <c r="Y256" s="223">
        <f t="shared" si="19"/>
        <v>0.53907741729031278</v>
      </c>
      <c r="Z256">
        <f>IFERROR(INDEX([1]Rainfall_Wet!$O$2:$O$217,MATCH(C256, [1]Rainfall_Wet!$A$2:$A$217,0)),"")</f>
        <v>228.324359195</v>
      </c>
      <c r="AA256" s="226">
        <v>23.96</v>
      </c>
      <c r="AB256" s="226">
        <v>0.91999999999999804</v>
      </c>
      <c r="AC256" s="226">
        <v>75.12</v>
      </c>
      <c r="AD256" s="227" t="s">
        <v>2651</v>
      </c>
      <c r="AE256" s="226">
        <v>1.2493839329719072</v>
      </c>
      <c r="AF256">
        <f>IF('WetLitterbags placem_collection'!AB37="","",'WetLitterbags placem_collection'!AB37)</f>
        <v>0.7</v>
      </c>
      <c r="AG256">
        <f>IF('WetLitterbags placem_collection'!Z37="","",'WetLitterbags placem_collection'!Z37)</f>
        <v>10.6</v>
      </c>
      <c r="AH256" s="236" t="str">
        <f>IF('WetLitterbags placem_collection'!AA37="","",'WetLitterbags placem_collection'!AA37)</f>
        <v>G</v>
      </c>
      <c r="AI256">
        <f>IF('WetLitterbags placem_collection'!AC37="","",'WetLitterbags placem_collection'!AC37)</f>
        <v>0</v>
      </c>
      <c r="AJ256" s="233">
        <f>AVERAGE('WetLitterbags placem_collection'!S37,'WetLitterbags placem_collection'!U37)</f>
        <v>10.9</v>
      </c>
      <c r="AK256">
        <f>AVERAGE('WetLitterbags placem_collection'!R37,'WetLitterbags placem_collection'!T37)</f>
        <v>24.45</v>
      </c>
      <c r="AL256">
        <f>INDEX([2]Coordinates!$B$2:$B$197,MATCH(I256,[2]Coordinates!$J$2:$J$197,0))</f>
        <v>-3.409177009</v>
      </c>
      <c r="AM256">
        <f>INDEX([2]Coordinates!$C$2:$C$197,MATCH(I256,[2]Coordinates!$J$2:$J$197,0))</f>
        <v>34.852818990000003</v>
      </c>
      <c r="AN256" t="str">
        <f>IF(ISNUMBER(SEARCH("C", 'WetLitterbags placem_collection'!$W37)),"YES","NO")</f>
        <v>NO</v>
      </c>
      <c r="AO256" t="str">
        <f>IF(ISNUMBER(SEARCH("H", 'WetLitterbags placem_collection'!$W37)),"YES","NO")</f>
        <v>NO</v>
      </c>
      <c r="AP256" t="str">
        <f>IF(ISNUMBER(SEARCH("R", 'WetLitterbags placem_collection'!$W37)),"YES","NO")</f>
        <v>NO</v>
      </c>
    </row>
    <row r="257" spans="1:42" ht="15" customHeight="1">
      <c r="A257" t="s">
        <v>3248</v>
      </c>
      <c r="B257" s="248" t="s">
        <v>2454</v>
      </c>
      <c r="C257" s="253">
        <f>'Dry_Litterbag Placem_Collection'!A38</f>
        <v>36</v>
      </c>
      <c r="D257" s="253" t="str">
        <f>'Dry_Litterbag Placem_Collection'!B38</f>
        <v>Makao</v>
      </c>
      <c r="E257" s="253" t="s">
        <v>2643</v>
      </c>
      <c r="F257" s="253" t="s">
        <v>20</v>
      </c>
      <c r="G257" s="253">
        <v>1</v>
      </c>
      <c r="H257" s="253" t="s">
        <v>3106</v>
      </c>
      <c r="I257" s="254" t="str">
        <f>'Dry_Litterbag Placem_Collection'!C38</f>
        <v>Dry_P1_T4</v>
      </c>
      <c r="J257" s="255" t="s">
        <v>2525</v>
      </c>
      <c r="K257" s="262" t="s">
        <v>298</v>
      </c>
      <c r="L257" s="221" t="str">
        <f>'WetLitterbags placem_collection'!M38</f>
        <v>R126</v>
      </c>
      <c r="M257" s="223">
        <f>IFERROR(INDEX('Green_rooibos initial weight'!$C$5:$C$2000,MATCH(L257, 'Green_rooibos initial weight'!$A$5:$A$2000,0)),"")</f>
        <v>2.2400000000000002</v>
      </c>
      <c r="N257" s="223">
        <f>IFERROR(M257-(TBIcalc!$H$9+TBIcalc!$H$10),"")</f>
        <v>1.9902000000000002</v>
      </c>
      <c r="O257" s="378">
        <f>AVERAGE(Ashed_controlls!$K$2:$K$11)</f>
        <v>5.5147656768714146</v>
      </c>
      <c r="P257" s="223">
        <f t="shared" si="16"/>
        <v>1.8804451334989052</v>
      </c>
      <c r="Q257" s="223">
        <f>IFERROR(INDEX('Both teabags AfterWet'!$C$3:$C$840,MATCH(L257,'Both teabags AfterWet'!$A$3:$A$840,0)),"")</f>
        <v>1.6180000000000001</v>
      </c>
      <c r="R257" s="223">
        <f>IFERROR(IF(Q257&gt;0,Q257-(TBIcalc!$H$9),""),"")</f>
        <v>1.4674</v>
      </c>
      <c r="S257" s="223">
        <f>IFERROR(INDEX('Ashed teabags wet'!$K$2:$K$2000,MATCH(L257,'Ashed teabags wet'!$A$2:$A$2000,0)),"")</f>
        <v>3.2897919690366213</v>
      </c>
      <c r="T257" s="223">
        <f t="shared" si="17"/>
        <v>1.4191255926463566</v>
      </c>
      <c r="U257" s="224">
        <f>'WetLitterbags placem_collection'!E38</f>
        <v>42765</v>
      </c>
      <c r="V257" s="224">
        <f>IF('WetLitterbags placem_collection'!G38="","",'WetLitterbags placem_collection'!G38)</f>
        <v>42820</v>
      </c>
      <c r="W257" s="225">
        <f t="shared" si="15"/>
        <v>55</v>
      </c>
      <c r="X257" s="223">
        <f t="shared" si="18"/>
        <v>0.52280000000000015</v>
      </c>
      <c r="Y257" s="223">
        <f t="shared" si="19"/>
        <v>0.46131954085254856</v>
      </c>
      <c r="Z257">
        <f>IFERROR(INDEX([1]Rainfall_Wet!$O$2:$O$217,MATCH(C257, [1]Rainfall_Wet!$A$2:$A$217,0)),"")</f>
        <v>228.324359195</v>
      </c>
      <c r="AA257" s="226">
        <v>23.96</v>
      </c>
      <c r="AB257" s="226">
        <v>0.91999999999999804</v>
      </c>
      <c r="AC257" s="226">
        <v>75.12</v>
      </c>
      <c r="AD257" s="227" t="s">
        <v>2651</v>
      </c>
      <c r="AE257" s="226">
        <v>1.2493839329719072</v>
      </c>
      <c r="AF257">
        <f>IF('WetLitterbags placem_collection'!AB38="","",'WetLitterbags placem_collection'!AB38)</f>
        <v>3.3</v>
      </c>
      <c r="AG257">
        <f>IF('WetLitterbags placem_collection'!Z38="","",'WetLitterbags placem_collection'!Z38)</f>
        <v>4.9000000000000004</v>
      </c>
      <c r="AH257" s="236" t="str">
        <f>IF('WetLitterbags placem_collection'!AA38="","",'WetLitterbags placem_collection'!AA38)</f>
        <v>G</v>
      </c>
      <c r="AI257">
        <f>IF('WetLitterbags placem_collection'!AC38="","",'WetLitterbags placem_collection'!AC38)</f>
        <v>1</v>
      </c>
      <c r="AJ257" s="233">
        <f>AVERAGE('WetLitterbags placem_collection'!S38,'WetLitterbags placem_collection'!U38)</f>
        <v>14.1</v>
      </c>
      <c r="AK257">
        <f>AVERAGE('WetLitterbags placem_collection'!R38,'WetLitterbags placem_collection'!T38)</f>
        <v>24.75</v>
      </c>
      <c r="AL257">
        <f>INDEX([2]Coordinates!$B$2:$B$197,MATCH(I257,[2]Coordinates!$J$2:$J$197,0))</f>
        <v>-3.40917198</v>
      </c>
      <c r="AM257">
        <f>INDEX([2]Coordinates!$C$2:$C$197,MATCH(I257,[2]Coordinates!$J$2:$J$197,0))</f>
        <v>34.852960979999999</v>
      </c>
      <c r="AN257" t="str">
        <f>IF(ISNUMBER(SEARCH("C", 'WetLitterbags placem_collection'!$W38)),"YES","NO")</f>
        <v>YES</v>
      </c>
      <c r="AO257" t="str">
        <f>IF(ISNUMBER(SEARCH("H", 'WetLitterbags placem_collection'!$W38)),"YES","NO")</f>
        <v>NO</v>
      </c>
      <c r="AP257" t="str">
        <f>IF(ISNUMBER(SEARCH("R", 'WetLitterbags placem_collection'!$W38)),"YES","NO")</f>
        <v>YES</v>
      </c>
    </row>
    <row r="258" spans="1:42" ht="15" customHeight="1">
      <c r="A258" t="s">
        <v>3248</v>
      </c>
      <c r="B258" s="248" t="s">
        <v>2454</v>
      </c>
      <c r="C258" s="253">
        <f>'Dry_Litterbag Placem_Collection'!A39</f>
        <v>37</v>
      </c>
      <c r="D258" s="253" t="str">
        <f>'Dry_Litterbag Placem_Collection'!B39</f>
        <v>Makao</v>
      </c>
      <c r="E258" s="253" t="s">
        <v>2643</v>
      </c>
      <c r="F258" s="253" t="s">
        <v>20</v>
      </c>
      <c r="G258" s="253">
        <v>1</v>
      </c>
      <c r="H258" s="253" t="s">
        <v>3106</v>
      </c>
      <c r="I258" s="254" t="str">
        <f>'Dry_Litterbag Placem_Collection'!C39</f>
        <v>Dry_P1_T5</v>
      </c>
      <c r="J258" s="255" t="s">
        <v>2525</v>
      </c>
      <c r="K258" s="262" t="s">
        <v>298</v>
      </c>
      <c r="L258" s="221" t="str">
        <f>'WetLitterbags placem_collection'!M39</f>
        <v>R63</v>
      </c>
      <c r="M258" s="223">
        <f>IFERROR(INDEX('Green_rooibos initial weight'!$C$5:$C$2000,MATCH(L258, 'Green_rooibos initial weight'!$A$5:$A$2000,0)),"")</f>
        <v>2.1749999999999998</v>
      </c>
      <c r="N258" s="223">
        <f>IFERROR(M258-(TBIcalc!$H$9+TBIcalc!$H$10),"")</f>
        <v>1.9251999999999998</v>
      </c>
      <c r="O258" s="378">
        <f>AVERAGE(Ashed_controlls!$K$2:$K$11)</f>
        <v>5.5147656768714146</v>
      </c>
      <c r="P258" s="223">
        <f t="shared" si="16"/>
        <v>1.8190297311888712</v>
      </c>
      <c r="Q258" s="223">
        <f>IFERROR(INDEX('Both teabags AfterWet'!$C$3:$C$840,MATCH(L258,'Both teabags AfterWet'!$A$3:$A$840,0)),"")</f>
        <v>1.3620000000000001</v>
      </c>
      <c r="R258" s="223">
        <f>IFERROR(IF(Q258&gt;0,Q258-(TBIcalc!$H$9),""),"")</f>
        <v>1.2114</v>
      </c>
      <c r="S258" s="223">
        <f>IFERROR(INDEX('Ashed teabags wet'!$K$2:$K$2000,MATCH(L258,'Ashed teabags wet'!$A$2:$A$2000,0)),"")</f>
        <v>70.931372549019429</v>
      </c>
      <c r="T258" s="223">
        <f t="shared" si="17"/>
        <v>0.35213735294117854</v>
      </c>
      <c r="U258" s="224">
        <f>'WetLitterbags placem_collection'!E39</f>
        <v>42765</v>
      </c>
      <c r="V258" s="224">
        <f>IF('WetLitterbags placem_collection'!G39="","",'WetLitterbags placem_collection'!G39)</f>
        <v>42820</v>
      </c>
      <c r="W258" s="225">
        <f t="shared" ref="W258:W321" si="20">IFERROR(V258-U258,"")</f>
        <v>55</v>
      </c>
      <c r="X258" s="223">
        <f t="shared" si="18"/>
        <v>0.71379999999999977</v>
      </c>
      <c r="Y258" s="223">
        <f t="shared" si="19"/>
        <v>1.4668923782476928</v>
      </c>
      <c r="Z258">
        <f>IFERROR(INDEX([1]Rainfall_Wet!$O$2:$O$217,MATCH(C258, [1]Rainfall_Wet!$A$2:$A$217,0)),"")</f>
        <v>228.324359195</v>
      </c>
      <c r="AA258" s="226">
        <v>23.96</v>
      </c>
      <c r="AB258" s="226">
        <v>0.91999999999999804</v>
      </c>
      <c r="AC258" s="226">
        <v>75.12</v>
      </c>
      <c r="AD258" s="227" t="s">
        <v>2651</v>
      </c>
      <c r="AE258" s="226">
        <v>1.2493839329719072</v>
      </c>
      <c r="AF258">
        <f>IF('WetLitterbags placem_collection'!AB39="","",'WetLitterbags placem_collection'!AB39)</f>
        <v>8.3000000000000007</v>
      </c>
      <c r="AG258">
        <f>IF('WetLitterbags placem_collection'!Z39="","",'WetLitterbags placem_collection'!Z39)</f>
        <v>27.8</v>
      </c>
      <c r="AH258" s="236" t="str">
        <f>IF('WetLitterbags placem_collection'!AA39="","",'WetLitterbags placem_collection'!AA39)</f>
        <v>G</v>
      </c>
      <c r="AI258">
        <f>IF('WetLitterbags placem_collection'!AC39="","",'WetLitterbags placem_collection'!AC39)</f>
        <v>0</v>
      </c>
      <c r="AJ258" s="233">
        <f>AVERAGE('WetLitterbags placem_collection'!S39,'WetLitterbags placem_collection'!U39)</f>
        <v>19.299999999999997</v>
      </c>
      <c r="AK258">
        <f>AVERAGE('WetLitterbags placem_collection'!R39,'WetLitterbags placem_collection'!T39)</f>
        <v>24.55</v>
      </c>
      <c r="AL258">
        <f>INDEX([2]Coordinates!$B$2:$B$197,MATCH(I258,[2]Coordinates!$J$2:$J$197,0))</f>
        <v>-3.4090709779999999</v>
      </c>
      <c r="AM258">
        <f>INDEX([2]Coordinates!$C$2:$C$197,MATCH(I258,[2]Coordinates!$J$2:$J$197,0))</f>
        <v>34.852712029999999</v>
      </c>
      <c r="AN258" t="str">
        <f>IF(ISNUMBER(SEARCH("C", 'WetLitterbags placem_collection'!$W39)),"YES","NO")</f>
        <v>YES</v>
      </c>
      <c r="AO258" t="str">
        <f>IF(ISNUMBER(SEARCH("H", 'WetLitterbags placem_collection'!$W39)),"YES","NO")</f>
        <v>YES</v>
      </c>
      <c r="AP258" t="str">
        <f>IF(ISNUMBER(SEARCH("R", 'WetLitterbags placem_collection'!$W39)),"YES","NO")</f>
        <v>YES</v>
      </c>
    </row>
    <row r="259" spans="1:42" ht="15" customHeight="1">
      <c r="A259" t="s">
        <v>3248</v>
      </c>
      <c r="B259" s="248" t="s">
        <v>2454</v>
      </c>
      <c r="C259" s="253">
        <f>'Dry_Litterbag Placem_Collection'!A40</f>
        <v>38</v>
      </c>
      <c r="D259" s="253" t="str">
        <f>'Dry_Litterbag Placem_Collection'!B40</f>
        <v>Makao</v>
      </c>
      <c r="E259" s="253" t="s">
        <v>2643</v>
      </c>
      <c r="F259" s="253" t="s">
        <v>20</v>
      </c>
      <c r="G259" s="253">
        <v>1</v>
      </c>
      <c r="H259" s="253" t="s">
        <v>3106</v>
      </c>
      <c r="I259" s="254" t="str">
        <f>'Dry_Litterbag Placem_Collection'!C40</f>
        <v>Dry_P1_T6</v>
      </c>
      <c r="J259" s="255" t="s">
        <v>2525</v>
      </c>
      <c r="K259" s="262" t="s">
        <v>298</v>
      </c>
      <c r="L259" s="221" t="str">
        <f>'WetLitterbags placem_collection'!M40</f>
        <v>R87</v>
      </c>
      <c r="M259" s="223">
        <f>IFERROR(INDEX('Green_rooibos initial weight'!$C$5:$C$2000,MATCH(L259, 'Green_rooibos initial weight'!$A$5:$A$2000,0)),"")</f>
        <v>2.2930000000000001</v>
      </c>
      <c r="N259" s="223">
        <f>IFERROR(M259-(TBIcalc!$H$9+TBIcalc!$H$10),"")</f>
        <v>2.0432000000000001</v>
      </c>
      <c r="O259" s="378">
        <f>AVERAGE(Ashed_controlls!$K$2:$K$11)</f>
        <v>5.5147656768714146</v>
      </c>
      <c r="P259" s="223">
        <f t="shared" ref="P259:P322" si="21">IFERROR(N259-(O259/100)*N259,"")</f>
        <v>1.9305223076901634</v>
      </c>
      <c r="Q259" s="223">
        <f>IFERROR(INDEX('Both teabags AfterWet'!$C$3:$C$840,MATCH(L259,'Both teabags AfterWet'!$A$3:$A$840,0)),"")</f>
        <v>1.1399999999999999</v>
      </c>
      <c r="R259" s="223">
        <f>IFERROR(IF(Q259&gt;0,Q259-(TBIcalc!$H$9),""),"")</f>
        <v>0.98939999999999984</v>
      </c>
      <c r="S259" s="223">
        <f>IFERROR(INDEX('Ashed teabags wet'!$K$2:$K$2000,MATCH(L259,'Ashed teabags wet'!$A$2:$A$2000,0)),"")</f>
        <v>21.801629132725651</v>
      </c>
      <c r="T259" s="223">
        <f t="shared" ref="T259:T322" si="22">IFERROR(R259-(S259/100)*R259,"")</f>
        <v>0.77369468136081232</v>
      </c>
      <c r="U259" s="224">
        <f>'WetLitterbags placem_collection'!E40</f>
        <v>42765</v>
      </c>
      <c r="V259" s="224">
        <f>IF('WetLitterbags placem_collection'!G40="","",'WetLitterbags placem_collection'!G40)</f>
        <v>42820</v>
      </c>
      <c r="W259" s="225">
        <f t="shared" si="20"/>
        <v>55</v>
      </c>
      <c r="X259" s="223">
        <f t="shared" ref="X259:X322" si="23">IFERROR(N259-R259,"")</f>
        <v>1.0538000000000003</v>
      </c>
      <c r="Y259" s="223">
        <f t="shared" ref="Y259:Y322" si="24">IFERROR(P259-T259,"")</f>
        <v>1.1568276263293511</v>
      </c>
      <c r="Z259">
        <f>IFERROR(INDEX([1]Rainfall_Wet!$O$2:$O$217,MATCH(C259, [1]Rainfall_Wet!$A$2:$A$217,0)),"")</f>
        <v>228.324359195</v>
      </c>
      <c r="AA259" s="226">
        <v>23.96</v>
      </c>
      <c r="AB259" s="226">
        <v>0.91999999999999804</v>
      </c>
      <c r="AC259" s="226">
        <v>75.12</v>
      </c>
      <c r="AD259" s="227" t="s">
        <v>2651</v>
      </c>
      <c r="AE259" s="226">
        <v>1.2493839329719072</v>
      </c>
      <c r="AF259">
        <f>IF('WetLitterbags placem_collection'!AB40="","",'WetLitterbags placem_collection'!AB40)</f>
        <v>2</v>
      </c>
      <c r="AG259">
        <f>IF('WetLitterbags placem_collection'!Z40="","",'WetLitterbags placem_collection'!Z40)</f>
        <v>20.399999999999999</v>
      </c>
      <c r="AH259" s="236" t="str">
        <f>IF('WetLitterbags placem_collection'!AA40="","",'WetLitterbags placem_collection'!AA40)</f>
        <v>O</v>
      </c>
      <c r="AI259">
        <f>IF('WetLitterbags placem_collection'!AC40="","",'WetLitterbags placem_collection'!AC40)</f>
        <v>0</v>
      </c>
      <c r="AJ259" s="233">
        <f>AVERAGE('WetLitterbags placem_collection'!S40,'WetLitterbags placem_collection'!U40)</f>
        <v>20.9</v>
      </c>
      <c r="AK259">
        <f>AVERAGE('WetLitterbags placem_collection'!R40,'WetLitterbags placem_collection'!T40)</f>
        <v>24.1</v>
      </c>
      <c r="AL259">
        <f>INDEX([2]Coordinates!$B$2:$B$197,MATCH(I259,[2]Coordinates!$J$2:$J$197,0))</f>
        <v>-3.409280023</v>
      </c>
      <c r="AM259">
        <f>INDEX([2]Coordinates!$C$2:$C$197,MATCH(I259,[2]Coordinates!$J$2:$J$197,0))</f>
        <v>34.852612960000002</v>
      </c>
      <c r="AN259" t="str">
        <f>IF(ISNUMBER(SEARCH("C", 'WetLitterbags placem_collection'!$W40)),"YES","NO")</f>
        <v>YES</v>
      </c>
      <c r="AO259" t="str">
        <f>IF(ISNUMBER(SEARCH("H", 'WetLitterbags placem_collection'!$W40)),"YES","NO")</f>
        <v>YES</v>
      </c>
      <c r="AP259" t="str">
        <f>IF(ISNUMBER(SEARCH("R", 'WetLitterbags placem_collection'!$W40)),"YES","NO")</f>
        <v>NO</v>
      </c>
    </row>
    <row r="260" spans="1:42" ht="15" customHeight="1">
      <c r="A260" t="s">
        <v>3248</v>
      </c>
      <c r="B260" s="248" t="s">
        <v>2454</v>
      </c>
      <c r="C260" s="253">
        <f>'Dry_Litterbag Placem_Collection'!A41</f>
        <v>39</v>
      </c>
      <c r="D260" s="253" t="str">
        <f>'Dry_Litterbag Placem_Collection'!B41</f>
        <v>Makao</v>
      </c>
      <c r="E260" s="253" t="s">
        <v>2643</v>
      </c>
      <c r="F260" s="253" t="s">
        <v>20</v>
      </c>
      <c r="G260" s="253">
        <v>1</v>
      </c>
      <c r="H260" s="253" t="s">
        <v>3106</v>
      </c>
      <c r="I260" s="254" t="str">
        <f>'Dry_Litterbag Placem_Collection'!C41</f>
        <v>Dry_P1_T7</v>
      </c>
      <c r="J260" s="255" t="s">
        <v>2525</v>
      </c>
      <c r="K260" s="262" t="s">
        <v>298</v>
      </c>
      <c r="L260" s="221" t="str">
        <f>'WetLitterbags placem_collection'!M41</f>
        <v>R437</v>
      </c>
      <c r="M260" s="223">
        <f>IFERROR(INDEX('Green_rooibos initial weight'!$C$5:$C$2000,MATCH(L260, 'Green_rooibos initial weight'!$A$5:$A$2000,0)),"")</f>
        <v>2.1970000000000001</v>
      </c>
      <c r="N260" s="223">
        <f>IFERROR(M260-(TBIcalc!$H$9+TBIcalc!$H$10),"")</f>
        <v>1.9472</v>
      </c>
      <c r="O260" s="378">
        <f>AVERAGE(Ashed_controlls!$K$2:$K$11)</f>
        <v>5.5147656768714146</v>
      </c>
      <c r="P260" s="223">
        <f t="shared" si="21"/>
        <v>1.8398164827399599</v>
      </c>
      <c r="Q260" s="223">
        <f>IFERROR(INDEX('Both teabags AfterWet'!$C$3:$C$840,MATCH(L260,'Both teabags AfterWet'!$A$3:$A$840,0)),"")</f>
        <v>1.4531000000000001</v>
      </c>
      <c r="R260" s="223">
        <f>IFERROR(IF(Q260&gt;0,Q260-(TBIcalc!$H$9),""),"")</f>
        <v>1.3025</v>
      </c>
      <c r="S260" s="223">
        <f>IFERROR(INDEX('Ashed teabags wet'!$K$2:$K$2000,MATCH(L260,'Ashed teabags wet'!$A$2:$A$2000,0)),"")</f>
        <v>3.6638983878844686</v>
      </c>
      <c r="T260" s="223">
        <f t="shared" si="22"/>
        <v>1.2547777234978048</v>
      </c>
      <c r="U260" s="224">
        <f>'WetLitterbags placem_collection'!E41</f>
        <v>42765</v>
      </c>
      <c r="V260" s="224">
        <f>IF('WetLitterbags placem_collection'!G41="","",'WetLitterbags placem_collection'!G41)</f>
        <v>42820</v>
      </c>
      <c r="W260" s="225">
        <f t="shared" si="20"/>
        <v>55</v>
      </c>
      <c r="X260" s="223">
        <f t="shared" si="23"/>
        <v>0.64470000000000005</v>
      </c>
      <c r="Y260" s="223">
        <f t="shared" si="24"/>
        <v>0.58503875924215509</v>
      </c>
      <c r="Z260">
        <f>IFERROR(INDEX([1]Rainfall_Wet!$O$2:$O$217,MATCH(C260, [1]Rainfall_Wet!$A$2:$A$217,0)),"")</f>
        <v>228.324359195</v>
      </c>
      <c r="AA260" s="226">
        <v>23.96</v>
      </c>
      <c r="AB260" s="226">
        <v>0.91999999999999804</v>
      </c>
      <c r="AC260" s="226">
        <v>75.12</v>
      </c>
      <c r="AD260" s="227" t="s">
        <v>2651</v>
      </c>
      <c r="AE260" s="226">
        <v>1.2493839329719072</v>
      </c>
      <c r="AF260">
        <f>IF('WetLitterbags placem_collection'!AB41="","",'WetLitterbags placem_collection'!AB41)</f>
        <v>2.4</v>
      </c>
      <c r="AG260">
        <f>IF('WetLitterbags placem_collection'!Z41="","",'WetLitterbags placem_collection'!Z41)</f>
        <v>18</v>
      </c>
      <c r="AH260" s="236" t="str">
        <f>IF('WetLitterbags placem_collection'!AA41="","",'WetLitterbags placem_collection'!AA41)</f>
        <v>G</v>
      </c>
      <c r="AI260">
        <f>IF('WetLitterbags placem_collection'!AC41="","",'WetLitterbags placem_collection'!AC41)</f>
        <v>1</v>
      </c>
      <c r="AJ260" s="233">
        <f>AVERAGE('WetLitterbags placem_collection'!S41,'WetLitterbags placem_collection'!U41)</f>
        <v>26.9</v>
      </c>
      <c r="AK260">
        <f>AVERAGE('WetLitterbags placem_collection'!R41,'WetLitterbags placem_collection'!T41)</f>
        <v>23.299999999999997</v>
      </c>
      <c r="AL260">
        <f>INDEX([2]Coordinates!$B$2:$B$197,MATCH(I260,[2]Coordinates!$J$2:$J$197,0))</f>
        <v>-3.4093859700000002</v>
      </c>
      <c r="AM260">
        <f>INDEX([2]Coordinates!$C$2:$C$197,MATCH(I260,[2]Coordinates!$J$2:$J$197,0))</f>
        <v>34.852855030000001</v>
      </c>
      <c r="AN260" t="str">
        <f>IF(ISNUMBER(SEARCH("C", 'WetLitterbags placem_collection'!$W41)),"YES","NO")</f>
        <v>NO</v>
      </c>
      <c r="AO260" t="str">
        <f>IF(ISNUMBER(SEARCH("H", 'WetLitterbags placem_collection'!$W41)),"YES","NO")</f>
        <v>NO</v>
      </c>
      <c r="AP260" t="str">
        <f>IF(ISNUMBER(SEARCH("R", 'WetLitterbags placem_collection'!$W41)),"YES","NO")</f>
        <v>YES</v>
      </c>
    </row>
    <row r="261" spans="1:42" ht="15" customHeight="1">
      <c r="A261" t="s">
        <v>3248</v>
      </c>
      <c r="B261" s="248" t="s">
        <v>2454</v>
      </c>
      <c r="C261" s="253">
        <f>'Dry_Litterbag Placem_Collection'!A42</f>
        <v>40</v>
      </c>
      <c r="D261" s="253" t="str">
        <f>'Dry_Litterbag Placem_Collection'!B42</f>
        <v>Makao</v>
      </c>
      <c r="E261" s="253" t="s">
        <v>2643</v>
      </c>
      <c r="F261" s="253" t="s">
        <v>20</v>
      </c>
      <c r="G261" s="253">
        <v>1</v>
      </c>
      <c r="H261" s="253" t="s">
        <v>3106</v>
      </c>
      <c r="I261" s="254" t="str">
        <f>'Dry_Litterbag Placem_Collection'!C42</f>
        <v>Dry_P1_T8</v>
      </c>
      <c r="J261" s="255" t="s">
        <v>2525</v>
      </c>
      <c r="K261" s="262" t="s">
        <v>298</v>
      </c>
      <c r="L261" s="221" t="str">
        <f>'WetLitterbags placem_collection'!M42</f>
        <v>R114</v>
      </c>
      <c r="M261" s="223">
        <f>IFERROR(INDEX('Green_rooibos initial weight'!$C$5:$C$2000,MATCH(L261, 'Green_rooibos initial weight'!$A$5:$A$2000,0)),"")</f>
        <v>2.2450000000000001</v>
      </c>
      <c r="N261" s="223">
        <f>IFERROR(M261-(TBIcalc!$H$9+TBIcalc!$H$10),"")</f>
        <v>1.9952000000000001</v>
      </c>
      <c r="O261" s="378">
        <f>AVERAGE(Ashed_controlls!$K$2:$K$11)</f>
        <v>5.5147656768714146</v>
      </c>
      <c r="P261" s="223">
        <f t="shared" si="21"/>
        <v>1.8851693952150617</v>
      </c>
      <c r="Q261" s="223">
        <f>IFERROR(INDEX('Both teabags AfterWet'!$C$3:$C$840,MATCH(L261,'Both teabags AfterWet'!$A$3:$A$840,0)),"")</f>
        <v>2.2269999999999999</v>
      </c>
      <c r="R261" s="223">
        <f>IFERROR(IF(Q261&gt;0,Q261-(TBIcalc!$H$9),""),"")</f>
        <v>2.0764</v>
      </c>
      <c r="S261" s="223">
        <f>IFERROR(INDEX('Ashed teabags wet'!$K$2:$K$2000,MATCH(L261,'Ashed teabags wet'!$A$2:$A$2000,0)),"")</f>
        <v>24.826560951436655</v>
      </c>
      <c r="T261" s="223">
        <f t="shared" si="22"/>
        <v>1.5609012884043694</v>
      </c>
      <c r="U261" s="224">
        <f>'WetLitterbags placem_collection'!E42</f>
        <v>42765</v>
      </c>
      <c r="V261" s="224">
        <f>IF('WetLitterbags placem_collection'!G42="","",'WetLitterbags placem_collection'!G42)</f>
        <v>42820</v>
      </c>
      <c r="W261" s="225">
        <f t="shared" si="20"/>
        <v>55</v>
      </c>
      <c r="X261" s="223">
        <f t="shared" si="23"/>
        <v>-8.1199999999999939E-2</v>
      </c>
      <c r="Y261" s="223">
        <f t="shared" si="24"/>
        <v>0.32426810681069229</v>
      </c>
      <c r="Z261">
        <f>IFERROR(INDEX([1]Rainfall_Wet!$O$2:$O$217,MATCH(C261, [1]Rainfall_Wet!$A$2:$A$217,0)),"")</f>
        <v>228.324359195</v>
      </c>
      <c r="AA261" s="226">
        <v>23.96</v>
      </c>
      <c r="AB261" s="226">
        <v>0.91999999999999804</v>
      </c>
      <c r="AC261" s="226">
        <v>75.12</v>
      </c>
      <c r="AD261" s="227" t="s">
        <v>2651</v>
      </c>
      <c r="AE261" s="226">
        <v>1.2493839329719072</v>
      </c>
      <c r="AF261">
        <f>IF('WetLitterbags placem_collection'!AB42="","",'WetLitterbags placem_collection'!AB42)</f>
        <v>8.6999999999999993</v>
      </c>
      <c r="AG261">
        <f>IF('WetLitterbags placem_collection'!Z42="","",'WetLitterbags placem_collection'!Z42)</f>
        <v>19.3</v>
      </c>
      <c r="AH261" s="236" t="str">
        <f>IF('WetLitterbags placem_collection'!AA42="","",'WetLitterbags placem_collection'!AA42)</f>
        <v>G</v>
      </c>
      <c r="AI261">
        <f>IF('WetLitterbags placem_collection'!AC42="","",'WetLitterbags placem_collection'!AC42)</f>
        <v>0</v>
      </c>
      <c r="AJ261" s="233">
        <f>AVERAGE('WetLitterbags placem_collection'!S42,'WetLitterbags placem_collection'!U42)</f>
        <v>31.9</v>
      </c>
      <c r="AK261">
        <f>AVERAGE('WetLitterbags placem_collection'!R42,'WetLitterbags placem_collection'!T42)</f>
        <v>23.9</v>
      </c>
      <c r="AL261">
        <f>INDEX([2]Coordinates!$B$2:$B$197,MATCH(I261,[2]Coordinates!$J$2:$J$197,0))</f>
        <v>-3.4091539590000002</v>
      </c>
      <c r="AM261">
        <f>INDEX([2]Coordinates!$C$2:$C$197,MATCH(I261,[2]Coordinates!$J$2:$J$197,0))</f>
        <v>34.852755029999997</v>
      </c>
      <c r="AN261" t="str">
        <f>IF(ISNUMBER(SEARCH("C", 'WetLitterbags placem_collection'!$W42)),"YES","NO")</f>
        <v>NO</v>
      </c>
      <c r="AO261" t="str">
        <f>IF(ISNUMBER(SEARCH("H", 'WetLitterbags placem_collection'!$W42)),"YES","NO")</f>
        <v>YES</v>
      </c>
      <c r="AP261" t="str">
        <f>IF(ISNUMBER(SEARCH("R", 'WetLitterbags placem_collection'!$W42)),"YES","NO")</f>
        <v>NO</v>
      </c>
    </row>
    <row r="262" spans="1:42" ht="15" customHeight="1">
      <c r="A262" t="s">
        <v>3248</v>
      </c>
      <c r="B262" s="248" t="s">
        <v>2454</v>
      </c>
      <c r="C262" s="253">
        <f>'Dry_Litterbag Placem_Collection'!A43</f>
        <v>41</v>
      </c>
      <c r="D262" s="253" t="str">
        <f>'Dry_Litterbag Placem_Collection'!B43</f>
        <v>Makao</v>
      </c>
      <c r="E262" s="253" t="s">
        <v>2643</v>
      </c>
      <c r="F262" s="253" t="s">
        <v>20</v>
      </c>
      <c r="G262" s="253">
        <v>2</v>
      </c>
      <c r="H262" s="253" t="s">
        <v>3108</v>
      </c>
      <c r="I262" s="254" t="str">
        <f>'Dry_Litterbag Placem_Collection'!C43</f>
        <v>Dry_P2_T1</v>
      </c>
      <c r="J262" s="255" t="s">
        <v>2525</v>
      </c>
      <c r="K262" s="262" t="s">
        <v>298</v>
      </c>
      <c r="L262" s="221" t="str">
        <f>'WetLitterbags placem_collection'!M43</f>
        <v>R521</v>
      </c>
      <c r="M262" s="223">
        <f>IFERROR(INDEX('Green_rooibos initial weight'!$C$5:$C$2000,MATCH(L262, 'Green_rooibos initial weight'!$A$5:$A$2000,0)),"")</f>
        <v>2.1440000000000001</v>
      </c>
      <c r="N262" s="223">
        <f>IFERROR(M262-(TBIcalc!$H$9+TBIcalc!$H$10),"")</f>
        <v>1.8942000000000001</v>
      </c>
      <c r="O262" s="378">
        <f>AVERAGE(Ashed_controlls!$K$2:$K$11)</f>
        <v>5.5147656768714146</v>
      </c>
      <c r="P262" s="223">
        <f t="shared" si="21"/>
        <v>1.7897393085487017</v>
      </c>
      <c r="Q262" s="223">
        <f>IFERROR(INDEX('Both teabags AfterWet'!$C$3:$C$840,MATCH(L262,'Both teabags AfterWet'!$A$3:$A$840,0)),"")</f>
        <v>1.512</v>
      </c>
      <c r="R262" s="223">
        <f>IFERROR(IF(Q262&gt;0,Q262-(TBIcalc!$H$9),""),"")</f>
        <v>1.3613999999999999</v>
      </c>
      <c r="S262" s="223">
        <f>IFERROR(INDEX('Ashed teabags wet'!$K$2:$K$2000,MATCH(L262,'Ashed teabags wet'!$A$2:$A$2000,0)),"")</f>
        <v>6.8728522336777456</v>
      </c>
      <c r="T262" s="223">
        <f t="shared" si="22"/>
        <v>1.267832989690711</v>
      </c>
      <c r="U262" s="224">
        <f>'WetLitterbags placem_collection'!E43</f>
        <v>42766</v>
      </c>
      <c r="V262" s="224">
        <f>IF('WetLitterbags placem_collection'!G43="","",'WetLitterbags placem_collection'!G43)</f>
        <v>42820</v>
      </c>
      <c r="W262" s="225">
        <f t="shared" si="20"/>
        <v>54</v>
      </c>
      <c r="X262" s="223">
        <f t="shared" si="23"/>
        <v>0.53280000000000016</v>
      </c>
      <c r="Y262" s="223">
        <f t="shared" si="24"/>
        <v>0.52190631885799066</v>
      </c>
      <c r="Z262">
        <f>IFERROR(INDEX([1]Rainfall_Wet!$O$2:$O$217,MATCH(C262, [1]Rainfall_Wet!$A$2:$A$217,0)),"")</f>
        <v>214.262898705</v>
      </c>
      <c r="AA262" s="226">
        <v>19.96</v>
      </c>
      <c r="AB262" s="226">
        <v>4.9199999999999982</v>
      </c>
      <c r="AC262" s="226">
        <v>75.12</v>
      </c>
      <c r="AD262" s="227" t="s">
        <v>2652</v>
      </c>
      <c r="AE262" s="226">
        <v>1.641498275012321</v>
      </c>
      <c r="AF262">
        <f>IF('WetLitterbags placem_collection'!AB43="","",'WetLitterbags placem_collection'!AB43)</f>
        <v>4</v>
      </c>
      <c r="AG262">
        <f>IF('WetLitterbags placem_collection'!Z43="","",'WetLitterbags placem_collection'!Z43)</f>
        <v>19.100000000000001</v>
      </c>
      <c r="AH262" s="236" t="str">
        <f>IF('WetLitterbags placem_collection'!AA43="","",'WetLitterbags placem_collection'!AA43)</f>
        <v>G</v>
      </c>
      <c r="AI262">
        <f>IF('WetLitterbags placem_collection'!AC43="","",'WetLitterbags placem_collection'!AC43)</f>
        <v>0</v>
      </c>
      <c r="AJ262" s="233">
        <f>AVERAGE('WetLitterbags placem_collection'!S43,'WetLitterbags placem_collection'!U43)</f>
        <v>21.9</v>
      </c>
      <c r="AK262">
        <f>AVERAGE('WetLitterbags placem_collection'!R43,'WetLitterbags placem_collection'!T43)</f>
        <v>24.5</v>
      </c>
      <c r="AL262">
        <f>INDEX([2]Coordinates!$B$2:$B$197,MATCH(I262,[2]Coordinates!$J$2:$J$197,0))</f>
        <v>-3.4083420040000001</v>
      </c>
      <c r="AM262">
        <f>INDEX([2]Coordinates!$C$2:$C$197,MATCH(I262,[2]Coordinates!$J$2:$J$197,0))</f>
        <v>34.850283040000001</v>
      </c>
      <c r="AN262" t="str">
        <f>IF(ISNUMBER(SEARCH("C", 'WetLitterbags placem_collection'!$W43)),"YES","NO")</f>
        <v>NO</v>
      </c>
      <c r="AO262" t="str">
        <f>IF(ISNUMBER(SEARCH("H", 'WetLitterbags placem_collection'!$W43)),"YES","NO")</f>
        <v>NO</v>
      </c>
      <c r="AP262" t="str">
        <f>IF(ISNUMBER(SEARCH("R", 'WetLitterbags placem_collection'!$W43)),"YES","NO")</f>
        <v>NO</v>
      </c>
    </row>
    <row r="263" spans="1:42" ht="15" customHeight="1">
      <c r="A263" t="s">
        <v>3248</v>
      </c>
      <c r="B263" s="248" t="s">
        <v>2454</v>
      </c>
      <c r="C263" s="253">
        <f>'Dry_Litterbag Placem_Collection'!A44</f>
        <v>42</v>
      </c>
      <c r="D263" s="253" t="str">
        <f>'Dry_Litterbag Placem_Collection'!B44</f>
        <v>Makao</v>
      </c>
      <c r="E263" s="253" t="s">
        <v>2643</v>
      </c>
      <c r="F263" s="253" t="s">
        <v>20</v>
      </c>
      <c r="G263" s="253">
        <v>2</v>
      </c>
      <c r="H263" s="253" t="s">
        <v>3108</v>
      </c>
      <c r="I263" s="254" t="str">
        <f>'Dry_Litterbag Placem_Collection'!C44</f>
        <v>Dry_P2_T2</v>
      </c>
      <c r="J263" s="255" t="s">
        <v>2525</v>
      </c>
      <c r="K263" s="262" t="s">
        <v>298</v>
      </c>
      <c r="L263" s="221" t="str">
        <f>'WetLitterbags placem_collection'!M44</f>
        <v>R371</v>
      </c>
      <c r="M263" s="223">
        <f>IFERROR(INDEX('Green_rooibos initial weight'!$C$5:$C$2000,MATCH(L263, 'Green_rooibos initial weight'!$A$5:$A$2000,0)),"")</f>
        <v>2.2530000000000001</v>
      </c>
      <c r="N263" s="223">
        <f>IFERROR(M263-(TBIcalc!$H$9+TBIcalc!$H$10),"")</f>
        <v>2.0032000000000001</v>
      </c>
      <c r="O263" s="378">
        <f>AVERAGE(Ashed_controlls!$K$2:$K$11)</f>
        <v>5.5147656768714146</v>
      </c>
      <c r="P263" s="223">
        <f t="shared" si="21"/>
        <v>1.8927282139609118</v>
      </c>
      <c r="Q263" s="223">
        <f>IFERROR(INDEX('Both teabags AfterWet'!$C$3:$C$840,MATCH(L263,'Both teabags AfterWet'!$A$3:$A$840,0)),"")</f>
        <v>1.649</v>
      </c>
      <c r="R263" s="223">
        <f>IFERROR(IF(Q263&gt;0,Q263-(TBIcalc!$H$9),""),"")</f>
        <v>1.4984</v>
      </c>
      <c r="S263" s="223">
        <f>IFERROR(INDEX('Ashed teabags wet'!$K$2:$K$2000,MATCH(L263,'Ashed teabags wet'!$A$2:$A$2000,0)),"")</f>
        <v>2.6627218934911183</v>
      </c>
      <c r="T263" s="223">
        <f t="shared" si="22"/>
        <v>1.458501775147929</v>
      </c>
      <c r="U263" s="224">
        <f>'WetLitterbags placem_collection'!E44</f>
        <v>42766</v>
      </c>
      <c r="V263" s="224">
        <f>IF('WetLitterbags placem_collection'!G44="","",'WetLitterbags placem_collection'!G44)</f>
        <v>42820</v>
      </c>
      <c r="W263" s="225">
        <f t="shared" si="20"/>
        <v>54</v>
      </c>
      <c r="X263" s="223">
        <f t="shared" si="23"/>
        <v>0.50480000000000014</v>
      </c>
      <c r="Y263" s="223">
        <f t="shared" si="24"/>
        <v>0.43422643881298284</v>
      </c>
      <c r="Z263">
        <f>IFERROR(INDEX([1]Rainfall_Wet!$O$2:$O$217,MATCH(C263, [1]Rainfall_Wet!$A$2:$A$217,0)),"")</f>
        <v>214.262898705</v>
      </c>
      <c r="AA263" s="226">
        <v>19.96</v>
      </c>
      <c r="AB263" s="226">
        <v>4.9199999999999982</v>
      </c>
      <c r="AC263" s="226">
        <v>75.12</v>
      </c>
      <c r="AD263" s="227" t="s">
        <v>2652</v>
      </c>
      <c r="AE263" s="226">
        <v>1.641498275012321</v>
      </c>
      <c r="AF263">
        <f>IF('WetLitterbags placem_collection'!AB44="","",'WetLitterbags placem_collection'!AB44)</f>
        <v>5.9</v>
      </c>
      <c r="AG263">
        <f>IF('WetLitterbags placem_collection'!Z44="","",'WetLitterbags placem_collection'!Z44)</f>
        <v>12.7</v>
      </c>
      <c r="AH263" s="236" t="str">
        <f>IF('WetLitterbags placem_collection'!AA44="","",'WetLitterbags placem_collection'!AA44)</f>
        <v>G</v>
      </c>
      <c r="AI263">
        <f>IF('WetLitterbags placem_collection'!AC44="","",'WetLitterbags placem_collection'!AC44)</f>
        <v>0</v>
      </c>
      <c r="AJ263" s="233">
        <f>AVERAGE('WetLitterbags placem_collection'!S44,'WetLitterbags placem_collection'!U44)</f>
        <v>19</v>
      </c>
      <c r="AK263">
        <f>AVERAGE('WetLitterbags placem_collection'!R44,'WetLitterbags placem_collection'!T44)</f>
        <v>22.950000000000003</v>
      </c>
      <c r="AL263">
        <f>INDEX([2]Coordinates!$B$2:$B$197,MATCH(I263,[2]Coordinates!$J$2:$J$197,0))</f>
        <v>-3.4084079690000002</v>
      </c>
      <c r="AM263">
        <f>INDEX([2]Coordinates!$C$2:$C$197,MATCH(I263,[2]Coordinates!$J$2:$J$197,0))</f>
        <v>34.850295029999998</v>
      </c>
      <c r="AN263" t="str">
        <f>IF(ISNUMBER(SEARCH("C", 'WetLitterbags placem_collection'!$W44)),"YES","NO")</f>
        <v>NO</v>
      </c>
      <c r="AO263" t="str">
        <f>IF(ISNUMBER(SEARCH("H", 'WetLitterbags placem_collection'!$W44)),"YES","NO")</f>
        <v>NO</v>
      </c>
      <c r="AP263" t="str">
        <f>IF(ISNUMBER(SEARCH("R", 'WetLitterbags placem_collection'!$W44)),"YES","NO")</f>
        <v>NO</v>
      </c>
    </row>
    <row r="264" spans="1:42" ht="15" customHeight="1">
      <c r="A264" t="s">
        <v>3248</v>
      </c>
      <c r="B264" s="248" t="s">
        <v>2454</v>
      </c>
      <c r="C264" s="253">
        <f>'Dry_Litterbag Placem_Collection'!A45</f>
        <v>43</v>
      </c>
      <c r="D264" s="253" t="str">
        <f>'Dry_Litterbag Placem_Collection'!B45</f>
        <v>Makao</v>
      </c>
      <c r="E264" s="253" t="s">
        <v>2643</v>
      </c>
      <c r="F264" s="253" t="s">
        <v>20</v>
      </c>
      <c r="G264" s="253">
        <v>2</v>
      </c>
      <c r="H264" s="253" t="s">
        <v>3108</v>
      </c>
      <c r="I264" s="254" t="str">
        <f>'Dry_Litterbag Placem_Collection'!C45</f>
        <v>Dry_P2_T3</v>
      </c>
      <c r="J264" s="255" t="s">
        <v>2525</v>
      </c>
      <c r="K264" s="262" t="s">
        <v>298</v>
      </c>
      <c r="L264" s="221" t="str">
        <f>'WetLitterbags placem_collection'!M45</f>
        <v>R376</v>
      </c>
      <c r="M264" s="223">
        <f>IFERROR(INDEX('Green_rooibos initial weight'!$C$5:$C$2000,MATCH(L264, 'Green_rooibos initial weight'!$A$5:$A$2000,0)),"")</f>
        <v>2.177</v>
      </c>
      <c r="N264" s="223">
        <f>IFERROR(M264-(TBIcalc!$H$9+TBIcalc!$H$10),"")</f>
        <v>1.9272</v>
      </c>
      <c r="O264" s="378">
        <f>AVERAGE(Ashed_controlls!$K$2:$K$11)</f>
        <v>5.5147656768714146</v>
      </c>
      <c r="P264" s="223">
        <f t="shared" si="21"/>
        <v>1.8209194358753342</v>
      </c>
      <c r="Q264" s="223">
        <f>IFERROR(INDEX('Both teabags AfterWet'!$C$3:$C$840,MATCH(L264,'Both teabags AfterWet'!$A$3:$A$840,0)),"")</f>
        <v>1.3532999999999999</v>
      </c>
      <c r="R264" s="223">
        <f>IFERROR(IF(Q264&gt;0,Q264-(TBIcalc!$H$9),""),"")</f>
        <v>1.2026999999999999</v>
      </c>
      <c r="S264" s="223">
        <f>IFERROR(INDEX('Ashed teabags wet'!$K$2:$K$2000,MATCH(L264,'Ashed teabags wet'!$A$2:$A$2000,0)),"")</f>
        <v>6.7788461538456346</v>
      </c>
      <c r="T264" s="223">
        <f t="shared" si="22"/>
        <v>1.1211708173076984</v>
      </c>
      <c r="U264" s="224">
        <f>'WetLitterbags placem_collection'!E45</f>
        <v>42766</v>
      </c>
      <c r="V264" s="224">
        <f>IF('WetLitterbags placem_collection'!G45="","",'WetLitterbags placem_collection'!G45)</f>
        <v>42820</v>
      </c>
      <c r="W264" s="225">
        <f t="shared" si="20"/>
        <v>54</v>
      </c>
      <c r="X264" s="223">
        <f t="shared" si="23"/>
        <v>0.72450000000000014</v>
      </c>
      <c r="Y264" s="223">
        <f t="shared" si="24"/>
        <v>0.69974861856763582</v>
      </c>
      <c r="Z264">
        <f>IFERROR(INDEX([1]Rainfall_Wet!$O$2:$O$217,MATCH(C264, [1]Rainfall_Wet!$A$2:$A$217,0)),"")</f>
        <v>214.262898705</v>
      </c>
      <c r="AA264" s="226">
        <v>19.96</v>
      </c>
      <c r="AB264" s="226">
        <v>4.9199999999999982</v>
      </c>
      <c r="AC264" s="226">
        <v>75.12</v>
      </c>
      <c r="AD264" s="227" t="s">
        <v>2652</v>
      </c>
      <c r="AE264" s="226">
        <v>1.641498275012321</v>
      </c>
      <c r="AF264">
        <f>IF('WetLitterbags placem_collection'!AB45="","",'WetLitterbags placem_collection'!AB45)</f>
        <v>5</v>
      </c>
      <c r="AG264">
        <f>IF('WetLitterbags placem_collection'!Z45="","",'WetLitterbags placem_collection'!Z45)</f>
        <v>26.3</v>
      </c>
      <c r="AH264" s="236" t="str">
        <f>IF('WetLitterbags placem_collection'!AA45="","",'WetLitterbags placem_collection'!AA45)</f>
        <v>G</v>
      </c>
      <c r="AI264">
        <f>IF('WetLitterbags placem_collection'!AC45="","",'WetLitterbags placem_collection'!AC45)</f>
        <v>0</v>
      </c>
      <c r="AJ264" s="233">
        <f>AVERAGE('WetLitterbags placem_collection'!S45,'WetLitterbags placem_collection'!U45)</f>
        <v>18.3</v>
      </c>
      <c r="AK264">
        <f>AVERAGE('WetLitterbags placem_collection'!R45,'WetLitterbags placem_collection'!T45)</f>
        <v>21.799999999999997</v>
      </c>
      <c r="AL264">
        <f>INDEX([2]Coordinates!$B$2:$B$197,MATCH(I264,[2]Coordinates!$J$2:$J$197,0))</f>
        <v>-3.4082369789999998</v>
      </c>
      <c r="AM264">
        <f>INDEX([2]Coordinates!$C$2:$C$197,MATCH(I264,[2]Coordinates!$J$2:$J$197,0))</f>
        <v>34.850189999999998</v>
      </c>
      <c r="AN264" t="str">
        <f>IF(ISNUMBER(SEARCH("C", 'WetLitterbags placem_collection'!$W45)),"YES","NO")</f>
        <v>YES</v>
      </c>
      <c r="AO264" t="str">
        <f>IF(ISNUMBER(SEARCH("H", 'WetLitterbags placem_collection'!$W45)),"YES","NO")</f>
        <v>YES</v>
      </c>
      <c r="AP264" t="str">
        <f>IF(ISNUMBER(SEARCH("R", 'WetLitterbags placem_collection'!$W45)),"YES","NO")</f>
        <v>NO</v>
      </c>
    </row>
    <row r="265" spans="1:42" ht="15" customHeight="1">
      <c r="A265" t="s">
        <v>3248</v>
      </c>
      <c r="B265" s="248" t="s">
        <v>2454</v>
      </c>
      <c r="C265" s="253">
        <f>'Dry_Litterbag Placem_Collection'!A46</f>
        <v>44</v>
      </c>
      <c r="D265" s="253" t="str">
        <f>'Dry_Litterbag Placem_Collection'!B46</f>
        <v>Makao</v>
      </c>
      <c r="E265" s="253" t="s">
        <v>2643</v>
      </c>
      <c r="F265" s="253" t="s">
        <v>20</v>
      </c>
      <c r="G265" s="253">
        <v>2</v>
      </c>
      <c r="H265" s="253" t="s">
        <v>3108</v>
      </c>
      <c r="I265" s="254" t="str">
        <f>'Dry_Litterbag Placem_Collection'!C46</f>
        <v>Dry_P2_T4</v>
      </c>
      <c r="J265" s="255" t="s">
        <v>2525</v>
      </c>
      <c r="K265" s="262" t="s">
        <v>298</v>
      </c>
      <c r="L265" s="221" t="str">
        <f>'WetLitterbags placem_collection'!M46</f>
        <v>R166</v>
      </c>
      <c r="M265" s="223">
        <f>IFERROR(INDEX('Green_rooibos initial weight'!$C$5:$C$2000,MATCH(L265, 'Green_rooibos initial weight'!$A$5:$A$2000,0)),"")</f>
        <v>2.222</v>
      </c>
      <c r="N265" s="223">
        <f>IFERROR(M265-(TBIcalc!$H$9+TBIcalc!$H$10),"")</f>
        <v>1.9722</v>
      </c>
      <c r="O265" s="378">
        <f>AVERAGE(Ashed_controlls!$K$2:$K$11)</f>
        <v>5.5147656768714146</v>
      </c>
      <c r="P265" s="223">
        <f t="shared" si="21"/>
        <v>1.8634377913207418</v>
      </c>
      <c r="Q265" s="223">
        <f>IFERROR(INDEX('Both teabags AfterWet'!$C$3:$C$840,MATCH(L265,'Both teabags AfterWet'!$A$3:$A$840,0)),"")</f>
        <v>1.6101000000000001</v>
      </c>
      <c r="R265" s="223">
        <f>IFERROR(IF(Q265&gt;0,Q265-(TBIcalc!$H$9),""),"")</f>
        <v>1.4595</v>
      </c>
      <c r="S265" s="223">
        <f>IFERROR(INDEX('Ashed teabags wet'!$K$2:$K$2000,MATCH(L265,'Ashed teabags wet'!$A$2:$A$2000,0)),"")</f>
        <v>4.868355688028041</v>
      </c>
      <c r="T265" s="223">
        <f t="shared" si="22"/>
        <v>1.3884463487332308</v>
      </c>
      <c r="U265" s="224">
        <f>'WetLitterbags placem_collection'!E46</f>
        <v>42766</v>
      </c>
      <c r="V265" s="224">
        <f>IF('WetLitterbags placem_collection'!G46="","",'WetLitterbags placem_collection'!G46)</f>
        <v>42820</v>
      </c>
      <c r="W265" s="225">
        <f t="shared" si="20"/>
        <v>54</v>
      </c>
      <c r="X265" s="223">
        <f t="shared" si="23"/>
        <v>0.51269999999999993</v>
      </c>
      <c r="Y265" s="223">
        <f t="shared" si="24"/>
        <v>0.47499144258751103</v>
      </c>
      <c r="Z265">
        <f>IFERROR(INDEX([1]Rainfall_Wet!$O$2:$O$217,MATCH(C265, [1]Rainfall_Wet!$A$2:$A$217,0)),"")</f>
        <v>214.262898705</v>
      </c>
      <c r="AA265" s="226">
        <v>19.96</v>
      </c>
      <c r="AB265" s="226">
        <v>4.9199999999999982</v>
      </c>
      <c r="AC265" s="226">
        <v>75.12</v>
      </c>
      <c r="AD265" s="227" t="s">
        <v>2652</v>
      </c>
      <c r="AE265" s="226">
        <v>1.641498275012321</v>
      </c>
      <c r="AF265">
        <f>IF('WetLitterbags placem_collection'!AB46="","",'WetLitterbags placem_collection'!AB46)</f>
        <v>2.6</v>
      </c>
      <c r="AG265">
        <f>IF('WetLitterbags placem_collection'!Z46="","",'WetLitterbags placem_collection'!Z46)</f>
        <v>39.200000000000003</v>
      </c>
      <c r="AH265" s="236" t="str">
        <f>IF('WetLitterbags placem_collection'!AA46="","",'WetLitterbags placem_collection'!AA46)</f>
        <v>G</v>
      </c>
      <c r="AI265">
        <f>IF('WetLitterbags placem_collection'!AC46="","",'WetLitterbags placem_collection'!AC46)</f>
        <v>0</v>
      </c>
      <c r="AJ265" s="233">
        <f>AVERAGE('WetLitterbags placem_collection'!S46,'WetLitterbags placem_collection'!U46)</f>
        <v>20.6</v>
      </c>
      <c r="AK265">
        <f>AVERAGE('WetLitterbags placem_collection'!R46,'WetLitterbags placem_collection'!T46)</f>
        <v>22.65</v>
      </c>
      <c r="AL265">
        <f>INDEX([2]Coordinates!$B$2:$B$197,MATCH(I265,[2]Coordinates!$J$2:$J$197,0))</f>
        <v>-3.4081529920000002</v>
      </c>
      <c r="AM265">
        <f>INDEX([2]Coordinates!$C$2:$C$197,MATCH(I265,[2]Coordinates!$J$2:$J$197,0))</f>
        <v>34.850168959999998</v>
      </c>
      <c r="AN265" t="str">
        <f>IF(ISNUMBER(SEARCH("C", 'WetLitterbags placem_collection'!$W46)),"YES","NO")</f>
        <v>NO</v>
      </c>
      <c r="AO265" t="str">
        <f>IF(ISNUMBER(SEARCH("H", 'WetLitterbags placem_collection'!$W46)),"YES","NO")</f>
        <v>NO</v>
      </c>
      <c r="AP265" t="str">
        <f>IF(ISNUMBER(SEARCH("R", 'WetLitterbags placem_collection'!$W46)),"YES","NO")</f>
        <v>YES</v>
      </c>
    </row>
    <row r="266" spans="1:42" ht="15" customHeight="1">
      <c r="A266" t="s">
        <v>3248</v>
      </c>
      <c r="B266" s="248" t="s">
        <v>2454</v>
      </c>
      <c r="C266" s="253">
        <f>'Dry_Litterbag Placem_Collection'!A47</f>
        <v>45</v>
      </c>
      <c r="D266" s="253" t="str">
        <f>'Dry_Litterbag Placem_Collection'!B47</f>
        <v>Makao</v>
      </c>
      <c r="E266" s="253" t="s">
        <v>2643</v>
      </c>
      <c r="F266" s="253" t="s">
        <v>20</v>
      </c>
      <c r="G266" s="253">
        <v>2</v>
      </c>
      <c r="H266" s="253" t="s">
        <v>3108</v>
      </c>
      <c r="I266" s="254" t="str">
        <f>'Dry_Litterbag Placem_Collection'!C47</f>
        <v>Dry_P2_T5</v>
      </c>
      <c r="J266" s="255" t="s">
        <v>2525</v>
      </c>
      <c r="K266" s="262" t="s">
        <v>298</v>
      </c>
      <c r="L266" s="221" t="str">
        <f>'WetLitterbags placem_collection'!M47</f>
        <v>R469</v>
      </c>
      <c r="M266" s="223">
        <f>IFERROR(INDEX('Green_rooibos initial weight'!$C$5:$C$2000,MATCH(L266, 'Green_rooibos initial weight'!$A$5:$A$2000,0)),"")</f>
        <v>2.2309999999999999</v>
      </c>
      <c r="N266" s="223">
        <f>IFERROR(M266-(TBIcalc!$H$9+TBIcalc!$H$10),"")</f>
        <v>1.9811999999999999</v>
      </c>
      <c r="O266" s="378">
        <f>AVERAGE(Ashed_controlls!$K$2:$K$11)</f>
        <v>5.5147656768714146</v>
      </c>
      <c r="P266" s="223">
        <f t="shared" si="21"/>
        <v>1.8719414624098234</v>
      </c>
      <c r="Q266" s="223">
        <f>IFERROR(INDEX('Both teabags AfterWet'!$C$3:$C$840,MATCH(L266,'Both teabags AfterWet'!$A$3:$A$840,0)),"")</f>
        <v>1.5804</v>
      </c>
      <c r="R266" s="223">
        <f>IFERROR(IF(Q266&gt;0,Q266-(TBIcalc!$H$9),""),"")</f>
        <v>1.4298</v>
      </c>
      <c r="S266" s="223">
        <f>IFERROR(INDEX('Ashed teabags wet'!$K$2:$K$2000,MATCH(L266,'Ashed teabags wet'!$A$2:$A$2000,0)),"")</f>
        <v>3.5248672139064463</v>
      </c>
      <c r="T266" s="223">
        <f t="shared" si="22"/>
        <v>1.3794014485755657</v>
      </c>
      <c r="U266" s="224">
        <f>'WetLitterbags placem_collection'!E47</f>
        <v>42766</v>
      </c>
      <c r="V266" s="224">
        <f>IF('WetLitterbags placem_collection'!G47="","",'WetLitterbags placem_collection'!G47)</f>
        <v>42820</v>
      </c>
      <c r="W266" s="225">
        <f t="shared" si="20"/>
        <v>54</v>
      </c>
      <c r="X266" s="223">
        <f t="shared" si="23"/>
        <v>0.55139999999999989</v>
      </c>
      <c r="Y266" s="223">
        <f t="shared" si="24"/>
        <v>0.49254001383425772</v>
      </c>
      <c r="Z266">
        <f>IFERROR(INDEX([1]Rainfall_Wet!$O$2:$O$217,MATCH(C266, [1]Rainfall_Wet!$A$2:$A$217,0)),"")</f>
        <v>214.262898705</v>
      </c>
      <c r="AA266" s="226">
        <v>19.96</v>
      </c>
      <c r="AB266" s="226">
        <v>4.9199999999999982</v>
      </c>
      <c r="AC266" s="226">
        <v>75.12</v>
      </c>
      <c r="AD266" s="227" t="s">
        <v>2652</v>
      </c>
      <c r="AE266" s="226">
        <v>1.641498275012321</v>
      </c>
      <c r="AF266">
        <f>IF('WetLitterbags placem_collection'!AB47="","",'WetLitterbags placem_collection'!AB47)</f>
        <v>2.2999999999999998</v>
      </c>
      <c r="AG266">
        <f>IF('WetLitterbags placem_collection'!Z47="","",'WetLitterbags placem_collection'!Z47)</f>
        <v>9.3000000000000007</v>
      </c>
      <c r="AH266" s="236" t="str">
        <f>IF('WetLitterbags placem_collection'!AA47="","",'WetLitterbags placem_collection'!AA47)</f>
        <v>O</v>
      </c>
      <c r="AI266">
        <f>IF('WetLitterbags placem_collection'!AC47="","",'WetLitterbags placem_collection'!AC47)</f>
        <v>0</v>
      </c>
      <c r="AJ266" s="233">
        <f>AVERAGE('WetLitterbags placem_collection'!S47,'WetLitterbags placem_collection'!U47)</f>
        <v>24.4</v>
      </c>
      <c r="AK266">
        <f>AVERAGE('WetLitterbags placem_collection'!R47,'WetLitterbags placem_collection'!T47)</f>
        <v>22.15</v>
      </c>
      <c r="AL266">
        <f>INDEX([2]Coordinates!$B$2:$B$197,MATCH(I266,[2]Coordinates!$J$2:$J$197,0))</f>
        <v>-3.4081789759999999</v>
      </c>
      <c r="AM266">
        <f>INDEX([2]Coordinates!$C$2:$C$197,MATCH(I266,[2]Coordinates!$J$2:$J$197,0))</f>
        <v>34.850516980000002</v>
      </c>
      <c r="AN266" t="str">
        <f>IF(ISNUMBER(SEARCH("C", 'WetLitterbags placem_collection'!$W47)),"YES","NO")</f>
        <v>NO</v>
      </c>
      <c r="AO266" t="str">
        <f>IF(ISNUMBER(SEARCH("H", 'WetLitterbags placem_collection'!$W47)),"YES","NO")</f>
        <v>NO</v>
      </c>
      <c r="AP266" t="str">
        <f>IF(ISNUMBER(SEARCH("R", 'WetLitterbags placem_collection'!$W47)),"YES","NO")</f>
        <v>NO</v>
      </c>
    </row>
    <row r="267" spans="1:42" ht="15" customHeight="1">
      <c r="A267" t="s">
        <v>3248</v>
      </c>
      <c r="B267" s="248" t="s">
        <v>2454</v>
      </c>
      <c r="C267" s="253">
        <f>'Dry_Litterbag Placem_Collection'!A48</f>
        <v>46</v>
      </c>
      <c r="D267" s="253" t="str">
        <f>'Dry_Litterbag Placem_Collection'!B48</f>
        <v>Makao</v>
      </c>
      <c r="E267" s="253" t="s">
        <v>2643</v>
      </c>
      <c r="F267" s="253" t="s">
        <v>20</v>
      </c>
      <c r="G267" s="253">
        <v>2</v>
      </c>
      <c r="H267" s="253" t="s">
        <v>3108</v>
      </c>
      <c r="I267" s="254" t="str">
        <f>'Dry_Litterbag Placem_Collection'!C48</f>
        <v>Dry_P2_T6</v>
      </c>
      <c r="J267" s="255" t="s">
        <v>2525</v>
      </c>
      <c r="K267" s="262" t="s">
        <v>298</v>
      </c>
      <c r="L267" s="221" t="str">
        <f>'WetLitterbags placem_collection'!M48</f>
        <v>R86</v>
      </c>
      <c r="M267" s="223">
        <f>IFERROR(INDEX('Green_rooibos initial weight'!$C$5:$C$2000,MATCH(L267, 'Green_rooibos initial weight'!$A$5:$A$2000,0)),"")</f>
        <v>2.242</v>
      </c>
      <c r="N267" s="223">
        <f>IFERROR(M267-(TBIcalc!$H$9+TBIcalc!$H$10),"")</f>
        <v>1.9922</v>
      </c>
      <c r="O267" s="378">
        <f>AVERAGE(Ashed_controlls!$K$2:$K$11)</f>
        <v>5.5147656768714146</v>
      </c>
      <c r="P267" s="223">
        <f t="shared" si="21"/>
        <v>1.8823348381853677</v>
      </c>
      <c r="Q267" s="223" t="str">
        <f>IFERROR(INDEX('Both teabags AfterWet'!$C$3:$C$840,MATCH(L267,'Both teabags AfterWet'!$A$3:$A$840,0)),"")</f>
        <v/>
      </c>
      <c r="R267" s="223" t="str">
        <f>IFERROR(IF(Q267&gt;0,Q267-(TBIcalc!$H$9),""),"")</f>
        <v/>
      </c>
      <c r="S267" s="223" t="str">
        <f>IFERROR(INDEX('Ashed teabags wet'!$K$2:$K$2000,MATCH(L267,'Ashed teabags wet'!$A$2:$A$2000,0)),"")</f>
        <v/>
      </c>
      <c r="T267" s="223" t="str">
        <f t="shared" si="22"/>
        <v/>
      </c>
      <c r="U267" s="224">
        <f>'WetLitterbags placem_collection'!E48</f>
        <v>42766</v>
      </c>
      <c r="V267" s="224">
        <f>IF('WetLitterbags placem_collection'!G48="","",'WetLitterbags placem_collection'!G48)</f>
        <v>42820</v>
      </c>
      <c r="W267" s="225">
        <f t="shared" si="20"/>
        <v>54</v>
      </c>
      <c r="X267" s="223" t="str">
        <f t="shared" si="23"/>
        <v/>
      </c>
      <c r="Y267" s="223" t="str">
        <f t="shared" si="24"/>
        <v/>
      </c>
      <c r="Z267">
        <f>IFERROR(INDEX([1]Rainfall_Wet!$O$2:$O$217,MATCH(C267, [1]Rainfall_Wet!$A$2:$A$217,0)),"")</f>
        <v>214.262898705</v>
      </c>
      <c r="AA267" s="226">
        <v>19.96</v>
      </c>
      <c r="AB267" s="226">
        <v>4.9199999999999982</v>
      </c>
      <c r="AC267" s="226">
        <v>75.12</v>
      </c>
      <c r="AD267" s="227" t="s">
        <v>2652</v>
      </c>
      <c r="AE267" s="226">
        <v>1.641498275012321</v>
      </c>
      <c r="AF267" t="str">
        <f>IF('WetLitterbags placem_collection'!AB48="","",'WetLitterbags placem_collection'!AB48)</f>
        <v/>
      </c>
      <c r="AG267" t="str">
        <f>IF('WetLitterbags placem_collection'!Z48="","",'WetLitterbags placem_collection'!Z48)</f>
        <v/>
      </c>
      <c r="AH267" s="236" t="str">
        <f>IF('WetLitterbags placem_collection'!AA48="","",'WetLitterbags placem_collection'!AA48)</f>
        <v/>
      </c>
      <c r="AI267" t="str">
        <f>IF('WetLitterbags placem_collection'!AC48="","",'WetLitterbags placem_collection'!AC48)</f>
        <v/>
      </c>
      <c r="AJ267" s="233">
        <f>AVERAGE('WetLitterbags placem_collection'!S48,'WetLitterbags placem_collection'!U48)</f>
        <v>22.5</v>
      </c>
      <c r="AK267">
        <f>AVERAGE('WetLitterbags placem_collection'!R48,'WetLitterbags placem_collection'!T48)</f>
        <v>20.100000000000001</v>
      </c>
      <c r="AL267">
        <f>INDEX([2]Coordinates!$B$2:$B$197,MATCH(I267,[2]Coordinates!$J$2:$J$197,0))</f>
        <v>-3.4084730130000001</v>
      </c>
      <c r="AM267">
        <f>INDEX([2]Coordinates!$C$2:$C$197,MATCH(I267,[2]Coordinates!$J$2:$J$197,0))</f>
        <v>34.850401980000001</v>
      </c>
      <c r="AN267" t="str">
        <f>IF(ISNUMBER(SEARCH("C", 'WetLitterbags placem_collection'!$W48)),"YES","NO")</f>
        <v>NO</v>
      </c>
      <c r="AO267" t="str">
        <f>IF(ISNUMBER(SEARCH("H", 'WetLitterbags placem_collection'!$W48)),"YES","NO")</f>
        <v>NO</v>
      </c>
      <c r="AP267" t="str">
        <f>IF(ISNUMBER(SEARCH("R", 'WetLitterbags placem_collection'!$W48)),"YES","NO")</f>
        <v>NO</v>
      </c>
    </row>
    <row r="268" spans="1:42" ht="15" customHeight="1">
      <c r="A268" t="s">
        <v>3248</v>
      </c>
      <c r="B268" s="248" t="s">
        <v>2454</v>
      </c>
      <c r="C268" s="253">
        <f>'Dry_Litterbag Placem_Collection'!A49</f>
        <v>47</v>
      </c>
      <c r="D268" s="253" t="str">
        <f>'Dry_Litterbag Placem_Collection'!B49</f>
        <v>Makao</v>
      </c>
      <c r="E268" s="253" t="s">
        <v>2643</v>
      </c>
      <c r="F268" s="253" t="s">
        <v>20</v>
      </c>
      <c r="G268" s="253">
        <v>2</v>
      </c>
      <c r="H268" s="253" t="s">
        <v>3108</v>
      </c>
      <c r="I268" s="254" t="str">
        <f>'Dry_Litterbag Placem_Collection'!C49</f>
        <v>Dry_P2_T7</v>
      </c>
      <c r="J268" s="255" t="s">
        <v>2525</v>
      </c>
      <c r="K268" s="262" t="s">
        <v>298</v>
      </c>
      <c r="L268" s="221" t="str">
        <f>'WetLitterbags placem_collection'!M49</f>
        <v>R146</v>
      </c>
      <c r="M268" s="223">
        <f>IFERROR(INDEX('Green_rooibos initial weight'!$C$5:$C$2000,MATCH(L268, 'Green_rooibos initial weight'!$A$5:$A$2000,0)),"")</f>
        <v>2.2010000000000001</v>
      </c>
      <c r="N268" s="223">
        <f>IFERROR(M268-(TBIcalc!$H$9+TBIcalc!$H$10),"")</f>
        <v>1.9512</v>
      </c>
      <c r="O268" s="378">
        <f>AVERAGE(Ashed_controlls!$K$2:$K$11)</f>
        <v>5.5147656768714146</v>
      </c>
      <c r="P268" s="223">
        <f t="shared" si="21"/>
        <v>1.843595892112885</v>
      </c>
      <c r="Q268" s="223">
        <f>IFERROR(INDEX('Both teabags AfterWet'!$C$3:$C$840,MATCH(L268,'Both teabags AfterWet'!$A$3:$A$840,0)),"")</f>
        <v>1.651</v>
      </c>
      <c r="R268" s="223">
        <f>IFERROR(IF(Q268&gt;0,Q268-(TBIcalc!$H$9),""),"")</f>
        <v>1.5004</v>
      </c>
      <c r="S268" s="223">
        <f>IFERROR(INDEX('Ashed teabags wet'!$K$2:$K$2000,MATCH(L268,'Ashed teabags wet'!$A$2:$A$2000,0)),"")</f>
        <v>7.3593073593070963</v>
      </c>
      <c r="T268" s="223">
        <f t="shared" si="22"/>
        <v>1.3899809523809563</v>
      </c>
      <c r="U268" s="224">
        <f>'WetLitterbags placem_collection'!E49</f>
        <v>42766</v>
      </c>
      <c r="V268" s="224">
        <f>IF('WetLitterbags placem_collection'!G49="","",'WetLitterbags placem_collection'!G49)</f>
        <v>42820</v>
      </c>
      <c r="W268" s="225">
        <f t="shared" si="20"/>
        <v>54</v>
      </c>
      <c r="X268" s="223">
        <f t="shared" si="23"/>
        <v>0.45080000000000009</v>
      </c>
      <c r="Y268" s="223">
        <f t="shared" si="24"/>
        <v>0.45361493973192868</v>
      </c>
      <c r="Z268">
        <f>IFERROR(INDEX([1]Rainfall_Wet!$O$2:$O$217,MATCH(C268, [1]Rainfall_Wet!$A$2:$A$217,0)),"")</f>
        <v>214.262898705</v>
      </c>
      <c r="AA268" s="226">
        <v>19.96</v>
      </c>
      <c r="AB268" s="226">
        <v>4.9199999999999982</v>
      </c>
      <c r="AC268" s="226">
        <v>75.12</v>
      </c>
      <c r="AD268" s="227" t="s">
        <v>2652</v>
      </c>
      <c r="AE268" s="226">
        <v>1.641498275012321</v>
      </c>
      <c r="AF268">
        <f>IF('WetLitterbags placem_collection'!AB49="","",'WetLitterbags placem_collection'!AB49)</f>
        <v>5.2</v>
      </c>
      <c r="AG268">
        <f>IF('WetLitterbags placem_collection'!Z49="","",'WetLitterbags placem_collection'!Z49)</f>
        <v>5.2</v>
      </c>
      <c r="AH268" s="236" t="str">
        <f>IF('WetLitterbags placem_collection'!AA49="","",'WetLitterbags placem_collection'!AA49)</f>
        <v>G</v>
      </c>
      <c r="AI268">
        <f>IF('WetLitterbags placem_collection'!AC49="","",'WetLitterbags placem_collection'!AC49)</f>
        <v>0</v>
      </c>
      <c r="AJ268" s="233">
        <f>AVERAGE('WetLitterbags placem_collection'!S49,'WetLitterbags placem_collection'!U49)</f>
        <v>23.7</v>
      </c>
      <c r="AK268">
        <f>AVERAGE('WetLitterbags placem_collection'!R49,'WetLitterbags placem_collection'!T49)</f>
        <v>22.6</v>
      </c>
      <c r="AL268">
        <f>INDEX([2]Coordinates!$B$2:$B$197,MATCH(I268,[2]Coordinates!$J$2:$J$197,0))</f>
        <v>-3.4084819820000001</v>
      </c>
      <c r="AM268">
        <f>INDEX([2]Coordinates!$C$2:$C$197,MATCH(I268,[2]Coordinates!$J$2:$J$197,0))</f>
        <v>34.850024040000001</v>
      </c>
      <c r="AN268" t="str">
        <f>IF(ISNUMBER(SEARCH("C", 'WetLitterbags placem_collection'!$W49)),"YES","NO")</f>
        <v>NO</v>
      </c>
      <c r="AO268" t="str">
        <f>IF(ISNUMBER(SEARCH("H", 'WetLitterbags placem_collection'!$W49)),"YES","NO")</f>
        <v>YES</v>
      </c>
      <c r="AP268" t="str">
        <f>IF(ISNUMBER(SEARCH("R", 'WetLitterbags placem_collection'!$W49)),"YES","NO")</f>
        <v>YES</v>
      </c>
    </row>
    <row r="269" spans="1:42" ht="15" customHeight="1">
      <c r="A269" t="s">
        <v>3248</v>
      </c>
      <c r="B269" s="248" t="s">
        <v>2454</v>
      </c>
      <c r="C269" s="253">
        <f>'Dry_Litterbag Placem_Collection'!A50</f>
        <v>48</v>
      </c>
      <c r="D269" s="253" t="str">
        <f>'Dry_Litterbag Placem_Collection'!B50</f>
        <v>Makao</v>
      </c>
      <c r="E269" s="253" t="s">
        <v>2643</v>
      </c>
      <c r="F269" s="253" t="s">
        <v>20</v>
      </c>
      <c r="G269" s="253">
        <v>2</v>
      </c>
      <c r="H269" s="253" t="s">
        <v>3108</v>
      </c>
      <c r="I269" s="254" t="str">
        <f>'Dry_Litterbag Placem_Collection'!C50</f>
        <v>Dry_P2_T8</v>
      </c>
      <c r="J269" s="255" t="s">
        <v>2525</v>
      </c>
      <c r="K269" s="262" t="s">
        <v>298</v>
      </c>
      <c r="L269" s="221" t="str">
        <f>'WetLitterbags placem_collection'!M50</f>
        <v>R72</v>
      </c>
      <c r="M269" s="223">
        <f>IFERROR(INDEX('Green_rooibos initial weight'!$C$5:$C$2000,MATCH(L269, 'Green_rooibos initial weight'!$A$5:$A$2000,0)),"")</f>
        <v>2.2349999999999999</v>
      </c>
      <c r="N269" s="223">
        <f>IFERROR(M269-(TBIcalc!$H$9+TBIcalc!$H$10),"")</f>
        <v>1.9851999999999999</v>
      </c>
      <c r="O269" s="378">
        <f>AVERAGE(Ashed_controlls!$K$2:$K$11)</f>
        <v>5.5147656768714146</v>
      </c>
      <c r="P269" s="223">
        <f t="shared" si="21"/>
        <v>1.8757208717827485</v>
      </c>
      <c r="Q269" s="223">
        <f>IFERROR(INDEX('Both teabags AfterWet'!$C$3:$C$840,MATCH(L269,'Both teabags AfterWet'!$A$3:$A$840,0)),"")</f>
        <v>1.6359999999999999</v>
      </c>
      <c r="R269" s="223">
        <f>IFERROR(IF(Q269&gt;0,Q269-(TBIcalc!$H$9),""),"")</f>
        <v>1.4853999999999998</v>
      </c>
      <c r="S269" s="223">
        <f>IFERROR(INDEX('Ashed teabags wet'!$K$2:$K$2000,MATCH(L269,'Ashed teabags wet'!$A$2:$A$2000,0)),"")</f>
        <v>4.6647230320703335</v>
      </c>
      <c r="T269" s="223">
        <f t="shared" si="22"/>
        <v>1.4161102040816271</v>
      </c>
      <c r="U269" s="224">
        <f>'WetLitterbags placem_collection'!E50</f>
        <v>42766</v>
      </c>
      <c r="V269" s="224">
        <f>IF('WetLitterbags placem_collection'!G50="","",'WetLitterbags placem_collection'!G50)</f>
        <v>42820</v>
      </c>
      <c r="W269" s="225">
        <f t="shared" si="20"/>
        <v>54</v>
      </c>
      <c r="X269" s="223">
        <f t="shared" si="23"/>
        <v>0.49980000000000002</v>
      </c>
      <c r="Y269" s="223">
        <f t="shared" si="24"/>
        <v>0.45961066770112136</v>
      </c>
      <c r="Z269">
        <f>IFERROR(INDEX([1]Rainfall_Wet!$O$2:$O$217,MATCH(C269, [1]Rainfall_Wet!$A$2:$A$217,0)),"")</f>
        <v>214.262898705</v>
      </c>
      <c r="AA269" s="226">
        <v>19.96</v>
      </c>
      <c r="AB269" s="226">
        <v>4.9199999999999982</v>
      </c>
      <c r="AC269" s="226">
        <v>75.12</v>
      </c>
      <c r="AD269" s="227" t="s">
        <v>2652</v>
      </c>
      <c r="AE269" s="226">
        <v>1.641498275012321</v>
      </c>
      <c r="AF269">
        <f>IF('WetLitterbags placem_collection'!AB50="","",'WetLitterbags placem_collection'!AB50)</f>
        <v>7.3</v>
      </c>
      <c r="AG269">
        <f>IF('WetLitterbags placem_collection'!Z50="","",'WetLitterbags placem_collection'!Z50)</f>
        <v>27.2</v>
      </c>
      <c r="AH269" s="236" t="str">
        <f>IF('WetLitterbags placem_collection'!AA50="","",'WetLitterbags placem_collection'!AA50)</f>
        <v>M</v>
      </c>
      <c r="AI269">
        <f>IF('WetLitterbags placem_collection'!AC50="","",'WetLitterbags placem_collection'!AC50)</f>
        <v>0</v>
      </c>
      <c r="AJ269" s="233">
        <f>AVERAGE('WetLitterbags placem_collection'!S50,'WetLitterbags placem_collection'!U50)</f>
        <v>21.8</v>
      </c>
      <c r="AK269">
        <f>AVERAGE('WetLitterbags placem_collection'!R50,'WetLitterbags placem_collection'!T50)</f>
        <v>21.65</v>
      </c>
      <c r="AL269">
        <f>INDEX([2]Coordinates!$B$2:$B$197,MATCH(I269,[2]Coordinates!$J$2:$J$197,0))</f>
        <v>-3.4081990090000001</v>
      </c>
      <c r="AM269">
        <f>INDEX([2]Coordinates!$C$2:$C$197,MATCH(I269,[2]Coordinates!$J$2:$J$197,0))</f>
        <v>34.850254960000001</v>
      </c>
      <c r="AN269" t="str">
        <f>IF(ISNUMBER(SEARCH("C", 'WetLitterbags placem_collection'!$W50)),"YES","NO")</f>
        <v>NO</v>
      </c>
      <c r="AO269" t="str">
        <f>IF(ISNUMBER(SEARCH("H", 'WetLitterbags placem_collection'!$W50)),"YES","NO")</f>
        <v>NO</v>
      </c>
      <c r="AP269" t="str">
        <f>IF(ISNUMBER(SEARCH("R", 'WetLitterbags placem_collection'!$W50)),"YES","NO")</f>
        <v>YES</v>
      </c>
    </row>
    <row r="270" spans="1:42" ht="15" customHeight="1">
      <c r="A270" t="s">
        <v>3248</v>
      </c>
      <c r="B270" s="248" t="s">
        <v>2454</v>
      </c>
      <c r="C270" s="253">
        <f>'Dry_Litterbag Placem_Collection'!A51</f>
        <v>49</v>
      </c>
      <c r="D270" s="253" t="str">
        <f>'Dry_Litterbag Placem_Collection'!B51</f>
        <v>Makao</v>
      </c>
      <c r="E270" s="253" t="s">
        <v>2643</v>
      </c>
      <c r="F270" s="253" t="s">
        <v>20</v>
      </c>
      <c r="G270" s="253">
        <v>3</v>
      </c>
      <c r="H270" s="253" t="s">
        <v>3109</v>
      </c>
      <c r="I270" s="254" t="str">
        <f>'Dry_Litterbag Placem_Collection'!C51</f>
        <v>Dry_P3_T1</v>
      </c>
      <c r="J270" s="255" t="s">
        <v>2525</v>
      </c>
      <c r="K270" s="262" t="s">
        <v>298</v>
      </c>
      <c r="L270" s="221" t="str">
        <f>'WetLitterbags placem_collection'!M51</f>
        <v>R28</v>
      </c>
      <c r="M270" s="223">
        <f>IFERROR(INDEX('Green_rooibos initial weight'!$C$5:$C$2000,MATCH(L270, 'Green_rooibos initial weight'!$A$5:$A$2000,0)),"")</f>
        <v>2.1030000000000002</v>
      </c>
      <c r="N270" s="223">
        <f>IFERROR(M270-(TBIcalc!$H$9+TBIcalc!$H$10),"")</f>
        <v>1.8532000000000002</v>
      </c>
      <c r="O270" s="378">
        <f>AVERAGE(Ashed_controlls!$K$2:$K$11)</f>
        <v>5.5147656768714146</v>
      </c>
      <c r="P270" s="223">
        <f t="shared" si="21"/>
        <v>1.7510003624762192</v>
      </c>
      <c r="Q270" s="223">
        <f>IFERROR(INDEX('Both teabags AfterWet'!$C$3:$C$840,MATCH(L270,'Both teabags AfterWet'!$A$3:$A$840,0)),"")</f>
        <v>1.5992999999999999</v>
      </c>
      <c r="R270" s="223">
        <f>IFERROR(IF(Q270&gt;0,Q270-(TBIcalc!$H$9),""),"")</f>
        <v>1.4486999999999999</v>
      </c>
      <c r="S270" s="223">
        <f>IFERROR(INDEX('Ashed teabags wet'!$K$2:$K$2000,MATCH(L270,'Ashed teabags wet'!$A$2:$A$2000,0)),"")</f>
        <v>11.563275434243886</v>
      </c>
      <c r="T270" s="223">
        <f t="shared" si="22"/>
        <v>1.2811828287841087</v>
      </c>
      <c r="U270" s="224">
        <f>'WetLitterbags placem_collection'!E51</f>
        <v>42766</v>
      </c>
      <c r="V270" s="224">
        <f>IF('WetLitterbags placem_collection'!G51="","",'WetLitterbags placem_collection'!G51)</f>
        <v>42820</v>
      </c>
      <c r="W270" s="225">
        <f t="shared" si="20"/>
        <v>54</v>
      </c>
      <c r="X270" s="223">
        <f t="shared" si="23"/>
        <v>0.4045000000000003</v>
      </c>
      <c r="Y270" s="223">
        <f t="shared" si="24"/>
        <v>0.46981753369211043</v>
      </c>
      <c r="Z270">
        <f>IFERROR(INDEX([1]Rainfall_Wet!$O$2:$O$217,MATCH(C270, [1]Rainfall_Wet!$A$2:$A$217,0)),"")</f>
        <v>214.262898705</v>
      </c>
      <c r="AA270" s="226">
        <v>21.96</v>
      </c>
      <c r="AB270" s="226">
        <v>8.9199999999999982</v>
      </c>
      <c r="AC270" s="226">
        <v>69.12</v>
      </c>
      <c r="AD270" s="227" t="s">
        <v>2651</v>
      </c>
      <c r="AE270" s="226">
        <v>1.7491375061606702</v>
      </c>
      <c r="AF270">
        <f>IF('WetLitterbags placem_collection'!AB51="","",'WetLitterbags placem_collection'!AB51)</f>
        <v>10.4</v>
      </c>
      <c r="AG270">
        <f>IF('WetLitterbags placem_collection'!Z51="","",'WetLitterbags placem_collection'!Z51)</f>
        <v>36</v>
      </c>
      <c r="AH270" s="236" t="str">
        <f>IF('WetLitterbags placem_collection'!AA51="","",'WetLitterbags placem_collection'!AA51)</f>
        <v>M</v>
      </c>
      <c r="AI270">
        <f>IF('WetLitterbags placem_collection'!AC51="","",'WetLitterbags placem_collection'!AC51)</f>
        <v>1</v>
      </c>
      <c r="AJ270" s="233">
        <f>AVERAGE('WetLitterbags placem_collection'!S51,'WetLitterbags placem_collection'!U51)</f>
        <v>26.2</v>
      </c>
      <c r="AK270">
        <f>AVERAGE('WetLitterbags placem_collection'!R51,'WetLitterbags placem_collection'!T51)</f>
        <v>26.55</v>
      </c>
      <c r="AL270">
        <f>INDEX([2]Coordinates!$B$2:$B$197,MATCH(I270,[2]Coordinates!$J$2:$J$197,0))</f>
        <v>-3.406225992</v>
      </c>
      <c r="AM270">
        <f>INDEX([2]Coordinates!$C$2:$C$197,MATCH(I270,[2]Coordinates!$J$2:$J$197,0))</f>
        <v>34.85055998</v>
      </c>
      <c r="AN270" t="str">
        <f>IF(ISNUMBER(SEARCH("C", 'WetLitterbags placem_collection'!$W51)),"YES","NO")</f>
        <v>NO</v>
      </c>
      <c r="AO270" t="str">
        <f>IF(ISNUMBER(SEARCH("H", 'WetLitterbags placem_collection'!$W51)),"YES","NO")</f>
        <v>YES</v>
      </c>
      <c r="AP270" t="str">
        <f>IF(ISNUMBER(SEARCH("R", 'WetLitterbags placem_collection'!$W51)),"YES","NO")</f>
        <v>YES</v>
      </c>
    </row>
    <row r="271" spans="1:42" ht="15" customHeight="1">
      <c r="A271" t="s">
        <v>3248</v>
      </c>
      <c r="B271" s="248" t="s">
        <v>2454</v>
      </c>
      <c r="C271" s="253">
        <f>'Dry_Litterbag Placem_Collection'!A52</f>
        <v>50</v>
      </c>
      <c r="D271" s="253" t="str">
        <f>'Dry_Litterbag Placem_Collection'!B52</f>
        <v>Makao</v>
      </c>
      <c r="E271" s="253" t="s">
        <v>2643</v>
      </c>
      <c r="F271" s="253" t="s">
        <v>20</v>
      </c>
      <c r="G271" s="253">
        <v>3</v>
      </c>
      <c r="H271" s="253" t="s">
        <v>3109</v>
      </c>
      <c r="I271" s="254" t="str">
        <f>'Dry_Litterbag Placem_Collection'!C52</f>
        <v>Dry_P3_T2</v>
      </c>
      <c r="J271" s="255" t="s">
        <v>2525</v>
      </c>
      <c r="K271" s="262" t="s">
        <v>298</v>
      </c>
      <c r="L271" s="221" t="str">
        <f>'WetLitterbags placem_collection'!M52</f>
        <v>R5</v>
      </c>
      <c r="M271" s="223">
        <f>IFERROR(INDEX('Green_rooibos initial weight'!$C$5:$C$2000,MATCH(L271, 'Green_rooibos initial weight'!$A$5:$A$2000,0)),"")</f>
        <v>2.1800000000000002</v>
      </c>
      <c r="N271" s="223">
        <f>IFERROR(M271-(TBIcalc!$H$9+TBIcalc!$H$10),"")</f>
        <v>1.9302000000000001</v>
      </c>
      <c r="O271" s="378">
        <f>AVERAGE(Ashed_controlls!$K$2:$K$11)</f>
        <v>5.5147656768714146</v>
      </c>
      <c r="P271" s="223">
        <f t="shared" si="21"/>
        <v>1.8237539929050282</v>
      </c>
      <c r="Q271" s="223">
        <f>IFERROR(INDEX('Both teabags AfterWet'!$C$3:$C$840,MATCH(L271,'Both teabags AfterWet'!$A$3:$A$840,0)),"")</f>
        <v>0.32769999999999999</v>
      </c>
      <c r="R271" s="223">
        <f>IFERROR(IF(Q271&gt;0,Q271-(TBIcalc!$H$9),""),"")</f>
        <v>0.17709999999999998</v>
      </c>
      <c r="S271" s="223">
        <f>IFERROR(INDEX('Ashed teabags wet'!$K$2:$K$2000,MATCH(L271,'Ashed teabags wet'!$A$2:$A$2000,0)),"")</f>
        <v>0</v>
      </c>
      <c r="T271" s="223">
        <f t="shared" si="22"/>
        <v>0.17709999999999998</v>
      </c>
      <c r="U271" s="224">
        <f>'WetLitterbags placem_collection'!E52</f>
        <v>42766</v>
      </c>
      <c r="V271" s="224">
        <f>IF('WetLitterbags placem_collection'!G52="","",'WetLitterbags placem_collection'!G52)</f>
        <v>42820</v>
      </c>
      <c r="W271" s="225">
        <f t="shared" si="20"/>
        <v>54</v>
      </c>
      <c r="X271" s="223">
        <f t="shared" si="23"/>
        <v>1.7531000000000001</v>
      </c>
      <c r="Y271" s="223">
        <f t="shared" si="24"/>
        <v>1.6466539929050281</v>
      </c>
      <c r="Z271">
        <f>IFERROR(INDEX([1]Rainfall_Wet!$O$2:$O$217,MATCH(C271, [1]Rainfall_Wet!$A$2:$A$217,0)),"")</f>
        <v>214.262898705</v>
      </c>
      <c r="AA271" s="226">
        <v>21.96</v>
      </c>
      <c r="AB271" s="226">
        <v>8.9199999999999982</v>
      </c>
      <c r="AC271" s="226">
        <v>69.12</v>
      </c>
      <c r="AD271" s="227" t="s">
        <v>2651</v>
      </c>
      <c r="AE271" s="226">
        <v>1.7491375061606702</v>
      </c>
      <c r="AF271">
        <f>IF('WetLitterbags placem_collection'!AB52="","",'WetLitterbags placem_collection'!AB52)</f>
        <v>10</v>
      </c>
      <c r="AG271">
        <f>IF('WetLitterbags placem_collection'!Z52="","",'WetLitterbags placem_collection'!Z52)</f>
        <v>22.5</v>
      </c>
      <c r="AH271" s="236" t="str">
        <f>IF('WetLitterbags placem_collection'!AA52="","",'WetLitterbags placem_collection'!AA52)</f>
        <v>M</v>
      </c>
      <c r="AI271">
        <f>IF('WetLitterbags placem_collection'!AC52="","",'WetLitterbags placem_collection'!AC52)</f>
        <v>1</v>
      </c>
      <c r="AJ271" s="233">
        <f>AVERAGE('WetLitterbags placem_collection'!S52,'WetLitterbags placem_collection'!U52)</f>
        <v>31.4</v>
      </c>
      <c r="AK271">
        <f>AVERAGE('WetLitterbags placem_collection'!R52,'WetLitterbags placem_collection'!T52)</f>
        <v>22.4</v>
      </c>
      <c r="AL271">
        <f>INDEX([2]Coordinates!$B$2:$B$197,MATCH(I271,[2]Coordinates!$J$2:$J$197,0))</f>
        <v>-3.4062630399999998</v>
      </c>
      <c r="AM271">
        <f>INDEX([2]Coordinates!$C$2:$C$197,MATCH(I271,[2]Coordinates!$J$2:$J$197,0))</f>
        <v>34.850566010000001</v>
      </c>
      <c r="AN271" t="str">
        <f>IF(ISNUMBER(SEARCH("C", 'WetLitterbags placem_collection'!$W52)),"YES","NO")</f>
        <v>NO</v>
      </c>
      <c r="AO271" t="str">
        <f>IF(ISNUMBER(SEARCH("H", 'WetLitterbags placem_collection'!$W52)),"YES","NO")</f>
        <v>NO</v>
      </c>
      <c r="AP271" t="str">
        <f>IF(ISNUMBER(SEARCH("R", 'WetLitterbags placem_collection'!$W52)),"YES","NO")</f>
        <v>NO</v>
      </c>
    </row>
    <row r="272" spans="1:42" ht="15" customHeight="1">
      <c r="A272" t="s">
        <v>3248</v>
      </c>
      <c r="B272" s="248" t="s">
        <v>2454</v>
      </c>
      <c r="C272" s="253">
        <f>'Dry_Litterbag Placem_Collection'!A53</f>
        <v>51</v>
      </c>
      <c r="D272" s="253" t="str">
        <f>'Dry_Litterbag Placem_Collection'!B53</f>
        <v>Makao</v>
      </c>
      <c r="E272" s="253" t="s">
        <v>2643</v>
      </c>
      <c r="F272" s="253" t="s">
        <v>20</v>
      </c>
      <c r="G272" s="253">
        <v>3</v>
      </c>
      <c r="H272" s="253" t="s">
        <v>3109</v>
      </c>
      <c r="I272" s="254" t="str">
        <f>'Dry_Litterbag Placem_Collection'!C53</f>
        <v>Dry_P3_T3</v>
      </c>
      <c r="J272" s="255" t="s">
        <v>2525</v>
      </c>
      <c r="K272" s="262" t="s">
        <v>298</v>
      </c>
      <c r="L272" s="221" t="str">
        <f>'WetLitterbags placem_collection'!M53</f>
        <v>R85</v>
      </c>
      <c r="M272" s="223">
        <f>IFERROR(INDEX('Green_rooibos initial weight'!$C$5:$C$2000,MATCH(L272, 'Green_rooibos initial weight'!$A$5:$A$2000,0)),"")</f>
        <v>2.1930000000000001</v>
      </c>
      <c r="N272" s="223">
        <f>IFERROR(M272-(TBIcalc!$H$9+TBIcalc!$H$10),"")</f>
        <v>1.9432</v>
      </c>
      <c r="O272" s="378">
        <f>AVERAGE(Ashed_controlls!$K$2:$K$11)</f>
        <v>5.5147656768714146</v>
      </c>
      <c r="P272" s="223">
        <f t="shared" si="21"/>
        <v>1.8360370733670348</v>
      </c>
      <c r="Q272" s="223">
        <f>IFERROR(INDEX('Both teabags AfterWet'!$C$3:$C$840,MATCH(L272,'Both teabags AfterWet'!$A$3:$A$840,0)),"")</f>
        <v>1.599</v>
      </c>
      <c r="R272" s="223">
        <f>IFERROR(IF(Q272&gt;0,Q272-(TBIcalc!$H$9),""),"")</f>
        <v>1.4483999999999999</v>
      </c>
      <c r="S272" s="223">
        <f>IFERROR(INDEX('Ashed teabags wet'!$K$2:$K$2000,MATCH(L272,'Ashed teabags wet'!$A$2:$A$2000,0)),"")</f>
        <v>6.0009601536244919</v>
      </c>
      <c r="T272" s="223">
        <f t="shared" si="22"/>
        <v>1.3614820931349028</v>
      </c>
      <c r="U272" s="224">
        <f>'WetLitterbags placem_collection'!E53</f>
        <v>42766</v>
      </c>
      <c r="V272" s="224">
        <f>IF('WetLitterbags placem_collection'!G53="","",'WetLitterbags placem_collection'!G53)</f>
        <v>42820</v>
      </c>
      <c r="W272" s="225">
        <f t="shared" si="20"/>
        <v>54</v>
      </c>
      <c r="X272" s="223">
        <f t="shared" si="23"/>
        <v>0.49480000000000013</v>
      </c>
      <c r="Y272" s="223">
        <f t="shared" si="24"/>
        <v>0.47455498023213205</v>
      </c>
      <c r="Z272">
        <f>IFERROR(INDEX([1]Rainfall_Wet!$O$2:$O$217,MATCH(C272, [1]Rainfall_Wet!$A$2:$A$217,0)),"")</f>
        <v>214.262898705</v>
      </c>
      <c r="AA272" s="226">
        <v>21.96</v>
      </c>
      <c r="AB272" s="226">
        <v>8.9199999999999982</v>
      </c>
      <c r="AC272" s="226">
        <v>69.12</v>
      </c>
      <c r="AD272" s="227" t="s">
        <v>2651</v>
      </c>
      <c r="AE272" s="226">
        <v>1.7491375061606702</v>
      </c>
      <c r="AF272">
        <f>IF('WetLitterbags placem_collection'!AB53="","",'WetLitterbags placem_collection'!AB53)</f>
        <v>3</v>
      </c>
      <c r="AG272">
        <f>IF('WetLitterbags placem_collection'!Z53="","",'WetLitterbags placem_collection'!Z53)</f>
        <v>18</v>
      </c>
      <c r="AH272" s="236" t="str">
        <f>IF('WetLitterbags placem_collection'!AA53="","",'WetLitterbags placem_collection'!AA53)</f>
        <v>O</v>
      </c>
      <c r="AI272">
        <f>IF('WetLitterbags placem_collection'!AC53="","",'WetLitterbags placem_collection'!AC53)</f>
        <v>0</v>
      </c>
      <c r="AJ272" s="233">
        <f>AVERAGE('WetLitterbags placem_collection'!S53,'WetLitterbags placem_collection'!U53)</f>
        <v>20.2</v>
      </c>
      <c r="AK272">
        <f>AVERAGE('WetLitterbags placem_collection'!R53,'WetLitterbags placem_collection'!T53)</f>
        <v>27.4</v>
      </c>
      <c r="AL272">
        <f>INDEX([2]Coordinates!$B$2:$B$197,MATCH(I272,[2]Coordinates!$J$2:$J$197,0))</f>
        <v>-3.4063920379999999</v>
      </c>
      <c r="AM272">
        <f>INDEX([2]Coordinates!$C$2:$C$197,MATCH(I272,[2]Coordinates!$J$2:$J$197,0))</f>
        <v>34.850696020000001</v>
      </c>
      <c r="AN272" t="str">
        <f>IF(ISNUMBER(SEARCH("C", 'WetLitterbags placem_collection'!$W53)),"YES","NO")</f>
        <v>NO</v>
      </c>
      <c r="AO272" t="str">
        <f>IF(ISNUMBER(SEARCH("H", 'WetLitterbags placem_collection'!$W53)),"YES","NO")</f>
        <v>NO</v>
      </c>
      <c r="AP272" t="str">
        <f>IF(ISNUMBER(SEARCH("R", 'WetLitterbags placem_collection'!$W53)),"YES","NO")</f>
        <v>YES</v>
      </c>
    </row>
    <row r="273" spans="1:42" ht="15" customHeight="1">
      <c r="A273" t="s">
        <v>3248</v>
      </c>
      <c r="B273" s="248" t="s">
        <v>2454</v>
      </c>
      <c r="C273" s="253">
        <f>'Dry_Litterbag Placem_Collection'!A54</f>
        <v>52</v>
      </c>
      <c r="D273" s="253" t="str">
        <f>'Dry_Litterbag Placem_Collection'!B54</f>
        <v>Makao</v>
      </c>
      <c r="E273" s="253" t="s">
        <v>2643</v>
      </c>
      <c r="F273" s="253" t="s">
        <v>20</v>
      </c>
      <c r="G273" s="253">
        <v>3</v>
      </c>
      <c r="H273" s="253" t="s">
        <v>3109</v>
      </c>
      <c r="I273" s="254" t="str">
        <f>'Dry_Litterbag Placem_Collection'!C54</f>
        <v>Dry_P3_T4</v>
      </c>
      <c r="J273" s="255" t="s">
        <v>2525</v>
      </c>
      <c r="K273" s="262" t="s">
        <v>298</v>
      </c>
      <c r="L273" s="221" t="str">
        <f>'WetLitterbags placem_collection'!M54</f>
        <v>R513</v>
      </c>
      <c r="M273" s="223">
        <f>IFERROR(INDEX('Green_rooibos initial weight'!$C$5:$C$2000,MATCH(L273, 'Green_rooibos initial weight'!$A$5:$A$2000,0)),"")</f>
        <v>2.1389999999999998</v>
      </c>
      <c r="N273" s="223">
        <f>IFERROR(M273-(TBIcalc!$H$9+TBIcalc!$H$10),"")</f>
        <v>1.8891999999999998</v>
      </c>
      <c r="O273" s="378">
        <f>AVERAGE(Ashed_controlls!$K$2:$K$11)</f>
        <v>5.5147656768714146</v>
      </c>
      <c r="P273" s="223">
        <f t="shared" si="21"/>
        <v>1.785015046832545</v>
      </c>
      <c r="Q273" s="223">
        <f>IFERROR(INDEX('Both teabags AfterWet'!$C$3:$C$840,MATCH(L273,'Both teabags AfterWet'!$A$3:$A$840,0)),"")</f>
        <v>1.6279999999999999</v>
      </c>
      <c r="R273" s="223">
        <f>IFERROR(IF(Q273&gt;0,Q273-(TBIcalc!$H$9),""),"")</f>
        <v>1.4773999999999998</v>
      </c>
      <c r="S273" s="223">
        <f>IFERROR(INDEX('Ashed teabags wet'!$K$2:$K$2000,MATCH(L273,'Ashed teabags wet'!$A$2:$A$2000,0)),"")</f>
        <v>11.073500967118232</v>
      </c>
      <c r="T273" s="223">
        <f t="shared" si="22"/>
        <v>1.3138000967117951</v>
      </c>
      <c r="U273" s="224">
        <f>'WetLitterbags placem_collection'!E54</f>
        <v>42766</v>
      </c>
      <c r="V273" s="224">
        <f>IF('WetLitterbags placem_collection'!G54="","",'WetLitterbags placem_collection'!G54)</f>
        <v>42820</v>
      </c>
      <c r="W273" s="225">
        <f t="shared" si="20"/>
        <v>54</v>
      </c>
      <c r="X273" s="223">
        <f t="shared" si="23"/>
        <v>0.41179999999999994</v>
      </c>
      <c r="Y273" s="223">
        <f t="shared" si="24"/>
        <v>0.47121495012074988</v>
      </c>
      <c r="Z273">
        <f>IFERROR(INDEX([1]Rainfall_Wet!$O$2:$O$217,MATCH(C273, [1]Rainfall_Wet!$A$2:$A$217,0)),"")</f>
        <v>214.262898705</v>
      </c>
      <c r="AA273" s="226">
        <v>21.96</v>
      </c>
      <c r="AB273" s="226">
        <v>8.9199999999999982</v>
      </c>
      <c r="AC273" s="226">
        <v>69.12</v>
      </c>
      <c r="AD273" s="227" t="s">
        <v>2651</v>
      </c>
      <c r="AE273" s="226">
        <v>1.7491375061606702</v>
      </c>
      <c r="AF273">
        <f>IF('WetLitterbags placem_collection'!AB54="","",'WetLitterbags placem_collection'!AB54)</f>
        <v>13.4</v>
      </c>
      <c r="AG273">
        <f>IF('WetLitterbags placem_collection'!Z54="","",'WetLitterbags placem_collection'!Z54)</f>
        <v>67</v>
      </c>
      <c r="AH273" s="236" t="str">
        <f>IF('WetLitterbags placem_collection'!AA54="","",'WetLitterbags placem_collection'!AA54)</f>
        <v>M</v>
      </c>
      <c r="AI273">
        <f>IF('WetLitterbags placem_collection'!AC54="","",'WetLitterbags placem_collection'!AC54)</f>
        <v>1</v>
      </c>
      <c r="AJ273" s="233">
        <f>AVERAGE('WetLitterbags placem_collection'!S54,'WetLitterbags placem_collection'!U54)</f>
        <v>29.8</v>
      </c>
      <c r="AK273">
        <f>AVERAGE('WetLitterbags placem_collection'!R54,'WetLitterbags placem_collection'!T54)</f>
        <v>25.799999999999997</v>
      </c>
      <c r="AL273">
        <f>INDEX([2]Coordinates!$B$2:$B$197,MATCH(I273,[2]Coordinates!$J$2:$J$197,0))</f>
        <v>-3.4061569999999999</v>
      </c>
      <c r="AM273">
        <f>INDEX([2]Coordinates!$C$2:$C$197,MATCH(I273,[2]Coordinates!$J$2:$J$197,0))</f>
        <v>34.850738999999997</v>
      </c>
      <c r="AN273" t="str">
        <f>IF(ISNUMBER(SEARCH("C", 'WetLitterbags placem_collection'!$W54)),"YES","NO")</f>
        <v>NO</v>
      </c>
      <c r="AO273" t="str">
        <f>IF(ISNUMBER(SEARCH("H", 'WetLitterbags placem_collection'!$W54)),"YES","NO")</f>
        <v>YES</v>
      </c>
      <c r="AP273" t="str">
        <f>IF(ISNUMBER(SEARCH("R", 'WetLitterbags placem_collection'!$W54)),"YES","NO")</f>
        <v>NO</v>
      </c>
    </row>
    <row r="274" spans="1:42" ht="15" customHeight="1">
      <c r="A274" t="s">
        <v>3248</v>
      </c>
      <c r="B274" s="248" t="s">
        <v>2454</v>
      </c>
      <c r="C274" s="253">
        <f>'Dry_Litterbag Placem_Collection'!A55</f>
        <v>53</v>
      </c>
      <c r="D274" s="253" t="str">
        <f>'Dry_Litterbag Placem_Collection'!B55</f>
        <v>Makao</v>
      </c>
      <c r="E274" s="253" t="s">
        <v>2643</v>
      </c>
      <c r="F274" s="253" t="s">
        <v>20</v>
      </c>
      <c r="G274" s="253">
        <v>3</v>
      </c>
      <c r="H274" s="253" t="s">
        <v>3109</v>
      </c>
      <c r="I274" s="254" t="str">
        <f>'Dry_Litterbag Placem_Collection'!C55</f>
        <v>Dry_P3_T5</v>
      </c>
      <c r="J274" s="255" t="s">
        <v>2525</v>
      </c>
      <c r="K274" s="262" t="s">
        <v>298</v>
      </c>
      <c r="L274" s="221" t="str">
        <f>'WetLitterbags placem_collection'!M55</f>
        <v>R399</v>
      </c>
      <c r="M274" s="223">
        <f>IFERROR(INDEX('Green_rooibos initial weight'!$C$5:$C$2000,MATCH(L274, 'Green_rooibos initial weight'!$A$5:$A$2000,0)),"")</f>
        <v>2.1389999999999998</v>
      </c>
      <c r="N274" s="223">
        <f>IFERROR(M274-(TBIcalc!$H$9+TBIcalc!$H$10),"")</f>
        <v>1.8891999999999998</v>
      </c>
      <c r="O274" s="378">
        <f>AVERAGE(Ashed_controlls!$K$2:$K$11)</f>
        <v>5.5147656768714146</v>
      </c>
      <c r="P274" s="223">
        <f t="shared" si="21"/>
        <v>1.785015046832545</v>
      </c>
      <c r="Q274" s="223" t="str">
        <f>IFERROR(INDEX('Both teabags AfterWet'!$C$3:$C$840,MATCH(L274,'Both teabags AfterWet'!$A$3:$A$840,0)),"")</f>
        <v/>
      </c>
      <c r="R274" s="223" t="str">
        <f>IFERROR(IF(Q274&gt;0,Q274-(TBIcalc!$H$9),""),"")</f>
        <v/>
      </c>
      <c r="S274" s="223" t="str">
        <f>IFERROR(INDEX('Ashed teabags wet'!$K$2:$K$2000,MATCH(L274,'Ashed teabags wet'!$A$2:$A$2000,0)),"")</f>
        <v/>
      </c>
      <c r="T274" s="223" t="str">
        <f t="shared" si="22"/>
        <v/>
      </c>
      <c r="U274" s="224">
        <f>'WetLitterbags placem_collection'!E55</f>
        <v>42766</v>
      </c>
      <c r="V274" s="224">
        <f>IF('WetLitterbags placem_collection'!G55="","",'WetLitterbags placem_collection'!G55)</f>
        <v>42820</v>
      </c>
      <c r="W274" s="225">
        <f t="shared" si="20"/>
        <v>54</v>
      </c>
      <c r="X274" s="223" t="str">
        <f t="shared" si="23"/>
        <v/>
      </c>
      <c r="Y274" s="223" t="str">
        <f t="shared" si="24"/>
        <v/>
      </c>
      <c r="Z274">
        <f>IFERROR(INDEX([1]Rainfall_Wet!$O$2:$O$217,MATCH(C274, [1]Rainfall_Wet!$A$2:$A$217,0)),"")</f>
        <v>214.262898705</v>
      </c>
      <c r="AA274" s="226">
        <v>21.96</v>
      </c>
      <c r="AB274" s="226">
        <v>8.9199999999999982</v>
      </c>
      <c r="AC274" s="226">
        <v>69.12</v>
      </c>
      <c r="AD274" s="227" t="s">
        <v>2651</v>
      </c>
      <c r="AE274" s="226">
        <v>1.7491375061606702</v>
      </c>
      <c r="AF274" t="str">
        <f>IF('WetLitterbags placem_collection'!AB55="","",'WetLitterbags placem_collection'!AB55)</f>
        <v/>
      </c>
      <c r="AG274" t="str">
        <f>IF('WetLitterbags placem_collection'!Z55="","",'WetLitterbags placem_collection'!Z55)</f>
        <v/>
      </c>
      <c r="AH274" s="236" t="str">
        <f>IF('WetLitterbags placem_collection'!AA55="","",'WetLitterbags placem_collection'!AA55)</f>
        <v/>
      </c>
      <c r="AI274" t="str">
        <f>IF('WetLitterbags placem_collection'!AC55="","",'WetLitterbags placem_collection'!AC55)</f>
        <v/>
      </c>
      <c r="AJ274" s="233">
        <f>AVERAGE('WetLitterbags placem_collection'!S55,'WetLitterbags placem_collection'!U55)</f>
        <v>20.2</v>
      </c>
      <c r="AK274">
        <f>AVERAGE('WetLitterbags placem_collection'!R55,'WetLitterbags placem_collection'!T55)</f>
        <v>22.2</v>
      </c>
      <c r="AL274">
        <f>INDEX([2]Coordinates!$B$2:$B$197,MATCH(I274,[2]Coordinates!$J$2:$J$197,0))</f>
        <v>-3.4061140000000001</v>
      </c>
      <c r="AM274">
        <f>INDEX([2]Coordinates!$C$2:$C$197,MATCH(I274,[2]Coordinates!$J$2:$J$197,0))</f>
        <v>34.850596000000003</v>
      </c>
      <c r="AN274" t="str">
        <f>IF(ISNUMBER(SEARCH("C", 'WetLitterbags placem_collection'!$W55)),"YES","NO")</f>
        <v>NO</v>
      </c>
      <c r="AO274" t="str">
        <f>IF(ISNUMBER(SEARCH("H", 'WetLitterbags placem_collection'!$W55)),"YES","NO")</f>
        <v>NO</v>
      </c>
      <c r="AP274" t="str">
        <f>IF(ISNUMBER(SEARCH("R", 'WetLitterbags placem_collection'!$W55)),"YES","NO")</f>
        <v>NO</v>
      </c>
    </row>
    <row r="275" spans="1:42" ht="15" customHeight="1">
      <c r="A275" t="s">
        <v>3248</v>
      </c>
      <c r="B275" s="248" t="s">
        <v>2454</v>
      </c>
      <c r="C275" s="253">
        <f>'Dry_Litterbag Placem_Collection'!A56</f>
        <v>54</v>
      </c>
      <c r="D275" s="253" t="str">
        <f>'Dry_Litterbag Placem_Collection'!B56</f>
        <v>Makao</v>
      </c>
      <c r="E275" s="253" t="s">
        <v>2643</v>
      </c>
      <c r="F275" s="253" t="s">
        <v>20</v>
      </c>
      <c r="G275" s="253">
        <v>3</v>
      </c>
      <c r="H275" s="253" t="s">
        <v>3109</v>
      </c>
      <c r="I275" s="254" t="str">
        <f>'Dry_Litterbag Placem_Collection'!C56</f>
        <v>Dry_P3_T6</v>
      </c>
      <c r="J275" s="255" t="s">
        <v>2525</v>
      </c>
      <c r="K275" s="262" t="s">
        <v>298</v>
      </c>
      <c r="L275" s="221" t="str">
        <f>'WetLitterbags placem_collection'!M56</f>
        <v>R400</v>
      </c>
      <c r="M275" s="223">
        <f>IFERROR(INDEX('Green_rooibos initial weight'!$C$5:$C$2000,MATCH(L275, 'Green_rooibos initial weight'!$A$5:$A$2000,0)),"")</f>
        <v>2.181</v>
      </c>
      <c r="N275" s="223">
        <f>IFERROR(M275-(TBIcalc!$H$9+TBIcalc!$H$10),"")</f>
        <v>1.9312</v>
      </c>
      <c r="O275" s="378">
        <f>AVERAGE(Ashed_controlls!$K$2:$K$11)</f>
        <v>5.5147656768714146</v>
      </c>
      <c r="P275" s="223">
        <f t="shared" si="21"/>
        <v>1.8246988452482593</v>
      </c>
      <c r="Q275" s="223" t="str">
        <f>IFERROR(INDEX('Both teabags AfterWet'!$C$3:$C$840,MATCH(L275,'Both teabags AfterWet'!$A$3:$A$840,0)),"")</f>
        <v/>
      </c>
      <c r="R275" s="223" t="str">
        <f>IFERROR(IF(Q275&gt;0,Q275-(TBIcalc!$H$9),""),"")</f>
        <v/>
      </c>
      <c r="S275" s="223" t="str">
        <f>IFERROR(INDEX('Ashed teabags wet'!$K$2:$K$2000,MATCH(L275,'Ashed teabags wet'!$A$2:$A$2000,0)),"")</f>
        <v/>
      </c>
      <c r="T275" s="223" t="str">
        <f t="shared" si="22"/>
        <v/>
      </c>
      <c r="U275" s="224">
        <f>'WetLitterbags placem_collection'!E56</f>
        <v>42766</v>
      </c>
      <c r="V275" s="224">
        <f>IF('WetLitterbags placem_collection'!G56="","",'WetLitterbags placem_collection'!G56)</f>
        <v>42820</v>
      </c>
      <c r="W275" s="225">
        <f t="shared" si="20"/>
        <v>54</v>
      </c>
      <c r="X275" s="223" t="str">
        <f t="shared" si="23"/>
        <v/>
      </c>
      <c r="Y275" s="223" t="str">
        <f t="shared" si="24"/>
        <v/>
      </c>
      <c r="Z275">
        <f>IFERROR(INDEX([1]Rainfall_Wet!$O$2:$O$217,MATCH(C275, [1]Rainfall_Wet!$A$2:$A$217,0)),"")</f>
        <v>214.262898705</v>
      </c>
      <c r="AA275" s="226">
        <v>21.96</v>
      </c>
      <c r="AB275" s="226">
        <v>8.9199999999999982</v>
      </c>
      <c r="AC275" s="226">
        <v>69.12</v>
      </c>
      <c r="AD275" s="227" t="s">
        <v>2651</v>
      </c>
      <c r="AE275" s="226">
        <v>1.7491375061606702</v>
      </c>
      <c r="AF275" t="str">
        <f>IF('WetLitterbags placem_collection'!AB56="","",'WetLitterbags placem_collection'!AB56)</f>
        <v/>
      </c>
      <c r="AG275" t="str">
        <f>IF('WetLitterbags placem_collection'!Z56="","",'WetLitterbags placem_collection'!Z56)</f>
        <v/>
      </c>
      <c r="AH275" s="236" t="str">
        <f>IF('WetLitterbags placem_collection'!AA56="","",'WetLitterbags placem_collection'!AA56)</f>
        <v/>
      </c>
      <c r="AI275" t="str">
        <f>IF('WetLitterbags placem_collection'!AC56="","",'WetLitterbags placem_collection'!AC56)</f>
        <v/>
      </c>
      <c r="AJ275" s="233">
        <f>AVERAGE('WetLitterbags placem_collection'!S56,'WetLitterbags placem_collection'!U56)</f>
        <v>30.1</v>
      </c>
      <c r="AK275">
        <f>AVERAGE('WetLitterbags placem_collection'!R56,'WetLitterbags placem_collection'!T56)</f>
        <v>22.2</v>
      </c>
      <c r="AL275">
        <f>INDEX([2]Coordinates!$B$2:$B$197,MATCH(I275,[2]Coordinates!$J$2:$J$197,0))</f>
        <v>-3.406058019</v>
      </c>
      <c r="AM275">
        <f>INDEX([2]Coordinates!$C$2:$C$197,MATCH(I275,[2]Coordinates!$J$2:$J$197,0))</f>
        <v>34.850466019999999</v>
      </c>
      <c r="AN275" t="str">
        <f>IF(ISNUMBER(SEARCH("C", 'WetLitterbags placem_collection'!$W56)),"YES","NO")</f>
        <v>NO</v>
      </c>
      <c r="AO275" t="str">
        <f>IF(ISNUMBER(SEARCH("H", 'WetLitterbags placem_collection'!$W56)),"YES","NO")</f>
        <v>NO</v>
      </c>
      <c r="AP275" t="str">
        <f>IF(ISNUMBER(SEARCH("R", 'WetLitterbags placem_collection'!$W56)),"YES","NO")</f>
        <v>NO</v>
      </c>
    </row>
    <row r="276" spans="1:42" ht="15" customHeight="1">
      <c r="A276" t="s">
        <v>3248</v>
      </c>
      <c r="B276" s="248" t="s">
        <v>2454</v>
      </c>
      <c r="C276" s="253">
        <f>'Dry_Litterbag Placem_Collection'!A57</f>
        <v>55</v>
      </c>
      <c r="D276" s="253" t="str">
        <f>'Dry_Litterbag Placem_Collection'!B57</f>
        <v>Makao</v>
      </c>
      <c r="E276" s="253" t="s">
        <v>2643</v>
      </c>
      <c r="F276" s="253" t="s">
        <v>20</v>
      </c>
      <c r="G276" s="253">
        <v>3</v>
      </c>
      <c r="H276" s="253" t="s">
        <v>3109</v>
      </c>
      <c r="I276" s="254" t="str">
        <f>'Dry_Litterbag Placem_Collection'!C57</f>
        <v>Dry_P3_T7</v>
      </c>
      <c r="J276" s="255" t="s">
        <v>2525</v>
      </c>
      <c r="K276" s="262" t="s">
        <v>298</v>
      </c>
      <c r="L276" s="221" t="str">
        <f>'WetLitterbags placem_collection'!M57</f>
        <v>R19</v>
      </c>
      <c r="M276" s="223">
        <f>IFERROR(INDEX('Green_rooibos initial weight'!$C$5:$C$2000,MATCH(L276, 'Green_rooibos initial weight'!$A$5:$A$2000,0)),"")</f>
        <v>2.2589999999999999</v>
      </c>
      <c r="N276" s="223">
        <f>IFERROR(M276-(TBIcalc!$H$9+TBIcalc!$H$10),"")</f>
        <v>2.0091999999999999</v>
      </c>
      <c r="O276" s="378">
        <f>AVERAGE(Ashed_controlls!$K$2:$K$11)</f>
        <v>5.5147656768714146</v>
      </c>
      <c r="P276" s="223">
        <f t="shared" si="21"/>
        <v>1.8983973280202995</v>
      </c>
      <c r="Q276" s="223">
        <f>IFERROR(INDEX('Both teabags AfterWet'!$C$3:$C$840,MATCH(L276,'Both teabags AfterWet'!$A$3:$A$840,0)),"")</f>
        <v>0.22600000000000001</v>
      </c>
      <c r="R276" s="223">
        <f>IFERROR(IF(Q276&gt;0,Q276-(TBIcalc!$H$9),""),"")</f>
        <v>7.5399999999999995E-2</v>
      </c>
      <c r="S276" s="223">
        <f>IFERROR(INDEX('Ashed teabags wet'!$K$2:$K$2000,MATCH(L276,'Ashed teabags wet'!$A$2:$A$2000,0)),"")</f>
        <v>0</v>
      </c>
      <c r="T276" s="223">
        <f t="shared" si="22"/>
        <v>7.5399999999999995E-2</v>
      </c>
      <c r="U276" s="224">
        <f>'WetLitterbags placem_collection'!E57</f>
        <v>42766</v>
      </c>
      <c r="V276" s="224">
        <f>IF('WetLitterbags placem_collection'!G57="","",'WetLitterbags placem_collection'!G57)</f>
        <v>42820</v>
      </c>
      <c r="W276" s="225">
        <f t="shared" si="20"/>
        <v>54</v>
      </c>
      <c r="X276" s="223">
        <f t="shared" si="23"/>
        <v>1.9338</v>
      </c>
      <c r="Y276" s="223">
        <f t="shared" si="24"/>
        <v>1.8229973280202996</v>
      </c>
      <c r="Z276">
        <f>IFERROR(INDEX([1]Rainfall_Wet!$O$2:$O$217,MATCH(C276, [1]Rainfall_Wet!$A$2:$A$217,0)),"")</f>
        <v>214.262898705</v>
      </c>
      <c r="AA276" s="226">
        <v>21.96</v>
      </c>
      <c r="AB276" s="226">
        <v>8.9199999999999982</v>
      </c>
      <c r="AC276" s="226">
        <v>69.12</v>
      </c>
      <c r="AD276" s="227" t="s">
        <v>2651</v>
      </c>
      <c r="AE276" s="226">
        <v>1.7491375061606702</v>
      </c>
      <c r="AF276">
        <f>IF('WetLitterbags placem_collection'!AB57="","",'WetLitterbags placem_collection'!AB57)</f>
        <v>15.8</v>
      </c>
      <c r="AG276">
        <f>IF('WetLitterbags placem_collection'!Z57="","",'WetLitterbags placem_collection'!Z57)</f>
        <v>45</v>
      </c>
      <c r="AH276" s="236" t="str">
        <f>IF('WetLitterbags placem_collection'!AA57="","",'WetLitterbags placem_collection'!AA57)</f>
        <v>M</v>
      </c>
      <c r="AI276">
        <f>IF('WetLitterbags placem_collection'!AC57="","",'WetLitterbags placem_collection'!AC57)</f>
        <v>1</v>
      </c>
      <c r="AJ276" s="233">
        <f>AVERAGE('WetLitterbags placem_collection'!S57,'WetLitterbags placem_collection'!U57)</f>
        <v>33</v>
      </c>
      <c r="AK276">
        <f>AVERAGE('WetLitterbags placem_collection'!R57,'WetLitterbags placem_collection'!T57)</f>
        <v>25.9</v>
      </c>
      <c r="AL276">
        <f>INDEX([2]Coordinates!$B$2:$B$197,MATCH(I276,[2]Coordinates!$J$2:$J$197,0))</f>
        <v>-3.4061389879999999</v>
      </c>
      <c r="AM276">
        <f>INDEX([2]Coordinates!$C$2:$C$197,MATCH(I276,[2]Coordinates!$J$2:$J$197,0))</f>
        <v>34.850574979999998</v>
      </c>
      <c r="AN276" t="str">
        <f>IF(ISNUMBER(SEARCH("C", 'WetLitterbags placem_collection'!$W57)),"YES","NO")</f>
        <v>NO</v>
      </c>
      <c r="AO276" t="str">
        <f>IF(ISNUMBER(SEARCH("H", 'WetLitterbags placem_collection'!$W57)),"YES","NO")</f>
        <v>YES</v>
      </c>
      <c r="AP276" t="str">
        <f>IF(ISNUMBER(SEARCH("R", 'WetLitterbags placem_collection'!$W57)),"YES","NO")</f>
        <v>NO</v>
      </c>
    </row>
    <row r="277" spans="1:42" ht="15" customHeight="1">
      <c r="A277" t="s">
        <v>3248</v>
      </c>
      <c r="B277" s="248" t="s">
        <v>2454</v>
      </c>
      <c r="C277" s="253">
        <f>'Dry_Litterbag Placem_Collection'!A58</f>
        <v>56</v>
      </c>
      <c r="D277" s="253" t="str">
        <f>'Dry_Litterbag Placem_Collection'!B58</f>
        <v>Makao</v>
      </c>
      <c r="E277" s="253" t="s">
        <v>2643</v>
      </c>
      <c r="F277" s="253" t="s">
        <v>20</v>
      </c>
      <c r="G277" s="253">
        <v>3</v>
      </c>
      <c r="H277" s="253" t="s">
        <v>3109</v>
      </c>
      <c r="I277" s="254" t="str">
        <f>'Dry_Litterbag Placem_Collection'!C58</f>
        <v>Dry_P3_T8</v>
      </c>
      <c r="J277" s="255" t="s">
        <v>2525</v>
      </c>
      <c r="K277" s="262" t="s">
        <v>298</v>
      </c>
      <c r="L277" s="221" t="str">
        <f>'WetLitterbags placem_collection'!M58</f>
        <v>R60</v>
      </c>
      <c r="M277" s="223">
        <f>IFERROR(INDEX('Green_rooibos initial weight'!$C$5:$C$2000,MATCH(L277, 'Green_rooibos initial weight'!$A$5:$A$2000,0)),"")</f>
        <v>2.3220000000000001</v>
      </c>
      <c r="N277" s="223">
        <f>IFERROR(M277-(TBIcalc!$H$9+TBIcalc!$H$10),"")</f>
        <v>2.0722</v>
      </c>
      <c r="O277" s="378">
        <f>AVERAGE(Ashed_controlls!$K$2:$K$11)</f>
        <v>5.5147656768714146</v>
      </c>
      <c r="P277" s="223">
        <f t="shared" si="21"/>
        <v>1.9579230256438707</v>
      </c>
      <c r="Q277" s="223">
        <f>IFERROR(INDEX('Both teabags AfterWet'!$C$3:$C$840,MATCH(L277,'Both teabags AfterWet'!$A$3:$A$840,0)),"")</f>
        <v>2.2909999999999999</v>
      </c>
      <c r="R277" s="223">
        <f>IFERROR(IF(Q277&gt;0,Q277-(TBIcalc!$H$9),""),"")</f>
        <v>2.1404000000000001</v>
      </c>
      <c r="S277" s="223">
        <f>IFERROR(INDEX('Ashed teabags wet'!$K$2:$K$2000,MATCH(L277,'Ashed teabags wet'!$A$2:$A$2000,0)),"")</f>
        <v>90.284005979073754</v>
      </c>
      <c r="T277" s="223">
        <f t="shared" si="22"/>
        <v>0.20796113602390531</v>
      </c>
      <c r="U277" s="224">
        <f>'WetLitterbags placem_collection'!E58</f>
        <v>42766</v>
      </c>
      <c r="V277" s="224">
        <f>IF('WetLitterbags placem_collection'!G58="","",'WetLitterbags placem_collection'!G58)</f>
        <v>42820</v>
      </c>
      <c r="W277" s="225">
        <f t="shared" si="20"/>
        <v>54</v>
      </c>
      <c r="X277" s="223">
        <f t="shared" si="23"/>
        <v>-6.8200000000000038E-2</v>
      </c>
      <c r="Y277" s="223">
        <f t="shared" si="24"/>
        <v>1.7499618896199653</v>
      </c>
      <c r="Z277">
        <f>IFERROR(INDEX([1]Rainfall_Wet!$O$2:$O$217,MATCH(C277, [1]Rainfall_Wet!$A$2:$A$217,0)),"")</f>
        <v>214.262898705</v>
      </c>
      <c r="AA277" s="226">
        <v>21.96</v>
      </c>
      <c r="AB277" s="226">
        <v>8.9199999999999982</v>
      </c>
      <c r="AC277" s="226">
        <v>69.12</v>
      </c>
      <c r="AD277" s="227" t="s">
        <v>2651</v>
      </c>
      <c r="AE277" s="226">
        <v>1.7491375061606702</v>
      </c>
      <c r="AF277">
        <f>IF('WetLitterbags placem_collection'!AB58="","",'WetLitterbags placem_collection'!AB58)</f>
        <v>15.4</v>
      </c>
      <c r="AG277">
        <f>IF('WetLitterbags placem_collection'!Z58="","",'WetLitterbags placem_collection'!Z58)</f>
        <v>30.8</v>
      </c>
      <c r="AH277" s="236" t="str">
        <f>IF('WetLitterbags placem_collection'!AA58="","",'WetLitterbags placem_collection'!AA58)</f>
        <v>M</v>
      </c>
      <c r="AI277">
        <f>IF('WetLitterbags placem_collection'!AC58="","",'WetLitterbags placem_collection'!AC58)</f>
        <v>0</v>
      </c>
      <c r="AJ277" s="233">
        <f>AVERAGE('WetLitterbags placem_collection'!S58,'WetLitterbags placem_collection'!U58)</f>
        <v>29.5</v>
      </c>
      <c r="AK277">
        <f>AVERAGE('WetLitterbags placem_collection'!R58,'WetLitterbags placem_collection'!T58)</f>
        <v>27.6</v>
      </c>
      <c r="AL277">
        <f>INDEX([2]Coordinates!$B$2:$B$197,MATCH(I277,[2]Coordinates!$J$2:$J$197,0))</f>
        <v>-3.4062900300000001</v>
      </c>
      <c r="AM277">
        <f>INDEX([2]Coordinates!$C$2:$C$197,MATCH(I277,[2]Coordinates!$J$2:$J$197,0))</f>
        <v>34.850441959999998</v>
      </c>
      <c r="AN277" t="str">
        <f>IF(ISNUMBER(SEARCH("C", 'WetLitterbags placem_collection'!$W58)),"YES","NO")</f>
        <v>YES</v>
      </c>
      <c r="AO277" t="str">
        <f>IF(ISNUMBER(SEARCH("H", 'WetLitterbags placem_collection'!$W58)),"YES","NO")</f>
        <v>YES</v>
      </c>
      <c r="AP277" t="str">
        <f>IF(ISNUMBER(SEARCH("R", 'WetLitterbags placem_collection'!$W58)),"YES","NO")</f>
        <v>NO</v>
      </c>
    </row>
    <row r="278" spans="1:42" ht="15" customHeight="1">
      <c r="A278" t="s">
        <v>3248</v>
      </c>
      <c r="B278" s="248" t="s">
        <v>2454</v>
      </c>
      <c r="C278" s="253">
        <f>'Dry_Litterbag Placem_Collection'!A59</f>
        <v>57</v>
      </c>
      <c r="D278" s="253" t="str">
        <f>'Dry_Litterbag Placem_Collection'!B59</f>
        <v>Makao</v>
      </c>
      <c r="E278" s="253" t="s">
        <v>2643</v>
      </c>
      <c r="F278" s="253" t="s">
        <v>20</v>
      </c>
      <c r="G278" s="253">
        <v>4</v>
      </c>
      <c r="H278" s="253" t="s">
        <v>3110</v>
      </c>
      <c r="I278" s="254" t="str">
        <f>'Dry_Litterbag Placem_Collection'!C59</f>
        <v>Dry_P4_T1</v>
      </c>
      <c r="J278" s="255" t="s">
        <v>2525</v>
      </c>
      <c r="K278" s="262" t="s">
        <v>298</v>
      </c>
      <c r="L278" s="221" t="str">
        <f>'WetLitterbags placem_collection'!M59</f>
        <v>R161</v>
      </c>
      <c r="M278" s="223">
        <f>IFERROR(INDEX('Green_rooibos initial weight'!$C$5:$C$2000,MATCH(L278, 'Green_rooibos initial weight'!$A$5:$A$2000,0)),"")</f>
        <v>2.1829999999999998</v>
      </c>
      <c r="N278" s="223">
        <f>IFERROR(M278-(TBIcalc!$H$9+TBIcalc!$H$10),"")</f>
        <v>1.9331999999999998</v>
      </c>
      <c r="O278" s="378">
        <f>AVERAGE(Ashed_controlls!$K$2:$K$11)</f>
        <v>5.5147656768714146</v>
      </c>
      <c r="P278" s="223">
        <f t="shared" si="21"/>
        <v>1.8265885499347216</v>
      </c>
      <c r="Q278" s="223">
        <f>IFERROR(INDEX('Both teabags AfterWet'!$C$3:$C$840,MATCH(L278,'Both teabags AfterWet'!$A$3:$A$840,0)),"")</f>
        <v>1.266</v>
      </c>
      <c r="R278" s="223">
        <f>IFERROR(IF(Q278&gt;0,Q278-(TBIcalc!$H$9),""),"")</f>
        <v>1.1153999999999999</v>
      </c>
      <c r="S278" s="223">
        <f>IFERROR(INDEX('Ashed teabags wet'!$K$2:$K$2000,MATCH(L278,'Ashed teabags wet'!$A$2:$A$2000,0)),"")</f>
        <v>9.63680387409185</v>
      </c>
      <c r="T278" s="223">
        <f t="shared" si="22"/>
        <v>1.0079110895883794</v>
      </c>
      <c r="U278" s="224">
        <f>'WetLitterbags placem_collection'!E59</f>
        <v>42766</v>
      </c>
      <c r="V278" s="224">
        <f>IF('WetLitterbags placem_collection'!G59="","",'WetLitterbags placem_collection'!G59)</f>
        <v>42820</v>
      </c>
      <c r="W278" s="225">
        <f t="shared" si="20"/>
        <v>54</v>
      </c>
      <c r="X278" s="223">
        <f t="shared" si="23"/>
        <v>0.81779999999999986</v>
      </c>
      <c r="Y278" s="223">
        <f t="shared" si="24"/>
        <v>0.81867746034634226</v>
      </c>
      <c r="Z278">
        <f>IFERROR(INDEX([1]Rainfall_Wet!$O$2:$O$217,MATCH(C278, [1]Rainfall_Wet!$A$2:$A$217,0)),"")</f>
        <v>214.262898705</v>
      </c>
      <c r="AA278" s="226">
        <v>25.96</v>
      </c>
      <c r="AB278" s="226">
        <v>6.9200000000000008</v>
      </c>
      <c r="AC278" s="226">
        <v>67.12</v>
      </c>
      <c r="AD278" s="227" t="s">
        <v>2651</v>
      </c>
      <c r="AE278" s="226">
        <v>1.7568260226712666</v>
      </c>
      <c r="AF278">
        <f>IF('WetLitterbags placem_collection'!AB59="","",'WetLitterbags placem_collection'!AB59)</f>
        <v>3.3</v>
      </c>
      <c r="AG278">
        <f>IF('WetLitterbags placem_collection'!Z59="","",'WetLitterbags placem_collection'!Z59)</f>
        <v>28.4</v>
      </c>
      <c r="AH278" s="236" t="str">
        <f>IF('WetLitterbags placem_collection'!AA59="","",'WetLitterbags placem_collection'!AA59)</f>
        <v>O</v>
      </c>
      <c r="AI278">
        <f>IF('WetLitterbags placem_collection'!AC59="","",'WetLitterbags placem_collection'!AC59)</f>
        <v>1</v>
      </c>
      <c r="AJ278" s="233">
        <f>AVERAGE('WetLitterbags placem_collection'!S59,'WetLitterbags placem_collection'!U59)</f>
        <v>31.6</v>
      </c>
      <c r="AK278">
        <f>AVERAGE('WetLitterbags placem_collection'!R59,'WetLitterbags placem_collection'!T59)</f>
        <v>26.9</v>
      </c>
      <c r="AL278">
        <f>INDEX([2]Coordinates!$B$2:$B$197,MATCH(I278,[2]Coordinates!$J$2:$J$197,0))</f>
        <v>-3.4064239729999999</v>
      </c>
      <c r="AM278">
        <f>INDEX([2]Coordinates!$C$2:$C$197,MATCH(I278,[2]Coordinates!$J$2:$J$197,0))</f>
        <v>34.851213010000002</v>
      </c>
      <c r="AN278" t="str">
        <f>IF(ISNUMBER(SEARCH("C", 'WetLitterbags placem_collection'!$W59)),"YES","NO")</f>
        <v>NO</v>
      </c>
      <c r="AO278" t="str">
        <f>IF(ISNUMBER(SEARCH("H", 'WetLitterbags placem_collection'!$W59)),"YES","NO")</f>
        <v>YES</v>
      </c>
      <c r="AP278" t="str">
        <f>IF(ISNUMBER(SEARCH("R", 'WetLitterbags placem_collection'!$W59)),"YES","NO")</f>
        <v>YES</v>
      </c>
    </row>
    <row r="279" spans="1:42" ht="15" customHeight="1">
      <c r="A279" t="s">
        <v>3248</v>
      </c>
      <c r="B279" s="248" t="s">
        <v>2454</v>
      </c>
      <c r="C279" s="253">
        <f>'Dry_Litterbag Placem_Collection'!A60</f>
        <v>58</v>
      </c>
      <c r="D279" s="253" t="str">
        <f>'Dry_Litterbag Placem_Collection'!B60</f>
        <v>Makao</v>
      </c>
      <c r="E279" s="253" t="s">
        <v>2643</v>
      </c>
      <c r="F279" s="253" t="s">
        <v>20</v>
      </c>
      <c r="G279" s="253">
        <v>4</v>
      </c>
      <c r="H279" s="253" t="s">
        <v>3110</v>
      </c>
      <c r="I279" s="254" t="str">
        <f>'Dry_Litterbag Placem_Collection'!C60</f>
        <v>Dry_P4_T2</v>
      </c>
      <c r="J279" s="255" t="s">
        <v>2525</v>
      </c>
      <c r="K279" s="262" t="s">
        <v>298</v>
      </c>
      <c r="L279" s="221" t="str">
        <f>'WetLitterbags placem_collection'!M60</f>
        <v>R48</v>
      </c>
      <c r="M279" s="223">
        <f>IFERROR(INDEX('Green_rooibos initial weight'!$C$5:$C$2000,MATCH(L279, 'Green_rooibos initial weight'!$A$5:$A$2000,0)),"")</f>
        <v>2.2149999999999999</v>
      </c>
      <c r="N279" s="223">
        <f>IFERROR(M279-(TBIcalc!$H$9+TBIcalc!$H$10),"")</f>
        <v>1.9651999999999998</v>
      </c>
      <c r="O279" s="378">
        <f>AVERAGE(Ashed_controlls!$K$2:$K$11)</f>
        <v>5.5147656768714146</v>
      </c>
      <c r="P279" s="223">
        <f t="shared" si="21"/>
        <v>1.8568238249181228</v>
      </c>
      <c r="Q279" s="223">
        <f>IFERROR(INDEX('Both teabags AfterWet'!$C$3:$C$840,MATCH(L279,'Both teabags AfterWet'!$A$3:$A$840,0)),"")</f>
        <v>0.74880000000000002</v>
      </c>
      <c r="R279" s="223">
        <f>IFERROR(IF(Q279&gt;0,Q279-(TBIcalc!$H$9),""),"")</f>
        <v>0.59820000000000007</v>
      </c>
      <c r="S279" s="223">
        <f>IFERROR(INDEX('Ashed teabags wet'!$K$2:$K$2000,MATCH(L279,'Ashed teabags wet'!$A$2:$A$2000,0)),"")</f>
        <v>25.956144824069355</v>
      </c>
      <c r="T279" s="223">
        <f t="shared" si="22"/>
        <v>0.44293034166241718</v>
      </c>
      <c r="U279" s="224">
        <f>'WetLitterbags placem_collection'!E60</f>
        <v>42766</v>
      </c>
      <c r="V279" s="224">
        <f>IF('WetLitterbags placem_collection'!G60="","",'WetLitterbags placem_collection'!G60)</f>
        <v>42820</v>
      </c>
      <c r="W279" s="225">
        <f t="shared" si="20"/>
        <v>54</v>
      </c>
      <c r="X279" s="223">
        <f t="shared" si="23"/>
        <v>1.3669999999999998</v>
      </c>
      <c r="Y279" s="223">
        <f t="shared" si="24"/>
        <v>1.4138934832557055</v>
      </c>
      <c r="Z279">
        <f>IFERROR(INDEX([1]Rainfall_Wet!$O$2:$O$217,MATCH(C279, [1]Rainfall_Wet!$A$2:$A$217,0)),"")</f>
        <v>214.262898705</v>
      </c>
      <c r="AA279" s="226">
        <v>25.96</v>
      </c>
      <c r="AB279" s="226">
        <v>6.9200000000000008</v>
      </c>
      <c r="AC279" s="226">
        <v>67.12</v>
      </c>
      <c r="AD279" s="227" t="s">
        <v>2651</v>
      </c>
      <c r="AE279" s="226">
        <v>1.7568260226712666</v>
      </c>
      <c r="AF279">
        <f>IF('WetLitterbags placem_collection'!AB60="","",'WetLitterbags placem_collection'!AB60)</f>
        <v>1.4</v>
      </c>
      <c r="AG279">
        <f>IF('WetLitterbags placem_collection'!Z60="","",'WetLitterbags placem_collection'!Z60)</f>
        <v>54.4</v>
      </c>
      <c r="AH279" s="236" t="str">
        <f>IF('WetLitterbags placem_collection'!AA60="","",'WetLitterbags placem_collection'!AA60)</f>
        <v>O</v>
      </c>
      <c r="AI279">
        <f>IF('WetLitterbags placem_collection'!AC60="","",'WetLitterbags placem_collection'!AC60)</f>
        <v>0</v>
      </c>
      <c r="AJ279" s="233">
        <f>AVERAGE('WetLitterbags placem_collection'!S60,'WetLitterbags placem_collection'!U60)</f>
        <v>31.6</v>
      </c>
      <c r="AK279">
        <f>AVERAGE('WetLitterbags placem_collection'!R60,'WetLitterbags placem_collection'!T60)</f>
        <v>26.700000000000003</v>
      </c>
      <c r="AL279">
        <f>INDEX([2]Coordinates!$B$2:$B$197,MATCH(I279,[2]Coordinates!$J$2:$J$197,0))</f>
        <v>-3.4065020079999999</v>
      </c>
      <c r="AM279">
        <f>INDEX([2]Coordinates!$C$2:$C$197,MATCH(I279,[2]Coordinates!$J$2:$J$197,0))</f>
        <v>34.851056020000001</v>
      </c>
      <c r="AN279" t="str">
        <f>IF(ISNUMBER(SEARCH("C", 'WetLitterbags placem_collection'!$W60)),"YES","NO")</f>
        <v>NO</v>
      </c>
      <c r="AO279" t="str">
        <f>IF(ISNUMBER(SEARCH("H", 'WetLitterbags placem_collection'!$W60)),"YES","NO")</f>
        <v>YES</v>
      </c>
      <c r="AP279" t="str">
        <f>IF(ISNUMBER(SEARCH("R", 'WetLitterbags placem_collection'!$W60)),"YES","NO")</f>
        <v>NO</v>
      </c>
    </row>
    <row r="280" spans="1:42" ht="15" customHeight="1">
      <c r="A280" t="s">
        <v>3248</v>
      </c>
      <c r="B280" s="248" t="s">
        <v>2454</v>
      </c>
      <c r="C280" s="253">
        <f>'Dry_Litterbag Placem_Collection'!A61</f>
        <v>59</v>
      </c>
      <c r="D280" s="253" t="str">
        <f>'Dry_Litterbag Placem_Collection'!B61</f>
        <v>Makao</v>
      </c>
      <c r="E280" s="253" t="s">
        <v>2643</v>
      </c>
      <c r="F280" s="253" t="s">
        <v>20</v>
      </c>
      <c r="G280" s="253">
        <v>4</v>
      </c>
      <c r="H280" s="253" t="s">
        <v>3110</v>
      </c>
      <c r="I280" s="254" t="str">
        <f>'Dry_Litterbag Placem_Collection'!C61</f>
        <v>Dry_P4_T3</v>
      </c>
      <c r="J280" s="255" t="s">
        <v>2525</v>
      </c>
      <c r="K280" s="262" t="s">
        <v>298</v>
      </c>
      <c r="L280" s="221" t="str">
        <f>'WetLitterbags placem_collection'!M61</f>
        <v>R23</v>
      </c>
      <c r="M280" s="223">
        <f>IFERROR(INDEX('Green_rooibos initial weight'!$C$5:$C$2000,MATCH(L280, 'Green_rooibos initial weight'!$A$5:$A$2000,0)),"")</f>
        <v>2.2770000000000001</v>
      </c>
      <c r="N280" s="223">
        <f>IFERROR(M280-(TBIcalc!$H$9+TBIcalc!$H$10),"")</f>
        <v>2.0272000000000001</v>
      </c>
      <c r="O280" s="378">
        <f>AVERAGE(Ashed_controlls!$K$2:$K$11)</f>
        <v>5.5147656768714146</v>
      </c>
      <c r="P280" s="223">
        <f t="shared" si="21"/>
        <v>1.9154046701984628</v>
      </c>
      <c r="Q280" s="223">
        <f>IFERROR(INDEX('Both teabags AfterWet'!$C$3:$C$840,MATCH(L280,'Both teabags AfterWet'!$A$3:$A$840,0)),"")</f>
        <v>1.38</v>
      </c>
      <c r="R280" s="223">
        <f>IFERROR(IF(Q280&gt;0,Q280-(TBIcalc!$H$9),""),"")</f>
        <v>1.2293999999999998</v>
      </c>
      <c r="S280" s="223">
        <f>IFERROR(INDEX('Ashed teabags wet'!$K$2:$K$2000,MATCH(L280,'Ashed teabags wet'!$A$2:$A$2000,0)),"")</f>
        <v>6.2753036437244685</v>
      </c>
      <c r="T280" s="223">
        <f t="shared" si="22"/>
        <v>1.1522514170040512</v>
      </c>
      <c r="U280" s="224">
        <f>'WetLitterbags placem_collection'!E61</f>
        <v>42766</v>
      </c>
      <c r="V280" s="224">
        <f>IF('WetLitterbags placem_collection'!G61="","",'WetLitterbags placem_collection'!G61)</f>
        <v>42820</v>
      </c>
      <c r="W280" s="225">
        <f t="shared" si="20"/>
        <v>54</v>
      </c>
      <c r="X280" s="223">
        <f t="shared" si="23"/>
        <v>0.79780000000000029</v>
      </c>
      <c r="Y280" s="223">
        <f t="shared" si="24"/>
        <v>0.76315325319441163</v>
      </c>
      <c r="Z280">
        <f>IFERROR(INDEX([1]Rainfall_Wet!$O$2:$O$217,MATCH(C280, [1]Rainfall_Wet!$A$2:$A$217,0)),"")</f>
        <v>214.262898705</v>
      </c>
      <c r="AA280" s="226">
        <v>25.96</v>
      </c>
      <c r="AB280" s="226">
        <v>6.9200000000000008</v>
      </c>
      <c r="AC280" s="226">
        <v>67.12</v>
      </c>
      <c r="AD280" s="227" t="s">
        <v>2651</v>
      </c>
      <c r="AE280" s="226">
        <v>1.7568260226712666</v>
      </c>
      <c r="AF280">
        <f>IF('WetLitterbags placem_collection'!AB61="","",'WetLitterbags placem_collection'!AB61)</f>
        <v>3.3</v>
      </c>
      <c r="AG280">
        <f>IF('WetLitterbags placem_collection'!Z61="","",'WetLitterbags placem_collection'!Z61)</f>
        <v>46</v>
      </c>
      <c r="AH280" s="236" t="str">
        <f>IF('WetLitterbags placem_collection'!AA61="","",'WetLitterbags placem_collection'!AA61)</f>
        <v>O</v>
      </c>
      <c r="AI280">
        <f>IF('WetLitterbags placem_collection'!AC61="","",'WetLitterbags placem_collection'!AC61)</f>
        <v>0</v>
      </c>
      <c r="AJ280" s="233">
        <f>AVERAGE('WetLitterbags placem_collection'!S61,'WetLitterbags placem_collection'!U61)</f>
        <v>27.9</v>
      </c>
      <c r="AK280">
        <f>AVERAGE('WetLitterbags placem_collection'!R61,'WetLitterbags placem_collection'!T61)</f>
        <v>27.049999999999997</v>
      </c>
      <c r="AL280">
        <f>INDEX([2]Coordinates!$B$2:$B$197,MATCH(I280,[2]Coordinates!$J$2:$J$197,0))</f>
        <v>-3.4062359670000002</v>
      </c>
      <c r="AM280">
        <f>INDEX([2]Coordinates!$C$2:$C$197,MATCH(I280,[2]Coordinates!$J$2:$J$197,0))</f>
        <v>34.851107990000003</v>
      </c>
      <c r="AN280" t="str">
        <f>IF(ISNUMBER(SEARCH("C", 'WetLitterbags placem_collection'!$W61)),"YES","NO")</f>
        <v>NO</v>
      </c>
      <c r="AO280" t="str">
        <f>IF(ISNUMBER(SEARCH("H", 'WetLitterbags placem_collection'!$W61)),"YES","NO")</f>
        <v>NO</v>
      </c>
      <c r="AP280" t="str">
        <f>IF(ISNUMBER(SEARCH("R", 'WetLitterbags placem_collection'!$W61)),"YES","NO")</f>
        <v>NO</v>
      </c>
    </row>
    <row r="281" spans="1:42" ht="15" customHeight="1">
      <c r="A281" t="s">
        <v>3248</v>
      </c>
      <c r="B281" s="248" t="s">
        <v>2454</v>
      </c>
      <c r="C281" s="253">
        <f>'Dry_Litterbag Placem_Collection'!A62</f>
        <v>60</v>
      </c>
      <c r="D281" s="253" t="str">
        <f>'Dry_Litterbag Placem_Collection'!B62</f>
        <v>Makao</v>
      </c>
      <c r="E281" s="253" t="s">
        <v>2643</v>
      </c>
      <c r="F281" s="253" t="s">
        <v>20</v>
      </c>
      <c r="G281" s="253">
        <v>4</v>
      </c>
      <c r="H281" s="253" t="s">
        <v>3110</v>
      </c>
      <c r="I281" s="254" t="str">
        <f>'Dry_Litterbag Placem_Collection'!C62</f>
        <v>Dry_P4_T4</v>
      </c>
      <c r="J281" s="255" t="s">
        <v>2525</v>
      </c>
      <c r="K281" s="262" t="s">
        <v>298</v>
      </c>
      <c r="L281" s="221" t="str">
        <f>'WetLitterbags placem_collection'!M62</f>
        <v>R78</v>
      </c>
      <c r="M281" s="223">
        <f>IFERROR(INDEX('Green_rooibos initial weight'!$C$5:$C$2000,MATCH(L281, 'Green_rooibos initial weight'!$A$5:$A$2000,0)),"")</f>
        <v>2.2200000000000002</v>
      </c>
      <c r="N281" s="223">
        <f>IFERROR(M281-(TBIcalc!$H$9+TBIcalc!$H$10),"")</f>
        <v>1.9702000000000002</v>
      </c>
      <c r="O281" s="378">
        <f>AVERAGE(Ashed_controlls!$K$2:$K$11)</f>
        <v>5.5147656768714146</v>
      </c>
      <c r="P281" s="223">
        <f t="shared" si="21"/>
        <v>1.8615480866342795</v>
      </c>
      <c r="Q281" s="223">
        <f>IFERROR(INDEX('Both teabags AfterWet'!$C$3:$C$840,MATCH(L281,'Both teabags AfterWet'!$A$3:$A$840,0)),"")</f>
        <v>1.665</v>
      </c>
      <c r="R281" s="223">
        <f>IFERROR(IF(Q281&gt;0,Q281-(TBIcalc!$H$9),""),"")</f>
        <v>1.5144</v>
      </c>
      <c r="S281" s="223">
        <f>IFERROR(INDEX('Ashed teabags wet'!$K$2:$K$2000,MATCH(L281,'Ashed teabags wet'!$A$2:$A$2000,0)),"")</f>
        <v>5.8219178082196645</v>
      </c>
      <c r="T281" s="223">
        <f t="shared" si="22"/>
        <v>1.4262328767123214</v>
      </c>
      <c r="U281" s="224">
        <f>'WetLitterbags placem_collection'!E62</f>
        <v>42766</v>
      </c>
      <c r="V281" s="224">
        <f>IF('WetLitterbags placem_collection'!G62="","",'WetLitterbags placem_collection'!G62)</f>
        <v>42820</v>
      </c>
      <c r="W281" s="225">
        <f t="shared" si="20"/>
        <v>54</v>
      </c>
      <c r="X281" s="223">
        <f t="shared" si="23"/>
        <v>0.4558000000000002</v>
      </c>
      <c r="Y281" s="223">
        <f t="shared" si="24"/>
        <v>0.43531520992195816</v>
      </c>
      <c r="Z281">
        <f>IFERROR(INDEX([1]Rainfall_Wet!$O$2:$O$217,MATCH(C281, [1]Rainfall_Wet!$A$2:$A$217,0)),"")</f>
        <v>214.262898705</v>
      </c>
      <c r="AA281" s="226">
        <v>25.96</v>
      </c>
      <c r="AB281" s="226">
        <v>6.9200000000000008</v>
      </c>
      <c r="AC281" s="226">
        <v>67.12</v>
      </c>
      <c r="AD281" s="227" t="s">
        <v>2651</v>
      </c>
      <c r="AE281" s="226">
        <v>1.7568260226712666</v>
      </c>
      <c r="AF281">
        <f>IF('WetLitterbags placem_collection'!AB62="","",'WetLitterbags placem_collection'!AB62)</f>
        <v>2.4</v>
      </c>
      <c r="AG281">
        <f>IF('WetLitterbags placem_collection'!Z62="","",'WetLitterbags placem_collection'!Z62)</f>
        <v>10.199999999999999</v>
      </c>
      <c r="AH281" s="236" t="str">
        <f>IF('WetLitterbags placem_collection'!AA62="","",'WetLitterbags placem_collection'!AA62)</f>
        <v>O</v>
      </c>
      <c r="AI281">
        <f>IF('WetLitterbags placem_collection'!AC62="","",'WetLitterbags placem_collection'!AC62)</f>
        <v>0</v>
      </c>
      <c r="AJ281" s="233">
        <f>AVERAGE('WetLitterbags placem_collection'!S62,'WetLitterbags placem_collection'!U62)</f>
        <v>22.5</v>
      </c>
      <c r="AK281">
        <f>AVERAGE('WetLitterbags placem_collection'!R62,'WetLitterbags placem_collection'!T62)</f>
        <v>28.6</v>
      </c>
      <c r="AL281">
        <f>INDEX([2]Coordinates!$B$2:$B$197,MATCH(I281,[2]Coordinates!$J$2:$J$197,0))</f>
        <v>-3.406281983</v>
      </c>
      <c r="AM281">
        <f>INDEX([2]Coordinates!$C$2:$C$197,MATCH(I281,[2]Coordinates!$J$2:$J$197,0))</f>
        <v>34.85137898</v>
      </c>
      <c r="AN281" t="str">
        <f>IF(ISNUMBER(SEARCH("C", 'WetLitterbags placem_collection'!$W62)),"YES","NO")</f>
        <v>NO</v>
      </c>
      <c r="AO281" t="str">
        <f>IF(ISNUMBER(SEARCH("H", 'WetLitterbags placem_collection'!$W62)),"YES","NO")</f>
        <v>NO</v>
      </c>
      <c r="AP281" t="str">
        <f>IF(ISNUMBER(SEARCH("R", 'WetLitterbags placem_collection'!$W62)),"YES","NO")</f>
        <v>NO</v>
      </c>
    </row>
    <row r="282" spans="1:42" ht="15" customHeight="1">
      <c r="A282" t="s">
        <v>3248</v>
      </c>
      <c r="B282" s="248" t="s">
        <v>2454</v>
      </c>
      <c r="C282" s="253">
        <f>'Dry_Litterbag Placem_Collection'!A63</f>
        <v>61</v>
      </c>
      <c r="D282" s="253" t="str">
        <f>'Dry_Litterbag Placem_Collection'!B63</f>
        <v>Makao</v>
      </c>
      <c r="E282" s="253" t="s">
        <v>2643</v>
      </c>
      <c r="F282" s="253" t="s">
        <v>20</v>
      </c>
      <c r="G282" s="253">
        <v>4</v>
      </c>
      <c r="H282" s="253" t="s">
        <v>3110</v>
      </c>
      <c r="I282" s="254" t="str">
        <f>'Dry_Litterbag Placem_Collection'!C63</f>
        <v>Dry_P4_T5</v>
      </c>
      <c r="J282" s="255" t="s">
        <v>2525</v>
      </c>
      <c r="K282" s="262" t="s">
        <v>298</v>
      </c>
      <c r="L282" s="221" t="str">
        <f>'WetLitterbags placem_collection'!M63</f>
        <v>R42</v>
      </c>
      <c r="M282" s="223">
        <f>IFERROR(INDEX('Green_rooibos initial weight'!$C$5:$C$2000,MATCH(L282, 'Green_rooibos initial weight'!$A$5:$A$2000,0)),"")</f>
        <v>2.2389999999999999</v>
      </c>
      <c r="N282" s="223">
        <f>IFERROR(M282-(TBIcalc!$H$9+TBIcalc!$H$10),"")</f>
        <v>1.9891999999999999</v>
      </c>
      <c r="O282" s="378">
        <f>AVERAGE(Ashed_controlls!$K$2:$K$11)</f>
        <v>5.5147656768714146</v>
      </c>
      <c r="P282" s="223">
        <f t="shared" si="21"/>
        <v>1.8795002811556736</v>
      </c>
      <c r="Q282" s="223">
        <f>IFERROR(INDEX('Both teabags AfterWet'!$C$3:$C$840,MATCH(L282,'Both teabags AfterWet'!$A$3:$A$840,0)),"")</f>
        <v>0.182</v>
      </c>
      <c r="R282" s="223">
        <f>IFERROR(IF(Q282&gt;0,Q282-(TBIcalc!$H$9),""),"")</f>
        <v>3.1399999999999983E-2</v>
      </c>
      <c r="S282" s="223">
        <f>IFERROR(INDEX('Ashed teabags wet'!$K$2:$K$2000,MATCH(L282,'Ashed teabags wet'!$A$2:$A$2000,0)),"")</f>
        <v>0</v>
      </c>
      <c r="T282" s="223">
        <f t="shared" si="22"/>
        <v>3.1399999999999983E-2</v>
      </c>
      <c r="U282" s="224">
        <f>'WetLitterbags placem_collection'!E63</f>
        <v>42766</v>
      </c>
      <c r="V282" s="224">
        <f>IF('WetLitterbags placem_collection'!G63="","",'WetLitterbags placem_collection'!G63)</f>
        <v>42820</v>
      </c>
      <c r="W282" s="225">
        <f t="shared" si="20"/>
        <v>54</v>
      </c>
      <c r="X282" s="223">
        <f t="shared" si="23"/>
        <v>1.9577999999999998</v>
      </c>
      <c r="Y282" s="223">
        <f t="shared" si="24"/>
        <v>1.8481002811556735</v>
      </c>
      <c r="Z282">
        <f>IFERROR(INDEX([1]Rainfall_Wet!$O$2:$O$217,MATCH(C282, [1]Rainfall_Wet!$A$2:$A$217,0)),"")</f>
        <v>214.262898705</v>
      </c>
      <c r="AA282" s="226">
        <v>25.96</v>
      </c>
      <c r="AB282" s="226">
        <v>6.9200000000000008</v>
      </c>
      <c r="AC282" s="226">
        <v>67.12</v>
      </c>
      <c r="AD282" s="227" t="s">
        <v>2651</v>
      </c>
      <c r="AE282" s="226">
        <v>1.7568260226712666</v>
      </c>
      <c r="AF282">
        <f>IF('WetLitterbags placem_collection'!AB63="","",'WetLitterbags placem_collection'!AB63)</f>
        <v>5.6</v>
      </c>
      <c r="AG282">
        <f>IF('WetLitterbags placem_collection'!Z63="","",'WetLitterbags placem_collection'!Z63)</f>
        <v>34.200000000000003</v>
      </c>
      <c r="AH282" s="236" t="str">
        <f>IF('WetLitterbags placem_collection'!AA63="","",'WetLitterbags placem_collection'!AA63)</f>
        <v>O</v>
      </c>
      <c r="AI282">
        <f>IF('WetLitterbags placem_collection'!AC63="","",'WetLitterbags placem_collection'!AC63)</f>
        <v>0</v>
      </c>
      <c r="AJ282" s="233">
        <f>AVERAGE('WetLitterbags placem_collection'!S63,'WetLitterbags placem_collection'!U63)</f>
        <v>20.399999999999999</v>
      </c>
      <c r="AK282">
        <f>AVERAGE('WetLitterbags placem_collection'!R63,'WetLitterbags placem_collection'!T63)</f>
        <v>27.450000000000003</v>
      </c>
      <c r="AL282">
        <f>INDEX([2]Coordinates!$B$2:$B$197,MATCH(I282,[2]Coordinates!$J$2:$J$197,0))</f>
        <v>-3.406569986</v>
      </c>
      <c r="AM282">
        <f>INDEX([2]Coordinates!$C$2:$C$197,MATCH(I282,[2]Coordinates!$J$2:$J$197,0))</f>
        <v>34.851323989999997</v>
      </c>
      <c r="AN282" t="str">
        <f>IF(ISNUMBER(SEARCH("C", 'WetLitterbags placem_collection'!$W63)),"YES","NO")</f>
        <v>YES</v>
      </c>
      <c r="AO282" t="str">
        <f>IF(ISNUMBER(SEARCH("H", 'WetLitterbags placem_collection'!$W63)),"YES","NO")</f>
        <v>YES</v>
      </c>
      <c r="AP282" t="str">
        <f>IF(ISNUMBER(SEARCH("R", 'WetLitterbags placem_collection'!$W63)),"YES","NO")</f>
        <v>NO</v>
      </c>
    </row>
    <row r="283" spans="1:42" ht="15" customHeight="1">
      <c r="A283" t="s">
        <v>3248</v>
      </c>
      <c r="B283" s="248" t="s">
        <v>2454</v>
      </c>
      <c r="C283" s="253">
        <f>'Dry_Litterbag Placem_Collection'!A64</f>
        <v>62</v>
      </c>
      <c r="D283" s="253" t="str">
        <f>'Dry_Litterbag Placem_Collection'!B64</f>
        <v>Makao</v>
      </c>
      <c r="E283" s="253" t="s">
        <v>2643</v>
      </c>
      <c r="F283" s="253" t="s">
        <v>20</v>
      </c>
      <c r="G283" s="253">
        <v>4</v>
      </c>
      <c r="H283" s="253" t="s">
        <v>3110</v>
      </c>
      <c r="I283" s="254" t="str">
        <f>'Dry_Litterbag Placem_Collection'!C64</f>
        <v>Dry_P4_T6</v>
      </c>
      <c r="J283" s="255" t="s">
        <v>2525</v>
      </c>
      <c r="K283" s="262" t="s">
        <v>298</v>
      </c>
      <c r="L283" s="221" t="str">
        <f>'WetLitterbags placem_collection'!M64</f>
        <v>R119</v>
      </c>
      <c r="M283" s="223">
        <f>IFERROR(INDEX('Green_rooibos initial weight'!$C$5:$C$2000,MATCH(L283, 'Green_rooibos initial weight'!$A$5:$A$2000,0)),"")</f>
        <v>2.1589999999999998</v>
      </c>
      <c r="N283" s="223">
        <f>IFERROR(M283-(TBIcalc!$H$9+TBIcalc!$H$10),"")</f>
        <v>1.9091999999999998</v>
      </c>
      <c r="O283" s="378">
        <f>AVERAGE(Ashed_controlls!$K$2:$K$11)</f>
        <v>5.5147656768714146</v>
      </c>
      <c r="P283" s="223">
        <f t="shared" si="21"/>
        <v>1.8039120936971709</v>
      </c>
      <c r="Q283" s="223">
        <f>IFERROR(INDEX('Both teabags AfterWet'!$C$3:$C$840,MATCH(L283,'Both teabags AfterWet'!$A$3:$A$840,0)),"")</f>
        <v>1.6374</v>
      </c>
      <c r="R283" s="223">
        <f>IFERROR(IF(Q283&gt;0,Q283-(TBIcalc!$H$9),""),"")</f>
        <v>1.4867999999999999</v>
      </c>
      <c r="S283" s="223">
        <f>IFERROR(INDEX('Ashed teabags wet'!$K$2:$K$2000,MATCH(L283,'Ashed teabags wet'!$A$2:$A$2000,0)),"")</f>
        <v>8.4343434343433188</v>
      </c>
      <c r="T283" s="223">
        <f t="shared" si="22"/>
        <v>1.3613981818181835</v>
      </c>
      <c r="U283" s="224">
        <f>'WetLitterbags placem_collection'!E64</f>
        <v>42766</v>
      </c>
      <c r="V283" s="224">
        <f>IF('WetLitterbags placem_collection'!G64="","",'WetLitterbags placem_collection'!G64)</f>
        <v>42820</v>
      </c>
      <c r="W283" s="225">
        <f t="shared" si="20"/>
        <v>54</v>
      </c>
      <c r="X283" s="223">
        <f t="shared" si="23"/>
        <v>0.42239999999999989</v>
      </c>
      <c r="Y283" s="223">
        <f t="shared" si="24"/>
        <v>0.44251391187898736</v>
      </c>
      <c r="Z283">
        <f>IFERROR(INDEX([1]Rainfall_Wet!$O$2:$O$217,MATCH(C283, [1]Rainfall_Wet!$A$2:$A$217,0)),"")</f>
        <v>214.262898705</v>
      </c>
      <c r="AA283" s="226">
        <v>25.96</v>
      </c>
      <c r="AB283" s="226">
        <v>6.9200000000000008</v>
      </c>
      <c r="AC283" s="226">
        <v>67.12</v>
      </c>
      <c r="AD283" s="227" t="s">
        <v>2651</v>
      </c>
      <c r="AE283" s="226">
        <v>1.7568260226712666</v>
      </c>
      <c r="AF283">
        <f>IF('WetLitterbags placem_collection'!AB64="","",'WetLitterbags placem_collection'!AB64)</f>
        <v>4.2</v>
      </c>
      <c r="AG283">
        <f>IF('WetLitterbags placem_collection'!Z64="","",'WetLitterbags placem_collection'!Z64)</f>
        <v>40.4</v>
      </c>
      <c r="AH283" s="236" t="str">
        <f>IF('WetLitterbags placem_collection'!AA64="","",'WetLitterbags placem_collection'!AA64)</f>
        <v>O</v>
      </c>
      <c r="AI283">
        <f>IF('WetLitterbags placem_collection'!AC64="","",'WetLitterbags placem_collection'!AC64)</f>
        <v>0</v>
      </c>
      <c r="AJ283" s="233">
        <f>AVERAGE('WetLitterbags placem_collection'!S64,'WetLitterbags placem_collection'!U64)</f>
        <v>24.7</v>
      </c>
      <c r="AK283">
        <f>AVERAGE('WetLitterbags placem_collection'!R64,'WetLitterbags placem_collection'!T64)</f>
        <v>26.799999999999997</v>
      </c>
      <c r="AL283">
        <f>INDEX([2]Coordinates!$B$2:$B$197,MATCH(I283,[2]Coordinates!$J$2:$J$197,0))</f>
        <v>-3.4065180179999999</v>
      </c>
      <c r="AM283">
        <f>INDEX([2]Coordinates!$C$2:$C$197,MATCH(I283,[2]Coordinates!$J$2:$J$197,0))</f>
        <v>34.85121402</v>
      </c>
      <c r="AN283" t="str">
        <f>IF(ISNUMBER(SEARCH("C", 'WetLitterbags placem_collection'!$W64)),"YES","NO")</f>
        <v>NO</v>
      </c>
      <c r="AO283" t="str">
        <f>IF(ISNUMBER(SEARCH("H", 'WetLitterbags placem_collection'!$W64)),"YES","NO")</f>
        <v>YES</v>
      </c>
      <c r="AP283" t="str">
        <f>IF(ISNUMBER(SEARCH("R", 'WetLitterbags placem_collection'!$W64)),"YES","NO")</f>
        <v>NO</v>
      </c>
    </row>
    <row r="284" spans="1:42" ht="15" customHeight="1">
      <c r="A284" t="s">
        <v>3248</v>
      </c>
      <c r="B284" s="248" t="s">
        <v>2454</v>
      </c>
      <c r="C284" s="253">
        <f>'Dry_Litterbag Placem_Collection'!A65</f>
        <v>63</v>
      </c>
      <c r="D284" s="253" t="str">
        <f>'Dry_Litterbag Placem_Collection'!B65</f>
        <v>Makao</v>
      </c>
      <c r="E284" s="253" t="s">
        <v>2643</v>
      </c>
      <c r="F284" s="253" t="s">
        <v>20</v>
      </c>
      <c r="G284" s="253">
        <v>4</v>
      </c>
      <c r="H284" s="253" t="s">
        <v>3110</v>
      </c>
      <c r="I284" s="254" t="str">
        <f>'Dry_Litterbag Placem_Collection'!C65</f>
        <v>Dry_P4_T7</v>
      </c>
      <c r="J284" s="255" t="s">
        <v>2525</v>
      </c>
      <c r="K284" s="262" t="s">
        <v>298</v>
      </c>
      <c r="L284" s="221" t="str">
        <f>'WetLitterbags placem_collection'!M65</f>
        <v>R185</v>
      </c>
      <c r="M284" s="223">
        <f>IFERROR(INDEX('Green_rooibos initial weight'!$C$5:$C$2000,MATCH(L284, 'Green_rooibos initial weight'!$A$5:$A$2000,0)),"")</f>
        <v>2.2909999999999999</v>
      </c>
      <c r="N284" s="223">
        <f>IFERROR(M284-(TBIcalc!$H$9+TBIcalc!$H$10),"")</f>
        <v>2.0411999999999999</v>
      </c>
      <c r="O284" s="378">
        <f>AVERAGE(Ashed_controlls!$K$2:$K$11)</f>
        <v>5.5147656768714146</v>
      </c>
      <c r="P284" s="223">
        <f t="shared" si="21"/>
        <v>1.9286326030037007</v>
      </c>
      <c r="Q284" s="223">
        <f>IFERROR(INDEX('Both teabags AfterWet'!$C$3:$C$840,MATCH(L284,'Both teabags AfterWet'!$A$3:$A$840,0)),"")</f>
        <v>1.6850000000000001</v>
      </c>
      <c r="R284" s="223">
        <f>IFERROR(IF(Q284&gt;0,Q284-(TBIcalc!$H$9),""),"")</f>
        <v>1.5344</v>
      </c>
      <c r="S284" s="223">
        <f>IFERROR(INDEX('Ashed teabags wet'!$K$2:$K$2000,MATCH(L284,'Ashed teabags wet'!$A$2:$A$2000,0)),"")</f>
        <v>8.6122047244091302</v>
      </c>
      <c r="T284" s="223">
        <f t="shared" si="22"/>
        <v>1.4022543307086663</v>
      </c>
      <c r="U284" s="224">
        <f>'WetLitterbags placem_collection'!E65</f>
        <v>42766</v>
      </c>
      <c r="V284" s="224">
        <f>IF('WetLitterbags placem_collection'!G65="","",'WetLitterbags placem_collection'!G65)</f>
        <v>42820</v>
      </c>
      <c r="W284" s="225">
        <f t="shared" si="20"/>
        <v>54</v>
      </c>
      <c r="X284" s="223">
        <f t="shared" si="23"/>
        <v>0.50679999999999992</v>
      </c>
      <c r="Y284" s="223">
        <f t="shared" si="24"/>
        <v>0.52637827229503431</v>
      </c>
      <c r="Z284">
        <f>IFERROR(INDEX([1]Rainfall_Wet!$O$2:$O$217,MATCH(C284, [1]Rainfall_Wet!$A$2:$A$217,0)),"")</f>
        <v>214.262898705</v>
      </c>
      <c r="AA284" s="226">
        <v>25.96</v>
      </c>
      <c r="AB284" s="226">
        <v>6.9200000000000008</v>
      </c>
      <c r="AC284" s="226">
        <v>67.12</v>
      </c>
      <c r="AD284" s="227" t="s">
        <v>2651</v>
      </c>
      <c r="AE284" s="226">
        <v>1.7568260226712666</v>
      </c>
      <c r="AF284">
        <f>IF('WetLitterbags placem_collection'!AB65="","",'WetLitterbags placem_collection'!AB65)</f>
        <v>4.9000000000000004</v>
      </c>
      <c r="AG284">
        <f>IF('WetLitterbags placem_collection'!Z65="","",'WetLitterbags placem_collection'!Z65)</f>
        <v>45</v>
      </c>
      <c r="AH284" s="236" t="str">
        <f>IF('WetLitterbags placem_collection'!AA65="","",'WetLitterbags placem_collection'!AA65)</f>
        <v>O</v>
      </c>
      <c r="AI284">
        <f>IF('WetLitterbags placem_collection'!AC65="","",'WetLitterbags placem_collection'!AC65)</f>
        <v>0</v>
      </c>
      <c r="AJ284" s="233">
        <f>AVERAGE('WetLitterbags placem_collection'!S65,'WetLitterbags placem_collection'!U65)</f>
        <v>22.9</v>
      </c>
      <c r="AK284">
        <f>AVERAGE('WetLitterbags placem_collection'!R65,'WetLitterbags placem_collection'!T65)</f>
        <v>28.25</v>
      </c>
      <c r="AL284">
        <f>INDEX([2]Coordinates!$B$2:$B$197,MATCH(I284,[2]Coordinates!$J$2:$J$197,0))</f>
        <v>-3.406334035</v>
      </c>
      <c r="AM284">
        <f>INDEX([2]Coordinates!$C$2:$C$197,MATCH(I284,[2]Coordinates!$J$2:$J$197,0))</f>
        <v>34.851172030000001</v>
      </c>
      <c r="AN284" t="str">
        <f>IF(ISNUMBER(SEARCH("C", 'WetLitterbags placem_collection'!$W65)),"YES","NO")</f>
        <v>NO</v>
      </c>
      <c r="AO284" t="str">
        <f>IF(ISNUMBER(SEARCH("H", 'WetLitterbags placem_collection'!$W65)),"YES","NO")</f>
        <v>NO</v>
      </c>
      <c r="AP284" t="str">
        <f>IF(ISNUMBER(SEARCH("R", 'WetLitterbags placem_collection'!$W65)),"YES","NO")</f>
        <v>YES</v>
      </c>
    </row>
    <row r="285" spans="1:42" ht="15" customHeight="1">
      <c r="A285" t="s">
        <v>3248</v>
      </c>
      <c r="B285" s="248" t="s">
        <v>2454</v>
      </c>
      <c r="C285" s="253">
        <f>'Dry_Litterbag Placem_Collection'!A66</f>
        <v>64</v>
      </c>
      <c r="D285" s="253" t="str">
        <f>'Dry_Litterbag Placem_Collection'!B66</f>
        <v>Makao</v>
      </c>
      <c r="E285" s="253" t="s">
        <v>2643</v>
      </c>
      <c r="F285" s="253" t="s">
        <v>20</v>
      </c>
      <c r="G285" s="253">
        <v>4</v>
      </c>
      <c r="H285" s="253" t="s">
        <v>3110</v>
      </c>
      <c r="I285" s="254" t="str">
        <f>'Dry_Litterbag Placem_Collection'!C66</f>
        <v>Dry_P4_T8</v>
      </c>
      <c r="J285" s="255" t="s">
        <v>2525</v>
      </c>
      <c r="K285" s="262" t="s">
        <v>298</v>
      </c>
      <c r="L285" s="221" t="str">
        <f>'WetLitterbags placem_collection'!M66</f>
        <v>R159</v>
      </c>
      <c r="M285" s="223">
        <f>IFERROR(INDEX('Green_rooibos initial weight'!$C$5:$C$2000,MATCH(L285, 'Green_rooibos initial weight'!$A$5:$A$2000,0)),"")</f>
        <v>2.2930000000000001</v>
      </c>
      <c r="N285" s="223">
        <f>IFERROR(M285-(TBIcalc!$H$9+TBIcalc!$H$10),"")</f>
        <v>2.0432000000000001</v>
      </c>
      <c r="O285" s="378">
        <f>AVERAGE(Ashed_controlls!$K$2:$K$11)</f>
        <v>5.5147656768714146</v>
      </c>
      <c r="P285" s="223">
        <f t="shared" si="21"/>
        <v>1.9305223076901634</v>
      </c>
      <c r="Q285" s="223">
        <f>IFERROR(INDEX('Both teabags AfterWet'!$C$3:$C$840,MATCH(L285,'Both teabags AfterWet'!$A$3:$A$840,0)),"")</f>
        <v>1.3160000000000001</v>
      </c>
      <c r="R285" s="223">
        <f>IFERROR(IF(Q285&gt;0,Q285-(TBIcalc!$H$9),""),"")</f>
        <v>1.1654</v>
      </c>
      <c r="S285" s="223">
        <f>IFERROR(INDEX('Ashed teabags wet'!$K$2:$K$2000,MATCH(L285,'Ashed teabags wet'!$A$2:$A$2000,0)),"")</f>
        <v>82.454411039920885</v>
      </c>
      <c r="T285" s="223">
        <f t="shared" si="22"/>
        <v>0.20447629374076204</v>
      </c>
      <c r="U285" s="224">
        <f>'WetLitterbags placem_collection'!E66</f>
        <v>42766</v>
      </c>
      <c r="V285" s="224">
        <f>IF('WetLitterbags placem_collection'!G66="","",'WetLitterbags placem_collection'!G66)</f>
        <v>42820</v>
      </c>
      <c r="W285" s="225">
        <f t="shared" si="20"/>
        <v>54</v>
      </c>
      <c r="X285" s="223">
        <f t="shared" si="23"/>
        <v>0.87780000000000014</v>
      </c>
      <c r="Y285" s="223">
        <f t="shared" si="24"/>
        <v>1.7260460139494014</v>
      </c>
      <c r="Z285">
        <f>IFERROR(INDEX([1]Rainfall_Wet!$O$2:$O$217,MATCH(C285, [1]Rainfall_Wet!$A$2:$A$217,0)),"")</f>
        <v>214.262898705</v>
      </c>
      <c r="AA285" s="226">
        <v>25.96</v>
      </c>
      <c r="AB285" s="226">
        <v>6.9200000000000008</v>
      </c>
      <c r="AC285" s="226">
        <v>67.12</v>
      </c>
      <c r="AD285" s="227" t="s">
        <v>2651</v>
      </c>
      <c r="AE285" s="226">
        <v>1.7568260226712666</v>
      </c>
      <c r="AF285">
        <f>IF('WetLitterbags placem_collection'!AB66="","",'WetLitterbags placem_collection'!AB66)</f>
        <v>3</v>
      </c>
      <c r="AG285">
        <f>IF('WetLitterbags placem_collection'!Z66="","",'WetLitterbags placem_collection'!Z66)</f>
        <v>22.8</v>
      </c>
      <c r="AH285" s="236" t="str">
        <f>IF('WetLitterbags placem_collection'!AA66="","",'WetLitterbags placem_collection'!AA66)</f>
        <v>O</v>
      </c>
      <c r="AI285">
        <f>IF('WetLitterbags placem_collection'!AC66="","",'WetLitterbags placem_collection'!AC66)</f>
        <v>1</v>
      </c>
      <c r="AJ285" s="233">
        <f>AVERAGE('WetLitterbags placem_collection'!S66,'WetLitterbags placem_collection'!U66)</f>
        <v>34.6</v>
      </c>
      <c r="AK285">
        <f>AVERAGE('WetLitterbags placem_collection'!R66,'WetLitterbags placem_collection'!T66)</f>
        <v>22.7</v>
      </c>
      <c r="AL285">
        <f>INDEX([2]Coordinates!$B$2:$B$197,MATCH(I285,[2]Coordinates!$J$2:$J$197,0))</f>
        <v>-3.4063409920000001</v>
      </c>
      <c r="AM285">
        <f>INDEX([2]Coordinates!$C$2:$C$197,MATCH(I285,[2]Coordinates!$J$2:$J$197,0))</f>
        <v>34.85126004</v>
      </c>
      <c r="AN285" t="str">
        <f>IF(ISNUMBER(SEARCH("C", 'WetLitterbags placem_collection'!$W66)),"YES","NO")</f>
        <v>YES</v>
      </c>
      <c r="AO285" t="str">
        <f>IF(ISNUMBER(SEARCH("H", 'WetLitterbags placem_collection'!$W66)),"YES","NO")</f>
        <v>YES</v>
      </c>
      <c r="AP285" t="str">
        <f>IF(ISNUMBER(SEARCH("R", 'WetLitterbags placem_collection'!$W66)),"YES","NO")</f>
        <v>NO</v>
      </c>
    </row>
    <row r="286" spans="1:42" ht="15" customHeight="1">
      <c r="A286" t="s">
        <v>3248</v>
      </c>
      <c r="B286" s="248" t="s">
        <v>2454</v>
      </c>
      <c r="C286" s="253">
        <f>'Dry_Litterbag Placem_Collection'!A67</f>
        <v>65</v>
      </c>
      <c r="D286" s="253" t="str">
        <f>'Dry_Litterbag Placem_Collection'!B67</f>
        <v>Maswa</v>
      </c>
      <c r="E286" s="253" t="s">
        <v>2643</v>
      </c>
      <c r="F286" s="253" t="s">
        <v>2645</v>
      </c>
      <c r="G286" s="253">
        <v>1</v>
      </c>
      <c r="H286" s="253" t="s">
        <v>3111</v>
      </c>
      <c r="I286" s="254" t="str">
        <f>'Dry_Litterbag Placem_Collection'!C67</f>
        <v>Dry_W1_T1</v>
      </c>
      <c r="J286" s="255" t="s">
        <v>2525</v>
      </c>
      <c r="K286" s="262" t="s">
        <v>298</v>
      </c>
      <c r="L286" s="221" t="str">
        <f>'WetLitterbags placem_collection'!M67</f>
        <v>R525</v>
      </c>
      <c r="M286" s="223">
        <f>IFERROR(INDEX('Green_rooibos initial weight'!$C$5:$C$2000,MATCH(L286, 'Green_rooibos initial weight'!$A$5:$A$2000,0)),"")</f>
        <v>2.1469999999999998</v>
      </c>
      <c r="N286" s="223">
        <f>IFERROR(M286-(TBIcalc!$H$9+TBIcalc!$H$10),"")</f>
        <v>1.8971999999999998</v>
      </c>
      <c r="O286" s="378">
        <f>AVERAGE(Ashed_controlls!$K$2:$K$11)</f>
        <v>5.5147656768714146</v>
      </c>
      <c r="P286" s="223">
        <f t="shared" si="21"/>
        <v>1.7925738655783954</v>
      </c>
      <c r="Q286" s="223">
        <f>IFERROR(INDEX('Both teabags AfterWet'!$C$3:$C$840,MATCH(L286,'Both teabags AfterWet'!$A$3:$A$840,0)),"")</f>
        <v>1.704</v>
      </c>
      <c r="R286" s="223">
        <f>IFERROR(IF(Q286&gt;0,Q286-(TBIcalc!$H$9),""),"")</f>
        <v>1.5533999999999999</v>
      </c>
      <c r="S286" s="223">
        <f>IFERROR(INDEX('Ashed teabags wet'!$K$2:$K$2000,MATCH(L286,'Ashed teabags wet'!$A$2:$A$2000,0)),"")</f>
        <v>3.9941548952748618</v>
      </c>
      <c r="T286" s="223">
        <f t="shared" si="22"/>
        <v>1.4913547978568003</v>
      </c>
      <c r="U286" s="224">
        <f>'WetLitterbags placem_collection'!E67</f>
        <v>42767</v>
      </c>
      <c r="V286" s="224">
        <f>IF('WetLitterbags placem_collection'!G67="","",'WetLitterbags placem_collection'!G67)</f>
        <v>42818</v>
      </c>
      <c r="W286" s="225">
        <f t="shared" si="20"/>
        <v>51</v>
      </c>
      <c r="X286" s="223">
        <f t="shared" si="23"/>
        <v>0.34379999999999988</v>
      </c>
      <c r="Y286" s="223">
        <f t="shared" si="24"/>
        <v>0.30121906772159512</v>
      </c>
      <c r="Z286">
        <f>IFERROR(INDEX([1]Rainfall_Wet!$O$2:$O$217,MATCH(C286, [1]Rainfall_Wet!$A$2:$A$217,0)),"")</f>
        <v>185.630065823</v>
      </c>
      <c r="AA286" s="226">
        <v>47.96</v>
      </c>
      <c r="AB286" s="226">
        <v>22.919999999999995</v>
      </c>
      <c r="AC286" s="226">
        <v>29.120000000000012</v>
      </c>
      <c r="AD286" s="227" t="s">
        <v>2654</v>
      </c>
      <c r="AE286" s="226">
        <v>2.8831936914736325</v>
      </c>
      <c r="AF286">
        <f>IF('WetLitterbags placem_collection'!AB67="","",'WetLitterbags placem_collection'!AB67)</f>
        <v>13.8</v>
      </c>
      <c r="AG286">
        <f>IF('WetLitterbags placem_collection'!Z67="","",'WetLitterbags placem_collection'!Z67)</f>
        <v>13.8</v>
      </c>
      <c r="AH286" s="236" t="str">
        <f>IF('WetLitterbags placem_collection'!AA67="","",'WetLitterbags placem_collection'!AA67)</f>
        <v>O</v>
      </c>
      <c r="AI286">
        <f>IF('WetLitterbags placem_collection'!AC67="","",'WetLitterbags placem_collection'!AC67)</f>
        <v>1</v>
      </c>
      <c r="AJ286" s="233">
        <f>AVERAGE('WetLitterbags placem_collection'!S67,'WetLitterbags placem_collection'!U67)</f>
        <v>32.299999999999997</v>
      </c>
      <c r="AK286">
        <f>AVERAGE('WetLitterbags placem_collection'!R67,'WetLitterbags placem_collection'!T67)</f>
        <v>22.75</v>
      </c>
      <c r="AL286">
        <f>INDEX([2]Coordinates!$B$2:$B$197,MATCH(I286,[2]Coordinates!$J$2:$J$197,0))</f>
        <v>-3.2993960379999998</v>
      </c>
      <c r="AM286">
        <f>INDEX([2]Coordinates!$C$2:$C$197,MATCH(I286,[2]Coordinates!$J$2:$J$197,0))</f>
        <v>34.848240959999998</v>
      </c>
      <c r="AN286" t="str">
        <f>IF(ISNUMBER(SEARCH("C", 'WetLitterbags placem_collection'!$W67)),"YES","NO")</f>
        <v>NO</v>
      </c>
      <c r="AO286" t="str">
        <f>IF(ISNUMBER(SEARCH("H", 'WetLitterbags placem_collection'!$W67)),"YES","NO")</f>
        <v>NO</v>
      </c>
      <c r="AP286" t="str">
        <f>IF(ISNUMBER(SEARCH("R", 'WetLitterbags placem_collection'!$W67)),"YES","NO")</f>
        <v>NO</v>
      </c>
    </row>
    <row r="287" spans="1:42" ht="15" customHeight="1">
      <c r="A287" t="s">
        <v>3248</v>
      </c>
      <c r="B287" s="248" t="s">
        <v>2454</v>
      </c>
      <c r="C287" s="253">
        <f>'Dry_Litterbag Placem_Collection'!A68</f>
        <v>66</v>
      </c>
      <c r="D287" s="253" t="str">
        <f>'Dry_Litterbag Placem_Collection'!B68</f>
        <v>Maswa</v>
      </c>
      <c r="E287" s="253" t="s">
        <v>2643</v>
      </c>
      <c r="F287" s="253" t="s">
        <v>2645</v>
      </c>
      <c r="G287" s="253">
        <v>1</v>
      </c>
      <c r="H287" s="253" t="s">
        <v>3111</v>
      </c>
      <c r="I287" s="254" t="str">
        <f>'Dry_Litterbag Placem_Collection'!C68</f>
        <v>Dry_W1_T2</v>
      </c>
      <c r="J287" s="255" t="s">
        <v>2525</v>
      </c>
      <c r="K287" s="262" t="s">
        <v>298</v>
      </c>
      <c r="L287" s="221" t="str">
        <f>'WetLitterbags placem_collection'!M68</f>
        <v>R150</v>
      </c>
      <c r="M287" s="223">
        <f>IFERROR(INDEX('Green_rooibos initial weight'!$C$5:$C$2000,MATCH(L287, 'Green_rooibos initial weight'!$A$5:$A$2000,0)),"")</f>
        <v>2.1469999999999998</v>
      </c>
      <c r="N287" s="223">
        <f>IFERROR(M287-(TBIcalc!$H$9+TBIcalc!$H$10),"")</f>
        <v>1.8971999999999998</v>
      </c>
      <c r="O287" s="378">
        <f>AVERAGE(Ashed_controlls!$K$2:$K$11)</f>
        <v>5.5147656768714146</v>
      </c>
      <c r="P287" s="223">
        <f t="shared" si="21"/>
        <v>1.7925738655783954</v>
      </c>
      <c r="Q287" s="223">
        <f>IFERROR(INDEX('Both teabags AfterWet'!$C$3:$C$840,MATCH(L287,'Both teabags AfterWet'!$A$3:$A$840,0)),"")</f>
        <v>0.21360000000000001</v>
      </c>
      <c r="R287" s="223">
        <f>IFERROR(IF(Q287&gt;0,Q287-(TBIcalc!$H$9),""),"")</f>
        <v>6.3E-2</v>
      </c>
      <c r="S287" s="223" t="str">
        <f>IFERROR(INDEX('Ashed teabags wet'!$K$2:$K$2000,MATCH(L287,'Ashed teabags wet'!$A$2:$A$2000,0)),"")</f>
        <v/>
      </c>
      <c r="T287" s="223" t="str">
        <f t="shared" si="22"/>
        <v/>
      </c>
      <c r="U287" s="224">
        <f>'WetLitterbags placem_collection'!E68</f>
        <v>42767</v>
      </c>
      <c r="V287" s="224">
        <f>IF('WetLitterbags placem_collection'!G68="","",'WetLitterbags placem_collection'!G68)</f>
        <v>42818</v>
      </c>
      <c r="W287" s="225">
        <f t="shared" si="20"/>
        <v>51</v>
      </c>
      <c r="X287" s="223">
        <f t="shared" si="23"/>
        <v>1.8341999999999998</v>
      </c>
      <c r="Y287" s="223" t="str">
        <f t="shared" si="24"/>
        <v/>
      </c>
      <c r="Z287">
        <f>IFERROR(INDEX([1]Rainfall_Wet!$O$2:$O$217,MATCH(C287, [1]Rainfall_Wet!$A$2:$A$217,0)),"")</f>
        <v>185.630065823</v>
      </c>
      <c r="AA287" s="226">
        <v>47.96</v>
      </c>
      <c r="AB287" s="226">
        <v>22.919999999999995</v>
      </c>
      <c r="AC287" s="226">
        <v>29.120000000000012</v>
      </c>
      <c r="AD287" s="227" t="s">
        <v>2654</v>
      </c>
      <c r="AE287" s="226">
        <v>3.8831936914736298</v>
      </c>
      <c r="AF287">
        <f>IF('WetLitterbags placem_collection'!AB68="","",'WetLitterbags placem_collection'!AB68)</f>
        <v>8</v>
      </c>
      <c r="AG287">
        <f>IF('WetLitterbags placem_collection'!Z68="","",'WetLitterbags placem_collection'!Z68)</f>
        <v>19.8</v>
      </c>
      <c r="AH287" s="236" t="str">
        <f>IF('WetLitterbags placem_collection'!AA68="","",'WetLitterbags placem_collection'!AA68)</f>
        <v>O</v>
      </c>
      <c r="AI287">
        <f>IF('WetLitterbags placem_collection'!AC68="","",'WetLitterbags placem_collection'!AC68)</f>
        <v>1</v>
      </c>
      <c r="AJ287" s="233">
        <f>AVERAGE('WetLitterbags placem_collection'!S68,'WetLitterbags placem_collection'!U68)</f>
        <v>30.6</v>
      </c>
      <c r="AK287">
        <f>AVERAGE('WetLitterbags placem_collection'!R68,'WetLitterbags placem_collection'!T68)</f>
        <v>21.95</v>
      </c>
      <c r="AL287">
        <f>INDEX([2]Coordinates!$B$2:$B$197,MATCH(I287,[2]Coordinates!$J$2:$J$197,0))</f>
        <v>-3.2993090340000002</v>
      </c>
      <c r="AM287">
        <f>INDEX([2]Coordinates!$C$2:$C$197,MATCH(I287,[2]Coordinates!$J$2:$J$197,0))</f>
        <v>34.848404989999999</v>
      </c>
      <c r="AN287" t="str">
        <f>IF(ISNUMBER(SEARCH("C", 'WetLitterbags placem_collection'!$W68)),"YES","NO")</f>
        <v>NO</v>
      </c>
      <c r="AO287" t="str">
        <f>IF(ISNUMBER(SEARCH("H", 'WetLitterbags placem_collection'!$W68)),"YES","NO")</f>
        <v>YES</v>
      </c>
      <c r="AP287" t="str">
        <f>IF(ISNUMBER(SEARCH("R", 'WetLitterbags placem_collection'!$W68)),"YES","NO")</f>
        <v>NO</v>
      </c>
    </row>
    <row r="288" spans="1:42" ht="15" customHeight="1">
      <c r="A288" t="s">
        <v>3248</v>
      </c>
      <c r="B288" s="248" t="s">
        <v>2454</v>
      </c>
      <c r="C288" s="253">
        <f>'Dry_Litterbag Placem_Collection'!A69</f>
        <v>67</v>
      </c>
      <c r="D288" s="253" t="str">
        <f>'Dry_Litterbag Placem_Collection'!B69</f>
        <v>Maswa</v>
      </c>
      <c r="E288" s="253" t="s">
        <v>2643</v>
      </c>
      <c r="F288" s="253" t="s">
        <v>2645</v>
      </c>
      <c r="G288" s="253">
        <v>1</v>
      </c>
      <c r="H288" s="253" t="s">
        <v>3111</v>
      </c>
      <c r="I288" s="254" t="str">
        <f>'Dry_Litterbag Placem_Collection'!C69</f>
        <v>Dry_W1_T3</v>
      </c>
      <c r="J288" s="255" t="s">
        <v>2525</v>
      </c>
      <c r="K288" s="262" t="s">
        <v>298</v>
      </c>
      <c r="L288" s="221" t="str">
        <f>'WetLitterbags placem_collection'!M69</f>
        <v>R165</v>
      </c>
      <c r="M288" s="223">
        <f>IFERROR(INDEX('Green_rooibos initial weight'!$C$5:$C$2000,MATCH(L288, 'Green_rooibos initial weight'!$A$5:$A$2000,0)),"")</f>
        <v>2.169</v>
      </c>
      <c r="N288" s="223">
        <f>IFERROR(M288-(TBIcalc!$H$9+TBIcalc!$H$10),"")</f>
        <v>1.9192</v>
      </c>
      <c r="O288" s="378">
        <f>AVERAGE(Ashed_controlls!$K$2:$K$11)</f>
        <v>5.5147656768714146</v>
      </c>
      <c r="P288" s="223">
        <f t="shared" si="21"/>
        <v>1.8133606171294838</v>
      </c>
      <c r="Q288" s="223">
        <f>IFERROR(INDEX('Both teabags AfterWet'!$C$3:$C$840,MATCH(L288,'Both teabags AfterWet'!$A$3:$A$840,0)),"")</f>
        <v>1.4942</v>
      </c>
      <c r="R288" s="223">
        <f>IFERROR(IF(Q288&gt;0,Q288-(TBIcalc!$H$9),""),"")</f>
        <v>1.3435999999999999</v>
      </c>
      <c r="S288" s="223">
        <f>IFERROR(INDEX('Ashed teabags wet'!$K$2:$K$2000,MATCH(L288,'Ashed teabags wet'!$A$2:$A$2000,0)),"")</f>
        <v>4.9107142857138548</v>
      </c>
      <c r="T288" s="223">
        <f t="shared" si="22"/>
        <v>1.2776196428571485</v>
      </c>
      <c r="U288" s="224">
        <f>'WetLitterbags placem_collection'!E69</f>
        <v>42767</v>
      </c>
      <c r="V288" s="224">
        <f>IF('WetLitterbags placem_collection'!G69="","",'WetLitterbags placem_collection'!G69)</f>
        <v>42818</v>
      </c>
      <c r="W288" s="225">
        <f t="shared" si="20"/>
        <v>51</v>
      </c>
      <c r="X288" s="223">
        <f t="shared" si="23"/>
        <v>0.57560000000000011</v>
      </c>
      <c r="Y288" s="223">
        <f t="shared" si="24"/>
        <v>0.53574097427233536</v>
      </c>
      <c r="Z288">
        <f>IFERROR(INDEX([1]Rainfall_Wet!$O$2:$O$217,MATCH(C288, [1]Rainfall_Wet!$A$2:$A$217,0)),"")</f>
        <v>185.630065823</v>
      </c>
      <c r="AA288" s="226">
        <v>47.96</v>
      </c>
      <c r="AB288" s="226">
        <v>22.919999999999995</v>
      </c>
      <c r="AC288" s="226">
        <v>29.120000000000012</v>
      </c>
      <c r="AD288" s="227" t="s">
        <v>2654</v>
      </c>
      <c r="AE288" s="226">
        <v>4.8831936914736298</v>
      </c>
      <c r="AF288">
        <f>IF('WetLitterbags placem_collection'!AB69="","",'WetLitterbags placem_collection'!AB69)</f>
        <v>5.5</v>
      </c>
      <c r="AG288">
        <f>IF('WetLitterbags placem_collection'!Z69="","",'WetLitterbags placem_collection'!Z69)</f>
        <v>5.5</v>
      </c>
      <c r="AH288" s="236" t="str">
        <f>IF('WetLitterbags placem_collection'!AA69="","",'WetLitterbags placem_collection'!AA69)</f>
        <v>O</v>
      </c>
      <c r="AI288">
        <f>IF('WetLitterbags placem_collection'!AC69="","",'WetLitterbags placem_collection'!AC69)</f>
        <v>1</v>
      </c>
      <c r="AJ288" s="233">
        <f>AVERAGE('WetLitterbags placem_collection'!S69,'WetLitterbags placem_collection'!U69)</f>
        <v>29.9</v>
      </c>
      <c r="AK288">
        <f>AVERAGE('WetLitterbags placem_collection'!R69,'WetLitterbags placem_collection'!T69)</f>
        <v>20.7</v>
      </c>
      <c r="AL288">
        <f>INDEX([2]Coordinates!$B$2:$B$197,MATCH(I288,[2]Coordinates!$J$2:$J$197,0))</f>
        <v>-3.299434008</v>
      </c>
      <c r="AM288">
        <f>INDEX([2]Coordinates!$C$2:$C$197,MATCH(I288,[2]Coordinates!$J$2:$J$197,0))</f>
        <v>34.848514960000003</v>
      </c>
      <c r="AN288" t="str">
        <f>IF(ISNUMBER(SEARCH("C", 'WetLitterbags placem_collection'!$W69)),"YES","NO")</f>
        <v>NO</v>
      </c>
      <c r="AO288" t="str">
        <f>IF(ISNUMBER(SEARCH("H", 'WetLitterbags placem_collection'!$W69)),"YES","NO")</f>
        <v>NO</v>
      </c>
      <c r="AP288" t="str">
        <f>IF(ISNUMBER(SEARCH("R", 'WetLitterbags placem_collection'!$W69)),"YES","NO")</f>
        <v>NO</v>
      </c>
    </row>
    <row r="289" spans="1:42" ht="15" customHeight="1">
      <c r="A289" t="s">
        <v>3248</v>
      </c>
      <c r="B289" s="248" t="s">
        <v>2454</v>
      </c>
      <c r="C289" s="253">
        <f>'Dry_Litterbag Placem_Collection'!A70</f>
        <v>68</v>
      </c>
      <c r="D289" s="253" t="str">
        <f>'Dry_Litterbag Placem_Collection'!B70</f>
        <v>Maswa</v>
      </c>
      <c r="E289" s="253" t="s">
        <v>2643</v>
      </c>
      <c r="F289" s="253" t="s">
        <v>2645</v>
      </c>
      <c r="G289" s="253">
        <v>1</v>
      </c>
      <c r="H289" s="253" t="s">
        <v>3111</v>
      </c>
      <c r="I289" s="254" t="str">
        <f>'Dry_Litterbag Placem_Collection'!C70</f>
        <v>Dry_W1_T4</v>
      </c>
      <c r="J289" s="255" t="s">
        <v>2525</v>
      </c>
      <c r="K289" s="262" t="s">
        <v>298</v>
      </c>
      <c r="L289" s="221" t="str">
        <f>'WetLitterbags placem_collection'!M70</f>
        <v>R129</v>
      </c>
      <c r="M289" s="223">
        <f>IFERROR(INDEX('Green_rooibos initial weight'!$C$5:$C$2000,MATCH(L289, 'Green_rooibos initial weight'!$A$5:$A$2000,0)),"")</f>
        <v>2.2829999999999999</v>
      </c>
      <c r="N289" s="223">
        <f>IFERROR(M289-(TBIcalc!$H$9+TBIcalc!$H$10),"")</f>
        <v>2.0331999999999999</v>
      </c>
      <c r="O289" s="378">
        <f>AVERAGE(Ashed_controlls!$K$2:$K$11)</f>
        <v>5.5147656768714146</v>
      </c>
      <c r="P289" s="223">
        <f t="shared" si="21"/>
        <v>1.9210737842578502</v>
      </c>
      <c r="Q289" s="223">
        <f>IFERROR(INDEX('Both teabags AfterWet'!$C$3:$C$840,MATCH(L289,'Both teabags AfterWet'!$A$3:$A$840,0)),"")</f>
        <v>1.885</v>
      </c>
      <c r="R289" s="223">
        <f>IFERROR(IF(Q289&gt;0,Q289-(TBIcalc!$H$9),""),"")</f>
        <v>1.7343999999999999</v>
      </c>
      <c r="S289" s="223">
        <f>IFERROR(INDEX('Ashed teabags wet'!$K$2:$K$2000,MATCH(L289,'Ashed teabags wet'!$A$2:$A$2000,0)),"")</f>
        <v>14.637752587481726</v>
      </c>
      <c r="T289" s="223">
        <f t="shared" si="22"/>
        <v>1.4805228191227169</v>
      </c>
      <c r="U289" s="224">
        <f>'WetLitterbags placem_collection'!E70</f>
        <v>42767</v>
      </c>
      <c r="V289" s="224">
        <f>IF('WetLitterbags placem_collection'!G70="","",'WetLitterbags placem_collection'!G70)</f>
        <v>42818</v>
      </c>
      <c r="W289" s="225">
        <f t="shared" si="20"/>
        <v>51</v>
      </c>
      <c r="X289" s="223">
        <f t="shared" si="23"/>
        <v>0.29879999999999995</v>
      </c>
      <c r="Y289" s="223">
        <f t="shared" si="24"/>
        <v>0.44055096513513337</v>
      </c>
      <c r="Z289">
        <f>IFERROR(INDEX([1]Rainfall_Wet!$O$2:$O$217,MATCH(C289, [1]Rainfall_Wet!$A$2:$A$217,0)),"")</f>
        <v>185.630065823</v>
      </c>
      <c r="AA289" s="226">
        <v>47.96</v>
      </c>
      <c r="AB289" s="226">
        <v>22.919999999999995</v>
      </c>
      <c r="AC289" s="226">
        <v>29.120000000000012</v>
      </c>
      <c r="AD289" s="227" t="s">
        <v>2654</v>
      </c>
      <c r="AE289" s="226">
        <v>5.8831936914736298</v>
      </c>
      <c r="AF289">
        <f>IF('WetLitterbags placem_collection'!AB70="","",'WetLitterbags placem_collection'!AB70)</f>
        <v>9.6999999999999993</v>
      </c>
      <c r="AG289">
        <f>IF('WetLitterbags placem_collection'!Z70="","",'WetLitterbags placem_collection'!Z70)</f>
        <v>23.4</v>
      </c>
      <c r="AH289" s="236" t="str">
        <f>IF('WetLitterbags placem_collection'!AA70="","",'WetLitterbags placem_collection'!AA70)</f>
        <v>O</v>
      </c>
      <c r="AI289">
        <f>IF('WetLitterbags placem_collection'!AC70="","",'WetLitterbags placem_collection'!AC70)</f>
        <v>1</v>
      </c>
      <c r="AJ289" s="233">
        <f>AVERAGE('WetLitterbags placem_collection'!S70,'WetLitterbags placem_collection'!U70)</f>
        <v>29.85</v>
      </c>
      <c r="AK289">
        <f>AVERAGE('WetLitterbags placem_collection'!R70,'WetLitterbags placem_collection'!T70)</f>
        <v>21.2</v>
      </c>
      <c r="AL289">
        <f>INDEX([2]Coordinates!$B$2:$B$197,MATCH(I289,[2]Coordinates!$J$2:$J$197,0))</f>
        <v>-3.2991180099999999</v>
      </c>
      <c r="AM289">
        <f>INDEX([2]Coordinates!$C$2:$C$197,MATCH(I289,[2]Coordinates!$J$2:$J$197,0))</f>
        <v>34.84824699</v>
      </c>
      <c r="AN289" t="str">
        <f>IF(ISNUMBER(SEARCH("C", 'WetLitterbags placem_collection'!$W70)),"YES","NO")</f>
        <v>NO</v>
      </c>
      <c r="AO289" t="str">
        <f>IF(ISNUMBER(SEARCH("H", 'WetLitterbags placem_collection'!$W70)),"YES","NO")</f>
        <v>NO</v>
      </c>
      <c r="AP289" t="str">
        <f>IF(ISNUMBER(SEARCH("R", 'WetLitterbags placem_collection'!$W70)),"YES","NO")</f>
        <v>NO</v>
      </c>
    </row>
    <row r="290" spans="1:42" ht="15" customHeight="1">
      <c r="A290" t="s">
        <v>3248</v>
      </c>
      <c r="B290" s="248" t="s">
        <v>2454</v>
      </c>
      <c r="C290" s="253">
        <f>'Dry_Litterbag Placem_Collection'!A71</f>
        <v>69</v>
      </c>
      <c r="D290" s="253" t="str">
        <f>'Dry_Litterbag Placem_Collection'!B71</f>
        <v>Maswa</v>
      </c>
      <c r="E290" s="253" t="s">
        <v>2643</v>
      </c>
      <c r="F290" s="253" t="s">
        <v>2645</v>
      </c>
      <c r="G290" s="253">
        <v>1</v>
      </c>
      <c r="H290" s="253" t="s">
        <v>3111</v>
      </c>
      <c r="I290" s="254" t="str">
        <f>'Dry_Litterbag Placem_Collection'!C71</f>
        <v>Dry_W1_T5</v>
      </c>
      <c r="J290" s="255" t="s">
        <v>2525</v>
      </c>
      <c r="K290" s="262" t="s">
        <v>298</v>
      </c>
      <c r="L290" s="221" t="str">
        <f>'WetLitterbags placem_collection'!M71</f>
        <v>R414</v>
      </c>
      <c r="M290" s="223">
        <f>IFERROR(INDEX('Green_rooibos initial weight'!$C$5:$C$2000,MATCH(L290, 'Green_rooibos initial weight'!$A$5:$A$2000,0)),"")</f>
        <v>2.1349999999999998</v>
      </c>
      <c r="N290" s="223">
        <f>IFERROR(M290-(TBIcalc!$H$9+TBIcalc!$H$10),"")</f>
        <v>1.8851999999999998</v>
      </c>
      <c r="O290" s="378">
        <f>AVERAGE(Ashed_controlls!$K$2:$K$11)</f>
        <v>5.5147656768714146</v>
      </c>
      <c r="P290" s="223">
        <f t="shared" si="21"/>
        <v>1.7812356374596199</v>
      </c>
      <c r="Q290" s="223">
        <f>IFERROR(INDEX('Both teabags AfterWet'!$C$3:$C$840,MATCH(L290,'Both teabags AfterWet'!$A$3:$A$840,0)),"")</f>
        <v>2.403</v>
      </c>
      <c r="R290" s="223">
        <f>IFERROR(IF(Q290&gt;0,Q290-(TBIcalc!$H$9),""),"")</f>
        <v>2.2524000000000002</v>
      </c>
      <c r="S290" s="223">
        <f>IFERROR(INDEX('Ashed teabags wet'!$K$2:$K$2000,MATCH(L290,'Ashed teabags wet'!$A$2:$A$2000,0)),"")</f>
        <v>16.515513126491193</v>
      </c>
      <c r="T290" s="223">
        <f t="shared" si="22"/>
        <v>1.8804045823389126</v>
      </c>
      <c r="U290" s="224">
        <f>'WetLitterbags placem_collection'!E71</f>
        <v>42767</v>
      </c>
      <c r="V290" s="224">
        <f>IF('WetLitterbags placem_collection'!G71="","",'WetLitterbags placem_collection'!G71)</f>
        <v>42818</v>
      </c>
      <c r="W290" s="225">
        <f t="shared" si="20"/>
        <v>51</v>
      </c>
      <c r="X290" s="223">
        <f t="shared" si="23"/>
        <v>-0.36720000000000041</v>
      </c>
      <c r="Y290" s="223">
        <f t="shared" si="24"/>
        <v>-9.9168944879292731E-2</v>
      </c>
      <c r="Z290">
        <f>IFERROR(INDEX([1]Rainfall_Wet!$O$2:$O$217,MATCH(C290, [1]Rainfall_Wet!$A$2:$A$217,0)),"")</f>
        <v>185.630065823</v>
      </c>
      <c r="AA290" s="226">
        <v>47.96</v>
      </c>
      <c r="AB290" s="226">
        <v>22.919999999999995</v>
      </c>
      <c r="AC290" s="226">
        <v>29.120000000000012</v>
      </c>
      <c r="AD290" s="227" t="s">
        <v>2654</v>
      </c>
      <c r="AE290" s="226">
        <v>6.8831936914736298</v>
      </c>
      <c r="AF290">
        <f>IF('WetLitterbags placem_collection'!AB71="","",'WetLitterbags placem_collection'!AB71)</f>
        <v>14.4</v>
      </c>
      <c r="AG290">
        <f>IF('WetLitterbags placem_collection'!Z71="","",'WetLitterbags placem_collection'!Z71)</f>
        <v>24.4</v>
      </c>
      <c r="AH290" s="236" t="str">
        <f>IF('WetLitterbags placem_collection'!AA71="","",'WetLitterbags placem_collection'!AA71)</f>
        <v>O</v>
      </c>
      <c r="AI290">
        <f>IF('WetLitterbags placem_collection'!AC71="","",'WetLitterbags placem_collection'!AC71)</f>
        <v>1</v>
      </c>
      <c r="AJ290" s="233">
        <f>AVERAGE('WetLitterbags placem_collection'!S71,'WetLitterbags placem_collection'!U71)</f>
        <v>31.25</v>
      </c>
      <c r="AK290">
        <f>AVERAGE('WetLitterbags placem_collection'!R71,'WetLitterbags placem_collection'!T71)</f>
        <v>23.450000000000003</v>
      </c>
      <c r="AL290">
        <f>INDEX([2]Coordinates!$B$2:$B$197,MATCH(I290,[2]Coordinates!$J$2:$J$197,0))</f>
        <v>-3.2993180030000002</v>
      </c>
      <c r="AM290">
        <f>INDEX([2]Coordinates!$C$2:$C$197,MATCH(I290,[2]Coordinates!$J$2:$J$197,0))</f>
        <v>34.848235010000003</v>
      </c>
      <c r="AN290" t="str">
        <f>IF(ISNUMBER(SEARCH("C", 'WetLitterbags placem_collection'!$W71)),"YES","NO")</f>
        <v>NO</v>
      </c>
      <c r="AO290" t="str">
        <f>IF(ISNUMBER(SEARCH("H", 'WetLitterbags placem_collection'!$W71)),"YES","NO")</f>
        <v>NO</v>
      </c>
      <c r="AP290" t="str">
        <f>IF(ISNUMBER(SEARCH("R", 'WetLitterbags placem_collection'!$W71)),"YES","NO")</f>
        <v>NO</v>
      </c>
    </row>
    <row r="291" spans="1:42" ht="15" customHeight="1">
      <c r="A291" t="s">
        <v>3248</v>
      </c>
      <c r="B291" s="248" t="s">
        <v>2454</v>
      </c>
      <c r="C291" s="253">
        <f>'Dry_Litterbag Placem_Collection'!A72</f>
        <v>70</v>
      </c>
      <c r="D291" s="253" t="str">
        <f>'Dry_Litterbag Placem_Collection'!B72</f>
        <v>Maswa</v>
      </c>
      <c r="E291" s="253" t="s">
        <v>2643</v>
      </c>
      <c r="F291" s="253" t="s">
        <v>2645</v>
      </c>
      <c r="G291" s="253">
        <v>1</v>
      </c>
      <c r="H291" s="253" t="s">
        <v>3111</v>
      </c>
      <c r="I291" s="254" t="str">
        <f>'Dry_Litterbag Placem_Collection'!C72</f>
        <v>Dry_W1_T6</v>
      </c>
      <c r="J291" s="255" t="s">
        <v>2525</v>
      </c>
      <c r="K291" s="262" t="s">
        <v>298</v>
      </c>
      <c r="L291" s="221" t="str">
        <f>'WetLitterbags placem_collection'!M72</f>
        <v>R151</v>
      </c>
      <c r="M291" s="223">
        <f>IFERROR(INDEX('Green_rooibos initial weight'!$C$5:$C$2000,MATCH(L291, 'Green_rooibos initial weight'!$A$5:$A$2000,0)),"")</f>
        <v>2.1920000000000002</v>
      </c>
      <c r="N291" s="223">
        <f>IFERROR(M291-(TBIcalc!$H$9+TBIcalc!$H$10),"")</f>
        <v>1.9422000000000001</v>
      </c>
      <c r="O291" s="378">
        <f>AVERAGE(Ashed_controlls!$K$2:$K$11)</f>
        <v>5.5147656768714146</v>
      </c>
      <c r="P291" s="223">
        <f t="shared" si="21"/>
        <v>1.8350922210238034</v>
      </c>
      <c r="Q291" s="223">
        <f>IFERROR(INDEX('Both teabags AfterWet'!$C$3:$C$840,MATCH(L291,'Both teabags AfterWet'!$A$3:$A$840,0)),"")</f>
        <v>1.536</v>
      </c>
      <c r="R291" s="223">
        <f>IFERROR(IF(Q291&gt;0,Q291-(TBIcalc!$H$9),""),"")</f>
        <v>1.3854</v>
      </c>
      <c r="S291" s="223">
        <f>IFERROR(INDEX('Ashed teabags wet'!$K$2:$K$2000,MATCH(L291,'Ashed teabags wet'!$A$2:$A$2000,0)),"")</f>
        <v>89.048562933597623</v>
      </c>
      <c r="T291" s="223">
        <f t="shared" si="22"/>
        <v>0.15172120911793852</v>
      </c>
      <c r="U291" s="224">
        <f>'WetLitterbags placem_collection'!E72</f>
        <v>42767</v>
      </c>
      <c r="V291" s="224">
        <f>IF('WetLitterbags placem_collection'!G72="","",'WetLitterbags placem_collection'!G72)</f>
        <v>42818</v>
      </c>
      <c r="W291" s="225">
        <f t="shared" si="20"/>
        <v>51</v>
      </c>
      <c r="X291" s="223">
        <f t="shared" si="23"/>
        <v>0.55680000000000018</v>
      </c>
      <c r="Y291" s="223">
        <f t="shared" si="24"/>
        <v>1.6833710119058649</v>
      </c>
      <c r="Z291">
        <f>IFERROR(INDEX([1]Rainfall_Wet!$O$2:$O$217,MATCH(C291, [1]Rainfall_Wet!$A$2:$A$217,0)),"")</f>
        <v>185.630065823</v>
      </c>
      <c r="AA291" s="226">
        <v>47.96</v>
      </c>
      <c r="AB291" s="226">
        <v>22.919999999999995</v>
      </c>
      <c r="AC291" s="226">
        <v>29.120000000000012</v>
      </c>
      <c r="AD291" s="227" t="s">
        <v>2654</v>
      </c>
      <c r="AE291" s="226">
        <v>7.8831936914736298</v>
      </c>
      <c r="AF291">
        <f>IF('WetLitterbags placem_collection'!AB72="","",'WetLitterbags placem_collection'!AB72)</f>
        <v>15</v>
      </c>
      <c r="AG291">
        <f>IF('WetLitterbags placem_collection'!Z72="","",'WetLitterbags placem_collection'!Z72)</f>
        <v>28</v>
      </c>
      <c r="AH291" s="236" t="str">
        <f>IF('WetLitterbags placem_collection'!AA72="","",'WetLitterbags placem_collection'!AA72)</f>
        <v>O</v>
      </c>
      <c r="AI291">
        <f>IF('WetLitterbags placem_collection'!AC72="","",'WetLitterbags placem_collection'!AC72)</f>
        <v>0</v>
      </c>
      <c r="AJ291" s="233">
        <f>AVERAGE('WetLitterbags placem_collection'!S72,'WetLitterbags placem_collection'!U72)</f>
        <v>32.15</v>
      </c>
      <c r="AK291">
        <f>AVERAGE('WetLitterbags placem_collection'!R72,'WetLitterbags placem_collection'!T72)</f>
        <v>23.7</v>
      </c>
      <c r="AL291">
        <f>INDEX([2]Coordinates!$B$2:$B$197,MATCH(I291,[2]Coordinates!$J$2:$J$197,0))</f>
        <v>-3.299381034</v>
      </c>
      <c r="AM291">
        <f>INDEX([2]Coordinates!$C$2:$C$197,MATCH(I291,[2]Coordinates!$J$2:$J$197,0))</f>
        <v>34.848312040000003</v>
      </c>
      <c r="AN291" t="str">
        <f>IF(ISNUMBER(SEARCH("C", 'WetLitterbags placem_collection'!$W72)),"YES","NO")</f>
        <v>YES</v>
      </c>
      <c r="AO291" t="str">
        <f>IF(ISNUMBER(SEARCH("H", 'WetLitterbags placem_collection'!$W72)),"YES","NO")</f>
        <v>YES</v>
      </c>
      <c r="AP291" t="str">
        <f>IF(ISNUMBER(SEARCH("R", 'WetLitterbags placem_collection'!$W72)),"YES","NO")</f>
        <v>YES</v>
      </c>
    </row>
    <row r="292" spans="1:42" ht="15" customHeight="1">
      <c r="A292" t="s">
        <v>3248</v>
      </c>
      <c r="B292" s="248" t="s">
        <v>2454</v>
      </c>
      <c r="C292" s="253">
        <f>'Dry_Litterbag Placem_Collection'!A73</f>
        <v>71</v>
      </c>
      <c r="D292" s="253" t="str">
        <f>'Dry_Litterbag Placem_Collection'!B73</f>
        <v>Maswa</v>
      </c>
      <c r="E292" s="253" t="s">
        <v>2643</v>
      </c>
      <c r="F292" s="253" t="s">
        <v>2645</v>
      </c>
      <c r="G292" s="253">
        <v>1</v>
      </c>
      <c r="H292" s="253" t="s">
        <v>3111</v>
      </c>
      <c r="I292" s="254" t="str">
        <f>'Dry_Litterbag Placem_Collection'!C73</f>
        <v>Dry_W1_T7</v>
      </c>
      <c r="J292" s="255" t="s">
        <v>2525</v>
      </c>
      <c r="K292" s="262" t="s">
        <v>298</v>
      </c>
      <c r="L292" s="221" t="str">
        <f>'WetLitterbags placem_collection'!M73</f>
        <v>R95</v>
      </c>
      <c r="M292" s="223">
        <f>IFERROR(INDEX('Green_rooibos initial weight'!$C$5:$C$2000,MATCH(L292, 'Green_rooibos initial weight'!$A$5:$A$2000,0)),"")</f>
        <v>2.2160000000000002</v>
      </c>
      <c r="N292" s="223">
        <f>IFERROR(M292-(TBIcalc!$H$9+TBIcalc!$H$10),"")</f>
        <v>1.9662000000000002</v>
      </c>
      <c r="O292" s="378">
        <f>AVERAGE(Ashed_controlls!$K$2:$K$11)</f>
        <v>5.5147656768714146</v>
      </c>
      <c r="P292" s="223">
        <f t="shared" si="21"/>
        <v>1.8577686772613544</v>
      </c>
      <c r="Q292" s="223" t="str">
        <f>IFERROR(INDEX('Both teabags AfterWet'!$C$3:$C$840,MATCH(L292,'Both teabags AfterWet'!$A$3:$A$840,0)),"")</f>
        <v/>
      </c>
      <c r="R292" s="223" t="str">
        <f>IFERROR(IF(Q292&gt;0,Q292-(TBIcalc!$H$9),""),"")</f>
        <v/>
      </c>
      <c r="S292" s="223">
        <f>IFERROR(INDEX('Ashed teabags wet'!$K$2:$K$2000,MATCH(L292,'Ashed teabags wet'!$A$2:$A$2000,0)),"")</f>
        <v>3.275434243175928</v>
      </c>
      <c r="T292" s="223" t="str">
        <f t="shared" si="22"/>
        <v/>
      </c>
      <c r="U292" s="224">
        <f>'WetLitterbags placem_collection'!E73</f>
        <v>42767</v>
      </c>
      <c r="V292" s="224">
        <f>IF('WetLitterbags placem_collection'!G73="","",'WetLitterbags placem_collection'!G73)</f>
        <v>42818</v>
      </c>
      <c r="W292" s="225">
        <f t="shared" si="20"/>
        <v>51</v>
      </c>
      <c r="X292" s="223" t="str">
        <f t="shared" si="23"/>
        <v/>
      </c>
      <c r="Y292" s="223" t="str">
        <f t="shared" si="24"/>
        <v/>
      </c>
      <c r="Z292">
        <f>IFERROR(INDEX([1]Rainfall_Wet!$O$2:$O$217,MATCH(C292, [1]Rainfall_Wet!$A$2:$A$217,0)),"")</f>
        <v>185.630065823</v>
      </c>
      <c r="AA292" s="226">
        <v>47.96</v>
      </c>
      <c r="AB292" s="226">
        <v>22.919999999999995</v>
      </c>
      <c r="AC292" s="226">
        <v>29.120000000000012</v>
      </c>
      <c r="AD292" s="227" t="s">
        <v>2654</v>
      </c>
      <c r="AE292" s="226">
        <v>8.8831936914736307</v>
      </c>
      <c r="AF292">
        <f>IF('WetLitterbags placem_collection'!AB73="","",'WetLitterbags placem_collection'!AB73)</f>
        <v>15.5</v>
      </c>
      <c r="AG292">
        <f>IF('WetLitterbags placem_collection'!Z73="","",'WetLitterbags placem_collection'!Z73)</f>
        <v>32</v>
      </c>
      <c r="AH292" s="236" t="str">
        <f>IF('WetLitterbags placem_collection'!AA73="","",'WetLitterbags placem_collection'!AA73)</f>
        <v>O</v>
      </c>
      <c r="AI292">
        <f>IF('WetLitterbags placem_collection'!AC73="","",'WetLitterbags placem_collection'!AC73)</f>
        <v>1</v>
      </c>
      <c r="AJ292" s="233">
        <f>AVERAGE('WetLitterbags placem_collection'!S73,'WetLitterbags placem_collection'!U73)</f>
        <v>29.35</v>
      </c>
      <c r="AK292">
        <f>AVERAGE('WetLitterbags placem_collection'!R73,'WetLitterbags placem_collection'!T73)</f>
        <v>21.95</v>
      </c>
      <c r="AL292">
        <f>INDEX([2]Coordinates!$B$2:$B$197,MATCH(I292,[2]Coordinates!$J$2:$J$197,0))</f>
        <v>-3.2992429849999998</v>
      </c>
      <c r="AM292">
        <f>INDEX([2]Coordinates!$C$2:$C$197,MATCH(I292,[2]Coordinates!$J$2:$J$197,0))</f>
        <v>34.847900989999999</v>
      </c>
      <c r="AN292" t="str">
        <f>IF(ISNUMBER(SEARCH("C", 'WetLitterbags placem_collection'!$W73)),"YES","NO")</f>
        <v>NO</v>
      </c>
      <c r="AO292" t="str">
        <f>IF(ISNUMBER(SEARCH("H", 'WetLitterbags placem_collection'!$W73)),"YES","NO")</f>
        <v>NO</v>
      </c>
      <c r="AP292" t="str">
        <f>IF(ISNUMBER(SEARCH("R", 'WetLitterbags placem_collection'!$W73)),"YES","NO")</f>
        <v>YES</v>
      </c>
    </row>
    <row r="293" spans="1:42" ht="15" customHeight="1">
      <c r="A293" t="s">
        <v>3248</v>
      </c>
      <c r="B293" s="248" t="s">
        <v>2454</v>
      </c>
      <c r="C293" s="253">
        <f>'Dry_Litterbag Placem_Collection'!A74</f>
        <v>72</v>
      </c>
      <c r="D293" s="253" t="str">
        <f>'Dry_Litterbag Placem_Collection'!B74</f>
        <v>Maswa</v>
      </c>
      <c r="E293" s="253" t="s">
        <v>2643</v>
      </c>
      <c r="F293" s="253" t="s">
        <v>2645</v>
      </c>
      <c r="G293" s="253">
        <v>1</v>
      </c>
      <c r="H293" s="253" t="s">
        <v>3111</v>
      </c>
      <c r="I293" s="254" t="str">
        <f>'Dry_Litterbag Placem_Collection'!C74</f>
        <v>Dry_W1_T8</v>
      </c>
      <c r="J293" s="255" t="s">
        <v>2525</v>
      </c>
      <c r="K293" s="262" t="s">
        <v>298</v>
      </c>
      <c r="L293" s="221" t="str">
        <f>'WetLitterbags placem_collection'!M74</f>
        <v>R546</v>
      </c>
      <c r="M293" s="223">
        <f>IFERROR(INDEX('Green_rooibos initial weight'!$C$5:$C$2000,MATCH(L293, 'Green_rooibos initial weight'!$A$5:$A$2000,0)),"")</f>
        <v>2.2250000000000001</v>
      </c>
      <c r="N293" s="223">
        <f>IFERROR(M293-(TBIcalc!$H$9+TBIcalc!$H$10),"")</f>
        <v>1.9752000000000001</v>
      </c>
      <c r="O293" s="378">
        <f>AVERAGE(Ashed_controlls!$K$2:$K$11)</f>
        <v>5.5147656768714146</v>
      </c>
      <c r="P293" s="223">
        <f t="shared" si="21"/>
        <v>1.866272348350436</v>
      </c>
      <c r="Q293" s="223">
        <f>IFERROR(INDEX('Both teabags AfterWet'!$C$3:$C$840,MATCH(L293,'Both teabags AfterWet'!$A$3:$A$840,0)),"")</f>
        <v>1.5403</v>
      </c>
      <c r="R293" s="223">
        <f>IFERROR(IF(Q293&gt;0,Q293-(TBIcalc!$H$9),""),"")</f>
        <v>1.3896999999999999</v>
      </c>
      <c r="S293" s="223">
        <f>IFERROR(INDEX('Ashed teabags wet'!$K$2:$K$2000,MATCH(L293,'Ashed teabags wet'!$A$2:$A$2000,0)),"")</f>
        <v>5.6566650270533065</v>
      </c>
      <c r="T293" s="223">
        <f t="shared" si="22"/>
        <v>1.3110893261190402</v>
      </c>
      <c r="U293" s="224">
        <f>'WetLitterbags placem_collection'!E74</f>
        <v>42767</v>
      </c>
      <c r="V293" s="224">
        <f>IF('WetLitterbags placem_collection'!G74="","",'WetLitterbags placem_collection'!G74)</f>
        <v>42818</v>
      </c>
      <c r="W293" s="225">
        <f t="shared" si="20"/>
        <v>51</v>
      </c>
      <c r="X293" s="223">
        <f t="shared" si="23"/>
        <v>0.58550000000000013</v>
      </c>
      <c r="Y293" s="223">
        <f t="shared" si="24"/>
        <v>0.55518302223139582</v>
      </c>
      <c r="Z293">
        <f>IFERROR(INDEX([1]Rainfall_Wet!$O$2:$O$217,MATCH(C293, [1]Rainfall_Wet!$A$2:$A$217,0)),"")</f>
        <v>185.630065823</v>
      </c>
      <c r="AA293" s="226">
        <v>47.96</v>
      </c>
      <c r="AB293" s="226">
        <v>22.919999999999995</v>
      </c>
      <c r="AC293" s="226">
        <v>29.120000000000012</v>
      </c>
      <c r="AD293" s="227" t="s">
        <v>2654</v>
      </c>
      <c r="AE293" s="226">
        <v>9.8831936914736307</v>
      </c>
      <c r="AF293">
        <f>IF('WetLitterbags placem_collection'!AB74="","",'WetLitterbags placem_collection'!AB74)</f>
        <v>2.6</v>
      </c>
      <c r="AG293">
        <f>IF('WetLitterbags placem_collection'!Z74="","",'WetLitterbags placem_collection'!Z74)</f>
        <v>44</v>
      </c>
      <c r="AH293" s="236" t="str">
        <f>IF('WetLitterbags placem_collection'!AA74="","",'WetLitterbags placem_collection'!AA74)</f>
        <v>O</v>
      </c>
      <c r="AI293">
        <f>IF('WetLitterbags placem_collection'!AC74="","",'WetLitterbags placem_collection'!AC74)</f>
        <v>1</v>
      </c>
      <c r="AJ293" s="233">
        <f>AVERAGE('WetLitterbags placem_collection'!S74,'WetLitterbags placem_collection'!U74)</f>
        <v>32</v>
      </c>
      <c r="AK293">
        <f>AVERAGE('WetLitterbags placem_collection'!R74,'WetLitterbags placem_collection'!T74)</f>
        <v>21.9</v>
      </c>
      <c r="AL293">
        <f>INDEX([2]Coordinates!$B$2:$B$197,MATCH(I293,[2]Coordinates!$J$2:$J$197,0))</f>
        <v>-3.2996540329999999</v>
      </c>
      <c r="AM293">
        <f>INDEX([2]Coordinates!$C$2:$C$197,MATCH(I293,[2]Coordinates!$J$2:$J$197,0))</f>
        <v>34.848151020000003</v>
      </c>
      <c r="AN293" t="str">
        <f>IF(ISNUMBER(SEARCH("C", 'WetLitterbags placem_collection'!$W74)),"YES","NO")</f>
        <v>NO</v>
      </c>
      <c r="AO293" t="str">
        <f>IF(ISNUMBER(SEARCH("H", 'WetLitterbags placem_collection'!$W74)),"YES","NO")</f>
        <v>NO</v>
      </c>
      <c r="AP293" t="str">
        <f>IF(ISNUMBER(SEARCH("R", 'WetLitterbags placem_collection'!$W74)),"YES","NO")</f>
        <v>NO</v>
      </c>
    </row>
    <row r="294" spans="1:42" ht="15" customHeight="1">
      <c r="A294" t="s">
        <v>3248</v>
      </c>
      <c r="B294" s="248" t="s">
        <v>2454</v>
      </c>
      <c r="C294" s="253">
        <f>'Dry_Litterbag Placem_Collection'!A75</f>
        <v>73</v>
      </c>
      <c r="D294" s="253" t="str">
        <f>'Dry_Litterbag Placem_Collection'!B75</f>
        <v>Maswa</v>
      </c>
      <c r="E294" s="253" t="s">
        <v>2643</v>
      </c>
      <c r="F294" s="253" t="s">
        <v>2645</v>
      </c>
      <c r="G294" s="253">
        <v>2</v>
      </c>
      <c r="H294" s="253" t="s">
        <v>3113</v>
      </c>
      <c r="I294" s="254" t="str">
        <f>'Dry_Litterbag Placem_Collection'!C75</f>
        <v>Dry_W2_T1</v>
      </c>
      <c r="J294" s="255" t="s">
        <v>2525</v>
      </c>
      <c r="K294" s="262" t="s">
        <v>298</v>
      </c>
      <c r="L294" s="221" t="str">
        <f>'WetLitterbags placem_collection'!M75</f>
        <v>R438</v>
      </c>
      <c r="M294" s="223">
        <f>IFERROR(INDEX('Green_rooibos initial weight'!$C$5:$C$2000,MATCH(L294, 'Green_rooibos initial weight'!$A$5:$A$2000,0)),"")</f>
        <v>2.1829999999999998</v>
      </c>
      <c r="N294" s="223">
        <f>IFERROR(M294-(TBIcalc!$H$9+TBIcalc!$H$10),"")</f>
        <v>1.9331999999999998</v>
      </c>
      <c r="O294" s="378">
        <f>AVERAGE(Ashed_controlls!$K$2:$K$11)</f>
        <v>5.5147656768714146</v>
      </c>
      <c r="P294" s="223">
        <f t="shared" si="21"/>
        <v>1.8265885499347216</v>
      </c>
      <c r="Q294" s="223">
        <f>IFERROR(INDEX('Both teabags AfterWet'!$C$3:$C$840,MATCH(L294,'Both teabags AfterWet'!$A$3:$A$840,0)),"")</f>
        <v>0.17480000000000001</v>
      </c>
      <c r="R294" s="223">
        <f>IFERROR(IF(Q294&gt;0,Q294-(TBIcalc!$H$9),""),"")</f>
        <v>2.4199999999999999E-2</v>
      </c>
      <c r="S294" s="223">
        <f>IFERROR(INDEX('Ashed teabags wet'!$K$2:$K$2000,MATCH(L294,'Ashed teabags wet'!$A$2:$A$2000,0)),"")</f>
        <v>0</v>
      </c>
      <c r="T294" s="223">
        <f t="shared" si="22"/>
        <v>2.4199999999999999E-2</v>
      </c>
      <c r="U294" s="224">
        <f>'WetLitterbags placem_collection'!E75</f>
        <v>42767</v>
      </c>
      <c r="V294" s="224">
        <f>IF('WetLitterbags placem_collection'!G75="","",'WetLitterbags placem_collection'!G75)</f>
        <v>42818</v>
      </c>
      <c r="W294" s="225">
        <f t="shared" si="20"/>
        <v>51</v>
      </c>
      <c r="X294" s="223">
        <f t="shared" si="23"/>
        <v>1.9089999999999998</v>
      </c>
      <c r="Y294" s="223">
        <f t="shared" si="24"/>
        <v>1.8023885499347216</v>
      </c>
      <c r="Z294">
        <f>IFERROR(INDEX([1]Rainfall_Wet!$O$2:$O$217,MATCH(C294, [1]Rainfall_Wet!$A$2:$A$217,0)),"")</f>
        <v>185.630065823</v>
      </c>
      <c r="AA294" s="226">
        <v>45.272914521112256</v>
      </c>
      <c r="AB294" s="226">
        <v>23.604531410916575</v>
      </c>
      <c r="AC294" s="226">
        <v>31.122554067971166</v>
      </c>
      <c r="AD294" s="227" t="s">
        <v>2654</v>
      </c>
      <c r="AE294" s="226">
        <v>2.0547560374568752</v>
      </c>
      <c r="AF294">
        <f>IF('WetLitterbags placem_collection'!AB75="","",'WetLitterbags placem_collection'!AB75)</f>
        <v>9.1</v>
      </c>
      <c r="AG294">
        <f>IF('WetLitterbags placem_collection'!Z75="","",'WetLitterbags placem_collection'!Z75)</f>
        <v>10</v>
      </c>
      <c r="AH294" s="236" t="str">
        <f>IF('WetLitterbags placem_collection'!AA75="","",'WetLitterbags placem_collection'!AA75)</f>
        <v>M</v>
      </c>
      <c r="AI294">
        <f>IF('WetLitterbags placem_collection'!AC75="","",'WetLitterbags placem_collection'!AC75)</f>
        <v>1</v>
      </c>
      <c r="AJ294" s="233">
        <f>AVERAGE('WetLitterbags placem_collection'!S75,'WetLitterbags placem_collection'!U75)</f>
        <v>27.85</v>
      </c>
      <c r="AK294">
        <f>AVERAGE('WetLitterbags placem_collection'!R75,'WetLitterbags placem_collection'!T75)</f>
        <v>26.15</v>
      </c>
      <c r="AL294">
        <f>INDEX([2]Coordinates!$B$2:$B$197,MATCH(I294,[2]Coordinates!$J$2:$J$197,0))</f>
        <v>-3.3025860229999999</v>
      </c>
      <c r="AM294">
        <f>INDEX([2]Coordinates!$C$2:$C$197,MATCH(I294,[2]Coordinates!$J$2:$J$197,0))</f>
        <v>34.848048009999999</v>
      </c>
      <c r="AN294" t="str">
        <f>IF(ISNUMBER(SEARCH("C", 'WetLitterbags placem_collection'!$W75)),"YES","NO")</f>
        <v>NO</v>
      </c>
      <c r="AO294" t="str">
        <f>IF(ISNUMBER(SEARCH("H", 'WetLitterbags placem_collection'!$W75)),"YES","NO")</f>
        <v>YES</v>
      </c>
      <c r="AP294" t="str">
        <f>IF(ISNUMBER(SEARCH("R", 'WetLitterbags placem_collection'!$W75)),"YES","NO")</f>
        <v>YES</v>
      </c>
    </row>
    <row r="295" spans="1:42" ht="15" customHeight="1">
      <c r="A295" t="s">
        <v>3248</v>
      </c>
      <c r="B295" s="248" t="s">
        <v>2454</v>
      </c>
      <c r="C295" s="253">
        <f>'Dry_Litterbag Placem_Collection'!A76</f>
        <v>74</v>
      </c>
      <c r="D295" s="253" t="str">
        <f>'Dry_Litterbag Placem_Collection'!B76</f>
        <v>Maswa</v>
      </c>
      <c r="E295" s="253" t="s">
        <v>2643</v>
      </c>
      <c r="F295" s="253" t="s">
        <v>2645</v>
      </c>
      <c r="G295" s="253">
        <v>2</v>
      </c>
      <c r="H295" s="253" t="s">
        <v>3113</v>
      </c>
      <c r="I295" s="254" t="str">
        <f>'Dry_Litterbag Placem_Collection'!C76</f>
        <v>Dry_W2_T2</v>
      </c>
      <c r="J295" s="255" t="s">
        <v>2525</v>
      </c>
      <c r="K295" s="262" t="s">
        <v>298</v>
      </c>
      <c r="L295" s="221" t="str">
        <f>'WetLitterbags placem_collection'!M76</f>
        <v>R122</v>
      </c>
      <c r="M295" s="223">
        <f>IFERROR(INDEX('Green_rooibos initial weight'!$C$5:$C$2000,MATCH(L295, 'Green_rooibos initial weight'!$A$5:$A$2000,0)),"")</f>
        <v>2.2189999999999999</v>
      </c>
      <c r="N295" s="223">
        <f>IFERROR(M295-(TBIcalc!$H$9+TBIcalc!$H$10),"")</f>
        <v>1.9691999999999998</v>
      </c>
      <c r="O295" s="378">
        <f>AVERAGE(Ashed_controlls!$K$2:$K$11)</f>
        <v>5.5147656768714146</v>
      </c>
      <c r="P295" s="223">
        <f t="shared" si="21"/>
        <v>1.8606032342910479</v>
      </c>
      <c r="Q295" s="223">
        <f>IFERROR(INDEX('Both teabags AfterWet'!$C$3:$C$840,MATCH(L295,'Both teabags AfterWet'!$A$3:$A$840,0)),"")</f>
        <v>0.35499999999999998</v>
      </c>
      <c r="R295" s="223">
        <f>IFERROR(IF(Q295&gt;0,Q295-(TBIcalc!$H$9),""),"")</f>
        <v>0.20439999999999997</v>
      </c>
      <c r="S295" s="223">
        <f>IFERROR(INDEX('Ashed teabags wet'!$K$2:$K$2000,MATCH(L295,'Ashed teabags wet'!$A$2:$A$2000,0)),"")</f>
        <v>0</v>
      </c>
      <c r="T295" s="223">
        <f t="shared" si="22"/>
        <v>0.20439999999999997</v>
      </c>
      <c r="U295" s="224">
        <f>'WetLitterbags placem_collection'!E76</f>
        <v>42767</v>
      </c>
      <c r="V295" s="224">
        <f>IF('WetLitterbags placem_collection'!G76="","",'WetLitterbags placem_collection'!G76)</f>
        <v>42818</v>
      </c>
      <c r="W295" s="225">
        <f t="shared" si="20"/>
        <v>51</v>
      </c>
      <c r="X295" s="223">
        <f t="shared" si="23"/>
        <v>1.7647999999999999</v>
      </c>
      <c r="Y295" s="223">
        <f t="shared" si="24"/>
        <v>1.656203234291048</v>
      </c>
      <c r="Z295">
        <f>IFERROR(INDEX([1]Rainfall_Wet!$O$2:$O$217,MATCH(C295, [1]Rainfall_Wet!$A$2:$A$217,0)),"")</f>
        <v>185.630065823</v>
      </c>
      <c r="AA295" s="226">
        <v>45.272914521112256</v>
      </c>
      <c r="AB295" s="226">
        <v>23.604531410916575</v>
      </c>
      <c r="AC295" s="226">
        <v>31.122554067971166</v>
      </c>
      <c r="AD295" s="227" t="s">
        <v>2654</v>
      </c>
      <c r="AE295" s="226">
        <v>3.0547560374568801</v>
      </c>
      <c r="AF295">
        <f>IF('WetLitterbags placem_collection'!AB76="","",'WetLitterbags placem_collection'!AB76)</f>
        <v>7.7</v>
      </c>
      <c r="AG295">
        <f>IF('WetLitterbags placem_collection'!Z76="","",'WetLitterbags placem_collection'!Z76)</f>
        <v>9.4</v>
      </c>
      <c r="AH295" s="236" t="str">
        <f>IF('WetLitterbags placem_collection'!AA76="","",'WetLitterbags placem_collection'!AA76)</f>
        <v>M</v>
      </c>
      <c r="AI295">
        <f>IF('WetLitterbags placem_collection'!AC76="","",'WetLitterbags placem_collection'!AC76)</f>
        <v>1</v>
      </c>
      <c r="AJ295" s="233">
        <f>AVERAGE('WetLitterbags placem_collection'!S76,'WetLitterbags placem_collection'!U76)</f>
        <v>24.65</v>
      </c>
      <c r="AK295">
        <f>AVERAGE('WetLitterbags placem_collection'!R76,'WetLitterbags placem_collection'!T76)</f>
        <v>24.35</v>
      </c>
      <c r="AL295">
        <f>INDEX([2]Coordinates!$B$2:$B$197,MATCH(I295,[2]Coordinates!$J$2:$J$197,0))</f>
        <v>-3.3025779759999998</v>
      </c>
      <c r="AM295">
        <f>INDEX([2]Coordinates!$C$2:$C$197,MATCH(I295,[2]Coordinates!$J$2:$J$197,0))</f>
        <v>34.848041969999997</v>
      </c>
      <c r="AN295" t="str">
        <f>IF(ISNUMBER(SEARCH("C", 'WetLitterbags placem_collection'!$W76)),"YES","NO")</f>
        <v>YES</v>
      </c>
      <c r="AO295" t="str">
        <f>IF(ISNUMBER(SEARCH("H", 'WetLitterbags placem_collection'!$W76)),"YES","NO")</f>
        <v>YES</v>
      </c>
      <c r="AP295" t="str">
        <f>IF(ISNUMBER(SEARCH("R", 'WetLitterbags placem_collection'!$W76)),"YES","NO")</f>
        <v>NO</v>
      </c>
    </row>
    <row r="296" spans="1:42" ht="15" customHeight="1">
      <c r="A296" t="s">
        <v>3248</v>
      </c>
      <c r="B296" s="248" t="s">
        <v>2454</v>
      </c>
      <c r="C296" s="253">
        <f>'Dry_Litterbag Placem_Collection'!A77</f>
        <v>75</v>
      </c>
      <c r="D296" s="253" t="str">
        <f>'Dry_Litterbag Placem_Collection'!B77</f>
        <v>Maswa</v>
      </c>
      <c r="E296" s="253" t="s">
        <v>2643</v>
      </c>
      <c r="F296" s="253" t="s">
        <v>2645</v>
      </c>
      <c r="G296" s="253">
        <v>2</v>
      </c>
      <c r="H296" s="253" t="s">
        <v>3113</v>
      </c>
      <c r="I296" s="254" t="str">
        <f>'Dry_Litterbag Placem_Collection'!C77</f>
        <v>Dry_W2_T3</v>
      </c>
      <c r="J296" s="255" t="s">
        <v>2525</v>
      </c>
      <c r="K296" s="262" t="s">
        <v>298</v>
      </c>
      <c r="L296" s="221" t="str">
        <f>'WetLitterbags placem_collection'!M77</f>
        <v>R404</v>
      </c>
      <c r="M296" s="223">
        <f>IFERROR(INDEX('Green_rooibos initial weight'!$C$5:$C$2000,MATCH(L296, 'Green_rooibos initial weight'!$A$5:$A$2000,0)),"")</f>
        <v>2.1779999999999999</v>
      </c>
      <c r="N296" s="223">
        <f>IFERROR(M296-(TBIcalc!$H$9+TBIcalc!$H$10),"")</f>
        <v>1.9281999999999999</v>
      </c>
      <c r="O296" s="378">
        <f>AVERAGE(Ashed_controlls!$K$2:$K$11)</f>
        <v>5.5147656768714146</v>
      </c>
      <c r="P296" s="223">
        <f t="shared" si="21"/>
        <v>1.8218642882185654</v>
      </c>
      <c r="Q296" s="223">
        <f>IFERROR(INDEX('Both teabags AfterWet'!$C$3:$C$840,MATCH(L296,'Both teabags AfterWet'!$A$3:$A$840,0)),"")</f>
        <v>0.15579999999999999</v>
      </c>
      <c r="R296" s="223">
        <f>IFERROR(IF(Q296&gt;0,Q296-(TBIcalc!$H$9),""),"")</f>
        <v>5.1999999999999824E-3</v>
      </c>
      <c r="S296" s="223">
        <f>IFERROR(INDEX('Ashed teabags wet'!$K$2:$K$2000,MATCH(L296,'Ashed teabags wet'!$A$2:$A$2000,0)),"")</f>
        <v>0</v>
      </c>
      <c r="T296" s="223">
        <f t="shared" si="22"/>
        <v>5.1999999999999824E-3</v>
      </c>
      <c r="U296" s="224">
        <f>'WetLitterbags placem_collection'!E77</f>
        <v>42767</v>
      </c>
      <c r="V296" s="224">
        <f>IF('WetLitterbags placem_collection'!G77="","",'WetLitterbags placem_collection'!G77)</f>
        <v>42818</v>
      </c>
      <c r="W296" s="225">
        <f t="shared" si="20"/>
        <v>51</v>
      </c>
      <c r="X296" s="223">
        <f t="shared" si="23"/>
        <v>1.923</v>
      </c>
      <c r="Y296" s="223">
        <f t="shared" si="24"/>
        <v>1.8166642882185653</v>
      </c>
      <c r="Z296">
        <f>IFERROR(INDEX([1]Rainfall_Wet!$O$2:$O$217,MATCH(C296, [1]Rainfall_Wet!$A$2:$A$217,0)),"")</f>
        <v>185.630065823</v>
      </c>
      <c r="AA296" s="226">
        <v>45.272914521112256</v>
      </c>
      <c r="AB296" s="226">
        <v>23.604531410916575</v>
      </c>
      <c r="AC296" s="226">
        <v>31.122554067971166</v>
      </c>
      <c r="AD296" s="227" t="s">
        <v>2654</v>
      </c>
      <c r="AE296" s="226">
        <v>4.0547560374568796</v>
      </c>
      <c r="AF296">
        <f>IF('WetLitterbags placem_collection'!AB77="","",'WetLitterbags placem_collection'!AB77)</f>
        <v>6.1</v>
      </c>
      <c r="AG296">
        <f>IF('WetLitterbags placem_collection'!Z77="","",'WetLitterbags placem_collection'!Z77)</f>
        <v>13.8</v>
      </c>
      <c r="AH296" s="236" t="str">
        <f>IF('WetLitterbags placem_collection'!AA77="","",'WetLitterbags placem_collection'!AA77)</f>
        <v>O</v>
      </c>
      <c r="AI296">
        <f>IF('WetLitterbags placem_collection'!AC77="","",'WetLitterbags placem_collection'!AC77)</f>
        <v>0</v>
      </c>
      <c r="AJ296" s="233">
        <f>AVERAGE('WetLitterbags placem_collection'!S77,'WetLitterbags placem_collection'!U77)</f>
        <v>27.150000000000002</v>
      </c>
      <c r="AK296">
        <f>AVERAGE('WetLitterbags placem_collection'!R77,'WetLitterbags placem_collection'!T77)</f>
        <v>25.65</v>
      </c>
      <c r="AL296">
        <f>INDEX([2]Coordinates!$B$2:$B$197,MATCH(I296,[2]Coordinates!$J$2:$J$197,0))</f>
        <v>-3.302687025</v>
      </c>
      <c r="AM296">
        <f>INDEX([2]Coordinates!$C$2:$C$197,MATCH(I296,[2]Coordinates!$J$2:$J$197,0))</f>
        <v>34.847926970000003</v>
      </c>
      <c r="AN296" t="str">
        <f>IF(ISNUMBER(SEARCH("C", 'WetLitterbags placem_collection'!$W77)),"YES","NO")</f>
        <v>NO</v>
      </c>
      <c r="AO296" t="str">
        <f>IF(ISNUMBER(SEARCH("H", 'WetLitterbags placem_collection'!$W77)),"YES","NO")</f>
        <v>YES</v>
      </c>
      <c r="AP296" t="str">
        <f>IF(ISNUMBER(SEARCH("R", 'WetLitterbags placem_collection'!$W77)),"YES","NO")</f>
        <v>YES</v>
      </c>
    </row>
    <row r="297" spans="1:42" ht="15" customHeight="1">
      <c r="A297" t="s">
        <v>3248</v>
      </c>
      <c r="B297" s="248" t="s">
        <v>2454</v>
      </c>
      <c r="C297" s="253">
        <f>'Dry_Litterbag Placem_Collection'!A78</f>
        <v>76</v>
      </c>
      <c r="D297" s="253" t="str">
        <f>'Dry_Litterbag Placem_Collection'!B78</f>
        <v>Maswa</v>
      </c>
      <c r="E297" s="253" t="s">
        <v>2643</v>
      </c>
      <c r="F297" s="253" t="s">
        <v>2645</v>
      </c>
      <c r="G297" s="253">
        <v>2</v>
      </c>
      <c r="H297" s="253" t="s">
        <v>3113</v>
      </c>
      <c r="I297" s="254" t="str">
        <f>'Dry_Litterbag Placem_Collection'!C78</f>
        <v>Dry_W2_T4</v>
      </c>
      <c r="J297" s="255" t="s">
        <v>2525</v>
      </c>
      <c r="K297" s="262" t="s">
        <v>298</v>
      </c>
      <c r="L297" s="221" t="str">
        <f>'WetLitterbags placem_collection'!M78</f>
        <v>R501</v>
      </c>
      <c r="M297" s="223">
        <f>IFERROR(INDEX('Green_rooibos initial weight'!$C$5:$C$2000,MATCH(L297, 'Green_rooibos initial weight'!$A$5:$A$2000,0)),"")</f>
        <v>2.1379999999999999</v>
      </c>
      <c r="N297" s="223">
        <f>IFERROR(M297-(TBIcalc!$H$9+TBIcalc!$H$10),"")</f>
        <v>1.8881999999999999</v>
      </c>
      <c r="O297" s="378">
        <f>AVERAGE(Ashed_controlls!$K$2:$K$11)</f>
        <v>5.5147656768714146</v>
      </c>
      <c r="P297" s="223">
        <f t="shared" si="21"/>
        <v>1.7840701944893138</v>
      </c>
      <c r="Q297" s="223">
        <f>IFERROR(INDEX('Both teabags AfterWet'!$C$3:$C$840,MATCH(L297,'Both teabags AfterWet'!$A$3:$A$840,0)),"")</f>
        <v>0.29499999999999998</v>
      </c>
      <c r="R297" s="223">
        <f>IFERROR(IF(Q297&gt;0,Q297-(TBIcalc!$H$9),""),"")</f>
        <v>0.14439999999999997</v>
      </c>
      <c r="S297" s="223">
        <f>IFERROR(INDEX('Ashed teabags wet'!$K$2:$K$2000,MATCH(L297,'Ashed teabags wet'!$A$2:$A$2000,0)),"")</f>
        <v>84.313725490194741</v>
      </c>
      <c r="T297" s="223">
        <f t="shared" si="22"/>
        <v>2.2650980392158779E-2</v>
      </c>
      <c r="U297" s="224">
        <f>'WetLitterbags placem_collection'!E78</f>
        <v>42767</v>
      </c>
      <c r="V297" s="224">
        <f>IF('WetLitterbags placem_collection'!G78="","",'WetLitterbags placem_collection'!G78)</f>
        <v>42818</v>
      </c>
      <c r="W297" s="225">
        <f t="shared" si="20"/>
        <v>51</v>
      </c>
      <c r="X297" s="223">
        <f t="shared" si="23"/>
        <v>1.7437999999999998</v>
      </c>
      <c r="Y297" s="223">
        <f t="shared" si="24"/>
        <v>1.761419214097155</v>
      </c>
      <c r="Z297">
        <f>IFERROR(INDEX([1]Rainfall_Wet!$O$2:$O$217,MATCH(C297, [1]Rainfall_Wet!$A$2:$A$217,0)),"")</f>
        <v>185.630065823</v>
      </c>
      <c r="AA297" s="226">
        <v>45.272914521112256</v>
      </c>
      <c r="AB297" s="226">
        <v>23.604531410916575</v>
      </c>
      <c r="AC297" s="226">
        <v>31.122554067971166</v>
      </c>
      <c r="AD297" s="227" t="s">
        <v>2654</v>
      </c>
      <c r="AE297" s="226">
        <v>5.0547560374568796</v>
      </c>
      <c r="AF297">
        <f>IF('WetLitterbags placem_collection'!AB78="","",'WetLitterbags placem_collection'!AB78)</f>
        <v>6.7</v>
      </c>
      <c r="AG297">
        <f>IF('WetLitterbags placem_collection'!Z78="","",'WetLitterbags placem_collection'!Z78)</f>
        <v>19.3</v>
      </c>
      <c r="AH297" s="236" t="str">
        <f>IF('WetLitterbags placem_collection'!AA78="","",'WetLitterbags placem_collection'!AA78)</f>
        <v>M</v>
      </c>
      <c r="AI297">
        <f>IF('WetLitterbags placem_collection'!AC78="","",'WetLitterbags placem_collection'!AC78)</f>
        <v>1</v>
      </c>
      <c r="AJ297" s="233">
        <f>AVERAGE('WetLitterbags placem_collection'!S78,'WetLitterbags placem_collection'!U78)</f>
        <v>26.8</v>
      </c>
      <c r="AK297">
        <f>AVERAGE('WetLitterbags placem_collection'!R78,'WetLitterbags placem_collection'!T78)</f>
        <v>23.7</v>
      </c>
      <c r="AL297">
        <f>INDEX([2]Coordinates!$B$2:$B$197,MATCH(I297,[2]Coordinates!$J$2:$J$197,0))</f>
        <v>-3.3024560190000001</v>
      </c>
      <c r="AM297">
        <f>INDEX([2]Coordinates!$C$2:$C$197,MATCH(I297,[2]Coordinates!$J$2:$J$197,0))</f>
        <v>34.847871990000002</v>
      </c>
      <c r="AN297" t="str">
        <f>IF(ISNUMBER(SEARCH("C", 'WetLitterbags placem_collection'!$W78)),"YES","NO")</f>
        <v>NO</v>
      </c>
      <c r="AO297" t="str">
        <f>IF(ISNUMBER(SEARCH("H", 'WetLitterbags placem_collection'!$W78)),"YES","NO")</f>
        <v>YES</v>
      </c>
      <c r="AP297" t="str">
        <f>IF(ISNUMBER(SEARCH("R", 'WetLitterbags placem_collection'!$W78)),"YES","NO")</f>
        <v>NO</v>
      </c>
    </row>
    <row r="298" spans="1:42" ht="15" customHeight="1">
      <c r="A298" t="s">
        <v>3248</v>
      </c>
      <c r="B298" s="248" t="s">
        <v>2454</v>
      </c>
      <c r="C298" s="253">
        <f>'Dry_Litterbag Placem_Collection'!A79</f>
        <v>77</v>
      </c>
      <c r="D298" s="253" t="str">
        <f>'Dry_Litterbag Placem_Collection'!B79</f>
        <v>Maswa</v>
      </c>
      <c r="E298" s="253" t="s">
        <v>2643</v>
      </c>
      <c r="F298" s="253" t="s">
        <v>2645</v>
      </c>
      <c r="G298" s="253">
        <v>2</v>
      </c>
      <c r="H298" s="253" t="s">
        <v>3113</v>
      </c>
      <c r="I298" s="254" t="str">
        <f>'Dry_Litterbag Placem_Collection'!C79</f>
        <v>Dry_W2_T5</v>
      </c>
      <c r="J298" s="255" t="s">
        <v>2525</v>
      </c>
      <c r="K298" s="262" t="s">
        <v>298</v>
      </c>
      <c r="L298" s="221" t="str">
        <f>'WetLitterbags placem_collection'!M79</f>
        <v>R137</v>
      </c>
      <c r="M298" s="223">
        <f>IFERROR(INDEX('Green_rooibos initial weight'!$C$5:$C$2000,MATCH(L298, 'Green_rooibos initial weight'!$A$5:$A$2000,0)),"")</f>
        <v>2.198</v>
      </c>
      <c r="N298" s="223">
        <f>IFERROR(M298-(TBIcalc!$H$9+TBIcalc!$H$10),"")</f>
        <v>1.9481999999999999</v>
      </c>
      <c r="O298" s="378">
        <f>AVERAGE(Ashed_controlls!$K$2:$K$11)</f>
        <v>5.5147656768714146</v>
      </c>
      <c r="P298" s="223">
        <f t="shared" si="21"/>
        <v>1.8407613350831911</v>
      </c>
      <c r="Q298" s="223">
        <f>IFERROR(INDEX('Both teabags AfterWet'!$C$3:$C$840,MATCH(L298,'Both teabags AfterWet'!$A$3:$A$840,0)),"")</f>
        <v>1.698</v>
      </c>
      <c r="R298" s="223">
        <f>IFERROR(IF(Q298&gt;0,Q298-(TBIcalc!$H$9),""),"")</f>
        <v>1.5473999999999999</v>
      </c>
      <c r="S298" s="223">
        <f>IFERROR(INDEX('Ashed teabags wet'!$K$2:$K$2000,MATCH(L298,'Ashed teabags wet'!$A$2:$A$2000,0)),"")</f>
        <v>11.808300395256206</v>
      </c>
      <c r="T298" s="223">
        <f t="shared" si="22"/>
        <v>1.3646783596838055</v>
      </c>
      <c r="U298" s="224">
        <f>'WetLitterbags placem_collection'!E79</f>
        <v>42767</v>
      </c>
      <c r="V298" s="224">
        <f>IF('WetLitterbags placem_collection'!G79="","",'WetLitterbags placem_collection'!G79)</f>
        <v>42818</v>
      </c>
      <c r="W298" s="225">
        <f t="shared" si="20"/>
        <v>51</v>
      </c>
      <c r="X298" s="223">
        <f t="shared" si="23"/>
        <v>0.40080000000000005</v>
      </c>
      <c r="Y298" s="223">
        <f t="shared" si="24"/>
        <v>0.4760829753993856</v>
      </c>
      <c r="Z298">
        <f>IFERROR(INDEX([1]Rainfall_Wet!$O$2:$O$217,MATCH(C298, [1]Rainfall_Wet!$A$2:$A$217,0)),"")</f>
        <v>185.630065823</v>
      </c>
      <c r="AA298" s="226">
        <v>45.272914521112256</v>
      </c>
      <c r="AB298" s="226">
        <v>23.604531410916575</v>
      </c>
      <c r="AC298" s="226">
        <v>31.122554067971166</v>
      </c>
      <c r="AD298" s="227" t="s">
        <v>2654</v>
      </c>
      <c r="AE298" s="226">
        <v>6.0547560374568796</v>
      </c>
      <c r="AF298">
        <f>IF('WetLitterbags placem_collection'!AB79="","",'WetLitterbags placem_collection'!AB79)</f>
        <v>3.1</v>
      </c>
      <c r="AG298">
        <f>IF('WetLitterbags placem_collection'!Z79="","",'WetLitterbags placem_collection'!Z79)</f>
        <v>9.8000000000000007</v>
      </c>
      <c r="AH298" s="236" t="str">
        <f>IF('WetLitterbags placem_collection'!AA79="","",'WetLitterbags placem_collection'!AA79)</f>
        <v>O</v>
      </c>
      <c r="AI298">
        <f>IF('WetLitterbags placem_collection'!AC79="","",'WetLitterbags placem_collection'!AC79)</f>
        <v>1</v>
      </c>
      <c r="AJ298" s="233">
        <f>AVERAGE('WetLitterbags placem_collection'!S79,'WetLitterbags placem_collection'!U79)</f>
        <v>25.950000000000003</v>
      </c>
      <c r="AK298">
        <f>AVERAGE('WetLitterbags placem_collection'!R79,'WetLitterbags placem_collection'!T79)</f>
        <v>25.950000000000003</v>
      </c>
      <c r="AL298">
        <f>INDEX([2]Coordinates!$B$2:$B$197,MATCH(I298,[2]Coordinates!$J$2:$J$197,0))</f>
        <v>-3.3023280279999998</v>
      </c>
      <c r="AM298">
        <f>INDEX([2]Coordinates!$C$2:$C$197,MATCH(I298,[2]Coordinates!$J$2:$J$197,0))</f>
        <v>34.848223019999999</v>
      </c>
      <c r="AN298" t="str">
        <f>IF(ISNUMBER(SEARCH("C", 'WetLitterbags placem_collection'!$W79)),"YES","NO")</f>
        <v>NO</v>
      </c>
      <c r="AO298" t="str">
        <f>IF(ISNUMBER(SEARCH("H", 'WetLitterbags placem_collection'!$W79)),"YES","NO")</f>
        <v>NO</v>
      </c>
      <c r="AP298" t="str">
        <f>IF(ISNUMBER(SEARCH("R", 'WetLitterbags placem_collection'!$W79)),"YES","NO")</f>
        <v>YES</v>
      </c>
    </row>
    <row r="299" spans="1:42" ht="15" customHeight="1">
      <c r="A299" t="s">
        <v>3248</v>
      </c>
      <c r="B299" s="248" t="s">
        <v>2454</v>
      </c>
      <c r="C299" s="253">
        <f>'Dry_Litterbag Placem_Collection'!A80</f>
        <v>78</v>
      </c>
      <c r="D299" s="253" t="str">
        <f>'Dry_Litterbag Placem_Collection'!B80</f>
        <v>Maswa</v>
      </c>
      <c r="E299" s="253" t="s">
        <v>2643</v>
      </c>
      <c r="F299" s="253" t="s">
        <v>2645</v>
      </c>
      <c r="G299" s="253">
        <v>2</v>
      </c>
      <c r="H299" s="253" t="s">
        <v>3113</v>
      </c>
      <c r="I299" s="254" t="str">
        <f>'Dry_Litterbag Placem_Collection'!C80</f>
        <v>Dry_W2_T6</v>
      </c>
      <c r="J299" s="255" t="s">
        <v>2525</v>
      </c>
      <c r="K299" s="262" t="s">
        <v>298</v>
      </c>
      <c r="L299" s="221" t="str">
        <f>'WetLitterbags placem_collection'!M80</f>
        <v>R278</v>
      </c>
      <c r="M299" s="223">
        <f>IFERROR(INDEX('Green_rooibos initial weight'!$C$5:$C$2000,MATCH(L299, 'Green_rooibos initial weight'!$A$5:$A$2000,0)),"")</f>
        <v>2.198</v>
      </c>
      <c r="N299" s="223">
        <f>IFERROR(M299-(TBIcalc!$H$9+TBIcalc!$H$10),"")</f>
        <v>1.9481999999999999</v>
      </c>
      <c r="O299" s="378">
        <f>AVERAGE(Ashed_controlls!$K$2:$K$11)</f>
        <v>5.5147656768714146</v>
      </c>
      <c r="P299" s="223">
        <f t="shared" si="21"/>
        <v>1.8407613350831911</v>
      </c>
      <c r="Q299" s="223">
        <f>IFERROR(INDEX('Both teabags AfterWet'!$C$3:$C$840,MATCH(L299,'Both teabags AfterWet'!$A$3:$A$840,0)),"")</f>
        <v>1.6845000000000001</v>
      </c>
      <c r="R299" s="223">
        <f>IFERROR(IF(Q299&gt;0,Q299-(TBIcalc!$H$9),""),"")</f>
        <v>1.5339</v>
      </c>
      <c r="S299" s="223">
        <f>IFERROR(INDEX('Ashed teabags wet'!$K$2:$K$2000,MATCH(L299,'Ashed teabags wet'!$A$2:$A$2000,0)),"")</f>
        <v>0</v>
      </c>
      <c r="T299" s="223">
        <f t="shared" si="22"/>
        <v>1.5339</v>
      </c>
      <c r="U299" s="224">
        <f>'WetLitterbags placem_collection'!E80</f>
        <v>42767</v>
      </c>
      <c r="V299" s="224">
        <f>IF('WetLitterbags placem_collection'!G80="","",'WetLitterbags placem_collection'!G80)</f>
        <v>42818</v>
      </c>
      <c r="W299" s="225">
        <f t="shared" si="20"/>
        <v>51</v>
      </c>
      <c r="X299" s="223">
        <f t="shared" si="23"/>
        <v>0.41429999999999989</v>
      </c>
      <c r="Y299" s="223">
        <f t="shared" si="24"/>
        <v>0.30686133508319102</v>
      </c>
      <c r="Z299">
        <f>IFERROR(INDEX([1]Rainfall_Wet!$O$2:$O$217,MATCH(C299, [1]Rainfall_Wet!$A$2:$A$217,0)),"")</f>
        <v>185.630065823</v>
      </c>
      <c r="AA299" s="226">
        <v>45.272914521112256</v>
      </c>
      <c r="AB299" s="226">
        <v>23.604531410916575</v>
      </c>
      <c r="AC299" s="226">
        <v>31.122554067971166</v>
      </c>
      <c r="AD299" s="227" t="s">
        <v>2654</v>
      </c>
      <c r="AE299" s="226">
        <v>7.0547560374568796</v>
      </c>
      <c r="AF299">
        <f>IF('WetLitterbags placem_collection'!AB80="","",'WetLitterbags placem_collection'!AB80)</f>
        <v>10.4</v>
      </c>
      <c r="AG299">
        <f>IF('WetLitterbags placem_collection'!Z80="","",'WetLitterbags placem_collection'!Z80)</f>
        <v>15.4</v>
      </c>
      <c r="AH299" s="236" t="str">
        <f>IF('WetLitterbags placem_collection'!AA80="","",'WetLitterbags placem_collection'!AA80)</f>
        <v>M</v>
      </c>
      <c r="AI299">
        <f>IF('WetLitterbags placem_collection'!AC80="","",'WetLitterbags placem_collection'!AC80)</f>
        <v>1</v>
      </c>
      <c r="AJ299" s="233">
        <f>AVERAGE('WetLitterbags placem_collection'!S80,'WetLitterbags placem_collection'!U80)</f>
        <v>24.15</v>
      </c>
      <c r="AK299">
        <f>AVERAGE('WetLitterbags placem_collection'!R80,'WetLitterbags placem_collection'!T80)</f>
        <v>27.75</v>
      </c>
      <c r="AL299">
        <f>INDEX([2]Coordinates!$B$2:$B$197,MATCH(I299,[2]Coordinates!$J$2:$J$197,0))</f>
        <v>-3.3025680020000001</v>
      </c>
      <c r="AM299">
        <f>INDEX([2]Coordinates!$C$2:$C$197,MATCH(I299,[2]Coordinates!$J$2:$J$197,0))</f>
        <v>34.848167029999999</v>
      </c>
      <c r="AN299" t="str">
        <f>IF(ISNUMBER(SEARCH("C", 'WetLitterbags placem_collection'!$W80)),"YES","NO")</f>
        <v>NO</v>
      </c>
      <c r="AO299" t="str">
        <f>IF(ISNUMBER(SEARCH("H", 'WetLitterbags placem_collection'!$W80)),"YES","NO")</f>
        <v>NO</v>
      </c>
      <c r="AP299" t="str">
        <f>IF(ISNUMBER(SEARCH("R", 'WetLitterbags placem_collection'!$W80)),"YES","NO")</f>
        <v>YES</v>
      </c>
    </row>
    <row r="300" spans="1:42" ht="15" customHeight="1">
      <c r="A300" t="s">
        <v>3248</v>
      </c>
      <c r="B300" s="248" t="s">
        <v>2454</v>
      </c>
      <c r="C300" s="253">
        <f>'Dry_Litterbag Placem_Collection'!A81</f>
        <v>79</v>
      </c>
      <c r="D300" s="253" t="str">
        <f>'Dry_Litterbag Placem_Collection'!B81</f>
        <v>Maswa</v>
      </c>
      <c r="E300" s="253" t="s">
        <v>2643</v>
      </c>
      <c r="F300" s="253" t="s">
        <v>2645</v>
      </c>
      <c r="G300" s="253">
        <v>2</v>
      </c>
      <c r="H300" s="253" t="s">
        <v>3113</v>
      </c>
      <c r="I300" s="254" t="str">
        <f>'Dry_Litterbag Placem_Collection'!C81</f>
        <v>Dry_W2_T7</v>
      </c>
      <c r="J300" s="255" t="s">
        <v>2525</v>
      </c>
      <c r="K300" s="262" t="s">
        <v>298</v>
      </c>
      <c r="L300" s="221" t="str">
        <f>'WetLitterbags placem_collection'!M81</f>
        <v>R235</v>
      </c>
      <c r="M300" s="223">
        <f>IFERROR(INDEX('Green_rooibos initial weight'!$C$5:$C$2000,MATCH(L300, 'Green_rooibos initial weight'!$A$5:$A$2000,0)),"")</f>
        <v>2.169</v>
      </c>
      <c r="N300" s="223">
        <f>IFERROR(M300-(TBIcalc!$H$9+TBIcalc!$H$10),"")</f>
        <v>1.9192</v>
      </c>
      <c r="O300" s="378">
        <f>AVERAGE(Ashed_controlls!$K$2:$K$11)</f>
        <v>5.5147656768714146</v>
      </c>
      <c r="P300" s="223">
        <f t="shared" si="21"/>
        <v>1.8133606171294838</v>
      </c>
      <c r="Q300" s="223">
        <f>IFERROR(INDEX('Both teabags AfterWet'!$C$3:$C$840,MATCH(L300,'Both teabags AfterWet'!$A$3:$A$840,0)),"")</f>
        <v>1.5528</v>
      </c>
      <c r="R300" s="223">
        <f>IFERROR(IF(Q300&gt;0,Q300-(TBIcalc!$H$9),""),"")</f>
        <v>1.4021999999999999</v>
      </c>
      <c r="S300" s="223">
        <f>IFERROR(INDEX('Ashed teabags wet'!$K$2:$K$2000,MATCH(L300,'Ashed teabags wet'!$A$2:$A$2000,0)),"")</f>
        <v>8.7084148727974071</v>
      </c>
      <c r="T300" s="223">
        <f t="shared" si="22"/>
        <v>1.2800906066536346</v>
      </c>
      <c r="U300" s="224">
        <f>'WetLitterbags placem_collection'!E81</f>
        <v>42767</v>
      </c>
      <c r="V300" s="224">
        <f>IF('WetLitterbags placem_collection'!G81="","",'WetLitterbags placem_collection'!G81)</f>
        <v>42818</v>
      </c>
      <c r="W300" s="225">
        <f t="shared" si="20"/>
        <v>51</v>
      </c>
      <c r="X300" s="223">
        <f t="shared" si="23"/>
        <v>0.51700000000000013</v>
      </c>
      <c r="Y300" s="223">
        <f t="shared" si="24"/>
        <v>0.53327001047584921</v>
      </c>
      <c r="Z300">
        <f>IFERROR(INDEX([1]Rainfall_Wet!$O$2:$O$217,MATCH(C300, [1]Rainfall_Wet!$A$2:$A$217,0)),"")</f>
        <v>185.630065823</v>
      </c>
      <c r="AA300" s="226">
        <v>45.272914521112256</v>
      </c>
      <c r="AB300" s="226">
        <v>23.604531410916575</v>
      </c>
      <c r="AC300" s="226">
        <v>31.122554067971166</v>
      </c>
      <c r="AD300" s="227" t="s">
        <v>2654</v>
      </c>
      <c r="AE300" s="226">
        <v>8.0547560374568796</v>
      </c>
      <c r="AF300">
        <f>IF('WetLitterbags placem_collection'!AB81="","",'WetLitterbags placem_collection'!AB81)</f>
        <v>3</v>
      </c>
      <c r="AG300">
        <f>IF('WetLitterbags placem_collection'!Z81="","",'WetLitterbags placem_collection'!Z81)</f>
        <v>5</v>
      </c>
      <c r="AH300" s="236" t="str">
        <f>IF('WetLitterbags placem_collection'!AA81="","",'WetLitterbags placem_collection'!AA81)</f>
        <v>G</v>
      </c>
      <c r="AI300">
        <f>IF('WetLitterbags placem_collection'!AC81="","",'WetLitterbags placem_collection'!AC81)</f>
        <v>1</v>
      </c>
      <c r="AJ300" s="233">
        <f>AVERAGE('WetLitterbags placem_collection'!S81,'WetLitterbags placem_collection'!U81)</f>
        <v>26.9</v>
      </c>
      <c r="AK300">
        <f>AVERAGE('WetLitterbags placem_collection'!R81,'WetLitterbags placem_collection'!T81)</f>
        <v>26.25</v>
      </c>
      <c r="AL300">
        <f>INDEX([2]Coordinates!$B$2:$B$197,MATCH(I300,[2]Coordinates!$J$2:$J$197,0))</f>
        <v>-3.3026270100000001</v>
      </c>
      <c r="AM300">
        <f>INDEX([2]Coordinates!$C$2:$C$197,MATCH(I300,[2]Coordinates!$J$2:$J$197,0))</f>
        <v>34.84840801</v>
      </c>
      <c r="AN300" t="str">
        <f>IF(ISNUMBER(SEARCH("C", 'WetLitterbags placem_collection'!$W81)),"YES","NO")</f>
        <v>NO</v>
      </c>
      <c r="AO300" t="str">
        <f>IF(ISNUMBER(SEARCH("H", 'WetLitterbags placem_collection'!$W81)),"YES","NO")</f>
        <v>NO</v>
      </c>
      <c r="AP300" t="str">
        <f>IF(ISNUMBER(SEARCH("R", 'WetLitterbags placem_collection'!$W81)),"YES","NO")</f>
        <v>YES</v>
      </c>
    </row>
    <row r="301" spans="1:42" ht="15" customHeight="1">
      <c r="A301" t="s">
        <v>3248</v>
      </c>
      <c r="B301" s="248" t="s">
        <v>2454</v>
      </c>
      <c r="C301" s="253">
        <f>'Dry_Litterbag Placem_Collection'!A82</f>
        <v>80</v>
      </c>
      <c r="D301" s="253" t="str">
        <f>'Dry_Litterbag Placem_Collection'!B82</f>
        <v>Maswa</v>
      </c>
      <c r="E301" s="253" t="s">
        <v>2643</v>
      </c>
      <c r="F301" s="253" t="s">
        <v>2645</v>
      </c>
      <c r="G301" s="253">
        <v>2</v>
      </c>
      <c r="H301" s="253" t="s">
        <v>3113</v>
      </c>
      <c r="I301" s="254" t="str">
        <f>'Dry_Litterbag Placem_Collection'!C82</f>
        <v>Dry_W2_T8</v>
      </c>
      <c r="J301" s="255" t="s">
        <v>2525</v>
      </c>
      <c r="K301" s="262" t="s">
        <v>298</v>
      </c>
      <c r="L301" s="221" t="str">
        <f>'WetLitterbags placem_collection'!M82</f>
        <v>R181</v>
      </c>
      <c r="M301" s="223">
        <f>IFERROR(INDEX('Green_rooibos initial weight'!$C$5:$C$2000,MATCH(L301, 'Green_rooibos initial weight'!$A$5:$A$2000,0)),"")</f>
        <v>2.1749999999999998</v>
      </c>
      <c r="N301" s="223">
        <f>IFERROR(M301-(TBIcalc!$H$9+TBIcalc!$H$10),"")</f>
        <v>1.9251999999999998</v>
      </c>
      <c r="O301" s="378">
        <f>AVERAGE(Ashed_controlls!$K$2:$K$11)</f>
        <v>5.5147656768714146</v>
      </c>
      <c r="P301" s="223">
        <f t="shared" si="21"/>
        <v>1.8190297311888712</v>
      </c>
      <c r="Q301" s="223">
        <f>IFERROR(INDEX('Both teabags AfterWet'!$C$3:$C$840,MATCH(L301,'Both teabags AfterWet'!$A$3:$A$840,0)),"")</f>
        <v>0.23799999999999999</v>
      </c>
      <c r="R301" s="223">
        <f>IFERROR(IF(Q301&gt;0,Q301-(TBIcalc!$H$9),""),"")</f>
        <v>8.7399999999999978E-2</v>
      </c>
      <c r="S301" s="223">
        <f>IFERROR(INDEX('Ashed teabags wet'!$K$2:$K$2000,MATCH(L301,'Ashed teabags wet'!$A$2:$A$2000,0)),"")</f>
        <v>0</v>
      </c>
      <c r="T301" s="223">
        <f t="shared" si="22"/>
        <v>8.7399999999999978E-2</v>
      </c>
      <c r="U301" s="224">
        <f>'WetLitterbags placem_collection'!E82</f>
        <v>42767</v>
      </c>
      <c r="V301" s="224">
        <f>IF('WetLitterbags placem_collection'!G82="","",'WetLitterbags placem_collection'!G82)</f>
        <v>42818</v>
      </c>
      <c r="W301" s="225">
        <f t="shared" si="20"/>
        <v>51</v>
      </c>
      <c r="X301" s="223">
        <f t="shared" si="23"/>
        <v>1.8377999999999999</v>
      </c>
      <c r="Y301" s="223">
        <f t="shared" si="24"/>
        <v>1.7316297311888713</v>
      </c>
      <c r="Z301">
        <f>IFERROR(INDEX([1]Rainfall_Wet!$O$2:$O$217,MATCH(C301, [1]Rainfall_Wet!$A$2:$A$217,0)),"")</f>
        <v>185.630065823</v>
      </c>
      <c r="AA301" s="226">
        <v>45.272914521112256</v>
      </c>
      <c r="AB301" s="226">
        <v>23.604531410916575</v>
      </c>
      <c r="AC301" s="226">
        <v>31.122554067971166</v>
      </c>
      <c r="AD301" s="227" t="s">
        <v>2654</v>
      </c>
      <c r="AE301" s="226">
        <v>9.0547560374568796</v>
      </c>
      <c r="AF301">
        <f>IF('WetLitterbags placem_collection'!AB82="","",'WetLitterbags placem_collection'!AB82)</f>
        <v>2.7</v>
      </c>
      <c r="AG301">
        <f>IF('WetLitterbags placem_collection'!Z82="","",'WetLitterbags placem_collection'!Z82)</f>
        <v>12.4</v>
      </c>
      <c r="AH301" s="236" t="str">
        <f>IF('WetLitterbags placem_collection'!AA82="","",'WetLitterbags placem_collection'!AA82)</f>
        <v>O</v>
      </c>
      <c r="AI301">
        <f>IF('WetLitterbags placem_collection'!AC82="","",'WetLitterbags placem_collection'!AC82)</f>
        <v>1</v>
      </c>
      <c r="AJ301" s="233">
        <f>AVERAGE('WetLitterbags placem_collection'!S82,'WetLitterbags placem_collection'!U82)</f>
        <v>28.55</v>
      </c>
      <c r="AK301">
        <f>AVERAGE('WetLitterbags placem_collection'!R82,'WetLitterbags placem_collection'!T82)</f>
        <v>27.450000000000003</v>
      </c>
      <c r="AL301">
        <f>INDEX([2]Coordinates!$B$2:$B$197,MATCH(I301,[2]Coordinates!$J$2:$J$197,0))</f>
        <v>-3.3028539920000002</v>
      </c>
      <c r="AM301">
        <f>INDEX([2]Coordinates!$C$2:$C$197,MATCH(I301,[2]Coordinates!$J$2:$J$197,0))</f>
        <v>34.847988999999998</v>
      </c>
      <c r="AN301" t="str">
        <f>IF(ISNUMBER(SEARCH("C", 'WetLitterbags placem_collection'!$W82)),"YES","NO")</f>
        <v>NO</v>
      </c>
      <c r="AO301" t="str">
        <f>IF(ISNUMBER(SEARCH("H", 'WetLitterbags placem_collection'!$W82)),"YES","NO")</f>
        <v>YES</v>
      </c>
      <c r="AP301" t="str">
        <f>IF(ISNUMBER(SEARCH("R", 'WetLitterbags placem_collection'!$W82)),"YES","NO")</f>
        <v>NO</v>
      </c>
    </row>
    <row r="302" spans="1:42" ht="15" customHeight="1">
      <c r="A302" t="s">
        <v>3248</v>
      </c>
      <c r="B302" s="248" t="s">
        <v>2454</v>
      </c>
      <c r="C302" s="253">
        <f>'Dry_Litterbag Placem_Collection'!A83</f>
        <v>81</v>
      </c>
      <c r="D302" s="253" t="str">
        <f>'Dry_Litterbag Placem_Collection'!B83</f>
        <v>Maswa</v>
      </c>
      <c r="E302" s="253" t="s">
        <v>2643</v>
      </c>
      <c r="F302" s="253" t="s">
        <v>2645</v>
      </c>
      <c r="G302" s="253">
        <v>3</v>
      </c>
      <c r="H302" s="253" t="s">
        <v>3114</v>
      </c>
      <c r="I302" s="254" t="str">
        <f>'Dry_Litterbag Placem_Collection'!C83</f>
        <v>Dry_W3_T1</v>
      </c>
      <c r="J302" s="255" t="s">
        <v>2525</v>
      </c>
      <c r="K302" s="262" t="s">
        <v>298</v>
      </c>
      <c r="L302" s="221" t="str">
        <f>'WetLitterbags placem_collection'!M83</f>
        <v>R187</v>
      </c>
      <c r="M302" s="223">
        <f>IFERROR(INDEX('Green_rooibos initial weight'!$C$5:$C$2000,MATCH(L302, 'Green_rooibos initial weight'!$A$5:$A$2000,0)),"")</f>
        <v>2.2210000000000001</v>
      </c>
      <c r="N302" s="223">
        <f>IFERROR(M302-(TBIcalc!$H$9+TBIcalc!$H$10),"")</f>
        <v>1.9712000000000001</v>
      </c>
      <c r="O302" s="378">
        <f>AVERAGE(Ashed_controlls!$K$2:$K$11)</f>
        <v>5.5147656768714146</v>
      </c>
      <c r="P302" s="223">
        <f t="shared" si="21"/>
        <v>1.8624929389775107</v>
      </c>
      <c r="Q302" s="223">
        <f>IFERROR(INDEX('Both teabags AfterWet'!$C$3:$C$840,MATCH(L302,'Both teabags AfterWet'!$A$3:$A$840,0)),"")</f>
        <v>1.8420000000000001</v>
      </c>
      <c r="R302" s="223">
        <f>IFERROR(IF(Q302&gt;0,Q302-(TBIcalc!$H$9),""),"")</f>
        <v>1.6914</v>
      </c>
      <c r="S302" s="223">
        <f>IFERROR(INDEX('Ashed teabags wet'!$K$2:$K$2000,MATCH(L302,'Ashed teabags wet'!$A$2:$A$2000,0)),"")</f>
        <v>4.2141794744665662</v>
      </c>
      <c r="T302" s="223">
        <f t="shared" si="22"/>
        <v>1.6201213683688724</v>
      </c>
      <c r="U302" s="224">
        <f>'WetLitterbags placem_collection'!E83</f>
        <v>42767</v>
      </c>
      <c r="V302" s="224">
        <f>IF('WetLitterbags placem_collection'!G83="","",'WetLitterbags placem_collection'!G83)</f>
        <v>42818</v>
      </c>
      <c r="W302" s="225">
        <f t="shared" si="20"/>
        <v>51</v>
      </c>
      <c r="X302" s="223">
        <f t="shared" si="23"/>
        <v>0.27980000000000005</v>
      </c>
      <c r="Y302" s="223">
        <f t="shared" si="24"/>
        <v>0.24237157060863823</v>
      </c>
      <c r="Z302">
        <f>IFERROR(INDEX([1]Rainfall_Wet!$O$2:$O$217,MATCH(C302, [1]Rainfall_Wet!$A$2:$A$217,0)),"")</f>
        <v>185.01185076100001</v>
      </c>
      <c r="AA302" s="226">
        <v>38.691629007962128</v>
      </c>
      <c r="AB302" s="226">
        <v>26.81299763288143</v>
      </c>
      <c r="AC302" s="226">
        <v>34.495373359156439</v>
      </c>
      <c r="AD302" s="227" t="s">
        <v>2656</v>
      </c>
      <c r="AE302" s="226">
        <v>2.5483587974371611</v>
      </c>
      <c r="AF302">
        <f>IF('WetLitterbags placem_collection'!AB83="","",'WetLitterbags placem_collection'!AB83)</f>
        <v>6.2</v>
      </c>
      <c r="AG302">
        <f>IF('WetLitterbags placem_collection'!Z83="","",'WetLitterbags placem_collection'!Z83)</f>
        <v>13.3</v>
      </c>
      <c r="AH302" s="236" t="str">
        <f>IF('WetLitterbags placem_collection'!AA83="","",'WetLitterbags placem_collection'!AA83)</f>
        <v>O</v>
      </c>
      <c r="AI302">
        <f>IF('WetLitterbags placem_collection'!AC83="","",'WetLitterbags placem_collection'!AC83)</f>
        <v>0</v>
      </c>
      <c r="AJ302" s="233">
        <f>AVERAGE('WetLitterbags placem_collection'!S83,'WetLitterbags placem_collection'!U83)</f>
        <v>26.35</v>
      </c>
      <c r="AK302">
        <f>AVERAGE('WetLitterbags placem_collection'!R83,'WetLitterbags placem_collection'!T83)</f>
        <v>26.65</v>
      </c>
      <c r="AL302">
        <f>INDEX([2]Coordinates!$B$2:$B$197,MATCH(I302,[2]Coordinates!$J$2:$J$197,0))</f>
        <v>-3.2957159630000001</v>
      </c>
      <c r="AM302">
        <f>INDEX([2]Coordinates!$C$2:$C$197,MATCH(I302,[2]Coordinates!$J$2:$J$197,0))</f>
        <v>34.852460999999998</v>
      </c>
      <c r="AN302" t="str">
        <f>IF(ISNUMBER(SEARCH("C", 'WetLitterbags placem_collection'!$W83)),"YES","NO")</f>
        <v>NO</v>
      </c>
      <c r="AO302" t="str">
        <f>IF(ISNUMBER(SEARCH("H", 'WetLitterbags placem_collection'!$W83)),"YES","NO")</f>
        <v>NO</v>
      </c>
      <c r="AP302" t="str">
        <f>IF(ISNUMBER(SEARCH("R", 'WetLitterbags placem_collection'!$W83)),"YES","NO")</f>
        <v>NO</v>
      </c>
    </row>
    <row r="303" spans="1:42" ht="15" customHeight="1">
      <c r="A303" t="s">
        <v>3248</v>
      </c>
      <c r="B303" s="248" t="s">
        <v>2454</v>
      </c>
      <c r="C303" s="253">
        <f>'Dry_Litterbag Placem_Collection'!A84</f>
        <v>82</v>
      </c>
      <c r="D303" s="253" t="str">
        <f>'Dry_Litterbag Placem_Collection'!B84</f>
        <v>Maswa</v>
      </c>
      <c r="E303" s="253" t="s">
        <v>2643</v>
      </c>
      <c r="F303" s="253" t="s">
        <v>2645</v>
      </c>
      <c r="G303" s="253">
        <v>3</v>
      </c>
      <c r="H303" s="253" t="s">
        <v>3114</v>
      </c>
      <c r="I303" s="254" t="str">
        <f>'Dry_Litterbag Placem_Collection'!C84</f>
        <v>Dry_W3_T2</v>
      </c>
      <c r="J303" s="255" t="s">
        <v>2525</v>
      </c>
      <c r="K303" s="262" t="s">
        <v>298</v>
      </c>
      <c r="L303" s="221" t="str">
        <f>'WetLitterbags placem_collection'!M84</f>
        <v>R83</v>
      </c>
      <c r="M303" s="223">
        <f>IFERROR(INDEX('Green_rooibos initial weight'!$C$5:$C$2000,MATCH(L303, 'Green_rooibos initial weight'!$A$5:$A$2000,0)),"")</f>
        <v>2.0390000000000001</v>
      </c>
      <c r="N303" s="223">
        <f>IFERROR(M303-(TBIcalc!$H$9+TBIcalc!$H$10),"")</f>
        <v>1.7892000000000001</v>
      </c>
      <c r="O303" s="378">
        <f>AVERAGE(Ashed_controlls!$K$2:$K$11)</f>
        <v>5.5147656768714146</v>
      </c>
      <c r="P303" s="223">
        <f t="shared" si="21"/>
        <v>1.6905298125094168</v>
      </c>
      <c r="Q303" s="223">
        <f>IFERROR(INDEX('Both teabags AfterWet'!$C$3:$C$840,MATCH(L303,'Both teabags AfterWet'!$A$3:$A$840,0)),"")</f>
        <v>1.5940000000000001</v>
      </c>
      <c r="R303" s="223">
        <f>IFERROR(IF(Q303&gt;0,Q303-(TBIcalc!$H$9),""),"")</f>
        <v>1.4434</v>
      </c>
      <c r="S303" s="223">
        <f>IFERROR(INDEX('Ashed teabags wet'!$K$2:$K$2000,MATCH(L303,'Ashed teabags wet'!$A$2:$A$2000,0)),"")</f>
        <v>4.9489795918371247</v>
      </c>
      <c r="T303" s="223">
        <f t="shared" si="22"/>
        <v>1.371966428571423</v>
      </c>
      <c r="U303" s="224">
        <f>'WetLitterbags placem_collection'!E84</f>
        <v>42767</v>
      </c>
      <c r="V303" s="224">
        <f>IF('WetLitterbags placem_collection'!G84="","",'WetLitterbags placem_collection'!G84)</f>
        <v>42819</v>
      </c>
      <c r="W303" s="225">
        <f t="shared" si="20"/>
        <v>52</v>
      </c>
      <c r="X303" s="223">
        <f t="shared" si="23"/>
        <v>0.34580000000000011</v>
      </c>
      <c r="Y303" s="223">
        <f t="shared" si="24"/>
        <v>0.31856338393799377</v>
      </c>
      <c r="Z303">
        <f>IFERROR(INDEX([1]Rainfall_Wet!$O$2:$O$217,MATCH(C303, [1]Rainfall_Wet!$A$2:$A$217,0)),"")</f>
        <v>194.93009798400001</v>
      </c>
      <c r="AA303" s="226">
        <v>38.691629007962128</v>
      </c>
      <c r="AB303" s="226">
        <v>26.81299763288143</v>
      </c>
      <c r="AC303" s="226">
        <v>34.495373359156439</v>
      </c>
      <c r="AD303" s="227" t="s">
        <v>2656</v>
      </c>
      <c r="AE303" s="226">
        <v>3.5483587974371602</v>
      </c>
      <c r="AF303">
        <f>IF('WetLitterbags placem_collection'!AB84="","",'WetLitterbags placem_collection'!AB84)</f>
        <v>2.4</v>
      </c>
      <c r="AG303">
        <f>IF('WetLitterbags placem_collection'!Z84="","",'WetLitterbags placem_collection'!Z84)</f>
        <v>16.600000000000001</v>
      </c>
      <c r="AH303" s="236" t="str">
        <f>IF('WetLitterbags placem_collection'!AA84="","",'WetLitterbags placem_collection'!AA84)</f>
        <v>O</v>
      </c>
      <c r="AI303" t="str">
        <f>IF('WetLitterbags placem_collection'!AC84="","",'WetLitterbags placem_collection'!AC84)</f>
        <v/>
      </c>
      <c r="AJ303" s="233">
        <f>AVERAGE('WetLitterbags placem_collection'!S84,'WetLitterbags placem_collection'!U84)</f>
        <v>26.6</v>
      </c>
      <c r="AK303">
        <f>AVERAGE('WetLitterbags placem_collection'!R84,'WetLitterbags placem_collection'!T84)</f>
        <v>23.05</v>
      </c>
      <c r="AL303">
        <f>INDEX([2]Coordinates!$B$2:$B$197,MATCH(I303,[2]Coordinates!$J$2:$J$197,0))</f>
        <v>-3.2957230040000001</v>
      </c>
      <c r="AM303">
        <f>INDEX([2]Coordinates!$C$2:$C$197,MATCH(I303,[2]Coordinates!$J$2:$J$197,0))</f>
        <v>34.852416990000002</v>
      </c>
      <c r="AN303" t="str">
        <f>IF(ISNUMBER(SEARCH("C", 'WetLitterbags placem_collection'!$W84)),"YES","NO")</f>
        <v>NO</v>
      </c>
      <c r="AO303" t="str">
        <f>IF(ISNUMBER(SEARCH("H", 'WetLitterbags placem_collection'!$W84)),"YES","NO")</f>
        <v>YES</v>
      </c>
      <c r="AP303" t="str">
        <f>IF(ISNUMBER(SEARCH("R", 'WetLitterbags placem_collection'!$W84)),"YES","NO")</f>
        <v>YES</v>
      </c>
    </row>
    <row r="304" spans="1:42" ht="15" customHeight="1">
      <c r="A304" t="s">
        <v>3248</v>
      </c>
      <c r="B304" s="248" t="s">
        <v>2454</v>
      </c>
      <c r="C304" s="253">
        <f>'Dry_Litterbag Placem_Collection'!A85</f>
        <v>83</v>
      </c>
      <c r="D304" s="253" t="str">
        <f>'Dry_Litterbag Placem_Collection'!B85</f>
        <v>Maswa</v>
      </c>
      <c r="E304" s="253" t="s">
        <v>2643</v>
      </c>
      <c r="F304" s="253" t="s">
        <v>2645</v>
      </c>
      <c r="G304" s="253">
        <v>3</v>
      </c>
      <c r="H304" s="253" t="s">
        <v>3114</v>
      </c>
      <c r="I304" s="254" t="str">
        <f>'Dry_Litterbag Placem_Collection'!C85</f>
        <v>Dry_W3_T3</v>
      </c>
      <c r="J304" s="255" t="s">
        <v>2525</v>
      </c>
      <c r="K304" s="262" t="s">
        <v>298</v>
      </c>
      <c r="L304" s="221" t="str">
        <f>'WetLitterbags placem_collection'!M85</f>
        <v>R134</v>
      </c>
      <c r="M304" s="223">
        <f>IFERROR(INDEX('Green_rooibos initial weight'!$C$5:$C$2000,MATCH(L304, 'Green_rooibos initial weight'!$A$5:$A$2000,0)),"")</f>
        <v>2.21</v>
      </c>
      <c r="N304" s="223">
        <f>IFERROR(M304-(TBIcalc!$H$9+TBIcalc!$H$10),"")</f>
        <v>1.9601999999999999</v>
      </c>
      <c r="O304" s="378">
        <f>AVERAGE(Ashed_controlls!$K$2:$K$11)</f>
        <v>5.5147656768714146</v>
      </c>
      <c r="P304" s="223">
        <f t="shared" si="21"/>
        <v>1.8520995632019666</v>
      </c>
      <c r="Q304" s="223">
        <f>IFERROR(INDEX('Both teabags AfterWet'!$C$3:$C$840,MATCH(L304,'Both teabags AfterWet'!$A$3:$A$840,0)),"")</f>
        <v>0.98799999999999999</v>
      </c>
      <c r="R304" s="223">
        <f>IFERROR(IF(Q304&gt;0,Q304-(TBIcalc!$H$9),""),"")</f>
        <v>0.83739999999999992</v>
      </c>
      <c r="S304" s="223">
        <f>IFERROR(INDEX('Ashed teabags wet'!$K$2:$K$2000,MATCH(L304,'Ashed teabags wet'!$A$2:$A$2000,0)),"")</f>
        <v>61.99804113614087</v>
      </c>
      <c r="T304" s="223">
        <f t="shared" si="22"/>
        <v>0.31822840352595638</v>
      </c>
      <c r="U304" s="224">
        <f>'WetLitterbags placem_collection'!E85</f>
        <v>42767</v>
      </c>
      <c r="V304" s="224">
        <f>IF('WetLitterbags placem_collection'!G85="","",'WetLitterbags placem_collection'!G85)</f>
        <v>42819</v>
      </c>
      <c r="W304" s="225">
        <f t="shared" si="20"/>
        <v>52</v>
      </c>
      <c r="X304" s="223">
        <f t="shared" si="23"/>
        <v>1.1228</v>
      </c>
      <c r="Y304" s="223">
        <f t="shared" si="24"/>
        <v>1.5338711596760102</v>
      </c>
      <c r="Z304">
        <f>IFERROR(INDEX([1]Rainfall_Wet!$O$2:$O$217,MATCH(C304, [1]Rainfall_Wet!$A$2:$A$217,0)),"")</f>
        <v>194.93009798400001</v>
      </c>
      <c r="AA304" s="226">
        <v>38.691629007962128</v>
      </c>
      <c r="AB304" s="226">
        <v>26.81299763288143</v>
      </c>
      <c r="AC304" s="226">
        <v>34.495373359156439</v>
      </c>
      <c r="AD304" s="227" t="s">
        <v>2656</v>
      </c>
      <c r="AE304" s="226">
        <v>4.5483587974371602</v>
      </c>
      <c r="AF304">
        <f>IF('WetLitterbags placem_collection'!AB85="","",'WetLitterbags placem_collection'!AB85)</f>
        <v>6.4</v>
      </c>
      <c r="AG304">
        <f>IF('WetLitterbags placem_collection'!Z85="","",'WetLitterbags placem_collection'!Z85)</f>
        <v>42</v>
      </c>
      <c r="AH304" s="236" t="str">
        <f>IF('WetLitterbags placem_collection'!AA85="","",'WetLitterbags placem_collection'!AA85)</f>
        <v>M</v>
      </c>
      <c r="AI304">
        <f>IF('WetLitterbags placem_collection'!AC85="","",'WetLitterbags placem_collection'!AC85)</f>
        <v>1</v>
      </c>
      <c r="AJ304" s="233">
        <f>AVERAGE('WetLitterbags placem_collection'!S85,'WetLitterbags placem_collection'!U85)</f>
        <v>30.099999999999998</v>
      </c>
      <c r="AK304">
        <f>AVERAGE('WetLitterbags placem_collection'!R85,'WetLitterbags placem_collection'!T85)</f>
        <v>25.05</v>
      </c>
      <c r="AL304">
        <f>INDEX([2]Coordinates!$B$2:$B$197,MATCH(I304,[2]Coordinates!$J$2:$J$197,0))</f>
        <v>-3.2957430369999998</v>
      </c>
      <c r="AM304">
        <f>INDEX([2]Coordinates!$C$2:$C$197,MATCH(I304,[2]Coordinates!$J$2:$J$197,0))</f>
        <v>34.852309030000001</v>
      </c>
      <c r="AN304" t="str">
        <f>IF(ISNUMBER(SEARCH("C", 'WetLitterbags placem_collection'!$W85)),"YES","NO")</f>
        <v>NO</v>
      </c>
      <c r="AO304" t="str">
        <f>IF(ISNUMBER(SEARCH("H", 'WetLitterbags placem_collection'!$W85)),"YES","NO")</f>
        <v>YES</v>
      </c>
      <c r="AP304" t="str">
        <f>IF(ISNUMBER(SEARCH("R", 'WetLitterbags placem_collection'!$W85)),"YES","NO")</f>
        <v>NO</v>
      </c>
    </row>
    <row r="305" spans="1:42" ht="15" customHeight="1">
      <c r="A305" t="s">
        <v>3248</v>
      </c>
      <c r="B305" s="248" t="s">
        <v>2454</v>
      </c>
      <c r="C305" s="253">
        <f>'Dry_Litterbag Placem_Collection'!A86</f>
        <v>84</v>
      </c>
      <c r="D305" s="253" t="str">
        <f>'Dry_Litterbag Placem_Collection'!B86</f>
        <v>Maswa</v>
      </c>
      <c r="E305" s="253" t="s">
        <v>2643</v>
      </c>
      <c r="F305" s="253" t="s">
        <v>2645</v>
      </c>
      <c r="G305" s="253">
        <v>3</v>
      </c>
      <c r="H305" s="253" t="s">
        <v>3114</v>
      </c>
      <c r="I305" s="254" t="str">
        <f>'Dry_Litterbag Placem_Collection'!C86</f>
        <v>Dry_W3_T4</v>
      </c>
      <c r="J305" s="255" t="s">
        <v>2525</v>
      </c>
      <c r="K305" s="262" t="s">
        <v>298</v>
      </c>
      <c r="L305" s="221" t="str">
        <f>'WetLitterbags placem_collection'!M86</f>
        <v>R49</v>
      </c>
      <c r="M305" s="223">
        <f>IFERROR(INDEX('Green_rooibos initial weight'!$C$5:$C$2000,MATCH(L305, 'Green_rooibos initial weight'!$A$5:$A$2000,0)),"")</f>
        <v>2.2999999999999998</v>
      </c>
      <c r="N305" s="223">
        <f>IFERROR(M305-(TBIcalc!$H$9+TBIcalc!$H$10),"")</f>
        <v>2.0501999999999998</v>
      </c>
      <c r="O305" s="378">
        <f>AVERAGE(Ashed_controlls!$K$2:$K$11)</f>
        <v>5.5147656768714146</v>
      </c>
      <c r="P305" s="223">
        <f t="shared" si="21"/>
        <v>1.937136274092782</v>
      </c>
      <c r="Q305" s="223">
        <f>IFERROR(INDEX('Both teabags AfterWet'!$C$3:$C$840,MATCH(L305,'Both teabags AfterWet'!$A$3:$A$840,0)),"")</f>
        <v>1.6379999999999999</v>
      </c>
      <c r="R305" s="223">
        <f>IFERROR(IF(Q305&gt;0,Q305-(TBIcalc!$H$9),""),"")</f>
        <v>1.4873999999999998</v>
      </c>
      <c r="S305" s="223">
        <f>IFERROR(INDEX('Ashed teabags wet'!$K$2:$K$2000,MATCH(L305,'Ashed teabags wet'!$A$2:$A$2000,0)),"")</f>
        <v>8.8249634324722646</v>
      </c>
      <c r="T305" s="223">
        <f t="shared" si="22"/>
        <v>1.3561374939054074</v>
      </c>
      <c r="U305" s="224">
        <f>'WetLitterbags placem_collection'!E86</f>
        <v>42767</v>
      </c>
      <c r="V305" s="224">
        <f>IF('WetLitterbags placem_collection'!G86="","",'WetLitterbags placem_collection'!G86)</f>
        <v>42819</v>
      </c>
      <c r="W305" s="225">
        <f t="shared" si="20"/>
        <v>52</v>
      </c>
      <c r="X305" s="223">
        <f t="shared" si="23"/>
        <v>0.56279999999999997</v>
      </c>
      <c r="Y305" s="223">
        <f t="shared" si="24"/>
        <v>0.58099878018737461</v>
      </c>
      <c r="Z305">
        <f>IFERROR(INDEX([1]Rainfall_Wet!$O$2:$O$217,MATCH(C305, [1]Rainfall_Wet!$A$2:$A$217,0)),"")</f>
        <v>194.93009798400001</v>
      </c>
      <c r="AA305" s="226">
        <v>38.691629007962128</v>
      </c>
      <c r="AB305" s="226">
        <v>26.81299763288143</v>
      </c>
      <c r="AC305" s="226">
        <v>34.495373359156439</v>
      </c>
      <c r="AD305" s="227" t="s">
        <v>2656</v>
      </c>
      <c r="AE305" s="226">
        <v>5.5483587974371602</v>
      </c>
      <c r="AF305">
        <f>IF('WetLitterbags placem_collection'!AB86="","",'WetLitterbags placem_collection'!AB86)</f>
        <v>5.5</v>
      </c>
      <c r="AG305">
        <f>IF('WetLitterbags placem_collection'!Z86="","",'WetLitterbags placem_collection'!Z86)</f>
        <v>55.8</v>
      </c>
      <c r="AH305" s="236" t="str">
        <f>IF('WetLitterbags placem_collection'!AA86="","",'WetLitterbags placem_collection'!AA86)</f>
        <v>M</v>
      </c>
      <c r="AI305">
        <f>IF('WetLitterbags placem_collection'!AC86="","",'WetLitterbags placem_collection'!AC86)</f>
        <v>1</v>
      </c>
      <c r="AJ305" s="233">
        <f>AVERAGE('WetLitterbags placem_collection'!S86,'WetLitterbags placem_collection'!U86)</f>
        <v>27.75</v>
      </c>
      <c r="AK305">
        <f>AVERAGE('WetLitterbags placem_collection'!R86,'WetLitterbags placem_collection'!T86)</f>
        <v>23.6</v>
      </c>
      <c r="AL305">
        <f>INDEX([2]Coordinates!$B$2:$B$197,MATCH(I305,[2]Coordinates!$J$2:$J$197,0))</f>
        <v>-3.295795005</v>
      </c>
      <c r="AM305">
        <f>INDEX([2]Coordinates!$C$2:$C$197,MATCH(I305,[2]Coordinates!$J$2:$J$197,0))</f>
        <v>34.85232001</v>
      </c>
      <c r="AN305" t="str">
        <f>IF(ISNUMBER(SEARCH("C", 'WetLitterbags placem_collection'!$W86)),"YES","NO")</f>
        <v>NO</v>
      </c>
      <c r="AO305" t="str">
        <f>IF(ISNUMBER(SEARCH("H", 'WetLitterbags placem_collection'!$W86)),"YES","NO")</f>
        <v>NO</v>
      </c>
      <c r="AP305" t="str">
        <f>IF(ISNUMBER(SEARCH("R", 'WetLitterbags placem_collection'!$W86)),"YES","NO")</f>
        <v>YES</v>
      </c>
    </row>
    <row r="306" spans="1:42" ht="15" customHeight="1">
      <c r="A306" t="s">
        <v>3248</v>
      </c>
      <c r="B306" s="248" t="s">
        <v>2454</v>
      </c>
      <c r="C306" s="253">
        <f>'Dry_Litterbag Placem_Collection'!A87</f>
        <v>85</v>
      </c>
      <c r="D306" s="253" t="str">
        <f>'Dry_Litterbag Placem_Collection'!B87</f>
        <v>Maswa</v>
      </c>
      <c r="E306" s="253" t="s">
        <v>2643</v>
      </c>
      <c r="F306" s="253" t="s">
        <v>2645</v>
      </c>
      <c r="G306" s="253">
        <v>3</v>
      </c>
      <c r="H306" s="253" t="s">
        <v>3114</v>
      </c>
      <c r="I306" s="254" t="str">
        <f>'Dry_Litterbag Placem_Collection'!C87</f>
        <v>Dry_W3_T5</v>
      </c>
      <c r="J306" s="255" t="s">
        <v>2525</v>
      </c>
      <c r="K306" s="262" t="s">
        <v>298</v>
      </c>
      <c r="L306" s="221" t="str">
        <f>'WetLitterbags placem_collection'!M87</f>
        <v>R315</v>
      </c>
      <c r="M306" s="223">
        <f>IFERROR(INDEX('Green_rooibos initial weight'!$C$5:$C$2000,MATCH(L306, 'Green_rooibos initial weight'!$A$5:$A$2000,0)),"")</f>
        <v>2.2440000000000002</v>
      </c>
      <c r="N306" s="223">
        <f>IFERROR(M306-(TBIcalc!$H$9+TBIcalc!$H$10),"")</f>
        <v>1.9942000000000002</v>
      </c>
      <c r="O306" s="378">
        <f>AVERAGE(Ashed_controlls!$K$2:$K$11)</f>
        <v>5.5147656768714146</v>
      </c>
      <c r="P306" s="223">
        <f t="shared" si="21"/>
        <v>1.8842245428718305</v>
      </c>
      <c r="Q306" s="223">
        <f>IFERROR(INDEX('Both teabags AfterWet'!$C$3:$C$840,MATCH(L306,'Both teabags AfterWet'!$A$3:$A$840,0)),"")</f>
        <v>1.4850000000000001</v>
      </c>
      <c r="R306" s="223">
        <f>IFERROR(IF(Q306&gt;0,Q306-(TBIcalc!$H$9),""),"")</f>
        <v>1.3344</v>
      </c>
      <c r="S306" s="223">
        <f>IFERROR(INDEX('Ashed teabags wet'!$K$2:$K$2000,MATCH(L306,'Ashed teabags wet'!$A$2:$A$2000,0)),"")</f>
        <v>10.368550368550631</v>
      </c>
      <c r="T306" s="223">
        <f t="shared" si="22"/>
        <v>1.1960420638820604</v>
      </c>
      <c r="U306" s="224">
        <f>'WetLitterbags placem_collection'!E87</f>
        <v>42767</v>
      </c>
      <c r="V306" s="224">
        <f>IF('WetLitterbags placem_collection'!G87="","",'WetLitterbags placem_collection'!G87)</f>
        <v>42819</v>
      </c>
      <c r="W306" s="225">
        <f t="shared" si="20"/>
        <v>52</v>
      </c>
      <c r="X306" s="223">
        <f t="shared" si="23"/>
        <v>0.65980000000000016</v>
      </c>
      <c r="Y306" s="223">
        <f t="shared" si="24"/>
        <v>0.68818247898977014</v>
      </c>
      <c r="Z306">
        <f>IFERROR(INDEX([1]Rainfall_Wet!$O$2:$O$217,MATCH(C306, [1]Rainfall_Wet!$A$2:$A$217,0)),"")</f>
        <v>194.93009798400001</v>
      </c>
      <c r="AA306" s="226">
        <v>38.691629007962128</v>
      </c>
      <c r="AB306" s="226">
        <v>26.81299763288143</v>
      </c>
      <c r="AC306" s="226">
        <v>34.495373359156439</v>
      </c>
      <c r="AD306" s="227" t="s">
        <v>2656</v>
      </c>
      <c r="AE306" s="226">
        <v>6.5483587974371602</v>
      </c>
      <c r="AF306">
        <f>IF('WetLitterbags placem_collection'!AB87="","",'WetLitterbags placem_collection'!AB87)</f>
        <v>8.6</v>
      </c>
      <c r="AG306">
        <f>IF('WetLitterbags placem_collection'!Z87="","",'WetLitterbags placem_collection'!Z87)</f>
        <v>3.8</v>
      </c>
      <c r="AH306" s="236" t="str">
        <f>IF('WetLitterbags placem_collection'!AA87="","",'WetLitterbags placem_collection'!AA87)</f>
        <v>O</v>
      </c>
      <c r="AI306">
        <f>IF('WetLitterbags placem_collection'!AC87="","",'WetLitterbags placem_collection'!AC87)</f>
        <v>0</v>
      </c>
      <c r="AJ306" s="233">
        <f>AVERAGE('WetLitterbags placem_collection'!S87,'WetLitterbags placem_collection'!U87)</f>
        <v>26.55</v>
      </c>
      <c r="AK306">
        <f>AVERAGE('WetLitterbags placem_collection'!R87,'WetLitterbags placem_collection'!T87)</f>
        <v>23.15</v>
      </c>
      <c r="AL306">
        <f>INDEX([2]Coordinates!$B$2:$B$197,MATCH(I306,[2]Coordinates!$J$2:$J$197,0))</f>
        <v>-3.2957100119999998</v>
      </c>
      <c r="AM306">
        <f>INDEX([2]Coordinates!$C$2:$C$197,MATCH(I306,[2]Coordinates!$J$2:$J$197,0))</f>
        <v>34.852283970000002</v>
      </c>
      <c r="AN306" t="str">
        <f>IF(ISNUMBER(SEARCH("C", 'WetLitterbags placem_collection'!$W87)),"YES","NO")</f>
        <v>YES</v>
      </c>
      <c r="AO306" t="str">
        <f>IF(ISNUMBER(SEARCH("H", 'WetLitterbags placem_collection'!$W87)),"YES","NO")</f>
        <v>YES</v>
      </c>
      <c r="AP306" t="str">
        <f>IF(ISNUMBER(SEARCH("R", 'WetLitterbags placem_collection'!$W87)),"YES","NO")</f>
        <v>YES</v>
      </c>
    </row>
    <row r="307" spans="1:42" ht="15" customHeight="1">
      <c r="A307" t="s">
        <v>3248</v>
      </c>
      <c r="B307" s="248" t="s">
        <v>2454</v>
      </c>
      <c r="C307" s="253">
        <f>'Dry_Litterbag Placem_Collection'!A88</f>
        <v>86</v>
      </c>
      <c r="D307" s="253" t="str">
        <f>'Dry_Litterbag Placem_Collection'!B88</f>
        <v>Maswa</v>
      </c>
      <c r="E307" s="253" t="s">
        <v>2643</v>
      </c>
      <c r="F307" s="253" t="s">
        <v>2645</v>
      </c>
      <c r="G307" s="253">
        <v>3</v>
      </c>
      <c r="H307" s="253" t="s">
        <v>3114</v>
      </c>
      <c r="I307" s="254" t="str">
        <f>'Dry_Litterbag Placem_Collection'!C88</f>
        <v>Dry_W3_T6</v>
      </c>
      <c r="J307" s="255" t="s">
        <v>2525</v>
      </c>
      <c r="K307" s="262" t="s">
        <v>298</v>
      </c>
      <c r="L307" s="221" t="str">
        <f>'WetLitterbags placem_collection'!M88</f>
        <v>R1</v>
      </c>
      <c r="M307" s="223">
        <f>IFERROR(INDEX('Green_rooibos initial weight'!$C$5:$C$2000,MATCH(L307, 'Green_rooibos initial weight'!$A$5:$A$2000,0)),"")</f>
        <v>2.2109999999999999</v>
      </c>
      <c r="N307" s="223">
        <f>IFERROR(M307-(TBIcalc!$H$9+TBIcalc!$H$10),"")</f>
        <v>1.9611999999999998</v>
      </c>
      <c r="O307" s="378">
        <f>AVERAGE(Ashed_controlls!$K$2:$K$11)</f>
        <v>5.5147656768714146</v>
      </c>
      <c r="P307" s="223">
        <f t="shared" si="21"/>
        <v>1.8530444155451977</v>
      </c>
      <c r="Q307" s="223">
        <f>IFERROR(INDEX('Both teabags AfterWet'!$C$3:$C$840,MATCH(L307,'Both teabags AfterWet'!$A$3:$A$840,0)),"")</f>
        <v>0.38169999999999998</v>
      </c>
      <c r="R307" s="223">
        <f>IFERROR(IF(Q307&gt;0,Q307-(TBIcalc!$H$9),""),"")</f>
        <v>0.23109999999999997</v>
      </c>
      <c r="S307" s="223">
        <f>IFERROR(INDEX('Ashed teabags wet'!$K$2:$K$2000,MATCH(L307,'Ashed teabags wet'!$A$2:$A$2000,0)),"")</f>
        <v>0</v>
      </c>
      <c r="T307" s="223">
        <f t="shared" si="22"/>
        <v>0.23109999999999997</v>
      </c>
      <c r="U307" s="224">
        <f>'WetLitterbags placem_collection'!E88</f>
        <v>42767</v>
      </c>
      <c r="V307" s="224">
        <f>IF('WetLitterbags placem_collection'!G88="","",'WetLitterbags placem_collection'!G88)</f>
        <v>42819</v>
      </c>
      <c r="W307" s="225">
        <f t="shared" si="20"/>
        <v>52</v>
      </c>
      <c r="X307" s="223">
        <f t="shared" si="23"/>
        <v>1.7300999999999997</v>
      </c>
      <c r="Y307" s="223">
        <f t="shared" si="24"/>
        <v>1.6219444155451979</v>
      </c>
      <c r="Z307">
        <f>IFERROR(INDEX([1]Rainfall_Wet!$O$2:$O$217,MATCH(C307, [1]Rainfall_Wet!$A$2:$A$217,0)),"")</f>
        <v>194.93009798400001</v>
      </c>
      <c r="AA307" s="226">
        <v>38.691629007962128</v>
      </c>
      <c r="AB307" s="226">
        <v>26.81299763288143</v>
      </c>
      <c r="AC307" s="226">
        <v>34.495373359156439</v>
      </c>
      <c r="AD307" s="227" t="s">
        <v>2656</v>
      </c>
      <c r="AE307" s="226">
        <v>7.5483587974371602</v>
      </c>
      <c r="AF307">
        <f>IF('WetLitterbags placem_collection'!AB88="","",'WetLitterbags placem_collection'!AB88)</f>
        <v>3.7</v>
      </c>
      <c r="AG307">
        <f>IF('WetLitterbags placem_collection'!Z88="","",'WetLitterbags placem_collection'!Z88)</f>
        <v>7.5</v>
      </c>
      <c r="AH307" s="236" t="str">
        <f>IF('WetLitterbags placem_collection'!AA88="","",'WetLitterbags placem_collection'!AA88)</f>
        <v>O</v>
      </c>
      <c r="AI307">
        <f>IF('WetLitterbags placem_collection'!AC88="","",'WetLitterbags placem_collection'!AC88)</f>
        <v>0</v>
      </c>
      <c r="AJ307" s="233">
        <f>AVERAGE('WetLitterbags placem_collection'!S88,'WetLitterbags placem_collection'!U88)</f>
        <v>24.05</v>
      </c>
      <c r="AK307">
        <f>AVERAGE('WetLitterbags placem_collection'!R88,'WetLitterbags placem_collection'!T88)</f>
        <v>25.799999999999997</v>
      </c>
      <c r="AL307">
        <f>INDEX([2]Coordinates!$B$2:$B$197,MATCH(I307,[2]Coordinates!$J$2:$J$197,0))</f>
        <v>-3.2956140399999998</v>
      </c>
      <c r="AM307">
        <f>INDEX([2]Coordinates!$C$2:$C$197,MATCH(I307,[2]Coordinates!$J$2:$J$197,0))</f>
        <v>34.852137030000002</v>
      </c>
      <c r="AN307" t="str">
        <f>IF(ISNUMBER(SEARCH("C", 'WetLitterbags placem_collection'!$W88)),"YES","NO")</f>
        <v>YES</v>
      </c>
      <c r="AO307" t="str">
        <f>IF(ISNUMBER(SEARCH("H", 'WetLitterbags placem_collection'!$W88)),"YES","NO")</f>
        <v>YES</v>
      </c>
      <c r="AP307" t="str">
        <f>IF(ISNUMBER(SEARCH("R", 'WetLitterbags placem_collection'!$W88)),"YES","NO")</f>
        <v>YES</v>
      </c>
    </row>
    <row r="308" spans="1:42" ht="15" customHeight="1">
      <c r="A308" t="s">
        <v>3248</v>
      </c>
      <c r="B308" s="248" t="s">
        <v>2454</v>
      </c>
      <c r="C308" s="253">
        <f>'Dry_Litterbag Placem_Collection'!A89</f>
        <v>87</v>
      </c>
      <c r="D308" s="253" t="str">
        <f>'Dry_Litterbag Placem_Collection'!B89</f>
        <v>Maswa</v>
      </c>
      <c r="E308" s="253" t="s">
        <v>2643</v>
      </c>
      <c r="F308" s="253" t="s">
        <v>2645</v>
      </c>
      <c r="G308" s="253">
        <v>3</v>
      </c>
      <c r="H308" s="253" t="s">
        <v>3114</v>
      </c>
      <c r="I308" s="254" t="str">
        <f>'Dry_Litterbag Placem_Collection'!C89</f>
        <v>Dry_W3_T7</v>
      </c>
      <c r="J308" s="255" t="s">
        <v>2525</v>
      </c>
      <c r="K308" s="262" t="s">
        <v>298</v>
      </c>
      <c r="L308" s="221" t="str">
        <f>'WetLitterbags placem_collection'!M89</f>
        <v>R408</v>
      </c>
      <c r="M308" s="223">
        <f>IFERROR(INDEX('Green_rooibos initial weight'!$C$5:$C$2000,MATCH(L308, 'Green_rooibos initial weight'!$A$5:$A$2000,0)),"")</f>
        <v>2.2480000000000002</v>
      </c>
      <c r="N308" s="223">
        <f>IFERROR(M308-(TBIcalc!$H$9+TBIcalc!$H$10),"")</f>
        <v>1.9982000000000002</v>
      </c>
      <c r="O308" s="378">
        <f>AVERAGE(Ashed_controlls!$K$2:$K$11)</f>
        <v>5.5147656768714146</v>
      </c>
      <c r="P308" s="223">
        <f t="shared" si="21"/>
        <v>1.8880039522447556</v>
      </c>
      <c r="Q308" s="223">
        <f>IFERROR(INDEX('Both teabags AfterWet'!$C$3:$C$840,MATCH(L308,'Both teabags AfterWet'!$A$3:$A$840,0)),"")</f>
        <v>0.3599</v>
      </c>
      <c r="R308" s="223">
        <f>IFERROR(IF(Q308&gt;0,Q308-(TBIcalc!$H$9),""),"")</f>
        <v>0.20929999999999999</v>
      </c>
      <c r="S308" s="223">
        <f>IFERROR(INDEX('Ashed teabags wet'!$K$2:$K$2000,MATCH(L308,'Ashed teabags wet'!$A$2:$A$2000,0)),"")</f>
        <v>0</v>
      </c>
      <c r="T308" s="223">
        <f t="shared" si="22"/>
        <v>0.20929999999999999</v>
      </c>
      <c r="U308" s="224">
        <f>'WetLitterbags placem_collection'!E89</f>
        <v>42767</v>
      </c>
      <c r="V308" s="224">
        <f>IF('WetLitterbags placem_collection'!G89="","",'WetLitterbags placem_collection'!G89)</f>
        <v>42819</v>
      </c>
      <c r="W308" s="225">
        <f t="shared" si="20"/>
        <v>52</v>
      </c>
      <c r="X308" s="223">
        <f t="shared" si="23"/>
        <v>1.7889000000000002</v>
      </c>
      <c r="Y308" s="223">
        <f t="shared" si="24"/>
        <v>1.6787039522447555</v>
      </c>
      <c r="Z308">
        <f>IFERROR(INDEX([1]Rainfall_Wet!$O$2:$O$217,MATCH(C308, [1]Rainfall_Wet!$A$2:$A$217,0)),"")</f>
        <v>194.93009798400001</v>
      </c>
      <c r="AA308" s="226">
        <v>38.691629007962128</v>
      </c>
      <c r="AB308" s="226">
        <v>26.81299763288143</v>
      </c>
      <c r="AC308" s="226">
        <v>34.495373359156439</v>
      </c>
      <c r="AD308" s="227" t="s">
        <v>2656</v>
      </c>
      <c r="AE308" s="226">
        <v>8.5483587974371602</v>
      </c>
      <c r="AF308">
        <f>IF('WetLitterbags placem_collection'!AB89="","",'WetLitterbags placem_collection'!AB89)</f>
        <v>7.5</v>
      </c>
      <c r="AG308">
        <f>IF('WetLitterbags placem_collection'!Z89="","",'WetLitterbags placem_collection'!Z89)</f>
        <v>12.6</v>
      </c>
      <c r="AH308" s="236" t="str">
        <f>IF('WetLitterbags placem_collection'!AA89="","",'WetLitterbags placem_collection'!AA89)</f>
        <v>O</v>
      </c>
      <c r="AI308">
        <f>IF('WetLitterbags placem_collection'!AC89="","",'WetLitterbags placem_collection'!AC89)</f>
        <v>1</v>
      </c>
      <c r="AJ308" s="233">
        <f>AVERAGE('WetLitterbags placem_collection'!S89,'WetLitterbags placem_collection'!U89)</f>
        <v>25.85</v>
      </c>
      <c r="AK308">
        <f>AVERAGE('WetLitterbags placem_collection'!R89,'WetLitterbags placem_collection'!T89)</f>
        <v>21.55</v>
      </c>
      <c r="AL308">
        <f>INDEX([2]Coordinates!$B$2:$B$197,MATCH(I308,[2]Coordinates!$J$2:$J$197,0))</f>
        <v>-3.295904975</v>
      </c>
      <c r="AM308">
        <f>INDEX([2]Coordinates!$C$2:$C$197,MATCH(I308,[2]Coordinates!$J$2:$J$197,0))</f>
        <v>34.852136029999997</v>
      </c>
      <c r="AN308" t="str">
        <f>IF(ISNUMBER(SEARCH("C", 'WetLitterbags placem_collection'!$W89)),"YES","NO")</f>
        <v>YES</v>
      </c>
      <c r="AO308" t="str">
        <f>IF(ISNUMBER(SEARCH("H", 'WetLitterbags placem_collection'!$W89)),"YES","NO")</f>
        <v>NO</v>
      </c>
      <c r="AP308" t="str">
        <f>IF(ISNUMBER(SEARCH("R", 'WetLitterbags placem_collection'!$W89)),"YES","NO")</f>
        <v>YES</v>
      </c>
    </row>
    <row r="309" spans="1:42" ht="15" customHeight="1">
      <c r="A309" t="s">
        <v>3248</v>
      </c>
      <c r="B309" s="248" t="s">
        <v>2454</v>
      </c>
      <c r="C309" s="253">
        <f>'Dry_Litterbag Placem_Collection'!A90</f>
        <v>88</v>
      </c>
      <c r="D309" s="253" t="str">
        <f>'Dry_Litterbag Placem_Collection'!B90</f>
        <v>Maswa</v>
      </c>
      <c r="E309" s="253" t="s">
        <v>2643</v>
      </c>
      <c r="F309" s="253" t="s">
        <v>2645</v>
      </c>
      <c r="G309" s="253">
        <v>3</v>
      </c>
      <c r="H309" s="253" t="s">
        <v>3114</v>
      </c>
      <c r="I309" s="254" t="str">
        <f>'Dry_Litterbag Placem_Collection'!C90</f>
        <v>Dry_W3_T8</v>
      </c>
      <c r="J309" s="255" t="s">
        <v>2525</v>
      </c>
      <c r="K309" s="262" t="s">
        <v>298</v>
      </c>
      <c r="L309" s="221" t="str">
        <f>'WetLitterbags placem_collection'!M90</f>
        <v>R385</v>
      </c>
      <c r="M309" s="223">
        <f>IFERROR(INDEX('Green_rooibos initial weight'!$C$5:$C$2000,MATCH(L309, 'Green_rooibos initial weight'!$A$5:$A$2000,0)),"")</f>
        <v>2.2559999999999998</v>
      </c>
      <c r="N309" s="223">
        <f>IFERROR(M309-(TBIcalc!$H$9+TBIcalc!$H$10),"")</f>
        <v>2.0061999999999998</v>
      </c>
      <c r="O309" s="378">
        <f>AVERAGE(Ashed_controlls!$K$2:$K$11)</f>
        <v>5.5147656768714146</v>
      </c>
      <c r="P309" s="223">
        <f t="shared" si="21"/>
        <v>1.8955627709906056</v>
      </c>
      <c r="Q309" s="223" t="str">
        <f>IFERROR(INDEX('Both teabags AfterWet'!$C$3:$C$840,MATCH(L309,'Both teabags AfterWet'!$A$3:$A$840,0)),"")</f>
        <v/>
      </c>
      <c r="R309" s="223" t="str">
        <f>IFERROR(IF(Q309&gt;0,Q309-(TBIcalc!$H$9),""),"")</f>
        <v/>
      </c>
      <c r="S309" s="223" t="str">
        <f>IFERROR(INDEX('Ashed teabags wet'!$K$2:$K$2000,MATCH(L309,'Ashed teabags wet'!$A$2:$A$2000,0)),"")</f>
        <v/>
      </c>
      <c r="T309" s="223" t="str">
        <f t="shared" si="22"/>
        <v/>
      </c>
      <c r="U309" s="224">
        <f>'WetLitterbags placem_collection'!E90</f>
        <v>42767</v>
      </c>
      <c r="V309" s="224">
        <f>IF('WetLitterbags placem_collection'!G90="","",'WetLitterbags placem_collection'!G90)</f>
        <v>42819</v>
      </c>
      <c r="W309" s="225">
        <f t="shared" si="20"/>
        <v>52</v>
      </c>
      <c r="X309" s="223" t="str">
        <f t="shared" si="23"/>
        <v/>
      </c>
      <c r="Y309" s="223" t="str">
        <f t="shared" si="24"/>
        <v/>
      </c>
      <c r="Z309" t="str">
        <f>IFERROR(INDEX([1]Rainfall_Wet!$O$2:$O$217,MATCH(C309, [1]Rainfall_Wet!$A$2:$A$217,0)),"")</f>
        <v/>
      </c>
      <c r="AA309" s="226">
        <v>38.691629007962128</v>
      </c>
      <c r="AB309" s="226">
        <v>26.81299763288143</v>
      </c>
      <c r="AC309" s="226">
        <v>34.495373359156439</v>
      </c>
      <c r="AD309" s="227" t="s">
        <v>2656</v>
      </c>
      <c r="AE309" s="226">
        <v>9.5483587974371602</v>
      </c>
      <c r="AF309" t="str">
        <f>IF('WetLitterbags placem_collection'!AB90="","",'WetLitterbags placem_collection'!AB90)</f>
        <v/>
      </c>
      <c r="AG309" t="str">
        <f>IF('WetLitterbags placem_collection'!Z90="","",'WetLitterbags placem_collection'!Z90)</f>
        <v/>
      </c>
      <c r="AH309" s="236" t="str">
        <f>IF('WetLitterbags placem_collection'!AA90="","",'WetLitterbags placem_collection'!AA90)</f>
        <v/>
      </c>
      <c r="AI309" t="str">
        <f>IF('WetLitterbags placem_collection'!AC90="","",'WetLitterbags placem_collection'!AC90)</f>
        <v/>
      </c>
      <c r="AJ309" s="233">
        <f>AVERAGE('WetLitterbags placem_collection'!S90,'WetLitterbags placem_collection'!U90)</f>
        <v>29.7</v>
      </c>
      <c r="AK309">
        <f>AVERAGE('WetLitterbags placem_collection'!R90,'WetLitterbags placem_collection'!T90)</f>
        <v>21.4</v>
      </c>
      <c r="AL309">
        <f>INDEX([2]Coordinates!$B$2:$B$197,MATCH(I309,[2]Coordinates!$J$2:$J$197,0))</f>
        <v>-3.2959530039999998</v>
      </c>
      <c r="AM309">
        <f>INDEX([2]Coordinates!$C$2:$C$197,MATCH(I309,[2]Coordinates!$J$2:$J$197,0))</f>
        <v>34.85242504</v>
      </c>
      <c r="AN309" t="str">
        <f>IF(ISNUMBER(SEARCH("C", 'WetLitterbags placem_collection'!$W90)),"YES","NO")</f>
        <v>NO</v>
      </c>
      <c r="AO309" t="str">
        <f>IF(ISNUMBER(SEARCH("H", 'WetLitterbags placem_collection'!$W90)),"YES","NO")</f>
        <v>NO</v>
      </c>
      <c r="AP309" t="str">
        <f>IF(ISNUMBER(SEARCH("R", 'WetLitterbags placem_collection'!$W90)),"YES","NO")</f>
        <v>NO</v>
      </c>
    </row>
    <row r="310" spans="1:42" ht="15" customHeight="1">
      <c r="A310" t="s">
        <v>3248</v>
      </c>
      <c r="B310" s="248" t="s">
        <v>2454</v>
      </c>
      <c r="C310" s="253">
        <f>'Dry_Litterbag Placem_Collection'!A91</f>
        <v>89</v>
      </c>
      <c r="D310" s="253" t="str">
        <f>'Dry_Litterbag Placem_Collection'!B91</f>
        <v>Maswa</v>
      </c>
      <c r="E310" s="253" t="s">
        <v>2643</v>
      </c>
      <c r="F310" s="253" t="s">
        <v>2645</v>
      </c>
      <c r="G310" s="253">
        <v>4</v>
      </c>
      <c r="H310" s="253" t="s">
        <v>3115</v>
      </c>
      <c r="I310" s="254" t="str">
        <f>'Dry_Litterbag Placem_Collection'!C91</f>
        <v>Dry_W4_T1</v>
      </c>
      <c r="J310" s="255" t="s">
        <v>2525</v>
      </c>
      <c r="K310" s="262" t="s">
        <v>298</v>
      </c>
      <c r="L310" s="221" t="str">
        <f>'WetLitterbags placem_collection'!M91</f>
        <v>R196</v>
      </c>
      <c r="M310" s="223">
        <f>IFERROR(INDEX('Green_rooibos initial weight'!$C$5:$C$2000,MATCH(L310, 'Green_rooibos initial weight'!$A$5:$A$2000,0)),"")</f>
        <v>2.242</v>
      </c>
      <c r="N310" s="223">
        <f>IFERROR(M310-(TBIcalc!$H$9+TBIcalc!$H$10),"")</f>
        <v>1.9922</v>
      </c>
      <c r="O310" s="378">
        <f>AVERAGE(Ashed_controlls!$K$2:$K$11)</f>
        <v>5.5147656768714146</v>
      </c>
      <c r="P310" s="223">
        <f t="shared" si="21"/>
        <v>1.8823348381853677</v>
      </c>
      <c r="Q310" s="223">
        <f>IFERROR(INDEX('Both teabags AfterWet'!$C$3:$C$840,MATCH(L310,'Both teabags AfterWet'!$A$3:$A$840,0)),"")</f>
        <v>0.17399999999999999</v>
      </c>
      <c r="R310" s="223">
        <f>IFERROR(IF(Q310&gt;0,Q310-(TBIcalc!$H$9),""),"")</f>
        <v>2.3399999999999976E-2</v>
      </c>
      <c r="S310" s="223">
        <f>IFERROR(INDEX('Ashed teabags wet'!$K$2:$K$2000,MATCH(L310,'Ashed teabags wet'!$A$2:$A$2000,0)),"")</f>
        <v>0</v>
      </c>
      <c r="T310" s="223">
        <f t="shared" si="22"/>
        <v>2.3399999999999976E-2</v>
      </c>
      <c r="U310" s="224">
        <f>'WetLitterbags placem_collection'!E91</f>
        <v>42767</v>
      </c>
      <c r="V310" s="224">
        <f>IF('WetLitterbags placem_collection'!G91="","",'WetLitterbags placem_collection'!G91)</f>
        <v>42819</v>
      </c>
      <c r="W310" s="225">
        <f t="shared" si="20"/>
        <v>52</v>
      </c>
      <c r="X310" s="223">
        <f t="shared" si="23"/>
        <v>1.9687999999999999</v>
      </c>
      <c r="Y310" s="223">
        <f t="shared" si="24"/>
        <v>1.8589348381853679</v>
      </c>
      <c r="Z310">
        <f>IFERROR(INDEX([1]Rainfall_Wet!$O$2:$O$217,MATCH(C310, [1]Rainfall_Wet!$A$2:$A$217,0)),"")</f>
        <v>194.93009798400001</v>
      </c>
      <c r="AA310" s="226">
        <v>28.145762029394</v>
      </c>
      <c r="AB310" s="226">
        <v>25.085564727199518</v>
      </c>
      <c r="AC310" s="226">
        <v>46.768673243406489</v>
      </c>
      <c r="AD310" s="227" t="s">
        <v>2651</v>
      </c>
      <c r="AE310" s="226">
        <v>2.1716214884179394</v>
      </c>
      <c r="AF310">
        <f>IF('WetLitterbags placem_collection'!AB91="","",'WetLitterbags placem_collection'!AB91)</f>
        <v>7.3</v>
      </c>
      <c r="AG310">
        <f>IF('WetLitterbags placem_collection'!Z91="","",'WetLitterbags placem_collection'!Z91)</f>
        <v>35.799999999999997</v>
      </c>
      <c r="AH310" s="236" t="str">
        <f>IF('WetLitterbags placem_collection'!AA91="","",'WetLitterbags placem_collection'!AA91)</f>
        <v>O</v>
      </c>
      <c r="AI310">
        <f>IF('WetLitterbags placem_collection'!AC91="","",'WetLitterbags placem_collection'!AC91)</f>
        <v>0</v>
      </c>
      <c r="AJ310" s="233">
        <f>AVERAGE('WetLitterbags placem_collection'!S91,'WetLitterbags placem_collection'!U91)</f>
        <v>20.95</v>
      </c>
      <c r="AK310">
        <f>AVERAGE('WetLitterbags placem_collection'!R91,'WetLitterbags placem_collection'!T91)</f>
        <v>24.45</v>
      </c>
      <c r="AL310">
        <f>INDEX([2]Coordinates!$B$2:$B$197,MATCH(I310,[2]Coordinates!$J$2:$J$197,0))</f>
        <v>-3.2966709980000002</v>
      </c>
      <c r="AM310">
        <f>INDEX([2]Coordinates!$C$2:$C$197,MATCH(I310,[2]Coordinates!$J$2:$J$197,0))</f>
        <v>34.854407019999996</v>
      </c>
      <c r="AN310" t="str">
        <f>IF(ISNUMBER(SEARCH("C", 'WetLitterbags placem_collection'!$W91)),"YES","NO")</f>
        <v>NO</v>
      </c>
      <c r="AO310" t="str">
        <f>IF(ISNUMBER(SEARCH("H", 'WetLitterbags placem_collection'!$W91)),"YES","NO")</f>
        <v>YES</v>
      </c>
      <c r="AP310" t="str">
        <f>IF(ISNUMBER(SEARCH("R", 'WetLitterbags placem_collection'!$W91)),"YES","NO")</f>
        <v>YES</v>
      </c>
    </row>
    <row r="311" spans="1:42" ht="15" customHeight="1">
      <c r="A311" t="s">
        <v>3248</v>
      </c>
      <c r="B311" s="248" t="s">
        <v>2454</v>
      </c>
      <c r="C311" s="253">
        <f>'Dry_Litterbag Placem_Collection'!A92</f>
        <v>90</v>
      </c>
      <c r="D311" s="253" t="str">
        <f>'Dry_Litterbag Placem_Collection'!B92</f>
        <v>Maswa</v>
      </c>
      <c r="E311" s="253" t="s">
        <v>2643</v>
      </c>
      <c r="F311" s="253" t="s">
        <v>2645</v>
      </c>
      <c r="G311" s="253">
        <v>4</v>
      </c>
      <c r="H311" s="253" t="s">
        <v>3115</v>
      </c>
      <c r="I311" s="254" t="str">
        <f>'Dry_Litterbag Placem_Collection'!C92</f>
        <v>Dry_W4_T2</v>
      </c>
      <c r="J311" s="255" t="s">
        <v>2525</v>
      </c>
      <c r="K311" s="262" t="s">
        <v>298</v>
      </c>
      <c r="L311" s="221" t="str">
        <f>'WetLitterbags placem_collection'!M92</f>
        <v>R94</v>
      </c>
      <c r="M311" s="223">
        <f>IFERROR(INDEX('Green_rooibos initial weight'!$C$5:$C$2000,MATCH(L311, 'Green_rooibos initial weight'!$A$5:$A$2000,0)),"")</f>
        <v>2.2770000000000001</v>
      </c>
      <c r="N311" s="223">
        <f>IFERROR(M311-(TBIcalc!$H$9+TBIcalc!$H$10),"")</f>
        <v>2.0272000000000001</v>
      </c>
      <c r="O311" s="378">
        <f>AVERAGE(Ashed_controlls!$K$2:$K$11)</f>
        <v>5.5147656768714146</v>
      </c>
      <c r="P311" s="223">
        <f t="shared" si="21"/>
        <v>1.9154046701984628</v>
      </c>
      <c r="Q311" s="223" t="str">
        <f>IFERROR(INDEX('Both teabags AfterWet'!$C$3:$C$840,MATCH(L311,'Both teabags AfterWet'!$A$3:$A$840,0)),"")</f>
        <v/>
      </c>
      <c r="R311" s="223" t="str">
        <f>IFERROR(IF(Q311&gt;0,Q311-(TBIcalc!$H$9),""),"")</f>
        <v/>
      </c>
      <c r="S311" s="223">
        <f>IFERROR(INDEX('Ashed teabags wet'!$K$2:$K$2000,MATCH(L311,'Ashed teabags wet'!$A$2:$A$2000,0)),"")</f>
        <v>4.0694789081900105</v>
      </c>
      <c r="T311" s="223" t="str">
        <f t="shared" si="22"/>
        <v/>
      </c>
      <c r="U311" s="224">
        <f>'WetLitterbags placem_collection'!E92</f>
        <v>42767</v>
      </c>
      <c r="V311" s="224">
        <f>IF('WetLitterbags placem_collection'!G92="","",'WetLitterbags placem_collection'!G92)</f>
        <v>42819</v>
      </c>
      <c r="W311" s="225">
        <f t="shared" si="20"/>
        <v>52</v>
      </c>
      <c r="X311" s="223" t="str">
        <f t="shared" si="23"/>
        <v/>
      </c>
      <c r="Y311" s="223" t="str">
        <f t="shared" si="24"/>
        <v/>
      </c>
      <c r="Z311">
        <f>IFERROR(INDEX([1]Rainfall_Wet!$O$2:$O$217,MATCH(C311, [1]Rainfall_Wet!$A$2:$A$217,0)),"")</f>
        <v>194.93009798400001</v>
      </c>
      <c r="AA311" s="226">
        <v>28.145762029394</v>
      </c>
      <c r="AB311" s="226">
        <v>25.085564727199518</v>
      </c>
      <c r="AC311" s="226">
        <v>46.768673243406489</v>
      </c>
      <c r="AD311" s="227" t="s">
        <v>2651</v>
      </c>
      <c r="AE311" s="226">
        <v>3.1716214884179399</v>
      </c>
      <c r="AF311">
        <f>IF('WetLitterbags placem_collection'!AB92="","",'WetLitterbags placem_collection'!AB92)</f>
        <v>7.7</v>
      </c>
      <c r="AG311">
        <f>IF('WetLitterbags placem_collection'!Z92="","",'WetLitterbags placem_collection'!Z92)</f>
        <v>30.4</v>
      </c>
      <c r="AH311" s="236" t="str">
        <f>IF('WetLitterbags placem_collection'!AA92="","",'WetLitterbags placem_collection'!AA92)</f>
        <v>O</v>
      </c>
      <c r="AI311">
        <f>IF('WetLitterbags placem_collection'!AC92="","",'WetLitterbags placem_collection'!AC92)</f>
        <v>0</v>
      </c>
      <c r="AJ311" s="233">
        <f>AVERAGE('WetLitterbags placem_collection'!S92,'WetLitterbags placem_collection'!U92)</f>
        <v>27.5</v>
      </c>
      <c r="AK311">
        <f>AVERAGE('WetLitterbags placem_collection'!R92,'WetLitterbags placem_collection'!T92)</f>
        <v>23.85</v>
      </c>
      <c r="AL311">
        <f>INDEX([2]Coordinates!$B$2:$B$197,MATCH(I311,[2]Coordinates!$J$2:$J$197,0))</f>
        <v>-3.2966860009999999</v>
      </c>
      <c r="AM311">
        <f>INDEX([2]Coordinates!$C$2:$C$197,MATCH(I311,[2]Coordinates!$J$2:$J$197,0))</f>
        <v>34.854371989999997</v>
      </c>
      <c r="AN311" t="str">
        <f>IF(ISNUMBER(SEARCH("C", 'WetLitterbags placem_collection'!$W92)),"YES","NO")</f>
        <v>NO</v>
      </c>
      <c r="AO311" t="str">
        <f>IF(ISNUMBER(SEARCH("H", 'WetLitterbags placem_collection'!$W92)),"YES","NO")</f>
        <v>NO</v>
      </c>
      <c r="AP311" t="str">
        <f>IF(ISNUMBER(SEARCH("R", 'WetLitterbags placem_collection'!$W92)),"YES","NO")</f>
        <v>YES</v>
      </c>
    </row>
    <row r="312" spans="1:42" ht="15" customHeight="1">
      <c r="A312" t="s">
        <v>3248</v>
      </c>
      <c r="B312" s="248" t="s">
        <v>2454</v>
      </c>
      <c r="C312" s="253">
        <f>'Dry_Litterbag Placem_Collection'!A93</f>
        <v>91</v>
      </c>
      <c r="D312" s="253" t="str">
        <f>'Dry_Litterbag Placem_Collection'!B93</f>
        <v>Maswa</v>
      </c>
      <c r="E312" s="253" t="s">
        <v>2643</v>
      </c>
      <c r="F312" s="253" t="s">
        <v>2645</v>
      </c>
      <c r="G312" s="253">
        <v>4</v>
      </c>
      <c r="H312" s="253" t="s">
        <v>3115</v>
      </c>
      <c r="I312" s="254" t="str">
        <f>'Dry_Litterbag Placem_Collection'!C93</f>
        <v>Dry_W4_T3</v>
      </c>
      <c r="J312" s="255" t="s">
        <v>2525</v>
      </c>
      <c r="K312" s="262" t="s">
        <v>298</v>
      </c>
      <c r="L312" s="221" t="str">
        <f>'WetLitterbags placem_collection'!M93</f>
        <v>R343</v>
      </c>
      <c r="M312" s="223">
        <f>IFERROR(INDEX('Green_rooibos initial weight'!$C$5:$C$2000,MATCH(L312, 'Green_rooibos initial weight'!$A$5:$A$2000,0)),"")</f>
        <v>2.2429999999999999</v>
      </c>
      <c r="N312" s="223">
        <f>IFERROR(M312-(TBIcalc!$H$9+TBIcalc!$H$10),"")</f>
        <v>1.9931999999999999</v>
      </c>
      <c r="O312" s="378">
        <f>AVERAGE(Ashed_controlls!$K$2:$K$11)</f>
        <v>5.5147656768714146</v>
      </c>
      <c r="P312" s="223">
        <f t="shared" si="21"/>
        <v>1.8832796905285989</v>
      </c>
      <c r="Q312" s="223">
        <f>IFERROR(INDEX('Both teabags AfterWet'!$C$3:$C$840,MATCH(L312,'Both teabags AfterWet'!$A$3:$A$840,0)),"")</f>
        <v>0.16200000000000001</v>
      </c>
      <c r="R312" s="223">
        <f>IFERROR(IF(Q312&gt;0,Q312-(TBIcalc!$H$9),""),"")</f>
        <v>1.1399999999999993E-2</v>
      </c>
      <c r="S312" s="223">
        <f>IFERROR(INDEX('Ashed teabags wet'!$K$2:$K$2000,MATCH(L312,'Ashed teabags wet'!$A$2:$A$2000,0)),"")</f>
        <v>83.97683397683403</v>
      </c>
      <c r="T312" s="223">
        <f t="shared" si="22"/>
        <v>1.8266409266409194E-3</v>
      </c>
      <c r="U312" s="224">
        <f>'WetLitterbags placem_collection'!E93</f>
        <v>42767</v>
      </c>
      <c r="V312" s="224">
        <f>IF('WetLitterbags placem_collection'!G93="","",'WetLitterbags placem_collection'!G93)</f>
        <v>42819</v>
      </c>
      <c r="W312" s="225">
        <f t="shared" si="20"/>
        <v>52</v>
      </c>
      <c r="X312" s="223">
        <f t="shared" si="23"/>
        <v>1.9817999999999998</v>
      </c>
      <c r="Y312" s="223">
        <f t="shared" si="24"/>
        <v>1.8814530496019579</v>
      </c>
      <c r="Z312">
        <f>IFERROR(INDEX([1]Rainfall_Wet!$O$2:$O$217,MATCH(C312, [1]Rainfall_Wet!$A$2:$A$217,0)),"")</f>
        <v>194.93009798400001</v>
      </c>
      <c r="AA312" s="226">
        <v>28.145762029394</v>
      </c>
      <c r="AB312" s="226">
        <v>25.085564727199518</v>
      </c>
      <c r="AC312" s="226">
        <v>46.768673243406489</v>
      </c>
      <c r="AD312" s="227" t="s">
        <v>2651</v>
      </c>
      <c r="AE312" s="226">
        <v>4.1716214884179399</v>
      </c>
      <c r="AF312">
        <f>IF('WetLitterbags placem_collection'!AB93="","",'WetLitterbags placem_collection'!AB93)</f>
        <v>6.1</v>
      </c>
      <c r="AG312">
        <f>IF('WetLitterbags placem_collection'!Z93="","",'WetLitterbags placem_collection'!Z93)</f>
        <v>39.4</v>
      </c>
      <c r="AH312" s="236" t="str">
        <f>IF('WetLitterbags placem_collection'!AA93="","",'WetLitterbags placem_collection'!AA93)</f>
        <v>O</v>
      </c>
      <c r="AI312">
        <f>IF('WetLitterbags placem_collection'!AC93="","",'WetLitterbags placem_collection'!AC93)</f>
        <v>1</v>
      </c>
      <c r="AJ312" s="233">
        <f>AVERAGE('WetLitterbags placem_collection'!S93,'WetLitterbags placem_collection'!U93)</f>
        <v>26.4</v>
      </c>
      <c r="AK312">
        <f>AVERAGE('WetLitterbags placem_collection'!R93,'WetLitterbags placem_collection'!T93)</f>
        <v>24.35</v>
      </c>
      <c r="AL312">
        <f>INDEX([2]Coordinates!$B$2:$B$197,MATCH(I312,[2]Coordinates!$J$2:$J$197,0))</f>
        <v>-3.2966180239999998</v>
      </c>
      <c r="AM312">
        <f>INDEX([2]Coordinates!$C$2:$C$197,MATCH(I312,[2]Coordinates!$J$2:$J$197,0))</f>
        <v>34.854464020000002</v>
      </c>
      <c r="AN312" t="str">
        <f>IF(ISNUMBER(SEARCH("C", 'WetLitterbags placem_collection'!$W93)),"YES","NO")</f>
        <v>YES</v>
      </c>
      <c r="AO312" t="str">
        <f>IF(ISNUMBER(SEARCH("H", 'WetLitterbags placem_collection'!$W93)),"YES","NO")</f>
        <v>YES</v>
      </c>
      <c r="AP312" t="str">
        <f>IF(ISNUMBER(SEARCH("R", 'WetLitterbags placem_collection'!$W93)),"YES","NO")</f>
        <v>NO</v>
      </c>
    </row>
    <row r="313" spans="1:42" ht="15" customHeight="1">
      <c r="A313" t="s">
        <v>3248</v>
      </c>
      <c r="B313" s="248" t="s">
        <v>2454</v>
      </c>
      <c r="C313" s="253">
        <f>'Dry_Litterbag Placem_Collection'!A94</f>
        <v>92</v>
      </c>
      <c r="D313" s="253" t="str">
        <f>'Dry_Litterbag Placem_Collection'!B94</f>
        <v>Maswa</v>
      </c>
      <c r="E313" s="253" t="s">
        <v>2643</v>
      </c>
      <c r="F313" s="253" t="s">
        <v>2645</v>
      </c>
      <c r="G313" s="253">
        <v>4</v>
      </c>
      <c r="H313" s="253" t="s">
        <v>3115</v>
      </c>
      <c r="I313" s="254" t="str">
        <f>'Dry_Litterbag Placem_Collection'!C94</f>
        <v>Dry_W4_T4</v>
      </c>
      <c r="J313" s="255" t="s">
        <v>2525</v>
      </c>
      <c r="K313" s="262" t="s">
        <v>298</v>
      </c>
      <c r="L313" s="221" t="str">
        <f>'WetLitterbags placem_collection'!M94</f>
        <v>R445</v>
      </c>
      <c r="M313" s="223">
        <f>IFERROR(INDEX('Green_rooibos initial weight'!$C$5:$C$2000,MATCH(L313, 'Green_rooibos initial weight'!$A$5:$A$2000,0)),"")</f>
        <v>2.2389999999999999</v>
      </c>
      <c r="N313" s="223">
        <f>IFERROR(M313-(TBIcalc!$H$9+TBIcalc!$H$10),"")</f>
        <v>1.9891999999999999</v>
      </c>
      <c r="O313" s="378">
        <f>AVERAGE(Ashed_controlls!$K$2:$K$11)</f>
        <v>5.5147656768714146</v>
      </c>
      <c r="P313" s="223">
        <f t="shared" si="21"/>
        <v>1.8795002811556736</v>
      </c>
      <c r="Q313" s="223">
        <f>IFERROR(INDEX('Both teabags AfterWet'!$C$3:$C$840,MATCH(L313,'Both teabags AfterWet'!$A$3:$A$840,0)),"")</f>
        <v>0.31</v>
      </c>
      <c r="R313" s="223">
        <f>IFERROR(IF(Q313&gt;0,Q313-(TBIcalc!$H$9),""),"")</f>
        <v>0.15939999999999999</v>
      </c>
      <c r="S313" s="223">
        <f>IFERROR(INDEX('Ashed teabags wet'!$K$2:$K$2000,MATCH(L313,'Ashed teabags wet'!$A$2:$A$2000,0)),"")</f>
        <v>0</v>
      </c>
      <c r="T313" s="223">
        <f t="shared" si="22"/>
        <v>0.15939999999999999</v>
      </c>
      <c r="U313" s="224">
        <f>'WetLitterbags placem_collection'!E94</f>
        <v>42767</v>
      </c>
      <c r="V313" s="224">
        <f>IF('WetLitterbags placem_collection'!G94="","",'WetLitterbags placem_collection'!G94)</f>
        <v>42819</v>
      </c>
      <c r="W313" s="225">
        <f t="shared" si="20"/>
        <v>52</v>
      </c>
      <c r="X313" s="223">
        <f t="shared" si="23"/>
        <v>1.8297999999999999</v>
      </c>
      <c r="Y313" s="223">
        <f t="shared" si="24"/>
        <v>1.7201002811556736</v>
      </c>
      <c r="Z313">
        <f>IFERROR(INDEX([1]Rainfall_Wet!$O$2:$O$217,MATCH(C313, [1]Rainfall_Wet!$A$2:$A$217,0)),"")</f>
        <v>194.93009798400001</v>
      </c>
      <c r="AA313" s="226">
        <v>28.145762029394</v>
      </c>
      <c r="AB313" s="226">
        <v>25.085564727199518</v>
      </c>
      <c r="AC313" s="226">
        <v>46.768673243406489</v>
      </c>
      <c r="AD313" s="227" t="s">
        <v>2651</v>
      </c>
      <c r="AE313" s="226">
        <v>5.1716214884179399</v>
      </c>
      <c r="AF313">
        <f>IF('WetLitterbags placem_collection'!AB94="","",'WetLitterbags placem_collection'!AB94)</f>
        <v>7.7</v>
      </c>
      <c r="AG313">
        <f>IF('WetLitterbags placem_collection'!Z94="","",'WetLitterbags placem_collection'!Z94)</f>
        <v>24.8</v>
      </c>
      <c r="AH313" s="236" t="str">
        <f>IF('WetLitterbags placem_collection'!AA94="","",'WetLitterbags placem_collection'!AA94)</f>
        <v>O</v>
      </c>
      <c r="AI313">
        <f>IF('WetLitterbags placem_collection'!AC94="","",'WetLitterbags placem_collection'!AC94)</f>
        <v>1</v>
      </c>
      <c r="AJ313" s="233">
        <f>AVERAGE('WetLitterbags placem_collection'!S94,'WetLitterbags placem_collection'!U94)</f>
        <v>26.45</v>
      </c>
      <c r="AK313">
        <f>AVERAGE('WetLitterbags placem_collection'!R94,'WetLitterbags placem_collection'!T94)</f>
        <v>22.6</v>
      </c>
      <c r="AL313">
        <f>INDEX([2]Coordinates!$B$2:$B$197,MATCH(I313,[2]Coordinates!$J$2:$J$197,0))</f>
        <v>-3.2965539860000002</v>
      </c>
      <c r="AM313">
        <f>INDEX([2]Coordinates!$C$2:$C$197,MATCH(I313,[2]Coordinates!$J$2:$J$197,0))</f>
        <v>34.854455969999997</v>
      </c>
      <c r="AN313" t="str">
        <f>IF(ISNUMBER(SEARCH("C", 'WetLitterbags placem_collection'!$W94)),"YES","NO")</f>
        <v>YES</v>
      </c>
      <c r="AO313" t="str">
        <f>IF(ISNUMBER(SEARCH("H", 'WetLitterbags placem_collection'!$W94)),"YES","NO")</f>
        <v>YES</v>
      </c>
      <c r="AP313" t="str">
        <f>IF(ISNUMBER(SEARCH("R", 'WetLitterbags placem_collection'!$W94)),"YES","NO")</f>
        <v>NO</v>
      </c>
    </row>
    <row r="314" spans="1:42" ht="15" customHeight="1">
      <c r="A314" t="s">
        <v>3248</v>
      </c>
      <c r="B314" s="248" t="s">
        <v>2454</v>
      </c>
      <c r="C314" s="253">
        <f>'Dry_Litterbag Placem_Collection'!A95</f>
        <v>93</v>
      </c>
      <c r="D314" s="253" t="str">
        <f>'Dry_Litterbag Placem_Collection'!B95</f>
        <v>Maswa</v>
      </c>
      <c r="E314" s="253" t="s">
        <v>2643</v>
      </c>
      <c r="F314" s="253" t="s">
        <v>2645</v>
      </c>
      <c r="G314" s="253">
        <v>4</v>
      </c>
      <c r="H314" s="253" t="s">
        <v>3115</v>
      </c>
      <c r="I314" s="254" t="str">
        <f>'Dry_Litterbag Placem_Collection'!C95</f>
        <v>Dry_W4_T5</v>
      </c>
      <c r="J314" s="255" t="s">
        <v>2525</v>
      </c>
      <c r="K314" s="262" t="s">
        <v>298</v>
      </c>
      <c r="L314" s="221" t="str">
        <f>'WetLitterbags placem_collection'!M95</f>
        <v>R12</v>
      </c>
      <c r="M314" s="223">
        <f>IFERROR(INDEX('Green_rooibos initial weight'!$C$5:$C$2000,MATCH(L314, 'Green_rooibos initial weight'!$A$5:$A$2000,0)),"")</f>
        <v>2.1709999999999998</v>
      </c>
      <c r="N314" s="223">
        <f>IFERROR(M314-(TBIcalc!$H$9+TBIcalc!$H$10),"")</f>
        <v>1.9211999999999998</v>
      </c>
      <c r="O314" s="378">
        <f>AVERAGE(Ashed_controlls!$K$2:$K$11)</f>
        <v>5.5147656768714146</v>
      </c>
      <c r="P314" s="223">
        <f t="shared" si="21"/>
        <v>1.8152503218159461</v>
      </c>
      <c r="Q314" s="223">
        <f>IFERROR(INDEX('Both teabags AfterWet'!$C$3:$C$840,MATCH(L314,'Both teabags AfterWet'!$A$3:$A$840,0)),"")</f>
        <v>0.17</v>
      </c>
      <c r="R314" s="223">
        <f>IFERROR(IF(Q314&gt;0,Q314-(TBIcalc!$H$9),""),"")</f>
        <v>1.9400000000000001E-2</v>
      </c>
      <c r="S314" s="223">
        <f>IFERROR(INDEX('Ashed teabags wet'!$K$2:$K$2000,MATCH(L314,'Ashed teabags wet'!$A$2:$A$2000,0)),"")</f>
        <v>0</v>
      </c>
      <c r="T314" s="223">
        <f t="shared" si="22"/>
        <v>1.9400000000000001E-2</v>
      </c>
      <c r="U314" s="224">
        <f>'WetLitterbags placem_collection'!E95</f>
        <v>42767</v>
      </c>
      <c r="V314" s="224">
        <f>IF('WetLitterbags placem_collection'!G95="","",'WetLitterbags placem_collection'!G95)</f>
        <v>42819</v>
      </c>
      <c r="W314" s="225">
        <f t="shared" si="20"/>
        <v>52</v>
      </c>
      <c r="X314" s="223">
        <f t="shared" si="23"/>
        <v>1.9017999999999997</v>
      </c>
      <c r="Y314" s="223">
        <f t="shared" si="24"/>
        <v>1.7958503218159461</v>
      </c>
      <c r="Z314">
        <f>IFERROR(INDEX([1]Rainfall_Wet!$O$2:$O$217,MATCH(C314, [1]Rainfall_Wet!$A$2:$A$217,0)),"")</f>
        <v>194.93009798400001</v>
      </c>
      <c r="AA314" s="226">
        <v>28.145762029394</v>
      </c>
      <c r="AB314" s="226">
        <v>25.085564727199518</v>
      </c>
      <c r="AC314" s="226">
        <v>46.768673243406489</v>
      </c>
      <c r="AD314" s="227" t="s">
        <v>2651</v>
      </c>
      <c r="AE314" s="226">
        <v>6.1716214884179399</v>
      </c>
      <c r="AF314">
        <f>IF('WetLitterbags placem_collection'!AB95="","",'WetLitterbags placem_collection'!AB95)</f>
        <v>6.6</v>
      </c>
      <c r="AG314">
        <f>IF('WetLitterbags placem_collection'!Z95="","",'WetLitterbags placem_collection'!Z95)</f>
        <v>40</v>
      </c>
      <c r="AH314" s="236" t="str">
        <f>IF('WetLitterbags placem_collection'!AA95="","",'WetLitterbags placem_collection'!AA95)</f>
        <v>O</v>
      </c>
      <c r="AI314">
        <f>IF('WetLitterbags placem_collection'!AC95="","",'WetLitterbags placem_collection'!AC95)</f>
        <v>1</v>
      </c>
      <c r="AJ314" s="233">
        <f>AVERAGE('WetLitterbags placem_collection'!S95,'WetLitterbags placem_collection'!U95)</f>
        <v>25.25</v>
      </c>
      <c r="AK314">
        <f>AVERAGE('WetLitterbags placem_collection'!R95,'WetLitterbags placem_collection'!T95)</f>
        <v>23.5</v>
      </c>
      <c r="AL314">
        <f>INDEX([2]Coordinates!$B$2:$B$197,MATCH(I314,[2]Coordinates!$J$2:$J$197,0))</f>
        <v>-3.2964789680000002</v>
      </c>
      <c r="AM314">
        <f>INDEX([2]Coordinates!$C$2:$C$197,MATCH(I314,[2]Coordinates!$J$2:$J$197,0))</f>
        <v>34.854331000000002</v>
      </c>
      <c r="AN314" t="str">
        <f>IF(ISNUMBER(SEARCH("C", 'WetLitterbags placem_collection'!$W95)),"YES","NO")</f>
        <v>NO</v>
      </c>
      <c r="AO314" t="str">
        <f>IF(ISNUMBER(SEARCH("H", 'WetLitterbags placem_collection'!$W95)),"YES","NO")</f>
        <v>YES</v>
      </c>
      <c r="AP314" t="str">
        <f>IF(ISNUMBER(SEARCH("R", 'WetLitterbags placem_collection'!$W95)),"YES","NO")</f>
        <v>NO</v>
      </c>
    </row>
    <row r="315" spans="1:42" ht="15" customHeight="1">
      <c r="A315" t="s">
        <v>3248</v>
      </c>
      <c r="B315" s="248" t="s">
        <v>2454</v>
      </c>
      <c r="C315" s="253">
        <f>'Dry_Litterbag Placem_Collection'!A96</f>
        <v>94</v>
      </c>
      <c r="D315" s="253" t="str">
        <f>'Dry_Litterbag Placem_Collection'!B96</f>
        <v>Maswa</v>
      </c>
      <c r="E315" s="253" t="s">
        <v>2643</v>
      </c>
      <c r="F315" s="253" t="s">
        <v>2645</v>
      </c>
      <c r="G315" s="253">
        <v>4</v>
      </c>
      <c r="H315" s="253" t="s">
        <v>3115</v>
      </c>
      <c r="I315" s="254" t="str">
        <f>'Dry_Litterbag Placem_Collection'!C96</f>
        <v>Dry_W4_T6</v>
      </c>
      <c r="J315" s="255" t="s">
        <v>2525</v>
      </c>
      <c r="K315" s="262" t="s">
        <v>298</v>
      </c>
      <c r="L315" s="221" t="str">
        <f>'WetLitterbags placem_collection'!M96</f>
        <v>R244</v>
      </c>
      <c r="M315" s="223">
        <f>IFERROR(INDEX('Green_rooibos initial weight'!$C$5:$C$2000,MATCH(L315, 'Green_rooibos initial weight'!$A$5:$A$2000,0)),"")</f>
        <v>2.2490000000000001</v>
      </c>
      <c r="N315" s="223">
        <f>IFERROR(M315-(TBIcalc!$H$9+TBIcalc!$H$10),"")</f>
        <v>1.9992000000000001</v>
      </c>
      <c r="O315" s="378">
        <f>AVERAGE(Ashed_controlls!$K$2:$K$11)</f>
        <v>5.5147656768714146</v>
      </c>
      <c r="P315" s="223">
        <f t="shared" si="21"/>
        <v>1.8889488045879868</v>
      </c>
      <c r="Q315" s="223" t="str">
        <f>IFERROR(INDEX('Both teabags AfterWet'!$C$3:$C$840,MATCH(L315,'Both teabags AfterWet'!$A$3:$A$840,0)),"")</f>
        <v/>
      </c>
      <c r="R315" s="223" t="str">
        <f>IFERROR(IF(Q315&gt;0,Q315-(TBIcalc!$H$9),""),"")</f>
        <v/>
      </c>
      <c r="S315" s="223" t="str">
        <f>IFERROR(INDEX('Ashed teabags wet'!$K$2:$K$2000,MATCH(L315,'Ashed teabags wet'!$A$2:$A$2000,0)),"")</f>
        <v/>
      </c>
      <c r="T315" s="223" t="str">
        <f t="shared" si="22"/>
        <v/>
      </c>
      <c r="U315" s="224">
        <f>'WetLitterbags placem_collection'!E96</f>
        <v>42767</v>
      </c>
      <c r="V315" s="224">
        <f>IF('WetLitterbags placem_collection'!G96="","",'WetLitterbags placem_collection'!G96)</f>
        <v>42819</v>
      </c>
      <c r="W315" s="225">
        <f t="shared" si="20"/>
        <v>52</v>
      </c>
      <c r="X315" s="223" t="str">
        <f t="shared" si="23"/>
        <v/>
      </c>
      <c r="Y315" s="223" t="str">
        <f t="shared" si="24"/>
        <v/>
      </c>
      <c r="Z315" t="str">
        <f>IFERROR(INDEX([1]Rainfall_Wet!$O$2:$O$217,MATCH(C315, [1]Rainfall_Wet!$A$2:$A$217,0)),"")</f>
        <v/>
      </c>
      <c r="AA315" s="226">
        <v>28.145762029394</v>
      </c>
      <c r="AB315" s="226">
        <v>25.085564727199518</v>
      </c>
      <c r="AC315" s="226">
        <v>46.768673243406489</v>
      </c>
      <c r="AD315" s="227" t="s">
        <v>2651</v>
      </c>
      <c r="AE315" s="226">
        <v>7.1716214884179399</v>
      </c>
      <c r="AF315" t="str">
        <f>IF('WetLitterbags placem_collection'!AB96="","",'WetLitterbags placem_collection'!AB96)</f>
        <v/>
      </c>
      <c r="AG315" t="str">
        <f>IF('WetLitterbags placem_collection'!Z96="","",'WetLitterbags placem_collection'!Z96)</f>
        <v/>
      </c>
      <c r="AH315" s="236" t="str">
        <f>IF('WetLitterbags placem_collection'!AA96="","",'WetLitterbags placem_collection'!AA96)</f>
        <v/>
      </c>
      <c r="AI315" t="str">
        <f>IF('WetLitterbags placem_collection'!AC96="","",'WetLitterbags placem_collection'!AC96)</f>
        <v/>
      </c>
      <c r="AJ315" s="233">
        <f>AVERAGE('WetLitterbags placem_collection'!S96,'WetLitterbags placem_collection'!U96)</f>
        <v>36.200000000000003</v>
      </c>
      <c r="AK315">
        <f>AVERAGE('WetLitterbags placem_collection'!R96,'WetLitterbags placem_collection'!T96)</f>
        <v>22</v>
      </c>
      <c r="AL315">
        <f>INDEX([2]Coordinates!$B$2:$B$197,MATCH(I315,[2]Coordinates!$J$2:$J$197,0))</f>
        <v>-3.2964649700000002</v>
      </c>
      <c r="AM315">
        <f>INDEX([2]Coordinates!$C$2:$C$197,MATCH(I315,[2]Coordinates!$J$2:$J$197,0))</f>
        <v>34.854340970000003</v>
      </c>
      <c r="AN315" t="str">
        <f>IF(ISNUMBER(SEARCH("C", 'WetLitterbags placem_collection'!$W96)),"YES","NO")</f>
        <v>NO</v>
      </c>
      <c r="AO315" t="str">
        <f>IF(ISNUMBER(SEARCH("H", 'WetLitterbags placem_collection'!$W96)),"YES","NO")</f>
        <v>NO</v>
      </c>
      <c r="AP315" t="str">
        <f>IF(ISNUMBER(SEARCH("R", 'WetLitterbags placem_collection'!$W96)),"YES","NO")</f>
        <v>NO</v>
      </c>
    </row>
    <row r="316" spans="1:42" ht="15" customHeight="1">
      <c r="A316" t="s">
        <v>3248</v>
      </c>
      <c r="B316" s="248" t="s">
        <v>2454</v>
      </c>
      <c r="C316" s="253">
        <f>'Dry_Litterbag Placem_Collection'!A97</f>
        <v>95</v>
      </c>
      <c r="D316" s="253" t="str">
        <f>'Dry_Litterbag Placem_Collection'!B97</f>
        <v>Maswa</v>
      </c>
      <c r="E316" s="253" t="s">
        <v>2643</v>
      </c>
      <c r="F316" s="253" t="s">
        <v>2645</v>
      </c>
      <c r="G316" s="253">
        <v>4</v>
      </c>
      <c r="H316" s="253" t="s">
        <v>3115</v>
      </c>
      <c r="I316" s="254" t="str">
        <f>'Dry_Litterbag Placem_Collection'!C97</f>
        <v>Dry_W4_T7</v>
      </c>
      <c r="J316" s="255" t="s">
        <v>2525</v>
      </c>
      <c r="K316" s="262" t="s">
        <v>298</v>
      </c>
      <c r="L316" s="221" t="str">
        <f>'WetLitterbags placem_collection'!M97</f>
        <v>R360</v>
      </c>
      <c r="M316" s="223">
        <f>IFERROR(INDEX('Green_rooibos initial weight'!$C$5:$C$2000,MATCH(L316, 'Green_rooibos initial weight'!$A$5:$A$2000,0)),"")</f>
        <v>2.206</v>
      </c>
      <c r="N316" s="223">
        <f>IFERROR(M316-(TBIcalc!$H$9+TBIcalc!$H$10),"")</f>
        <v>1.9561999999999999</v>
      </c>
      <c r="O316" s="378">
        <f>AVERAGE(Ashed_controlls!$K$2:$K$11)</f>
        <v>5.5147656768714146</v>
      </c>
      <c r="P316" s="223">
        <f t="shared" si="21"/>
        <v>1.8483201538290412</v>
      </c>
      <c r="Q316" s="223">
        <f>IFERROR(INDEX('Both teabags AfterWet'!$C$3:$C$840,MATCH(L316,'Both teabags AfterWet'!$A$3:$A$840,0)),"")</f>
        <v>0.45800000000000002</v>
      </c>
      <c r="R316" s="223">
        <f>IFERROR(IF(Q316&gt;0,Q316-(TBIcalc!$H$9),""),"")</f>
        <v>0.30740000000000001</v>
      </c>
      <c r="S316" s="223">
        <f>IFERROR(INDEX('Ashed teabags wet'!$K$2:$K$2000,MATCH(L316,'Ashed teabags wet'!$A$2:$A$2000,0)),"")</f>
        <v>89.327146171693883</v>
      </c>
      <c r="T316" s="223">
        <f t="shared" si="22"/>
        <v>3.2808352668213026E-2</v>
      </c>
      <c r="U316" s="224">
        <f>'WetLitterbags placem_collection'!E97</f>
        <v>42767</v>
      </c>
      <c r="V316" s="224">
        <f>IF('WetLitterbags placem_collection'!G97="","",'WetLitterbags placem_collection'!G97)</f>
        <v>42819</v>
      </c>
      <c r="W316" s="225">
        <f t="shared" si="20"/>
        <v>52</v>
      </c>
      <c r="X316" s="223">
        <f t="shared" si="23"/>
        <v>1.6488</v>
      </c>
      <c r="Y316" s="223">
        <f t="shared" si="24"/>
        <v>1.8155118011608282</v>
      </c>
      <c r="Z316">
        <f>IFERROR(INDEX([1]Rainfall_Wet!$O$2:$O$217,MATCH(C316, [1]Rainfall_Wet!$A$2:$A$217,0)),"")</f>
        <v>194.93009798400001</v>
      </c>
      <c r="AA316" s="226">
        <v>28.145762029394</v>
      </c>
      <c r="AB316" s="226">
        <v>25.085564727199518</v>
      </c>
      <c r="AC316" s="226">
        <v>46.768673243406489</v>
      </c>
      <c r="AD316" s="227" t="s">
        <v>2651</v>
      </c>
      <c r="AE316" s="226">
        <v>8.1716214884179408</v>
      </c>
      <c r="AF316">
        <f>IF('WetLitterbags placem_collection'!AB97="","",'WetLitterbags placem_collection'!AB97)</f>
        <v>5.4</v>
      </c>
      <c r="AG316">
        <f>IF('WetLitterbags placem_collection'!Z97="","",'WetLitterbags placem_collection'!Z97)</f>
        <v>15.2</v>
      </c>
      <c r="AH316" s="236" t="str">
        <f>IF('WetLitterbags placem_collection'!AA97="","",'WetLitterbags placem_collection'!AA97)</f>
        <v>O</v>
      </c>
      <c r="AI316">
        <f>IF('WetLitterbags placem_collection'!AC97="","",'WetLitterbags placem_collection'!AC97)</f>
        <v>0</v>
      </c>
      <c r="AJ316" s="233">
        <f>AVERAGE('WetLitterbags placem_collection'!S97,'WetLitterbags placem_collection'!U97)</f>
        <v>28.85</v>
      </c>
      <c r="AK316">
        <f>AVERAGE('WetLitterbags placem_collection'!R97,'WetLitterbags placem_collection'!T97)</f>
        <v>23.2</v>
      </c>
      <c r="AL316">
        <f>INDEX([2]Coordinates!$B$2:$B$197,MATCH(I316,[2]Coordinates!$J$2:$J$197,0))</f>
        <v>-3.296725983</v>
      </c>
      <c r="AM316">
        <f>INDEX([2]Coordinates!$C$2:$C$197,MATCH(I316,[2]Coordinates!$J$2:$J$197,0))</f>
        <v>34.854216000000001</v>
      </c>
      <c r="AN316" t="str">
        <f>IF(ISNUMBER(SEARCH("C", 'WetLitterbags placem_collection'!$W97)),"YES","NO")</f>
        <v>NO</v>
      </c>
      <c r="AO316" t="str">
        <f>IF(ISNUMBER(SEARCH("H", 'WetLitterbags placem_collection'!$W97)),"YES","NO")</f>
        <v>YES</v>
      </c>
      <c r="AP316" t="str">
        <f>IF(ISNUMBER(SEARCH("R", 'WetLitterbags placem_collection'!$W97)),"YES","NO")</f>
        <v>YES</v>
      </c>
    </row>
    <row r="317" spans="1:42" ht="15" customHeight="1">
      <c r="A317" t="s">
        <v>3248</v>
      </c>
      <c r="B317" s="248" t="s">
        <v>2454</v>
      </c>
      <c r="C317" s="253">
        <f>'Dry_Litterbag Placem_Collection'!A98</f>
        <v>96</v>
      </c>
      <c r="D317" s="253" t="str">
        <f>'Dry_Litterbag Placem_Collection'!B98</f>
        <v>Maswa</v>
      </c>
      <c r="E317" s="253" t="s">
        <v>2643</v>
      </c>
      <c r="F317" s="253" t="s">
        <v>2645</v>
      </c>
      <c r="G317" s="253">
        <v>4</v>
      </c>
      <c r="H317" s="253" t="s">
        <v>3115</v>
      </c>
      <c r="I317" s="254" t="str">
        <f>'Dry_Litterbag Placem_Collection'!C98</f>
        <v>Dry_W4_T8</v>
      </c>
      <c r="J317" s="255" t="s">
        <v>2525</v>
      </c>
      <c r="K317" s="262" t="s">
        <v>298</v>
      </c>
      <c r="L317" s="221" t="str">
        <f>'WetLitterbags placem_collection'!M98</f>
        <v>R318</v>
      </c>
      <c r="M317" s="223">
        <f>IFERROR(INDEX('Green_rooibos initial weight'!$C$5:$C$2000,MATCH(L317, 'Green_rooibos initial weight'!$A$5:$A$2000,0)),"")</f>
        <v>2.23</v>
      </c>
      <c r="N317" s="223">
        <f>IFERROR(M317-(TBIcalc!$H$9+TBIcalc!$H$10),"")</f>
        <v>1.9802</v>
      </c>
      <c r="O317" s="378">
        <f>AVERAGE(Ashed_controlls!$K$2:$K$11)</f>
        <v>5.5147656768714146</v>
      </c>
      <c r="P317" s="223">
        <f t="shared" si="21"/>
        <v>1.8709966100665922</v>
      </c>
      <c r="Q317" s="223">
        <f>IFERROR(INDEX('Both teabags AfterWet'!$C$3:$C$840,MATCH(L317,'Both teabags AfterWet'!$A$3:$A$840,0)),"")</f>
        <v>1.748</v>
      </c>
      <c r="R317" s="223">
        <f>IFERROR(IF(Q317&gt;0,Q317-(TBIcalc!$H$9),""),"")</f>
        <v>1.5973999999999999</v>
      </c>
      <c r="S317" s="223">
        <f>IFERROR(INDEX('Ashed teabags wet'!$K$2:$K$2000,MATCH(L317,'Ashed teabags wet'!$A$2:$A$2000,0)),"")</f>
        <v>11.127670144063339</v>
      </c>
      <c r="T317" s="223">
        <f t="shared" si="22"/>
        <v>1.4196465971187322</v>
      </c>
      <c r="U317" s="224">
        <f>'WetLitterbags placem_collection'!E98</f>
        <v>42767</v>
      </c>
      <c r="V317" s="224">
        <f>IF('WetLitterbags placem_collection'!G98="","",'WetLitterbags placem_collection'!G98)</f>
        <v>42819</v>
      </c>
      <c r="W317" s="225">
        <f t="shared" si="20"/>
        <v>52</v>
      </c>
      <c r="X317" s="223">
        <f t="shared" si="23"/>
        <v>0.38280000000000003</v>
      </c>
      <c r="Y317" s="223">
        <f t="shared" si="24"/>
        <v>0.45135001294786004</v>
      </c>
      <c r="Z317">
        <f>IFERROR(INDEX([1]Rainfall_Wet!$O$2:$O$217,MATCH(C317, [1]Rainfall_Wet!$A$2:$A$217,0)),"")</f>
        <v>194.93009798400001</v>
      </c>
      <c r="AA317" s="226">
        <v>28.145762029394</v>
      </c>
      <c r="AB317" s="226">
        <v>25.085564727199518</v>
      </c>
      <c r="AC317" s="226">
        <v>46.768673243406489</v>
      </c>
      <c r="AD317" s="227" t="s">
        <v>2651</v>
      </c>
      <c r="AE317" s="226">
        <v>9.1716214884179408</v>
      </c>
      <c r="AF317">
        <f>IF('WetLitterbags placem_collection'!AB98="","",'WetLitterbags placem_collection'!AB98)</f>
        <v>4</v>
      </c>
      <c r="AG317">
        <f>IF('WetLitterbags placem_collection'!Z98="","",'WetLitterbags placem_collection'!Z98)</f>
        <v>34.4</v>
      </c>
      <c r="AH317" s="236" t="str">
        <f>IF('WetLitterbags placem_collection'!AA98="","",'WetLitterbags placem_collection'!AA98)</f>
        <v>O</v>
      </c>
      <c r="AI317">
        <f>IF('WetLitterbags placem_collection'!AC98="","",'WetLitterbags placem_collection'!AC98)</f>
        <v>0</v>
      </c>
      <c r="AJ317" s="233">
        <f>AVERAGE('WetLitterbags placem_collection'!S98,'WetLitterbags placem_collection'!U98)</f>
        <v>16.799999999999997</v>
      </c>
      <c r="AK317">
        <f>AVERAGE('WetLitterbags placem_collection'!R98,'WetLitterbags placem_collection'!T98)</f>
        <v>24.3</v>
      </c>
      <c r="AL317">
        <f>INDEX([2]Coordinates!$B$2:$B$197,MATCH(I317,[2]Coordinates!$J$2:$J$197,0))</f>
        <v>-3.2968360369999998</v>
      </c>
      <c r="AM317">
        <f>INDEX([2]Coordinates!$C$2:$C$197,MATCH(I317,[2]Coordinates!$J$2:$J$197,0))</f>
        <v>34.854462009999999</v>
      </c>
      <c r="AN317" t="str">
        <f>IF(ISNUMBER(SEARCH("C", 'WetLitterbags placem_collection'!$W98)),"YES","NO")</f>
        <v>YES</v>
      </c>
      <c r="AO317" t="str">
        <f>IF(ISNUMBER(SEARCH("H", 'WetLitterbags placem_collection'!$W98)),"YES","NO")</f>
        <v>YES</v>
      </c>
      <c r="AP317" t="str">
        <f>IF(ISNUMBER(SEARCH("R", 'WetLitterbags placem_collection'!$W98)),"YES","NO")</f>
        <v>NO</v>
      </c>
    </row>
    <row r="318" spans="1:42" ht="15" customHeight="1">
      <c r="A318" t="s">
        <v>3248</v>
      </c>
      <c r="B318" s="248" t="s">
        <v>2454</v>
      </c>
      <c r="C318" s="253">
        <f>'Dry_Litterbag Placem_Collection'!A99</f>
        <v>97</v>
      </c>
      <c r="D318" s="253" t="str">
        <f>'Dry_Litterbag Placem_Collection'!B99</f>
        <v xml:space="preserve">Mwantimba
</v>
      </c>
      <c r="E318" s="253" t="s">
        <v>2454</v>
      </c>
      <c r="F318" s="253" t="s">
        <v>2644</v>
      </c>
      <c r="G318" s="253">
        <v>1</v>
      </c>
      <c r="H318" s="253" t="s">
        <v>3116</v>
      </c>
      <c r="I318" s="254" t="str">
        <f>'Dry_Litterbag Placem_Collection'!C99</f>
        <v>Wet_Ag1_T1</v>
      </c>
      <c r="J318" s="255" t="s">
        <v>2525</v>
      </c>
      <c r="K318" s="262" t="s">
        <v>298</v>
      </c>
      <c r="L318" s="221" t="str">
        <f>'WetLitterbags placem_collection'!M99</f>
        <v>R518</v>
      </c>
      <c r="M318" s="223">
        <f>IFERROR(INDEX('Green_rooibos initial weight'!$C$5:$C$2000,MATCH(L318, 'Green_rooibos initial weight'!$A$5:$A$2000,0)),"")</f>
        <v>2.198</v>
      </c>
      <c r="N318" s="223">
        <f>IFERROR(M318-(TBIcalc!$H$9+TBIcalc!$H$10),"")</f>
        <v>1.9481999999999999</v>
      </c>
      <c r="O318" s="378">
        <f>AVERAGE(Ashed_controlls!$K$2:$K$11)</f>
        <v>5.5147656768714146</v>
      </c>
      <c r="P318" s="223">
        <f t="shared" si="21"/>
        <v>1.8407613350831911</v>
      </c>
      <c r="Q318" s="223">
        <f>IFERROR(INDEX('Both teabags AfterWet'!$C$3:$C$840,MATCH(L318,'Both teabags AfterWet'!$A$3:$A$840,0)),"")</f>
        <v>0</v>
      </c>
      <c r="R318" s="223" t="str">
        <f>IFERROR(IF(Q318&gt;0,Q318-(TBIcalc!$H$9),""),"")</f>
        <v/>
      </c>
      <c r="S318" s="223">
        <f>IFERROR(INDEX('Ashed teabags wet'!$K$2:$K$2000,MATCH(L318,'Ashed teabags wet'!$A$2:$A$2000,0)),"")</f>
        <v>0</v>
      </c>
      <c r="T318" s="223" t="str">
        <f t="shared" si="22"/>
        <v/>
      </c>
      <c r="U318" s="224">
        <f>'WetLitterbags placem_collection'!E99</f>
        <v>42762</v>
      </c>
      <c r="V318" s="224">
        <f>IF('WetLitterbags placem_collection'!G99="","",'WetLitterbags placem_collection'!G99)</f>
        <v>42816</v>
      </c>
      <c r="W318" s="225">
        <f t="shared" si="20"/>
        <v>54</v>
      </c>
      <c r="X318" s="223" t="str">
        <f t="shared" si="23"/>
        <v/>
      </c>
      <c r="Y318" s="223" t="str">
        <f t="shared" si="24"/>
        <v/>
      </c>
      <c r="Z318">
        <f>IFERROR(INDEX([1]Rainfall_Wet!$O$2:$O$217,MATCH(C318, [1]Rainfall_Wet!$A$2:$A$217,0)),"")</f>
        <v>206.85140822299999</v>
      </c>
      <c r="AA318" s="226">
        <v>45.96</v>
      </c>
      <c r="AB318" s="226">
        <v>14.920000000000003</v>
      </c>
      <c r="AC318" s="226">
        <v>39.119999999999997</v>
      </c>
      <c r="AD318" s="227" t="s">
        <v>2654</v>
      </c>
      <c r="AE318" s="226">
        <v>2.0374568753080333</v>
      </c>
      <c r="AF318">
        <f>IF('WetLitterbags placem_collection'!AB99="","",'WetLitterbags placem_collection'!AB99)</f>
        <v>2.4</v>
      </c>
      <c r="AG318">
        <f>IF('WetLitterbags placem_collection'!Z99="","",'WetLitterbags placem_collection'!Z99)</f>
        <v>8.9</v>
      </c>
      <c r="AH318" s="236" t="str">
        <f>IF('WetLitterbags placem_collection'!AA99="","",'WetLitterbags placem_collection'!AA99)</f>
        <v>G</v>
      </c>
      <c r="AI318">
        <f>IF('WetLitterbags placem_collection'!AC99="","",'WetLitterbags placem_collection'!AC99)</f>
        <v>1</v>
      </c>
      <c r="AJ318" s="233">
        <f>AVERAGE('WetLitterbags placem_collection'!S99,'WetLitterbags placem_collection'!U99)</f>
        <v>19.25</v>
      </c>
      <c r="AK318">
        <f>AVERAGE('WetLitterbags placem_collection'!R99,'WetLitterbags placem_collection'!T99)</f>
        <v>28.75</v>
      </c>
      <c r="AL318">
        <f>INDEX([2]Coordinates!$B$2:$B$197,MATCH(I318,[2]Coordinates!$J$2:$J$197,0))</f>
        <v>-2.3691620310000001</v>
      </c>
      <c r="AM318">
        <f>INDEX([2]Coordinates!$C$2:$C$197,MATCH(I318,[2]Coordinates!$J$2:$J$197,0))</f>
        <v>34.06028104</v>
      </c>
      <c r="AN318" t="str">
        <f>IF(ISNUMBER(SEARCH("C", 'WetLitterbags placem_collection'!$W99)),"YES","NO")</f>
        <v>YES</v>
      </c>
      <c r="AO318" t="str">
        <f>IF(ISNUMBER(SEARCH("H", 'WetLitterbags placem_collection'!$W99)),"YES","NO")</f>
        <v>YES</v>
      </c>
      <c r="AP318" t="str">
        <f>IF(ISNUMBER(SEARCH("R", 'WetLitterbags placem_collection'!$W99)),"YES","NO")</f>
        <v>NO</v>
      </c>
    </row>
    <row r="319" spans="1:42" ht="15" customHeight="1">
      <c r="A319" t="s">
        <v>3248</v>
      </c>
      <c r="B319" s="248" t="s">
        <v>2454</v>
      </c>
      <c r="C319" s="253">
        <f>'Dry_Litterbag Placem_Collection'!A100</f>
        <v>98</v>
      </c>
      <c r="D319" s="253" t="str">
        <f>'Dry_Litterbag Placem_Collection'!B100</f>
        <v xml:space="preserve">Mwantimba
</v>
      </c>
      <c r="E319" s="253" t="s">
        <v>2454</v>
      </c>
      <c r="F319" s="253" t="s">
        <v>2644</v>
      </c>
      <c r="G319" s="253">
        <v>1</v>
      </c>
      <c r="H319" s="253" t="s">
        <v>3116</v>
      </c>
      <c r="I319" s="254" t="str">
        <f>'Dry_Litterbag Placem_Collection'!C100</f>
        <v>Wet_Ag1_T2</v>
      </c>
      <c r="J319" s="255" t="s">
        <v>2525</v>
      </c>
      <c r="K319" s="262" t="s">
        <v>298</v>
      </c>
      <c r="L319" s="221" t="str">
        <f>'WetLitterbags placem_collection'!M100</f>
        <v>R489</v>
      </c>
      <c r="M319" s="223">
        <f>IFERROR(INDEX('Green_rooibos initial weight'!$C$5:$C$2000,MATCH(L319, 'Green_rooibos initial weight'!$A$5:$A$2000,0)),"")</f>
        <v>2.157</v>
      </c>
      <c r="N319" s="223">
        <f>IFERROR(M319-(TBIcalc!$H$9+TBIcalc!$H$10),"")</f>
        <v>1.9072</v>
      </c>
      <c r="O319" s="378">
        <f>AVERAGE(Ashed_controlls!$K$2:$K$11)</f>
        <v>5.5147656768714146</v>
      </c>
      <c r="P319" s="223">
        <f t="shared" si="21"/>
        <v>1.8020223890107083</v>
      </c>
      <c r="Q319" s="223">
        <f>IFERROR(INDEX('Both teabags AfterWet'!$C$3:$C$840,MATCH(L319,'Both teabags AfterWet'!$A$3:$A$840,0)),"")</f>
        <v>1.5389999999999999</v>
      </c>
      <c r="R319" s="223">
        <f>IFERROR(IF(Q319&gt;0,Q319-(TBIcalc!$H$9),""),"")</f>
        <v>1.3883999999999999</v>
      </c>
      <c r="S319" s="223">
        <f>IFERROR(INDEX('Ashed teabags wet'!$K$2:$K$2000,MATCH(L319,'Ashed teabags wet'!$A$2:$A$2000,0)),"")</f>
        <v>12.679544328875947</v>
      </c>
      <c r="T319" s="223">
        <f t="shared" si="22"/>
        <v>1.2123572065378863</v>
      </c>
      <c r="U319" s="224">
        <f>'WetLitterbags placem_collection'!E100</f>
        <v>42762</v>
      </c>
      <c r="V319" s="224">
        <f>IF('WetLitterbags placem_collection'!G100="","",'WetLitterbags placem_collection'!G100)</f>
        <v>42816</v>
      </c>
      <c r="W319" s="225">
        <f t="shared" si="20"/>
        <v>54</v>
      </c>
      <c r="X319" s="223">
        <f t="shared" si="23"/>
        <v>0.51880000000000015</v>
      </c>
      <c r="Y319" s="223">
        <f t="shared" si="24"/>
        <v>0.58966518247282207</v>
      </c>
      <c r="Z319">
        <f>IFERROR(INDEX([1]Rainfall_Wet!$O$2:$O$217,MATCH(C319, [1]Rainfall_Wet!$A$2:$A$217,0)),"")</f>
        <v>206.85140822299999</v>
      </c>
      <c r="AA319" s="226">
        <v>45.96</v>
      </c>
      <c r="AB319" s="226">
        <v>14.920000000000003</v>
      </c>
      <c r="AC319" s="226">
        <v>39.119999999999997</v>
      </c>
      <c r="AD319" s="227" t="s">
        <v>2654</v>
      </c>
      <c r="AE319" s="226">
        <v>3.0374568753080302</v>
      </c>
      <c r="AF319">
        <f>IF('WetLitterbags placem_collection'!AB100="","",'WetLitterbags placem_collection'!AB100)</f>
        <v>7.8</v>
      </c>
      <c r="AG319">
        <f>IF('WetLitterbags placem_collection'!Z100="","",'WetLitterbags placem_collection'!Z100)</f>
        <v>4.45</v>
      </c>
      <c r="AH319" s="236" t="str">
        <f>IF('WetLitterbags placem_collection'!AA100="","",'WetLitterbags placem_collection'!AA100)</f>
        <v>G</v>
      </c>
      <c r="AI319">
        <f>IF('WetLitterbags placem_collection'!AC100="","",'WetLitterbags placem_collection'!AC100)</f>
        <v>1</v>
      </c>
      <c r="AJ319" s="233">
        <f>AVERAGE('WetLitterbags placem_collection'!S100,'WetLitterbags placem_collection'!U100)</f>
        <v>22.25</v>
      </c>
      <c r="AK319">
        <f>AVERAGE('WetLitterbags placem_collection'!R100,'WetLitterbags placem_collection'!T100)</f>
        <v>29.85</v>
      </c>
      <c r="AL319">
        <f>INDEX([2]Coordinates!$B$2:$B$197,MATCH(I319,[2]Coordinates!$J$2:$J$197,0))</f>
        <v>-2.3692249790000002</v>
      </c>
      <c r="AM319">
        <f>INDEX([2]Coordinates!$C$2:$C$197,MATCH(I319,[2]Coordinates!$J$2:$J$197,0))</f>
        <v>34.060285989999997</v>
      </c>
      <c r="AN319" t="str">
        <f>IF(ISNUMBER(SEARCH("C", 'WetLitterbags placem_collection'!$W100)),"YES","NO")</f>
        <v>NO</v>
      </c>
      <c r="AO319" t="str">
        <f>IF(ISNUMBER(SEARCH("H", 'WetLitterbags placem_collection'!$W100)),"YES","NO")</f>
        <v>NO</v>
      </c>
      <c r="AP319" t="str">
        <f>IF(ISNUMBER(SEARCH("R", 'WetLitterbags placem_collection'!$W100)),"YES","NO")</f>
        <v>NO</v>
      </c>
    </row>
    <row r="320" spans="1:42" ht="15" customHeight="1">
      <c r="A320" t="s">
        <v>3248</v>
      </c>
      <c r="B320" s="248" t="s">
        <v>2454</v>
      </c>
      <c r="C320" s="253">
        <f>'Dry_Litterbag Placem_Collection'!A101</f>
        <v>99</v>
      </c>
      <c r="D320" s="253" t="str">
        <f>'Dry_Litterbag Placem_Collection'!B101</f>
        <v xml:space="preserve">Mwantimba
</v>
      </c>
      <c r="E320" s="253" t="s">
        <v>2454</v>
      </c>
      <c r="F320" s="253" t="s">
        <v>2644</v>
      </c>
      <c r="G320" s="253">
        <v>1</v>
      </c>
      <c r="H320" s="253" t="s">
        <v>3116</v>
      </c>
      <c r="I320" s="254" t="str">
        <f>'Dry_Litterbag Placem_Collection'!C101</f>
        <v>Wet_Ag1_T3</v>
      </c>
      <c r="J320" s="255" t="s">
        <v>2525</v>
      </c>
      <c r="K320" s="262" t="s">
        <v>298</v>
      </c>
      <c r="L320" s="221" t="str">
        <f>'WetLitterbags placem_collection'!M101</f>
        <v>R549</v>
      </c>
      <c r="M320" s="223">
        <f>IFERROR(INDEX('Green_rooibos initial weight'!$C$5:$C$2000,MATCH(L320, 'Green_rooibos initial weight'!$A$5:$A$2000,0)),"")</f>
        <v>2.2320000000000002</v>
      </c>
      <c r="N320" s="223">
        <f>IFERROR(M320-(TBIcalc!$H$9+TBIcalc!$H$10),"")</f>
        <v>1.9822000000000002</v>
      </c>
      <c r="O320" s="378">
        <f>AVERAGE(Ashed_controlls!$K$2:$K$11)</f>
        <v>5.5147656768714146</v>
      </c>
      <c r="P320" s="223">
        <f t="shared" si="21"/>
        <v>1.872886314753055</v>
      </c>
      <c r="Q320" s="223">
        <f>IFERROR(INDEX('Both teabags AfterWet'!$C$3:$C$840,MATCH(L320,'Both teabags AfterWet'!$A$3:$A$840,0)),"")</f>
        <v>1.5992</v>
      </c>
      <c r="R320" s="223">
        <f>IFERROR(IF(Q320&gt;0,Q320-(TBIcalc!$H$9),""),"")</f>
        <v>1.4485999999999999</v>
      </c>
      <c r="S320" s="223">
        <f>IFERROR(INDEX('Ashed teabags wet'!$K$2:$K$2000,MATCH(L320,'Ashed teabags wet'!$A$2:$A$2000,0)),"")</f>
        <v>3.4003831417629944</v>
      </c>
      <c r="T320" s="223">
        <f t="shared" si="22"/>
        <v>1.3993420498084213</v>
      </c>
      <c r="U320" s="224">
        <f>'WetLitterbags placem_collection'!E101</f>
        <v>42762</v>
      </c>
      <c r="V320" s="224">
        <f>IF('WetLitterbags placem_collection'!G101="","",'WetLitterbags placem_collection'!G101)</f>
        <v>42816</v>
      </c>
      <c r="W320" s="225">
        <f t="shared" si="20"/>
        <v>54</v>
      </c>
      <c r="X320" s="223">
        <f t="shared" si="23"/>
        <v>0.5336000000000003</v>
      </c>
      <c r="Y320" s="223">
        <f t="shared" si="24"/>
        <v>0.47354426494463375</v>
      </c>
      <c r="Z320">
        <f>IFERROR(INDEX([1]Rainfall_Wet!$O$2:$O$217,MATCH(C320, [1]Rainfall_Wet!$A$2:$A$217,0)),"")</f>
        <v>206.85140822299999</v>
      </c>
      <c r="AA320" s="226">
        <v>45.96</v>
      </c>
      <c r="AB320" s="226">
        <v>14.920000000000003</v>
      </c>
      <c r="AC320" s="226">
        <v>39.119999999999997</v>
      </c>
      <c r="AD320" s="227" t="s">
        <v>2654</v>
      </c>
      <c r="AE320" s="226">
        <v>4.0374568753080302</v>
      </c>
      <c r="AF320">
        <f>IF('WetLitterbags placem_collection'!AB101="","",'WetLitterbags placem_collection'!AB101)</f>
        <v>5.0999999999999996</v>
      </c>
      <c r="AG320">
        <f>IF('WetLitterbags placem_collection'!Z101="","",'WetLitterbags placem_collection'!Z101)</f>
        <v>2.2999999999999998</v>
      </c>
      <c r="AH320" s="236" t="str">
        <f>IF('WetLitterbags placem_collection'!AA101="","",'WetLitterbags placem_collection'!AA101)</f>
        <v>G</v>
      </c>
      <c r="AI320">
        <f>IF('WetLitterbags placem_collection'!AC101="","",'WetLitterbags placem_collection'!AC101)</f>
        <v>0</v>
      </c>
      <c r="AJ320" s="233">
        <f>AVERAGE('WetLitterbags placem_collection'!S101,'WetLitterbags placem_collection'!U101)</f>
        <v>17.95</v>
      </c>
      <c r="AK320">
        <f>AVERAGE('WetLitterbags placem_collection'!R101,'WetLitterbags placem_collection'!T101)</f>
        <v>30.85</v>
      </c>
      <c r="AL320">
        <f>INDEX([2]Coordinates!$B$2:$B$197,MATCH(I320,[2]Coordinates!$J$2:$J$197,0))</f>
        <v>-2.369284993</v>
      </c>
      <c r="AM320">
        <f>INDEX([2]Coordinates!$C$2:$C$197,MATCH(I320,[2]Coordinates!$J$2:$J$197,0))</f>
        <v>34.06028104</v>
      </c>
      <c r="AN320" t="str">
        <f>IF(ISNUMBER(SEARCH("C", 'WetLitterbags placem_collection'!$W101)),"YES","NO")</f>
        <v>NO</v>
      </c>
      <c r="AO320" t="str">
        <f>IF(ISNUMBER(SEARCH("H", 'WetLitterbags placem_collection'!$W101)),"YES","NO")</f>
        <v>NO</v>
      </c>
      <c r="AP320" t="str">
        <f>IF(ISNUMBER(SEARCH("R", 'WetLitterbags placem_collection'!$W101)),"YES","NO")</f>
        <v>YES</v>
      </c>
    </row>
    <row r="321" spans="1:42" ht="15" customHeight="1">
      <c r="A321" t="s">
        <v>3248</v>
      </c>
      <c r="B321" s="248" t="s">
        <v>2454</v>
      </c>
      <c r="C321" s="253">
        <f>'Dry_Litterbag Placem_Collection'!A102</f>
        <v>100</v>
      </c>
      <c r="D321" s="253" t="str">
        <f>'Dry_Litterbag Placem_Collection'!B102</f>
        <v xml:space="preserve">Mwantimba
</v>
      </c>
      <c r="E321" s="253" t="s">
        <v>2454</v>
      </c>
      <c r="F321" s="253" t="s">
        <v>2644</v>
      </c>
      <c r="G321" s="253">
        <v>1</v>
      </c>
      <c r="H321" s="253" t="s">
        <v>3116</v>
      </c>
      <c r="I321" s="254" t="str">
        <f>'Dry_Litterbag Placem_Collection'!C102</f>
        <v>Wet_Ag1_T4</v>
      </c>
      <c r="J321" s="255" t="s">
        <v>2525</v>
      </c>
      <c r="K321" s="262" t="s">
        <v>298</v>
      </c>
      <c r="L321" s="221" t="str">
        <f>'WetLitterbags placem_collection'!M102</f>
        <v>R500</v>
      </c>
      <c r="M321" s="223">
        <f>IFERROR(INDEX('Green_rooibos initial weight'!$C$5:$C$2000,MATCH(L321, 'Green_rooibos initial weight'!$A$5:$A$2000,0)),"")</f>
        <v>2.2069999999999999</v>
      </c>
      <c r="N321" s="223">
        <f>IFERROR(M321-(TBIcalc!$H$9+TBIcalc!$H$10),"")</f>
        <v>1.9571999999999998</v>
      </c>
      <c r="O321" s="378">
        <f>AVERAGE(Ashed_controlls!$K$2:$K$11)</f>
        <v>5.5147656768714146</v>
      </c>
      <c r="P321" s="223">
        <f t="shared" si="21"/>
        <v>1.8492650061722724</v>
      </c>
      <c r="Q321" s="223">
        <f>IFERROR(INDEX('Both teabags AfterWet'!$C$3:$C$840,MATCH(L321,'Both teabags AfterWet'!$A$3:$A$840,0)),"")</f>
        <v>1.764</v>
      </c>
      <c r="R321" s="223">
        <f>IFERROR(IF(Q321&gt;0,Q321-(TBIcalc!$H$9),""),"")</f>
        <v>1.6133999999999999</v>
      </c>
      <c r="S321" s="223">
        <f>IFERROR(INDEX('Ashed teabags wet'!$K$2:$K$2000,MATCH(L321,'Ashed teabags wet'!$A$2:$A$2000,0)),"")</f>
        <v>22.316525212181858</v>
      </c>
      <c r="T321" s="223">
        <f t="shared" si="22"/>
        <v>1.2533451822266579</v>
      </c>
      <c r="U321" s="224">
        <f>'WetLitterbags placem_collection'!E102</f>
        <v>42762</v>
      </c>
      <c r="V321" s="224">
        <f>IF('WetLitterbags placem_collection'!G102="","",'WetLitterbags placem_collection'!G102)</f>
        <v>42816</v>
      </c>
      <c r="W321" s="225">
        <f t="shared" si="20"/>
        <v>54</v>
      </c>
      <c r="X321" s="223">
        <f t="shared" si="23"/>
        <v>0.34379999999999988</v>
      </c>
      <c r="Y321" s="223">
        <f t="shared" si="24"/>
        <v>0.59591982394561449</v>
      </c>
      <c r="Z321">
        <f>IFERROR(INDEX([1]Rainfall_Wet!$O$2:$O$217,MATCH(C321, [1]Rainfall_Wet!$A$2:$A$217,0)),"")</f>
        <v>206.85140822299999</v>
      </c>
      <c r="AA321" s="226">
        <v>45.96</v>
      </c>
      <c r="AB321" s="226">
        <v>14.920000000000003</v>
      </c>
      <c r="AC321" s="226">
        <v>39.119999999999997</v>
      </c>
      <c r="AD321" s="227" t="s">
        <v>2654</v>
      </c>
      <c r="AE321" s="226">
        <v>5.0374568753080302</v>
      </c>
      <c r="AF321">
        <f>IF('WetLitterbags placem_collection'!AB102="","",'WetLitterbags placem_collection'!AB102)</f>
        <v>1.6</v>
      </c>
      <c r="AG321">
        <f>IF('WetLitterbags placem_collection'!Z102="","",'WetLitterbags placem_collection'!Z102)</f>
        <v>15</v>
      </c>
      <c r="AH321" s="236" t="str">
        <f>IF('WetLitterbags placem_collection'!AA102="","",'WetLitterbags placem_collection'!AA102)</f>
        <v>G</v>
      </c>
      <c r="AI321">
        <f>IF('WetLitterbags placem_collection'!AC102="","",'WetLitterbags placem_collection'!AC102)</f>
        <v>1</v>
      </c>
      <c r="AJ321" s="233">
        <f>AVERAGE('WetLitterbags placem_collection'!S102,'WetLitterbags placem_collection'!U102)</f>
        <v>16.5</v>
      </c>
      <c r="AK321">
        <f>AVERAGE('WetLitterbags placem_collection'!R102,'WetLitterbags placem_collection'!T102)</f>
        <v>29.85</v>
      </c>
      <c r="AL321">
        <f>INDEX([2]Coordinates!$B$2:$B$197,MATCH(I321,[2]Coordinates!$J$2:$J$197,0))</f>
        <v>-2.3691989950000001</v>
      </c>
      <c r="AM321">
        <f>INDEX([2]Coordinates!$C$2:$C$197,MATCH(I321,[2]Coordinates!$J$2:$J$197,0))</f>
        <v>34.060208029999998</v>
      </c>
      <c r="AN321" t="str">
        <f>IF(ISNUMBER(SEARCH("C", 'WetLitterbags placem_collection'!$W102)),"YES","NO")</f>
        <v>YES</v>
      </c>
      <c r="AO321" t="str">
        <f>IF(ISNUMBER(SEARCH("H", 'WetLitterbags placem_collection'!$W102)),"YES","NO")</f>
        <v>YES</v>
      </c>
      <c r="AP321" t="str">
        <f>IF(ISNUMBER(SEARCH("R", 'WetLitterbags placem_collection'!$W102)),"YES","NO")</f>
        <v>NO</v>
      </c>
    </row>
    <row r="322" spans="1:42" ht="15" customHeight="1">
      <c r="A322" t="s">
        <v>3248</v>
      </c>
      <c r="B322" s="248" t="s">
        <v>2454</v>
      </c>
      <c r="C322" s="253">
        <f>'Dry_Litterbag Placem_Collection'!A103</f>
        <v>101</v>
      </c>
      <c r="D322" s="253" t="str">
        <f>'Dry_Litterbag Placem_Collection'!B103</f>
        <v xml:space="preserve">Mwantimba
</v>
      </c>
      <c r="E322" s="253" t="s">
        <v>2454</v>
      </c>
      <c r="F322" s="253" t="s">
        <v>2644</v>
      </c>
      <c r="G322" s="253">
        <v>1</v>
      </c>
      <c r="H322" s="253" t="s">
        <v>3116</v>
      </c>
      <c r="I322" s="254" t="str">
        <f>'Dry_Litterbag Placem_Collection'!C103</f>
        <v>Wet_Ag1_T5</v>
      </c>
      <c r="J322" s="255" t="s">
        <v>2525</v>
      </c>
      <c r="K322" s="262" t="s">
        <v>298</v>
      </c>
      <c r="L322" s="221" t="str">
        <f>'WetLitterbags placem_collection'!M103</f>
        <v>R482</v>
      </c>
      <c r="M322" s="223">
        <f>IFERROR(INDEX('Green_rooibos initial weight'!$C$5:$C$2000,MATCH(L322, 'Green_rooibos initial weight'!$A$5:$A$2000,0)),"")</f>
        <v>2.17</v>
      </c>
      <c r="N322" s="223">
        <f>IFERROR(M322-(TBIcalc!$H$9+TBIcalc!$H$10),"")</f>
        <v>1.9201999999999999</v>
      </c>
      <c r="O322" s="378">
        <f>AVERAGE(Ashed_controlls!$K$2:$K$11)</f>
        <v>5.5147656768714146</v>
      </c>
      <c r="P322" s="223">
        <f t="shared" si="21"/>
        <v>1.814305469472715</v>
      </c>
      <c r="Q322" s="223">
        <f>IFERROR(INDEX('Both teabags AfterWet'!$C$3:$C$840,MATCH(L322,'Both teabags AfterWet'!$A$3:$A$840,0)),"")</f>
        <v>1.6348</v>
      </c>
      <c r="R322" s="223">
        <f>IFERROR(IF(Q322&gt;0,Q322-(TBIcalc!$H$9),""),"")</f>
        <v>1.4842</v>
      </c>
      <c r="S322" s="223">
        <f>IFERROR(INDEX('Ashed teabags wet'!$K$2:$K$2000,MATCH(L322,'Ashed teabags wet'!$A$2:$A$2000,0)),"")</f>
        <v>8.9805825242718385</v>
      </c>
      <c r="T322" s="223">
        <f t="shared" si="22"/>
        <v>1.3509101941747574</v>
      </c>
      <c r="U322" s="224">
        <f>'WetLitterbags placem_collection'!E103</f>
        <v>42762</v>
      </c>
      <c r="V322" s="224">
        <f>IF('WetLitterbags placem_collection'!G103="","",'WetLitterbags placem_collection'!G103)</f>
        <v>42816</v>
      </c>
      <c r="W322" s="225">
        <f t="shared" ref="W322:W385" si="25">IFERROR(V322-U322,"")</f>
        <v>54</v>
      </c>
      <c r="X322" s="223">
        <f t="shared" si="23"/>
        <v>0.43599999999999994</v>
      </c>
      <c r="Y322" s="223">
        <f t="shared" si="24"/>
        <v>0.46339527529795754</v>
      </c>
      <c r="Z322">
        <f>IFERROR(INDEX([1]Rainfall_Wet!$O$2:$O$217,MATCH(C322, [1]Rainfall_Wet!$A$2:$A$217,0)),"")</f>
        <v>206.85140822299999</v>
      </c>
      <c r="AA322" s="226">
        <v>45.96</v>
      </c>
      <c r="AB322" s="226">
        <v>14.920000000000003</v>
      </c>
      <c r="AC322" s="226">
        <v>39.119999999999997</v>
      </c>
      <c r="AD322" s="227" t="s">
        <v>2654</v>
      </c>
      <c r="AE322" s="226">
        <v>6.0374568753080302</v>
      </c>
      <c r="AF322">
        <f>IF('WetLitterbags placem_collection'!AB103="","",'WetLitterbags placem_collection'!AB103)</f>
        <v>4.3499999999999996</v>
      </c>
      <c r="AG322">
        <f>IF('WetLitterbags placem_collection'!Z103="","",'WetLitterbags placem_collection'!Z103)</f>
        <v>17</v>
      </c>
      <c r="AH322" s="236" t="str">
        <f>IF('WetLitterbags placem_collection'!AA103="","",'WetLitterbags placem_collection'!AA103)</f>
        <v>G</v>
      </c>
      <c r="AI322">
        <f>IF('WetLitterbags placem_collection'!AC103="","",'WetLitterbags placem_collection'!AC103)</f>
        <v>1</v>
      </c>
      <c r="AJ322" s="233">
        <f>AVERAGE('WetLitterbags placem_collection'!S103,'WetLitterbags placem_collection'!U103)</f>
        <v>22.549999999999997</v>
      </c>
      <c r="AK322">
        <f>AVERAGE('WetLitterbags placem_collection'!R103,'WetLitterbags placem_collection'!T103)</f>
        <v>31.150000000000002</v>
      </c>
      <c r="AL322">
        <f>INDEX([2]Coordinates!$B$2:$B$197,MATCH(I322,[2]Coordinates!$J$2:$J$197,0))</f>
        <v>-2.3691900260000001</v>
      </c>
      <c r="AM322">
        <f>INDEX([2]Coordinates!$C$2:$C$197,MATCH(I322,[2]Coordinates!$J$2:$J$197,0))</f>
        <v>34.060177019999998</v>
      </c>
      <c r="AN322" t="str">
        <f>IF(ISNUMBER(SEARCH("C", 'WetLitterbags placem_collection'!$W103)),"YES","NO")</f>
        <v>NO</v>
      </c>
      <c r="AO322" t="str">
        <f>IF(ISNUMBER(SEARCH("H", 'WetLitterbags placem_collection'!$W103)),"YES","NO")</f>
        <v>NO</v>
      </c>
      <c r="AP322" t="str">
        <f>IF(ISNUMBER(SEARCH("R", 'WetLitterbags placem_collection'!$W103)),"YES","NO")</f>
        <v>NO</v>
      </c>
    </row>
    <row r="323" spans="1:42" ht="15" customHeight="1">
      <c r="A323" t="s">
        <v>3248</v>
      </c>
      <c r="B323" s="248" t="s">
        <v>2454</v>
      </c>
      <c r="C323" s="253">
        <f>'Dry_Litterbag Placem_Collection'!A104</f>
        <v>102</v>
      </c>
      <c r="D323" s="253" t="str">
        <f>'Dry_Litterbag Placem_Collection'!B104</f>
        <v xml:space="preserve">Mwantimba
</v>
      </c>
      <c r="E323" s="253" t="s">
        <v>2454</v>
      </c>
      <c r="F323" s="253" t="s">
        <v>2644</v>
      </c>
      <c r="G323" s="253">
        <v>1</v>
      </c>
      <c r="H323" s="253" t="s">
        <v>3116</v>
      </c>
      <c r="I323" s="254" t="str">
        <f>'Dry_Litterbag Placem_Collection'!C104</f>
        <v>Wet_Ag1_T6</v>
      </c>
      <c r="J323" s="255" t="s">
        <v>2525</v>
      </c>
      <c r="K323" s="262" t="s">
        <v>298</v>
      </c>
      <c r="L323" s="221" t="str">
        <f>'WetLitterbags placem_collection'!M104</f>
        <v>R569</v>
      </c>
      <c r="M323" s="223">
        <f>IFERROR(INDEX('Green_rooibos initial weight'!$C$5:$C$2000,MATCH(L323, 'Green_rooibos initial weight'!$A$5:$A$2000,0)),"")</f>
        <v>2.0960000000000001</v>
      </c>
      <c r="N323" s="223">
        <f>IFERROR(M323-(TBIcalc!$H$9+TBIcalc!$H$10),"")</f>
        <v>1.8462000000000001</v>
      </c>
      <c r="O323" s="378">
        <f>AVERAGE(Ashed_controlls!$K$2:$K$11)</f>
        <v>5.5147656768714146</v>
      </c>
      <c r="P323" s="223">
        <f t="shared" ref="P323:P386" si="26">IFERROR(N323-(O323/100)*N323,"")</f>
        <v>1.7443863960735999</v>
      </c>
      <c r="Q323" s="223">
        <f>IFERROR(INDEX('Both teabags AfterWet'!$C$3:$C$840,MATCH(L323,'Both teabags AfterWet'!$A$3:$A$840,0)),"")</f>
        <v>1.655</v>
      </c>
      <c r="R323" s="223">
        <f>IFERROR(IF(Q323&gt;0,Q323-(TBIcalc!$H$9),""),"")</f>
        <v>1.5044</v>
      </c>
      <c r="S323" s="223">
        <f>IFERROR(INDEX('Ashed teabags wet'!$K$2:$K$2000,MATCH(L323,'Ashed teabags wet'!$A$2:$A$2000,0)),"")</f>
        <v>6.4211050273764974</v>
      </c>
      <c r="T323" s="223">
        <f t="shared" ref="T323:T386" si="27">IFERROR(R323-(S323/100)*R323,"")</f>
        <v>1.4078008959681478</v>
      </c>
      <c r="U323" s="224">
        <f>'WetLitterbags placem_collection'!E104</f>
        <v>42762</v>
      </c>
      <c r="V323" s="224">
        <f>IF('WetLitterbags placem_collection'!G104="","",'WetLitterbags placem_collection'!G104)</f>
        <v>42816</v>
      </c>
      <c r="W323" s="225">
        <f t="shared" si="25"/>
        <v>54</v>
      </c>
      <c r="X323" s="223">
        <f t="shared" ref="X323:X386" si="28">IFERROR(N323-R323,"")</f>
        <v>0.3418000000000001</v>
      </c>
      <c r="Y323" s="223">
        <f t="shared" ref="Y323:Y386" si="29">IFERROR(P323-T323,"")</f>
        <v>0.33658550010545207</v>
      </c>
      <c r="Z323">
        <f>IFERROR(INDEX([1]Rainfall_Wet!$O$2:$O$217,MATCH(C323, [1]Rainfall_Wet!$A$2:$A$217,0)),"")</f>
        <v>206.85140822299999</v>
      </c>
      <c r="AA323" s="226">
        <v>45.96</v>
      </c>
      <c r="AB323" s="226">
        <v>14.920000000000003</v>
      </c>
      <c r="AC323" s="226">
        <v>39.119999999999997</v>
      </c>
      <c r="AD323" s="227" t="s">
        <v>2654</v>
      </c>
      <c r="AE323" s="226">
        <v>7.0374568753080302</v>
      </c>
      <c r="AF323">
        <f>IF('WetLitterbags placem_collection'!AB104="","",'WetLitterbags placem_collection'!AB104)</f>
        <v>7.7</v>
      </c>
      <c r="AG323">
        <f>IF('WetLitterbags placem_collection'!Z104="","",'WetLitterbags placem_collection'!Z104)</f>
        <v>21</v>
      </c>
      <c r="AH323" s="236" t="str">
        <f>IF('WetLitterbags placem_collection'!AA104="","",'WetLitterbags placem_collection'!AA104)</f>
        <v>G</v>
      </c>
      <c r="AI323">
        <f>IF('WetLitterbags placem_collection'!AC104="","",'WetLitterbags placem_collection'!AC104)</f>
        <v>1</v>
      </c>
      <c r="AJ323" s="233">
        <f>AVERAGE('WetLitterbags placem_collection'!S104,'WetLitterbags placem_collection'!U104)</f>
        <v>21.099999999999998</v>
      </c>
      <c r="AK323">
        <f>AVERAGE('WetLitterbags placem_collection'!R104,'WetLitterbags placem_collection'!T104)</f>
        <v>31.8</v>
      </c>
      <c r="AL323">
        <f>INDEX([2]Coordinates!$B$2:$B$197,MATCH(I323,[2]Coordinates!$J$2:$J$197,0))</f>
        <v>-2.3691350409999998</v>
      </c>
      <c r="AM323">
        <f>INDEX([2]Coordinates!$C$2:$C$197,MATCH(I323,[2]Coordinates!$J$2:$J$197,0))</f>
        <v>34.06018297</v>
      </c>
      <c r="AN323" t="str">
        <f>IF(ISNUMBER(SEARCH("C", 'WetLitterbags placem_collection'!$W104)),"YES","NO")</f>
        <v>NO</v>
      </c>
      <c r="AO323" t="str">
        <f>IF(ISNUMBER(SEARCH("H", 'WetLitterbags placem_collection'!$W104)),"YES","NO")</f>
        <v>NO</v>
      </c>
      <c r="AP323" t="str">
        <f>IF(ISNUMBER(SEARCH("R", 'WetLitterbags placem_collection'!$W104)),"YES","NO")</f>
        <v>NO</v>
      </c>
    </row>
    <row r="324" spans="1:42" ht="15" customHeight="1">
      <c r="A324" t="s">
        <v>3248</v>
      </c>
      <c r="B324" s="248" t="s">
        <v>2454</v>
      </c>
      <c r="C324" s="253">
        <f>'Dry_Litterbag Placem_Collection'!A105</f>
        <v>103</v>
      </c>
      <c r="D324" s="253" t="str">
        <f>'Dry_Litterbag Placem_Collection'!B105</f>
        <v xml:space="preserve">Mwantimba
</v>
      </c>
      <c r="E324" s="253" t="s">
        <v>2454</v>
      </c>
      <c r="F324" s="253" t="s">
        <v>2644</v>
      </c>
      <c r="G324" s="253">
        <v>1</v>
      </c>
      <c r="H324" s="253" t="s">
        <v>3116</v>
      </c>
      <c r="I324" s="254" t="str">
        <f>'Dry_Litterbag Placem_Collection'!C105</f>
        <v>Wet_Ag1_T7</v>
      </c>
      <c r="J324" s="255" t="s">
        <v>2525</v>
      </c>
      <c r="K324" s="262" t="s">
        <v>298</v>
      </c>
      <c r="L324" s="221" t="str">
        <f>'WetLitterbags placem_collection'!M105</f>
        <v>R430</v>
      </c>
      <c r="M324" s="223">
        <f>IFERROR(INDEX('Green_rooibos initial weight'!$C$5:$C$2000,MATCH(L324, 'Green_rooibos initial weight'!$A$5:$A$2000,0)),"")</f>
        <v>2.1829999999999998</v>
      </c>
      <c r="N324" s="223">
        <f>IFERROR(M324-(TBIcalc!$H$9+TBIcalc!$H$10),"")</f>
        <v>1.9331999999999998</v>
      </c>
      <c r="O324" s="378">
        <f>AVERAGE(Ashed_controlls!$K$2:$K$11)</f>
        <v>5.5147656768714146</v>
      </c>
      <c r="P324" s="223">
        <f t="shared" si="26"/>
        <v>1.8265885499347216</v>
      </c>
      <c r="Q324" s="223">
        <f>IFERROR(INDEX('Both teabags AfterWet'!$C$3:$C$840,MATCH(L324,'Both teabags AfterWet'!$A$3:$A$840,0)),"")</f>
        <v>1.629</v>
      </c>
      <c r="R324" s="223">
        <f>IFERROR(IF(Q324&gt;0,Q324-(TBIcalc!$H$9),""),"")</f>
        <v>1.4783999999999999</v>
      </c>
      <c r="S324" s="223">
        <f>IFERROR(INDEX('Ashed teabags wet'!$K$2:$K$2000,MATCH(L324,'Ashed teabags wet'!$A$2:$A$2000,0)),"")</f>
        <v>4.7409579667641673</v>
      </c>
      <c r="T324" s="223">
        <f t="shared" si="27"/>
        <v>1.4083096774193584</v>
      </c>
      <c r="U324" s="224">
        <f>'WetLitterbags placem_collection'!E105</f>
        <v>42762</v>
      </c>
      <c r="V324" s="224">
        <f>IF('WetLitterbags placem_collection'!G105="","",'WetLitterbags placem_collection'!G105)</f>
        <v>42816</v>
      </c>
      <c r="W324" s="225">
        <f t="shared" si="25"/>
        <v>54</v>
      </c>
      <c r="X324" s="223">
        <f t="shared" si="28"/>
        <v>0.45479999999999987</v>
      </c>
      <c r="Y324" s="223">
        <f t="shared" si="29"/>
        <v>0.41827887251536322</v>
      </c>
      <c r="Z324">
        <f>IFERROR(INDEX([1]Rainfall_Wet!$O$2:$O$217,MATCH(C324, [1]Rainfall_Wet!$A$2:$A$217,0)),"")</f>
        <v>206.85140822299999</v>
      </c>
      <c r="AA324" s="226">
        <v>45.96</v>
      </c>
      <c r="AB324" s="226">
        <v>14.920000000000003</v>
      </c>
      <c r="AC324" s="226">
        <v>39.119999999999997</v>
      </c>
      <c r="AD324" s="227" t="s">
        <v>2654</v>
      </c>
      <c r="AE324" s="226">
        <v>8.0374568753080293</v>
      </c>
      <c r="AF324">
        <f>IF('WetLitterbags placem_collection'!AB105="","",'WetLitterbags placem_collection'!AB105)</f>
        <v>3.25</v>
      </c>
      <c r="AG324">
        <f>IF('WetLitterbags placem_collection'!Z105="","",'WetLitterbags placem_collection'!Z105)</f>
        <v>16</v>
      </c>
      <c r="AH324" s="236" t="str">
        <f>IF('WetLitterbags placem_collection'!AA105="","",'WetLitterbags placem_collection'!AA105)</f>
        <v>G</v>
      </c>
      <c r="AI324">
        <f>IF('WetLitterbags placem_collection'!AC105="","",'WetLitterbags placem_collection'!AC105)</f>
        <v>1</v>
      </c>
      <c r="AJ324" s="233">
        <f>AVERAGE('WetLitterbags placem_collection'!S105,'WetLitterbags placem_collection'!U105)</f>
        <v>20.450000000000003</v>
      </c>
      <c r="AK324">
        <f>AVERAGE('WetLitterbags placem_collection'!R105,'WetLitterbags placem_collection'!T105)</f>
        <v>30.25</v>
      </c>
      <c r="AL324">
        <f>INDEX([2]Coordinates!$B$2:$B$197,MATCH(I324,[2]Coordinates!$J$2:$J$197,0))</f>
        <v>-2.3691330289999999</v>
      </c>
      <c r="AM324">
        <f>INDEX([2]Coordinates!$C$2:$C$197,MATCH(I324,[2]Coordinates!$J$2:$J$197,0))</f>
        <v>34.060233009999997</v>
      </c>
      <c r="AN324" t="str">
        <f>IF(ISNUMBER(SEARCH("C", 'WetLitterbags placem_collection'!$W105)),"YES","NO")</f>
        <v>NO</v>
      </c>
      <c r="AO324" t="str">
        <f>IF(ISNUMBER(SEARCH("H", 'WetLitterbags placem_collection'!$W105)),"YES","NO")</f>
        <v>NO</v>
      </c>
      <c r="AP324" t="str">
        <f>IF(ISNUMBER(SEARCH("R", 'WetLitterbags placem_collection'!$W105)),"YES","NO")</f>
        <v>NO</v>
      </c>
    </row>
    <row r="325" spans="1:42" ht="15" customHeight="1">
      <c r="A325" t="s">
        <v>3248</v>
      </c>
      <c r="B325" s="248" t="s">
        <v>2454</v>
      </c>
      <c r="C325" s="253">
        <f>'Dry_Litterbag Placem_Collection'!A106</f>
        <v>104</v>
      </c>
      <c r="D325" s="253" t="str">
        <f>'Dry_Litterbag Placem_Collection'!B106</f>
        <v xml:space="preserve">Mwantimba
</v>
      </c>
      <c r="E325" s="253" t="s">
        <v>2454</v>
      </c>
      <c r="F325" s="253" t="s">
        <v>2644</v>
      </c>
      <c r="G325" s="253">
        <v>1</v>
      </c>
      <c r="H325" s="253" t="s">
        <v>3116</v>
      </c>
      <c r="I325" s="254" t="str">
        <f>'Dry_Litterbag Placem_Collection'!C106</f>
        <v>Wet_Ag1_T8</v>
      </c>
      <c r="J325" s="255" t="s">
        <v>2525</v>
      </c>
      <c r="K325" s="262" t="s">
        <v>298</v>
      </c>
      <c r="L325" s="221" t="str">
        <f>'WetLitterbags placem_collection'!M106</f>
        <v>R577</v>
      </c>
      <c r="M325" s="223">
        <f>IFERROR(INDEX('Green_rooibos initial weight'!$C$5:$C$2000,MATCH(L325, 'Green_rooibos initial weight'!$A$5:$A$2000,0)),"")</f>
        <v>2.0859999999999999</v>
      </c>
      <c r="N325" s="223">
        <f>IFERROR(M325-(TBIcalc!$H$9+TBIcalc!$H$10),"")</f>
        <v>1.8361999999999998</v>
      </c>
      <c r="O325" s="378">
        <f>AVERAGE(Ashed_controlls!$K$2:$K$11)</f>
        <v>5.5147656768714146</v>
      </c>
      <c r="P325" s="223">
        <f t="shared" si="26"/>
        <v>1.734937872641287</v>
      </c>
      <c r="Q325" s="223">
        <f>IFERROR(INDEX('Both teabags AfterWet'!$C$3:$C$840,MATCH(L325,'Both teabags AfterWet'!$A$3:$A$840,0)),"")</f>
        <v>1.4470000000000001</v>
      </c>
      <c r="R325" s="223">
        <f>IFERROR(IF(Q325&gt;0,Q325-(TBIcalc!$H$9),""),"")</f>
        <v>1.2964</v>
      </c>
      <c r="S325" s="223">
        <f>IFERROR(INDEX('Ashed teabags wet'!$K$2:$K$2000,MATCH(L325,'Ashed teabags wet'!$A$2:$A$2000,0)),"")</f>
        <v>6.3583815028902215</v>
      </c>
      <c r="T325" s="223">
        <f t="shared" si="27"/>
        <v>1.2139699421965311</v>
      </c>
      <c r="U325" s="224">
        <f>'WetLitterbags placem_collection'!E106</f>
        <v>42762</v>
      </c>
      <c r="V325" s="224">
        <f>IF('WetLitterbags placem_collection'!G106="","",'WetLitterbags placem_collection'!G106)</f>
        <v>42816</v>
      </c>
      <c r="W325" s="225">
        <f t="shared" si="25"/>
        <v>54</v>
      </c>
      <c r="X325" s="223">
        <f t="shared" si="28"/>
        <v>0.53979999999999984</v>
      </c>
      <c r="Y325" s="223">
        <f t="shared" si="29"/>
        <v>0.52096793044475587</v>
      </c>
      <c r="Z325">
        <f>IFERROR(INDEX([1]Rainfall_Wet!$O$2:$O$217,MATCH(C325, [1]Rainfall_Wet!$A$2:$A$217,0)),"")</f>
        <v>206.85140822299999</v>
      </c>
      <c r="AA325" s="226">
        <v>45.96</v>
      </c>
      <c r="AB325" s="226">
        <v>14.920000000000003</v>
      </c>
      <c r="AC325" s="226">
        <v>39.119999999999997</v>
      </c>
      <c r="AD325" s="227" t="s">
        <v>2654</v>
      </c>
      <c r="AE325" s="226">
        <v>9.0374568753080293</v>
      </c>
      <c r="AF325">
        <f>IF('WetLitterbags placem_collection'!AB106="","",'WetLitterbags placem_collection'!AB106)</f>
        <v>10.5</v>
      </c>
      <c r="AG325">
        <f>IF('WetLitterbags placem_collection'!Z106="","",'WetLitterbags placem_collection'!Z106)</f>
        <v>17</v>
      </c>
      <c r="AH325" s="236" t="str">
        <f>IF('WetLitterbags placem_collection'!AA106="","",'WetLitterbags placem_collection'!AA106)</f>
        <v>G</v>
      </c>
      <c r="AI325">
        <f>IF('WetLitterbags placem_collection'!AC106="","",'WetLitterbags placem_collection'!AC106)</f>
        <v>1</v>
      </c>
      <c r="AJ325" s="233">
        <f>AVERAGE('WetLitterbags placem_collection'!S106,'WetLitterbags placem_collection'!U106)</f>
        <v>21.6</v>
      </c>
      <c r="AK325">
        <f>AVERAGE('WetLitterbags placem_collection'!R106,'WetLitterbags placem_collection'!T106)</f>
        <v>29.3</v>
      </c>
      <c r="AL325">
        <f>INDEX([2]Coordinates!$B$2:$B$197,MATCH(I325,[2]Coordinates!$J$2:$J$197,0))</f>
        <v>-2.3692910280000001</v>
      </c>
      <c r="AM325">
        <f>INDEX([2]Coordinates!$C$2:$C$197,MATCH(I325,[2]Coordinates!$J$2:$J$197,0))</f>
        <v>34.06016202</v>
      </c>
      <c r="AN325" t="str">
        <f>IF(ISNUMBER(SEARCH("C", 'WetLitterbags placem_collection'!$W106)),"YES","NO")</f>
        <v>NO</v>
      </c>
      <c r="AO325" t="str">
        <f>IF(ISNUMBER(SEARCH("H", 'WetLitterbags placem_collection'!$W106)),"YES","NO")</f>
        <v>NO</v>
      </c>
      <c r="AP325" t="str">
        <f>IF(ISNUMBER(SEARCH("R", 'WetLitterbags placem_collection'!$W106)),"YES","NO")</f>
        <v>NO</v>
      </c>
    </row>
    <row r="326" spans="1:42" ht="15" customHeight="1">
      <c r="A326" t="s">
        <v>3248</v>
      </c>
      <c r="B326" s="248" t="s">
        <v>2454</v>
      </c>
      <c r="C326" s="253">
        <f>'Dry_Litterbag Placem_Collection'!A107</f>
        <v>105</v>
      </c>
      <c r="D326" s="253" t="str">
        <f>'Dry_Litterbag Placem_Collection'!B107</f>
        <v xml:space="preserve">Mwantimba
</v>
      </c>
      <c r="E326" s="253" t="s">
        <v>2454</v>
      </c>
      <c r="F326" s="253" t="s">
        <v>2644</v>
      </c>
      <c r="G326" s="253">
        <v>2</v>
      </c>
      <c r="H326" s="253" t="s">
        <v>3118</v>
      </c>
      <c r="I326" s="254" t="str">
        <f>'Dry_Litterbag Placem_Collection'!C107</f>
        <v>Wet_Ag2_T1</v>
      </c>
      <c r="J326" s="255" t="s">
        <v>2525</v>
      </c>
      <c r="K326" s="262" t="s">
        <v>298</v>
      </c>
      <c r="L326" s="221" t="str">
        <f>'WetLitterbags placem_collection'!M107</f>
        <v>R548</v>
      </c>
      <c r="M326" s="223">
        <f>IFERROR(INDEX('Green_rooibos initial weight'!$C$5:$C$2000,MATCH(L326, 'Green_rooibos initial weight'!$A$5:$A$2000,0)),"")</f>
        <v>2.1920000000000002</v>
      </c>
      <c r="N326" s="223">
        <f>IFERROR(M326-(TBIcalc!$H$9+TBIcalc!$H$10),"")</f>
        <v>1.9422000000000001</v>
      </c>
      <c r="O326" s="378">
        <f>AVERAGE(Ashed_controlls!$K$2:$K$11)</f>
        <v>5.5147656768714146</v>
      </c>
      <c r="P326" s="223">
        <f t="shared" si="26"/>
        <v>1.8350922210238034</v>
      </c>
      <c r="Q326" s="223">
        <f>IFERROR(INDEX('Both teabags AfterWet'!$C$3:$C$840,MATCH(L326,'Both teabags AfterWet'!$A$3:$A$840,0)),"")</f>
        <v>1.859</v>
      </c>
      <c r="R326" s="223">
        <f>IFERROR(IF(Q326&gt;0,Q326-(TBIcalc!$H$9),""),"")</f>
        <v>1.7083999999999999</v>
      </c>
      <c r="S326" s="223">
        <f>IFERROR(INDEX('Ashed teabags wet'!$K$2:$K$2000,MATCH(L326,'Ashed teabags wet'!$A$2:$A$2000,0)),"")</f>
        <v>16.476991588322143</v>
      </c>
      <c r="T326" s="223">
        <f t="shared" si="27"/>
        <v>1.4269070757051043</v>
      </c>
      <c r="U326" s="224">
        <f>'WetLitterbags placem_collection'!E107</f>
        <v>42762</v>
      </c>
      <c r="V326" s="224">
        <f>IF('WetLitterbags placem_collection'!G107="","",'WetLitterbags placem_collection'!G107)</f>
        <v>42816</v>
      </c>
      <c r="W326" s="225">
        <f t="shared" si="25"/>
        <v>54</v>
      </c>
      <c r="X326" s="223">
        <f t="shared" si="28"/>
        <v>0.23380000000000023</v>
      </c>
      <c r="Y326" s="223">
        <f t="shared" si="29"/>
        <v>0.40818514531869909</v>
      </c>
      <c r="Z326">
        <f>IFERROR(INDEX([1]Rainfall_Wet!$O$2:$O$217,MATCH(C326, [1]Rainfall_Wet!$A$2:$A$217,0)),"")</f>
        <v>206.85140822299999</v>
      </c>
      <c r="AA326" s="226">
        <v>34.344660194174757</v>
      </c>
      <c r="AB326" s="226">
        <v>19.22727272727273</v>
      </c>
      <c r="AC326" s="226">
        <v>46.428067078552509</v>
      </c>
      <c r="AD326" s="227" t="s">
        <v>2651</v>
      </c>
      <c r="AE326" s="226">
        <v>1.7452932479053718</v>
      </c>
      <c r="AF326">
        <f>IF('WetLitterbags placem_collection'!AB107="","",'WetLitterbags placem_collection'!AB107)</f>
        <v>5.5</v>
      </c>
      <c r="AG326">
        <f>IF('WetLitterbags placem_collection'!Z107="","",'WetLitterbags placem_collection'!Z107)</f>
        <v>23.5</v>
      </c>
      <c r="AH326" s="236" t="str">
        <f>IF('WetLitterbags placem_collection'!AA107="","",'WetLitterbags placem_collection'!AA107)</f>
        <v>M</v>
      </c>
      <c r="AI326">
        <f>IF('WetLitterbags placem_collection'!AC107="","",'WetLitterbags placem_collection'!AC107)</f>
        <v>0</v>
      </c>
      <c r="AJ326" s="233">
        <f>AVERAGE('WetLitterbags placem_collection'!S107,'WetLitterbags placem_collection'!U107)</f>
        <v>11.350000000000001</v>
      </c>
      <c r="AK326">
        <f>AVERAGE('WetLitterbags placem_collection'!R107,'WetLitterbags placem_collection'!T107)</f>
        <v>32.150000000000006</v>
      </c>
      <c r="AL326">
        <f>INDEX([2]Coordinates!$B$2:$B$197,MATCH(I326,[2]Coordinates!$J$2:$J$197,0))</f>
        <v>-2.3698080240000001</v>
      </c>
      <c r="AM326">
        <f>INDEX([2]Coordinates!$C$2:$C$197,MATCH(I326,[2]Coordinates!$J$2:$J$197,0))</f>
        <v>34.059671010000002</v>
      </c>
      <c r="AN326" t="str">
        <f>IF(ISNUMBER(SEARCH("C", 'WetLitterbags placem_collection'!$W107)),"YES","NO")</f>
        <v>NO</v>
      </c>
      <c r="AO326" t="str">
        <f>IF(ISNUMBER(SEARCH("H", 'WetLitterbags placem_collection'!$W107)),"YES","NO")</f>
        <v>NO</v>
      </c>
      <c r="AP326" t="str">
        <f>IF(ISNUMBER(SEARCH("R", 'WetLitterbags placem_collection'!$W107)),"YES","NO")</f>
        <v>YES</v>
      </c>
    </row>
    <row r="327" spans="1:42" ht="15" customHeight="1">
      <c r="A327" t="s">
        <v>3248</v>
      </c>
      <c r="B327" s="248" t="s">
        <v>2454</v>
      </c>
      <c r="C327" s="253">
        <f>'Dry_Litterbag Placem_Collection'!A108</f>
        <v>106</v>
      </c>
      <c r="D327" s="253" t="str">
        <f>'Dry_Litterbag Placem_Collection'!B108</f>
        <v xml:space="preserve">Mwantimba
</v>
      </c>
      <c r="E327" s="253" t="s">
        <v>2454</v>
      </c>
      <c r="F327" s="253" t="s">
        <v>2644</v>
      </c>
      <c r="G327" s="253">
        <v>2</v>
      </c>
      <c r="H327" s="253" t="s">
        <v>3118</v>
      </c>
      <c r="I327" s="254" t="str">
        <f>'Dry_Litterbag Placem_Collection'!C108</f>
        <v>Wet_Ag2_T2</v>
      </c>
      <c r="J327" s="255" t="s">
        <v>2525</v>
      </c>
      <c r="K327" s="262" t="s">
        <v>298</v>
      </c>
      <c r="L327" s="221" t="str">
        <f>'WetLitterbags placem_collection'!M108</f>
        <v>R590</v>
      </c>
      <c r="M327" s="223">
        <f>IFERROR(INDEX('Green_rooibos initial weight'!$C$5:$C$2000,MATCH(L327, 'Green_rooibos initial weight'!$A$5:$A$2000,0)),"")</f>
        <v>2.218</v>
      </c>
      <c r="N327" s="223">
        <f>IFERROR(M327-(TBIcalc!$H$9+TBIcalc!$H$10),"")</f>
        <v>1.9681999999999999</v>
      </c>
      <c r="O327" s="378">
        <f>AVERAGE(Ashed_controlls!$K$2:$K$11)</f>
        <v>5.5147656768714146</v>
      </c>
      <c r="P327" s="223">
        <f t="shared" si="26"/>
        <v>1.8596583819478167</v>
      </c>
      <c r="Q327" s="223">
        <f>IFERROR(INDEX('Both teabags AfterWet'!$C$3:$C$840,MATCH(L327,'Both teabags AfterWet'!$A$3:$A$840,0)),"")</f>
        <v>1.7769999999999999</v>
      </c>
      <c r="R327" s="223">
        <f>IFERROR(IF(Q327&gt;0,Q327-(TBIcalc!$H$9),""),"")</f>
        <v>1.6263999999999998</v>
      </c>
      <c r="S327" s="223">
        <f>IFERROR(INDEX('Ashed teabags wet'!$K$2:$K$2000,MATCH(L327,'Ashed teabags wet'!$A$2:$A$2000,0)),"")</f>
        <v>10.077145612343887</v>
      </c>
      <c r="T327" s="223">
        <f t="shared" si="27"/>
        <v>1.4625053037608389</v>
      </c>
      <c r="U327" s="224">
        <f>'WetLitterbags placem_collection'!E108</f>
        <v>42762</v>
      </c>
      <c r="V327" s="224">
        <f>IF('WetLitterbags placem_collection'!G108="","",'WetLitterbags placem_collection'!G108)</f>
        <v>42816</v>
      </c>
      <c r="W327" s="225">
        <f t="shared" si="25"/>
        <v>54</v>
      </c>
      <c r="X327" s="223">
        <f t="shared" si="28"/>
        <v>0.3418000000000001</v>
      </c>
      <c r="Y327" s="223">
        <f t="shared" si="29"/>
        <v>0.39715307818697787</v>
      </c>
      <c r="Z327">
        <f>IFERROR(INDEX([1]Rainfall_Wet!$O$2:$O$217,MATCH(C327, [1]Rainfall_Wet!$A$2:$A$217,0)),"")</f>
        <v>206.85140822299999</v>
      </c>
      <c r="AA327" s="226">
        <v>34.344660194174757</v>
      </c>
      <c r="AB327" s="226">
        <v>19.22727272727273</v>
      </c>
      <c r="AC327" s="226">
        <v>46.428067078552509</v>
      </c>
      <c r="AD327" s="227" t="s">
        <v>2651</v>
      </c>
      <c r="AE327" s="226">
        <v>2.7452932479053702</v>
      </c>
      <c r="AF327">
        <f>IF('WetLitterbags placem_collection'!AB108="","",'WetLitterbags placem_collection'!AB108)</f>
        <v>8.6</v>
      </c>
      <c r="AG327">
        <f>IF('WetLitterbags placem_collection'!Z108="","",'WetLitterbags placem_collection'!Z108)</f>
        <v>17</v>
      </c>
      <c r="AH327" s="236" t="str">
        <f>IF('WetLitterbags placem_collection'!AA108="","",'WetLitterbags placem_collection'!AA108)</f>
        <v>M</v>
      </c>
      <c r="AI327">
        <f>IF('WetLitterbags placem_collection'!AC108="","",'WetLitterbags placem_collection'!AC108)</f>
        <v>0</v>
      </c>
      <c r="AJ327" s="233">
        <f>AVERAGE('WetLitterbags placem_collection'!S108,'WetLitterbags placem_collection'!U108)</f>
        <v>12.4</v>
      </c>
      <c r="AK327">
        <f>AVERAGE('WetLitterbags placem_collection'!R108,'WetLitterbags placem_collection'!T108)</f>
        <v>32.950000000000003</v>
      </c>
      <c r="AL327">
        <f>INDEX([2]Coordinates!$B$2:$B$197,MATCH(I327,[2]Coordinates!$J$2:$J$197,0))</f>
        <v>-2.3697620069999998</v>
      </c>
      <c r="AM327">
        <f>INDEX([2]Coordinates!$C$2:$C$197,MATCH(I327,[2]Coordinates!$J$2:$J$197,0))</f>
        <v>34.059730010000003</v>
      </c>
      <c r="AN327" t="str">
        <f>IF(ISNUMBER(SEARCH("C", 'WetLitterbags placem_collection'!$W108)),"YES","NO")</f>
        <v>NO</v>
      </c>
      <c r="AO327" t="str">
        <f>IF(ISNUMBER(SEARCH("H", 'WetLitterbags placem_collection'!$W108)),"YES","NO")</f>
        <v>NO</v>
      </c>
      <c r="AP327" t="str">
        <f>IF(ISNUMBER(SEARCH("R", 'WetLitterbags placem_collection'!$W108)),"YES","NO")</f>
        <v>YES</v>
      </c>
    </row>
    <row r="328" spans="1:42" ht="15" customHeight="1">
      <c r="A328" t="s">
        <v>3248</v>
      </c>
      <c r="B328" s="248" t="s">
        <v>2454</v>
      </c>
      <c r="C328" s="253">
        <f>'Dry_Litterbag Placem_Collection'!A109</f>
        <v>107</v>
      </c>
      <c r="D328" s="253" t="str">
        <f>'Dry_Litterbag Placem_Collection'!B109</f>
        <v xml:space="preserve">Mwantimba
</v>
      </c>
      <c r="E328" s="253" t="s">
        <v>2454</v>
      </c>
      <c r="F328" s="253" t="s">
        <v>2644</v>
      </c>
      <c r="G328" s="253">
        <v>2</v>
      </c>
      <c r="H328" s="253" t="s">
        <v>3118</v>
      </c>
      <c r="I328" s="254" t="str">
        <f>'Dry_Litterbag Placem_Collection'!C109</f>
        <v>Wet_Ag2_T3</v>
      </c>
      <c r="J328" s="255" t="s">
        <v>2525</v>
      </c>
      <c r="K328" s="262" t="s">
        <v>298</v>
      </c>
      <c r="L328" s="221" t="str">
        <f>'WetLitterbags placem_collection'!M109</f>
        <v>R574</v>
      </c>
      <c r="M328" s="223">
        <f>IFERROR(INDEX('Green_rooibos initial weight'!$C$5:$C$2000,MATCH(L328, 'Green_rooibos initial weight'!$A$5:$A$2000,0)),"")</f>
        <v>2.16</v>
      </c>
      <c r="N328" s="223">
        <f>IFERROR(M328-(TBIcalc!$H$9+TBIcalc!$H$10),"")</f>
        <v>1.9102000000000001</v>
      </c>
      <c r="O328" s="378">
        <f>AVERAGE(Ashed_controlls!$K$2:$K$11)</f>
        <v>5.5147656768714146</v>
      </c>
      <c r="P328" s="223">
        <f t="shared" si="26"/>
        <v>1.8048569460404023</v>
      </c>
      <c r="Q328" s="223">
        <f>IFERROR(INDEX('Both teabags AfterWet'!$C$3:$C$840,MATCH(L328,'Both teabags AfterWet'!$A$3:$A$840,0)),"")</f>
        <v>1.706</v>
      </c>
      <c r="R328" s="223">
        <f>IFERROR(IF(Q328&gt;0,Q328-(TBIcalc!$H$9),""),"")</f>
        <v>1.5553999999999999</v>
      </c>
      <c r="S328" s="223">
        <f>IFERROR(INDEX('Ashed teabags wet'!$K$2:$K$2000,MATCH(L328,'Ashed teabags wet'!$A$2:$A$2000,0)),"")</f>
        <v>6.0532687651327608</v>
      </c>
      <c r="T328" s="223">
        <f t="shared" si="27"/>
        <v>1.461247457627125</v>
      </c>
      <c r="U328" s="224">
        <f>'WetLitterbags placem_collection'!E109</f>
        <v>42762</v>
      </c>
      <c r="V328" s="224">
        <f>IF('WetLitterbags placem_collection'!G109="","",'WetLitterbags placem_collection'!G109)</f>
        <v>42816</v>
      </c>
      <c r="W328" s="225">
        <f t="shared" si="25"/>
        <v>54</v>
      </c>
      <c r="X328" s="223">
        <f t="shared" si="28"/>
        <v>0.35480000000000023</v>
      </c>
      <c r="Y328" s="223">
        <f t="shared" si="29"/>
        <v>0.34360948841327721</v>
      </c>
      <c r="Z328">
        <f>IFERROR(INDEX([1]Rainfall_Wet!$O$2:$O$217,MATCH(C328, [1]Rainfall_Wet!$A$2:$A$217,0)),"")</f>
        <v>206.85140822299999</v>
      </c>
      <c r="AA328" s="226">
        <v>34.344660194174757</v>
      </c>
      <c r="AB328" s="226">
        <v>19.22727272727273</v>
      </c>
      <c r="AC328" s="226">
        <v>46.428067078552509</v>
      </c>
      <c r="AD328" s="227" t="s">
        <v>2651</v>
      </c>
      <c r="AE328" s="226">
        <v>3.7452932479053702</v>
      </c>
      <c r="AF328">
        <f>IF('WetLitterbags placem_collection'!AB109="","",'WetLitterbags placem_collection'!AB109)</f>
        <v>3.85</v>
      </c>
      <c r="AG328">
        <f>IF('WetLitterbags placem_collection'!Z109="","",'WetLitterbags placem_collection'!Z109)</f>
        <v>15.5</v>
      </c>
      <c r="AH328" s="236" t="str">
        <f>IF('WetLitterbags placem_collection'!AA109="","",'WetLitterbags placem_collection'!AA109)</f>
        <v>M</v>
      </c>
      <c r="AI328">
        <f>IF('WetLitterbags placem_collection'!AC109="","",'WetLitterbags placem_collection'!AC109)</f>
        <v>0</v>
      </c>
      <c r="AJ328" s="233">
        <f>AVERAGE('WetLitterbags placem_collection'!S109,'WetLitterbags placem_collection'!U109)</f>
        <v>11.299999999999999</v>
      </c>
      <c r="AK328">
        <f>AVERAGE('WetLitterbags placem_collection'!R109,'WetLitterbags placem_collection'!T109)</f>
        <v>32.450000000000003</v>
      </c>
      <c r="AL328">
        <f>INDEX([2]Coordinates!$B$2:$B$197,MATCH(I328,[2]Coordinates!$J$2:$J$197,0))</f>
        <v>-2.3698409649999999</v>
      </c>
      <c r="AM328">
        <f>INDEX([2]Coordinates!$C$2:$C$197,MATCH(I328,[2]Coordinates!$J$2:$J$197,0))</f>
        <v>34.059814000000003</v>
      </c>
      <c r="AN328" t="str">
        <f>IF(ISNUMBER(SEARCH("C", 'WetLitterbags placem_collection'!$W109)),"YES","NO")</f>
        <v>NO</v>
      </c>
      <c r="AO328" t="str">
        <f>IF(ISNUMBER(SEARCH("H", 'WetLitterbags placem_collection'!$W109)),"YES","NO")</f>
        <v>NO</v>
      </c>
      <c r="AP328" t="str">
        <f>IF(ISNUMBER(SEARCH("R", 'WetLitterbags placem_collection'!$W109)),"YES","NO")</f>
        <v>NO</v>
      </c>
    </row>
    <row r="329" spans="1:42" ht="15" customHeight="1">
      <c r="A329" t="s">
        <v>3248</v>
      </c>
      <c r="B329" s="248" t="s">
        <v>2454</v>
      </c>
      <c r="C329" s="253">
        <f>'Dry_Litterbag Placem_Collection'!A110</f>
        <v>108</v>
      </c>
      <c r="D329" s="253" t="str">
        <f>'Dry_Litterbag Placem_Collection'!B110</f>
        <v xml:space="preserve">Mwantimba
</v>
      </c>
      <c r="E329" s="253" t="s">
        <v>2454</v>
      </c>
      <c r="F329" s="253" t="s">
        <v>2644</v>
      </c>
      <c r="G329" s="253">
        <v>2</v>
      </c>
      <c r="H329" s="253" t="s">
        <v>3118</v>
      </c>
      <c r="I329" s="254" t="str">
        <f>'Dry_Litterbag Placem_Collection'!C110</f>
        <v>Wet_Ag2_T4</v>
      </c>
      <c r="J329" s="255" t="s">
        <v>2525</v>
      </c>
      <c r="K329" s="262" t="s">
        <v>298</v>
      </c>
      <c r="L329" s="221" t="str">
        <f>'WetLitterbags placem_collection'!M110</f>
        <v>R8</v>
      </c>
      <c r="M329" s="223">
        <f>IFERROR(INDEX('Green_rooibos initial weight'!$C$5:$C$2000,MATCH(L329, 'Green_rooibos initial weight'!$A$5:$A$2000,0)),"")</f>
        <v>2.23</v>
      </c>
      <c r="N329" s="223">
        <f>IFERROR(M329-(TBIcalc!$H$9+TBIcalc!$H$10),"")</f>
        <v>1.9802</v>
      </c>
      <c r="O329" s="378">
        <f>AVERAGE(Ashed_controlls!$K$2:$K$11)</f>
        <v>5.5147656768714146</v>
      </c>
      <c r="P329" s="223">
        <f t="shared" si="26"/>
        <v>1.8709966100665922</v>
      </c>
      <c r="Q329" s="223">
        <f>IFERROR(INDEX('Both teabags AfterWet'!$C$3:$C$840,MATCH(L329,'Both teabags AfterWet'!$A$3:$A$840,0)),"")</f>
        <v>1.536</v>
      </c>
      <c r="R329" s="223">
        <f>IFERROR(IF(Q329&gt;0,Q329-(TBIcalc!$H$9),""),"")</f>
        <v>1.3854</v>
      </c>
      <c r="S329" s="223">
        <f>IFERROR(INDEX('Ashed teabags wet'!$K$2:$K$2000,MATCH(L329,'Ashed teabags wet'!$A$2:$A$2000,0)),"")</f>
        <v>8.2171314741042973</v>
      </c>
      <c r="T329" s="223">
        <f t="shared" si="27"/>
        <v>1.2715598605577589</v>
      </c>
      <c r="U329" s="224">
        <f>'WetLitterbags placem_collection'!E110</f>
        <v>42762</v>
      </c>
      <c r="V329" s="224">
        <f>IF('WetLitterbags placem_collection'!G110="","",'WetLitterbags placem_collection'!G110)</f>
        <v>42816</v>
      </c>
      <c r="W329" s="225">
        <f t="shared" si="25"/>
        <v>54</v>
      </c>
      <c r="X329" s="223">
        <f t="shared" si="28"/>
        <v>0.5948</v>
      </c>
      <c r="Y329" s="223">
        <f t="shared" si="29"/>
        <v>0.5994367495088333</v>
      </c>
      <c r="Z329">
        <f>IFERROR(INDEX([1]Rainfall_Wet!$O$2:$O$217,MATCH(C329, [1]Rainfall_Wet!$A$2:$A$217,0)),"")</f>
        <v>206.85140822299999</v>
      </c>
      <c r="AA329" s="226">
        <v>34.344660194174757</v>
      </c>
      <c r="AB329" s="226">
        <v>19.22727272727273</v>
      </c>
      <c r="AC329" s="226">
        <v>46.428067078552509</v>
      </c>
      <c r="AD329" s="227" t="s">
        <v>2651</v>
      </c>
      <c r="AE329" s="226">
        <v>4.7452932479053702</v>
      </c>
      <c r="AF329">
        <f>IF('WetLitterbags placem_collection'!AB110="","",'WetLitterbags placem_collection'!AB110)</f>
        <v>9.6999999999999993</v>
      </c>
      <c r="AG329">
        <f>IF('WetLitterbags placem_collection'!Z110="","",'WetLitterbags placem_collection'!Z110)</f>
        <v>22.5</v>
      </c>
      <c r="AH329" s="236" t="str">
        <f>IF('WetLitterbags placem_collection'!AA110="","",'WetLitterbags placem_collection'!AA110)</f>
        <v>M</v>
      </c>
      <c r="AI329">
        <f>IF('WetLitterbags placem_collection'!AC110="","",'WetLitterbags placem_collection'!AC110)</f>
        <v>0</v>
      </c>
      <c r="AJ329" s="233">
        <f>AVERAGE('WetLitterbags placem_collection'!S110,'WetLitterbags placem_collection'!U110)</f>
        <v>15.1</v>
      </c>
      <c r="AK329">
        <f>AVERAGE('WetLitterbags placem_collection'!R110,'WetLitterbags placem_collection'!T110)</f>
        <v>31.55</v>
      </c>
      <c r="AL329">
        <f>INDEX([2]Coordinates!$B$2:$B$197,MATCH(I329,[2]Coordinates!$J$2:$J$197,0))</f>
        <v>-2.3698620030000002</v>
      </c>
      <c r="AM329">
        <f>INDEX([2]Coordinates!$C$2:$C$197,MATCH(I329,[2]Coordinates!$J$2:$J$197,0))</f>
        <v>34.059759020000001</v>
      </c>
      <c r="AN329" t="str">
        <f>IF(ISNUMBER(SEARCH("C", 'WetLitterbags placem_collection'!$W110)),"YES","NO")</f>
        <v>NO</v>
      </c>
      <c r="AO329" t="str">
        <f>IF(ISNUMBER(SEARCH("H", 'WetLitterbags placem_collection'!$W110)),"YES","NO")</f>
        <v>YES</v>
      </c>
      <c r="AP329" t="str">
        <f>IF(ISNUMBER(SEARCH("R", 'WetLitterbags placem_collection'!$W110)),"YES","NO")</f>
        <v>NO</v>
      </c>
    </row>
    <row r="330" spans="1:42" ht="15" customHeight="1">
      <c r="A330" t="s">
        <v>3248</v>
      </c>
      <c r="B330" s="248" t="s">
        <v>2454</v>
      </c>
      <c r="C330" s="253">
        <f>'Dry_Litterbag Placem_Collection'!A111</f>
        <v>109</v>
      </c>
      <c r="D330" s="253" t="str">
        <f>'Dry_Litterbag Placem_Collection'!B111</f>
        <v xml:space="preserve">Mwantimba
</v>
      </c>
      <c r="E330" s="253" t="s">
        <v>2454</v>
      </c>
      <c r="F330" s="253" t="s">
        <v>2644</v>
      </c>
      <c r="G330" s="253">
        <v>2</v>
      </c>
      <c r="H330" s="253" t="s">
        <v>3118</v>
      </c>
      <c r="I330" s="254" t="str">
        <f>'Dry_Litterbag Placem_Collection'!C111</f>
        <v>Wet_Ag2_T5</v>
      </c>
      <c r="J330" s="255" t="s">
        <v>2525</v>
      </c>
      <c r="K330" s="262" t="s">
        <v>298</v>
      </c>
      <c r="L330" s="221" t="str">
        <f>'WetLitterbags placem_collection'!M111</f>
        <v>R552</v>
      </c>
      <c r="M330" s="223">
        <f>IFERROR(INDEX('Green_rooibos initial weight'!$C$5:$C$2000,MATCH(L330, 'Green_rooibos initial weight'!$A$5:$A$2000,0)),"")</f>
        <v>2.222</v>
      </c>
      <c r="N330" s="223">
        <f>IFERROR(M330-(TBIcalc!$H$9+TBIcalc!$H$10),"")</f>
        <v>1.9722</v>
      </c>
      <c r="O330" s="378">
        <f>AVERAGE(Ashed_controlls!$K$2:$K$11)</f>
        <v>5.5147656768714146</v>
      </c>
      <c r="P330" s="223">
        <f t="shared" si="26"/>
        <v>1.8634377913207418</v>
      </c>
      <c r="Q330" s="223">
        <f>IFERROR(INDEX('Both teabags AfterWet'!$C$3:$C$840,MATCH(L330,'Both teabags AfterWet'!$A$3:$A$840,0)),"")</f>
        <v>1.7532000000000001</v>
      </c>
      <c r="R330" s="223">
        <f>IFERROR(IF(Q330&gt;0,Q330-(TBIcalc!$H$9),""),"")</f>
        <v>1.6026</v>
      </c>
      <c r="S330" s="223">
        <f>IFERROR(INDEX('Ashed teabags wet'!$K$2:$K$2000,MATCH(L330,'Ashed teabags wet'!$A$2:$A$2000,0)),"")</f>
        <v>9.2346938775513898</v>
      </c>
      <c r="T330" s="223">
        <f t="shared" si="27"/>
        <v>1.4546047959183614</v>
      </c>
      <c r="U330" s="224">
        <f>'WetLitterbags placem_collection'!E111</f>
        <v>42762</v>
      </c>
      <c r="V330" s="224">
        <f>IF('WetLitterbags placem_collection'!G111="","",'WetLitterbags placem_collection'!G111)</f>
        <v>42816</v>
      </c>
      <c r="W330" s="225">
        <f t="shared" si="25"/>
        <v>54</v>
      </c>
      <c r="X330" s="223">
        <f t="shared" si="28"/>
        <v>0.36959999999999993</v>
      </c>
      <c r="Y330" s="223">
        <f t="shared" si="29"/>
        <v>0.40883299540238038</v>
      </c>
      <c r="Z330">
        <f>IFERROR(INDEX([1]Rainfall_Wet!$O$2:$O$217,MATCH(C330, [1]Rainfall_Wet!$A$2:$A$217,0)),"")</f>
        <v>206.85140822299999</v>
      </c>
      <c r="AA330" s="226">
        <v>34.344660194174757</v>
      </c>
      <c r="AB330" s="226">
        <v>19.22727272727273</v>
      </c>
      <c r="AC330" s="226">
        <v>46.428067078552509</v>
      </c>
      <c r="AD330" s="227" t="s">
        <v>2651</v>
      </c>
      <c r="AE330" s="226">
        <v>5.7452932479053702</v>
      </c>
      <c r="AF330">
        <f>IF('WetLitterbags placem_collection'!AB111="","",'WetLitterbags placem_collection'!AB111)</f>
        <v>10.5</v>
      </c>
      <c r="AG330">
        <f>IF('WetLitterbags placem_collection'!Z111="","",'WetLitterbags placem_collection'!Z111)</f>
        <v>22.5</v>
      </c>
      <c r="AH330" s="236" t="str">
        <f>IF('WetLitterbags placem_collection'!AA111="","",'WetLitterbags placem_collection'!AA111)</f>
        <v>M</v>
      </c>
      <c r="AI330">
        <f>IF('WetLitterbags placem_collection'!AC111="","",'WetLitterbags placem_collection'!AC111)</f>
        <v>0</v>
      </c>
      <c r="AJ330" s="233">
        <f>AVERAGE('WetLitterbags placem_collection'!S111,'WetLitterbags placem_collection'!U111)</f>
        <v>9</v>
      </c>
      <c r="AK330">
        <f>AVERAGE('WetLitterbags placem_collection'!R111,'WetLitterbags placem_collection'!T111)</f>
        <v>33.5</v>
      </c>
      <c r="AL330">
        <f>INDEX([2]Coordinates!$B$2:$B$197,MATCH(I330,[2]Coordinates!$J$2:$J$197,0))</f>
        <v>-2.3698390370000002</v>
      </c>
      <c r="AM330">
        <f>INDEX([2]Coordinates!$C$2:$C$197,MATCH(I330,[2]Coordinates!$J$2:$J$197,0))</f>
        <v>34.059714</v>
      </c>
      <c r="AN330" t="str">
        <f>IF(ISNUMBER(SEARCH("C", 'WetLitterbags placem_collection'!$W111)),"YES","NO")</f>
        <v>NO</v>
      </c>
      <c r="AO330" t="str">
        <f>IF(ISNUMBER(SEARCH("H", 'WetLitterbags placem_collection'!$W111)),"YES","NO")</f>
        <v>NO</v>
      </c>
      <c r="AP330" t="str">
        <f>IF(ISNUMBER(SEARCH("R", 'WetLitterbags placem_collection'!$W111)),"YES","NO")</f>
        <v>NO</v>
      </c>
    </row>
    <row r="331" spans="1:42" ht="15" customHeight="1">
      <c r="A331" t="s">
        <v>3248</v>
      </c>
      <c r="B331" s="248" t="s">
        <v>2454</v>
      </c>
      <c r="C331" s="253">
        <f>'Dry_Litterbag Placem_Collection'!A112</f>
        <v>110</v>
      </c>
      <c r="D331" s="253" t="str">
        <f>'Dry_Litterbag Placem_Collection'!B112</f>
        <v xml:space="preserve">Mwantimba
</v>
      </c>
      <c r="E331" s="253" t="s">
        <v>2454</v>
      </c>
      <c r="F331" s="253" t="s">
        <v>2644</v>
      </c>
      <c r="G331" s="253">
        <v>2</v>
      </c>
      <c r="H331" s="253" t="s">
        <v>3118</v>
      </c>
      <c r="I331" s="254" t="str">
        <f>'Dry_Litterbag Placem_Collection'!C112</f>
        <v>Wet_Ag2_T6</v>
      </c>
      <c r="J331" s="255" t="s">
        <v>2525</v>
      </c>
      <c r="K331" s="262" t="s">
        <v>298</v>
      </c>
      <c r="L331" s="221" t="str">
        <f>'WetLitterbags placem_collection'!M112</f>
        <v>R462</v>
      </c>
      <c r="M331" s="223">
        <f>IFERROR(INDEX('Green_rooibos initial weight'!$C$5:$C$2000,MATCH(L331, 'Green_rooibos initial weight'!$A$5:$A$2000,0)),"")</f>
        <v>2.226</v>
      </c>
      <c r="N331" s="223">
        <f>IFERROR(M331-(TBIcalc!$H$9+TBIcalc!$H$10),"")</f>
        <v>1.9762</v>
      </c>
      <c r="O331" s="378">
        <f>AVERAGE(Ashed_controlls!$K$2:$K$11)</f>
        <v>5.5147656768714146</v>
      </c>
      <c r="P331" s="223">
        <f t="shared" si="26"/>
        <v>1.8672172006936671</v>
      </c>
      <c r="Q331" s="223">
        <f>IFERROR(INDEX('Both teabags AfterWet'!$C$3:$C$840,MATCH(L331,'Both teabags AfterWet'!$A$3:$A$840,0)),"")</f>
        <v>1.5465</v>
      </c>
      <c r="R331" s="223">
        <f>IFERROR(IF(Q331&gt;0,Q331-(TBIcalc!$H$9),""),"")</f>
        <v>1.3958999999999999</v>
      </c>
      <c r="S331" s="223">
        <f>IFERROR(INDEX('Ashed teabags wet'!$K$2:$K$2000,MATCH(L331,'Ashed teabags wet'!$A$2:$A$2000,0)),"")</f>
        <v>7.3158914728682047</v>
      </c>
      <c r="T331" s="223">
        <f t="shared" si="27"/>
        <v>1.2937774709302325</v>
      </c>
      <c r="U331" s="224">
        <f>'WetLitterbags placem_collection'!E112</f>
        <v>42762</v>
      </c>
      <c r="V331" s="224">
        <f>IF('WetLitterbags placem_collection'!G112="","",'WetLitterbags placem_collection'!G112)</f>
        <v>42816</v>
      </c>
      <c r="W331" s="225">
        <f t="shared" si="25"/>
        <v>54</v>
      </c>
      <c r="X331" s="223">
        <f t="shared" si="28"/>
        <v>0.58030000000000004</v>
      </c>
      <c r="Y331" s="223">
        <f t="shared" si="29"/>
        <v>0.5734397297634346</v>
      </c>
      <c r="Z331">
        <f>IFERROR(INDEX([1]Rainfall_Wet!$O$2:$O$217,MATCH(C331, [1]Rainfall_Wet!$A$2:$A$217,0)),"")</f>
        <v>206.85140822299999</v>
      </c>
      <c r="AA331" s="226">
        <v>34.344660194174757</v>
      </c>
      <c r="AB331" s="226">
        <v>19.22727272727273</v>
      </c>
      <c r="AC331" s="226">
        <v>46.428067078552509</v>
      </c>
      <c r="AD331" s="227" t="s">
        <v>2651</v>
      </c>
      <c r="AE331" s="226">
        <v>6.7452932479053702</v>
      </c>
      <c r="AF331">
        <f>IF('WetLitterbags placem_collection'!AB112="","",'WetLitterbags placem_collection'!AB112)</f>
        <v>5.75</v>
      </c>
      <c r="AG331">
        <f>IF('WetLitterbags placem_collection'!Z112="","",'WetLitterbags placem_collection'!Z112)</f>
        <v>22.5</v>
      </c>
      <c r="AH331" s="236" t="str">
        <f>IF('WetLitterbags placem_collection'!AA112="","",'WetLitterbags placem_collection'!AA112)</f>
        <v>M</v>
      </c>
      <c r="AI331">
        <f>IF('WetLitterbags placem_collection'!AC112="","",'WetLitterbags placem_collection'!AC112)</f>
        <v>0</v>
      </c>
      <c r="AJ331" s="233">
        <f>AVERAGE('WetLitterbags placem_collection'!S112,'WetLitterbags placem_collection'!U112)</f>
        <v>16.950000000000003</v>
      </c>
      <c r="AK331">
        <f>AVERAGE('WetLitterbags placem_collection'!R112,'WetLitterbags placem_collection'!T112)</f>
        <v>30.5</v>
      </c>
      <c r="AL331">
        <f>INDEX([2]Coordinates!$B$2:$B$197,MATCH(I331,[2]Coordinates!$J$2:$J$197,0))</f>
        <v>-2.3697549659999999</v>
      </c>
      <c r="AM331">
        <f>INDEX([2]Coordinates!$C$2:$C$197,MATCH(I331,[2]Coordinates!$J$2:$J$197,0))</f>
        <v>34.059668989999999</v>
      </c>
      <c r="AN331" t="str">
        <f>IF(ISNUMBER(SEARCH("C", 'WetLitterbags placem_collection'!$W112)),"YES","NO")</f>
        <v>NO</v>
      </c>
      <c r="AO331" t="str">
        <f>IF(ISNUMBER(SEARCH("H", 'WetLitterbags placem_collection'!$W112)),"YES","NO")</f>
        <v>NO</v>
      </c>
      <c r="AP331" t="str">
        <f>IF(ISNUMBER(SEARCH("R", 'WetLitterbags placem_collection'!$W112)),"YES","NO")</f>
        <v>NO</v>
      </c>
    </row>
    <row r="332" spans="1:42" ht="15" customHeight="1">
      <c r="A332" t="s">
        <v>3248</v>
      </c>
      <c r="B332" s="248" t="s">
        <v>2454</v>
      </c>
      <c r="C332" s="253">
        <f>'Dry_Litterbag Placem_Collection'!A113</f>
        <v>111</v>
      </c>
      <c r="D332" s="253" t="str">
        <f>'Dry_Litterbag Placem_Collection'!B113</f>
        <v xml:space="preserve">Mwantimba
</v>
      </c>
      <c r="E332" s="253" t="s">
        <v>2454</v>
      </c>
      <c r="F332" s="253" t="s">
        <v>2644</v>
      </c>
      <c r="G332" s="253">
        <v>2</v>
      </c>
      <c r="H332" s="253" t="s">
        <v>3118</v>
      </c>
      <c r="I332" s="254" t="str">
        <f>'Dry_Litterbag Placem_Collection'!C113</f>
        <v>Wet_Ag2_T7</v>
      </c>
      <c r="J332" s="255" t="s">
        <v>2525</v>
      </c>
      <c r="K332" s="262" t="s">
        <v>298</v>
      </c>
      <c r="L332" s="221" t="str">
        <f>'WetLitterbags placem_collection'!M113</f>
        <v>R505</v>
      </c>
      <c r="M332" s="223">
        <f>IFERROR(INDEX('Green_rooibos initial weight'!$C$5:$C$2000,MATCH(L332, 'Green_rooibos initial weight'!$A$5:$A$2000,0)),"")</f>
        <v>2.198</v>
      </c>
      <c r="N332" s="223">
        <f>IFERROR(M332-(TBIcalc!$H$9+TBIcalc!$H$10),"")</f>
        <v>1.9481999999999999</v>
      </c>
      <c r="O332" s="378">
        <f>AVERAGE(Ashed_controlls!$K$2:$K$11)</f>
        <v>5.5147656768714146</v>
      </c>
      <c r="P332" s="223">
        <f t="shared" si="26"/>
        <v>1.8407613350831911</v>
      </c>
      <c r="Q332" s="223">
        <f>IFERROR(INDEX('Both teabags AfterWet'!$C$3:$C$840,MATCH(L332,'Both teabags AfterWet'!$A$3:$A$840,0)),"")</f>
        <v>1.673</v>
      </c>
      <c r="R332" s="223">
        <f>IFERROR(IF(Q332&gt;0,Q332-(TBIcalc!$H$9),""),"")</f>
        <v>1.5224</v>
      </c>
      <c r="S332" s="223">
        <f>IFERROR(INDEX('Ashed teabags wet'!$K$2:$K$2000,MATCH(L332,'Ashed teabags wet'!$A$2:$A$2000,0)),"")</f>
        <v>8.7623762376235934</v>
      </c>
      <c r="T332" s="223">
        <f t="shared" si="27"/>
        <v>1.3890015841584185</v>
      </c>
      <c r="U332" s="224">
        <f>'WetLitterbags placem_collection'!E113</f>
        <v>42762</v>
      </c>
      <c r="V332" s="224">
        <f>IF('WetLitterbags placem_collection'!G113="","",'WetLitterbags placem_collection'!G113)</f>
        <v>42816</v>
      </c>
      <c r="W332" s="225">
        <f t="shared" si="25"/>
        <v>54</v>
      </c>
      <c r="X332" s="223">
        <f t="shared" si="28"/>
        <v>0.42579999999999996</v>
      </c>
      <c r="Y332" s="223">
        <f t="shared" si="29"/>
        <v>0.45175975092477261</v>
      </c>
      <c r="Z332">
        <f>IFERROR(INDEX([1]Rainfall_Wet!$O$2:$O$217,MATCH(C332, [1]Rainfall_Wet!$A$2:$A$217,0)),"")</f>
        <v>206.85140822299999</v>
      </c>
      <c r="AA332" s="226">
        <v>34.344660194174757</v>
      </c>
      <c r="AB332" s="226">
        <v>19.22727272727273</v>
      </c>
      <c r="AC332" s="226">
        <v>46.428067078552509</v>
      </c>
      <c r="AD332" s="227" t="s">
        <v>2651</v>
      </c>
      <c r="AE332" s="226">
        <v>7.7452932479053702</v>
      </c>
      <c r="AF332">
        <f>IF('WetLitterbags placem_collection'!AB113="","",'WetLitterbags placem_collection'!AB113)</f>
        <v>6.1</v>
      </c>
      <c r="AG332">
        <f>IF('WetLitterbags placem_collection'!Z113="","",'WetLitterbags placem_collection'!Z113)</f>
        <v>26</v>
      </c>
      <c r="AH332" s="236" t="str">
        <f>IF('WetLitterbags placem_collection'!AA113="","",'WetLitterbags placem_collection'!AA113)</f>
        <v>M</v>
      </c>
      <c r="AI332">
        <f>IF('WetLitterbags placem_collection'!AC113="","",'WetLitterbags placem_collection'!AC113)</f>
        <v>0</v>
      </c>
      <c r="AJ332" s="233">
        <f>AVERAGE('WetLitterbags placem_collection'!S113,'WetLitterbags placem_collection'!U113)</f>
        <v>11.1</v>
      </c>
      <c r="AK332">
        <f>AVERAGE('WetLitterbags placem_collection'!R113,'WetLitterbags placem_collection'!T113)</f>
        <v>32.65</v>
      </c>
      <c r="AL332">
        <f>INDEX([2]Coordinates!$B$2:$B$197,MATCH(I332,[2]Coordinates!$J$2:$J$197,0))</f>
        <v>-2.3697330060000001</v>
      </c>
      <c r="AM332">
        <f>INDEX([2]Coordinates!$C$2:$C$197,MATCH(I332,[2]Coordinates!$J$2:$J$197,0))</f>
        <v>34.059615010000002</v>
      </c>
      <c r="AN332" t="str">
        <f>IF(ISNUMBER(SEARCH("C", 'WetLitterbags placem_collection'!$W113)),"YES","NO")</f>
        <v>NO</v>
      </c>
      <c r="AO332" t="str">
        <f>IF(ISNUMBER(SEARCH("H", 'WetLitterbags placem_collection'!$W113)),"YES","NO")</f>
        <v>NO</v>
      </c>
      <c r="AP332" t="str">
        <f>IF(ISNUMBER(SEARCH("R", 'WetLitterbags placem_collection'!$W113)),"YES","NO")</f>
        <v>NO</v>
      </c>
    </row>
    <row r="333" spans="1:42" ht="15" customHeight="1">
      <c r="A333" t="s">
        <v>3248</v>
      </c>
      <c r="B333" s="248" t="s">
        <v>2454</v>
      </c>
      <c r="C333" s="253">
        <f>'Dry_Litterbag Placem_Collection'!A114</f>
        <v>112</v>
      </c>
      <c r="D333" s="253" t="str">
        <f>'Dry_Litterbag Placem_Collection'!B114</f>
        <v xml:space="preserve">Mwantimba
</v>
      </c>
      <c r="E333" s="253" t="s">
        <v>2454</v>
      </c>
      <c r="F333" s="253" t="s">
        <v>2644</v>
      </c>
      <c r="G333" s="253">
        <v>2</v>
      </c>
      <c r="H333" s="253" t="s">
        <v>3118</v>
      </c>
      <c r="I333" s="254" t="str">
        <f>'Dry_Litterbag Placem_Collection'!C114</f>
        <v>Wet_Ag2_T8</v>
      </c>
      <c r="J333" s="255" t="s">
        <v>2525</v>
      </c>
      <c r="K333" s="262" t="s">
        <v>298</v>
      </c>
      <c r="L333" s="221" t="str">
        <f>'WetLitterbags placem_collection'!M114</f>
        <v>R41</v>
      </c>
      <c r="M333" s="223">
        <f>IFERROR(INDEX('Green_rooibos initial weight'!$C$5:$C$2000,MATCH(L333, 'Green_rooibos initial weight'!$A$5:$A$2000,0)),"")</f>
        <v>2.2010000000000001</v>
      </c>
      <c r="N333" s="223">
        <f>IFERROR(M333-(TBIcalc!$H$9+TBIcalc!$H$10),"")</f>
        <v>1.9512</v>
      </c>
      <c r="O333" s="378">
        <f>AVERAGE(Ashed_controlls!$K$2:$K$11)</f>
        <v>5.5147656768714146</v>
      </c>
      <c r="P333" s="223">
        <f t="shared" si="26"/>
        <v>1.843595892112885</v>
      </c>
      <c r="Q333" s="223">
        <f>IFERROR(INDEX('Both teabags AfterWet'!$C$3:$C$840,MATCH(L333,'Both teabags AfterWet'!$A$3:$A$840,0)),"")</f>
        <v>1.6910000000000001</v>
      </c>
      <c r="R333" s="223">
        <f>IFERROR(IF(Q333&gt;0,Q333-(TBIcalc!$H$9),""),"")</f>
        <v>1.5404</v>
      </c>
      <c r="S333" s="223">
        <f>IFERROR(INDEX('Ashed teabags wet'!$K$2:$K$2000,MATCH(L333,'Ashed teabags wet'!$A$2:$A$2000,0)),"")</f>
        <v>6.9995105237407165</v>
      </c>
      <c r="T333" s="223">
        <f t="shared" si="27"/>
        <v>1.432579539892298</v>
      </c>
      <c r="U333" s="224">
        <f>'WetLitterbags placem_collection'!E114</f>
        <v>42762</v>
      </c>
      <c r="V333" s="224">
        <f>IF('WetLitterbags placem_collection'!G114="","",'WetLitterbags placem_collection'!G114)</f>
        <v>42816</v>
      </c>
      <c r="W333" s="225">
        <f t="shared" si="25"/>
        <v>54</v>
      </c>
      <c r="X333" s="223">
        <f t="shared" si="28"/>
        <v>0.41080000000000005</v>
      </c>
      <c r="Y333" s="223">
        <f t="shared" si="29"/>
        <v>0.41101635222058697</v>
      </c>
      <c r="Z333">
        <f>IFERROR(INDEX([1]Rainfall_Wet!$O$2:$O$217,MATCH(C333, [1]Rainfall_Wet!$A$2:$A$217,0)),"")</f>
        <v>206.85140822299999</v>
      </c>
      <c r="AA333" s="226">
        <v>34.344660194174757</v>
      </c>
      <c r="AB333" s="226">
        <v>19.22727272727273</v>
      </c>
      <c r="AC333" s="226">
        <v>46.428067078552509</v>
      </c>
      <c r="AD333" s="227" t="s">
        <v>2651</v>
      </c>
      <c r="AE333" s="226">
        <v>8.7452932479053693</v>
      </c>
      <c r="AF333">
        <f>IF('WetLitterbags placem_collection'!AB114="","",'WetLitterbags placem_collection'!AB114)</f>
        <v>11.5</v>
      </c>
      <c r="AG333">
        <f>IF('WetLitterbags placem_collection'!Z114="","",'WetLitterbags placem_collection'!Z114)</f>
        <v>15</v>
      </c>
      <c r="AH333" s="236" t="str">
        <f>IF('WetLitterbags placem_collection'!AA114="","",'WetLitterbags placem_collection'!AA114)</f>
        <v>M</v>
      </c>
      <c r="AI333">
        <f>IF('WetLitterbags placem_collection'!AC114="","",'WetLitterbags placem_collection'!AC114)</f>
        <v>0</v>
      </c>
      <c r="AJ333" s="233">
        <f>AVERAGE('WetLitterbags placem_collection'!S114,'WetLitterbags placem_collection'!U114)</f>
        <v>15.2</v>
      </c>
      <c r="AK333">
        <f>AVERAGE('WetLitterbags placem_collection'!R114,'WetLitterbags placem_collection'!T114)</f>
        <v>31.450000000000003</v>
      </c>
      <c r="AL333">
        <f>INDEX([2]Coordinates!$B$2:$B$197,MATCH(I333,[2]Coordinates!$J$2:$J$197,0))</f>
        <v>-2.36967098</v>
      </c>
      <c r="AM333">
        <f>INDEX([2]Coordinates!$C$2:$C$197,MATCH(I333,[2]Coordinates!$J$2:$J$197,0))</f>
        <v>34.059735959999998</v>
      </c>
      <c r="AN333" t="str">
        <f>IF(ISNUMBER(SEARCH("C", 'WetLitterbags placem_collection'!$W114)),"YES","NO")</f>
        <v>NO</v>
      </c>
      <c r="AO333" t="str">
        <f>IF(ISNUMBER(SEARCH("H", 'WetLitterbags placem_collection'!$W114)),"YES","NO")</f>
        <v>NO</v>
      </c>
      <c r="AP333" t="str">
        <f>IF(ISNUMBER(SEARCH("R", 'WetLitterbags placem_collection'!$W114)),"YES","NO")</f>
        <v>YES</v>
      </c>
    </row>
    <row r="334" spans="1:42" ht="15" customHeight="1">
      <c r="A334" t="s">
        <v>3248</v>
      </c>
      <c r="B334" s="248" t="s">
        <v>2454</v>
      </c>
      <c r="C334" s="253">
        <f>'Dry_Litterbag Placem_Collection'!A115</f>
        <v>113</v>
      </c>
      <c r="D334" s="253" t="str">
        <f>'Dry_Litterbag Placem_Collection'!B115</f>
        <v xml:space="preserve">Mwantimba
</v>
      </c>
      <c r="E334" s="253" t="s">
        <v>2454</v>
      </c>
      <c r="F334" s="253" t="s">
        <v>2644</v>
      </c>
      <c r="G334" s="253">
        <v>3</v>
      </c>
      <c r="H334" s="253" t="s">
        <v>3119</v>
      </c>
      <c r="I334" s="254" t="str">
        <f>'Dry_Litterbag Placem_Collection'!C115</f>
        <v>Wet_Ag3_T1</v>
      </c>
      <c r="J334" s="255" t="s">
        <v>2525</v>
      </c>
      <c r="K334" s="262" t="s">
        <v>298</v>
      </c>
      <c r="L334" s="221" t="str">
        <f>'WetLitterbags placem_collection'!M115</f>
        <v>R428</v>
      </c>
      <c r="M334" s="223">
        <f>IFERROR(INDEX('Green_rooibos initial weight'!$C$5:$C$2000,MATCH(L334, 'Green_rooibos initial weight'!$A$5:$A$2000,0)),"")</f>
        <v>2.202</v>
      </c>
      <c r="N334" s="223">
        <f>IFERROR(M334-(TBIcalc!$H$9+TBIcalc!$H$10),"")</f>
        <v>1.9521999999999999</v>
      </c>
      <c r="O334" s="378">
        <f>AVERAGE(Ashed_controlls!$K$2:$K$11)</f>
        <v>5.5147656768714146</v>
      </c>
      <c r="P334" s="223">
        <f t="shared" si="26"/>
        <v>1.8445407444561162</v>
      </c>
      <c r="Q334" s="223">
        <f>IFERROR(INDEX('Both teabags AfterWet'!$C$3:$C$840,MATCH(L334,'Both teabags AfterWet'!$A$3:$A$840,0)),"")</f>
        <v>1.768</v>
      </c>
      <c r="R334" s="223">
        <f>IFERROR(IF(Q334&gt;0,Q334-(TBIcalc!$H$9),""),"")</f>
        <v>1.6173999999999999</v>
      </c>
      <c r="S334" s="223">
        <f>IFERROR(INDEX('Ashed teabags wet'!$K$2:$K$2000,MATCH(L334,'Ashed teabags wet'!$A$2:$A$2000,0)),"")</f>
        <v>90.530490827962367</v>
      </c>
      <c r="T334" s="223">
        <f t="shared" si="27"/>
        <v>0.15315984134853666</v>
      </c>
      <c r="U334" s="224">
        <f>'WetLitterbags placem_collection'!E115</f>
        <v>42762</v>
      </c>
      <c r="V334" s="224">
        <f>IF('WetLitterbags placem_collection'!G115="","",'WetLitterbags placem_collection'!G115)</f>
        <v>42816</v>
      </c>
      <c r="W334" s="225">
        <f t="shared" si="25"/>
        <v>54</v>
      </c>
      <c r="X334" s="223">
        <f t="shared" si="28"/>
        <v>0.33479999999999999</v>
      </c>
      <c r="Y334" s="223">
        <f t="shared" si="29"/>
        <v>1.6913809031075795</v>
      </c>
      <c r="Z334">
        <f>IFERROR(INDEX([1]Rainfall_Wet!$O$2:$O$217,MATCH(C334, [1]Rainfall_Wet!$A$2:$A$217,0)),"")</f>
        <v>206.85140822299999</v>
      </c>
      <c r="AA334" s="226">
        <v>27.96</v>
      </c>
      <c r="AB334" s="226">
        <v>4.9200000000000017</v>
      </c>
      <c r="AC334" s="226">
        <v>67.12</v>
      </c>
      <c r="AD334" s="227" t="s">
        <v>2651</v>
      </c>
      <c r="AE334" s="226">
        <v>0.88610152784622953</v>
      </c>
      <c r="AF334">
        <f>IF('WetLitterbags placem_collection'!AB115="","",'WetLitterbags placem_collection'!AB115)</f>
        <v>26</v>
      </c>
      <c r="AG334">
        <f>IF('WetLitterbags placem_collection'!Z115="","",'WetLitterbags placem_collection'!Z115)</f>
        <v>88.5</v>
      </c>
      <c r="AH334" s="236" t="str">
        <f>IF('WetLitterbags placem_collection'!AA115="","",'WetLitterbags placem_collection'!AA115)</f>
        <v>G</v>
      </c>
      <c r="AI334">
        <f>IF('WetLitterbags placem_collection'!AC115="","",'WetLitterbags placem_collection'!AC115)</f>
        <v>0</v>
      </c>
      <c r="AJ334" s="233">
        <f>AVERAGE('WetLitterbags placem_collection'!S115,'WetLitterbags placem_collection'!U115)</f>
        <v>8.6999999999999993</v>
      </c>
      <c r="AK334">
        <f>AVERAGE('WetLitterbags placem_collection'!R115,'WetLitterbags placem_collection'!T115)</f>
        <v>32.4</v>
      </c>
      <c r="AL334">
        <f>INDEX([2]Coordinates!$B$2:$B$197,MATCH(I334,[2]Coordinates!$J$2:$J$197,0))</f>
        <v>-2.3487199940000001</v>
      </c>
      <c r="AM334">
        <f>INDEX([2]Coordinates!$C$2:$C$197,MATCH(I334,[2]Coordinates!$J$2:$J$197,0))</f>
        <v>34.051391029999998</v>
      </c>
      <c r="AN334" t="str">
        <f>IF(ISNUMBER(SEARCH("C", 'WetLitterbags placem_collection'!$W115)),"YES","NO")</f>
        <v>NO</v>
      </c>
      <c r="AO334" t="str">
        <f>IF(ISNUMBER(SEARCH("H", 'WetLitterbags placem_collection'!$W115)),"YES","NO")</f>
        <v>YES</v>
      </c>
      <c r="AP334" t="str">
        <f>IF(ISNUMBER(SEARCH("R", 'WetLitterbags placem_collection'!$W115)),"YES","NO")</f>
        <v>YES</v>
      </c>
    </row>
    <row r="335" spans="1:42" ht="15" customHeight="1">
      <c r="A335" t="s">
        <v>3248</v>
      </c>
      <c r="B335" s="248" t="s">
        <v>2454</v>
      </c>
      <c r="C335" s="253">
        <f>'Dry_Litterbag Placem_Collection'!A116</f>
        <v>114</v>
      </c>
      <c r="D335" s="253" t="str">
        <f>'Dry_Litterbag Placem_Collection'!B116</f>
        <v xml:space="preserve">Mwantimba
</v>
      </c>
      <c r="E335" s="253" t="s">
        <v>2454</v>
      </c>
      <c r="F335" s="253" t="s">
        <v>2644</v>
      </c>
      <c r="G335" s="253">
        <v>3</v>
      </c>
      <c r="H335" s="253" t="s">
        <v>3119</v>
      </c>
      <c r="I335" s="254" t="str">
        <f>'Dry_Litterbag Placem_Collection'!C116</f>
        <v>Wet_Ag3_T2</v>
      </c>
      <c r="J335" s="255" t="s">
        <v>2525</v>
      </c>
      <c r="K335" s="262" t="s">
        <v>298</v>
      </c>
      <c r="L335" s="221" t="str">
        <f>'WetLitterbags placem_collection'!M116</f>
        <v>R601</v>
      </c>
      <c r="M335" s="223">
        <f>IFERROR(INDEX('Green_rooibos initial weight'!$C$5:$C$2000,MATCH(L335, 'Green_rooibos initial weight'!$A$5:$A$2000,0)),"")</f>
        <v>2.198</v>
      </c>
      <c r="N335" s="223">
        <f>IFERROR(M335-(TBIcalc!$H$9+TBIcalc!$H$10),"")</f>
        <v>1.9481999999999999</v>
      </c>
      <c r="O335" s="378">
        <f>AVERAGE(Ashed_controlls!$K$2:$K$11)</f>
        <v>5.5147656768714146</v>
      </c>
      <c r="P335" s="223">
        <f t="shared" si="26"/>
        <v>1.8407613350831911</v>
      </c>
      <c r="Q335" s="223">
        <f>IFERROR(INDEX('Both teabags AfterWet'!$C$3:$C$840,MATCH(L335,'Both teabags AfterWet'!$A$3:$A$840,0)),"")</f>
        <v>2.7930000000000001</v>
      </c>
      <c r="R335" s="223">
        <f>IFERROR(IF(Q335&gt;0,Q335-(TBIcalc!$H$9),""),"")</f>
        <v>2.6424000000000003</v>
      </c>
      <c r="S335" s="223">
        <f>IFERROR(INDEX('Ashed teabags wet'!$K$2:$K$2000,MATCH(L335,'Ashed teabags wet'!$A$2:$A$2000,0)),"")</f>
        <v>95.101842870998382</v>
      </c>
      <c r="T335" s="223">
        <f t="shared" si="27"/>
        <v>0.12942890397673867</v>
      </c>
      <c r="U335" s="224">
        <f>'WetLitterbags placem_collection'!E116</f>
        <v>42762</v>
      </c>
      <c r="V335" s="224">
        <f>IF('WetLitterbags placem_collection'!G116="","",'WetLitterbags placem_collection'!G116)</f>
        <v>42816</v>
      </c>
      <c r="W335" s="225">
        <f t="shared" si="25"/>
        <v>54</v>
      </c>
      <c r="X335" s="223">
        <f t="shared" si="28"/>
        <v>-0.69420000000000037</v>
      </c>
      <c r="Y335" s="223">
        <f t="shared" si="29"/>
        <v>1.7113324311064524</v>
      </c>
      <c r="Z335">
        <f>IFERROR(INDEX([1]Rainfall_Wet!$O$2:$O$217,MATCH(C335, [1]Rainfall_Wet!$A$2:$A$217,0)),"")</f>
        <v>206.85140822299999</v>
      </c>
      <c r="AA335" s="226">
        <v>27.96</v>
      </c>
      <c r="AB335" s="226">
        <v>4.9200000000000017</v>
      </c>
      <c r="AC335" s="226">
        <v>67.12</v>
      </c>
      <c r="AD335" s="227" t="s">
        <v>2651</v>
      </c>
      <c r="AE335" s="226">
        <v>1.8861015278462301</v>
      </c>
      <c r="AF335">
        <f>IF('WetLitterbags placem_collection'!AB116="","",'WetLitterbags placem_collection'!AB116)</f>
        <v>16.5</v>
      </c>
      <c r="AG335">
        <f>IF('WetLitterbags placem_collection'!Z116="","",'WetLitterbags placem_collection'!Z116)</f>
        <v>87.5</v>
      </c>
      <c r="AH335" s="236" t="str">
        <f>IF('WetLitterbags placem_collection'!AA116="","",'WetLitterbags placem_collection'!AA116)</f>
        <v>G</v>
      </c>
      <c r="AI335">
        <f>IF('WetLitterbags placem_collection'!AC116="","",'WetLitterbags placem_collection'!AC116)</f>
        <v>0</v>
      </c>
      <c r="AJ335" s="233">
        <f>AVERAGE('WetLitterbags placem_collection'!S116,'WetLitterbags placem_collection'!U116)</f>
        <v>12.899999999999999</v>
      </c>
      <c r="AK335">
        <f>AVERAGE('WetLitterbags placem_collection'!R116,'WetLitterbags placem_collection'!T116)</f>
        <v>30.450000000000003</v>
      </c>
      <c r="AL335">
        <f>INDEX([2]Coordinates!$B$2:$B$197,MATCH(I335,[2]Coordinates!$J$2:$J$197,0))</f>
        <v>-2.348716976</v>
      </c>
      <c r="AM335">
        <f>INDEX([2]Coordinates!$C$2:$C$197,MATCH(I335,[2]Coordinates!$J$2:$J$197,0))</f>
        <v>34.051484989999999</v>
      </c>
      <c r="AN335" t="str">
        <f>IF(ISNUMBER(SEARCH("C", 'WetLitterbags placem_collection'!$W116)),"YES","NO")</f>
        <v>NO</v>
      </c>
      <c r="AO335" t="str">
        <f>IF(ISNUMBER(SEARCH("H", 'WetLitterbags placem_collection'!$W116)),"YES","NO")</f>
        <v>YES</v>
      </c>
      <c r="AP335" t="str">
        <f>IF(ISNUMBER(SEARCH("R", 'WetLitterbags placem_collection'!$W116)),"YES","NO")</f>
        <v>YES</v>
      </c>
    </row>
    <row r="336" spans="1:42" ht="15" customHeight="1">
      <c r="A336" t="s">
        <v>3248</v>
      </c>
      <c r="B336" s="248" t="s">
        <v>2454</v>
      </c>
      <c r="C336" s="253">
        <f>'Dry_Litterbag Placem_Collection'!A117</f>
        <v>115</v>
      </c>
      <c r="D336" s="253" t="str">
        <f>'Dry_Litterbag Placem_Collection'!B117</f>
        <v xml:space="preserve">Mwantimba
</v>
      </c>
      <c r="E336" s="253" t="s">
        <v>2454</v>
      </c>
      <c r="F336" s="253" t="s">
        <v>2644</v>
      </c>
      <c r="G336" s="253">
        <v>3</v>
      </c>
      <c r="H336" s="253" t="s">
        <v>3119</v>
      </c>
      <c r="I336" s="254" t="str">
        <f>'Dry_Litterbag Placem_Collection'!C117</f>
        <v>Wet_Ag3_T3</v>
      </c>
      <c r="J336" s="255" t="s">
        <v>2525</v>
      </c>
      <c r="K336" s="262" t="s">
        <v>298</v>
      </c>
      <c r="L336" s="221" t="str">
        <f>'WetLitterbags placem_collection'!M117</f>
        <v>R553</v>
      </c>
      <c r="M336" s="223">
        <f>IFERROR(INDEX('Green_rooibos initial weight'!$C$5:$C$2000,MATCH(L336, 'Green_rooibos initial weight'!$A$5:$A$2000,0)),"")</f>
        <v>2.1949999999999998</v>
      </c>
      <c r="N336" s="223">
        <f>IFERROR(M336-(TBIcalc!$H$9+TBIcalc!$H$10),"")</f>
        <v>1.9451999999999998</v>
      </c>
      <c r="O336" s="378">
        <f>AVERAGE(Ashed_controlls!$K$2:$K$11)</f>
        <v>5.5147656768714146</v>
      </c>
      <c r="P336" s="223">
        <f t="shared" si="26"/>
        <v>1.8379267780534971</v>
      </c>
      <c r="Q336" s="223">
        <f>IFERROR(INDEX('Both teabags AfterWet'!$C$3:$C$840,MATCH(L336,'Both teabags AfterWet'!$A$3:$A$840,0)),"")</f>
        <v>0.99990000000000001</v>
      </c>
      <c r="R336" s="223">
        <f>IFERROR(IF(Q336&gt;0,Q336-(TBIcalc!$H$9),""),"")</f>
        <v>0.84929999999999994</v>
      </c>
      <c r="S336" s="223">
        <f>IFERROR(INDEX('Ashed teabags wet'!$K$2:$K$2000,MATCH(L336,'Ashed teabags wet'!$A$2:$A$2000,0)),"")</f>
        <v>91.722365038559602</v>
      </c>
      <c r="T336" s="223">
        <f t="shared" si="27"/>
        <v>7.0301953727513244E-2</v>
      </c>
      <c r="U336" s="224">
        <f>'WetLitterbags placem_collection'!E117</f>
        <v>42762</v>
      </c>
      <c r="V336" s="224">
        <f>IF('WetLitterbags placem_collection'!G117="","",'WetLitterbags placem_collection'!G117)</f>
        <v>42816</v>
      </c>
      <c r="W336" s="225">
        <f t="shared" si="25"/>
        <v>54</v>
      </c>
      <c r="X336" s="223">
        <f t="shared" si="28"/>
        <v>1.0958999999999999</v>
      </c>
      <c r="Y336" s="223">
        <f t="shared" si="29"/>
        <v>1.767624824325984</v>
      </c>
      <c r="Z336">
        <f>IFERROR(INDEX([1]Rainfall_Wet!$O$2:$O$217,MATCH(C336, [1]Rainfall_Wet!$A$2:$A$217,0)),"")</f>
        <v>206.85140822299999</v>
      </c>
      <c r="AA336" s="226">
        <v>27.96</v>
      </c>
      <c r="AB336" s="226">
        <v>4.9200000000000017</v>
      </c>
      <c r="AC336" s="226">
        <v>67.12</v>
      </c>
      <c r="AD336" s="227" t="s">
        <v>2651</v>
      </c>
      <c r="AE336" s="226">
        <v>2.8861015278462299</v>
      </c>
      <c r="AF336">
        <f>IF('WetLitterbags placem_collection'!AB117="","",'WetLitterbags placem_collection'!AB117)</f>
        <v>19</v>
      </c>
      <c r="AG336">
        <f>IF('WetLitterbags placem_collection'!Z117="","",'WetLitterbags placem_collection'!Z117)</f>
        <v>79.5</v>
      </c>
      <c r="AH336" s="236" t="str">
        <f>IF('WetLitterbags placem_collection'!AA117="","",'WetLitterbags placem_collection'!AA117)</f>
        <v>G</v>
      </c>
      <c r="AI336">
        <f>IF('WetLitterbags placem_collection'!AC117="","",'WetLitterbags placem_collection'!AC117)</f>
        <v>1</v>
      </c>
      <c r="AJ336" s="233">
        <f>AVERAGE('WetLitterbags placem_collection'!S117,'WetLitterbags placem_collection'!U117)</f>
        <v>9.9499999999999993</v>
      </c>
      <c r="AK336">
        <f>AVERAGE('WetLitterbags placem_collection'!R117,'WetLitterbags placem_collection'!T117)</f>
        <v>31.7</v>
      </c>
      <c r="AL336">
        <f>INDEX([2]Coordinates!$B$2:$B$197,MATCH(I336,[2]Coordinates!$J$2:$J$197,0))</f>
        <v>-2.3487800079999999</v>
      </c>
      <c r="AM336">
        <f>INDEX([2]Coordinates!$C$2:$C$197,MATCH(I336,[2]Coordinates!$J$2:$J$197,0))</f>
        <v>34.051495969999998</v>
      </c>
      <c r="AN336" t="str">
        <f>IF(ISNUMBER(SEARCH("C", 'WetLitterbags placem_collection'!$W117)),"YES","NO")</f>
        <v>NO</v>
      </c>
      <c r="AO336" t="str">
        <f>IF(ISNUMBER(SEARCH("H", 'WetLitterbags placem_collection'!$W117)),"YES","NO")</f>
        <v>YES</v>
      </c>
      <c r="AP336" t="str">
        <f>IF(ISNUMBER(SEARCH("R", 'WetLitterbags placem_collection'!$W117)),"YES","NO")</f>
        <v>YES</v>
      </c>
    </row>
    <row r="337" spans="1:42" ht="15" customHeight="1">
      <c r="A337" t="s">
        <v>3248</v>
      </c>
      <c r="B337" s="248" t="s">
        <v>2454</v>
      </c>
      <c r="C337" s="253">
        <f>'Dry_Litterbag Placem_Collection'!A118</f>
        <v>116</v>
      </c>
      <c r="D337" s="253" t="str">
        <f>'Dry_Litterbag Placem_Collection'!B118</f>
        <v xml:space="preserve">Mwantimba
</v>
      </c>
      <c r="E337" s="253" t="s">
        <v>2454</v>
      </c>
      <c r="F337" s="253" t="s">
        <v>2644</v>
      </c>
      <c r="G337" s="253">
        <v>3</v>
      </c>
      <c r="H337" s="253" t="s">
        <v>3119</v>
      </c>
      <c r="I337" s="254" t="str">
        <f>'Dry_Litterbag Placem_Collection'!C118</f>
        <v>Wet_Ag3_T4</v>
      </c>
      <c r="J337" s="255" t="s">
        <v>2525</v>
      </c>
      <c r="K337" s="262" t="s">
        <v>298</v>
      </c>
      <c r="L337" s="221" t="str">
        <f>'WetLitterbags placem_collection'!M118</f>
        <v>R459</v>
      </c>
      <c r="M337" s="223">
        <f>IFERROR(INDEX('Green_rooibos initial weight'!$C$5:$C$2000,MATCH(L337, 'Green_rooibos initial weight'!$A$5:$A$2000,0)),"")</f>
        <v>2.2090000000000001</v>
      </c>
      <c r="N337" s="223">
        <f>IFERROR(M337-(TBIcalc!$H$9+TBIcalc!$H$10),"")</f>
        <v>1.9592000000000001</v>
      </c>
      <c r="O337" s="378">
        <f>AVERAGE(Ashed_controlls!$K$2:$K$11)</f>
        <v>5.5147656768714146</v>
      </c>
      <c r="P337" s="223">
        <f t="shared" si="26"/>
        <v>1.8511547108587354</v>
      </c>
      <c r="Q337" s="223">
        <f>IFERROR(INDEX('Both teabags AfterWet'!$C$3:$C$840,MATCH(L337,'Both teabags AfterWet'!$A$3:$A$840,0)),"")</f>
        <v>0.68710000000000004</v>
      </c>
      <c r="R337" s="223">
        <f>IFERROR(IF(Q337&gt;0,Q337-(TBIcalc!$H$9),""),"")</f>
        <v>0.53649999999999998</v>
      </c>
      <c r="S337" s="223">
        <f>IFERROR(INDEX('Ashed teabags wet'!$K$2:$K$2000,MATCH(L337,'Ashed teabags wet'!$A$2:$A$2000,0)),"")</f>
        <v>84.783689706613757</v>
      </c>
      <c r="T337" s="223">
        <f t="shared" si="27"/>
        <v>8.1635504724017205E-2</v>
      </c>
      <c r="U337" s="224">
        <f>'WetLitterbags placem_collection'!E118</f>
        <v>42762</v>
      </c>
      <c r="V337" s="224">
        <f>IF('WetLitterbags placem_collection'!G118="","",'WetLitterbags placem_collection'!G118)</f>
        <v>42816</v>
      </c>
      <c r="W337" s="225">
        <f t="shared" si="25"/>
        <v>54</v>
      </c>
      <c r="X337" s="223">
        <f t="shared" si="28"/>
        <v>1.4227000000000001</v>
      </c>
      <c r="Y337" s="223">
        <f t="shared" si="29"/>
        <v>1.7695192061347182</v>
      </c>
      <c r="Z337">
        <f>IFERROR(INDEX([1]Rainfall_Wet!$O$2:$O$217,MATCH(C337, [1]Rainfall_Wet!$A$2:$A$217,0)),"")</f>
        <v>206.85140822299999</v>
      </c>
      <c r="AA337" s="226">
        <v>27.96</v>
      </c>
      <c r="AB337" s="226">
        <v>4.9200000000000017</v>
      </c>
      <c r="AC337" s="226">
        <v>67.12</v>
      </c>
      <c r="AD337" s="227" t="s">
        <v>2651</v>
      </c>
      <c r="AE337" s="226">
        <v>3.8861015278462299</v>
      </c>
      <c r="AF337">
        <f>IF('WetLitterbags placem_collection'!AB118="","",'WetLitterbags placem_collection'!AB118)</f>
        <v>22.5</v>
      </c>
      <c r="AG337">
        <f>IF('WetLitterbags placem_collection'!Z118="","",'WetLitterbags placem_collection'!Z118)</f>
        <v>76</v>
      </c>
      <c r="AH337" s="236" t="str">
        <f>IF('WetLitterbags placem_collection'!AA118="","",'WetLitterbags placem_collection'!AA118)</f>
        <v>G</v>
      </c>
      <c r="AI337">
        <f>IF('WetLitterbags placem_collection'!AC118="","",'WetLitterbags placem_collection'!AC118)</f>
        <v>1</v>
      </c>
      <c r="AJ337" s="233">
        <f>AVERAGE('WetLitterbags placem_collection'!S118,'WetLitterbags placem_collection'!U118)</f>
        <v>8.75</v>
      </c>
      <c r="AK337">
        <f>AVERAGE('WetLitterbags placem_collection'!R118,'WetLitterbags placem_collection'!T118)</f>
        <v>25.6</v>
      </c>
      <c r="AL337">
        <f>INDEX([2]Coordinates!$B$2:$B$197,MATCH(I337,[2]Coordinates!$J$2:$J$197,0))</f>
        <v>-2.3488120270000001</v>
      </c>
      <c r="AM337">
        <f>INDEX([2]Coordinates!$C$2:$C$197,MATCH(I337,[2]Coordinates!$J$2:$J$197,0))</f>
        <v>34.05146697</v>
      </c>
      <c r="AN337" t="str">
        <f>IF(ISNUMBER(SEARCH("C", 'WetLitterbags placem_collection'!$W118)),"YES","NO")</f>
        <v>NO</v>
      </c>
      <c r="AO337" t="str">
        <f>IF(ISNUMBER(SEARCH("H", 'WetLitterbags placem_collection'!$W118)),"YES","NO")</f>
        <v>YES</v>
      </c>
      <c r="AP337" t="str">
        <f>IF(ISNUMBER(SEARCH("R", 'WetLitterbags placem_collection'!$W118)),"YES","NO")</f>
        <v>YES</v>
      </c>
    </row>
    <row r="338" spans="1:42" ht="15" customHeight="1">
      <c r="A338" t="s">
        <v>3248</v>
      </c>
      <c r="B338" s="248" t="s">
        <v>2454</v>
      </c>
      <c r="C338" s="253">
        <f>'Dry_Litterbag Placem_Collection'!A119</f>
        <v>117</v>
      </c>
      <c r="D338" s="253" t="str">
        <f>'Dry_Litterbag Placem_Collection'!B119</f>
        <v xml:space="preserve">Mwantimba
</v>
      </c>
      <c r="E338" s="253" t="s">
        <v>2454</v>
      </c>
      <c r="F338" s="253" t="s">
        <v>2644</v>
      </c>
      <c r="G338" s="253">
        <v>3</v>
      </c>
      <c r="H338" s="253" t="s">
        <v>3119</v>
      </c>
      <c r="I338" s="254" t="str">
        <f>'Dry_Litterbag Placem_Collection'!C119</f>
        <v>Wet_Ag3_T5</v>
      </c>
      <c r="J338" s="255" t="s">
        <v>2525</v>
      </c>
      <c r="K338" s="262" t="s">
        <v>298</v>
      </c>
      <c r="L338" s="221" t="str">
        <f>'WetLitterbags placem_collection'!M119</f>
        <v>R511</v>
      </c>
      <c r="M338" s="223">
        <f>IFERROR(INDEX('Green_rooibos initial weight'!$C$5:$C$2000,MATCH(L338, 'Green_rooibos initial weight'!$A$5:$A$2000,0)),"")</f>
        <v>2.1779999999999999</v>
      </c>
      <c r="N338" s="223">
        <f>IFERROR(M338-(TBIcalc!$H$9+TBIcalc!$H$10),"")</f>
        <v>1.9281999999999999</v>
      </c>
      <c r="O338" s="378">
        <f>AVERAGE(Ashed_controlls!$K$2:$K$11)</f>
        <v>5.5147656768714146</v>
      </c>
      <c r="P338" s="223">
        <f t="shared" si="26"/>
        <v>1.8218642882185654</v>
      </c>
      <c r="Q338" s="223">
        <f>IFERROR(INDEX('Both teabags AfterWet'!$C$3:$C$840,MATCH(L338,'Both teabags AfterWet'!$A$3:$A$840,0)),"")</f>
        <v>0.39700000000000002</v>
      </c>
      <c r="R338" s="223">
        <f>IFERROR(IF(Q338&gt;0,Q338-(TBIcalc!$H$9),""),"")</f>
        <v>0.24640000000000001</v>
      </c>
      <c r="S338" s="223">
        <f>IFERROR(INDEX('Ashed teabags wet'!$K$2:$K$2000,MATCH(L338,'Ashed teabags wet'!$A$2:$A$2000,0)),"")</f>
        <v>90.300678952473106</v>
      </c>
      <c r="T338" s="223">
        <f t="shared" si="27"/>
        <v>2.3899127061106279E-2</v>
      </c>
      <c r="U338" s="224">
        <f>'WetLitterbags placem_collection'!E119</f>
        <v>42762</v>
      </c>
      <c r="V338" s="224">
        <f>IF('WetLitterbags placem_collection'!G119="","",'WetLitterbags placem_collection'!G119)</f>
        <v>42816</v>
      </c>
      <c r="W338" s="225">
        <f t="shared" si="25"/>
        <v>54</v>
      </c>
      <c r="X338" s="223">
        <f t="shared" si="28"/>
        <v>1.6818</v>
      </c>
      <c r="Y338" s="223">
        <f t="shared" si="29"/>
        <v>1.7979651611574592</v>
      </c>
      <c r="Z338">
        <f>IFERROR(INDEX([1]Rainfall_Wet!$O$2:$O$217,MATCH(C338, [1]Rainfall_Wet!$A$2:$A$217,0)),"")</f>
        <v>206.85140822299999</v>
      </c>
      <c r="AA338" s="226">
        <v>27.96</v>
      </c>
      <c r="AB338" s="226">
        <v>4.9200000000000017</v>
      </c>
      <c r="AC338" s="226">
        <v>67.12</v>
      </c>
      <c r="AD338" s="227" t="s">
        <v>2651</v>
      </c>
      <c r="AE338" s="226">
        <v>4.8861015278462299</v>
      </c>
      <c r="AF338">
        <f>IF('WetLitterbags placem_collection'!AB119="","",'WetLitterbags placem_collection'!AB119)</f>
        <v>23.5</v>
      </c>
      <c r="AG338">
        <f>IF('WetLitterbags placem_collection'!Z119="","",'WetLitterbags placem_collection'!Z119)</f>
        <v>76</v>
      </c>
      <c r="AH338" s="236" t="str">
        <f>IF('WetLitterbags placem_collection'!AA119="","",'WetLitterbags placem_collection'!AA119)</f>
        <v>G</v>
      </c>
      <c r="AI338">
        <f>IF('WetLitterbags placem_collection'!AC119="","",'WetLitterbags placem_collection'!AC119)</f>
        <v>1</v>
      </c>
      <c r="AJ338" s="233">
        <f>AVERAGE('WetLitterbags placem_collection'!S119,'WetLitterbags placem_collection'!U119)</f>
        <v>5.6999999999999993</v>
      </c>
      <c r="AK338">
        <f>AVERAGE('WetLitterbags placem_collection'!R119,'WetLitterbags placem_collection'!T119)</f>
        <v>31.75</v>
      </c>
      <c r="AL338">
        <f>INDEX([2]Coordinates!$B$2:$B$197,MATCH(I338,[2]Coordinates!$J$2:$J$197,0))</f>
        <v>-2.348814961</v>
      </c>
      <c r="AM338">
        <f>INDEX([2]Coordinates!$C$2:$C$197,MATCH(I338,[2]Coordinates!$J$2:$J$197,0))</f>
        <v>34.051439979999998</v>
      </c>
      <c r="AN338" t="str">
        <f>IF(ISNUMBER(SEARCH("C", 'WetLitterbags placem_collection'!$W119)),"YES","NO")</f>
        <v>NO</v>
      </c>
      <c r="AO338" t="str">
        <f>IF(ISNUMBER(SEARCH("H", 'WetLitterbags placem_collection'!$W119)),"YES","NO")</f>
        <v>YES</v>
      </c>
      <c r="AP338" t="str">
        <f>IF(ISNUMBER(SEARCH("R", 'WetLitterbags placem_collection'!$W119)),"YES","NO")</f>
        <v>YES</v>
      </c>
    </row>
    <row r="339" spans="1:42" ht="15" customHeight="1">
      <c r="A339" t="s">
        <v>3248</v>
      </c>
      <c r="B339" s="248" t="s">
        <v>2454</v>
      </c>
      <c r="C339" s="253">
        <f>'Dry_Litterbag Placem_Collection'!A120</f>
        <v>118</v>
      </c>
      <c r="D339" s="253" t="str">
        <f>'Dry_Litterbag Placem_Collection'!B120</f>
        <v xml:space="preserve">Mwantimba
</v>
      </c>
      <c r="E339" s="253" t="s">
        <v>2454</v>
      </c>
      <c r="F339" s="253" t="s">
        <v>2644</v>
      </c>
      <c r="G339" s="253">
        <v>3</v>
      </c>
      <c r="H339" s="253" t="s">
        <v>3119</v>
      </c>
      <c r="I339" s="254" t="str">
        <f>'Dry_Litterbag Placem_Collection'!C120</f>
        <v>Wet_Ag3_T6</v>
      </c>
      <c r="J339" s="255" t="s">
        <v>2525</v>
      </c>
      <c r="K339" s="262" t="s">
        <v>298</v>
      </c>
      <c r="L339" s="221" t="str">
        <f>'WetLitterbags placem_collection'!M120</f>
        <v>R495</v>
      </c>
      <c r="M339" s="223">
        <f>IFERROR(INDEX('Green_rooibos initial weight'!$C$5:$C$2000,MATCH(L339, 'Green_rooibos initial weight'!$A$5:$A$2000,0)),"")</f>
        <v>2.25</v>
      </c>
      <c r="N339" s="223">
        <f>IFERROR(M339-(TBIcalc!$H$9+TBIcalc!$H$10),"")</f>
        <v>2.0002</v>
      </c>
      <c r="O339" s="378">
        <f>AVERAGE(Ashed_controlls!$K$2:$K$11)</f>
        <v>5.5147656768714146</v>
      </c>
      <c r="P339" s="223">
        <f t="shared" si="26"/>
        <v>1.8898936569312179</v>
      </c>
      <c r="Q339" s="223">
        <f>IFERROR(INDEX('Both teabags AfterWet'!$C$3:$C$840,MATCH(L339,'Both teabags AfterWet'!$A$3:$A$840,0)),"")</f>
        <v>1.468</v>
      </c>
      <c r="R339" s="223">
        <f>IFERROR(IF(Q339&gt;0,Q339-(TBIcalc!$H$9),""),"")</f>
        <v>1.3173999999999999</v>
      </c>
      <c r="S339" s="223">
        <f>IFERROR(INDEX('Ashed teabags wet'!$K$2:$K$2000,MATCH(L339,'Ashed teabags wet'!$A$2:$A$2000,0)),"")</f>
        <v>90.558576371725209</v>
      </c>
      <c r="T339" s="223">
        <f t="shared" si="27"/>
        <v>0.12438131487889215</v>
      </c>
      <c r="U339" s="224">
        <f>'WetLitterbags placem_collection'!E120</f>
        <v>42762</v>
      </c>
      <c r="V339" s="224">
        <f>IF('WetLitterbags placem_collection'!G120="","",'WetLitterbags placem_collection'!G120)</f>
        <v>42816</v>
      </c>
      <c r="W339" s="225">
        <f t="shared" si="25"/>
        <v>54</v>
      </c>
      <c r="X339" s="223">
        <f t="shared" si="28"/>
        <v>0.68280000000000007</v>
      </c>
      <c r="Y339" s="223">
        <f t="shared" si="29"/>
        <v>1.7655123420523258</v>
      </c>
      <c r="Z339">
        <f>IFERROR(INDEX([1]Rainfall_Wet!$O$2:$O$217,MATCH(C339, [1]Rainfall_Wet!$A$2:$A$217,0)),"")</f>
        <v>206.85140822299999</v>
      </c>
      <c r="AA339" s="226">
        <v>27.96</v>
      </c>
      <c r="AB339" s="226">
        <v>4.9200000000000017</v>
      </c>
      <c r="AC339" s="226">
        <v>67.12</v>
      </c>
      <c r="AD339" s="227" t="s">
        <v>2651</v>
      </c>
      <c r="AE339" s="226">
        <v>5.8861015278462299</v>
      </c>
      <c r="AF339">
        <f>IF('WetLitterbags placem_collection'!AB120="","",'WetLitterbags placem_collection'!AB120)</f>
        <v>17.5</v>
      </c>
      <c r="AG339">
        <f>IF('WetLitterbags placem_collection'!Z120="","",'WetLitterbags placem_collection'!Z120)</f>
        <v>70.5</v>
      </c>
      <c r="AH339" s="236" t="str">
        <f>IF('WetLitterbags placem_collection'!AA120="","",'WetLitterbags placem_collection'!AA120)</f>
        <v>G</v>
      </c>
      <c r="AI339">
        <f>IF('WetLitterbags placem_collection'!AC120="","",'WetLitterbags placem_collection'!AC120)</f>
        <v>1</v>
      </c>
      <c r="AJ339" s="233">
        <f>AVERAGE('WetLitterbags placem_collection'!S120,'WetLitterbags placem_collection'!U120)</f>
        <v>10.7</v>
      </c>
      <c r="AK339">
        <f>AVERAGE('WetLitterbags placem_collection'!R120,'WetLitterbags placem_collection'!T120)</f>
        <v>30.85</v>
      </c>
      <c r="AL339">
        <f>INDEX([2]Coordinates!$B$2:$B$197,MATCH(I339,[2]Coordinates!$J$2:$J$197,0))</f>
        <v>-2.3488729629999998</v>
      </c>
      <c r="AM339">
        <f>INDEX([2]Coordinates!$C$2:$C$197,MATCH(I339,[2]Coordinates!$J$2:$J$197,0))</f>
        <v>34.051454980000003</v>
      </c>
      <c r="AN339" t="str">
        <f>IF(ISNUMBER(SEARCH("C", 'WetLitterbags placem_collection'!$W120)),"YES","NO")</f>
        <v>NO</v>
      </c>
      <c r="AO339" t="str">
        <f>IF(ISNUMBER(SEARCH("H", 'WetLitterbags placem_collection'!$W120)),"YES","NO")</f>
        <v>YES</v>
      </c>
      <c r="AP339" t="str">
        <f>IF(ISNUMBER(SEARCH("R", 'WetLitterbags placem_collection'!$W120)),"YES","NO")</f>
        <v>NO</v>
      </c>
    </row>
    <row r="340" spans="1:42" ht="15" customHeight="1">
      <c r="A340" t="s">
        <v>3248</v>
      </c>
      <c r="B340" s="248" t="s">
        <v>2454</v>
      </c>
      <c r="C340" s="253">
        <f>'Dry_Litterbag Placem_Collection'!A121</f>
        <v>119</v>
      </c>
      <c r="D340" s="253" t="str">
        <f>'Dry_Litterbag Placem_Collection'!B121</f>
        <v xml:space="preserve">Mwantimba
</v>
      </c>
      <c r="E340" s="253" t="s">
        <v>2454</v>
      </c>
      <c r="F340" s="253" t="s">
        <v>2644</v>
      </c>
      <c r="G340" s="253">
        <v>3</v>
      </c>
      <c r="H340" s="253" t="s">
        <v>3119</v>
      </c>
      <c r="I340" s="254" t="str">
        <f>'Dry_Litterbag Placem_Collection'!C121</f>
        <v>Wet_Ag3_T7</v>
      </c>
      <c r="J340" s="255" t="s">
        <v>2525</v>
      </c>
      <c r="K340" s="262" t="s">
        <v>298</v>
      </c>
      <c r="L340" s="221" t="str">
        <f>'WetLitterbags placem_collection'!M121</f>
        <v>R584</v>
      </c>
      <c r="M340" s="223">
        <f>IFERROR(INDEX('Green_rooibos initial weight'!$C$5:$C$2000,MATCH(L340, 'Green_rooibos initial weight'!$A$5:$A$2000,0)),"")</f>
        <v>2.2170000000000001</v>
      </c>
      <c r="N340" s="223">
        <f>IFERROR(M340-(TBIcalc!$H$9+TBIcalc!$H$10),"")</f>
        <v>1.9672000000000001</v>
      </c>
      <c r="O340" s="378">
        <f>AVERAGE(Ashed_controlls!$K$2:$K$11)</f>
        <v>5.5147656768714146</v>
      </c>
      <c r="P340" s="223">
        <f t="shared" si="26"/>
        <v>1.8587135296045856</v>
      </c>
      <c r="Q340" s="223">
        <f>IFERROR(INDEX('Both teabags AfterWet'!$C$3:$C$840,MATCH(L340,'Both teabags AfterWet'!$A$3:$A$840,0)),"")</f>
        <v>0.435</v>
      </c>
      <c r="R340" s="223">
        <f>IFERROR(IF(Q340&gt;0,Q340-(TBIcalc!$H$9),""),"")</f>
        <v>0.28439999999999999</v>
      </c>
      <c r="S340" s="223">
        <f>IFERROR(INDEX('Ashed teabags wet'!$K$2:$K$2000,MATCH(L340,'Ashed teabags wet'!$A$2:$A$2000,0)),"")</f>
        <v>0</v>
      </c>
      <c r="T340" s="223">
        <f t="shared" si="27"/>
        <v>0.28439999999999999</v>
      </c>
      <c r="U340" s="224">
        <f>'WetLitterbags placem_collection'!E121</f>
        <v>42762</v>
      </c>
      <c r="V340" s="224">
        <f>IF('WetLitterbags placem_collection'!G121="","",'WetLitterbags placem_collection'!G121)</f>
        <v>42816</v>
      </c>
      <c r="W340" s="225">
        <f t="shared" si="25"/>
        <v>54</v>
      </c>
      <c r="X340" s="223">
        <f t="shared" si="28"/>
        <v>1.6828000000000001</v>
      </c>
      <c r="Y340" s="223">
        <f t="shared" si="29"/>
        <v>1.5743135296045856</v>
      </c>
      <c r="Z340">
        <f>IFERROR(INDEX([1]Rainfall_Wet!$O$2:$O$217,MATCH(C340, [1]Rainfall_Wet!$A$2:$A$217,0)),"")</f>
        <v>206.85140822299999</v>
      </c>
      <c r="AA340" s="226">
        <v>27.96</v>
      </c>
      <c r="AB340" s="226">
        <v>4.9200000000000017</v>
      </c>
      <c r="AC340" s="226">
        <v>67.12</v>
      </c>
      <c r="AD340" s="227" t="s">
        <v>2651</v>
      </c>
      <c r="AE340" s="226">
        <v>6.8861015278462299</v>
      </c>
      <c r="AF340">
        <f>IF('WetLitterbags placem_collection'!AB121="","",'WetLitterbags placem_collection'!AB121)</f>
        <v>18.5</v>
      </c>
      <c r="AG340">
        <f>IF('WetLitterbags placem_collection'!Z121="","",'WetLitterbags placem_collection'!Z121)</f>
        <v>74.5</v>
      </c>
      <c r="AH340" s="236" t="str">
        <f>IF('WetLitterbags placem_collection'!AA121="","",'WetLitterbags placem_collection'!AA121)</f>
        <v>G</v>
      </c>
      <c r="AI340">
        <f>IF('WetLitterbags placem_collection'!AC121="","",'WetLitterbags placem_collection'!AC121)</f>
        <v>1</v>
      </c>
      <c r="AJ340" s="233">
        <f>AVERAGE('WetLitterbags placem_collection'!S121,'WetLitterbags placem_collection'!U121)</f>
        <v>11.05</v>
      </c>
      <c r="AK340">
        <f>AVERAGE('WetLitterbags placem_collection'!R121,'WetLitterbags placem_collection'!T121)</f>
        <v>30.450000000000003</v>
      </c>
      <c r="AL340">
        <f>INDEX([2]Coordinates!$B$2:$B$197,MATCH(I340,[2]Coordinates!$J$2:$J$197,0))</f>
        <v>-2.3488589659999999</v>
      </c>
      <c r="AM340">
        <f>INDEX([2]Coordinates!$C$2:$C$197,MATCH(I340,[2]Coordinates!$J$2:$J$197,0))</f>
        <v>34.051389010000001</v>
      </c>
      <c r="AN340" t="str">
        <f>IF(ISNUMBER(SEARCH("C", 'WetLitterbags placem_collection'!$W121)),"YES","NO")</f>
        <v>NO</v>
      </c>
      <c r="AO340" t="str">
        <f>IF(ISNUMBER(SEARCH("H", 'WetLitterbags placem_collection'!$W121)),"YES","NO")</f>
        <v>YES</v>
      </c>
      <c r="AP340" t="str">
        <f>IF(ISNUMBER(SEARCH("R", 'WetLitterbags placem_collection'!$W121)),"YES","NO")</f>
        <v>NO</v>
      </c>
    </row>
    <row r="341" spans="1:42" ht="15" customHeight="1">
      <c r="A341" t="s">
        <v>3248</v>
      </c>
      <c r="B341" s="248" t="s">
        <v>2454</v>
      </c>
      <c r="C341" s="253">
        <f>'Dry_Litterbag Placem_Collection'!A122</f>
        <v>120</v>
      </c>
      <c r="D341" s="253" t="str">
        <f>'Dry_Litterbag Placem_Collection'!B122</f>
        <v xml:space="preserve">Mwantimba
</v>
      </c>
      <c r="E341" s="253" t="s">
        <v>2454</v>
      </c>
      <c r="F341" s="253" t="s">
        <v>2644</v>
      </c>
      <c r="G341" s="253">
        <v>3</v>
      </c>
      <c r="H341" s="253" t="s">
        <v>3119</v>
      </c>
      <c r="I341" s="254" t="str">
        <f>'Dry_Litterbag Placem_Collection'!C122</f>
        <v>Wet_Ag3_T8</v>
      </c>
      <c r="J341" s="255" t="s">
        <v>2525</v>
      </c>
      <c r="K341" s="262" t="s">
        <v>298</v>
      </c>
      <c r="L341" s="221" t="str">
        <f>'WetLitterbags placem_collection'!M122</f>
        <v>R454</v>
      </c>
      <c r="M341" s="223">
        <f>IFERROR(INDEX('Green_rooibos initial weight'!$C$5:$C$2000,MATCH(L341, 'Green_rooibos initial weight'!$A$5:$A$2000,0)),"")</f>
        <v>2.1819999999999999</v>
      </c>
      <c r="N341" s="223">
        <f>IFERROR(M341-(TBIcalc!$H$9+TBIcalc!$H$10),"")</f>
        <v>1.9321999999999999</v>
      </c>
      <c r="O341" s="378">
        <f>AVERAGE(Ashed_controlls!$K$2:$K$11)</f>
        <v>5.5147656768714146</v>
      </c>
      <c r="P341" s="223">
        <f t="shared" si="26"/>
        <v>1.8256436975914905</v>
      </c>
      <c r="Q341" s="223">
        <f>IFERROR(INDEX('Both teabags AfterWet'!$C$3:$C$840,MATCH(L341,'Both teabags AfterWet'!$A$3:$A$840,0)),"")</f>
        <v>0.3876</v>
      </c>
      <c r="R341" s="223">
        <f>IFERROR(IF(Q341&gt;0,Q341-(TBIcalc!$H$9),""),"")</f>
        <v>0.23699999999999999</v>
      </c>
      <c r="S341" s="223">
        <f>IFERROR(INDEX('Ashed teabags wet'!$K$2:$K$2000,MATCH(L341,'Ashed teabags wet'!$A$2:$A$2000,0)),"")</f>
        <v>0</v>
      </c>
      <c r="T341" s="223">
        <f t="shared" si="27"/>
        <v>0.23699999999999999</v>
      </c>
      <c r="U341" s="224">
        <f>'WetLitterbags placem_collection'!E122</f>
        <v>42762</v>
      </c>
      <c r="V341" s="224">
        <f>IF('WetLitterbags placem_collection'!G122="","",'WetLitterbags placem_collection'!G122)</f>
        <v>42816</v>
      </c>
      <c r="W341" s="225">
        <f t="shared" si="25"/>
        <v>54</v>
      </c>
      <c r="X341" s="223">
        <f t="shared" si="28"/>
        <v>1.6951999999999998</v>
      </c>
      <c r="Y341" s="223">
        <f t="shared" si="29"/>
        <v>1.5886436975914906</v>
      </c>
      <c r="Z341">
        <f>IFERROR(INDEX([1]Rainfall_Wet!$O$2:$O$217,MATCH(C341, [1]Rainfall_Wet!$A$2:$A$217,0)),"")</f>
        <v>206.85140822299999</v>
      </c>
      <c r="AA341" s="226">
        <v>27.96</v>
      </c>
      <c r="AB341" s="226">
        <v>4.9200000000000017</v>
      </c>
      <c r="AC341" s="226">
        <v>67.12</v>
      </c>
      <c r="AD341" s="227" t="s">
        <v>2651</v>
      </c>
      <c r="AE341" s="226">
        <v>7.8861015278462299</v>
      </c>
      <c r="AF341">
        <f>IF('WetLitterbags placem_collection'!AB122="","",'WetLitterbags placem_collection'!AB122)</f>
        <v>19</v>
      </c>
      <c r="AG341">
        <f>IF('WetLitterbags placem_collection'!Z122="","",'WetLitterbags placem_collection'!Z122)</f>
        <v>98.5</v>
      </c>
      <c r="AH341" s="236" t="str">
        <f>IF('WetLitterbags placem_collection'!AA122="","",'WetLitterbags placem_collection'!AA122)</f>
        <v>G</v>
      </c>
      <c r="AI341">
        <f>IF('WetLitterbags placem_collection'!AC122="","",'WetLitterbags placem_collection'!AC122)</f>
        <v>0</v>
      </c>
      <c r="AJ341" s="233">
        <f>AVERAGE('WetLitterbags placem_collection'!S122,'WetLitterbags placem_collection'!U122)</f>
        <v>14.95</v>
      </c>
      <c r="AK341">
        <f>AVERAGE('WetLitterbags placem_collection'!R122,'WetLitterbags placem_collection'!T122)</f>
        <v>30.299999999999997</v>
      </c>
      <c r="AL341">
        <f>INDEX([2]Coordinates!$B$2:$B$197,MATCH(I341,[2]Coordinates!$J$2:$J$197,0))</f>
        <v>-2.3486449760000001</v>
      </c>
      <c r="AM341">
        <f>INDEX([2]Coordinates!$C$2:$C$197,MATCH(I341,[2]Coordinates!$J$2:$J$197,0))</f>
        <v>34.051495969999998</v>
      </c>
      <c r="AN341" t="str">
        <f>IF(ISNUMBER(SEARCH("C", 'WetLitterbags placem_collection'!$W122)),"YES","NO")</f>
        <v>NO</v>
      </c>
      <c r="AO341" t="str">
        <f>IF(ISNUMBER(SEARCH("H", 'WetLitterbags placem_collection'!$W122)),"YES","NO")</f>
        <v>YES</v>
      </c>
      <c r="AP341" t="str">
        <f>IF(ISNUMBER(SEARCH("R", 'WetLitterbags placem_collection'!$W122)),"YES","NO")</f>
        <v>NO</v>
      </c>
    </row>
    <row r="342" spans="1:42" ht="15" customHeight="1">
      <c r="A342" t="s">
        <v>3248</v>
      </c>
      <c r="B342" s="248" t="s">
        <v>2454</v>
      </c>
      <c r="C342" s="253">
        <f>'Dry_Litterbag Placem_Collection'!A123</f>
        <v>121</v>
      </c>
      <c r="D342" s="253" t="str">
        <f>'Dry_Litterbag Placem_Collection'!B123</f>
        <v xml:space="preserve">Mwantimba
</v>
      </c>
      <c r="E342" s="253" t="s">
        <v>2454</v>
      </c>
      <c r="F342" s="253" t="s">
        <v>2644</v>
      </c>
      <c r="G342" s="253">
        <v>4</v>
      </c>
      <c r="H342" s="253" t="s">
        <v>3120</v>
      </c>
      <c r="I342" s="254" t="str">
        <f>'Dry_Litterbag Placem_Collection'!C123</f>
        <v>Wet_Ag4_T1</v>
      </c>
      <c r="J342" s="255" t="s">
        <v>2525</v>
      </c>
      <c r="K342" s="262" t="s">
        <v>298</v>
      </c>
      <c r="L342" s="221" t="str">
        <f>'WetLitterbags placem_collection'!M123</f>
        <v>R532</v>
      </c>
      <c r="M342" s="223">
        <f>IFERROR(INDEX('Green_rooibos initial weight'!$C$5:$C$2000,MATCH(L342, 'Green_rooibos initial weight'!$A$5:$A$2000,0)),"")</f>
        <v>2.19</v>
      </c>
      <c r="N342" s="223">
        <f>IFERROR(M342-(TBIcalc!$H$9+TBIcalc!$H$10),"")</f>
        <v>1.9401999999999999</v>
      </c>
      <c r="O342" s="378">
        <f>AVERAGE(Ashed_controlls!$K$2:$K$11)</f>
        <v>5.5147656768714146</v>
      </c>
      <c r="P342" s="223">
        <f t="shared" si="26"/>
        <v>1.8332025163373407</v>
      </c>
      <c r="Q342" s="223">
        <f>IFERROR(INDEX('Both teabags AfterWet'!$C$3:$C$840,MATCH(L342,'Both teabags AfterWet'!$A$3:$A$840,0)),"")</f>
        <v>1.7050000000000001</v>
      </c>
      <c r="R342" s="223">
        <f>IFERROR(IF(Q342&gt;0,Q342-(TBIcalc!$H$9),""),"")</f>
        <v>1.5544</v>
      </c>
      <c r="S342" s="223">
        <f>IFERROR(INDEX('Ashed teabags wet'!$K$2:$K$2000,MATCH(L342,'Ashed teabags wet'!$A$2:$A$2000,0)),"")</f>
        <v>7.423795476892864</v>
      </c>
      <c r="T342" s="223">
        <f t="shared" si="27"/>
        <v>1.4390045231071773</v>
      </c>
      <c r="U342" s="224">
        <f>'WetLitterbags placem_collection'!E123</f>
        <v>42762</v>
      </c>
      <c r="V342" s="224">
        <f>IF('WetLitterbags placem_collection'!G123="","",'WetLitterbags placem_collection'!G123)</f>
        <v>42816</v>
      </c>
      <c r="W342" s="225">
        <f t="shared" si="25"/>
        <v>54</v>
      </c>
      <c r="X342" s="223">
        <f t="shared" si="28"/>
        <v>0.38579999999999992</v>
      </c>
      <c r="Y342" s="223">
        <f t="shared" si="29"/>
        <v>0.39419799323016336</v>
      </c>
      <c r="Z342">
        <f>IFERROR(INDEX([1]Rainfall_Wet!$O$2:$O$217,MATCH(C342, [1]Rainfall_Wet!$A$2:$A$217,0)),"")</f>
        <v>206.85140822299999</v>
      </c>
      <c r="AA342" s="226">
        <v>17.96</v>
      </c>
      <c r="AB342" s="226">
        <v>4.9199999999999982</v>
      </c>
      <c r="AC342" s="226">
        <v>77.12</v>
      </c>
      <c r="AD342" s="227" t="s">
        <v>2652</v>
      </c>
      <c r="AE342" s="226">
        <v>2.0220798422868409</v>
      </c>
      <c r="AF342">
        <f>IF('WetLitterbags placem_collection'!AB123="","",'WetLitterbags placem_collection'!AB123)</f>
        <v>9.65</v>
      </c>
      <c r="AG342">
        <f>IF('WetLitterbags placem_collection'!Z123="","",'WetLitterbags placem_collection'!Z123)</f>
        <v>63</v>
      </c>
      <c r="AH342" s="236" t="str">
        <f>IF('WetLitterbags placem_collection'!AA123="","",'WetLitterbags placem_collection'!AA123)</f>
        <v>G</v>
      </c>
      <c r="AI342">
        <f>IF('WetLitterbags placem_collection'!AC123="","",'WetLitterbags placem_collection'!AC123)</f>
        <v>0</v>
      </c>
      <c r="AJ342" s="233">
        <f>AVERAGE('WetLitterbags placem_collection'!S123,'WetLitterbags placem_collection'!U123)</f>
        <v>9.5500000000000007</v>
      </c>
      <c r="AK342">
        <f>AVERAGE('WetLitterbags placem_collection'!R123,'WetLitterbags placem_collection'!T123)</f>
        <v>30.75</v>
      </c>
      <c r="AL342">
        <f>INDEX([2]Coordinates!$B$2:$B$197,MATCH(I342,[2]Coordinates!$J$2:$J$197,0))</f>
        <v>-2.3492639789999998</v>
      </c>
      <c r="AM342">
        <f>INDEX([2]Coordinates!$C$2:$C$197,MATCH(I342,[2]Coordinates!$J$2:$J$197,0))</f>
        <v>34.051464029999998</v>
      </c>
      <c r="AN342" t="str">
        <f>IF(ISNUMBER(SEARCH("C", 'WetLitterbags placem_collection'!$W123)),"YES","NO")</f>
        <v>YES</v>
      </c>
      <c r="AO342" t="str">
        <f>IF(ISNUMBER(SEARCH("H", 'WetLitterbags placem_collection'!$W123)),"YES","NO")</f>
        <v>NO</v>
      </c>
      <c r="AP342" t="str">
        <f>IF(ISNUMBER(SEARCH("R", 'WetLitterbags placem_collection'!$W123)),"YES","NO")</f>
        <v>YES</v>
      </c>
    </row>
    <row r="343" spans="1:42" ht="15" customHeight="1">
      <c r="A343" t="s">
        <v>3248</v>
      </c>
      <c r="B343" s="248" t="s">
        <v>2454</v>
      </c>
      <c r="C343" s="253">
        <f>'Dry_Litterbag Placem_Collection'!A124</f>
        <v>122</v>
      </c>
      <c r="D343" s="253" t="str">
        <f>'Dry_Litterbag Placem_Collection'!B124</f>
        <v xml:space="preserve">Mwantimba
</v>
      </c>
      <c r="E343" s="253" t="s">
        <v>2454</v>
      </c>
      <c r="F343" s="253" t="s">
        <v>2644</v>
      </c>
      <c r="G343" s="253">
        <v>4</v>
      </c>
      <c r="H343" s="253" t="s">
        <v>3120</v>
      </c>
      <c r="I343" s="254" t="str">
        <f>'Dry_Litterbag Placem_Collection'!C124</f>
        <v>Wet_Ag4_T2</v>
      </c>
      <c r="J343" s="255" t="s">
        <v>2525</v>
      </c>
      <c r="K343" s="262" t="s">
        <v>298</v>
      </c>
      <c r="L343" s="221" t="str">
        <f>'WetLitterbags placem_collection'!M124</f>
        <v>R11</v>
      </c>
      <c r="M343" s="223">
        <f>IFERROR(INDEX('Green_rooibos initial weight'!$C$5:$C$2000,MATCH(L343, 'Green_rooibos initial weight'!$A$5:$A$2000,0)),"")</f>
        <v>2.2160000000000002</v>
      </c>
      <c r="N343" s="223">
        <f>IFERROR(M343-(TBIcalc!$H$9+TBIcalc!$H$10),"")</f>
        <v>1.9662000000000002</v>
      </c>
      <c r="O343" s="378">
        <f>AVERAGE(Ashed_controlls!$K$2:$K$11)</f>
        <v>5.5147656768714146</v>
      </c>
      <c r="P343" s="223">
        <f t="shared" si="26"/>
        <v>1.8577686772613544</v>
      </c>
      <c r="Q343" s="223">
        <f>IFERROR(INDEX('Both teabags AfterWet'!$C$3:$C$840,MATCH(L343,'Both teabags AfterWet'!$A$3:$A$840,0)),"")</f>
        <v>1.25</v>
      </c>
      <c r="R343" s="223">
        <f>IFERROR(IF(Q343&gt;0,Q343-(TBIcalc!$H$9),""),"")</f>
        <v>1.0993999999999999</v>
      </c>
      <c r="S343" s="223">
        <f>IFERROR(INDEX('Ashed teabags wet'!$K$2:$K$2000,MATCH(L343,'Ashed teabags wet'!$A$2:$A$2000,0)),"")</f>
        <v>8.4720121028745492</v>
      </c>
      <c r="T343" s="223">
        <f t="shared" si="27"/>
        <v>1.0062586989409972</v>
      </c>
      <c r="U343" s="224">
        <f>'WetLitterbags placem_collection'!E124</f>
        <v>42762</v>
      </c>
      <c r="V343" s="224">
        <f>IF('WetLitterbags placem_collection'!G124="","",'WetLitterbags placem_collection'!G124)</f>
        <v>42816</v>
      </c>
      <c r="W343" s="225">
        <f t="shared" si="25"/>
        <v>54</v>
      </c>
      <c r="X343" s="223">
        <f t="shared" si="28"/>
        <v>0.86680000000000024</v>
      </c>
      <c r="Y343" s="223">
        <f t="shared" si="29"/>
        <v>0.85150997832035724</v>
      </c>
      <c r="Z343">
        <f>IFERROR(INDEX([1]Rainfall_Wet!$O$2:$O$217,MATCH(C343, [1]Rainfall_Wet!$A$2:$A$217,0)),"")</f>
        <v>206.85140822299999</v>
      </c>
      <c r="AA343" s="226">
        <v>17.96</v>
      </c>
      <c r="AB343" s="226">
        <v>4.9199999999999982</v>
      </c>
      <c r="AC343" s="226">
        <v>77.12</v>
      </c>
      <c r="AD343" s="227" t="s">
        <v>2652</v>
      </c>
      <c r="AE343" s="226">
        <v>3.02207984228684</v>
      </c>
      <c r="AF343">
        <f>IF('WetLitterbags placem_collection'!AB124="","",'WetLitterbags placem_collection'!AB124)</f>
        <v>3.1</v>
      </c>
      <c r="AG343">
        <f>IF('WetLitterbags placem_collection'!Z124="","",'WetLitterbags placem_collection'!Z124)</f>
        <v>53</v>
      </c>
      <c r="AH343" s="236" t="str">
        <f>IF('WetLitterbags placem_collection'!AA124="","",'WetLitterbags placem_collection'!AA124)</f>
        <v>G</v>
      </c>
      <c r="AI343">
        <f>IF('WetLitterbags placem_collection'!AC124="","",'WetLitterbags placem_collection'!AC124)</f>
        <v>0</v>
      </c>
      <c r="AJ343" s="233">
        <f>AVERAGE('WetLitterbags placem_collection'!S124,'WetLitterbags placem_collection'!U124)</f>
        <v>11.8</v>
      </c>
      <c r="AK343">
        <f>AVERAGE('WetLitterbags placem_collection'!R124,'WetLitterbags placem_collection'!T124)</f>
        <v>30.650000000000002</v>
      </c>
      <c r="AL343">
        <f>INDEX([2]Coordinates!$B$2:$B$197,MATCH(I343,[2]Coordinates!$J$2:$J$197,0))</f>
        <v>-2.34923196</v>
      </c>
      <c r="AM343">
        <f>INDEX([2]Coordinates!$C$2:$C$197,MATCH(I343,[2]Coordinates!$J$2:$J$197,0))</f>
        <v>34.051422039999999</v>
      </c>
      <c r="AN343" t="str">
        <f>IF(ISNUMBER(SEARCH("C", 'WetLitterbags placem_collection'!$W124)),"YES","NO")</f>
        <v>NO</v>
      </c>
      <c r="AO343" t="str">
        <f>IF(ISNUMBER(SEARCH("H", 'WetLitterbags placem_collection'!$W124)),"YES","NO")</f>
        <v>NO</v>
      </c>
      <c r="AP343" t="str">
        <f>IF(ISNUMBER(SEARCH("R", 'WetLitterbags placem_collection'!$W124)),"YES","NO")</f>
        <v>YES</v>
      </c>
    </row>
    <row r="344" spans="1:42" ht="15" customHeight="1">
      <c r="A344" t="s">
        <v>3248</v>
      </c>
      <c r="B344" s="248" t="s">
        <v>2454</v>
      </c>
      <c r="C344" s="253">
        <f>'Dry_Litterbag Placem_Collection'!A125</f>
        <v>123</v>
      </c>
      <c r="D344" s="253" t="str">
        <f>'Dry_Litterbag Placem_Collection'!B125</f>
        <v xml:space="preserve">Mwantimba
</v>
      </c>
      <c r="E344" s="253" t="s">
        <v>2454</v>
      </c>
      <c r="F344" s="253" t="s">
        <v>2644</v>
      </c>
      <c r="G344" s="253">
        <v>4</v>
      </c>
      <c r="H344" s="253" t="s">
        <v>3120</v>
      </c>
      <c r="I344" s="254" t="str">
        <f>'Dry_Litterbag Placem_Collection'!C125</f>
        <v>Wet_Ag4_T3</v>
      </c>
      <c r="J344" s="255" t="s">
        <v>2525</v>
      </c>
      <c r="K344" s="262" t="s">
        <v>298</v>
      </c>
      <c r="L344" s="221" t="str">
        <f>'WetLitterbags placem_collection'!M125</f>
        <v>R575</v>
      </c>
      <c r="M344" s="223">
        <f>IFERROR(INDEX('Green_rooibos initial weight'!$C$5:$C$2000,MATCH(L344, 'Green_rooibos initial weight'!$A$5:$A$2000,0)),"")</f>
        <v>2.0990000000000002</v>
      </c>
      <c r="N344" s="223">
        <f>IFERROR(M344-(TBIcalc!$H$9+TBIcalc!$H$10),"")</f>
        <v>1.8492000000000002</v>
      </c>
      <c r="O344" s="378">
        <f>AVERAGE(Ashed_controlls!$K$2:$K$11)</f>
        <v>5.5147656768714146</v>
      </c>
      <c r="P344" s="223">
        <f t="shared" si="26"/>
        <v>1.7472209531032941</v>
      </c>
      <c r="Q344" s="223">
        <f>IFERROR(INDEX('Both teabags AfterWet'!$C$3:$C$840,MATCH(L344,'Both teabags AfterWet'!$A$3:$A$840,0)),"")</f>
        <v>1.6872</v>
      </c>
      <c r="R344" s="223">
        <f>IFERROR(IF(Q344&gt;0,Q344-(TBIcalc!$H$9),""),"")</f>
        <v>1.5366</v>
      </c>
      <c r="S344" s="223">
        <f>IFERROR(INDEX('Ashed teabags wet'!$K$2:$K$2000,MATCH(L344,'Ashed teabags wet'!$A$2:$A$2000,0)),"")</f>
        <v>26.082677165354383</v>
      </c>
      <c r="T344" s="223">
        <f t="shared" si="27"/>
        <v>1.1358135826771645</v>
      </c>
      <c r="U344" s="224">
        <f>'WetLitterbags placem_collection'!E125</f>
        <v>42762</v>
      </c>
      <c r="V344" s="224">
        <f>IF('WetLitterbags placem_collection'!G125="","",'WetLitterbags placem_collection'!G125)</f>
        <v>42816</v>
      </c>
      <c r="W344" s="225">
        <f t="shared" si="25"/>
        <v>54</v>
      </c>
      <c r="X344" s="223">
        <f t="shared" si="28"/>
        <v>0.31260000000000021</v>
      </c>
      <c r="Y344" s="223">
        <f t="shared" si="29"/>
        <v>0.61140737042612958</v>
      </c>
      <c r="Z344">
        <f>IFERROR(INDEX([1]Rainfall_Wet!$O$2:$O$217,MATCH(C344, [1]Rainfall_Wet!$A$2:$A$217,0)),"")</f>
        <v>206.85140822299999</v>
      </c>
      <c r="AA344" s="226">
        <v>17.96</v>
      </c>
      <c r="AB344" s="226">
        <v>4.9199999999999982</v>
      </c>
      <c r="AC344" s="226">
        <v>77.12</v>
      </c>
      <c r="AD344" s="227" t="s">
        <v>2652</v>
      </c>
      <c r="AE344" s="226">
        <v>4.02207984228684</v>
      </c>
      <c r="AF344">
        <f>IF('WetLitterbags placem_collection'!AB125="","",'WetLitterbags placem_collection'!AB125)</f>
        <v>3.9</v>
      </c>
      <c r="AG344">
        <f>IF('WetLitterbags placem_collection'!Z125="","",'WetLitterbags placem_collection'!Z125)</f>
        <v>51</v>
      </c>
      <c r="AH344" s="236" t="str">
        <f>IF('WetLitterbags placem_collection'!AA125="","",'WetLitterbags placem_collection'!AA125)</f>
        <v>G</v>
      </c>
      <c r="AI344">
        <f>IF('WetLitterbags placem_collection'!AC125="","",'WetLitterbags placem_collection'!AC125)</f>
        <v>1</v>
      </c>
      <c r="AJ344" s="233">
        <f>AVERAGE('WetLitterbags placem_collection'!S125,'WetLitterbags placem_collection'!U125)</f>
        <v>13.2</v>
      </c>
      <c r="AK344">
        <f>AVERAGE('WetLitterbags placem_collection'!R125,'WetLitterbags placem_collection'!T125)</f>
        <v>31.85</v>
      </c>
      <c r="AL344">
        <f>INDEX([2]Coordinates!$B$2:$B$197,MATCH(I344,[2]Coordinates!$J$2:$J$197,0))</f>
        <v>-2.3492390009999999</v>
      </c>
      <c r="AM344">
        <f>INDEX([2]Coordinates!$C$2:$C$197,MATCH(I344,[2]Coordinates!$J$2:$J$197,0))</f>
        <v>34.051304020000003</v>
      </c>
      <c r="AN344" t="str">
        <f>IF(ISNUMBER(SEARCH("C", 'WetLitterbags placem_collection'!$W125)),"YES","NO")</f>
        <v>YES</v>
      </c>
      <c r="AO344" t="str">
        <f>IF(ISNUMBER(SEARCH("H", 'WetLitterbags placem_collection'!$W125)),"YES","NO")</f>
        <v>YES</v>
      </c>
      <c r="AP344" t="str">
        <f>IF(ISNUMBER(SEARCH("R", 'WetLitterbags placem_collection'!$W125)),"YES","NO")</f>
        <v>NO</v>
      </c>
    </row>
    <row r="345" spans="1:42" ht="15" customHeight="1">
      <c r="A345" t="s">
        <v>3248</v>
      </c>
      <c r="B345" s="248" t="s">
        <v>2454</v>
      </c>
      <c r="C345" s="253">
        <f>'Dry_Litterbag Placem_Collection'!A126</f>
        <v>124</v>
      </c>
      <c r="D345" s="253" t="str">
        <f>'Dry_Litterbag Placem_Collection'!B126</f>
        <v xml:space="preserve">Mwantimba
</v>
      </c>
      <c r="E345" s="253" t="s">
        <v>2454</v>
      </c>
      <c r="F345" s="253" t="s">
        <v>2644</v>
      </c>
      <c r="G345" s="253">
        <v>4</v>
      </c>
      <c r="H345" s="253" t="s">
        <v>3120</v>
      </c>
      <c r="I345" s="254" t="str">
        <f>'Dry_Litterbag Placem_Collection'!C126</f>
        <v>Wet_Ag4_T4</v>
      </c>
      <c r="J345" s="255" t="s">
        <v>2525</v>
      </c>
      <c r="K345" s="262" t="s">
        <v>298</v>
      </c>
      <c r="L345" s="221" t="str">
        <f>'WetLitterbags placem_collection'!M126</f>
        <v>R39</v>
      </c>
      <c r="M345" s="223">
        <f>IFERROR(INDEX('Green_rooibos initial weight'!$C$5:$C$2000,MATCH(L345, 'Green_rooibos initial weight'!$A$5:$A$2000,0)),"")</f>
        <v>2.1429999999999998</v>
      </c>
      <c r="N345" s="223">
        <f>IFERROR(M345-(TBIcalc!$H$9+TBIcalc!$H$10),"")</f>
        <v>1.8931999999999998</v>
      </c>
      <c r="O345" s="378">
        <f>AVERAGE(Ashed_controlls!$K$2:$K$11)</f>
        <v>5.5147656768714146</v>
      </c>
      <c r="P345" s="223">
        <f t="shared" si="26"/>
        <v>1.7887944562054701</v>
      </c>
      <c r="Q345" s="223">
        <f>IFERROR(INDEX('Both teabags AfterWet'!$C$3:$C$840,MATCH(L345,'Both teabags AfterWet'!$A$3:$A$840,0)),"")</f>
        <v>1.4910000000000001</v>
      </c>
      <c r="R345" s="223">
        <f>IFERROR(IF(Q345&gt;0,Q345-(TBIcalc!$H$9),""),"")</f>
        <v>1.3404</v>
      </c>
      <c r="S345" s="223">
        <f>IFERROR(INDEX('Ashed teabags wet'!$K$2:$K$2000,MATCH(L345,'Ashed teabags wet'!$A$2:$A$2000,0)),"")</f>
        <v>7.1782178217821846</v>
      </c>
      <c r="T345" s="223">
        <f t="shared" si="27"/>
        <v>1.2441831683168316</v>
      </c>
      <c r="U345" s="224">
        <f>'WetLitterbags placem_collection'!E126</f>
        <v>42762</v>
      </c>
      <c r="V345" s="224">
        <f>IF('WetLitterbags placem_collection'!G126="","",'WetLitterbags placem_collection'!G126)</f>
        <v>42816</v>
      </c>
      <c r="W345" s="225">
        <f t="shared" si="25"/>
        <v>54</v>
      </c>
      <c r="X345" s="223">
        <f t="shared" si="28"/>
        <v>0.55279999999999974</v>
      </c>
      <c r="Y345" s="223">
        <f t="shared" si="29"/>
        <v>0.54461128788863844</v>
      </c>
      <c r="Z345">
        <f>IFERROR(INDEX([1]Rainfall_Wet!$O$2:$O$217,MATCH(C345, [1]Rainfall_Wet!$A$2:$A$217,0)),"")</f>
        <v>206.85140822299999</v>
      </c>
      <c r="AA345" s="226">
        <v>17.96</v>
      </c>
      <c r="AB345" s="226">
        <v>4.9199999999999982</v>
      </c>
      <c r="AC345" s="226">
        <v>77.12</v>
      </c>
      <c r="AD345" s="227" t="s">
        <v>2652</v>
      </c>
      <c r="AE345" s="226">
        <v>5.02207984228684</v>
      </c>
      <c r="AF345">
        <f>IF('WetLitterbags placem_collection'!AB126="","",'WetLitterbags placem_collection'!AB126)</f>
        <v>5.45</v>
      </c>
      <c r="AG345">
        <f>IF('WetLitterbags placem_collection'!Z126="","",'WetLitterbags placem_collection'!Z126)</f>
        <v>47</v>
      </c>
      <c r="AH345" s="236" t="str">
        <f>IF('WetLitterbags placem_collection'!AA126="","",'WetLitterbags placem_collection'!AA126)</f>
        <v>G</v>
      </c>
      <c r="AI345">
        <f>IF('WetLitterbags placem_collection'!AC126="","",'WetLitterbags placem_collection'!AC126)</f>
        <v>1</v>
      </c>
      <c r="AJ345" s="233">
        <f>AVERAGE('WetLitterbags placem_collection'!S126,'WetLitterbags placem_collection'!U126)</f>
        <v>18.2</v>
      </c>
      <c r="AK345">
        <f>AVERAGE('WetLitterbags placem_collection'!R126,'WetLitterbags placem_collection'!T126)</f>
        <v>31.1</v>
      </c>
      <c r="AL345">
        <f>INDEX([2]Coordinates!$B$2:$B$197,MATCH(I345,[2]Coordinates!$J$2:$J$197,0))</f>
        <v>-2.3492799889999998</v>
      </c>
      <c r="AM345">
        <f>INDEX([2]Coordinates!$C$2:$C$197,MATCH(I345,[2]Coordinates!$J$2:$J$197,0))</f>
        <v>34.051280970000001</v>
      </c>
      <c r="AN345" t="str">
        <f>IF(ISNUMBER(SEARCH("C", 'WetLitterbags placem_collection'!$W126)),"YES","NO")</f>
        <v>NO</v>
      </c>
      <c r="AO345" t="str">
        <f>IF(ISNUMBER(SEARCH("H", 'WetLitterbags placem_collection'!$W126)),"YES","NO")</f>
        <v>NO</v>
      </c>
      <c r="AP345" t="str">
        <f>IF(ISNUMBER(SEARCH("R", 'WetLitterbags placem_collection'!$W126)),"YES","NO")</f>
        <v>YES</v>
      </c>
    </row>
    <row r="346" spans="1:42" ht="15" customHeight="1">
      <c r="A346" t="s">
        <v>3248</v>
      </c>
      <c r="B346" s="248" t="s">
        <v>2454</v>
      </c>
      <c r="C346" s="253">
        <f>'Dry_Litterbag Placem_Collection'!A127</f>
        <v>125</v>
      </c>
      <c r="D346" s="253" t="str">
        <f>'Dry_Litterbag Placem_Collection'!B127</f>
        <v xml:space="preserve">Mwantimba
</v>
      </c>
      <c r="E346" s="253" t="s">
        <v>2454</v>
      </c>
      <c r="F346" s="253" t="s">
        <v>2644</v>
      </c>
      <c r="G346" s="253">
        <v>4</v>
      </c>
      <c r="H346" s="253" t="s">
        <v>3120</v>
      </c>
      <c r="I346" s="254" t="str">
        <f>'Dry_Litterbag Placem_Collection'!C127</f>
        <v>Wet_Ag4_T5</v>
      </c>
      <c r="J346" s="255" t="s">
        <v>2525</v>
      </c>
      <c r="K346" s="262" t="s">
        <v>298</v>
      </c>
      <c r="L346" s="221" t="str">
        <f>'WetLitterbags placem_collection'!M127</f>
        <v>R560</v>
      </c>
      <c r="M346" s="223">
        <f>IFERROR(INDEX('Green_rooibos initial weight'!$C$5:$C$2000,MATCH(L346, 'Green_rooibos initial weight'!$A$5:$A$2000,0)),"")</f>
        <v>2.157</v>
      </c>
      <c r="N346" s="223">
        <f>IFERROR(M346-(TBIcalc!$H$9+TBIcalc!$H$10),"")</f>
        <v>1.9072</v>
      </c>
      <c r="O346" s="378">
        <f>AVERAGE(Ashed_controlls!$K$2:$K$11)</f>
        <v>5.5147656768714146</v>
      </c>
      <c r="P346" s="223">
        <f t="shared" si="26"/>
        <v>1.8020223890107083</v>
      </c>
      <c r="Q346" s="223">
        <f>IFERROR(INDEX('Both teabags AfterWet'!$C$3:$C$840,MATCH(L346,'Both teabags AfterWet'!$A$3:$A$840,0)),"")</f>
        <v>1.254</v>
      </c>
      <c r="R346" s="223">
        <f>IFERROR(IF(Q346&gt;0,Q346-(TBIcalc!$H$9),""),"")</f>
        <v>1.1033999999999999</v>
      </c>
      <c r="S346" s="223">
        <f>IFERROR(INDEX('Ashed teabags wet'!$K$2:$K$2000,MATCH(L346,'Ashed teabags wet'!$A$2:$A$2000,0)),"")</f>
        <v>92.570579494799119</v>
      </c>
      <c r="T346" s="223">
        <f t="shared" si="27"/>
        <v>8.1976225854386575E-2</v>
      </c>
      <c r="U346" s="224">
        <f>'WetLitterbags placem_collection'!E127</f>
        <v>42762</v>
      </c>
      <c r="V346" s="224">
        <f>IF('WetLitterbags placem_collection'!G127="","",'WetLitterbags placem_collection'!G127)</f>
        <v>42816</v>
      </c>
      <c r="W346" s="225">
        <f t="shared" si="25"/>
        <v>54</v>
      </c>
      <c r="X346" s="223">
        <f t="shared" si="28"/>
        <v>0.80380000000000007</v>
      </c>
      <c r="Y346" s="223">
        <f t="shared" si="29"/>
        <v>1.7200461631563218</v>
      </c>
      <c r="Z346">
        <f>IFERROR(INDEX([1]Rainfall_Wet!$O$2:$O$217,MATCH(C346, [1]Rainfall_Wet!$A$2:$A$217,0)),"")</f>
        <v>206.85140822299999</v>
      </c>
      <c r="AA346" s="226">
        <v>17.96</v>
      </c>
      <c r="AB346" s="226">
        <v>4.9199999999999982</v>
      </c>
      <c r="AC346" s="226">
        <v>77.12</v>
      </c>
      <c r="AD346" s="227" t="s">
        <v>2652</v>
      </c>
      <c r="AE346" s="226">
        <v>6.02207984228684</v>
      </c>
      <c r="AF346">
        <f>IF('WetLitterbags placem_collection'!AB127="","",'WetLitterbags placem_collection'!AB127)</f>
        <v>9.3000000000000007</v>
      </c>
      <c r="AG346">
        <f>IF('WetLitterbags placem_collection'!Z127="","",'WetLitterbags placem_collection'!Z127)</f>
        <v>43</v>
      </c>
      <c r="AH346" s="236" t="str">
        <f>IF('WetLitterbags placem_collection'!AA127="","",'WetLitterbags placem_collection'!AA127)</f>
        <v>G</v>
      </c>
      <c r="AI346">
        <f>IF('WetLitterbags placem_collection'!AC127="","",'WetLitterbags placem_collection'!AC127)</f>
        <v>1</v>
      </c>
      <c r="AJ346" s="233">
        <f>AVERAGE('WetLitterbags placem_collection'!S127,'WetLitterbags placem_collection'!U127)</f>
        <v>19.25</v>
      </c>
      <c r="AK346">
        <f>AVERAGE('WetLitterbags placem_collection'!R127,'WetLitterbags placem_collection'!T127)</f>
        <v>32.049999999999997</v>
      </c>
      <c r="AL346">
        <f>INDEX([2]Coordinates!$B$2:$B$197,MATCH(I346,[2]Coordinates!$J$2:$J$197,0))</f>
        <v>-2.3493320400000002</v>
      </c>
      <c r="AM346">
        <f>INDEX([2]Coordinates!$C$2:$C$197,MATCH(I346,[2]Coordinates!$J$2:$J$197,0))</f>
        <v>34.051321960000003</v>
      </c>
      <c r="AN346" t="str">
        <f>IF(ISNUMBER(SEARCH("C", 'WetLitterbags placem_collection'!$W127)),"YES","NO")</f>
        <v>NO</v>
      </c>
      <c r="AO346" t="str">
        <f>IF(ISNUMBER(SEARCH("H", 'WetLitterbags placem_collection'!$W127)),"YES","NO")</f>
        <v>YES</v>
      </c>
      <c r="AP346" t="str">
        <f>IF(ISNUMBER(SEARCH("R", 'WetLitterbags placem_collection'!$W127)),"YES","NO")</f>
        <v>YES</v>
      </c>
    </row>
    <row r="347" spans="1:42" ht="15" customHeight="1">
      <c r="A347" t="s">
        <v>3248</v>
      </c>
      <c r="B347" s="248" t="s">
        <v>2454</v>
      </c>
      <c r="C347" s="253">
        <f>'Dry_Litterbag Placem_Collection'!A128</f>
        <v>126</v>
      </c>
      <c r="D347" s="253" t="str">
        <f>'Dry_Litterbag Placem_Collection'!B128</f>
        <v xml:space="preserve">Mwantimba
</v>
      </c>
      <c r="E347" s="253" t="s">
        <v>2454</v>
      </c>
      <c r="F347" s="253" t="s">
        <v>2644</v>
      </c>
      <c r="G347" s="253">
        <v>4</v>
      </c>
      <c r="H347" s="253" t="s">
        <v>3120</v>
      </c>
      <c r="I347" s="254" t="str">
        <f>'Dry_Litterbag Placem_Collection'!C128</f>
        <v>Wet_Ag4_T6</v>
      </c>
      <c r="J347" s="255" t="s">
        <v>2525</v>
      </c>
      <c r="K347" s="262" t="s">
        <v>298</v>
      </c>
      <c r="L347" s="221" t="str">
        <f>'WetLitterbags placem_collection'!M128</f>
        <v>R562</v>
      </c>
      <c r="M347" s="223">
        <f>IFERROR(INDEX('Green_rooibos initial weight'!$C$5:$C$2000,MATCH(L347, 'Green_rooibos initial weight'!$A$5:$A$2000,0)),"")</f>
        <v>2.2810000000000001</v>
      </c>
      <c r="N347" s="223">
        <f>IFERROR(M347-(TBIcalc!$H$9+TBIcalc!$H$10),"")</f>
        <v>2.0312000000000001</v>
      </c>
      <c r="O347" s="378">
        <f>AVERAGE(Ashed_controlls!$K$2:$K$11)</f>
        <v>5.5147656768714146</v>
      </c>
      <c r="P347" s="223">
        <f t="shared" si="26"/>
        <v>1.9191840795713879</v>
      </c>
      <c r="Q347" s="223">
        <f>IFERROR(INDEX('Both teabags AfterWet'!$C$3:$C$840,MATCH(L347,'Both teabags AfterWet'!$A$3:$A$840,0)),"")</f>
        <v>0.17599999999999999</v>
      </c>
      <c r="R347" s="223">
        <f>IFERROR(IF(Q347&gt;0,Q347-(TBIcalc!$H$9),""),"")</f>
        <v>2.5399999999999978E-2</v>
      </c>
      <c r="S347" s="223">
        <f>IFERROR(INDEX('Ashed teabags wet'!$K$2:$K$2000,MATCH(L347,'Ashed teabags wet'!$A$2:$A$2000,0)),"")</f>
        <v>0</v>
      </c>
      <c r="T347" s="223">
        <f t="shared" si="27"/>
        <v>2.5399999999999978E-2</v>
      </c>
      <c r="U347" s="224">
        <f>'WetLitterbags placem_collection'!E128</f>
        <v>42762</v>
      </c>
      <c r="V347" s="224">
        <f>IF('WetLitterbags placem_collection'!G128="","",'WetLitterbags placem_collection'!G128)</f>
        <v>42816</v>
      </c>
      <c r="W347" s="225">
        <f t="shared" si="25"/>
        <v>54</v>
      </c>
      <c r="X347" s="223">
        <f t="shared" si="28"/>
        <v>2.0058000000000002</v>
      </c>
      <c r="Y347" s="223">
        <f t="shared" si="29"/>
        <v>1.8937840795713878</v>
      </c>
      <c r="Z347">
        <f>IFERROR(INDEX([1]Rainfall_Wet!$O$2:$O$217,MATCH(C347, [1]Rainfall_Wet!$A$2:$A$217,0)),"")</f>
        <v>206.85140822299999</v>
      </c>
      <c r="AA347" s="226">
        <v>17.96</v>
      </c>
      <c r="AB347" s="226">
        <v>4.9199999999999982</v>
      </c>
      <c r="AC347" s="226">
        <v>77.12</v>
      </c>
      <c r="AD347" s="227" t="s">
        <v>2652</v>
      </c>
      <c r="AE347" s="226">
        <v>7.02207984228684</v>
      </c>
      <c r="AF347">
        <f>IF('WetLitterbags placem_collection'!AB128="","",'WetLitterbags placem_collection'!AB128)</f>
        <v>10.85</v>
      </c>
      <c r="AG347">
        <f>IF('WetLitterbags placem_collection'!Z128="","",'WetLitterbags placem_collection'!Z128)</f>
        <v>40</v>
      </c>
      <c r="AH347" s="236" t="str">
        <f>IF('WetLitterbags placem_collection'!AA128="","",'WetLitterbags placem_collection'!AA128)</f>
        <v>G</v>
      </c>
      <c r="AI347">
        <f>IF('WetLitterbags placem_collection'!AC128="","",'WetLitterbags placem_collection'!AC128)</f>
        <v>1</v>
      </c>
      <c r="AJ347" s="233">
        <f>AVERAGE('WetLitterbags placem_collection'!S128,'WetLitterbags placem_collection'!U128)</f>
        <v>16.649999999999999</v>
      </c>
      <c r="AK347">
        <f>AVERAGE('WetLitterbags placem_collection'!R128,'WetLitterbags placem_collection'!T128)</f>
        <v>32</v>
      </c>
      <c r="AL347">
        <f>INDEX([2]Coordinates!$B$2:$B$197,MATCH(I347,[2]Coordinates!$J$2:$J$197,0))</f>
        <v>-2.3493509829999999</v>
      </c>
      <c r="AM347">
        <f>INDEX([2]Coordinates!$C$2:$C$197,MATCH(I347,[2]Coordinates!$J$2:$J$197,0))</f>
        <v>34.051332019999997</v>
      </c>
      <c r="AN347" t="str">
        <f>IF(ISNUMBER(SEARCH("C", 'WetLitterbags placem_collection'!$W128)),"YES","NO")</f>
        <v>NO</v>
      </c>
      <c r="AO347" t="str">
        <f>IF(ISNUMBER(SEARCH("H", 'WetLitterbags placem_collection'!$W128)),"YES","NO")</f>
        <v>NO</v>
      </c>
      <c r="AP347" t="str">
        <f>IF(ISNUMBER(SEARCH("R", 'WetLitterbags placem_collection'!$W128)),"YES","NO")</f>
        <v>NO</v>
      </c>
    </row>
    <row r="348" spans="1:42" ht="15" customHeight="1">
      <c r="A348" t="s">
        <v>3248</v>
      </c>
      <c r="B348" s="248" t="s">
        <v>2454</v>
      </c>
      <c r="C348" s="253">
        <f>'Dry_Litterbag Placem_Collection'!A129</f>
        <v>127</v>
      </c>
      <c r="D348" s="253" t="str">
        <f>'Dry_Litterbag Placem_Collection'!B129</f>
        <v xml:space="preserve">Mwantimba
</v>
      </c>
      <c r="E348" s="253" t="s">
        <v>2454</v>
      </c>
      <c r="F348" s="253" t="s">
        <v>2644</v>
      </c>
      <c r="G348" s="253">
        <v>4</v>
      </c>
      <c r="H348" s="253" t="s">
        <v>3120</v>
      </c>
      <c r="I348" s="254" t="str">
        <f>'Dry_Litterbag Placem_Collection'!C129</f>
        <v>Wet_Ag4_T7</v>
      </c>
      <c r="J348" s="255" t="s">
        <v>2525</v>
      </c>
      <c r="K348" s="262" t="s">
        <v>298</v>
      </c>
      <c r="L348" s="221" t="str">
        <f>'WetLitterbags placem_collection'!M129</f>
        <v>R506</v>
      </c>
      <c r="M348" s="223">
        <f>IFERROR(INDEX('Green_rooibos initial weight'!$C$5:$C$2000,MATCH(L348, 'Green_rooibos initial weight'!$A$5:$A$2000,0)),"")</f>
        <v>2.1579999999999999</v>
      </c>
      <c r="N348" s="223">
        <f>IFERROR(M348-(TBIcalc!$H$9+TBIcalc!$H$10),"")</f>
        <v>1.9081999999999999</v>
      </c>
      <c r="O348" s="378">
        <f>AVERAGE(Ashed_controlls!$K$2:$K$11)</f>
        <v>5.5147656768714146</v>
      </c>
      <c r="P348" s="223">
        <f t="shared" si="26"/>
        <v>1.8029672413539395</v>
      </c>
      <c r="Q348" s="223">
        <f>IFERROR(INDEX('Both teabags AfterWet'!$C$3:$C$840,MATCH(L348,'Both teabags AfterWet'!$A$3:$A$840,0)),"")</f>
        <v>1.4710000000000001</v>
      </c>
      <c r="R348" s="223">
        <f>IFERROR(IF(Q348&gt;0,Q348-(TBIcalc!$H$9),""),"")</f>
        <v>1.3204</v>
      </c>
      <c r="S348" s="223">
        <f>IFERROR(INDEX('Ashed teabags wet'!$K$2:$K$2000,MATCH(L348,'Ashed teabags wet'!$A$2:$A$2000,0)),"")</f>
        <v>5.8622374206153776</v>
      </c>
      <c r="T348" s="223">
        <f t="shared" si="27"/>
        <v>1.2429950170981945</v>
      </c>
      <c r="U348" s="224">
        <f>'WetLitterbags placem_collection'!E129</f>
        <v>42762</v>
      </c>
      <c r="V348" s="224">
        <f>IF('WetLitterbags placem_collection'!G129="","",'WetLitterbags placem_collection'!G129)</f>
        <v>42816</v>
      </c>
      <c r="W348" s="225">
        <f t="shared" si="25"/>
        <v>54</v>
      </c>
      <c r="X348" s="223">
        <f t="shared" si="28"/>
        <v>0.58779999999999988</v>
      </c>
      <c r="Y348" s="223">
        <f t="shared" si="29"/>
        <v>0.559972224255745</v>
      </c>
      <c r="Z348">
        <f>IFERROR(INDEX([1]Rainfall_Wet!$O$2:$O$217,MATCH(C348, [1]Rainfall_Wet!$A$2:$A$217,0)),"")</f>
        <v>206.85140822299999</v>
      </c>
      <c r="AA348" s="226">
        <v>17.96</v>
      </c>
      <c r="AB348" s="226">
        <v>4.9199999999999982</v>
      </c>
      <c r="AC348" s="226">
        <v>77.12</v>
      </c>
      <c r="AD348" s="227" t="s">
        <v>2652</v>
      </c>
      <c r="AE348" s="226">
        <v>8.0220798422868391</v>
      </c>
      <c r="AF348">
        <f>IF('WetLitterbags placem_collection'!AB129="","",'WetLitterbags placem_collection'!AB129)</f>
        <v>5.35</v>
      </c>
      <c r="AG348">
        <f>IF('WetLitterbags placem_collection'!Z129="","",'WetLitterbags placem_collection'!Z129)</f>
        <v>58</v>
      </c>
      <c r="AH348" s="236" t="str">
        <f>IF('WetLitterbags placem_collection'!AA129="","",'WetLitterbags placem_collection'!AA129)</f>
        <v>G</v>
      </c>
      <c r="AI348">
        <f>IF('WetLitterbags placem_collection'!AC129="","",'WetLitterbags placem_collection'!AC129)</f>
        <v>1</v>
      </c>
      <c r="AJ348" s="233">
        <f>AVERAGE('WetLitterbags placem_collection'!S129,'WetLitterbags placem_collection'!U129)</f>
        <v>15.8</v>
      </c>
      <c r="AK348">
        <f>AVERAGE('WetLitterbags placem_collection'!R129,'WetLitterbags placem_collection'!T129)</f>
        <v>31.55</v>
      </c>
      <c r="AL348">
        <f>INDEX([2]Coordinates!$B$2:$B$197,MATCH(I348,[2]Coordinates!$J$2:$J$197,0))</f>
        <v>-2.3491850219999999</v>
      </c>
      <c r="AM348">
        <f>INDEX([2]Coordinates!$C$2:$C$197,MATCH(I348,[2]Coordinates!$J$2:$J$197,0))</f>
        <v>34.051264959999997</v>
      </c>
      <c r="AN348" t="str">
        <f>IF(ISNUMBER(SEARCH("C", 'WetLitterbags placem_collection'!$W129)),"YES","NO")</f>
        <v>NO</v>
      </c>
      <c r="AO348" t="str">
        <f>IF(ISNUMBER(SEARCH("H", 'WetLitterbags placem_collection'!$W129)),"YES","NO")</f>
        <v>NO</v>
      </c>
      <c r="AP348" t="str">
        <f>IF(ISNUMBER(SEARCH("R", 'WetLitterbags placem_collection'!$W129)),"YES","NO")</f>
        <v>NO</v>
      </c>
    </row>
    <row r="349" spans="1:42" ht="15" customHeight="1">
      <c r="A349" t="s">
        <v>3248</v>
      </c>
      <c r="B349" s="248" t="s">
        <v>2454</v>
      </c>
      <c r="C349" s="253">
        <f>'Dry_Litterbag Placem_Collection'!A130</f>
        <v>128</v>
      </c>
      <c r="D349" s="253" t="str">
        <f>'Dry_Litterbag Placem_Collection'!B130</f>
        <v xml:space="preserve">Mwantimba
</v>
      </c>
      <c r="E349" s="253" t="s">
        <v>2454</v>
      </c>
      <c r="F349" s="253" t="s">
        <v>2644</v>
      </c>
      <c r="G349" s="253">
        <v>4</v>
      </c>
      <c r="H349" s="253" t="s">
        <v>3120</v>
      </c>
      <c r="I349" s="254" t="str">
        <f>'Dry_Litterbag Placem_Collection'!C130</f>
        <v>Wet_Ag4_T8</v>
      </c>
      <c r="J349" s="255" t="s">
        <v>2525</v>
      </c>
      <c r="K349" s="262" t="s">
        <v>298</v>
      </c>
      <c r="L349" s="221" t="str">
        <f>'WetLitterbags placem_collection'!M130</f>
        <v>R554</v>
      </c>
      <c r="M349" s="223">
        <f>IFERROR(INDEX('Green_rooibos initial weight'!$C$5:$C$2000,MATCH(L349, 'Green_rooibos initial weight'!$A$5:$A$2000,0)),"")</f>
        <v>2.1779999999999999</v>
      </c>
      <c r="N349" s="223">
        <f>IFERROR(M349-(TBIcalc!$H$9+TBIcalc!$H$10),"")</f>
        <v>1.9281999999999999</v>
      </c>
      <c r="O349" s="378">
        <f>AVERAGE(Ashed_controlls!$K$2:$K$11)</f>
        <v>5.5147656768714146</v>
      </c>
      <c r="P349" s="223">
        <f t="shared" si="26"/>
        <v>1.8218642882185654</v>
      </c>
      <c r="Q349" s="223">
        <f>IFERROR(INDEX('Both teabags AfterWet'!$C$3:$C$840,MATCH(L349,'Both teabags AfterWet'!$A$3:$A$840,0)),"")</f>
        <v>2.5259999999999998</v>
      </c>
      <c r="R349" s="223">
        <f>IFERROR(IF(Q349&gt;0,Q349-(TBIcalc!$H$9),""),"")</f>
        <v>2.3754</v>
      </c>
      <c r="S349" s="223">
        <f>IFERROR(INDEX('Ashed teabags wet'!$K$2:$K$2000,MATCH(L349,'Ashed teabags wet'!$A$2:$A$2000,0)),"")</f>
        <v>66.458433445459406</v>
      </c>
      <c r="T349" s="223">
        <f t="shared" si="27"/>
        <v>0.79674637193655728</v>
      </c>
      <c r="U349" s="224">
        <f>'WetLitterbags placem_collection'!E130</f>
        <v>42762</v>
      </c>
      <c r="V349" s="224">
        <f>IF('WetLitterbags placem_collection'!G130="","",'WetLitterbags placem_collection'!G130)</f>
        <v>42816</v>
      </c>
      <c r="W349" s="225">
        <f t="shared" si="25"/>
        <v>54</v>
      </c>
      <c r="X349" s="223">
        <f t="shared" si="28"/>
        <v>-0.44720000000000004</v>
      </c>
      <c r="Y349" s="223">
        <f t="shared" si="29"/>
        <v>1.0251179162820081</v>
      </c>
      <c r="Z349">
        <f>IFERROR(INDEX([1]Rainfall_Wet!$O$2:$O$217,MATCH(C349, [1]Rainfall_Wet!$A$2:$A$217,0)),"")</f>
        <v>206.85140822299999</v>
      </c>
      <c r="AA349" s="226">
        <v>17.96</v>
      </c>
      <c r="AB349" s="226">
        <v>4.9199999999999982</v>
      </c>
      <c r="AC349" s="226">
        <v>77.12</v>
      </c>
      <c r="AD349" s="227" t="s">
        <v>2652</v>
      </c>
      <c r="AE349" s="226">
        <v>9.0220798422868391</v>
      </c>
      <c r="AF349">
        <f>IF('WetLitterbags placem_collection'!AB130="","",'WetLitterbags placem_collection'!AB130)</f>
        <v>10.9</v>
      </c>
      <c r="AG349">
        <f>IF('WetLitterbags placem_collection'!Z130="","",'WetLitterbags placem_collection'!Z130)</f>
        <v>44</v>
      </c>
      <c r="AH349" s="236" t="str">
        <f>IF('WetLitterbags placem_collection'!AA130="","",'WetLitterbags placem_collection'!AA130)</f>
        <v>G</v>
      </c>
      <c r="AI349">
        <f>IF('WetLitterbags placem_collection'!AC130="","",'WetLitterbags placem_collection'!AC130)</f>
        <v>0</v>
      </c>
      <c r="AJ349" s="233">
        <f>AVERAGE('WetLitterbags placem_collection'!S130,'WetLitterbags placem_collection'!U130)</f>
        <v>8.15</v>
      </c>
      <c r="AK349">
        <f>AVERAGE('WetLitterbags placem_collection'!R130,'WetLitterbags placem_collection'!T130)</f>
        <v>31.650000000000002</v>
      </c>
      <c r="AL349">
        <f>INDEX([2]Coordinates!$B$2:$B$197,MATCH(I349,[2]Coordinates!$J$2:$J$197,0))</f>
        <v>-2.3493099960000001</v>
      </c>
      <c r="AM349">
        <f>INDEX([2]Coordinates!$C$2:$C$197,MATCH(I349,[2]Coordinates!$J$2:$J$197,0))</f>
        <v>34.05141802</v>
      </c>
      <c r="AN349" t="str">
        <f>IF(ISNUMBER(SEARCH("C", 'WetLitterbags placem_collection'!$W130)),"YES","NO")</f>
        <v>YES</v>
      </c>
      <c r="AO349" t="str">
        <f>IF(ISNUMBER(SEARCH("H", 'WetLitterbags placem_collection'!$W130)),"YES","NO")</f>
        <v>YES</v>
      </c>
      <c r="AP349" t="str">
        <f>IF(ISNUMBER(SEARCH("R", 'WetLitterbags placem_collection'!$W130)),"YES","NO")</f>
        <v>YES</v>
      </c>
    </row>
    <row r="350" spans="1:42" ht="15" customHeight="1">
      <c r="A350" t="s">
        <v>3248</v>
      </c>
      <c r="B350" s="248" t="s">
        <v>2454</v>
      </c>
      <c r="C350" s="253">
        <f>'Dry_Litterbag Placem_Collection'!A131</f>
        <v>129</v>
      </c>
      <c r="D350" s="253" t="str">
        <f>'Dry_Litterbag Placem_Collection'!B131</f>
        <v xml:space="preserve">Mwantimba
</v>
      </c>
      <c r="E350" s="253" t="s">
        <v>2454</v>
      </c>
      <c r="F350" s="253" t="s">
        <v>20</v>
      </c>
      <c r="G350" s="253">
        <v>1</v>
      </c>
      <c r="H350" s="253" t="s">
        <v>3121</v>
      </c>
      <c r="I350" s="254" t="str">
        <f>'Dry_Litterbag Placem_Collection'!C131</f>
        <v>Wet_P1_T1</v>
      </c>
      <c r="J350" s="255" t="s">
        <v>2525</v>
      </c>
      <c r="K350" s="262" t="s">
        <v>298</v>
      </c>
      <c r="L350" s="221" t="str">
        <f>'WetLitterbags placem_collection'!M131</f>
        <v>R46</v>
      </c>
      <c r="M350" s="223">
        <f>IFERROR(INDEX('Green_rooibos initial weight'!$C$5:$C$2000,MATCH(L350, 'Green_rooibos initial weight'!$A$5:$A$2000,0)),"")</f>
        <v>2.2890000000000001</v>
      </c>
      <c r="N350" s="223">
        <f>IFERROR(M350-(TBIcalc!$H$9+TBIcalc!$H$10),"")</f>
        <v>2.0392000000000001</v>
      </c>
      <c r="O350" s="378">
        <f>AVERAGE(Ashed_controlls!$K$2:$K$11)</f>
        <v>5.5147656768714146</v>
      </c>
      <c r="P350" s="223">
        <f t="shared" si="26"/>
        <v>1.9267428983172383</v>
      </c>
      <c r="Q350" s="223">
        <f>IFERROR(INDEX('Both teabags AfterWet'!$C$3:$C$840,MATCH(L350,'Both teabags AfterWet'!$A$3:$A$840,0)),"")</f>
        <v>0.48970000000000002</v>
      </c>
      <c r="R350" s="223">
        <f>IFERROR(IF(Q350&gt;0,Q350-(TBIcalc!$H$9),""),"")</f>
        <v>0.33910000000000001</v>
      </c>
      <c r="S350" s="223">
        <f>IFERROR(INDEX('Ashed teabags wet'!$K$2:$K$2000,MATCH(L350,'Ashed teabags wet'!$A$2:$A$2000,0)),"")</f>
        <v>0</v>
      </c>
      <c r="T350" s="223">
        <f t="shared" si="27"/>
        <v>0.33910000000000001</v>
      </c>
      <c r="U350" s="224">
        <f>'WetLitterbags placem_collection'!E131</f>
        <v>42762</v>
      </c>
      <c r="V350" s="224">
        <f>IF('WetLitterbags placem_collection'!G131="","",'WetLitterbags placem_collection'!G131)</f>
        <v>42816</v>
      </c>
      <c r="W350" s="225">
        <f t="shared" si="25"/>
        <v>54</v>
      </c>
      <c r="X350" s="223">
        <f t="shared" si="28"/>
        <v>1.7001000000000002</v>
      </c>
      <c r="Y350" s="223">
        <f t="shared" si="29"/>
        <v>1.5876428983172384</v>
      </c>
      <c r="Z350">
        <f>IFERROR(INDEX([1]Rainfall_Wet!$O$2:$O$217,MATCH(C350, [1]Rainfall_Wet!$A$2:$A$217,0)),"")</f>
        <v>206.85140822299999</v>
      </c>
      <c r="AA350" s="226">
        <v>31.214836424255054</v>
      </c>
      <c r="AB350" s="226">
        <v>11.377370285476141</v>
      </c>
      <c r="AC350" s="226">
        <v>57.407793290268799</v>
      </c>
      <c r="AD350" s="227" t="s">
        <v>2651</v>
      </c>
      <c r="AE350" s="226">
        <v>1.7337604731394776</v>
      </c>
      <c r="AF350">
        <f>IF('WetLitterbags placem_collection'!AB131="","",'WetLitterbags placem_collection'!AB131)</f>
        <v>2.4</v>
      </c>
      <c r="AG350">
        <f>IF('WetLitterbags placem_collection'!Z131="","",'WetLitterbags placem_collection'!Z131)</f>
        <v>2.4</v>
      </c>
      <c r="AH350" s="236" t="str">
        <f>IF('WetLitterbags placem_collection'!AA131="","",'WetLitterbags placem_collection'!AA131)</f>
        <v>O</v>
      </c>
      <c r="AI350">
        <f>IF('WetLitterbags placem_collection'!AC131="","",'WetLitterbags placem_collection'!AC131)</f>
        <v>1</v>
      </c>
      <c r="AJ350" s="233">
        <f>AVERAGE('WetLitterbags placem_collection'!S131,'WetLitterbags placem_collection'!U131)</f>
        <v>15.05</v>
      </c>
      <c r="AK350">
        <f>AVERAGE('WetLitterbags placem_collection'!R131,'WetLitterbags placem_collection'!T131)</f>
        <v>28</v>
      </c>
      <c r="AL350">
        <f>INDEX([2]Coordinates!$B$2:$B$197,MATCH(I350,[2]Coordinates!$J$2:$J$197,0))</f>
        <v>-2.3503360249999998</v>
      </c>
      <c r="AM350">
        <f>INDEX([2]Coordinates!$C$2:$C$197,MATCH(I350,[2]Coordinates!$J$2:$J$197,0))</f>
        <v>34.049662009999999</v>
      </c>
      <c r="AN350" t="str">
        <f>IF(ISNUMBER(SEARCH("C", 'WetLitterbags placem_collection'!$W131)),"YES","NO")</f>
        <v>NO</v>
      </c>
      <c r="AO350" t="str">
        <f>IF(ISNUMBER(SEARCH("H", 'WetLitterbags placem_collection'!$W131)),"YES","NO")</f>
        <v>YES</v>
      </c>
      <c r="AP350" t="str">
        <f>IF(ISNUMBER(SEARCH("R", 'WetLitterbags placem_collection'!$W131)),"YES","NO")</f>
        <v>NO</v>
      </c>
    </row>
    <row r="351" spans="1:42" ht="15" customHeight="1">
      <c r="A351" t="s">
        <v>3248</v>
      </c>
      <c r="B351" s="248" t="s">
        <v>2454</v>
      </c>
      <c r="C351" s="253">
        <f>'Dry_Litterbag Placem_Collection'!A132</f>
        <v>130</v>
      </c>
      <c r="D351" s="253" t="str">
        <f>'Dry_Litterbag Placem_Collection'!B132</f>
        <v xml:space="preserve">Mwantimba
</v>
      </c>
      <c r="E351" s="253" t="s">
        <v>2454</v>
      </c>
      <c r="F351" s="253" t="s">
        <v>20</v>
      </c>
      <c r="G351" s="253">
        <v>1</v>
      </c>
      <c r="H351" s="253" t="s">
        <v>3121</v>
      </c>
      <c r="I351" s="254" t="str">
        <f>'Dry_Litterbag Placem_Collection'!C132</f>
        <v>Wet_P1_T2</v>
      </c>
      <c r="J351" s="255" t="s">
        <v>2525</v>
      </c>
      <c r="K351" s="262" t="s">
        <v>298</v>
      </c>
      <c r="L351" s="221" t="str">
        <f>'WetLitterbags placem_collection'!M132</f>
        <v>R585</v>
      </c>
      <c r="M351" s="223">
        <f>IFERROR(INDEX('Green_rooibos initial weight'!$C$5:$C$2000,MATCH(L351, 'Green_rooibos initial weight'!$A$5:$A$2000,0)),"")</f>
        <v>2.17</v>
      </c>
      <c r="N351" s="223">
        <f>IFERROR(M351-(TBIcalc!$H$9+TBIcalc!$H$10),"")</f>
        <v>1.9201999999999999</v>
      </c>
      <c r="O351" s="378">
        <f>AVERAGE(Ashed_controlls!$K$2:$K$11)</f>
        <v>5.5147656768714146</v>
      </c>
      <c r="P351" s="223">
        <f t="shared" si="26"/>
        <v>1.814305469472715</v>
      </c>
      <c r="Q351" s="223">
        <f>IFERROR(INDEX('Both teabags AfterWet'!$C$3:$C$840,MATCH(L351,'Both teabags AfterWet'!$A$3:$A$840,0)),"")</f>
        <v>1.6379999999999999</v>
      </c>
      <c r="R351" s="223">
        <f>IFERROR(IF(Q351&gt;0,Q351-(TBIcalc!$H$9),""),"")</f>
        <v>1.4873999999999998</v>
      </c>
      <c r="S351" s="223">
        <f>IFERROR(INDEX('Ashed teabags wet'!$K$2:$K$2000,MATCH(L351,'Ashed teabags wet'!$A$2:$A$2000,0)),"")</f>
        <v>4.8913043478256997</v>
      </c>
      <c r="T351" s="223">
        <f t="shared" si="27"/>
        <v>1.4146467391304405</v>
      </c>
      <c r="U351" s="224">
        <f>'WetLitterbags placem_collection'!E132</f>
        <v>42762</v>
      </c>
      <c r="V351" s="224">
        <f>IF('WetLitterbags placem_collection'!G132="","",'WetLitterbags placem_collection'!G132)</f>
        <v>42816</v>
      </c>
      <c r="W351" s="225">
        <f t="shared" si="25"/>
        <v>54</v>
      </c>
      <c r="X351" s="223">
        <f t="shared" si="28"/>
        <v>0.43280000000000007</v>
      </c>
      <c r="Y351" s="223">
        <f t="shared" si="29"/>
        <v>0.3996587303422745</v>
      </c>
      <c r="Z351">
        <f>IFERROR(INDEX([1]Rainfall_Wet!$O$2:$O$217,MATCH(C351, [1]Rainfall_Wet!$A$2:$A$217,0)),"")</f>
        <v>206.85140822299999</v>
      </c>
      <c r="AA351" s="226">
        <v>31.214836424255054</v>
      </c>
      <c r="AB351" s="226">
        <v>11.377370285476141</v>
      </c>
      <c r="AC351" s="226">
        <v>57.407793290268799</v>
      </c>
      <c r="AD351" s="227" t="s">
        <v>2651</v>
      </c>
      <c r="AE351" s="226">
        <v>2.7337604731394798</v>
      </c>
      <c r="AF351">
        <f>IF('WetLitterbags placem_collection'!AB132="","",'WetLitterbags placem_collection'!AB132)</f>
        <v>2.1</v>
      </c>
      <c r="AG351">
        <f>IF('WetLitterbags placem_collection'!Z132="","",'WetLitterbags placem_collection'!Z132)</f>
        <v>3.5</v>
      </c>
      <c r="AH351" s="236" t="str">
        <f>IF('WetLitterbags placem_collection'!AA132="","",'WetLitterbags placem_collection'!AA132)</f>
        <v>O</v>
      </c>
      <c r="AI351">
        <f>IF('WetLitterbags placem_collection'!AC132="","",'WetLitterbags placem_collection'!AC132)</f>
        <v>0</v>
      </c>
      <c r="AJ351" s="233">
        <f>AVERAGE('WetLitterbags placem_collection'!S132,'WetLitterbags placem_collection'!U132)</f>
        <v>16.3</v>
      </c>
      <c r="AK351">
        <f>AVERAGE('WetLitterbags placem_collection'!R132,'WetLitterbags placem_collection'!T132)</f>
        <v>28.5</v>
      </c>
      <c r="AL351">
        <f>INDEX([2]Coordinates!$B$2:$B$197,MATCH(I351,[2]Coordinates!$J$2:$J$197,0))</f>
        <v>-2.3503729889999998</v>
      </c>
      <c r="AM351">
        <f>INDEX([2]Coordinates!$C$2:$C$197,MATCH(I351,[2]Coordinates!$J$2:$J$197,0))</f>
        <v>34.049626969999998</v>
      </c>
      <c r="AN351" t="str">
        <f>IF(ISNUMBER(SEARCH("C", 'WetLitterbags placem_collection'!$W132)),"YES","NO")</f>
        <v>NO</v>
      </c>
      <c r="AO351" t="str">
        <f>IF(ISNUMBER(SEARCH("H", 'WetLitterbags placem_collection'!$W132)),"YES","NO")</f>
        <v>NO</v>
      </c>
      <c r="AP351" t="str">
        <f>IF(ISNUMBER(SEARCH("R", 'WetLitterbags placem_collection'!$W132)),"YES","NO")</f>
        <v>NO</v>
      </c>
    </row>
    <row r="352" spans="1:42" ht="15" customHeight="1">
      <c r="A352" t="s">
        <v>3248</v>
      </c>
      <c r="B352" s="248" t="s">
        <v>2454</v>
      </c>
      <c r="C352" s="253">
        <f>'Dry_Litterbag Placem_Collection'!A133</f>
        <v>131</v>
      </c>
      <c r="D352" s="253" t="str">
        <f>'Dry_Litterbag Placem_Collection'!B133</f>
        <v xml:space="preserve">Mwantimba
</v>
      </c>
      <c r="E352" s="253" t="s">
        <v>2454</v>
      </c>
      <c r="F352" s="253" t="s">
        <v>20</v>
      </c>
      <c r="G352" s="253">
        <v>1</v>
      </c>
      <c r="H352" s="253" t="s">
        <v>3121</v>
      </c>
      <c r="I352" s="254" t="str">
        <f>'Dry_Litterbag Placem_Collection'!C133</f>
        <v>Wet_P1_T3</v>
      </c>
      <c r="J352" s="255" t="s">
        <v>2525</v>
      </c>
      <c r="K352" s="262" t="s">
        <v>298</v>
      </c>
      <c r="L352" s="221" t="str">
        <f>'WetLitterbags placem_collection'!M133</f>
        <v>R476</v>
      </c>
      <c r="M352" s="223">
        <f>IFERROR(INDEX('Green_rooibos initial weight'!$C$5:$C$2000,MATCH(L352, 'Green_rooibos initial weight'!$A$5:$A$2000,0)),"")</f>
        <v>2.2429999999999999</v>
      </c>
      <c r="N352" s="223">
        <f>IFERROR(M352-(TBIcalc!$H$9+TBIcalc!$H$10),"")</f>
        <v>1.9931999999999999</v>
      </c>
      <c r="O352" s="378">
        <f>AVERAGE(Ashed_controlls!$K$2:$K$11)</f>
        <v>5.5147656768714146</v>
      </c>
      <c r="P352" s="223">
        <f t="shared" si="26"/>
        <v>1.8832796905285989</v>
      </c>
      <c r="Q352" s="223">
        <f>IFERROR(INDEX('Both teabags AfterWet'!$C$3:$C$840,MATCH(L352,'Both teabags AfterWet'!$A$3:$A$840,0)),"")</f>
        <v>0.64019999999999999</v>
      </c>
      <c r="R352" s="223">
        <f>IFERROR(IF(Q352&gt;0,Q352-(TBIcalc!$H$9),""),"")</f>
        <v>0.48959999999999998</v>
      </c>
      <c r="S352" s="223">
        <f>IFERROR(INDEX('Ashed teabags wet'!$K$2:$K$2000,MATCH(L352,'Ashed teabags wet'!$A$2:$A$2000,0)),"")</f>
        <v>0</v>
      </c>
      <c r="T352" s="223">
        <f t="shared" si="27"/>
        <v>0.48959999999999998</v>
      </c>
      <c r="U352" s="224">
        <f>'WetLitterbags placem_collection'!E133</f>
        <v>42762</v>
      </c>
      <c r="V352" s="224">
        <f>IF('WetLitterbags placem_collection'!G133="","",'WetLitterbags placem_collection'!G133)</f>
        <v>42816</v>
      </c>
      <c r="W352" s="225">
        <f t="shared" si="25"/>
        <v>54</v>
      </c>
      <c r="X352" s="223">
        <f t="shared" si="28"/>
        <v>1.5035999999999998</v>
      </c>
      <c r="Y352" s="223">
        <f t="shared" si="29"/>
        <v>1.3936796905285989</v>
      </c>
      <c r="Z352">
        <f>IFERROR(INDEX([1]Rainfall_Wet!$O$2:$O$217,MATCH(C352, [1]Rainfall_Wet!$A$2:$A$217,0)),"")</f>
        <v>206.85140822299999</v>
      </c>
      <c r="AA352" s="226">
        <v>31.214836424255054</v>
      </c>
      <c r="AB352" s="226">
        <v>11.377370285476141</v>
      </c>
      <c r="AC352" s="226">
        <v>57.407793290268799</v>
      </c>
      <c r="AD352" s="227" t="s">
        <v>2651</v>
      </c>
      <c r="AE352" s="226">
        <v>3.7337604731394798</v>
      </c>
      <c r="AF352">
        <f>IF('WetLitterbags placem_collection'!AB133="","",'WetLitterbags placem_collection'!AB133)</f>
        <v>4.5</v>
      </c>
      <c r="AG352">
        <f>IF('WetLitterbags placem_collection'!Z133="","",'WetLitterbags placem_collection'!Z133)</f>
        <v>7.5</v>
      </c>
      <c r="AH352" s="236" t="str">
        <f>IF('WetLitterbags placem_collection'!AA133="","",'WetLitterbags placem_collection'!AA133)</f>
        <v>O</v>
      </c>
      <c r="AI352">
        <f>IF('WetLitterbags placem_collection'!AC133="","",'WetLitterbags placem_collection'!AC133)</f>
        <v>0</v>
      </c>
      <c r="AJ352" s="233">
        <f>AVERAGE('WetLitterbags placem_collection'!S133,'WetLitterbags placem_collection'!U133)</f>
        <v>9.3000000000000007</v>
      </c>
      <c r="AK352">
        <f>AVERAGE('WetLitterbags placem_collection'!R133,'WetLitterbags placem_collection'!T133)</f>
        <v>28.950000000000003</v>
      </c>
      <c r="AL352">
        <f>INDEX([2]Coordinates!$B$2:$B$197,MATCH(I352,[2]Coordinates!$J$2:$J$197,0))</f>
        <v>-2.3503259660000002</v>
      </c>
      <c r="AM352">
        <f>INDEX([2]Coordinates!$C$2:$C$197,MATCH(I352,[2]Coordinates!$J$2:$J$197,0))</f>
        <v>34.049616999999998</v>
      </c>
      <c r="AN352" t="str">
        <f>IF(ISNUMBER(SEARCH("C", 'WetLitterbags placem_collection'!$W133)),"YES","NO")</f>
        <v>YES</v>
      </c>
      <c r="AO352" t="str">
        <f>IF(ISNUMBER(SEARCH("H", 'WetLitterbags placem_collection'!$W133)),"YES","NO")</f>
        <v>YES</v>
      </c>
      <c r="AP352" t="str">
        <f>IF(ISNUMBER(SEARCH("R", 'WetLitterbags placem_collection'!$W133)),"YES","NO")</f>
        <v>NO</v>
      </c>
    </row>
    <row r="353" spans="1:42" ht="15" customHeight="1">
      <c r="A353" t="s">
        <v>3248</v>
      </c>
      <c r="B353" s="248" t="s">
        <v>2454</v>
      </c>
      <c r="C353" s="253">
        <f>'Dry_Litterbag Placem_Collection'!A134</f>
        <v>132</v>
      </c>
      <c r="D353" s="253" t="str">
        <f>'Dry_Litterbag Placem_Collection'!B134</f>
        <v xml:space="preserve">Mwantimba
</v>
      </c>
      <c r="E353" s="253" t="s">
        <v>2454</v>
      </c>
      <c r="F353" s="253" t="s">
        <v>20</v>
      </c>
      <c r="G353" s="253">
        <v>1</v>
      </c>
      <c r="H353" s="253" t="s">
        <v>3121</v>
      </c>
      <c r="I353" s="254" t="str">
        <f>'Dry_Litterbag Placem_Collection'!C134</f>
        <v>Wet_P1_T4</v>
      </c>
      <c r="J353" s="255" t="s">
        <v>2525</v>
      </c>
      <c r="K353" s="262" t="s">
        <v>298</v>
      </c>
      <c r="L353" s="221" t="str">
        <f>'WetLitterbags placem_collection'!M134</f>
        <v>R536</v>
      </c>
      <c r="M353" s="223">
        <f>IFERROR(INDEX('Green_rooibos initial weight'!$C$5:$C$2000,MATCH(L353, 'Green_rooibos initial weight'!$A$5:$A$2000,0)),"")</f>
        <v>2.1970000000000001</v>
      </c>
      <c r="N353" s="223">
        <f>IFERROR(M353-(TBIcalc!$H$9+TBIcalc!$H$10),"")</f>
        <v>1.9472</v>
      </c>
      <c r="O353" s="378">
        <f>AVERAGE(Ashed_controlls!$K$2:$K$11)</f>
        <v>5.5147656768714146</v>
      </c>
      <c r="P353" s="223">
        <f t="shared" si="26"/>
        <v>1.8398164827399599</v>
      </c>
      <c r="Q353" s="223">
        <f>IFERROR(INDEX('Both teabags AfterWet'!$C$3:$C$840,MATCH(L353,'Both teabags AfterWet'!$A$3:$A$840,0)),"")</f>
        <v>1.593</v>
      </c>
      <c r="R353" s="223">
        <f>IFERROR(IF(Q353&gt;0,Q353-(TBIcalc!$H$9),""),"")</f>
        <v>1.4423999999999999</v>
      </c>
      <c r="S353" s="223">
        <f>IFERROR(INDEX('Ashed teabags wet'!$K$2:$K$2000,MATCH(L353,'Ashed teabags wet'!$A$2:$A$2000,0)),"")</f>
        <v>91.768144179250029</v>
      </c>
      <c r="T353" s="223">
        <f t="shared" si="27"/>
        <v>0.11873628835849748</v>
      </c>
      <c r="U353" s="224">
        <f>'WetLitterbags placem_collection'!E134</f>
        <v>42762</v>
      </c>
      <c r="V353" s="224">
        <f>IF('WetLitterbags placem_collection'!G134="","",'WetLitterbags placem_collection'!G134)</f>
        <v>42816</v>
      </c>
      <c r="W353" s="225">
        <f t="shared" si="25"/>
        <v>54</v>
      </c>
      <c r="X353" s="223">
        <f t="shared" si="28"/>
        <v>0.50480000000000014</v>
      </c>
      <c r="Y353" s="223">
        <f t="shared" si="29"/>
        <v>1.7210801943814624</v>
      </c>
      <c r="Z353">
        <f>IFERROR(INDEX([1]Rainfall_Wet!$O$2:$O$217,MATCH(C353, [1]Rainfall_Wet!$A$2:$A$217,0)),"")</f>
        <v>206.85140822299999</v>
      </c>
      <c r="AA353" s="226">
        <v>31.214836424255054</v>
      </c>
      <c r="AB353" s="226">
        <v>11.377370285476141</v>
      </c>
      <c r="AC353" s="226">
        <v>57.407793290268799</v>
      </c>
      <c r="AD353" s="227" t="s">
        <v>2651</v>
      </c>
      <c r="AE353" s="226">
        <v>4.7337604731394798</v>
      </c>
      <c r="AF353">
        <f>IF('WetLitterbags placem_collection'!AB134="","",'WetLitterbags placem_collection'!AB134)</f>
        <v>0.7</v>
      </c>
      <c r="AG353">
        <f>IF('WetLitterbags placem_collection'!Z134="","",'WetLitterbags placem_collection'!Z134)</f>
        <v>9.8000000000000007</v>
      </c>
      <c r="AH353" s="236" t="str">
        <f>IF('WetLitterbags placem_collection'!AA134="","",'WetLitterbags placem_collection'!AA134)</f>
        <v>G</v>
      </c>
      <c r="AI353">
        <f>IF('WetLitterbags placem_collection'!AC134="","",'WetLitterbags placem_collection'!AC134)</f>
        <v>1</v>
      </c>
      <c r="AJ353" s="233">
        <f>AVERAGE('WetLitterbags placem_collection'!S134,'WetLitterbags placem_collection'!U134)</f>
        <v>18.55</v>
      </c>
      <c r="AK353">
        <f>AVERAGE('WetLitterbags placem_collection'!R134,'WetLitterbags placem_collection'!T134)</f>
        <v>28.95</v>
      </c>
      <c r="AL353">
        <f>INDEX([2]Coordinates!$B$2:$B$197,MATCH(I353,[2]Coordinates!$J$2:$J$197,0))</f>
        <v>-2.3504800260000001</v>
      </c>
      <c r="AM353">
        <f>INDEX([2]Coordinates!$C$2:$C$197,MATCH(I353,[2]Coordinates!$J$2:$J$197,0))</f>
        <v>34.049551030000003</v>
      </c>
      <c r="AN353" t="str">
        <f>IF(ISNUMBER(SEARCH("C", 'WetLitterbags placem_collection'!$W134)),"YES","NO")</f>
        <v>YES</v>
      </c>
      <c r="AO353" t="str">
        <f>IF(ISNUMBER(SEARCH("H", 'WetLitterbags placem_collection'!$W134)),"YES","NO")</f>
        <v>YES</v>
      </c>
      <c r="AP353" t="str">
        <f>IF(ISNUMBER(SEARCH("R", 'WetLitterbags placem_collection'!$W134)),"YES","NO")</f>
        <v>NO</v>
      </c>
    </row>
    <row r="354" spans="1:42" ht="15" customHeight="1">
      <c r="A354" t="s">
        <v>3248</v>
      </c>
      <c r="B354" s="248" t="s">
        <v>2454</v>
      </c>
      <c r="C354" s="253">
        <f>'Dry_Litterbag Placem_Collection'!A135</f>
        <v>133</v>
      </c>
      <c r="D354" s="253" t="str">
        <f>'Dry_Litterbag Placem_Collection'!B135</f>
        <v xml:space="preserve">Mwantimba
</v>
      </c>
      <c r="E354" s="253" t="s">
        <v>2454</v>
      </c>
      <c r="F354" s="253" t="s">
        <v>20</v>
      </c>
      <c r="G354" s="253">
        <v>1</v>
      </c>
      <c r="H354" s="253" t="s">
        <v>3121</v>
      </c>
      <c r="I354" s="254" t="str">
        <f>'Dry_Litterbag Placem_Collection'!C135</f>
        <v>Wet_P1_T5</v>
      </c>
      <c r="J354" s="255" t="s">
        <v>2525</v>
      </c>
      <c r="K354" s="262" t="s">
        <v>298</v>
      </c>
      <c r="L354" s="221" t="str">
        <f>'WetLitterbags placem_collection'!M135</f>
        <v>R524</v>
      </c>
      <c r="M354" s="223">
        <f>IFERROR(INDEX('Green_rooibos initial weight'!$C$5:$C$2000,MATCH(L354, 'Green_rooibos initial weight'!$A$5:$A$2000,0)),"")</f>
        <v>2.1080000000000001</v>
      </c>
      <c r="N354" s="223">
        <f>IFERROR(M354-(TBIcalc!$H$9+TBIcalc!$H$10),"")</f>
        <v>1.8582000000000001</v>
      </c>
      <c r="O354" s="378">
        <f>AVERAGE(Ashed_controlls!$K$2:$K$11)</f>
        <v>5.5147656768714146</v>
      </c>
      <c r="P354" s="223">
        <f t="shared" si="26"/>
        <v>1.7557246241923754</v>
      </c>
      <c r="Q354" s="223">
        <f>IFERROR(INDEX('Both teabags AfterWet'!$C$3:$C$840,MATCH(L354,'Both teabags AfterWet'!$A$3:$A$840,0)),"")</f>
        <v>1.5687</v>
      </c>
      <c r="R354" s="223">
        <f>IFERROR(IF(Q354&gt;0,Q354-(TBIcalc!$H$9),""),"")</f>
        <v>1.4180999999999999</v>
      </c>
      <c r="S354" s="223">
        <f>IFERROR(INDEX('Ashed teabags wet'!$K$2:$K$2000,MATCH(L354,'Ashed teabags wet'!$A$2:$A$2000,0)),"")</f>
        <v>2.521432173474186</v>
      </c>
      <c r="T354" s="223">
        <f t="shared" si="27"/>
        <v>1.3823435703479625</v>
      </c>
      <c r="U354" s="224">
        <f>'WetLitterbags placem_collection'!E135</f>
        <v>42762</v>
      </c>
      <c r="V354" s="224">
        <f>IF('WetLitterbags placem_collection'!G135="","",'WetLitterbags placem_collection'!G135)</f>
        <v>42816</v>
      </c>
      <c r="W354" s="225">
        <f t="shared" si="25"/>
        <v>54</v>
      </c>
      <c r="X354" s="223">
        <f t="shared" si="28"/>
        <v>0.44010000000000016</v>
      </c>
      <c r="Y354" s="223">
        <f t="shared" si="29"/>
        <v>0.37338105384441289</v>
      </c>
      <c r="Z354">
        <f>IFERROR(INDEX([1]Rainfall_Wet!$O$2:$O$217,MATCH(C354, [1]Rainfall_Wet!$A$2:$A$217,0)),"")</f>
        <v>206.85140822299999</v>
      </c>
      <c r="AA354" s="226">
        <v>31.214836424255054</v>
      </c>
      <c r="AB354" s="226">
        <v>11.377370285476141</v>
      </c>
      <c r="AC354" s="226">
        <v>57.407793290268799</v>
      </c>
      <c r="AD354" s="227" t="s">
        <v>2651</v>
      </c>
      <c r="AE354" s="226">
        <v>5.7337604731394798</v>
      </c>
      <c r="AF354">
        <f>IF('WetLitterbags placem_collection'!AB135="","",'WetLitterbags placem_collection'!AB135)</f>
        <v>2.2000000000000002</v>
      </c>
      <c r="AG354">
        <f>IF('WetLitterbags placem_collection'!Z135="","",'WetLitterbags placem_collection'!Z135)</f>
        <v>10</v>
      </c>
      <c r="AH354" s="236" t="str">
        <f>IF('WetLitterbags placem_collection'!AA135="","",'WetLitterbags placem_collection'!AA135)</f>
        <v>O</v>
      </c>
      <c r="AI354">
        <f>IF('WetLitterbags placem_collection'!AC135="","",'WetLitterbags placem_collection'!AC135)</f>
        <v>1</v>
      </c>
      <c r="AJ354" s="233">
        <f>AVERAGE('WetLitterbags placem_collection'!S135,'WetLitterbags placem_collection'!U135)</f>
        <v>13.399999999999999</v>
      </c>
      <c r="AK354">
        <f>AVERAGE('WetLitterbags placem_collection'!R135,'WetLitterbags placem_collection'!T135)</f>
        <v>31.349999999999998</v>
      </c>
      <c r="AL354">
        <f>INDEX([2]Coordinates!$B$2:$B$197,MATCH(I354,[2]Coordinates!$J$2:$J$197,0))</f>
        <v>-2.350474996</v>
      </c>
      <c r="AM354">
        <f>INDEX([2]Coordinates!$C$2:$C$197,MATCH(I354,[2]Coordinates!$J$2:$J$197,0))</f>
        <v>34.049801979999998</v>
      </c>
      <c r="AN354" t="str">
        <f>IF(ISNUMBER(SEARCH("C", 'WetLitterbags placem_collection'!$W135)),"YES","NO")</f>
        <v>NO</v>
      </c>
      <c r="AO354" t="str">
        <f>IF(ISNUMBER(SEARCH("H", 'WetLitterbags placem_collection'!$W135)),"YES","NO")</f>
        <v>NO</v>
      </c>
      <c r="AP354" t="str">
        <f>IF(ISNUMBER(SEARCH("R", 'WetLitterbags placem_collection'!$W135)),"YES","NO")</f>
        <v>NO</v>
      </c>
    </row>
    <row r="355" spans="1:42" ht="15" customHeight="1">
      <c r="A355" t="s">
        <v>3248</v>
      </c>
      <c r="B355" s="248" t="s">
        <v>2454</v>
      </c>
      <c r="C355" s="253">
        <f>'Dry_Litterbag Placem_Collection'!A136</f>
        <v>134</v>
      </c>
      <c r="D355" s="253" t="str">
        <f>'Dry_Litterbag Placem_Collection'!B136</f>
        <v xml:space="preserve">Mwantimba
</v>
      </c>
      <c r="E355" s="253" t="s">
        <v>2454</v>
      </c>
      <c r="F355" s="253" t="s">
        <v>20</v>
      </c>
      <c r="G355" s="253">
        <v>1</v>
      </c>
      <c r="H355" s="253" t="s">
        <v>3121</v>
      </c>
      <c r="I355" s="254" t="str">
        <f>'Dry_Litterbag Placem_Collection'!C136</f>
        <v>Wet_P1_T6</v>
      </c>
      <c r="J355" s="255" t="s">
        <v>2525</v>
      </c>
      <c r="K355" s="262" t="s">
        <v>298</v>
      </c>
      <c r="L355" s="221" t="str">
        <f>'WetLitterbags placem_collection'!M136</f>
        <v>R600</v>
      </c>
      <c r="M355" s="223">
        <f>IFERROR(INDEX('Green_rooibos initial weight'!$C$5:$C$2000,MATCH(L355, 'Green_rooibos initial weight'!$A$5:$A$2000,0)),"")</f>
        <v>2.2440000000000002</v>
      </c>
      <c r="N355" s="223">
        <f>IFERROR(M355-(TBIcalc!$H$9+TBIcalc!$H$10),"")</f>
        <v>1.9942000000000002</v>
      </c>
      <c r="O355" s="378">
        <f>AVERAGE(Ashed_controlls!$K$2:$K$11)</f>
        <v>5.5147656768714146</v>
      </c>
      <c r="P355" s="223">
        <f t="shared" si="26"/>
        <v>1.8842245428718305</v>
      </c>
      <c r="Q355" s="223">
        <f>IFERROR(INDEX('Both teabags AfterWet'!$C$3:$C$840,MATCH(L355,'Both teabags AfterWet'!$A$3:$A$840,0)),"")</f>
        <v>1.4419999999999999</v>
      </c>
      <c r="R355" s="223">
        <f>IFERROR(IF(Q355&gt;0,Q355-(TBIcalc!$H$9),""),"")</f>
        <v>1.2913999999999999</v>
      </c>
      <c r="S355" s="223">
        <f>IFERROR(INDEX('Ashed teabags wet'!$K$2:$K$2000,MATCH(L355,'Ashed teabags wet'!$A$2:$A$2000,0)),"")</f>
        <v>7.2860635696819331</v>
      </c>
      <c r="T355" s="223">
        <f t="shared" si="27"/>
        <v>1.1973077750611274</v>
      </c>
      <c r="U355" s="224">
        <f>'WetLitterbags placem_collection'!E136</f>
        <v>42762</v>
      </c>
      <c r="V355" s="224">
        <f>IF('WetLitterbags placem_collection'!G136="","",'WetLitterbags placem_collection'!G136)</f>
        <v>42816</v>
      </c>
      <c r="W355" s="225">
        <f t="shared" si="25"/>
        <v>54</v>
      </c>
      <c r="X355" s="223">
        <f t="shared" si="28"/>
        <v>0.70280000000000031</v>
      </c>
      <c r="Y355" s="223">
        <f t="shared" si="29"/>
        <v>0.6869167678107031</v>
      </c>
      <c r="Z355">
        <f>IFERROR(INDEX([1]Rainfall_Wet!$O$2:$O$217,MATCH(C355, [1]Rainfall_Wet!$A$2:$A$217,0)),"")</f>
        <v>206.85140822299999</v>
      </c>
      <c r="AA355" s="226">
        <v>31.214836424255054</v>
      </c>
      <c r="AB355" s="226">
        <v>11.377370285476141</v>
      </c>
      <c r="AC355" s="226">
        <v>57.407793290268799</v>
      </c>
      <c r="AD355" s="227" t="s">
        <v>2651</v>
      </c>
      <c r="AE355" s="226">
        <v>6.7337604731394798</v>
      </c>
      <c r="AF355">
        <f>IF('WetLitterbags placem_collection'!AB136="","",'WetLitterbags placem_collection'!AB136)</f>
        <v>1.1000000000000001</v>
      </c>
      <c r="AG355">
        <f>IF('WetLitterbags placem_collection'!Z136="","",'WetLitterbags placem_collection'!Z136)</f>
        <v>15.4</v>
      </c>
      <c r="AH355" s="236" t="str">
        <f>IF('WetLitterbags placem_collection'!AA136="","",'WetLitterbags placem_collection'!AA136)</f>
        <v>O</v>
      </c>
      <c r="AI355">
        <f>IF('WetLitterbags placem_collection'!AC136="","",'WetLitterbags placem_collection'!AC136)</f>
        <v>1</v>
      </c>
      <c r="AJ355" s="233">
        <f>AVERAGE('WetLitterbags placem_collection'!S136,'WetLitterbags placem_collection'!U136)</f>
        <v>12.7</v>
      </c>
      <c r="AK355">
        <f>AVERAGE('WetLitterbags placem_collection'!R136,'WetLitterbags placem_collection'!T136)</f>
        <v>30.15</v>
      </c>
      <c r="AL355">
        <f>INDEX([2]Coordinates!$B$2:$B$197,MATCH(I355,[2]Coordinates!$J$2:$J$197,0))</f>
        <v>-2.3503559730000001</v>
      </c>
      <c r="AM355">
        <f>INDEX([2]Coordinates!$C$2:$C$197,MATCH(I355,[2]Coordinates!$J$2:$J$197,0))</f>
        <v>34.049800980000001</v>
      </c>
      <c r="AN355" t="str">
        <f>IF(ISNUMBER(SEARCH("C", 'WetLitterbags placem_collection'!$W136)),"YES","NO")</f>
        <v>NO</v>
      </c>
      <c r="AO355" t="str">
        <f>IF(ISNUMBER(SEARCH("H", 'WetLitterbags placem_collection'!$W136)),"YES","NO")</f>
        <v>NO</v>
      </c>
      <c r="AP355" t="str">
        <f>IF(ISNUMBER(SEARCH("R", 'WetLitterbags placem_collection'!$W136)),"YES","NO")</f>
        <v>NO</v>
      </c>
    </row>
    <row r="356" spans="1:42" ht="15" customHeight="1">
      <c r="A356" t="s">
        <v>3248</v>
      </c>
      <c r="B356" s="248" t="s">
        <v>2454</v>
      </c>
      <c r="C356" s="253">
        <f>'Dry_Litterbag Placem_Collection'!A137</f>
        <v>135</v>
      </c>
      <c r="D356" s="253" t="str">
        <f>'Dry_Litterbag Placem_Collection'!B137</f>
        <v xml:space="preserve">Mwantimba
</v>
      </c>
      <c r="E356" s="253" t="s">
        <v>2454</v>
      </c>
      <c r="F356" s="253" t="s">
        <v>20</v>
      </c>
      <c r="G356" s="253">
        <v>1</v>
      </c>
      <c r="H356" s="253" t="s">
        <v>3121</v>
      </c>
      <c r="I356" s="254" t="str">
        <f>'Dry_Litterbag Placem_Collection'!C137</f>
        <v>Wet_P1_T7</v>
      </c>
      <c r="J356" s="255" t="s">
        <v>2525</v>
      </c>
      <c r="K356" s="262" t="s">
        <v>298</v>
      </c>
      <c r="L356" s="221" t="str">
        <f>'WetLitterbags placem_collection'!M137</f>
        <v>R432</v>
      </c>
      <c r="M356" s="223">
        <f>IFERROR(INDEX('Green_rooibos initial weight'!$C$5:$C$2000,MATCH(L356, 'Green_rooibos initial weight'!$A$5:$A$2000,0)),"")</f>
        <v>2.2240000000000002</v>
      </c>
      <c r="N356" s="223">
        <f>IFERROR(M356-(TBIcalc!$H$9+TBIcalc!$H$10),"")</f>
        <v>1.9742000000000002</v>
      </c>
      <c r="O356" s="378">
        <f>AVERAGE(Ashed_controlls!$K$2:$K$11)</f>
        <v>5.5147656768714146</v>
      </c>
      <c r="P356" s="223">
        <f t="shared" si="26"/>
        <v>1.8653274960072048</v>
      </c>
      <c r="Q356" s="223">
        <f>IFERROR(INDEX('Both teabags AfterWet'!$C$3:$C$840,MATCH(L356,'Both teabags AfterWet'!$A$3:$A$840,0)),"")</f>
        <v>1.6830000000000001</v>
      </c>
      <c r="R356" s="223">
        <f>IFERROR(IF(Q356&gt;0,Q356-(TBIcalc!$H$9),""),"")</f>
        <v>1.5324</v>
      </c>
      <c r="S356" s="223">
        <f>IFERROR(INDEX('Ashed teabags wet'!$K$2:$K$2000,MATCH(L356,'Ashed teabags wet'!$A$2:$A$2000,0)),"")</f>
        <v>13.470757430488819</v>
      </c>
      <c r="T356" s="223">
        <f t="shared" si="27"/>
        <v>1.3259741131351892</v>
      </c>
      <c r="U356" s="224">
        <f>'WetLitterbags placem_collection'!E137</f>
        <v>42762</v>
      </c>
      <c r="V356" s="224">
        <f>IF('WetLitterbags placem_collection'!G137="","",'WetLitterbags placem_collection'!G137)</f>
        <v>42816</v>
      </c>
      <c r="W356" s="225">
        <f t="shared" si="25"/>
        <v>54</v>
      </c>
      <c r="X356" s="223">
        <f t="shared" si="28"/>
        <v>0.44180000000000019</v>
      </c>
      <c r="Y356" s="223">
        <f t="shared" si="29"/>
        <v>0.53935338287201562</v>
      </c>
      <c r="Z356">
        <f>IFERROR(INDEX([1]Rainfall_Wet!$O$2:$O$217,MATCH(C356, [1]Rainfall_Wet!$A$2:$A$217,0)),"")</f>
        <v>206.85140822299999</v>
      </c>
      <c r="AA356" s="226">
        <v>31.214836424255054</v>
      </c>
      <c r="AB356" s="226">
        <v>11.377370285476141</v>
      </c>
      <c r="AC356" s="226">
        <v>57.407793290268799</v>
      </c>
      <c r="AD356" s="227" t="s">
        <v>2651</v>
      </c>
      <c r="AE356" s="226">
        <v>7.7337604731394798</v>
      </c>
      <c r="AF356">
        <f>IF('WetLitterbags placem_collection'!AB137="","",'WetLitterbags placem_collection'!AB137)</f>
        <v>2.1</v>
      </c>
      <c r="AG356">
        <f>IF('WetLitterbags placem_collection'!Z137="","",'WetLitterbags placem_collection'!Z137)</f>
        <v>5.6</v>
      </c>
      <c r="AH356" s="236" t="str">
        <f>IF('WetLitterbags placem_collection'!AA137="","",'WetLitterbags placem_collection'!AA137)</f>
        <v>O</v>
      </c>
      <c r="AI356">
        <f>IF('WetLitterbags placem_collection'!AC137="","",'WetLitterbags placem_collection'!AC137)</f>
        <v>1</v>
      </c>
      <c r="AJ356" s="233">
        <f>AVERAGE('WetLitterbags placem_collection'!S137,'WetLitterbags placem_collection'!U137)</f>
        <v>14.5</v>
      </c>
      <c r="AK356">
        <f>AVERAGE('WetLitterbags placem_collection'!R137,'WetLitterbags placem_collection'!T137)</f>
        <v>29.65</v>
      </c>
      <c r="AL356">
        <f>INDEX([2]Coordinates!$B$2:$B$197,MATCH(I356,[2]Coordinates!$J$2:$J$197,0))</f>
        <v>-2.3503589909999998</v>
      </c>
      <c r="AM356">
        <f>INDEX([2]Coordinates!$C$2:$C$197,MATCH(I356,[2]Coordinates!$J$2:$J$197,0))</f>
        <v>34.049719000000003</v>
      </c>
      <c r="AN356" t="str">
        <f>IF(ISNUMBER(SEARCH("C", 'WetLitterbags placem_collection'!$W137)),"YES","NO")</f>
        <v>NO</v>
      </c>
      <c r="AO356" t="str">
        <f>IF(ISNUMBER(SEARCH("H", 'WetLitterbags placem_collection'!$W137)),"YES","NO")</f>
        <v>NO</v>
      </c>
      <c r="AP356" t="str">
        <f>IF(ISNUMBER(SEARCH("R", 'WetLitterbags placem_collection'!$W137)),"YES","NO")</f>
        <v>YES</v>
      </c>
    </row>
    <row r="357" spans="1:42" ht="15" customHeight="1">
      <c r="A357" t="s">
        <v>3248</v>
      </c>
      <c r="B357" s="248" t="s">
        <v>2454</v>
      </c>
      <c r="C357" s="253">
        <f>'Dry_Litterbag Placem_Collection'!A138</f>
        <v>136</v>
      </c>
      <c r="D357" s="253" t="str">
        <f>'Dry_Litterbag Placem_Collection'!B138</f>
        <v xml:space="preserve">Mwantimba
</v>
      </c>
      <c r="E357" s="253" t="s">
        <v>2454</v>
      </c>
      <c r="F357" s="253" t="s">
        <v>20</v>
      </c>
      <c r="G357" s="253">
        <v>1</v>
      </c>
      <c r="H357" s="253" t="s">
        <v>3121</v>
      </c>
      <c r="I357" s="254" t="str">
        <f>'Dry_Litterbag Placem_Collection'!C138</f>
        <v>Wet_P1_T8</v>
      </c>
      <c r="J357" s="255" t="s">
        <v>2525</v>
      </c>
      <c r="K357" s="262" t="s">
        <v>298</v>
      </c>
      <c r="L357" s="221" t="str">
        <f>'WetLitterbags placem_collection'!M138</f>
        <v>R474</v>
      </c>
      <c r="M357" s="223">
        <f>IFERROR(INDEX('Green_rooibos initial weight'!$C$5:$C$2000,MATCH(L357, 'Green_rooibos initial weight'!$A$5:$A$2000,0)),"")</f>
        <v>2.258</v>
      </c>
      <c r="N357" s="223">
        <f>IFERROR(M357-(TBIcalc!$H$9+TBIcalc!$H$10),"")</f>
        <v>2.0082</v>
      </c>
      <c r="O357" s="378">
        <f>AVERAGE(Ashed_controlls!$K$2:$K$11)</f>
        <v>5.5147656768714146</v>
      </c>
      <c r="P357" s="223">
        <f t="shared" si="26"/>
        <v>1.8974524756770683</v>
      </c>
      <c r="Q357" s="223">
        <f>IFERROR(INDEX('Both teabags AfterWet'!$C$3:$C$840,MATCH(L357,'Both teabags AfterWet'!$A$3:$A$840,0)),"")</f>
        <v>1.5827</v>
      </c>
      <c r="R357" s="223">
        <f>IFERROR(IF(Q357&gt;0,Q357-(TBIcalc!$H$9),""),"")</f>
        <v>1.4320999999999999</v>
      </c>
      <c r="S357" s="223">
        <f>IFERROR(INDEX('Ashed teabags wet'!$K$2:$K$2000,MATCH(L357,'Ashed teabags wet'!$A$2:$A$2000,0)),"")</f>
        <v>5.0395256916988718</v>
      </c>
      <c r="T357" s="223">
        <f t="shared" si="27"/>
        <v>1.3599289525691804</v>
      </c>
      <c r="U357" s="224">
        <f>'WetLitterbags placem_collection'!E138</f>
        <v>42762</v>
      </c>
      <c r="V357" s="224">
        <f>IF('WetLitterbags placem_collection'!G138="","",'WetLitterbags placem_collection'!G138)</f>
        <v>42816</v>
      </c>
      <c r="W357" s="225">
        <f t="shared" si="25"/>
        <v>54</v>
      </c>
      <c r="X357" s="223">
        <f t="shared" si="28"/>
        <v>0.57610000000000006</v>
      </c>
      <c r="Y357" s="223">
        <f t="shared" si="29"/>
        <v>0.53752352310788787</v>
      </c>
      <c r="Z357">
        <f>IFERROR(INDEX([1]Rainfall_Wet!$O$2:$O$217,MATCH(C357, [1]Rainfall_Wet!$A$2:$A$217,0)),"")</f>
        <v>206.85140822299999</v>
      </c>
      <c r="AA357" s="226">
        <v>31.214836424255054</v>
      </c>
      <c r="AB357" s="226">
        <v>11.377370285476141</v>
      </c>
      <c r="AC357" s="226">
        <v>57.407793290268799</v>
      </c>
      <c r="AD357" s="227" t="s">
        <v>2651</v>
      </c>
      <c r="AE357" s="226">
        <v>8.7337604731394798</v>
      </c>
      <c r="AF357">
        <f>IF('WetLitterbags placem_collection'!AB138="","",'WetLitterbags placem_collection'!AB138)</f>
        <v>2.2999999999999998</v>
      </c>
      <c r="AG357">
        <f>IF('WetLitterbags placem_collection'!Z138="","",'WetLitterbags placem_collection'!Z138)</f>
        <v>16.3</v>
      </c>
      <c r="AH357" s="236" t="str">
        <f>IF('WetLitterbags placem_collection'!AA138="","",'WetLitterbags placem_collection'!AA138)</f>
        <v>G</v>
      </c>
      <c r="AI357">
        <f>IF('WetLitterbags placem_collection'!AC138="","",'WetLitterbags placem_collection'!AC138)</f>
        <v>1</v>
      </c>
      <c r="AJ357" s="233">
        <f>AVERAGE('WetLitterbags placem_collection'!S138,'WetLitterbags placem_collection'!U138)</f>
        <v>14.65</v>
      </c>
      <c r="AK357">
        <f>AVERAGE('WetLitterbags placem_collection'!R138,'WetLitterbags placem_collection'!T138)</f>
        <v>30.6</v>
      </c>
      <c r="AL357">
        <f>INDEX([2]Coordinates!$B$2:$B$197,MATCH(I357,[2]Coordinates!$J$2:$J$197,0))</f>
        <v>-2.3502159960000002</v>
      </c>
      <c r="AM357">
        <f>INDEX([2]Coordinates!$C$2:$C$197,MATCH(I357,[2]Coordinates!$J$2:$J$197,0))</f>
        <v>34.049822020000001</v>
      </c>
      <c r="AN357" t="str">
        <f>IF(ISNUMBER(SEARCH("C", 'WetLitterbags placem_collection'!$W138)),"YES","NO")</f>
        <v>NO</v>
      </c>
      <c r="AO357" t="str">
        <f>IF(ISNUMBER(SEARCH("H", 'WetLitterbags placem_collection'!$W138)),"YES","NO")</f>
        <v>NO</v>
      </c>
      <c r="AP357" t="str">
        <f>IF(ISNUMBER(SEARCH("R", 'WetLitterbags placem_collection'!$W138)),"YES","NO")</f>
        <v>YES</v>
      </c>
    </row>
    <row r="358" spans="1:42" ht="15" customHeight="1">
      <c r="A358" t="s">
        <v>3248</v>
      </c>
      <c r="B358" s="248" t="s">
        <v>2454</v>
      </c>
      <c r="C358" s="253">
        <f>'Dry_Litterbag Placem_Collection'!A139</f>
        <v>137</v>
      </c>
      <c r="D358" s="253" t="str">
        <f>'Dry_Litterbag Placem_Collection'!B139</f>
        <v xml:space="preserve">Mwantimba
</v>
      </c>
      <c r="E358" s="253" t="s">
        <v>2454</v>
      </c>
      <c r="F358" s="253" t="s">
        <v>20</v>
      </c>
      <c r="G358" s="253">
        <v>2</v>
      </c>
      <c r="H358" s="253" t="s">
        <v>3123</v>
      </c>
      <c r="I358" s="254" t="str">
        <f>'Dry_Litterbag Placem_Collection'!C139</f>
        <v>Wet_P2_T1</v>
      </c>
      <c r="J358" s="255" t="s">
        <v>2525</v>
      </c>
      <c r="K358" s="262" t="s">
        <v>298</v>
      </c>
      <c r="L358" s="221" t="str">
        <f>'WetLitterbags placem_collection'!M139</f>
        <v>R34</v>
      </c>
      <c r="M358" s="223">
        <f>IFERROR(INDEX('Green_rooibos initial weight'!$C$5:$C$2000,MATCH(L358, 'Green_rooibos initial weight'!$A$5:$A$2000,0)),"")</f>
        <v>2.1349999999999998</v>
      </c>
      <c r="N358" s="223">
        <f>IFERROR(M358-(TBIcalc!$H$9+TBIcalc!$H$10),"")</f>
        <v>1.8851999999999998</v>
      </c>
      <c r="O358" s="378">
        <f>AVERAGE(Ashed_controlls!$K$2:$K$11)</f>
        <v>5.5147656768714146</v>
      </c>
      <c r="P358" s="223">
        <f t="shared" si="26"/>
        <v>1.7812356374596199</v>
      </c>
      <c r="Q358" s="223">
        <f>IFERROR(INDEX('Both teabags AfterWet'!$C$3:$C$840,MATCH(L358,'Both teabags AfterWet'!$A$3:$A$840,0)),"")</f>
        <v>1.571</v>
      </c>
      <c r="R358" s="223">
        <f>IFERROR(IF(Q358&gt;0,Q358-(TBIcalc!$H$9),""),"")</f>
        <v>1.4203999999999999</v>
      </c>
      <c r="S358" s="223">
        <f>IFERROR(INDEX('Ashed teabags wet'!$K$2:$K$2000,MATCH(L358,'Ashed teabags wet'!$A$2:$A$2000,0)),"")</f>
        <v>7.897334649555618</v>
      </c>
      <c r="T358" s="223">
        <f t="shared" si="27"/>
        <v>1.3082262586377118</v>
      </c>
      <c r="U358" s="224">
        <f>'WetLitterbags placem_collection'!E139</f>
        <v>42762</v>
      </c>
      <c r="V358" s="224">
        <f>IF('WetLitterbags placem_collection'!G139="","",'WetLitterbags placem_collection'!G139)</f>
        <v>42816</v>
      </c>
      <c r="W358" s="225">
        <f t="shared" si="25"/>
        <v>54</v>
      </c>
      <c r="X358" s="223">
        <f t="shared" si="28"/>
        <v>0.46479999999999988</v>
      </c>
      <c r="Y358" s="223">
        <f t="shared" si="29"/>
        <v>0.47300937882190808</v>
      </c>
      <c r="Z358">
        <f>IFERROR(INDEX([1]Rainfall_Wet!$O$2:$O$217,MATCH(C358, [1]Rainfall_Wet!$A$2:$A$217,0)),"")</f>
        <v>206.85140822299999</v>
      </c>
      <c r="AA358" s="226">
        <v>33.96</v>
      </c>
      <c r="AB358" s="226">
        <v>8.9200000000000017</v>
      </c>
      <c r="AC358" s="226">
        <v>57.12</v>
      </c>
      <c r="AD358" s="227" t="s">
        <v>2651</v>
      </c>
      <c r="AE358" s="226">
        <v>2.072055199605717</v>
      </c>
      <c r="AF358">
        <f>IF('WetLitterbags placem_collection'!AB139="","",'WetLitterbags placem_collection'!AB139)</f>
        <v>1.2</v>
      </c>
      <c r="AG358">
        <f>IF('WetLitterbags placem_collection'!Z139="","",'WetLitterbags placem_collection'!Z139)</f>
        <v>32.4</v>
      </c>
      <c r="AH358" s="236" t="str">
        <f>IF('WetLitterbags placem_collection'!AA139="","",'WetLitterbags placem_collection'!AA139)</f>
        <v>G</v>
      </c>
      <c r="AI358">
        <f>IF('WetLitterbags placem_collection'!AC139="","",'WetLitterbags placem_collection'!AC139)</f>
        <v>1</v>
      </c>
      <c r="AJ358" s="233">
        <f>AVERAGE('WetLitterbags placem_collection'!S139,'WetLitterbags placem_collection'!U139)</f>
        <v>15.5</v>
      </c>
      <c r="AK358">
        <f>AVERAGE('WetLitterbags placem_collection'!R139,'WetLitterbags placem_collection'!T139)</f>
        <v>28.5</v>
      </c>
      <c r="AL358">
        <f>INDEX([2]Coordinates!$B$2:$B$197,MATCH(I358,[2]Coordinates!$J$2:$J$197,0))</f>
        <v>-2.348596025</v>
      </c>
      <c r="AM358">
        <f>INDEX([2]Coordinates!$C$2:$C$197,MATCH(I358,[2]Coordinates!$J$2:$J$197,0))</f>
        <v>34.050070959999999</v>
      </c>
      <c r="AN358" t="str">
        <f>IF(ISNUMBER(SEARCH("C", 'WetLitterbags placem_collection'!$W139)),"YES","NO")</f>
        <v>YES</v>
      </c>
      <c r="AO358" t="str">
        <f>IF(ISNUMBER(SEARCH("H", 'WetLitterbags placem_collection'!$W139)),"YES","NO")</f>
        <v>NO</v>
      </c>
      <c r="AP358" t="str">
        <f>IF(ISNUMBER(SEARCH("R", 'WetLitterbags placem_collection'!$W139)),"YES","NO")</f>
        <v>NO</v>
      </c>
    </row>
    <row r="359" spans="1:42" ht="15" customHeight="1">
      <c r="A359" t="s">
        <v>3248</v>
      </c>
      <c r="B359" s="248" t="s">
        <v>2454</v>
      </c>
      <c r="C359" s="253">
        <f>'Dry_Litterbag Placem_Collection'!A140</f>
        <v>138</v>
      </c>
      <c r="D359" s="253" t="str">
        <f>'Dry_Litterbag Placem_Collection'!B140</f>
        <v xml:space="preserve">Mwantimba
</v>
      </c>
      <c r="E359" s="253" t="s">
        <v>2454</v>
      </c>
      <c r="F359" s="253" t="s">
        <v>20</v>
      </c>
      <c r="G359" s="253">
        <v>2</v>
      </c>
      <c r="H359" s="253" t="s">
        <v>3123</v>
      </c>
      <c r="I359" s="254" t="str">
        <f>'Dry_Litterbag Placem_Collection'!C140</f>
        <v>Wet_P2_T2</v>
      </c>
      <c r="J359" s="255" t="s">
        <v>2525</v>
      </c>
      <c r="K359" s="262" t="s">
        <v>298</v>
      </c>
      <c r="L359" s="221" t="str">
        <f>'WetLitterbags placem_collection'!M140</f>
        <v>R426</v>
      </c>
      <c r="M359" s="223">
        <f>IFERROR(INDEX('Green_rooibos initial weight'!$C$5:$C$2000,MATCH(L359, 'Green_rooibos initial weight'!$A$5:$A$2000,0)),"")</f>
        <v>2.153</v>
      </c>
      <c r="N359" s="223">
        <f>IFERROR(M359-(TBIcalc!$H$9+TBIcalc!$H$10),"")</f>
        <v>1.9032</v>
      </c>
      <c r="O359" s="378">
        <f>AVERAGE(Ashed_controlls!$K$2:$K$11)</f>
        <v>5.5147656768714146</v>
      </c>
      <c r="P359" s="223">
        <f t="shared" si="26"/>
        <v>1.7982429796377832</v>
      </c>
      <c r="Q359" s="223">
        <f>IFERROR(INDEX('Both teabags AfterWet'!$C$3:$C$840,MATCH(L359,'Both teabags AfterWet'!$A$3:$A$840,0)),"")</f>
        <v>1.613</v>
      </c>
      <c r="R359" s="223">
        <f>IFERROR(IF(Q359&gt;0,Q359-(TBIcalc!$H$9),""),"")</f>
        <v>1.4623999999999999</v>
      </c>
      <c r="S359" s="223">
        <f>IFERROR(INDEX('Ashed teabags wet'!$K$2:$K$2000,MATCH(L359,'Ashed teabags wet'!$A$2:$A$2000,0)),"")</f>
        <v>4.7996041563577378</v>
      </c>
      <c r="T359" s="223">
        <f t="shared" si="27"/>
        <v>1.3922105888174243</v>
      </c>
      <c r="U359" s="224">
        <f>'WetLitterbags placem_collection'!E140</f>
        <v>42762</v>
      </c>
      <c r="V359" s="224">
        <f>IF('WetLitterbags placem_collection'!G140="","",'WetLitterbags placem_collection'!G140)</f>
        <v>42816</v>
      </c>
      <c r="W359" s="225">
        <f t="shared" si="25"/>
        <v>54</v>
      </c>
      <c r="X359" s="223">
        <f t="shared" si="28"/>
        <v>0.44080000000000008</v>
      </c>
      <c r="Y359" s="223">
        <f t="shared" si="29"/>
        <v>0.40603239082035891</v>
      </c>
      <c r="Z359">
        <f>IFERROR(INDEX([1]Rainfall_Wet!$O$2:$O$217,MATCH(C359, [1]Rainfall_Wet!$A$2:$A$217,0)),"")</f>
        <v>206.85140822299999</v>
      </c>
      <c r="AA359" s="226">
        <v>33.96</v>
      </c>
      <c r="AB359" s="226">
        <v>8.9200000000000017</v>
      </c>
      <c r="AC359" s="226">
        <v>57.12</v>
      </c>
      <c r="AD359" s="227" t="s">
        <v>2651</v>
      </c>
      <c r="AE359" s="226">
        <v>3.0720551996057202</v>
      </c>
      <c r="AF359">
        <f>IF('WetLitterbags placem_collection'!AB140="","",'WetLitterbags placem_collection'!AB140)</f>
        <v>2.8</v>
      </c>
      <c r="AG359">
        <f>IF('WetLitterbags placem_collection'!Z140="","",'WetLitterbags placem_collection'!Z140)</f>
        <v>26.4</v>
      </c>
      <c r="AH359" s="236" t="str">
        <f>IF('WetLitterbags placem_collection'!AA140="","",'WetLitterbags placem_collection'!AA140)</f>
        <v>G</v>
      </c>
      <c r="AI359">
        <f>IF('WetLitterbags placem_collection'!AC140="","",'WetLitterbags placem_collection'!AC140)</f>
        <v>1</v>
      </c>
      <c r="AJ359" s="233">
        <f>AVERAGE('WetLitterbags placem_collection'!S140,'WetLitterbags placem_collection'!U140)</f>
        <v>15.5</v>
      </c>
      <c r="AK359">
        <f>AVERAGE('WetLitterbags placem_collection'!R140,'WetLitterbags placem_collection'!T140)</f>
        <v>29.35</v>
      </c>
      <c r="AL359">
        <f>INDEX([2]Coordinates!$B$2:$B$197,MATCH(I359,[2]Coordinates!$J$2:$J$197,0))</f>
        <v>-2.3485449790000001</v>
      </c>
      <c r="AM359">
        <f>INDEX([2]Coordinates!$C$2:$C$197,MATCH(I359,[2]Coordinates!$J$2:$J$197,0))</f>
        <v>34.050146980000001</v>
      </c>
      <c r="AN359" t="str">
        <f>IF(ISNUMBER(SEARCH("C", 'WetLitterbags placem_collection'!$W140)),"YES","NO")</f>
        <v>NO</v>
      </c>
      <c r="AO359" t="str">
        <f>IF(ISNUMBER(SEARCH("H", 'WetLitterbags placem_collection'!$W140)),"YES","NO")</f>
        <v>NO</v>
      </c>
      <c r="AP359" t="str">
        <f>IF(ISNUMBER(SEARCH("R", 'WetLitterbags placem_collection'!$W140)),"YES","NO")</f>
        <v>NO</v>
      </c>
    </row>
    <row r="360" spans="1:42" ht="15" customHeight="1">
      <c r="A360" t="s">
        <v>3248</v>
      </c>
      <c r="B360" s="248" t="s">
        <v>2454</v>
      </c>
      <c r="C360" s="253">
        <f>'Dry_Litterbag Placem_Collection'!A141</f>
        <v>139</v>
      </c>
      <c r="D360" s="253" t="str">
        <f>'Dry_Litterbag Placem_Collection'!B141</f>
        <v xml:space="preserve">Mwantimba
</v>
      </c>
      <c r="E360" s="253" t="s">
        <v>2454</v>
      </c>
      <c r="F360" s="253" t="s">
        <v>20</v>
      </c>
      <c r="G360" s="253">
        <v>2</v>
      </c>
      <c r="H360" s="253" t="s">
        <v>3123</v>
      </c>
      <c r="I360" s="254" t="str">
        <f>'Dry_Litterbag Placem_Collection'!C141</f>
        <v>Wet_P2_T3</v>
      </c>
      <c r="J360" s="255" t="s">
        <v>2525</v>
      </c>
      <c r="K360" s="262" t="s">
        <v>298</v>
      </c>
      <c r="L360" s="221" t="str">
        <f>'WetLitterbags placem_collection'!M141</f>
        <v>R563</v>
      </c>
      <c r="M360" s="223">
        <f>IFERROR(INDEX('Green_rooibos initial weight'!$C$5:$C$2000,MATCH(L360, 'Green_rooibos initial weight'!$A$5:$A$2000,0)),"")</f>
        <v>2.1150000000000002</v>
      </c>
      <c r="N360" s="223">
        <f>IFERROR(M360-(TBIcalc!$H$9+TBIcalc!$H$10),"")</f>
        <v>1.8652000000000002</v>
      </c>
      <c r="O360" s="378">
        <f>AVERAGE(Ashed_controlls!$K$2:$K$11)</f>
        <v>5.5147656768714146</v>
      </c>
      <c r="P360" s="223">
        <f t="shared" si="26"/>
        <v>1.7623385905949946</v>
      </c>
      <c r="Q360" s="223">
        <f>IFERROR(INDEX('Both teabags AfterWet'!$C$3:$C$840,MATCH(L360,'Both teabags AfterWet'!$A$3:$A$840,0)),"")</f>
        <v>2.5009999999999999</v>
      </c>
      <c r="R360" s="223">
        <f>IFERROR(IF(Q360&gt;0,Q360-(TBIcalc!$H$9),""),"")</f>
        <v>2.3504</v>
      </c>
      <c r="S360" s="223">
        <f>IFERROR(INDEX('Ashed teabags wet'!$K$2:$K$2000,MATCH(L360,'Ashed teabags wet'!$A$2:$A$2000,0)),"")</f>
        <v>90.192212912765001</v>
      </c>
      <c r="T360" s="223">
        <f t="shared" si="27"/>
        <v>0.23052222769837138</v>
      </c>
      <c r="U360" s="224">
        <f>'WetLitterbags placem_collection'!E141</f>
        <v>42762</v>
      </c>
      <c r="V360" s="224">
        <f>IF('WetLitterbags placem_collection'!G141="","",'WetLitterbags placem_collection'!G141)</f>
        <v>42816</v>
      </c>
      <c r="W360" s="225">
        <f t="shared" si="25"/>
        <v>54</v>
      </c>
      <c r="X360" s="223">
        <f t="shared" si="28"/>
        <v>-0.48519999999999985</v>
      </c>
      <c r="Y360" s="223">
        <f t="shared" si="29"/>
        <v>1.5318163628966233</v>
      </c>
      <c r="Z360">
        <f>IFERROR(INDEX([1]Rainfall_Wet!$O$2:$O$217,MATCH(C360, [1]Rainfall_Wet!$A$2:$A$217,0)),"")</f>
        <v>206.85140822299999</v>
      </c>
      <c r="AA360" s="226">
        <v>33.96</v>
      </c>
      <c r="AB360" s="226">
        <v>8.9200000000000017</v>
      </c>
      <c r="AC360" s="226">
        <v>57.12</v>
      </c>
      <c r="AD360" s="227" t="s">
        <v>2651</v>
      </c>
      <c r="AE360" s="226">
        <v>4.0720551996057202</v>
      </c>
      <c r="AF360">
        <f>IF('WetLitterbags placem_collection'!AB141="","",'WetLitterbags placem_collection'!AB141)</f>
        <v>5.7</v>
      </c>
      <c r="AG360">
        <f>IF('WetLitterbags placem_collection'!Z141="","",'WetLitterbags placem_collection'!Z141)</f>
        <v>19.399999999999999</v>
      </c>
      <c r="AH360" s="236" t="str">
        <f>IF('WetLitterbags placem_collection'!AA141="","",'WetLitterbags placem_collection'!AA141)</f>
        <v>G</v>
      </c>
      <c r="AI360">
        <f>IF('WetLitterbags placem_collection'!AC141="","",'WetLitterbags placem_collection'!AC141)</f>
        <v>1</v>
      </c>
      <c r="AJ360" s="233">
        <f>AVERAGE('WetLitterbags placem_collection'!S141,'WetLitterbags placem_collection'!U141)</f>
        <v>16.850000000000001</v>
      </c>
      <c r="AK360">
        <f>AVERAGE('WetLitterbags placem_collection'!R141,'WetLitterbags placem_collection'!T141)</f>
        <v>28.65</v>
      </c>
      <c r="AL360">
        <f>INDEX([2]Coordinates!$B$2:$B$197,MATCH(I360,[2]Coordinates!$J$2:$J$197,0))</f>
        <v>-2.3487209990000002</v>
      </c>
      <c r="AM360">
        <f>INDEX([2]Coordinates!$C$2:$C$197,MATCH(I360,[2]Coordinates!$J$2:$J$197,0))</f>
        <v>34.050128039999997</v>
      </c>
      <c r="AN360" t="str">
        <f>IF(ISNUMBER(SEARCH("C", 'WetLitterbags placem_collection'!$W141)),"YES","NO")</f>
        <v>YES</v>
      </c>
      <c r="AO360" t="str">
        <f>IF(ISNUMBER(SEARCH("H", 'WetLitterbags placem_collection'!$W141)),"YES","NO")</f>
        <v>YES</v>
      </c>
      <c r="AP360" t="str">
        <f>IF(ISNUMBER(SEARCH("R", 'WetLitterbags placem_collection'!$W141)),"YES","NO")</f>
        <v>YES</v>
      </c>
    </row>
    <row r="361" spans="1:42" ht="15" customHeight="1">
      <c r="A361" t="s">
        <v>3248</v>
      </c>
      <c r="B361" s="248" t="s">
        <v>2454</v>
      </c>
      <c r="C361" s="253">
        <f>'Dry_Litterbag Placem_Collection'!A142</f>
        <v>140</v>
      </c>
      <c r="D361" s="253" t="str">
        <f>'Dry_Litterbag Placem_Collection'!B142</f>
        <v xml:space="preserve">Mwantimba
</v>
      </c>
      <c r="E361" s="253" t="s">
        <v>2454</v>
      </c>
      <c r="F361" s="253" t="s">
        <v>20</v>
      </c>
      <c r="G361" s="253">
        <v>2</v>
      </c>
      <c r="H361" s="253" t="s">
        <v>3123</v>
      </c>
      <c r="I361" s="254" t="str">
        <f>'Dry_Litterbag Placem_Collection'!C142</f>
        <v>Wet_P2_T4</v>
      </c>
      <c r="J361" s="255" t="s">
        <v>2525</v>
      </c>
      <c r="K361" s="262" t="s">
        <v>298</v>
      </c>
      <c r="L361" s="221" t="str">
        <f>'WetLitterbags placem_collection'!M142</f>
        <v>R535</v>
      </c>
      <c r="M361" s="223">
        <f>IFERROR(INDEX('Green_rooibos initial weight'!$C$5:$C$2000,MATCH(L361, 'Green_rooibos initial weight'!$A$5:$A$2000,0)),"")</f>
        <v>2.1259999999999999</v>
      </c>
      <c r="N361" s="223">
        <f>IFERROR(M361-(TBIcalc!$H$9+TBIcalc!$H$10),"")</f>
        <v>1.8761999999999999</v>
      </c>
      <c r="O361" s="378">
        <f>AVERAGE(Ashed_controlls!$K$2:$K$11)</f>
        <v>5.5147656768714146</v>
      </c>
      <c r="P361" s="223">
        <f t="shared" si="26"/>
        <v>1.7727319663705383</v>
      </c>
      <c r="Q361" s="223">
        <f>IFERROR(INDEX('Both teabags AfterWet'!$C$3:$C$840,MATCH(L361,'Both teabags AfterWet'!$A$3:$A$840,0)),"")</f>
        <v>1.5517000000000001</v>
      </c>
      <c r="R361" s="223">
        <f>IFERROR(IF(Q361&gt;0,Q361-(TBIcalc!$H$9),""),"")</f>
        <v>1.4011</v>
      </c>
      <c r="S361" s="223">
        <f>IFERROR(INDEX('Ashed teabags wet'!$K$2:$K$2000,MATCH(L361,'Ashed teabags wet'!$A$2:$A$2000,0)),"")</f>
        <v>6.5646594274426793</v>
      </c>
      <c r="T361" s="223">
        <f t="shared" si="27"/>
        <v>1.3091225567621005</v>
      </c>
      <c r="U361" s="224">
        <f>'WetLitterbags placem_collection'!E142</f>
        <v>42762</v>
      </c>
      <c r="V361" s="224">
        <f>IF('WetLitterbags placem_collection'!G142="","",'WetLitterbags placem_collection'!G142)</f>
        <v>42816</v>
      </c>
      <c r="W361" s="225">
        <f t="shared" si="25"/>
        <v>54</v>
      </c>
      <c r="X361" s="223">
        <f t="shared" si="28"/>
        <v>0.47509999999999986</v>
      </c>
      <c r="Y361" s="223">
        <f t="shared" si="29"/>
        <v>0.46360940960843777</v>
      </c>
      <c r="Z361">
        <f>IFERROR(INDEX([1]Rainfall_Wet!$O$2:$O$217,MATCH(C361, [1]Rainfall_Wet!$A$2:$A$217,0)),"")</f>
        <v>206.85140822299999</v>
      </c>
      <c r="AA361" s="226">
        <v>33.96</v>
      </c>
      <c r="AB361" s="226">
        <v>8.9200000000000017</v>
      </c>
      <c r="AC361" s="226">
        <v>57.12</v>
      </c>
      <c r="AD361" s="227" t="s">
        <v>2651</v>
      </c>
      <c r="AE361" s="226">
        <v>5.0720551996057202</v>
      </c>
      <c r="AF361">
        <f>IF('WetLitterbags placem_collection'!AB142="","",'WetLitterbags placem_collection'!AB142)</f>
        <v>1.4</v>
      </c>
      <c r="AG361">
        <f>IF('WetLitterbags placem_collection'!Z142="","",'WetLitterbags placem_collection'!Z142)</f>
        <v>33.4</v>
      </c>
      <c r="AH361" s="236" t="str">
        <f>IF('WetLitterbags placem_collection'!AA142="","",'WetLitterbags placem_collection'!AA142)</f>
        <v>G</v>
      </c>
      <c r="AI361">
        <f>IF('WetLitterbags placem_collection'!AC142="","",'WetLitterbags placem_collection'!AC142)</f>
        <v>1</v>
      </c>
      <c r="AJ361" s="233">
        <f>AVERAGE('WetLitterbags placem_collection'!S142,'WetLitterbags placem_collection'!U142)</f>
        <v>11.55</v>
      </c>
      <c r="AK361">
        <f>AVERAGE('WetLitterbags placem_collection'!R142,'WetLitterbags placem_collection'!T142)</f>
        <v>30.85</v>
      </c>
      <c r="AL361">
        <f>INDEX([2]Coordinates!$B$2:$B$197,MATCH(I361,[2]Coordinates!$J$2:$J$197,0))</f>
        <v>-2.3486250270000002</v>
      </c>
      <c r="AM361">
        <f>INDEX([2]Coordinates!$C$2:$C$197,MATCH(I361,[2]Coordinates!$J$2:$J$197,0))</f>
        <v>34.050070959999999</v>
      </c>
      <c r="AN361" t="str">
        <f>IF(ISNUMBER(SEARCH("C", 'WetLitterbags placem_collection'!$W142)),"YES","NO")</f>
        <v>NO</v>
      </c>
      <c r="AO361" t="str">
        <f>IF(ISNUMBER(SEARCH("H", 'WetLitterbags placem_collection'!$W142)),"YES","NO")</f>
        <v>NO</v>
      </c>
      <c r="AP361" t="str">
        <f>IF(ISNUMBER(SEARCH("R", 'WetLitterbags placem_collection'!$W142)),"YES","NO")</f>
        <v>YES</v>
      </c>
    </row>
    <row r="362" spans="1:42" ht="15" customHeight="1">
      <c r="A362" t="s">
        <v>3248</v>
      </c>
      <c r="B362" s="248" t="s">
        <v>2454</v>
      </c>
      <c r="C362" s="253">
        <f>'Dry_Litterbag Placem_Collection'!A143</f>
        <v>141</v>
      </c>
      <c r="D362" s="253" t="str">
        <f>'Dry_Litterbag Placem_Collection'!B143</f>
        <v xml:space="preserve">Mwantimba
</v>
      </c>
      <c r="E362" s="253" t="s">
        <v>2454</v>
      </c>
      <c r="F362" s="253" t="s">
        <v>20</v>
      </c>
      <c r="G362" s="253">
        <v>2</v>
      </c>
      <c r="H362" s="253" t="s">
        <v>3123</v>
      </c>
      <c r="I362" s="254" t="str">
        <f>'Dry_Litterbag Placem_Collection'!C143</f>
        <v>Wet_P2_T5</v>
      </c>
      <c r="J362" s="255" t="s">
        <v>2525</v>
      </c>
      <c r="K362" s="262" t="s">
        <v>298</v>
      </c>
      <c r="L362" s="221" t="str">
        <f>'WetLitterbags placem_collection'!M143</f>
        <v>R581</v>
      </c>
      <c r="M362" s="223">
        <f>IFERROR(INDEX('Green_rooibos initial weight'!$C$5:$C$2000,MATCH(L362, 'Green_rooibos initial weight'!$A$5:$A$2000,0)),"")</f>
        <v>2.069</v>
      </c>
      <c r="N362" s="223">
        <f>IFERROR(M362-(TBIcalc!$H$9+TBIcalc!$H$10),"")</f>
        <v>1.8191999999999999</v>
      </c>
      <c r="O362" s="378">
        <f>AVERAGE(Ashed_controlls!$K$2:$K$11)</f>
        <v>5.5147656768714146</v>
      </c>
      <c r="P362" s="223">
        <f t="shared" si="26"/>
        <v>1.7188753828063552</v>
      </c>
      <c r="Q362" s="223">
        <f>IFERROR(INDEX('Both teabags AfterWet'!$C$3:$C$840,MATCH(L362,'Both teabags AfterWet'!$A$3:$A$840,0)),"")</f>
        <v>1.2849999999999999</v>
      </c>
      <c r="R362" s="223">
        <f>IFERROR(IF(Q362&gt;0,Q362-(TBIcalc!$H$9),""),"")</f>
        <v>1.1343999999999999</v>
      </c>
      <c r="S362" s="223">
        <f>IFERROR(INDEX('Ashed teabags wet'!$K$2:$K$2000,MATCH(L362,'Ashed teabags wet'!$A$2:$A$2000,0)),"")</f>
        <v>87.823960880195301</v>
      </c>
      <c r="T362" s="223">
        <f t="shared" si="27"/>
        <v>0.13812498777506443</v>
      </c>
      <c r="U362" s="224">
        <f>'WetLitterbags placem_collection'!E143</f>
        <v>42762</v>
      </c>
      <c r="V362" s="224">
        <f>IF('WetLitterbags placem_collection'!G143="","",'WetLitterbags placem_collection'!G143)</f>
        <v>42816</v>
      </c>
      <c r="W362" s="225">
        <f t="shared" si="25"/>
        <v>54</v>
      </c>
      <c r="X362" s="223">
        <f t="shared" si="28"/>
        <v>0.68480000000000008</v>
      </c>
      <c r="Y362" s="223">
        <f t="shared" si="29"/>
        <v>1.5807503950312909</v>
      </c>
      <c r="Z362">
        <f>IFERROR(INDEX([1]Rainfall_Wet!$O$2:$O$217,MATCH(C362, [1]Rainfall_Wet!$A$2:$A$217,0)),"")</f>
        <v>206.85140822299999</v>
      </c>
      <c r="AA362" s="226">
        <v>33.96</v>
      </c>
      <c r="AB362" s="226">
        <v>8.9200000000000017</v>
      </c>
      <c r="AC362" s="226">
        <v>57.12</v>
      </c>
      <c r="AD362" s="227" t="s">
        <v>2651</v>
      </c>
      <c r="AE362" s="226">
        <v>6.0720551996057202</v>
      </c>
      <c r="AF362">
        <f>IF('WetLitterbags placem_collection'!AB143="","",'WetLitterbags placem_collection'!AB143)</f>
        <v>1.4</v>
      </c>
      <c r="AG362">
        <f>IF('WetLitterbags placem_collection'!Z143="","",'WetLitterbags placem_collection'!Z143)</f>
        <v>28.4</v>
      </c>
      <c r="AH362" s="236" t="str">
        <f>IF('WetLitterbags placem_collection'!AA143="","",'WetLitterbags placem_collection'!AA143)</f>
        <v>G</v>
      </c>
      <c r="AI362">
        <f>IF('WetLitterbags placem_collection'!AC143="","",'WetLitterbags placem_collection'!AC143)</f>
        <v>1</v>
      </c>
      <c r="AJ362" s="233">
        <f>AVERAGE('WetLitterbags placem_collection'!S143,'WetLitterbags placem_collection'!U143)</f>
        <v>9.6999999999999993</v>
      </c>
      <c r="AK362">
        <f>AVERAGE('WetLitterbags placem_collection'!R143,'WetLitterbags placem_collection'!T143)</f>
        <v>30.75</v>
      </c>
      <c r="AL362">
        <f>INDEX([2]Coordinates!$B$2:$B$197,MATCH(I362,[2]Coordinates!$J$2:$J$197,0))</f>
        <v>-2.3486060000000002</v>
      </c>
      <c r="AM362">
        <f>INDEX([2]Coordinates!$C$2:$C$197,MATCH(I362,[2]Coordinates!$J$2:$J$197,0))</f>
        <v>34.050010020000002</v>
      </c>
      <c r="AN362" t="str">
        <f>IF(ISNUMBER(SEARCH("C", 'WetLitterbags placem_collection'!$W143)),"YES","NO")</f>
        <v>YES</v>
      </c>
      <c r="AO362" t="str">
        <f>IF(ISNUMBER(SEARCH("H", 'WetLitterbags placem_collection'!$W143)),"YES","NO")</f>
        <v>YES</v>
      </c>
      <c r="AP362" t="str">
        <f>IF(ISNUMBER(SEARCH("R", 'WetLitterbags placem_collection'!$W143)),"YES","NO")</f>
        <v>YES</v>
      </c>
    </row>
    <row r="363" spans="1:42" ht="15" customHeight="1">
      <c r="A363" t="s">
        <v>3248</v>
      </c>
      <c r="B363" s="248" t="s">
        <v>2454</v>
      </c>
      <c r="C363" s="253">
        <f>'Dry_Litterbag Placem_Collection'!A144</f>
        <v>142</v>
      </c>
      <c r="D363" s="253" t="str">
        <f>'Dry_Litterbag Placem_Collection'!B144</f>
        <v xml:space="preserve">Mwantimba
</v>
      </c>
      <c r="E363" s="253" t="s">
        <v>2454</v>
      </c>
      <c r="F363" s="253" t="s">
        <v>20</v>
      </c>
      <c r="G363" s="253">
        <v>2</v>
      </c>
      <c r="H363" s="253" t="s">
        <v>3123</v>
      </c>
      <c r="I363" s="254" t="str">
        <f>'Dry_Litterbag Placem_Collection'!C144</f>
        <v>Wet_P2_T6</v>
      </c>
      <c r="J363" s="255" t="s">
        <v>2525</v>
      </c>
      <c r="K363" s="262" t="s">
        <v>298</v>
      </c>
      <c r="L363" s="221" t="str">
        <f>'WetLitterbags placem_collection'!M144</f>
        <v>R460</v>
      </c>
      <c r="M363" s="223">
        <f>IFERROR(INDEX('Green_rooibos initial weight'!$C$5:$C$2000,MATCH(L363, 'Green_rooibos initial weight'!$A$5:$A$2000,0)),"")</f>
        <v>2.1659999999999999</v>
      </c>
      <c r="N363" s="223">
        <f>IFERROR(M363-(TBIcalc!$H$9+TBIcalc!$H$10),"")</f>
        <v>1.9161999999999999</v>
      </c>
      <c r="O363" s="378">
        <f>AVERAGE(Ashed_controlls!$K$2:$K$11)</f>
        <v>5.5147656768714146</v>
      </c>
      <c r="P363" s="223">
        <f t="shared" si="26"/>
        <v>1.8105260600997899</v>
      </c>
      <c r="Q363" s="223">
        <f>IFERROR(INDEX('Both teabags AfterWet'!$C$3:$C$840,MATCH(L363,'Both teabags AfterWet'!$A$3:$A$840,0)),"")</f>
        <v>0.14299999999999999</v>
      </c>
      <c r="R363" s="223">
        <f>IFERROR(IF(Q363&gt;0,Q363-(TBIcalc!$H$9),""),"")</f>
        <v>-7.6000000000000234E-3</v>
      </c>
      <c r="S363" s="223">
        <f>IFERROR(INDEX('Ashed teabags wet'!$K$2:$K$2000,MATCH(L363,'Ashed teabags wet'!$A$2:$A$2000,0)),"")</f>
        <v>0</v>
      </c>
      <c r="T363" s="223">
        <f t="shared" si="27"/>
        <v>-7.6000000000000234E-3</v>
      </c>
      <c r="U363" s="224">
        <f>'WetLitterbags placem_collection'!E144</f>
        <v>42762</v>
      </c>
      <c r="V363" s="224">
        <f>IF('WetLitterbags placem_collection'!G144="","",'WetLitterbags placem_collection'!G144)</f>
        <v>42816</v>
      </c>
      <c r="W363" s="225">
        <f t="shared" si="25"/>
        <v>54</v>
      </c>
      <c r="X363" s="223">
        <f t="shared" si="28"/>
        <v>1.9238</v>
      </c>
      <c r="Y363" s="223">
        <f t="shared" si="29"/>
        <v>1.8181260600997899</v>
      </c>
      <c r="Z363">
        <f>IFERROR(INDEX([1]Rainfall_Wet!$O$2:$O$217,MATCH(C363, [1]Rainfall_Wet!$A$2:$A$217,0)),"")</f>
        <v>206.85140822299999</v>
      </c>
      <c r="AA363" s="226">
        <v>33.96</v>
      </c>
      <c r="AB363" s="226">
        <v>8.9200000000000017</v>
      </c>
      <c r="AC363" s="226">
        <v>57.12</v>
      </c>
      <c r="AD363" s="227" t="s">
        <v>2651</v>
      </c>
      <c r="AE363" s="226">
        <v>7.0720551996057202</v>
      </c>
      <c r="AF363">
        <f>IF('WetLitterbags placem_collection'!AB144="","",'WetLitterbags placem_collection'!AB144)</f>
        <v>1.7</v>
      </c>
      <c r="AG363">
        <f>IF('WetLitterbags placem_collection'!Z144="","",'WetLitterbags placem_collection'!Z144)</f>
        <v>33.799999999999997</v>
      </c>
      <c r="AH363" s="236" t="str">
        <f>IF('WetLitterbags placem_collection'!AA144="","",'WetLitterbags placem_collection'!AA144)</f>
        <v>G</v>
      </c>
      <c r="AI363">
        <f>IF('WetLitterbags placem_collection'!AC144="","",'WetLitterbags placem_collection'!AC144)</f>
        <v>1</v>
      </c>
      <c r="AJ363" s="233">
        <f>AVERAGE('WetLitterbags placem_collection'!S144,'WetLitterbags placem_collection'!U144)</f>
        <v>15.5</v>
      </c>
      <c r="AK363">
        <f>AVERAGE('WetLitterbags placem_collection'!R144,'WetLitterbags placem_collection'!T144)</f>
        <v>28.75</v>
      </c>
      <c r="AL363">
        <f>INDEX([2]Coordinates!$B$2:$B$197,MATCH(I363,[2]Coordinates!$J$2:$J$197,0))</f>
        <v>-2.348618992</v>
      </c>
      <c r="AM363">
        <f>INDEX([2]Coordinates!$C$2:$C$197,MATCH(I363,[2]Coordinates!$J$2:$J$197,0))</f>
        <v>34.049996030000003</v>
      </c>
      <c r="AN363" t="str">
        <f>IF(ISNUMBER(SEARCH("C", 'WetLitterbags placem_collection'!$W144)),"YES","NO")</f>
        <v>NO</v>
      </c>
      <c r="AO363" t="str">
        <f>IF(ISNUMBER(SEARCH("H", 'WetLitterbags placem_collection'!$W144)),"YES","NO")</f>
        <v>YES</v>
      </c>
      <c r="AP363" t="str">
        <f>IF(ISNUMBER(SEARCH("R", 'WetLitterbags placem_collection'!$W144)),"YES","NO")</f>
        <v>NO</v>
      </c>
    </row>
    <row r="364" spans="1:42" ht="15" customHeight="1">
      <c r="A364" t="s">
        <v>3248</v>
      </c>
      <c r="B364" s="248" t="s">
        <v>2454</v>
      </c>
      <c r="C364" s="253">
        <f>'Dry_Litterbag Placem_Collection'!A145</f>
        <v>143</v>
      </c>
      <c r="D364" s="253" t="str">
        <f>'Dry_Litterbag Placem_Collection'!B145</f>
        <v xml:space="preserve">Mwantimba
</v>
      </c>
      <c r="E364" s="253" t="s">
        <v>2454</v>
      </c>
      <c r="F364" s="253" t="s">
        <v>20</v>
      </c>
      <c r="G364" s="253">
        <v>2</v>
      </c>
      <c r="H364" s="253" t="s">
        <v>3123</v>
      </c>
      <c r="I364" s="254" t="str">
        <f>'Dry_Litterbag Placem_Collection'!C145</f>
        <v>Wet_P2_T7</v>
      </c>
      <c r="J364" s="255" t="s">
        <v>2525</v>
      </c>
      <c r="K364" s="262" t="s">
        <v>298</v>
      </c>
      <c r="L364" s="221" t="str">
        <f>'WetLitterbags placem_collection'!M145</f>
        <v>R456</v>
      </c>
      <c r="M364" s="223">
        <f>IFERROR(INDEX('Green_rooibos initial weight'!$C$5:$C$2000,MATCH(L364, 'Green_rooibos initial weight'!$A$5:$A$2000,0)),"")</f>
        <v>2.23</v>
      </c>
      <c r="N364" s="223">
        <f>IFERROR(M364-(TBIcalc!$H$9+TBIcalc!$H$10),"")</f>
        <v>1.9802</v>
      </c>
      <c r="O364" s="378">
        <f>AVERAGE(Ashed_controlls!$K$2:$K$11)</f>
        <v>5.5147656768714146</v>
      </c>
      <c r="P364" s="223">
        <f t="shared" si="26"/>
        <v>1.8709966100665922</v>
      </c>
      <c r="Q364" s="223">
        <f>IFERROR(INDEX('Both teabags AfterWet'!$C$3:$C$840,MATCH(L364,'Both teabags AfterWet'!$A$3:$A$840,0)),"")</f>
        <v>1.6178999999999999</v>
      </c>
      <c r="R364" s="223">
        <f>IFERROR(IF(Q364&gt;0,Q364-(TBIcalc!$H$9),""),"")</f>
        <v>1.4672999999999998</v>
      </c>
      <c r="S364" s="223">
        <f>IFERROR(INDEX('Ashed teabags wet'!$K$2:$K$2000,MATCH(L364,'Ashed teabags wet'!$A$2:$A$2000,0)),"")</f>
        <v>1.7996108949419758</v>
      </c>
      <c r="T364" s="223">
        <f t="shared" si="27"/>
        <v>1.4408943093385163</v>
      </c>
      <c r="U364" s="224">
        <f>'WetLitterbags placem_collection'!E145</f>
        <v>42762</v>
      </c>
      <c r="V364" s="224">
        <f>IF('WetLitterbags placem_collection'!G145="","",'WetLitterbags placem_collection'!G145)</f>
        <v>42816</v>
      </c>
      <c r="W364" s="225">
        <f t="shared" si="25"/>
        <v>54</v>
      </c>
      <c r="X364" s="223">
        <f t="shared" si="28"/>
        <v>0.51290000000000013</v>
      </c>
      <c r="Y364" s="223">
        <f t="shared" si="29"/>
        <v>0.43010230072807598</v>
      </c>
      <c r="Z364">
        <f>IFERROR(INDEX([1]Rainfall_Wet!$O$2:$O$217,MATCH(C364, [1]Rainfall_Wet!$A$2:$A$217,0)),"")</f>
        <v>206.85140822299999</v>
      </c>
      <c r="AA364" s="226">
        <v>33.96</v>
      </c>
      <c r="AB364" s="226">
        <v>8.9200000000000017</v>
      </c>
      <c r="AC364" s="226">
        <v>57.12</v>
      </c>
      <c r="AD364" s="227" t="s">
        <v>2651</v>
      </c>
      <c r="AE364" s="226">
        <v>8.0720551996057193</v>
      </c>
      <c r="AF364">
        <f>IF('WetLitterbags placem_collection'!AB145="","",'WetLitterbags placem_collection'!AB145)</f>
        <v>2</v>
      </c>
      <c r="AG364">
        <f>IF('WetLitterbags placem_collection'!Z145="","",'WetLitterbags placem_collection'!Z145)</f>
        <v>23.4</v>
      </c>
      <c r="AH364" s="236" t="str">
        <f>IF('WetLitterbags placem_collection'!AA145="","",'WetLitterbags placem_collection'!AA145)</f>
        <v>G</v>
      </c>
      <c r="AI364">
        <f>IF('WetLitterbags placem_collection'!AC145="","",'WetLitterbags placem_collection'!AC145)</f>
        <v>1</v>
      </c>
      <c r="AJ364" s="233">
        <f>AVERAGE('WetLitterbags placem_collection'!S145,'WetLitterbags placem_collection'!U145)</f>
        <v>14.5</v>
      </c>
      <c r="AK364">
        <f>AVERAGE('WetLitterbags placem_collection'!R145,'WetLitterbags placem_collection'!T145)</f>
        <v>30.9</v>
      </c>
      <c r="AL364">
        <f>INDEX([2]Coordinates!$B$2:$B$197,MATCH(I364,[2]Coordinates!$J$2:$J$197,0))</f>
        <v>-2.3484970349999998</v>
      </c>
      <c r="AM364">
        <f>INDEX([2]Coordinates!$C$2:$C$197,MATCH(I364,[2]Coordinates!$J$2:$J$197,0))</f>
        <v>34.049979010000001</v>
      </c>
      <c r="AN364" t="str">
        <f>IF(ISNUMBER(SEARCH("C", 'WetLitterbags placem_collection'!$W145)),"YES","NO")</f>
        <v>NO</v>
      </c>
      <c r="AO364" t="str">
        <f>IF(ISNUMBER(SEARCH("H", 'WetLitterbags placem_collection'!$W145)),"YES","NO")</f>
        <v>NO</v>
      </c>
      <c r="AP364" t="str">
        <f>IF(ISNUMBER(SEARCH("R", 'WetLitterbags placem_collection'!$W145)),"YES","NO")</f>
        <v>NO</v>
      </c>
    </row>
    <row r="365" spans="1:42" ht="15" customHeight="1">
      <c r="A365" t="s">
        <v>3248</v>
      </c>
      <c r="B365" s="248" t="s">
        <v>2454</v>
      </c>
      <c r="C365" s="253">
        <f>'Dry_Litterbag Placem_Collection'!A146</f>
        <v>144</v>
      </c>
      <c r="D365" s="253" t="str">
        <f>'Dry_Litterbag Placem_Collection'!B146</f>
        <v xml:space="preserve">Mwantimba
</v>
      </c>
      <c r="E365" s="253" t="s">
        <v>2454</v>
      </c>
      <c r="F365" s="253" t="s">
        <v>20</v>
      </c>
      <c r="G365" s="253">
        <v>2</v>
      </c>
      <c r="H365" s="253" t="s">
        <v>3123</v>
      </c>
      <c r="I365" s="254" t="str">
        <f>'Dry_Litterbag Placem_Collection'!C146</f>
        <v>Wet_P2_T8</v>
      </c>
      <c r="J365" s="255" t="s">
        <v>2525</v>
      </c>
      <c r="K365" s="262" t="s">
        <v>298</v>
      </c>
      <c r="L365" s="221" t="str">
        <f>'WetLitterbags placem_collection'!M146</f>
        <v>R571</v>
      </c>
      <c r="M365" s="223">
        <f>IFERROR(INDEX('Green_rooibos initial weight'!$C$5:$C$2000,MATCH(L365, 'Green_rooibos initial weight'!$A$5:$A$2000,0)),"")</f>
        <v>2.117</v>
      </c>
      <c r="N365" s="223">
        <f>IFERROR(M365-(TBIcalc!$H$9+TBIcalc!$H$10),"")</f>
        <v>1.8672</v>
      </c>
      <c r="O365" s="378">
        <f>AVERAGE(Ashed_controlls!$K$2:$K$11)</f>
        <v>5.5147656768714146</v>
      </c>
      <c r="P365" s="223">
        <f t="shared" si="26"/>
        <v>1.764228295281457</v>
      </c>
      <c r="Q365" s="223">
        <f>IFERROR(INDEX('Both teabags AfterWet'!$C$3:$C$840,MATCH(L365,'Both teabags AfterWet'!$A$3:$A$840,0)),"")</f>
        <v>1.365</v>
      </c>
      <c r="R365" s="223">
        <f>IFERROR(IF(Q365&gt;0,Q365-(TBIcalc!$H$9),""),"")</f>
        <v>1.2143999999999999</v>
      </c>
      <c r="S365" s="223">
        <f>IFERROR(INDEX('Ashed teabags wet'!$K$2:$K$2000,MATCH(L365,'Ashed teabags wet'!$A$2:$A$2000,0)),"")</f>
        <v>77.783132530120469</v>
      </c>
      <c r="T365" s="223">
        <f t="shared" si="27"/>
        <v>0.26980163855421702</v>
      </c>
      <c r="U365" s="224">
        <f>'WetLitterbags placem_collection'!E146</f>
        <v>42762</v>
      </c>
      <c r="V365" s="224">
        <f>IF('WetLitterbags placem_collection'!G146="","",'WetLitterbags placem_collection'!G146)</f>
        <v>42816</v>
      </c>
      <c r="W365" s="225">
        <f t="shared" si="25"/>
        <v>54</v>
      </c>
      <c r="X365" s="223">
        <f t="shared" si="28"/>
        <v>0.65280000000000005</v>
      </c>
      <c r="Y365" s="223">
        <f t="shared" si="29"/>
        <v>1.49442665672724</v>
      </c>
      <c r="Z365">
        <f>IFERROR(INDEX([1]Rainfall_Wet!$O$2:$O$217,MATCH(C365, [1]Rainfall_Wet!$A$2:$A$217,0)),"")</f>
        <v>206.85140822299999</v>
      </c>
      <c r="AA365" s="226">
        <v>33.96</v>
      </c>
      <c r="AB365" s="226">
        <v>8.9200000000000017</v>
      </c>
      <c r="AC365" s="226">
        <v>57.12</v>
      </c>
      <c r="AD365" s="227" t="s">
        <v>2651</v>
      </c>
      <c r="AE365" s="226">
        <v>9.0720551996057193</v>
      </c>
      <c r="AF365">
        <f>IF('WetLitterbags placem_collection'!AB146="","",'WetLitterbags placem_collection'!AB146)</f>
        <v>2.5</v>
      </c>
      <c r="AG365">
        <f>IF('WetLitterbags placem_collection'!Z146="","",'WetLitterbags placem_collection'!Z146)</f>
        <v>19.8</v>
      </c>
      <c r="AH365" s="236" t="str">
        <f>IF('WetLitterbags placem_collection'!AA146="","",'WetLitterbags placem_collection'!AA146)</f>
        <v>G</v>
      </c>
      <c r="AI365">
        <f>IF('WetLitterbags placem_collection'!AC146="","",'WetLitterbags placem_collection'!AC146)</f>
        <v>1</v>
      </c>
      <c r="AJ365" s="233">
        <f>AVERAGE('WetLitterbags placem_collection'!S146,'WetLitterbags placem_collection'!U146)</f>
        <v>17.149999999999999</v>
      </c>
      <c r="AK365">
        <f>AVERAGE('WetLitterbags placem_collection'!R146,'WetLitterbags placem_collection'!T146)</f>
        <v>31.4</v>
      </c>
      <c r="AL365">
        <f>INDEX([2]Coordinates!$B$2:$B$197,MATCH(I365,[2]Coordinates!$J$2:$J$197,0))</f>
        <v>-2.3486560399999998</v>
      </c>
      <c r="AM365">
        <f>INDEX([2]Coordinates!$C$2:$C$197,MATCH(I365,[2]Coordinates!$J$2:$J$197,0))</f>
        <v>34.049895020000001</v>
      </c>
      <c r="AN365" t="str">
        <f>IF(ISNUMBER(SEARCH("C", 'WetLitterbags placem_collection'!$W146)),"YES","NO")</f>
        <v>NO</v>
      </c>
      <c r="AO365" t="str">
        <f>IF(ISNUMBER(SEARCH("H", 'WetLitterbags placem_collection'!$W146)),"YES","NO")</f>
        <v>YES</v>
      </c>
      <c r="AP365" t="str">
        <f>IF(ISNUMBER(SEARCH("R", 'WetLitterbags placem_collection'!$W146)),"YES","NO")</f>
        <v>NO</v>
      </c>
    </row>
    <row r="366" spans="1:42" ht="15" customHeight="1">
      <c r="A366" t="s">
        <v>3248</v>
      </c>
      <c r="B366" s="248" t="s">
        <v>2454</v>
      </c>
      <c r="C366" s="253">
        <f>'Dry_Litterbag Placem_Collection'!A147</f>
        <v>145</v>
      </c>
      <c r="D366" s="253" t="str">
        <f>'Dry_Litterbag Placem_Collection'!B147</f>
        <v xml:space="preserve">Mwantimba
</v>
      </c>
      <c r="E366" s="253" t="s">
        <v>2454</v>
      </c>
      <c r="F366" s="253" t="s">
        <v>20</v>
      </c>
      <c r="G366" s="253">
        <v>3</v>
      </c>
      <c r="H366" s="253" t="s">
        <v>3124</v>
      </c>
      <c r="I366" s="254" t="str">
        <f>'Dry_Litterbag Placem_Collection'!C147</f>
        <v>Wet_P3_T1</v>
      </c>
      <c r="J366" s="255" t="s">
        <v>2525</v>
      </c>
      <c r="K366" s="262" t="s">
        <v>298</v>
      </c>
      <c r="L366" s="221" t="str">
        <f>'WetLitterbags placem_collection'!M147</f>
        <v>R27</v>
      </c>
      <c r="M366" s="223">
        <f>IFERROR(INDEX('Green_rooibos initial weight'!$C$5:$C$2000,MATCH(L366, 'Green_rooibos initial weight'!$A$5:$A$2000,0)),"")</f>
        <v>2.0550000000000002</v>
      </c>
      <c r="N366" s="223">
        <f>IFERROR(M366-(TBIcalc!$H$9+TBIcalc!$H$10),"")</f>
        <v>1.8052000000000001</v>
      </c>
      <c r="O366" s="378">
        <f>AVERAGE(Ashed_controlls!$K$2:$K$11)</f>
        <v>5.5147656768714146</v>
      </c>
      <c r="P366" s="223">
        <f t="shared" si="26"/>
        <v>1.7056474500011174</v>
      </c>
      <c r="Q366" s="223">
        <f>IFERROR(INDEX('Both teabags AfterWet'!$C$3:$C$840,MATCH(L366,'Both teabags AfterWet'!$A$3:$A$840,0)),"")</f>
        <v>1.6830000000000001</v>
      </c>
      <c r="R366" s="223">
        <f>IFERROR(IF(Q366&gt;0,Q366-(TBIcalc!$H$9),""),"")</f>
        <v>1.5324</v>
      </c>
      <c r="S366" s="223">
        <f>IFERROR(INDEX('Ashed teabags wet'!$K$2:$K$2000,MATCH(L366,'Ashed teabags wet'!$A$2:$A$2000,0)),"")</f>
        <v>8.5603112840463975</v>
      </c>
      <c r="T366" s="223">
        <f t="shared" si="27"/>
        <v>1.4012217898832731</v>
      </c>
      <c r="U366" s="224">
        <f>'WetLitterbags placem_collection'!E147</f>
        <v>42762</v>
      </c>
      <c r="V366" s="224">
        <f>IF('WetLitterbags placem_collection'!G147="","",'WetLitterbags placem_collection'!G147)</f>
        <v>42815</v>
      </c>
      <c r="W366" s="225">
        <f t="shared" si="25"/>
        <v>53</v>
      </c>
      <c r="X366" s="223">
        <f t="shared" si="28"/>
        <v>0.27280000000000015</v>
      </c>
      <c r="Y366" s="223">
        <f t="shared" si="29"/>
        <v>0.30442566011784433</v>
      </c>
      <c r="Z366">
        <f>IFERROR(INDEX([1]Rainfall_Wet!$O$2:$O$217,MATCH(C366, [1]Rainfall_Wet!$A$2:$A$217,0)),"")</f>
        <v>205.76139209600001</v>
      </c>
      <c r="AA366" s="226">
        <v>39.96</v>
      </c>
      <c r="AB366" s="226">
        <v>12.920000000000002</v>
      </c>
      <c r="AC366" s="226">
        <v>47.12</v>
      </c>
      <c r="AD366" s="227" t="s">
        <v>2655</v>
      </c>
      <c r="AE366" s="226">
        <v>1.6549531789058647</v>
      </c>
      <c r="AF366">
        <f>IF('WetLitterbags placem_collection'!AB147="","",'WetLitterbags placem_collection'!AB147)</f>
        <v>3.95</v>
      </c>
      <c r="AG366">
        <f>IF('WetLitterbags placem_collection'!Z147="","",'WetLitterbags placem_collection'!Z147)</f>
        <v>13</v>
      </c>
      <c r="AH366" s="236" t="str">
        <f>IF('WetLitterbags placem_collection'!AA147="","",'WetLitterbags placem_collection'!AA147)</f>
        <v>O</v>
      </c>
      <c r="AI366">
        <f>IF('WetLitterbags placem_collection'!AC147="","",'WetLitterbags placem_collection'!AC147)</f>
        <v>0</v>
      </c>
      <c r="AJ366" s="233">
        <f>AVERAGE('WetLitterbags placem_collection'!S147,'WetLitterbags placem_collection'!U147)</f>
        <v>27.200000000000003</v>
      </c>
      <c r="AK366">
        <f>AVERAGE('WetLitterbags placem_collection'!R147,'WetLitterbags placem_collection'!T147)</f>
        <v>30.9</v>
      </c>
      <c r="AL366">
        <f>INDEX([2]Coordinates!$B$2:$B$197,MATCH(I366,[2]Coordinates!$J$2:$J$197,0))</f>
        <v>-2.3675269729999999</v>
      </c>
      <c r="AM366">
        <f>INDEX([2]Coordinates!$C$2:$C$197,MATCH(I366,[2]Coordinates!$J$2:$J$197,0))</f>
        <v>34.06035799</v>
      </c>
      <c r="AN366" t="str">
        <f>IF(ISNUMBER(SEARCH("C", 'WetLitterbags placem_collection'!$W147)),"YES","NO")</f>
        <v>NO</v>
      </c>
      <c r="AO366" t="str">
        <f>IF(ISNUMBER(SEARCH("H", 'WetLitterbags placem_collection'!$W147)),"YES","NO")</f>
        <v>NO</v>
      </c>
      <c r="AP366" t="str">
        <f>IF(ISNUMBER(SEARCH("R", 'WetLitterbags placem_collection'!$W147)),"YES","NO")</f>
        <v>NO</v>
      </c>
    </row>
    <row r="367" spans="1:42" ht="15" customHeight="1">
      <c r="A367" t="s">
        <v>3248</v>
      </c>
      <c r="B367" s="248" t="s">
        <v>2454</v>
      </c>
      <c r="C367" s="253">
        <f>'Dry_Litterbag Placem_Collection'!A148</f>
        <v>146</v>
      </c>
      <c r="D367" s="253" t="str">
        <f>'Dry_Litterbag Placem_Collection'!B148</f>
        <v xml:space="preserve">Mwantimba
</v>
      </c>
      <c r="E367" s="253" t="s">
        <v>2454</v>
      </c>
      <c r="F367" s="253" t="s">
        <v>20</v>
      </c>
      <c r="G367" s="253">
        <v>3</v>
      </c>
      <c r="H367" s="253" t="s">
        <v>3124</v>
      </c>
      <c r="I367" s="254" t="str">
        <f>'Dry_Litterbag Placem_Collection'!C148</f>
        <v>Wet_P3_T2</v>
      </c>
      <c r="J367" s="255" t="s">
        <v>2525</v>
      </c>
      <c r="K367" s="262" t="s">
        <v>298</v>
      </c>
      <c r="L367" s="221" t="str">
        <f>'WetLitterbags placem_collection'!M148</f>
        <v>R492</v>
      </c>
      <c r="M367" s="223">
        <f>IFERROR(INDEX('Green_rooibos initial weight'!$C$5:$C$2000,MATCH(L367, 'Green_rooibos initial weight'!$A$5:$A$2000,0)),"")</f>
        <v>2.2519999999999998</v>
      </c>
      <c r="N367" s="223">
        <f>IFERROR(M367-(TBIcalc!$H$9+TBIcalc!$H$10),"")</f>
        <v>2.0021999999999998</v>
      </c>
      <c r="O367" s="378">
        <f>AVERAGE(Ashed_controlls!$K$2:$K$11)</f>
        <v>5.5147656768714146</v>
      </c>
      <c r="P367" s="223">
        <f t="shared" si="26"/>
        <v>1.8917833616176802</v>
      </c>
      <c r="Q367" s="223">
        <f>IFERROR(INDEX('Both teabags AfterWet'!$C$3:$C$840,MATCH(L367,'Both teabags AfterWet'!$A$3:$A$840,0)),"")</f>
        <v>1.6579999999999999</v>
      </c>
      <c r="R367" s="223">
        <f>IFERROR(IF(Q367&gt;0,Q367-(TBIcalc!$H$9),""),"")</f>
        <v>1.5073999999999999</v>
      </c>
      <c r="S367" s="223">
        <f>IFERROR(INDEX('Ashed teabags wet'!$K$2:$K$2000,MATCH(L367,'Ashed teabags wet'!$A$2:$A$2000,0)),"")</f>
        <v>4.0599323344614637</v>
      </c>
      <c r="T367" s="223">
        <f t="shared" si="27"/>
        <v>1.4462005799903277</v>
      </c>
      <c r="U367" s="224">
        <f>'WetLitterbags placem_collection'!E148</f>
        <v>42762</v>
      </c>
      <c r="V367" s="224">
        <f>IF('WetLitterbags placem_collection'!G148="","",'WetLitterbags placem_collection'!G148)</f>
        <v>42815</v>
      </c>
      <c r="W367" s="225">
        <f t="shared" si="25"/>
        <v>53</v>
      </c>
      <c r="X367" s="223">
        <f t="shared" si="28"/>
        <v>0.49479999999999991</v>
      </c>
      <c r="Y367" s="223">
        <f t="shared" si="29"/>
        <v>0.44558278162735254</v>
      </c>
      <c r="Z367">
        <f>IFERROR(INDEX([1]Rainfall_Wet!$O$2:$O$217,MATCH(C367, [1]Rainfall_Wet!$A$2:$A$217,0)),"")</f>
        <v>205.76139209600001</v>
      </c>
      <c r="AA367" s="226">
        <v>39.96</v>
      </c>
      <c r="AB367" s="226">
        <v>12.920000000000002</v>
      </c>
      <c r="AC367" s="226">
        <v>47.12</v>
      </c>
      <c r="AD367" s="227" t="s">
        <v>2655</v>
      </c>
      <c r="AE367" s="226">
        <v>2.6549531789058598</v>
      </c>
      <c r="AF367">
        <f>IF('WetLitterbags placem_collection'!AB148="","",'WetLitterbags placem_collection'!AB148)</f>
        <v>2.75</v>
      </c>
      <c r="AG367">
        <f>IF('WetLitterbags placem_collection'!Z148="","",'WetLitterbags placem_collection'!Z148)</f>
        <v>17.7</v>
      </c>
      <c r="AH367" s="236" t="str">
        <f>IF('WetLitterbags placem_collection'!AA148="","",'WetLitterbags placem_collection'!AA148)</f>
        <v>O</v>
      </c>
      <c r="AI367">
        <f>IF('WetLitterbags placem_collection'!AC148="","",'WetLitterbags placem_collection'!AC148)</f>
        <v>1</v>
      </c>
      <c r="AJ367" s="233">
        <f>AVERAGE('WetLitterbags placem_collection'!S148,'WetLitterbags placem_collection'!U148)</f>
        <v>22.65</v>
      </c>
      <c r="AK367">
        <f>AVERAGE('WetLitterbags placem_collection'!R148,'WetLitterbags placem_collection'!T148)</f>
        <v>30.549999999999997</v>
      </c>
      <c r="AL367">
        <f>INDEX([2]Coordinates!$B$2:$B$197,MATCH(I367,[2]Coordinates!$J$2:$J$197,0))</f>
        <v>-2.3675380370000001</v>
      </c>
      <c r="AM367">
        <f>INDEX([2]Coordinates!$C$2:$C$197,MATCH(I367,[2]Coordinates!$J$2:$J$197,0))</f>
        <v>34.060381960000001</v>
      </c>
      <c r="AN367" t="str">
        <f>IF(ISNUMBER(SEARCH("C", 'WetLitterbags placem_collection'!$W148)),"YES","NO")</f>
        <v>NO</v>
      </c>
      <c r="AO367" t="str">
        <f>IF(ISNUMBER(SEARCH("H", 'WetLitterbags placem_collection'!$W148)),"YES","NO")</f>
        <v>NO</v>
      </c>
      <c r="AP367" t="str">
        <f>IF(ISNUMBER(SEARCH("R", 'WetLitterbags placem_collection'!$W148)),"YES","NO")</f>
        <v>NO</v>
      </c>
    </row>
    <row r="368" spans="1:42" ht="15" customHeight="1">
      <c r="A368" t="s">
        <v>3248</v>
      </c>
      <c r="B368" s="248" t="s">
        <v>2454</v>
      </c>
      <c r="C368" s="253">
        <f>'Dry_Litterbag Placem_Collection'!A149</f>
        <v>147</v>
      </c>
      <c r="D368" s="253" t="str">
        <f>'Dry_Litterbag Placem_Collection'!B149</f>
        <v xml:space="preserve">Mwantimba
</v>
      </c>
      <c r="E368" s="253" t="s">
        <v>2454</v>
      </c>
      <c r="F368" s="253" t="s">
        <v>20</v>
      </c>
      <c r="G368" s="253">
        <v>3</v>
      </c>
      <c r="H368" s="253" t="s">
        <v>3124</v>
      </c>
      <c r="I368" s="254" t="str">
        <f>'Dry_Litterbag Placem_Collection'!C149</f>
        <v>Wet_P3_T3</v>
      </c>
      <c r="J368" s="255" t="s">
        <v>2525</v>
      </c>
      <c r="K368" s="262" t="s">
        <v>298</v>
      </c>
      <c r="L368" s="221" t="str">
        <f>'WetLitterbags placem_collection'!M149</f>
        <v>R573</v>
      </c>
      <c r="M368" s="223">
        <f>IFERROR(INDEX('Green_rooibos initial weight'!$C$5:$C$2000,MATCH(L368, 'Green_rooibos initial weight'!$A$5:$A$2000,0)),"")</f>
        <v>2.097</v>
      </c>
      <c r="N368" s="223">
        <f>IFERROR(M368-(TBIcalc!$H$9+TBIcalc!$H$10),"")</f>
        <v>1.8472</v>
      </c>
      <c r="O368" s="378">
        <f>AVERAGE(Ashed_controlls!$K$2:$K$11)</f>
        <v>5.5147656768714146</v>
      </c>
      <c r="P368" s="223">
        <f t="shared" si="26"/>
        <v>1.7453312484168313</v>
      </c>
      <c r="Q368" s="223">
        <f>IFERROR(INDEX('Both teabags AfterWet'!$C$3:$C$840,MATCH(L368,'Both teabags AfterWet'!$A$3:$A$840,0)),"")</f>
        <v>1.746</v>
      </c>
      <c r="R368" s="223">
        <f>IFERROR(IF(Q368&gt;0,Q368-(TBIcalc!$H$9),""),"")</f>
        <v>1.5953999999999999</v>
      </c>
      <c r="S368" s="223">
        <f>IFERROR(INDEX('Ashed teabags wet'!$K$2:$K$2000,MATCH(L368,'Ashed teabags wet'!$A$2:$A$2000,0)),"")</f>
        <v>8.8007736943911006</v>
      </c>
      <c r="T368" s="223">
        <f t="shared" si="27"/>
        <v>1.4549924564796843</v>
      </c>
      <c r="U368" s="224">
        <f>'WetLitterbags placem_collection'!E149</f>
        <v>42762</v>
      </c>
      <c r="V368" s="224">
        <f>IF('WetLitterbags placem_collection'!G149="","",'WetLitterbags placem_collection'!G149)</f>
        <v>42816</v>
      </c>
      <c r="W368" s="225">
        <f t="shared" si="25"/>
        <v>54</v>
      </c>
      <c r="X368" s="223">
        <f t="shared" si="28"/>
        <v>0.25180000000000002</v>
      </c>
      <c r="Y368" s="223">
        <f t="shared" si="29"/>
        <v>0.29033879193714696</v>
      </c>
      <c r="Z368">
        <f>IFERROR(INDEX([1]Rainfall_Wet!$O$2:$O$217,MATCH(C368, [1]Rainfall_Wet!$A$2:$A$217,0)),"")</f>
        <v>206.85140822299999</v>
      </c>
      <c r="AA368" s="226">
        <v>39.96</v>
      </c>
      <c r="AB368" s="226">
        <v>12.920000000000002</v>
      </c>
      <c r="AC368" s="226">
        <v>47.12</v>
      </c>
      <c r="AD368" s="227" t="s">
        <v>2655</v>
      </c>
      <c r="AE368" s="226">
        <v>3.6549531789058598</v>
      </c>
      <c r="AF368">
        <f>IF('WetLitterbags placem_collection'!AB149="","",'WetLitterbags placem_collection'!AB149)</f>
        <v>3.6</v>
      </c>
      <c r="AG368">
        <f>IF('WetLitterbags placem_collection'!Z149="","",'WetLitterbags placem_collection'!Z149)</f>
        <v>19</v>
      </c>
      <c r="AH368" s="236" t="str">
        <f>IF('WetLitterbags placem_collection'!AA149="","",'WetLitterbags placem_collection'!AA149)</f>
        <v>M</v>
      </c>
      <c r="AI368">
        <f>IF('WetLitterbags placem_collection'!AC149="","",'WetLitterbags placem_collection'!AC149)</f>
        <v>1</v>
      </c>
      <c r="AJ368" s="233">
        <f>AVERAGE('WetLitterbags placem_collection'!S149,'WetLitterbags placem_collection'!U149)</f>
        <v>23.35</v>
      </c>
      <c r="AK368">
        <f>AVERAGE('WetLitterbags placem_collection'!R149,'WetLitterbags placem_collection'!T149)</f>
        <v>29.9</v>
      </c>
      <c r="AL368">
        <f>INDEX([2]Coordinates!$B$2:$B$197,MATCH(I368,[2]Coordinates!$J$2:$J$197,0))</f>
        <v>-2.3675780180000001</v>
      </c>
      <c r="AM368">
        <f>INDEX([2]Coordinates!$C$2:$C$197,MATCH(I368,[2]Coordinates!$J$2:$J$197,0))</f>
        <v>34.060323029999999</v>
      </c>
      <c r="AN368" t="str">
        <f>IF(ISNUMBER(SEARCH("C", 'WetLitterbags placem_collection'!$W149)),"YES","NO")</f>
        <v>NO</v>
      </c>
      <c r="AO368" t="str">
        <f>IF(ISNUMBER(SEARCH("H", 'WetLitterbags placem_collection'!$W149)),"YES","NO")</f>
        <v>NO</v>
      </c>
      <c r="AP368" t="str">
        <f>IF(ISNUMBER(SEARCH("R", 'WetLitterbags placem_collection'!$W149)),"YES","NO")</f>
        <v>NO</v>
      </c>
    </row>
    <row r="369" spans="1:42" ht="15" customHeight="1">
      <c r="A369" t="s">
        <v>3248</v>
      </c>
      <c r="B369" s="248" t="s">
        <v>2454</v>
      </c>
      <c r="C369" s="253">
        <f>'Dry_Litterbag Placem_Collection'!A150</f>
        <v>148</v>
      </c>
      <c r="D369" s="253" t="str">
        <f>'Dry_Litterbag Placem_Collection'!B150</f>
        <v xml:space="preserve">Mwantimba
</v>
      </c>
      <c r="E369" s="253" t="s">
        <v>2454</v>
      </c>
      <c r="F369" s="253" t="s">
        <v>20</v>
      </c>
      <c r="G369" s="253">
        <v>3</v>
      </c>
      <c r="H369" s="253" t="s">
        <v>3124</v>
      </c>
      <c r="I369" s="254" t="str">
        <f>'Dry_Litterbag Placem_Collection'!C150</f>
        <v>Wet_P3_T4</v>
      </c>
      <c r="J369" s="255" t="s">
        <v>2525</v>
      </c>
      <c r="K369" s="262" t="s">
        <v>298</v>
      </c>
      <c r="L369" s="221" t="str">
        <f>'WetLitterbags placem_collection'!M150</f>
        <v>R472</v>
      </c>
      <c r="M369" s="223">
        <f>IFERROR(INDEX('Green_rooibos initial weight'!$C$5:$C$2000,MATCH(L369, 'Green_rooibos initial weight'!$A$5:$A$2000,0)),"")</f>
        <v>2.2679999999999998</v>
      </c>
      <c r="N369" s="223">
        <f>IFERROR(M369-(TBIcalc!$H$9+TBIcalc!$H$10),"")</f>
        <v>2.0181999999999998</v>
      </c>
      <c r="O369" s="378">
        <f>AVERAGE(Ashed_controlls!$K$2:$K$11)</f>
        <v>5.5147656768714146</v>
      </c>
      <c r="P369" s="223">
        <f t="shared" si="26"/>
        <v>1.9069009991093808</v>
      </c>
      <c r="Q369" s="223">
        <f>IFERROR(INDEX('Both teabags AfterWet'!$C$3:$C$840,MATCH(L369,'Both teabags AfterWet'!$A$3:$A$840,0)),"")</f>
        <v>0.37559999999999999</v>
      </c>
      <c r="R369" s="223">
        <f>IFERROR(IF(Q369&gt;0,Q369-(TBIcalc!$H$9),""),"")</f>
        <v>0.22499999999999998</v>
      </c>
      <c r="S369" s="223">
        <f>IFERROR(INDEX('Ashed teabags wet'!$K$2:$K$2000,MATCH(L369,'Ashed teabags wet'!$A$2:$A$2000,0)),"")</f>
        <v>0</v>
      </c>
      <c r="T369" s="223">
        <f t="shared" si="27"/>
        <v>0.22499999999999998</v>
      </c>
      <c r="U369" s="224">
        <f>'WetLitterbags placem_collection'!E150</f>
        <v>42762</v>
      </c>
      <c r="V369" s="224">
        <f>IF('WetLitterbags placem_collection'!G150="","",'WetLitterbags placem_collection'!G150)</f>
        <v>42816</v>
      </c>
      <c r="W369" s="225">
        <f t="shared" si="25"/>
        <v>54</v>
      </c>
      <c r="X369" s="223">
        <f t="shared" si="28"/>
        <v>1.7931999999999997</v>
      </c>
      <c r="Y369" s="223">
        <f t="shared" si="29"/>
        <v>1.6819009991093807</v>
      </c>
      <c r="Z369">
        <f>IFERROR(INDEX([1]Rainfall_Wet!$O$2:$O$217,MATCH(C369, [1]Rainfall_Wet!$A$2:$A$217,0)),"")</f>
        <v>206.85140822299999</v>
      </c>
      <c r="AA369" s="226">
        <v>39.96</v>
      </c>
      <c r="AB369" s="226">
        <v>12.920000000000002</v>
      </c>
      <c r="AC369" s="226">
        <v>47.12</v>
      </c>
      <c r="AD369" s="227" t="s">
        <v>2655</v>
      </c>
      <c r="AE369" s="226">
        <v>4.6549531789058696</v>
      </c>
      <c r="AF369">
        <f>IF('WetLitterbags placem_collection'!AB150="","",'WetLitterbags placem_collection'!AB150)</f>
        <v>4.9000000000000004</v>
      </c>
      <c r="AG369">
        <f>IF('WetLitterbags placem_collection'!Z150="","",'WetLitterbags placem_collection'!Z150)</f>
        <v>17.489999999999998</v>
      </c>
      <c r="AH369" s="236" t="str">
        <f>IF('WetLitterbags placem_collection'!AA150="","",'WetLitterbags placem_collection'!AA150)</f>
        <v>M</v>
      </c>
      <c r="AI369">
        <f>IF('WetLitterbags placem_collection'!AC150="","",'WetLitterbags placem_collection'!AC150)</f>
        <v>1</v>
      </c>
      <c r="AJ369" s="233">
        <f>AVERAGE('WetLitterbags placem_collection'!S150,'WetLitterbags placem_collection'!U150)</f>
        <v>28.2</v>
      </c>
      <c r="AK369">
        <f>AVERAGE('WetLitterbags placem_collection'!R150,'WetLitterbags placem_collection'!T150)</f>
        <v>25.299999999999997</v>
      </c>
      <c r="AL369">
        <f>INDEX([2]Coordinates!$B$2:$B$197,MATCH(I369,[2]Coordinates!$J$2:$J$197,0))</f>
        <v>-2.3676269689999998</v>
      </c>
      <c r="AM369">
        <f>INDEX([2]Coordinates!$C$2:$C$197,MATCH(I369,[2]Coordinates!$J$2:$J$197,0))</f>
        <v>34.060310960000002</v>
      </c>
      <c r="AN369" t="str">
        <f>IF(ISNUMBER(SEARCH("C", 'WetLitterbags placem_collection'!$W150)),"YES","NO")</f>
        <v>NO</v>
      </c>
      <c r="AO369" t="str">
        <f>IF(ISNUMBER(SEARCH("H", 'WetLitterbags placem_collection'!$W150)),"YES","NO")</f>
        <v>YES</v>
      </c>
      <c r="AP369" t="str">
        <f>IF(ISNUMBER(SEARCH("R", 'WetLitterbags placem_collection'!$W150)),"YES","NO")</f>
        <v>NO</v>
      </c>
    </row>
    <row r="370" spans="1:42" ht="15" customHeight="1">
      <c r="A370" t="s">
        <v>3248</v>
      </c>
      <c r="B370" s="248" t="s">
        <v>2454</v>
      </c>
      <c r="C370" s="253">
        <f>'Dry_Litterbag Placem_Collection'!A151</f>
        <v>149</v>
      </c>
      <c r="D370" s="253" t="str">
        <f>'Dry_Litterbag Placem_Collection'!B151</f>
        <v xml:space="preserve">Mwantimba
</v>
      </c>
      <c r="E370" s="253" t="s">
        <v>2454</v>
      </c>
      <c r="F370" s="253" t="s">
        <v>20</v>
      </c>
      <c r="G370" s="253">
        <v>3</v>
      </c>
      <c r="H370" s="253" t="s">
        <v>3124</v>
      </c>
      <c r="I370" s="254" t="str">
        <f>'Dry_Litterbag Placem_Collection'!C151</f>
        <v>Wet_P3_T5</v>
      </c>
      <c r="J370" s="255" t="s">
        <v>2525</v>
      </c>
      <c r="K370" s="262" t="s">
        <v>298</v>
      </c>
      <c r="L370" s="221" t="str">
        <f>'WetLitterbags placem_collection'!M151</f>
        <v>R545</v>
      </c>
      <c r="M370" s="223">
        <f>IFERROR(INDEX('Green_rooibos initial weight'!$C$5:$C$2000,MATCH(L370, 'Green_rooibos initial weight'!$A$5:$A$2000,0)),"")</f>
        <v>2.2280000000000002</v>
      </c>
      <c r="N370" s="223">
        <f>IFERROR(M370-(TBIcalc!$H$9+TBIcalc!$H$10),"")</f>
        <v>1.9782000000000002</v>
      </c>
      <c r="O370" s="378">
        <f>AVERAGE(Ashed_controlls!$K$2:$K$11)</f>
        <v>5.5147656768714146</v>
      </c>
      <c r="P370" s="223">
        <f t="shared" si="26"/>
        <v>1.8691069053801299</v>
      </c>
      <c r="Q370" s="223">
        <f>IFERROR(INDEX('Both teabags AfterWet'!$C$3:$C$840,MATCH(L370,'Both teabags AfterWet'!$A$3:$A$840,0)),"")</f>
        <v>1.7096</v>
      </c>
      <c r="R370" s="223">
        <f>IFERROR(IF(Q370&gt;0,Q370-(TBIcalc!$H$9),""),"")</f>
        <v>1.5589999999999999</v>
      </c>
      <c r="S370" s="223">
        <f>IFERROR(INDEX('Ashed teabags wet'!$K$2:$K$2000,MATCH(L370,'Ashed teabags wet'!$A$2:$A$2000,0)),"")</f>
        <v>8.8976767177461902</v>
      </c>
      <c r="T370" s="223">
        <f t="shared" si="27"/>
        <v>1.4202852199703369</v>
      </c>
      <c r="U370" s="224">
        <f>'WetLitterbags placem_collection'!E151</f>
        <v>42762</v>
      </c>
      <c r="V370" s="224">
        <f>IF('WetLitterbags placem_collection'!G151="","",'WetLitterbags placem_collection'!G151)</f>
        <v>42816</v>
      </c>
      <c r="W370" s="225">
        <f t="shared" si="25"/>
        <v>54</v>
      </c>
      <c r="X370" s="223">
        <f t="shared" si="28"/>
        <v>0.41920000000000024</v>
      </c>
      <c r="Y370" s="223">
        <f t="shared" si="29"/>
        <v>0.44882168540979306</v>
      </c>
      <c r="Z370">
        <f>IFERROR(INDEX([1]Rainfall_Wet!$O$2:$O$217,MATCH(C370, [1]Rainfall_Wet!$A$2:$A$217,0)),"")</f>
        <v>206.85140822299999</v>
      </c>
      <c r="AA370" s="226">
        <v>39.96</v>
      </c>
      <c r="AB370" s="226">
        <v>12.920000000000002</v>
      </c>
      <c r="AC370" s="226">
        <v>47.12</v>
      </c>
      <c r="AD370" s="227" t="s">
        <v>2655</v>
      </c>
      <c r="AE370" s="226">
        <v>5.6549531789058696</v>
      </c>
      <c r="AF370">
        <f>IF('WetLitterbags placem_collection'!AB151="","",'WetLitterbags placem_collection'!AB151)</f>
        <v>2.8</v>
      </c>
      <c r="AG370">
        <f>IF('WetLitterbags placem_collection'!Z151="","",'WetLitterbags placem_collection'!Z151)</f>
        <v>13</v>
      </c>
      <c r="AH370" s="236" t="str">
        <f>IF('WetLitterbags placem_collection'!AA151="","",'WetLitterbags placem_collection'!AA151)</f>
        <v>M</v>
      </c>
      <c r="AI370">
        <f>IF('WetLitterbags placem_collection'!AC151="","",'WetLitterbags placem_collection'!AC151)</f>
        <v>1</v>
      </c>
      <c r="AJ370" s="233">
        <f>AVERAGE('WetLitterbags placem_collection'!S151,'WetLitterbags placem_collection'!U151)</f>
        <v>25.4</v>
      </c>
      <c r="AK370">
        <f>AVERAGE('WetLitterbags placem_collection'!R151,'WetLitterbags placem_collection'!T151)</f>
        <v>26.9</v>
      </c>
      <c r="AL370">
        <f>INDEX([2]Coordinates!$B$2:$B$197,MATCH(I370,[2]Coordinates!$J$2:$J$197,0))</f>
        <v>-2.3677179960000001</v>
      </c>
      <c r="AM370">
        <f>INDEX([2]Coordinates!$C$2:$C$197,MATCH(I370,[2]Coordinates!$J$2:$J$197,0))</f>
        <v>34.060324960000003</v>
      </c>
      <c r="AN370" t="str">
        <f>IF(ISNUMBER(SEARCH("C", 'WetLitterbags placem_collection'!$W151)),"YES","NO")</f>
        <v>NO</v>
      </c>
      <c r="AO370" t="str">
        <f>IF(ISNUMBER(SEARCH("H", 'WetLitterbags placem_collection'!$W151)),"YES","NO")</f>
        <v>NO</v>
      </c>
      <c r="AP370" t="str">
        <f>IF(ISNUMBER(SEARCH("R", 'WetLitterbags placem_collection'!$W151)),"YES","NO")</f>
        <v>NO</v>
      </c>
    </row>
    <row r="371" spans="1:42" ht="15" customHeight="1">
      <c r="A371" t="s">
        <v>3248</v>
      </c>
      <c r="B371" s="248" t="s">
        <v>2454</v>
      </c>
      <c r="C371" s="253">
        <f>'Dry_Litterbag Placem_Collection'!A152</f>
        <v>150</v>
      </c>
      <c r="D371" s="253" t="str">
        <f>'Dry_Litterbag Placem_Collection'!B152</f>
        <v xml:space="preserve">Mwantimba
</v>
      </c>
      <c r="E371" s="253" t="s">
        <v>2454</v>
      </c>
      <c r="F371" s="253" t="s">
        <v>20</v>
      </c>
      <c r="G371" s="253">
        <v>3</v>
      </c>
      <c r="H371" s="253" t="s">
        <v>3124</v>
      </c>
      <c r="I371" s="254" t="str">
        <f>'Dry_Litterbag Placem_Collection'!C152</f>
        <v>Wet_P3_T6</v>
      </c>
      <c r="J371" s="255" t="s">
        <v>2525</v>
      </c>
      <c r="K371" s="262" t="s">
        <v>298</v>
      </c>
      <c r="L371" s="221" t="str">
        <f>'WetLitterbags placem_collection'!M152</f>
        <v>R7</v>
      </c>
      <c r="M371" s="223">
        <f>IFERROR(INDEX('Green_rooibos initial weight'!$C$5:$C$2000,MATCH(L371, 'Green_rooibos initial weight'!$A$5:$A$2000,0)),"")</f>
        <v>2.2090000000000001</v>
      </c>
      <c r="N371" s="223">
        <f>IFERROR(M371-(TBIcalc!$H$9+TBIcalc!$H$10),"")</f>
        <v>1.9592000000000001</v>
      </c>
      <c r="O371" s="378">
        <f>AVERAGE(Ashed_controlls!$K$2:$K$11)</f>
        <v>5.5147656768714146</v>
      </c>
      <c r="P371" s="223">
        <f t="shared" si="26"/>
        <v>1.8511547108587354</v>
      </c>
      <c r="Q371" s="223">
        <f>IFERROR(INDEX('Both teabags AfterWet'!$C$3:$C$840,MATCH(L371,'Both teabags AfterWet'!$A$3:$A$840,0)),"")</f>
        <v>1.718</v>
      </c>
      <c r="R371" s="223">
        <f>IFERROR(IF(Q371&gt;0,Q371-(TBIcalc!$H$9),""),"")</f>
        <v>1.5673999999999999</v>
      </c>
      <c r="S371" s="223">
        <f>IFERROR(INDEX('Ashed teabags wet'!$K$2:$K$2000,MATCH(L371,'Ashed teabags wet'!$A$2:$A$2000,0)),"")</f>
        <v>10.190151145782695</v>
      </c>
      <c r="T371" s="223">
        <f t="shared" si="27"/>
        <v>1.4076795709410019</v>
      </c>
      <c r="U371" s="224">
        <f>'WetLitterbags placem_collection'!E152</f>
        <v>42762</v>
      </c>
      <c r="V371" s="224">
        <f>IF('WetLitterbags placem_collection'!G152="","",'WetLitterbags placem_collection'!G152)</f>
        <v>42816</v>
      </c>
      <c r="W371" s="225">
        <f t="shared" si="25"/>
        <v>54</v>
      </c>
      <c r="X371" s="223">
        <f t="shared" si="28"/>
        <v>0.39180000000000015</v>
      </c>
      <c r="Y371" s="223">
        <f t="shared" si="29"/>
        <v>0.44347513991773346</v>
      </c>
      <c r="Z371">
        <f>IFERROR(INDEX([1]Rainfall_Wet!$O$2:$O$217,MATCH(C371, [1]Rainfall_Wet!$A$2:$A$217,0)),"")</f>
        <v>206.85140822299999</v>
      </c>
      <c r="AA371" s="226">
        <v>39.96</v>
      </c>
      <c r="AB371" s="226">
        <v>12.920000000000002</v>
      </c>
      <c r="AC371" s="226">
        <v>47.12</v>
      </c>
      <c r="AD371" s="227" t="s">
        <v>2655</v>
      </c>
      <c r="AE371" s="226">
        <v>6.6549531789058696</v>
      </c>
      <c r="AF371">
        <f>IF('WetLitterbags placem_collection'!AB152="","",'WetLitterbags placem_collection'!AB152)</f>
        <v>2.75</v>
      </c>
      <c r="AG371">
        <f>IF('WetLitterbags placem_collection'!Z152="","",'WetLitterbags placem_collection'!Z152)</f>
        <v>19</v>
      </c>
      <c r="AH371" s="236" t="str">
        <f>IF('WetLitterbags placem_collection'!AA152="","",'WetLitterbags placem_collection'!AA152)</f>
        <v>O</v>
      </c>
      <c r="AI371">
        <f>IF('WetLitterbags placem_collection'!AC152="","",'WetLitterbags placem_collection'!AC152)</f>
        <v>0</v>
      </c>
      <c r="AJ371" s="233">
        <f>AVERAGE('WetLitterbags placem_collection'!S152,'WetLitterbags placem_collection'!U152)</f>
        <v>22.55</v>
      </c>
      <c r="AK371">
        <f>AVERAGE('WetLitterbags placem_collection'!R152,'WetLitterbags placem_collection'!T152)</f>
        <v>24.75</v>
      </c>
      <c r="AL371">
        <f>INDEX([2]Coordinates!$B$2:$B$197,MATCH(I371,[2]Coordinates!$J$2:$J$197,0))</f>
        <v>-2.3675230329999999</v>
      </c>
      <c r="AM371">
        <f>INDEX([2]Coordinates!$C$2:$C$197,MATCH(I371,[2]Coordinates!$J$2:$J$197,0))</f>
        <v>34.060512969999998</v>
      </c>
      <c r="AN371" t="str">
        <f>IF(ISNUMBER(SEARCH("C", 'WetLitterbags placem_collection'!$W152)),"YES","NO")</f>
        <v>NO</v>
      </c>
      <c r="AO371" t="str">
        <f>IF(ISNUMBER(SEARCH("H", 'WetLitterbags placem_collection'!$W152)),"YES","NO")</f>
        <v>NO</v>
      </c>
      <c r="AP371" t="str">
        <f>IF(ISNUMBER(SEARCH("R", 'WetLitterbags placem_collection'!$W152)),"YES","NO")</f>
        <v>NO</v>
      </c>
    </row>
    <row r="372" spans="1:42" ht="15" customHeight="1">
      <c r="A372" t="s">
        <v>3248</v>
      </c>
      <c r="B372" s="248" t="s">
        <v>2454</v>
      </c>
      <c r="C372" s="253">
        <f>'Dry_Litterbag Placem_Collection'!A153</f>
        <v>151</v>
      </c>
      <c r="D372" s="253" t="str">
        <f>'Dry_Litterbag Placem_Collection'!B153</f>
        <v xml:space="preserve">Mwantimba
</v>
      </c>
      <c r="E372" s="253" t="s">
        <v>2454</v>
      </c>
      <c r="F372" s="253" t="s">
        <v>20</v>
      </c>
      <c r="G372" s="253">
        <v>3</v>
      </c>
      <c r="H372" s="253" t="s">
        <v>3124</v>
      </c>
      <c r="I372" s="254" t="str">
        <f>'Dry_Litterbag Placem_Collection'!C153</f>
        <v>Wet_P3_T7</v>
      </c>
      <c r="J372" s="255" t="s">
        <v>2525</v>
      </c>
      <c r="K372" s="262" t="s">
        <v>298</v>
      </c>
      <c r="L372" s="221" t="str">
        <f>'WetLitterbags placem_collection'!M153</f>
        <v>R447</v>
      </c>
      <c r="M372" s="223">
        <f>IFERROR(INDEX('Green_rooibos initial weight'!$C$5:$C$2000,MATCH(L372, 'Green_rooibos initial weight'!$A$5:$A$2000,0)),"")</f>
        <v>2.206</v>
      </c>
      <c r="N372" s="223">
        <f>IFERROR(M372-(TBIcalc!$H$9+TBIcalc!$H$10),"")</f>
        <v>1.9561999999999999</v>
      </c>
      <c r="O372" s="378">
        <f>AVERAGE(Ashed_controlls!$K$2:$K$11)</f>
        <v>5.5147656768714146</v>
      </c>
      <c r="P372" s="223">
        <f t="shared" si="26"/>
        <v>1.8483201538290412</v>
      </c>
      <c r="Q372" s="223">
        <f>IFERROR(INDEX('Both teabags AfterWet'!$C$3:$C$840,MATCH(L372,'Both teabags AfterWet'!$A$3:$A$840,0)),"")</f>
        <v>1.782</v>
      </c>
      <c r="R372" s="223">
        <f>IFERROR(IF(Q372&gt;0,Q372-(TBIcalc!$H$9),""),"")</f>
        <v>1.6314</v>
      </c>
      <c r="S372" s="223">
        <f>IFERROR(INDEX('Ashed teabags wet'!$K$2:$K$2000,MATCH(L372,'Ashed teabags wet'!$A$2:$A$2000,0)),"")</f>
        <v>6.4642507345735885</v>
      </c>
      <c r="T372" s="223">
        <f t="shared" si="27"/>
        <v>1.5259422135161664</v>
      </c>
      <c r="U372" s="224">
        <f>'WetLitterbags placem_collection'!E153</f>
        <v>42762</v>
      </c>
      <c r="V372" s="224">
        <f>IF('WetLitterbags placem_collection'!G153="","",'WetLitterbags placem_collection'!G153)</f>
        <v>42816</v>
      </c>
      <c r="W372" s="225">
        <f t="shared" si="25"/>
        <v>54</v>
      </c>
      <c r="X372" s="223">
        <f t="shared" si="28"/>
        <v>0.32479999999999998</v>
      </c>
      <c r="Y372" s="223">
        <f t="shared" si="29"/>
        <v>0.32237794031287481</v>
      </c>
      <c r="Z372">
        <f>IFERROR(INDEX([1]Rainfall_Wet!$O$2:$O$217,MATCH(C372, [1]Rainfall_Wet!$A$2:$A$217,0)),"")</f>
        <v>206.85140822299999</v>
      </c>
      <c r="AA372" s="226">
        <v>39.96</v>
      </c>
      <c r="AB372" s="226">
        <v>12.920000000000002</v>
      </c>
      <c r="AC372" s="226">
        <v>47.12</v>
      </c>
      <c r="AD372" s="227" t="s">
        <v>2655</v>
      </c>
      <c r="AE372" s="226">
        <v>7.6549531789058696</v>
      </c>
      <c r="AF372">
        <f>IF('WetLitterbags placem_collection'!AB153="","",'WetLitterbags placem_collection'!AB153)</f>
        <v>1.4</v>
      </c>
      <c r="AG372">
        <f>IF('WetLitterbags placem_collection'!Z153="","",'WetLitterbags placem_collection'!Z153)</f>
        <v>7.9</v>
      </c>
      <c r="AH372" s="236" t="str">
        <f>IF('WetLitterbags placem_collection'!AA153="","",'WetLitterbags placem_collection'!AA153)</f>
        <v>O</v>
      </c>
      <c r="AI372">
        <f>IF('WetLitterbags placem_collection'!AC153="","",'WetLitterbags placem_collection'!AC153)</f>
        <v>1</v>
      </c>
      <c r="AJ372" s="233">
        <f>AVERAGE('WetLitterbags placem_collection'!S153,'WetLitterbags placem_collection'!U153)</f>
        <v>26.049999999999997</v>
      </c>
      <c r="AK372">
        <f>AVERAGE('WetLitterbags placem_collection'!R153,'WetLitterbags placem_collection'!T153)</f>
        <v>26.5</v>
      </c>
      <c r="AL372">
        <f>INDEX([2]Coordinates!$B$2:$B$197,MATCH(I372,[2]Coordinates!$J$2:$J$197,0))</f>
        <v>-2.3673460070000001</v>
      </c>
      <c r="AM372">
        <f>INDEX([2]Coordinates!$C$2:$C$197,MATCH(I372,[2]Coordinates!$J$2:$J$197,0))</f>
        <v>34.060310039999997</v>
      </c>
      <c r="AN372" t="str">
        <f>IF(ISNUMBER(SEARCH("C", 'WetLitterbags placem_collection'!$W153)),"YES","NO")</f>
        <v>NO</v>
      </c>
      <c r="AO372" t="str">
        <f>IF(ISNUMBER(SEARCH("H", 'WetLitterbags placem_collection'!$W153)),"YES","NO")</f>
        <v>NO</v>
      </c>
      <c r="AP372" t="str">
        <f>IF(ISNUMBER(SEARCH("R", 'WetLitterbags placem_collection'!$W153)),"YES","NO")</f>
        <v>NO</v>
      </c>
    </row>
    <row r="373" spans="1:42" ht="15" customHeight="1">
      <c r="A373" t="s">
        <v>3248</v>
      </c>
      <c r="B373" s="248" t="s">
        <v>2454</v>
      </c>
      <c r="C373" s="253">
        <f>'Dry_Litterbag Placem_Collection'!A154</f>
        <v>152</v>
      </c>
      <c r="D373" s="253" t="str">
        <f>'Dry_Litterbag Placem_Collection'!B154</f>
        <v xml:space="preserve">Mwantimba
</v>
      </c>
      <c r="E373" s="253" t="s">
        <v>2454</v>
      </c>
      <c r="F373" s="253" t="s">
        <v>20</v>
      </c>
      <c r="G373" s="253">
        <v>3</v>
      </c>
      <c r="H373" s="253" t="s">
        <v>3124</v>
      </c>
      <c r="I373" s="254" t="str">
        <f>'Dry_Litterbag Placem_Collection'!C154</f>
        <v>Wet_P3_T8</v>
      </c>
      <c r="J373" s="255" t="s">
        <v>2525</v>
      </c>
      <c r="K373" s="262" t="s">
        <v>298</v>
      </c>
      <c r="L373" s="221" t="str">
        <f>'WetLitterbags placem_collection'!M154</f>
        <v>R591</v>
      </c>
      <c r="M373" s="223">
        <f>IFERROR(INDEX('Green_rooibos initial weight'!$C$5:$C$2000,MATCH(L373, 'Green_rooibos initial weight'!$A$5:$A$2000,0)),"")</f>
        <v>2.2599999999999998</v>
      </c>
      <c r="N373" s="223">
        <f>IFERROR(M373-(TBIcalc!$H$9+TBIcalc!$H$10),"")</f>
        <v>2.0101999999999998</v>
      </c>
      <c r="O373" s="378">
        <f>AVERAGE(Ashed_controlls!$K$2:$K$11)</f>
        <v>5.5147656768714146</v>
      </c>
      <c r="P373" s="223">
        <f t="shared" si="26"/>
        <v>1.8993421803635306</v>
      </c>
      <c r="Q373" s="223">
        <f>IFERROR(INDEX('Both teabags AfterWet'!$C$3:$C$840,MATCH(L373,'Both teabags AfterWet'!$A$3:$A$840,0)),"")</f>
        <v>1.6958</v>
      </c>
      <c r="R373" s="223">
        <f>IFERROR(IF(Q373&gt;0,Q373-(TBIcalc!$H$9),""),"")</f>
        <v>1.5451999999999999</v>
      </c>
      <c r="S373" s="223">
        <f>IFERROR(INDEX('Ashed teabags wet'!$K$2:$K$2000,MATCH(L373,'Ashed teabags wet'!$A$2:$A$2000,0)),"")</f>
        <v>6.0969755160831145</v>
      </c>
      <c r="T373" s="223">
        <f t="shared" si="27"/>
        <v>1.4509895343254837</v>
      </c>
      <c r="U373" s="224">
        <f>'WetLitterbags placem_collection'!E154</f>
        <v>42762</v>
      </c>
      <c r="V373" s="224">
        <f>IF('WetLitterbags placem_collection'!G154="","",'WetLitterbags placem_collection'!G154)</f>
        <v>42816</v>
      </c>
      <c r="W373" s="225">
        <f t="shared" si="25"/>
        <v>54</v>
      </c>
      <c r="X373" s="223">
        <f t="shared" si="28"/>
        <v>0.46499999999999986</v>
      </c>
      <c r="Y373" s="223">
        <f t="shared" si="29"/>
        <v>0.44835264603804692</v>
      </c>
      <c r="Z373">
        <f>IFERROR(INDEX([1]Rainfall_Wet!$O$2:$O$217,MATCH(C373, [1]Rainfall_Wet!$A$2:$A$217,0)),"")</f>
        <v>206.85140822299999</v>
      </c>
      <c r="AA373" s="226">
        <v>39.96</v>
      </c>
      <c r="AB373" s="226">
        <v>12.920000000000002</v>
      </c>
      <c r="AC373" s="226">
        <v>47.12</v>
      </c>
      <c r="AD373" s="227" t="s">
        <v>2655</v>
      </c>
      <c r="AE373" s="226">
        <v>8.6549531789058705</v>
      </c>
      <c r="AF373">
        <f>IF('WetLitterbags placem_collection'!AB154="","",'WetLitterbags placem_collection'!AB154)</f>
        <v>2.2000000000000002</v>
      </c>
      <c r="AG373">
        <f>IF('WetLitterbags placem_collection'!Z154="","",'WetLitterbags placem_collection'!Z154)</f>
        <v>15</v>
      </c>
      <c r="AH373" s="236" t="str">
        <f>IF('WetLitterbags placem_collection'!AA154="","",'WetLitterbags placem_collection'!AA154)</f>
        <v>M</v>
      </c>
      <c r="AI373">
        <f>IF('WetLitterbags placem_collection'!AC154="","",'WetLitterbags placem_collection'!AC154)</f>
        <v>0</v>
      </c>
      <c r="AJ373" s="233">
        <f>AVERAGE('WetLitterbags placem_collection'!S154,'WetLitterbags placem_collection'!U154)</f>
        <v>18.8</v>
      </c>
      <c r="AK373">
        <f>AVERAGE('WetLitterbags placem_collection'!R154,'WetLitterbags placem_collection'!T154)</f>
        <v>23.7</v>
      </c>
      <c r="AL373">
        <f>INDEX([2]Coordinates!$B$2:$B$197,MATCH(I373,[2]Coordinates!$J$2:$J$197,0))</f>
        <v>-2.367543988</v>
      </c>
      <c r="AM373">
        <f>INDEX([2]Coordinates!$C$2:$C$197,MATCH(I373,[2]Coordinates!$J$2:$J$197,0))</f>
        <v>34.060168969999999</v>
      </c>
      <c r="AN373" t="str">
        <f>IF(ISNUMBER(SEARCH("C", 'WetLitterbags placem_collection'!$W154)),"YES","NO")</f>
        <v>NO</v>
      </c>
      <c r="AO373" t="str">
        <f>IF(ISNUMBER(SEARCH("H", 'WetLitterbags placem_collection'!$W154)),"YES","NO")</f>
        <v>NO</v>
      </c>
      <c r="AP373" t="str">
        <f>IF(ISNUMBER(SEARCH("R", 'WetLitterbags placem_collection'!$W154)),"YES","NO")</f>
        <v>YES</v>
      </c>
    </row>
    <row r="374" spans="1:42" ht="15" customHeight="1">
      <c r="A374" t="s">
        <v>3248</v>
      </c>
      <c r="B374" s="248" t="s">
        <v>2454</v>
      </c>
      <c r="C374" s="253">
        <f>'Dry_Litterbag Placem_Collection'!A155</f>
        <v>153</v>
      </c>
      <c r="D374" s="253" t="str">
        <f>'Dry_Litterbag Placem_Collection'!B155</f>
        <v xml:space="preserve">Mwantimba
</v>
      </c>
      <c r="E374" s="253" t="s">
        <v>2454</v>
      </c>
      <c r="F374" s="253" t="s">
        <v>20</v>
      </c>
      <c r="G374" s="253">
        <v>4</v>
      </c>
      <c r="H374" s="253" t="s">
        <v>3125</v>
      </c>
      <c r="I374" s="254" t="str">
        <f>'Dry_Litterbag Placem_Collection'!C155</f>
        <v>Wet_P4_T1</v>
      </c>
      <c r="J374" s="255" t="s">
        <v>2525</v>
      </c>
      <c r="K374" s="262" t="s">
        <v>298</v>
      </c>
      <c r="L374" s="221" t="str">
        <f>'WetLitterbags placem_collection'!M155</f>
        <v>R479</v>
      </c>
      <c r="M374" s="223">
        <f>IFERROR(INDEX('Green_rooibos initial weight'!$C$5:$C$2000,MATCH(L374, 'Green_rooibos initial weight'!$A$5:$A$2000,0)),"")</f>
        <v>2.2749999999999999</v>
      </c>
      <c r="N374" s="223">
        <f>IFERROR(M374-(TBIcalc!$H$9+TBIcalc!$H$10),"")</f>
        <v>2.0251999999999999</v>
      </c>
      <c r="O374" s="378">
        <f>AVERAGE(Ashed_controlls!$K$2:$K$11)</f>
        <v>5.5147656768714146</v>
      </c>
      <c r="P374" s="223">
        <f t="shared" si="26"/>
        <v>1.9135149655120001</v>
      </c>
      <c r="Q374" s="223">
        <f>IFERROR(INDEX('Both teabags AfterWet'!$C$3:$C$840,MATCH(L374,'Both teabags AfterWet'!$A$3:$A$840,0)),"")</f>
        <v>1.2541</v>
      </c>
      <c r="R374" s="223">
        <f>IFERROR(IF(Q374&gt;0,Q374-(TBIcalc!$H$9),""),"")</f>
        <v>1.1034999999999999</v>
      </c>
      <c r="S374" s="223">
        <f>IFERROR(INDEX('Ashed teabags wet'!$K$2:$K$2000,MATCH(L374,'Ashed teabags wet'!$A$2:$A$2000,0)),"")</f>
        <v>77.007481296757646</v>
      </c>
      <c r="T374" s="223">
        <f t="shared" si="27"/>
        <v>0.25372244389027931</v>
      </c>
      <c r="U374" s="224">
        <f>'WetLitterbags placem_collection'!E155</f>
        <v>42762</v>
      </c>
      <c r="V374" s="224">
        <f>IF('WetLitterbags placem_collection'!G155="","",'WetLitterbags placem_collection'!G155)</f>
        <v>42816</v>
      </c>
      <c r="W374" s="225">
        <f t="shared" si="25"/>
        <v>54</v>
      </c>
      <c r="X374" s="223">
        <f t="shared" si="28"/>
        <v>0.92169999999999996</v>
      </c>
      <c r="Y374" s="223">
        <f t="shared" si="29"/>
        <v>1.6597925216217209</v>
      </c>
      <c r="Z374">
        <f>IFERROR(INDEX([1]Rainfall_Wet!$O$2:$O$217,MATCH(C374, [1]Rainfall_Wet!$A$2:$A$217,0)),"")</f>
        <v>206.85140822299999</v>
      </c>
      <c r="AA374" s="226">
        <v>27.96</v>
      </c>
      <c r="AB374" s="226">
        <v>4.9200000000000017</v>
      </c>
      <c r="AC374" s="226">
        <v>67.12</v>
      </c>
      <c r="AD374" s="227" t="s">
        <v>2651</v>
      </c>
      <c r="AE374" s="226">
        <v>1.0437161163134547</v>
      </c>
      <c r="AF374">
        <f>IF('WetLitterbags placem_collection'!AB155="","",'WetLitterbags placem_collection'!AB155)</f>
        <v>2.1</v>
      </c>
      <c r="AG374">
        <f>IF('WetLitterbags placem_collection'!Z155="","",'WetLitterbags placem_collection'!Z155)</f>
        <v>16.399999999999999</v>
      </c>
      <c r="AH374" s="236" t="str">
        <f>IF('WetLitterbags placem_collection'!AA155="","",'WetLitterbags placem_collection'!AA155)</f>
        <v>G</v>
      </c>
      <c r="AI374">
        <f>IF('WetLitterbags placem_collection'!AC155="","",'WetLitterbags placem_collection'!AC155)</f>
        <v>0</v>
      </c>
      <c r="AJ374" s="233">
        <f>AVERAGE('WetLitterbags placem_collection'!S155,'WetLitterbags placem_collection'!U155)</f>
        <v>21.35</v>
      </c>
      <c r="AK374">
        <f>AVERAGE('WetLitterbags placem_collection'!R155,'WetLitterbags placem_collection'!T155)</f>
        <v>26.700000000000003</v>
      </c>
      <c r="AL374">
        <f>INDEX([2]Coordinates!$B$2:$B$197,MATCH(I374,[2]Coordinates!$J$2:$J$197,0))</f>
        <v>-2.3676780150000001</v>
      </c>
      <c r="AM374">
        <f>INDEX([2]Coordinates!$C$2:$C$197,MATCH(I374,[2]Coordinates!$J$2:$J$197,0))</f>
        <v>34.05937797</v>
      </c>
      <c r="AN374" t="str">
        <f>IF(ISNUMBER(SEARCH("C", 'WetLitterbags placem_collection'!$W155)),"YES","NO")</f>
        <v>NO</v>
      </c>
      <c r="AO374" t="str">
        <f>IF(ISNUMBER(SEARCH("H", 'WetLitterbags placem_collection'!$W155)),"YES","NO")</f>
        <v>YES</v>
      </c>
      <c r="AP374" t="str">
        <f>IF(ISNUMBER(SEARCH("R", 'WetLitterbags placem_collection'!$W155)),"YES","NO")</f>
        <v>YES</v>
      </c>
    </row>
    <row r="375" spans="1:42" ht="15" customHeight="1">
      <c r="A375" t="s">
        <v>3248</v>
      </c>
      <c r="B375" s="248" t="s">
        <v>2454</v>
      </c>
      <c r="C375" s="253">
        <f>'Dry_Litterbag Placem_Collection'!A156</f>
        <v>154</v>
      </c>
      <c r="D375" s="253" t="str">
        <f>'Dry_Litterbag Placem_Collection'!B156</f>
        <v xml:space="preserve">Mwantimba
</v>
      </c>
      <c r="E375" s="253" t="s">
        <v>2454</v>
      </c>
      <c r="F375" s="253" t="s">
        <v>20</v>
      </c>
      <c r="G375" s="253">
        <v>4</v>
      </c>
      <c r="H375" s="253" t="s">
        <v>3125</v>
      </c>
      <c r="I375" s="254" t="str">
        <f>'Dry_Litterbag Placem_Collection'!C156</f>
        <v>Wet_P4_T2</v>
      </c>
      <c r="J375" s="255" t="s">
        <v>2525</v>
      </c>
      <c r="K375" s="262" t="s">
        <v>298</v>
      </c>
      <c r="L375" s="221" t="str">
        <f>'WetLitterbags placem_collection'!M156</f>
        <v>R493</v>
      </c>
      <c r="M375" s="223">
        <f>IFERROR(INDEX('Green_rooibos initial weight'!$C$5:$C$2000,MATCH(L375, 'Green_rooibos initial weight'!$A$5:$A$2000,0)),"")</f>
        <v>2.2410000000000001</v>
      </c>
      <c r="N375" s="223">
        <f>IFERROR(M375-(TBIcalc!$H$9+TBIcalc!$H$10),"")</f>
        <v>1.9912000000000001</v>
      </c>
      <c r="O375" s="378">
        <f>AVERAGE(Ashed_controlls!$K$2:$K$11)</f>
        <v>5.5147656768714146</v>
      </c>
      <c r="P375" s="223">
        <f t="shared" si="26"/>
        <v>1.8813899858421366</v>
      </c>
      <c r="Q375" s="223">
        <f>IFERROR(INDEX('Both teabags AfterWet'!$C$3:$C$840,MATCH(L375,'Both teabags AfterWet'!$A$3:$A$840,0)),"")</f>
        <v>0.69099999999999995</v>
      </c>
      <c r="R375" s="223">
        <f>IFERROR(IF(Q375&gt;0,Q375-(TBIcalc!$H$9),""),"")</f>
        <v>0.54039999999999999</v>
      </c>
      <c r="S375" s="223">
        <f>IFERROR(INDEX('Ashed teabags wet'!$K$2:$K$2000,MATCH(L375,'Ashed teabags wet'!$A$2:$A$2000,0)),"")</f>
        <v>0</v>
      </c>
      <c r="T375" s="223">
        <f t="shared" si="27"/>
        <v>0.54039999999999999</v>
      </c>
      <c r="U375" s="224">
        <f>'WetLitterbags placem_collection'!E156</f>
        <v>42762</v>
      </c>
      <c r="V375" s="224">
        <f>IF('WetLitterbags placem_collection'!G156="","",'WetLitterbags placem_collection'!G156)</f>
        <v>42816</v>
      </c>
      <c r="W375" s="225">
        <f t="shared" si="25"/>
        <v>54</v>
      </c>
      <c r="X375" s="223">
        <f t="shared" si="28"/>
        <v>1.4508000000000001</v>
      </c>
      <c r="Y375" s="223">
        <f t="shared" si="29"/>
        <v>1.3409899858421366</v>
      </c>
      <c r="Z375">
        <f>IFERROR(INDEX([1]Rainfall_Wet!$O$2:$O$217,MATCH(C375, [1]Rainfall_Wet!$A$2:$A$217,0)),"")</f>
        <v>206.85140822299999</v>
      </c>
      <c r="AA375" s="226">
        <v>27.96</v>
      </c>
      <c r="AB375" s="226">
        <v>4.9200000000000017</v>
      </c>
      <c r="AC375" s="226">
        <v>67.12</v>
      </c>
      <c r="AD375" s="227" t="s">
        <v>2651</v>
      </c>
      <c r="AE375" s="226">
        <v>2.0437161163134498</v>
      </c>
      <c r="AF375">
        <f>IF('WetLitterbags placem_collection'!AB156="","",'WetLitterbags placem_collection'!AB156)</f>
        <v>2.15</v>
      </c>
      <c r="AG375">
        <f>IF('WetLitterbags placem_collection'!Z156="","",'WetLitterbags placem_collection'!Z156)</f>
        <v>9</v>
      </c>
      <c r="AH375" s="236" t="str">
        <f>IF('WetLitterbags placem_collection'!AA156="","",'WetLitterbags placem_collection'!AA156)</f>
        <v>G</v>
      </c>
      <c r="AI375">
        <f>IF('WetLitterbags placem_collection'!AC156="","",'WetLitterbags placem_collection'!AC156)</f>
        <v>0</v>
      </c>
      <c r="AJ375" s="233">
        <f>AVERAGE('WetLitterbags placem_collection'!S156,'WetLitterbags placem_collection'!U156)</f>
        <v>23.5</v>
      </c>
      <c r="AK375">
        <f>AVERAGE('WetLitterbags placem_collection'!R156,'WetLitterbags placem_collection'!T156)</f>
        <v>25.7</v>
      </c>
      <c r="AL375">
        <f>INDEX([2]Coordinates!$B$2:$B$197,MATCH(I375,[2]Coordinates!$J$2:$J$197,0))</f>
        <v>-2.3677299820000002</v>
      </c>
      <c r="AM375">
        <f>INDEX([2]Coordinates!$C$2:$C$197,MATCH(I375,[2]Coordinates!$J$2:$J$197,0))</f>
        <v>34.059351990000003</v>
      </c>
      <c r="AN375" t="str">
        <f>IF(ISNUMBER(SEARCH("C", 'WetLitterbags placem_collection'!$W156)),"YES","NO")</f>
        <v>YES</v>
      </c>
      <c r="AO375" t="str">
        <f>IF(ISNUMBER(SEARCH("H", 'WetLitterbags placem_collection'!$W156)),"YES","NO")</f>
        <v>YES</v>
      </c>
      <c r="AP375" t="str">
        <f>IF(ISNUMBER(SEARCH("R", 'WetLitterbags placem_collection'!$W156)),"YES","NO")</f>
        <v>NO</v>
      </c>
    </row>
    <row r="376" spans="1:42" ht="15" customHeight="1">
      <c r="A376" t="s">
        <v>3248</v>
      </c>
      <c r="B376" s="248" t="s">
        <v>2454</v>
      </c>
      <c r="C376" s="253">
        <f>'Dry_Litterbag Placem_Collection'!A157</f>
        <v>155</v>
      </c>
      <c r="D376" s="253" t="str">
        <f>'Dry_Litterbag Placem_Collection'!B157</f>
        <v xml:space="preserve">Mwantimba
</v>
      </c>
      <c r="E376" s="253" t="s">
        <v>2454</v>
      </c>
      <c r="F376" s="253" t="s">
        <v>20</v>
      </c>
      <c r="G376" s="253">
        <v>4</v>
      </c>
      <c r="H376" s="253" t="s">
        <v>3125</v>
      </c>
      <c r="I376" s="254" t="str">
        <f>'Dry_Litterbag Placem_Collection'!C157</f>
        <v>Wet_P4_T3</v>
      </c>
      <c r="J376" s="255" t="s">
        <v>2525</v>
      </c>
      <c r="K376" s="262" t="s">
        <v>298</v>
      </c>
      <c r="L376" s="221" t="str">
        <f>'WetLitterbags placem_collection'!M157</f>
        <v>R484</v>
      </c>
      <c r="M376" s="223">
        <f>IFERROR(INDEX('Green_rooibos initial weight'!$C$5:$C$2000,MATCH(L376, 'Green_rooibos initial weight'!$A$5:$A$2000,0)),"")</f>
        <v>2.1850000000000001</v>
      </c>
      <c r="N376" s="223">
        <f>IFERROR(M376-(TBIcalc!$H$9+TBIcalc!$H$10),"")</f>
        <v>1.9352</v>
      </c>
      <c r="O376" s="378">
        <f>AVERAGE(Ashed_controlls!$K$2:$K$11)</f>
        <v>5.5147656768714146</v>
      </c>
      <c r="P376" s="223">
        <f t="shared" si="26"/>
        <v>1.8284782546211844</v>
      </c>
      <c r="Q376" s="223">
        <f>IFERROR(INDEX('Both teabags AfterWet'!$C$3:$C$840,MATCH(L376,'Both teabags AfterWet'!$A$3:$A$840,0)),"")</f>
        <v>1.7509999999999999</v>
      </c>
      <c r="R376" s="223">
        <f>IFERROR(IF(Q376&gt;0,Q376-(TBIcalc!$H$9),""),"")</f>
        <v>1.6003999999999998</v>
      </c>
      <c r="S376" s="223">
        <f>IFERROR(INDEX('Ashed teabags wet'!$K$2:$K$2000,MATCH(L376,'Ashed teabags wet'!$A$2:$A$2000,0)),"")</f>
        <v>9.822309970384735</v>
      </c>
      <c r="T376" s="223">
        <f t="shared" si="27"/>
        <v>1.4432037512339626</v>
      </c>
      <c r="U376" s="224">
        <f>'WetLitterbags placem_collection'!E157</f>
        <v>42762</v>
      </c>
      <c r="V376" s="224">
        <f>IF('WetLitterbags placem_collection'!G157="","",'WetLitterbags placem_collection'!G157)</f>
        <v>42816</v>
      </c>
      <c r="W376" s="225">
        <f t="shared" si="25"/>
        <v>54</v>
      </c>
      <c r="X376" s="223">
        <f t="shared" si="28"/>
        <v>0.33480000000000021</v>
      </c>
      <c r="Y376" s="223">
        <f t="shared" si="29"/>
        <v>0.3852745033872218</v>
      </c>
      <c r="Z376">
        <f>IFERROR(INDEX([1]Rainfall_Wet!$O$2:$O$217,MATCH(C376, [1]Rainfall_Wet!$A$2:$A$217,0)),"")</f>
        <v>206.85140822299999</v>
      </c>
      <c r="AA376" s="226">
        <v>27.96</v>
      </c>
      <c r="AB376" s="226">
        <v>4.9200000000000017</v>
      </c>
      <c r="AC376" s="226">
        <v>67.12</v>
      </c>
      <c r="AD376" s="227" t="s">
        <v>2651</v>
      </c>
      <c r="AE376" s="226">
        <v>3.0437161163134498</v>
      </c>
      <c r="AF376">
        <f>IF('WetLitterbags placem_collection'!AB157="","",'WetLitterbags placem_collection'!AB157)</f>
        <v>1.2</v>
      </c>
      <c r="AG376">
        <f>IF('WetLitterbags placem_collection'!Z157="","",'WetLitterbags placem_collection'!Z157)</f>
        <v>11</v>
      </c>
      <c r="AH376" s="236" t="str">
        <f>IF('WetLitterbags placem_collection'!AA157="","",'WetLitterbags placem_collection'!AA157)</f>
        <v>G</v>
      </c>
      <c r="AI376">
        <f>IF('WetLitterbags placem_collection'!AC157="","",'WetLitterbags placem_collection'!AC157)</f>
        <v>0</v>
      </c>
      <c r="AJ376" s="233">
        <f>AVERAGE('WetLitterbags placem_collection'!S157,'WetLitterbags placem_collection'!U157)</f>
        <v>23.75</v>
      </c>
      <c r="AK376">
        <f>AVERAGE('WetLitterbags placem_collection'!R157,'WetLitterbags placem_collection'!T157)</f>
        <v>26.799999999999997</v>
      </c>
      <c r="AL376">
        <f>INDEX([2]Coordinates!$B$2:$B$197,MATCH(I376,[2]Coordinates!$J$2:$J$197,0))</f>
        <v>-2.3677119609999999</v>
      </c>
      <c r="AM376">
        <f>INDEX([2]Coordinates!$C$2:$C$197,MATCH(I376,[2]Coordinates!$J$2:$J$197,0))</f>
        <v>34.059339000000001</v>
      </c>
      <c r="AN376" t="str">
        <f>IF(ISNUMBER(SEARCH("C", 'WetLitterbags placem_collection'!$W157)),"YES","NO")</f>
        <v>NO</v>
      </c>
      <c r="AO376" t="str">
        <f>IF(ISNUMBER(SEARCH("H", 'WetLitterbags placem_collection'!$W157)),"YES","NO")</f>
        <v>NO</v>
      </c>
      <c r="AP376" t="str">
        <f>IF(ISNUMBER(SEARCH("R", 'WetLitterbags placem_collection'!$W157)),"YES","NO")</f>
        <v>YES</v>
      </c>
    </row>
    <row r="377" spans="1:42" ht="15" customHeight="1">
      <c r="A377" t="s">
        <v>3248</v>
      </c>
      <c r="B377" s="248" t="s">
        <v>2454</v>
      </c>
      <c r="C377" s="253">
        <f>'Dry_Litterbag Placem_Collection'!A158</f>
        <v>156</v>
      </c>
      <c r="D377" s="253" t="str">
        <f>'Dry_Litterbag Placem_Collection'!B158</f>
        <v xml:space="preserve">Mwantimba
</v>
      </c>
      <c r="E377" s="253" t="s">
        <v>2454</v>
      </c>
      <c r="F377" s="253" t="s">
        <v>20</v>
      </c>
      <c r="G377" s="253">
        <v>4</v>
      </c>
      <c r="H377" s="253" t="s">
        <v>3125</v>
      </c>
      <c r="I377" s="254" t="str">
        <f>'Dry_Litterbag Placem_Collection'!C158</f>
        <v>Wet_P4_T4</v>
      </c>
      <c r="J377" s="255" t="s">
        <v>2525</v>
      </c>
      <c r="K377" s="262" t="s">
        <v>298</v>
      </c>
      <c r="L377" s="221" t="str">
        <f>'WetLitterbags placem_collection'!M158</f>
        <v>R598</v>
      </c>
      <c r="M377" s="223">
        <f>IFERROR(INDEX('Green_rooibos initial weight'!$C$5:$C$2000,MATCH(L377, 'Green_rooibos initial weight'!$A$5:$A$2000,0)),"")</f>
        <v>2.206</v>
      </c>
      <c r="N377" s="223">
        <f>IFERROR(M377-(TBIcalc!$H$9+TBIcalc!$H$10),"")</f>
        <v>1.9561999999999999</v>
      </c>
      <c r="O377" s="378">
        <f>AVERAGE(Ashed_controlls!$K$2:$K$11)</f>
        <v>5.5147656768714146</v>
      </c>
      <c r="P377" s="223">
        <f t="shared" si="26"/>
        <v>1.8483201538290412</v>
      </c>
      <c r="Q377" s="223">
        <f>IFERROR(INDEX('Both teabags AfterWet'!$C$3:$C$840,MATCH(L377,'Both teabags AfterWet'!$A$3:$A$840,0)),"")</f>
        <v>1.8080000000000001</v>
      </c>
      <c r="R377" s="223">
        <f>IFERROR(IF(Q377&gt;0,Q377-(TBIcalc!$H$9),""),"")</f>
        <v>1.6574</v>
      </c>
      <c r="S377" s="223">
        <f>IFERROR(INDEX('Ashed teabags wet'!$K$2:$K$2000,MATCH(L377,'Ashed teabags wet'!$A$2:$A$2000,0)),"")</f>
        <v>7.6581027667986037</v>
      </c>
      <c r="T377" s="223">
        <f t="shared" si="27"/>
        <v>1.5304746047430799</v>
      </c>
      <c r="U377" s="224">
        <f>'WetLitterbags placem_collection'!E158</f>
        <v>42762</v>
      </c>
      <c r="V377" s="224">
        <f>IF('WetLitterbags placem_collection'!G158="","",'WetLitterbags placem_collection'!G158)</f>
        <v>42816</v>
      </c>
      <c r="W377" s="225">
        <f t="shared" si="25"/>
        <v>54</v>
      </c>
      <c r="X377" s="223">
        <f t="shared" si="28"/>
        <v>0.29879999999999995</v>
      </c>
      <c r="Y377" s="223">
        <f t="shared" si="29"/>
        <v>0.3178455490859613</v>
      </c>
      <c r="Z377">
        <f>IFERROR(INDEX([1]Rainfall_Wet!$O$2:$O$217,MATCH(C377, [1]Rainfall_Wet!$A$2:$A$217,0)),"")</f>
        <v>206.85140822299999</v>
      </c>
      <c r="AA377" s="226">
        <v>27.96</v>
      </c>
      <c r="AB377" s="226">
        <v>4.9200000000000017</v>
      </c>
      <c r="AC377" s="226">
        <v>67.12</v>
      </c>
      <c r="AD377" s="227" t="s">
        <v>2651</v>
      </c>
      <c r="AE377" s="226">
        <v>4.0437161163134503</v>
      </c>
      <c r="AF377">
        <f>IF('WetLitterbags placem_collection'!AB158="","",'WetLitterbags placem_collection'!AB158)</f>
        <v>1.55</v>
      </c>
      <c r="AG377">
        <f>IF('WetLitterbags placem_collection'!Z158="","",'WetLitterbags placem_collection'!Z158)</f>
        <v>9.1</v>
      </c>
      <c r="AH377" s="236" t="str">
        <f>IF('WetLitterbags placem_collection'!AA158="","",'WetLitterbags placem_collection'!AA158)</f>
        <v>O</v>
      </c>
      <c r="AI377">
        <f>IF('WetLitterbags placem_collection'!AC158="","",'WetLitterbags placem_collection'!AC158)</f>
        <v>0</v>
      </c>
      <c r="AJ377" s="233">
        <f>AVERAGE('WetLitterbags placem_collection'!S158,'WetLitterbags placem_collection'!U158)</f>
        <v>21.700000000000003</v>
      </c>
      <c r="AK377">
        <f>AVERAGE('WetLitterbags placem_collection'!R158,'WetLitterbags placem_collection'!T158)</f>
        <v>26.95</v>
      </c>
      <c r="AL377">
        <f>INDEX([2]Coordinates!$B$2:$B$197,MATCH(I377,[2]Coordinates!$J$2:$J$197,0))</f>
        <v>-2.3676950300000001</v>
      </c>
      <c r="AM377">
        <f>INDEX([2]Coordinates!$C$2:$C$197,MATCH(I377,[2]Coordinates!$J$2:$J$197,0))</f>
        <v>34.059499010000003</v>
      </c>
      <c r="AN377" t="str">
        <f>IF(ISNUMBER(SEARCH("C", 'WetLitterbags placem_collection'!$W158)),"YES","NO")</f>
        <v>NO</v>
      </c>
      <c r="AO377" t="str">
        <f>IF(ISNUMBER(SEARCH("H", 'WetLitterbags placem_collection'!$W158)),"YES","NO")</f>
        <v>NO</v>
      </c>
      <c r="AP377" t="str">
        <f>IF(ISNUMBER(SEARCH("R", 'WetLitterbags placem_collection'!$W158)),"YES","NO")</f>
        <v>YES</v>
      </c>
    </row>
    <row r="378" spans="1:42" ht="15" customHeight="1">
      <c r="A378" t="s">
        <v>3248</v>
      </c>
      <c r="B378" s="248" t="s">
        <v>2454</v>
      </c>
      <c r="C378" s="253">
        <f>'Dry_Litterbag Placem_Collection'!A159</f>
        <v>157</v>
      </c>
      <c r="D378" s="253" t="str">
        <f>'Dry_Litterbag Placem_Collection'!B159</f>
        <v xml:space="preserve">Mwantimba
</v>
      </c>
      <c r="E378" s="253" t="s">
        <v>2454</v>
      </c>
      <c r="F378" s="253" t="s">
        <v>20</v>
      </c>
      <c r="G378" s="253">
        <v>4</v>
      </c>
      <c r="H378" s="253" t="s">
        <v>3125</v>
      </c>
      <c r="I378" s="254" t="str">
        <f>'Dry_Litterbag Placem_Collection'!C159</f>
        <v>Wet_P4_T5</v>
      </c>
      <c r="J378" s="255" t="s">
        <v>2525</v>
      </c>
      <c r="K378" s="262" t="s">
        <v>298</v>
      </c>
      <c r="L378" s="221" t="str">
        <f>'WetLitterbags placem_collection'!M159</f>
        <v>R30</v>
      </c>
      <c r="M378" s="223">
        <f>IFERROR(INDEX('Green_rooibos initial weight'!$C$5:$C$2000,MATCH(L378, 'Green_rooibos initial weight'!$A$5:$A$2000,0)),"")</f>
        <v>2.177</v>
      </c>
      <c r="N378" s="223">
        <f>IFERROR(M378-(TBIcalc!$H$9+TBIcalc!$H$10),"")</f>
        <v>1.9272</v>
      </c>
      <c r="O378" s="378">
        <f>AVERAGE(Ashed_controlls!$K$2:$K$11)</f>
        <v>5.5147656768714146</v>
      </c>
      <c r="P378" s="223">
        <f t="shared" si="26"/>
        <v>1.8209194358753342</v>
      </c>
      <c r="Q378" s="223">
        <f>IFERROR(INDEX('Both teabags AfterWet'!$C$3:$C$840,MATCH(L378,'Both teabags AfterWet'!$A$3:$A$840,0)),"")</f>
        <v>1.825</v>
      </c>
      <c r="R378" s="223">
        <f>IFERROR(IF(Q378&gt;0,Q378-(TBIcalc!$H$9),""),"")</f>
        <v>1.6743999999999999</v>
      </c>
      <c r="S378" s="223">
        <f>IFERROR(INDEX('Ashed teabags wet'!$K$2:$K$2000,MATCH(L378,'Ashed teabags wet'!$A$2:$A$2000,0)),"")</f>
        <v>8.6618004866182261</v>
      </c>
      <c r="T378" s="223">
        <f t="shared" si="27"/>
        <v>1.5293668126520643</v>
      </c>
      <c r="U378" s="224">
        <f>'WetLitterbags placem_collection'!E159</f>
        <v>42762</v>
      </c>
      <c r="V378" s="224">
        <f>IF('WetLitterbags placem_collection'!G159="","",'WetLitterbags placem_collection'!G159)</f>
        <v>42816</v>
      </c>
      <c r="W378" s="225">
        <f t="shared" si="25"/>
        <v>54</v>
      </c>
      <c r="X378" s="223">
        <f t="shared" si="28"/>
        <v>0.25280000000000014</v>
      </c>
      <c r="Y378" s="223">
        <f t="shared" si="29"/>
        <v>0.29155262322326991</v>
      </c>
      <c r="Z378">
        <f>IFERROR(INDEX([1]Rainfall_Wet!$O$2:$O$217,MATCH(C378, [1]Rainfall_Wet!$A$2:$A$217,0)),"")</f>
        <v>206.85140822299999</v>
      </c>
      <c r="AA378" s="226">
        <v>27.96</v>
      </c>
      <c r="AB378" s="226">
        <v>4.9200000000000017</v>
      </c>
      <c r="AC378" s="226">
        <v>67.12</v>
      </c>
      <c r="AD378" s="227" t="s">
        <v>2651</v>
      </c>
      <c r="AE378" s="226">
        <v>5.0437161163134503</v>
      </c>
      <c r="AF378">
        <f>IF('WetLitterbags placem_collection'!AB159="","",'WetLitterbags placem_collection'!AB159)</f>
        <v>2.2999999999999998</v>
      </c>
      <c r="AG378">
        <f>IF('WetLitterbags placem_collection'!Z159="","",'WetLitterbags placem_collection'!Z159)</f>
        <v>7.7</v>
      </c>
      <c r="AH378" s="236" t="str">
        <f>IF('WetLitterbags placem_collection'!AA159="","",'WetLitterbags placem_collection'!AA159)</f>
        <v>O</v>
      </c>
      <c r="AI378">
        <f>IF('WetLitterbags placem_collection'!AC159="","",'WetLitterbags placem_collection'!AC159)</f>
        <v>0</v>
      </c>
      <c r="AJ378" s="233">
        <f>AVERAGE('WetLitterbags placem_collection'!S159,'WetLitterbags placem_collection'!U159)</f>
        <v>22.6</v>
      </c>
      <c r="AK378">
        <f>AVERAGE('WetLitterbags placem_collection'!R159,'WetLitterbags placem_collection'!T159)</f>
        <v>29.2</v>
      </c>
      <c r="AL378">
        <f>INDEX([2]Coordinates!$B$2:$B$197,MATCH(I378,[2]Coordinates!$J$2:$J$197,0))</f>
        <v>-2.3678019830000001</v>
      </c>
      <c r="AM378">
        <f>INDEX([2]Coordinates!$C$2:$C$197,MATCH(I378,[2]Coordinates!$J$2:$J$197,0))</f>
        <v>34.059521969999999</v>
      </c>
      <c r="AN378" t="str">
        <f>IF(ISNUMBER(SEARCH("C", 'WetLitterbags placem_collection'!$W159)),"YES","NO")</f>
        <v>YES</v>
      </c>
      <c r="AO378" t="str">
        <f>IF(ISNUMBER(SEARCH("H", 'WetLitterbags placem_collection'!$W159)),"YES","NO")</f>
        <v>NO</v>
      </c>
      <c r="AP378" t="str">
        <f>IF(ISNUMBER(SEARCH("R", 'WetLitterbags placem_collection'!$W159)),"YES","NO")</f>
        <v>YES</v>
      </c>
    </row>
    <row r="379" spans="1:42" ht="15" customHeight="1">
      <c r="A379" t="s">
        <v>3248</v>
      </c>
      <c r="B379" s="248" t="s">
        <v>2454</v>
      </c>
      <c r="C379" s="253">
        <f>'Dry_Litterbag Placem_Collection'!A160</f>
        <v>158</v>
      </c>
      <c r="D379" s="253" t="str">
        <f>'Dry_Litterbag Placem_Collection'!B160</f>
        <v xml:space="preserve">Mwantimba
</v>
      </c>
      <c r="E379" s="253" t="s">
        <v>2454</v>
      </c>
      <c r="F379" s="253" t="s">
        <v>20</v>
      </c>
      <c r="G379" s="253">
        <v>4</v>
      </c>
      <c r="H379" s="253" t="s">
        <v>3125</v>
      </c>
      <c r="I379" s="254" t="str">
        <f>'Dry_Litterbag Placem_Collection'!C160</f>
        <v>Wet_P4_T6</v>
      </c>
      <c r="J379" s="255" t="s">
        <v>2525</v>
      </c>
      <c r="K379" s="262" t="s">
        <v>298</v>
      </c>
      <c r="L379" s="221" t="str">
        <f>'WetLitterbags placem_collection'!M160</f>
        <v>R16</v>
      </c>
      <c r="M379" s="223">
        <f>IFERROR(INDEX('Green_rooibos initial weight'!$C$5:$C$2000,MATCH(L379, 'Green_rooibos initial weight'!$A$5:$A$2000,0)),"")</f>
        <v>2.2629999999999999</v>
      </c>
      <c r="N379" s="223">
        <f>IFERROR(M379-(TBIcalc!$H$9+TBIcalc!$H$10),"")</f>
        <v>2.0131999999999999</v>
      </c>
      <c r="O379" s="378">
        <f>AVERAGE(Ashed_controlls!$K$2:$K$11)</f>
        <v>5.5147656768714146</v>
      </c>
      <c r="P379" s="223">
        <f t="shared" si="26"/>
        <v>1.9021767373932246</v>
      </c>
      <c r="Q379" s="223">
        <f>IFERROR(INDEX('Both teabags AfterWet'!$C$3:$C$840,MATCH(L379,'Both teabags AfterWet'!$A$3:$A$840,0)),"")</f>
        <v>1.786</v>
      </c>
      <c r="R379" s="223">
        <f>IFERROR(IF(Q379&gt;0,Q379-(TBIcalc!$H$9),""),"")</f>
        <v>1.6354</v>
      </c>
      <c r="S379" s="223">
        <f>IFERROR(INDEX('Ashed teabags wet'!$K$2:$K$2000,MATCH(L379,'Ashed teabags wet'!$A$2:$A$2000,0)),"")</f>
        <v>4.8505634492893828</v>
      </c>
      <c r="T379" s="223">
        <f t="shared" si="27"/>
        <v>1.5560738853503213</v>
      </c>
      <c r="U379" s="224">
        <f>'WetLitterbags placem_collection'!E160</f>
        <v>42762</v>
      </c>
      <c r="V379" s="224">
        <f>IF('WetLitterbags placem_collection'!G160="","",'WetLitterbags placem_collection'!G160)</f>
        <v>42816</v>
      </c>
      <c r="W379" s="225">
        <f t="shared" si="25"/>
        <v>54</v>
      </c>
      <c r="X379" s="223">
        <f t="shared" si="28"/>
        <v>0.37779999999999991</v>
      </c>
      <c r="Y379" s="223">
        <f t="shared" si="29"/>
        <v>0.34610285204290325</v>
      </c>
      <c r="Z379">
        <f>IFERROR(INDEX([1]Rainfall_Wet!$O$2:$O$217,MATCH(C379, [1]Rainfall_Wet!$A$2:$A$217,0)),"")</f>
        <v>206.85140822299999</v>
      </c>
      <c r="AA379" s="226">
        <v>27.96</v>
      </c>
      <c r="AB379" s="226">
        <v>4.9200000000000017</v>
      </c>
      <c r="AC379" s="226">
        <v>67.12</v>
      </c>
      <c r="AD379" s="227" t="s">
        <v>2651</v>
      </c>
      <c r="AE379" s="226">
        <v>6.0437161163134503</v>
      </c>
      <c r="AF379">
        <f>IF('WetLitterbags placem_collection'!AB160="","",'WetLitterbags placem_collection'!AB160)</f>
        <v>1.9</v>
      </c>
      <c r="AG379">
        <f>IF('WetLitterbags placem_collection'!Z160="","",'WetLitterbags placem_collection'!Z160)</f>
        <v>4.3</v>
      </c>
      <c r="AH379" s="236" t="str">
        <f>IF('WetLitterbags placem_collection'!AA160="","",'WetLitterbags placem_collection'!AA160)</f>
        <v>O</v>
      </c>
      <c r="AI379">
        <f>IF('WetLitterbags placem_collection'!AC160="","",'WetLitterbags placem_collection'!AC160)</f>
        <v>0</v>
      </c>
      <c r="AJ379" s="233">
        <f>AVERAGE('WetLitterbags placem_collection'!S160,'WetLitterbags placem_collection'!U160)</f>
        <v>22.45</v>
      </c>
      <c r="AK379">
        <f>AVERAGE('WetLitterbags placem_collection'!R160,'WetLitterbags placem_collection'!T160)</f>
        <v>26.35</v>
      </c>
      <c r="AL379">
        <f>INDEX([2]Coordinates!$B$2:$B$197,MATCH(I379,[2]Coordinates!$J$2:$J$197,0))</f>
        <v>-2.3679270410000002</v>
      </c>
      <c r="AM379">
        <f>INDEX([2]Coordinates!$C$2:$C$197,MATCH(I379,[2]Coordinates!$J$2:$J$197,0))</f>
        <v>34.059300020000002</v>
      </c>
      <c r="AN379" t="str">
        <f>IF(ISNUMBER(SEARCH("C", 'WetLitterbags placem_collection'!$W160)),"YES","NO")</f>
        <v>NO</v>
      </c>
      <c r="AO379" t="str">
        <f>IF(ISNUMBER(SEARCH("H", 'WetLitterbags placem_collection'!$W160)),"YES","NO")</f>
        <v>NO</v>
      </c>
      <c r="AP379" t="str">
        <f>IF(ISNUMBER(SEARCH("R", 'WetLitterbags placem_collection'!$W160)),"YES","NO")</f>
        <v>YES</v>
      </c>
    </row>
    <row r="380" spans="1:42" ht="15" customHeight="1">
      <c r="A380" t="s">
        <v>3248</v>
      </c>
      <c r="B380" s="248" t="s">
        <v>2454</v>
      </c>
      <c r="C380" s="253">
        <f>'Dry_Litterbag Placem_Collection'!A161</f>
        <v>159</v>
      </c>
      <c r="D380" s="253" t="str">
        <f>'Dry_Litterbag Placem_Collection'!B161</f>
        <v xml:space="preserve">Mwantimba
</v>
      </c>
      <c r="E380" s="253" t="s">
        <v>2454</v>
      </c>
      <c r="F380" s="253" t="s">
        <v>20</v>
      </c>
      <c r="G380" s="253">
        <v>4</v>
      </c>
      <c r="H380" s="253" t="s">
        <v>3125</v>
      </c>
      <c r="I380" s="254" t="str">
        <f>'Dry_Litterbag Placem_Collection'!C161</f>
        <v>Wet_P4_T7</v>
      </c>
      <c r="J380" s="255" t="s">
        <v>2525</v>
      </c>
      <c r="K380" s="262" t="s">
        <v>298</v>
      </c>
      <c r="L380" s="221" t="str">
        <f>'WetLitterbags placem_collection'!M161</f>
        <v>R499</v>
      </c>
      <c r="M380" s="223">
        <f>IFERROR(INDEX('Green_rooibos initial weight'!$C$5:$C$2000,MATCH(L380, 'Green_rooibos initial weight'!$A$5:$A$2000,0)),"")</f>
        <v>2.194</v>
      </c>
      <c r="N380" s="223">
        <f>IFERROR(M380-(TBIcalc!$H$9+TBIcalc!$H$10),"")</f>
        <v>1.9441999999999999</v>
      </c>
      <c r="O380" s="378">
        <f>AVERAGE(Ashed_controlls!$K$2:$K$11)</f>
        <v>5.5147656768714146</v>
      </c>
      <c r="P380" s="223">
        <f t="shared" si="26"/>
        <v>1.836981925710266</v>
      </c>
      <c r="Q380" s="223" t="str">
        <f>IFERROR(INDEX('Both teabags AfterWet'!$C$3:$C$840,MATCH(L380,'Both teabags AfterWet'!$A$3:$A$840,0)),"")</f>
        <v/>
      </c>
      <c r="R380" s="223" t="str">
        <f>IFERROR(IF(Q380&gt;0,Q380-(TBIcalc!$H$9),""),"")</f>
        <v/>
      </c>
      <c r="S380" s="223" t="str">
        <f>IFERROR(INDEX('Ashed teabags wet'!$K$2:$K$2000,MATCH(L380,'Ashed teabags wet'!$A$2:$A$2000,0)),"")</f>
        <v/>
      </c>
      <c r="T380" s="223" t="str">
        <f t="shared" si="27"/>
        <v/>
      </c>
      <c r="U380" s="224">
        <f>'WetLitterbags placem_collection'!E161</f>
        <v>42762</v>
      </c>
      <c r="V380" s="224">
        <f>IF('WetLitterbags placem_collection'!G161="","",'WetLitterbags placem_collection'!G161)</f>
        <v>42816</v>
      </c>
      <c r="W380" s="225">
        <f t="shared" si="25"/>
        <v>54</v>
      </c>
      <c r="X380" s="223" t="str">
        <f t="shared" si="28"/>
        <v/>
      </c>
      <c r="Y380" s="223" t="str">
        <f t="shared" si="29"/>
        <v/>
      </c>
      <c r="Z380">
        <f>IFERROR(INDEX([1]Rainfall_Wet!$O$2:$O$217,MATCH(C380, [1]Rainfall_Wet!$A$2:$A$217,0)),"")</f>
        <v>206.85140822299999</v>
      </c>
      <c r="AA380" s="226">
        <v>27.96</v>
      </c>
      <c r="AB380" s="226">
        <v>4.9200000000000017</v>
      </c>
      <c r="AC380" s="226">
        <v>67.12</v>
      </c>
      <c r="AD380" s="227" t="s">
        <v>2651</v>
      </c>
      <c r="AE380" s="226">
        <v>7.0437161163134503</v>
      </c>
      <c r="AF380">
        <f>IF('WetLitterbags placem_collection'!AB161="","",'WetLitterbags placem_collection'!AB161)</f>
        <v>2.65</v>
      </c>
      <c r="AG380">
        <f>IF('WetLitterbags placem_collection'!Z161="","",'WetLitterbags placem_collection'!Z161)</f>
        <v>0</v>
      </c>
      <c r="AH380" s="236" t="str">
        <f>IF('WetLitterbags placem_collection'!AA161="","",'WetLitterbags placem_collection'!AA161)</f>
        <v>G</v>
      </c>
      <c r="AI380">
        <f>IF('WetLitterbags placem_collection'!AC161="","",'WetLitterbags placem_collection'!AC161)</f>
        <v>1</v>
      </c>
      <c r="AJ380" s="233">
        <f>AVERAGE('WetLitterbags placem_collection'!S161,'WetLitterbags placem_collection'!U161)</f>
        <v>14.4</v>
      </c>
      <c r="AK380">
        <f>AVERAGE('WetLitterbags placem_collection'!R161,'WetLitterbags placem_collection'!T161)</f>
        <v>28</v>
      </c>
      <c r="AL380">
        <f>INDEX([2]Coordinates!$B$2:$B$197,MATCH(I380,[2]Coordinates!$J$2:$J$197,0))</f>
        <v>-2.3676829599999998</v>
      </c>
      <c r="AM380">
        <f>INDEX([2]Coordinates!$C$2:$C$197,MATCH(I380,[2]Coordinates!$J$2:$J$197,0))</f>
        <v>34.059236990000002</v>
      </c>
      <c r="AN380" t="str">
        <f>IF(ISNUMBER(SEARCH("C", 'WetLitterbags placem_collection'!$W161)),"YES","NO")</f>
        <v>NO</v>
      </c>
      <c r="AO380" t="str">
        <f>IF(ISNUMBER(SEARCH("H", 'WetLitterbags placem_collection'!$W161)),"YES","NO")</f>
        <v>NO</v>
      </c>
      <c r="AP380" t="str">
        <f>IF(ISNUMBER(SEARCH("R", 'WetLitterbags placem_collection'!$W161)),"YES","NO")</f>
        <v>NO</v>
      </c>
    </row>
    <row r="381" spans="1:42" ht="15" customHeight="1">
      <c r="A381" t="s">
        <v>3248</v>
      </c>
      <c r="B381" s="248" t="s">
        <v>2454</v>
      </c>
      <c r="C381" s="253">
        <f>'Dry_Litterbag Placem_Collection'!A162</f>
        <v>160</v>
      </c>
      <c r="D381" s="253" t="str">
        <f>'Dry_Litterbag Placem_Collection'!B162</f>
        <v xml:space="preserve">Mwantimba
</v>
      </c>
      <c r="E381" s="253" t="s">
        <v>2454</v>
      </c>
      <c r="F381" s="253" t="s">
        <v>20</v>
      </c>
      <c r="G381" s="253">
        <v>4</v>
      </c>
      <c r="H381" s="253" t="s">
        <v>3125</v>
      </c>
      <c r="I381" s="254" t="str">
        <f>'Dry_Litterbag Placem_Collection'!C162</f>
        <v>Wet_P4_T8</v>
      </c>
      <c r="J381" s="255" t="s">
        <v>2525</v>
      </c>
      <c r="K381" s="262" t="s">
        <v>298</v>
      </c>
      <c r="L381" s="221" t="str">
        <f>'WetLitterbags placem_collection'!M162</f>
        <v>R421</v>
      </c>
      <c r="M381" s="223">
        <f>IFERROR(INDEX('Green_rooibos initial weight'!$C$5:$C$2000,MATCH(L381, 'Green_rooibos initial weight'!$A$5:$A$2000,0)),"")</f>
        <v>2.2170000000000001</v>
      </c>
      <c r="N381" s="223">
        <f>IFERROR(M381-(TBIcalc!$H$9+TBIcalc!$H$10),"")</f>
        <v>1.9672000000000001</v>
      </c>
      <c r="O381" s="378">
        <f>AVERAGE(Ashed_controlls!$K$2:$K$11)</f>
        <v>5.5147656768714146</v>
      </c>
      <c r="P381" s="223">
        <f t="shared" si="26"/>
        <v>1.8587135296045856</v>
      </c>
      <c r="Q381" s="223">
        <f>IFERROR(INDEX('Both teabags AfterWet'!$C$3:$C$840,MATCH(L381,'Both teabags AfterWet'!$A$3:$A$840,0)),"")</f>
        <v>1.744</v>
      </c>
      <c r="R381" s="223">
        <f>IFERROR(IF(Q381&gt;0,Q381-(TBIcalc!$H$9),""),"")</f>
        <v>1.5933999999999999</v>
      </c>
      <c r="S381" s="223">
        <f>IFERROR(INDEX('Ashed teabags wet'!$K$2:$K$2000,MATCH(L381,'Ashed teabags wet'!$A$2:$A$2000,0)),"")</f>
        <v>4.8926610084872157</v>
      </c>
      <c r="T381" s="223">
        <f t="shared" si="27"/>
        <v>1.5154403394907647</v>
      </c>
      <c r="U381" s="224">
        <f>'WetLitterbags placem_collection'!E162</f>
        <v>42762</v>
      </c>
      <c r="V381" s="224">
        <f>IF('WetLitterbags placem_collection'!G162="","",'WetLitterbags placem_collection'!G162)</f>
        <v>42816</v>
      </c>
      <c r="W381" s="225">
        <f t="shared" si="25"/>
        <v>54</v>
      </c>
      <c r="X381" s="223">
        <f t="shared" si="28"/>
        <v>0.37380000000000013</v>
      </c>
      <c r="Y381" s="223">
        <f t="shared" si="29"/>
        <v>0.34327319011382085</v>
      </c>
      <c r="Z381">
        <f>IFERROR(INDEX([1]Rainfall_Wet!$O$2:$O$217,MATCH(C381, [1]Rainfall_Wet!$A$2:$A$217,0)),"")</f>
        <v>206.85140822299999</v>
      </c>
      <c r="AA381" s="226">
        <v>27.96</v>
      </c>
      <c r="AB381" s="226">
        <v>4.9200000000000017</v>
      </c>
      <c r="AC381" s="226">
        <v>67.12</v>
      </c>
      <c r="AD381" s="227" t="s">
        <v>2651</v>
      </c>
      <c r="AE381" s="226">
        <v>8.0437161163134494</v>
      </c>
      <c r="AF381">
        <f>IF('WetLitterbags placem_collection'!AB162="","",'WetLitterbags placem_collection'!AB162)</f>
        <v>0.8</v>
      </c>
      <c r="AG381">
        <f>IF('WetLitterbags placem_collection'!Z162="","",'WetLitterbags placem_collection'!Z162)</f>
        <v>10.8</v>
      </c>
      <c r="AH381" s="236" t="str">
        <f>IF('WetLitterbags placem_collection'!AA162="","",'WetLitterbags placem_collection'!AA162)</f>
        <v>O</v>
      </c>
      <c r="AI381">
        <f>IF('WetLitterbags placem_collection'!AC162="","",'WetLitterbags placem_collection'!AC162)</f>
        <v>0</v>
      </c>
      <c r="AJ381" s="233">
        <f>AVERAGE('WetLitterbags placem_collection'!S162,'WetLitterbags placem_collection'!U162)</f>
        <v>16.5</v>
      </c>
      <c r="AK381">
        <f>AVERAGE('WetLitterbags placem_collection'!R162,'WetLitterbags placem_collection'!T162)</f>
        <v>27.15</v>
      </c>
      <c r="AL381">
        <f>INDEX([2]Coordinates!$B$2:$B$197,MATCH(I381,[2]Coordinates!$J$2:$J$197,0))</f>
        <v>-2.367547005</v>
      </c>
      <c r="AM381">
        <f>INDEX([2]Coordinates!$C$2:$C$197,MATCH(I381,[2]Coordinates!$J$2:$J$197,0))</f>
        <v>34.059494989999997</v>
      </c>
      <c r="AN381" t="str">
        <f>IF(ISNUMBER(SEARCH("C", 'WetLitterbags placem_collection'!$W162)),"YES","NO")</f>
        <v>NO</v>
      </c>
      <c r="AO381" t="str">
        <f>IF(ISNUMBER(SEARCH("H", 'WetLitterbags placem_collection'!$W162)),"YES","NO")</f>
        <v>NO</v>
      </c>
      <c r="AP381" t="str">
        <f>IF(ISNUMBER(SEARCH("R", 'WetLitterbags placem_collection'!$W162)),"YES","NO")</f>
        <v>YES</v>
      </c>
    </row>
    <row r="382" spans="1:42" ht="15" customHeight="1">
      <c r="A382" t="s">
        <v>3248</v>
      </c>
      <c r="B382" s="248" t="s">
        <v>2454</v>
      </c>
      <c r="C382" s="253">
        <f>'Dry_Litterbag Placem_Collection'!A163</f>
        <v>161</v>
      </c>
      <c r="D382" s="253" t="str">
        <f>'Dry_Litterbag Placem_Collection'!B163</f>
        <v>Handajega</v>
      </c>
      <c r="E382" s="253" t="s">
        <v>2454</v>
      </c>
      <c r="F382" s="253" t="s">
        <v>2645</v>
      </c>
      <c r="G382" s="253">
        <v>1</v>
      </c>
      <c r="H382" s="253" t="s">
        <v>3126</v>
      </c>
      <c r="I382" s="254" t="str">
        <f>'Dry_Litterbag Placem_Collection'!C163</f>
        <v>Wet_W1_T1</v>
      </c>
      <c r="J382" s="255" t="s">
        <v>2525</v>
      </c>
      <c r="K382" s="262" t="s">
        <v>298</v>
      </c>
      <c r="L382" s="221" t="str">
        <f>'WetLitterbags placem_collection'!M163</f>
        <v>R124</v>
      </c>
      <c r="M382" s="223">
        <f>IFERROR(INDEX('Green_rooibos initial weight'!$C$5:$C$2000,MATCH(L382, 'Green_rooibos initial weight'!$A$5:$A$2000,0)),"")</f>
        <v>2.2120000000000002</v>
      </c>
      <c r="N382" s="223">
        <f>IFERROR(M382-(TBIcalc!$H$9+TBIcalc!$H$10),"")</f>
        <v>1.9622000000000002</v>
      </c>
      <c r="O382" s="378">
        <f>AVERAGE(Ashed_controlls!$K$2:$K$11)</f>
        <v>5.5147656768714146</v>
      </c>
      <c r="P382" s="223">
        <f t="shared" si="26"/>
        <v>1.8539892678884293</v>
      </c>
      <c r="Q382" s="223">
        <f>IFERROR(INDEX('Both teabags AfterWet'!$C$3:$C$840,MATCH(L382,'Both teabags AfterWet'!$A$3:$A$840,0)),"")</f>
        <v>1.6863999999999999</v>
      </c>
      <c r="R382" s="223">
        <f>IFERROR(IF(Q382&gt;0,Q382-(TBIcalc!$H$9),""),"")</f>
        <v>1.5357999999999998</v>
      </c>
      <c r="S382" s="223">
        <f>IFERROR(INDEX('Ashed teabags wet'!$K$2:$K$2000,MATCH(L382,'Ashed teabags wet'!$A$2:$A$2000,0)),"")</f>
        <v>1.0140028971511033</v>
      </c>
      <c r="T382" s="223">
        <f t="shared" si="27"/>
        <v>1.5202269435055531</v>
      </c>
      <c r="U382" s="224">
        <f>'WetLitterbags placem_collection'!E163</f>
        <v>42763</v>
      </c>
      <c r="V382" s="224">
        <f>IF('WetLitterbags placem_collection'!G163="","",'WetLitterbags placem_collection'!G163)</f>
        <v>42814</v>
      </c>
      <c r="W382" s="225">
        <f t="shared" si="25"/>
        <v>51</v>
      </c>
      <c r="X382" s="223">
        <f t="shared" si="28"/>
        <v>0.42640000000000033</v>
      </c>
      <c r="Y382" s="223">
        <f t="shared" si="29"/>
        <v>0.33376232438287623</v>
      </c>
      <c r="Z382">
        <f>IFERROR(INDEX([1]Rainfall_Wet!$O$2:$O$217,MATCH(C382, [1]Rainfall_Wet!$A$2:$A$217,0)),"")</f>
        <v>181.383442621</v>
      </c>
      <c r="AA382" s="226">
        <v>21.96</v>
      </c>
      <c r="AB382" s="226">
        <v>4.9199999999999982</v>
      </c>
      <c r="AC382" s="226">
        <v>73.12</v>
      </c>
      <c r="AD382" s="227" t="s">
        <v>2651</v>
      </c>
      <c r="AE382" s="226">
        <v>1.2416954164613114</v>
      </c>
      <c r="AF382">
        <f>IF('WetLitterbags placem_collection'!AB163="","",'WetLitterbags placem_collection'!AB163)</f>
        <v>7.6</v>
      </c>
      <c r="AG382">
        <f>IF('WetLitterbags placem_collection'!Z163="","",'WetLitterbags placem_collection'!Z163)</f>
        <v>35.799999999999997</v>
      </c>
      <c r="AH382" s="236" t="str">
        <f>IF('WetLitterbags placem_collection'!AA163="","",'WetLitterbags placem_collection'!AA163)</f>
        <v>M</v>
      </c>
      <c r="AI382">
        <f>IF('WetLitterbags placem_collection'!AC163="","",'WetLitterbags placem_collection'!AC163)</f>
        <v>0</v>
      </c>
      <c r="AJ382" s="233">
        <f>AVERAGE('WetLitterbags placem_collection'!S163,'WetLitterbags placem_collection'!U163)</f>
        <v>11.100000000000001</v>
      </c>
      <c r="AK382">
        <f>AVERAGE('WetLitterbags placem_collection'!R163,'WetLitterbags placem_collection'!T163)</f>
        <v>33.6</v>
      </c>
      <c r="AL382">
        <f>INDEX([2]Coordinates!$B$2:$B$197,MATCH(I382,[2]Coordinates!$J$2:$J$197,0))</f>
        <v>-2.272751033</v>
      </c>
      <c r="AM382">
        <f>INDEX([2]Coordinates!$C$2:$C$197,MATCH(I382,[2]Coordinates!$J$2:$J$197,0))</f>
        <v>34.023176030000002</v>
      </c>
      <c r="AN382" t="str">
        <f>IF(ISNUMBER(SEARCH("C", 'WetLitterbags placem_collection'!$W163)),"YES","NO")</f>
        <v>NO</v>
      </c>
      <c r="AO382" t="str">
        <f>IF(ISNUMBER(SEARCH("H", 'WetLitterbags placem_collection'!$W163)),"YES","NO")</f>
        <v>NO</v>
      </c>
      <c r="AP382" t="str">
        <f>IF(ISNUMBER(SEARCH("R", 'WetLitterbags placem_collection'!$W163)),"YES","NO")</f>
        <v>NO</v>
      </c>
    </row>
    <row r="383" spans="1:42" ht="15" customHeight="1">
      <c r="A383" t="s">
        <v>3248</v>
      </c>
      <c r="B383" s="248" t="s">
        <v>2454</v>
      </c>
      <c r="C383" s="253">
        <f>'Dry_Litterbag Placem_Collection'!A164</f>
        <v>162</v>
      </c>
      <c r="D383" s="253" t="str">
        <f>'Dry_Litterbag Placem_Collection'!B164</f>
        <v>Handajega</v>
      </c>
      <c r="E383" s="253" t="s">
        <v>2454</v>
      </c>
      <c r="F383" s="253" t="s">
        <v>2645</v>
      </c>
      <c r="G383" s="253">
        <v>1</v>
      </c>
      <c r="H383" s="253" t="s">
        <v>3126</v>
      </c>
      <c r="I383" s="254" t="str">
        <f>'Dry_Litterbag Placem_Collection'!C164</f>
        <v>Wet_W1_T2</v>
      </c>
      <c r="J383" s="255" t="s">
        <v>2525</v>
      </c>
      <c r="K383" s="262" t="s">
        <v>298</v>
      </c>
      <c r="L383" s="221" t="str">
        <f>'WetLitterbags placem_collection'!M164</f>
        <v>R202</v>
      </c>
      <c r="M383" s="223">
        <f>IFERROR(INDEX('Green_rooibos initial weight'!$C$5:$C$2000,MATCH(L383, 'Green_rooibos initial weight'!$A$5:$A$2000,0)),"")</f>
        <v>2.298</v>
      </c>
      <c r="N383" s="223">
        <f>IFERROR(M383-(TBIcalc!$H$9+TBIcalc!$H$10),"")</f>
        <v>2.0482</v>
      </c>
      <c r="O383" s="378">
        <f>AVERAGE(Ashed_controlls!$K$2:$K$11)</f>
        <v>5.5147656768714146</v>
      </c>
      <c r="P383" s="223">
        <f t="shared" si="26"/>
        <v>1.9352465694063197</v>
      </c>
      <c r="Q383" s="223">
        <f>IFERROR(INDEX('Both teabags AfterWet'!$C$3:$C$840,MATCH(L383,'Both teabags AfterWet'!$A$3:$A$840,0)),"")</f>
        <v>0.52</v>
      </c>
      <c r="R383" s="223">
        <f>IFERROR(IF(Q383&gt;0,Q383-(TBIcalc!$H$9),""),"")</f>
        <v>0.36940000000000001</v>
      </c>
      <c r="S383" s="223">
        <f>IFERROR(INDEX('Ashed teabags wet'!$K$2:$K$2000,MATCH(L383,'Ashed teabags wet'!$A$2:$A$2000,0)),"")</f>
        <v>79.460269865066508</v>
      </c>
      <c r="T383" s="223">
        <f t="shared" si="27"/>
        <v>7.5873763118444293E-2</v>
      </c>
      <c r="U383" s="224">
        <f>'WetLitterbags placem_collection'!E164</f>
        <v>42763</v>
      </c>
      <c r="V383" s="224">
        <f>IF('WetLitterbags placem_collection'!G164="","",'WetLitterbags placem_collection'!G164)</f>
        <v>42814</v>
      </c>
      <c r="W383" s="225">
        <f t="shared" si="25"/>
        <v>51</v>
      </c>
      <c r="X383" s="223">
        <f t="shared" si="28"/>
        <v>1.6788000000000001</v>
      </c>
      <c r="Y383" s="223">
        <f t="shared" si="29"/>
        <v>1.8593728062878754</v>
      </c>
      <c r="Z383">
        <f>IFERROR(INDEX([1]Rainfall_Wet!$O$2:$O$217,MATCH(C383, [1]Rainfall_Wet!$A$2:$A$217,0)),"")</f>
        <v>181.383442621</v>
      </c>
      <c r="AA383" s="226">
        <v>21.96</v>
      </c>
      <c r="AB383" s="226">
        <v>4.9199999999999982</v>
      </c>
      <c r="AC383" s="226">
        <v>73.12</v>
      </c>
      <c r="AD383" s="227" t="s">
        <v>2651</v>
      </c>
      <c r="AE383" s="226">
        <v>2.2416954164613099</v>
      </c>
      <c r="AF383">
        <f>IF('WetLitterbags placem_collection'!AB164="","",'WetLitterbags placem_collection'!AB164)</f>
        <v>4.0999999999999996</v>
      </c>
      <c r="AG383">
        <f>IF('WetLitterbags placem_collection'!Z164="","",'WetLitterbags placem_collection'!Z164)</f>
        <v>31.4</v>
      </c>
      <c r="AH383" s="236" t="str">
        <f>IF('WetLitterbags placem_collection'!AA164="","",'WetLitterbags placem_collection'!AA164)</f>
        <v>M</v>
      </c>
      <c r="AI383">
        <f>IF('WetLitterbags placem_collection'!AC164="","",'WetLitterbags placem_collection'!AC164)</f>
        <v>0</v>
      </c>
      <c r="AJ383" s="233">
        <f>AVERAGE('WetLitterbags placem_collection'!S164,'WetLitterbags placem_collection'!U164)</f>
        <v>9.35</v>
      </c>
      <c r="AK383">
        <f>AVERAGE('WetLitterbags placem_collection'!R164,'WetLitterbags placem_collection'!T164)</f>
        <v>34.450000000000003</v>
      </c>
      <c r="AL383">
        <f>INDEX([2]Coordinates!$B$2:$B$197,MATCH(I383,[2]Coordinates!$J$2:$J$197,0))</f>
        <v>-2.2727060219999999</v>
      </c>
      <c r="AM383">
        <f>INDEX([2]Coordinates!$C$2:$C$197,MATCH(I383,[2]Coordinates!$J$2:$J$197,0))</f>
        <v>34.023162030000002</v>
      </c>
      <c r="AN383" t="str">
        <f>IF(ISNUMBER(SEARCH("C", 'WetLitterbags placem_collection'!$W164)),"YES","NO")</f>
        <v>NO</v>
      </c>
      <c r="AO383" t="str">
        <f>IF(ISNUMBER(SEARCH("H", 'WetLitterbags placem_collection'!$W164)),"YES","NO")</f>
        <v>YES</v>
      </c>
      <c r="AP383" t="str">
        <f>IF(ISNUMBER(SEARCH("R", 'WetLitterbags placem_collection'!$W164)),"YES","NO")</f>
        <v>NO</v>
      </c>
    </row>
    <row r="384" spans="1:42" ht="15" customHeight="1">
      <c r="A384" t="s">
        <v>3248</v>
      </c>
      <c r="B384" s="248" t="s">
        <v>2454</v>
      </c>
      <c r="C384" s="253">
        <f>'Dry_Litterbag Placem_Collection'!A165</f>
        <v>163</v>
      </c>
      <c r="D384" s="253" t="str">
        <f>'Dry_Litterbag Placem_Collection'!B165</f>
        <v>Handajega</v>
      </c>
      <c r="E384" s="253" t="s">
        <v>2454</v>
      </c>
      <c r="F384" s="253" t="s">
        <v>2645</v>
      </c>
      <c r="G384" s="253">
        <v>1</v>
      </c>
      <c r="H384" s="253" t="s">
        <v>3126</v>
      </c>
      <c r="I384" s="254" t="str">
        <f>'Dry_Litterbag Placem_Collection'!C165</f>
        <v>Wet_W1_T3</v>
      </c>
      <c r="J384" s="255" t="s">
        <v>2525</v>
      </c>
      <c r="K384" s="262" t="s">
        <v>298</v>
      </c>
      <c r="L384" s="221" t="str">
        <f>'WetLitterbags placem_collection'!M165</f>
        <v>R96</v>
      </c>
      <c r="M384" s="223">
        <f>IFERROR(INDEX('Green_rooibos initial weight'!$C$5:$C$2000,MATCH(L384, 'Green_rooibos initial weight'!$A$5:$A$2000,0)),"")</f>
        <v>2.2309999999999999</v>
      </c>
      <c r="N384" s="223">
        <f>IFERROR(M384-(TBIcalc!$H$9+TBIcalc!$H$10),"")</f>
        <v>1.9811999999999999</v>
      </c>
      <c r="O384" s="378">
        <f>AVERAGE(Ashed_controlls!$K$2:$K$11)</f>
        <v>5.5147656768714146</v>
      </c>
      <c r="P384" s="223">
        <f t="shared" si="26"/>
        <v>1.8719414624098234</v>
      </c>
      <c r="Q384" s="223" t="str">
        <f>IFERROR(INDEX('Both teabags AfterWet'!$C$3:$C$840,MATCH(L384,'Both teabags AfterWet'!$A$3:$A$840,0)),"")</f>
        <v/>
      </c>
      <c r="R384" s="223" t="str">
        <f>IFERROR(IF(Q384&gt;0,Q384-(TBIcalc!$H$9),""),"")</f>
        <v/>
      </c>
      <c r="S384" s="223">
        <f>IFERROR(INDEX('Ashed teabags wet'!$K$2:$K$2000,MATCH(L384,'Ashed teabags wet'!$A$2:$A$2000,0)),"")</f>
        <v>2.3336643495531879</v>
      </c>
      <c r="T384" s="223" t="str">
        <f t="shared" si="27"/>
        <v/>
      </c>
      <c r="U384" s="224">
        <f>'WetLitterbags placem_collection'!E165</f>
        <v>42763</v>
      </c>
      <c r="V384" s="224">
        <f>IF('WetLitterbags placem_collection'!G165="","",'WetLitterbags placem_collection'!G165)</f>
        <v>42814</v>
      </c>
      <c r="W384" s="225">
        <f t="shared" si="25"/>
        <v>51</v>
      </c>
      <c r="X384" s="223" t="str">
        <f t="shared" si="28"/>
        <v/>
      </c>
      <c r="Y384" s="223" t="str">
        <f t="shared" si="29"/>
        <v/>
      </c>
      <c r="Z384">
        <f>IFERROR(INDEX([1]Rainfall_Wet!$O$2:$O$217,MATCH(C384, [1]Rainfall_Wet!$A$2:$A$217,0)),"")</f>
        <v>181.383442621</v>
      </c>
      <c r="AA384" s="226">
        <v>21.96</v>
      </c>
      <c r="AB384" s="226">
        <v>4.9199999999999982</v>
      </c>
      <c r="AC384" s="226">
        <v>73.12</v>
      </c>
      <c r="AD384" s="227" t="s">
        <v>2651</v>
      </c>
      <c r="AE384" s="226">
        <v>3.2416954164613099</v>
      </c>
      <c r="AF384">
        <f>IF('WetLitterbags placem_collection'!AB165="","",'WetLitterbags placem_collection'!AB165)</f>
        <v>7.8</v>
      </c>
      <c r="AG384">
        <f>IF('WetLitterbags placem_collection'!Z165="","",'WetLitterbags placem_collection'!Z165)</f>
        <v>28.8</v>
      </c>
      <c r="AH384" s="236" t="str">
        <f>IF('WetLitterbags placem_collection'!AA165="","",'WetLitterbags placem_collection'!AA165)</f>
        <v>M</v>
      </c>
      <c r="AI384">
        <f>IF('WetLitterbags placem_collection'!AC165="","",'WetLitterbags placem_collection'!AC165)</f>
        <v>0</v>
      </c>
      <c r="AJ384" s="233">
        <f>AVERAGE('WetLitterbags placem_collection'!S165,'WetLitterbags placem_collection'!U165)</f>
        <v>9.3000000000000007</v>
      </c>
      <c r="AK384">
        <f>AVERAGE('WetLitterbags placem_collection'!R165,'WetLitterbags placem_collection'!T165)</f>
        <v>33.5</v>
      </c>
      <c r="AL384">
        <f>INDEX([2]Coordinates!$B$2:$B$197,MATCH(I384,[2]Coordinates!$J$2:$J$197,0))</f>
        <v>-2.2726719919999998</v>
      </c>
      <c r="AM384">
        <f>INDEX([2]Coordinates!$C$2:$C$197,MATCH(I384,[2]Coordinates!$J$2:$J$197,0))</f>
        <v>34.023210980000002</v>
      </c>
      <c r="AN384" t="str">
        <f>IF(ISNUMBER(SEARCH("C", 'WetLitterbags placem_collection'!$W165)),"YES","NO")</f>
        <v>NO</v>
      </c>
      <c r="AO384" t="str">
        <f>IF(ISNUMBER(SEARCH("H", 'WetLitterbags placem_collection'!$W165)),"YES","NO")</f>
        <v>NO</v>
      </c>
      <c r="AP384" t="str">
        <f>IF(ISNUMBER(SEARCH("R", 'WetLitterbags placem_collection'!$W165)),"YES","NO")</f>
        <v>NO</v>
      </c>
    </row>
    <row r="385" spans="1:42" ht="15" customHeight="1">
      <c r="A385" t="s">
        <v>3248</v>
      </c>
      <c r="B385" s="248" t="s">
        <v>2454</v>
      </c>
      <c r="C385" s="253">
        <f>'Dry_Litterbag Placem_Collection'!A166</f>
        <v>164</v>
      </c>
      <c r="D385" s="253" t="str">
        <f>'Dry_Litterbag Placem_Collection'!B166</f>
        <v>Handajega</v>
      </c>
      <c r="E385" s="253" t="s">
        <v>2454</v>
      </c>
      <c r="F385" s="253" t="s">
        <v>2645</v>
      </c>
      <c r="G385" s="253">
        <v>1</v>
      </c>
      <c r="H385" s="253" t="s">
        <v>3126</v>
      </c>
      <c r="I385" s="254" t="str">
        <f>'Dry_Litterbag Placem_Collection'!C166</f>
        <v>Wet_W1_T4</v>
      </c>
      <c r="J385" s="255" t="s">
        <v>2525</v>
      </c>
      <c r="K385" s="262" t="s">
        <v>298</v>
      </c>
      <c r="L385" s="221" t="str">
        <f>'WetLitterbags placem_collection'!M166</f>
        <v>R317</v>
      </c>
      <c r="M385" s="223">
        <f>IFERROR(INDEX('Green_rooibos initial weight'!$C$5:$C$2000,MATCH(L385, 'Green_rooibos initial weight'!$A$5:$A$2000,0)),"")</f>
        <v>2.2240000000000002</v>
      </c>
      <c r="N385" s="223">
        <f>IFERROR(M385-(TBIcalc!$H$9+TBIcalc!$H$10),"")</f>
        <v>1.9742000000000002</v>
      </c>
      <c r="O385" s="378">
        <f>AVERAGE(Ashed_controlls!$K$2:$K$11)</f>
        <v>5.5147656768714146</v>
      </c>
      <c r="P385" s="223">
        <f t="shared" si="26"/>
        <v>1.8653274960072048</v>
      </c>
      <c r="Q385" s="223">
        <f>IFERROR(INDEX('Both teabags AfterWet'!$C$3:$C$840,MATCH(L385,'Both teabags AfterWet'!$A$3:$A$840,0)),"")</f>
        <v>1.7210000000000001</v>
      </c>
      <c r="R385" s="223">
        <f>IFERROR(IF(Q385&gt;0,Q385-(TBIcalc!$H$9),""),"")</f>
        <v>1.5704</v>
      </c>
      <c r="S385" s="223">
        <f>IFERROR(INDEX('Ashed teabags wet'!$K$2:$K$2000,MATCH(L385,'Ashed teabags wet'!$A$2:$A$2000,0)),"")</f>
        <v>2.0937188434697482</v>
      </c>
      <c r="T385" s="223">
        <f t="shared" si="27"/>
        <v>1.5375202392821512</v>
      </c>
      <c r="U385" s="224">
        <f>'WetLitterbags placem_collection'!E166</f>
        <v>42763</v>
      </c>
      <c r="V385" s="224">
        <f>IF('WetLitterbags placem_collection'!G166="","",'WetLitterbags placem_collection'!G166)</f>
        <v>42814</v>
      </c>
      <c r="W385" s="225">
        <f t="shared" si="25"/>
        <v>51</v>
      </c>
      <c r="X385" s="223">
        <f t="shared" si="28"/>
        <v>0.40380000000000016</v>
      </c>
      <c r="Y385" s="223">
        <f t="shared" si="29"/>
        <v>0.32780725672505362</v>
      </c>
      <c r="Z385">
        <f>IFERROR(INDEX([1]Rainfall_Wet!$O$2:$O$217,MATCH(C385, [1]Rainfall_Wet!$A$2:$A$217,0)),"")</f>
        <v>181.383442621</v>
      </c>
      <c r="AA385" s="226">
        <v>21.96</v>
      </c>
      <c r="AB385" s="226">
        <v>4.9199999999999982</v>
      </c>
      <c r="AC385" s="226">
        <v>73.12</v>
      </c>
      <c r="AD385" s="227" t="s">
        <v>2651</v>
      </c>
      <c r="AE385" s="226">
        <v>4.2416954164613099</v>
      </c>
      <c r="AF385">
        <f>IF('WetLitterbags placem_collection'!AB166="","",'WetLitterbags placem_collection'!AB166)</f>
        <v>9.5</v>
      </c>
      <c r="AG385">
        <f>IF('WetLitterbags placem_collection'!Z166="","",'WetLitterbags placem_collection'!Z166)</f>
        <v>20.8</v>
      </c>
      <c r="AH385" s="236" t="str">
        <f>IF('WetLitterbags placem_collection'!AA166="","",'WetLitterbags placem_collection'!AA166)</f>
        <v>M</v>
      </c>
      <c r="AI385">
        <f>IF('WetLitterbags placem_collection'!AC166="","",'WetLitterbags placem_collection'!AC166)</f>
        <v>0</v>
      </c>
      <c r="AJ385" s="233">
        <f>AVERAGE('WetLitterbags placem_collection'!S166,'WetLitterbags placem_collection'!U166)</f>
        <v>9.25</v>
      </c>
      <c r="AK385">
        <f>AVERAGE('WetLitterbags placem_collection'!R166,'WetLitterbags placem_collection'!T166)</f>
        <v>33.799999999999997</v>
      </c>
      <c r="AL385">
        <f>INDEX([2]Coordinates!$B$2:$B$197,MATCH(I385,[2]Coordinates!$J$2:$J$197,0))</f>
        <v>-2.2726180130000002</v>
      </c>
      <c r="AM385">
        <f>INDEX([2]Coordinates!$C$2:$C$197,MATCH(I385,[2]Coordinates!$J$2:$J$197,0))</f>
        <v>34.023212999999998</v>
      </c>
      <c r="AN385" t="str">
        <f>IF(ISNUMBER(SEARCH("C", 'WetLitterbags placem_collection'!$W166)),"YES","NO")</f>
        <v>NO</v>
      </c>
      <c r="AO385" t="str">
        <f>IF(ISNUMBER(SEARCH("H", 'WetLitterbags placem_collection'!$W166)),"YES","NO")</f>
        <v>NO</v>
      </c>
      <c r="AP385" t="str">
        <f>IF(ISNUMBER(SEARCH("R", 'WetLitterbags placem_collection'!$W166)),"YES","NO")</f>
        <v>NO</v>
      </c>
    </row>
    <row r="386" spans="1:42" ht="15" customHeight="1">
      <c r="A386" t="s">
        <v>3248</v>
      </c>
      <c r="B386" s="248" t="s">
        <v>2454</v>
      </c>
      <c r="C386" s="253">
        <f>'Dry_Litterbag Placem_Collection'!A167</f>
        <v>165</v>
      </c>
      <c r="D386" s="253" t="str">
        <f>'Dry_Litterbag Placem_Collection'!B167</f>
        <v>Handajega</v>
      </c>
      <c r="E386" s="253" t="s">
        <v>2454</v>
      </c>
      <c r="F386" s="253" t="s">
        <v>2645</v>
      </c>
      <c r="G386" s="253">
        <v>1</v>
      </c>
      <c r="H386" s="253" t="s">
        <v>3126</v>
      </c>
      <c r="I386" s="254" t="str">
        <f>'Dry_Litterbag Placem_Collection'!C167</f>
        <v>Wet_W1_T5</v>
      </c>
      <c r="J386" s="255" t="s">
        <v>2525</v>
      </c>
      <c r="K386" s="262" t="s">
        <v>298</v>
      </c>
      <c r="L386" s="221" t="str">
        <f>'WetLitterbags placem_collection'!M167</f>
        <v>R331</v>
      </c>
      <c r="M386" s="223">
        <f>IFERROR(INDEX('Green_rooibos initial weight'!$C$5:$C$2000,MATCH(L386, 'Green_rooibos initial weight'!$A$5:$A$2000,0)),"")</f>
        <v>2.2410000000000001</v>
      </c>
      <c r="N386" s="223">
        <f>IFERROR(M386-(TBIcalc!$H$9+TBIcalc!$H$10),"")</f>
        <v>1.9912000000000001</v>
      </c>
      <c r="O386" s="378">
        <f>AVERAGE(Ashed_controlls!$K$2:$K$11)</f>
        <v>5.5147656768714146</v>
      </c>
      <c r="P386" s="223">
        <f t="shared" si="26"/>
        <v>1.8813899858421366</v>
      </c>
      <c r="Q386" s="223">
        <f>IFERROR(INDEX('Both teabags AfterWet'!$C$3:$C$840,MATCH(L386,'Both teabags AfterWet'!$A$3:$A$840,0)),"")</f>
        <v>1.724</v>
      </c>
      <c r="R386" s="223">
        <f>IFERROR(IF(Q386&gt;0,Q386-(TBIcalc!$H$9),""),"")</f>
        <v>1.5733999999999999</v>
      </c>
      <c r="S386" s="223">
        <f>IFERROR(INDEX('Ashed teabags wet'!$K$2:$K$2000,MATCH(L386,'Ashed teabags wet'!$A$2:$A$2000,0)),"")</f>
        <v>2.562929061785161</v>
      </c>
      <c r="T386" s="223">
        <f t="shared" si="27"/>
        <v>1.5330748741418723</v>
      </c>
      <c r="U386" s="224">
        <f>'WetLitterbags placem_collection'!E167</f>
        <v>42763</v>
      </c>
      <c r="V386" s="224">
        <f>IF('WetLitterbags placem_collection'!G167="","",'WetLitterbags placem_collection'!G167)</f>
        <v>42814</v>
      </c>
      <c r="W386" s="225">
        <f t="shared" ref="W386:W449" si="30">IFERROR(V386-U386,"")</f>
        <v>51</v>
      </c>
      <c r="X386" s="223">
        <f t="shared" si="28"/>
        <v>0.41780000000000017</v>
      </c>
      <c r="Y386" s="223">
        <f t="shared" si="29"/>
        <v>0.3483151117002643</v>
      </c>
      <c r="Z386">
        <f>IFERROR(INDEX([1]Rainfall_Wet!$O$2:$O$217,MATCH(C386, [1]Rainfall_Wet!$A$2:$A$217,0)),"")</f>
        <v>181.383442621</v>
      </c>
      <c r="AA386" s="226">
        <v>21.96</v>
      </c>
      <c r="AB386" s="226">
        <v>4.9199999999999982</v>
      </c>
      <c r="AC386" s="226">
        <v>73.12</v>
      </c>
      <c r="AD386" s="227" t="s">
        <v>2651</v>
      </c>
      <c r="AE386" s="226">
        <v>5.2416954164613099</v>
      </c>
      <c r="AF386">
        <f>IF('WetLitterbags placem_collection'!AB167="","",'WetLitterbags placem_collection'!AB167)</f>
        <v>10.4</v>
      </c>
      <c r="AG386">
        <f>IF('WetLitterbags placem_collection'!Z167="","",'WetLitterbags placem_collection'!Z167)</f>
        <v>13.8</v>
      </c>
      <c r="AH386" s="236" t="str">
        <f>IF('WetLitterbags placem_collection'!AA167="","",'WetLitterbags placem_collection'!AA167)</f>
        <v>M</v>
      </c>
      <c r="AI386">
        <f>IF('WetLitterbags placem_collection'!AC167="","",'WetLitterbags placem_collection'!AC167)</f>
        <v>0</v>
      </c>
      <c r="AJ386" s="233">
        <f>AVERAGE('WetLitterbags placem_collection'!S167,'WetLitterbags placem_collection'!U167)</f>
        <v>12</v>
      </c>
      <c r="AK386">
        <f>AVERAGE('WetLitterbags placem_collection'!R167,'WetLitterbags placem_collection'!T167)</f>
        <v>31.5</v>
      </c>
      <c r="AL386">
        <f>INDEX([2]Coordinates!$B$2:$B$197,MATCH(I386,[2]Coordinates!$J$2:$J$197,0))</f>
        <v>-2.2724750170000001</v>
      </c>
      <c r="AM386">
        <f>INDEX([2]Coordinates!$C$2:$C$197,MATCH(I386,[2]Coordinates!$J$2:$J$197,0))</f>
        <v>34.02334501</v>
      </c>
      <c r="AN386" t="str">
        <f>IF(ISNUMBER(SEARCH("C", 'WetLitterbags placem_collection'!$W167)),"YES","NO")</f>
        <v>NO</v>
      </c>
      <c r="AO386" t="str">
        <f>IF(ISNUMBER(SEARCH("H", 'WetLitterbags placem_collection'!$W167)),"YES","NO")</f>
        <v>YES</v>
      </c>
      <c r="AP386" t="str">
        <f>IF(ISNUMBER(SEARCH("R", 'WetLitterbags placem_collection'!$W167)),"YES","NO")</f>
        <v>NO</v>
      </c>
    </row>
    <row r="387" spans="1:42" ht="15" customHeight="1">
      <c r="A387" t="s">
        <v>3248</v>
      </c>
      <c r="B387" s="248" t="s">
        <v>2454</v>
      </c>
      <c r="C387" s="253">
        <f>'Dry_Litterbag Placem_Collection'!A168</f>
        <v>166</v>
      </c>
      <c r="D387" s="253" t="str">
        <f>'Dry_Litterbag Placem_Collection'!B168</f>
        <v>Handajega</v>
      </c>
      <c r="E387" s="253" t="s">
        <v>2454</v>
      </c>
      <c r="F387" s="253" t="s">
        <v>2645</v>
      </c>
      <c r="G387" s="253">
        <v>1</v>
      </c>
      <c r="H387" s="253" t="s">
        <v>3126</v>
      </c>
      <c r="I387" s="254" t="str">
        <f>'Dry_Litterbag Placem_Collection'!C168</f>
        <v>Wet_W1_T6</v>
      </c>
      <c r="J387" s="255" t="s">
        <v>2525</v>
      </c>
      <c r="K387" s="262" t="s">
        <v>298</v>
      </c>
      <c r="L387" s="221" t="str">
        <f>'WetLitterbags placem_collection'!M168</f>
        <v>R287</v>
      </c>
      <c r="M387" s="223">
        <f>IFERROR(INDEX('Green_rooibos initial weight'!$C$5:$C$2000,MATCH(L387, 'Green_rooibos initial weight'!$A$5:$A$2000,0)),"")</f>
        <v>2.1960000000000002</v>
      </c>
      <c r="N387" s="223">
        <f>IFERROR(M387-(TBIcalc!$H$9+TBIcalc!$H$10),"")</f>
        <v>1.9462000000000002</v>
      </c>
      <c r="O387" s="378">
        <f>AVERAGE(Ashed_controlls!$K$2:$K$11)</f>
        <v>5.5147656768714146</v>
      </c>
      <c r="P387" s="223">
        <f t="shared" ref="P387:P450" si="31">IFERROR(N387-(O387/100)*N387,"")</f>
        <v>1.8388716303967287</v>
      </c>
      <c r="Q387" s="223">
        <f>IFERROR(INDEX('Both teabags AfterWet'!$C$3:$C$840,MATCH(L387,'Both teabags AfterWet'!$A$3:$A$840,0)),"")</f>
        <v>1.6496999999999999</v>
      </c>
      <c r="R387" s="223">
        <f>IFERROR(IF(Q387&gt;0,Q387-(TBIcalc!$H$9),""),"")</f>
        <v>1.4990999999999999</v>
      </c>
      <c r="S387" s="223">
        <f>IFERROR(INDEX('Ashed teabags wet'!$K$2:$K$2000,MATCH(L387,'Ashed teabags wet'!$A$2:$A$2000,0)),"")</f>
        <v>1.9136408243378245</v>
      </c>
      <c r="T387" s="223">
        <f t="shared" ref="T387:T450" si="32">IFERROR(R387-(S387/100)*R387,"")</f>
        <v>1.4704126104023516</v>
      </c>
      <c r="U387" s="224">
        <f>'WetLitterbags placem_collection'!E168</f>
        <v>42763</v>
      </c>
      <c r="V387" s="224">
        <f>IF('WetLitterbags placem_collection'!G168="","",'WetLitterbags placem_collection'!G168)</f>
        <v>42814</v>
      </c>
      <c r="W387" s="225">
        <f t="shared" si="30"/>
        <v>51</v>
      </c>
      <c r="X387" s="223">
        <f t="shared" ref="X387:X450" si="33">IFERROR(N387-R387,"")</f>
        <v>0.44710000000000027</v>
      </c>
      <c r="Y387" s="223">
        <f t="shared" ref="Y387:Y450" si="34">IFERROR(P387-T387,"")</f>
        <v>0.36845901999437713</v>
      </c>
      <c r="Z387">
        <f>IFERROR(INDEX([1]Rainfall_Wet!$O$2:$O$217,MATCH(C387, [1]Rainfall_Wet!$A$2:$A$217,0)),"")</f>
        <v>181.383442621</v>
      </c>
      <c r="AA387" s="226">
        <v>21.96</v>
      </c>
      <c r="AB387" s="226">
        <v>4.9199999999999982</v>
      </c>
      <c r="AC387" s="226">
        <v>73.12</v>
      </c>
      <c r="AD387" s="227" t="s">
        <v>2651</v>
      </c>
      <c r="AE387" s="226">
        <v>6.2416954164613099</v>
      </c>
      <c r="AF387">
        <f>IF('WetLitterbags placem_collection'!AB168="","",'WetLitterbags placem_collection'!AB168)</f>
        <v>2.1</v>
      </c>
      <c r="AG387">
        <f>IF('WetLitterbags placem_collection'!Z168="","",'WetLitterbags placem_collection'!Z168)</f>
        <v>4.7</v>
      </c>
      <c r="AH387" s="236" t="str">
        <f>IF('WetLitterbags placem_collection'!AA168="","",'WetLitterbags placem_collection'!AA168)</f>
        <v>M</v>
      </c>
      <c r="AI387">
        <f>IF('WetLitterbags placem_collection'!AC168="","",'WetLitterbags placem_collection'!AC168)</f>
        <v>0</v>
      </c>
      <c r="AJ387" s="233">
        <f>AVERAGE('WetLitterbags placem_collection'!S168,'WetLitterbags placem_collection'!U168)</f>
        <v>11</v>
      </c>
      <c r="AK387">
        <f>AVERAGE('WetLitterbags placem_collection'!R168,'WetLitterbags placem_collection'!T168)</f>
        <v>31.5</v>
      </c>
      <c r="AL387">
        <f>INDEX([2]Coordinates!$B$2:$B$197,MATCH(I387,[2]Coordinates!$J$2:$J$197,0))</f>
        <v>-2.2725490289999999</v>
      </c>
      <c r="AM387">
        <f>INDEX([2]Coordinates!$C$2:$C$197,MATCH(I387,[2]Coordinates!$J$2:$J$197,0))</f>
        <v>34.022886020000001</v>
      </c>
      <c r="AN387" t="str">
        <f>IF(ISNUMBER(SEARCH("C", 'WetLitterbags placem_collection'!$W168)),"YES","NO")</f>
        <v>NO</v>
      </c>
      <c r="AO387" t="str">
        <f>IF(ISNUMBER(SEARCH("H", 'WetLitterbags placem_collection'!$W168)),"YES","NO")</f>
        <v>NO</v>
      </c>
      <c r="AP387" t="str">
        <f>IF(ISNUMBER(SEARCH("R", 'WetLitterbags placem_collection'!$W168)),"YES","NO")</f>
        <v>NO</v>
      </c>
    </row>
    <row r="388" spans="1:42" ht="15" customHeight="1">
      <c r="A388" t="s">
        <v>3248</v>
      </c>
      <c r="B388" s="248" t="s">
        <v>2454</v>
      </c>
      <c r="C388" s="253">
        <f>'Dry_Litterbag Placem_Collection'!A169</f>
        <v>167</v>
      </c>
      <c r="D388" s="253" t="str">
        <f>'Dry_Litterbag Placem_Collection'!B169</f>
        <v>Handajega</v>
      </c>
      <c r="E388" s="253" t="s">
        <v>2454</v>
      </c>
      <c r="F388" s="253" t="s">
        <v>2645</v>
      </c>
      <c r="G388" s="253">
        <v>1</v>
      </c>
      <c r="H388" s="253" t="s">
        <v>3126</v>
      </c>
      <c r="I388" s="254" t="str">
        <f>'Dry_Litterbag Placem_Collection'!C169</f>
        <v>Wet_W1_T7</v>
      </c>
      <c r="J388" s="255" t="s">
        <v>2525</v>
      </c>
      <c r="K388" s="262" t="s">
        <v>298</v>
      </c>
      <c r="L388" s="221" t="str">
        <f>'WetLitterbags placem_collection'!M169</f>
        <v>R255</v>
      </c>
      <c r="M388" s="223">
        <f>IFERROR(INDEX('Green_rooibos initial weight'!$C$5:$C$2000,MATCH(L388, 'Green_rooibos initial weight'!$A$5:$A$2000,0)),"")</f>
        <v>2.1859999999999999</v>
      </c>
      <c r="N388" s="223">
        <f>IFERROR(M388-(TBIcalc!$H$9+TBIcalc!$H$10),"")</f>
        <v>1.9361999999999999</v>
      </c>
      <c r="O388" s="378">
        <f>AVERAGE(Ashed_controlls!$K$2:$K$11)</f>
        <v>5.5147656768714146</v>
      </c>
      <c r="P388" s="223">
        <f t="shared" si="31"/>
        <v>1.8294231069644156</v>
      </c>
      <c r="Q388" s="223">
        <f>IFERROR(INDEX('Both teabags AfterWet'!$C$3:$C$840,MATCH(L388,'Both teabags AfterWet'!$A$3:$A$840,0)),"")</f>
        <v>1.7073</v>
      </c>
      <c r="R388" s="223">
        <f>IFERROR(IF(Q388&gt;0,Q388-(TBIcalc!$H$9),""),"")</f>
        <v>1.5567</v>
      </c>
      <c r="S388" s="223">
        <f>IFERROR(INDEX('Ashed teabags wet'!$K$2:$K$2000,MATCH(L388,'Ashed teabags wet'!$A$2:$A$2000,0)),"")</f>
        <v>1.7424975798647639</v>
      </c>
      <c r="T388" s="223">
        <f t="shared" si="32"/>
        <v>1.5295745401742451</v>
      </c>
      <c r="U388" s="224">
        <f>'WetLitterbags placem_collection'!E169</f>
        <v>42763</v>
      </c>
      <c r="V388" s="224">
        <f>IF('WetLitterbags placem_collection'!G169="","",'WetLitterbags placem_collection'!G169)</f>
        <v>42814</v>
      </c>
      <c r="W388" s="225">
        <f t="shared" si="30"/>
        <v>51</v>
      </c>
      <c r="X388" s="223">
        <f t="shared" si="33"/>
        <v>0.37949999999999995</v>
      </c>
      <c r="Y388" s="223">
        <f t="shared" si="34"/>
        <v>0.29984856679017047</v>
      </c>
      <c r="Z388">
        <f>IFERROR(INDEX([1]Rainfall_Wet!$O$2:$O$217,MATCH(C388, [1]Rainfall_Wet!$A$2:$A$217,0)),"")</f>
        <v>181.383442621</v>
      </c>
      <c r="AA388" s="226">
        <v>21.96</v>
      </c>
      <c r="AB388" s="226">
        <v>4.9199999999999982</v>
      </c>
      <c r="AC388" s="226">
        <v>73.12</v>
      </c>
      <c r="AD388" s="227" t="s">
        <v>2651</v>
      </c>
      <c r="AE388" s="226">
        <v>7.2416954164613099</v>
      </c>
      <c r="AF388">
        <f>IF('WetLitterbags placem_collection'!AB169="","",'WetLitterbags placem_collection'!AB169)</f>
        <v>5.6</v>
      </c>
      <c r="AG388">
        <f>IF('WetLitterbags placem_collection'!Z169="","",'WetLitterbags placem_collection'!Z169)</f>
        <v>4.2</v>
      </c>
      <c r="AH388" s="236" t="str">
        <f>IF('WetLitterbags placem_collection'!AA169="","",'WetLitterbags placem_collection'!AA169)</f>
        <v>M</v>
      </c>
      <c r="AI388">
        <f>IF('WetLitterbags placem_collection'!AC169="","",'WetLitterbags placem_collection'!AC169)</f>
        <v>1</v>
      </c>
      <c r="AJ388" s="233">
        <f>AVERAGE('WetLitterbags placem_collection'!S169,'WetLitterbags placem_collection'!U169)</f>
        <v>10.45</v>
      </c>
      <c r="AK388">
        <f>AVERAGE('WetLitterbags placem_collection'!R169,'WetLitterbags placem_collection'!T169)</f>
        <v>31</v>
      </c>
      <c r="AL388">
        <f>INDEX([2]Coordinates!$B$2:$B$197,MATCH(I388,[2]Coordinates!$J$2:$J$197,0))</f>
        <v>-2.2729950310000002</v>
      </c>
      <c r="AM388">
        <f>INDEX([2]Coordinates!$C$2:$C$197,MATCH(I388,[2]Coordinates!$J$2:$J$197,0))</f>
        <v>34.022923990000002</v>
      </c>
      <c r="AN388" t="str">
        <f>IF(ISNUMBER(SEARCH("C", 'WetLitterbags placem_collection'!$W169)),"YES","NO")</f>
        <v>NO</v>
      </c>
      <c r="AO388" t="str">
        <f>IF(ISNUMBER(SEARCH("H", 'WetLitterbags placem_collection'!$W169)),"YES","NO")</f>
        <v>NO</v>
      </c>
      <c r="AP388" t="str">
        <f>IF(ISNUMBER(SEARCH("R", 'WetLitterbags placem_collection'!$W169)),"YES","NO")</f>
        <v>NO</v>
      </c>
    </row>
    <row r="389" spans="1:42" ht="15" customHeight="1">
      <c r="A389" t="s">
        <v>3248</v>
      </c>
      <c r="B389" s="248" t="s">
        <v>2454</v>
      </c>
      <c r="C389" s="253">
        <f>'Dry_Litterbag Placem_Collection'!A170</f>
        <v>168</v>
      </c>
      <c r="D389" s="253" t="str">
        <f>'Dry_Litterbag Placem_Collection'!B170</f>
        <v>Handajega</v>
      </c>
      <c r="E389" s="253" t="s">
        <v>2454</v>
      </c>
      <c r="F389" s="253" t="s">
        <v>2645</v>
      </c>
      <c r="G389" s="253">
        <v>1</v>
      </c>
      <c r="H389" s="253" t="s">
        <v>3126</v>
      </c>
      <c r="I389" s="254" t="str">
        <f>'Dry_Litterbag Placem_Collection'!C170</f>
        <v>Wet_W1_T8</v>
      </c>
      <c r="J389" s="255" t="s">
        <v>2525</v>
      </c>
      <c r="K389" s="262" t="s">
        <v>298</v>
      </c>
      <c r="L389" s="221" t="str">
        <f>'WetLitterbags placem_collection'!M170</f>
        <v>R534</v>
      </c>
      <c r="M389" s="223">
        <f>IFERROR(INDEX('Green_rooibos initial weight'!$C$5:$C$2000,MATCH(L389, 'Green_rooibos initial weight'!$A$5:$A$2000,0)),"")</f>
        <v>2.17</v>
      </c>
      <c r="N389" s="223">
        <f>IFERROR(M389-(TBIcalc!$H$9+TBIcalc!$H$10),"")</f>
        <v>1.9201999999999999</v>
      </c>
      <c r="O389" s="378">
        <f>AVERAGE(Ashed_controlls!$K$2:$K$11)</f>
        <v>5.5147656768714146</v>
      </c>
      <c r="P389" s="223">
        <f t="shared" si="31"/>
        <v>1.814305469472715</v>
      </c>
      <c r="Q389" s="223">
        <f>IFERROR(INDEX('Both teabags AfterWet'!$C$3:$C$840,MATCH(L389,'Both teabags AfterWet'!$A$3:$A$840,0)),"")</f>
        <v>1.722</v>
      </c>
      <c r="R389" s="223">
        <f>IFERROR(IF(Q389&gt;0,Q389-(TBIcalc!$H$9),""),"")</f>
        <v>1.5713999999999999</v>
      </c>
      <c r="S389" s="223">
        <f>IFERROR(INDEX('Ashed teabags wet'!$K$2:$K$2000,MATCH(L389,'Ashed teabags wet'!$A$2:$A$2000,0)),"")</f>
        <v>1.9733596447958683</v>
      </c>
      <c r="T389" s="223">
        <f t="shared" si="32"/>
        <v>1.5403906265416776</v>
      </c>
      <c r="U389" s="224">
        <f>'WetLitterbags placem_collection'!E170</f>
        <v>42763</v>
      </c>
      <c r="V389" s="224">
        <f>IF('WetLitterbags placem_collection'!G170="","",'WetLitterbags placem_collection'!G170)</f>
        <v>42814</v>
      </c>
      <c r="W389" s="225">
        <f t="shared" si="30"/>
        <v>51</v>
      </c>
      <c r="X389" s="223">
        <f t="shared" si="33"/>
        <v>0.3488</v>
      </c>
      <c r="Y389" s="223">
        <f t="shared" si="34"/>
        <v>0.27391484293103741</v>
      </c>
      <c r="Z389">
        <f>IFERROR(INDEX([1]Rainfall_Wet!$O$2:$O$217,MATCH(C389, [1]Rainfall_Wet!$A$2:$A$217,0)),"")</f>
        <v>181.383442621</v>
      </c>
      <c r="AA389" s="226">
        <v>21.96</v>
      </c>
      <c r="AB389" s="226">
        <v>4.9199999999999982</v>
      </c>
      <c r="AC389" s="226">
        <v>73.12</v>
      </c>
      <c r="AD389" s="227" t="s">
        <v>2651</v>
      </c>
      <c r="AE389" s="226">
        <v>8.2416954164613099</v>
      </c>
      <c r="AF389">
        <f>IF('WetLitterbags placem_collection'!AB170="","",'WetLitterbags placem_collection'!AB170)</f>
        <v>2.4</v>
      </c>
      <c r="AG389">
        <f>IF('WetLitterbags placem_collection'!Z170="","",'WetLitterbags placem_collection'!Z170)</f>
        <v>46</v>
      </c>
      <c r="AH389" s="236" t="str">
        <f>IF('WetLitterbags placem_collection'!AA170="","",'WetLitterbags placem_collection'!AA170)</f>
        <v>M</v>
      </c>
      <c r="AI389">
        <f>IF('WetLitterbags placem_collection'!AC170="","",'WetLitterbags placem_collection'!AC170)</f>
        <v>0</v>
      </c>
      <c r="AJ389" s="233">
        <f>AVERAGE('WetLitterbags placem_collection'!S170,'WetLitterbags placem_collection'!U170)</f>
        <v>11.25</v>
      </c>
      <c r="AK389">
        <f>AVERAGE('WetLitterbags placem_collection'!R170,'WetLitterbags placem_collection'!T170)</f>
        <v>33.299999999999997</v>
      </c>
      <c r="AL389">
        <f>INDEX([2]Coordinates!$B$2:$B$197,MATCH(I389,[2]Coordinates!$J$2:$J$197,0))</f>
        <v>-2.2729129719999999</v>
      </c>
      <c r="AM389">
        <f>INDEX([2]Coordinates!$C$2:$C$197,MATCH(I389,[2]Coordinates!$J$2:$J$197,0))</f>
        <v>34.023350039999997</v>
      </c>
      <c r="AN389" t="str">
        <f>IF(ISNUMBER(SEARCH("C", 'WetLitterbags placem_collection'!$W170)),"YES","NO")</f>
        <v>NO</v>
      </c>
      <c r="AO389" t="str">
        <f>IF(ISNUMBER(SEARCH("H", 'WetLitterbags placem_collection'!$W170)),"YES","NO")</f>
        <v>NO</v>
      </c>
      <c r="AP389" t="str">
        <f>IF(ISNUMBER(SEARCH("R", 'WetLitterbags placem_collection'!$W170)),"YES","NO")</f>
        <v>NO</v>
      </c>
    </row>
    <row r="390" spans="1:42" ht="15" customHeight="1">
      <c r="A390" t="s">
        <v>3248</v>
      </c>
      <c r="B390" s="248" t="s">
        <v>2454</v>
      </c>
      <c r="C390" s="253">
        <f>'Dry_Litterbag Placem_Collection'!A171</f>
        <v>169</v>
      </c>
      <c r="D390" s="253" t="str">
        <f>'Dry_Litterbag Placem_Collection'!B171</f>
        <v>Handajega</v>
      </c>
      <c r="E390" s="253" t="s">
        <v>2454</v>
      </c>
      <c r="F390" s="253" t="s">
        <v>2645</v>
      </c>
      <c r="G390" s="253">
        <v>2</v>
      </c>
      <c r="H390" s="253" t="s">
        <v>3128</v>
      </c>
      <c r="I390" s="254" t="str">
        <f>'Dry_Litterbag Placem_Collection'!C171</f>
        <v>Wet_W2_T1</v>
      </c>
      <c r="J390" s="255" t="s">
        <v>2525</v>
      </c>
      <c r="K390" s="262" t="s">
        <v>298</v>
      </c>
      <c r="L390" s="221" t="str">
        <f>'WetLitterbags placem_collection'!M171</f>
        <v>R453</v>
      </c>
      <c r="M390" s="223">
        <f>IFERROR(INDEX('Green_rooibos initial weight'!$C$5:$C$2000,MATCH(L390, 'Green_rooibos initial weight'!$A$5:$A$2000,0)),"")</f>
        <v>2.165</v>
      </c>
      <c r="N390" s="223">
        <f>IFERROR(M390-(TBIcalc!$H$9+TBIcalc!$H$10),"")</f>
        <v>1.9152</v>
      </c>
      <c r="O390" s="378">
        <f>AVERAGE(Ashed_controlls!$K$2:$K$11)</f>
        <v>5.5147656768714146</v>
      </c>
      <c r="P390" s="223">
        <f t="shared" si="31"/>
        <v>1.8095812077565587</v>
      </c>
      <c r="Q390" s="223">
        <f>IFERROR(INDEX('Both teabags AfterWet'!$C$3:$C$840,MATCH(L390,'Both teabags AfterWet'!$A$3:$A$840,0)),"")</f>
        <v>0.14299999999999999</v>
      </c>
      <c r="R390" s="223">
        <f>IFERROR(IF(Q390&gt;0,Q390-(TBIcalc!$H$9),""),"")</f>
        <v>-7.6000000000000234E-3</v>
      </c>
      <c r="S390" s="223">
        <f>IFERROR(INDEX('Ashed teabags wet'!$K$2:$K$2000,MATCH(L390,'Ashed teabags wet'!$A$2:$A$2000,0)),"")</f>
        <v>0</v>
      </c>
      <c r="T390" s="223">
        <f t="shared" si="32"/>
        <v>-7.6000000000000234E-3</v>
      </c>
      <c r="U390" s="224">
        <f>'WetLitterbags placem_collection'!E171</f>
        <v>42763</v>
      </c>
      <c r="V390" s="224">
        <f>IF('WetLitterbags placem_collection'!G171="","",'WetLitterbags placem_collection'!G171)</f>
        <v>42814</v>
      </c>
      <c r="W390" s="225">
        <f t="shared" si="30"/>
        <v>51</v>
      </c>
      <c r="X390" s="223">
        <f t="shared" si="33"/>
        <v>1.9228000000000001</v>
      </c>
      <c r="Y390" s="223">
        <f t="shared" si="34"/>
        <v>1.8171812077565588</v>
      </c>
      <c r="Z390">
        <f>IFERROR(INDEX([1]Rainfall_Wet!$O$2:$O$217,MATCH(C390, [1]Rainfall_Wet!$A$2:$A$217,0)),"")</f>
        <v>181.383442621</v>
      </c>
      <c r="AA390" s="226">
        <v>23.96</v>
      </c>
      <c r="AB390" s="226">
        <v>4.9199999999999982</v>
      </c>
      <c r="AC390" s="226">
        <v>71.12</v>
      </c>
      <c r="AD390" s="227" t="s">
        <v>2651</v>
      </c>
      <c r="AE390" s="226">
        <v>3.30913750616067</v>
      </c>
      <c r="AF390">
        <f>IF('WetLitterbags placem_collection'!AB171="","",'WetLitterbags placem_collection'!AB171)</f>
        <v>8.1999999999999993</v>
      </c>
      <c r="AG390">
        <f>IF('WetLitterbags placem_collection'!Z171="","",'WetLitterbags placem_collection'!Z171)</f>
        <v>11.4</v>
      </c>
      <c r="AH390" s="236" t="str">
        <f>IF('WetLitterbags placem_collection'!AA171="","",'WetLitterbags placem_collection'!AA171)</f>
        <v>O</v>
      </c>
      <c r="AI390">
        <f>IF('WetLitterbags placem_collection'!AC171="","",'WetLitterbags placem_collection'!AC171)</f>
        <v>1</v>
      </c>
      <c r="AJ390" s="233">
        <f>AVERAGE('WetLitterbags placem_collection'!S171,'WetLitterbags placem_collection'!U171)</f>
        <v>9.65</v>
      </c>
      <c r="AK390">
        <f>AVERAGE('WetLitterbags placem_collection'!R171,'WetLitterbags placem_collection'!T171)</f>
        <v>36.200000000000003</v>
      </c>
      <c r="AL390">
        <f>INDEX([2]Coordinates!$B$2:$B$197,MATCH(I390,[2]Coordinates!$J$2:$J$197,0))</f>
        <v>-2.2784290180000002</v>
      </c>
      <c r="AM390">
        <f>INDEX([2]Coordinates!$C$2:$C$197,MATCH(I390,[2]Coordinates!$J$2:$J$197,0))</f>
        <v>34.024240030000001</v>
      </c>
      <c r="AN390" t="str">
        <f>IF(ISNUMBER(SEARCH("C", 'WetLitterbags placem_collection'!$W171)),"YES","NO")</f>
        <v>YES</v>
      </c>
      <c r="AO390" t="str">
        <f>IF(ISNUMBER(SEARCH("H", 'WetLitterbags placem_collection'!$W171)),"YES","NO")</f>
        <v>YES</v>
      </c>
      <c r="AP390" t="str">
        <f>IF(ISNUMBER(SEARCH("R", 'WetLitterbags placem_collection'!$W171)),"YES","NO")</f>
        <v>NO</v>
      </c>
    </row>
    <row r="391" spans="1:42" ht="15" customHeight="1">
      <c r="A391" t="s">
        <v>3248</v>
      </c>
      <c r="B391" s="248" t="s">
        <v>2454</v>
      </c>
      <c r="C391" s="253">
        <f>'Dry_Litterbag Placem_Collection'!A172</f>
        <v>170</v>
      </c>
      <c r="D391" s="253" t="str">
        <f>'Dry_Litterbag Placem_Collection'!B172</f>
        <v>Handajega</v>
      </c>
      <c r="E391" s="253" t="s">
        <v>2454</v>
      </c>
      <c r="F391" s="253" t="s">
        <v>2645</v>
      </c>
      <c r="G391" s="253">
        <v>2</v>
      </c>
      <c r="H391" s="253" t="s">
        <v>3128</v>
      </c>
      <c r="I391" s="254" t="str">
        <f>'Dry_Litterbag Placem_Collection'!C172</f>
        <v>Wet_W2_T2</v>
      </c>
      <c r="J391" s="255" t="s">
        <v>2525</v>
      </c>
      <c r="K391" s="262" t="s">
        <v>298</v>
      </c>
      <c r="L391" s="221" t="str">
        <f>'WetLitterbags placem_collection'!M172</f>
        <v>R330</v>
      </c>
      <c r="M391" s="223">
        <f>IFERROR(INDEX('Green_rooibos initial weight'!$C$5:$C$2000,MATCH(L391, 'Green_rooibos initial weight'!$A$5:$A$2000,0)),"")</f>
        <v>2.12</v>
      </c>
      <c r="N391" s="223">
        <f>IFERROR(M391-(TBIcalc!$H$9+TBIcalc!$H$10),"")</f>
        <v>1.8702000000000001</v>
      </c>
      <c r="O391" s="378">
        <f>AVERAGE(Ashed_controlls!$K$2:$K$11)</f>
        <v>5.5147656768714146</v>
      </c>
      <c r="P391" s="223">
        <f t="shared" si="31"/>
        <v>1.7670628523111509</v>
      </c>
      <c r="Q391" s="223">
        <f>IFERROR(INDEX('Both teabags AfterWet'!$C$3:$C$840,MATCH(L391,'Both teabags AfterWet'!$A$3:$A$840,0)),"")</f>
        <v>1.7769999999999999</v>
      </c>
      <c r="R391" s="223">
        <f>IFERROR(IF(Q391&gt;0,Q391-(TBIcalc!$H$9),""),"")</f>
        <v>1.6263999999999998</v>
      </c>
      <c r="S391" s="223">
        <f>IFERROR(INDEX('Ashed teabags wet'!$K$2:$K$2000,MATCH(L391,'Ashed teabags wet'!$A$2:$A$2000,0)),"")</f>
        <v>2.1642892277422194</v>
      </c>
      <c r="T391" s="223">
        <f t="shared" si="32"/>
        <v>1.5912000000000004</v>
      </c>
      <c r="U391" s="224">
        <f>'WetLitterbags placem_collection'!E172</f>
        <v>42763</v>
      </c>
      <c r="V391" s="224">
        <f>IF('WetLitterbags placem_collection'!G172="","",'WetLitterbags placem_collection'!G172)</f>
        <v>42814</v>
      </c>
      <c r="W391" s="225">
        <f t="shared" si="30"/>
        <v>51</v>
      </c>
      <c r="X391" s="223">
        <f t="shared" si="33"/>
        <v>0.24380000000000024</v>
      </c>
      <c r="Y391" s="223">
        <f t="shared" si="34"/>
        <v>0.17586285231115051</v>
      </c>
      <c r="Z391">
        <f>IFERROR(INDEX([1]Rainfall_Wet!$O$2:$O$217,MATCH(C391, [1]Rainfall_Wet!$A$2:$A$217,0)),"")</f>
        <v>181.383442621</v>
      </c>
      <c r="AA391" s="226">
        <v>23.96</v>
      </c>
      <c r="AB391" s="226">
        <v>4.9199999999999982</v>
      </c>
      <c r="AC391" s="226">
        <v>71.12</v>
      </c>
      <c r="AD391" s="227" t="s">
        <v>2651</v>
      </c>
      <c r="AE391" s="226">
        <v>4.3091375061606696</v>
      </c>
      <c r="AF391">
        <f>IF('WetLitterbags placem_collection'!AB172="","",'WetLitterbags placem_collection'!AB172)</f>
        <v>7.7</v>
      </c>
      <c r="AG391">
        <f>IF('WetLitterbags placem_collection'!Z172="","",'WetLitterbags placem_collection'!Z172)</f>
        <v>15.8</v>
      </c>
      <c r="AH391" s="236" t="str">
        <f>IF('WetLitterbags placem_collection'!AA172="","",'WetLitterbags placem_collection'!AA172)</f>
        <v>O</v>
      </c>
      <c r="AI391">
        <f>IF('WetLitterbags placem_collection'!AC172="","",'WetLitterbags placem_collection'!AC172)</f>
        <v>1</v>
      </c>
      <c r="AJ391" s="233">
        <f>AVERAGE('WetLitterbags placem_collection'!S172,'WetLitterbags placem_collection'!U172)</f>
        <v>8.1</v>
      </c>
      <c r="AK391">
        <f>AVERAGE('WetLitterbags placem_collection'!R172,'WetLitterbags placem_collection'!T172)</f>
        <v>33.599999999999994</v>
      </c>
      <c r="AL391">
        <f>INDEX([2]Coordinates!$B$2:$B$197,MATCH(I391,[2]Coordinates!$J$2:$J$197,0))</f>
        <v>-2.2784629650000001</v>
      </c>
      <c r="AM391">
        <f>INDEX([2]Coordinates!$C$2:$C$197,MATCH(I391,[2]Coordinates!$J$2:$J$197,0))</f>
        <v>34.024177999999999</v>
      </c>
      <c r="AN391" t="str">
        <f>IF(ISNUMBER(SEARCH("C", 'WetLitterbags placem_collection'!$W172)),"YES","NO")</f>
        <v>NO</v>
      </c>
      <c r="AO391" t="str">
        <f>IF(ISNUMBER(SEARCH("H", 'WetLitterbags placem_collection'!$W172)),"YES","NO")</f>
        <v>NO</v>
      </c>
      <c r="AP391" t="str">
        <f>IF(ISNUMBER(SEARCH("R", 'WetLitterbags placem_collection'!$W172)),"YES","NO")</f>
        <v>NO</v>
      </c>
    </row>
    <row r="392" spans="1:42" ht="15" customHeight="1">
      <c r="A392" t="s">
        <v>3248</v>
      </c>
      <c r="B392" s="248" t="s">
        <v>2454</v>
      </c>
      <c r="C392" s="253">
        <f>'Dry_Litterbag Placem_Collection'!A173</f>
        <v>171</v>
      </c>
      <c r="D392" s="253" t="str">
        <f>'Dry_Litterbag Placem_Collection'!B173</f>
        <v>Handajega</v>
      </c>
      <c r="E392" s="253" t="s">
        <v>2454</v>
      </c>
      <c r="F392" s="253" t="s">
        <v>2645</v>
      </c>
      <c r="G392" s="253">
        <v>2</v>
      </c>
      <c r="H392" s="253" t="s">
        <v>3128</v>
      </c>
      <c r="I392" s="254" t="str">
        <f>'Dry_Litterbag Placem_Collection'!C173</f>
        <v>Wet_W2_T3</v>
      </c>
      <c r="J392" s="255" t="s">
        <v>2525</v>
      </c>
      <c r="K392" s="262" t="s">
        <v>298</v>
      </c>
      <c r="L392" s="221" t="str">
        <f>'WetLitterbags placem_collection'!M173</f>
        <v>R558</v>
      </c>
      <c r="M392" s="223">
        <f>IFERROR(INDEX('Green_rooibos initial weight'!$C$5:$C$2000,MATCH(L392, 'Green_rooibos initial weight'!$A$5:$A$2000,0)),"")</f>
        <v>2.1760000000000002</v>
      </c>
      <c r="N392" s="223">
        <f>IFERROR(M392-(TBIcalc!$H$9+TBIcalc!$H$10),"")</f>
        <v>1.9262000000000001</v>
      </c>
      <c r="O392" s="378">
        <f>AVERAGE(Ashed_controlls!$K$2:$K$11)</f>
        <v>5.5147656768714146</v>
      </c>
      <c r="P392" s="223">
        <f t="shared" si="31"/>
        <v>1.8199745835321028</v>
      </c>
      <c r="Q392" s="223">
        <f>IFERROR(INDEX('Both teabags AfterWet'!$C$3:$C$840,MATCH(L392,'Both teabags AfterWet'!$A$3:$A$840,0)),"")</f>
        <v>1.61</v>
      </c>
      <c r="R392" s="223">
        <f>IFERROR(IF(Q392&gt;0,Q392-(TBIcalc!$H$9),""),"")</f>
        <v>1.4594</v>
      </c>
      <c r="S392" s="223">
        <f>IFERROR(INDEX('Ashed teabags wet'!$K$2:$K$2000,MATCH(L392,'Ashed teabags wet'!$A$2:$A$2000,0)),"")</f>
        <v>2.9640427599611376</v>
      </c>
      <c r="T392" s="223">
        <f t="shared" si="32"/>
        <v>1.4161427599611272</v>
      </c>
      <c r="U392" s="224">
        <f>'WetLitterbags placem_collection'!E173</f>
        <v>42763</v>
      </c>
      <c r="V392" s="224">
        <f>IF('WetLitterbags placem_collection'!G173="","",'WetLitterbags placem_collection'!G173)</f>
        <v>42814</v>
      </c>
      <c r="W392" s="225">
        <f t="shared" si="30"/>
        <v>51</v>
      </c>
      <c r="X392" s="223">
        <f t="shared" si="33"/>
        <v>0.4668000000000001</v>
      </c>
      <c r="Y392" s="223">
        <f t="shared" si="34"/>
        <v>0.40383182357097569</v>
      </c>
      <c r="Z392">
        <f>IFERROR(INDEX([1]Rainfall_Wet!$O$2:$O$217,MATCH(C392, [1]Rainfall_Wet!$A$2:$A$217,0)),"")</f>
        <v>181.383442621</v>
      </c>
      <c r="AA392" s="226">
        <v>23.96</v>
      </c>
      <c r="AB392" s="226">
        <v>4.9199999999999982</v>
      </c>
      <c r="AC392" s="226">
        <v>71.12</v>
      </c>
      <c r="AD392" s="227" t="s">
        <v>2651</v>
      </c>
      <c r="AE392" s="226">
        <v>5.3091375061606696</v>
      </c>
      <c r="AF392">
        <f>IF('WetLitterbags placem_collection'!AB173="","",'WetLitterbags placem_collection'!AB173)</f>
        <v>13.4</v>
      </c>
      <c r="AG392">
        <f>IF('WetLitterbags placem_collection'!Z173="","",'WetLitterbags placem_collection'!Z173)</f>
        <v>7.6</v>
      </c>
      <c r="AH392" s="236" t="str">
        <f>IF('WetLitterbags placem_collection'!AA173="","",'WetLitterbags placem_collection'!AA173)</f>
        <v>O</v>
      </c>
      <c r="AI392">
        <f>IF('WetLitterbags placem_collection'!AC173="","",'WetLitterbags placem_collection'!AC173)</f>
        <v>1</v>
      </c>
      <c r="AJ392" s="233">
        <f>AVERAGE('WetLitterbags placem_collection'!S173,'WetLitterbags placem_collection'!U173)</f>
        <v>10.5</v>
      </c>
      <c r="AK392">
        <f>AVERAGE('WetLitterbags placem_collection'!R173,'WetLitterbags placem_collection'!T173)</f>
        <v>34.15</v>
      </c>
      <c r="AL392">
        <f>INDEX([2]Coordinates!$B$2:$B$197,MATCH(I392,[2]Coordinates!$J$2:$J$197,0))</f>
        <v>-2.2785389889999998</v>
      </c>
      <c r="AM392">
        <f>INDEX([2]Coordinates!$C$2:$C$197,MATCH(I392,[2]Coordinates!$J$2:$J$197,0))</f>
        <v>34.024371039999998</v>
      </c>
      <c r="AN392" t="str">
        <f>IF(ISNUMBER(SEARCH("C", 'WetLitterbags placem_collection'!$W173)),"YES","NO")</f>
        <v>NO</v>
      </c>
      <c r="AO392" t="str">
        <f>IF(ISNUMBER(SEARCH("H", 'WetLitterbags placem_collection'!$W173)),"YES","NO")</f>
        <v>NO</v>
      </c>
      <c r="AP392" t="str">
        <f>IF(ISNUMBER(SEARCH("R", 'WetLitterbags placem_collection'!$W173)),"YES","NO")</f>
        <v>NO</v>
      </c>
    </row>
    <row r="393" spans="1:42" ht="15" customHeight="1">
      <c r="A393" t="s">
        <v>3248</v>
      </c>
      <c r="B393" s="248" t="s">
        <v>2454</v>
      </c>
      <c r="C393" s="253">
        <f>'Dry_Litterbag Placem_Collection'!A174</f>
        <v>172</v>
      </c>
      <c r="D393" s="253" t="str">
        <f>'Dry_Litterbag Placem_Collection'!B174</f>
        <v>Handajega</v>
      </c>
      <c r="E393" s="253" t="s">
        <v>2454</v>
      </c>
      <c r="F393" s="253" t="s">
        <v>2645</v>
      </c>
      <c r="G393" s="253">
        <v>2</v>
      </c>
      <c r="H393" s="253" t="s">
        <v>3128</v>
      </c>
      <c r="I393" s="254" t="str">
        <f>'Dry_Litterbag Placem_Collection'!C174</f>
        <v>Wet_W2_T4</v>
      </c>
      <c r="J393" s="255" t="s">
        <v>2525</v>
      </c>
      <c r="K393" s="262" t="s">
        <v>298</v>
      </c>
      <c r="L393" s="221" t="str">
        <f>'WetLitterbags placem_collection'!M174</f>
        <v>R157</v>
      </c>
      <c r="M393" s="223">
        <f>IFERROR(INDEX('Green_rooibos initial weight'!$C$5:$C$2000,MATCH(L393, 'Green_rooibos initial weight'!$A$5:$A$2000,0)),"")</f>
        <v>2.1819999999999999</v>
      </c>
      <c r="N393" s="223">
        <f>IFERROR(M393-(TBIcalc!$H$9+TBIcalc!$H$10),"")</f>
        <v>1.9321999999999999</v>
      </c>
      <c r="O393" s="378">
        <f>AVERAGE(Ashed_controlls!$K$2:$K$11)</f>
        <v>5.5147656768714146</v>
      </c>
      <c r="P393" s="223">
        <f t="shared" si="31"/>
        <v>1.8256436975914905</v>
      </c>
      <c r="Q393" s="223">
        <f>IFERROR(INDEX('Both teabags AfterWet'!$C$3:$C$840,MATCH(L393,'Both teabags AfterWet'!$A$3:$A$840,0)),"")</f>
        <v>1.6782000000000001</v>
      </c>
      <c r="R393" s="223">
        <f>IFERROR(IF(Q393&gt;0,Q393-(TBIcalc!$H$9),""),"")</f>
        <v>1.5276000000000001</v>
      </c>
      <c r="S393" s="223">
        <f>IFERROR(INDEX('Ashed teabags wet'!$K$2:$K$2000,MATCH(L393,'Ashed teabags wet'!$A$2:$A$2000,0)),"")</f>
        <v>4.6332046332039889</v>
      </c>
      <c r="T393" s="223">
        <f t="shared" si="32"/>
        <v>1.4568231660231759</v>
      </c>
      <c r="U393" s="224">
        <f>'WetLitterbags placem_collection'!E174</f>
        <v>42763</v>
      </c>
      <c r="V393" s="224">
        <f>IF('WetLitterbags placem_collection'!G174="","",'WetLitterbags placem_collection'!G174)</f>
        <v>42814</v>
      </c>
      <c r="W393" s="225">
        <f t="shared" si="30"/>
        <v>51</v>
      </c>
      <c r="X393" s="223">
        <f t="shared" si="33"/>
        <v>0.40459999999999985</v>
      </c>
      <c r="Y393" s="223">
        <f t="shared" si="34"/>
        <v>0.36882053156831462</v>
      </c>
      <c r="Z393">
        <f>IFERROR(INDEX([1]Rainfall_Wet!$O$2:$O$217,MATCH(C393, [1]Rainfall_Wet!$A$2:$A$217,0)),"")</f>
        <v>181.383442621</v>
      </c>
      <c r="AA393" s="226">
        <v>23.96</v>
      </c>
      <c r="AB393" s="226">
        <v>4.9199999999999982</v>
      </c>
      <c r="AC393" s="226">
        <v>71.12</v>
      </c>
      <c r="AD393" s="227" t="s">
        <v>2651</v>
      </c>
      <c r="AE393" s="226">
        <v>6.3091375061606696</v>
      </c>
      <c r="AF393">
        <f>IF('WetLitterbags placem_collection'!AB174="","",'WetLitterbags placem_collection'!AB174)</f>
        <v>3.3</v>
      </c>
      <c r="AG393">
        <f>IF('WetLitterbags placem_collection'!Z174="","",'WetLitterbags placem_collection'!Z174)</f>
        <v>28.4</v>
      </c>
      <c r="AH393" s="236" t="str">
        <f>IF('WetLitterbags placem_collection'!AA174="","",'WetLitterbags placem_collection'!AA174)</f>
        <v>G</v>
      </c>
      <c r="AI393">
        <f>IF('WetLitterbags placem_collection'!AC174="","",'WetLitterbags placem_collection'!AC174)</f>
        <v>1</v>
      </c>
      <c r="AJ393" s="233">
        <f>AVERAGE('WetLitterbags placem_collection'!S174,'WetLitterbags placem_collection'!U174)</f>
        <v>9.6499999999999986</v>
      </c>
      <c r="AK393">
        <f>AVERAGE('WetLitterbags placem_collection'!R174,'WetLitterbags placem_collection'!T174)</f>
        <v>35.1</v>
      </c>
      <c r="AL393">
        <f>INDEX([2]Coordinates!$B$2:$B$197,MATCH(I393,[2]Coordinates!$J$2:$J$197,0))</f>
        <v>-2.2781410160000002</v>
      </c>
      <c r="AM393">
        <f>INDEX([2]Coordinates!$C$2:$C$197,MATCH(I393,[2]Coordinates!$J$2:$J$197,0))</f>
        <v>34.024136009999999</v>
      </c>
      <c r="AN393" t="str">
        <f>IF(ISNUMBER(SEARCH("C", 'WetLitterbags placem_collection'!$W174)),"YES","NO")</f>
        <v>NO</v>
      </c>
      <c r="AO393" t="str">
        <f>IF(ISNUMBER(SEARCH("H", 'WetLitterbags placem_collection'!$W174)),"YES","NO")</f>
        <v>NO</v>
      </c>
      <c r="AP393" t="str">
        <f>IF(ISNUMBER(SEARCH("R", 'WetLitterbags placem_collection'!$W174)),"YES","NO")</f>
        <v>YES</v>
      </c>
    </row>
    <row r="394" spans="1:42" ht="15" customHeight="1">
      <c r="A394" t="s">
        <v>3248</v>
      </c>
      <c r="B394" s="248" t="s">
        <v>2454</v>
      </c>
      <c r="C394" s="253">
        <f>'Dry_Litterbag Placem_Collection'!A175</f>
        <v>173</v>
      </c>
      <c r="D394" s="253" t="str">
        <f>'Dry_Litterbag Placem_Collection'!B175</f>
        <v>Handajega</v>
      </c>
      <c r="E394" s="253" t="s">
        <v>2454</v>
      </c>
      <c r="F394" s="253" t="s">
        <v>2645</v>
      </c>
      <c r="G394" s="253">
        <v>2</v>
      </c>
      <c r="H394" s="253" t="s">
        <v>3128</v>
      </c>
      <c r="I394" s="254" t="str">
        <f>'Dry_Litterbag Placem_Collection'!C175</f>
        <v>Wet_W2_T5</v>
      </c>
      <c r="J394" s="255" t="s">
        <v>2525</v>
      </c>
      <c r="K394" s="262" t="s">
        <v>298</v>
      </c>
      <c r="L394" s="221" t="str">
        <f>'WetLitterbags placem_collection'!M175</f>
        <v>R57</v>
      </c>
      <c r="M394" s="223">
        <f>IFERROR(INDEX('Green_rooibos initial weight'!$C$5:$C$2000,MATCH(L394, 'Green_rooibos initial weight'!$A$5:$A$2000,0)),"")</f>
        <v>2.1890000000000001</v>
      </c>
      <c r="N394" s="223">
        <f>IFERROR(M394-(TBIcalc!$H$9+TBIcalc!$H$10),"")</f>
        <v>1.9392</v>
      </c>
      <c r="O394" s="378">
        <f>AVERAGE(Ashed_controlls!$K$2:$K$11)</f>
        <v>5.5147656768714146</v>
      </c>
      <c r="P394" s="223">
        <f t="shared" si="31"/>
        <v>1.8322576639941095</v>
      </c>
      <c r="Q394" s="223">
        <f>IFERROR(INDEX('Both teabags AfterWet'!$C$3:$C$840,MATCH(L394,'Both teabags AfterWet'!$A$3:$A$840,0)),"")</f>
        <v>7.1999999999999995E-2</v>
      </c>
      <c r="R394" s="223">
        <f>IFERROR(IF(Q394&gt;0,Q394-(TBIcalc!$H$9),""),"")</f>
        <v>-7.8600000000000017E-2</v>
      </c>
      <c r="S394" s="223">
        <f>IFERROR(INDEX('Ashed teabags wet'!$K$2:$K$2000,MATCH(L394,'Ashed teabags wet'!$A$2:$A$2000,0)),"")</f>
        <v>0</v>
      </c>
      <c r="T394" s="223">
        <f t="shared" si="32"/>
        <v>-7.8600000000000017E-2</v>
      </c>
      <c r="U394" s="224">
        <f>'WetLitterbags placem_collection'!E175</f>
        <v>42763</v>
      </c>
      <c r="V394" s="224">
        <f>IF('WetLitterbags placem_collection'!G175="","",'WetLitterbags placem_collection'!G175)</f>
        <v>42814</v>
      </c>
      <c r="W394" s="225">
        <f t="shared" si="30"/>
        <v>51</v>
      </c>
      <c r="X394" s="223">
        <f t="shared" si="33"/>
        <v>2.0178000000000003</v>
      </c>
      <c r="Y394" s="223">
        <f t="shared" si="34"/>
        <v>1.9108576639941095</v>
      </c>
      <c r="Z394">
        <f>IFERROR(INDEX([1]Rainfall_Wet!$O$2:$O$217,MATCH(C394, [1]Rainfall_Wet!$A$2:$A$217,0)),"")</f>
        <v>181.383442621</v>
      </c>
      <c r="AA394" s="226">
        <v>23.96</v>
      </c>
      <c r="AB394" s="226">
        <v>4.9199999999999982</v>
      </c>
      <c r="AC394" s="226">
        <v>71.12</v>
      </c>
      <c r="AD394" s="227" t="s">
        <v>2651</v>
      </c>
      <c r="AE394" s="226">
        <v>7.3091375061606696</v>
      </c>
      <c r="AF394">
        <f>IF('WetLitterbags placem_collection'!AB175="","",'WetLitterbags placem_collection'!AB175)</f>
        <v>15.4</v>
      </c>
      <c r="AG394">
        <f>IF('WetLitterbags placem_collection'!Z175="","",'WetLitterbags placem_collection'!Z175)</f>
        <v>12.4</v>
      </c>
      <c r="AH394" s="236" t="str">
        <f>IF('WetLitterbags placem_collection'!AA175="","",'WetLitterbags placem_collection'!AA175)</f>
        <v>O</v>
      </c>
      <c r="AI394">
        <f>IF('WetLitterbags placem_collection'!AC175="","",'WetLitterbags placem_collection'!AC175)</f>
        <v>0</v>
      </c>
      <c r="AJ394" s="233">
        <f>AVERAGE('WetLitterbags placem_collection'!S175,'WetLitterbags placem_collection'!U175)</f>
        <v>10.450000000000001</v>
      </c>
      <c r="AK394">
        <f>AVERAGE('WetLitterbags placem_collection'!R175,'WetLitterbags placem_collection'!T175)</f>
        <v>36.349999999999994</v>
      </c>
      <c r="AL394">
        <f>INDEX([2]Coordinates!$B$2:$B$197,MATCH(I394,[2]Coordinates!$J$2:$J$197,0))</f>
        <v>-2.27856799</v>
      </c>
      <c r="AM394">
        <f>INDEX([2]Coordinates!$C$2:$C$197,MATCH(I394,[2]Coordinates!$J$2:$J$197,0))</f>
        <v>34.023969970000003</v>
      </c>
      <c r="AN394" t="str">
        <f>IF(ISNUMBER(SEARCH("C", 'WetLitterbags placem_collection'!$W175)),"YES","NO")</f>
        <v>YES</v>
      </c>
      <c r="AO394" t="str">
        <f>IF(ISNUMBER(SEARCH("H", 'WetLitterbags placem_collection'!$W175)),"YES","NO")</f>
        <v>YES</v>
      </c>
      <c r="AP394" t="str">
        <f>IF(ISNUMBER(SEARCH("R", 'WetLitterbags placem_collection'!$W175)),"YES","NO")</f>
        <v>NO</v>
      </c>
    </row>
    <row r="395" spans="1:42" ht="15" customHeight="1">
      <c r="A395" t="s">
        <v>3248</v>
      </c>
      <c r="B395" s="248" t="s">
        <v>2454</v>
      </c>
      <c r="C395" s="253">
        <f>'Dry_Litterbag Placem_Collection'!A176</f>
        <v>174</v>
      </c>
      <c r="D395" s="253" t="str">
        <f>'Dry_Litterbag Placem_Collection'!B176</f>
        <v>Handajega</v>
      </c>
      <c r="E395" s="253" t="s">
        <v>2454</v>
      </c>
      <c r="F395" s="253" t="s">
        <v>2645</v>
      </c>
      <c r="G395" s="253">
        <v>2</v>
      </c>
      <c r="H395" s="253" t="s">
        <v>3128</v>
      </c>
      <c r="I395" s="254" t="str">
        <f>'Dry_Litterbag Placem_Collection'!C176</f>
        <v>Wet_W2_T6</v>
      </c>
      <c r="J395" s="255" t="s">
        <v>2525</v>
      </c>
      <c r="K395" s="262" t="s">
        <v>298</v>
      </c>
      <c r="L395" s="221" t="str">
        <f>'WetLitterbags placem_collection'!M176</f>
        <v>R307</v>
      </c>
      <c r="M395" s="223">
        <f>IFERROR(INDEX('Green_rooibos initial weight'!$C$5:$C$2000,MATCH(L395, 'Green_rooibos initial weight'!$A$5:$A$2000,0)),"")</f>
        <v>2.2010000000000001</v>
      </c>
      <c r="N395" s="223">
        <f>IFERROR(M395-(TBIcalc!$H$9+TBIcalc!$H$10),"")</f>
        <v>1.9512</v>
      </c>
      <c r="O395" s="378">
        <f>AVERAGE(Ashed_controlls!$K$2:$K$11)</f>
        <v>5.5147656768714146</v>
      </c>
      <c r="P395" s="223">
        <f t="shared" si="31"/>
        <v>1.843595892112885</v>
      </c>
      <c r="Q395" s="223">
        <f>IFERROR(INDEX('Both teabags AfterWet'!$C$3:$C$840,MATCH(L395,'Both teabags AfterWet'!$A$3:$A$840,0)),"")</f>
        <v>1.724</v>
      </c>
      <c r="R395" s="223">
        <f>IFERROR(IF(Q395&gt;0,Q395-(TBIcalc!$H$9),""),"")</f>
        <v>1.5733999999999999</v>
      </c>
      <c r="S395" s="223">
        <f>IFERROR(INDEX('Ashed teabags wet'!$K$2:$K$2000,MATCH(L395,'Ashed teabags wet'!$A$2:$A$2000,0)),"")</f>
        <v>1.5880893300249692</v>
      </c>
      <c r="T395" s="223">
        <f t="shared" si="32"/>
        <v>1.5484130024813871</v>
      </c>
      <c r="U395" s="224">
        <f>'WetLitterbags placem_collection'!E176</f>
        <v>42763</v>
      </c>
      <c r="V395" s="224">
        <f>IF('WetLitterbags placem_collection'!G176="","",'WetLitterbags placem_collection'!G176)</f>
        <v>42814</v>
      </c>
      <c r="W395" s="225">
        <f t="shared" si="30"/>
        <v>51</v>
      </c>
      <c r="X395" s="223">
        <f t="shared" si="33"/>
        <v>0.37780000000000014</v>
      </c>
      <c r="Y395" s="223">
        <f t="shared" si="34"/>
        <v>0.29518288963149786</v>
      </c>
      <c r="Z395">
        <f>IFERROR(INDEX([1]Rainfall_Wet!$O$2:$O$217,MATCH(C395, [1]Rainfall_Wet!$A$2:$A$217,0)),"")</f>
        <v>181.383442621</v>
      </c>
      <c r="AA395" s="226">
        <v>23.96</v>
      </c>
      <c r="AB395" s="226">
        <v>4.9199999999999982</v>
      </c>
      <c r="AC395" s="226">
        <v>71.12</v>
      </c>
      <c r="AD395" s="227" t="s">
        <v>2651</v>
      </c>
      <c r="AE395" s="226">
        <v>8.3091375061606705</v>
      </c>
      <c r="AF395">
        <f>IF('WetLitterbags placem_collection'!AB176="","",'WetLitterbags placem_collection'!AB176)</f>
        <v>7.4</v>
      </c>
      <c r="AG395">
        <f>IF('WetLitterbags placem_collection'!Z176="","",'WetLitterbags placem_collection'!Z176)</f>
        <v>7.4</v>
      </c>
      <c r="AH395" s="236" t="str">
        <f>IF('WetLitterbags placem_collection'!AA176="","",'WetLitterbags placem_collection'!AA176)</f>
        <v>O</v>
      </c>
      <c r="AI395">
        <f>IF('WetLitterbags placem_collection'!AC176="","",'WetLitterbags placem_collection'!AC176)</f>
        <v>0</v>
      </c>
      <c r="AJ395" s="233">
        <f>AVERAGE('WetLitterbags placem_collection'!S176,'WetLitterbags placem_collection'!U176)</f>
        <v>17.75</v>
      </c>
      <c r="AK395">
        <f>AVERAGE('WetLitterbags placem_collection'!R176,'WetLitterbags placem_collection'!T176)</f>
        <v>34.85</v>
      </c>
      <c r="AL395">
        <f>INDEX([2]Coordinates!$B$2:$B$197,MATCH(I395,[2]Coordinates!$J$2:$J$197,0))</f>
        <v>-2.2786809780000001</v>
      </c>
      <c r="AM395">
        <f>INDEX([2]Coordinates!$C$2:$C$197,MATCH(I395,[2]Coordinates!$J$2:$J$197,0))</f>
        <v>34.02434899</v>
      </c>
      <c r="AN395" t="str">
        <f>IF(ISNUMBER(SEARCH("C", 'WetLitterbags placem_collection'!$W176)),"YES","NO")</f>
        <v>NO</v>
      </c>
      <c r="AO395" t="str">
        <f>IF(ISNUMBER(SEARCH("H", 'WetLitterbags placem_collection'!$W176)),"YES","NO")</f>
        <v>NO</v>
      </c>
      <c r="AP395" t="str">
        <f>IF(ISNUMBER(SEARCH("R", 'WetLitterbags placem_collection'!$W176)),"YES","NO")</f>
        <v>YES</v>
      </c>
    </row>
    <row r="396" spans="1:42" ht="15" customHeight="1">
      <c r="A396" t="s">
        <v>3248</v>
      </c>
      <c r="B396" s="248" t="s">
        <v>2454</v>
      </c>
      <c r="C396" s="253">
        <f>'Dry_Litterbag Placem_Collection'!A177</f>
        <v>175</v>
      </c>
      <c r="D396" s="253" t="str">
        <f>'Dry_Litterbag Placem_Collection'!B177</f>
        <v>Handajega</v>
      </c>
      <c r="E396" s="253" t="s">
        <v>2454</v>
      </c>
      <c r="F396" s="253" t="s">
        <v>2645</v>
      </c>
      <c r="G396" s="253">
        <v>2</v>
      </c>
      <c r="H396" s="253" t="s">
        <v>3128</v>
      </c>
      <c r="I396" s="254" t="str">
        <f>'Dry_Litterbag Placem_Collection'!C177</f>
        <v>Wet_W2_T7</v>
      </c>
      <c r="J396" s="255" t="s">
        <v>2525</v>
      </c>
      <c r="K396" s="262" t="s">
        <v>298</v>
      </c>
      <c r="L396" s="221" t="str">
        <f>'WetLitterbags placem_collection'!M177</f>
        <v>R458</v>
      </c>
      <c r="M396" s="223">
        <f>IFERROR(INDEX('Green_rooibos initial weight'!$C$5:$C$2000,MATCH(L396, 'Green_rooibos initial weight'!$A$5:$A$2000,0)),"")</f>
        <v>2.2370000000000001</v>
      </c>
      <c r="N396" s="223">
        <f>IFERROR(M396-(TBIcalc!$H$9+TBIcalc!$H$10),"")</f>
        <v>1.9872000000000001</v>
      </c>
      <c r="O396" s="378">
        <f>AVERAGE(Ashed_controlls!$K$2:$K$11)</f>
        <v>5.5147656768714146</v>
      </c>
      <c r="P396" s="223">
        <f t="shared" si="31"/>
        <v>1.8776105764692113</v>
      </c>
      <c r="Q396" s="223">
        <f>IFERROR(INDEX('Both teabags AfterWet'!$C$3:$C$840,MATCH(L396,'Both teabags AfterWet'!$A$3:$A$840,0)),"")</f>
        <v>0.61699999999999999</v>
      </c>
      <c r="R396" s="223">
        <f>IFERROR(IF(Q396&gt;0,Q396-(TBIcalc!$H$9),""),"")</f>
        <v>0.46639999999999998</v>
      </c>
      <c r="S396" s="223">
        <f>IFERROR(INDEX('Ashed teabags wet'!$K$2:$K$2000,MATCH(L396,'Ashed teabags wet'!$A$2:$A$2000,0)),"")</f>
        <v>65.665665665665671</v>
      </c>
      <c r="T396" s="223">
        <f t="shared" si="32"/>
        <v>0.1601353353353353</v>
      </c>
      <c r="U396" s="224">
        <f>'WetLitterbags placem_collection'!E177</f>
        <v>42763</v>
      </c>
      <c r="V396" s="224">
        <f>IF('WetLitterbags placem_collection'!G177="","",'WetLitterbags placem_collection'!G177)</f>
        <v>42814</v>
      </c>
      <c r="W396" s="225">
        <f t="shared" si="30"/>
        <v>51</v>
      </c>
      <c r="X396" s="223">
        <f t="shared" si="33"/>
        <v>1.5208000000000002</v>
      </c>
      <c r="Y396" s="223">
        <f t="shared" si="34"/>
        <v>1.7174752411338758</v>
      </c>
      <c r="Z396">
        <f>IFERROR(INDEX([1]Rainfall_Wet!$O$2:$O$217,MATCH(C396, [1]Rainfall_Wet!$A$2:$A$217,0)),"")</f>
        <v>181.383442621</v>
      </c>
      <c r="AA396" s="226">
        <v>23.96</v>
      </c>
      <c r="AB396" s="226">
        <v>4.9199999999999982</v>
      </c>
      <c r="AC396" s="226">
        <v>71.12</v>
      </c>
      <c r="AD396" s="227" t="s">
        <v>2651</v>
      </c>
      <c r="AE396" s="226">
        <v>9.3091375061606705</v>
      </c>
      <c r="AF396">
        <f>IF('WetLitterbags placem_collection'!AB177="","",'WetLitterbags placem_collection'!AB177)</f>
        <v>15.4</v>
      </c>
      <c r="AG396">
        <f>IF('WetLitterbags placem_collection'!Z177="","",'WetLitterbags placem_collection'!Z177)</f>
        <v>9.8000000000000007</v>
      </c>
      <c r="AH396" s="236" t="str">
        <f>IF('WetLitterbags placem_collection'!AA177="","",'WetLitterbags placem_collection'!AA177)</f>
        <v>O</v>
      </c>
      <c r="AI396">
        <f>IF('WetLitterbags placem_collection'!AC177="","",'WetLitterbags placem_collection'!AC177)</f>
        <v>1</v>
      </c>
      <c r="AJ396" s="233">
        <f>AVERAGE('WetLitterbags placem_collection'!S177,'WetLitterbags placem_collection'!U177)</f>
        <v>11.55</v>
      </c>
      <c r="AK396">
        <f>AVERAGE('WetLitterbags placem_collection'!R177,'WetLitterbags placem_collection'!T177)</f>
        <v>36.25</v>
      </c>
      <c r="AL396">
        <f>INDEX([2]Coordinates!$B$2:$B$197,MATCH(I396,[2]Coordinates!$J$2:$J$197,0))</f>
        <v>-2.2784219779999999</v>
      </c>
      <c r="AM396">
        <f>INDEX([2]Coordinates!$C$2:$C$197,MATCH(I396,[2]Coordinates!$J$2:$J$197,0))</f>
        <v>34.024374979999997</v>
      </c>
      <c r="AN396" t="str">
        <f>IF(ISNUMBER(SEARCH("C", 'WetLitterbags placem_collection'!$W177)),"YES","NO")</f>
        <v>YES</v>
      </c>
      <c r="AO396" t="str">
        <f>IF(ISNUMBER(SEARCH("H", 'WetLitterbags placem_collection'!$W177)),"YES","NO")</f>
        <v>YES</v>
      </c>
      <c r="AP396" t="str">
        <f>IF(ISNUMBER(SEARCH("R", 'WetLitterbags placem_collection'!$W177)),"YES","NO")</f>
        <v>NO</v>
      </c>
    </row>
    <row r="397" spans="1:42" ht="15" customHeight="1">
      <c r="A397" t="s">
        <v>3248</v>
      </c>
      <c r="B397" s="248" t="s">
        <v>2454</v>
      </c>
      <c r="C397" s="253">
        <f>'Dry_Litterbag Placem_Collection'!A178</f>
        <v>176</v>
      </c>
      <c r="D397" s="253" t="str">
        <f>'Dry_Litterbag Placem_Collection'!B178</f>
        <v>Handajega</v>
      </c>
      <c r="E397" s="253" t="s">
        <v>2454</v>
      </c>
      <c r="F397" s="253" t="s">
        <v>2645</v>
      </c>
      <c r="G397" s="253">
        <v>2</v>
      </c>
      <c r="H397" s="253" t="s">
        <v>3128</v>
      </c>
      <c r="I397" s="254" t="str">
        <f>'Dry_Litterbag Placem_Collection'!C178</f>
        <v>Wet_W2_T8</v>
      </c>
      <c r="J397" s="255" t="s">
        <v>2525</v>
      </c>
      <c r="K397" s="262" t="s">
        <v>298</v>
      </c>
      <c r="L397" s="221" t="str">
        <f>'WetLitterbags placem_collection'!M178</f>
        <v>R326</v>
      </c>
      <c r="M397" s="223">
        <f>IFERROR(INDEX('Green_rooibos initial weight'!$C$5:$C$2000,MATCH(L397, 'Green_rooibos initial weight'!$A$5:$A$2000,0)),"")</f>
        <v>2.1890000000000001</v>
      </c>
      <c r="N397" s="223">
        <f>IFERROR(M397-(TBIcalc!$H$9+TBIcalc!$H$10),"")</f>
        <v>1.9392</v>
      </c>
      <c r="O397" s="378">
        <f>AVERAGE(Ashed_controlls!$K$2:$K$11)</f>
        <v>5.5147656768714146</v>
      </c>
      <c r="P397" s="223">
        <f t="shared" si="31"/>
        <v>1.8322576639941095</v>
      </c>
      <c r="Q397" s="223">
        <f>IFERROR(INDEX('Both teabags AfterWet'!$C$3:$C$840,MATCH(L397,'Both teabags AfterWet'!$A$3:$A$840,0)),"")</f>
        <v>1.694</v>
      </c>
      <c r="R397" s="223">
        <f>IFERROR(IF(Q397&gt;0,Q397-(TBIcalc!$H$9),""),"")</f>
        <v>1.5433999999999999</v>
      </c>
      <c r="S397" s="223">
        <f>IFERROR(INDEX('Ashed teabags wet'!$K$2:$K$2000,MATCH(L397,'Ashed teabags wet'!$A$2:$A$2000,0)),"")</f>
        <v>5.9808612440189712</v>
      </c>
      <c r="T397" s="223">
        <f t="shared" si="32"/>
        <v>1.451091387559811</v>
      </c>
      <c r="U397" s="224">
        <f>'WetLitterbags placem_collection'!E178</f>
        <v>42763</v>
      </c>
      <c r="V397" s="224">
        <f>IF('WetLitterbags placem_collection'!G178="","",'WetLitterbags placem_collection'!G178)</f>
        <v>42814</v>
      </c>
      <c r="W397" s="225">
        <f t="shared" si="30"/>
        <v>51</v>
      </c>
      <c r="X397" s="223">
        <f t="shared" si="33"/>
        <v>0.39580000000000015</v>
      </c>
      <c r="Y397" s="223">
        <f t="shared" si="34"/>
        <v>0.38116627643429846</v>
      </c>
      <c r="Z397">
        <f>IFERROR(INDEX([1]Rainfall_Wet!$O$2:$O$217,MATCH(C397, [1]Rainfall_Wet!$A$2:$A$217,0)),"")</f>
        <v>181.383442621</v>
      </c>
      <c r="AA397" s="226">
        <v>23.96</v>
      </c>
      <c r="AB397" s="226">
        <v>4.9199999999999982</v>
      </c>
      <c r="AC397" s="226">
        <v>71.12</v>
      </c>
      <c r="AD397" s="227" t="s">
        <v>2651</v>
      </c>
      <c r="AE397" s="226">
        <v>10.309137506160701</v>
      </c>
      <c r="AF397">
        <f>IF('WetLitterbags placem_collection'!AB178="","",'WetLitterbags placem_collection'!AB178)</f>
        <v>6.8</v>
      </c>
      <c r="AG397">
        <f>IF('WetLitterbags placem_collection'!Z178="","",'WetLitterbags placem_collection'!Z178)</f>
        <v>6.9</v>
      </c>
      <c r="AH397" s="236" t="str">
        <f>IF('WetLitterbags placem_collection'!AA178="","",'WetLitterbags placem_collection'!AA178)</f>
        <v>O</v>
      </c>
      <c r="AI397">
        <f>IF('WetLitterbags placem_collection'!AC178="","",'WetLitterbags placem_collection'!AC178)</f>
        <v>0</v>
      </c>
      <c r="AJ397" s="233">
        <f>AVERAGE('WetLitterbags placem_collection'!S178,'WetLitterbags placem_collection'!U178)</f>
        <v>11.4</v>
      </c>
      <c r="AK397">
        <f>AVERAGE('WetLitterbags placem_collection'!R178,'WetLitterbags placem_collection'!T178)</f>
        <v>34.15</v>
      </c>
      <c r="AL397">
        <f>INDEX([2]Coordinates!$B$2:$B$197,MATCH(I397,[2]Coordinates!$J$2:$J$197,0))</f>
        <v>-2.2782909679999999</v>
      </c>
      <c r="AM397">
        <f>INDEX([2]Coordinates!$C$2:$C$197,MATCH(I397,[2]Coordinates!$J$2:$J$197,0))</f>
        <v>34.024574970000003</v>
      </c>
      <c r="AN397" t="str">
        <f>IF(ISNUMBER(SEARCH("C", 'WetLitterbags placem_collection'!$W178)),"YES","NO")</f>
        <v>NO</v>
      </c>
      <c r="AO397" t="str">
        <f>IF(ISNUMBER(SEARCH("H", 'WetLitterbags placem_collection'!$W178)),"YES","NO")</f>
        <v>NO</v>
      </c>
      <c r="AP397" t="str">
        <f>IF(ISNUMBER(SEARCH("R", 'WetLitterbags placem_collection'!$W178)),"YES","NO")</f>
        <v>NO</v>
      </c>
    </row>
    <row r="398" spans="1:42" ht="15" customHeight="1">
      <c r="A398" t="s">
        <v>3248</v>
      </c>
      <c r="B398" s="248" t="s">
        <v>2454</v>
      </c>
      <c r="C398" s="253">
        <f>'Dry_Litterbag Placem_Collection'!A179</f>
        <v>177</v>
      </c>
      <c r="D398" s="253" t="str">
        <f>'Dry_Litterbag Placem_Collection'!B179</f>
        <v>Handajega</v>
      </c>
      <c r="E398" s="253" t="s">
        <v>2454</v>
      </c>
      <c r="F398" s="253" t="s">
        <v>2645</v>
      </c>
      <c r="G398" s="253">
        <v>3</v>
      </c>
      <c r="H398" s="253" t="s">
        <v>3129</v>
      </c>
      <c r="I398" s="254" t="str">
        <f>'Dry_Litterbag Placem_Collection'!C179</f>
        <v>Wet_W3_T1</v>
      </c>
      <c r="J398" s="255" t="s">
        <v>2525</v>
      </c>
      <c r="K398" s="262" t="s">
        <v>298</v>
      </c>
      <c r="L398" s="221" t="str">
        <f>'WetLitterbags placem_collection'!M179</f>
        <v>R262</v>
      </c>
      <c r="M398" s="223">
        <f>IFERROR(INDEX('Green_rooibos initial weight'!$C$5:$C$2000,MATCH(L398, 'Green_rooibos initial weight'!$A$5:$A$2000,0)),"")</f>
        <v>2.1949999999999998</v>
      </c>
      <c r="N398" s="223">
        <f>IFERROR(M398-(TBIcalc!$H$9+TBIcalc!$H$10),"")</f>
        <v>1.9451999999999998</v>
      </c>
      <c r="O398" s="378">
        <f>AVERAGE(Ashed_controlls!$K$2:$K$11)</f>
        <v>5.5147656768714146</v>
      </c>
      <c r="P398" s="223">
        <f t="shared" si="31"/>
        <v>1.8379267780534971</v>
      </c>
      <c r="Q398" s="223">
        <f>IFERROR(INDEX('Both teabags AfterWet'!$C$3:$C$840,MATCH(L398,'Both teabags AfterWet'!$A$3:$A$840,0)),"")</f>
        <v>1.671</v>
      </c>
      <c r="R398" s="223">
        <f>IFERROR(IF(Q398&gt;0,Q398-(TBIcalc!$H$9),""),"")</f>
        <v>1.5204</v>
      </c>
      <c r="S398" s="223">
        <f>IFERROR(INDEX('Ashed teabags wet'!$K$2:$K$2000,MATCH(L398,'Ashed teabags wet'!$A$2:$A$2000,0)),"")</f>
        <v>2.7363184079606433</v>
      </c>
      <c r="T398" s="223">
        <f t="shared" si="32"/>
        <v>1.4787970149253664</v>
      </c>
      <c r="U398" s="224">
        <f>'WetLitterbags placem_collection'!E179</f>
        <v>42763</v>
      </c>
      <c r="V398" s="224">
        <f>IF('WetLitterbags placem_collection'!G179="","",'WetLitterbags placem_collection'!G179)</f>
        <v>42815</v>
      </c>
      <c r="W398" s="225">
        <f t="shared" si="30"/>
        <v>52</v>
      </c>
      <c r="X398" s="223">
        <f t="shared" si="33"/>
        <v>0.42479999999999984</v>
      </c>
      <c r="Y398" s="223">
        <f t="shared" si="34"/>
        <v>0.35912976312813072</v>
      </c>
      <c r="Z398">
        <f>IFERROR(INDEX([1]Rainfall_Wet!$O$2:$O$217,MATCH(C398, [1]Rainfall_Wet!$A$2:$A$217,0)),"")</f>
        <v>188.24043152799999</v>
      </c>
      <c r="AA398" s="226">
        <v>25.96</v>
      </c>
      <c r="AB398" s="226">
        <v>8.9200000000000017</v>
      </c>
      <c r="AC398" s="226">
        <v>65.12</v>
      </c>
      <c r="AD398" s="227" t="s">
        <v>2651</v>
      </c>
      <c r="AE398" s="226">
        <v>1.614588467225234</v>
      </c>
      <c r="AF398">
        <f>IF('WetLitterbags placem_collection'!AB179="","",'WetLitterbags placem_collection'!AB179)</f>
        <v>17.8</v>
      </c>
      <c r="AG398">
        <f>IF('WetLitterbags placem_collection'!Z179="","",'WetLitterbags placem_collection'!Z179)</f>
        <v>25.8</v>
      </c>
      <c r="AH398" s="236" t="str">
        <f>IF('WetLitterbags placem_collection'!AA179="","",'WetLitterbags placem_collection'!AA179)</f>
        <v>O</v>
      </c>
      <c r="AI398">
        <f>IF('WetLitterbags placem_collection'!AC179="","",'WetLitterbags placem_collection'!AC179)</f>
        <v>0</v>
      </c>
      <c r="AJ398" s="233">
        <f>AVERAGE('WetLitterbags placem_collection'!S179,'WetLitterbags placem_collection'!U179)</f>
        <v>19.200000000000003</v>
      </c>
      <c r="AK398">
        <f>AVERAGE('WetLitterbags placem_collection'!R179,'WetLitterbags placem_collection'!T179)</f>
        <v>32.1</v>
      </c>
      <c r="AL398">
        <f>INDEX([2]Coordinates!$B$2:$B$197,MATCH(I398,[2]Coordinates!$J$2:$J$197,0))</f>
        <v>-2.277740026</v>
      </c>
      <c r="AM398">
        <f>INDEX([2]Coordinates!$C$2:$C$197,MATCH(I398,[2]Coordinates!$J$2:$J$197,0))</f>
        <v>34.027640990000002</v>
      </c>
      <c r="AN398" t="str">
        <f>IF(ISNUMBER(SEARCH("C", 'WetLitterbags placem_collection'!$W179)),"YES","NO")</f>
        <v>YES</v>
      </c>
      <c r="AO398" t="str">
        <f>IF(ISNUMBER(SEARCH("H", 'WetLitterbags placem_collection'!$W179)),"YES","NO")</f>
        <v>NO</v>
      </c>
      <c r="AP398" t="str">
        <f>IF(ISNUMBER(SEARCH("R", 'WetLitterbags placem_collection'!$W179)),"YES","NO")</f>
        <v>YES</v>
      </c>
    </row>
    <row r="399" spans="1:42" ht="15" customHeight="1">
      <c r="A399" t="s">
        <v>3248</v>
      </c>
      <c r="B399" s="248" t="s">
        <v>2454</v>
      </c>
      <c r="C399" s="253">
        <f>'Dry_Litterbag Placem_Collection'!A180</f>
        <v>178</v>
      </c>
      <c r="D399" s="253" t="str">
        <f>'Dry_Litterbag Placem_Collection'!B180</f>
        <v>Handajega</v>
      </c>
      <c r="E399" s="253" t="s">
        <v>2454</v>
      </c>
      <c r="F399" s="253" t="s">
        <v>2645</v>
      </c>
      <c r="G399" s="253">
        <v>3</v>
      </c>
      <c r="H399" s="253" t="s">
        <v>3129</v>
      </c>
      <c r="I399" s="254" t="str">
        <f>'Dry_Litterbag Placem_Collection'!C180</f>
        <v>Wet_W3_T2</v>
      </c>
      <c r="J399" s="255" t="s">
        <v>2525</v>
      </c>
      <c r="K399" s="262" t="s">
        <v>298</v>
      </c>
      <c r="L399" s="221" t="str">
        <f>'WetLitterbags placem_collection'!M180</f>
        <v>R309</v>
      </c>
      <c r="M399" s="223">
        <f>IFERROR(INDEX('Green_rooibos initial weight'!$C$5:$C$2000,MATCH(L399, 'Green_rooibos initial weight'!$A$5:$A$2000,0)),"")</f>
        <v>2.1960000000000002</v>
      </c>
      <c r="N399" s="223">
        <f>IFERROR(M399-(TBIcalc!$H$9+TBIcalc!$H$10),"")</f>
        <v>1.9462000000000002</v>
      </c>
      <c r="O399" s="378">
        <f>AVERAGE(Ashed_controlls!$K$2:$K$11)</f>
        <v>5.5147656768714146</v>
      </c>
      <c r="P399" s="223">
        <f t="shared" si="31"/>
        <v>1.8388716303967287</v>
      </c>
      <c r="Q399" s="223">
        <f>IFERROR(INDEX('Both teabags AfterWet'!$C$3:$C$840,MATCH(L399,'Both teabags AfterWet'!$A$3:$A$840,0)),"")</f>
        <v>1.6866000000000001</v>
      </c>
      <c r="R399" s="223">
        <f>IFERROR(IF(Q399&gt;0,Q399-(TBIcalc!$H$9),""),"")</f>
        <v>1.536</v>
      </c>
      <c r="S399" s="223">
        <f>IFERROR(INDEX('Ashed teabags wet'!$K$2:$K$2000,MATCH(L399,'Ashed teabags wet'!$A$2:$A$2000,0)),"")</f>
        <v>0.87633885102250153</v>
      </c>
      <c r="T399" s="223">
        <f t="shared" si="32"/>
        <v>1.5225394352482944</v>
      </c>
      <c r="U399" s="224">
        <f>'WetLitterbags placem_collection'!E180</f>
        <v>42763</v>
      </c>
      <c r="V399" s="224">
        <f>IF('WetLitterbags placem_collection'!G180="","",'WetLitterbags placem_collection'!G180)</f>
        <v>42815</v>
      </c>
      <c r="W399" s="225">
        <f t="shared" si="30"/>
        <v>52</v>
      </c>
      <c r="X399" s="223">
        <f t="shared" si="33"/>
        <v>0.41020000000000012</v>
      </c>
      <c r="Y399" s="223">
        <f t="shared" si="34"/>
        <v>0.31633219514843436</v>
      </c>
      <c r="Z399">
        <f>IFERROR(INDEX([1]Rainfall_Wet!$O$2:$O$217,MATCH(C399, [1]Rainfall_Wet!$A$2:$A$217,0)),"")</f>
        <v>188.24043152799999</v>
      </c>
      <c r="AA399" s="226">
        <v>25.96</v>
      </c>
      <c r="AB399" s="226">
        <v>8.9200000000000017</v>
      </c>
      <c r="AC399" s="226">
        <v>65.12</v>
      </c>
      <c r="AD399" s="227" t="s">
        <v>2651</v>
      </c>
      <c r="AE399" s="226">
        <v>2.61458846722523</v>
      </c>
      <c r="AF399">
        <f>IF('WetLitterbags placem_collection'!AB180="","",'WetLitterbags placem_collection'!AB180)</f>
        <v>15.4</v>
      </c>
      <c r="AG399">
        <f>IF('WetLitterbags placem_collection'!Z180="","",'WetLitterbags placem_collection'!Z180)</f>
        <v>18.8</v>
      </c>
      <c r="AH399" s="236" t="str">
        <f>IF('WetLitterbags placem_collection'!AA180="","",'WetLitterbags placem_collection'!AA180)</f>
        <v>O</v>
      </c>
      <c r="AI399">
        <f>IF('WetLitterbags placem_collection'!AC180="","",'WetLitterbags placem_collection'!AC180)</f>
        <v>1</v>
      </c>
      <c r="AJ399" s="233">
        <f>AVERAGE('WetLitterbags placem_collection'!S180,'WetLitterbags placem_collection'!U180)</f>
        <v>17.149999999999999</v>
      </c>
      <c r="AK399">
        <f>AVERAGE('WetLitterbags placem_collection'!R180,'WetLitterbags placem_collection'!T180)</f>
        <v>32.950000000000003</v>
      </c>
      <c r="AL399">
        <f>INDEX([2]Coordinates!$B$2:$B$197,MATCH(I399,[2]Coordinates!$J$2:$J$197,0))</f>
        <v>-2.2777889760000001</v>
      </c>
      <c r="AM399">
        <f>INDEX([2]Coordinates!$C$2:$C$197,MATCH(I399,[2]Coordinates!$J$2:$J$197,0))</f>
        <v>34.027664960000003</v>
      </c>
      <c r="AN399" t="str">
        <f>IF(ISNUMBER(SEARCH("C", 'WetLitterbags placem_collection'!$W180)),"YES","NO")</f>
        <v>NO</v>
      </c>
      <c r="AO399" t="str">
        <f>IF(ISNUMBER(SEARCH("H", 'WetLitterbags placem_collection'!$W180)),"YES","NO")</f>
        <v>NO</v>
      </c>
      <c r="AP399" t="str">
        <f>IF(ISNUMBER(SEARCH("R", 'WetLitterbags placem_collection'!$W180)),"YES","NO")</f>
        <v>NO</v>
      </c>
    </row>
    <row r="400" spans="1:42" ht="15" customHeight="1">
      <c r="A400" t="s">
        <v>3248</v>
      </c>
      <c r="B400" s="248" t="s">
        <v>2454</v>
      </c>
      <c r="C400" s="253">
        <f>'Dry_Litterbag Placem_Collection'!A181</f>
        <v>179</v>
      </c>
      <c r="D400" s="253" t="str">
        <f>'Dry_Litterbag Placem_Collection'!B181</f>
        <v>Handajega</v>
      </c>
      <c r="E400" s="253" t="s">
        <v>2454</v>
      </c>
      <c r="F400" s="253" t="s">
        <v>2645</v>
      </c>
      <c r="G400" s="253">
        <v>3</v>
      </c>
      <c r="H400" s="253" t="s">
        <v>3129</v>
      </c>
      <c r="I400" s="254" t="str">
        <f>'Dry_Litterbag Placem_Collection'!C181</f>
        <v>Wet_W3_T3</v>
      </c>
      <c r="J400" s="255" t="s">
        <v>2525</v>
      </c>
      <c r="K400" s="262" t="s">
        <v>298</v>
      </c>
      <c r="L400" s="221" t="str">
        <f>'WetLitterbags placem_collection'!M181</f>
        <v>R32</v>
      </c>
      <c r="M400" s="223">
        <f>IFERROR(INDEX('Green_rooibos initial weight'!$C$5:$C$2000,MATCH(L400, 'Green_rooibos initial weight'!$A$5:$A$2000,0)),"")</f>
        <v>2.2290000000000001</v>
      </c>
      <c r="N400" s="223">
        <f>IFERROR(M400-(TBIcalc!$H$9+TBIcalc!$H$10),"")</f>
        <v>1.9792000000000001</v>
      </c>
      <c r="O400" s="378">
        <f>AVERAGE(Ashed_controlls!$K$2:$K$11)</f>
        <v>5.5147656768714146</v>
      </c>
      <c r="P400" s="223">
        <f t="shared" si="31"/>
        <v>1.8700517577233611</v>
      </c>
      <c r="Q400" s="223">
        <f>IFERROR(INDEX('Both teabags AfterWet'!$C$3:$C$840,MATCH(L400,'Both teabags AfterWet'!$A$3:$A$840,0)),"")</f>
        <v>1.6146</v>
      </c>
      <c r="R400" s="223">
        <f>IFERROR(IF(Q400&gt;0,Q400-(TBIcalc!$H$9),""),"")</f>
        <v>1.464</v>
      </c>
      <c r="S400" s="223">
        <f>IFERROR(INDEX('Ashed teabags wet'!$K$2:$K$2000,MATCH(L400,'Ashed teabags wet'!$A$2:$A$2000,0)),"")</f>
        <v>1.8482490272371503</v>
      </c>
      <c r="T400" s="223">
        <f t="shared" si="32"/>
        <v>1.436941634241248</v>
      </c>
      <c r="U400" s="224">
        <f>'WetLitterbags placem_collection'!E181</f>
        <v>42763</v>
      </c>
      <c r="V400" s="224">
        <f>IF('WetLitterbags placem_collection'!G181="","",'WetLitterbags placem_collection'!G181)</f>
        <v>42815</v>
      </c>
      <c r="W400" s="225">
        <f t="shared" si="30"/>
        <v>52</v>
      </c>
      <c r="X400" s="223">
        <f t="shared" si="33"/>
        <v>0.5152000000000001</v>
      </c>
      <c r="Y400" s="223">
        <f t="shared" si="34"/>
        <v>0.43311012348211309</v>
      </c>
      <c r="Z400">
        <f>IFERROR(INDEX([1]Rainfall_Wet!$O$2:$O$217,MATCH(C400, [1]Rainfall_Wet!$A$2:$A$217,0)),"")</f>
        <v>188.24043152799999</v>
      </c>
      <c r="AA400" s="226">
        <v>25.96</v>
      </c>
      <c r="AB400" s="226">
        <v>8.9200000000000017</v>
      </c>
      <c r="AC400" s="226">
        <v>65.12</v>
      </c>
      <c r="AD400" s="227" t="s">
        <v>2651</v>
      </c>
      <c r="AE400" s="226">
        <v>3.61458846722523</v>
      </c>
      <c r="AF400">
        <f>IF('WetLitterbags placem_collection'!AB181="","",'WetLitterbags placem_collection'!AB181)</f>
        <v>11.8</v>
      </c>
      <c r="AG400">
        <f>IF('WetLitterbags placem_collection'!Z181="","",'WetLitterbags placem_collection'!Z181)</f>
        <v>15.4</v>
      </c>
      <c r="AH400" s="236" t="str">
        <f>IF('WetLitterbags placem_collection'!AA181="","",'WetLitterbags placem_collection'!AA181)</f>
        <v>O</v>
      </c>
      <c r="AI400">
        <f>IF('WetLitterbags placem_collection'!AC181="","",'WetLitterbags placem_collection'!AC181)</f>
        <v>1</v>
      </c>
      <c r="AJ400" s="233">
        <f>AVERAGE('WetLitterbags placem_collection'!S181,'WetLitterbags placem_collection'!U181)</f>
        <v>14.8</v>
      </c>
      <c r="AK400">
        <f>AVERAGE('WetLitterbags placem_collection'!R181,'WetLitterbags placem_collection'!T181)</f>
        <v>32.150000000000006</v>
      </c>
      <c r="AL400">
        <f>INDEX([2]Coordinates!$B$2:$B$197,MATCH(I400,[2]Coordinates!$J$2:$J$197,0))</f>
        <v>-2.2778579589999999</v>
      </c>
      <c r="AM400">
        <f>INDEX([2]Coordinates!$C$2:$C$197,MATCH(I400,[2]Coordinates!$J$2:$J$197,0))</f>
        <v>34.027682980000002</v>
      </c>
      <c r="AN400" t="str">
        <f>IF(ISNUMBER(SEARCH("C", 'WetLitterbags placem_collection'!$W181)),"YES","NO")</f>
        <v>NO</v>
      </c>
      <c r="AO400" t="str">
        <f>IF(ISNUMBER(SEARCH("H", 'WetLitterbags placem_collection'!$W181)),"YES","NO")</f>
        <v>NO</v>
      </c>
      <c r="AP400" t="str">
        <f>IF(ISNUMBER(SEARCH("R", 'WetLitterbags placem_collection'!$W181)),"YES","NO")</f>
        <v>YES</v>
      </c>
    </row>
    <row r="401" spans="1:42" ht="15" customHeight="1">
      <c r="A401" t="s">
        <v>3248</v>
      </c>
      <c r="B401" s="248" t="s">
        <v>2454</v>
      </c>
      <c r="C401" s="253">
        <f>'Dry_Litterbag Placem_Collection'!A182</f>
        <v>180</v>
      </c>
      <c r="D401" s="253" t="str">
        <f>'Dry_Litterbag Placem_Collection'!B182</f>
        <v>Handajega</v>
      </c>
      <c r="E401" s="253" t="s">
        <v>2454</v>
      </c>
      <c r="F401" s="253" t="s">
        <v>2645</v>
      </c>
      <c r="G401" s="253">
        <v>3</v>
      </c>
      <c r="H401" s="253" t="s">
        <v>3129</v>
      </c>
      <c r="I401" s="254" t="str">
        <f>'Dry_Litterbag Placem_Collection'!C182</f>
        <v>Wet_W3_T4</v>
      </c>
      <c r="J401" s="255" t="s">
        <v>2525</v>
      </c>
      <c r="K401" s="262" t="s">
        <v>298</v>
      </c>
      <c r="L401" s="221" t="str">
        <f>'WetLitterbags placem_collection'!M182</f>
        <v>R268</v>
      </c>
      <c r="M401" s="223">
        <f>IFERROR(INDEX('Green_rooibos initial weight'!$C$5:$C$2000,MATCH(L401, 'Green_rooibos initial weight'!$A$5:$A$2000,0)),"")</f>
        <v>2.1709999999999998</v>
      </c>
      <c r="N401" s="223">
        <f>IFERROR(M401-(TBIcalc!$H$9+TBIcalc!$H$10),"")</f>
        <v>1.9211999999999998</v>
      </c>
      <c r="O401" s="378">
        <f>AVERAGE(Ashed_controlls!$K$2:$K$11)</f>
        <v>5.5147656768714146</v>
      </c>
      <c r="P401" s="223">
        <f t="shared" si="31"/>
        <v>1.8152503218159461</v>
      </c>
      <c r="Q401" s="223">
        <f>IFERROR(INDEX('Both teabags AfterWet'!$C$3:$C$840,MATCH(L401,'Both teabags AfterWet'!$A$3:$A$840,0)),"")</f>
        <v>1.6403000000000001</v>
      </c>
      <c r="R401" s="223">
        <f>IFERROR(IF(Q401&gt;0,Q401-(TBIcalc!$H$9),""),"")</f>
        <v>1.4897</v>
      </c>
      <c r="S401" s="223">
        <f>IFERROR(INDEX('Ashed teabags wet'!$K$2:$K$2000,MATCH(L401,'Ashed teabags wet'!$A$2:$A$2000,0)),"")</f>
        <v>2.0588235294118782</v>
      </c>
      <c r="T401" s="223">
        <f t="shared" si="32"/>
        <v>1.4590297058823514</v>
      </c>
      <c r="U401" s="224">
        <f>'WetLitterbags placem_collection'!E182</f>
        <v>42763</v>
      </c>
      <c r="V401" s="224">
        <f>IF('WetLitterbags placem_collection'!G182="","",'WetLitterbags placem_collection'!G182)</f>
        <v>42815</v>
      </c>
      <c r="W401" s="225">
        <f t="shared" si="30"/>
        <v>52</v>
      </c>
      <c r="X401" s="223">
        <f t="shared" si="33"/>
        <v>0.43149999999999977</v>
      </c>
      <c r="Y401" s="223">
        <f t="shared" si="34"/>
        <v>0.35622061593359478</v>
      </c>
      <c r="Z401">
        <f>IFERROR(INDEX([1]Rainfall_Wet!$O$2:$O$217,MATCH(C401, [1]Rainfall_Wet!$A$2:$A$217,0)),"")</f>
        <v>188.24043152799999</v>
      </c>
      <c r="AA401" s="226">
        <v>25.96</v>
      </c>
      <c r="AB401" s="226">
        <v>8.9200000000000017</v>
      </c>
      <c r="AC401" s="226">
        <v>65.12</v>
      </c>
      <c r="AD401" s="227" t="s">
        <v>2651</v>
      </c>
      <c r="AE401" s="226">
        <v>4.6145884672252304</v>
      </c>
      <c r="AF401">
        <f>IF('WetLitterbags placem_collection'!AB182="","",'WetLitterbags placem_collection'!AB182)</f>
        <v>8.3000000000000007</v>
      </c>
      <c r="AG401">
        <f>IF('WetLitterbags placem_collection'!Z182="","",'WetLitterbags placem_collection'!Z182)</f>
        <v>35</v>
      </c>
      <c r="AH401" s="236" t="str">
        <f>IF('WetLitterbags placem_collection'!AA182="","",'WetLitterbags placem_collection'!AA182)</f>
        <v>O</v>
      </c>
      <c r="AI401">
        <f>IF('WetLitterbags placem_collection'!AC182="","",'WetLitterbags placem_collection'!AC182)</f>
        <v>0</v>
      </c>
      <c r="AJ401" s="233">
        <f>AVERAGE('WetLitterbags placem_collection'!S182,'WetLitterbags placem_collection'!U182)</f>
        <v>12.85</v>
      </c>
      <c r="AK401">
        <f>AVERAGE('WetLitterbags placem_collection'!R182,'WetLitterbags placem_collection'!T182)</f>
        <v>32.450000000000003</v>
      </c>
      <c r="AL401">
        <f>INDEX([2]Coordinates!$B$2:$B$197,MATCH(I401,[2]Coordinates!$J$2:$J$197,0))</f>
        <v>-2.2780199809999999</v>
      </c>
      <c r="AM401">
        <f>INDEX([2]Coordinates!$C$2:$C$197,MATCH(I401,[2]Coordinates!$J$2:$J$197,0))</f>
        <v>34.027705019999999</v>
      </c>
      <c r="AN401" t="str">
        <f>IF(ISNUMBER(SEARCH("C", 'WetLitterbags placem_collection'!$W182)),"YES","NO")</f>
        <v>NO</v>
      </c>
      <c r="AO401" t="str">
        <f>IF(ISNUMBER(SEARCH("H", 'WetLitterbags placem_collection'!$W182)),"YES","NO")</f>
        <v>NO</v>
      </c>
      <c r="AP401" t="str">
        <f>IF(ISNUMBER(SEARCH("R", 'WetLitterbags placem_collection'!$W182)),"YES","NO")</f>
        <v>NO</v>
      </c>
    </row>
    <row r="402" spans="1:42" ht="15" customHeight="1">
      <c r="A402" t="s">
        <v>3248</v>
      </c>
      <c r="B402" s="248" t="s">
        <v>2454</v>
      </c>
      <c r="C402" s="253">
        <f>'Dry_Litterbag Placem_Collection'!A183</f>
        <v>181</v>
      </c>
      <c r="D402" s="253" t="str">
        <f>'Dry_Litterbag Placem_Collection'!B183</f>
        <v>Handajega</v>
      </c>
      <c r="E402" s="253" t="s">
        <v>2454</v>
      </c>
      <c r="F402" s="253" t="s">
        <v>2645</v>
      </c>
      <c r="G402" s="253">
        <v>3</v>
      </c>
      <c r="H402" s="253" t="s">
        <v>3129</v>
      </c>
      <c r="I402" s="254" t="str">
        <f>'Dry_Litterbag Placem_Collection'!C183</f>
        <v>Wet_W3_T5</v>
      </c>
      <c r="J402" s="255" t="s">
        <v>2525</v>
      </c>
      <c r="K402" s="262" t="s">
        <v>298</v>
      </c>
      <c r="L402" s="221" t="str">
        <f>'WetLitterbags placem_collection'!M183</f>
        <v>R587</v>
      </c>
      <c r="M402" s="223">
        <f>IFERROR(INDEX('Green_rooibos initial weight'!$C$5:$C$2000,MATCH(L402, 'Green_rooibos initial weight'!$A$5:$A$2000,0)),"")</f>
        <v>2.2250000000000001</v>
      </c>
      <c r="N402" s="223">
        <f>IFERROR(M402-(TBIcalc!$H$9+TBIcalc!$H$10),"")</f>
        <v>1.9752000000000001</v>
      </c>
      <c r="O402" s="378">
        <f>AVERAGE(Ashed_controlls!$K$2:$K$11)</f>
        <v>5.5147656768714146</v>
      </c>
      <c r="P402" s="223">
        <f t="shared" si="31"/>
        <v>1.866272348350436</v>
      </c>
      <c r="Q402" s="223">
        <f>IFERROR(INDEX('Both teabags AfterWet'!$C$3:$C$840,MATCH(L402,'Both teabags AfterWet'!$A$3:$A$840,0)),"")</f>
        <v>1.5119</v>
      </c>
      <c r="R402" s="223">
        <f>IFERROR(IF(Q402&gt;0,Q402-(TBIcalc!$H$9),""),"")</f>
        <v>1.3613</v>
      </c>
      <c r="S402" s="223">
        <f>IFERROR(INDEX('Ashed teabags wet'!$K$2:$K$2000,MATCH(L402,'Ashed teabags wet'!$A$2:$A$2000,0)),"")</f>
        <v>1.9743336623894387</v>
      </c>
      <c r="T402" s="223">
        <f t="shared" si="32"/>
        <v>1.3344233958538925</v>
      </c>
      <c r="U402" s="224">
        <f>'WetLitterbags placem_collection'!E183</f>
        <v>42763</v>
      </c>
      <c r="V402" s="224">
        <f>IF('WetLitterbags placem_collection'!G183="","",'WetLitterbags placem_collection'!G183)</f>
        <v>42815</v>
      </c>
      <c r="W402" s="225">
        <f t="shared" si="30"/>
        <v>52</v>
      </c>
      <c r="X402" s="223">
        <f t="shared" si="33"/>
        <v>0.61390000000000011</v>
      </c>
      <c r="Y402" s="223">
        <f t="shared" si="34"/>
        <v>0.53184895249654351</v>
      </c>
      <c r="Z402">
        <f>IFERROR(INDEX([1]Rainfall_Wet!$O$2:$O$217,MATCH(C402, [1]Rainfall_Wet!$A$2:$A$217,0)),"")</f>
        <v>188.24043152799999</v>
      </c>
      <c r="AA402" s="226">
        <v>25.96</v>
      </c>
      <c r="AB402" s="226">
        <v>8.9200000000000017</v>
      </c>
      <c r="AC402" s="226">
        <v>65.12</v>
      </c>
      <c r="AD402" s="227" t="s">
        <v>2651</v>
      </c>
      <c r="AE402" s="226">
        <v>5.6145884672252304</v>
      </c>
      <c r="AF402">
        <f>IF('WetLitterbags placem_collection'!AB183="","",'WetLitterbags placem_collection'!AB183)</f>
        <v>11.4</v>
      </c>
      <c r="AG402">
        <f>IF('WetLitterbags placem_collection'!Z183="","",'WetLitterbags placem_collection'!Z183)</f>
        <v>15.8</v>
      </c>
      <c r="AH402" s="236" t="str">
        <f>IF('WetLitterbags placem_collection'!AA183="","",'WetLitterbags placem_collection'!AA183)</f>
        <v>O</v>
      </c>
      <c r="AI402">
        <f>IF('WetLitterbags placem_collection'!AC183="","",'WetLitterbags placem_collection'!AC183)</f>
        <v>1</v>
      </c>
      <c r="AJ402" s="233">
        <f>AVERAGE('WetLitterbags placem_collection'!S183,'WetLitterbags placem_collection'!U183)</f>
        <v>13.75</v>
      </c>
      <c r="AK402">
        <f>AVERAGE('WetLitterbags placem_collection'!R183,'WetLitterbags placem_collection'!T183)</f>
        <v>32.650000000000006</v>
      </c>
      <c r="AL402">
        <f>INDEX([2]Coordinates!$B$2:$B$197,MATCH(I402,[2]Coordinates!$J$2:$J$197,0))</f>
        <v>-2.2777329850000001</v>
      </c>
      <c r="AM402">
        <f>INDEX([2]Coordinates!$C$2:$C$197,MATCH(I402,[2]Coordinates!$J$2:$J$197,0))</f>
        <v>34.027422970000003</v>
      </c>
      <c r="AN402" t="str">
        <f>IF(ISNUMBER(SEARCH("C", 'WetLitterbags placem_collection'!$W183)),"YES","NO")</f>
        <v>NO</v>
      </c>
      <c r="AO402" t="str">
        <f>IF(ISNUMBER(SEARCH("H", 'WetLitterbags placem_collection'!$W183)),"YES","NO")</f>
        <v>NO</v>
      </c>
      <c r="AP402" t="str">
        <f>IF(ISNUMBER(SEARCH("R", 'WetLitterbags placem_collection'!$W183)),"YES","NO")</f>
        <v>NO</v>
      </c>
    </row>
    <row r="403" spans="1:42" ht="15" customHeight="1">
      <c r="A403" t="s">
        <v>3248</v>
      </c>
      <c r="B403" s="248" t="s">
        <v>2454</v>
      </c>
      <c r="C403" s="253">
        <f>'Dry_Litterbag Placem_Collection'!A184</f>
        <v>182</v>
      </c>
      <c r="D403" s="253" t="str">
        <f>'Dry_Litterbag Placem_Collection'!B184</f>
        <v>Handajega</v>
      </c>
      <c r="E403" s="253" t="s">
        <v>2454</v>
      </c>
      <c r="F403" s="253" t="s">
        <v>2645</v>
      </c>
      <c r="G403" s="253">
        <v>3</v>
      </c>
      <c r="H403" s="253" t="s">
        <v>3129</v>
      </c>
      <c r="I403" s="254" t="str">
        <f>'Dry_Litterbag Placem_Collection'!C184</f>
        <v>Wet_W3_T6</v>
      </c>
      <c r="J403" s="255" t="s">
        <v>2525</v>
      </c>
      <c r="K403" s="262" t="s">
        <v>298</v>
      </c>
      <c r="L403" s="221" t="str">
        <f>'WetLitterbags placem_collection'!M184</f>
        <v>R444</v>
      </c>
      <c r="M403" s="223">
        <f>IFERROR(INDEX('Green_rooibos initial weight'!$C$5:$C$2000,MATCH(L403, 'Green_rooibos initial weight'!$A$5:$A$2000,0)),"")</f>
        <v>2.2149999999999999</v>
      </c>
      <c r="N403" s="223">
        <f>IFERROR(M403-(TBIcalc!$H$9+TBIcalc!$H$10),"")</f>
        <v>1.9651999999999998</v>
      </c>
      <c r="O403" s="378">
        <f>AVERAGE(Ashed_controlls!$K$2:$K$11)</f>
        <v>5.5147656768714146</v>
      </c>
      <c r="P403" s="223">
        <f t="shared" si="31"/>
        <v>1.8568238249181228</v>
      </c>
      <c r="Q403" s="223">
        <f>IFERROR(INDEX('Both teabags AfterWet'!$C$3:$C$840,MATCH(L403,'Both teabags AfterWet'!$A$3:$A$840,0)),"")</f>
        <v>1.7522</v>
      </c>
      <c r="R403" s="223">
        <f>IFERROR(IF(Q403&gt;0,Q403-(TBIcalc!$H$9),""),"")</f>
        <v>1.6015999999999999</v>
      </c>
      <c r="S403" s="223">
        <f>IFERROR(INDEX('Ashed teabags wet'!$K$2:$K$2000,MATCH(L403,'Ashed teabags wet'!$A$2:$A$2000,0)),"")</f>
        <v>2.2682445759369214</v>
      </c>
      <c r="T403" s="223">
        <f t="shared" si="32"/>
        <v>1.5652717948717942</v>
      </c>
      <c r="U403" s="224">
        <f>'WetLitterbags placem_collection'!E184</f>
        <v>42763</v>
      </c>
      <c r="V403" s="224">
        <f>IF('WetLitterbags placem_collection'!G184="","",'WetLitterbags placem_collection'!G184)</f>
        <v>42815</v>
      </c>
      <c r="W403" s="225">
        <f t="shared" si="30"/>
        <v>52</v>
      </c>
      <c r="X403" s="223">
        <f t="shared" si="33"/>
        <v>0.36359999999999992</v>
      </c>
      <c r="Y403" s="223">
        <f t="shared" si="34"/>
        <v>0.29155203004632857</v>
      </c>
      <c r="Z403">
        <f>IFERROR(INDEX([1]Rainfall_Wet!$O$2:$O$217,MATCH(C403, [1]Rainfall_Wet!$A$2:$A$217,0)),"")</f>
        <v>188.24043152799999</v>
      </c>
      <c r="AA403" s="226">
        <v>25.96</v>
      </c>
      <c r="AB403" s="226">
        <v>8.9200000000000017</v>
      </c>
      <c r="AC403" s="226">
        <v>65.12</v>
      </c>
      <c r="AD403" s="227" t="s">
        <v>2651</v>
      </c>
      <c r="AE403" s="226">
        <v>6.6145884672252304</v>
      </c>
      <c r="AF403">
        <f>IF('WetLitterbags placem_collection'!AB184="","",'WetLitterbags placem_collection'!AB184)</f>
        <v>8.8000000000000007</v>
      </c>
      <c r="AG403">
        <f>IF('WetLitterbags placem_collection'!Z184="","",'WetLitterbags placem_collection'!Z184)</f>
        <v>15.8</v>
      </c>
      <c r="AH403" s="236" t="str">
        <f>IF('WetLitterbags placem_collection'!AA184="","",'WetLitterbags placem_collection'!AA184)</f>
        <v>O</v>
      </c>
      <c r="AI403">
        <f>IF('WetLitterbags placem_collection'!AC184="","",'WetLitterbags placem_collection'!AC184)</f>
        <v>1</v>
      </c>
      <c r="AJ403" s="233">
        <f>AVERAGE('WetLitterbags placem_collection'!S184,'WetLitterbags placem_collection'!U184)</f>
        <v>11.55</v>
      </c>
      <c r="AK403">
        <f>AVERAGE('WetLitterbags placem_collection'!R184,'WetLitterbags placem_collection'!T184)</f>
        <v>33.299999999999997</v>
      </c>
      <c r="AL403">
        <f>INDEX([2]Coordinates!$B$2:$B$197,MATCH(I403,[2]Coordinates!$J$2:$J$197,0))</f>
        <v>-2.2777009659999998</v>
      </c>
      <c r="AM403">
        <f>INDEX([2]Coordinates!$C$2:$C$197,MATCH(I403,[2]Coordinates!$J$2:$J$197,0))</f>
        <v>34.027393969999999</v>
      </c>
      <c r="AN403" t="str">
        <f>IF(ISNUMBER(SEARCH("C", 'WetLitterbags placem_collection'!$W184)),"YES","NO")</f>
        <v>NO</v>
      </c>
      <c r="AO403" t="str">
        <f>IF(ISNUMBER(SEARCH("H", 'WetLitterbags placem_collection'!$W184)),"YES","NO")</f>
        <v>NO</v>
      </c>
      <c r="AP403" t="str">
        <f>IF(ISNUMBER(SEARCH("R", 'WetLitterbags placem_collection'!$W184)),"YES","NO")</f>
        <v>NO</v>
      </c>
    </row>
    <row r="404" spans="1:42" ht="15" customHeight="1">
      <c r="A404" t="s">
        <v>3248</v>
      </c>
      <c r="B404" s="248" t="s">
        <v>2454</v>
      </c>
      <c r="C404" s="253">
        <f>'Dry_Litterbag Placem_Collection'!A185</f>
        <v>183</v>
      </c>
      <c r="D404" s="253" t="str">
        <f>'Dry_Litterbag Placem_Collection'!B185</f>
        <v>Handajega</v>
      </c>
      <c r="E404" s="253" t="s">
        <v>2454</v>
      </c>
      <c r="F404" s="253" t="s">
        <v>2645</v>
      </c>
      <c r="G404" s="253">
        <v>3</v>
      </c>
      <c r="H404" s="253" t="s">
        <v>3129</v>
      </c>
      <c r="I404" s="254" t="str">
        <f>'Dry_Litterbag Placem_Collection'!C185</f>
        <v>Wet_W3_T7</v>
      </c>
      <c r="J404" s="255" t="s">
        <v>2525</v>
      </c>
      <c r="K404" s="262" t="s">
        <v>298</v>
      </c>
      <c r="L404" s="221" t="str">
        <f>'WetLitterbags placem_collection'!M185</f>
        <v>R568</v>
      </c>
      <c r="M404" s="223">
        <f>IFERROR(INDEX('Green_rooibos initial weight'!$C$5:$C$2000,MATCH(L404, 'Green_rooibos initial weight'!$A$5:$A$2000,0)),"")</f>
        <v>2.04</v>
      </c>
      <c r="N404" s="223">
        <f>IFERROR(M404-(TBIcalc!$H$9+TBIcalc!$H$10),"")</f>
        <v>1.7902</v>
      </c>
      <c r="O404" s="378">
        <f>AVERAGE(Ashed_controlls!$K$2:$K$11)</f>
        <v>5.5147656768714146</v>
      </c>
      <c r="P404" s="223">
        <f t="shared" si="31"/>
        <v>1.691474664852648</v>
      </c>
      <c r="Q404" s="223">
        <f>IFERROR(INDEX('Both teabags AfterWet'!$C$3:$C$840,MATCH(L404,'Both teabags AfterWet'!$A$3:$A$840,0)),"")</f>
        <v>0.30299999999999999</v>
      </c>
      <c r="R404" s="223">
        <f>IFERROR(IF(Q404&gt;0,Q404-(TBIcalc!$H$9),""),"")</f>
        <v>0.15239999999999998</v>
      </c>
      <c r="S404" s="223">
        <f>IFERROR(INDEX('Ashed teabags wet'!$K$2:$K$2000,MATCH(L404,'Ashed teabags wet'!$A$2:$A$2000,0)),"")</f>
        <v>0</v>
      </c>
      <c r="T404" s="223">
        <f t="shared" si="32"/>
        <v>0.15239999999999998</v>
      </c>
      <c r="U404" s="224">
        <f>'WetLitterbags placem_collection'!E185</f>
        <v>42763</v>
      </c>
      <c r="V404" s="224">
        <f>IF('WetLitterbags placem_collection'!G185="","",'WetLitterbags placem_collection'!G185)</f>
        <v>42815</v>
      </c>
      <c r="W404" s="225">
        <f t="shared" si="30"/>
        <v>52</v>
      </c>
      <c r="X404" s="223">
        <f t="shared" si="33"/>
        <v>1.6377999999999999</v>
      </c>
      <c r="Y404" s="223">
        <f t="shared" si="34"/>
        <v>1.5390746648526479</v>
      </c>
      <c r="Z404">
        <f>IFERROR(INDEX([1]Rainfall_Wet!$O$2:$O$217,MATCH(C404, [1]Rainfall_Wet!$A$2:$A$217,0)),"")</f>
        <v>188.24043152799999</v>
      </c>
      <c r="AA404" s="226">
        <v>25.96</v>
      </c>
      <c r="AB404" s="226">
        <v>8.9200000000000017</v>
      </c>
      <c r="AC404" s="226">
        <v>65.12</v>
      </c>
      <c r="AD404" s="227" t="s">
        <v>2651</v>
      </c>
      <c r="AE404" s="226">
        <v>7.6145884672252304</v>
      </c>
      <c r="AF404">
        <f>IF('WetLitterbags placem_collection'!AB185="","",'WetLitterbags placem_collection'!AB185)</f>
        <v>11.4</v>
      </c>
      <c r="AG404">
        <f>IF('WetLitterbags placem_collection'!Z185="","",'WetLitterbags placem_collection'!Z185)</f>
        <v>35.799999999999997</v>
      </c>
      <c r="AH404" s="236" t="str">
        <f>IF('WetLitterbags placem_collection'!AA185="","",'WetLitterbags placem_collection'!AA185)</f>
        <v>G</v>
      </c>
      <c r="AI404">
        <f>IF('WetLitterbags placem_collection'!AC185="","",'WetLitterbags placem_collection'!AC185)</f>
        <v>1</v>
      </c>
      <c r="AJ404" s="233">
        <f>AVERAGE('WetLitterbags placem_collection'!S185,'WetLitterbags placem_collection'!U185)</f>
        <v>13.4</v>
      </c>
      <c r="AK404">
        <f>AVERAGE('WetLitterbags placem_collection'!R185,'WetLitterbags placem_collection'!T185)</f>
        <v>33.5</v>
      </c>
      <c r="AL404">
        <f>INDEX([2]Coordinates!$B$2:$B$197,MATCH(I404,[2]Coordinates!$J$2:$J$197,0))</f>
        <v>-2.2777790019999999</v>
      </c>
      <c r="AM404">
        <f>INDEX([2]Coordinates!$C$2:$C$197,MATCH(I404,[2]Coordinates!$J$2:$J$197,0))</f>
        <v>34.028066029999998</v>
      </c>
      <c r="AN404" t="str">
        <f>IF(ISNUMBER(SEARCH("C", 'WetLitterbags placem_collection'!$W185)),"YES","NO")</f>
        <v>YES</v>
      </c>
      <c r="AO404" t="str">
        <f>IF(ISNUMBER(SEARCH("H", 'WetLitterbags placem_collection'!$W185)),"YES","NO")</f>
        <v>YES</v>
      </c>
      <c r="AP404" t="str">
        <f>IF(ISNUMBER(SEARCH("R", 'WetLitterbags placem_collection'!$W185)),"YES","NO")</f>
        <v>NO</v>
      </c>
    </row>
    <row r="405" spans="1:42" ht="15" customHeight="1">
      <c r="A405" t="s">
        <v>3248</v>
      </c>
      <c r="B405" s="248" t="s">
        <v>2454</v>
      </c>
      <c r="C405" s="253">
        <f>'Dry_Litterbag Placem_Collection'!A186</f>
        <v>184</v>
      </c>
      <c r="D405" s="253" t="str">
        <f>'Dry_Litterbag Placem_Collection'!B186</f>
        <v>Handajega</v>
      </c>
      <c r="E405" s="253" t="s">
        <v>2454</v>
      </c>
      <c r="F405" s="253" t="s">
        <v>2645</v>
      </c>
      <c r="G405" s="253">
        <v>3</v>
      </c>
      <c r="H405" s="253" t="s">
        <v>3129</v>
      </c>
      <c r="I405" s="254" t="str">
        <f>'Dry_Litterbag Placem_Collection'!C186</f>
        <v>Wet_W3_T8</v>
      </c>
      <c r="J405" s="255" t="s">
        <v>2525</v>
      </c>
      <c r="K405" s="262" t="s">
        <v>298</v>
      </c>
      <c r="L405" s="221" t="str">
        <f>'WetLitterbags placem_collection'!M186</f>
        <v>R541</v>
      </c>
      <c r="M405" s="223">
        <f>IFERROR(INDEX('Green_rooibos initial weight'!$C$5:$C$2000,MATCH(L405, 'Green_rooibos initial weight'!$A$5:$A$2000,0)),"")</f>
        <v>2.226</v>
      </c>
      <c r="N405" s="223">
        <f>IFERROR(M405-(TBIcalc!$H$9+TBIcalc!$H$10),"")</f>
        <v>1.9762</v>
      </c>
      <c r="O405" s="378">
        <f>AVERAGE(Ashed_controlls!$K$2:$K$11)</f>
        <v>5.5147656768714146</v>
      </c>
      <c r="P405" s="223">
        <f t="shared" si="31"/>
        <v>1.8672172006936671</v>
      </c>
      <c r="Q405" s="223">
        <f>IFERROR(INDEX('Both teabags AfterWet'!$C$3:$C$840,MATCH(L405,'Both teabags AfterWet'!$A$3:$A$840,0)),"")</f>
        <v>1.7278</v>
      </c>
      <c r="R405" s="223">
        <f>IFERROR(IF(Q405&gt;0,Q405-(TBIcalc!$H$9),""),"")</f>
        <v>1.5771999999999999</v>
      </c>
      <c r="S405" s="223">
        <f>IFERROR(INDEX('Ashed teabags wet'!$K$2:$K$2000,MATCH(L405,'Ashed teabags wet'!$A$2:$A$2000,0)),"")</f>
        <v>2.6018654884636851</v>
      </c>
      <c r="T405" s="223">
        <f t="shared" si="32"/>
        <v>1.5361633775159507</v>
      </c>
      <c r="U405" s="224">
        <f>'WetLitterbags placem_collection'!E186</f>
        <v>42763</v>
      </c>
      <c r="V405" s="224">
        <f>IF('WetLitterbags placem_collection'!G186="","",'WetLitterbags placem_collection'!G186)</f>
        <v>42815</v>
      </c>
      <c r="W405" s="225">
        <f t="shared" si="30"/>
        <v>52</v>
      </c>
      <c r="X405" s="223">
        <f t="shared" si="33"/>
        <v>0.39900000000000002</v>
      </c>
      <c r="Y405" s="223">
        <f t="shared" si="34"/>
        <v>0.33105382317771648</v>
      </c>
      <c r="Z405">
        <f>IFERROR(INDEX([1]Rainfall_Wet!$O$2:$O$217,MATCH(C405, [1]Rainfall_Wet!$A$2:$A$217,0)),"")</f>
        <v>188.24043152799999</v>
      </c>
      <c r="AA405" s="226">
        <v>25.96</v>
      </c>
      <c r="AB405" s="226">
        <v>8.9200000000000017</v>
      </c>
      <c r="AC405" s="226">
        <v>65.12</v>
      </c>
      <c r="AD405" s="227" t="s">
        <v>2651</v>
      </c>
      <c r="AE405" s="226">
        <v>8.6145884672252304</v>
      </c>
      <c r="AF405">
        <f>IF('WetLitterbags placem_collection'!AB186="","",'WetLitterbags placem_collection'!AB186)</f>
        <v>3.7</v>
      </c>
      <c r="AG405">
        <f>IF('WetLitterbags placem_collection'!Z186="","",'WetLitterbags placem_collection'!Z186)</f>
        <v>16.399999999999999</v>
      </c>
      <c r="AH405" s="236" t="str">
        <f>IF('WetLitterbags placem_collection'!AA186="","",'WetLitterbags placem_collection'!AA186)</f>
        <v>O</v>
      </c>
      <c r="AI405">
        <f>IF('WetLitterbags placem_collection'!AC186="","",'WetLitterbags placem_collection'!AC186)</f>
        <v>0</v>
      </c>
      <c r="AJ405" s="233">
        <f>AVERAGE('WetLitterbags placem_collection'!S186,'WetLitterbags placem_collection'!U186)</f>
        <v>13.3</v>
      </c>
      <c r="AK405">
        <f>AVERAGE('WetLitterbags placem_collection'!R186,'WetLitterbags placem_collection'!T186)</f>
        <v>29.950000000000003</v>
      </c>
      <c r="AL405">
        <f>INDEX([2]Coordinates!$B$2:$B$197,MATCH(I405,[2]Coordinates!$J$2:$J$197,0))</f>
        <v>-2.2775169829999999</v>
      </c>
      <c r="AM405">
        <f>INDEX([2]Coordinates!$C$2:$C$197,MATCH(I405,[2]Coordinates!$J$2:$J$197,0))</f>
        <v>34.027766970000002</v>
      </c>
      <c r="AN405" t="str">
        <f>IF(ISNUMBER(SEARCH("C", 'WetLitterbags placem_collection'!$W186)),"YES","NO")</f>
        <v>NO</v>
      </c>
      <c r="AO405" t="str">
        <f>IF(ISNUMBER(SEARCH("H", 'WetLitterbags placem_collection'!$W186)),"YES","NO")</f>
        <v>NO</v>
      </c>
      <c r="AP405" t="str">
        <f>IF(ISNUMBER(SEARCH("R", 'WetLitterbags placem_collection'!$W186)),"YES","NO")</f>
        <v>NO</v>
      </c>
    </row>
    <row r="406" spans="1:42" ht="15" customHeight="1">
      <c r="A406" t="s">
        <v>3248</v>
      </c>
      <c r="B406" s="248" t="s">
        <v>2454</v>
      </c>
      <c r="C406" s="253">
        <f>'Dry_Litterbag Placem_Collection'!A187</f>
        <v>185</v>
      </c>
      <c r="D406" s="253" t="str">
        <f>'Dry_Litterbag Placem_Collection'!B187</f>
        <v>Handajega</v>
      </c>
      <c r="E406" s="253" t="s">
        <v>2454</v>
      </c>
      <c r="F406" s="253" t="s">
        <v>2645</v>
      </c>
      <c r="G406" s="253">
        <v>4</v>
      </c>
      <c r="H406" s="253" t="s">
        <v>3130</v>
      </c>
      <c r="I406" s="254" t="str">
        <f>'Dry_Litterbag Placem_Collection'!C187</f>
        <v>Wet_W4_T1</v>
      </c>
      <c r="J406" s="255" t="s">
        <v>2525</v>
      </c>
      <c r="K406" s="262" t="s">
        <v>298</v>
      </c>
      <c r="L406" s="221" t="str">
        <f>'WetLitterbags placem_collection'!M187</f>
        <v>R51</v>
      </c>
      <c r="M406" s="223">
        <f>IFERROR(INDEX('Green_rooibos initial weight'!$C$5:$C$2000,MATCH(L406, 'Green_rooibos initial weight'!$A$5:$A$2000,0)),"")</f>
        <v>2.3149999999999999</v>
      </c>
      <c r="N406" s="223">
        <f>IFERROR(M406-(TBIcalc!$H$9+TBIcalc!$H$10),"")</f>
        <v>2.0651999999999999</v>
      </c>
      <c r="O406" s="378">
        <f>AVERAGE(Ashed_controlls!$K$2:$K$11)</f>
        <v>5.5147656768714146</v>
      </c>
      <c r="P406" s="223">
        <f t="shared" si="31"/>
        <v>1.9513090592412514</v>
      </c>
      <c r="Q406" s="223">
        <f>IFERROR(INDEX('Both teabags AfterWet'!$C$3:$C$840,MATCH(L406,'Both teabags AfterWet'!$A$3:$A$840,0)),"")</f>
        <v>1.7762</v>
      </c>
      <c r="R406" s="223">
        <f>IFERROR(IF(Q406&gt;0,Q406-(TBIcalc!$H$9),""),"")</f>
        <v>1.6255999999999999</v>
      </c>
      <c r="S406" s="223">
        <f>IFERROR(INDEX('Ashed teabags wet'!$K$2:$K$2000,MATCH(L406,'Ashed teabags wet'!$A$2:$A$2000,0)),"")</f>
        <v>2.0874751491048897</v>
      </c>
      <c r="T406" s="223">
        <f t="shared" si="32"/>
        <v>1.5916660039761508</v>
      </c>
      <c r="U406" s="224">
        <f>'WetLitterbags placem_collection'!E187</f>
        <v>42763</v>
      </c>
      <c r="V406" s="224">
        <f>IF('WetLitterbags placem_collection'!G187="","",'WetLitterbags placem_collection'!G187)</f>
        <v>42815</v>
      </c>
      <c r="W406" s="225">
        <f t="shared" si="30"/>
        <v>52</v>
      </c>
      <c r="X406" s="223">
        <f t="shared" si="33"/>
        <v>0.43959999999999999</v>
      </c>
      <c r="Y406" s="223">
        <f t="shared" si="34"/>
        <v>0.35964305526510065</v>
      </c>
      <c r="Z406">
        <f>IFERROR(INDEX([1]Rainfall_Wet!$O$2:$O$217,MATCH(C406, [1]Rainfall_Wet!$A$2:$A$217,0)),"")</f>
        <v>188.24043152799999</v>
      </c>
      <c r="AA406" s="226">
        <v>25.96</v>
      </c>
      <c r="AB406" s="226">
        <v>8.9200000000000017</v>
      </c>
      <c r="AC406" s="226">
        <v>65.12</v>
      </c>
      <c r="AD406" s="227" t="s">
        <v>2651</v>
      </c>
      <c r="AE406" s="226">
        <v>1.6991621488417901</v>
      </c>
      <c r="AF406">
        <f>IF('WetLitterbags placem_collection'!AB187="","",'WetLitterbags placem_collection'!AB187)</f>
        <v>9.8000000000000007</v>
      </c>
      <c r="AG406">
        <f>IF('WetLitterbags placem_collection'!Z187="","",'WetLitterbags placem_collection'!Z187)</f>
        <v>29.4</v>
      </c>
      <c r="AH406" s="236" t="str">
        <f>IF('WetLitterbags placem_collection'!AA187="","",'WetLitterbags placem_collection'!AA187)</f>
        <v>O</v>
      </c>
      <c r="AI406">
        <f>IF('WetLitterbags placem_collection'!AC187="","",'WetLitterbags placem_collection'!AC187)</f>
        <v>0</v>
      </c>
      <c r="AJ406" s="233">
        <f>AVERAGE('WetLitterbags placem_collection'!S187,'WetLitterbags placem_collection'!U187)</f>
        <v>17.850000000000001</v>
      </c>
      <c r="AK406">
        <f>AVERAGE('WetLitterbags placem_collection'!R187,'WetLitterbags placem_collection'!T187)</f>
        <v>35.400000000000006</v>
      </c>
      <c r="AL406">
        <f>INDEX([2]Coordinates!$B$2:$B$197,MATCH(I406,[2]Coordinates!$J$2:$J$197,0))</f>
        <v>-2.2787330300000002</v>
      </c>
      <c r="AM406">
        <f>INDEX([2]Coordinates!$C$2:$C$197,MATCH(I406,[2]Coordinates!$J$2:$J$197,0))</f>
        <v>34.032136029999997</v>
      </c>
      <c r="AN406" t="str">
        <f>IF(ISNUMBER(SEARCH("C", 'WetLitterbags placem_collection'!$W187)),"YES","NO")</f>
        <v>YES</v>
      </c>
      <c r="AO406" t="str">
        <f>IF(ISNUMBER(SEARCH("H", 'WetLitterbags placem_collection'!$W187)),"YES","NO")</f>
        <v>YES</v>
      </c>
      <c r="AP406" t="str">
        <f>IF(ISNUMBER(SEARCH("R", 'WetLitterbags placem_collection'!$W187)),"YES","NO")</f>
        <v>NO</v>
      </c>
    </row>
    <row r="407" spans="1:42" ht="15" customHeight="1">
      <c r="A407" t="s">
        <v>3248</v>
      </c>
      <c r="B407" s="248" t="s">
        <v>2454</v>
      </c>
      <c r="C407" s="253">
        <f>'Dry_Litterbag Placem_Collection'!A188</f>
        <v>186</v>
      </c>
      <c r="D407" s="253" t="str">
        <f>'Dry_Litterbag Placem_Collection'!B188</f>
        <v>Handajega</v>
      </c>
      <c r="E407" s="253" t="s">
        <v>2454</v>
      </c>
      <c r="F407" s="253" t="s">
        <v>2645</v>
      </c>
      <c r="G407" s="253">
        <v>4</v>
      </c>
      <c r="H407" s="253" t="s">
        <v>3130</v>
      </c>
      <c r="I407" s="254" t="str">
        <f>'Dry_Litterbag Placem_Collection'!C188</f>
        <v>Wet_W4_T2</v>
      </c>
      <c r="J407" s="255" t="s">
        <v>2525</v>
      </c>
      <c r="K407" s="262" t="s">
        <v>298</v>
      </c>
      <c r="L407" s="221" t="str">
        <f>'WetLitterbags placem_collection'!M188</f>
        <v>R557</v>
      </c>
      <c r="M407" s="223">
        <f>IFERROR(INDEX('Green_rooibos initial weight'!$C$5:$C$2000,MATCH(L407, 'Green_rooibos initial weight'!$A$5:$A$2000,0)),"")</f>
        <v>2.2229999999999999</v>
      </c>
      <c r="N407" s="223">
        <f>IFERROR(M407-(TBIcalc!$H$9+TBIcalc!$H$10),"")</f>
        <v>1.9731999999999998</v>
      </c>
      <c r="O407" s="378">
        <f>AVERAGE(Ashed_controlls!$K$2:$K$11)</f>
        <v>5.5147656768714146</v>
      </c>
      <c r="P407" s="223">
        <f t="shared" si="31"/>
        <v>1.8643826436639732</v>
      </c>
      <c r="Q407" s="223">
        <f>IFERROR(INDEX('Both teabags AfterWet'!$C$3:$C$840,MATCH(L407,'Both teabags AfterWet'!$A$3:$A$840,0)),"")</f>
        <v>1.7509999999999999</v>
      </c>
      <c r="R407" s="223">
        <f>IFERROR(IF(Q407&gt;0,Q407-(TBIcalc!$H$9),""),"")</f>
        <v>1.6003999999999998</v>
      </c>
      <c r="S407" s="223">
        <f>IFERROR(INDEX('Ashed teabags wet'!$K$2:$K$2000,MATCH(L407,'Ashed teabags wet'!$A$2:$A$2000,0)),"")</f>
        <v>2.1547502448572287</v>
      </c>
      <c r="T407" s="223">
        <f t="shared" si="32"/>
        <v>1.5659153770813048</v>
      </c>
      <c r="U407" s="224">
        <f>'WetLitterbags placem_collection'!E188</f>
        <v>42763</v>
      </c>
      <c r="V407" s="224">
        <f>IF('WetLitterbags placem_collection'!G188="","",'WetLitterbags placem_collection'!G188)</f>
        <v>42815</v>
      </c>
      <c r="W407" s="225">
        <f t="shared" si="30"/>
        <v>52</v>
      </c>
      <c r="X407" s="223">
        <f t="shared" si="33"/>
        <v>0.37280000000000002</v>
      </c>
      <c r="Y407" s="223">
        <f t="shared" si="34"/>
        <v>0.29846726658266842</v>
      </c>
      <c r="Z407">
        <f>IFERROR(INDEX([1]Rainfall_Wet!$O$2:$O$217,MATCH(C407, [1]Rainfall_Wet!$A$2:$A$217,0)),"")</f>
        <v>188.24043152799999</v>
      </c>
      <c r="AA407" s="226">
        <v>25.96</v>
      </c>
      <c r="AB407" s="226">
        <v>8.9200000000000017</v>
      </c>
      <c r="AC407" s="226">
        <v>65.12</v>
      </c>
      <c r="AD407" s="227" t="s">
        <v>2651</v>
      </c>
      <c r="AE407" s="226">
        <v>2.6991621488417898</v>
      </c>
      <c r="AF407">
        <f>IF('WetLitterbags placem_collection'!AB188="","",'WetLitterbags placem_collection'!AB188)</f>
        <v>11.4</v>
      </c>
      <c r="AG407">
        <f>IF('WetLitterbags placem_collection'!Z188="","",'WetLitterbags placem_collection'!Z188)</f>
        <v>45.4</v>
      </c>
      <c r="AH407" s="236" t="str">
        <f>IF('WetLitterbags placem_collection'!AA188="","",'WetLitterbags placem_collection'!AA188)</f>
        <v>O</v>
      </c>
      <c r="AI407">
        <f>IF('WetLitterbags placem_collection'!AC188="","",'WetLitterbags placem_collection'!AC188)</f>
        <v>0</v>
      </c>
      <c r="AJ407" s="233">
        <f>AVERAGE('WetLitterbags placem_collection'!S188,'WetLitterbags placem_collection'!U188)</f>
        <v>16.899999999999999</v>
      </c>
      <c r="AK407">
        <f>AVERAGE('WetLitterbags placem_collection'!R188,'WetLitterbags placem_collection'!T188)</f>
        <v>33.9</v>
      </c>
      <c r="AL407">
        <f>INDEX([2]Coordinates!$B$2:$B$197,MATCH(I407,[2]Coordinates!$J$2:$J$197,0))</f>
        <v>-2.278763037</v>
      </c>
      <c r="AM407">
        <f>INDEX([2]Coordinates!$C$2:$C$197,MATCH(I407,[2]Coordinates!$J$2:$J$197,0))</f>
        <v>34.031974009999999</v>
      </c>
      <c r="AN407" t="str">
        <f>IF(ISNUMBER(SEARCH("C", 'WetLitterbags placem_collection'!$W188)),"YES","NO")</f>
        <v>NO</v>
      </c>
      <c r="AO407" t="str">
        <f>IF(ISNUMBER(SEARCH("H", 'WetLitterbags placem_collection'!$W188)),"YES","NO")</f>
        <v>YES</v>
      </c>
      <c r="AP407" t="str">
        <f>IF(ISNUMBER(SEARCH("R", 'WetLitterbags placem_collection'!$W188)),"YES","NO")</f>
        <v>NO</v>
      </c>
    </row>
    <row r="408" spans="1:42" ht="15" customHeight="1">
      <c r="A408" t="s">
        <v>3248</v>
      </c>
      <c r="B408" s="248" t="s">
        <v>2454</v>
      </c>
      <c r="C408" s="253">
        <f>'Dry_Litterbag Placem_Collection'!A189</f>
        <v>187</v>
      </c>
      <c r="D408" s="253" t="str">
        <f>'Dry_Litterbag Placem_Collection'!B189</f>
        <v>Handajega</v>
      </c>
      <c r="E408" s="253" t="s">
        <v>2454</v>
      </c>
      <c r="F408" s="253" t="s">
        <v>2645</v>
      </c>
      <c r="G408" s="253">
        <v>4</v>
      </c>
      <c r="H408" s="253" t="s">
        <v>3130</v>
      </c>
      <c r="I408" s="254" t="str">
        <f>'Dry_Litterbag Placem_Collection'!C189</f>
        <v>Wet_W4_T3</v>
      </c>
      <c r="J408" s="255" t="s">
        <v>2525</v>
      </c>
      <c r="K408" s="262" t="s">
        <v>298</v>
      </c>
      <c r="L408" s="221" t="str">
        <f>'WetLitterbags placem_collection'!M189</f>
        <v>R427</v>
      </c>
      <c r="M408" s="223">
        <f>IFERROR(INDEX('Green_rooibos initial weight'!$C$5:$C$2000,MATCH(L408, 'Green_rooibos initial weight'!$A$5:$A$2000,0)),"")</f>
        <v>2.1760000000000002</v>
      </c>
      <c r="N408" s="223">
        <f>IFERROR(M408-(TBIcalc!$H$9+TBIcalc!$H$10),"")</f>
        <v>1.9262000000000001</v>
      </c>
      <c r="O408" s="378">
        <f>AVERAGE(Ashed_controlls!$K$2:$K$11)</f>
        <v>5.5147656768714146</v>
      </c>
      <c r="P408" s="223">
        <f t="shared" si="31"/>
        <v>1.8199745835321028</v>
      </c>
      <c r="Q408" s="223">
        <f>IFERROR(INDEX('Both teabags AfterWet'!$C$3:$C$840,MATCH(L408,'Both teabags AfterWet'!$A$3:$A$840,0)),"")</f>
        <v>1.6979</v>
      </c>
      <c r="R408" s="223">
        <f>IFERROR(IF(Q408&gt;0,Q408-(TBIcalc!$H$9),""),"")</f>
        <v>1.5472999999999999</v>
      </c>
      <c r="S408" s="223">
        <f>IFERROR(INDEX('Ashed teabags wet'!$K$2:$K$2000,MATCH(L408,'Ashed teabags wet'!$A$2:$A$2000,0)),"")</f>
        <v>1.9455252918283636</v>
      </c>
      <c r="T408" s="223">
        <f t="shared" si="32"/>
        <v>1.5171968871595396</v>
      </c>
      <c r="U408" s="224">
        <f>'WetLitterbags placem_collection'!E189</f>
        <v>42763</v>
      </c>
      <c r="V408" s="224">
        <f>IF('WetLitterbags placem_collection'!G189="","",'WetLitterbags placem_collection'!G189)</f>
        <v>42815</v>
      </c>
      <c r="W408" s="225">
        <f t="shared" si="30"/>
        <v>52</v>
      </c>
      <c r="X408" s="223">
        <f t="shared" si="33"/>
        <v>0.37890000000000024</v>
      </c>
      <c r="Y408" s="223">
        <f t="shared" si="34"/>
        <v>0.30277769637256324</v>
      </c>
      <c r="Z408">
        <f>IFERROR(INDEX([1]Rainfall_Wet!$O$2:$O$217,MATCH(C408, [1]Rainfall_Wet!$A$2:$A$217,0)),"")</f>
        <v>188.24043152799999</v>
      </c>
      <c r="AA408" s="226">
        <v>25.96</v>
      </c>
      <c r="AB408" s="226">
        <v>8.9200000000000017</v>
      </c>
      <c r="AC408" s="226">
        <v>65.12</v>
      </c>
      <c r="AD408" s="227" t="s">
        <v>2651</v>
      </c>
      <c r="AE408" s="226">
        <v>3.6991621488417898</v>
      </c>
      <c r="AF408">
        <f>IF('WetLitterbags placem_collection'!AB189="","",'WetLitterbags placem_collection'!AB189)</f>
        <v>0.6</v>
      </c>
      <c r="AG408">
        <f>IF('WetLitterbags placem_collection'!Z189="","",'WetLitterbags placem_collection'!Z189)</f>
        <v>39.4</v>
      </c>
      <c r="AH408" s="236" t="str">
        <f>IF('WetLitterbags placem_collection'!AA189="","",'WetLitterbags placem_collection'!AA189)</f>
        <v>O</v>
      </c>
      <c r="AI408">
        <f>IF('WetLitterbags placem_collection'!AC189="","",'WetLitterbags placem_collection'!AC189)</f>
        <v>1</v>
      </c>
      <c r="AJ408" s="233">
        <f>AVERAGE('WetLitterbags placem_collection'!S189,'WetLitterbags placem_collection'!U189)</f>
        <v>14.2</v>
      </c>
      <c r="AK408">
        <f>AVERAGE('WetLitterbags placem_collection'!R189,'WetLitterbags placem_collection'!T189)</f>
        <v>33</v>
      </c>
      <c r="AL408">
        <f>INDEX([2]Coordinates!$B$2:$B$197,MATCH(I408,[2]Coordinates!$J$2:$J$197,0))</f>
        <v>-2.2785890289999999</v>
      </c>
      <c r="AM408">
        <f>INDEX([2]Coordinates!$C$2:$C$197,MATCH(I408,[2]Coordinates!$J$2:$J$197,0))</f>
        <v>34.031841999999997</v>
      </c>
      <c r="AN408" t="str">
        <f>IF(ISNUMBER(SEARCH("C", 'WetLitterbags placem_collection'!$W189)),"YES","NO")</f>
        <v>NO</v>
      </c>
      <c r="AO408" t="str">
        <f>IF(ISNUMBER(SEARCH("H", 'WetLitterbags placem_collection'!$W189)),"YES","NO")</f>
        <v>NO</v>
      </c>
      <c r="AP408" t="str">
        <f>IF(ISNUMBER(SEARCH("R", 'WetLitterbags placem_collection'!$W189)),"YES","NO")</f>
        <v>NO</v>
      </c>
    </row>
    <row r="409" spans="1:42" ht="15" customHeight="1">
      <c r="A409" t="s">
        <v>3248</v>
      </c>
      <c r="B409" s="248" t="s">
        <v>2454</v>
      </c>
      <c r="C409" s="253">
        <f>'Dry_Litterbag Placem_Collection'!A190</f>
        <v>188</v>
      </c>
      <c r="D409" s="253" t="str">
        <f>'Dry_Litterbag Placem_Collection'!B190</f>
        <v>Handajega</v>
      </c>
      <c r="E409" s="253" t="s">
        <v>2454</v>
      </c>
      <c r="F409" s="253" t="s">
        <v>2645</v>
      </c>
      <c r="G409" s="253">
        <v>4</v>
      </c>
      <c r="H409" s="253" t="s">
        <v>3130</v>
      </c>
      <c r="I409" s="254" t="str">
        <f>'Dry_Litterbag Placem_Collection'!C190</f>
        <v>Wet_W4_T4</v>
      </c>
      <c r="J409" s="255" t="s">
        <v>2525</v>
      </c>
      <c r="K409" s="262" t="s">
        <v>298</v>
      </c>
      <c r="L409" s="221" t="str">
        <f>'WetLitterbags placem_collection'!M190</f>
        <v>R523</v>
      </c>
      <c r="M409" s="223">
        <f>IFERROR(INDEX('Green_rooibos initial weight'!$C$5:$C$2000,MATCH(L409, 'Green_rooibos initial weight'!$A$5:$A$2000,0)),"")</f>
        <v>2.1179999999999999</v>
      </c>
      <c r="N409" s="223">
        <f>IFERROR(M409-(TBIcalc!$H$9+TBIcalc!$H$10),"")</f>
        <v>1.8681999999999999</v>
      </c>
      <c r="O409" s="378">
        <f>AVERAGE(Ashed_controlls!$K$2:$K$11)</f>
        <v>5.5147656768714146</v>
      </c>
      <c r="P409" s="223">
        <f t="shared" si="31"/>
        <v>1.7651731476246881</v>
      </c>
      <c r="Q409" s="223">
        <f>IFERROR(INDEX('Both teabags AfterWet'!$C$3:$C$840,MATCH(L409,'Both teabags AfterWet'!$A$3:$A$840,0)),"")</f>
        <v>1.54</v>
      </c>
      <c r="R409" s="223">
        <f>IFERROR(IF(Q409&gt;0,Q409-(TBIcalc!$H$9),""),"")</f>
        <v>1.3894</v>
      </c>
      <c r="S409" s="223">
        <f>IFERROR(INDEX('Ashed teabags wet'!$K$2:$K$2000,MATCH(L409,'Ashed teabags wet'!$A$2:$A$2000,0)),"")</f>
        <v>2.4709302325582305</v>
      </c>
      <c r="T409" s="223">
        <f t="shared" si="32"/>
        <v>1.3550688953488359</v>
      </c>
      <c r="U409" s="224">
        <f>'WetLitterbags placem_collection'!E190</f>
        <v>42763</v>
      </c>
      <c r="V409" s="224">
        <f>IF('WetLitterbags placem_collection'!G190="","",'WetLitterbags placem_collection'!G190)</f>
        <v>42815</v>
      </c>
      <c r="W409" s="225">
        <f t="shared" si="30"/>
        <v>52</v>
      </c>
      <c r="X409" s="223">
        <f t="shared" si="33"/>
        <v>0.47879999999999989</v>
      </c>
      <c r="Y409" s="223">
        <f t="shared" si="34"/>
        <v>0.41010425227585223</v>
      </c>
      <c r="Z409">
        <f>IFERROR(INDEX([1]Rainfall_Wet!$O$2:$O$217,MATCH(C409, [1]Rainfall_Wet!$A$2:$A$217,0)),"")</f>
        <v>188.24043152799999</v>
      </c>
      <c r="AA409" s="226">
        <v>25.96</v>
      </c>
      <c r="AB409" s="226">
        <v>8.9200000000000017</v>
      </c>
      <c r="AC409" s="226">
        <v>65.12</v>
      </c>
      <c r="AD409" s="227" t="s">
        <v>2651</v>
      </c>
      <c r="AE409" s="226">
        <v>4.6991621488417898</v>
      </c>
      <c r="AF409">
        <f>IF('WetLitterbags placem_collection'!AB190="","",'WetLitterbags placem_collection'!AB190)</f>
        <v>2.2999999999999998</v>
      </c>
      <c r="AG409">
        <f>IF('WetLitterbags placem_collection'!Z190="","",'WetLitterbags placem_collection'!Z190)</f>
        <v>14.4</v>
      </c>
      <c r="AH409" s="236" t="str">
        <f>IF('WetLitterbags placem_collection'!AA190="","",'WetLitterbags placem_collection'!AA190)</f>
        <v>O</v>
      </c>
      <c r="AI409">
        <f>IF('WetLitterbags placem_collection'!AC190="","",'WetLitterbags placem_collection'!AC190)</f>
        <v>0</v>
      </c>
      <c r="AJ409" s="233">
        <f>AVERAGE('WetLitterbags placem_collection'!S190,'WetLitterbags placem_collection'!U190)</f>
        <v>10.45</v>
      </c>
      <c r="AK409">
        <f>AVERAGE('WetLitterbags placem_collection'!R190,'WetLitterbags placem_collection'!T190)</f>
        <v>34.15</v>
      </c>
      <c r="AL409">
        <f>INDEX([2]Coordinates!$B$2:$B$197,MATCH(I409,[2]Coordinates!$J$2:$J$197,0))</f>
        <v>-2.278422983</v>
      </c>
      <c r="AM409">
        <f>INDEX([2]Coordinates!$C$2:$C$197,MATCH(I409,[2]Coordinates!$J$2:$J$197,0))</f>
        <v>34.032261009999999</v>
      </c>
      <c r="AN409" t="str">
        <f>IF(ISNUMBER(SEARCH("C", 'WetLitterbags placem_collection'!$W190)),"YES","NO")</f>
        <v>YES</v>
      </c>
      <c r="AO409" t="str">
        <f>IF(ISNUMBER(SEARCH("H", 'WetLitterbags placem_collection'!$W190)),"YES","NO")</f>
        <v>YES</v>
      </c>
      <c r="AP409" t="str">
        <f>IF(ISNUMBER(SEARCH("R", 'WetLitterbags placem_collection'!$W190)),"YES","NO")</f>
        <v>YES</v>
      </c>
    </row>
    <row r="410" spans="1:42" ht="15" customHeight="1">
      <c r="A410" t="s">
        <v>3248</v>
      </c>
      <c r="B410" s="248" t="s">
        <v>2454</v>
      </c>
      <c r="C410" s="253">
        <f>'Dry_Litterbag Placem_Collection'!A191</f>
        <v>189</v>
      </c>
      <c r="D410" s="253" t="str">
        <f>'Dry_Litterbag Placem_Collection'!B191</f>
        <v>Handajega</v>
      </c>
      <c r="E410" s="253" t="s">
        <v>2454</v>
      </c>
      <c r="F410" s="253" t="s">
        <v>2645</v>
      </c>
      <c r="G410" s="253">
        <v>4</v>
      </c>
      <c r="H410" s="253" t="s">
        <v>3130</v>
      </c>
      <c r="I410" s="254" t="str">
        <f>'Dry_Litterbag Placem_Collection'!C191</f>
        <v>Wet_W4_T5</v>
      </c>
      <c r="J410" s="255" t="s">
        <v>2525</v>
      </c>
      <c r="K410" s="262" t="s">
        <v>298</v>
      </c>
      <c r="L410" s="221" t="str">
        <f>'WetLitterbags placem_collection'!M191</f>
        <v>R354</v>
      </c>
      <c r="M410" s="223">
        <f>IFERROR(INDEX('Green_rooibos initial weight'!$C$5:$C$2000,MATCH(L410, 'Green_rooibos initial weight'!$A$5:$A$2000,0)),"")</f>
        <v>2.286</v>
      </c>
      <c r="N410" s="223">
        <f>IFERROR(M410-(TBIcalc!$H$9+TBIcalc!$H$10),"")</f>
        <v>2.0362</v>
      </c>
      <c r="O410" s="378">
        <f>AVERAGE(Ashed_controlls!$K$2:$K$11)</f>
        <v>5.5147656768714146</v>
      </c>
      <c r="P410" s="223">
        <f t="shared" si="31"/>
        <v>1.9239083412875442</v>
      </c>
      <c r="Q410" s="223">
        <f>IFERROR(INDEX('Both teabags AfterWet'!$C$3:$C$840,MATCH(L410,'Both teabags AfterWet'!$A$3:$A$840,0)),"")</f>
        <v>1.7630999999999999</v>
      </c>
      <c r="R410" s="223">
        <f>IFERROR(IF(Q410&gt;0,Q410-(TBIcalc!$H$9),""),"")</f>
        <v>1.6124999999999998</v>
      </c>
      <c r="S410" s="223">
        <f>IFERROR(INDEX('Ashed teabags wet'!$K$2:$K$2000,MATCH(L410,'Ashed teabags wet'!$A$2:$A$2000,0)),"")</f>
        <v>2.4789291026277223</v>
      </c>
      <c r="T410" s="223">
        <f t="shared" si="32"/>
        <v>1.5725272682201279</v>
      </c>
      <c r="U410" s="224">
        <f>'WetLitterbags placem_collection'!E191</f>
        <v>42763</v>
      </c>
      <c r="V410" s="224">
        <f>IF('WetLitterbags placem_collection'!G191="","",'WetLitterbags placem_collection'!G191)</f>
        <v>42815</v>
      </c>
      <c r="W410" s="225">
        <f t="shared" si="30"/>
        <v>52</v>
      </c>
      <c r="X410" s="223">
        <f t="shared" si="33"/>
        <v>0.42370000000000019</v>
      </c>
      <c r="Y410" s="223">
        <f t="shared" si="34"/>
        <v>0.35138107306741628</v>
      </c>
      <c r="Z410">
        <f>IFERROR(INDEX([1]Rainfall_Wet!$O$2:$O$217,MATCH(C410, [1]Rainfall_Wet!$A$2:$A$217,0)),"")</f>
        <v>188.24043152799999</v>
      </c>
      <c r="AA410" s="226">
        <v>25.96</v>
      </c>
      <c r="AB410" s="226">
        <v>8.9200000000000017</v>
      </c>
      <c r="AC410" s="226">
        <v>65.12</v>
      </c>
      <c r="AD410" s="227" t="s">
        <v>2651</v>
      </c>
      <c r="AE410" s="226">
        <v>5.6991621488417898</v>
      </c>
      <c r="AF410">
        <f>IF('WetLitterbags placem_collection'!AB191="","",'WetLitterbags placem_collection'!AB191)</f>
        <v>0.6</v>
      </c>
      <c r="AG410">
        <f>IF('WetLitterbags placem_collection'!Z191="","",'WetLitterbags placem_collection'!Z191)</f>
        <v>7</v>
      </c>
      <c r="AH410" s="236" t="str">
        <f>IF('WetLitterbags placem_collection'!AA191="","",'WetLitterbags placem_collection'!AA191)</f>
        <v>O</v>
      </c>
      <c r="AI410">
        <f>IF('WetLitterbags placem_collection'!AC191="","",'WetLitterbags placem_collection'!AC191)</f>
        <v>1</v>
      </c>
      <c r="AJ410" s="233">
        <f>AVERAGE('WetLitterbags placem_collection'!S191,'WetLitterbags placem_collection'!U191)</f>
        <v>13.6</v>
      </c>
      <c r="AK410">
        <f>AVERAGE('WetLitterbags placem_collection'!R191,'WetLitterbags placem_collection'!T191)</f>
        <v>30.6</v>
      </c>
      <c r="AL410">
        <f>INDEX([2]Coordinates!$B$2:$B$197,MATCH(I410,[2]Coordinates!$J$2:$J$197,0))</f>
        <v>-2.2787580080000001</v>
      </c>
      <c r="AM410">
        <f>INDEX([2]Coordinates!$C$2:$C$197,MATCH(I410,[2]Coordinates!$J$2:$J$197,0))</f>
        <v>34.032463010000001</v>
      </c>
      <c r="AN410" t="str">
        <f>IF(ISNUMBER(SEARCH("C", 'WetLitterbags placem_collection'!$W191)),"YES","NO")</f>
        <v>NO</v>
      </c>
      <c r="AO410" t="str">
        <f>IF(ISNUMBER(SEARCH("H", 'WetLitterbags placem_collection'!$W191)),"YES","NO")</f>
        <v>NO</v>
      </c>
      <c r="AP410" t="str">
        <f>IF(ISNUMBER(SEARCH("R", 'WetLitterbags placem_collection'!$W191)),"YES","NO")</f>
        <v>YES</v>
      </c>
    </row>
    <row r="411" spans="1:42" ht="15" customHeight="1">
      <c r="A411" t="s">
        <v>3248</v>
      </c>
      <c r="B411" s="248" t="s">
        <v>2454</v>
      </c>
      <c r="C411" s="253">
        <f>'Dry_Litterbag Placem_Collection'!A192</f>
        <v>190</v>
      </c>
      <c r="D411" s="253" t="str">
        <f>'Dry_Litterbag Placem_Collection'!B192</f>
        <v>Handajega</v>
      </c>
      <c r="E411" s="253" t="s">
        <v>2454</v>
      </c>
      <c r="F411" s="253" t="s">
        <v>2645</v>
      </c>
      <c r="G411" s="253">
        <v>4</v>
      </c>
      <c r="H411" s="253" t="s">
        <v>3130</v>
      </c>
      <c r="I411" s="254" t="str">
        <f>'Dry_Litterbag Placem_Collection'!C192</f>
        <v>Wet_W4_T6</v>
      </c>
      <c r="J411" s="255" t="s">
        <v>2525</v>
      </c>
      <c r="K411" s="262" t="s">
        <v>298</v>
      </c>
      <c r="L411" s="221" t="str">
        <f>'WetLitterbags placem_collection'!M192</f>
        <v>R164</v>
      </c>
      <c r="M411" s="223">
        <f>IFERROR(INDEX('Green_rooibos initial weight'!$C$5:$C$2000,MATCH(L411, 'Green_rooibos initial weight'!$A$5:$A$2000,0)),"")</f>
        <v>2.2040000000000002</v>
      </c>
      <c r="N411" s="223">
        <f>IFERROR(M411-(TBIcalc!$H$9+TBIcalc!$H$10),"")</f>
        <v>1.9542000000000002</v>
      </c>
      <c r="O411" s="378">
        <f>AVERAGE(Ashed_controlls!$K$2:$K$11)</f>
        <v>5.5147656768714146</v>
      </c>
      <c r="P411" s="223">
        <f t="shared" si="31"/>
        <v>1.8464304491425789</v>
      </c>
      <c r="Q411" s="223">
        <f>IFERROR(INDEX('Both teabags AfterWet'!$C$3:$C$840,MATCH(L411,'Both teabags AfterWet'!$A$3:$A$840,0)),"")</f>
        <v>1.6649</v>
      </c>
      <c r="R411" s="223">
        <f>IFERROR(IF(Q411&gt;0,Q411-(TBIcalc!$H$9),""),"")</f>
        <v>1.5143</v>
      </c>
      <c r="S411" s="223">
        <f>IFERROR(INDEX('Ashed teabags wet'!$K$2:$K$2000,MATCH(L411,'Ashed teabags wet'!$A$2:$A$2000,0)),"")</f>
        <v>2.591687041564656</v>
      </c>
      <c r="T411" s="223">
        <f t="shared" si="32"/>
        <v>1.4750540831295864</v>
      </c>
      <c r="U411" s="224">
        <f>'WetLitterbags placem_collection'!E192</f>
        <v>42763</v>
      </c>
      <c r="V411" s="224">
        <f>IF('WetLitterbags placem_collection'!G192="","",'WetLitterbags placem_collection'!G192)</f>
        <v>42815</v>
      </c>
      <c r="W411" s="225">
        <f t="shared" si="30"/>
        <v>52</v>
      </c>
      <c r="X411" s="223">
        <f t="shared" si="33"/>
        <v>0.43990000000000018</v>
      </c>
      <c r="Y411" s="223">
        <f t="shared" si="34"/>
        <v>0.37137636601299251</v>
      </c>
      <c r="Z411">
        <f>IFERROR(INDEX([1]Rainfall_Wet!$O$2:$O$217,MATCH(C411, [1]Rainfall_Wet!$A$2:$A$217,0)),"")</f>
        <v>188.24043152799999</v>
      </c>
      <c r="AA411" s="226">
        <v>25.96</v>
      </c>
      <c r="AB411" s="226">
        <v>8.9200000000000017</v>
      </c>
      <c r="AC411" s="226">
        <v>65.12</v>
      </c>
      <c r="AD411" s="227" t="s">
        <v>2651</v>
      </c>
      <c r="AE411" s="226">
        <v>6.6991621488417898</v>
      </c>
      <c r="AF411">
        <f>IF('WetLitterbags placem_collection'!AB192="","",'WetLitterbags placem_collection'!AB192)</f>
        <v>9.5</v>
      </c>
      <c r="AG411">
        <f>IF('WetLitterbags placem_collection'!Z192="","",'WetLitterbags placem_collection'!Z192)</f>
        <v>17.399999999999999</v>
      </c>
      <c r="AH411" s="236" t="str">
        <f>IF('WetLitterbags placem_collection'!AA192="","",'WetLitterbags placem_collection'!AA192)</f>
        <v>O</v>
      </c>
      <c r="AI411">
        <f>IF('WetLitterbags placem_collection'!AC192="","",'WetLitterbags placem_collection'!AC192)</f>
        <v>0</v>
      </c>
      <c r="AJ411" s="233">
        <f>AVERAGE('WetLitterbags placem_collection'!S192,'WetLitterbags placem_collection'!U192)</f>
        <v>13.55</v>
      </c>
      <c r="AK411">
        <f>AVERAGE('WetLitterbags placem_collection'!R192,'WetLitterbags placem_collection'!T192)</f>
        <v>34.049999999999997</v>
      </c>
      <c r="AL411">
        <f>INDEX([2]Coordinates!$B$2:$B$197,MATCH(I411,[2]Coordinates!$J$2:$J$197,0))</f>
        <v>-2.2787559960000001</v>
      </c>
      <c r="AM411">
        <f>INDEX([2]Coordinates!$C$2:$C$197,MATCH(I411,[2]Coordinates!$J$2:$J$197,0))</f>
        <v>34.032268969999997</v>
      </c>
      <c r="AN411" t="str">
        <f>IF(ISNUMBER(SEARCH("C", 'WetLitterbags placem_collection'!$W192)),"YES","NO")</f>
        <v>YES</v>
      </c>
      <c r="AO411" t="str">
        <f>IF(ISNUMBER(SEARCH("H", 'WetLitterbags placem_collection'!$W192)),"YES","NO")</f>
        <v>YES</v>
      </c>
      <c r="AP411" t="str">
        <f>IF(ISNUMBER(SEARCH("R", 'WetLitterbags placem_collection'!$W192)),"YES","NO")</f>
        <v>NO</v>
      </c>
    </row>
    <row r="412" spans="1:42" ht="15" customHeight="1">
      <c r="A412" t="s">
        <v>3248</v>
      </c>
      <c r="B412" s="248" t="s">
        <v>2454</v>
      </c>
      <c r="C412" s="253">
        <f>'Dry_Litterbag Placem_Collection'!A193</f>
        <v>191</v>
      </c>
      <c r="D412" s="253" t="str">
        <f>'Dry_Litterbag Placem_Collection'!B193</f>
        <v>Handajega</v>
      </c>
      <c r="E412" s="253" t="s">
        <v>2454</v>
      </c>
      <c r="F412" s="253" t="s">
        <v>2645</v>
      </c>
      <c r="G412" s="253">
        <v>4</v>
      </c>
      <c r="H412" s="253" t="s">
        <v>3130</v>
      </c>
      <c r="I412" s="254" t="str">
        <f>'Dry_Litterbag Placem_Collection'!C193</f>
        <v>Wet_W4_T7</v>
      </c>
      <c r="J412" s="255" t="s">
        <v>2525</v>
      </c>
      <c r="K412" s="262" t="s">
        <v>298</v>
      </c>
      <c r="L412" s="221" t="str">
        <f>'WetLitterbags placem_collection'!M193</f>
        <v>R336</v>
      </c>
      <c r="M412" s="223">
        <f>IFERROR(INDEX('Green_rooibos initial weight'!$C$5:$C$2000,MATCH(L412, 'Green_rooibos initial weight'!$A$5:$A$2000,0)),"")</f>
        <v>2.11</v>
      </c>
      <c r="N412" s="223">
        <f>IFERROR(M412-(TBIcalc!$H$9+TBIcalc!$H$10),"")</f>
        <v>1.8601999999999999</v>
      </c>
      <c r="O412" s="378">
        <f>AVERAGE(Ashed_controlls!$K$2:$K$11)</f>
        <v>5.5147656768714146</v>
      </c>
      <c r="P412" s="223">
        <f t="shared" si="31"/>
        <v>1.7576143288788377</v>
      </c>
      <c r="Q412" s="223">
        <f>IFERROR(INDEX('Both teabags AfterWet'!$C$3:$C$840,MATCH(L412,'Both teabags AfterWet'!$A$3:$A$840,0)),"")</f>
        <v>1.671</v>
      </c>
      <c r="R412" s="223">
        <f>IFERROR(IF(Q412&gt;0,Q412-(TBIcalc!$H$9),""),"")</f>
        <v>1.5204</v>
      </c>
      <c r="S412" s="223">
        <f>IFERROR(INDEX('Ashed teabags wet'!$K$2:$K$2000,MATCH(L412,'Ashed teabags wet'!$A$2:$A$2000,0)),"")</f>
        <v>1.9089574155652842</v>
      </c>
      <c r="T412" s="223">
        <f t="shared" si="32"/>
        <v>1.4913762114537454</v>
      </c>
      <c r="U412" s="224">
        <f>'WetLitterbags placem_collection'!E193</f>
        <v>42763</v>
      </c>
      <c r="V412" s="224">
        <f>IF('WetLitterbags placem_collection'!G193="","",'WetLitterbags placem_collection'!G193)</f>
        <v>42815</v>
      </c>
      <c r="W412" s="225">
        <f t="shared" si="30"/>
        <v>52</v>
      </c>
      <c r="X412" s="223">
        <f t="shared" si="33"/>
        <v>0.33979999999999988</v>
      </c>
      <c r="Y412" s="223">
        <f t="shared" si="34"/>
        <v>0.26623811742509229</v>
      </c>
      <c r="Z412">
        <f>IFERROR(INDEX([1]Rainfall_Wet!$O$2:$O$217,MATCH(C412, [1]Rainfall_Wet!$A$2:$A$217,0)),"")</f>
        <v>188.24043152799999</v>
      </c>
      <c r="AA412" s="226">
        <v>25.96</v>
      </c>
      <c r="AB412" s="226">
        <v>8.9200000000000017</v>
      </c>
      <c r="AC412" s="226">
        <v>65.12</v>
      </c>
      <c r="AD412" s="227" t="s">
        <v>2651</v>
      </c>
      <c r="AE412" s="226">
        <v>7.6991621488417898</v>
      </c>
      <c r="AF412">
        <f>IF('WetLitterbags placem_collection'!AB193="","",'WetLitterbags placem_collection'!AB193)</f>
        <v>12.4</v>
      </c>
      <c r="AG412">
        <f>IF('WetLitterbags placem_collection'!Z193="","",'WetLitterbags placem_collection'!Z193)</f>
        <v>29.8</v>
      </c>
      <c r="AH412" s="236" t="str">
        <f>IF('WetLitterbags placem_collection'!AA193="","",'WetLitterbags placem_collection'!AA193)</f>
        <v>O</v>
      </c>
      <c r="AI412">
        <f>IF('WetLitterbags placem_collection'!AC193="","",'WetLitterbags placem_collection'!AC193)</f>
        <v>0</v>
      </c>
      <c r="AJ412" s="233">
        <f>AVERAGE('WetLitterbags placem_collection'!S193,'WetLitterbags placem_collection'!U193)</f>
        <v>12.350000000000001</v>
      </c>
      <c r="AK412">
        <f>AVERAGE('WetLitterbags placem_collection'!R193,'WetLitterbags placem_collection'!T193)</f>
        <v>35</v>
      </c>
      <c r="AL412">
        <f>INDEX([2]Coordinates!$B$2:$B$197,MATCH(I412,[2]Coordinates!$J$2:$J$197,0))</f>
        <v>-2.278704029</v>
      </c>
      <c r="AM412">
        <f>INDEX([2]Coordinates!$C$2:$C$197,MATCH(I412,[2]Coordinates!$J$2:$J$197,0))</f>
        <v>34.032182970000001</v>
      </c>
      <c r="AN412" t="str">
        <f>IF(ISNUMBER(SEARCH("C", 'WetLitterbags placem_collection'!$W193)),"YES","NO")</f>
        <v>YES</v>
      </c>
      <c r="AO412" t="str">
        <f>IF(ISNUMBER(SEARCH("H", 'WetLitterbags placem_collection'!$W193)),"YES","NO")</f>
        <v>YES</v>
      </c>
      <c r="AP412" t="str">
        <f>IF(ISNUMBER(SEARCH("R", 'WetLitterbags placem_collection'!$W193)),"YES","NO")</f>
        <v>NO</v>
      </c>
    </row>
    <row r="413" spans="1:42" ht="15" customHeight="1">
      <c r="A413" t="s">
        <v>3248</v>
      </c>
      <c r="B413" s="248" t="s">
        <v>2454</v>
      </c>
      <c r="C413" s="253">
        <f>'Dry_Litterbag Placem_Collection'!A194</f>
        <v>192</v>
      </c>
      <c r="D413" s="253" t="str">
        <f>'Dry_Litterbag Placem_Collection'!B194</f>
        <v>Handajega</v>
      </c>
      <c r="E413" s="253" t="s">
        <v>2454</v>
      </c>
      <c r="F413" s="253" t="s">
        <v>2645</v>
      </c>
      <c r="G413" s="253">
        <v>4</v>
      </c>
      <c r="H413" s="253" t="s">
        <v>3130</v>
      </c>
      <c r="I413" s="254" t="str">
        <f>'Dry_Litterbag Placem_Collection'!C194</f>
        <v>Wet_W4_T8</v>
      </c>
      <c r="J413" s="255" t="s">
        <v>2525</v>
      </c>
      <c r="K413" s="262" t="s">
        <v>298</v>
      </c>
      <c r="L413" s="221" t="str">
        <f>'WetLitterbags placem_collection'!M194</f>
        <v>R263</v>
      </c>
      <c r="M413" s="223">
        <f>IFERROR(INDEX('Green_rooibos initial weight'!$C$5:$C$2000,MATCH(L413, 'Green_rooibos initial weight'!$A$5:$A$2000,0)),"")</f>
        <v>2.1850000000000001</v>
      </c>
      <c r="N413" s="223">
        <f>IFERROR(M413-(TBIcalc!$H$9+TBIcalc!$H$10),"")</f>
        <v>1.9352</v>
      </c>
      <c r="O413" s="378">
        <f>AVERAGE(Ashed_controlls!$K$2:$K$11)</f>
        <v>5.5147656768714146</v>
      </c>
      <c r="P413" s="223">
        <f t="shared" si="31"/>
        <v>1.8284782546211844</v>
      </c>
      <c r="Q413" s="223">
        <f>IFERROR(INDEX('Both teabags AfterWet'!$C$3:$C$840,MATCH(L413,'Both teabags AfterWet'!$A$3:$A$840,0)),"")</f>
        <v>1.0369999999999999</v>
      </c>
      <c r="R413" s="223">
        <f>IFERROR(IF(Q413&gt;0,Q413-(TBIcalc!$H$9),""),"")</f>
        <v>0.88639999999999985</v>
      </c>
      <c r="S413" s="223">
        <f>IFERROR(INDEX('Ashed teabags wet'!$K$2:$K$2000,MATCH(L413,'Ashed teabags wet'!$A$2:$A$2000,0)),"")</f>
        <v>44.460570875664885</v>
      </c>
      <c r="T413" s="223">
        <f t="shared" si="32"/>
        <v>0.49230149975810639</v>
      </c>
      <c r="U413" s="224">
        <f>'WetLitterbags placem_collection'!E194</f>
        <v>42763</v>
      </c>
      <c r="V413" s="224">
        <f>IF('WetLitterbags placem_collection'!G194="","",'WetLitterbags placem_collection'!G194)</f>
        <v>42815</v>
      </c>
      <c r="W413" s="225">
        <f t="shared" si="30"/>
        <v>52</v>
      </c>
      <c r="X413" s="223">
        <f t="shared" si="33"/>
        <v>1.0488000000000002</v>
      </c>
      <c r="Y413" s="223">
        <f t="shared" si="34"/>
        <v>1.3361767548630781</v>
      </c>
      <c r="Z413">
        <f>IFERROR(INDEX([1]Rainfall_Wet!$O$2:$O$217,MATCH(C413, [1]Rainfall_Wet!$A$2:$A$217,0)),"")</f>
        <v>188.24043152799999</v>
      </c>
      <c r="AA413" s="226">
        <v>25.96</v>
      </c>
      <c r="AB413" s="226">
        <v>8.9200000000000017</v>
      </c>
      <c r="AC413" s="226">
        <v>65.12</v>
      </c>
      <c r="AD413" s="227" t="s">
        <v>2651</v>
      </c>
      <c r="AE413" s="226">
        <v>8.6991621488417898</v>
      </c>
      <c r="AF413">
        <f>IF('WetLitterbags placem_collection'!AB194="","",'WetLitterbags placem_collection'!AB194)</f>
        <v>3.6</v>
      </c>
      <c r="AG413">
        <f>IF('WetLitterbags placem_collection'!Z194="","",'WetLitterbags placem_collection'!Z194)</f>
        <v>37.799999999999997</v>
      </c>
      <c r="AH413" s="236" t="str">
        <f>IF('WetLitterbags placem_collection'!AA194="","",'WetLitterbags placem_collection'!AA194)</f>
        <v>O</v>
      </c>
      <c r="AI413">
        <f>IF('WetLitterbags placem_collection'!AC194="","",'WetLitterbags placem_collection'!AC194)</f>
        <v>0</v>
      </c>
      <c r="AJ413" s="233">
        <f>AVERAGE('WetLitterbags placem_collection'!S194,'WetLitterbags placem_collection'!U194)</f>
        <v>9.25</v>
      </c>
      <c r="AK413">
        <f>AVERAGE('WetLitterbags placem_collection'!R194,'WetLitterbags placem_collection'!T194)</f>
        <v>33.299999999999997</v>
      </c>
      <c r="AL413">
        <f>INDEX([2]Coordinates!$B$2:$B$197,MATCH(I413,[2]Coordinates!$J$2:$J$197,0))</f>
        <v>-2.2789770269999998</v>
      </c>
      <c r="AM413">
        <f>INDEX([2]Coordinates!$C$2:$C$197,MATCH(I413,[2]Coordinates!$J$2:$J$197,0))</f>
        <v>34.032051039999999</v>
      </c>
      <c r="AN413" t="str">
        <f>IF(ISNUMBER(SEARCH("C", 'WetLitterbags placem_collection'!$W194)),"YES","NO")</f>
        <v>YES</v>
      </c>
      <c r="AO413" t="str">
        <f>IF(ISNUMBER(SEARCH("H", 'WetLitterbags placem_collection'!$W194)),"YES","NO")</f>
        <v>YES</v>
      </c>
      <c r="AP413" t="str">
        <f>IF(ISNUMBER(SEARCH("R", 'WetLitterbags placem_collection'!$W194)),"YES","NO")</f>
        <v>NO</v>
      </c>
    </row>
    <row r="414" spans="1:42" ht="15" customHeight="1">
      <c r="A414" t="s">
        <v>2490</v>
      </c>
      <c r="B414" s="248" t="s">
        <v>2454</v>
      </c>
      <c r="C414" s="253">
        <f>'Dry_Litterbag Placem_Collection'!A195</f>
        <v>193</v>
      </c>
      <c r="D414" s="253" t="str">
        <f>'Dry_Litterbag Placem_Collection'!B195</f>
        <v>Makao</v>
      </c>
      <c r="E414" s="253" t="s">
        <v>2643</v>
      </c>
      <c r="F414" s="253" t="s">
        <v>2644</v>
      </c>
      <c r="G414" s="253">
        <v>4</v>
      </c>
      <c r="H414" s="253" t="s">
        <v>3099</v>
      </c>
      <c r="I414" s="254" t="str">
        <f>'Dry_Litterbag Placem_Collection'!C195</f>
        <v>Dry_Ag1_CG4</v>
      </c>
      <c r="J414" s="255" t="s">
        <v>2525</v>
      </c>
      <c r="K414" s="262" t="s">
        <v>298</v>
      </c>
      <c r="L414" s="221" t="str">
        <f>'WetLitterbags placem_collection'!M195</f>
        <v>R125</v>
      </c>
      <c r="M414" s="223">
        <f>IFERROR(INDEX('Green_rooibos initial weight'!$C$5:$C$2000,MATCH(L414, 'Green_rooibos initial weight'!$A$5:$A$2000,0)),"")</f>
        <v>2.2040000000000002</v>
      </c>
      <c r="N414" s="223">
        <f>IFERROR(M414-(TBIcalc!$H$9+TBIcalc!$H$10),"")</f>
        <v>1.9542000000000002</v>
      </c>
      <c r="O414" s="378">
        <f>AVERAGE(Ashed_controlls!$K$2:$K$11)</f>
        <v>5.5147656768714146</v>
      </c>
      <c r="P414" s="223">
        <f t="shared" si="31"/>
        <v>1.8464304491425789</v>
      </c>
      <c r="Q414" s="223">
        <f>IFERROR(INDEX('Both teabags AfterWet'!$C$3:$C$840,MATCH(L414,'Both teabags AfterWet'!$A$3:$A$840,0)),"")</f>
        <v>1.2266999999999999</v>
      </c>
      <c r="R414" s="223">
        <f>IFERROR(IF(Q414&gt;0,Q414-(TBIcalc!$H$9),""),"")</f>
        <v>1.0760999999999998</v>
      </c>
      <c r="S414" s="223">
        <f>IFERROR(INDEX('Ashed teabags wet'!$K$2:$K$2000,MATCH(L414,'Ashed teabags wet'!$A$2:$A$2000,0)),"")</f>
        <v>4.8379052369080275</v>
      </c>
      <c r="T414" s="223">
        <f t="shared" si="32"/>
        <v>1.0240393017456326</v>
      </c>
      <c r="U414" s="224">
        <f>'WetLitterbags placem_collection'!E195</f>
        <v>42769</v>
      </c>
      <c r="V414" s="224">
        <f>IF('WetLitterbags placem_collection'!G195="","",'WetLitterbags placem_collection'!G195)</f>
        <v>42813</v>
      </c>
      <c r="W414" s="225">
        <f t="shared" si="30"/>
        <v>44</v>
      </c>
      <c r="X414" s="223">
        <f t="shared" si="33"/>
        <v>0.87810000000000032</v>
      </c>
      <c r="Y414" s="223">
        <f t="shared" si="34"/>
        <v>0.8223911473969463</v>
      </c>
      <c r="Z414">
        <f>IFERROR(INDEX([1]Rainfall_Wet!$O$2:$O$217,MATCH(C414, [1]Rainfall_Wet!$A$2:$A$217,0)),"")</f>
        <v>175.054685654</v>
      </c>
      <c r="AA414" s="226">
        <v>12.565665055683967</v>
      </c>
      <c r="AB414" s="226">
        <v>0.9665896196679955</v>
      </c>
      <c r="AC414" s="226">
        <v>86.467745324648035</v>
      </c>
      <c r="AD414" s="227" t="s">
        <v>2653</v>
      </c>
      <c r="AE414" s="226">
        <v>1.0225726959093147</v>
      </c>
      <c r="AF414">
        <f>IF('WetLitterbags placem_collection'!AB195="","",'WetLitterbags placem_collection'!AB195)</f>
        <v>15.2</v>
      </c>
      <c r="AG414">
        <f>IF('WetLitterbags placem_collection'!Z195="","",'WetLitterbags placem_collection'!Z195)</f>
        <v>12.2</v>
      </c>
      <c r="AH414" s="236" t="str">
        <f>IF('WetLitterbags placem_collection'!AA195="","",'WetLitterbags placem_collection'!AA195)</f>
        <v>O</v>
      </c>
      <c r="AI414">
        <f>IF('WetLitterbags placem_collection'!AC195="","",'WetLitterbags placem_collection'!AC195)</f>
        <v>1</v>
      </c>
      <c r="AJ414" s="233">
        <f>AVERAGE('WetLitterbags placem_collection'!S195,'WetLitterbags placem_collection'!U195)</f>
        <v>22.4</v>
      </c>
      <c r="AK414">
        <f>AVERAGE('WetLitterbags placem_collection'!R195,'WetLitterbags placem_collection'!T195)</f>
        <v>28.95</v>
      </c>
      <c r="AL414">
        <v>-2.4396949910000001</v>
      </c>
      <c r="AM414">
        <v>34.838574029999997</v>
      </c>
      <c r="AN414" t="str">
        <f>IF(ISNUMBER(SEARCH("C", 'WetLitterbags placem_collection'!$W195)),"YES","NO")</f>
        <v>NO</v>
      </c>
      <c r="AO414" t="str">
        <f>IF(ISNUMBER(SEARCH("H", 'WetLitterbags placem_collection'!$W195)),"YES","NO")</f>
        <v>NO</v>
      </c>
      <c r="AP414" t="str">
        <f>IF(ISNUMBER(SEARCH("R", 'WetLitterbags placem_collection'!$W195)),"YES","NO")</f>
        <v>NO</v>
      </c>
    </row>
    <row r="415" spans="1:42" ht="15" customHeight="1">
      <c r="A415" t="s">
        <v>2490</v>
      </c>
      <c r="B415" s="248" t="s">
        <v>2454</v>
      </c>
      <c r="C415" s="253">
        <f>'Dry_Litterbag Placem_Collection'!A196</f>
        <v>194</v>
      </c>
      <c r="D415" s="253" t="str">
        <f>'Dry_Litterbag Placem_Collection'!B196</f>
        <v>Makao</v>
      </c>
      <c r="E415" s="253" t="s">
        <v>2643</v>
      </c>
      <c r="F415" s="253" t="s">
        <v>2644</v>
      </c>
      <c r="G415" s="253">
        <v>3</v>
      </c>
      <c r="H415" s="253" t="s">
        <v>3103</v>
      </c>
      <c r="I415" s="254" t="str">
        <f>'Dry_Litterbag Placem_Collection'!C196</f>
        <v>Dry_Ag2_CG3</v>
      </c>
      <c r="J415" s="255" t="s">
        <v>2525</v>
      </c>
      <c r="K415" s="262" t="s">
        <v>298</v>
      </c>
      <c r="L415" s="221" t="str">
        <f>'WetLitterbags placem_collection'!M196</f>
        <v>R289</v>
      </c>
      <c r="M415" s="223">
        <f>IFERROR(INDEX('Green_rooibos initial weight'!$C$5:$C$2000,MATCH(L415, 'Green_rooibos initial weight'!$A$5:$A$2000,0)),"")</f>
        <v>2.2160000000000002</v>
      </c>
      <c r="N415" s="223">
        <f>IFERROR(M415-(TBIcalc!$H$9+TBIcalc!$H$10),"")</f>
        <v>1.9662000000000002</v>
      </c>
      <c r="O415" s="378">
        <f>AVERAGE(Ashed_controlls!$K$2:$K$11)</f>
        <v>5.5147656768714146</v>
      </c>
      <c r="P415" s="223">
        <f t="shared" si="31"/>
        <v>1.8577686772613544</v>
      </c>
      <c r="Q415" s="223">
        <f>IFERROR(INDEX('Both teabags AfterWet'!$C$3:$C$840,MATCH(L415,'Both teabags AfterWet'!$A$3:$A$840,0)),"")</f>
        <v>1.512</v>
      </c>
      <c r="R415" s="223">
        <f>IFERROR(IF(Q415&gt;0,Q415-(TBIcalc!$H$9),""),"")</f>
        <v>1.3613999999999999</v>
      </c>
      <c r="S415" s="223">
        <f>IFERROR(INDEX('Ashed teabags wet'!$K$2:$K$2000,MATCH(L415,'Ashed teabags wet'!$A$2:$A$2000,0)),"")</f>
        <v>3.5180722891571889</v>
      </c>
      <c r="T415" s="223">
        <f t="shared" si="32"/>
        <v>1.3135049638554139</v>
      </c>
      <c r="U415" s="224">
        <f>'WetLitterbags placem_collection'!E196</f>
        <v>42769</v>
      </c>
      <c r="V415" s="224">
        <f>IF('WetLitterbags placem_collection'!G196="","",'WetLitterbags placem_collection'!G196)</f>
        <v>42813</v>
      </c>
      <c r="W415" s="225">
        <f t="shared" si="30"/>
        <v>44</v>
      </c>
      <c r="X415" s="223">
        <f t="shared" si="33"/>
        <v>0.60480000000000023</v>
      </c>
      <c r="Y415" s="223">
        <f t="shared" si="34"/>
        <v>0.54426371340594049</v>
      </c>
      <c r="Z415">
        <f>IFERROR(INDEX([1]Rainfall_Wet!$O$2:$O$217,MATCH(C415, [1]Rainfall_Wet!$A$2:$A$217,0)),"")</f>
        <v>175.054685654</v>
      </c>
      <c r="AA415" s="226">
        <v>21.13063730679653</v>
      </c>
      <c r="AB415" s="226">
        <v>3.0912555579081076</v>
      </c>
      <c r="AC415" s="226">
        <v>75.778107135295357</v>
      </c>
      <c r="AD415" s="227" t="s">
        <v>2651</v>
      </c>
      <c r="AE415" s="226">
        <v>0.46131099063578063</v>
      </c>
      <c r="AF415">
        <f>IF('WetLitterbags placem_collection'!AB196="","",'WetLitterbags placem_collection'!AB196)</f>
        <v>7.9</v>
      </c>
      <c r="AG415">
        <f>IF('WetLitterbags placem_collection'!Z196="","",'WetLitterbags placem_collection'!Z196)</f>
        <v>7.9</v>
      </c>
      <c r="AH415" s="236" t="str">
        <f>IF('WetLitterbags placem_collection'!AA196="","",'WetLitterbags placem_collection'!AA196)</f>
        <v>O</v>
      </c>
      <c r="AI415">
        <f>IF('WetLitterbags placem_collection'!AC196="","",'WetLitterbags placem_collection'!AC196)</f>
        <v>1</v>
      </c>
      <c r="AJ415" s="233">
        <f>AVERAGE('WetLitterbags placem_collection'!S196,'WetLitterbags placem_collection'!U196)</f>
        <v>19.600000000000001</v>
      </c>
      <c r="AK415">
        <f>AVERAGE('WetLitterbags placem_collection'!R196,'WetLitterbags placem_collection'!T196)</f>
        <v>29.3</v>
      </c>
      <c r="AL415">
        <v>-2.4395990190000001</v>
      </c>
      <c r="AM415">
        <v>34.838418959999998</v>
      </c>
      <c r="AN415" t="str">
        <f>IF(ISNUMBER(SEARCH("C", 'WetLitterbags placem_collection'!$W196)),"YES","NO")</f>
        <v>NO</v>
      </c>
      <c r="AO415" t="str">
        <f>IF(ISNUMBER(SEARCH("H", 'WetLitterbags placem_collection'!$W196)),"YES","NO")</f>
        <v>NO</v>
      </c>
      <c r="AP415" t="str">
        <f>IF(ISNUMBER(SEARCH("R", 'WetLitterbags placem_collection'!$W196)),"YES","NO")</f>
        <v>YES</v>
      </c>
    </row>
    <row r="416" spans="1:42" ht="15" customHeight="1">
      <c r="A416" t="s">
        <v>2490</v>
      </c>
      <c r="B416" s="248" t="s">
        <v>2454</v>
      </c>
      <c r="C416" s="253">
        <f>'Dry_Litterbag Placem_Collection'!A197</f>
        <v>195</v>
      </c>
      <c r="D416" s="253" t="str">
        <f>'Dry_Litterbag Placem_Collection'!B197</f>
        <v>Makao</v>
      </c>
      <c r="E416" s="253" t="s">
        <v>2643</v>
      </c>
      <c r="F416" s="253" t="s">
        <v>2644</v>
      </c>
      <c r="G416" s="253">
        <v>2</v>
      </c>
      <c r="H416" s="253" t="s">
        <v>3104</v>
      </c>
      <c r="I416" s="254" t="str">
        <f>'Dry_Litterbag Placem_Collection'!C197</f>
        <v>Dry_Ag3_CG2</v>
      </c>
      <c r="J416" s="255" t="s">
        <v>2525</v>
      </c>
      <c r="K416" s="262" t="s">
        <v>298</v>
      </c>
      <c r="L416" s="221" t="str">
        <f>'WetLitterbags placem_collection'!M197</f>
        <v>R378</v>
      </c>
      <c r="M416" s="223">
        <f>IFERROR(INDEX('Green_rooibos initial weight'!$C$5:$C$2000,MATCH(L416, 'Green_rooibos initial weight'!$A$5:$A$2000,0)),"")</f>
        <v>2.2320000000000002</v>
      </c>
      <c r="N416" s="223">
        <f>IFERROR(M416-(TBIcalc!$H$9+TBIcalc!$H$10),"")</f>
        <v>1.9822000000000002</v>
      </c>
      <c r="O416" s="378">
        <f>AVERAGE(Ashed_controlls!$K$2:$K$11)</f>
        <v>5.5147656768714146</v>
      </c>
      <c r="P416" s="223">
        <f t="shared" si="31"/>
        <v>1.872886314753055</v>
      </c>
      <c r="Q416" s="223">
        <f>IFERROR(INDEX('Both teabags AfterWet'!$C$3:$C$840,MATCH(L416,'Both teabags AfterWet'!$A$3:$A$840,0)),"")</f>
        <v>1.5296000000000001</v>
      </c>
      <c r="R416" s="223">
        <f>IFERROR(IF(Q416&gt;0,Q416-(TBIcalc!$H$9),""),"")</f>
        <v>1.379</v>
      </c>
      <c r="S416" s="223">
        <f>IFERROR(INDEX('Ashed teabags wet'!$K$2:$K$2000,MATCH(L416,'Ashed teabags wet'!$A$2:$A$2000,0)),"")</f>
        <v>1.2339585389935566</v>
      </c>
      <c r="T416" s="223">
        <f t="shared" si="32"/>
        <v>1.3619837117472788</v>
      </c>
      <c r="U416" s="224">
        <f>'WetLitterbags placem_collection'!E197</f>
        <v>42769</v>
      </c>
      <c r="V416" s="224">
        <f>IF('WetLitterbags placem_collection'!G197="","",'WetLitterbags placem_collection'!G197)</f>
        <v>42814</v>
      </c>
      <c r="W416" s="225">
        <f t="shared" si="30"/>
        <v>45</v>
      </c>
      <c r="X416" s="223">
        <f t="shared" si="33"/>
        <v>0.60320000000000018</v>
      </c>
      <c r="Y416" s="223">
        <f t="shared" si="34"/>
        <v>0.51090260300577617</v>
      </c>
      <c r="Z416">
        <f>IFERROR(INDEX([1]Rainfall_Wet!$O$2:$O$217,MATCH(C416, [1]Rainfall_Wet!$A$2:$A$217,0)),"")</f>
        <v>175.377105089</v>
      </c>
      <c r="AA416" s="226">
        <v>54.080969906906262</v>
      </c>
      <c r="AB416" s="226">
        <v>21.264484651351896</v>
      </c>
      <c r="AC416" s="226">
        <v>24.654545441741845</v>
      </c>
      <c r="AD416" s="227" t="s">
        <v>2654</v>
      </c>
      <c r="AE416" s="226">
        <v>1.8433218334154755</v>
      </c>
      <c r="AF416">
        <f>IF('WetLitterbags placem_collection'!AB197="","",'WetLitterbags placem_collection'!AB197)</f>
        <v>5.13</v>
      </c>
      <c r="AG416">
        <f>IF('WetLitterbags placem_collection'!Z197="","",'WetLitterbags placem_collection'!Z197)</f>
        <v>5.13</v>
      </c>
      <c r="AH416" s="236" t="str">
        <f>IF('WetLitterbags placem_collection'!AA197="","",'WetLitterbags placem_collection'!AA197)</f>
        <v>O</v>
      </c>
      <c r="AI416">
        <f>IF('WetLitterbags placem_collection'!AC197="","",'WetLitterbags placem_collection'!AC197)</f>
        <v>1</v>
      </c>
      <c r="AJ416" s="233">
        <f>AVERAGE('WetLitterbags placem_collection'!S197,'WetLitterbags placem_collection'!U197)</f>
        <v>29.700000000000003</v>
      </c>
      <c r="AK416">
        <f>AVERAGE('WetLitterbags placem_collection'!R197,'WetLitterbags placem_collection'!T197)</f>
        <v>24.35</v>
      </c>
      <c r="AL416">
        <v>-2.4396450349999999</v>
      </c>
      <c r="AM416">
        <v>34.83836599</v>
      </c>
      <c r="AN416" t="str">
        <f>IF(ISNUMBER(SEARCH("C", 'WetLitterbags placem_collection'!$W197)),"YES","NO")</f>
        <v>YES</v>
      </c>
      <c r="AO416" t="str">
        <f>IF(ISNUMBER(SEARCH("H", 'WetLitterbags placem_collection'!$W197)),"YES","NO")</f>
        <v>NO</v>
      </c>
      <c r="AP416" t="str">
        <f>IF(ISNUMBER(SEARCH("R", 'WetLitterbags placem_collection'!$W197)),"YES","NO")</f>
        <v>YES</v>
      </c>
    </row>
    <row r="417" spans="1:42" ht="15" customHeight="1">
      <c r="A417" t="s">
        <v>2490</v>
      </c>
      <c r="B417" s="248" t="s">
        <v>2454</v>
      </c>
      <c r="C417" s="253">
        <f>'Dry_Litterbag Placem_Collection'!A198</f>
        <v>196</v>
      </c>
      <c r="D417" s="253" t="str">
        <f>'Dry_Litterbag Placem_Collection'!B198</f>
        <v>Makao</v>
      </c>
      <c r="E417" s="253" t="s">
        <v>2643</v>
      </c>
      <c r="F417" s="253" t="s">
        <v>2644</v>
      </c>
      <c r="G417" s="253">
        <v>1</v>
      </c>
      <c r="H417" s="253" t="s">
        <v>3105</v>
      </c>
      <c r="I417" s="254" t="str">
        <f>'Dry_Litterbag Placem_Collection'!C198</f>
        <v>Dry_Ag4_CG1</v>
      </c>
      <c r="J417" s="255" t="s">
        <v>2525</v>
      </c>
      <c r="K417" s="262" t="s">
        <v>298</v>
      </c>
      <c r="L417" s="221" t="str">
        <f>'WetLitterbags placem_collection'!M198</f>
        <v>R375</v>
      </c>
      <c r="M417" s="223">
        <f>IFERROR(INDEX('Green_rooibos initial weight'!$C$5:$C$2000,MATCH(L417, 'Green_rooibos initial weight'!$A$5:$A$2000,0)),"")</f>
        <v>2.23</v>
      </c>
      <c r="N417" s="223">
        <f>IFERROR(M417-(TBIcalc!$H$9+TBIcalc!$H$10),"")</f>
        <v>1.9802</v>
      </c>
      <c r="O417" s="378">
        <f>AVERAGE(Ashed_controlls!$K$2:$K$11)</f>
        <v>5.5147656768714146</v>
      </c>
      <c r="P417" s="223">
        <f t="shared" si="31"/>
        <v>1.8709966100665922</v>
      </c>
      <c r="Q417" s="223">
        <f>IFERROR(INDEX('Both teabags AfterWet'!$C$3:$C$840,MATCH(L417,'Both teabags AfterWet'!$A$3:$A$840,0)),"")</f>
        <v>1.3742000000000001</v>
      </c>
      <c r="R417" s="223">
        <f>IFERROR(IF(Q417&gt;0,Q417-(TBIcalc!$H$9),""),"")</f>
        <v>1.2236</v>
      </c>
      <c r="S417" s="223">
        <f>IFERROR(INDEX('Ashed teabags wet'!$K$2:$K$2000,MATCH(L417,'Ashed teabags wet'!$A$2:$A$2000,0)),"")</f>
        <v>5.0314465408809701</v>
      </c>
      <c r="T417" s="223">
        <f t="shared" si="32"/>
        <v>1.1620352201257804</v>
      </c>
      <c r="U417" s="224">
        <f>'WetLitterbags placem_collection'!E198</f>
        <v>42769</v>
      </c>
      <c r="V417" s="224">
        <f>IF('WetLitterbags placem_collection'!G198="","",'WetLitterbags placem_collection'!G198)</f>
        <v>42814</v>
      </c>
      <c r="W417" s="225">
        <f t="shared" si="30"/>
        <v>45</v>
      </c>
      <c r="X417" s="223">
        <f t="shared" si="33"/>
        <v>0.75659999999999994</v>
      </c>
      <c r="Y417" s="223">
        <f t="shared" si="34"/>
        <v>0.70896138994081181</v>
      </c>
      <c r="Z417">
        <f>IFERROR(INDEX([1]Rainfall_Wet!$O$2:$O$217,MATCH(C417, [1]Rainfall_Wet!$A$2:$A$217,0)),"")</f>
        <v>175.377105089</v>
      </c>
      <c r="AA417" s="226">
        <v>51.960000000000008</v>
      </c>
      <c r="AB417" s="226">
        <v>18.919999999999995</v>
      </c>
      <c r="AC417" s="226">
        <v>29.120000000000005</v>
      </c>
      <c r="AD417" s="227" t="s">
        <v>2654</v>
      </c>
      <c r="AE417" s="226">
        <v>1.85293247905372</v>
      </c>
      <c r="AF417">
        <f>IF('WetLitterbags placem_collection'!AB198="","",'WetLitterbags placem_collection'!AB198)</f>
        <v>13.8</v>
      </c>
      <c r="AG417">
        <f>IF('WetLitterbags placem_collection'!Z198="","",'WetLitterbags placem_collection'!Z198)</f>
        <v>17.399999999999999</v>
      </c>
      <c r="AH417" s="236" t="str">
        <f>IF('WetLitterbags placem_collection'!AA198="","",'WetLitterbags placem_collection'!AA198)</f>
        <v>O</v>
      </c>
      <c r="AI417">
        <f>IF('WetLitterbags placem_collection'!AC198="","",'WetLitterbags placem_collection'!AC198)</f>
        <v>1</v>
      </c>
      <c r="AJ417" s="233">
        <f>AVERAGE('WetLitterbags placem_collection'!S198,'WetLitterbags placem_collection'!U198)</f>
        <v>23.75</v>
      </c>
      <c r="AK417">
        <f>AVERAGE('WetLitterbags placem_collection'!R198,'WetLitterbags placem_collection'!T198)</f>
        <v>25.25</v>
      </c>
      <c r="AL417">
        <v>-2.439403972</v>
      </c>
      <c r="AM417">
        <v>34.838404959999998</v>
      </c>
      <c r="AN417" t="str">
        <f>IF(ISNUMBER(SEARCH("C", 'WetLitterbags placem_collection'!$W198)),"YES","NO")</f>
        <v>NO</v>
      </c>
      <c r="AO417" t="str">
        <f>IF(ISNUMBER(SEARCH("H", 'WetLitterbags placem_collection'!$W198)),"YES","NO")</f>
        <v>NO</v>
      </c>
      <c r="AP417" t="str">
        <f>IF(ISNUMBER(SEARCH("R", 'WetLitterbags placem_collection'!$W198)),"YES","NO")</f>
        <v>NO</v>
      </c>
    </row>
    <row r="418" spans="1:42" ht="15" customHeight="1">
      <c r="A418" t="s">
        <v>2490</v>
      </c>
      <c r="B418" s="248" t="s">
        <v>2454</v>
      </c>
      <c r="C418" s="253">
        <f>'Dry_Litterbag Placem_Collection'!A199</f>
        <v>197</v>
      </c>
      <c r="D418" s="253" t="str">
        <f>'Dry_Litterbag Placem_Collection'!B199</f>
        <v>Makao</v>
      </c>
      <c r="E418" s="253" t="s">
        <v>2643</v>
      </c>
      <c r="F418" s="253" t="s">
        <v>20</v>
      </c>
      <c r="G418" s="253">
        <v>2</v>
      </c>
      <c r="H418" s="253" t="s">
        <v>3106</v>
      </c>
      <c r="I418" s="254" t="str">
        <f>'Dry_Litterbag Placem_Collection'!C199</f>
        <v>Dry_P1_CG2</v>
      </c>
      <c r="J418" s="255" t="s">
        <v>2525</v>
      </c>
      <c r="K418" s="262" t="s">
        <v>298</v>
      </c>
      <c r="L418" s="221" t="str">
        <f>'WetLitterbags placem_collection'!M199</f>
        <v>R219</v>
      </c>
      <c r="M418" s="223">
        <f>IFERROR(INDEX('Green_rooibos initial weight'!$C$5:$C$2000,MATCH(L418, 'Green_rooibos initial weight'!$A$5:$A$2000,0)),"")</f>
        <v>2.2160000000000002</v>
      </c>
      <c r="N418" s="223">
        <f>IFERROR(M418-(TBIcalc!$H$9+TBIcalc!$H$10),"")</f>
        <v>1.9662000000000002</v>
      </c>
      <c r="O418" s="378">
        <f>AVERAGE(Ashed_controlls!$K$2:$K$11)</f>
        <v>5.5147656768714146</v>
      </c>
      <c r="P418" s="223">
        <f t="shared" si="31"/>
        <v>1.8577686772613544</v>
      </c>
      <c r="Q418" s="223">
        <f>IFERROR(INDEX('Both teabags AfterWet'!$C$3:$C$840,MATCH(L418,'Both teabags AfterWet'!$A$3:$A$840,0)),"")</f>
        <v>1.5786</v>
      </c>
      <c r="R418" s="223">
        <f>IFERROR(IF(Q418&gt;0,Q418-(TBIcalc!$H$9),""),"")</f>
        <v>1.4279999999999999</v>
      </c>
      <c r="S418" s="223">
        <f>IFERROR(INDEX('Ashed teabags wet'!$K$2:$K$2000,MATCH(L418,'Ashed teabags wet'!$A$2:$A$2000,0)),"")</f>
        <v>11.480214948704322</v>
      </c>
      <c r="T418" s="223">
        <f t="shared" si="32"/>
        <v>1.2640625305325022</v>
      </c>
      <c r="U418" s="224">
        <f>'WetLitterbags placem_collection'!E199</f>
        <v>42769</v>
      </c>
      <c r="V418" s="224">
        <f>IF('WetLitterbags placem_collection'!G199="","",'WetLitterbags placem_collection'!G199)</f>
        <v>42814</v>
      </c>
      <c r="W418" s="225">
        <f t="shared" si="30"/>
        <v>45</v>
      </c>
      <c r="X418" s="223">
        <f t="shared" si="33"/>
        <v>0.53820000000000023</v>
      </c>
      <c r="Y418" s="223">
        <f t="shared" si="34"/>
        <v>0.59370614672885225</v>
      </c>
      <c r="Z418">
        <f>IFERROR(INDEX([1]Rainfall_Wet!$O$2:$O$217,MATCH(C418, [1]Rainfall_Wet!$A$2:$A$217,0)),"")</f>
        <v>175.377105089</v>
      </c>
      <c r="AA418" s="226">
        <v>23.96</v>
      </c>
      <c r="AB418" s="226">
        <v>0.91999999999999804</v>
      </c>
      <c r="AC418" s="226">
        <v>75.12</v>
      </c>
      <c r="AD418" s="227" t="s">
        <v>2651</v>
      </c>
      <c r="AE418" s="226">
        <v>1.2493839329719072</v>
      </c>
      <c r="AF418">
        <f>IF('WetLitterbags placem_collection'!AB199="","",'WetLitterbags placem_collection'!AB199)</f>
        <v>5.13</v>
      </c>
      <c r="AG418">
        <f>IF('WetLitterbags placem_collection'!Z199="","",'WetLitterbags placem_collection'!Z199)</f>
        <v>5.13</v>
      </c>
      <c r="AH418" s="236" t="str">
        <f>IF('WetLitterbags placem_collection'!AA199="","",'WetLitterbags placem_collection'!AA199)</f>
        <v>O</v>
      </c>
      <c r="AI418">
        <f>IF('WetLitterbags placem_collection'!AC199="","",'WetLitterbags placem_collection'!AC199)</f>
        <v>1</v>
      </c>
      <c r="AJ418" s="233">
        <f>AVERAGE('WetLitterbags placem_collection'!S199,'WetLitterbags placem_collection'!U199)</f>
        <v>22.85</v>
      </c>
      <c r="AK418">
        <f>AVERAGE('WetLitterbags placem_collection'!R199,'WetLitterbags placem_collection'!T199)</f>
        <v>24.4</v>
      </c>
      <c r="AL418">
        <v>-2.4396450349999999</v>
      </c>
      <c r="AM418">
        <v>34.83836599</v>
      </c>
      <c r="AN418" t="str">
        <f>IF(ISNUMBER(SEARCH("C", 'WetLitterbags placem_collection'!$W199)),"YES","NO")</f>
        <v>YES</v>
      </c>
      <c r="AO418" t="str">
        <f>IF(ISNUMBER(SEARCH("H", 'WetLitterbags placem_collection'!$W199)),"YES","NO")</f>
        <v>YES</v>
      </c>
      <c r="AP418" t="str">
        <f>IF(ISNUMBER(SEARCH("R", 'WetLitterbags placem_collection'!$W199)),"YES","NO")</f>
        <v>YES</v>
      </c>
    </row>
    <row r="419" spans="1:42" ht="15" customHeight="1">
      <c r="A419" t="s">
        <v>2490</v>
      </c>
      <c r="B419" s="248" t="s">
        <v>2454</v>
      </c>
      <c r="C419" s="253">
        <f>'Dry_Litterbag Placem_Collection'!A200</f>
        <v>198</v>
      </c>
      <c r="D419" s="253" t="str">
        <f>'Dry_Litterbag Placem_Collection'!B200</f>
        <v>Makao</v>
      </c>
      <c r="E419" s="253" t="s">
        <v>2643</v>
      </c>
      <c r="F419" s="253" t="s">
        <v>20</v>
      </c>
      <c r="G419" s="253">
        <v>3</v>
      </c>
      <c r="H419" s="253" t="s">
        <v>3108</v>
      </c>
      <c r="I419" s="254" t="str">
        <f>'Dry_Litterbag Placem_Collection'!C200</f>
        <v>Dry_P2_CG3</v>
      </c>
      <c r="J419" s="255" t="s">
        <v>2525</v>
      </c>
      <c r="K419" s="262" t="s">
        <v>298</v>
      </c>
      <c r="L419" s="221" t="str">
        <f>'WetLitterbags placem_collection'!M200</f>
        <v>R463</v>
      </c>
      <c r="M419" s="223">
        <f>IFERROR(INDEX('Green_rooibos initial weight'!$C$5:$C$2000,MATCH(L419, 'Green_rooibos initial weight'!$A$5:$A$2000,0)),"")</f>
        <v>2.1579999999999999</v>
      </c>
      <c r="N419" s="223">
        <f>IFERROR(M419-(TBIcalc!$H$9+TBIcalc!$H$10),"")</f>
        <v>1.9081999999999999</v>
      </c>
      <c r="O419" s="378">
        <f>AVERAGE(Ashed_controlls!$K$2:$K$11)</f>
        <v>5.5147656768714146</v>
      </c>
      <c r="P419" s="223">
        <f t="shared" si="31"/>
        <v>1.8029672413539395</v>
      </c>
      <c r="Q419" s="223">
        <f>IFERROR(INDEX('Both teabags AfterWet'!$C$3:$C$840,MATCH(L419,'Both teabags AfterWet'!$A$3:$A$840,0)),"")</f>
        <v>1.5485</v>
      </c>
      <c r="R419" s="223">
        <f>IFERROR(IF(Q419&gt;0,Q419-(TBIcalc!$H$9),""),"")</f>
        <v>1.3978999999999999</v>
      </c>
      <c r="S419" s="223">
        <f>IFERROR(INDEX('Ashed teabags wet'!$K$2:$K$2000,MATCH(L419,'Ashed teabags wet'!$A$2:$A$2000,0)),"")</f>
        <v>7.7074128620517337</v>
      </c>
      <c r="T419" s="223">
        <f t="shared" si="32"/>
        <v>1.2901580756013789</v>
      </c>
      <c r="U419" s="224">
        <f>'WetLitterbags placem_collection'!E200</f>
        <v>42769</v>
      </c>
      <c r="V419" s="224">
        <f>IF('WetLitterbags placem_collection'!G200="","",'WetLitterbags placem_collection'!G200)</f>
        <v>42813</v>
      </c>
      <c r="W419" s="225">
        <f t="shared" si="30"/>
        <v>44</v>
      </c>
      <c r="X419" s="223">
        <f t="shared" si="33"/>
        <v>0.51029999999999998</v>
      </c>
      <c r="Y419" s="223">
        <f t="shared" si="34"/>
        <v>0.51280916575256064</v>
      </c>
      <c r="Z419">
        <f>IFERROR(INDEX([1]Rainfall_Wet!$O$2:$O$217,MATCH(C419, [1]Rainfall_Wet!$A$2:$A$217,0)),"")</f>
        <v>175.054685654</v>
      </c>
      <c r="AA419" s="226">
        <v>19.96</v>
      </c>
      <c r="AB419" s="226">
        <v>4.9199999999999982</v>
      </c>
      <c r="AC419" s="226">
        <v>75.12</v>
      </c>
      <c r="AD419" s="227" t="s">
        <v>2652</v>
      </c>
      <c r="AE419" s="226">
        <v>1.641498275012321</v>
      </c>
      <c r="AF419">
        <f>IF('WetLitterbags placem_collection'!AB200="","",'WetLitterbags placem_collection'!AB200)</f>
        <v>7.9</v>
      </c>
      <c r="AG419">
        <f>IF('WetLitterbags placem_collection'!Z200="","",'WetLitterbags placem_collection'!Z200)</f>
        <v>7.9</v>
      </c>
      <c r="AH419" s="236" t="str">
        <f>IF('WetLitterbags placem_collection'!AA200="","",'WetLitterbags placem_collection'!AA200)</f>
        <v>O</v>
      </c>
      <c r="AI419">
        <f>IF('WetLitterbags placem_collection'!AC200="","",'WetLitterbags placem_collection'!AC200)</f>
        <v>1</v>
      </c>
      <c r="AJ419" s="233">
        <f>AVERAGE('WetLitterbags placem_collection'!S200,'WetLitterbags placem_collection'!U200)</f>
        <v>20.9</v>
      </c>
      <c r="AK419">
        <f>AVERAGE('WetLitterbags placem_collection'!R200,'WetLitterbags placem_collection'!T200)</f>
        <v>27.45</v>
      </c>
      <c r="AL419">
        <v>-2.4395990190000001</v>
      </c>
      <c r="AM419">
        <v>34.838418959999998</v>
      </c>
      <c r="AN419" t="str">
        <f>IF(ISNUMBER(SEARCH("C", 'WetLitterbags placem_collection'!$W200)),"YES","NO")</f>
        <v>NO</v>
      </c>
      <c r="AO419" t="str">
        <f>IF(ISNUMBER(SEARCH("H", 'WetLitterbags placem_collection'!$W200)),"YES","NO")</f>
        <v>NO</v>
      </c>
      <c r="AP419" t="str">
        <f>IF(ISNUMBER(SEARCH("R", 'WetLitterbags placem_collection'!$W200)),"YES","NO")</f>
        <v>NO</v>
      </c>
    </row>
    <row r="420" spans="1:42" ht="15" customHeight="1">
      <c r="A420" t="s">
        <v>2490</v>
      </c>
      <c r="B420" s="248" t="s">
        <v>2454</v>
      </c>
      <c r="C420" s="253">
        <f>'Dry_Litterbag Placem_Collection'!A201</f>
        <v>199</v>
      </c>
      <c r="D420" s="253" t="str">
        <f>'Dry_Litterbag Placem_Collection'!B201</f>
        <v>Makao</v>
      </c>
      <c r="E420" s="253" t="s">
        <v>2643</v>
      </c>
      <c r="F420" s="253" t="s">
        <v>20</v>
      </c>
      <c r="G420" s="253">
        <v>1</v>
      </c>
      <c r="H420" s="253" t="s">
        <v>3109</v>
      </c>
      <c r="I420" s="254" t="str">
        <f>'Dry_Litterbag Placem_Collection'!C201</f>
        <v>Dry_P3_CG1</v>
      </c>
      <c r="J420" s="255" t="s">
        <v>2525</v>
      </c>
      <c r="K420" s="262" t="s">
        <v>298</v>
      </c>
      <c r="L420" s="221" t="str">
        <f>'WetLitterbags placem_collection'!M201</f>
        <v>R339</v>
      </c>
      <c r="M420" s="223">
        <f>IFERROR(INDEX('Green_rooibos initial weight'!$C$5:$C$2000,MATCH(L420, 'Green_rooibos initial weight'!$A$5:$A$2000,0)),"")</f>
        <v>2.214</v>
      </c>
      <c r="N420" s="223">
        <f>IFERROR(M420-(TBIcalc!$H$9+TBIcalc!$H$10),"")</f>
        <v>1.9641999999999999</v>
      </c>
      <c r="O420" s="378">
        <f>AVERAGE(Ashed_controlls!$K$2:$K$11)</f>
        <v>5.5147656768714146</v>
      </c>
      <c r="P420" s="223">
        <f t="shared" si="31"/>
        <v>1.8558789725748916</v>
      </c>
      <c r="Q420" s="223">
        <f>IFERROR(INDEX('Both teabags AfterWet'!$C$3:$C$840,MATCH(L420,'Both teabags AfterWet'!$A$3:$A$840,0)),"")</f>
        <v>1.6160000000000001</v>
      </c>
      <c r="R420" s="223">
        <f>IFERROR(IF(Q420&gt;0,Q420-(TBIcalc!$H$9),""),"")</f>
        <v>1.4654</v>
      </c>
      <c r="S420" s="223">
        <f>IFERROR(INDEX('Ashed teabags wet'!$K$2:$K$2000,MATCH(L420,'Ashed teabags wet'!$A$2:$A$2000,0)),"")</f>
        <v>3.6390101892290181</v>
      </c>
      <c r="T420" s="223">
        <f t="shared" si="32"/>
        <v>1.4120739446870381</v>
      </c>
      <c r="U420" s="224">
        <f>'WetLitterbags placem_collection'!E201</f>
        <v>42769</v>
      </c>
      <c r="V420" s="224">
        <f>IF('WetLitterbags placem_collection'!G201="","",'WetLitterbags placem_collection'!G201)</f>
        <v>42814</v>
      </c>
      <c r="W420" s="225">
        <f t="shared" si="30"/>
        <v>45</v>
      </c>
      <c r="X420" s="223">
        <f t="shared" si="33"/>
        <v>0.49879999999999991</v>
      </c>
      <c r="Y420" s="223">
        <f t="shared" si="34"/>
        <v>0.44380502788785359</v>
      </c>
      <c r="Z420">
        <f>IFERROR(INDEX([1]Rainfall_Wet!$O$2:$O$217,MATCH(C420, [1]Rainfall_Wet!$A$2:$A$217,0)),"")</f>
        <v>175.377105089</v>
      </c>
      <c r="AA420" s="226">
        <v>21.96</v>
      </c>
      <c r="AB420" s="226">
        <v>8.9199999999999982</v>
      </c>
      <c r="AC420" s="226">
        <v>69.12</v>
      </c>
      <c r="AD420" s="227" t="s">
        <v>2651</v>
      </c>
      <c r="AE420" s="226">
        <v>1.7491375061606702</v>
      </c>
      <c r="AF420">
        <f>IF('WetLitterbags placem_collection'!AB201="","",'WetLitterbags placem_collection'!AB201)</f>
        <v>13.8</v>
      </c>
      <c r="AG420">
        <f>IF('WetLitterbags placem_collection'!Z201="","",'WetLitterbags placem_collection'!Z201)</f>
        <v>17.399999999999999</v>
      </c>
      <c r="AH420" s="236" t="str">
        <f>IF('WetLitterbags placem_collection'!AA201="","",'WetLitterbags placem_collection'!AA201)</f>
        <v>O</v>
      </c>
      <c r="AI420">
        <f>IF('WetLitterbags placem_collection'!AC201="","",'WetLitterbags placem_collection'!AC201)</f>
        <v>1</v>
      </c>
      <c r="AJ420" s="233">
        <f>AVERAGE('WetLitterbags placem_collection'!S201,'WetLitterbags placem_collection'!U201)</f>
        <v>18.149999999999999</v>
      </c>
      <c r="AK420">
        <f>AVERAGE('WetLitterbags placem_collection'!R201,'WetLitterbags placem_collection'!T201)</f>
        <v>24.549999999999997</v>
      </c>
      <c r="AL420">
        <v>-2.439403972</v>
      </c>
      <c r="AM420">
        <v>34.838404959999998</v>
      </c>
      <c r="AN420" t="str">
        <f>IF(ISNUMBER(SEARCH("C", 'WetLitterbags placem_collection'!$W201)),"YES","NO")</f>
        <v>NO</v>
      </c>
      <c r="AO420" t="str">
        <f>IF(ISNUMBER(SEARCH("H", 'WetLitterbags placem_collection'!$W201)),"YES","NO")</f>
        <v>NO</v>
      </c>
      <c r="AP420" t="str">
        <f>IF(ISNUMBER(SEARCH("R", 'WetLitterbags placem_collection'!$W201)),"YES","NO")</f>
        <v>YES</v>
      </c>
    </row>
    <row r="421" spans="1:42" ht="15" customHeight="1">
      <c r="A421" t="s">
        <v>2490</v>
      </c>
      <c r="B421" s="248" t="s">
        <v>2454</v>
      </c>
      <c r="C421" s="253">
        <f>'Dry_Litterbag Placem_Collection'!A202</f>
        <v>200</v>
      </c>
      <c r="D421" s="253" t="str">
        <f>'Dry_Litterbag Placem_Collection'!B202</f>
        <v>Makao</v>
      </c>
      <c r="E421" s="253" t="s">
        <v>2643</v>
      </c>
      <c r="F421" s="253" t="s">
        <v>20</v>
      </c>
      <c r="G421" s="253">
        <v>4</v>
      </c>
      <c r="H421" s="253" t="s">
        <v>3110</v>
      </c>
      <c r="I421" s="254" t="str">
        <f>'Dry_Litterbag Placem_Collection'!C202</f>
        <v>Dry_P4_CG4</v>
      </c>
      <c r="J421" s="255" t="s">
        <v>2525</v>
      </c>
      <c r="K421" s="262" t="s">
        <v>298</v>
      </c>
      <c r="L421" s="221" t="str">
        <f>'WetLitterbags placem_collection'!M202</f>
        <v>R303</v>
      </c>
      <c r="M421" s="223">
        <f>IFERROR(INDEX('Green_rooibos initial weight'!$C$5:$C$2000,MATCH(L421, 'Green_rooibos initial weight'!$A$5:$A$2000,0)),"")</f>
        <v>2.2490000000000001</v>
      </c>
      <c r="N421" s="223">
        <f>IFERROR(M421-(TBIcalc!$H$9+TBIcalc!$H$10),"")</f>
        <v>1.9992000000000001</v>
      </c>
      <c r="O421" s="378">
        <f>AVERAGE(Ashed_controlls!$K$2:$K$11)</f>
        <v>5.5147656768714146</v>
      </c>
      <c r="P421" s="223">
        <f t="shared" si="31"/>
        <v>1.8889488045879868</v>
      </c>
      <c r="Q421" s="223">
        <f>IFERROR(INDEX('Both teabags AfterWet'!$C$3:$C$840,MATCH(L421,'Both teabags AfterWet'!$A$3:$A$840,0)),"")</f>
        <v>1.5651999999999999</v>
      </c>
      <c r="R421" s="223">
        <f>IFERROR(IF(Q421&gt;0,Q421-(TBIcalc!$H$9),""),"")</f>
        <v>1.4145999999999999</v>
      </c>
      <c r="S421" s="223">
        <f>IFERROR(INDEX('Ashed teabags wet'!$K$2:$K$2000,MATCH(L421,'Ashed teabags wet'!$A$2:$A$2000,0)),"")</f>
        <v>4.4411177644712749</v>
      </c>
      <c r="T421" s="223">
        <f t="shared" si="32"/>
        <v>1.3517759481037892</v>
      </c>
      <c r="U421" s="224">
        <f>'WetLitterbags placem_collection'!E202</f>
        <v>42769</v>
      </c>
      <c r="V421" s="224">
        <f>IF('WetLitterbags placem_collection'!G202="","",'WetLitterbags placem_collection'!G202)</f>
        <v>42813</v>
      </c>
      <c r="W421" s="225">
        <f t="shared" si="30"/>
        <v>44</v>
      </c>
      <c r="X421" s="223">
        <f t="shared" si="33"/>
        <v>0.58460000000000023</v>
      </c>
      <c r="Y421" s="223">
        <f t="shared" si="34"/>
        <v>0.53717285648419755</v>
      </c>
      <c r="Z421">
        <f>IFERROR(INDEX([1]Rainfall_Wet!$O$2:$O$217,MATCH(C421, [1]Rainfall_Wet!$A$2:$A$217,0)),"")</f>
        <v>175.054685654</v>
      </c>
      <c r="AA421" s="226">
        <v>25.96</v>
      </c>
      <c r="AB421" s="226">
        <v>6.9200000000000008</v>
      </c>
      <c r="AC421" s="226">
        <v>67.12</v>
      </c>
      <c r="AD421" s="227" t="s">
        <v>2651</v>
      </c>
      <c r="AE421" s="226">
        <v>1.7568260226712666</v>
      </c>
      <c r="AF421">
        <f>IF('WetLitterbags placem_collection'!AB202="","",'WetLitterbags placem_collection'!AB202)</f>
        <v>15.2</v>
      </c>
      <c r="AG421">
        <f>IF('WetLitterbags placem_collection'!Z202="","",'WetLitterbags placem_collection'!Z202)</f>
        <v>12.2</v>
      </c>
      <c r="AH421" s="236" t="str">
        <f>IF('WetLitterbags placem_collection'!AA202="","",'WetLitterbags placem_collection'!AA202)</f>
        <v>O</v>
      </c>
      <c r="AI421">
        <f>IF('WetLitterbags placem_collection'!AC202="","",'WetLitterbags placem_collection'!AC202)</f>
        <v>1</v>
      </c>
      <c r="AJ421" s="233">
        <f>AVERAGE('WetLitterbags placem_collection'!S202,'WetLitterbags placem_collection'!U202)</f>
        <v>22.799999999999997</v>
      </c>
      <c r="AK421">
        <f>AVERAGE('WetLitterbags placem_collection'!R202,'WetLitterbags placem_collection'!T202)</f>
        <v>27.9</v>
      </c>
      <c r="AL421">
        <v>-2.4396949910000001</v>
      </c>
      <c r="AM421">
        <v>34.838574029999997</v>
      </c>
      <c r="AN421" t="str">
        <f>IF(ISNUMBER(SEARCH("C", 'WetLitterbags placem_collection'!$W202)),"YES","NO")</f>
        <v>NO</v>
      </c>
      <c r="AO421" t="str">
        <f>IF(ISNUMBER(SEARCH("H", 'WetLitterbags placem_collection'!$W202)),"YES","NO")</f>
        <v>NO</v>
      </c>
      <c r="AP421" t="str">
        <f>IF(ISNUMBER(SEARCH("R", 'WetLitterbags placem_collection'!$W202)),"YES","NO")</f>
        <v>YES</v>
      </c>
    </row>
    <row r="422" spans="1:42" ht="15" customHeight="1">
      <c r="A422" t="s">
        <v>2490</v>
      </c>
      <c r="B422" s="248" t="s">
        <v>2454</v>
      </c>
      <c r="C422" s="253">
        <f>'Dry_Litterbag Placem_Collection'!A203</f>
        <v>201</v>
      </c>
      <c r="D422" s="253" t="str">
        <f>'Dry_Litterbag Placem_Collection'!B203</f>
        <v>Maswa</v>
      </c>
      <c r="E422" s="253" t="s">
        <v>2643</v>
      </c>
      <c r="F422" s="253" t="s">
        <v>2645</v>
      </c>
      <c r="G422" s="253">
        <v>4</v>
      </c>
      <c r="H422" s="253" t="s">
        <v>3114</v>
      </c>
      <c r="I422" s="254" t="str">
        <f>'Dry_Litterbag Placem_Collection'!C203</f>
        <v>Dry_W3_CG4</v>
      </c>
      <c r="J422" s="255" t="s">
        <v>2525</v>
      </c>
      <c r="K422" s="262" t="s">
        <v>298</v>
      </c>
      <c r="L422" s="221" t="str">
        <f>'WetLitterbags placem_collection'!M203</f>
        <v>R218</v>
      </c>
      <c r="M422" s="223">
        <f>IFERROR(INDEX('Green_rooibos initial weight'!$C$5:$C$2000,MATCH(L422, 'Green_rooibos initial weight'!$A$5:$A$2000,0)),"")</f>
        <v>2.2309999999999999</v>
      </c>
      <c r="N422" s="223">
        <f>IFERROR(M422-(TBIcalc!$H$9+TBIcalc!$H$10),"")</f>
        <v>1.9811999999999999</v>
      </c>
      <c r="O422" s="378">
        <f>AVERAGE(Ashed_controlls!$K$2:$K$11)</f>
        <v>5.5147656768714146</v>
      </c>
      <c r="P422" s="223">
        <f t="shared" si="31"/>
        <v>1.8719414624098234</v>
      </c>
      <c r="Q422" s="223">
        <f>IFERROR(INDEX('Both teabags AfterWet'!$C$3:$C$840,MATCH(L422,'Both teabags AfterWet'!$A$3:$A$840,0)),"")</f>
        <v>1.5928</v>
      </c>
      <c r="R422" s="223">
        <f>IFERROR(IF(Q422&gt;0,Q422-(TBIcalc!$H$9),""),"")</f>
        <v>1.4421999999999999</v>
      </c>
      <c r="S422" s="223">
        <f>IFERROR(INDEX('Ashed teabags wet'!$K$2:$K$2000,MATCH(L422,'Ashed teabags wet'!$A$2:$A$2000,0)),"")</f>
        <v>3.3009708737867043</v>
      </c>
      <c r="T422" s="223">
        <f t="shared" si="32"/>
        <v>1.3945933980582481</v>
      </c>
      <c r="U422" s="224">
        <f>'WetLitterbags placem_collection'!E203</f>
        <v>42769</v>
      </c>
      <c r="V422" s="224">
        <f>IF('WetLitterbags placem_collection'!G203="","",'WetLitterbags placem_collection'!G203)</f>
        <v>42813</v>
      </c>
      <c r="W422" s="225">
        <f t="shared" si="30"/>
        <v>44</v>
      </c>
      <c r="X422" s="223">
        <f t="shared" si="33"/>
        <v>0.53899999999999992</v>
      </c>
      <c r="Y422" s="223">
        <f t="shared" si="34"/>
        <v>0.47734806435157529</v>
      </c>
      <c r="Z422">
        <f>IFERROR(INDEX([1]Rainfall_Wet!$O$2:$O$217,MATCH(C422, [1]Rainfall_Wet!$A$2:$A$217,0)),"")</f>
        <v>175.054685654</v>
      </c>
      <c r="AA422" s="226">
        <v>38.691629007962128</v>
      </c>
      <c r="AB422" s="226">
        <v>26.81299763288143</v>
      </c>
      <c r="AC422" s="226">
        <v>34.495373359156439</v>
      </c>
      <c r="AD422" s="227" t="s">
        <v>2656</v>
      </c>
      <c r="AE422" s="226">
        <v>2.5483587974371611</v>
      </c>
      <c r="AF422">
        <f>IF('WetLitterbags placem_collection'!AB203="","",'WetLitterbags placem_collection'!AB203)</f>
        <v>15.2</v>
      </c>
      <c r="AG422">
        <f>IF('WetLitterbags placem_collection'!Z203="","",'WetLitterbags placem_collection'!Z203)</f>
        <v>12.2</v>
      </c>
      <c r="AH422" s="236" t="str">
        <f>IF('WetLitterbags placem_collection'!AA203="","",'WetLitterbags placem_collection'!AA203)</f>
        <v>O</v>
      </c>
      <c r="AI422">
        <f>IF('WetLitterbags placem_collection'!AC203="","",'WetLitterbags placem_collection'!AC203)</f>
        <v>1</v>
      </c>
      <c r="AJ422" s="233">
        <f>AVERAGE('WetLitterbags placem_collection'!S203,'WetLitterbags placem_collection'!U203)</f>
        <v>22</v>
      </c>
      <c r="AK422">
        <f>AVERAGE('WetLitterbags placem_collection'!R203,'WetLitterbags placem_collection'!T203)</f>
        <v>28</v>
      </c>
      <c r="AL422">
        <v>-2.4396949910000001</v>
      </c>
      <c r="AM422">
        <v>34.838574029999997</v>
      </c>
      <c r="AN422" t="str">
        <f>IF(ISNUMBER(SEARCH("C", 'WetLitterbags placem_collection'!$W203)),"YES","NO")</f>
        <v>NO</v>
      </c>
      <c r="AO422" t="str">
        <f>IF(ISNUMBER(SEARCH("H", 'WetLitterbags placem_collection'!$W203)),"YES","NO")</f>
        <v>NO</v>
      </c>
      <c r="AP422" t="str">
        <f>IF(ISNUMBER(SEARCH("R", 'WetLitterbags placem_collection'!$W203)),"YES","NO")</f>
        <v>YES</v>
      </c>
    </row>
    <row r="423" spans="1:42" ht="15" customHeight="1">
      <c r="A423" t="s">
        <v>2490</v>
      </c>
      <c r="B423" s="248" t="s">
        <v>2454</v>
      </c>
      <c r="C423" s="253">
        <f>'Dry_Litterbag Placem_Collection'!A204</f>
        <v>202</v>
      </c>
      <c r="D423" s="253" t="str">
        <f>'Dry_Litterbag Placem_Collection'!B204</f>
        <v>Maswa</v>
      </c>
      <c r="E423" s="253" t="s">
        <v>2643</v>
      </c>
      <c r="F423" s="253" t="s">
        <v>2645</v>
      </c>
      <c r="G423" s="253">
        <v>1</v>
      </c>
      <c r="H423" s="253" t="s">
        <v>3113</v>
      </c>
      <c r="I423" s="254" t="str">
        <f>'Dry_Litterbag Placem_Collection'!C204</f>
        <v>Dry_W2_CG1</v>
      </c>
      <c r="J423" s="255" t="s">
        <v>2525</v>
      </c>
      <c r="K423" s="262" t="s">
        <v>298</v>
      </c>
      <c r="L423" s="221" t="str">
        <f>'WetLitterbags placem_collection'!M204</f>
        <v>R135</v>
      </c>
      <c r="M423" s="223">
        <f>IFERROR(INDEX('Green_rooibos initial weight'!$C$5:$C$2000,MATCH(L423, 'Green_rooibos initial weight'!$A$5:$A$2000,0)),"")</f>
        <v>2.286</v>
      </c>
      <c r="N423" s="223">
        <f>IFERROR(M423-(TBIcalc!$H$9+TBIcalc!$H$10),"")</f>
        <v>2.0362</v>
      </c>
      <c r="O423" s="378">
        <f>AVERAGE(Ashed_controlls!$K$2:$K$11)</f>
        <v>5.5147656768714146</v>
      </c>
      <c r="P423" s="223">
        <f t="shared" si="31"/>
        <v>1.9239083412875442</v>
      </c>
      <c r="Q423" s="223">
        <f>IFERROR(INDEX('Both teabags AfterWet'!$C$3:$C$840,MATCH(L423,'Both teabags AfterWet'!$A$3:$A$840,0)),"")</f>
        <v>1.6419999999999999</v>
      </c>
      <c r="R423" s="223">
        <f>IFERROR(IF(Q423&gt;0,Q423-(TBIcalc!$H$9),""),"")</f>
        <v>1.4913999999999998</v>
      </c>
      <c r="S423" s="223">
        <f>IFERROR(INDEX('Ashed teabags wet'!$K$2:$K$2000,MATCH(L423,'Ashed teabags wet'!$A$2:$A$2000,0)),"")</f>
        <v>3.9196472317485203</v>
      </c>
      <c r="T423" s="223">
        <f t="shared" si="32"/>
        <v>1.4329423811857025</v>
      </c>
      <c r="U423" s="224">
        <f>'WetLitterbags placem_collection'!E204</f>
        <v>42769</v>
      </c>
      <c r="V423" s="224">
        <f>IF('WetLitterbags placem_collection'!G204="","",'WetLitterbags placem_collection'!G204)</f>
        <v>42814</v>
      </c>
      <c r="W423" s="225">
        <f t="shared" si="30"/>
        <v>45</v>
      </c>
      <c r="X423" s="223">
        <f t="shared" si="33"/>
        <v>0.54480000000000017</v>
      </c>
      <c r="Y423" s="223">
        <f t="shared" si="34"/>
        <v>0.49096596010184168</v>
      </c>
      <c r="Z423">
        <f>IFERROR(INDEX([1]Rainfall_Wet!$O$2:$O$217,MATCH(C423, [1]Rainfall_Wet!$A$2:$A$217,0)),"")</f>
        <v>175.377105089</v>
      </c>
      <c r="AA423" s="226">
        <v>45.272914521112256</v>
      </c>
      <c r="AB423" s="226">
        <v>23.604531410916575</v>
      </c>
      <c r="AC423" s="226">
        <v>31.122554067971166</v>
      </c>
      <c r="AD423" s="227" t="s">
        <v>2654</v>
      </c>
      <c r="AE423" s="226">
        <v>2.0547560374568752</v>
      </c>
      <c r="AF423">
        <f>IF('WetLitterbags placem_collection'!AB204="","",'WetLitterbags placem_collection'!AB204)</f>
        <v>13.8</v>
      </c>
      <c r="AG423">
        <f>IF('WetLitterbags placem_collection'!Z204="","",'WetLitterbags placem_collection'!Z204)</f>
        <v>17.399999999999999</v>
      </c>
      <c r="AH423" s="236" t="str">
        <f>IF('WetLitterbags placem_collection'!AA204="","",'WetLitterbags placem_collection'!AA204)</f>
        <v>O</v>
      </c>
      <c r="AI423">
        <f>IF('WetLitterbags placem_collection'!AC204="","",'WetLitterbags placem_collection'!AC204)</f>
        <v>1</v>
      </c>
      <c r="AJ423" s="233">
        <f>AVERAGE('WetLitterbags placem_collection'!S204,'WetLitterbags placem_collection'!U204)</f>
        <v>20.65</v>
      </c>
      <c r="AK423">
        <f>AVERAGE('WetLitterbags placem_collection'!R204,'WetLitterbags placem_collection'!T204)</f>
        <v>24.1</v>
      </c>
      <c r="AL423">
        <v>-2.439403972</v>
      </c>
      <c r="AM423">
        <v>34.838404959999998</v>
      </c>
      <c r="AN423" t="str">
        <f>IF(ISNUMBER(SEARCH("C", 'WetLitterbags placem_collection'!$W204)),"YES","NO")</f>
        <v>NO</v>
      </c>
      <c r="AO423" t="str">
        <f>IF(ISNUMBER(SEARCH("H", 'WetLitterbags placem_collection'!$W204)),"YES","NO")</f>
        <v>NO</v>
      </c>
      <c r="AP423" t="str">
        <f>IF(ISNUMBER(SEARCH("R", 'WetLitterbags placem_collection'!$W204)),"YES","NO")</f>
        <v>YES</v>
      </c>
    </row>
    <row r="424" spans="1:42" ht="15" customHeight="1">
      <c r="A424" t="s">
        <v>2490</v>
      </c>
      <c r="B424" s="248" t="s">
        <v>2454</v>
      </c>
      <c r="C424" s="253">
        <f>'Dry_Litterbag Placem_Collection'!A205</f>
        <v>203</v>
      </c>
      <c r="D424" s="253" t="str">
        <f>'Dry_Litterbag Placem_Collection'!B205</f>
        <v>Maswa</v>
      </c>
      <c r="E424" s="253" t="s">
        <v>2643</v>
      </c>
      <c r="F424" s="253" t="s">
        <v>2645</v>
      </c>
      <c r="G424" s="253">
        <v>2</v>
      </c>
      <c r="H424" s="253" t="s">
        <v>3111</v>
      </c>
      <c r="I424" s="254" t="str">
        <f>'Dry_Litterbag Placem_Collection'!C205</f>
        <v>Dry_W1_CG2</v>
      </c>
      <c r="J424" s="255" t="s">
        <v>2525</v>
      </c>
      <c r="K424" s="262" t="s">
        <v>298</v>
      </c>
      <c r="L424" s="221" t="str">
        <f>'WetLitterbags placem_collection'!M205</f>
        <v>R372</v>
      </c>
      <c r="M424" s="223">
        <f>IFERROR(INDEX('Green_rooibos initial weight'!$C$5:$C$2000,MATCH(L424, 'Green_rooibos initial weight'!$A$5:$A$2000,0)),"")</f>
        <v>2.202</v>
      </c>
      <c r="N424" s="223">
        <f>IFERROR(M424-(TBIcalc!$H$9+TBIcalc!$H$10),"")</f>
        <v>1.9521999999999999</v>
      </c>
      <c r="O424" s="378">
        <f>AVERAGE(Ashed_controlls!$K$2:$K$11)</f>
        <v>5.5147656768714146</v>
      </c>
      <c r="P424" s="223">
        <f t="shared" si="31"/>
        <v>1.8445407444561162</v>
      </c>
      <c r="Q424" s="223">
        <f>IFERROR(INDEX('Both teabags AfterWet'!$C$3:$C$840,MATCH(L424,'Both teabags AfterWet'!$A$3:$A$840,0)),"")</f>
        <v>1.6213</v>
      </c>
      <c r="R424" s="223">
        <f>IFERROR(IF(Q424&gt;0,Q424-(TBIcalc!$H$9),""),"")</f>
        <v>1.4706999999999999</v>
      </c>
      <c r="S424" s="223">
        <f>IFERROR(INDEX('Ashed teabags wet'!$K$2:$K$2000,MATCH(L424,'Ashed teabags wet'!$A$2:$A$2000,0)),"")</f>
        <v>4.1958041958038725</v>
      </c>
      <c r="T424" s="223">
        <f t="shared" si="32"/>
        <v>1.4089923076923123</v>
      </c>
      <c r="U424" s="224">
        <f>'WetLitterbags placem_collection'!E205</f>
        <v>42769</v>
      </c>
      <c r="V424" s="224">
        <f>IF('WetLitterbags placem_collection'!G205="","",'WetLitterbags placem_collection'!G205)</f>
        <v>42814</v>
      </c>
      <c r="W424" s="225">
        <f t="shared" si="30"/>
        <v>45</v>
      </c>
      <c r="X424" s="223">
        <f t="shared" si="33"/>
        <v>0.48150000000000004</v>
      </c>
      <c r="Y424" s="223">
        <f t="shared" si="34"/>
        <v>0.43554843676380384</v>
      </c>
      <c r="Z424">
        <f>IFERROR(INDEX([1]Rainfall_Wet!$O$2:$O$217,MATCH(C424, [1]Rainfall_Wet!$A$2:$A$217,0)),"")</f>
        <v>175.377105089</v>
      </c>
      <c r="AA424" s="226">
        <v>47.96</v>
      </c>
      <c r="AB424" s="226">
        <v>22.919999999999995</v>
      </c>
      <c r="AC424" s="226">
        <v>29.120000000000012</v>
      </c>
      <c r="AD424" s="227" t="s">
        <v>2654</v>
      </c>
      <c r="AE424" s="226">
        <v>2.8831936914736325</v>
      </c>
      <c r="AF424">
        <f>IF('WetLitterbags placem_collection'!AB205="","",'WetLitterbags placem_collection'!AB205)</f>
        <v>5.13</v>
      </c>
      <c r="AG424">
        <f>IF('WetLitterbags placem_collection'!Z205="","",'WetLitterbags placem_collection'!Z205)</f>
        <v>5.13</v>
      </c>
      <c r="AH424" s="236" t="str">
        <f>IF('WetLitterbags placem_collection'!AA205="","",'WetLitterbags placem_collection'!AA205)</f>
        <v>O</v>
      </c>
      <c r="AI424">
        <f>IF('WetLitterbags placem_collection'!AC205="","",'WetLitterbags placem_collection'!AC205)</f>
        <v>1</v>
      </c>
      <c r="AJ424" s="233">
        <f>AVERAGE('WetLitterbags placem_collection'!S205,'WetLitterbags placem_collection'!U205)</f>
        <v>27</v>
      </c>
      <c r="AK424">
        <f>AVERAGE('WetLitterbags placem_collection'!R205,'WetLitterbags placem_collection'!T205)</f>
        <v>28.4</v>
      </c>
      <c r="AL424">
        <v>-2.4396450349999999</v>
      </c>
      <c r="AM424">
        <v>34.83836599</v>
      </c>
      <c r="AN424" t="str">
        <f>IF(ISNUMBER(SEARCH("C", 'WetLitterbags placem_collection'!$W205)),"YES","NO")</f>
        <v>NO</v>
      </c>
      <c r="AO424" t="str">
        <f>IF(ISNUMBER(SEARCH("H", 'WetLitterbags placem_collection'!$W205)),"YES","NO")</f>
        <v>YES</v>
      </c>
      <c r="AP424" t="str">
        <f>IF(ISNUMBER(SEARCH("R", 'WetLitterbags placem_collection'!$W205)),"YES","NO")</f>
        <v>NO</v>
      </c>
    </row>
    <row r="425" spans="1:42" ht="15" customHeight="1">
      <c r="A425" t="s">
        <v>2490</v>
      </c>
      <c r="B425" s="248" t="s">
        <v>2454</v>
      </c>
      <c r="C425" s="253">
        <f>'Dry_Litterbag Placem_Collection'!A206</f>
        <v>204</v>
      </c>
      <c r="D425" s="253" t="str">
        <f>'Dry_Litterbag Placem_Collection'!B206</f>
        <v>Maswa</v>
      </c>
      <c r="E425" s="253" t="s">
        <v>2643</v>
      </c>
      <c r="F425" s="253" t="s">
        <v>2645</v>
      </c>
      <c r="G425" s="253">
        <v>3</v>
      </c>
      <c r="H425" s="253" t="s">
        <v>3115</v>
      </c>
      <c r="I425" s="254" t="str">
        <f>'Dry_Litterbag Placem_Collection'!C206</f>
        <v>Dry_W4_CG3</v>
      </c>
      <c r="J425" s="255" t="s">
        <v>2525</v>
      </c>
      <c r="K425" s="262" t="s">
        <v>298</v>
      </c>
      <c r="L425" s="221" t="str">
        <f>'WetLitterbags placem_collection'!M206</f>
        <v>R334</v>
      </c>
      <c r="M425" s="223">
        <f>IFERROR(INDEX('Green_rooibos initial weight'!$C$5:$C$2000,MATCH(L425, 'Green_rooibos initial weight'!$A$5:$A$2000,0)),"")</f>
        <v>2.1419999999999999</v>
      </c>
      <c r="N425" s="223">
        <f>IFERROR(M425-(TBIcalc!$H$9+TBIcalc!$H$10),"")</f>
        <v>1.8921999999999999</v>
      </c>
      <c r="O425" s="378">
        <f>AVERAGE(Ashed_controlls!$K$2:$K$11)</f>
        <v>5.5147656768714146</v>
      </c>
      <c r="P425" s="223">
        <f t="shared" si="31"/>
        <v>1.7878496038622389</v>
      </c>
      <c r="Q425" s="223">
        <f>IFERROR(INDEX('Both teabags AfterWet'!$C$3:$C$840,MATCH(L425,'Both teabags AfterWet'!$A$3:$A$840,0)),"")</f>
        <v>1.544</v>
      </c>
      <c r="R425" s="223">
        <f>IFERROR(IF(Q425&gt;0,Q425-(TBIcalc!$H$9),""),"")</f>
        <v>1.3934</v>
      </c>
      <c r="S425" s="223">
        <f>IFERROR(INDEX('Ashed teabags wet'!$K$2:$K$2000,MATCH(L425,'Ashed teabags wet'!$A$2:$A$2000,0)),"")</f>
        <v>5.4642166344294019</v>
      </c>
      <c r="T425" s="223">
        <f t="shared" si="32"/>
        <v>1.3172616054158608</v>
      </c>
      <c r="U425" s="224">
        <f>'WetLitterbags placem_collection'!E206</f>
        <v>42769</v>
      </c>
      <c r="V425" s="224">
        <f>IF('WetLitterbags placem_collection'!G206="","",'WetLitterbags placem_collection'!G206)</f>
        <v>42813</v>
      </c>
      <c r="W425" s="225">
        <f t="shared" si="30"/>
        <v>44</v>
      </c>
      <c r="X425" s="223">
        <f t="shared" si="33"/>
        <v>0.49879999999999991</v>
      </c>
      <c r="Y425" s="223">
        <f t="shared" si="34"/>
        <v>0.47058799844637811</v>
      </c>
      <c r="Z425">
        <f>IFERROR(INDEX([1]Rainfall_Wet!$O$2:$O$217,MATCH(C425, [1]Rainfall_Wet!$A$2:$A$217,0)),"")</f>
        <v>175.054685654</v>
      </c>
      <c r="AA425" s="226">
        <v>28.145762029394</v>
      </c>
      <c r="AB425" s="226">
        <v>25.085564727199518</v>
      </c>
      <c r="AC425" s="226">
        <v>46.768673243406489</v>
      </c>
      <c r="AD425" s="227" t="s">
        <v>2651</v>
      </c>
      <c r="AE425" s="226">
        <v>2.1716214884179394</v>
      </c>
      <c r="AF425">
        <f>IF('WetLitterbags placem_collection'!AB206="","",'WetLitterbags placem_collection'!AB206)</f>
        <v>7.9</v>
      </c>
      <c r="AG425">
        <f>IF('WetLitterbags placem_collection'!Z206="","",'WetLitterbags placem_collection'!Z206)</f>
        <v>7.9</v>
      </c>
      <c r="AH425" s="236" t="str">
        <f>IF('WetLitterbags placem_collection'!AA206="","",'WetLitterbags placem_collection'!AA206)</f>
        <v>O</v>
      </c>
      <c r="AI425">
        <f>IF('WetLitterbags placem_collection'!AC206="","",'WetLitterbags placem_collection'!AC206)</f>
        <v>1</v>
      </c>
      <c r="AJ425" s="233">
        <f>AVERAGE('WetLitterbags placem_collection'!S206,'WetLitterbags placem_collection'!U206)</f>
        <v>21.6</v>
      </c>
      <c r="AK425">
        <f>AVERAGE('WetLitterbags placem_collection'!R206,'WetLitterbags placem_collection'!T206)</f>
        <v>30.950000000000003</v>
      </c>
      <c r="AL425">
        <v>-2.4395990190000001</v>
      </c>
      <c r="AM425">
        <v>34.838418959999998</v>
      </c>
      <c r="AN425" t="str">
        <f>IF(ISNUMBER(SEARCH("C", 'WetLitterbags placem_collection'!$W206)),"YES","NO")</f>
        <v>NO</v>
      </c>
      <c r="AO425" t="str">
        <f>IF(ISNUMBER(SEARCH("H", 'WetLitterbags placem_collection'!$W206)),"YES","NO")</f>
        <v>NO</v>
      </c>
      <c r="AP425" t="str">
        <f>IF(ISNUMBER(SEARCH("R", 'WetLitterbags placem_collection'!$W206)),"YES","NO")</f>
        <v>YES</v>
      </c>
    </row>
    <row r="426" spans="1:42" ht="15" customHeight="1">
      <c r="A426" t="s">
        <v>2490</v>
      </c>
      <c r="B426" s="248" t="s">
        <v>2454</v>
      </c>
      <c r="C426" s="253">
        <f>'Dry_Litterbag Placem_Collection'!A207</f>
        <v>205</v>
      </c>
      <c r="D426" s="253" t="str">
        <f>'Dry_Litterbag Placem_Collection'!B207</f>
        <v xml:space="preserve">Mwantimba
</v>
      </c>
      <c r="E426" s="253" t="s">
        <v>2454</v>
      </c>
      <c r="F426" s="253" t="s">
        <v>2644</v>
      </c>
      <c r="G426" s="253">
        <v>2</v>
      </c>
      <c r="H426" s="253" t="s">
        <v>3116</v>
      </c>
      <c r="I426" s="254" t="str">
        <f>'Dry_Litterbag Placem_Collection'!C207</f>
        <v>Wet_Ag1_CG2</v>
      </c>
      <c r="J426" s="255" t="s">
        <v>2525</v>
      </c>
      <c r="K426" s="262" t="s">
        <v>298</v>
      </c>
      <c r="L426" s="221" t="str">
        <f>'WetLitterbags placem_collection'!M207</f>
        <v>R265</v>
      </c>
      <c r="M426" s="223">
        <f>IFERROR(INDEX('Green_rooibos initial weight'!$C$5:$C$2000,MATCH(L426, 'Green_rooibos initial weight'!$A$5:$A$2000,0)),"")</f>
        <v>2.2210000000000001</v>
      </c>
      <c r="N426" s="223">
        <f>IFERROR(M426-(TBIcalc!$H$9+TBIcalc!$H$10),"")</f>
        <v>1.9712000000000001</v>
      </c>
      <c r="O426" s="378">
        <f>AVERAGE(Ashed_controlls!$K$2:$K$11)</f>
        <v>5.5147656768714146</v>
      </c>
      <c r="P426" s="223">
        <f t="shared" si="31"/>
        <v>1.8624929389775107</v>
      </c>
      <c r="Q426" s="223">
        <f>IFERROR(INDEX('Both teabags AfterWet'!$C$3:$C$840,MATCH(L426,'Both teabags AfterWet'!$A$3:$A$840,0)),"")</f>
        <v>1.6680999999999999</v>
      </c>
      <c r="R426" s="223">
        <f>IFERROR(IF(Q426&gt;0,Q426-(TBIcalc!$H$9),""),"")</f>
        <v>1.5174999999999998</v>
      </c>
      <c r="S426" s="223">
        <f>IFERROR(INDEX('Ashed teabags wet'!$K$2:$K$2000,MATCH(L426,'Ashed teabags wet'!$A$2:$A$2000,0)),"")</f>
        <v>13.867187500000384</v>
      </c>
      <c r="T426" s="223">
        <f t="shared" si="32"/>
        <v>1.3070654296874942</v>
      </c>
      <c r="U426" s="224">
        <f>'WetLitterbags placem_collection'!E207</f>
        <v>42769</v>
      </c>
      <c r="V426" s="224">
        <f>IF('WetLitterbags placem_collection'!G207="","",'WetLitterbags placem_collection'!G207)</f>
        <v>42814</v>
      </c>
      <c r="W426" s="225">
        <f t="shared" si="30"/>
        <v>45</v>
      </c>
      <c r="X426" s="223">
        <f t="shared" si="33"/>
        <v>0.45370000000000021</v>
      </c>
      <c r="Y426" s="223">
        <f t="shared" si="34"/>
        <v>0.5554275092900165</v>
      </c>
      <c r="Z426">
        <f>IFERROR(INDEX([1]Rainfall_Wet!$O$2:$O$217,MATCH(C426, [1]Rainfall_Wet!$A$2:$A$217,0)),"")</f>
        <v>175.377105089</v>
      </c>
      <c r="AA426" s="226">
        <v>45.96</v>
      </c>
      <c r="AB426" s="226">
        <v>14.920000000000003</v>
      </c>
      <c r="AC426" s="226">
        <v>39.119999999999997</v>
      </c>
      <c r="AD426" s="227" t="s">
        <v>2654</v>
      </c>
      <c r="AE426" s="226">
        <v>2.0374568753080333</v>
      </c>
      <c r="AF426">
        <f>IF('WetLitterbags placem_collection'!AB207="","",'WetLitterbags placem_collection'!AB207)</f>
        <v>5.13</v>
      </c>
      <c r="AG426">
        <f>IF('WetLitterbags placem_collection'!Z207="","",'WetLitterbags placem_collection'!Z207)</f>
        <v>5.13</v>
      </c>
      <c r="AH426" s="236" t="str">
        <f>IF('WetLitterbags placem_collection'!AA207="","",'WetLitterbags placem_collection'!AA207)</f>
        <v>O</v>
      </c>
      <c r="AI426">
        <f>IF('WetLitterbags placem_collection'!AC207="","",'WetLitterbags placem_collection'!AC207)</f>
        <v>1</v>
      </c>
      <c r="AJ426" s="233">
        <f>AVERAGE('WetLitterbags placem_collection'!S207,'WetLitterbags placem_collection'!U207)</f>
        <v>24.45</v>
      </c>
      <c r="AK426">
        <f>AVERAGE('WetLitterbags placem_collection'!R207,'WetLitterbags placem_collection'!T207)</f>
        <v>26.299999999999997</v>
      </c>
      <c r="AL426">
        <v>-2.4396450349999999</v>
      </c>
      <c r="AM426">
        <v>34.83836599</v>
      </c>
      <c r="AN426" t="str">
        <f>IF(ISNUMBER(SEARCH("C", 'WetLitterbags placem_collection'!$W207)),"YES","NO")</f>
        <v>NO</v>
      </c>
      <c r="AO426" t="str">
        <f>IF(ISNUMBER(SEARCH("H", 'WetLitterbags placem_collection'!$W207)),"YES","NO")</f>
        <v>NO</v>
      </c>
      <c r="AP426" t="str">
        <f>IF(ISNUMBER(SEARCH("R", 'WetLitterbags placem_collection'!$W207)),"YES","NO")</f>
        <v>YES</v>
      </c>
    </row>
    <row r="427" spans="1:42" ht="15" customHeight="1">
      <c r="A427" t="s">
        <v>2490</v>
      </c>
      <c r="B427" s="248" t="s">
        <v>2454</v>
      </c>
      <c r="C427" s="253">
        <f>'Dry_Litterbag Placem_Collection'!A208</f>
        <v>206</v>
      </c>
      <c r="D427" s="253" t="str">
        <f>'Dry_Litterbag Placem_Collection'!B208</f>
        <v xml:space="preserve">Mwantimba
</v>
      </c>
      <c r="E427" s="253" t="s">
        <v>2454</v>
      </c>
      <c r="F427" s="253" t="s">
        <v>2644</v>
      </c>
      <c r="G427" s="253">
        <v>1</v>
      </c>
      <c r="H427" s="253" t="s">
        <v>3118</v>
      </c>
      <c r="I427" s="254" t="str">
        <f>'Dry_Litterbag Placem_Collection'!C208</f>
        <v>Wet_Ag2_CG1</v>
      </c>
      <c r="J427" s="255" t="s">
        <v>2525</v>
      </c>
      <c r="K427" s="262" t="s">
        <v>298</v>
      </c>
      <c r="L427" s="221" t="str">
        <f>'WetLitterbags placem_collection'!M208</f>
        <v>R234</v>
      </c>
      <c r="M427" s="223">
        <f>IFERROR(INDEX('Green_rooibos initial weight'!$C$5:$C$2000,MATCH(L427, 'Green_rooibos initial weight'!$A$5:$A$2000,0)),"")</f>
        <v>2.194</v>
      </c>
      <c r="N427" s="223">
        <f>IFERROR(M427-(TBIcalc!$H$9+TBIcalc!$H$10),"")</f>
        <v>1.9441999999999999</v>
      </c>
      <c r="O427" s="378">
        <f>AVERAGE(Ashed_controlls!$K$2:$K$11)</f>
        <v>5.5147656768714146</v>
      </c>
      <c r="P427" s="223">
        <f t="shared" si="31"/>
        <v>1.836981925710266</v>
      </c>
      <c r="Q427" s="223">
        <f>IFERROR(INDEX('Both teabags AfterWet'!$C$3:$C$840,MATCH(L427,'Both teabags AfterWet'!$A$3:$A$840,0)),"")</f>
        <v>1.7410000000000001</v>
      </c>
      <c r="R427" s="223">
        <f>IFERROR(IF(Q427&gt;0,Q427-(TBIcalc!$H$9),""),"")</f>
        <v>1.5904</v>
      </c>
      <c r="S427" s="223">
        <f>IFERROR(INDEX('Ashed teabags wet'!$K$2:$K$2000,MATCH(L427,'Ashed teabags wet'!$A$2:$A$2000,0)),"")</f>
        <v>9.9903006789520461</v>
      </c>
      <c r="T427" s="223">
        <f t="shared" si="32"/>
        <v>1.4315142580019466</v>
      </c>
      <c r="U427" s="224">
        <f>'WetLitterbags placem_collection'!E208</f>
        <v>42769</v>
      </c>
      <c r="V427" s="224">
        <f>IF('WetLitterbags placem_collection'!G208="","",'WetLitterbags placem_collection'!G208)</f>
        <v>42814</v>
      </c>
      <c r="W427" s="225">
        <f t="shared" si="30"/>
        <v>45</v>
      </c>
      <c r="X427" s="223">
        <f t="shared" si="33"/>
        <v>0.35379999999999989</v>
      </c>
      <c r="Y427" s="223">
        <f t="shared" si="34"/>
        <v>0.40546766770831932</v>
      </c>
      <c r="Z427">
        <f>IFERROR(INDEX([1]Rainfall_Wet!$O$2:$O$217,MATCH(C427, [1]Rainfall_Wet!$A$2:$A$217,0)),"")</f>
        <v>175.377105089</v>
      </c>
      <c r="AA427" s="226">
        <v>34.344660194174757</v>
      </c>
      <c r="AB427" s="226">
        <v>19.22727272727273</v>
      </c>
      <c r="AC427" s="226">
        <v>46.428067078552509</v>
      </c>
      <c r="AD427" s="227" t="s">
        <v>2651</v>
      </c>
      <c r="AE427" s="226">
        <v>1.7452932479053718</v>
      </c>
      <c r="AF427">
        <f>IF('WetLitterbags placem_collection'!AB208="","",'WetLitterbags placem_collection'!AB208)</f>
        <v>13.8</v>
      </c>
      <c r="AG427">
        <f>IF('WetLitterbags placem_collection'!Z208="","",'WetLitterbags placem_collection'!Z208)</f>
        <v>17.399999999999999</v>
      </c>
      <c r="AH427" s="236" t="str">
        <f>IF('WetLitterbags placem_collection'!AA208="","",'WetLitterbags placem_collection'!AA208)</f>
        <v>O</v>
      </c>
      <c r="AI427">
        <f>IF('WetLitterbags placem_collection'!AC208="","",'WetLitterbags placem_collection'!AC208)</f>
        <v>1</v>
      </c>
      <c r="AJ427" s="233">
        <f>AVERAGE('WetLitterbags placem_collection'!S208,'WetLitterbags placem_collection'!U208)</f>
        <v>19.05</v>
      </c>
      <c r="AK427">
        <f>AVERAGE('WetLitterbags placem_collection'!R208,'WetLitterbags placem_collection'!T208)</f>
        <v>24.15</v>
      </c>
      <c r="AL427">
        <v>-2.439403972</v>
      </c>
      <c r="AM427">
        <v>34.838404959999998</v>
      </c>
      <c r="AN427" t="str">
        <f>IF(ISNUMBER(SEARCH("C", 'WetLitterbags placem_collection'!$W208)),"YES","NO")</f>
        <v>NO</v>
      </c>
      <c r="AO427" t="str">
        <f>IF(ISNUMBER(SEARCH("H", 'WetLitterbags placem_collection'!$W208)),"YES","NO")</f>
        <v>NO</v>
      </c>
      <c r="AP427" t="str">
        <f>IF(ISNUMBER(SEARCH("R", 'WetLitterbags placem_collection'!$W208)),"YES","NO")</f>
        <v>NO</v>
      </c>
    </row>
    <row r="428" spans="1:42" ht="15" customHeight="1">
      <c r="A428" t="s">
        <v>2490</v>
      </c>
      <c r="B428" s="248" t="s">
        <v>2454</v>
      </c>
      <c r="C428" s="253">
        <f>'Dry_Litterbag Placem_Collection'!A209</f>
        <v>207</v>
      </c>
      <c r="D428" s="253" t="str">
        <f>'Dry_Litterbag Placem_Collection'!B209</f>
        <v xml:space="preserve">Mwantimba
</v>
      </c>
      <c r="E428" s="253" t="s">
        <v>2454</v>
      </c>
      <c r="F428" s="253" t="s">
        <v>2644</v>
      </c>
      <c r="G428" s="253">
        <v>4</v>
      </c>
      <c r="H428" s="253" t="s">
        <v>3119</v>
      </c>
      <c r="I428" s="254" t="str">
        <f>'Dry_Litterbag Placem_Collection'!C209</f>
        <v>Wet_Ag3_CG4</v>
      </c>
      <c r="J428" s="255" t="s">
        <v>2525</v>
      </c>
      <c r="K428" s="262" t="s">
        <v>298</v>
      </c>
      <c r="L428" s="221" t="str">
        <f>'WetLitterbags placem_collection'!M209</f>
        <v>R258</v>
      </c>
      <c r="M428" s="223">
        <f>IFERROR(INDEX('Green_rooibos initial weight'!$C$5:$C$2000,MATCH(L428, 'Green_rooibos initial weight'!$A$5:$A$2000,0)),"")</f>
        <v>2.17</v>
      </c>
      <c r="N428" s="223">
        <f>IFERROR(M428-(TBIcalc!$H$9+TBIcalc!$H$10),"")</f>
        <v>1.9201999999999999</v>
      </c>
      <c r="O428" s="378">
        <f>AVERAGE(Ashed_controlls!$K$2:$K$11)</f>
        <v>5.5147656768714146</v>
      </c>
      <c r="P428" s="223">
        <f t="shared" si="31"/>
        <v>1.814305469472715</v>
      </c>
      <c r="Q428" s="223">
        <f>IFERROR(INDEX('Both teabags AfterWet'!$C$3:$C$840,MATCH(L428,'Both teabags AfterWet'!$A$3:$A$840,0)),"")</f>
        <v>1.5820000000000001</v>
      </c>
      <c r="R428" s="223">
        <f>IFERROR(IF(Q428&gt;0,Q428-(TBIcalc!$H$9),""),"")</f>
        <v>1.4314</v>
      </c>
      <c r="S428" s="223">
        <f>IFERROR(INDEX('Ashed teabags wet'!$K$2:$K$2000,MATCH(L428,'Ashed teabags wet'!$A$2:$A$2000,0)),"")</f>
        <v>16.261774913237122</v>
      </c>
      <c r="T428" s="223">
        <f t="shared" si="32"/>
        <v>1.1986289538919239</v>
      </c>
      <c r="U428" s="224">
        <f>'WetLitterbags placem_collection'!E209</f>
        <v>42769</v>
      </c>
      <c r="V428" s="224">
        <f>IF('WetLitterbags placem_collection'!G209="","",'WetLitterbags placem_collection'!G209)</f>
        <v>42813</v>
      </c>
      <c r="W428" s="225">
        <f t="shared" si="30"/>
        <v>44</v>
      </c>
      <c r="X428" s="223">
        <f t="shared" si="33"/>
        <v>0.4887999999999999</v>
      </c>
      <c r="Y428" s="223">
        <f t="shared" si="34"/>
        <v>0.61567651558079106</v>
      </c>
      <c r="Z428">
        <f>IFERROR(INDEX([1]Rainfall_Wet!$O$2:$O$217,MATCH(C428, [1]Rainfall_Wet!$A$2:$A$217,0)),"")</f>
        <v>175.054685654</v>
      </c>
      <c r="AA428" s="226">
        <v>27.96</v>
      </c>
      <c r="AB428" s="226">
        <v>4.9200000000000017</v>
      </c>
      <c r="AC428" s="226">
        <v>67.12</v>
      </c>
      <c r="AD428" s="227" t="s">
        <v>2651</v>
      </c>
      <c r="AE428" s="226">
        <v>0.88610152784622953</v>
      </c>
      <c r="AF428">
        <f>IF('WetLitterbags placem_collection'!AB209="","",'WetLitterbags placem_collection'!AB209)</f>
        <v>15.2</v>
      </c>
      <c r="AG428">
        <f>IF('WetLitterbags placem_collection'!Z209="","",'WetLitterbags placem_collection'!Z209)</f>
        <v>12.2</v>
      </c>
      <c r="AH428" s="236" t="str">
        <f>IF('WetLitterbags placem_collection'!AA209="","",'WetLitterbags placem_collection'!AA209)</f>
        <v>O</v>
      </c>
      <c r="AI428">
        <f>IF('WetLitterbags placem_collection'!AC209="","",'WetLitterbags placem_collection'!AC209)</f>
        <v>1</v>
      </c>
      <c r="AJ428" s="233">
        <f>AVERAGE('WetLitterbags placem_collection'!S209,'WetLitterbags placem_collection'!U209)</f>
        <v>19.8</v>
      </c>
      <c r="AK428">
        <f>AVERAGE('WetLitterbags placem_collection'!R209,'WetLitterbags placem_collection'!T209)</f>
        <v>29.05</v>
      </c>
      <c r="AL428">
        <v>-2.4396949910000001</v>
      </c>
      <c r="AM428">
        <v>34.838574029999997</v>
      </c>
      <c r="AN428" t="str">
        <f>IF(ISNUMBER(SEARCH("C", 'WetLitterbags placem_collection'!$W209)),"YES","NO")</f>
        <v>YES</v>
      </c>
      <c r="AO428" t="str">
        <f>IF(ISNUMBER(SEARCH("H", 'WetLitterbags placem_collection'!$W209)),"YES","NO")</f>
        <v>YES</v>
      </c>
      <c r="AP428" t="str">
        <f>IF(ISNUMBER(SEARCH("R", 'WetLitterbags placem_collection'!$W209)),"YES","NO")</f>
        <v>NO</v>
      </c>
    </row>
    <row r="429" spans="1:42" ht="15" customHeight="1">
      <c r="A429" t="s">
        <v>2490</v>
      </c>
      <c r="B429" s="248" t="s">
        <v>2454</v>
      </c>
      <c r="C429" s="253">
        <f>'Dry_Litterbag Placem_Collection'!A210</f>
        <v>208</v>
      </c>
      <c r="D429" s="253" t="str">
        <f>'Dry_Litterbag Placem_Collection'!B210</f>
        <v xml:space="preserve">Mwantimba
</v>
      </c>
      <c r="E429" s="253" t="s">
        <v>2454</v>
      </c>
      <c r="F429" s="253" t="s">
        <v>2644</v>
      </c>
      <c r="G429" s="253">
        <v>3</v>
      </c>
      <c r="H429" s="253" t="s">
        <v>3120</v>
      </c>
      <c r="I429" s="254" t="str">
        <f>'Dry_Litterbag Placem_Collection'!C210</f>
        <v>Wet_Ag4_CG3</v>
      </c>
      <c r="J429" s="255" t="s">
        <v>2525</v>
      </c>
      <c r="K429" s="262" t="s">
        <v>298</v>
      </c>
      <c r="L429" s="221" t="str">
        <f>'WetLitterbags placem_collection'!M210</f>
        <v>R344</v>
      </c>
      <c r="M429" s="223">
        <f>IFERROR(INDEX('Green_rooibos initial weight'!$C$5:$C$2000,MATCH(L429, 'Green_rooibos initial weight'!$A$5:$A$2000,0)),"")</f>
        <v>2.153</v>
      </c>
      <c r="N429" s="223">
        <f>IFERROR(M429-(TBIcalc!$H$9+TBIcalc!$H$10),"")</f>
        <v>1.9032</v>
      </c>
      <c r="O429" s="378">
        <f>AVERAGE(Ashed_controlls!$K$2:$K$11)</f>
        <v>5.5147656768714146</v>
      </c>
      <c r="P429" s="223">
        <f t="shared" si="31"/>
        <v>1.7982429796377832</v>
      </c>
      <c r="Q429" s="223">
        <f>IFERROR(INDEX('Both teabags AfterWet'!$C$3:$C$840,MATCH(L429,'Both teabags AfterWet'!$A$3:$A$840,0)),"")</f>
        <v>1.476</v>
      </c>
      <c r="R429" s="223">
        <f>IFERROR(IF(Q429&gt;0,Q429-(TBIcalc!$H$9),""),"")</f>
        <v>1.3253999999999999</v>
      </c>
      <c r="S429" s="223">
        <f>IFERROR(INDEX('Ashed teabags wet'!$K$2:$K$2000,MATCH(L429,'Ashed teabags wet'!$A$2:$A$2000,0)),"")</f>
        <v>8.5305719921103496</v>
      </c>
      <c r="T429" s="223">
        <f t="shared" si="32"/>
        <v>1.2123357988165693</v>
      </c>
      <c r="U429" s="224">
        <f>'WetLitterbags placem_collection'!E210</f>
        <v>42769</v>
      </c>
      <c r="V429" s="224">
        <f>IF('WetLitterbags placem_collection'!G210="","",'WetLitterbags placem_collection'!G210)</f>
        <v>42813</v>
      </c>
      <c r="W429" s="225">
        <f t="shared" si="30"/>
        <v>44</v>
      </c>
      <c r="X429" s="223">
        <f t="shared" si="33"/>
        <v>0.57780000000000009</v>
      </c>
      <c r="Y429" s="223">
        <f t="shared" si="34"/>
        <v>0.58590718082121396</v>
      </c>
      <c r="Z429">
        <f>IFERROR(INDEX([1]Rainfall_Wet!$O$2:$O$217,MATCH(C429, [1]Rainfall_Wet!$A$2:$A$217,0)),"")</f>
        <v>175.054685654</v>
      </c>
      <c r="AA429" s="226">
        <v>17.96</v>
      </c>
      <c r="AB429" s="226">
        <v>4.9199999999999982</v>
      </c>
      <c r="AC429" s="226">
        <v>77.12</v>
      </c>
      <c r="AD429" s="227" t="s">
        <v>2652</v>
      </c>
      <c r="AE429" s="226">
        <v>2.0220798422868409</v>
      </c>
      <c r="AF429">
        <f>IF('WetLitterbags placem_collection'!AB210="","",'WetLitterbags placem_collection'!AB210)</f>
        <v>7.9</v>
      </c>
      <c r="AG429">
        <f>IF('WetLitterbags placem_collection'!Z210="","",'WetLitterbags placem_collection'!Z210)</f>
        <v>7.9</v>
      </c>
      <c r="AH429" s="236" t="str">
        <f>IF('WetLitterbags placem_collection'!AA210="","",'WetLitterbags placem_collection'!AA210)</f>
        <v>O</v>
      </c>
      <c r="AI429">
        <f>IF('WetLitterbags placem_collection'!AC210="","",'WetLitterbags placem_collection'!AC210)</f>
        <v>1</v>
      </c>
      <c r="AJ429" s="233">
        <f>AVERAGE('WetLitterbags placem_collection'!S210,'WetLitterbags placem_collection'!U210)</f>
        <v>22.200000000000003</v>
      </c>
      <c r="AK429">
        <f>AVERAGE('WetLitterbags placem_collection'!R210,'WetLitterbags placem_collection'!T210)</f>
        <v>27.45</v>
      </c>
      <c r="AL429">
        <v>-2.4395990190000001</v>
      </c>
      <c r="AM429">
        <v>34.838418959999998</v>
      </c>
      <c r="AN429" t="str">
        <f>IF(ISNUMBER(SEARCH("C", 'WetLitterbags placem_collection'!$W210)),"YES","NO")</f>
        <v>NO</v>
      </c>
      <c r="AO429" t="str">
        <f>IF(ISNUMBER(SEARCH("H", 'WetLitterbags placem_collection'!$W210)),"YES","NO")</f>
        <v>NO</v>
      </c>
      <c r="AP429" t="str">
        <f>IF(ISNUMBER(SEARCH("R", 'WetLitterbags placem_collection'!$W210)),"YES","NO")</f>
        <v>YES</v>
      </c>
    </row>
    <row r="430" spans="1:42" ht="15" customHeight="1">
      <c r="A430" t="s">
        <v>2490</v>
      </c>
      <c r="B430" s="248" t="s">
        <v>2454</v>
      </c>
      <c r="C430" s="253">
        <f>'Dry_Litterbag Placem_Collection'!A211</f>
        <v>209</v>
      </c>
      <c r="D430" s="253" t="str">
        <f>'Dry_Litterbag Placem_Collection'!B211</f>
        <v xml:space="preserve">Mwantimba
</v>
      </c>
      <c r="E430" s="253" t="s">
        <v>2454</v>
      </c>
      <c r="F430" s="253" t="s">
        <v>20</v>
      </c>
      <c r="G430" s="253">
        <v>2</v>
      </c>
      <c r="H430" s="253" t="s">
        <v>3121</v>
      </c>
      <c r="I430" s="254" t="str">
        <f>'Dry_Litterbag Placem_Collection'!C211</f>
        <v>Wet_P1_CG2</v>
      </c>
      <c r="J430" s="255" t="s">
        <v>2525</v>
      </c>
      <c r="K430" s="262" t="s">
        <v>298</v>
      </c>
      <c r="L430" s="221" t="str">
        <f>'WetLitterbags placem_collection'!M211</f>
        <v>R271</v>
      </c>
      <c r="M430" s="223">
        <f>IFERROR(INDEX('Green_rooibos initial weight'!$C$5:$C$2000,MATCH(L430, 'Green_rooibos initial weight'!$A$5:$A$2000,0)),"")</f>
        <v>2.2829999999999999</v>
      </c>
      <c r="N430" s="223">
        <f>IFERROR(M430-(TBIcalc!$H$9+TBIcalc!$H$10),"")</f>
        <v>2.0331999999999999</v>
      </c>
      <c r="O430" s="378">
        <f>AVERAGE(Ashed_controlls!$K$2:$K$11)</f>
        <v>5.5147656768714146</v>
      </c>
      <c r="P430" s="223">
        <f t="shared" si="31"/>
        <v>1.9210737842578502</v>
      </c>
      <c r="Q430" s="223">
        <f>IFERROR(INDEX('Both teabags AfterWet'!$C$3:$C$840,MATCH(L430,'Both teabags AfterWet'!$A$3:$A$840,0)),"")</f>
        <v>1.754</v>
      </c>
      <c r="R430" s="223">
        <f>IFERROR(IF(Q430&gt;0,Q430-(TBIcalc!$H$9),""),"")</f>
        <v>1.6033999999999999</v>
      </c>
      <c r="S430" s="223">
        <f>IFERROR(INDEX('Ashed teabags wet'!$K$2:$K$2000,MATCH(L430,'Ashed teabags wet'!$A$2:$A$2000,0)),"")</f>
        <v>9.0597453476988878</v>
      </c>
      <c r="T430" s="223">
        <f t="shared" si="32"/>
        <v>1.4581360430949959</v>
      </c>
      <c r="U430" s="224">
        <f>'WetLitterbags placem_collection'!E211</f>
        <v>42769</v>
      </c>
      <c r="V430" s="224">
        <f>IF('WetLitterbags placem_collection'!G211="","",'WetLitterbags placem_collection'!G211)</f>
        <v>42814</v>
      </c>
      <c r="W430" s="225">
        <f t="shared" si="30"/>
        <v>45</v>
      </c>
      <c r="X430" s="223">
        <f t="shared" si="33"/>
        <v>0.42979999999999996</v>
      </c>
      <c r="Y430" s="223">
        <f t="shared" si="34"/>
        <v>0.46293774116285435</v>
      </c>
      <c r="Z430">
        <f>IFERROR(INDEX([1]Rainfall_Wet!$O$2:$O$217,MATCH(C430, [1]Rainfall_Wet!$A$2:$A$217,0)),"")</f>
        <v>175.377105089</v>
      </c>
      <c r="AA430" s="226">
        <v>31.214836424255054</v>
      </c>
      <c r="AB430" s="226">
        <v>11.377370285476141</v>
      </c>
      <c r="AC430" s="226">
        <v>57.407793290268799</v>
      </c>
      <c r="AD430" s="227" t="s">
        <v>2651</v>
      </c>
      <c r="AE430" s="226">
        <v>1.7337604731394776</v>
      </c>
      <c r="AF430">
        <f>IF('WetLitterbags placem_collection'!AB211="","",'WetLitterbags placem_collection'!AB211)</f>
        <v>5.13</v>
      </c>
      <c r="AG430">
        <f>IF('WetLitterbags placem_collection'!Z211="","",'WetLitterbags placem_collection'!Z211)</f>
        <v>5.13</v>
      </c>
      <c r="AH430" s="236" t="str">
        <f>IF('WetLitterbags placem_collection'!AA211="","",'WetLitterbags placem_collection'!AA211)</f>
        <v>O</v>
      </c>
      <c r="AI430">
        <f>IF('WetLitterbags placem_collection'!AC211="","",'WetLitterbags placem_collection'!AC211)</f>
        <v>1</v>
      </c>
      <c r="AJ430" s="233">
        <f>AVERAGE('WetLitterbags placem_collection'!S211,'WetLitterbags placem_collection'!U211)</f>
        <v>24.5</v>
      </c>
      <c r="AK430">
        <f>AVERAGE('WetLitterbags placem_collection'!R211,'WetLitterbags placem_collection'!T211)</f>
        <v>24.4</v>
      </c>
      <c r="AL430">
        <v>-2.4396450349999999</v>
      </c>
      <c r="AM430">
        <v>34.83836599</v>
      </c>
      <c r="AN430" t="str">
        <f>IF(ISNUMBER(SEARCH("C", 'WetLitterbags placem_collection'!$W211)),"YES","NO")</f>
        <v>NO</v>
      </c>
      <c r="AO430" t="str">
        <f>IF(ISNUMBER(SEARCH("H", 'WetLitterbags placem_collection'!$W211)),"YES","NO")</f>
        <v>NO</v>
      </c>
      <c r="AP430" t="str">
        <f>IF(ISNUMBER(SEARCH("R", 'WetLitterbags placem_collection'!$W211)),"YES","NO")</f>
        <v>YES</v>
      </c>
    </row>
    <row r="431" spans="1:42" ht="15" customHeight="1">
      <c r="A431" t="s">
        <v>2490</v>
      </c>
      <c r="B431" s="248" t="s">
        <v>2454</v>
      </c>
      <c r="C431" s="253">
        <f>'Dry_Litterbag Placem_Collection'!A212</f>
        <v>210</v>
      </c>
      <c r="D431" s="253" t="str">
        <f>'Dry_Litterbag Placem_Collection'!B212</f>
        <v xml:space="preserve">Mwantimba
</v>
      </c>
      <c r="E431" s="253" t="s">
        <v>2454</v>
      </c>
      <c r="F431" s="253" t="s">
        <v>20</v>
      </c>
      <c r="G431" s="253">
        <v>4</v>
      </c>
      <c r="H431" s="253" t="s">
        <v>3123</v>
      </c>
      <c r="I431" s="254" t="str">
        <f>'Dry_Litterbag Placem_Collection'!C212</f>
        <v>Wet_P2_CG4</v>
      </c>
      <c r="J431" s="255" t="s">
        <v>2525</v>
      </c>
      <c r="K431" s="262" t="s">
        <v>298</v>
      </c>
      <c r="L431" s="221" t="str">
        <f>'WetLitterbags placem_collection'!M212</f>
        <v>R340</v>
      </c>
      <c r="M431" s="223">
        <f>IFERROR(INDEX('Green_rooibos initial weight'!$C$5:$C$2000,MATCH(L431, 'Green_rooibos initial weight'!$A$5:$A$2000,0)),"")</f>
        <v>2.2130000000000001</v>
      </c>
      <c r="N431" s="223">
        <f>IFERROR(M431-(TBIcalc!$H$9+TBIcalc!$H$10),"")</f>
        <v>1.9632000000000001</v>
      </c>
      <c r="O431" s="378">
        <f>AVERAGE(Ashed_controlls!$K$2:$K$11)</f>
        <v>5.5147656768714146</v>
      </c>
      <c r="P431" s="223">
        <f t="shared" si="31"/>
        <v>1.8549341202316605</v>
      </c>
      <c r="Q431" s="223">
        <f>IFERROR(INDEX('Both teabags AfterWet'!$C$3:$C$840,MATCH(L431,'Both teabags AfterWet'!$A$3:$A$840,0)),"")</f>
        <v>1.6197999999999999</v>
      </c>
      <c r="R431" s="223">
        <f>IFERROR(IF(Q431&gt;0,Q431-(TBIcalc!$H$9),""),"")</f>
        <v>1.4691999999999998</v>
      </c>
      <c r="S431" s="223">
        <f>IFERROR(INDEX('Ashed teabags wet'!$K$2:$K$2000,MATCH(L431,'Ashed teabags wet'!$A$2:$A$2000,0)),"")</f>
        <v>10.541586073501591</v>
      </c>
      <c r="T431" s="223">
        <f t="shared" si="32"/>
        <v>1.3143230174081144</v>
      </c>
      <c r="U431" s="224">
        <f>'WetLitterbags placem_collection'!E212</f>
        <v>42769</v>
      </c>
      <c r="V431" s="224">
        <f>IF('WetLitterbags placem_collection'!G212="","",'WetLitterbags placem_collection'!G212)</f>
        <v>42813</v>
      </c>
      <c r="W431" s="225">
        <f t="shared" si="30"/>
        <v>44</v>
      </c>
      <c r="X431" s="223">
        <f t="shared" si="33"/>
        <v>0.49400000000000022</v>
      </c>
      <c r="Y431" s="223">
        <f t="shared" si="34"/>
        <v>0.54061110282354607</v>
      </c>
      <c r="Z431">
        <f>IFERROR(INDEX([1]Rainfall_Wet!$O$2:$O$217,MATCH(C431, [1]Rainfall_Wet!$A$2:$A$217,0)),"")</f>
        <v>175.054685654</v>
      </c>
      <c r="AA431" s="226">
        <v>33.96</v>
      </c>
      <c r="AB431" s="226">
        <v>8.9200000000000017</v>
      </c>
      <c r="AC431" s="226">
        <v>57.12</v>
      </c>
      <c r="AD431" s="227" t="s">
        <v>2651</v>
      </c>
      <c r="AE431" s="226">
        <v>2.072055199605717</v>
      </c>
      <c r="AF431">
        <f>IF('WetLitterbags placem_collection'!AB212="","",'WetLitterbags placem_collection'!AB212)</f>
        <v>15.2</v>
      </c>
      <c r="AG431">
        <f>IF('WetLitterbags placem_collection'!Z212="","",'WetLitterbags placem_collection'!Z212)</f>
        <v>12.2</v>
      </c>
      <c r="AH431" s="236" t="str">
        <f>IF('WetLitterbags placem_collection'!AA212="","",'WetLitterbags placem_collection'!AA212)</f>
        <v>O</v>
      </c>
      <c r="AI431">
        <f>IF('WetLitterbags placem_collection'!AC212="","",'WetLitterbags placem_collection'!AC212)</f>
        <v>1</v>
      </c>
      <c r="AJ431" s="233">
        <f>AVERAGE('WetLitterbags placem_collection'!S212,'WetLitterbags placem_collection'!U212)</f>
        <v>22.4</v>
      </c>
      <c r="AK431">
        <f>AVERAGE('WetLitterbags placem_collection'!R212,'WetLitterbags placem_collection'!T212)</f>
        <v>28.400000000000002</v>
      </c>
      <c r="AL431">
        <v>-2.4396949910000001</v>
      </c>
      <c r="AM431">
        <v>34.838574029999997</v>
      </c>
      <c r="AN431" t="str">
        <f>IF(ISNUMBER(SEARCH("C", 'WetLitterbags placem_collection'!$W212)),"YES","NO")</f>
        <v>NO</v>
      </c>
      <c r="AO431" t="str">
        <f>IF(ISNUMBER(SEARCH("H", 'WetLitterbags placem_collection'!$W212)),"YES","NO")</f>
        <v>NO</v>
      </c>
      <c r="AP431" t="str">
        <f>IF(ISNUMBER(SEARCH("R", 'WetLitterbags placem_collection'!$W212)),"YES","NO")</f>
        <v>YES</v>
      </c>
    </row>
    <row r="432" spans="1:42" ht="15" customHeight="1">
      <c r="A432" t="s">
        <v>2490</v>
      </c>
      <c r="B432" s="248" t="s">
        <v>2454</v>
      </c>
      <c r="C432" s="253">
        <f>'Dry_Litterbag Placem_Collection'!A213</f>
        <v>211</v>
      </c>
      <c r="D432" s="253" t="str">
        <f>'Dry_Litterbag Placem_Collection'!B213</f>
        <v xml:space="preserve">Mwantimba
</v>
      </c>
      <c r="E432" s="253" t="s">
        <v>2454</v>
      </c>
      <c r="F432" s="253" t="s">
        <v>20</v>
      </c>
      <c r="G432" s="253">
        <v>1</v>
      </c>
      <c r="H432" s="253" t="s">
        <v>3124</v>
      </c>
      <c r="I432" s="254" t="str">
        <f>'Dry_Litterbag Placem_Collection'!C213</f>
        <v>Wet_P3_CG1</v>
      </c>
      <c r="J432" s="255" t="s">
        <v>2525</v>
      </c>
      <c r="K432" s="262" t="s">
        <v>298</v>
      </c>
      <c r="L432" s="221" t="str">
        <f>'WetLitterbags placem_collection'!M213</f>
        <v>R381</v>
      </c>
      <c r="M432" s="223">
        <f>IFERROR(INDEX('Green_rooibos initial weight'!$C$5:$C$2000,MATCH(L432, 'Green_rooibos initial weight'!$A$5:$A$2000,0)),"")</f>
        <v>2.2349999999999999</v>
      </c>
      <c r="N432" s="223">
        <f>IFERROR(M432-(TBIcalc!$H$9+TBIcalc!$H$10),"")</f>
        <v>1.9851999999999999</v>
      </c>
      <c r="O432" s="378">
        <f>AVERAGE(Ashed_controlls!$K$2:$K$11)</f>
        <v>5.5147656768714146</v>
      </c>
      <c r="P432" s="223">
        <f t="shared" si="31"/>
        <v>1.8757208717827485</v>
      </c>
      <c r="Q432" s="223">
        <f>IFERROR(INDEX('Both teabags AfterWet'!$C$3:$C$840,MATCH(L432,'Both teabags AfterWet'!$A$3:$A$840,0)),"")</f>
        <v>1.528</v>
      </c>
      <c r="R432" s="223">
        <f>IFERROR(IF(Q432&gt;0,Q432-(TBIcalc!$H$9),""),"")</f>
        <v>1.3774</v>
      </c>
      <c r="S432" s="223">
        <f>IFERROR(INDEX('Ashed teabags wet'!$K$2:$K$2000,MATCH(L432,'Ashed teabags wet'!$A$2:$A$2000,0)),"")</f>
        <v>10.112911143839174</v>
      </c>
      <c r="T432" s="223">
        <f t="shared" si="32"/>
        <v>1.2381047619047592</v>
      </c>
      <c r="U432" s="224">
        <f>'WetLitterbags placem_collection'!E213</f>
        <v>42769</v>
      </c>
      <c r="V432" s="224">
        <f>IF('WetLitterbags placem_collection'!G213="","",'WetLitterbags placem_collection'!G213)</f>
        <v>42814</v>
      </c>
      <c r="W432" s="225">
        <f t="shared" si="30"/>
        <v>45</v>
      </c>
      <c r="X432" s="223">
        <f t="shared" si="33"/>
        <v>0.6077999999999999</v>
      </c>
      <c r="Y432" s="223">
        <f t="shared" si="34"/>
        <v>0.63761610987798933</v>
      </c>
      <c r="Z432">
        <f>IFERROR(INDEX([1]Rainfall_Wet!$O$2:$O$217,MATCH(C432, [1]Rainfall_Wet!$A$2:$A$217,0)),"")</f>
        <v>175.377105089</v>
      </c>
      <c r="AA432" s="226">
        <v>39.96</v>
      </c>
      <c r="AB432" s="226">
        <v>12.920000000000002</v>
      </c>
      <c r="AC432" s="226">
        <v>47.12</v>
      </c>
      <c r="AD432" s="227" t="s">
        <v>2655</v>
      </c>
      <c r="AE432" s="226">
        <v>1.6549531789058647</v>
      </c>
      <c r="AF432">
        <f>IF('WetLitterbags placem_collection'!AB213="","",'WetLitterbags placem_collection'!AB213)</f>
        <v>13.8</v>
      </c>
      <c r="AG432">
        <f>IF('WetLitterbags placem_collection'!Z213="","",'WetLitterbags placem_collection'!Z213)</f>
        <v>17.399999999999999</v>
      </c>
      <c r="AH432" s="236" t="str">
        <f>IF('WetLitterbags placem_collection'!AA213="","",'WetLitterbags placem_collection'!AA213)</f>
        <v>O</v>
      </c>
      <c r="AI432">
        <f>IF('WetLitterbags placem_collection'!AC213="","",'WetLitterbags placem_collection'!AC213)</f>
        <v>1</v>
      </c>
      <c r="AJ432" s="233">
        <f>AVERAGE('WetLitterbags placem_collection'!S213,'WetLitterbags placem_collection'!U213)</f>
        <v>16.850000000000001</v>
      </c>
      <c r="AK432">
        <f>AVERAGE('WetLitterbags placem_collection'!R213,'WetLitterbags placem_collection'!T213)</f>
        <v>23.95</v>
      </c>
      <c r="AL432">
        <v>-2.439403972</v>
      </c>
      <c r="AM432">
        <v>34.838404959999998</v>
      </c>
      <c r="AN432" t="str">
        <f>IF(ISNUMBER(SEARCH("C", 'WetLitterbags placem_collection'!$W213)),"YES","NO")</f>
        <v>NO</v>
      </c>
      <c r="AO432" t="str">
        <f>IF(ISNUMBER(SEARCH("H", 'WetLitterbags placem_collection'!$W213)),"YES","NO")</f>
        <v>NO</v>
      </c>
      <c r="AP432" t="str">
        <f>IF(ISNUMBER(SEARCH("R", 'WetLitterbags placem_collection'!$W213)),"YES","NO")</f>
        <v>YES</v>
      </c>
    </row>
    <row r="433" spans="1:42" ht="15" customHeight="1">
      <c r="A433" t="s">
        <v>2490</v>
      </c>
      <c r="B433" s="248" t="s">
        <v>2454</v>
      </c>
      <c r="C433" s="253">
        <f>'Dry_Litterbag Placem_Collection'!A214</f>
        <v>215</v>
      </c>
      <c r="D433" s="253" t="str">
        <f>'Dry_Litterbag Placem_Collection'!B214</f>
        <v xml:space="preserve">Mwantimba
</v>
      </c>
      <c r="E433" s="253" t="s">
        <v>2454</v>
      </c>
      <c r="F433" s="253" t="s">
        <v>2645</v>
      </c>
      <c r="G433" s="253">
        <v>3</v>
      </c>
      <c r="H433" s="253" t="s">
        <v>3129</v>
      </c>
      <c r="I433" s="254" t="str">
        <f>'Dry_Litterbag Placem_Collection'!C214</f>
        <v>Wet_W3_CG1</v>
      </c>
      <c r="J433" s="255" t="s">
        <v>2525</v>
      </c>
      <c r="K433" s="262" t="s">
        <v>298</v>
      </c>
      <c r="L433" s="221" t="str">
        <f>'WetLitterbags placem_collection'!M214</f>
        <v>R93</v>
      </c>
      <c r="M433" s="223">
        <f>IFERROR(INDEX('Green_rooibos initial weight'!$C$5:$C$2000,MATCH(L433, 'Green_rooibos initial weight'!$A$5:$A$2000,0)),"")</f>
        <v>2.1709999999999998</v>
      </c>
      <c r="N433" s="223">
        <f>IFERROR(M433-(TBIcalc!$H$9+TBIcalc!$H$10),"")</f>
        <v>1.9211999999999998</v>
      </c>
      <c r="O433" s="378">
        <f>AVERAGE(Ashed_controlls!$K$2:$K$11)</f>
        <v>5.5147656768714146</v>
      </c>
      <c r="P433" s="223">
        <f t="shared" si="31"/>
        <v>1.8152503218159461</v>
      </c>
      <c r="Q433" s="223">
        <f>IFERROR(INDEX('Both teabags AfterWet'!$C$3:$C$840,MATCH(L433,'Both teabags AfterWet'!$A$3:$A$840,0)),"")</f>
        <v>1.5831999999999999</v>
      </c>
      <c r="R433" s="223">
        <f>IFERROR(IF(Q433&gt;0,Q433-(TBIcalc!$H$9),""),"")</f>
        <v>1.4325999999999999</v>
      </c>
      <c r="S433" s="223">
        <f>IFERROR(INDEX('Ashed teabags wet'!$K$2:$K$2000,MATCH(L433,'Ashed teabags wet'!$A$2:$A$2000,0)),"")</f>
        <v>7.2365225837790437</v>
      </c>
      <c r="T433" s="223">
        <f t="shared" si="32"/>
        <v>1.3289295774647814</v>
      </c>
      <c r="U433" s="224">
        <f>'WetLitterbags placem_collection'!E214</f>
        <v>42769</v>
      </c>
      <c r="V433" s="224">
        <f>IF('WetLitterbags placem_collection'!G214="","",'WetLitterbags placem_collection'!G214)</f>
        <v>42813</v>
      </c>
      <c r="W433" s="225">
        <f t="shared" si="30"/>
        <v>44</v>
      </c>
      <c r="X433" s="223">
        <f t="shared" si="33"/>
        <v>0.48859999999999992</v>
      </c>
      <c r="Y433" s="223">
        <f t="shared" si="34"/>
        <v>0.48632074435116479</v>
      </c>
      <c r="Z433">
        <f>IFERROR(INDEX([1]Rainfall_Wet!$O$2:$O$217,MATCH(C433, [1]Rainfall_Wet!$A$2:$A$217,0)),"")</f>
        <v>175.377105089</v>
      </c>
      <c r="AA433" s="226">
        <v>27.96</v>
      </c>
      <c r="AB433" s="226">
        <v>4.9200000000000017</v>
      </c>
      <c r="AC433" s="226">
        <v>67.12</v>
      </c>
      <c r="AD433" s="227" t="s">
        <v>2651</v>
      </c>
      <c r="AE433" s="226">
        <v>1.0437161163134547</v>
      </c>
      <c r="AF433">
        <f>IF('WetLitterbags placem_collection'!AB214="","",'WetLitterbags placem_collection'!AB214)</f>
        <v>7.9</v>
      </c>
      <c r="AG433">
        <f>IF('WetLitterbags placem_collection'!Z214="","",'WetLitterbags placem_collection'!Z214)</f>
        <v>7.9</v>
      </c>
      <c r="AH433" s="236" t="str">
        <f>IF('WetLitterbags placem_collection'!AA214="","",'WetLitterbags placem_collection'!AA214)</f>
        <v>O</v>
      </c>
      <c r="AI433">
        <f>IF('WetLitterbags placem_collection'!AC214="","",'WetLitterbags placem_collection'!AC214)</f>
        <v>1</v>
      </c>
      <c r="AJ433" s="233">
        <f>AVERAGE('WetLitterbags placem_collection'!S214,'WetLitterbags placem_collection'!U214)</f>
        <v>22.45</v>
      </c>
      <c r="AK433">
        <f>AVERAGE('WetLitterbags placem_collection'!R214,'WetLitterbags placem_collection'!T214)</f>
        <v>27.450000000000003</v>
      </c>
      <c r="AL433">
        <v>-2.4395990190000001</v>
      </c>
      <c r="AM433">
        <v>34.838418959999998</v>
      </c>
      <c r="AN433" t="str">
        <f>IF(ISNUMBER(SEARCH("C", 'WetLitterbags placem_collection'!$W214)),"YES","NO")</f>
        <v>YES</v>
      </c>
      <c r="AO433" t="str">
        <f>IF(ISNUMBER(SEARCH("H", 'WetLitterbags placem_collection'!$W214)),"YES","NO")</f>
        <v>NO</v>
      </c>
      <c r="AP433" t="str">
        <f>IF(ISNUMBER(SEARCH("R", 'WetLitterbags placem_collection'!$W214)),"YES","NO")</f>
        <v>YES</v>
      </c>
    </row>
    <row r="434" spans="1:42" ht="15" customHeight="1">
      <c r="A434" t="s">
        <v>2490</v>
      </c>
      <c r="B434" s="248" t="s">
        <v>2454</v>
      </c>
      <c r="C434" s="253">
        <f>'Dry_Litterbag Placem_Collection'!A215</f>
        <v>212</v>
      </c>
      <c r="D434" s="253" t="str">
        <f>'Dry_Litterbag Placem_Collection'!B215</f>
        <v xml:space="preserve">Mwantimba
</v>
      </c>
      <c r="E434" s="253" t="s">
        <v>2454</v>
      </c>
      <c r="F434" s="253" t="s">
        <v>20</v>
      </c>
      <c r="G434" s="253">
        <v>4</v>
      </c>
      <c r="H434" s="253" t="s">
        <v>3125</v>
      </c>
      <c r="I434" s="254" t="str">
        <f>'Dry_Litterbag Placem_Collection'!C215</f>
        <v>Wet_P4_CG3</v>
      </c>
      <c r="J434" s="255" t="s">
        <v>2525</v>
      </c>
      <c r="K434" s="262" t="s">
        <v>298</v>
      </c>
      <c r="L434" s="221" t="str">
        <f>'WetLitterbags placem_collection'!M215</f>
        <v>R88</v>
      </c>
      <c r="M434" s="223">
        <f>IFERROR(INDEX('Green_rooibos initial weight'!$C$5:$C$2000,MATCH(L434, 'Green_rooibos initial weight'!$A$5:$A$2000,0)),"")</f>
        <v>2.1520000000000001</v>
      </c>
      <c r="N434" s="223">
        <f>IFERROR(M434-(TBIcalc!$H$9+TBIcalc!$H$10),"")</f>
        <v>1.9022000000000001</v>
      </c>
      <c r="O434" s="378">
        <f>AVERAGE(Ashed_controlls!$K$2:$K$11)</f>
        <v>5.5147656768714146</v>
      </c>
      <c r="P434" s="223">
        <f t="shared" si="31"/>
        <v>1.7972981272945521</v>
      </c>
      <c r="Q434" s="223">
        <f>IFERROR(INDEX('Both teabags AfterWet'!$C$3:$C$840,MATCH(L434,'Both teabags AfterWet'!$A$3:$A$840,0)),"")</f>
        <v>1.542</v>
      </c>
      <c r="R434" s="223">
        <f>IFERROR(IF(Q434&gt;0,Q434-(TBIcalc!$H$9),""),"")</f>
        <v>1.3914</v>
      </c>
      <c r="S434" s="223">
        <f>IFERROR(INDEX('Ashed teabags wet'!$K$2:$K$2000,MATCH(L434,'Ashed teabags wet'!$A$2:$A$2000,0)),"")</f>
        <v>3.5402521823463347</v>
      </c>
      <c r="T434" s="223">
        <f t="shared" si="32"/>
        <v>1.3421409311348331</v>
      </c>
      <c r="U434" s="224">
        <f>'WetLitterbags placem_collection'!E215</f>
        <v>42769</v>
      </c>
      <c r="V434" s="224">
        <f>IF('WetLitterbags placem_collection'!G215="","",'WetLitterbags placem_collection'!G215)</f>
        <v>42813</v>
      </c>
      <c r="W434" s="225">
        <f t="shared" si="30"/>
        <v>44</v>
      </c>
      <c r="X434" s="223">
        <f t="shared" si="33"/>
        <v>0.51080000000000014</v>
      </c>
      <c r="Y434" s="223">
        <f t="shared" si="34"/>
        <v>0.45515719615971895</v>
      </c>
      <c r="Z434">
        <f>IFERROR(INDEX([1]Rainfall_Wet!$O$2:$O$217,MATCH(C434, [1]Rainfall_Wet!$A$2:$A$217,0)),"")</f>
        <v>175.054685654</v>
      </c>
      <c r="AA434" s="226">
        <v>21.96</v>
      </c>
      <c r="AB434" s="226">
        <v>4.9199999999999982</v>
      </c>
      <c r="AC434" s="226">
        <v>73.12</v>
      </c>
      <c r="AD434" s="227" t="s">
        <v>2651</v>
      </c>
      <c r="AE434" s="226">
        <v>1.2416954164613114</v>
      </c>
      <c r="AF434">
        <f>IF('WetLitterbags placem_collection'!AB215="","",'WetLitterbags placem_collection'!AB215)</f>
        <v>15.2</v>
      </c>
      <c r="AG434">
        <f>IF('WetLitterbags placem_collection'!Z215="","",'WetLitterbags placem_collection'!Z215)</f>
        <v>12.2</v>
      </c>
      <c r="AH434" s="236" t="str">
        <f>IF('WetLitterbags placem_collection'!AA215="","",'WetLitterbags placem_collection'!AA215)</f>
        <v>O</v>
      </c>
      <c r="AI434">
        <f>IF('WetLitterbags placem_collection'!AC215="","",'WetLitterbags placem_collection'!AC215)</f>
        <v>1</v>
      </c>
      <c r="AJ434" s="233">
        <f>AVERAGE('WetLitterbags placem_collection'!S215,'WetLitterbags placem_collection'!U215)</f>
        <v>19.75</v>
      </c>
      <c r="AK434">
        <f>AVERAGE('WetLitterbags placem_collection'!R215,'WetLitterbags placem_collection'!T215)</f>
        <v>28.15</v>
      </c>
      <c r="AL434">
        <v>-2.4396949910000001</v>
      </c>
      <c r="AM434">
        <v>34.838574029999997</v>
      </c>
      <c r="AN434" t="str">
        <f>IF(ISNUMBER(SEARCH("C", 'WetLitterbags placem_collection'!$W215)),"YES","NO")</f>
        <v>NO</v>
      </c>
      <c r="AO434" t="str">
        <f>IF(ISNUMBER(SEARCH("H", 'WetLitterbags placem_collection'!$W215)),"YES","NO")</f>
        <v>NO</v>
      </c>
      <c r="AP434" t="str">
        <f>IF(ISNUMBER(SEARCH("R", 'WetLitterbags placem_collection'!$W215)),"YES","NO")</f>
        <v>YES</v>
      </c>
    </row>
    <row r="435" spans="1:42" ht="15" customHeight="1">
      <c r="A435" t="s">
        <v>2490</v>
      </c>
      <c r="B435" s="248" t="s">
        <v>2454</v>
      </c>
      <c r="C435" s="253">
        <f>'Dry_Litterbag Placem_Collection'!A216</f>
        <v>213</v>
      </c>
      <c r="D435" s="253" t="str">
        <f>'Dry_Litterbag Placem_Collection'!B216</f>
        <v>Handajega</v>
      </c>
      <c r="E435" s="253" t="s">
        <v>2454</v>
      </c>
      <c r="F435" s="253" t="s">
        <v>2645</v>
      </c>
      <c r="G435" s="253">
        <v>3</v>
      </c>
      <c r="H435" s="253" t="s">
        <v>3126</v>
      </c>
      <c r="I435" s="254" t="str">
        <f>'Dry_Litterbag Placem_Collection'!C216</f>
        <v>Wet_W1_CG4</v>
      </c>
      <c r="J435" s="255" t="s">
        <v>2525</v>
      </c>
      <c r="K435" s="262" t="s">
        <v>298</v>
      </c>
      <c r="L435" s="221" t="str">
        <f>'WetLitterbags placem_collection'!M216</f>
        <v>R383</v>
      </c>
      <c r="M435" s="223">
        <f>IFERROR(INDEX('Green_rooibos initial weight'!$C$5:$C$2000,MATCH(L435, 'Green_rooibos initial weight'!$A$5:$A$2000,0)),"")</f>
        <v>2.234</v>
      </c>
      <c r="N435" s="223">
        <f>IFERROR(M435-(TBIcalc!$H$9+TBIcalc!$H$10),"")</f>
        <v>1.9842</v>
      </c>
      <c r="O435" s="378">
        <f>AVERAGE(Ashed_controlls!$K$2:$K$11)</f>
        <v>5.5147656768714146</v>
      </c>
      <c r="P435" s="223">
        <f t="shared" si="31"/>
        <v>1.8747760194395173</v>
      </c>
      <c r="Q435" s="223">
        <f>IFERROR(INDEX('Both teabags AfterWet'!$C$3:$C$840,MATCH(L435,'Both teabags AfterWet'!$A$3:$A$840,0)),"")</f>
        <v>1.587</v>
      </c>
      <c r="R435" s="223">
        <f>IFERROR(IF(Q435&gt;0,Q435-(TBIcalc!$H$9),""),"")</f>
        <v>1.4363999999999999</v>
      </c>
      <c r="S435" s="223">
        <f>IFERROR(INDEX('Ashed teabags wet'!$K$2:$K$2000,MATCH(L435,'Ashed teabags wet'!$A$2:$A$2000,0)),"")</f>
        <v>4.7142857142857366</v>
      </c>
      <c r="T435" s="223">
        <f t="shared" si="32"/>
        <v>1.3686839999999996</v>
      </c>
      <c r="U435" s="224">
        <f>'WetLitterbags placem_collection'!E216</f>
        <v>42769</v>
      </c>
      <c r="V435" s="224">
        <f>IF('WetLitterbags placem_collection'!G216="","",'WetLitterbags placem_collection'!G216)</f>
        <v>42813</v>
      </c>
      <c r="W435" s="225">
        <f t="shared" si="30"/>
        <v>44</v>
      </c>
      <c r="X435" s="223">
        <f t="shared" si="33"/>
        <v>0.54780000000000006</v>
      </c>
      <c r="Y435" s="223">
        <f t="shared" si="34"/>
        <v>0.50609201943951776</v>
      </c>
      <c r="Z435">
        <f>IFERROR(INDEX([1]Rainfall_Wet!$O$2:$O$217,MATCH(C435, [1]Rainfall_Wet!$A$2:$A$217,0)),"")</f>
        <v>175.054685654</v>
      </c>
      <c r="AA435" s="226">
        <v>23.96</v>
      </c>
      <c r="AB435" s="226">
        <v>4.9199999999999982</v>
      </c>
      <c r="AC435" s="226">
        <v>71.12</v>
      </c>
      <c r="AD435" s="227" t="s">
        <v>2651</v>
      </c>
      <c r="AE435" s="226">
        <v>3.30913750616067</v>
      </c>
      <c r="AF435">
        <f>IF('WetLitterbags placem_collection'!AB216="","",'WetLitterbags placem_collection'!AB216)</f>
        <v>7.9</v>
      </c>
      <c r="AG435">
        <f>IF('WetLitterbags placem_collection'!Z216="","",'WetLitterbags placem_collection'!Z216)</f>
        <v>7.9</v>
      </c>
      <c r="AH435" s="236" t="str">
        <f>IF('WetLitterbags placem_collection'!AA216="","",'WetLitterbags placem_collection'!AA216)</f>
        <v>O</v>
      </c>
      <c r="AI435">
        <f>IF('WetLitterbags placem_collection'!AC216="","",'WetLitterbags placem_collection'!AC216)</f>
        <v>1</v>
      </c>
      <c r="AJ435" s="233">
        <f>AVERAGE('WetLitterbags placem_collection'!S216,'WetLitterbags placem_collection'!U216)</f>
        <v>19.45</v>
      </c>
      <c r="AK435">
        <f>AVERAGE('WetLitterbags placem_collection'!R216,'WetLitterbags placem_collection'!T216)</f>
        <v>29.200000000000003</v>
      </c>
      <c r="AL435">
        <v>-2.4396949910000001</v>
      </c>
      <c r="AM435">
        <v>34.838574029999997</v>
      </c>
      <c r="AN435" t="str">
        <f>IF(ISNUMBER(SEARCH("C", 'WetLitterbags placem_collection'!$W216)),"YES","NO")</f>
        <v>NO</v>
      </c>
      <c r="AO435" t="str">
        <f>IF(ISNUMBER(SEARCH("H", 'WetLitterbags placem_collection'!$W216)),"YES","NO")</f>
        <v>NO</v>
      </c>
      <c r="AP435" t="str">
        <f>IF(ISNUMBER(SEARCH("R", 'WetLitterbags placem_collection'!$W216)),"YES","NO")</f>
        <v>YES</v>
      </c>
    </row>
    <row r="436" spans="1:42" ht="15" customHeight="1">
      <c r="A436" t="s">
        <v>2490</v>
      </c>
      <c r="B436" s="248" t="s">
        <v>2454</v>
      </c>
      <c r="C436" s="253">
        <f>'Dry_Litterbag Placem_Collection'!A217</f>
        <v>214</v>
      </c>
      <c r="D436" s="253" t="str">
        <f>'Dry_Litterbag Placem_Collection'!B217</f>
        <v>Handajega</v>
      </c>
      <c r="E436" s="253" t="s">
        <v>2454</v>
      </c>
      <c r="F436" s="253" t="s">
        <v>2645</v>
      </c>
      <c r="G436" s="253">
        <v>1</v>
      </c>
      <c r="H436" s="253" t="s">
        <v>3128</v>
      </c>
      <c r="I436" s="254" t="str">
        <f>'Dry_Litterbag Placem_Collection'!C217</f>
        <v>Wet_W2_CG3</v>
      </c>
      <c r="J436" s="255" t="s">
        <v>2525</v>
      </c>
      <c r="K436" s="262" t="s">
        <v>298</v>
      </c>
      <c r="L436" s="221" t="str">
        <f>'WetLitterbags placem_collection'!M217</f>
        <v>R145</v>
      </c>
      <c r="M436" s="223">
        <f>IFERROR(INDEX('Green_rooibos initial weight'!$C$5:$C$2000,MATCH(L436, 'Green_rooibos initial weight'!$A$5:$A$2000,0)),"")</f>
        <v>2.2719999999999998</v>
      </c>
      <c r="N436" s="223">
        <f>IFERROR(M436-(TBIcalc!$H$9+TBIcalc!$H$10),"")</f>
        <v>2.0221999999999998</v>
      </c>
      <c r="O436" s="378">
        <f>AVERAGE(Ashed_controlls!$K$2:$K$11)</f>
        <v>5.5147656768714146</v>
      </c>
      <c r="P436" s="223">
        <f t="shared" si="31"/>
        <v>1.9106804084823061</v>
      </c>
      <c r="Q436" s="223">
        <f>IFERROR(INDEX('Both teabags AfterWet'!$C$3:$C$840,MATCH(L436,'Both teabags AfterWet'!$A$3:$A$840,0)),"")</f>
        <v>1.5481</v>
      </c>
      <c r="R436" s="223">
        <f>IFERROR(IF(Q436&gt;0,Q436-(TBIcalc!$H$9),""),"")</f>
        <v>1.3975</v>
      </c>
      <c r="S436" s="223">
        <f>IFERROR(INDEX('Ashed teabags wet'!$K$2:$K$2000,MATCH(L436,'Ashed teabags wet'!$A$2:$A$2000,0)),"")</f>
        <v>2.4271844660191637</v>
      </c>
      <c r="T436" s="223">
        <f t="shared" si="32"/>
        <v>1.3635800970873821</v>
      </c>
      <c r="U436" s="224">
        <f>'WetLitterbags placem_collection'!E217</f>
        <v>42769</v>
      </c>
      <c r="V436" s="224">
        <f>IF('WetLitterbags placem_collection'!G217="","",'WetLitterbags placem_collection'!G217)</f>
        <v>42814</v>
      </c>
      <c r="W436" s="225">
        <f t="shared" si="30"/>
        <v>45</v>
      </c>
      <c r="X436" s="223">
        <f t="shared" si="33"/>
        <v>0.62469999999999981</v>
      </c>
      <c r="Y436" s="223">
        <f t="shared" si="34"/>
        <v>0.54710031139492399</v>
      </c>
      <c r="Z436">
        <f>IFERROR(INDEX([1]Rainfall_Wet!$O$2:$O$217,MATCH(C436, [1]Rainfall_Wet!$A$2:$A$217,0)),"")</f>
        <v>175.054685654</v>
      </c>
      <c r="AA436" s="226">
        <v>25.96</v>
      </c>
      <c r="AB436" s="226">
        <v>8.9200000000000017</v>
      </c>
      <c r="AC436" s="226">
        <v>65.12</v>
      </c>
      <c r="AD436" s="227" t="s">
        <v>2651</v>
      </c>
      <c r="AE436" s="226">
        <v>1.614588467225234</v>
      </c>
      <c r="AF436">
        <f>IF('WetLitterbags placem_collection'!AB217="","",'WetLitterbags placem_collection'!AB217)</f>
        <v>13.8</v>
      </c>
      <c r="AG436">
        <f>IF('WetLitterbags placem_collection'!Z217="","",'WetLitterbags placem_collection'!Z217)</f>
        <v>17.399999999999999</v>
      </c>
      <c r="AH436" s="236" t="str">
        <f>IF('WetLitterbags placem_collection'!AA217="","",'WetLitterbags placem_collection'!AA217)</f>
        <v>O</v>
      </c>
      <c r="AI436">
        <f>IF('WetLitterbags placem_collection'!AC217="","",'WetLitterbags placem_collection'!AC217)</f>
        <v>1</v>
      </c>
      <c r="AJ436" s="233">
        <f>AVERAGE('WetLitterbags placem_collection'!S217,'WetLitterbags placem_collection'!U217)</f>
        <v>20.3</v>
      </c>
      <c r="AK436">
        <f>AVERAGE('WetLitterbags placem_collection'!R217,'WetLitterbags placem_collection'!T217)</f>
        <v>26.25</v>
      </c>
      <c r="AL436">
        <v>-2.439403972</v>
      </c>
      <c r="AM436">
        <v>34.838404959999998</v>
      </c>
      <c r="AN436" t="str">
        <f>IF(ISNUMBER(SEARCH("C", 'WetLitterbags placem_collection'!$W217)),"YES","NO")</f>
        <v>NO</v>
      </c>
      <c r="AO436" t="str">
        <f>IF(ISNUMBER(SEARCH("H", 'WetLitterbags placem_collection'!$W217)),"YES","NO")</f>
        <v>NO</v>
      </c>
      <c r="AP436" t="str">
        <f>IF(ISNUMBER(SEARCH("R", 'WetLitterbags placem_collection'!$W217)),"YES","NO")</f>
        <v>NO</v>
      </c>
    </row>
    <row r="437" spans="1:42" ht="15" customHeight="1">
      <c r="A437" t="s">
        <v>2490</v>
      </c>
      <c r="B437" s="248" t="s">
        <v>2454</v>
      </c>
      <c r="C437" s="253">
        <f>'Dry_Litterbag Placem_Collection'!A218</f>
        <v>216</v>
      </c>
      <c r="D437" s="253" t="str">
        <f>'Dry_Litterbag Placem_Collection'!B218</f>
        <v>Handajega</v>
      </c>
      <c r="E437" s="253" t="s">
        <v>2454</v>
      </c>
      <c r="F437" s="253" t="s">
        <v>2645</v>
      </c>
      <c r="G437" s="253">
        <v>2</v>
      </c>
      <c r="H437" s="253" t="s">
        <v>3130</v>
      </c>
      <c r="I437" s="254" t="str">
        <f>'Dry_Litterbag Placem_Collection'!C218</f>
        <v>Wet_W4_CG2</v>
      </c>
      <c r="J437" s="255" t="s">
        <v>2525</v>
      </c>
      <c r="K437" s="262" t="s">
        <v>298</v>
      </c>
      <c r="L437" s="221" t="str">
        <f>'WetLitterbags placem_collection'!M218</f>
        <v>R241</v>
      </c>
      <c r="M437" s="223">
        <f>IFERROR(INDEX('Green_rooibos initial weight'!$C$5:$C$2000,MATCH(L437, 'Green_rooibos initial weight'!$A$5:$A$2000,0)),"")</f>
        <v>2.1680000000000001</v>
      </c>
      <c r="N437" s="223">
        <f>IFERROR(M437-(TBIcalc!$H$9+TBIcalc!$H$10),"")</f>
        <v>1.9182000000000001</v>
      </c>
      <c r="O437" s="378">
        <f>AVERAGE(Ashed_controlls!$K$2:$K$11)</f>
        <v>5.5147656768714146</v>
      </c>
      <c r="P437" s="223">
        <f t="shared" si="31"/>
        <v>1.8124157647862527</v>
      </c>
      <c r="Q437" s="223">
        <f>IFERROR(INDEX('Both teabags AfterWet'!$C$3:$C$840,MATCH(L437,'Both teabags AfterWet'!$A$3:$A$840,0)),"")</f>
        <v>1.5349999999999999</v>
      </c>
      <c r="R437" s="223">
        <f>IFERROR(IF(Q437&gt;0,Q437-(TBIcalc!$H$9),""),"")</f>
        <v>1.3843999999999999</v>
      </c>
      <c r="S437" s="223">
        <f>IFERROR(INDEX('Ashed teabags wet'!$K$2:$K$2000,MATCH(L437,'Ashed teabags wet'!$A$2:$A$2000,0)),"")</f>
        <v>21.520236920039142</v>
      </c>
      <c r="T437" s="223">
        <f t="shared" si="32"/>
        <v>1.086473840078978</v>
      </c>
      <c r="U437" s="224">
        <f>'WetLitterbags placem_collection'!E218</f>
        <v>42769</v>
      </c>
      <c r="V437" s="224">
        <f>IF('WetLitterbags placem_collection'!G218="","",'WetLitterbags placem_collection'!G218)</f>
        <v>42814</v>
      </c>
      <c r="W437" s="225">
        <f t="shared" si="30"/>
        <v>45</v>
      </c>
      <c r="X437" s="223">
        <f t="shared" si="33"/>
        <v>0.53380000000000027</v>
      </c>
      <c r="Y437" s="223">
        <f t="shared" si="34"/>
        <v>0.7259419247072747</v>
      </c>
      <c r="Z437">
        <f>IFERROR(INDEX([1]Rainfall_Wet!$O$2:$O$217,MATCH(C437, [1]Rainfall_Wet!$A$2:$A$217,0)),"")</f>
        <v>175.377105089</v>
      </c>
      <c r="AA437" s="226">
        <v>25.96</v>
      </c>
      <c r="AB437" s="226">
        <v>8.9200000000000017</v>
      </c>
      <c r="AC437" s="226">
        <v>65.12</v>
      </c>
      <c r="AD437" s="227" t="s">
        <v>2651</v>
      </c>
      <c r="AE437" s="226">
        <v>1.6991621488417901</v>
      </c>
      <c r="AF437">
        <f>IF('WetLitterbags placem_collection'!AB218="","",'WetLitterbags placem_collection'!AB218)</f>
        <v>5.13</v>
      </c>
      <c r="AG437">
        <f>IF('WetLitterbags placem_collection'!Z218="","",'WetLitterbags placem_collection'!Z218)</f>
        <v>5.13</v>
      </c>
      <c r="AH437" s="236" t="str">
        <f>IF('WetLitterbags placem_collection'!AA218="","",'WetLitterbags placem_collection'!AA218)</f>
        <v>O</v>
      </c>
      <c r="AI437">
        <f>IF('WetLitterbags placem_collection'!AC218="","",'WetLitterbags placem_collection'!AC218)</f>
        <v>1</v>
      </c>
      <c r="AJ437" s="233">
        <f>AVERAGE('WetLitterbags placem_collection'!S218,'WetLitterbags placem_collection'!U218)</f>
        <v>20.65</v>
      </c>
      <c r="AK437">
        <f>AVERAGE('WetLitterbags placem_collection'!R218,'WetLitterbags placem_collection'!T218)</f>
        <v>25.05</v>
      </c>
      <c r="AL437">
        <v>-2.4396450349999999</v>
      </c>
      <c r="AM437">
        <v>34.83836599</v>
      </c>
      <c r="AN437" t="str">
        <f>IF(ISNUMBER(SEARCH("C", 'WetLitterbags placem_collection'!$W218)),"YES","NO")</f>
        <v>NO</v>
      </c>
      <c r="AO437" t="str">
        <f>IF(ISNUMBER(SEARCH("H", 'WetLitterbags placem_collection'!$W218)),"YES","NO")</f>
        <v>YES</v>
      </c>
      <c r="AP437" t="str">
        <f>IF(ISNUMBER(SEARCH("R", 'WetLitterbags placem_collection'!$W218)),"YES","NO")</f>
        <v>NO</v>
      </c>
    </row>
    <row r="438" spans="1:42" ht="15" customHeight="1">
      <c r="A438" t="s">
        <v>2490</v>
      </c>
      <c r="B438" s="248" t="s">
        <v>2454</v>
      </c>
      <c r="C438" s="253">
        <f>'Dry_Litterbag Placem_Collection'!A219</f>
        <v>217</v>
      </c>
      <c r="D438" s="253" t="str">
        <f>'Dry_Litterbag Placem_Collection'!B219</f>
        <v>Seronera</v>
      </c>
      <c r="E438" s="253" t="s">
        <v>3249</v>
      </c>
      <c r="F438" s="253" t="s">
        <v>2423</v>
      </c>
      <c r="G438" s="253">
        <v>1</v>
      </c>
      <c r="H438" s="253" t="s">
        <v>3186</v>
      </c>
      <c r="I438" s="254" t="str">
        <f>'Dry_Litterbag Placem_Collection'!C219</f>
        <v>Local1_CG1</v>
      </c>
      <c r="J438" s="255" t="s">
        <v>2525</v>
      </c>
      <c r="K438" s="262" t="s">
        <v>298</v>
      </c>
      <c r="L438" s="221" t="str">
        <f>'WetLitterbags placem_collection'!M219</f>
        <v>R302</v>
      </c>
      <c r="M438" s="223">
        <f>IFERROR(INDEX('Green_rooibos initial weight'!$C$5:$C$2000,MATCH(L438, 'Green_rooibos initial weight'!$A$5:$A$2000,0)),"")</f>
        <v>2.19</v>
      </c>
      <c r="N438" s="223">
        <f>IFERROR(M438-(TBIcalc!$H$9+TBIcalc!$H$10),"")</f>
        <v>1.9401999999999999</v>
      </c>
      <c r="O438" s="378">
        <f>AVERAGE(Ashed_controlls!$K$2:$K$11)</f>
        <v>5.5147656768714146</v>
      </c>
      <c r="P438" s="223">
        <f t="shared" si="31"/>
        <v>1.8332025163373407</v>
      </c>
      <c r="Q438" s="223">
        <f>IFERROR(INDEX('Both teabags AfterWet'!$C$3:$C$840,MATCH(L438,'Both teabags AfterWet'!$A$3:$A$840,0)),"")</f>
        <v>1.38</v>
      </c>
      <c r="R438" s="223">
        <f>IFERROR(IF(Q438&gt;0,Q438-(TBIcalc!$H$9),""),"")</f>
        <v>1.2293999999999998</v>
      </c>
      <c r="S438" s="223">
        <f>IFERROR(INDEX('Ashed teabags wet'!$K$2:$K$2000,MATCH(L438,'Ashed teabags wet'!$A$2:$A$2000,0)),"")</f>
        <v>5.5199605717097722</v>
      </c>
      <c r="T438" s="223">
        <f t="shared" si="32"/>
        <v>1.1615376047313999</v>
      </c>
      <c r="U438" s="224">
        <f>'WetLitterbags placem_collection'!E219</f>
        <v>42769</v>
      </c>
      <c r="V438" s="224">
        <f>IF('WetLitterbags placem_collection'!G219="","",'WetLitterbags placem_collection'!G219)</f>
        <v>42814</v>
      </c>
      <c r="W438" s="225">
        <f t="shared" si="30"/>
        <v>45</v>
      </c>
      <c r="X438" s="223">
        <f t="shared" si="33"/>
        <v>0.7108000000000001</v>
      </c>
      <c r="Y438" s="223">
        <f t="shared" si="34"/>
        <v>0.67166491160594077</v>
      </c>
      <c r="Z438">
        <f>IFERROR(INDEX([1]Rainfall_Wet!$O$2:$O$217,MATCH(C438, [1]Rainfall_Wet!$A$2:$A$217,0)),"")</f>
        <v>175.377105089</v>
      </c>
      <c r="AA438" s="226">
        <v>29.076539101497506</v>
      </c>
      <c r="AB438" s="226">
        <v>7.1963394342762079</v>
      </c>
      <c r="AC438" s="226">
        <v>63.727121464226286</v>
      </c>
      <c r="AD438" s="226" t="s">
        <v>2651</v>
      </c>
      <c r="AE438" s="226">
        <v>1.0994578610152781</v>
      </c>
      <c r="AF438">
        <f>IF('WetLitterbags placem_collection'!AB219="","",'WetLitterbags placem_collection'!AB219)</f>
        <v>13.8</v>
      </c>
      <c r="AG438">
        <f>IF('WetLitterbags placem_collection'!Z219="","",'WetLitterbags placem_collection'!Z219)</f>
        <v>17.399999999999999</v>
      </c>
      <c r="AH438" s="236" t="str">
        <f>IF('WetLitterbags placem_collection'!AA219="","",'WetLitterbags placem_collection'!AA219)</f>
        <v>O</v>
      </c>
      <c r="AI438">
        <f>IF('WetLitterbags placem_collection'!AC219="","",'WetLitterbags placem_collection'!AC219)</f>
        <v>1</v>
      </c>
      <c r="AJ438" s="233">
        <f>AVERAGE('WetLitterbags placem_collection'!S219,'WetLitterbags placem_collection'!U219)</f>
        <v>20.049999999999997</v>
      </c>
      <c r="AK438">
        <f>AVERAGE('WetLitterbags placem_collection'!R219,'WetLitterbags placem_collection'!T219)</f>
        <v>25.5</v>
      </c>
      <c r="AL438">
        <v>-2.439403972</v>
      </c>
      <c r="AM438">
        <v>34.838404959999998</v>
      </c>
      <c r="AN438" t="str">
        <f>IF(ISNUMBER(SEARCH("C", 'WetLitterbags placem_collection'!$W219)),"YES","NO")</f>
        <v>NO</v>
      </c>
      <c r="AO438" t="str">
        <f>IF(ISNUMBER(SEARCH("H", 'WetLitterbags placem_collection'!$W219)),"YES","NO")</f>
        <v>NO</v>
      </c>
      <c r="AP438" t="str">
        <f>IF(ISNUMBER(SEARCH("R", 'WetLitterbags placem_collection'!$W219)),"YES","NO")</f>
        <v>YES</v>
      </c>
    </row>
    <row r="439" spans="1:42" ht="15" customHeight="1">
      <c r="A439" t="s">
        <v>2490</v>
      </c>
      <c r="B439" s="248" t="s">
        <v>2454</v>
      </c>
      <c r="C439" s="253">
        <f>'Dry_Litterbag Placem_Collection'!A220</f>
        <v>218</v>
      </c>
      <c r="D439" s="253" t="str">
        <f>'Dry_Litterbag Placem_Collection'!B220</f>
        <v>Seronera</v>
      </c>
      <c r="E439" s="253" t="s">
        <v>3249</v>
      </c>
      <c r="F439" s="253" t="s">
        <v>2423</v>
      </c>
      <c r="G439" s="253">
        <v>2</v>
      </c>
      <c r="H439" s="253" t="s">
        <v>3187</v>
      </c>
      <c r="I439" s="254" t="str">
        <f>'Dry_Litterbag Placem_Collection'!C220</f>
        <v>Local2_CG2</v>
      </c>
      <c r="J439" s="255" t="s">
        <v>2525</v>
      </c>
      <c r="K439" s="262" t="s">
        <v>298</v>
      </c>
      <c r="L439" s="221" t="str">
        <f>'WetLitterbags placem_collection'!M220</f>
        <v>R442</v>
      </c>
      <c r="M439" s="223">
        <f>IFERROR(INDEX('Green_rooibos initial weight'!$C$5:$C$2000,MATCH(L439, 'Green_rooibos initial weight'!$A$5:$A$2000,0)),"")</f>
        <v>2.2290000000000001</v>
      </c>
      <c r="N439" s="223">
        <f>IFERROR(M439-(TBIcalc!$H$9+TBIcalc!$H$10),"")</f>
        <v>1.9792000000000001</v>
      </c>
      <c r="O439" s="378">
        <f>AVERAGE(Ashed_controlls!$K$2:$K$11)</f>
        <v>5.5147656768714146</v>
      </c>
      <c r="P439" s="223">
        <f t="shared" si="31"/>
        <v>1.8700517577233611</v>
      </c>
      <c r="Q439" s="223">
        <f>IFERROR(INDEX('Both teabags AfterWet'!$C$3:$C$840,MATCH(L439,'Both teabags AfterWet'!$A$3:$A$840,0)),"")</f>
        <v>1.3831</v>
      </c>
      <c r="R439" s="223">
        <f>IFERROR(IF(Q439&gt;0,Q439-(TBIcalc!$H$9),""),"")</f>
        <v>1.2324999999999999</v>
      </c>
      <c r="S439" s="223">
        <f>IFERROR(INDEX('Ashed teabags wet'!$K$2:$K$2000,MATCH(L439,'Ashed teabags wet'!$A$2:$A$2000,0)),"")</f>
        <v>6.7454455933042237</v>
      </c>
      <c r="T439" s="223">
        <f t="shared" si="32"/>
        <v>1.1493623830625255</v>
      </c>
      <c r="U439" s="224">
        <f>'WetLitterbags placem_collection'!E220</f>
        <v>42769</v>
      </c>
      <c r="V439" s="224">
        <f>IF('WetLitterbags placem_collection'!G220="","",'WetLitterbags placem_collection'!G220)</f>
        <v>42814</v>
      </c>
      <c r="W439" s="225">
        <f t="shared" si="30"/>
        <v>45</v>
      </c>
      <c r="X439" s="223">
        <f t="shared" si="33"/>
        <v>0.74670000000000014</v>
      </c>
      <c r="Y439" s="223">
        <f t="shared" si="34"/>
        <v>0.7206893746608356</v>
      </c>
      <c r="Z439">
        <f>IFERROR(INDEX([1]Rainfall_Wet!$O$2:$O$217,MATCH(C439, [1]Rainfall_Wet!$A$2:$A$217,0)),"")</f>
        <v>175.377105089</v>
      </c>
      <c r="AA439" s="226">
        <v>21.072635135135137</v>
      </c>
      <c r="AB439" s="226">
        <v>7.3057432432432412</v>
      </c>
      <c r="AC439" s="226">
        <v>71.621621621621614</v>
      </c>
      <c r="AD439" s="226" t="s">
        <v>2651</v>
      </c>
      <c r="AE439" s="226">
        <v>1.4512074913750617</v>
      </c>
      <c r="AF439">
        <f>IF('WetLitterbags placem_collection'!AB220="","",'WetLitterbags placem_collection'!AB220)</f>
        <v>5.13</v>
      </c>
      <c r="AG439">
        <f>IF('WetLitterbags placem_collection'!Z220="","",'WetLitterbags placem_collection'!Z220)</f>
        <v>5.13</v>
      </c>
      <c r="AH439" s="236" t="str">
        <f>IF('WetLitterbags placem_collection'!AA220="","",'WetLitterbags placem_collection'!AA220)</f>
        <v>O</v>
      </c>
      <c r="AI439">
        <f>IF('WetLitterbags placem_collection'!AC220="","",'WetLitterbags placem_collection'!AC220)</f>
        <v>1</v>
      </c>
      <c r="AJ439" s="233">
        <f>AVERAGE('WetLitterbags placem_collection'!S220,'WetLitterbags placem_collection'!U220)</f>
        <v>22.1</v>
      </c>
      <c r="AK439">
        <f>AVERAGE('WetLitterbags placem_collection'!R220,'WetLitterbags placem_collection'!T220)</f>
        <v>24.5</v>
      </c>
      <c r="AL439">
        <v>-2.4396450349999999</v>
      </c>
      <c r="AM439">
        <v>34.83836599</v>
      </c>
      <c r="AN439" t="str">
        <f>IF(ISNUMBER(SEARCH("C", 'WetLitterbags placem_collection'!$W220)),"YES","NO")</f>
        <v>NO</v>
      </c>
      <c r="AO439" t="str">
        <f>IF(ISNUMBER(SEARCH("H", 'WetLitterbags placem_collection'!$W220)),"YES","NO")</f>
        <v>NO</v>
      </c>
      <c r="AP439" t="str">
        <f>IF(ISNUMBER(SEARCH("R", 'WetLitterbags placem_collection'!$W220)),"YES","NO")</f>
        <v>YES</v>
      </c>
    </row>
    <row r="440" spans="1:42" ht="15" customHeight="1">
      <c r="A440" t="s">
        <v>2490</v>
      </c>
      <c r="B440" s="248" t="s">
        <v>2454</v>
      </c>
      <c r="C440" s="253">
        <f>'Dry_Litterbag Placem_Collection'!A221</f>
        <v>219</v>
      </c>
      <c r="D440" s="253" t="str">
        <f>'Dry_Litterbag Placem_Collection'!B221</f>
        <v>Seronera</v>
      </c>
      <c r="E440" s="253" t="s">
        <v>3249</v>
      </c>
      <c r="F440" s="253" t="s">
        <v>2423</v>
      </c>
      <c r="G440" s="253">
        <v>3</v>
      </c>
      <c r="H440" s="253" t="s">
        <v>3188</v>
      </c>
      <c r="I440" s="254" t="str">
        <f>'Dry_Litterbag Placem_Collection'!C221</f>
        <v>Local3_CG3</v>
      </c>
      <c r="J440" s="255" t="s">
        <v>2525</v>
      </c>
      <c r="K440" s="262" t="s">
        <v>298</v>
      </c>
      <c r="L440" s="221" t="str">
        <f>'WetLitterbags placem_collection'!M221</f>
        <v>R176</v>
      </c>
      <c r="M440" s="223">
        <f>IFERROR(INDEX('Green_rooibos initial weight'!$C$5:$C$2000,MATCH(L440, 'Green_rooibos initial weight'!$A$5:$A$2000,0)),"")</f>
        <v>2.2160000000000002</v>
      </c>
      <c r="N440" s="223">
        <f>IFERROR(M440-(TBIcalc!$H$9+TBIcalc!$H$10),"")</f>
        <v>1.9662000000000002</v>
      </c>
      <c r="O440" s="378">
        <f>AVERAGE(Ashed_controlls!$K$2:$K$11)</f>
        <v>5.5147656768714146</v>
      </c>
      <c r="P440" s="223">
        <f t="shared" si="31"/>
        <v>1.8577686772613544</v>
      </c>
      <c r="Q440" s="223">
        <f>IFERROR(INDEX('Both teabags AfterWet'!$C$3:$C$840,MATCH(L440,'Both teabags AfterWet'!$A$3:$A$840,0)),"")</f>
        <v>1.4293</v>
      </c>
      <c r="R440" s="223">
        <f>IFERROR(IF(Q440&gt;0,Q440-(TBIcalc!$H$9),""),"")</f>
        <v>1.2786999999999999</v>
      </c>
      <c r="S440" s="223">
        <f>IFERROR(INDEX('Ashed teabags wet'!$K$2:$K$2000,MATCH(L440,'Ashed teabags wet'!$A$2:$A$2000,0)),"")</f>
        <v>6.3788027477918092</v>
      </c>
      <c r="T440" s="223">
        <f t="shared" si="32"/>
        <v>1.197134249263986</v>
      </c>
      <c r="U440" s="224">
        <f>'WetLitterbags placem_collection'!E221</f>
        <v>42769</v>
      </c>
      <c r="V440" s="224">
        <f>IF('WetLitterbags placem_collection'!G221="","",'WetLitterbags placem_collection'!G221)</f>
        <v>42813</v>
      </c>
      <c r="W440" s="225">
        <f t="shared" si="30"/>
        <v>44</v>
      </c>
      <c r="X440" s="223">
        <f t="shared" si="33"/>
        <v>0.68750000000000022</v>
      </c>
      <c r="Y440" s="223">
        <f t="shared" si="34"/>
        <v>0.66063442799736838</v>
      </c>
      <c r="Z440">
        <f>IFERROR(INDEX([1]Rainfall_Wet!$O$2:$O$217,MATCH(C440, [1]Rainfall_Wet!$A$2:$A$217,0)),"")</f>
        <v>175.054685654</v>
      </c>
      <c r="AA440" s="226">
        <v>21.96</v>
      </c>
      <c r="AB440" s="226">
        <v>4.9199999999999982</v>
      </c>
      <c r="AC440" s="226">
        <v>73.12</v>
      </c>
      <c r="AD440" s="226" t="s">
        <v>2651</v>
      </c>
      <c r="AE440" s="226">
        <v>1.4012321340561851</v>
      </c>
      <c r="AF440">
        <f>IF('WetLitterbags placem_collection'!AB221="","",'WetLitterbags placem_collection'!AB221)</f>
        <v>7.9</v>
      </c>
      <c r="AG440">
        <f>IF('WetLitterbags placem_collection'!Z221="","",'WetLitterbags placem_collection'!Z221)</f>
        <v>7.9</v>
      </c>
      <c r="AH440" s="236" t="str">
        <f>IF('WetLitterbags placem_collection'!AA221="","",'WetLitterbags placem_collection'!AA221)</f>
        <v>O</v>
      </c>
      <c r="AI440">
        <f>IF('WetLitterbags placem_collection'!AC221="","",'WetLitterbags placem_collection'!AC221)</f>
        <v>1</v>
      </c>
      <c r="AJ440" s="233">
        <f>AVERAGE('WetLitterbags placem_collection'!S221,'WetLitterbags placem_collection'!U221)</f>
        <v>21.75</v>
      </c>
      <c r="AK440">
        <f>AVERAGE('WetLitterbags placem_collection'!R221,'WetLitterbags placem_collection'!T221)</f>
        <v>27.55</v>
      </c>
      <c r="AL440">
        <v>-2.4395990190000001</v>
      </c>
      <c r="AM440">
        <v>34.838418959999998</v>
      </c>
      <c r="AN440" t="str">
        <f>IF(ISNUMBER(SEARCH("C", 'WetLitterbags placem_collection'!$W221)),"YES","NO")</f>
        <v>NO</v>
      </c>
      <c r="AO440" t="str">
        <f>IF(ISNUMBER(SEARCH("H", 'WetLitterbags placem_collection'!$W221)),"YES","NO")</f>
        <v>NO</v>
      </c>
      <c r="AP440" t="str">
        <f>IF(ISNUMBER(SEARCH("R", 'WetLitterbags placem_collection'!$W221)),"YES","NO")</f>
        <v>YES</v>
      </c>
    </row>
    <row r="441" spans="1:42" ht="15" customHeight="1">
      <c r="A441" t="s">
        <v>2490</v>
      </c>
      <c r="B441" s="248" t="s">
        <v>2454</v>
      </c>
      <c r="C441" s="253">
        <f>'Dry_Litterbag Placem_Collection'!A222</f>
        <v>220</v>
      </c>
      <c r="D441" s="253" t="str">
        <f>'Dry_Litterbag Placem_Collection'!B222</f>
        <v>Seronera</v>
      </c>
      <c r="E441" s="253" t="s">
        <v>3249</v>
      </c>
      <c r="F441" s="253" t="s">
        <v>2423</v>
      </c>
      <c r="G441" s="253">
        <v>4</v>
      </c>
      <c r="H441" s="253" t="s">
        <v>3189</v>
      </c>
      <c r="I441" s="254" t="str">
        <f>'Dry_Litterbag Placem_Collection'!C222</f>
        <v>Local4_CG4</v>
      </c>
      <c r="J441" s="255" t="s">
        <v>2525</v>
      </c>
      <c r="K441" s="262" t="s">
        <v>298</v>
      </c>
      <c r="L441" s="221" t="str">
        <f>'WetLitterbags placem_collection'!M222</f>
        <v>R250</v>
      </c>
      <c r="M441" s="223">
        <f>IFERROR(INDEX('Green_rooibos initial weight'!$C$5:$C$2000,MATCH(L441, 'Green_rooibos initial weight'!$A$5:$A$2000,0)),"")</f>
        <v>2.2639999999999998</v>
      </c>
      <c r="N441" s="223">
        <f>IFERROR(M441-(TBIcalc!$H$9+TBIcalc!$H$10),"")</f>
        <v>2.0141999999999998</v>
      </c>
      <c r="O441" s="378">
        <f>AVERAGE(Ashed_controlls!$K$2:$K$11)</f>
        <v>5.5147656768714146</v>
      </c>
      <c r="P441" s="223">
        <f t="shared" si="31"/>
        <v>1.9031215897364557</v>
      </c>
      <c r="Q441" s="223">
        <f>IFERROR(INDEX('Both teabags AfterWet'!$C$3:$C$840,MATCH(L441,'Both teabags AfterWet'!$A$3:$A$840,0)),"")</f>
        <v>1.5303</v>
      </c>
      <c r="R441" s="223">
        <f>IFERROR(IF(Q441&gt;0,Q441-(TBIcalc!$H$9),""),"")</f>
        <v>1.3796999999999999</v>
      </c>
      <c r="S441" s="223">
        <f>IFERROR(INDEX('Ashed teabags wet'!$K$2:$K$2000,MATCH(L441,'Ashed teabags wet'!$A$2:$A$2000,0)),"")</f>
        <v>5.6310679611650896</v>
      </c>
      <c r="T441" s="223">
        <f t="shared" si="32"/>
        <v>1.3020081553398053</v>
      </c>
      <c r="U441" s="224">
        <f>'WetLitterbags placem_collection'!E222</f>
        <v>42769</v>
      </c>
      <c r="V441" s="224">
        <f>IF('WetLitterbags placem_collection'!G222="","",'WetLitterbags placem_collection'!G222)</f>
        <v>42813</v>
      </c>
      <c r="W441" s="225">
        <f t="shared" si="30"/>
        <v>44</v>
      </c>
      <c r="X441" s="223">
        <f t="shared" si="33"/>
        <v>0.63449999999999984</v>
      </c>
      <c r="Y441" s="223">
        <f t="shared" si="34"/>
        <v>0.60111343439665044</v>
      </c>
      <c r="Z441">
        <f>IFERROR(INDEX([1]Rainfall_Wet!$O$2:$O$217,MATCH(C441, [1]Rainfall_Wet!$A$2:$A$217,0)),"")</f>
        <v>175.054685654</v>
      </c>
      <c r="AA441" s="226">
        <v>15.960000000000003</v>
      </c>
      <c r="AB441" s="226">
        <v>6.9199999999999982</v>
      </c>
      <c r="AC441" s="226">
        <v>77.11999999999999</v>
      </c>
      <c r="AD441" s="226" t="s">
        <v>2652</v>
      </c>
      <c r="AE441" s="226">
        <v>0.60547067520946207</v>
      </c>
      <c r="AF441">
        <f>IF('WetLitterbags placem_collection'!AB222="","",'WetLitterbags placem_collection'!AB222)</f>
        <v>15.2</v>
      </c>
      <c r="AG441">
        <f>IF('WetLitterbags placem_collection'!Z222="","",'WetLitterbags placem_collection'!Z222)</f>
        <v>12.2</v>
      </c>
      <c r="AH441" s="236" t="str">
        <f>IF('WetLitterbags placem_collection'!AA222="","",'WetLitterbags placem_collection'!AA222)</f>
        <v>O</v>
      </c>
      <c r="AI441">
        <f>IF('WetLitterbags placem_collection'!AC222="","",'WetLitterbags placem_collection'!AC222)</f>
        <v>1</v>
      </c>
      <c r="AJ441" s="233">
        <f>AVERAGE('WetLitterbags placem_collection'!S222,'WetLitterbags placem_collection'!U222)</f>
        <v>20.85</v>
      </c>
      <c r="AK441">
        <f>AVERAGE('WetLitterbags placem_collection'!R222,'WetLitterbags placem_collection'!T222)</f>
        <v>27.950000000000003</v>
      </c>
      <c r="AL441">
        <v>-2.4396949910000001</v>
      </c>
      <c r="AM441">
        <v>34.838574029999997</v>
      </c>
      <c r="AN441" t="str">
        <f>IF(ISNUMBER(SEARCH("C", 'WetLitterbags placem_collection'!$W222)),"YES","NO")</f>
        <v>NO</v>
      </c>
      <c r="AO441" t="str">
        <f>IF(ISNUMBER(SEARCH("H", 'WetLitterbags placem_collection'!$W222)),"YES","NO")</f>
        <v>YES</v>
      </c>
      <c r="AP441" t="str">
        <f>IF(ISNUMBER(SEARCH("R", 'WetLitterbags placem_collection'!$W222)),"YES","NO")</f>
        <v>NO</v>
      </c>
    </row>
    <row r="442" spans="1:42" ht="15" customHeight="1">
      <c r="A442" t="s">
        <v>3248</v>
      </c>
      <c r="B442" s="248" t="s">
        <v>2454</v>
      </c>
      <c r="C442" s="253">
        <f>'Dry_Litterbag Placem_Collection'!A3</f>
        <v>1</v>
      </c>
      <c r="D442" s="253" t="str">
        <f>'Dry_Litterbag Placem_Collection'!B3</f>
        <v>Makao</v>
      </c>
      <c r="E442" s="253" t="s">
        <v>2643</v>
      </c>
      <c r="F442" s="253" t="s">
        <v>2644</v>
      </c>
      <c r="G442" s="253">
        <v>1</v>
      </c>
      <c r="H442" s="253" t="s">
        <v>3099</v>
      </c>
      <c r="I442" s="254" t="str">
        <f>'Dry_Litterbag Placem_Collection'!C3</f>
        <v>Dry_Ag1_T1</v>
      </c>
      <c r="J442" s="263" t="s">
        <v>2932</v>
      </c>
      <c r="K442" s="256" t="s">
        <v>1147</v>
      </c>
      <c r="L442" s="221" t="str">
        <f>'WetLitterbags placem_collection'!O3</f>
        <v>G752</v>
      </c>
      <c r="M442" s="223">
        <f>IFERROR(INDEX('Green_rooibos initial weight'!$C$5:$C$2000,MATCH(L442, 'Green_rooibos initial weight'!$A$5:$A$2000,0)),"")</f>
        <v>2.15</v>
      </c>
      <c r="N442" s="223">
        <f>IFERROR(M442-(TBIcalc!$H$9+TBIcalc!$H$10),"")</f>
        <v>1.9001999999999999</v>
      </c>
      <c r="O442" s="378">
        <f>AVERAGE(Ashed_controlls!$K$2:$K$11)</f>
        <v>5.5147656768714146</v>
      </c>
      <c r="P442" s="223">
        <f t="shared" si="31"/>
        <v>1.7954084226080893</v>
      </c>
      <c r="Q442" s="223">
        <f>IFERROR(INDEX('Both teabags AfterWet'!$C$3:$C$840,MATCH(L442,'Both teabags AfterWet'!$A$3:$A$840,0)),"")</f>
        <v>0.47</v>
      </c>
      <c r="R442" s="223">
        <f>IFERROR(IF(Q442&gt;0,Q442-(TBIcalc!$H$9),""),"")</f>
        <v>0.31939999999999996</v>
      </c>
      <c r="S442" s="223">
        <f>IFERROR(INDEX('Ashed teabags wet'!$K$2:$K$2000,MATCH(L442,'Ashed teabags wet'!$A$2:$A$2000,0)),"")</f>
        <v>15.221674876847116</v>
      </c>
      <c r="T442" s="223">
        <f t="shared" si="32"/>
        <v>0.27078197044335028</v>
      </c>
      <c r="U442" s="224">
        <f>'WetLitterbags placem_collection'!E3</f>
        <v>42766</v>
      </c>
      <c r="V442" s="224">
        <f>IF('WetLitterbags placem_collection'!G3="","",'WetLitterbags placem_collection'!G3)</f>
        <v>42818</v>
      </c>
      <c r="W442" s="225">
        <f t="shared" si="30"/>
        <v>52</v>
      </c>
      <c r="X442" s="223">
        <f t="shared" si="33"/>
        <v>1.5808</v>
      </c>
      <c r="Y442" s="223">
        <f t="shared" si="34"/>
        <v>1.524626452164739</v>
      </c>
      <c r="Z442">
        <f>IFERROR(INDEX([1]Rainfall_Wet!$O$2:$O$217,MATCH(C442, [1]Rainfall_Wet!$A$2:$A$217,0)),"")</f>
        <v>194.43839254400001</v>
      </c>
      <c r="AA442" s="226">
        <v>12.565665055683967</v>
      </c>
      <c r="AB442" s="226">
        <v>0.9665896196679955</v>
      </c>
      <c r="AC442" s="226">
        <v>86.467745324648035</v>
      </c>
      <c r="AD442" s="227" t="s">
        <v>2653</v>
      </c>
      <c r="AE442" s="226">
        <v>1.0225726959093147</v>
      </c>
      <c r="AF442">
        <f>IF('WetLitterbags placem_collection'!AB3="","",'WetLitterbags placem_collection'!AB3)</f>
        <v>26.4</v>
      </c>
      <c r="AG442">
        <f>IF('WetLitterbags placem_collection'!Z3="","",'WetLitterbags placem_collection'!Z3)</f>
        <v>41</v>
      </c>
      <c r="AH442" s="236" t="str">
        <f>IF('WetLitterbags placem_collection'!AA3="","",'WetLitterbags placem_collection'!AA3)</f>
        <v>M</v>
      </c>
      <c r="AI442">
        <f>IF('WetLitterbags placem_collection'!AC3="","",'WetLitterbags placem_collection'!AC3)</f>
        <v>1</v>
      </c>
      <c r="AJ442" s="233">
        <f>AVERAGE('WetLitterbags placem_collection'!S3,'WetLitterbags placem_collection'!U3)</f>
        <v>14.75</v>
      </c>
      <c r="AK442">
        <f>AVERAGE('WetLitterbags placem_collection'!R3,'WetLitterbags placem_collection'!T3)</f>
        <v>24.7</v>
      </c>
      <c r="AL442">
        <f>INDEX([2]Coordinates!$B$2:$B$197,MATCH(I442,[2]Coordinates!$J$2:$J$197,0))</f>
        <v>-3.3978609999999998</v>
      </c>
      <c r="AM442">
        <f>INDEX([2]Coordinates!$C$2:$C$197,MATCH(I442,[2]Coordinates!$J$2:$J$197,0))</f>
        <v>34.837608000000003</v>
      </c>
      <c r="AN442" t="str">
        <f>IF(ISNUMBER(SEARCH("C", 'WetLitterbags placem_collection'!$X3)),"YES","NO")</f>
        <v>NO</v>
      </c>
      <c r="AO442" t="str">
        <f>IF(ISNUMBER(SEARCH("H", 'WetLitterbags placem_collection'!$X3)),"YES","NO")</f>
        <v>NO</v>
      </c>
      <c r="AP442" t="str">
        <f>IF(ISNUMBER(SEARCH("R", 'WetLitterbags placem_collection'!$X3)),"YES","NO")</f>
        <v>NO</v>
      </c>
    </row>
    <row r="443" spans="1:42" ht="15" customHeight="1">
      <c r="A443" t="s">
        <v>3248</v>
      </c>
      <c r="B443" s="248" t="s">
        <v>2454</v>
      </c>
      <c r="C443" s="253">
        <f>'Dry_Litterbag Placem_Collection'!A4</f>
        <v>2</v>
      </c>
      <c r="D443" s="253" t="str">
        <f>'Dry_Litterbag Placem_Collection'!B4</f>
        <v>Makao</v>
      </c>
      <c r="E443" s="253" t="s">
        <v>2643</v>
      </c>
      <c r="F443" s="253" t="s">
        <v>2644</v>
      </c>
      <c r="G443" s="253">
        <v>1</v>
      </c>
      <c r="H443" s="253" t="s">
        <v>3099</v>
      </c>
      <c r="I443" s="254" t="str">
        <f>'Dry_Litterbag Placem_Collection'!C4</f>
        <v>Dry_Ag1_T2</v>
      </c>
      <c r="J443" s="263" t="s">
        <v>2932</v>
      </c>
      <c r="K443" s="256" t="s">
        <v>1147</v>
      </c>
      <c r="L443" s="221" t="str">
        <f>'WetLitterbags placem_collection'!O4</f>
        <v>G737</v>
      </c>
      <c r="M443" s="223">
        <f>IFERROR(INDEX('Green_rooibos initial weight'!$C$5:$C$2000,MATCH(L443, 'Green_rooibos initial weight'!$A$5:$A$2000,0)),"")</f>
        <v>1.841</v>
      </c>
      <c r="N443" s="223">
        <f>IFERROR(M443-(TBIcalc!$H$9+TBIcalc!$H$10),"")</f>
        <v>1.5911999999999999</v>
      </c>
      <c r="O443" s="378">
        <f>AVERAGE(Ashed_controlls!$K$2:$K$11)</f>
        <v>5.5147656768714146</v>
      </c>
      <c r="P443" s="223">
        <f t="shared" si="31"/>
        <v>1.5034490485496219</v>
      </c>
      <c r="Q443" s="223">
        <f>IFERROR(INDEX('Both teabags AfterWet'!$C$3:$C$840,MATCH(L443,'Both teabags AfterWet'!$A$3:$A$840,0)),"")</f>
        <v>0.57869999999999999</v>
      </c>
      <c r="R443" s="223">
        <f>IFERROR(IF(Q443&gt;0,Q443-(TBIcalc!$H$9),""),"")</f>
        <v>0.42809999999999998</v>
      </c>
      <c r="S443" s="223">
        <f>IFERROR(INDEX('Ashed teabags wet'!$K$2:$K$2000,MATCH(L443,'Ashed teabags wet'!$A$2:$A$2000,0)),"")</f>
        <v>8.1337325349297291</v>
      </c>
      <c r="T443" s="223">
        <f t="shared" si="32"/>
        <v>0.39327949101796583</v>
      </c>
      <c r="U443" s="224">
        <f>'WetLitterbags placem_collection'!E4</f>
        <v>42766</v>
      </c>
      <c r="V443" s="224">
        <f>IF('WetLitterbags placem_collection'!G4="","",'WetLitterbags placem_collection'!G4)</f>
        <v>42818</v>
      </c>
      <c r="W443" s="225">
        <f t="shared" si="30"/>
        <v>52</v>
      </c>
      <c r="X443" s="223">
        <f t="shared" si="33"/>
        <v>1.1631</v>
      </c>
      <c r="Y443" s="223">
        <f t="shared" si="34"/>
        <v>1.1101695575316561</v>
      </c>
      <c r="Z443">
        <f>IFERROR(INDEX([1]Rainfall_Wet!$O$2:$O$217,MATCH(C443, [1]Rainfall_Wet!$A$2:$A$217,0)),"")</f>
        <v>194.43839254400001</v>
      </c>
      <c r="AA443" s="226">
        <v>12.565665055683967</v>
      </c>
      <c r="AB443" s="226">
        <v>0.9665896196679955</v>
      </c>
      <c r="AC443" s="226">
        <v>86.467745324648035</v>
      </c>
      <c r="AD443" s="227" t="s">
        <v>2653</v>
      </c>
      <c r="AE443" s="226">
        <v>2.02257269590931</v>
      </c>
      <c r="AF443">
        <f>IF('WetLitterbags placem_collection'!AB4="","",'WetLitterbags placem_collection'!AB4)</f>
        <v>22.4</v>
      </c>
      <c r="AG443">
        <f>IF('WetLitterbags placem_collection'!Z4="","",'WetLitterbags placem_collection'!Z4)</f>
        <v>39.799999999999997</v>
      </c>
      <c r="AH443" s="236" t="str">
        <f>IF('WetLitterbags placem_collection'!AA4="","",'WetLitterbags placem_collection'!AA4)</f>
        <v>M</v>
      </c>
      <c r="AI443">
        <f>IF('WetLitterbags placem_collection'!AC4="","",'WetLitterbags placem_collection'!AC4)</f>
        <v>1</v>
      </c>
      <c r="AJ443" s="233">
        <f>AVERAGE('WetLitterbags placem_collection'!S4,'WetLitterbags placem_collection'!U4)</f>
        <v>13.1</v>
      </c>
      <c r="AK443">
        <f>AVERAGE('WetLitterbags placem_collection'!R4,'WetLitterbags placem_collection'!T4)</f>
        <v>24.9</v>
      </c>
      <c r="AL443">
        <f>INDEX([2]Coordinates!$B$2:$B$197,MATCH(I443,[2]Coordinates!$J$2:$J$197,0))</f>
        <v>-3.397879042</v>
      </c>
      <c r="AM443">
        <f>INDEX([2]Coordinates!$C$2:$C$197,MATCH(I443,[2]Coordinates!$J$2:$J$197,0))</f>
        <v>34.837536010000001</v>
      </c>
      <c r="AN443" t="str">
        <f>IF(ISNUMBER(SEARCH("C", 'WetLitterbags placem_collection'!$X4)),"YES","NO")</f>
        <v>NO</v>
      </c>
      <c r="AO443" t="str">
        <f>IF(ISNUMBER(SEARCH("H", 'WetLitterbags placem_collection'!$X4)),"YES","NO")</f>
        <v>NO</v>
      </c>
      <c r="AP443" t="str">
        <f>IF(ISNUMBER(SEARCH("R", 'WetLitterbags placem_collection'!$X4)),"YES","NO")</f>
        <v>NO</v>
      </c>
    </row>
    <row r="444" spans="1:42" ht="15" customHeight="1">
      <c r="A444" t="s">
        <v>3248</v>
      </c>
      <c r="B444" s="248" t="s">
        <v>2454</v>
      </c>
      <c r="C444" s="253">
        <f>'Dry_Litterbag Placem_Collection'!A5</f>
        <v>3</v>
      </c>
      <c r="D444" s="253" t="str">
        <f>'Dry_Litterbag Placem_Collection'!B5</f>
        <v>Makao</v>
      </c>
      <c r="E444" s="253" t="s">
        <v>2643</v>
      </c>
      <c r="F444" s="253" t="s">
        <v>2644</v>
      </c>
      <c r="G444" s="253">
        <v>1</v>
      </c>
      <c r="H444" s="253" t="s">
        <v>3099</v>
      </c>
      <c r="I444" s="254" t="str">
        <f>'Dry_Litterbag Placem_Collection'!C5</f>
        <v>Dry_Ag1_T3</v>
      </c>
      <c r="J444" s="263" t="s">
        <v>2932</v>
      </c>
      <c r="K444" s="256" t="s">
        <v>1147</v>
      </c>
      <c r="L444" s="221" t="str">
        <f>'WetLitterbags placem_collection'!O5</f>
        <v>G661</v>
      </c>
      <c r="M444" s="223">
        <f>IFERROR(INDEX('Green_rooibos initial weight'!$C$5:$C$2000,MATCH(L444, 'Green_rooibos initial weight'!$A$5:$A$2000,0)),"")</f>
        <v>2.0630000000000002</v>
      </c>
      <c r="N444" s="223">
        <f>IFERROR(M444-(TBIcalc!$H$9+TBIcalc!$H$10),"")</f>
        <v>1.8132000000000001</v>
      </c>
      <c r="O444" s="378">
        <f>AVERAGE(Ashed_controlls!$K$2:$K$11)</f>
        <v>5.5147656768714146</v>
      </c>
      <c r="P444" s="223">
        <f t="shared" si="31"/>
        <v>1.7132062687469676</v>
      </c>
      <c r="Q444" s="223" t="str">
        <f>IFERROR(INDEX('Both teabags AfterWet'!$C$3:$C$840,MATCH(L444,'Both teabags AfterWet'!$A$3:$A$840,0)),"")</f>
        <v/>
      </c>
      <c r="R444" s="223" t="str">
        <f>IFERROR(IF(Q444&gt;0,Q444-(TBIcalc!$H$9),""),"")</f>
        <v/>
      </c>
      <c r="S444" s="223" t="str">
        <f>IFERROR(INDEX('Ashed teabags wet'!$K$2:$K$2000,MATCH(L444,'Ashed teabags wet'!$A$2:$A$2000,0)),"")</f>
        <v/>
      </c>
      <c r="T444" s="223" t="str">
        <f t="shared" si="32"/>
        <v/>
      </c>
      <c r="U444" s="224">
        <f>'WetLitterbags placem_collection'!E5</f>
        <v>42766</v>
      </c>
      <c r="V444" s="224">
        <f>IF('WetLitterbags placem_collection'!G5="","",'WetLitterbags placem_collection'!G5)</f>
        <v>42819</v>
      </c>
      <c r="W444" s="225">
        <f t="shared" si="30"/>
        <v>53</v>
      </c>
      <c r="X444" s="223" t="str">
        <f t="shared" si="33"/>
        <v/>
      </c>
      <c r="Y444" s="223" t="str">
        <f t="shared" si="34"/>
        <v/>
      </c>
      <c r="Z444" t="str">
        <f>IFERROR(INDEX([1]Rainfall_Wet!$O$2:$O$217,MATCH(C444, [1]Rainfall_Wet!$A$2:$A$217,0)),"")</f>
        <v/>
      </c>
      <c r="AA444" s="226">
        <v>12.565665055683967</v>
      </c>
      <c r="AB444" s="226">
        <v>0.9665896196679955</v>
      </c>
      <c r="AC444" s="226">
        <v>86.467745324648035</v>
      </c>
      <c r="AD444" s="227" t="s">
        <v>2653</v>
      </c>
      <c r="AE444" s="226">
        <v>3.02257269590931</v>
      </c>
      <c r="AF444" t="str">
        <f>IF('WetLitterbags placem_collection'!AB5="","",'WetLitterbags placem_collection'!AB5)</f>
        <v/>
      </c>
      <c r="AG444" t="str">
        <f>IF('WetLitterbags placem_collection'!Z5="","",'WetLitterbags placem_collection'!Z5)</f>
        <v/>
      </c>
      <c r="AH444" s="236" t="str">
        <f>IF('WetLitterbags placem_collection'!AA5="","",'WetLitterbags placem_collection'!AA5)</f>
        <v/>
      </c>
      <c r="AI444" t="str">
        <f>IF('WetLitterbags placem_collection'!AC5="","",'WetLitterbags placem_collection'!AC5)</f>
        <v/>
      </c>
      <c r="AJ444" s="233">
        <f>AVERAGE('WetLitterbags placem_collection'!S5,'WetLitterbags placem_collection'!U5)</f>
        <v>14.649999999999999</v>
      </c>
      <c r="AK444">
        <f>AVERAGE('WetLitterbags placem_collection'!R5,'WetLitterbags placem_collection'!T5)</f>
        <v>24.7</v>
      </c>
      <c r="AL444">
        <f>INDEX([2]Coordinates!$B$2:$B$197,MATCH(I444,[2]Coordinates!$J$2:$J$197,0))</f>
        <v>-3.3978739999999998</v>
      </c>
      <c r="AM444">
        <f>INDEX([2]Coordinates!$C$2:$C$197,MATCH(I444,[2]Coordinates!$J$2:$J$197,0))</f>
        <v>34.837578999999998</v>
      </c>
      <c r="AN444" t="str">
        <f>IF(ISNUMBER(SEARCH("C", 'WetLitterbags placem_collection'!$X5)),"YES","NO")</f>
        <v>NO</v>
      </c>
      <c r="AO444" t="str">
        <f>IF(ISNUMBER(SEARCH("H", 'WetLitterbags placem_collection'!$X5)),"YES","NO")</f>
        <v>NO</v>
      </c>
      <c r="AP444" t="str">
        <f>IF(ISNUMBER(SEARCH("R", 'WetLitterbags placem_collection'!$X5)),"YES","NO")</f>
        <v>NO</v>
      </c>
    </row>
    <row r="445" spans="1:42" ht="15" customHeight="1">
      <c r="A445" t="s">
        <v>3248</v>
      </c>
      <c r="B445" s="248" t="s">
        <v>2454</v>
      </c>
      <c r="C445" s="253">
        <f>'Dry_Litterbag Placem_Collection'!A6</f>
        <v>4</v>
      </c>
      <c r="D445" s="253" t="str">
        <f>'Dry_Litterbag Placem_Collection'!B6</f>
        <v>Makao</v>
      </c>
      <c r="E445" s="253" t="s">
        <v>2643</v>
      </c>
      <c r="F445" s="253" t="s">
        <v>2644</v>
      </c>
      <c r="G445" s="253">
        <v>1</v>
      </c>
      <c r="H445" s="253" t="s">
        <v>3099</v>
      </c>
      <c r="I445" s="254" t="str">
        <f>'Dry_Litterbag Placem_Collection'!C6</f>
        <v>Dry_Ag1_T4</v>
      </c>
      <c r="J445" s="263" t="s">
        <v>2932</v>
      </c>
      <c r="K445" s="256" t="s">
        <v>1147</v>
      </c>
      <c r="L445" s="221" t="str">
        <f>'WetLitterbags placem_collection'!O6</f>
        <v>G532</v>
      </c>
      <c r="M445" s="223">
        <f>IFERROR(INDEX('Green_rooibos initial weight'!$C$5:$C$2000,MATCH(L445, 'Green_rooibos initial weight'!$A$5:$A$2000,0)),"")</f>
        <v>2.036</v>
      </c>
      <c r="N445" s="223">
        <f>IFERROR(M445-(TBIcalc!$H$9+TBIcalc!$H$10),"")</f>
        <v>1.7862</v>
      </c>
      <c r="O445" s="378">
        <f>AVERAGE(Ashed_controlls!$K$2:$K$11)</f>
        <v>5.5147656768714146</v>
      </c>
      <c r="P445" s="223">
        <f t="shared" si="31"/>
        <v>1.6876952554797229</v>
      </c>
      <c r="Q445" s="223">
        <f>IFERROR(INDEX('Both teabags AfterWet'!$C$3:$C$840,MATCH(L445,'Both teabags AfterWet'!$A$3:$A$840,0)),"")</f>
        <v>0.55969999999999998</v>
      </c>
      <c r="R445" s="223">
        <f>IFERROR(IF(Q445&gt;0,Q445-(TBIcalc!$H$9),""),"")</f>
        <v>0.40909999999999996</v>
      </c>
      <c r="S445" s="223">
        <f>IFERROR(INDEX('Ashed teabags wet'!$K$2:$K$2000,MATCH(L445,'Ashed teabags wet'!$A$2:$A$2000,0)),"")</f>
        <v>9.5283926852740137</v>
      </c>
      <c r="T445" s="223">
        <f t="shared" si="32"/>
        <v>0.37011934552454395</v>
      </c>
      <c r="U445" s="224">
        <f>'WetLitterbags placem_collection'!E6</f>
        <v>42766</v>
      </c>
      <c r="V445" s="224">
        <f>IF('WetLitterbags placem_collection'!G6="","",'WetLitterbags placem_collection'!G6)</f>
        <v>42818</v>
      </c>
      <c r="W445" s="225">
        <f t="shared" si="30"/>
        <v>52</v>
      </c>
      <c r="X445" s="223">
        <f t="shared" si="33"/>
        <v>1.3771</v>
      </c>
      <c r="Y445" s="223">
        <f t="shared" si="34"/>
        <v>1.3175759099551789</v>
      </c>
      <c r="Z445">
        <f>IFERROR(INDEX([1]Rainfall_Wet!$O$2:$O$217,MATCH(C445, [1]Rainfall_Wet!$A$2:$A$217,0)),"")</f>
        <v>194.43839254400001</v>
      </c>
      <c r="AA445" s="226">
        <v>12.565665055683967</v>
      </c>
      <c r="AB445" s="226">
        <v>0.9665896196679955</v>
      </c>
      <c r="AC445" s="226">
        <v>86.467745324648035</v>
      </c>
      <c r="AD445" s="227" t="s">
        <v>2653</v>
      </c>
      <c r="AE445" s="226">
        <v>4.02257269590931</v>
      </c>
      <c r="AF445" t="str">
        <f>IF('WetLitterbags placem_collection'!AB6="","",'WetLitterbags placem_collection'!AB6)</f>
        <v/>
      </c>
      <c r="AG445" t="str">
        <f>IF('WetLitterbags placem_collection'!Z6="","",'WetLitterbags placem_collection'!Z6)</f>
        <v/>
      </c>
      <c r="AH445" s="236" t="str">
        <f>IF('WetLitterbags placem_collection'!AA6="","",'WetLitterbags placem_collection'!AA6)</f>
        <v/>
      </c>
      <c r="AI445" t="str">
        <f>IF('WetLitterbags placem_collection'!AC6="","",'WetLitterbags placem_collection'!AC6)</f>
        <v/>
      </c>
      <c r="AJ445" s="233">
        <f>AVERAGE('WetLitterbags placem_collection'!S6,'WetLitterbags placem_collection'!U6)</f>
        <v>17.399999999999999</v>
      </c>
      <c r="AK445">
        <f>AVERAGE('WetLitterbags placem_collection'!R6,'WetLitterbags placem_collection'!T6)</f>
        <v>25.549999999999997</v>
      </c>
      <c r="AL445">
        <f>INDEX([2]Coordinates!$B$2:$B$197,MATCH(I445,[2]Coordinates!$J$2:$J$197,0))</f>
        <v>-3.3977780399999999</v>
      </c>
      <c r="AM445">
        <f>INDEX([2]Coordinates!$C$2:$C$197,MATCH(I445,[2]Coordinates!$J$2:$J$197,0))</f>
        <v>34.83751204</v>
      </c>
      <c r="AN445" t="str">
        <f>IF(ISNUMBER(SEARCH("C", 'WetLitterbags placem_collection'!$X6)),"YES","NO")</f>
        <v>NO</v>
      </c>
      <c r="AO445" t="str">
        <f>IF(ISNUMBER(SEARCH("H", 'WetLitterbags placem_collection'!$X6)),"YES","NO")</f>
        <v>NO</v>
      </c>
      <c r="AP445" t="str">
        <f>IF(ISNUMBER(SEARCH("R", 'WetLitterbags placem_collection'!$X6)),"YES","NO")</f>
        <v>NO</v>
      </c>
    </row>
    <row r="446" spans="1:42" ht="15" customHeight="1">
      <c r="A446" t="s">
        <v>3248</v>
      </c>
      <c r="B446" s="248" t="s">
        <v>2454</v>
      </c>
      <c r="C446" s="253">
        <f>'Dry_Litterbag Placem_Collection'!A7</f>
        <v>5</v>
      </c>
      <c r="D446" s="253" t="str">
        <f>'Dry_Litterbag Placem_Collection'!B7</f>
        <v>Makao</v>
      </c>
      <c r="E446" s="253" t="s">
        <v>2643</v>
      </c>
      <c r="F446" s="253" t="s">
        <v>2644</v>
      </c>
      <c r="G446" s="253">
        <v>1</v>
      </c>
      <c r="H446" s="253" t="s">
        <v>3099</v>
      </c>
      <c r="I446" s="254" t="str">
        <f>'Dry_Litterbag Placem_Collection'!C7</f>
        <v>Dry_Ag1_T5</v>
      </c>
      <c r="J446" s="263" t="s">
        <v>2932</v>
      </c>
      <c r="K446" s="256" t="s">
        <v>1147</v>
      </c>
      <c r="L446" s="221" t="str">
        <f>'WetLitterbags placem_collection'!O7</f>
        <v>G577</v>
      </c>
      <c r="M446" s="223">
        <f>IFERROR(INDEX('Green_rooibos initial weight'!$C$5:$C$2000,MATCH(L446, 'Green_rooibos initial weight'!$A$5:$A$2000,0)),"")</f>
        <v>1.9830000000000001</v>
      </c>
      <c r="N446" s="223">
        <f>IFERROR(M446-(TBIcalc!$H$9+TBIcalc!$H$10),"")</f>
        <v>1.7332000000000001</v>
      </c>
      <c r="O446" s="378">
        <f>AVERAGE(Ashed_controlls!$K$2:$K$11)</f>
        <v>5.5147656768714146</v>
      </c>
      <c r="P446" s="223">
        <f t="shared" si="31"/>
        <v>1.6376180812884646</v>
      </c>
      <c r="Q446" s="223">
        <f>IFERROR(INDEX('Both teabags AfterWet'!$C$3:$C$840,MATCH(L446,'Both teabags AfterWet'!$A$3:$A$840,0)),"")</f>
        <v>0.41870000000000002</v>
      </c>
      <c r="R446" s="223">
        <f>IFERROR(IF(Q446&gt;0,Q446-(TBIcalc!$H$9),""),"")</f>
        <v>0.2681</v>
      </c>
      <c r="S446" s="223">
        <f>IFERROR(INDEX('Ashed teabags wet'!$K$2:$K$2000,MATCH(L446,'Ashed teabags wet'!$A$2:$A$2000,0)),"")</f>
        <v>14.349775784752945</v>
      </c>
      <c r="T446" s="223">
        <f t="shared" si="32"/>
        <v>0.22962825112107738</v>
      </c>
      <c r="U446" s="224">
        <f>'WetLitterbags placem_collection'!E7</f>
        <v>42766</v>
      </c>
      <c r="V446" s="224">
        <f>IF('WetLitterbags placem_collection'!G7="","",'WetLitterbags placem_collection'!G7)</f>
        <v>42818</v>
      </c>
      <c r="W446" s="225">
        <f t="shared" si="30"/>
        <v>52</v>
      </c>
      <c r="X446" s="223">
        <f t="shared" si="33"/>
        <v>1.4651000000000001</v>
      </c>
      <c r="Y446" s="223">
        <f t="shared" si="34"/>
        <v>1.4079898301673872</v>
      </c>
      <c r="Z446">
        <f>IFERROR(INDEX([1]Rainfall_Wet!$O$2:$O$217,MATCH(C446, [1]Rainfall_Wet!$A$2:$A$217,0)),"")</f>
        <v>194.43839254400001</v>
      </c>
      <c r="AA446" s="226">
        <v>12.565665055683967</v>
      </c>
      <c r="AB446" s="226">
        <v>0.9665896196679955</v>
      </c>
      <c r="AC446" s="226">
        <v>86.467745324648035</v>
      </c>
      <c r="AD446" s="227" t="s">
        <v>2653</v>
      </c>
      <c r="AE446" s="226">
        <v>5.02257269590931</v>
      </c>
      <c r="AF446">
        <f>IF('WetLitterbags placem_collection'!AB7="","",'WetLitterbags placem_collection'!AB7)</f>
        <v>28.4</v>
      </c>
      <c r="AG446">
        <f>IF('WetLitterbags placem_collection'!Z7="","",'WetLitterbags placem_collection'!Z7)</f>
        <v>36.4</v>
      </c>
      <c r="AH446" s="236" t="str">
        <f>IF('WetLitterbags placem_collection'!AA7="","",'WetLitterbags placem_collection'!AA7)</f>
        <v>M</v>
      </c>
      <c r="AI446">
        <f>IF('WetLitterbags placem_collection'!AC7="","",'WetLitterbags placem_collection'!AC7)</f>
        <v>1</v>
      </c>
      <c r="AJ446" s="233">
        <f>AVERAGE('WetLitterbags placem_collection'!S7,'WetLitterbags placem_collection'!U7)</f>
        <v>12.100000000000001</v>
      </c>
      <c r="AK446">
        <f>AVERAGE('WetLitterbags placem_collection'!R7,'WetLitterbags placem_collection'!T7)</f>
        <v>25.1</v>
      </c>
      <c r="AL446">
        <f>INDEX([2]Coordinates!$B$2:$B$197,MATCH(I446,[2]Coordinates!$J$2:$J$197,0))</f>
        <v>-3.3978020120000001</v>
      </c>
      <c r="AM446">
        <f>INDEX([2]Coordinates!$C$2:$C$197,MATCH(I446,[2]Coordinates!$J$2:$J$197,0))</f>
        <v>34.83751204</v>
      </c>
      <c r="AN446" t="str">
        <f>IF(ISNUMBER(SEARCH("C", 'WetLitterbags placem_collection'!$X7)),"YES","NO")</f>
        <v>NO</v>
      </c>
      <c r="AO446" t="str">
        <f>IF(ISNUMBER(SEARCH("H", 'WetLitterbags placem_collection'!$X7)),"YES","NO")</f>
        <v>NO</v>
      </c>
      <c r="AP446" t="str">
        <f>IF(ISNUMBER(SEARCH("R", 'WetLitterbags placem_collection'!$X7)),"YES","NO")</f>
        <v>NO</v>
      </c>
    </row>
    <row r="447" spans="1:42" ht="15" customHeight="1">
      <c r="A447" t="s">
        <v>3248</v>
      </c>
      <c r="B447" s="248" t="s">
        <v>2454</v>
      </c>
      <c r="C447" s="253">
        <f>'Dry_Litterbag Placem_Collection'!A8</f>
        <v>6</v>
      </c>
      <c r="D447" s="253" t="str">
        <f>'Dry_Litterbag Placem_Collection'!B8</f>
        <v>Makao</v>
      </c>
      <c r="E447" s="253" t="s">
        <v>2643</v>
      </c>
      <c r="F447" s="253" t="s">
        <v>2644</v>
      </c>
      <c r="G447" s="253">
        <v>1</v>
      </c>
      <c r="H447" s="253" t="s">
        <v>3099</v>
      </c>
      <c r="I447" s="254" t="str">
        <f>'Dry_Litterbag Placem_Collection'!C8</f>
        <v>Dry_Ag1_T6</v>
      </c>
      <c r="J447" s="263" t="s">
        <v>2932</v>
      </c>
      <c r="K447" s="256" t="s">
        <v>1147</v>
      </c>
      <c r="L447" s="221" t="str">
        <f>'WetLitterbags placem_collection'!O8</f>
        <v>G634</v>
      </c>
      <c r="M447" s="223">
        <f>IFERROR(INDEX('Green_rooibos initial weight'!$C$5:$C$2000,MATCH(L447, 'Green_rooibos initial weight'!$A$5:$A$2000,0)),"")</f>
        <v>2.02</v>
      </c>
      <c r="N447" s="223">
        <f>IFERROR(M447-(TBIcalc!$H$9+TBIcalc!$H$10),"")</f>
        <v>1.7702</v>
      </c>
      <c r="O447" s="378">
        <f>AVERAGE(Ashed_controlls!$K$2:$K$11)</f>
        <v>5.5147656768714146</v>
      </c>
      <c r="P447" s="223">
        <f t="shared" si="31"/>
        <v>1.6725776179880223</v>
      </c>
      <c r="Q447" s="223">
        <f>IFERROR(INDEX('Both teabags AfterWet'!$C$3:$C$840,MATCH(L447,'Both teabags AfterWet'!$A$3:$A$840,0)),"")</f>
        <v>0.60129999999999995</v>
      </c>
      <c r="R447" s="223">
        <f>IFERROR(IF(Q447&gt;0,Q447-(TBIcalc!$H$9),""),"")</f>
        <v>0.45069999999999993</v>
      </c>
      <c r="S447" s="223">
        <f>IFERROR(INDEX('Ashed teabags wet'!$K$2:$K$2000,MATCH(L447,'Ashed teabags wet'!$A$2:$A$2000,0)),"")</f>
        <v>9.6630327056488774</v>
      </c>
      <c r="T447" s="223">
        <f t="shared" si="32"/>
        <v>0.40714871159564048</v>
      </c>
      <c r="U447" s="224">
        <f>'WetLitterbags placem_collection'!E8</f>
        <v>42766</v>
      </c>
      <c r="V447" s="224">
        <f>IF('WetLitterbags placem_collection'!G8="","",'WetLitterbags placem_collection'!G8)</f>
        <v>42818</v>
      </c>
      <c r="W447" s="225">
        <f t="shared" si="30"/>
        <v>52</v>
      </c>
      <c r="X447" s="223">
        <f t="shared" si="33"/>
        <v>1.3195000000000001</v>
      </c>
      <c r="Y447" s="223">
        <f t="shared" si="34"/>
        <v>1.2654289063923818</v>
      </c>
      <c r="Z447">
        <f>IFERROR(INDEX([1]Rainfall_Wet!$O$2:$O$217,MATCH(C447, [1]Rainfall_Wet!$A$2:$A$217,0)),"")</f>
        <v>194.43839254400001</v>
      </c>
      <c r="AA447" s="226">
        <v>12.565665055683967</v>
      </c>
      <c r="AB447" s="226">
        <v>0.9665896196679955</v>
      </c>
      <c r="AC447" s="226">
        <v>86.467745324648035</v>
      </c>
      <c r="AD447" s="227" t="s">
        <v>2653</v>
      </c>
      <c r="AE447" s="226">
        <v>6.02257269590931</v>
      </c>
      <c r="AF447">
        <f>IF('WetLitterbags placem_collection'!AB8="","",'WetLitterbags placem_collection'!AB8)</f>
        <v>32.4</v>
      </c>
      <c r="AG447">
        <f>IF('WetLitterbags placem_collection'!Z8="","",'WetLitterbags placem_collection'!Z8)</f>
        <v>31</v>
      </c>
      <c r="AH447" s="236" t="str">
        <f>IF('WetLitterbags placem_collection'!AA8="","",'WetLitterbags placem_collection'!AA8)</f>
        <v>M</v>
      </c>
      <c r="AI447">
        <f>IF('WetLitterbags placem_collection'!AC8="","",'WetLitterbags placem_collection'!AC8)</f>
        <v>1</v>
      </c>
      <c r="AJ447" s="233">
        <f>AVERAGE('WetLitterbags placem_collection'!S8,'WetLitterbags placem_collection'!U8)</f>
        <v>13.45</v>
      </c>
      <c r="AK447">
        <f>AVERAGE('WetLitterbags placem_collection'!R8,'WetLitterbags placem_collection'!T8)</f>
        <v>25.1</v>
      </c>
      <c r="AL447">
        <f>INDEX([2]Coordinates!$B$2:$B$197,MATCH(I447,[2]Coordinates!$J$2:$J$197,0))</f>
        <v>-3.3977389800000002</v>
      </c>
      <c r="AM447">
        <f>INDEX([2]Coordinates!$C$2:$C$197,MATCH(I447,[2]Coordinates!$J$2:$J$197,0))</f>
        <v>34.837501979999999</v>
      </c>
      <c r="AN447" t="str">
        <f>IF(ISNUMBER(SEARCH("C", 'WetLitterbags placem_collection'!$X8)),"YES","NO")</f>
        <v>NO</v>
      </c>
      <c r="AO447" t="str">
        <f>IF(ISNUMBER(SEARCH("H", 'WetLitterbags placem_collection'!$X8)),"YES","NO")</f>
        <v>NO</v>
      </c>
      <c r="AP447" t="str">
        <f>IF(ISNUMBER(SEARCH("R", 'WetLitterbags placem_collection'!$X8)),"YES","NO")</f>
        <v>YES</v>
      </c>
    </row>
    <row r="448" spans="1:42" ht="15" customHeight="1">
      <c r="A448" t="s">
        <v>3248</v>
      </c>
      <c r="B448" s="248" t="s">
        <v>2454</v>
      </c>
      <c r="C448" s="253">
        <f>'Dry_Litterbag Placem_Collection'!A9</f>
        <v>7</v>
      </c>
      <c r="D448" s="253" t="str">
        <f>'Dry_Litterbag Placem_Collection'!B9</f>
        <v>Makao</v>
      </c>
      <c r="E448" s="253" t="s">
        <v>2643</v>
      </c>
      <c r="F448" s="253" t="s">
        <v>2644</v>
      </c>
      <c r="G448" s="253">
        <v>1</v>
      </c>
      <c r="H448" s="253" t="s">
        <v>3099</v>
      </c>
      <c r="I448" s="254" t="str">
        <f>'Dry_Litterbag Placem_Collection'!C9</f>
        <v>Dry_Ag1_T7</v>
      </c>
      <c r="J448" s="263" t="s">
        <v>2932</v>
      </c>
      <c r="K448" s="256" t="s">
        <v>1147</v>
      </c>
      <c r="L448" s="221" t="str">
        <f>'WetLitterbags placem_collection'!O9</f>
        <v>G665</v>
      </c>
      <c r="M448" s="223">
        <f>IFERROR(INDEX('Green_rooibos initial weight'!$C$5:$C$2000,MATCH(L448, 'Green_rooibos initial weight'!$A$5:$A$2000,0)),"")</f>
        <v>2.09</v>
      </c>
      <c r="N448" s="223">
        <f>IFERROR(M448-(TBIcalc!$H$9+TBIcalc!$H$10),"")</f>
        <v>1.8401999999999998</v>
      </c>
      <c r="O448" s="378">
        <f>AVERAGE(Ashed_controlls!$K$2:$K$11)</f>
        <v>5.5147656768714146</v>
      </c>
      <c r="P448" s="223">
        <f t="shared" si="31"/>
        <v>1.7387172820142121</v>
      </c>
      <c r="Q448" s="223">
        <f>IFERROR(INDEX('Both teabags AfterWet'!$C$3:$C$840,MATCH(L448,'Both teabags AfterWet'!$A$3:$A$840,0)),"")</f>
        <v>0.56399999999999995</v>
      </c>
      <c r="R448" s="223">
        <f>IFERROR(IF(Q448&gt;0,Q448-(TBIcalc!$H$9),""),"")</f>
        <v>0.41339999999999993</v>
      </c>
      <c r="S448" s="223">
        <f>IFERROR(INDEX('Ashed teabags wet'!$K$2:$K$2000,MATCH(L448,'Ashed teabags wet'!$A$2:$A$2000,0)),"")</f>
        <v>10.694923607688283</v>
      </c>
      <c r="T448" s="223">
        <f t="shared" si="32"/>
        <v>0.36918718580581655</v>
      </c>
      <c r="U448" s="224">
        <f>'WetLitterbags placem_collection'!E9</f>
        <v>42766</v>
      </c>
      <c r="V448" s="224">
        <f>IF('WetLitterbags placem_collection'!G9="","",'WetLitterbags placem_collection'!G9)</f>
        <v>42818</v>
      </c>
      <c r="W448" s="225">
        <f t="shared" si="30"/>
        <v>52</v>
      </c>
      <c r="X448" s="223">
        <f t="shared" si="33"/>
        <v>1.4267999999999998</v>
      </c>
      <c r="Y448" s="223">
        <f t="shared" si="34"/>
        <v>1.3695300962083956</v>
      </c>
      <c r="Z448">
        <f>IFERROR(INDEX([1]Rainfall_Wet!$O$2:$O$217,MATCH(C448, [1]Rainfall_Wet!$A$2:$A$217,0)),"")</f>
        <v>194.43839254400001</v>
      </c>
      <c r="AA448" s="226">
        <v>12.565665055683967</v>
      </c>
      <c r="AB448" s="226">
        <v>0.9665896196679955</v>
      </c>
      <c r="AC448" s="226">
        <v>86.467745324648035</v>
      </c>
      <c r="AD448" s="227" t="s">
        <v>2653</v>
      </c>
      <c r="AE448" s="226">
        <v>7.02257269590931</v>
      </c>
      <c r="AF448">
        <f>IF('WetLitterbags placem_collection'!AB9="","",'WetLitterbags placem_collection'!AB9)</f>
        <v>36</v>
      </c>
      <c r="AG448">
        <f>IF('WetLitterbags placem_collection'!Z9="","",'WetLitterbags placem_collection'!Z9)</f>
        <v>43.4</v>
      </c>
      <c r="AH448" s="236" t="str">
        <f>IF('WetLitterbags placem_collection'!AA9="","",'WetLitterbags placem_collection'!AA9)</f>
        <v>M</v>
      </c>
      <c r="AI448">
        <f>IF('WetLitterbags placem_collection'!AC9="","",'WetLitterbags placem_collection'!AC9)</f>
        <v>1</v>
      </c>
      <c r="AJ448" s="233">
        <f>AVERAGE('WetLitterbags placem_collection'!S9,'WetLitterbags placem_collection'!U9)</f>
        <v>9.8500000000000014</v>
      </c>
      <c r="AK448">
        <f>AVERAGE('WetLitterbags placem_collection'!R9,'WetLitterbags placem_collection'!T9)</f>
        <v>26.2</v>
      </c>
      <c r="AL448">
        <f>INDEX([2]Coordinates!$B$2:$B$197,MATCH(I448,[2]Coordinates!$J$2:$J$197,0))</f>
        <v>-3.3977630360000002</v>
      </c>
      <c r="AM448">
        <f>INDEX([2]Coordinates!$C$2:$C$197,MATCH(I448,[2]Coordinates!$J$2:$J$197,0))</f>
        <v>34.837600969999997</v>
      </c>
      <c r="AN448" t="str">
        <f>IF(ISNUMBER(SEARCH("C", 'WetLitterbags placem_collection'!$X9)),"YES","NO")</f>
        <v>NO</v>
      </c>
      <c r="AO448" t="str">
        <f>IF(ISNUMBER(SEARCH("H", 'WetLitterbags placem_collection'!$X9)),"YES","NO")</f>
        <v>NO</v>
      </c>
      <c r="AP448" t="str">
        <f>IF(ISNUMBER(SEARCH("R", 'WetLitterbags placem_collection'!$X9)),"YES","NO")</f>
        <v>YES</v>
      </c>
    </row>
    <row r="449" spans="1:42" ht="15" customHeight="1">
      <c r="A449" t="s">
        <v>3248</v>
      </c>
      <c r="B449" s="248" t="s">
        <v>2454</v>
      </c>
      <c r="C449" s="253">
        <f>'Dry_Litterbag Placem_Collection'!A10</f>
        <v>8</v>
      </c>
      <c r="D449" s="253" t="str">
        <f>'Dry_Litterbag Placem_Collection'!B10</f>
        <v>Makao</v>
      </c>
      <c r="E449" s="253" t="s">
        <v>2643</v>
      </c>
      <c r="F449" s="253" t="s">
        <v>2644</v>
      </c>
      <c r="G449" s="253">
        <v>1</v>
      </c>
      <c r="H449" s="253" t="s">
        <v>3099</v>
      </c>
      <c r="I449" s="254" t="str">
        <f>'Dry_Litterbag Placem_Collection'!C10</f>
        <v>Dry_Ag1_T8</v>
      </c>
      <c r="J449" s="263" t="s">
        <v>2932</v>
      </c>
      <c r="K449" s="256" t="s">
        <v>1147</v>
      </c>
      <c r="L449" s="221" t="str">
        <f>'WetLitterbags placem_collection'!O10</f>
        <v>G701</v>
      </c>
      <c r="M449" s="223">
        <f>IFERROR(INDEX('Green_rooibos initial weight'!$C$5:$C$2000,MATCH(L449, 'Green_rooibos initial weight'!$A$5:$A$2000,0)),"")</f>
        <v>1.9159999999999999</v>
      </c>
      <c r="N449" s="223">
        <f>IFERROR(M449-(TBIcalc!$H$9+TBIcalc!$H$10),"")</f>
        <v>1.6661999999999999</v>
      </c>
      <c r="O449" s="378">
        <f>AVERAGE(Ashed_controlls!$K$2:$K$11)</f>
        <v>5.5147656768714146</v>
      </c>
      <c r="P449" s="223">
        <f t="shared" si="31"/>
        <v>1.5743129742919684</v>
      </c>
      <c r="Q449" s="223">
        <f>IFERROR(INDEX('Both teabags AfterWet'!$C$3:$C$840,MATCH(L449,'Both teabags AfterWet'!$A$3:$A$840,0)),"")</f>
        <v>0.59260000000000002</v>
      </c>
      <c r="R449" s="223">
        <f>IFERROR(IF(Q449&gt;0,Q449-(TBIcalc!$H$9),""),"")</f>
        <v>0.442</v>
      </c>
      <c r="S449" s="223">
        <f>IFERROR(INDEX('Ashed teabags wet'!$K$2:$K$2000,MATCH(L449,'Ashed teabags wet'!$A$2:$A$2000,0)),"")</f>
        <v>8.8163662932295175</v>
      </c>
      <c r="T449" s="223">
        <f t="shared" si="32"/>
        <v>0.40303166098392551</v>
      </c>
      <c r="U449" s="224">
        <f>'WetLitterbags placem_collection'!E10</f>
        <v>42766</v>
      </c>
      <c r="V449" s="224">
        <f>IF('WetLitterbags placem_collection'!G10="","",'WetLitterbags placem_collection'!G10)</f>
        <v>42818</v>
      </c>
      <c r="W449" s="225">
        <f t="shared" si="30"/>
        <v>52</v>
      </c>
      <c r="X449" s="223">
        <f t="shared" si="33"/>
        <v>1.2242</v>
      </c>
      <c r="Y449" s="223">
        <f t="shared" si="34"/>
        <v>1.1712813133080429</v>
      </c>
      <c r="Z449">
        <f>IFERROR(INDEX([1]Rainfall_Wet!$O$2:$O$217,MATCH(C449, [1]Rainfall_Wet!$A$2:$A$217,0)),"")</f>
        <v>194.43839254400001</v>
      </c>
      <c r="AA449" s="226">
        <v>12.565665055683967</v>
      </c>
      <c r="AB449" s="226">
        <v>0.9665896196679955</v>
      </c>
      <c r="AC449" s="226">
        <v>86.467745324648035</v>
      </c>
      <c r="AD449" s="227" t="s">
        <v>2653</v>
      </c>
      <c r="AE449" s="226">
        <v>8.0225726959093109</v>
      </c>
      <c r="AF449">
        <f>IF('WetLitterbags placem_collection'!AB10="","",'WetLitterbags placem_collection'!AB10)</f>
        <v>36</v>
      </c>
      <c r="AG449">
        <f>IF('WetLitterbags placem_collection'!Z10="","",'WetLitterbags placem_collection'!Z10)</f>
        <v>38.4</v>
      </c>
      <c r="AH449" s="236" t="str">
        <f>IF('WetLitterbags placem_collection'!AA10="","",'WetLitterbags placem_collection'!AA10)</f>
        <v>M</v>
      </c>
      <c r="AI449" t="str">
        <f>IF('WetLitterbags placem_collection'!AC10="","",'WetLitterbags placem_collection'!AC10)</f>
        <v/>
      </c>
      <c r="AJ449" s="233">
        <f>AVERAGE('WetLitterbags placem_collection'!S10,'WetLitterbags placem_collection'!U10)</f>
        <v>10.600000000000001</v>
      </c>
      <c r="AK449">
        <f>AVERAGE('WetLitterbags placem_collection'!R10,'WetLitterbags placem_collection'!T10)</f>
        <v>25.5</v>
      </c>
      <c r="AL449">
        <f>INDEX([2]Coordinates!$B$2:$B$197,MATCH(I449,[2]Coordinates!$J$2:$J$197,0))</f>
        <v>-3.3977320230000001</v>
      </c>
      <c r="AM449">
        <f>INDEX([2]Coordinates!$C$2:$C$197,MATCH(I449,[2]Coordinates!$J$2:$J$197,0))</f>
        <v>34.837561989999998</v>
      </c>
      <c r="AN449" t="str">
        <f>IF(ISNUMBER(SEARCH("C", 'WetLitterbags placem_collection'!$X10)),"YES","NO")</f>
        <v>NO</v>
      </c>
      <c r="AO449" t="str">
        <f>IF(ISNUMBER(SEARCH("H", 'WetLitterbags placem_collection'!$X10)),"YES","NO")</f>
        <v>NO</v>
      </c>
      <c r="AP449" t="str">
        <f>IF(ISNUMBER(SEARCH("R", 'WetLitterbags placem_collection'!$X10)),"YES","NO")</f>
        <v>NO</v>
      </c>
    </row>
    <row r="450" spans="1:42" ht="15" customHeight="1">
      <c r="A450" t="s">
        <v>3248</v>
      </c>
      <c r="B450" s="248" t="s">
        <v>2454</v>
      </c>
      <c r="C450" s="253">
        <f>'Dry_Litterbag Placem_Collection'!A11</f>
        <v>9</v>
      </c>
      <c r="D450" s="253" t="str">
        <f>'Dry_Litterbag Placem_Collection'!B11</f>
        <v>Makao</v>
      </c>
      <c r="E450" s="253" t="s">
        <v>2643</v>
      </c>
      <c r="F450" s="253" t="s">
        <v>2644</v>
      </c>
      <c r="G450" s="253">
        <v>2</v>
      </c>
      <c r="H450" s="253" t="s">
        <v>3103</v>
      </c>
      <c r="I450" s="254" t="str">
        <f>'Dry_Litterbag Placem_Collection'!C11</f>
        <v>Dry_Ag2_T1</v>
      </c>
      <c r="J450" s="263" t="s">
        <v>2932</v>
      </c>
      <c r="K450" s="256" t="s">
        <v>1147</v>
      </c>
      <c r="L450" s="221" t="str">
        <f>'WetLitterbags placem_collection'!O11</f>
        <v>G476</v>
      </c>
      <c r="M450" s="223">
        <f>IFERROR(INDEX('Green_rooibos initial weight'!$C$5:$C$2000,MATCH(L450, 'Green_rooibos initial weight'!$A$5:$A$2000,0)),"")</f>
        <v>2.121</v>
      </c>
      <c r="N450" s="223">
        <f>IFERROR(M450-(TBIcalc!$H$9+TBIcalc!$H$10),"")</f>
        <v>1.8712</v>
      </c>
      <c r="O450" s="378">
        <f>AVERAGE(Ashed_controlls!$K$2:$K$11)</f>
        <v>5.5147656768714146</v>
      </c>
      <c r="P450" s="223">
        <f t="shared" si="31"/>
        <v>1.7680077046543821</v>
      </c>
      <c r="Q450" s="223">
        <f>IFERROR(INDEX('Both teabags AfterWet'!$C$3:$C$840,MATCH(L450,'Both teabags AfterWet'!$A$3:$A$840,0)),"")</f>
        <v>0.66479999999999995</v>
      </c>
      <c r="R450" s="223">
        <f>IFERROR(IF(Q450&gt;0,Q450-(TBIcalc!$H$9),""),"")</f>
        <v>0.51419999999999999</v>
      </c>
      <c r="S450" s="223">
        <f>IFERROR(INDEX('Ashed teabags wet'!$K$2:$K$2000,MATCH(L450,'Ashed teabags wet'!$A$2:$A$2000,0)),"")</f>
        <v>18.05555555555533</v>
      </c>
      <c r="T450" s="223">
        <f t="shared" si="32"/>
        <v>0.4213583333333345</v>
      </c>
      <c r="U450" s="224">
        <f>'WetLitterbags placem_collection'!E11</f>
        <v>42766</v>
      </c>
      <c r="V450" s="224">
        <f>IF('WetLitterbags placem_collection'!G11="","",'WetLitterbags placem_collection'!G11)</f>
        <v>42818</v>
      </c>
      <c r="W450" s="225">
        <f t="shared" ref="W450:W513" si="35">IFERROR(V450-U450,"")</f>
        <v>52</v>
      </c>
      <c r="X450" s="223">
        <f t="shared" si="33"/>
        <v>1.357</v>
      </c>
      <c r="Y450" s="223">
        <f t="shared" si="34"/>
        <v>1.3466493713210475</v>
      </c>
      <c r="Z450">
        <f>IFERROR(INDEX([1]Rainfall_Wet!$O$2:$O$217,MATCH(C450, [1]Rainfall_Wet!$A$2:$A$217,0)),"")</f>
        <v>194.43839254400001</v>
      </c>
      <c r="AA450" s="226">
        <v>21.13063730679653</v>
      </c>
      <c r="AB450" s="226">
        <v>3.0912555579081076</v>
      </c>
      <c r="AC450" s="226">
        <v>75.778107135295357</v>
      </c>
      <c r="AD450" s="227" t="s">
        <v>2651</v>
      </c>
      <c r="AE450" s="226">
        <v>0.46131099063578063</v>
      </c>
      <c r="AF450">
        <f>IF('WetLitterbags placem_collection'!AB11="","",'WetLitterbags placem_collection'!AB11)</f>
        <v>10.8</v>
      </c>
      <c r="AG450">
        <f>IF('WetLitterbags placem_collection'!Z11="","",'WetLitterbags placem_collection'!Z11)</f>
        <v>28.4</v>
      </c>
      <c r="AH450" s="236" t="str">
        <f>IF('WetLitterbags placem_collection'!AA11="","",'WetLitterbags placem_collection'!AA11)</f>
        <v>M</v>
      </c>
      <c r="AI450">
        <f>IF('WetLitterbags placem_collection'!AC11="","",'WetLitterbags placem_collection'!AC11)</f>
        <v>0</v>
      </c>
      <c r="AJ450" s="233">
        <f>AVERAGE('WetLitterbags placem_collection'!S11,'WetLitterbags placem_collection'!U11)</f>
        <v>14.5</v>
      </c>
      <c r="AK450">
        <f>AVERAGE('WetLitterbags placem_collection'!R11,'WetLitterbags placem_collection'!T11)</f>
        <v>24.4</v>
      </c>
      <c r="AL450">
        <f>INDEX([2]Coordinates!$B$2:$B$197,MATCH(I450,[2]Coordinates!$J$2:$J$197,0))</f>
        <v>-3.3978290019999999</v>
      </c>
      <c r="AM450">
        <f>INDEX([2]Coordinates!$C$2:$C$197,MATCH(I450,[2]Coordinates!$J$2:$J$197,0))</f>
        <v>34.837011969999999</v>
      </c>
      <c r="AN450" t="str">
        <f>IF(ISNUMBER(SEARCH("C", 'WetLitterbags placem_collection'!$X11)),"YES","NO")</f>
        <v>NO</v>
      </c>
      <c r="AO450" t="str">
        <f>IF(ISNUMBER(SEARCH("H", 'WetLitterbags placem_collection'!$X11)),"YES","NO")</f>
        <v>NO</v>
      </c>
      <c r="AP450" t="str">
        <f>IF(ISNUMBER(SEARCH("R", 'WetLitterbags placem_collection'!$X11)),"YES","NO")</f>
        <v>NO</v>
      </c>
    </row>
    <row r="451" spans="1:42" ht="15" customHeight="1">
      <c r="A451" t="s">
        <v>3248</v>
      </c>
      <c r="B451" s="248" t="s">
        <v>2454</v>
      </c>
      <c r="C451" s="253">
        <f>'Dry_Litterbag Placem_Collection'!A12</f>
        <v>10</v>
      </c>
      <c r="D451" s="253" t="str">
        <f>'Dry_Litterbag Placem_Collection'!B12</f>
        <v>Makao</v>
      </c>
      <c r="E451" s="253" t="s">
        <v>2643</v>
      </c>
      <c r="F451" s="253" t="s">
        <v>2644</v>
      </c>
      <c r="G451" s="253">
        <v>2</v>
      </c>
      <c r="H451" s="253" t="s">
        <v>3103</v>
      </c>
      <c r="I451" s="254" t="str">
        <f>'Dry_Litterbag Placem_Collection'!C12</f>
        <v>Dry_Ag2_T2</v>
      </c>
      <c r="J451" s="263" t="s">
        <v>2932</v>
      </c>
      <c r="K451" s="256" t="s">
        <v>1147</v>
      </c>
      <c r="L451" s="221" t="str">
        <f>'WetLitterbags placem_collection'!O12</f>
        <v>G606</v>
      </c>
      <c r="M451" s="223">
        <f>IFERROR(INDEX('Green_rooibos initial weight'!$C$5:$C$2000,MATCH(L451, 'Green_rooibos initial weight'!$A$5:$A$2000,0)),"")</f>
        <v>1.921</v>
      </c>
      <c r="N451" s="223">
        <f>IFERROR(M451-(TBIcalc!$H$9+TBIcalc!$H$10),"")</f>
        <v>1.6712</v>
      </c>
      <c r="O451" s="378">
        <f>AVERAGE(Ashed_controlls!$K$2:$K$11)</f>
        <v>5.5147656768714146</v>
      </c>
      <c r="P451" s="223">
        <f t="shared" ref="P451:P514" si="36">IFERROR(N451-(O451/100)*N451,"")</f>
        <v>1.5790372360081248</v>
      </c>
      <c r="Q451" s="223">
        <f>IFERROR(INDEX('Both teabags AfterWet'!$C$3:$C$840,MATCH(L451,'Both teabags AfterWet'!$A$3:$A$840,0)),"")</f>
        <v>0.63539999999999996</v>
      </c>
      <c r="R451" s="223">
        <f>IFERROR(IF(Q451&gt;0,Q451-(TBIcalc!$H$9),""),"")</f>
        <v>0.48479999999999995</v>
      </c>
      <c r="S451" s="223">
        <f>IFERROR(INDEX('Ashed teabags wet'!$K$2:$K$2000,MATCH(L451,'Ashed teabags wet'!$A$2:$A$2000,0)),"")</f>
        <v>10.416666666666313</v>
      </c>
      <c r="T451" s="223">
        <f t="shared" ref="T451:T514" si="37">IFERROR(R451-(S451/100)*R451,"")</f>
        <v>0.43430000000000168</v>
      </c>
      <c r="U451" s="224">
        <f>'WetLitterbags placem_collection'!E12</f>
        <v>42766</v>
      </c>
      <c r="V451" s="224">
        <f>IF('WetLitterbags placem_collection'!G12="","",'WetLitterbags placem_collection'!G12)</f>
        <v>42818</v>
      </c>
      <c r="W451" s="225">
        <f t="shared" si="35"/>
        <v>52</v>
      </c>
      <c r="X451" s="223">
        <f t="shared" ref="X451:X514" si="38">IFERROR(N451-R451,"")</f>
        <v>1.1864000000000001</v>
      </c>
      <c r="Y451" s="223">
        <f t="shared" ref="Y451:Y514" si="39">IFERROR(P451-T451,"")</f>
        <v>1.1447372360081232</v>
      </c>
      <c r="Z451">
        <f>IFERROR(INDEX([1]Rainfall_Wet!$O$2:$O$217,MATCH(C451, [1]Rainfall_Wet!$A$2:$A$217,0)),"")</f>
        <v>194.43839254400001</v>
      </c>
      <c r="AA451" s="226">
        <v>21.13063730679653</v>
      </c>
      <c r="AB451" s="226">
        <v>3.0912555579081076</v>
      </c>
      <c r="AC451" s="226">
        <v>75.778107135295357</v>
      </c>
      <c r="AD451" s="227" t="s">
        <v>2651</v>
      </c>
      <c r="AE451" s="226">
        <v>1.46131099063578</v>
      </c>
      <c r="AF451">
        <f>IF('WetLitterbags placem_collection'!AB12="","",'WetLitterbags placem_collection'!AB12)</f>
        <v>16.8</v>
      </c>
      <c r="AG451">
        <f>IF('WetLitterbags placem_collection'!Z12="","",'WetLitterbags placem_collection'!Z12)</f>
        <v>30</v>
      </c>
      <c r="AH451" s="236" t="str">
        <f>IF('WetLitterbags placem_collection'!AA12="","",'WetLitterbags placem_collection'!AA12)</f>
        <v>M</v>
      </c>
      <c r="AI451">
        <f>IF('WetLitterbags placem_collection'!AC12="","",'WetLitterbags placem_collection'!AC12)</f>
        <v>0</v>
      </c>
      <c r="AJ451" s="233">
        <f>AVERAGE('WetLitterbags placem_collection'!S12,'WetLitterbags placem_collection'!U12)</f>
        <v>14.649999999999999</v>
      </c>
      <c r="AK451">
        <f>AVERAGE('WetLitterbags placem_collection'!R12,'WetLitterbags placem_collection'!T12)</f>
        <v>24.299999999999997</v>
      </c>
      <c r="AL451">
        <f>INDEX([2]Coordinates!$B$2:$B$197,MATCH(I451,[2]Coordinates!$J$2:$J$197,0))</f>
        <v>-3.3978119869999999</v>
      </c>
      <c r="AM451">
        <f>INDEX([2]Coordinates!$C$2:$C$197,MATCH(I451,[2]Coordinates!$J$2:$J$197,0))</f>
        <v>34.836968980000002</v>
      </c>
      <c r="AN451" t="str">
        <f>IF(ISNUMBER(SEARCH("C", 'WetLitterbags placem_collection'!$X12)),"YES","NO")</f>
        <v>NO</v>
      </c>
      <c r="AO451" t="str">
        <f>IF(ISNUMBER(SEARCH("H", 'WetLitterbags placem_collection'!$X12)),"YES","NO")</f>
        <v>NO</v>
      </c>
      <c r="AP451" t="str">
        <f>IF(ISNUMBER(SEARCH("R", 'WetLitterbags placem_collection'!$X12)),"YES","NO")</f>
        <v>NO</v>
      </c>
    </row>
    <row r="452" spans="1:42" ht="15" customHeight="1">
      <c r="A452" t="s">
        <v>3248</v>
      </c>
      <c r="B452" s="248" t="s">
        <v>2454</v>
      </c>
      <c r="C452" s="253">
        <f>'Dry_Litterbag Placem_Collection'!A13</f>
        <v>11</v>
      </c>
      <c r="D452" s="253" t="str">
        <f>'Dry_Litterbag Placem_Collection'!B13</f>
        <v>Makao</v>
      </c>
      <c r="E452" s="253" t="s">
        <v>2643</v>
      </c>
      <c r="F452" s="253" t="s">
        <v>2644</v>
      </c>
      <c r="G452" s="253">
        <v>2</v>
      </c>
      <c r="H452" s="253" t="s">
        <v>3103</v>
      </c>
      <c r="I452" s="254" t="str">
        <f>'Dry_Litterbag Placem_Collection'!C13</f>
        <v>Dry_Ag2_T3</v>
      </c>
      <c r="J452" s="263" t="s">
        <v>2932</v>
      </c>
      <c r="K452" s="256" t="s">
        <v>1147</v>
      </c>
      <c r="L452" s="221" t="str">
        <f>'WetLitterbags placem_collection'!O13</f>
        <v>G523</v>
      </c>
      <c r="M452" s="223">
        <f>IFERROR(INDEX('Green_rooibos initial weight'!$C$5:$C$2000,MATCH(L452, 'Green_rooibos initial weight'!$A$5:$A$2000,0)),"")</f>
        <v>2.1419999999999999</v>
      </c>
      <c r="N452" s="223">
        <f>IFERROR(M452-(TBIcalc!$H$9+TBIcalc!$H$10),"")</f>
        <v>1.8921999999999999</v>
      </c>
      <c r="O452" s="378">
        <f>AVERAGE(Ashed_controlls!$K$2:$K$11)</f>
        <v>5.5147656768714146</v>
      </c>
      <c r="P452" s="223">
        <f t="shared" si="36"/>
        <v>1.7878496038622389</v>
      </c>
      <c r="Q452" s="223">
        <f>IFERROR(INDEX('Both teabags AfterWet'!$C$3:$C$840,MATCH(L452,'Both teabags AfterWet'!$A$3:$A$840,0)),"")</f>
        <v>0.63119999999999998</v>
      </c>
      <c r="R452" s="223">
        <f>IFERROR(IF(Q452&gt;0,Q452-(TBIcalc!$H$9),""),"")</f>
        <v>0.48059999999999997</v>
      </c>
      <c r="S452" s="223">
        <f>IFERROR(INDEX('Ashed teabags wet'!$K$2:$K$2000,MATCH(L452,'Ashed teabags wet'!$A$2:$A$2000,0)),"")</f>
        <v>9.5734126984128558</v>
      </c>
      <c r="T452" s="223">
        <f t="shared" si="37"/>
        <v>0.43459017857142779</v>
      </c>
      <c r="U452" s="224">
        <f>'WetLitterbags placem_collection'!E13</f>
        <v>42766</v>
      </c>
      <c r="V452" s="224">
        <f>IF('WetLitterbags placem_collection'!G13="","",'WetLitterbags placem_collection'!G13)</f>
        <v>42818</v>
      </c>
      <c r="W452" s="225">
        <f t="shared" si="35"/>
        <v>52</v>
      </c>
      <c r="X452" s="223">
        <f t="shared" si="38"/>
        <v>1.4116</v>
      </c>
      <c r="Y452" s="223">
        <f t="shared" si="39"/>
        <v>1.353259425290811</v>
      </c>
      <c r="Z452">
        <f>IFERROR(INDEX([1]Rainfall_Wet!$O$2:$O$217,MATCH(C452, [1]Rainfall_Wet!$A$2:$A$217,0)),"")</f>
        <v>194.43839254400001</v>
      </c>
      <c r="AA452" s="226">
        <v>21.13063730679653</v>
      </c>
      <c r="AB452" s="226">
        <v>3.0912555579081076</v>
      </c>
      <c r="AC452" s="226">
        <v>75.778107135295357</v>
      </c>
      <c r="AD452" s="227" t="s">
        <v>2651</v>
      </c>
      <c r="AE452" s="226">
        <v>2.4613109906357802</v>
      </c>
      <c r="AF452">
        <f>IF('WetLitterbags placem_collection'!AB13="","",'WetLitterbags placem_collection'!AB13)</f>
        <v>11.4</v>
      </c>
      <c r="AG452">
        <f>IF('WetLitterbags placem_collection'!Z13="","",'WetLitterbags placem_collection'!Z13)</f>
        <v>24.4</v>
      </c>
      <c r="AH452" s="236" t="str">
        <f>IF('WetLitterbags placem_collection'!AA13="","",'WetLitterbags placem_collection'!AA13)</f>
        <v>M</v>
      </c>
      <c r="AI452">
        <f>IF('WetLitterbags placem_collection'!AC13="","",'WetLitterbags placem_collection'!AC13)</f>
        <v>0</v>
      </c>
      <c r="AJ452" s="233">
        <f>AVERAGE('WetLitterbags placem_collection'!S13,'WetLitterbags placem_collection'!U13)</f>
        <v>21.1</v>
      </c>
      <c r="AK452">
        <f>AVERAGE('WetLitterbags placem_collection'!R13,'WetLitterbags placem_collection'!T13)</f>
        <v>24.05</v>
      </c>
      <c r="AL452">
        <f>INDEX([2]Coordinates!$B$2:$B$197,MATCH(I452,[2]Coordinates!$J$2:$J$197,0))</f>
        <v>-3.3977929599999999</v>
      </c>
      <c r="AM452">
        <f>INDEX([2]Coordinates!$C$2:$C$197,MATCH(I452,[2]Coordinates!$J$2:$J$197,0))</f>
        <v>34.837102999999999</v>
      </c>
      <c r="AN452" t="str">
        <f>IF(ISNUMBER(SEARCH("C", 'WetLitterbags placem_collection'!$X13)),"YES","NO")</f>
        <v>NO</v>
      </c>
      <c r="AO452" t="str">
        <f>IF(ISNUMBER(SEARCH("H", 'WetLitterbags placem_collection'!$X13)),"YES","NO")</f>
        <v>NO</v>
      </c>
      <c r="AP452" t="str">
        <f>IF(ISNUMBER(SEARCH("R", 'WetLitterbags placem_collection'!$X13)),"YES","NO")</f>
        <v>NO</v>
      </c>
    </row>
    <row r="453" spans="1:42" ht="15" customHeight="1">
      <c r="A453" t="s">
        <v>3248</v>
      </c>
      <c r="B453" s="248" t="s">
        <v>2454</v>
      </c>
      <c r="C453" s="253">
        <f>'Dry_Litterbag Placem_Collection'!A14</f>
        <v>12</v>
      </c>
      <c r="D453" s="253" t="str">
        <f>'Dry_Litterbag Placem_Collection'!B14</f>
        <v>Makao</v>
      </c>
      <c r="E453" s="253" t="s">
        <v>2643</v>
      </c>
      <c r="F453" s="253" t="s">
        <v>2644</v>
      </c>
      <c r="G453" s="253">
        <v>2</v>
      </c>
      <c r="H453" s="253" t="s">
        <v>3103</v>
      </c>
      <c r="I453" s="254" t="str">
        <f>'Dry_Litterbag Placem_Collection'!C14</f>
        <v>Dry_Ag2_T4</v>
      </c>
      <c r="J453" s="263" t="s">
        <v>2932</v>
      </c>
      <c r="K453" s="256" t="s">
        <v>1147</v>
      </c>
      <c r="L453" s="221" t="str">
        <f>'WetLitterbags placem_collection'!O14</f>
        <v>G510</v>
      </c>
      <c r="M453" s="223">
        <f>IFERROR(INDEX('Green_rooibos initial weight'!$C$5:$C$2000,MATCH(L453, 'Green_rooibos initial weight'!$A$5:$A$2000,0)),"")</f>
        <v>1.91</v>
      </c>
      <c r="N453" s="223">
        <f>IFERROR(M453-(TBIcalc!$H$9+TBIcalc!$H$10),"")</f>
        <v>1.6601999999999999</v>
      </c>
      <c r="O453" s="378">
        <f>AVERAGE(Ashed_controlls!$K$2:$K$11)</f>
        <v>5.5147656768714146</v>
      </c>
      <c r="P453" s="223">
        <f t="shared" si="36"/>
        <v>1.5686438602325807</v>
      </c>
      <c r="Q453" s="223" t="str">
        <f>IFERROR(INDEX('Both teabags AfterWet'!$C$3:$C$840,MATCH(L453,'Both teabags AfterWet'!$A$3:$A$840,0)),"")</f>
        <v/>
      </c>
      <c r="R453" s="223" t="str">
        <f>IFERROR(IF(Q453&gt;0,Q453-(TBIcalc!$H$9),""),"")</f>
        <v/>
      </c>
      <c r="S453" s="223" t="str">
        <f>IFERROR(INDEX('Ashed teabags wet'!$K$2:$K$2000,MATCH(L453,'Ashed teabags wet'!$A$2:$A$2000,0)),"")</f>
        <v/>
      </c>
      <c r="T453" s="223" t="str">
        <f t="shared" si="37"/>
        <v/>
      </c>
      <c r="U453" s="224">
        <f>'WetLitterbags placem_collection'!E14</f>
        <v>42766</v>
      </c>
      <c r="V453" s="224">
        <f>IF('WetLitterbags placem_collection'!G14="","",'WetLitterbags placem_collection'!G14)</f>
        <v>42818</v>
      </c>
      <c r="W453" s="225">
        <f t="shared" si="35"/>
        <v>52</v>
      </c>
      <c r="X453" s="223" t="str">
        <f t="shared" si="38"/>
        <v/>
      </c>
      <c r="Y453" s="223" t="str">
        <f t="shared" si="39"/>
        <v/>
      </c>
      <c r="Z453" t="str">
        <f>IFERROR(INDEX([1]Rainfall_Wet!$O$2:$O$217,MATCH(C453, [1]Rainfall_Wet!$A$2:$A$217,0)),"")</f>
        <v/>
      </c>
      <c r="AA453" s="226">
        <v>21.13063730679653</v>
      </c>
      <c r="AB453" s="226">
        <v>3.0912555579081076</v>
      </c>
      <c r="AC453" s="226">
        <v>75.778107135295357</v>
      </c>
      <c r="AD453" s="227" t="s">
        <v>2651</v>
      </c>
      <c r="AE453" s="226">
        <v>3.4613109906357802</v>
      </c>
      <c r="AF453" t="str">
        <f>IF('WetLitterbags placem_collection'!AB14="","",'WetLitterbags placem_collection'!AB14)</f>
        <v/>
      </c>
      <c r="AG453" t="str">
        <f>IF('WetLitterbags placem_collection'!Z14="","",'WetLitterbags placem_collection'!Z14)</f>
        <v/>
      </c>
      <c r="AH453" s="236" t="str">
        <f>IF('WetLitterbags placem_collection'!AA14="","",'WetLitterbags placem_collection'!AA14)</f>
        <v/>
      </c>
      <c r="AI453" t="str">
        <f>IF('WetLitterbags placem_collection'!AC14="","",'WetLitterbags placem_collection'!AC14)</f>
        <v/>
      </c>
      <c r="AJ453" s="233">
        <f>AVERAGE('WetLitterbags placem_collection'!S14,'WetLitterbags placem_collection'!U14)</f>
        <v>25.8</v>
      </c>
      <c r="AK453">
        <f>AVERAGE('WetLitterbags placem_collection'!R14,'WetLitterbags placem_collection'!T14)</f>
        <v>21.7</v>
      </c>
      <c r="AL453">
        <f>INDEX([2]Coordinates!$B$2:$B$197,MATCH(I453,[2]Coordinates!$J$2:$J$197,0))</f>
        <v>-3.3979050260000001</v>
      </c>
      <c r="AM453">
        <f>INDEX([2]Coordinates!$C$2:$C$197,MATCH(I453,[2]Coordinates!$J$2:$J$197,0))</f>
        <v>34.837123030000001</v>
      </c>
      <c r="AN453" t="str">
        <f>IF(ISNUMBER(SEARCH("C", 'WetLitterbags placem_collection'!$X14)),"YES","NO")</f>
        <v>NO</v>
      </c>
      <c r="AO453" t="str">
        <f>IF(ISNUMBER(SEARCH("H", 'WetLitterbags placem_collection'!$X14)),"YES","NO")</f>
        <v>NO</v>
      </c>
      <c r="AP453" t="str">
        <f>IF(ISNUMBER(SEARCH("R", 'WetLitterbags placem_collection'!$X14)),"YES","NO")</f>
        <v>NO</v>
      </c>
    </row>
    <row r="454" spans="1:42" ht="15" customHeight="1">
      <c r="A454" t="s">
        <v>3248</v>
      </c>
      <c r="B454" s="248" t="s">
        <v>2454</v>
      </c>
      <c r="C454" s="253">
        <f>'Dry_Litterbag Placem_Collection'!A15</f>
        <v>13</v>
      </c>
      <c r="D454" s="253" t="str">
        <f>'Dry_Litterbag Placem_Collection'!B15</f>
        <v>Makao</v>
      </c>
      <c r="E454" s="253" t="s">
        <v>2643</v>
      </c>
      <c r="F454" s="253" t="s">
        <v>2644</v>
      </c>
      <c r="G454" s="253">
        <v>2</v>
      </c>
      <c r="H454" s="253" t="s">
        <v>3103</v>
      </c>
      <c r="I454" s="254" t="str">
        <f>'Dry_Litterbag Placem_Collection'!C15</f>
        <v>Dry_Ag2_T5</v>
      </c>
      <c r="J454" s="263" t="s">
        <v>2932</v>
      </c>
      <c r="K454" s="256" t="s">
        <v>1147</v>
      </c>
      <c r="L454" s="221" t="str">
        <f>'WetLitterbags placem_collection'!O15</f>
        <v>G241</v>
      </c>
      <c r="M454" s="223">
        <f>IFERROR(INDEX('Green_rooibos initial weight'!$C$5:$C$2000,MATCH(L454, 'Green_rooibos initial weight'!$A$5:$A$2000,0)),"")</f>
        <v>2.0179999999999998</v>
      </c>
      <c r="N454" s="223">
        <f>IFERROR(M454-(TBIcalc!$H$9+TBIcalc!$H$10),"")</f>
        <v>1.7681999999999998</v>
      </c>
      <c r="O454" s="378">
        <f>AVERAGE(Ashed_controlls!$K$2:$K$11)</f>
        <v>5.5147656768714146</v>
      </c>
      <c r="P454" s="223">
        <f t="shared" si="36"/>
        <v>1.6706879133015595</v>
      </c>
      <c r="Q454" s="223">
        <f>IFERROR(INDEX('Both teabags AfterWet'!$C$3:$C$840,MATCH(L454,'Both teabags AfterWet'!$A$3:$A$840,0)),"")</f>
        <v>0.52059999999999995</v>
      </c>
      <c r="R454" s="223">
        <f>IFERROR(IF(Q454&gt;0,Q454-(TBIcalc!$H$9),""),"")</f>
        <v>0.36999999999999994</v>
      </c>
      <c r="S454" s="223">
        <f>IFERROR(INDEX('Ashed teabags wet'!$K$2:$K$2000,MATCH(L454,'Ashed teabags wet'!$A$2:$A$2000,0)),"")</f>
        <v>17.872968980798372</v>
      </c>
      <c r="T454" s="223">
        <f t="shared" si="37"/>
        <v>0.30387001477104597</v>
      </c>
      <c r="U454" s="224">
        <f>'WetLitterbags placem_collection'!E15</f>
        <v>42766</v>
      </c>
      <c r="V454" s="224">
        <f>IF('WetLitterbags placem_collection'!G15="","",'WetLitterbags placem_collection'!G15)</f>
        <v>42818</v>
      </c>
      <c r="W454" s="225">
        <f t="shared" si="35"/>
        <v>52</v>
      </c>
      <c r="X454" s="223">
        <f t="shared" si="38"/>
        <v>1.3981999999999999</v>
      </c>
      <c r="Y454" s="223">
        <f t="shared" si="39"/>
        <v>1.3668178985305135</v>
      </c>
      <c r="Z454">
        <f>IFERROR(INDEX([1]Rainfall_Wet!$O$2:$O$217,MATCH(C454, [1]Rainfall_Wet!$A$2:$A$217,0)),"")</f>
        <v>194.43839254400001</v>
      </c>
      <c r="AA454" s="226">
        <v>21.13063730679653</v>
      </c>
      <c r="AB454" s="226">
        <v>3.0912555579081076</v>
      </c>
      <c r="AC454" s="226">
        <v>75.778107135295357</v>
      </c>
      <c r="AD454" s="227" t="s">
        <v>2651</v>
      </c>
      <c r="AE454" s="226">
        <v>4.4613109906357797</v>
      </c>
      <c r="AF454">
        <f>IF('WetLitterbags placem_collection'!AB15="","",'WetLitterbags placem_collection'!AB15)</f>
        <v>11.4</v>
      </c>
      <c r="AG454">
        <f>IF('WetLitterbags placem_collection'!Z15="","",'WetLitterbags placem_collection'!Z15)</f>
        <v>31</v>
      </c>
      <c r="AH454" s="236" t="str">
        <f>IF('WetLitterbags placem_collection'!AA15="","",'WetLitterbags placem_collection'!AA15)</f>
        <v>M</v>
      </c>
      <c r="AI454">
        <f>IF('WetLitterbags placem_collection'!AC15="","",'WetLitterbags placem_collection'!AC15)</f>
        <v>0</v>
      </c>
      <c r="AJ454" s="233">
        <f>AVERAGE('WetLitterbags placem_collection'!S15,'WetLitterbags placem_collection'!U15)</f>
        <v>20.8</v>
      </c>
      <c r="AK454">
        <f>AVERAGE('WetLitterbags placem_collection'!R15,'WetLitterbags placem_collection'!T15)</f>
        <v>23.4</v>
      </c>
      <c r="AL454">
        <f>INDEX([2]Coordinates!$B$2:$B$197,MATCH(I454,[2]Coordinates!$J$2:$J$197,0))</f>
        <v>-3.3979040199999999</v>
      </c>
      <c r="AM454">
        <f>INDEX([2]Coordinates!$C$2:$C$197,MATCH(I454,[2]Coordinates!$J$2:$J$197,0))</f>
        <v>34.837027980000002</v>
      </c>
      <c r="AN454" t="str">
        <f>IF(ISNUMBER(SEARCH("C", 'WetLitterbags placem_collection'!$X15)),"YES","NO")</f>
        <v>NO</v>
      </c>
      <c r="AO454" t="str">
        <f>IF(ISNUMBER(SEARCH("H", 'WetLitterbags placem_collection'!$X15)),"YES","NO")</f>
        <v>NO</v>
      </c>
      <c r="AP454" t="str">
        <f>IF(ISNUMBER(SEARCH("R", 'WetLitterbags placem_collection'!$X15)),"YES","NO")</f>
        <v>NO</v>
      </c>
    </row>
    <row r="455" spans="1:42" ht="15" customHeight="1">
      <c r="A455" t="s">
        <v>3248</v>
      </c>
      <c r="B455" s="248" t="s">
        <v>2454</v>
      </c>
      <c r="C455" s="253">
        <f>'Dry_Litterbag Placem_Collection'!A16</f>
        <v>14</v>
      </c>
      <c r="D455" s="253" t="str">
        <f>'Dry_Litterbag Placem_Collection'!B16</f>
        <v>Makao</v>
      </c>
      <c r="E455" s="253" t="s">
        <v>2643</v>
      </c>
      <c r="F455" s="253" t="s">
        <v>2644</v>
      </c>
      <c r="G455" s="253">
        <v>2</v>
      </c>
      <c r="H455" s="253" t="s">
        <v>3103</v>
      </c>
      <c r="I455" s="254" t="str">
        <f>'Dry_Litterbag Placem_Collection'!C16</f>
        <v>Dry_Ag2_T6</v>
      </c>
      <c r="J455" s="263" t="s">
        <v>2932</v>
      </c>
      <c r="K455" s="256" t="s">
        <v>1147</v>
      </c>
      <c r="L455" s="221" t="str">
        <f>'WetLitterbags placem_collection'!O16</f>
        <v>G503</v>
      </c>
      <c r="M455" s="223">
        <f>IFERROR(INDEX('Green_rooibos initial weight'!$C$5:$C$2000,MATCH(L455, 'Green_rooibos initial weight'!$A$5:$A$2000,0)),"")</f>
        <v>1.9810000000000001</v>
      </c>
      <c r="N455" s="223">
        <f>IFERROR(M455-(TBIcalc!$H$9+TBIcalc!$H$10),"")</f>
        <v>1.7312000000000001</v>
      </c>
      <c r="O455" s="378">
        <f>AVERAGE(Ashed_controlls!$K$2:$K$11)</f>
        <v>5.5147656768714146</v>
      </c>
      <c r="P455" s="223">
        <f t="shared" si="36"/>
        <v>1.6357283766020021</v>
      </c>
      <c r="Q455" s="223">
        <f>IFERROR(INDEX('Both teabags AfterWet'!$C$3:$C$840,MATCH(L455,'Both teabags AfterWet'!$A$3:$A$840,0)),"")</f>
        <v>0.501</v>
      </c>
      <c r="R455" s="223">
        <f>IFERROR(IF(Q455&gt;0,Q455-(TBIcalc!$H$9),""),"")</f>
        <v>0.35039999999999999</v>
      </c>
      <c r="S455" s="223">
        <f>IFERROR(INDEX('Ashed teabags wet'!$K$2:$K$2000,MATCH(L455,'Ashed teabags wet'!$A$2:$A$2000,0)),"")</f>
        <v>12.970297029702667</v>
      </c>
      <c r="T455" s="223">
        <f t="shared" si="37"/>
        <v>0.30495207920792183</v>
      </c>
      <c r="U455" s="224">
        <f>'WetLitterbags placem_collection'!E16</f>
        <v>42766</v>
      </c>
      <c r="V455" s="224">
        <f>IF('WetLitterbags placem_collection'!G16="","",'WetLitterbags placem_collection'!G16)</f>
        <v>42818</v>
      </c>
      <c r="W455" s="225">
        <f t="shared" si="35"/>
        <v>52</v>
      </c>
      <c r="X455" s="223">
        <f t="shared" si="38"/>
        <v>1.3808</v>
      </c>
      <c r="Y455" s="223">
        <f t="shared" si="39"/>
        <v>1.3307762973940802</v>
      </c>
      <c r="Z455">
        <f>IFERROR(INDEX([1]Rainfall_Wet!$O$2:$O$217,MATCH(C455, [1]Rainfall_Wet!$A$2:$A$217,0)),"")</f>
        <v>194.43839254400001</v>
      </c>
      <c r="AA455" s="226">
        <v>21.13063730679653</v>
      </c>
      <c r="AB455" s="226">
        <v>3.0912555579081076</v>
      </c>
      <c r="AC455" s="226">
        <v>75.778107135295357</v>
      </c>
      <c r="AD455" s="227" t="s">
        <v>2651</v>
      </c>
      <c r="AE455" s="226">
        <v>5.4613109906357797</v>
      </c>
      <c r="AF455">
        <f>IF('WetLitterbags placem_collection'!AB16="","",'WetLitterbags placem_collection'!AB16)</f>
        <v>28.4</v>
      </c>
      <c r="AG455">
        <f>IF('WetLitterbags placem_collection'!Z16="","",'WetLitterbags placem_collection'!Z16)</f>
        <v>42.4</v>
      </c>
      <c r="AH455" s="236" t="str">
        <f>IF('WetLitterbags placem_collection'!AA16="","",'WetLitterbags placem_collection'!AA16)</f>
        <v>M</v>
      </c>
      <c r="AI455">
        <f>IF('WetLitterbags placem_collection'!AC16="","",'WetLitterbags placem_collection'!AC16)</f>
        <v>0</v>
      </c>
      <c r="AJ455" s="233">
        <f>AVERAGE('WetLitterbags placem_collection'!S16,'WetLitterbags placem_collection'!U16)</f>
        <v>15.7</v>
      </c>
      <c r="AK455">
        <f>AVERAGE('WetLitterbags placem_collection'!R16,'WetLitterbags placem_collection'!T16)</f>
        <v>24.1</v>
      </c>
      <c r="AL455">
        <f>INDEX([2]Coordinates!$B$2:$B$197,MATCH(I455,[2]Coordinates!$J$2:$J$197,0))</f>
        <v>-3.397854986</v>
      </c>
      <c r="AM455">
        <f>INDEX([2]Coordinates!$C$2:$C$197,MATCH(I455,[2]Coordinates!$J$2:$J$197,0))</f>
        <v>34.836874010000002</v>
      </c>
      <c r="AN455" t="str">
        <f>IF(ISNUMBER(SEARCH("C", 'WetLitterbags placem_collection'!$X16)),"YES","NO")</f>
        <v>NO</v>
      </c>
      <c r="AO455" t="str">
        <f>IF(ISNUMBER(SEARCH("H", 'WetLitterbags placem_collection'!$X16)),"YES","NO")</f>
        <v>NO</v>
      </c>
      <c r="AP455" t="str">
        <f>IF(ISNUMBER(SEARCH("R", 'WetLitterbags placem_collection'!$X16)),"YES","NO")</f>
        <v>NO</v>
      </c>
    </row>
    <row r="456" spans="1:42" ht="15" customHeight="1">
      <c r="A456" t="s">
        <v>3248</v>
      </c>
      <c r="B456" s="248" t="s">
        <v>2454</v>
      </c>
      <c r="C456" s="253">
        <f>'Dry_Litterbag Placem_Collection'!A17</f>
        <v>15</v>
      </c>
      <c r="D456" s="253" t="str">
        <f>'Dry_Litterbag Placem_Collection'!B17</f>
        <v>Makao</v>
      </c>
      <c r="E456" s="253" t="s">
        <v>2643</v>
      </c>
      <c r="F456" s="253" t="s">
        <v>2644</v>
      </c>
      <c r="G456" s="253">
        <v>2</v>
      </c>
      <c r="H456" s="253" t="s">
        <v>3103</v>
      </c>
      <c r="I456" s="254" t="str">
        <f>'Dry_Litterbag Placem_Collection'!C17</f>
        <v>Dry_Ag2_T7</v>
      </c>
      <c r="J456" s="263" t="s">
        <v>2932</v>
      </c>
      <c r="K456" s="256" t="s">
        <v>1147</v>
      </c>
      <c r="L456" s="221" t="str">
        <f>'WetLitterbags placem_collection'!O17</f>
        <v>G685</v>
      </c>
      <c r="M456" s="223">
        <f>IFERROR(INDEX('Green_rooibos initial weight'!$C$5:$C$2000,MATCH(L456, 'Green_rooibos initial weight'!$A$5:$A$2000,0)),"")</f>
        <v>1.9810000000000001</v>
      </c>
      <c r="N456" s="223">
        <f>IFERROR(M456-(TBIcalc!$H$9+TBIcalc!$H$10),"")</f>
        <v>1.7312000000000001</v>
      </c>
      <c r="O456" s="378">
        <f>AVERAGE(Ashed_controlls!$K$2:$K$11)</f>
        <v>5.5147656768714146</v>
      </c>
      <c r="P456" s="223">
        <f t="shared" si="36"/>
        <v>1.6357283766020021</v>
      </c>
      <c r="Q456" s="223">
        <f>IFERROR(INDEX('Both teabags AfterWet'!$C$3:$C$840,MATCH(L456,'Both teabags AfterWet'!$A$3:$A$840,0)),"")</f>
        <v>0.72199999999999998</v>
      </c>
      <c r="R456" s="223">
        <f>IFERROR(IF(Q456&gt;0,Q456-(TBIcalc!$H$9),""),"")</f>
        <v>0.57139999999999991</v>
      </c>
      <c r="S456" s="223">
        <f>IFERROR(INDEX('Ashed teabags wet'!$K$2:$K$2000,MATCH(L456,'Ashed teabags wet'!$A$2:$A$2000,0)),"")</f>
        <v>22.716049382715465</v>
      </c>
      <c r="T456" s="223">
        <f t="shared" si="37"/>
        <v>0.44160049382716376</v>
      </c>
      <c r="U456" s="224">
        <f>'WetLitterbags placem_collection'!E17</f>
        <v>42766</v>
      </c>
      <c r="V456" s="224">
        <f>IF('WetLitterbags placem_collection'!G17="","",'WetLitterbags placem_collection'!G17)</f>
        <v>42818</v>
      </c>
      <c r="W456" s="225">
        <f t="shared" si="35"/>
        <v>52</v>
      </c>
      <c r="X456" s="223">
        <f t="shared" si="38"/>
        <v>1.1598000000000002</v>
      </c>
      <c r="Y456" s="223">
        <f t="shared" si="39"/>
        <v>1.1941278827748383</v>
      </c>
      <c r="Z456">
        <f>IFERROR(INDEX([1]Rainfall_Wet!$O$2:$O$217,MATCH(C456, [1]Rainfall_Wet!$A$2:$A$217,0)),"")</f>
        <v>194.43839254400001</v>
      </c>
      <c r="AA456" s="226">
        <v>21.13063730679653</v>
      </c>
      <c r="AB456" s="226">
        <v>3.0912555579081076</v>
      </c>
      <c r="AC456" s="226">
        <v>75.778107135295357</v>
      </c>
      <c r="AD456" s="227" t="s">
        <v>2651</v>
      </c>
      <c r="AE456" s="226">
        <v>6.4613109906357797</v>
      </c>
      <c r="AF456">
        <f>IF('WetLitterbags placem_collection'!AB17="","",'WetLitterbags placem_collection'!AB17)</f>
        <v>15.8</v>
      </c>
      <c r="AG456">
        <f>IF('WetLitterbags placem_collection'!Z17="","",'WetLitterbags placem_collection'!Z17)</f>
        <v>30.4</v>
      </c>
      <c r="AH456" s="236" t="str">
        <f>IF('WetLitterbags placem_collection'!AA17="","",'WetLitterbags placem_collection'!AA17)</f>
        <v>M</v>
      </c>
      <c r="AI456">
        <f>IF('WetLitterbags placem_collection'!AC17="","",'WetLitterbags placem_collection'!AC17)</f>
        <v>0</v>
      </c>
      <c r="AJ456" s="233">
        <f>AVERAGE('WetLitterbags placem_collection'!S17,'WetLitterbags placem_collection'!U17)</f>
        <v>23.9</v>
      </c>
      <c r="AK456">
        <f>AVERAGE('WetLitterbags placem_collection'!R17,'WetLitterbags placem_collection'!T17)</f>
        <v>23.95</v>
      </c>
      <c r="AL456">
        <f>INDEX([2]Coordinates!$B$2:$B$197,MATCH(I456,[2]Coordinates!$J$2:$J$197,0))</f>
        <v>-3.3978060349999999</v>
      </c>
      <c r="AM456">
        <f>INDEX([2]Coordinates!$C$2:$C$197,MATCH(I456,[2]Coordinates!$J$2:$J$197,0))</f>
        <v>34.837023960000003</v>
      </c>
      <c r="AN456" t="str">
        <f>IF(ISNUMBER(SEARCH("C", 'WetLitterbags placem_collection'!$X17)),"YES","NO")</f>
        <v>NO</v>
      </c>
      <c r="AO456" t="str">
        <f>IF(ISNUMBER(SEARCH("H", 'WetLitterbags placem_collection'!$X17)),"YES","NO")</f>
        <v>NO</v>
      </c>
      <c r="AP456" t="str">
        <f>IF(ISNUMBER(SEARCH("R", 'WetLitterbags placem_collection'!$X17)),"YES","NO")</f>
        <v>YES</v>
      </c>
    </row>
    <row r="457" spans="1:42" ht="15" customHeight="1">
      <c r="A457" t="s">
        <v>3248</v>
      </c>
      <c r="B457" s="248" t="s">
        <v>2454</v>
      </c>
      <c r="C457" s="253">
        <f>'Dry_Litterbag Placem_Collection'!A18</f>
        <v>16</v>
      </c>
      <c r="D457" s="253" t="str">
        <f>'Dry_Litterbag Placem_Collection'!B18</f>
        <v>Makao</v>
      </c>
      <c r="E457" s="253" t="s">
        <v>2643</v>
      </c>
      <c r="F457" s="253" t="s">
        <v>2644</v>
      </c>
      <c r="G457" s="253">
        <v>2</v>
      </c>
      <c r="H457" s="253" t="s">
        <v>3103</v>
      </c>
      <c r="I457" s="254" t="str">
        <f>'Dry_Litterbag Placem_Collection'!C18</f>
        <v>Dry_Ag2_T8</v>
      </c>
      <c r="J457" s="263" t="s">
        <v>2932</v>
      </c>
      <c r="K457" s="256" t="s">
        <v>1147</v>
      </c>
      <c r="L457" s="221" t="str">
        <f>'WetLitterbags placem_collection'!O18</f>
        <v>G644</v>
      </c>
      <c r="M457" s="223">
        <f>IFERROR(INDEX('Green_rooibos initial weight'!$C$5:$C$2000,MATCH(L457, 'Green_rooibos initial weight'!$A$5:$A$2000,0)),"")</f>
        <v>2.157</v>
      </c>
      <c r="N457" s="223">
        <f>IFERROR(M457-(TBIcalc!$H$9+TBIcalc!$H$10),"")</f>
        <v>1.9072</v>
      </c>
      <c r="O457" s="378">
        <f>AVERAGE(Ashed_controlls!$K$2:$K$11)</f>
        <v>5.5147656768714146</v>
      </c>
      <c r="P457" s="223">
        <f t="shared" si="36"/>
        <v>1.8020223890107083</v>
      </c>
      <c r="Q457" s="223">
        <f>IFERROR(INDEX('Both teabags AfterWet'!$C$3:$C$840,MATCH(L457,'Both teabags AfterWet'!$A$3:$A$840,0)),"")</f>
        <v>0.65410000000000001</v>
      </c>
      <c r="R457" s="223">
        <f>IFERROR(IF(Q457&gt;0,Q457-(TBIcalc!$H$9),""),"")</f>
        <v>0.50350000000000006</v>
      </c>
      <c r="S457" s="223">
        <f>IFERROR(INDEX('Ashed teabags wet'!$K$2:$K$2000,MATCH(L457,'Ashed teabags wet'!$A$2:$A$2000,0)),"")</f>
        <v>8.8551859099799302</v>
      </c>
      <c r="T457" s="223">
        <f t="shared" si="37"/>
        <v>0.45891413894325112</v>
      </c>
      <c r="U457" s="224">
        <f>'WetLitterbags placem_collection'!E18</f>
        <v>42766</v>
      </c>
      <c r="V457" s="224">
        <f>IF('WetLitterbags placem_collection'!G18="","",'WetLitterbags placem_collection'!G18)</f>
        <v>42818</v>
      </c>
      <c r="W457" s="225">
        <f t="shared" si="35"/>
        <v>52</v>
      </c>
      <c r="X457" s="223">
        <f t="shared" si="38"/>
        <v>1.4036999999999999</v>
      </c>
      <c r="Y457" s="223">
        <f t="shared" si="39"/>
        <v>1.3431082500674572</v>
      </c>
      <c r="Z457">
        <f>IFERROR(INDEX([1]Rainfall_Wet!$O$2:$O$217,MATCH(C457, [1]Rainfall_Wet!$A$2:$A$217,0)),"")</f>
        <v>194.43839254400001</v>
      </c>
      <c r="AA457" s="226">
        <v>21.13063730679653</v>
      </c>
      <c r="AB457" s="226">
        <v>3.0912555579081076</v>
      </c>
      <c r="AC457" s="226">
        <v>75.778107135295357</v>
      </c>
      <c r="AD457" s="227" t="s">
        <v>2651</v>
      </c>
      <c r="AE457" s="226">
        <v>7.4613109906357797</v>
      </c>
      <c r="AF457">
        <f>IF('WetLitterbags placem_collection'!AB18="","",'WetLitterbags placem_collection'!AB18)</f>
        <v>8</v>
      </c>
      <c r="AG457">
        <f>IF('WetLitterbags placem_collection'!Z18="","",'WetLitterbags placem_collection'!Z18)</f>
        <v>12.4</v>
      </c>
      <c r="AH457" s="236" t="str">
        <f>IF('WetLitterbags placem_collection'!AA18="","",'WetLitterbags placem_collection'!AA18)</f>
        <v>M</v>
      </c>
      <c r="AI457">
        <f>IF('WetLitterbags placem_collection'!AC18="","",'WetLitterbags placem_collection'!AC18)</f>
        <v>0</v>
      </c>
      <c r="AJ457" s="233">
        <f>AVERAGE('WetLitterbags placem_collection'!S18,'WetLitterbags placem_collection'!U18)</f>
        <v>17.5</v>
      </c>
      <c r="AK457">
        <f>AVERAGE('WetLitterbags placem_collection'!R18,'WetLitterbags placem_collection'!T18)</f>
        <v>24.05</v>
      </c>
      <c r="AL457">
        <f>INDEX([2]Coordinates!$B$2:$B$197,MATCH(I457,[2]Coordinates!$J$2:$J$197,0))</f>
        <v>-3.3977669760000002</v>
      </c>
      <c r="AM457">
        <f>INDEX([2]Coordinates!$C$2:$C$197,MATCH(I457,[2]Coordinates!$J$2:$J$197,0))</f>
        <v>34.837181039999997</v>
      </c>
      <c r="AN457" t="str">
        <f>IF(ISNUMBER(SEARCH("C", 'WetLitterbags placem_collection'!$X18)),"YES","NO")</f>
        <v>NO</v>
      </c>
      <c r="AO457" t="str">
        <f>IF(ISNUMBER(SEARCH("H", 'WetLitterbags placem_collection'!$X18)),"YES","NO")</f>
        <v>NO</v>
      </c>
      <c r="AP457" t="str">
        <f>IF(ISNUMBER(SEARCH("R", 'WetLitterbags placem_collection'!$X18)),"YES","NO")</f>
        <v>YES</v>
      </c>
    </row>
    <row r="458" spans="1:42" ht="15" customHeight="1">
      <c r="A458" t="s">
        <v>3248</v>
      </c>
      <c r="B458" s="248" t="s">
        <v>2454</v>
      </c>
      <c r="C458" s="253">
        <f>'Dry_Litterbag Placem_Collection'!A19</f>
        <v>17</v>
      </c>
      <c r="D458" s="253" t="str">
        <f>'Dry_Litterbag Placem_Collection'!B19</f>
        <v>Makao</v>
      </c>
      <c r="E458" s="253" t="s">
        <v>2643</v>
      </c>
      <c r="F458" s="253" t="s">
        <v>2644</v>
      </c>
      <c r="G458" s="253">
        <v>3</v>
      </c>
      <c r="H458" s="253" t="s">
        <v>3104</v>
      </c>
      <c r="I458" s="254" t="str">
        <f>'Dry_Litterbag Placem_Collection'!C19</f>
        <v>Dry_Ag3_T1</v>
      </c>
      <c r="J458" s="263" t="s">
        <v>2932</v>
      </c>
      <c r="K458" s="256" t="s">
        <v>1147</v>
      </c>
      <c r="L458" s="221" t="str">
        <f>'WetLitterbags placem_collection'!O19</f>
        <v>G648</v>
      </c>
      <c r="M458" s="223">
        <f>IFERROR(INDEX('Green_rooibos initial weight'!$C$5:$C$2000,MATCH(L458, 'Green_rooibos initial weight'!$A$5:$A$2000,0)),"")</f>
        <v>2.0249999999999999</v>
      </c>
      <c r="N458" s="223">
        <f>IFERROR(M458-(TBIcalc!$H$9+TBIcalc!$H$10),"")</f>
        <v>1.7751999999999999</v>
      </c>
      <c r="O458" s="378">
        <f>AVERAGE(Ashed_controlls!$K$2:$K$11)</f>
        <v>5.5147656768714146</v>
      </c>
      <c r="P458" s="223">
        <f t="shared" si="36"/>
        <v>1.6773018797041785</v>
      </c>
      <c r="Q458" s="223">
        <f>IFERROR(INDEX('Both teabags AfterWet'!$C$3:$C$840,MATCH(L458,'Both teabags AfterWet'!$A$3:$A$840,0)),"")</f>
        <v>0.6905</v>
      </c>
      <c r="R458" s="223">
        <f>IFERROR(IF(Q458&gt;0,Q458-(TBIcalc!$H$9),""),"")</f>
        <v>0.53990000000000005</v>
      </c>
      <c r="S458" s="223">
        <f>IFERROR(INDEX('Ashed teabags wet'!$K$2:$K$2000,MATCH(L458,'Ashed teabags wet'!$A$2:$A$2000,0)),"")</f>
        <v>10.088582677165091</v>
      </c>
      <c r="T458" s="223">
        <f t="shared" si="37"/>
        <v>0.48543174212598572</v>
      </c>
      <c r="U458" s="224">
        <f>'WetLitterbags placem_collection'!E19</f>
        <v>42767</v>
      </c>
      <c r="V458" s="224">
        <f>IF('WetLitterbags placem_collection'!G19="","",'WetLitterbags placem_collection'!G19)</f>
        <v>42818</v>
      </c>
      <c r="W458" s="225">
        <f t="shared" si="35"/>
        <v>51</v>
      </c>
      <c r="X458" s="223">
        <f t="shared" si="38"/>
        <v>1.2352999999999998</v>
      </c>
      <c r="Y458" s="223">
        <f t="shared" si="39"/>
        <v>1.1918701375781928</v>
      </c>
      <c r="Z458">
        <f>IFERROR(INDEX([1]Rainfall_Wet!$O$2:$O$217,MATCH(C458, [1]Rainfall_Wet!$A$2:$A$217,0)),"")</f>
        <v>185.630065823</v>
      </c>
      <c r="AA458" s="226">
        <v>54.080969906906262</v>
      </c>
      <c r="AB458" s="226">
        <v>21.264484651351896</v>
      </c>
      <c r="AC458" s="226">
        <v>24.654545441741845</v>
      </c>
      <c r="AD458" s="227" t="s">
        <v>2654</v>
      </c>
      <c r="AE458" s="226">
        <v>1.8433218334154755</v>
      </c>
      <c r="AF458" t="str">
        <f>IF('WetLitterbags placem_collection'!AB19="","",'WetLitterbags placem_collection'!AB19)</f>
        <v/>
      </c>
      <c r="AG458" t="str">
        <f>IF('WetLitterbags placem_collection'!Z19="","",'WetLitterbags placem_collection'!Z19)</f>
        <v/>
      </c>
      <c r="AH458" s="236" t="str">
        <f>IF('WetLitterbags placem_collection'!AA19="","",'WetLitterbags placem_collection'!AA19)</f>
        <v/>
      </c>
      <c r="AI458" t="str">
        <f>IF('WetLitterbags placem_collection'!AC19="","",'WetLitterbags placem_collection'!AC19)</f>
        <v/>
      </c>
      <c r="AJ458" s="233">
        <f>AVERAGE('WetLitterbags placem_collection'!S19,'WetLitterbags placem_collection'!U19)</f>
        <v>35.9</v>
      </c>
      <c r="AK458">
        <f>AVERAGE('WetLitterbags placem_collection'!R19,'WetLitterbags placem_collection'!T19)</f>
        <v>21.35</v>
      </c>
      <c r="AL458">
        <f>INDEX([2]Coordinates!$B$2:$B$197,MATCH(I458,[2]Coordinates!$J$2:$J$197,0))</f>
        <v>-3.3854090330000002</v>
      </c>
      <c r="AM458">
        <f>INDEX([2]Coordinates!$C$2:$C$197,MATCH(I458,[2]Coordinates!$J$2:$J$197,0))</f>
        <v>34.818901029999999</v>
      </c>
      <c r="AN458" t="str">
        <f>IF(ISNUMBER(SEARCH("C", 'WetLitterbags placem_collection'!$X19)),"YES","NO")</f>
        <v>NO</v>
      </c>
      <c r="AO458" t="str">
        <f>IF(ISNUMBER(SEARCH("H", 'WetLitterbags placem_collection'!$X19)),"YES","NO")</f>
        <v>NO</v>
      </c>
      <c r="AP458" t="str">
        <f>IF(ISNUMBER(SEARCH("R", 'WetLitterbags placem_collection'!$X19)),"YES","NO")</f>
        <v>YES</v>
      </c>
    </row>
    <row r="459" spans="1:42" ht="15" customHeight="1">
      <c r="A459" t="s">
        <v>3248</v>
      </c>
      <c r="B459" s="248" t="s">
        <v>2454</v>
      </c>
      <c r="C459" s="253">
        <f>'Dry_Litterbag Placem_Collection'!A20</f>
        <v>18</v>
      </c>
      <c r="D459" s="253" t="str">
        <f>'Dry_Litterbag Placem_Collection'!B20</f>
        <v>Makao</v>
      </c>
      <c r="E459" s="253" t="s">
        <v>2643</v>
      </c>
      <c r="F459" s="253" t="s">
        <v>2644</v>
      </c>
      <c r="G459" s="253">
        <v>3</v>
      </c>
      <c r="H459" s="253" t="s">
        <v>3104</v>
      </c>
      <c r="I459" s="254" t="str">
        <f>'Dry_Litterbag Placem_Collection'!C20</f>
        <v>Dry_Ag3_T2</v>
      </c>
      <c r="J459" s="263" t="s">
        <v>2932</v>
      </c>
      <c r="K459" s="256" t="s">
        <v>1147</v>
      </c>
      <c r="L459" s="221" t="str">
        <f>'WetLitterbags placem_collection'!O20</f>
        <v>G573</v>
      </c>
      <c r="M459" s="223">
        <f>IFERROR(INDEX('Green_rooibos initial weight'!$C$5:$C$2000,MATCH(L459, 'Green_rooibos initial weight'!$A$5:$A$2000,0)),"")</f>
        <v>2.0019999999999998</v>
      </c>
      <c r="N459" s="223">
        <f>IFERROR(M459-(TBIcalc!$H$9+TBIcalc!$H$10),"")</f>
        <v>1.7521999999999998</v>
      </c>
      <c r="O459" s="378">
        <f>AVERAGE(Ashed_controlls!$K$2:$K$11)</f>
        <v>5.5147656768714146</v>
      </c>
      <c r="P459" s="223">
        <f t="shared" si="36"/>
        <v>1.6555702758098589</v>
      </c>
      <c r="Q459" s="223">
        <f>IFERROR(INDEX('Both teabags AfterWet'!$C$3:$C$840,MATCH(L459,'Both teabags AfterWet'!$A$3:$A$840,0)),"")</f>
        <v>0.72099999999999997</v>
      </c>
      <c r="R459" s="223">
        <f>IFERROR(IF(Q459&gt;0,Q459-(TBIcalc!$H$9),""),"")</f>
        <v>0.57040000000000002</v>
      </c>
      <c r="S459" s="223">
        <f>IFERROR(INDEX('Ashed teabags wet'!$K$2:$K$2000,MATCH(L459,'Ashed teabags wet'!$A$2:$A$2000,0)),"")</f>
        <v>14.100096246390503</v>
      </c>
      <c r="T459" s="223">
        <f t="shared" si="37"/>
        <v>0.48997305101058858</v>
      </c>
      <c r="U459" s="224">
        <f>'WetLitterbags placem_collection'!E20</f>
        <v>42767</v>
      </c>
      <c r="V459" s="224">
        <f>IF('WetLitterbags placem_collection'!G20="","",'WetLitterbags placem_collection'!G20)</f>
        <v>42818</v>
      </c>
      <c r="W459" s="225">
        <f t="shared" si="35"/>
        <v>51</v>
      </c>
      <c r="X459" s="223">
        <f t="shared" si="38"/>
        <v>1.1817999999999997</v>
      </c>
      <c r="Y459" s="223">
        <f t="shared" si="39"/>
        <v>1.1655972247992703</v>
      </c>
      <c r="Z459">
        <f>IFERROR(INDEX([1]Rainfall_Wet!$O$2:$O$217,MATCH(C459, [1]Rainfall_Wet!$A$2:$A$217,0)),"")</f>
        <v>185.630065823</v>
      </c>
      <c r="AA459" s="226">
        <v>54.080969906906262</v>
      </c>
      <c r="AB459" s="226">
        <v>21.264484651351896</v>
      </c>
      <c r="AC459" s="226">
        <v>24.654545441741845</v>
      </c>
      <c r="AD459" s="227" t="s">
        <v>2654</v>
      </c>
      <c r="AE459" s="226">
        <v>2.8433218334154802</v>
      </c>
      <c r="AF459" t="str">
        <f>IF('WetLitterbags placem_collection'!AB20="","",'WetLitterbags placem_collection'!AB20)</f>
        <v/>
      </c>
      <c r="AG459" t="str">
        <f>IF('WetLitterbags placem_collection'!Z20="","",'WetLitterbags placem_collection'!Z20)</f>
        <v/>
      </c>
      <c r="AH459" s="236" t="str">
        <f>IF('WetLitterbags placem_collection'!AA20="","",'WetLitterbags placem_collection'!AA20)</f>
        <v/>
      </c>
      <c r="AI459" t="str">
        <f>IF('WetLitterbags placem_collection'!AC20="","",'WetLitterbags placem_collection'!AC20)</f>
        <v/>
      </c>
      <c r="AJ459" s="233">
        <f>AVERAGE('WetLitterbags placem_collection'!S20,'WetLitterbags placem_collection'!U20)</f>
        <v>36.950000000000003</v>
      </c>
      <c r="AK459">
        <f>AVERAGE('WetLitterbags placem_collection'!R20,'WetLitterbags placem_collection'!T20)</f>
        <v>21.35</v>
      </c>
      <c r="AL459">
        <f>INDEX([2]Coordinates!$B$2:$B$197,MATCH(I459,[2]Coordinates!$J$2:$J$197,0))</f>
        <v>-3.385375002</v>
      </c>
      <c r="AM459">
        <f>INDEX([2]Coordinates!$C$2:$C$197,MATCH(I459,[2]Coordinates!$J$2:$J$197,0))</f>
        <v>34.818939999999998</v>
      </c>
      <c r="AN459" t="str">
        <f>IF(ISNUMBER(SEARCH("C", 'WetLitterbags placem_collection'!$X20)),"YES","NO")</f>
        <v>NO</v>
      </c>
      <c r="AO459" t="str">
        <f>IF(ISNUMBER(SEARCH("H", 'WetLitterbags placem_collection'!$X20)),"YES","NO")</f>
        <v>NO</v>
      </c>
      <c r="AP459" t="str">
        <f>IF(ISNUMBER(SEARCH("R", 'WetLitterbags placem_collection'!$X20)),"YES","NO")</f>
        <v>YES</v>
      </c>
    </row>
    <row r="460" spans="1:42" ht="15" customHeight="1">
      <c r="A460" t="s">
        <v>3248</v>
      </c>
      <c r="B460" s="248" t="s">
        <v>2454</v>
      </c>
      <c r="C460" s="253">
        <f>'Dry_Litterbag Placem_Collection'!A21</f>
        <v>19</v>
      </c>
      <c r="D460" s="253" t="str">
        <f>'Dry_Litterbag Placem_Collection'!B21</f>
        <v>Makao</v>
      </c>
      <c r="E460" s="253" t="s">
        <v>2643</v>
      </c>
      <c r="F460" s="253" t="s">
        <v>2644</v>
      </c>
      <c r="G460" s="253">
        <v>3</v>
      </c>
      <c r="H460" s="253" t="s">
        <v>3104</v>
      </c>
      <c r="I460" s="254" t="str">
        <f>'Dry_Litterbag Placem_Collection'!C21</f>
        <v>Dry_Ag3_T3</v>
      </c>
      <c r="J460" s="263" t="s">
        <v>2932</v>
      </c>
      <c r="K460" s="256" t="s">
        <v>1147</v>
      </c>
      <c r="L460" s="221" t="str">
        <f>'WetLitterbags placem_collection'!O21</f>
        <v>G639</v>
      </c>
      <c r="M460" s="223">
        <f>IFERROR(INDEX('Green_rooibos initial weight'!$C$5:$C$2000,MATCH(L460, 'Green_rooibos initial weight'!$A$5:$A$2000,0)),"")</f>
        <v>2.1909999999999998</v>
      </c>
      <c r="N460" s="223">
        <f>IFERROR(M460-(TBIcalc!$H$9+TBIcalc!$H$10),"")</f>
        <v>1.9411999999999998</v>
      </c>
      <c r="O460" s="378">
        <f>AVERAGE(Ashed_controlls!$K$2:$K$11)</f>
        <v>5.5147656768714146</v>
      </c>
      <c r="P460" s="223">
        <f t="shared" si="36"/>
        <v>1.834147368680572</v>
      </c>
      <c r="Q460" s="223">
        <f>IFERROR(INDEX('Both teabags AfterWet'!$C$3:$C$840,MATCH(L460,'Both teabags AfterWet'!$A$3:$A$840,0)),"")</f>
        <v>0.89200000000000002</v>
      </c>
      <c r="R460" s="223">
        <f>IFERROR(IF(Q460&gt;0,Q460-(TBIcalc!$H$9),""),"")</f>
        <v>0.74140000000000006</v>
      </c>
      <c r="S460" s="223">
        <f>IFERROR(INDEX('Ashed teabags wet'!$K$2:$K$2000,MATCH(L460,'Ashed teabags wet'!$A$2:$A$2000,0)),"")</f>
        <v>16.616616616617133</v>
      </c>
      <c r="T460" s="223">
        <f t="shared" si="37"/>
        <v>0.61820440440440061</v>
      </c>
      <c r="U460" s="224">
        <f>'WetLitterbags placem_collection'!E21</f>
        <v>42767</v>
      </c>
      <c r="V460" s="224">
        <f>IF('WetLitterbags placem_collection'!G21="","",'WetLitterbags placem_collection'!G21)</f>
        <v>42818</v>
      </c>
      <c r="W460" s="225">
        <f t="shared" si="35"/>
        <v>51</v>
      </c>
      <c r="X460" s="223">
        <f t="shared" si="38"/>
        <v>1.1997999999999998</v>
      </c>
      <c r="Y460" s="223">
        <f t="shared" si="39"/>
        <v>1.2159429642761714</v>
      </c>
      <c r="Z460">
        <f>IFERROR(INDEX([1]Rainfall_Wet!$O$2:$O$217,MATCH(C460, [1]Rainfall_Wet!$A$2:$A$217,0)),"")</f>
        <v>185.630065823</v>
      </c>
      <c r="AA460" s="226">
        <v>54.080969906906262</v>
      </c>
      <c r="AB460" s="226">
        <v>21.264484651351896</v>
      </c>
      <c r="AC460" s="226">
        <v>24.654545441741845</v>
      </c>
      <c r="AD460" s="227" t="s">
        <v>2654</v>
      </c>
      <c r="AE460" s="226">
        <v>3.8433218334154802</v>
      </c>
      <c r="AF460" t="str">
        <f>IF('WetLitterbags placem_collection'!AB21="","",'WetLitterbags placem_collection'!AB21)</f>
        <v/>
      </c>
      <c r="AG460" t="str">
        <f>IF('WetLitterbags placem_collection'!Z21="","",'WetLitterbags placem_collection'!Z21)</f>
        <v/>
      </c>
      <c r="AH460" s="236" t="str">
        <f>IF('WetLitterbags placem_collection'!AA21="","",'WetLitterbags placem_collection'!AA21)</f>
        <v/>
      </c>
      <c r="AI460" t="str">
        <f>IF('WetLitterbags placem_collection'!AC21="","",'WetLitterbags placem_collection'!AC21)</f>
        <v/>
      </c>
      <c r="AJ460" s="233">
        <f>AVERAGE('WetLitterbags placem_collection'!S21,'WetLitterbags placem_collection'!U21)</f>
        <v>39.299999999999997</v>
      </c>
      <c r="AK460">
        <f>AVERAGE('WetLitterbags placem_collection'!R21,'WetLitterbags placem_collection'!T21)</f>
        <v>21.1</v>
      </c>
      <c r="AL460">
        <f>INDEX([2]Coordinates!$B$2:$B$197,MATCH(I460,[2]Coordinates!$J$2:$J$197,0))</f>
        <v>-3.3853589930000001</v>
      </c>
      <c r="AM460">
        <f>INDEX([2]Coordinates!$C$2:$C$197,MATCH(I460,[2]Coordinates!$J$2:$J$197,0))</f>
        <v>34.818991969999999</v>
      </c>
      <c r="AN460" t="str">
        <f>IF(ISNUMBER(SEARCH("C", 'WetLitterbags placem_collection'!$X21)),"YES","NO")</f>
        <v>NO</v>
      </c>
      <c r="AO460" t="str">
        <f>IF(ISNUMBER(SEARCH("H", 'WetLitterbags placem_collection'!$X21)),"YES","NO")</f>
        <v>NO</v>
      </c>
      <c r="AP460" t="str">
        <f>IF(ISNUMBER(SEARCH("R", 'WetLitterbags placem_collection'!$X21)),"YES","NO")</f>
        <v>NO</v>
      </c>
    </row>
    <row r="461" spans="1:42" ht="15" customHeight="1">
      <c r="A461" t="s">
        <v>3248</v>
      </c>
      <c r="B461" s="248" t="s">
        <v>2454</v>
      </c>
      <c r="C461" s="253">
        <f>'Dry_Litterbag Placem_Collection'!A22</f>
        <v>20</v>
      </c>
      <c r="D461" s="253" t="str">
        <f>'Dry_Litterbag Placem_Collection'!B22</f>
        <v>Makao</v>
      </c>
      <c r="E461" s="253" t="s">
        <v>2643</v>
      </c>
      <c r="F461" s="253" t="s">
        <v>2644</v>
      </c>
      <c r="G461" s="253">
        <v>3</v>
      </c>
      <c r="H461" s="253" t="s">
        <v>3104</v>
      </c>
      <c r="I461" s="254" t="str">
        <f>'Dry_Litterbag Placem_Collection'!C22</f>
        <v>Dry_Ag3_T4</v>
      </c>
      <c r="J461" s="263" t="s">
        <v>2932</v>
      </c>
      <c r="K461" s="256" t="s">
        <v>1147</v>
      </c>
      <c r="L461" s="221" t="str">
        <f>'WetLitterbags placem_collection'!O22</f>
        <v>G505</v>
      </c>
      <c r="M461" s="223">
        <f>IFERROR(INDEX('Green_rooibos initial weight'!$C$5:$C$2000,MATCH(L461, 'Green_rooibos initial weight'!$A$5:$A$2000,0)),"")</f>
        <v>2.0510000000000002</v>
      </c>
      <c r="N461" s="223">
        <f>IFERROR(M461-(TBIcalc!$H$9+TBIcalc!$H$10),"")</f>
        <v>1.8012000000000001</v>
      </c>
      <c r="O461" s="378">
        <f>AVERAGE(Ashed_controlls!$K$2:$K$11)</f>
        <v>5.5147656768714146</v>
      </c>
      <c r="P461" s="223">
        <f t="shared" si="36"/>
        <v>1.7018680406281923</v>
      </c>
      <c r="Q461" s="223">
        <f>IFERROR(INDEX('Both teabags AfterWet'!$C$3:$C$840,MATCH(L461,'Both teabags AfterWet'!$A$3:$A$840,0)),"")</f>
        <v>0.70330000000000004</v>
      </c>
      <c r="R461" s="223">
        <f>IFERROR(IF(Q461&gt;0,Q461-(TBIcalc!$H$9),""),"")</f>
        <v>0.55269999999999997</v>
      </c>
      <c r="S461" s="223">
        <f>IFERROR(INDEX('Ashed teabags wet'!$K$2:$K$2000,MATCH(L461,'Ashed teabags wet'!$A$2:$A$2000,0)),"")</f>
        <v>10.945273631841108</v>
      </c>
      <c r="T461" s="223">
        <f t="shared" si="37"/>
        <v>0.49220547263681419</v>
      </c>
      <c r="U461" s="224">
        <f>'WetLitterbags placem_collection'!E22</f>
        <v>42767</v>
      </c>
      <c r="V461" s="224">
        <f>IF('WetLitterbags placem_collection'!G22="","",'WetLitterbags placem_collection'!G22)</f>
        <v>42818</v>
      </c>
      <c r="W461" s="225">
        <f t="shared" si="35"/>
        <v>51</v>
      </c>
      <c r="X461" s="223">
        <f t="shared" si="38"/>
        <v>1.2485000000000002</v>
      </c>
      <c r="Y461" s="223">
        <f t="shared" si="39"/>
        <v>1.2096625679913782</v>
      </c>
      <c r="Z461">
        <f>IFERROR(INDEX([1]Rainfall_Wet!$O$2:$O$217,MATCH(C461, [1]Rainfall_Wet!$A$2:$A$217,0)),"")</f>
        <v>185.630065823</v>
      </c>
      <c r="AA461" s="226">
        <v>54.080969906906262</v>
      </c>
      <c r="AB461" s="226">
        <v>21.264484651351896</v>
      </c>
      <c r="AC461" s="226">
        <v>24.654545441741845</v>
      </c>
      <c r="AD461" s="227" t="s">
        <v>2654</v>
      </c>
      <c r="AE461" s="226">
        <v>4.8433218334154802</v>
      </c>
      <c r="AF461" t="str">
        <f>IF('WetLitterbags placem_collection'!AB22="","",'WetLitterbags placem_collection'!AB22)</f>
        <v/>
      </c>
      <c r="AG461" t="str">
        <f>IF('WetLitterbags placem_collection'!Z22="","",'WetLitterbags placem_collection'!Z22)</f>
        <v/>
      </c>
      <c r="AH461" s="236" t="str">
        <f>IF('WetLitterbags placem_collection'!AA22="","",'WetLitterbags placem_collection'!AA22)</f>
        <v/>
      </c>
      <c r="AI461" t="str">
        <f>IF('WetLitterbags placem_collection'!AC22="","",'WetLitterbags placem_collection'!AC22)</f>
        <v/>
      </c>
      <c r="AJ461" s="233">
        <f>AVERAGE('WetLitterbags placem_collection'!S22,'WetLitterbags placem_collection'!U22)</f>
        <v>40.049999999999997</v>
      </c>
      <c r="AK461">
        <f>AVERAGE('WetLitterbags placem_collection'!R22,'WetLitterbags placem_collection'!T22)</f>
        <v>21.35</v>
      </c>
      <c r="AL461">
        <f>INDEX([2]Coordinates!$B$2:$B$197,MATCH(I461,[2]Coordinates!$J$2:$J$197,0))</f>
        <v>-3.3853969629999998</v>
      </c>
      <c r="AM461">
        <f>INDEX([2]Coordinates!$C$2:$C$197,MATCH(I461,[2]Coordinates!$J$2:$J$197,0))</f>
        <v>34.818977969999999</v>
      </c>
      <c r="AN461" t="str">
        <f>IF(ISNUMBER(SEARCH("C", 'WetLitterbags placem_collection'!$X22)),"YES","NO")</f>
        <v>NO</v>
      </c>
      <c r="AO461" t="str">
        <f>IF(ISNUMBER(SEARCH("H", 'WetLitterbags placem_collection'!$X22)),"YES","NO")</f>
        <v>NO</v>
      </c>
      <c r="AP461" t="str">
        <f>IF(ISNUMBER(SEARCH("R", 'WetLitterbags placem_collection'!$X22)),"YES","NO")</f>
        <v>NO</v>
      </c>
    </row>
    <row r="462" spans="1:42" ht="15" customHeight="1">
      <c r="A462" t="s">
        <v>3248</v>
      </c>
      <c r="B462" s="248" t="s">
        <v>2454</v>
      </c>
      <c r="C462" s="253">
        <f>'Dry_Litterbag Placem_Collection'!A23</f>
        <v>21</v>
      </c>
      <c r="D462" s="253" t="str">
        <f>'Dry_Litterbag Placem_Collection'!B23</f>
        <v>Makao</v>
      </c>
      <c r="E462" s="253" t="s">
        <v>2643</v>
      </c>
      <c r="F462" s="253" t="s">
        <v>2644</v>
      </c>
      <c r="G462" s="253">
        <v>3</v>
      </c>
      <c r="H462" s="253" t="s">
        <v>3104</v>
      </c>
      <c r="I462" s="254" t="str">
        <f>'Dry_Litterbag Placem_Collection'!C23</f>
        <v>Dry_Ag3_T5</v>
      </c>
      <c r="J462" s="263" t="s">
        <v>2932</v>
      </c>
      <c r="K462" s="256" t="s">
        <v>1147</v>
      </c>
      <c r="L462" s="221" t="str">
        <f>'WetLitterbags placem_collection'!O23</f>
        <v>G721</v>
      </c>
      <c r="M462" s="223">
        <f>IFERROR(INDEX('Green_rooibos initial weight'!$C$5:$C$2000,MATCH(L462, 'Green_rooibos initial weight'!$A$5:$A$2000,0)),"")</f>
        <v>1.9910000000000001</v>
      </c>
      <c r="N462" s="223">
        <f>IFERROR(M462-(TBIcalc!$H$9+TBIcalc!$H$10),"")</f>
        <v>1.7412000000000001</v>
      </c>
      <c r="O462" s="378">
        <f>AVERAGE(Ashed_controlls!$K$2:$K$11)</f>
        <v>5.5147656768714146</v>
      </c>
      <c r="P462" s="223">
        <f t="shared" si="36"/>
        <v>1.645176900034315</v>
      </c>
      <c r="Q462" s="223">
        <f>IFERROR(INDEX('Both teabags AfterWet'!$C$3:$C$840,MATCH(L462,'Both teabags AfterWet'!$A$3:$A$840,0)),"")</f>
        <v>0.66739999999999999</v>
      </c>
      <c r="R462" s="223">
        <f>IFERROR(IF(Q462&gt;0,Q462-(TBIcalc!$H$9),""),"")</f>
        <v>0.51679999999999993</v>
      </c>
      <c r="S462" s="223">
        <f>IFERROR(INDEX('Ashed teabags wet'!$K$2:$K$2000,MATCH(L462,'Ashed teabags wet'!$A$2:$A$2000,0)),"")</f>
        <v>10.415623435152472</v>
      </c>
      <c r="T462" s="223">
        <f t="shared" si="37"/>
        <v>0.46297205808713193</v>
      </c>
      <c r="U462" s="224">
        <f>'WetLitterbags placem_collection'!E23</f>
        <v>42767</v>
      </c>
      <c r="V462" s="224">
        <f>IF('WetLitterbags placem_collection'!G23="","",'WetLitterbags placem_collection'!G23)</f>
        <v>42818</v>
      </c>
      <c r="W462" s="225">
        <f t="shared" si="35"/>
        <v>51</v>
      </c>
      <c r="X462" s="223">
        <f t="shared" si="38"/>
        <v>1.2244000000000002</v>
      </c>
      <c r="Y462" s="223">
        <f t="shared" si="39"/>
        <v>1.1822048419471831</v>
      </c>
      <c r="Z462">
        <f>IFERROR(INDEX([1]Rainfall_Wet!$O$2:$O$217,MATCH(C462, [1]Rainfall_Wet!$A$2:$A$217,0)),"")</f>
        <v>185.630065823</v>
      </c>
      <c r="AA462" s="226">
        <v>54.080969906906262</v>
      </c>
      <c r="AB462" s="226">
        <v>21.264484651351896</v>
      </c>
      <c r="AC462" s="226">
        <v>24.654545441741845</v>
      </c>
      <c r="AD462" s="227" t="s">
        <v>2654</v>
      </c>
      <c r="AE462" s="226">
        <v>5.8433218334154802</v>
      </c>
      <c r="AF462" t="str">
        <f>IF('WetLitterbags placem_collection'!AB23="","",'WetLitterbags placem_collection'!AB23)</f>
        <v/>
      </c>
      <c r="AG462" t="str">
        <f>IF('WetLitterbags placem_collection'!Z23="","",'WetLitterbags placem_collection'!Z23)</f>
        <v/>
      </c>
      <c r="AH462" s="236" t="str">
        <f>IF('WetLitterbags placem_collection'!AA23="","",'WetLitterbags placem_collection'!AA23)</f>
        <v/>
      </c>
      <c r="AI462" t="str">
        <f>IF('WetLitterbags placem_collection'!AC23="","",'WetLitterbags placem_collection'!AC23)</f>
        <v/>
      </c>
      <c r="AJ462" s="233">
        <f>AVERAGE('WetLitterbags placem_collection'!S23,'WetLitterbags placem_collection'!U23)</f>
        <v>34.150000000000006</v>
      </c>
      <c r="AK462">
        <f>AVERAGE('WetLitterbags placem_collection'!R23,'WetLitterbags placem_collection'!T23)</f>
        <v>20.6</v>
      </c>
      <c r="AL462">
        <f>INDEX([2]Coordinates!$B$2:$B$197,MATCH(I462,[2]Coordinates!$J$2:$J$197,0))</f>
        <v>-3.3854019919999998</v>
      </c>
      <c r="AM462">
        <f>INDEX([2]Coordinates!$C$2:$C$197,MATCH(I462,[2]Coordinates!$J$2:$J$197,0))</f>
        <v>34.81894604</v>
      </c>
      <c r="AN462" t="str">
        <f>IF(ISNUMBER(SEARCH("C", 'WetLitterbags placem_collection'!$X23)),"YES","NO")</f>
        <v>NO</v>
      </c>
      <c r="AO462" t="str">
        <f>IF(ISNUMBER(SEARCH("H", 'WetLitterbags placem_collection'!$X23)),"YES","NO")</f>
        <v>NO</v>
      </c>
      <c r="AP462" t="str">
        <f>IF(ISNUMBER(SEARCH("R", 'WetLitterbags placem_collection'!$X23)),"YES","NO")</f>
        <v>NO</v>
      </c>
    </row>
    <row r="463" spans="1:42" ht="15" customHeight="1">
      <c r="A463" t="s">
        <v>3248</v>
      </c>
      <c r="B463" s="248" t="s">
        <v>2454</v>
      </c>
      <c r="C463" s="253">
        <f>'Dry_Litterbag Placem_Collection'!A24</f>
        <v>22</v>
      </c>
      <c r="D463" s="253" t="str">
        <f>'Dry_Litterbag Placem_Collection'!B24</f>
        <v>Makao</v>
      </c>
      <c r="E463" s="253" t="s">
        <v>2643</v>
      </c>
      <c r="F463" s="253" t="s">
        <v>2644</v>
      </c>
      <c r="G463" s="253">
        <v>3</v>
      </c>
      <c r="H463" s="253" t="s">
        <v>3104</v>
      </c>
      <c r="I463" s="254" t="str">
        <f>'Dry_Litterbag Placem_Collection'!C24</f>
        <v>Dry_Ag3_T6</v>
      </c>
      <c r="J463" s="263" t="s">
        <v>2932</v>
      </c>
      <c r="K463" s="256" t="s">
        <v>1147</v>
      </c>
      <c r="L463" s="221" t="str">
        <f>'WetLitterbags placem_collection'!O24</f>
        <v>G552</v>
      </c>
      <c r="M463" s="223">
        <f>IFERROR(INDEX('Green_rooibos initial weight'!$C$5:$C$2000,MATCH(L463, 'Green_rooibos initial weight'!$A$5:$A$2000,0)),"")</f>
        <v>2.1110000000000002</v>
      </c>
      <c r="N463" s="223">
        <f>IFERROR(M463-(TBIcalc!$H$9+TBIcalc!$H$10),"")</f>
        <v>1.8612000000000002</v>
      </c>
      <c r="O463" s="378">
        <f>AVERAGE(Ashed_controlls!$K$2:$K$11)</f>
        <v>5.5147656768714146</v>
      </c>
      <c r="P463" s="223">
        <f t="shared" si="36"/>
        <v>1.7585591812220693</v>
      </c>
      <c r="Q463" s="223">
        <f>IFERROR(INDEX('Both teabags AfterWet'!$C$3:$C$840,MATCH(L463,'Both teabags AfterWet'!$A$3:$A$840,0)),"")</f>
        <v>0.75929999999999997</v>
      </c>
      <c r="R463" s="223">
        <f>IFERROR(IF(Q463&gt;0,Q463-(TBIcalc!$H$9),""),"")</f>
        <v>0.60870000000000002</v>
      </c>
      <c r="S463" s="223">
        <f>IFERROR(INDEX('Ashed teabags wet'!$K$2:$K$2000,MATCH(L463,'Ashed teabags wet'!$A$2:$A$2000,0)),"")</f>
        <v>12.068965517241553</v>
      </c>
      <c r="T463" s="223">
        <f t="shared" si="37"/>
        <v>0.53523620689655071</v>
      </c>
      <c r="U463" s="224">
        <f>'WetLitterbags placem_collection'!E24</f>
        <v>42767</v>
      </c>
      <c r="V463" s="224">
        <f>IF('WetLitterbags placem_collection'!G24="","",'WetLitterbags placem_collection'!G24)</f>
        <v>42818</v>
      </c>
      <c r="W463" s="225">
        <f t="shared" si="35"/>
        <v>51</v>
      </c>
      <c r="X463" s="223">
        <f t="shared" si="38"/>
        <v>1.2525000000000002</v>
      </c>
      <c r="Y463" s="223">
        <f t="shared" si="39"/>
        <v>1.2233229743255185</v>
      </c>
      <c r="Z463">
        <f>IFERROR(INDEX([1]Rainfall_Wet!$O$2:$O$217,MATCH(C463, [1]Rainfall_Wet!$A$2:$A$217,0)),"")</f>
        <v>185.630065823</v>
      </c>
      <c r="AA463" s="226">
        <v>54.080969906906262</v>
      </c>
      <c r="AB463" s="226">
        <v>21.264484651351896</v>
      </c>
      <c r="AC463" s="226">
        <v>24.654545441741845</v>
      </c>
      <c r="AD463" s="227" t="s">
        <v>2654</v>
      </c>
      <c r="AE463" s="226">
        <v>6.8433218334154802</v>
      </c>
      <c r="AF463" t="str">
        <f>IF('WetLitterbags placem_collection'!AB24="","",'WetLitterbags placem_collection'!AB24)</f>
        <v/>
      </c>
      <c r="AG463" t="str">
        <f>IF('WetLitterbags placem_collection'!Z24="","",'WetLitterbags placem_collection'!Z24)</f>
        <v/>
      </c>
      <c r="AH463" s="236" t="str">
        <f>IF('WetLitterbags placem_collection'!AA24="","",'WetLitterbags placem_collection'!AA24)</f>
        <v/>
      </c>
      <c r="AI463" t="str">
        <f>IF('WetLitterbags placem_collection'!AC24="","",'WetLitterbags placem_collection'!AC24)</f>
        <v/>
      </c>
      <c r="AJ463" s="233">
        <f>AVERAGE('WetLitterbags placem_collection'!S24,'WetLitterbags placem_collection'!U24)</f>
        <v>34.549999999999997</v>
      </c>
      <c r="AK463">
        <f>AVERAGE('WetLitterbags placem_collection'!R24,'WetLitterbags placem_collection'!T24)</f>
        <v>21.5</v>
      </c>
      <c r="AL463">
        <f>INDEX([2]Coordinates!$B$2:$B$197,MATCH(I463,[2]Coordinates!$J$2:$J$197,0))</f>
        <v>-3.3854470029999999</v>
      </c>
      <c r="AM463">
        <f>INDEX([2]Coordinates!$C$2:$C$197,MATCH(I463,[2]Coordinates!$J$2:$J$197,0))</f>
        <v>34.818946959999998</v>
      </c>
      <c r="AN463" t="str">
        <f>IF(ISNUMBER(SEARCH("C", 'WetLitterbags placem_collection'!$X24)),"YES","NO")</f>
        <v>NO</v>
      </c>
      <c r="AO463" t="str">
        <f>IF(ISNUMBER(SEARCH("H", 'WetLitterbags placem_collection'!$X24)),"YES","NO")</f>
        <v>NO</v>
      </c>
      <c r="AP463" t="str">
        <f>IF(ISNUMBER(SEARCH("R", 'WetLitterbags placem_collection'!$X24)),"YES","NO")</f>
        <v>NO</v>
      </c>
    </row>
    <row r="464" spans="1:42" ht="15" customHeight="1">
      <c r="A464" t="s">
        <v>3248</v>
      </c>
      <c r="B464" s="248" t="s">
        <v>2454</v>
      </c>
      <c r="C464" s="253">
        <f>'Dry_Litterbag Placem_Collection'!A25</f>
        <v>23</v>
      </c>
      <c r="D464" s="253" t="str">
        <f>'Dry_Litterbag Placem_Collection'!B25</f>
        <v>Makao</v>
      </c>
      <c r="E464" s="253" t="s">
        <v>2643</v>
      </c>
      <c r="F464" s="253" t="s">
        <v>2644</v>
      </c>
      <c r="G464" s="253">
        <v>3</v>
      </c>
      <c r="H464" s="253" t="s">
        <v>3104</v>
      </c>
      <c r="I464" s="254" t="str">
        <f>'Dry_Litterbag Placem_Collection'!C25</f>
        <v>Dry_Ag3_T7</v>
      </c>
      <c r="J464" s="263" t="s">
        <v>2932</v>
      </c>
      <c r="K464" s="256" t="s">
        <v>1147</v>
      </c>
      <c r="L464" s="221" t="str">
        <f>'WetLitterbags placem_collection'!O25</f>
        <v>G456</v>
      </c>
      <c r="M464" s="223">
        <f>IFERROR(INDEX('Green_rooibos initial weight'!$C$5:$C$2000,MATCH(L464, 'Green_rooibos initial weight'!$A$5:$A$2000,0)),"")</f>
        <v>2.117</v>
      </c>
      <c r="N464" s="223">
        <f>IFERROR(M464-(TBIcalc!$H$9+TBIcalc!$H$10),"")</f>
        <v>1.8672</v>
      </c>
      <c r="O464" s="378">
        <f>AVERAGE(Ashed_controlls!$K$2:$K$11)</f>
        <v>5.5147656768714146</v>
      </c>
      <c r="P464" s="223">
        <f t="shared" si="36"/>
        <v>1.764228295281457</v>
      </c>
      <c r="Q464" s="223">
        <f>IFERROR(INDEX('Both teabags AfterWet'!$C$3:$C$840,MATCH(L464,'Both teabags AfterWet'!$A$3:$A$840,0)),"")</f>
        <v>0.72629999999999995</v>
      </c>
      <c r="R464" s="223">
        <f>IFERROR(IF(Q464&gt;0,Q464-(TBIcalc!$H$9),""),"")</f>
        <v>0.57569999999999988</v>
      </c>
      <c r="S464" s="223">
        <f>IFERROR(INDEX('Ashed teabags wet'!$K$2:$K$2000,MATCH(L464,'Ashed teabags wet'!$A$2:$A$2000,0)),"")</f>
        <v>5.4787506400411408</v>
      </c>
      <c r="T464" s="223">
        <f t="shared" si="37"/>
        <v>0.54415883256528308</v>
      </c>
      <c r="U464" s="224">
        <f>'WetLitterbags placem_collection'!E25</f>
        <v>42767</v>
      </c>
      <c r="V464" s="224">
        <f>IF('WetLitterbags placem_collection'!G25="","",'WetLitterbags placem_collection'!G25)</f>
        <v>42818</v>
      </c>
      <c r="W464" s="225">
        <f t="shared" si="35"/>
        <v>51</v>
      </c>
      <c r="X464" s="223">
        <f t="shared" si="38"/>
        <v>1.2915000000000001</v>
      </c>
      <c r="Y464" s="223">
        <f t="shared" si="39"/>
        <v>1.2200694627161739</v>
      </c>
      <c r="Z464">
        <f>IFERROR(INDEX([1]Rainfall_Wet!$O$2:$O$217,MATCH(C464, [1]Rainfall_Wet!$A$2:$A$217,0)),"")</f>
        <v>185.630065823</v>
      </c>
      <c r="AA464" s="226">
        <v>54.080969906906262</v>
      </c>
      <c r="AB464" s="226">
        <v>21.264484651351896</v>
      </c>
      <c r="AC464" s="226">
        <v>24.654545441741845</v>
      </c>
      <c r="AD464" s="227" t="s">
        <v>2654</v>
      </c>
      <c r="AE464" s="226">
        <v>7.8433218334154802</v>
      </c>
      <c r="AF464" t="str">
        <f>IF('WetLitterbags placem_collection'!AB25="","",'WetLitterbags placem_collection'!AB25)</f>
        <v/>
      </c>
      <c r="AG464" t="str">
        <f>IF('WetLitterbags placem_collection'!Z25="","",'WetLitterbags placem_collection'!Z25)</f>
        <v/>
      </c>
      <c r="AH464" s="236" t="str">
        <f>IF('WetLitterbags placem_collection'!AA25="","",'WetLitterbags placem_collection'!AA25)</f>
        <v/>
      </c>
      <c r="AI464" t="str">
        <f>IF('WetLitterbags placem_collection'!AC25="","",'WetLitterbags placem_collection'!AC25)</f>
        <v/>
      </c>
      <c r="AJ464" s="233">
        <f>AVERAGE('WetLitterbags placem_collection'!S25,'WetLitterbags placem_collection'!U25)</f>
        <v>34.5</v>
      </c>
      <c r="AK464">
        <f>AVERAGE('WetLitterbags placem_collection'!R25,'WetLitterbags placem_collection'!T25)</f>
        <v>20.65</v>
      </c>
      <c r="AL464">
        <f>INDEX([2]Coordinates!$B$2:$B$197,MATCH(I464,[2]Coordinates!$J$2:$J$197,0))</f>
        <v>-3.3854200130000001</v>
      </c>
      <c r="AM464">
        <f>INDEX([2]Coordinates!$C$2:$C$197,MATCH(I464,[2]Coordinates!$J$2:$J$197,0))</f>
        <v>34.818856019999998</v>
      </c>
      <c r="AN464" t="str">
        <f>IF(ISNUMBER(SEARCH("C", 'WetLitterbags placem_collection'!$X25)),"YES","NO")</f>
        <v>NO</v>
      </c>
      <c r="AO464" t="str">
        <f>IF(ISNUMBER(SEARCH("H", 'WetLitterbags placem_collection'!$X25)),"YES","NO")</f>
        <v>NO</v>
      </c>
      <c r="AP464" t="str">
        <f>IF(ISNUMBER(SEARCH("R", 'WetLitterbags placem_collection'!$X25)),"YES","NO")</f>
        <v>NO</v>
      </c>
    </row>
    <row r="465" spans="1:42" ht="15" customHeight="1">
      <c r="A465" t="s">
        <v>3248</v>
      </c>
      <c r="B465" s="248" t="s">
        <v>2454</v>
      </c>
      <c r="C465" s="253">
        <f>'Dry_Litterbag Placem_Collection'!A26</f>
        <v>24</v>
      </c>
      <c r="D465" s="253" t="str">
        <f>'Dry_Litterbag Placem_Collection'!B26</f>
        <v>Makao</v>
      </c>
      <c r="E465" s="253" t="s">
        <v>2643</v>
      </c>
      <c r="F465" s="253" t="s">
        <v>2644</v>
      </c>
      <c r="G465" s="253">
        <v>3</v>
      </c>
      <c r="H465" s="253" t="s">
        <v>3104</v>
      </c>
      <c r="I465" s="254" t="str">
        <f>'Dry_Litterbag Placem_Collection'!C26</f>
        <v>Dry_Ag3_T8</v>
      </c>
      <c r="J465" s="263" t="s">
        <v>2932</v>
      </c>
      <c r="K465" s="256" t="s">
        <v>1147</v>
      </c>
      <c r="L465" s="221" t="str">
        <f>'WetLitterbags placem_collection'!O26</f>
        <v>G421</v>
      </c>
      <c r="M465" s="223">
        <f>IFERROR(INDEX('Green_rooibos initial weight'!$C$5:$C$2000,MATCH(L465, 'Green_rooibos initial weight'!$A$5:$A$2000,0)),"")</f>
        <v>2.052</v>
      </c>
      <c r="N465" s="223">
        <f>IFERROR(M465-(TBIcalc!$H$9+TBIcalc!$H$10),"")</f>
        <v>1.8022</v>
      </c>
      <c r="O465" s="378">
        <f>AVERAGE(Ashed_controlls!$K$2:$K$11)</f>
        <v>5.5147656768714146</v>
      </c>
      <c r="P465" s="223">
        <f t="shared" si="36"/>
        <v>1.7028128929714235</v>
      </c>
      <c r="Q465" s="223">
        <f>IFERROR(INDEX('Both teabags AfterWet'!$C$3:$C$840,MATCH(L465,'Both teabags AfterWet'!$A$3:$A$840,0)),"")</f>
        <v>0.67</v>
      </c>
      <c r="R465" s="223">
        <f>IFERROR(IF(Q465&gt;0,Q465-(TBIcalc!$H$9),""),"")</f>
        <v>0.51940000000000008</v>
      </c>
      <c r="S465" s="223">
        <f>IFERROR(INDEX('Ashed teabags wet'!$K$2:$K$2000,MATCH(L465,'Ashed teabags wet'!$A$2:$A$2000,0)),"")</f>
        <v>10.957551826258362</v>
      </c>
      <c r="T465" s="223">
        <f t="shared" si="37"/>
        <v>0.46248647581441416</v>
      </c>
      <c r="U465" s="224">
        <f>'WetLitterbags placem_collection'!E26</f>
        <v>42767</v>
      </c>
      <c r="V465" s="224">
        <f>IF('WetLitterbags placem_collection'!G26="","",'WetLitterbags placem_collection'!G26)</f>
        <v>42818</v>
      </c>
      <c r="W465" s="225">
        <f t="shared" si="35"/>
        <v>51</v>
      </c>
      <c r="X465" s="223">
        <f t="shared" si="38"/>
        <v>1.2827999999999999</v>
      </c>
      <c r="Y465" s="223">
        <f t="shared" si="39"/>
        <v>1.2403264171570094</v>
      </c>
      <c r="Z465">
        <f>IFERROR(INDEX([1]Rainfall_Wet!$O$2:$O$217,MATCH(C465, [1]Rainfall_Wet!$A$2:$A$217,0)),"")</f>
        <v>185.630065823</v>
      </c>
      <c r="AA465" s="226">
        <v>54.080969906906262</v>
      </c>
      <c r="AB465" s="226">
        <v>21.264484651351896</v>
      </c>
      <c r="AC465" s="226">
        <v>24.654545441741845</v>
      </c>
      <c r="AD465" s="227" t="s">
        <v>2654</v>
      </c>
      <c r="AE465" s="226">
        <v>8.8433218334154695</v>
      </c>
      <c r="AF465" t="str">
        <f>IF('WetLitterbags placem_collection'!AB26="","",'WetLitterbags placem_collection'!AB26)</f>
        <v/>
      </c>
      <c r="AG465" t="str">
        <f>IF('WetLitterbags placem_collection'!Z26="","",'WetLitterbags placem_collection'!Z26)</f>
        <v/>
      </c>
      <c r="AH465" s="236" t="str">
        <f>IF('WetLitterbags placem_collection'!AA26="","",'WetLitterbags placem_collection'!AA26)</f>
        <v/>
      </c>
      <c r="AI465" t="str">
        <f>IF('WetLitterbags placem_collection'!AC26="","",'WetLitterbags placem_collection'!AC26)</f>
        <v/>
      </c>
      <c r="AJ465" s="233">
        <f>AVERAGE('WetLitterbags placem_collection'!S26,'WetLitterbags placem_collection'!U26)</f>
        <v>36.950000000000003</v>
      </c>
      <c r="AK465">
        <f>AVERAGE('WetLitterbags placem_collection'!R26,'WetLitterbags placem_collection'!T26)</f>
        <v>21.1</v>
      </c>
      <c r="AL465">
        <f>INDEX([2]Coordinates!$B$2:$B$197,MATCH(I465,[2]Coordinates!$J$2:$J$197,0))</f>
        <v>-3.3853829649999998</v>
      </c>
      <c r="AM465">
        <f>INDEX([2]Coordinates!$C$2:$C$197,MATCH(I465,[2]Coordinates!$J$2:$J$197,0))</f>
        <v>34.818877980000003</v>
      </c>
      <c r="AN465" t="str">
        <f>IF(ISNUMBER(SEARCH("C", 'WetLitterbags placem_collection'!$X26)),"YES","NO")</f>
        <v>NO</v>
      </c>
      <c r="AO465" t="str">
        <f>IF(ISNUMBER(SEARCH("H", 'WetLitterbags placem_collection'!$X26)),"YES","NO")</f>
        <v>NO</v>
      </c>
      <c r="AP465" t="str">
        <f>IF(ISNUMBER(SEARCH("R", 'WetLitterbags placem_collection'!$X26)),"YES","NO")</f>
        <v>NO</v>
      </c>
    </row>
    <row r="466" spans="1:42" ht="15" customHeight="1">
      <c r="A466" t="s">
        <v>3248</v>
      </c>
      <c r="B466" s="248" t="s">
        <v>2454</v>
      </c>
      <c r="C466" s="253">
        <f>'Dry_Litterbag Placem_Collection'!A27</f>
        <v>25</v>
      </c>
      <c r="D466" s="253" t="str">
        <f>'Dry_Litterbag Placem_Collection'!B27</f>
        <v>Makao</v>
      </c>
      <c r="E466" s="253" t="s">
        <v>2643</v>
      </c>
      <c r="F466" s="253" t="s">
        <v>2644</v>
      </c>
      <c r="G466" s="253">
        <v>4</v>
      </c>
      <c r="H466" s="253" t="s">
        <v>3105</v>
      </c>
      <c r="I466" s="254" t="str">
        <f>'Dry_Litterbag Placem_Collection'!C27</f>
        <v>Dry_Ag4_T1</v>
      </c>
      <c r="J466" s="263" t="s">
        <v>2932</v>
      </c>
      <c r="K466" s="256" t="s">
        <v>1147</v>
      </c>
      <c r="L466" s="221" t="str">
        <f>'WetLitterbags placem_collection'!O27</f>
        <v>G864</v>
      </c>
      <c r="M466" s="223">
        <f>IFERROR(INDEX('Green_rooibos initial weight'!$C$5:$C$2000,MATCH(L466, 'Green_rooibos initial weight'!$A$5:$A$2000,0)),"")</f>
        <v>2.0310000000000001</v>
      </c>
      <c r="N466" s="223">
        <f>IFERROR(M466-(TBIcalc!$H$9+TBIcalc!$H$10),"")</f>
        <v>1.7812000000000001</v>
      </c>
      <c r="O466" s="378">
        <f>AVERAGE(Ashed_controlls!$K$2:$K$11)</f>
        <v>5.5147656768714146</v>
      </c>
      <c r="P466" s="223">
        <f t="shared" si="36"/>
        <v>1.6829709937635664</v>
      </c>
      <c r="Q466" s="223">
        <f>IFERROR(INDEX('Both teabags AfterWet'!$C$3:$C$840,MATCH(L466,'Both teabags AfterWet'!$A$3:$A$840,0)),"")</f>
        <v>0.65839999999999999</v>
      </c>
      <c r="R466" s="223">
        <f>IFERROR(IF(Q466&gt;0,Q466-(TBIcalc!$H$9),""),"")</f>
        <v>0.50780000000000003</v>
      </c>
      <c r="S466" s="223">
        <f>IFERROR(INDEX('Ashed teabags wet'!$K$2:$K$2000,MATCH(L466,'Ashed teabags wet'!$A$2:$A$2000,0)),"")</f>
        <v>15.647921760391469</v>
      </c>
      <c r="T466" s="223">
        <f t="shared" si="37"/>
        <v>0.42833985330073215</v>
      </c>
      <c r="U466" s="224">
        <f>'WetLitterbags placem_collection'!E27</f>
        <v>42767</v>
      </c>
      <c r="V466" s="224">
        <f>IF('WetLitterbags placem_collection'!G27="","",'WetLitterbags placem_collection'!G27)</f>
        <v>42818</v>
      </c>
      <c r="W466" s="225">
        <f t="shared" si="35"/>
        <v>51</v>
      </c>
      <c r="X466" s="223">
        <f t="shared" si="38"/>
        <v>1.2734000000000001</v>
      </c>
      <c r="Y466" s="223">
        <f t="shared" si="39"/>
        <v>1.2546311404628343</v>
      </c>
      <c r="Z466">
        <f>IFERROR(INDEX([1]Rainfall_Wet!$O$2:$O$217,MATCH(C466, [1]Rainfall_Wet!$A$2:$A$217,0)),"")</f>
        <v>185.630065823</v>
      </c>
      <c r="AA466" s="226">
        <v>51.960000000000008</v>
      </c>
      <c r="AB466" s="226">
        <v>18.919999999999995</v>
      </c>
      <c r="AC466" s="226">
        <v>29.120000000000005</v>
      </c>
      <c r="AD466" s="227" t="s">
        <v>2654</v>
      </c>
      <c r="AE466" s="226">
        <v>1.85293247905372</v>
      </c>
      <c r="AF466" t="str">
        <f>IF('WetLitterbags placem_collection'!AB27="","",'WetLitterbags placem_collection'!AB27)</f>
        <v/>
      </c>
      <c r="AG466" t="str">
        <f>IF('WetLitterbags placem_collection'!Z27="","",'WetLitterbags placem_collection'!Z27)</f>
        <v/>
      </c>
      <c r="AH466" s="236" t="str">
        <f>IF('WetLitterbags placem_collection'!AA27="","",'WetLitterbags placem_collection'!AA27)</f>
        <v/>
      </c>
      <c r="AI466" t="str">
        <f>IF('WetLitterbags placem_collection'!AC27="","",'WetLitterbags placem_collection'!AC27)</f>
        <v/>
      </c>
      <c r="AJ466" s="233">
        <f>AVERAGE('WetLitterbags placem_collection'!S27,'WetLitterbags placem_collection'!U27)</f>
        <v>36.85</v>
      </c>
      <c r="AK466">
        <f>AVERAGE('WetLitterbags placem_collection'!R27,'WetLitterbags placem_collection'!T27)</f>
        <v>21.35</v>
      </c>
      <c r="AL466">
        <f>INDEX([2]Coordinates!$B$2:$B$197,MATCH(I466,[2]Coordinates!$J$2:$J$197,0))</f>
        <v>-3.3849129919999998</v>
      </c>
      <c r="AM466">
        <f>INDEX([2]Coordinates!$C$2:$C$197,MATCH(I466,[2]Coordinates!$J$2:$J$197,0))</f>
        <v>34.818899020000003</v>
      </c>
      <c r="AN466" t="str">
        <f>IF(ISNUMBER(SEARCH("C", 'WetLitterbags placem_collection'!$X27)),"YES","NO")</f>
        <v>NO</v>
      </c>
      <c r="AO466" t="str">
        <f>IF(ISNUMBER(SEARCH("H", 'WetLitterbags placem_collection'!$X27)),"YES","NO")</f>
        <v>NO</v>
      </c>
      <c r="AP466" t="str">
        <f>IF(ISNUMBER(SEARCH("R", 'WetLitterbags placem_collection'!$X27)),"YES","NO")</f>
        <v>NO</v>
      </c>
    </row>
    <row r="467" spans="1:42" ht="15" customHeight="1">
      <c r="A467" t="s">
        <v>3248</v>
      </c>
      <c r="B467" s="248" t="s">
        <v>2454</v>
      </c>
      <c r="C467" s="253">
        <f>'Dry_Litterbag Placem_Collection'!A28</f>
        <v>26</v>
      </c>
      <c r="D467" s="253" t="str">
        <f>'Dry_Litterbag Placem_Collection'!B28</f>
        <v>Makao</v>
      </c>
      <c r="E467" s="253" t="s">
        <v>2643</v>
      </c>
      <c r="F467" s="253" t="s">
        <v>2644</v>
      </c>
      <c r="G467" s="253">
        <v>4</v>
      </c>
      <c r="H467" s="253" t="s">
        <v>3105</v>
      </c>
      <c r="I467" s="254" t="str">
        <f>'Dry_Litterbag Placem_Collection'!C28</f>
        <v>Dry_Ag4_T2</v>
      </c>
      <c r="J467" s="263" t="s">
        <v>2932</v>
      </c>
      <c r="K467" s="256" t="s">
        <v>1147</v>
      </c>
      <c r="L467" s="221" t="str">
        <f>'WetLitterbags placem_collection'!O28</f>
        <v>G506</v>
      </c>
      <c r="M467" s="223">
        <f>IFERROR(INDEX('Green_rooibos initial weight'!$C$5:$C$2000,MATCH(L467, 'Green_rooibos initial weight'!$A$5:$A$2000,0)),"")</f>
        <v>1.9079999999999999</v>
      </c>
      <c r="N467" s="223">
        <f>IFERROR(M467-(TBIcalc!$H$9+TBIcalc!$H$10),"")</f>
        <v>1.6581999999999999</v>
      </c>
      <c r="O467" s="378">
        <f>AVERAGE(Ashed_controlls!$K$2:$K$11)</f>
        <v>5.5147656768714146</v>
      </c>
      <c r="P467" s="223">
        <f t="shared" si="36"/>
        <v>1.5667541555461182</v>
      </c>
      <c r="Q467" s="223">
        <f>IFERROR(INDEX('Both teabags AfterWet'!$C$3:$C$840,MATCH(L467,'Both teabags AfterWet'!$A$3:$A$840,0)),"")</f>
        <v>0.67589999999999995</v>
      </c>
      <c r="R467" s="223">
        <f>IFERROR(IF(Q467&gt;0,Q467-(TBIcalc!$H$9),""),"")</f>
        <v>0.52529999999999988</v>
      </c>
      <c r="S467" s="223">
        <f>IFERROR(INDEX('Ashed teabags wet'!$K$2:$K$2000,MATCH(L467,'Ashed teabags wet'!$A$2:$A$2000,0)),"")</f>
        <v>8.561473369835749</v>
      </c>
      <c r="T467" s="223">
        <f t="shared" si="37"/>
        <v>0.48032658038825271</v>
      </c>
      <c r="U467" s="224">
        <f>'WetLitterbags placem_collection'!E28</f>
        <v>42767</v>
      </c>
      <c r="V467" s="224">
        <f>IF('WetLitterbags placem_collection'!G28="","",'WetLitterbags placem_collection'!G28)</f>
        <v>42818</v>
      </c>
      <c r="W467" s="225">
        <f t="shared" si="35"/>
        <v>51</v>
      </c>
      <c r="X467" s="223">
        <f t="shared" si="38"/>
        <v>1.1329</v>
      </c>
      <c r="Y467" s="223">
        <f t="shared" si="39"/>
        <v>1.0864275751578654</v>
      </c>
      <c r="Z467">
        <f>IFERROR(INDEX([1]Rainfall_Wet!$O$2:$O$217,MATCH(C467, [1]Rainfall_Wet!$A$2:$A$217,0)),"")</f>
        <v>185.630065823</v>
      </c>
      <c r="AA467" s="226">
        <v>51.960000000000008</v>
      </c>
      <c r="AB467" s="226">
        <v>18.919999999999995</v>
      </c>
      <c r="AC467" s="226">
        <v>29.120000000000005</v>
      </c>
      <c r="AD467" s="227" t="s">
        <v>2654</v>
      </c>
      <c r="AE467" s="226">
        <v>2.8529324790537198</v>
      </c>
      <c r="AF467" t="str">
        <f>IF('WetLitterbags placem_collection'!AB28="","",'WetLitterbags placem_collection'!AB28)</f>
        <v/>
      </c>
      <c r="AG467" t="str">
        <f>IF('WetLitterbags placem_collection'!Z28="","",'WetLitterbags placem_collection'!Z28)</f>
        <v/>
      </c>
      <c r="AH467" s="236" t="str">
        <f>IF('WetLitterbags placem_collection'!AA28="","",'WetLitterbags placem_collection'!AA28)</f>
        <v/>
      </c>
      <c r="AI467" t="str">
        <f>IF('WetLitterbags placem_collection'!AC28="","",'WetLitterbags placem_collection'!AC28)</f>
        <v/>
      </c>
      <c r="AJ467" s="233">
        <f>AVERAGE('WetLitterbags placem_collection'!S28,'WetLitterbags placem_collection'!U28)</f>
        <v>31.3</v>
      </c>
      <c r="AK467">
        <f>AVERAGE('WetLitterbags placem_collection'!R28,'WetLitterbags placem_collection'!T28)</f>
        <v>20.7</v>
      </c>
      <c r="AL467">
        <f>INDEX([2]Coordinates!$B$2:$B$197,MATCH(I467,[2]Coordinates!$J$2:$J$197,0))</f>
        <v>-3.3849689999999999</v>
      </c>
      <c r="AM467">
        <f>INDEX([2]Coordinates!$C$2:$C$197,MATCH(I467,[2]Coordinates!$J$2:$J$197,0))</f>
        <v>34.818908</v>
      </c>
      <c r="AN467" t="str">
        <f>IF(ISNUMBER(SEARCH("C", 'WetLitterbags placem_collection'!$X28)),"YES","NO")</f>
        <v>NO</v>
      </c>
      <c r="AO467" t="str">
        <f>IF(ISNUMBER(SEARCH("H", 'WetLitterbags placem_collection'!$X28)),"YES","NO")</f>
        <v>NO</v>
      </c>
      <c r="AP467" t="str">
        <f>IF(ISNUMBER(SEARCH("R", 'WetLitterbags placem_collection'!$X28)),"YES","NO")</f>
        <v>NO</v>
      </c>
    </row>
    <row r="468" spans="1:42" ht="15" customHeight="1">
      <c r="A468" t="s">
        <v>3248</v>
      </c>
      <c r="B468" s="248" t="s">
        <v>2454</v>
      </c>
      <c r="C468" s="253">
        <f>'Dry_Litterbag Placem_Collection'!A29</f>
        <v>27</v>
      </c>
      <c r="D468" s="253" t="str">
        <f>'Dry_Litterbag Placem_Collection'!B29</f>
        <v>Makao</v>
      </c>
      <c r="E468" s="253" t="s">
        <v>2643</v>
      </c>
      <c r="F468" s="253" t="s">
        <v>2644</v>
      </c>
      <c r="G468" s="253">
        <v>4</v>
      </c>
      <c r="H468" s="253" t="s">
        <v>3105</v>
      </c>
      <c r="I468" s="254" t="str">
        <f>'Dry_Litterbag Placem_Collection'!C29</f>
        <v>Dry_Ag4_T3</v>
      </c>
      <c r="J468" s="263" t="s">
        <v>2932</v>
      </c>
      <c r="K468" s="256" t="s">
        <v>1147</v>
      </c>
      <c r="L468" s="221" t="str">
        <f>'WetLitterbags placem_collection'!O29</f>
        <v>G449</v>
      </c>
      <c r="M468" s="223">
        <f>IFERROR(INDEX('Green_rooibos initial weight'!$C$5:$C$2000,MATCH(L468, 'Green_rooibos initial weight'!$A$5:$A$2000,0)),"")</f>
        <v>2.1749999999999998</v>
      </c>
      <c r="N468" s="223">
        <f>IFERROR(M468-(TBIcalc!$H$9+TBIcalc!$H$10),"")</f>
        <v>1.9251999999999998</v>
      </c>
      <c r="O468" s="378">
        <f>AVERAGE(Ashed_controlls!$K$2:$K$11)</f>
        <v>5.5147656768714146</v>
      </c>
      <c r="P468" s="223">
        <f t="shared" si="36"/>
        <v>1.8190297311888712</v>
      </c>
      <c r="Q468" s="223">
        <f>IFERROR(INDEX('Both teabags AfterWet'!$C$3:$C$840,MATCH(L468,'Both teabags AfterWet'!$A$3:$A$840,0)),"")</f>
        <v>0.73760000000000003</v>
      </c>
      <c r="R468" s="223">
        <f>IFERROR(IF(Q468&gt;0,Q468-(TBIcalc!$H$9),""),"")</f>
        <v>0.58699999999999997</v>
      </c>
      <c r="S468" s="223">
        <f>IFERROR(INDEX('Ashed teabags wet'!$K$2:$K$2000,MATCH(L468,'Ashed teabags wet'!$A$2:$A$2000,0)),"")</f>
        <v>10.444777611194501</v>
      </c>
      <c r="T468" s="223">
        <f t="shared" si="37"/>
        <v>0.52568915542228822</v>
      </c>
      <c r="U468" s="224">
        <f>'WetLitterbags placem_collection'!E29</f>
        <v>42767</v>
      </c>
      <c r="V468" s="224">
        <f>IF('WetLitterbags placem_collection'!G29="","",'WetLitterbags placem_collection'!G29)</f>
        <v>42818</v>
      </c>
      <c r="W468" s="225">
        <f t="shared" si="35"/>
        <v>51</v>
      </c>
      <c r="X468" s="223">
        <f t="shared" si="38"/>
        <v>1.3381999999999998</v>
      </c>
      <c r="Y468" s="223">
        <f t="shared" si="39"/>
        <v>1.293340575766583</v>
      </c>
      <c r="Z468">
        <f>IFERROR(INDEX([1]Rainfall_Wet!$O$2:$O$217,MATCH(C468, [1]Rainfall_Wet!$A$2:$A$217,0)),"")</f>
        <v>185.630065823</v>
      </c>
      <c r="AA468" s="226">
        <v>51.960000000000008</v>
      </c>
      <c r="AB468" s="226">
        <v>18.919999999999995</v>
      </c>
      <c r="AC468" s="226">
        <v>29.120000000000005</v>
      </c>
      <c r="AD468" s="227" t="s">
        <v>2654</v>
      </c>
      <c r="AE468" s="226">
        <v>3.8529324790537198</v>
      </c>
      <c r="AF468" t="str">
        <f>IF('WetLitterbags placem_collection'!AB29="","",'WetLitterbags placem_collection'!AB29)</f>
        <v/>
      </c>
      <c r="AG468" t="str">
        <f>IF('WetLitterbags placem_collection'!Z29="","",'WetLitterbags placem_collection'!Z29)</f>
        <v/>
      </c>
      <c r="AH468" s="236" t="str">
        <f>IF('WetLitterbags placem_collection'!AA29="","",'WetLitterbags placem_collection'!AA29)</f>
        <v/>
      </c>
      <c r="AI468" t="str">
        <f>IF('WetLitterbags placem_collection'!AC29="","",'WetLitterbags placem_collection'!AC29)</f>
        <v/>
      </c>
      <c r="AJ468" s="233">
        <f>AVERAGE('WetLitterbags placem_collection'!S29,'WetLitterbags placem_collection'!U29)</f>
        <v>28.900000000000002</v>
      </c>
      <c r="AK468">
        <f>AVERAGE('WetLitterbags placem_collection'!R29,'WetLitterbags placem_collection'!T29)</f>
        <v>21.4</v>
      </c>
      <c r="AL468">
        <f>INDEX([2]Coordinates!$B$2:$B$197,MATCH(I468,[2]Coordinates!$J$2:$J$197,0))</f>
        <v>-3.3849350359999999</v>
      </c>
      <c r="AM468">
        <f>INDEX([2]Coordinates!$C$2:$C$197,MATCH(I468,[2]Coordinates!$J$2:$J$197,0))</f>
        <v>34.818943019999999</v>
      </c>
      <c r="AN468" t="str">
        <f>IF(ISNUMBER(SEARCH("C", 'WetLitterbags placem_collection'!$X29)),"YES","NO")</f>
        <v>NO</v>
      </c>
      <c r="AO468" t="str">
        <f>IF(ISNUMBER(SEARCH("H", 'WetLitterbags placem_collection'!$X29)),"YES","NO")</f>
        <v>NO</v>
      </c>
      <c r="AP468" t="str">
        <f>IF(ISNUMBER(SEARCH("R", 'WetLitterbags placem_collection'!$X29)),"YES","NO")</f>
        <v>NO</v>
      </c>
    </row>
    <row r="469" spans="1:42" ht="15" customHeight="1">
      <c r="A469" t="s">
        <v>3248</v>
      </c>
      <c r="B469" s="248" t="s">
        <v>2454</v>
      </c>
      <c r="C469" s="253">
        <f>'Dry_Litterbag Placem_Collection'!A30</f>
        <v>28</v>
      </c>
      <c r="D469" s="253" t="str">
        <f>'Dry_Litterbag Placem_Collection'!B30</f>
        <v>Makao</v>
      </c>
      <c r="E469" s="253" t="s">
        <v>2643</v>
      </c>
      <c r="F469" s="253" t="s">
        <v>2644</v>
      </c>
      <c r="G469" s="253">
        <v>4</v>
      </c>
      <c r="H469" s="253" t="s">
        <v>3105</v>
      </c>
      <c r="I469" s="254" t="str">
        <f>'Dry_Litterbag Placem_Collection'!C30</f>
        <v>Dry_Ag4_T4</v>
      </c>
      <c r="J469" s="263" t="s">
        <v>2932</v>
      </c>
      <c r="K469" s="256" t="s">
        <v>1147</v>
      </c>
      <c r="L469" s="221" t="str">
        <f>'WetLitterbags placem_collection'!O30</f>
        <v>G502</v>
      </c>
      <c r="M469" s="223">
        <f>IFERROR(INDEX('Green_rooibos initial weight'!$C$5:$C$2000,MATCH(L469, 'Green_rooibos initial weight'!$A$5:$A$2000,0)),"")</f>
        <v>1.929</v>
      </c>
      <c r="N469" s="223">
        <f>IFERROR(M469-(TBIcalc!$H$9+TBIcalc!$H$10),"")</f>
        <v>1.6792</v>
      </c>
      <c r="O469" s="378">
        <f>AVERAGE(Ashed_controlls!$K$2:$K$11)</f>
        <v>5.5147656768714146</v>
      </c>
      <c r="P469" s="223">
        <f t="shared" si="36"/>
        <v>1.5865960547539752</v>
      </c>
      <c r="Q469" s="223">
        <f>IFERROR(INDEX('Both teabags AfterWet'!$C$3:$C$840,MATCH(L469,'Both teabags AfterWet'!$A$3:$A$840,0)),"")</f>
        <v>0.60960000000000003</v>
      </c>
      <c r="R469" s="223">
        <f>IFERROR(IF(Q469&gt;0,Q469-(TBIcalc!$H$9),""),"")</f>
        <v>0.45900000000000002</v>
      </c>
      <c r="S469" s="223">
        <f>IFERROR(INDEX('Ashed teabags wet'!$K$2:$K$2000,MATCH(L469,'Ashed teabags wet'!$A$2:$A$2000,0)),"")</f>
        <v>10.16121152906673</v>
      </c>
      <c r="T469" s="223">
        <f t="shared" si="37"/>
        <v>0.41236003908158375</v>
      </c>
      <c r="U469" s="224">
        <f>'WetLitterbags placem_collection'!E30</f>
        <v>42767</v>
      </c>
      <c r="V469" s="224">
        <f>IF('WetLitterbags placem_collection'!G30="","",'WetLitterbags placem_collection'!G30)</f>
        <v>42818</v>
      </c>
      <c r="W469" s="225">
        <f t="shared" si="35"/>
        <v>51</v>
      </c>
      <c r="X469" s="223">
        <f t="shared" si="38"/>
        <v>1.2202</v>
      </c>
      <c r="Y469" s="223">
        <f t="shared" si="39"/>
        <v>1.1742360156723914</v>
      </c>
      <c r="Z469">
        <f>IFERROR(INDEX([1]Rainfall_Wet!$O$2:$O$217,MATCH(C469, [1]Rainfall_Wet!$A$2:$A$217,0)),"")</f>
        <v>185.630065823</v>
      </c>
      <c r="AA469" s="226">
        <v>51.960000000000008</v>
      </c>
      <c r="AB469" s="226">
        <v>18.919999999999995</v>
      </c>
      <c r="AC469" s="226">
        <v>29.120000000000005</v>
      </c>
      <c r="AD469" s="227" t="s">
        <v>2654</v>
      </c>
      <c r="AE469" s="226">
        <v>4.8529324790537203</v>
      </c>
      <c r="AF469" t="str">
        <f>IF('WetLitterbags placem_collection'!AB30="","",'WetLitterbags placem_collection'!AB30)</f>
        <v/>
      </c>
      <c r="AG469" t="str">
        <f>IF('WetLitterbags placem_collection'!Z30="","",'WetLitterbags placem_collection'!Z30)</f>
        <v/>
      </c>
      <c r="AH469" s="236" t="str">
        <f>IF('WetLitterbags placem_collection'!AA30="","",'WetLitterbags placem_collection'!AA30)</f>
        <v/>
      </c>
      <c r="AI469" t="str">
        <f>IF('WetLitterbags placem_collection'!AC30="","",'WetLitterbags placem_collection'!AC30)</f>
        <v/>
      </c>
      <c r="AJ469" s="233">
        <f>AVERAGE('WetLitterbags placem_collection'!S30,'WetLitterbags placem_collection'!U30)</f>
        <v>33.4</v>
      </c>
      <c r="AK469">
        <f>AVERAGE('WetLitterbags placem_collection'!R30,'WetLitterbags placem_collection'!T30)</f>
        <v>20.6</v>
      </c>
      <c r="AL469">
        <f>INDEX([2]Coordinates!$B$2:$B$197,MATCH(I469,[2]Coordinates!$J$2:$J$197,0))</f>
        <v>-3.3850070369999998</v>
      </c>
      <c r="AM469">
        <f>INDEX([2]Coordinates!$C$2:$C$197,MATCH(I469,[2]Coordinates!$J$2:$J$197,0))</f>
        <v>34.818888960000002</v>
      </c>
      <c r="AN469" t="str">
        <f>IF(ISNUMBER(SEARCH("C", 'WetLitterbags placem_collection'!$X30)),"YES","NO")</f>
        <v>NO</v>
      </c>
      <c r="AO469" t="str">
        <f>IF(ISNUMBER(SEARCH("H", 'WetLitterbags placem_collection'!$X30)),"YES","NO")</f>
        <v>NO</v>
      </c>
      <c r="AP469" t="str">
        <f>IF(ISNUMBER(SEARCH("R", 'WetLitterbags placem_collection'!$X30)),"YES","NO")</f>
        <v>NO</v>
      </c>
    </row>
    <row r="470" spans="1:42" ht="15" customHeight="1">
      <c r="A470" t="s">
        <v>3248</v>
      </c>
      <c r="B470" s="248" t="s">
        <v>2454</v>
      </c>
      <c r="C470" s="253">
        <f>'Dry_Litterbag Placem_Collection'!A31</f>
        <v>29</v>
      </c>
      <c r="D470" s="253" t="str">
        <f>'Dry_Litterbag Placem_Collection'!B31</f>
        <v>Makao</v>
      </c>
      <c r="E470" s="253" t="s">
        <v>2643</v>
      </c>
      <c r="F470" s="253" t="s">
        <v>2644</v>
      </c>
      <c r="G470" s="253">
        <v>4</v>
      </c>
      <c r="H470" s="253" t="s">
        <v>3105</v>
      </c>
      <c r="I470" s="254" t="str">
        <f>'Dry_Litterbag Placem_Collection'!C31</f>
        <v>Dry_Ag4_T5</v>
      </c>
      <c r="J470" s="263" t="s">
        <v>2932</v>
      </c>
      <c r="K470" s="256" t="s">
        <v>1147</v>
      </c>
      <c r="L470" s="221" t="str">
        <f>'WetLitterbags placem_collection'!O31</f>
        <v>G345</v>
      </c>
      <c r="M470" s="223">
        <f>IFERROR(INDEX('Green_rooibos initial weight'!$C$5:$C$2000,MATCH(L470, 'Green_rooibos initial weight'!$A$5:$A$2000,0)),"")</f>
        <v>2.012</v>
      </c>
      <c r="N470" s="223">
        <f>IFERROR(M470-(TBIcalc!$H$9+TBIcalc!$H$10),"")</f>
        <v>1.7622</v>
      </c>
      <c r="O470" s="378">
        <f>AVERAGE(Ashed_controlls!$K$2:$K$11)</f>
        <v>5.5147656768714146</v>
      </c>
      <c r="P470" s="223">
        <f t="shared" si="36"/>
        <v>1.6650187992421719</v>
      </c>
      <c r="Q470" s="223">
        <f>IFERROR(INDEX('Both teabags AfterWet'!$C$3:$C$840,MATCH(L470,'Both teabags AfterWet'!$A$3:$A$840,0)),"")</f>
        <v>0.64829999999999999</v>
      </c>
      <c r="R470" s="223">
        <f>IFERROR(IF(Q470&gt;0,Q470-(TBIcalc!$H$9),""),"")</f>
        <v>0.49769999999999998</v>
      </c>
      <c r="S470" s="223">
        <f>IFERROR(INDEX('Ashed teabags wet'!$K$2:$K$2000,MATCH(L470,'Ashed teabags wet'!$A$2:$A$2000,0)),"")</f>
        <v>9.5937347038662821</v>
      </c>
      <c r="T470" s="223">
        <f t="shared" si="37"/>
        <v>0.44995198237885747</v>
      </c>
      <c r="U470" s="224">
        <f>'WetLitterbags placem_collection'!E31</f>
        <v>42767</v>
      </c>
      <c r="V470" s="224">
        <f>IF('WetLitterbags placem_collection'!G31="","",'WetLitterbags placem_collection'!G31)</f>
        <v>42818</v>
      </c>
      <c r="W470" s="225">
        <f t="shared" si="35"/>
        <v>51</v>
      </c>
      <c r="X470" s="223">
        <f t="shared" si="38"/>
        <v>1.2645</v>
      </c>
      <c r="Y470" s="223">
        <f t="shared" si="39"/>
        <v>1.2150668168633145</v>
      </c>
      <c r="Z470">
        <f>IFERROR(INDEX([1]Rainfall_Wet!$O$2:$O$217,MATCH(C470, [1]Rainfall_Wet!$A$2:$A$217,0)),"")</f>
        <v>185.630065823</v>
      </c>
      <c r="AA470" s="226">
        <v>51.960000000000008</v>
      </c>
      <c r="AB470" s="226">
        <v>18.919999999999995</v>
      </c>
      <c r="AC470" s="226">
        <v>29.120000000000005</v>
      </c>
      <c r="AD470" s="227" t="s">
        <v>2654</v>
      </c>
      <c r="AE470" s="226">
        <v>5.8529324790537203</v>
      </c>
      <c r="AF470" t="str">
        <f>IF('WetLitterbags placem_collection'!AB31="","",'WetLitterbags placem_collection'!AB31)</f>
        <v/>
      </c>
      <c r="AG470" t="str">
        <f>IF('WetLitterbags placem_collection'!Z31="","",'WetLitterbags placem_collection'!Z31)</f>
        <v/>
      </c>
      <c r="AH470" s="236" t="str">
        <f>IF('WetLitterbags placem_collection'!AA31="","",'WetLitterbags placem_collection'!AA31)</f>
        <v/>
      </c>
      <c r="AI470" t="str">
        <f>IF('WetLitterbags placem_collection'!AC31="","",'WetLitterbags placem_collection'!AC31)</f>
        <v/>
      </c>
      <c r="AJ470" s="233">
        <f>AVERAGE('WetLitterbags placem_collection'!S31,'WetLitterbags placem_collection'!U31)</f>
        <v>28.4</v>
      </c>
      <c r="AK470">
        <f>AVERAGE('WetLitterbags placem_collection'!R31,'WetLitterbags placem_collection'!T31)</f>
        <v>21.049999999999997</v>
      </c>
      <c r="AL470">
        <f>INDEX([2]Coordinates!$B$2:$B$197,MATCH(I470,[2]Coordinates!$J$2:$J$197,0))</f>
        <v>-3.3849480280000002</v>
      </c>
      <c r="AM470">
        <f>INDEX([2]Coordinates!$C$2:$C$197,MATCH(I470,[2]Coordinates!$J$2:$J$197,0))</f>
        <v>34.818854010000003</v>
      </c>
      <c r="AN470" t="str">
        <f>IF(ISNUMBER(SEARCH("C", 'WetLitterbags placem_collection'!$X31)),"YES","NO")</f>
        <v>NO</v>
      </c>
      <c r="AO470" t="str">
        <f>IF(ISNUMBER(SEARCH("H", 'WetLitterbags placem_collection'!$X31)),"YES","NO")</f>
        <v>NO</v>
      </c>
      <c r="AP470" t="str">
        <f>IF(ISNUMBER(SEARCH("R", 'WetLitterbags placem_collection'!$X31)),"YES","NO")</f>
        <v>NO</v>
      </c>
    </row>
    <row r="471" spans="1:42" ht="15" customHeight="1">
      <c r="A471" t="s">
        <v>3248</v>
      </c>
      <c r="B471" s="248" t="s">
        <v>2454</v>
      </c>
      <c r="C471" s="253">
        <f>'Dry_Litterbag Placem_Collection'!A32</f>
        <v>30</v>
      </c>
      <c r="D471" s="253" t="str">
        <f>'Dry_Litterbag Placem_Collection'!B32</f>
        <v>Makao</v>
      </c>
      <c r="E471" s="253" t="s">
        <v>2643</v>
      </c>
      <c r="F471" s="253" t="s">
        <v>2644</v>
      </c>
      <c r="G471" s="253">
        <v>4</v>
      </c>
      <c r="H471" s="253" t="s">
        <v>3105</v>
      </c>
      <c r="I471" s="254" t="str">
        <f>'Dry_Litterbag Placem_Collection'!C32</f>
        <v>Dry_Ag4_T6</v>
      </c>
      <c r="J471" s="263" t="s">
        <v>2932</v>
      </c>
      <c r="K471" s="256" t="s">
        <v>1147</v>
      </c>
      <c r="L471" s="221" t="str">
        <f>'WetLitterbags placem_collection'!O32</f>
        <v>G500</v>
      </c>
      <c r="M471" s="223">
        <f>IFERROR(INDEX('Green_rooibos initial weight'!$C$5:$C$2000,MATCH(L471, 'Green_rooibos initial weight'!$A$5:$A$2000,0)),"")</f>
        <v>2.0830000000000002</v>
      </c>
      <c r="N471" s="223">
        <f>IFERROR(M471-(TBIcalc!$H$9+TBIcalc!$H$10),"")</f>
        <v>1.8332000000000002</v>
      </c>
      <c r="O471" s="378">
        <f>AVERAGE(Ashed_controlls!$K$2:$K$11)</f>
        <v>5.5147656768714146</v>
      </c>
      <c r="P471" s="223">
        <f t="shared" si="36"/>
        <v>1.7321033156115935</v>
      </c>
      <c r="Q471" s="223">
        <f>IFERROR(INDEX('Both teabags AfterWet'!$C$3:$C$840,MATCH(L471,'Both teabags AfterWet'!$A$3:$A$840,0)),"")</f>
        <v>0.61909999999999998</v>
      </c>
      <c r="R471" s="223">
        <f>IFERROR(IF(Q471&gt;0,Q471-(TBIcalc!$H$9),""),"")</f>
        <v>0.46849999999999997</v>
      </c>
      <c r="S471" s="223">
        <f>IFERROR(INDEX('Ashed teabags wet'!$K$2:$K$2000,MATCH(L471,'Ashed teabags wet'!$A$2:$A$2000,0)),"")</f>
        <v>10.952848722986133</v>
      </c>
      <c r="T471" s="223">
        <f t="shared" si="37"/>
        <v>0.41718590373280995</v>
      </c>
      <c r="U471" s="224">
        <f>'WetLitterbags placem_collection'!E32</f>
        <v>42767</v>
      </c>
      <c r="V471" s="224">
        <f>IF('WetLitterbags placem_collection'!G32="","",'WetLitterbags placem_collection'!G32)</f>
        <v>42818</v>
      </c>
      <c r="W471" s="225">
        <f t="shared" si="35"/>
        <v>51</v>
      </c>
      <c r="X471" s="223">
        <f t="shared" si="38"/>
        <v>1.3647000000000002</v>
      </c>
      <c r="Y471" s="223">
        <f t="shared" si="39"/>
        <v>1.3149174118787834</v>
      </c>
      <c r="Z471">
        <f>IFERROR(INDEX([1]Rainfall_Wet!$O$2:$O$217,MATCH(C471, [1]Rainfall_Wet!$A$2:$A$217,0)),"")</f>
        <v>185.630065823</v>
      </c>
      <c r="AA471" s="226">
        <v>51.960000000000008</v>
      </c>
      <c r="AB471" s="226">
        <v>18.919999999999995</v>
      </c>
      <c r="AC471" s="226">
        <v>29.120000000000005</v>
      </c>
      <c r="AD471" s="227" t="s">
        <v>2654</v>
      </c>
      <c r="AE471" s="226">
        <v>6.8529324790537203</v>
      </c>
      <c r="AF471" t="str">
        <f>IF('WetLitterbags placem_collection'!AB32="","",'WetLitterbags placem_collection'!AB32)</f>
        <v/>
      </c>
      <c r="AG471" t="str">
        <f>IF('WetLitterbags placem_collection'!Z32="","",'WetLitterbags placem_collection'!Z32)</f>
        <v/>
      </c>
      <c r="AH471" s="236" t="str">
        <f>IF('WetLitterbags placem_collection'!AA32="","",'WetLitterbags placem_collection'!AA32)</f>
        <v/>
      </c>
      <c r="AI471" t="str">
        <f>IF('WetLitterbags placem_collection'!AC32="","",'WetLitterbags placem_collection'!AC32)</f>
        <v/>
      </c>
      <c r="AJ471" s="233">
        <f>AVERAGE('WetLitterbags placem_collection'!S32,'WetLitterbags placem_collection'!U32)</f>
        <v>26.9</v>
      </c>
      <c r="AK471">
        <f>AVERAGE('WetLitterbags placem_collection'!R32,'WetLitterbags placem_collection'!T32)</f>
        <v>20.7</v>
      </c>
      <c r="AL471">
        <f>INDEX([2]Coordinates!$B$2:$B$197,MATCH(I471,[2]Coordinates!$J$2:$J$197,0))</f>
        <v>-3.38496496</v>
      </c>
      <c r="AM471">
        <f>INDEX([2]Coordinates!$C$2:$C$197,MATCH(I471,[2]Coordinates!$J$2:$J$197,0))</f>
        <v>34.818790970000002</v>
      </c>
      <c r="AN471" t="str">
        <f>IF(ISNUMBER(SEARCH("C", 'WetLitterbags placem_collection'!$X32)),"YES","NO")</f>
        <v>NO</v>
      </c>
      <c r="AO471" t="str">
        <f>IF(ISNUMBER(SEARCH("H", 'WetLitterbags placem_collection'!$X32)),"YES","NO")</f>
        <v>NO</v>
      </c>
      <c r="AP471" t="str">
        <f>IF(ISNUMBER(SEARCH("R", 'WetLitterbags placem_collection'!$X32)),"YES","NO")</f>
        <v>NO</v>
      </c>
    </row>
    <row r="472" spans="1:42" ht="15" customHeight="1">
      <c r="A472" t="s">
        <v>3248</v>
      </c>
      <c r="B472" s="248" t="s">
        <v>2454</v>
      </c>
      <c r="C472" s="253">
        <f>'Dry_Litterbag Placem_Collection'!A33</f>
        <v>31</v>
      </c>
      <c r="D472" s="253" t="str">
        <f>'Dry_Litterbag Placem_Collection'!B33</f>
        <v>Makao</v>
      </c>
      <c r="E472" s="253" t="s">
        <v>2643</v>
      </c>
      <c r="F472" s="253" t="s">
        <v>2644</v>
      </c>
      <c r="G472" s="253">
        <v>4</v>
      </c>
      <c r="H472" s="253" t="s">
        <v>3105</v>
      </c>
      <c r="I472" s="254" t="str">
        <f>'Dry_Litterbag Placem_Collection'!C33</f>
        <v>Dry_Ag4_T7</v>
      </c>
      <c r="J472" s="263" t="s">
        <v>2932</v>
      </c>
      <c r="K472" s="256" t="s">
        <v>1147</v>
      </c>
      <c r="L472" s="221" t="str">
        <f>'WetLitterbags placem_collection'!O33</f>
        <v>G521</v>
      </c>
      <c r="M472" s="223">
        <f>IFERROR(INDEX('Green_rooibos initial weight'!$C$5:$C$2000,MATCH(L472, 'Green_rooibos initial weight'!$A$5:$A$2000,0)),"")</f>
        <v>2.1709999999999998</v>
      </c>
      <c r="N472" s="223">
        <f>IFERROR(M472-(TBIcalc!$H$9+TBIcalc!$H$10),"")</f>
        <v>1.9211999999999998</v>
      </c>
      <c r="O472" s="378">
        <f>AVERAGE(Ashed_controlls!$K$2:$K$11)</f>
        <v>5.5147656768714146</v>
      </c>
      <c r="P472" s="223">
        <f t="shared" si="36"/>
        <v>1.8152503218159461</v>
      </c>
      <c r="Q472" s="223">
        <f>IFERROR(INDEX('Both teabags AfterWet'!$C$3:$C$840,MATCH(L472,'Both teabags AfterWet'!$A$3:$A$840,0)),"")</f>
        <v>0.71479999999999999</v>
      </c>
      <c r="R472" s="223">
        <f>IFERROR(IF(Q472&gt;0,Q472-(TBIcalc!$H$9),""),"")</f>
        <v>0.56420000000000003</v>
      </c>
      <c r="S472" s="223">
        <f>IFERROR(INDEX('Ashed teabags wet'!$K$2:$K$2000,MATCH(L472,'Ashed teabags wet'!$A$2:$A$2000,0)),"")</f>
        <v>14.161008729389133</v>
      </c>
      <c r="T472" s="223">
        <f t="shared" si="37"/>
        <v>0.48430358874878654</v>
      </c>
      <c r="U472" s="224">
        <f>'WetLitterbags placem_collection'!E33</f>
        <v>42767</v>
      </c>
      <c r="V472" s="224">
        <f>IF('WetLitterbags placem_collection'!G33="","",'WetLitterbags placem_collection'!G33)</f>
        <v>42818</v>
      </c>
      <c r="W472" s="225">
        <f t="shared" si="35"/>
        <v>51</v>
      </c>
      <c r="X472" s="223">
        <f t="shared" si="38"/>
        <v>1.3569999999999998</v>
      </c>
      <c r="Y472" s="223">
        <f t="shared" si="39"/>
        <v>1.3309467330671596</v>
      </c>
      <c r="Z472">
        <f>IFERROR(INDEX([1]Rainfall_Wet!$O$2:$O$217,MATCH(C472, [1]Rainfall_Wet!$A$2:$A$217,0)),"")</f>
        <v>185.630065823</v>
      </c>
      <c r="AA472" s="226">
        <v>51.960000000000008</v>
      </c>
      <c r="AB472" s="226">
        <v>18.919999999999995</v>
      </c>
      <c r="AC472" s="226">
        <v>29.120000000000005</v>
      </c>
      <c r="AD472" s="227" t="s">
        <v>2654</v>
      </c>
      <c r="AE472" s="226">
        <v>7.8529324790537203</v>
      </c>
      <c r="AF472" t="str">
        <f>IF('WetLitterbags placem_collection'!AB33="","",'WetLitterbags placem_collection'!AB33)</f>
        <v/>
      </c>
      <c r="AG472" t="str">
        <f>IF('WetLitterbags placem_collection'!Z33="","",'WetLitterbags placem_collection'!Z33)</f>
        <v/>
      </c>
      <c r="AH472" s="236" t="str">
        <f>IF('WetLitterbags placem_collection'!AA33="","",'WetLitterbags placem_collection'!AA33)</f>
        <v/>
      </c>
      <c r="AI472" t="str">
        <f>IF('WetLitterbags placem_collection'!AC33="","",'WetLitterbags placem_collection'!AC33)</f>
        <v/>
      </c>
      <c r="AJ472" s="233">
        <f>AVERAGE('WetLitterbags placem_collection'!S33,'WetLitterbags placem_collection'!U33)</f>
        <v>33</v>
      </c>
      <c r="AK472">
        <f>AVERAGE('WetLitterbags placem_collection'!R33,'WetLitterbags placem_collection'!T33)</f>
        <v>20.950000000000003</v>
      </c>
      <c r="AL472">
        <f>INDEX([2]Coordinates!$B$2:$B$197,MATCH(I472,[2]Coordinates!$J$2:$J$197,0))</f>
        <v>-3.3848409909999999</v>
      </c>
      <c r="AM472">
        <f>INDEX([2]Coordinates!$C$2:$C$197,MATCH(I472,[2]Coordinates!$J$2:$J$197,0))</f>
        <v>34.818838999999997</v>
      </c>
      <c r="AN472" t="str">
        <f>IF(ISNUMBER(SEARCH("C", 'WetLitterbags placem_collection'!$X33)),"YES","NO")</f>
        <v>NO</v>
      </c>
      <c r="AO472" t="str">
        <f>IF(ISNUMBER(SEARCH("H", 'WetLitterbags placem_collection'!$X33)),"YES","NO")</f>
        <v>NO</v>
      </c>
      <c r="AP472" t="str">
        <f>IF(ISNUMBER(SEARCH("R", 'WetLitterbags placem_collection'!$X33)),"YES","NO")</f>
        <v>YES</v>
      </c>
    </row>
    <row r="473" spans="1:42" ht="15" customHeight="1">
      <c r="A473" t="s">
        <v>3248</v>
      </c>
      <c r="B473" s="248" t="s">
        <v>2454</v>
      </c>
      <c r="C473" s="253">
        <f>'Dry_Litterbag Placem_Collection'!A34</f>
        <v>32</v>
      </c>
      <c r="D473" s="253" t="str">
        <f>'Dry_Litterbag Placem_Collection'!B34</f>
        <v>Makao</v>
      </c>
      <c r="E473" s="253" t="s">
        <v>2643</v>
      </c>
      <c r="F473" s="253" t="s">
        <v>2644</v>
      </c>
      <c r="G473" s="253">
        <v>4</v>
      </c>
      <c r="H473" s="253" t="s">
        <v>3105</v>
      </c>
      <c r="I473" s="254" t="str">
        <f>'Dry_Litterbag Placem_Collection'!C34</f>
        <v>Dry_Ag4_T8</v>
      </c>
      <c r="J473" s="263" t="s">
        <v>2932</v>
      </c>
      <c r="K473" s="256" t="s">
        <v>1147</v>
      </c>
      <c r="L473" s="221" t="str">
        <f>'WetLitterbags placem_collection'!O34</f>
        <v>G201</v>
      </c>
      <c r="M473" s="223">
        <f>IFERROR(INDEX('Green_rooibos initial weight'!$C$5:$C$2000,MATCH(L473, 'Green_rooibos initial weight'!$A$5:$A$2000,0)),"")</f>
        <v>2.2370000000000001</v>
      </c>
      <c r="N473" s="223">
        <f>IFERROR(M473-(TBIcalc!$H$9+TBIcalc!$H$10),"")</f>
        <v>1.9872000000000001</v>
      </c>
      <c r="O473" s="378">
        <f>AVERAGE(Ashed_controlls!$K$2:$K$11)</f>
        <v>5.5147656768714146</v>
      </c>
      <c r="P473" s="223">
        <f t="shared" si="36"/>
        <v>1.8776105764692113</v>
      </c>
      <c r="Q473" s="223" t="str">
        <f>IFERROR(INDEX('Both teabags AfterWet'!$C$3:$C$840,MATCH(L473,'Both teabags AfterWet'!$A$3:$A$840,0)),"")</f>
        <v/>
      </c>
      <c r="R473" s="223" t="str">
        <f>IFERROR(IF(Q473&gt;0,Q473-(TBIcalc!$H$9),""),"")</f>
        <v/>
      </c>
      <c r="S473" s="223">
        <f>IFERROR(INDEX('Ashed teabags wet'!$K$2:$K$2000,MATCH(L473,'Ashed teabags wet'!$A$2:$A$2000,0)),"")</f>
        <v>7.292707292707294</v>
      </c>
      <c r="T473" s="223" t="str">
        <f t="shared" si="37"/>
        <v/>
      </c>
      <c r="U473" s="224">
        <f>'WetLitterbags placem_collection'!E34</f>
        <v>42767</v>
      </c>
      <c r="V473" s="224">
        <f>IF('WetLitterbags placem_collection'!G34="","",'WetLitterbags placem_collection'!G34)</f>
        <v>42818</v>
      </c>
      <c r="W473" s="225">
        <f t="shared" si="35"/>
        <v>51</v>
      </c>
      <c r="X473" s="223" t="str">
        <f t="shared" si="38"/>
        <v/>
      </c>
      <c r="Y473" s="223" t="str">
        <f t="shared" si="39"/>
        <v/>
      </c>
      <c r="Z473">
        <f>IFERROR(INDEX([1]Rainfall_Wet!$O$2:$O$217,MATCH(C473, [1]Rainfall_Wet!$A$2:$A$217,0)),"")</f>
        <v>185.630065823</v>
      </c>
      <c r="AA473" s="226">
        <v>51.960000000000008</v>
      </c>
      <c r="AB473" s="226">
        <v>18.919999999999995</v>
      </c>
      <c r="AC473" s="226">
        <v>29.120000000000005</v>
      </c>
      <c r="AD473" s="227" t="s">
        <v>2654</v>
      </c>
      <c r="AE473" s="226">
        <v>8.8529324790537203</v>
      </c>
      <c r="AF473" t="str">
        <f>IF('WetLitterbags placem_collection'!AB34="","",'WetLitterbags placem_collection'!AB34)</f>
        <v/>
      </c>
      <c r="AG473" t="str">
        <f>IF('WetLitterbags placem_collection'!Z34="","",'WetLitterbags placem_collection'!Z34)</f>
        <v/>
      </c>
      <c r="AH473" s="236" t="str">
        <f>IF('WetLitterbags placem_collection'!AA34="","",'WetLitterbags placem_collection'!AA34)</f>
        <v/>
      </c>
      <c r="AI473" t="str">
        <f>IF('WetLitterbags placem_collection'!AC34="","",'WetLitterbags placem_collection'!AC34)</f>
        <v/>
      </c>
      <c r="AJ473" s="233">
        <f>AVERAGE('WetLitterbags placem_collection'!S34,'WetLitterbags placem_collection'!U34)</f>
        <v>32.849999999999994</v>
      </c>
      <c r="AK473">
        <f>AVERAGE('WetLitterbags placem_collection'!R34,'WetLitterbags placem_collection'!T34)</f>
        <v>20.9</v>
      </c>
      <c r="AL473">
        <f>INDEX([2]Coordinates!$B$2:$B$197,MATCH(I473,[2]Coordinates!$J$2:$J$197,0))</f>
        <v>-3.3849010060000002</v>
      </c>
      <c r="AM473">
        <f>INDEX([2]Coordinates!$C$2:$C$197,MATCH(I473,[2]Coordinates!$J$2:$J$197,0))</f>
        <v>34.818979990000003</v>
      </c>
      <c r="AN473" t="str">
        <f>IF(ISNUMBER(SEARCH("C", 'WetLitterbags placem_collection'!$X34)),"YES","NO")</f>
        <v>NO</v>
      </c>
      <c r="AO473" t="str">
        <f>IF(ISNUMBER(SEARCH("H", 'WetLitterbags placem_collection'!$X34)),"YES","NO")</f>
        <v>NO</v>
      </c>
      <c r="AP473" t="str">
        <f>IF(ISNUMBER(SEARCH("R", 'WetLitterbags placem_collection'!$X34)),"YES","NO")</f>
        <v>YES</v>
      </c>
    </row>
    <row r="474" spans="1:42" ht="15" customHeight="1">
      <c r="A474" t="s">
        <v>3248</v>
      </c>
      <c r="B474" s="248" t="s">
        <v>2454</v>
      </c>
      <c r="C474" s="253">
        <f>'Dry_Litterbag Placem_Collection'!A35</f>
        <v>33</v>
      </c>
      <c r="D474" s="253" t="str">
        <f>'Dry_Litterbag Placem_Collection'!B35</f>
        <v>Makao</v>
      </c>
      <c r="E474" s="253" t="s">
        <v>2643</v>
      </c>
      <c r="F474" s="253" t="s">
        <v>20</v>
      </c>
      <c r="G474" s="253">
        <v>1</v>
      </c>
      <c r="H474" s="253" t="s">
        <v>3106</v>
      </c>
      <c r="I474" s="254" t="str">
        <f>'Dry_Litterbag Placem_Collection'!C35</f>
        <v>Dry_P1_T1</v>
      </c>
      <c r="J474" s="263" t="s">
        <v>2932</v>
      </c>
      <c r="K474" s="256" t="s">
        <v>1147</v>
      </c>
      <c r="L474" s="221" t="str">
        <f>'WetLitterbags placem_collection'!O35</f>
        <v>G556</v>
      </c>
      <c r="M474" s="223">
        <f>IFERROR(INDEX('Green_rooibos initial weight'!$C$5:$C$2000,MATCH(L474, 'Green_rooibos initial weight'!$A$5:$A$2000,0)),"")</f>
        <v>2.0329999999999999</v>
      </c>
      <c r="N474" s="223">
        <f>IFERROR(M474-(TBIcalc!$H$9+TBIcalc!$H$10),"")</f>
        <v>1.7831999999999999</v>
      </c>
      <c r="O474" s="378">
        <f>AVERAGE(Ashed_controlls!$K$2:$K$11)</f>
        <v>5.5147656768714146</v>
      </c>
      <c r="P474" s="223">
        <f t="shared" si="36"/>
        <v>1.6848606984500289</v>
      </c>
      <c r="Q474" s="223">
        <f>IFERROR(INDEX('Both teabags AfterWet'!$C$3:$C$840,MATCH(L474,'Both teabags AfterWet'!$A$3:$A$840,0)),"")</f>
        <v>0.64400000000000002</v>
      </c>
      <c r="R474" s="223">
        <f>IFERROR(IF(Q474&gt;0,Q474-(TBIcalc!$H$9),""),"")</f>
        <v>0.49340000000000001</v>
      </c>
      <c r="S474" s="223">
        <f>IFERROR(INDEX('Ashed teabags wet'!$K$2:$K$2000,MATCH(L474,'Ashed teabags wet'!$A$2:$A$2000,0)),"")</f>
        <v>10.776075135937448</v>
      </c>
      <c r="T474" s="223">
        <f t="shared" si="37"/>
        <v>0.44023084527928463</v>
      </c>
      <c r="U474" s="224">
        <f>'WetLitterbags placem_collection'!E35</f>
        <v>42765</v>
      </c>
      <c r="V474" s="224">
        <f>IF('WetLitterbags placem_collection'!G35="","",'WetLitterbags placem_collection'!G35)</f>
        <v>42820</v>
      </c>
      <c r="W474" s="225">
        <f t="shared" si="35"/>
        <v>55</v>
      </c>
      <c r="X474" s="223">
        <f t="shared" si="38"/>
        <v>1.2897999999999998</v>
      </c>
      <c r="Y474" s="223">
        <f t="shared" si="39"/>
        <v>1.2446298531707443</v>
      </c>
      <c r="Z474">
        <f>IFERROR(INDEX([1]Rainfall_Wet!$O$2:$O$217,MATCH(C474, [1]Rainfall_Wet!$A$2:$A$217,0)),"")</f>
        <v>228.324359195</v>
      </c>
      <c r="AA474" s="226">
        <v>23.96</v>
      </c>
      <c r="AB474" s="226">
        <v>0.91999999999999804</v>
      </c>
      <c r="AC474" s="226">
        <v>75.12</v>
      </c>
      <c r="AD474" s="227" t="s">
        <v>2651</v>
      </c>
      <c r="AE474" s="226">
        <v>1.2493839329719072</v>
      </c>
      <c r="AF474">
        <f>IF('WetLitterbags placem_collection'!AB35="","",'WetLitterbags placem_collection'!AB35)</f>
        <v>9.5</v>
      </c>
      <c r="AG474">
        <f>IF('WetLitterbags placem_collection'!Z35="","",'WetLitterbags placem_collection'!Z35)</f>
        <v>17.2</v>
      </c>
      <c r="AH474" s="236" t="str">
        <f>IF('WetLitterbags placem_collection'!AA35="","",'WetLitterbags placem_collection'!AA35)</f>
        <v>G</v>
      </c>
      <c r="AI474">
        <f>IF('WetLitterbags placem_collection'!AC35="","",'WetLitterbags placem_collection'!AC35)</f>
        <v>0</v>
      </c>
      <c r="AJ474" s="233">
        <f>AVERAGE('WetLitterbags placem_collection'!S35,'WetLitterbags placem_collection'!U35)</f>
        <v>30.5</v>
      </c>
      <c r="AK474">
        <f>AVERAGE('WetLitterbags placem_collection'!R35,'WetLitterbags placem_collection'!T35)</f>
        <v>25.25</v>
      </c>
      <c r="AL474">
        <f>INDEX([2]Coordinates!$B$2:$B$197,MATCH(I474,[2]Coordinates!$J$2:$J$197,0))</f>
        <v>-3.4092039989999998</v>
      </c>
      <c r="AM474">
        <f>INDEX([2]Coordinates!$C$2:$C$197,MATCH(I474,[2]Coordinates!$J$2:$J$197,0))</f>
        <v>34.852751009999999</v>
      </c>
      <c r="AN474" t="str">
        <f>IF(ISNUMBER(SEARCH("C", 'WetLitterbags placem_collection'!$X35)),"YES","NO")</f>
        <v>NO</v>
      </c>
      <c r="AO474" t="str">
        <f>IF(ISNUMBER(SEARCH("H", 'WetLitterbags placem_collection'!$X35)),"YES","NO")</f>
        <v>NO</v>
      </c>
      <c r="AP474" t="str">
        <f>IF(ISNUMBER(SEARCH("R", 'WetLitterbags placem_collection'!$X35)),"YES","NO")</f>
        <v>YES</v>
      </c>
    </row>
    <row r="475" spans="1:42" ht="15" customHeight="1">
      <c r="A475" t="s">
        <v>3248</v>
      </c>
      <c r="B475" s="248" t="s">
        <v>2454</v>
      </c>
      <c r="C475" s="253">
        <f>'Dry_Litterbag Placem_Collection'!A36</f>
        <v>34</v>
      </c>
      <c r="D475" s="253" t="str">
        <f>'Dry_Litterbag Placem_Collection'!B36</f>
        <v>Makao</v>
      </c>
      <c r="E475" s="253" t="s">
        <v>2643</v>
      </c>
      <c r="F475" s="253" t="s">
        <v>20</v>
      </c>
      <c r="G475" s="253">
        <v>1</v>
      </c>
      <c r="H475" s="253" t="s">
        <v>3106</v>
      </c>
      <c r="I475" s="254" t="str">
        <f>'Dry_Litterbag Placem_Collection'!C36</f>
        <v>Dry_P1_T2</v>
      </c>
      <c r="J475" s="263" t="s">
        <v>2932</v>
      </c>
      <c r="K475" s="256" t="s">
        <v>1147</v>
      </c>
      <c r="L475" s="221" t="str">
        <f>'WetLitterbags placem_collection'!O36</f>
        <v>G649</v>
      </c>
      <c r="M475" s="223">
        <f>IFERROR(INDEX('Green_rooibos initial weight'!$C$5:$C$2000,MATCH(L475, 'Green_rooibos initial weight'!$A$5:$A$2000,0)),"")</f>
        <v>2.1379999999999999</v>
      </c>
      <c r="N475" s="223">
        <f>IFERROR(M475-(TBIcalc!$H$9+TBIcalc!$H$10),"")</f>
        <v>1.8881999999999999</v>
      </c>
      <c r="O475" s="378">
        <f>AVERAGE(Ashed_controlls!$K$2:$K$11)</f>
        <v>5.5147656768714146</v>
      </c>
      <c r="P475" s="223">
        <f t="shared" si="36"/>
        <v>1.7840701944893138</v>
      </c>
      <c r="Q475" s="223">
        <f>IFERROR(INDEX('Both teabags AfterWet'!$C$3:$C$840,MATCH(L475,'Both teabags AfterWet'!$A$3:$A$840,0)),"")</f>
        <v>0.80259999999999998</v>
      </c>
      <c r="R475" s="223">
        <f>IFERROR(IF(Q475&gt;0,Q475-(TBIcalc!$H$9),""),"")</f>
        <v>0.65199999999999991</v>
      </c>
      <c r="S475" s="223">
        <f>IFERROR(INDEX('Ashed teabags wet'!$K$2:$K$2000,MATCH(L475,'Ashed teabags wet'!$A$2:$A$2000,0)),"")</f>
        <v>11.012345679011846</v>
      </c>
      <c r="T475" s="223">
        <f t="shared" si="37"/>
        <v>0.58019950617284266</v>
      </c>
      <c r="U475" s="224">
        <f>'WetLitterbags placem_collection'!E36</f>
        <v>42765</v>
      </c>
      <c r="V475" s="224">
        <f>IF('WetLitterbags placem_collection'!G36="","",'WetLitterbags placem_collection'!G36)</f>
        <v>42820</v>
      </c>
      <c r="W475" s="225">
        <f t="shared" si="35"/>
        <v>55</v>
      </c>
      <c r="X475" s="223">
        <f t="shared" si="38"/>
        <v>1.2362</v>
      </c>
      <c r="Y475" s="223">
        <f t="shared" si="39"/>
        <v>1.2038706883164711</v>
      </c>
      <c r="Z475">
        <f>IFERROR(INDEX([1]Rainfall_Wet!$O$2:$O$217,MATCH(C475, [1]Rainfall_Wet!$A$2:$A$217,0)),"")</f>
        <v>228.324359195</v>
      </c>
      <c r="AA475" s="226">
        <v>23.96</v>
      </c>
      <c r="AB475" s="226">
        <v>0.91999999999999804</v>
      </c>
      <c r="AC475" s="226">
        <v>75.12</v>
      </c>
      <c r="AD475" s="227" t="s">
        <v>2651</v>
      </c>
      <c r="AE475" s="226">
        <v>1.2493839329719072</v>
      </c>
      <c r="AF475">
        <f>IF('WetLitterbags placem_collection'!AB36="","",'WetLitterbags placem_collection'!AB36)</f>
        <v>6.5</v>
      </c>
      <c r="AG475">
        <f>IF('WetLitterbags placem_collection'!Z36="","",'WetLitterbags placem_collection'!Z36)</f>
        <v>14.2</v>
      </c>
      <c r="AH475" s="236" t="str">
        <f>IF('WetLitterbags placem_collection'!AA36="","",'WetLitterbags placem_collection'!AA36)</f>
        <v>G</v>
      </c>
      <c r="AI475">
        <f>IF('WetLitterbags placem_collection'!AC36="","",'WetLitterbags placem_collection'!AC36)</f>
        <v>0</v>
      </c>
      <c r="AJ475" s="233">
        <f>AVERAGE('WetLitterbags placem_collection'!S36,'WetLitterbags placem_collection'!U36)</f>
        <v>21</v>
      </c>
      <c r="AK475">
        <f>AVERAGE('WetLitterbags placem_collection'!R36,'WetLitterbags placem_collection'!T36)</f>
        <v>25.55</v>
      </c>
      <c r="AL475">
        <f>INDEX([2]Coordinates!$B$2:$B$197,MATCH(I475,[2]Coordinates!$J$2:$J$197,0))</f>
        <v>-3.4092350119999999</v>
      </c>
      <c r="AM475">
        <f>INDEX([2]Coordinates!$C$2:$C$197,MATCH(I475,[2]Coordinates!$J$2:$J$197,0))</f>
        <v>34.852782019999999</v>
      </c>
      <c r="AN475" t="str">
        <f>IF(ISNUMBER(SEARCH("C", 'WetLitterbags placem_collection'!$X36)),"YES","NO")</f>
        <v>NO</v>
      </c>
      <c r="AO475" t="str">
        <f>IF(ISNUMBER(SEARCH("H", 'WetLitterbags placem_collection'!$X36)),"YES","NO")</f>
        <v>NO</v>
      </c>
      <c r="AP475" t="str">
        <f>IF(ISNUMBER(SEARCH("R", 'WetLitterbags placem_collection'!$X36)),"YES","NO")</f>
        <v>YES</v>
      </c>
    </row>
    <row r="476" spans="1:42" ht="15" customHeight="1">
      <c r="A476" t="s">
        <v>3248</v>
      </c>
      <c r="B476" s="248" t="s">
        <v>2454</v>
      </c>
      <c r="C476" s="253">
        <f>'Dry_Litterbag Placem_Collection'!A37</f>
        <v>35</v>
      </c>
      <c r="D476" s="253" t="str">
        <f>'Dry_Litterbag Placem_Collection'!B37</f>
        <v>Makao</v>
      </c>
      <c r="E476" s="253" t="s">
        <v>2643</v>
      </c>
      <c r="F476" s="253" t="s">
        <v>20</v>
      </c>
      <c r="G476" s="253">
        <v>1</v>
      </c>
      <c r="H476" s="253" t="s">
        <v>3106</v>
      </c>
      <c r="I476" s="254" t="str">
        <f>'Dry_Litterbag Placem_Collection'!C37</f>
        <v>Dry_P1_T3</v>
      </c>
      <c r="J476" s="263" t="s">
        <v>2932</v>
      </c>
      <c r="K476" s="256" t="s">
        <v>1147</v>
      </c>
      <c r="L476" s="221" t="str">
        <f>'WetLitterbags placem_collection'!O37</f>
        <v>G732</v>
      </c>
      <c r="M476" s="223">
        <f>IFERROR(INDEX('Green_rooibos initial weight'!$C$5:$C$2000,MATCH(L476, 'Green_rooibos initial weight'!$A$5:$A$2000,0)),"")</f>
        <v>2.0880000000000001</v>
      </c>
      <c r="N476" s="223">
        <f>IFERROR(M476-(TBIcalc!$H$9+TBIcalc!$H$10),"")</f>
        <v>1.8382000000000001</v>
      </c>
      <c r="O476" s="378">
        <f>AVERAGE(Ashed_controlls!$K$2:$K$11)</f>
        <v>5.5147656768714146</v>
      </c>
      <c r="P476" s="223">
        <f t="shared" si="36"/>
        <v>1.7368275773277497</v>
      </c>
      <c r="Q476" s="223">
        <f>IFERROR(INDEX('Both teabags AfterWet'!$C$3:$C$840,MATCH(L476,'Both teabags AfterWet'!$A$3:$A$840,0)),"")</f>
        <v>0.71699999999999997</v>
      </c>
      <c r="R476" s="223">
        <f>IFERROR(IF(Q476&gt;0,Q476-(TBIcalc!$H$9),""),"")</f>
        <v>0.56640000000000001</v>
      </c>
      <c r="S476" s="223">
        <f>IFERROR(INDEX('Ashed teabags wet'!$K$2:$K$2000,MATCH(L476,'Ashed teabags wet'!$A$2:$A$2000,0)),"")</f>
        <v>10.182896688086906</v>
      </c>
      <c r="T476" s="223">
        <f t="shared" si="37"/>
        <v>0.50872407315867574</v>
      </c>
      <c r="U476" s="224">
        <f>'WetLitterbags placem_collection'!E37</f>
        <v>42765</v>
      </c>
      <c r="V476" s="224">
        <f>IF('WetLitterbags placem_collection'!G37="","",'WetLitterbags placem_collection'!G37)</f>
        <v>42820</v>
      </c>
      <c r="W476" s="225">
        <f t="shared" si="35"/>
        <v>55</v>
      </c>
      <c r="X476" s="223">
        <f t="shared" si="38"/>
        <v>1.2718</v>
      </c>
      <c r="Y476" s="223">
        <f t="shared" si="39"/>
        <v>1.228103504169074</v>
      </c>
      <c r="Z476">
        <f>IFERROR(INDEX([1]Rainfall_Wet!$O$2:$O$217,MATCH(C476, [1]Rainfall_Wet!$A$2:$A$217,0)),"")</f>
        <v>228.324359195</v>
      </c>
      <c r="AA476" s="226">
        <v>23.96</v>
      </c>
      <c r="AB476" s="226">
        <v>0.91999999999999804</v>
      </c>
      <c r="AC476" s="226">
        <v>75.12</v>
      </c>
      <c r="AD476" s="227" t="s">
        <v>2651</v>
      </c>
      <c r="AE476" s="226">
        <v>1.2493839329719072</v>
      </c>
      <c r="AF476">
        <f>IF('WetLitterbags placem_collection'!AB37="","",'WetLitterbags placem_collection'!AB37)</f>
        <v>0.7</v>
      </c>
      <c r="AG476">
        <f>IF('WetLitterbags placem_collection'!Z37="","",'WetLitterbags placem_collection'!Z37)</f>
        <v>10.6</v>
      </c>
      <c r="AH476" s="236" t="str">
        <f>IF('WetLitterbags placem_collection'!AA37="","",'WetLitterbags placem_collection'!AA37)</f>
        <v>G</v>
      </c>
      <c r="AI476">
        <f>IF('WetLitterbags placem_collection'!AC37="","",'WetLitterbags placem_collection'!AC37)</f>
        <v>0</v>
      </c>
      <c r="AJ476" s="233">
        <f>AVERAGE('WetLitterbags placem_collection'!S37,'WetLitterbags placem_collection'!U37)</f>
        <v>10.9</v>
      </c>
      <c r="AK476">
        <f>AVERAGE('WetLitterbags placem_collection'!R37,'WetLitterbags placem_collection'!T37)</f>
        <v>24.45</v>
      </c>
      <c r="AL476">
        <f>INDEX([2]Coordinates!$B$2:$B$197,MATCH(I476,[2]Coordinates!$J$2:$J$197,0))</f>
        <v>-3.409177009</v>
      </c>
      <c r="AM476">
        <f>INDEX([2]Coordinates!$C$2:$C$197,MATCH(I476,[2]Coordinates!$J$2:$J$197,0))</f>
        <v>34.852818990000003</v>
      </c>
      <c r="AN476" t="str">
        <f>IF(ISNUMBER(SEARCH("C", 'WetLitterbags placem_collection'!$X37)),"YES","NO")</f>
        <v>NO</v>
      </c>
      <c r="AO476" t="str">
        <f>IF(ISNUMBER(SEARCH("H", 'WetLitterbags placem_collection'!$X37)),"YES","NO")</f>
        <v>NO</v>
      </c>
      <c r="AP476" t="str">
        <f>IF(ISNUMBER(SEARCH("R", 'WetLitterbags placem_collection'!$X37)),"YES","NO")</f>
        <v>YES</v>
      </c>
    </row>
    <row r="477" spans="1:42" ht="15" customHeight="1">
      <c r="A477" t="s">
        <v>3248</v>
      </c>
      <c r="B477" s="248" t="s">
        <v>2454</v>
      </c>
      <c r="C477" s="253">
        <f>'Dry_Litterbag Placem_Collection'!A38</f>
        <v>36</v>
      </c>
      <c r="D477" s="253" t="str">
        <f>'Dry_Litterbag Placem_Collection'!B38</f>
        <v>Makao</v>
      </c>
      <c r="E477" s="253" t="s">
        <v>2643</v>
      </c>
      <c r="F477" s="253" t="s">
        <v>20</v>
      </c>
      <c r="G477" s="253">
        <v>1</v>
      </c>
      <c r="H477" s="253" t="s">
        <v>3106</v>
      </c>
      <c r="I477" s="254" t="str">
        <f>'Dry_Litterbag Placem_Collection'!C38</f>
        <v>Dry_P1_T4</v>
      </c>
      <c r="J477" s="263" t="s">
        <v>2932</v>
      </c>
      <c r="K477" s="256" t="s">
        <v>1147</v>
      </c>
      <c r="L477" s="221" t="str">
        <f>'WetLitterbags placem_collection'!O38</f>
        <v>G550</v>
      </c>
      <c r="M477" s="223">
        <f>IFERROR(INDEX('Green_rooibos initial weight'!$C$5:$C$2000,MATCH(L477, 'Green_rooibos initial weight'!$A$5:$A$2000,0)),"")</f>
        <v>2.097</v>
      </c>
      <c r="N477" s="223">
        <f>IFERROR(M477-(TBIcalc!$H$9+TBIcalc!$H$10),"")</f>
        <v>1.8472</v>
      </c>
      <c r="O477" s="378">
        <f>AVERAGE(Ashed_controlls!$K$2:$K$11)</f>
        <v>5.5147656768714146</v>
      </c>
      <c r="P477" s="223">
        <f t="shared" si="36"/>
        <v>1.7453312484168313</v>
      </c>
      <c r="Q477" s="223">
        <f>IFERROR(INDEX('Both teabags AfterWet'!$C$3:$C$840,MATCH(L477,'Both teabags AfterWet'!$A$3:$A$840,0)),"")</f>
        <v>0.72199999999999998</v>
      </c>
      <c r="R477" s="223">
        <f>IFERROR(IF(Q477&gt;0,Q477-(TBIcalc!$H$9),""),"")</f>
        <v>0.57139999999999991</v>
      </c>
      <c r="S477" s="223">
        <f>IFERROR(INDEX('Ashed teabags wet'!$K$2:$K$2000,MATCH(L477,'Ashed teabags wet'!$A$2:$A$2000,0)),"")</f>
        <v>6.3737324963780466</v>
      </c>
      <c r="T477" s="223">
        <f t="shared" si="37"/>
        <v>0.53498049251569579</v>
      </c>
      <c r="U477" s="224">
        <f>'WetLitterbags placem_collection'!E38</f>
        <v>42765</v>
      </c>
      <c r="V477" s="224">
        <f>IF('WetLitterbags placem_collection'!G38="","",'WetLitterbags placem_collection'!G38)</f>
        <v>42820</v>
      </c>
      <c r="W477" s="225">
        <f t="shared" si="35"/>
        <v>55</v>
      </c>
      <c r="X477" s="223">
        <f t="shared" si="38"/>
        <v>1.2758</v>
      </c>
      <c r="Y477" s="223">
        <f t="shared" si="39"/>
        <v>1.2103507559011355</v>
      </c>
      <c r="Z477">
        <f>IFERROR(INDEX([1]Rainfall_Wet!$O$2:$O$217,MATCH(C477, [1]Rainfall_Wet!$A$2:$A$217,0)),"")</f>
        <v>228.324359195</v>
      </c>
      <c r="AA477" s="226">
        <v>23.96</v>
      </c>
      <c r="AB477" s="226">
        <v>0.91999999999999804</v>
      </c>
      <c r="AC477" s="226">
        <v>75.12</v>
      </c>
      <c r="AD477" s="227" t="s">
        <v>2651</v>
      </c>
      <c r="AE477" s="226">
        <v>1.2493839329719072</v>
      </c>
      <c r="AF477">
        <f>IF('WetLitterbags placem_collection'!AB38="","",'WetLitterbags placem_collection'!AB38)</f>
        <v>3.3</v>
      </c>
      <c r="AG477">
        <f>IF('WetLitterbags placem_collection'!Z38="","",'WetLitterbags placem_collection'!Z38)</f>
        <v>4.9000000000000004</v>
      </c>
      <c r="AH477" s="236" t="str">
        <f>IF('WetLitterbags placem_collection'!AA38="","",'WetLitterbags placem_collection'!AA38)</f>
        <v>G</v>
      </c>
      <c r="AI477">
        <f>IF('WetLitterbags placem_collection'!AC38="","",'WetLitterbags placem_collection'!AC38)</f>
        <v>1</v>
      </c>
      <c r="AJ477" s="233">
        <f>AVERAGE('WetLitterbags placem_collection'!S38,'WetLitterbags placem_collection'!U38)</f>
        <v>14.1</v>
      </c>
      <c r="AK477">
        <f>AVERAGE('WetLitterbags placem_collection'!R38,'WetLitterbags placem_collection'!T38)</f>
        <v>24.75</v>
      </c>
      <c r="AL477">
        <f>INDEX([2]Coordinates!$B$2:$B$197,MATCH(I477,[2]Coordinates!$J$2:$J$197,0))</f>
        <v>-3.40917198</v>
      </c>
      <c r="AM477">
        <f>INDEX([2]Coordinates!$C$2:$C$197,MATCH(I477,[2]Coordinates!$J$2:$J$197,0))</f>
        <v>34.852960979999999</v>
      </c>
      <c r="AN477" t="str">
        <f>IF(ISNUMBER(SEARCH("C", 'WetLitterbags placem_collection'!$X38)),"YES","NO")</f>
        <v>NO</v>
      </c>
      <c r="AO477" t="str">
        <f>IF(ISNUMBER(SEARCH("H", 'WetLitterbags placem_collection'!$X38)),"YES","NO")</f>
        <v>NO</v>
      </c>
      <c r="AP477" t="str">
        <f>IF(ISNUMBER(SEARCH("R", 'WetLitterbags placem_collection'!$X38)),"YES","NO")</f>
        <v>YES</v>
      </c>
    </row>
    <row r="478" spans="1:42" ht="15" customHeight="1">
      <c r="A478" t="s">
        <v>3248</v>
      </c>
      <c r="B478" s="248" t="s">
        <v>2454</v>
      </c>
      <c r="C478" s="253">
        <f>'Dry_Litterbag Placem_Collection'!A39</f>
        <v>37</v>
      </c>
      <c r="D478" s="253" t="str">
        <f>'Dry_Litterbag Placem_Collection'!B39</f>
        <v>Makao</v>
      </c>
      <c r="E478" s="253" t="s">
        <v>2643</v>
      </c>
      <c r="F478" s="253" t="s">
        <v>20</v>
      </c>
      <c r="G478" s="253">
        <v>1</v>
      </c>
      <c r="H478" s="253" t="s">
        <v>3106</v>
      </c>
      <c r="I478" s="254" t="str">
        <f>'Dry_Litterbag Placem_Collection'!C39</f>
        <v>Dry_P1_T5</v>
      </c>
      <c r="J478" s="263" t="s">
        <v>2932</v>
      </c>
      <c r="K478" s="256" t="s">
        <v>1147</v>
      </c>
      <c r="L478" s="221" t="str">
        <f>'WetLitterbags placem_collection'!O39</f>
        <v>G528</v>
      </c>
      <c r="M478" s="223">
        <f>IFERROR(INDEX('Green_rooibos initial weight'!$C$5:$C$2000,MATCH(L478, 'Green_rooibos initial weight'!$A$5:$A$2000,0)),"")</f>
        <v>2.14</v>
      </c>
      <c r="N478" s="223">
        <f>IFERROR(M478-(TBIcalc!$H$9+TBIcalc!$H$10),"")</f>
        <v>1.8902000000000001</v>
      </c>
      <c r="O478" s="378">
        <f>AVERAGE(Ashed_controlls!$K$2:$K$11)</f>
        <v>5.5147656768714146</v>
      </c>
      <c r="P478" s="223">
        <f t="shared" si="36"/>
        <v>1.7859598991757766</v>
      </c>
      <c r="Q478" s="223">
        <f>IFERROR(INDEX('Both teabags AfterWet'!$C$3:$C$840,MATCH(L478,'Both teabags AfterWet'!$A$3:$A$840,0)),"")</f>
        <v>0.89600000000000002</v>
      </c>
      <c r="R478" s="223">
        <f>IFERROR(IF(Q478&gt;0,Q478-(TBIcalc!$H$9),""),"")</f>
        <v>0.74540000000000006</v>
      </c>
      <c r="S478" s="223">
        <f>IFERROR(INDEX('Ashed teabags wet'!$K$2:$K$2000,MATCH(L478,'Ashed teabags wet'!$A$2:$A$2000,0)),"")</f>
        <v>15.032354405176665</v>
      </c>
      <c r="T478" s="223">
        <f t="shared" si="37"/>
        <v>0.63334883026381317</v>
      </c>
      <c r="U478" s="224">
        <f>'WetLitterbags placem_collection'!E39</f>
        <v>42765</v>
      </c>
      <c r="V478" s="224">
        <f>IF('WetLitterbags placem_collection'!G39="","",'WetLitterbags placem_collection'!G39)</f>
        <v>42820</v>
      </c>
      <c r="W478" s="225">
        <f t="shared" si="35"/>
        <v>55</v>
      </c>
      <c r="X478" s="223">
        <f t="shared" si="38"/>
        <v>1.1448</v>
      </c>
      <c r="Y478" s="223">
        <f t="shared" si="39"/>
        <v>1.1526110689119635</v>
      </c>
      <c r="Z478">
        <f>IFERROR(INDEX([1]Rainfall_Wet!$O$2:$O$217,MATCH(C478, [1]Rainfall_Wet!$A$2:$A$217,0)),"")</f>
        <v>228.324359195</v>
      </c>
      <c r="AA478" s="226">
        <v>23.96</v>
      </c>
      <c r="AB478" s="226">
        <v>0.91999999999999804</v>
      </c>
      <c r="AC478" s="226">
        <v>75.12</v>
      </c>
      <c r="AD478" s="227" t="s">
        <v>2651</v>
      </c>
      <c r="AE478" s="226">
        <v>1.2493839329719072</v>
      </c>
      <c r="AF478">
        <f>IF('WetLitterbags placem_collection'!AB39="","",'WetLitterbags placem_collection'!AB39)</f>
        <v>8.3000000000000007</v>
      </c>
      <c r="AG478">
        <f>IF('WetLitterbags placem_collection'!Z39="","",'WetLitterbags placem_collection'!Z39)</f>
        <v>27.8</v>
      </c>
      <c r="AH478" s="236" t="str">
        <f>IF('WetLitterbags placem_collection'!AA39="","",'WetLitterbags placem_collection'!AA39)</f>
        <v>G</v>
      </c>
      <c r="AI478">
        <f>IF('WetLitterbags placem_collection'!AC39="","",'WetLitterbags placem_collection'!AC39)</f>
        <v>0</v>
      </c>
      <c r="AJ478" s="233">
        <f>AVERAGE('WetLitterbags placem_collection'!S39,'WetLitterbags placem_collection'!U39)</f>
        <v>19.299999999999997</v>
      </c>
      <c r="AK478">
        <f>AVERAGE('WetLitterbags placem_collection'!R39,'WetLitterbags placem_collection'!T39)</f>
        <v>24.55</v>
      </c>
      <c r="AL478">
        <f>INDEX([2]Coordinates!$B$2:$B$197,MATCH(I478,[2]Coordinates!$J$2:$J$197,0))</f>
        <v>-3.4090709779999999</v>
      </c>
      <c r="AM478">
        <f>INDEX([2]Coordinates!$C$2:$C$197,MATCH(I478,[2]Coordinates!$J$2:$J$197,0))</f>
        <v>34.852712029999999</v>
      </c>
      <c r="AN478" t="str">
        <f>IF(ISNUMBER(SEARCH("C", 'WetLitterbags placem_collection'!$X39)),"YES","NO")</f>
        <v>NO</v>
      </c>
      <c r="AO478" t="str">
        <f>IF(ISNUMBER(SEARCH("H", 'WetLitterbags placem_collection'!$X39)),"YES","NO")</f>
        <v>NO</v>
      </c>
      <c r="AP478" t="str">
        <f>IF(ISNUMBER(SEARCH("R", 'WetLitterbags placem_collection'!$X39)),"YES","NO")</f>
        <v>YES</v>
      </c>
    </row>
    <row r="479" spans="1:42" ht="15" customHeight="1">
      <c r="A479" t="s">
        <v>3248</v>
      </c>
      <c r="B479" s="248" t="s">
        <v>2454</v>
      </c>
      <c r="C479" s="253">
        <f>'Dry_Litterbag Placem_Collection'!A40</f>
        <v>38</v>
      </c>
      <c r="D479" s="253" t="str">
        <f>'Dry_Litterbag Placem_Collection'!B40</f>
        <v>Makao</v>
      </c>
      <c r="E479" s="253" t="s">
        <v>2643</v>
      </c>
      <c r="F479" s="253" t="s">
        <v>20</v>
      </c>
      <c r="G479" s="253">
        <v>1</v>
      </c>
      <c r="H479" s="253" t="s">
        <v>3106</v>
      </c>
      <c r="I479" s="254" t="str">
        <f>'Dry_Litterbag Placem_Collection'!C40</f>
        <v>Dry_P1_T6</v>
      </c>
      <c r="J479" s="263" t="s">
        <v>2932</v>
      </c>
      <c r="K479" s="256" t="s">
        <v>1147</v>
      </c>
      <c r="L479" s="221" t="str">
        <f>'WetLitterbags placem_collection'!O40</f>
        <v>G703</v>
      </c>
      <c r="M479" s="223">
        <f>IFERROR(INDEX('Green_rooibos initial weight'!$C$5:$C$2000,MATCH(L479, 'Green_rooibos initial weight'!$A$5:$A$2000,0)),"")</f>
        <v>1.9159999999999999</v>
      </c>
      <c r="N479" s="223">
        <f>IFERROR(M479-(TBIcalc!$H$9+TBIcalc!$H$10),"")</f>
        <v>1.6661999999999999</v>
      </c>
      <c r="O479" s="378">
        <f>AVERAGE(Ashed_controlls!$K$2:$K$11)</f>
        <v>5.5147656768714146</v>
      </c>
      <c r="P479" s="223">
        <f t="shared" si="36"/>
        <v>1.5743129742919684</v>
      </c>
      <c r="Q479" s="223">
        <f>IFERROR(INDEX('Both teabags AfterWet'!$C$3:$C$840,MATCH(L479,'Both teabags AfterWet'!$A$3:$A$840,0)),"")</f>
        <v>0.81899999999999995</v>
      </c>
      <c r="R479" s="223">
        <f>IFERROR(IF(Q479&gt;0,Q479-(TBIcalc!$H$9),""),"")</f>
        <v>0.66839999999999988</v>
      </c>
      <c r="S479" s="223">
        <f>IFERROR(INDEX('Ashed teabags wet'!$K$2:$K$2000,MATCH(L479,'Ashed teabags wet'!$A$2:$A$2000,0)),"")</f>
        <v>13.181367690782835</v>
      </c>
      <c r="T479" s="223">
        <f t="shared" si="37"/>
        <v>0.58029573835480741</v>
      </c>
      <c r="U479" s="224">
        <f>'WetLitterbags placem_collection'!E40</f>
        <v>42765</v>
      </c>
      <c r="V479" s="224">
        <f>IF('WetLitterbags placem_collection'!G40="","",'WetLitterbags placem_collection'!G40)</f>
        <v>42820</v>
      </c>
      <c r="W479" s="225">
        <f t="shared" si="35"/>
        <v>55</v>
      </c>
      <c r="X479" s="223">
        <f t="shared" si="38"/>
        <v>0.99780000000000002</v>
      </c>
      <c r="Y479" s="223">
        <f t="shared" si="39"/>
        <v>0.99401723593716096</v>
      </c>
      <c r="Z479">
        <f>IFERROR(INDEX([1]Rainfall_Wet!$O$2:$O$217,MATCH(C479, [1]Rainfall_Wet!$A$2:$A$217,0)),"")</f>
        <v>228.324359195</v>
      </c>
      <c r="AA479" s="226">
        <v>23.96</v>
      </c>
      <c r="AB479" s="226">
        <v>0.91999999999999804</v>
      </c>
      <c r="AC479" s="226">
        <v>75.12</v>
      </c>
      <c r="AD479" s="227" t="s">
        <v>2651</v>
      </c>
      <c r="AE479" s="226">
        <v>1.2493839329719072</v>
      </c>
      <c r="AF479">
        <f>IF('WetLitterbags placem_collection'!AB40="","",'WetLitterbags placem_collection'!AB40)</f>
        <v>2</v>
      </c>
      <c r="AG479">
        <f>IF('WetLitterbags placem_collection'!Z40="","",'WetLitterbags placem_collection'!Z40)</f>
        <v>20.399999999999999</v>
      </c>
      <c r="AH479" s="236" t="str">
        <f>IF('WetLitterbags placem_collection'!AA40="","",'WetLitterbags placem_collection'!AA40)</f>
        <v>O</v>
      </c>
      <c r="AI479">
        <f>IF('WetLitterbags placem_collection'!AC40="","",'WetLitterbags placem_collection'!AC40)</f>
        <v>0</v>
      </c>
      <c r="AJ479" s="233">
        <f>AVERAGE('WetLitterbags placem_collection'!S40,'WetLitterbags placem_collection'!U40)</f>
        <v>20.9</v>
      </c>
      <c r="AK479">
        <f>AVERAGE('WetLitterbags placem_collection'!R40,'WetLitterbags placem_collection'!T40)</f>
        <v>24.1</v>
      </c>
      <c r="AL479">
        <f>INDEX([2]Coordinates!$B$2:$B$197,MATCH(I479,[2]Coordinates!$J$2:$J$197,0))</f>
        <v>-3.409280023</v>
      </c>
      <c r="AM479">
        <f>INDEX([2]Coordinates!$C$2:$C$197,MATCH(I479,[2]Coordinates!$J$2:$J$197,0))</f>
        <v>34.852612960000002</v>
      </c>
      <c r="AN479" t="str">
        <f>IF(ISNUMBER(SEARCH("C", 'WetLitterbags placem_collection'!$X40)),"YES","NO")</f>
        <v>NO</v>
      </c>
      <c r="AO479" t="str">
        <f>IF(ISNUMBER(SEARCH("H", 'WetLitterbags placem_collection'!$X40)),"YES","NO")</f>
        <v>NO</v>
      </c>
      <c r="AP479" t="str">
        <f>IF(ISNUMBER(SEARCH("R", 'WetLitterbags placem_collection'!$X40)),"YES","NO")</f>
        <v>YES</v>
      </c>
    </row>
    <row r="480" spans="1:42" ht="15" customHeight="1">
      <c r="A480" t="s">
        <v>3248</v>
      </c>
      <c r="B480" s="248" t="s">
        <v>2454</v>
      </c>
      <c r="C480" s="253">
        <f>'Dry_Litterbag Placem_Collection'!A41</f>
        <v>39</v>
      </c>
      <c r="D480" s="253" t="str">
        <f>'Dry_Litterbag Placem_Collection'!B41</f>
        <v>Makao</v>
      </c>
      <c r="E480" s="253" t="s">
        <v>2643</v>
      </c>
      <c r="F480" s="253" t="s">
        <v>20</v>
      </c>
      <c r="G480" s="253">
        <v>1</v>
      </c>
      <c r="H480" s="253" t="s">
        <v>3106</v>
      </c>
      <c r="I480" s="254" t="str">
        <f>'Dry_Litterbag Placem_Collection'!C41</f>
        <v>Dry_P1_T7</v>
      </c>
      <c r="J480" s="263" t="s">
        <v>2932</v>
      </c>
      <c r="K480" s="256" t="s">
        <v>1147</v>
      </c>
      <c r="L480" s="221" t="str">
        <f>'WetLitterbags placem_collection'!O41</f>
        <v>G566</v>
      </c>
      <c r="M480" s="223">
        <f>IFERROR(INDEX('Green_rooibos initial weight'!$C$5:$C$2000,MATCH(L480, 'Green_rooibos initial weight'!$A$5:$A$2000,0)),"")</f>
        <v>2.0449999999999999</v>
      </c>
      <c r="N480" s="223">
        <f>IFERROR(M480-(TBIcalc!$H$9+TBIcalc!$H$10),"")</f>
        <v>1.7951999999999999</v>
      </c>
      <c r="O480" s="378">
        <f>AVERAGE(Ashed_controlls!$K$2:$K$11)</f>
        <v>5.5147656768714146</v>
      </c>
      <c r="P480" s="223">
        <f t="shared" si="36"/>
        <v>1.6961989265688042</v>
      </c>
      <c r="Q480" s="223">
        <f>IFERROR(INDEX('Both teabags AfterWet'!$C$3:$C$840,MATCH(L480,'Both teabags AfterWet'!$A$3:$A$840,0)),"")</f>
        <v>0.78520000000000001</v>
      </c>
      <c r="R480" s="223">
        <f>IFERROR(IF(Q480&gt;0,Q480-(TBIcalc!$H$9),""),"")</f>
        <v>0.63460000000000005</v>
      </c>
      <c r="S480" s="223">
        <f>IFERROR(INDEX('Ashed teabags wet'!$K$2:$K$2000,MATCH(L480,'Ashed teabags wet'!$A$2:$A$2000,0)),"")</f>
        <v>4.4278606965170084</v>
      </c>
      <c r="T480" s="223">
        <f t="shared" si="37"/>
        <v>0.60650079601990314</v>
      </c>
      <c r="U480" s="224">
        <f>'WetLitterbags placem_collection'!E41</f>
        <v>42765</v>
      </c>
      <c r="V480" s="224">
        <f>IF('WetLitterbags placem_collection'!G41="","",'WetLitterbags placem_collection'!G41)</f>
        <v>42820</v>
      </c>
      <c r="W480" s="225">
        <f t="shared" si="35"/>
        <v>55</v>
      </c>
      <c r="X480" s="223">
        <f t="shared" si="38"/>
        <v>1.1605999999999999</v>
      </c>
      <c r="Y480" s="223">
        <f t="shared" si="39"/>
        <v>1.0896981305489011</v>
      </c>
      <c r="Z480">
        <f>IFERROR(INDEX([1]Rainfall_Wet!$O$2:$O$217,MATCH(C480, [1]Rainfall_Wet!$A$2:$A$217,0)),"")</f>
        <v>228.324359195</v>
      </c>
      <c r="AA480" s="226">
        <v>23.96</v>
      </c>
      <c r="AB480" s="226">
        <v>0.91999999999999804</v>
      </c>
      <c r="AC480" s="226">
        <v>75.12</v>
      </c>
      <c r="AD480" s="227" t="s">
        <v>2651</v>
      </c>
      <c r="AE480" s="226">
        <v>1.2493839329719072</v>
      </c>
      <c r="AF480">
        <f>IF('WetLitterbags placem_collection'!AB41="","",'WetLitterbags placem_collection'!AB41)</f>
        <v>2.4</v>
      </c>
      <c r="AG480">
        <f>IF('WetLitterbags placem_collection'!Z41="","",'WetLitterbags placem_collection'!Z41)</f>
        <v>18</v>
      </c>
      <c r="AH480" s="236" t="str">
        <f>IF('WetLitterbags placem_collection'!AA41="","",'WetLitterbags placem_collection'!AA41)</f>
        <v>G</v>
      </c>
      <c r="AI480">
        <f>IF('WetLitterbags placem_collection'!AC41="","",'WetLitterbags placem_collection'!AC41)</f>
        <v>1</v>
      </c>
      <c r="AJ480" s="233">
        <f>AVERAGE('WetLitterbags placem_collection'!S41,'WetLitterbags placem_collection'!U41)</f>
        <v>26.9</v>
      </c>
      <c r="AK480">
        <f>AVERAGE('WetLitterbags placem_collection'!R41,'WetLitterbags placem_collection'!T41)</f>
        <v>23.299999999999997</v>
      </c>
      <c r="AL480">
        <f>INDEX([2]Coordinates!$B$2:$B$197,MATCH(I480,[2]Coordinates!$J$2:$J$197,0))</f>
        <v>-3.4093859700000002</v>
      </c>
      <c r="AM480">
        <f>INDEX([2]Coordinates!$C$2:$C$197,MATCH(I480,[2]Coordinates!$J$2:$J$197,0))</f>
        <v>34.852855030000001</v>
      </c>
      <c r="AN480" t="str">
        <f>IF(ISNUMBER(SEARCH("C", 'WetLitterbags placem_collection'!$X41)),"YES","NO")</f>
        <v>NO</v>
      </c>
      <c r="AO480" t="str">
        <f>IF(ISNUMBER(SEARCH("H", 'WetLitterbags placem_collection'!$X41)),"YES","NO")</f>
        <v>NO</v>
      </c>
      <c r="AP480" t="str">
        <f>IF(ISNUMBER(SEARCH("R", 'WetLitterbags placem_collection'!$X41)),"YES","NO")</f>
        <v>YES</v>
      </c>
    </row>
    <row r="481" spans="1:42" ht="15" customHeight="1">
      <c r="A481" t="s">
        <v>3248</v>
      </c>
      <c r="B481" s="248" t="s">
        <v>2454</v>
      </c>
      <c r="C481" s="253">
        <f>'Dry_Litterbag Placem_Collection'!A42</f>
        <v>40</v>
      </c>
      <c r="D481" s="253" t="str">
        <f>'Dry_Litterbag Placem_Collection'!B42</f>
        <v>Makao</v>
      </c>
      <c r="E481" s="253" t="s">
        <v>2643</v>
      </c>
      <c r="F481" s="253" t="s">
        <v>20</v>
      </c>
      <c r="G481" s="253">
        <v>1</v>
      </c>
      <c r="H481" s="253" t="s">
        <v>3106</v>
      </c>
      <c r="I481" s="254" t="str">
        <f>'Dry_Litterbag Placem_Collection'!C42</f>
        <v>Dry_P1_T8</v>
      </c>
      <c r="J481" s="263" t="s">
        <v>2932</v>
      </c>
      <c r="K481" s="256" t="s">
        <v>1147</v>
      </c>
      <c r="L481" s="221" t="str">
        <f>'WetLitterbags placem_collection'!O42</f>
        <v>G619</v>
      </c>
      <c r="M481" s="223">
        <f>IFERROR(INDEX('Green_rooibos initial weight'!$C$5:$C$2000,MATCH(L481, 'Green_rooibos initial weight'!$A$5:$A$2000,0)),"")</f>
        <v>2.036</v>
      </c>
      <c r="N481" s="223">
        <f>IFERROR(M481-(TBIcalc!$H$9+TBIcalc!$H$10),"")</f>
        <v>1.7862</v>
      </c>
      <c r="O481" s="378">
        <f>AVERAGE(Ashed_controlls!$K$2:$K$11)</f>
        <v>5.5147656768714146</v>
      </c>
      <c r="P481" s="223">
        <f t="shared" si="36"/>
        <v>1.6876952554797229</v>
      </c>
      <c r="Q481" s="223">
        <f>IFERROR(INDEX('Both teabags AfterWet'!$C$3:$C$840,MATCH(L481,'Both teabags AfterWet'!$A$3:$A$840,0)),"")</f>
        <v>0.70599999999999996</v>
      </c>
      <c r="R481" s="223">
        <f>IFERROR(IF(Q481&gt;0,Q481-(TBIcalc!$H$9),""),"")</f>
        <v>0.55539999999999989</v>
      </c>
      <c r="S481" s="223">
        <f>IFERROR(INDEX('Ashed teabags wet'!$K$2:$K$2000,MATCH(L481,'Ashed teabags wet'!$A$2:$A$2000,0)),"")</f>
        <v>8.6005830903788301</v>
      </c>
      <c r="T481" s="223">
        <f t="shared" si="37"/>
        <v>0.50763236151603586</v>
      </c>
      <c r="U481" s="224">
        <f>'WetLitterbags placem_collection'!E42</f>
        <v>42765</v>
      </c>
      <c r="V481" s="224">
        <f>IF('WetLitterbags placem_collection'!G42="","",'WetLitterbags placem_collection'!G42)</f>
        <v>42820</v>
      </c>
      <c r="W481" s="225">
        <f t="shared" si="35"/>
        <v>55</v>
      </c>
      <c r="X481" s="223">
        <f t="shared" si="38"/>
        <v>1.2308000000000001</v>
      </c>
      <c r="Y481" s="223">
        <f t="shared" si="39"/>
        <v>1.180062893963687</v>
      </c>
      <c r="Z481">
        <f>IFERROR(INDEX([1]Rainfall_Wet!$O$2:$O$217,MATCH(C481, [1]Rainfall_Wet!$A$2:$A$217,0)),"")</f>
        <v>228.324359195</v>
      </c>
      <c r="AA481" s="226">
        <v>23.96</v>
      </c>
      <c r="AB481" s="226">
        <v>0.91999999999999804</v>
      </c>
      <c r="AC481" s="226">
        <v>75.12</v>
      </c>
      <c r="AD481" s="227" t="s">
        <v>2651</v>
      </c>
      <c r="AE481" s="226">
        <v>1.2493839329719072</v>
      </c>
      <c r="AF481">
        <f>IF('WetLitterbags placem_collection'!AB42="","",'WetLitterbags placem_collection'!AB42)</f>
        <v>8.6999999999999993</v>
      </c>
      <c r="AG481">
        <f>IF('WetLitterbags placem_collection'!Z42="","",'WetLitterbags placem_collection'!Z42)</f>
        <v>19.3</v>
      </c>
      <c r="AH481" s="236" t="str">
        <f>IF('WetLitterbags placem_collection'!AA42="","",'WetLitterbags placem_collection'!AA42)</f>
        <v>G</v>
      </c>
      <c r="AI481">
        <f>IF('WetLitterbags placem_collection'!AC42="","",'WetLitterbags placem_collection'!AC42)</f>
        <v>0</v>
      </c>
      <c r="AJ481" s="233">
        <f>AVERAGE('WetLitterbags placem_collection'!S42,'WetLitterbags placem_collection'!U42)</f>
        <v>31.9</v>
      </c>
      <c r="AK481">
        <f>AVERAGE('WetLitterbags placem_collection'!R42,'WetLitterbags placem_collection'!T42)</f>
        <v>23.9</v>
      </c>
      <c r="AL481">
        <f>INDEX([2]Coordinates!$B$2:$B$197,MATCH(I481,[2]Coordinates!$J$2:$J$197,0))</f>
        <v>-3.4091539590000002</v>
      </c>
      <c r="AM481">
        <f>INDEX([2]Coordinates!$C$2:$C$197,MATCH(I481,[2]Coordinates!$J$2:$J$197,0))</f>
        <v>34.852755029999997</v>
      </c>
      <c r="AN481" t="str">
        <f>IF(ISNUMBER(SEARCH("C", 'WetLitterbags placem_collection'!$X42)),"YES","NO")</f>
        <v>NO</v>
      </c>
      <c r="AO481" t="str">
        <f>IF(ISNUMBER(SEARCH("H", 'WetLitterbags placem_collection'!$X42)),"YES","NO")</f>
        <v>NO</v>
      </c>
      <c r="AP481" t="str">
        <f>IF(ISNUMBER(SEARCH("R", 'WetLitterbags placem_collection'!$X42)),"YES","NO")</f>
        <v>YES</v>
      </c>
    </row>
    <row r="482" spans="1:42" ht="15" customHeight="1">
      <c r="A482" t="s">
        <v>3248</v>
      </c>
      <c r="B482" s="248" t="s">
        <v>2454</v>
      </c>
      <c r="C482" s="253">
        <f>'Dry_Litterbag Placem_Collection'!A43</f>
        <v>41</v>
      </c>
      <c r="D482" s="253" t="str">
        <f>'Dry_Litterbag Placem_Collection'!B43</f>
        <v>Makao</v>
      </c>
      <c r="E482" s="253" t="s">
        <v>2643</v>
      </c>
      <c r="F482" s="253" t="s">
        <v>20</v>
      </c>
      <c r="G482" s="253">
        <v>2</v>
      </c>
      <c r="H482" s="253" t="s">
        <v>3108</v>
      </c>
      <c r="I482" s="254" t="str">
        <f>'Dry_Litterbag Placem_Collection'!C43</f>
        <v>Dry_P2_T1</v>
      </c>
      <c r="J482" s="263" t="s">
        <v>2932</v>
      </c>
      <c r="K482" s="256" t="s">
        <v>1147</v>
      </c>
      <c r="L482" s="221" t="str">
        <f>'WetLitterbags placem_collection'!O43</f>
        <v>G626</v>
      </c>
      <c r="M482" s="223">
        <f>IFERROR(INDEX('Green_rooibos initial weight'!$C$5:$C$2000,MATCH(L482, 'Green_rooibos initial weight'!$A$5:$A$2000,0)),"")</f>
        <v>2.1179999999999999</v>
      </c>
      <c r="N482" s="223">
        <f>IFERROR(M482-(TBIcalc!$H$9+TBIcalc!$H$10),"")</f>
        <v>1.8681999999999999</v>
      </c>
      <c r="O482" s="378">
        <f>AVERAGE(Ashed_controlls!$K$2:$K$11)</f>
        <v>5.5147656768714146</v>
      </c>
      <c r="P482" s="223">
        <f t="shared" si="36"/>
        <v>1.7651731476246881</v>
      </c>
      <c r="Q482" s="223">
        <f>IFERROR(INDEX('Both teabags AfterWet'!$C$3:$C$840,MATCH(L482,'Both teabags AfterWet'!$A$3:$A$840,0)),"")</f>
        <v>0.82899999999999996</v>
      </c>
      <c r="R482" s="223">
        <f>IFERROR(IF(Q482&gt;0,Q482-(TBIcalc!$H$9),""),"")</f>
        <v>0.67839999999999989</v>
      </c>
      <c r="S482" s="223">
        <f>IFERROR(INDEX('Ashed teabags wet'!$K$2:$K$2000,MATCH(L482,'Ashed teabags wet'!$A$2:$A$2000,0)),"")</f>
        <v>11.014911014910776</v>
      </c>
      <c r="T482" s="223">
        <f t="shared" si="37"/>
        <v>0.60367484367484514</v>
      </c>
      <c r="U482" s="224">
        <f>'WetLitterbags placem_collection'!E43</f>
        <v>42766</v>
      </c>
      <c r="V482" s="224">
        <f>IF('WetLitterbags placem_collection'!G43="","",'WetLitterbags placem_collection'!G43)</f>
        <v>42820</v>
      </c>
      <c r="W482" s="225">
        <f t="shared" si="35"/>
        <v>54</v>
      </c>
      <c r="X482" s="223">
        <f t="shared" si="38"/>
        <v>1.1898</v>
      </c>
      <c r="Y482" s="223">
        <f t="shared" si="39"/>
        <v>1.161498303949843</v>
      </c>
      <c r="Z482">
        <f>IFERROR(INDEX([1]Rainfall_Wet!$O$2:$O$217,MATCH(C482, [1]Rainfall_Wet!$A$2:$A$217,0)),"")</f>
        <v>214.262898705</v>
      </c>
      <c r="AA482" s="226">
        <v>19.96</v>
      </c>
      <c r="AB482" s="226">
        <v>4.9199999999999982</v>
      </c>
      <c r="AC482" s="226">
        <v>75.12</v>
      </c>
      <c r="AD482" s="227" t="s">
        <v>2652</v>
      </c>
      <c r="AE482" s="226">
        <v>1.641498275012321</v>
      </c>
      <c r="AF482">
        <f>IF('WetLitterbags placem_collection'!AB43="","",'WetLitterbags placem_collection'!AB43)</f>
        <v>4</v>
      </c>
      <c r="AG482">
        <f>IF('WetLitterbags placem_collection'!Z43="","",'WetLitterbags placem_collection'!Z43)</f>
        <v>19.100000000000001</v>
      </c>
      <c r="AH482" s="236" t="str">
        <f>IF('WetLitterbags placem_collection'!AA43="","",'WetLitterbags placem_collection'!AA43)</f>
        <v>G</v>
      </c>
      <c r="AI482">
        <f>IF('WetLitterbags placem_collection'!AC43="","",'WetLitterbags placem_collection'!AC43)</f>
        <v>0</v>
      </c>
      <c r="AJ482" s="233">
        <f>AVERAGE('WetLitterbags placem_collection'!S43,'WetLitterbags placem_collection'!U43)</f>
        <v>21.9</v>
      </c>
      <c r="AK482">
        <f>AVERAGE('WetLitterbags placem_collection'!R43,'WetLitterbags placem_collection'!T43)</f>
        <v>24.5</v>
      </c>
      <c r="AL482">
        <f>INDEX([2]Coordinates!$B$2:$B$197,MATCH(I482,[2]Coordinates!$J$2:$J$197,0))</f>
        <v>-3.4083420040000001</v>
      </c>
      <c r="AM482">
        <f>INDEX([2]Coordinates!$C$2:$C$197,MATCH(I482,[2]Coordinates!$J$2:$J$197,0))</f>
        <v>34.850283040000001</v>
      </c>
      <c r="AN482" t="str">
        <f>IF(ISNUMBER(SEARCH("C", 'WetLitterbags placem_collection'!$X43)),"YES","NO")</f>
        <v>NO</v>
      </c>
      <c r="AO482" t="str">
        <f>IF(ISNUMBER(SEARCH("H", 'WetLitterbags placem_collection'!$X43)),"YES","NO")</f>
        <v>NO</v>
      </c>
      <c r="AP482" t="str">
        <f>IF(ISNUMBER(SEARCH("R", 'WetLitterbags placem_collection'!$X43)),"YES","NO")</f>
        <v>YES</v>
      </c>
    </row>
    <row r="483" spans="1:42" ht="15" customHeight="1">
      <c r="A483" t="s">
        <v>3248</v>
      </c>
      <c r="B483" s="248" t="s">
        <v>2454</v>
      </c>
      <c r="C483" s="253">
        <f>'Dry_Litterbag Placem_Collection'!A44</f>
        <v>42</v>
      </c>
      <c r="D483" s="253" t="str">
        <f>'Dry_Litterbag Placem_Collection'!B44</f>
        <v>Makao</v>
      </c>
      <c r="E483" s="253" t="s">
        <v>2643</v>
      </c>
      <c r="F483" s="253" t="s">
        <v>20</v>
      </c>
      <c r="G483" s="253">
        <v>2</v>
      </c>
      <c r="H483" s="253" t="s">
        <v>3108</v>
      </c>
      <c r="I483" s="254" t="str">
        <f>'Dry_Litterbag Placem_Collection'!C44</f>
        <v>Dry_P2_T2</v>
      </c>
      <c r="J483" s="263" t="s">
        <v>2932</v>
      </c>
      <c r="K483" s="256" t="s">
        <v>1147</v>
      </c>
      <c r="L483" s="221" t="str">
        <f>'WetLitterbags placem_collection'!O44</f>
        <v>G437</v>
      </c>
      <c r="M483" s="223">
        <f>IFERROR(INDEX('Green_rooibos initial weight'!$C$5:$C$2000,MATCH(L483, 'Green_rooibos initial weight'!$A$5:$A$2000,0)),"")</f>
        <v>2.1230000000000002</v>
      </c>
      <c r="N483" s="223">
        <f>IFERROR(M483-(TBIcalc!$H$9+TBIcalc!$H$10),"")</f>
        <v>1.8732000000000002</v>
      </c>
      <c r="O483" s="378">
        <f>AVERAGE(Ashed_controlls!$K$2:$K$11)</f>
        <v>5.5147656768714146</v>
      </c>
      <c r="P483" s="223">
        <f t="shared" si="36"/>
        <v>1.7698974093408448</v>
      </c>
      <c r="Q483" s="223">
        <f>IFERROR(INDEX('Both teabags AfterWet'!$C$3:$C$840,MATCH(L483,'Both teabags AfterWet'!$A$3:$A$840,0)),"")</f>
        <v>0.64</v>
      </c>
      <c r="R483" s="223">
        <f>IFERROR(IF(Q483&gt;0,Q483-(TBIcalc!$H$9),""),"")</f>
        <v>0.4894</v>
      </c>
      <c r="S483" s="223">
        <f>IFERROR(INDEX('Ashed teabags wet'!$K$2:$K$2000,MATCH(L483,'Ashed teabags wet'!$A$2:$A$2000,0)),"")</f>
        <v>8.5335948994602457</v>
      </c>
      <c r="T483" s="223">
        <f t="shared" si="37"/>
        <v>0.44763658656204158</v>
      </c>
      <c r="U483" s="224">
        <f>'WetLitterbags placem_collection'!E44</f>
        <v>42766</v>
      </c>
      <c r="V483" s="224">
        <f>IF('WetLitterbags placem_collection'!G44="","",'WetLitterbags placem_collection'!G44)</f>
        <v>42820</v>
      </c>
      <c r="W483" s="225">
        <f t="shared" si="35"/>
        <v>54</v>
      </c>
      <c r="X483" s="223">
        <f t="shared" si="38"/>
        <v>1.3838000000000001</v>
      </c>
      <c r="Y483" s="223">
        <f t="shared" si="39"/>
        <v>1.3222608227788033</v>
      </c>
      <c r="Z483">
        <f>IFERROR(INDEX([1]Rainfall_Wet!$O$2:$O$217,MATCH(C483, [1]Rainfall_Wet!$A$2:$A$217,0)),"")</f>
        <v>214.262898705</v>
      </c>
      <c r="AA483" s="226">
        <v>19.96</v>
      </c>
      <c r="AB483" s="226">
        <v>4.9199999999999982</v>
      </c>
      <c r="AC483" s="226">
        <v>75.12</v>
      </c>
      <c r="AD483" s="227" t="s">
        <v>2652</v>
      </c>
      <c r="AE483" s="226">
        <v>1.641498275012321</v>
      </c>
      <c r="AF483">
        <f>IF('WetLitterbags placem_collection'!AB44="","",'WetLitterbags placem_collection'!AB44)</f>
        <v>5.9</v>
      </c>
      <c r="AG483">
        <f>IF('WetLitterbags placem_collection'!Z44="","",'WetLitterbags placem_collection'!Z44)</f>
        <v>12.7</v>
      </c>
      <c r="AH483" s="236" t="str">
        <f>IF('WetLitterbags placem_collection'!AA44="","",'WetLitterbags placem_collection'!AA44)</f>
        <v>G</v>
      </c>
      <c r="AI483">
        <f>IF('WetLitterbags placem_collection'!AC44="","",'WetLitterbags placem_collection'!AC44)</f>
        <v>0</v>
      </c>
      <c r="AJ483" s="233">
        <f>AVERAGE('WetLitterbags placem_collection'!S44,'WetLitterbags placem_collection'!U44)</f>
        <v>19</v>
      </c>
      <c r="AK483">
        <f>AVERAGE('WetLitterbags placem_collection'!R44,'WetLitterbags placem_collection'!T44)</f>
        <v>22.950000000000003</v>
      </c>
      <c r="AL483">
        <f>INDEX([2]Coordinates!$B$2:$B$197,MATCH(I483,[2]Coordinates!$J$2:$J$197,0))</f>
        <v>-3.4084079690000002</v>
      </c>
      <c r="AM483">
        <f>INDEX([2]Coordinates!$C$2:$C$197,MATCH(I483,[2]Coordinates!$J$2:$J$197,0))</f>
        <v>34.850295029999998</v>
      </c>
      <c r="AN483" t="str">
        <f>IF(ISNUMBER(SEARCH("C", 'WetLitterbags placem_collection'!$X44)),"YES","NO")</f>
        <v>NO</v>
      </c>
      <c r="AO483" t="str">
        <f>IF(ISNUMBER(SEARCH("H", 'WetLitterbags placem_collection'!$X44)),"YES","NO")</f>
        <v>NO</v>
      </c>
      <c r="AP483" t="str">
        <f>IF(ISNUMBER(SEARCH("R", 'WetLitterbags placem_collection'!$X44)),"YES","NO")</f>
        <v>NO</v>
      </c>
    </row>
    <row r="484" spans="1:42" ht="15" customHeight="1">
      <c r="A484" t="s">
        <v>3248</v>
      </c>
      <c r="B484" s="248" t="s">
        <v>2454</v>
      </c>
      <c r="C484" s="253">
        <f>'Dry_Litterbag Placem_Collection'!A45</f>
        <v>43</v>
      </c>
      <c r="D484" s="253" t="str">
        <f>'Dry_Litterbag Placem_Collection'!B45</f>
        <v>Makao</v>
      </c>
      <c r="E484" s="253" t="s">
        <v>2643</v>
      </c>
      <c r="F484" s="253" t="s">
        <v>20</v>
      </c>
      <c r="G484" s="253">
        <v>2</v>
      </c>
      <c r="H484" s="253" t="s">
        <v>3108</v>
      </c>
      <c r="I484" s="254" t="str">
        <f>'Dry_Litterbag Placem_Collection'!C45</f>
        <v>Dry_P2_T3</v>
      </c>
      <c r="J484" s="263" t="s">
        <v>2932</v>
      </c>
      <c r="K484" s="256" t="s">
        <v>1147</v>
      </c>
      <c r="L484" s="221" t="str">
        <f>'WetLitterbags placem_collection'!O45</f>
        <v>G643</v>
      </c>
      <c r="M484" s="223">
        <f>IFERROR(INDEX('Green_rooibos initial weight'!$C$5:$C$2000,MATCH(L484, 'Green_rooibos initial weight'!$A$5:$A$2000,0)),"")</f>
        <v>2.0510000000000002</v>
      </c>
      <c r="N484" s="223">
        <f>IFERROR(M484-(TBIcalc!$H$9+TBIcalc!$H$10),"")</f>
        <v>1.8012000000000001</v>
      </c>
      <c r="O484" s="378">
        <f>AVERAGE(Ashed_controlls!$K$2:$K$11)</f>
        <v>5.5147656768714146</v>
      </c>
      <c r="P484" s="223">
        <f t="shared" si="36"/>
        <v>1.7018680406281923</v>
      </c>
      <c r="Q484" s="223">
        <f>IFERROR(INDEX('Both teabags AfterWet'!$C$3:$C$840,MATCH(L484,'Both teabags AfterWet'!$A$3:$A$840,0)),"")</f>
        <v>0.74509999999999998</v>
      </c>
      <c r="R484" s="223">
        <f>IFERROR(IF(Q484&gt;0,Q484-(TBIcalc!$H$9),""),"")</f>
        <v>0.59450000000000003</v>
      </c>
      <c r="S484" s="223">
        <f>IFERROR(INDEX('Ashed teabags wet'!$K$2:$K$2000,MATCH(L484,'Ashed teabags wet'!$A$2:$A$2000,0)),"")</f>
        <v>7.6658476658481174</v>
      </c>
      <c r="T484" s="223">
        <f t="shared" si="37"/>
        <v>0.54892653562653293</v>
      </c>
      <c r="U484" s="224">
        <f>'WetLitterbags placem_collection'!E45</f>
        <v>42766</v>
      </c>
      <c r="V484" s="224">
        <f>IF('WetLitterbags placem_collection'!G45="","",'WetLitterbags placem_collection'!G45)</f>
        <v>42820</v>
      </c>
      <c r="W484" s="225">
        <f t="shared" si="35"/>
        <v>54</v>
      </c>
      <c r="X484" s="223">
        <f t="shared" si="38"/>
        <v>1.2067000000000001</v>
      </c>
      <c r="Y484" s="223">
        <f t="shared" si="39"/>
        <v>1.1529415050016594</v>
      </c>
      <c r="Z484">
        <f>IFERROR(INDEX([1]Rainfall_Wet!$O$2:$O$217,MATCH(C484, [1]Rainfall_Wet!$A$2:$A$217,0)),"")</f>
        <v>214.262898705</v>
      </c>
      <c r="AA484" s="226">
        <v>19.96</v>
      </c>
      <c r="AB484" s="226">
        <v>4.9199999999999982</v>
      </c>
      <c r="AC484" s="226">
        <v>75.12</v>
      </c>
      <c r="AD484" s="227" t="s">
        <v>2652</v>
      </c>
      <c r="AE484" s="226">
        <v>1.641498275012321</v>
      </c>
      <c r="AF484">
        <f>IF('WetLitterbags placem_collection'!AB45="","",'WetLitterbags placem_collection'!AB45)</f>
        <v>5</v>
      </c>
      <c r="AG484">
        <f>IF('WetLitterbags placem_collection'!Z45="","",'WetLitterbags placem_collection'!Z45)</f>
        <v>26.3</v>
      </c>
      <c r="AH484" s="236" t="str">
        <f>IF('WetLitterbags placem_collection'!AA45="","",'WetLitterbags placem_collection'!AA45)</f>
        <v>G</v>
      </c>
      <c r="AI484">
        <f>IF('WetLitterbags placem_collection'!AC45="","",'WetLitterbags placem_collection'!AC45)</f>
        <v>0</v>
      </c>
      <c r="AJ484" s="233">
        <f>AVERAGE('WetLitterbags placem_collection'!S45,'WetLitterbags placem_collection'!U45)</f>
        <v>18.3</v>
      </c>
      <c r="AK484">
        <f>AVERAGE('WetLitterbags placem_collection'!R45,'WetLitterbags placem_collection'!T45)</f>
        <v>21.799999999999997</v>
      </c>
      <c r="AL484">
        <f>INDEX([2]Coordinates!$B$2:$B$197,MATCH(I484,[2]Coordinates!$J$2:$J$197,0))</f>
        <v>-3.4082369789999998</v>
      </c>
      <c r="AM484">
        <f>INDEX([2]Coordinates!$C$2:$C$197,MATCH(I484,[2]Coordinates!$J$2:$J$197,0))</f>
        <v>34.850189999999998</v>
      </c>
      <c r="AN484" t="str">
        <f>IF(ISNUMBER(SEARCH("C", 'WetLitterbags placem_collection'!$X45)),"YES","NO")</f>
        <v>NO</v>
      </c>
      <c r="AO484" t="str">
        <f>IF(ISNUMBER(SEARCH("H", 'WetLitterbags placem_collection'!$X45)),"YES","NO")</f>
        <v>NO</v>
      </c>
      <c r="AP484" t="str">
        <f>IF(ISNUMBER(SEARCH("R", 'WetLitterbags placem_collection'!$X45)),"YES","NO")</f>
        <v>YES</v>
      </c>
    </row>
    <row r="485" spans="1:42" ht="15" customHeight="1">
      <c r="A485" t="s">
        <v>3248</v>
      </c>
      <c r="B485" s="248" t="s">
        <v>2454</v>
      </c>
      <c r="C485" s="253">
        <f>'Dry_Litterbag Placem_Collection'!A46</f>
        <v>44</v>
      </c>
      <c r="D485" s="253" t="str">
        <f>'Dry_Litterbag Placem_Collection'!B46</f>
        <v>Makao</v>
      </c>
      <c r="E485" s="253" t="s">
        <v>2643</v>
      </c>
      <c r="F485" s="253" t="s">
        <v>20</v>
      </c>
      <c r="G485" s="253">
        <v>2</v>
      </c>
      <c r="H485" s="253" t="s">
        <v>3108</v>
      </c>
      <c r="I485" s="254" t="str">
        <f>'Dry_Litterbag Placem_Collection'!C46</f>
        <v>Dry_P2_T4</v>
      </c>
      <c r="J485" s="263" t="s">
        <v>2932</v>
      </c>
      <c r="K485" s="256" t="s">
        <v>1147</v>
      </c>
      <c r="L485" s="221" t="str">
        <f>'WetLitterbags placem_collection'!O46</f>
        <v>G283</v>
      </c>
      <c r="M485" s="223">
        <f>IFERROR(INDEX('Green_rooibos initial weight'!$C$5:$C$2000,MATCH(L485, 'Green_rooibos initial weight'!$A$5:$A$2000,0)),"")</f>
        <v>1.8660000000000001</v>
      </c>
      <c r="N485" s="223">
        <f>IFERROR(M485-(TBIcalc!$H$9+TBIcalc!$H$10),"")</f>
        <v>1.6162000000000001</v>
      </c>
      <c r="O485" s="378">
        <f>AVERAGE(Ashed_controlls!$K$2:$K$11)</f>
        <v>5.5147656768714146</v>
      </c>
      <c r="P485" s="223">
        <f t="shared" si="36"/>
        <v>1.5270703571304043</v>
      </c>
      <c r="Q485" s="223">
        <f>IFERROR(INDEX('Both teabags AfterWet'!$C$3:$C$840,MATCH(L485,'Both teabags AfterWet'!$A$3:$A$840,0)),"")</f>
        <v>0.80830000000000002</v>
      </c>
      <c r="R485" s="223">
        <f>IFERROR(IF(Q485&gt;0,Q485-(TBIcalc!$H$9),""),"")</f>
        <v>0.65769999999999995</v>
      </c>
      <c r="S485" s="223">
        <f>IFERROR(INDEX('Ashed teabags wet'!$K$2:$K$2000,MATCH(L485,'Ashed teabags wet'!$A$2:$A$2000,0)),"")</f>
        <v>10.544217687075299</v>
      </c>
      <c r="T485" s="223">
        <f t="shared" si="37"/>
        <v>0.58835068027210569</v>
      </c>
      <c r="U485" s="224">
        <f>'WetLitterbags placem_collection'!E46</f>
        <v>42766</v>
      </c>
      <c r="V485" s="224">
        <f>IF('WetLitterbags placem_collection'!G46="","",'WetLitterbags placem_collection'!G46)</f>
        <v>42820</v>
      </c>
      <c r="W485" s="225">
        <f t="shared" si="35"/>
        <v>54</v>
      </c>
      <c r="X485" s="223">
        <f t="shared" si="38"/>
        <v>0.95850000000000013</v>
      </c>
      <c r="Y485" s="223">
        <f t="shared" si="39"/>
        <v>0.9387196768582986</v>
      </c>
      <c r="Z485">
        <f>IFERROR(INDEX([1]Rainfall_Wet!$O$2:$O$217,MATCH(C485, [1]Rainfall_Wet!$A$2:$A$217,0)),"")</f>
        <v>214.262898705</v>
      </c>
      <c r="AA485" s="226">
        <v>19.96</v>
      </c>
      <c r="AB485" s="226">
        <v>4.9199999999999982</v>
      </c>
      <c r="AC485" s="226">
        <v>75.12</v>
      </c>
      <c r="AD485" s="227" t="s">
        <v>2652</v>
      </c>
      <c r="AE485" s="226">
        <v>1.641498275012321</v>
      </c>
      <c r="AF485">
        <f>IF('WetLitterbags placem_collection'!AB46="","",'WetLitterbags placem_collection'!AB46)</f>
        <v>2.6</v>
      </c>
      <c r="AG485">
        <f>IF('WetLitterbags placem_collection'!Z46="","",'WetLitterbags placem_collection'!Z46)</f>
        <v>39.200000000000003</v>
      </c>
      <c r="AH485" s="236" t="str">
        <f>IF('WetLitterbags placem_collection'!AA46="","",'WetLitterbags placem_collection'!AA46)</f>
        <v>G</v>
      </c>
      <c r="AI485">
        <f>IF('WetLitterbags placem_collection'!AC46="","",'WetLitterbags placem_collection'!AC46)</f>
        <v>0</v>
      </c>
      <c r="AJ485" s="233">
        <f>AVERAGE('WetLitterbags placem_collection'!S46,'WetLitterbags placem_collection'!U46)</f>
        <v>20.6</v>
      </c>
      <c r="AK485">
        <f>AVERAGE('WetLitterbags placem_collection'!R46,'WetLitterbags placem_collection'!T46)</f>
        <v>22.65</v>
      </c>
      <c r="AL485">
        <f>INDEX([2]Coordinates!$B$2:$B$197,MATCH(I485,[2]Coordinates!$J$2:$J$197,0))</f>
        <v>-3.4081529920000002</v>
      </c>
      <c r="AM485">
        <f>INDEX([2]Coordinates!$C$2:$C$197,MATCH(I485,[2]Coordinates!$J$2:$J$197,0))</f>
        <v>34.850168959999998</v>
      </c>
      <c r="AN485" t="str">
        <f>IF(ISNUMBER(SEARCH("C", 'WetLitterbags placem_collection'!$X46)),"YES","NO")</f>
        <v>NO</v>
      </c>
      <c r="AO485" t="str">
        <f>IF(ISNUMBER(SEARCH("H", 'WetLitterbags placem_collection'!$X46)),"YES","NO")</f>
        <v>NO</v>
      </c>
      <c r="AP485" t="str">
        <f>IF(ISNUMBER(SEARCH("R", 'WetLitterbags placem_collection'!$X46)),"YES","NO")</f>
        <v>YES</v>
      </c>
    </row>
    <row r="486" spans="1:42" ht="15" customHeight="1">
      <c r="A486" t="s">
        <v>3248</v>
      </c>
      <c r="B486" s="248" t="s">
        <v>2454</v>
      </c>
      <c r="C486" s="253">
        <f>'Dry_Litterbag Placem_Collection'!A47</f>
        <v>45</v>
      </c>
      <c r="D486" s="253" t="str">
        <f>'Dry_Litterbag Placem_Collection'!B47</f>
        <v>Makao</v>
      </c>
      <c r="E486" s="253" t="s">
        <v>2643</v>
      </c>
      <c r="F486" s="253" t="s">
        <v>20</v>
      </c>
      <c r="G486" s="253">
        <v>2</v>
      </c>
      <c r="H486" s="253" t="s">
        <v>3108</v>
      </c>
      <c r="I486" s="254" t="str">
        <f>'Dry_Litterbag Placem_Collection'!C47</f>
        <v>Dry_P2_T5</v>
      </c>
      <c r="J486" s="263" t="s">
        <v>2932</v>
      </c>
      <c r="K486" s="256" t="s">
        <v>1147</v>
      </c>
      <c r="L486" s="221" t="str">
        <f>'WetLitterbags placem_collection'!O47</f>
        <v>G602</v>
      </c>
      <c r="M486" s="223">
        <f>IFERROR(INDEX('Green_rooibos initial weight'!$C$5:$C$2000,MATCH(L486, 'Green_rooibos initial weight'!$A$5:$A$2000,0)),"")</f>
        <v>2.1030000000000002</v>
      </c>
      <c r="N486" s="223">
        <f>IFERROR(M486-(TBIcalc!$H$9+TBIcalc!$H$10),"")</f>
        <v>1.8532000000000002</v>
      </c>
      <c r="O486" s="378">
        <f>AVERAGE(Ashed_controlls!$K$2:$K$11)</f>
        <v>5.5147656768714146</v>
      </c>
      <c r="P486" s="223">
        <f t="shared" si="36"/>
        <v>1.7510003624762192</v>
      </c>
      <c r="Q486" s="223">
        <f>IFERROR(INDEX('Both teabags AfterWet'!$C$3:$C$840,MATCH(L486,'Both teabags AfterWet'!$A$3:$A$840,0)),"")</f>
        <v>0.77400000000000002</v>
      </c>
      <c r="R486" s="223">
        <f>IFERROR(IF(Q486&gt;0,Q486-(TBIcalc!$H$9),""),"")</f>
        <v>0.62339999999999995</v>
      </c>
      <c r="S486" s="223">
        <f>IFERROR(INDEX('Ashed teabags wet'!$K$2:$K$2000,MATCH(L486,'Ashed teabags wet'!$A$2:$A$2000,0)),"")</f>
        <v>5.9288537549396603</v>
      </c>
      <c r="T486" s="223">
        <f t="shared" si="37"/>
        <v>0.5864395256917061</v>
      </c>
      <c r="U486" s="224">
        <f>'WetLitterbags placem_collection'!E47</f>
        <v>42766</v>
      </c>
      <c r="V486" s="224">
        <f>IF('WetLitterbags placem_collection'!G47="","",'WetLitterbags placem_collection'!G47)</f>
        <v>42820</v>
      </c>
      <c r="W486" s="225">
        <f t="shared" si="35"/>
        <v>54</v>
      </c>
      <c r="X486" s="223">
        <f t="shared" si="38"/>
        <v>1.2298000000000002</v>
      </c>
      <c r="Y486" s="223">
        <f t="shared" si="39"/>
        <v>1.1645608367845131</v>
      </c>
      <c r="Z486">
        <f>IFERROR(INDEX([1]Rainfall_Wet!$O$2:$O$217,MATCH(C486, [1]Rainfall_Wet!$A$2:$A$217,0)),"")</f>
        <v>214.262898705</v>
      </c>
      <c r="AA486" s="226">
        <v>19.96</v>
      </c>
      <c r="AB486" s="226">
        <v>4.9199999999999982</v>
      </c>
      <c r="AC486" s="226">
        <v>75.12</v>
      </c>
      <c r="AD486" s="227" t="s">
        <v>2652</v>
      </c>
      <c r="AE486" s="226">
        <v>1.641498275012321</v>
      </c>
      <c r="AF486">
        <f>IF('WetLitterbags placem_collection'!AB47="","",'WetLitterbags placem_collection'!AB47)</f>
        <v>2.2999999999999998</v>
      </c>
      <c r="AG486">
        <f>IF('WetLitterbags placem_collection'!Z47="","",'WetLitterbags placem_collection'!Z47)</f>
        <v>9.3000000000000007</v>
      </c>
      <c r="AH486" s="236" t="str">
        <f>IF('WetLitterbags placem_collection'!AA47="","",'WetLitterbags placem_collection'!AA47)</f>
        <v>O</v>
      </c>
      <c r="AI486">
        <f>IF('WetLitterbags placem_collection'!AC47="","",'WetLitterbags placem_collection'!AC47)</f>
        <v>0</v>
      </c>
      <c r="AJ486" s="233">
        <f>AVERAGE('WetLitterbags placem_collection'!S47,'WetLitterbags placem_collection'!U47)</f>
        <v>24.4</v>
      </c>
      <c r="AK486">
        <f>AVERAGE('WetLitterbags placem_collection'!R47,'WetLitterbags placem_collection'!T47)</f>
        <v>22.15</v>
      </c>
      <c r="AL486">
        <f>INDEX([2]Coordinates!$B$2:$B$197,MATCH(I486,[2]Coordinates!$J$2:$J$197,0))</f>
        <v>-3.4081789759999999</v>
      </c>
      <c r="AM486">
        <f>INDEX([2]Coordinates!$C$2:$C$197,MATCH(I486,[2]Coordinates!$J$2:$J$197,0))</f>
        <v>34.850516980000002</v>
      </c>
      <c r="AN486" t="str">
        <f>IF(ISNUMBER(SEARCH("C", 'WetLitterbags placem_collection'!$X47)),"YES","NO")</f>
        <v>NO</v>
      </c>
      <c r="AO486" t="str">
        <f>IF(ISNUMBER(SEARCH("H", 'WetLitterbags placem_collection'!$X47)),"YES","NO")</f>
        <v>NO</v>
      </c>
      <c r="AP486" t="str">
        <f>IF(ISNUMBER(SEARCH("R", 'WetLitterbags placem_collection'!$X47)),"YES","NO")</f>
        <v>YES</v>
      </c>
    </row>
    <row r="487" spans="1:42" ht="15" customHeight="1">
      <c r="A487" t="s">
        <v>3248</v>
      </c>
      <c r="B487" s="248" t="s">
        <v>2454</v>
      </c>
      <c r="C487" s="253">
        <f>'Dry_Litterbag Placem_Collection'!A48</f>
        <v>46</v>
      </c>
      <c r="D487" s="253" t="str">
        <f>'Dry_Litterbag Placem_Collection'!B48</f>
        <v>Makao</v>
      </c>
      <c r="E487" s="253" t="s">
        <v>2643</v>
      </c>
      <c r="F487" s="253" t="s">
        <v>20</v>
      </c>
      <c r="G487" s="253">
        <v>2</v>
      </c>
      <c r="H487" s="253" t="s">
        <v>3108</v>
      </c>
      <c r="I487" s="254" t="str">
        <f>'Dry_Litterbag Placem_Collection'!C48</f>
        <v>Dry_P2_T6</v>
      </c>
      <c r="J487" s="263" t="s">
        <v>2932</v>
      </c>
      <c r="K487" s="256" t="s">
        <v>1147</v>
      </c>
      <c r="L487" s="221" t="str">
        <f>'WetLitterbags placem_collection'!O48</f>
        <v>G427</v>
      </c>
      <c r="M487" s="223">
        <f>IFERROR(INDEX('Green_rooibos initial weight'!$C$5:$C$2000,MATCH(L487, 'Green_rooibos initial weight'!$A$5:$A$2000,0)),"")</f>
        <v>1.8959999999999999</v>
      </c>
      <c r="N487" s="223">
        <f>IFERROR(M487-(TBIcalc!$H$9+TBIcalc!$H$10),"")</f>
        <v>1.6461999999999999</v>
      </c>
      <c r="O487" s="378">
        <f>AVERAGE(Ashed_controlls!$K$2:$K$11)</f>
        <v>5.5147656768714146</v>
      </c>
      <c r="P487" s="223">
        <f t="shared" si="36"/>
        <v>1.5554159274273427</v>
      </c>
      <c r="Q487" s="223" t="str">
        <f>IFERROR(INDEX('Both teabags AfterWet'!$C$3:$C$840,MATCH(L487,'Both teabags AfterWet'!$A$3:$A$840,0)),"")</f>
        <v/>
      </c>
      <c r="R487" s="223" t="str">
        <f>IFERROR(IF(Q487&gt;0,Q487-(TBIcalc!$H$9),""),"")</f>
        <v/>
      </c>
      <c r="S487" s="223" t="str">
        <f>IFERROR(INDEX('Ashed teabags wet'!$K$2:$K$2000,MATCH(L487,'Ashed teabags wet'!$A$2:$A$2000,0)),"")</f>
        <v/>
      </c>
      <c r="T487" s="223" t="str">
        <f t="shared" si="37"/>
        <v/>
      </c>
      <c r="U487" s="224">
        <f>'WetLitterbags placem_collection'!E48</f>
        <v>42766</v>
      </c>
      <c r="V487" s="224">
        <f>IF('WetLitterbags placem_collection'!G48="","",'WetLitterbags placem_collection'!G48)</f>
        <v>42820</v>
      </c>
      <c r="W487" s="225">
        <f t="shared" si="35"/>
        <v>54</v>
      </c>
      <c r="X487" s="223" t="str">
        <f t="shared" si="38"/>
        <v/>
      </c>
      <c r="Y487" s="223" t="str">
        <f t="shared" si="39"/>
        <v/>
      </c>
      <c r="Z487">
        <f>IFERROR(INDEX([1]Rainfall_Wet!$O$2:$O$217,MATCH(C487, [1]Rainfall_Wet!$A$2:$A$217,0)),"")</f>
        <v>214.262898705</v>
      </c>
      <c r="AA487" s="226">
        <v>19.96</v>
      </c>
      <c r="AB487" s="226">
        <v>4.9199999999999982</v>
      </c>
      <c r="AC487" s="226">
        <v>75.12</v>
      </c>
      <c r="AD487" s="227" t="s">
        <v>2652</v>
      </c>
      <c r="AE487" s="226">
        <v>1.641498275012321</v>
      </c>
      <c r="AF487" t="str">
        <f>IF('WetLitterbags placem_collection'!AB48="","",'WetLitterbags placem_collection'!AB48)</f>
        <v/>
      </c>
      <c r="AG487" t="str">
        <f>IF('WetLitterbags placem_collection'!Z48="","",'WetLitterbags placem_collection'!Z48)</f>
        <v/>
      </c>
      <c r="AH487" s="236" t="str">
        <f>IF('WetLitterbags placem_collection'!AA48="","",'WetLitterbags placem_collection'!AA48)</f>
        <v/>
      </c>
      <c r="AI487" t="str">
        <f>IF('WetLitterbags placem_collection'!AC48="","",'WetLitterbags placem_collection'!AC48)</f>
        <v/>
      </c>
      <c r="AJ487" s="233">
        <f>AVERAGE('WetLitterbags placem_collection'!S48,'WetLitterbags placem_collection'!U48)</f>
        <v>22.5</v>
      </c>
      <c r="AK487">
        <f>AVERAGE('WetLitterbags placem_collection'!R48,'WetLitterbags placem_collection'!T48)</f>
        <v>20.100000000000001</v>
      </c>
      <c r="AL487">
        <f>INDEX([2]Coordinates!$B$2:$B$197,MATCH(I487,[2]Coordinates!$J$2:$J$197,0))</f>
        <v>-3.4084730130000001</v>
      </c>
      <c r="AM487">
        <f>INDEX([2]Coordinates!$C$2:$C$197,MATCH(I487,[2]Coordinates!$J$2:$J$197,0))</f>
        <v>34.850401980000001</v>
      </c>
      <c r="AN487" t="str">
        <f>IF(ISNUMBER(SEARCH("C", 'WetLitterbags placem_collection'!$X48)),"YES","NO")</f>
        <v>NO</v>
      </c>
      <c r="AO487" t="str">
        <f>IF(ISNUMBER(SEARCH("H", 'WetLitterbags placem_collection'!$X48)),"YES","NO")</f>
        <v>NO</v>
      </c>
      <c r="AP487" t="str">
        <f>IF(ISNUMBER(SEARCH("R", 'WetLitterbags placem_collection'!$X48)),"YES","NO")</f>
        <v>NO</v>
      </c>
    </row>
    <row r="488" spans="1:42" ht="15" customHeight="1">
      <c r="A488" t="s">
        <v>3248</v>
      </c>
      <c r="B488" s="248" t="s">
        <v>2454</v>
      </c>
      <c r="C488" s="253">
        <f>'Dry_Litterbag Placem_Collection'!A49</f>
        <v>47</v>
      </c>
      <c r="D488" s="253" t="str">
        <f>'Dry_Litterbag Placem_Collection'!B49</f>
        <v>Makao</v>
      </c>
      <c r="E488" s="253" t="s">
        <v>2643</v>
      </c>
      <c r="F488" s="253" t="s">
        <v>20</v>
      </c>
      <c r="G488" s="253">
        <v>2</v>
      </c>
      <c r="H488" s="253" t="s">
        <v>3108</v>
      </c>
      <c r="I488" s="254" t="str">
        <f>'Dry_Litterbag Placem_Collection'!C49</f>
        <v>Dry_P2_T7</v>
      </c>
      <c r="J488" s="263" t="s">
        <v>2932</v>
      </c>
      <c r="K488" s="256" t="s">
        <v>1147</v>
      </c>
      <c r="L488" s="221" t="str">
        <f>'WetLitterbags placem_collection'!O49</f>
        <v>G512</v>
      </c>
      <c r="M488" s="223">
        <f>IFERROR(INDEX('Green_rooibos initial weight'!$C$5:$C$2000,MATCH(L488, 'Green_rooibos initial weight'!$A$5:$A$2000,0)),"")</f>
        <v>2.0939999999999999</v>
      </c>
      <c r="N488" s="223">
        <f>IFERROR(M488-(TBIcalc!$H$9+TBIcalc!$H$10),"")</f>
        <v>1.8441999999999998</v>
      </c>
      <c r="O488" s="378">
        <f>AVERAGE(Ashed_controlls!$K$2:$K$11)</f>
        <v>5.5147656768714146</v>
      </c>
      <c r="P488" s="223">
        <f t="shared" si="36"/>
        <v>1.7424966913871371</v>
      </c>
      <c r="Q488" s="223">
        <f>IFERROR(INDEX('Both teabags AfterWet'!$C$3:$C$840,MATCH(L488,'Both teabags AfterWet'!$A$3:$A$840,0)),"")</f>
        <v>0.77500000000000002</v>
      </c>
      <c r="R488" s="223">
        <f>IFERROR(IF(Q488&gt;0,Q488-(TBIcalc!$H$9),""),"")</f>
        <v>0.62440000000000007</v>
      </c>
      <c r="S488" s="223">
        <f>IFERROR(INDEX('Ashed teabags wet'!$K$2:$K$2000,MATCH(L488,'Ashed teabags wet'!$A$2:$A$2000,0)),"")</f>
        <v>8.2123184777170053</v>
      </c>
      <c r="T488" s="223">
        <f t="shared" si="37"/>
        <v>0.57312228342513505</v>
      </c>
      <c r="U488" s="224">
        <f>'WetLitterbags placem_collection'!E49</f>
        <v>42766</v>
      </c>
      <c r="V488" s="224">
        <f>IF('WetLitterbags placem_collection'!G49="","",'WetLitterbags placem_collection'!G49)</f>
        <v>42820</v>
      </c>
      <c r="W488" s="225">
        <f t="shared" si="35"/>
        <v>54</v>
      </c>
      <c r="X488" s="223">
        <f t="shared" si="38"/>
        <v>1.2197999999999998</v>
      </c>
      <c r="Y488" s="223">
        <f t="shared" si="39"/>
        <v>1.1693744079620021</v>
      </c>
      <c r="Z488">
        <f>IFERROR(INDEX([1]Rainfall_Wet!$O$2:$O$217,MATCH(C488, [1]Rainfall_Wet!$A$2:$A$217,0)),"")</f>
        <v>214.262898705</v>
      </c>
      <c r="AA488" s="226">
        <v>19.96</v>
      </c>
      <c r="AB488" s="226">
        <v>4.9199999999999982</v>
      </c>
      <c r="AC488" s="226">
        <v>75.12</v>
      </c>
      <c r="AD488" s="227" t="s">
        <v>2652</v>
      </c>
      <c r="AE488" s="226">
        <v>1.641498275012321</v>
      </c>
      <c r="AF488">
        <f>IF('WetLitterbags placem_collection'!AB49="","",'WetLitterbags placem_collection'!AB49)</f>
        <v>5.2</v>
      </c>
      <c r="AG488">
        <f>IF('WetLitterbags placem_collection'!Z49="","",'WetLitterbags placem_collection'!Z49)</f>
        <v>5.2</v>
      </c>
      <c r="AH488" s="236" t="str">
        <f>IF('WetLitterbags placem_collection'!AA49="","",'WetLitterbags placem_collection'!AA49)</f>
        <v>G</v>
      </c>
      <c r="AI488">
        <f>IF('WetLitterbags placem_collection'!AC49="","",'WetLitterbags placem_collection'!AC49)</f>
        <v>0</v>
      </c>
      <c r="AJ488" s="233">
        <f>AVERAGE('WetLitterbags placem_collection'!S49,'WetLitterbags placem_collection'!U49)</f>
        <v>23.7</v>
      </c>
      <c r="AK488">
        <f>AVERAGE('WetLitterbags placem_collection'!R49,'WetLitterbags placem_collection'!T49)</f>
        <v>22.6</v>
      </c>
      <c r="AL488">
        <f>INDEX([2]Coordinates!$B$2:$B$197,MATCH(I488,[2]Coordinates!$J$2:$J$197,0))</f>
        <v>-3.4084819820000001</v>
      </c>
      <c r="AM488">
        <f>INDEX([2]Coordinates!$C$2:$C$197,MATCH(I488,[2]Coordinates!$J$2:$J$197,0))</f>
        <v>34.850024040000001</v>
      </c>
      <c r="AN488" t="str">
        <f>IF(ISNUMBER(SEARCH("C", 'WetLitterbags placem_collection'!$X49)),"YES","NO")</f>
        <v>NO</v>
      </c>
      <c r="AO488" t="str">
        <f>IF(ISNUMBER(SEARCH("H", 'WetLitterbags placem_collection'!$X49)),"YES","NO")</f>
        <v>NO</v>
      </c>
      <c r="AP488" t="str">
        <f>IF(ISNUMBER(SEARCH("R", 'WetLitterbags placem_collection'!$X49)),"YES","NO")</f>
        <v>YES</v>
      </c>
    </row>
    <row r="489" spans="1:42" ht="15" customHeight="1">
      <c r="A489" t="s">
        <v>3248</v>
      </c>
      <c r="B489" s="248" t="s">
        <v>2454</v>
      </c>
      <c r="C489" s="253">
        <f>'Dry_Litterbag Placem_Collection'!A50</f>
        <v>48</v>
      </c>
      <c r="D489" s="253" t="str">
        <f>'Dry_Litterbag Placem_Collection'!B50</f>
        <v>Makao</v>
      </c>
      <c r="E489" s="253" t="s">
        <v>2643</v>
      </c>
      <c r="F489" s="253" t="s">
        <v>20</v>
      </c>
      <c r="G489" s="253">
        <v>2</v>
      </c>
      <c r="H489" s="253" t="s">
        <v>3108</v>
      </c>
      <c r="I489" s="254" t="str">
        <f>'Dry_Litterbag Placem_Collection'!C50</f>
        <v>Dry_P2_T8</v>
      </c>
      <c r="J489" s="263" t="s">
        <v>2932</v>
      </c>
      <c r="K489" s="256" t="s">
        <v>1147</v>
      </c>
      <c r="L489" s="221" t="str">
        <f>'WetLitterbags placem_collection'!O50</f>
        <v>G299</v>
      </c>
      <c r="M489" s="223">
        <f>IFERROR(INDEX('Green_rooibos initial weight'!$C$5:$C$2000,MATCH(L489, 'Green_rooibos initial weight'!$A$5:$A$2000,0)),"")</f>
        <v>2.0110000000000001</v>
      </c>
      <c r="N489" s="223">
        <f>IFERROR(M489-(TBIcalc!$H$9+TBIcalc!$H$10),"")</f>
        <v>1.7612000000000001</v>
      </c>
      <c r="O489" s="378">
        <f>AVERAGE(Ashed_controlls!$K$2:$K$11)</f>
        <v>5.5147656768714146</v>
      </c>
      <c r="P489" s="223">
        <f t="shared" si="36"/>
        <v>1.6640739468989407</v>
      </c>
      <c r="Q489" s="223">
        <f>IFERROR(INDEX('Both teabags AfterWet'!$C$3:$C$840,MATCH(L489,'Both teabags AfterWet'!$A$3:$A$840,0)),"")</f>
        <v>0.88100000000000001</v>
      </c>
      <c r="R489" s="223">
        <f>IFERROR(IF(Q489&gt;0,Q489-(TBIcalc!$H$9),""),"")</f>
        <v>0.73039999999999994</v>
      </c>
      <c r="S489" s="223">
        <f>IFERROR(INDEX('Ashed teabags wet'!$K$2:$K$2000,MATCH(L489,'Ashed teabags wet'!$A$2:$A$2000,0)),"")</f>
        <v>7.4656188605105287</v>
      </c>
      <c r="T489" s="223">
        <f t="shared" si="37"/>
        <v>0.67587111984283099</v>
      </c>
      <c r="U489" s="224">
        <f>'WetLitterbags placem_collection'!E50</f>
        <v>42766</v>
      </c>
      <c r="V489" s="224">
        <f>IF('WetLitterbags placem_collection'!G50="","",'WetLitterbags placem_collection'!G50)</f>
        <v>42820</v>
      </c>
      <c r="W489" s="225">
        <f t="shared" si="35"/>
        <v>54</v>
      </c>
      <c r="X489" s="223">
        <f t="shared" si="38"/>
        <v>1.0308000000000002</v>
      </c>
      <c r="Y489" s="223">
        <f t="shared" si="39"/>
        <v>0.98820282705610973</v>
      </c>
      <c r="Z489">
        <f>IFERROR(INDEX([1]Rainfall_Wet!$O$2:$O$217,MATCH(C489, [1]Rainfall_Wet!$A$2:$A$217,0)),"")</f>
        <v>214.262898705</v>
      </c>
      <c r="AA489" s="226">
        <v>19.96</v>
      </c>
      <c r="AB489" s="226">
        <v>4.9199999999999982</v>
      </c>
      <c r="AC489" s="226">
        <v>75.12</v>
      </c>
      <c r="AD489" s="227" t="s">
        <v>2652</v>
      </c>
      <c r="AE489" s="226">
        <v>1.641498275012321</v>
      </c>
      <c r="AF489">
        <f>IF('WetLitterbags placem_collection'!AB50="","",'WetLitterbags placem_collection'!AB50)</f>
        <v>7.3</v>
      </c>
      <c r="AG489">
        <f>IF('WetLitterbags placem_collection'!Z50="","",'WetLitterbags placem_collection'!Z50)</f>
        <v>27.2</v>
      </c>
      <c r="AH489" s="236" t="str">
        <f>IF('WetLitterbags placem_collection'!AA50="","",'WetLitterbags placem_collection'!AA50)</f>
        <v>M</v>
      </c>
      <c r="AI489">
        <f>IF('WetLitterbags placem_collection'!AC50="","",'WetLitterbags placem_collection'!AC50)</f>
        <v>0</v>
      </c>
      <c r="AJ489" s="233">
        <f>AVERAGE('WetLitterbags placem_collection'!S50,'WetLitterbags placem_collection'!U50)</f>
        <v>21.8</v>
      </c>
      <c r="AK489">
        <f>AVERAGE('WetLitterbags placem_collection'!R50,'WetLitterbags placem_collection'!T50)</f>
        <v>21.65</v>
      </c>
      <c r="AL489">
        <f>INDEX([2]Coordinates!$B$2:$B$197,MATCH(I489,[2]Coordinates!$J$2:$J$197,0))</f>
        <v>-3.4081990090000001</v>
      </c>
      <c r="AM489">
        <f>INDEX([2]Coordinates!$C$2:$C$197,MATCH(I489,[2]Coordinates!$J$2:$J$197,0))</f>
        <v>34.850254960000001</v>
      </c>
      <c r="AN489" t="str">
        <f>IF(ISNUMBER(SEARCH("C", 'WetLitterbags placem_collection'!$X50)),"YES","NO")</f>
        <v>NO</v>
      </c>
      <c r="AO489" t="str">
        <f>IF(ISNUMBER(SEARCH("H", 'WetLitterbags placem_collection'!$X50)),"YES","NO")</f>
        <v>NO</v>
      </c>
      <c r="AP489" t="str">
        <f>IF(ISNUMBER(SEARCH("R", 'WetLitterbags placem_collection'!$X50)),"YES","NO")</f>
        <v>YES</v>
      </c>
    </row>
    <row r="490" spans="1:42" ht="15" customHeight="1">
      <c r="A490" t="s">
        <v>3248</v>
      </c>
      <c r="B490" s="248" t="s">
        <v>2454</v>
      </c>
      <c r="C490" s="253">
        <f>'Dry_Litterbag Placem_Collection'!A51</f>
        <v>49</v>
      </c>
      <c r="D490" s="253" t="str">
        <f>'Dry_Litterbag Placem_Collection'!B51</f>
        <v>Makao</v>
      </c>
      <c r="E490" s="253" t="s">
        <v>2643</v>
      </c>
      <c r="F490" s="253" t="s">
        <v>20</v>
      </c>
      <c r="G490" s="253">
        <v>3</v>
      </c>
      <c r="H490" s="253" t="s">
        <v>3109</v>
      </c>
      <c r="I490" s="254" t="str">
        <f>'Dry_Litterbag Placem_Collection'!C51</f>
        <v>Dry_P3_T1</v>
      </c>
      <c r="J490" s="263" t="s">
        <v>2932</v>
      </c>
      <c r="K490" s="256" t="s">
        <v>1147</v>
      </c>
      <c r="L490" s="221" t="str">
        <f>'WetLitterbags placem_collection'!O51</f>
        <v>G739</v>
      </c>
      <c r="M490" s="223">
        <f>IFERROR(INDEX('Green_rooibos initial weight'!$C$5:$C$2000,MATCH(L490, 'Green_rooibos initial weight'!$A$5:$A$2000,0)),"")</f>
        <v>2.0499999999999998</v>
      </c>
      <c r="N490" s="223">
        <f>IFERROR(M490-(TBIcalc!$H$9+TBIcalc!$H$10),"")</f>
        <v>1.8001999999999998</v>
      </c>
      <c r="O490" s="378">
        <f>AVERAGE(Ashed_controlls!$K$2:$K$11)</f>
        <v>5.5147656768714146</v>
      </c>
      <c r="P490" s="223">
        <f t="shared" si="36"/>
        <v>1.7009231882849607</v>
      </c>
      <c r="Q490" s="223">
        <f>IFERROR(INDEX('Both teabags AfterWet'!$C$3:$C$840,MATCH(L490,'Both teabags AfterWet'!$A$3:$A$840,0)),"")</f>
        <v>0.87490000000000001</v>
      </c>
      <c r="R490" s="223">
        <f>IFERROR(IF(Q490&gt;0,Q490-(TBIcalc!$H$9),""),"")</f>
        <v>0.72429999999999994</v>
      </c>
      <c r="S490" s="223">
        <f>IFERROR(INDEX('Ashed teabags wet'!$K$2:$K$2000,MATCH(L490,'Ashed teabags wet'!$A$2:$A$2000,0)),"")</f>
        <v>16.486751717369803</v>
      </c>
      <c r="T490" s="223">
        <f t="shared" si="37"/>
        <v>0.60488645731109048</v>
      </c>
      <c r="U490" s="224">
        <f>'WetLitterbags placem_collection'!E51</f>
        <v>42766</v>
      </c>
      <c r="V490" s="224">
        <f>IF('WetLitterbags placem_collection'!G51="","",'WetLitterbags placem_collection'!G51)</f>
        <v>42820</v>
      </c>
      <c r="W490" s="225">
        <f t="shared" si="35"/>
        <v>54</v>
      </c>
      <c r="X490" s="223">
        <f t="shared" si="38"/>
        <v>1.0758999999999999</v>
      </c>
      <c r="Y490" s="223">
        <f t="shared" si="39"/>
        <v>1.0960367309738701</v>
      </c>
      <c r="Z490">
        <f>IFERROR(INDEX([1]Rainfall_Wet!$O$2:$O$217,MATCH(C490, [1]Rainfall_Wet!$A$2:$A$217,0)),"")</f>
        <v>214.262898705</v>
      </c>
      <c r="AA490" s="226">
        <v>21.96</v>
      </c>
      <c r="AB490" s="226">
        <v>8.9199999999999982</v>
      </c>
      <c r="AC490" s="226">
        <v>69.12</v>
      </c>
      <c r="AD490" s="227" t="s">
        <v>2651</v>
      </c>
      <c r="AE490" s="226">
        <v>1.7491375061606702</v>
      </c>
      <c r="AF490">
        <f>IF('WetLitterbags placem_collection'!AB51="","",'WetLitterbags placem_collection'!AB51)</f>
        <v>10.4</v>
      </c>
      <c r="AG490">
        <f>IF('WetLitterbags placem_collection'!Z51="","",'WetLitterbags placem_collection'!Z51)</f>
        <v>36</v>
      </c>
      <c r="AH490" s="236" t="str">
        <f>IF('WetLitterbags placem_collection'!AA51="","",'WetLitterbags placem_collection'!AA51)</f>
        <v>M</v>
      </c>
      <c r="AI490">
        <f>IF('WetLitterbags placem_collection'!AC51="","",'WetLitterbags placem_collection'!AC51)</f>
        <v>1</v>
      </c>
      <c r="AJ490" s="233">
        <f>AVERAGE('WetLitterbags placem_collection'!S51,'WetLitterbags placem_collection'!U51)</f>
        <v>26.2</v>
      </c>
      <c r="AK490">
        <f>AVERAGE('WetLitterbags placem_collection'!R51,'WetLitterbags placem_collection'!T51)</f>
        <v>26.55</v>
      </c>
      <c r="AL490">
        <f>INDEX([2]Coordinates!$B$2:$B$197,MATCH(I490,[2]Coordinates!$J$2:$J$197,0))</f>
        <v>-3.406225992</v>
      </c>
      <c r="AM490">
        <f>INDEX([2]Coordinates!$C$2:$C$197,MATCH(I490,[2]Coordinates!$J$2:$J$197,0))</f>
        <v>34.85055998</v>
      </c>
      <c r="AN490" t="str">
        <f>IF(ISNUMBER(SEARCH("C", 'WetLitterbags placem_collection'!$X51)),"YES","NO")</f>
        <v>NO</v>
      </c>
      <c r="AO490" t="str">
        <f>IF(ISNUMBER(SEARCH("H", 'WetLitterbags placem_collection'!$X51)),"YES","NO")</f>
        <v>NO</v>
      </c>
      <c r="AP490" t="str">
        <f>IF(ISNUMBER(SEARCH("R", 'WetLitterbags placem_collection'!$X51)),"YES","NO")</f>
        <v>YES</v>
      </c>
    </row>
    <row r="491" spans="1:42" ht="15" customHeight="1">
      <c r="A491" t="s">
        <v>3248</v>
      </c>
      <c r="B491" s="248" t="s">
        <v>2454</v>
      </c>
      <c r="C491" s="253">
        <f>'Dry_Litterbag Placem_Collection'!A52</f>
        <v>50</v>
      </c>
      <c r="D491" s="253" t="str">
        <f>'Dry_Litterbag Placem_Collection'!B52</f>
        <v>Makao</v>
      </c>
      <c r="E491" s="253" t="s">
        <v>2643</v>
      </c>
      <c r="F491" s="253" t="s">
        <v>20</v>
      </c>
      <c r="G491" s="253">
        <v>3</v>
      </c>
      <c r="H491" s="253" t="s">
        <v>3109</v>
      </c>
      <c r="I491" s="254" t="str">
        <f>'Dry_Litterbag Placem_Collection'!C52</f>
        <v>Dry_P3_T2</v>
      </c>
      <c r="J491" s="263" t="s">
        <v>2932</v>
      </c>
      <c r="K491" s="256" t="s">
        <v>1147</v>
      </c>
      <c r="L491" s="221" t="str">
        <f>'WetLitterbags placem_collection'!O52</f>
        <v>G559</v>
      </c>
      <c r="M491" s="223">
        <f>IFERROR(INDEX('Green_rooibos initial weight'!$C$5:$C$2000,MATCH(L491, 'Green_rooibos initial weight'!$A$5:$A$2000,0)),"")</f>
        <v>2.085</v>
      </c>
      <c r="N491" s="223">
        <f>IFERROR(M491-(TBIcalc!$H$9+TBIcalc!$H$10),"")</f>
        <v>1.8351999999999999</v>
      </c>
      <c r="O491" s="378">
        <f>AVERAGE(Ashed_controlls!$K$2:$K$11)</f>
        <v>5.5147656768714146</v>
      </c>
      <c r="P491" s="223">
        <f t="shared" si="36"/>
        <v>1.7339930202980558</v>
      </c>
      <c r="Q491" s="223" t="str">
        <f>IFERROR(INDEX('Both teabags AfterWet'!$C$3:$C$840,MATCH(L491,'Both teabags AfterWet'!$A$3:$A$840,0)),"")</f>
        <v/>
      </c>
      <c r="R491" s="223" t="str">
        <f>IFERROR(IF(Q491&gt;0,Q491-(TBIcalc!$H$9),""),"")</f>
        <v/>
      </c>
      <c r="S491" s="223" t="str">
        <f>IFERROR(INDEX('Ashed teabags wet'!$K$2:$K$2000,MATCH(L491,'Ashed teabags wet'!$A$2:$A$2000,0)),"")</f>
        <v/>
      </c>
      <c r="T491" s="223" t="str">
        <f t="shared" si="37"/>
        <v/>
      </c>
      <c r="U491" s="224">
        <f>'WetLitterbags placem_collection'!E52</f>
        <v>42766</v>
      </c>
      <c r="V491" s="224">
        <f>IF('WetLitterbags placem_collection'!G52="","",'WetLitterbags placem_collection'!G52)</f>
        <v>42820</v>
      </c>
      <c r="W491" s="225">
        <f t="shared" si="35"/>
        <v>54</v>
      </c>
      <c r="X491" s="223" t="str">
        <f t="shared" si="38"/>
        <v/>
      </c>
      <c r="Y491" s="223" t="str">
        <f t="shared" si="39"/>
        <v/>
      </c>
      <c r="Z491">
        <f>IFERROR(INDEX([1]Rainfall_Wet!$O$2:$O$217,MATCH(C491, [1]Rainfall_Wet!$A$2:$A$217,0)),"")</f>
        <v>214.262898705</v>
      </c>
      <c r="AA491" s="226">
        <v>21.96</v>
      </c>
      <c r="AB491" s="226">
        <v>8.9199999999999982</v>
      </c>
      <c r="AC491" s="226">
        <v>69.12</v>
      </c>
      <c r="AD491" s="227" t="s">
        <v>2651</v>
      </c>
      <c r="AE491" s="226">
        <v>1.7491375061606702</v>
      </c>
      <c r="AF491">
        <f>IF('WetLitterbags placem_collection'!AB52="","",'WetLitterbags placem_collection'!AB52)</f>
        <v>10</v>
      </c>
      <c r="AG491">
        <f>IF('WetLitterbags placem_collection'!Z52="","",'WetLitterbags placem_collection'!Z52)</f>
        <v>22.5</v>
      </c>
      <c r="AH491" s="236" t="str">
        <f>IF('WetLitterbags placem_collection'!AA52="","",'WetLitterbags placem_collection'!AA52)</f>
        <v>M</v>
      </c>
      <c r="AI491">
        <f>IF('WetLitterbags placem_collection'!AC52="","",'WetLitterbags placem_collection'!AC52)</f>
        <v>1</v>
      </c>
      <c r="AJ491" s="233">
        <f>AVERAGE('WetLitterbags placem_collection'!S52,'WetLitterbags placem_collection'!U52)</f>
        <v>31.4</v>
      </c>
      <c r="AK491">
        <f>AVERAGE('WetLitterbags placem_collection'!R52,'WetLitterbags placem_collection'!T52)</f>
        <v>22.4</v>
      </c>
      <c r="AL491">
        <f>INDEX([2]Coordinates!$B$2:$B$197,MATCH(I491,[2]Coordinates!$J$2:$J$197,0))</f>
        <v>-3.4062630399999998</v>
      </c>
      <c r="AM491">
        <f>INDEX([2]Coordinates!$C$2:$C$197,MATCH(I491,[2]Coordinates!$J$2:$J$197,0))</f>
        <v>34.850566010000001</v>
      </c>
      <c r="AN491" t="str">
        <f>IF(ISNUMBER(SEARCH("C", 'WetLitterbags placem_collection'!$X52)),"YES","NO")</f>
        <v>NO</v>
      </c>
      <c r="AO491" t="str">
        <f>IF(ISNUMBER(SEARCH("H", 'WetLitterbags placem_collection'!$X52)),"YES","NO")</f>
        <v>NO</v>
      </c>
      <c r="AP491" t="str">
        <f>IF(ISNUMBER(SEARCH("R", 'WetLitterbags placem_collection'!$X52)),"YES","NO")</f>
        <v>NO</v>
      </c>
    </row>
    <row r="492" spans="1:42" ht="15" customHeight="1">
      <c r="A492" t="s">
        <v>3248</v>
      </c>
      <c r="B492" s="248" t="s">
        <v>2454</v>
      </c>
      <c r="C492" s="253">
        <f>'Dry_Litterbag Placem_Collection'!A53</f>
        <v>51</v>
      </c>
      <c r="D492" s="253" t="str">
        <f>'Dry_Litterbag Placem_Collection'!B53</f>
        <v>Makao</v>
      </c>
      <c r="E492" s="253" t="s">
        <v>2643</v>
      </c>
      <c r="F492" s="253" t="s">
        <v>20</v>
      </c>
      <c r="G492" s="253">
        <v>3</v>
      </c>
      <c r="H492" s="253" t="s">
        <v>3109</v>
      </c>
      <c r="I492" s="254" t="str">
        <f>'Dry_Litterbag Placem_Collection'!C53</f>
        <v>Dry_P3_T3</v>
      </c>
      <c r="J492" s="263" t="s">
        <v>2932</v>
      </c>
      <c r="K492" s="256" t="s">
        <v>1147</v>
      </c>
      <c r="L492" s="221" t="str">
        <f>'WetLitterbags placem_collection'!O53</f>
        <v>G856</v>
      </c>
      <c r="M492" s="223">
        <f>IFERROR(INDEX('Green_rooibos initial weight'!$C$5:$C$2000,MATCH(L492, 'Green_rooibos initial weight'!$A$5:$A$2000,0)),"")</f>
        <v>1.9370000000000001</v>
      </c>
      <c r="N492" s="223">
        <f>IFERROR(M492-(TBIcalc!$H$9+TBIcalc!$H$10),"")</f>
        <v>1.6872</v>
      </c>
      <c r="O492" s="378">
        <f>AVERAGE(Ashed_controlls!$K$2:$K$11)</f>
        <v>5.5147656768714146</v>
      </c>
      <c r="P492" s="223">
        <f t="shared" si="36"/>
        <v>1.5941548734998254</v>
      </c>
      <c r="Q492" s="223">
        <f>IFERROR(INDEX('Both teabags AfterWet'!$C$3:$C$840,MATCH(L492,'Both teabags AfterWet'!$A$3:$A$840,0)),"")</f>
        <v>0.77600000000000002</v>
      </c>
      <c r="R492" s="223">
        <f>IFERROR(IF(Q492&gt;0,Q492-(TBIcalc!$H$9),""),"")</f>
        <v>0.62539999999999996</v>
      </c>
      <c r="S492" s="223">
        <f>IFERROR(INDEX('Ashed teabags wet'!$K$2:$K$2000,MATCH(L492,'Ashed teabags wet'!$A$2:$A$2000,0)),"")</f>
        <v>9.5957135898680637</v>
      </c>
      <c r="T492" s="223">
        <f t="shared" si="37"/>
        <v>0.5653884072089651</v>
      </c>
      <c r="U492" s="224">
        <f>'WetLitterbags placem_collection'!E53</f>
        <v>42766</v>
      </c>
      <c r="V492" s="224">
        <f>IF('WetLitterbags placem_collection'!G53="","",'WetLitterbags placem_collection'!G53)</f>
        <v>42820</v>
      </c>
      <c r="W492" s="225">
        <f t="shared" si="35"/>
        <v>54</v>
      </c>
      <c r="X492" s="223">
        <f t="shared" si="38"/>
        <v>1.0618000000000001</v>
      </c>
      <c r="Y492" s="223">
        <f t="shared" si="39"/>
        <v>1.0287664662908602</v>
      </c>
      <c r="Z492">
        <f>IFERROR(INDEX([1]Rainfall_Wet!$O$2:$O$217,MATCH(C492, [1]Rainfall_Wet!$A$2:$A$217,0)),"")</f>
        <v>214.262898705</v>
      </c>
      <c r="AA492" s="226">
        <v>21.96</v>
      </c>
      <c r="AB492" s="226">
        <v>8.9199999999999982</v>
      </c>
      <c r="AC492" s="226">
        <v>69.12</v>
      </c>
      <c r="AD492" s="227" t="s">
        <v>2651</v>
      </c>
      <c r="AE492" s="226">
        <v>1.7491375061606702</v>
      </c>
      <c r="AF492">
        <f>IF('WetLitterbags placem_collection'!AB53="","",'WetLitterbags placem_collection'!AB53)</f>
        <v>3</v>
      </c>
      <c r="AG492">
        <f>IF('WetLitterbags placem_collection'!Z53="","",'WetLitterbags placem_collection'!Z53)</f>
        <v>18</v>
      </c>
      <c r="AH492" s="236" t="str">
        <f>IF('WetLitterbags placem_collection'!AA53="","",'WetLitterbags placem_collection'!AA53)</f>
        <v>O</v>
      </c>
      <c r="AI492">
        <f>IF('WetLitterbags placem_collection'!AC53="","",'WetLitterbags placem_collection'!AC53)</f>
        <v>0</v>
      </c>
      <c r="AJ492" s="233">
        <f>AVERAGE('WetLitterbags placem_collection'!S53,'WetLitterbags placem_collection'!U53)</f>
        <v>20.2</v>
      </c>
      <c r="AK492">
        <f>AVERAGE('WetLitterbags placem_collection'!R53,'WetLitterbags placem_collection'!T53)</f>
        <v>27.4</v>
      </c>
      <c r="AL492">
        <f>INDEX([2]Coordinates!$B$2:$B$197,MATCH(I492,[2]Coordinates!$J$2:$J$197,0))</f>
        <v>-3.4063920379999999</v>
      </c>
      <c r="AM492">
        <f>INDEX([2]Coordinates!$C$2:$C$197,MATCH(I492,[2]Coordinates!$J$2:$J$197,0))</f>
        <v>34.850696020000001</v>
      </c>
      <c r="AN492" t="str">
        <f>IF(ISNUMBER(SEARCH("C", 'WetLitterbags placem_collection'!$X53)),"YES","NO")</f>
        <v>NO</v>
      </c>
      <c r="AO492" t="str">
        <f>IF(ISNUMBER(SEARCH("H", 'WetLitterbags placem_collection'!$X53)),"YES","NO")</f>
        <v>NO</v>
      </c>
      <c r="AP492" t="str">
        <f>IF(ISNUMBER(SEARCH("R", 'WetLitterbags placem_collection'!$X53)),"YES","NO")</f>
        <v>YES</v>
      </c>
    </row>
    <row r="493" spans="1:42" ht="15" customHeight="1">
      <c r="A493" t="s">
        <v>3248</v>
      </c>
      <c r="B493" s="248" t="s">
        <v>2454</v>
      </c>
      <c r="C493" s="253">
        <f>'Dry_Litterbag Placem_Collection'!A54</f>
        <v>52</v>
      </c>
      <c r="D493" s="253" t="str">
        <f>'Dry_Litterbag Placem_Collection'!B54</f>
        <v>Makao</v>
      </c>
      <c r="E493" s="253" t="s">
        <v>2643</v>
      </c>
      <c r="F493" s="253" t="s">
        <v>20</v>
      </c>
      <c r="G493" s="253">
        <v>3</v>
      </c>
      <c r="H493" s="253" t="s">
        <v>3109</v>
      </c>
      <c r="I493" s="254" t="str">
        <f>'Dry_Litterbag Placem_Collection'!C54</f>
        <v>Dry_P3_T4</v>
      </c>
      <c r="J493" s="263" t="s">
        <v>2932</v>
      </c>
      <c r="K493" s="256" t="s">
        <v>1147</v>
      </c>
      <c r="L493" s="221" t="str">
        <f>'WetLitterbags placem_collection'!O54</f>
        <v>G599</v>
      </c>
      <c r="M493" s="223">
        <f>IFERROR(INDEX('Green_rooibos initial weight'!$C$5:$C$2000,MATCH(L493, 'Green_rooibos initial weight'!$A$5:$A$2000,0)),"")</f>
        <v>2.0760000000000001</v>
      </c>
      <c r="N493" s="223">
        <f>IFERROR(M493-(TBIcalc!$H$9+TBIcalc!$H$10),"")</f>
        <v>1.8262</v>
      </c>
      <c r="O493" s="378">
        <f>AVERAGE(Ashed_controlls!$K$2:$K$11)</f>
        <v>5.5147656768714146</v>
      </c>
      <c r="P493" s="223">
        <f t="shared" si="36"/>
        <v>1.7254893492089742</v>
      </c>
      <c r="Q493" s="223">
        <f>IFERROR(INDEX('Both teabags AfterWet'!$C$3:$C$840,MATCH(L493,'Both teabags AfterWet'!$A$3:$A$840,0)),"")</f>
        <v>0.88200000000000001</v>
      </c>
      <c r="R493" s="223">
        <f>IFERROR(IF(Q493&gt;0,Q493-(TBIcalc!$H$9),""),"")</f>
        <v>0.73140000000000005</v>
      </c>
      <c r="S493" s="223">
        <f>IFERROR(INDEX('Ashed teabags wet'!$K$2:$K$2000,MATCH(L493,'Ashed teabags wet'!$A$2:$A$2000,0)),"")</f>
        <v>14.285714285714219</v>
      </c>
      <c r="T493" s="223">
        <f t="shared" si="37"/>
        <v>0.6269142857142862</v>
      </c>
      <c r="U493" s="224">
        <f>'WetLitterbags placem_collection'!E54</f>
        <v>42766</v>
      </c>
      <c r="V493" s="224">
        <f>IF('WetLitterbags placem_collection'!G54="","",'WetLitterbags placem_collection'!G54)</f>
        <v>42820</v>
      </c>
      <c r="W493" s="225">
        <f t="shared" si="35"/>
        <v>54</v>
      </c>
      <c r="X493" s="223">
        <f t="shared" si="38"/>
        <v>1.0948</v>
      </c>
      <c r="Y493" s="223">
        <f t="shared" si="39"/>
        <v>1.098575063494688</v>
      </c>
      <c r="Z493">
        <f>IFERROR(INDEX([1]Rainfall_Wet!$O$2:$O$217,MATCH(C493, [1]Rainfall_Wet!$A$2:$A$217,0)),"")</f>
        <v>214.262898705</v>
      </c>
      <c r="AA493" s="226">
        <v>21.96</v>
      </c>
      <c r="AB493" s="226">
        <v>8.9199999999999982</v>
      </c>
      <c r="AC493" s="226">
        <v>69.12</v>
      </c>
      <c r="AD493" s="227" t="s">
        <v>2651</v>
      </c>
      <c r="AE493" s="226">
        <v>1.7491375061606702</v>
      </c>
      <c r="AF493">
        <f>IF('WetLitterbags placem_collection'!AB54="","",'WetLitterbags placem_collection'!AB54)</f>
        <v>13.4</v>
      </c>
      <c r="AG493">
        <f>IF('WetLitterbags placem_collection'!Z54="","",'WetLitterbags placem_collection'!Z54)</f>
        <v>67</v>
      </c>
      <c r="AH493" s="236" t="str">
        <f>IF('WetLitterbags placem_collection'!AA54="","",'WetLitterbags placem_collection'!AA54)</f>
        <v>M</v>
      </c>
      <c r="AI493">
        <f>IF('WetLitterbags placem_collection'!AC54="","",'WetLitterbags placem_collection'!AC54)</f>
        <v>1</v>
      </c>
      <c r="AJ493" s="233">
        <f>AVERAGE('WetLitterbags placem_collection'!S54,'WetLitterbags placem_collection'!U54)</f>
        <v>29.8</v>
      </c>
      <c r="AK493">
        <f>AVERAGE('WetLitterbags placem_collection'!R54,'WetLitterbags placem_collection'!T54)</f>
        <v>25.799999999999997</v>
      </c>
      <c r="AL493">
        <f>INDEX([2]Coordinates!$B$2:$B$197,MATCH(I493,[2]Coordinates!$J$2:$J$197,0))</f>
        <v>-3.4061569999999999</v>
      </c>
      <c r="AM493">
        <f>INDEX([2]Coordinates!$C$2:$C$197,MATCH(I493,[2]Coordinates!$J$2:$J$197,0))</f>
        <v>34.850738999999997</v>
      </c>
      <c r="AN493" t="str">
        <f>IF(ISNUMBER(SEARCH("C", 'WetLitterbags placem_collection'!$X54)),"YES","NO")</f>
        <v>NO</v>
      </c>
      <c r="AO493" t="str">
        <f>IF(ISNUMBER(SEARCH("H", 'WetLitterbags placem_collection'!$X54)),"YES","NO")</f>
        <v>NO</v>
      </c>
      <c r="AP493" t="str">
        <f>IF(ISNUMBER(SEARCH("R", 'WetLitterbags placem_collection'!$X54)),"YES","NO")</f>
        <v>YES</v>
      </c>
    </row>
    <row r="494" spans="1:42" ht="15" customHeight="1">
      <c r="A494" t="s">
        <v>3248</v>
      </c>
      <c r="B494" s="248" t="s">
        <v>2454</v>
      </c>
      <c r="C494" s="253">
        <f>'Dry_Litterbag Placem_Collection'!A55</f>
        <v>53</v>
      </c>
      <c r="D494" s="253" t="str">
        <f>'Dry_Litterbag Placem_Collection'!B55</f>
        <v>Makao</v>
      </c>
      <c r="E494" s="253" t="s">
        <v>2643</v>
      </c>
      <c r="F494" s="253" t="s">
        <v>20</v>
      </c>
      <c r="G494" s="253">
        <v>3</v>
      </c>
      <c r="H494" s="253" t="s">
        <v>3109</v>
      </c>
      <c r="I494" s="254" t="str">
        <f>'Dry_Litterbag Placem_Collection'!C55</f>
        <v>Dry_P3_T5</v>
      </c>
      <c r="J494" s="263" t="s">
        <v>2932</v>
      </c>
      <c r="K494" s="256" t="s">
        <v>1147</v>
      </c>
      <c r="L494" s="221" t="str">
        <f>'WetLitterbags placem_collection'!O55</f>
        <v>G683</v>
      </c>
      <c r="M494" s="223">
        <f>IFERROR(INDEX('Green_rooibos initial weight'!$C$5:$C$2000,MATCH(L494, 'Green_rooibos initial weight'!$A$5:$A$2000,0)),"")</f>
        <v>2.1179999999999999</v>
      </c>
      <c r="N494" s="223">
        <f>IFERROR(M494-(TBIcalc!$H$9+TBIcalc!$H$10),"")</f>
        <v>1.8681999999999999</v>
      </c>
      <c r="O494" s="378">
        <f>AVERAGE(Ashed_controlls!$K$2:$K$11)</f>
        <v>5.5147656768714146</v>
      </c>
      <c r="P494" s="223">
        <f t="shared" si="36"/>
        <v>1.7651731476246881</v>
      </c>
      <c r="Q494" s="223" t="str">
        <f>IFERROR(INDEX('Both teabags AfterWet'!$C$3:$C$840,MATCH(L494,'Both teabags AfterWet'!$A$3:$A$840,0)),"")</f>
        <v/>
      </c>
      <c r="R494" s="223" t="str">
        <f>IFERROR(IF(Q494&gt;0,Q494-(TBIcalc!$H$9),""),"")</f>
        <v/>
      </c>
      <c r="S494" s="223" t="str">
        <f>IFERROR(INDEX('Ashed teabags wet'!$K$2:$K$2000,MATCH(L494,'Ashed teabags wet'!$A$2:$A$2000,0)),"")</f>
        <v/>
      </c>
      <c r="T494" s="223" t="str">
        <f t="shared" si="37"/>
        <v/>
      </c>
      <c r="U494" s="224">
        <f>'WetLitterbags placem_collection'!E55</f>
        <v>42766</v>
      </c>
      <c r="V494" s="224">
        <f>IF('WetLitterbags placem_collection'!G55="","",'WetLitterbags placem_collection'!G55)</f>
        <v>42820</v>
      </c>
      <c r="W494" s="225">
        <f t="shared" si="35"/>
        <v>54</v>
      </c>
      <c r="X494" s="223" t="str">
        <f t="shared" si="38"/>
        <v/>
      </c>
      <c r="Y494" s="223" t="str">
        <f t="shared" si="39"/>
        <v/>
      </c>
      <c r="Z494">
        <f>IFERROR(INDEX([1]Rainfall_Wet!$O$2:$O$217,MATCH(C494, [1]Rainfall_Wet!$A$2:$A$217,0)),"")</f>
        <v>214.262898705</v>
      </c>
      <c r="AA494" s="226">
        <v>21.96</v>
      </c>
      <c r="AB494" s="226">
        <v>8.9199999999999982</v>
      </c>
      <c r="AC494" s="226">
        <v>69.12</v>
      </c>
      <c r="AD494" s="227" t="s">
        <v>2651</v>
      </c>
      <c r="AE494" s="226">
        <v>1.7491375061606702</v>
      </c>
      <c r="AF494" t="str">
        <f>IF('WetLitterbags placem_collection'!AB55="","",'WetLitterbags placem_collection'!AB55)</f>
        <v/>
      </c>
      <c r="AG494" t="str">
        <f>IF('WetLitterbags placem_collection'!Z55="","",'WetLitterbags placem_collection'!Z55)</f>
        <v/>
      </c>
      <c r="AH494" s="236" t="str">
        <f>IF('WetLitterbags placem_collection'!AA55="","",'WetLitterbags placem_collection'!AA55)</f>
        <v/>
      </c>
      <c r="AI494" t="str">
        <f>IF('WetLitterbags placem_collection'!AC55="","",'WetLitterbags placem_collection'!AC55)</f>
        <v/>
      </c>
      <c r="AJ494" s="233">
        <f>AVERAGE('WetLitterbags placem_collection'!S55,'WetLitterbags placem_collection'!U55)</f>
        <v>20.2</v>
      </c>
      <c r="AK494">
        <f>AVERAGE('WetLitterbags placem_collection'!R55,'WetLitterbags placem_collection'!T55)</f>
        <v>22.2</v>
      </c>
      <c r="AL494">
        <f>INDEX([2]Coordinates!$B$2:$B$197,MATCH(I494,[2]Coordinates!$J$2:$J$197,0))</f>
        <v>-3.4061140000000001</v>
      </c>
      <c r="AM494">
        <f>INDEX([2]Coordinates!$C$2:$C$197,MATCH(I494,[2]Coordinates!$J$2:$J$197,0))</f>
        <v>34.850596000000003</v>
      </c>
      <c r="AN494" t="str">
        <f>IF(ISNUMBER(SEARCH("C", 'WetLitterbags placem_collection'!$X55)),"YES","NO")</f>
        <v>NO</v>
      </c>
      <c r="AO494" t="str">
        <f>IF(ISNUMBER(SEARCH("H", 'WetLitterbags placem_collection'!$X55)),"YES","NO")</f>
        <v>NO</v>
      </c>
      <c r="AP494" t="str">
        <f>IF(ISNUMBER(SEARCH("R", 'WetLitterbags placem_collection'!$X55)),"YES","NO")</f>
        <v>NO</v>
      </c>
    </row>
    <row r="495" spans="1:42" ht="15" customHeight="1">
      <c r="A495" t="s">
        <v>3248</v>
      </c>
      <c r="B495" s="248" t="s">
        <v>2454</v>
      </c>
      <c r="C495" s="253">
        <f>'Dry_Litterbag Placem_Collection'!A56</f>
        <v>54</v>
      </c>
      <c r="D495" s="253" t="str">
        <f>'Dry_Litterbag Placem_Collection'!B56</f>
        <v>Makao</v>
      </c>
      <c r="E495" s="253" t="s">
        <v>2643</v>
      </c>
      <c r="F495" s="253" t="s">
        <v>20</v>
      </c>
      <c r="G495" s="253">
        <v>3</v>
      </c>
      <c r="H495" s="253" t="s">
        <v>3109</v>
      </c>
      <c r="I495" s="254" t="str">
        <f>'Dry_Litterbag Placem_Collection'!C56</f>
        <v>Dry_P3_T6</v>
      </c>
      <c r="J495" s="263" t="s">
        <v>2932</v>
      </c>
      <c r="K495" s="256" t="s">
        <v>1147</v>
      </c>
      <c r="L495" s="221" t="str">
        <f>'WetLitterbags placem_collection'!O56</f>
        <v>G288</v>
      </c>
      <c r="M495" s="223">
        <f>IFERROR(INDEX('Green_rooibos initial weight'!$C$5:$C$2000,MATCH(L495, 'Green_rooibos initial weight'!$A$5:$A$2000,0)),"")</f>
        <v>1.9830000000000001</v>
      </c>
      <c r="N495" s="223">
        <f>IFERROR(M495-(TBIcalc!$H$9+TBIcalc!$H$10),"")</f>
        <v>1.7332000000000001</v>
      </c>
      <c r="O495" s="378">
        <f>AVERAGE(Ashed_controlls!$K$2:$K$11)</f>
        <v>5.5147656768714146</v>
      </c>
      <c r="P495" s="223">
        <f t="shared" si="36"/>
        <v>1.6376180812884646</v>
      </c>
      <c r="Q495" s="223" t="str">
        <f>IFERROR(INDEX('Both teabags AfterWet'!$C$3:$C$840,MATCH(L495,'Both teabags AfterWet'!$A$3:$A$840,0)),"")</f>
        <v/>
      </c>
      <c r="R495" s="223" t="str">
        <f>IFERROR(IF(Q495&gt;0,Q495-(TBIcalc!$H$9),""),"")</f>
        <v/>
      </c>
      <c r="S495" s="223" t="str">
        <f>IFERROR(INDEX('Ashed teabags wet'!$K$2:$K$2000,MATCH(L495,'Ashed teabags wet'!$A$2:$A$2000,0)),"")</f>
        <v/>
      </c>
      <c r="T495" s="223" t="str">
        <f t="shared" si="37"/>
        <v/>
      </c>
      <c r="U495" s="224">
        <f>'WetLitterbags placem_collection'!E56</f>
        <v>42766</v>
      </c>
      <c r="V495" s="224">
        <f>IF('WetLitterbags placem_collection'!G56="","",'WetLitterbags placem_collection'!G56)</f>
        <v>42820</v>
      </c>
      <c r="W495" s="225">
        <f t="shared" si="35"/>
        <v>54</v>
      </c>
      <c r="X495" s="223" t="str">
        <f t="shared" si="38"/>
        <v/>
      </c>
      <c r="Y495" s="223" t="str">
        <f t="shared" si="39"/>
        <v/>
      </c>
      <c r="Z495">
        <f>IFERROR(INDEX([1]Rainfall_Wet!$O$2:$O$217,MATCH(C495, [1]Rainfall_Wet!$A$2:$A$217,0)),"")</f>
        <v>214.262898705</v>
      </c>
      <c r="AA495" s="226">
        <v>21.96</v>
      </c>
      <c r="AB495" s="226">
        <v>8.9199999999999982</v>
      </c>
      <c r="AC495" s="226">
        <v>69.12</v>
      </c>
      <c r="AD495" s="227" t="s">
        <v>2651</v>
      </c>
      <c r="AE495" s="226">
        <v>1.7491375061606702</v>
      </c>
      <c r="AF495" t="str">
        <f>IF('WetLitterbags placem_collection'!AB56="","",'WetLitterbags placem_collection'!AB56)</f>
        <v/>
      </c>
      <c r="AG495" t="str">
        <f>IF('WetLitterbags placem_collection'!Z56="","",'WetLitterbags placem_collection'!Z56)</f>
        <v/>
      </c>
      <c r="AH495" s="236" t="str">
        <f>IF('WetLitterbags placem_collection'!AA56="","",'WetLitterbags placem_collection'!AA56)</f>
        <v/>
      </c>
      <c r="AI495" t="str">
        <f>IF('WetLitterbags placem_collection'!AC56="","",'WetLitterbags placem_collection'!AC56)</f>
        <v/>
      </c>
      <c r="AJ495" s="233">
        <f>AVERAGE('WetLitterbags placem_collection'!S56,'WetLitterbags placem_collection'!U56)</f>
        <v>30.1</v>
      </c>
      <c r="AK495">
        <f>AVERAGE('WetLitterbags placem_collection'!R56,'WetLitterbags placem_collection'!T56)</f>
        <v>22.2</v>
      </c>
      <c r="AL495">
        <f>INDEX([2]Coordinates!$B$2:$B$197,MATCH(I495,[2]Coordinates!$J$2:$J$197,0))</f>
        <v>-3.406058019</v>
      </c>
      <c r="AM495">
        <f>INDEX([2]Coordinates!$C$2:$C$197,MATCH(I495,[2]Coordinates!$J$2:$J$197,0))</f>
        <v>34.850466019999999</v>
      </c>
      <c r="AN495" t="str">
        <f>IF(ISNUMBER(SEARCH("C", 'WetLitterbags placem_collection'!$X56)),"YES","NO")</f>
        <v>NO</v>
      </c>
      <c r="AO495" t="str">
        <f>IF(ISNUMBER(SEARCH("H", 'WetLitterbags placem_collection'!$X56)),"YES","NO")</f>
        <v>NO</v>
      </c>
      <c r="AP495" t="str">
        <f>IF(ISNUMBER(SEARCH("R", 'WetLitterbags placem_collection'!$X56)),"YES","NO")</f>
        <v>NO</v>
      </c>
    </row>
    <row r="496" spans="1:42" ht="15" customHeight="1">
      <c r="A496" t="s">
        <v>3248</v>
      </c>
      <c r="B496" s="248" t="s">
        <v>2454</v>
      </c>
      <c r="C496" s="253">
        <f>'Dry_Litterbag Placem_Collection'!A57</f>
        <v>55</v>
      </c>
      <c r="D496" s="253" t="str">
        <f>'Dry_Litterbag Placem_Collection'!B57</f>
        <v>Makao</v>
      </c>
      <c r="E496" s="253" t="s">
        <v>2643</v>
      </c>
      <c r="F496" s="253" t="s">
        <v>20</v>
      </c>
      <c r="G496" s="253">
        <v>3</v>
      </c>
      <c r="H496" s="253" t="s">
        <v>3109</v>
      </c>
      <c r="I496" s="254" t="str">
        <f>'Dry_Litterbag Placem_Collection'!C57</f>
        <v>Dry_P3_T7</v>
      </c>
      <c r="J496" s="263" t="s">
        <v>2932</v>
      </c>
      <c r="K496" s="256" t="s">
        <v>1147</v>
      </c>
      <c r="L496" s="221" t="str">
        <f>'WetLitterbags placem_collection'!O57</f>
        <v>G616</v>
      </c>
      <c r="M496" s="223">
        <f>IFERROR(INDEX('Green_rooibos initial weight'!$C$5:$C$2000,MATCH(L496, 'Green_rooibos initial weight'!$A$5:$A$2000,0)),"")</f>
        <v>1.978</v>
      </c>
      <c r="N496" s="223">
        <f>IFERROR(M496-(TBIcalc!$H$9+TBIcalc!$H$10),"")</f>
        <v>1.7282</v>
      </c>
      <c r="O496" s="378">
        <f>AVERAGE(Ashed_controlls!$K$2:$K$11)</f>
        <v>5.5147656768714146</v>
      </c>
      <c r="P496" s="223">
        <f t="shared" si="36"/>
        <v>1.6328938195723082</v>
      </c>
      <c r="Q496" s="223">
        <f>IFERROR(INDEX('Both teabags AfterWet'!$C$3:$C$840,MATCH(L496,'Both teabags AfterWet'!$A$3:$A$840,0)),"")</f>
        <v>0.93200000000000005</v>
      </c>
      <c r="R496" s="223">
        <f>IFERROR(IF(Q496&gt;0,Q496-(TBIcalc!$H$9),""),"")</f>
        <v>0.78140000000000009</v>
      </c>
      <c r="S496" s="223">
        <f>IFERROR(INDEX('Ashed teabags wet'!$K$2:$K$2000,MATCH(L496,'Ashed teabags wet'!$A$2:$A$2000,0)),"")</f>
        <v>25.927734375000028</v>
      </c>
      <c r="T496" s="223">
        <f t="shared" si="37"/>
        <v>0.57880068359374981</v>
      </c>
      <c r="U496" s="224">
        <f>'WetLitterbags placem_collection'!E57</f>
        <v>42766</v>
      </c>
      <c r="V496" s="224">
        <f>IF('WetLitterbags placem_collection'!G57="","",'WetLitterbags placem_collection'!G57)</f>
        <v>42820</v>
      </c>
      <c r="W496" s="225">
        <f t="shared" si="35"/>
        <v>54</v>
      </c>
      <c r="X496" s="223">
        <f t="shared" si="38"/>
        <v>0.94679999999999986</v>
      </c>
      <c r="Y496" s="223">
        <f t="shared" si="39"/>
        <v>1.0540931359785584</v>
      </c>
      <c r="Z496">
        <f>IFERROR(INDEX([1]Rainfall_Wet!$O$2:$O$217,MATCH(C496, [1]Rainfall_Wet!$A$2:$A$217,0)),"")</f>
        <v>214.262898705</v>
      </c>
      <c r="AA496" s="226">
        <v>21.96</v>
      </c>
      <c r="AB496" s="226">
        <v>8.9199999999999982</v>
      </c>
      <c r="AC496" s="226">
        <v>69.12</v>
      </c>
      <c r="AD496" s="227" t="s">
        <v>2651</v>
      </c>
      <c r="AE496" s="226">
        <v>1.7491375061606702</v>
      </c>
      <c r="AF496">
        <f>IF('WetLitterbags placem_collection'!AB57="","",'WetLitterbags placem_collection'!AB57)</f>
        <v>15.8</v>
      </c>
      <c r="AG496">
        <f>IF('WetLitterbags placem_collection'!Z57="","",'WetLitterbags placem_collection'!Z57)</f>
        <v>45</v>
      </c>
      <c r="AH496" s="236" t="str">
        <f>IF('WetLitterbags placem_collection'!AA57="","",'WetLitterbags placem_collection'!AA57)</f>
        <v>M</v>
      </c>
      <c r="AI496">
        <f>IF('WetLitterbags placem_collection'!AC57="","",'WetLitterbags placem_collection'!AC57)</f>
        <v>1</v>
      </c>
      <c r="AJ496" s="233">
        <f>AVERAGE('WetLitterbags placem_collection'!S57,'WetLitterbags placem_collection'!U57)</f>
        <v>33</v>
      </c>
      <c r="AK496">
        <f>AVERAGE('WetLitterbags placem_collection'!R57,'WetLitterbags placem_collection'!T57)</f>
        <v>25.9</v>
      </c>
      <c r="AL496">
        <f>INDEX([2]Coordinates!$B$2:$B$197,MATCH(I496,[2]Coordinates!$J$2:$J$197,0))</f>
        <v>-3.4061389879999999</v>
      </c>
      <c r="AM496">
        <f>INDEX([2]Coordinates!$C$2:$C$197,MATCH(I496,[2]Coordinates!$J$2:$J$197,0))</f>
        <v>34.850574979999998</v>
      </c>
      <c r="AN496" t="str">
        <f>IF(ISNUMBER(SEARCH("C", 'WetLitterbags placem_collection'!$X57)),"YES","NO")</f>
        <v>NO</v>
      </c>
      <c r="AO496" t="str">
        <f>IF(ISNUMBER(SEARCH("H", 'WetLitterbags placem_collection'!$X57)),"YES","NO")</f>
        <v>NO</v>
      </c>
      <c r="AP496" t="str">
        <f>IF(ISNUMBER(SEARCH("R", 'WetLitterbags placem_collection'!$X57)),"YES","NO")</f>
        <v>YES</v>
      </c>
    </row>
    <row r="497" spans="1:42" ht="15" customHeight="1">
      <c r="A497" t="s">
        <v>3248</v>
      </c>
      <c r="B497" s="248" t="s">
        <v>2454</v>
      </c>
      <c r="C497" s="253">
        <f>'Dry_Litterbag Placem_Collection'!A58</f>
        <v>56</v>
      </c>
      <c r="D497" s="253" t="str">
        <f>'Dry_Litterbag Placem_Collection'!B58</f>
        <v>Makao</v>
      </c>
      <c r="E497" s="253" t="s">
        <v>2643</v>
      </c>
      <c r="F497" s="253" t="s">
        <v>20</v>
      </c>
      <c r="G497" s="253">
        <v>3</v>
      </c>
      <c r="H497" s="253" t="s">
        <v>3109</v>
      </c>
      <c r="I497" s="254" t="str">
        <f>'Dry_Litterbag Placem_Collection'!C58</f>
        <v>Dry_P3_T8</v>
      </c>
      <c r="J497" s="263" t="s">
        <v>2932</v>
      </c>
      <c r="K497" s="256" t="s">
        <v>1147</v>
      </c>
      <c r="L497" s="221" t="str">
        <f>'WetLitterbags placem_collection'!O58</f>
        <v>G557</v>
      </c>
      <c r="M497" s="223">
        <f>IFERROR(INDEX('Green_rooibos initial weight'!$C$5:$C$2000,MATCH(L497, 'Green_rooibos initial weight'!$A$5:$A$2000,0)),"")</f>
        <v>2.12</v>
      </c>
      <c r="N497" s="223">
        <f>IFERROR(M497-(TBIcalc!$H$9+TBIcalc!$H$10),"")</f>
        <v>1.8702000000000001</v>
      </c>
      <c r="O497" s="378">
        <f>AVERAGE(Ashed_controlls!$K$2:$K$11)</f>
        <v>5.5147656768714146</v>
      </c>
      <c r="P497" s="223">
        <f t="shared" si="36"/>
        <v>1.7670628523111509</v>
      </c>
      <c r="Q497" s="223">
        <f>IFERROR(INDEX('Both teabags AfterWet'!$C$3:$C$840,MATCH(L497,'Both teabags AfterWet'!$A$3:$A$840,0)),"")</f>
        <v>0.74399999999999999</v>
      </c>
      <c r="R497" s="223">
        <f>IFERROR(IF(Q497&gt;0,Q497-(TBIcalc!$H$9),""),"")</f>
        <v>0.59339999999999993</v>
      </c>
      <c r="S497" s="223">
        <f>IFERROR(INDEX('Ashed teabags wet'!$K$2:$K$2000,MATCH(L497,'Ashed teabags wet'!$A$2:$A$2000,0)),"")</f>
        <v>11.235408560310804</v>
      </c>
      <c r="T497" s="223">
        <f t="shared" si="37"/>
        <v>0.5267290856031156</v>
      </c>
      <c r="U497" s="224">
        <f>'WetLitterbags placem_collection'!E58</f>
        <v>42766</v>
      </c>
      <c r="V497" s="224">
        <f>IF('WetLitterbags placem_collection'!G58="","",'WetLitterbags placem_collection'!G58)</f>
        <v>42820</v>
      </c>
      <c r="W497" s="225">
        <f t="shared" si="35"/>
        <v>54</v>
      </c>
      <c r="X497" s="223">
        <f t="shared" si="38"/>
        <v>1.2768000000000002</v>
      </c>
      <c r="Y497" s="223">
        <f t="shared" si="39"/>
        <v>1.2403337667080354</v>
      </c>
      <c r="Z497">
        <f>IFERROR(INDEX([1]Rainfall_Wet!$O$2:$O$217,MATCH(C497, [1]Rainfall_Wet!$A$2:$A$217,0)),"")</f>
        <v>214.262898705</v>
      </c>
      <c r="AA497" s="226">
        <v>21.96</v>
      </c>
      <c r="AB497" s="226">
        <v>8.9199999999999982</v>
      </c>
      <c r="AC497" s="226">
        <v>69.12</v>
      </c>
      <c r="AD497" s="227" t="s">
        <v>2651</v>
      </c>
      <c r="AE497" s="226">
        <v>1.7491375061606702</v>
      </c>
      <c r="AF497">
        <f>IF('WetLitterbags placem_collection'!AB58="","",'WetLitterbags placem_collection'!AB58)</f>
        <v>15.4</v>
      </c>
      <c r="AG497">
        <f>IF('WetLitterbags placem_collection'!Z58="","",'WetLitterbags placem_collection'!Z58)</f>
        <v>30.8</v>
      </c>
      <c r="AH497" s="236" t="str">
        <f>IF('WetLitterbags placem_collection'!AA58="","",'WetLitterbags placem_collection'!AA58)</f>
        <v>M</v>
      </c>
      <c r="AI497">
        <f>IF('WetLitterbags placem_collection'!AC58="","",'WetLitterbags placem_collection'!AC58)</f>
        <v>0</v>
      </c>
      <c r="AJ497" s="233">
        <f>AVERAGE('WetLitterbags placem_collection'!S58,'WetLitterbags placem_collection'!U58)</f>
        <v>29.5</v>
      </c>
      <c r="AK497">
        <f>AVERAGE('WetLitterbags placem_collection'!R58,'WetLitterbags placem_collection'!T58)</f>
        <v>27.6</v>
      </c>
      <c r="AL497">
        <f>INDEX([2]Coordinates!$B$2:$B$197,MATCH(I497,[2]Coordinates!$J$2:$J$197,0))</f>
        <v>-3.4062900300000001</v>
      </c>
      <c r="AM497">
        <f>INDEX([2]Coordinates!$C$2:$C$197,MATCH(I497,[2]Coordinates!$J$2:$J$197,0))</f>
        <v>34.850441959999998</v>
      </c>
      <c r="AN497" t="str">
        <f>IF(ISNUMBER(SEARCH("C", 'WetLitterbags placem_collection'!$X58)),"YES","NO")</f>
        <v>NO</v>
      </c>
      <c r="AO497" t="str">
        <f>IF(ISNUMBER(SEARCH("H", 'WetLitterbags placem_collection'!$X58)),"YES","NO")</f>
        <v>NO</v>
      </c>
      <c r="AP497" t="str">
        <f>IF(ISNUMBER(SEARCH("R", 'WetLitterbags placem_collection'!$X58)),"YES","NO")</f>
        <v>YES</v>
      </c>
    </row>
    <row r="498" spans="1:42" ht="15" customHeight="1">
      <c r="A498" t="s">
        <v>3248</v>
      </c>
      <c r="B498" s="248" t="s">
        <v>2454</v>
      </c>
      <c r="C498" s="253">
        <f>'Dry_Litterbag Placem_Collection'!A59</f>
        <v>57</v>
      </c>
      <c r="D498" s="253" t="str">
        <f>'Dry_Litterbag Placem_Collection'!B59</f>
        <v>Makao</v>
      </c>
      <c r="E498" s="253" t="s">
        <v>2643</v>
      </c>
      <c r="F498" s="253" t="s">
        <v>20</v>
      </c>
      <c r="G498" s="253">
        <v>4</v>
      </c>
      <c r="H498" s="253" t="s">
        <v>3110</v>
      </c>
      <c r="I498" s="254" t="str">
        <f>'Dry_Litterbag Placem_Collection'!C59</f>
        <v>Dry_P4_T1</v>
      </c>
      <c r="J498" s="263" t="s">
        <v>2932</v>
      </c>
      <c r="K498" s="256" t="s">
        <v>1147</v>
      </c>
      <c r="L498" s="221" t="str">
        <f>'WetLitterbags placem_collection'!O59</f>
        <v>G618</v>
      </c>
      <c r="M498" s="223">
        <f>IFERROR(INDEX('Green_rooibos initial weight'!$C$5:$C$2000,MATCH(L498, 'Green_rooibos initial weight'!$A$5:$A$2000,0)),"")</f>
        <v>2.0449999999999999</v>
      </c>
      <c r="N498" s="223">
        <f>IFERROR(M498-(TBIcalc!$H$9+TBIcalc!$H$10),"")</f>
        <v>1.7951999999999999</v>
      </c>
      <c r="O498" s="378">
        <f>AVERAGE(Ashed_controlls!$K$2:$K$11)</f>
        <v>5.5147656768714146</v>
      </c>
      <c r="P498" s="223">
        <f t="shared" si="36"/>
        <v>1.6961989265688042</v>
      </c>
      <c r="Q498" s="223">
        <f>IFERROR(INDEX('Both teabags AfterWet'!$C$3:$C$840,MATCH(L498,'Both teabags AfterWet'!$A$3:$A$840,0)),"")</f>
        <v>0.88129999999999997</v>
      </c>
      <c r="R498" s="223">
        <f>IFERROR(IF(Q498&gt;0,Q498-(TBIcalc!$H$9),""),"")</f>
        <v>0.73069999999999991</v>
      </c>
      <c r="S498" s="223">
        <f>IFERROR(INDEX('Ashed teabags wet'!$K$2:$K$2000,MATCH(L498,'Ashed teabags wet'!$A$2:$A$2000,0)),"")</f>
        <v>11.534653465346061</v>
      </c>
      <c r="T498" s="223">
        <f t="shared" si="37"/>
        <v>0.64641628712871624</v>
      </c>
      <c r="U498" s="224">
        <f>'WetLitterbags placem_collection'!E59</f>
        <v>42766</v>
      </c>
      <c r="V498" s="224">
        <f>IF('WetLitterbags placem_collection'!G59="","",'WetLitterbags placem_collection'!G59)</f>
        <v>42820</v>
      </c>
      <c r="W498" s="225">
        <f t="shared" si="35"/>
        <v>54</v>
      </c>
      <c r="X498" s="223">
        <f t="shared" si="38"/>
        <v>1.0645</v>
      </c>
      <c r="Y498" s="223">
        <f t="shared" si="39"/>
        <v>1.049782639440088</v>
      </c>
      <c r="Z498">
        <f>IFERROR(INDEX([1]Rainfall_Wet!$O$2:$O$217,MATCH(C498, [1]Rainfall_Wet!$A$2:$A$217,0)),"")</f>
        <v>214.262898705</v>
      </c>
      <c r="AA498" s="226">
        <v>25.96</v>
      </c>
      <c r="AB498" s="226">
        <v>6.9200000000000008</v>
      </c>
      <c r="AC498" s="226">
        <v>67.12</v>
      </c>
      <c r="AD498" s="227" t="s">
        <v>2651</v>
      </c>
      <c r="AE498" s="226">
        <v>1.7568260226712666</v>
      </c>
      <c r="AF498">
        <f>IF('WetLitterbags placem_collection'!AB59="","",'WetLitterbags placem_collection'!AB59)</f>
        <v>3.3</v>
      </c>
      <c r="AG498">
        <f>IF('WetLitterbags placem_collection'!Z59="","",'WetLitterbags placem_collection'!Z59)</f>
        <v>28.4</v>
      </c>
      <c r="AH498" s="236" t="str">
        <f>IF('WetLitterbags placem_collection'!AA59="","",'WetLitterbags placem_collection'!AA59)</f>
        <v>O</v>
      </c>
      <c r="AI498">
        <f>IF('WetLitterbags placem_collection'!AC59="","",'WetLitterbags placem_collection'!AC59)</f>
        <v>1</v>
      </c>
      <c r="AJ498" s="233">
        <f>AVERAGE('WetLitterbags placem_collection'!S59,'WetLitterbags placem_collection'!U59)</f>
        <v>31.6</v>
      </c>
      <c r="AK498">
        <f>AVERAGE('WetLitterbags placem_collection'!R59,'WetLitterbags placem_collection'!T59)</f>
        <v>26.9</v>
      </c>
      <c r="AL498">
        <f>INDEX([2]Coordinates!$B$2:$B$197,MATCH(I498,[2]Coordinates!$J$2:$J$197,0))</f>
        <v>-3.4064239729999999</v>
      </c>
      <c r="AM498">
        <f>INDEX([2]Coordinates!$C$2:$C$197,MATCH(I498,[2]Coordinates!$J$2:$J$197,0))</f>
        <v>34.851213010000002</v>
      </c>
      <c r="AN498" t="str">
        <f>IF(ISNUMBER(SEARCH("C", 'WetLitterbags placem_collection'!$X59)),"YES","NO")</f>
        <v>NO</v>
      </c>
      <c r="AO498" t="str">
        <f>IF(ISNUMBER(SEARCH("H", 'WetLitterbags placem_collection'!$X59)),"YES","NO")</f>
        <v>NO</v>
      </c>
      <c r="AP498" t="str">
        <f>IF(ISNUMBER(SEARCH("R", 'WetLitterbags placem_collection'!$X59)),"YES","NO")</f>
        <v>YES</v>
      </c>
    </row>
    <row r="499" spans="1:42" ht="15" customHeight="1">
      <c r="A499" t="s">
        <v>3248</v>
      </c>
      <c r="B499" s="248" t="s">
        <v>2454</v>
      </c>
      <c r="C499" s="253">
        <f>'Dry_Litterbag Placem_Collection'!A60</f>
        <v>58</v>
      </c>
      <c r="D499" s="253" t="str">
        <f>'Dry_Litterbag Placem_Collection'!B60</f>
        <v>Makao</v>
      </c>
      <c r="E499" s="253" t="s">
        <v>2643</v>
      </c>
      <c r="F499" s="253" t="s">
        <v>20</v>
      </c>
      <c r="G499" s="253">
        <v>4</v>
      </c>
      <c r="H499" s="253" t="s">
        <v>3110</v>
      </c>
      <c r="I499" s="254" t="str">
        <f>'Dry_Litterbag Placem_Collection'!C60</f>
        <v>Dry_P4_T2</v>
      </c>
      <c r="J499" s="263" t="s">
        <v>2932</v>
      </c>
      <c r="K499" s="256" t="s">
        <v>1147</v>
      </c>
      <c r="L499" s="221" t="str">
        <f>'WetLitterbags placem_collection'!O60</f>
        <v>G593</v>
      </c>
      <c r="M499" s="223">
        <f>IFERROR(INDEX('Green_rooibos initial weight'!$C$5:$C$2000,MATCH(L499, 'Green_rooibos initial weight'!$A$5:$A$2000,0)),"")</f>
        <v>2.093</v>
      </c>
      <c r="N499" s="223">
        <f>IFERROR(M499-(TBIcalc!$H$9+TBIcalc!$H$10),"")</f>
        <v>1.8431999999999999</v>
      </c>
      <c r="O499" s="378">
        <f>AVERAGE(Ashed_controlls!$K$2:$K$11)</f>
        <v>5.5147656768714146</v>
      </c>
      <c r="P499" s="223">
        <f t="shared" si="36"/>
        <v>1.741551839043906</v>
      </c>
      <c r="Q499" s="223">
        <f>IFERROR(INDEX('Both teabags AfterWet'!$C$3:$C$840,MATCH(L499,'Both teabags AfterWet'!$A$3:$A$840,0)),"")</f>
        <v>0.97009999999999996</v>
      </c>
      <c r="R499" s="223">
        <f>IFERROR(IF(Q499&gt;0,Q499-(TBIcalc!$H$9),""),"")</f>
        <v>0.8194999999999999</v>
      </c>
      <c r="S499" s="223">
        <f>IFERROR(INDEX('Ashed teabags wet'!$K$2:$K$2000,MATCH(L499,'Ashed teabags wet'!$A$2:$A$2000,0)),"")</f>
        <v>12.412761714855449</v>
      </c>
      <c r="T499" s="223">
        <f t="shared" si="37"/>
        <v>0.71777741774675952</v>
      </c>
      <c r="U499" s="224">
        <f>'WetLitterbags placem_collection'!E60</f>
        <v>42766</v>
      </c>
      <c r="V499" s="224">
        <f>IF('WetLitterbags placem_collection'!G60="","",'WetLitterbags placem_collection'!G60)</f>
        <v>42820</v>
      </c>
      <c r="W499" s="225">
        <f t="shared" si="35"/>
        <v>54</v>
      </c>
      <c r="X499" s="223">
        <f t="shared" si="38"/>
        <v>1.0237000000000001</v>
      </c>
      <c r="Y499" s="223">
        <f t="shared" si="39"/>
        <v>1.0237744212971465</v>
      </c>
      <c r="Z499">
        <f>IFERROR(INDEX([1]Rainfall_Wet!$O$2:$O$217,MATCH(C499, [1]Rainfall_Wet!$A$2:$A$217,0)),"")</f>
        <v>214.262898705</v>
      </c>
      <c r="AA499" s="226">
        <v>25.96</v>
      </c>
      <c r="AB499" s="226">
        <v>6.9200000000000008</v>
      </c>
      <c r="AC499" s="226">
        <v>67.12</v>
      </c>
      <c r="AD499" s="227" t="s">
        <v>2651</v>
      </c>
      <c r="AE499" s="226">
        <v>1.7568260226712666</v>
      </c>
      <c r="AF499">
        <f>IF('WetLitterbags placem_collection'!AB60="","",'WetLitterbags placem_collection'!AB60)</f>
        <v>1.4</v>
      </c>
      <c r="AG499">
        <f>IF('WetLitterbags placem_collection'!Z60="","",'WetLitterbags placem_collection'!Z60)</f>
        <v>54.4</v>
      </c>
      <c r="AH499" s="236" t="str">
        <f>IF('WetLitterbags placem_collection'!AA60="","",'WetLitterbags placem_collection'!AA60)</f>
        <v>O</v>
      </c>
      <c r="AI499">
        <f>IF('WetLitterbags placem_collection'!AC60="","",'WetLitterbags placem_collection'!AC60)</f>
        <v>0</v>
      </c>
      <c r="AJ499" s="233">
        <f>AVERAGE('WetLitterbags placem_collection'!S60,'WetLitterbags placem_collection'!U60)</f>
        <v>31.6</v>
      </c>
      <c r="AK499">
        <f>AVERAGE('WetLitterbags placem_collection'!R60,'WetLitterbags placem_collection'!T60)</f>
        <v>26.700000000000003</v>
      </c>
      <c r="AL499">
        <f>INDEX([2]Coordinates!$B$2:$B$197,MATCH(I499,[2]Coordinates!$J$2:$J$197,0))</f>
        <v>-3.4065020079999999</v>
      </c>
      <c r="AM499">
        <f>INDEX([2]Coordinates!$C$2:$C$197,MATCH(I499,[2]Coordinates!$J$2:$J$197,0))</f>
        <v>34.851056020000001</v>
      </c>
      <c r="AN499" t="str">
        <f>IF(ISNUMBER(SEARCH("C", 'WetLitterbags placem_collection'!$X60)),"YES","NO")</f>
        <v>NO</v>
      </c>
      <c r="AO499" t="str">
        <f>IF(ISNUMBER(SEARCH("H", 'WetLitterbags placem_collection'!$X60)),"YES","NO")</f>
        <v>NO</v>
      </c>
      <c r="AP499" t="str">
        <f>IF(ISNUMBER(SEARCH("R", 'WetLitterbags placem_collection'!$X60)),"YES","NO")</f>
        <v>YES</v>
      </c>
    </row>
    <row r="500" spans="1:42" ht="15" customHeight="1">
      <c r="A500" t="s">
        <v>3248</v>
      </c>
      <c r="B500" s="248" t="s">
        <v>2454</v>
      </c>
      <c r="C500" s="253">
        <f>'Dry_Litterbag Placem_Collection'!A61</f>
        <v>59</v>
      </c>
      <c r="D500" s="253" t="str">
        <f>'Dry_Litterbag Placem_Collection'!B61</f>
        <v>Makao</v>
      </c>
      <c r="E500" s="253" t="s">
        <v>2643</v>
      </c>
      <c r="F500" s="253" t="s">
        <v>20</v>
      </c>
      <c r="G500" s="253">
        <v>4</v>
      </c>
      <c r="H500" s="253" t="s">
        <v>3110</v>
      </c>
      <c r="I500" s="254" t="str">
        <f>'Dry_Litterbag Placem_Collection'!C61</f>
        <v>Dry_P4_T3</v>
      </c>
      <c r="J500" s="263" t="s">
        <v>2932</v>
      </c>
      <c r="K500" s="256" t="s">
        <v>1147</v>
      </c>
      <c r="L500" s="221" t="str">
        <f>'WetLitterbags placem_collection'!O61</f>
        <v>G600</v>
      </c>
      <c r="M500" s="223">
        <f>IFERROR(INDEX('Green_rooibos initial weight'!$C$5:$C$2000,MATCH(L500, 'Green_rooibos initial weight'!$A$5:$A$2000,0)),"")</f>
        <v>2.0049999999999999</v>
      </c>
      <c r="N500" s="223">
        <f>IFERROR(M500-(TBIcalc!$H$9+TBIcalc!$H$10),"")</f>
        <v>1.7551999999999999</v>
      </c>
      <c r="O500" s="378">
        <f>AVERAGE(Ashed_controlls!$K$2:$K$11)</f>
        <v>5.5147656768714146</v>
      </c>
      <c r="P500" s="223">
        <f t="shared" si="36"/>
        <v>1.6584048328395529</v>
      </c>
      <c r="Q500" s="223">
        <f>IFERROR(INDEX('Both teabags AfterWet'!$C$3:$C$840,MATCH(L500,'Both teabags AfterWet'!$A$3:$A$840,0)),"")</f>
        <v>0.90200000000000002</v>
      </c>
      <c r="R500" s="223">
        <f>IFERROR(IF(Q500&gt;0,Q500-(TBIcalc!$H$9),""),"")</f>
        <v>0.75140000000000007</v>
      </c>
      <c r="S500" s="223">
        <f>IFERROR(INDEX('Ashed teabags wet'!$K$2:$K$2000,MATCH(L500,'Ashed teabags wet'!$A$2:$A$2000,0)),"")</f>
        <v>13.942071674030428</v>
      </c>
      <c r="T500" s="223">
        <f t="shared" si="37"/>
        <v>0.64663927344133543</v>
      </c>
      <c r="U500" s="224">
        <f>'WetLitterbags placem_collection'!E61</f>
        <v>42766</v>
      </c>
      <c r="V500" s="224">
        <f>IF('WetLitterbags placem_collection'!G61="","",'WetLitterbags placem_collection'!G61)</f>
        <v>42820</v>
      </c>
      <c r="W500" s="225">
        <f t="shared" si="35"/>
        <v>54</v>
      </c>
      <c r="X500" s="223">
        <f t="shared" si="38"/>
        <v>1.0037999999999998</v>
      </c>
      <c r="Y500" s="223">
        <f t="shared" si="39"/>
        <v>1.0117655593982176</v>
      </c>
      <c r="Z500">
        <f>IFERROR(INDEX([1]Rainfall_Wet!$O$2:$O$217,MATCH(C500, [1]Rainfall_Wet!$A$2:$A$217,0)),"")</f>
        <v>214.262898705</v>
      </c>
      <c r="AA500" s="226">
        <v>25.96</v>
      </c>
      <c r="AB500" s="226">
        <v>6.9200000000000008</v>
      </c>
      <c r="AC500" s="226">
        <v>67.12</v>
      </c>
      <c r="AD500" s="227" t="s">
        <v>2651</v>
      </c>
      <c r="AE500" s="226">
        <v>1.7568260226712666</v>
      </c>
      <c r="AF500">
        <f>IF('WetLitterbags placem_collection'!AB61="","",'WetLitterbags placem_collection'!AB61)</f>
        <v>3.3</v>
      </c>
      <c r="AG500">
        <f>IF('WetLitterbags placem_collection'!Z61="","",'WetLitterbags placem_collection'!Z61)</f>
        <v>46</v>
      </c>
      <c r="AH500" s="236" t="str">
        <f>IF('WetLitterbags placem_collection'!AA61="","",'WetLitterbags placem_collection'!AA61)</f>
        <v>O</v>
      </c>
      <c r="AI500">
        <f>IF('WetLitterbags placem_collection'!AC61="","",'WetLitterbags placem_collection'!AC61)</f>
        <v>0</v>
      </c>
      <c r="AJ500" s="233">
        <f>AVERAGE('WetLitterbags placem_collection'!S61,'WetLitterbags placem_collection'!U61)</f>
        <v>27.9</v>
      </c>
      <c r="AK500">
        <f>AVERAGE('WetLitterbags placem_collection'!R61,'WetLitterbags placem_collection'!T61)</f>
        <v>27.049999999999997</v>
      </c>
      <c r="AL500">
        <f>INDEX([2]Coordinates!$B$2:$B$197,MATCH(I500,[2]Coordinates!$J$2:$J$197,0))</f>
        <v>-3.4062359670000002</v>
      </c>
      <c r="AM500">
        <f>INDEX([2]Coordinates!$C$2:$C$197,MATCH(I500,[2]Coordinates!$J$2:$J$197,0))</f>
        <v>34.851107990000003</v>
      </c>
      <c r="AN500" t="str">
        <f>IF(ISNUMBER(SEARCH("C", 'WetLitterbags placem_collection'!$X61)),"YES","NO")</f>
        <v>NO</v>
      </c>
      <c r="AO500" t="str">
        <f>IF(ISNUMBER(SEARCH("H", 'WetLitterbags placem_collection'!$X61)),"YES","NO")</f>
        <v>NO</v>
      </c>
      <c r="AP500" t="str">
        <f>IF(ISNUMBER(SEARCH("R", 'WetLitterbags placem_collection'!$X61)),"YES","NO")</f>
        <v>NO</v>
      </c>
    </row>
    <row r="501" spans="1:42" ht="15" customHeight="1">
      <c r="A501" t="s">
        <v>3248</v>
      </c>
      <c r="B501" s="248" t="s">
        <v>2454</v>
      </c>
      <c r="C501" s="253">
        <f>'Dry_Litterbag Placem_Collection'!A62</f>
        <v>60</v>
      </c>
      <c r="D501" s="253" t="str">
        <f>'Dry_Litterbag Placem_Collection'!B62</f>
        <v>Makao</v>
      </c>
      <c r="E501" s="253" t="s">
        <v>2643</v>
      </c>
      <c r="F501" s="253" t="s">
        <v>20</v>
      </c>
      <c r="G501" s="253">
        <v>4</v>
      </c>
      <c r="H501" s="253" t="s">
        <v>3110</v>
      </c>
      <c r="I501" s="254" t="str">
        <f>'Dry_Litterbag Placem_Collection'!C62</f>
        <v>Dry_P4_T4</v>
      </c>
      <c r="J501" s="263" t="s">
        <v>2932</v>
      </c>
      <c r="K501" s="256" t="s">
        <v>1147</v>
      </c>
      <c r="L501" s="221" t="str">
        <f>'WetLitterbags placem_collection'!O62</f>
        <v>G535</v>
      </c>
      <c r="M501" s="223">
        <f>IFERROR(INDEX('Green_rooibos initial weight'!$C$5:$C$2000,MATCH(L501, 'Green_rooibos initial weight'!$A$5:$A$2000,0)),"")</f>
        <v>2.0920000000000001</v>
      </c>
      <c r="N501" s="223">
        <f>IFERROR(M501-(TBIcalc!$H$9+TBIcalc!$H$10),"")</f>
        <v>1.8422000000000001</v>
      </c>
      <c r="O501" s="378">
        <f>AVERAGE(Ashed_controlls!$K$2:$K$11)</f>
        <v>5.5147656768714146</v>
      </c>
      <c r="P501" s="223">
        <f t="shared" si="36"/>
        <v>1.7406069867006748</v>
      </c>
      <c r="Q501" s="223">
        <f>IFERROR(INDEX('Both teabags AfterWet'!$C$3:$C$840,MATCH(L501,'Both teabags AfterWet'!$A$3:$A$840,0)),"")</f>
        <v>0.78</v>
      </c>
      <c r="R501" s="223">
        <f>IFERROR(IF(Q501&gt;0,Q501-(TBIcalc!$H$9),""),"")</f>
        <v>0.62939999999999996</v>
      </c>
      <c r="S501" s="223">
        <f>IFERROR(INDEX('Ashed teabags wet'!$K$2:$K$2000,MATCH(L501,'Ashed teabags wet'!$A$2:$A$2000,0)),"")</f>
        <v>10.099009900990334</v>
      </c>
      <c r="T501" s="223">
        <f t="shared" si="37"/>
        <v>0.56583683168316679</v>
      </c>
      <c r="U501" s="224">
        <f>'WetLitterbags placem_collection'!E62</f>
        <v>42766</v>
      </c>
      <c r="V501" s="224">
        <f>IF('WetLitterbags placem_collection'!G62="","",'WetLitterbags placem_collection'!G62)</f>
        <v>42820</v>
      </c>
      <c r="W501" s="225">
        <f t="shared" si="35"/>
        <v>54</v>
      </c>
      <c r="X501" s="223">
        <f t="shared" si="38"/>
        <v>1.2128000000000001</v>
      </c>
      <c r="Y501" s="223">
        <f t="shared" si="39"/>
        <v>1.174770155017508</v>
      </c>
      <c r="Z501">
        <f>IFERROR(INDEX([1]Rainfall_Wet!$O$2:$O$217,MATCH(C501, [1]Rainfall_Wet!$A$2:$A$217,0)),"")</f>
        <v>214.262898705</v>
      </c>
      <c r="AA501" s="226">
        <v>25.96</v>
      </c>
      <c r="AB501" s="226">
        <v>6.9200000000000008</v>
      </c>
      <c r="AC501" s="226">
        <v>67.12</v>
      </c>
      <c r="AD501" s="227" t="s">
        <v>2651</v>
      </c>
      <c r="AE501" s="226">
        <v>1.7568260226712666</v>
      </c>
      <c r="AF501">
        <f>IF('WetLitterbags placem_collection'!AB62="","",'WetLitterbags placem_collection'!AB62)</f>
        <v>2.4</v>
      </c>
      <c r="AG501">
        <f>IF('WetLitterbags placem_collection'!Z62="","",'WetLitterbags placem_collection'!Z62)</f>
        <v>10.199999999999999</v>
      </c>
      <c r="AH501" s="236" t="str">
        <f>IF('WetLitterbags placem_collection'!AA62="","",'WetLitterbags placem_collection'!AA62)</f>
        <v>O</v>
      </c>
      <c r="AI501">
        <f>IF('WetLitterbags placem_collection'!AC62="","",'WetLitterbags placem_collection'!AC62)</f>
        <v>0</v>
      </c>
      <c r="AJ501" s="233">
        <f>AVERAGE('WetLitterbags placem_collection'!S62,'WetLitterbags placem_collection'!U62)</f>
        <v>22.5</v>
      </c>
      <c r="AK501">
        <f>AVERAGE('WetLitterbags placem_collection'!R62,'WetLitterbags placem_collection'!T62)</f>
        <v>28.6</v>
      </c>
      <c r="AL501">
        <f>INDEX([2]Coordinates!$B$2:$B$197,MATCH(I501,[2]Coordinates!$J$2:$J$197,0))</f>
        <v>-3.406281983</v>
      </c>
      <c r="AM501">
        <f>INDEX([2]Coordinates!$C$2:$C$197,MATCH(I501,[2]Coordinates!$J$2:$J$197,0))</f>
        <v>34.85137898</v>
      </c>
      <c r="AN501" t="str">
        <f>IF(ISNUMBER(SEARCH("C", 'WetLitterbags placem_collection'!$X62)),"YES","NO")</f>
        <v>NO</v>
      </c>
      <c r="AO501" t="str">
        <f>IF(ISNUMBER(SEARCH("H", 'WetLitterbags placem_collection'!$X62)),"YES","NO")</f>
        <v>NO</v>
      </c>
      <c r="AP501" t="str">
        <f>IF(ISNUMBER(SEARCH("R", 'WetLitterbags placem_collection'!$X62)),"YES","NO")</f>
        <v>NO</v>
      </c>
    </row>
    <row r="502" spans="1:42" ht="15" customHeight="1">
      <c r="A502" t="s">
        <v>3248</v>
      </c>
      <c r="B502" s="248" t="s">
        <v>2454</v>
      </c>
      <c r="C502" s="253">
        <f>'Dry_Litterbag Placem_Collection'!A63</f>
        <v>61</v>
      </c>
      <c r="D502" s="253" t="str">
        <f>'Dry_Litterbag Placem_Collection'!B63</f>
        <v>Makao</v>
      </c>
      <c r="E502" s="253" t="s">
        <v>2643</v>
      </c>
      <c r="F502" s="253" t="s">
        <v>20</v>
      </c>
      <c r="G502" s="253">
        <v>4</v>
      </c>
      <c r="H502" s="253" t="s">
        <v>3110</v>
      </c>
      <c r="I502" s="254" t="str">
        <f>'Dry_Litterbag Placem_Collection'!C63</f>
        <v>Dry_P4_T5</v>
      </c>
      <c r="J502" s="263" t="s">
        <v>2932</v>
      </c>
      <c r="K502" s="256" t="s">
        <v>1147</v>
      </c>
      <c r="L502" s="221" t="str">
        <f>'WetLitterbags placem_collection'!O63</f>
        <v>G391</v>
      </c>
      <c r="M502" s="223">
        <f>IFERROR(INDEX('Green_rooibos initial weight'!$C$5:$C$2000,MATCH(L502, 'Green_rooibos initial weight'!$A$5:$A$2000,0)),"")</f>
        <v>1.9419999999999999</v>
      </c>
      <c r="N502" s="223">
        <f>IFERROR(M502-(TBIcalc!$H$9+TBIcalc!$H$10),"")</f>
        <v>1.6921999999999999</v>
      </c>
      <c r="O502" s="378">
        <f>AVERAGE(Ashed_controlls!$K$2:$K$11)</f>
        <v>5.5147656768714146</v>
      </c>
      <c r="P502" s="223">
        <f t="shared" si="36"/>
        <v>1.5988791352159819</v>
      </c>
      <c r="Q502" s="223">
        <f>IFERROR(INDEX('Both teabags AfterWet'!$C$3:$C$840,MATCH(L502,'Both teabags AfterWet'!$A$3:$A$840,0)),"")</f>
        <v>0.628</v>
      </c>
      <c r="R502" s="223">
        <f>IFERROR(IF(Q502&gt;0,Q502-(TBIcalc!$H$9),""),"")</f>
        <v>0.47739999999999999</v>
      </c>
      <c r="S502" s="223">
        <f>IFERROR(INDEX('Ashed teabags wet'!$K$2:$K$2000,MATCH(L502,'Ashed teabags wet'!$A$2:$A$2000,0)),"")</f>
        <v>8.0533596837941683</v>
      </c>
      <c r="T502" s="223">
        <f t="shared" si="37"/>
        <v>0.43895326086956665</v>
      </c>
      <c r="U502" s="224">
        <f>'WetLitterbags placem_collection'!E63</f>
        <v>42766</v>
      </c>
      <c r="V502" s="224">
        <f>IF('WetLitterbags placem_collection'!G63="","",'WetLitterbags placem_collection'!G63)</f>
        <v>42820</v>
      </c>
      <c r="W502" s="225">
        <f t="shared" si="35"/>
        <v>54</v>
      </c>
      <c r="X502" s="223">
        <f t="shared" si="38"/>
        <v>1.2147999999999999</v>
      </c>
      <c r="Y502" s="223">
        <f t="shared" si="39"/>
        <v>1.1599258743464151</v>
      </c>
      <c r="Z502">
        <f>IFERROR(INDEX([1]Rainfall_Wet!$O$2:$O$217,MATCH(C502, [1]Rainfall_Wet!$A$2:$A$217,0)),"")</f>
        <v>214.262898705</v>
      </c>
      <c r="AA502" s="226">
        <v>25.96</v>
      </c>
      <c r="AB502" s="226">
        <v>6.9200000000000008</v>
      </c>
      <c r="AC502" s="226">
        <v>67.12</v>
      </c>
      <c r="AD502" s="227" t="s">
        <v>2651</v>
      </c>
      <c r="AE502" s="226">
        <v>1.7568260226712666</v>
      </c>
      <c r="AF502">
        <f>IF('WetLitterbags placem_collection'!AB63="","",'WetLitterbags placem_collection'!AB63)</f>
        <v>5.6</v>
      </c>
      <c r="AG502">
        <f>IF('WetLitterbags placem_collection'!Z63="","",'WetLitterbags placem_collection'!Z63)</f>
        <v>34.200000000000003</v>
      </c>
      <c r="AH502" s="236" t="str">
        <f>IF('WetLitterbags placem_collection'!AA63="","",'WetLitterbags placem_collection'!AA63)</f>
        <v>O</v>
      </c>
      <c r="AI502">
        <f>IF('WetLitterbags placem_collection'!AC63="","",'WetLitterbags placem_collection'!AC63)</f>
        <v>0</v>
      </c>
      <c r="AJ502" s="233">
        <f>AVERAGE('WetLitterbags placem_collection'!S63,'WetLitterbags placem_collection'!U63)</f>
        <v>20.399999999999999</v>
      </c>
      <c r="AK502">
        <f>AVERAGE('WetLitterbags placem_collection'!R63,'WetLitterbags placem_collection'!T63)</f>
        <v>27.450000000000003</v>
      </c>
      <c r="AL502">
        <f>INDEX([2]Coordinates!$B$2:$B$197,MATCH(I502,[2]Coordinates!$J$2:$J$197,0))</f>
        <v>-3.406569986</v>
      </c>
      <c r="AM502">
        <f>INDEX([2]Coordinates!$C$2:$C$197,MATCH(I502,[2]Coordinates!$J$2:$J$197,0))</f>
        <v>34.851323989999997</v>
      </c>
      <c r="AN502" t="str">
        <f>IF(ISNUMBER(SEARCH("C", 'WetLitterbags placem_collection'!$X63)),"YES","NO")</f>
        <v>NO</v>
      </c>
      <c r="AO502" t="str">
        <f>IF(ISNUMBER(SEARCH("H", 'WetLitterbags placem_collection'!$X63)),"YES","NO")</f>
        <v>NO</v>
      </c>
      <c r="AP502" t="str">
        <f>IF(ISNUMBER(SEARCH("R", 'WetLitterbags placem_collection'!$X63)),"YES","NO")</f>
        <v>YES</v>
      </c>
    </row>
    <row r="503" spans="1:42" ht="15" customHeight="1">
      <c r="A503" t="s">
        <v>3248</v>
      </c>
      <c r="B503" s="248" t="s">
        <v>2454</v>
      </c>
      <c r="C503" s="253">
        <f>'Dry_Litterbag Placem_Collection'!A64</f>
        <v>62</v>
      </c>
      <c r="D503" s="253" t="str">
        <f>'Dry_Litterbag Placem_Collection'!B64</f>
        <v>Makao</v>
      </c>
      <c r="E503" s="253" t="s">
        <v>2643</v>
      </c>
      <c r="F503" s="253" t="s">
        <v>20</v>
      </c>
      <c r="G503" s="253">
        <v>4</v>
      </c>
      <c r="H503" s="253" t="s">
        <v>3110</v>
      </c>
      <c r="I503" s="254" t="str">
        <f>'Dry_Litterbag Placem_Collection'!C64</f>
        <v>Dry_P4_T6</v>
      </c>
      <c r="J503" s="263" t="s">
        <v>2932</v>
      </c>
      <c r="K503" s="256" t="s">
        <v>1147</v>
      </c>
      <c r="L503" s="221" t="str">
        <f>'WetLitterbags placem_collection'!O64</f>
        <v>G445</v>
      </c>
      <c r="M503" s="223">
        <f>IFERROR(INDEX('Green_rooibos initial weight'!$C$5:$C$2000,MATCH(L503, 'Green_rooibos initial weight'!$A$5:$A$2000,0)),"")</f>
        <v>2.1150000000000002</v>
      </c>
      <c r="N503" s="223">
        <f>IFERROR(M503-(TBIcalc!$H$9+TBIcalc!$H$10),"")</f>
        <v>1.8652000000000002</v>
      </c>
      <c r="O503" s="378">
        <f>AVERAGE(Ashed_controlls!$K$2:$K$11)</f>
        <v>5.5147656768714146</v>
      </c>
      <c r="P503" s="223">
        <f t="shared" si="36"/>
        <v>1.7623385905949946</v>
      </c>
      <c r="Q503" s="223">
        <f>IFERROR(INDEX('Both teabags AfterWet'!$C$3:$C$840,MATCH(L503,'Both teabags AfterWet'!$A$3:$A$840,0)),"")</f>
        <v>0.80569999999999997</v>
      </c>
      <c r="R503" s="223">
        <f>IFERROR(IF(Q503&gt;0,Q503-(TBIcalc!$H$9),""),"")</f>
        <v>0.65510000000000002</v>
      </c>
      <c r="S503" s="223">
        <f>IFERROR(INDEX('Ashed teabags wet'!$K$2:$K$2000,MATCH(L503,'Ashed teabags wet'!$A$2:$A$2000,0)),"")</f>
        <v>12.3862487360974</v>
      </c>
      <c r="T503" s="223">
        <f t="shared" si="37"/>
        <v>0.57395768452982598</v>
      </c>
      <c r="U503" s="224">
        <f>'WetLitterbags placem_collection'!E64</f>
        <v>42766</v>
      </c>
      <c r="V503" s="224">
        <f>IF('WetLitterbags placem_collection'!G64="","",'WetLitterbags placem_collection'!G64)</f>
        <v>42820</v>
      </c>
      <c r="W503" s="225">
        <f t="shared" si="35"/>
        <v>54</v>
      </c>
      <c r="X503" s="223">
        <f t="shared" si="38"/>
        <v>1.2101000000000002</v>
      </c>
      <c r="Y503" s="223">
        <f t="shared" si="39"/>
        <v>1.1883809060651687</v>
      </c>
      <c r="Z503">
        <f>IFERROR(INDEX([1]Rainfall_Wet!$O$2:$O$217,MATCH(C503, [1]Rainfall_Wet!$A$2:$A$217,0)),"")</f>
        <v>214.262898705</v>
      </c>
      <c r="AA503" s="226">
        <v>25.96</v>
      </c>
      <c r="AB503" s="226">
        <v>6.9200000000000008</v>
      </c>
      <c r="AC503" s="226">
        <v>67.12</v>
      </c>
      <c r="AD503" s="227" t="s">
        <v>2651</v>
      </c>
      <c r="AE503" s="226">
        <v>1.7568260226712666</v>
      </c>
      <c r="AF503">
        <f>IF('WetLitterbags placem_collection'!AB64="","",'WetLitterbags placem_collection'!AB64)</f>
        <v>4.2</v>
      </c>
      <c r="AG503">
        <f>IF('WetLitterbags placem_collection'!Z64="","",'WetLitterbags placem_collection'!Z64)</f>
        <v>40.4</v>
      </c>
      <c r="AH503" s="236" t="str">
        <f>IF('WetLitterbags placem_collection'!AA64="","",'WetLitterbags placem_collection'!AA64)</f>
        <v>O</v>
      </c>
      <c r="AI503">
        <f>IF('WetLitterbags placem_collection'!AC64="","",'WetLitterbags placem_collection'!AC64)</f>
        <v>0</v>
      </c>
      <c r="AJ503" s="233">
        <f>AVERAGE('WetLitterbags placem_collection'!S64,'WetLitterbags placem_collection'!U64)</f>
        <v>24.7</v>
      </c>
      <c r="AK503">
        <f>AVERAGE('WetLitterbags placem_collection'!R64,'WetLitterbags placem_collection'!T64)</f>
        <v>26.799999999999997</v>
      </c>
      <c r="AL503">
        <f>INDEX([2]Coordinates!$B$2:$B$197,MATCH(I503,[2]Coordinates!$J$2:$J$197,0))</f>
        <v>-3.4065180179999999</v>
      </c>
      <c r="AM503">
        <f>INDEX([2]Coordinates!$C$2:$C$197,MATCH(I503,[2]Coordinates!$J$2:$J$197,0))</f>
        <v>34.85121402</v>
      </c>
      <c r="AN503" t="str">
        <f>IF(ISNUMBER(SEARCH("C", 'WetLitterbags placem_collection'!$X64)),"YES","NO")</f>
        <v>NO</v>
      </c>
      <c r="AO503" t="str">
        <f>IF(ISNUMBER(SEARCH("H", 'WetLitterbags placem_collection'!$X64)),"YES","NO")</f>
        <v>NO</v>
      </c>
      <c r="AP503" t="str">
        <f>IF(ISNUMBER(SEARCH("R", 'WetLitterbags placem_collection'!$X64)),"YES","NO")</f>
        <v>NO</v>
      </c>
    </row>
    <row r="504" spans="1:42" ht="15" customHeight="1">
      <c r="A504" t="s">
        <v>3248</v>
      </c>
      <c r="B504" s="248" t="s">
        <v>2454</v>
      </c>
      <c r="C504" s="253">
        <f>'Dry_Litterbag Placem_Collection'!A65</f>
        <v>63</v>
      </c>
      <c r="D504" s="253" t="str">
        <f>'Dry_Litterbag Placem_Collection'!B65</f>
        <v>Makao</v>
      </c>
      <c r="E504" s="253" t="s">
        <v>2643</v>
      </c>
      <c r="F504" s="253" t="s">
        <v>20</v>
      </c>
      <c r="G504" s="253">
        <v>4</v>
      </c>
      <c r="H504" s="253" t="s">
        <v>3110</v>
      </c>
      <c r="I504" s="254" t="str">
        <f>'Dry_Litterbag Placem_Collection'!C65</f>
        <v>Dry_P4_T7</v>
      </c>
      <c r="J504" s="263" t="s">
        <v>2932</v>
      </c>
      <c r="K504" s="256" t="s">
        <v>1147</v>
      </c>
      <c r="L504" s="221" t="str">
        <f>'WetLitterbags placem_collection'!O65</f>
        <v>G440</v>
      </c>
      <c r="M504" s="223">
        <f>IFERROR(INDEX('Green_rooibos initial weight'!$C$5:$C$2000,MATCH(L504, 'Green_rooibos initial weight'!$A$5:$A$2000,0)),"")</f>
        <v>2.1070000000000002</v>
      </c>
      <c r="N504" s="223">
        <f>IFERROR(M504-(TBIcalc!$H$9+TBIcalc!$H$10),"")</f>
        <v>1.8572000000000002</v>
      </c>
      <c r="O504" s="378">
        <f>AVERAGE(Ashed_controlls!$K$2:$K$11)</f>
        <v>5.5147656768714146</v>
      </c>
      <c r="P504" s="223">
        <f t="shared" si="36"/>
        <v>1.7547797718491442</v>
      </c>
      <c r="Q504" s="223">
        <f>IFERROR(INDEX('Both teabags AfterWet'!$C$3:$C$840,MATCH(L504,'Both teabags AfterWet'!$A$3:$A$840,0)),"")</f>
        <v>0.94199999999999995</v>
      </c>
      <c r="R504" s="223">
        <f>IFERROR(IF(Q504&gt;0,Q504-(TBIcalc!$H$9),""),"")</f>
        <v>0.79139999999999988</v>
      </c>
      <c r="S504" s="223">
        <f>IFERROR(INDEX('Ashed teabags wet'!$K$2:$K$2000,MATCH(L504,'Ashed teabags wet'!$A$2:$A$2000,0)),"")</f>
        <v>14.278728606356959</v>
      </c>
      <c r="T504" s="223">
        <f t="shared" si="37"/>
        <v>0.67839814180929092</v>
      </c>
      <c r="U504" s="224">
        <f>'WetLitterbags placem_collection'!E65</f>
        <v>42766</v>
      </c>
      <c r="V504" s="224">
        <f>IF('WetLitterbags placem_collection'!G65="","",'WetLitterbags placem_collection'!G65)</f>
        <v>42820</v>
      </c>
      <c r="W504" s="225">
        <f t="shared" si="35"/>
        <v>54</v>
      </c>
      <c r="X504" s="223">
        <f t="shared" si="38"/>
        <v>1.0658000000000003</v>
      </c>
      <c r="Y504" s="223">
        <f t="shared" si="39"/>
        <v>1.0763816300398532</v>
      </c>
      <c r="Z504">
        <f>IFERROR(INDEX([1]Rainfall_Wet!$O$2:$O$217,MATCH(C504, [1]Rainfall_Wet!$A$2:$A$217,0)),"")</f>
        <v>214.262898705</v>
      </c>
      <c r="AA504" s="226">
        <v>25.96</v>
      </c>
      <c r="AB504" s="226">
        <v>6.9200000000000008</v>
      </c>
      <c r="AC504" s="226">
        <v>67.12</v>
      </c>
      <c r="AD504" s="227" t="s">
        <v>2651</v>
      </c>
      <c r="AE504" s="226">
        <v>1.7568260226712666</v>
      </c>
      <c r="AF504">
        <f>IF('WetLitterbags placem_collection'!AB65="","",'WetLitterbags placem_collection'!AB65)</f>
        <v>4.9000000000000004</v>
      </c>
      <c r="AG504">
        <f>IF('WetLitterbags placem_collection'!Z65="","",'WetLitterbags placem_collection'!Z65)</f>
        <v>45</v>
      </c>
      <c r="AH504" s="236" t="str">
        <f>IF('WetLitterbags placem_collection'!AA65="","",'WetLitterbags placem_collection'!AA65)</f>
        <v>O</v>
      </c>
      <c r="AI504">
        <f>IF('WetLitterbags placem_collection'!AC65="","",'WetLitterbags placem_collection'!AC65)</f>
        <v>0</v>
      </c>
      <c r="AJ504" s="233">
        <f>AVERAGE('WetLitterbags placem_collection'!S65,'WetLitterbags placem_collection'!U65)</f>
        <v>22.9</v>
      </c>
      <c r="AK504">
        <f>AVERAGE('WetLitterbags placem_collection'!R65,'WetLitterbags placem_collection'!T65)</f>
        <v>28.25</v>
      </c>
      <c r="AL504">
        <f>INDEX([2]Coordinates!$B$2:$B$197,MATCH(I504,[2]Coordinates!$J$2:$J$197,0))</f>
        <v>-3.406334035</v>
      </c>
      <c r="AM504">
        <f>INDEX([2]Coordinates!$C$2:$C$197,MATCH(I504,[2]Coordinates!$J$2:$J$197,0))</f>
        <v>34.851172030000001</v>
      </c>
      <c r="AN504" t="str">
        <f>IF(ISNUMBER(SEARCH("C", 'WetLitterbags placem_collection'!$X65)),"YES","NO")</f>
        <v>NO</v>
      </c>
      <c r="AO504" t="str">
        <f>IF(ISNUMBER(SEARCH("H", 'WetLitterbags placem_collection'!$X65)),"YES","NO")</f>
        <v>NO</v>
      </c>
      <c r="AP504" t="str">
        <f>IF(ISNUMBER(SEARCH("R", 'WetLitterbags placem_collection'!$X65)),"YES","NO")</f>
        <v>YES</v>
      </c>
    </row>
    <row r="505" spans="1:42" ht="15" customHeight="1">
      <c r="A505" t="s">
        <v>3248</v>
      </c>
      <c r="B505" s="248" t="s">
        <v>2454</v>
      </c>
      <c r="C505" s="253">
        <f>'Dry_Litterbag Placem_Collection'!A66</f>
        <v>64</v>
      </c>
      <c r="D505" s="253" t="str">
        <f>'Dry_Litterbag Placem_Collection'!B66</f>
        <v>Makao</v>
      </c>
      <c r="E505" s="253" t="s">
        <v>2643</v>
      </c>
      <c r="F505" s="253" t="s">
        <v>20</v>
      </c>
      <c r="G505" s="253">
        <v>4</v>
      </c>
      <c r="H505" s="253" t="s">
        <v>3110</v>
      </c>
      <c r="I505" s="254" t="str">
        <f>'Dry_Litterbag Placem_Collection'!C66</f>
        <v>Dry_P4_T8</v>
      </c>
      <c r="J505" s="263" t="s">
        <v>2932</v>
      </c>
      <c r="K505" s="256" t="s">
        <v>1147</v>
      </c>
      <c r="L505" s="221" t="str">
        <f>'WetLitterbags placem_collection'!O66</f>
        <v>G673</v>
      </c>
      <c r="M505" s="223">
        <f>IFERROR(INDEX('Green_rooibos initial weight'!$C$5:$C$2000,MATCH(L505, 'Green_rooibos initial weight'!$A$5:$A$2000,0)),"")</f>
        <v>2.1160000000000001</v>
      </c>
      <c r="N505" s="223">
        <f>IFERROR(M505-(TBIcalc!$H$9+TBIcalc!$H$10),"")</f>
        <v>1.8662000000000001</v>
      </c>
      <c r="O505" s="378">
        <f>AVERAGE(Ashed_controlls!$K$2:$K$11)</f>
        <v>5.5147656768714146</v>
      </c>
      <c r="P505" s="223">
        <f t="shared" si="36"/>
        <v>1.7632834429382258</v>
      </c>
      <c r="Q505" s="223">
        <f>IFERROR(INDEX('Both teabags AfterWet'!$C$3:$C$840,MATCH(L505,'Both teabags AfterWet'!$A$3:$A$840,0)),"")</f>
        <v>1.0449999999999999</v>
      </c>
      <c r="R505" s="223">
        <f>IFERROR(IF(Q505&gt;0,Q505-(TBIcalc!$H$9),""),"")</f>
        <v>0.89439999999999986</v>
      </c>
      <c r="S505" s="223">
        <f>IFERROR(INDEX('Ashed teabags wet'!$K$2:$K$2000,MATCH(L505,'Ashed teabags wet'!$A$2:$A$2000,0)),"")</f>
        <v>23.760932944607156</v>
      </c>
      <c r="T505" s="223">
        <f t="shared" si="37"/>
        <v>0.68188221574343344</v>
      </c>
      <c r="U505" s="224">
        <f>'WetLitterbags placem_collection'!E66</f>
        <v>42766</v>
      </c>
      <c r="V505" s="224">
        <f>IF('WetLitterbags placem_collection'!G66="","",'WetLitterbags placem_collection'!G66)</f>
        <v>42820</v>
      </c>
      <c r="W505" s="225">
        <f t="shared" si="35"/>
        <v>54</v>
      </c>
      <c r="X505" s="223">
        <f t="shared" si="38"/>
        <v>0.97180000000000022</v>
      </c>
      <c r="Y505" s="223">
        <f t="shared" si="39"/>
        <v>1.0814012271947924</v>
      </c>
      <c r="Z505">
        <f>IFERROR(INDEX([1]Rainfall_Wet!$O$2:$O$217,MATCH(C505, [1]Rainfall_Wet!$A$2:$A$217,0)),"")</f>
        <v>214.262898705</v>
      </c>
      <c r="AA505" s="226">
        <v>25.96</v>
      </c>
      <c r="AB505" s="226">
        <v>6.9200000000000008</v>
      </c>
      <c r="AC505" s="226">
        <v>67.12</v>
      </c>
      <c r="AD505" s="227" t="s">
        <v>2651</v>
      </c>
      <c r="AE505" s="226">
        <v>1.7568260226712666</v>
      </c>
      <c r="AF505">
        <f>IF('WetLitterbags placem_collection'!AB66="","",'WetLitterbags placem_collection'!AB66)</f>
        <v>3</v>
      </c>
      <c r="AG505">
        <f>IF('WetLitterbags placem_collection'!Z66="","",'WetLitterbags placem_collection'!Z66)</f>
        <v>22.8</v>
      </c>
      <c r="AH505" s="236" t="str">
        <f>IF('WetLitterbags placem_collection'!AA66="","",'WetLitterbags placem_collection'!AA66)</f>
        <v>O</v>
      </c>
      <c r="AI505">
        <f>IF('WetLitterbags placem_collection'!AC66="","",'WetLitterbags placem_collection'!AC66)</f>
        <v>1</v>
      </c>
      <c r="AJ505" s="233">
        <f>AVERAGE('WetLitterbags placem_collection'!S66,'WetLitterbags placem_collection'!U66)</f>
        <v>34.6</v>
      </c>
      <c r="AK505">
        <f>AVERAGE('WetLitterbags placem_collection'!R66,'WetLitterbags placem_collection'!T66)</f>
        <v>22.7</v>
      </c>
      <c r="AL505">
        <f>INDEX([2]Coordinates!$B$2:$B$197,MATCH(I505,[2]Coordinates!$J$2:$J$197,0))</f>
        <v>-3.4063409920000001</v>
      </c>
      <c r="AM505">
        <f>INDEX([2]Coordinates!$C$2:$C$197,MATCH(I505,[2]Coordinates!$J$2:$J$197,0))</f>
        <v>34.85126004</v>
      </c>
      <c r="AN505" t="str">
        <f>IF(ISNUMBER(SEARCH("C", 'WetLitterbags placem_collection'!$X66)),"YES","NO")</f>
        <v>NO</v>
      </c>
      <c r="AO505" t="str">
        <f>IF(ISNUMBER(SEARCH("H", 'WetLitterbags placem_collection'!$X66)),"YES","NO")</f>
        <v>NO</v>
      </c>
      <c r="AP505" t="str">
        <f>IF(ISNUMBER(SEARCH("R", 'WetLitterbags placem_collection'!$X66)),"YES","NO")</f>
        <v>NO</v>
      </c>
    </row>
    <row r="506" spans="1:42" ht="15" customHeight="1">
      <c r="A506" t="s">
        <v>3248</v>
      </c>
      <c r="B506" s="248" t="s">
        <v>2454</v>
      </c>
      <c r="C506" s="253">
        <f>'Dry_Litterbag Placem_Collection'!A67</f>
        <v>65</v>
      </c>
      <c r="D506" s="253" t="str">
        <f>'Dry_Litterbag Placem_Collection'!B67</f>
        <v>Maswa</v>
      </c>
      <c r="E506" s="253" t="s">
        <v>2643</v>
      </c>
      <c r="F506" s="253" t="s">
        <v>2645</v>
      </c>
      <c r="G506" s="253">
        <v>1</v>
      </c>
      <c r="H506" s="253" t="s">
        <v>3111</v>
      </c>
      <c r="I506" s="254" t="str">
        <f>'Dry_Litterbag Placem_Collection'!C67</f>
        <v>Dry_W1_T1</v>
      </c>
      <c r="J506" s="263" t="s">
        <v>2932</v>
      </c>
      <c r="K506" s="256" t="s">
        <v>1147</v>
      </c>
      <c r="L506" s="221" t="str">
        <f>'WetLitterbags placem_collection'!O67</f>
        <v>G700</v>
      </c>
      <c r="M506" s="223">
        <f>IFERROR(INDEX('Green_rooibos initial weight'!$C$5:$C$2000,MATCH(L506, 'Green_rooibos initial weight'!$A$5:$A$2000,0)),"")</f>
        <v>2.0190000000000001</v>
      </c>
      <c r="N506" s="223">
        <f>IFERROR(M506-(TBIcalc!$H$9+TBIcalc!$H$10),"")</f>
        <v>1.7692000000000001</v>
      </c>
      <c r="O506" s="378">
        <f>AVERAGE(Ashed_controlls!$K$2:$K$11)</f>
        <v>5.5147656768714146</v>
      </c>
      <c r="P506" s="223">
        <f t="shared" si="36"/>
        <v>1.6716327656447911</v>
      </c>
      <c r="Q506" s="223">
        <f>IFERROR(INDEX('Both teabags AfterWet'!$C$3:$C$840,MATCH(L506,'Both teabags AfterWet'!$A$3:$A$840,0)),"")</f>
        <v>0.82299999999999995</v>
      </c>
      <c r="R506" s="223">
        <f>IFERROR(IF(Q506&gt;0,Q506-(TBIcalc!$H$9),""),"")</f>
        <v>0.67239999999999989</v>
      </c>
      <c r="S506" s="223">
        <f>IFERROR(INDEX('Ashed teabags wet'!$K$2:$K$2000,MATCH(L506,'Ashed teabags wet'!$A$2:$A$2000,0)),"")</f>
        <v>15.626560159760119</v>
      </c>
      <c r="T506" s="223">
        <f t="shared" si="37"/>
        <v>0.56732700948577286</v>
      </c>
      <c r="U506" s="224">
        <f>'WetLitterbags placem_collection'!E67</f>
        <v>42767</v>
      </c>
      <c r="V506" s="224">
        <f>IF('WetLitterbags placem_collection'!G67="","",'WetLitterbags placem_collection'!G67)</f>
        <v>42818</v>
      </c>
      <c r="W506" s="225">
        <f t="shared" si="35"/>
        <v>51</v>
      </c>
      <c r="X506" s="223">
        <f t="shared" si="38"/>
        <v>1.0968000000000002</v>
      </c>
      <c r="Y506" s="223">
        <f t="shared" si="39"/>
        <v>1.1043057561590182</v>
      </c>
      <c r="Z506">
        <f>IFERROR(INDEX([1]Rainfall_Wet!$O$2:$O$217,MATCH(C506, [1]Rainfall_Wet!$A$2:$A$217,0)),"")</f>
        <v>185.630065823</v>
      </c>
      <c r="AA506" s="226">
        <v>47.96</v>
      </c>
      <c r="AB506" s="226">
        <v>22.919999999999995</v>
      </c>
      <c r="AC506" s="226">
        <v>29.120000000000012</v>
      </c>
      <c r="AD506" s="227" t="s">
        <v>2654</v>
      </c>
      <c r="AE506" s="226">
        <v>2.8831936914736325</v>
      </c>
      <c r="AF506">
        <f>IF('WetLitterbags placem_collection'!AB67="","",'WetLitterbags placem_collection'!AB67)</f>
        <v>13.8</v>
      </c>
      <c r="AG506">
        <f>IF('WetLitterbags placem_collection'!Z67="","",'WetLitterbags placem_collection'!Z67)</f>
        <v>13.8</v>
      </c>
      <c r="AH506" s="236" t="str">
        <f>IF('WetLitterbags placem_collection'!AA67="","",'WetLitterbags placem_collection'!AA67)</f>
        <v>O</v>
      </c>
      <c r="AI506">
        <f>IF('WetLitterbags placem_collection'!AC67="","",'WetLitterbags placem_collection'!AC67)</f>
        <v>1</v>
      </c>
      <c r="AJ506" s="233">
        <f>AVERAGE('WetLitterbags placem_collection'!S67,'WetLitterbags placem_collection'!U67)</f>
        <v>32.299999999999997</v>
      </c>
      <c r="AK506">
        <f>AVERAGE('WetLitterbags placem_collection'!R67,'WetLitterbags placem_collection'!T67)</f>
        <v>22.75</v>
      </c>
      <c r="AL506">
        <f>INDEX([2]Coordinates!$B$2:$B$197,MATCH(I506,[2]Coordinates!$J$2:$J$197,0))</f>
        <v>-3.2993960379999998</v>
      </c>
      <c r="AM506">
        <f>INDEX([2]Coordinates!$C$2:$C$197,MATCH(I506,[2]Coordinates!$J$2:$J$197,0))</f>
        <v>34.848240959999998</v>
      </c>
      <c r="AN506" t="str">
        <f>IF(ISNUMBER(SEARCH("C", 'WetLitterbags placem_collection'!$X67)),"YES","NO")</f>
        <v>NO</v>
      </c>
      <c r="AO506" t="str">
        <f>IF(ISNUMBER(SEARCH("H", 'WetLitterbags placem_collection'!$X67)),"YES","NO")</f>
        <v>NO</v>
      </c>
      <c r="AP506" t="str">
        <f>IF(ISNUMBER(SEARCH("R", 'WetLitterbags placem_collection'!$X67)),"YES","NO")</f>
        <v>YES</v>
      </c>
    </row>
    <row r="507" spans="1:42" ht="15" customHeight="1">
      <c r="A507" t="s">
        <v>3248</v>
      </c>
      <c r="B507" s="248" t="s">
        <v>2454</v>
      </c>
      <c r="C507" s="253">
        <f>'Dry_Litterbag Placem_Collection'!A68</f>
        <v>66</v>
      </c>
      <c r="D507" s="253" t="str">
        <f>'Dry_Litterbag Placem_Collection'!B68</f>
        <v>Maswa</v>
      </c>
      <c r="E507" s="253" t="s">
        <v>2643</v>
      </c>
      <c r="F507" s="253" t="s">
        <v>2645</v>
      </c>
      <c r="G507" s="253">
        <v>1</v>
      </c>
      <c r="H507" s="253" t="s">
        <v>3111</v>
      </c>
      <c r="I507" s="254" t="str">
        <f>'Dry_Litterbag Placem_Collection'!C68</f>
        <v>Dry_W1_T2</v>
      </c>
      <c r="J507" s="263" t="s">
        <v>2932</v>
      </c>
      <c r="K507" s="256" t="s">
        <v>1147</v>
      </c>
      <c r="L507" s="221" t="str">
        <f>'WetLitterbags placem_collection'!O68</f>
        <v>G760</v>
      </c>
      <c r="M507" s="223">
        <f>IFERROR(INDEX('Green_rooibos initial weight'!$C$5:$C$2000,MATCH(L507, 'Green_rooibos initial weight'!$A$5:$A$2000,0)),"")</f>
        <v>1.948</v>
      </c>
      <c r="N507" s="223">
        <f>IFERROR(M507-(TBIcalc!$H$9+TBIcalc!$H$10),"")</f>
        <v>1.6981999999999999</v>
      </c>
      <c r="O507" s="378">
        <f>AVERAGE(Ashed_controlls!$K$2:$K$11)</f>
        <v>5.5147656768714146</v>
      </c>
      <c r="P507" s="223">
        <f t="shared" si="36"/>
        <v>1.6045482492753695</v>
      </c>
      <c r="Q507" s="223">
        <f>IFERROR(INDEX('Both teabags AfterWet'!$C$3:$C$840,MATCH(L507,'Both teabags AfterWet'!$A$3:$A$840,0)),"")</f>
        <v>0.93500000000000005</v>
      </c>
      <c r="R507" s="223">
        <f>IFERROR(IF(Q507&gt;0,Q507-(TBIcalc!$H$9),""),"")</f>
        <v>0.78439999999999999</v>
      </c>
      <c r="S507" s="223">
        <f>IFERROR(INDEX('Ashed teabags wet'!$K$2:$K$2000,MATCH(L507,'Ashed teabags wet'!$A$2:$A$2000,0)),"")</f>
        <v>12.432959531935326</v>
      </c>
      <c r="T507" s="223">
        <f t="shared" si="37"/>
        <v>0.68687586543149926</v>
      </c>
      <c r="U507" s="224">
        <f>'WetLitterbags placem_collection'!E68</f>
        <v>42767</v>
      </c>
      <c r="V507" s="224">
        <f>IF('WetLitterbags placem_collection'!G68="","",'WetLitterbags placem_collection'!G68)</f>
        <v>42818</v>
      </c>
      <c r="W507" s="225">
        <f t="shared" si="35"/>
        <v>51</v>
      </c>
      <c r="X507" s="223">
        <f t="shared" si="38"/>
        <v>0.91379999999999995</v>
      </c>
      <c r="Y507" s="223">
        <f t="shared" si="39"/>
        <v>0.91767238384387029</v>
      </c>
      <c r="Z507">
        <f>IFERROR(INDEX([1]Rainfall_Wet!$O$2:$O$217,MATCH(C507, [1]Rainfall_Wet!$A$2:$A$217,0)),"")</f>
        <v>185.630065823</v>
      </c>
      <c r="AA507" s="226">
        <v>47.96</v>
      </c>
      <c r="AB507" s="226">
        <v>22.919999999999995</v>
      </c>
      <c r="AC507" s="226">
        <v>29.120000000000012</v>
      </c>
      <c r="AD507" s="227" t="s">
        <v>2654</v>
      </c>
      <c r="AE507" s="226">
        <v>3.8831936914736298</v>
      </c>
      <c r="AF507">
        <f>IF('WetLitterbags placem_collection'!AB68="","",'WetLitterbags placem_collection'!AB68)</f>
        <v>8</v>
      </c>
      <c r="AG507">
        <f>IF('WetLitterbags placem_collection'!Z68="","",'WetLitterbags placem_collection'!Z68)</f>
        <v>19.8</v>
      </c>
      <c r="AH507" s="236" t="str">
        <f>IF('WetLitterbags placem_collection'!AA68="","",'WetLitterbags placem_collection'!AA68)</f>
        <v>O</v>
      </c>
      <c r="AI507">
        <f>IF('WetLitterbags placem_collection'!AC68="","",'WetLitterbags placem_collection'!AC68)</f>
        <v>1</v>
      </c>
      <c r="AJ507" s="233">
        <f>AVERAGE('WetLitterbags placem_collection'!S68,'WetLitterbags placem_collection'!U68)</f>
        <v>30.6</v>
      </c>
      <c r="AK507">
        <f>AVERAGE('WetLitterbags placem_collection'!R68,'WetLitterbags placem_collection'!T68)</f>
        <v>21.95</v>
      </c>
      <c r="AL507">
        <f>INDEX([2]Coordinates!$B$2:$B$197,MATCH(I507,[2]Coordinates!$J$2:$J$197,0))</f>
        <v>-3.2993090340000002</v>
      </c>
      <c r="AM507">
        <f>INDEX([2]Coordinates!$C$2:$C$197,MATCH(I507,[2]Coordinates!$J$2:$J$197,0))</f>
        <v>34.848404989999999</v>
      </c>
      <c r="AN507" t="str">
        <f>IF(ISNUMBER(SEARCH("C", 'WetLitterbags placem_collection'!$X68)),"YES","NO")</f>
        <v>NO</v>
      </c>
      <c r="AO507" t="str">
        <f>IF(ISNUMBER(SEARCH("H", 'WetLitterbags placem_collection'!$X68)),"YES","NO")</f>
        <v>NO</v>
      </c>
      <c r="AP507" t="str">
        <f>IF(ISNUMBER(SEARCH("R", 'WetLitterbags placem_collection'!$X68)),"YES","NO")</f>
        <v>YES</v>
      </c>
    </row>
    <row r="508" spans="1:42" ht="15" customHeight="1">
      <c r="A508" t="s">
        <v>3248</v>
      </c>
      <c r="B508" s="248" t="s">
        <v>2454</v>
      </c>
      <c r="C508" s="253">
        <f>'Dry_Litterbag Placem_Collection'!A69</f>
        <v>67</v>
      </c>
      <c r="D508" s="253" t="str">
        <f>'Dry_Litterbag Placem_Collection'!B69</f>
        <v>Maswa</v>
      </c>
      <c r="E508" s="253" t="s">
        <v>2643</v>
      </c>
      <c r="F508" s="253" t="s">
        <v>2645</v>
      </c>
      <c r="G508" s="253">
        <v>1</v>
      </c>
      <c r="H508" s="253" t="s">
        <v>3111</v>
      </c>
      <c r="I508" s="254" t="str">
        <f>'Dry_Litterbag Placem_Collection'!C69</f>
        <v>Dry_W1_T3</v>
      </c>
      <c r="J508" s="263" t="s">
        <v>2932</v>
      </c>
      <c r="K508" s="256" t="s">
        <v>1147</v>
      </c>
      <c r="L508" s="221" t="str">
        <f>'WetLitterbags placem_collection'!O69</f>
        <v>G660</v>
      </c>
      <c r="M508" s="223">
        <f>IFERROR(INDEX('Green_rooibos initial weight'!$C$5:$C$2000,MATCH(L508, 'Green_rooibos initial weight'!$A$5:$A$2000,0)),"")</f>
        <v>2.0339999999999998</v>
      </c>
      <c r="N508" s="223">
        <f>IFERROR(M508-(TBIcalc!$H$9+TBIcalc!$H$10),"")</f>
        <v>1.7841999999999998</v>
      </c>
      <c r="O508" s="378">
        <f>AVERAGE(Ashed_controlls!$K$2:$K$11)</f>
        <v>5.5147656768714146</v>
      </c>
      <c r="P508" s="223">
        <f t="shared" si="36"/>
        <v>1.6858055507932601</v>
      </c>
      <c r="Q508" s="223">
        <f>IFERROR(INDEX('Both teabags AfterWet'!$C$3:$C$840,MATCH(L508,'Both teabags AfterWet'!$A$3:$A$840,0)),"")</f>
        <v>0.92510000000000003</v>
      </c>
      <c r="R508" s="223">
        <f>IFERROR(IF(Q508&gt;0,Q508-(TBIcalc!$H$9),""),"")</f>
        <v>0.77449999999999997</v>
      </c>
      <c r="S508" s="223">
        <f>IFERROR(INDEX('Ashed teabags wet'!$K$2:$K$2000,MATCH(L508,'Ashed teabags wet'!$A$2:$A$2000,0)),"")</f>
        <v>10.402684563757722</v>
      </c>
      <c r="T508" s="223">
        <f t="shared" si="37"/>
        <v>0.69393120805369646</v>
      </c>
      <c r="U508" s="224">
        <f>'WetLitterbags placem_collection'!E69</f>
        <v>42767</v>
      </c>
      <c r="V508" s="224">
        <f>IF('WetLitterbags placem_collection'!G69="","",'WetLitterbags placem_collection'!G69)</f>
        <v>42818</v>
      </c>
      <c r="W508" s="225">
        <f t="shared" si="35"/>
        <v>51</v>
      </c>
      <c r="X508" s="223">
        <f t="shared" si="38"/>
        <v>1.0096999999999998</v>
      </c>
      <c r="Y508" s="223">
        <f t="shared" si="39"/>
        <v>0.99187434273956365</v>
      </c>
      <c r="Z508">
        <f>IFERROR(INDEX([1]Rainfall_Wet!$O$2:$O$217,MATCH(C508, [1]Rainfall_Wet!$A$2:$A$217,0)),"")</f>
        <v>185.630065823</v>
      </c>
      <c r="AA508" s="226">
        <v>47.96</v>
      </c>
      <c r="AB508" s="226">
        <v>22.919999999999995</v>
      </c>
      <c r="AC508" s="226">
        <v>29.120000000000012</v>
      </c>
      <c r="AD508" s="227" t="s">
        <v>2654</v>
      </c>
      <c r="AE508" s="226">
        <v>4.8831936914736298</v>
      </c>
      <c r="AF508">
        <f>IF('WetLitterbags placem_collection'!AB69="","",'WetLitterbags placem_collection'!AB69)</f>
        <v>5.5</v>
      </c>
      <c r="AG508">
        <f>IF('WetLitterbags placem_collection'!Z69="","",'WetLitterbags placem_collection'!Z69)</f>
        <v>5.5</v>
      </c>
      <c r="AH508" s="236" t="str">
        <f>IF('WetLitterbags placem_collection'!AA69="","",'WetLitterbags placem_collection'!AA69)</f>
        <v>O</v>
      </c>
      <c r="AI508">
        <f>IF('WetLitterbags placem_collection'!AC69="","",'WetLitterbags placem_collection'!AC69)</f>
        <v>1</v>
      </c>
      <c r="AJ508" s="233">
        <f>AVERAGE('WetLitterbags placem_collection'!S69,'WetLitterbags placem_collection'!U69)</f>
        <v>29.9</v>
      </c>
      <c r="AK508">
        <f>AVERAGE('WetLitterbags placem_collection'!R69,'WetLitterbags placem_collection'!T69)</f>
        <v>20.7</v>
      </c>
      <c r="AL508">
        <f>INDEX([2]Coordinates!$B$2:$B$197,MATCH(I508,[2]Coordinates!$J$2:$J$197,0))</f>
        <v>-3.299434008</v>
      </c>
      <c r="AM508">
        <f>INDEX([2]Coordinates!$C$2:$C$197,MATCH(I508,[2]Coordinates!$J$2:$J$197,0))</f>
        <v>34.848514960000003</v>
      </c>
      <c r="AN508" t="str">
        <f>IF(ISNUMBER(SEARCH("C", 'WetLitterbags placem_collection'!$X69)),"YES","NO")</f>
        <v>NO</v>
      </c>
      <c r="AO508" t="str">
        <f>IF(ISNUMBER(SEARCH("H", 'WetLitterbags placem_collection'!$X69)),"YES","NO")</f>
        <v>NO</v>
      </c>
      <c r="AP508" t="str">
        <f>IF(ISNUMBER(SEARCH("R", 'WetLitterbags placem_collection'!$X69)),"YES","NO")</f>
        <v>YES</v>
      </c>
    </row>
    <row r="509" spans="1:42" ht="15" customHeight="1">
      <c r="A509" t="s">
        <v>3248</v>
      </c>
      <c r="B509" s="248" t="s">
        <v>2454</v>
      </c>
      <c r="C509" s="253">
        <f>'Dry_Litterbag Placem_Collection'!A70</f>
        <v>68</v>
      </c>
      <c r="D509" s="253" t="str">
        <f>'Dry_Litterbag Placem_Collection'!B70</f>
        <v>Maswa</v>
      </c>
      <c r="E509" s="253" t="s">
        <v>2643</v>
      </c>
      <c r="F509" s="253" t="s">
        <v>2645</v>
      </c>
      <c r="G509" s="253">
        <v>1</v>
      </c>
      <c r="H509" s="253" t="s">
        <v>3111</v>
      </c>
      <c r="I509" s="254" t="str">
        <f>'Dry_Litterbag Placem_Collection'!C70</f>
        <v>Dry_W1_T4</v>
      </c>
      <c r="J509" s="263" t="s">
        <v>2932</v>
      </c>
      <c r="K509" s="256" t="s">
        <v>1147</v>
      </c>
      <c r="L509" s="221" t="str">
        <f>'WetLitterbags placem_collection'!O70</f>
        <v>G477</v>
      </c>
      <c r="M509" s="223">
        <f>IFERROR(INDEX('Green_rooibos initial weight'!$C$5:$C$2000,MATCH(L509, 'Green_rooibos initial weight'!$A$5:$A$2000,0)),"")</f>
        <v>2.073</v>
      </c>
      <c r="N509" s="223">
        <f>IFERROR(M509-(TBIcalc!$H$9+TBIcalc!$H$10),"")</f>
        <v>1.8231999999999999</v>
      </c>
      <c r="O509" s="378">
        <f>AVERAGE(Ashed_controlls!$K$2:$K$11)</f>
        <v>5.5147656768714146</v>
      </c>
      <c r="P509" s="223">
        <f t="shared" si="36"/>
        <v>1.7226547921792803</v>
      </c>
      <c r="Q509" s="223">
        <f>IFERROR(INDEX('Both teabags AfterWet'!$C$3:$C$840,MATCH(L509,'Both teabags AfterWet'!$A$3:$A$840,0)),"")</f>
        <v>0.90500000000000003</v>
      </c>
      <c r="R509" s="223">
        <f>IFERROR(IF(Q509&gt;0,Q509-(TBIcalc!$H$9),""),"")</f>
        <v>0.75439999999999996</v>
      </c>
      <c r="S509" s="223">
        <f>IFERROR(INDEX('Ashed teabags wet'!$K$2:$K$2000,MATCH(L509,'Ashed teabags wet'!$A$2:$A$2000,0)),"")</f>
        <v>16.691358024691656</v>
      </c>
      <c r="T509" s="223">
        <f t="shared" si="37"/>
        <v>0.62848039506172615</v>
      </c>
      <c r="U509" s="224">
        <f>'WetLitterbags placem_collection'!E70</f>
        <v>42767</v>
      </c>
      <c r="V509" s="224">
        <f>IF('WetLitterbags placem_collection'!G70="","",'WetLitterbags placem_collection'!G70)</f>
        <v>42818</v>
      </c>
      <c r="W509" s="225">
        <f t="shared" si="35"/>
        <v>51</v>
      </c>
      <c r="X509" s="223">
        <f t="shared" si="38"/>
        <v>1.0688</v>
      </c>
      <c r="Y509" s="223">
        <f t="shared" si="39"/>
        <v>1.0941743971175542</v>
      </c>
      <c r="Z509">
        <f>IFERROR(INDEX([1]Rainfall_Wet!$O$2:$O$217,MATCH(C509, [1]Rainfall_Wet!$A$2:$A$217,0)),"")</f>
        <v>185.630065823</v>
      </c>
      <c r="AA509" s="226">
        <v>47.96</v>
      </c>
      <c r="AB509" s="226">
        <v>22.919999999999995</v>
      </c>
      <c r="AC509" s="226">
        <v>29.120000000000012</v>
      </c>
      <c r="AD509" s="227" t="s">
        <v>2654</v>
      </c>
      <c r="AE509" s="226">
        <v>5.8831936914736298</v>
      </c>
      <c r="AF509">
        <f>IF('WetLitterbags placem_collection'!AB70="","",'WetLitterbags placem_collection'!AB70)</f>
        <v>9.6999999999999993</v>
      </c>
      <c r="AG509">
        <f>IF('WetLitterbags placem_collection'!Z70="","",'WetLitterbags placem_collection'!Z70)</f>
        <v>23.4</v>
      </c>
      <c r="AH509" s="236" t="str">
        <f>IF('WetLitterbags placem_collection'!AA70="","",'WetLitterbags placem_collection'!AA70)</f>
        <v>O</v>
      </c>
      <c r="AI509">
        <f>IF('WetLitterbags placem_collection'!AC70="","",'WetLitterbags placem_collection'!AC70)</f>
        <v>1</v>
      </c>
      <c r="AJ509" s="233">
        <f>AVERAGE('WetLitterbags placem_collection'!S70,'WetLitterbags placem_collection'!U70)</f>
        <v>29.85</v>
      </c>
      <c r="AK509">
        <f>AVERAGE('WetLitterbags placem_collection'!R70,'WetLitterbags placem_collection'!T70)</f>
        <v>21.2</v>
      </c>
      <c r="AL509">
        <f>INDEX([2]Coordinates!$B$2:$B$197,MATCH(I509,[2]Coordinates!$J$2:$J$197,0))</f>
        <v>-3.2991180099999999</v>
      </c>
      <c r="AM509">
        <f>INDEX([2]Coordinates!$C$2:$C$197,MATCH(I509,[2]Coordinates!$J$2:$J$197,0))</f>
        <v>34.84824699</v>
      </c>
      <c r="AN509" t="str">
        <f>IF(ISNUMBER(SEARCH("C", 'WetLitterbags placem_collection'!$X70)),"YES","NO")</f>
        <v>NO</v>
      </c>
      <c r="AO509" t="str">
        <f>IF(ISNUMBER(SEARCH("H", 'WetLitterbags placem_collection'!$X70)),"YES","NO")</f>
        <v>NO</v>
      </c>
      <c r="AP509" t="str">
        <f>IF(ISNUMBER(SEARCH("R", 'WetLitterbags placem_collection'!$X70)),"YES","NO")</f>
        <v>YES</v>
      </c>
    </row>
    <row r="510" spans="1:42" ht="15" customHeight="1">
      <c r="A510" t="s">
        <v>3248</v>
      </c>
      <c r="B510" s="248" t="s">
        <v>2454</v>
      </c>
      <c r="C510" s="253">
        <f>'Dry_Litterbag Placem_Collection'!A71</f>
        <v>69</v>
      </c>
      <c r="D510" s="253" t="str">
        <f>'Dry_Litterbag Placem_Collection'!B71</f>
        <v>Maswa</v>
      </c>
      <c r="E510" s="253" t="s">
        <v>2643</v>
      </c>
      <c r="F510" s="253" t="s">
        <v>2645</v>
      </c>
      <c r="G510" s="253">
        <v>1</v>
      </c>
      <c r="H510" s="253" t="s">
        <v>3111</v>
      </c>
      <c r="I510" s="254" t="str">
        <f>'Dry_Litterbag Placem_Collection'!C71</f>
        <v>Dry_W1_T5</v>
      </c>
      <c r="J510" s="263" t="s">
        <v>2932</v>
      </c>
      <c r="K510" s="256" t="s">
        <v>1147</v>
      </c>
      <c r="L510" s="221" t="str">
        <f>'WetLitterbags placem_collection'!O71</f>
        <v>G386</v>
      </c>
      <c r="M510" s="223">
        <f>IFERROR(INDEX('Green_rooibos initial weight'!$C$5:$C$2000,MATCH(L510, 'Green_rooibos initial weight'!$A$5:$A$2000,0)),"")</f>
        <v>1.897</v>
      </c>
      <c r="N510" s="223">
        <f>IFERROR(M510-(TBIcalc!$H$9+TBIcalc!$H$10),"")</f>
        <v>1.6472</v>
      </c>
      <c r="O510" s="378">
        <f>AVERAGE(Ashed_controlls!$K$2:$K$11)</f>
        <v>5.5147656768714146</v>
      </c>
      <c r="P510" s="223">
        <f t="shared" si="36"/>
        <v>1.5563607797705741</v>
      </c>
      <c r="Q510" s="223">
        <f>IFERROR(INDEX('Both teabags AfterWet'!$C$3:$C$840,MATCH(L510,'Both teabags AfterWet'!$A$3:$A$840,0)),"")</f>
        <v>0.98899999999999999</v>
      </c>
      <c r="R510" s="223">
        <f>IFERROR(IF(Q510&gt;0,Q510-(TBIcalc!$H$9),""),"")</f>
        <v>0.83840000000000003</v>
      </c>
      <c r="S510" s="223">
        <f>IFERROR(INDEX('Ashed teabags wet'!$K$2:$K$2000,MATCH(L510,'Ashed teabags wet'!$A$2:$A$2000,0)),"")</f>
        <v>28.64945382323781</v>
      </c>
      <c r="T510" s="223">
        <f t="shared" si="37"/>
        <v>0.5982029791459742</v>
      </c>
      <c r="U510" s="224">
        <f>'WetLitterbags placem_collection'!E71</f>
        <v>42767</v>
      </c>
      <c r="V510" s="224">
        <f>IF('WetLitterbags placem_collection'!G71="","",'WetLitterbags placem_collection'!G71)</f>
        <v>42818</v>
      </c>
      <c r="W510" s="225">
        <f t="shared" si="35"/>
        <v>51</v>
      </c>
      <c r="X510" s="223">
        <f t="shared" si="38"/>
        <v>0.80879999999999996</v>
      </c>
      <c r="Y510" s="223">
        <f t="shared" si="39"/>
        <v>0.95815780062459988</v>
      </c>
      <c r="Z510">
        <f>IFERROR(INDEX([1]Rainfall_Wet!$O$2:$O$217,MATCH(C510, [1]Rainfall_Wet!$A$2:$A$217,0)),"")</f>
        <v>185.630065823</v>
      </c>
      <c r="AA510" s="226">
        <v>47.96</v>
      </c>
      <c r="AB510" s="226">
        <v>22.919999999999995</v>
      </c>
      <c r="AC510" s="226">
        <v>29.120000000000012</v>
      </c>
      <c r="AD510" s="227" t="s">
        <v>2654</v>
      </c>
      <c r="AE510" s="226">
        <v>6.8831936914736298</v>
      </c>
      <c r="AF510">
        <f>IF('WetLitterbags placem_collection'!AB71="","",'WetLitterbags placem_collection'!AB71)</f>
        <v>14.4</v>
      </c>
      <c r="AG510">
        <f>IF('WetLitterbags placem_collection'!Z71="","",'WetLitterbags placem_collection'!Z71)</f>
        <v>24.4</v>
      </c>
      <c r="AH510" s="236" t="str">
        <f>IF('WetLitterbags placem_collection'!AA71="","",'WetLitterbags placem_collection'!AA71)</f>
        <v>O</v>
      </c>
      <c r="AI510">
        <f>IF('WetLitterbags placem_collection'!AC71="","",'WetLitterbags placem_collection'!AC71)</f>
        <v>1</v>
      </c>
      <c r="AJ510" s="233">
        <f>AVERAGE('WetLitterbags placem_collection'!S71,'WetLitterbags placem_collection'!U71)</f>
        <v>31.25</v>
      </c>
      <c r="AK510">
        <f>AVERAGE('WetLitterbags placem_collection'!R71,'WetLitterbags placem_collection'!T71)</f>
        <v>23.450000000000003</v>
      </c>
      <c r="AL510">
        <f>INDEX([2]Coordinates!$B$2:$B$197,MATCH(I510,[2]Coordinates!$J$2:$J$197,0))</f>
        <v>-3.2993180030000002</v>
      </c>
      <c r="AM510">
        <f>INDEX([2]Coordinates!$C$2:$C$197,MATCH(I510,[2]Coordinates!$J$2:$J$197,0))</f>
        <v>34.848235010000003</v>
      </c>
      <c r="AN510" t="str">
        <f>IF(ISNUMBER(SEARCH("C", 'WetLitterbags placem_collection'!$X71)),"YES","NO")</f>
        <v>NO</v>
      </c>
      <c r="AO510" t="str">
        <f>IF(ISNUMBER(SEARCH("H", 'WetLitterbags placem_collection'!$X71)),"YES","NO")</f>
        <v>NO</v>
      </c>
      <c r="AP510" t="str">
        <f>IF(ISNUMBER(SEARCH("R", 'WetLitterbags placem_collection'!$X71)),"YES","NO")</f>
        <v>YES</v>
      </c>
    </row>
    <row r="511" spans="1:42" ht="15" customHeight="1">
      <c r="A511" t="s">
        <v>3248</v>
      </c>
      <c r="B511" s="248" t="s">
        <v>2454</v>
      </c>
      <c r="C511" s="253">
        <f>'Dry_Litterbag Placem_Collection'!A72</f>
        <v>70</v>
      </c>
      <c r="D511" s="253" t="str">
        <f>'Dry_Litterbag Placem_Collection'!B72</f>
        <v>Maswa</v>
      </c>
      <c r="E511" s="253" t="s">
        <v>2643</v>
      </c>
      <c r="F511" s="253" t="s">
        <v>2645</v>
      </c>
      <c r="G511" s="253">
        <v>1</v>
      </c>
      <c r="H511" s="253" t="s">
        <v>3111</v>
      </c>
      <c r="I511" s="254" t="str">
        <f>'Dry_Litterbag Placem_Collection'!C72</f>
        <v>Dry_W1_T6</v>
      </c>
      <c r="J511" s="263" t="s">
        <v>2932</v>
      </c>
      <c r="K511" s="256" t="s">
        <v>1147</v>
      </c>
      <c r="L511" s="221" t="str">
        <f>'WetLitterbags placem_collection'!O72</f>
        <v>G414</v>
      </c>
      <c r="M511" s="223">
        <f>IFERROR(INDEX('Green_rooibos initial weight'!$C$5:$C$2000,MATCH(L511, 'Green_rooibos initial weight'!$A$5:$A$2000,0)),"")</f>
        <v>2.0590000000000002</v>
      </c>
      <c r="N511" s="223">
        <f>IFERROR(M511-(TBIcalc!$H$9+TBIcalc!$H$10),"")</f>
        <v>1.8092000000000001</v>
      </c>
      <c r="O511" s="378">
        <f>AVERAGE(Ashed_controlls!$K$2:$K$11)</f>
        <v>5.5147656768714146</v>
      </c>
      <c r="P511" s="223">
        <f t="shared" si="36"/>
        <v>1.7094268593740425</v>
      </c>
      <c r="Q511" s="223">
        <f>IFERROR(INDEX('Both teabags AfterWet'!$C$3:$C$840,MATCH(L511,'Both teabags AfterWet'!$A$3:$A$840,0)),"")</f>
        <v>0.84099999999999997</v>
      </c>
      <c r="R511" s="223">
        <f>IFERROR(IF(Q511&gt;0,Q511-(TBIcalc!$H$9),""),"")</f>
        <v>0.6903999999999999</v>
      </c>
      <c r="S511" s="223">
        <f>IFERROR(INDEX('Ashed teabags wet'!$K$2:$K$2000,MATCH(L511,'Ashed teabags wet'!$A$2:$A$2000,0)),"")</f>
        <v>8.7493821057836652</v>
      </c>
      <c r="T511" s="223">
        <f t="shared" si="37"/>
        <v>0.62999426594166952</v>
      </c>
      <c r="U511" s="224">
        <f>'WetLitterbags placem_collection'!E72</f>
        <v>42767</v>
      </c>
      <c r="V511" s="224">
        <f>IF('WetLitterbags placem_collection'!G72="","",'WetLitterbags placem_collection'!G72)</f>
        <v>42818</v>
      </c>
      <c r="W511" s="225">
        <f t="shared" si="35"/>
        <v>51</v>
      </c>
      <c r="X511" s="223">
        <f t="shared" si="38"/>
        <v>1.1188000000000002</v>
      </c>
      <c r="Y511" s="223">
        <f t="shared" si="39"/>
        <v>1.079432593432373</v>
      </c>
      <c r="Z511">
        <f>IFERROR(INDEX([1]Rainfall_Wet!$O$2:$O$217,MATCH(C511, [1]Rainfall_Wet!$A$2:$A$217,0)),"")</f>
        <v>185.630065823</v>
      </c>
      <c r="AA511" s="226">
        <v>47.96</v>
      </c>
      <c r="AB511" s="226">
        <v>22.919999999999995</v>
      </c>
      <c r="AC511" s="226">
        <v>29.120000000000012</v>
      </c>
      <c r="AD511" s="227" t="s">
        <v>2654</v>
      </c>
      <c r="AE511" s="226">
        <v>7.8831936914736298</v>
      </c>
      <c r="AF511">
        <f>IF('WetLitterbags placem_collection'!AB72="","",'WetLitterbags placem_collection'!AB72)</f>
        <v>15</v>
      </c>
      <c r="AG511">
        <f>IF('WetLitterbags placem_collection'!Z72="","",'WetLitterbags placem_collection'!Z72)</f>
        <v>28</v>
      </c>
      <c r="AH511" s="236" t="str">
        <f>IF('WetLitterbags placem_collection'!AA72="","",'WetLitterbags placem_collection'!AA72)</f>
        <v>O</v>
      </c>
      <c r="AI511">
        <f>IF('WetLitterbags placem_collection'!AC72="","",'WetLitterbags placem_collection'!AC72)</f>
        <v>0</v>
      </c>
      <c r="AJ511" s="233">
        <f>AVERAGE('WetLitterbags placem_collection'!S72,'WetLitterbags placem_collection'!U72)</f>
        <v>32.15</v>
      </c>
      <c r="AK511">
        <f>AVERAGE('WetLitterbags placem_collection'!R72,'WetLitterbags placem_collection'!T72)</f>
        <v>23.7</v>
      </c>
      <c r="AL511">
        <f>INDEX([2]Coordinates!$B$2:$B$197,MATCH(I511,[2]Coordinates!$J$2:$J$197,0))</f>
        <v>-3.299381034</v>
      </c>
      <c r="AM511">
        <f>INDEX([2]Coordinates!$C$2:$C$197,MATCH(I511,[2]Coordinates!$J$2:$J$197,0))</f>
        <v>34.848312040000003</v>
      </c>
      <c r="AN511" t="str">
        <f>IF(ISNUMBER(SEARCH("C", 'WetLitterbags placem_collection'!$X72)),"YES","NO")</f>
        <v>NO</v>
      </c>
      <c r="AO511" t="str">
        <f>IF(ISNUMBER(SEARCH("H", 'WetLitterbags placem_collection'!$X72)),"YES","NO")</f>
        <v>NO</v>
      </c>
      <c r="AP511" t="str">
        <f>IF(ISNUMBER(SEARCH("R", 'WetLitterbags placem_collection'!$X72)),"YES","NO")</f>
        <v>YES</v>
      </c>
    </row>
    <row r="512" spans="1:42" ht="15" customHeight="1">
      <c r="A512" t="s">
        <v>3248</v>
      </c>
      <c r="B512" s="248" t="s">
        <v>2454</v>
      </c>
      <c r="C512" s="253">
        <f>'Dry_Litterbag Placem_Collection'!A73</f>
        <v>71</v>
      </c>
      <c r="D512" s="253" t="str">
        <f>'Dry_Litterbag Placem_Collection'!B73</f>
        <v>Maswa</v>
      </c>
      <c r="E512" s="253" t="s">
        <v>2643</v>
      </c>
      <c r="F512" s="253" t="s">
        <v>2645</v>
      </c>
      <c r="G512" s="253">
        <v>1</v>
      </c>
      <c r="H512" s="253" t="s">
        <v>3111</v>
      </c>
      <c r="I512" s="254" t="str">
        <f>'Dry_Litterbag Placem_Collection'!C73</f>
        <v>Dry_W1_T7</v>
      </c>
      <c r="J512" s="263" t="s">
        <v>2932</v>
      </c>
      <c r="K512" s="256" t="s">
        <v>1147</v>
      </c>
      <c r="L512" s="221" t="str">
        <f>'WetLitterbags placem_collection'!O73</f>
        <v>G459</v>
      </c>
      <c r="M512" s="223">
        <f>IFERROR(INDEX('Green_rooibos initial weight'!$C$5:$C$2000,MATCH(L512, 'Green_rooibos initial weight'!$A$5:$A$2000,0)),"")</f>
        <v>2.0449999999999999</v>
      </c>
      <c r="N512" s="223">
        <f>IFERROR(M512-(TBIcalc!$H$9+TBIcalc!$H$10),"")</f>
        <v>1.7951999999999999</v>
      </c>
      <c r="O512" s="378">
        <f>AVERAGE(Ashed_controlls!$K$2:$K$11)</f>
        <v>5.5147656768714146</v>
      </c>
      <c r="P512" s="223">
        <f t="shared" si="36"/>
        <v>1.6961989265688042</v>
      </c>
      <c r="Q512" s="223">
        <f>IFERROR(INDEX('Both teabags AfterWet'!$C$3:$C$840,MATCH(L512,'Both teabags AfterWet'!$A$3:$A$840,0)),"")</f>
        <v>0.89149999999999996</v>
      </c>
      <c r="R512" s="223">
        <f>IFERROR(IF(Q512&gt;0,Q512-(TBIcalc!$H$9),""),"")</f>
        <v>0.74089999999999989</v>
      </c>
      <c r="S512" s="223">
        <f>IFERROR(INDEX('Ashed teabags wet'!$K$2:$K$2000,MATCH(L512,'Ashed teabags wet'!$A$2:$A$2000,0)),"")</f>
        <v>7.7519379844959557</v>
      </c>
      <c r="T512" s="223">
        <f t="shared" si="37"/>
        <v>0.6834658914728694</v>
      </c>
      <c r="U512" s="224">
        <f>'WetLitterbags placem_collection'!E73</f>
        <v>42767</v>
      </c>
      <c r="V512" s="224">
        <f>IF('WetLitterbags placem_collection'!G73="","",'WetLitterbags placem_collection'!G73)</f>
        <v>42818</v>
      </c>
      <c r="W512" s="225">
        <f t="shared" si="35"/>
        <v>51</v>
      </c>
      <c r="X512" s="223">
        <f t="shared" si="38"/>
        <v>1.0543</v>
      </c>
      <c r="Y512" s="223">
        <f t="shared" si="39"/>
        <v>1.0127330350959349</v>
      </c>
      <c r="Z512">
        <f>IFERROR(INDEX([1]Rainfall_Wet!$O$2:$O$217,MATCH(C512, [1]Rainfall_Wet!$A$2:$A$217,0)),"")</f>
        <v>185.630065823</v>
      </c>
      <c r="AA512" s="226">
        <v>47.96</v>
      </c>
      <c r="AB512" s="226">
        <v>22.919999999999995</v>
      </c>
      <c r="AC512" s="226">
        <v>29.120000000000012</v>
      </c>
      <c r="AD512" s="227" t="s">
        <v>2654</v>
      </c>
      <c r="AE512" s="226">
        <v>8.8831936914736307</v>
      </c>
      <c r="AF512">
        <f>IF('WetLitterbags placem_collection'!AB73="","",'WetLitterbags placem_collection'!AB73)</f>
        <v>15.5</v>
      </c>
      <c r="AG512">
        <f>IF('WetLitterbags placem_collection'!Z73="","",'WetLitterbags placem_collection'!Z73)</f>
        <v>32</v>
      </c>
      <c r="AH512" s="236" t="str">
        <f>IF('WetLitterbags placem_collection'!AA73="","",'WetLitterbags placem_collection'!AA73)</f>
        <v>O</v>
      </c>
      <c r="AI512">
        <f>IF('WetLitterbags placem_collection'!AC73="","",'WetLitterbags placem_collection'!AC73)</f>
        <v>1</v>
      </c>
      <c r="AJ512" s="233">
        <f>AVERAGE('WetLitterbags placem_collection'!S73,'WetLitterbags placem_collection'!U73)</f>
        <v>29.35</v>
      </c>
      <c r="AK512">
        <f>AVERAGE('WetLitterbags placem_collection'!R73,'WetLitterbags placem_collection'!T73)</f>
        <v>21.95</v>
      </c>
      <c r="AL512">
        <f>INDEX([2]Coordinates!$B$2:$B$197,MATCH(I512,[2]Coordinates!$J$2:$J$197,0))</f>
        <v>-3.2992429849999998</v>
      </c>
      <c r="AM512">
        <f>INDEX([2]Coordinates!$C$2:$C$197,MATCH(I512,[2]Coordinates!$J$2:$J$197,0))</f>
        <v>34.847900989999999</v>
      </c>
      <c r="AN512" t="str">
        <f>IF(ISNUMBER(SEARCH("C", 'WetLitterbags placem_collection'!$X73)),"YES","NO")</f>
        <v>NO</v>
      </c>
      <c r="AO512" t="str">
        <f>IF(ISNUMBER(SEARCH("H", 'WetLitterbags placem_collection'!$X73)),"YES","NO")</f>
        <v>NO</v>
      </c>
      <c r="AP512" t="str">
        <f>IF(ISNUMBER(SEARCH("R", 'WetLitterbags placem_collection'!$X73)),"YES","NO")</f>
        <v>YES</v>
      </c>
    </row>
    <row r="513" spans="1:42" ht="15" customHeight="1">
      <c r="A513" t="s">
        <v>3248</v>
      </c>
      <c r="B513" s="248" t="s">
        <v>2454</v>
      </c>
      <c r="C513" s="253">
        <f>'Dry_Litterbag Placem_Collection'!A74</f>
        <v>72</v>
      </c>
      <c r="D513" s="253" t="str">
        <f>'Dry_Litterbag Placem_Collection'!B74</f>
        <v>Maswa</v>
      </c>
      <c r="E513" s="253" t="s">
        <v>2643</v>
      </c>
      <c r="F513" s="253" t="s">
        <v>2645</v>
      </c>
      <c r="G513" s="253">
        <v>1</v>
      </c>
      <c r="H513" s="253" t="s">
        <v>3111</v>
      </c>
      <c r="I513" s="254" t="str">
        <f>'Dry_Litterbag Placem_Collection'!C74</f>
        <v>Dry_W1_T8</v>
      </c>
      <c r="J513" s="263" t="s">
        <v>2932</v>
      </c>
      <c r="K513" s="256" t="s">
        <v>1147</v>
      </c>
      <c r="L513" s="221" t="str">
        <f>'WetLitterbags placem_collection'!O74</f>
        <v>G627</v>
      </c>
      <c r="M513" s="223">
        <f>IFERROR(INDEX('Green_rooibos initial weight'!$C$5:$C$2000,MATCH(L513, 'Green_rooibos initial weight'!$A$5:$A$2000,0)),"")</f>
        <v>2.153</v>
      </c>
      <c r="N513" s="223">
        <f>IFERROR(M513-(TBIcalc!$H$9+TBIcalc!$H$10),"")</f>
        <v>1.9032</v>
      </c>
      <c r="O513" s="378">
        <f>AVERAGE(Ashed_controlls!$K$2:$K$11)</f>
        <v>5.5147656768714146</v>
      </c>
      <c r="P513" s="223">
        <f t="shared" si="36"/>
        <v>1.7982429796377832</v>
      </c>
      <c r="Q513" s="223">
        <f>IFERROR(INDEX('Both teabags AfterWet'!$C$3:$C$840,MATCH(L513,'Both teabags AfterWet'!$A$3:$A$840,0)),"")</f>
        <v>0.86350000000000005</v>
      </c>
      <c r="R513" s="223">
        <f>IFERROR(IF(Q513&gt;0,Q513-(TBIcalc!$H$9),""),"")</f>
        <v>0.71290000000000009</v>
      </c>
      <c r="S513" s="223">
        <f>IFERROR(INDEX('Ashed teabags wet'!$K$2:$K$2000,MATCH(L513,'Ashed teabags wet'!$A$2:$A$2000,0)),"")</f>
        <v>8.0899952130205044</v>
      </c>
      <c r="T513" s="223">
        <f t="shared" si="37"/>
        <v>0.65522642412637688</v>
      </c>
      <c r="U513" s="224">
        <f>'WetLitterbags placem_collection'!E74</f>
        <v>42767</v>
      </c>
      <c r="V513" s="224">
        <f>IF('WetLitterbags placem_collection'!G74="","",'WetLitterbags placem_collection'!G74)</f>
        <v>42818</v>
      </c>
      <c r="W513" s="225">
        <f t="shared" si="35"/>
        <v>51</v>
      </c>
      <c r="X513" s="223">
        <f t="shared" si="38"/>
        <v>1.1902999999999999</v>
      </c>
      <c r="Y513" s="223">
        <f t="shared" si="39"/>
        <v>1.1430165555114065</v>
      </c>
      <c r="Z513">
        <f>IFERROR(INDEX([1]Rainfall_Wet!$O$2:$O$217,MATCH(C513, [1]Rainfall_Wet!$A$2:$A$217,0)),"")</f>
        <v>185.630065823</v>
      </c>
      <c r="AA513" s="226">
        <v>47.96</v>
      </c>
      <c r="AB513" s="226">
        <v>22.919999999999995</v>
      </c>
      <c r="AC513" s="226">
        <v>29.120000000000012</v>
      </c>
      <c r="AD513" s="227" t="s">
        <v>2654</v>
      </c>
      <c r="AE513" s="226">
        <v>9.8831936914736307</v>
      </c>
      <c r="AF513">
        <f>IF('WetLitterbags placem_collection'!AB74="","",'WetLitterbags placem_collection'!AB74)</f>
        <v>2.6</v>
      </c>
      <c r="AG513">
        <f>IF('WetLitterbags placem_collection'!Z74="","",'WetLitterbags placem_collection'!Z74)</f>
        <v>44</v>
      </c>
      <c r="AH513" s="236" t="str">
        <f>IF('WetLitterbags placem_collection'!AA74="","",'WetLitterbags placem_collection'!AA74)</f>
        <v>O</v>
      </c>
      <c r="AI513">
        <f>IF('WetLitterbags placem_collection'!AC74="","",'WetLitterbags placem_collection'!AC74)</f>
        <v>1</v>
      </c>
      <c r="AJ513" s="233">
        <f>AVERAGE('WetLitterbags placem_collection'!S74,'WetLitterbags placem_collection'!U74)</f>
        <v>32</v>
      </c>
      <c r="AK513">
        <f>AVERAGE('WetLitterbags placem_collection'!R74,'WetLitterbags placem_collection'!T74)</f>
        <v>21.9</v>
      </c>
      <c r="AL513">
        <f>INDEX([2]Coordinates!$B$2:$B$197,MATCH(I513,[2]Coordinates!$J$2:$J$197,0))</f>
        <v>-3.2996540329999999</v>
      </c>
      <c r="AM513">
        <f>INDEX([2]Coordinates!$C$2:$C$197,MATCH(I513,[2]Coordinates!$J$2:$J$197,0))</f>
        <v>34.848151020000003</v>
      </c>
      <c r="AN513" t="str">
        <f>IF(ISNUMBER(SEARCH("C", 'WetLitterbags placem_collection'!$X74)),"YES","NO")</f>
        <v>NO</v>
      </c>
      <c r="AO513" t="str">
        <f>IF(ISNUMBER(SEARCH("H", 'WetLitterbags placem_collection'!$X74)),"YES","NO")</f>
        <v>NO</v>
      </c>
      <c r="AP513" t="str">
        <f>IF(ISNUMBER(SEARCH("R", 'WetLitterbags placem_collection'!$X74)),"YES","NO")</f>
        <v>YES</v>
      </c>
    </row>
    <row r="514" spans="1:42" ht="15" customHeight="1">
      <c r="A514" t="s">
        <v>3248</v>
      </c>
      <c r="B514" s="248" t="s">
        <v>2454</v>
      </c>
      <c r="C514" s="253">
        <f>'Dry_Litterbag Placem_Collection'!A75</f>
        <v>73</v>
      </c>
      <c r="D514" s="253" t="str">
        <f>'Dry_Litterbag Placem_Collection'!B75</f>
        <v>Maswa</v>
      </c>
      <c r="E514" s="253" t="s">
        <v>2643</v>
      </c>
      <c r="F514" s="253" t="s">
        <v>2645</v>
      </c>
      <c r="G514" s="253">
        <v>2</v>
      </c>
      <c r="H514" s="253" t="s">
        <v>3113</v>
      </c>
      <c r="I514" s="254" t="str">
        <f>'Dry_Litterbag Placem_Collection'!C75</f>
        <v>Dry_W2_T1</v>
      </c>
      <c r="J514" s="263" t="s">
        <v>2932</v>
      </c>
      <c r="K514" s="256" t="s">
        <v>1147</v>
      </c>
      <c r="L514" s="221" t="str">
        <f>'WetLitterbags placem_collection'!O75</f>
        <v>G498</v>
      </c>
      <c r="M514" s="223">
        <f>IFERROR(INDEX('Green_rooibos initial weight'!$C$5:$C$2000,MATCH(L514, 'Green_rooibos initial weight'!$A$5:$A$2000,0)),"")</f>
        <v>1.744</v>
      </c>
      <c r="N514" s="223">
        <f>IFERROR(M514-(TBIcalc!$H$9+TBIcalc!$H$10),"")</f>
        <v>1.4942</v>
      </c>
      <c r="O514" s="378">
        <f>AVERAGE(Ashed_controlls!$K$2:$K$11)</f>
        <v>5.5147656768714146</v>
      </c>
      <c r="P514" s="223">
        <f t="shared" si="36"/>
        <v>1.4117983712561872</v>
      </c>
      <c r="Q514" s="223">
        <f>IFERROR(INDEX('Both teabags AfterWet'!$C$3:$C$840,MATCH(L514,'Both teabags AfterWet'!$A$3:$A$840,0)),"")</f>
        <v>0.73209999999999997</v>
      </c>
      <c r="R514" s="223">
        <f>IFERROR(IF(Q514&gt;0,Q514-(TBIcalc!$H$9),""),"")</f>
        <v>0.58149999999999991</v>
      </c>
      <c r="S514" s="223">
        <f>IFERROR(INDEX('Ashed teabags wet'!$K$2:$K$2000,MATCH(L514,'Ashed teabags wet'!$A$2:$A$2000,0)),"")</f>
        <v>8.2123184777161153</v>
      </c>
      <c r="T514" s="223">
        <f t="shared" si="37"/>
        <v>0.53374536805208073</v>
      </c>
      <c r="U514" s="224">
        <f>'WetLitterbags placem_collection'!E75</f>
        <v>42767</v>
      </c>
      <c r="V514" s="224">
        <f>IF('WetLitterbags placem_collection'!G75="","",'WetLitterbags placem_collection'!G75)</f>
        <v>42818</v>
      </c>
      <c r="W514" s="225">
        <f t="shared" ref="W514:W577" si="40">IFERROR(V514-U514,"")</f>
        <v>51</v>
      </c>
      <c r="X514" s="223">
        <f t="shared" si="38"/>
        <v>0.91270000000000007</v>
      </c>
      <c r="Y514" s="223">
        <f t="shared" si="39"/>
        <v>0.87805300320410651</v>
      </c>
      <c r="Z514">
        <f>IFERROR(INDEX([1]Rainfall_Wet!$O$2:$O$217,MATCH(C514, [1]Rainfall_Wet!$A$2:$A$217,0)),"")</f>
        <v>185.630065823</v>
      </c>
      <c r="AA514" s="226">
        <v>45.272914521112256</v>
      </c>
      <c r="AB514" s="226">
        <v>23.604531410916575</v>
      </c>
      <c r="AC514" s="226">
        <v>31.122554067971166</v>
      </c>
      <c r="AD514" s="227" t="s">
        <v>2654</v>
      </c>
      <c r="AE514" s="226">
        <v>2.0547560374568752</v>
      </c>
      <c r="AF514">
        <f>IF('WetLitterbags placem_collection'!AB75="","",'WetLitterbags placem_collection'!AB75)</f>
        <v>9.1</v>
      </c>
      <c r="AG514">
        <f>IF('WetLitterbags placem_collection'!Z75="","",'WetLitterbags placem_collection'!Z75)</f>
        <v>10</v>
      </c>
      <c r="AH514" s="236" t="str">
        <f>IF('WetLitterbags placem_collection'!AA75="","",'WetLitterbags placem_collection'!AA75)</f>
        <v>M</v>
      </c>
      <c r="AI514">
        <f>IF('WetLitterbags placem_collection'!AC75="","",'WetLitterbags placem_collection'!AC75)</f>
        <v>1</v>
      </c>
      <c r="AJ514" s="233">
        <f>AVERAGE('WetLitterbags placem_collection'!S75,'WetLitterbags placem_collection'!U75)</f>
        <v>27.85</v>
      </c>
      <c r="AK514">
        <f>AVERAGE('WetLitterbags placem_collection'!R75,'WetLitterbags placem_collection'!T75)</f>
        <v>26.15</v>
      </c>
      <c r="AL514">
        <f>INDEX([2]Coordinates!$B$2:$B$197,MATCH(I514,[2]Coordinates!$J$2:$J$197,0))</f>
        <v>-3.3025860229999999</v>
      </c>
      <c r="AM514">
        <f>INDEX([2]Coordinates!$C$2:$C$197,MATCH(I514,[2]Coordinates!$J$2:$J$197,0))</f>
        <v>34.848048009999999</v>
      </c>
      <c r="AN514" t="str">
        <f>IF(ISNUMBER(SEARCH("C", 'WetLitterbags placem_collection'!$X75)),"YES","NO")</f>
        <v>NO</v>
      </c>
      <c r="AO514" t="str">
        <f>IF(ISNUMBER(SEARCH("H", 'WetLitterbags placem_collection'!$X75)),"YES","NO")</f>
        <v>NO</v>
      </c>
      <c r="AP514" t="str">
        <f>IF(ISNUMBER(SEARCH("R", 'WetLitterbags placem_collection'!$X75)),"YES","NO")</f>
        <v>YES</v>
      </c>
    </row>
    <row r="515" spans="1:42" ht="15" customHeight="1">
      <c r="A515" t="s">
        <v>3248</v>
      </c>
      <c r="B515" s="248" t="s">
        <v>2454</v>
      </c>
      <c r="C515" s="253">
        <f>'Dry_Litterbag Placem_Collection'!A76</f>
        <v>74</v>
      </c>
      <c r="D515" s="253" t="str">
        <f>'Dry_Litterbag Placem_Collection'!B76</f>
        <v>Maswa</v>
      </c>
      <c r="E515" s="253" t="s">
        <v>2643</v>
      </c>
      <c r="F515" s="253" t="s">
        <v>2645</v>
      </c>
      <c r="G515" s="253">
        <v>2</v>
      </c>
      <c r="H515" s="253" t="s">
        <v>3113</v>
      </c>
      <c r="I515" s="254" t="str">
        <f>'Dry_Litterbag Placem_Collection'!C76</f>
        <v>Dry_W2_T2</v>
      </c>
      <c r="J515" s="263" t="s">
        <v>2932</v>
      </c>
      <c r="K515" s="256" t="s">
        <v>1147</v>
      </c>
      <c r="L515" s="221" t="str">
        <f>'WetLitterbags placem_collection'!O76</f>
        <v>G579</v>
      </c>
      <c r="M515" s="223">
        <f>IFERROR(INDEX('Green_rooibos initial weight'!$C$5:$C$2000,MATCH(L515, 'Green_rooibos initial weight'!$A$5:$A$2000,0)),"")</f>
        <v>2.012</v>
      </c>
      <c r="N515" s="223">
        <f>IFERROR(M515-(TBIcalc!$H$9+TBIcalc!$H$10),"")</f>
        <v>1.7622</v>
      </c>
      <c r="O515" s="378">
        <f>AVERAGE(Ashed_controlls!$K$2:$K$11)</f>
        <v>5.5147656768714146</v>
      </c>
      <c r="P515" s="223">
        <f t="shared" ref="P515:P578" si="41">IFERROR(N515-(O515/100)*N515,"")</f>
        <v>1.6650187992421719</v>
      </c>
      <c r="Q515" s="223">
        <f>IFERROR(INDEX('Both teabags AfterWet'!$C$3:$C$840,MATCH(L515,'Both teabags AfterWet'!$A$3:$A$840,0)),"")</f>
        <v>0.74199999999999999</v>
      </c>
      <c r="R515" s="223">
        <f>IFERROR(IF(Q515&gt;0,Q515-(TBIcalc!$H$9),""),"")</f>
        <v>0.59139999999999993</v>
      </c>
      <c r="S515" s="223">
        <f>IFERROR(INDEX('Ashed teabags wet'!$K$2:$K$2000,MATCH(L515,'Ashed teabags wet'!$A$2:$A$2000,0)),"")</f>
        <v>9.0817862518813506</v>
      </c>
      <c r="T515" s="223">
        <f t="shared" ref="T515:T578" si="42">IFERROR(R515-(S515/100)*R515,"")</f>
        <v>0.53769031610637363</v>
      </c>
      <c r="U515" s="224">
        <f>'WetLitterbags placem_collection'!E76</f>
        <v>42767</v>
      </c>
      <c r="V515" s="224">
        <f>IF('WetLitterbags placem_collection'!G76="","",'WetLitterbags placem_collection'!G76)</f>
        <v>42818</v>
      </c>
      <c r="W515" s="225">
        <f t="shared" si="40"/>
        <v>51</v>
      </c>
      <c r="X515" s="223">
        <f t="shared" ref="X515:X578" si="43">IFERROR(N515-R515,"")</f>
        <v>1.1708000000000001</v>
      </c>
      <c r="Y515" s="223">
        <f t="shared" ref="Y515:Y578" si="44">IFERROR(P515-T515,"")</f>
        <v>1.1273284831357984</v>
      </c>
      <c r="Z515">
        <f>IFERROR(INDEX([1]Rainfall_Wet!$O$2:$O$217,MATCH(C515, [1]Rainfall_Wet!$A$2:$A$217,0)),"")</f>
        <v>185.630065823</v>
      </c>
      <c r="AA515" s="226">
        <v>45.272914521112256</v>
      </c>
      <c r="AB515" s="226">
        <v>23.604531410916575</v>
      </c>
      <c r="AC515" s="226">
        <v>31.122554067971166</v>
      </c>
      <c r="AD515" s="227" t="s">
        <v>2654</v>
      </c>
      <c r="AE515" s="226">
        <v>3.0547560374568801</v>
      </c>
      <c r="AF515">
        <f>IF('WetLitterbags placem_collection'!AB76="","",'WetLitterbags placem_collection'!AB76)</f>
        <v>7.7</v>
      </c>
      <c r="AG515">
        <f>IF('WetLitterbags placem_collection'!Z76="","",'WetLitterbags placem_collection'!Z76)</f>
        <v>9.4</v>
      </c>
      <c r="AH515" s="236" t="str">
        <f>IF('WetLitterbags placem_collection'!AA76="","",'WetLitterbags placem_collection'!AA76)</f>
        <v>M</v>
      </c>
      <c r="AI515">
        <f>IF('WetLitterbags placem_collection'!AC76="","",'WetLitterbags placem_collection'!AC76)</f>
        <v>1</v>
      </c>
      <c r="AJ515" s="233">
        <f>AVERAGE('WetLitterbags placem_collection'!S76,'WetLitterbags placem_collection'!U76)</f>
        <v>24.65</v>
      </c>
      <c r="AK515">
        <f>AVERAGE('WetLitterbags placem_collection'!R76,'WetLitterbags placem_collection'!T76)</f>
        <v>24.35</v>
      </c>
      <c r="AL515">
        <f>INDEX([2]Coordinates!$B$2:$B$197,MATCH(I515,[2]Coordinates!$J$2:$J$197,0))</f>
        <v>-3.3025779759999998</v>
      </c>
      <c r="AM515">
        <f>INDEX([2]Coordinates!$C$2:$C$197,MATCH(I515,[2]Coordinates!$J$2:$J$197,0))</f>
        <v>34.848041969999997</v>
      </c>
      <c r="AN515" t="str">
        <f>IF(ISNUMBER(SEARCH("C", 'WetLitterbags placem_collection'!$X76)),"YES","NO")</f>
        <v>NO</v>
      </c>
      <c r="AO515" t="str">
        <f>IF(ISNUMBER(SEARCH("H", 'WetLitterbags placem_collection'!$X76)),"YES","NO")</f>
        <v>NO</v>
      </c>
      <c r="AP515" t="str">
        <f>IF(ISNUMBER(SEARCH("R", 'WetLitterbags placem_collection'!$X76)),"YES","NO")</f>
        <v>YES</v>
      </c>
    </row>
    <row r="516" spans="1:42" ht="15" customHeight="1">
      <c r="A516" t="s">
        <v>3248</v>
      </c>
      <c r="B516" s="248" t="s">
        <v>2454</v>
      </c>
      <c r="C516" s="253">
        <f>'Dry_Litterbag Placem_Collection'!A77</f>
        <v>75</v>
      </c>
      <c r="D516" s="253" t="str">
        <f>'Dry_Litterbag Placem_Collection'!B77</f>
        <v>Maswa</v>
      </c>
      <c r="E516" s="253" t="s">
        <v>2643</v>
      </c>
      <c r="F516" s="253" t="s">
        <v>2645</v>
      </c>
      <c r="G516" s="253">
        <v>2</v>
      </c>
      <c r="H516" s="253" t="s">
        <v>3113</v>
      </c>
      <c r="I516" s="254" t="str">
        <f>'Dry_Litterbag Placem_Collection'!C77</f>
        <v>Dry_W2_T3</v>
      </c>
      <c r="J516" s="263" t="s">
        <v>2932</v>
      </c>
      <c r="K516" s="256" t="s">
        <v>1147</v>
      </c>
      <c r="L516" s="221" t="str">
        <f>'WetLitterbags placem_collection'!O77</f>
        <v>G373</v>
      </c>
      <c r="M516" s="223">
        <f>IFERROR(INDEX('Green_rooibos initial weight'!$C$5:$C$2000,MATCH(L516, 'Green_rooibos initial weight'!$A$5:$A$2000,0)),"")</f>
        <v>2.1</v>
      </c>
      <c r="N516" s="223">
        <f>IFERROR(M516-(TBIcalc!$H$9+TBIcalc!$H$10),"")</f>
        <v>1.8502000000000001</v>
      </c>
      <c r="O516" s="378">
        <f>AVERAGE(Ashed_controlls!$K$2:$K$11)</f>
        <v>5.5147656768714146</v>
      </c>
      <c r="P516" s="223">
        <f t="shared" si="41"/>
        <v>1.7481658054465252</v>
      </c>
      <c r="Q516" s="223">
        <f>IFERROR(INDEX('Both teabags AfterWet'!$C$3:$C$840,MATCH(L516,'Both teabags AfterWet'!$A$3:$A$840,0)),"")</f>
        <v>0.93330000000000002</v>
      </c>
      <c r="R516" s="223">
        <f>IFERROR(IF(Q516&gt;0,Q516-(TBIcalc!$H$9),""),"")</f>
        <v>0.78269999999999995</v>
      </c>
      <c r="S516" s="223">
        <f>IFERROR(INDEX('Ashed teabags wet'!$K$2:$K$2000,MATCH(L516,'Ashed teabags wet'!$A$2:$A$2000,0)),"")</f>
        <v>10.547263681591955</v>
      </c>
      <c r="T516" s="223">
        <f t="shared" si="42"/>
        <v>0.70014656716417978</v>
      </c>
      <c r="U516" s="224">
        <f>'WetLitterbags placem_collection'!E77</f>
        <v>42767</v>
      </c>
      <c r="V516" s="224">
        <f>IF('WetLitterbags placem_collection'!G77="","",'WetLitterbags placem_collection'!G77)</f>
        <v>42818</v>
      </c>
      <c r="W516" s="225">
        <f t="shared" si="40"/>
        <v>51</v>
      </c>
      <c r="X516" s="223">
        <f t="shared" si="43"/>
        <v>1.0675000000000001</v>
      </c>
      <c r="Y516" s="223">
        <f t="shared" si="44"/>
        <v>1.0480192382823454</v>
      </c>
      <c r="Z516">
        <f>IFERROR(INDEX([1]Rainfall_Wet!$O$2:$O$217,MATCH(C516, [1]Rainfall_Wet!$A$2:$A$217,0)),"")</f>
        <v>185.630065823</v>
      </c>
      <c r="AA516" s="226">
        <v>45.272914521112256</v>
      </c>
      <c r="AB516" s="226">
        <v>23.604531410916575</v>
      </c>
      <c r="AC516" s="226">
        <v>31.122554067971166</v>
      </c>
      <c r="AD516" s="227" t="s">
        <v>2654</v>
      </c>
      <c r="AE516" s="226">
        <v>4.0547560374568796</v>
      </c>
      <c r="AF516">
        <f>IF('WetLitterbags placem_collection'!AB77="","",'WetLitterbags placem_collection'!AB77)</f>
        <v>6.1</v>
      </c>
      <c r="AG516">
        <f>IF('WetLitterbags placem_collection'!Z77="","",'WetLitterbags placem_collection'!Z77)</f>
        <v>13.8</v>
      </c>
      <c r="AH516" s="236" t="str">
        <f>IF('WetLitterbags placem_collection'!AA77="","",'WetLitterbags placem_collection'!AA77)</f>
        <v>O</v>
      </c>
      <c r="AI516">
        <f>IF('WetLitterbags placem_collection'!AC77="","",'WetLitterbags placem_collection'!AC77)</f>
        <v>0</v>
      </c>
      <c r="AJ516" s="233">
        <f>AVERAGE('WetLitterbags placem_collection'!S77,'WetLitterbags placem_collection'!U77)</f>
        <v>27.150000000000002</v>
      </c>
      <c r="AK516">
        <f>AVERAGE('WetLitterbags placem_collection'!R77,'WetLitterbags placem_collection'!T77)</f>
        <v>25.65</v>
      </c>
      <c r="AL516">
        <f>INDEX([2]Coordinates!$B$2:$B$197,MATCH(I516,[2]Coordinates!$J$2:$J$197,0))</f>
        <v>-3.302687025</v>
      </c>
      <c r="AM516">
        <f>INDEX([2]Coordinates!$C$2:$C$197,MATCH(I516,[2]Coordinates!$J$2:$J$197,0))</f>
        <v>34.847926970000003</v>
      </c>
      <c r="AN516" t="str">
        <f>IF(ISNUMBER(SEARCH("C", 'WetLitterbags placem_collection'!$X77)),"YES","NO")</f>
        <v>NO</v>
      </c>
      <c r="AO516" t="str">
        <f>IF(ISNUMBER(SEARCH("H", 'WetLitterbags placem_collection'!$X77)),"YES","NO")</f>
        <v>NO</v>
      </c>
      <c r="AP516" t="str">
        <f>IF(ISNUMBER(SEARCH("R", 'WetLitterbags placem_collection'!$X77)),"YES","NO")</f>
        <v>YES</v>
      </c>
    </row>
    <row r="517" spans="1:42" ht="15" customHeight="1">
      <c r="A517" t="s">
        <v>3248</v>
      </c>
      <c r="B517" s="248" t="s">
        <v>2454</v>
      </c>
      <c r="C517" s="253">
        <f>'Dry_Litterbag Placem_Collection'!A78</f>
        <v>76</v>
      </c>
      <c r="D517" s="253" t="str">
        <f>'Dry_Litterbag Placem_Collection'!B78</f>
        <v>Maswa</v>
      </c>
      <c r="E517" s="253" t="s">
        <v>2643</v>
      </c>
      <c r="F517" s="253" t="s">
        <v>2645</v>
      </c>
      <c r="G517" s="253">
        <v>2</v>
      </c>
      <c r="H517" s="253" t="s">
        <v>3113</v>
      </c>
      <c r="I517" s="254" t="str">
        <f>'Dry_Litterbag Placem_Collection'!C78</f>
        <v>Dry_W2_T4</v>
      </c>
      <c r="J517" s="263" t="s">
        <v>2932</v>
      </c>
      <c r="K517" s="256" t="s">
        <v>1147</v>
      </c>
      <c r="L517" s="221" t="str">
        <f>'WetLitterbags placem_collection'!O78</f>
        <v>G603</v>
      </c>
      <c r="M517" s="223">
        <f>IFERROR(INDEX('Green_rooibos initial weight'!$C$5:$C$2000,MATCH(L517, 'Green_rooibos initial weight'!$A$5:$A$2000,0)),"")</f>
        <v>2.0430000000000001</v>
      </c>
      <c r="N517" s="223">
        <f>IFERROR(M517-(TBIcalc!$H$9+TBIcalc!$H$10),"")</f>
        <v>1.7932000000000001</v>
      </c>
      <c r="O517" s="378">
        <f>AVERAGE(Ashed_controlls!$K$2:$K$11)</f>
        <v>5.5147656768714146</v>
      </c>
      <c r="P517" s="223">
        <f t="shared" si="41"/>
        <v>1.6943092218823419</v>
      </c>
      <c r="Q517" s="223">
        <f>IFERROR(INDEX('Both teabags AfterWet'!$C$3:$C$840,MATCH(L517,'Both teabags AfterWet'!$A$3:$A$840,0)),"")</f>
        <v>0.82299999999999995</v>
      </c>
      <c r="R517" s="223">
        <f>IFERROR(IF(Q517&gt;0,Q517-(TBIcalc!$H$9),""),"")</f>
        <v>0.67239999999999989</v>
      </c>
      <c r="S517" s="223">
        <f>IFERROR(INDEX('Ashed teabags wet'!$K$2:$K$2000,MATCH(L517,'Ashed teabags wet'!$A$2:$A$2000,0)),"")</f>
        <v>8.9330024813902469</v>
      </c>
      <c r="T517" s="223">
        <f t="shared" si="42"/>
        <v>0.61233449131513185</v>
      </c>
      <c r="U517" s="224">
        <f>'WetLitterbags placem_collection'!E78</f>
        <v>42767</v>
      </c>
      <c r="V517" s="224">
        <f>IF('WetLitterbags placem_collection'!G78="","",'WetLitterbags placem_collection'!G78)</f>
        <v>42818</v>
      </c>
      <c r="W517" s="225">
        <f t="shared" si="40"/>
        <v>51</v>
      </c>
      <c r="X517" s="223">
        <f t="shared" si="43"/>
        <v>1.1208000000000002</v>
      </c>
      <c r="Y517" s="223">
        <f t="shared" si="44"/>
        <v>1.0819747305672101</v>
      </c>
      <c r="Z517">
        <f>IFERROR(INDEX([1]Rainfall_Wet!$O$2:$O$217,MATCH(C517, [1]Rainfall_Wet!$A$2:$A$217,0)),"")</f>
        <v>185.630065823</v>
      </c>
      <c r="AA517" s="226">
        <v>45.272914521112256</v>
      </c>
      <c r="AB517" s="226">
        <v>23.604531410916575</v>
      </c>
      <c r="AC517" s="226">
        <v>31.122554067971166</v>
      </c>
      <c r="AD517" s="227" t="s">
        <v>2654</v>
      </c>
      <c r="AE517" s="226">
        <v>5.0547560374568796</v>
      </c>
      <c r="AF517">
        <f>IF('WetLitterbags placem_collection'!AB78="","",'WetLitterbags placem_collection'!AB78)</f>
        <v>6.7</v>
      </c>
      <c r="AG517">
        <f>IF('WetLitterbags placem_collection'!Z78="","",'WetLitterbags placem_collection'!Z78)</f>
        <v>19.3</v>
      </c>
      <c r="AH517" s="236" t="str">
        <f>IF('WetLitterbags placem_collection'!AA78="","",'WetLitterbags placem_collection'!AA78)</f>
        <v>M</v>
      </c>
      <c r="AI517">
        <f>IF('WetLitterbags placem_collection'!AC78="","",'WetLitterbags placem_collection'!AC78)</f>
        <v>1</v>
      </c>
      <c r="AJ517" s="233">
        <f>AVERAGE('WetLitterbags placem_collection'!S78,'WetLitterbags placem_collection'!U78)</f>
        <v>26.8</v>
      </c>
      <c r="AK517">
        <f>AVERAGE('WetLitterbags placem_collection'!R78,'WetLitterbags placem_collection'!T78)</f>
        <v>23.7</v>
      </c>
      <c r="AL517">
        <f>INDEX([2]Coordinates!$B$2:$B$197,MATCH(I517,[2]Coordinates!$J$2:$J$197,0))</f>
        <v>-3.3024560190000001</v>
      </c>
      <c r="AM517">
        <f>INDEX([2]Coordinates!$C$2:$C$197,MATCH(I517,[2]Coordinates!$J$2:$J$197,0))</f>
        <v>34.847871990000002</v>
      </c>
      <c r="AN517" t="str">
        <f>IF(ISNUMBER(SEARCH("C", 'WetLitterbags placem_collection'!$X78)),"YES","NO")</f>
        <v>NO</v>
      </c>
      <c r="AO517" t="str">
        <f>IF(ISNUMBER(SEARCH("H", 'WetLitterbags placem_collection'!$X78)),"YES","NO")</f>
        <v>NO</v>
      </c>
      <c r="AP517" t="str">
        <f>IF(ISNUMBER(SEARCH("R", 'WetLitterbags placem_collection'!$X78)),"YES","NO")</f>
        <v>YES</v>
      </c>
    </row>
    <row r="518" spans="1:42" ht="15" customHeight="1">
      <c r="A518" t="s">
        <v>3248</v>
      </c>
      <c r="B518" s="248" t="s">
        <v>2454</v>
      </c>
      <c r="C518" s="253">
        <f>'Dry_Litterbag Placem_Collection'!A79</f>
        <v>77</v>
      </c>
      <c r="D518" s="253" t="str">
        <f>'Dry_Litterbag Placem_Collection'!B79</f>
        <v>Maswa</v>
      </c>
      <c r="E518" s="253" t="s">
        <v>2643</v>
      </c>
      <c r="F518" s="253" t="s">
        <v>2645</v>
      </c>
      <c r="G518" s="253">
        <v>2</v>
      </c>
      <c r="H518" s="253" t="s">
        <v>3113</v>
      </c>
      <c r="I518" s="254" t="str">
        <f>'Dry_Litterbag Placem_Collection'!C79</f>
        <v>Dry_W2_T5</v>
      </c>
      <c r="J518" s="263" t="s">
        <v>2932</v>
      </c>
      <c r="K518" s="256" t="s">
        <v>1147</v>
      </c>
      <c r="L518" s="221" t="str">
        <f>'WetLitterbags placem_collection'!O79</f>
        <v>G509</v>
      </c>
      <c r="M518" s="223">
        <f>IFERROR(INDEX('Green_rooibos initial weight'!$C$5:$C$2000,MATCH(L518, 'Green_rooibos initial weight'!$A$5:$A$2000,0)),"")</f>
        <v>2.048</v>
      </c>
      <c r="N518" s="223">
        <f>IFERROR(M518-(TBIcalc!$H$9+TBIcalc!$H$10),"")</f>
        <v>1.7982</v>
      </c>
      <c r="O518" s="378">
        <f>AVERAGE(Ashed_controlls!$K$2:$K$11)</f>
        <v>5.5147656768714146</v>
      </c>
      <c r="P518" s="223">
        <f t="shared" si="41"/>
        <v>1.6990334835984982</v>
      </c>
      <c r="Q518" s="223">
        <f>IFERROR(INDEX('Both teabags AfterWet'!$C$3:$C$840,MATCH(L518,'Both teabags AfterWet'!$A$3:$A$840,0)),"")</f>
        <v>1.012</v>
      </c>
      <c r="R518" s="223">
        <f>IFERROR(IF(Q518&gt;0,Q518-(TBIcalc!$H$9),""),"")</f>
        <v>0.86139999999999994</v>
      </c>
      <c r="S518" s="223">
        <f>IFERROR(INDEX('Ashed teabags wet'!$K$2:$K$2000,MATCH(L518,'Ashed teabags wet'!$A$2:$A$2000,0)),"")</f>
        <v>0.1847000000000012</v>
      </c>
      <c r="T518" s="223">
        <f t="shared" si="42"/>
        <v>0.8598089941999999</v>
      </c>
      <c r="U518" s="224">
        <f>'WetLitterbags placem_collection'!E79</f>
        <v>42767</v>
      </c>
      <c r="V518" s="224">
        <f>IF('WetLitterbags placem_collection'!G79="","",'WetLitterbags placem_collection'!G79)</f>
        <v>42818</v>
      </c>
      <c r="W518" s="225">
        <f t="shared" si="40"/>
        <v>51</v>
      </c>
      <c r="X518" s="223">
        <f t="shared" si="43"/>
        <v>0.93680000000000008</v>
      </c>
      <c r="Y518" s="223">
        <f t="shared" si="44"/>
        <v>0.83922448939849825</v>
      </c>
      <c r="Z518">
        <f>IFERROR(INDEX([1]Rainfall_Wet!$O$2:$O$217,MATCH(C518, [1]Rainfall_Wet!$A$2:$A$217,0)),"")</f>
        <v>185.630065823</v>
      </c>
      <c r="AA518" s="226">
        <v>45.272914521112256</v>
      </c>
      <c r="AB518" s="226">
        <v>23.604531410916575</v>
      </c>
      <c r="AC518" s="226">
        <v>31.122554067971166</v>
      </c>
      <c r="AD518" s="227" t="s">
        <v>2654</v>
      </c>
      <c r="AE518" s="226">
        <v>6.0547560374568796</v>
      </c>
      <c r="AF518">
        <f>IF('WetLitterbags placem_collection'!AB79="","",'WetLitterbags placem_collection'!AB79)</f>
        <v>3.1</v>
      </c>
      <c r="AG518">
        <f>IF('WetLitterbags placem_collection'!Z79="","",'WetLitterbags placem_collection'!Z79)</f>
        <v>9.8000000000000007</v>
      </c>
      <c r="AH518" s="236" t="str">
        <f>IF('WetLitterbags placem_collection'!AA79="","",'WetLitterbags placem_collection'!AA79)</f>
        <v>O</v>
      </c>
      <c r="AI518">
        <f>IF('WetLitterbags placem_collection'!AC79="","",'WetLitterbags placem_collection'!AC79)</f>
        <v>1</v>
      </c>
      <c r="AJ518" s="233">
        <f>AVERAGE('WetLitterbags placem_collection'!S79,'WetLitterbags placem_collection'!U79)</f>
        <v>25.950000000000003</v>
      </c>
      <c r="AK518">
        <f>AVERAGE('WetLitterbags placem_collection'!R79,'WetLitterbags placem_collection'!T79)</f>
        <v>25.950000000000003</v>
      </c>
      <c r="AL518">
        <f>INDEX([2]Coordinates!$B$2:$B$197,MATCH(I518,[2]Coordinates!$J$2:$J$197,0))</f>
        <v>-3.3023280279999998</v>
      </c>
      <c r="AM518">
        <f>INDEX([2]Coordinates!$C$2:$C$197,MATCH(I518,[2]Coordinates!$J$2:$J$197,0))</f>
        <v>34.848223019999999</v>
      </c>
      <c r="AN518" t="str">
        <f>IF(ISNUMBER(SEARCH("C", 'WetLitterbags placem_collection'!$X79)),"YES","NO")</f>
        <v>NO</v>
      </c>
      <c r="AO518" t="str">
        <f>IF(ISNUMBER(SEARCH("H", 'WetLitterbags placem_collection'!$X79)),"YES","NO")</f>
        <v>NO</v>
      </c>
      <c r="AP518" t="str">
        <f>IF(ISNUMBER(SEARCH("R", 'WetLitterbags placem_collection'!$X79)),"YES","NO")</f>
        <v>YES</v>
      </c>
    </row>
    <row r="519" spans="1:42" ht="15" customHeight="1">
      <c r="A519" t="s">
        <v>3248</v>
      </c>
      <c r="B519" s="248" t="s">
        <v>2454</v>
      </c>
      <c r="C519" s="253">
        <f>'Dry_Litterbag Placem_Collection'!A80</f>
        <v>78</v>
      </c>
      <c r="D519" s="253" t="str">
        <f>'Dry_Litterbag Placem_Collection'!B80</f>
        <v>Maswa</v>
      </c>
      <c r="E519" s="253" t="s">
        <v>2643</v>
      </c>
      <c r="F519" s="253" t="s">
        <v>2645</v>
      </c>
      <c r="G519" s="253">
        <v>2</v>
      </c>
      <c r="H519" s="253" t="s">
        <v>3113</v>
      </c>
      <c r="I519" s="254" t="str">
        <f>'Dry_Litterbag Placem_Collection'!C80</f>
        <v>Dry_W2_T6</v>
      </c>
      <c r="J519" s="263" t="s">
        <v>2932</v>
      </c>
      <c r="K519" s="256" t="s">
        <v>1147</v>
      </c>
      <c r="L519" s="221" t="str">
        <f>'WetLitterbags placem_collection'!O80</f>
        <v>G446</v>
      </c>
      <c r="M519" s="223">
        <f>IFERROR(INDEX('Green_rooibos initial weight'!$C$5:$C$2000,MATCH(L519, 'Green_rooibos initial weight'!$A$5:$A$2000,0)),"")</f>
        <v>1.9319999999999999</v>
      </c>
      <c r="N519" s="223">
        <f>IFERROR(M519-(TBIcalc!$H$9+TBIcalc!$H$10),"")</f>
        <v>1.6821999999999999</v>
      </c>
      <c r="O519" s="378">
        <f>AVERAGE(Ashed_controlls!$K$2:$K$11)</f>
        <v>5.5147656768714146</v>
      </c>
      <c r="P519" s="223">
        <f t="shared" si="41"/>
        <v>1.589430611783669</v>
      </c>
      <c r="Q519" s="223">
        <f>IFERROR(INDEX('Both teabags AfterWet'!$C$3:$C$840,MATCH(L519,'Both teabags AfterWet'!$A$3:$A$840,0)),"")</f>
        <v>0.77859999999999996</v>
      </c>
      <c r="R519" s="223">
        <f>IFERROR(IF(Q519&gt;0,Q519-(TBIcalc!$H$9),""),"")</f>
        <v>0.62799999999999989</v>
      </c>
      <c r="S519" s="223">
        <f>IFERROR(INDEX('Ashed teabags wet'!$K$2:$K$2000,MATCH(L519,'Ashed teabags wet'!$A$2:$A$2000,0)),"")</f>
        <v>9.6451774112936519</v>
      </c>
      <c r="T519" s="223">
        <f t="shared" si="42"/>
        <v>0.56742828585707572</v>
      </c>
      <c r="U519" s="224">
        <f>'WetLitterbags placem_collection'!E80</f>
        <v>42767</v>
      </c>
      <c r="V519" s="224">
        <f>IF('WetLitterbags placem_collection'!G80="","",'WetLitterbags placem_collection'!G80)</f>
        <v>42818</v>
      </c>
      <c r="W519" s="225">
        <f t="shared" si="40"/>
        <v>51</v>
      </c>
      <c r="X519" s="223">
        <f t="shared" si="43"/>
        <v>1.0542</v>
      </c>
      <c r="Y519" s="223">
        <f t="shared" si="44"/>
        <v>1.0220023259265933</v>
      </c>
      <c r="Z519">
        <f>IFERROR(INDEX([1]Rainfall_Wet!$O$2:$O$217,MATCH(C519, [1]Rainfall_Wet!$A$2:$A$217,0)),"")</f>
        <v>185.630065823</v>
      </c>
      <c r="AA519" s="226">
        <v>45.272914521112256</v>
      </c>
      <c r="AB519" s="226">
        <v>23.604531410916575</v>
      </c>
      <c r="AC519" s="226">
        <v>31.122554067971166</v>
      </c>
      <c r="AD519" s="227" t="s">
        <v>2654</v>
      </c>
      <c r="AE519" s="226">
        <v>7.0547560374568796</v>
      </c>
      <c r="AF519">
        <f>IF('WetLitterbags placem_collection'!AB80="","",'WetLitterbags placem_collection'!AB80)</f>
        <v>10.4</v>
      </c>
      <c r="AG519">
        <f>IF('WetLitterbags placem_collection'!Z80="","",'WetLitterbags placem_collection'!Z80)</f>
        <v>15.4</v>
      </c>
      <c r="AH519" s="236" t="str">
        <f>IF('WetLitterbags placem_collection'!AA80="","",'WetLitterbags placem_collection'!AA80)</f>
        <v>M</v>
      </c>
      <c r="AI519">
        <f>IF('WetLitterbags placem_collection'!AC80="","",'WetLitterbags placem_collection'!AC80)</f>
        <v>1</v>
      </c>
      <c r="AJ519" s="233">
        <f>AVERAGE('WetLitterbags placem_collection'!S80,'WetLitterbags placem_collection'!U80)</f>
        <v>24.15</v>
      </c>
      <c r="AK519">
        <f>AVERAGE('WetLitterbags placem_collection'!R80,'WetLitterbags placem_collection'!T80)</f>
        <v>27.75</v>
      </c>
      <c r="AL519">
        <f>INDEX([2]Coordinates!$B$2:$B$197,MATCH(I519,[2]Coordinates!$J$2:$J$197,0))</f>
        <v>-3.3025680020000001</v>
      </c>
      <c r="AM519">
        <f>INDEX([2]Coordinates!$C$2:$C$197,MATCH(I519,[2]Coordinates!$J$2:$J$197,0))</f>
        <v>34.848167029999999</v>
      </c>
      <c r="AN519" t="str">
        <f>IF(ISNUMBER(SEARCH("C", 'WetLitterbags placem_collection'!$X80)),"YES","NO")</f>
        <v>NO</v>
      </c>
      <c r="AO519" t="str">
        <f>IF(ISNUMBER(SEARCH("H", 'WetLitterbags placem_collection'!$X80)),"YES","NO")</f>
        <v>NO</v>
      </c>
      <c r="AP519" t="str">
        <f>IF(ISNUMBER(SEARCH("R", 'WetLitterbags placem_collection'!$X80)),"YES","NO")</f>
        <v>YES</v>
      </c>
    </row>
    <row r="520" spans="1:42" ht="15" customHeight="1">
      <c r="A520" t="s">
        <v>3248</v>
      </c>
      <c r="B520" s="248" t="s">
        <v>2454</v>
      </c>
      <c r="C520" s="253">
        <f>'Dry_Litterbag Placem_Collection'!A81</f>
        <v>79</v>
      </c>
      <c r="D520" s="253" t="str">
        <f>'Dry_Litterbag Placem_Collection'!B81</f>
        <v>Maswa</v>
      </c>
      <c r="E520" s="253" t="s">
        <v>2643</v>
      </c>
      <c r="F520" s="253" t="s">
        <v>2645</v>
      </c>
      <c r="G520" s="253">
        <v>2</v>
      </c>
      <c r="H520" s="253" t="s">
        <v>3113</v>
      </c>
      <c r="I520" s="254" t="str">
        <f>'Dry_Litterbag Placem_Collection'!C81</f>
        <v>Dry_W2_T7</v>
      </c>
      <c r="J520" s="263" t="s">
        <v>2932</v>
      </c>
      <c r="K520" s="256" t="s">
        <v>1147</v>
      </c>
      <c r="L520" s="221" t="str">
        <f>'WetLitterbags placem_collection'!O81</f>
        <v>G249</v>
      </c>
      <c r="M520" s="223">
        <f>IFERROR(INDEX('Green_rooibos initial weight'!$C$5:$C$2000,MATCH(L520, 'Green_rooibos initial weight'!$A$5:$A$2000,0)),"")</f>
        <v>2.0219999999999998</v>
      </c>
      <c r="N520" s="223">
        <f>IFERROR(M520-(TBIcalc!$H$9+TBIcalc!$H$10),"")</f>
        <v>1.7721999999999998</v>
      </c>
      <c r="O520" s="378">
        <f>AVERAGE(Ashed_controlls!$K$2:$K$11)</f>
        <v>5.5147656768714146</v>
      </c>
      <c r="P520" s="223">
        <f t="shared" si="41"/>
        <v>1.6744673226744846</v>
      </c>
      <c r="Q520" s="223">
        <f>IFERROR(INDEX('Both teabags AfterWet'!$C$3:$C$840,MATCH(L520,'Both teabags AfterWet'!$A$3:$A$840,0)),"")</f>
        <v>0.97550000000000003</v>
      </c>
      <c r="R520" s="223">
        <f>IFERROR(IF(Q520&gt;0,Q520-(TBIcalc!$H$9),""),"")</f>
        <v>0.82489999999999997</v>
      </c>
      <c r="S520" s="223">
        <f>IFERROR(INDEX('Ashed teabags wet'!$K$2:$K$2000,MATCH(L520,'Ashed teabags wet'!$A$2:$A$2000,0)),"")</f>
        <v>18.702865761691211</v>
      </c>
      <c r="T520" s="223">
        <f t="shared" si="42"/>
        <v>0.6706200603318091</v>
      </c>
      <c r="U520" s="224">
        <f>'WetLitterbags placem_collection'!E81</f>
        <v>42767</v>
      </c>
      <c r="V520" s="224">
        <f>IF('WetLitterbags placem_collection'!G81="","",'WetLitterbags placem_collection'!G81)</f>
        <v>42818</v>
      </c>
      <c r="W520" s="225">
        <f t="shared" si="40"/>
        <v>51</v>
      </c>
      <c r="X520" s="223">
        <f t="shared" si="43"/>
        <v>0.94729999999999981</v>
      </c>
      <c r="Y520" s="223">
        <f t="shared" si="44"/>
        <v>1.0038472623426755</v>
      </c>
      <c r="Z520">
        <f>IFERROR(INDEX([1]Rainfall_Wet!$O$2:$O$217,MATCH(C520, [1]Rainfall_Wet!$A$2:$A$217,0)),"")</f>
        <v>185.630065823</v>
      </c>
      <c r="AA520" s="226">
        <v>45.272914521112256</v>
      </c>
      <c r="AB520" s="226">
        <v>23.604531410916575</v>
      </c>
      <c r="AC520" s="226">
        <v>31.122554067971166</v>
      </c>
      <c r="AD520" s="227" t="s">
        <v>2654</v>
      </c>
      <c r="AE520" s="226">
        <v>8.0547560374568796</v>
      </c>
      <c r="AF520">
        <f>IF('WetLitterbags placem_collection'!AB81="","",'WetLitterbags placem_collection'!AB81)</f>
        <v>3</v>
      </c>
      <c r="AG520">
        <f>IF('WetLitterbags placem_collection'!Z81="","",'WetLitterbags placem_collection'!Z81)</f>
        <v>5</v>
      </c>
      <c r="AH520" s="236" t="str">
        <f>IF('WetLitterbags placem_collection'!AA81="","",'WetLitterbags placem_collection'!AA81)</f>
        <v>G</v>
      </c>
      <c r="AI520">
        <f>IF('WetLitterbags placem_collection'!AC81="","",'WetLitterbags placem_collection'!AC81)</f>
        <v>1</v>
      </c>
      <c r="AJ520" s="233">
        <f>AVERAGE('WetLitterbags placem_collection'!S81,'WetLitterbags placem_collection'!U81)</f>
        <v>26.9</v>
      </c>
      <c r="AK520">
        <f>AVERAGE('WetLitterbags placem_collection'!R81,'WetLitterbags placem_collection'!T81)</f>
        <v>26.25</v>
      </c>
      <c r="AL520">
        <f>INDEX([2]Coordinates!$B$2:$B$197,MATCH(I520,[2]Coordinates!$J$2:$J$197,0))</f>
        <v>-3.3026270100000001</v>
      </c>
      <c r="AM520">
        <f>INDEX([2]Coordinates!$C$2:$C$197,MATCH(I520,[2]Coordinates!$J$2:$J$197,0))</f>
        <v>34.84840801</v>
      </c>
      <c r="AN520" t="str">
        <f>IF(ISNUMBER(SEARCH("C", 'WetLitterbags placem_collection'!$X81)),"YES","NO")</f>
        <v>NO</v>
      </c>
      <c r="AO520" t="str">
        <f>IF(ISNUMBER(SEARCH("H", 'WetLitterbags placem_collection'!$X81)),"YES","NO")</f>
        <v>NO</v>
      </c>
      <c r="AP520" t="str">
        <f>IF(ISNUMBER(SEARCH("R", 'WetLitterbags placem_collection'!$X81)),"YES","NO")</f>
        <v>YES</v>
      </c>
    </row>
    <row r="521" spans="1:42" ht="15" customHeight="1">
      <c r="A521" t="s">
        <v>3248</v>
      </c>
      <c r="B521" s="248" t="s">
        <v>2454</v>
      </c>
      <c r="C521" s="253">
        <f>'Dry_Litterbag Placem_Collection'!A82</f>
        <v>80</v>
      </c>
      <c r="D521" s="253" t="str">
        <f>'Dry_Litterbag Placem_Collection'!B82</f>
        <v>Maswa</v>
      </c>
      <c r="E521" s="253" t="s">
        <v>2643</v>
      </c>
      <c r="F521" s="253" t="s">
        <v>2645</v>
      </c>
      <c r="G521" s="253">
        <v>2</v>
      </c>
      <c r="H521" s="253" t="s">
        <v>3113</v>
      </c>
      <c r="I521" s="254" t="str">
        <f>'Dry_Litterbag Placem_Collection'!C82</f>
        <v>Dry_W2_T8</v>
      </c>
      <c r="J521" s="263" t="s">
        <v>2932</v>
      </c>
      <c r="K521" s="256" t="s">
        <v>1147</v>
      </c>
      <c r="L521" s="221" t="str">
        <f>'WetLitterbags placem_collection'!O82</f>
        <v>G474</v>
      </c>
      <c r="M521" s="223">
        <f>IFERROR(INDEX('Green_rooibos initial weight'!$C$5:$C$2000,MATCH(L521, 'Green_rooibos initial weight'!$A$5:$A$2000,0)),"")</f>
        <v>2.1930000000000001</v>
      </c>
      <c r="N521" s="223">
        <f>IFERROR(M521-(TBIcalc!$H$9+TBIcalc!$H$10),"")</f>
        <v>1.9432</v>
      </c>
      <c r="O521" s="378">
        <f>AVERAGE(Ashed_controlls!$K$2:$K$11)</f>
        <v>5.5147656768714146</v>
      </c>
      <c r="P521" s="223">
        <f t="shared" si="41"/>
        <v>1.8360370733670348</v>
      </c>
      <c r="Q521" s="223">
        <f>IFERROR(INDEX('Both teabags AfterWet'!$C$3:$C$840,MATCH(L521,'Both teabags AfterWet'!$A$3:$A$840,0)),"")</f>
        <v>1.0009999999999999</v>
      </c>
      <c r="R521" s="223">
        <f>IFERROR(IF(Q521&gt;0,Q521-(TBIcalc!$H$9),""),"")</f>
        <v>0.85039999999999982</v>
      </c>
      <c r="S521" s="223">
        <f>IFERROR(INDEX('Ashed teabags wet'!$K$2:$K$2000,MATCH(L521,'Ashed teabags wet'!$A$2:$A$2000,0)),"")</f>
        <v>5.8354114713218834</v>
      </c>
      <c r="T521" s="223">
        <f t="shared" si="42"/>
        <v>0.80077566084787855</v>
      </c>
      <c r="U521" s="224">
        <f>'WetLitterbags placem_collection'!E82</f>
        <v>42767</v>
      </c>
      <c r="V521" s="224">
        <f>IF('WetLitterbags placem_collection'!G82="","",'WetLitterbags placem_collection'!G82)</f>
        <v>42818</v>
      </c>
      <c r="W521" s="225">
        <f t="shared" si="40"/>
        <v>51</v>
      </c>
      <c r="X521" s="223">
        <f t="shared" si="43"/>
        <v>1.0928000000000002</v>
      </c>
      <c r="Y521" s="223">
        <f t="shared" si="44"/>
        <v>1.0352614125191564</v>
      </c>
      <c r="Z521">
        <f>IFERROR(INDEX([1]Rainfall_Wet!$O$2:$O$217,MATCH(C521, [1]Rainfall_Wet!$A$2:$A$217,0)),"")</f>
        <v>185.630065823</v>
      </c>
      <c r="AA521" s="226">
        <v>45.272914521112256</v>
      </c>
      <c r="AB521" s="226">
        <v>23.604531410916575</v>
      </c>
      <c r="AC521" s="226">
        <v>31.122554067971166</v>
      </c>
      <c r="AD521" s="227" t="s">
        <v>2654</v>
      </c>
      <c r="AE521" s="226">
        <v>9.0547560374568796</v>
      </c>
      <c r="AF521">
        <f>IF('WetLitterbags placem_collection'!AB82="","",'WetLitterbags placem_collection'!AB82)</f>
        <v>2.7</v>
      </c>
      <c r="AG521">
        <f>IF('WetLitterbags placem_collection'!Z82="","",'WetLitterbags placem_collection'!Z82)</f>
        <v>12.4</v>
      </c>
      <c r="AH521" s="236" t="str">
        <f>IF('WetLitterbags placem_collection'!AA82="","",'WetLitterbags placem_collection'!AA82)</f>
        <v>O</v>
      </c>
      <c r="AI521">
        <f>IF('WetLitterbags placem_collection'!AC82="","",'WetLitterbags placem_collection'!AC82)</f>
        <v>1</v>
      </c>
      <c r="AJ521" s="233">
        <f>AVERAGE('WetLitterbags placem_collection'!S82,'WetLitterbags placem_collection'!U82)</f>
        <v>28.55</v>
      </c>
      <c r="AK521">
        <f>AVERAGE('WetLitterbags placem_collection'!R82,'WetLitterbags placem_collection'!T82)</f>
        <v>27.450000000000003</v>
      </c>
      <c r="AL521">
        <f>INDEX([2]Coordinates!$B$2:$B$197,MATCH(I521,[2]Coordinates!$J$2:$J$197,0))</f>
        <v>-3.3028539920000002</v>
      </c>
      <c r="AM521">
        <f>INDEX([2]Coordinates!$C$2:$C$197,MATCH(I521,[2]Coordinates!$J$2:$J$197,0))</f>
        <v>34.847988999999998</v>
      </c>
      <c r="AN521" t="str">
        <f>IF(ISNUMBER(SEARCH("C", 'WetLitterbags placem_collection'!$X82)),"YES","NO")</f>
        <v>NO</v>
      </c>
      <c r="AO521" t="str">
        <f>IF(ISNUMBER(SEARCH("H", 'WetLitterbags placem_collection'!$X82)),"YES","NO")</f>
        <v>NO</v>
      </c>
      <c r="AP521" t="str">
        <f>IF(ISNUMBER(SEARCH("R", 'WetLitterbags placem_collection'!$X82)),"YES","NO")</f>
        <v>YES</v>
      </c>
    </row>
    <row r="522" spans="1:42" ht="15" customHeight="1">
      <c r="A522" t="s">
        <v>3248</v>
      </c>
      <c r="B522" s="248" t="s">
        <v>2454</v>
      </c>
      <c r="C522" s="253">
        <f>'Dry_Litterbag Placem_Collection'!A83</f>
        <v>81</v>
      </c>
      <c r="D522" s="253" t="str">
        <f>'Dry_Litterbag Placem_Collection'!B83</f>
        <v>Maswa</v>
      </c>
      <c r="E522" s="253" t="s">
        <v>2643</v>
      </c>
      <c r="F522" s="253" t="s">
        <v>2645</v>
      </c>
      <c r="G522" s="253">
        <v>3</v>
      </c>
      <c r="H522" s="253" t="s">
        <v>3114</v>
      </c>
      <c r="I522" s="254" t="str">
        <f>'Dry_Litterbag Placem_Collection'!C83</f>
        <v>Dry_W3_T1</v>
      </c>
      <c r="J522" s="263" t="s">
        <v>2932</v>
      </c>
      <c r="K522" s="256" t="s">
        <v>1147</v>
      </c>
      <c r="L522" s="221" t="str">
        <f>'WetLitterbags placem_collection'!O83</f>
        <v>G475</v>
      </c>
      <c r="M522" s="223">
        <f>IFERROR(INDEX('Green_rooibos initial weight'!$C$5:$C$2000,MATCH(L522, 'Green_rooibos initial weight'!$A$5:$A$2000,0)),"")</f>
        <v>2.0110000000000001</v>
      </c>
      <c r="N522" s="223">
        <f>IFERROR(M522-(TBIcalc!$H$9+TBIcalc!$H$10),"")</f>
        <v>1.7612000000000001</v>
      </c>
      <c r="O522" s="378">
        <f>AVERAGE(Ashed_controlls!$K$2:$K$11)</f>
        <v>5.5147656768714146</v>
      </c>
      <c r="P522" s="223">
        <f t="shared" si="41"/>
        <v>1.6640739468989407</v>
      </c>
      <c r="Q522" s="223">
        <f>IFERROR(INDEX('Both teabags AfterWet'!$C$3:$C$840,MATCH(L522,'Both teabags AfterWet'!$A$3:$A$840,0)),"")</f>
        <v>0.65200000000000002</v>
      </c>
      <c r="R522" s="223">
        <f>IFERROR(IF(Q522&gt;0,Q522-(TBIcalc!$H$9),""),"")</f>
        <v>0.50140000000000007</v>
      </c>
      <c r="S522" s="223">
        <f>IFERROR(INDEX('Ashed teabags wet'!$K$2:$K$2000,MATCH(L522,'Ashed teabags wet'!$A$2:$A$2000,0)),"")</f>
        <v>11.582626060908067</v>
      </c>
      <c r="T522" s="223">
        <f t="shared" si="42"/>
        <v>0.44332471293060699</v>
      </c>
      <c r="U522" s="224">
        <f>'WetLitterbags placem_collection'!E83</f>
        <v>42767</v>
      </c>
      <c r="V522" s="224">
        <f>IF('WetLitterbags placem_collection'!G83="","",'WetLitterbags placem_collection'!G83)</f>
        <v>42818</v>
      </c>
      <c r="W522" s="225">
        <f t="shared" si="40"/>
        <v>51</v>
      </c>
      <c r="X522" s="223">
        <f t="shared" si="43"/>
        <v>1.2598</v>
      </c>
      <c r="Y522" s="223">
        <f t="shared" si="44"/>
        <v>1.2207492339683337</v>
      </c>
      <c r="Z522">
        <f>IFERROR(INDEX([1]Rainfall_Wet!$O$2:$O$217,MATCH(C522, [1]Rainfall_Wet!$A$2:$A$217,0)),"")</f>
        <v>185.01185076100001</v>
      </c>
      <c r="AA522" s="226">
        <v>38.691629007962128</v>
      </c>
      <c r="AB522" s="226">
        <v>26.81299763288143</v>
      </c>
      <c r="AC522" s="226">
        <v>34.495373359156439</v>
      </c>
      <c r="AD522" s="227" t="s">
        <v>2656</v>
      </c>
      <c r="AE522" s="226">
        <v>2.5483587974371611</v>
      </c>
      <c r="AF522">
        <f>IF('WetLitterbags placem_collection'!AB83="","",'WetLitterbags placem_collection'!AB83)</f>
        <v>6.2</v>
      </c>
      <c r="AG522">
        <f>IF('WetLitterbags placem_collection'!Z83="","",'WetLitterbags placem_collection'!Z83)</f>
        <v>13.3</v>
      </c>
      <c r="AH522" s="236" t="str">
        <f>IF('WetLitterbags placem_collection'!AA83="","",'WetLitterbags placem_collection'!AA83)</f>
        <v>O</v>
      </c>
      <c r="AI522">
        <f>IF('WetLitterbags placem_collection'!AC83="","",'WetLitterbags placem_collection'!AC83)</f>
        <v>0</v>
      </c>
      <c r="AJ522" s="233">
        <f>AVERAGE('WetLitterbags placem_collection'!S83,'WetLitterbags placem_collection'!U83)</f>
        <v>26.35</v>
      </c>
      <c r="AK522">
        <f>AVERAGE('WetLitterbags placem_collection'!R83,'WetLitterbags placem_collection'!T83)</f>
        <v>26.65</v>
      </c>
      <c r="AL522">
        <f>INDEX([2]Coordinates!$B$2:$B$197,MATCH(I522,[2]Coordinates!$J$2:$J$197,0))</f>
        <v>-3.2957159630000001</v>
      </c>
      <c r="AM522">
        <f>INDEX([2]Coordinates!$C$2:$C$197,MATCH(I522,[2]Coordinates!$J$2:$J$197,0))</f>
        <v>34.852460999999998</v>
      </c>
      <c r="AN522" t="str">
        <f>IF(ISNUMBER(SEARCH("C", 'WetLitterbags placem_collection'!$X83)),"YES","NO")</f>
        <v>NO</v>
      </c>
      <c r="AO522" t="str">
        <f>IF(ISNUMBER(SEARCH("H", 'WetLitterbags placem_collection'!$X83)),"YES","NO")</f>
        <v>NO</v>
      </c>
      <c r="AP522" t="str">
        <f>IF(ISNUMBER(SEARCH("R", 'WetLitterbags placem_collection'!$X83)),"YES","NO")</f>
        <v>YES</v>
      </c>
    </row>
    <row r="523" spans="1:42" ht="15" customHeight="1">
      <c r="A523" t="s">
        <v>3248</v>
      </c>
      <c r="B523" s="248" t="s">
        <v>2454</v>
      </c>
      <c r="C523" s="253">
        <f>'Dry_Litterbag Placem_Collection'!A84</f>
        <v>82</v>
      </c>
      <c r="D523" s="253" t="str">
        <f>'Dry_Litterbag Placem_Collection'!B84</f>
        <v>Maswa</v>
      </c>
      <c r="E523" s="253" t="s">
        <v>2643</v>
      </c>
      <c r="F523" s="253" t="s">
        <v>2645</v>
      </c>
      <c r="G523" s="253">
        <v>3</v>
      </c>
      <c r="H523" s="253" t="s">
        <v>3114</v>
      </c>
      <c r="I523" s="254" t="str">
        <f>'Dry_Litterbag Placem_Collection'!C84</f>
        <v>Dry_W3_T2</v>
      </c>
      <c r="J523" s="263" t="s">
        <v>2932</v>
      </c>
      <c r="K523" s="256" t="s">
        <v>1147</v>
      </c>
      <c r="L523" s="221" t="str">
        <f>'WetLitterbags placem_collection'!O84</f>
        <v>G840</v>
      </c>
      <c r="M523" s="223">
        <f>IFERROR(INDEX('Green_rooibos initial weight'!$C$5:$C$2000,MATCH(L523, 'Green_rooibos initial weight'!$A$5:$A$2000,0)),"")</f>
        <v>2.056</v>
      </c>
      <c r="N523" s="223">
        <f>IFERROR(M523-(TBIcalc!$H$9+TBIcalc!$H$10),"")</f>
        <v>1.8062</v>
      </c>
      <c r="O523" s="378">
        <f>AVERAGE(Ashed_controlls!$K$2:$K$11)</f>
        <v>5.5147656768714146</v>
      </c>
      <c r="P523" s="223">
        <f t="shared" si="41"/>
        <v>1.7065923023443486</v>
      </c>
      <c r="Q523" s="223">
        <f>IFERROR(INDEX('Both teabags AfterWet'!$C$3:$C$840,MATCH(L523,'Both teabags AfterWet'!$A$3:$A$840,0)),"")</f>
        <v>0.74299999999999999</v>
      </c>
      <c r="R523" s="223">
        <f>IFERROR(IF(Q523&gt;0,Q523-(TBIcalc!$H$9),""),"")</f>
        <v>0.59240000000000004</v>
      </c>
      <c r="S523" s="223">
        <f>IFERROR(INDEX('Ashed teabags wet'!$K$2:$K$2000,MATCH(L523,'Ashed teabags wet'!$A$2:$A$2000,0)),"")</f>
        <v>8.3909180651525794</v>
      </c>
      <c r="T523" s="223">
        <f t="shared" si="42"/>
        <v>0.54269220138203611</v>
      </c>
      <c r="U523" s="224">
        <f>'WetLitterbags placem_collection'!E84</f>
        <v>42767</v>
      </c>
      <c r="V523" s="224">
        <f>IF('WetLitterbags placem_collection'!G84="","",'WetLitterbags placem_collection'!G84)</f>
        <v>42819</v>
      </c>
      <c r="W523" s="225">
        <f t="shared" si="40"/>
        <v>52</v>
      </c>
      <c r="X523" s="223">
        <f t="shared" si="43"/>
        <v>1.2138</v>
      </c>
      <c r="Y523" s="223">
        <f t="shared" si="44"/>
        <v>1.1639001009623124</v>
      </c>
      <c r="Z523">
        <f>IFERROR(INDEX([1]Rainfall_Wet!$O$2:$O$217,MATCH(C523, [1]Rainfall_Wet!$A$2:$A$217,0)),"")</f>
        <v>194.93009798400001</v>
      </c>
      <c r="AA523" s="226">
        <v>38.691629007962128</v>
      </c>
      <c r="AB523" s="226">
        <v>26.81299763288143</v>
      </c>
      <c r="AC523" s="226">
        <v>34.495373359156439</v>
      </c>
      <c r="AD523" s="227" t="s">
        <v>2656</v>
      </c>
      <c r="AE523" s="226">
        <v>3.5483587974371602</v>
      </c>
      <c r="AF523">
        <f>IF('WetLitterbags placem_collection'!AB84="","",'WetLitterbags placem_collection'!AB84)</f>
        <v>2.4</v>
      </c>
      <c r="AG523">
        <f>IF('WetLitterbags placem_collection'!Z84="","",'WetLitterbags placem_collection'!Z84)</f>
        <v>16.600000000000001</v>
      </c>
      <c r="AH523" s="236" t="str">
        <f>IF('WetLitterbags placem_collection'!AA84="","",'WetLitterbags placem_collection'!AA84)</f>
        <v>O</v>
      </c>
      <c r="AI523" t="str">
        <f>IF('WetLitterbags placem_collection'!AC84="","",'WetLitterbags placem_collection'!AC84)</f>
        <v/>
      </c>
      <c r="AJ523" s="233">
        <f>AVERAGE('WetLitterbags placem_collection'!S84,'WetLitterbags placem_collection'!U84)</f>
        <v>26.6</v>
      </c>
      <c r="AK523">
        <f>AVERAGE('WetLitterbags placem_collection'!R84,'WetLitterbags placem_collection'!T84)</f>
        <v>23.05</v>
      </c>
      <c r="AL523">
        <f>INDEX([2]Coordinates!$B$2:$B$197,MATCH(I523,[2]Coordinates!$J$2:$J$197,0))</f>
        <v>-3.2957230040000001</v>
      </c>
      <c r="AM523">
        <f>INDEX([2]Coordinates!$C$2:$C$197,MATCH(I523,[2]Coordinates!$J$2:$J$197,0))</f>
        <v>34.852416990000002</v>
      </c>
      <c r="AN523" t="str">
        <f>IF(ISNUMBER(SEARCH("C", 'WetLitterbags placem_collection'!$X84)),"YES","NO")</f>
        <v>NO</v>
      </c>
      <c r="AO523" t="str">
        <f>IF(ISNUMBER(SEARCH("H", 'WetLitterbags placem_collection'!$X84)),"YES","NO")</f>
        <v>NO</v>
      </c>
      <c r="AP523" t="str">
        <f>IF(ISNUMBER(SEARCH("R", 'WetLitterbags placem_collection'!$X84)),"YES","NO")</f>
        <v>YES</v>
      </c>
    </row>
    <row r="524" spans="1:42" ht="15" customHeight="1">
      <c r="A524" t="s">
        <v>3248</v>
      </c>
      <c r="B524" s="248" t="s">
        <v>2454</v>
      </c>
      <c r="C524" s="253">
        <f>'Dry_Litterbag Placem_Collection'!A85</f>
        <v>83</v>
      </c>
      <c r="D524" s="253" t="str">
        <f>'Dry_Litterbag Placem_Collection'!B85</f>
        <v>Maswa</v>
      </c>
      <c r="E524" s="253" t="s">
        <v>2643</v>
      </c>
      <c r="F524" s="253" t="s">
        <v>2645</v>
      </c>
      <c r="G524" s="253">
        <v>3</v>
      </c>
      <c r="H524" s="253" t="s">
        <v>3114</v>
      </c>
      <c r="I524" s="254" t="str">
        <f>'Dry_Litterbag Placem_Collection'!C85</f>
        <v>Dry_W3_T3</v>
      </c>
      <c r="J524" s="263" t="s">
        <v>2932</v>
      </c>
      <c r="K524" s="256" t="s">
        <v>1147</v>
      </c>
      <c r="L524" s="221" t="str">
        <f>'WetLitterbags placem_collection'!O85</f>
        <v>G298</v>
      </c>
      <c r="M524" s="223">
        <f>IFERROR(INDEX('Green_rooibos initial weight'!$C$5:$C$2000,MATCH(L524, 'Green_rooibos initial weight'!$A$5:$A$2000,0)),"")</f>
        <v>2.0550000000000002</v>
      </c>
      <c r="N524" s="223">
        <f>IFERROR(M524-(TBIcalc!$H$9+TBIcalc!$H$10),"")</f>
        <v>1.8052000000000001</v>
      </c>
      <c r="O524" s="378">
        <f>AVERAGE(Ashed_controlls!$K$2:$K$11)</f>
        <v>5.5147656768714146</v>
      </c>
      <c r="P524" s="223">
        <f t="shared" si="41"/>
        <v>1.7056474500011174</v>
      </c>
      <c r="Q524" s="223">
        <f>IFERROR(INDEX('Both teabags AfterWet'!$C$3:$C$840,MATCH(L524,'Both teabags AfterWet'!$A$3:$A$840,0)),"")</f>
        <v>0.88800000000000001</v>
      </c>
      <c r="R524" s="223">
        <f>IFERROR(IF(Q524&gt;0,Q524-(TBIcalc!$H$9),""),"")</f>
        <v>0.73740000000000006</v>
      </c>
      <c r="S524" s="223">
        <f>IFERROR(INDEX('Ashed teabags wet'!$K$2:$K$2000,MATCH(L524,'Ashed teabags wet'!$A$2:$A$2000,0)),"")</f>
        <v>14.849074975657658</v>
      </c>
      <c r="T524" s="223">
        <f t="shared" si="42"/>
        <v>0.62790292112950041</v>
      </c>
      <c r="U524" s="224">
        <f>'WetLitterbags placem_collection'!E85</f>
        <v>42767</v>
      </c>
      <c r="V524" s="224">
        <f>IF('WetLitterbags placem_collection'!G85="","",'WetLitterbags placem_collection'!G85)</f>
        <v>42819</v>
      </c>
      <c r="W524" s="225">
        <f t="shared" si="40"/>
        <v>52</v>
      </c>
      <c r="X524" s="223">
        <f t="shared" si="43"/>
        <v>1.0678000000000001</v>
      </c>
      <c r="Y524" s="223">
        <f t="shared" si="44"/>
        <v>1.077744528871617</v>
      </c>
      <c r="Z524">
        <f>IFERROR(INDEX([1]Rainfall_Wet!$O$2:$O$217,MATCH(C524, [1]Rainfall_Wet!$A$2:$A$217,0)),"")</f>
        <v>194.93009798400001</v>
      </c>
      <c r="AA524" s="226">
        <v>38.691629007962128</v>
      </c>
      <c r="AB524" s="226">
        <v>26.81299763288143</v>
      </c>
      <c r="AC524" s="226">
        <v>34.495373359156439</v>
      </c>
      <c r="AD524" s="227" t="s">
        <v>2656</v>
      </c>
      <c r="AE524" s="226">
        <v>4.5483587974371602</v>
      </c>
      <c r="AF524">
        <f>IF('WetLitterbags placem_collection'!AB85="","",'WetLitterbags placem_collection'!AB85)</f>
        <v>6.4</v>
      </c>
      <c r="AG524">
        <f>IF('WetLitterbags placem_collection'!Z85="","",'WetLitterbags placem_collection'!Z85)</f>
        <v>42</v>
      </c>
      <c r="AH524" s="236" t="str">
        <f>IF('WetLitterbags placem_collection'!AA85="","",'WetLitterbags placem_collection'!AA85)</f>
        <v>M</v>
      </c>
      <c r="AI524">
        <f>IF('WetLitterbags placem_collection'!AC85="","",'WetLitterbags placem_collection'!AC85)</f>
        <v>1</v>
      </c>
      <c r="AJ524" s="233">
        <f>AVERAGE('WetLitterbags placem_collection'!S85,'WetLitterbags placem_collection'!U85)</f>
        <v>30.099999999999998</v>
      </c>
      <c r="AK524">
        <f>AVERAGE('WetLitterbags placem_collection'!R85,'WetLitterbags placem_collection'!T85)</f>
        <v>25.05</v>
      </c>
      <c r="AL524">
        <f>INDEX([2]Coordinates!$B$2:$B$197,MATCH(I524,[2]Coordinates!$J$2:$J$197,0))</f>
        <v>-3.2957430369999998</v>
      </c>
      <c r="AM524">
        <f>INDEX([2]Coordinates!$C$2:$C$197,MATCH(I524,[2]Coordinates!$J$2:$J$197,0))</f>
        <v>34.852309030000001</v>
      </c>
      <c r="AN524" t="str">
        <f>IF(ISNUMBER(SEARCH("C", 'WetLitterbags placem_collection'!$X85)),"YES","NO")</f>
        <v>NO</v>
      </c>
      <c r="AO524" t="str">
        <f>IF(ISNUMBER(SEARCH("H", 'WetLitterbags placem_collection'!$X85)),"YES","NO")</f>
        <v>NO</v>
      </c>
      <c r="AP524" t="str">
        <f>IF(ISNUMBER(SEARCH("R", 'WetLitterbags placem_collection'!$X85)),"YES","NO")</f>
        <v>YES</v>
      </c>
    </row>
    <row r="525" spans="1:42" ht="15" customHeight="1">
      <c r="A525" t="s">
        <v>3248</v>
      </c>
      <c r="B525" s="248" t="s">
        <v>2454</v>
      </c>
      <c r="C525" s="253">
        <f>'Dry_Litterbag Placem_Collection'!A86</f>
        <v>84</v>
      </c>
      <c r="D525" s="253" t="str">
        <f>'Dry_Litterbag Placem_Collection'!B86</f>
        <v>Maswa</v>
      </c>
      <c r="E525" s="253" t="s">
        <v>2643</v>
      </c>
      <c r="F525" s="253" t="s">
        <v>2645</v>
      </c>
      <c r="G525" s="253">
        <v>3</v>
      </c>
      <c r="H525" s="253" t="s">
        <v>3114</v>
      </c>
      <c r="I525" s="254" t="str">
        <f>'Dry_Litterbag Placem_Collection'!C86</f>
        <v>Dry_W3_T4</v>
      </c>
      <c r="J525" s="263" t="s">
        <v>2932</v>
      </c>
      <c r="K525" s="256" t="s">
        <v>1147</v>
      </c>
      <c r="L525" s="221" t="str">
        <f>'WetLitterbags placem_collection'!O86</f>
        <v>G520</v>
      </c>
      <c r="M525" s="223">
        <f>IFERROR(INDEX('Green_rooibos initial weight'!$C$5:$C$2000,MATCH(L525, 'Green_rooibos initial weight'!$A$5:$A$2000,0)),"")</f>
        <v>1.929</v>
      </c>
      <c r="N525" s="223">
        <f>IFERROR(M525-(TBIcalc!$H$9+TBIcalc!$H$10),"")</f>
        <v>1.6792</v>
      </c>
      <c r="O525" s="378">
        <f>AVERAGE(Ashed_controlls!$K$2:$K$11)</f>
        <v>5.5147656768714146</v>
      </c>
      <c r="P525" s="223">
        <f t="shared" si="41"/>
        <v>1.5865960547539752</v>
      </c>
      <c r="Q525" s="223">
        <f>IFERROR(INDEX('Both teabags AfterWet'!$C$3:$C$840,MATCH(L525,'Both teabags AfterWet'!$A$3:$A$840,0)),"")</f>
        <v>0.81299999999999994</v>
      </c>
      <c r="R525" s="223">
        <f>IFERROR(IF(Q525&gt;0,Q525-(TBIcalc!$H$9),""),"")</f>
        <v>0.66239999999999988</v>
      </c>
      <c r="S525" s="223">
        <f>IFERROR(INDEX('Ashed teabags wet'!$K$2:$K$2000,MATCH(L525,'Ashed teabags wet'!$A$2:$A$2000,0)),"")</f>
        <v>10.723192019949995</v>
      </c>
      <c r="T525" s="223">
        <f t="shared" si="42"/>
        <v>0.59136957605985108</v>
      </c>
      <c r="U525" s="224">
        <f>'WetLitterbags placem_collection'!E86</f>
        <v>42767</v>
      </c>
      <c r="V525" s="224">
        <f>IF('WetLitterbags placem_collection'!G86="","",'WetLitterbags placem_collection'!G86)</f>
        <v>42819</v>
      </c>
      <c r="W525" s="225">
        <f t="shared" si="40"/>
        <v>52</v>
      </c>
      <c r="X525" s="223">
        <f t="shared" si="43"/>
        <v>1.0168000000000001</v>
      </c>
      <c r="Y525" s="223">
        <f t="shared" si="44"/>
        <v>0.99522647869412417</v>
      </c>
      <c r="Z525">
        <f>IFERROR(INDEX([1]Rainfall_Wet!$O$2:$O$217,MATCH(C525, [1]Rainfall_Wet!$A$2:$A$217,0)),"")</f>
        <v>194.93009798400001</v>
      </c>
      <c r="AA525" s="226">
        <v>38.691629007962128</v>
      </c>
      <c r="AB525" s="226">
        <v>26.81299763288143</v>
      </c>
      <c r="AC525" s="226">
        <v>34.495373359156439</v>
      </c>
      <c r="AD525" s="227" t="s">
        <v>2656</v>
      </c>
      <c r="AE525" s="226">
        <v>5.5483587974371602</v>
      </c>
      <c r="AF525">
        <f>IF('WetLitterbags placem_collection'!AB86="","",'WetLitterbags placem_collection'!AB86)</f>
        <v>5.5</v>
      </c>
      <c r="AG525">
        <f>IF('WetLitterbags placem_collection'!Z86="","",'WetLitterbags placem_collection'!Z86)</f>
        <v>55.8</v>
      </c>
      <c r="AH525" s="236" t="str">
        <f>IF('WetLitterbags placem_collection'!AA86="","",'WetLitterbags placem_collection'!AA86)</f>
        <v>M</v>
      </c>
      <c r="AI525">
        <f>IF('WetLitterbags placem_collection'!AC86="","",'WetLitterbags placem_collection'!AC86)</f>
        <v>1</v>
      </c>
      <c r="AJ525" s="233">
        <f>AVERAGE('WetLitterbags placem_collection'!S86,'WetLitterbags placem_collection'!U86)</f>
        <v>27.75</v>
      </c>
      <c r="AK525">
        <f>AVERAGE('WetLitterbags placem_collection'!R86,'WetLitterbags placem_collection'!T86)</f>
        <v>23.6</v>
      </c>
      <c r="AL525">
        <f>INDEX([2]Coordinates!$B$2:$B$197,MATCH(I525,[2]Coordinates!$J$2:$J$197,0))</f>
        <v>-3.295795005</v>
      </c>
      <c r="AM525">
        <f>INDEX([2]Coordinates!$C$2:$C$197,MATCH(I525,[2]Coordinates!$J$2:$J$197,0))</f>
        <v>34.85232001</v>
      </c>
      <c r="AN525" t="str">
        <f>IF(ISNUMBER(SEARCH("C", 'WetLitterbags placem_collection'!$X86)),"YES","NO")</f>
        <v>NO</v>
      </c>
      <c r="AO525" t="str">
        <f>IF(ISNUMBER(SEARCH("H", 'WetLitterbags placem_collection'!$X86)),"YES","NO")</f>
        <v>NO</v>
      </c>
      <c r="AP525" t="str">
        <f>IF(ISNUMBER(SEARCH("R", 'WetLitterbags placem_collection'!$X86)),"YES","NO")</f>
        <v>YES</v>
      </c>
    </row>
    <row r="526" spans="1:42" ht="15" customHeight="1">
      <c r="A526" t="s">
        <v>3248</v>
      </c>
      <c r="B526" s="248" t="s">
        <v>2454</v>
      </c>
      <c r="C526" s="253">
        <f>'Dry_Litterbag Placem_Collection'!A87</f>
        <v>85</v>
      </c>
      <c r="D526" s="253" t="str">
        <f>'Dry_Litterbag Placem_Collection'!B87</f>
        <v>Maswa</v>
      </c>
      <c r="E526" s="253" t="s">
        <v>2643</v>
      </c>
      <c r="F526" s="253" t="s">
        <v>2645</v>
      </c>
      <c r="G526" s="253">
        <v>3</v>
      </c>
      <c r="H526" s="253" t="s">
        <v>3114</v>
      </c>
      <c r="I526" s="254" t="str">
        <f>'Dry_Litterbag Placem_Collection'!C87</f>
        <v>Dry_W3_T5</v>
      </c>
      <c r="J526" s="263" t="s">
        <v>2932</v>
      </c>
      <c r="K526" s="256" t="s">
        <v>1147</v>
      </c>
      <c r="L526" s="221" t="str">
        <f>'WetLitterbags placem_collection'!O87</f>
        <v>G441</v>
      </c>
      <c r="M526" s="223">
        <f>IFERROR(INDEX('Green_rooibos initial weight'!$C$5:$C$2000,MATCH(L526, 'Green_rooibos initial weight'!$A$5:$A$2000,0)),"")</f>
        <v>2.1040000000000001</v>
      </c>
      <c r="N526" s="223">
        <f>IFERROR(M526-(TBIcalc!$H$9+TBIcalc!$H$10),"")</f>
        <v>1.8542000000000001</v>
      </c>
      <c r="O526" s="378">
        <f>AVERAGE(Ashed_controlls!$K$2:$K$11)</f>
        <v>5.5147656768714146</v>
      </c>
      <c r="P526" s="223">
        <f t="shared" si="41"/>
        <v>1.7519452148194503</v>
      </c>
      <c r="Q526" s="223">
        <f>IFERROR(INDEX('Both teabags AfterWet'!$C$3:$C$840,MATCH(L526,'Both teabags AfterWet'!$A$3:$A$840,0)),"")</f>
        <v>0.96599999999999997</v>
      </c>
      <c r="R526" s="223">
        <f>IFERROR(IF(Q526&gt;0,Q526-(TBIcalc!$H$9),""),"")</f>
        <v>0.8153999999999999</v>
      </c>
      <c r="S526" s="223">
        <f>IFERROR(INDEX('Ashed teabags wet'!$K$2:$K$2000,MATCH(L526,'Ashed teabags wet'!$A$2:$A$2000,0)),"")</f>
        <v>11.595639246779045</v>
      </c>
      <c r="T526" s="223">
        <f t="shared" si="42"/>
        <v>0.7208491575817636</v>
      </c>
      <c r="U526" s="224">
        <f>'WetLitterbags placem_collection'!E87</f>
        <v>42767</v>
      </c>
      <c r="V526" s="224">
        <f>IF('WetLitterbags placem_collection'!G87="","",'WetLitterbags placem_collection'!G87)</f>
        <v>42819</v>
      </c>
      <c r="W526" s="225">
        <f t="shared" si="40"/>
        <v>52</v>
      </c>
      <c r="X526" s="223">
        <f t="shared" si="43"/>
        <v>1.0388000000000002</v>
      </c>
      <c r="Y526" s="223">
        <f t="shared" si="44"/>
        <v>1.0310960572376868</v>
      </c>
      <c r="Z526">
        <f>IFERROR(INDEX([1]Rainfall_Wet!$O$2:$O$217,MATCH(C526, [1]Rainfall_Wet!$A$2:$A$217,0)),"")</f>
        <v>194.93009798400001</v>
      </c>
      <c r="AA526" s="226">
        <v>38.691629007962128</v>
      </c>
      <c r="AB526" s="226">
        <v>26.81299763288143</v>
      </c>
      <c r="AC526" s="226">
        <v>34.495373359156439</v>
      </c>
      <c r="AD526" s="227" t="s">
        <v>2656</v>
      </c>
      <c r="AE526" s="226">
        <v>6.5483587974371602</v>
      </c>
      <c r="AF526">
        <f>IF('WetLitterbags placem_collection'!AB87="","",'WetLitterbags placem_collection'!AB87)</f>
        <v>8.6</v>
      </c>
      <c r="AG526">
        <f>IF('WetLitterbags placem_collection'!Z87="","",'WetLitterbags placem_collection'!Z87)</f>
        <v>3.8</v>
      </c>
      <c r="AH526" s="236" t="str">
        <f>IF('WetLitterbags placem_collection'!AA87="","",'WetLitterbags placem_collection'!AA87)</f>
        <v>O</v>
      </c>
      <c r="AI526">
        <f>IF('WetLitterbags placem_collection'!AC87="","",'WetLitterbags placem_collection'!AC87)</f>
        <v>0</v>
      </c>
      <c r="AJ526" s="233">
        <f>AVERAGE('WetLitterbags placem_collection'!S87,'WetLitterbags placem_collection'!U87)</f>
        <v>26.55</v>
      </c>
      <c r="AK526">
        <f>AVERAGE('WetLitterbags placem_collection'!R87,'WetLitterbags placem_collection'!T87)</f>
        <v>23.15</v>
      </c>
      <c r="AL526">
        <f>INDEX([2]Coordinates!$B$2:$B$197,MATCH(I526,[2]Coordinates!$J$2:$J$197,0))</f>
        <v>-3.2957100119999998</v>
      </c>
      <c r="AM526">
        <f>INDEX([2]Coordinates!$C$2:$C$197,MATCH(I526,[2]Coordinates!$J$2:$J$197,0))</f>
        <v>34.852283970000002</v>
      </c>
      <c r="AN526" t="str">
        <f>IF(ISNUMBER(SEARCH("C", 'WetLitterbags placem_collection'!$X87)),"YES","NO")</f>
        <v>NO</v>
      </c>
      <c r="AO526" t="str">
        <f>IF(ISNUMBER(SEARCH("H", 'WetLitterbags placem_collection'!$X87)),"YES","NO")</f>
        <v>NO</v>
      </c>
      <c r="AP526" t="str">
        <f>IF(ISNUMBER(SEARCH("R", 'WetLitterbags placem_collection'!$X87)),"YES","NO")</f>
        <v>YES</v>
      </c>
    </row>
    <row r="527" spans="1:42" ht="15" customHeight="1">
      <c r="A527" t="s">
        <v>3248</v>
      </c>
      <c r="B527" s="248" t="s">
        <v>2454</v>
      </c>
      <c r="C527" s="253">
        <f>'Dry_Litterbag Placem_Collection'!A88</f>
        <v>86</v>
      </c>
      <c r="D527" s="253" t="str">
        <f>'Dry_Litterbag Placem_Collection'!B88</f>
        <v>Maswa</v>
      </c>
      <c r="E527" s="253" t="s">
        <v>2643</v>
      </c>
      <c r="F527" s="253" t="s">
        <v>2645</v>
      </c>
      <c r="G527" s="253">
        <v>3</v>
      </c>
      <c r="H527" s="253" t="s">
        <v>3114</v>
      </c>
      <c r="I527" s="254" t="str">
        <f>'Dry_Litterbag Placem_Collection'!C88</f>
        <v>Dry_W3_T6</v>
      </c>
      <c r="J527" s="263" t="s">
        <v>2932</v>
      </c>
      <c r="K527" s="256" t="s">
        <v>1147</v>
      </c>
      <c r="L527" s="221" t="str">
        <f>'WetLitterbags placem_collection'!O88</f>
        <v>G561</v>
      </c>
      <c r="M527" s="223">
        <f>IFERROR(INDEX('Green_rooibos initial weight'!$C$5:$C$2000,MATCH(L527, 'Green_rooibos initial weight'!$A$5:$A$2000,0)),"")</f>
        <v>2.1259999999999999</v>
      </c>
      <c r="N527" s="223">
        <f>IFERROR(M527-(TBIcalc!$H$9+TBIcalc!$H$10),"")</f>
        <v>1.8761999999999999</v>
      </c>
      <c r="O527" s="378">
        <f>AVERAGE(Ashed_controlls!$K$2:$K$11)</f>
        <v>5.5147656768714146</v>
      </c>
      <c r="P527" s="223">
        <f t="shared" si="41"/>
        <v>1.7727319663705383</v>
      </c>
      <c r="Q527" s="223">
        <f>IFERROR(INDEX('Both teabags AfterWet'!$C$3:$C$840,MATCH(L527,'Both teabags AfterWet'!$A$3:$A$840,0)),"")</f>
        <v>0.74650000000000005</v>
      </c>
      <c r="R527" s="223">
        <f>IFERROR(IF(Q527&gt;0,Q527-(TBIcalc!$H$9),""),"")</f>
        <v>0.5959000000000001</v>
      </c>
      <c r="S527" s="223">
        <f>IFERROR(INDEX('Ashed teabags wet'!$K$2:$K$2000,MATCH(L527,'Ashed teabags wet'!$A$2:$A$2000,0)),"")</f>
        <v>8.6978131212732563</v>
      </c>
      <c r="T527" s="223">
        <f t="shared" si="42"/>
        <v>0.54406973161033279</v>
      </c>
      <c r="U527" s="224">
        <f>'WetLitterbags placem_collection'!E88</f>
        <v>42767</v>
      </c>
      <c r="V527" s="224">
        <f>IF('WetLitterbags placem_collection'!G88="","",'WetLitterbags placem_collection'!G88)</f>
        <v>42819</v>
      </c>
      <c r="W527" s="225">
        <f t="shared" si="40"/>
        <v>52</v>
      </c>
      <c r="X527" s="223">
        <f t="shared" si="43"/>
        <v>1.2802999999999998</v>
      </c>
      <c r="Y527" s="223">
        <f t="shared" si="44"/>
        <v>1.2286622347602054</v>
      </c>
      <c r="Z527">
        <f>IFERROR(INDEX([1]Rainfall_Wet!$O$2:$O$217,MATCH(C527, [1]Rainfall_Wet!$A$2:$A$217,0)),"")</f>
        <v>194.93009798400001</v>
      </c>
      <c r="AA527" s="226">
        <v>38.691629007962128</v>
      </c>
      <c r="AB527" s="226">
        <v>26.81299763288143</v>
      </c>
      <c r="AC527" s="226">
        <v>34.495373359156439</v>
      </c>
      <c r="AD527" s="227" t="s">
        <v>2656</v>
      </c>
      <c r="AE527" s="226">
        <v>7.5483587974371602</v>
      </c>
      <c r="AF527">
        <f>IF('WetLitterbags placem_collection'!AB88="","",'WetLitterbags placem_collection'!AB88)</f>
        <v>3.7</v>
      </c>
      <c r="AG527">
        <f>IF('WetLitterbags placem_collection'!Z88="","",'WetLitterbags placem_collection'!Z88)</f>
        <v>7.5</v>
      </c>
      <c r="AH527" s="236" t="str">
        <f>IF('WetLitterbags placem_collection'!AA88="","",'WetLitterbags placem_collection'!AA88)</f>
        <v>O</v>
      </c>
      <c r="AI527">
        <f>IF('WetLitterbags placem_collection'!AC88="","",'WetLitterbags placem_collection'!AC88)</f>
        <v>0</v>
      </c>
      <c r="AJ527" s="233">
        <f>AVERAGE('WetLitterbags placem_collection'!S88,'WetLitterbags placem_collection'!U88)</f>
        <v>24.05</v>
      </c>
      <c r="AK527">
        <f>AVERAGE('WetLitterbags placem_collection'!R88,'WetLitterbags placem_collection'!T88)</f>
        <v>25.799999999999997</v>
      </c>
      <c r="AL527">
        <f>INDEX([2]Coordinates!$B$2:$B$197,MATCH(I527,[2]Coordinates!$J$2:$J$197,0))</f>
        <v>-3.2956140399999998</v>
      </c>
      <c r="AM527">
        <f>INDEX([2]Coordinates!$C$2:$C$197,MATCH(I527,[2]Coordinates!$J$2:$J$197,0))</f>
        <v>34.852137030000002</v>
      </c>
      <c r="AN527" t="str">
        <f>IF(ISNUMBER(SEARCH("C", 'WetLitterbags placem_collection'!$X88)),"YES","NO")</f>
        <v>NO</v>
      </c>
      <c r="AO527" t="str">
        <f>IF(ISNUMBER(SEARCH("H", 'WetLitterbags placem_collection'!$X88)),"YES","NO")</f>
        <v>NO</v>
      </c>
      <c r="AP527" t="str">
        <f>IF(ISNUMBER(SEARCH("R", 'WetLitterbags placem_collection'!$X88)),"YES","NO")</f>
        <v>YES</v>
      </c>
    </row>
    <row r="528" spans="1:42" ht="15" customHeight="1">
      <c r="A528" t="s">
        <v>3248</v>
      </c>
      <c r="B528" s="248" t="s">
        <v>2454</v>
      </c>
      <c r="C528" s="253">
        <f>'Dry_Litterbag Placem_Collection'!A89</f>
        <v>87</v>
      </c>
      <c r="D528" s="253" t="str">
        <f>'Dry_Litterbag Placem_Collection'!B89</f>
        <v>Maswa</v>
      </c>
      <c r="E528" s="253" t="s">
        <v>2643</v>
      </c>
      <c r="F528" s="253" t="s">
        <v>2645</v>
      </c>
      <c r="G528" s="253">
        <v>3</v>
      </c>
      <c r="H528" s="253" t="s">
        <v>3114</v>
      </c>
      <c r="I528" s="254" t="str">
        <f>'Dry_Litterbag Placem_Collection'!C89</f>
        <v>Dry_W3_T7</v>
      </c>
      <c r="J528" s="263" t="s">
        <v>2932</v>
      </c>
      <c r="K528" s="256" t="s">
        <v>1147</v>
      </c>
      <c r="L528" s="221" t="str">
        <f>'WetLitterbags placem_collection'!O89</f>
        <v>G632</v>
      </c>
      <c r="M528" s="223">
        <f>IFERROR(INDEX('Green_rooibos initial weight'!$C$5:$C$2000,MATCH(L528, 'Green_rooibos initial weight'!$A$5:$A$2000,0)),"")</f>
        <v>2.0779999999999998</v>
      </c>
      <c r="N528" s="223">
        <f>IFERROR(M528-(TBIcalc!$H$9+TBIcalc!$H$10),"")</f>
        <v>1.8281999999999998</v>
      </c>
      <c r="O528" s="378">
        <f>AVERAGE(Ashed_controlls!$K$2:$K$11)</f>
        <v>5.5147656768714146</v>
      </c>
      <c r="P528" s="223">
        <f t="shared" si="41"/>
        <v>1.7273790538954366</v>
      </c>
      <c r="Q528" s="223">
        <f>IFERROR(INDEX('Both teabags AfterWet'!$C$3:$C$840,MATCH(L528,'Both teabags AfterWet'!$A$3:$A$840,0)),"")</f>
        <v>0.81640000000000001</v>
      </c>
      <c r="R528" s="223">
        <f>IFERROR(IF(Q528&gt;0,Q528-(TBIcalc!$H$9),""),"")</f>
        <v>0.66579999999999995</v>
      </c>
      <c r="S528" s="223">
        <f>IFERROR(INDEX('Ashed teabags wet'!$K$2:$K$2000,MATCH(L528,'Ashed teabags wet'!$A$2:$A$2000,0)),"")</f>
        <v>14.564493098524098</v>
      </c>
      <c r="T528" s="223">
        <f t="shared" si="42"/>
        <v>0.56882960495002655</v>
      </c>
      <c r="U528" s="224">
        <f>'WetLitterbags placem_collection'!E89</f>
        <v>42767</v>
      </c>
      <c r="V528" s="224">
        <f>IF('WetLitterbags placem_collection'!G89="","",'WetLitterbags placem_collection'!G89)</f>
        <v>42819</v>
      </c>
      <c r="W528" s="225">
        <f t="shared" si="40"/>
        <v>52</v>
      </c>
      <c r="X528" s="223">
        <f t="shared" si="43"/>
        <v>1.1623999999999999</v>
      </c>
      <c r="Y528" s="223">
        <f t="shared" si="44"/>
        <v>1.15854944894541</v>
      </c>
      <c r="Z528">
        <f>IFERROR(INDEX([1]Rainfall_Wet!$O$2:$O$217,MATCH(C528, [1]Rainfall_Wet!$A$2:$A$217,0)),"")</f>
        <v>194.93009798400001</v>
      </c>
      <c r="AA528" s="226">
        <v>38.691629007962128</v>
      </c>
      <c r="AB528" s="226">
        <v>26.81299763288143</v>
      </c>
      <c r="AC528" s="226">
        <v>34.495373359156439</v>
      </c>
      <c r="AD528" s="227" t="s">
        <v>2656</v>
      </c>
      <c r="AE528" s="226">
        <v>8.5483587974371602</v>
      </c>
      <c r="AF528">
        <f>IF('WetLitterbags placem_collection'!AB89="","",'WetLitterbags placem_collection'!AB89)</f>
        <v>7.5</v>
      </c>
      <c r="AG528">
        <f>IF('WetLitterbags placem_collection'!Z89="","",'WetLitterbags placem_collection'!Z89)</f>
        <v>12.6</v>
      </c>
      <c r="AH528" s="236" t="str">
        <f>IF('WetLitterbags placem_collection'!AA89="","",'WetLitterbags placem_collection'!AA89)</f>
        <v>O</v>
      </c>
      <c r="AI528">
        <f>IF('WetLitterbags placem_collection'!AC89="","",'WetLitterbags placem_collection'!AC89)</f>
        <v>1</v>
      </c>
      <c r="AJ528" s="233">
        <f>AVERAGE('WetLitterbags placem_collection'!S89,'WetLitterbags placem_collection'!U89)</f>
        <v>25.85</v>
      </c>
      <c r="AK528">
        <f>AVERAGE('WetLitterbags placem_collection'!R89,'WetLitterbags placem_collection'!T89)</f>
        <v>21.55</v>
      </c>
      <c r="AL528">
        <f>INDEX([2]Coordinates!$B$2:$B$197,MATCH(I528,[2]Coordinates!$J$2:$J$197,0))</f>
        <v>-3.295904975</v>
      </c>
      <c r="AM528">
        <f>INDEX([2]Coordinates!$C$2:$C$197,MATCH(I528,[2]Coordinates!$J$2:$J$197,0))</f>
        <v>34.852136029999997</v>
      </c>
      <c r="AN528" t="str">
        <f>IF(ISNUMBER(SEARCH("C", 'WetLitterbags placem_collection'!$X89)),"YES","NO")</f>
        <v>NO</v>
      </c>
      <c r="AO528" t="str">
        <f>IF(ISNUMBER(SEARCH("H", 'WetLitterbags placem_collection'!$X89)),"YES","NO")</f>
        <v>NO</v>
      </c>
      <c r="AP528" t="str">
        <f>IF(ISNUMBER(SEARCH("R", 'WetLitterbags placem_collection'!$X89)),"YES","NO")</f>
        <v>YES</v>
      </c>
    </row>
    <row r="529" spans="1:42" ht="15" customHeight="1">
      <c r="A529" t="s">
        <v>3248</v>
      </c>
      <c r="B529" s="248" t="s">
        <v>2454</v>
      </c>
      <c r="C529" s="253">
        <f>'Dry_Litterbag Placem_Collection'!A90</f>
        <v>88</v>
      </c>
      <c r="D529" s="253" t="str">
        <f>'Dry_Litterbag Placem_Collection'!B90</f>
        <v>Maswa</v>
      </c>
      <c r="E529" s="253" t="s">
        <v>2643</v>
      </c>
      <c r="F529" s="253" t="s">
        <v>2645</v>
      </c>
      <c r="G529" s="253">
        <v>3</v>
      </c>
      <c r="H529" s="253" t="s">
        <v>3114</v>
      </c>
      <c r="I529" s="254" t="str">
        <f>'Dry_Litterbag Placem_Collection'!C90</f>
        <v>Dry_W3_T8</v>
      </c>
      <c r="J529" s="263" t="s">
        <v>2932</v>
      </c>
      <c r="K529" s="256" t="s">
        <v>1147</v>
      </c>
      <c r="L529" s="221" t="str">
        <f>'WetLitterbags placem_collection'!O90</f>
        <v>G611</v>
      </c>
      <c r="M529" s="223">
        <f>IFERROR(INDEX('Green_rooibos initial weight'!$C$5:$C$2000,MATCH(L529, 'Green_rooibos initial weight'!$A$5:$A$2000,0)),"")</f>
        <v>1.99</v>
      </c>
      <c r="N529" s="223">
        <f>IFERROR(M529-(TBIcalc!$H$9+TBIcalc!$H$10),"")</f>
        <v>1.7402</v>
      </c>
      <c r="O529" s="378">
        <f>AVERAGE(Ashed_controlls!$K$2:$K$11)</f>
        <v>5.5147656768714146</v>
      </c>
      <c r="P529" s="223">
        <f t="shared" si="41"/>
        <v>1.6442320476910837</v>
      </c>
      <c r="Q529" s="223">
        <f>IFERROR(INDEX('Both teabags AfterWet'!$C$3:$C$840,MATCH(L529,'Both teabags AfterWet'!$A$3:$A$840,0)),"")</f>
        <v>0.89510000000000001</v>
      </c>
      <c r="R529" s="223">
        <f>IFERROR(IF(Q529&gt;0,Q529-(TBIcalc!$H$9),""),"")</f>
        <v>0.74449999999999994</v>
      </c>
      <c r="S529" s="223">
        <f>IFERROR(INDEX('Ashed teabags wet'!$K$2:$K$2000,MATCH(L529,'Ashed teabags wet'!$A$2:$A$2000,0)),"")</f>
        <v>16.371681415929352</v>
      </c>
      <c r="T529" s="223">
        <f t="shared" si="42"/>
        <v>0.62261283185840588</v>
      </c>
      <c r="U529" s="224">
        <f>'WetLitterbags placem_collection'!E90</f>
        <v>42767</v>
      </c>
      <c r="V529" s="224">
        <f>IF('WetLitterbags placem_collection'!G90="","",'WetLitterbags placem_collection'!G90)</f>
        <v>42819</v>
      </c>
      <c r="W529" s="225">
        <f t="shared" si="40"/>
        <v>52</v>
      </c>
      <c r="X529" s="223">
        <f t="shared" si="43"/>
        <v>0.99570000000000003</v>
      </c>
      <c r="Y529" s="223">
        <f t="shared" si="44"/>
        <v>1.0216192158326778</v>
      </c>
      <c r="Z529" t="str">
        <f>IFERROR(INDEX([1]Rainfall_Wet!$O$2:$O$217,MATCH(C529, [1]Rainfall_Wet!$A$2:$A$217,0)),"")</f>
        <v/>
      </c>
      <c r="AA529" s="226">
        <v>38.691629007962128</v>
      </c>
      <c r="AB529" s="226">
        <v>26.81299763288143</v>
      </c>
      <c r="AC529" s="226">
        <v>34.495373359156439</v>
      </c>
      <c r="AD529" s="227" t="s">
        <v>2656</v>
      </c>
      <c r="AE529" s="226">
        <v>9.5483587974371602</v>
      </c>
      <c r="AF529" t="str">
        <f>IF('WetLitterbags placem_collection'!AB90="","",'WetLitterbags placem_collection'!AB90)</f>
        <v/>
      </c>
      <c r="AG529" t="str">
        <f>IF('WetLitterbags placem_collection'!Z90="","",'WetLitterbags placem_collection'!Z90)</f>
        <v/>
      </c>
      <c r="AH529" s="236" t="str">
        <f>IF('WetLitterbags placem_collection'!AA90="","",'WetLitterbags placem_collection'!AA90)</f>
        <v/>
      </c>
      <c r="AI529" t="str">
        <f>IF('WetLitterbags placem_collection'!AC90="","",'WetLitterbags placem_collection'!AC90)</f>
        <v/>
      </c>
      <c r="AJ529" s="233">
        <f>AVERAGE('WetLitterbags placem_collection'!S90,'WetLitterbags placem_collection'!U90)</f>
        <v>29.7</v>
      </c>
      <c r="AK529">
        <f>AVERAGE('WetLitterbags placem_collection'!R90,'WetLitterbags placem_collection'!T90)</f>
        <v>21.4</v>
      </c>
      <c r="AL529">
        <f>INDEX([2]Coordinates!$B$2:$B$197,MATCH(I529,[2]Coordinates!$J$2:$J$197,0))</f>
        <v>-3.2959530039999998</v>
      </c>
      <c r="AM529">
        <f>INDEX([2]Coordinates!$C$2:$C$197,MATCH(I529,[2]Coordinates!$J$2:$J$197,0))</f>
        <v>34.85242504</v>
      </c>
      <c r="AN529" t="str">
        <f>IF(ISNUMBER(SEARCH("C", 'WetLitterbags placem_collection'!$X90)),"YES","NO")</f>
        <v>NO</v>
      </c>
      <c r="AO529" t="str">
        <f>IF(ISNUMBER(SEARCH("H", 'WetLitterbags placem_collection'!$X90)),"YES","NO")</f>
        <v>NO</v>
      </c>
      <c r="AP529" t="str">
        <f>IF(ISNUMBER(SEARCH("R", 'WetLitterbags placem_collection'!$X90)),"YES","NO")</f>
        <v>NO</v>
      </c>
    </row>
    <row r="530" spans="1:42" ht="15" customHeight="1">
      <c r="A530" t="s">
        <v>3248</v>
      </c>
      <c r="B530" s="248" t="s">
        <v>2454</v>
      </c>
      <c r="C530" s="253">
        <f>'Dry_Litterbag Placem_Collection'!A91</f>
        <v>89</v>
      </c>
      <c r="D530" s="253" t="str">
        <f>'Dry_Litterbag Placem_Collection'!B91</f>
        <v>Maswa</v>
      </c>
      <c r="E530" s="253" t="s">
        <v>2643</v>
      </c>
      <c r="F530" s="253" t="s">
        <v>2645</v>
      </c>
      <c r="G530" s="253">
        <v>4</v>
      </c>
      <c r="H530" s="253" t="s">
        <v>3115</v>
      </c>
      <c r="I530" s="254" t="str">
        <f>'Dry_Litterbag Placem_Collection'!C91</f>
        <v>Dry_W4_T1</v>
      </c>
      <c r="J530" s="263" t="s">
        <v>2932</v>
      </c>
      <c r="K530" s="256" t="s">
        <v>1147</v>
      </c>
      <c r="L530" s="221" t="str">
        <f>'WetLitterbags placem_collection'!O91</f>
        <v>G469</v>
      </c>
      <c r="M530" s="223">
        <f>IFERROR(INDEX('Green_rooibos initial weight'!$C$5:$C$2000,MATCH(L530, 'Green_rooibos initial weight'!$A$5:$A$2000,0)),"")</f>
        <v>1.9630000000000001</v>
      </c>
      <c r="N530" s="223">
        <f>IFERROR(M530-(TBIcalc!$H$9+TBIcalc!$H$10),"")</f>
        <v>1.7132000000000001</v>
      </c>
      <c r="O530" s="378">
        <f>AVERAGE(Ashed_controlls!$K$2:$K$11)</f>
        <v>5.5147656768714146</v>
      </c>
      <c r="P530" s="223">
        <f t="shared" si="41"/>
        <v>1.618721034423839</v>
      </c>
      <c r="Q530" s="223">
        <f>IFERROR(INDEX('Both teabags AfterWet'!$C$3:$C$840,MATCH(L530,'Both teabags AfterWet'!$A$3:$A$840,0)),"")</f>
        <v>1.5169999999999999</v>
      </c>
      <c r="R530" s="223">
        <f>IFERROR(IF(Q530&gt;0,Q530-(TBIcalc!$H$9),""),"")</f>
        <v>1.3663999999999998</v>
      </c>
      <c r="S530" s="223">
        <f>IFERROR(INDEX('Ashed teabags wet'!$K$2:$K$2000,MATCH(L530,'Ashed teabags wet'!$A$2:$A$2000,0)),"")</f>
        <v>48.044965786901678</v>
      </c>
      <c r="T530" s="223">
        <f t="shared" si="42"/>
        <v>0.70991358748777544</v>
      </c>
      <c r="U530" s="224">
        <f>'WetLitterbags placem_collection'!E91</f>
        <v>42767</v>
      </c>
      <c r="V530" s="224">
        <f>IF('WetLitterbags placem_collection'!G91="","",'WetLitterbags placem_collection'!G91)</f>
        <v>42819</v>
      </c>
      <c r="W530" s="225">
        <f t="shared" si="40"/>
        <v>52</v>
      </c>
      <c r="X530" s="223">
        <f t="shared" si="43"/>
        <v>0.34680000000000022</v>
      </c>
      <c r="Y530" s="223">
        <f t="shared" si="44"/>
        <v>0.90880744693606352</v>
      </c>
      <c r="Z530">
        <f>IFERROR(INDEX([1]Rainfall_Wet!$O$2:$O$217,MATCH(C530, [1]Rainfall_Wet!$A$2:$A$217,0)),"")</f>
        <v>194.93009798400001</v>
      </c>
      <c r="AA530" s="226">
        <v>28.145762029394</v>
      </c>
      <c r="AB530" s="226">
        <v>25.085564727199518</v>
      </c>
      <c r="AC530" s="226">
        <v>46.768673243406489</v>
      </c>
      <c r="AD530" s="227" t="s">
        <v>2651</v>
      </c>
      <c r="AE530" s="226">
        <v>2.1716214884179394</v>
      </c>
      <c r="AF530">
        <f>IF('WetLitterbags placem_collection'!AB91="","",'WetLitterbags placem_collection'!AB91)</f>
        <v>7.3</v>
      </c>
      <c r="AG530">
        <f>IF('WetLitterbags placem_collection'!Z91="","",'WetLitterbags placem_collection'!Z91)</f>
        <v>35.799999999999997</v>
      </c>
      <c r="AH530" s="236" t="str">
        <f>IF('WetLitterbags placem_collection'!AA91="","",'WetLitterbags placem_collection'!AA91)</f>
        <v>O</v>
      </c>
      <c r="AI530">
        <f>IF('WetLitterbags placem_collection'!AC91="","",'WetLitterbags placem_collection'!AC91)</f>
        <v>0</v>
      </c>
      <c r="AJ530" s="233">
        <f>AVERAGE('WetLitterbags placem_collection'!S91,'WetLitterbags placem_collection'!U91)</f>
        <v>20.95</v>
      </c>
      <c r="AK530">
        <f>AVERAGE('WetLitterbags placem_collection'!R91,'WetLitterbags placem_collection'!T91)</f>
        <v>24.45</v>
      </c>
      <c r="AL530">
        <f>INDEX([2]Coordinates!$B$2:$B$197,MATCH(I530,[2]Coordinates!$J$2:$J$197,0))</f>
        <v>-3.2966709980000002</v>
      </c>
      <c r="AM530">
        <f>INDEX([2]Coordinates!$C$2:$C$197,MATCH(I530,[2]Coordinates!$J$2:$J$197,0))</f>
        <v>34.854407019999996</v>
      </c>
      <c r="AN530" t="str">
        <f>IF(ISNUMBER(SEARCH("C", 'WetLitterbags placem_collection'!$X91)),"YES","NO")</f>
        <v>NO</v>
      </c>
      <c r="AO530" t="str">
        <f>IF(ISNUMBER(SEARCH("H", 'WetLitterbags placem_collection'!$X91)),"YES","NO")</f>
        <v>NO</v>
      </c>
      <c r="AP530" t="str">
        <f>IF(ISNUMBER(SEARCH("R", 'WetLitterbags placem_collection'!$X91)),"YES","NO")</f>
        <v>YES</v>
      </c>
    </row>
    <row r="531" spans="1:42" ht="15" customHeight="1">
      <c r="A531" t="s">
        <v>3248</v>
      </c>
      <c r="B531" s="248" t="s">
        <v>2454</v>
      </c>
      <c r="C531" s="253">
        <f>'Dry_Litterbag Placem_Collection'!A92</f>
        <v>90</v>
      </c>
      <c r="D531" s="253" t="str">
        <f>'Dry_Litterbag Placem_Collection'!B92</f>
        <v>Maswa</v>
      </c>
      <c r="E531" s="253" t="s">
        <v>2643</v>
      </c>
      <c r="F531" s="253" t="s">
        <v>2645</v>
      </c>
      <c r="G531" s="253">
        <v>4</v>
      </c>
      <c r="H531" s="253" t="s">
        <v>3115</v>
      </c>
      <c r="I531" s="254" t="str">
        <f>'Dry_Litterbag Placem_Collection'!C92</f>
        <v>Dry_W4_T2</v>
      </c>
      <c r="J531" s="263" t="s">
        <v>2932</v>
      </c>
      <c r="K531" s="256" t="s">
        <v>1147</v>
      </c>
      <c r="L531" s="221" t="str">
        <f>'WetLitterbags placem_collection'!O92</f>
        <v>G355</v>
      </c>
      <c r="M531" s="223">
        <f>IFERROR(INDEX('Green_rooibos initial weight'!$C$5:$C$2000,MATCH(L531, 'Green_rooibos initial weight'!$A$5:$A$2000,0)),"")</f>
        <v>2.0489999999999999</v>
      </c>
      <c r="N531" s="223">
        <f>IFERROR(M531-(TBIcalc!$H$9+TBIcalc!$H$10),"")</f>
        <v>1.7991999999999999</v>
      </c>
      <c r="O531" s="378">
        <f>AVERAGE(Ashed_controlls!$K$2:$K$11)</f>
        <v>5.5147656768714146</v>
      </c>
      <c r="P531" s="223">
        <f t="shared" si="41"/>
        <v>1.6999783359417293</v>
      </c>
      <c r="Q531" s="223">
        <f>IFERROR(INDEX('Both teabags AfterWet'!$C$3:$C$840,MATCH(L531,'Both teabags AfterWet'!$A$3:$A$840,0)),"")</f>
        <v>0.78380000000000005</v>
      </c>
      <c r="R531" s="223">
        <f>IFERROR(IF(Q531&gt;0,Q531-(TBIcalc!$H$9),""),"")</f>
        <v>0.63319999999999999</v>
      </c>
      <c r="S531" s="223">
        <f>IFERROR(INDEX('Ashed teabags wet'!$K$2:$K$2000,MATCH(L531,'Ashed teabags wet'!$A$2:$A$2000,0)),"")</f>
        <v>6.6735644076571221</v>
      </c>
      <c r="T531" s="223">
        <f t="shared" si="42"/>
        <v>0.59094299017071505</v>
      </c>
      <c r="U531" s="224">
        <f>'WetLitterbags placem_collection'!E92</f>
        <v>42767</v>
      </c>
      <c r="V531" s="224">
        <f>IF('WetLitterbags placem_collection'!G92="","",'WetLitterbags placem_collection'!G92)</f>
        <v>42819</v>
      </c>
      <c r="W531" s="225">
        <f t="shared" si="40"/>
        <v>52</v>
      </c>
      <c r="X531" s="223">
        <f t="shared" si="43"/>
        <v>1.1659999999999999</v>
      </c>
      <c r="Y531" s="223">
        <f t="shared" si="44"/>
        <v>1.1090353457710143</v>
      </c>
      <c r="Z531">
        <f>IFERROR(INDEX([1]Rainfall_Wet!$O$2:$O$217,MATCH(C531, [1]Rainfall_Wet!$A$2:$A$217,0)),"")</f>
        <v>194.93009798400001</v>
      </c>
      <c r="AA531" s="226">
        <v>28.145762029394</v>
      </c>
      <c r="AB531" s="226">
        <v>25.085564727199518</v>
      </c>
      <c r="AC531" s="226">
        <v>46.768673243406489</v>
      </c>
      <c r="AD531" s="227" t="s">
        <v>2651</v>
      </c>
      <c r="AE531" s="226">
        <v>3.1716214884179399</v>
      </c>
      <c r="AF531">
        <f>IF('WetLitterbags placem_collection'!AB92="","",'WetLitterbags placem_collection'!AB92)</f>
        <v>7.7</v>
      </c>
      <c r="AG531">
        <f>IF('WetLitterbags placem_collection'!Z92="","",'WetLitterbags placem_collection'!Z92)</f>
        <v>30.4</v>
      </c>
      <c r="AH531" s="236" t="str">
        <f>IF('WetLitterbags placem_collection'!AA92="","",'WetLitterbags placem_collection'!AA92)</f>
        <v>O</v>
      </c>
      <c r="AI531">
        <f>IF('WetLitterbags placem_collection'!AC92="","",'WetLitterbags placem_collection'!AC92)</f>
        <v>0</v>
      </c>
      <c r="AJ531" s="233">
        <f>AVERAGE('WetLitterbags placem_collection'!S92,'WetLitterbags placem_collection'!U92)</f>
        <v>27.5</v>
      </c>
      <c r="AK531">
        <f>AVERAGE('WetLitterbags placem_collection'!R92,'WetLitterbags placem_collection'!T92)</f>
        <v>23.85</v>
      </c>
      <c r="AL531">
        <f>INDEX([2]Coordinates!$B$2:$B$197,MATCH(I531,[2]Coordinates!$J$2:$J$197,0))</f>
        <v>-3.2966860009999999</v>
      </c>
      <c r="AM531">
        <f>INDEX([2]Coordinates!$C$2:$C$197,MATCH(I531,[2]Coordinates!$J$2:$J$197,0))</f>
        <v>34.854371989999997</v>
      </c>
      <c r="AN531" t="str">
        <f>IF(ISNUMBER(SEARCH("C", 'WetLitterbags placem_collection'!$X92)),"YES","NO")</f>
        <v>NO</v>
      </c>
      <c r="AO531" t="str">
        <f>IF(ISNUMBER(SEARCH("H", 'WetLitterbags placem_collection'!$X92)),"YES","NO")</f>
        <v>NO</v>
      </c>
      <c r="AP531" t="str">
        <f>IF(ISNUMBER(SEARCH("R", 'WetLitterbags placem_collection'!$X92)),"YES","NO")</f>
        <v>NO</v>
      </c>
    </row>
    <row r="532" spans="1:42" ht="15" customHeight="1">
      <c r="A532" t="s">
        <v>3248</v>
      </c>
      <c r="B532" s="248" t="s">
        <v>2454</v>
      </c>
      <c r="C532" s="253">
        <f>'Dry_Litterbag Placem_Collection'!A93</f>
        <v>91</v>
      </c>
      <c r="D532" s="253" t="str">
        <f>'Dry_Litterbag Placem_Collection'!B93</f>
        <v>Maswa</v>
      </c>
      <c r="E532" s="253" t="s">
        <v>2643</v>
      </c>
      <c r="F532" s="253" t="s">
        <v>2645</v>
      </c>
      <c r="G532" s="253">
        <v>4</v>
      </c>
      <c r="H532" s="253" t="s">
        <v>3115</v>
      </c>
      <c r="I532" s="254" t="str">
        <f>'Dry_Litterbag Placem_Collection'!C93</f>
        <v>Dry_W4_T3</v>
      </c>
      <c r="J532" s="263" t="s">
        <v>2932</v>
      </c>
      <c r="K532" s="256" t="s">
        <v>1147</v>
      </c>
      <c r="L532" s="221" t="str">
        <f>'WetLitterbags placem_collection'!O93</f>
        <v>G547</v>
      </c>
      <c r="M532" s="223">
        <f>IFERROR(INDEX('Green_rooibos initial weight'!$C$5:$C$2000,MATCH(L532, 'Green_rooibos initial weight'!$A$5:$A$2000,0)),"")</f>
        <v>2.121</v>
      </c>
      <c r="N532" s="223">
        <f>IFERROR(M532-(TBIcalc!$H$9+TBIcalc!$H$10),"")</f>
        <v>1.8712</v>
      </c>
      <c r="O532" s="378">
        <f>AVERAGE(Ashed_controlls!$K$2:$K$11)</f>
        <v>5.5147656768714146</v>
      </c>
      <c r="P532" s="223">
        <f t="shared" si="41"/>
        <v>1.7680077046543821</v>
      </c>
      <c r="Q532" s="223">
        <f>IFERROR(INDEX('Both teabags AfterWet'!$C$3:$C$840,MATCH(L532,'Both teabags AfterWet'!$A$3:$A$840,0)),"")</f>
        <v>1.069</v>
      </c>
      <c r="R532" s="223">
        <f>IFERROR(IF(Q532&gt;0,Q532-(TBIcalc!$H$9),""),"")</f>
        <v>0.91839999999999988</v>
      </c>
      <c r="S532" s="223">
        <f>IFERROR(INDEX('Ashed teabags wet'!$K$2:$K$2000,MATCH(L532,'Ashed teabags wet'!$A$2:$A$2000,0)),"")</f>
        <v>26.348448687350785</v>
      </c>
      <c r="T532" s="223">
        <f t="shared" si="42"/>
        <v>0.67641584725537029</v>
      </c>
      <c r="U532" s="224">
        <f>'WetLitterbags placem_collection'!E93</f>
        <v>42767</v>
      </c>
      <c r="V532" s="224">
        <f>IF('WetLitterbags placem_collection'!G93="","",'WetLitterbags placem_collection'!G93)</f>
        <v>42819</v>
      </c>
      <c r="W532" s="225">
        <f t="shared" si="40"/>
        <v>52</v>
      </c>
      <c r="X532" s="223">
        <f t="shared" si="43"/>
        <v>0.95280000000000009</v>
      </c>
      <c r="Y532" s="223">
        <f t="shared" si="44"/>
        <v>1.0915918573990118</v>
      </c>
      <c r="Z532">
        <f>IFERROR(INDEX([1]Rainfall_Wet!$O$2:$O$217,MATCH(C532, [1]Rainfall_Wet!$A$2:$A$217,0)),"")</f>
        <v>194.93009798400001</v>
      </c>
      <c r="AA532" s="226">
        <v>28.145762029394</v>
      </c>
      <c r="AB532" s="226">
        <v>25.085564727199518</v>
      </c>
      <c r="AC532" s="226">
        <v>46.768673243406489</v>
      </c>
      <c r="AD532" s="227" t="s">
        <v>2651</v>
      </c>
      <c r="AE532" s="226">
        <v>4.1716214884179399</v>
      </c>
      <c r="AF532">
        <f>IF('WetLitterbags placem_collection'!AB93="","",'WetLitterbags placem_collection'!AB93)</f>
        <v>6.1</v>
      </c>
      <c r="AG532">
        <f>IF('WetLitterbags placem_collection'!Z93="","",'WetLitterbags placem_collection'!Z93)</f>
        <v>39.4</v>
      </c>
      <c r="AH532" s="236" t="str">
        <f>IF('WetLitterbags placem_collection'!AA93="","",'WetLitterbags placem_collection'!AA93)</f>
        <v>O</v>
      </c>
      <c r="AI532">
        <f>IF('WetLitterbags placem_collection'!AC93="","",'WetLitterbags placem_collection'!AC93)</f>
        <v>1</v>
      </c>
      <c r="AJ532" s="233">
        <f>AVERAGE('WetLitterbags placem_collection'!S93,'WetLitterbags placem_collection'!U93)</f>
        <v>26.4</v>
      </c>
      <c r="AK532">
        <f>AVERAGE('WetLitterbags placem_collection'!R93,'WetLitterbags placem_collection'!T93)</f>
        <v>24.35</v>
      </c>
      <c r="AL532">
        <f>INDEX([2]Coordinates!$B$2:$B$197,MATCH(I532,[2]Coordinates!$J$2:$J$197,0))</f>
        <v>-3.2966180239999998</v>
      </c>
      <c r="AM532">
        <f>INDEX([2]Coordinates!$C$2:$C$197,MATCH(I532,[2]Coordinates!$J$2:$J$197,0))</f>
        <v>34.854464020000002</v>
      </c>
      <c r="AN532" t="str">
        <f>IF(ISNUMBER(SEARCH("C", 'WetLitterbags placem_collection'!$X93)),"YES","NO")</f>
        <v>NO</v>
      </c>
      <c r="AO532" t="str">
        <f>IF(ISNUMBER(SEARCH("H", 'WetLitterbags placem_collection'!$X93)),"YES","NO")</f>
        <v>NO</v>
      </c>
      <c r="AP532" t="str">
        <f>IF(ISNUMBER(SEARCH("R", 'WetLitterbags placem_collection'!$X93)),"YES","NO")</f>
        <v>YES</v>
      </c>
    </row>
    <row r="533" spans="1:42" ht="15" customHeight="1">
      <c r="A533" t="s">
        <v>3248</v>
      </c>
      <c r="B533" s="248" t="s">
        <v>2454</v>
      </c>
      <c r="C533" s="253">
        <f>'Dry_Litterbag Placem_Collection'!A94</f>
        <v>92</v>
      </c>
      <c r="D533" s="253" t="str">
        <f>'Dry_Litterbag Placem_Collection'!B94</f>
        <v>Maswa</v>
      </c>
      <c r="E533" s="253" t="s">
        <v>2643</v>
      </c>
      <c r="F533" s="253" t="s">
        <v>2645</v>
      </c>
      <c r="G533" s="253">
        <v>4</v>
      </c>
      <c r="H533" s="253" t="s">
        <v>3115</v>
      </c>
      <c r="I533" s="254" t="str">
        <f>'Dry_Litterbag Placem_Collection'!C94</f>
        <v>Dry_W4_T4</v>
      </c>
      <c r="J533" s="263" t="s">
        <v>2932</v>
      </c>
      <c r="K533" s="256" t="s">
        <v>1147</v>
      </c>
      <c r="L533" s="221" t="str">
        <f>'WetLitterbags placem_collection'!O94</f>
        <v>G763</v>
      </c>
      <c r="M533" s="223">
        <f>IFERROR(INDEX('Green_rooibos initial weight'!$C$5:$C$2000,MATCH(L533, 'Green_rooibos initial weight'!$A$5:$A$2000,0)),"")</f>
        <v>2.0590000000000002</v>
      </c>
      <c r="N533" s="223">
        <f>IFERROR(M533-(TBIcalc!$H$9+TBIcalc!$H$10),"")</f>
        <v>1.8092000000000001</v>
      </c>
      <c r="O533" s="378">
        <f>AVERAGE(Ashed_controlls!$K$2:$K$11)</f>
        <v>5.5147656768714146</v>
      </c>
      <c r="P533" s="223">
        <f t="shared" si="41"/>
        <v>1.7094268593740425</v>
      </c>
      <c r="Q533" s="223">
        <f>IFERROR(INDEX('Both teabags AfterWet'!$C$3:$C$840,MATCH(L533,'Both teabags AfterWet'!$A$3:$A$840,0)),"")</f>
        <v>1.448</v>
      </c>
      <c r="R533" s="223">
        <f>IFERROR(IF(Q533&gt;0,Q533-(TBIcalc!$H$9),""),"")</f>
        <v>1.2973999999999999</v>
      </c>
      <c r="S533" s="223">
        <f>IFERROR(INDEX('Ashed teabags wet'!$K$2:$K$2000,MATCH(L533,'Ashed teabags wet'!$A$2:$A$2000,0)),"")</f>
        <v>39.468503937007327</v>
      </c>
      <c r="T533" s="223">
        <f t="shared" si="42"/>
        <v>0.78533562992126693</v>
      </c>
      <c r="U533" s="224">
        <f>'WetLitterbags placem_collection'!E94</f>
        <v>42767</v>
      </c>
      <c r="V533" s="224">
        <f>IF('WetLitterbags placem_collection'!G94="","",'WetLitterbags placem_collection'!G94)</f>
        <v>42819</v>
      </c>
      <c r="W533" s="225">
        <f t="shared" si="40"/>
        <v>52</v>
      </c>
      <c r="X533" s="223">
        <f t="shared" si="43"/>
        <v>0.51180000000000025</v>
      </c>
      <c r="Y533" s="223">
        <f t="shared" si="44"/>
        <v>0.92409122945277555</v>
      </c>
      <c r="Z533">
        <f>IFERROR(INDEX([1]Rainfall_Wet!$O$2:$O$217,MATCH(C533, [1]Rainfall_Wet!$A$2:$A$217,0)),"")</f>
        <v>194.93009798400001</v>
      </c>
      <c r="AA533" s="226">
        <v>28.145762029394</v>
      </c>
      <c r="AB533" s="226">
        <v>25.085564727199518</v>
      </c>
      <c r="AC533" s="226">
        <v>46.768673243406489</v>
      </c>
      <c r="AD533" s="227" t="s">
        <v>2651</v>
      </c>
      <c r="AE533" s="226">
        <v>5.1716214884179399</v>
      </c>
      <c r="AF533">
        <f>IF('WetLitterbags placem_collection'!AB94="","",'WetLitterbags placem_collection'!AB94)</f>
        <v>7.7</v>
      </c>
      <c r="AG533">
        <f>IF('WetLitterbags placem_collection'!Z94="","",'WetLitterbags placem_collection'!Z94)</f>
        <v>24.8</v>
      </c>
      <c r="AH533" s="236" t="str">
        <f>IF('WetLitterbags placem_collection'!AA94="","",'WetLitterbags placem_collection'!AA94)</f>
        <v>O</v>
      </c>
      <c r="AI533">
        <f>IF('WetLitterbags placem_collection'!AC94="","",'WetLitterbags placem_collection'!AC94)</f>
        <v>1</v>
      </c>
      <c r="AJ533" s="233">
        <f>AVERAGE('WetLitterbags placem_collection'!S94,'WetLitterbags placem_collection'!U94)</f>
        <v>26.45</v>
      </c>
      <c r="AK533">
        <f>AVERAGE('WetLitterbags placem_collection'!R94,'WetLitterbags placem_collection'!T94)</f>
        <v>22.6</v>
      </c>
      <c r="AL533">
        <f>INDEX([2]Coordinates!$B$2:$B$197,MATCH(I533,[2]Coordinates!$J$2:$J$197,0))</f>
        <v>-3.2965539860000002</v>
      </c>
      <c r="AM533">
        <f>INDEX([2]Coordinates!$C$2:$C$197,MATCH(I533,[2]Coordinates!$J$2:$J$197,0))</f>
        <v>34.854455969999997</v>
      </c>
      <c r="AN533" t="str">
        <f>IF(ISNUMBER(SEARCH("C", 'WetLitterbags placem_collection'!$X94)),"YES","NO")</f>
        <v>NO</v>
      </c>
      <c r="AO533" t="str">
        <f>IF(ISNUMBER(SEARCH("H", 'WetLitterbags placem_collection'!$X94)),"YES","NO")</f>
        <v>NO</v>
      </c>
      <c r="AP533" t="str">
        <f>IF(ISNUMBER(SEARCH("R", 'WetLitterbags placem_collection'!$X94)),"YES","NO")</f>
        <v>YES</v>
      </c>
    </row>
    <row r="534" spans="1:42" ht="15" customHeight="1">
      <c r="A534" t="s">
        <v>3248</v>
      </c>
      <c r="B534" s="248" t="s">
        <v>2454</v>
      </c>
      <c r="C534" s="253">
        <f>'Dry_Litterbag Placem_Collection'!A95</f>
        <v>93</v>
      </c>
      <c r="D534" s="253" t="str">
        <f>'Dry_Litterbag Placem_Collection'!B95</f>
        <v>Maswa</v>
      </c>
      <c r="E534" s="253" t="s">
        <v>2643</v>
      </c>
      <c r="F534" s="253" t="s">
        <v>2645</v>
      </c>
      <c r="G534" s="253">
        <v>4</v>
      </c>
      <c r="H534" s="253" t="s">
        <v>3115</v>
      </c>
      <c r="I534" s="254" t="str">
        <f>'Dry_Litterbag Placem_Collection'!C95</f>
        <v>Dry_W4_T5</v>
      </c>
      <c r="J534" s="263" t="s">
        <v>2932</v>
      </c>
      <c r="K534" s="256" t="s">
        <v>1147</v>
      </c>
      <c r="L534" s="221" t="str">
        <f>'WetLitterbags placem_collection'!O95</f>
        <v>G424</v>
      </c>
      <c r="M534" s="223">
        <f>IFERROR(INDEX('Green_rooibos initial weight'!$C$5:$C$2000,MATCH(L534, 'Green_rooibos initial weight'!$A$5:$A$2000,0)),"")</f>
        <v>1.9590000000000001</v>
      </c>
      <c r="N534" s="223">
        <f>IFERROR(M534-(TBIcalc!$H$9+TBIcalc!$H$10),"")</f>
        <v>1.7092000000000001</v>
      </c>
      <c r="O534" s="378">
        <f>AVERAGE(Ashed_controlls!$K$2:$K$11)</f>
        <v>5.5147656768714146</v>
      </c>
      <c r="P534" s="223">
        <f t="shared" si="41"/>
        <v>1.6149416250509139</v>
      </c>
      <c r="Q534" s="223">
        <f>IFERROR(INDEX('Both teabags AfterWet'!$C$3:$C$840,MATCH(L534,'Both teabags AfterWet'!$A$3:$A$840,0)),"")</f>
        <v>0.66039999999999999</v>
      </c>
      <c r="R534" s="223">
        <f>IFERROR(IF(Q534&gt;0,Q534-(TBIcalc!$H$9),""),"")</f>
        <v>0.50980000000000003</v>
      </c>
      <c r="S534" s="223">
        <f>IFERROR(INDEX('Ashed teabags wet'!$K$2:$K$2000,MATCH(L534,'Ashed teabags wet'!$A$2:$A$2000,0)),"")</f>
        <v>9.5166915794729583</v>
      </c>
      <c r="T534" s="223">
        <f t="shared" si="42"/>
        <v>0.46128390632784688</v>
      </c>
      <c r="U534" s="224">
        <f>'WetLitterbags placem_collection'!E95</f>
        <v>42767</v>
      </c>
      <c r="V534" s="224">
        <f>IF('WetLitterbags placem_collection'!G95="","",'WetLitterbags placem_collection'!G95)</f>
        <v>42819</v>
      </c>
      <c r="W534" s="225">
        <f t="shared" si="40"/>
        <v>52</v>
      </c>
      <c r="X534" s="223">
        <f t="shared" si="43"/>
        <v>1.1994</v>
      </c>
      <c r="Y534" s="223">
        <f t="shared" si="44"/>
        <v>1.153657718723067</v>
      </c>
      <c r="Z534">
        <f>IFERROR(INDEX([1]Rainfall_Wet!$O$2:$O$217,MATCH(C534, [1]Rainfall_Wet!$A$2:$A$217,0)),"")</f>
        <v>194.93009798400001</v>
      </c>
      <c r="AA534" s="226">
        <v>28.145762029394</v>
      </c>
      <c r="AB534" s="226">
        <v>25.085564727199518</v>
      </c>
      <c r="AC534" s="226">
        <v>46.768673243406489</v>
      </c>
      <c r="AD534" s="227" t="s">
        <v>2651</v>
      </c>
      <c r="AE534" s="226">
        <v>6.1716214884179399</v>
      </c>
      <c r="AF534">
        <f>IF('WetLitterbags placem_collection'!AB95="","",'WetLitterbags placem_collection'!AB95)</f>
        <v>6.6</v>
      </c>
      <c r="AG534">
        <f>IF('WetLitterbags placem_collection'!Z95="","",'WetLitterbags placem_collection'!Z95)</f>
        <v>40</v>
      </c>
      <c r="AH534" s="236" t="str">
        <f>IF('WetLitterbags placem_collection'!AA95="","",'WetLitterbags placem_collection'!AA95)</f>
        <v>O</v>
      </c>
      <c r="AI534">
        <f>IF('WetLitterbags placem_collection'!AC95="","",'WetLitterbags placem_collection'!AC95)</f>
        <v>1</v>
      </c>
      <c r="AJ534" s="233">
        <f>AVERAGE('WetLitterbags placem_collection'!S95,'WetLitterbags placem_collection'!U95)</f>
        <v>25.25</v>
      </c>
      <c r="AK534">
        <f>AVERAGE('WetLitterbags placem_collection'!R95,'WetLitterbags placem_collection'!T95)</f>
        <v>23.5</v>
      </c>
      <c r="AL534">
        <f>INDEX([2]Coordinates!$B$2:$B$197,MATCH(I534,[2]Coordinates!$J$2:$J$197,0))</f>
        <v>-3.2964789680000002</v>
      </c>
      <c r="AM534">
        <f>INDEX([2]Coordinates!$C$2:$C$197,MATCH(I534,[2]Coordinates!$J$2:$J$197,0))</f>
        <v>34.854331000000002</v>
      </c>
      <c r="AN534" t="str">
        <f>IF(ISNUMBER(SEARCH("C", 'WetLitterbags placem_collection'!$X95)),"YES","NO")</f>
        <v>NO</v>
      </c>
      <c r="AO534" t="str">
        <f>IF(ISNUMBER(SEARCH("H", 'WetLitterbags placem_collection'!$X95)),"YES","NO")</f>
        <v>NO</v>
      </c>
      <c r="AP534" t="str">
        <f>IF(ISNUMBER(SEARCH("R", 'WetLitterbags placem_collection'!$X95)),"YES","NO")</f>
        <v>YES</v>
      </c>
    </row>
    <row r="535" spans="1:42" ht="15" customHeight="1">
      <c r="A535" t="s">
        <v>3248</v>
      </c>
      <c r="B535" s="248" t="s">
        <v>2454</v>
      </c>
      <c r="C535" s="253">
        <f>'Dry_Litterbag Placem_Collection'!A96</f>
        <v>94</v>
      </c>
      <c r="D535" s="253" t="str">
        <f>'Dry_Litterbag Placem_Collection'!B96</f>
        <v>Maswa</v>
      </c>
      <c r="E535" s="253" t="s">
        <v>2643</v>
      </c>
      <c r="F535" s="253" t="s">
        <v>2645</v>
      </c>
      <c r="G535" s="253">
        <v>4</v>
      </c>
      <c r="H535" s="253" t="s">
        <v>3115</v>
      </c>
      <c r="I535" s="254" t="str">
        <f>'Dry_Litterbag Placem_Collection'!C96</f>
        <v>Dry_W4_T6</v>
      </c>
      <c r="J535" s="263" t="s">
        <v>2932</v>
      </c>
      <c r="K535" s="256" t="s">
        <v>1147</v>
      </c>
      <c r="L535" s="221" t="str">
        <f>'WetLitterbags placem_collection'!O96</f>
        <v>G588</v>
      </c>
      <c r="M535" s="223">
        <f>IFERROR(INDEX('Green_rooibos initial weight'!$C$5:$C$2000,MATCH(L535, 'Green_rooibos initial weight'!$A$5:$A$2000,0)),"")</f>
        <v>2.14</v>
      </c>
      <c r="N535" s="223">
        <f>IFERROR(M535-(TBIcalc!$H$9+TBIcalc!$H$10),"")</f>
        <v>1.8902000000000001</v>
      </c>
      <c r="O535" s="378">
        <f>AVERAGE(Ashed_controlls!$K$2:$K$11)</f>
        <v>5.5147656768714146</v>
      </c>
      <c r="P535" s="223">
        <f t="shared" si="41"/>
        <v>1.7859598991757766</v>
      </c>
      <c r="Q535" s="223" t="str">
        <f>IFERROR(INDEX('Both teabags AfterWet'!$C$3:$C$840,MATCH(L535,'Both teabags AfterWet'!$A$3:$A$840,0)),"")</f>
        <v/>
      </c>
      <c r="R535" s="223" t="str">
        <f>IFERROR(IF(Q535&gt;0,Q535-(TBIcalc!$H$9),""),"")</f>
        <v/>
      </c>
      <c r="S535" s="223" t="str">
        <f>IFERROR(INDEX('Ashed teabags wet'!$K$2:$K$2000,MATCH(L535,'Ashed teabags wet'!$A$2:$A$2000,0)),"")</f>
        <v/>
      </c>
      <c r="T535" s="223" t="str">
        <f t="shared" si="42"/>
        <v/>
      </c>
      <c r="U535" s="224">
        <f>'WetLitterbags placem_collection'!E96</f>
        <v>42767</v>
      </c>
      <c r="V535" s="224">
        <f>IF('WetLitterbags placem_collection'!G96="","",'WetLitterbags placem_collection'!G96)</f>
        <v>42819</v>
      </c>
      <c r="W535" s="225">
        <f t="shared" si="40"/>
        <v>52</v>
      </c>
      <c r="X535" s="223" t="str">
        <f t="shared" si="43"/>
        <v/>
      </c>
      <c r="Y535" s="223" t="str">
        <f t="shared" si="44"/>
        <v/>
      </c>
      <c r="Z535" t="str">
        <f>IFERROR(INDEX([1]Rainfall_Wet!$O$2:$O$217,MATCH(C535, [1]Rainfall_Wet!$A$2:$A$217,0)),"")</f>
        <v/>
      </c>
      <c r="AA535" s="226">
        <v>28.145762029394</v>
      </c>
      <c r="AB535" s="226">
        <v>25.085564727199518</v>
      </c>
      <c r="AC535" s="226">
        <v>46.768673243406489</v>
      </c>
      <c r="AD535" s="227" t="s">
        <v>2651</v>
      </c>
      <c r="AE535" s="226">
        <v>7.1716214884179399</v>
      </c>
      <c r="AF535" t="str">
        <f>IF('WetLitterbags placem_collection'!AB96="","",'WetLitterbags placem_collection'!AB96)</f>
        <v/>
      </c>
      <c r="AG535" t="str">
        <f>IF('WetLitterbags placem_collection'!Z96="","",'WetLitterbags placem_collection'!Z96)</f>
        <v/>
      </c>
      <c r="AH535" s="236" t="str">
        <f>IF('WetLitterbags placem_collection'!AA96="","",'WetLitterbags placem_collection'!AA96)</f>
        <v/>
      </c>
      <c r="AI535" t="str">
        <f>IF('WetLitterbags placem_collection'!AC96="","",'WetLitterbags placem_collection'!AC96)</f>
        <v/>
      </c>
      <c r="AJ535" s="233">
        <f>AVERAGE('WetLitterbags placem_collection'!S96,'WetLitterbags placem_collection'!U96)</f>
        <v>36.200000000000003</v>
      </c>
      <c r="AK535">
        <f>AVERAGE('WetLitterbags placem_collection'!R96,'WetLitterbags placem_collection'!T96)</f>
        <v>22</v>
      </c>
      <c r="AL535">
        <f>INDEX([2]Coordinates!$B$2:$B$197,MATCH(I535,[2]Coordinates!$J$2:$J$197,0))</f>
        <v>-3.2964649700000002</v>
      </c>
      <c r="AM535">
        <f>INDEX([2]Coordinates!$C$2:$C$197,MATCH(I535,[2]Coordinates!$J$2:$J$197,0))</f>
        <v>34.854340970000003</v>
      </c>
      <c r="AN535" t="str">
        <f>IF(ISNUMBER(SEARCH("C", 'WetLitterbags placem_collection'!$X96)),"YES","NO")</f>
        <v>NO</v>
      </c>
      <c r="AO535" t="str">
        <f>IF(ISNUMBER(SEARCH("H", 'WetLitterbags placem_collection'!$X96)),"YES","NO")</f>
        <v>NO</v>
      </c>
      <c r="AP535" t="str">
        <f>IF(ISNUMBER(SEARCH("R", 'WetLitterbags placem_collection'!$X96)),"YES","NO")</f>
        <v>NO</v>
      </c>
    </row>
    <row r="536" spans="1:42" ht="15" customHeight="1">
      <c r="A536" t="s">
        <v>3248</v>
      </c>
      <c r="B536" s="248" t="s">
        <v>2454</v>
      </c>
      <c r="C536" s="253">
        <f>'Dry_Litterbag Placem_Collection'!A97</f>
        <v>95</v>
      </c>
      <c r="D536" s="253" t="str">
        <f>'Dry_Litterbag Placem_Collection'!B97</f>
        <v>Maswa</v>
      </c>
      <c r="E536" s="253" t="s">
        <v>2643</v>
      </c>
      <c r="F536" s="253" t="s">
        <v>2645</v>
      </c>
      <c r="G536" s="253">
        <v>4</v>
      </c>
      <c r="H536" s="253" t="s">
        <v>3115</v>
      </c>
      <c r="I536" s="254" t="str">
        <f>'Dry_Litterbag Placem_Collection'!C97</f>
        <v>Dry_W4_T7</v>
      </c>
      <c r="J536" s="263" t="s">
        <v>2932</v>
      </c>
      <c r="K536" s="256" t="s">
        <v>1147</v>
      </c>
      <c r="L536" s="221" t="str">
        <f>'WetLitterbags placem_collection'!O97</f>
        <v>G486</v>
      </c>
      <c r="M536" s="223">
        <f>IFERROR(INDEX('Green_rooibos initial weight'!$C$5:$C$2000,MATCH(L536, 'Green_rooibos initial weight'!$A$5:$A$2000,0)),"")</f>
        <v>2.0049999999999999</v>
      </c>
      <c r="N536" s="223">
        <f>IFERROR(M536-(TBIcalc!$H$9+TBIcalc!$H$10),"")</f>
        <v>1.7551999999999999</v>
      </c>
      <c r="O536" s="378">
        <f>AVERAGE(Ashed_controlls!$K$2:$K$11)</f>
        <v>5.5147656768714146</v>
      </c>
      <c r="P536" s="223">
        <f t="shared" si="41"/>
        <v>1.6584048328395529</v>
      </c>
      <c r="Q536" s="223">
        <f>IFERROR(INDEX('Both teabags AfterWet'!$C$3:$C$840,MATCH(L536,'Both teabags AfterWet'!$A$3:$A$840,0)),"")</f>
        <v>0.90400000000000003</v>
      </c>
      <c r="R536" s="223">
        <f>IFERROR(IF(Q536&gt;0,Q536-(TBIcalc!$H$9),""),"")</f>
        <v>0.75340000000000007</v>
      </c>
      <c r="S536" s="223">
        <f>IFERROR(INDEX('Ashed teabags wet'!$K$2:$K$2000,MATCH(L536,'Ashed teabags wet'!$A$2:$A$2000,0)),"")</f>
        <v>17.120622568093445</v>
      </c>
      <c r="T536" s="223">
        <f t="shared" si="42"/>
        <v>0.62441322957198397</v>
      </c>
      <c r="U536" s="224">
        <f>'WetLitterbags placem_collection'!E97</f>
        <v>42767</v>
      </c>
      <c r="V536" s="224">
        <f>IF('WetLitterbags placem_collection'!G97="","",'WetLitterbags placem_collection'!G97)</f>
        <v>42819</v>
      </c>
      <c r="W536" s="225">
        <f t="shared" si="40"/>
        <v>52</v>
      </c>
      <c r="X536" s="223">
        <f t="shared" si="43"/>
        <v>1.0017999999999998</v>
      </c>
      <c r="Y536" s="223">
        <f t="shared" si="44"/>
        <v>1.0339916032675689</v>
      </c>
      <c r="Z536">
        <f>IFERROR(INDEX([1]Rainfall_Wet!$O$2:$O$217,MATCH(C536, [1]Rainfall_Wet!$A$2:$A$217,0)),"")</f>
        <v>194.93009798400001</v>
      </c>
      <c r="AA536" s="226">
        <v>28.145762029394</v>
      </c>
      <c r="AB536" s="226">
        <v>25.085564727199518</v>
      </c>
      <c r="AC536" s="226">
        <v>46.768673243406489</v>
      </c>
      <c r="AD536" s="227" t="s">
        <v>2651</v>
      </c>
      <c r="AE536" s="226">
        <v>8.1716214884179408</v>
      </c>
      <c r="AF536">
        <f>IF('WetLitterbags placem_collection'!AB97="","",'WetLitterbags placem_collection'!AB97)</f>
        <v>5.4</v>
      </c>
      <c r="AG536">
        <f>IF('WetLitterbags placem_collection'!Z97="","",'WetLitterbags placem_collection'!Z97)</f>
        <v>15.2</v>
      </c>
      <c r="AH536" s="236" t="str">
        <f>IF('WetLitterbags placem_collection'!AA97="","",'WetLitterbags placem_collection'!AA97)</f>
        <v>O</v>
      </c>
      <c r="AI536">
        <f>IF('WetLitterbags placem_collection'!AC97="","",'WetLitterbags placem_collection'!AC97)</f>
        <v>0</v>
      </c>
      <c r="AJ536" s="233">
        <f>AVERAGE('WetLitterbags placem_collection'!S97,'WetLitterbags placem_collection'!U97)</f>
        <v>28.85</v>
      </c>
      <c r="AK536">
        <f>AVERAGE('WetLitterbags placem_collection'!R97,'WetLitterbags placem_collection'!T97)</f>
        <v>23.2</v>
      </c>
      <c r="AL536">
        <f>INDEX([2]Coordinates!$B$2:$B$197,MATCH(I536,[2]Coordinates!$J$2:$J$197,0))</f>
        <v>-3.296725983</v>
      </c>
      <c r="AM536">
        <f>INDEX([2]Coordinates!$C$2:$C$197,MATCH(I536,[2]Coordinates!$J$2:$J$197,0))</f>
        <v>34.854216000000001</v>
      </c>
      <c r="AN536" t="str">
        <f>IF(ISNUMBER(SEARCH("C", 'WetLitterbags placem_collection'!$X97)),"YES","NO")</f>
        <v>NO</v>
      </c>
      <c r="AO536" t="str">
        <f>IF(ISNUMBER(SEARCH("H", 'WetLitterbags placem_collection'!$X97)),"YES","NO")</f>
        <v>NO</v>
      </c>
      <c r="AP536" t="str">
        <f>IF(ISNUMBER(SEARCH("R", 'WetLitterbags placem_collection'!$X97)),"YES","NO")</f>
        <v>YES</v>
      </c>
    </row>
    <row r="537" spans="1:42" ht="15" customHeight="1">
      <c r="A537" t="s">
        <v>3248</v>
      </c>
      <c r="B537" s="248" t="s">
        <v>2454</v>
      </c>
      <c r="C537" s="253">
        <f>'Dry_Litterbag Placem_Collection'!A98</f>
        <v>96</v>
      </c>
      <c r="D537" s="253" t="str">
        <f>'Dry_Litterbag Placem_Collection'!B98</f>
        <v>Maswa</v>
      </c>
      <c r="E537" s="253" t="s">
        <v>2643</v>
      </c>
      <c r="F537" s="253" t="s">
        <v>2645</v>
      </c>
      <c r="G537" s="253">
        <v>4</v>
      </c>
      <c r="H537" s="253" t="s">
        <v>3115</v>
      </c>
      <c r="I537" s="254" t="str">
        <f>'Dry_Litterbag Placem_Collection'!C98</f>
        <v>Dry_W4_T8</v>
      </c>
      <c r="J537" s="263" t="s">
        <v>2932</v>
      </c>
      <c r="K537" s="256" t="s">
        <v>1147</v>
      </c>
      <c r="L537" s="221" t="str">
        <f>'WetLitterbags placem_collection'!O98</f>
        <v>G545</v>
      </c>
      <c r="M537" s="223">
        <f>IFERROR(INDEX('Green_rooibos initial weight'!$C$5:$C$2000,MATCH(L537, 'Green_rooibos initial weight'!$A$5:$A$2000,0)),"")</f>
        <v>2.0720000000000001</v>
      </c>
      <c r="N537" s="223">
        <f>IFERROR(M537-(TBIcalc!$H$9+TBIcalc!$H$10),"")</f>
        <v>1.8222</v>
      </c>
      <c r="O537" s="378">
        <f>AVERAGE(Ashed_controlls!$K$2:$K$11)</f>
        <v>5.5147656768714146</v>
      </c>
      <c r="P537" s="223">
        <f t="shared" si="41"/>
        <v>1.7217099398360491</v>
      </c>
      <c r="Q537" s="223">
        <f>IFERROR(INDEX('Both teabags AfterWet'!$C$3:$C$840,MATCH(L537,'Both teabags AfterWet'!$A$3:$A$840,0)),"")</f>
        <v>0.73950000000000005</v>
      </c>
      <c r="R537" s="223">
        <f>IFERROR(IF(Q537&gt;0,Q537-(TBIcalc!$H$9),""),"")</f>
        <v>0.58889999999999998</v>
      </c>
      <c r="S537" s="223">
        <f>IFERROR(INDEX('Ashed teabags wet'!$K$2:$K$2000,MATCH(L537,'Ashed teabags wet'!$A$2:$A$2000,0)),"")</f>
        <v>13.426156141222759</v>
      </c>
      <c r="T537" s="223">
        <f t="shared" si="42"/>
        <v>0.50983336648433919</v>
      </c>
      <c r="U537" s="224">
        <f>'WetLitterbags placem_collection'!E98</f>
        <v>42767</v>
      </c>
      <c r="V537" s="224">
        <f>IF('WetLitterbags placem_collection'!G98="","",'WetLitterbags placem_collection'!G98)</f>
        <v>42819</v>
      </c>
      <c r="W537" s="225">
        <f t="shared" si="40"/>
        <v>52</v>
      </c>
      <c r="X537" s="223">
        <f t="shared" si="43"/>
        <v>1.2333000000000001</v>
      </c>
      <c r="Y537" s="223">
        <f t="shared" si="44"/>
        <v>1.2118765733517098</v>
      </c>
      <c r="Z537">
        <f>IFERROR(INDEX([1]Rainfall_Wet!$O$2:$O$217,MATCH(C537, [1]Rainfall_Wet!$A$2:$A$217,0)),"")</f>
        <v>194.93009798400001</v>
      </c>
      <c r="AA537" s="226">
        <v>28.145762029394</v>
      </c>
      <c r="AB537" s="226">
        <v>25.085564727199518</v>
      </c>
      <c r="AC537" s="226">
        <v>46.768673243406489</v>
      </c>
      <c r="AD537" s="227" t="s">
        <v>2651</v>
      </c>
      <c r="AE537" s="226">
        <v>9.1716214884179408</v>
      </c>
      <c r="AF537">
        <f>IF('WetLitterbags placem_collection'!AB98="","",'WetLitterbags placem_collection'!AB98)</f>
        <v>4</v>
      </c>
      <c r="AG537">
        <f>IF('WetLitterbags placem_collection'!Z98="","",'WetLitterbags placem_collection'!Z98)</f>
        <v>34.4</v>
      </c>
      <c r="AH537" s="236" t="str">
        <f>IF('WetLitterbags placem_collection'!AA98="","",'WetLitterbags placem_collection'!AA98)</f>
        <v>O</v>
      </c>
      <c r="AI537">
        <f>IF('WetLitterbags placem_collection'!AC98="","",'WetLitterbags placem_collection'!AC98)</f>
        <v>0</v>
      </c>
      <c r="AJ537" s="233">
        <f>AVERAGE('WetLitterbags placem_collection'!S98,'WetLitterbags placem_collection'!U98)</f>
        <v>16.799999999999997</v>
      </c>
      <c r="AK537">
        <f>AVERAGE('WetLitterbags placem_collection'!R98,'WetLitterbags placem_collection'!T98)</f>
        <v>24.3</v>
      </c>
      <c r="AL537">
        <f>INDEX([2]Coordinates!$B$2:$B$197,MATCH(I537,[2]Coordinates!$J$2:$J$197,0))</f>
        <v>-3.2968360369999998</v>
      </c>
      <c r="AM537">
        <f>INDEX([2]Coordinates!$C$2:$C$197,MATCH(I537,[2]Coordinates!$J$2:$J$197,0))</f>
        <v>34.854462009999999</v>
      </c>
      <c r="AN537" t="str">
        <f>IF(ISNUMBER(SEARCH("C", 'WetLitterbags placem_collection'!$X98)),"YES","NO")</f>
        <v>NO</v>
      </c>
      <c r="AO537" t="str">
        <f>IF(ISNUMBER(SEARCH("H", 'WetLitterbags placem_collection'!$X98)),"YES","NO")</f>
        <v>NO</v>
      </c>
      <c r="AP537" t="str">
        <f>IF(ISNUMBER(SEARCH("R", 'WetLitterbags placem_collection'!$X98)),"YES","NO")</f>
        <v>YES</v>
      </c>
    </row>
    <row r="538" spans="1:42" ht="15" customHeight="1">
      <c r="A538" t="s">
        <v>3248</v>
      </c>
      <c r="B538" s="248" t="s">
        <v>2454</v>
      </c>
      <c r="C538" s="253">
        <f>'Dry_Litterbag Placem_Collection'!A99</f>
        <v>97</v>
      </c>
      <c r="D538" s="253" t="str">
        <f>'Dry_Litterbag Placem_Collection'!B99</f>
        <v xml:space="preserve">Mwantimba
</v>
      </c>
      <c r="E538" s="253" t="s">
        <v>2454</v>
      </c>
      <c r="F538" s="253" t="s">
        <v>2644</v>
      </c>
      <c r="G538" s="253">
        <v>1</v>
      </c>
      <c r="H538" s="253" t="s">
        <v>3116</v>
      </c>
      <c r="I538" s="254" t="str">
        <f>'Dry_Litterbag Placem_Collection'!C99</f>
        <v>Wet_Ag1_T1</v>
      </c>
      <c r="J538" s="263" t="s">
        <v>2932</v>
      </c>
      <c r="K538" s="256" t="s">
        <v>1147</v>
      </c>
      <c r="L538" s="221" t="str">
        <f>'WetLitterbags placem_collection'!O99</f>
        <v>G847</v>
      </c>
      <c r="M538" s="223">
        <f>IFERROR(INDEX('Green_rooibos initial weight'!$C$5:$C$2000,MATCH(L538, 'Green_rooibos initial weight'!$A$5:$A$2000,0)),"")</f>
        <v>2.1019999999999999</v>
      </c>
      <c r="N538" s="223">
        <f>IFERROR(M538-(TBIcalc!$H$9+TBIcalc!$H$10),"")</f>
        <v>1.8521999999999998</v>
      </c>
      <c r="O538" s="378">
        <f>AVERAGE(Ashed_controlls!$K$2:$K$11)</f>
        <v>5.5147656768714146</v>
      </c>
      <c r="P538" s="223">
        <f t="shared" si="41"/>
        <v>1.7500555101329875</v>
      </c>
      <c r="Q538" s="223">
        <f>IFERROR(INDEX('Both teabags AfterWet'!$C$3:$C$840,MATCH(L538,'Both teabags AfterWet'!$A$3:$A$840,0)),"")</f>
        <v>0.61809999999999998</v>
      </c>
      <c r="R538" s="223">
        <f>IFERROR(IF(Q538&gt;0,Q538-(TBIcalc!$H$9),""),"")</f>
        <v>0.46749999999999997</v>
      </c>
      <c r="S538" s="223">
        <f>IFERROR(INDEX('Ashed teabags wet'!$K$2:$K$2000,MATCH(L538,'Ashed teabags wet'!$A$2:$A$2000,0)),"")</f>
        <v>21.620325982741679</v>
      </c>
      <c r="T538" s="223">
        <f t="shared" si="42"/>
        <v>0.36642497603068264</v>
      </c>
      <c r="U538" s="224">
        <f>'WetLitterbags placem_collection'!E99</f>
        <v>42762</v>
      </c>
      <c r="V538" s="224">
        <f>IF('WetLitterbags placem_collection'!G99="","",'WetLitterbags placem_collection'!G99)</f>
        <v>42816</v>
      </c>
      <c r="W538" s="225">
        <f t="shared" si="40"/>
        <v>54</v>
      </c>
      <c r="X538" s="223">
        <f t="shared" si="43"/>
        <v>1.3846999999999998</v>
      </c>
      <c r="Y538" s="223">
        <f t="shared" si="44"/>
        <v>1.383630534102305</v>
      </c>
      <c r="Z538">
        <f>IFERROR(INDEX([1]Rainfall_Wet!$O$2:$O$217,MATCH(C538, [1]Rainfall_Wet!$A$2:$A$217,0)),"")</f>
        <v>206.85140822299999</v>
      </c>
      <c r="AA538" s="226">
        <v>45.96</v>
      </c>
      <c r="AB538" s="226">
        <v>14.920000000000003</v>
      </c>
      <c r="AC538" s="226">
        <v>39.119999999999997</v>
      </c>
      <c r="AD538" s="227" t="s">
        <v>2654</v>
      </c>
      <c r="AE538" s="226">
        <v>2.0374568753080333</v>
      </c>
      <c r="AF538">
        <f>IF('WetLitterbags placem_collection'!AB99="","",'WetLitterbags placem_collection'!AB99)</f>
        <v>2.4</v>
      </c>
      <c r="AG538">
        <f>IF('WetLitterbags placem_collection'!Z99="","",'WetLitterbags placem_collection'!Z99)</f>
        <v>8.9</v>
      </c>
      <c r="AH538" s="236" t="str">
        <f>IF('WetLitterbags placem_collection'!AA99="","",'WetLitterbags placem_collection'!AA99)</f>
        <v>G</v>
      </c>
      <c r="AI538">
        <f>IF('WetLitterbags placem_collection'!AC99="","",'WetLitterbags placem_collection'!AC99)</f>
        <v>1</v>
      </c>
      <c r="AJ538" s="233">
        <f>AVERAGE('WetLitterbags placem_collection'!S99,'WetLitterbags placem_collection'!U99)</f>
        <v>19.25</v>
      </c>
      <c r="AK538">
        <f>AVERAGE('WetLitterbags placem_collection'!R99,'WetLitterbags placem_collection'!T99)</f>
        <v>28.75</v>
      </c>
      <c r="AL538">
        <f>INDEX([2]Coordinates!$B$2:$B$197,MATCH(I538,[2]Coordinates!$J$2:$J$197,0))</f>
        <v>-2.3691620310000001</v>
      </c>
      <c r="AM538">
        <f>INDEX([2]Coordinates!$C$2:$C$197,MATCH(I538,[2]Coordinates!$J$2:$J$197,0))</f>
        <v>34.06028104</v>
      </c>
      <c r="AN538" t="str">
        <f>IF(ISNUMBER(SEARCH("C", 'WetLitterbags placem_collection'!$X99)),"YES","NO")</f>
        <v>NO</v>
      </c>
      <c r="AO538" t="str">
        <f>IF(ISNUMBER(SEARCH("H", 'WetLitterbags placem_collection'!$X99)),"YES","NO")</f>
        <v>NO</v>
      </c>
      <c r="AP538" t="str">
        <f>IF(ISNUMBER(SEARCH("R", 'WetLitterbags placem_collection'!$X99)),"YES","NO")</f>
        <v>NO</v>
      </c>
    </row>
    <row r="539" spans="1:42" ht="15" customHeight="1">
      <c r="A539" t="s">
        <v>3248</v>
      </c>
      <c r="B539" s="248" t="s">
        <v>2454</v>
      </c>
      <c r="C539" s="253">
        <f>'Dry_Litterbag Placem_Collection'!A100</f>
        <v>98</v>
      </c>
      <c r="D539" s="253" t="str">
        <f>'Dry_Litterbag Placem_Collection'!B100</f>
        <v xml:space="preserve">Mwantimba
</v>
      </c>
      <c r="E539" s="253" t="s">
        <v>2454</v>
      </c>
      <c r="F539" s="253" t="s">
        <v>2644</v>
      </c>
      <c r="G539" s="253">
        <v>1</v>
      </c>
      <c r="H539" s="253" t="s">
        <v>3116</v>
      </c>
      <c r="I539" s="254" t="str">
        <f>'Dry_Litterbag Placem_Collection'!C100</f>
        <v>Wet_Ag1_T2</v>
      </c>
      <c r="J539" s="263" t="s">
        <v>2932</v>
      </c>
      <c r="K539" s="256" t="s">
        <v>1147</v>
      </c>
      <c r="L539" s="221" t="str">
        <f>'WetLitterbags placem_collection'!O100</f>
        <v>G730</v>
      </c>
      <c r="M539" s="223">
        <f>IFERROR(INDEX('Green_rooibos initial weight'!$C$5:$C$2000,MATCH(L539, 'Green_rooibos initial weight'!$A$5:$A$2000,0)),"")</f>
        <v>2.048</v>
      </c>
      <c r="N539" s="223">
        <f>IFERROR(M539-(TBIcalc!$H$9+TBIcalc!$H$10),"")</f>
        <v>1.7982</v>
      </c>
      <c r="O539" s="378">
        <f>AVERAGE(Ashed_controlls!$K$2:$K$11)</f>
        <v>5.5147656768714146</v>
      </c>
      <c r="P539" s="223">
        <f t="shared" si="41"/>
        <v>1.6990334835984982</v>
      </c>
      <c r="Q539" s="223">
        <f>IFERROR(INDEX('Both teabags AfterWet'!$C$3:$C$840,MATCH(L539,'Both teabags AfterWet'!$A$3:$A$840,0)),"")</f>
        <v>0.629</v>
      </c>
      <c r="R539" s="223">
        <f>IFERROR(IF(Q539&gt;0,Q539-(TBIcalc!$H$9),""),"")</f>
        <v>0.47839999999999999</v>
      </c>
      <c r="S539" s="223">
        <f>IFERROR(INDEX('Ashed teabags wet'!$K$2:$K$2000,MATCH(L539,'Ashed teabags wet'!$A$2:$A$2000,0)),"")</f>
        <v>15.206692913385</v>
      </c>
      <c r="T539" s="223">
        <f t="shared" si="42"/>
        <v>0.40565118110236614</v>
      </c>
      <c r="U539" s="224">
        <f>'WetLitterbags placem_collection'!E100</f>
        <v>42762</v>
      </c>
      <c r="V539" s="224">
        <f>IF('WetLitterbags placem_collection'!G100="","",'WetLitterbags placem_collection'!G100)</f>
        <v>42816</v>
      </c>
      <c r="W539" s="225">
        <f t="shared" si="40"/>
        <v>54</v>
      </c>
      <c r="X539" s="223">
        <f t="shared" si="43"/>
        <v>1.3198000000000001</v>
      </c>
      <c r="Y539" s="223">
        <f t="shared" si="44"/>
        <v>1.293382302496132</v>
      </c>
      <c r="Z539">
        <f>IFERROR(INDEX([1]Rainfall_Wet!$O$2:$O$217,MATCH(C539, [1]Rainfall_Wet!$A$2:$A$217,0)),"")</f>
        <v>206.85140822299999</v>
      </c>
      <c r="AA539" s="226">
        <v>45.96</v>
      </c>
      <c r="AB539" s="226">
        <v>14.920000000000003</v>
      </c>
      <c r="AC539" s="226">
        <v>39.119999999999997</v>
      </c>
      <c r="AD539" s="227" t="s">
        <v>2654</v>
      </c>
      <c r="AE539" s="226">
        <v>3.0374568753080302</v>
      </c>
      <c r="AF539">
        <f>IF('WetLitterbags placem_collection'!AB100="","",'WetLitterbags placem_collection'!AB100)</f>
        <v>7.8</v>
      </c>
      <c r="AG539">
        <f>IF('WetLitterbags placem_collection'!Z100="","",'WetLitterbags placem_collection'!Z100)</f>
        <v>4.45</v>
      </c>
      <c r="AH539" s="236" t="str">
        <f>IF('WetLitterbags placem_collection'!AA100="","",'WetLitterbags placem_collection'!AA100)</f>
        <v>G</v>
      </c>
      <c r="AI539">
        <f>IF('WetLitterbags placem_collection'!AC100="","",'WetLitterbags placem_collection'!AC100)</f>
        <v>1</v>
      </c>
      <c r="AJ539" s="233">
        <f>AVERAGE('WetLitterbags placem_collection'!S100,'WetLitterbags placem_collection'!U100)</f>
        <v>22.25</v>
      </c>
      <c r="AK539">
        <f>AVERAGE('WetLitterbags placem_collection'!R100,'WetLitterbags placem_collection'!T100)</f>
        <v>29.85</v>
      </c>
      <c r="AL539">
        <f>INDEX([2]Coordinates!$B$2:$B$197,MATCH(I539,[2]Coordinates!$J$2:$J$197,0))</f>
        <v>-2.3692249790000002</v>
      </c>
      <c r="AM539">
        <f>INDEX([2]Coordinates!$C$2:$C$197,MATCH(I539,[2]Coordinates!$J$2:$J$197,0))</f>
        <v>34.060285989999997</v>
      </c>
      <c r="AN539" t="str">
        <f>IF(ISNUMBER(SEARCH("C", 'WetLitterbags placem_collection'!$X100)),"YES","NO")</f>
        <v>NO</v>
      </c>
      <c r="AO539" t="str">
        <f>IF(ISNUMBER(SEARCH("H", 'WetLitterbags placem_collection'!$X100)),"YES","NO")</f>
        <v>NO</v>
      </c>
      <c r="AP539" t="str">
        <f>IF(ISNUMBER(SEARCH("R", 'WetLitterbags placem_collection'!$X100)),"YES","NO")</f>
        <v>NO</v>
      </c>
    </row>
    <row r="540" spans="1:42" ht="15" customHeight="1">
      <c r="A540" t="s">
        <v>3248</v>
      </c>
      <c r="B540" s="248" t="s">
        <v>2454</v>
      </c>
      <c r="C540" s="253">
        <f>'Dry_Litterbag Placem_Collection'!A101</f>
        <v>99</v>
      </c>
      <c r="D540" s="253" t="str">
        <f>'Dry_Litterbag Placem_Collection'!B101</f>
        <v xml:space="preserve">Mwantimba
</v>
      </c>
      <c r="E540" s="253" t="s">
        <v>2454</v>
      </c>
      <c r="F540" s="253" t="s">
        <v>2644</v>
      </c>
      <c r="G540" s="253">
        <v>1</v>
      </c>
      <c r="H540" s="253" t="s">
        <v>3116</v>
      </c>
      <c r="I540" s="254" t="str">
        <f>'Dry_Litterbag Placem_Collection'!C101</f>
        <v>Wet_Ag1_T3</v>
      </c>
      <c r="J540" s="263" t="s">
        <v>2932</v>
      </c>
      <c r="K540" s="256" t="s">
        <v>1147</v>
      </c>
      <c r="L540" s="221" t="str">
        <f>'WetLitterbags placem_collection'!O101</f>
        <v>G691</v>
      </c>
      <c r="M540" s="223">
        <f>IFERROR(INDEX('Green_rooibos initial weight'!$C$5:$C$2000,MATCH(L540, 'Green_rooibos initial weight'!$A$5:$A$2000,0)),"")</f>
        <v>2.0950000000000002</v>
      </c>
      <c r="N540" s="223">
        <f>IFERROR(M540-(TBIcalc!$H$9+TBIcalc!$H$10),"")</f>
        <v>1.8452000000000002</v>
      </c>
      <c r="O540" s="378">
        <f>AVERAGE(Ashed_controlls!$K$2:$K$11)</f>
        <v>5.5147656768714146</v>
      </c>
      <c r="P540" s="223">
        <f t="shared" si="41"/>
        <v>1.7434415437303687</v>
      </c>
      <c r="Q540" s="223">
        <f>IFERROR(INDEX('Both teabags AfterWet'!$C$3:$C$840,MATCH(L540,'Both teabags AfterWet'!$A$3:$A$840,0)),"")</f>
        <v>0.52829999999999999</v>
      </c>
      <c r="R540" s="223">
        <f>IFERROR(IF(Q540&gt;0,Q540-(TBIcalc!$H$9),""),"")</f>
        <v>0.37769999999999998</v>
      </c>
      <c r="S540" s="223">
        <f>IFERROR(INDEX('Ashed teabags wet'!$K$2:$K$2000,MATCH(L540,'Ashed teabags wet'!$A$2:$A$2000,0)),"")</f>
        <v>10.554371002128548</v>
      </c>
      <c r="T540" s="223">
        <f t="shared" si="42"/>
        <v>0.33783614072496049</v>
      </c>
      <c r="U540" s="224">
        <f>'WetLitterbags placem_collection'!E101</f>
        <v>42762</v>
      </c>
      <c r="V540" s="224">
        <f>IF('WetLitterbags placem_collection'!G101="","",'WetLitterbags placem_collection'!G101)</f>
        <v>42816</v>
      </c>
      <c r="W540" s="225">
        <f t="shared" si="40"/>
        <v>54</v>
      </c>
      <c r="X540" s="223">
        <f t="shared" si="43"/>
        <v>1.4675000000000002</v>
      </c>
      <c r="Y540" s="223">
        <f t="shared" si="44"/>
        <v>1.4056054030054081</v>
      </c>
      <c r="Z540">
        <f>IFERROR(INDEX([1]Rainfall_Wet!$O$2:$O$217,MATCH(C540, [1]Rainfall_Wet!$A$2:$A$217,0)),"")</f>
        <v>206.85140822299999</v>
      </c>
      <c r="AA540" s="226">
        <v>45.96</v>
      </c>
      <c r="AB540" s="226">
        <v>14.920000000000003</v>
      </c>
      <c r="AC540" s="226">
        <v>39.119999999999997</v>
      </c>
      <c r="AD540" s="227" t="s">
        <v>2654</v>
      </c>
      <c r="AE540" s="226">
        <v>4.0374568753080302</v>
      </c>
      <c r="AF540">
        <f>IF('WetLitterbags placem_collection'!AB101="","",'WetLitterbags placem_collection'!AB101)</f>
        <v>5.0999999999999996</v>
      </c>
      <c r="AG540">
        <f>IF('WetLitterbags placem_collection'!Z101="","",'WetLitterbags placem_collection'!Z101)</f>
        <v>2.2999999999999998</v>
      </c>
      <c r="AH540" s="236" t="str">
        <f>IF('WetLitterbags placem_collection'!AA101="","",'WetLitterbags placem_collection'!AA101)</f>
        <v>G</v>
      </c>
      <c r="AI540">
        <f>IF('WetLitterbags placem_collection'!AC101="","",'WetLitterbags placem_collection'!AC101)</f>
        <v>0</v>
      </c>
      <c r="AJ540" s="233">
        <f>AVERAGE('WetLitterbags placem_collection'!S101,'WetLitterbags placem_collection'!U101)</f>
        <v>17.95</v>
      </c>
      <c r="AK540">
        <f>AVERAGE('WetLitterbags placem_collection'!R101,'WetLitterbags placem_collection'!T101)</f>
        <v>30.85</v>
      </c>
      <c r="AL540">
        <f>INDEX([2]Coordinates!$B$2:$B$197,MATCH(I540,[2]Coordinates!$J$2:$J$197,0))</f>
        <v>-2.369284993</v>
      </c>
      <c r="AM540">
        <f>INDEX([2]Coordinates!$C$2:$C$197,MATCH(I540,[2]Coordinates!$J$2:$J$197,0))</f>
        <v>34.06028104</v>
      </c>
      <c r="AN540" t="str">
        <f>IF(ISNUMBER(SEARCH("C", 'WetLitterbags placem_collection'!$X101)),"YES","NO")</f>
        <v>NO</v>
      </c>
      <c r="AO540" t="str">
        <f>IF(ISNUMBER(SEARCH("H", 'WetLitterbags placem_collection'!$X101)),"YES","NO")</f>
        <v>NO</v>
      </c>
      <c r="AP540" t="str">
        <f>IF(ISNUMBER(SEARCH("R", 'WetLitterbags placem_collection'!$X101)),"YES","NO")</f>
        <v>NO</v>
      </c>
    </row>
    <row r="541" spans="1:42" ht="15" customHeight="1">
      <c r="A541" t="s">
        <v>3248</v>
      </c>
      <c r="B541" s="248" t="s">
        <v>2454</v>
      </c>
      <c r="C541" s="253">
        <f>'Dry_Litterbag Placem_Collection'!A102</f>
        <v>100</v>
      </c>
      <c r="D541" s="253" t="str">
        <f>'Dry_Litterbag Placem_Collection'!B102</f>
        <v xml:space="preserve">Mwantimba
</v>
      </c>
      <c r="E541" s="253" t="s">
        <v>2454</v>
      </c>
      <c r="F541" s="253" t="s">
        <v>2644</v>
      </c>
      <c r="G541" s="253">
        <v>1</v>
      </c>
      <c r="H541" s="253" t="s">
        <v>3116</v>
      </c>
      <c r="I541" s="254" t="str">
        <f>'Dry_Litterbag Placem_Collection'!C102</f>
        <v>Wet_Ag1_T4</v>
      </c>
      <c r="J541" s="263" t="s">
        <v>2932</v>
      </c>
      <c r="K541" s="256" t="s">
        <v>1147</v>
      </c>
      <c r="L541" s="221" t="str">
        <f>'WetLitterbags placem_collection'!O102</f>
        <v>G828</v>
      </c>
      <c r="M541" s="223">
        <f>IFERROR(INDEX('Green_rooibos initial weight'!$C$5:$C$2000,MATCH(L541, 'Green_rooibos initial weight'!$A$5:$A$2000,0)),"")</f>
        <v>1.986</v>
      </c>
      <c r="N541" s="223">
        <f>IFERROR(M541-(TBIcalc!$H$9+TBIcalc!$H$10),"")</f>
        <v>1.7362</v>
      </c>
      <c r="O541" s="378">
        <f>AVERAGE(Ashed_controlls!$K$2:$K$11)</f>
        <v>5.5147656768714146</v>
      </c>
      <c r="P541" s="223">
        <f t="shared" si="41"/>
        <v>1.6404526383181586</v>
      </c>
      <c r="Q541" s="223">
        <f>IFERROR(INDEX('Both teabags AfterWet'!$C$3:$C$840,MATCH(L541,'Both teabags AfterWet'!$A$3:$A$840,0)),"")</f>
        <v>0.57399999999999995</v>
      </c>
      <c r="R541" s="223">
        <f>IFERROR(IF(Q541&gt;0,Q541-(TBIcalc!$H$9),""),"")</f>
        <v>0.42339999999999994</v>
      </c>
      <c r="S541" s="223">
        <f>IFERROR(INDEX('Ashed teabags wet'!$K$2:$K$2000,MATCH(L541,'Ashed teabags wet'!$A$2:$A$2000,0)),"")</f>
        <v>14.012096774192942</v>
      </c>
      <c r="T541" s="223">
        <f t="shared" si="42"/>
        <v>0.36407278225806705</v>
      </c>
      <c r="U541" s="224">
        <f>'WetLitterbags placem_collection'!E102</f>
        <v>42762</v>
      </c>
      <c r="V541" s="224">
        <f>IF('WetLitterbags placem_collection'!G102="","",'WetLitterbags placem_collection'!G102)</f>
        <v>42816</v>
      </c>
      <c r="W541" s="225">
        <f t="shared" si="40"/>
        <v>54</v>
      </c>
      <c r="X541" s="223">
        <f t="shared" si="43"/>
        <v>1.3128</v>
      </c>
      <c r="Y541" s="223">
        <f t="shared" si="44"/>
        <v>1.2763798560600916</v>
      </c>
      <c r="Z541">
        <f>IFERROR(INDEX([1]Rainfall_Wet!$O$2:$O$217,MATCH(C541, [1]Rainfall_Wet!$A$2:$A$217,0)),"")</f>
        <v>206.85140822299999</v>
      </c>
      <c r="AA541" s="226">
        <v>45.96</v>
      </c>
      <c r="AB541" s="226">
        <v>14.920000000000003</v>
      </c>
      <c r="AC541" s="226">
        <v>39.119999999999997</v>
      </c>
      <c r="AD541" s="227" t="s">
        <v>2654</v>
      </c>
      <c r="AE541" s="226">
        <v>5.0374568753080302</v>
      </c>
      <c r="AF541">
        <f>IF('WetLitterbags placem_collection'!AB102="","",'WetLitterbags placem_collection'!AB102)</f>
        <v>1.6</v>
      </c>
      <c r="AG541">
        <f>IF('WetLitterbags placem_collection'!Z102="","",'WetLitterbags placem_collection'!Z102)</f>
        <v>15</v>
      </c>
      <c r="AH541" s="236" t="str">
        <f>IF('WetLitterbags placem_collection'!AA102="","",'WetLitterbags placem_collection'!AA102)</f>
        <v>G</v>
      </c>
      <c r="AI541">
        <f>IF('WetLitterbags placem_collection'!AC102="","",'WetLitterbags placem_collection'!AC102)</f>
        <v>1</v>
      </c>
      <c r="AJ541" s="233">
        <f>AVERAGE('WetLitterbags placem_collection'!S102,'WetLitterbags placem_collection'!U102)</f>
        <v>16.5</v>
      </c>
      <c r="AK541">
        <f>AVERAGE('WetLitterbags placem_collection'!R102,'WetLitterbags placem_collection'!T102)</f>
        <v>29.85</v>
      </c>
      <c r="AL541">
        <f>INDEX([2]Coordinates!$B$2:$B$197,MATCH(I541,[2]Coordinates!$J$2:$J$197,0))</f>
        <v>-2.3691989950000001</v>
      </c>
      <c r="AM541">
        <f>INDEX([2]Coordinates!$C$2:$C$197,MATCH(I541,[2]Coordinates!$J$2:$J$197,0))</f>
        <v>34.060208029999998</v>
      </c>
      <c r="AN541" t="str">
        <f>IF(ISNUMBER(SEARCH("C", 'WetLitterbags placem_collection'!$X102)),"YES","NO")</f>
        <v>NO</v>
      </c>
      <c r="AO541" t="str">
        <f>IF(ISNUMBER(SEARCH("H", 'WetLitterbags placem_collection'!$X102)),"YES","NO")</f>
        <v>NO</v>
      </c>
      <c r="AP541" t="str">
        <f>IF(ISNUMBER(SEARCH("R", 'WetLitterbags placem_collection'!$X102)),"YES","NO")</f>
        <v>NO</v>
      </c>
    </row>
    <row r="542" spans="1:42" ht="15" customHeight="1">
      <c r="A542" t="s">
        <v>3248</v>
      </c>
      <c r="B542" s="248" t="s">
        <v>2454</v>
      </c>
      <c r="C542" s="253">
        <f>'Dry_Litterbag Placem_Collection'!A103</f>
        <v>101</v>
      </c>
      <c r="D542" s="253" t="str">
        <f>'Dry_Litterbag Placem_Collection'!B103</f>
        <v xml:space="preserve">Mwantimba
</v>
      </c>
      <c r="E542" s="253" t="s">
        <v>2454</v>
      </c>
      <c r="F542" s="253" t="s">
        <v>2644</v>
      </c>
      <c r="G542" s="253">
        <v>1</v>
      </c>
      <c r="H542" s="253" t="s">
        <v>3116</v>
      </c>
      <c r="I542" s="254" t="str">
        <f>'Dry_Litterbag Placem_Collection'!C103</f>
        <v>Wet_Ag1_T5</v>
      </c>
      <c r="J542" s="263" t="s">
        <v>2932</v>
      </c>
      <c r="K542" s="256" t="s">
        <v>1147</v>
      </c>
      <c r="L542" s="221" t="str">
        <f>'WetLitterbags placem_collection'!O103</f>
        <v>G875</v>
      </c>
      <c r="M542" s="223">
        <f>IFERROR(INDEX('Green_rooibos initial weight'!$C$5:$C$2000,MATCH(L542, 'Green_rooibos initial weight'!$A$5:$A$2000,0)),"")</f>
        <v>2.0880000000000001</v>
      </c>
      <c r="N542" s="223">
        <f>IFERROR(M542-(TBIcalc!$H$9+TBIcalc!$H$10),"")</f>
        <v>1.8382000000000001</v>
      </c>
      <c r="O542" s="378">
        <f>AVERAGE(Ashed_controlls!$K$2:$K$11)</f>
        <v>5.5147656768714146</v>
      </c>
      <c r="P542" s="223">
        <f t="shared" si="41"/>
        <v>1.7368275773277497</v>
      </c>
      <c r="Q542" s="223">
        <f>IFERROR(INDEX('Both teabags AfterWet'!$C$3:$C$840,MATCH(L542,'Both teabags AfterWet'!$A$3:$A$840,0)),"")</f>
        <v>0.62450000000000006</v>
      </c>
      <c r="R542" s="223">
        <f>IFERROR(IF(Q542&gt;0,Q542-(TBIcalc!$H$9),""),"")</f>
        <v>0.47390000000000004</v>
      </c>
      <c r="S542" s="223">
        <f>IFERROR(INDEX('Ashed teabags wet'!$K$2:$K$2000,MATCH(L542,'Ashed teabags wet'!$A$2:$A$2000,0)),"")</f>
        <v>13.73786407767002</v>
      </c>
      <c r="T542" s="223">
        <f t="shared" si="42"/>
        <v>0.4087962621359218</v>
      </c>
      <c r="U542" s="224">
        <f>'WetLitterbags placem_collection'!E103</f>
        <v>42762</v>
      </c>
      <c r="V542" s="224">
        <f>IF('WetLitterbags placem_collection'!G103="","",'WetLitterbags placem_collection'!G103)</f>
        <v>42816</v>
      </c>
      <c r="W542" s="225">
        <f t="shared" si="40"/>
        <v>54</v>
      </c>
      <c r="X542" s="223">
        <f t="shared" si="43"/>
        <v>1.3643000000000001</v>
      </c>
      <c r="Y542" s="223">
        <f t="shared" si="44"/>
        <v>1.3280313151918279</v>
      </c>
      <c r="Z542">
        <f>IFERROR(INDEX([1]Rainfall_Wet!$O$2:$O$217,MATCH(C542, [1]Rainfall_Wet!$A$2:$A$217,0)),"")</f>
        <v>206.85140822299999</v>
      </c>
      <c r="AA542" s="226">
        <v>45.96</v>
      </c>
      <c r="AB542" s="226">
        <v>14.920000000000003</v>
      </c>
      <c r="AC542" s="226">
        <v>39.119999999999997</v>
      </c>
      <c r="AD542" s="227" t="s">
        <v>2654</v>
      </c>
      <c r="AE542" s="226">
        <v>6.0374568753080302</v>
      </c>
      <c r="AF542">
        <f>IF('WetLitterbags placem_collection'!AB103="","",'WetLitterbags placem_collection'!AB103)</f>
        <v>4.3499999999999996</v>
      </c>
      <c r="AG542">
        <f>IF('WetLitterbags placem_collection'!Z103="","",'WetLitterbags placem_collection'!Z103)</f>
        <v>17</v>
      </c>
      <c r="AH542" s="236" t="str">
        <f>IF('WetLitterbags placem_collection'!AA103="","",'WetLitterbags placem_collection'!AA103)</f>
        <v>G</v>
      </c>
      <c r="AI542">
        <f>IF('WetLitterbags placem_collection'!AC103="","",'WetLitterbags placem_collection'!AC103)</f>
        <v>1</v>
      </c>
      <c r="AJ542" s="233">
        <f>AVERAGE('WetLitterbags placem_collection'!S103,'WetLitterbags placem_collection'!U103)</f>
        <v>22.549999999999997</v>
      </c>
      <c r="AK542">
        <f>AVERAGE('WetLitterbags placem_collection'!R103,'WetLitterbags placem_collection'!T103)</f>
        <v>31.150000000000002</v>
      </c>
      <c r="AL542">
        <f>INDEX([2]Coordinates!$B$2:$B$197,MATCH(I542,[2]Coordinates!$J$2:$J$197,0))</f>
        <v>-2.3691900260000001</v>
      </c>
      <c r="AM542">
        <f>INDEX([2]Coordinates!$C$2:$C$197,MATCH(I542,[2]Coordinates!$J$2:$J$197,0))</f>
        <v>34.060177019999998</v>
      </c>
      <c r="AN542" t="str">
        <f>IF(ISNUMBER(SEARCH("C", 'WetLitterbags placem_collection'!$X103)),"YES","NO")</f>
        <v>NO</v>
      </c>
      <c r="AO542" t="str">
        <f>IF(ISNUMBER(SEARCH("H", 'WetLitterbags placem_collection'!$X103)),"YES","NO")</f>
        <v>NO</v>
      </c>
      <c r="AP542" t="str">
        <f>IF(ISNUMBER(SEARCH("R", 'WetLitterbags placem_collection'!$X103)),"YES","NO")</f>
        <v>NO</v>
      </c>
    </row>
    <row r="543" spans="1:42" ht="15" customHeight="1">
      <c r="A543" t="s">
        <v>3248</v>
      </c>
      <c r="B543" s="248" t="s">
        <v>2454</v>
      </c>
      <c r="C543" s="253">
        <f>'Dry_Litterbag Placem_Collection'!A104</f>
        <v>102</v>
      </c>
      <c r="D543" s="253" t="str">
        <f>'Dry_Litterbag Placem_Collection'!B104</f>
        <v xml:space="preserve">Mwantimba
</v>
      </c>
      <c r="E543" s="253" t="s">
        <v>2454</v>
      </c>
      <c r="F543" s="253" t="s">
        <v>2644</v>
      </c>
      <c r="G543" s="253">
        <v>1</v>
      </c>
      <c r="H543" s="253" t="s">
        <v>3116</v>
      </c>
      <c r="I543" s="254" t="str">
        <f>'Dry_Litterbag Placem_Collection'!C104</f>
        <v>Wet_Ag1_T6</v>
      </c>
      <c r="J543" s="263" t="s">
        <v>2932</v>
      </c>
      <c r="K543" s="256" t="s">
        <v>1147</v>
      </c>
      <c r="L543" s="221" t="str">
        <f>'WetLitterbags placem_collection'!O104</f>
        <v>G824</v>
      </c>
      <c r="M543" s="223">
        <f>IFERROR(INDEX('Green_rooibos initial weight'!$C$5:$C$2000,MATCH(L543, 'Green_rooibos initial weight'!$A$5:$A$2000,0)),"")</f>
        <v>1.931</v>
      </c>
      <c r="N543" s="223">
        <f>IFERROR(M543-(TBIcalc!$H$9+TBIcalc!$H$10),"")</f>
        <v>1.6812</v>
      </c>
      <c r="O543" s="378">
        <f>AVERAGE(Ashed_controlls!$K$2:$K$11)</f>
        <v>5.5147656768714146</v>
      </c>
      <c r="P543" s="223">
        <f t="shared" si="41"/>
        <v>1.5884857594404378</v>
      </c>
      <c r="Q543" s="223">
        <f>IFERROR(INDEX('Both teabags AfterWet'!$C$3:$C$840,MATCH(L543,'Both teabags AfterWet'!$A$3:$A$840,0)),"")</f>
        <v>0.56499999999999995</v>
      </c>
      <c r="R543" s="223">
        <f>IFERROR(IF(Q543&gt;0,Q543-(TBIcalc!$H$9),""),"")</f>
        <v>0.41439999999999994</v>
      </c>
      <c r="S543" s="223">
        <f>IFERROR(INDEX('Ashed teabags wet'!$K$2:$K$2000,MATCH(L543,'Ashed teabags wet'!$A$2:$A$2000,0)),"")</f>
        <v>12.710187932739478</v>
      </c>
      <c r="T543" s="223">
        <f t="shared" si="42"/>
        <v>0.36172898120672753</v>
      </c>
      <c r="U543" s="224">
        <f>'WetLitterbags placem_collection'!E104</f>
        <v>42762</v>
      </c>
      <c r="V543" s="224">
        <f>IF('WetLitterbags placem_collection'!G104="","",'WetLitterbags placem_collection'!G104)</f>
        <v>42816</v>
      </c>
      <c r="W543" s="225">
        <f t="shared" si="40"/>
        <v>54</v>
      </c>
      <c r="X543" s="223">
        <f t="shared" si="43"/>
        <v>1.2668000000000001</v>
      </c>
      <c r="Y543" s="223">
        <f t="shared" si="44"/>
        <v>1.2267567782337103</v>
      </c>
      <c r="Z543">
        <f>IFERROR(INDEX([1]Rainfall_Wet!$O$2:$O$217,MATCH(C543, [1]Rainfall_Wet!$A$2:$A$217,0)),"")</f>
        <v>206.85140822299999</v>
      </c>
      <c r="AA543" s="226">
        <v>45.96</v>
      </c>
      <c r="AB543" s="226">
        <v>14.920000000000003</v>
      </c>
      <c r="AC543" s="226">
        <v>39.119999999999997</v>
      </c>
      <c r="AD543" s="227" t="s">
        <v>2654</v>
      </c>
      <c r="AE543" s="226">
        <v>7.0374568753080302</v>
      </c>
      <c r="AF543">
        <f>IF('WetLitterbags placem_collection'!AB104="","",'WetLitterbags placem_collection'!AB104)</f>
        <v>7.7</v>
      </c>
      <c r="AG543">
        <f>IF('WetLitterbags placem_collection'!Z104="","",'WetLitterbags placem_collection'!Z104)</f>
        <v>21</v>
      </c>
      <c r="AH543" s="236" t="str">
        <f>IF('WetLitterbags placem_collection'!AA104="","",'WetLitterbags placem_collection'!AA104)</f>
        <v>G</v>
      </c>
      <c r="AI543">
        <f>IF('WetLitterbags placem_collection'!AC104="","",'WetLitterbags placem_collection'!AC104)</f>
        <v>1</v>
      </c>
      <c r="AJ543" s="233">
        <f>AVERAGE('WetLitterbags placem_collection'!S104,'WetLitterbags placem_collection'!U104)</f>
        <v>21.099999999999998</v>
      </c>
      <c r="AK543">
        <f>AVERAGE('WetLitterbags placem_collection'!R104,'WetLitterbags placem_collection'!T104)</f>
        <v>31.8</v>
      </c>
      <c r="AL543">
        <f>INDEX([2]Coordinates!$B$2:$B$197,MATCH(I543,[2]Coordinates!$J$2:$J$197,0))</f>
        <v>-2.3691350409999998</v>
      </c>
      <c r="AM543">
        <f>INDEX([2]Coordinates!$C$2:$C$197,MATCH(I543,[2]Coordinates!$J$2:$J$197,0))</f>
        <v>34.06018297</v>
      </c>
      <c r="AN543" t="str">
        <f>IF(ISNUMBER(SEARCH("C", 'WetLitterbags placem_collection'!$X104)),"YES","NO")</f>
        <v>NO</v>
      </c>
      <c r="AO543" t="str">
        <f>IF(ISNUMBER(SEARCH("H", 'WetLitterbags placem_collection'!$X104)),"YES","NO")</f>
        <v>NO</v>
      </c>
      <c r="AP543" t="str">
        <f>IF(ISNUMBER(SEARCH("R", 'WetLitterbags placem_collection'!$X104)),"YES","NO")</f>
        <v>NO</v>
      </c>
    </row>
    <row r="544" spans="1:42" ht="15" customHeight="1">
      <c r="A544" t="s">
        <v>3248</v>
      </c>
      <c r="B544" s="248" t="s">
        <v>2454</v>
      </c>
      <c r="C544" s="253">
        <f>'Dry_Litterbag Placem_Collection'!A105</f>
        <v>103</v>
      </c>
      <c r="D544" s="253" t="str">
        <f>'Dry_Litterbag Placem_Collection'!B105</f>
        <v xml:space="preserve">Mwantimba
</v>
      </c>
      <c r="E544" s="253" t="s">
        <v>2454</v>
      </c>
      <c r="F544" s="253" t="s">
        <v>2644</v>
      </c>
      <c r="G544" s="253">
        <v>1</v>
      </c>
      <c r="H544" s="253" t="s">
        <v>3116</v>
      </c>
      <c r="I544" s="254" t="str">
        <f>'Dry_Litterbag Placem_Collection'!C105</f>
        <v>Wet_Ag1_T7</v>
      </c>
      <c r="J544" s="263" t="s">
        <v>2932</v>
      </c>
      <c r="K544" s="256" t="s">
        <v>1147</v>
      </c>
      <c r="L544" s="221" t="str">
        <f>'WetLitterbags placem_collection'!O105</f>
        <v>G692</v>
      </c>
      <c r="M544" s="223">
        <f>IFERROR(INDEX('Green_rooibos initial weight'!$C$5:$C$2000,MATCH(L544, 'Green_rooibos initial weight'!$A$5:$A$2000,0)),"")</f>
        <v>2.028</v>
      </c>
      <c r="N544" s="223">
        <f>IFERROR(M544-(TBIcalc!$H$9+TBIcalc!$H$10),"")</f>
        <v>1.7782</v>
      </c>
      <c r="O544" s="378">
        <f>AVERAGE(Ashed_controlls!$K$2:$K$11)</f>
        <v>5.5147656768714146</v>
      </c>
      <c r="P544" s="223">
        <f t="shared" si="41"/>
        <v>1.6801364367338725</v>
      </c>
      <c r="Q544" s="223">
        <f>IFERROR(INDEX('Both teabags AfterWet'!$C$3:$C$840,MATCH(L544,'Both teabags AfterWet'!$A$3:$A$840,0)),"")</f>
        <v>0.58699999999999997</v>
      </c>
      <c r="R544" s="223">
        <f>IFERROR(IF(Q544&gt;0,Q544-(TBIcalc!$H$9),""),"")</f>
        <v>0.43639999999999995</v>
      </c>
      <c r="S544" s="223">
        <f>IFERROR(INDEX('Ashed teabags wet'!$K$2:$K$2000,MATCH(L544,'Ashed teabags wet'!$A$2:$A$2000,0)),"")</f>
        <v>13.793103448275259</v>
      </c>
      <c r="T544" s="223">
        <f t="shared" si="42"/>
        <v>0.37620689655172673</v>
      </c>
      <c r="U544" s="224">
        <f>'WetLitterbags placem_collection'!E105</f>
        <v>42762</v>
      </c>
      <c r="V544" s="224">
        <f>IF('WetLitterbags placem_collection'!G105="","",'WetLitterbags placem_collection'!G105)</f>
        <v>42816</v>
      </c>
      <c r="W544" s="225">
        <f t="shared" si="40"/>
        <v>54</v>
      </c>
      <c r="X544" s="223">
        <f t="shared" si="43"/>
        <v>1.3418000000000001</v>
      </c>
      <c r="Y544" s="223">
        <f t="shared" si="44"/>
        <v>1.3039295401821458</v>
      </c>
      <c r="Z544">
        <f>IFERROR(INDEX([1]Rainfall_Wet!$O$2:$O$217,MATCH(C544, [1]Rainfall_Wet!$A$2:$A$217,0)),"")</f>
        <v>206.85140822299999</v>
      </c>
      <c r="AA544" s="226">
        <v>45.96</v>
      </c>
      <c r="AB544" s="226">
        <v>14.920000000000003</v>
      </c>
      <c r="AC544" s="226">
        <v>39.119999999999997</v>
      </c>
      <c r="AD544" s="227" t="s">
        <v>2654</v>
      </c>
      <c r="AE544" s="226">
        <v>8.0374568753080293</v>
      </c>
      <c r="AF544">
        <f>IF('WetLitterbags placem_collection'!AB105="","",'WetLitterbags placem_collection'!AB105)</f>
        <v>3.25</v>
      </c>
      <c r="AG544">
        <f>IF('WetLitterbags placem_collection'!Z105="","",'WetLitterbags placem_collection'!Z105)</f>
        <v>16</v>
      </c>
      <c r="AH544" s="236" t="str">
        <f>IF('WetLitterbags placem_collection'!AA105="","",'WetLitterbags placem_collection'!AA105)</f>
        <v>G</v>
      </c>
      <c r="AI544">
        <f>IF('WetLitterbags placem_collection'!AC105="","",'WetLitterbags placem_collection'!AC105)</f>
        <v>1</v>
      </c>
      <c r="AJ544" s="233">
        <f>AVERAGE('WetLitterbags placem_collection'!S105,'WetLitterbags placem_collection'!U105)</f>
        <v>20.450000000000003</v>
      </c>
      <c r="AK544">
        <f>AVERAGE('WetLitterbags placem_collection'!R105,'WetLitterbags placem_collection'!T105)</f>
        <v>30.25</v>
      </c>
      <c r="AL544">
        <f>INDEX([2]Coordinates!$B$2:$B$197,MATCH(I544,[2]Coordinates!$J$2:$J$197,0))</f>
        <v>-2.3691330289999999</v>
      </c>
      <c r="AM544">
        <f>INDEX([2]Coordinates!$C$2:$C$197,MATCH(I544,[2]Coordinates!$J$2:$J$197,0))</f>
        <v>34.060233009999997</v>
      </c>
      <c r="AN544" t="str">
        <f>IF(ISNUMBER(SEARCH("C", 'WetLitterbags placem_collection'!$X105)),"YES","NO")</f>
        <v>NO</v>
      </c>
      <c r="AO544" t="str">
        <f>IF(ISNUMBER(SEARCH("H", 'WetLitterbags placem_collection'!$X105)),"YES","NO")</f>
        <v>NO</v>
      </c>
      <c r="AP544" t="str">
        <f>IF(ISNUMBER(SEARCH("R", 'WetLitterbags placem_collection'!$X105)),"YES","NO")</f>
        <v>NO</v>
      </c>
    </row>
    <row r="545" spans="1:42" ht="15" customHeight="1">
      <c r="A545" t="s">
        <v>3248</v>
      </c>
      <c r="B545" s="248" t="s">
        <v>2454</v>
      </c>
      <c r="C545" s="253">
        <f>'Dry_Litterbag Placem_Collection'!A106</f>
        <v>104</v>
      </c>
      <c r="D545" s="253" t="str">
        <f>'Dry_Litterbag Placem_Collection'!B106</f>
        <v xml:space="preserve">Mwantimba
</v>
      </c>
      <c r="E545" s="253" t="s">
        <v>2454</v>
      </c>
      <c r="F545" s="253" t="s">
        <v>2644</v>
      </c>
      <c r="G545" s="253">
        <v>1</v>
      </c>
      <c r="H545" s="253" t="s">
        <v>3116</v>
      </c>
      <c r="I545" s="254" t="str">
        <f>'Dry_Litterbag Placem_Collection'!C106</f>
        <v>Wet_Ag1_T8</v>
      </c>
      <c r="J545" s="263" t="s">
        <v>2932</v>
      </c>
      <c r="K545" s="256" t="s">
        <v>1147</v>
      </c>
      <c r="L545" s="221" t="str">
        <f>'WetLitterbags placem_collection'!O106</f>
        <v>G806</v>
      </c>
      <c r="M545" s="223">
        <f>IFERROR(INDEX('Green_rooibos initial weight'!$C$5:$C$2000,MATCH(L545, 'Green_rooibos initial weight'!$A$5:$A$2000,0)),"")</f>
        <v>2.0419999999999998</v>
      </c>
      <c r="N545" s="223">
        <f>IFERROR(M545-(TBIcalc!$H$9+TBIcalc!$H$10),"")</f>
        <v>1.7921999999999998</v>
      </c>
      <c r="O545" s="378">
        <f>AVERAGE(Ashed_controlls!$K$2:$K$11)</f>
        <v>5.5147656768714146</v>
      </c>
      <c r="P545" s="223">
        <f t="shared" si="41"/>
        <v>1.6933643695391103</v>
      </c>
      <c r="Q545" s="223">
        <f>IFERROR(INDEX('Both teabags AfterWet'!$C$3:$C$840,MATCH(L545,'Both teabags AfterWet'!$A$3:$A$840,0)),"")</f>
        <v>0.72499999999999998</v>
      </c>
      <c r="R545" s="223">
        <f>IFERROR(IF(Q545&gt;0,Q545-(TBIcalc!$H$9),""),"")</f>
        <v>0.57440000000000002</v>
      </c>
      <c r="S545" s="223">
        <f>IFERROR(INDEX('Ashed teabags wet'!$K$2:$K$2000,MATCH(L545,'Ashed teabags wet'!$A$2:$A$2000,0)),"")</f>
        <v>16.853385289820611</v>
      </c>
      <c r="T545" s="223">
        <f t="shared" si="42"/>
        <v>0.47759415489527046</v>
      </c>
      <c r="U545" s="224">
        <f>'WetLitterbags placem_collection'!E106</f>
        <v>42762</v>
      </c>
      <c r="V545" s="224">
        <f>IF('WetLitterbags placem_collection'!G106="","",'WetLitterbags placem_collection'!G106)</f>
        <v>42816</v>
      </c>
      <c r="W545" s="225">
        <f t="shared" si="40"/>
        <v>54</v>
      </c>
      <c r="X545" s="223">
        <f t="shared" si="43"/>
        <v>1.2177999999999998</v>
      </c>
      <c r="Y545" s="223">
        <f t="shared" si="44"/>
        <v>1.2157702146438398</v>
      </c>
      <c r="Z545">
        <f>IFERROR(INDEX([1]Rainfall_Wet!$O$2:$O$217,MATCH(C545, [1]Rainfall_Wet!$A$2:$A$217,0)),"")</f>
        <v>206.85140822299999</v>
      </c>
      <c r="AA545" s="226">
        <v>45.96</v>
      </c>
      <c r="AB545" s="226">
        <v>14.920000000000003</v>
      </c>
      <c r="AC545" s="226">
        <v>39.119999999999997</v>
      </c>
      <c r="AD545" s="227" t="s">
        <v>2654</v>
      </c>
      <c r="AE545" s="226">
        <v>9.0374568753080293</v>
      </c>
      <c r="AF545">
        <f>IF('WetLitterbags placem_collection'!AB106="","",'WetLitterbags placem_collection'!AB106)</f>
        <v>10.5</v>
      </c>
      <c r="AG545">
        <f>IF('WetLitterbags placem_collection'!Z106="","",'WetLitterbags placem_collection'!Z106)</f>
        <v>17</v>
      </c>
      <c r="AH545" s="236" t="str">
        <f>IF('WetLitterbags placem_collection'!AA106="","",'WetLitterbags placem_collection'!AA106)</f>
        <v>G</v>
      </c>
      <c r="AI545">
        <f>IF('WetLitterbags placem_collection'!AC106="","",'WetLitterbags placem_collection'!AC106)</f>
        <v>1</v>
      </c>
      <c r="AJ545" s="233">
        <f>AVERAGE('WetLitterbags placem_collection'!S106,'WetLitterbags placem_collection'!U106)</f>
        <v>21.6</v>
      </c>
      <c r="AK545">
        <f>AVERAGE('WetLitterbags placem_collection'!R106,'WetLitterbags placem_collection'!T106)</f>
        <v>29.3</v>
      </c>
      <c r="AL545">
        <f>INDEX([2]Coordinates!$B$2:$B$197,MATCH(I545,[2]Coordinates!$J$2:$J$197,0))</f>
        <v>-2.3692910280000001</v>
      </c>
      <c r="AM545">
        <f>INDEX([2]Coordinates!$C$2:$C$197,MATCH(I545,[2]Coordinates!$J$2:$J$197,0))</f>
        <v>34.06016202</v>
      </c>
      <c r="AN545" t="str">
        <f>IF(ISNUMBER(SEARCH("C", 'WetLitterbags placem_collection'!$X106)),"YES","NO")</f>
        <v>NO</v>
      </c>
      <c r="AO545" t="str">
        <f>IF(ISNUMBER(SEARCH("H", 'WetLitterbags placem_collection'!$X106)),"YES","NO")</f>
        <v>NO</v>
      </c>
      <c r="AP545" t="str">
        <f>IF(ISNUMBER(SEARCH("R", 'WetLitterbags placem_collection'!$X106)),"YES","NO")</f>
        <v>NO</v>
      </c>
    </row>
    <row r="546" spans="1:42" ht="15" customHeight="1">
      <c r="A546" t="s">
        <v>3248</v>
      </c>
      <c r="B546" s="248" t="s">
        <v>2454</v>
      </c>
      <c r="C546" s="253">
        <f>'Dry_Litterbag Placem_Collection'!A107</f>
        <v>105</v>
      </c>
      <c r="D546" s="253" t="str">
        <f>'Dry_Litterbag Placem_Collection'!B107</f>
        <v xml:space="preserve">Mwantimba
</v>
      </c>
      <c r="E546" s="253" t="s">
        <v>2454</v>
      </c>
      <c r="F546" s="253" t="s">
        <v>2644</v>
      </c>
      <c r="G546" s="253">
        <v>2</v>
      </c>
      <c r="H546" s="253" t="s">
        <v>3118</v>
      </c>
      <c r="I546" s="254" t="str">
        <f>'Dry_Litterbag Placem_Collection'!C107</f>
        <v>Wet_Ag2_T1</v>
      </c>
      <c r="J546" s="263" t="s">
        <v>2932</v>
      </c>
      <c r="K546" s="256" t="s">
        <v>1147</v>
      </c>
      <c r="L546" s="221" t="str">
        <f>'WetLitterbags placem_collection'!O107</f>
        <v>G861</v>
      </c>
      <c r="M546" s="223">
        <f>IFERROR(INDEX('Green_rooibos initial weight'!$C$5:$C$2000,MATCH(L546, 'Green_rooibos initial weight'!$A$5:$A$2000,0)),"")</f>
        <v>1.9339999999999999</v>
      </c>
      <c r="N546" s="223">
        <f>IFERROR(M546-(TBIcalc!$H$9+TBIcalc!$H$10),"")</f>
        <v>1.6841999999999999</v>
      </c>
      <c r="O546" s="378">
        <f>AVERAGE(Ashed_controlls!$K$2:$K$11)</f>
        <v>5.5147656768714146</v>
      </c>
      <c r="P546" s="223">
        <f t="shared" si="41"/>
        <v>1.5913203164701315</v>
      </c>
      <c r="Q546" s="223">
        <f>IFERROR(INDEX('Both teabags AfterWet'!$C$3:$C$840,MATCH(L546,'Both teabags AfterWet'!$A$3:$A$840,0)),"")</f>
        <v>0.626</v>
      </c>
      <c r="R546" s="223">
        <f>IFERROR(IF(Q546&gt;0,Q546-(TBIcalc!$H$9),""),"")</f>
        <v>0.47539999999999999</v>
      </c>
      <c r="S546" s="223">
        <f>IFERROR(INDEX('Ashed teabags wet'!$K$2:$K$2000,MATCH(L546,'Ashed teabags wet'!$A$2:$A$2000,0)),"")</f>
        <v>20.431034482760303</v>
      </c>
      <c r="T546" s="223">
        <f t="shared" si="42"/>
        <v>0.37827086206895755</v>
      </c>
      <c r="U546" s="224">
        <f>'WetLitterbags placem_collection'!E107</f>
        <v>42762</v>
      </c>
      <c r="V546" s="224">
        <f>IF('WetLitterbags placem_collection'!G107="","",'WetLitterbags placem_collection'!G107)</f>
        <v>42816</v>
      </c>
      <c r="W546" s="225">
        <f t="shared" si="40"/>
        <v>54</v>
      </c>
      <c r="X546" s="223">
        <f t="shared" si="43"/>
        <v>1.2087999999999999</v>
      </c>
      <c r="Y546" s="223">
        <f t="shared" si="44"/>
        <v>1.2130494544011738</v>
      </c>
      <c r="Z546">
        <f>IFERROR(INDEX([1]Rainfall_Wet!$O$2:$O$217,MATCH(C546, [1]Rainfall_Wet!$A$2:$A$217,0)),"")</f>
        <v>206.85140822299999</v>
      </c>
      <c r="AA546" s="226">
        <v>34.344660194174757</v>
      </c>
      <c r="AB546" s="226">
        <v>19.22727272727273</v>
      </c>
      <c r="AC546" s="226">
        <v>46.428067078552509</v>
      </c>
      <c r="AD546" s="227" t="s">
        <v>2651</v>
      </c>
      <c r="AE546" s="226">
        <v>1.7452932479053718</v>
      </c>
      <c r="AF546">
        <f>IF('WetLitterbags placem_collection'!AB107="","",'WetLitterbags placem_collection'!AB107)</f>
        <v>5.5</v>
      </c>
      <c r="AG546">
        <f>IF('WetLitterbags placem_collection'!Z107="","",'WetLitterbags placem_collection'!Z107)</f>
        <v>23.5</v>
      </c>
      <c r="AH546" s="236" t="str">
        <f>IF('WetLitterbags placem_collection'!AA107="","",'WetLitterbags placem_collection'!AA107)</f>
        <v>M</v>
      </c>
      <c r="AI546">
        <f>IF('WetLitterbags placem_collection'!AC107="","",'WetLitterbags placem_collection'!AC107)</f>
        <v>0</v>
      </c>
      <c r="AJ546" s="233">
        <f>AVERAGE('WetLitterbags placem_collection'!S107,'WetLitterbags placem_collection'!U107)</f>
        <v>11.350000000000001</v>
      </c>
      <c r="AK546">
        <f>AVERAGE('WetLitterbags placem_collection'!R107,'WetLitterbags placem_collection'!T107)</f>
        <v>32.150000000000006</v>
      </c>
      <c r="AL546">
        <f>INDEX([2]Coordinates!$B$2:$B$197,MATCH(I546,[2]Coordinates!$J$2:$J$197,0))</f>
        <v>-2.3698080240000001</v>
      </c>
      <c r="AM546">
        <f>INDEX([2]Coordinates!$C$2:$C$197,MATCH(I546,[2]Coordinates!$J$2:$J$197,0))</f>
        <v>34.059671010000002</v>
      </c>
      <c r="AN546" t="str">
        <f>IF(ISNUMBER(SEARCH("C", 'WetLitterbags placem_collection'!$X107)),"YES","NO")</f>
        <v>NO</v>
      </c>
      <c r="AO546" t="str">
        <f>IF(ISNUMBER(SEARCH("H", 'WetLitterbags placem_collection'!$X107)),"YES","NO")</f>
        <v>NO</v>
      </c>
      <c r="AP546" t="str">
        <f>IF(ISNUMBER(SEARCH("R", 'WetLitterbags placem_collection'!$X107)),"YES","NO")</f>
        <v>NO</v>
      </c>
    </row>
    <row r="547" spans="1:42" ht="15" customHeight="1">
      <c r="A547" t="s">
        <v>3248</v>
      </c>
      <c r="B547" s="248" t="s">
        <v>2454</v>
      </c>
      <c r="C547" s="253">
        <f>'Dry_Litterbag Placem_Collection'!A108</f>
        <v>106</v>
      </c>
      <c r="D547" s="253" t="str">
        <f>'Dry_Litterbag Placem_Collection'!B108</f>
        <v xml:space="preserve">Mwantimba
</v>
      </c>
      <c r="E547" s="253" t="s">
        <v>2454</v>
      </c>
      <c r="F547" s="253" t="s">
        <v>2644</v>
      </c>
      <c r="G547" s="253">
        <v>2</v>
      </c>
      <c r="H547" s="253" t="s">
        <v>3118</v>
      </c>
      <c r="I547" s="254" t="str">
        <f>'Dry_Litterbag Placem_Collection'!C108</f>
        <v>Wet_Ag2_T2</v>
      </c>
      <c r="J547" s="263" t="s">
        <v>2932</v>
      </c>
      <c r="K547" s="256" t="s">
        <v>1147</v>
      </c>
      <c r="L547" s="221" t="str">
        <f>'WetLitterbags placem_collection'!O108</f>
        <v>G738</v>
      </c>
      <c r="M547" s="223">
        <f>IFERROR(INDEX('Green_rooibos initial weight'!$C$5:$C$2000,MATCH(L547, 'Green_rooibos initial weight'!$A$5:$A$2000,0)),"")</f>
        <v>2.0089999999999999</v>
      </c>
      <c r="N547" s="223">
        <f>IFERROR(M547-(TBIcalc!$H$9+TBIcalc!$H$10),"")</f>
        <v>1.7591999999999999</v>
      </c>
      <c r="O547" s="378">
        <f>AVERAGE(Ashed_controlls!$K$2:$K$11)</f>
        <v>5.5147656768714146</v>
      </c>
      <c r="P547" s="223">
        <f t="shared" si="41"/>
        <v>1.662184242212478</v>
      </c>
      <c r="Q547" s="223">
        <f>IFERROR(INDEX('Both teabags AfterWet'!$C$3:$C$840,MATCH(L547,'Both teabags AfterWet'!$A$3:$A$840,0)),"")</f>
        <v>0.626</v>
      </c>
      <c r="R547" s="223">
        <f>IFERROR(IF(Q547&gt;0,Q547-(TBIcalc!$H$9),""),"")</f>
        <v>0.47539999999999999</v>
      </c>
      <c r="S547" s="223">
        <f>IFERROR(INDEX('Ashed teabags wet'!$K$2:$K$2000,MATCH(L547,'Ashed teabags wet'!$A$2:$A$2000,0)),"")</f>
        <v>15.46906187624684</v>
      </c>
      <c r="T547" s="223">
        <f t="shared" si="42"/>
        <v>0.40186007984032251</v>
      </c>
      <c r="U547" s="224">
        <f>'WetLitterbags placem_collection'!E108</f>
        <v>42762</v>
      </c>
      <c r="V547" s="224">
        <f>IF('WetLitterbags placem_collection'!G108="","",'WetLitterbags placem_collection'!G108)</f>
        <v>42816</v>
      </c>
      <c r="W547" s="225">
        <f t="shared" si="40"/>
        <v>54</v>
      </c>
      <c r="X547" s="223">
        <f t="shared" si="43"/>
        <v>1.2837999999999998</v>
      </c>
      <c r="Y547" s="223">
        <f t="shared" si="44"/>
        <v>1.2603241623721555</v>
      </c>
      <c r="Z547">
        <f>IFERROR(INDEX([1]Rainfall_Wet!$O$2:$O$217,MATCH(C547, [1]Rainfall_Wet!$A$2:$A$217,0)),"")</f>
        <v>206.85140822299999</v>
      </c>
      <c r="AA547" s="226">
        <v>34.344660194174757</v>
      </c>
      <c r="AB547" s="226">
        <v>19.22727272727273</v>
      </c>
      <c r="AC547" s="226">
        <v>46.428067078552509</v>
      </c>
      <c r="AD547" s="227" t="s">
        <v>2651</v>
      </c>
      <c r="AE547" s="226">
        <v>2.7452932479053702</v>
      </c>
      <c r="AF547">
        <f>IF('WetLitterbags placem_collection'!AB108="","",'WetLitterbags placem_collection'!AB108)</f>
        <v>8.6</v>
      </c>
      <c r="AG547">
        <f>IF('WetLitterbags placem_collection'!Z108="","",'WetLitterbags placem_collection'!Z108)</f>
        <v>17</v>
      </c>
      <c r="AH547" s="236" t="str">
        <f>IF('WetLitterbags placem_collection'!AA108="","",'WetLitterbags placem_collection'!AA108)</f>
        <v>M</v>
      </c>
      <c r="AI547">
        <f>IF('WetLitterbags placem_collection'!AC108="","",'WetLitterbags placem_collection'!AC108)</f>
        <v>0</v>
      </c>
      <c r="AJ547" s="233">
        <f>AVERAGE('WetLitterbags placem_collection'!S108,'WetLitterbags placem_collection'!U108)</f>
        <v>12.4</v>
      </c>
      <c r="AK547">
        <f>AVERAGE('WetLitterbags placem_collection'!R108,'WetLitterbags placem_collection'!T108)</f>
        <v>32.950000000000003</v>
      </c>
      <c r="AL547">
        <f>INDEX([2]Coordinates!$B$2:$B$197,MATCH(I547,[2]Coordinates!$J$2:$J$197,0))</f>
        <v>-2.3697620069999998</v>
      </c>
      <c r="AM547">
        <f>INDEX([2]Coordinates!$C$2:$C$197,MATCH(I547,[2]Coordinates!$J$2:$J$197,0))</f>
        <v>34.059730010000003</v>
      </c>
      <c r="AN547" t="str">
        <f>IF(ISNUMBER(SEARCH("C", 'WetLitterbags placem_collection'!$X108)),"YES","NO")</f>
        <v>NO</v>
      </c>
      <c r="AO547" t="str">
        <f>IF(ISNUMBER(SEARCH("H", 'WetLitterbags placem_collection'!$X108)),"YES","NO")</f>
        <v>NO</v>
      </c>
      <c r="AP547" t="str">
        <f>IF(ISNUMBER(SEARCH("R", 'WetLitterbags placem_collection'!$X108)),"YES","NO")</f>
        <v>YES</v>
      </c>
    </row>
    <row r="548" spans="1:42" ht="15" customHeight="1">
      <c r="A548" t="s">
        <v>3248</v>
      </c>
      <c r="B548" s="248" t="s">
        <v>2454</v>
      </c>
      <c r="C548" s="253">
        <f>'Dry_Litterbag Placem_Collection'!A109</f>
        <v>107</v>
      </c>
      <c r="D548" s="253" t="str">
        <f>'Dry_Litterbag Placem_Collection'!B109</f>
        <v xml:space="preserve">Mwantimba
</v>
      </c>
      <c r="E548" s="253" t="s">
        <v>2454</v>
      </c>
      <c r="F548" s="253" t="s">
        <v>2644</v>
      </c>
      <c r="G548" s="253">
        <v>2</v>
      </c>
      <c r="H548" s="253" t="s">
        <v>3118</v>
      </c>
      <c r="I548" s="254" t="str">
        <f>'Dry_Litterbag Placem_Collection'!C109</f>
        <v>Wet_Ag2_T3</v>
      </c>
      <c r="J548" s="263" t="s">
        <v>2932</v>
      </c>
      <c r="K548" s="256" t="s">
        <v>1147</v>
      </c>
      <c r="L548" s="221" t="str">
        <f>'WetLitterbags placem_collection'!O109</f>
        <v>G676</v>
      </c>
      <c r="M548" s="223">
        <f>IFERROR(INDEX('Green_rooibos initial weight'!$C$5:$C$2000,MATCH(L548, 'Green_rooibos initial weight'!$A$5:$A$2000,0)),"")</f>
        <v>2.048</v>
      </c>
      <c r="N548" s="223">
        <f>IFERROR(M548-(TBIcalc!$H$9+TBIcalc!$H$10),"")</f>
        <v>1.7982</v>
      </c>
      <c r="O548" s="378">
        <f>AVERAGE(Ashed_controlls!$K$2:$K$11)</f>
        <v>5.5147656768714146</v>
      </c>
      <c r="P548" s="223">
        <f t="shared" si="41"/>
        <v>1.6990334835984982</v>
      </c>
      <c r="Q548" s="223">
        <f>IFERROR(INDEX('Both teabags AfterWet'!$C$3:$C$840,MATCH(L548,'Both teabags AfterWet'!$A$3:$A$840,0)),"")</f>
        <v>0.67630000000000001</v>
      </c>
      <c r="R548" s="223">
        <f>IFERROR(IF(Q548&gt;0,Q548-(TBIcalc!$H$9),""),"")</f>
        <v>0.52570000000000006</v>
      </c>
      <c r="S548" s="223">
        <f>IFERROR(INDEX('Ashed teabags wet'!$K$2:$K$2000,MATCH(L548,'Ashed teabags wet'!$A$2:$A$2000,0)),"")</f>
        <v>16.393442622950655</v>
      </c>
      <c r="T548" s="223">
        <f t="shared" si="42"/>
        <v>0.43951967213114845</v>
      </c>
      <c r="U548" s="224">
        <f>'WetLitterbags placem_collection'!E109</f>
        <v>42762</v>
      </c>
      <c r="V548" s="224">
        <f>IF('WetLitterbags placem_collection'!G109="","",'WetLitterbags placem_collection'!G109)</f>
        <v>42816</v>
      </c>
      <c r="W548" s="225">
        <f t="shared" si="40"/>
        <v>54</v>
      </c>
      <c r="X548" s="223">
        <f t="shared" si="43"/>
        <v>1.2725</v>
      </c>
      <c r="Y548" s="223">
        <f t="shared" si="44"/>
        <v>1.2595138114673496</v>
      </c>
      <c r="Z548">
        <f>IFERROR(INDEX([1]Rainfall_Wet!$O$2:$O$217,MATCH(C548, [1]Rainfall_Wet!$A$2:$A$217,0)),"")</f>
        <v>206.85140822299999</v>
      </c>
      <c r="AA548" s="226">
        <v>34.344660194174757</v>
      </c>
      <c r="AB548" s="226">
        <v>19.22727272727273</v>
      </c>
      <c r="AC548" s="226">
        <v>46.428067078552509</v>
      </c>
      <c r="AD548" s="227" t="s">
        <v>2651</v>
      </c>
      <c r="AE548" s="226">
        <v>3.7452932479053702</v>
      </c>
      <c r="AF548">
        <f>IF('WetLitterbags placem_collection'!AB109="","",'WetLitterbags placem_collection'!AB109)</f>
        <v>3.85</v>
      </c>
      <c r="AG548">
        <f>IF('WetLitterbags placem_collection'!Z109="","",'WetLitterbags placem_collection'!Z109)</f>
        <v>15.5</v>
      </c>
      <c r="AH548" s="236" t="str">
        <f>IF('WetLitterbags placem_collection'!AA109="","",'WetLitterbags placem_collection'!AA109)</f>
        <v>M</v>
      </c>
      <c r="AI548">
        <f>IF('WetLitterbags placem_collection'!AC109="","",'WetLitterbags placem_collection'!AC109)</f>
        <v>0</v>
      </c>
      <c r="AJ548" s="233">
        <f>AVERAGE('WetLitterbags placem_collection'!S109,'WetLitterbags placem_collection'!U109)</f>
        <v>11.299999999999999</v>
      </c>
      <c r="AK548">
        <f>AVERAGE('WetLitterbags placem_collection'!R109,'WetLitterbags placem_collection'!T109)</f>
        <v>32.450000000000003</v>
      </c>
      <c r="AL548">
        <f>INDEX([2]Coordinates!$B$2:$B$197,MATCH(I548,[2]Coordinates!$J$2:$J$197,0))</f>
        <v>-2.3698409649999999</v>
      </c>
      <c r="AM548">
        <f>INDEX([2]Coordinates!$C$2:$C$197,MATCH(I548,[2]Coordinates!$J$2:$J$197,0))</f>
        <v>34.059814000000003</v>
      </c>
      <c r="AN548" t="str">
        <f>IF(ISNUMBER(SEARCH("C", 'WetLitterbags placem_collection'!$X109)),"YES","NO")</f>
        <v>NO</v>
      </c>
      <c r="AO548" t="str">
        <f>IF(ISNUMBER(SEARCH("H", 'WetLitterbags placem_collection'!$X109)),"YES","NO")</f>
        <v>NO</v>
      </c>
      <c r="AP548" t="str">
        <f>IF(ISNUMBER(SEARCH("R", 'WetLitterbags placem_collection'!$X109)),"YES","NO")</f>
        <v>YES</v>
      </c>
    </row>
    <row r="549" spans="1:42" ht="15" customHeight="1">
      <c r="A549" t="s">
        <v>3248</v>
      </c>
      <c r="B549" s="248" t="s">
        <v>2454</v>
      </c>
      <c r="C549" s="253">
        <f>'Dry_Litterbag Placem_Collection'!A110</f>
        <v>108</v>
      </c>
      <c r="D549" s="253" t="str">
        <f>'Dry_Litterbag Placem_Collection'!B110</f>
        <v xml:space="preserve">Mwantimba
</v>
      </c>
      <c r="E549" s="253" t="s">
        <v>2454</v>
      </c>
      <c r="F549" s="253" t="s">
        <v>2644</v>
      </c>
      <c r="G549" s="253">
        <v>2</v>
      </c>
      <c r="H549" s="253" t="s">
        <v>3118</v>
      </c>
      <c r="I549" s="254" t="str">
        <f>'Dry_Litterbag Placem_Collection'!C110</f>
        <v>Wet_Ag2_T4</v>
      </c>
      <c r="J549" s="263" t="s">
        <v>2932</v>
      </c>
      <c r="K549" s="256" t="s">
        <v>1147</v>
      </c>
      <c r="L549" s="221" t="str">
        <f>'WetLitterbags placem_collection'!O110</f>
        <v>G845</v>
      </c>
      <c r="M549" s="223">
        <f>IFERROR(INDEX('Green_rooibos initial weight'!$C$5:$C$2000,MATCH(L549, 'Green_rooibos initial weight'!$A$5:$A$2000,0)),"")</f>
        <v>2.0459999999999998</v>
      </c>
      <c r="N549" s="223">
        <f>IFERROR(M549-(TBIcalc!$H$9+TBIcalc!$H$10),"")</f>
        <v>1.7961999999999998</v>
      </c>
      <c r="O549" s="378">
        <f>AVERAGE(Ashed_controlls!$K$2:$K$11)</f>
        <v>5.5147656768714146</v>
      </c>
      <c r="P549" s="223">
        <f t="shared" si="41"/>
        <v>1.6971437789120354</v>
      </c>
      <c r="Q549" s="223">
        <f>IFERROR(INDEX('Both teabags AfterWet'!$C$3:$C$840,MATCH(L549,'Both teabags AfterWet'!$A$3:$A$840,0)),"")</f>
        <v>0.57699999999999996</v>
      </c>
      <c r="R549" s="223">
        <f>IFERROR(IF(Q549&gt;0,Q549-(TBIcalc!$H$9),""),"")</f>
        <v>0.42639999999999995</v>
      </c>
      <c r="S549" s="223">
        <f>IFERROR(INDEX('Ashed teabags wet'!$K$2:$K$2000,MATCH(L549,'Ashed teabags wet'!$A$2:$A$2000,0)),"")</f>
        <v>13.078070611635859</v>
      </c>
      <c r="T549" s="223">
        <f t="shared" si="42"/>
        <v>0.37063510691198465</v>
      </c>
      <c r="U549" s="224">
        <f>'WetLitterbags placem_collection'!E110</f>
        <v>42762</v>
      </c>
      <c r="V549" s="224">
        <f>IF('WetLitterbags placem_collection'!G110="","",'WetLitterbags placem_collection'!G110)</f>
        <v>42816</v>
      </c>
      <c r="W549" s="225">
        <f t="shared" si="40"/>
        <v>54</v>
      </c>
      <c r="X549" s="223">
        <f t="shared" si="43"/>
        <v>1.3697999999999999</v>
      </c>
      <c r="Y549" s="223">
        <f t="shared" si="44"/>
        <v>1.3265086720000507</v>
      </c>
      <c r="Z549">
        <f>IFERROR(INDEX([1]Rainfall_Wet!$O$2:$O$217,MATCH(C549, [1]Rainfall_Wet!$A$2:$A$217,0)),"")</f>
        <v>206.85140822299999</v>
      </c>
      <c r="AA549" s="226">
        <v>34.344660194174757</v>
      </c>
      <c r="AB549" s="226">
        <v>19.22727272727273</v>
      </c>
      <c r="AC549" s="226">
        <v>46.428067078552509</v>
      </c>
      <c r="AD549" s="227" t="s">
        <v>2651</v>
      </c>
      <c r="AE549" s="226">
        <v>4.7452932479053702</v>
      </c>
      <c r="AF549">
        <f>IF('WetLitterbags placem_collection'!AB110="","",'WetLitterbags placem_collection'!AB110)</f>
        <v>9.6999999999999993</v>
      </c>
      <c r="AG549">
        <f>IF('WetLitterbags placem_collection'!Z110="","",'WetLitterbags placem_collection'!Z110)</f>
        <v>22.5</v>
      </c>
      <c r="AH549" s="236" t="str">
        <f>IF('WetLitterbags placem_collection'!AA110="","",'WetLitterbags placem_collection'!AA110)</f>
        <v>M</v>
      </c>
      <c r="AI549">
        <f>IF('WetLitterbags placem_collection'!AC110="","",'WetLitterbags placem_collection'!AC110)</f>
        <v>0</v>
      </c>
      <c r="AJ549" s="233">
        <f>AVERAGE('WetLitterbags placem_collection'!S110,'WetLitterbags placem_collection'!U110)</f>
        <v>15.1</v>
      </c>
      <c r="AK549">
        <f>AVERAGE('WetLitterbags placem_collection'!R110,'WetLitterbags placem_collection'!T110)</f>
        <v>31.55</v>
      </c>
      <c r="AL549">
        <f>INDEX([2]Coordinates!$B$2:$B$197,MATCH(I549,[2]Coordinates!$J$2:$J$197,0))</f>
        <v>-2.3698620030000002</v>
      </c>
      <c r="AM549">
        <f>INDEX([2]Coordinates!$C$2:$C$197,MATCH(I549,[2]Coordinates!$J$2:$J$197,0))</f>
        <v>34.059759020000001</v>
      </c>
      <c r="AN549" t="str">
        <f>IF(ISNUMBER(SEARCH("C", 'WetLitterbags placem_collection'!$X110)),"YES","NO")</f>
        <v>NO</v>
      </c>
      <c r="AO549" t="str">
        <f>IF(ISNUMBER(SEARCH("H", 'WetLitterbags placem_collection'!$X110)),"YES","NO")</f>
        <v>NO</v>
      </c>
      <c r="AP549" t="str">
        <f>IF(ISNUMBER(SEARCH("R", 'WetLitterbags placem_collection'!$X110)),"YES","NO")</f>
        <v>YES</v>
      </c>
    </row>
    <row r="550" spans="1:42" ht="15" customHeight="1">
      <c r="A550" t="s">
        <v>3248</v>
      </c>
      <c r="B550" s="248" t="s">
        <v>2454</v>
      </c>
      <c r="C550" s="253">
        <f>'Dry_Litterbag Placem_Collection'!A111</f>
        <v>109</v>
      </c>
      <c r="D550" s="253" t="str">
        <f>'Dry_Litterbag Placem_Collection'!B111</f>
        <v xml:space="preserve">Mwantimba
</v>
      </c>
      <c r="E550" s="253" t="s">
        <v>2454</v>
      </c>
      <c r="F550" s="253" t="s">
        <v>2644</v>
      </c>
      <c r="G550" s="253">
        <v>2</v>
      </c>
      <c r="H550" s="253" t="s">
        <v>3118</v>
      </c>
      <c r="I550" s="254" t="str">
        <f>'Dry_Litterbag Placem_Collection'!C111</f>
        <v>Wet_Ag2_T5</v>
      </c>
      <c r="J550" s="263" t="s">
        <v>2932</v>
      </c>
      <c r="K550" s="256" t="s">
        <v>1147</v>
      </c>
      <c r="L550" s="221" t="str">
        <f>'WetLitterbags placem_collection'!O111</f>
        <v>G887</v>
      </c>
      <c r="M550" s="223">
        <f>IFERROR(INDEX('Green_rooibos initial weight'!$C$5:$C$2000,MATCH(L550, 'Green_rooibos initial weight'!$A$5:$A$2000,0)),"")</f>
        <v>1.998</v>
      </c>
      <c r="N550" s="223">
        <f>IFERROR(M550-(TBIcalc!$H$9+TBIcalc!$H$10),"")</f>
        <v>1.7482</v>
      </c>
      <c r="O550" s="378">
        <f>AVERAGE(Ashed_controlls!$K$2:$K$11)</f>
        <v>5.5147656768714146</v>
      </c>
      <c r="P550" s="223">
        <f t="shared" si="41"/>
        <v>1.6517908664369338</v>
      </c>
      <c r="Q550" s="223">
        <f>IFERROR(INDEX('Both teabags AfterWet'!$C$3:$C$840,MATCH(L550,'Both teabags AfterWet'!$A$3:$A$840,0)),"")</f>
        <v>0.64870000000000005</v>
      </c>
      <c r="R550" s="223">
        <f>IFERROR(IF(Q550&gt;0,Q550-(TBIcalc!$H$9),""),"")</f>
        <v>0.49810000000000004</v>
      </c>
      <c r="S550" s="223">
        <f>IFERROR(INDEX('Ashed teabags wet'!$K$2:$K$2000,MATCH(L550,'Ashed teabags wet'!$A$2:$A$2000,0)),"")</f>
        <v>12.548449612403372</v>
      </c>
      <c r="T550" s="223">
        <f t="shared" si="42"/>
        <v>0.43559617248061883</v>
      </c>
      <c r="U550" s="224">
        <f>'WetLitterbags placem_collection'!E111</f>
        <v>42762</v>
      </c>
      <c r="V550" s="224">
        <f>IF('WetLitterbags placem_collection'!G111="","",'WetLitterbags placem_collection'!G111)</f>
        <v>42816</v>
      </c>
      <c r="W550" s="225">
        <f t="shared" si="40"/>
        <v>54</v>
      </c>
      <c r="X550" s="223">
        <f t="shared" si="43"/>
        <v>1.2501</v>
      </c>
      <c r="Y550" s="223">
        <f t="shared" si="44"/>
        <v>1.2161946939563151</v>
      </c>
      <c r="Z550">
        <f>IFERROR(INDEX([1]Rainfall_Wet!$O$2:$O$217,MATCH(C550, [1]Rainfall_Wet!$A$2:$A$217,0)),"")</f>
        <v>206.85140822299999</v>
      </c>
      <c r="AA550" s="226">
        <v>34.344660194174757</v>
      </c>
      <c r="AB550" s="226">
        <v>19.22727272727273</v>
      </c>
      <c r="AC550" s="226">
        <v>46.428067078552509</v>
      </c>
      <c r="AD550" s="227" t="s">
        <v>2651</v>
      </c>
      <c r="AE550" s="226">
        <v>5.7452932479053702</v>
      </c>
      <c r="AF550">
        <f>IF('WetLitterbags placem_collection'!AB111="","",'WetLitterbags placem_collection'!AB111)</f>
        <v>10.5</v>
      </c>
      <c r="AG550">
        <f>IF('WetLitterbags placem_collection'!Z111="","",'WetLitterbags placem_collection'!Z111)</f>
        <v>22.5</v>
      </c>
      <c r="AH550" s="236" t="str">
        <f>IF('WetLitterbags placem_collection'!AA111="","",'WetLitterbags placem_collection'!AA111)</f>
        <v>M</v>
      </c>
      <c r="AI550">
        <f>IF('WetLitterbags placem_collection'!AC111="","",'WetLitterbags placem_collection'!AC111)</f>
        <v>0</v>
      </c>
      <c r="AJ550" s="233">
        <f>AVERAGE('WetLitterbags placem_collection'!S111,'WetLitterbags placem_collection'!U111)</f>
        <v>9</v>
      </c>
      <c r="AK550">
        <f>AVERAGE('WetLitterbags placem_collection'!R111,'WetLitterbags placem_collection'!T111)</f>
        <v>33.5</v>
      </c>
      <c r="AL550">
        <f>INDEX([2]Coordinates!$B$2:$B$197,MATCH(I550,[2]Coordinates!$J$2:$J$197,0))</f>
        <v>-2.3698390370000002</v>
      </c>
      <c r="AM550">
        <f>INDEX([2]Coordinates!$C$2:$C$197,MATCH(I550,[2]Coordinates!$J$2:$J$197,0))</f>
        <v>34.059714</v>
      </c>
      <c r="AN550" t="str">
        <f>IF(ISNUMBER(SEARCH("C", 'WetLitterbags placem_collection'!$X111)),"YES","NO")</f>
        <v>NO</v>
      </c>
      <c r="AO550" t="str">
        <f>IF(ISNUMBER(SEARCH("H", 'WetLitterbags placem_collection'!$X111)),"YES","NO")</f>
        <v>NO</v>
      </c>
      <c r="AP550" t="str">
        <f>IF(ISNUMBER(SEARCH("R", 'WetLitterbags placem_collection'!$X111)),"YES","NO")</f>
        <v>NO</v>
      </c>
    </row>
    <row r="551" spans="1:42" ht="15" customHeight="1">
      <c r="A551" t="s">
        <v>3248</v>
      </c>
      <c r="B551" s="248" t="s">
        <v>2454</v>
      </c>
      <c r="C551" s="253">
        <f>'Dry_Litterbag Placem_Collection'!A112</f>
        <v>110</v>
      </c>
      <c r="D551" s="253" t="str">
        <f>'Dry_Litterbag Placem_Collection'!B112</f>
        <v xml:space="preserve">Mwantimba
</v>
      </c>
      <c r="E551" s="253" t="s">
        <v>2454</v>
      </c>
      <c r="F551" s="253" t="s">
        <v>2644</v>
      </c>
      <c r="G551" s="253">
        <v>2</v>
      </c>
      <c r="H551" s="253" t="s">
        <v>3118</v>
      </c>
      <c r="I551" s="254" t="str">
        <f>'Dry_Litterbag Placem_Collection'!C112</f>
        <v>Wet_Ag2_T6</v>
      </c>
      <c r="J551" s="263" t="s">
        <v>2932</v>
      </c>
      <c r="K551" s="256" t="s">
        <v>1147</v>
      </c>
      <c r="L551" s="221" t="str">
        <f>'WetLitterbags placem_collection'!O112</f>
        <v>G882</v>
      </c>
      <c r="M551" s="223">
        <f>IFERROR(INDEX('Green_rooibos initial weight'!$C$5:$C$2000,MATCH(L551, 'Green_rooibos initial weight'!$A$5:$A$2000,0)),"")</f>
        <v>2.0979999999999999</v>
      </c>
      <c r="N551" s="223">
        <f>IFERROR(M551-(TBIcalc!$H$9+TBIcalc!$H$10),"")</f>
        <v>1.8481999999999998</v>
      </c>
      <c r="O551" s="378">
        <f>AVERAGE(Ashed_controlls!$K$2:$K$11)</f>
        <v>5.5147656768714146</v>
      </c>
      <c r="P551" s="223">
        <f t="shared" si="41"/>
        <v>1.7462761007600625</v>
      </c>
      <c r="Q551" s="223">
        <f>IFERROR(INDEX('Both teabags AfterWet'!$C$3:$C$840,MATCH(L551,'Both teabags AfterWet'!$A$3:$A$840,0)),"")</f>
        <v>0.56669999999999998</v>
      </c>
      <c r="R551" s="223">
        <f>IFERROR(IF(Q551&gt;0,Q551-(TBIcalc!$H$9),""),"")</f>
        <v>0.41609999999999997</v>
      </c>
      <c r="S551" s="223">
        <f>IFERROR(INDEX('Ashed teabags wet'!$K$2:$K$2000,MATCH(L551,'Ashed teabags wet'!$A$2:$A$2000,0)),"")</f>
        <v>13.300248138958004</v>
      </c>
      <c r="T551" s="223">
        <f t="shared" si="42"/>
        <v>0.36075766749379573</v>
      </c>
      <c r="U551" s="224">
        <f>'WetLitterbags placem_collection'!E112</f>
        <v>42762</v>
      </c>
      <c r="V551" s="224">
        <f>IF('WetLitterbags placem_collection'!G112="","",'WetLitterbags placem_collection'!G112)</f>
        <v>42816</v>
      </c>
      <c r="W551" s="225">
        <f t="shared" si="40"/>
        <v>54</v>
      </c>
      <c r="X551" s="223">
        <f t="shared" si="43"/>
        <v>1.4320999999999999</v>
      </c>
      <c r="Y551" s="223">
        <f t="shared" si="44"/>
        <v>1.3855184332662667</v>
      </c>
      <c r="Z551">
        <f>IFERROR(INDEX([1]Rainfall_Wet!$O$2:$O$217,MATCH(C551, [1]Rainfall_Wet!$A$2:$A$217,0)),"")</f>
        <v>206.85140822299999</v>
      </c>
      <c r="AA551" s="226">
        <v>34.344660194174757</v>
      </c>
      <c r="AB551" s="226">
        <v>19.22727272727273</v>
      </c>
      <c r="AC551" s="226">
        <v>46.428067078552509</v>
      </c>
      <c r="AD551" s="227" t="s">
        <v>2651</v>
      </c>
      <c r="AE551" s="226">
        <v>6.7452932479053702</v>
      </c>
      <c r="AF551">
        <f>IF('WetLitterbags placem_collection'!AB112="","",'WetLitterbags placem_collection'!AB112)</f>
        <v>5.75</v>
      </c>
      <c r="AG551">
        <f>IF('WetLitterbags placem_collection'!Z112="","",'WetLitterbags placem_collection'!Z112)</f>
        <v>22.5</v>
      </c>
      <c r="AH551" s="236" t="str">
        <f>IF('WetLitterbags placem_collection'!AA112="","",'WetLitterbags placem_collection'!AA112)</f>
        <v>M</v>
      </c>
      <c r="AI551">
        <f>IF('WetLitterbags placem_collection'!AC112="","",'WetLitterbags placem_collection'!AC112)</f>
        <v>0</v>
      </c>
      <c r="AJ551" s="233">
        <f>AVERAGE('WetLitterbags placem_collection'!S112,'WetLitterbags placem_collection'!U112)</f>
        <v>16.950000000000003</v>
      </c>
      <c r="AK551">
        <f>AVERAGE('WetLitterbags placem_collection'!R112,'WetLitterbags placem_collection'!T112)</f>
        <v>30.5</v>
      </c>
      <c r="AL551">
        <f>INDEX([2]Coordinates!$B$2:$B$197,MATCH(I551,[2]Coordinates!$J$2:$J$197,0))</f>
        <v>-2.3697549659999999</v>
      </c>
      <c r="AM551">
        <f>INDEX([2]Coordinates!$C$2:$C$197,MATCH(I551,[2]Coordinates!$J$2:$J$197,0))</f>
        <v>34.059668989999999</v>
      </c>
      <c r="AN551" t="str">
        <f>IF(ISNUMBER(SEARCH("C", 'WetLitterbags placem_collection'!$X112)),"YES","NO")</f>
        <v>NO</v>
      </c>
      <c r="AO551" t="str">
        <f>IF(ISNUMBER(SEARCH("H", 'WetLitterbags placem_collection'!$X112)),"YES","NO")</f>
        <v>NO</v>
      </c>
      <c r="AP551" t="str">
        <f>IF(ISNUMBER(SEARCH("R", 'WetLitterbags placem_collection'!$X112)),"YES","NO")</f>
        <v>NO</v>
      </c>
    </row>
    <row r="552" spans="1:42" ht="15" customHeight="1">
      <c r="A552" t="s">
        <v>3248</v>
      </c>
      <c r="B552" s="248" t="s">
        <v>2454</v>
      </c>
      <c r="C552" s="253">
        <f>'Dry_Litterbag Placem_Collection'!A113</f>
        <v>111</v>
      </c>
      <c r="D552" s="253" t="str">
        <f>'Dry_Litterbag Placem_Collection'!B113</f>
        <v xml:space="preserve">Mwantimba
</v>
      </c>
      <c r="E552" s="253" t="s">
        <v>2454</v>
      </c>
      <c r="F552" s="253" t="s">
        <v>2644</v>
      </c>
      <c r="G552" s="253">
        <v>2</v>
      </c>
      <c r="H552" s="253" t="s">
        <v>3118</v>
      </c>
      <c r="I552" s="254" t="str">
        <f>'Dry_Litterbag Placem_Collection'!C113</f>
        <v>Wet_Ag2_T7</v>
      </c>
      <c r="J552" s="263" t="s">
        <v>2932</v>
      </c>
      <c r="K552" s="256" t="s">
        <v>1147</v>
      </c>
      <c r="L552" s="221" t="str">
        <f>'WetLitterbags placem_collection'!O113</f>
        <v>G695</v>
      </c>
      <c r="M552" s="223">
        <f>IFERROR(INDEX('Green_rooibos initial weight'!$C$5:$C$2000,MATCH(L552, 'Green_rooibos initial weight'!$A$5:$A$2000,0)),"")</f>
        <v>2.0190000000000001</v>
      </c>
      <c r="N552" s="223">
        <f>IFERROR(M552-(TBIcalc!$H$9+TBIcalc!$H$10),"")</f>
        <v>1.7692000000000001</v>
      </c>
      <c r="O552" s="378">
        <f>AVERAGE(Ashed_controlls!$K$2:$K$11)</f>
        <v>5.5147656768714146</v>
      </c>
      <c r="P552" s="223">
        <f t="shared" si="41"/>
        <v>1.6716327656447911</v>
      </c>
      <c r="Q552" s="223">
        <f>IFERROR(INDEX('Both teabags AfterWet'!$C$3:$C$840,MATCH(L552,'Both teabags AfterWet'!$A$3:$A$840,0)),"")</f>
        <v>0.621</v>
      </c>
      <c r="R552" s="223">
        <f>IFERROR(IF(Q552&gt;0,Q552-(TBIcalc!$H$9),""),"")</f>
        <v>0.47039999999999998</v>
      </c>
      <c r="S552" s="223">
        <f>IFERROR(INDEX('Ashed teabags wet'!$K$2:$K$2000,MATCH(L552,'Ashed teabags wet'!$A$2:$A$2000,0)),"")</f>
        <v>13.185185185184883</v>
      </c>
      <c r="T552" s="223">
        <f t="shared" si="42"/>
        <v>0.40837688888889029</v>
      </c>
      <c r="U552" s="224">
        <f>'WetLitterbags placem_collection'!E113</f>
        <v>42762</v>
      </c>
      <c r="V552" s="224">
        <f>IF('WetLitterbags placem_collection'!G113="","",'WetLitterbags placem_collection'!G113)</f>
        <v>42816</v>
      </c>
      <c r="W552" s="225">
        <f t="shared" si="40"/>
        <v>54</v>
      </c>
      <c r="X552" s="223">
        <f t="shared" si="43"/>
        <v>1.2988000000000002</v>
      </c>
      <c r="Y552" s="223">
        <f t="shared" si="44"/>
        <v>1.2632558767559008</v>
      </c>
      <c r="Z552">
        <f>IFERROR(INDEX([1]Rainfall_Wet!$O$2:$O$217,MATCH(C552, [1]Rainfall_Wet!$A$2:$A$217,0)),"")</f>
        <v>206.85140822299999</v>
      </c>
      <c r="AA552" s="226">
        <v>34.344660194174757</v>
      </c>
      <c r="AB552" s="226">
        <v>19.22727272727273</v>
      </c>
      <c r="AC552" s="226">
        <v>46.428067078552509</v>
      </c>
      <c r="AD552" s="227" t="s">
        <v>2651</v>
      </c>
      <c r="AE552" s="226">
        <v>7.7452932479053702</v>
      </c>
      <c r="AF552">
        <f>IF('WetLitterbags placem_collection'!AB113="","",'WetLitterbags placem_collection'!AB113)</f>
        <v>6.1</v>
      </c>
      <c r="AG552">
        <f>IF('WetLitterbags placem_collection'!Z113="","",'WetLitterbags placem_collection'!Z113)</f>
        <v>26</v>
      </c>
      <c r="AH552" s="236" t="str">
        <f>IF('WetLitterbags placem_collection'!AA113="","",'WetLitterbags placem_collection'!AA113)</f>
        <v>M</v>
      </c>
      <c r="AI552">
        <f>IF('WetLitterbags placem_collection'!AC113="","",'WetLitterbags placem_collection'!AC113)</f>
        <v>0</v>
      </c>
      <c r="AJ552" s="233">
        <f>AVERAGE('WetLitterbags placem_collection'!S113,'WetLitterbags placem_collection'!U113)</f>
        <v>11.1</v>
      </c>
      <c r="AK552">
        <f>AVERAGE('WetLitterbags placem_collection'!R113,'WetLitterbags placem_collection'!T113)</f>
        <v>32.65</v>
      </c>
      <c r="AL552">
        <f>INDEX([2]Coordinates!$B$2:$B$197,MATCH(I552,[2]Coordinates!$J$2:$J$197,0))</f>
        <v>-2.3697330060000001</v>
      </c>
      <c r="AM552">
        <f>INDEX([2]Coordinates!$C$2:$C$197,MATCH(I552,[2]Coordinates!$J$2:$J$197,0))</f>
        <v>34.059615010000002</v>
      </c>
      <c r="AN552" t="str">
        <f>IF(ISNUMBER(SEARCH("C", 'WetLitterbags placem_collection'!$X113)),"YES","NO")</f>
        <v>NO</v>
      </c>
      <c r="AO552" t="str">
        <f>IF(ISNUMBER(SEARCH("H", 'WetLitterbags placem_collection'!$X113)),"YES","NO")</f>
        <v>NO</v>
      </c>
      <c r="AP552" t="str">
        <f>IF(ISNUMBER(SEARCH("R", 'WetLitterbags placem_collection'!$X113)),"YES","NO")</f>
        <v>YES</v>
      </c>
    </row>
    <row r="553" spans="1:42" ht="15" customHeight="1">
      <c r="A553" t="s">
        <v>3248</v>
      </c>
      <c r="B553" s="248" t="s">
        <v>2454</v>
      </c>
      <c r="C553" s="253">
        <f>'Dry_Litterbag Placem_Collection'!A114</f>
        <v>112</v>
      </c>
      <c r="D553" s="253" t="str">
        <f>'Dry_Litterbag Placem_Collection'!B114</f>
        <v xml:space="preserve">Mwantimba
</v>
      </c>
      <c r="E553" s="253" t="s">
        <v>2454</v>
      </c>
      <c r="F553" s="253" t="s">
        <v>2644</v>
      </c>
      <c r="G553" s="253">
        <v>2</v>
      </c>
      <c r="H553" s="253" t="s">
        <v>3118</v>
      </c>
      <c r="I553" s="254" t="str">
        <f>'Dry_Litterbag Placem_Collection'!C114</f>
        <v>Wet_Ag2_T8</v>
      </c>
      <c r="J553" s="263" t="s">
        <v>2932</v>
      </c>
      <c r="K553" s="256" t="s">
        <v>1147</v>
      </c>
      <c r="L553" s="221" t="str">
        <f>'WetLitterbags placem_collection'!O114</f>
        <v>G852</v>
      </c>
      <c r="M553" s="223">
        <f>IFERROR(INDEX('Green_rooibos initial weight'!$C$5:$C$2000,MATCH(L553, 'Green_rooibos initial weight'!$A$5:$A$2000,0)),"")</f>
        <v>2.0630000000000002</v>
      </c>
      <c r="N553" s="223">
        <f>IFERROR(M553-(TBIcalc!$H$9+TBIcalc!$H$10),"")</f>
        <v>1.8132000000000001</v>
      </c>
      <c r="O553" s="378">
        <f>AVERAGE(Ashed_controlls!$K$2:$K$11)</f>
        <v>5.5147656768714146</v>
      </c>
      <c r="P553" s="223">
        <f t="shared" si="41"/>
        <v>1.7132062687469676</v>
      </c>
      <c r="Q553" s="223">
        <f>IFERROR(INDEX('Both teabags AfterWet'!$C$3:$C$840,MATCH(L553,'Both teabags AfterWet'!$A$3:$A$840,0)),"")</f>
        <v>0.69799999999999995</v>
      </c>
      <c r="R553" s="223">
        <f>IFERROR(IF(Q553&gt;0,Q553-(TBIcalc!$H$9),""),"")</f>
        <v>0.54739999999999989</v>
      </c>
      <c r="S553" s="223">
        <f>IFERROR(INDEX('Ashed teabags wet'!$K$2:$K$2000,MATCH(L553,'Ashed teabags wet'!$A$2:$A$2000,0)),"")</f>
        <v>13.745704467352656</v>
      </c>
      <c r="T553" s="223">
        <f t="shared" si="42"/>
        <v>0.47215601374571148</v>
      </c>
      <c r="U553" s="224">
        <f>'WetLitterbags placem_collection'!E114</f>
        <v>42762</v>
      </c>
      <c r="V553" s="224">
        <f>IF('WetLitterbags placem_collection'!G114="","",'WetLitterbags placem_collection'!G114)</f>
        <v>42816</v>
      </c>
      <c r="W553" s="225">
        <f t="shared" si="40"/>
        <v>54</v>
      </c>
      <c r="X553" s="223">
        <f t="shared" si="43"/>
        <v>1.2658000000000003</v>
      </c>
      <c r="Y553" s="223">
        <f t="shared" si="44"/>
        <v>1.2410502550012561</v>
      </c>
      <c r="Z553">
        <f>IFERROR(INDEX([1]Rainfall_Wet!$O$2:$O$217,MATCH(C553, [1]Rainfall_Wet!$A$2:$A$217,0)),"")</f>
        <v>206.85140822299999</v>
      </c>
      <c r="AA553" s="226">
        <v>34.344660194174757</v>
      </c>
      <c r="AB553" s="226">
        <v>19.22727272727273</v>
      </c>
      <c r="AC553" s="226">
        <v>46.428067078552509</v>
      </c>
      <c r="AD553" s="227" t="s">
        <v>2651</v>
      </c>
      <c r="AE553" s="226">
        <v>8.7452932479053693</v>
      </c>
      <c r="AF553">
        <f>IF('WetLitterbags placem_collection'!AB114="","",'WetLitterbags placem_collection'!AB114)</f>
        <v>11.5</v>
      </c>
      <c r="AG553">
        <f>IF('WetLitterbags placem_collection'!Z114="","",'WetLitterbags placem_collection'!Z114)</f>
        <v>15</v>
      </c>
      <c r="AH553" s="236" t="str">
        <f>IF('WetLitterbags placem_collection'!AA114="","",'WetLitterbags placem_collection'!AA114)</f>
        <v>M</v>
      </c>
      <c r="AI553">
        <f>IF('WetLitterbags placem_collection'!AC114="","",'WetLitterbags placem_collection'!AC114)</f>
        <v>0</v>
      </c>
      <c r="AJ553" s="233">
        <f>AVERAGE('WetLitterbags placem_collection'!S114,'WetLitterbags placem_collection'!U114)</f>
        <v>15.2</v>
      </c>
      <c r="AK553">
        <f>AVERAGE('WetLitterbags placem_collection'!R114,'WetLitterbags placem_collection'!T114)</f>
        <v>31.450000000000003</v>
      </c>
      <c r="AL553">
        <f>INDEX([2]Coordinates!$B$2:$B$197,MATCH(I553,[2]Coordinates!$J$2:$J$197,0))</f>
        <v>-2.36967098</v>
      </c>
      <c r="AM553">
        <f>INDEX([2]Coordinates!$C$2:$C$197,MATCH(I553,[2]Coordinates!$J$2:$J$197,0))</f>
        <v>34.059735959999998</v>
      </c>
      <c r="AN553" t="str">
        <f>IF(ISNUMBER(SEARCH("C", 'WetLitterbags placem_collection'!$X114)),"YES","NO")</f>
        <v>NO</v>
      </c>
      <c r="AO553" t="str">
        <f>IF(ISNUMBER(SEARCH("H", 'WetLitterbags placem_collection'!$X114)),"YES","NO")</f>
        <v>NO</v>
      </c>
      <c r="AP553" t="str">
        <f>IF(ISNUMBER(SEARCH("R", 'WetLitterbags placem_collection'!$X114)),"YES","NO")</f>
        <v>NO</v>
      </c>
    </row>
    <row r="554" spans="1:42" ht="15" customHeight="1">
      <c r="A554" t="s">
        <v>3248</v>
      </c>
      <c r="B554" s="248" t="s">
        <v>2454</v>
      </c>
      <c r="C554" s="253">
        <f>'Dry_Litterbag Placem_Collection'!A115</f>
        <v>113</v>
      </c>
      <c r="D554" s="253" t="str">
        <f>'Dry_Litterbag Placem_Collection'!B115</f>
        <v xml:space="preserve">Mwantimba
</v>
      </c>
      <c r="E554" s="253" t="s">
        <v>2454</v>
      </c>
      <c r="F554" s="253" t="s">
        <v>2644</v>
      </c>
      <c r="G554" s="253">
        <v>3</v>
      </c>
      <c r="H554" s="253" t="s">
        <v>3119</v>
      </c>
      <c r="I554" s="254" t="str">
        <f>'Dry_Litterbag Placem_Collection'!C115</f>
        <v>Wet_Ag3_T1</v>
      </c>
      <c r="J554" s="263" t="s">
        <v>2932</v>
      </c>
      <c r="K554" s="256" t="s">
        <v>1147</v>
      </c>
      <c r="L554" s="221" t="str">
        <f>'WetLitterbags placem_collection'!O115</f>
        <v>G769</v>
      </c>
      <c r="M554" s="223">
        <f>IFERROR(INDEX('Green_rooibos initial weight'!$C$5:$C$2000,MATCH(L554, 'Green_rooibos initial weight'!$A$5:$A$2000,0)),"")</f>
        <v>2.0550000000000002</v>
      </c>
      <c r="N554" s="223">
        <f>IFERROR(M554-(TBIcalc!$H$9+TBIcalc!$H$10),"")</f>
        <v>1.8052000000000001</v>
      </c>
      <c r="O554" s="378">
        <f>AVERAGE(Ashed_controlls!$K$2:$K$11)</f>
        <v>5.5147656768714146</v>
      </c>
      <c r="P554" s="223">
        <f t="shared" si="41"/>
        <v>1.7056474500011174</v>
      </c>
      <c r="Q554" s="223">
        <f>IFERROR(INDEX('Both teabags AfterWet'!$C$3:$C$840,MATCH(L554,'Both teabags AfterWet'!$A$3:$A$840,0)),"")</f>
        <v>0.70799999999999996</v>
      </c>
      <c r="R554" s="223">
        <f>IFERROR(IF(Q554&gt;0,Q554-(TBIcalc!$H$9),""),"")</f>
        <v>0.5573999999999999</v>
      </c>
      <c r="S554" s="223">
        <f>IFERROR(INDEX('Ashed teabags wet'!$K$2:$K$2000,MATCH(L554,'Ashed teabags wet'!$A$2:$A$2000,0)),"")</f>
        <v>20.028887818970457</v>
      </c>
      <c r="T554" s="223">
        <f t="shared" si="42"/>
        <v>0.4457589792970586</v>
      </c>
      <c r="U554" s="224">
        <f>'WetLitterbags placem_collection'!E115</f>
        <v>42762</v>
      </c>
      <c r="V554" s="224">
        <f>IF('WetLitterbags placem_collection'!G115="","",'WetLitterbags placem_collection'!G115)</f>
        <v>42816</v>
      </c>
      <c r="W554" s="225">
        <f t="shared" si="40"/>
        <v>54</v>
      </c>
      <c r="X554" s="223">
        <f t="shared" si="43"/>
        <v>1.2478000000000002</v>
      </c>
      <c r="Y554" s="223">
        <f t="shared" si="44"/>
        <v>1.2598884707040587</v>
      </c>
      <c r="Z554">
        <f>IFERROR(INDEX([1]Rainfall_Wet!$O$2:$O$217,MATCH(C554, [1]Rainfall_Wet!$A$2:$A$217,0)),"")</f>
        <v>206.85140822299999</v>
      </c>
      <c r="AA554" s="226">
        <v>27.96</v>
      </c>
      <c r="AB554" s="226">
        <v>4.9200000000000017</v>
      </c>
      <c r="AC554" s="226">
        <v>67.12</v>
      </c>
      <c r="AD554" s="227" t="s">
        <v>2651</v>
      </c>
      <c r="AE554" s="226">
        <v>0.88610152784622953</v>
      </c>
      <c r="AF554">
        <f>IF('WetLitterbags placem_collection'!AB115="","",'WetLitterbags placem_collection'!AB115)</f>
        <v>26</v>
      </c>
      <c r="AG554">
        <f>IF('WetLitterbags placem_collection'!Z115="","",'WetLitterbags placem_collection'!Z115)</f>
        <v>88.5</v>
      </c>
      <c r="AH554" s="236" t="str">
        <f>IF('WetLitterbags placem_collection'!AA115="","",'WetLitterbags placem_collection'!AA115)</f>
        <v>G</v>
      </c>
      <c r="AI554">
        <f>IF('WetLitterbags placem_collection'!AC115="","",'WetLitterbags placem_collection'!AC115)</f>
        <v>0</v>
      </c>
      <c r="AJ554" s="233">
        <f>AVERAGE('WetLitterbags placem_collection'!S115,'WetLitterbags placem_collection'!U115)</f>
        <v>8.6999999999999993</v>
      </c>
      <c r="AK554">
        <f>AVERAGE('WetLitterbags placem_collection'!R115,'WetLitterbags placem_collection'!T115)</f>
        <v>32.4</v>
      </c>
      <c r="AL554">
        <f>INDEX([2]Coordinates!$B$2:$B$197,MATCH(I554,[2]Coordinates!$J$2:$J$197,0))</f>
        <v>-2.3487199940000001</v>
      </c>
      <c r="AM554">
        <f>INDEX([2]Coordinates!$C$2:$C$197,MATCH(I554,[2]Coordinates!$J$2:$J$197,0))</f>
        <v>34.051391029999998</v>
      </c>
      <c r="AN554" t="str">
        <f>IF(ISNUMBER(SEARCH("C", 'WetLitterbags placem_collection'!$X115)),"YES","NO")</f>
        <v>NO</v>
      </c>
      <c r="AO554" t="str">
        <f>IF(ISNUMBER(SEARCH("H", 'WetLitterbags placem_collection'!$X115)),"YES","NO")</f>
        <v>NO</v>
      </c>
      <c r="AP554" t="str">
        <f>IF(ISNUMBER(SEARCH("R", 'WetLitterbags placem_collection'!$X115)),"YES","NO")</f>
        <v>YES</v>
      </c>
    </row>
    <row r="555" spans="1:42" ht="15" customHeight="1">
      <c r="A555" t="s">
        <v>3248</v>
      </c>
      <c r="B555" s="248" t="s">
        <v>2454</v>
      </c>
      <c r="C555" s="253">
        <f>'Dry_Litterbag Placem_Collection'!A116</f>
        <v>114</v>
      </c>
      <c r="D555" s="253" t="str">
        <f>'Dry_Litterbag Placem_Collection'!B116</f>
        <v xml:space="preserve">Mwantimba
</v>
      </c>
      <c r="E555" s="253" t="s">
        <v>2454</v>
      </c>
      <c r="F555" s="253" t="s">
        <v>2644</v>
      </c>
      <c r="G555" s="253">
        <v>3</v>
      </c>
      <c r="H555" s="253" t="s">
        <v>3119</v>
      </c>
      <c r="I555" s="254" t="str">
        <f>'Dry_Litterbag Placem_Collection'!C116</f>
        <v>Wet_Ag3_T2</v>
      </c>
      <c r="J555" s="263" t="s">
        <v>2932</v>
      </c>
      <c r="K555" s="256" t="s">
        <v>1147</v>
      </c>
      <c r="L555" s="221" t="str">
        <f>'WetLitterbags placem_collection'!O116</f>
        <v>G889</v>
      </c>
      <c r="M555" s="223">
        <f>IFERROR(INDEX('Green_rooibos initial weight'!$C$5:$C$2000,MATCH(L555, 'Green_rooibos initial weight'!$A$5:$A$2000,0)),"")</f>
        <v>1.9830000000000001</v>
      </c>
      <c r="N555" s="223">
        <f>IFERROR(M555-(TBIcalc!$H$9+TBIcalc!$H$10),"")</f>
        <v>1.7332000000000001</v>
      </c>
      <c r="O555" s="378">
        <f>AVERAGE(Ashed_controlls!$K$2:$K$11)</f>
        <v>5.5147656768714146</v>
      </c>
      <c r="P555" s="223">
        <f t="shared" si="41"/>
        <v>1.6376180812884646</v>
      </c>
      <c r="Q555" s="223">
        <f>IFERROR(INDEX('Both teabags AfterWet'!$C$3:$C$840,MATCH(L555,'Both teabags AfterWet'!$A$3:$A$840,0)),"")</f>
        <v>0.65700000000000003</v>
      </c>
      <c r="R555" s="223">
        <f>IFERROR(IF(Q555&gt;0,Q555-(TBIcalc!$H$9),""),"")</f>
        <v>0.50639999999999996</v>
      </c>
      <c r="S555" s="223">
        <f>IFERROR(INDEX('Ashed teabags wet'!$K$2:$K$2000,MATCH(L555,'Ashed teabags wet'!$A$2:$A$2000,0)),"")</f>
        <v>20.433734939759127</v>
      </c>
      <c r="T555" s="223">
        <f t="shared" si="42"/>
        <v>0.40292356626505976</v>
      </c>
      <c r="U555" s="224">
        <f>'WetLitterbags placem_collection'!E116</f>
        <v>42762</v>
      </c>
      <c r="V555" s="224">
        <f>IF('WetLitterbags placem_collection'!G116="","",'WetLitterbags placem_collection'!G116)</f>
        <v>42816</v>
      </c>
      <c r="W555" s="225">
        <f t="shared" si="40"/>
        <v>54</v>
      </c>
      <c r="X555" s="223">
        <f t="shared" si="43"/>
        <v>1.2268000000000001</v>
      </c>
      <c r="Y555" s="223">
        <f t="shared" si="44"/>
        <v>1.234694515023405</v>
      </c>
      <c r="Z555">
        <f>IFERROR(INDEX([1]Rainfall_Wet!$O$2:$O$217,MATCH(C555, [1]Rainfall_Wet!$A$2:$A$217,0)),"")</f>
        <v>206.85140822299999</v>
      </c>
      <c r="AA555" s="226">
        <v>27.96</v>
      </c>
      <c r="AB555" s="226">
        <v>4.9200000000000017</v>
      </c>
      <c r="AC555" s="226">
        <v>67.12</v>
      </c>
      <c r="AD555" s="227" t="s">
        <v>2651</v>
      </c>
      <c r="AE555" s="226">
        <v>1.8861015278462301</v>
      </c>
      <c r="AF555">
        <f>IF('WetLitterbags placem_collection'!AB116="","",'WetLitterbags placem_collection'!AB116)</f>
        <v>16.5</v>
      </c>
      <c r="AG555">
        <f>IF('WetLitterbags placem_collection'!Z116="","",'WetLitterbags placem_collection'!Z116)</f>
        <v>87.5</v>
      </c>
      <c r="AH555" s="236" t="str">
        <f>IF('WetLitterbags placem_collection'!AA116="","",'WetLitterbags placem_collection'!AA116)</f>
        <v>G</v>
      </c>
      <c r="AI555">
        <f>IF('WetLitterbags placem_collection'!AC116="","",'WetLitterbags placem_collection'!AC116)</f>
        <v>0</v>
      </c>
      <c r="AJ555" s="233">
        <f>AVERAGE('WetLitterbags placem_collection'!S116,'WetLitterbags placem_collection'!U116)</f>
        <v>12.899999999999999</v>
      </c>
      <c r="AK555">
        <f>AVERAGE('WetLitterbags placem_collection'!R116,'WetLitterbags placem_collection'!T116)</f>
        <v>30.450000000000003</v>
      </c>
      <c r="AL555">
        <f>INDEX([2]Coordinates!$B$2:$B$197,MATCH(I555,[2]Coordinates!$J$2:$J$197,0))</f>
        <v>-2.348716976</v>
      </c>
      <c r="AM555">
        <f>INDEX([2]Coordinates!$C$2:$C$197,MATCH(I555,[2]Coordinates!$J$2:$J$197,0))</f>
        <v>34.051484989999999</v>
      </c>
      <c r="AN555" t="str">
        <f>IF(ISNUMBER(SEARCH("C", 'WetLitterbags placem_collection'!$X116)),"YES","NO")</f>
        <v>NO</v>
      </c>
      <c r="AO555" t="str">
        <f>IF(ISNUMBER(SEARCH("H", 'WetLitterbags placem_collection'!$X116)),"YES","NO")</f>
        <v>NO</v>
      </c>
      <c r="AP555" t="str">
        <f>IF(ISNUMBER(SEARCH("R", 'WetLitterbags placem_collection'!$X116)),"YES","NO")</f>
        <v>YES</v>
      </c>
    </row>
    <row r="556" spans="1:42" ht="15" customHeight="1">
      <c r="A556" t="s">
        <v>3248</v>
      </c>
      <c r="B556" s="248" t="s">
        <v>2454</v>
      </c>
      <c r="C556" s="253">
        <f>'Dry_Litterbag Placem_Collection'!A117</f>
        <v>115</v>
      </c>
      <c r="D556" s="253" t="str">
        <f>'Dry_Litterbag Placem_Collection'!B117</f>
        <v xml:space="preserve">Mwantimba
</v>
      </c>
      <c r="E556" s="253" t="s">
        <v>2454</v>
      </c>
      <c r="F556" s="253" t="s">
        <v>2644</v>
      </c>
      <c r="G556" s="253">
        <v>3</v>
      </c>
      <c r="H556" s="253" t="s">
        <v>3119</v>
      </c>
      <c r="I556" s="254" t="str">
        <f>'Dry_Litterbag Placem_Collection'!C117</f>
        <v>Wet_Ag3_T3</v>
      </c>
      <c r="J556" s="263" t="s">
        <v>2932</v>
      </c>
      <c r="K556" s="256" t="s">
        <v>1147</v>
      </c>
      <c r="L556" s="221" t="str">
        <f>'WetLitterbags placem_collection'!O117</f>
        <v>G778</v>
      </c>
      <c r="M556" s="223">
        <f>IFERROR(INDEX('Green_rooibos initial weight'!$C$5:$C$2000,MATCH(L556, 'Green_rooibos initial weight'!$A$5:$A$2000,0)),"")</f>
        <v>1.992</v>
      </c>
      <c r="N556" s="223">
        <f>IFERROR(M556-(TBIcalc!$H$9+TBIcalc!$H$10),"")</f>
        <v>1.7422</v>
      </c>
      <c r="O556" s="378">
        <f>AVERAGE(Ashed_controlls!$K$2:$K$11)</f>
        <v>5.5147656768714146</v>
      </c>
      <c r="P556" s="223">
        <f t="shared" si="41"/>
        <v>1.6461217523775462</v>
      </c>
      <c r="Q556" s="223">
        <f>IFERROR(INDEX('Both teabags AfterWet'!$C$3:$C$840,MATCH(L556,'Both teabags AfterWet'!$A$3:$A$840,0)),"")</f>
        <v>0.73709999999999998</v>
      </c>
      <c r="R556" s="223">
        <f>IFERROR(IF(Q556&gt;0,Q556-(TBIcalc!$H$9),""),"")</f>
        <v>0.58650000000000002</v>
      </c>
      <c r="S556" s="223">
        <f>IFERROR(INDEX('Ashed teabags wet'!$K$2:$K$2000,MATCH(L556,'Ashed teabags wet'!$A$2:$A$2000,0)),"")</f>
        <v>26.575476306790591</v>
      </c>
      <c r="T556" s="223">
        <f t="shared" si="42"/>
        <v>0.43063483146067316</v>
      </c>
      <c r="U556" s="224">
        <f>'WetLitterbags placem_collection'!E117</f>
        <v>42762</v>
      </c>
      <c r="V556" s="224">
        <f>IF('WetLitterbags placem_collection'!G117="","",'WetLitterbags placem_collection'!G117)</f>
        <v>42816</v>
      </c>
      <c r="W556" s="225">
        <f t="shared" si="40"/>
        <v>54</v>
      </c>
      <c r="X556" s="223">
        <f t="shared" si="43"/>
        <v>1.1556999999999999</v>
      </c>
      <c r="Y556" s="223">
        <f t="shared" si="44"/>
        <v>1.215486920916873</v>
      </c>
      <c r="Z556">
        <f>IFERROR(INDEX([1]Rainfall_Wet!$O$2:$O$217,MATCH(C556, [1]Rainfall_Wet!$A$2:$A$217,0)),"")</f>
        <v>206.85140822299999</v>
      </c>
      <c r="AA556" s="226">
        <v>27.96</v>
      </c>
      <c r="AB556" s="226">
        <v>4.9200000000000017</v>
      </c>
      <c r="AC556" s="226">
        <v>67.12</v>
      </c>
      <c r="AD556" s="227" t="s">
        <v>2651</v>
      </c>
      <c r="AE556" s="226">
        <v>2.8861015278462299</v>
      </c>
      <c r="AF556">
        <f>IF('WetLitterbags placem_collection'!AB117="","",'WetLitterbags placem_collection'!AB117)</f>
        <v>19</v>
      </c>
      <c r="AG556">
        <f>IF('WetLitterbags placem_collection'!Z117="","",'WetLitterbags placem_collection'!Z117)</f>
        <v>79.5</v>
      </c>
      <c r="AH556" s="236" t="str">
        <f>IF('WetLitterbags placem_collection'!AA117="","",'WetLitterbags placem_collection'!AA117)</f>
        <v>G</v>
      </c>
      <c r="AI556">
        <f>IF('WetLitterbags placem_collection'!AC117="","",'WetLitterbags placem_collection'!AC117)</f>
        <v>1</v>
      </c>
      <c r="AJ556" s="233">
        <f>AVERAGE('WetLitterbags placem_collection'!S117,'WetLitterbags placem_collection'!U117)</f>
        <v>9.9499999999999993</v>
      </c>
      <c r="AK556">
        <f>AVERAGE('WetLitterbags placem_collection'!R117,'WetLitterbags placem_collection'!T117)</f>
        <v>31.7</v>
      </c>
      <c r="AL556">
        <f>INDEX([2]Coordinates!$B$2:$B$197,MATCH(I556,[2]Coordinates!$J$2:$J$197,0))</f>
        <v>-2.3487800079999999</v>
      </c>
      <c r="AM556">
        <f>INDEX([2]Coordinates!$C$2:$C$197,MATCH(I556,[2]Coordinates!$J$2:$J$197,0))</f>
        <v>34.051495969999998</v>
      </c>
      <c r="AN556" t="str">
        <f>IF(ISNUMBER(SEARCH("C", 'WetLitterbags placem_collection'!$X117)),"YES","NO")</f>
        <v>NO</v>
      </c>
      <c r="AO556" t="str">
        <f>IF(ISNUMBER(SEARCH("H", 'WetLitterbags placem_collection'!$X117)),"YES","NO")</f>
        <v>NO</v>
      </c>
      <c r="AP556" t="str">
        <f>IF(ISNUMBER(SEARCH("R", 'WetLitterbags placem_collection'!$X117)),"YES","NO")</f>
        <v>YES</v>
      </c>
    </row>
    <row r="557" spans="1:42" ht="15" customHeight="1">
      <c r="A557" t="s">
        <v>3248</v>
      </c>
      <c r="B557" s="248" t="s">
        <v>2454</v>
      </c>
      <c r="C557" s="253">
        <f>'Dry_Litterbag Placem_Collection'!A118</f>
        <v>116</v>
      </c>
      <c r="D557" s="253" t="str">
        <f>'Dry_Litterbag Placem_Collection'!B118</f>
        <v xml:space="preserve">Mwantimba
</v>
      </c>
      <c r="E557" s="253" t="s">
        <v>2454</v>
      </c>
      <c r="F557" s="253" t="s">
        <v>2644</v>
      </c>
      <c r="G557" s="253">
        <v>3</v>
      </c>
      <c r="H557" s="253" t="s">
        <v>3119</v>
      </c>
      <c r="I557" s="254" t="str">
        <f>'Dry_Litterbag Placem_Collection'!C118</f>
        <v>Wet_Ag3_T4</v>
      </c>
      <c r="J557" s="263" t="s">
        <v>2932</v>
      </c>
      <c r="K557" s="256" t="s">
        <v>1147</v>
      </c>
      <c r="L557" s="221" t="str">
        <f>'WetLitterbags placem_collection'!O118</f>
        <v>G563</v>
      </c>
      <c r="M557" s="223">
        <f>IFERROR(INDEX('Green_rooibos initial weight'!$C$5:$C$2000,MATCH(L557, 'Green_rooibos initial weight'!$A$5:$A$2000,0)),"")</f>
        <v>1.9390000000000001</v>
      </c>
      <c r="N557" s="223">
        <f>IFERROR(M557-(TBIcalc!$H$9+TBIcalc!$H$10),"")</f>
        <v>1.6892</v>
      </c>
      <c r="O557" s="378">
        <f>AVERAGE(Ashed_controlls!$K$2:$K$11)</f>
        <v>5.5147656768714146</v>
      </c>
      <c r="P557" s="223">
        <f t="shared" si="41"/>
        <v>1.5960445781862882</v>
      </c>
      <c r="Q557" s="223">
        <f>IFERROR(INDEX('Both teabags AfterWet'!$C$3:$C$840,MATCH(L557,'Both teabags AfterWet'!$A$3:$A$840,0)),"")</f>
        <v>0.61660000000000004</v>
      </c>
      <c r="R557" s="223">
        <f>IFERROR(IF(Q557&gt;0,Q557-(TBIcalc!$H$9),""),"")</f>
        <v>0.46600000000000003</v>
      </c>
      <c r="S557" s="223">
        <f>IFERROR(INDEX('Ashed teabags wet'!$K$2:$K$2000,MATCH(L557,'Ashed teabags wet'!$A$2:$A$2000,0)),"")</f>
        <v>16.467661691542546</v>
      </c>
      <c r="T557" s="223">
        <f t="shared" si="42"/>
        <v>0.38926069651741174</v>
      </c>
      <c r="U557" s="224">
        <f>'WetLitterbags placem_collection'!E118</f>
        <v>42762</v>
      </c>
      <c r="V557" s="224">
        <f>IF('WetLitterbags placem_collection'!G118="","",'WetLitterbags placem_collection'!G118)</f>
        <v>42816</v>
      </c>
      <c r="W557" s="225">
        <f t="shared" si="40"/>
        <v>54</v>
      </c>
      <c r="X557" s="223">
        <f t="shared" si="43"/>
        <v>1.2232000000000001</v>
      </c>
      <c r="Y557" s="223">
        <f t="shared" si="44"/>
        <v>1.2067838816688765</v>
      </c>
      <c r="Z557">
        <f>IFERROR(INDEX([1]Rainfall_Wet!$O$2:$O$217,MATCH(C557, [1]Rainfall_Wet!$A$2:$A$217,0)),"")</f>
        <v>206.85140822299999</v>
      </c>
      <c r="AA557" s="226">
        <v>27.96</v>
      </c>
      <c r="AB557" s="226">
        <v>4.9200000000000017</v>
      </c>
      <c r="AC557" s="226">
        <v>67.12</v>
      </c>
      <c r="AD557" s="227" t="s">
        <v>2651</v>
      </c>
      <c r="AE557" s="226">
        <v>3.8861015278462299</v>
      </c>
      <c r="AF557">
        <f>IF('WetLitterbags placem_collection'!AB118="","",'WetLitterbags placem_collection'!AB118)</f>
        <v>22.5</v>
      </c>
      <c r="AG557">
        <f>IF('WetLitterbags placem_collection'!Z118="","",'WetLitterbags placem_collection'!Z118)</f>
        <v>76</v>
      </c>
      <c r="AH557" s="236" t="str">
        <f>IF('WetLitterbags placem_collection'!AA118="","",'WetLitterbags placem_collection'!AA118)</f>
        <v>G</v>
      </c>
      <c r="AI557">
        <f>IF('WetLitterbags placem_collection'!AC118="","",'WetLitterbags placem_collection'!AC118)</f>
        <v>1</v>
      </c>
      <c r="AJ557" s="233">
        <f>AVERAGE('WetLitterbags placem_collection'!S118,'WetLitterbags placem_collection'!U118)</f>
        <v>8.75</v>
      </c>
      <c r="AK557">
        <f>AVERAGE('WetLitterbags placem_collection'!R118,'WetLitterbags placem_collection'!T118)</f>
        <v>25.6</v>
      </c>
      <c r="AL557">
        <f>INDEX([2]Coordinates!$B$2:$B$197,MATCH(I557,[2]Coordinates!$J$2:$J$197,0))</f>
        <v>-2.3488120270000001</v>
      </c>
      <c r="AM557">
        <f>INDEX([2]Coordinates!$C$2:$C$197,MATCH(I557,[2]Coordinates!$J$2:$J$197,0))</f>
        <v>34.05146697</v>
      </c>
      <c r="AN557" t="str">
        <f>IF(ISNUMBER(SEARCH("C", 'WetLitterbags placem_collection'!$X118)),"YES","NO")</f>
        <v>NO</v>
      </c>
      <c r="AO557" t="str">
        <f>IF(ISNUMBER(SEARCH("H", 'WetLitterbags placem_collection'!$X118)),"YES","NO")</f>
        <v>NO</v>
      </c>
      <c r="AP557" t="str">
        <f>IF(ISNUMBER(SEARCH("R", 'WetLitterbags placem_collection'!$X118)),"YES","NO")</f>
        <v>YES</v>
      </c>
    </row>
    <row r="558" spans="1:42" ht="15" customHeight="1">
      <c r="A558" t="s">
        <v>3248</v>
      </c>
      <c r="B558" s="248" t="s">
        <v>2454</v>
      </c>
      <c r="C558" s="253">
        <f>'Dry_Litterbag Placem_Collection'!A119</f>
        <v>117</v>
      </c>
      <c r="D558" s="253" t="str">
        <f>'Dry_Litterbag Placem_Collection'!B119</f>
        <v xml:space="preserve">Mwantimba
</v>
      </c>
      <c r="E558" s="253" t="s">
        <v>2454</v>
      </c>
      <c r="F558" s="253" t="s">
        <v>2644</v>
      </c>
      <c r="G558" s="253">
        <v>3</v>
      </c>
      <c r="H558" s="253" t="s">
        <v>3119</v>
      </c>
      <c r="I558" s="254" t="str">
        <f>'Dry_Litterbag Placem_Collection'!C119</f>
        <v>Wet_Ag3_T5</v>
      </c>
      <c r="J558" s="263" t="s">
        <v>2932</v>
      </c>
      <c r="K558" s="256" t="s">
        <v>1147</v>
      </c>
      <c r="L558" s="221" t="str">
        <f>'WetLitterbags placem_collection'!O119</f>
        <v>G901</v>
      </c>
      <c r="M558" s="223">
        <f>IFERROR(INDEX('Green_rooibos initial weight'!$C$5:$C$2000,MATCH(L558, 'Green_rooibos initial weight'!$A$5:$A$2000,0)),"")</f>
        <v>2.0270000000000001</v>
      </c>
      <c r="N558" s="223">
        <f>IFERROR(M558-(TBIcalc!$H$9+TBIcalc!$H$10),"")</f>
        <v>1.7772000000000001</v>
      </c>
      <c r="O558" s="378">
        <f>AVERAGE(Ashed_controlls!$K$2:$K$11)</f>
        <v>5.5147656768714146</v>
      </c>
      <c r="P558" s="223">
        <f t="shared" si="41"/>
        <v>1.6791915843906413</v>
      </c>
      <c r="Q558" s="223">
        <f>IFERROR(INDEX('Both teabags AfterWet'!$C$3:$C$840,MATCH(L558,'Both teabags AfterWet'!$A$3:$A$840,0)),"")</f>
        <v>0.621</v>
      </c>
      <c r="R558" s="223">
        <f>IFERROR(IF(Q558&gt;0,Q558-(TBIcalc!$H$9),""),"")</f>
        <v>0.47039999999999998</v>
      </c>
      <c r="S558" s="223">
        <f>IFERROR(INDEX('Ashed teabags wet'!$K$2:$K$2000,MATCH(L558,'Ashed teabags wet'!$A$2:$A$2000,0)),"")</f>
        <v>13.244047619047592</v>
      </c>
      <c r="T558" s="223">
        <f t="shared" si="42"/>
        <v>0.40810000000000013</v>
      </c>
      <c r="U558" s="224">
        <f>'WetLitterbags placem_collection'!E119</f>
        <v>42762</v>
      </c>
      <c r="V558" s="224">
        <f>IF('WetLitterbags placem_collection'!G119="","",'WetLitterbags placem_collection'!G119)</f>
        <v>42816</v>
      </c>
      <c r="W558" s="225">
        <f t="shared" si="40"/>
        <v>54</v>
      </c>
      <c r="X558" s="223">
        <f t="shared" si="43"/>
        <v>1.3068000000000002</v>
      </c>
      <c r="Y558" s="223">
        <f t="shared" si="44"/>
        <v>1.2710915843906412</v>
      </c>
      <c r="Z558">
        <f>IFERROR(INDEX([1]Rainfall_Wet!$O$2:$O$217,MATCH(C558, [1]Rainfall_Wet!$A$2:$A$217,0)),"")</f>
        <v>206.85140822299999</v>
      </c>
      <c r="AA558" s="226">
        <v>27.96</v>
      </c>
      <c r="AB558" s="226">
        <v>4.9200000000000017</v>
      </c>
      <c r="AC558" s="226">
        <v>67.12</v>
      </c>
      <c r="AD558" s="227" t="s">
        <v>2651</v>
      </c>
      <c r="AE558" s="226">
        <v>4.8861015278462299</v>
      </c>
      <c r="AF558">
        <f>IF('WetLitterbags placem_collection'!AB119="","",'WetLitterbags placem_collection'!AB119)</f>
        <v>23.5</v>
      </c>
      <c r="AG558">
        <f>IF('WetLitterbags placem_collection'!Z119="","",'WetLitterbags placem_collection'!Z119)</f>
        <v>76</v>
      </c>
      <c r="AH558" s="236" t="str">
        <f>IF('WetLitterbags placem_collection'!AA119="","",'WetLitterbags placem_collection'!AA119)</f>
        <v>G</v>
      </c>
      <c r="AI558">
        <f>IF('WetLitterbags placem_collection'!AC119="","",'WetLitterbags placem_collection'!AC119)</f>
        <v>1</v>
      </c>
      <c r="AJ558" s="233">
        <f>AVERAGE('WetLitterbags placem_collection'!S119,'WetLitterbags placem_collection'!U119)</f>
        <v>5.6999999999999993</v>
      </c>
      <c r="AK558">
        <f>AVERAGE('WetLitterbags placem_collection'!R119,'WetLitterbags placem_collection'!T119)</f>
        <v>31.75</v>
      </c>
      <c r="AL558">
        <f>INDEX([2]Coordinates!$B$2:$B$197,MATCH(I558,[2]Coordinates!$J$2:$J$197,0))</f>
        <v>-2.348814961</v>
      </c>
      <c r="AM558">
        <f>INDEX([2]Coordinates!$C$2:$C$197,MATCH(I558,[2]Coordinates!$J$2:$J$197,0))</f>
        <v>34.051439979999998</v>
      </c>
      <c r="AN558" t="str">
        <f>IF(ISNUMBER(SEARCH("C", 'WetLitterbags placem_collection'!$X119)),"YES","NO")</f>
        <v>NO</v>
      </c>
      <c r="AO558" t="str">
        <f>IF(ISNUMBER(SEARCH("H", 'WetLitterbags placem_collection'!$X119)),"YES","NO")</f>
        <v>NO</v>
      </c>
      <c r="AP558" t="str">
        <f>IF(ISNUMBER(SEARCH("R", 'WetLitterbags placem_collection'!$X119)),"YES","NO")</f>
        <v>YES</v>
      </c>
    </row>
    <row r="559" spans="1:42" ht="15" customHeight="1">
      <c r="A559" t="s">
        <v>3248</v>
      </c>
      <c r="B559" s="248" t="s">
        <v>2454</v>
      </c>
      <c r="C559" s="253">
        <f>'Dry_Litterbag Placem_Collection'!A120</f>
        <v>118</v>
      </c>
      <c r="D559" s="253" t="str">
        <f>'Dry_Litterbag Placem_Collection'!B120</f>
        <v xml:space="preserve">Mwantimba
</v>
      </c>
      <c r="E559" s="253" t="s">
        <v>2454</v>
      </c>
      <c r="F559" s="253" t="s">
        <v>2644</v>
      </c>
      <c r="G559" s="253">
        <v>3</v>
      </c>
      <c r="H559" s="253" t="s">
        <v>3119</v>
      </c>
      <c r="I559" s="254" t="str">
        <f>'Dry_Litterbag Placem_Collection'!C120</f>
        <v>Wet_Ag3_T6</v>
      </c>
      <c r="J559" s="263" t="s">
        <v>2932</v>
      </c>
      <c r="K559" s="256" t="s">
        <v>1147</v>
      </c>
      <c r="L559" s="221" t="str">
        <f>'WetLitterbags placem_collection'!O120</f>
        <v>G791</v>
      </c>
      <c r="M559" s="223">
        <f>IFERROR(INDEX('Green_rooibos initial weight'!$C$5:$C$2000,MATCH(L559, 'Green_rooibos initial weight'!$A$5:$A$2000,0)),"")</f>
        <v>2.0680000000000001</v>
      </c>
      <c r="N559" s="223">
        <f>IFERROR(M559-(TBIcalc!$H$9+TBIcalc!$H$10),"")</f>
        <v>1.8182</v>
      </c>
      <c r="O559" s="378">
        <f>AVERAGE(Ashed_controlls!$K$2:$K$11)</f>
        <v>5.5147656768714146</v>
      </c>
      <c r="P559" s="223">
        <f t="shared" si="41"/>
        <v>1.7179305304631241</v>
      </c>
      <c r="Q559" s="223">
        <f>IFERROR(INDEX('Both teabags AfterWet'!$C$3:$C$840,MATCH(L559,'Both teabags AfterWet'!$A$3:$A$840,0)),"")</f>
        <v>0.64600000000000002</v>
      </c>
      <c r="R559" s="223">
        <f>IFERROR(IF(Q559&gt;0,Q559-(TBIcalc!$H$9),""),"")</f>
        <v>0.49540000000000001</v>
      </c>
      <c r="S559" s="223">
        <f>IFERROR(INDEX('Ashed teabags wet'!$K$2:$K$2000,MATCH(L559,'Ashed teabags wet'!$A$2:$A$2000,0)),"")</f>
        <v>12.418952618454213</v>
      </c>
      <c r="T559" s="223">
        <f t="shared" si="42"/>
        <v>0.43387650872817785</v>
      </c>
      <c r="U559" s="224">
        <f>'WetLitterbags placem_collection'!E120</f>
        <v>42762</v>
      </c>
      <c r="V559" s="224">
        <f>IF('WetLitterbags placem_collection'!G120="","",'WetLitterbags placem_collection'!G120)</f>
        <v>42816</v>
      </c>
      <c r="W559" s="225">
        <f t="shared" si="40"/>
        <v>54</v>
      </c>
      <c r="X559" s="223">
        <f t="shared" si="43"/>
        <v>1.3228</v>
      </c>
      <c r="Y559" s="223">
        <f t="shared" si="44"/>
        <v>1.2840540217349461</v>
      </c>
      <c r="Z559">
        <f>IFERROR(INDEX([1]Rainfall_Wet!$O$2:$O$217,MATCH(C559, [1]Rainfall_Wet!$A$2:$A$217,0)),"")</f>
        <v>206.85140822299999</v>
      </c>
      <c r="AA559" s="226">
        <v>27.96</v>
      </c>
      <c r="AB559" s="226">
        <v>4.9200000000000017</v>
      </c>
      <c r="AC559" s="226">
        <v>67.12</v>
      </c>
      <c r="AD559" s="227" t="s">
        <v>2651</v>
      </c>
      <c r="AE559" s="226">
        <v>5.8861015278462299</v>
      </c>
      <c r="AF559">
        <f>IF('WetLitterbags placem_collection'!AB120="","",'WetLitterbags placem_collection'!AB120)</f>
        <v>17.5</v>
      </c>
      <c r="AG559">
        <f>IF('WetLitterbags placem_collection'!Z120="","",'WetLitterbags placem_collection'!Z120)</f>
        <v>70.5</v>
      </c>
      <c r="AH559" s="236" t="str">
        <f>IF('WetLitterbags placem_collection'!AA120="","",'WetLitterbags placem_collection'!AA120)</f>
        <v>G</v>
      </c>
      <c r="AI559">
        <f>IF('WetLitterbags placem_collection'!AC120="","",'WetLitterbags placem_collection'!AC120)</f>
        <v>1</v>
      </c>
      <c r="AJ559" s="233">
        <f>AVERAGE('WetLitterbags placem_collection'!S120,'WetLitterbags placem_collection'!U120)</f>
        <v>10.7</v>
      </c>
      <c r="AK559">
        <f>AVERAGE('WetLitterbags placem_collection'!R120,'WetLitterbags placem_collection'!T120)</f>
        <v>30.85</v>
      </c>
      <c r="AL559">
        <f>INDEX([2]Coordinates!$B$2:$B$197,MATCH(I559,[2]Coordinates!$J$2:$J$197,0))</f>
        <v>-2.3488729629999998</v>
      </c>
      <c r="AM559">
        <f>INDEX([2]Coordinates!$C$2:$C$197,MATCH(I559,[2]Coordinates!$J$2:$J$197,0))</f>
        <v>34.051454980000003</v>
      </c>
      <c r="AN559" t="str">
        <f>IF(ISNUMBER(SEARCH("C", 'WetLitterbags placem_collection'!$X120)),"YES","NO")</f>
        <v>NO</v>
      </c>
      <c r="AO559" t="str">
        <f>IF(ISNUMBER(SEARCH("H", 'WetLitterbags placem_collection'!$X120)),"YES","NO")</f>
        <v>NO</v>
      </c>
      <c r="AP559" t="str">
        <f>IF(ISNUMBER(SEARCH("R", 'WetLitterbags placem_collection'!$X120)),"YES","NO")</f>
        <v>YES</v>
      </c>
    </row>
    <row r="560" spans="1:42" ht="15" customHeight="1">
      <c r="A560" t="s">
        <v>3248</v>
      </c>
      <c r="B560" s="248" t="s">
        <v>2454</v>
      </c>
      <c r="C560" s="253">
        <f>'Dry_Litterbag Placem_Collection'!A121</f>
        <v>119</v>
      </c>
      <c r="D560" s="253" t="str">
        <f>'Dry_Litterbag Placem_Collection'!B121</f>
        <v xml:space="preserve">Mwantimba
</v>
      </c>
      <c r="E560" s="253" t="s">
        <v>2454</v>
      </c>
      <c r="F560" s="253" t="s">
        <v>2644</v>
      </c>
      <c r="G560" s="253">
        <v>3</v>
      </c>
      <c r="H560" s="253" t="s">
        <v>3119</v>
      </c>
      <c r="I560" s="254" t="str">
        <f>'Dry_Litterbag Placem_Collection'!C121</f>
        <v>Wet_Ag3_T7</v>
      </c>
      <c r="J560" s="263" t="s">
        <v>2932</v>
      </c>
      <c r="K560" s="256" t="s">
        <v>1147</v>
      </c>
      <c r="L560" s="221" t="str">
        <f>'WetLitterbags placem_collection'!O121</f>
        <v>G802</v>
      </c>
      <c r="M560" s="223">
        <f>IFERROR(INDEX('Green_rooibos initial weight'!$C$5:$C$2000,MATCH(L560, 'Green_rooibos initial weight'!$A$5:$A$2000,0)),"")</f>
        <v>2.194</v>
      </c>
      <c r="N560" s="223">
        <f>IFERROR(M560-(TBIcalc!$H$9+TBIcalc!$H$10),"")</f>
        <v>1.9441999999999999</v>
      </c>
      <c r="O560" s="378">
        <f>AVERAGE(Ashed_controlls!$K$2:$K$11)</f>
        <v>5.5147656768714146</v>
      </c>
      <c r="P560" s="223">
        <f t="shared" si="41"/>
        <v>1.836981925710266</v>
      </c>
      <c r="Q560" s="223">
        <f>IFERROR(INDEX('Both teabags AfterWet'!$C$3:$C$840,MATCH(L560,'Both teabags AfterWet'!$A$3:$A$840,0)),"")</f>
        <v>0.65200000000000002</v>
      </c>
      <c r="R560" s="223">
        <f>IFERROR(IF(Q560&gt;0,Q560-(TBIcalc!$H$9),""),"")</f>
        <v>0.50140000000000007</v>
      </c>
      <c r="S560" s="223">
        <f>IFERROR(INDEX('Ashed teabags wet'!$K$2:$K$2000,MATCH(L560,'Ashed teabags wet'!$A$2:$A$2000,0)),"")</f>
        <v>10.497512437810975</v>
      </c>
      <c r="T560" s="223">
        <f t="shared" si="42"/>
        <v>0.44876547263681582</v>
      </c>
      <c r="U560" s="224">
        <f>'WetLitterbags placem_collection'!E121</f>
        <v>42762</v>
      </c>
      <c r="V560" s="224">
        <f>IF('WetLitterbags placem_collection'!G121="","",'WetLitterbags placem_collection'!G121)</f>
        <v>42816</v>
      </c>
      <c r="W560" s="225">
        <f t="shared" si="40"/>
        <v>54</v>
      </c>
      <c r="X560" s="223">
        <f t="shared" si="43"/>
        <v>1.4427999999999999</v>
      </c>
      <c r="Y560" s="223">
        <f t="shared" si="44"/>
        <v>1.3882164530734502</v>
      </c>
      <c r="Z560">
        <f>IFERROR(INDEX([1]Rainfall_Wet!$O$2:$O$217,MATCH(C560, [1]Rainfall_Wet!$A$2:$A$217,0)),"")</f>
        <v>206.85140822299999</v>
      </c>
      <c r="AA560" s="226">
        <v>27.96</v>
      </c>
      <c r="AB560" s="226">
        <v>4.9200000000000017</v>
      </c>
      <c r="AC560" s="226">
        <v>67.12</v>
      </c>
      <c r="AD560" s="227" t="s">
        <v>2651</v>
      </c>
      <c r="AE560" s="226">
        <v>6.8861015278462299</v>
      </c>
      <c r="AF560">
        <f>IF('WetLitterbags placem_collection'!AB121="","",'WetLitterbags placem_collection'!AB121)</f>
        <v>18.5</v>
      </c>
      <c r="AG560">
        <f>IF('WetLitterbags placem_collection'!Z121="","",'WetLitterbags placem_collection'!Z121)</f>
        <v>74.5</v>
      </c>
      <c r="AH560" s="236" t="str">
        <f>IF('WetLitterbags placem_collection'!AA121="","",'WetLitterbags placem_collection'!AA121)</f>
        <v>G</v>
      </c>
      <c r="AI560">
        <f>IF('WetLitterbags placem_collection'!AC121="","",'WetLitterbags placem_collection'!AC121)</f>
        <v>1</v>
      </c>
      <c r="AJ560" s="233">
        <f>AVERAGE('WetLitterbags placem_collection'!S121,'WetLitterbags placem_collection'!U121)</f>
        <v>11.05</v>
      </c>
      <c r="AK560">
        <f>AVERAGE('WetLitterbags placem_collection'!R121,'WetLitterbags placem_collection'!T121)</f>
        <v>30.450000000000003</v>
      </c>
      <c r="AL560">
        <f>INDEX([2]Coordinates!$B$2:$B$197,MATCH(I560,[2]Coordinates!$J$2:$J$197,0))</f>
        <v>-2.3488589659999999</v>
      </c>
      <c r="AM560">
        <f>INDEX([2]Coordinates!$C$2:$C$197,MATCH(I560,[2]Coordinates!$J$2:$J$197,0))</f>
        <v>34.051389010000001</v>
      </c>
      <c r="AN560" t="str">
        <f>IF(ISNUMBER(SEARCH("C", 'WetLitterbags placem_collection'!$X121)),"YES","NO")</f>
        <v>NO</v>
      </c>
      <c r="AO560" t="str">
        <f>IF(ISNUMBER(SEARCH("H", 'WetLitterbags placem_collection'!$X121)),"YES","NO")</f>
        <v>NO</v>
      </c>
      <c r="AP560" t="str">
        <f>IF(ISNUMBER(SEARCH("R", 'WetLitterbags placem_collection'!$X121)),"YES","NO")</f>
        <v>YES</v>
      </c>
    </row>
    <row r="561" spans="1:42" ht="15" customHeight="1">
      <c r="A561" t="s">
        <v>3248</v>
      </c>
      <c r="B561" s="248" t="s">
        <v>2454</v>
      </c>
      <c r="C561" s="253">
        <f>'Dry_Litterbag Placem_Collection'!A122</f>
        <v>120</v>
      </c>
      <c r="D561" s="253" t="str">
        <f>'Dry_Litterbag Placem_Collection'!B122</f>
        <v xml:space="preserve">Mwantimba
</v>
      </c>
      <c r="E561" s="253" t="s">
        <v>2454</v>
      </c>
      <c r="F561" s="253" t="s">
        <v>2644</v>
      </c>
      <c r="G561" s="253">
        <v>3</v>
      </c>
      <c r="H561" s="253" t="s">
        <v>3119</v>
      </c>
      <c r="I561" s="254" t="str">
        <f>'Dry_Litterbag Placem_Collection'!C122</f>
        <v>Wet_Ag3_T8</v>
      </c>
      <c r="J561" s="263" t="s">
        <v>2932</v>
      </c>
      <c r="K561" s="256" t="s">
        <v>1147</v>
      </c>
      <c r="L561" s="221" t="str">
        <f>'WetLitterbags placem_collection'!O122</f>
        <v>G698</v>
      </c>
      <c r="M561" s="223">
        <f>IFERROR(INDEX('Green_rooibos initial weight'!$C$5:$C$2000,MATCH(L561, 'Green_rooibos initial weight'!$A$5:$A$2000,0)),"")</f>
        <v>2.085</v>
      </c>
      <c r="N561" s="223">
        <f>IFERROR(M561-(TBIcalc!$H$9+TBIcalc!$H$10),"")</f>
        <v>1.8351999999999999</v>
      </c>
      <c r="O561" s="378">
        <f>AVERAGE(Ashed_controlls!$K$2:$K$11)</f>
        <v>5.5147656768714146</v>
      </c>
      <c r="P561" s="223">
        <f t="shared" si="41"/>
        <v>1.7339930202980558</v>
      </c>
      <c r="Q561" s="223">
        <f>IFERROR(INDEX('Both teabags AfterWet'!$C$3:$C$840,MATCH(L561,'Both teabags AfterWet'!$A$3:$A$840,0)),"")</f>
        <v>0.55310000000000004</v>
      </c>
      <c r="R561" s="223">
        <f>IFERROR(IF(Q561&gt;0,Q561-(TBIcalc!$H$9),""),"")</f>
        <v>0.40250000000000002</v>
      </c>
      <c r="S561" s="223">
        <f>IFERROR(INDEX('Ashed teabags wet'!$K$2:$K$2000,MATCH(L561,'Ashed teabags wet'!$A$2:$A$2000,0)),"")</f>
        <v>14.853452558370487</v>
      </c>
      <c r="T561" s="223">
        <f t="shared" si="42"/>
        <v>0.34271485345255881</v>
      </c>
      <c r="U561" s="224">
        <f>'WetLitterbags placem_collection'!E122</f>
        <v>42762</v>
      </c>
      <c r="V561" s="224">
        <f>IF('WetLitterbags placem_collection'!G122="","",'WetLitterbags placem_collection'!G122)</f>
        <v>42816</v>
      </c>
      <c r="W561" s="225">
        <f t="shared" si="40"/>
        <v>54</v>
      </c>
      <c r="X561" s="223">
        <f t="shared" si="43"/>
        <v>1.4326999999999999</v>
      </c>
      <c r="Y561" s="223">
        <f t="shared" si="44"/>
        <v>1.391278166845497</v>
      </c>
      <c r="Z561">
        <f>IFERROR(INDEX([1]Rainfall_Wet!$O$2:$O$217,MATCH(C561, [1]Rainfall_Wet!$A$2:$A$217,0)),"")</f>
        <v>206.85140822299999</v>
      </c>
      <c r="AA561" s="226">
        <v>27.96</v>
      </c>
      <c r="AB561" s="226">
        <v>4.9200000000000017</v>
      </c>
      <c r="AC561" s="226">
        <v>67.12</v>
      </c>
      <c r="AD561" s="227" t="s">
        <v>2651</v>
      </c>
      <c r="AE561" s="226">
        <v>7.8861015278462299</v>
      </c>
      <c r="AF561">
        <f>IF('WetLitterbags placem_collection'!AB122="","",'WetLitterbags placem_collection'!AB122)</f>
        <v>19</v>
      </c>
      <c r="AG561">
        <f>IF('WetLitterbags placem_collection'!Z122="","",'WetLitterbags placem_collection'!Z122)</f>
        <v>98.5</v>
      </c>
      <c r="AH561" s="236" t="str">
        <f>IF('WetLitterbags placem_collection'!AA122="","",'WetLitterbags placem_collection'!AA122)</f>
        <v>G</v>
      </c>
      <c r="AI561">
        <f>IF('WetLitterbags placem_collection'!AC122="","",'WetLitterbags placem_collection'!AC122)</f>
        <v>0</v>
      </c>
      <c r="AJ561" s="233">
        <f>AVERAGE('WetLitterbags placem_collection'!S122,'WetLitterbags placem_collection'!U122)</f>
        <v>14.95</v>
      </c>
      <c r="AK561">
        <f>AVERAGE('WetLitterbags placem_collection'!R122,'WetLitterbags placem_collection'!T122)</f>
        <v>30.299999999999997</v>
      </c>
      <c r="AL561">
        <f>INDEX([2]Coordinates!$B$2:$B$197,MATCH(I561,[2]Coordinates!$J$2:$J$197,0))</f>
        <v>-2.3486449760000001</v>
      </c>
      <c r="AM561">
        <f>INDEX([2]Coordinates!$C$2:$C$197,MATCH(I561,[2]Coordinates!$J$2:$J$197,0))</f>
        <v>34.051495969999998</v>
      </c>
      <c r="AN561" t="str">
        <f>IF(ISNUMBER(SEARCH("C", 'WetLitterbags placem_collection'!$X122)),"YES","NO")</f>
        <v>NO</v>
      </c>
      <c r="AO561" t="str">
        <f>IF(ISNUMBER(SEARCH("H", 'WetLitterbags placem_collection'!$X122)),"YES","NO")</f>
        <v>NO</v>
      </c>
      <c r="AP561" t="str">
        <f>IF(ISNUMBER(SEARCH("R", 'WetLitterbags placem_collection'!$X122)),"YES","NO")</f>
        <v>NO</v>
      </c>
    </row>
    <row r="562" spans="1:42" ht="15" customHeight="1">
      <c r="A562" t="s">
        <v>3248</v>
      </c>
      <c r="B562" s="248" t="s">
        <v>2454</v>
      </c>
      <c r="C562" s="253">
        <f>'Dry_Litterbag Placem_Collection'!A123</f>
        <v>121</v>
      </c>
      <c r="D562" s="253" t="str">
        <f>'Dry_Litterbag Placem_Collection'!B123</f>
        <v xml:space="preserve">Mwantimba
</v>
      </c>
      <c r="E562" s="253" t="s">
        <v>2454</v>
      </c>
      <c r="F562" s="253" t="s">
        <v>2644</v>
      </c>
      <c r="G562" s="253">
        <v>4</v>
      </c>
      <c r="H562" s="253" t="s">
        <v>3120</v>
      </c>
      <c r="I562" s="254" t="str">
        <f>'Dry_Litterbag Placem_Collection'!C123</f>
        <v>Wet_Ag4_T1</v>
      </c>
      <c r="J562" s="263" t="s">
        <v>2932</v>
      </c>
      <c r="K562" s="256" t="s">
        <v>1147</v>
      </c>
      <c r="L562" s="221" t="str">
        <f>'WetLitterbags placem_collection'!O123</f>
        <v>G825</v>
      </c>
      <c r="M562" s="223">
        <f>IFERROR(INDEX('Green_rooibos initial weight'!$C$5:$C$2000,MATCH(L562, 'Green_rooibos initial weight'!$A$5:$A$2000,0)),"")</f>
        <v>2.1240000000000001</v>
      </c>
      <c r="N562" s="223">
        <f>IFERROR(M562-(TBIcalc!$H$9+TBIcalc!$H$10),"")</f>
        <v>1.8742000000000001</v>
      </c>
      <c r="O562" s="378">
        <f>AVERAGE(Ashed_controlls!$K$2:$K$11)</f>
        <v>5.5147656768714146</v>
      </c>
      <c r="P562" s="223">
        <f t="shared" si="41"/>
        <v>1.770842261684076</v>
      </c>
      <c r="Q562" s="223">
        <f>IFERROR(INDEX('Both teabags AfterWet'!$C$3:$C$840,MATCH(L562,'Both teabags AfterWet'!$A$3:$A$840,0)),"")</f>
        <v>0.61199999999999999</v>
      </c>
      <c r="R562" s="223">
        <f>IFERROR(IF(Q562&gt;0,Q562-(TBIcalc!$H$9),""),"")</f>
        <v>0.46139999999999998</v>
      </c>
      <c r="S562" s="223">
        <f>IFERROR(INDEX('Ashed teabags wet'!$K$2:$K$2000,MATCH(L562,'Ashed teabags wet'!$A$2:$A$2000,0)),"")</f>
        <v>10.131514856308767</v>
      </c>
      <c r="T562" s="223">
        <f t="shared" si="42"/>
        <v>0.41465319045299132</v>
      </c>
      <c r="U562" s="224">
        <f>'WetLitterbags placem_collection'!E123</f>
        <v>42762</v>
      </c>
      <c r="V562" s="224">
        <f>IF('WetLitterbags placem_collection'!G123="","",'WetLitterbags placem_collection'!G123)</f>
        <v>42816</v>
      </c>
      <c r="W562" s="225">
        <f t="shared" si="40"/>
        <v>54</v>
      </c>
      <c r="X562" s="223">
        <f t="shared" si="43"/>
        <v>1.4128000000000001</v>
      </c>
      <c r="Y562" s="223">
        <f t="shared" si="44"/>
        <v>1.3561890712310847</v>
      </c>
      <c r="Z562">
        <f>IFERROR(INDEX([1]Rainfall_Wet!$O$2:$O$217,MATCH(C562, [1]Rainfall_Wet!$A$2:$A$217,0)),"")</f>
        <v>206.85140822299999</v>
      </c>
      <c r="AA562" s="226">
        <v>17.96</v>
      </c>
      <c r="AB562" s="226">
        <v>4.9199999999999982</v>
      </c>
      <c r="AC562" s="226">
        <v>77.12</v>
      </c>
      <c r="AD562" s="227" t="s">
        <v>2652</v>
      </c>
      <c r="AE562" s="226">
        <v>2.0220798422868409</v>
      </c>
      <c r="AF562">
        <f>IF('WetLitterbags placem_collection'!AB123="","",'WetLitterbags placem_collection'!AB123)</f>
        <v>9.65</v>
      </c>
      <c r="AG562">
        <f>IF('WetLitterbags placem_collection'!Z123="","",'WetLitterbags placem_collection'!Z123)</f>
        <v>63</v>
      </c>
      <c r="AH562" s="236" t="str">
        <f>IF('WetLitterbags placem_collection'!AA123="","",'WetLitterbags placem_collection'!AA123)</f>
        <v>G</v>
      </c>
      <c r="AI562">
        <f>IF('WetLitterbags placem_collection'!AC123="","",'WetLitterbags placem_collection'!AC123)</f>
        <v>0</v>
      </c>
      <c r="AJ562" s="233">
        <f>AVERAGE('WetLitterbags placem_collection'!S123,'WetLitterbags placem_collection'!U123)</f>
        <v>9.5500000000000007</v>
      </c>
      <c r="AK562">
        <f>AVERAGE('WetLitterbags placem_collection'!R123,'WetLitterbags placem_collection'!T123)</f>
        <v>30.75</v>
      </c>
      <c r="AL562">
        <f>INDEX([2]Coordinates!$B$2:$B$197,MATCH(I562,[2]Coordinates!$J$2:$J$197,0))</f>
        <v>-2.3492639789999998</v>
      </c>
      <c r="AM562">
        <f>INDEX([2]Coordinates!$C$2:$C$197,MATCH(I562,[2]Coordinates!$J$2:$J$197,0))</f>
        <v>34.051464029999998</v>
      </c>
      <c r="AN562" t="str">
        <f>IF(ISNUMBER(SEARCH("C", 'WetLitterbags placem_collection'!$X123)),"YES","NO")</f>
        <v>NO</v>
      </c>
      <c r="AO562" t="str">
        <f>IF(ISNUMBER(SEARCH("H", 'WetLitterbags placem_collection'!$X123)),"YES","NO")</f>
        <v>NO</v>
      </c>
      <c r="AP562" t="str">
        <f>IF(ISNUMBER(SEARCH("R", 'WetLitterbags placem_collection'!$X123)),"YES","NO")</f>
        <v>YES</v>
      </c>
    </row>
    <row r="563" spans="1:42" ht="15" customHeight="1">
      <c r="A563" t="s">
        <v>3248</v>
      </c>
      <c r="B563" s="248" t="s">
        <v>2454</v>
      </c>
      <c r="C563" s="253">
        <f>'Dry_Litterbag Placem_Collection'!A124</f>
        <v>122</v>
      </c>
      <c r="D563" s="253" t="str">
        <f>'Dry_Litterbag Placem_Collection'!B124</f>
        <v xml:space="preserve">Mwantimba
</v>
      </c>
      <c r="E563" s="253" t="s">
        <v>2454</v>
      </c>
      <c r="F563" s="253" t="s">
        <v>2644</v>
      </c>
      <c r="G563" s="253">
        <v>4</v>
      </c>
      <c r="H563" s="253" t="s">
        <v>3120</v>
      </c>
      <c r="I563" s="254" t="str">
        <f>'Dry_Litterbag Placem_Collection'!C124</f>
        <v>Wet_Ag4_T2</v>
      </c>
      <c r="J563" s="263" t="s">
        <v>2932</v>
      </c>
      <c r="K563" s="256" t="s">
        <v>1147</v>
      </c>
      <c r="L563" s="221" t="str">
        <f>'WetLitterbags placem_collection'!O124</f>
        <v>G839</v>
      </c>
      <c r="M563" s="223">
        <f>IFERROR(INDEX('Green_rooibos initial weight'!$C$5:$C$2000,MATCH(L563, 'Green_rooibos initial weight'!$A$5:$A$2000,0)),"")</f>
        <v>2.0230000000000001</v>
      </c>
      <c r="N563" s="223">
        <f>IFERROR(M563-(TBIcalc!$H$9+TBIcalc!$H$10),"")</f>
        <v>1.7732000000000001</v>
      </c>
      <c r="O563" s="378">
        <f>AVERAGE(Ashed_controlls!$K$2:$K$11)</f>
        <v>5.5147656768714146</v>
      </c>
      <c r="P563" s="223">
        <f t="shared" si="41"/>
        <v>1.6754121750177162</v>
      </c>
      <c r="Q563" s="223">
        <f>IFERROR(INDEX('Both teabags AfterWet'!$C$3:$C$840,MATCH(L563,'Both teabags AfterWet'!$A$3:$A$840,0)),"")</f>
        <v>0.64200000000000002</v>
      </c>
      <c r="R563" s="223">
        <f>IFERROR(IF(Q563&gt;0,Q563-(TBIcalc!$H$9),""),"")</f>
        <v>0.4914</v>
      </c>
      <c r="S563" s="223">
        <f>IFERROR(INDEX('Ashed teabags wet'!$K$2:$K$2000,MATCH(L563,'Ashed teabags wet'!$A$2:$A$2000,0)),"")</f>
        <v>16.267465069859526</v>
      </c>
      <c r="T563" s="223">
        <f t="shared" si="42"/>
        <v>0.41146167664671029</v>
      </c>
      <c r="U563" s="224">
        <f>'WetLitterbags placem_collection'!E124</f>
        <v>42762</v>
      </c>
      <c r="V563" s="224">
        <f>IF('WetLitterbags placem_collection'!G124="","",'WetLitterbags placem_collection'!G124)</f>
        <v>42816</v>
      </c>
      <c r="W563" s="225">
        <f t="shared" si="40"/>
        <v>54</v>
      </c>
      <c r="X563" s="223">
        <f t="shared" si="43"/>
        <v>1.2818000000000001</v>
      </c>
      <c r="Y563" s="223">
        <f t="shared" si="44"/>
        <v>1.2639504983710059</v>
      </c>
      <c r="Z563">
        <f>IFERROR(INDEX([1]Rainfall_Wet!$O$2:$O$217,MATCH(C563, [1]Rainfall_Wet!$A$2:$A$217,0)),"")</f>
        <v>206.85140822299999</v>
      </c>
      <c r="AA563" s="226">
        <v>17.96</v>
      </c>
      <c r="AB563" s="226">
        <v>4.9199999999999982</v>
      </c>
      <c r="AC563" s="226">
        <v>77.12</v>
      </c>
      <c r="AD563" s="227" t="s">
        <v>2652</v>
      </c>
      <c r="AE563" s="226">
        <v>3.02207984228684</v>
      </c>
      <c r="AF563">
        <f>IF('WetLitterbags placem_collection'!AB124="","",'WetLitterbags placem_collection'!AB124)</f>
        <v>3.1</v>
      </c>
      <c r="AG563">
        <f>IF('WetLitterbags placem_collection'!Z124="","",'WetLitterbags placem_collection'!Z124)</f>
        <v>53</v>
      </c>
      <c r="AH563" s="236" t="str">
        <f>IF('WetLitterbags placem_collection'!AA124="","",'WetLitterbags placem_collection'!AA124)</f>
        <v>G</v>
      </c>
      <c r="AI563">
        <f>IF('WetLitterbags placem_collection'!AC124="","",'WetLitterbags placem_collection'!AC124)</f>
        <v>0</v>
      </c>
      <c r="AJ563" s="233">
        <f>AVERAGE('WetLitterbags placem_collection'!S124,'WetLitterbags placem_collection'!U124)</f>
        <v>11.8</v>
      </c>
      <c r="AK563">
        <f>AVERAGE('WetLitterbags placem_collection'!R124,'WetLitterbags placem_collection'!T124)</f>
        <v>30.650000000000002</v>
      </c>
      <c r="AL563">
        <f>INDEX([2]Coordinates!$B$2:$B$197,MATCH(I563,[2]Coordinates!$J$2:$J$197,0))</f>
        <v>-2.34923196</v>
      </c>
      <c r="AM563">
        <f>INDEX([2]Coordinates!$C$2:$C$197,MATCH(I563,[2]Coordinates!$J$2:$J$197,0))</f>
        <v>34.051422039999999</v>
      </c>
      <c r="AN563" t="str">
        <f>IF(ISNUMBER(SEARCH("C", 'WetLitterbags placem_collection'!$X124)),"YES","NO")</f>
        <v>NO</v>
      </c>
      <c r="AO563" t="str">
        <f>IF(ISNUMBER(SEARCH("H", 'WetLitterbags placem_collection'!$X124)),"YES","NO")</f>
        <v>NO</v>
      </c>
      <c r="AP563" t="str">
        <f>IF(ISNUMBER(SEARCH("R", 'WetLitterbags placem_collection'!$X124)),"YES","NO")</f>
        <v>YES</v>
      </c>
    </row>
    <row r="564" spans="1:42" ht="15" customHeight="1">
      <c r="A564" t="s">
        <v>3248</v>
      </c>
      <c r="B564" s="248" t="s">
        <v>2454</v>
      </c>
      <c r="C564" s="253">
        <f>'Dry_Litterbag Placem_Collection'!A125</f>
        <v>123</v>
      </c>
      <c r="D564" s="253" t="str">
        <f>'Dry_Litterbag Placem_Collection'!B125</f>
        <v xml:space="preserve">Mwantimba
</v>
      </c>
      <c r="E564" s="253" t="s">
        <v>2454</v>
      </c>
      <c r="F564" s="253" t="s">
        <v>2644</v>
      </c>
      <c r="G564" s="253">
        <v>4</v>
      </c>
      <c r="H564" s="253" t="s">
        <v>3120</v>
      </c>
      <c r="I564" s="254" t="str">
        <f>'Dry_Litterbag Placem_Collection'!C125</f>
        <v>Wet_Ag4_T3</v>
      </c>
      <c r="J564" s="263" t="s">
        <v>2932</v>
      </c>
      <c r="K564" s="256" t="s">
        <v>1147</v>
      </c>
      <c r="L564" s="221" t="str">
        <f>'WetLitterbags placem_collection'!O125</f>
        <v>G895</v>
      </c>
      <c r="M564" s="223">
        <f>IFERROR(INDEX('Green_rooibos initial weight'!$C$5:$C$2000,MATCH(L564, 'Green_rooibos initial weight'!$A$5:$A$2000,0)),"")</f>
        <v>1.9259999999999999</v>
      </c>
      <c r="N564" s="223">
        <f>IFERROR(M564-(TBIcalc!$H$9+TBIcalc!$H$10),"")</f>
        <v>1.6761999999999999</v>
      </c>
      <c r="O564" s="378">
        <f>AVERAGE(Ashed_controlls!$K$2:$K$11)</f>
        <v>5.5147656768714146</v>
      </c>
      <c r="P564" s="223">
        <f t="shared" si="41"/>
        <v>1.5837614977242813</v>
      </c>
      <c r="Q564" s="223">
        <f>IFERROR(INDEX('Both teabags AfterWet'!$C$3:$C$840,MATCH(L564,'Both teabags AfterWet'!$A$3:$A$840,0)),"")</f>
        <v>0.878</v>
      </c>
      <c r="R564" s="223">
        <f>IFERROR(IF(Q564&gt;0,Q564-(TBIcalc!$H$9),""),"")</f>
        <v>0.72740000000000005</v>
      </c>
      <c r="S564" s="223">
        <f>IFERROR(INDEX('Ashed teabags wet'!$K$2:$K$2000,MATCH(L564,'Ashed teabags wet'!$A$2:$A$2000,0)),"")</f>
        <v>13.555233960443902</v>
      </c>
      <c r="T564" s="223">
        <f t="shared" si="42"/>
        <v>0.62879922817173106</v>
      </c>
      <c r="U564" s="224">
        <f>'WetLitterbags placem_collection'!E125</f>
        <v>42762</v>
      </c>
      <c r="V564" s="224">
        <f>IF('WetLitterbags placem_collection'!G125="","",'WetLitterbags placem_collection'!G125)</f>
        <v>42816</v>
      </c>
      <c r="W564" s="225">
        <f t="shared" si="40"/>
        <v>54</v>
      </c>
      <c r="X564" s="223">
        <f t="shared" si="43"/>
        <v>0.94879999999999987</v>
      </c>
      <c r="Y564" s="223">
        <f t="shared" si="44"/>
        <v>0.95496226955255026</v>
      </c>
      <c r="Z564">
        <f>IFERROR(INDEX([1]Rainfall_Wet!$O$2:$O$217,MATCH(C564, [1]Rainfall_Wet!$A$2:$A$217,0)),"")</f>
        <v>206.85140822299999</v>
      </c>
      <c r="AA564" s="226">
        <v>17.96</v>
      </c>
      <c r="AB564" s="226">
        <v>4.9199999999999982</v>
      </c>
      <c r="AC564" s="226">
        <v>77.12</v>
      </c>
      <c r="AD564" s="227" t="s">
        <v>2652</v>
      </c>
      <c r="AE564" s="226">
        <v>4.02207984228684</v>
      </c>
      <c r="AF564">
        <f>IF('WetLitterbags placem_collection'!AB125="","",'WetLitterbags placem_collection'!AB125)</f>
        <v>3.9</v>
      </c>
      <c r="AG564">
        <f>IF('WetLitterbags placem_collection'!Z125="","",'WetLitterbags placem_collection'!Z125)</f>
        <v>51</v>
      </c>
      <c r="AH564" s="236" t="str">
        <f>IF('WetLitterbags placem_collection'!AA125="","",'WetLitterbags placem_collection'!AA125)</f>
        <v>G</v>
      </c>
      <c r="AI564">
        <f>IF('WetLitterbags placem_collection'!AC125="","",'WetLitterbags placem_collection'!AC125)</f>
        <v>1</v>
      </c>
      <c r="AJ564" s="233">
        <f>AVERAGE('WetLitterbags placem_collection'!S125,'WetLitterbags placem_collection'!U125)</f>
        <v>13.2</v>
      </c>
      <c r="AK564">
        <f>AVERAGE('WetLitterbags placem_collection'!R125,'WetLitterbags placem_collection'!T125)</f>
        <v>31.85</v>
      </c>
      <c r="AL564">
        <f>INDEX([2]Coordinates!$B$2:$B$197,MATCH(I564,[2]Coordinates!$J$2:$J$197,0))</f>
        <v>-2.3492390009999999</v>
      </c>
      <c r="AM564">
        <f>INDEX([2]Coordinates!$C$2:$C$197,MATCH(I564,[2]Coordinates!$J$2:$J$197,0))</f>
        <v>34.051304020000003</v>
      </c>
      <c r="AN564" t="str">
        <f>IF(ISNUMBER(SEARCH("C", 'WetLitterbags placem_collection'!$X125)),"YES","NO")</f>
        <v>NO</v>
      </c>
      <c r="AO564" t="str">
        <f>IF(ISNUMBER(SEARCH("H", 'WetLitterbags placem_collection'!$X125)),"YES","NO")</f>
        <v>NO</v>
      </c>
      <c r="AP564" t="str">
        <f>IF(ISNUMBER(SEARCH("R", 'WetLitterbags placem_collection'!$X125)),"YES","NO")</f>
        <v>NO</v>
      </c>
    </row>
    <row r="565" spans="1:42" ht="15" customHeight="1">
      <c r="A565" t="s">
        <v>3248</v>
      </c>
      <c r="B565" s="248" t="s">
        <v>2454</v>
      </c>
      <c r="C565" s="253">
        <f>'Dry_Litterbag Placem_Collection'!A126</f>
        <v>124</v>
      </c>
      <c r="D565" s="253" t="str">
        <f>'Dry_Litterbag Placem_Collection'!B126</f>
        <v xml:space="preserve">Mwantimba
</v>
      </c>
      <c r="E565" s="253" t="s">
        <v>2454</v>
      </c>
      <c r="F565" s="253" t="s">
        <v>2644</v>
      </c>
      <c r="G565" s="253">
        <v>4</v>
      </c>
      <c r="H565" s="253" t="s">
        <v>3120</v>
      </c>
      <c r="I565" s="254" t="str">
        <f>'Dry_Litterbag Placem_Collection'!C126</f>
        <v>Wet_Ag4_T4</v>
      </c>
      <c r="J565" s="263" t="s">
        <v>2932</v>
      </c>
      <c r="K565" s="256" t="s">
        <v>1147</v>
      </c>
      <c r="L565" s="221" t="str">
        <f>'WetLitterbags placem_collection'!O126</f>
        <v>G682</v>
      </c>
      <c r="M565" s="223">
        <f>IFERROR(INDEX('Green_rooibos initial weight'!$C$5:$C$2000,MATCH(L565, 'Green_rooibos initial weight'!$A$5:$A$2000,0)),"")</f>
        <v>2.0230000000000001</v>
      </c>
      <c r="N565" s="223">
        <f>IFERROR(M565-(TBIcalc!$H$9+TBIcalc!$H$10),"")</f>
        <v>1.7732000000000001</v>
      </c>
      <c r="O565" s="378">
        <f>AVERAGE(Ashed_controlls!$K$2:$K$11)</f>
        <v>5.5147656768714146</v>
      </c>
      <c r="P565" s="223">
        <f t="shared" si="41"/>
        <v>1.6754121750177162</v>
      </c>
      <c r="Q565" s="223">
        <f>IFERROR(INDEX('Both teabags AfterWet'!$C$3:$C$840,MATCH(L565,'Both teabags AfterWet'!$A$3:$A$840,0)),"")</f>
        <v>0.61199999999999999</v>
      </c>
      <c r="R565" s="223">
        <f>IFERROR(IF(Q565&gt;0,Q565-(TBIcalc!$H$9),""),"")</f>
        <v>0.46139999999999998</v>
      </c>
      <c r="S565" s="223">
        <f>IFERROR(INDEX('Ashed teabags wet'!$K$2:$K$2000,MATCH(L565,'Ashed teabags wet'!$A$2:$A$2000,0)),"")</f>
        <v>12.30079681274993</v>
      </c>
      <c r="T565" s="223">
        <f t="shared" si="42"/>
        <v>0.40464412350597179</v>
      </c>
      <c r="U565" s="224">
        <f>'WetLitterbags placem_collection'!E126</f>
        <v>42762</v>
      </c>
      <c r="V565" s="224">
        <f>IF('WetLitterbags placem_collection'!G126="","",'WetLitterbags placem_collection'!G126)</f>
        <v>42816</v>
      </c>
      <c r="W565" s="225">
        <f t="shared" si="40"/>
        <v>54</v>
      </c>
      <c r="X565" s="223">
        <f t="shared" si="43"/>
        <v>1.3118000000000001</v>
      </c>
      <c r="Y565" s="223">
        <f t="shared" si="44"/>
        <v>1.2707680515117445</v>
      </c>
      <c r="Z565">
        <f>IFERROR(INDEX([1]Rainfall_Wet!$O$2:$O$217,MATCH(C565, [1]Rainfall_Wet!$A$2:$A$217,0)),"")</f>
        <v>206.85140822299999</v>
      </c>
      <c r="AA565" s="226">
        <v>17.96</v>
      </c>
      <c r="AB565" s="226">
        <v>4.9199999999999982</v>
      </c>
      <c r="AC565" s="226">
        <v>77.12</v>
      </c>
      <c r="AD565" s="227" t="s">
        <v>2652</v>
      </c>
      <c r="AE565" s="226">
        <v>5.02207984228684</v>
      </c>
      <c r="AF565">
        <f>IF('WetLitterbags placem_collection'!AB126="","",'WetLitterbags placem_collection'!AB126)</f>
        <v>5.45</v>
      </c>
      <c r="AG565">
        <f>IF('WetLitterbags placem_collection'!Z126="","",'WetLitterbags placem_collection'!Z126)</f>
        <v>47</v>
      </c>
      <c r="AH565" s="236" t="str">
        <f>IF('WetLitterbags placem_collection'!AA126="","",'WetLitterbags placem_collection'!AA126)</f>
        <v>G</v>
      </c>
      <c r="AI565">
        <f>IF('WetLitterbags placem_collection'!AC126="","",'WetLitterbags placem_collection'!AC126)</f>
        <v>1</v>
      </c>
      <c r="AJ565" s="233">
        <f>AVERAGE('WetLitterbags placem_collection'!S126,'WetLitterbags placem_collection'!U126)</f>
        <v>18.2</v>
      </c>
      <c r="AK565">
        <f>AVERAGE('WetLitterbags placem_collection'!R126,'WetLitterbags placem_collection'!T126)</f>
        <v>31.1</v>
      </c>
      <c r="AL565">
        <f>INDEX([2]Coordinates!$B$2:$B$197,MATCH(I565,[2]Coordinates!$J$2:$J$197,0))</f>
        <v>-2.3492799889999998</v>
      </c>
      <c r="AM565">
        <f>INDEX([2]Coordinates!$C$2:$C$197,MATCH(I565,[2]Coordinates!$J$2:$J$197,0))</f>
        <v>34.051280970000001</v>
      </c>
      <c r="AN565" t="str">
        <f>IF(ISNUMBER(SEARCH("C", 'WetLitterbags placem_collection'!$X126)),"YES","NO")</f>
        <v>NO</v>
      </c>
      <c r="AO565" t="str">
        <f>IF(ISNUMBER(SEARCH("H", 'WetLitterbags placem_collection'!$X126)),"YES","NO")</f>
        <v>NO</v>
      </c>
      <c r="AP565" t="str">
        <f>IF(ISNUMBER(SEARCH("R", 'WetLitterbags placem_collection'!$X126)),"YES","NO")</f>
        <v>NO</v>
      </c>
    </row>
    <row r="566" spans="1:42" ht="15" customHeight="1">
      <c r="A566" t="s">
        <v>3248</v>
      </c>
      <c r="B566" s="248" t="s">
        <v>2454</v>
      </c>
      <c r="C566" s="253">
        <f>'Dry_Litterbag Placem_Collection'!A127</f>
        <v>125</v>
      </c>
      <c r="D566" s="253" t="str">
        <f>'Dry_Litterbag Placem_Collection'!B127</f>
        <v xml:space="preserve">Mwantimba
</v>
      </c>
      <c r="E566" s="253" t="s">
        <v>2454</v>
      </c>
      <c r="F566" s="253" t="s">
        <v>2644</v>
      </c>
      <c r="G566" s="253">
        <v>4</v>
      </c>
      <c r="H566" s="253" t="s">
        <v>3120</v>
      </c>
      <c r="I566" s="254" t="str">
        <f>'Dry_Litterbag Placem_Collection'!C127</f>
        <v>Wet_Ag4_T5</v>
      </c>
      <c r="J566" s="263" t="s">
        <v>2932</v>
      </c>
      <c r="K566" s="256" t="s">
        <v>1147</v>
      </c>
      <c r="L566" s="221" t="str">
        <f>'WetLitterbags placem_collection'!O127</f>
        <v>G740</v>
      </c>
      <c r="M566" s="223">
        <f>IFERROR(INDEX('Green_rooibos initial weight'!$C$5:$C$2000,MATCH(L566, 'Green_rooibos initial weight'!$A$5:$A$2000,0)),"")</f>
        <v>1.915</v>
      </c>
      <c r="N566" s="223">
        <f>IFERROR(M566-(TBIcalc!$H$9+TBIcalc!$H$10),"")</f>
        <v>1.6652</v>
      </c>
      <c r="O566" s="378">
        <f>AVERAGE(Ashed_controlls!$K$2:$K$11)</f>
        <v>5.5147656768714146</v>
      </c>
      <c r="P566" s="223">
        <f t="shared" si="41"/>
        <v>1.5733681219487372</v>
      </c>
      <c r="Q566" s="223">
        <f>IFERROR(INDEX('Both teabags AfterWet'!$C$3:$C$840,MATCH(L566,'Both teabags AfterWet'!$A$3:$A$840,0)),"")</f>
        <v>0.60099999999999998</v>
      </c>
      <c r="R566" s="223">
        <f>IFERROR(IF(Q566&gt;0,Q566-(TBIcalc!$H$9),""),"")</f>
        <v>0.45039999999999997</v>
      </c>
      <c r="S566" s="223">
        <f>IFERROR(INDEX('Ashed teabags wet'!$K$2:$K$2000,MATCH(L566,'Ashed teabags wet'!$A$2:$A$2000,0)),"")</f>
        <v>14.222658165767069</v>
      </c>
      <c r="T566" s="223">
        <f t="shared" si="42"/>
        <v>0.38634114762138511</v>
      </c>
      <c r="U566" s="224">
        <f>'WetLitterbags placem_collection'!E127</f>
        <v>42762</v>
      </c>
      <c r="V566" s="224">
        <f>IF('WetLitterbags placem_collection'!G127="","",'WetLitterbags placem_collection'!G127)</f>
        <v>42816</v>
      </c>
      <c r="W566" s="225">
        <f t="shared" si="40"/>
        <v>54</v>
      </c>
      <c r="X566" s="223">
        <f t="shared" si="43"/>
        <v>1.2148000000000001</v>
      </c>
      <c r="Y566" s="223">
        <f t="shared" si="44"/>
        <v>1.187026974327352</v>
      </c>
      <c r="Z566">
        <f>IFERROR(INDEX([1]Rainfall_Wet!$O$2:$O$217,MATCH(C566, [1]Rainfall_Wet!$A$2:$A$217,0)),"")</f>
        <v>206.85140822299999</v>
      </c>
      <c r="AA566" s="226">
        <v>17.96</v>
      </c>
      <c r="AB566" s="226">
        <v>4.9199999999999982</v>
      </c>
      <c r="AC566" s="226">
        <v>77.12</v>
      </c>
      <c r="AD566" s="227" t="s">
        <v>2652</v>
      </c>
      <c r="AE566" s="226">
        <v>6.02207984228684</v>
      </c>
      <c r="AF566">
        <f>IF('WetLitterbags placem_collection'!AB127="","",'WetLitterbags placem_collection'!AB127)</f>
        <v>9.3000000000000007</v>
      </c>
      <c r="AG566">
        <f>IF('WetLitterbags placem_collection'!Z127="","",'WetLitterbags placem_collection'!Z127)</f>
        <v>43</v>
      </c>
      <c r="AH566" s="236" t="str">
        <f>IF('WetLitterbags placem_collection'!AA127="","",'WetLitterbags placem_collection'!AA127)</f>
        <v>G</v>
      </c>
      <c r="AI566">
        <f>IF('WetLitterbags placem_collection'!AC127="","",'WetLitterbags placem_collection'!AC127)</f>
        <v>1</v>
      </c>
      <c r="AJ566" s="233">
        <f>AVERAGE('WetLitterbags placem_collection'!S127,'WetLitterbags placem_collection'!U127)</f>
        <v>19.25</v>
      </c>
      <c r="AK566">
        <f>AVERAGE('WetLitterbags placem_collection'!R127,'WetLitterbags placem_collection'!T127)</f>
        <v>32.049999999999997</v>
      </c>
      <c r="AL566">
        <f>INDEX([2]Coordinates!$B$2:$B$197,MATCH(I566,[2]Coordinates!$J$2:$J$197,0))</f>
        <v>-2.3493320400000002</v>
      </c>
      <c r="AM566">
        <f>INDEX([2]Coordinates!$C$2:$C$197,MATCH(I566,[2]Coordinates!$J$2:$J$197,0))</f>
        <v>34.051321960000003</v>
      </c>
      <c r="AN566" t="str">
        <f>IF(ISNUMBER(SEARCH("C", 'WetLitterbags placem_collection'!$X127)),"YES","NO")</f>
        <v>NO</v>
      </c>
      <c r="AO566" t="str">
        <f>IF(ISNUMBER(SEARCH("H", 'WetLitterbags placem_collection'!$X127)),"YES","NO")</f>
        <v>NO</v>
      </c>
      <c r="AP566" t="str">
        <f>IF(ISNUMBER(SEARCH("R", 'WetLitterbags placem_collection'!$X127)),"YES","NO")</f>
        <v>YES</v>
      </c>
    </row>
    <row r="567" spans="1:42" ht="15" customHeight="1">
      <c r="A567" t="s">
        <v>3248</v>
      </c>
      <c r="B567" s="248" t="s">
        <v>2454</v>
      </c>
      <c r="C567" s="253">
        <f>'Dry_Litterbag Placem_Collection'!A128</f>
        <v>126</v>
      </c>
      <c r="D567" s="253" t="str">
        <f>'Dry_Litterbag Placem_Collection'!B128</f>
        <v xml:space="preserve">Mwantimba
</v>
      </c>
      <c r="E567" s="253" t="s">
        <v>2454</v>
      </c>
      <c r="F567" s="253" t="s">
        <v>2644</v>
      </c>
      <c r="G567" s="253">
        <v>4</v>
      </c>
      <c r="H567" s="253" t="s">
        <v>3120</v>
      </c>
      <c r="I567" s="254" t="str">
        <f>'Dry_Litterbag Placem_Collection'!C128</f>
        <v>Wet_Ag4_T6</v>
      </c>
      <c r="J567" s="263" t="s">
        <v>2932</v>
      </c>
      <c r="K567" s="256" t="s">
        <v>1147</v>
      </c>
      <c r="L567" s="221" t="str">
        <f>'WetLitterbags placem_collection'!O128</f>
        <v>G841</v>
      </c>
      <c r="M567" s="223">
        <f>IFERROR(INDEX('Green_rooibos initial weight'!$C$5:$C$2000,MATCH(L567, 'Green_rooibos initial weight'!$A$5:$A$2000,0)),"")</f>
        <v>1.96</v>
      </c>
      <c r="N567" s="223">
        <f>IFERROR(M567-(TBIcalc!$H$9+TBIcalc!$H$10),"")</f>
        <v>1.7101999999999999</v>
      </c>
      <c r="O567" s="378">
        <f>AVERAGE(Ashed_controlls!$K$2:$K$11)</f>
        <v>5.5147656768714146</v>
      </c>
      <c r="P567" s="223">
        <f t="shared" si="41"/>
        <v>1.615886477394145</v>
      </c>
      <c r="Q567" s="223">
        <f>IFERROR(INDEX('Both teabags AfterWet'!$C$3:$C$840,MATCH(L567,'Both teabags AfterWet'!$A$3:$A$840,0)),"")</f>
        <v>0.58499999999999996</v>
      </c>
      <c r="R567" s="223">
        <f>IFERROR(IF(Q567&gt;0,Q567-(TBIcalc!$H$9),""),"")</f>
        <v>0.43439999999999995</v>
      </c>
      <c r="S567" s="223">
        <f>IFERROR(INDEX('Ashed teabags wet'!$K$2:$K$2000,MATCH(L567,'Ashed teabags wet'!$A$2:$A$2000,0)),"")</f>
        <v>12.570260602963709</v>
      </c>
      <c r="T567" s="223">
        <f t="shared" si="42"/>
        <v>0.37979478794072563</v>
      </c>
      <c r="U567" s="224">
        <f>'WetLitterbags placem_collection'!E128</f>
        <v>42762</v>
      </c>
      <c r="V567" s="224">
        <f>IF('WetLitterbags placem_collection'!G128="","",'WetLitterbags placem_collection'!G128)</f>
        <v>42816</v>
      </c>
      <c r="W567" s="225">
        <f t="shared" si="40"/>
        <v>54</v>
      </c>
      <c r="X567" s="223">
        <f t="shared" si="43"/>
        <v>1.2758</v>
      </c>
      <c r="Y567" s="223">
        <f t="shared" si="44"/>
        <v>1.2360916894534193</v>
      </c>
      <c r="Z567">
        <f>IFERROR(INDEX([1]Rainfall_Wet!$O$2:$O$217,MATCH(C567, [1]Rainfall_Wet!$A$2:$A$217,0)),"")</f>
        <v>206.85140822299999</v>
      </c>
      <c r="AA567" s="226">
        <v>17.96</v>
      </c>
      <c r="AB567" s="226">
        <v>4.9199999999999982</v>
      </c>
      <c r="AC567" s="226">
        <v>77.12</v>
      </c>
      <c r="AD567" s="227" t="s">
        <v>2652</v>
      </c>
      <c r="AE567" s="226">
        <v>7.02207984228684</v>
      </c>
      <c r="AF567">
        <f>IF('WetLitterbags placem_collection'!AB128="","",'WetLitterbags placem_collection'!AB128)</f>
        <v>10.85</v>
      </c>
      <c r="AG567">
        <f>IF('WetLitterbags placem_collection'!Z128="","",'WetLitterbags placem_collection'!Z128)</f>
        <v>40</v>
      </c>
      <c r="AH567" s="236" t="str">
        <f>IF('WetLitterbags placem_collection'!AA128="","",'WetLitterbags placem_collection'!AA128)</f>
        <v>G</v>
      </c>
      <c r="AI567">
        <f>IF('WetLitterbags placem_collection'!AC128="","",'WetLitterbags placem_collection'!AC128)</f>
        <v>1</v>
      </c>
      <c r="AJ567" s="233">
        <f>AVERAGE('WetLitterbags placem_collection'!S128,'WetLitterbags placem_collection'!U128)</f>
        <v>16.649999999999999</v>
      </c>
      <c r="AK567">
        <f>AVERAGE('WetLitterbags placem_collection'!R128,'WetLitterbags placem_collection'!T128)</f>
        <v>32</v>
      </c>
      <c r="AL567">
        <f>INDEX([2]Coordinates!$B$2:$B$197,MATCH(I567,[2]Coordinates!$J$2:$J$197,0))</f>
        <v>-2.3493509829999999</v>
      </c>
      <c r="AM567">
        <f>INDEX([2]Coordinates!$C$2:$C$197,MATCH(I567,[2]Coordinates!$J$2:$J$197,0))</f>
        <v>34.051332019999997</v>
      </c>
      <c r="AN567" t="str">
        <f>IF(ISNUMBER(SEARCH("C", 'WetLitterbags placem_collection'!$X128)),"YES","NO")</f>
        <v>NO</v>
      </c>
      <c r="AO567" t="str">
        <f>IF(ISNUMBER(SEARCH("H", 'WetLitterbags placem_collection'!$X128)),"YES","NO")</f>
        <v>NO</v>
      </c>
      <c r="AP567" t="str">
        <f>IF(ISNUMBER(SEARCH("R", 'WetLitterbags placem_collection'!$X128)),"YES","NO")</f>
        <v>YES</v>
      </c>
    </row>
    <row r="568" spans="1:42" ht="15" customHeight="1">
      <c r="A568" t="s">
        <v>3248</v>
      </c>
      <c r="B568" s="248" t="s">
        <v>2454</v>
      </c>
      <c r="C568" s="253">
        <f>'Dry_Litterbag Placem_Collection'!A129</f>
        <v>127</v>
      </c>
      <c r="D568" s="253" t="str">
        <f>'Dry_Litterbag Placem_Collection'!B129</f>
        <v xml:space="preserve">Mwantimba
</v>
      </c>
      <c r="E568" s="253" t="s">
        <v>2454</v>
      </c>
      <c r="F568" s="253" t="s">
        <v>2644</v>
      </c>
      <c r="G568" s="253">
        <v>4</v>
      </c>
      <c r="H568" s="253" t="s">
        <v>3120</v>
      </c>
      <c r="I568" s="254" t="str">
        <f>'Dry_Litterbag Placem_Collection'!C129</f>
        <v>Wet_Ag4_T7</v>
      </c>
      <c r="J568" s="263" t="s">
        <v>2932</v>
      </c>
      <c r="K568" s="256" t="s">
        <v>1147</v>
      </c>
      <c r="L568" s="221" t="str">
        <f>'WetLitterbags placem_collection'!O129</f>
        <v>G687</v>
      </c>
      <c r="M568" s="223">
        <f>IFERROR(INDEX('Green_rooibos initial weight'!$C$5:$C$2000,MATCH(L568, 'Green_rooibos initial weight'!$A$5:$A$2000,0)),"")</f>
        <v>2.0649999999999999</v>
      </c>
      <c r="N568" s="223">
        <f>IFERROR(M568-(TBIcalc!$H$9+TBIcalc!$H$10),"")</f>
        <v>1.8151999999999999</v>
      </c>
      <c r="O568" s="378">
        <f>AVERAGE(Ashed_controlls!$K$2:$K$11)</f>
        <v>5.5147656768714146</v>
      </c>
      <c r="P568" s="223">
        <f t="shared" si="41"/>
        <v>1.7150959734334301</v>
      </c>
      <c r="Q568" s="223">
        <f>IFERROR(INDEX('Both teabags AfterWet'!$C$3:$C$840,MATCH(L568,'Both teabags AfterWet'!$A$3:$A$840,0)),"")</f>
        <v>0.57699999999999996</v>
      </c>
      <c r="R568" s="223">
        <f>IFERROR(IF(Q568&gt;0,Q568-(TBIcalc!$H$9),""),"")</f>
        <v>0.42639999999999995</v>
      </c>
      <c r="S568" s="223">
        <f>IFERROR(INDEX('Ashed teabags wet'!$K$2:$K$2000,MATCH(L568,'Ashed teabags wet'!$A$2:$A$2000,0)),"")</f>
        <v>17.513566847558284</v>
      </c>
      <c r="T568" s="223">
        <f t="shared" si="42"/>
        <v>0.35172215096201143</v>
      </c>
      <c r="U568" s="224">
        <f>'WetLitterbags placem_collection'!E129</f>
        <v>42762</v>
      </c>
      <c r="V568" s="224">
        <f>IF('WetLitterbags placem_collection'!G129="","",'WetLitterbags placem_collection'!G129)</f>
        <v>42816</v>
      </c>
      <c r="W568" s="225">
        <f t="shared" si="40"/>
        <v>54</v>
      </c>
      <c r="X568" s="223">
        <f t="shared" si="43"/>
        <v>1.3888</v>
      </c>
      <c r="Y568" s="223">
        <f t="shared" si="44"/>
        <v>1.3633738224714187</v>
      </c>
      <c r="Z568">
        <f>IFERROR(INDEX([1]Rainfall_Wet!$O$2:$O$217,MATCH(C568, [1]Rainfall_Wet!$A$2:$A$217,0)),"")</f>
        <v>206.85140822299999</v>
      </c>
      <c r="AA568" s="226">
        <v>17.96</v>
      </c>
      <c r="AB568" s="226">
        <v>4.9199999999999982</v>
      </c>
      <c r="AC568" s="226">
        <v>77.12</v>
      </c>
      <c r="AD568" s="227" t="s">
        <v>2652</v>
      </c>
      <c r="AE568" s="226">
        <v>8.0220798422868391</v>
      </c>
      <c r="AF568">
        <f>IF('WetLitterbags placem_collection'!AB129="","",'WetLitterbags placem_collection'!AB129)</f>
        <v>5.35</v>
      </c>
      <c r="AG568">
        <f>IF('WetLitterbags placem_collection'!Z129="","",'WetLitterbags placem_collection'!Z129)</f>
        <v>58</v>
      </c>
      <c r="AH568" s="236" t="str">
        <f>IF('WetLitterbags placem_collection'!AA129="","",'WetLitterbags placem_collection'!AA129)</f>
        <v>G</v>
      </c>
      <c r="AI568">
        <f>IF('WetLitterbags placem_collection'!AC129="","",'WetLitterbags placem_collection'!AC129)</f>
        <v>1</v>
      </c>
      <c r="AJ568" s="233">
        <f>AVERAGE('WetLitterbags placem_collection'!S129,'WetLitterbags placem_collection'!U129)</f>
        <v>15.8</v>
      </c>
      <c r="AK568">
        <f>AVERAGE('WetLitterbags placem_collection'!R129,'WetLitterbags placem_collection'!T129)</f>
        <v>31.55</v>
      </c>
      <c r="AL568">
        <f>INDEX([2]Coordinates!$B$2:$B$197,MATCH(I568,[2]Coordinates!$J$2:$J$197,0))</f>
        <v>-2.3491850219999999</v>
      </c>
      <c r="AM568">
        <f>INDEX([2]Coordinates!$C$2:$C$197,MATCH(I568,[2]Coordinates!$J$2:$J$197,0))</f>
        <v>34.051264959999997</v>
      </c>
      <c r="AN568" t="str">
        <f>IF(ISNUMBER(SEARCH("C", 'WetLitterbags placem_collection'!$X129)),"YES","NO")</f>
        <v>NO</v>
      </c>
      <c r="AO568" t="str">
        <f>IF(ISNUMBER(SEARCH("H", 'WetLitterbags placem_collection'!$X129)),"YES","NO")</f>
        <v>NO</v>
      </c>
      <c r="AP568" t="str">
        <f>IF(ISNUMBER(SEARCH("R", 'WetLitterbags placem_collection'!$X129)),"YES","NO")</f>
        <v>YES</v>
      </c>
    </row>
    <row r="569" spans="1:42" ht="15" customHeight="1">
      <c r="A569" t="s">
        <v>3248</v>
      </c>
      <c r="B569" s="248" t="s">
        <v>2454</v>
      </c>
      <c r="C569" s="253">
        <f>'Dry_Litterbag Placem_Collection'!A130</f>
        <v>128</v>
      </c>
      <c r="D569" s="253" t="str">
        <f>'Dry_Litterbag Placem_Collection'!B130</f>
        <v xml:space="preserve">Mwantimba
</v>
      </c>
      <c r="E569" s="253" t="s">
        <v>2454</v>
      </c>
      <c r="F569" s="253" t="s">
        <v>2644</v>
      </c>
      <c r="G569" s="253">
        <v>4</v>
      </c>
      <c r="H569" s="253" t="s">
        <v>3120</v>
      </c>
      <c r="I569" s="254" t="str">
        <f>'Dry_Litterbag Placem_Collection'!C130</f>
        <v>Wet_Ag4_T8</v>
      </c>
      <c r="J569" s="263" t="s">
        <v>2932</v>
      </c>
      <c r="K569" s="256" t="s">
        <v>1147</v>
      </c>
      <c r="L569" s="221" t="str">
        <f>'WetLitterbags placem_collection'!O130</f>
        <v>G833</v>
      </c>
      <c r="M569" s="223">
        <f>IFERROR(INDEX('Green_rooibos initial weight'!$C$5:$C$2000,MATCH(L569, 'Green_rooibos initial weight'!$A$5:$A$2000,0)),"")</f>
        <v>1.964</v>
      </c>
      <c r="N569" s="223">
        <f>IFERROR(M569-(TBIcalc!$H$9+TBIcalc!$H$10),"")</f>
        <v>1.7141999999999999</v>
      </c>
      <c r="O569" s="378">
        <f>AVERAGE(Ashed_controlls!$K$2:$K$11)</f>
        <v>5.5147656768714146</v>
      </c>
      <c r="P569" s="223">
        <f t="shared" si="41"/>
        <v>1.6196658867670701</v>
      </c>
      <c r="Q569" s="223">
        <f>IFERROR(INDEX('Both teabags AfterWet'!$C$3:$C$840,MATCH(L569,'Both teabags AfterWet'!$A$3:$A$840,0)),"")</f>
        <v>0.57199999999999995</v>
      </c>
      <c r="R569" s="223">
        <f>IFERROR(IF(Q569&gt;0,Q569-(TBIcalc!$H$9),""),"")</f>
        <v>0.42139999999999994</v>
      </c>
      <c r="S569" s="223">
        <f>IFERROR(INDEX('Ashed teabags wet'!$K$2:$K$2000,MATCH(L569,'Ashed teabags wet'!$A$2:$A$2000,0)),"")</f>
        <v>10.010111223457624</v>
      </c>
      <c r="T569" s="223">
        <f t="shared" si="42"/>
        <v>0.3792173913043495</v>
      </c>
      <c r="U569" s="224">
        <f>'WetLitterbags placem_collection'!E130</f>
        <v>42762</v>
      </c>
      <c r="V569" s="224">
        <f>IF('WetLitterbags placem_collection'!G130="","",'WetLitterbags placem_collection'!G130)</f>
        <v>42816</v>
      </c>
      <c r="W569" s="225">
        <f t="shared" si="40"/>
        <v>54</v>
      </c>
      <c r="X569" s="223">
        <f t="shared" si="43"/>
        <v>1.2927999999999999</v>
      </c>
      <c r="Y569" s="223">
        <f t="shared" si="44"/>
        <v>1.2404484954627206</v>
      </c>
      <c r="Z569">
        <f>IFERROR(INDEX([1]Rainfall_Wet!$O$2:$O$217,MATCH(C569, [1]Rainfall_Wet!$A$2:$A$217,0)),"")</f>
        <v>206.85140822299999</v>
      </c>
      <c r="AA569" s="226">
        <v>17.96</v>
      </c>
      <c r="AB569" s="226">
        <v>4.9199999999999982</v>
      </c>
      <c r="AC569" s="226">
        <v>77.12</v>
      </c>
      <c r="AD569" s="227" t="s">
        <v>2652</v>
      </c>
      <c r="AE569" s="226">
        <v>9.0220798422868391</v>
      </c>
      <c r="AF569">
        <f>IF('WetLitterbags placem_collection'!AB130="","",'WetLitterbags placem_collection'!AB130)</f>
        <v>10.9</v>
      </c>
      <c r="AG569">
        <f>IF('WetLitterbags placem_collection'!Z130="","",'WetLitterbags placem_collection'!Z130)</f>
        <v>44</v>
      </c>
      <c r="AH569" s="236" t="str">
        <f>IF('WetLitterbags placem_collection'!AA130="","",'WetLitterbags placem_collection'!AA130)</f>
        <v>G</v>
      </c>
      <c r="AI569">
        <f>IF('WetLitterbags placem_collection'!AC130="","",'WetLitterbags placem_collection'!AC130)</f>
        <v>0</v>
      </c>
      <c r="AJ569" s="233">
        <f>AVERAGE('WetLitterbags placem_collection'!S130,'WetLitterbags placem_collection'!U130)</f>
        <v>8.15</v>
      </c>
      <c r="AK569">
        <f>AVERAGE('WetLitterbags placem_collection'!R130,'WetLitterbags placem_collection'!T130)</f>
        <v>31.650000000000002</v>
      </c>
      <c r="AL569">
        <f>INDEX([2]Coordinates!$B$2:$B$197,MATCH(I569,[2]Coordinates!$J$2:$J$197,0))</f>
        <v>-2.3493099960000001</v>
      </c>
      <c r="AM569">
        <f>INDEX([2]Coordinates!$C$2:$C$197,MATCH(I569,[2]Coordinates!$J$2:$J$197,0))</f>
        <v>34.05141802</v>
      </c>
      <c r="AN569" t="str">
        <f>IF(ISNUMBER(SEARCH("C", 'WetLitterbags placem_collection'!$X130)),"YES","NO")</f>
        <v>NO</v>
      </c>
      <c r="AO569" t="str">
        <f>IF(ISNUMBER(SEARCH("H", 'WetLitterbags placem_collection'!$X130)),"YES","NO")</f>
        <v>NO</v>
      </c>
      <c r="AP569" t="str">
        <f>IF(ISNUMBER(SEARCH("R", 'WetLitterbags placem_collection'!$X130)),"YES","NO")</f>
        <v>YES</v>
      </c>
    </row>
    <row r="570" spans="1:42" ht="15" customHeight="1">
      <c r="A570" t="s">
        <v>3248</v>
      </c>
      <c r="B570" s="248" t="s">
        <v>2454</v>
      </c>
      <c r="C570" s="253">
        <f>'Dry_Litterbag Placem_Collection'!A131</f>
        <v>129</v>
      </c>
      <c r="D570" s="253" t="str">
        <f>'Dry_Litterbag Placem_Collection'!B131</f>
        <v xml:space="preserve">Mwantimba
</v>
      </c>
      <c r="E570" s="253" t="s">
        <v>2454</v>
      </c>
      <c r="F570" s="253" t="s">
        <v>20</v>
      </c>
      <c r="G570" s="253">
        <v>1</v>
      </c>
      <c r="H570" s="253" t="s">
        <v>3121</v>
      </c>
      <c r="I570" s="254" t="str">
        <f>'Dry_Litterbag Placem_Collection'!C131</f>
        <v>Wet_P1_T1</v>
      </c>
      <c r="J570" s="263" t="s">
        <v>2932</v>
      </c>
      <c r="K570" s="256" t="s">
        <v>1147</v>
      </c>
      <c r="L570" s="221" t="str">
        <f>'WetLitterbags placem_collection'!O131</f>
        <v>G888</v>
      </c>
      <c r="M570" s="223">
        <f>IFERROR(INDEX('Green_rooibos initial weight'!$C$5:$C$2000,MATCH(L570, 'Green_rooibos initial weight'!$A$5:$A$2000,0)),"")</f>
        <v>2.089</v>
      </c>
      <c r="N570" s="223">
        <f>IFERROR(M570-(TBIcalc!$H$9+TBIcalc!$H$10),"")</f>
        <v>1.8391999999999999</v>
      </c>
      <c r="O570" s="378">
        <f>AVERAGE(Ashed_controlls!$K$2:$K$11)</f>
        <v>5.5147656768714146</v>
      </c>
      <c r="P570" s="223">
        <f t="shared" si="41"/>
        <v>1.7377724296709809</v>
      </c>
      <c r="Q570" s="223">
        <f>IFERROR(INDEX('Both teabags AfterWet'!$C$3:$C$840,MATCH(L570,'Both teabags AfterWet'!$A$3:$A$840,0)),"")</f>
        <v>0.59440000000000004</v>
      </c>
      <c r="R570" s="223">
        <f>IFERROR(IF(Q570&gt;0,Q570-(TBIcalc!$H$9),""),"")</f>
        <v>0.44380000000000003</v>
      </c>
      <c r="S570" s="223">
        <f>IFERROR(INDEX('Ashed teabags wet'!$K$2:$K$2000,MATCH(L570,'Ashed teabags wet'!$A$2:$A$2000,0)),"")</f>
        <v>15.186104218362484</v>
      </c>
      <c r="T570" s="223">
        <f t="shared" si="42"/>
        <v>0.37640406947890731</v>
      </c>
      <c r="U570" s="224">
        <f>'WetLitterbags placem_collection'!E131</f>
        <v>42762</v>
      </c>
      <c r="V570" s="224">
        <f>IF('WetLitterbags placem_collection'!G131="","",'WetLitterbags placem_collection'!G131)</f>
        <v>42816</v>
      </c>
      <c r="W570" s="225">
        <f t="shared" si="40"/>
        <v>54</v>
      </c>
      <c r="X570" s="223">
        <f t="shared" si="43"/>
        <v>1.3954</v>
      </c>
      <c r="Y570" s="223">
        <f t="shared" si="44"/>
        <v>1.3613683601920736</v>
      </c>
      <c r="Z570">
        <f>IFERROR(INDEX([1]Rainfall_Wet!$O$2:$O$217,MATCH(C570, [1]Rainfall_Wet!$A$2:$A$217,0)),"")</f>
        <v>206.85140822299999</v>
      </c>
      <c r="AA570" s="226">
        <v>31.214836424255054</v>
      </c>
      <c r="AB570" s="226">
        <v>11.377370285476141</v>
      </c>
      <c r="AC570" s="226">
        <v>57.407793290268799</v>
      </c>
      <c r="AD570" s="227" t="s">
        <v>2651</v>
      </c>
      <c r="AE570" s="226">
        <v>1.7337604731394776</v>
      </c>
      <c r="AF570">
        <f>IF('WetLitterbags placem_collection'!AB131="","",'WetLitterbags placem_collection'!AB131)</f>
        <v>2.4</v>
      </c>
      <c r="AG570">
        <f>IF('WetLitterbags placem_collection'!Z131="","",'WetLitterbags placem_collection'!Z131)</f>
        <v>2.4</v>
      </c>
      <c r="AH570" s="236" t="str">
        <f>IF('WetLitterbags placem_collection'!AA131="","",'WetLitterbags placem_collection'!AA131)</f>
        <v>O</v>
      </c>
      <c r="AI570">
        <f>IF('WetLitterbags placem_collection'!AC131="","",'WetLitterbags placem_collection'!AC131)</f>
        <v>1</v>
      </c>
      <c r="AJ570" s="233">
        <f>AVERAGE('WetLitterbags placem_collection'!S131,'WetLitterbags placem_collection'!U131)</f>
        <v>15.05</v>
      </c>
      <c r="AK570">
        <f>AVERAGE('WetLitterbags placem_collection'!R131,'WetLitterbags placem_collection'!T131)</f>
        <v>28</v>
      </c>
      <c r="AL570">
        <f>INDEX([2]Coordinates!$B$2:$B$197,MATCH(I570,[2]Coordinates!$J$2:$J$197,0))</f>
        <v>-2.3503360249999998</v>
      </c>
      <c r="AM570">
        <f>INDEX([2]Coordinates!$C$2:$C$197,MATCH(I570,[2]Coordinates!$J$2:$J$197,0))</f>
        <v>34.049662009999999</v>
      </c>
      <c r="AN570" t="str">
        <f>IF(ISNUMBER(SEARCH("C", 'WetLitterbags placem_collection'!$X131)),"YES","NO")</f>
        <v>NO</v>
      </c>
      <c r="AO570" t="str">
        <f>IF(ISNUMBER(SEARCH("H", 'WetLitterbags placem_collection'!$X131)),"YES","NO")</f>
        <v>NO</v>
      </c>
      <c r="AP570" t="str">
        <f>IF(ISNUMBER(SEARCH("R", 'WetLitterbags placem_collection'!$X131)),"YES","NO")</f>
        <v>YES</v>
      </c>
    </row>
    <row r="571" spans="1:42" ht="15" customHeight="1">
      <c r="A571" t="s">
        <v>3248</v>
      </c>
      <c r="B571" s="248" t="s">
        <v>2454</v>
      </c>
      <c r="C571" s="253">
        <f>'Dry_Litterbag Placem_Collection'!A132</f>
        <v>130</v>
      </c>
      <c r="D571" s="253" t="str">
        <f>'Dry_Litterbag Placem_Collection'!B132</f>
        <v xml:space="preserve">Mwantimba
</v>
      </c>
      <c r="E571" s="253" t="s">
        <v>2454</v>
      </c>
      <c r="F571" s="253" t="s">
        <v>20</v>
      </c>
      <c r="G571" s="253">
        <v>1</v>
      </c>
      <c r="H571" s="253" t="s">
        <v>3121</v>
      </c>
      <c r="I571" s="254" t="str">
        <f>'Dry_Litterbag Placem_Collection'!C132</f>
        <v>Wet_P1_T2</v>
      </c>
      <c r="J571" s="263" t="s">
        <v>2932</v>
      </c>
      <c r="K571" s="256" t="s">
        <v>1147</v>
      </c>
      <c r="L571" s="221" t="str">
        <f>'WetLitterbags placem_collection'!O132</f>
        <v>G708</v>
      </c>
      <c r="M571" s="223">
        <f>IFERROR(INDEX('Green_rooibos initial weight'!$C$5:$C$2000,MATCH(L571, 'Green_rooibos initial weight'!$A$5:$A$2000,0)),"")</f>
        <v>2.0030000000000001</v>
      </c>
      <c r="N571" s="223">
        <f>IFERROR(M571-(TBIcalc!$H$9+TBIcalc!$H$10),"")</f>
        <v>1.7532000000000001</v>
      </c>
      <c r="O571" s="378">
        <f>AVERAGE(Ashed_controlls!$K$2:$K$11)</f>
        <v>5.5147656768714146</v>
      </c>
      <c r="P571" s="223">
        <f t="shared" si="41"/>
        <v>1.6565151281530905</v>
      </c>
      <c r="Q571" s="223">
        <f>IFERROR(INDEX('Both teabags AfterWet'!$C$3:$C$840,MATCH(L571,'Both teabags AfterWet'!$A$3:$A$840,0)),"")</f>
        <v>0.56599999999999995</v>
      </c>
      <c r="R571" s="223">
        <f>IFERROR(IF(Q571&gt;0,Q571-(TBIcalc!$H$9),""),"")</f>
        <v>0.41539999999999994</v>
      </c>
      <c r="S571" s="223">
        <f>IFERROR(INDEX('Ashed teabags wet'!$K$2:$K$2000,MATCH(L571,'Ashed teabags wet'!$A$2:$A$2000,0)),"")</f>
        <v>17.737917289487331</v>
      </c>
      <c r="T571" s="223">
        <f t="shared" si="42"/>
        <v>0.3417166915794696</v>
      </c>
      <c r="U571" s="224">
        <f>'WetLitterbags placem_collection'!E132</f>
        <v>42762</v>
      </c>
      <c r="V571" s="224">
        <f>IF('WetLitterbags placem_collection'!G132="","",'WetLitterbags placem_collection'!G132)</f>
        <v>42816</v>
      </c>
      <c r="W571" s="225">
        <f t="shared" si="40"/>
        <v>54</v>
      </c>
      <c r="X571" s="223">
        <f t="shared" si="43"/>
        <v>1.3378000000000001</v>
      </c>
      <c r="Y571" s="223">
        <f t="shared" si="44"/>
        <v>1.3147984365736209</v>
      </c>
      <c r="Z571">
        <f>IFERROR(INDEX([1]Rainfall_Wet!$O$2:$O$217,MATCH(C571, [1]Rainfall_Wet!$A$2:$A$217,0)),"")</f>
        <v>206.85140822299999</v>
      </c>
      <c r="AA571" s="226">
        <v>31.214836424255054</v>
      </c>
      <c r="AB571" s="226">
        <v>11.377370285476141</v>
      </c>
      <c r="AC571" s="226">
        <v>57.407793290268799</v>
      </c>
      <c r="AD571" s="227" t="s">
        <v>2651</v>
      </c>
      <c r="AE571" s="226">
        <v>2.7337604731394798</v>
      </c>
      <c r="AF571">
        <f>IF('WetLitterbags placem_collection'!AB132="","",'WetLitterbags placem_collection'!AB132)</f>
        <v>2.1</v>
      </c>
      <c r="AG571">
        <f>IF('WetLitterbags placem_collection'!Z132="","",'WetLitterbags placem_collection'!Z132)</f>
        <v>3.5</v>
      </c>
      <c r="AH571" s="236" t="str">
        <f>IF('WetLitterbags placem_collection'!AA132="","",'WetLitterbags placem_collection'!AA132)</f>
        <v>O</v>
      </c>
      <c r="AI571">
        <f>IF('WetLitterbags placem_collection'!AC132="","",'WetLitterbags placem_collection'!AC132)</f>
        <v>0</v>
      </c>
      <c r="AJ571" s="233">
        <f>AVERAGE('WetLitterbags placem_collection'!S132,'WetLitterbags placem_collection'!U132)</f>
        <v>16.3</v>
      </c>
      <c r="AK571">
        <f>AVERAGE('WetLitterbags placem_collection'!R132,'WetLitterbags placem_collection'!T132)</f>
        <v>28.5</v>
      </c>
      <c r="AL571">
        <f>INDEX([2]Coordinates!$B$2:$B$197,MATCH(I571,[2]Coordinates!$J$2:$J$197,0))</f>
        <v>-2.3503729889999998</v>
      </c>
      <c r="AM571">
        <f>INDEX([2]Coordinates!$C$2:$C$197,MATCH(I571,[2]Coordinates!$J$2:$J$197,0))</f>
        <v>34.049626969999998</v>
      </c>
      <c r="AN571" t="str">
        <f>IF(ISNUMBER(SEARCH("C", 'WetLitterbags placem_collection'!$X132)),"YES","NO")</f>
        <v>NO</v>
      </c>
      <c r="AO571" t="str">
        <f>IF(ISNUMBER(SEARCH("H", 'WetLitterbags placem_collection'!$X132)),"YES","NO")</f>
        <v>NO</v>
      </c>
      <c r="AP571" t="str">
        <f>IF(ISNUMBER(SEARCH("R", 'WetLitterbags placem_collection'!$X132)),"YES","NO")</f>
        <v>NO</v>
      </c>
    </row>
    <row r="572" spans="1:42" ht="15" customHeight="1">
      <c r="A572" t="s">
        <v>3248</v>
      </c>
      <c r="B572" s="248" t="s">
        <v>2454</v>
      </c>
      <c r="C572" s="253">
        <f>'Dry_Litterbag Placem_Collection'!A133</f>
        <v>131</v>
      </c>
      <c r="D572" s="253" t="str">
        <f>'Dry_Litterbag Placem_Collection'!B133</f>
        <v xml:space="preserve">Mwantimba
</v>
      </c>
      <c r="E572" s="253" t="s">
        <v>2454</v>
      </c>
      <c r="F572" s="253" t="s">
        <v>20</v>
      </c>
      <c r="G572" s="253">
        <v>1</v>
      </c>
      <c r="H572" s="253" t="s">
        <v>3121</v>
      </c>
      <c r="I572" s="254" t="str">
        <f>'Dry_Litterbag Placem_Collection'!C133</f>
        <v>Wet_P1_T3</v>
      </c>
      <c r="J572" s="263" t="s">
        <v>2932</v>
      </c>
      <c r="K572" s="256" t="s">
        <v>1147</v>
      </c>
      <c r="L572" s="221" t="str">
        <f>'WetLitterbags placem_collection'!O133</f>
        <v>G768</v>
      </c>
      <c r="M572" s="223">
        <f>IFERROR(INDEX('Green_rooibos initial weight'!$C$5:$C$2000,MATCH(L572, 'Green_rooibos initial weight'!$A$5:$A$2000,0)),"")</f>
        <v>2.0089999999999999</v>
      </c>
      <c r="N572" s="223">
        <f>IFERROR(M572-(TBIcalc!$H$9+TBIcalc!$H$10),"")</f>
        <v>1.7591999999999999</v>
      </c>
      <c r="O572" s="378">
        <f>AVERAGE(Ashed_controlls!$K$2:$K$11)</f>
        <v>5.5147656768714146</v>
      </c>
      <c r="P572" s="223">
        <f t="shared" si="41"/>
        <v>1.662184242212478</v>
      </c>
      <c r="Q572" s="223">
        <f>IFERROR(INDEX('Both teabags AfterWet'!$C$3:$C$840,MATCH(L572,'Both teabags AfterWet'!$A$3:$A$840,0)),"")</f>
        <v>0.62819999999999998</v>
      </c>
      <c r="R572" s="223">
        <f>IFERROR(IF(Q572&gt;0,Q572-(TBIcalc!$H$9),""),"")</f>
        <v>0.47759999999999997</v>
      </c>
      <c r="S572" s="223">
        <f>IFERROR(INDEX('Ashed teabags wet'!$K$2:$K$2000,MATCH(L572,'Ashed teabags wet'!$A$2:$A$2000,0)),"")</f>
        <v>13.671875000000405</v>
      </c>
      <c r="T572" s="223">
        <f t="shared" si="42"/>
        <v>0.41230312499999805</v>
      </c>
      <c r="U572" s="224">
        <f>'WetLitterbags placem_collection'!E133</f>
        <v>42762</v>
      </c>
      <c r="V572" s="224">
        <f>IF('WetLitterbags placem_collection'!G133="","",'WetLitterbags placem_collection'!G133)</f>
        <v>42816</v>
      </c>
      <c r="W572" s="225">
        <f t="shared" si="40"/>
        <v>54</v>
      </c>
      <c r="X572" s="223">
        <f t="shared" si="43"/>
        <v>1.2815999999999999</v>
      </c>
      <c r="Y572" s="223">
        <f t="shared" si="44"/>
        <v>1.24988111721248</v>
      </c>
      <c r="Z572">
        <f>IFERROR(INDEX([1]Rainfall_Wet!$O$2:$O$217,MATCH(C572, [1]Rainfall_Wet!$A$2:$A$217,0)),"")</f>
        <v>206.85140822299999</v>
      </c>
      <c r="AA572" s="226">
        <v>31.214836424255054</v>
      </c>
      <c r="AB572" s="226">
        <v>11.377370285476141</v>
      </c>
      <c r="AC572" s="226">
        <v>57.407793290268799</v>
      </c>
      <c r="AD572" s="227" t="s">
        <v>2651</v>
      </c>
      <c r="AE572" s="226">
        <v>3.7337604731394798</v>
      </c>
      <c r="AF572">
        <f>IF('WetLitterbags placem_collection'!AB133="","",'WetLitterbags placem_collection'!AB133)</f>
        <v>4.5</v>
      </c>
      <c r="AG572">
        <f>IF('WetLitterbags placem_collection'!Z133="","",'WetLitterbags placem_collection'!Z133)</f>
        <v>7.5</v>
      </c>
      <c r="AH572" s="236" t="str">
        <f>IF('WetLitterbags placem_collection'!AA133="","",'WetLitterbags placem_collection'!AA133)</f>
        <v>O</v>
      </c>
      <c r="AI572">
        <f>IF('WetLitterbags placem_collection'!AC133="","",'WetLitterbags placem_collection'!AC133)</f>
        <v>0</v>
      </c>
      <c r="AJ572" s="233">
        <f>AVERAGE('WetLitterbags placem_collection'!S133,'WetLitterbags placem_collection'!U133)</f>
        <v>9.3000000000000007</v>
      </c>
      <c r="AK572">
        <f>AVERAGE('WetLitterbags placem_collection'!R133,'WetLitterbags placem_collection'!T133)</f>
        <v>28.950000000000003</v>
      </c>
      <c r="AL572">
        <f>INDEX([2]Coordinates!$B$2:$B$197,MATCH(I572,[2]Coordinates!$J$2:$J$197,0))</f>
        <v>-2.3503259660000002</v>
      </c>
      <c r="AM572">
        <f>INDEX([2]Coordinates!$C$2:$C$197,MATCH(I572,[2]Coordinates!$J$2:$J$197,0))</f>
        <v>34.049616999999998</v>
      </c>
      <c r="AN572" t="str">
        <f>IF(ISNUMBER(SEARCH("C", 'WetLitterbags placem_collection'!$X133)),"YES","NO")</f>
        <v>NO</v>
      </c>
      <c r="AO572" t="str">
        <f>IF(ISNUMBER(SEARCH("H", 'WetLitterbags placem_collection'!$X133)),"YES","NO")</f>
        <v>NO</v>
      </c>
      <c r="AP572" t="str">
        <f>IF(ISNUMBER(SEARCH("R", 'WetLitterbags placem_collection'!$X133)),"YES","NO")</f>
        <v>NO</v>
      </c>
    </row>
    <row r="573" spans="1:42" ht="15" customHeight="1">
      <c r="A573" t="s">
        <v>3248</v>
      </c>
      <c r="B573" s="248" t="s">
        <v>2454</v>
      </c>
      <c r="C573" s="253">
        <f>'Dry_Litterbag Placem_Collection'!A134</f>
        <v>132</v>
      </c>
      <c r="D573" s="253" t="str">
        <f>'Dry_Litterbag Placem_Collection'!B134</f>
        <v xml:space="preserve">Mwantimba
</v>
      </c>
      <c r="E573" s="253" t="s">
        <v>2454</v>
      </c>
      <c r="F573" s="253" t="s">
        <v>20</v>
      </c>
      <c r="G573" s="253">
        <v>1</v>
      </c>
      <c r="H573" s="253" t="s">
        <v>3121</v>
      </c>
      <c r="I573" s="254" t="str">
        <f>'Dry_Litterbag Placem_Collection'!C134</f>
        <v>Wet_P1_T4</v>
      </c>
      <c r="J573" s="263" t="s">
        <v>2932</v>
      </c>
      <c r="K573" s="256" t="s">
        <v>1147</v>
      </c>
      <c r="L573" s="221" t="str">
        <f>'WetLitterbags placem_collection'!O134</f>
        <v>G779</v>
      </c>
      <c r="M573" s="223">
        <f>IFERROR(INDEX('Green_rooibos initial weight'!$C$5:$C$2000,MATCH(L573, 'Green_rooibos initial weight'!$A$5:$A$2000,0)),"")</f>
        <v>2.0110000000000001</v>
      </c>
      <c r="N573" s="223">
        <f>IFERROR(M573-(TBIcalc!$H$9+TBIcalc!$H$10),"")</f>
        <v>1.7612000000000001</v>
      </c>
      <c r="O573" s="378">
        <f>AVERAGE(Ashed_controlls!$K$2:$K$11)</f>
        <v>5.5147656768714146</v>
      </c>
      <c r="P573" s="223">
        <f t="shared" si="41"/>
        <v>1.6640739468989407</v>
      </c>
      <c r="Q573" s="223">
        <f>IFERROR(INDEX('Both teabags AfterWet'!$C$3:$C$840,MATCH(L573,'Both teabags AfterWet'!$A$3:$A$840,0)),"")</f>
        <v>0.63490000000000002</v>
      </c>
      <c r="R573" s="223">
        <f>IFERROR(IF(Q573&gt;0,Q573-(TBIcalc!$H$9),""),"")</f>
        <v>0.48430000000000001</v>
      </c>
      <c r="S573" s="223">
        <f>IFERROR(INDEX('Ashed teabags wet'!$K$2:$K$2000,MATCH(L573,'Ashed teabags wet'!$A$2:$A$2000,0)),"")</f>
        <v>13.853028798411678</v>
      </c>
      <c r="T573" s="223">
        <f t="shared" si="42"/>
        <v>0.41720978152929222</v>
      </c>
      <c r="U573" s="224">
        <f>'WetLitterbags placem_collection'!E134</f>
        <v>42762</v>
      </c>
      <c r="V573" s="224">
        <f>IF('WetLitterbags placem_collection'!G134="","",'WetLitterbags placem_collection'!G134)</f>
        <v>42816</v>
      </c>
      <c r="W573" s="225">
        <f t="shared" si="40"/>
        <v>54</v>
      </c>
      <c r="X573" s="223">
        <f t="shared" si="43"/>
        <v>1.2769000000000001</v>
      </c>
      <c r="Y573" s="223">
        <f t="shared" si="44"/>
        <v>1.2468641653696486</v>
      </c>
      <c r="Z573">
        <f>IFERROR(INDEX([1]Rainfall_Wet!$O$2:$O$217,MATCH(C573, [1]Rainfall_Wet!$A$2:$A$217,0)),"")</f>
        <v>206.85140822299999</v>
      </c>
      <c r="AA573" s="226">
        <v>31.214836424255054</v>
      </c>
      <c r="AB573" s="226">
        <v>11.377370285476141</v>
      </c>
      <c r="AC573" s="226">
        <v>57.407793290268799</v>
      </c>
      <c r="AD573" s="227" t="s">
        <v>2651</v>
      </c>
      <c r="AE573" s="226">
        <v>4.7337604731394798</v>
      </c>
      <c r="AF573">
        <f>IF('WetLitterbags placem_collection'!AB134="","",'WetLitterbags placem_collection'!AB134)</f>
        <v>0.7</v>
      </c>
      <c r="AG573">
        <f>IF('WetLitterbags placem_collection'!Z134="","",'WetLitterbags placem_collection'!Z134)</f>
        <v>9.8000000000000007</v>
      </c>
      <c r="AH573" s="236" t="str">
        <f>IF('WetLitterbags placem_collection'!AA134="","",'WetLitterbags placem_collection'!AA134)</f>
        <v>G</v>
      </c>
      <c r="AI573">
        <f>IF('WetLitterbags placem_collection'!AC134="","",'WetLitterbags placem_collection'!AC134)</f>
        <v>1</v>
      </c>
      <c r="AJ573" s="233">
        <f>AVERAGE('WetLitterbags placem_collection'!S134,'WetLitterbags placem_collection'!U134)</f>
        <v>18.55</v>
      </c>
      <c r="AK573">
        <f>AVERAGE('WetLitterbags placem_collection'!R134,'WetLitterbags placem_collection'!T134)</f>
        <v>28.95</v>
      </c>
      <c r="AL573">
        <f>INDEX([2]Coordinates!$B$2:$B$197,MATCH(I573,[2]Coordinates!$J$2:$J$197,0))</f>
        <v>-2.3504800260000001</v>
      </c>
      <c r="AM573">
        <f>INDEX([2]Coordinates!$C$2:$C$197,MATCH(I573,[2]Coordinates!$J$2:$J$197,0))</f>
        <v>34.049551030000003</v>
      </c>
      <c r="AN573" t="str">
        <f>IF(ISNUMBER(SEARCH("C", 'WetLitterbags placem_collection'!$X134)),"YES","NO")</f>
        <v>NO</v>
      </c>
      <c r="AO573" t="str">
        <f>IF(ISNUMBER(SEARCH("H", 'WetLitterbags placem_collection'!$X134)),"YES","NO")</f>
        <v>NO</v>
      </c>
      <c r="AP573" t="str">
        <f>IF(ISNUMBER(SEARCH("R", 'WetLitterbags placem_collection'!$X134)),"YES","NO")</f>
        <v>NO</v>
      </c>
    </row>
    <row r="574" spans="1:42" ht="15" customHeight="1">
      <c r="A574" t="s">
        <v>3248</v>
      </c>
      <c r="B574" s="248" t="s">
        <v>2454</v>
      </c>
      <c r="C574" s="253">
        <f>'Dry_Litterbag Placem_Collection'!A135</f>
        <v>133</v>
      </c>
      <c r="D574" s="253" t="str">
        <f>'Dry_Litterbag Placem_Collection'!B135</f>
        <v xml:space="preserve">Mwantimba
</v>
      </c>
      <c r="E574" s="253" t="s">
        <v>2454</v>
      </c>
      <c r="F574" s="253" t="s">
        <v>20</v>
      </c>
      <c r="G574" s="253">
        <v>1</v>
      </c>
      <c r="H574" s="253" t="s">
        <v>3121</v>
      </c>
      <c r="I574" s="254" t="str">
        <f>'Dry_Litterbag Placem_Collection'!C135</f>
        <v>Wet_P1_T5</v>
      </c>
      <c r="J574" s="263" t="s">
        <v>2932</v>
      </c>
      <c r="K574" s="256" t="s">
        <v>1147</v>
      </c>
      <c r="L574" s="221" t="str">
        <f>'WetLitterbags placem_collection'!O135</f>
        <v>G799</v>
      </c>
      <c r="M574" s="223">
        <f>IFERROR(INDEX('Green_rooibos initial weight'!$C$5:$C$2000,MATCH(L574, 'Green_rooibos initial weight'!$A$5:$A$2000,0)),"")</f>
        <v>2.093</v>
      </c>
      <c r="N574" s="223">
        <f>IFERROR(M574-(TBIcalc!$H$9+TBIcalc!$H$10),"")</f>
        <v>1.8431999999999999</v>
      </c>
      <c r="O574" s="378">
        <f>AVERAGE(Ashed_controlls!$K$2:$K$11)</f>
        <v>5.5147656768714146</v>
      </c>
      <c r="P574" s="223">
        <f t="shared" si="41"/>
        <v>1.741551839043906</v>
      </c>
      <c r="Q574" s="223">
        <f>IFERROR(INDEX('Both teabags AfterWet'!$C$3:$C$840,MATCH(L574,'Both teabags AfterWet'!$A$3:$A$840,0)),"")</f>
        <v>0.63380000000000003</v>
      </c>
      <c r="R574" s="223">
        <f>IFERROR(IF(Q574&gt;0,Q574-(TBIcalc!$H$9),""),"")</f>
        <v>0.48320000000000002</v>
      </c>
      <c r="S574" s="223">
        <f>IFERROR(INDEX('Ashed teabags wet'!$K$2:$K$2000,MATCH(L574,'Ashed teabags wet'!$A$2:$A$2000,0)),"")</f>
        <v>14.024691358025066</v>
      </c>
      <c r="T574" s="223">
        <f t="shared" si="42"/>
        <v>0.41543269135802291</v>
      </c>
      <c r="U574" s="224">
        <f>'WetLitterbags placem_collection'!E135</f>
        <v>42762</v>
      </c>
      <c r="V574" s="224">
        <f>IF('WetLitterbags placem_collection'!G135="","",'WetLitterbags placem_collection'!G135)</f>
        <v>42816</v>
      </c>
      <c r="W574" s="225">
        <f t="shared" si="40"/>
        <v>54</v>
      </c>
      <c r="X574" s="223">
        <f t="shared" si="43"/>
        <v>1.3599999999999999</v>
      </c>
      <c r="Y574" s="223">
        <f t="shared" si="44"/>
        <v>1.3261191476858831</v>
      </c>
      <c r="Z574">
        <f>IFERROR(INDEX([1]Rainfall_Wet!$O$2:$O$217,MATCH(C574, [1]Rainfall_Wet!$A$2:$A$217,0)),"")</f>
        <v>206.85140822299999</v>
      </c>
      <c r="AA574" s="226">
        <v>31.214836424255054</v>
      </c>
      <c r="AB574" s="226">
        <v>11.377370285476141</v>
      </c>
      <c r="AC574" s="226">
        <v>57.407793290268799</v>
      </c>
      <c r="AD574" s="227" t="s">
        <v>2651</v>
      </c>
      <c r="AE574" s="226">
        <v>5.7337604731394798</v>
      </c>
      <c r="AF574">
        <f>IF('WetLitterbags placem_collection'!AB135="","",'WetLitterbags placem_collection'!AB135)</f>
        <v>2.2000000000000002</v>
      </c>
      <c r="AG574">
        <f>IF('WetLitterbags placem_collection'!Z135="","",'WetLitterbags placem_collection'!Z135)</f>
        <v>10</v>
      </c>
      <c r="AH574" s="236" t="str">
        <f>IF('WetLitterbags placem_collection'!AA135="","",'WetLitterbags placem_collection'!AA135)</f>
        <v>O</v>
      </c>
      <c r="AI574">
        <f>IF('WetLitterbags placem_collection'!AC135="","",'WetLitterbags placem_collection'!AC135)</f>
        <v>1</v>
      </c>
      <c r="AJ574" s="233">
        <f>AVERAGE('WetLitterbags placem_collection'!S135,'WetLitterbags placem_collection'!U135)</f>
        <v>13.399999999999999</v>
      </c>
      <c r="AK574">
        <f>AVERAGE('WetLitterbags placem_collection'!R135,'WetLitterbags placem_collection'!T135)</f>
        <v>31.349999999999998</v>
      </c>
      <c r="AL574">
        <f>INDEX([2]Coordinates!$B$2:$B$197,MATCH(I574,[2]Coordinates!$J$2:$J$197,0))</f>
        <v>-2.350474996</v>
      </c>
      <c r="AM574">
        <f>INDEX([2]Coordinates!$C$2:$C$197,MATCH(I574,[2]Coordinates!$J$2:$J$197,0))</f>
        <v>34.049801979999998</v>
      </c>
      <c r="AN574" t="str">
        <f>IF(ISNUMBER(SEARCH("C", 'WetLitterbags placem_collection'!$X135)),"YES","NO")</f>
        <v>NO</v>
      </c>
      <c r="AO574" t="str">
        <f>IF(ISNUMBER(SEARCH("H", 'WetLitterbags placem_collection'!$X135)),"YES","NO")</f>
        <v>NO</v>
      </c>
      <c r="AP574" t="str">
        <f>IF(ISNUMBER(SEARCH("R", 'WetLitterbags placem_collection'!$X135)),"YES","NO")</f>
        <v>NO</v>
      </c>
    </row>
    <row r="575" spans="1:42" ht="15" customHeight="1">
      <c r="A575" t="s">
        <v>3248</v>
      </c>
      <c r="B575" s="248" t="s">
        <v>2454</v>
      </c>
      <c r="C575" s="253">
        <f>'Dry_Litterbag Placem_Collection'!A136</f>
        <v>134</v>
      </c>
      <c r="D575" s="253" t="str">
        <f>'Dry_Litterbag Placem_Collection'!B136</f>
        <v xml:space="preserve">Mwantimba
</v>
      </c>
      <c r="E575" s="253" t="s">
        <v>2454</v>
      </c>
      <c r="F575" s="253" t="s">
        <v>20</v>
      </c>
      <c r="G575" s="253">
        <v>1</v>
      </c>
      <c r="H575" s="253" t="s">
        <v>3121</v>
      </c>
      <c r="I575" s="254" t="str">
        <f>'Dry_Litterbag Placem_Collection'!C136</f>
        <v>Wet_P1_T6</v>
      </c>
      <c r="J575" s="263" t="s">
        <v>2932</v>
      </c>
      <c r="K575" s="256" t="s">
        <v>1147</v>
      </c>
      <c r="L575" s="221" t="str">
        <f>'WetLitterbags placem_collection'!O136</f>
        <v>G820</v>
      </c>
      <c r="M575" s="223">
        <f>IFERROR(INDEX('Green_rooibos initial weight'!$C$5:$C$2000,MATCH(L575, 'Green_rooibos initial weight'!$A$5:$A$2000,0)),"")</f>
        <v>1.927</v>
      </c>
      <c r="N575" s="223">
        <f>IFERROR(M575-(TBIcalc!$H$9+TBIcalc!$H$10),"")</f>
        <v>1.6772</v>
      </c>
      <c r="O575" s="378">
        <f>AVERAGE(Ashed_controlls!$K$2:$K$11)</f>
        <v>5.5147656768714146</v>
      </c>
      <c r="P575" s="223">
        <f t="shared" si="41"/>
        <v>1.5847063500675127</v>
      </c>
      <c r="Q575" s="223">
        <f>IFERROR(INDEX('Both teabags AfterWet'!$C$3:$C$840,MATCH(L575,'Both teabags AfterWet'!$A$3:$A$840,0)),"")</f>
        <v>0.53400000000000003</v>
      </c>
      <c r="R575" s="223">
        <f>IFERROR(IF(Q575&gt;0,Q575-(TBIcalc!$H$9),""),"")</f>
        <v>0.38340000000000002</v>
      </c>
      <c r="S575" s="223">
        <f>IFERROR(INDEX('Ashed teabags wet'!$K$2:$K$2000,MATCH(L575,'Ashed teabags wet'!$A$2:$A$2000,0)),"")</f>
        <v>12.606303151575968</v>
      </c>
      <c r="T575" s="223">
        <f t="shared" si="42"/>
        <v>0.33506743371685777</v>
      </c>
      <c r="U575" s="224">
        <f>'WetLitterbags placem_collection'!E136</f>
        <v>42762</v>
      </c>
      <c r="V575" s="224">
        <f>IF('WetLitterbags placem_collection'!G136="","",'WetLitterbags placem_collection'!G136)</f>
        <v>42816</v>
      </c>
      <c r="W575" s="225">
        <f t="shared" si="40"/>
        <v>54</v>
      </c>
      <c r="X575" s="223">
        <f t="shared" si="43"/>
        <v>1.2938000000000001</v>
      </c>
      <c r="Y575" s="223">
        <f t="shared" si="44"/>
        <v>1.2496389163506549</v>
      </c>
      <c r="Z575">
        <f>IFERROR(INDEX([1]Rainfall_Wet!$O$2:$O$217,MATCH(C575, [1]Rainfall_Wet!$A$2:$A$217,0)),"")</f>
        <v>206.85140822299999</v>
      </c>
      <c r="AA575" s="226">
        <v>31.214836424255054</v>
      </c>
      <c r="AB575" s="226">
        <v>11.377370285476141</v>
      </c>
      <c r="AC575" s="226">
        <v>57.407793290268799</v>
      </c>
      <c r="AD575" s="227" t="s">
        <v>2651</v>
      </c>
      <c r="AE575" s="226">
        <v>6.7337604731394798</v>
      </c>
      <c r="AF575">
        <f>IF('WetLitterbags placem_collection'!AB136="","",'WetLitterbags placem_collection'!AB136)</f>
        <v>1.1000000000000001</v>
      </c>
      <c r="AG575">
        <f>IF('WetLitterbags placem_collection'!Z136="","",'WetLitterbags placem_collection'!Z136)</f>
        <v>15.4</v>
      </c>
      <c r="AH575" s="236" t="str">
        <f>IF('WetLitterbags placem_collection'!AA136="","",'WetLitterbags placem_collection'!AA136)</f>
        <v>O</v>
      </c>
      <c r="AI575">
        <f>IF('WetLitterbags placem_collection'!AC136="","",'WetLitterbags placem_collection'!AC136)</f>
        <v>1</v>
      </c>
      <c r="AJ575" s="233">
        <f>AVERAGE('WetLitterbags placem_collection'!S136,'WetLitterbags placem_collection'!U136)</f>
        <v>12.7</v>
      </c>
      <c r="AK575">
        <f>AVERAGE('WetLitterbags placem_collection'!R136,'WetLitterbags placem_collection'!T136)</f>
        <v>30.15</v>
      </c>
      <c r="AL575">
        <f>INDEX([2]Coordinates!$B$2:$B$197,MATCH(I575,[2]Coordinates!$J$2:$J$197,0))</f>
        <v>-2.3503559730000001</v>
      </c>
      <c r="AM575">
        <f>INDEX([2]Coordinates!$C$2:$C$197,MATCH(I575,[2]Coordinates!$J$2:$J$197,0))</f>
        <v>34.049800980000001</v>
      </c>
      <c r="AN575" t="str">
        <f>IF(ISNUMBER(SEARCH("C", 'WetLitterbags placem_collection'!$X136)),"YES","NO")</f>
        <v>NO</v>
      </c>
      <c r="AO575" t="str">
        <f>IF(ISNUMBER(SEARCH("H", 'WetLitterbags placem_collection'!$X136)),"YES","NO")</f>
        <v>NO</v>
      </c>
      <c r="AP575" t="str">
        <f>IF(ISNUMBER(SEARCH("R", 'WetLitterbags placem_collection'!$X136)),"YES","NO")</f>
        <v>NO</v>
      </c>
    </row>
    <row r="576" spans="1:42" ht="15" customHeight="1">
      <c r="A576" t="s">
        <v>3248</v>
      </c>
      <c r="B576" s="248" t="s">
        <v>2454</v>
      </c>
      <c r="C576" s="253">
        <f>'Dry_Litterbag Placem_Collection'!A137</f>
        <v>135</v>
      </c>
      <c r="D576" s="253" t="str">
        <f>'Dry_Litterbag Placem_Collection'!B137</f>
        <v xml:space="preserve">Mwantimba
</v>
      </c>
      <c r="E576" s="253" t="s">
        <v>2454</v>
      </c>
      <c r="F576" s="253" t="s">
        <v>20</v>
      </c>
      <c r="G576" s="253">
        <v>1</v>
      </c>
      <c r="H576" s="253" t="s">
        <v>3121</v>
      </c>
      <c r="I576" s="254" t="str">
        <f>'Dry_Litterbag Placem_Collection'!C137</f>
        <v>Wet_P1_T7</v>
      </c>
      <c r="J576" s="263" t="s">
        <v>2932</v>
      </c>
      <c r="K576" s="256" t="s">
        <v>1147</v>
      </c>
      <c r="L576" s="221" t="str">
        <f>'WetLitterbags placem_collection'!O137</f>
        <v>G842</v>
      </c>
      <c r="M576" s="223">
        <f>IFERROR(INDEX('Green_rooibos initial weight'!$C$5:$C$2000,MATCH(L576, 'Green_rooibos initial weight'!$A$5:$A$2000,0)),"")</f>
        <v>1.9670000000000001</v>
      </c>
      <c r="N576" s="223">
        <f>IFERROR(M576-(TBIcalc!$H$9+TBIcalc!$H$10),"")</f>
        <v>1.7172000000000001</v>
      </c>
      <c r="O576" s="378">
        <f>AVERAGE(Ashed_controlls!$K$2:$K$11)</f>
        <v>5.5147656768714146</v>
      </c>
      <c r="P576" s="223">
        <f t="shared" si="41"/>
        <v>1.6225004437967641</v>
      </c>
      <c r="Q576" s="223">
        <f>IFERROR(INDEX('Both teabags AfterWet'!$C$3:$C$840,MATCH(L576,'Both teabags AfterWet'!$A$3:$A$840,0)),"")</f>
        <v>0.56399999999999995</v>
      </c>
      <c r="R576" s="223">
        <f>IFERROR(IF(Q576&gt;0,Q576-(TBIcalc!$H$9),""),"")</f>
        <v>0.41339999999999993</v>
      </c>
      <c r="S576" s="223">
        <f>IFERROR(INDEX('Ashed teabags wet'!$K$2:$K$2000,MATCH(L576,'Ashed teabags wet'!$A$2:$A$2000,0)),"")</f>
        <v>14.385614385613385</v>
      </c>
      <c r="T576" s="223">
        <f t="shared" si="42"/>
        <v>0.3539298701298742</v>
      </c>
      <c r="U576" s="224">
        <f>'WetLitterbags placem_collection'!E137</f>
        <v>42762</v>
      </c>
      <c r="V576" s="224">
        <f>IF('WetLitterbags placem_collection'!G137="","",'WetLitterbags placem_collection'!G137)</f>
        <v>42816</v>
      </c>
      <c r="W576" s="225">
        <f t="shared" si="40"/>
        <v>54</v>
      </c>
      <c r="X576" s="223">
        <f t="shared" si="43"/>
        <v>1.3038000000000001</v>
      </c>
      <c r="Y576" s="223">
        <f t="shared" si="44"/>
        <v>1.26857057366689</v>
      </c>
      <c r="Z576">
        <f>IFERROR(INDEX([1]Rainfall_Wet!$O$2:$O$217,MATCH(C576, [1]Rainfall_Wet!$A$2:$A$217,0)),"")</f>
        <v>206.85140822299999</v>
      </c>
      <c r="AA576" s="226">
        <v>31.214836424255054</v>
      </c>
      <c r="AB576" s="226">
        <v>11.377370285476141</v>
      </c>
      <c r="AC576" s="226">
        <v>57.407793290268799</v>
      </c>
      <c r="AD576" s="227" t="s">
        <v>2651</v>
      </c>
      <c r="AE576" s="226">
        <v>7.7337604731394798</v>
      </c>
      <c r="AF576">
        <f>IF('WetLitterbags placem_collection'!AB137="","",'WetLitterbags placem_collection'!AB137)</f>
        <v>2.1</v>
      </c>
      <c r="AG576">
        <f>IF('WetLitterbags placem_collection'!Z137="","",'WetLitterbags placem_collection'!Z137)</f>
        <v>5.6</v>
      </c>
      <c r="AH576" s="236" t="str">
        <f>IF('WetLitterbags placem_collection'!AA137="","",'WetLitterbags placem_collection'!AA137)</f>
        <v>O</v>
      </c>
      <c r="AI576">
        <f>IF('WetLitterbags placem_collection'!AC137="","",'WetLitterbags placem_collection'!AC137)</f>
        <v>1</v>
      </c>
      <c r="AJ576" s="233">
        <f>AVERAGE('WetLitterbags placem_collection'!S137,'WetLitterbags placem_collection'!U137)</f>
        <v>14.5</v>
      </c>
      <c r="AK576">
        <f>AVERAGE('WetLitterbags placem_collection'!R137,'WetLitterbags placem_collection'!T137)</f>
        <v>29.65</v>
      </c>
      <c r="AL576">
        <f>INDEX([2]Coordinates!$B$2:$B$197,MATCH(I576,[2]Coordinates!$J$2:$J$197,0))</f>
        <v>-2.3503589909999998</v>
      </c>
      <c r="AM576">
        <f>INDEX([2]Coordinates!$C$2:$C$197,MATCH(I576,[2]Coordinates!$J$2:$J$197,0))</f>
        <v>34.049719000000003</v>
      </c>
      <c r="AN576" t="str">
        <f>IF(ISNUMBER(SEARCH("C", 'WetLitterbags placem_collection'!$X137)),"YES","NO")</f>
        <v>NO</v>
      </c>
      <c r="AO576" t="str">
        <f>IF(ISNUMBER(SEARCH("H", 'WetLitterbags placem_collection'!$X137)),"YES","NO")</f>
        <v>NO</v>
      </c>
      <c r="AP576" t="str">
        <f>IF(ISNUMBER(SEARCH("R", 'WetLitterbags placem_collection'!$X137)),"YES","NO")</f>
        <v>NO</v>
      </c>
    </row>
    <row r="577" spans="1:42" ht="15" customHeight="1">
      <c r="A577" t="s">
        <v>3248</v>
      </c>
      <c r="B577" s="248" t="s">
        <v>2454</v>
      </c>
      <c r="C577" s="253">
        <f>'Dry_Litterbag Placem_Collection'!A138</f>
        <v>136</v>
      </c>
      <c r="D577" s="253" t="str">
        <f>'Dry_Litterbag Placem_Collection'!B138</f>
        <v xml:space="preserve">Mwantimba
</v>
      </c>
      <c r="E577" s="253" t="s">
        <v>2454</v>
      </c>
      <c r="F577" s="253" t="s">
        <v>20</v>
      </c>
      <c r="G577" s="253">
        <v>1</v>
      </c>
      <c r="H577" s="253" t="s">
        <v>3121</v>
      </c>
      <c r="I577" s="254" t="str">
        <f>'Dry_Litterbag Placem_Collection'!C138</f>
        <v>Wet_P1_T8</v>
      </c>
      <c r="J577" s="263" t="s">
        <v>2932</v>
      </c>
      <c r="K577" s="256" t="s">
        <v>1147</v>
      </c>
      <c r="L577" s="221" t="str">
        <f>'WetLitterbags placem_collection'!O138</f>
        <v>G747</v>
      </c>
      <c r="M577" s="223">
        <f>IFERROR(INDEX('Green_rooibos initial weight'!$C$5:$C$2000,MATCH(L577, 'Green_rooibos initial weight'!$A$5:$A$2000,0)),"")</f>
        <v>2.044</v>
      </c>
      <c r="N577" s="223">
        <f>IFERROR(M577-(TBIcalc!$H$9+TBIcalc!$H$10),"")</f>
        <v>1.7942</v>
      </c>
      <c r="O577" s="378">
        <f>AVERAGE(Ashed_controlls!$K$2:$K$11)</f>
        <v>5.5147656768714146</v>
      </c>
      <c r="P577" s="223">
        <f t="shared" si="41"/>
        <v>1.6952540742255731</v>
      </c>
      <c r="Q577" s="223">
        <f>IFERROR(INDEX('Both teabags AfterWet'!$C$3:$C$840,MATCH(L577,'Both teabags AfterWet'!$A$3:$A$840,0)),"")</f>
        <v>0.59630000000000005</v>
      </c>
      <c r="R577" s="223">
        <f>IFERROR(IF(Q577&gt;0,Q577-(TBIcalc!$H$9),""),"")</f>
        <v>0.44570000000000004</v>
      </c>
      <c r="S577" s="223">
        <f>IFERROR(INDEX('Ashed teabags wet'!$K$2:$K$2000,MATCH(L577,'Ashed teabags wet'!$A$2:$A$2000,0)),"")</f>
        <v>12.676056338028079</v>
      </c>
      <c r="T577" s="223">
        <f t="shared" si="42"/>
        <v>0.3892028169014089</v>
      </c>
      <c r="U577" s="224">
        <f>'WetLitterbags placem_collection'!E138</f>
        <v>42762</v>
      </c>
      <c r="V577" s="224">
        <f>IF('WetLitterbags placem_collection'!G138="","",'WetLitterbags placem_collection'!G138)</f>
        <v>42816</v>
      </c>
      <c r="W577" s="225">
        <f t="shared" si="40"/>
        <v>54</v>
      </c>
      <c r="X577" s="223">
        <f t="shared" si="43"/>
        <v>1.3485</v>
      </c>
      <c r="Y577" s="223">
        <f t="shared" si="44"/>
        <v>1.3060512573241643</v>
      </c>
      <c r="Z577">
        <f>IFERROR(INDEX([1]Rainfall_Wet!$O$2:$O$217,MATCH(C577, [1]Rainfall_Wet!$A$2:$A$217,0)),"")</f>
        <v>206.85140822299999</v>
      </c>
      <c r="AA577" s="226">
        <v>31.214836424255054</v>
      </c>
      <c r="AB577" s="226">
        <v>11.377370285476141</v>
      </c>
      <c r="AC577" s="226">
        <v>57.407793290268799</v>
      </c>
      <c r="AD577" s="227" t="s">
        <v>2651</v>
      </c>
      <c r="AE577" s="226">
        <v>8.7337604731394798</v>
      </c>
      <c r="AF577">
        <f>IF('WetLitterbags placem_collection'!AB138="","",'WetLitterbags placem_collection'!AB138)</f>
        <v>2.2999999999999998</v>
      </c>
      <c r="AG577">
        <f>IF('WetLitterbags placem_collection'!Z138="","",'WetLitterbags placem_collection'!Z138)</f>
        <v>16.3</v>
      </c>
      <c r="AH577" s="236" t="str">
        <f>IF('WetLitterbags placem_collection'!AA138="","",'WetLitterbags placem_collection'!AA138)</f>
        <v>G</v>
      </c>
      <c r="AI577">
        <f>IF('WetLitterbags placem_collection'!AC138="","",'WetLitterbags placem_collection'!AC138)</f>
        <v>1</v>
      </c>
      <c r="AJ577" s="233">
        <f>AVERAGE('WetLitterbags placem_collection'!S138,'WetLitterbags placem_collection'!U138)</f>
        <v>14.65</v>
      </c>
      <c r="AK577">
        <f>AVERAGE('WetLitterbags placem_collection'!R138,'WetLitterbags placem_collection'!T138)</f>
        <v>30.6</v>
      </c>
      <c r="AL577">
        <f>INDEX([2]Coordinates!$B$2:$B$197,MATCH(I577,[2]Coordinates!$J$2:$J$197,0))</f>
        <v>-2.3502159960000002</v>
      </c>
      <c r="AM577">
        <f>INDEX([2]Coordinates!$C$2:$C$197,MATCH(I577,[2]Coordinates!$J$2:$J$197,0))</f>
        <v>34.049822020000001</v>
      </c>
      <c r="AN577" t="str">
        <f>IF(ISNUMBER(SEARCH("C", 'WetLitterbags placem_collection'!$X138)),"YES","NO")</f>
        <v>NO</v>
      </c>
      <c r="AO577" t="str">
        <f>IF(ISNUMBER(SEARCH("H", 'WetLitterbags placem_collection'!$X138)),"YES","NO")</f>
        <v>NO</v>
      </c>
      <c r="AP577" t="str">
        <f>IF(ISNUMBER(SEARCH("R", 'WetLitterbags placem_collection'!$X138)),"YES","NO")</f>
        <v>YES</v>
      </c>
    </row>
    <row r="578" spans="1:42" ht="15" customHeight="1">
      <c r="A578" t="s">
        <v>3248</v>
      </c>
      <c r="B578" s="248" t="s">
        <v>2454</v>
      </c>
      <c r="C578" s="253">
        <f>'Dry_Litterbag Placem_Collection'!A139</f>
        <v>137</v>
      </c>
      <c r="D578" s="253" t="str">
        <f>'Dry_Litterbag Placem_Collection'!B139</f>
        <v xml:space="preserve">Mwantimba
</v>
      </c>
      <c r="E578" s="253" t="s">
        <v>2454</v>
      </c>
      <c r="F578" s="253" t="s">
        <v>20</v>
      </c>
      <c r="G578" s="253">
        <v>2</v>
      </c>
      <c r="H578" s="253" t="s">
        <v>3123</v>
      </c>
      <c r="I578" s="254" t="str">
        <f>'Dry_Litterbag Placem_Collection'!C139</f>
        <v>Wet_P2_T1</v>
      </c>
      <c r="J578" s="263" t="s">
        <v>2932</v>
      </c>
      <c r="K578" s="256" t="s">
        <v>1147</v>
      </c>
      <c r="L578" s="221" t="str">
        <f>'WetLitterbags placem_collection'!O139</f>
        <v>G857</v>
      </c>
      <c r="M578" s="223">
        <f>IFERROR(INDEX('Green_rooibos initial weight'!$C$5:$C$2000,MATCH(L578, 'Green_rooibos initial weight'!$A$5:$A$2000,0)),"")</f>
        <v>1.927</v>
      </c>
      <c r="N578" s="223">
        <f>IFERROR(M578-(TBIcalc!$H$9+TBIcalc!$H$10),"")</f>
        <v>1.6772</v>
      </c>
      <c r="O578" s="378">
        <f>AVERAGE(Ashed_controlls!$K$2:$K$11)</f>
        <v>5.5147656768714146</v>
      </c>
      <c r="P578" s="223">
        <f t="shared" si="41"/>
        <v>1.5847063500675127</v>
      </c>
      <c r="Q578" s="223">
        <f>IFERROR(INDEX('Both teabags AfterWet'!$C$3:$C$840,MATCH(L578,'Both teabags AfterWet'!$A$3:$A$840,0)),"")</f>
        <v>0.6</v>
      </c>
      <c r="R578" s="223">
        <f>IFERROR(IF(Q578&gt;0,Q578-(TBIcalc!$H$9),""),"")</f>
        <v>0.44939999999999997</v>
      </c>
      <c r="S578" s="223">
        <f>IFERROR(INDEX('Ashed teabags wet'!$K$2:$K$2000,MATCH(L578,'Ashed teabags wet'!$A$2:$A$2000,0)),"")</f>
        <v>14.85963213939962</v>
      </c>
      <c r="T578" s="223">
        <f t="shared" si="42"/>
        <v>0.38262081316553809</v>
      </c>
      <c r="U578" s="224">
        <f>'WetLitterbags placem_collection'!E139</f>
        <v>42762</v>
      </c>
      <c r="V578" s="224">
        <f>IF('WetLitterbags placem_collection'!G139="","",'WetLitterbags placem_collection'!G139)</f>
        <v>42816</v>
      </c>
      <c r="W578" s="225">
        <f t="shared" ref="W578:W641" si="45">IFERROR(V578-U578,"")</f>
        <v>54</v>
      </c>
      <c r="X578" s="223">
        <f t="shared" si="43"/>
        <v>1.2278</v>
      </c>
      <c r="Y578" s="223">
        <f t="shared" si="44"/>
        <v>1.2020855369019747</v>
      </c>
      <c r="Z578">
        <f>IFERROR(INDEX([1]Rainfall_Wet!$O$2:$O$217,MATCH(C578, [1]Rainfall_Wet!$A$2:$A$217,0)),"")</f>
        <v>206.85140822299999</v>
      </c>
      <c r="AA578" s="226">
        <v>33.96</v>
      </c>
      <c r="AB578" s="226">
        <v>8.9200000000000017</v>
      </c>
      <c r="AC578" s="226">
        <v>57.12</v>
      </c>
      <c r="AD578" s="227" t="s">
        <v>2651</v>
      </c>
      <c r="AE578" s="226">
        <v>2.072055199605717</v>
      </c>
      <c r="AF578">
        <f>IF('WetLitterbags placem_collection'!AB139="","",'WetLitterbags placem_collection'!AB139)</f>
        <v>1.2</v>
      </c>
      <c r="AG578">
        <f>IF('WetLitterbags placem_collection'!Z139="","",'WetLitterbags placem_collection'!Z139)</f>
        <v>32.4</v>
      </c>
      <c r="AH578" s="236" t="str">
        <f>IF('WetLitterbags placem_collection'!AA139="","",'WetLitterbags placem_collection'!AA139)</f>
        <v>G</v>
      </c>
      <c r="AI578">
        <f>IF('WetLitterbags placem_collection'!AC139="","",'WetLitterbags placem_collection'!AC139)</f>
        <v>1</v>
      </c>
      <c r="AJ578" s="233">
        <f>AVERAGE('WetLitterbags placem_collection'!S139,'WetLitterbags placem_collection'!U139)</f>
        <v>15.5</v>
      </c>
      <c r="AK578">
        <f>AVERAGE('WetLitterbags placem_collection'!R139,'WetLitterbags placem_collection'!T139)</f>
        <v>28.5</v>
      </c>
      <c r="AL578">
        <f>INDEX([2]Coordinates!$B$2:$B$197,MATCH(I578,[2]Coordinates!$J$2:$J$197,0))</f>
        <v>-2.348596025</v>
      </c>
      <c r="AM578">
        <f>INDEX([2]Coordinates!$C$2:$C$197,MATCH(I578,[2]Coordinates!$J$2:$J$197,0))</f>
        <v>34.050070959999999</v>
      </c>
      <c r="AN578" t="str">
        <f>IF(ISNUMBER(SEARCH("C", 'WetLitterbags placem_collection'!$X139)),"YES","NO")</f>
        <v>NO</v>
      </c>
      <c r="AO578" t="str">
        <f>IF(ISNUMBER(SEARCH("H", 'WetLitterbags placem_collection'!$X139)),"YES","NO")</f>
        <v>NO</v>
      </c>
      <c r="AP578" t="str">
        <f>IF(ISNUMBER(SEARCH("R", 'WetLitterbags placem_collection'!$X139)),"YES","NO")</f>
        <v>NO</v>
      </c>
    </row>
    <row r="579" spans="1:42" ht="15" customHeight="1">
      <c r="A579" t="s">
        <v>3248</v>
      </c>
      <c r="B579" s="248" t="s">
        <v>2454</v>
      </c>
      <c r="C579" s="253">
        <f>'Dry_Litterbag Placem_Collection'!A140</f>
        <v>138</v>
      </c>
      <c r="D579" s="253" t="str">
        <f>'Dry_Litterbag Placem_Collection'!B140</f>
        <v xml:space="preserve">Mwantimba
</v>
      </c>
      <c r="E579" s="253" t="s">
        <v>2454</v>
      </c>
      <c r="F579" s="253" t="s">
        <v>20</v>
      </c>
      <c r="G579" s="253">
        <v>2</v>
      </c>
      <c r="H579" s="253" t="s">
        <v>3123</v>
      </c>
      <c r="I579" s="254" t="str">
        <f>'Dry_Litterbag Placem_Collection'!C140</f>
        <v>Wet_P2_T2</v>
      </c>
      <c r="J579" s="263" t="s">
        <v>2932</v>
      </c>
      <c r="K579" s="256" t="s">
        <v>1147</v>
      </c>
      <c r="L579" s="221" t="str">
        <f>'WetLitterbags placem_collection'!O140</f>
        <v>G623</v>
      </c>
      <c r="M579" s="223">
        <f>IFERROR(INDEX('Green_rooibos initial weight'!$C$5:$C$2000,MATCH(L579, 'Green_rooibos initial weight'!$A$5:$A$2000,0)),"")</f>
        <v>2.1040000000000001</v>
      </c>
      <c r="N579" s="223">
        <f>IFERROR(M579-(TBIcalc!$H$9+TBIcalc!$H$10),"")</f>
        <v>1.8542000000000001</v>
      </c>
      <c r="O579" s="378">
        <f>AVERAGE(Ashed_controlls!$K$2:$K$11)</f>
        <v>5.5147656768714146</v>
      </c>
      <c r="P579" s="223">
        <f t="shared" ref="P579:P642" si="46">IFERROR(N579-(O579/100)*N579,"")</f>
        <v>1.7519452148194503</v>
      </c>
      <c r="Q579" s="223">
        <f>IFERROR(INDEX('Both teabags AfterWet'!$C$3:$C$840,MATCH(L579,'Both teabags AfterWet'!$A$3:$A$840,0)),"")</f>
        <v>0.64800000000000002</v>
      </c>
      <c r="R579" s="223">
        <f>IFERROR(IF(Q579&gt;0,Q579-(TBIcalc!$H$9),""),"")</f>
        <v>0.49740000000000001</v>
      </c>
      <c r="S579" s="223">
        <f>IFERROR(INDEX('Ashed teabags wet'!$K$2:$K$2000,MATCH(L579,'Ashed teabags wet'!$A$2:$A$2000,0)),"")</f>
        <v>12.94176207068146</v>
      </c>
      <c r="T579" s="223">
        <f t="shared" ref="T579:T642" si="47">IFERROR(R579-(S579/100)*R579,"")</f>
        <v>0.43302767546043042</v>
      </c>
      <c r="U579" s="224">
        <f>'WetLitterbags placem_collection'!E140</f>
        <v>42762</v>
      </c>
      <c r="V579" s="224">
        <f>IF('WetLitterbags placem_collection'!G140="","",'WetLitterbags placem_collection'!G140)</f>
        <v>42816</v>
      </c>
      <c r="W579" s="225">
        <f t="shared" si="45"/>
        <v>54</v>
      </c>
      <c r="X579" s="223">
        <f t="shared" ref="X579:X642" si="48">IFERROR(N579-R579,"")</f>
        <v>1.3568</v>
      </c>
      <c r="Y579" s="223">
        <f t="shared" ref="Y579:Y642" si="49">IFERROR(P579-T579,"")</f>
        <v>1.31891753935902</v>
      </c>
      <c r="Z579">
        <f>IFERROR(INDEX([1]Rainfall_Wet!$O$2:$O$217,MATCH(C579, [1]Rainfall_Wet!$A$2:$A$217,0)),"")</f>
        <v>206.85140822299999</v>
      </c>
      <c r="AA579" s="226">
        <v>33.96</v>
      </c>
      <c r="AB579" s="226">
        <v>8.9200000000000017</v>
      </c>
      <c r="AC579" s="226">
        <v>57.12</v>
      </c>
      <c r="AD579" s="227" t="s">
        <v>2651</v>
      </c>
      <c r="AE579" s="226">
        <v>3.0720551996057202</v>
      </c>
      <c r="AF579">
        <f>IF('WetLitterbags placem_collection'!AB140="","",'WetLitterbags placem_collection'!AB140)</f>
        <v>2.8</v>
      </c>
      <c r="AG579">
        <f>IF('WetLitterbags placem_collection'!Z140="","",'WetLitterbags placem_collection'!Z140)</f>
        <v>26.4</v>
      </c>
      <c r="AH579" s="236" t="str">
        <f>IF('WetLitterbags placem_collection'!AA140="","",'WetLitterbags placem_collection'!AA140)</f>
        <v>G</v>
      </c>
      <c r="AI579">
        <f>IF('WetLitterbags placem_collection'!AC140="","",'WetLitterbags placem_collection'!AC140)</f>
        <v>1</v>
      </c>
      <c r="AJ579" s="233">
        <f>AVERAGE('WetLitterbags placem_collection'!S140,'WetLitterbags placem_collection'!U140)</f>
        <v>15.5</v>
      </c>
      <c r="AK579">
        <f>AVERAGE('WetLitterbags placem_collection'!R140,'WetLitterbags placem_collection'!T140)</f>
        <v>29.35</v>
      </c>
      <c r="AL579">
        <f>INDEX([2]Coordinates!$B$2:$B$197,MATCH(I579,[2]Coordinates!$J$2:$J$197,0))</f>
        <v>-2.3485449790000001</v>
      </c>
      <c r="AM579">
        <f>INDEX([2]Coordinates!$C$2:$C$197,MATCH(I579,[2]Coordinates!$J$2:$J$197,0))</f>
        <v>34.050146980000001</v>
      </c>
      <c r="AN579" t="str">
        <f>IF(ISNUMBER(SEARCH("C", 'WetLitterbags placem_collection'!$X140)),"YES","NO")</f>
        <v>NO</v>
      </c>
      <c r="AO579" t="str">
        <f>IF(ISNUMBER(SEARCH("H", 'WetLitterbags placem_collection'!$X140)),"YES","NO")</f>
        <v>NO</v>
      </c>
      <c r="AP579" t="str">
        <f>IF(ISNUMBER(SEARCH("R", 'WetLitterbags placem_collection'!$X140)),"YES","NO")</f>
        <v>YES</v>
      </c>
    </row>
    <row r="580" spans="1:42" ht="15" customHeight="1">
      <c r="A580" t="s">
        <v>3248</v>
      </c>
      <c r="B580" s="248" t="s">
        <v>2454</v>
      </c>
      <c r="C580" s="253">
        <f>'Dry_Litterbag Placem_Collection'!A141</f>
        <v>139</v>
      </c>
      <c r="D580" s="253" t="str">
        <f>'Dry_Litterbag Placem_Collection'!B141</f>
        <v xml:space="preserve">Mwantimba
</v>
      </c>
      <c r="E580" s="253" t="s">
        <v>2454</v>
      </c>
      <c r="F580" s="253" t="s">
        <v>20</v>
      </c>
      <c r="G580" s="253">
        <v>2</v>
      </c>
      <c r="H580" s="253" t="s">
        <v>3123</v>
      </c>
      <c r="I580" s="254" t="str">
        <f>'Dry_Litterbag Placem_Collection'!C141</f>
        <v>Wet_P2_T3</v>
      </c>
      <c r="J580" s="263" t="s">
        <v>2932</v>
      </c>
      <c r="K580" s="256" t="s">
        <v>1147</v>
      </c>
      <c r="L580" s="221" t="str">
        <f>'WetLitterbags placem_collection'!O141</f>
        <v>G880</v>
      </c>
      <c r="M580" s="223">
        <f>IFERROR(INDEX('Green_rooibos initial weight'!$C$5:$C$2000,MATCH(L580, 'Green_rooibos initial weight'!$A$5:$A$2000,0)),"")</f>
        <v>2.1030000000000002</v>
      </c>
      <c r="N580" s="223">
        <f>IFERROR(M580-(TBIcalc!$H$9+TBIcalc!$H$10),"")</f>
        <v>1.8532000000000002</v>
      </c>
      <c r="O580" s="378">
        <f>AVERAGE(Ashed_controlls!$K$2:$K$11)</f>
        <v>5.5147656768714146</v>
      </c>
      <c r="P580" s="223">
        <f t="shared" si="46"/>
        <v>1.7510003624762192</v>
      </c>
      <c r="Q580" s="223">
        <f>IFERROR(INDEX('Both teabags AfterWet'!$C$3:$C$840,MATCH(L580,'Both teabags AfterWet'!$A$3:$A$840,0)),"")</f>
        <v>0.73599999999999999</v>
      </c>
      <c r="R580" s="223">
        <f>IFERROR(IF(Q580&gt;0,Q580-(TBIcalc!$H$9),""),"")</f>
        <v>0.58539999999999992</v>
      </c>
      <c r="S580" s="223">
        <f>IFERROR(INDEX('Ashed teabags wet'!$K$2:$K$2000,MATCH(L580,'Ashed teabags wet'!$A$2:$A$2000,0)),"")</f>
        <v>26.073926073925342</v>
      </c>
      <c r="T580" s="223">
        <f t="shared" si="47"/>
        <v>0.43276323676324102</v>
      </c>
      <c r="U580" s="224">
        <f>'WetLitterbags placem_collection'!E141</f>
        <v>42762</v>
      </c>
      <c r="V580" s="224">
        <f>IF('WetLitterbags placem_collection'!G141="","",'WetLitterbags placem_collection'!G141)</f>
        <v>42816</v>
      </c>
      <c r="W580" s="225">
        <f t="shared" si="45"/>
        <v>54</v>
      </c>
      <c r="X580" s="223">
        <f t="shared" si="48"/>
        <v>1.2678000000000003</v>
      </c>
      <c r="Y580" s="223">
        <f t="shared" si="49"/>
        <v>1.3182371257129781</v>
      </c>
      <c r="Z580">
        <f>IFERROR(INDEX([1]Rainfall_Wet!$O$2:$O$217,MATCH(C580, [1]Rainfall_Wet!$A$2:$A$217,0)),"")</f>
        <v>206.85140822299999</v>
      </c>
      <c r="AA580" s="226">
        <v>33.96</v>
      </c>
      <c r="AB580" s="226">
        <v>8.9200000000000017</v>
      </c>
      <c r="AC580" s="226">
        <v>57.12</v>
      </c>
      <c r="AD580" s="227" t="s">
        <v>2651</v>
      </c>
      <c r="AE580" s="226">
        <v>4.0720551996057202</v>
      </c>
      <c r="AF580">
        <f>IF('WetLitterbags placem_collection'!AB141="","",'WetLitterbags placem_collection'!AB141)</f>
        <v>5.7</v>
      </c>
      <c r="AG580">
        <f>IF('WetLitterbags placem_collection'!Z141="","",'WetLitterbags placem_collection'!Z141)</f>
        <v>19.399999999999999</v>
      </c>
      <c r="AH580" s="236" t="str">
        <f>IF('WetLitterbags placem_collection'!AA141="","",'WetLitterbags placem_collection'!AA141)</f>
        <v>G</v>
      </c>
      <c r="AI580">
        <f>IF('WetLitterbags placem_collection'!AC141="","",'WetLitterbags placem_collection'!AC141)</f>
        <v>1</v>
      </c>
      <c r="AJ580" s="233">
        <f>AVERAGE('WetLitterbags placem_collection'!S141,'WetLitterbags placem_collection'!U141)</f>
        <v>16.850000000000001</v>
      </c>
      <c r="AK580">
        <f>AVERAGE('WetLitterbags placem_collection'!R141,'WetLitterbags placem_collection'!T141)</f>
        <v>28.65</v>
      </c>
      <c r="AL580">
        <f>INDEX([2]Coordinates!$B$2:$B$197,MATCH(I580,[2]Coordinates!$J$2:$J$197,0))</f>
        <v>-2.3487209990000002</v>
      </c>
      <c r="AM580">
        <f>INDEX([2]Coordinates!$C$2:$C$197,MATCH(I580,[2]Coordinates!$J$2:$J$197,0))</f>
        <v>34.050128039999997</v>
      </c>
      <c r="AN580" t="str">
        <f>IF(ISNUMBER(SEARCH("C", 'WetLitterbags placem_collection'!$X141)),"YES","NO")</f>
        <v>NO</v>
      </c>
      <c r="AO580" t="str">
        <f>IF(ISNUMBER(SEARCH("H", 'WetLitterbags placem_collection'!$X141)),"YES","NO")</f>
        <v>NO</v>
      </c>
      <c r="AP580" t="str">
        <f>IF(ISNUMBER(SEARCH("R", 'WetLitterbags placem_collection'!$X141)),"YES","NO")</f>
        <v>YES</v>
      </c>
    </row>
    <row r="581" spans="1:42" ht="15" customHeight="1">
      <c r="A581" t="s">
        <v>3248</v>
      </c>
      <c r="B581" s="248" t="s">
        <v>2454</v>
      </c>
      <c r="C581" s="253">
        <f>'Dry_Litterbag Placem_Collection'!A142</f>
        <v>140</v>
      </c>
      <c r="D581" s="253" t="str">
        <f>'Dry_Litterbag Placem_Collection'!B142</f>
        <v xml:space="preserve">Mwantimba
</v>
      </c>
      <c r="E581" s="253" t="s">
        <v>2454</v>
      </c>
      <c r="F581" s="253" t="s">
        <v>20</v>
      </c>
      <c r="G581" s="253">
        <v>2</v>
      </c>
      <c r="H581" s="253" t="s">
        <v>3123</v>
      </c>
      <c r="I581" s="254" t="str">
        <f>'Dry_Litterbag Placem_Collection'!C142</f>
        <v>Wet_P2_T4</v>
      </c>
      <c r="J581" s="263" t="s">
        <v>2932</v>
      </c>
      <c r="K581" s="256" t="s">
        <v>1147</v>
      </c>
      <c r="L581" s="221" t="str">
        <f>'WetLitterbags placem_collection'!O142</f>
        <v>G706</v>
      </c>
      <c r="M581" s="223">
        <f>IFERROR(INDEX('Green_rooibos initial weight'!$C$5:$C$2000,MATCH(L581, 'Green_rooibos initial weight'!$A$5:$A$2000,0)),"")</f>
        <v>1.9450000000000001</v>
      </c>
      <c r="N581" s="223">
        <f>IFERROR(M581-(TBIcalc!$H$9+TBIcalc!$H$10),"")</f>
        <v>1.6952</v>
      </c>
      <c r="O581" s="378">
        <f>AVERAGE(Ashed_controlls!$K$2:$K$11)</f>
        <v>5.5147656768714146</v>
      </c>
      <c r="P581" s="223">
        <f t="shared" si="46"/>
        <v>1.6017136922456758</v>
      </c>
      <c r="Q581" s="223">
        <f>IFERROR(INDEX('Both teabags AfterWet'!$C$3:$C$840,MATCH(L581,'Both teabags AfterWet'!$A$3:$A$840,0)),"")</f>
        <v>0.60780000000000001</v>
      </c>
      <c r="R581" s="223">
        <f>IFERROR(IF(Q581&gt;0,Q581-(TBIcalc!$H$9),""),"")</f>
        <v>0.4572</v>
      </c>
      <c r="S581" s="223">
        <f>IFERROR(INDEX('Ashed teabags wet'!$K$2:$K$2000,MATCH(L581,'Ashed teabags wet'!$A$2:$A$2000,0)),"")</f>
        <v>17.486338797814145</v>
      </c>
      <c r="T581" s="223">
        <f t="shared" si="47"/>
        <v>0.3772524590163937</v>
      </c>
      <c r="U581" s="224">
        <f>'WetLitterbags placem_collection'!E142</f>
        <v>42762</v>
      </c>
      <c r="V581" s="224">
        <f>IF('WetLitterbags placem_collection'!G142="","",'WetLitterbags placem_collection'!G142)</f>
        <v>42816</v>
      </c>
      <c r="W581" s="225">
        <f t="shared" si="45"/>
        <v>54</v>
      </c>
      <c r="X581" s="223">
        <f t="shared" si="48"/>
        <v>1.238</v>
      </c>
      <c r="Y581" s="223">
        <f t="shared" si="49"/>
        <v>1.2244612332292821</v>
      </c>
      <c r="Z581">
        <f>IFERROR(INDEX([1]Rainfall_Wet!$O$2:$O$217,MATCH(C581, [1]Rainfall_Wet!$A$2:$A$217,0)),"")</f>
        <v>206.85140822299999</v>
      </c>
      <c r="AA581" s="226">
        <v>33.96</v>
      </c>
      <c r="AB581" s="226">
        <v>8.9200000000000017</v>
      </c>
      <c r="AC581" s="226">
        <v>57.12</v>
      </c>
      <c r="AD581" s="227" t="s">
        <v>2651</v>
      </c>
      <c r="AE581" s="226">
        <v>5.0720551996057202</v>
      </c>
      <c r="AF581">
        <f>IF('WetLitterbags placem_collection'!AB142="","",'WetLitterbags placem_collection'!AB142)</f>
        <v>1.4</v>
      </c>
      <c r="AG581">
        <f>IF('WetLitterbags placem_collection'!Z142="","",'WetLitterbags placem_collection'!Z142)</f>
        <v>33.4</v>
      </c>
      <c r="AH581" s="236" t="str">
        <f>IF('WetLitterbags placem_collection'!AA142="","",'WetLitterbags placem_collection'!AA142)</f>
        <v>G</v>
      </c>
      <c r="AI581">
        <f>IF('WetLitterbags placem_collection'!AC142="","",'WetLitterbags placem_collection'!AC142)</f>
        <v>1</v>
      </c>
      <c r="AJ581" s="233">
        <f>AVERAGE('WetLitterbags placem_collection'!S142,'WetLitterbags placem_collection'!U142)</f>
        <v>11.55</v>
      </c>
      <c r="AK581">
        <f>AVERAGE('WetLitterbags placem_collection'!R142,'WetLitterbags placem_collection'!T142)</f>
        <v>30.85</v>
      </c>
      <c r="AL581">
        <f>INDEX([2]Coordinates!$B$2:$B$197,MATCH(I581,[2]Coordinates!$J$2:$J$197,0))</f>
        <v>-2.3486250270000002</v>
      </c>
      <c r="AM581">
        <f>INDEX([2]Coordinates!$C$2:$C$197,MATCH(I581,[2]Coordinates!$J$2:$J$197,0))</f>
        <v>34.050070959999999</v>
      </c>
      <c r="AN581" t="str">
        <f>IF(ISNUMBER(SEARCH("C", 'WetLitterbags placem_collection'!$X142)),"YES","NO")</f>
        <v>NO</v>
      </c>
      <c r="AO581" t="str">
        <f>IF(ISNUMBER(SEARCH("H", 'WetLitterbags placem_collection'!$X142)),"YES","NO")</f>
        <v>NO</v>
      </c>
      <c r="AP581" t="str">
        <f>IF(ISNUMBER(SEARCH("R", 'WetLitterbags placem_collection'!$X142)),"YES","NO")</f>
        <v>NO</v>
      </c>
    </row>
    <row r="582" spans="1:42" ht="15" customHeight="1">
      <c r="A582" t="s">
        <v>3248</v>
      </c>
      <c r="B582" s="248" t="s">
        <v>2454</v>
      </c>
      <c r="C582" s="253">
        <f>'Dry_Litterbag Placem_Collection'!A143</f>
        <v>141</v>
      </c>
      <c r="D582" s="253" t="str">
        <f>'Dry_Litterbag Placem_Collection'!B143</f>
        <v xml:space="preserve">Mwantimba
</v>
      </c>
      <c r="E582" s="253" t="s">
        <v>2454</v>
      </c>
      <c r="F582" s="253" t="s">
        <v>20</v>
      </c>
      <c r="G582" s="253">
        <v>2</v>
      </c>
      <c r="H582" s="253" t="s">
        <v>3123</v>
      </c>
      <c r="I582" s="254" t="str">
        <f>'Dry_Litterbag Placem_Collection'!C143</f>
        <v>Wet_P2_T5</v>
      </c>
      <c r="J582" s="263" t="s">
        <v>2932</v>
      </c>
      <c r="K582" s="256" t="s">
        <v>1147</v>
      </c>
      <c r="L582" s="221" t="str">
        <f>'WetLitterbags placem_collection'!O143</f>
        <v>G775</v>
      </c>
      <c r="M582" s="223">
        <f>IFERROR(INDEX('Green_rooibos initial weight'!$C$5:$C$2000,MATCH(L582, 'Green_rooibos initial weight'!$A$5:$A$2000,0)),"")</f>
        <v>2.1389999999999998</v>
      </c>
      <c r="N582" s="223">
        <f>IFERROR(M582-(TBIcalc!$H$9+TBIcalc!$H$10),"")</f>
        <v>1.8891999999999998</v>
      </c>
      <c r="O582" s="378">
        <f>AVERAGE(Ashed_controlls!$K$2:$K$11)</f>
        <v>5.5147656768714146</v>
      </c>
      <c r="P582" s="223">
        <f t="shared" si="46"/>
        <v>1.785015046832545</v>
      </c>
      <c r="Q582" s="223">
        <f>IFERROR(INDEX('Both teabags AfterWet'!$C$3:$C$840,MATCH(L582,'Both teabags AfterWet'!$A$3:$A$840,0)),"")</f>
        <v>0.69099999999999995</v>
      </c>
      <c r="R582" s="223">
        <f>IFERROR(IF(Q582&gt;0,Q582-(TBIcalc!$H$9),""),"")</f>
        <v>0.54039999999999999</v>
      </c>
      <c r="S582" s="223">
        <f>IFERROR(INDEX('Ashed teabags wet'!$K$2:$K$2000,MATCH(L582,'Ashed teabags wet'!$A$2:$A$2000,0)),"")</f>
        <v>23.031496062992296</v>
      </c>
      <c r="T582" s="223">
        <f t="shared" si="47"/>
        <v>0.41593779527558961</v>
      </c>
      <c r="U582" s="224">
        <f>'WetLitterbags placem_collection'!E143</f>
        <v>42762</v>
      </c>
      <c r="V582" s="224">
        <f>IF('WetLitterbags placem_collection'!G143="","",'WetLitterbags placem_collection'!G143)</f>
        <v>42816</v>
      </c>
      <c r="W582" s="225">
        <f t="shared" si="45"/>
        <v>54</v>
      </c>
      <c r="X582" s="223">
        <f t="shared" si="48"/>
        <v>1.3487999999999998</v>
      </c>
      <c r="Y582" s="223">
        <f t="shared" si="49"/>
        <v>1.3690772515569554</v>
      </c>
      <c r="Z582">
        <f>IFERROR(INDEX([1]Rainfall_Wet!$O$2:$O$217,MATCH(C582, [1]Rainfall_Wet!$A$2:$A$217,0)),"")</f>
        <v>206.85140822299999</v>
      </c>
      <c r="AA582" s="226">
        <v>33.96</v>
      </c>
      <c r="AB582" s="226">
        <v>8.9200000000000017</v>
      </c>
      <c r="AC582" s="226">
        <v>57.12</v>
      </c>
      <c r="AD582" s="227" t="s">
        <v>2651</v>
      </c>
      <c r="AE582" s="226">
        <v>6.0720551996057202</v>
      </c>
      <c r="AF582">
        <f>IF('WetLitterbags placem_collection'!AB143="","",'WetLitterbags placem_collection'!AB143)</f>
        <v>1.4</v>
      </c>
      <c r="AG582">
        <f>IF('WetLitterbags placem_collection'!Z143="","",'WetLitterbags placem_collection'!Z143)</f>
        <v>28.4</v>
      </c>
      <c r="AH582" s="236" t="str">
        <f>IF('WetLitterbags placem_collection'!AA143="","",'WetLitterbags placem_collection'!AA143)</f>
        <v>G</v>
      </c>
      <c r="AI582">
        <f>IF('WetLitterbags placem_collection'!AC143="","",'WetLitterbags placem_collection'!AC143)</f>
        <v>1</v>
      </c>
      <c r="AJ582" s="233">
        <f>AVERAGE('WetLitterbags placem_collection'!S143,'WetLitterbags placem_collection'!U143)</f>
        <v>9.6999999999999993</v>
      </c>
      <c r="AK582">
        <f>AVERAGE('WetLitterbags placem_collection'!R143,'WetLitterbags placem_collection'!T143)</f>
        <v>30.75</v>
      </c>
      <c r="AL582">
        <f>INDEX([2]Coordinates!$B$2:$B$197,MATCH(I582,[2]Coordinates!$J$2:$J$197,0))</f>
        <v>-2.3486060000000002</v>
      </c>
      <c r="AM582">
        <f>INDEX([2]Coordinates!$C$2:$C$197,MATCH(I582,[2]Coordinates!$J$2:$J$197,0))</f>
        <v>34.050010020000002</v>
      </c>
      <c r="AN582" t="str">
        <f>IF(ISNUMBER(SEARCH("C", 'WetLitterbags placem_collection'!$X143)),"YES","NO")</f>
        <v>NO</v>
      </c>
      <c r="AO582" t="str">
        <f>IF(ISNUMBER(SEARCH("H", 'WetLitterbags placem_collection'!$X143)),"YES","NO")</f>
        <v>NO</v>
      </c>
      <c r="AP582" t="str">
        <f>IF(ISNUMBER(SEARCH("R", 'WetLitterbags placem_collection'!$X143)),"YES","NO")</f>
        <v>NO</v>
      </c>
    </row>
    <row r="583" spans="1:42" ht="15" customHeight="1">
      <c r="A583" t="s">
        <v>3248</v>
      </c>
      <c r="B583" s="248" t="s">
        <v>2454</v>
      </c>
      <c r="C583" s="253">
        <f>'Dry_Litterbag Placem_Collection'!A144</f>
        <v>142</v>
      </c>
      <c r="D583" s="253" t="str">
        <f>'Dry_Litterbag Placem_Collection'!B144</f>
        <v xml:space="preserve">Mwantimba
</v>
      </c>
      <c r="E583" s="253" t="s">
        <v>2454</v>
      </c>
      <c r="F583" s="253" t="s">
        <v>20</v>
      </c>
      <c r="G583" s="253">
        <v>2</v>
      </c>
      <c r="H583" s="253" t="s">
        <v>3123</v>
      </c>
      <c r="I583" s="254" t="str">
        <f>'Dry_Litterbag Placem_Collection'!C144</f>
        <v>Wet_P2_T6</v>
      </c>
      <c r="J583" s="263" t="s">
        <v>2932</v>
      </c>
      <c r="K583" s="256" t="s">
        <v>1147</v>
      </c>
      <c r="L583" s="221" t="str">
        <f>'WetLitterbags placem_collection'!O144</f>
        <v>G850</v>
      </c>
      <c r="M583" s="223">
        <f>IFERROR(INDEX('Green_rooibos initial weight'!$C$5:$C$2000,MATCH(L583, 'Green_rooibos initial weight'!$A$5:$A$2000,0)),"")</f>
        <v>2.0379999999999998</v>
      </c>
      <c r="N583" s="223">
        <f>IFERROR(M583-(TBIcalc!$H$9+TBIcalc!$H$10),"")</f>
        <v>1.7881999999999998</v>
      </c>
      <c r="O583" s="378">
        <f>AVERAGE(Ashed_controlls!$K$2:$K$11)</f>
        <v>5.5147656768714146</v>
      </c>
      <c r="P583" s="223">
        <f t="shared" si="46"/>
        <v>1.6895849601661852</v>
      </c>
      <c r="Q583" s="223">
        <f>IFERROR(INDEX('Both teabags AfterWet'!$C$3:$C$840,MATCH(L583,'Both teabags AfterWet'!$A$3:$A$840,0)),"")</f>
        <v>0.78500000000000003</v>
      </c>
      <c r="R583" s="223">
        <f>IFERROR(IF(Q583&gt;0,Q583-(TBIcalc!$H$9),""),"")</f>
        <v>0.63440000000000007</v>
      </c>
      <c r="S583" s="223">
        <f>IFERROR(INDEX('Ashed teabags wet'!$K$2:$K$2000,MATCH(L583,'Ashed teabags wet'!$A$2:$A$2000,0)),"")</f>
        <v>14.780029658923441</v>
      </c>
      <c r="T583" s="223">
        <f t="shared" si="47"/>
        <v>0.54063549184378978</v>
      </c>
      <c r="U583" s="224">
        <f>'WetLitterbags placem_collection'!E144</f>
        <v>42762</v>
      </c>
      <c r="V583" s="224">
        <f>IF('WetLitterbags placem_collection'!G144="","",'WetLitterbags placem_collection'!G144)</f>
        <v>42816</v>
      </c>
      <c r="W583" s="225">
        <f t="shared" si="45"/>
        <v>54</v>
      </c>
      <c r="X583" s="223">
        <f t="shared" si="48"/>
        <v>1.1537999999999997</v>
      </c>
      <c r="Y583" s="223">
        <f t="shared" si="49"/>
        <v>1.1489494683223955</v>
      </c>
      <c r="Z583">
        <f>IFERROR(INDEX([1]Rainfall_Wet!$O$2:$O$217,MATCH(C583, [1]Rainfall_Wet!$A$2:$A$217,0)),"")</f>
        <v>206.85140822299999</v>
      </c>
      <c r="AA583" s="226">
        <v>33.96</v>
      </c>
      <c r="AB583" s="226">
        <v>8.9200000000000017</v>
      </c>
      <c r="AC583" s="226">
        <v>57.12</v>
      </c>
      <c r="AD583" s="227" t="s">
        <v>2651</v>
      </c>
      <c r="AE583" s="226">
        <v>7.0720551996057202</v>
      </c>
      <c r="AF583">
        <f>IF('WetLitterbags placem_collection'!AB144="","",'WetLitterbags placem_collection'!AB144)</f>
        <v>1.7</v>
      </c>
      <c r="AG583">
        <f>IF('WetLitterbags placem_collection'!Z144="","",'WetLitterbags placem_collection'!Z144)</f>
        <v>33.799999999999997</v>
      </c>
      <c r="AH583" s="236" t="str">
        <f>IF('WetLitterbags placem_collection'!AA144="","",'WetLitterbags placem_collection'!AA144)</f>
        <v>G</v>
      </c>
      <c r="AI583">
        <f>IF('WetLitterbags placem_collection'!AC144="","",'WetLitterbags placem_collection'!AC144)</f>
        <v>1</v>
      </c>
      <c r="AJ583" s="233">
        <f>AVERAGE('WetLitterbags placem_collection'!S144,'WetLitterbags placem_collection'!U144)</f>
        <v>15.5</v>
      </c>
      <c r="AK583">
        <f>AVERAGE('WetLitterbags placem_collection'!R144,'WetLitterbags placem_collection'!T144)</f>
        <v>28.75</v>
      </c>
      <c r="AL583">
        <f>INDEX([2]Coordinates!$B$2:$B$197,MATCH(I583,[2]Coordinates!$J$2:$J$197,0))</f>
        <v>-2.348618992</v>
      </c>
      <c r="AM583">
        <f>INDEX([2]Coordinates!$C$2:$C$197,MATCH(I583,[2]Coordinates!$J$2:$J$197,0))</f>
        <v>34.049996030000003</v>
      </c>
      <c r="AN583" t="str">
        <f>IF(ISNUMBER(SEARCH("C", 'WetLitterbags placem_collection'!$X144)),"YES","NO")</f>
        <v>NO</v>
      </c>
      <c r="AO583" t="str">
        <f>IF(ISNUMBER(SEARCH("H", 'WetLitterbags placem_collection'!$X144)),"YES","NO")</f>
        <v>NO</v>
      </c>
      <c r="AP583" t="str">
        <f>IF(ISNUMBER(SEARCH("R", 'WetLitterbags placem_collection'!$X144)),"YES","NO")</f>
        <v>NO</v>
      </c>
    </row>
    <row r="584" spans="1:42" ht="15" customHeight="1">
      <c r="A584" t="s">
        <v>3248</v>
      </c>
      <c r="B584" s="248" t="s">
        <v>2454</v>
      </c>
      <c r="C584" s="253">
        <f>'Dry_Litterbag Placem_Collection'!A145</f>
        <v>143</v>
      </c>
      <c r="D584" s="253" t="str">
        <f>'Dry_Litterbag Placem_Collection'!B145</f>
        <v xml:space="preserve">Mwantimba
</v>
      </c>
      <c r="E584" s="253" t="s">
        <v>2454</v>
      </c>
      <c r="F584" s="253" t="s">
        <v>20</v>
      </c>
      <c r="G584" s="253">
        <v>2</v>
      </c>
      <c r="H584" s="253" t="s">
        <v>3123</v>
      </c>
      <c r="I584" s="254" t="str">
        <f>'Dry_Litterbag Placem_Collection'!C145</f>
        <v>Wet_P2_T7</v>
      </c>
      <c r="J584" s="263" t="s">
        <v>2932</v>
      </c>
      <c r="K584" s="256" t="s">
        <v>1147</v>
      </c>
      <c r="L584" s="221" t="str">
        <f>'WetLitterbags placem_collection'!O145</f>
        <v>G697</v>
      </c>
      <c r="M584" s="223">
        <f>IFERROR(INDEX('Green_rooibos initial weight'!$C$5:$C$2000,MATCH(L584, 'Green_rooibos initial weight'!$A$5:$A$2000,0)),"")</f>
        <v>2.1110000000000002</v>
      </c>
      <c r="N584" s="223">
        <f>IFERROR(M584-(TBIcalc!$H$9+TBIcalc!$H$10),"")</f>
        <v>1.8612000000000002</v>
      </c>
      <c r="O584" s="378">
        <f>AVERAGE(Ashed_controlls!$K$2:$K$11)</f>
        <v>5.5147656768714146</v>
      </c>
      <c r="P584" s="223">
        <f t="shared" si="46"/>
        <v>1.7585591812220693</v>
      </c>
      <c r="Q584" s="223">
        <f>IFERROR(INDEX('Both teabags AfterWet'!$C$3:$C$840,MATCH(L584,'Both teabags AfterWet'!$A$3:$A$840,0)),"")</f>
        <v>0.67500000000000004</v>
      </c>
      <c r="R584" s="223">
        <f>IFERROR(IF(Q584&gt;0,Q584-(TBIcalc!$H$9),""),"")</f>
        <v>0.52439999999999998</v>
      </c>
      <c r="S584" s="223">
        <f>IFERROR(INDEX('Ashed teabags wet'!$K$2:$K$2000,MATCH(L584,'Ashed teabags wet'!$A$2:$A$2000,0)),"")</f>
        <v>17.52988047808789</v>
      </c>
      <c r="T584" s="223">
        <f t="shared" si="47"/>
        <v>0.43247330677290707</v>
      </c>
      <c r="U584" s="224">
        <f>'WetLitterbags placem_collection'!E145</f>
        <v>42762</v>
      </c>
      <c r="V584" s="224">
        <f>IF('WetLitterbags placem_collection'!G145="","",'WetLitterbags placem_collection'!G145)</f>
        <v>42816</v>
      </c>
      <c r="W584" s="225">
        <f t="shared" si="45"/>
        <v>54</v>
      </c>
      <c r="X584" s="223">
        <f t="shared" si="48"/>
        <v>1.3368000000000002</v>
      </c>
      <c r="Y584" s="223">
        <f t="shared" si="49"/>
        <v>1.3260858744491624</v>
      </c>
      <c r="Z584">
        <f>IFERROR(INDEX([1]Rainfall_Wet!$O$2:$O$217,MATCH(C584, [1]Rainfall_Wet!$A$2:$A$217,0)),"")</f>
        <v>206.85140822299999</v>
      </c>
      <c r="AA584" s="226">
        <v>33.96</v>
      </c>
      <c r="AB584" s="226">
        <v>8.9200000000000017</v>
      </c>
      <c r="AC584" s="226">
        <v>57.12</v>
      </c>
      <c r="AD584" s="227" t="s">
        <v>2651</v>
      </c>
      <c r="AE584" s="226">
        <v>8.0720551996057193</v>
      </c>
      <c r="AF584">
        <f>IF('WetLitterbags placem_collection'!AB145="","",'WetLitterbags placem_collection'!AB145)</f>
        <v>2</v>
      </c>
      <c r="AG584">
        <f>IF('WetLitterbags placem_collection'!Z145="","",'WetLitterbags placem_collection'!Z145)</f>
        <v>23.4</v>
      </c>
      <c r="AH584" s="236" t="str">
        <f>IF('WetLitterbags placem_collection'!AA145="","",'WetLitterbags placem_collection'!AA145)</f>
        <v>G</v>
      </c>
      <c r="AI584">
        <f>IF('WetLitterbags placem_collection'!AC145="","",'WetLitterbags placem_collection'!AC145)</f>
        <v>1</v>
      </c>
      <c r="AJ584" s="233">
        <f>AVERAGE('WetLitterbags placem_collection'!S145,'WetLitterbags placem_collection'!U145)</f>
        <v>14.5</v>
      </c>
      <c r="AK584">
        <f>AVERAGE('WetLitterbags placem_collection'!R145,'WetLitterbags placem_collection'!T145)</f>
        <v>30.9</v>
      </c>
      <c r="AL584">
        <f>INDEX([2]Coordinates!$B$2:$B$197,MATCH(I584,[2]Coordinates!$J$2:$J$197,0))</f>
        <v>-2.3484970349999998</v>
      </c>
      <c r="AM584">
        <f>INDEX([2]Coordinates!$C$2:$C$197,MATCH(I584,[2]Coordinates!$J$2:$J$197,0))</f>
        <v>34.049979010000001</v>
      </c>
      <c r="AN584" t="str">
        <f>IF(ISNUMBER(SEARCH("C", 'WetLitterbags placem_collection'!$X145)),"YES","NO")</f>
        <v>NO</v>
      </c>
      <c r="AO584" t="str">
        <f>IF(ISNUMBER(SEARCH("H", 'WetLitterbags placem_collection'!$X145)),"YES","NO")</f>
        <v>NO</v>
      </c>
      <c r="AP584" t="str">
        <f>IF(ISNUMBER(SEARCH("R", 'WetLitterbags placem_collection'!$X145)),"YES","NO")</f>
        <v>YES</v>
      </c>
    </row>
    <row r="585" spans="1:42" ht="15" customHeight="1">
      <c r="A585" t="s">
        <v>3248</v>
      </c>
      <c r="B585" s="248" t="s">
        <v>2454</v>
      </c>
      <c r="C585" s="253">
        <f>'Dry_Litterbag Placem_Collection'!A146</f>
        <v>144</v>
      </c>
      <c r="D585" s="253" t="str">
        <f>'Dry_Litterbag Placem_Collection'!B146</f>
        <v xml:space="preserve">Mwantimba
</v>
      </c>
      <c r="E585" s="253" t="s">
        <v>2454</v>
      </c>
      <c r="F585" s="253" t="s">
        <v>20</v>
      </c>
      <c r="G585" s="253">
        <v>2</v>
      </c>
      <c r="H585" s="253" t="s">
        <v>3123</v>
      </c>
      <c r="I585" s="254" t="str">
        <f>'Dry_Litterbag Placem_Collection'!C146</f>
        <v>Wet_P2_T8</v>
      </c>
      <c r="J585" s="263" t="s">
        <v>2932</v>
      </c>
      <c r="K585" s="256" t="s">
        <v>1147</v>
      </c>
      <c r="L585" s="221" t="str">
        <f>'WetLitterbags placem_collection'!O146</f>
        <v>G894</v>
      </c>
      <c r="M585" s="223">
        <f>IFERROR(INDEX('Green_rooibos initial weight'!$C$5:$C$2000,MATCH(L585, 'Green_rooibos initial weight'!$A$5:$A$2000,0)),"")</f>
        <v>1.9630000000000001</v>
      </c>
      <c r="N585" s="223">
        <f>IFERROR(M585-(TBIcalc!$H$9+TBIcalc!$H$10),"")</f>
        <v>1.7132000000000001</v>
      </c>
      <c r="O585" s="378">
        <f>AVERAGE(Ashed_controlls!$K$2:$K$11)</f>
        <v>5.5147656768714146</v>
      </c>
      <c r="P585" s="223">
        <f t="shared" si="46"/>
        <v>1.618721034423839</v>
      </c>
      <c r="Q585" s="223">
        <f>IFERROR(INDEX('Both teabags AfterWet'!$C$3:$C$840,MATCH(L585,'Both teabags AfterWet'!$A$3:$A$840,0)),"")</f>
        <v>0.68200000000000005</v>
      </c>
      <c r="R585" s="223">
        <f>IFERROR(IF(Q585&gt;0,Q585-(TBIcalc!$H$9),""),"")</f>
        <v>0.53140000000000009</v>
      </c>
      <c r="S585" s="223">
        <f>IFERROR(INDEX('Ashed teabags wet'!$K$2:$K$2000,MATCH(L585,'Ashed teabags wet'!$A$2:$A$2000,0)),"")</f>
        <v>21.010901883052647</v>
      </c>
      <c r="T585" s="223">
        <f t="shared" si="47"/>
        <v>0.41974806739345832</v>
      </c>
      <c r="U585" s="224">
        <f>'WetLitterbags placem_collection'!E146</f>
        <v>42762</v>
      </c>
      <c r="V585" s="224">
        <f>IF('WetLitterbags placem_collection'!G146="","",'WetLitterbags placem_collection'!G146)</f>
        <v>42816</v>
      </c>
      <c r="W585" s="225">
        <f t="shared" si="45"/>
        <v>54</v>
      </c>
      <c r="X585" s="223">
        <f t="shared" si="48"/>
        <v>1.1818</v>
      </c>
      <c r="Y585" s="223">
        <f t="shared" si="49"/>
        <v>1.1989729670303806</v>
      </c>
      <c r="Z585">
        <f>IFERROR(INDEX([1]Rainfall_Wet!$O$2:$O$217,MATCH(C585, [1]Rainfall_Wet!$A$2:$A$217,0)),"")</f>
        <v>206.85140822299999</v>
      </c>
      <c r="AA585" s="226">
        <v>33.96</v>
      </c>
      <c r="AB585" s="226">
        <v>8.9200000000000017</v>
      </c>
      <c r="AC585" s="226">
        <v>57.12</v>
      </c>
      <c r="AD585" s="227" t="s">
        <v>2651</v>
      </c>
      <c r="AE585" s="226">
        <v>9.0720551996057193</v>
      </c>
      <c r="AF585">
        <f>IF('WetLitterbags placem_collection'!AB146="","",'WetLitterbags placem_collection'!AB146)</f>
        <v>2.5</v>
      </c>
      <c r="AG585">
        <f>IF('WetLitterbags placem_collection'!Z146="","",'WetLitterbags placem_collection'!Z146)</f>
        <v>19.8</v>
      </c>
      <c r="AH585" s="236" t="str">
        <f>IF('WetLitterbags placem_collection'!AA146="","",'WetLitterbags placem_collection'!AA146)</f>
        <v>G</v>
      </c>
      <c r="AI585">
        <f>IF('WetLitterbags placem_collection'!AC146="","",'WetLitterbags placem_collection'!AC146)</f>
        <v>1</v>
      </c>
      <c r="AJ585" s="233">
        <f>AVERAGE('WetLitterbags placem_collection'!S146,'WetLitterbags placem_collection'!U146)</f>
        <v>17.149999999999999</v>
      </c>
      <c r="AK585">
        <f>AVERAGE('WetLitterbags placem_collection'!R146,'WetLitterbags placem_collection'!T146)</f>
        <v>31.4</v>
      </c>
      <c r="AL585">
        <f>INDEX([2]Coordinates!$B$2:$B$197,MATCH(I585,[2]Coordinates!$J$2:$J$197,0))</f>
        <v>-2.3486560399999998</v>
      </c>
      <c r="AM585">
        <f>INDEX([2]Coordinates!$C$2:$C$197,MATCH(I585,[2]Coordinates!$J$2:$J$197,0))</f>
        <v>34.049895020000001</v>
      </c>
      <c r="AN585" t="str">
        <f>IF(ISNUMBER(SEARCH("C", 'WetLitterbags placem_collection'!$X146)),"YES","NO")</f>
        <v>NO</v>
      </c>
      <c r="AO585" t="str">
        <f>IF(ISNUMBER(SEARCH("H", 'WetLitterbags placem_collection'!$X146)),"YES","NO")</f>
        <v>NO</v>
      </c>
      <c r="AP585" t="str">
        <f>IF(ISNUMBER(SEARCH("R", 'WetLitterbags placem_collection'!$X146)),"YES","NO")</f>
        <v>YES</v>
      </c>
    </row>
    <row r="586" spans="1:42" ht="15" customHeight="1">
      <c r="A586" t="s">
        <v>3248</v>
      </c>
      <c r="B586" s="248" t="s">
        <v>2454</v>
      </c>
      <c r="C586" s="253">
        <f>'Dry_Litterbag Placem_Collection'!A147</f>
        <v>145</v>
      </c>
      <c r="D586" s="253" t="str">
        <f>'Dry_Litterbag Placem_Collection'!B147</f>
        <v xml:space="preserve">Mwantimba
</v>
      </c>
      <c r="E586" s="253" t="s">
        <v>2454</v>
      </c>
      <c r="F586" s="253" t="s">
        <v>20</v>
      </c>
      <c r="G586" s="253">
        <v>3</v>
      </c>
      <c r="H586" s="253" t="s">
        <v>3124</v>
      </c>
      <c r="I586" s="254" t="str">
        <f>'Dry_Litterbag Placem_Collection'!C147</f>
        <v>Wet_P3_T1</v>
      </c>
      <c r="J586" s="263" t="s">
        <v>2932</v>
      </c>
      <c r="K586" s="256" t="s">
        <v>1147</v>
      </c>
      <c r="L586" s="221" t="str">
        <f>'WetLitterbags placem_collection'!O147</f>
        <v>G653</v>
      </c>
      <c r="M586" s="223">
        <f>IFERROR(INDEX('Green_rooibos initial weight'!$C$5:$C$2000,MATCH(L586, 'Green_rooibos initial weight'!$A$5:$A$2000,0)),"")</f>
        <v>2.089</v>
      </c>
      <c r="N586" s="223">
        <f>IFERROR(M586-(TBIcalc!$H$9+TBIcalc!$H$10),"")</f>
        <v>1.8391999999999999</v>
      </c>
      <c r="O586" s="378">
        <f>AVERAGE(Ashed_controlls!$K$2:$K$11)</f>
        <v>5.5147656768714146</v>
      </c>
      <c r="P586" s="223">
        <f t="shared" si="46"/>
        <v>1.7377724296709809</v>
      </c>
      <c r="Q586" s="223">
        <f>IFERROR(INDEX('Both teabags AfterWet'!$C$3:$C$840,MATCH(L586,'Both teabags AfterWet'!$A$3:$A$840,0)),"")</f>
        <v>0.69799999999999995</v>
      </c>
      <c r="R586" s="223">
        <f>IFERROR(IF(Q586&gt;0,Q586-(TBIcalc!$H$9),""),"")</f>
        <v>0.54739999999999989</v>
      </c>
      <c r="S586" s="223">
        <f>IFERROR(INDEX('Ashed teabags wet'!$K$2:$K$2000,MATCH(L586,'Ashed teabags wet'!$A$2:$A$2000,0)),"")</f>
        <v>19.630709426627803</v>
      </c>
      <c r="T586" s="223">
        <f t="shared" si="47"/>
        <v>0.43994149659863935</v>
      </c>
      <c r="U586" s="224">
        <f>'WetLitterbags placem_collection'!E147</f>
        <v>42762</v>
      </c>
      <c r="V586" s="224">
        <f>IF('WetLitterbags placem_collection'!G147="","",'WetLitterbags placem_collection'!G147)</f>
        <v>42815</v>
      </c>
      <c r="W586" s="225">
        <f t="shared" si="45"/>
        <v>53</v>
      </c>
      <c r="X586" s="223">
        <f t="shared" si="48"/>
        <v>1.2918000000000001</v>
      </c>
      <c r="Y586" s="223">
        <f t="shared" si="49"/>
        <v>1.2978309330723414</v>
      </c>
      <c r="Z586">
        <f>IFERROR(INDEX([1]Rainfall_Wet!$O$2:$O$217,MATCH(C586, [1]Rainfall_Wet!$A$2:$A$217,0)),"")</f>
        <v>205.76139209600001</v>
      </c>
      <c r="AA586" s="226">
        <v>39.96</v>
      </c>
      <c r="AB586" s="226">
        <v>12.920000000000002</v>
      </c>
      <c r="AC586" s="226">
        <v>47.12</v>
      </c>
      <c r="AD586" s="227" t="s">
        <v>2655</v>
      </c>
      <c r="AE586" s="226">
        <v>1.6549531789058647</v>
      </c>
      <c r="AF586">
        <f>IF('WetLitterbags placem_collection'!AB147="","",'WetLitterbags placem_collection'!AB147)</f>
        <v>3.95</v>
      </c>
      <c r="AG586">
        <f>IF('WetLitterbags placem_collection'!Z147="","",'WetLitterbags placem_collection'!Z147)</f>
        <v>13</v>
      </c>
      <c r="AH586" s="236" t="str">
        <f>IF('WetLitterbags placem_collection'!AA147="","",'WetLitterbags placem_collection'!AA147)</f>
        <v>O</v>
      </c>
      <c r="AI586">
        <f>IF('WetLitterbags placem_collection'!AC147="","",'WetLitterbags placem_collection'!AC147)</f>
        <v>0</v>
      </c>
      <c r="AJ586" s="233">
        <f>AVERAGE('WetLitterbags placem_collection'!S147,'WetLitterbags placem_collection'!U147)</f>
        <v>27.200000000000003</v>
      </c>
      <c r="AK586">
        <f>AVERAGE('WetLitterbags placem_collection'!R147,'WetLitterbags placem_collection'!T147)</f>
        <v>30.9</v>
      </c>
      <c r="AL586">
        <f>INDEX([2]Coordinates!$B$2:$B$197,MATCH(I586,[2]Coordinates!$J$2:$J$197,0))</f>
        <v>-2.3675269729999999</v>
      </c>
      <c r="AM586">
        <f>INDEX([2]Coordinates!$C$2:$C$197,MATCH(I586,[2]Coordinates!$J$2:$J$197,0))</f>
        <v>34.06035799</v>
      </c>
      <c r="AN586" t="str">
        <f>IF(ISNUMBER(SEARCH("C", 'WetLitterbags placem_collection'!$X147)),"YES","NO")</f>
        <v>NO</v>
      </c>
      <c r="AO586" t="str">
        <f>IF(ISNUMBER(SEARCH("H", 'WetLitterbags placem_collection'!$X147)),"YES","NO")</f>
        <v>NO</v>
      </c>
      <c r="AP586" t="str">
        <f>IF(ISNUMBER(SEARCH("R", 'WetLitterbags placem_collection'!$X147)),"YES","NO")</f>
        <v>NO</v>
      </c>
    </row>
    <row r="587" spans="1:42" ht="15" customHeight="1">
      <c r="A587" t="s">
        <v>3248</v>
      </c>
      <c r="B587" s="248" t="s">
        <v>2454</v>
      </c>
      <c r="C587" s="253">
        <f>'Dry_Litterbag Placem_Collection'!A148</f>
        <v>146</v>
      </c>
      <c r="D587" s="253" t="str">
        <f>'Dry_Litterbag Placem_Collection'!B148</f>
        <v xml:space="preserve">Mwantimba
</v>
      </c>
      <c r="E587" s="253" t="s">
        <v>2454</v>
      </c>
      <c r="F587" s="253" t="s">
        <v>20</v>
      </c>
      <c r="G587" s="253">
        <v>3</v>
      </c>
      <c r="H587" s="253" t="s">
        <v>3124</v>
      </c>
      <c r="I587" s="254" t="str">
        <f>'Dry_Litterbag Placem_Collection'!C148</f>
        <v>Wet_P3_T2</v>
      </c>
      <c r="J587" s="263" t="s">
        <v>2932</v>
      </c>
      <c r="K587" s="256" t="s">
        <v>1147</v>
      </c>
      <c r="L587" s="221" t="str">
        <f>'WetLitterbags placem_collection'!O148</f>
        <v>G762</v>
      </c>
      <c r="M587" s="223">
        <f>IFERROR(INDEX('Green_rooibos initial weight'!$C$5:$C$2000,MATCH(L587, 'Green_rooibos initial weight'!$A$5:$A$2000,0)),"")</f>
        <v>2.016</v>
      </c>
      <c r="N587" s="223">
        <f>IFERROR(M587-(TBIcalc!$H$9+TBIcalc!$H$10),"")</f>
        <v>1.7662</v>
      </c>
      <c r="O587" s="378">
        <f>AVERAGE(Ashed_controlls!$K$2:$K$11)</f>
        <v>5.5147656768714146</v>
      </c>
      <c r="P587" s="223">
        <f t="shared" si="46"/>
        <v>1.668798208615097</v>
      </c>
      <c r="Q587" s="223">
        <f>IFERROR(INDEX('Both teabags AfterWet'!$C$3:$C$840,MATCH(L587,'Both teabags AfterWet'!$A$3:$A$840,0)),"")</f>
        <v>0.59199999999999997</v>
      </c>
      <c r="R587" s="223">
        <f>IFERROR(IF(Q587&gt;0,Q587-(TBIcalc!$H$9),""),"")</f>
        <v>0.44139999999999996</v>
      </c>
      <c r="S587" s="223">
        <f>IFERROR(INDEX('Ashed teabags wet'!$K$2:$K$2000,MATCH(L587,'Ashed teabags wet'!$A$2:$A$2000,0)),"")</f>
        <v>17.030567685589826</v>
      </c>
      <c r="T587" s="223">
        <f t="shared" si="47"/>
        <v>0.36622707423580647</v>
      </c>
      <c r="U587" s="224">
        <f>'WetLitterbags placem_collection'!E148</f>
        <v>42762</v>
      </c>
      <c r="V587" s="224">
        <f>IF('WetLitterbags placem_collection'!G148="","",'WetLitterbags placem_collection'!G148)</f>
        <v>42815</v>
      </c>
      <c r="W587" s="225">
        <f t="shared" si="45"/>
        <v>53</v>
      </c>
      <c r="X587" s="223">
        <f t="shared" si="48"/>
        <v>1.3248</v>
      </c>
      <c r="Y587" s="223">
        <f t="shared" si="49"/>
        <v>1.3025711343792905</v>
      </c>
      <c r="Z587">
        <f>IFERROR(INDEX([1]Rainfall_Wet!$O$2:$O$217,MATCH(C587, [1]Rainfall_Wet!$A$2:$A$217,0)),"")</f>
        <v>205.76139209600001</v>
      </c>
      <c r="AA587" s="226">
        <v>39.96</v>
      </c>
      <c r="AB587" s="226">
        <v>12.920000000000002</v>
      </c>
      <c r="AC587" s="226">
        <v>47.12</v>
      </c>
      <c r="AD587" s="227" t="s">
        <v>2655</v>
      </c>
      <c r="AE587" s="226">
        <v>2.6549531789058598</v>
      </c>
      <c r="AF587">
        <f>IF('WetLitterbags placem_collection'!AB148="","",'WetLitterbags placem_collection'!AB148)</f>
        <v>2.75</v>
      </c>
      <c r="AG587">
        <f>IF('WetLitterbags placem_collection'!Z148="","",'WetLitterbags placem_collection'!Z148)</f>
        <v>17.7</v>
      </c>
      <c r="AH587" s="236" t="str">
        <f>IF('WetLitterbags placem_collection'!AA148="","",'WetLitterbags placem_collection'!AA148)</f>
        <v>O</v>
      </c>
      <c r="AI587">
        <f>IF('WetLitterbags placem_collection'!AC148="","",'WetLitterbags placem_collection'!AC148)</f>
        <v>1</v>
      </c>
      <c r="AJ587" s="233">
        <f>AVERAGE('WetLitterbags placem_collection'!S148,'WetLitterbags placem_collection'!U148)</f>
        <v>22.65</v>
      </c>
      <c r="AK587">
        <f>AVERAGE('WetLitterbags placem_collection'!R148,'WetLitterbags placem_collection'!T148)</f>
        <v>30.549999999999997</v>
      </c>
      <c r="AL587">
        <f>INDEX([2]Coordinates!$B$2:$B$197,MATCH(I587,[2]Coordinates!$J$2:$J$197,0))</f>
        <v>-2.3675380370000001</v>
      </c>
      <c r="AM587">
        <f>INDEX([2]Coordinates!$C$2:$C$197,MATCH(I587,[2]Coordinates!$J$2:$J$197,0))</f>
        <v>34.060381960000001</v>
      </c>
      <c r="AN587" t="str">
        <f>IF(ISNUMBER(SEARCH("C", 'WetLitterbags placem_collection'!$X148)),"YES","NO")</f>
        <v>NO</v>
      </c>
      <c r="AO587" t="str">
        <f>IF(ISNUMBER(SEARCH("H", 'WetLitterbags placem_collection'!$X148)),"YES","NO")</f>
        <v>NO</v>
      </c>
      <c r="AP587" t="str">
        <f>IF(ISNUMBER(SEARCH("R", 'WetLitterbags placem_collection'!$X148)),"YES","NO")</f>
        <v>YES</v>
      </c>
    </row>
    <row r="588" spans="1:42" ht="15" customHeight="1">
      <c r="A588" t="s">
        <v>3248</v>
      </c>
      <c r="B588" s="248" t="s">
        <v>2454</v>
      </c>
      <c r="C588" s="253">
        <f>'Dry_Litterbag Placem_Collection'!A149</f>
        <v>147</v>
      </c>
      <c r="D588" s="253" t="str">
        <f>'Dry_Litterbag Placem_Collection'!B149</f>
        <v xml:space="preserve">Mwantimba
</v>
      </c>
      <c r="E588" s="253" t="s">
        <v>2454</v>
      </c>
      <c r="F588" s="253" t="s">
        <v>20</v>
      </c>
      <c r="G588" s="253">
        <v>3</v>
      </c>
      <c r="H588" s="253" t="s">
        <v>3124</v>
      </c>
      <c r="I588" s="254" t="str">
        <f>'Dry_Litterbag Placem_Collection'!C149</f>
        <v>Wet_P3_T3</v>
      </c>
      <c r="J588" s="263" t="s">
        <v>2932</v>
      </c>
      <c r="K588" s="256" t="s">
        <v>1147</v>
      </c>
      <c r="L588" s="221" t="str">
        <f>'WetLitterbags placem_collection'!O149</f>
        <v>G878</v>
      </c>
      <c r="M588" s="223">
        <f>IFERROR(INDEX('Green_rooibos initial weight'!$C$5:$C$2000,MATCH(L588, 'Green_rooibos initial weight'!$A$5:$A$2000,0)),"")</f>
        <v>2.0939999999999999</v>
      </c>
      <c r="N588" s="223">
        <f>IFERROR(M588-(TBIcalc!$H$9+TBIcalc!$H$10),"")</f>
        <v>1.8441999999999998</v>
      </c>
      <c r="O588" s="378">
        <f>AVERAGE(Ashed_controlls!$K$2:$K$11)</f>
        <v>5.5147656768714146</v>
      </c>
      <c r="P588" s="223">
        <f t="shared" si="46"/>
        <v>1.7424966913871371</v>
      </c>
      <c r="Q588" s="223">
        <f>IFERROR(INDEX('Both teabags AfterWet'!$C$3:$C$840,MATCH(L588,'Both teabags AfterWet'!$A$3:$A$840,0)),"")</f>
        <v>0.628</v>
      </c>
      <c r="R588" s="223">
        <f>IFERROR(IF(Q588&gt;0,Q588-(TBIcalc!$H$9),""),"")</f>
        <v>0.47739999999999999</v>
      </c>
      <c r="S588" s="223">
        <f>IFERROR(INDEX('Ashed teabags wet'!$K$2:$K$2000,MATCH(L588,'Ashed teabags wet'!$A$2:$A$2000,0)),"")</f>
        <v>18.664047151277249</v>
      </c>
      <c r="T588" s="223">
        <f t="shared" si="47"/>
        <v>0.38829783889980241</v>
      </c>
      <c r="U588" s="224">
        <f>'WetLitterbags placem_collection'!E149</f>
        <v>42762</v>
      </c>
      <c r="V588" s="224">
        <f>IF('WetLitterbags placem_collection'!G149="","",'WetLitterbags placem_collection'!G149)</f>
        <v>42816</v>
      </c>
      <c r="W588" s="225">
        <f t="shared" si="45"/>
        <v>54</v>
      </c>
      <c r="X588" s="223">
        <f t="shared" si="48"/>
        <v>1.3667999999999998</v>
      </c>
      <c r="Y588" s="223">
        <f t="shared" si="49"/>
        <v>1.3541988524873347</v>
      </c>
      <c r="Z588">
        <f>IFERROR(INDEX([1]Rainfall_Wet!$O$2:$O$217,MATCH(C588, [1]Rainfall_Wet!$A$2:$A$217,0)),"")</f>
        <v>206.85140822299999</v>
      </c>
      <c r="AA588" s="226">
        <v>39.96</v>
      </c>
      <c r="AB588" s="226">
        <v>12.920000000000002</v>
      </c>
      <c r="AC588" s="226">
        <v>47.12</v>
      </c>
      <c r="AD588" s="227" t="s">
        <v>2655</v>
      </c>
      <c r="AE588" s="226">
        <v>3.6549531789058598</v>
      </c>
      <c r="AF588">
        <f>IF('WetLitterbags placem_collection'!AB149="","",'WetLitterbags placem_collection'!AB149)</f>
        <v>3.6</v>
      </c>
      <c r="AG588">
        <f>IF('WetLitterbags placem_collection'!Z149="","",'WetLitterbags placem_collection'!Z149)</f>
        <v>19</v>
      </c>
      <c r="AH588" s="236" t="str">
        <f>IF('WetLitterbags placem_collection'!AA149="","",'WetLitterbags placem_collection'!AA149)</f>
        <v>M</v>
      </c>
      <c r="AI588">
        <f>IF('WetLitterbags placem_collection'!AC149="","",'WetLitterbags placem_collection'!AC149)</f>
        <v>1</v>
      </c>
      <c r="AJ588" s="233">
        <f>AVERAGE('WetLitterbags placem_collection'!S149,'WetLitterbags placem_collection'!U149)</f>
        <v>23.35</v>
      </c>
      <c r="AK588">
        <f>AVERAGE('WetLitterbags placem_collection'!R149,'WetLitterbags placem_collection'!T149)</f>
        <v>29.9</v>
      </c>
      <c r="AL588">
        <f>INDEX([2]Coordinates!$B$2:$B$197,MATCH(I588,[2]Coordinates!$J$2:$J$197,0))</f>
        <v>-2.3675780180000001</v>
      </c>
      <c r="AM588">
        <f>INDEX([2]Coordinates!$C$2:$C$197,MATCH(I588,[2]Coordinates!$J$2:$J$197,0))</f>
        <v>34.060323029999999</v>
      </c>
      <c r="AN588" t="str">
        <f>IF(ISNUMBER(SEARCH("C", 'WetLitterbags placem_collection'!$X149)),"YES","NO")</f>
        <v>NO</v>
      </c>
      <c r="AO588" t="str">
        <f>IF(ISNUMBER(SEARCH("H", 'WetLitterbags placem_collection'!$X149)),"YES","NO")</f>
        <v>NO</v>
      </c>
      <c r="AP588" t="str">
        <f>IF(ISNUMBER(SEARCH("R", 'WetLitterbags placem_collection'!$X149)),"YES","NO")</f>
        <v>NO</v>
      </c>
    </row>
    <row r="589" spans="1:42" ht="15" customHeight="1">
      <c r="A589" t="s">
        <v>3248</v>
      </c>
      <c r="B589" s="248" t="s">
        <v>2454</v>
      </c>
      <c r="C589" s="253">
        <f>'Dry_Litterbag Placem_Collection'!A150</f>
        <v>148</v>
      </c>
      <c r="D589" s="253" t="str">
        <f>'Dry_Litterbag Placem_Collection'!B150</f>
        <v xml:space="preserve">Mwantimba
</v>
      </c>
      <c r="E589" s="253" t="s">
        <v>2454</v>
      </c>
      <c r="F589" s="253" t="s">
        <v>20</v>
      </c>
      <c r="G589" s="253">
        <v>3</v>
      </c>
      <c r="H589" s="253" t="s">
        <v>3124</v>
      </c>
      <c r="I589" s="254" t="str">
        <f>'Dry_Litterbag Placem_Collection'!C150</f>
        <v>Wet_P3_T4</v>
      </c>
      <c r="J589" s="263" t="s">
        <v>2932</v>
      </c>
      <c r="K589" s="256" t="s">
        <v>1147</v>
      </c>
      <c r="L589" s="221" t="str">
        <f>'WetLitterbags placem_collection'!O150</f>
        <v>G807</v>
      </c>
      <c r="M589" s="223">
        <f>IFERROR(INDEX('Green_rooibos initial weight'!$C$5:$C$2000,MATCH(L589, 'Green_rooibos initial weight'!$A$5:$A$2000,0)),"")</f>
        <v>2.0310000000000001</v>
      </c>
      <c r="N589" s="223">
        <f>IFERROR(M589-(TBIcalc!$H$9+TBIcalc!$H$10),"")</f>
        <v>1.7812000000000001</v>
      </c>
      <c r="O589" s="378">
        <f>AVERAGE(Ashed_controlls!$K$2:$K$11)</f>
        <v>5.5147656768714146</v>
      </c>
      <c r="P589" s="223">
        <f t="shared" si="46"/>
        <v>1.6829709937635664</v>
      </c>
      <c r="Q589" s="223">
        <f>IFERROR(INDEX('Both teabags AfterWet'!$C$3:$C$840,MATCH(L589,'Both teabags AfterWet'!$A$3:$A$840,0)),"")</f>
        <v>0.74309999999999998</v>
      </c>
      <c r="R589" s="223">
        <f>IFERROR(IF(Q589&gt;0,Q589-(TBIcalc!$H$9),""),"")</f>
        <v>0.59250000000000003</v>
      </c>
      <c r="S589" s="223">
        <f>IFERROR(INDEX('Ashed teabags wet'!$K$2:$K$2000,MATCH(L589,'Ashed teabags wet'!$A$2:$A$2000,0)),"")</f>
        <v>19.203072491598501</v>
      </c>
      <c r="T589" s="223">
        <f t="shared" si="47"/>
        <v>0.47872179548727889</v>
      </c>
      <c r="U589" s="224">
        <f>'WetLitterbags placem_collection'!E150</f>
        <v>42762</v>
      </c>
      <c r="V589" s="224">
        <f>IF('WetLitterbags placem_collection'!G150="","",'WetLitterbags placem_collection'!G150)</f>
        <v>42816</v>
      </c>
      <c r="W589" s="225">
        <f t="shared" si="45"/>
        <v>54</v>
      </c>
      <c r="X589" s="223">
        <f t="shared" si="48"/>
        <v>1.1887000000000001</v>
      </c>
      <c r="Y589" s="223">
        <f t="shared" si="49"/>
        <v>1.2042491982762875</v>
      </c>
      <c r="Z589">
        <f>IFERROR(INDEX([1]Rainfall_Wet!$O$2:$O$217,MATCH(C589, [1]Rainfall_Wet!$A$2:$A$217,0)),"")</f>
        <v>206.85140822299999</v>
      </c>
      <c r="AA589" s="226">
        <v>39.96</v>
      </c>
      <c r="AB589" s="226">
        <v>12.920000000000002</v>
      </c>
      <c r="AC589" s="226">
        <v>47.12</v>
      </c>
      <c r="AD589" s="227" t="s">
        <v>2655</v>
      </c>
      <c r="AE589" s="226">
        <v>4.6549531789058696</v>
      </c>
      <c r="AF589">
        <f>IF('WetLitterbags placem_collection'!AB150="","",'WetLitterbags placem_collection'!AB150)</f>
        <v>4.9000000000000004</v>
      </c>
      <c r="AG589">
        <f>IF('WetLitterbags placem_collection'!Z150="","",'WetLitterbags placem_collection'!Z150)</f>
        <v>17.489999999999998</v>
      </c>
      <c r="AH589" s="236" t="str">
        <f>IF('WetLitterbags placem_collection'!AA150="","",'WetLitterbags placem_collection'!AA150)</f>
        <v>M</v>
      </c>
      <c r="AI589">
        <f>IF('WetLitterbags placem_collection'!AC150="","",'WetLitterbags placem_collection'!AC150)</f>
        <v>1</v>
      </c>
      <c r="AJ589" s="233">
        <f>AVERAGE('WetLitterbags placem_collection'!S150,'WetLitterbags placem_collection'!U150)</f>
        <v>28.2</v>
      </c>
      <c r="AK589">
        <f>AVERAGE('WetLitterbags placem_collection'!R150,'WetLitterbags placem_collection'!T150)</f>
        <v>25.299999999999997</v>
      </c>
      <c r="AL589">
        <f>INDEX([2]Coordinates!$B$2:$B$197,MATCH(I589,[2]Coordinates!$J$2:$J$197,0))</f>
        <v>-2.3676269689999998</v>
      </c>
      <c r="AM589">
        <f>INDEX([2]Coordinates!$C$2:$C$197,MATCH(I589,[2]Coordinates!$J$2:$J$197,0))</f>
        <v>34.060310960000002</v>
      </c>
      <c r="AN589" t="str">
        <f>IF(ISNUMBER(SEARCH("C", 'WetLitterbags placem_collection'!$X150)),"YES","NO")</f>
        <v>NO</v>
      </c>
      <c r="AO589" t="str">
        <f>IF(ISNUMBER(SEARCH("H", 'WetLitterbags placem_collection'!$X150)),"YES","NO")</f>
        <v>NO</v>
      </c>
      <c r="AP589" t="str">
        <f>IF(ISNUMBER(SEARCH("R", 'WetLitterbags placem_collection'!$X150)),"YES","NO")</f>
        <v>YES</v>
      </c>
    </row>
    <row r="590" spans="1:42" ht="15" customHeight="1">
      <c r="A590" t="s">
        <v>3248</v>
      </c>
      <c r="B590" s="248" t="s">
        <v>2454</v>
      </c>
      <c r="C590" s="253">
        <f>'Dry_Litterbag Placem_Collection'!A151</f>
        <v>149</v>
      </c>
      <c r="D590" s="253" t="str">
        <f>'Dry_Litterbag Placem_Collection'!B151</f>
        <v xml:space="preserve">Mwantimba
</v>
      </c>
      <c r="E590" s="253" t="s">
        <v>2454</v>
      </c>
      <c r="F590" s="253" t="s">
        <v>20</v>
      </c>
      <c r="G590" s="253">
        <v>3</v>
      </c>
      <c r="H590" s="253" t="s">
        <v>3124</v>
      </c>
      <c r="I590" s="254" t="str">
        <f>'Dry_Litterbag Placem_Collection'!C151</f>
        <v>Wet_P3_T5</v>
      </c>
      <c r="J590" s="263" t="s">
        <v>2932</v>
      </c>
      <c r="K590" s="256" t="s">
        <v>1147</v>
      </c>
      <c r="L590" s="221" t="str">
        <f>'WetLitterbags placem_collection'!O151</f>
        <v>G696</v>
      </c>
      <c r="M590" s="223">
        <f>IFERROR(INDEX('Green_rooibos initial weight'!$C$5:$C$2000,MATCH(L590, 'Green_rooibos initial weight'!$A$5:$A$2000,0)),"")</f>
        <v>2.036</v>
      </c>
      <c r="N590" s="223">
        <f>IFERROR(M590-(TBIcalc!$H$9+TBIcalc!$H$10),"")</f>
        <v>1.7862</v>
      </c>
      <c r="O590" s="378">
        <f>AVERAGE(Ashed_controlls!$K$2:$K$11)</f>
        <v>5.5147656768714146</v>
      </c>
      <c r="P590" s="223">
        <f t="shared" si="46"/>
        <v>1.6876952554797229</v>
      </c>
      <c r="Q590" s="223">
        <f>IFERROR(INDEX('Both teabags AfterWet'!$C$3:$C$840,MATCH(L590,'Both teabags AfterWet'!$A$3:$A$840,0)),"")</f>
        <v>0.82469999999999999</v>
      </c>
      <c r="R590" s="223">
        <f>IFERROR(IF(Q590&gt;0,Q590-(TBIcalc!$H$9),""),"")</f>
        <v>0.67409999999999992</v>
      </c>
      <c r="S590" s="223">
        <f>IFERROR(INDEX('Ashed teabags wet'!$K$2:$K$2000,MATCH(L590,'Ashed teabags wet'!$A$2:$A$2000,0)),"")</f>
        <v>31.23781676413266</v>
      </c>
      <c r="T590" s="223">
        <f t="shared" si="47"/>
        <v>0.46352587719298166</v>
      </c>
      <c r="U590" s="224">
        <f>'WetLitterbags placem_collection'!E151</f>
        <v>42762</v>
      </c>
      <c r="V590" s="224">
        <f>IF('WetLitterbags placem_collection'!G151="","",'WetLitterbags placem_collection'!G151)</f>
        <v>42816</v>
      </c>
      <c r="W590" s="225">
        <f t="shared" si="45"/>
        <v>54</v>
      </c>
      <c r="X590" s="223">
        <f t="shared" si="48"/>
        <v>1.1121000000000001</v>
      </c>
      <c r="Y590" s="223">
        <f t="shared" si="49"/>
        <v>1.2241693782867413</v>
      </c>
      <c r="Z590">
        <f>IFERROR(INDEX([1]Rainfall_Wet!$O$2:$O$217,MATCH(C590, [1]Rainfall_Wet!$A$2:$A$217,0)),"")</f>
        <v>206.85140822299999</v>
      </c>
      <c r="AA590" s="226">
        <v>39.96</v>
      </c>
      <c r="AB590" s="226">
        <v>12.920000000000002</v>
      </c>
      <c r="AC590" s="226">
        <v>47.12</v>
      </c>
      <c r="AD590" s="227" t="s">
        <v>2655</v>
      </c>
      <c r="AE590" s="226">
        <v>5.6549531789058696</v>
      </c>
      <c r="AF590">
        <f>IF('WetLitterbags placem_collection'!AB151="","",'WetLitterbags placem_collection'!AB151)</f>
        <v>2.8</v>
      </c>
      <c r="AG590">
        <f>IF('WetLitterbags placem_collection'!Z151="","",'WetLitterbags placem_collection'!Z151)</f>
        <v>13</v>
      </c>
      <c r="AH590" s="236" t="str">
        <f>IF('WetLitterbags placem_collection'!AA151="","",'WetLitterbags placem_collection'!AA151)</f>
        <v>M</v>
      </c>
      <c r="AI590">
        <f>IF('WetLitterbags placem_collection'!AC151="","",'WetLitterbags placem_collection'!AC151)</f>
        <v>1</v>
      </c>
      <c r="AJ590" s="233">
        <f>AVERAGE('WetLitterbags placem_collection'!S151,'WetLitterbags placem_collection'!U151)</f>
        <v>25.4</v>
      </c>
      <c r="AK590">
        <f>AVERAGE('WetLitterbags placem_collection'!R151,'WetLitterbags placem_collection'!T151)</f>
        <v>26.9</v>
      </c>
      <c r="AL590">
        <f>INDEX([2]Coordinates!$B$2:$B$197,MATCH(I590,[2]Coordinates!$J$2:$J$197,0))</f>
        <v>-2.3677179960000001</v>
      </c>
      <c r="AM590">
        <f>INDEX([2]Coordinates!$C$2:$C$197,MATCH(I590,[2]Coordinates!$J$2:$J$197,0))</f>
        <v>34.060324960000003</v>
      </c>
      <c r="AN590" t="str">
        <f>IF(ISNUMBER(SEARCH("C", 'WetLitterbags placem_collection'!$X151)),"YES","NO")</f>
        <v>NO</v>
      </c>
      <c r="AO590" t="str">
        <f>IF(ISNUMBER(SEARCH("H", 'WetLitterbags placem_collection'!$X151)),"YES","NO")</f>
        <v>NO</v>
      </c>
      <c r="AP590" t="str">
        <f>IF(ISNUMBER(SEARCH("R", 'WetLitterbags placem_collection'!$X151)),"YES","NO")</f>
        <v>NO</v>
      </c>
    </row>
    <row r="591" spans="1:42" ht="15" customHeight="1">
      <c r="A591" t="s">
        <v>3248</v>
      </c>
      <c r="B591" s="248" t="s">
        <v>2454</v>
      </c>
      <c r="C591" s="253">
        <f>'Dry_Litterbag Placem_Collection'!A152</f>
        <v>150</v>
      </c>
      <c r="D591" s="253" t="str">
        <f>'Dry_Litterbag Placem_Collection'!B152</f>
        <v xml:space="preserve">Mwantimba
</v>
      </c>
      <c r="E591" s="253" t="s">
        <v>2454</v>
      </c>
      <c r="F591" s="253" t="s">
        <v>20</v>
      </c>
      <c r="G591" s="253">
        <v>3</v>
      </c>
      <c r="H591" s="253" t="s">
        <v>3124</v>
      </c>
      <c r="I591" s="254" t="str">
        <f>'Dry_Litterbag Placem_Collection'!C152</f>
        <v>Wet_P3_T6</v>
      </c>
      <c r="J591" s="263" t="s">
        <v>2932</v>
      </c>
      <c r="K591" s="256" t="s">
        <v>1147</v>
      </c>
      <c r="L591" s="221" t="str">
        <f>'WetLitterbags placem_collection'!O152</f>
        <v>G801</v>
      </c>
      <c r="M591" s="223">
        <f>IFERROR(INDEX('Green_rooibos initial weight'!$C$5:$C$2000,MATCH(L591, 'Green_rooibos initial weight'!$A$5:$A$2000,0)),"")</f>
        <v>2.0720000000000001</v>
      </c>
      <c r="N591" s="223">
        <f>IFERROR(M591-(TBIcalc!$H$9+TBIcalc!$H$10),"")</f>
        <v>1.8222</v>
      </c>
      <c r="O591" s="378">
        <f>AVERAGE(Ashed_controlls!$K$2:$K$11)</f>
        <v>5.5147656768714146</v>
      </c>
      <c r="P591" s="223">
        <f t="shared" si="46"/>
        <v>1.7217099398360491</v>
      </c>
      <c r="Q591" s="223">
        <f>IFERROR(INDEX('Both teabags AfterWet'!$C$3:$C$840,MATCH(L591,'Both teabags AfterWet'!$A$3:$A$840,0)),"")</f>
        <v>0.60099999999999998</v>
      </c>
      <c r="R591" s="223">
        <f>IFERROR(IF(Q591&gt;0,Q591-(TBIcalc!$H$9),""),"")</f>
        <v>0.45039999999999997</v>
      </c>
      <c r="S591" s="223">
        <f>IFERROR(INDEX('Ashed teabags wet'!$K$2:$K$2000,MATCH(L591,'Ashed teabags wet'!$A$2:$A$2000,0)),"")</f>
        <v>20.08862629246671</v>
      </c>
      <c r="T591" s="223">
        <f t="shared" si="47"/>
        <v>0.35992082717872992</v>
      </c>
      <c r="U591" s="224">
        <f>'WetLitterbags placem_collection'!E152</f>
        <v>42762</v>
      </c>
      <c r="V591" s="224">
        <f>IF('WetLitterbags placem_collection'!G152="","",'WetLitterbags placem_collection'!G152)</f>
        <v>42816</v>
      </c>
      <c r="W591" s="225">
        <f t="shared" si="45"/>
        <v>54</v>
      </c>
      <c r="X591" s="223">
        <f t="shared" si="48"/>
        <v>1.3718000000000001</v>
      </c>
      <c r="Y591" s="223">
        <f t="shared" si="49"/>
        <v>1.3617891126573192</v>
      </c>
      <c r="Z591">
        <f>IFERROR(INDEX([1]Rainfall_Wet!$O$2:$O$217,MATCH(C591, [1]Rainfall_Wet!$A$2:$A$217,0)),"")</f>
        <v>206.85140822299999</v>
      </c>
      <c r="AA591" s="226">
        <v>39.96</v>
      </c>
      <c r="AB591" s="226">
        <v>12.920000000000002</v>
      </c>
      <c r="AC591" s="226">
        <v>47.12</v>
      </c>
      <c r="AD591" s="227" t="s">
        <v>2655</v>
      </c>
      <c r="AE591" s="226">
        <v>6.6549531789058696</v>
      </c>
      <c r="AF591">
        <f>IF('WetLitterbags placem_collection'!AB152="","",'WetLitterbags placem_collection'!AB152)</f>
        <v>2.75</v>
      </c>
      <c r="AG591">
        <f>IF('WetLitterbags placem_collection'!Z152="","",'WetLitterbags placem_collection'!Z152)</f>
        <v>19</v>
      </c>
      <c r="AH591" s="236" t="str">
        <f>IF('WetLitterbags placem_collection'!AA152="","",'WetLitterbags placem_collection'!AA152)</f>
        <v>O</v>
      </c>
      <c r="AI591">
        <f>IF('WetLitterbags placem_collection'!AC152="","",'WetLitterbags placem_collection'!AC152)</f>
        <v>0</v>
      </c>
      <c r="AJ591" s="233">
        <f>AVERAGE('WetLitterbags placem_collection'!S152,'WetLitterbags placem_collection'!U152)</f>
        <v>22.55</v>
      </c>
      <c r="AK591">
        <f>AVERAGE('WetLitterbags placem_collection'!R152,'WetLitterbags placem_collection'!T152)</f>
        <v>24.75</v>
      </c>
      <c r="AL591">
        <f>INDEX([2]Coordinates!$B$2:$B$197,MATCH(I591,[2]Coordinates!$J$2:$J$197,0))</f>
        <v>-2.3675230329999999</v>
      </c>
      <c r="AM591">
        <f>INDEX([2]Coordinates!$C$2:$C$197,MATCH(I591,[2]Coordinates!$J$2:$J$197,0))</f>
        <v>34.060512969999998</v>
      </c>
      <c r="AN591" t="str">
        <f>IF(ISNUMBER(SEARCH("C", 'WetLitterbags placem_collection'!$X152)),"YES","NO")</f>
        <v>NO</v>
      </c>
      <c r="AO591" t="str">
        <f>IF(ISNUMBER(SEARCH("H", 'WetLitterbags placem_collection'!$X152)),"YES","NO")</f>
        <v>NO</v>
      </c>
      <c r="AP591" t="str">
        <f>IF(ISNUMBER(SEARCH("R", 'WetLitterbags placem_collection'!$X152)),"YES","NO")</f>
        <v>NO</v>
      </c>
    </row>
    <row r="592" spans="1:42" ht="15" customHeight="1">
      <c r="A592" t="s">
        <v>3248</v>
      </c>
      <c r="B592" s="248" t="s">
        <v>2454</v>
      </c>
      <c r="C592" s="253">
        <f>'Dry_Litterbag Placem_Collection'!A153</f>
        <v>151</v>
      </c>
      <c r="D592" s="253" t="str">
        <f>'Dry_Litterbag Placem_Collection'!B153</f>
        <v xml:space="preserve">Mwantimba
</v>
      </c>
      <c r="E592" s="253" t="s">
        <v>2454</v>
      </c>
      <c r="F592" s="253" t="s">
        <v>20</v>
      </c>
      <c r="G592" s="253">
        <v>3</v>
      </c>
      <c r="H592" s="253" t="s">
        <v>3124</v>
      </c>
      <c r="I592" s="254" t="str">
        <f>'Dry_Litterbag Placem_Collection'!C153</f>
        <v>Wet_P3_T7</v>
      </c>
      <c r="J592" s="263" t="s">
        <v>2932</v>
      </c>
      <c r="K592" s="256" t="s">
        <v>1147</v>
      </c>
      <c r="L592" s="221" t="str">
        <f>'WetLitterbags placem_collection'!O153</f>
        <v>G647</v>
      </c>
      <c r="M592" s="223">
        <f>IFERROR(INDEX('Green_rooibos initial weight'!$C$5:$C$2000,MATCH(L592, 'Green_rooibos initial weight'!$A$5:$A$2000,0)),"")</f>
        <v>2.1240000000000001</v>
      </c>
      <c r="N592" s="223">
        <f>IFERROR(M592-(TBIcalc!$H$9+TBIcalc!$H$10),"")</f>
        <v>1.8742000000000001</v>
      </c>
      <c r="O592" s="378">
        <f>AVERAGE(Ashed_controlls!$K$2:$K$11)</f>
        <v>5.5147656768714146</v>
      </c>
      <c r="P592" s="223">
        <f t="shared" si="46"/>
        <v>1.770842261684076</v>
      </c>
      <c r="Q592" s="223">
        <f>IFERROR(INDEX('Both teabags AfterWet'!$C$3:$C$840,MATCH(L592,'Both teabags AfterWet'!$A$3:$A$840,0)),"")</f>
        <v>0.78700000000000003</v>
      </c>
      <c r="R592" s="223">
        <f>IFERROR(IF(Q592&gt;0,Q592-(TBIcalc!$H$9),""),"")</f>
        <v>0.63640000000000008</v>
      </c>
      <c r="S592" s="223">
        <f>IFERROR(INDEX('Ashed teabags wet'!$K$2:$K$2000,MATCH(L592,'Ashed teabags wet'!$A$2:$A$2000,0)),"")</f>
        <v>20.305781175346262</v>
      </c>
      <c r="T592" s="223">
        <f t="shared" si="47"/>
        <v>0.50717400860009643</v>
      </c>
      <c r="U592" s="224">
        <f>'WetLitterbags placem_collection'!E153</f>
        <v>42762</v>
      </c>
      <c r="V592" s="224">
        <f>IF('WetLitterbags placem_collection'!G153="","",'WetLitterbags placem_collection'!G153)</f>
        <v>42816</v>
      </c>
      <c r="W592" s="225">
        <f t="shared" si="45"/>
        <v>54</v>
      </c>
      <c r="X592" s="223">
        <f t="shared" si="48"/>
        <v>1.2378</v>
      </c>
      <c r="Y592" s="223">
        <f t="shared" si="49"/>
        <v>1.2636682530839796</v>
      </c>
      <c r="Z592">
        <f>IFERROR(INDEX([1]Rainfall_Wet!$O$2:$O$217,MATCH(C592, [1]Rainfall_Wet!$A$2:$A$217,0)),"")</f>
        <v>206.85140822299999</v>
      </c>
      <c r="AA592" s="226">
        <v>39.96</v>
      </c>
      <c r="AB592" s="226">
        <v>12.920000000000002</v>
      </c>
      <c r="AC592" s="226">
        <v>47.12</v>
      </c>
      <c r="AD592" s="227" t="s">
        <v>2655</v>
      </c>
      <c r="AE592" s="226">
        <v>7.6549531789058696</v>
      </c>
      <c r="AF592">
        <f>IF('WetLitterbags placem_collection'!AB153="","",'WetLitterbags placem_collection'!AB153)</f>
        <v>1.4</v>
      </c>
      <c r="AG592">
        <f>IF('WetLitterbags placem_collection'!Z153="","",'WetLitterbags placem_collection'!Z153)</f>
        <v>7.9</v>
      </c>
      <c r="AH592" s="236" t="str">
        <f>IF('WetLitterbags placem_collection'!AA153="","",'WetLitterbags placem_collection'!AA153)</f>
        <v>O</v>
      </c>
      <c r="AI592">
        <f>IF('WetLitterbags placem_collection'!AC153="","",'WetLitterbags placem_collection'!AC153)</f>
        <v>1</v>
      </c>
      <c r="AJ592" s="233">
        <f>AVERAGE('WetLitterbags placem_collection'!S153,'WetLitterbags placem_collection'!U153)</f>
        <v>26.049999999999997</v>
      </c>
      <c r="AK592">
        <f>AVERAGE('WetLitterbags placem_collection'!R153,'WetLitterbags placem_collection'!T153)</f>
        <v>26.5</v>
      </c>
      <c r="AL592">
        <f>INDEX([2]Coordinates!$B$2:$B$197,MATCH(I592,[2]Coordinates!$J$2:$J$197,0))</f>
        <v>-2.3673460070000001</v>
      </c>
      <c r="AM592">
        <f>INDEX([2]Coordinates!$C$2:$C$197,MATCH(I592,[2]Coordinates!$J$2:$J$197,0))</f>
        <v>34.060310039999997</v>
      </c>
      <c r="AN592" t="str">
        <f>IF(ISNUMBER(SEARCH("C", 'WetLitterbags placem_collection'!$X153)),"YES","NO")</f>
        <v>NO</v>
      </c>
      <c r="AO592" t="str">
        <f>IF(ISNUMBER(SEARCH("H", 'WetLitterbags placem_collection'!$X153)),"YES","NO")</f>
        <v>NO</v>
      </c>
      <c r="AP592" t="str">
        <f>IF(ISNUMBER(SEARCH("R", 'WetLitterbags placem_collection'!$X153)),"YES","NO")</f>
        <v>YES</v>
      </c>
    </row>
    <row r="593" spans="1:42" ht="15" customHeight="1">
      <c r="A593" t="s">
        <v>3248</v>
      </c>
      <c r="B593" s="248" t="s">
        <v>2454</v>
      </c>
      <c r="C593" s="253">
        <f>'Dry_Litterbag Placem_Collection'!A154</f>
        <v>152</v>
      </c>
      <c r="D593" s="253" t="str">
        <f>'Dry_Litterbag Placem_Collection'!B154</f>
        <v xml:space="preserve">Mwantimba
</v>
      </c>
      <c r="E593" s="253" t="s">
        <v>2454</v>
      </c>
      <c r="F593" s="253" t="s">
        <v>20</v>
      </c>
      <c r="G593" s="253">
        <v>3</v>
      </c>
      <c r="H593" s="253" t="s">
        <v>3124</v>
      </c>
      <c r="I593" s="254" t="str">
        <f>'Dry_Litterbag Placem_Collection'!C154</f>
        <v>Wet_P3_T8</v>
      </c>
      <c r="J593" s="263" t="s">
        <v>2932</v>
      </c>
      <c r="K593" s="256" t="s">
        <v>1147</v>
      </c>
      <c r="L593" s="221" t="str">
        <f>'WetLitterbags placem_collection'!O154</f>
        <v>G744</v>
      </c>
      <c r="M593" s="223">
        <f>IFERROR(INDEX('Green_rooibos initial weight'!$C$5:$C$2000,MATCH(L593, 'Green_rooibos initial weight'!$A$5:$A$2000,0)),"")</f>
        <v>2.085</v>
      </c>
      <c r="N593" s="223">
        <f>IFERROR(M593-(TBIcalc!$H$9+TBIcalc!$H$10),"")</f>
        <v>1.8351999999999999</v>
      </c>
      <c r="O593" s="378">
        <f>AVERAGE(Ashed_controlls!$K$2:$K$11)</f>
        <v>5.5147656768714146</v>
      </c>
      <c r="P593" s="223">
        <f t="shared" si="46"/>
        <v>1.7339930202980558</v>
      </c>
      <c r="Q593" s="223">
        <f>IFERROR(INDEX('Both teabags AfterWet'!$C$3:$C$840,MATCH(L593,'Both teabags AfterWet'!$A$3:$A$840,0)),"")</f>
        <v>0.62919999999999998</v>
      </c>
      <c r="R593" s="223">
        <f>IFERROR(IF(Q593&gt;0,Q593-(TBIcalc!$H$9),""),"")</f>
        <v>0.47859999999999997</v>
      </c>
      <c r="S593" s="223">
        <f>IFERROR(INDEX('Ashed teabags wet'!$K$2:$K$2000,MATCH(L593,'Ashed teabags wet'!$A$2:$A$2000,0)),"")</f>
        <v>13.529411764705387</v>
      </c>
      <c r="T593" s="223">
        <f t="shared" si="47"/>
        <v>0.41384823529411996</v>
      </c>
      <c r="U593" s="224">
        <f>'WetLitterbags placem_collection'!E154</f>
        <v>42762</v>
      </c>
      <c r="V593" s="224">
        <f>IF('WetLitterbags placem_collection'!G154="","",'WetLitterbags placem_collection'!G154)</f>
        <v>42816</v>
      </c>
      <c r="W593" s="225">
        <f t="shared" si="45"/>
        <v>54</v>
      </c>
      <c r="X593" s="223">
        <f t="shared" si="48"/>
        <v>1.3566</v>
      </c>
      <c r="Y593" s="223">
        <f t="shared" si="49"/>
        <v>1.3201447850039358</v>
      </c>
      <c r="Z593">
        <f>IFERROR(INDEX([1]Rainfall_Wet!$O$2:$O$217,MATCH(C593, [1]Rainfall_Wet!$A$2:$A$217,0)),"")</f>
        <v>206.85140822299999</v>
      </c>
      <c r="AA593" s="226">
        <v>39.96</v>
      </c>
      <c r="AB593" s="226">
        <v>12.920000000000002</v>
      </c>
      <c r="AC593" s="226">
        <v>47.12</v>
      </c>
      <c r="AD593" s="227" t="s">
        <v>2655</v>
      </c>
      <c r="AE593" s="226">
        <v>8.6549531789058705</v>
      </c>
      <c r="AF593">
        <f>IF('WetLitterbags placem_collection'!AB154="","",'WetLitterbags placem_collection'!AB154)</f>
        <v>2.2000000000000002</v>
      </c>
      <c r="AG593">
        <f>IF('WetLitterbags placem_collection'!Z154="","",'WetLitterbags placem_collection'!Z154)</f>
        <v>15</v>
      </c>
      <c r="AH593" s="236" t="str">
        <f>IF('WetLitterbags placem_collection'!AA154="","",'WetLitterbags placem_collection'!AA154)</f>
        <v>M</v>
      </c>
      <c r="AI593">
        <f>IF('WetLitterbags placem_collection'!AC154="","",'WetLitterbags placem_collection'!AC154)</f>
        <v>0</v>
      </c>
      <c r="AJ593" s="233">
        <f>AVERAGE('WetLitterbags placem_collection'!S154,'WetLitterbags placem_collection'!U154)</f>
        <v>18.8</v>
      </c>
      <c r="AK593">
        <f>AVERAGE('WetLitterbags placem_collection'!R154,'WetLitterbags placem_collection'!T154)</f>
        <v>23.7</v>
      </c>
      <c r="AL593">
        <f>INDEX([2]Coordinates!$B$2:$B$197,MATCH(I593,[2]Coordinates!$J$2:$J$197,0))</f>
        <v>-2.367543988</v>
      </c>
      <c r="AM593">
        <f>INDEX([2]Coordinates!$C$2:$C$197,MATCH(I593,[2]Coordinates!$J$2:$J$197,0))</f>
        <v>34.060168969999999</v>
      </c>
      <c r="AN593" t="str">
        <f>IF(ISNUMBER(SEARCH("C", 'WetLitterbags placem_collection'!$X154)),"YES","NO")</f>
        <v>NO</v>
      </c>
      <c r="AO593" t="str">
        <f>IF(ISNUMBER(SEARCH("H", 'WetLitterbags placem_collection'!$X154)),"YES","NO")</f>
        <v>NO</v>
      </c>
      <c r="AP593" t="str">
        <f>IF(ISNUMBER(SEARCH("R", 'WetLitterbags placem_collection'!$X154)),"YES","NO")</f>
        <v>YES</v>
      </c>
    </row>
    <row r="594" spans="1:42" ht="15" customHeight="1">
      <c r="A594" t="s">
        <v>3248</v>
      </c>
      <c r="B594" s="248" t="s">
        <v>2454</v>
      </c>
      <c r="C594" s="253">
        <f>'Dry_Litterbag Placem_Collection'!A155</f>
        <v>153</v>
      </c>
      <c r="D594" s="253" t="str">
        <f>'Dry_Litterbag Placem_Collection'!B155</f>
        <v xml:space="preserve">Mwantimba
</v>
      </c>
      <c r="E594" s="253" t="s">
        <v>2454</v>
      </c>
      <c r="F594" s="253" t="s">
        <v>20</v>
      </c>
      <c r="G594" s="253">
        <v>4</v>
      </c>
      <c r="H594" s="253" t="s">
        <v>3125</v>
      </c>
      <c r="I594" s="254" t="str">
        <f>'Dry_Litterbag Placem_Collection'!C155</f>
        <v>Wet_P4_T1</v>
      </c>
      <c r="J594" s="263" t="s">
        <v>2932</v>
      </c>
      <c r="K594" s="256" t="s">
        <v>1147</v>
      </c>
      <c r="L594" s="221" t="str">
        <f>'WetLitterbags placem_collection'!O155</f>
        <v>G885</v>
      </c>
      <c r="M594" s="223">
        <f>IFERROR(INDEX('Green_rooibos initial weight'!$C$5:$C$2000,MATCH(L594, 'Green_rooibos initial weight'!$A$5:$A$2000,0)),"")</f>
        <v>1.8939999999999999</v>
      </c>
      <c r="N594" s="223">
        <f>IFERROR(M594-(TBIcalc!$H$9+TBIcalc!$H$10),"")</f>
        <v>1.6441999999999999</v>
      </c>
      <c r="O594" s="378">
        <f>AVERAGE(Ashed_controlls!$K$2:$K$11)</f>
        <v>5.5147656768714146</v>
      </c>
      <c r="P594" s="223">
        <f t="shared" si="46"/>
        <v>1.5535262227408801</v>
      </c>
      <c r="Q594" s="223">
        <f>IFERROR(INDEX('Both teabags AfterWet'!$C$3:$C$840,MATCH(L594,'Both teabags AfterWet'!$A$3:$A$840,0)),"")</f>
        <v>0.5756</v>
      </c>
      <c r="R594" s="223">
        <f>IFERROR(IF(Q594&gt;0,Q594-(TBIcalc!$H$9),""),"")</f>
        <v>0.42499999999999999</v>
      </c>
      <c r="S594" s="223">
        <f>IFERROR(INDEX('Ashed teabags wet'!$K$2:$K$2000,MATCH(L594,'Ashed teabags wet'!$A$2:$A$2000,0)),"")</f>
        <v>12.119700748128949</v>
      </c>
      <c r="T594" s="223">
        <f t="shared" si="47"/>
        <v>0.37349127182045194</v>
      </c>
      <c r="U594" s="224">
        <f>'WetLitterbags placem_collection'!E155</f>
        <v>42762</v>
      </c>
      <c r="V594" s="224">
        <f>IF('WetLitterbags placem_collection'!G155="","",'WetLitterbags placem_collection'!G155)</f>
        <v>42816</v>
      </c>
      <c r="W594" s="225">
        <f t="shared" si="45"/>
        <v>54</v>
      </c>
      <c r="X594" s="223">
        <f t="shared" si="48"/>
        <v>1.2191999999999998</v>
      </c>
      <c r="Y594" s="223">
        <f t="shared" si="49"/>
        <v>1.1800349509204282</v>
      </c>
      <c r="Z594">
        <f>IFERROR(INDEX([1]Rainfall_Wet!$O$2:$O$217,MATCH(C594, [1]Rainfall_Wet!$A$2:$A$217,0)),"")</f>
        <v>206.85140822299999</v>
      </c>
      <c r="AA594" s="226">
        <v>27.96</v>
      </c>
      <c r="AB594" s="226">
        <v>4.9200000000000017</v>
      </c>
      <c r="AC594" s="226">
        <v>67.12</v>
      </c>
      <c r="AD594" s="227" t="s">
        <v>2651</v>
      </c>
      <c r="AE594" s="226">
        <v>1.0437161163134547</v>
      </c>
      <c r="AF594">
        <f>IF('WetLitterbags placem_collection'!AB155="","",'WetLitterbags placem_collection'!AB155)</f>
        <v>2.1</v>
      </c>
      <c r="AG594">
        <f>IF('WetLitterbags placem_collection'!Z155="","",'WetLitterbags placem_collection'!Z155)</f>
        <v>16.399999999999999</v>
      </c>
      <c r="AH594" s="236" t="str">
        <f>IF('WetLitterbags placem_collection'!AA155="","",'WetLitterbags placem_collection'!AA155)</f>
        <v>G</v>
      </c>
      <c r="AI594">
        <f>IF('WetLitterbags placem_collection'!AC155="","",'WetLitterbags placem_collection'!AC155)</f>
        <v>0</v>
      </c>
      <c r="AJ594" s="233">
        <f>AVERAGE('WetLitterbags placem_collection'!S155,'WetLitterbags placem_collection'!U155)</f>
        <v>21.35</v>
      </c>
      <c r="AK594">
        <f>AVERAGE('WetLitterbags placem_collection'!R155,'WetLitterbags placem_collection'!T155)</f>
        <v>26.700000000000003</v>
      </c>
      <c r="AL594">
        <f>INDEX([2]Coordinates!$B$2:$B$197,MATCH(I594,[2]Coordinates!$J$2:$J$197,0))</f>
        <v>-2.3676780150000001</v>
      </c>
      <c r="AM594">
        <f>INDEX([2]Coordinates!$C$2:$C$197,MATCH(I594,[2]Coordinates!$J$2:$J$197,0))</f>
        <v>34.05937797</v>
      </c>
      <c r="AN594" t="str">
        <f>IF(ISNUMBER(SEARCH("C", 'WetLitterbags placem_collection'!$X155)),"YES","NO")</f>
        <v>NO</v>
      </c>
      <c r="AO594" t="str">
        <f>IF(ISNUMBER(SEARCH("H", 'WetLitterbags placem_collection'!$X155)),"YES","NO")</f>
        <v>NO</v>
      </c>
      <c r="AP594" t="str">
        <f>IF(ISNUMBER(SEARCH("R", 'WetLitterbags placem_collection'!$X155)),"YES","NO")</f>
        <v>YES</v>
      </c>
    </row>
    <row r="595" spans="1:42" ht="15" customHeight="1">
      <c r="A595" t="s">
        <v>3248</v>
      </c>
      <c r="B595" s="248" t="s">
        <v>2454</v>
      </c>
      <c r="C595" s="253">
        <f>'Dry_Litterbag Placem_Collection'!A156</f>
        <v>154</v>
      </c>
      <c r="D595" s="253" t="str">
        <f>'Dry_Litterbag Placem_Collection'!B156</f>
        <v xml:space="preserve">Mwantimba
</v>
      </c>
      <c r="E595" s="253" t="s">
        <v>2454</v>
      </c>
      <c r="F595" s="253" t="s">
        <v>20</v>
      </c>
      <c r="G595" s="253">
        <v>4</v>
      </c>
      <c r="H595" s="253" t="s">
        <v>3125</v>
      </c>
      <c r="I595" s="254" t="str">
        <f>'Dry_Litterbag Placem_Collection'!C156</f>
        <v>Wet_P4_T2</v>
      </c>
      <c r="J595" s="263" t="s">
        <v>2932</v>
      </c>
      <c r="K595" s="256" t="s">
        <v>1147</v>
      </c>
      <c r="L595" s="221" t="str">
        <f>'WetLitterbags placem_collection'!O156</f>
        <v>G684</v>
      </c>
      <c r="M595" s="223">
        <f>IFERROR(INDEX('Green_rooibos initial weight'!$C$5:$C$2000,MATCH(L595, 'Green_rooibos initial weight'!$A$5:$A$2000,0)),"")</f>
        <v>2.0819999999999999</v>
      </c>
      <c r="N595" s="223">
        <f>IFERROR(M595-(TBIcalc!$H$9+TBIcalc!$H$10),"")</f>
        <v>1.8321999999999998</v>
      </c>
      <c r="O595" s="378">
        <f>AVERAGE(Ashed_controlls!$K$2:$K$11)</f>
        <v>5.5147656768714146</v>
      </c>
      <c r="P595" s="223">
        <f t="shared" si="46"/>
        <v>1.7311584632683619</v>
      </c>
      <c r="Q595" s="223">
        <f>IFERROR(INDEX('Both teabags AfterWet'!$C$3:$C$840,MATCH(L595,'Both teabags AfterWet'!$A$3:$A$840,0)),"")</f>
        <v>0.60499999999999998</v>
      </c>
      <c r="R595" s="223">
        <f>IFERROR(IF(Q595&gt;0,Q595-(TBIcalc!$H$9),""),"")</f>
        <v>0.45439999999999997</v>
      </c>
      <c r="S595" s="223">
        <f>IFERROR(INDEX('Ashed teabags wet'!$K$2:$K$2000,MATCH(L595,'Ashed teabags wet'!$A$2:$A$2000,0)),"")</f>
        <v>17.540322580645736</v>
      </c>
      <c r="T595" s="223">
        <f t="shared" si="47"/>
        <v>0.37469677419354575</v>
      </c>
      <c r="U595" s="224">
        <f>'WetLitterbags placem_collection'!E156</f>
        <v>42762</v>
      </c>
      <c r="V595" s="224">
        <f>IF('WetLitterbags placem_collection'!G156="","",'WetLitterbags placem_collection'!G156)</f>
        <v>42816</v>
      </c>
      <c r="W595" s="225">
        <f t="shared" si="45"/>
        <v>54</v>
      </c>
      <c r="X595" s="223">
        <f t="shared" si="48"/>
        <v>1.3777999999999999</v>
      </c>
      <c r="Y595" s="223">
        <f t="shared" si="49"/>
        <v>1.3564616890748162</v>
      </c>
      <c r="Z595">
        <f>IFERROR(INDEX([1]Rainfall_Wet!$O$2:$O$217,MATCH(C595, [1]Rainfall_Wet!$A$2:$A$217,0)),"")</f>
        <v>206.85140822299999</v>
      </c>
      <c r="AA595" s="226">
        <v>27.96</v>
      </c>
      <c r="AB595" s="226">
        <v>4.9200000000000017</v>
      </c>
      <c r="AC595" s="226">
        <v>67.12</v>
      </c>
      <c r="AD595" s="227" t="s">
        <v>2651</v>
      </c>
      <c r="AE595" s="226">
        <v>2.0437161163134498</v>
      </c>
      <c r="AF595">
        <f>IF('WetLitterbags placem_collection'!AB156="","",'WetLitterbags placem_collection'!AB156)</f>
        <v>2.15</v>
      </c>
      <c r="AG595">
        <f>IF('WetLitterbags placem_collection'!Z156="","",'WetLitterbags placem_collection'!Z156)</f>
        <v>9</v>
      </c>
      <c r="AH595" s="236" t="str">
        <f>IF('WetLitterbags placem_collection'!AA156="","",'WetLitterbags placem_collection'!AA156)</f>
        <v>G</v>
      </c>
      <c r="AI595">
        <f>IF('WetLitterbags placem_collection'!AC156="","",'WetLitterbags placem_collection'!AC156)</f>
        <v>0</v>
      </c>
      <c r="AJ595" s="233">
        <f>AVERAGE('WetLitterbags placem_collection'!S156,'WetLitterbags placem_collection'!U156)</f>
        <v>23.5</v>
      </c>
      <c r="AK595">
        <f>AVERAGE('WetLitterbags placem_collection'!R156,'WetLitterbags placem_collection'!T156)</f>
        <v>25.7</v>
      </c>
      <c r="AL595">
        <f>INDEX([2]Coordinates!$B$2:$B$197,MATCH(I595,[2]Coordinates!$J$2:$J$197,0))</f>
        <v>-2.3677299820000002</v>
      </c>
      <c r="AM595">
        <f>INDEX([2]Coordinates!$C$2:$C$197,MATCH(I595,[2]Coordinates!$J$2:$J$197,0))</f>
        <v>34.059351990000003</v>
      </c>
      <c r="AN595" t="str">
        <f>IF(ISNUMBER(SEARCH("C", 'WetLitterbags placem_collection'!$X156)),"YES","NO")</f>
        <v>NO</v>
      </c>
      <c r="AO595" t="str">
        <f>IF(ISNUMBER(SEARCH("H", 'WetLitterbags placem_collection'!$X156)),"YES","NO")</f>
        <v>NO</v>
      </c>
      <c r="AP595" t="str">
        <f>IF(ISNUMBER(SEARCH("R", 'WetLitterbags placem_collection'!$X156)),"YES","NO")</f>
        <v>YES</v>
      </c>
    </row>
    <row r="596" spans="1:42" ht="15" customHeight="1">
      <c r="A596" t="s">
        <v>3248</v>
      </c>
      <c r="B596" s="248" t="s">
        <v>2454</v>
      </c>
      <c r="C596" s="253">
        <f>'Dry_Litterbag Placem_Collection'!A157</f>
        <v>155</v>
      </c>
      <c r="D596" s="253" t="str">
        <f>'Dry_Litterbag Placem_Collection'!B157</f>
        <v xml:space="preserve">Mwantimba
</v>
      </c>
      <c r="E596" s="253" t="s">
        <v>2454</v>
      </c>
      <c r="F596" s="253" t="s">
        <v>20</v>
      </c>
      <c r="G596" s="253">
        <v>4</v>
      </c>
      <c r="H596" s="253" t="s">
        <v>3125</v>
      </c>
      <c r="I596" s="254" t="str">
        <f>'Dry_Litterbag Placem_Collection'!C157</f>
        <v>Wet_P4_T3</v>
      </c>
      <c r="J596" s="263" t="s">
        <v>2932</v>
      </c>
      <c r="K596" s="256" t="s">
        <v>1147</v>
      </c>
      <c r="L596" s="221" t="str">
        <f>'WetLitterbags placem_collection'!O157</f>
        <v>G827</v>
      </c>
      <c r="M596" s="223">
        <f>IFERROR(INDEX('Green_rooibos initial weight'!$C$5:$C$2000,MATCH(L596, 'Green_rooibos initial weight'!$A$5:$A$2000,0)),"")</f>
        <v>1.883</v>
      </c>
      <c r="N596" s="223">
        <f>IFERROR(M596-(TBIcalc!$H$9+TBIcalc!$H$10),"")</f>
        <v>1.6332</v>
      </c>
      <c r="O596" s="378">
        <f>AVERAGE(Ashed_controlls!$K$2:$K$11)</f>
        <v>5.5147656768714146</v>
      </c>
      <c r="P596" s="223">
        <f t="shared" si="46"/>
        <v>1.543132846965336</v>
      </c>
      <c r="Q596" s="223">
        <f>IFERROR(INDEX('Both teabags AfterWet'!$C$3:$C$840,MATCH(L596,'Both teabags AfterWet'!$A$3:$A$840,0)),"")</f>
        <v>0.63800000000000001</v>
      </c>
      <c r="R596" s="223">
        <f>IFERROR(IF(Q596&gt;0,Q596-(TBIcalc!$H$9),""),"")</f>
        <v>0.4874</v>
      </c>
      <c r="S596" s="223">
        <f>IFERROR(INDEX('Ashed teabags wet'!$K$2:$K$2000,MATCH(L596,'Ashed teabags wet'!$A$2:$A$2000,0)),"")</f>
        <v>19.219219219219006</v>
      </c>
      <c r="T596" s="223">
        <f t="shared" si="47"/>
        <v>0.39372552552552659</v>
      </c>
      <c r="U596" s="224">
        <f>'WetLitterbags placem_collection'!E157</f>
        <v>42762</v>
      </c>
      <c r="V596" s="224">
        <f>IF('WetLitterbags placem_collection'!G157="","",'WetLitterbags placem_collection'!G157)</f>
        <v>42816</v>
      </c>
      <c r="W596" s="225">
        <f t="shared" si="45"/>
        <v>54</v>
      </c>
      <c r="X596" s="223">
        <f t="shared" si="48"/>
        <v>1.1457999999999999</v>
      </c>
      <c r="Y596" s="223">
        <f t="shared" si="49"/>
        <v>1.1494073214398095</v>
      </c>
      <c r="Z596">
        <f>IFERROR(INDEX([1]Rainfall_Wet!$O$2:$O$217,MATCH(C596, [1]Rainfall_Wet!$A$2:$A$217,0)),"")</f>
        <v>206.85140822299999</v>
      </c>
      <c r="AA596" s="226">
        <v>27.96</v>
      </c>
      <c r="AB596" s="226">
        <v>4.9200000000000017</v>
      </c>
      <c r="AC596" s="226">
        <v>67.12</v>
      </c>
      <c r="AD596" s="227" t="s">
        <v>2651</v>
      </c>
      <c r="AE596" s="226">
        <v>3.0437161163134498</v>
      </c>
      <c r="AF596">
        <f>IF('WetLitterbags placem_collection'!AB157="","",'WetLitterbags placem_collection'!AB157)</f>
        <v>1.2</v>
      </c>
      <c r="AG596">
        <f>IF('WetLitterbags placem_collection'!Z157="","",'WetLitterbags placem_collection'!Z157)</f>
        <v>11</v>
      </c>
      <c r="AH596" s="236" t="str">
        <f>IF('WetLitterbags placem_collection'!AA157="","",'WetLitterbags placem_collection'!AA157)</f>
        <v>G</v>
      </c>
      <c r="AI596">
        <f>IF('WetLitterbags placem_collection'!AC157="","",'WetLitterbags placem_collection'!AC157)</f>
        <v>0</v>
      </c>
      <c r="AJ596" s="233">
        <f>AVERAGE('WetLitterbags placem_collection'!S157,'WetLitterbags placem_collection'!U157)</f>
        <v>23.75</v>
      </c>
      <c r="AK596">
        <f>AVERAGE('WetLitterbags placem_collection'!R157,'WetLitterbags placem_collection'!T157)</f>
        <v>26.799999999999997</v>
      </c>
      <c r="AL596">
        <f>INDEX([2]Coordinates!$B$2:$B$197,MATCH(I596,[2]Coordinates!$J$2:$J$197,0))</f>
        <v>-2.3677119609999999</v>
      </c>
      <c r="AM596">
        <f>INDEX([2]Coordinates!$C$2:$C$197,MATCH(I596,[2]Coordinates!$J$2:$J$197,0))</f>
        <v>34.059339000000001</v>
      </c>
      <c r="AN596" t="str">
        <f>IF(ISNUMBER(SEARCH("C", 'WetLitterbags placem_collection'!$X157)),"YES","NO")</f>
        <v>NO</v>
      </c>
      <c r="AO596" t="str">
        <f>IF(ISNUMBER(SEARCH("H", 'WetLitterbags placem_collection'!$X157)),"YES","NO")</f>
        <v>NO</v>
      </c>
      <c r="AP596" t="str">
        <f>IF(ISNUMBER(SEARCH("R", 'WetLitterbags placem_collection'!$X157)),"YES","NO")</f>
        <v>NO</v>
      </c>
    </row>
    <row r="597" spans="1:42" ht="15" customHeight="1">
      <c r="A597" t="s">
        <v>3248</v>
      </c>
      <c r="B597" s="248" t="s">
        <v>2454</v>
      </c>
      <c r="C597" s="253">
        <f>'Dry_Litterbag Placem_Collection'!A158</f>
        <v>156</v>
      </c>
      <c r="D597" s="253" t="str">
        <f>'Dry_Litterbag Placem_Collection'!B158</f>
        <v xml:space="preserve">Mwantimba
</v>
      </c>
      <c r="E597" s="253" t="s">
        <v>2454</v>
      </c>
      <c r="F597" s="253" t="s">
        <v>20</v>
      </c>
      <c r="G597" s="253">
        <v>4</v>
      </c>
      <c r="H597" s="253" t="s">
        <v>3125</v>
      </c>
      <c r="I597" s="254" t="str">
        <f>'Dry_Litterbag Placem_Collection'!C158</f>
        <v>Wet_P4_T4</v>
      </c>
      <c r="J597" s="263" t="s">
        <v>2932</v>
      </c>
      <c r="K597" s="256" t="s">
        <v>1147</v>
      </c>
      <c r="L597" s="221" t="str">
        <f>'WetLitterbags placem_collection'!O158</f>
        <v>G667</v>
      </c>
      <c r="M597" s="223">
        <f>IFERROR(INDEX('Green_rooibos initial weight'!$C$5:$C$2000,MATCH(L597, 'Green_rooibos initial weight'!$A$5:$A$2000,0)),"")</f>
        <v>2.048</v>
      </c>
      <c r="N597" s="223">
        <f>IFERROR(M597-(TBIcalc!$H$9+TBIcalc!$H$10),"")</f>
        <v>1.7982</v>
      </c>
      <c r="O597" s="378">
        <f>AVERAGE(Ashed_controlls!$K$2:$K$11)</f>
        <v>5.5147656768714146</v>
      </c>
      <c r="P597" s="223">
        <f t="shared" si="46"/>
        <v>1.6990334835984982</v>
      </c>
      <c r="Q597" s="223">
        <f>IFERROR(INDEX('Both teabags AfterWet'!$C$3:$C$840,MATCH(L597,'Both teabags AfterWet'!$A$3:$A$840,0)),"")</f>
        <v>0.65800000000000003</v>
      </c>
      <c r="R597" s="223">
        <f>IFERROR(IF(Q597&gt;0,Q597-(TBIcalc!$H$9),""),"")</f>
        <v>0.50740000000000007</v>
      </c>
      <c r="S597" s="223">
        <f>IFERROR(INDEX('Ashed teabags wet'!$K$2:$K$2000,MATCH(L597,'Ashed teabags wet'!$A$2:$A$2000,0)),"")</f>
        <v>27.494061757718864</v>
      </c>
      <c r="T597" s="223">
        <f t="shared" si="47"/>
        <v>0.36789513064133456</v>
      </c>
      <c r="U597" s="224">
        <f>'WetLitterbags placem_collection'!E158</f>
        <v>42762</v>
      </c>
      <c r="V597" s="224">
        <f>IF('WetLitterbags placem_collection'!G158="","",'WetLitterbags placem_collection'!G158)</f>
        <v>42816</v>
      </c>
      <c r="W597" s="225">
        <f t="shared" si="45"/>
        <v>54</v>
      </c>
      <c r="X597" s="223">
        <f t="shared" si="48"/>
        <v>1.2907999999999999</v>
      </c>
      <c r="Y597" s="223">
        <f t="shared" si="49"/>
        <v>1.3311383529571637</v>
      </c>
      <c r="Z597">
        <f>IFERROR(INDEX([1]Rainfall_Wet!$O$2:$O$217,MATCH(C597, [1]Rainfall_Wet!$A$2:$A$217,0)),"")</f>
        <v>206.85140822299999</v>
      </c>
      <c r="AA597" s="226">
        <v>27.96</v>
      </c>
      <c r="AB597" s="226">
        <v>4.9200000000000017</v>
      </c>
      <c r="AC597" s="226">
        <v>67.12</v>
      </c>
      <c r="AD597" s="227" t="s">
        <v>2651</v>
      </c>
      <c r="AE597" s="226">
        <v>4.0437161163134503</v>
      </c>
      <c r="AF597">
        <f>IF('WetLitterbags placem_collection'!AB158="","",'WetLitterbags placem_collection'!AB158)</f>
        <v>1.55</v>
      </c>
      <c r="AG597">
        <f>IF('WetLitterbags placem_collection'!Z158="","",'WetLitterbags placem_collection'!Z158)</f>
        <v>9.1</v>
      </c>
      <c r="AH597" s="236" t="str">
        <f>IF('WetLitterbags placem_collection'!AA158="","",'WetLitterbags placem_collection'!AA158)</f>
        <v>O</v>
      </c>
      <c r="AI597">
        <f>IF('WetLitterbags placem_collection'!AC158="","",'WetLitterbags placem_collection'!AC158)</f>
        <v>0</v>
      </c>
      <c r="AJ597" s="233">
        <f>AVERAGE('WetLitterbags placem_collection'!S158,'WetLitterbags placem_collection'!U158)</f>
        <v>21.700000000000003</v>
      </c>
      <c r="AK597">
        <f>AVERAGE('WetLitterbags placem_collection'!R158,'WetLitterbags placem_collection'!T158)</f>
        <v>26.95</v>
      </c>
      <c r="AL597">
        <f>INDEX([2]Coordinates!$B$2:$B$197,MATCH(I597,[2]Coordinates!$J$2:$J$197,0))</f>
        <v>-2.3676950300000001</v>
      </c>
      <c r="AM597">
        <f>INDEX([2]Coordinates!$C$2:$C$197,MATCH(I597,[2]Coordinates!$J$2:$J$197,0))</f>
        <v>34.059499010000003</v>
      </c>
      <c r="AN597" t="str">
        <f>IF(ISNUMBER(SEARCH("C", 'WetLitterbags placem_collection'!$X158)),"YES","NO")</f>
        <v>NO</v>
      </c>
      <c r="AO597" t="str">
        <f>IF(ISNUMBER(SEARCH("H", 'WetLitterbags placem_collection'!$X158)),"YES","NO")</f>
        <v>NO</v>
      </c>
      <c r="AP597" t="str">
        <f>IF(ISNUMBER(SEARCH("R", 'WetLitterbags placem_collection'!$X158)),"YES","NO")</f>
        <v>YES</v>
      </c>
    </row>
    <row r="598" spans="1:42" ht="15" customHeight="1">
      <c r="A598" t="s">
        <v>3248</v>
      </c>
      <c r="B598" s="248" t="s">
        <v>2454</v>
      </c>
      <c r="C598" s="253">
        <f>'Dry_Litterbag Placem_Collection'!A159</f>
        <v>157</v>
      </c>
      <c r="D598" s="253" t="str">
        <f>'Dry_Litterbag Placem_Collection'!B159</f>
        <v xml:space="preserve">Mwantimba
</v>
      </c>
      <c r="E598" s="253" t="s">
        <v>2454</v>
      </c>
      <c r="F598" s="253" t="s">
        <v>20</v>
      </c>
      <c r="G598" s="253">
        <v>4</v>
      </c>
      <c r="H598" s="253" t="s">
        <v>3125</v>
      </c>
      <c r="I598" s="254" t="str">
        <f>'Dry_Litterbag Placem_Collection'!C159</f>
        <v>Wet_P4_T5</v>
      </c>
      <c r="J598" s="263" t="s">
        <v>2932</v>
      </c>
      <c r="K598" s="256" t="s">
        <v>1147</v>
      </c>
      <c r="L598" s="221" t="str">
        <f>'WetLitterbags placem_collection'!O159</f>
        <v>G777</v>
      </c>
      <c r="M598" s="223">
        <f>IFERROR(INDEX('Green_rooibos initial weight'!$C$5:$C$2000,MATCH(L598, 'Green_rooibos initial weight'!$A$5:$A$2000,0)),"")</f>
        <v>2.0470000000000002</v>
      </c>
      <c r="N598" s="223">
        <f>IFERROR(M598-(TBIcalc!$H$9+TBIcalc!$H$10),"")</f>
        <v>1.7972000000000001</v>
      </c>
      <c r="O598" s="378">
        <f>AVERAGE(Ashed_controlls!$K$2:$K$11)</f>
        <v>5.5147656768714146</v>
      </c>
      <c r="P598" s="223">
        <f t="shared" si="46"/>
        <v>1.698088631255267</v>
      </c>
      <c r="Q598" s="223">
        <f>IFERROR(INDEX('Both teabags AfterWet'!$C$3:$C$840,MATCH(L598,'Both teabags AfterWet'!$A$3:$A$840,0)),"")</f>
        <v>0.70499999999999996</v>
      </c>
      <c r="R598" s="223">
        <f>IFERROR(IF(Q598&gt;0,Q598-(TBIcalc!$H$9),""),"")</f>
        <v>0.5544</v>
      </c>
      <c r="S598" s="223">
        <f>IFERROR(INDEX('Ashed teabags wet'!$K$2:$K$2000,MATCH(L598,'Ashed teabags wet'!$A$2:$A$2000,0)),"")</f>
        <v>15.610972568578548</v>
      </c>
      <c r="T598" s="223">
        <f t="shared" si="47"/>
        <v>0.46785276807980053</v>
      </c>
      <c r="U598" s="224">
        <f>'WetLitterbags placem_collection'!E159</f>
        <v>42762</v>
      </c>
      <c r="V598" s="224">
        <f>IF('WetLitterbags placem_collection'!G159="","",'WetLitterbags placem_collection'!G159)</f>
        <v>42816</v>
      </c>
      <c r="W598" s="225">
        <f t="shared" si="45"/>
        <v>54</v>
      </c>
      <c r="X598" s="223">
        <f t="shared" si="48"/>
        <v>1.2428000000000001</v>
      </c>
      <c r="Y598" s="223">
        <f t="shared" si="49"/>
        <v>1.2302358631754664</v>
      </c>
      <c r="Z598">
        <f>IFERROR(INDEX([1]Rainfall_Wet!$O$2:$O$217,MATCH(C598, [1]Rainfall_Wet!$A$2:$A$217,0)),"")</f>
        <v>206.85140822299999</v>
      </c>
      <c r="AA598" s="226">
        <v>27.96</v>
      </c>
      <c r="AB598" s="226">
        <v>4.9200000000000017</v>
      </c>
      <c r="AC598" s="226">
        <v>67.12</v>
      </c>
      <c r="AD598" s="227" t="s">
        <v>2651</v>
      </c>
      <c r="AE598" s="226">
        <v>5.0437161163134503</v>
      </c>
      <c r="AF598">
        <f>IF('WetLitterbags placem_collection'!AB159="","",'WetLitterbags placem_collection'!AB159)</f>
        <v>2.2999999999999998</v>
      </c>
      <c r="AG598">
        <f>IF('WetLitterbags placem_collection'!Z159="","",'WetLitterbags placem_collection'!Z159)</f>
        <v>7.7</v>
      </c>
      <c r="AH598" s="236" t="str">
        <f>IF('WetLitterbags placem_collection'!AA159="","",'WetLitterbags placem_collection'!AA159)</f>
        <v>O</v>
      </c>
      <c r="AI598">
        <f>IF('WetLitterbags placem_collection'!AC159="","",'WetLitterbags placem_collection'!AC159)</f>
        <v>0</v>
      </c>
      <c r="AJ598" s="233">
        <f>AVERAGE('WetLitterbags placem_collection'!S159,'WetLitterbags placem_collection'!U159)</f>
        <v>22.6</v>
      </c>
      <c r="AK598">
        <f>AVERAGE('WetLitterbags placem_collection'!R159,'WetLitterbags placem_collection'!T159)</f>
        <v>29.2</v>
      </c>
      <c r="AL598">
        <f>INDEX([2]Coordinates!$B$2:$B$197,MATCH(I598,[2]Coordinates!$J$2:$J$197,0))</f>
        <v>-2.3678019830000001</v>
      </c>
      <c r="AM598">
        <f>INDEX([2]Coordinates!$C$2:$C$197,MATCH(I598,[2]Coordinates!$J$2:$J$197,0))</f>
        <v>34.059521969999999</v>
      </c>
      <c r="AN598" t="str">
        <f>IF(ISNUMBER(SEARCH("C", 'WetLitterbags placem_collection'!$X159)),"YES","NO")</f>
        <v>NO</v>
      </c>
      <c r="AO598" t="str">
        <f>IF(ISNUMBER(SEARCH("H", 'WetLitterbags placem_collection'!$X159)),"YES","NO")</f>
        <v>NO</v>
      </c>
      <c r="AP598" t="str">
        <f>IF(ISNUMBER(SEARCH("R", 'WetLitterbags placem_collection'!$X159)),"YES","NO")</f>
        <v>YES</v>
      </c>
    </row>
    <row r="599" spans="1:42" ht="15" customHeight="1">
      <c r="A599" t="s">
        <v>3248</v>
      </c>
      <c r="B599" s="248" t="s">
        <v>2454</v>
      </c>
      <c r="C599" s="253">
        <f>'Dry_Litterbag Placem_Collection'!A160</f>
        <v>158</v>
      </c>
      <c r="D599" s="253" t="str">
        <f>'Dry_Litterbag Placem_Collection'!B160</f>
        <v xml:space="preserve">Mwantimba
</v>
      </c>
      <c r="E599" s="253" t="s">
        <v>2454</v>
      </c>
      <c r="F599" s="253" t="s">
        <v>20</v>
      </c>
      <c r="G599" s="253">
        <v>4</v>
      </c>
      <c r="H599" s="253" t="s">
        <v>3125</v>
      </c>
      <c r="I599" s="254" t="str">
        <f>'Dry_Litterbag Placem_Collection'!C160</f>
        <v>Wet_P4_T6</v>
      </c>
      <c r="J599" s="263" t="s">
        <v>2932</v>
      </c>
      <c r="K599" s="256" t="s">
        <v>1147</v>
      </c>
      <c r="L599" s="221" t="str">
        <f>'WetLitterbags placem_collection'!O160</f>
        <v>G884</v>
      </c>
      <c r="M599" s="223">
        <f>IFERROR(INDEX('Green_rooibos initial weight'!$C$5:$C$2000,MATCH(L599, 'Green_rooibos initial weight'!$A$5:$A$2000,0)),"")</f>
        <v>2.0710000000000002</v>
      </c>
      <c r="N599" s="223">
        <f>IFERROR(M599-(TBIcalc!$H$9+TBIcalc!$H$10),"")</f>
        <v>1.8212000000000002</v>
      </c>
      <c r="O599" s="378">
        <f>AVERAGE(Ashed_controlls!$K$2:$K$11)</f>
        <v>5.5147656768714146</v>
      </c>
      <c r="P599" s="223">
        <f t="shared" si="46"/>
        <v>1.720765087492818</v>
      </c>
      <c r="Q599" s="223">
        <f>IFERROR(INDEX('Both teabags AfterWet'!$C$3:$C$840,MATCH(L599,'Both teabags AfterWet'!$A$3:$A$840,0)),"")</f>
        <v>0.629</v>
      </c>
      <c r="R599" s="223">
        <f>IFERROR(IF(Q599&gt;0,Q599-(TBIcalc!$H$9),""),"")</f>
        <v>0.47839999999999999</v>
      </c>
      <c r="S599" s="223">
        <f>IFERROR(INDEX('Ashed teabags wet'!$K$2:$K$2000,MATCH(L599,'Ashed teabags wet'!$A$2:$A$2000,0)),"")</f>
        <v>11.313330054107281</v>
      </c>
      <c r="T599" s="223">
        <f t="shared" si="47"/>
        <v>0.42427702902115078</v>
      </c>
      <c r="U599" s="224">
        <f>'WetLitterbags placem_collection'!E160</f>
        <v>42762</v>
      </c>
      <c r="V599" s="224">
        <f>IF('WetLitterbags placem_collection'!G160="","",'WetLitterbags placem_collection'!G160)</f>
        <v>42816</v>
      </c>
      <c r="W599" s="225">
        <f t="shared" si="45"/>
        <v>54</v>
      </c>
      <c r="X599" s="223">
        <f t="shared" si="48"/>
        <v>1.3428000000000002</v>
      </c>
      <c r="Y599" s="223">
        <f t="shared" si="49"/>
        <v>1.2964880584716671</v>
      </c>
      <c r="Z599">
        <f>IFERROR(INDEX([1]Rainfall_Wet!$O$2:$O$217,MATCH(C599, [1]Rainfall_Wet!$A$2:$A$217,0)),"")</f>
        <v>206.85140822299999</v>
      </c>
      <c r="AA599" s="226">
        <v>27.96</v>
      </c>
      <c r="AB599" s="226">
        <v>4.9200000000000017</v>
      </c>
      <c r="AC599" s="226">
        <v>67.12</v>
      </c>
      <c r="AD599" s="227" t="s">
        <v>2651</v>
      </c>
      <c r="AE599" s="226">
        <v>6.0437161163134503</v>
      </c>
      <c r="AF599">
        <f>IF('WetLitterbags placem_collection'!AB160="","",'WetLitterbags placem_collection'!AB160)</f>
        <v>1.9</v>
      </c>
      <c r="AG599">
        <f>IF('WetLitterbags placem_collection'!Z160="","",'WetLitterbags placem_collection'!Z160)</f>
        <v>4.3</v>
      </c>
      <c r="AH599" s="236" t="str">
        <f>IF('WetLitterbags placem_collection'!AA160="","",'WetLitterbags placem_collection'!AA160)</f>
        <v>O</v>
      </c>
      <c r="AI599">
        <f>IF('WetLitterbags placem_collection'!AC160="","",'WetLitterbags placem_collection'!AC160)</f>
        <v>0</v>
      </c>
      <c r="AJ599" s="233">
        <f>AVERAGE('WetLitterbags placem_collection'!S160,'WetLitterbags placem_collection'!U160)</f>
        <v>22.45</v>
      </c>
      <c r="AK599">
        <f>AVERAGE('WetLitterbags placem_collection'!R160,'WetLitterbags placem_collection'!T160)</f>
        <v>26.35</v>
      </c>
      <c r="AL599">
        <f>INDEX([2]Coordinates!$B$2:$B$197,MATCH(I599,[2]Coordinates!$J$2:$J$197,0))</f>
        <v>-2.3679270410000002</v>
      </c>
      <c r="AM599">
        <f>INDEX([2]Coordinates!$C$2:$C$197,MATCH(I599,[2]Coordinates!$J$2:$J$197,0))</f>
        <v>34.059300020000002</v>
      </c>
      <c r="AN599" t="str">
        <f>IF(ISNUMBER(SEARCH("C", 'WetLitterbags placem_collection'!$X160)),"YES","NO")</f>
        <v>NO</v>
      </c>
      <c r="AO599" t="str">
        <f>IF(ISNUMBER(SEARCH("H", 'WetLitterbags placem_collection'!$X160)),"YES","NO")</f>
        <v>NO</v>
      </c>
      <c r="AP599" t="str">
        <f>IF(ISNUMBER(SEARCH("R", 'WetLitterbags placem_collection'!$X160)),"YES","NO")</f>
        <v>YES</v>
      </c>
    </row>
    <row r="600" spans="1:42" ht="15" customHeight="1">
      <c r="A600" t="s">
        <v>3248</v>
      </c>
      <c r="B600" s="248" t="s">
        <v>2454</v>
      </c>
      <c r="C600" s="253">
        <f>'Dry_Litterbag Placem_Collection'!A161</f>
        <v>159</v>
      </c>
      <c r="D600" s="253" t="str">
        <f>'Dry_Litterbag Placem_Collection'!B161</f>
        <v xml:space="preserve">Mwantimba
</v>
      </c>
      <c r="E600" s="253" t="s">
        <v>2454</v>
      </c>
      <c r="F600" s="253" t="s">
        <v>20</v>
      </c>
      <c r="G600" s="253">
        <v>4</v>
      </c>
      <c r="H600" s="253" t="s">
        <v>3125</v>
      </c>
      <c r="I600" s="254" t="str">
        <f>'Dry_Litterbag Placem_Collection'!C161</f>
        <v>Wet_P4_T7</v>
      </c>
      <c r="J600" s="263" t="s">
        <v>2932</v>
      </c>
      <c r="K600" s="256" t="s">
        <v>1147</v>
      </c>
      <c r="L600" s="221" t="str">
        <f>'WetLitterbags placem_collection'!O161</f>
        <v>G731</v>
      </c>
      <c r="M600" s="223">
        <f>IFERROR(INDEX('Green_rooibos initial weight'!$C$5:$C$2000,MATCH(L600, 'Green_rooibos initial weight'!$A$5:$A$2000,0)),"")</f>
        <v>2.14</v>
      </c>
      <c r="N600" s="223">
        <f>IFERROR(M600-(TBIcalc!$H$9+TBIcalc!$H$10),"")</f>
        <v>1.8902000000000001</v>
      </c>
      <c r="O600" s="378">
        <f>AVERAGE(Ashed_controlls!$K$2:$K$11)</f>
        <v>5.5147656768714146</v>
      </c>
      <c r="P600" s="223">
        <f t="shared" si="46"/>
        <v>1.7859598991757766</v>
      </c>
      <c r="Q600" s="223" t="str">
        <f>IFERROR(INDEX('Both teabags AfterWet'!$C$3:$C$840,MATCH(L600,'Both teabags AfterWet'!$A$3:$A$840,0)),"")</f>
        <v/>
      </c>
      <c r="R600" s="223" t="str">
        <f>IFERROR(IF(Q600&gt;0,Q600-(TBIcalc!$H$9),""),"")</f>
        <v/>
      </c>
      <c r="S600" s="223" t="str">
        <f>IFERROR(INDEX('Ashed teabags wet'!$K$2:$K$2000,MATCH(L600,'Ashed teabags wet'!$A$2:$A$2000,0)),"")</f>
        <v/>
      </c>
      <c r="T600" s="223" t="str">
        <f t="shared" si="47"/>
        <v/>
      </c>
      <c r="U600" s="224">
        <f>'WetLitterbags placem_collection'!E161</f>
        <v>42762</v>
      </c>
      <c r="V600" s="224">
        <f>IF('WetLitterbags placem_collection'!G161="","",'WetLitterbags placem_collection'!G161)</f>
        <v>42816</v>
      </c>
      <c r="W600" s="225">
        <f t="shared" si="45"/>
        <v>54</v>
      </c>
      <c r="X600" s="223" t="str">
        <f t="shared" si="48"/>
        <v/>
      </c>
      <c r="Y600" s="223" t="str">
        <f t="shared" si="49"/>
        <v/>
      </c>
      <c r="Z600">
        <f>IFERROR(INDEX([1]Rainfall_Wet!$O$2:$O$217,MATCH(C600, [1]Rainfall_Wet!$A$2:$A$217,0)),"")</f>
        <v>206.85140822299999</v>
      </c>
      <c r="AA600" s="226">
        <v>27.96</v>
      </c>
      <c r="AB600" s="226">
        <v>4.9200000000000017</v>
      </c>
      <c r="AC600" s="226">
        <v>67.12</v>
      </c>
      <c r="AD600" s="227" t="s">
        <v>2651</v>
      </c>
      <c r="AE600" s="226">
        <v>7.0437161163134503</v>
      </c>
      <c r="AF600">
        <f>IF('WetLitterbags placem_collection'!AB161="","",'WetLitterbags placem_collection'!AB161)</f>
        <v>2.65</v>
      </c>
      <c r="AG600">
        <f>IF('WetLitterbags placem_collection'!Z161="","",'WetLitterbags placem_collection'!Z161)</f>
        <v>0</v>
      </c>
      <c r="AH600" s="236" t="str">
        <f>IF('WetLitterbags placem_collection'!AA161="","",'WetLitterbags placem_collection'!AA161)</f>
        <v>G</v>
      </c>
      <c r="AI600">
        <f>IF('WetLitterbags placem_collection'!AC161="","",'WetLitterbags placem_collection'!AC161)</f>
        <v>1</v>
      </c>
      <c r="AJ600" s="233">
        <f>AVERAGE('WetLitterbags placem_collection'!S161,'WetLitterbags placem_collection'!U161)</f>
        <v>14.4</v>
      </c>
      <c r="AK600">
        <f>AVERAGE('WetLitterbags placem_collection'!R161,'WetLitterbags placem_collection'!T161)</f>
        <v>28</v>
      </c>
      <c r="AL600">
        <f>INDEX([2]Coordinates!$B$2:$B$197,MATCH(I600,[2]Coordinates!$J$2:$J$197,0))</f>
        <v>-2.3676829599999998</v>
      </c>
      <c r="AM600">
        <f>INDEX([2]Coordinates!$C$2:$C$197,MATCH(I600,[2]Coordinates!$J$2:$J$197,0))</f>
        <v>34.059236990000002</v>
      </c>
      <c r="AN600" t="str">
        <f>IF(ISNUMBER(SEARCH("C", 'WetLitterbags placem_collection'!$X161)),"YES","NO")</f>
        <v>NO</v>
      </c>
      <c r="AO600" t="str">
        <f>IF(ISNUMBER(SEARCH("H", 'WetLitterbags placem_collection'!$X161)),"YES","NO")</f>
        <v>NO</v>
      </c>
      <c r="AP600" t="str">
        <f>IF(ISNUMBER(SEARCH("R", 'WetLitterbags placem_collection'!$X161)),"YES","NO")</f>
        <v>NO</v>
      </c>
    </row>
    <row r="601" spans="1:42" ht="15" customHeight="1">
      <c r="A601" t="s">
        <v>3248</v>
      </c>
      <c r="B601" s="248" t="s">
        <v>2454</v>
      </c>
      <c r="C601" s="253">
        <f>'Dry_Litterbag Placem_Collection'!A162</f>
        <v>160</v>
      </c>
      <c r="D601" s="253" t="str">
        <f>'Dry_Litterbag Placem_Collection'!B162</f>
        <v xml:space="preserve">Mwantimba
</v>
      </c>
      <c r="E601" s="253" t="s">
        <v>2454</v>
      </c>
      <c r="F601" s="253" t="s">
        <v>20</v>
      </c>
      <c r="G601" s="253">
        <v>4</v>
      </c>
      <c r="H601" s="253" t="s">
        <v>3125</v>
      </c>
      <c r="I601" s="254" t="str">
        <f>'Dry_Litterbag Placem_Collection'!C162</f>
        <v>Wet_P4_T8</v>
      </c>
      <c r="J601" s="263" t="s">
        <v>2932</v>
      </c>
      <c r="K601" s="256" t="s">
        <v>1147</v>
      </c>
      <c r="L601" s="221" t="str">
        <f>'WetLitterbags placem_collection'!O162</f>
        <v>G876</v>
      </c>
      <c r="M601" s="223">
        <f>IFERROR(INDEX('Green_rooibos initial weight'!$C$5:$C$2000,MATCH(L601, 'Green_rooibos initial weight'!$A$5:$A$2000,0)),"")</f>
        <v>1.9550000000000001</v>
      </c>
      <c r="N601" s="223">
        <f>IFERROR(M601-(TBIcalc!$H$9+TBIcalc!$H$10),"")</f>
        <v>1.7052</v>
      </c>
      <c r="O601" s="378">
        <f>AVERAGE(Ashed_controlls!$K$2:$K$11)</f>
        <v>5.5147656768714146</v>
      </c>
      <c r="P601" s="223">
        <f t="shared" si="46"/>
        <v>1.6111622156779888</v>
      </c>
      <c r="Q601" s="223">
        <f>IFERROR(INDEX('Both teabags AfterWet'!$C$3:$C$840,MATCH(L601,'Both teabags AfterWet'!$A$3:$A$840,0)),"")</f>
        <v>0.68100000000000005</v>
      </c>
      <c r="R601" s="223">
        <f>IFERROR(IF(Q601&gt;0,Q601-(TBIcalc!$H$9),""),"")</f>
        <v>0.53039999999999998</v>
      </c>
      <c r="S601" s="223">
        <f>IFERROR(INDEX('Ashed teabags wet'!$K$2:$K$2000,MATCH(L601,'Ashed teabags wet'!$A$2:$A$2000,0)),"")</f>
        <v>12.187812187811872</v>
      </c>
      <c r="T601" s="223">
        <f t="shared" si="47"/>
        <v>0.46575584415584581</v>
      </c>
      <c r="U601" s="224">
        <f>'WetLitterbags placem_collection'!E162</f>
        <v>42762</v>
      </c>
      <c r="V601" s="224">
        <f>IF('WetLitterbags placem_collection'!G162="","",'WetLitterbags placem_collection'!G162)</f>
        <v>42816</v>
      </c>
      <c r="W601" s="225">
        <f t="shared" si="45"/>
        <v>54</v>
      </c>
      <c r="X601" s="223">
        <f t="shared" si="48"/>
        <v>1.1748000000000001</v>
      </c>
      <c r="Y601" s="223">
        <f t="shared" si="49"/>
        <v>1.145406371522143</v>
      </c>
      <c r="Z601">
        <f>IFERROR(INDEX([1]Rainfall_Wet!$O$2:$O$217,MATCH(C601, [1]Rainfall_Wet!$A$2:$A$217,0)),"")</f>
        <v>206.85140822299999</v>
      </c>
      <c r="AA601" s="226">
        <v>27.96</v>
      </c>
      <c r="AB601" s="226">
        <v>4.9200000000000017</v>
      </c>
      <c r="AC601" s="226">
        <v>67.12</v>
      </c>
      <c r="AD601" s="227" t="s">
        <v>2651</v>
      </c>
      <c r="AE601" s="226">
        <v>8.0437161163134494</v>
      </c>
      <c r="AF601">
        <f>IF('WetLitterbags placem_collection'!AB162="","",'WetLitterbags placem_collection'!AB162)</f>
        <v>0.8</v>
      </c>
      <c r="AG601">
        <f>IF('WetLitterbags placem_collection'!Z162="","",'WetLitterbags placem_collection'!Z162)</f>
        <v>10.8</v>
      </c>
      <c r="AH601" s="236" t="str">
        <f>IF('WetLitterbags placem_collection'!AA162="","",'WetLitterbags placem_collection'!AA162)</f>
        <v>O</v>
      </c>
      <c r="AI601">
        <f>IF('WetLitterbags placem_collection'!AC162="","",'WetLitterbags placem_collection'!AC162)</f>
        <v>0</v>
      </c>
      <c r="AJ601" s="233">
        <f>AVERAGE('WetLitterbags placem_collection'!S162,'WetLitterbags placem_collection'!U162)</f>
        <v>16.5</v>
      </c>
      <c r="AK601">
        <f>AVERAGE('WetLitterbags placem_collection'!R162,'WetLitterbags placem_collection'!T162)</f>
        <v>27.15</v>
      </c>
      <c r="AL601">
        <f>INDEX([2]Coordinates!$B$2:$B$197,MATCH(I601,[2]Coordinates!$J$2:$J$197,0))</f>
        <v>-2.367547005</v>
      </c>
      <c r="AM601">
        <f>INDEX([2]Coordinates!$C$2:$C$197,MATCH(I601,[2]Coordinates!$J$2:$J$197,0))</f>
        <v>34.059494989999997</v>
      </c>
      <c r="AN601" t="str">
        <f>IF(ISNUMBER(SEARCH("C", 'WetLitterbags placem_collection'!$X162)),"YES","NO")</f>
        <v>NO</v>
      </c>
      <c r="AO601" t="str">
        <f>IF(ISNUMBER(SEARCH("H", 'WetLitterbags placem_collection'!$X162)),"YES","NO")</f>
        <v>NO</v>
      </c>
      <c r="AP601" t="str">
        <f>IF(ISNUMBER(SEARCH("R", 'WetLitterbags placem_collection'!$X162)),"YES","NO")</f>
        <v>YES</v>
      </c>
    </row>
    <row r="602" spans="1:42" ht="15" customHeight="1">
      <c r="A602" t="s">
        <v>3248</v>
      </c>
      <c r="B602" s="248" t="s">
        <v>2454</v>
      </c>
      <c r="C602" s="253">
        <f>'Dry_Litterbag Placem_Collection'!A163</f>
        <v>161</v>
      </c>
      <c r="D602" s="253" t="str">
        <f>'Dry_Litterbag Placem_Collection'!B163</f>
        <v>Handajega</v>
      </c>
      <c r="E602" s="253" t="s">
        <v>2454</v>
      </c>
      <c r="F602" s="253" t="s">
        <v>2645</v>
      </c>
      <c r="G602" s="253">
        <v>1</v>
      </c>
      <c r="H602" s="253" t="s">
        <v>3126</v>
      </c>
      <c r="I602" s="254" t="str">
        <f>'Dry_Litterbag Placem_Collection'!C163</f>
        <v>Wet_W1_T1</v>
      </c>
      <c r="J602" s="263" t="s">
        <v>2932</v>
      </c>
      <c r="K602" s="256" t="s">
        <v>1147</v>
      </c>
      <c r="L602" s="221" t="str">
        <f>'WetLitterbags placem_collection'!O163</f>
        <v>G351</v>
      </c>
      <c r="M602" s="223">
        <f>IFERROR(INDEX('Green_rooibos initial weight'!$C$5:$C$2000,MATCH(L602, 'Green_rooibos initial weight'!$A$5:$A$2000,0)),"")</f>
        <v>1.909</v>
      </c>
      <c r="N602" s="223">
        <f>IFERROR(M602-(TBIcalc!$H$9+TBIcalc!$H$10),"")</f>
        <v>1.6592</v>
      </c>
      <c r="O602" s="378">
        <f>AVERAGE(Ashed_controlls!$K$2:$K$11)</f>
        <v>5.5147656768714146</v>
      </c>
      <c r="P602" s="223">
        <f t="shared" si="46"/>
        <v>1.5676990078893496</v>
      </c>
      <c r="Q602" s="223">
        <f>IFERROR(INDEX('Both teabags AfterWet'!$C$3:$C$840,MATCH(L602,'Both teabags AfterWet'!$A$3:$A$840,0)),"")</f>
        <v>0.58709999999999996</v>
      </c>
      <c r="R602" s="223">
        <f>IFERROR(IF(Q602&gt;0,Q602-(TBIcalc!$H$9),""),"")</f>
        <v>0.43649999999999994</v>
      </c>
      <c r="S602" s="223">
        <f>IFERROR(INDEX('Ashed teabags wet'!$K$2:$K$2000,MATCH(L602,'Ashed teabags wet'!$A$2:$A$2000,0)),"")</f>
        <v>11.028315946348718</v>
      </c>
      <c r="T602" s="223">
        <f t="shared" si="47"/>
        <v>0.3883614008941878</v>
      </c>
      <c r="U602" s="224">
        <f>'WetLitterbags placem_collection'!E163</f>
        <v>42763</v>
      </c>
      <c r="V602" s="224">
        <f>IF('WetLitterbags placem_collection'!G163="","",'WetLitterbags placem_collection'!G163)</f>
        <v>42814</v>
      </c>
      <c r="W602" s="225">
        <f t="shared" si="45"/>
        <v>51</v>
      </c>
      <c r="X602" s="223">
        <f t="shared" si="48"/>
        <v>1.2227000000000001</v>
      </c>
      <c r="Y602" s="223">
        <f t="shared" si="49"/>
        <v>1.1793376069951618</v>
      </c>
      <c r="Z602">
        <f>IFERROR(INDEX([1]Rainfall_Wet!$O$2:$O$217,MATCH(C602, [1]Rainfall_Wet!$A$2:$A$217,0)),"")</f>
        <v>181.383442621</v>
      </c>
      <c r="AA602" s="226">
        <v>21.96</v>
      </c>
      <c r="AB602" s="226">
        <v>4.9199999999999982</v>
      </c>
      <c r="AC602" s="226">
        <v>73.12</v>
      </c>
      <c r="AD602" s="227" t="s">
        <v>2651</v>
      </c>
      <c r="AE602" s="226">
        <v>1.2416954164613114</v>
      </c>
      <c r="AF602">
        <f>IF('WetLitterbags placem_collection'!AB163="","",'WetLitterbags placem_collection'!AB163)</f>
        <v>7.6</v>
      </c>
      <c r="AG602">
        <f>IF('WetLitterbags placem_collection'!Z163="","",'WetLitterbags placem_collection'!Z163)</f>
        <v>35.799999999999997</v>
      </c>
      <c r="AH602" s="236" t="str">
        <f>IF('WetLitterbags placem_collection'!AA163="","",'WetLitterbags placem_collection'!AA163)</f>
        <v>M</v>
      </c>
      <c r="AI602">
        <f>IF('WetLitterbags placem_collection'!AC163="","",'WetLitterbags placem_collection'!AC163)</f>
        <v>0</v>
      </c>
      <c r="AJ602" s="233">
        <f>AVERAGE('WetLitterbags placem_collection'!S163,'WetLitterbags placem_collection'!U163)</f>
        <v>11.100000000000001</v>
      </c>
      <c r="AK602">
        <f>AVERAGE('WetLitterbags placem_collection'!R163,'WetLitterbags placem_collection'!T163)</f>
        <v>33.6</v>
      </c>
      <c r="AL602">
        <f>INDEX([2]Coordinates!$B$2:$B$197,MATCH(I602,[2]Coordinates!$J$2:$J$197,0))</f>
        <v>-2.272751033</v>
      </c>
      <c r="AM602">
        <f>INDEX([2]Coordinates!$C$2:$C$197,MATCH(I602,[2]Coordinates!$J$2:$J$197,0))</f>
        <v>34.023176030000002</v>
      </c>
      <c r="AN602" t="str">
        <f>IF(ISNUMBER(SEARCH("C", 'WetLitterbags placem_collection'!$X163)),"YES","NO")</f>
        <v>NO</v>
      </c>
      <c r="AO602" t="str">
        <f>IF(ISNUMBER(SEARCH("H", 'WetLitterbags placem_collection'!$X163)),"YES","NO")</f>
        <v>NO</v>
      </c>
      <c r="AP602" t="str">
        <f>IF(ISNUMBER(SEARCH("R", 'WetLitterbags placem_collection'!$X163)),"YES","NO")</f>
        <v>NO</v>
      </c>
    </row>
    <row r="603" spans="1:42" ht="15" customHeight="1">
      <c r="A603" t="s">
        <v>3248</v>
      </c>
      <c r="B603" s="248" t="s">
        <v>2454</v>
      </c>
      <c r="C603" s="253">
        <f>'Dry_Litterbag Placem_Collection'!A164</f>
        <v>162</v>
      </c>
      <c r="D603" s="253" t="str">
        <f>'Dry_Litterbag Placem_Collection'!B164</f>
        <v>Handajega</v>
      </c>
      <c r="E603" s="253" t="s">
        <v>2454</v>
      </c>
      <c r="F603" s="253" t="s">
        <v>2645</v>
      </c>
      <c r="G603" s="253">
        <v>1</v>
      </c>
      <c r="H603" s="253" t="s">
        <v>3126</v>
      </c>
      <c r="I603" s="254" t="str">
        <f>'Dry_Litterbag Placem_Collection'!C164</f>
        <v>Wet_W1_T2</v>
      </c>
      <c r="J603" s="263" t="s">
        <v>2932</v>
      </c>
      <c r="K603" s="256" t="s">
        <v>1147</v>
      </c>
      <c r="L603" s="221" t="str">
        <f>'WetLitterbags placem_collection'!O164</f>
        <v>G442</v>
      </c>
      <c r="M603" s="223">
        <f>IFERROR(INDEX('Green_rooibos initial weight'!$C$5:$C$2000,MATCH(L603, 'Green_rooibos initial weight'!$A$5:$A$2000,0)),"")</f>
        <v>2.056</v>
      </c>
      <c r="N603" s="223">
        <f>IFERROR(M603-(TBIcalc!$H$9+TBIcalc!$H$10),"")</f>
        <v>1.8062</v>
      </c>
      <c r="O603" s="378">
        <f>AVERAGE(Ashed_controlls!$K$2:$K$11)</f>
        <v>5.5147656768714146</v>
      </c>
      <c r="P603" s="223">
        <f t="shared" si="46"/>
        <v>1.7065923023443486</v>
      </c>
      <c r="Q603" s="223">
        <f>IFERROR(INDEX('Both teabags AfterWet'!$C$3:$C$840,MATCH(L603,'Both teabags AfterWet'!$A$3:$A$840,0)),"")</f>
        <v>0.66290000000000004</v>
      </c>
      <c r="R603" s="223">
        <f>IFERROR(IF(Q603&gt;0,Q603-(TBIcalc!$H$9),""),"")</f>
        <v>0.51229999999999998</v>
      </c>
      <c r="S603" s="223">
        <f>IFERROR(INDEX('Ashed teabags wet'!$K$2:$K$2000,MATCH(L603,'Ashed teabags wet'!$A$2:$A$2000,0)),"")</f>
        <v>7.6199901039089131</v>
      </c>
      <c r="T603" s="223">
        <f t="shared" si="47"/>
        <v>0.47326279069767463</v>
      </c>
      <c r="U603" s="224">
        <f>'WetLitterbags placem_collection'!E164</f>
        <v>42763</v>
      </c>
      <c r="V603" s="224">
        <f>IF('WetLitterbags placem_collection'!G164="","",'WetLitterbags placem_collection'!G164)</f>
        <v>42814</v>
      </c>
      <c r="W603" s="225">
        <f t="shared" si="45"/>
        <v>51</v>
      </c>
      <c r="X603" s="223">
        <f t="shared" si="48"/>
        <v>1.2939000000000001</v>
      </c>
      <c r="Y603" s="223">
        <f t="shared" si="49"/>
        <v>1.2333295116466738</v>
      </c>
      <c r="Z603">
        <f>IFERROR(INDEX([1]Rainfall_Wet!$O$2:$O$217,MATCH(C603, [1]Rainfall_Wet!$A$2:$A$217,0)),"")</f>
        <v>181.383442621</v>
      </c>
      <c r="AA603" s="226">
        <v>21.96</v>
      </c>
      <c r="AB603" s="226">
        <v>4.9199999999999982</v>
      </c>
      <c r="AC603" s="226">
        <v>73.12</v>
      </c>
      <c r="AD603" s="227" t="s">
        <v>2651</v>
      </c>
      <c r="AE603" s="226">
        <v>2.2416954164613099</v>
      </c>
      <c r="AF603">
        <f>IF('WetLitterbags placem_collection'!AB164="","",'WetLitterbags placem_collection'!AB164)</f>
        <v>4.0999999999999996</v>
      </c>
      <c r="AG603">
        <f>IF('WetLitterbags placem_collection'!Z164="","",'WetLitterbags placem_collection'!Z164)</f>
        <v>31.4</v>
      </c>
      <c r="AH603" s="236" t="str">
        <f>IF('WetLitterbags placem_collection'!AA164="","",'WetLitterbags placem_collection'!AA164)</f>
        <v>M</v>
      </c>
      <c r="AI603">
        <f>IF('WetLitterbags placem_collection'!AC164="","",'WetLitterbags placem_collection'!AC164)</f>
        <v>0</v>
      </c>
      <c r="AJ603" s="233">
        <f>AVERAGE('WetLitterbags placem_collection'!S164,'WetLitterbags placem_collection'!U164)</f>
        <v>9.35</v>
      </c>
      <c r="AK603">
        <f>AVERAGE('WetLitterbags placem_collection'!R164,'WetLitterbags placem_collection'!T164)</f>
        <v>34.450000000000003</v>
      </c>
      <c r="AL603">
        <f>INDEX([2]Coordinates!$B$2:$B$197,MATCH(I603,[2]Coordinates!$J$2:$J$197,0))</f>
        <v>-2.2727060219999999</v>
      </c>
      <c r="AM603">
        <f>INDEX([2]Coordinates!$C$2:$C$197,MATCH(I603,[2]Coordinates!$J$2:$J$197,0))</f>
        <v>34.023162030000002</v>
      </c>
      <c r="AN603" t="str">
        <f>IF(ISNUMBER(SEARCH("C", 'WetLitterbags placem_collection'!$X164)),"YES","NO")</f>
        <v>NO</v>
      </c>
      <c r="AO603" t="str">
        <f>IF(ISNUMBER(SEARCH("H", 'WetLitterbags placem_collection'!$X164)),"YES","NO")</f>
        <v>NO</v>
      </c>
      <c r="AP603" t="str">
        <f>IF(ISNUMBER(SEARCH("R", 'WetLitterbags placem_collection'!$X164)),"YES","NO")</f>
        <v>NO</v>
      </c>
    </row>
    <row r="604" spans="1:42" ht="15" customHeight="1">
      <c r="A604" t="s">
        <v>3248</v>
      </c>
      <c r="B604" s="248" t="s">
        <v>2454</v>
      </c>
      <c r="C604" s="253">
        <f>'Dry_Litterbag Placem_Collection'!A165</f>
        <v>163</v>
      </c>
      <c r="D604" s="253" t="str">
        <f>'Dry_Litterbag Placem_Collection'!B165</f>
        <v>Handajega</v>
      </c>
      <c r="E604" s="253" t="s">
        <v>2454</v>
      </c>
      <c r="F604" s="253" t="s">
        <v>2645</v>
      </c>
      <c r="G604" s="253">
        <v>1</v>
      </c>
      <c r="H604" s="253" t="s">
        <v>3126</v>
      </c>
      <c r="I604" s="254" t="str">
        <f>'Dry_Litterbag Placem_Collection'!C165</f>
        <v>Wet_W1_T3</v>
      </c>
      <c r="J604" s="263" t="s">
        <v>2932</v>
      </c>
      <c r="K604" s="256" t="s">
        <v>1147</v>
      </c>
      <c r="L604" s="221" t="str">
        <f>'WetLitterbags placem_collection'!O165</f>
        <v>G743</v>
      </c>
      <c r="M604" s="223">
        <f>IFERROR(INDEX('Green_rooibos initial weight'!$C$5:$C$2000,MATCH(L604, 'Green_rooibos initial weight'!$A$5:$A$2000,0)),"")</f>
        <v>2.0339999999999998</v>
      </c>
      <c r="N604" s="223">
        <f>IFERROR(M604-(TBIcalc!$H$9+TBIcalc!$H$10),"")</f>
        <v>1.7841999999999998</v>
      </c>
      <c r="O604" s="378">
        <f>AVERAGE(Ashed_controlls!$K$2:$K$11)</f>
        <v>5.5147656768714146</v>
      </c>
      <c r="P604" s="223">
        <f t="shared" si="46"/>
        <v>1.6858055507932601</v>
      </c>
      <c r="Q604" s="223">
        <f>IFERROR(INDEX('Both teabags AfterWet'!$C$3:$C$840,MATCH(L604,'Both teabags AfterWet'!$A$3:$A$840,0)),"")</f>
        <v>0.68700000000000006</v>
      </c>
      <c r="R604" s="223">
        <f>IFERROR(IF(Q604&gt;0,Q604-(TBIcalc!$H$9),""),"")</f>
        <v>0.53639999999999999</v>
      </c>
      <c r="S604" s="223">
        <f>IFERROR(INDEX('Ashed teabags wet'!$K$2:$K$2000,MATCH(L604,'Ashed teabags wet'!$A$2:$A$2000,0)),"")</f>
        <v>7.8343313373247501</v>
      </c>
      <c r="T604" s="223">
        <f t="shared" si="47"/>
        <v>0.49437664670659004</v>
      </c>
      <c r="U604" s="224">
        <f>'WetLitterbags placem_collection'!E165</f>
        <v>42763</v>
      </c>
      <c r="V604" s="224">
        <f>IF('WetLitterbags placem_collection'!G165="","",'WetLitterbags placem_collection'!G165)</f>
        <v>42814</v>
      </c>
      <c r="W604" s="225">
        <f t="shared" si="45"/>
        <v>51</v>
      </c>
      <c r="X604" s="223">
        <f t="shared" si="48"/>
        <v>1.2477999999999998</v>
      </c>
      <c r="Y604" s="223">
        <f t="shared" si="49"/>
        <v>1.1914289040866701</v>
      </c>
      <c r="Z604">
        <f>IFERROR(INDEX([1]Rainfall_Wet!$O$2:$O$217,MATCH(C604, [1]Rainfall_Wet!$A$2:$A$217,0)),"")</f>
        <v>181.383442621</v>
      </c>
      <c r="AA604" s="226">
        <v>21.96</v>
      </c>
      <c r="AB604" s="226">
        <v>4.9199999999999982</v>
      </c>
      <c r="AC604" s="226">
        <v>73.12</v>
      </c>
      <c r="AD604" s="227" t="s">
        <v>2651</v>
      </c>
      <c r="AE604" s="226">
        <v>3.2416954164613099</v>
      </c>
      <c r="AF604">
        <f>IF('WetLitterbags placem_collection'!AB165="","",'WetLitterbags placem_collection'!AB165)</f>
        <v>7.8</v>
      </c>
      <c r="AG604">
        <f>IF('WetLitterbags placem_collection'!Z165="","",'WetLitterbags placem_collection'!Z165)</f>
        <v>28.8</v>
      </c>
      <c r="AH604" s="236" t="str">
        <f>IF('WetLitterbags placem_collection'!AA165="","",'WetLitterbags placem_collection'!AA165)</f>
        <v>M</v>
      </c>
      <c r="AI604">
        <f>IF('WetLitterbags placem_collection'!AC165="","",'WetLitterbags placem_collection'!AC165)</f>
        <v>0</v>
      </c>
      <c r="AJ604" s="233">
        <f>AVERAGE('WetLitterbags placem_collection'!S165,'WetLitterbags placem_collection'!U165)</f>
        <v>9.3000000000000007</v>
      </c>
      <c r="AK604">
        <f>AVERAGE('WetLitterbags placem_collection'!R165,'WetLitterbags placem_collection'!T165)</f>
        <v>33.5</v>
      </c>
      <c r="AL604">
        <f>INDEX([2]Coordinates!$B$2:$B$197,MATCH(I604,[2]Coordinates!$J$2:$J$197,0))</f>
        <v>-2.2726719919999998</v>
      </c>
      <c r="AM604">
        <f>INDEX([2]Coordinates!$C$2:$C$197,MATCH(I604,[2]Coordinates!$J$2:$J$197,0))</f>
        <v>34.023210980000002</v>
      </c>
      <c r="AN604" t="str">
        <f>IF(ISNUMBER(SEARCH("C", 'WetLitterbags placem_collection'!$X165)),"YES","NO")</f>
        <v>NO</v>
      </c>
      <c r="AO604" t="str">
        <f>IF(ISNUMBER(SEARCH("H", 'WetLitterbags placem_collection'!$X165)),"YES","NO")</f>
        <v>NO</v>
      </c>
      <c r="AP604" t="str">
        <f>IF(ISNUMBER(SEARCH("R", 'WetLitterbags placem_collection'!$X165)),"YES","NO")</f>
        <v>NO</v>
      </c>
    </row>
    <row r="605" spans="1:42" ht="15" customHeight="1">
      <c r="A605" t="s">
        <v>3248</v>
      </c>
      <c r="B605" s="248" t="s">
        <v>2454</v>
      </c>
      <c r="C605" s="253">
        <f>'Dry_Litterbag Placem_Collection'!A166</f>
        <v>164</v>
      </c>
      <c r="D605" s="253" t="str">
        <f>'Dry_Litterbag Placem_Collection'!B166</f>
        <v>Handajega</v>
      </c>
      <c r="E605" s="253" t="s">
        <v>2454</v>
      </c>
      <c r="F605" s="253" t="s">
        <v>2645</v>
      </c>
      <c r="G605" s="253">
        <v>1</v>
      </c>
      <c r="H605" s="253" t="s">
        <v>3126</v>
      </c>
      <c r="I605" s="254" t="str">
        <f>'Dry_Litterbag Placem_Collection'!C166</f>
        <v>Wet_W1_T4</v>
      </c>
      <c r="J605" s="263" t="s">
        <v>2932</v>
      </c>
      <c r="K605" s="256" t="s">
        <v>1147</v>
      </c>
      <c r="L605" s="221" t="str">
        <f>'WetLitterbags placem_collection'!O166</f>
        <v>G390</v>
      </c>
      <c r="M605" s="223">
        <f>IFERROR(INDEX('Green_rooibos initial weight'!$C$5:$C$2000,MATCH(L605, 'Green_rooibos initial weight'!$A$5:$A$2000,0)),"")</f>
        <v>2.0630000000000002</v>
      </c>
      <c r="N605" s="223">
        <f>IFERROR(M605-(TBIcalc!$H$9+TBIcalc!$H$10),"")</f>
        <v>1.8132000000000001</v>
      </c>
      <c r="O605" s="378">
        <f>AVERAGE(Ashed_controlls!$K$2:$K$11)</f>
        <v>5.5147656768714146</v>
      </c>
      <c r="P605" s="223">
        <f t="shared" si="46"/>
        <v>1.7132062687469676</v>
      </c>
      <c r="Q605" s="223">
        <f>IFERROR(INDEX('Both teabags AfterWet'!$C$3:$C$840,MATCH(L605,'Both teabags AfterWet'!$A$3:$A$840,0)),"")</f>
        <v>0.63800000000000001</v>
      </c>
      <c r="R605" s="223">
        <f>IFERROR(IF(Q605&gt;0,Q605-(TBIcalc!$H$9),""),"")</f>
        <v>0.4874</v>
      </c>
      <c r="S605" s="223">
        <f>IFERROR(INDEX('Ashed teabags wet'!$K$2:$K$2000,MATCH(L605,'Ashed teabags wet'!$A$2:$A$2000,0)),"")</f>
        <v>9.1180866965623011</v>
      </c>
      <c r="T605" s="223">
        <f t="shared" si="47"/>
        <v>0.44295844544095536</v>
      </c>
      <c r="U605" s="224">
        <f>'WetLitterbags placem_collection'!E166</f>
        <v>42763</v>
      </c>
      <c r="V605" s="224">
        <f>IF('WetLitterbags placem_collection'!G166="","",'WetLitterbags placem_collection'!G166)</f>
        <v>42814</v>
      </c>
      <c r="W605" s="225">
        <f t="shared" si="45"/>
        <v>51</v>
      </c>
      <c r="X605" s="223">
        <f t="shared" si="48"/>
        <v>1.3258000000000001</v>
      </c>
      <c r="Y605" s="223">
        <f t="shared" si="49"/>
        <v>1.2702478233060122</v>
      </c>
      <c r="Z605">
        <f>IFERROR(INDEX([1]Rainfall_Wet!$O$2:$O$217,MATCH(C605, [1]Rainfall_Wet!$A$2:$A$217,0)),"")</f>
        <v>181.383442621</v>
      </c>
      <c r="AA605" s="226">
        <v>21.96</v>
      </c>
      <c r="AB605" s="226">
        <v>4.9199999999999982</v>
      </c>
      <c r="AC605" s="226">
        <v>73.12</v>
      </c>
      <c r="AD605" s="227" t="s">
        <v>2651</v>
      </c>
      <c r="AE605" s="226">
        <v>4.2416954164613099</v>
      </c>
      <c r="AF605">
        <f>IF('WetLitterbags placem_collection'!AB166="","",'WetLitterbags placem_collection'!AB166)</f>
        <v>9.5</v>
      </c>
      <c r="AG605">
        <f>IF('WetLitterbags placem_collection'!Z166="","",'WetLitterbags placem_collection'!Z166)</f>
        <v>20.8</v>
      </c>
      <c r="AH605" s="236" t="str">
        <f>IF('WetLitterbags placem_collection'!AA166="","",'WetLitterbags placem_collection'!AA166)</f>
        <v>M</v>
      </c>
      <c r="AI605">
        <f>IF('WetLitterbags placem_collection'!AC166="","",'WetLitterbags placem_collection'!AC166)</f>
        <v>0</v>
      </c>
      <c r="AJ605" s="233">
        <f>AVERAGE('WetLitterbags placem_collection'!S166,'WetLitterbags placem_collection'!U166)</f>
        <v>9.25</v>
      </c>
      <c r="AK605">
        <f>AVERAGE('WetLitterbags placem_collection'!R166,'WetLitterbags placem_collection'!T166)</f>
        <v>33.799999999999997</v>
      </c>
      <c r="AL605">
        <f>INDEX([2]Coordinates!$B$2:$B$197,MATCH(I605,[2]Coordinates!$J$2:$J$197,0))</f>
        <v>-2.2726180130000002</v>
      </c>
      <c r="AM605">
        <f>INDEX([2]Coordinates!$C$2:$C$197,MATCH(I605,[2]Coordinates!$J$2:$J$197,0))</f>
        <v>34.023212999999998</v>
      </c>
      <c r="AN605" t="str">
        <f>IF(ISNUMBER(SEARCH("C", 'WetLitterbags placem_collection'!$X166)),"YES","NO")</f>
        <v>NO</v>
      </c>
      <c r="AO605" t="str">
        <f>IF(ISNUMBER(SEARCH("H", 'WetLitterbags placem_collection'!$X166)),"YES","NO")</f>
        <v>NO</v>
      </c>
      <c r="AP605" t="str">
        <f>IF(ISNUMBER(SEARCH("R", 'WetLitterbags placem_collection'!$X166)),"YES","NO")</f>
        <v>NO</v>
      </c>
    </row>
    <row r="606" spans="1:42" ht="15" customHeight="1">
      <c r="A606" t="s">
        <v>3248</v>
      </c>
      <c r="B606" s="248" t="s">
        <v>2454</v>
      </c>
      <c r="C606" s="253">
        <f>'Dry_Litterbag Placem_Collection'!A167</f>
        <v>165</v>
      </c>
      <c r="D606" s="253" t="str">
        <f>'Dry_Litterbag Placem_Collection'!B167</f>
        <v>Handajega</v>
      </c>
      <c r="E606" s="253" t="s">
        <v>2454</v>
      </c>
      <c r="F606" s="253" t="s">
        <v>2645</v>
      </c>
      <c r="G606" s="253">
        <v>1</v>
      </c>
      <c r="H606" s="253" t="s">
        <v>3126</v>
      </c>
      <c r="I606" s="254" t="str">
        <f>'Dry_Litterbag Placem_Collection'!C167</f>
        <v>Wet_W1_T5</v>
      </c>
      <c r="J606" s="263" t="s">
        <v>2932</v>
      </c>
      <c r="K606" s="256" t="s">
        <v>1147</v>
      </c>
      <c r="L606" s="221" t="str">
        <f>'WetLitterbags placem_collection'!O167</f>
        <v>G810</v>
      </c>
      <c r="M606" s="223">
        <f>IFERROR(INDEX('Green_rooibos initial weight'!$C$5:$C$2000,MATCH(L606, 'Green_rooibos initial weight'!$A$5:$A$2000,0)),"")</f>
        <v>1.946</v>
      </c>
      <c r="N606" s="223">
        <f>IFERROR(M606-(TBIcalc!$H$9+TBIcalc!$H$10),"")</f>
        <v>1.6961999999999999</v>
      </c>
      <c r="O606" s="378">
        <f>AVERAGE(Ashed_controlls!$K$2:$K$11)</f>
        <v>5.5147656768714146</v>
      </c>
      <c r="P606" s="223">
        <f t="shared" si="46"/>
        <v>1.602658544588907</v>
      </c>
      <c r="Q606" s="223">
        <f>IFERROR(INDEX('Both teabags AfterWet'!$C$3:$C$840,MATCH(L606,'Both teabags AfterWet'!$A$3:$A$840,0)),"")</f>
        <v>0.64800000000000002</v>
      </c>
      <c r="R606" s="223">
        <f>IFERROR(IF(Q606&gt;0,Q606-(TBIcalc!$H$9),""),"")</f>
        <v>0.49740000000000001</v>
      </c>
      <c r="S606" s="223">
        <f>IFERROR(INDEX('Ashed teabags wet'!$K$2:$K$2000,MATCH(L606,'Ashed teabags wet'!$A$2:$A$2000,0)),"")</f>
        <v>7.6693227091631231</v>
      </c>
      <c r="T606" s="223">
        <f t="shared" si="47"/>
        <v>0.45925278884462262</v>
      </c>
      <c r="U606" s="224">
        <f>'WetLitterbags placem_collection'!E167</f>
        <v>42763</v>
      </c>
      <c r="V606" s="224">
        <f>IF('WetLitterbags placem_collection'!G167="","",'WetLitterbags placem_collection'!G167)</f>
        <v>42814</v>
      </c>
      <c r="W606" s="225">
        <f t="shared" si="45"/>
        <v>51</v>
      </c>
      <c r="X606" s="223">
        <f t="shared" si="48"/>
        <v>1.1987999999999999</v>
      </c>
      <c r="Y606" s="223">
        <f t="shared" si="49"/>
        <v>1.1434057557442845</v>
      </c>
      <c r="Z606">
        <f>IFERROR(INDEX([1]Rainfall_Wet!$O$2:$O$217,MATCH(C606, [1]Rainfall_Wet!$A$2:$A$217,0)),"")</f>
        <v>181.383442621</v>
      </c>
      <c r="AA606" s="226">
        <v>21.96</v>
      </c>
      <c r="AB606" s="226">
        <v>4.9199999999999982</v>
      </c>
      <c r="AC606" s="226">
        <v>73.12</v>
      </c>
      <c r="AD606" s="227" t="s">
        <v>2651</v>
      </c>
      <c r="AE606" s="226">
        <v>5.2416954164613099</v>
      </c>
      <c r="AF606">
        <f>IF('WetLitterbags placem_collection'!AB167="","",'WetLitterbags placem_collection'!AB167)</f>
        <v>10.4</v>
      </c>
      <c r="AG606">
        <f>IF('WetLitterbags placem_collection'!Z167="","",'WetLitterbags placem_collection'!Z167)</f>
        <v>13.8</v>
      </c>
      <c r="AH606" s="236" t="str">
        <f>IF('WetLitterbags placem_collection'!AA167="","",'WetLitterbags placem_collection'!AA167)</f>
        <v>M</v>
      </c>
      <c r="AI606">
        <f>IF('WetLitterbags placem_collection'!AC167="","",'WetLitterbags placem_collection'!AC167)</f>
        <v>0</v>
      </c>
      <c r="AJ606" s="233">
        <f>AVERAGE('WetLitterbags placem_collection'!S167,'WetLitterbags placem_collection'!U167)</f>
        <v>12</v>
      </c>
      <c r="AK606">
        <f>AVERAGE('WetLitterbags placem_collection'!R167,'WetLitterbags placem_collection'!T167)</f>
        <v>31.5</v>
      </c>
      <c r="AL606">
        <f>INDEX([2]Coordinates!$B$2:$B$197,MATCH(I606,[2]Coordinates!$J$2:$J$197,0))</f>
        <v>-2.2724750170000001</v>
      </c>
      <c r="AM606">
        <f>INDEX([2]Coordinates!$C$2:$C$197,MATCH(I606,[2]Coordinates!$J$2:$J$197,0))</f>
        <v>34.02334501</v>
      </c>
      <c r="AN606" t="str">
        <f>IF(ISNUMBER(SEARCH("C", 'WetLitterbags placem_collection'!$X167)),"YES","NO")</f>
        <v>NO</v>
      </c>
      <c r="AO606" t="str">
        <f>IF(ISNUMBER(SEARCH("H", 'WetLitterbags placem_collection'!$X167)),"YES","NO")</f>
        <v>NO</v>
      </c>
      <c r="AP606" t="str">
        <f>IF(ISNUMBER(SEARCH("R", 'WetLitterbags placem_collection'!$X167)),"YES","NO")</f>
        <v>NO</v>
      </c>
    </row>
    <row r="607" spans="1:42" ht="15" customHeight="1">
      <c r="A607" t="s">
        <v>3248</v>
      </c>
      <c r="B607" s="248" t="s">
        <v>2454</v>
      </c>
      <c r="C607" s="253">
        <f>'Dry_Litterbag Placem_Collection'!A168</f>
        <v>166</v>
      </c>
      <c r="D607" s="253" t="str">
        <f>'Dry_Litterbag Placem_Collection'!B168</f>
        <v>Handajega</v>
      </c>
      <c r="E607" s="253" t="s">
        <v>2454</v>
      </c>
      <c r="F607" s="253" t="s">
        <v>2645</v>
      </c>
      <c r="G607" s="253">
        <v>1</v>
      </c>
      <c r="H607" s="253" t="s">
        <v>3126</v>
      </c>
      <c r="I607" s="254" t="str">
        <f>'Dry_Litterbag Placem_Collection'!C168</f>
        <v>Wet_W1_T6</v>
      </c>
      <c r="J607" s="263" t="s">
        <v>2932</v>
      </c>
      <c r="K607" s="256" t="s">
        <v>1147</v>
      </c>
      <c r="L607" s="221" t="str">
        <f>'WetLitterbags placem_collection'!O168</f>
        <v>G287</v>
      </c>
      <c r="M607" s="223">
        <f>IFERROR(INDEX('Green_rooibos initial weight'!$C$5:$C$2000,MATCH(L607, 'Green_rooibos initial weight'!$A$5:$A$2000,0)),"")</f>
        <v>1.9970000000000001</v>
      </c>
      <c r="N607" s="223">
        <f>IFERROR(M607-(TBIcalc!$H$9+TBIcalc!$H$10),"")</f>
        <v>1.7472000000000001</v>
      </c>
      <c r="O607" s="378">
        <f>AVERAGE(Ashed_controlls!$K$2:$K$11)</f>
        <v>5.5147656768714146</v>
      </c>
      <c r="P607" s="223">
        <f t="shared" si="46"/>
        <v>1.6508460140937027</v>
      </c>
      <c r="Q607" s="223">
        <f>IFERROR(INDEX('Both teabags AfterWet'!$C$3:$C$840,MATCH(L607,'Both teabags AfterWet'!$A$3:$A$840,0)),"")</f>
        <v>0.72240000000000004</v>
      </c>
      <c r="R607" s="223">
        <f>IFERROR(IF(Q607&gt;0,Q607-(TBIcalc!$H$9),""),"")</f>
        <v>0.57180000000000009</v>
      </c>
      <c r="S607" s="223">
        <f>IFERROR(INDEX('Ashed teabags wet'!$K$2:$K$2000,MATCH(L607,'Ashed teabags wet'!$A$2:$A$2000,0)),"")</f>
        <v>8.1175298804781466</v>
      </c>
      <c r="T607" s="223">
        <f t="shared" si="47"/>
        <v>0.52538396414342603</v>
      </c>
      <c r="U607" s="224">
        <f>'WetLitterbags placem_collection'!E168</f>
        <v>42763</v>
      </c>
      <c r="V607" s="224">
        <f>IF('WetLitterbags placem_collection'!G168="","",'WetLitterbags placem_collection'!G168)</f>
        <v>42814</v>
      </c>
      <c r="W607" s="225">
        <f t="shared" si="45"/>
        <v>51</v>
      </c>
      <c r="X607" s="223">
        <f t="shared" si="48"/>
        <v>1.1754</v>
      </c>
      <c r="Y607" s="223">
        <f t="shared" si="49"/>
        <v>1.1254620499502765</v>
      </c>
      <c r="Z607">
        <f>IFERROR(INDEX([1]Rainfall_Wet!$O$2:$O$217,MATCH(C607, [1]Rainfall_Wet!$A$2:$A$217,0)),"")</f>
        <v>181.383442621</v>
      </c>
      <c r="AA607" s="226">
        <v>21.96</v>
      </c>
      <c r="AB607" s="226">
        <v>4.9199999999999982</v>
      </c>
      <c r="AC607" s="226">
        <v>73.12</v>
      </c>
      <c r="AD607" s="227" t="s">
        <v>2651</v>
      </c>
      <c r="AE607" s="226">
        <v>6.2416954164613099</v>
      </c>
      <c r="AF607">
        <f>IF('WetLitterbags placem_collection'!AB168="","",'WetLitterbags placem_collection'!AB168)</f>
        <v>2.1</v>
      </c>
      <c r="AG607">
        <f>IF('WetLitterbags placem_collection'!Z168="","",'WetLitterbags placem_collection'!Z168)</f>
        <v>4.7</v>
      </c>
      <c r="AH607" s="236" t="str">
        <f>IF('WetLitterbags placem_collection'!AA168="","",'WetLitterbags placem_collection'!AA168)</f>
        <v>M</v>
      </c>
      <c r="AI607">
        <f>IF('WetLitterbags placem_collection'!AC168="","",'WetLitterbags placem_collection'!AC168)</f>
        <v>0</v>
      </c>
      <c r="AJ607" s="233">
        <f>AVERAGE('WetLitterbags placem_collection'!S168,'WetLitterbags placem_collection'!U168)</f>
        <v>11</v>
      </c>
      <c r="AK607">
        <f>AVERAGE('WetLitterbags placem_collection'!R168,'WetLitterbags placem_collection'!T168)</f>
        <v>31.5</v>
      </c>
      <c r="AL607">
        <f>INDEX([2]Coordinates!$B$2:$B$197,MATCH(I607,[2]Coordinates!$J$2:$J$197,0))</f>
        <v>-2.2725490289999999</v>
      </c>
      <c r="AM607">
        <f>INDEX([2]Coordinates!$C$2:$C$197,MATCH(I607,[2]Coordinates!$J$2:$J$197,0))</f>
        <v>34.022886020000001</v>
      </c>
      <c r="AN607" t="str">
        <f>IF(ISNUMBER(SEARCH("C", 'WetLitterbags placem_collection'!$X168)),"YES","NO")</f>
        <v>NO</v>
      </c>
      <c r="AO607" t="str">
        <f>IF(ISNUMBER(SEARCH("H", 'WetLitterbags placem_collection'!$X168)),"YES","NO")</f>
        <v>NO</v>
      </c>
      <c r="AP607" t="str">
        <f>IF(ISNUMBER(SEARCH("R", 'WetLitterbags placem_collection'!$X168)),"YES","NO")</f>
        <v>NO</v>
      </c>
    </row>
    <row r="608" spans="1:42" ht="15" customHeight="1">
      <c r="A608" t="s">
        <v>3248</v>
      </c>
      <c r="B608" s="248" t="s">
        <v>2454</v>
      </c>
      <c r="C608" s="253">
        <f>'Dry_Litterbag Placem_Collection'!A169</f>
        <v>167</v>
      </c>
      <c r="D608" s="253" t="str">
        <f>'Dry_Litterbag Placem_Collection'!B169</f>
        <v>Handajega</v>
      </c>
      <c r="E608" s="253" t="s">
        <v>2454</v>
      </c>
      <c r="F608" s="253" t="s">
        <v>2645</v>
      </c>
      <c r="G608" s="253">
        <v>1</v>
      </c>
      <c r="H608" s="253" t="s">
        <v>3126</v>
      </c>
      <c r="I608" s="254" t="str">
        <f>'Dry_Litterbag Placem_Collection'!C169</f>
        <v>Wet_W1_T7</v>
      </c>
      <c r="J608" s="263" t="s">
        <v>2932</v>
      </c>
      <c r="K608" s="256" t="s">
        <v>1147</v>
      </c>
      <c r="L608" s="221" t="str">
        <f>'WetLitterbags placem_collection'!O169</f>
        <v>G443</v>
      </c>
      <c r="M608" s="223">
        <f>IFERROR(INDEX('Green_rooibos initial weight'!$C$5:$C$2000,MATCH(L608, 'Green_rooibos initial weight'!$A$5:$A$2000,0)),"")</f>
        <v>2.0310000000000001</v>
      </c>
      <c r="N608" s="223">
        <f>IFERROR(M608-(TBIcalc!$H$9+TBIcalc!$H$10),"")</f>
        <v>1.7812000000000001</v>
      </c>
      <c r="O608" s="378">
        <f>AVERAGE(Ashed_controlls!$K$2:$K$11)</f>
        <v>5.5147656768714146</v>
      </c>
      <c r="P608" s="223">
        <f t="shared" si="46"/>
        <v>1.6829709937635664</v>
      </c>
      <c r="Q608" s="223">
        <f>IFERROR(INDEX('Both teabags AfterWet'!$C$3:$C$840,MATCH(L608,'Both teabags AfterWet'!$A$3:$A$840,0)),"")</f>
        <v>0.69789999999999996</v>
      </c>
      <c r="R608" s="223">
        <f>IFERROR(IF(Q608&gt;0,Q608-(TBIcalc!$H$9),""),"")</f>
        <v>0.5472999999999999</v>
      </c>
      <c r="S608" s="223">
        <f>IFERROR(INDEX('Ashed teabags wet'!$K$2:$K$2000,MATCH(L608,'Ashed teabags wet'!$A$2:$A$2000,0)),"")</f>
        <v>8.5487077534794818</v>
      </c>
      <c r="T608" s="223">
        <f t="shared" si="47"/>
        <v>0.50051292246520673</v>
      </c>
      <c r="U608" s="224">
        <f>'WetLitterbags placem_collection'!E169</f>
        <v>42763</v>
      </c>
      <c r="V608" s="224">
        <f>IF('WetLitterbags placem_collection'!G169="","",'WetLitterbags placem_collection'!G169)</f>
        <v>42814</v>
      </c>
      <c r="W608" s="225">
        <f t="shared" si="45"/>
        <v>51</v>
      </c>
      <c r="X608" s="223">
        <f t="shared" si="48"/>
        <v>1.2339000000000002</v>
      </c>
      <c r="Y608" s="223">
        <f t="shared" si="49"/>
        <v>1.1824580712983597</v>
      </c>
      <c r="Z608">
        <f>IFERROR(INDEX([1]Rainfall_Wet!$O$2:$O$217,MATCH(C608, [1]Rainfall_Wet!$A$2:$A$217,0)),"")</f>
        <v>181.383442621</v>
      </c>
      <c r="AA608" s="226">
        <v>21.96</v>
      </c>
      <c r="AB608" s="226">
        <v>4.9199999999999982</v>
      </c>
      <c r="AC608" s="226">
        <v>73.12</v>
      </c>
      <c r="AD608" s="227" t="s">
        <v>2651</v>
      </c>
      <c r="AE608" s="226">
        <v>7.2416954164613099</v>
      </c>
      <c r="AF608">
        <f>IF('WetLitterbags placem_collection'!AB169="","",'WetLitterbags placem_collection'!AB169)</f>
        <v>5.6</v>
      </c>
      <c r="AG608">
        <f>IF('WetLitterbags placem_collection'!Z169="","",'WetLitterbags placem_collection'!Z169)</f>
        <v>4.2</v>
      </c>
      <c r="AH608" s="236" t="str">
        <f>IF('WetLitterbags placem_collection'!AA169="","",'WetLitterbags placem_collection'!AA169)</f>
        <v>M</v>
      </c>
      <c r="AI608">
        <f>IF('WetLitterbags placem_collection'!AC169="","",'WetLitterbags placem_collection'!AC169)</f>
        <v>1</v>
      </c>
      <c r="AJ608" s="233">
        <f>AVERAGE('WetLitterbags placem_collection'!S169,'WetLitterbags placem_collection'!U169)</f>
        <v>10.45</v>
      </c>
      <c r="AK608">
        <f>AVERAGE('WetLitterbags placem_collection'!R169,'WetLitterbags placem_collection'!T169)</f>
        <v>31</v>
      </c>
      <c r="AL608">
        <f>INDEX([2]Coordinates!$B$2:$B$197,MATCH(I608,[2]Coordinates!$J$2:$J$197,0))</f>
        <v>-2.2729950310000002</v>
      </c>
      <c r="AM608">
        <f>INDEX([2]Coordinates!$C$2:$C$197,MATCH(I608,[2]Coordinates!$J$2:$J$197,0))</f>
        <v>34.022923990000002</v>
      </c>
      <c r="AN608" t="str">
        <f>IF(ISNUMBER(SEARCH("C", 'WetLitterbags placem_collection'!$X169)),"YES","NO")</f>
        <v>NO</v>
      </c>
      <c r="AO608" t="str">
        <f>IF(ISNUMBER(SEARCH("H", 'WetLitterbags placem_collection'!$X169)),"YES","NO")</f>
        <v>NO</v>
      </c>
      <c r="AP608" t="str">
        <f>IF(ISNUMBER(SEARCH("R", 'WetLitterbags placem_collection'!$X169)),"YES","NO")</f>
        <v>NO</v>
      </c>
    </row>
    <row r="609" spans="1:42" ht="15" customHeight="1">
      <c r="A609" t="s">
        <v>3248</v>
      </c>
      <c r="B609" s="248" t="s">
        <v>2454</v>
      </c>
      <c r="C609" s="253">
        <f>'Dry_Litterbag Placem_Collection'!A170</f>
        <v>168</v>
      </c>
      <c r="D609" s="253" t="str">
        <f>'Dry_Litterbag Placem_Collection'!B170</f>
        <v>Handajega</v>
      </c>
      <c r="E609" s="253" t="s">
        <v>2454</v>
      </c>
      <c r="F609" s="253" t="s">
        <v>2645</v>
      </c>
      <c r="G609" s="253">
        <v>1</v>
      </c>
      <c r="H609" s="253" t="s">
        <v>3126</v>
      </c>
      <c r="I609" s="254" t="str">
        <f>'Dry_Litterbag Placem_Collection'!C170</f>
        <v>Wet_W1_T8</v>
      </c>
      <c r="J609" s="263" t="s">
        <v>2932</v>
      </c>
      <c r="K609" s="256" t="s">
        <v>1147</v>
      </c>
      <c r="L609" s="221" t="str">
        <f>'WetLitterbags placem_collection'!O170</f>
        <v>G680</v>
      </c>
      <c r="M609" s="223">
        <f>IFERROR(INDEX('Green_rooibos initial weight'!$C$5:$C$2000,MATCH(L609, 'Green_rooibos initial weight'!$A$5:$A$2000,0)),"")</f>
        <v>2.0049999999999999</v>
      </c>
      <c r="N609" s="223">
        <f>IFERROR(M609-(TBIcalc!$H$9+TBIcalc!$H$10),"")</f>
        <v>1.7551999999999999</v>
      </c>
      <c r="O609" s="378">
        <f>AVERAGE(Ashed_controlls!$K$2:$K$11)</f>
        <v>5.5147656768714146</v>
      </c>
      <c r="P609" s="223">
        <f t="shared" si="46"/>
        <v>1.6584048328395529</v>
      </c>
      <c r="Q609" s="223">
        <f>IFERROR(INDEX('Both teabags AfterWet'!$C$3:$C$840,MATCH(L609,'Both teabags AfterWet'!$A$3:$A$840,0)),"")</f>
        <v>0.998</v>
      </c>
      <c r="R609" s="223">
        <f>IFERROR(IF(Q609&gt;0,Q609-(TBIcalc!$H$9),""),"")</f>
        <v>0.84739999999999993</v>
      </c>
      <c r="S609" s="223">
        <f>IFERROR(INDEX('Ashed teabags wet'!$K$2:$K$2000,MATCH(L609,'Ashed teabags wet'!$A$2:$A$2000,0)),"")</f>
        <v>7.5706756109248428</v>
      </c>
      <c r="T609" s="223">
        <f t="shared" si="47"/>
        <v>0.78324609487302277</v>
      </c>
      <c r="U609" s="224">
        <f>'WetLitterbags placem_collection'!E170</f>
        <v>42763</v>
      </c>
      <c r="V609" s="224">
        <f>IF('WetLitterbags placem_collection'!G170="","",'WetLitterbags placem_collection'!G170)</f>
        <v>42814</v>
      </c>
      <c r="W609" s="225">
        <f t="shared" si="45"/>
        <v>51</v>
      </c>
      <c r="X609" s="223">
        <f t="shared" si="48"/>
        <v>0.90779999999999994</v>
      </c>
      <c r="Y609" s="223">
        <f t="shared" si="49"/>
        <v>0.8751587379665301</v>
      </c>
      <c r="Z609">
        <f>IFERROR(INDEX([1]Rainfall_Wet!$O$2:$O$217,MATCH(C609, [1]Rainfall_Wet!$A$2:$A$217,0)),"")</f>
        <v>181.383442621</v>
      </c>
      <c r="AA609" s="226">
        <v>21.96</v>
      </c>
      <c r="AB609" s="226">
        <v>4.9199999999999982</v>
      </c>
      <c r="AC609" s="226">
        <v>73.12</v>
      </c>
      <c r="AD609" s="227" t="s">
        <v>2651</v>
      </c>
      <c r="AE609" s="226">
        <v>8.2416954164613099</v>
      </c>
      <c r="AF609">
        <f>IF('WetLitterbags placem_collection'!AB170="","",'WetLitterbags placem_collection'!AB170)</f>
        <v>2.4</v>
      </c>
      <c r="AG609">
        <f>IF('WetLitterbags placem_collection'!Z170="","",'WetLitterbags placem_collection'!Z170)</f>
        <v>46</v>
      </c>
      <c r="AH609" s="236" t="str">
        <f>IF('WetLitterbags placem_collection'!AA170="","",'WetLitterbags placem_collection'!AA170)</f>
        <v>M</v>
      </c>
      <c r="AI609">
        <f>IF('WetLitterbags placem_collection'!AC170="","",'WetLitterbags placem_collection'!AC170)</f>
        <v>0</v>
      </c>
      <c r="AJ609" s="233">
        <f>AVERAGE('WetLitterbags placem_collection'!S170,'WetLitterbags placem_collection'!U170)</f>
        <v>11.25</v>
      </c>
      <c r="AK609">
        <f>AVERAGE('WetLitterbags placem_collection'!R170,'WetLitterbags placem_collection'!T170)</f>
        <v>33.299999999999997</v>
      </c>
      <c r="AL609">
        <f>INDEX([2]Coordinates!$B$2:$B$197,MATCH(I609,[2]Coordinates!$J$2:$J$197,0))</f>
        <v>-2.2729129719999999</v>
      </c>
      <c r="AM609">
        <f>INDEX([2]Coordinates!$C$2:$C$197,MATCH(I609,[2]Coordinates!$J$2:$J$197,0))</f>
        <v>34.023350039999997</v>
      </c>
      <c r="AN609" t="str">
        <f>IF(ISNUMBER(SEARCH("C", 'WetLitterbags placem_collection'!$X170)),"YES","NO")</f>
        <v>NO</v>
      </c>
      <c r="AO609" t="str">
        <f>IF(ISNUMBER(SEARCH("H", 'WetLitterbags placem_collection'!$X170)),"YES","NO")</f>
        <v>NO</v>
      </c>
      <c r="AP609" t="str">
        <f>IF(ISNUMBER(SEARCH("R", 'WetLitterbags placem_collection'!$X170)),"YES","NO")</f>
        <v>NO</v>
      </c>
    </row>
    <row r="610" spans="1:42" ht="15" customHeight="1">
      <c r="A610" t="s">
        <v>3248</v>
      </c>
      <c r="B610" s="248" t="s">
        <v>2454</v>
      </c>
      <c r="C610" s="253">
        <f>'Dry_Litterbag Placem_Collection'!A171</f>
        <v>169</v>
      </c>
      <c r="D610" s="253" t="str">
        <f>'Dry_Litterbag Placem_Collection'!B171</f>
        <v>Handajega</v>
      </c>
      <c r="E610" s="253" t="s">
        <v>2454</v>
      </c>
      <c r="F610" s="253" t="s">
        <v>2645</v>
      </c>
      <c r="G610" s="253">
        <v>2</v>
      </c>
      <c r="H610" s="253" t="s">
        <v>3128</v>
      </c>
      <c r="I610" s="254" t="str">
        <f>'Dry_Litterbag Placem_Collection'!C171</f>
        <v>Wet_W2_T1</v>
      </c>
      <c r="J610" s="263" t="s">
        <v>2932</v>
      </c>
      <c r="K610" s="256" t="s">
        <v>1147</v>
      </c>
      <c r="L610" s="221" t="str">
        <f>'WetLitterbags placem_collection'!O171</f>
        <v>G496</v>
      </c>
      <c r="M610" s="223">
        <f>IFERROR(INDEX('Green_rooibos initial weight'!$C$5:$C$2000,MATCH(L610, 'Green_rooibos initial weight'!$A$5:$A$2000,0)),"")</f>
        <v>1.8480000000000001</v>
      </c>
      <c r="N610" s="223">
        <f>IFERROR(M610-(TBIcalc!$H$9+TBIcalc!$H$10),"")</f>
        <v>1.5982000000000001</v>
      </c>
      <c r="O610" s="378">
        <f>AVERAGE(Ashed_controlls!$K$2:$K$11)</f>
        <v>5.5147656768714146</v>
      </c>
      <c r="P610" s="223">
        <f t="shared" si="46"/>
        <v>1.5100630149522412</v>
      </c>
      <c r="Q610" s="223">
        <f>IFERROR(INDEX('Both teabags AfterWet'!$C$3:$C$840,MATCH(L610,'Both teabags AfterWet'!$A$3:$A$840,0)),"")</f>
        <v>0.57199999999999995</v>
      </c>
      <c r="R610" s="223">
        <f>IFERROR(IF(Q610&gt;0,Q610-(TBIcalc!$H$9),""),"")</f>
        <v>0.42139999999999994</v>
      </c>
      <c r="S610" s="223">
        <f>IFERROR(INDEX('Ashed teabags wet'!$K$2:$K$2000,MATCH(L610,'Ashed teabags wet'!$A$2:$A$2000,0)),"")</f>
        <v>9.4256259204713331</v>
      </c>
      <c r="T610" s="223">
        <f t="shared" si="47"/>
        <v>0.38168041237113376</v>
      </c>
      <c r="U610" s="224">
        <f>'WetLitterbags placem_collection'!E171</f>
        <v>42763</v>
      </c>
      <c r="V610" s="224">
        <f>IF('WetLitterbags placem_collection'!G171="","",'WetLitterbags placem_collection'!G171)</f>
        <v>42814</v>
      </c>
      <c r="W610" s="225">
        <f t="shared" si="45"/>
        <v>51</v>
      </c>
      <c r="X610" s="223">
        <f t="shared" si="48"/>
        <v>1.1768000000000001</v>
      </c>
      <c r="Y610" s="223">
        <f t="shared" si="49"/>
        <v>1.1283826025811075</v>
      </c>
      <c r="Z610">
        <f>IFERROR(INDEX([1]Rainfall_Wet!$O$2:$O$217,MATCH(C610, [1]Rainfall_Wet!$A$2:$A$217,0)),"")</f>
        <v>181.383442621</v>
      </c>
      <c r="AA610" s="226">
        <v>23.96</v>
      </c>
      <c r="AB610" s="226">
        <v>4.9199999999999982</v>
      </c>
      <c r="AC610" s="226">
        <v>71.12</v>
      </c>
      <c r="AD610" s="227" t="s">
        <v>2651</v>
      </c>
      <c r="AE610" s="226">
        <v>3.30913750616067</v>
      </c>
      <c r="AF610">
        <f>IF('WetLitterbags placem_collection'!AB171="","",'WetLitterbags placem_collection'!AB171)</f>
        <v>8.1999999999999993</v>
      </c>
      <c r="AG610">
        <f>IF('WetLitterbags placem_collection'!Z171="","",'WetLitterbags placem_collection'!Z171)</f>
        <v>11.4</v>
      </c>
      <c r="AH610" s="236" t="str">
        <f>IF('WetLitterbags placem_collection'!AA171="","",'WetLitterbags placem_collection'!AA171)</f>
        <v>O</v>
      </c>
      <c r="AI610">
        <f>IF('WetLitterbags placem_collection'!AC171="","",'WetLitterbags placem_collection'!AC171)</f>
        <v>1</v>
      </c>
      <c r="AJ610" s="233">
        <f>AVERAGE('WetLitterbags placem_collection'!S171,'WetLitterbags placem_collection'!U171)</f>
        <v>9.65</v>
      </c>
      <c r="AK610">
        <f>AVERAGE('WetLitterbags placem_collection'!R171,'WetLitterbags placem_collection'!T171)</f>
        <v>36.200000000000003</v>
      </c>
      <c r="AL610">
        <f>INDEX([2]Coordinates!$B$2:$B$197,MATCH(I610,[2]Coordinates!$J$2:$J$197,0))</f>
        <v>-2.2784290180000002</v>
      </c>
      <c r="AM610">
        <f>INDEX([2]Coordinates!$C$2:$C$197,MATCH(I610,[2]Coordinates!$J$2:$J$197,0))</f>
        <v>34.024240030000001</v>
      </c>
      <c r="AN610" t="str">
        <f>IF(ISNUMBER(SEARCH("C", 'WetLitterbags placem_collection'!$X171)),"YES","NO")</f>
        <v>NO</v>
      </c>
      <c r="AO610" t="str">
        <f>IF(ISNUMBER(SEARCH("H", 'WetLitterbags placem_collection'!$X171)),"YES","NO")</f>
        <v>NO</v>
      </c>
      <c r="AP610" t="str">
        <f>IF(ISNUMBER(SEARCH("R", 'WetLitterbags placem_collection'!$X171)),"YES","NO")</f>
        <v>NO</v>
      </c>
    </row>
    <row r="611" spans="1:42" ht="15" customHeight="1">
      <c r="A611" t="s">
        <v>3248</v>
      </c>
      <c r="B611" s="248" t="s">
        <v>2454</v>
      </c>
      <c r="C611" s="253">
        <f>'Dry_Litterbag Placem_Collection'!A172</f>
        <v>170</v>
      </c>
      <c r="D611" s="253" t="str">
        <f>'Dry_Litterbag Placem_Collection'!B172</f>
        <v>Handajega</v>
      </c>
      <c r="E611" s="253" t="s">
        <v>2454</v>
      </c>
      <c r="F611" s="253" t="s">
        <v>2645</v>
      </c>
      <c r="G611" s="253">
        <v>2</v>
      </c>
      <c r="H611" s="253" t="s">
        <v>3128</v>
      </c>
      <c r="I611" s="254" t="str">
        <f>'Dry_Litterbag Placem_Collection'!C172</f>
        <v>Wet_W2_T2</v>
      </c>
      <c r="J611" s="263" t="s">
        <v>2932</v>
      </c>
      <c r="K611" s="256" t="s">
        <v>1147</v>
      </c>
      <c r="L611" s="221" t="str">
        <f>'WetLitterbags placem_collection'!O172</f>
        <v>G674</v>
      </c>
      <c r="M611" s="223">
        <f>IFERROR(INDEX('Green_rooibos initial weight'!$C$5:$C$2000,MATCH(L611, 'Green_rooibos initial weight'!$A$5:$A$2000,0)),"")</f>
        <v>1.9950000000000001</v>
      </c>
      <c r="N611" s="223">
        <f>IFERROR(M611-(TBIcalc!$H$9+TBIcalc!$H$10),"")</f>
        <v>1.7452000000000001</v>
      </c>
      <c r="O611" s="378">
        <f>AVERAGE(Ashed_controlls!$K$2:$K$11)</f>
        <v>5.5147656768714146</v>
      </c>
      <c r="P611" s="223">
        <f t="shared" si="46"/>
        <v>1.6489563094072401</v>
      </c>
      <c r="Q611" s="223">
        <f>IFERROR(INDEX('Both teabags AfterWet'!$C$3:$C$840,MATCH(L611,'Both teabags AfterWet'!$A$3:$A$840,0)),"")</f>
        <v>0.61299999999999999</v>
      </c>
      <c r="R611" s="223">
        <f>IFERROR(IF(Q611&gt;0,Q611-(TBIcalc!$H$9),""),"")</f>
        <v>0.46239999999999998</v>
      </c>
      <c r="S611" s="223">
        <f>IFERROR(INDEX('Ashed teabags wet'!$K$2:$K$2000,MATCH(L611,'Ashed teabags wet'!$A$2:$A$2000,0)),"")</f>
        <v>8.7857847976303241</v>
      </c>
      <c r="T611" s="223">
        <f t="shared" si="47"/>
        <v>0.42177453109575735</v>
      </c>
      <c r="U611" s="224">
        <f>'WetLitterbags placem_collection'!E172</f>
        <v>42763</v>
      </c>
      <c r="V611" s="224">
        <f>IF('WetLitterbags placem_collection'!G172="","",'WetLitterbags placem_collection'!G172)</f>
        <v>42814</v>
      </c>
      <c r="W611" s="225">
        <f t="shared" si="45"/>
        <v>51</v>
      </c>
      <c r="X611" s="223">
        <f t="shared" si="48"/>
        <v>1.2828000000000002</v>
      </c>
      <c r="Y611" s="223">
        <f t="shared" si="49"/>
        <v>1.2271817783114827</v>
      </c>
      <c r="Z611">
        <f>IFERROR(INDEX([1]Rainfall_Wet!$O$2:$O$217,MATCH(C611, [1]Rainfall_Wet!$A$2:$A$217,0)),"")</f>
        <v>181.383442621</v>
      </c>
      <c r="AA611" s="226">
        <v>23.96</v>
      </c>
      <c r="AB611" s="226">
        <v>4.9199999999999982</v>
      </c>
      <c r="AC611" s="226">
        <v>71.12</v>
      </c>
      <c r="AD611" s="227" t="s">
        <v>2651</v>
      </c>
      <c r="AE611" s="226">
        <v>4.3091375061606696</v>
      </c>
      <c r="AF611">
        <f>IF('WetLitterbags placem_collection'!AB172="","",'WetLitterbags placem_collection'!AB172)</f>
        <v>7.7</v>
      </c>
      <c r="AG611">
        <f>IF('WetLitterbags placem_collection'!Z172="","",'WetLitterbags placem_collection'!Z172)</f>
        <v>15.8</v>
      </c>
      <c r="AH611" s="236" t="str">
        <f>IF('WetLitterbags placem_collection'!AA172="","",'WetLitterbags placem_collection'!AA172)</f>
        <v>O</v>
      </c>
      <c r="AI611">
        <f>IF('WetLitterbags placem_collection'!AC172="","",'WetLitterbags placem_collection'!AC172)</f>
        <v>1</v>
      </c>
      <c r="AJ611" s="233">
        <f>AVERAGE('WetLitterbags placem_collection'!S172,'WetLitterbags placem_collection'!U172)</f>
        <v>8.1</v>
      </c>
      <c r="AK611">
        <f>AVERAGE('WetLitterbags placem_collection'!R172,'WetLitterbags placem_collection'!T172)</f>
        <v>33.599999999999994</v>
      </c>
      <c r="AL611">
        <f>INDEX([2]Coordinates!$B$2:$B$197,MATCH(I611,[2]Coordinates!$J$2:$J$197,0))</f>
        <v>-2.2784629650000001</v>
      </c>
      <c r="AM611">
        <f>INDEX([2]Coordinates!$C$2:$C$197,MATCH(I611,[2]Coordinates!$J$2:$J$197,0))</f>
        <v>34.024177999999999</v>
      </c>
      <c r="AN611" t="str">
        <f>IF(ISNUMBER(SEARCH("C", 'WetLitterbags placem_collection'!$X172)),"YES","NO")</f>
        <v>NO</v>
      </c>
      <c r="AO611" t="str">
        <f>IF(ISNUMBER(SEARCH("H", 'WetLitterbags placem_collection'!$X172)),"YES","NO")</f>
        <v>NO</v>
      </c>
      <c r="AP611" t="str">
        <f>IF(ISNUMBER(SEARCH("R", 'WetLitterbags placem_collection'!$X172)),"YES","NO")</f>
        <v>NO</v>
      </c>
    </row>
    <row r="612" spans="1:42" ht="15" customHeight="1">
      <c r="A612" t="s">
        <v>3248</v>
      </c>
      <c r="B612" s="248" t="s">
        <v>2454</v>
      </c>
      <c r="C612" s="253">
        <f>'Dry_Litterbag Placem_Collection'!A173</f>
        <v>171</v>
      </c>
      <c r="D612" s="253" t="str">
        <f>'Dry_Litterbag Placem_Collection'!B173</f>
        <v>Handajega</v>
      </c>
      <c r="E612" s="253" t="s">
        <v>2454</v>
      </c>
      <c r="F612" s="253" t="s">
        <v>2645</v>
      </c>
      <c r="G612" s="253">
        <v>2</v>
      </c>
      <c r="H612" s="253" t="s">
        <v>3128</v>
      </c>
      <c r="I612" s="254" t="str">
        <f>'Dry_Litterbag Placem_Collection'!C173</f>
        <v>Wet_W2_T3</v>
      </c>
      <c r="J612" s="263" t="s">
        <v>2932</v>
      </c>
      <c r="K612" s="256" t="s">
        <v>1147</v>
      </c>
      <c r="L612" s="221" t="str">
        <f>'WetLitterbags placem_collection'!O173</f>
        <v>G504</v>
      </c>
      <c r="M612" s="223">
        <f>IFERROR(INDEX('Green_rooibos initial weight'!$C$5:$C$2000,MATCH(L612, 'Green_rooibos initial weight'!$A$5:$A$2000,0)),"")</f>
        <v>2.0009999999999999</v>
      </c>
      <c r="N612" s="223">
        <f>IFERROR(M612-(TBIcalc!$H$9+TBIcalc!$H$10),"")</f>
        <v>1.7511999999999999</v>
      </c>
      <c r="O612" s="378">
        <f>AVERAGE(Ashed_controlls!$K$2:$K$11)</f>
        <v>5.5147656768714146</v>
      </c>
      <c r="P612" s="223">
        <f t="shared" si="46"/>
        <v>1.6546254234666278</v>
      </c>
      <c r="Q612" s="223">
        <f>IFERROR(INDEX('Both teabags AfterWet'!$C$3:$C$840,MATCH(L612,'Both teabags AfterWet'!$A$3:$A$840,0)),"")</f>
        <v>0.53500000000000003</v>
      </c>
      <c r="R612" s="223">
        <f>IFERROR(IF(Q612&gt;0,Q612-(TBIcalc!$H$9),""),"")</f>
        <v>0.38440000000000002</v>
      </c>
      <c r="S612" s="223">
        <f>IFERROR(INDEX('Ashed teabags wet'!$K$2:$K$2000,MATCH(L612,'Ashed teabags wet'!$A$2:$A$2000,0)),"")</f>
        <v>8.6370444333500629</v>
      </c>
      <c r="T612" s="223">
        <f t="shared" si="47"/>
        <v>0.35119920119820236</v>
      </c>
      <c r="U612" s="224">
        <f>'WetLitterbags placem_collection'!E173</f>
        <v>42763</v>
      </c>
      <c r="V612" s="224">
        <f>IF('WetLitterbags placem_collection'!G173="","",'WetLitterbags placem_collection'!G173)</f>
        <v>42814</v>
      </c>
      <c r="W612" s="225">
        <f t="shared" si="45"/>
        <v>51</v>
      </c>
      <c r="X612" s="223">
        <f t="shared" si="48"/>
        <v>1.3667999999999998</v>
      </c>
      <c r="Y612" s="223">
        <f t="shared" si="49"/>
        <v>1.3034262222684254</v>
      </c>
      <c r="Z612">
        <f>IFERROR(INDEX([1]Rainfall_Wet!$O$2:$O$217,MATCH(C612, [1]Rainfall_Wet!$A$2:$A$217,0)),"")</f>
        <v>181.383442621</v>
      </c>
      <c r="AA612" s="226">
        <v>23.96</v>
      </c>
      <c r="AB612" s="226">
        <v>4.9199999999999982</v>
      </c>
      <c r="AC612" s="226">
        <v>71.12</v>
      </c>
      <c r="AD612" s="227" t="s">
        <v>2651</v>
      </c>
      <c r="AE612" s="226">
        <v>5.3091375061606696</v>
      </c>
      <c r="AF612">
        <f>IF('WetLitterbags placem_collection'!AB173="","",'WetLitterbags placem_collection'!AB173)</f>
        <v>13.4</v>
      </c>
      <c r="AG612">
        <f>IF('WetLitterbags placem_collection'!Z173="","",'WetLitterbags placem_collection'!Z173)</f>
        <v>7.6</v>
      </c>
      <c r="AH612" s="236" t="str">
        <f>IF('WetLitterbags placem_collection'!AA173="","",'WetLitterbags placem_collection'!AA173)</f>
        <v>O</v>
      </c>
      <c r="AI612">
        <f>IF('WetLitterbags placem_collection'!AC173="","",'WetLitterbags placem_collection'!AC173)</f>
        <v>1</v>
      </c>
      <c r="AJ612" s="233">
        <f>AVERAGE('WetLitterbags placem_collection'!S173,'WetLitterbags placem_collection'!U173)</f>
        <v>10.5</v>
      </c>
      <c r="AK612">
        <f>AVERAGE('WetLitterbags placem_collection'!R173,'WetLitterbags placem_collection'!T173)</f>
        <v>34.15</v>
      </c>
      <c r="AL612">
        <f>INDEX([2]Coordinates!$B$2:$B$197,MATCH(I612,[2]Coordinates!$J$2:$J$197,0))</f>
        <v>-2.2785389889999998</v>
      </c>
      <c r="AM612">
        <f>INDEX([2]Coordinates!$C$2:$C$197,MATCH(I612,[2]Coordinates!$J$2:$J$197,0))</f>
        <v>34.024371039999998</v>
      </c>
      <c r="AN612" t="str">
        <f>IF(ISNUMBER(SEARCH("C", 'WetLitterbags placem_collection'!$X173)),"YES","NO")</f>
        <v>NO</v>
      </c>
      <c r="AO612" t="str">
        <f>IF(ISNUMBER(SEARCH("H", 'WetLitterbags placem_collection'!$X173)),"YES","NO")</f>
        <v>NO</v>
      </c>
      <c r="AP612" t="str">
        <f>IF(ISNUMBER(SEARCH("R", 'WetLitterbags placem_collection'!$X173)),"YES","NO")</f>
        <v>NO</v>
      </c>
    </row>
    <row r="613" spans="1:42" ht="15" customHeight="1">
      <c r="A613" t="s">
        <v>3248</v>
      </c>
      <c r="B613" s="248" t="s">
        <v>2454</v>
      </c>
      <c r="C613" s="253">
        <f>'Dry_Litterbag Placem_Collection'!A174</f>
        <v>172</v>
      </c>
      <c r="D613" s="253" t="str">
        <f>'Dry_Litterbag Placem_Collection'!B174</f>
        <v>Handajega</v>
      </c>
      <c r="E613" s="253" t="s">
        <v>2454</v>
      </c>
      <c r="F613" s="253" t="s">
        <v>2645</v>
      </c>
      <c r="G613" s="253">
        <v>2</v>
      </c>
      <c r="H613" s="253" t="s">
        <v>3128</v>
      </c>
      <c r="I613" s="254" t="str">
        <f>'Dry_Litterbag Placem_Collection'!C174</f>
        <v>Wet_W2_T4</v>
      </c>
      <c r="J613" s="263" t="s">
        <v>2932</v>
      </c>
      <c r="K613" s="256" t="s">
        <v>1147</v>
      </c>
      <c r="L613" s="221" t="str">
        <f>'WetLitterbags placem_collection'!O174</f>
        <v>G439</v>
      </c>
      <c r="M613" s="223">
        <f>IFERROR(INDEX('Green_rooibos initial weight'!$C$5:$C$2000,MATCH(L613, 'Green_rooibos initial weight'!$A$5:$A$2000,0)),"")</f>
        <v>2.069</v>
      </c>
      <c r="N613" s="223">
        <f>IFERROR(M613-(TBIcalc!$H$9+TBIcalc!$H$10),"")</f>
        <v>1.8191999999999999</v>
      </c>
      <c r="O613" s="378">
        <f>AVERAGE(Ashed_controlls!$K$2:$K$11)</f>
        <v>5.5147656768714146</v>
      </c>
      <c r="P613" s="223">
        <f t="shared" si="46"/>
        <v>1.7188753828063552</v>
      </c>
      <c r="Q613" s="223">
        <f>IFERROR(INDEX('Both teabags AfterWet'!$C$3:$C$840,MATCH(L613,'Both teabags AfterWet'!$A$3:$A$840,0)),"")</f>
        <v>0.59599999999999997</v>
      </c>
      <c r="R613" s="223">
        <f>IFERROR(IF(Q613&gt;0,Q613-(TBIcalc!$H$9),""),"")</f>
        <v>0.44539999999999996</v>
      </c>
      <c r="S613" s="223">
        <f>IFERROR(INDEX('Ashed teabags wet'!$K$2:$K$2000,MATCH(L613,'Ashed teabags wet'!$A$2:$A$2000,0)),"")</f>
        <v>9.0602409638559092</v>
      </c>
      <c r="T613" s="223">
        <f t="shared" si="47"/>
        <v>0.40504568674698577</v>
      </c>
      <c r="U613" s="224">
        <f>'WetLitterbags placem_collection'!E174</f>
        <v>42763</v>
      </c>
      <c r="V613" s="224">
        <f>IF('WetLitterbags placem_collection'!G174="","",'WetLitterbags placem_collection'!G174)</f>
        <v>42814</v>
      </c>
      <c r="W613" s="225">
        <f t="shared" si="45"/>
        <v>51</v>
      </c>
      <c r="X613" s="223">
        <f t="shared" si="48"/>
        <v>1.3737999999999999</v>
      </c>
      <c r="Y613" s="223">
        <f t="shared" si="49"/>
        <v>1.3138296960593694</v>
      </c>
      <c r="Z613">
        <f>IFERROR(INDEX([1]Rainfall_Wet!$O$2:$O$217,MATCH(C613, [1]Rainfall_Wet!$A$2:$A$217,0)),"")</f>
        <v>181.383442621</v>
      </c>
      <c r="AA613" s="226">
        <v>23.96</v>
      </c>
      <c r="AB613" s="226">
        <v>4.9199999999999982</v>
      </c>
      <c r="AC613" s="226">
        <v>71.12</v>
      </c>
      <c r="AD613" s="227" t="s">
        <v>2651</v>
      </c>
      <c r="AE613" s="226">
        <v>6.3091375061606696</v>
      </c>
      <c r="AF613">
        <f>IF('WetLitterbags placem_collection'!AB174="","",'WetLitterbags placem_collection'!AB174)</f>
        <v>3.3</v>
      </c>
      <c r="AG613">
        <f>IF('WetLitterbags placem_collection'!Z174="","",'WetLitterbags placem_collection'!Z174)</f>
        <v>28.4</v>
      </c>
      <c r="AH613" s="236" t="str">
        <f>IF('WetLitterbags placem_collection'!AA174="","",'WetLitterbags placem_collection'!AA174)</f>
        <v>G</v>
      </c>
      <c r="AI613">
        <f>IF('WetLitterbags placem_collection'!AC174="","",'WetLitterbags placem_collection'!AC174)</f>
        <v>1</v>
      </c>
      <c r="AJ613" s="233">
        <f>AVERAGE('WetLitterbags placem_collection'!S174,'WetLitterbags placem_collection'!U174)</f>
        <v>9.6499999999999986</v>
      </c>
      <c r="AK613">
        <f>AVERAGE('WetLitterbags placem_collection'!R174,'WetLitterbags placem_collection'!T174)</f>
        <v>35.1</v>
      </c>
      <c r="AL613">
        <f>INDEX([2]Coordinates!$B$2:$B$197,MATCH(I613,[2]Coordinates!$J$2:$J$197,0))</f>
        <v>-2.2781410160000002</v>
      </c>
      <c r="AM613">
        <f>INDEX([2]Coordinates!$C$2:$C$197,MATCH(I613,[2]Coordinates!$J$2:$J$197,0))</f>
        <v>34.024136009999999</v>
      </c>
      <c r="AN613" t="str">
        <f>IF(ISNUMBER(SEARCH("C", 'WetLitterbags placem_collection'!$X174)),"YES","NO")</f>
        <v>NO</v>
      </c>
      <c r="AO613" t="str">
        <f>IF(ISNUMBER(SEARCH("H", 'WetLitterbags placem_collection'!$X174)),"YES","NO")</f>
        <v>NO</v>
      </c>
      <c r="AP613" t="str">
        <f>IF(ISNUMBER(SEARCH("R", 'WetLitterbags placem_collection'!$X174)),"YES","NO")</f>
        <v>NO</v>
      </c>
    </row>
    <row r="614" spans="1:42" ht="15" customHeight="1">
      <c r="A614" t="s">
        <v>3248</v>
      </c>
      <c r="B614" s="248" t="s">
        <v>2454</v>
      </c>
      <c r="C614" s="253">
        <f>'Dry_Litterbag Placem_Collection'!A175</f>
        <v>173</v>
      </c>
      <c r="D614" s="253" t="str">
        <f>'Dry_Litterbag Placem_Collection'!B175</f>
        <v>Handajega</v>
      </c>
      <c r="E614" s="253" t="s">
        <v>2454</v>
      </c>
      <c r="F614" s="253" t="s">
        <v>2645</v>
      </c>
      <c r="G614" s="253">
        <v>2</v>
      </c>
      <c r="H614" s="253" t="s">
        <v>3128</v>
      </c>
      <c r="I614" s="254" t="str">
        <f>'Dry_Litterbag Placem_Collection'!C175</f>
        <v>Wet_W2_T5</v>
      </c>
      <c r="J614" s="263" t="s">
        <v>2932</v>
      </c>
      <c r="K614" s="256" t="s">
        <v>1147</v>
      </c>
      <c r="L614" s="221" t="str">
        <f>'WetLitterbags placem_collection'!O175</f>
        <v>G865</v>
      </c>
      <c r="M614" s="223">
        <f>IFERROR(INDEX('Green_rooibos initial weight'!$C$5:$C$2000,MATCH(L614, 'Green_rooibos initial weight'!$A$5:$A$2000,0)),"")</f>
        <v>2.036</v>
      </c>
      <c r="N614" s="223">
        <f>IFERROR(M614-(TBIcalc!$H$9+TBIcalc!$H$10),"")</f>
        <v>1.7862</v>
      </c>
      <c r="O614" s="378">
        <f>AVERAGE(Ashed_controlls!$K$2:$K$11)</f>
        <v>5.5147656768714146</v>
      </c>
      <c r="P614" s="223">
        <f t="shared" si="46"/>
        <v>1.6876952554797229</v>
      </c>
      <c r="Q614" s="223">
        <f>IFERROR(INDEX('Both teabags AfterWet'!$C$3:$C$840,MATCH(L614,'Both teabags AfterWet'!$A$3:$A$840,0)),"")</f>
        <v>0.65549999999999997</v>
      </c>
      <c r="R614" s="223">
        <f>IFERROR(IF(Q614&gt;0,Q614-(TBIcalc!$H$9),""),"")</f>
        <v>0.5048999999999999</v>
      </c>
      <c r="S614" s="223">
        <f>IFERROR(INDEX('Ashed teabags wet'!$K$2:$K$2000,MATCH(L614,'Ashed teabags wet'!$A$2:$A$2000,0)),"")</f>
        <v>9.1408591408588276</v>
      </c>
      <c r="T614" s="223">
        <f t="shared" si="47"/>
        <v>0.4587478021978037</v>
      </c>
      <c r="U614" s="224">
        <f>'WetLitterbags placem_collection'!E175</f>
        <v>42763</v>
      </c>
      <c r="V614" s="224">
        <f>IF('WetLitterbags placem_collection'!G175="","",'WetLitterbags placem_collection'!G175)</f>
        <v>42814</v>
      </c>
      <c r="W614" s="225">
        <f t="shared" si="45"/>
        <v>51</v>
      </c>
      <c r="X614" s="223">
        <f t="shared" si="48"/>
        <v>1.2813000000000001</v>
      </c>
      <c r="Y614" s="223">
        <f t="shared" si="49"/>
        <v>1.2289474532819191</v>
      </c>
      <c r="Z614">
        <f>IFERROR(INDEX([1]Rainfall_Wet!$O$2:$O$217,MATCH(C614, [1]Rainfall_Wet!$A$2:$A$217,0)),"")</f>
        <v>181.383442621</v>
      </c>
      <c r="AA614" s="226">
        <v>23.96</v>
      </c>
      <c r="AB614" s="226">
        <v>4.9199999999999982</v>
      </c>
      <c r="AC614" s="226">
        <v>71.12</v>
      </c>
      <c r="AD614" s="227" t="s">
        <v>2651</v>
      </c>
      <c r="AE614" s="226">
        <v>7.3091375061606696</v>
      </c>
      <c r="AF614">
        <f>IF('WetLitterbags placem_collection'!AB175="","",'WetLitterbags placem_collection'!AB175)</f>
        <v>15.4</v>
      </c>
      <c r="AG614">
        <f>IF('WetLitterbags placem_collection'!Z175="","",'WetLitterbags placem_collection'!Z175)</f>
        <v>12.4</v>
      </c>
      <c r="AH614" s="236" t="str">
        <f>IF('WetLitterbags placem_collection'!AA175="","",'WetLitterbags placem_collection'!AA175)</f>
        <v>O</v>
      </c>
      <c r="AI614">
        <f>IF('WetLitterbags placem_collection'!AC175="","",'WetLitterbags placem_collection'!AC175)</f>
        <v>0</v>
      </c>
      <c r="AJ614" s="233">
        <f>AVERAGE('WetLitterbags placem_collection'!S175,'WetLitterbags placem_collection'!U175)</f>
        <v>10.450000000000001</v>
      </c>
      <c r="AK614">
        <f>AVERAGE('WetLitterbags placem_collection'!R175,'WetLitterbags placem_collection'!T175)</f>
        <v>36.349999999999994</v>
      </c>
      <c r="AL614">
        <f>INDEX([2]Coordinates!$B$2:$B$197,MATCH(I614,[2]Coordinates!$J$2:$J$197,0))</f>
        <v>-2.27856799</v>
      </c>
      <c r="AM614">
        <f>INDEX([2]Coordinates!$C$2:$C$197,MATCH(I614,[2]Coordinates!$J$2:$J$197,0))</f>
        <v>34.023969970000003</v>
      </c>
      <c r="AN614" t="str">
        <f>IF(ISNUMBER(SEARCH("C", 'WetLitterbags placem_collection'!$X175)),"YES","NO")</f>
        <v>NO</v>
      </c>
      <c r="AO614" t="str">
        <f>IF(ISNUMBER(SEARCH("H", 'WetLitterbags placem_collection'!$X175)),"YES","NO")</f>
        <v>NO</v>
      </c>
      <c r="AP614" t="str">
        <f>IF(ISNUMBER(SEARCH("R", 'WetLitterbags placem_collection'!$X175)),"YES","NO")</f>
        <v>NO</v>
      </c>
    </row>
    <row r="615" spans="1:42" ht="15" customHeight="1">
      <c r="A615" t="s">
        <v>3248</v>
      </c>
      <c r="B615" s="248" t="s">
        <v>2454</v>
      </c>
      <c r="C615" s="253">
        <f>'Dry_Litterbag Placem_Collection'!A176</f>
        <v>174</v>
      </c>
      <c r="D615" s="253" t="str">
        <f>'Dry_Litterbag Placem_Collection'!B176</f>
        <v>Handajega</v>
      </c>
      <c r="E615" s="253" t="s">
        <v>2454</v>
      </c>
      <c r="F615" s="253" t="s">
        <v>2645</v>
      </c>
      <c r="G615" s="253">
        <v>2</v>
      </c>
      <c r="H615" s="253" t="s">
        <v>3128</v>
      </c>
      <c r="I615" s="254" t="str">
        <f>'Dry_Litterbag Placem_Collection'!C176</f>
        <v>Wet_W2_T6</v>
      </c>
      <c r="J615" s="263" t="s">
        <v>2932</v>
      </c>
      <c r="K615" s="256" t="s">
        <v>1147</v>
      </c>
      <c r="L615" s="221" t="str">
        <f>'WetLitterbags placem_collection'!O176</f>
        <v>G736</v>
      </c>
      <c r="M615" s="223">
        <f>IFERROR(INDEX('Green_rooibos initial weight'!$C$5:$C$2000,MATCH(L615, 'Green_rooibos initial weight'!$A$5:$A$2000,0)),"")</f>
        <v>2.0760000000000001</v>
      </c>
      <c r="N615" s="223">
        <f>IFERROR(M615-(TBIcalc!$H$9+TBIcalc!$H$10),"")</f>
        <v>1.8262</v>
      </c>
      <c r="O615" s="378">
        <f>AVERAGE(Ashed_controlls!$K$2:$K$11)</f>
        <v>5.5147656768714146</v>
      </c>
      <c r="P615" s="223">
        <f t="shared" si="46"/>
        <v>1.7254893492089742</v>
      </c>
      <c r="Q615" s="223">
        <f>IFERROR(INDEX('Both teabags AfterWet'!$C$3:$C$840,MATCH(L615,'Both teabags AfterWet'!$A$3:$A$840,0)),"")</f>
        <v>0.63500000000000001</v>
      </c>
      <c r="R615" s="223">
        <f>IFERROR(IF(Q615&gt;0,Q615-(TBIcalc!$H$9),""),"")</f>
        <v>0.4844</v>
      </c>
      <c r="S615" s="223">
        <f>IFERROR(INDEX('Ashed teabags wet'!$K$2:$K$2000,MATCH(L615,'Ashed teabags wet'!$A$2:$A$2000,0)),"")</f>
        <v>8.7727944800392965</v>
      </c>
      <c r="T615" s="223">
        <f t="shared" si="47"/>
        <v>0.44190458353868967</v>
      </c>
      <c r="U615" s="224">
        <f>'WetLitterbags placem_collection'!E176</f>
        <v>42763</v>
      </c>
      <c r="V615" s="224">
        <f>IF('WetLitterbags placem_collection'!G176="","",'WetLitterbags placem_collection'!G176)</f>
        <v>42814</v>
      </c>
      <c r="W615" s="225">
        <f t="shared" si="45"/>
        <v>51</v>
      </c>
      <c r="X615" s="223">
        <f t="shared" si="48"/>
        <v>1.3418000000000001</v>
      </c>
      <c r="Y615" s="223">
        <f t="shared" si="49"/>
        <v>1.2835847656702846</v>
      </c>
      <c r="Z615">
        <f>IFERROR(INDEX([1]Rainfall_Wet!$O$2:$O$217,MATCH(C615, [1]Rainfall_Wet!$A$2:$A$217,0)),"")</f>
        <v>181.383442621</v>
      </c>
      <c r="AA615" s="226">
        <v>23.96</v>
      </c>
      <c r="AB615" s="226">
        <v>4.9199999999999982</v>
      </c>
      <c r="AC615" s="226">
        <v>71.12</v>
      </c>
      <c r="AD615" s="227" t="s">
        <v>2651</v>
      </c>
      <c r="AE615" s="226">
        <v>8.3091375061606705</v>
      </c>
      <c r="AF615">
        <f>IF('WetLitterbags placem_collection'!AB176="","",'WetLitterbags placem_collection'!AB176)</f>
        <v>7.4</v>
      </c>
      <c r="AG615">
        <f>IF('WetLitterbags placem_collection'!Z176="","",'WetLitterbags placem_collection'!Z176)</f>
        <v>7.4</v>
      </c>
      <c r="AH615" s="236" t="str">
        <f>IF('WetLitterbags placem_collection'!AA176="","",'WetLitterbags placem_collection'!AA176)</f>
        <v>O</v>
      </c>
      <c r="AI615">
        <f>IF('WetLitterbags placem_collection'!AC176="","",'WetLitterbags placem_collection'!AC176)</f>
        <v>0</v>
      </c>
      <c r="AJ615" s="233">
        <f>AVERAGE('WetLitterbags placem_collection'!S176,'WetLitterbags placem_collection'!U176)</f>
        <v>17.75</v>
      </c>
      <c r="AK615">
        <f>AVERAGE('WetLitterbags placem_collection'!R176,'WetLitterbags placem_collection'!T176)</f>
        <v>34.85</v>
      </c>
      <c r="AL615">
        <f>INDEX([2]Coordinates!$B$2:$B$197,MATCH(I615,[2]Coordinates!$J$2:$J$197,0))</f>
        <v>-2.2786809780000001</v>
      </c>
      <c r="AM615">
        <f>INDEX([2]Coordinates!$C$2:$C$197,MATCH(I615,[2]Coordinates!$J$2:$J$197,0))</f>
        <v>34.02434899</v>
      </c>
      <c r="AN615" t="str">
        <f>IF(ISNUMBER(SEARCH("C", 'WetLitterbags placem_collection'!$X176)),"YES","NO")</f>
        <v>NO</v>
      </c>
      <c r="AO615" t="str">
        <f>IF(ISNUMBER(SEARCH("H", 'WetLitterbags placem_collection'!$X176)),"YES","NO")</f>
        <v>NO</v>
      </c>
      <c r="AP615" t="str">
        <f>IF(ISNUMBER(SEARCH("R", 'WetLitterbags placem_collection'!$X176)),"YES","NO")</f>
        <v>NO</v>
      </c>
    </row>
    <row r="616" spans="1:42" ht="15" customHeight="1">
      <c r="A616" t="s">
        <v>3248</v>
      </c>
      <c r="B616" s="248" t="s">
        <v>2454</v>
      </c>
      <c r="C616" s="253">
        <f>'Dry_Litterbag Placem_Collection'!A177</f>
        <v>175</v>
      </c>
      <c r="D616" s="253" t="str">
        <f>'Dry_Litterbag Placem_Collection'!B177</f>
        <v>Handajega</v>
      </c>
      <c r="E616" s="253" t="s">
        <v>2454</v>
      </c>
      <c r="F616" s="253" t="s">
        <v>2645</v>
      </c>
      <c r="G616" s="253">
        <v>2</v>
      </c>
      <c r="H616" s="253" t="s">
        <v>3128</v>
      </c>
      <c r="I616" s="254" t="str">
        <f>'Dry_Litterbag Placem_Collection'!C177</f>
        <v>Wet_W2_T7</v>
      </c>
      <c r="J616" s="263" t="s">
        <v>2932</v>
      </c>
      <c r="K616" s="256" t="s">
        <v>1147</v>
      </c>
      <c r="L616" s="221" t="str">
        <f>'WetLitterbags placem_collection'!O177</f>
        <v>G772</v>
      </c>
      <c r="M616" s="223">
        <f>IFERROR(INDEX('Green_rooibos initial weight'!$C$5:$C$2000,MATCH(L616, 'Green_rooibos initial weight'!$A$5:$A$2000,0)),"")</f>
        <v>2.0419999999999998</v>
      </c>
      <c r="N616" s="223">
        <f>IFERROR(M616-(TBIcalc!$H$9+TBIcalc!$H$10),"")</f>
        <v>1.7921999999999998</v>
      </c>
      <c r="O616" s="378">
        <f>AVERAGE(Ashed_controlls!$K$2:$K$11)</f>
        <v>5.5147656768714146</v>
      </c>
      <c r="P616" s="223">
        <f t="shared" si="46"/>
        <v>1.6933643695391103</v>
      </c>
      <c r="Q616" s="223">
        <f>IFERROR(INDEX('Both teabags AfterWet'!$C$3:$C$840,MATCH(L616,'Both teabags AfterWet'!$A$3:$A$840,0)),"")</f>
        <v>0.58099999999999996</v>
      </c>
      <c r="R616" s="223">
        <f>IFERROR(IF(Q616&gt;0,Q616-(TBIcalc!$H$9),""),"")</f>
        <v>0.43039999999999995</v>
      </c>
      <c r="S616" s="223">
        <f>IFERROR(INDEX('Ashed teabags wet'!$K$2:$K$2000,MATCH(L616,'Ashed teabags wet'!$A$2:$A$2000,0)),"")</f>
        <v>9.0770015298325593</v>
      </c>
      <c r="T616" s="223">
        <f t="shared" si="47"/>
        <v>0.39133258541560062</v>
      </c>
      <c r="U616" s="224">
        <f>'WetLitterbags placem_collection'!E177</f>
        <v>42763</v>
      </c>
      <c r="V616" s="224">
        <f>IF('WetLitterbags placem_collection'!G177="","",'WetLitterbags placem_collection'!G177)</f>
        <v>42814</v>
      </c>
      <c r="W616" s="225">
        <f t="shared" si="45"/>
        <v>51</v>
      </c>
      <c r="X616" s="223">
        <f t="shared" si="48"/>
        <v>1.3617999999999999</v>
      </c>
      <c r="Y616" s="223">
        <f t="shared" si="49"/>
        <v>1.3020317841235096</v>
      </c>
      <c r="Z616">
        <f>IFERROR(INDEX([1]Rainfall_Wet!$O$2:$O$217,MATCH(C616, [1]Rainfall_Wet!$A$2:$A$217,0)),"")</f>
        <v>181.383442621</v>
      </c>
      <c r="AA616" s="226">
        <v>23.96</v>
      </c>
      <c r="AB616" s="226">
        <v>4.9199999999999982</v>
      </c>
      <c r="AC616" s="226">
        <v>71.12</v>
      </c>
      <c r="AD616" s="227" t="s">
        <v>2651</v>
      </c>
      <c r="AE616" s="226">
        <v>9.3091375061606705</v>
      </c>
      <c r="AF616">
        <f>IF('WetLitterbags placem_collection'!AB177="","",'WetLitterbags placem_collection'!AB177)</f>
        <v>15.4</v>
      </c>
      <c r="AG616">
        <f>IF('WetLitterbags placem_collection'!Z177="","",'WetLitterbags placem_collection'!Z177)</f>
        <v>9.8000000000000007</v>
      </c>
      <c r="AH616" s="236" t="str">
        <f>IF('WetLitterbags placem_collection'!AA177="","",'WetLitterbags placem_collection'!AA177)</f>
        <v>O</v>
      </c>
      <c r="AI616">
        <f>IF('WetLitterbags placem_collection'!AC177="","",'WetLitterbags placem_collection'!AC177)</f>
        <v>1</v>
      </c>
      <c r="AJ616" s="233">
        <f>AVERAGE('WetLitterbags placem_collection'!S177,'WetLitterbags placem_collection'!U177)</f>
        <v>11.55</v>
      </c>
      <c r="AK616">
        <f>AVERAGE('WetLitterbags placem_collection'!R177,'WetLitterbags placem_collection'!T177)</f>
        <v>36.25</v>
      </c>
      <c r="AL616">
        <f>INDEX([2]Coordinates!$B$2:$B$197,MATCH(I616,[2]Coordinates!$J$2:$J$197,0))</f>
        <v>-2.2784219779999999</v>
      </c>
      <c r="AM616">
        <f>INDEX([2]Coordinates!$C$2:$C$197,MATCH(I616,[2]Coordinates!$J$2:$J$197,0))</f>
        <v>34.024374979999997</v>
      </c>
      <c r="AN616" t="str">
        <f>IF(ISNUMBER(SEARCH("C", 'WetLitterbags placem_collection'!$X177)),"YES","NO")</f>
        <v>NO</v>
      </c>
      <c r="AO616" t="str">
        <f>IF(ISNUMBER(SEARCH("H", 'WetLitterbags placem_collection'!$X177)),"YES","NO")</f>
        <v>NO</v>
      </c>
      <c r="AP616" t="str">
        <f>IF(ISNUMBER(SEARCH("R", 'WetLitterbags placem_collection'!$X177)),"YES","NO")</f>
        <v>NO</v>
      </c>
    </row>
    <row r="617" spans="1:42" ht="15" customHeight="1">
      <c r="A617" t="s">
        <v>3248</v>
      </c>
      <c r="B617" s="248" t="s">
        <v>2454</v>
      </c>
      <c r="C617" s="253">
        <f>'Dry_Litterbag Placem_Collection'!A178</f>
        <v>176</v>
      </c>
      <c r="D617" s="253" t="str">
        <f>'Dry_Litterbag Placem_Collection'!B178</f>
        <v>Handajega</v>
      </c>
      <c r="E617" s="253" t="s">
        <v>2454</v>
      </c>
      <c r="F617" s="253" t="s">
        <v>2645</v>
      </c>
      <c r="G617" s="253">
        <v>2</v>
      </c>
      <c r="H617" s="253" t="s">
        <v>3128</v>
      </c>
      <c r="I617" s="254" t="str">
        <f>'Dry_Litterbag Placem_Collection'!C178</f>
        <v>Wet_W2_T8</v>
      </c>
      <c r="J617" s="263" t="s">
        <v>2932</v>
      </c>
      <c r="K617" s="256" t="s">
        <v>1147</v>
      </c>
      <c r="L617" s="221" t="str">
        <f>'WetLitterbags placem_collection'!O178</f>
        <v>G470</v>
      </c>
      <c r="M617" s="223">
        <f>IFERROR(INDEX('Green_rooibos initial weight'!$C$5:$C$2000,MATCH(L617, 'Green_rooibos initial weight'!$A$5:$A$2000,0)),"")</f>
        <v>1.9970000000000001</v>
      </c>
      <c r="N617" s="223">
        <f>IFERROR(M617-(TBIcalc!$H$9+TBIcalc!$H$10),"")</f>
        <v>1.7472000000000001</v>
      </c>
      <c r="O617" s="378">
        <f>AVERAGE(Ashed_controlls!$K$2:$K$11)</f>
        <v>5.5147656768714146</v>
      </c>
      <c r="P617" s="223">
        <f t="shared" si="46"/>
        <v>1.6508460140937027</v>
      </c>
      <c r="Q617" s="223">
        <f>IFERROR(INDEX('Both teabags AfterWet'!$C$3:$C$840,MATCH(L617,'Both teabags AfterWet'!$A$3:$A$840,0)),"")</f>
        <v>0.60299999999999998</v>
      </c>
      <c r="R617" s="223">
        <f>IFERROR(IF(Q617&gt;0,Q617-(TBIcalc!$H$9),""),"")</f>
        <v>0.45239999999999997</v>
      </c>
      <c r="S617" s="223">
        <f>IFERROR(INDEX('Ashed teabags wet'!$K$2:$K$2000,MATCH(L617,'Ashed teabags wet'!$A$2:$A$2000,0)),"")</f>
        <v>9.3558282208585464</v>
      </c>
      <c r="T617" s="223">
        <f t="shared" si="47"/>
        <v>0.4100742331288359</v>
      </c>
      <c r="U617" s="224">
        <f>'WetLitterbags placem_collection'!E178</f>
        <v>42763</v>
      </c>
      <c r="V617" s="224">
        <f>IF('WetLitterbags placem_collection'!G178="","",'WetLitterbags placem_collection'!G178)</f>
        <v>42814</v>
      </c>
      <c r="W617" s="225">
        <f t="shared" si="45"/>
        <v>51</v>
      </c>
      <c r="X617" s="223">
        <f t="shared" si="48"/>
        <v>1.2948000000000002</v>
      </c>
      <c r="Y617" s="223">
        <f t="shared" si="49"/>
        <v>1.2407717809648668</v>
      </c>
      <c r="Z617">
        <f>IFERROR(INDEX([1]Rainfall_Wet!$O$2:$O$217,MATCH(C617, [1]Rainfall_Wet!$A$2:$A$217,0)),"")</f>
        <v>181.383442621</v>
      </c>
      <c r="AA617" s="226">
        <v>23.96</v>
      </c>
      <c r="AB617" s="226">
        <v>4.9199999999999982</v>
      </c>
      <c r="AC617" s="226">
        <v>71.12</v>
      </c>
      <c r="AD617" s="227" t="s">
        <v>2651</v>
      </c>
      <c r="AE617" s="226">
        <v>10.309137506160701</v>
      </c>
      <c r="AF617">
        <f>IF('WetLitterbags placem_collection'!AB178="","",'WetLitterbags placem_collection'!AB178)</f>
        <v>6.8</v>
      </c>
      <c r="AG617">
        <f>IF('WetLitterbags placem_collection'!Z178="","",'WetLitterbags placem_collection'!Z178)</f>
        <v>6.9</v>
      </c>
      <c r="AH617" s="236" t="str">
        <f>IF('WetLitterbags placem_collection'!AA178="","",'WetLitterbags placem_collection'!AA178)</f>
        <v>O</v>
      </c>
      <c r="AI617">
        <f>IF('WetLitterbags placem_collection'!AC178="","",'WetLitterbags placem_collection'!AC178)</f>
        <v>0</v>
      </c>
      <c r="AJ617" s="233">
        <f>AVERAGE('WetLitterbags placem_collection'!S178,'WetLitterbags placem_collection'!U178)</f>
        <v>11.4</v>
      </c>
      <c r="AK617">
        <f>AVERAGE('WetLitterbags placem_collection'!R178,'WetLitterbags placem_collection'!T178)</f>
        <v>34.15</v>
      </c>
      <c r="AL617">
        <f>INDEX([2]Coordinates!$B$2:$B$197,MATCH(I617,[2]Coordinates!$J$2:$J$197,0))</f>
        <v>-2.2782909679999999</v>
      </c>
      <c r="AM617">
        <f>INDEX([2]Coordinates!$C$2:$C$197,MATCH(I617,[2]Coordinates!$J$2:$J$197,0))</f>
        <v>34.024574970000003</v>
      </c>
      <c r="AN617" t="str">
        <f>IF(ISNUMBER(SEARCH("C", 'WetLitterbags placem_collection'!$X178)),"YES","NO")</f>
        <v>NO</v>
      </c>
      <c r="AO617" t="str">
        <f>IF(ISNUMBER(SEARCH("H", 'WetLitterbags placem_collection'!$X178)),"YES","NO")</f>
        <v>NO</v>
      </c>
      <c r="AP617" t="str">
        <f>IF(ISNUMBER(SEARCH("R", 'WetLitterbags placem_collection'!$X178)),"YES","NO")</f>
        <v>NO</v>
      </c>
    </row>
    <row r="618" spans="1:42" ht="15" customHeight="1">
      <c r="A618" t="s">
        <v>3248</v>
      </c>
      <c r="B618" s="248" t="s">
        <v>2454</v>
      </c>
      <c r="C618" s="253">
        <f>'Dry_Litterbag Placem_Collection'!A179</f>
        <v>177</v>
      </c>
      <c r="D618" s="253" t="str">
        <f>'Dry_Litterbag Placem_Collection'!B179</f>
        <v>Handajega</v>
      </c>
      <c r="E618" s="253" t="s">
        <v>2454</v>
      </c>
      <c r="F618" s="253" t="s">
        <v>2645</v>
      </c>
      <c r="G618" s="253">
        <v>3</v>
      </c>
      <c r="H618" s="253" t="s">
        <v>3129</v>
      </c>
      <c r="I618" s="254" t="str">
        <f>'Dry_Litterbag Placem_Collection'!C179</f>
        <v>Wet_W3_T1</v>
      </c>
      <c r="J618" s="263" t="s">
        <v>2932</v>
      </c>
      <c r="K618" s="256" t="s">
        <v>1147</v>
      </c>
      <c r="L618" s="221" t="str">
        <f>'WetLitterbags placem_collection'!O179</f>
        <v>G483</v>
      </c>
      <c r="M618" s="223">
        <f>IFERROR(INDEX('Green_rooibos initial weight'!$C$5:$C$2000,MATCH(L618, 'Green_rooibos initial weight'!$A$5:$A$2000,0)),"")</f>
        <v>1.9750000000000001</v>
      </c>
      <c r="N618" s="223">
        <f>IFERROR(M618-(TBIcalc!$H$9+TBIcalc!$H$10),"")</f>
        <v>1.7252000000000001</v>
      </c>
      <c r="O618" s="378">
        <f>AVERAGE(Ashed_controlls!$K$2:$K$11)</f>
        <v>5.5147656768714146</v>
      </c>
      <c r="P618" s="223">
        <f t="shared" si="46"/>
        <v>1.6300592625426145</v>
      </c>
      <c r="Q618" s="223">
        <f>IFERROR(INDEX('Both teabags AfterWet'!$C$3:$C$840,MATCH(L618,'Both teabags AfterWet'!$A$3:$A$840,0)),"")</f>
        <v>0.58399999999999996</v>
      </c>
      <c r="R618" s="223">
        <f>IFERROR(IF(Q618&gt;0,Q618-(TBIcalc!$H$9),""),"")</f>
        <v>0.43339999999999995</v>
      </c>
      <c r="S618" s="223">
        <f>IFERROR(INDEX('Ashed teabags wet'!$K$2:$K$2000,MATCH(L618,'Ashed teabags wet'!$A$2:$A$2000,0)),"")</f>
        <v>8.5170340681363346</v>
      </c>
      <c r="T618" s="223">
        <f t="shared" si="47"/>
        <v>0.39648717434869707</v>
      </c>
      <c r="U618" s="224">
        <f>'WetLitterbags placem_collection'!E179</f>
        <v>42763</v>
      </c>
      <c r="V618" s="224">
        <f>IF('WetLitterbags placem_collection'!G179="","",'WetLitterbags placem_collection'!G179)</f>
        <v>42815</v>
      </c>
      <c r="W618" s="225">
        <f t="shared" si="45"/>
        <v>52</v>
      </c>
      <c r="X618" s="223">
        <f t="shared" si="48"/>
        <v>1.2918000000000001</v>
      </c>
      <c r="Y618" s="223">
        <f t="shared" si="49"/>
        <v>1.2335720881939174</v>
      </c>
      <c r="Z618">
        <f>IFERROR(INDEX([1]Rainfall_Wet!$O$2:$O$217,MATCH(C618, [1]Rainfall_Wet!$A$2:$A$217,0)),"")</f>
        <v>188.24043152799999</v>
      </c>
      <c r="AA618" s="226">
        <v>25.96</v>
      </c>
      <c r="AB618" s="226">
        <v>8.9200000000000017</v>
      </c>
      <c r="AC618" s="226">
        <v>65.12</v>
      </c>
      <c r="AD618" s="227" t="s">
        <v>2651</v>
      </c>
      <c r="AE618" s="226">
        <v>1.614588467225234</v>
      </c>
      <c r="AF618">
        <f>IF('WetLitterbags placem_collection'!AB179="","",'WetLitterbags placem_collection'!AB179)</f>
        <v>17.8</v>
      </c>
      <c r="AG618">
        <f>IF('WetLitterbags placem_collection'!Z179="","",'WetLitterbags placem_collection'!Z179)</f>
        <v>25.8</v>
      </c>
      <c r="AH618" s="236" t="str">
        <f>IF('WetLitterbags placem_collection'!AA179="","",'WetLitterbags placem_collection'!AA179)</f>
        <v>O</v>
      </c>
      <c r="AI618">
        <f>IF('WetLitterbags placem_collection'!AC179="","",'WetLitterbags placem_collection'!AC179)</f>
        <v>0</v>
      </c>
      <c r="AJ618" s="233">
        <f>AVERAGE('WetLitterbags placem_collection'!S179,'WetLitterbags placem_collection'!U179)</f>
        <v>19.200000000000003</v>
      </c>
      <c r="AK618">
        <f>AVERAGE('WetLitterbags placem_collection'!R179,'WetLitterbags placem_collection'!T179)</f>
        <v>32.1</v>
      </c>
      <c r="AL618">
        <f>INDEX([2]Coordinates!$B$2:$B$197,MATCH(I618,[2]Coordinates!$J$2:$J$197,0))</f>
        <v>-2.277740026</v>
      </c>
      <c r="AM618">
        <f>INDEX([2]Coordinates!$C$2:$C$197,MATCH(I618,[2]Coordinates!$J$2:$J$197,0))</f>
        <v>34.027640990000002</v>
      </c>
      <c r="AN618" t="str">
        <f>IF(ISNUMBER(SEARCH("C", 'WetLitterbags placem_collection'!$X179)),"YES","NO")</f>
        <v>NO</v>
      </c>
      <c r="AO618" t="str">
        <f>IF(ISNUMBER(SEARCH("H", 'WetLitterbags placem_collection'!$X179)),"YES","NO")</f>
        <v>NO</v>
      </c>
      <c r="AP618" t="str">
        <f>IF(ISNUMBER(SEARCH("R", 'WetLitterbags placem_collection'!$X179)),"YES","NO")</f>
        <v>NO</v>
      </c>
    </row>
    <row r="619" spans="1:42" ht="15" customHeight="1">
      <c r="A619" t="s">
        <v>3248</v>
      </c>
      <c r="B619" s="248" t="s">
        <v>2454</v>
      </c>
      <c r="C619" s="253">
        <f>'Dry_Litterbag Placem_Collection'!A180</f>
        <v>178</v>
      </c>
      <c r="D619" s="253" t="str">
        <f>'Dry_Litterbag Placem_Collection'!B180</f>
        <v>Handajega</v>
      </c>
      <c r="E619" s="253" t="s">
        <v>2454</v>
      </c>
      <c r="F619" s="253" t="s">
        <v>2645</v>
      </c>
      <c r="G619" s="253">
        <v>3</v>
      </c>
      <c r="H619" s="253" t="s">
        <v>3129</v>
      </c>
      <c r="I619" s="254" t="str">
        <f>'Dry_Litterbag Placem_Collection'!C180</f>
        <v>Wet_W3_T2</v>
      </c>
      <c r="J619" s="263" t="s">
        <v>2932</v>
      </c>
      <c r="K619" s="256" t="s">
        <v>1147</v>
      </c>
      <c r="L619" s="221" t="str">
        <f>'WetLitterbags placem_collection'!O180</f>
        <v>G893</v>
      </c>
      <c r="M619" s="223">
        <f>IFERROR(INDEX('Green_rooibos initial weight'!$C$5:$C$2000,MATCH(L619, 'Green_rooibos initial weight'!$A$5:$A$2000,0)),"")</f>
        <v>2.036</v>
      </c>
      <c r="N619" s="223">
        <f>IFERROR(M619-(TBIcalc!$H$9+TBIcalc!$H$10),"")</f>
        <v>1.7862</v>
      </c>
      <c r="O619" s="378">
        <f>AVERAGE(Ashed_controlls!$K$2:$K$11)</f>
        <v>5.5147656768714146</v>
      </c>
      <c r="P619" s="223">
        <f t="shared" si="46"/>
        <v>1.6876952554797229</v>
      </c>
      <c r="Q619" s="223">
        <f>IFERROR(INDEX('Both teabags AfterWet'!$C$3:$C$840,MATCH(L619,'Both teabags AfterWet'!$A$3:$A$840,0)),"")</f>
        <v>0.60699999999999998</v>
      </c>
      <c r="R619" s="223">
        <f>IFERROR(IF(Q619&gt;0,Q619-(TBIcalc!$H$9),""),"")</f>
        <v>0.45639999999999997</v>
      </c>
      <c r="S619" s="223">
        <f>IFERROR(INDEX('Ashed teabags wet'!$K$2:$K$2000,MATCH(L619,'Ashed teabags wet'!$A$2:$A$2000,0)),"")</f>
        <v>8.1265206812653794</v>
      </c>
      <c r="T619" s="223">
        <f t="shared" si="47"/>
        <v>0.41931055961070479</v>
      </c>
      <c r="U619" s="224">
        <f>'WetLitterbags placem_collection'!E180</f>
        <v>42763</v>
      </c>
      <c r="V619" s="224">
        <f>IF('WetLitterbags placem_collection'!G180="","",'WetLitterbags placem_collection'!G180)</f>
        <v>42815</v>
      </c>
      <c r="W619" s="225">
        <f t="shared" si="45"/>
        <v>52</v>
      </c>
      <c r="X619" s="223">
        <f t="shared" si="48"/>
        <v>1.3298000000000001</v>
      </c>
      <c r="Y619" s="223">
        <f t="shared" si="49"/>
        <v>1.2683846958690181</v>
      </c>
      <c r="Z619">
        <f>IFERROR(INDEX([1]Rainfall_Wet!$O$2:$O$217,MATCH(C619, [1]Rainfall_Wet!$A$2:$A$217,0)),"")</f>
        <v>188.24043152799999</v>
      </c>
      <c r="AA619" s="226">
        <v>25.96</v>
      </c>
      <c r="AB619" s="226">
        <v>8.9200000000000017</v>
      </c>
      <c r="AC619" s="226">
        <v>65.12</v>
      </c>
      <c r="AD619" s="227" t="s">
        <v>2651</v>
      </c>
      <c r="AE619" s="226">
        <v>2.61458846722523</v>
      </c>
      <c r="AF619">
        <f>IF('WetLitterbags placem_collection'!AB180="","",'WetLitterbags placem_collection'!AB180)</f>
        <v>15.4</v>
      </c>
      <c r="AG619">
        <f>IF('WetLitterbags placem_collection'!Z180="","",'WetLitterbags placem_collection'!Z180)</f>
        <v>18.8</v>
      </c>
      <c r="AH619" s="236" t="str">
        <f>IF('WetLitterbags placem_collection'!AA180="","",'WetLitterbags placem_collection'!AA180)</f>
        <v>O</v>
      </c>
      <c r="AI619">
        <f>IF('WetLitterbags placem_collection'!AC180="","",'WetLitterbags placem_collection'!AC180)</f>
        <v>1</v>
      </c>
      <c r="AJ619" s="233">
        <f>AVERAGE('WetLitterbags placem_collection'!S180,'WetLitterbags placem_collection'!U180)</f>
        <v>17.149999999999999</v>
      </c>
      <c r="AK619">
        <f>AVERAGE('WetLitterbags placem_collection'!R180,'WetLitterbags placem_collection'!T180)</f>
        <v>32.950000000000003</v>
      </c>
      <c r="AL619">
        <f>INDEX([2]Coordinates!$B$2:$B$197,MATCH(I619,[2]Coordinates!$J$2:$J$197,0))</f>
        <v>-2.2777889760000001</v>
      </c>
      <c r="AM619">
        <f>INDEX([2]Coordinates!$C$2:$C$197,MATCH(I619,[2]Coordinates!$J$2:$J$197,0))</f>
        <v>34.027664960000003</v>
      </c>
      <c r="AN619" t="str">
        <f>IF(ISNUMBER(SEARCH("C", 'WetLitterbags placem_collection'!$X180)),"YES","NO")</f>
        <v>NO</v>
      </c>
      <c r="AO619" t="str">
        <f>IF(ISNUMBER(SEARCH("H", 'WetLitterbags placem_collection'!$X180)),"YES","NO")</f>
        <v>NO</v>
      </c>
      <c r="AP619" t="str">
        <f>IF(ISNUMBER(SEARCH("R", 'WetLitterbags placem_collection'!$X180)),"YES","NO")</f>
        <v>YES</v>
      </c>
    </row>
    <row r="620" spans="1:42" ht="15" customHeight="1">
      <c r="A620" t="s">
        <v>3248</v>
      </c>
      <c r="B620" s="248" t="s">
        <v>2454</v>
      </c>
      <c r="C620" s="253">
        <f>'Dry_Litterbag Placem_Collection'!A181</f>
        <v>179</v>
      </c>
      <c r="D620" s="253" t="str">
        <f>'Dry_Litterbag Placem_Collection'!B181</f>
        <v>Handajega</v>
      </c>
      <c r="E620" s="253" t="s">
        <v>2454</v>
      </c>
      <c r="F620" s="253" t="s">
        <v>2645</v>
      </c>
      <c r="G620" s="253">
        <v>3</v>
      </c>
      <c r="H620" s="253" t="s">
        <v>3129</v>
      </c>
      <c r="I620" s="254" t="str">
        <f>'Dry_Litterbag Placem_Collection'!C181</f>
        <v>Wet_W3_T3</v>
      </c>
      <c r="J620" s="263" t="s">
        <v>2932</v>
      </c>
      <c r="K620" s="256" t="s">
        <v>1147</v>
      </c>
      <c r="L620" s="221" t="str">
        <f>'WetLitterbags placem_collection'!O181</f>
        <v>G826</v>
      </c>
      <c r="M620" s="223">
        <f>IFERROR(INDEX('Green_rooibos initial weight'!$C$5:$C$2000,MATCH(L620, 'Green_rooibos initial weight'!$A$5:$A$2000,0)),"")</f>
        <v>2.15</v>
      </c>
      <c r="N620" s="223">
        <f>IFERROR(M620-(TBIcalc!$H$9+TBIcalc!$H$10),"")</f>
        <v>1.9001999999999999</v>
      </c>
      <c r="O620" s="378">
        <f>AVERAGE(Ashed_controlls!$K$2:$K$11)</f>
        <v>5.5147656768714146</v>
      </c>
      <c r="P620" s="223">
        <f t="shared" si="46"/>
        <v>1.7954084226080893</v>
      </c>
      <c r="Q620" s="223">
        <f>IFERROR(INDEX('Both teabags AfterWet'!$C$3:$C$840,MATCH(L620,'Both teabags AfterWet'!$A$3:$A$840,0)),"")</f>
        <v>0.60060000000000002</v>
      </c>
      <c r="R620" s="223">
        <f>IFERROR(IF(Q620&gt;0,Q620-(TBIcalc!$H$9),""),"")</f>
        <v>0.45</v>
      </c>
      <c r="S620" s="223">
        <f>IFERROR(INDEX('Ashed teabags wet'!$K$2:$K$2000,MATCH(L620,'Ashed teabags wet'!$A$2:$A$2000,0)),"")</f>
        <v>8.7676570871892565</v>
      </c>
      <c r="T620" s="223">
        <f t="shared" si="47"/>
        <v>0.41054554310764835</v>
      </c>
      <c r="U620" s="224">
        <f>'WetLitterbags placem_collection'!E181</f>
        <v>42763</v>
      </c>
      <c r="V620" s="224">
        <f>IF('WetLitterbags placem_collection'!G181="","",'WetLitterbags placem_collection'!G181)</f>
        <v>42815</v>
      </c>
      <c r="W620" s="225">
        <f t="shared" si="45"/>
        <v>52</v>
      </c>
      <c r="X620" s="223">
        <f t="shared" si="48"/>
        <v>1.4501999999999999</v>
      </c>
      <c r="Y620" s="223">
        <f t="shared" si="49"/>
        <v>1.384862879500441</v>
      </c>
      <c r="Z620">
        <f>IFERROR(INDEX([1]Rainfall_Wet!$O$2:$O$217,MATCH(C620, [1]Rainfall_Wet!$A$2:$A$217,0)),"")</f>
        <v>188.24043152799999</v>
      </c>
      <c r="AA620" s="226">
        <v>25.96</v>
      </c>
      <c r="AB620" s="226">
        <v>8.9200000000000017</v>
      </c>
      <c r="AC620" s="226">
        <v>65.12</v>
      </c>
      <c r="AD620" s="227" t="s">
        <v>2651</v>
      </c>
      <c r="AE620" s="226">
        <v>3.61458846722523</v>
      </c>
      <c r="AF620">
        <f>IF('WetLitterbags placem_collection'!AB181="","",'WetLitterbags placem_collection'!AB181)</f>
        <v>11.8</v>
      </c>
      <c r="AG620">
        <f>IF('WetLitterbags placem_collection'!Z181="","",'WetLitterbags placem_collection'!Z181)</f>
        <v>15.4</v>
      </c>
      <c r="AH620" s="236" t="str">
        <f>IF('WetLitterbags placem_collection'!AA181="","",'WetLitterbags placem_collection'!AA181)</f>
        <v>O</v>
      </c>
      <c r="AI620">
        <f>IF('WetLitterbags placem_collection'!AC181="","",'WetLitterbags placem_collection'!AC181)</f>
        <v>1</v>
      </c>
      <c r="AJ620" s="233">
        <f>AVERAGE('WetLitterbags placem_collection'!S181,'WetLitterbags placem_collection'!U181)</f>
        <v>14.8</v>
      </c>
      <c r="AK620">
        <f>AVERAGE('WetLitterbags placem_collection'!R181,'WetLitterbags placem_collection'!T181)</f>
        <v>32.150000000000006</v>
      </c>
      <c r="AL620">
        <f>INDEX([2]Coordinates!$B$2:$B$197,MATCH(I620,[2]Coordinates!$J$2:$J$197,0))</f>
        <v>-2.2778579589999999</v>
      </c>
      <c r="AM620">
        <f>INDEX([2]Coordinates!$C$2:$C$197,MATCH(I620,[2]Coordinates!$J$2:$J$197,0))</f>
        <v>34.027682980000002</v>
      </c>
      <c r="AN620" t="str">
        <f>IF(ISNUMBER(SEARCH("C", 'WetLitterbags placem_collection'!$X181)),"YES","NO")</f>
        <v>NO</v>
      </c>
      <c r="AO620" t="str">
        <f>IF(ISNUMBER(SEARCH("H", 'WetLitterbags placem_collection'!$X181)),"YES","NO")</f>
        <v>NO</v>
      </c>
      <c r="AP620" t="str">
        <f>IF(ISNUMBER(SEARCH("R", 'WetLitterbags placem_collection'!$X181)),"YES","NO")</f>
        <v>NO</v>
      </c>
    </row>
    <row r="621" spans="1:42" ht="15" customHeight="1">
      <c r="A621" t="s">
        <v>3248</v>
      </c>
      <c r="B621" s="248" t="s">
        <v>2454</v>
      </c>
      <c r="C621" s="253">
        <f>'Dry_Litterbag Placem_Collection'!A182</f>
        <v>180</v>
      </c>
      <c r="D621" s="253" t="str">
        <f>'Dry_Litterbag Placem_Collection'!B182</f>
        <v>Handajega</v>
      </c>
      <c r="E621" s="253" t="s">
        <v>2454</v>
      </c>
      <c r="F621" s="253" t="s">
        <v>2645</v>
      </c>
      <c r="G621" s="253">
        <v>3</v>
      </c>
      <c r="H621" s="253" t="s">
        <v>3129</v>
      </c>
      <c r="I621" s="254" t="str">
        <f>'Dry_Litterbag Placem_Collection'!C182</f>
        <v>Wet_W3_T4</v>
      </c>
      <c r="J621" s="263" t="s">
        <v>2932</v>
      </c>
      <c r="K621" s="256" t="s">
        <v>1147</v>
      </c>
      <c r="L621" s="221" t="str">
        <f>'WetLitterbags placem_collection'!O182</f>
        <v>G783</v>
      </c>
      <c r="M621" s="223">
        <f>IFERROR(INDEX('Green_rooibos initial weight'!$C$5:$C$2000,MATCH(L621, 'Green_rooibos initial weight'!$A$5:$A$2000,0)),"")</f>
        <v>1.976</v>
      </c>
      <c r="N621" s="223">
        <f>IFERROR(M621-(TBIcalc!$H$9+TBIcalc!$H$10),"")</f>
        <v>1.7262</v>
      </c>
      <c r="O621" s="378">
        <f>AVERAGE(Ashed_controlls!$K$2:$K$11)</f>
        <v>5.5147656768714146</v>
      </c>
      <c r="P621" s="223">
        <f t="shared" si="46"/>
        <v>1.6310041148858456</v>
      </c>
      <c r="Q621" s="223">
        <f>IFERROR(INDEX('Both teabags AfterWet'!$C$3:$C$840,MATCH(L621,'Both teabags AfterWet'!$A$3:$A$840,0)),"")</f>
        <v>0.627</v>
      </c>
      <c r="R621" s="223">
        <f>IFERROR(IF(Q621&gt;0,Q621-(TBIcalc!$H$9),""),"")</f>
        <v>0.47639999999999999</v>
      </c>
      <c r="S621" s="223">
        <f>IFERROR(INDEX('Ashed teabags wet'!$K$2:$K$2000,MATCH(L621,'Ashed teabags wet'!$A$2:$A$2000,0)),"")</f>
        <v>8.7719298245612158</v>
      </c>
      <c r="T621" s="223">
        <f t="shared" si="47"/>
        <v>0.43461052631579034</v>
      </c>
      <c r="U621" s="224">
        <f>'WetLitterbags placem_collection'!E182</f>
        <v>42763</v>
      </c>
      <c r="V621" s="224">
        <f>IF('WetLitterbags placem_collection'!G182="","",'WetLitterbags placem_collection'!G182)</f>
        <v>42815</v>
      </c>
      <c r="W621" s="225">
        <f t="shared" si="45"/>
        <v>52</v>
      </c>
      <c r="X621" s="223">
        <f t="shared" si="48"/>
        <v>1.2498</v>
      </c>
      <c r="Y621" s="223">
        <f t="shared" si="49"/>
        <v>1.1963935885700554</v>
      </c>
      <c r="Z621">
        <f>IFERROR(INDEX([1]Rainfall_Wet!$O$2:$O$217,MATCH(C621, [1]Rainfall_Wet!$A$2:$A$217,0)),"")</f>
        <v>188.24043152799999</v>
      </c>
      <c r="AA621" s="226">
        <v>25.96</v>
      </c>
      <c r="AB621" s="226">
        <v>8.9200000000000017</v>
      </c>
      <c r="AC621" s="226">
        <v>65.12</v>
      </c>
      <c r="AD621" s="227" t="s">
        <v>2651</v>
      </c>
      <c r="AE621" s="226">
        <v>4.6145884672252304</v>
      </c>
      <c r="AF621">
        <f>IF('WetLitterbags placem_collection'!AB182="","",'WetLitterbags placem_collection'!AB182)</f>
        <v>8.3000000000000007</v>
      </c>
      <c r="AG621">
        <f>IF('WetLitterbags placem_collection'!Z182="","",'WetLitterbags placem_collection'!Z182)</f>
        <v>35</v>
      </c>
      <c r="AH621" s="236" t="str">
        <f>IF('WetLitterbags placem_collection'!AA182="","",'WetLitterbags placem_collection'!AA182)</f>
        <v>O</v>
      </c>
      <c r="AI621">
        <f>IF('WetLitterbags placem_collection'!AC182="","",'WetLitterbags placem_collection'!AC182)</f>
        <v>0</v>
      </c>
      <c r="AJ621" s="233">
        <f>AVERAGE('WetLitterbags placem_collection'!S182,'WetLitterbags placem_collection'!U182)</f>
        <v>12.85</v>
      </c>
      <c r="AK621">
        <f>AVERAGE('WetLitterbags placem_collection'!R182,'WetLitterbags placem_collection'!T182)</f>
        <v>32.450000000000003</v>
      </c>
      <c r="AL621">
        <f>INDEX([2]Coordinates!$B$2:$B$197,MATCH(I621,[2]Coordinates!$J$2:$J$197,0))</f>
        <v>-2.2780199809999999</v>
      </c>
      <c r="AM621">
        <f>INDEX([2]Coordinates!$C$2:$C$197,MATCH(I621,[2]Coordinates!$J$2:$J$197,0))</f>
        <v>34.027705019999999</v>
      </c>
      <c r="AN621" t="str">
        <f>IF(ISNUMBER(SEARCH("C", 'WetLitterbags placem_collection'!$X182)),"YES","NO")</f>
        <v>NO</v>
      </c>
      <c r="AO621" t="str">
        <f>IF(ISNUMBER(SEARCH("H", 'WetLitterbags placem_collection'!$X182)),"YES","NO")</f>
        <v>NO</v>
      </c>
      <c r="AP621" t="str">
        <f>IF(ISNUMBER(SEARCH("R", 'WetLitterbags placem_collection'!$X182)),"YES","NO")</f>
        <v>NO</v>
      </c>
    </row>
    <row r="622" spans="1:42" ht="15" customHeight="1">
      <c r="A622" t="s">
        <v>3248</v>
      </c>
      <c r="B622" s="248" t="s">
        <v>2454</v>
      </c>
      <c r="C622" s="253">
        <f>'Dry_Litterbag Placem_Collection'!A183</f>
        <v>181</v>
      </c>
      <c r="D622" s="253" t="str">
        <f>'Dry_Litterbag Placem_Collection'!B183</f>
        <v>Handajega</v>
      </c>
      <c r="E622" s="253" t="s">
        <v>2454</v>
      </c>
      <c r="F622" s="253" t="s">
        <v>2645</v>
      </c>
      <c r="G622" s="253">
        <v>3</v>
      </c>
      <c r="H622" s="253" t="s">
        <v>3129</v>
      </c>
      <c r="I622" s="254" t="str">
        <f>'Dry_Litterbag Placem_Collection'!C183</f>
        <v>Wet_W3_T5</v>
      </c>
      <c r="J622" s="263" t="s">
        <v>2932</v>
      </c>
      <c r="K622" s="256" t="s">
        <v>1147</v>
      </c>
      <c r="L622" s="221" t="str">
        <f>'WetLitterbags placem_collection'!O183</f>
        <v>G551</v>
      </c>
      <c r="M622" s="223">
        <f>IFERROR(INDEX('Green_rooibos initial weight'!$C$5:$C$2000,MATCH(L622, 'Green_rooibos initial weight'!$A$5:$A$2000,0)),"")</f>
        <v>2.1160000000000001</v>
      </c>
      <c r="N622" s="223">
        <f>IFERROR(M622-(TBIcalc!$H$9+TBIcalc!$H$10),"")</f>
        <v>1.8662000000000001</v>
      </c>
      <c r="O622" s="378">
        <f>AVERAGE(Ashed_controlls!$K$2:$K$11)</f>
        <v>5.5147656768714146</v>
      </c>
      <c r="P622" s="223">
        <f t="shared" si="46"/>
        <v>1.7632834429382258</v>
      </c>
      <c r="Q622" s="223">
        <f>IFERROR(INDEX('Both teabags AfterWet'!$C$3:$C$840,MATCH(L622,'Both teabags AfterWet'!$A$3:$A$840,0)),"")</f>
        <v>0.61199999999999999</v>
      </c>
      <c r="R622" s="223">
        <f>IFERROR(IF(Q622&gt;0,Q622-(TBIcalc!$H$9),""),"")</f>
        <v>0.46139999999999998</v>
      </c>
      <c r="S622" s="223">
        <f>IFERROR(INDEX('Ashed teabags wet'!$K$2:$K$2000,MATCH(L622,'Ashed teabags wet'!$A$2:$A$2000,0)),"")</f>
        <v>8.5532746823073538</v>
      </c>
      <c r="T622" s="223">
        <f t="shared" si="47"/>
        <v>0.42193519061583384</v>
      </c>
      <c r="U622" s="224">
        <f>'WetLitterbags placem_collection'!E183</f>
        <v>42763</v>
      </c>
      <c r="V622" s="224">
        <f>IF('WetLitterbags placem_collection'!G183="","",'WetLitterbags placem_collection'!G183)</f>
        <v>42815</v>
      </c>
      <c r="W622" s="225">
        <f t="shared" si="45"/>
        <v>52</v>
      </c>
      <c r="X622" s="223">
        <f t="shared" si="48"/>
        <v>1.4048</v>
      </c>
      <c r="Y622" s="223">
        <f t="shared" si="49"/>
        <v>1.3413482523223919</v>
      </c>
      <c r="Z622">
        <f>IFERROR(INDEX([1]Rainfall_Wet!$O$2:$O$217,MATCH(C622, [1]Rainfall_Wet!$A$2:$A$217,0)),"")</f>
        <v>188.24043152799999</v>
      </c>
      <c r="AA622" s="226">
        <v>25.96</v>
      </c>
      <c r="AB622" s="226">
        <v>8.9200000000000017</v>
      </c>
      <c r="AC622" s="226">
        <v>65.12</v>
      </c>
      <c r="AD622" s="227" t="s">
        <v>2651</v>
      </c>
      <c r="AE622" s="226">
        <v>5.6145884672252304</v>
      </c>
      <c r="AF622">
        <f>IF('WetLitterbags placem_collection'!AB183="","",'WetLitterbags placem_collection'!AB183)</f>
        <v>11.4</v>
      </c>
      <c r="AG622">
        <f>IF('WetLitterbags placem_collection'!Z183="","",'WetLitterbags placem_collection'!Z183)</f>
        <v>15.8</v>
      </c>
      <c r="AH622" s="236" t="str">
        <f>IF('WetLitterbags placem_collection'!AA183="","",'WetLitterbags placem_collection'!AA183)</f>
        <v>O</v>
      </c>
      <c r="AI622">
        <f>IF('WetLitterbags placem_collection'!AC183="","",'WetLitterbags placem_collection'!AC183)</f>
        <v>1</v>
      </c>
      <c r="AJ622" s="233">
        <f>AVERAGE('WetLitterbags placem_collection'!S183,'WetLitterbags placem_collection'!U183)</f>
        <v>13.75</v>
      </c>
      <c r="AK622">
        <f>AVERAGE('WetLitterbags placem_collection'!R183,'WetLitterbags placem_collection'!T183)</f>
        <v>32.650000000000006</v>
      </c>
      <c r="AL622">
        <f>INDEX([2]Coordinates!$B$2:$B$197,MATCH(I622,[2]Coordinates!$J$2:$J$197,0))</f>
        <v>-2.2777329850000001</v>
      </c>
      <c r="AM622">
        <f>INDEX([2]Coordinates!$C$2:$C$197,MATCH(I622,[2]Coordinates!$J$2:$J$197,0))</f>
        <v>34.027422970000003</v>
      </c>
      <c r="AN622" t="str">
        <f>IF(ISNUMBER(SEARCH("C", 'WetLitterbags placem_collection'!$X183)),"YES","NO")</f>
        <v>NO</v>
      </c>
      <c r="AO622" t="str">
        <f>IF(ISNUMBER(SEARCH("H", 'WetLitterbags placem_collection'!$X183)),"YES","NO")</f>
        <v>NO</v>
      </c>
      <c r="AP622" t="str">
        <f>IF(ISNUMBER(SEARCH("R", 'WetLitterbags placem_collection'!$X183)),"YES","NO")</f>
        <v>NO</v>
      </c>
    </row>
    <row r="623" spans="1:42" ht="15" customHeight="1">
      <c r="A623" t="s">
        <v>3248</v>
      </c>
      <c r="B623" s="248" t="s">
        <v>2454</v>
      </c>
      <c r="C623" s="253">
        <f>'Dry_Litterbag Placem_Collection'!A184</f>
        <v>182</v>
      </c>
      <c r="D623" s="253" t="str">
        <f>'Dry_Litterbag Placem_Collection'!B184</f>
        <v>Handajega</v>
      </c>
      <c r="E623" s="253" t="s">
        <v>2454</v>
      </c>
      <c r="F623" s="253" t="s">
        <v>2645</v>
      </c>
      <c r="G623" s="253">
        <v>3</v>
      </c>
      <c r="H623" s="253" t="s">
        <v>3129</v>
      </c>
      <c r="I623" s="254" t="str">
        <f>'Dry_Litterbag Placem_Collection'!C184</f>
        <v>Wet_W3_T6</v>
      </c>
      <c r="J623" s="263" t="s">
        <v>2932</v>
      </c>
      <c r="K623" s="256" t="s">
        <v>1147</v>
      </c>
      <c r="L623" s="221" t="str">
        <f>'WetLitterbags placem_collection'!O184</f>
        <v>G818</v>
      </c>
      <c r="M623" s="223">
        <f>IFERROR(INDEX('Green_rooibos initial weight'!$C$5:$C$2000,MATCH(L623, 'Green_rooibos initial weight'!$A$5:$A$2000,0)),"")</f>
        <v>2.0099999999999998</v>
      </c>
      <c r="N623" s="223">
        <f>IFERROR(M623-(TBIcalc!$H$9+TBIcalc!$H$10),"")</f>
        <v>1.7601999999999998</v>
      </c>
      <c r="O623" s="378">
        <f>AVERAGE(Ashed_controlls!$K$2:$K$11)</f>
        <v>5.5147656768714146</v>
      </c>
      <c r="P623" s="223">
        <f t="shared" si="46"/>
        <v>1.6631290945557091</v>
      </c>
      <c r="Q623" s="223">
        <f>IFERROR(INDEX('Both teabags AfterWet'!$C$3:$C$840,MATCH(L623,'Both teabags AfterWet'!$A$3:$A$840,0)),"")</f>
        <v>0.60450000000000004</v>
      </c>
      <c r="R623" s="223">
        <f>IFERROR(IF(Q623&gt;0,Q623-(TBIcalc!$H$9),""),"")</f>
        <v>0.45390000000000003</v>
      </c>
      <c r="S623" s="223">
        <f>IFERROR(INDEX('Ashed teabags wet'!$K$2:$K$2000,MATCH(L623,'Ashed teabags wet'!$A$2:$A$2000,0)),"")</f>
        <v>10.028790786949029</v>
      </c>
      <c r="T623" s="223">
        <f t="shared" si="47"/>
        <v>0.40837931861803839</v>
      </c>
      <c r="U623" s="224">
        <f>'WetLitterbags placem_collection'!E184</f>
        <v>42763</v>
      </c>
      <c r="V623" s="224">
        <f>IF('WetLitterbags placem_collection'!G184="","",'WetLitterbags placem_collection'!G184)</f>
        <v>42815</v>
      </c>
      <c r="W623" s="225">
        <f t="shared" si="45"/>
        <v>52</v>
      </c>
      <c r="X623" s="223">
        <f t="shared" si="48"/>
        <v>1.3062999999999998</v>
      </c>
      <c r="Y623" s="223">
        <f t="shared" si="49"/>
        <v>1.2547497759376707</v>
      </c>
      <c r="Z623">
        <f>IFERROR(INDEX([1]Rainfall_Wet!$O$2:$O$217,MATCH(C623, [1]Rainfall_Wet!$A$2:$A$217,0)),"")</f>
        <v>188.24043152799999</v>
      </c>
      <c r="AA623" s="226">
        <v>25.96</v>
      </c>
      <c r="AB623" s="226">
        <v>8.9200000000000017</v>
      </c>
      <c r="AC623" s="226">
        <v>65.12</v>
      </c>
      <c r="AD623" s="227" t="s">
        <v>2651</v>
      </c>
      <c r="AE623" s="226">
        <v>6.6145884672252304</v>
      </c>
      <c r="AF623">
        <f>IF('WetLitterbags placem_collection'!AB184="","",'WetLitterbags placem_collection'!AB184)</f>
        <v>8.8000000000000007</v>
      </c>
      <c r="AG623">
        <f>IF('WetLitterbags placem_collection'!Z184="","",'WetLitterbags placem_collection'!Z184)</f>
        <v>15.8</v>
      </c>
      <c r="AH623" s="236" t="str">
        <f>IF('WetLitterbags placem_collection'!AA184="","",'WetLitterbags placem_collection'!AA184)</f>
        <v>O</v>
      </c>
      <c r="AI623">
        <f>IF('WetLitterbags placem_collection'!AC184="","",'WetLitterbags placem_collection'!AC184)</f>
        <v>1</v>
      </c>
      <c r="AJ623" s="233">
        <f>AVERAGE('WetLitterbags placem_collection'!S184,'WetLitterbags placem_collection'!U184)</f>
        <v>11.55</v>
      </c>
      <c r="AK623">
        <f>AVERAGE('WetLitterbags placem_collection'!R184,'WetLitterbags placem_collection'!T184)</f>
        <v>33.299999999999997</v>
      </c>
      <c r="AL623">
        <f>INDEX([2]Coordinates!$B$2:$B$197,MATCH(I623,[2]Coordinates!$J$2:$J$197,0))</f>
        <v>-2.2777009659999998</v>
      </c>
      <c r="AM623">
        <f>INDEX([2]Coordinates!$C$2:$C$197,MATCH(I623,[2]Coordinates!$J$2:$J$197,0))</f>
        <v>34.027393969999999</v>
      </c>
      <c r="AN623" t="str">
        <f>IF(ISNUMBER(SEARCH("C", 'WetLitterbags placem_collection'!$X184)),"YES","NO")</f>
        <v>NO</v>
      </c>
      <c r="AO623" t="str">
        <f>IF(ISNUMBER(SEARCH("H", 'WetLitterbags placem_collection'!$X184)),"YES","NO")</f>
        <v>NO</v>
      </c>
      <c r="AP623" t="str">
        <f>IF(ISNUMBER(SEARCH("R", 'WetLitterbags placem_collection'!$X184)),"YES","NO")</f>
        <v>NO</v>
      </c>
    </row>
    <row r="624" spans="1:42" ht="15" customHeight="1">
      <c r="A624" t="s">
        <v>3248</v>
      </c>
      <c r="B624" s="248" t="s">
        <v>2454</v>
      </c>
      <c r="C624" s="253">
        <f>'Dry_Litterbag Placem_Collection'!A185</f>
        <v>183</v>
      </c>
      <c r="D624" s="253" t="str">
        <f>'Dry_Litterbag Placem_Collection'!B185</f>
        <v>Handajega</v>
      </c>
      <c r="E624" s="253" t="s">
        <v>2454</v>
      </c>
      <c r="F624" s="253" t="s">
        <v>2645</v>
      </c>
      <c r="G624" s="253">
        <v>3</v>
      </c>
      <c r="H624" s="253" t="s">
        <v>3129</v>
      </c>
      <c r="I624" s="254" t="str">
        <f>'Dry_Litterbag Placem_Collection'!C185</f>
        <v>Wet_W3_T7</v>
      </c>
      <c r="J624" s="263" t="s">
        <v>2932</v>
      </c>
      <c r="K624" s="256" t="s">
        <v>1147</v>
      </c>
      <c r="L624" s="221" t="str">
        <f>'WetLitterbags placem_collection'!O185</f>
        <v>G896</v>
      </c>
      <c r="M624" s="223">
        <f>IFERROR(INDEX('Green_rooibos initial weight'!$C$5:$C$2000,MATCH(L624, 'Green_rooibos initial weight'!$A$5:$A$2000,0)),"")</f>
        <v>1.982</v>
      </c>
      <c r="N624" s="223">
        <f>IFERROR(M624-(TBIcalc!$H$9+TBIcalc!$H$10),"")</f>
        <v>1.7322</v>
      </c>
      <c r="O624" s="378">
        <f>AVERAGE(Ashed_controlls!$K$2:$K$11)</f>
        <v>5.5147656768714146</v>
      </c>
      <c r="P624" s="223">
        <f t="shared" si="46"/>
        <v>1.6366732289452333</v>
      </c>
      <c r="Q624" s="223">
        <f>IFERROR(INDEX('Both teabags AfterWet'!$C$3:$C$840,MATCH(L624,'Both teabags AfterWet'!$A$3:$A$840,0)),"")</f>
        <v>0.61</v>
      </c>
      <c r="R624" s="223">
        <f>IFERROR(IF(Q624&gt;0,Q624-(TBIcalc!$H$9),""),"")</f>
        <v>0.45939999999999998</v>
      </c>
      <c r="S624" s="223">
        <f>IFERROR(INDEX('Ashed teabags wet'!$K$2:$K$2000,MATCH(L624,'Ashed teabags wet'!$A$2:$A$2000,0)),"")</f>
        <v>9.3827160493825037</v>
      </c>
      <c r="T624" s="223">
        <f t="shared" si="47"/>
        <v>0.41629580246913678</v>
      </c>
      <c r="U624" s="224">
        <f>'WetLitterbags placem_collection'!E185</f>
        <v>42763</v>
      </c>
      <c r="V624" s="224">
        <f>IF('WetLitterbags placem_collection'!G185="","",'WetLitterbags placem_collection'!G185)</f>
        <v>42815</v>
      </c>
      <c r="W624" s="225">
        <f t="shared" si="45"/>
        <v>52</v>
      </c>
      <c r="X624" s="223">
        <f t="shared" si="48"/>
        <v>1.2727999999999999</v>
      </c>
      <c r="Y624" s="223">
        <f t="shared" si="49"/>
        <v>1.2203774264760965</v>
      </c>
      <c r="Z624">
        <f>IFERROR(INDEX([1]Rainfall_Wet!$O$2:$O$217,MATCH(C624, [1]Rainfall_Wet!$A$2:$A$217,0)),"")</f>
        <v>188.24043152799999</v>
      </c>
      <c r="AA624" s="226">
        <v>25.96</v>
      </c>
      <c r="AB624" s="226">
        <v>8.9200000000000017</v>
      </c>
      <c r="AC624" s="226">
        <v>65.12</v>
      </c>
      <c r="AD624" s="227" t="s">
        <v>2651</v>
      </c>
      <c r="AE624" s="226">
        <v>7.6145884672252304</v>
      </c>
      <c r="AF624">
        <f>IF('WetLitterbags placem_collection'!AB185="","",'WetLitterbags placem_collection'!AB185)</f>
        <v>11.4</v>
      </c>
      <c r="AG624">
        <f>IF('WetLitterbags placem_collection'!Z185="","",'WetLitterbags placem_collection'!Z185)</f>
        <v>35.799999999999997</v>
      </c>
      <c r="AH624" s="236" t="str">
        <f>IF('WetLitterbags placem_collection'!AA185="","",'WetLitterbags placem_collection'!AA185)</f>
        <v>G</v>
      </c>
      <c r="AI624">
        <f>IF('WetLitterbags placem_collection'!AC185="","",'WetLitterbags placem_collection'!AC185)</f>
        <v>1</v>
      </c>
      <c r="AJ624" s="233">
        <f>AVERAGE('WetLitterbags placem_collection'!S185,'WetLitterbags placem_collection'!U185)</f>
        <v>13.4</v>
      </c>
      <c r="AK624">
        <f>AVERAGE('WetLitterbags placem_collection'!R185,'WetLitterbags placem_collection'!T185)</f>
        <v>33.5</v>
      </c>
      <c r="AL624">
        <f>INDEX([2]Coordinates!$B$2:$B$197,MATCH(I624,[2]Coordinates!$J$2:$J$197,0))</f>
        <v>-2.2777790019999999</v>
      </c>
      <c r="AM624">
        <f>INDEX([2]Coordinates!$C$2:$C$197,MATCH(I624,[2]Coordinates!$J$2:$J$197,0))</f>
        <v>34.028066029999998</v>
      </c>
      <c r="AN624" t="str">
        <f>IF(ISNUMBER(SEARCH("C", 'WetLitterbags placem_collection'!$X185)),"YES","NO")</f>
        <v>NO</v>
      </c>
      <c r="AO624" t="str">
        <f>IF(ISNUMBER(SEARCH("H", 'WetLitterbags placem_collection'!$X185)),"YES","NO")</f>
        <v>NO</v>
      </c>
      <c r="AP624" t="str">
        <f>IF(ISNUMBER(SEARCH("R", 'WetLitterbags placem_collection'!$X185)),"YES","NO")</f>
        <v>NO</v>
      </c>
    </row>
    <row r="625" spans="1:42" ht="15" customHeight="1">
      <c r="A625" t="s">
        <v>3248</v>
      </c>
      <c r="B625" s="248" t="s">
        <v>2454</v>
      </c>
      <c r="C625" s="253">
        <f>'Dry_Litterbag Placem_Collection'!A186</f>
        <v>184</v>
      </c>
      <c r="D625" s="253" t="str">
        <f>'Dry_Litterbag Placem_Collection'!B186</f>
        <v>Handajega</v>
      </c>
      <c r="E625" s="253" t="s">
        <v>2454</v>
      </c>
      <c r="F625" s="253" t="s">
        <v>2645</v>
      </c>
      <c r="G625" s="253">
        <v>3</v>
      </c>
      <c r="H625" s="253" t="s">
        <v>3129</v>
      </c>
      <c r="I625" s="254" t="str">
        <f>'Dry_Litterbag Placem_Collection'!C186</f>
        <v>Wet_W3_T8</v>
      </c>
      <c r="J625" s="263" t="s">
        <v>2932</v>
      </c>
      <c r="K625" s="256" t="s">
        <v>1147</v>
      </c>
      <c r="L625" s="221" t="str">
        <f>'WetLitterbags placem_collection'!O186</f>
        <v>G337</v>
      </c>
      <c r="M625" s="223">
        <f>IFERROR(INDEX('Green_rooibos initial weight'!$C$5:$C$2000,MATCH(L625, 'Green_rooibos initial weight'!$A$5:$A$2000,0)),"")</f>
        <v>1.8680000000000001</v>
      </c>
      <c r="N625" s="223">
        <f>IFERROR(M625-(TBIcalc!$H$9+TBIcalc!$H$10),"")</f>
        <v>1.6182000000000001</v>
      </c>
      <c r="O625" s="378">
        <f>AVERAGE(Ashed_controlls!$K$2:$K$11)</f>
        <v>5.5147656768714146</v>
      </c>
      <c r="P625" s="223">
        <f t="shared" si="46"/>
        <v>1.5289600618168668</v>
      </c>
      <c r="Q625" s="223">
        <f>IFERROR(INDEX('Both teabags AfterWet'!$C$3:$C$840,MATCH(L625,'Both teabags AfterWet'!$A$3:$A$840,0)),"")</f>
        <v>0.63060000000000005</v>
      </c>
      <c r="R625" s="223">
        <f>IFERROR(IF(Q625&gt;0,Q625-(TBIcalc!$H$9),""),"")</f>
        <v>0.48000000000000004</v>
      </c>
      <c r="S625" s="223">
        <f>IFERROR(INDEX('Ashed teabags wet'!$K$2:$K$2000,MATCH(L625,'Ashed teabags wet'!$A$2:$A$2000,0)),"")</f>
        <v>10.824230387289536</v>
      </c>
      <c r="T625" s="223">
        <f t="shared" si="47"/>
        <v>0.42804369414101029</v>
      </c>
      <c r="U625" s="224">
        <f>'WetLitterbags placem_collection'!E186</f>
        <v>42763</v>
      </c>
      <c r="V625" s="224">
        <f>IF('WetLitterbags placem_collection'!G186="","",'WetLitterbags placem_collection'!G186)</f>
        <v>42815</v>
      </c>
      <c r="W625" s="225">
        <f t="shared" si="45"/>
        <v>52</v>
      </c>
      <c r="X625" s="223">
        <f t="shared" si="48"/>
        <v>1.1382000000000001</v>
      </c>
      <c r="Y625" s="223">
        <f t="shared" si="49"/>
        <v>1.1009163676758567</v>
      </c>
      <c r="Z625">
        <f>IFERROR(INDEX([1]Rainfall_Wet!$O$2:$O$217,MATCH(C625, [1]Rainfall_Wet!$A$2:$A$217,0)),"")</f>
        <v>188.24043152799999</v>
      </c>
      <c r="AA625" s="226">
        <v>25.96</v>
      </c>
      <c r="AB625" s="226">
        <v>8.9200000000000017</v>
      </c>
      <c r="AC625" s="226">
        <v>65.12</v>
      </c>
      <c r="AD625" s="227" t="s">
        <v>2651</v>
      </c>
      <c r="AE625" s="226">
        <v>8.6145884672252304</v>
      </c>
      <c r="AF625">
        <f>IF('WetLitterbags placem_collection'!AB186="","",'WetLitterbags placem_collection'!AB186)</f>
        <v>3.7</v>
      </c>
      <c r="AG625">
        <f>IF('WetLitterbags placem_collection'!Z186="","",'WetLitterbags placem_collection'!Z186)</f>
        <v>16.399999999999999</v>
      </c>
      <c r="AH625" s="236" t="str">
        <f>IF('WetLitterbags placem_collection'!AA186="","",'WetLitterbags placem_collection'!AA186)</f>
        <v>O</v>
      </c>
      <c r="AI625">
        <f>IF('WetLitterbags placem_collection'!AC186="","",'WetLitterbags placem_collection'!AC186)</f>
        <v>0</v>
      </c>
      <c r="AJ625" s="233">
        <f>AVERAGE('WetLitterbags placem_collection'!S186,'WetLitterbags placem_collection'!U186)</f>
        <v>13.3</v>
      </c>
      <c r="AK625">
        <f>AVERAGE('WetLitterbags placem_collection'!R186,'WetLitterbags placem_collection'!T186)</f>
        <v>29.950000000000003</v>
      </c>
      <c r="AL625">
        <f>INDEX([2]Coordinates!$B$2:$B$197,MATCH(I625,[2]Coordinates!$J$2:$J$197,0))</f>
        <v>-2.2775169829999999</v>
      </c>
      <c r="AM625">
        <f>INDEX([2]Coordinates!$C$2:$C$197,MATCH(I625,[2]Coordinates!$J$2:$J$197,0))</f>
        <v>34.027766970000002</v>
      </c>
      <c r="AN625" t="str">
        <f>IF(ISNUMBER(SEARCH("C", 'WetLitterbags placem_collection'!$X186)),"YES","NO")</f>
        <v>NO</v>
      </c>
      <c r="AO625" t="str">
        <f>IF(ISNUMBER(SEARCH("H", 'WetLitterbags placem_collection'!$X186)),"YES","NO")</f>
        <v>YES</v>
      </c>
      <c r="AP625" t="str">
        <f>IF(ISNUMBER(SEARCH("R", 'WetLitterbags placem_collection'!$X186)),"YES","NO")</f>
        <v>NO</v>
      </c>
    </row>
    <row r="626" spans="1:42" ht="15" customHeight="1">
      <c r="A626" t="s">
        <v>3248</v>
      </c>
      <c r="B626" s="248" t="s">
        <v>2454</v>
      </c>
      <c r="C626" s="253">
        <f>'Dry_Litterbag Placem_Collection'!A187</f>
        <v>185</v>
      </c>
      <c r="D626" s="253" t="str">
        <f>'Dry_Litterbag Placem_Collection'!B187</f>
        <v>Handajega</v>
      </c>
      <c r="E626" s="253" t="s">
        <v>2454</v>
      </c>
      <c r="F626" s="253" t="s">
        <v>2645</v>
      </c>
      <c r="G626" s="253">
        <v>4</v>
      </c>
      <c r="H626" s="253" t="s">
        <v>3130</v>
      </c>
      <c r="I626" s="254" t="str">
        <f>'Dry_Litterbag Placem_Collection'!C187</f>
        <v>Wet_W4_T1</v>
      </c>
      <c r="J626" s="263" t="s">
        <v>2932</v>
      </c>
      <c r="K626" s="256" t="s">
        <v>1147</v>
      </c>
      <c r="L626" s="221" t="str">
        <f>'WetLitterbags placem_collection'!O187</f>
        <v>G564</v>
      </c>
      <c r="M626" s="223">
        <f>IFERROR(INDEX('Green_rooibos initial weight'!$C$5:$C$2000,MATCH(L626, 'Green_rooibos initial weight'!$A$5:$A$2000,0)),"")</f>
        <v>1.95</v>
      </c>
      <c r="N626" s="223">
        <f>IFERROR(M626-(TBIcalc!$H$9+TBIcalc!$H$10),"")</f>
        <v>1.7001999999999999</v>
      </c>
      <c r="O626" s="378">
        <f>AVERAGE(Ashed_controlls!$K$2:$K$11)</f>
        <v>5.5147656768714146</v>
      </c>
      <c r="P626" s="223">
        <f t="shared" si="46"/>
        <v>1.6064379539618321</v>
      </c>
      <c r="Q626" s="223">
        <f>IFERROR(INDEX('Both teabags AfterWet'!$C$3:$C$840,MATCH(L626,'Both teabags AfterWet'!$A$3:$A$840,0)),"")</f>
        <v>0.626</v>
      </c>
      <c r="R626" s="223">
        <f>IFERROR(IF(Q626&gt;0,Q626-(TBIcalc!$H$9),""),"")</f>
        <v>0.47539999999999999</v>
      </c>
      <c r="S626" s="223">
        <f>IFERROR(INDEX('Ashed teabags wet'!$K$2:$K$2000,MATCH(L626,'Ashed teabags wet'!$A$2:$A$2000,0)),"")</f>
        <v>8.4325396825389731</v>
      </c>
      <c r="T626" s="223">
        <f t="shared" si="47"/>
        <v>0.43531170634920974</v>
      </c>
      <c r="U626" s="224">
        <f>'WetLitterbags placem_collection'!E187</f>
        <v>42763</v>
      </c>
      <c r="V626" s="224">
        <f>IF('WetLitterbags placem_collection'!G187="","",'WetLitterbags placem_collection'!G187)</f>
        <v>42815</v>
      </c>
      <c r="W626" s="225">
        <f t="shared" si="45"/>
        <v>52</v>
      </c>
      <c r="X626" s="223">
        <f t="shared" si="48"/>
        <v>1.2247999999999999</v>
      </c>
      <c r="Y626" s="223">
        <f t="shared" si="49"/>
        <v>1.1711262476126223</v>
      </c>
      <c r="Z626">
        <f>IFERROR(INDEX([1]Rainfall_Wet!$O$2:$O$217,MATCH(C626, [1]Rainfall_Wet!$A$2:$A$217,0)),"")</f>
        <v>188.24043152799999</v>
      </c>
      <c r="AA626" s="226">
        <v>25.96</v>
      </c>
      <c r="AB626" s="226">
        <v>8.9200000000000017</v>
      </c>
      <c r="AC626" s="226">
        <v>65.12</v>
      </c>
      <c r="AD626" s="227" t="s">
        <v>2651</v>
      </c>
      <c r="AE626" s="226">
        <v>1.6991621488417901</v>
      </c>
      <c r="AF626">
        <f>IF('WetLitterbags placem_collection'!AB187="","",'WetLitterbags placem_collection'!AB187)</f>
        <v>9.8000000000000007</v>
      </c>
      <c r="AG626">
        <f>IF('WetLitterbags placem_collection'!Z187="","",'WetLitterbags placem_collection'!Z187)</f>
        <v>29.4</v>
      </c>
      <c r="AH626" s="236" t="str">
        <f>IF('WetLitterbags placem_collection'!AA187="","",'WetLitterbags placem_collection'!AA187)</f>
        <v>O</v>
      </c>
      <c r="AI626">
        <f>IF('WetLitterbags placem_collection'!AC187="","",'WetLitterbags placem_collection'!AC187)</f>
        <v>0</v>
      </c>
      <c r="AJ626" s="233">
        <f>AVERAGE('WetLitterbags placem_collection'!S187,'WetLitterbags placem_collection'!U187)</f>
        <v>17.850000000000001</v>
      </c>
      <c r="AK626">
        <f>AVERAGE('WetLitterbags placem_collection'!R187,'WetLitterbags placem_collection'!T187)</f>
        <v>35.400000000000006</v>
      </c>
      <c r="AL626">
        <f>INDEX([2]Coordinates!$B$2:$B$197,MATCH(I626,[2]Coordinates!$J$2:$J$197,0))</f>
        <v>-2.2787330300000002</v>
      </c>
      <c r="AM626">
        <f>INDEX([2]Coordinates!$C$2:$C$197,MATCH(I626,[2]Coordinates!$J$2:$J$197,0))</f>
        <v>34.032136029999997</v>
      </c>
      <c r="AN626" t="str">
        <f>IF(ISNUMBER(SEARCH("C", 'WetLitterbags placem_collection'!$X187)),"YES","NO")</f>
        <v>NO</v>
      </c>
      <c r="AO626" t="str">
        <f>IF(ISNUMBER(SEARCH("H", 'WetLitterbags placem_collection'!$X187)),"YES","NO")</f>
        <v>NO</v>
      </c>
      <c r="AP626" t="str">
        <f>IF(ISNUMBER(SEARCH("R", 'WetLitterbags placem_collection'!$X187)),"YES","NO")</f>
        <v>NO</v>
      </c>
    </row>
    <row r="627" spans="1:42" ht="15" customHeight="1">
      <c r="A627" t="s">
        <v>3248</v>
      </c>
      <c r="B627" s="248" t="s">
        <v>2454</v>
      </c>
      <c r="C627" s="253">
        <f>'Dry_Litterbag Placem_Collection'!A188</f>
        <v>186</v>
      </c>
      <c r="D627" s="253" t="str">
        <f>'Dry_Litterbag Placem_Collection'!B188</f>
        <v>Handajega</v>
      </c>
      <c r="E627" s="253" t="s">
        <v>2454</v>
      </c>
      <c r="F627" s="253" t="s">
        <v>2645</v>
      </c>
      <c r="G627" s="253">
        <v>4</v>
      </c>
      <c r="H627" s="253" t="s">
        <v>3130</v>
      </c>
      <c r="I627" s="254" t="str">
        <f>'Dry_Litterbag Placem_Collection'!C188</f>
        <v>Wet_W4_T2</v>
      </c>
      <c r="J627" s="263" t="s">
        <v>2932</v>
      </c>
      <c r="K627" s="256" t="s">
        <v>1147</v>
      </c>
      <c r="L627" s="221" t="str">
        <f>'WetLitterbags placem_collection'!O188</f>
        <v>G608</v>
      </c>
      <c r="M627" s="223">
        <f>IFERROR(INDEX('Green_rooibos initial weight'!$C$5:$C$2000,MATCH(L627, 'Green_rooibos initial weight'!$A$5:$A$2000,0)),"")</f>
        <v>2.0259999999999998</v>
      </c>
      <c r="N627" s="223">
        <f>IFERROR(M627-(TBIcalc!$H$9+TBIcalc!$H$10),"")</f>
        <v>1.7761999999999998</v>
      </c>
      <c r="O627" s="378">
        <f>AVERAGE(Ashed_controlls!$K$2:$K$11)</f>
        <v>5.5147656768714146</v>
      </c>
      <c r="P627" s="223">
        <f t="shared" si="46"/>
        <v>1.6782467320474097</v>
      </c>
      <c r="Q627" s="223">
        <f>IFERROR(INDEX('Both teabags AfterWet'!$C$3:$C$840,MATCH(L627,'Both teabags AfterWet'!$A$3:$A$840,0)),"")</f>
        <v>0.61599999999999999</v>
      </c>
      <c r="R627" s="223">
        <f>IFERROR(IF(Q627&gt;0,Q627-(TBIcalc!$H$9),""),"")</f>
        <v>0.46539999999999998</v>
      </c>
      <c r="S627" s="223">
        <f>IFERROR(INDEX('Ashed teabags wet'!$K$2:$K$2000,MATCH(L627,'Ashed teabags wet'!$A$2:$A$2000,0)),"")</f>
        <v>9.0274314214466642</v>
      </c>
      <c r="T627" s="223">
        <f t="shared" si="47"/>
        <v>0.42338633416458721</v>
      </c>
      <c r="U627" s="224">
        <f>'WetLitterbags placem_collection'!E188</f>
        <v>42763</v>
      </c>
      <c r="V627" s="224">
        <f>IF('WetLitterbags placem_collection'!G188="","",'WetLitterbags placem_collection'!G188)</f>
        <v>42815</v>
      </c>
      <c r="W627" s="225">
        <f t="shared" si="45"/>
        <v>52</v>
      </c>
      <c r="X627" s="223">
        <f t="shared" si="48"/>
        <v>1.3107999999999997</v>
      </c>
      <c r="Y627" s="223">
        <f t="shared" si="49"/>
        <v>1.2548603978828226</v>
      </c>
      <c r="Z627">
        <f>IFERROR(INDEX([1]Rainfall_Wet!$O$2:$O$217,MATCH(C627, [1]Rainfall_Wet!$A$2:$A$217,0)),"")</f>
        <v>188.24043152799999</v>
      </c>
      <c r="AA627" s="226">
        <v>25.96</v>
      </c>
      <c r="AB627" s="226">
        <v>8.9200000000000017</v>
      </c>
      <c r="AC627" s="226">
        <v>65.12</v>
      </c>
      <c r="AD627" s="227" t="s">
        <v>2651</v>
      </c>
      <c r="AE627" s="226">
        <v>2.6991621488417898</v>
      </c>
      <c r="AF627">
        <f>IF('WetLitterbags placem_collection'!AB188="","",'WetLitterbags placem_collection'!AB188)</f>
        <v>11.4</v>
      </c>
      <c r="AG627">
        <f>IF('WetLitterbags placem_collection'!Z188="","",'WetLitterbags placem_collection'!Z188)</f>
        <v>45.4</v>
      </c>
      <c r="AH627" s="236" t="str">
        <f>IF('WetLitterbags placem_collection'!AA188="","",'WetLitterbags placem_collection'!AA188)</f>
        <v>O</v>
      </c>
      <c r="AI627">
        <f>IF('WetLitterbags placem_collection'!AC188="","",'WetLitterbags placem_collection'!AC188)</f>
        <v>0</v>
      </c>
      <c r="AJ627" s="233">
        <f>AVERAGE('WetLitterbags placem_collection'!S188,'WetLitterbags placem_collection'!U188)</f>
        <v>16.899999999999999</v>
      </c>
      <c r="AK627">
        <f>AVERAGE('WetLitterbags placem_collection'!R188,'WetLitterbags placem_collection'!T188)</f>
        <v>33.9</v>
      </c>
      <c r="AL627">
        <f>INDEX([2]Coordinates!$B$2:$B$197,MATCH(I627,[2]Coordinates!$J$2:$J$197,0))</f>
        <v>-2.278763037</v>
      </c>
      <c r="AM627">
        <f>INDEX([2]Coordinates!$C$2:$C$197,MATCH(I627,[2]Coordinates!$J$2:$J$197,0))</f>
        <v>34.031974009999999</v>
      </c>
      <c r="AN627" t="str">
        <f>IF(ISNUMBER(SEARCH("C", 'WetLitterbags placem_collection'!$X188)),"YES","NO")</f>
        <v>NO</v>
      </c>
      <c r="AO627" t="str">
        <f>IF(ISNUMBER(SEARCH("H", 'WetLitterbags placem_collection'!$X188)),"YES","NO")</f>
        <v>NO</v>
      </c>
      <c r="AP627" t="str">
        <f>IF(ISNUMBER(SEARCH("R", 'WetLitterbags placem_collection'!$X188)),"YES","NO")</f>
        <v>NO</v>
      </c>
    </row>
    <row r="628" spans="1:42" ht="15" customHeight="1">
      <c r="A628" t="s">
        <v>3248</v>
      </c>
      <c r="B628" s="248" t="s">
        <v>2454</v>
      </c>
      <c r="C628" s="253">
        <f>'Dry_Litterbag Placem_Collection'!A189</f>
        <v>187</v>
      </c>
      <c r="D628" s="253" t="str">
        <f>'Dry_Litterbag Placem_Collection'!B189</f>
        <v>Handajega</v>
      </c>
      <c r="E628" s="253" t="s">
        <v>2454</v>
      </c>
      <c r="F628" s="253" t="s">
        <v>2645</v>
      </c>
      <c r="G628" s="253">
        <v>4</v>
      </c>
      <c r="H628" s="253" t="s">
        <v>3130</v>
      </c>
      <c r="I628" s="254" t="str">
        <f>'Dry_Litterbag Placem_Collection'!C189</f>
        <v>Wet_W4_T3</v>
      </c>
      <c r="J628" s="263" t="s">
        <v>2932</v>
      </c>
      <c r="K628" s="256" t="s">
        <v>1147</v>
      </c>
      <c r="L628" s="221" t="str">
        <f>'WetLitterbags placem_collection'!O189</f>
        <v>G365</v>
      </c>
      <c r="M628" s="223">
        <f>IFERROR(INDEX('Green_rooibos initial weight'!$C$5:$C$2000,MATCH(L628, 'Green_rooibos initial weight'!$A$5:$A$2000,0)),"")</f>
        <v>1.954</v>
      </c>
      <c r="N628" s="223">
        <f>IFERROR(M628-(TBIcalc!$H$9+TBIcalc!$H$10),"")</f>
        <v>1.7041999999999999</v>
      </c>
      <c r="O628" s="378">
        <f>AVERAGE(Ashed_controlls!$K$2:$K$11)</f>
        <v>5.5147656768714146</v>
      </c>
      <c r="P628" s="223">
        <f t="shared" si="46"/>
        <v>1.6102173633347574</v>
      </c>
      <c r="Q628" s="223">
        <f>IFERROR(INDEX('Both teabags AfterWet'!$C$3:$C$840,MATCH(L628,'Both teabags AfterWet'!$A$3:$A$840,0)),"")</f>
        <v>0.6714</v>
      </c>
      <c r="R628" s="223">
        <f>IFERROR(IF(Q628&gt;0,Q628-(TBIcalc!$H$9),""),"")</f>
        <v>0.52079999999999993</v>
      </c>
      <c r="S628" s="223">
        <f>IFERROR(INDEX('Ashed teabags wet'!$K$2:$K$2000,MATCH(L628,'Ashed teabags wet'!$A$2:$A$2000,0)),"")</f>
        <v>8.8162456661709641</v>
      </c>
      <c r="T628" s="223">
        <f t="shared" si="47"/>
        <v>0.47488499257058153</v>
      </c>
      <c r="U628" s="224">
        <f>'WetLitterbags placem_collection'!E189</f>
        <v>42763</v>
      </c>
      <c r="V628" s="224">
        <f>IF('WetLitterbags placem_collection'!G189="","",'WetLitterbags placem_collection'!G189)</f>
        <v>42815</v>
      </c>
      <c r="W628" s="225">
        <f t="shared" si="45"/>
        <v>52</v>
      </c>
      <c r="X628" s="223">
        <f t="shared" si="48"/>
        <v>1.1834</v>
      </c>
      <c r="Y628" s="223">
        <f t="shared" si="49"/>
        <v>1.1353323707641758</v>
      </c>
      <c r="Z628">
        <f>IFERROR(INDEX([1]Rainfall_Wet!$O$2:$O$217,MATCH(C628, [1]Rainfall_Wet!$A$2:$A$217,0)),"")</f>
        <v>188.24043152799999</v>
      </c>
      <c r="AA628" s="226">
        <v>25.96</v>
      </c>
      <c r="AB628" s="226">
        <v>8.9200000000000017</v>
      </c>
      <c r="AC628" s="226">
        <v>65.12</v>
      </c>
      <c r="AD628" s="227" t="s">
        <v>2651</v>
      </c>
      <c r="AE628" s="226">
        <v>3.6991621488417898</v>
      </c>
      <c r="AF628">
        <f>IF('WetLitterbags placem_collection'!AB189="","",'WetLitterbags placem_collection'!AB189)</f>
        <v>0.6</v>
      </c>
      <c r="AG628">
        <f>IF('WetLitterbags placem_collection'!Z189="","",'WetLitterbags placem_collection'!Z189)</f>
        <v>39.4</v>
      </c>
      <c r="AH628" s="236" t="str">
        <f>IF('WetLitterbags placem_collection'!AA189="","",'WetLitterbags placem_collection'!AA189)</f>
        <v>O</v>
      </c>
      <c r="AI628">
        <f>IF('WetLitterbags placem_collection'!AC189="","",'WetLitterbags placem_collection'!AC189)</f>
        <v>1</v>
      </c>
      <c r="AJ628" s="233">
        <f>AVERAGE('WetLitterbags placem_collection'!S189,'WetLitterbags placem_collection'!U189)</f>
        <v>14.2</v>
      </c>
      <c r="AK628">
        <f>AVERAGE('WetLitterbags placem_collection'!R189,'WetLitterbags placem_collection'!T189)</f>
        <v>33</v>
      </c>
      <c r="AL628">
        <f>INDEX([2]Coordinates!$B$2:$B$197,MATCH(I628,[2]Coordinates!$J$2:$J$197,0))</f>
        <v>-2.2785890289999999</v>
      </c>
      <c r="AM628">
        <f>INDEX([2]Coordinates!$C$2:$C$197,MATCH(I628,[2]Coordinates!$J$2:$J$197,0))</f>
        <v>34.031841999999997</v>
      </c>
      <c r="AN628" t="str">
        <f>IF(ISNUMBER(SEARCH("C", 'WetLitterbags placem_collection'!$X189)),"YES","NO")</f>
        <v>NO</v>
      </c>
      <c r="AO628" t="str">
        <f>IF(ISNUMBER(SEARCH("H", 'WetLitterbags placem_collection'!$X189)),"YES","NO")</f>
        <v>NO</v>
      </c>
      <c r="AP628" t="str">
        <f>IF(ISNUMBER(SEARCH("R", 'WetLitterbags placem_collection'!$X189)),"YES","NO")</f>
        <v>NO</v>
      </c>
    </row>
    <row r="629" spans="1:42" ht="15" customHeight="1">
      <c r="A629" t="s">
        <v>3248</v>
      </c>
      <c r="B629" s="248" t="s">
        <v>2454</v>
      </c>
      <c r="C629" s="253">
        <f>'Dry_Litterbag Placem_Collection'!A190</f>
        <v>188</v>
      </c>
      <c r="D629" s="253" t="str">
        <f>'Dry_Litterbag Placem_Collection'!B190</f>
        <v>Handajega</v>
      </c>
      <c r="E629" s="253" t="s">
        <v>2454</v>
      </c>
      <c r="F629" s="253" t="s">
        <v>2645</v>
      </c>
      <c r="G629" s="253">
        <v>4</v>
      </c>
      <c r="H629" s="253" t="s">
        <v>3130</v>
      </c>
      <c r="I629" s="254" t="str">
        <f>'Dry_Litterbag Placem_Collection'!C190</f>
        <v>Wet_W4_T4</v>
      </c>
      <c r="J629" s="263" t="s">
        <v>2932</v>
      </c>
      <c r="K629" s="256" t="s">
        <v>1147</v>
      </c>
      <c r="L629" s="221" t="str">
        <f>'WetLitterbags placem_collection'!O190</f>
        <v>G375</v>
      </c>
      <c r="M629" s="223">
        <f>IFERROR(INDEX('Green_rooibos initial weight'!$C$5:$C$2000,MATCH(L629, 'Green_rooibos initial weight'!$A$5:$A$2000,0)),"")</f>
        <v>1.9810000000000001</v>
      </c>
      <c r="N629" s="223">
        <f>IFERROR(M629-(TBIcalc!$H$9+TBIcalc!$H$10),"")</f>
        <v>1.7312000000000001</v>
      </c>
      <c r="O629" s="378">
        <f>AVERAGE(Ashed_controlls!$K$2:$K$11)</f>
        <v>5.5147656768714146</v>
      </c>
      <c r="P629" s="223">
        <f t="shared" si="46"/>
        <v>1.6357283766020021</v>
      </c>
      <c r="Q629" s="223">
        <f>IFERROR(INDEX('Both teabags AfterWet'!$C$3:$C$840,MATCH(L629,'Both teabags AfterWet'!$A$3:$A$840,0)),"")</f>
        <v>0.55700000000000005</v>
      </c>
      <c r="R629" s="223">
        <f>IFERROR(IF(Q629&gt;0,Q629-(TBIcalc!$H$9),""),"")</f>
        <v>0.40640000000000004</v>
      </c>
      <c r="S629" s="223">
        <f>IFERROR(INDEX('Ashed teabags wet'!$K$2:$K$2000,MATCH(L629,'Ashed teabags wet'!$A$2:$A$2000,0)),"")</f>
        <v>8.3130772970344644</v>
      </c>
      <c r="T629" s="223">
        <f t="shared" si="47"/>
        <v>0.37261565386485196</v>
      </c>
      <c r="U629" s="224">
        <f>'WetLitterbags placem_collection'!E190</f>
        <v>42763</v>
      </c>
      <c r="V629" s="224">
        <f>IF('WetLitterbags placem_collection'!G190="","",'WetLitterbags placem_collection'!G190)</f>
        <v>42815</v>
      </c>
      <c r="W629" s="225">
        <f t="shared" si="45"/>
        <v>52</v>
      </c>
      <c r="X629" s="223">
        <f t="shared" si="48"/>
        <v>1.3248</v>
      </c>
      <c r="Y629" s="223">
        <f t="shared" si="49"/>
        <v>1.2631127227371501</v>
      </c>
      <c r="Z629">
        <f>IFERROR(INDEX([1]Rainfall_Wet!$O$2:$O$217,MATCH(C629, [1]Rainfall_Wet!$A$2:$A$217,0)),"")</f>
        <v>188.24043152799999</v>
      </c>
      <c r="AA629" s="226">
        <v>25.96</v>
      </c>
      <c r="AB629" s="226">
        <v>8.9200000000000017</v>
      </c>
      <c r="AC629" s="226">
        <v>65.12</v>
      </c>
      <c r="AD629" s="227" t="s">
        <v>2651</v>
      </c>
      <c r="AE629" s="226">
        <v>4.6991621488417898</v>
      </c>
      <c r="AF629">
        <f>IF('WetLitterbags placem_collection'!AB190="","",'WetLitterbags placem_collection'!AB190)</f>
        <v>2.2999999999999998</v>
      </c>
      <c r="AG629">
        <f>IF('WetLitterbags placem_collection'!Z190="","",'WetLitterbags placem_collection'!Z190)</f>
        <v>14.4</v>
      </c>
      <c r="AH629" s="236" t="str">
        <f>IF('WetLitterbags placem_collection'!AA190="","",'WetLitterbags placem_collection'!AA190)</f>
        <v>O</v>
      </c>
      <c r="AI629">
        <f>IF('WetLitterbags placem_collection'!AC190="","",'WetLitterbags placem_collection'!AC190)</f>
        <v>0</v>
      </c>
      <c r="AJ629" s="233">
        <f>AVERAGE('WetLitterbags placem_collection'!S190,'WetLitterbags placem_collection'!U190)</f>
        <v>10.45</v>
      </c>
      <c r="AK629">
        <f>AVERAGE('WetLitterbags placem_collection'!R190,'WetLitterbags placem_collection'!T190)</f>
        <v>34.15</v>
      </c>
      <c r="AL629">
        <f>INDEX([2]Coordinates!$B$2:$B$197,MATCH(I629,[2]Coordinates!$J$2:$J$197,0))</f>
        <v>-2.278422983</v>
      </c>
      <c r="AM629">
        <f>INDEX([2]Coordinates!$C$2:$C$197,MATCH(I629,[2]Coordinates!$J$2:$J$197,0))</f>
        <v>34.032261009999999</v>
      </c>
      <c r="AN629" t="str">
        <f>IF(ISNUMBER(SEARCH("C", 'WetLitterbags placem_collection'!$X190)),"YES","NO")</f>
        <v>NO</v>
      </c>
      <c r="AO629" t="str">
        <f>IF(ISNUMBER(SEARCH("H", 'WetLitterbags placem_collection'!$X190)),"YES","NO")</f>
        <v>NO</v>
      </c>
      <c r="AP629" t="str">
        <f>IF(ISNUMBER(SEARCH("R", 'WetLitterbags placem_collection'!$X190)),"YES","NO")</f>
        <v>NO</v>
      </c>
    </row>
    <row r="630" spans="1:42" ht="15" customHeight="1">
      <c r="A630" t="s">
        <v>3248</v>
      </c>
      <c r="B630" s="248" t="s">
        <v>2454</v>
      </c>
      <c r="C630" s="253">
        <f>'Dry_Litterbag Placem_Collection'!A191</f>
        <v>189</v>
      </c>
      <c r="D630" s="253" t="str">
        <f>'Dry_Litterbag Placem_Collection'!B191</f>
        <v>Handajega</v>
      </c>
      <c r="E630" s="253" t="s">
        <v>2454</v>
      </c>
      <c r="F630" s="253" t="s">
        <v>2645</v>
      </c>
      <c r="G630" s="253">
        <v>4</v>
      </c>
      <c r="H630" s="253" t="s">
        <v>3130</v>
      </c>
      <c r="I630" s="254" t="str">
        <f>'Dry_Litterbag Placem_Collection'!C191</f>
        <v>Wet_W4_T5</v>
      </c>
      <c r="J630" s="263" t="s">
        <v>2932</v>
      </c>
      <c r="K630" s="256" t="s">
        <v>1147</v>
      </c>
      <c r="L630" s="221" t="str">
        <f>'WetLitterbags placem_collection'!O191</f>
        <v>G537</v>
      </c>
      <c r="M630" s="223">
        <f>IFERROR(INDEX('Green_rooibos initial weight'!$C$5:$C$2000,MATCH(L630, 'Green_rooibos initial weight'!$A$5:$A$2000,0)),"")</f>
        <v>1.9630000000000001</v>
      </c>
      <c r="N630" s="223">
        <f>IFERROR(M630-(TBIcalc!$H$9+TBIcalc!$H$10),"")</f>
        <v>1.7132000000000001</v>
      </c>
      <c r="O630" s="378">
        <f>AVERAGE(Ashed_controlls!$K$2:$K$11)</f>
        <v>5.5147656768714146</v>
      </c>
      <c r="P630" s="223">
        <f t="shared" si="46"/>
        <v>1.618721034423839</v>
      </c>
      <c r="Q630" s="223">
        <f>IFERROR(INDEX('Both teabags AfterWet'!$C$3:$C$840,MATCH(L630,'Both teabags AfterWet'!$A$3:$A$840,0)),"")</f>
        <v>0.72030000000000005</v>
      </c>
      <c r="R630" s="223">
        <f>IFERROR(IF(Q630&gt;0,Q630-(TBIcalc!$H$9),""),"")</f>
        <v>0.5697000000000001</v>
      </c>
      <c r="S630" s="223">
        <f>IFERROR(INDEX('Ashed teabags wet'!$K$2:$K$2000,MATCH(L630,'Ashed teabags wet'!$A$2:$A$2000,0)),"")</f>
        <v>9.0167865707433048</v>
      </c>
      <c r="T630" s="223">
        <f t="shared" si="47"/>
        <v>0.51833136690647552</v>
      </c>
      <c r="U630" s="224">
        <f>'WetLitterbags placem_collection'!E191</f>
        <v>42763</v>
      </c>
      <c r="V630" s="224">
        <f>IF('WetLitterbags placem_collection'!G191="","",'WetLitterbags placem_collection'!G191)</f>
        <v>42815</v>
      </c>
      <c r="W630" s="225">
        <f t="shared" si="45"/>
        <v>52</v>
      </c>
      <c r="X630" s="223">
        <f t="shared" si="48"/>
        <v>1.1435</v>
      </c>
      <c r="Y630" s="223">
        <f t="shared" si="49"/>
        <v>1.1003896675173634</v>
      </c>
      <c r="Z630">
        <f>IFERROR(INDEX([1]Rainfall_Wet!$O$2:$O$217,MATCH(C630, [1]Rainfall_Wet!$A$2:$A$217,0)),"")</f>
        <v>188.24043152799999</v>
      </c>
      <c r="AA630" s="226">
        <v>25.96</v>
      </c>
      <c r="AB630" s="226">
        <v>8.9200000000000017</v>
      </c>
      <c r="AC630" s="226">
        <v>65.12</v>
      </c>
      <c r="AD630" s="227" t="s">
        <v>2651</v>
      </c>
      <c r="AE630" s="226">
        <v>5.6991621488417898</v>
      </c>
      <c r="AF630">
        <f>IF('WetLitterbags placem_collection'!AB191="","",'WetLitterbags placem_collection'!AB191)</f>
        <v>0.6</v>
      </c>
      <c r="AG630">
        <f>IF('WetLitterbags placem_collection'!Z191="","",'WetLitterbags placem_collection'!Z191)</f>
        <v>7</v>
      </c>
      <c r="AH630" s="236" t="str">
        <f>IF('WetLitterbags placem_collection'!AA191="","",'WetLitterbags placem_collection'!AA191)</f>
        <v>O</v>
      </c>
      <c r="AI630">
        <f>IF('WetLitterbags placem_collection'!AC191="","",'WetLitterbags placem_collection'!AC191)</f>
        <v>1</v>
      </c>
      <c r="AJ630" s="233">
        <f>AVERAGE('WetLitterbags placem_collection'!S191,'WetLitterbags placem_collection'!U191)</f>
        <v>13.6</v>
      </c>
      <c r="AK630">
        <f>AVERAGE('WetLitterbags placem_collection'!R191,'WetLitterbags placem_collection'!T191)</f>
        <v>30.6</v>
      </c>
      <c r="AL630">
        <f>INDEX([2]Coordinates!$B$2:$B$197,MATCH(I630,[2]Coordinates!$J$2:$J$197,0))</f>
        <v>-2.2787580080000001</v>
      </c>
      <c r="AM630">
        <f>INDEX([2]Coordinates!$C$2:$C$197,MATCH(I630,[2]Coordinates!$J$2:$J$197,0))</f>
        <v>34.032463010000001</v>
      </c>
      <c r="AN630" t="str">
        <f>IF(ISNUMBER(SEARCH("C", 'WetLitterbags placem_collection'!$X191)),"YES","NO")</f>
        <v>NO</v>
      </c>
      <c r="AO630" t="str">
        <f>IF(ISNUMBER(SEARCH("H", 'WetLitterbags placem_collection'!$X191)),"YES","NO")</f>
        <v>NO</v>
      </c>
      <c r="AP630" t="str">
        <f>IF(ISNUMBER(SEARCH("R", 'WetLitterbags placem_collection'!$X191)),"YES","NO")</f>
        <v>NO</v>
      </c>
    </row>
    <row r="631" spans="1:42" ht="15" customHeight="1">
      <c r="A631" t="s">
        <v>3248</v>
      </c>
      <c r="B631" s="248" t="s">
        <v>2454</v>
      </c>
      <c r="C631" s="253">
        <f>'Dry_Litterbag Placem_Collection'!A192</f>
        <v>190</v>
      </c>
      <c r="D631" s="253" t="str">
        <f>'Dry_Litterbag Placem_Collection'!B192</f>
        <v>Handajega</v>
      </c>
      <c r="E631" s="253" t="s">
        <v>2454</v>
      </c>
      <c r="F631" s="253" t="s">
        <v>2645</v>
      </c>
      <c r="G631" s="253">
        <v>4</v>
      </c>
      <c r="H631" s="253" t="s">
        <v>3130</v>
      </c>
      <c r="I631" s="254" t="str">
        <f>'Dry_Litterbag Placem_Collection'!C192</f>
        <v>Wet_W4_T6</v>
      </c>
      <c r="J631" s="263" t="s">
        <v>2932</v>
      </c>
      <c r="K631" s="256" t="s">
        <v>1147</v>
      </c>
      <c r="L631" s="221" t="str">
        <f>'WetLitterbags placem_collection'!O192</f>
        <v>G393</v>
      </c>
      <c r="M631" s="223">
        <f>IFERROR(INDEX('Green_rooibos initial weight'!$C$5:$C$2000,MATCH(L631, 'Green_rooibos initial weight'!$A$5:$A$2000,0)),"")</f>
        <v>2.0089999999999999</v>
      </c>
      <c r="N631" s="223">
        <f>IFERROR(M631-(TBIcalc!$H$9+TBIcalc!$H$10),"")</f>
        <v>1.7591999999999999</v>
      </c>
      <c r="O631" s="378">
        <f>AVERAGE(Ashed_controlls!$K$2:$K$11)</f>
        <v>5.5147656768714146</v>
      </c>
      <c r="P631" s="223">
        <f t="shared" si="46"/>
        <v>1.662184242212478</v>
      </c>
      <c r="Q631" s="223">
        <f>IFERROR(INDEX('Both teabags AfterWet'!$C$3:$C$840,MATCH(L631,'Both teabags AfterWet'!$A$3:$A$840,0)),"")</f>
        <v>0.62090000000000001</v>
      </c>
      <c r="R631" s="223">
        <f>IFERROR(IF(Q631&gt;0,Q631-(TBIcalc!$H$9),""),"")</f>
        <v>0.4703</v>
      </c>
      <c r="S631" s="223">
        <f>IFERROR(INDEX('Ashed teabags wet'!$K$2:$K$2000,MATCH(L631,'Ashed teabags wet'!$A$2:$A$2000,0)),"")</f>
        <v>9.5497278574961424</v>
      </c>
      <c r="T631" s="223">
        <f t="shared" si="47"/>
        <v>0.42538762988619561</v>
      </c>
      <c r="U631" s="224">
        <f>'WetLitterbags placem_collection'!E192</f>
        <v>42763</v>
      </c>
      <c r="V631" s="224">
        <f>IF('WetLitterbags placem_collection'!G192="","",'WetLitterbags placem_collection'!G192)</f>
        <v>42815</v>
      </c>
      <c r="W631" s="225">
        <f t="shared" si="45"/>
        <v>52</v>
      </c>
      <c r="X631" s="223">
        <f t="shared" si="48"/>
        <v>1.2888999999999999</v>
      </c>
      <c r="Y631" s="223">
        <f t="shared" si="49"/>
        <v>1.2367966123262824</v>
      </c>
      <c r="Z631">
        <f>IFERROR(INDEX([1]Rainfall_Wet!$O$2:$O$217,MATCH(C631, [1]Rainfall_Wet!$A$2:$A$217,0)),"")</f>
        <v>188.24043152799999</v>
      </c>
      <c r="AA631" s="226">
        <v>25.96</v>
      </c>
      <c r="AB631" s="226">
        <v>8.9200000000000017</v>
      </c>
      <c r="AC631" s="226">
        <v>65.12</v>
      </c>
      <c r="AD631" s="227" t="s">
        <v>2651</v>
      </c>
      <c r="AE631" s="226">
        <v>6.6991621488417898</v>
      </c>
      <c r="AF631">
        <f>IF('WetLitterbags placem_collection'!AB192="","",'WetLitterbags placem_collection'!AB192)</f>
        <v>9.5</v>
      </c>
      <c r="AG631">
        <f>IF('WetLitterbags placem_collection'!Z192="","",'WetLitterbags placem_collection'!Z192)</f>
        <v>17.399999999999999</v>
      </c>
      <c r="AH631" s="236" t="str">
        <f>IF('WetLitterbags placem_collection'!AA192="","",'WetLitterbags placem_collection'!AA192)</f>
        <v>O</v>
      </c>
      <c r="AI631">
        <f>IF('WetLitterbags placem_collection'!AC192="","",'WetLitterbags placem_collection'!AC192)</f>
        <v>0</v>
      </c>
      <c r="AJ631" s="233">
        <f>AVERAGE('WetLitterbags placem_collection'!S192,'WetLitterbags placem_collection'!U192)</f>
        <v>13.55</v>
      </c>
      <c r="AK631">
        <f>AVERAGE('WetLitterbags placem_collection'!R192,'WetLitterbags placem_collection'!T192)</f>
        <v>34.049999999999997</v>
      </c>
      <c r="AL631">
        <f>INDEX([2]Coordinates!$B$2:$B$197,MATCH(I631,[2]Coordinates!$J$2:$J$197,0))</f>
        <v>-2.2787559960000001</v>
      </c>
      <c r="AM631">
        <f>INDEX([2]Coordinates!$C$2:$C$197,MATCH(I631,[2]Coordinates!$J$2:$J$197,0))</f>
        <v>34.032268969999997</v>
      </c>
      <c r="AN631" t="str">
        <f>IF(ISNUMBER(SEARCH("C", 'WetLitterbags placem_collection'!$X192)),"YES","NO")</f>
        <v>NO</v>
      </c>
      <c r="AO631" t="str">
        <f>IF(ISNUMBER(SEARCH("H", 'WetLitterbags placem_collection'!$X192)),"YES","NO")</f>
        <v>NO</v>
      </c>
      <c r="AP631" t="str">
        <f>IF(ISNUMBER(SEARCH("R", 'WetLitterbags placem_collection'!$X192)),"YES","NO")</f>
        <v>NO</v>
      </c>
    </row>
    <row r="632" spans="1:42" ht="15" customHeight="1">
      <c r="A632" t="s">
        <v>3248</v>
      </c>
      <c r="B632" s="248" t="s">
        <v>2454</v>
      </c>
      <c r="C632" s="253">
        <f>'Dry_Litterbag Placem_Collection'!A193</f>
        <v>191</v>
      </c>
      <c r="D632" s="253" t="str">
        <f>'Dry_Litterbag Placem_Collection'!B193</f>
        <v>Handajega</v>
      </c>
      <c r="E632" s="253" t="s">
        <v>2454</v>
      </c>
      <c r="F632" s="253" t="s">
        <v>2645</v>
      </c>
      <c r="G632" s="253">
        <v>4</v>
      </c>
      <c r="H632" s="253" t="s">
        <v>3130</v>
      </c>
      <c r="I632" s="254" t="str">
        <f>'Dry_Litterbag Placem_Collection'!C193</f>
        <v>Wet_W4_T7</v>
      </c>
      <c r="J632" s="263" t="s">
        <v>2932</v>
      </c>
      <c r="K632" s="256" t="s">
        <v>1147</v>
      </c>
      <c r="L632" s="221" t="str">
        <f>'WetLitterbags placem_collection'!O193</f>
        <v>G417</v>
      </c>
      <c r="M632" s="223">
        <f>IFERROR(INDEX('Green_rooibos initial weight'!$C$5:$C$2000,MATCH(L632, 'Green_rooibos initial weight'!$A$5:$A$2000,0)),"")</f>
        <v>2.0209999999999999</v>
      </c>
      <c r="N632" s="223">
        <f>IFERROR(M632-(TBIcalc!$H$9+TBIcalc!$H$10),"")</f>
        <v>1.7711999999999999</v>
      </c>
      <c r="O632" s="378">
        <f>AVERAGE(Ashed_controlls!$K$2:$K$11)</f>
        <v>5.5147656768714146</v>
      </c>
      <c r="P632" s="223">
        <f t="shared" si="46"/>
        <v>1.6735224703312535</v>
      </c>
      <c r="Q632" s="223">
        <f>IFERROR(INDEX('Both teabags AfterWet'!$C$3:$C$840,MATCH(L632,'Both teabags AfterWet'!$A$3:$A$840,0)),"")</f>
        <v>0.62309999999999999</v>
      </c>
      <c r="R632" s="223">
        <f>IFERROR(IF(Q632&gt;0,Q632-(TBIcalc!$H$9),""),"")</f>
        <v>0.47249999999999998</v>
      </c>
      <c r="S632" s="223">
        <f>IFERROR(INDEX('Ashed teabags wet'!$K$2:$K$2000,MATCH(L632,'Ashed teabags wet'!$A$2:$A$2000,0)),"")</f>
        <v>9.0547263681590628</v>
      </c>
      <c r="T632" s="223">
        <f t="shared" si="47"/>
        <v>0.4297164179104484</v>
      </c>
      <c r="U632" s="224">
        <f>'WetLitterbags placem_collection'!E193</f>
        <v>42763</v>
      </c>
      <c r="V632" s="224">
        <f>IF('WetLitterbags placem_collection'!G193="","",'WetLitterbags placem_collection'!G193)</f>
        <v>42815</v>
      </c>
      <c r="W632" s="225">
        <f t="shared" si="45"/>
        <v>52</v>
      </c>
      <c r="X632" s="223">
        <f t="shared" si="48"/>
        <v>1.2987</v>
      </c>
      <c r="Y632" s="223">
        <f t="shared" si="49"/>
        <v>1.243806052420805</v>
      </c>
      <c r="Z632">
        <f>IFERROR(INDEX([1]Rainfall_Wet!$O$2:$O$217,MATCH(C632, [1]Rainfall_Wet!$A$2:$A$217,0)),"")</f>
        <v>188.24043152799999</v>
      </c>
      <c r="AA632" s="226">
        <v>25.96</v>
      </c>
      <c r="AB632" s="226">
        <v>8.9200000000000017</v>
      </c>
      <c r="AC632" s="226">
        <v>65.12</v>
      </c>
      <c r="AD632" s="227" t="s">
        <v>2651</v>
      </c>
      <c r="AE632" s="226">
        <v>7.6991621488417898</v>
      </c>
      <c r="AF632">
        <f>IF('WetLitterbags placem_collection'!AB193="","",'WetLitterbags placem_collection'!AB193)</f>
        <v>12.4</v>
      </c>
      <c r="AG632">
        <f>IF('WetLitterbags placem_collection'!Z193="","",'WetLitterbags placem_collection'!Z193)</f>
        <v>29.8</v>
      </c>
      <c r="AH632" s="236" t="str">
        <f>IF('WetLitterbags placem_collection'!AA193="","",'WetLitterbags placem_collection'!AA193)</f>
        <v>O</v>
      </c>
      <c r="AI632">
        <f>IF('WetLitterbags placem_collection'!AC193="","",'WetLitterbags placem_collection'!AC193)</f>
        <v>0</v>
      </c>
      <c r="AJ632" s="233">
        <f>AVERAGE('WetLitterbags placem_collection'!S193,'WetLitterbags placem_collection'!U193)</f>
        <v>12.350000000000001</v>
      </c>
      <c r="AK632">
        <f>AVERAGE('WetLitterbags placem_collection'!R193,'WetLitterbags placem_collection'!T193)</f>
        <v>35</v>
      </c>
      <c r="AL632">
        <f>INDEX([2]Coordinates!$B$2:$B$197,MATCH(I632,[2]Coordinates!$J$2:$J$197,0))</f>
        <v>-2.278704029</v>
      </c>
      <c r="AM632">
        <f>INDEX([2]Coordinates!$C$2:$C$197,MATCH(I632,[2]Coordinates!$J$2:$J$197,0))</f>
        <v>34.032182970000001</v>
      </c>
      <c r="AN632" t="str">
        <f>IF(ISNUMBER(SEARCH("C", 'WetLitterbags placem_collection'!$X193)),"YES","NO")</f>
        <v>NO</v>
      </c>
      <c r="AO632" t="str">
        <f>IF(ISNUMBER(SEARCH("H", 'WetLitterbags placem_collection'!$X193)),"YES","NO")</f>
        <v>NO</v>
      </c>
      <c r="AP632" t="str">
        <f>IF(ISNUMBER(SEARCH("R", 'WetLitterbags placem_collection'!$X193)),"YES","NO")</f>
        <v>NO</v>
      </c>
    </row>
    <row r="633" spans="1:42" ht="15" customHeight="1">
      <c r="A633" t="s">
        <v>3248</v>
      </c>
      <c r="B633" s="248" t="s">
        <v>2454</v>
      </c>
      <c r="C633" s="253">
        <f>'Dry_Litterbag Placem_Collection'!A194</f>
        <v>192</v>
      </c>
      <c r="D633" s="253" t="str">
        <f>'Dry_Litterbag Placem_Collection'!B194</f>
        <v>Handajega</v>
      </c>
      <c r="E633" s="253" t="s">
        <v>2454</v>
      </c>
      <c r="F633" s="253" t="s">
        <v>2645</v>
      </c>
      <c r="G633" s="253">
        <v>4</v>
      </c>
      <c r="H633" s="253" t="s">
        <v>3130</v>
      </c>
      <c r="I633" s="254" t="str">
        <f>'Dry_Litterbag Placem_Collection'!C194</f>
        <v>Wet_W4_T8</v>
      </c>
      <c r="J633" s="263" t="s">
        <v>2932</v>
      </c>
      <c r="K633" s="256" t="s">
        <v>1147</v>
      </c>
      <c r="L633" s="221" t="str">
        <f>'WetLitterbags placem_collection'!O194</f>
        <v>G297</v>
      </c>
      <c r="M633" s="223">
        <f>IFERROR(INDEX('Green_rooibos initial weight'!$C$5:$C$2000,MATCH(L633, 'Green_rooibos initial weight'!$A$5:$A$2000,0)),"")</f>
        <v>1.9419999999999999</v>
      </c>
      <c r="N633" s="223">
        <f>IFERROR(M633-(TBIcalc!$H$9+TBIcalc!$H$10),"")</f>
        <v>1.6921999999999999</v>
      </c>
      <c r="O633" s="378">
        <f>AVERAGE(Ashed_controlls!$K$2:$K$11)</f>
        <v>5.5147656768714146</v>
      </c>
      <c r="P633" s="223">
        <f t="shared" si="46"/>
        <v>1.5988791352159819</v>
      </c>
      <c r="Q633" s="223">
        <f>IFERROR(INDEX('Both teabags AfterWet'!$C$3:$C$840,MATCH(L633,'Both teabags AfterWet'!$A$3:$A$840,0)),"")</f>
        <v>0.60899999999999999</v>
      </c>
      <c r="R633" s="223">
        <f>IFERROR(IF(Q633&gt;0,Q633-(TBIcalc!$H$9),""),"")</f>
        <v>0.45839999999999997</v>
      </c>
      <c r="S633" s="223">
        <f>IFERROR(INDEX('Ashed teabags wet'!$K$2:$K$2000,MATCH(L633,'Ashed teabags wet'!$A$2:$A$2000,0)),"")</f>
        <v>9.3406593406594496</v>
      </c>
      <c r="T633" s="223">
        <f t="shared" si="47"/>
        <v>0.41558241758241704</v>
      </c>
      <c r="U633" s="224">
        <f>'WetLitterbags placem_collection'!E194</f>
        <v>42763</v>
      </c>
      <c r="V633" s="224">
        <f>IF('WetLitterbags placem_collection'!G194="","",'WetLitterbags placem_collection'!G194)</f>
        <v>42815</v>
      </c>
      <c r="W633" s="225">
        <f t="shared" si="45"/>
        <v>52</v>
      </c>
      <c r="X633" s="223">
        <f t="shared" si="48"/>
        <v>1.2338</v>
      </c>
      <c r="Y633" s="223">
        <f t="shared" si="49"/>
        <v>1.1832967176335649</v>
      </c>
      <c r="Z633">
        <f>IFERROR(INDEX([1]Rainfall_Wet!$O$2:$O$217,MATCH(C633, [1]Rainfall_Wet!$A$2:$A$217,0)),"")</f>
        <v>188.24043152799999</v>
      </c>
      <c r="AA633" s="226">
        <v>25.96</v>
      </c>
      <c r="AB633" s="226">
        <v>8.9200000000000017</v>
      </c>
      <c r="AC633" s="226">
        <v>65.12</v>
      </c>
      <c r="AD633" s="227" t="s">
        <v>2651</v>
      </c>
      <c r="AE633" s="226">
        <v>8.6991621488417898</v>
      </c>
      <c r="AF633">
        <f>IF('WetLitterbags placem_collection'!AB194="","",'WetLitterbags placem_collection'!AB194)</f>
        <v>3.6</v>
      </c>
      <c r="AG633">
        <f>IF('WetLitterbags placem_collection'!Z194="","",'WetLitterbags placem_collection'!Z194)</f>
        <v>37.799999999999997</v>
      </c>
      <c r="AH633" s="236" t="str">
        <f>IF('WetLitterbags placem_collection'!AA194="","",'WetLitterbags placem_collection'!AA194)</f>
        <v>O</v>
      </c>
      <c r="AI633">
        <f>IF('WetLitterbags placem_collection'!AC194="","",'WetLitterbags placem_collection'!AC194)</f>
        <v>0</v>
      </c>
      <c r="AJ633" s="233">
        <f>AVERAGE('WetLitterbags placem_collection'!S194,'WetLitterbags placem_collection'!U194)</f>
        <v>9.25</v>
      </c>
      <c r="AK633">
        <f>AVERAGE('WetLitterbags placem_collection'!R194,'WetLitterbags placem_collection'!T194)</f>
        <v>33.299999999999997</v>
      </c>
      <c r="AL633">
        <f>INDEX([2]Coordinates!$B$2:$B$197,MATCH(I633,[2]Coordinates!$J$2:$J$197,0))</f>
        <v>-2.2789770269999998</v>
      </c>
      <c r="AM633">
        <f>INDEX([2]Coordinates!$C$2:$C$197,MATCH(I633,[2]Coordinates!$J$2:$J$197,0))</f>
        <v>34.032051039999999</v>
      </c>
      <c r="AN633" t="str">
        <f>IF(ISNUMBER(SEARCH("C", 'WetLitterbags placem_collection'!$X194)),"YES","NO")</f>
        <v>NO</v>
      </c>
      <c r="AO633" t="str">
        <f>IF(ISNUMBER(SEARCH("H", 'WetLitterbags placem_collection'!$X194)),"YES","NO")</f>
        <v>NO</v>
      </c>
      <c r="AP633" t="str">
        <f>IF(ISNUMBER(SEARCH("R", 'WetLitterbags placem_collection'!$X194)),"YES","NO")</f>
        <v>NO</v>
      </c>
    </row>
    <row r="634" spans="1:42" ht="15" customHeight="1">
      <c r="A634" t="s">
        <v>2490</v>
      </c>
      <c r="B634" s="248" t="s">
        <v>2454</v>
      </c>
      <c r="C634" s="253">
        <f>'Dry_Litterbag Placem_Collection'!A195</f>
        <v>193</v>
      </c>
      <c r="D634" s="253" t="str">
        <f>'Dry_Litterbag Placem_Collection'!B195</f>
        <v>Makao</v>
      </c>
      <c r="E634" s="253" t="s">
        <v>2643</v>
      </c>
      <c r="F634" s="253" t="s">
        <v>2644</v>
      </c>
      <c r="G634" s="253">
        <v>4</v>
      </c>
      <c r="H634" s="253" t="s">
        <v>3099</v>
      </c>
      <c r="I634" s="254" t="str">
        <f>'Dry_Litterbag Placem_Collection'!C195</f>
        <v>Dry_Ag1_CG4</v>
      </c>
      <c r="J634" s="263" t="s">
        <v>2932</v>
      </c>
      <c r="K634" s="256" t="s">
        <v>1147</v>
      </c>
      <c r="L634" s="221" t="str">
        <f>'WetLitterbags placem_collection'!O195</f>
        <v>G584</v>
      </c>
      <c r="M634" s="223">
        <f>IFERROR(INDEX('Green_rooibos initial weight'!$C$5:$C$2000,MATCH(L634, 'Green_rooibos initial weight'!$A$5:$A$2000,0)),"")</f>
        <v>2.1960000000000002</v>
      </c>
      <c r="N634" s="223">
        <f>IFERROR(M634-(TBIcalc!$H$9+TBIcalc!$H$10),"")</f>
        <v>1.9462000000000002</v>
      </c>
      <c r="O634" s="378">
        <f>AVERAGE(Ashed_controlls!$K$2:$K$11)</f>
        <v>5.5147656768714146</v>
      </c>
      <c r="P634" s="223">
        <f t="shared" si="46"/>
        <v>1.8388716303967287</v>
      </c>
      <c r="Q634" s="223">
        <f>IFERROR(INDEX('Both teabags AfterWet'!$C$3:$C$840,MATCH(L634,'Both teabags AfterWet'!$A$3:$A$840,0)),"")</f>
        <v>0.63959999999999995</v>
      </c>
      <c r="R634" s="223">
        <f>IFERROR(IF(Q634&gt;0,Q634-(TBIcalc!$H$9),""),"")</f>
        <v>0.48899999999999993</v>
      </c>
      <c r="S634" s="223">
        <f>IFERROR(INDEX('Ashed teabags wet'!$K$2:$K$2000,MATCH(L634,'Ashed teabags wet'!$A$2:$A$2000,0)),"")</f>
        <v>7.9232283464562308</v>
      </c>
      <c r="T634" s="223">
        <f t="shared" si="47"/>
        <v>0.45025541338582897</v>
      </c>
      <c r="U634" s="224">
        <f>'WetLitterbags placem_collection'!E195</f>
        <v>42769</v>
      </c>
      <c r="V634" s="224">
        <f>IF('WetLitterbags placem_collection'!G195="","",'WetLitterbags placem_collection'!G195)</f>
        <v>42813</v>
      </c>
      <c r="W634" s="225">
        <f t="shared" si="45"/>
        <v>44</v>
      </c>
      <c r="X634" s="223">
        <f t="shared" si="48"/>
        <v>1.4572000000000003</v>
      </c>
      <c r="Y634" s="223">
        <f t="shared" si="49"/>
        <v>1.3886162170108998</v>
      </c>
      <c r="Z634">
        <f>IFERROR(INDEX([1]Rainfall_Wet!$O$2:$O$217,MATCH(C634, [1]Rainfall_Wet!$A$2:$A$217,0)),"")</f>
        <v>175.054685654</v>
      </c>
      <c r="AA634" s="226">
        <v>12.565665055683967</v>
      </c>
      <c r="AB634" s="226">
        <v>0.9665896196679955</v>
      </c>
      <c r="AC634" s="226">
        <v>86.467745324648035</v>
      </c>
      <c r="AD634" s="227" t="s">
        <v>2653</v>
      </c>
      <c r="AE634" s="226">
        <v>1.0225726959093147</v>
      </c>
      <c r="AF634">
        <f>IF('WetLitterbags placem_collection'!AB195="","",'WetLitterbags placem_collection'!AB195)</f>
        <v>15.2</v>
      </c>
      <c r="AG634">
        <f>IF('WetLitterbags placem_collection'!Z195="","",'WetLitterbags placem_collection'!Z195)</f>
        <v>12.2</v>
      </c>
      <c r="AH634" s="236" t="str">
        <f>IF('WetLitterbags placem_collection'!AA195="","",'WetLitterbags placem_collection'!AA195)</f>
        <v>O</v>
      </c>
      <c r="AI634">
        <f>IF('WetLitterbags placem_collection'!AC195="","",'WetLitterbags placem_collection'!AC195)</f>
        <v>1</v>
      </c>
      <c r="AJ634" s="233">
        <f>AVERAGE('WetLitterbags placem_collection'!S195,'WetLitterbags placem_collection'!U195)</f>
        <v>22.4</v>
      </c>
      <c r="AK634">
        <f>AVERAGE('WetLitterbags placem_collection'!R195,'WetLitterbags placem_collection'!T195)</f>
        <v>28.95</v>
      </c>
      <c r="AL634">
        <v>-2.4396949910000001</v>
      </c>
      <c r="AM634">
        <v>34.838574029999997</v>
      </c>
      <c r="AN634" t="str">
        <f>IF(ISNUMBER(SEARCH("C", 'WetLitterbags placem_collection'!$X195)),"YES","NO")</f>
        <v>NO</v>
      </c>
      <c r="AO634" t="str">
        <f>IF(ISNUMBER(SEARCH("H", 'WetLitterbags placem_collection'!$X195)),"YES","NO")</f>
        <v>NO</v>
      </c>
      <c r="AP634" t="str">
        <f>IF(ISNUMBER(SEARCH("R", 'WetLitterbags placem_collection'!$X195)),"YES","NO")</f>
        <v>YES</v>
      </c>
    </row>
    <row r="635" spans="1:42" ht="15" customHeight="1">
      <c r="A635" t="s">
        <v>2490</v>
      </c>
      <c r="B635" s="248" t="s">
        <v>2454</v>
      </c>
      <c r="C635" s="253">
        <f>'Dry_Litterbag Placem_Collection'!A196</f>
        <v>194</v>
      </c>
      <c r="D635" s="253" t="str">
        <f>'Dry_Litterbag Placem_Collection'!B196</f>
        <v>Makao</v>
      </c>
      <c r="E635" s="253" t="s">
        <v>2643</v>
      </c>
      <c r="F635" s="253" t="s">
        <v>2644</v>
      </c>
      <c r="G635" s="253">
        <v>3</v>
      </c>
      <c r="H635" s="253" t="s">
        <v>3103</v>
      </c>
      <c r="I635" s="254" t="str">
        <f>'Dry_Litterbag Placem_Collection'!C196</f>
        <v>Dry_Ag2_CG3</v>
      </c>
      <c r="J635" s="263" t="s">
        <v>2932</v>
      </c>
      <c r="K635" s="256" t="s">
        <v>1147</v>
      </c>
      <c r="L635" s="221" t="str">
        <f>'WetLitterbags placem_collection'!O196</f>
        <v>G713</v>
      </c>
      <c r="M635" s="223">
        <f>IFERROR(INDEX('Green_rooibos initial weight'!$C$5:$C$2000,MATCH(L635, 'Green_rooibos initial weight'!$A$5:$A$2000,0)),"")</f>
        <v>2.1779999999999999</v>
      </c>
      <c r="N635" s="223">
        <f>IFERROR(M635-(TBIcalc!$H$9+TBIcalc!$H$10),"")</f>
        <v>1.9281999999999999</v>
      </c>
      <c r="O635" s="378">
        <f>AVERAGE(Ashed_controlls!$K$2:$K$11)</f>
        <v>5.5147656768714146</v>
      </c>
      <c r="P635" s="223">
        <f t="shared" si="46"/>
        <v>1.8218642882185654</v>
      </c>
      <c r="Q635" s="223">
        <f>IFERROR(INDEX('Both teabags AfterWet'!$C$3:$C$840,MATCH(L635,'Both teabags AfterWet'!$A$3:$A$840,0)),"")</f>
        <v>0.63500000000000001</v>
      </c>
      <c r="R635" s="223">
        <f>IFERROR(IF(Q635&gt;0,Q635-(TBIcalc!$H$9),""),"")</f>
        <v>0.4844</v>
      </c>
      <c r="S635" s="223">
        <f>IFERROR(INDEX('Ashed teabags wet'!$K$2:$K$2000,MATCH(L635,'Ashed teabags wet'!$A$2:$A$2000,0)),"")</f>
        <v>8.6567164179103493</v>
      </c>
      <c r="T635" s="223">
        <f t="shared" si="47"/>
        <v>0.44246686567164228</v>
      </c>
      <c r="U635" s="224">
        <f>'WetLitterbags placem_collection'!E196</f>
        <v>42769</v>
      </c>
      <c r="V635" s="224">
        <f>IF('WetLitterbags placem_collection'!G196="","",'WetLitterbags placem_collection'!G196)</f>
        <v>42813</v>
      </c>
      <c r="W635" s="225">
        <f t="shared" si="45"/>
        <v>44</v>
      </c>
      <c r="X635" s="223">
        <f t="shared" si="48"/>
        <v>1.4438</v>
      </c>
      <c r="Y635" s="223">
        <f t="shared" si="49"/>
        <v>1.3793974225469232</v>
      </c>
      <c r="Z635">
        <f>IFERROR(INDEX([1]Rainfall_Wet!$O$2:$O$217,MATCH(C635, [1]Rainfall_Wet!$A$2:$A$217,0)),"")</f>
        <v>175.054685654</v>
      </c>
      <c r="AA635" s="226">
        <v>21.13063730679653</v>
      </c>
      <c r="AB635" s="226">
        <v>3.0912555579081076</v>
      </c>
      <c r="AC635" s="226">
        <v>75.778107135295357</v>
      </c>
      <c r="AD635" s="227" t="s">
        <v>2651</v>
      </c>
      <c r="AE635" s="226">
        <v>0.46131099063578063</v>
      </c>
      <c r="AF635">
        <f>IF('WetLitterbags placem_collection'!AB196="","",'WetLitterbags placem_collection'!AB196)</f>
        <v>7.9</v>
      </c>
      <c r="AG635">
        <f>IF('WetLitterbags placem_collection'!Z196="","",'WetLitterbags placem_collection'!Z196)</f>
        <v>7.9</v>
      </c>
      <c r="AH635" s="236" t="str">
        <f>IF('WetLitterbags placem_collection'!AA196="","",'WetLitterbags placem_collection'!AA196)</f>
        <v>O</v>
      </c>
      <c r="AI635">
        <f>IF('WetLitterbags placem_collection'!AC196="","",'WetLitterbags placem_collection'!AC196)</f>
        <v>1</v>
      </c>
      <c r="AJ635" s="233">
        <f>AVERAGE('WetLitterbags placem_collection'!S196,'WetLitterbags placem_collection'!U196)</f>
        <v>19.600000000000001</v>
      </c>
      <c r="AK635">
        <f>AVERAGE('WetLitterbags placem_collection'!R196,'WetLitterbags placem_collection'!T196)</f>
        <v>29.3</v>
      </c>
      <c r="AL635">
        <v>-2.4395990190000001</v>
      </c>
      <c r="AM635">
        <v>34.838418959999998</v>
      </c>
      <c r="AN635" t="str">
        <f>IF(ISNUMBER(SEARCH("C", 'WetLitterbags placem_collection'!$X196)),"YES","NO")</f>
        <v>NO</v>
      </c>
      <c r="AO635" t="str">
        <f>IF(ISNUMBER(SEARCH("H", 'WetLitterbags placem_collection'!$X196)),"YES","NO")</f>
        <v>NO</v>
      </c>
      <c r="AP635" t="str">
        <f>IF(ISNUMBER(SEARCH("R", 'WetLitterbags placem_collection'!$X196)),"YES","NO")</f>
        <v>YES</v>
      </c>
    </row>
    <row r="636" spans="1:42" ht="15" customHeight="1">
      <c r="A636" t="s">
        <v>2490</v>
      </c>
      <c r="B636" s="248" t="s">
        <v>2454</v>
      </c>
      <c r="C636" s="253">
        <f>'Dry_Litterbag Placem_Collection'!A197</f>
        <v>195</v>
      </c>
      <c r="D636" s="253" t="str">
        <f>'Dry_Litterbag Placem_Collection'!B197</f>
        <v>Makao</v>
      </c>
      <c r="E636" s="253" t="s">
        <v>2643</v>
      </c>
      <c r="F636" s="253" t="s">
        <v>2644</v>
      </c>
      <c r="G636" s="253">
        <v>2</v>
      </c>
      <c r="H636" s="253" t="s">
        <v>3104</v>
      </c>
      <c r="I636" s="254" t="str">
        <f>'Dry_Litterbag Placem_Collection'!C197</f>
        <v>Dry_Ag3_CG2</v>
      </c>
      <c r="J636" s="263" t="s">
        <v>2932</v>
      </c>
      <c r="K636" s="256" t="s">
        <v>1147</v>
      </c>
      <c r="L636" s="221" t="str">
        <f>'WetLitterbags placem_collection'!O197</f>
        <v>G525</v>
      </c>
      <c r="M636" s="223">
        <f>IFERROR(INDEX('Green_rooibos initial weight'!$C$5:$C$2000,MATCH(L636, 'Green_rooibos initial weight'!$A$5:$A$2000,0)),"")</f>
        <v>2.0790000000000002</v>
      </c>
      <c r="N636" s="223">
        <f>IFERROR(M636-(TBIcalc!$H$9+TBIcalc!$H$10),"")</f>
        <v>1.8292000000000002</v>
      </c>
      <c r="O636" s="378">
        <f>AVERAGE(Ashed_controlls!$K$2:$K$11)</f>
        <v>5.5147656768714146</v>
      </c>
      <c r="P636" s="223">
        <f t="shared" si="46"/>
        <v>1.7283239062386682</v>
      </c>
      <c r="Q636" s="223">
        <f>IFERROR(INDEX('Both teabags AfterWet'!$C$3:$C$840,MATCH(L636,'Both teabags AfterWet'!$A$3:$A$840,0)),"")</f>
        <v>0.67859999999999998</v>
      </c>
      <c r="R636" s="223">
        <f>IFERROR(IF(Q636&gt;0,Q636-(TBIcalc!$H$9),""),"")</f>
        <v>0.52800000000000002</v>
      </c>
      <c r="S636" s="223">
        <f>IFERROR(INDEX('Ashed teabags wet'!$K$2:$K$2000,MATCH(L636,'Ashed teabags wet'!$A$2:$A$2000,0)),"")</f>
        <v>12.793603198399861</v>
      </c>
      <c r="T636" s="223">
        <f t="shared" si="47"/>
        <v>0.46044977511244878</v>
      </c>
      <c r="U636" s="224">
        <f>'WetLitterbags placem_collection'!E197</f>
        <v>42769</v>
      </c>
      <c r="V636" s="224">
        <f>IF('WetLitterbags placem_collection'!G197="","",'WetLitterbags placem_collection'!G197)</f>
        <v>42814</v>
      </c>
      <c r="W636" s="225">
        <f t="shared" si="45"/>
        <v>45</v>
      </c>
      <c r="X636" s="223">
        <f t="shared" si="48"/>
        <v>1.3012000000000001</v>
      </c>
      <c r="Y636" s="223">
        <f t="shared" si="49"/>
        <v>1.2678741311262194</v>
      </c>
      <c r="Z636">
        <f>IFERROR(INDEX([1]Rainfall_Wet!$O$2:$O$217,MATCH(C636, [1]Rainfall_Wet!$A$2:$A$217,0)),"")</f>
        <v>175.377105089</v>
      </c>
      <c r="AA636" s="226">
        <v>54.080969906906262</v>
      </c>
      <c r="AB636" s="226">
        <v>21.264484651351896</v>
      </c>
      <c r="AC636" s="226">
        <v>24.654545441741845</v>
      </c>
      <c r="AD636" s="227" t="s">
        <v>2654</v>
      </c>
      <c r="AE636" s="226">
        <v>1.8433218334154755</v>
      </c>
      <c r="AF636">
        <f>IF('WetLitterbags placem_collection'!AB197="","",'WetLitterbags placem_collection'!AB197)</f>
        <v>5.13</v>
      </c>
      <c r="AG636">
        <f>IF('WetLitterbags placem_collection'!Z197="","",'WetLitterbags placem_collection'!Z197)</f>
        <v>5.13</v>
      </c>
      <c r="AH636" s="236" t="str">
        <f>IF('WetLitterbags placem_collection'!AA197="","",'WetLitterbags placem_collection'!AA197)</f>
        <v>O</v>
      </c>
      <c r="AI636">
        <f>IF('WetLitterbags placem_collection'!AC197="","",'WetLitterbags placem_collection'!AC197)</f>
        <v>1</v>
      </c>
      <c r="AJ636" s="233">
        <f>AVERAGE('WetLitterbags placem_collection'!S197,'WetLitterbags placem_collection'!U197)</f>
        <v>29.700000000000003</v>
      </c>
      <c r="AK636">
        <f>AVERAGE('WetLitterbags placem_collection'!R197,'WetLitterbags placem_collection'!T197)</f>
        <v>24.35</v>
      </c>
      <c r="AL636">
        <v>-2.4396450349999999</v>
      </c>
      <c r="AM636">
        <v>34.83836599</v>
      </c>
      <c r="AN636" t="str">
        <f>IF(ISNUMBER(SEARCH("C", 'WetLitterbags placem_collection'!$X197)),"YES","NO")</f>
        <v>NO</v>
      </c>
      <c r="AO636" t="str">
        <f>IF(ISNUMBER(SEARCH("H", 'WetLitterbags placem_collection'!$X197)),"YES","NO")</f>
        <v>NO</v>
      </c>
      <c r="AP636" t="str">
        <f>IF(ISNUMBER(SEARCH("R", 'WetLitterbags placem_collection'!$X197)),"YES","NO")</f>
        <v>YES</v>
      </c>
    </row>
    <row r="637" spans="1:42" ht="15" customHeight="1">
      <c r="A637" t="s">
        <v>2490</v>
      </c>
      <c r="B637" s="248" t="s">
        <v>2454</v>
      </c>
      <c r="C637" s="253">
        <f>'Dry_Litterbag Placem_Collection'!A198</f>
        <v>196</v>
      </c>
      <c r="D637" s="253" t="str">
        <f>'Dry_Litterbag Placem_Collection'!B198</f>
        <v>Makao</v>
      </c>
      <c r="E637" s="253" t="s">
        <v>2643</v>
      </c>
      <c r="F637" s="253" t="s">
        <v>2644</v>
      </c>
      <c r="G637" s="253">
        <v>1</v>
      </c>
      <c r="H637" s="253" t="s">
        <v>3105</v>
      </c>
      <c r="I637" s="254" t="str">
        <f>'Dry_Litterbag Placem_Collection'!C198</f>
        <v>Dry_Ag4_CG1</v>
      </c>
      <c r="J637" s="263" t="s">
        <v>2932</v>
      </c>
      <c r="K637" s="256" t="s">
        <v>1147</v>
      </c>
      <c r="L637" s="221" t="str">
        <f>'WetLitterbags placem_collection'!O198</f>
        <v>G886</v>
      </c>
      <c r="M637" s="223">
        <f>IFERROR(INDEX('Green_rooibos initial weight'!$C$5:$C$2000,MATCH(L637, 'Green_rooibos initial weight'!$A$5:$A$2000,0)),"")</f>
        <v>1.9590000000000001</v>
      </c>
      <c r="N637" s="223">
        <f>IFERROR(M637-(TBIcalc!$H$9+TBIcalc!$H$10),"")</f>
        <v>1.7092000000000001</v>
      </c>
      <c r="O637" s="378">
        <f>AVERAGE(Ashed_controlls!$K$2:$K$11)</f>
        <v>5.5147656768714146</v>
      </c>
      <c r="P637" s="223">
        <f t="shared" si="46"/>
        <v>1.6149416250509139</v>
      </c>
      <c r="Q637" s="223">
        <f>IFERROR(INDEX('Both teabags AfterWet'!$C$3:$C$840,MATCH(L637,'Both teabags AfterWet'!$A$3:$A$840,0)),"")</f>
        <v>0.58389999999999997</v>
      </c>
      <c r="R637" s="223">
        <f>IFERROR(IF(Q637&gt;0,Q637-(TBIcalc!$H$9),""),"")</f>
        <v>0.43329999999999996</v>
      </c>
      <c r="S637" s="223">
        <f>IFERROR(INDEX('Ashed teabags wet'!$K$2:$K$2000,MATCH(L637,'Ashed teabags wet'!$A$2:$A$2000,0)),"")</f>
        <v>11.60846040334461</v>
      </c>
      <c r="T637" s="223">
        <f t="shared" si="47"/>
        <v>0.38300054107230774</v>
      </c>
      <c r="U637" s="224">
        <f>'WetLitterbags placem_collection'!E198</f>
        <v>42769</v>
      </c>
      <c r="V637" s="224">
        <f>IF('WetLitterbags placem_collection'!G198="","",'WetLitterbags placem_collection'!G198)</f>
        <v>42814</v>
      </c>
      <c r="W637" s="225">
        <f t="shared" si="45"/>
        <v>45</v>
      </c>
      <c r="X637" s="223">
        <f t="shared" si="48"/>
        <v>1.2759</v>
      </c>
      <c r="Y637" s="223">
        <f t="shared" si="49"/>
        <v>1.2319410839786062</v>
      </c>
      <c r="Z637">
        <f>IFERROR(INDEX([1]Rainfall_Wet!$O$2:$O$217,MATCH(C637, [1]Rainfall_Wet!$A$2:$A$217,0)),"")</f>
        <v>175.377105089</v>
      </c>
      <c r="AA637" s="226">
        <v>51.960000000000008</v>
      </c>
      <c r="AB637" s="226">
        <v>18.919999999999995</v>
      </c>
      <c r="AC637" s="226">
        <v>29.120000000000005</v>
      </c>
      <c r="AD637" s="227" t="s">
        <v>2654</v>
      </c>
      <c r="AE637" s="226">
        <v>1.85293247905372</v>
      </c>
      <c r="AF637">
        <f>IF('WetLitterbags placem_collection'!AB198="","",'WetLitterbags placem_collection'!AB198)</f>
        <v>13.8</v>
      </c>
      <c r="AG637">
        <f>IF('WetLitterbags placem_collection'!Z198="","",'WetLitterbags placem_collection'!Z198)</f>
        <v>17.399999999999999</v>
      </c>
      <c r="AH637" s="236" t="str">
        <f>IF('WetLitterbags placem_collection'!AA198="","",'WetLitterbags placem_collection'!AA198)</f>
        <v>O</v>
      </c>
      <c r="AI637">
        <f>IF('WetLitterbags placem_collection'!AC198="","",'WetLitterbags placem_collection'!AC198)</f>
        <v>1</v>
      </c>
      <c r="AJ637" s="233">
        <f>AVERAGE('WetLitterbags placem_collection'!S198,'WetLitterbags placem_collection'!U198)</f>
        <v>23.75</v>
      </c>
      <c r="AK637">
        <f>AVERAGE('WetLitterbags placem_collection'!R198,'WetLitterbags placem_collection'!T198)</f>
        <v>25.25</v>
      </c>
      <c r="AL637">
        <v>-2.439403972</v>
      </c>
      <c r="AM637">
        <v>34.838404959999998</v>
      </c>
      <c r="AN637" t="str">
        <f>IF(ISNUMBER(SEARCH("C", 'WetLitterbags placem_collection'!$X198)),"YES","NO")</f>
        <v>NO</v>
      </c>
      <c r="AO637" t="str">
        <f>IF(ISNUMBER(SEARCH("H", 'WetLitterbags placem_collection'!$X198)),"YES","NO")</f>
        <v>NO</v>
      </c>
      <c r="AP637" t="str">
        <f>IF(ISNUMBER(SEARCH("R", 'WetLitterbags placem_collection'!$X198)),"YES","NO")</f>
        <v>NO</v>
      </c>
    </row>
    <row r="638" spans="1:42" ht="15" customHeight="1">
      <c r="A638" t="s">
        <v>2490</v>
      </c>
      <c r="B638" s="248" t="s">
        <v>2454</v>
      </c>
      <c r="C638" s="253">
        <f>'Dry_Litterbag Placem_Collection'!A199</f>
        <v>197</v>
      </c>
      <c r="D638" s="253" t="str">
        <f>'Dry_Litterbag Placem_Collection'!B199</f>
        <v>Makao</v>
      </c>
      <c r="E638" s="253" t="s">
        <v>2643</v>
      </c>
      <c r="F638" s="253" t="s">
        <v>20</v>
      </c>
      <c r="G638" s="253">
        <v>2</v>
      </c>
      <c r="H638" s="253" t="s">
        <v>3106</v>
      </c>
      <c r="I638" s="254" t="str">
        <f>'Dry_Litterbag Placem_Collection'!C199</f>
        <v>Dry_P1_CG2</v>
      </c>
      <c r="J638" s="263" t="s">
        <v>2932</v>
      </c>
      <c r="K638" s="256" t="s">
        <v>1147</v>
      </c>
      <c r="L638" s="221" t="str">
        <f>'WetLitterbags placem_collection'!O199</f>
        <v>G388</v>
      </c>
      <c r="M638" s="223">
        <f>IFERROR(INDEX('Green_rooibos initial weight'!$C$5:$C$2000,MATCH(L638, 'Green_rooibos initial weight'!$A$5:$A$2000,0)),"")</f>
        <v>2.024</v>
      </c>
      <c r="N638" s="223">
        <f>IFERROR(M638-(TBIcalc!$H$9+TBIcalc!$H$10),"")</f>
        <v>1.7742</v>
      </c>
      <c r="O638" s="378">
        <f>AVERAGE(Ashed_controlls!$K$2:$K$11)</f>
        <v>5.5147656768714146</v>
      </c>
      <c r="P638" s="223">
        <f t="shared" si="46"/>
        <v>1.6763570273609474</v>
      </c>
      <c r="Q638" s="223">
        <f>IFERROR(INDEX('Both teabags AfterWet'!$C$3:$C$840,MATCH(L638,'Both teabags AfterWet'!$A$3:$A$840,0)),"")</f>
        <v>0.7046</v>
      </c>
      <c r="R638" s="223">
        <f>IFERROR(IF(Q638&gt;0,Q638-(TBIcalc!$H$9),""),"")</f>
        <v>0.55400000000000005</v>
      </c>
      <c r="S638" s="223">
        <f>IFERROR(INDEX('Ashed teabags wet'!$K$2:$K$2000,MATCH(L638,'Ashed teabags wet'!$A$2:$A$2000,0)),"")</f>
        <v>10.565110565110372</v>
      </c>
      <c r="T638" s="223">
        <f t="shared" si="47"/>
        <v>0.49546928746928859</v>
      </c>
      <c r="U638" s="224">
        <f>'WetLitterbags placem_collection'!E199</f>
        <v>42769</v>
      </c>
      <c r="V638" s="224">
        <f>IF('WetLitterbags placem_collection'!G199="","",'WetLitterbags placem_collection'!G199)</f>
        <v>42814</v>
      </c>
      <c r="W638" s="225">
        <f t="shared" si="45"/>
        <v>45</v>
      </c>
      <c r="X638" s="223">
        <f t="shared" si="48"/>
        <v>1.2202</v>
      </c>
      <c r="Y638" s="223">
        <f t="shared" si="49"/>
        <v>1.1808877398916588</v>
      </c>
      <c r="Z638">
        <f>IFERROR(INDEX([1]Rainfall_Wet!$O$2:$O$217,MATCH(C638, [1]Rainfall_Wet!$A$2:$A$217,0)),"")</f>
        <v>175.377105089</v>
      </c>
      <c r="AA638" s="226">
        <v>23.96</v>
      </c>
      <c r="AB638" s="226">
        <v>0.91999999999999804</v>
      </c>
      <c r="AC638" s="226">
        <v>75.12</v>
      </c>
      <c r="AD638" s="227" t="s">
        <v>2651</v>
      </c>
      <c r="AE638" s="226">
        <v>1.2493839329719072</v>
      </c>
      <c r="AF638">
        <f>IF('WetLitterbags placem_collection'!AB199="","",'WetLitterbags placem_collection'!AB199)</f>
        <v>5.13</v>
      </c>
      <c r="AG638">
        <f>IF('WetLitterbags placem_collection'!Z199="","",'WetLitterbags placem_collection'!Z199)</f>
        <v>5.13</v>
      </c>
      <c r="AH638" s="236" t="str">
        <f>IF('WetLitterbags placem_collection'!AA199="","",'WetLitterbags placem_collection'!AA199)</f>
        <v>O</v>
      </c>
      <c r="AI638">
        <f>IF('WetLitterbags placem_collection'!AC199="","",'WetLitterbags placem_collection'!AC199)</f>
        <v>1</v>
      </c>
      <c r="AJ638" s="233">
        <f>AVERAGE('WetLitterbags placem_collection'!S199,'WetLitterbags placem_collection'!U199)</f>
        <v>22.85</v>
      </c>
      <c r="AK638">
        <f>AVERAGE('WetLitterbags placem_collection'!R199,'WetLitterbags placem_collection'!T199)</f>
        <v>24.4</v>
      </c>
      <c r="AL638">
        <v>-2.4396450349999999</v>
      </c>
      <c r="AM638">
        <v>34.83836599</v>
      </c>
      <c r="AN638" t="str">
        <f>IF(ISNUMBER(SEARCH("C", 'WetLitterbags placem_collection'!$X199)),"YES","NO")</f>
        <v>NO</v>
      </c>
      <c r="AO638" t="str">
        <f>IF(ISNUMBER(SEARCH("H", 'WetLitterbags placem_collection'!$X199)),"YES","NO")</f>
        <v>NO</v>
      </c>
      <c r="AP638" t="str">
        <f>IF(ISNUMBER(SEARCH("R", 'WetLitterbags placem_collection'!$X199)),"YES","NO")</f>
        <v>YES</v>
      </c>
    </row>
    <row r="639" spans="1:42" ht="15" customHeight="1">
      <c r="A639" t="s">
        <v>2490</v>
      </c>
      <c r="B639" s="248" t="s">
        <v>2454</v>
      </c>
      <c r="C639" s="253">
        <f>'Dry_Litterbag Placem_Collection'!A200</f>
        <v>198</v>
      </c>
      <c r="D639" s="253" t="str">
        <f>'Dry_Litterbag Placem_Collection'!B200</f>
        <v>Makao</v>
      </c>
      <c r="E639" s="253" t="s">
        <v>2643</v>
      </c>
      <c r="F639" s="253" t="s">
        <v>20</v>
      </c>
      <c r="G639" s="253">
        <v>3</v>
      </c>
      <c r="H639" s="253" t="s">
        <v>3108</v>
      </c>
      <c r="I639" s="254" t="str">
        <f>'Dry_Litterbag Placem_Collection'!C200</f>
        <v>Dry_P2_CG3</v>
      </c>
      <c r="J639" s="263" t="s">
        <v>2932</v>
      </c>
      <c r="K639" s="256" t="s">
        <v>1147</v>
      </c>
      <c r="L639" s="221" t="str">
        <f>'WetLitterbags placem_collection'!O200</f>
        <v>G462</v>
      </c>
      <c r="M639" s="223">
        <f>IFERROR(INDEX('Green_rooibos initial weight'!$C$5:$C$2000,MATCH(L639, 'Green_rooibos initial weight'!$A$5:$A$2000,0)),"")</f>
        <v>2.169</v>
      </c>
      <c r="N639" s="223">
        <f>IFERROR(M639-(TBIcalc!$H$9+TBIcalc!$H$10),"")</f>
        <v>1.9192</v>
      </c>
      <c r="O639" s="378">
        <f>AVERAGE(Ashed_controlls!$K$2:$K$11)</f>
        <v>5.5147656768714146</v>
      </c>
      <c r="P639" s="223">
        <f t="shared" si="46"/>
        <v>1.8133606171294838</v>
      </c>
      <c r="Q639" s="223">
        <f>IFERROR(INDEX('Both teabags AfterWet'!$C$3:$C$840,MATCH(L639,'Both teabags AfterWet'!$A$3:$A$840,0)),"")</f>
        <v>0.71250000000000002</v>
      </c>
      <c r="R639" s="223">
        <f>IFERROR(IF(Q639&gt;0,Q639-(TBIcalc!$H$9),""),"")</f>
        <v>0.56190000000000007</v>
      </c>
      <c r="S639" s="223">
        <f>IFERROR(INDEX('Ashed teabags wet'!$K$2:$K$2000,MATCH(L639,'Ashed teabags wet'!$A$2:$A$2000,0)),"")</f>
        <v>8.7537091988131088</v>
      </c>
      <c r="T639" s="223">
        <f t="shared" si="47"/>
        <v>0.5127129080118692</v>
      </c>
      <c r="U639" s="224">
        <f>'WetLitterbags placem_collection'!E200</f>
        <v>42769</v>
      </c>
      <c r="V639" s="224">
        <f>IF('WetLitterbags placem_collection'!G200="","",'WetLitterbags placem_collection'!G200)</f>
        <v>42813</v>
      </c>
      <c r="W639" s="225">
        <f t="shared" si="45"/>
        <v>44</v>
      </c>
      <c r="X639" s="223">
        <f t="shared" si="48"/>
        <v>1.3573</v>
      </c>
      <c r="Y639" s="223">
        <f t="shared" si="49"/>
        <v>1.3006477091176145</v>
      </c>
      <c r="Z639">
        <f>IFERROR(INDEX([1]Rainfall_Wet!$O$2:$O$217,MATCH(C639, [1]Rainfall_Wet!$A$2:$A$217,0)),"")</f>
        <v>175.054685654</v>
      </c>
      <c r="AA639" s="226">
        <v>19.96</v>
      </c>
      <c r="AB639" s="226">
        <v>4.9199999999999982</v>
      </c>
      <c r="AC639" s="226">
        <v>75.12</v>
      </c>
      <c r="AD639" s="227" t="s">
        <v>2652</v>
      </c>
      <c r="AE639" s="226">
        <v>1.641498275012321</v>
      </c>
      <c r="AF639">
        <f>IF('WetLitterbags placem_collection'!AB200="","",'WetLitterbags placem_collection'!AB200)</f>
        <v>7.9</v>
      </c>
      <c r="AG639">
        <f>IF('WetLitterbags placem_collection'!Z200="","",'WetLitterbags placem_collection'!Z200)</f>
        <v>7.9</v>
      </c>
      <c r="AH639" s="236" t="str">
        <f>IF('WetLitterbags placem_collection'!AA200="","",'WetLitterbags placem_collection'!AA200)</f>
        <v>O</v>
      </c>
      <c r="AI639">
        <f>IF('WetLitterbags placem_collection'!AC200="","",'WetLitterbags placem_collection'!AC200)</f>
        <v>1</v>
      </c>
      <c r="AJ639" s="233">
        <f>AVERAGE('WetLitterbags placem_collection'!S200,'WetLitterbags placem_collection'!U200)</f>
        <v>20.9</v>
      </c>
      <c r="AK639">
        <f>AVERAGE('WetLitterbags placem_collection'!R200,'WetLitterbags placem_collection'!T200)</f>
        <v>27.45</v>
      </c>
      <c r="AL639">
        <v>-2.4395990190000001</v>
      </c>
      <c r="AM639">
        <v>34.838418959999998</v>
      </c>
      <c r="AN639" t="str">
        <f>IF(ISNUMBER(SEARCH("C", 'WetLitterbags placem_collection'!$X200)),"YES","NO")</f>
        <v>NO</v>
      </c>
      <c r="AO639" t="str">
        <f>IF(ISNUMBER(SEARCH("H", 'WetLitterbags placem_collection'!$X200)),"YES","NO")</f>
        <v>NO</v>
      </c>
      <c r="AP639" t="str">
        <f>IF(ISNUMBER(SEARCH("R", 'WetLitterbags placem_collection'!$X200)),"YES","NO")</f>
        <v>YES</v>
      </c>
    </row>
    <row r="640" spans="1:42" ht="15" customHeight="1">
      <c r="A640" t="s">
        <v>2490</v>
      </c>
      <c r="B640" s="248" t="s">
        <v>2454</v>
      </c>
      <c r="C640" s="253">
        <f>'Dry_Litterbag Placem_Collection'!A201</f>
        <v>199</v>
      </c>
      <c r="D640" s="253" t="str">
        <f>'Dry_Litterbag Placem_Collection'!B201</f>
        <v>Makao</v>
      </c>
      <c r="E640" s="253" t="s">
        <v>2643</v>
      </c>
      <c r="F640" s="253" t="s">
        <v>20</v>
      </c>
      <c r="G640" s="253">
        <v>1</v>
      </c>
      <c r="H640" s="253" t="s">
        <v>3109</v>
      </c>
      <c r="I640" s="254" t="str">
        <f>'Dry_Litterbag Placem_Collection'!C201</f>
        <v>Dry_P3_CG1</v>
      </c>
      <c r="J640" s="263" t="s">
        <v>2932</v>
      </c>
      <c r="K640" s="256" t="s">
        <v>1147</v>
      </c>
      <c r="L640" s="221" t="str">
        <f>'WetLitterbags placem_collection'!O201</f>
        <v>G712</v>
      </c>
      <c r="M640" s="223">
        <f>IFERROR(INDEX('Green_rooibos initial weight'!$C$5:$C$2000,MATCH(L640, 'Green_rooibos initial weight'!$A$5:$A$2000,0)),"")</f>
        <v>2.0630000000000002</v>
      </c>
      <c r="N640" s="223">
        <f>IFERROR(M640-(TBIcalc!$H$9+TBIcalc!$H$10),"")</f>
        <v>1.8132000000000001</v>
      </c>
      <c r="O640" s="378">
        <f>AVERAGE(Ashed_controlls!$K$2:$K$11)</f>
        <v>5.5147656768714146</v>
      </c>
      <c r="P640" s="223">
        <f t="shared" si="46"/>
        <v>1.7132062687469676</v>
      </c>
      <c r="Q640" s="223">
        <f>IFERROR(INDEX('Both teabags AfterWet'!$C$3:$C$840,MATCH(L640,'Both teabags AfterWet'!$A$3:$A$840,0)),"")</f>
        <v>0.65500000000000003</v>
      </c>
      <c r="R640" s="223">
        <f>IFERROR(IF(Q640&gt;0,Q640-(TBIcalc!$H$9),""),"")</f>
        <v>0.50439999999999996</v>
      </c>
      <c r="S640" s="223">
        <f>IFERROR(INDEX('Ashed teabags wet'!$K$2:$K$2000,MATCH(L640,'Ashed teabags wet'!$A$2:$A$2000,0)),"")</f>
        <v>8.8717454194792413</v>
      </c>
      <c r="T640" s="223">
        <f t="shared" si="47"/>
        <v>0.45965091610414666</v>
      </c>
      <c r="U640" s="224">
        <f>'WetLitterbags placem_collection'!E201</f>
        <v>42769</v>
      </c>
      <c r="V640" s="224">
        <f>IF('WetLitterbags placem_collection'!G201="","",'WetLitterbags placem_collection'!G201)</f>
        <v>42814</v>
      </c>
      <c r="W640" s="225">
        <f t="shared" si="45"/>
        <v>45</v>
      </c>
      <c r="X640" s="223">
        <f t="shared" si="48"/>
        <v>1.3088000000000002</v>
      </c>
      <c r="Y640" s="223">
        <f t="shared" si="49"/>
        <v>1.2535553526428209</v>
      </c>
      <c r="Z640">
        <f>IFERROR(INDEX([1]Rainfall_Wet!$O$2:$O$217,MATCH(C640, [1]Rainfall_Wet!$A$2:$A$217,0)),"")</f>
        <v>175.377105089</v>
      </c>
      <c r="AA640" s="226">
        <v>21.96</v>
      </c>
      <c r="AB640" s="226">
        <v>8.9199999999999982</v>
      </c>
      <c r="AC640" s="226">
        <v>69.12</v>
      </c>
      <c r="AD640" s="227" t="s">
        <v>2651</v>
      </c>
      <c r="AE640" s="226">
        <v>1.7491375061606702</v>
      </c>
      <c r="AF640">
        <f>IF('WetLitterbags placem_collection'!AB201="","",'WetLitterbags placem_collection'!AB201)</f>
        <v>13.8</v>
      </c>
      <c r="AG640">
        <f>IF('WetLitterbags placem_collection'!Z201="","",'WetLitterbags placem_collection'!Z201)</f>
        <v>17.399999999999999</v>
      </c>
      <c r="AH640" s="236" t="str">
        <f>IF('WetLitterbags placem_collection'!AA201="","",'WetLitterbags placem_collection'!AA201)</f>
        <v>O</v>
      </c>
      <c r="AI640">
        <f>IF('WetLitterbags placem_collection'!AC201="","",'WetLitterbags placem_collection'!AC201)</f>
        <v>1</v>
      </c>
      <c r="AJ640" s="233">
        <f>AVERAGE('WetLitterbags placem_collection'!S201,'WetLitterbags placem_collection'!U201)</f>
        <v>18.149999999999999</v>
      </c>
      <c r="AK640">
        <f>AVERAGE('WetLitterbags placem_collection'!R201,'WetLitterbags placem_collection'!T201)</f>
        <v>24.549999999999997</v>
      </c>
      <c r="AL640">
        <v>-2.439403972</v>
      </c>
      <c r="AM640">
        <v>34.838404959999998</v>
      </c>
      <c r="AN640" t="str">
        <f>IF(ISNUMBER(SEARCH("C", 'WetLitterbags placem_collection'!$X201)),"YES","NO")</f>
        <v>NO</v>
      </c>
      <c r="AO640" t="str">
        <f>IF(ISNUMBER(SEARCH("H", 'WetLitterbags placem_collection'!$X201)),"YES","NO")</f>
        <v>NO</v>
      </c>
      <c r="AP640" t="str">
        <f>IF(ISNUMBER(SEARCH("R", 'WetLitterbags placem_collection'!$X201)),"YES","NO")</f>
        <v>NO</v>
      </c>
    </row>
    <row r="641" spans="1:42" ht="15" customHeight="1">
      <c r="A641" t="s">
        <v>2490</v>
      </c>
      <c r="B641" s="248" t="s">
        <v>2454</v>
      </c>
      <c r="C641" s="253">
        <f>'Dry_Litterbag Placem_Collection'!A202</f>
        <v>200</v>
      </c>
      <c r="D641" s="253" t="str">
        <f>'Dry_Litterbag Placem_Collection'!B202</f>
        <v>Makao</v>
      </c>
      <c r="E641" s="253" t="s">
        <v>2643</v>
      </c>
      <c r="F641" s="253" t="s">
        <v>20</v>
      </c>
      <c r="G641" s="253">
        <v>4</v>
      </c>
      <c r="H641" s="253" t="s">
        <v>3110</v>
      </c>
      <c r="I641" s="254" t="str">
        <f>'Dry_Litterbag Placem_Collection'!C202</f>
        <v>Dry_P4_CG4</v>
      </c>
      <c r="J641" s="263" t="s">
        <v>2932</v>
      </c>
      <c r="K641" s="256" t="s">
        <v>1147</v>
      </c>
      <c r="L641" s="221" t="str">
        <f>'WetLitterbags placem_collection'!O202</f>
        <v>G709</v>
      </c>
      <c r="M641" s="223">
        <f>IFERROR(INDEX('Green_rooibos initial weight'!$C$5:$C$2000,MATCH(L641, 'Green_rooibos initial weight'!$A$5:$A$2000,0)),"")</f>
        <v>1.9670000000000001</v>
      </c>
      <c r="N641" s="223">
        <f>IFERROR(M641-(TBIcalc!$H$9+TBIcalc!$H$10),"")</f>
        <v>1.7172000000000001</v>
      </c>
      <c r="O641" s="378">
        <f>AVERAGE(Ashed_controlls!$K$2:$K$11)</f>
        <v>5.5147656768714146</v>
      </c>
      <c r="P641" s="223">
        <f t="shared" si="46"/>
        <v>1.6225004437967641</v>
      </c>
      <c r="Q641" s="223">
        <f>IFERROR(INDEX('Both teabags AfterWet'!$C$3:$C$840,MATCH(L641,'Both teabags AfterWet'!$A$3:$A$840,0)),"")</f>
        <v>0.56469999999999998</v>
      </c>
      <c r="R641" s="223">
        <f>IFERROR(IF(Q641&gt;0,Q641-(TBIcalc!$H$9),""),"")</f>
        <v>0.41409999999999997</v>
      </c>
      <c r="S641" s="223">
        <f>IFERROR(INDEX('Ashed teabags wet'!$K$2:$K$2000,MATCH(L641,'Ashed teabags wet'!$A$2:$A$2000,0)),"")</f>
        <v>9.8409542743538694</v>
      </c>
      <c r="T641" s="223">
        <f t="shared" si="47"/>
        <v>0.37334860834990058</v>
      </c>
      <c r="U641" s="224">
        <f>'WetLitterbags placem_collection'!E202</f>
        <v>42769</v>
      </c>
      <c r="V641" s="224">
        <f>IF('WetLitterbags placem_collection'!G202="","",'WetLitterbags placem_collection'!G202)</f>
        <v>42813</v>
      </c>
      <c r="W641" s="225">
        <f t="shared" si="45"/>
        <v>44</v>
      </c>
      <c r="X641" s="223">
        <f t="shared" si="48"/>
        <v>1.3031000000000001</v>
      </c>
      <c r="Y641" s="223">
        <f t="shared" si="49"/>
        <v>1.2491518354468636</v>
      </c>
      <c r="Z641">
        <f>IFERROR(INDEX([1]Rainfall_Wet!$O$2:$O$217,MATCH(C641, [1]Rainfall_Wet!$A$2:$A$217,0)),"")</f>
        <v>175.054685654</v>
      </c>
      <c r="AA641" s="226">
        <v>25.96</v>
      </c>
      <c r="AB641" s="226">
        <v>6.9200000000000008</v>
      </c>
      <c r="AC641" s="226">
        <v>67.12</v>
      </c>
      <c r="AD641" s="227" t="s">
        <v>2651</v>
      </c>
      <c r="AE641" s="226">
        <v>1.7568260226712666</v>
      </c>
      <c r="AF641">
        <f>IF('WetLitterbags placem_collection'!AB202="","",'WetLitterbags placem_collection'!AB202)</f>
        <v>15.2</v>
      </c>
      <c r="AG641">
        <f>IF('WetLitterbags placem_collection'!Z202="","",'WetLitterbags placem_collection'!Z202)</f>
        <v>12.2</v>
      </c>
      <c r="AH641" s="236" t="str">
        <f>IF('WetLitterbags placem_collection'!AA202="","",'WetLitterbags placem_collection'!AA202)</f>
        <v>O</v>
      </c>
      <c r="AI641">
        <f>IF('WetLitterbags placem_collection'!AC202="","",'WetLitterbags placem_collection'!AC202)</f>
        <v>1</v>
      </c>
      <c r="AJ641" s="233">
        <f>AVERAGE('WetLitterbags placem_collection'!S202,'WetLitterbags placem_collection'!U202)</f>
        <v>22.799999999999997</v>
      </c>
      <c r="AK641">
        <f>AVERAGE('WetLitterbags placem_collection'!R202,'WetLitterbags placem_collection'!T202)</f>
        <v>27.9</v>
      </c>
      <c r="AL641">
        <v>-2.4396949910000001</v>
      </c>
      <c r="AM641">
        <v>34.838574029999997</v>
      </c>
      <c r="AN641" t="str">
        <f>IF(ISNUMBER(SEARCH("C", 'WetLitterbags placem_collection'!$X202)),"YES","NO")</f>
        <v>NO</v>
      </c>
      <c r="AO641" t="str">
        <f>IF(ISNUMBER(SEARCH("H", 'WetLitterbags placem_collection'!$X202)),"YES","NO")</f>
        <v>NO</v>
      </c>
      <c r="AP641" t="str">
        <f>IF(ISNUMBER(SEARCH("R", 'WetLitterbags placem_collection'!$X202)),"YES","NO")</f>
        <v>YES</v>
      </c>
    </row>
    <row r="642" spans="1:42" ht="15" customHeight="1">
      <c r="A642" t="s">
        <v>2490</v>
      </c>
      <c r="B642" s="248" t="s">
        <v>2454</v>
      </c>
      <c r="C642" s="253">
        <f>'Dry_Litterbag Placem_Collection'!A203</f>
        <v>201</v>
      </c>
      <c r="D642" s="253" t="str">
        <f>'Dry_Litterbag Placem_Collection'!B203</f>
        <v>Maswa</v>
      </c>
      <c r="E642" s="253" t="s">
        <v>2643</v>
      </c>
      <c r="F642" s="253" t="s">
        <v>2645</v>
      </c>
      <c r="G642" s="253">
        <v>4</v>
      </c>
      <c r="H642" s="253" t="s">
        <v>3114</v>
      </c>
      <c r="I642" s="254" t="str">
        <f>'Dry_Litterbag Placem_Collection'!C203</f>
        <v>Dry_W3_CG4</v>
      </c>
      <c r="J642" s="263" t="s">
        <v>2932</v>
      </c>
      <c r="K642" s="256" t="s">
        <v>1147</v>
      </c>
      <c r="L642" s="221" t="str">
        <f>'WetLitterbags placem_collection'!O203</f>
        <v>G707</v>
      </c>
      <c r="M642" s="223">
        <f>IFERROR(INDEX('Green_rooibos initial weight'!$C$5:$C$2000,MATCH(L642, 'Green_rooibos initial weight'!$A$5:$A$2000,0)),"")</f>
        <v>2.008</v>
      </c>
      <c r="N642" s="223">
        <f>IFERROR(M642-(TBIcalc!$H$9+TBIcalc!$H$10),"")</f>
        <v>1.7582</v>
      </c>
      <c r="O642" s="378">
        <f>AVERAGE(Ashed_controlls!$K$2:$K$11)</f>
        <v>5.5147656768714146</v>
      </c>
      <c r="P642" s="223">
        <f t="shared" si="46"/>
        <v>1.6612393898692468</v>
      </c>
      <c r="Q642" s="223">
        <f>IFERROR(INDEX('Both teabags AfterWet'!$C$3:$C$840,MATCH(L642,'Both teabags AfterWet'!$A$3:$A$840,0)),"")</f>
        <v>0.63959999999999995</v>
      </c>
      <c r="R642" s="223">
        <f>IFERROR(IF(Q642&gt;0,Q642-(TBIcalc!$H$9),""),"")</f>
        <v>0.48899999999999993</v>
      </c>
      <c r="S642" s="223">
        <f>IFERROR(INDEX('Ashed teabags wet'!$K$2:$K$2000,MATCH(L642,'Ashed teabags wet'!$A$2:$A$2000,0)),"")</f>
        <v>12.14457831325316</v>
      </c>
      <c r="T642" s="223">
        <f t="shared" si="47"/>
        <v>0.42961301204819197</v>
      </c>
      <c r="U642" s="224">
        <f>'WetLitterbags placem_collection'!E203</f>
        <v>42769</v>
      </c>
      <c r="V642" s="224">
        <f>IF('WetLitterbags placem_collection'!G203="","",'WetLitterbags placem_collection'!G203)</f>
        <v>42813</v>
      </c>
      <c r="W642" s="225">
        <f t="shared" ref="W642:W705" si="50">IFERROR(V642-U642,"")</f>
        <v>44</v>
      </c>
      <c r="X642" s="223">
        <f t="shared" si="48"/>
        <v>1.2692000000000001</v>
      </c>
      <c r="Y642" s="223">
        <f t="shared" si="49"/>
        <v>1.2316263778210548</v>
      </c>
      <c r="Z642">
        <f>IFERROR(INDEX([1]Rainfall_Wet!$O$2:$O$217,MATCH(C642, [1]Rainfall_Wet!$A$2:$A$217,0)),"")</f>
        <v>175.054685654</v>
      </c>
      <c r="AA642" s="226">
        <v>38.691629007962128</v>
      </c>
      <c r="AB642" s="226">
        <v>26.81299763288143</v>
      </c>
      <c r="AC642" s="226">
        <v>34.495373359156439</v>
      </c>
      <c r="AD642" s="227" t="s">
        <v>2656</v>
      </c>
      <c r="AE642" s="226">
        <v>2.5483587974371611</v>
      </c>
      <c r="AF642">
        <f>IF('WetLitterbags placem_collection'!AB203="","",'WetLitterbags placem_collection'!AB203)</f>
        <v>15.2</v>
      </c>
      <c r="AG642">
        <f>IF('WetLitterbags placem_collection'!Z203="","",'WetLitterbags placem_collection'!Z203)</f>
        <v>12.2</v>
      </c>
      <c r="AH642" s="236" t="str">
        <f>IF('WetLitterbags placem_collection'!AA203="","",'WetLitterbags placem_collection'!AA203)</f>
        <v>O</v>
      </c>
      <c r="AI642">
        <f>IF('WetLitterbags placem_collection'!AC203="","",'WetLitterbags placem_collection'!AC203)</f>
        <v>1</v>
      </c>
      <c r="AJ642" s="233">
        <f>AVERAGE('WetLitterbags placem_collection'!S203,'WetLitterbags placem_collection'!U203)</f>
        <v>22</v>
      </c>
      <c r="AK642">
        <f>AVERAGE('WetLitterbags placem_collection'!R203,'WetLitterbags placem_collection'!T203)</f>
        <v>28</v>
      </c>
      <c r="AL642">
        <v>-2.4396949910000001</v>
      </c>
      <c r="AM642">
        <v>34.838574029999997</v>
      </c>
      <c r="AN642" t="str">
        <f>IF(ISNUMBER(SEARCH("C", 'WetLitterbags placem_collection'!$X203)),"YES","NO")</f>
        <v>NO</v>
      </c>
      <c r="AO642" t="str">
        <f>IF(ISNUMBER(SEARCH("H", 'WetLitterbags placem_collection'!$X203)),"YES","NO")</f>
        <v>NO</v>
      </c>
      <c r="AP642" t="str">
        <f>IF(ISNUMBER(SEARCH("R", 'WetLitterbags placem_collection'!$X203)),"YES","NO")</f>
        <v>YES</v>
      </c>
    </row>
    <row r="643" spans="1:42" ht="15" customHeight="1">
      <c r="A643" t="s">
        <v>2490</v>
      </c>
      <c r="B643" s="248" t="s">
        <v>2454</v>
      </c>
      <c r="C643" s="253">
        <f>'Dry_Litterbag Placem_Collection'!A204</f>
        <v>202</v>
      </c>
      <c r="D643" s="253" t="str">
        <f>'Dry_Litterbag Placem_Collection'!B204</f>
        <v>Maswa</v>
      </c>
      <c r="E643" s="253" t="s">
        <v>2643</v>
      </c>
      <c r="F643" s="253" t="s">
        <v>2645</v>
      </c>
      <c r="G643" s="253">
        <v>1</v>
      </c>
      <c r="H643" s="253" t="s">
        <v>3113</v>
      </c>
      <c r="I643" s="254" t="str">
        <f>'Dry_Litterbag Placem_Collection'!C204</f>
        <v>Dry_W2_CG1</v>
      </c>
      <c r="J643" s="263" t="s">
        <v>2932</v>
      </c>
      <c r="K643" s="256" t="s">
        <v>1147</v>
      </c>
      <c r="L643" s="221" t="str">
        <f>'WetLitterbags placem_collection'!O204</f>
        <v>G770</v>
      </c>
      <c r="M643" s="223">
        <f>IFERROR(INDEX('Green_rooibos initial weight'!$C$5:$C$2000,MATCH(L643, 'Green_rooibos initial weight'!$A$5:$A$2000,0)),"")</f>
        <v>1.958</v>
      </c>
      <c r="N643" s="223">
        <f>IFERROR(M643-(TBIcalc!$H$9+TBIcalc!$H$10),"")</f>
        <v>1.7081999999999999</v>
      </c>
      <c r="O643" s="378">
        <f>AVERAGE(Ashed_controlls!$K$2:$K$11)</f>
        <v>5.5147656768714146</v>
      </c>
      <c r="P643" s="223">
        <f t="shared" ref="P643:P706" si="51">IFERROR(N643-(O643/100)*N643,"")</f>
        <v>1.6139967727076825</v>
      </c>
      <c r="Q643" s="223">
        <f>IFERROR(INDEX('Both teabags AfterWet'!$C$3:$C$840,MATCH(L643,'Both teabags AfterWet'!$A$3:$A$840,0)),"")</f>
        <v>0.98199999999999998</v>
      </c>
      <c r="R643" s="223">
        <f>IFERROR(IF(Q643&gt;0,Q643-(TBIcalc!$H$9),""),"")</f>
        <v>0.83139999999999992</v>
      </c>
      <c r="S643" s="223">
        <f>IFERROR(INDEX('Ashed teabags wet'!$K$2:$K$2000,MATCH(L643,'Ashed teabags wet'!$A$2:$A$2000,0)),"")</f>
        <v>31.965648854961913</v>
      </c>
      <c r="T643" s="223">
        <f t="shared" ref="T643:T706" si="52">IFERROR(R643-(S643/100)*R643,"")</f>
        <v>0.56563759541984659</v>
      </c>
      <c r="U643" s="224">
        <f>'WetLitterbags placem_collection'!E204</f>
        <v>42769</v>
      </c>
      <c r="V643" s="224">
        <f>IF('WetLitterbags placem_collection'!G204="","",'WetLitterbags placem_collection'!G204)</f>
        <v>42814</v>
      </c>
      <c r="W643" s="225">
        <f t="shared" si="50"/>
        <v>45</v>
      </c>
      <c r="X643" s="223">
        <f t="shared" ref="X643:X706" si="53">IFERROR(N643-R643,"")</f>
        <v>0.87680000000000002</v>
      </c>
      <c r="Y643" s="223">
        <f t="shared" ref="Y643:Y706" si="54">IFERROR(P643-T643,"")</f>
        <v>1.048359177287836</v>
      </c>
      <c r="Z643">
        <f>IFERROR(INDEX([1]Rainfall_Wet!$O$2:$O$217,MATCH(C643, [1]Rainfall_Wet!$A$2:$A$217,0)),"")</f>
        <v>175.377105089</v>
      </c>
      <c r="AA643" s="226">
        <v>45.272914521112256</v>
      </c>
      <c r="AB643" s="226">
        <v>23.604531410916575</v>
      </c>
      <c r="AC643" s="226">
        <v>31.122554067971166</v>
      </c>
      <c r="AD643" s="227" t="s">
        <v>2654</v>
      </c>
      <c r="AE643" s="226">
        <v>2.0547560374568752</v>
      </c>
      <c r="AF643">
        <f>IF('WetLitterbags placem_collection'!AB204="","",'WetLitterbags placem_collection'!AB204)</f>
        <v>13.8</v>
      </c>
      <c r="AG643">
        <f>IF('WetLitterbags placem_collection'!Z204="","",'WetLitterbags placem_collection'!Z204)</f>
        <v>17.399999999999999</v>
      </c>
      <c r="AH643" s="236" t="str">
        <f>IF('WetLitterbags placem_collection'!AA204="","",'WetLitterbags placem_collection'!AA204)</f>
        <v>O</v>
      </c>
      <c r="AI643">
        <f>IF('WetLitterbags placem_collection'!AC204="","",'WetLitterbags placem_collection'!AC204)</f>
        <v>1</v>
      </c>
      <c r="AJ643" s="233">
        <f>AVERAGE('WetLitterbags placem_collection'!S204,'WetLitterbags placem_collection'!U204)</f>
        <v>20.65</v>
      </c>
      <c r="AK643">
        <f>AVERAGE('WetLitterbags placem_collection'!R204,'WetLitterbags placem_collection'!T204)</f>
        <v>24.1</v>
      </c>
      <c r="AL643">
        <v>-2.439403972</v>
      </c>
      <c r="AM643">
        <v>34.838404959999998</v>
      </c>
      <c r="AN643" t="str">
        <f>IF(ISNUMBER(SEARCH("C", 'WetLitterbags placem_collection'!$X204)),"YES","NO")</f>
        <v>NO</v>
      </c>
      <c r="AO643" t="str">
        <f>IF(ISNUMBER(SEARCH("H", 'WetLitterbags placem_collection'!$X204)),"YES","NO")</f>
        <v>NO</v>
      </c>
      <c r="AP643" t="str">
        <f>IF(ISNUMBER(SEARCH("R", 'WetLitterbags placem_collection'!$X204)),"YES","NO")</f>
        <v>YES</v>
      </c>
    </row>
    <row r="644" spans="1:42" ht="15" customHeight="1">
      <c r="A644" t="s">
        <v>2490</v>
      </c>
      <c r="B644" s="248" t="s">
        <v>2454</v>
      </c>
      <c r="C644" s="253">
        <f>'Dry_Litterbag Placem_Collection'!A205</f>
        <v>203</v>
      </c>
      <c r="D644" s="253" t="str">
        <f>'Dry_Litterbag Placem_Collection'!B205</f>
        <v>Maswa</v>
      </c>
      <c r="E644" s="253" t="s">
        <v>2643</v>
      </c>
      <c r="F644" s="253" t="s">
        <v>2645</v>
      </c>
      <c r="G644" s="253">
        <v>2</v>
      </c>
      <c r="H644" s="253" t="s">
        <v>3111</v>
      </c>
      <c r="I644" s="254" t="str">
        <f>'Dry_Litterbag Placem_Collection'!C205</f>
        <v>Dry_W1_CG2</v>
      </c>
      <c r="J644" s="263" t="s">
        <v>2932</v>
      </c>
      <c r="K644" s="256" t="s">
        <v>1147</v>
      </c>
      <c r="L644" s="221" t="str">
        <f>'WetLitterbags placem_collection'!O205</f>
        <v>G753</v>
      </c>
      <c r="M644" s="223">
        <f>IFERROR(INDEX('Green_rooibos initial weight'!$C$5:$C$2000,MATCH(L644, 'Green_rooibos initial weight'!$A$5:$A$2000,0)),"")</f>
        <v>2.0649999999999999</v>
      </c>
      <c r="N644" s="223">
        <f>IFERROR(M644-(TBIcalc!$H$9+TBIcalc!$H$10),"")</f>
        <v>1.8151999999999999</v>
      </c>
      <c r="O644" s="378">
        <f>AVERAGE(Ashed_controlls!$K$2:$K$11)</f>
        <v>5.5147656768714146</v>
      </c>
      <c r="P644" s="223">
        <f t="shared" si="51"/>
        <v>1.7150959734334301</v>
      </c>
      <c r="Q644" s="223">
        <f>IFERROR(INDEX('Both teabags AfterWet'!$C$3:$C$840,MATCH(L644,'Both teabags AfterWet'!$A$3:$A$840,0)),"")</f>
        <v>0.7681</v>
      </c>
      <c r="R644" s="223">
        <f>IFERROR(IF(Q644&gt;0,Q644-(TBIcalc!$H$9),""),"")</f>
        <v>0.61749999999999994</v>
      </c>
      <c r="S644" s="223">
        <f>IFERROR(INDEX('Ashed teabags wet'!$K$2:$K$2000,MATCH(L644,'Ashed teabags wet'!$A$2:$A$2000,0)),"")</f>
        <v>9.4330155544412708</v>
      </c>
      <c r="T644" s="223">
        <f t="shared" si="52"/>
        <v>0.55925112895132512</v>
      </c>
      <c r="U644" s="224">
        <f>'WetLitterbags placem_collection'!E205</f>
        <v>42769</v>
      </c>
      <c r="V644" s="224">
        <f>IF('WetLitterbags placem_collection'!G205="","",'WetLitterbags placem_collection'!G205)</f>
        <v>42814</v>
      </c>
      <c r="W644" s="225">
        <f t="shared" si="50"/>
        <v>45</v>
      </c>
      <c r="X644" s="223">
        <f t="shared" si="53"/>
        <v>1.1977</v>
      </c>
      <c r="Y644" s="223">
        <f t="shared" si="54"/>
        <v>1.155844844482105</v>
      </c>
      <c r="Z644">
        <f>IFERROR(INDEX([1]Rainfall_Wet!$O$2:$O$217,MATCH(C644, [1]Rainfall_Wet!$A$2:$A$217,0)),"")</f>
        <v>175.377105089</v>
      </c>
      <c r="AA644" s="226">
        <v>47.96</v>
      </c>
      <c r="AB644" s="226">
        <v>22.919999999999995</v>
      </c>
      <c r="AC644" s="226">
        <v>29.120000000000012</v>
      </c>
      <c r="AD644" s="227" t="s">
        <v>2654</v>
      </c>
      <c r="AE644" s="226">
        <v>2.8831936914736325</v>
      </c>
      <c r="AF644">
        <f>IF('WetLitterbags placem_collection'!AB205="","",'WetLitterbags placem_collection'!AB205)</f>
        <v>5.13</v>
      </c>
      <c r="AG644">
        <f>IF('WetLitterbags placem_collection'!Z205="","",'WetLitterbags placem_collection'!Z205)</f>
        <v>5.13</v>
      </c>
      <c r="AH644" s="236" t="str">
        <f>IF('WetLitterbags placem_collection'!AA205="","",'WetLitterbags placem_collection'!AA205)</f>
        <v>O</v>
      </c>
      <c r="AI644">
        <f>IF('WetLitterbags placem_collection'!AC205="","",'WetLitterbags placem_collection'!AC205)</f>
        <v>1</v>
      </c>
      <c r="AJ644" s="233">
        <f>AVERAGE('WetLitterbags placem_collection'!S205,'WetLitterbags placem_collection'!U205)</f>
        <v>27</v>
      </c>
      <c r="AK644">
        <f>AVERAGE('WetLitterbags placem_collection'!R205,'WetLitterbags placem_collection'!T205)</f>
        <v>28.4</v>
      </c>
      <c r="AL644">
        <v>-2.4396450349999999</v>
      </c>
      <c r="AM644">
        <v>34.83836599</v>
      </c>
      <c r="AN644" t="str">
        <f>IF(ISNUMBER(SEARCH("C", 'WetLitterbags placem_collection'!$X205)),"YES","NO")</f>
        <v>NO</v>
      </c>
      <c r="AO644" t="str">
        <f>IF(ISNUMBER(SEARCH("H", 'WetLitterbags placem_collection'!$X205)),"YES","NO")</f>
        <v>NO</v>
      </c>
      <c r="AP644" t="str">
        <f>IF(ISNUMBER(SEARCH("R", 'WetLitterbags placem_collection'!$X205)),"YES","NO")</f>
        <v>YES</v>
      </c>
    </row>
    <row r="645" spans="1:42" ht="15" customHeight="1">
      <c r="A645" t="s">
        <v>2490</v>
      </c>
      <c r="B645" s="248" t="s">
        <v>2454</v>
      </c>
      <c r="C645" s="253">
        <f>'Dry_Litterbag Placem_Collection'!A206</f>
        <v>204</v>
      </c>
      <c r="D645" s="253" t="str">
        <f>'Dry_Litterbag Placem_Collection'!B206</f>
        <v>Maswa</v>
      </c>
      <c r="E645" s="253" t="s">
        <v>2643</v>
      </c>
      <c r="F645" s="253" t="s">
        <v>2645</v>
      </c>
      <c r="G645" s="253">
        <v>3</v>
      </c>
      <c r="H645" s="253" t="s">
        <v>3115</v>
      </c>
      <c r="I645" s="254" t="str">
        <f>'Dry_Litterbag Placem_Collection'!C206</f>
        <v>Dry_W4_CG3</v>
      </c>
      <c r="J645" s="263" t="s">
        <v>2932</v>
      </c>
      <c r="K645" s="256" t="s">
        <v>1147</v>
      </c>
      <c r="L645" s="221" t="str">
        <f>'WetLitterbags placem_collection'!O206</f>
        <v>G640</v>
      </c>
      <c r="M645" s="223">
        <f>IFERROR(INDEX('Green_rooibos initial weight'!$C$5:$C$2000,MATCH(L645, 'Green_rooibos initial weight'!$A$5:$A$2000,0)),"")</f>
        <v>2.0640000000000001</v>
      </c>
      <c r="N645" s="223">
        <f>IFERROR(M645-(TBIcalc!$H$9+TBIcalc!$H$10),"")</f>
        <v>1.8142</v>
      </c>
      <c r="O645" s="378">
        <f>AVERAGE(Ashed_controlls!$K$2:$K$11)</f>
        <v>5.5147656768714146</v>
      </c>
      <c r="P645" s="223">
        <f t="shared" si="51"/>
        <v>1.7141511210901987</v>
      </c>
      <c r="Q645" s="223">
        <f>IFERROR(INDEX('Both teabags AfterWet'!$C$3:$C$840,MATCH(L645,'Both teabags AfterWet'!$A$3:$A$840,0)),"")</f>
        <v>0.72450000000000003</v>
      </c>
      <c r="R645" s="223">
        <f>IFERROR(IF(Q645&gt;0,Q645-(TBIcalc!$H$9),""),"")</f>
        <v>0.57390000000000008</v>
      </c>
      <c r="S645" s="223">
        <f>IFERROR(INDEX('Ashed teabags wet'!$K$2:$K$2000,MATCH(L645,'Ashed teabags wet'!$A$2:$A$2000,0)),"")</f>
        <v>11.573849878934253</v>
      </c>
      <c r="T645" s="223">
        <f t="shared" si="52"/>
        <v>0.50747767554479639</v>
      </c>
      <c r="U645" s="224">
        <f>'WetLitterbags placem_collection'!E206</f>
        <v>42769</v>
      </c>
      <c r="V645" s="224">
        <f>IF('WetLitterbags placem_collection'!G206="","",'WetLitterbags placem_collection'!G206)</f>
        <v>42813</v>
      </c>
      <c r="W645" s="225">
        <f t="shared" si="50"/>
        <v>44</v>
      </c>
      <c r="X645" s="223">
        <f t="shared" si="53"/>
        <v>1.2403</v>
      </c>
      <c r="Y645" s="223">
        <f t="shared" si="54"/>
        <v>1.2066734455454022</v>
      </c>
      <c r="Z645">
        <f>IFERROR(INDEX([1]Rainfall_Wet!$O$2:$O$217,MATCH(C645, [1]Rainfall_Wet!$A$2:$A$217,0)),"")</f>
        <v>175.054685654</v>
      </c>
      <c r="AA645" s="226">
        <v>28.145762029394</v>
      </c>
      <c r="AB645" s="226">
        <v>25.085564727199518</v>
      </c>
      <c r="AC645" s="226">
        <v>46.768673243406489</v>
      </c>
      <c r="AD645" s="227" t="s">
        <v>2651</v>
      </c>
      <c r="AE645" s="226">
        <v>2.1716214884179394</v>
      </c>
      <c r="AF645">
        <f>IF('WetLitterbags placem_collection'!AB206="","",'WetLitterbags placem_collection'!AB206)</f>
        <v>7.9</v>
      </c>
      <c r="AG645">
        <f>IF('WetLitterbags placem_collection'!Z206="","",'WetLitterbags placem_collection'!Z206)</f>
        <v>7.9</v>
      </c>
      <c r="AH645" s="236" t="str">
        <f>IF('WetLitterbags placem_collection'!AA206="","",'WetLitterbags placem_collection'!AA206)</f>
        <v>O</v>
      </c>
      <c r="AI645">
        <f>IF('WetLitterbags placem_collection'!AC206="","",'WetLitterbags placem_collection'!AC206)</f>
        <v>1</v>
      </c>
      <c r="AJ645" s="233">
        <f>AVERAGE('WetLitterbags placem_collection'!S206,'WetLitterbags placem_collection'!U206)</f>
        <v>21.6</v>
      </c>
      <c r="AK645">
        <f>AVERAGE('WetLitterbags placem_collection'!R206,'WetLitterbags placem_collection'!T206)</f>
        <v>30.950000000000003</v>
      </c>
      <c r="AL645">
        <v>-2.4395990190000001</v>
      </c>
      <c r="AM645">
        <v>34.838418959999998</v>
      </c>
      <c r="AN645" t="str">
        <f>IF(ISNUMBER(SEARCH("C", 'WetLitterbags placem_collection'!$X206)),"YES","NO")</f>
        <v>NO</v>
      </c>
      <c r="AO645" t="str">
        <f>IF(ISNUMBER(SEARCH("H", 'WetLitterbags placem_collection'!$X206)),"YES","NO")</f>
        <v>NO</v>
      </c>
      <c r="AP645" t="str">
        <f>IF(ISNUMBER(SEARCH("R", 'WetLitterbags placem_collection'!$X206)),"YES","NO")</f>
        <v>YES</v>
      </c>
    </row>
    <row r="646" spans="1:42" ht="15" customHeight="1">
      <c r="A646" t="s">
        <v>2490</v>
      </c>
      <c r="B646" s="248" t="s">
        <v>2454</v>
      </c>
      <c r="C646" s="253">
        <f>'Dry_Litterbag Placem_Collection'!A207</f>
        <v>205</v>
      </c>
      <c r="D646" s="253" t="str">
        <f>'Dry_Litterbag Placem_Collection'!B207</f>
        <v xml:space="preserve">Mwantimba
</v>
      </c>
      <c r="E646" s="253" t="s">
        <v>2454</v>
      </c>
      <c r="F646" s="253" t="s">
        <v>2644</v>
      </c>
      <c r="G646" s="253">
        <v>2</v>
      </c>
      <c r="H646" s="253" t="s">
        <v>3116</v>
      </c>
      <c r="I646" s="254" t="str">
        <f>'Dry_Litterbag Placem_Collection'!C207</f>
        <v>Wet_Ag1_CG2</v>
      </c>
      <c r="J646" s="263" t="s">
        <v>2932</v>
      </c>
      <c r="K646" s="256" t="s">
        <v>1147</v>
      </c>
      <c r="L646" s="221" t="str">
        <f>'WetLitterbags placem_collection'!O207</f>
        <v>G668</v>
      </c>
      <c r="M646" s="223">
        <f>IFERROR(INDEX('Green_rooibos initial weight'!$C$5:$C$2000,MATCH(L646, 'Green_rooibos initial weight'!$A$5:$A$2000,0)),"")</f>
        <v>2.0299999999999998</v>
      </c>
      <c r="N646" s="223">
        <f>IFERROR(M646-(TBIcalc!$H$9+TBIcalc!$H$10),"")</f>
        <v>1.7801999999999998</v>
      </c>
      <c r="O646" s="378">
        <f>AVERAGE(Ashed_controlls!$K$2:$K$11)</f>
        <v>5.5147656768714146</v>
      </c>
      <c r="P646" s="223">
        <f t="shared" si="51"/>
        <v>1.6820261414203348</v>
      </c>
      <c r="Q646" s="223">
        <f>IFERROR(INDEX('Both teabags AfterWet'!$C$3:$C$840,MATCH(L646,'Both teabags AfterWet'!$A$3:$A$840,0)),"")</f>
        <v>0.71</v>
      </c>
      <c r="R646" s="223">
        <f>IFERROR(IF(Q646&gt;0,Q646-(TBIcalc!$H$9),""),"")</f>
        <v>0.5593999999999999</v>
      </c>
      <c r="S646" s="223">
        <f>IFERROR(INDEX('Ashed teabags wet'!$K$2:$K$2000,MATCH(L646,'Ashed teabags wet'!$A$2:$A$2000,0)),"")</f>
        <v>17.813567593948214</v>
      </c>
      <c r="T646" s="223">
        <f t="shared" si="52"/>
        <v>0.45975090287945358</v>
      </c>
      <c r="U646" s="224">
        <f>'WetLitterbags placem_collection'!E207</f>
        <v>42769</v>
      </c>
      <c r="V646" s="224">
        <f>IF('WetLitterbags placem_collection'!G207="","",'WetLitterbags placem_collection'!G207)</f>
        <v>42814</v>
      </c>
      <c r="W646" s="225">
        <f t="shared" si="50"/>
        <v>45</v>
      </c>
      <c r="X646" s="223">
        <f t="shared" si="53"/>
        <v>1.2207999999999999</v>
      </c>
      <c r="Y646" s="223">
        <f t="shared" si="54"/>
        <v>1.2222752385408813</v>
      </c>
      <c r="Z646">
        <f>IFERROR(INDEX([1]Rainfall_Wet!$O$2:$O$217,MATCH(C646, [1]Rainfall_Wet!$A$2:$A$217,0)),"")</f>
        <v>175.377105089</v>
      </c>
      <c r="AA646" s="226">
        <v>45.96</v>
      </c>
      <c r="AB646" s="226">
        <v>14.920000000000003</v>
      </c>
      <c r="AC646" s="226">
        <v>39.119999999999997</v>
      </c>
      <c r="AD646" s="227" t="s">
        <v>2654</v>
      </c>
      <c r="AE646" s="226">
        <v>2.0374568753080333</v>
      </c>
      <c r="AF646">
        <f>IF('WetLitterbags placem_collection'!AB207="","",'WetLitterbags placem_collection'!AB207)</f>
        <v>5.13</v>
      </c>
      <c r="AG646">
        <f>IF('WetLitterbags placem_collection'!Z207="","",'WetLitterbags placem_collection'!Z207)</f>
        <v>5.13</v>
      </c>
      <c r="AH646" s="236" t="str">
        <f>IF('WetLitterbags placem_collection'!AA207="","",'WetLitterbags placem_collection'!AA207)</f>
        <v>O</v>
      </c>
      <c r="AI646">
        <f>IF('WetLitterbags placem_collection'!AC207="","",'WetLitterbags placem_collection'!AC207)</f>
        <v>1</v>
      </c>
      <c r="AJ646" s="233">
        <f>AVERAGE('WetLitterbags placem_collection'!S207,'WetLitterbags placem_collection'!U207)</f>
        <v>24.45</v>
      </c>
      <c r="AK646">
        <f>AVERAGE('WetLitterbags placem_collection'!R207,'WetLitterbags placem_collection'!T207)</f>
        <v>26.299999999999997</v>
      </c>
      <c r="AL646">
        <v>-2.4396450349999999</v>
      </c>
      <c r="AM646">
        <v>34.83836599</v>
      </c>
      <c r="AN646" t="str">
        <f>IF(ISNUMBER(SEARCH("C", 'WetLitterbags placem_collection'!$X207)),"YES","NO")</f>
        <v>NO</v>
      </c>
      <c r="AO646" t="str">
        <f>IF(ISNUMBER(SEARCH("H", 'WetLitterbags placem_collection'!$X207)),"YES","NO")</f>
        <v>NO</v>
      </c>
      <c r="AP646" t="str">
        <f>IF(ISNUMBER(SEARCH("R", 'WetLitterbags placem_collection'!$X207)),"YES","NO")</f>
        <v>YES</v>
      </c>
    </row>
    <row r="647" spans="1:42" ht="15" customHeight="1">
      <c r="A647" t="s">
        <v>2490</v>
      </c>
      <c r="B647" s="248" t="s">
        <v>2454</v>
      </c>
      <c r="C647" s="253">
        <f>'Dry_Litterbag Placem_Collection'!A208</f>
        <v>206</v>
      </c>
      <c r="D647" s="253" t="str">
        <f>'Dry_Litterbag Placem_Collection'!B208</f>
        <v xml:space="preserve">Mwantimba
</v>
      </c>
      <c r="E647" s="253" t="s">
        <v>2454</v>
      </c>
      <c r="F647" s="253" t="s">
        <v>2644</v>
      </c>
      <c r="G647" s="253">
        <v>1</v>
      </c>
      <c r="H647" s="253" t="s">
        <v>3118</v>
      </c>
      <c r="I647" s="254" t="str">
        <f>'Dry_Litterbag Placem_Collection'!C208</f>
        <v>Wet_Ag2_CG1</v>
      </c>
      <c r="J647" s="263" t="s">
        <v>2932</v>
      </c>
      <c r="K647" s="256" t="s">
        <v>1147</v>
      </c>
      <c r="L647" s="221" t="str">
        <f>'WetLitterbags placem_collection'!O208</f>
        <v>G891</v>
      </c>
      <c r="M647" s="223">
        <f>IFERROR(INDEX('Green_rooibos initial weight'!$C$5:$C$2000,MATCH(L647, 'Green_rooibos initial weight'!$A$5:$A$2000,0)),"")</f>
        <v>2.0169999999999999</v>
      </c>
      <c r="N647" s="223">
        <f>IFERROR(M647-(TBIcalc!$H$9+TBIcalc!$H$10),"")</f>
        <v>1.7671999999999999</v>
      </c>
      <c r="O647" s="378">
        <f>AVERAGE(Ashed_controlls!$K$2:$K$11)</f>
        <v>5.5147656768714146</v>
      </c>
      <c r="P647" s="223">
        <f t="shared" si="51"/>
        <v>1.6697430609583281</v>
      </c>
      <c r="Q647" s="223">
        <f>IFERROR(INDEX('Both teabags AfterWet'!$C$3:$C$840,MATCH(L647,'Both teabags AfterWet'!$A$3:$A$840,0)),"")</f>
        <v>0.70199999999999996</v>
      </c>
      <c r="R647" s="223">
        <f>IFERROR(IF(Q647&gt;0,Q647-(TBIcalc!$H$9),""),"")</f>
        <v>0.55139999999999989</v>
      </c>
      <c r="S647" s="223">
        <f>IFERROR(INDEX('Ashed teabags wet'!$K$2:$K$2000,MATCH(L647,'Ashed teabags wet'!$A$2:$A$2000,0)),"")</f>
        <v>13.415841584158834</v>
      </c>
      <c r="T647" s="223">
        <f t="shared" si="52"/>
        <v>0.47742504950494813</v>
      </c>
      <c r="U647" s="224">
        <f>'WetLitterbags placem_collection'!E208</f>
        <v>42769</v>
      </c>
      <c r="V647" s="224">
        <f>IF('WetLitterbags placem_collection'!G208="","",'WetLitterbags placem_collection'!G208)</f>
        <v>42814</v>
      </c>
      <c r="W647" s="225">
        <f t="shared" si="50"/>
        <v>45</v>
      </c>
      <c r="X647" s="223">
        <f t="shared" si="53"/>
        <v>1.2158</v>
      </c>
      <c r="Y647" s="223">
        <f t="shared" si="54"/>
        <v>1.19231801145338</v>
      </c>
      <c r="Z647">
        <f>IFERROR(INDEX([1]Rainfall_Wet!$O$2:$O$217,MATCH(C647, [1]Rainfall_Wet!$A$2:$A$217,0)),"")</f>
        <v>175.377105089</v>
      </c>
      <c r="AA647" s="226">
        <v>34.344660194174757</v>
      </c>
      <c r="AB647" s="226">
        <v>19.22727272727273</v>
      </c>
      <c r="AC647" s="226">
        <v>46.428067078552509</v>
      </c>
      <c r="AD647" s="227" t="s">
        <v>2651</v>
      </c>
      <c r="AE647" s="226">
        <v>1.7452932479053718</v>
      </c>
      <c r="AF647">
        <f>IF('WetLitterbags placem_collection'!AB208="","",'WetLitterbags placem_collection'!AB208)</f>
        <v>13.8</v>
      </c>
      <c r="AG647">
        <f>IF('WetLitterbags placem_collection'!Z208="","",'WetLitterbags placem_collection'!Z208)</f>
        <v>17.399999999999999</v>
      </c>
      <c r="AH647" s="236" t="str">
        <f>IF('WetLitterbags placem_collection'!AA208="","",'WetLitterbags placem_collection'!AA208)</f>
        <v>O</v>
      </c>
      <c r="AI647">
        <f>IF('WetLitterbags placem_collection'!AC208="","",'WetLitterbags placem_collection'!AC208)</f>
        <v>1</v>
      </c>
      <c r="AJ647" s="233">
        <f>AVERAGE('WetLitterbags placem_collection'!S208,'WetLitterbags placem_collection'!U208)</f>
        <v>19.05</v>
      </c>
      <c r="AK647">
        <f>AVERAGE('WetLitterbags placem_collection'!R208,'WetLitterbags placem_collection'!T208)</f>
        <v>24.15</v>
      </c>
      <c r="AL647">
        <v>-2.439403972</v>
      </c>
      <c r="AM647">
        <v>34.838404959999998</v>
      </c>
      <c r="AN647" t="str">
        <f>IF(ISNUMBER(SEARCH("C", 'WetLitterbags placem_collection'!$X208)),"YES","NO")</f>
        <v>NO</v>
      </c>
      <c r="AO647" t="str">
        <f>IF(ISNUMBER(SEARCH("H", 'WetLitterbags placem_collection'!$X208)),"YES","NO")</f>
        <v>NO</v>
      </c>
      <c r="AP647" t="str">
        <f>IF(ISNUMBER(SEARCH("R", 'WetLitterbags placem_collection'!$X208)),"YES","NO")</f>
        <v>YES</v>
      </c>
    </row>
    <row r="648" spans="1:42" ht="15" customHeight="1">
      <c r="A648" t="s">
        <v>2490</v>
      </c>
      <c r="B648" s="248" t="s">
        <v>2454</v>
      </c>
      <c r="C648" s="253">
        <f>'Dry_Litterbag Placem_Collection'!A209</f>
        <v>207</v>
      </c>
      <c r="D648" s="253" t="str">
        <f>'Dry_Litterbag Placem_Collection'!B209</f>
        <v xml:space="preserve">Mwantimba
</v>
      </c>
      <c r="E648" s="253" t="s">
        <v>2454</v>
      </c>
      <c r="F648" s="253" t="s">
        <v>2644</v>
      </c>
      <c r="G648" s="253">
        <v>4</v>
      </c>
      <c r="H648" s="253" t="s">
        <v>3119</v>
      </c>
      <c r="I648" s="254" t="str">
        <f>'Dry_Litterbag Placem_Collection'!C209</f>
        <v>Wet_Ag3_CG4</v>
      </c>
      <c r="J648" s="263" t="s">
        <v>2932</v>
      </c>
      <c r="K648" s="256" t="s">
        <v>1147</v>
      </c>
      <c r="L648" s="221" t="str">
        <f>'WetLitterbags placem_collection'!O209</f>
        <v>G540</v>
      </c>
      <c r="M648" s="223">
        <f>IFERROR(INDEX('Green_rooibos initial weight'!$C$5:$C$2000,MATCH(L648, 'Green_rooibos initial weight'!$A$5:$A$2000,0)),"")</f>
        <v>2.0830000000000002</v>
      </c>
      <c r="N648" s="223">
        <f>IFERROR(M648-(TBIcalc!$H$9+TBIcalc!$H$10),"")</f>
        <v>1.8332000000000002</v>
      </c>
      <c r="O648" s="378">
        <f>AVERAGE(Ashed_controlls!$K$2:$K$11)</f>
        <v>5.5147656768714146</v>
      </c>
      <c r="P648" s="223">
        <f t="shared" si="51"/>
        <v>1.7321033156115935</v>
      </c>
      <c r="Q648" s="223">
        <f>IFERROR(INDEX('Both teabags AfterWet'!$C$3:$C$840,MATCH(L648,'Both teabags AfterWet'!$A$3:$A$840,0)),"")</f>
        <v>0.73299999999999998</v>
      </c>
      <c r="R648" s="223">
        <f>IFERROR(IF(Q648&gt;0,Q648-(TBIcalc!$H$9),""),"")</f>
        <v>0.58240000000000003</v>
      </c>
      <c r="S648" s="223">
        <f>IFERROR(INDEX('Ashed teabags wet'!$K$2:$K$2000,MATCH(L648,'Ashed teabags wet'!$A$2:$A$2000,0)),"")</f>
        <v>21.550000000000765</v>
      </c>
      <c r="T648" s="223">
        <f t="shared" si="52"/>
        <v>0.45689279999999555</v>
      </c>
      <c r="U648" s="224">
        <f>'WetLitterbags placem_collection'!E209</f>
        <v>42769</v>
      </c>
      <c r="V648" s="224">
        <f>IF('WetLitterbags placem_collection'!G209="","",'WetLitterbags placem_collection'!G209)</f>
        <v>42813</v>
      </c>
      <c r="W648" s="225">
        <f t="shared" si="50"/>
        <v>44</v>
      </c>
      <c r="X648" s="223">
        <f t="shared" si="53"/>
        <v>1.2508000000000001</v>
      </c>
      <c r="Y648" s="223">
        <f t="shared" si="54"/>
        <v>1.2752105156115978</v>
      </c>
      <c r="Z648">
        <f>IFERROR(INDEX([1]Rainfall_Wet!$O$2:$O$217,MATCH(C648, [1]Rainfall_Wet!$A$2:$A$217,0)),"")</f>
        <v>175.054685654</v>
      </c>
      <c r="AA648" s="226">
        <v>27.96</v>
      </c>
      <c r="AB648" s="226">
        <v>4.9200000000000017</v>
      </c>
      <c r="AC648" s="226">
        <v>67.12</v>
      </c>
      <c r="AD648" s="227" t="s">
        <v>2651</v>
      </c>
      <c r="AE648" s="226">
        <v>0.88610152784622953</v>
      </c>
      <c r="AF648">
        <f>IF('WetLitterbags placem_collection'!AB209="","",'WetLitterbags placem_collection'!AB209)</f>
        <v>15.2</v>
      </c>
      <c r="AG648">
        <f>IF('WetLitterbags placem_collection'!Z209="","",'WetLitterbags placem_collection'!Z209)</f>
        <v>12.2</v>
      </c>
      <c r="AH648" s="236" t="str">
        <f>IF('WetLitterbags placem_collection'!AA209="","",'WetLitterbags placem_collection'!AA209)</f>
        <v>O</v>
      </c>
      <c r="AI648">
        <f>IF('WetLitterbags placem_collection'!AC209="","",'WetLitterbags placem_collection'!AC209)</f>
        <v>1</v>
      </c>
      <c r="AJ648" s="233">
        <f>AVERAGE('WetLitterbags placem_collection'!S209,'WetLitterbags placem_collection'!U209)</f>
        <v>19.8</v>
      </c>
      <c r="AK648">
        <f>AVERAGE('WetLitterbags placem_collection'!R209,'WetLitterbags placem_collection'!T209)</f>
        <v>29.05</v>
      </c>
      <c r="AL648">
        <v>-2.4396949910000001</v>
      </c>
      <c r="AM648">
        <v>34.838574029999997</v>
      </c>
      <c r="AN648" t="str">
        <f>IF(ISNUMBER(SEARCH("C", 'WetLitterbags placem_collection'!$X209)),"YES","NO")</f>
        <v>NO</v>
      </c>
      <c r="AO648" t="str">
        <f>IF(ISNUMBER(SEARCH("H", 'WetLitterbags placem_collection'!$X209)),"YES","NO")</f>
        <v>NO</v>
      </c>
      <c r="AP648" t="str">
        <f>IF(ISNUMBER(SEARCH("R", 'WetLitterbags placem_collection'!$X209)),"YES","NO")</f>
        <v>YES</v>
      </c>
    </row>
    <row r="649" spans="1:42" ht="15" customHeight="1">
      <c r="A649" t="s">
        <v>2490</v>
      </c>
      <c r="B649" s="248" t="s">
        <v>2454</v>
      </c>
      <c r="C649" s="253">
        <f>'Dry_Litterbag Placem_Collection'!A210</f>
        <v>208</v>
      </c>
      <c r="D649" s="253" t="str">
        <f>'Dry_Litterbag Placem_Collection'!B210</f>
        <v xml:space="preserve">Mwantimba
</v>
      </c>
      <c r="E649" s="253" t="s">
        <v>2454</v>
      </c>
      <c r="F649" s="253" t="s">
        <v>2644</v>
      </c>
      <c r="G649" s="253">
        <v>3</v>
      </c>
      <c r="H649" s="253" t="s">
        <v>3120</v>
      </c>
      <c r="I649" s="254" t="str">
        <f>'Dry_Litterbag Placem_Collection'!C210</f>
        <v>Wet_Ag4_CG3</v>
      </c>
      <c r="J649" s="263" t="s">
        <v>2932</v>
      </c>
      <c r="K649" s="256" t="s">
        <v>1147</v>
      </c>
      <c r="L649" s="221" t="str">
        <f>'WetLitterbags placem_collection'!O210</f>
        <v>G508</v>
      </c>
      <c r="M649" s="223">
        <f>IFERROR(INDEX('Green_rooibos initial weight'!$C$5:$C$2000,MATCH(L649, 'Green_rooibos initial weight'!$A$5:$A$2000,0)),"")</f>
        <v>1.9910000000000001</v>
      </c>
      <c r="N649" s="223">
        <f>IFERROR(M649-(TBIcalc!$H$9+TBIcalc!$H$10),"")</f>
        <v>1.7412000000000001</v>
      </c>
      <c r="O649" s="378">
        <f>AVERAGE(Ashed_controlls!$K$2:$K$11)</f>
        <v>5.5147656768714146</v>
      </c>
      <c r="P649" s="223">
        <f t="shared" si="51"/>
        <v>1.645176900034315</v>
      </c>
      <c r="Q649" s="223">
        <f>IFERROR(INDEX('Both teabags AfterWet'!$C$3:$C$840,MATCH(L649,'Both teabags AfterWet'!$A$3:$A$840,0)),"")</f>
        <v>0.84599999999999997</v>
      </c>
      <c r="R649" s="223">
        <f>IFERROR(IF(Q649&gt;0,Q649-(TBIcalc!$H$9),""),"")</f>
        <v>0.69540000000000002</v>
      </c>
      <c r="S649" s="223">
        <f>IFERROR(INDEX('Ashed teabags wet'!$K$2:$K$2000,MATCH(L649,'Ashed teabags wet'!$A$2:$A$2000,0)),"")</f>
        <v>12.276341948309753</v>
      </c>
      <c r="T649" s="223">
        <f t="shared" si="52"/>
        <v>0.61003031809145403</v>
      </c>
      <c r="U649" s="224">
        <f>'WetLitterbags placem_collection'!E210</f>
        <v>42769</v>
      </c>
      <c r="V649" s="224">
        <f>IF('WetLitterbags placem_collection'!G210="","",'WetLitterbags placem_collection'!G210)</f>
        <v>42813</v>
      </c>
      <c r="W649" s="225">
        <f t="shared" si="50"/>
        <v>44</v>
      </c>
      <c r="X649" s="223">
        <f t="shared" si="53"/>
        <v>1.0458000000000001</v>
      </c>
      <c r="Y649" s="223">
        <f t="shared" si="54"/>
        <v>1.0351465819428611</v>
      </c>
      <c r="Z649">
        <f>IFERROR(INDEX([1]Rainfall_Wet!$O$2:$O$217,MATCH(C649, [1]Rainfall_Wet!$A$2:$A$217,0)),"")</f>
        <v>175.054685654</v>
      </c>
      <c r="AA649" s="226">
        <v>17.96</v>
      </c>
      <c r="AB649" s="226">
        <v>4.9199999999999982</v>
      </c>
      <c r="AC649" s="226">
        <v>77.12</v>
      </c>
      <c r="AD649" s="227" t="s">
        <v>2652</v>
      </c>
      <c r="AE649" s="226">
        <v>2.0220798422868409</v>
      </c>
      <c r="AF649">
        <f>IF('WetLitterbags placem_collection'!AB210="","",'WetLitterbags placem_collection'!AB210)</f>
        <v>7.9</v>
      </c>
      <c r="AG649">
        <f>IF('WetLitterbags placem_collection'!Z210="","",'WetLitterbags placem_collection'!Z210)</f>
        <v>7.9</v>
      </c>
      <c r="AH649" s="236" t="str">
        <f>IF('WetLitterbags placem_collection'!AA210="","",'WetLitterbags placem_collection'!AA210)</f>
        <v>O</v>
      </c>
      <c r="AI649">
        <f>IF('WetLitterbags placem_collection'!AC210="","",'WetLitterbags placem_collection'!AC210)</f>
        <v>1</v>
      </c>
      <c r="AJ649" s="233">
        <f>AVERAGE('WetLitterbags placem_collection'!S210,'WetLitterbags placem_collection'!U210)</f>
        <v>22.200000000000003</v>
      </c>
      <c r="AK649">
        <f>AVERAGE('WetLitterbags placem_collection'!R210,'WetLitterbags placem_collection'!T210)</f>
        <v>27.45</v>
      </c>
      <c r="AL649">
        <v>-2.4395990190000001</v>
      </c>
      <c r="AM649">
        <v>34.838418959999998</v>
      </c>
      <c r="AN649" t="str">
        <f>IF(ISNUMBER(SEARCH("C", 'WetLitterbags placem_collection'!$X210)),"YES","NO")</f>
        <v>NO</v>
      </c>
      <c r="AO649" t="str">
        <f>IF(ISNUMBER(SEARCH("H", 'WetLitterbags placem_collection'!$X210)),"YES","NO")</f>
        <v>NO</v>
      </c>
      <c r="AP649" t="str">
        <f>IF(ISNUMBER(SEARCH("R", 'WetLitterbags placem_collection'!$X210)),"YES","NO")</f>
        <v>YES</v>
      </c>
    </row>
    <row r="650" spans="1:42" ht="15" customHeight="1">
      <c r="A650" t="s">
        <v>2490</v>
      </c>
      <c r="B650" s="248" t="s">
        <v>2454</v>
      </c>
      <c r="C650" s="253">
        <f>'Dry_Litterbag Placem_Collection'!A211</f>
        <v>209</v>
      </c>
      <c r="D650" s="253" t="str">
        <f>'Dry_Litterbag Placem_Collection'!B211</f>
        <v xml:space="preserve">Mwantimba
</v>
      </c>
      <c r="E650" s="253" t="s">
        <v>2454</v>
      </c>
      <c r="F650" s="253" t="s">
        <v>20</v>
      </c>
      <c r="G650" s="253">
        <v>2</v>
      </c>
      <c r="H650" s="253" t="s">
        <v>3121</v>
      </c>
      <c r="I650" s="254" t="str">
        <f>'Dry_Litterbag Placem_Collection'!C211</f>
        <v>Wet_P1_CG2</v>
      </c>
      <c r="J650" s="263" t="s">
        <v>2932</v>
      </c>
      <c r="K650" s="256" t="s">
        <v>1147</v>
      </c>
      <c r="L650" s="221" t="str">
        <f>'WetLitterbags placem_collection'!O211</f>
        <v>G637</v>
      </c>
      <c r="M650" s="223">
        <f>IFERROR(INDEX('Green_rooibos initial weight'!$C$5:$C$2000,MATCH(L650, 'Green_rooibos initial weight'!$A$5:$A$2000,0)),"")</f>
        <v>2.1110000000000002</v>
      </c>
      <c r="N650" s="223">
        <f>IFERROR(M650-(TBIcalc!$H$9+TBIcalc!$H$10),"")</f>
        <v>1.8612000000000002</v>
      </c>
      <c r="O650" s="378">
        <f>AVERAGE(Ashed_controlls!$K$2:$K$11)</f>
        <v>5.5147656768714146</v>
      </c>
      <c r="P650" s="223">
        <f t="shared" si="51"/>
        <v>1.7585591812220693</v>
      </c>
      <c r="Q650" s="223">
        <f>IFERROR(INDEX('Both teabags AfterWet'!$C$3:$C$840,MATCH(L650,'Both teabags AfterWet'!$A$3:$A$840,0)),"")</f>
        <v>0.86399999999999999</v>
      </c>
      <c r="R650" s="223">
        <f>IFERROR(IF(Q650&gt;0,Q650-(TBIcalc!$H$9),""),"")</f>
        <v>0.71340000000000003</v>
      </c>
      <c r="S650" s="223">
        <f>IFERROR(INDEX('Ashed teabags wet'!$K$2:$K$2000,MATCH(L650,'Ashed teabags wet'!$A$2:$A$2000,0)),"")</f>
        <v>17.471937530502561</v>
      </c>
      <c r="T650" s="223">
        <f t="shared" si="52"/>
        <v>0.5887551976573947</v>
      </c>
      <c r="U650" s="224">
        <f>'WetLitterbags placem_collection'!E211</f>
        <v>42769</v>
      </c>
      <c r="V650" s="224">
        <f>IF('WetLitterbags placem_collection'!G211="","",'WetLitterbags placem_collection'!G211)</f>
        <v>42814</v>
      </c>
      <c r="W650" s="225">
        <f t="shared" si="50"/>
        <v>45</v>
      </c>
      <c r="X650" s="223">
        <f t="shared" si="53"/>
        <v>1.1478000000000002</v>
      </c>
      <c r="Y650" s="223">
        <f t="shared" si="54"/>
        <v>1.1698039835646745</v>
      </c>
      <c r="Z650">
        <f>IFERROR(INDEX([1]Rainfall_Wet!$O$2:$O$217,MATCH(C650, [1]Rainfall_Wet!$A$2:$A$217,0)),"")</f>
        <v>175.377105089</v>
      </c>
      <c r="AA650" s="226">
        <v>31.214836424255054</v>
      </c>
      <c r="AB650" s="226">
        <v>11.377370285476141</v>
      </c>
      <c r="AC650" s="226">
        <v>57.407793290268799</v>
      </c>
      <c r="AD650" s="227" t="s">
        <v>2651</v>
      </c>
      <c r="AE650" s="226">
        <v>1.7337604731394776</v>
      </c>
      <c r="AF650">
        <f>IF('WetLitterbags placem_collection'!AB211="","",'WetLitterbags placem_collection'!AB211)</f>
        <v>5.13</v>
      </c>
      <c r="AG650">
        <f>IF('WetLitterbags placem_collection'!Z211="","",'WetLitterbags placem_collection'!Z211)</f>
        <v>5.13</v>
      </c>
      <c r="AH650" s="236" t="str">
        <f>IF('WetLitterbags placem_collection'!AA211="","",'WetLitterbags placem_collection'!AA211)</f>
        <v>O</v>
      </c>
      <c r="AI650">
        <f>IF('WetLitterbags placem_collection'!AC211="","",'WetLitterbags placem_collection'!AC211)</f>
        <v>1</v>
      </c>
      <c r="AJ650" s="233">
        <f>AVERAGE('WetLitterbags placem_collection'!S211,'WetLitterbags placem_collection'!U211)</f>
        <v>24.5</v>
      </c>
      <c r="AK650">
        <f>AVERAGE('WetLitterbags placem_collection'!R211,'WetLitterbags placem_collection'!T211)</f>
        <v>24.4</v>
      </c>
      <c r="AL650">
        <v>-2.4396450349999999</v>
      </c>
      <c r="AM650">
        <v>34.83836599</v>
      </c>
      <c r="AN650" t="str">
        <f>IF(ISNUMBER(SEARCH("C", 'WetLitterbags placem_collection'!$X211)),"YES","NO")</f>
        <v>YES</v>
      </c>
      <c r="AO650" t="str">
        <f>IF(ISNUMBER(SEARCH("H", 'WetLitterbags placem_collection'!$X211)),"YES","NO")</f>
        <v>NO</v>
      </c>
      <c r="AP650" t="str">
        <f>IF(ISNUMBER(SEARCH("R", 'WetLitterbags placem_collection'!$X211)),"YES","NO")</f>
        <v>YES</v>
      </c>
    </row>
    <row r="651" spans="1:42" ht="15" customHeight="1">
      <c r="A651" t="s">
        <v>2490</v>
      </c>
      <c r="B651" s="248" t="s">
        <v>2454</v>
      </c>
      <c r="C651" s="253">
        <f>'Dry_Litterbag Placem_Collection'!A212</f>
        <v>210</v>
      </c>
      <c r="D651" s="253" t="str">
        <f>'Dry_Litterbag Placem_Collection'!B212</f>
        <v xml:space="preserve">Mwantimba
</v>
      </c>
      <c r="E651" s="253" t="s">
        <v>2454</v>
      </c>
      <c r="F651" s="253" t="s">
        <v>20</v>
      </c>
      <c r="G651" s="253">
        <v>4</v>
      </c>
      <c r="H651" s="253" t="s">
        <v>3123</v>
      </c>
      <c r="I651" s="254" t="str">
        <f>'Dry_Litterbag Placem_Collection'!C212</f>
        <v>Wet_P2_CG4</v>
      </c>
      <c r="J651" s="263" t="s">
        <v>2932</v>
      </c>
      <c r="K651" s="256" t="s">
        <v>1147</v>
      </c>
      <c r="L651" s="221" t="str">
        <f>'WetLitterbags placem_collection'!O212</f>
        <v>G720</v>
      </c>
      <c r="M651" s="223">
        <f>IFERROR(INDEX('Green_rooibos initial weight'!$C$5:$C$2000,MATCH(L651, 'Green_rooibos initial weight'!$A$5:$A$2000,0)),"")</f>
        <v>2.0350000000000001</v>
      </c>
      <c r="N651" s="223">
        <f>IFERROR(M651-(TBIcalc!$H$9+TBIcalc!$H$10),"")</f>
        <v>1.7852000000000001</v>
      </c>
      <c r="O651" s="378">
        <f>AVERAGE(Ashed_controlls!$K$2:$K$11)</f>
        <v>5.5147656768714146</v>
      </c>
      <c r="P651" s="223">
        <f t="shared" si="51"/>
        <v>1.6867504031364917</v>
      </c>
      <c r="Q651" s="223">
        <f>IFERROR(INDEX('Both teabags AfterWet'!$C$3:$C$840,MATCH(L651,'Both teabags AfterWet'!$A$3:$A$840,0)),"")</f>
        <v>0.72160000000000002</v>
      </c>
      <c r="R651" s="223">
        <f>IFERROR(IF(Q651&gt;0,Q651-(TBIcalc!$H$9),""),"")</f>
        <v>0.57099999999999995</v>
      </c>
      <c r="S651" s="223">
        <f>IFERROR(INDEX('Ashed teabags wet'!$K$2:$K$2000,MATCH(L651,'Ashed teabags wet'!$A$2:$A$2000,0)),"")</f>
        <v>16.057692307692367</v>
      </c>
      <c r="T651" s="223">
        <f t="shared" si="52"/>
        <v>0.47931057692307655</v>
      </c>
      <c r="U651" s="224">
        <f>'WetLitterbags placem_collection'!E212</f>
        <v>42769</v>
      </c>
      <c r="V651" s="224">
        <f>IF('WetLitterbags placem_collection'!G212="","",'WetLitterbags placem_collection'!G212)</f>
        <v>42813</v>
      </c>
      <c r="W651" s="225">
        <f t="shared" si="50"/>
        <v>44</v>
      </c>
      <c r="X651" s="223">
        <f t="shared" si="53"/>
        <v>1.2142000000000002</v>
      </c>
      <c r="Y651" s="223">
        <f t="shared" si="54"/>
        <v>1.2074398262134152</v>
      </c>
      <c r="Z651">
        <f>IFERROR(INDEX([1]Rainfall_Wet!$O$2:$O$217,MATCH(C651, [1]Rainfall_Wet!$A$2:$A$217,0)),"")</f>
        <v>175.054685654</v>
      </c>
      <c r="AA651" s="226">
        <v>33.96</v>
      </c>
      <c r="AB651" s="226">
        <v>8.9200000000000017</v>
      </c>
      <c r="AC651" s="226">
        <v>57.12</v>
      </c>
      <c r="AD651" s="227" t="s">
        <v>2651</v>
      </c>
      <c r="AE651" s="226">
        <v>2.072055199605717</v>
      </c>
      <c r="AF651">
        <f>IF('WetLitterbags placem_collection'!AB212="","",'WetLitterbags placem_collection'!AB212)</f>
        <v>15.2</v>
      </c>
      <c r="AG651">
        <f>IF('WetLitterbags placem_collection'!Z212="","",'WetLitterbags placem_collection'!Z212)</f>
        <v>12.2</v>
      </c>
      <c r="AH651" s="236" t="str">
        <f>IF('WetLitterbags placem_collection'!AA212="","",'WetLitterbags placem_collection'!AA212)</f>
        <v>O</v>
      </c>
      <c r="AI651">
        <f>IF('WetLitterbags placem_collection'!AC212="","",'WetLitterbags placem_collection'!AC212)</f>
        <v>1</v>
      </c>
      <c r="AJ651" s="233">
        <f>AVERAGE('WetLitterbags placem_collection'!S212,'WetLitterbags placem_collection'!U212)</f>
        <v>22.4</v>
      </c>
      <c r="AK651">
        <f>AVERAGE('WetLitterbags placem_collection'!R212,'WetLitterbags placem_collection'!T212)</f>
        <v>28.400000000000002</v>
      </c>
      <c r="AL651">
        <v>-2.4396949910000001</v>
      </c>
      <c r="AM651">
        <v>34.838574029999997</v>
      </c>
      <c r="AN651" t="str">
        <f>IF(ISNUMBER(SEARCH("C", 'WetLitterbags placem_collection'!$X212)),"YES","NO")</f>
        <v>NO</v>
      </c>
      <c r="AO651" t="str">
        <f>IF(ISNUMBER(SEARCH("H", 'WetLitterbags placem_collection'!$X212)),"YES","NO")</f>
        <v>NO</v>
      </c>
      <c r="AP651" t="str">
        <f>IF(ISNUMBER(SEARCH("R", 'WetLitterbags placem_collection'!$X212)),"YES","NO")</f>
        <v>YES</v>
      </c>
    </row>
    <row r="652" spans="1:42" ht="15" customHeight="1">
      <c r="A652" t="s">
        <v>2490</v>
      </c>
      <c r="B652" s="248" t="s">
        <v>2454</v>
      </c>
      <c r="C652" s="253">
        <f>'Dry_Litterbag Placem_Collection'!A213</f>
        <v>211</v>
      </c>
      <c r="D652" s="253" t="str">
        <f>'Dry_Litterbag Placem_Collection'!B213</f>
        <v xml:space="preserve">Mwantimba
</v>
      </c>
      <c r="E652" s="253" t="s">
        <v>2454</v>
      </c>
      <c r="F652" s="253" t="s">
        <v>20</v>
      </c>
      <c r="G652" s="253">
        <v>1</v>
      </c>
      <c r="H652" s="253" t="s">
        <v>3124</v>
      </c>
      <c r="I652" s="254" t="str">
        <f>'Dry_Litterbag Placem_Collection'!C213</f>
        <v>Wet_P3_CG1</v>
      </c>
      <c r="J652" s="263" t="s">
        <v>2932</v>
      </c>
      <c r="K652" s="256" t="s">
        <v>1147</v>
      </c>
      <c r="L652" s="221" t="str">
        <f>'WetLitterbags placem_collection'!O213</f>
        <v>G796</v>
      </c>
      <c r="M652" s="223">
        <f>IFERROR(INDEX('Green_rooibos initial weight'!$C$5:$C$2000,MATCH(L652, 'Green_rooibos initial weight'!$A$5:$A$2000,0)),"")</f>
        <v>2.1070000000000002</v>
      </c>
      <c r="N652" s="223">
        <f>IFERROR(M652-(TBIcalc!$H$9+TBIcalc!$H$10),"")</f>
        <v>1.8572000000000002</v>
      </c>
      <c r="O652" s="378">
        <f>AVERAGE(Ashed_controlls!$K$2:$K$11)</f>
        <v>5.5147656768714146</v>
      </c>
      <c r="P652" s="223">
        <f t="shared" si="51"/>
        <v>1.7547797718491442</v>
      </c>
      <c r="Q652" s="223">
        <f>IFERROR(INDEX('Both teabags AfterWet'!$C$3:$C$840,MATCH(L652,'Both teabags AfterWet'!$A$3:$A$840,0)),"")</f>
        <v>0.67200000000000004</v>
      </c>
      <c r="R652" s="223">
        <f>IFERROR(IF(Q652&gt;0,Q652-(TBIcalc!$H$9),""),"")</f>
        <v>0.52140000000000009</v>
      </c>
      <c r="S652" s="223">
        <f>IFERROR(INDEX('Ashed teabags wet'!$K$2:$K$2000,MATCH(L652,'Ashed teabags wet'!$A$2:$A$2000,0)),"")</f>
        <v>40.67127344521198</v>
      </c>
      <c r="T652" s="223">
        <f t="shared" si="52"/>
        <v>0.30933998025666476</v>
      </c>
      <c r="U652" s="224">
        <f>'WetLitterbags placem_collection'!E213</f>
        <v>42769</v>
      </c>
      <c r="V652" s="224">
        <f>IF('WetLitterbags placem_collection'!G213="","",'WetLitterbags placem_collection'!G213)</f>
        <v>42814</v>
      </c>
      <c r="W652" s="225">
        <f t="shared" si="50"/>
        <v>45</v>
      </c>
      <c r="X652" s="223">
        <f t="shared" si="53"/>
        <v>1.3358000000000001</v>
      </c>
      <c r="Y652" s="223">
        <f t="shared" si="54"/>
        <v>1.4454397915924795</v>
      </c>
      <c r="Z652">
        <f>IFERROR(INDEX([1]Rainfall_Wet!$O$2:$O$217,MATCH(C652, [1]Rainfall_Wet!$A$2:$A$217,0)),"")</f>
        <v>175.377105089</v>
      </c>
      <c r="AA652" s="226">
        <v>39.96</v>
      </c>
      <c r="AB652" s="226">
        <v>12.920000000000002</v>
      </c>
      <c r="AC652" s="226">
        <v>47.12</v>
      </c>
      <c r="AD652" s="227" t="s">
        <v>2655</v>
      </c>
      <c r="AE652" s="226">
        <v>1.6549531789058647</v>
      </c>
      <c r="AF652">
        <f>IF('WetLitterbags placem_collection'!AB213="","",'WetLitterbags placem_collection'!AB213)</f>
        <v>13.8</v>
      </c>
      <c r="AG652">
        <f>IF('WetLitterbags placem_collection'!Z213="","",'WetLitterbags placem_collection'!Z213)</f>
        <v>17.399999999999999</v>
      </c>
      <c r="AH652" s="236" t="str">
        <f>IF('WetLitterbags placem_collection'!AA213="","",'WetLitterbags placem_collection'!AA213)</f>
        <v>O</v>
      </c>
      <c r="AI652">
        <f>IF('WetLitterbags placem_collection'!AC213="","",'WetLitterbags placem_collection'!AC213)</f>
        <v>1</v>
      </c>
      <c r="AJ652" s="233">
        <f>AVERAGE('WetLitterbags placem_collection'!S213,'WetLitterbags placem_collection'!U213)</f>
        <v>16.850000000000001</v>
      </c>
      <c r="AK652">
        <f>AVERAGE('WetLitterbags placem_collection'!R213,'WetLitterbags placem_collection'!T213)</f>
        <v>23.95</v>
      </c>
      <c r="AL652">
        <v>-2.439403972</v>
      </c>
      <c r="AM652">
        <v>34.838404959999998</v>
      </c>
      <c r="AN652" t="str">
        <f>IF(ISNUMBER(SEARCH("C", 'WetLitterbags placem_collection'!$X213)),"YES","NO")</f>
        <v>NO</v>
      </c>
      <c r="AO652" t="str">
        <f>IF(ISNUMBER(SEARCH("H", 'WetLitterbags placem_collection'!$X213)),"YES","NO")</f>
        <v>NO</v>
      </c>
      <c r="AP652" t="str">
        <f>IF(ISNUMBER(SEARCH("R", 'WetLitterbags placem_collection'!$X213)),"YES","NO")</f>
        <v>YES</v>
      </c>
    </row>
    <row r="653" spans="1:42" ht="15" customHeight="1">
      <c r="A653" t="s">
        <v>2490</v>
      </c>
      <c r="B653" s="248" t="s">
        <v>2454</v>
      </c>
      <c r="C653" s="253">
        <f>'Dry_Litterbag Placem_Collection'!A214</f>
        <v>215</v>
      </c>
      <c r="D653" s="253" t="str">
        <f>'Dry_Litterbag Placem_Collection'!B214</f>
        <v xml:space="preserve">Mwantimba
</v>
      </c>
      <c r="E653" s="253" t="s">
        <v>2454</v>
      </c>
      <c r="F653" s="253" t="s">
        <v>2645</v>
      </c>
      <c r="G653" s="253">
        <v>3</v>
      </c>
      <c r="H653" s="253" t="s">
        <v>3129</v>
      </c>
      <c r="I653" s="254" t="str">
        <f>'Dry_Litterbag Placem_Collection'!C214</f>
        <v>Wet_W3_CG1</v>
      </c>
      <c r="J653" s="263" t="s">
        <v>2932</v>
      </c>
      <c r="K653" s="256" t="s">
        <v>1147</v>
      </c>
      <c r="L653" s="221" t="str">
        <f>'WetLitterbags placem_collection'!O214</f>
        <v>G560</v>
      </c>
      <c r="M653" s="223">
        <f>IFERROR(INDEX('Green_rooibos initial weight'!$C$5:$C$2000,MATCH(L653, 'Green_rooibos initial weight'!$A$5:$A$2000,0)),"")</f>
        <v>2.1219999999999999</v>
      </c>
      <c r="N653" s="223">
        <f>IFERROR(M653-(TBIcalc!$H$9+TBIcalc!$H$10),"")</f>
        <v>1.8721999999999999</v>
      </c>
      <c r="O653" s="378">
        <f>AVERAGE(Ashed_controlls!$K$2:$K$11)</f>
        <v>5.5147656768714146</v>
      </c>
      <c r="P653" s="223">
        <f t="shared" si="51"/>
        <v>1.7689525569976132</v>
      </c>
      <c r="Q653" s="223">
        <f>IFERROR(INDEX('Both teabags AfterWet'!$C$3:$C$840,MATCH(L653,'Both teabags AfterWet'!$A$3:$A$840,0)),"")</f>
        <v>1.4097999999999999</v>
      </c>
      <c r="R653" s="223">
        <f>IFERROR(IF(Q653&gt;0,Q653-(TBIcalc!$H$9),""),"")</f>
        <v>1.2591999999999999</v>
      </c>
      <c r="S653" s="223">
        <f>IFERROR(INDEX('Ashed teabags wet'!$K$2:$K$2000,MATCH(L653,'Ashed teabags wet'!$A$2:$A$2000,0)),"")</f>
        <v>39.082656473960213</v>
      </c>
      <c r="T653" s="223">
        <f t="shared" si="52"/>
        <v>0.76707118967989296</v>
      </c>
      <c r="U653" s="224">
        <f>'WetLitterbags placem_collection'!E214</f>
        <v>42769</v>
      </c>
      <c r="V653" s="224">
        <f>IF('WetLitterbags placem_collection'!G214="","",'WetLitterbags placem_collection'!G214)</f>
        <v>42813</v>
      </c>
      <c r="W653" s="225">
        <f t="shared" si="50"/>
        <v>44</v>
      </c>
      <c r="X653" s="223">
        <f t="shared" si="53"/>
        <v>0.61299999999999999</v>
      </c>
      <c r="Y653" s="223">
        <f t="shared" si="54"/>
        <v>1.0018813673177203</v>
      </c>
      <c r="Z653">
        <f>IFERROR(INDEX([1]Rainfall_Wet!$O$2:$O$217,MATCH(C653, [1]Rainfall_Wet!$A$2:$A$217,0)),"")</f>
        <v>175.377105089</v>
      </c>
      <c r="AA653" s="226">
        <v>27.96</v>
      </c>
      <c r="AB653" s="226">
        <v>4.9200000000000017</v>
      </c>
      <c r="AC653" s="226">
        <v>67.12</v>
      </c>
      <c r="AD653" s="227" t="s">
        <v>2651</v>
      </c>
      <c r="AE653" s="226">
        <v>1.0437161163134547</v>
      </c>
      <c r="AF653">
        <f>IF('WetLitterbags placem_collection'!AB214="","",'WetLitterbags placem_collection'!AB214)</f>
        <v>7.9</v>
      </c>
      <c r="AG653">
        <f>IF('WetLitterbags placem_collection'!Z214="","",'WetLitterbags placem_collection'!Z214)</f>
        <v>7.9</v>
      </c>
      <c r="AH653" s="236" t="str">
        <f>IF('WetLitterbags placem_collection'!AA214="","",'WetLitterbags placem_collection'!AA214)</f>
        <v>O</v>
      </c>
      <c r="AI653">
        <f>IF('WetLitterbags placem_collection'!AC214="","",'WetLitterbags placem_collection'!AC214)</f>
        <v>1</v>
      </c>
      <c r="AJ653" s="233">
        <f>AVERAGE('WetLitterbags placem_collection'!S214,'WetLitterbags placem_collection'!U214)</f>
        <v>22.45</v>
      </c>
      <c r="AK653">
        <f>AVERAGE('WetLitterbags placem_collection'!R214,'WetLitterbags placem_collection'!T214)</f>
        <v>27.450000000000003</v>
      </c>
      <c r="AL653">
        <v>-2.4395990190000001</v>
      </c>
      <c r="AM653">
        <v>34.838418959999998</v>
      </c>
      <c r="AN653" t="str">
        <f>IF(ISNUMBER(SEARCH("C", 'WetLitterbags placem_collection'!$X214)),"YES","NO")</f>
        <v>NO</v>
      </c>
      <c r="AO653" t="str">
        <f>IF(ISNUMBER(SEARCH("H", 'WetLitterbags placem_collection'!$X214)),"YES","NO")</f>
        <v>NO</v>
      </c>
      <c r="AP653" t="str">
        <f>IF(ISNUMBER(SEARCH("R", 'WetLitterbags placem_collection'!$X214)),"YES","NO")</f>
        <v>YES</v>
      </c>
    </row>
    <row r="654" spans="1:42" ht="15" customHeight="1">
      <c r="A654" t="s">
        <v>2490</v>
      </c>
      <c r="B654" s="248" t="s">
        <v>2454</v>
      </c>
      <c r="C654" s="253">
        <f>'Dry_Litterbag Placem_Collection'!A215</f>
        <v>212</v>
      </c>
      <c r="D654" s="253" t="str">
        <f>'Dry_Litterbag Placem_Collection'!B215</f>
        <v xml:space="preserve">Mwantimba
</v>
      </c>
      <c r="E654" s="253" t="s">
        <v>2454</v>
      </c>
      <c r="F654" s="253" t="s">
        <v>20</v>
      </c>
      <c r="G654" s="253">
        <v>4</v>
      </c>
      <c r="H654" s="253" t="s">
        <v>3125</v>
      </c>
      <c r="I654" s="254" t="str">
        <f>'Dry_Litterbag Placem_Collection'!C215</f>
        <v>Wet_P4_CG3</v>
      </c>
      <c r="J654" s="263" t="s">
        <v>2932</v>
      </c>
      <c r="K654" s="256" t="s">
        <v>1147</v>
      </c>
      <c r="L654" s="221" t="str">
        <f>'WetLitterbags placem_collection'!O215</f>
        <v>G716</v>
      </c>
      <c r="M654" s="223">
        <f>IFERROR(INDEX('Green_rooibos initial weight'!$C$5:$C$2000,MATCH(L654, 'Green_rooibos initial weight'!$A$5:$A$2000,0)),"")</f>
        <v>2.117</v>
      </c>
      <c r="N654" s="223">
        <f>IFERROR(M654-(TBIcalc!$H$9+TBIcalc!$H$10),"")</f>
        <v>1.8672</v>
      </c>
      <c r="O654" s="378">
        <f>AVERAGE(Ashed_controlls!$K$2:$K$11)</f>
        <v>5.5147656768714146</v>
      </c>
      <c r="P654" s="223">
        <f t="shared" si="51"/>
        <v>1.764228295281457</v>
      </c>
      <c r="Q654" s="223">
        <f>IFERROR(INDEX('Both teabags AfterWet'!$C$3:$C$840,MATCH(L654,'Both teabags AfterWet'!$A$3:$A$840,0)),"")</f>
        <v>0.83</v>
      </c>
      <c r="R654" s="223">
        <f>IFERROR(IF(Q654&gt;0,Q654-(TBIcalc!$H$9),""),"")</f>
        <v>0.6794</v>
      </c>
      <c r="S654" s="223">
        <f>IFERROR(INDEX('Ashed teabags wet'!$K$2:$K$2000,MATCH(L654,'Ashed teabags wet'!$A$2:$A$2000,0)),"")</f>
        <v>8.2922013820333618</v>
      </c>
      <c r="T654" s="223">
        <f t="shared" si="52"/>
        <v>0.62306278381046531</v>
      </c>
      <c r="U654" s="224">
        <f>'WetLitterbags placem_collection'!E215</f>
        <v>42769</v>
      </c>
      <c r="V654" s="224">
        <f>IF('WetLitterbags placem_collection'!G215="","",'WetLitterbags placem_collection'!G215)</f>
        <v>42813</v>
      </c>
      <c r="W654" s="225">
        <f t="shared" si="50"/>
        <v>44</v>
      </c>
      <c r="X654" s="223">
        <f t="shared" si="53"/>
        <v>1.1878</v>
      </c>
      <c r="Y654" s="223">
        <f t="shared" si="54"/>
        <v>1.1411655114709918</v>
      </c>
      <c r="Z654">
        <f>IFERROR(INDEX([1]Rainfall_Wet!$O$2:$O$217,MATCH(C654, [1]Rainfall_Wet!$A$2:$A$217,0)),"")</f>
        <v>175.054685654</v>
      </c>
      <c r="AA654" s="226">
        <v>21.96</v>
      </c>
      <c r="AB654" s="226">
        <v>4.9199999999999982</v>
      </c>
      <c r="AC654" s="226">
        <v>73.12</v>
      </c>
      <c r="AD654" s="227" t="s">
        <v>2651</v>
      </c>
      <c r="AE654" s="226">
        <v>1.2416954164613114</v>
      </c>
      <c r="AF654">
        <f>IF('WetLitterbags placem_collection'!AB215="","",'WetLitterbags placem_collection'!AB215)</f>
        <v>15.2</v>
      </c>
      <c r="AG654">
        <f>IF('WetLitterbags placem_collection'!Z215="","",'WetLitterbags placem_collection'!Z215)</f>
        <v>12.2</v>
      </c>
      <c r="AH654" s="236" t="str">
        <f>IF('WetLitterbags placem_collection'!AA215="","",'WetLitterbags placem_collection'!AA215)</f>
        <v>O</v>
      </c>
      <c r="AI654">
        <f>IF('WetLitterbags placem_collection'!AC215="","",'WetLitterbags placem_collection'!AC215)</f>
        <v>1</v>
      </c>
      <c r="AJ654" s="233">
        <f>AVERAGE('WetLitterbags placem_collection'!S215,'WetLitterbags placem_collection'!U215)</f>
        <v>19.75</v>
      </c>
      <c r="AK654">
        <f>AVERAGE('WetLitterbags placem_collection'!R215,'WetLitterbags placem_collection'!T215)</f>
        <v>28.15</v>
      </c>
      <c r="AL654">
        <v>-2.4396949910000001</v>
      </c>
      <c r="AM654">
        <v>34.838574029999997</v>
      </c>
      <c r="AN654" t="str">
        <f>IF(ISNUMBER(SEARCH("C", 'WetLitterbags placem_collection'!$X215)),"YES","NO")</f>
        <v>NO</v>
      </c>
      <c r="AO654" t="str">
        <f>IF(ISNUMBER(SEARCH("H", 'WetLitterbags placem_collection'!$X215)),"YES","NO")</f>
        <v>NO</v>
      </c>
      <c r="AP654" t="str">
        <f>IF(ISNUMBER(SEARCH("R", 'WetLitterbags placem_collection'!$X215)),"YES","NO")</f>
        <v>YES</v>
      </c>
    </row>
    <row r="655" spans="1:42" ht="15" customHeight="1">
      <c r="A655" t="s">
        <v>2490</v>
      </c>
      <c r="B655" s="248" t="s">
        <v>2454</v>
      </c>
      <c r="C655" s="253">
        <f>'Dry_Litterbag Placem_Collection'!A216</f>
        <v>213</v>
      </c>
      <c r="D655" s="253" t="str">
        <f>'Dry_Litterbag Placem_Collection'!B216</f>
        <v>Handajega</v>
      </c>
      <c r="E655" s="253" t="s">
        <v>2454</v>
      </c>
      <c r="F655" s="253" t="s">
        <v>2645</v>
      </c>
      <c r="G655" s="253">
        <v>3</v>
      </c>
      <c r="H655" s="253" t="s">
        <v>3126</v>
      </c>
      <c r="I655" s="254" t="str">
        <f>'Dry_Litterbag Placem_Collection'!C216</f>
        <v>Wet_W1_CG4</v>
      </c>
      <c r="J655" s="263" t="s">
        <v>2932</v>
      </c>
      <c r="K655" s="256" t="s">
        <v>1147</v>
      </c>
      <c r="L655" s="221" t="str">
        <f>'WetLitterbags placem_collection'!O216</f>
        <v>G581</v>
      </c>
      <c r="M655" s="223">
        <f>IFERROR(INDEX('Green_rooibos initial weight'!$C$5:$C$2000,MATCH(L655, 'Green_rooibos initial weight'!$A$5:$A$2000,0)),"")</f>
        <v>2.0070000000000001</v>
      </c>
      <c r="N655" s="223">
        <f>IFERROR(M655-(TBIcalc!$H$9+TBIcalc!$H$10),"")</f>
        <v>1.7572000000000001</v>
      </c>
      <c r="O655" s="378">
        <f>AVERAGE(Ashed_controlls!$K$2:$K$11)</f>
        <v>5.5147656768714146</v>
      </c>
      <c r="P655" s="223">
        <f t="shared" si="51"/>
        <v>1.6602945375260156</v>
      </c>
      <c r="Q655" s="223">
        <f>IFERROR(INDEX('Both teabags AfterWet'!$C$3:$C$840,MATCH(L655,'Both teabags AfterWet'!$A$3:$A$840,0)),"")</f>
        <v>0.63400000000000001</v>
      </c>
      <c r="R655" s="223">
        <f>IFERROR(IF(Q655&gt;0,Q655-(TBIcalc!$H$9),""),"")</f>
        <v>0.4834</v>
      </c>
      <c r="S655" s="223">
        <f>IFERROR(INDEX('Ashed teabags wet'!$K$2:$K$2000,MATCH(L655,'Ashed teabags wet'!$A$2:$A$2000,0)),"")</f>
        <v>8.3576287657915547</v>
      </c>
      <c r="T655" s="223">
        <f t="shared" si="52"/>
        <v>0.44299922254616364</v>
      </c>
      <c r="U655" s="224">
        <f>'WetLitterbags placem_collection'!E216</f>
        <v>42769</v>
      </c>
      <c r="V655" s="224">
        <f>IF('WetLitterbags placem_collection'!G216="","",'WetLitterbags placem_collection'!G216)</f>
        <v>42813</v>
      </c>
      <c r="W655" s="225">
        <f t="shared" si="50"/>
        <v>44</v>
      </c>
      <c r="X655" s="223">
        <f t="shared" si="53"/>
        <v>1.2738</v>
      </c>
      <c r="Y655" s="223">
        <f t="shared" si="54"/>
        <v>1.217295314979852</v>
      </c>
      <c r="Z655">
        <f>IFERROR(INDEX([1]Rainfall_Wet!$O$2:$O$217,MATCH(C655, [1]Rainfall_Wet!$A$2:$A$217,0)),"")</f>
        <v>175.054685654</v>
      </c>
      <c r="AA655" s="226">
        <v>23.96</v>
      </c>
      <c r="AB655" s="226">
        <v>4.9199999999999982</v>
      </c>
      <c r="AC655" s="226">
        <v>71.12</v>
      </c>
      <c r="AD655" s="227" t="s">
        <v>2651</v>
      </c>
      <c r="AE655" s="226">
        <v>3.30913750616067</v>
      </c>
      <c r="AF655">
        <f>IF('WetLitterbags placem_collection'!AB216="","",'WetLitterbags placem_collection'!AB216)</f>
        <v>7.9</v>
      </c>
      <c r="AG655">
        <f>IF('WetLitterbags placem_collection'!Z216="","",'WetLitterbags placem_collection'!Z216)</f>
        <v>7.9</v>
      </c>
      <c r="AH655" s="236" t="str">
        <f>IF('WetLitterbags placem_collection'!AA216="","",'WetLitterbags placem_collection'!AA216)</f>
        <v>O</v>
      </c>
      <c r="AI655">
        <f>IF('WetLitterbags placem_collection'!AC216="","",'WetLitterbags placem_collection'!AC216)</f>
        <v>1</v>
      </c>
      <c r="AJ655" s="233">
        <f>AVERAGE('WetLitterbags placem_collection'!S216,'WetLitterbags placem_collection'!U216)</f>
        <v>19.45</v>
      </c>
      <c r="AK655">
        <f>AVERAGE('WetLitterbags placem_collection'!R216,'WetLitterbags placem_collection'!T216)</f>
        <v>29.200000000000003</v>
      </c>
      <c r="AL655">
        <v>-2.4396949910000001</v>
      </c>
      <c r="AM655">
        <v>34.838574029999997</v>
      </c>
      <c r="AN655" t="str">
        <f>IF(ISNUMBER(SEARCH("C", 'WetLitterbags placem_collection'!$X216)),"YES","NO")</f>
        <v>NO</v>
      </c>
      <c r="AO655" t="str">
        <f>IF(ISNUMBER(SEARCH("H", 'WetLitterbags placem_collection'!$X216)),"YES","NO")</f>
        <v>NO</v>
      </c>
      <c r="AP655" t="str">
        <f>IF(ISNUMBER(SEARCH("R", 'WetLitterbags placem_collection'!$X216)),"YES","NO")</f>
        <v>YES</v>
      </c>
    </row>
    <row r="656" spans="1:42" ht="15" customHeight="1">
      <c r="A656" t="s">
        <v>2490</v>
      </c>
      <c r="B656" s="248" t="s">
        <v>2454</v>
      </c>
      <c r="C656" s="253">
        <f>'Dry_Litterbag Placem_Collection'!A217</f>
        <v>214</v>
      </c>
      <c r="D656" s="253" t="str">
        <f>'Dry_Litterbag Placem_Collection'!B217</f>
        <v>Handajega</v>
      </c>
      <c r="E656" s="253" t="s">
        <v>2454</v>
      </c>
      <c r="F656" s="253" t="s">
        <v>2645</v>
      </c>
      <c r="G656" s="253">
        <v>1</v>
      </c>
      <c r="H656" s="253" t="s">
        <v>3128</v>
      </c>
      <c r="I656" s="254" t="str">
        <f>'Dry_Litterbag Placem_Collection'!C217</f>
        <v>Wet_W2_CG3</v>
      </c>
      <c r="J656" s="263" t="s">
        <v>2932</v>
      </c>
      <c r="K656" s="256" t="s">
        <v>1147</v>
      </c>
      <c r="L656" s="221" t="str">
        <f>'WetLitterbags placem_collection'!O217</f>
        <v>G718</v>
      </c>
      <c r="M656" s="223">
        <f>IFERROR(INDEX('Green_rooibos initial weight'!$C$5:$C$2000,MATCH(L656, 'Green_rooibos initial weight'!$A$5:$A$2000,0)),"")</f>
        <v>2.0369999999999999</v>
      </c>
      <c r="N656" s="223">
        <f>IFERROR(M656-(TBIcalc!$H$9+TBIcalc!$H$10),"")</f>
        <v>1.7871999999999999</v>
      </c>
      <c r="O656" s="378">
        <f>AVERAGE(Ashed_controlls!$K$2:$K$11)</f>
        <v>5.5147656768714146</v>
      </c>
      <c r="P656" s="223">
        <f t="shared" si="51"/>
        <v>1.688640107822954</v>
      </c>
      <c r="Q656" s="223">
        <f>IFERROR(INDEX('Both teabags AfterWet'!$C$3:$C$840,MATCH(L656,'Both teabags AfterWet'!$A$3:$A$840,0)),"")</f>
        <v>0.67769999999999997</v>
      </c>
      <c r="R656" s="223">
        <f>IFERROR(IF(Q656&gt;0,Q656-(TBIcalc!$H$9),""),"")</f>
        <v>0.5270999999999999</v>
      </c>
      <c r="S656" s="223">
        <f>IFERROR(INDEX('Ashed teabags wet'!$K$2:$K$2000,MATCH(L656,'Ashed teabags wet'!$A$2:$A$2000,0)),"")</f>
        <v>7.2942336126168659</v>
      </c>
      <c r="T656" s="223">
        <f t="shared" si="52"/>
        <v>0.48865209462789638</v>
      </c>
      <c r="U656" s="224">
        <f>'WetLitterbags placem_collection'!E217</f>
        <v>42769</v>
      </c>
      <c r="V656" s="224">
        <f>IF('WetLitterbags placem_collection'!G217="","",'WetLitterbags placem_collection'!G217)</f>
        <v>42814</v>
      </c>
      <c r="W656" s="225">
        <f t="shared" si="50"/>
        <v>45</v>
      </c>
      <c r="X656" s="223">
        <f t="shared" si="53"/>
        <v>1.2601</v>
      </c>
      <c r="Y656" s="223">
        <f t="shared" si="54"/>
        <v>1.1999880131950578</v>
      </c>
      <c r="Z656">
        <f>IFERROR(INDEX([1]Rainfall_Wet!$O$2:$O$217,MATCH(C656, [1]Rainfall_Wet!$A$2:$A$217,0)),"")</f>
        <v>175.054685654</v>
      </c>
      <c r="AA656" s="226">
        <v>25.96</v>
      </c>
      <c r="AB656" s="226">
        <v>8.9200000000000017</v>
      </c>
      <c r="AC656" s="226">
        <v>65.12</v>
      </c>
      <c r="AD656" s="227" t="s">
        <v>2651</v>
      </c>
      <c r="AE656" s="226">
        <v>1.614588467225234</v>
      </c>
      <c r="AF656">
        <f>IF('WetLitterbags placem_collection'!AB217="","",'WetLitterbags placem_collection'!AB217)</f>
        <v>13.8</v>
      </c>
      <c r="AG656">
        <f>IF('WetLitterbags placem_collection'!Z217="","",'WetLitterbags placem_collection'!Z217)</f>
        <v>17.399999999999999</v>
      </c>
      <c r="AH656" s="236" t="str">
        <f>IF('WetLitterbags placem_collection'!AA217="","",'WetLitterbags placem_collection'!AA217)</f>
        <v>O</v>
      </c>
      <c r="AI656">
        <f>IF('WetLitterbags placem_collection'!AC217="","",'WetLitterbags placem_collection'!AC217)</f>
        <v>1</v>
      </c>
      <c r="AJ656" s="233">
        <f>AVERAGE('WetLitterbags placem_collection'!S217,'WetLitterbags placem_collection'!U217)</f>
        <v>20.3</v>
      </c>
      <c r="AK656">
        <f>AVERAGE('WetLitterbags placem_collection'!R217,'WetLitterbags placem_collection'!T217)</f>
        <v>26.25</v>
      </c>
      <c r="AL656">
        <v>-2.439403972</v>
      </c>
      <c r="AM656">
        <v>34.838404959999998</v>
      </c>
      <c r="AN656" t="str">
        <f>IF(ISNUMBER(SEARCH("C", 'WetLitterbags placem_collection'!$X217)),"YES","NO")</f>
        <v>NO</v>
      </c>
      <c r="AO656" t="str">
        <f>IF(ISNUMBER(SEARCH("H", 'WetLitterbags placem_collection'!$X217)),"YES","NO")</f>
        <v>NO</v>
      </c>
      <c r="AP656" t="str">
        <f>IF(ISNUMBER(SEARCH("R", 'WetLitterbags placem_collection'!$X217)),"YES","NO")</f>
        <v>YES</v>
      </c>
    </row>
    <row r="657" spans="1:42" ht="15" customHeight="1">
      <c r="A657" t="s">
        <v>2490</v>
      </c>
      <c r="B657" s="248" t="s">
        <v>2454</v>
      </c>
      <c r="C657" s="253">
        <f>'Dry_Litterbag Placem_Collection'!A218</f>
        <v>216</v>
      </c>
      <c r="D657" s="253" t="str">
        <f>'Dry_Litterbag Placem_Collection'!B218</f>
        <v>Handajega</v>
      </c>
      <c r="E657" s="253" t="s">
        <v>2454</v>
      </c>
      <c r="F657" s="253" t="s">
        <v>2645</v>
      </c>
      <c r="G657" s="253">
        <v>2</v>
      </c>
      <c r="H657" s="253" t="s">
        <v>3130</v>
      </c>
      <c r="I657" s="254" t="str">
        <f>'Dry_Litterbag Placem_Collection'!C218</f>
        <v>Wet_W4_CG2</v>
      </c>
      <c r="J657" s="263" t="s">
        <v>2932</v>
      </c>
      <c r="K657" s="256" t="s">
        <v>1147</v>
      </c>
      <c r="L657" s="221" t="str">
        <f>'WetLitterbags placem_collection'!O218</f>
        <v>G613</v>
      </c>
      <c r="M657" s="223">
        <f>IFERROR(INDEX('Green_rooibos initial weight'!$C$5:$C$2000,MATCH(L657, 'Green_rooibos initial weight'!$A$5:$A$2000,0)),"")</f>
        <v>2.0339999999999998</v>
      </c>
      <c r="N657" s="223">
        <f>IFERROR(M657-(TBIcalc!$H$9+TBIcalc!$H$10),"")</f>
        <v>1.7841999999999998</v>
      </c>
      <c r="O657" s="378">
        <f>AVERAGE(Ashed_controlls!$K$2:$K$11)</f>
        <v>5.5147656768714146</v>
      </c>
      <c r="P657" s="223">
        <f t="shared" si="51"/>
        <v>1.6858055507932601</v>
      </c>
      <c r="Q657" s="223">
        <f>IFERROR(INDEX('Both teabags AfterWet'!$C$3:$C$840,MATCH(L657,'Both teabags AfterWet'!$A$3:$A$840,0)),"")</f>
        <v>0.82499999999999996</v>
      </c>
      <c r="R657" s="223">
        <f>IFERROR(IF(Q657&gt;0,Q657-(TBIcalc!$H$9),""),"")</f>
        <v>0.67439999999999989</v>
      </c>
      <c r="S657" s="223">
        <f>IFERROR(INDEX('Ashed teabags wet'!$K$2:$K$2000,MATCH(L657,'Ashed teabags wet'!$A$2:$A$2000,0)),"")</f>
        <v>7.3429951690818136</v>
      </c>
      <c r="T657" s="223">
        <f t="shared" si="52"/>
        <v>0.6248788405797121</v>
      </c>
      <c r="U657" s="224">
        <f>'WetLitterbags placem_collection'!E218</f>
        <v>42769</v>
      </c>
      <c r="V657" s="224">
        <f>IF('WetLitterbags placem_collection'!G218="","",'WetLitterbags placem_collection'!G218)</f>
        <v>42814</v>
      </c>
      <c r="W657" s="225">
        <f t="shared" si="50"/>
        <v>45</v>
      </c>
      <c r="X657" s="223">
        <f t="shared" si="53"/>
        <v>1.1097999999999999</v>
      </c>
      <c r="Y657" s="223">
        <f t="shared" si="54"/>
        <v>1.060926710213548</v>
      </c>
      <c r="Z657">
        <f>IFERROR(INDEX([1]Rainfall_Wet!$O$2:$O$217,MATCH(C657, [1]Rainfall_Wet!$A$2:$A$217,0)),"")</f>
        <v>175.377105089</v>
      </c>
      <c r="AA657" s="226">
        <v>25.96</v>
      </c>
      <c r="AB657" s="226">
        <v>8.9200000000000017</v>
      </c>
      <c r="AC657" s="226">
        <v>65.12</v>
      </c>
      <c r="AD657" s="227" t="s">
        <v>2651</v>
      </c>
      <c r="AE657" s="226">
        <v>1.6991621488417901</v>
      </c>
      <c r="AF657">
        <f>IF('WetLitterbags placem_collection'!AB218="","",'WetLitterbags placem_collection'!AB218)</f>
        <v>5.13</v>
      </c>
      <c r="AG657">
        <f>IF('WetLitterbags placem_collection'!Z218="","",'WetLitterbags placem_collection'!Z218)</f>
        <v>5.13</v>
      </c>
      <c r="AH657" s="236" t="str">
        <f>IF('WetLitterbags placem_collection'!AA218="","",'WetLitterbags placem_collection'!AA218)</f>
        <v>O</v>
      </c>
      <c r="AI657">
        <f>IF('WetLitterbags placem_collection'!AC218="","",'WetLitterbags placem_collection'!AC218)</f>
        <v>1</v>
      </c>
      <c r="AJ657" s="233">
        <f>AVERAGE('WetLitterbags placem_collection'!S218,'WetLitterbags placem_collection'!U218)</f>
        <v>20.65</v>
      </c>
      <c r="AK657">
        <f>AVERAGE('WetLitterbags placem_collection'!R218,'WetLitterbags placem_collection'!T218)</f>
        <v>25.05</v>
      </c>
      <c r="AL657">
        <v>-2.4396450349999999</v>
      </c>
      <c r="AM657">
        <v>34.83836599</v>
      </c>
      <c r="AN657" t="str">
        <f>IF(ISNUMBER(SEARCH("C", 'WetLitterbags placem_collection'!$X218)),"YES","NO")</f>
        <v>NO</v>
      </c>
      <c r="AO657" t="str">
        <f>IF(ISNUMBER(SEARCH("H", 'WetLitterbags placem_collection'!$X218)),"YES","NO")</f>
        <v>NO</v>
      </c>
      <c r="AP657" t="str">
        <f>IF(ISNUMBER(SEARCH("R", 'WetLitterbags placem_collection'!$X218)),"YES","NO")</f>
        <v>YES</v>
      </c>
    </row>
    <row r="658" spans="1:42" ht="15" customHeight="1">
      <c r="A658" t="s">
        <v>2490</v>
      </c>
      <c r="B658" s="248" t="s">
        <v>2454</v>
      </c>
      <c r="C658" s="253">
        <f>'Dry_Litterbag Placem_Collection'!A219</f>
        <v>217</v>
      </c>
      <c r="D658" s="253" t="str">
        <f>'Dry_Litterbag Placem_Collection'!B219</f>
        <v>Seronera</v>
      </c>
      <c r="E658" s="253" t="s">
        <v>3249</v>
      </c>
      <c r="F658" s="253" t="s">
        <v>2423</v>
      </c>
      <c r="G658" s="253">
        <v>1</v>
      </c>
      <c r="H658" s="253" t="s">
        <v>3186</v>
      </c>
      <c r="I658" s="254" t="str">
        <f>'Dry_Litterbag Placem_Collection'!C219</f>
        <v>Local1_CG1</v>
      </c>
      <c r="J658" s="263" t="s">
        <v>2932</v>
      </c>
      <c r="K658" s="256" t="s">
        <v>1147</v>
      </c>
      <c r="L658" s="221" t="str">
        <f>'WetLitterbags placem_collection'!O219</f>
        <v>G804</v>
      </c>
      <c r="M658" s="223">
        <f>IFERROR(INDEX('Green_rooibos initial weight'!$C$5:$C$2000,MATCH(L658, 'Green_rooibos initial weight'!$A$5:$A$2000,0)),"")</f>
        <v>2.028</v>
      </c>
      <c r="N658" s="223">
        <f>IFERROR(M658-(TBIcalc!$H$9+TBIcalc!$H$10),"")</f>
        <v>1.7782</v>
      </c>
      <c r="O658" s="378">
        <f>AVERAGE(Ashed_controlls!$K$2:$K$11)</f>
        <v>5.5147656768714146</v>
      </c>
      <c r="P658" s="223">
        <f t="shared" si="51"/>
        <v>1.6801364367338725</v>
      </c>
      <c r="Q658" s="223">
        <f>IFERROR(INDEX('Both teabags AfterWet'!$C$3:$C$840,MATCH(L658,'Both teabags AfterWet'!$A$3:$A$840,0)),"")</f>
        <v>0.66200000000000003</v>
      </c>
      <c r="R658" s="223">
        <f>IFERROR(IF(Q658&gt;0,Q658-(TBIcalc!$H$9),""),"")</f>
        <v>0.51140000000000008</v>
      </c>
      <c r="S658" s="223">
        <f>IFERROR(INDEX('Ashed teabags wet'!$K$2:$K$2000,MATCH(L658,'Ashed teabags wet'!$A$2:$A$2000,0)),"")</f>
        <v>8.5770946950907749</v>
      </c>
      <c r="T658" s="223">
        <f t="shared" si="52"/>
        <v>0.46753673772930582</v>
      </c>
      <c r="U658" s="224">
        <f>'WetLitterbags placem_collection'!E219</f>
        <v>42769</v>
      </c>
      <c r="V658" s="224">
        <f>IF('WetLitterbags placem_collection'!G219="","",'WetLitterbags placem_collection'!G219)</f>
        <v>42814</v>
      </c>
      <c r="W658" s="225">
        <f t="shared" si="50"/>
        <v>45</v>
      </c>
      <c r="X658" s="223">
        <f t="shared" si="53"/>
        <v>1.2667999999999999</v>
      </c>
      <c r="Y658" s="223">
        <f t="shared" si="54"/>
        <v>1.2125996990045667</v>
      </c>
      <c r="Z658">
        <f>IFERROR(INDEX([1]Rainfall_Wet!$O$2:$O$217,MATCH(C658, [1]Rainfall_Wet!$A$2:$A$217,0)),"")</f>
        <v>175.377105089</v>
      </c>
      <c r="AA658" s="226">
        <v>29.076539101497506</v>
      </c>
      <c r="AB658" s="226">
        <v>7.1963394342762079</v>
      </c>
      <c r="AC658" s="226">
        <v>63.727121464226286</v>
      </c>
      <c r="AD658" s="226" t="s">
        <v>2651</v>
      </c>
      <c r="AE658" s="226">
        <v>1.0994578610152781</v>
      </c>
      <c r="AF658">
        <f>IF('WetLitterbags placem_collection'!AB219="","",'WetLitterbags placem_collection'!AB219)</f>
        <v>13.8</v>
      </c>
      <c r="AG658">
        <f>IF('WetLitterbags placem_collection'!Z219="","",'WetLitterbags placem_collection'!Z219)</f>
        <v>17.399999999999999</v>
      </c>
      <c r="AH658" s="236" t="str">
        <f>IF('WetLitterbags placem_collection'!AA219="","",'WetLitterbags placem_collection'!AA219)</f>
        <v>O</v>
      </c>
      <c r="AI658">
        <f>IF('WetLitterbags placem_collection'!AC219="","",'WetLitterbags placem_collection'!AC219)</f>
        <v>1</v>
      </c>
      <c r="AJ658" s="233">
        <f>AVERAGE('WetLitterbags placem_collection'!S219,'WetLitterbags placem_collection'!U219)</f>
        <v>20.049999999999997</v>
      </c>
      <c r="AK658">
        <f>AVERAGE('WetLitterbags placem_collection'!R219,'WetLitterbags placem_collection'!T219)</f>
        <v>25.5</v>
      </c>
      <c r="AL658">
        <v>-2.439403972</v>
      </c>
      <c r="AM658">
        <v>34.838404959999998</v>
      </c>
      <c r="AN658" t="str">
        <f>IF(ISNUMBER(SEARCH("C", 'WetLitterbags placem_collection'!$X219)),"YES","NO")</f>
        <v>NO</v>
      </c>
      <c r="AO658" t="str">
        <f>IF(ISNUMBER(SEARCH("H", 'WetLitterbags placem_collection'!$X219)),"YES","NO")</f>
        <v>NO</v>
      </c>
      <c r="AP658" t="str">
        <f>IF(ISNUMBER(SEARCH("R", 'WetLitterbags placem_collection'!$X219)),"YES","NO")</f>
        <v>YES</v>
      </c>
    </row>
    <row r="659" spans="1:42" ht="15" customHeight="1">
      <c r="A659" t="s">
        <v>2490</v>
      </c>
      <c r="B659" s="248" t="s">
        <v>2454</v>
      </c>
      <c r="C659" s="253">
        <f>'Dry_Litterbag Placem_Collection'!A220</f>
        <v>218</v>
      </c>
      <c r="D659" s="253" t="str">
        <f>'Dry_Litterbag Placem_Collection'!B220</f>
        <v>Seronera</v>
      </c>
      <c r="E659" s="253" t="s">
        <v>3249</v>
      </c>
      <c r="F659" s="253" t="s">
        <v>2423</v>
      </c>
      <c r="G659" s="253">
        <v>2</v>
      </c>
      <c r="H659" s="253" t="s">
        <v>3187</v>
      </c>
      <c r="I659" s="254" t="str">
        <f>'Dry_Litterbag Placem_Collection'!C220</f>
        <v>Local2_CG2</v>
      </c>
      <c r="J659" s="263" t="s">
        <v>2932</v>
      </c>
      <c r="K659" s="256" t="s">
        <v>1147</v>
      </c>
      <c r="L659" s="221" t="str">
        <f>'WetLitterbags placem_collection'!O220</f>
        <v>G587</v>
      </c>
      <c r="M659" s="223">
        <f>IFERROR(INDEX('Green_rooibos initial weight'!$C$5:$C$2000,MATCH(L659, 'Green_rooibos initial weight'!$A$5:$A$2000,0)),"")</f>
        <v>2.0640000000000001</v>
      </c>
      <c r="N659" s="223">
        <f>IFERROR(M659-(TBIcalc!$H$9+TBIcalc!$H$10),"")</f>
        <v>1.8142</v>
      </c>
      <c r="O659" s="378">
        <f>AVERAGE(Ashed_controlls!$K$2:$K$11)</f>
        <v>5.5147656768714146</v>
      </c>
      <c r="P659" s="223">
        <f t="shared" si="51"/>
        <v>1.7141511210901987</v>
      </c>
      <c r="Q659" s="223">
        <f>IFERROR(INDEX('Both teabags AfterWet'!$C$3:$C$840,MATCH(L659,'Both teabags AfterWet'!$A$3:$A$840,0)),"")</f>
        <v>0.7167</v>
      </c>
      <c r="R659" s="223">
        <f>IFERROR(IF(Q659&gt;0,Q659-(TBIcalc!$H$9),""),"")</f>
        <v>0.56610000000000005</v>
      </c>
      <c r="S659" s="223">
        <f>IFERROR(INDEX('Ashed teabags wet'!$K$2:$K$2000,MATCH(L659,'Ashed teabags wet'!$A$2:$A$2000,0)),"")</f>
        <v>13.067061143984493</v>
      </c>
      <c r="T659" s="223">
        <f t="shared" si="52"/>
        <v>0.49212736686390379</v>
      </c>
      <c r="U659" s="224">
        <f>'WetLitterbags placem_collection'!E220</f>
        <v>42769</v>
      </c>
      <c r="V659" s="224">
        <f>IF('WetLitterbags placem_collection'!G220="","",'WetLitterbags placem_collection'!G220)</f>
        <v>42814</v>
      </c>
      <c r="W659" s="225">
        <f t="shared" si="50"/>
        <v>45</v>
      </c>
      <c r="X659" s="223">
        <f t="shared" si="53"/>
        <v>1.2481</v>
      </c>
      <c r="Y659" s="223">
        <f t="shared" si="54"/>
        <v>1.2220237542262948</v>
      </c>
      <c r="Z659">
        <f>IFERROR(INDEX([1]Rainfall_Wet!$O$2:$O$217,MATCH(C659, [1]Rainfall_Wet!$A$2:$A$217,0)),"")</f>
        <v>175.377105089</v>
      </c>
      <c r="AA659" s="226">
        <v>21.072635135135137</v>
      </c>
      <c r="AB659" s="226">
        <v>7.3057432432432412</v>
      </c>
      <c r="AC659" s="226">
        <v>71.621621621621614</v>
      </c>
      <c r="AD659" s="226" t="s">
        <v>2651</v>
      </c>
      <c r="AE659" s="226">
        <v>1.4512074913750617</v>
      </c>
      <c r="AF659">
        <f>IF('WetLitterbags placem_collection'!AB220="","",'WetLitterbags placem_collection'!AB220)</f>
        <v>5.13</v>
      </c>
      <c r="AG659">
        <f>IF('WetLitterbags placem_collection'!Z220="","",'WetLitterbags placem_collection'!Z220)</f>
        <v>5.13</v>
      </c>
      <c r="AH659" s="236" t="str">
        <f>IF('WetLitterbags placem_collection'!AA220="","",'WetLitterbags placem_collection'!AA220)</f>
        <v>O</v>
      </c>
      <c r="AI659">
        <f>IF('WetLitterbags placem_collection'!AC220="","",'WetLitterbags placem_collection'!AC220)</f>
        <v>1</v>
      </c>
      <c r="AJ659" s="233">
        <f>AVERAGE('WetLitterbags placem_collection'!S220,'WetLitterbags placem_collection'!U220)</f>
        <v>22.1</v>
      </c>
      <c r="AK659">
        <f>AVERAGE('WetLitterbags placem_collection'!R220,'WetLitterbags placem_collection'!T220)</f>
        <v>24.5</v>
      </c>
      <c r="AL659">
        <v>-2.4396450349999999</v>
      </c>
      <c r="AM659">
        <v>34.83836599</v>
      </c>
      <c r="AN659" t="str">
        <f>IF(ISNUMBER(SEARCH("C", 'WetLitterbags placem_collection'!$X220)),"YES","NO")</f>
        <v>NO</v>
      </c>
      <c r="AO659" t="str">
        <f>IF(ISNUMBER(SEARCH("H", 'WetLitterbags placem_collection'!$X220)),"YES","NO")</f>
        <v>NO</v>
      </c>
      <c r="AP659" t="str">
        <f>IF(ISNUMBER(SEARCH("R", 'WetLitterbags placem_collection'!$X220)),"YES","NO")</f>
        <v>YES</v>
      </c>
    </row>
    <row r="660" spans="1:42" ht="15" customHeight="1">
      <c r="A660" t="s">
        <v>2490</v>
      </c>
      <c r="B660" s="248" t="s">
        <v>2454</v>
      </c>
      <c r="C660" s="253">
        <f>'Dry_Litterbag Placem_Collection'!A221</f>
        <v>219</v>
      </c>
      <c r="D660" s="253" t="str">
        <f>'Dry_Litterbag Placem_Collection'!B221</f>
        <v>Seronera</v>
      </c>
      <c r="E660" s="253" t="s">
        <v>3249</v>
      </c>
      <c r="F660" s="253" t="s">
        <v>2423</v>
      </c>
      <c r="G660" s="253">
        <v>3</v>
      </c>
      <c r="H660" s="253" t="s">
        <v>3188</v>
      </c>
      <c r="I660" s="254" t="str">
        <f>'Dry_Litterbag Placem_Collection'!C221</f>
        <v>Local3_CG3</v>
      </c>
      <c r="J660" s="263" t="s">
        <v>2932</v>
      </c>
      <c r="K660" s="256" t="s">
        <v>1147</v>
      </c>
      <c r="L660" s="221" t="str">
        <f>'WetLitterbags placem_collection'!O221</f>
        <v>G491</v>
      </c>
      <c r="M660" s="223">
        <f>IFERROR(INDEX('Green_rooibos initial weight'!$C$5:$C$2000,MATCH(L660, 'Green_rooibos initial weight'!$A$5:$A$2000,0)),"")</f>
        <v>2.0249999999999999</v>
      </c>
      <c r="N660" s="223">
        <f>IFERROR(M660-(TBIcalc!$H$9+TBIcalc!$H$10),"")</f>
        <v>1.7751999999999999</v>
      </c>
      <c r="O660" s="378">
        <f>AVERAGE(Ashed_controlls!$K$2:$K$11)</f>
        <v>5.5147656768714146</v>
      </c>
      <c r="P660" s="223">
        <f t="shared" si="51"/>
        <v>1.6773018797041785</v>
      </c>
      <c r="Q660" s="223">
        <f>IFERROR(INDEX('Both teabags AfterWet'!$C$3:$C$840,MATCH(L660,'Both teabags AfterWet'!$A$3:$A$840,0)),"")</f>
        <v>0.65569999999999995</v>
      </c>
      <c r="R660" s="223">
        <f>IFERROR(IF(Q660&gt;0,Q660-(TBIcalc!$H$9),""),"")</f>
        <v>0.50509999999999988</v>
      </c>
      <c r="S660" s="223">
        <f>IFERROR(INDEX('Ashed teabags wet'!$K$2:$K$2000,MATCH(L660,'Ashed teabags wet'!$A$2:$A$2000,0)),"")</f>
        <v>11.643835616438309</v>
      </c>
      <c r="T660" s="223">
        <f t="shared" si="52"/>
        <v>0.44628698630136998</v>
      </c>
      <c r="U660" s="224">
        <f>'WetLitterbags placem_collection'!E221</f>
        <v>42769</v>
      </c>
      <c r="V660" s="224">
        <f>IF('WetLitterbags placem_collection'!G221="","",'WetLitterbags placem_collection'!G221)</f>
        <v>42813</v>
      </c>
      <c r="W660" s="225">
        <f t="shared" si="50"/>
        <v>44</v>
      </c>
      <c r="X660" s="223">
        <f t="shared" si="53"/>
        <v>1.2701</v>
      </c>
      <c r="Y660" s="223">
        <f t="shared" si="54"/>
        <v>1.2310148934028087</v>
      </c>
      <c r="Z660">
        <f>IFERROR(INDEX([1]Rainfall_Wet!$O$2:$O$217,MATCH(C660, [1]Rainfall_Wet!$A$2:$A$217,0)),"")</f>
        <v>175.054685654</v>
      </c>
      <c r="AA660" s="226">
        <v>21.96</v>
      </c>
      <c r="AB660" s="226">
        <v>4.9199999999999982</v>
      </c>
      <c r="AC660" s="226">
        <v>73.12</v>
      </c>
      <c r="AD660" s="226" t="s">
        <v>2651</v>
      </c>
      <c r="AE660" s="226">
        <v>1.4012321340561851</v>
      </c>
      <c r="AF660">
        <f>IF('WetLitterbags placem_collection'!AB221="","",'WetLitterbags placem_collection'!AB221)</f>
        <v>7.9</v>
      </c>
      <c r="AG660">
        <f>IF('WetLitterbags placem_collection'!Z221="","",'WetLitterbags placem_collection'!Z221)</f>
        <v>7.9</v>
      </c>
      <c r="AH660" s="236" t="str">
        <f>IF('WetLitterbags placem_collection'!AA221="","",'WetLitterbags placem_collection'!AA221)</f>
        <v>O</v>
      </c>
      <c r="AI660">
        <f>IF('WetLitterbags placem_collection'!AC221="","",'WetLitterbags placem_collection'!AC221)</f>
        <v>1</v>
      </c>
      <c r="AJ660" s="233">
        <f>AVERAGE('WetLitterbags placem_collection'!S221,'WetLitterbags placem_collection'!U221)</f>
        <v>21.75</v>
      </c>
      <c r="AK660">
        <f>AVERAGE('WetLitterbags placem_collection'!R221,'WetLitterbags placem_collection'!T221)</f>
        <v>27.55</v>
      </c>
      <c r="AL660">
        <v>-2.4395990190000001</v>
      </c>
      <c r="AM660">
        <v>34.838418959999998</v>
      </c>
      <c r="AN660" t="str">
        <f>IF(ISNUMBER(SEARCH("C", 'WetLitterbags placem_collection'!$X221)),"YES","NO")</f>
        <v>NO</v>
      </c>
      <c r="AO660" t="str">
        <f>IF(ISNUMBER(SEARCH("H", 'WetLitterbags placem_collection'!$X221)),"YES","NO")</f>
        <v>NO</v>
      </c>
      <c r="AP660" t="str">
        <f>IF(ISNUMBER(SEARCH("R", 'WetLitterbags placem_collection'!$X221)),"YES","NO")</f>
        <v>YES</v>
      </c>
    </row>
    <row r="661" spans="1:42" ht="15" customHeight="1">
      <c r="A661" t="s">
        <v>2490</v>
      </c>
      <c r="B661" s="248" t="s">
        <v>2454</v>
      </c>
      <c r="C661" s="253">
        <f>'Dry_Litterbag Placem_Collection'!A222</f>
        <v>220</v>
      </c>
      <c r="D661" s="253" t="str">
        <f>'Dry_Litterbag Placem_Collection'!B222</f>
        <v>Seronera</v>
      </c>
      <c r="E661" s="253" t="s">
        <v>3249</v>
      </c>
      <c r="F661" s="253" t="s">
        <v>2423</v>
      </c>
      <c r="G661" s="253">
        <v>4</v>
      </c>
      <c r="H661" s="253" t="s">
        <v>3189</v>
      </c>
      <c r="I661" s="254" t="str">
        <f>'Dry_Litterbag Placem_Collection'!C222</f>
        <v>Local4_CG4</v>
      </c>
      <c r="J661" s="263" t="s">
        <v>2932</v>
      </c>
      <c r="K661" s="256" t="s">
        <v>1147</v>
      </c>
      <c r="L661" s="221" t="str">
        <f>'WetLitterbags placem_collection'!O222</f>
        <v>G849</v>
      </c>
      <c r="M661" s="223">
        <f>IFERROR(INDEX('Green_rooibos initial weight'!$C$5:$C$2000,MATCH(L661, 'Green_rooibos initial weight'!$A$5:$A$2000,0)),"")</f>
        <v>2.1070000000000002</v>
      </c>
      <c r="N661" s="223">
        <f>IFERROR(M661-(TBIcalc!$H$9+TBIcalc!$H$10),"")</f>
        <v>1.8572000000000002</v>
      </c>
      <c r="O661" s="378">
        <f>AVERAGE(Ashed_controlls!$K$2:$K$11)</f>
        <v>5.5147656768714146</v>
      </c>
      <c r="P661" s="223">
        <f t="shared" si="51"/>
        <v>1.7547797718491442</v>
      </c>
      <c r="Q661" s="223">
        <f>IFERROR(INDEX('Both teabags AfterWet'!$C$3:$C$840,MATCH(L661,'Both teabags AfterWet'!$A$3:$A$840,0)),"")</f>
        <v>0.65239999999999998</v>
      </c>
      <c r="R661" s="223">
        <f>IFERROR(IF(Q661&gt;0,Q661-(TBIcalc!$H$9),""),"")</f>
        <v>0.50180000000000002</v>
      </c>
      <c r="S661" s="223">
        <f>IFERROR(INDEX('Ashed teabags wet'!$K$2:$K$2000,MATCH(L661,'Ashed teabags wet'!$A$2:$A$2000,0)),"")</f>
        <v>11.566979733070331</v>
      </c>
      <c r="T661" s="223">
        <f t="shared" si="52"/>
        <v>0.44375689569945309</v>
      </c>
      <c r="U661" s="224">
        <f>'WetLitterbags placem_collection'!E222</f>
        <v>42769</v>
      </c>
      <c r="V661" s="224">
        <f>IF('WetLitterbags placem_collection'!G222="","",'WetLitterbags placem_collection'!G222)</f>
        <v>42813</v>
      </c>
      <c r="W661" s="225">
        <f t="shared" si="50"/>
        <v>44</v>
      </c>
      <c r="X661" s="223">
        <f t="shared" si="53"/>
        <v>1.3554000000000002</v>
      </c>
      <c r="Y661" s="223">
        <f t="shared" si="54"/>
        <v>1.3110228761496912</v>
      </c>
      <c r="Z661">
        <f>IFERROR(INDEX([1]Rainfall_Wet!$O$2:$O$217,MATCH(C661, [1]Rainfall_Wet!$A$2:$A$217,0)),"")</f>
        <v>175.054685654</v>
      </c>
      <c r="AA661" s="226">
        <v>15.960000000000003</v>
      </c>
      <c r="AB661" s="226">
        <v>6.9199999999999982</v>
      </c>
      <c r="AC661" s="226">
        <v>77.11999999999999</v>
      </c>
      <c r="AD661" s="226" t="s">
        <v>2652</v>
      </c>
      <c r="AE661" s="226">
        <v>0.60547067520946207</v>
      </c>
      <c r="AF661">
        <f>IF('WetLitterbags placem_collection'!AB222="","",'WetLitterbags placem_collection'!AB222)</f>
        <v>15.2</v>
      </c>
      <c r="AG661">
        <f>IF('WetLitterbags placem_collection'!Z222="","",'WetLitterbags placem_collection'!Z222)</f>
        <v>12.2</v>
      </c>
      <c r="AH661" s="236" t="str">
        <f>IF('WetLitterbags placem_collection'!AA222="","",'WetLitterbags placem_collection'!AA222)</f>
        <v>O</v>
      </c>
      <c r="AI661">
        <f>IF('WetLitterbags placem_collection'!AC222="","",'WetLitterbags placem_collection'!AC222)</f>
        <v>1</v>
      </c>
      <c r="AJ661" s="233">
        <f>AVERAGE('WetLitterbags placem_collection'!S222,'WetLitterbags placem_collection'!U222)</f>
        <v>20.85</v>
      </c>
      <c r="AK661">
        <f>AVERAGE('WetLitterbags placem_collection'!R222,'WetLitterbags placem_collection'!T222)</f>
        <v>27.950000000000003</v>
      </c>
      <c r="AL661">
        <v>-2.4396949910000001</v>
      </c>
      <c r="AM661">
        <v>34.838574029999997</v>
      </c>
      <c r="AN661" t="str">
        <f>IF(ISNUMBER(SEARCH("C", 'WetLitterbags placem_collection'!$X222)),"YES","NO")</f>
        <v>NO</v>
      </c>
      <c r="AO661" t="str">
        <f>IF(ISNUMBER(SEARCH("H", 'WetLitterbags placem_collection'!$X222)),"YES","NO")</f>
        <v>NO</v>
      </c>
      <c r="AP661" t="str">
        <f>IF(ISNUMBER(SEARCH("R", 'WetLitterbags placem_collection'!$X222)),"YES","NO")</f>
        <v>YES</v>
      </c>
    </row>
    <row r="662" spans="1:42" ht="15" customHeight="1">
      <c r="A662" t="s">
        <v>3248</v>
      </c>
      <c r="B662" s="248" t="s">
        <v>2454</v>
      </c>
      <c r="C662" s="253">
        <f>'Dry_Litterbag Placem_Collection'!A3</f>
        <v>1</v>
      </c>
      <c r="D662" s="253" t="str">
        <f>'Dry_Litterbag Placem_Collection'!B3</f>
        <v>Makao</v>
      </c>
      <c r="E662" s="253" t="s">
        <v>2643</v>
      </c>
      <c r="F662" s="253" t="s">
        <v>2644</v>
      </c>
      <c r="G662" s="253">
        <v>1</v>
      </c>
      <c r="H662" s="253" t="s">
        <v>3099</v>
      </c>
      <c r="I662" s="254" t="str">
        <f>'Dry_Litterbag Placem_Collection'!C3</f>
        <v>Dry_Ag1_T1</v>
      </c>
      <c r="J662" s="263" t="s">
        <v>2932</v>
      </c>
      <c r="K662" s="264" t="s">
        <v>298</v>
      </c>
      <c r="L662" s="221" t="str">
        <f>'WetLitterbags placem_collection'!Q3</f>
        <v>R133</v>
      </c>
      <c r="M662" s="223">
        <f>IFERROR(INDEX('Green_rooibos initial weight'!$C$5:$C$2000,MATCH(L662, 'Green_rooibos initial weight'!$A$5:$A$2000,0)),"")</f>
        <v>2.1760000000000002</v>
      </c>
      <c r="N662" s="223">
        <f>IFERROR(M662-(TBIcalc!$H$9+TBIcalc!$H$10),"")</f>
        <v>1.9262000000000001</v>
      </c>
      <c r="O662" s="378">
        <f>AVERAGE(Ashed_controlls!$K$2:$K$11)</f>
        <v>5.5147656768714146</v>
      </c>
      <c r="P662" s="223">
        <f t="shared" si="51"/>
        <v>1.8199745835321028</v>
      </c>
      <c r="Q662" s="223">
        <f>IFERROR(INDEX('Both teabags AfterWet'!$C$3:$C$840,MATCH(L662,'Both teabags AfterWet'!$A$3:$A$840,0)),"")</f>
        <v>1.4104000000000001</v>
      </c>
      <c r="R662" s="223">
        <f>IFERROR(IF(Q662&gt;0,Q662-(TBIcalc!$H$9),""),"")</f>
        <v>1.2598</v>
      </c>
      <c r="S662" s="223">
        <f>IFERROR(INDEX('Ashed teabags wet'!$K$2:$K$2000,MATCH(L662,'Ashed teabags wet'!$A$2:$A$2000,0)),"")</f>
        <v>2.8344107409252359</v>
      </c>
      <c r="T662" s="223">
        <f t="shared" si="52"/>
        <v>1.2240920934858239</v>
      </c>
      <c r="U662" s="224">
        <f>'WetLitterbags placem_collection'!E3</f>
        <v>42766</v>
      </c>
      <c r="V662" s="224">
        <f>IF('WetLitterbags placem_collection'!G3="","",'WetLitterbags placem_collection'!G3)</f>
        <v>42818</v>
      </c>
      <c r="W662" s="225">
        <f t="shared" si="50"/>
        <v>52</v>
      </c>
      <c r="X662" s="223">
        <f t="shared" si="53"/>
        <v>0.6664000000000001</v>
      </c>
      <c r="Y662" s="223">
        <f t="shared" si="54"/>
        <v>0.59588249004627891</v>
      </c>
      <c r="Z662">
        <f>IFERROR(INDEX([1]Rainfall_Wet!$O$2:$O$217,MATCH(C662, [1]Rainfall_Wet!$A$2:$A$217,0)),"")</f>
        <v>194.43839254400001</v>
      </c>
      <c r="AA662" s="226">
        <v>12.565665055683967</v>
      </c>
      <c r="AB662" s="226">
        <v>0.9665896196679955</v>
      </c>
      <c r="AC662" s="226">
        <v>86.467745324648035</v>
      </c>
      <c r="AD662" s="227" t="s">
        <v>2653</v>
      </c>
      <c r="AE662" s="226">
        <v>1.0225726959093147</v>
      </c>
      <c r="AF662">
        <f>IF('WetLitterbags placem_collection'!AB3="","",'WetLitterbags placem_collection'!AB3)</f>
        <v>26.4</v>
      </c>
      <c r="AG662">
        <f>IF('WetLitterbags placem_collection'!Z3="","",'WetLitterbags placem_collection'!Z3)</f>
        <v>41</v>
      </c>
      <c r="AH662" s="236" t="str">
        <f>IF('WetLitterbags placem_collection'!AA3="","",'WetLitterbags placem_collection'!AA3)</f>
        <v>M</v>
      </c>
      <c r="AI662">
        <f>IF('WetLitterbags placem_collection'!AC3="","",'WetLitterbags placem_collection'!AC3)</f>
        <v>1</v>
      </c>
      <c r="AJ662">
        <f>AVERAGE('WetLitterbags placem_collection'!S3,'WetLitterbags placem_collection'!U3)</f>
        <v>14.75</v>
      </c>
      <c r="AK662">
        <f>AVERAGE('WetLitterbags placem_collection'!R3,'WetLitterbags placem_collection'!T3)</f>
        <v>24.7</v>
      </c>
      <c r="AL662">
        <f>INDEX([2]Coordinates!$B$2:$B$197,MATCH(I662,[2]Coordinates!$J$2:$J$197,0))</f>
        <v>-3.3978609999999998</v>
      </c>
      <c r="AM662">
        <f>INDEX([2]Coordinates!$C$2:$C$197,MATCH(I662,[2]Coordinates!$J$2:$J$197,0))</f>
        <v>34.837608000000003</v>
      </c>
      <c r="AN662" t="str">
        <f>IF(ISNUMBER(SEARCH("C", 'WetLitterbags placem_collection'!$Y3)),"YES","NO")</f>
        <v>NO</v>
      </c>
      <c r="AO662" t="str">
        <f>IF(ISNUMBER(SEARCH("H", 'WetLitterbags placem_collection'!$Y3)),"YES","NO")</f>
        <v>NO</v>
      </c>
      <c r="AP662" t="str">
        <f>IF(ISNUMBER(SEARCH("R", 'WetLitterbags placem_collection'!$Y3)),"YES","NO")</f>
        <v>NO</v>
      </c>
    </row>
    <row r="663" spans="1:42" ht="15" customHeight="1">
      <c r="A663" t="s">
        <v>3248</v>
      </c>
      <c r="B663" s="248" t="s">
        <v>2454</v>
      </c>
      <c r="C663" s="253">
        <f>'Dry_Litterbag Placem_Collection'!A4</f>
        <v>2</v>
      </c>
      <c r="D663" s="253" t="str">
        <f>'Dry_Litterbag Placem_Collection'!B4</f>
        <v>Makao</v>
      </c>
      <c r="E663" s="253" t="s">
        <v>2643</v>
      </c>
      <c r="F663" s="253" t="s">
        <v>2644</v>
      </c>
      <c r="G663" s="253">
        <v>1</v>
      </c>
      <c r="H663" s="253" t="s">
        <v>3099</v>
      </c>
      <c r="I663" s="254" t="str">
        <f>'Dry_Litterbag Placem_Collection'!C4</f>
        <v>Dry_Ag1_T2</v>
      </c>
      <c r="J663" s="263" t="s">
        <v>2932</v>
      </c>
      <c r="K663" s="264" t="s">
        <v>298</v>
      </c>
      <c r="L663" s="221" t="str">
        <f>'WetLitterbags placem_collection'!Q4</f>
        <v>R527</v>
      </c>
      <c r="M663" s="223">
        <f>IFERROR(INDEX('Green_rooibos initial weight'!$C$5:$C$2000,MATCH(L663, 'Green_rooibos initial weight'!$A$5:$A$2000,0)),"")</f>
        <v>2.1859999999999999</v>
      </c>
      <c r="N663" s="223">
        <f>IFERROR(M663-(TBIcalc!$H$9+TBIcalc!$H$10),"")</f>
        <v>1.9361999999999999</v>
      </c>
      <c r="O663" s="378">
        <f>AVERAGE(Ashed_controlls!$K$2:$K$11)</f>
        <v>5.5147656768714146</v>
      </c>
      <c r="P663" s="223">
        <f t="shared" si="51"/>
        <v>1.8294231069644156</v>
      </c>
      <c r="Q663" s="223">
        <f>IFERROR(INDEX('Both teabags AfterWet'!$C$3:$C$840,MATCH(L663,'Both teabags AfterWet'!$A$3:$A$840,0)),"")</f>
        <v>1.3275999999999999</v>
      </c>
      <c r="R663" s="223">
        <f>IFERROR(IF(Q663&gt;0,Q663-(TBIcalc!$H$9),""),"")</f>
        <v>1.1769999999999998</v>
      </c>
      <c r="S663" s="223">
        <f>IFERROR(INDEX('Ashed teabags wet'!$K$2:$K$2000,MATCH(L663,'Ashed teabags wet'!$A$2:$A$2000,0)),"")</f>
        <v>4.4433349975038503</v>
      </c>
      <c r="T663" s="223">
        <f t="shared" si="52"/>
        <v>1.1247019470793795</v>
      </c>
      <c r="U663" s="224">
        <f>'WetLitterbags placem_collection'!E4</f>
        <v>42766</v>
      </c>
      <c r="V663" s="224">
        <f>IF('WetLitterbags placem_collection'!G4="","",'WetLitterbags placem_collection'!G4)</f>
        <v>42818</v>
      </c>
      <c r="W663" s="225">
        <f t="shared" si="50"/>
        <v>52</v>
      </c>
      <c r="X663" s="223">
        <f t="shared" si="53"/>
        <v>0.7592000000000001</v>
      </c>
      <c r="Y663" s="223">
        <f t="shared" si="54"/>
        <v>0.70472115988503603</v>
      </c>
      <c r="Z663">
        <f>IFERROR(INDEX([1]Rainfall_Wet!$O$2:$O$217,MATCH(C663, [1]Rainfall_Wet!$A$2:$A$217,0)),"")</f>
        <v>194.43839254400001</v>
      </c>
      <c r="AA663" s="226">
        <v>12.565665055683967</v>
      </c>
      <c r="AB663" s="226">
        <v>0.9665896196679955</v>
      </c>
      <c r="AC663" s="226">
        <v>86.467745324648035</v>
      </c>
      <c r="AD663" s="227" t="s">
        <v>2653</v>
      </c>
      <c r="AE663" s="226">
        <v>2.02257269590931</v>
      </c>
      <c r="AF663">
        <f>IF('WetLitterbags placem_collection'!AB4="","",'WetLitterbags placem_collection'!AB4)</f>
        <v>22.4</v>
      </c>
      <c r="AG663">
        <f>IF('WetLitterbags placem_collection'!Z4="","",'WetLitterbags placem_collection'!Z4)</f>
        <v>39.799999999999997</v>
      </c>
      <c r="AH663" s="236" t="str">
        <f>IF('WetLitterbags placem_collection'!AA4="","",'WetLitterbags placem_collection'!AA4)</f>
        <v>M</v>
      </c>
      <c r="AI663">
        <f>IF('WetLitterbags placem_collection'!AC4="","",'WetLitterbags placem_collection'!AC4)</f>
        <v>1</v>
      </c>
      <c r="AJ663">
        <f>AVERAGE('WetLitterbags placem_collection'!S4,'WetLitterbags placem_collection'!U4)</f>
        <v>13.1</v>
      </c>
      <c r="AK663">
        <f>AVERAGE('WetLitterbags placem_collection'!R4,'WetLitterbags placem_collection'!T4)</f>
        <v>24.9</v>
      </c>
      <c r="AL663">
        <f>INDEX([2]Coordinates!$B$2:$B$197,MATCH(I663,[2]Coordinates!$J$2:$J$197,0))</f>
        <v>-3.397879042</v>
      </c>
      <c r="AM663">
        <f>INDEX([2]Coordinates!$C$2:$C$197,MATCH(I663,[2]Coordinates!$J$2:$J$197,0))</f>
        <v>34.837536010000001</v>
      </c>
      <c r="AN663" t="str">
        <f>IF(ISNUMBER(SEARCH("C", 'WetLitterbags placem_collection'!$Y4)),"YES","NO")</f>
        <v>NO</v>
      </c>
      <c r="AO663" t="str">
        <f>IF(ISNUMBER(SEARCH("H", 'WetLitterbags placem_collection'!$Y4)),"YES","NO")</f>
        <v>NO</v>
      </c>
      <c r="AP663" t="str">
        <f>IF(ISNUMBER(SEARCH("R", 'WetLitterbags placem_collection'!$Y4)),"YES","NO")</f>
        <v>NO</v>
      </c>
    </row>
    <row r="664" spans="1:42" ht="15" customHeight="1">
      <c r="A664" t="s">
        <v>3248</v>
      </c>
      <c r="B664" s="248" t="s">
        <v>2454</v>
      </c>
      <c r="C664" s="253">
        <f>'Dry_Litterbag Placem_Collection'!A5</f>
        <v>3</v>
      </c>
      <c r="D664" s="253" t="str">
        <f>'Dry_Litterbag Placem_Collection'!B5</f>
        <v>Makao</v>
      </c>
      <c r="E664" s="253" t="s">
        <v>2643</v>
      </c>
      <c r="F664" s="253" t="s">
        <v>2644</v>
      </c>
      <c r="G664" s="253">
        <v>1</v>
      </c>
      <c r="H664" s="253" t="s">
        <v>3099</v>
      </c>
      <c r="I664" s="254" t="str">
        <f>'Dry_Litterbag Placem_Collection'!C5</f>
        <v>Dry_Ag1_T3</v>
      </c>
      <c r="J664" s="263" t="s">
        <v>2932</v>
      </c>
      <c r="K664" s="264" t="s">
        <v>298</v>
      </c>
      <c r="L664" s="221" t="str">
        <f>'WetLitterbags placem_collection'!Q5</f>
        <v>R498</v>
      </c>
      <c r="M664" s="223">
        <f>IFERROR(INDEX('Green_rooibos initial weight'!$C$5:$C$2000,MATCH(L664, 'Green_rooibos initial weight'!$A$5:$A$2000,0)),"")</f>
        <v>2.1520000000000001</v>
      </c>
      <c r="N664" s="223">
        <f>IFERROR(M664-(TBIcalc!$H$9+TBIcalc!$H$10),"")</f>
        <v>1.9022000000000001</v>
      </c>
      <c r="O664" s="378">
        <f>AVERAGE(Ashed_controlls!$K$2:$K$11)</f>
        <v>5.5147656768714146</v>
      </c>
      <c r="P664" s="223">
        <f t="shared" si="51"/>
        <v>1.7972981272945521</v>
      </c>
      <c r="Q664" s="223" t="str">
        <f>IFERROR(INDEX('Both teabags AfterWet'!$C$3:$C$840,MATCH(L664,'Both teabags AfterWet'!$A$3:$A$840,0)),"")</f>
        <v/>
      </c>
      <c r="R664" s="223" t="str">
        <f>IFERROR(IF(Q664&gt;0,Q664-(TBIcalc!$H$9),""),"")</f>
        <v/>
      </c>
      <c r="S664" s="223" t="str">
        <f>IFERROR(INDEX('Ashed teabags wet'!$K$2:$K$2000,MATCH(L664,'Ashed teabags wet'!$A$2:$A$2000,0)),"")</f>
        <v/>
      </c>
      <c r="T664" s="223" t="str">
        <f t="shared" si="52"/>
        <v/>
      </c>
      <c r="U664" s="224">
        <f>'WetLitterbags placem_collection'!E5</f>
        <v>42766</v>
      </c>
      <c r="V664" s="224">
        <f>IF('WetLitterbags placem_collection'!G5="","",'WetLitterbags placem_collection'!G5)</f>
        <v>42819</v>
      </c>
      <c r="W664" s="225">
        <f t="shared" si="50"/>
        <v>53</v>
      </c>
      <c r="X664" s="223" t="str">
        <f t="shared" si="53"/>
        <v/>
      </c>
      <c r="Y664" s="223" t="str">
        <f t="shared" si="54"/>
        <v/>
      </c>
      <c r="Z664" t="str">
        <f>IFERROR(INDEX([1]Rainfall_Wet!$O$2:$O$217,MATCH(C664, [1]Rainfall_Wet!$A$2:$A$217,0)),"")</f>
        <v/>
      </c>
      <c r="AA664" s="226">
        <v>12.565665055683967</v>
      </c>
      <c r="AB664" s="226">
        <v>0.9665896196679955</v>
      </c>
      <c r="AC664" s="226">
        <v>86.467745324648035</v>
      </c>
      <c r="AD664" s="227" t="s">
        <v>2653</v>
      </c>
      <c r="AE664" s="226">
        <v>3.02257269590931</v>
      </c>
      <c r="AF664" t="str">
        <f>IF('WetLitterbags placem_collection'!AB5="","",'WetLitterbags placem_collection'!AB5)</f>
        <v/>
      </c>
      <c r="AG664" t="str">
        <f>IF('WetLitterbags placem_collection'!Z5="","",'WetLitterbags placem_collection'!Z5)</f>
        <v/>
      </c>
      <c r="AH664" s="236" t="str">
        <f>IF('WetLitterbags placem_collection'!AA5="","",'WetLitterbags placem_collection'!AA5)</f>
        <v/>
      </c>
      <c r="AI664" t="str">
        <f>IF('WetLitterbags placem_collection'!AC5="","",'WetLitterbags placem_collection'!AC5)</f>
        <v/>
      </c>
      <c r="AJ664">
        <f>AVERAGE('WetLitterbags placem_collection'!S5,'WetLitterbags placem_collection'!U5)</f>
        <v>14.649999999999999</v>
      </c>
      <c r="AK664">
        <f>AVERAGE('WetLitterbags placem_collection'!R5,'WetLitterbags placem_collection'!T5)</f>
        <v>24.7</v>
      </c>
      <c r="AL664">
        <f>INDEX([2]Coordinates!$B$2:$B$197,MATCH(I664,[2]Coordinates!$J$2:$J$197,0))</f>
        <v>-3.3978739999999998</v>
      </c>
      <c r="AM664">
        <f>INDEX([2]Coordinates!$C$2:$C$197,MATCH(I664,[2]Coordinates!$J$2:$J$197,0))</f>
        <v>34.837578999999998</v>
      </c>
      <c r="AN664" t="str">
        <f>IF(ISNUMBER(SEARCH("C", 'WetLitterbags placem_collection'!$Y5)),"YES","NO")</f>
        <v>NO</v>
      </c>
      <c r="AO664" t="str">
        <f>IF(ISNUMBER(SEARCH("H", 'WetLitterbags placem_collection'!$Y5)),"YES","NO")</f>
        <v>NO</v>
      </c>
      <c r="AP664" t="str">
        <f>IF(ISNUMBER(SEARCH("R", 'WetLitterbags placem_collection'!$Y5)),"YES","NO")</f>
        <v>NO</v>
      </c>
    </row>
    <row r="665" spans="1:42" ht="15" customHeight="1">
      <c r="A665" t="s">
        <v>3248</v>
      </c>
      <c r="B665" s="248" t="s">
        <v>2454</v>
      </c>
      <c r="C665" s="253">
        <f>'Dry_Litterbag Placem_Collection'!A6</f>
        <v>4</v>
      </c>
      <c r="D665" s="253" t="str">
        <f>'Dry_Litterbag Placem_Collection'!B6</f>
        <v>Makao</v>
      </c>
      <c r="E665" s="253" t="s">
        <v>2643</v>
      </c>
      <c r="F665" s="253" t="s">
        <v>2644</v>
      </c>
      <c r="G665" s="253">
        <v>1</v>
      </c>
      <c r="H665" s="253" t="s">
        <v>3099</v>
      </c>
      <c r="I665" s="254" t="str">
        <f>'Dry_Litterbag Placem_Collection'!C6</f>
        <v>Dry_Ag1_T4</v>
      </c>
      <c r="J665" s="263" t="s">
        <v>2932</v>
      </c>
      <c r="K665" s="264" t="s">
        <v>298</v>
      </c>
      <c r="L665" s="221" t="str">
        <f>'WetLitterbags placem_collection'!Q6</f>
        <v>R508</v>
      </c>
      <c r="M665" s="223">
        <f>IFERROR(INDEX('Green_rooibos initial weight'!$C$5:$C$2000,MATCH(L665, 'Green_rooibos initial weight'!$A$5:$A$2000,0)),"")</f>
        <v>2.169</v>
      </c>
      <c r="N665" s="223">
        <f>IFERROR(M665-(TBIcalc!$H$9+TBIcalc!$H$10),"")</f>
        <v>1.9192</v>
      </c>
      <c r="O665" s="378">
        <f>AVERAGE(Ashed_controlls!$K$2:$K$11)</f>
        <v>5.5147656768714146</v>
      </c>
      <c r="P665" s="223">
        <f t="shared" si="51"/>
        <v>1.8133606171294838</v>
      </c>
      <c r="Q665" s="223">
        <f>IFERROR(INDEX('Both teabags AfterWet'!$C$3:$C$840,MATCH(L665,'Both teabags AfterWet'!$A$3:$A$840,0)),"")</f>
        <v>1.3392999999999999</v>
      </c>
      <c r="R665" s="223">
        <f>IFERROR(IF(Q665&gt;0,Q665-(TBIcalc!$H$9),""),"")</f>
        <v>1.1886999999999999</v>
      </c>
      <c r="S665" s="223">
        <f>IFERROR(INDEX('Ashed teabags wet'!$K$2:$K$2000,MATCH(L665,'Ashed teabags wet'!$A$2:$A$2000,0)),"")</f>
        <v>4.9578582052553344</v>
      </c>
      <c r="T665" s="223">
        <f t="shared" si="52"/>
        <v>1.1297659395141297</v>
      </c>
      <c r="U665" s="224">
        <f>'WetLitterbags placem_collection'!E6</f>
        <v>42766</v>
      </c>
      <c r="V665" s="224">
        <f>IF('WetLitterbags placem_collection'!G6="","",'WetLitterbags placem_collection'!G6)</f>
        <v>42818</v>
      </c>
      <c r="W665" s="225">
        <f t="shared" si="50"/>
        <v>52</v>
      </c>
      <c r="X665" s="223">
        <f t="shared" si="53"/>
        <v>0.73050000000000015</v>
      </c>
      <c r="Y665" s="223">
        <f t="shared" si="54"/>
        <v>0.68359467761535408</v>
      </c>
      <c r="Z665">
        <f>IFERROR(INDEX([1]Rainfall_Wet!$O$2:$O$217,MATCH(C665, [1]Rainfall_Wet!$A$2:$A$217,0)),"")</f>
        <v>194.43839254400001</v>
      </c>
      <c r="AA665" s="226">
        <v>12.565665055683967</v>
      </c>
      <c r="AB665" s="226">
        <v>0.9665896196679955</v>
      </c>
      <c r="AC665" s="226">
        <v>86.467745324648035</v>
      </c>
      <c r="AD665" s="227" t="s">
        <v>2653</v>
      </c>
      <c r="AE665" s="226">
        <v>4.02257269590931</v>
      </c>
      <c r="AF665" t="str">
        <f>IF('WetLitterbags placem_collection'!AB6="","",'WetLitterbags placem_collection'!AB6)</f>
        <v/>
      </c>
      <c r="AG665" t="str">
        <f>IF('WetLitterbags placem_collection'!Z6="","",'WetLitterbags placem_collection'!Z6)</f>
        <v/>
      </c>
      <c r="AH665" s="236" t="str">
        <f>IF('WetLitterbags placem_collection'!AA6="","",'WetLitterbags placem_collection'!AA6)</f>
        <v/>
      </c>
      <c r="AI665" t="str">
        <f>IF('WetLitterbags placem_collection'!AC6="","",'WetLitterbags placem_collection'!AC6)</f>
        <v/>
      </c>
      <c r="AJ665">
        <f>AVERAGE('WetLitterbags placem_collection'!S6,'WetLitterbags placem_collection'!U6)</f>
        <v>17.399999999999999</v>
      </c>
      <c r="AK665">
        <f>AVERAGE('WetLitterbags placem_collection'!R6,'WetLitterbags placem_collection'!T6)</f>
        <v>25.549999999999997</v>
      </c>
      <c r="AL665">
        <f>INDEX([2]Coordinates!$B$2:$B$197,MATCH(I665,[2]Coordinates!$J$2:$J$197,0))</f>
        <v>-3.3977780399999999</v>
      </c>
      <c r="AM665">
        <f>INDEX([2]Coordinates!$C$2:$C$197,MATCH(I665,[2]Coordinates!$J$2:$J$197,0))</f>
        <v>34.83751204</v>
      </c>
      <c r="AN665" t="str">
        <f>IF(ISNUMBER(SEARCH("C", 'WetLitterbags placem_collection'!$Y6)),"YES","NO")</f>
        <v>NO</v>
      </c>
      <c r="AO665" t="str">
        <f>IF(ISNUMBER(SEARCH("H", 'WetLitterbags placem_collection'!$Y6)),"YES","NO")</f>
        <v>NO</v>
      </c>
      <c r="AP665" t="str">
        <f>IF(ISNUMBER(SEARCH("R", 'WetLitterbags placem_collection'!$Y6)),"YES","NO")</f>
        <v>NO</v>
      </c>
    </row>
    <row r="666" spans="1:42" ht="15" customHeight="1">
      <c r="A666" t="s">
        <v>3248</v>
      </c>
      <c r="B666" s="248" t="s">
        <v>2454</v>
      </c>
      <c r="C666" s="253">
        <f>'Dry_Litterbag Placem_Collection'!A7</f>
        <v>5</v>
      </c>
      <c r="D666" s="253" t="str">
        <f>'Dry_Litterbag Placem_Collection'!B7</f>
        <v>Makao</v>
      </c>
      <c r="E666" s="253" t="s">
        <v>2643</v>
      </c>
      <c r="F666" s="253" t="s">
        <v>2644</v>
      </c>
      <c r="G666" s="253">
        <v>1</v>
      </c>
      <c r="H666" s="253" t="s">
        <v>3099</v>
      </c>
      <c r="I666" s="254" t="str">
        <f>'Dry_Litterbag Placem_Collection'!C7</f>
        <v>Dry_Ag1_T5</v>
      </c>
      <c r="J666" s="263" t="s">
        <v>2932</v>
      </c>
      <c r="K666" s="264" t="s">
        <v>298</v>
      </c>
      <c r="L666" s="221" t="str">
        <f>'WetLitterbags placem_collection'!Q7</f>
        <v>R38</v>
      </c>
      <c r="M666" s="223">
        <f>IFERROR(INDEX('Green_rooibos initial weight'!$C$5:$C$2000,MATCH(L666, 'Green_rooibos initial weight'!$A$5:$A$2000,0)),"")</f>
        <v>2.12</v>
      </c>
      <c r="N666" s="223">
        <f>IFERROR(M666-(TBIcalc!$H$9+TBIcalc!$H$10),"")</f>
        <v>1.8702000000000001</v>
      </c>
      <c r="O666" s="378">
        <f>AVERAGE(Ashed_controlls!$K$2:$K$11)</f>
        <v>5.5147656768714146</v>
      </c>
      <c r="P666" s="223">
        <f t="shared" si="51"/>
        <v>1.7670628523111509</v>
      </c>
      <c r="Q666" s="223">
        <f>IFERROR(INDEX('Both teabags AfterWet'!$C$3:$C$840,MATCH(L666,'Both teabags AfterWet'!$A$3:$A$840,0)),"")</f>
        <v>1.2627999999999999</v>
      </c>
      <c r="R666" s="223">
        <f>IFERROR(IF(Q666&gt;0,Q666-(TBIcalc!$H$9),""),"")</f>
        <v>1.1121999999999999</v>
      </c>
      <c r="S666" s="223">
        <f>IFERROR(INDEX('Ashed teabags wet'!$K$2:$K$2000,MATCH(L666,'Ashed teabags wet'!$A$2:$A$2000,0)),"")</f>
        <v>5.8070866141733264</v>
      </c>
      <c r="T666" s="223">
        <f t="shared" si="52"/>
        <v>1.0476135826771642</v>
      </c>
      <c r="U666" s="224">
        <f>'WetLitterbags placem_collection'!E7</f>
        <v>42766</v>
      </c>
      <c r="V666" s="224">
        <f>IF('WetLitterbags placem_collection'!G7="","",'WetLitterbags placem_collection'!G7)</f>
        <v>42818</v>
      </c>
      <c r="W666" s="225">
        <f t="shared" si="50"/>
        <v>52</v>
      </c>
      <c r="X666" s="223">
        <f t="shared" si="53"/>
        <v>0.75800000000000023</v>
      </c>
      <c r="Y666" s="223">
        <f t="shared" si="54"/>
        <v>0.7194492696339867</v>
      </c>
      <c r="Z666">
        <f>IFERROR(INDEX([1]Rainfall_Wet!$O$2:$O$217,MATCH(C666, [1]Rainfall_Wet!$A$2:$A$217,0)),"")</f>
        <v>194.43839254400001</v>
      </c>
      <c r="AA666" s="226">
        <v>12.565665055683967</v>
      </c>
      <c r="AB666" s="226">
        <v>0.9665896196679955</v>
      </c>
      <c r="AC666" s="226">
        <v>86.467745324648035</v>
      </c>
      <c r="AD666" s="227" t="s">
        <v>2653</v>
      </c>
      <c r="AE666" s="226">
        <v>5.02257269590931</v>
      </c>
      <c r="AF666">
        <f>IF('WetLitterbags placem_collection'!AB7="","",'WetLitterbags placem_collection'!AB7)</f>
        <v>28.4</v>
      </c>
      <c r="AG666">
        <f>IF('WetLitterbags placem_collection'!Z7="","",'WetLitterbags placem_collection'!Z7)</f>
        <v>36.4</v>
      </c>
      <c r="AH666" s="236" t="str">
        <f>IF('WetLitterbags placem_collection'!AA7="","",'WetLitterbags placem_collection'!AA7)</f>
        <v>M</v>
      </c>
      <c r="AI666">
        <f>IF('WetLitterbags placem_collection'!AC7="","",'WetLitterbags placem_collection'!AC7)</f>
        <v>1</v>
      </c>
      <c r="AJ666">
        <f>AVERAGE('WetLitterbags placem_collection'!S7,'WetLitterbags placem_collection'!U7)</f>
        <v>12.100000000000001</v>
      </c>
      <c r="AK666">
        <f>AVERAGE('WetLitterbags placem_collection'!R7,'WetLitterbags placem_collection'!T7)</f>
        <v>25.1</v>
      </c>
      <c r="AL666">
        <f>INDEX([2]Coordinates!$B$2:$B$197,MATCH(I666,[2]Coordinates!$J$2:$J$197,0))</f>
        <v>-3.3978020120000001</v>
      </c>
      <c r="AM666">
        <f>INDEX([2]Coordinates!$C$2:$C$197,MATCH(I666,[2]Coordinates!$J$2:$J$197,0))</f>
        <v>34.83751204</v>
      </c>
      <c r="AN666" t="str">
        <f>IF(ISNUMBER(SEARCH("C", 'WetLitterbags placem_collection'!$Y7)),"YES","NO")</f>
        <v>NO</v>
      </c>
      <c r="AO666" t="str">
        <f>IF(ISNUMBER(SEARCH("H", 'WetLitterbags placem_collection'!$Y7)),"YES","NO")</f>
        <v>NO</v>
      </c>
      <c r="AP666" t="str">
        <f>IF(ISNUMBER(SEARCH("R", 'WetLitterbags placem_collection'!$Y7)),"YES","NO")</f>
        <v>NO</v>
      </c>
    </row>
    <row r="667" spans="1:42" ht="15" customHeight="1">
      <c r="A667" t="s">
        <v>3248</v>
      </c>
      <c r="B667" s="248" t="s">
        <v>2454</v>
      </c>
      <c r="C667" s="253">
        <f>'Dry_Litterbag Placem_Collection'!A8</f>
        <v>6</v>
      </c>
      <c r="D667" s="253" t="str">
        <f>'Dry_Litterbag Placem_Collection'!B8</f>
        <v>Makao</v>
      </c>
      <c r="E667" s="253" t="s">
        <v>2643</v>
      </c>
      <c r="F667" s="253" t="s">
        <v>2644</v>
      </c>
      <c r="G667" s="253">
        <v>1</v>
      </c>
      <c r="H667" s="253" t="s">
        <v>3099</v>
      </c>
      <c r="I667" s="254" t="str">
        <f>'Dry_Litterbag Placem_Collection'!C8</f>
        <v>Dry_Ag1_T6</v>
      </c>
      <c r="J667" s="263" t="s">
        <v>2932</v>
      </c>
      <c r="K667" s="264" t="s">
        <v>298</v>
      </c>
      <c r="L667" s="221" t="str">
        <f>'WetLitterbags placem_collection'!Q8</f>
        <v>R59</v>
      </c>
      <c r="M667" s="223">
        <f>IFERROR(INDEX('Green_rooibos initial weight'!$C$5:$C$2000,MATCH(L667, 'Green_rooibos initial weight'!$A$5:$A$2000,0)),"")</f>
        <v>2.2029999999999998</v>
      </c>
      <c r="N667" s="223">
        <f>IFERROR(M667-(TBIcalc!$H$9+TBIcalc!$H$10),"")</f>
        <v>1.9531999999999998</v>
      </c>
      <c r="O667" s="378">
        <f>AVERAGE(Ashed_controlls!$K$2:$K$11)</f>
        <v>5.5147656768714146</v>
      </c>
      <c r="P667" s="223">
        <f t="shared" si="51"/>
        <v>1.8454855967993473</v>
      </c>
      <c r="Q667" s="223">
        <f>IFERROR(INDEX('Both teabags AfterWet'!$C$3:$C$840,MATCH(L667,'Both teabags AfterWet'!$A$3:$A$840,0)),"")</f>
        <v>1.4990000000000001</v>
      </c>
      <c r="R667" s="223">
        <f>IFERROR(IF(Q667&gt;0,Q667-(TBIcalc!$H$9),""),"")</f>
        <v>1.3484</v>
      </c>
      <c r="S667" s="223">
        <f>IFERROR(INDEX('Ashed teabags wet'!$K$2:$K$2000,MATCH(L667,'Ashed teabags wet'!$A$2:$A$2000,0)),"")</f>
        <v>5.3641732283467132</v>
      </c>
      <c r="T667" s="223">
        <f t="shared" si="52"/>
        <v>1.2760694881889729</v>
      </c>
      <c r="U667" s="224">
        <f>'WetLitterbags placem_collection'!E8</f>
        <v>42766</v>
      </c>
      <c r="V667" s="224">
        <f>IF('WetLitterbags placem_collection'!G8="","",'WetLitterbags placem_collection'!G8)</f>
        <v>42818</v>
      </c>
      <c r="W667" s="225">
        <f t="shared" si="50"/>
        <v>52</v>
      </c>
      <c r="X667" s="223">
        <f t="shared" si="53"/>
        <v>0.60479999999999978</v>
      </c>
      <c r="Y667" s="223">
        <f t="shared" si="54"/>
        <v>0.56941610861037439</v>
      </c>
      <c r="Z667">
        <f>IFERROR(INDEX([1]Rainfall_Wet!$O$2:$O$217,MATCH(C667, [1]Rainfall_Wet!$A$2:$A$217,0)),"")</f>
        <v>194.43839254400001</v>
      </c>
      <c r="AA667" s="226">
        <v>12.565665055683967</v>
      </c>
      <c r="AB667" s="226">
        <v>0.9665896196679955</v>
      </c>
      <c r="AC667" s="226">
        <v>86.467745324648035</v>
      </c>
      <c r="AD667" s="227" t="s">
        <v>2653</v>
      </c>
      <c r="AE667" s="226">
        <v>6.02257269590931</v>
      </c>
      <c r="AF667">
        <f>IF('WetLitterbags placem_collection'!AB8="","",'WetLitterbags placem_collection'!AB8)</f>
        <v>32.4</v>
      </c>
      <c r="AG667">
        <f>IF('WetLitterbags placem_collection'!Z8="","",'WetLitterbags placem_collection'!Z8)</f>
        <v>31</v>
      </c>
      <c r="AH667" s="236" t="str">
        <f>IF('WetLitterbags placem_collection'!AA8="","",'WetLitterbags placem_collection'!AA8)</f>
        <v>M</v>
      </c>
      <c r="AI667">
        <f>IF('WetLitterbags placem_collection'!AC8="","",'WetLitterbags placem_collection'!AC8)</f>
        <v>1</v>
      </c>
      <c r="AJ667">
        <f>AVERAGE('WetLitterbags placem_collection'!S8,'WetLitterbags placem_collection'!U8)</f>
        <v>13.45</v>
      </c>
      <c r="AK667">
        <f>AVERAGE('WetLitterbags placem_collection'!R8,'WetLitterbags placem_collection'!T8)</f>
        <v>25.1</v>
      </c>
      <c r="AL667">
        <f>INDEX([2]Coordinates!$B$2:$B$197,MATCH(I667,[2]Coordinates!$J$2:$J$197,0))</f>
        <v>-3.3977389800000002</v>
      </c>
      <c r="AM667">
        <f>INDEX([2]Coordinates!$C$2:$C$197,MATCH(I667,[2]Coordinates!$J$2:$J$197,0))</f>
        <v>34.837501979999999</v>
      </c>
      <c r="AN667" t="str">
        <f>IF(ISNUMBER(SEARCH("C", 'WetLitterbags placem_collection'!$Y8)),"YES","NO")</f>
        <v>NO</v>
      </c>
      <c r="AO667" t="str">
        <f>IF(ISNUMBER(SEARCH("H", 'WetLitterbags placem_collection'!$Y8)),"YES","NO")</f>
        <v>NO</v>
      </c>
      <c r="AP667" t="str">
        <f>IF(ISNUMBER(SEARCH("R", 'WetLitterbags placem_collection'!$Y8)),"YES","NO")</f>
        <v>YES</v>
      </c>
    </row>
    <row r="668" spans="1:42" ht="15" customHeight="1">
      <c r="A668" t="s">
        <v>3248</v>
      </c>
      <c r="B668" s="248" t="s">
        <v>2454</v>
      </c>
      <c r="C668" s="253">
        <f>'Dry_Litterbag Placem_Collection'!A9</f>
        <v>7</v>
      </c>
      <c r="D668" s="253" t="str">
        <f>'Dry_Litterbag Placem_Collection'!B9</f>
        <v>Makao</v>
      </c>
      <c r="E668" s="253" t="s">
        <v>2643</v>
      </c>
      <c r="F668" s="253" t="s">
        <v>2644</v>
      </c>
      <c r="G668" s="253">
        <v>1</v>
      </c>
      <c r="H668" s="253" t="s">
        <v>3099</v>
      </c>
      <c r="I668" s="254" t="str">
        <f>'Dry_Litterbag Placem_Collection'!C9</f>
        <v>Dry_Ag1_T7</v>
      </c>
      <c r="J668" s="263" t="s">
        <v>2932</v>
      </c>
      <c r="K668" s="264" t="s">
        <v>298</v>
      </c>
      <c r="L668" s="221" t="str">
        <f>'WetLitterbags placem_collection'!Q9</f>
        <v>R398</v>
      </c>
      <c r="M668" s="223">
        <f>IFERROR(INDEX('Green_rooibos initial weight'!$C$5:$C$2000,MATCH(L668, 'Green_rooibos initial weight'!$A$5:$A$2000,0)),"")</f>
        <v>2.19</v>
      </c>
      <c r="N668" s="223">
        <f>IFERROR(M668-(TBIcalc!$H$9+TBIcalc!$H$10),"")</f>
        <v>1.9401999999999999</v>
      </c>
      <c r="O668" s="378">
        <f>AVERAGE(Ashed_controlls!$K$2:$K$11)</f>
        <v>5.5147656768714146</v>
      </c>
      <c r="P668" s="223">
        <f t="shared" si="51"/>
        <v>1.8332025163373407</v>
      </c>
      <c r="Q668" s="223">
        <f>IFERROR(INDEX('Both teabags AfterWet'!$C$3:$C$840,MATCH(L668,'Both teabags AfterWet'!$A$3:$A$840,0)),"")</f>
        <v>1.518</v>
      </c>
      <c r="R668" s="223">
        <f>IFERROR(IF(Q668&gt;0,Q668-(TBIcalc!$H$9),""),"")</f>
        <v>1.3673999999999999</v>
      </c>
      <c r="S668" s="223">
        <f>IFERROR(INDEX('Ashed teabags wet'!$K$2:$K$2000,MATCH(L668,'Ashed teabags wet'!$A$2:$A$2000,0)),"")</f>
        <v>3.7092731829574301</v>
      </c>
      <c r="T668" s="223">
        <f t="shared" si="52"/>
        <v>1.3166793984962402</v>
      </c>
      <c r="U668" s="224">
        <f>'WetLitterbags placem_collection'!E9</f>
        <v>42766</v>
      </c>
      <c r="V668" s="224">
        <f>IF('WetLitterbags placem_collection'!G9="","",'WetLitterbags placem_collection'!G9)</f>
        <v>42818</v>
      </c>
      <c r="W668" s="225">
        <f t="shared" si="50"/>
        <v>52</v>
      </c>
      <c r="X668" s="223">
        <f t="shared" si="53"/>
        <v>0.57279999999999998</v>
      </c>
      <c r="Y668" s="223">
        <f t="shared" si="54"/>
        <v>0.5165231178411005</v>
      </c>
      <c r="Z668">
        <f>IFERROR(INDEX([1]Rainfall_Wet!$O$2:$O$217,MATCH(C668, [1]Rainfall_Wet!$A$2:$A$217,0)),"")</f>
        <v>194.43839254400001</v>
      </c>
      <c r="AA668" s="226">
        <v>12.565665055683967</v>
      </c>
      <c r="AB668" s="226">
        <v>0.9665896196679955</v>
      </c>
      <c r="AC668" s="226">
        <v>86.467745324648035</v>
      </c>
      <c r="AD668" s="227" t="s">
        <v>2653</v>
      </c>
      <c r="AE668" s="226">
        <v>7.02257269590931</v>
      </c>
      <c r="AF668">
        <f>IF('WetLitterbags placem_collection'!AB9="","",'WetLitterbags placem_collection'!AB9)</f>
        <v>36</v>
      </c>
      <c r="AG668">
        <f>IF('WetLitterbags placem_collection'!Z9="","",'WetLitterbags placem_collection'!Z9)</f>
        <v>43.4</v>
      </c>
      <c r="AH668" s="236" t="str">
        <f>IF('WetLitterbags placem_collection'!AA9="","",'WetLitterbags placem_collection'!AA9)</f>
        <v>M</v>
      </c>
      <c r="AI668">
        <f>IF('WetLitterbags placem_collection'!AC9="","",'WetLitterbags placem_collection'!AC9)</f>
        <v>1</v>
      </c>
      <c r="AJ668">
        <f>AVERAGE('WetLitterbags placem_collection'!S9,'WetLitterbags placem_collection'!U9)</f>
        <v>9.8500000000000014</v>
      </c>
      <c r="AK668">
        <f>AVERAGE('WetLitterbags placem_collection'!R9,'WetLitterbags placem_collection'!T9)</f>
        <v>26.2</v>
      </c>
      <c r="AL668">
        <f>INDEX([2]Coordinates!$B$2:$B$197,MATCH(I668,[2]Coordinates!$J$2:$J$197,0))</f>
        <v>-3.3977630360000002</v>
      </c>
      <c r="AM668">
        <f>INDEX([2]Coordinates!$C$2:$C$197,MATCH(I668,[2]Coordinates!$J$2:$J$197,0))</f>
        <v>34.837600969999997</v>
      </c>
      <c r="AN668" t="str">
        <f>IF(ISNUMBER(SEARCH("C", 'WetLitterbags placem_collection'!$Y9)),"YES","NO")</f>
        <v>NO</v>
      </c>
      <c r="AO668" t="str">
        <f>IF(ISNUMBER(SEARCH("H", 'WetLitterbags placem_collection'!$Y9)),"YES","NO")</f>
        <v>NO</v>
      </c>
      <c r="AP668" t="str">
        <f>IF(ISNUMBER(SEARCH("R", 'WetLitterbags placem_collection'!$Y9)),"YES","NO")</f>
        <v>YES</v>
      </c>
    </row>
    <row r="669" spans="1:42" ht="15" customHeight="1">
      <c r="A669" t="s">
        <v>3248</v>
      </c>
      <c r="B669" s="248" t="s">
        <v>2454</v>
      </c>
      <c r="C669" s="253">
        <f>'Dry_Litterbag Placem_Collection'!A10</f>
        <v>8</v>
      </c>
      <c r="D669" s="253" t="str">
        <f>'Dry_Litterbag Placem_Collection'!B10</f>
        <v>Makao</v>
      </c>
      <c r="E669" s="253" t="s">
        <v>2643</v>
      </c>
      <c r="F669" s="253" t="s">
        <v>2644</v>
      </c>
      <c r="G669" s="253">
        <v>1</v>
      </c>
      <c r="H669" s="253" t="s">
        <v>3099</v>
      </c>
      <c r="I669" s="254" t="str">
        <f>'Dry_Litterbag Placem_Collection'!C10</f>
        <v>Dry_Ag1_T8</v>
      </c>
      <c r="J669" s="263" t="s">
        <v>2932</v>
      </c>
      <c r="K669" s="264" t="s">
        <v>298</v>
      </c>
      <c r="L669" s="221" t="str">
        <f>'WetLitterbags placem_collection'!Q10</f>
        <v>R512</v>
      </c>
      <c r="M669" s="223">
        <f>IFERROR(INDEX('Green_rooibos initial weight'!$C$5:$C$2000,MATCH(L669, 'Green_rooibos initial weight'!$A$5:$A$2000,0)),"")</f>
        <v>2.1509999999999998</v>
      </c>
      <c r="N669" s="223">
        <f>IFERROR(M669-(TBIcalc!$H$9+TBIcalc!$H$10),"")</f>
        <v>1.9011999999999998</v>
      </c>
      <c r="O669" s="378">
        <f>AVERAGE(Ashed_controlls!$K$2:$K$11)</f>
        <v>5.5147656768714146</v>
      </c>
      <c r="P669" s="223">
        <f t="shared" si="51"/>
        <v>1.7963532749513205</v>
      </c>
      <c r="Q669" s="223">
        <f>IFERROR(INDEX('Both teabags AfterWet'!$C$3:$C$840,MATCH(L669,'Both teabags AfterWet'!$A$3:$A$840,0)),"")</f>
        <v>1.4733000000000001</v>
      </c>
      <c r="R669" s="223">
        <f>IFERROR(IF(Q669&gt;0,Q669-(TBIcalc!$H$9),""),"")</f>
        <v>1.3227</v>
      </c>
      <c r="S669" s="223">
        <f>IFERROR(INDEX('Ashed teabags wet'!$K$2:$K$2000,MATCH(L669,'Ashed teabags wet'!$A$2:$A$2000,0)),"")</f>
        <v>3.0097087378641909</v>
      </c>
      <c r="T669" s="223">
        <f t="shared" si="52"/>
        <v>1.2828905825242702</v>
      </c>
      <c r="U669" s="224">
        <f>'WetLitterbags placem_collection'!E10</f>
        <v>42766</v>
      </c>
      <c r="V669" s="224">
        <f>IF('WetLitterbags placem_collection'!G10="","",'WetLitterbags placem_collection'!G10)</f>
        <v>42818</v>
      </c>
      <c r="W669" s="225">
        <f t="shared" si="50"/>
        <v>52</v>
      </c>
      <c r="X669" s="223">
        <f t="shared" si="53"/>
        <v>0.57849999999999979</v>
      </c>
      <c r="Y669" s="223">
        <f t="shared" si="54"/>
        <v>0.51346269242705023</v>
      </c>
      <c r="Z669">
        <f>IFERROR(INDEX([1]Rainfall_Wet!$O$2:$O$217,MATCH(C669, [1]Rainfall_Wet!$A$2:$A$217,0)),"")</f>
        <v>194.43839254400001</v>
      </c>
      <c r="AA669" s="226">
        <v>12.565665055683967</v>
      </c>
      <c r="AB669" s="226">
        <v>0.9665896196679955</v>
      </c>
      <c r="AC669" s="226">
        <v>86.467745324648035</v>
      </c>
      <c r="AD669" s="227" t="s">
        <v>2653</v>
      </c>
      <c r="AE669" s="226">
        <v>8.0225726959093109</v>
      </c>
      <c r="AF669">
        <f>IF('WetLitterbags placem_collection'!AB10="","",'WetLitterbags placem_collection'!AB10)</f>
        <v>36</v>
      </c>
      <c r="AG669">
        <f>IF('WetLitterbags placem_collection'!Z10="","",'WetLitterbags placem_collection'!Z10)</f>
        <v>38.4</v>
      </c>
      <c r="AH669" s="236" t="str">
        <f>IF('WetLitterbags placem_collection'!AA10="","",'WetLitterbags placem_collection'!AA10)</f>
        <v>M</v>
      </c>
      <c r="AI669" t="str">
        <f>IF('WetLitterbags placem_collection'!AC10="","",'WetLitterbags placem_collection'!AC10)</f>
        <v/>
      </c>
      <c r="AJ669">
        <f>AVERAGE('WetLitterbags placem_collection'!S10,'WetLitterbags placem_collection'!U10)</f>
        <v>10.600000000000001</v>
      </c>
      <c r="AK669">
        <f>AVERAGE('WetLitterbags placem_collection'!R10,'WetLitterbags placem_collection'!T10)</f>
        <v>25.5</v>
      </c>
      <c r="AL669">
        <f>INDEX([2]Coordinates!$B$2:$B$197,MATCH(I669,[2]Coordinates!$J$2:$J$197,0))</f>
        <v>-3.3977320230000001</v>
      </c>
      <c r="AM669">
        <f>INDEX([2]Coordinates!$C$2:$C$197,MATCH(I669,[2]Coordinates!$J$2:$J$197,0))</f>
        <v>34.837561989999998</v>
      </c>
      <c r="AN669" t="str">
        <f>IF(ISNUMBER(SEARCH("C", 'WetLitterbags placem_collection'!$Y10)),"YES","NO")</f>
        <v>NO</v>
      </c>
      <c r="AO669" t="str">
        <f>IF(ISNUMBER(SEARCH("H", 'WetLitterbags placem_collection'!$Y10)),"YES","NO")</f>
        <v>NO</v>
      </c>
      <c r="AP669" t="str">
        <f>IF(ISNUMBER(SEARCH("R", 'WetLitterbags placem_collection'!$Y10)),"YES","NO")</f>
        <v>NO</v>
      </c>
    </row>
    <row r="670" spans="1:42" ht="15" customHeight="1">
      <c r="A670" t="s">
        <v>3248</v>
      </c>
      <c r="B670" s="248" t="s">
        <v>2454</v>
      </c>
      <c r="C670" s="253">
        <f>'Dry_Litterbag Placem_Collection'!A11</f>
        <v>9</v>
      </c>
      <c r="D670" s="253" t="str">
        <f>'Dry_Litterbag Placem_Collection'!B11</f>
        <v>Makao</v>
      </c>
      <c r="E670" s="253" t="s">
        <v>2643</v>
      </c>
      <c r="F670" s="253" t="s">
        <v>2644</v>
      </c>
      <c r="G670" s="253">
        <v>2</v>
      </c>
      <c r="H670" s="253" t="s">
        <v>3103</v>
      </c>
      <c r="I670" s="254" t="str">
        <f>'Dry_Litterbag Placem_Collection'!C11</f>
        <v>Dry_Ag2_T1</v>
      </c>
      <c r="J670" s="263" t="s">
        <v>2932</v>
      </c>
      <c r="K670" s="264" t="s">
        <v>298</v>
      </c>
      <c r="L670" s="221" t="str">
        <f>'WetLitterbags placem_collection'!Q11</f>
        <v>R101</v>
      </c>
      <c r="M670" s="223">
        <f>IFERROR(INDEX('Green_rooibos initial weight'!$C$5:$C$2000,MATCH(L670, 'Green_rooibos initial weight'!$A$5:$A$2000,0)),"")</f>
        <v>2.3039999999999998</v>
      </c>
      <c r="N670" s="223">
        <f>IFERROR(M670-(TBIcalc!$H$9+TBIcalc!$H$10),"")</f>
        <v>2.0541999999999998</v>
      </c>
      <c r="O670" s="378">
        <f>AVERAGE(Ashed_controlls!$K$2:$K$11)</f>
        <v>5.5147656768714146</v>
      </c>
      <c r="P670" s="223">
        <f t="shared" si="51"/>
        <v>1.9409156834657073</v>
      </c>
      <c r="Q670" s="223">
        <f>IFERROR(INDEX('Both teabags AfterWet'!$C$3:$C$840,MATCH(L670,'Both teabags AfterWet'!$A$3:$A$840,0)),"")</f>
        <v>1.5383</v>
      </c>
      <c r="R670" s="223">
        <f>IFERROR(IF(Q670&gt;0,Q670-(TBIcalc!$H$9),""),"")</f>
        <v>1.3876999999999999</v>
      </c>
      <c r="S670" s="223">
        <f>IFERROR(INDEX('Ashed teabags wet'!$K$2:$K$2000,MATCH(L670,'Ashed teabags wet'!$A$2:$A$2000,0)),"")</f>
        <v>6.1446977205149187</v>
      </c>
      <c r="T670" s="223">
        <f t="shared" si="52"/>
        <v>1.3024300297324145</v>
      </c>
      <c r="U670" s="224">
        <f>'WetLitterbags placem_collection'!E11</f>
        <v>42766</v>
      </c>
      <c r="V670" s="224">
        <f>IF('WetLitterbags placem_collection'!G11="","",'WetLitterbags placem_collection'!G11)</f>
        <v>42818</v>
      </c>
      <c r="W670" s="225">
        <f t="shared" si="50"/>
        <v>52</v>
      </c>
      <c r="X670" s="223">
        <f t="shared" si="53"/>
        <v>0.66649999999999987</v>
      </c>
      <c r="Y670" s="223">
        <f t="shared" si="54"/>
        <v>0.6384856537332928</v>
      </c>
      <c r="Z670">
        <f>IFERROR(INDEX([1]Rainfall_Wet!$O$2:$O$217,MATCH(C670, [1]Rainfall_Wet!$A$2:$A$217,0)),"")</f>
        <v>194.43839254400001</v>
      </c>
      <c r="AA670" s="226">
        <v>21.13063730679653</v>
      </c>
      <c r="AB670" s="226">
        <v>3.0912555579081076</v>
      </c>
      <c r="AC670" s="226">
        <v>75.778107135295357</v>
      </c>
      <c r="AD670" s="227" t="s">
        <v>2651</v>
      </c>
      <c r="AE670" s="226">
        <v>0.46131099063578063</v>
      </c>
      <c r="AF670">
        <f>IF('WetLitterbags placem_collection'!AB11="","",'WetLitterbags placem_collection'!AB11)</f>
        <v>10.8</v>
      </c>
      <c r="AG670">
        <f>IF('WetLitterbags placem_collection'!Z11="","",'WetLitterbags placem_collection'!Z11)</f>
        <v>28.4</v>
      </c>
      <c r="AH670" s="236" t="str">
        <f>IF('WetLitterbags placem_collection'!AA11="","",'WetLitterbags placem_collection'!AA11)</f>
        <v>M</v>
      </c>
      <c r="AI670">
        <f>IF('WetLitterbags placem_collection'!AC11="","",'WetLitterbags placem_collection'!AC11)</f>
        <v>0</v>
      </c>
      <c r="AJ670">
        <f>AVERAGE('WetLitterbags placem_collection'!S11,'WetLitterbags placem_collection'!U11)</f>
        <v>14.5</v>
      </c>
      <c r="AK670">
        <f>AVERAGE('WetLitterbags placem_collection'!R11,'WetLitterbags placem_collection'!T11)</f>
        <v>24.4</v>
      </c>
      <c r="AL670">
        <f>INDEX([2]Coordinates!$B$2:$B$197,MATCH(I670,[2]Coordinates!$J$2:$J$197,0))</f>
        <v>-3.3978290019999999</v>
      </c>
      <c r="AM670">
        <f>INDEX([2]Coordinates!$C$2:$C$197,MATCH(I670,[2]Coordinates!$J$2:$J$197,0))</f>
        <v>34.837011969999999</v>
      </c>
      <c r="AN670" t="str">
        <f>IF(ISNUMBER(SEARCH("C", 'WetLitterbags placem_collection'!$Y11)),"YES","NO")</f>
        <v>NO</v>
      </c>
      <c r="AO670" t="str">
        <f>IF(ISNUMBER(SEARCH("H", 'WetLitterbags placem_collection'!$Y11)),"YES","NO")</f>
        <v>NO</v>
      </c>
      <c r="AP670" t="str">
        <f>IF(ISNUMBER(SEARCH("R", 'WetLitterbags placem_collection'!$Y11)),"YES","NO")</f>
        <v>NO</v>
      </c>
    </row>
    <row r="671" spans="1:42" ht="15" customHeight="1">
      <c r="A671" t="s">
        <v>3248</v>
      </c>
      <c r="B671" s="248" t="s">
        <v>2454</v>
      </c>
      <c r="C671" s="253">
        <f>'Dry_Litterbag Placem_Collection'!A12</f>
        <v>10</v>
      </c>
      <c r="D671" s="253" t="str">
        <f>'Dry_Litterbag Placem_Collection'!B12</f>
        <v>Makao</v>
      </c>
      <c r="E671" s="253" t="s">
        <v>2643</v>
      </c>
      <c r="F671" s="253" t="s">
        <v>2644</v>
      </c>
      <c r="G671" s="253">
        <v>2</v>
      </c>
      <c r="H671" s="253" t="s">
        <v>3103</v>
      </c>
      <c r="I671" s="254" t="str">
        <f>'Dry_Litterbag Placem_Collection'!C12</f>
        <v>Dry_Ag2_T2</v>
      </c>
      <c r="J671" s="263" t="s">
        <v>2932</v>
      </c>
      <c r="K671" s="264" t="s">
        <v>298</v>
      </c>
      <c r="L671" s="221" t="str">
        <f>'WetLitterbags placem_collection'!Q12</f>
        <v>R515</v>
      </c>
      <c r="M671" s="223">
        <f>IFERROR(INDEX('Green_rooibos initial weight'!$C$5:$C$2000,MATCH(L671, 'Green_rooibos initial weight'!$A$5:$A$2000,0)),"")</f>
        <v>2.2050000000000001</v>
      </c>
      <c r="N671" s="223">
        <f>IFERROR(M671-(TBIcalc!$H$9+TBIcalc!$H$10),"")</f>
        <v>1.9552</v>
      </c>
      <c r="O671" s="378">
        <f>AVERAGE(Ashed_controlls!$K$2:$K$11)</f>
        <v>5.5147656768714146</v>
      </c>
      <c r="P671" s="223">
        <f t="shared" si="51"/>
        <v>1.8473753014858101</v>
      </c>
      <c r="Q671" s="223">
        <f>IFERROR(INDEX('Both teabags AfterWet'!$C$3:$C$840,MATCH(L671,'Both teabags AfterWet'!$A$3:$A$840,0)),"")</f>
        <v>1.3853</v>
      </c>
      <c r="R671" s="223">
        <f>IFERROR(IF(Q671&gt;0,Q671-(TBIcalc!$H$9),""),"")</f>
        <v>1.2346999999999999</v>
      </c>
      <c r="S671" s="223">
        <f>IFERROR(INDEX('Ashed teabags wet'!$K$2:$K$2000,MATCH(L671,'Ashed teabags wet'!$A$2:$A$2000,0)),"")</f>
        <v>4.2016806722691449</v>
      </c>
      <c r="T671" s="223">
        <f t="shared" si="52"/>
        <v>1.1828218487394928</v>
      </c>
      <c r="U671" s="224">
        <f>'WetLitterbags placem_collection'!E12</f>
        <v>42766</v>
      </c>
      <c r="V671" s="224">
        <f>IF('WetLitterbags placem_collection'!G12="","",'WetLitterbags placem_collection'!G12)</f>
        <v>42818</v>
      </c>
      <c r="W671" s="225">
        <f t="shared" si="50"/>
        <v>52</v>
      </c>
      <c r="X671" s="223">
        <f t="shared" si="53"/>
        <v>0.72050000000000014</v>
      </c>
      <c r="Y671" s="223">
        <f t="shared" si="54"/>
        <v>0.66455345274631727</v>
      </c>
      <c r="Z671">
        <f>IFERROR(INDEX([1]Rainfall_Wet!$O$2:$O$217,MATCH(C671, [1]Rainfall_Wet!$A$2:$A$217,0)),"")</f>
        <v>194.43839254400001</v>
      </c>
      <c r="AA671" s="226">
        <v>21.13063730679653</v>
      </c>
      <c r="AB671" s="226">
        <v>3.0912555579081076</v>
      </c>
      <c r="AC671" s="226">
        <v>75.778107135295357</v>
      </c>
      <c r="AD671" s="227" t="s">
        <v>2651</v>
      </c>
      <c r="AE671" s="226">
        <v>1.46131099063578</v>
      </c>
      <c r="AF671">
        <f>IF('WetLitterbags placem_collection'!AB12="","",'WetLitterbags placem_collection'!AB12)</f>
        <v>16.8</v>
      </c>
      <c r="AG671">
        <f>IF('WetLitterbags placem_collection'!Z12="","",'WetLitterbags placem_collection'!Z12)</f>
        <v>30</v>
      </c>
      <c r="AH671" s="236" t="str">
        <f>IF('WetLitterbags placem_collection'!AA12="","",'WetLitterbags placem_collection'!AA12)</f>
        <v>M</v>
      </c>
      <c r="AI671">
        <f>IF('WetLitterbags placem_collection'!AC12="","",'WetLitterbags placem_collection'!AC12)</f>
        <v>0</v>
      </c>
      <c r="AJ671">
        <f>AVERAGE('WetLitterbags placem_collection'!S12,'WetLitterbags placem_collection'!U12)</f>
        <v>14.649999999999999</v>
      </c>
      <c r="AK671">
        <f>AVERAGE('WetLitterbags placem_collection'!R12,'WetLitterbags placem_collection'!T12)</f>
        <v>24.299999999999997</v>
      </c>
      <c r="AL671">
        <f>INDEX([2]Coordinates!$B$2:$B$197,MATCH(I671,[2]Coordinates!$J$2:$J$197,0))</f>
        <v>-3.3978119869999999</v>
      </c>
      <c r="AM671">
        <f>INDEX([2]Coordinates!$C$2:$C$197,MATCH(I671,[2]Coordinates!$J$2:$J$197,0))</f>
        <v>34.836968980000002</v>
      </c>
      <c r="AN671" t="str">
        <f>IF(ISNUMBER(SEARCH("C", 'WetLitterbags placem_collection'!$Y12)),"YES","NO")</f>
        <v>NO</v>
      </c>
      <c r="AO671" t="str">
        <f>IF(ISNUMBER(SEARCH("H", 'WetLitterbags placem_collection'!$Y12)),"YES","NO")</f>
        <v>NO</v>
      </c>
      <c r="AP671" t="str">
        <f>IF(ISNUMBER(SEARCH("R", 'WetLitterbags placem_collection'!$Y12)),"YES","NO")</f>
        <v>NO</v>
      </c>
    </row>
    <row r="672" spans="1:42" ht="15" customHeight="1">
      <c r="A672" t="s">
        <v>3248</v>
      </c>
      <c r="B672" s="248" t="s">
        <v>2454</v>
      </c>
      <c r="C672" s="253">
        <f>'Dry_Litterbag Placem_Collection'!A13</f>
        <v>11</v>
      </c>
      <c r="D672" s="253" t="str">
        <f>'Dry_Litterbag Placem_Collection'!B13</f>
        <v>Makao</v>
      </c>
      <c r="E672" s="253" t="s">
        <v>2643</v>
      </c>
      <c r="F672" s="253" t="s">
        <v>2644</v>
      </c>
      <c r="G672" s="253">
        <v>2</v>
      </c>
      <c r="H672" s="253" t="s">
        <v>3103</v>
      </c>
      <c r="I672" s="254" t="str">
        <f>'Dry_Litterbag Placem_Collection'!C13</f>
        <v>Dry_Ag2_T3</v>
      </c>
      <c r="J672" s="263" t="s">
        <v>2932</v>
      </c>
      <c r="K672" s="264" t="s">
        <v>298</v>
      </c>
      <c r="L672" s="221" t="str">
        <f>'WetLitterbags placem_collection'!Q13</f>
        <v>R2</v>
      </c>
      <c r="M672" s="223">
        <f>IFERROR(INDEX('Green_rooibos initial weight'!$C$5:$C$2000,MATCH(L672, 'Green_rooibos initial weight'!$A$5:$A$2000,0)),"")</f>
        <v>2.2679999999999998</v>
      </c>
      <c r="N672" s="223">
        <f>IFERROR(M672-(TBIcalc!$H$9+TBIcalc!$H$10),"")</f>
        <v>2.0181999999999998</v>
      </c>
      <c r="O672" s="378">
        <f>AVERAGE(Ashed_controlls!$K$2:$K$11)</f>
        <v>5.5147656768714146</v>
      </c>
      <c r="P672" s="223">
        <f t="shared" si="51"/>
        <v>1.9069009991093808</v>
      </c>
      <c r="Q672" s="223">
        <f>IFERROR(INDEX('Both teabags AfterWet'!$C$3:$C$840,MATCH(L672,'Both teabags AfterWet'!$A$3:$A$840,0)),"")</f>
        <v>1.43</v>
      </c>
      <c r="R672" s="223">
        <f>IFERROR(IF(Q672&gt;0,Q672-(TBIcalc!$H$9),""),"")</f>
        <v>1.2793999999999999</v>
      </c>
      <c r="S672" s="223">
        <f>IFERROR(INDEX('Ashed teabags wet'!$K$2:$K$2000,MATCH(L672,'Ashed teabags wet'!$A$2:$A$2000,0)),"")</f>
        <v>4.6087373979834227</v>
      </c>
      <c r="T672" s="223">
        <f t="shared" si="52"/>
        <v>1.2204358137302</v>
      </c>
      <c r="U672" s="224">
        <f>'WetLitterbags placem_collection'!E13</f>
        <v>42766</v>
      </c>
      <c r="V672" s="224">
        <f>IF('WetLitterbags placem_collection'!G13="","",'WetLitterbags placem_collection'!G13)</f>
        <v>42818</v>
      </c>
      <c r="W672" s="225">
        <f t="shared" si="50"/>
        <v>52</v>
      </c>
      <c r="X672" s="223">
        <f t="shared" si="53"/>
        <v>0.7387999999999999</v>
      </c>
      <c r="Y672" s="223">
        <f t="shared" si="54"/>
        <v>0.68646518537918078</v>
      </c>
      <c r="Z672">
        <f>IFERROR(INDEX([1]Rainfall_Wet!$O$2:$O$217,MATCH(C672, [1]Rainfall_Wet!$A$2:$A$217,0)),"")</f>
        <v>194.43839254400001</v>
      </c>
      <c r="AA672" s="226">
        <v>21.13063730679653</v>
      </c>
      <c r="AB672" s="226">
        <v>3.0912555579081076</v>
      </c>
      <c r="AC672" s="226">
        <v>75.778107135295357</v>
      </c>
      <c r="AD672" s="227" t="s">
        <v>2651</v>
      </c>
      <c r="AE672" s="226">
        <v>2.4613109906357802</v>
      </c>
      <c r="AF672">
        <f>IF('WetLitterbags placem_collection'!AB13="","",'WetLitterbags placem_collection'!AB13)</f>
        <v>11.4</v>
      </c>
      <c r="AG672">
        <f>IF('WetLitterbags placem_collection'!Z13="","",'WetLitterbags placem_collection'!Z13)</f>
        <v>24.4</v>
      </c>
      <c r="AH672" s="236" t="str">
        <f>IF('WetLitterbags placem_collection'!AA13="","",'WetLitterbags placem_collection'!AA13)</f>
        <v>M</v>
      </c>
      <c r="AI672">
        <f>IF('WetLitterbags placem_collection'!AC13="","",'WetLitterbags placem_collection'!AC13)</f>
        <v>0</v>
      </c>
      <c r="AJ672">
        <f>AVERAGE('WetLitterbags placem_collection'!S13,'WetLitterbags placem_collection'!U13)</f>
        <v>21.1</v>
      </c>
      <c r="AK672">
        <f>AVERAGE('WetLitterbags placem_collection'!R13,'WetLitterbags placem_collection'!T13)</f>
        <v>24.05</v>
      </c>
      <c r="AL672">
        <f>INDEX([2]Coordinates!$B$2:$B$197,MATCH(I672,[2]Coordinates!$J$2:$J$197,0))</f>
        <v>-3.3977929599999999</v>
      </c>
      <c r="AM672">
        <f>INDEX([2]Coordinates!$C$2:$C$197,MATCH(I672,[2]Coordinates!$J$2:$J$197,0))</f>
        <v>34.837102999999999</v>
      </c>
      <c r="AN672" t="str">
        <f>IF(ISNUMBER(SEARCH("C", 'WetLitterbags placem_collection'!$Y13)),"YES","NO")</f>
        <v>NO</v>
      </c>
      <c r="AO672" t="str">
        <f>IF(ISNUMBER(SEARCH("H", 'WetLitterbags placem_collection'!$Y13)),"YES","NO")</f>
        <v>NO</v>
      </c>
      <c r="AP672" t="str">
        <f>IF(ISNUMBER(SEARCH("R", 'WetLitterbags placem_collection'!$Y13)),"YES","NO")</f>
        <v>NO</v>
      </c>
    </row>
    <row r="673" spans="1:42" ht="15" customHeight="1">
      <c r="A673" t="s">
        <v>3248</v>
      </c>
      <c r="B673" s="248" t="s">
        <v>2454</v>
      </c>
      <c r="C673" s="253">
        <f>'Dry_Litterbag Placem_Collection'!A14</f>
        <v>12</v>
      </c>
      <c r="D673" s="253" t="str">
        <f>'Dry_Litterbag Placem_Collection'!B14</f>
        <v>Makao</v>
      </c>
      <c r="E673" s="253" t="s">
        <v>2643</v>
      </c>
      <c r="F673" s="253" t="s">
        <v>2644</v>
      </c>
      <c r="G673" s="253">
        <v>2</v>
      </c>
      <c r="H673" s="253" t="s">
        <v>3103</v>
      </c>
      <c r="I673" s="254" t="str">
        <f>'Dry_Litterbag Placem_Collection'!C14</f>
        <v>Dry_Ag2_T4</v>
      </c>
      <c r="J673" s="263" t="s">
        <v>2932</v>
      </c>
      <c r="K673" s="264" t="s">
        <v>298</v>
      </c>
      <c r="L673" s="221" t="str">
        <f>'WetLitterbags placem_collection'!Q14</f>
        <v>R123</v>
      </c>
      <c r="M673" s="223">
        <f>IFERROR(INDEX('Green_rooibos initial weight'!$C$5:$C$2000,MATCH(L673, 'Green_rooibos initial weight'!$A$5:$A$2000,0)),"")</f>
        <v>2.2610000000000001</v>
      </c>
      <c r="N673" s="223">
        <f>IFERROR(M673-(TBIcalc!$H$9+TBIcalc!$H$10),"")</f>
        <v>2.0112000000000001</v>
      </c>
      <c r="O673" s="378">
        <f>AVERAGE(Ashed_controlls!$K$2:$K$11)</f>
        <v>5.5147656768714146</v>
      </c>
      <c r="P673" s="223">
        <f t="shared" si="51"/>
        <v>1.9002870327067622</v>
      </c>
      <c r="Q673" s="223" t="str">
        <f>IFERROR(INDEX('Both teabags AfterWet'!$C$3:$C$840,MATCH(L673,'Both teabags AfterWet'!$A$3:$A$840,0)),"")</f>
        <v/>
      </c>
      <c r="R673" s="223" t="str">
        <f>IFERROR(IF(Q673&gt;0,Q673-(TBIcalc!$H$9),""),"")</f>
        <v/>
      </c>
      <c r="S673" s="223" t="str">
        <f>IFERROR(INDEX('Ashed teabags wet'!$K$2:$K$2000,MATCH(L673,'Ashed teabags wet'!$A$2:$A$2000,0)),"")</f>
        <v/>
      </c>
      <c r="T673" s="223" t="str">
        <f t="shared" si="52"/>
        <v/>
      </c>
      <c r="U673" s="224">
        <f>'WetLitterbags placem_collection'!E14</f>
        <v>42766</v>
      </c>
      <c r="V673" s="224">
        <f>IF('WetLitterbags placem_collection'!G14="","",'WetLitterbags placem_collection'!G14)</f>
        <v>42818</v>
      </c>
      <c r="W673" s="225">
        <f t="shared" si="50"/>
        <v>52</v>
      </c>
      <c r="X673" s="223" t="str">
        <f t="shared" si="53"/>
        <v/>
      </c>
      <c r="Y673" s="223" t="str">
        <f t="shared" si="54"/>
        <v/>
      </c>
      <c r="Z673" t="str">
        <f>IFERROR(INDEX([1]Rainfall_Wet!$O$2:$O$217,MATCH(C673, [1]Rainfall_Wet!$A$2:$A$217,0)),"")</f>
        <v/>
      </c>
      <c r="AA673" s="226">
        <v>21.13063730679653</v>
      </c>
      <c r="AB673" s="226">
        <v>3.0912555579081076</v>
      </c>
      <c r="AC673" s="226">
        <v>75.778107135295357</v>
      </c>
      <c r="AD673" s="227" t="s">
        <v>2651</v>
      </c>
      <c r="AE673" s="226">
        <v>3.4613109906357802</v>
      </c>
      <c r="AF673" t="str">
        <f>IF('WetLitterbags placem_collection'!AB14="","",'WetLitterbags placem_collection'!AB14)</f>
        <v/>
      </c>
      <c r="AG673" t="str">
        <f>IF('WetLitterbags placem_collection'!Z14="","",'WetLitterbags placem_collection'!Z14)</f>
        <v/>
      </c>
      <c r="AH673" s="236" t="str">
        <f>IF('WetLitterbags placem_collection'!AA14="","",'WetLitterbags placem_collection'!AA14)</f>
        <v/>
      </c>
      <c r="AI673" t="str">
        <f>IF('WetLitterbags placem_collection'!AC14="","",'WetLitterbags placem_collection'!AC14)</f>
        <v/>
      </c>
      <c r="AJ673">
        <f>AVERAGE('WetLitterbags placem_collection'!S14,'WetLitterbags placem_collection'!U14)</f>
        <v>25.8</v>
      </c>
      <c r="AK673">
        <f>AVERAGE('WetLitterbags placem_collection'!R14,'WetLitterbags placem_collection'!T14)</f>
        <v>21.7</v>
      </c>
      <c r="AL673">
        <f>INDEX([2]Coordinates!$B$2:$B$197,MATCH(I673,[2]Coordinates!$J$2:$J$197,0))</f>
        <v>-3.3979050260000001</v>
      </c>
      <c r="AM673">
        <f>INDEX([2]Coordinates!$C$2:$C$197,MATCH(I673,[2]Coordinates!$J$2:$J$197,0))</f>
        <v>34.837123030000001</v>
      </c>
      <c r="AN673" t="str">
        <f>IF(ISNUMBER(SEARCH("C", 'WetLitterbags placem_collection'!$Y14)),"YES","NO")</f>
        <v>NO</v>
      </c>
      <c r="AO673" t="str">
        <f>IF(ISNUMBER(SEARCH("H", 'WetLitterbags placem_collection'!$Y14)),"YES","NO")</f>
        <v>NO</v>
      </c>
      <c r="AP673" t="str">
        <f>IF(ISNUMBER(SEARCH("R", 'WetLitterbags placem_collection'!$Y14)),"YES","NO")</f>
        <v>NO</v>
      </c>
    </row>
    <row r="674" spans="1:42" ht="15" customHeight="1">
      <c r="A674" t="s">
        <v>3248</v>
      </c>
      <c r="B674" s="248" t="s">
        <v>2454</v>
      </c>
      <c r="C674" s="253">
        <f>'Dry_Litterbag Placem_Collection'!A15</f>
        <v>13</v>
      </c>
      <c r="D674" s="253" t="str">
        <f>'Dry_Litterbag Placem_Collection'!B15</f>
        <v>Makao</v>
      </c>
      <c r="E674" s="253" t="s">
        <v>2643</v>
      </c>
      <c r="F674" s="253" t="s">
        <v>2644</v>
      </c>
      <c r="G674" s="253">
        <v>2</v>
      </c>
      <c r="H674" s="253" t="s">
        <v>3103</v>
      </c>
      <c r="I674" s="254" t="str">
        <f>'Dry_Litterbag Placem_Collection'!C15</f>
        <v>Dry_Ag2_T5</v>
      </c>
      <c r="J674" s="263" t="s">
        <v>2932</v>
      </c>
      <c r="K674" s="264" t="s">
        <v>298</v>
      </c>
      <c r="L674" s="221" t="str">
        <f>'WetLitterbags placem_collection'!Q15</f>
        <v>R3</v>
      </c>
      <c r="M674" s="223">
        <f>IFERROR(INDEX('Green_rooibos initial weight'!$C$5:$C$2000,MATCH(L674, 'Green_rooibos initial weight'!$A$5:$A$2000,0)),"")</f>
        <v>2.242</v>
      </c>
      <c r="N674" s="223">
        <f>IFERROR(M674-(TBIcalc!$H$9+TBIcalc!$H$10),"")</f>
        <v>1.9922</v>
      </c>
      <c r="O674" s="378">
        <f>AVERAGE(Ashed_controlls!$K$2:$K$11)</f>
        <v>5.5147656768714146</v>
      </c>
      <c r="P674" s="223">
        <f t="shared" si="51"/>
        <v>1.8823348381853677</v>
      </c>
      <c r="Q674" s="223">
        <f>IFERROR(INDEX('Both teabags AfterWet'!$C$3:$C$840,MATCH(L674,'Both teabags AfterWet'!$A$3:$A$840,0)),"")</f>
        <v>1.4899</v>
      </c>
      <c r="R674" s="223">
        <f>IFERROR(IF(Q674&gt;0,Q674-(TBIcalc!$H$9),""),"")</f>
        <v>1.3392999999999999</v>
      </c>
      <c r="S674" s="223">
        <f>IFERROR(INDEX('Ashed teabags wet'!$K$2:$K$2000,MATCH(L674,'Ashed teabags wet'!$A$2:$A$2000,0)),"")</f>
        <v>3.0078895463511506</v>
      </c>
      <c r="T674" s="223">
        <f t="shared" si="52"/>
        <v>1.299015335305719</v>
      </c>
      <c r="U674" s="224">
        <f>'WetLitterbags placem_collection'!E15</f>
        <v>42766</v>
      </c>
      <c r="V674" s="224">
        <f>IF('WetLitterbags placem_collection'!G15="","",'WetLitterbags placem_collection'!G15)</f>
        <v>42818</v>
      </c>
      <c r="W674" s="225">
        <f t="shared" si="50"/>
        <v>52</v>
      </c>
      <c r="X674" s="223">
        <f t="shared" si="53"/>
        <v>0.65290000000000004</v>
      </c>
      <c r="Y674" s="223">
        <f t="shared" si="54"/>
        <v>0.58331950287964873</v>
      </c>
      <c r="Z674">
        <f>IFERROR(INDEX([1]Rainfall_Wet!$O$2:$O$217,MATCH(C674, [1]Rainfall_Wet!$A$2:$A$217,0)),"")</f>
        <v>194.43839254400001</v>
      </c>
      <c r="AA674" s="226">
        <v>21.13063730679653</v>
      </c>
      <c r="AB674" s="226">
        <v>3.0912555579081076</v>
      </c>
      <c r="AC674" s="226">
        <v>75.778107135295357</v>
      </c>
      <c r="AD674" s="227" t="s">
        <v>2651</v>
      </c>
      <c r="AE674" s="226">
        <v>4.4613109906357797</v>
      </c>
      <c r="AF674">
        <f>IF('WetLitterbags placem_collection'!AB15="","",'WetLitterbags placem_collection'!AB15)</f>
        <v>11.4</v>
      </c>
      <c r="AG674">
        <f>IF('WetLitterbags placem_collection'!Z15="","",'WetLitterbags placem_collection'!Z15)</f>
        <v>31</v>
      </c>
      <c r="AH674" s="236" t="str">
        <f>IF('WetLitterbags placem_collection'!AA15="","",'WetLitterbags placem_collection'!AA15)</f>
        <v>M</v>
      </c>
      <c r="AI674">
        <f>IF('WetLitterbags placem_collection'!AC15="","",'WetLitterbags placem_collection'!AC15)</f>
        <v>0</v>
      </c>
      <c r="AJ674">
        <f>AVERAGE('WetLitterbags placem_collection'!S15,'WetLitterbags placem_collection'!U15)</f>
        <v>20.8</v>
      </c>
      <c r="AK674">
        <f>AVERAGE('WetLitterbags placem_collection'!R15,'WetLitterbags placem_collection'!T15)</f>
        <v>23.4</v>
      </c>
      <c r="AL674">
        <f>INDEX([2]Coordinates!$B$2:$B$197,MATCH(I674,[2]Coordinates!$J$2:$J$197,0))</f>
        <v>-3.3979040199999999</v>
      </c>
      <c r="AM674">
        <f>INDEX([2]Coordinates!$C$2:$C$197,MATCH(I674,[2]Coordinates!$J$2:$J$197,0))</f>
        <v>34.837027980000002</v>
      </c>
      <c r="AN674" t="str">
        <f>IF(ISNUMBER(SEARCH("C", 'WetLitterbags placem_collection'!$Y15)),"YES","NO")</f>
        <v>NO</v>
      </c>
      <c r="AO674" t="str">
        <f>IF(ISNUMBER(SEARCH("H", 'WetLitterbags placem_collection'!$Y15)),"YES","NO")</f>
        <v>NO</v>
      </c>
      <c r="AP674" t="str">
        <f>IF(ISNUMBER(SEARCH("R", 'WetLitterbags placem_collection'!$Y15)),"YES","NO")</f>
        <v>NO</v>
      </c>
    </row>
    <row r="675" spans="1:42" ht="15" customHeight="1">
      <c r="A675" t="s">
        <v>3248</v>
      </c>
      <c r="B675" s="248" t="s">
        <v>2454</v>
      </c>
      <c r="C675" s="253">
        <f>'Dry_Litterbag Placem_Collection'!A16</f>
        <v>14</v>
      </c>
      <c r="D675" s="253" t="str">
        <f>'Dry_Litterbag Placem_Collection'!B16</f>
        <v>Makao</v>
      </c>
      <c r="E675" s="253" t="s">
        <v>2643</v>
      </c>
      <c r="F675" s="253" t="s">
        <v>2644</v>
      </c>
      <c r="G675" s="253">
        <v>2</v>
      </c>
      <c r="H675" s="253" t="s">
        <v>3103</v>
      </c>
      <c r="I675" s="254" t="str">
        <f>'Dry_Litterbag Placem_Collection'!C16</f>
        <v>Dry_Ag2_T6</v>
      </c>
      <c r="J675" s="263" t="s">
        <v>2932</v>
      </c>
      <c r="K675" s="264" t="s">
        <v>298</v>
      </c>
      <c r="L675" s="221" t="str">
        <f>'WetLitterbags placem_collection'!Q16</f>
        <v>R282</v>
      </c>
      <c r="M675" s="223">
        <f>IFERROR(INDEX('Green_rooibos initial weight'!$C$5:$C$2000,MATCH(L675, 'Green_rooibos initial weight'!$A$5:$A$2000,0)),"")</f>
        <v>2.1829999999999998</v>
      </c>
      <c r="N675" s="223">
        <f>IFERROR(M675-(TBIcalc!$H$9+TBIcalc!$H$10),"")</f>
        <v>1.9331999999999998</v>
      </c>
      <c r="O675" s="378">
        <f>AVERAGE(Ashed_controlls!$K$2:$K$11)</f>
        <v>5.5147656768714146</v>
      </c>
      <c r="P675" s="223">
        <f t="shared" si="51"/>
        <v>1.8265885499347216</v>
      </c>
      <c r="Q675" s="223">
        <f>IFERROR(INDEX('Both teabags AfterWet'!$C$3:$C$840,MATCH(L675,'Both teabags AfterWet'!$A$3:$A$840,0)),"")</f>
        <v>1.5669999999999999</v>
      </c>
      <c r="R675" s="223">
        <f>IFERROR(IF(Q675&gt;0,Q675-(TBIcalc!$H$9),""),"")</f>
        <v>1.4163999999999999</v>
      </c>
      <c r="S675" s="223">
        <f>IFERROR(INDEX('Ashed teabags wet'!$K$2:$K$2000,MATCH(L675,'Ashed teabags wet'!$A$2:$A$2000,0)),"")</f>
        <v>2.903543307086486</v>
      </c>
      <c r="T675" s="223">
        <f t="shared" si="52"/>
        <v>1.375274212598427</v>
      </c>
      <c r="U675" s="224">
        <f>'WetLitterbags placem_collection'!E16</f>
        <v>42766</v>
      </c>
      <c r="V675" s="224">
        <f>IF('WetLitterbags placem_collection'!G16="","",'WetLitterbags placem_collection'!G16)</f>
        <v>42818</v>
      </c>
      <c r="W675" s="225">
        <f t="shared" si="50"/>
        <v>52</v>
      </c>
      <c r="X675" s="223">
        <f t="shared" si="53"/>
        <v>0.51679999999999993</v>
      </c>
      <c r="Y675" s="223">
        <f t="shared" si="54"/>
        <v>0.45131433733629467</v>
      </c>
      <c r="Z675">
        <f>IFERROR(INDEX([1]Rainfall_Wet!$O$2:$O$217,MATCH(C675, [1]Rainfall_Wet!$A$2:$A$217,0)),"")</f>
        <v>194.43839254400001</v>
      </c>
      <c r="AA675" s="226">
        <v>21.13063730679653</v>
      </c>
      <c r="AB675" s="226">
        <v>3.0912555579081076</v>
      </c>
      <c r="AC675" s="226">
        <v>75.778107135295357</v>
      </c>
      <c r="AD675" s="227" t="s">
        <v>2651</v>
      </c>
      <c r="AE675" s="226">
        <v>5.4613109906357797</v>
      </c>
      <c r="AF675">
        <f>IF('WetLitterbags placem_collection'!AB16="","",'WetLitterbags placem_collection'!AB16)</f>
        <v>28.4</v>
      </c>
      <c r="AG675">
        <f>IF('WetLitterbags placem_collection'!Z16="","",'WetLitterbags placem_collection'!Z16)</f>
        <v>42.4</v>
      </c>
      <c r="AH675" s="236" t="str">
        <f>IF('WetLitterbags placem_collection'!AA16="","",'WetLitterbags placem_collection'!AA16)</f>
        <v>M</v>
      </c>
      <c r="AI675">
        <f>IF('WetLitterbags placem_collection'!AC16="","",'WetLitterbags placem_collection'!AC16)</f>
        <v>0</v>
      </c>
      <c r="AJ675">
        <f>AVERAGE('WetLitterbags placem_collection'!S16,'WetLitterbags placem_collection'!U16)</f>
        <v>15.7</v>
      </c>
      <c r="AK675">
        <f>AVERAGE('WetLitterbags placem_collection'!R16,'WetLitterbags placem_collection'!T16)</f>
        <v>24.1</v>
      </c>
      <c r="AL675">
        <f>INDEX([2]Coordinates!$B$2:$B$197,MATCH(I675,[2]Coordinates!$J$2:$J$197,0))</f>
        <v>-3.397854986</v>
      </c>
      <c r="AM675">
        <f>INDEX([2]Coordinates!$C$2:$C$197,MATCH(I675,[2]Coordinates!$J$2:$J$197,0))</f>
        <v>34.836874010000002</v>
      </c>
      <c r="AN675" t="str">
        <f>IF(ISNUMBER(SEARCH("C", 'WetLitterbags placem_collection'!$Y16)),"YES","NO")</f>
        <v>NO</v>
      </c>
      <c r="AO675" t="str">
        <f>IF(ISNUMBER(SEARCH("H", 'WetLitterbags placem_collection'!$Y16)),"YES","NO")</f>
        <v>NO</v>
      </c>
      <c r="AP675" t="str">
        <f>IF(ISNUMBER(SEARCH("R", 'WetLitterbags placem_collection'!$Y16)),"YES","NO")</f>
        <v>NO</v>
      </c>
    </row>
    <row r="676" spans="1:42" ht="15" customHeight="1">
      <c r="A676" t="s">
        <v>3248</v>
      </c>
      <c r="B676" s="248" t="s">
        <v>2454</v>
      </c>
      <c r="C676" s="253">
        <f>'Dry_Litterbag Placem_Collection'!A17</f>
        <v>15</v>
      </c>
      <c r="D676" s="253" t="str">
        <f>'Dry_Litterbag Placem_Collection'!B17</f>
        <v>Makao</v>
      </c>
      <c r="E676" s="253" t="s">
        <v>2643</v>
      </c>
      <c r="F676" s="253" t="s">
        <v>2644</v>
      </c>
      <c r="G676" s="253">
        <v>2</v>
      </c>
      <c r="H676" s="253" t="s">
        <v>3103</v>
      </c>
      <c r="I676" s="254" t="str">
        <f>'Dry_Litterbag Placem_Collection'!C17</f>
        <v>Dry_Ag2_T7</v>
      </c>
      <c r="J676" s="263" t="s">
        <v>2932</v>
      </c>
      <c r="K676" s="264" t="s">
        <v>298</v>
      </c>
      <c r="L676" s="221" t="str">
        <f>'WetLitterbags placem_collection'!Q17</f>
        <v>R99</v>
      </c>
      <c r="M676" s="223">
        <f>IFERROR(INDEX('Green_rooibos initial weight'!$C$5:$C$2000,MATCH(L676, 'Green_rooibos initial weight'!$A$5:$A$2000,0)),"")</f>
        <v>2.1920000000000002</v>
      </c>
      <c r="N676" s="223">
        <f>IFERROR(M676-(TBIcalc!$H$9+TBIcalc!$H$10),"")</f>
        <v>1.9422000000000001</v>
      </c>
      <c r="O676" s="378">
        <f>AVERAGE(Ashed_controlls!$K$2:$K$11)</f>
        <v>5.5147656768714146</v>
      </c>
      <c r="P676" s="223">
        <f t="shared" si="51"/>
        <v>1.8350922210238034</v>
      </c>
      <c r="Q676" s="223" t="str">
        <f>IFERROR(INDEX('Both teabags AfterWet'!$C$3:$C$840,MATCH(L676,'Both teabags AfterWet'!$A$3:$A$840,0)),"")</f>
        <v/>
      </c>
      <c r="R676" s="223" t="str">
        <f>IFERROR(IF(Q676&gt;0,Q676-(TBIcalc!$H$9),""),"")</f>
        <v/>
      </c>
      <c r="S676" s="223">
        <f>IFERROR(INDEX('Ashed teabags wet'!$K$2:$K$2000,MATCH(L676,'Ashed teabags wet'!$A$2:$A$2000,0)),"")</f>
        <v>7.6999503229018247</v>
      </c>
      <c r="T676" s="223" t="str">
        <f t="shared" si="52"/>
        <v/>
      </c>
      <c r="U676" s="224">
        <f>'WetLitterbags placem_collection'!E17</f>
        <v>42766</v>
      </c>
      <c r="V676" s="224">
        <f>IF('WetLitterbags placem_collection'!G17="","",'WetLitterbags placem_collection'!G17)</f>
        <v>42818</v>
      </c>
      <c r="W676" s="225">
        <f t="shared" si="50"/>
        <v>52</v>
      </c>
      <c r="X676" s="223" t="str">
        <f t="shared" si="53"/>
        <v/>
      </c>
      <c r="Y676" s="223" t="str">
        <f t="shared" si="54"/>
        <v/>
      </c>
      <c r="Z676">
        <f>IFERROR(INDEX([1]Rainfall_Wet!$O$2:$O$217,MATCH(C676, [1]Rainfall_Wet!$A$2:$A$217,0)),"")</f>
        <v>194.43839254400001</v>
      </c>
      <c r="AA676" s="226">
        <v>21.13063730679653</v>
      </c>
      <c r="AB676" s="226">
        <v>3.0912555579081076</v>
      </c>
      <c r="AC676" s="226">
        <v>75.778107135295357</v>
      </c>
      <c r="AD676" s="227" t="s">
        <v>2651</v>
      </c>
      <c r="AE676" s="226">
        <v>6.4613109906357797</v>
      </c>
      <c r="AF676">
        <f>IF('WetLitterbags placem_collection'!AB17="","",'WetLitterbags placem_collection'!AB17)</f>
        <v>15.8</v>
      </c>
      <c r="AG676">
        <f>IF('WetLitterbags placem_collection'!Z17="","",'WetLitterbags placem_collection'!Z17)</f>
        <v>30.4</v>
      </c>
      <c r="AH676" s="236" t="str">
        <f>IF('WetLitterbags placem_collection'!AA17="","",'WetLitterbags placem_collection'!AA17)</f>
        <v>M</v>
      </c>
      <c r="AI676">
        <f>IF('WetLitterbags placem_collection'!AC17="","",'WetLitterbags placem_collection'!AC17)</f>
        <v>0</v>
      </c>
      <c r="AJ676">
        <f>AVERAGE('WetLitterbags placem_collection'!S17,'WetLitterbags placem_collection'!U17)</f>
        <v>23.9</v>
      </c>
      <c r="AK676">
        <f>AVERAGE('WetLitterbags placem_collection'!R17,'WetLitterbags placem_collection'!T17)</f>
        <v>23.95</v>
      </c>
      <c r="AL676">
        <f>INDEX([2]Coordinates!$B$2:$B$197,MATCH(I676,[2]Coordinates!$J$2:$J$197,0))</f>
        <v>-3.3978060349999999</v>
      </c>
      <c r="AM676">
        <f>INDEX([2]Coordinates!$C$2:$C$197,MATCH(I676,[2]Coordinates!$J$2:$J$197,0))</f>
        <v>34.837023960000003</v>
      </c>
      <c r="AN676" t="str">
        <f>IF(ISNUMBER(SEARCH("C", 'WetLitterbags placem_collection'!$Y17)),"YES","NO")</f>
        <v>NO</v>
      </c>
      <c r="AO676" t="str">
        <f>IF(ISNUMBER(SEARCH("H", 'WetLitterbags placem_collection'!$Y17)),"YES","NO")</f>
        <v>NO</v>
      </c>
      <c r="AP676" t="str">
        <f>IF(ISNUMBER(SEARCH("R", 'WetLitterbags placem_collection'!$Y17)),"YES","NO")</f>
        <v>YES</v>
      </c>
    </row>
    <row r="677" spans="1:42" ht="15" customHeight="1">
      <c r="A677" t="s">
        <v>3248</v>
      </c>
      <c r="B677" s="248" t="s">
        <v>2454</v>
      </c>
      <c r="C677" s="253">
        <f>'Dry_Litterbag Placem_Collection'!A18</f>
        <v>16</v>
      </c>
      <c r="D677" s="253" t="str">
        <f>'Dry_Litterbag Placem_Collection'!B18</f>
        <v>Makao</v>
      </c>
      <c r="E677" s="253" t="s">
        <v>2643</v>
      </c>
      <c r="F677" s="253" t="s">
        <v>2644</v>
      </c>
      <c r="G677" s="253">
        <v>2</v>
      </c>
      <c r="H677" s="253" t="s">
        <v>3103</v>
      </c>
      <c r="I677" s="254" t="str">
        <f>'Dry_Litterbag Placem_Collection'!C18</f>
        <v>Dry_Ag2_T8</v>
      </c>
      <c r="J677" s="263" t="s">
        <v>2932</v>
      </c>
      <c r="K677" s="264" t="s">
        <v>298</v>
      </c>
      <c r="L677" s="221" t="str">
        <f>'WetLitterbags placem_collection'!Q18</f>
        <v>R154</v>
      </c>
      <c r="M677" s="223">
        <f>IFERROR(INDEX('Green_rooibos initial weight'!$C$5:$C$2000,MATCH(L677, 'Green_rooibos initial weight'!$A$5:$A$2000,0)),"")</f>
        <v>2.2010000000000001</v>
      </c>
      <c r="N677" s="223">
        <f>IFERROR(M677-(TBIcalc!$H$9+TBIcalc!$H$10),"")</f>
        <v>1.9512</v>
      </c>
      <c r="O677" s="378">
        <f>AVERAGE(Ashed_controlls!$K$2:$K$11)</f>
        <v>5.5147656768714146</v>
      </c>
      <c r="P677" s="223">
        <f t="shared" si="51"/>
        <v>1.843595892112885</v>
      </c>
      <c r="Q677" s="223">
        <f>IFERROR(INDEX('Both teabags AfterWet'!$C$3:$C$840,MATCH(L677,'Both teabags AfterWet'!$A$3:$A$840,0)),"")</f>
        <v>1.421</v>
      </c>
      <c r="R677" s="223">
        <f>IFERROR(IF(Q677&gt;0,Q677-(TBIcalc!$H$9),""),"")</f>
        <v>1.2704</v>
      </c>
      <c r="S677" s="223">
        <f>IFERROR(INDEX('Ashed teabags wet'!$K$2:$K$2000,MATCH(L677,'Ashed teabags wet'!$A$2:$A$2000,0)),"")</f>
        <v>4.0579710144928036</v>
      </c>
      <c r="T677" s="223">
        <f t="shared" si="52"/>
        <v>1.2188475362318834</v>
      </c>
      <c r="U677" s="224">
        <f>'WetLitterbags placem_collection'!E18</f>
        <v>42766</v>
      </c>
      <c r="V677" s="224">
        <f>IF('WetLitterbags placem_collection'!G18="","",'WetLitterbags placem_collection'!G18)</f>
        <v>42818</v>
      </c>
      <c r="W677" s="225">
        <f t="shared" si="50"/>
        <v>52</v>
      </c>
      <c r="X677" s="223">
        <f t="shared" si="53"/>
        <v>0.68080000000000007</v>
      </c>
      <c r="Y677" s="223">
        <f t="shared" si="54"/>
        <v>0.62474835588100164</v>
      </c>
      <c r="Z677">
        <f>IFERROR(INDEX([1]Rainfall_Wet!$O$2:$O$217,MATCH(C677, [1]Rainfall_Wet!$A$2:$A$217,0)),"")</f>
        <v>194.43839254400001</v>
      </c>
      <c r="AA677" s="226">
        <v>21.13063730679653</v>
      </c>
      <c r="AB677" s="226">
        <v>3.0912555579081076</v>
      </c>
      <c r="AC677" s="226">
        <v>75.778107135295357</v>
      </c>
      <c r="AD677" s="227" t="s">
        <v>2651</v>
      </c>
      <c r="AE677" s="226">
        <v>7.4613109906357797</v>
      </c>
      <c r="AF677">
        <f>IF('WetLitterbags placem_collection'!AB18="","",'WetLitterbags placem_collection'!AB18)</f>
        <v>8</v>
      </c>
      <c r="AG677">
        <f>IF('WetLitterbags placem_collection'!Z18="","",'WetLitterbags placem_collection'!Z18)</f>
        <v>12.4</v>
      </c>
      <c r="AH677" s="236" t="str">
        <f>IF('WetLitterbags placem_collection'!AA18="","",'WetLitterbags placem_collection'!AA18)</f>
        <v>M</v>
      </c>
      <c r="AI677">
        <f>IF('WetLitterbags placem_collection'!AC18="","",'WetLitterbags placem_collection'!AC18)</f>
        <v>0</v>
      </c>
      <c r="AJ677">
        <f>AVERAGE('WetLitterbags placem_collection'!S18,'WetLitterbags placem_collection'!U18)</f>
        <v>17.5</v>
      </c>
      <c r="AK677">
        <f>AVERAGE('WetLitterbags placem_collection'!R18,'WetLitterbags placem_collection'!T18)</f>
        <v>24.05</v>
      </c>
      <c r="AL677">
        <f>INDEX([2]Coordinates!$B$2:$B$197,MATCH(I677,[2]Coordinates!$J$2:$J$197,0))</f>
        <v>-3.3977669760000002</v>
      </c>
      <c r="AM677">
        <f>INDEX([2]Coordinates!$C$2:$C$197,MATCH(I677,[2]Coordinates!$J$2:$J$197,0))</f>
        <v>34.837181039999997</v>
      </c>
      <c r="AN677" t="str">
        <f>IF(ISNUMBER(SEARCH("C", 'WetLitterbags placem_collection'!$Y18)),"YES","NO")</f>
        <v>NO</v>
      </c>
      <c r="AO677" t="str">
        <f>IF(ISNUMBER(SEARCH("H", 'WetLitterbags placem_collection'!$Y18)),"YES","NO")</f>
        <v>NO</v>
      </c>
      <c r="AP677" t="str">
        <f>IF(ISNUMBER(SEARCH("R", 'WetLitterbags placem_collection'!$Y18)),"YES","NO")</f>
        <v>YES</v>
      </c>
    </row>
    <row r="678" spans="1:42" ht="15" customHeight="1">
      <c r="A678" t="s">
        <v>3248</v>
      </c>
      <c r="B678" s="248" t="s">
        <v>2454</v>
      </c>
      <c r="C678" s="253">
        <f>'Dry_Litterbag Placem_Collection'!A19</f>
        <v>17</v>
      </c>
      <c r="D678" s="253" t="str">
        <f>'Dry_Litterbag Placem_Collection'!B19</f>
        <v>Makao</v>
      </c>
      <c r="E678" s="253" t="s">
        <v>2643</v>
      </c>
      <c r="F678" s="253" t="s">
        <v>2644</v>
      </c>
      <c r="G678" s="253">
        <v>3</v>
      </c>
      <c r="H678" s="253" t="s">
        <v>3104</v>
      </c>
      <c r="I678" s="254" t="str">
        <f>'Dry_Litterbag Placem_Collection'!C19</f>
        <v>Dry_Ag3_T1</v>
      </c>
      <c r="J678" s="263" t="s">
        <v>2932</v>
      </c>
      <c r="K678" s="264" t="s">
        <v>298</v>
      </c>
      <c r="L678" s="221" t="str">
        <f>'WetLitterbags placem_collection'!Q19</f>
        <v>R380</v>
      </c>
      <c r="M678" s="223">
        <f>IFERROR(INDEX('Green_rooibos initial weight'!$C$5:$C$2000,MATCH(L678, 'Green_rooibos initial weight'!$A$5:$A$2000,0)),"")</f>
        <v>2.2799999999999998</v>
      </c>
      <c r="N678" s="223">
        <f>IFERROR(M678-(TBIcalc!$H$9+TBIcalc!$H$10),"")</f>
        <v>2.0301999999999998</v>
      </c>
      <c r="O678" s="378">
        <f>AVERAGE(Ashed_controlls!$K$2:$K$11)</f>
        <v>5.5147656768714146</v>
      </c>
      <c r="P678" s="223">
        <f t="shared" si="51"/>
        <v>1.9182392272281563</v>
      </c>
      <c r="Q678" s="223">
        <f>IFERROR(INDEX('Both teabags AfterWet'!$C$3:$C$840,MATCH(L678,'Both teabags AfterWet'!$A$3:$A$840,0)),"")</f>
        <v>1.6271</v>
      </c>
      <c r="R678" s="223">
        <f>IFERROR(IF(Q678&gt;0,Q678-(TBIcalc!$H$9),""),"")</f>
        <v>1.4764999999999999</v>
      </c>
      <c r="S678" s="223">
        <f>IFERROR(INDEX('Ashed teabags wet'!$K$2:$K$2000,MATCH(L678,'Ashed teabags wet'!$A$2:$A$2000,0)),"")</f>
        <v>3.3600802407224508</v>
      </c>
      <c r="T678" s="223">
        <f t="shared" si="52"/>
        <v>1.4268884152457328</v>
      </c>
      <c r="U678" s="224">
        <f>'WetLitterbags placem_collection'!E19</f>
        <v>42767</v>
      </c>
      <c r="V678" s="224">
        <f>IF('WetLitterbags placem_collection'!G19="","",'WetLitterbags placem_collection'!G19)</f>
        <v>42818</v>
      </c>
      <c r="W678" s="225">
        <f t="shared" si="50"/>
        <v>51</v>
      </c>
      <c r="X678" s="223">
        <f t="shared" si="53"/>
        <v>0.55369999999999986</v>
      </c>
      <c r="Y678" s="223">
        <f t="shared" si="54"/>
        <v>0.49135081198242347</v>
      </c>
      <c r="Z678">
        <f>IFERROR(INDEX([1]Rainfall_Wet!$O$2:$O$217,MATCH(C678, [1]Rainfall_Wet!$A$2:$A$217,0)),"")</f>
        <v>185.630065823</v>
      </c>
      <c r="AA678" s="226">
        <v>54.080969906906262</v>
      </c>
      <c r="AB678" s="226">
        <v>21.264484651351896</v>
      </c>
      <c r="AC678" s="226">
        <v>24.654545441741845</v>
      </c>
      <c r="AD678" s="227" t="s">
        <v>2654</v>
      </c>
      <c r="AE678" s="226">
        <v>1.8433218334154755</v>
      </c>
      <c r="AF678" t="str">
        <f>IF('WetLitterbags placem_collection'!AB19="","",'WetLitterbags placem_collection'!AB19)</f>
        <v/>
      </c>
      <c r="AG678" t="str">
        <f>IF('WetLitterbags placem_collection'!Z19="","",'WetLitterbags placem_collection'!Z19)</f>
        <v/>
      </c>
      <c r="AH678" s="236" t="str">
        <f>IF('WetLitterbags placem_collection'!AA19="","",'WetLitterbags placem_collection'!AA19)</f>
        <v/>
      </c>
      <c r="AI678" t="str">
        <f>IF('WetLitterbags placem_collection'!AC19="","",'WetLitterbags placem_collection'!AC19)</f>
        <v/>
      </c>
      <c r="AJ678">
        <f>AVERAGE('WetLitterbags placem_collection'!S19,'WetLitterbags placem_collection'!U19)</f>
        <v>35.9</v>
      </c>
      <c r="AK678">
        <f>AVERAGE('WetLitterbags placem_collection'!R19,'WetLitterbags placem_collection'!T19)</f>
        <v>21.35</v>
      </c>
      <c r="AL678">
        <f>INDEX([2]Coordinates!$B$2:$B$197,MATCH(I678,[2]Coordinates!$J$2:$J$197,0))</f>
        <v>-3.3854090330000002</v>
      </c>
      <c r="AM678">
        <f>INDEX([2]Coordinates!$C$2:$C$197,MATCH(I678,[2]Coordinates!$J$2:$J$197,0))</f>
        <v>34.818901029999999</v>
      </c>
      <c r="AN678" t="str">
        <f>IF(ISNUMBER(SEARCH("C", 'WetLitterbags placem_collection'!$Y19)),"YES","NO")</f>
        <v>NO</v>
      </c>
      <c r="AO678" t="str">
        <f>IF(ISNUMBER(SEARCH("H", 'WetLitterbags placem_collection'!$Y19)),"YES","NO")</f>
        <v>NO</v>
      </c>
      <c r="AP678" t="str">
        <f>IF(ISNUMBER(SEARCH("R", 'WetLitterbags placem_collection'!$Y19)),"YES","NO")</f>
        <v>YES</v>
      </c>
    </row>
    <row r="679" spans="1:42" ht="15" customHeight="1">
      <c r="A679" t="s">
        <v>3248</v>
      </c>
      <c r="B679" s="248" t="s">
        <v>2454</v>
      </c>
      <c r="C679" s="253">
        <f>'Dry_Litterbag Placem_Collection'!A20</f>
        <v>18</v>
      </c>
      <c r="D679" s="253" t="str">
        <f>'Dry_Litterbag Placem_Collection'!B20</f>
        <v>Makao</v>
      </c>
      <c r="E679" s="253" t="s">
        <v>2643</v>
      </c>
      <c r="F679" s="253" t="s">
        <v>2644</v>
      </c>
      <c r="G679" s="253">
        <v>3</v>
      </c>
      <c r="H679" s="253" t="s">
        <v>3104</v>
      </c>
      <c r="I679" s="254" t="str">
        <f>'Dry_Litterbag Placem_Collection'!C20</f>
        <v>Dry_Ag3_T2</v>
      </c>
      <c r="J679" s="263" t="s">
        <v>2932</v>
      </c>
      <c r="K679" s="264" t="s">
        <v>298</v>
      </c>
      <c r="L679" s="221" t="str">
        <f>'WetLitterbags placem_collection'!Q20</f>
        <v>R274</v>
      </c>
      <c r="M679" s="223">
        <f>IFERROR(INDEX('Green_rooibos initial weight'!$C$5:$C$2000,MATCH(L679, 'Green_rooibos initial weight'!$A$5:$A$2000,0)),"")</f>
        <v>2.1880000000000002</v>
      </c>
      <c r="N679" s="223">
        <f>IFERROR(M679-(TBIcalc!$H$9+TBIcalc!$H$10),"")</f>
        <v>1.9382000000000001</v>
      </c>
      <c r="O679" s="378">
        <f>AVERAGE(Ashed_controlls!$K$2:$K$11)</f>
        <v>5.5147656768714146</v>
      </c>
      <c r="P679" s="223">
        <f t="shared" si="51"/>
        <v>1.8313128116508783</v>
      </c>
      <c r="Q679" s="223">
        <f>IFERROR(INDEX('Both teabags AfterWet'!$C$3:$C$840,MATCH(L679,'Both teabags AfterWet'!$A$3:$A$840,0)),"")</f>
        <v>1.6060000000000001</v>
      </c>
      <c r="R679" s="223">
        <f>IFERROR(IF(Q679&gt;0,Q679-(TBIcalc!$H$9),""),"")</f>
        <v>1.4554</v>
      </c>
      <c r="S679" s="223">
        <f>IFERROR(INDEX('Ashed teabags wet'!$K$2:$K$2000,MATCH(L679,'Ashed teabags wet'!$A$2:$A$2000,0)),"")</f>
        <v>4.6344959388436653</v>
      </c>
      <c r="T679" s="223">
        <f t="shared" si="52"/>
        <v>1.3879495461060694</v>
      </c>
      <c r="U679" s="224">
        <f>'WetLitterbags placem_collection'!E20</f>
        <v>42767</v>
      </c>
      <c r="V679" s="224">
        <f>IF('WetLitterbags placem_collection'!G20="","",'WetLitterbags placem_collection'!G20)</f>
        <v>42818</v>
      </c>
      <c r="W679" s="225">
        <f t="shared" si="50"/>
        <v>51</v>
      </c>
      <c r="X679" s="223">
        <f t="shared" si="53"/>
        <v>0.48280000000000012</v>
      </c>
      <c r="Y679" s="223">
        <f t="shared" si="54"/>
        <v>0.44336326554480898</v>
      </c>
      <c r="Z679">
        <f>IFERROR(INDEX([1]Rainfall_Wet!$O$2:$O$217,MATCH(C679, [1]Rainfall_Wet!$A$2:$A$217,0)),"")</f>
        <v>185.630065823</v>
      </c>
      <c r="AA679" s="226">
        <v>54.080969906906262</v>
      </c>
      <c r="AB679" s="226">
        <v>21.264484651351896</v>
      </c>
      <c r="AC679" s="226">
        <v>24.654545441741845</v>
      </c>
      <c r="AD679" s="227" t="s">
        <v>2654</v>
      </c>
      <c r="AE679" s="226">
        <v>2.8433218334154802</v>
      </c>
      <c r="AF679" t="str">
        <f>IF('WetLitterbags placem_collection'!AB20="","",'WetLitterbags placem_collection'!AB20)</f>
        <v/>
      </c>
      <c r="AG679" t="str">
        <f>IF('WetLitterbags placem_collection'!Z20="","",'WetLitterbags placem_collection'!Z20)</f>
        <v/>
      </c>
      <c r="AH679" s="236" t="str">
        <f>IF('WetLitterbags placem_collection'!AA20="","",'WetLitterbags placem_collection'!AA20)</f>
        <v/>
      </c>
      <c r="AI679" t="str">
        <f>IF('WetLitterbags placem_collection'!AC20="","",'WetLitterbags placem_collection'!AC20)</f>
        <v/>
      </c>
      <c r="AJ679">
        <f>AVERAGE('WetLitterbags placem_collection'!S20,'WetLitterbags placem_collection'!U20)</f>
        <v>36.950000000000003</v>
      </c>
      <c r="AK679">
        <f>AVERAGE('WetLitterbags placem_collection'!R20,'WetLitterbags placem_collection'!T20)</f>
        <v>21.35</v>
      </c>
      <c r="AL679">
        <f>INDEX([2]Coordinates!$B$2:$B$197,MATCH(I679,[2]Coordinates!$J$2:$J$197,0))</f>
        <v>-3.385375002</v>
      </c>
      <c r="AM679">
        <f>INDEX([2]Coordinates!$C$2:$C$197,MATCH(I679,[2]Coordinates!$J$2:$J$197,0))</f>
        <v>34.818939999999998</v>
      </c>
      <c r="AN679" t="str">
        <f>IF(ISNUMBER(SEARCH("C", 'WetLitterbags placem_collection'!$Y20)),"YES","NO")</f>
        <v>NO</v>
      </c>
      <c r="AO679" t="str">
        <f>IF(ISNUMBER(SEARCH("H", 'WetLitterbags placem_collection'!$Y20)),"YES","NO")</f>
        <v>NO</v>
      </c>
      <c r="AP679" t="str">
        <f>IF(ISNUMBER(SEARCH("R", 'WetLitterbags placem_collection'!$Y20)),"YES","NO")</f>
        <v>YES</v>
      </c>
    </row>
    <row r="680" spans="1:42" ht="15" customHeight="1">
      <c r="A680" t="s">
        <v>3248</v>
      </c>
      <c r="B680" s="248" t="s">
        <v>2454</v>
      </c>
      <c r="C680" s="253">
        <f>'Dry_Litterbag Placem_Collection'!A21</f>
        <v>19</v>
      </c>
      <c r="D680" s="253" t="str">
        <f>'Dry_Litterbag Placem_Collection'!B21</f>
        <v>Makao</v>
      </c>
      <c r="E680" s="253" t="s">
        <v>2643</v>
      </c>
      <c r="F680" s="253" t="s">
        <v>2644</v>
      </c>
      <c r="G680" s="253">
        <v>3</v>
      </c>
      <c r="H680" s="253" t="s">
        <v>3104</v>
      </c>
      <c r="I680" s="254" t="str">
        <f>'Dry_Litterbag Placem_Collection'!C21</f>
        <v>Dry_Ag3_T3</v>
      </c>
      <c r="J680" s="263" t="s">
        <v>2932</v>
      </c>
      <c r="K680" s="264" t="s">
        <v>298</v>
      </c>
      <c r="L680" s="221" t="str">
        <f>'WetLitterbags placem_collection'!Q21</f>
        <v>R566</v>
      </c>
      <c r="M680" s="223">
        <f>IFERROR(INDEX('Green_rooibos initial weight'!$C$5:$C$2000,MATCH(L680, 'Green_rooibos initial weight'!$A$5:$A$2000,0)),"")</f>
        <v>2.117</v>
      </c>
      <c r="N680" s="223">
        <f>IFERROR(M680-(TBIcalc!$H$9+TBIcalc!$H$10),"")</f>
        <v>1.8672</v>
      </c>
      <c r="O680" s="378">
        <f>AVERAGE(Ashed_controlls!$K$2:$K$11)</f>
        <v>5.5147656768714146</v>
      </c>
      <c r="P680" s="223">
        <f t="shared" si="51"/>
        <v>1.764228295281457</v>
      </c>
      <c r="Q680" s="223">
        <f>IFERROR(INDEX('Both teabags AfterWet'!$C$3:$C$840,MATCH(L680,'Both teabags AfterWet'!$A$3:$A$840,0)),"")</f>
        <v>1.4496</v>
      </c>
      <c r="R680" s="223">
        <f>IFERROR(IF(Q680&gt;0,Q680-(TBIcalc!$H$9),""),"")</f>
        <v>1.2989999999999999</v>
      </c>
      <c r="S680" s="223">
        <f>IFERROR(INDEX('Ashed teabags wet'!$K$2:$K$2000,MATCH(L680,'Ashed teabags wet'!$A$2:$A$2000,0)),"")</f>
        <v>8.439646712463917</v>
      </c>
      <c r="T680" s="223">
        <f t="shared" si="52"/>
        <v>1.1893689892050936</v>
      </c>
      <c r="U680" s="224">
        <f>'WetLitterbags placem_collection'!E21</f>
        <v>42767</v>
      </c>
      <c r="V680" s="224">
        <f>IF('WetLitterbags placem_collection'!G21="","",'WetLitterbags placem_collection'!G21)</f>
        <v>42818</v>
      </c>
      <c r="W680" s="225">
        <f t="shared" si="50"/>
        <v>51</v>
      </c>
      <c r="X680" s="223">
        <f t="shared" si="53"/>
        <v>0.56820000000000004</v>
      </c>
      <c r="Y680" s="223">
        <f t="shared" si="54"/>
        <v>0.57485930607636337</v>
      </c>
      <c r="Z680">
        <f>IFERROR(INDEX([1]Rainfall_Wet!$O$2:$O$217,MATCH(C680, [1]Rainfall_Wet!$A$2:$A$217,0)),"")</f>
        <v>185.630065823</v>
      </c>
      <c r="AA680" s="226">
        <v>54.080969906906262</v>
      </c>
      <c r="AB680" s="226">
        <v>21.264484651351896</v>
      </c>
      <c r="AC680" s="226">
        <v>24.654545441741845</v>
      </c>
      <c r="AD680" s="227" t="s">
        <v>2654</v>
      </c>
      <c r="AE680" s="226">
        <v>3.8433218334154802</v>
      </c>
      <c r="AF680" t="str">
        <f>IF('WetLitterbags placem_collection'!AB21="","",'WetLitterbags placem_collection'!AB21)</f>
        <v/>
      </c>
      <c r="AG680" t="str">
        <f>IF('WetLitterbags placem_collection'!Z21="","",'WetLitterbags placem_collection'!Z21)</f>
        <v/>
      </c>
      <c r="AH680" s="236" t="str">
        <f>IF('WetLitterbags placem_collection'!AA21="","",'WetLitterbags placem_collection'!AA21)</f>
        <v/>
      </c>
      <c r="AI680" t="str">
        <f>IF('WetLitterbags placem_collection'!AC21="","",'WetLitterbags placem_collection'!AC21)</f>
        <v/>
      </c>
      <c r="AJ680">
        <f>AVERAGE('WetLitterbags placem_collection'!S21,'WetLitterbags placem_collection'!U21)</f>
        <v>39.299999999999997</v>
      </c>
      <c r="AK680">
        <f>AVERAGE('WetLitterbags placem_collection'!R21,'WetLitterbags placem_collection'!T21)</f>
        <v>21.1</v>
      </c>
      <c r="AL680">
        <f>INDEX([2]Coordinates!$B$2:$B$197,MATCH(I680,[2]Coordinates!$J$2:$J$197,0))</f>
        <v>-3.3853589930000001</v>
      </c>
      <c r="AM680">
        <f>INDEX([2]Coordinates!$C$2:$C$197,MATCH(I680,[2]Coordinates!$J$2:$J$197,0))</f>
        <v>34.818991969999999</v>
      </c>
      <c r="AN680" t="str">
        <f>IF(ISNUMBER(SEARCH("C", 'WetLitterbags placem_collection'!$Y21)),"YES","NO")</f>
        <v>NO</v>
      </c>
      <c r="AO680" t="str">
        <f>IF(ISNUMBER(SEARCH("H", 'WetLitterbags placem_collection'!$Y21)),"YES","NO")</f>
        <v>NO</v>
      </c>
      <c r="AP680" t="str">
        <f>IF(ISNUMBER(SEARCH("R", 'WetLitterbags placem_collection'!$Y21)),"YES","NO")</f>
        <v>NO</v>
      </c>
    </row>
    <row r="681" spans="1:42" ht="15" customHeight="1">
      <c r="A681" t="s">
        <v>3248</v>
      </c>
      <c r="B681" s="248" t="s">
        <v>2454</v>
      </c>
      <c r="C681" s="253">
        <f>'Dry_Litterbag Placem_Collection'!A22</f>
        <v>20</v>
      </c>
      <c r="D681" s="253" t="str">
        <f>'Dry_Litterbag Placem_Collection'!B22</f>
        <v>Makao</v>
      </c>
      <c r="E681" s="253" t="s">
        <v>2643</v>
      </c>
      <c r="F681" s="253" t="s">
        <v>2644</v>
      </c>
      <c r="G681" s="253">
        <v>3</v>
      </c>
      <c r="H681" s="253" t="s">
        <v>3104</v>
      </c>
      <c r="I681" s="254" t="str">
        <f>'Dry_Litterbag Placem_Collection'!C22</f>
        <v>Dry_Ag3_T4</v>
      </c>
      <c r="J681" s="263" t="s">
        <v>2932</v>
      </c>
      <c r="K681" s="264" t="s">
        <v>298</v>
      </c>
      <c r="L681" s="221" t="str">
        <f>'WetLitterbags placem_collection'!Q22</f>
        <v>R110</v>
      </c>
      <c r="M681" s="223">
        <f>IFERROR(INDEX('Green_rooibos initial weight'!$C$5:$C$2000,MATCH(L681, 'Green_rooibos initial weight'!$A$5:$A$2000,0)),"")</f>
        <v>2.2530000000000001</v>
      </c>
      <c r="N681" s="223">
        <f>IFERROR(M681-(TBIcalc!$H$9+TBIcalc!$H$10),"")</f>
        <v>2.0032000000000001</v>
      </c>
      <c r="O681" s="378">
        <f>AVERAGE(Ashed_controlls!$K$2:$K$11)</f>
        <v>5.5147656768714146</v>
      </c>
      <c r="P681" s="223">
        <f t="shared" si="51"/>
        <v>1.8927282139609118</v>
      </c>
      <c r="Q681" s="223">
        <f>IFERROR(INDEX('Both teabags AfterWet'!$C$3:$C$840,MATCH(L681,'Both teabags AfterWet'!$A$3:$A$840,0)),"")</f>
        <v>1.6778999999999999</v>
      </c>
      <c r="R681" s="223">
        <f>IFERROR(IF(Q681&gt;0,Q681-(TBIcalc!$H$9),""),"")</f>
        <v>1.5272999999999999</v>
      </c>
      <c r="S681" s="223">
        <f>IFERROR(INDEX('Ashed teabags wet'!$K$2:$K$2000,MATCH(L681,'Ashed teabags wet'!$A$2:$A$2000,0)),"")</f>
        <v>6.496631376323327</v>
      </c>
      <c r="T681" s="223">
        <f t="shared" si="52"/>
        <v>1.4280769489894136</v>
      </c>
      <c r="U681" s="224">
        <f>'WetLitterbags placem_collection'!E22</f>
        <v>42767</v>
      </c>
      <c r="V681" s="224">
        <f>IF('WetLitterbags placem_collection'!G22="","",'WetLitterbags placem_collection'!G22)</f>
        <v>42818</v>
      </c>
      <c r="W681" s="225">
        <f t="shared" si="50"/>
        <v>51</v>
      </c>
      <c r="X681" s="223">
        <f t="shared" si="53"/>
        <v>0.47590000000000021</v>
      </c>
      <c r="Y681" s="223">
        <f t="shared" si="54"/>
        <v>0.46465126497149822</v>
      </c>
      <c r="Z681">
        <f>IFERROR(INDEX([1]Rainfall_Wet!$O$2:$O$217,MATCH(C681, [1]Rainfall_Wet!$A$2:$A$217,0)),"")</f>
        <v>185.630065823</v>
      </c>
      <c r="AA681" s="226">
        <v>54.080969906906262</v>
      </c>
      <c r="AB681" s="226">
        <v>21.264484651351896</v>
      </c>
      <c r="AC681" s="226">
        <v>24.654545441741845</v>
      </c>
      <c r="AD681" s="227" t="s">
        <v>2654</v>
      </c>
      <c r="AE681" s="226">
        <v>4.8433218334154802</v>
      </c>
      <c r="AF681" t="str">
        <f>IF('WetLitterbags placem_collection'!AB22="","",'WetLitterbags placem_collection'!AB22)</f>
        <v/>
      </c>
      <c r="AG681" t="str">
        <f>IF('WetLitterbags placem_collection'!Z22="","",'WetLitterbags placem_collection'!Z22)</f>
        <v/>
      </c>
      <c r="AH681" s="236" t="str">
        <f>IF('WetLitterbags placem_collection'!AA22="","",'WetLitterbags placem_collection'!AA22)</f>
        <v/>
      </c>
      <c r="AI681" t="str">
        <f>IF('WetLitterbags placem_collection'!AC22="","",'WetLitterbags placem_collection'!AC22)</f>
        <v/>
      </c>
      <c r="AJ681">
        <f>AVERAGE('WetLitterbags placem_collection'!S22,'WetLitterbags placem_collection'!U22)</f>
        <v>40.049999999999997</v>
      </c>
      <c r="AK681">
        <f>AVERAGE('WetLitterbags placem_collection'!R22,'WetLitterbags placem_collection'!T22)</f>
        <v>21.35</v>
      </c>
      <c r="AL681">
        <f>INDEX([2]Coordinates!$B$2:$B$197,MATCH(I681,[2]Coordinates!$J$2:$J$197,0))</f>
        <v>-3.3853969629999998</v>
      </c>
      <c r="AM681">
        <f>INDEX([2]Coordinates!$C$2:$C$197,MATCH(I681,[2]Coordinates!$J$2:$J$197,0))</f>
        <v>34.818977969999999</v>
      </c>
      <c r="AN681" t="str">
        <f>IF(ISNUMBER(SEARCH("C", 'WetLitterbags placem_collection'!$Y22)),"YES","NO")</f>
        <v>NO</v>
      </c>
      <c r="AO681" t="str">
        <f>IF(ISNUMBER(SEARCH("H", 'WetLitterbags placem_collection'!$Y22)),"YES","NO")</f>
        <v>NO</v>
      </c>
      <c r="AP681" t="str">
        <f>IF(ISNUMBER(SEARCH("R", 'WetLitterbags placem_collection'!$Y22)),"YES","NO")</f>
        <v>NO</v>
      </c>
    </row>
    <row r="682" spans="1:42" ht="15" customHeight="1">
      <c r="A682" t="s">
        <v>3248</v>
      </c>
      <c r="B682" s="248" t="s">
        <v>2454</v>
      </c>
      <c r="C682" s="253">
        <f>'Dry_Litterbag Placem_Collection'!A23</f>
        <v>21</v>
      </c>
      <c r="D682" s="253" t="str">
        <f>'Dry_Litterbag Placem_Collection'!B23</f>
        <v>Makao</v>
      </c>
      <c r="E682" s="253" t="s">
        <v>2643</v>
      </c>
      <c r="F682" s="253" t="s">
        <v>2644</v>
      </c>
      <c r="G682" s="253">
        <v>3</v>
      </c>
      <c r="H682" s="253" t="s">
        <v>3104</v>
      </c>
      <c r="I682" s="254" t="str">
        <f>'Dry_Litterbag Placem_Collection'!C23</f>
        <v>Dry_Ag3_T5</v>
      </c>
      <c r="J682" s="263" t="s">
        <v>2932</v>
      </c>
      <c r="K682" s="264" t="s">
        <v>298</v>
      </c>
      <c r="L682" s="221" t="str">
        <f>'WetLitterbags placem_collection'!Q23</f>
        <v>R79</v>
      </c>
      <c r="M682" s="223">
        <f>IFERROR(INDEX('Green_rooibos initial weight'!$C$5:$C$2000,MATCH(L682, 'Green_rooibos initial weight'!$A$5:$A$2000,0)),"")</f>
        <v>2.1890000000000001</v>
      </c>
      <c r="N682" s="223">
        <f>IFERROR(M682-(TBIcalc!$H$9+TBIcalc!$H$10),"")</f>
        <v>1.9392</v>
      </c>
      <c r="O682" s="378">
        <f>AVERAGE(Ashed_controlls!$K$2:$K$11)</f>
        <v>5.5147656768714146</v>
      </c>
      <c r="P682" s="223">
        <f t="shared" si="51"/>
        <v>1.8322576639941095</v>
      </c>
      <c r="Q682" s="223">
        <f>IFERROR(INDEX('Both teabags AfterWet'!$C$3:$C$840,MATCH(L682,'Both teabags AfterWet'!$A$3:$A$840,0)),"")</f>
        <v>1.4087000000000001</v>
      </c>
      <c r="R682" s="223">
        <f>IFERROR(IF(Q682&gt;0,Q682-(TBIcalc!$H$9),""),"")</f>
        <v>1.2581</v>
      </c>
      <c r="S682" s="223">
        <f>IFERROR(INDEX('Ashed teabags wet'!$K$2:$K$2000,MATCH(L682,'Ashed teabags wet'!$A$2:$A$2000,0)),"")</f>
        <v>6.7426871591461754</v>
      </c>
      <c r="T682" s="223">
        <f t="shared" si="52"/>
        <v>1.1732702528507819</v>
      </c>
      <c r="U682" s="224">
        <f>'WetLitterbags placem_collection'!E23</f>
        <v>42767</v>
      </c>
      <c r="V682" s="224">
        <f>IF('WetLitterbags placem_collection'!G23="","",'WetLitterbags placem_collection'!G23)</f>
        <v>42818</v>
      </c>
      <c r="W682" s="225">
        <f t="shared" si="50"/>
        <v>51</v>
      </c>
      <c r="X682" s="223">
        <f t="shared" si="53"/>
        <v>0.68110000000000004</v>
      </c>
      <c r="Y682" s="223">
        <f t="shared" si="54"/>
        <v>0.65898741114332759</v>
      </c>
      <c r="Z682">
        <f>IFERROR(INDEX([1]Rainfall_Wet!$O$2:$O$217,MATCH(C682, [1]Rainfall_Wet!$A$2:$A$217,0)),"")</f>
        <v>185.630065823</v>
      </c>
      <c r="AA682" s="226">
        <v>54.080969906906262</v>
      </c>
      <c r="AB682" s="226">
        <v>21.264484651351896</v>
      </c>
      <c r="AC682" s="226">
        <v>24.654545441741845</v>
      </c>
      <c r="AD682" s="227" t="s">
        <v>2654</v>
      </c>
      <c r="AE682" s="226">
        <v>5.8433218334154802</v>
      </c>
      <c r="AF682" t="str">
        <f>IF('WetLitterbags placem_collection'!AB23="","",'WetLitterbags placem_collection'!AB23)</f>
        <v/>
      </c>
      <c r="AG682" t="str">
        <f>IF('WetLitterbags placem_collection'!Z23="","",'WetLitterbags placem_collection'!Z23)</f>
        <v/>
      </c>
      <c r="AH682" s="236" t="str">
        <f>IF('WetLitterbags placem_collection'!AA23="","",'WetLitterbags placem_collection'!AA23)</f>
        <v/>
      </c>
      <c r="AI682" t="str">
        <f>IF('WetLitterbags placem_collection'!AC23="","",'WetLitterbags placem_collection'!AC23)</f>
        <v/>
      </c>
      <c r="AJ682">
        <f>AVERAGE('WetLitterbags placem_collection'!S23,'WetLitterbags placem_collection'!U23)</f>
        <v>34.150000000000006</v>
      </c>
      <c r="AK682">
        <f>AVERAGE('WetLitterbags placem_collection'!R23,'WetLitterbags placem_collection'!T23)</f>
        <v>20.6</v>
      </c>
      <c r="AL682">
        <f>INDEX([2]Coordinates!$B$2:$B$197,MATCH(I682,[2]Coordinates!$J$2:$J$197,0))</f>
        <v>-3.3854019919999998</v>
      </c>
      <c r="AM682">
        <f>INDEX([2]Coordinates!$C$2:$C$197,MATCH(I682,[2]Coordinates!$J$2:$J$197,0))</f>
        <v>34.81894604</v>
      </c>
      <c r="AN682" t="str">
        <f>IF(ISNUMBER(SEARCH("C", 'WetLitterbags placem_collection'!$Y23)),"YES","NO")</f>
        <v>NO</v>
      </c>
      <c r="AO682" t="str">
        <f>IF(ISNUMBER(SEARCH("H", 'WetLitterbags placem_collection'!$Y23)),"YES","NO")</f>
        <v>NO</v>
      </c>
      <c r="AP682" t="str">
        <f>IF(ISNUMBER(SEARCH("R", 'WetLitterbags placem_collection'!$Y23)),"YES","NO")</f>
        <v>NO</v>
      </c>
    </row>
    <row r="683" spans="1:42" ht="15" customHeight="1">
      <c r="A683" t="s">
        <v>3248</v>
      </c>
      <c r="B683" s="248" t="s">
        <v>2454</v>
      </c>
      <c r="C683" s="253">
        <f>'Dry_Litterbag Placem_Collection'!A24</f>
        <v>22</v>
      </c>
      <c r="D683" s="253" t="str">
        <f>'Dry_Litterbag Placem_Collection'!B24</f>
        <v>Makao</v>
      </c>
      <c r="E683" s="253" t="s">
        <v>2643</v>
      </c>
      <c r="F683" s="253" t="s">
        <v>2644</v>
      </c>
      <c r="G683" s="253">
        <v>3</v>
      </c>
      <c r="H683" s="253" t="s">
        <v>3104</v>
      </c>
      <c r="I683" s="254" t="str">
        <f>'Dry_Litterbag Placem_Collection'!C24</f>
        <v>Dry_Ag3_T6</v>
      </c>
      <c r="J683" s="263" t="s">
        <v>2932</v>
      </c>
      <c r="K683" s="264" t="s">
        <v>298</v>
      </c>
      <c r="L683" s="221" t="str">
        <f>'WetLitterbags placem_collection'!Q24</f>
        <v>R45</v>
      </c>
      <c r="M683" s="223">
        <f>IFERROR(INDEX('Green_rooibos initial weight'!$C$5:$C$2000,MATCH(L683, 'Green_rooibos initial weight'!$A$5:$A$2000,0)),"")</f>
        <v>2.1989999999999998</v>
      </c>
      <c r="N683" s="223">
        <f>IFERROR(M683-(TBIcalc!$H$9+TBIcalc!$H$10),"")</f>
        <v>1.9491999999999998</v>
      </c>
      <c r="O683" s="378">
        <f>AVERAGE(Ashed_controlls!$K$2:$K$11)</f>
        <v>5.5147656768714146</v>
      </c>
      <c r="P683" s="223">
        <f t="shared" si="51"/>
        <v>1.8417061874264222</v>
      </c>
      <c r="Q683" s="223">
        <f>IFERROR(INDEX('Both teabags AfterWet'!$C$3:$C$840,MATCH(L683,'Both teabags AfterWet'!$A$3:$A$840,0)),"")</f>
        <v>1.4908999999999999</v>
      </c>
      <c r="R683" s="223">
        <f>IFERROR(IF(Q683&gt;0,Q683-(TBIcalc!$H$9),""),"")</f>
        <v>1.3402999999999998</v>
      </c>
      <c r="S683" s="223">
        <f>IFERROR(INDEX('Ashed teabags wet'!$K$2:$K$2000,MATCH(L683,'Ashed teabags wet'!$A$2:$A$2000,0)),"")</f>
        <v>3.3797216699801611</v>
      </c>
      <c r="T683" s="223">
        <f t="shared" si="52"/>
        <v>1.2950015904572558</v>
      </c>
      <c r="U683" s="224">
        <f>'WetLitterbags placem_collection'!E24</f>
        <v>42767</v>
      </c>
      <c r="V683" s="224">
        <f>IF('WetLitterbags placem_collection'!G24="","",'WetLitterbags placem_collection'!G24)</f>
        <v>42818</v>
      </c>
      <c r="W683" s="225">
        <f t="shared" si="50"/>
        <v>51</v>
      </c>
      <c r="X683" s="223">
        <f t="shared" si="53"/>
        <v>0.6089</v>
      </c>
      <c r="Y683" s="223">
        <f t="shared" si="54"/>
        <v>0.5467045969691664</v>
      </c>
      <c r="Z683">
        <f>IFERROR(INDEX([1]Rainfall_Wet!$O$2:$O$217,MATCH(C683, [1]Rainfall_Wet!$A$2:$A$217,0)),"")</f>
        <v>185.630065823</v>
      </c>
      <c r="AA683" s="226">
        <v>54.080969906906262</v>
      </c>
      <c r="AB683" s="226">
        <v>21.264484651351896</v>
      </c>
      <c r="AC683" s="226">
        <v>24.654545441741845</v>
      </c>
      <c r="AD683" s="227" t="s">
        <v>2654</v>
      </c>
      <c r="AE683" s="226">
        <v>6.8433218334154802</v>
      </c>
      <c r="AF683" t="str">
        <f>IF('WetLitterbags placem_collection'!AB24="","",'WetLitterbags placem_collection'!AB24)</f>
        <v/>
      </c>
      <c r="AG683" t="str">
        <f>IF('WetLitterbags placem_collection'!Z24="","",'WetLitterbags placem_collection'!Z24)</f>
        <v/>
      </c>
      <c r="AH683" s="236" t="str">
        <f>IF('WetLitterbags placem_collection'!AA24="","",'WetLitterbags placem_collection'!AA24)</f>
        <v/>
      </c>
      <c r="AI683" t="str">
        <f>IF('WetLitterbags placem_collection'!AC24="","",'WetLitterbags placem_collection'!AC24)</f>
        <v/>
      </c>
      <c r="AJ683">
        <f>AVERAGE('WetLitterbags placem_collection'!S24,'WetLitterbags placem_collection'!U24)</f>
        <v>34.549999999999997</v>
      </c>
      <c r="AK683">
        <f>AVERAGE('WetLitterbags placem_collection'!R24,'WetLitterbags placem_collection'!T24)</f>
        <v>21.5</v>
      </c>
      <c r="AL683">
        <f>INDEX([2]Coordinates!$B$2:$B$197,MATCH(I683,[2]Coordinates!$J$2:$J$197,0))</f>
        <v>-3.3854470029999999</v>
      </c>
      <c r="AM683">
        <f>INDEX([2]Coordinates!$C$2:$C$197,MATCH(I683,[2]Coordinates!$J$2:$J$197,0))</f>
        <v>34.818946959999998</v>
      </c>
      <c r="AN683" t="str">
        <f>IF(ISNUMBER(SEARCH("C", 'WetLitterbags placem_collection'!$Y24)),"YES","NO")</f>
        <v>NO</v>
      </c>
      <c r="AO683" t="str">
        <f>IF(ISNUMBER(SEARCH("H", 'WetLitterbags placem_collection'!$Y24)),"YES","NO")</f>
        <v>NO</v>
      </c>
      <c r="AP683" t="str">
        <f>IF(ISNUMBER(SEARCH("R", 'WetLitterbags placem_collection'!$Y24)),"YES","NO")</f>
        <v>NO</v>
      </c>
    </row>
    <row r="684" spans="1:42" ht="15" customHeight="1">
      <c r="A684" t="s">
        <v>3248</v>
      </c>
      <c r="B684" s="248" t="s">
        <v>2454</v>
      </c>
      <c r="C684" s="253">
        <f>'Dry_Litterbag Placem_Collection'!A25</f>
        <v>23</v>
      </c>
      <c r="D684" s="253" t="str">
        <f>'Dry_Litterbag Placem_Collection'!B25</f>
        <v>Makao</v>
      </c>
      <c r="E684" s="253" t="s">
        <v>2643</v>
      </c>
      <c r="F684" s="253" t="s">
        <v>2644</v>
      </c>
      <c r="G684" s="253">
        <v>3</v>
      </c>
      <c r="H684" s="253" t="s">
        <v>3104</v>
      </c>
      <c r="I684" s="254" t="str">
        <f>'Dry_Litterbag Placem_Collection'!C25</f>
        <v>Dry_Ag3_T7</v>
      </c>
      <c r="J684" s="263" t="s">
        <v>2932</v>
      </c>
      <c r="K684" s="264" t="s">
        <v>298</v>
      </c>
      <c r="L684" s="221" t="str">
        <f>'WetLitterbags placem_collection'!Q25</f>
        <v>R132</v>
      </c>
      <c r="M684" s="223">
        <f>IFERROR(INDEX('Green_rooibos initial weight'!$C$5:$C$2000,MATCH(L684, 'Green_rooibos initial weight'!$A$5:$A$2000,0)),"")</f>
        <v>2.133</v>
      </c>
      <c r="N684" s="223">
        <f>IFERROR(M684-(TBIcalc!$H$9+TBIcalc!$H$10),"")</f>
        <v>1.8832</v>
      </c>
      <c r="O684" s="378">
        <f>AVERAGE(Ashed_controlls!$K$2:$K$11)</f>
        <v>5.5147656768714146</v>
      </c>
      <c r="P684" s="223">
        <f t="shared" si="51"/>
        <v>1.7793459327731576</v>
      </c>
      <c r="Q684" s="223">
        <f>IFERROR(INDEX('Both teabags AfterWet'!$C$3:$C$840,MATCH(L684,'Both teabags AfterWet'!$A$3:$A$840,0)),"")</f>
        <v>1.5238</v>
      </c>
      <c r="R684" s="223">
        <f>IFERROR(IF(Q684&gt;0,Q684-(TBIcalc!$H$9),""),"")</f>
        <v>1.3732</v>
      </c>
      <c r="S684" s="223">
        <f>IFERROR(INDEX('Ashed teabags wet'!$K$2:$K$2000,MATCH(L684,'Ashed teabags wet'!$A$2:$A$2000,0)),"")</f>
        <v>1.7982017982017391</v>
      </c>
      <c r="T684" s="223">
        <f t="shared" si="52"/>
        <v>1.3485070929070937</v>
      </c>
      <c r="U684" s="224">
        <f>'WetLitterbags placem_collection'!E25</f>
        <v>42767</v>
      </c>
      <c r="V684" s="224">
        <f>IF('WetLitterbags placem_collection'!G25="","",'WetLitterbags placem_collection'!G25)</f>
        <v>42818</v>
      </c>
      <c r="W684" s="225">
        <f t="shared" si="50"/>
        <v>51</v>
      </c>
      <c r="X684" s="223">
        <f t="shared" si="53"/>
        <v>0.51</v>
      </c>
      <c r="Y684" s="223">
        <f t="shared" si="54"/>
        <v>0.43083883986606386</v>
      </c>
      <c r="Z684">
        <f>IFERROR(INDEX([1]Rainfall_Wet!$O$2:$O$217,MATCH(C684, [1]Rainfall_Wet!$A$2:$A$217,0)),"")</f>
        <v>185.630065823</v>
      </c>
      <c r="AA684" s="226">
        <v>54.080969906906262</v>
      </c>
      <c r="AB684" s="226">
        <v>21.264484651351896</v>
      </c>
      <c r="AC684" s="226">
        <v>24.654545441741845</v>
      </c>
      <c r="AD684" s="227" t="s">
        <v>2654</v>
      </c>
      <c r="AE684" s="226">
        <v>7.8433218334154802</v>
      </c>
      <c r="AF684" t="str">
        <f>IF('WetLitterbags placem_collection'!AB25="","",'WetLitterbags placem_collection'!AB25)</f>
        <v/>
      </c>
      <c r="AG684" t="str">
        <f>IF('WetLitterbags placem_collection'!Z25="","",'WetLitterbags placem_collection'!Z25)</f>
        <v/>
      </c>
      <c r="AH684" s="236" t="str">
        <f>IF('WetLitterbags placem_collection'!AA25="","",'WetLitterbags placem_collection'!AA25)</f>
        <v/>
      </c>
      <c r="AI684" t="str">
        <f>IF('WetLitterbags placem_collection'!AC25="","",'WetLitterbags placem_collection'!AC25)</f>
        <v/>
      </c>
      <c r="AJ684">
        <f>AVERAGE('WetLitterbags placem_collection'!S25,'WetLitterbags placem_collection'!U25)</f>
        <v>34.5</v>
      </c>
      <c r="AK684">
        <f>AVERAGE('WetLitterbags placem_collection'!R25,'WetLitterbags placem_collection'!T25)</f>
        <v>20.65</v>
      </c>
      <c r="AL684">
        <f>INDEX([2]Coordinates!$B$2:$B$197,MATCH(I684,[2]Coordinates!$J$2:$J$197,0))</f>
        <v>-3.3854200130000001</v>
      </c>
      <c r="AM684">
        <f>INDEX([2]Coordinates!$C$2:$C$197,MATCH(I684,[2]Coordinates!$J$2:$J$197,0))</f>
        <v>34.818856019999998</v>
      </c>
      <c r="AN684" t="str">
        <f>IF(ISNUMBER(SEARCH("C", 'WetLitterbags placem_collection'!$Y25)),"YES","NO")</f>
        <v>NO</v>
      </c>
      <c r="AO684" t="str">
        <f>IF(ISNUMBER(SEARCH("H", 'WetLitterbags placem_collection'!$Y25)),"YES","NO")</f>
        <v>NO</v>
      </c>
      <c r="AP684" t="str">
        <f>IF(ISNUMBER(SEARCH("R", 'WetLitterbags placem_collection'!$Y25)),"YES","NO")</f>
        <v>NO</v>
      </c>
    </row>
    <row r="685" spans="1:42" ht="15" customHeight="1">
      <c r="A685" t="s">
        <v>3248</v>
      </c>
      <c r="B685" s="248" t="s">
        <v>2454</v>
      </c>
      <c r="C685" s="253">
        <f>'Dry_Litterbag Placem_Collection'!A26</f>
        <v>24</v>
      </c>
      <c r="D685" s="253" t="str">
        <f>'Dry_Litterbag Placem_Collection'!B26</f>
        <v>Makao</v>
      </c>
      <c r="E685" s="253" t="s">
        <v>2643</v>
      </c>
      <c r="F685" s="253" t="s">
        <v>2644</v>
      </c>
      <c r="G685" s="253">
        <v>3</v>
      </c>
      <c r="H685" s="253" t="s">
        <v>3104</v>
      </c>
      <c r="I685" s="254" t="str">
        <f>'Dry_Litterbag Placem_Collection'!C26</f>
        <v>Dry_Ag3_T8</v>
      </c>
      <c r="J685" s="263" t="s">
        <v>2932</v>
      </c>
      <c r="K685" s="264" t="s">
        <v>298</v>
      </c>
      <c r="L685" s="221" t="str">
        <f>'WetLitterbags placem_collection'!Q26</f>
        <v>R71</v>
      </c>
      <c r="M685" s="223">
        <f>IFERROR(INDEX('Green_rooibos initial weight'!$C$5:$C$2000,MATCH(L685, 'Green_rooibos initial weight'!$A$5:$A$2000,0)),"")</f>
        <v>2.2440000000000002</v>
      </c>
      <c r="N685" s="223">
        <f>IFERROR(M685-(TBIcalc!$H$9+TBIcalc!$H$10),"")</f>
        <v>1.9942000000000002</v>
      </c>
      <c r="O685" s="378">
        <f>AVERAGE(Ashed_controlls!$K$2:$K$11)</f>
        <v>5.5147656768714146</v>
      </c>
      <c r="P685" s="223">
        <f t="shared" si="51"/>
        <v>1.8842245428718305</v>
      </c>
      <c r="Q685" s="223">
        <f>IFERROR(INDEX('Both teabags AfterWet'!$C$3:$C$840,MATCH(L685,'Both teabags AfterWet'!$A$3:$A$840,0)),"")</f>
        <v>1.3083</v>
      </c>
      <c r="R685" s="223">
        <f>IFERROR(IF(Q685&gt;0,Q685-(TBIcalc!$H$9),""),"")</f>
        <v>1.1577</v>
      </c>
      <c r="S685" s="223">
        <f>IFERROR(INDEX('Ashed teabags wet'!$K$2:$K$2000,MATCH(L685,'Ashed teabags wet'!$A$2:$A$2000,0)),"")</f>
        <v>5.6575682382137682</v>
      </c>
      <c r="T685" s="223">
        <f t="shared" si="52"/>
        <v>1.0922023325061991</v>
      </c>
      <c r="U685" s="224">
        <f>'WetLitterbags placem_collection'!E26</f>
        <v>42767</v>
      </c>
      <c r="V685" s="224">
        <f>IF('WetLitterbags placem_collection'!G26="","",'WetLitterbags placem_collection'!G26)</f>
        <v>42818</v>
      </c>
      <c r="W685" s="225">
        <f t="shared" si="50"/>
        <v>51</v>
      </c>
      <c r="X685" s="223">
        <f t="shared" si="53"/>
        <v>0.83650000000000024</v>
      </c>
      <c r="Y685" s="223">
        <f t="shared" si="54"/>
        <v>0.79202221036563136</v>
      </c>
      <c r="Z685">
        <f>IFERROR(INDEX([1]Rainfall_Wet!$O$2:$O$217,MATCH(C685, [1]Rainfall_Wet!$A$2:$A$217,0)),"")</f>
        <v>185.630065823</v>
      </c>
      <c r="AA685" s="226">
        <v>54.080969906906262</v>
      </c>
      <c r="AB685" s="226">
        <v>21.264484651351896</v>
      </c>
      <c r="AC685" s="226">
        <v>24.654545441741845</v>
      </c>
      <c r="AD685" s="227" t="s">
        <v>2654</v>
      </c>
      <c r="AE685" s="226">
        <v>8.8433218334154695</v>
      </c>
      <c r="AF685" t="str">
        <f>IF('WetLitterbags placem_collection'!AB26="","",'WetLitterbags placem_collection'!AB26)</f>
        <v/>
      </c>
      <c r="AG685" t="str">
        <f>IF('WetLitterbags placem_collection'!Z26="","",'WetLitterbags placem_collection'!Z26)</f>
        <v/>
      </c>
      <c r="AH685" s="236" t="str">
        <f>IF('WetLitterbags placem_collection'!AA26="","",'WetLitterbags placem_collection'!AA26)</f>
        <v/>
      </c>
      <c r="AI685" t="str">
        <f>IF('WetLitterbags placem_collection'!AC26="","",'WetLitterbags placem_collection'!AC26)</f>
        <v/>
      </c>
      <c r="AJ685">
        <f>AVERAGE('WetLitterbags placem_collection'!S26,'WetLitterbags placem_collection'!U26)</f>
        <v>36.950000000000003</v>
      </c>
      <c r="AK685">
        <f>AVERAGE('WetLitterbags placem_collection'!R26,'WetLitterbags placem_collection'!T26)</f>
        <v>21.1</v>
      </c>
      <c r="AL685">
        <f>INDEX([2]Coordinates!$B$2:$B$197,MATCH(I685,[2]Coordinates!$J$2:$J$197,0))</f>
        <v>-3.3853829649999998</v>
      </c>
      <c r="AM685">
        <f>INDEX([2]Coordinates!$C$2:$C$197,MATCH(I685,[2]Coordinates!$J$2:$J$197,0))</f>
        <v>34.818877980000003</v>
      </c>
      <c r="AN685" t="str">
        <f>IF(ISNUMBER(SEARCH("C", 'WetLitterbags placem_collection'!$Y26)),"YES","NO")</f>
        <v>NO</v>
      </c>
      <c r="AO685" t="str">
        <f>IF(ISNUMBER(SEARCH("H", 'WetLitterbags placem_collection'!$Y26)),"YES","NO")</f>
        <v>NO</v>
      </c>
      <c r="AP685" t="str">
        <f>IF(ISNUMBER(SEARCH("R", 'WetLitterbags placem_collection'!$Y26)),"YES","NO")</f>
        <v>NO</v>
      </c>
    </row>
    <row r="686" spans="1:42" ht="15" customHeight="1">
      <c r="A686" t="s">
        <v>3248</v>
      </c>
      <c r="B686" s="248" t="s">
        <v>2454</v>
      </c>
      <c r="C686" s="253">
        <f>'Dry_Litterbag Placem_Collection'!A27</f>
        <v>25</v>
      </c>
      <c r="D686" s="253" t="str">
        <f>'Dry_Litterbag Placem_Collection'!B27</f>
        <v>Makao</v>
      </c>
      <c r="E686" s="253" t="s">
        <v>2643</v>
      </c>
      <c r="F686" s="253" t="s">
        <v>2644</v>
      </c>
      <c r="G686" s="253">
        <v>4</v>
      </c>
      <c r="H686" s="253" t="s">
        <v>3105</v>
      </c>
      <c r="I686" s="254" t="str">
        <f>'Dry_Litterbag Placem_Collection'!C27</f>
        <v>Dry_Ag4_T1</v>
      </c>
      <c r="J686" s="263" t="s">
        <v>2932</v>
      </c>
      <c r="K686" s="264" t="s">
        <v>298</v>
      </c>
      <c r="L686" s="221" t="str">
        <f>'WetLitterbags placem_collection'!Q27</f>
        <v>R104</v>
      </c>
      <c r="M686" s="223">
        <f>IFERROR(INDEX('Green_rooibos initial weight'!$C$5:$C$2000,MATCH(L686, 'Green_rooibos initial weight'!$A$5:$A$2000,0)),"")</f>
        <v>2.2109999999999999</v>
      </c>
      <c r="N686" s="223">
        <f>IFERROR(M686-(TBIcalc!$H$9+TBIcalc!$H$10),"")</f>
        <v>1.9611999999999998</v>
      </c>
      <c r="O686" s="378">
        <f>AVERAGE(Ashed_controlls!$K$2:$K$11)</f>
        <v>5.5147656768714146</v>
      </c>
      <c r="P686" s="223">
        <f t="shared" si="51"/>
        <v>1.8530444155451977</v>
      </c>
      <c r="Q686" s="223">
        <f>IFERROR(INDEX('Both teabags AfterWet'!$C$3:$C$840,MATCH(L686,'Both teabags AfterWet'!$A$3:$A$840,0)),"")</f>
        <v>1.4184000000000001</v>
      </c>
      <c r="R686" s="223">
        <f>IFERROR(IF(Q686&gt;0,Q686-(TBIcalc!$H$9),""),"")</f>
        <v>1.2678</v>
      </c>
      <c r="S686" s="223">
        <f>IFERROR(INDEX('Ashed teabags wet'!$K$2:$K$2000,MATCH(L686,'Ashed teabags wet'!$A$2:$A$2000,0)),"")</f>
        <v>3.8194444444447946</v>
      </c>
      <c r="T686" s="223">
        <f t="shared" si="52"/>
        <v>1.2193770833333288</v>
      </c>
      <c r="U686" s="224">
        <f>'WetLitterbags placem_collection'!E27</f>
        <v>42767</v>
      </c>
      <c r="V686" s="224">
        <f>IF('WetLitterbags placem_collection'!G27="","",'WetLitterbags placem_collection'!G27)</f>
        <v>42818</v>
      </c>
      <c r="W686" s="225">
        <f t="shared" si="50"/>
        <v>51</v>
      </c>
      <c r="X686" s="223">
        <f t="shared" si="53"/>
        <v>0.69339999999999979</v>
      </c>
      <c r="Y686" s="223">
        <f t="shared" si="54"/>
        <v>0.63366733221186888</v>
      </c>
      <c r="Z686">
        <f>IFERROR(INDEX([1]Rainfall_Wet!$O$2:$O$217,MATCH(C686, [1]Rainfall_Wet!$A$2:$A$217,0)),"")</f>
        <v>185.630065823</v>
      </c>
      <c r="AA686" s="226">
        <v>51.960000000000008</v>
      </c>
      <c r="AB686" s="226">
        <v>18.919999999999995</v>
      </c>
      <c r="AC686" s="226">
        <v>29.120000000000005</v>
      </c>
      <c r="AD686" s="227" t="s">
        <v>2654</v>
      </c>
      <c r="AE686" s="226">
        <v>1.85293247905372</v>
      </c>
      <c r="AF686" t="str">
        <f>IF('WetLitterbags placem_collection'!AB27="","",'WetLitterbags placem_collection'!AB27)</f>
        <v/>
      </c>
      <c r="AG686" t="str">
        <f>IF('WetLitterbags placem_collection'!Z27="","",'WetLitterbags placem_collection'!Z27)</f>
        <v/>
      </c>
      <c r="AH686" s="236" t="str">
        <f>IF('WetLitterbags placem_collection'!AA27="","",'WetLitterbags placem_collection'!AA27)</f>
        <v/>
      </c>
      <c r="AI686" t="str">
        <f>IF('WetLitterbags placem_collection'!AC27="","",'WetLitterbags placem_collection'!AC27)</f>
        <v/>
      </c>
      <c r="AJ686">
        <f>AVERAGE('WetLitterbags placem_collection'!S27,'WetLitterbags placem_collection'!U27)</f>
        <v>36.85</v>
      </c>
      <c r="AK686">
        <f>AVERAGE('WetLitterbags placem_collection'!R27,'WetLitterbags placem_collection'!T27)</f>
        <v>21.35</v>
      </c>
      <c r="AL686">
        <f>INDEX([2]Coordinates!$B$2:$B$197,MATCH(I686,[2]Coordinates!$J$2:$J$197,0))</f>
        <v>-3.3849129919999998</v>
      </c>
      <c r="AM686">
        <f>INDEX([2]Coordinates!$C$2:$C$197,MATCH(I686,[2]Coordinates!$J$2:$J$197,0))</f>
        <v>34.818899020000003</v>
      </c>
      <c r="AN686" t="str">
        <f>IF(ISNUMBER(SEARCH("C", 'WetLitterbags placem_collection'!$Y27)),"YES","NO")</f>
        <v>NO</v>
      </c>
      <c r="AO686" t="str">
        <f>IF(ISNUMBER(SEARCH("H", 'WetLitterbags placem_collection'!$Y27)),"YES","NO")</f>
        <v>NO</v>
      </c>
      <c r="AP686" t="str">
        <f>IF(ISNUMBER(SEARCH("R", 'WetLitterbags placem_collection'!$Y27)),"YES","NO")</f>
        <v>NO</v>
      </c>
    </row>
    <row r="687" spans="1:42" ht="15" customHeight="1">
      <c r="A687" t="s">
        <v>3248</v>
      </c>
      <c r="B687" s="248" t="s">
        <v>2454</v>
      </c>
      <c r="C687" s="253">
        <f>'Dry_Litterbag Placem_Collection'!A28</f>
        <v>26</v>
      </c>
      <c r="D687" s="253" t="str">
        <f>'Dry_Litterbag Placem_Collection'!B28</f>
        <v>Makao</v>
      </c>
      <c r="E687" s="253" t="s">
        <v>2643</v>
      </c>
      <c r="F687" s="253" t="s">
        <v>2644</v>
      </c>
      <c r="G687" s="253">
        <v>4</v>
      </c>
      <c r="H687" s="253" t="s">
        <v>3105</v>
      </c>
      <c r="I687" s="254" t="str">
        <f>'Dry_Litterbag Placem_Collection'!C28</f>
        <v>Dry_Ag4_T2</v>
      </c>
      <c r="J687" s="263" t="s">
        <v>2932</v>
      </c>
      <c r="K687" s="264" t="s">
        <v>298</v>
      </c>
      <c r="L687" s="221" t="str">
        <f>'WetLitterbags placem_collection'!Q28</f>
        <v>R189</v>
      </c>
      <c r="M687" s="223">
        <f>IFERROR(INDEX('Green_rooibos initial weight'!$C$5:$C$2000,MATCH(L687, 'Green_rooibos initial weight'!$A$5:$A$2000,0)),"")</f>
        <v>2.274</v>
      </c>
      <c r="N687" s="223">
        <f>IFERROR(M687-(TBIcalc!$H$9+TBIcalc!$H$10),"")</f>
        <v>2.0242</v>
      </c>
      <c r="O687" s="378">
        <f>AVERAGE(Ashed_controlls!$K$2:$K$11)</f>
        <v>5.5147656768714146</v>
      </c>
      <c r="P687" s="223">
        <f t="shared" si="51"/>
        <v>1.9125701131687689</v>
      </c>
      <c r="Q687" s="223">
        <f>IFERROR(INDEX('Both teabags AfterWet'!$C$3:$C$840,MATCH(L687,'Both teabags AfterWet'!$A$3:$A$840,0)),"")</f>
        <v>1.464</v>
      </c>
      <c r="R687" s="223">
        <f>IFERROR(IF(Q687&gt;0,Q687-(TBIcalc!$H$9),""),"")</f>
        <v>1.3133999999999999</v>
      </c>
      <c r="S687" s="223">
        <f>IFERROR(INDEX('Ashed teabags wet'!$K$2:$K$2000,MATCH(L687,'Ashed teabags wet'!$A$2:$A$2000,0)),"")</f>
        <v>2.9721955896448731</v>
      </c>
      <c r="T687" s="223">
        <f t="shared" si="52"/>
        <v>1.2743631831256041</v>
      </c>
      <c r="U687" s="224">
        <f>'WetLitterbags placem_collection'!E28</f>
        <v>42767</v>
      </c>
      <c r="V687" s="224">
        <f>IF('WetLitterbags placem_collection'!G28="","",'WetLitterbags placem_collection'!G28)</f>
        <v>42818</v>
      </c>
      <c r="W687" s="225">
        <f t="shared" si="50"/>
        <v>51</v>
      </c>
      <c r="X687" s="223">
        <f t="shared" si="53"/>
        <v>0.7108000000000001</v>
      </c>
      <c r="Y687" s="223">
        <f t="shared" si="54"/>
        <v>0.63820693004316476</v>
      </c>
      <c r="Z687">
        <f>IFERROR(INDEX([1]Rainfall_Wet!$O$2:$O$217,MATCH(C687, [1]Rainfall_Wet!$A$2:$A$217,0)),"")</f>
        <v>185.630065823</v>
      </c>
      <c r="AA687" s="226">
        <v>51.960000000000008</v>
      </c>
      <c r="AB687" s="226">
        <v>18.919999999999995</v>
      </c>
      <c r="AC687" s="226">
        <v>29.120000000000005</v>
      </c>
      <c r="AD687" s="227" t="s">
        <v>2654</v>
      </c>
      <c r="AE687" s="226">
        <v>2.8529324790537198</v>
      </c>
      <c r="AF687" t="str">
        <f>IF('WetLitterbags placem_collection'!AB28="","",'WetLitterbags placem_collection'!AB28)</f>
        <v/>
      </c>
      <c r="AG687" t="str">
        <f>IF('WetLitterbags placem_collection'!Z28="","",'WetLitterbags placem_collection'!Z28)</f>
        <v/>
      </c>
      <c r="AH687" s="236" t="str">
        <f>IF('WetLitterbags placem_collection'!AA28="","",'WetLitterbags placem_collection'!AA28)</f>
        <v/>
      </c>
      <c r="AI687" t="str">
        <f>IF('WetLitterbags placem_collection'!AC28="","",'WetLitterbags placem_collection'!AC28)</f>
        <v/>
      </c>
      <c r="AJ687">
        <f>AVERAGE('WetLitterbags placem_collection'!S28,'WetLitterbags placem_collection'!U28)</f>
        <v>31.3</v>
      </c>
      <c r="AK687">
        <f>AVERAGE('WetLitterbags placem_collection'!R28,'WetLitterbags placem_collection'!T28)</f>
        <v>20.7</v>
      </c>
      <c r="AL687">
        <f>INDEX([2]Coordinates!$B$2:$B$197,MATCH(I687,[2]Coordinates!$J$2:$J$197,0))</f>
        <v>-3.3849689999999999</v>
      </c>
      <c r="AM687">
        <f>INDEX([2]Coordinates!$C$2:$C$197,MATCH(I687,[2]Coordinates!$J$2:$J$197,0))</f>
        <v>34.818908</v>
      </c>
      <c r="AN687" t="str">
        <f>IF(ISNUMBER(SEARCH("C", 'WetLitterbags placem_collection'!$Y28)),"YES","NO")</f>
        <v>NO</v>
      </c>
      <c r="AO687" t="str">
        <f>IF(ISNUMBER(SEARCH("H", 'WetLitterbags placem_collection'!$Y28)),"YES","NO")</f>
        <v>NO</v>
      </c>
      <c r="AP687" t="str">
        <f>IF(ISNUMBER(SEARCH("R", 'WetLitterbags placem_collection'!$Y28)),"YES","NO")</f>
        <v>NO</v>
      </c>
    </row>
    <row r="688" spans="1:42" ht="15" customHeight="1">
      <c r="A688" t="s">
        <v>3248</v>
      </c>
      <c r="B688" s="248" t="s">
        <v>2454</v>
      </c>
      <c r="C688" s="253">
        <f>'Dry_Litterbag Placem_Collection'!A29</f>
        <v>27</v>
      </c>
      <c r="D688" s="253" t="str">
        <f>'Dry_Litterbag Placem_Collection'!B29</f>
        <v>Makao</v>
      </c>
      <c r="E688" s="253" t="s">
        <v>2643</v>
      </c>
      <c r="F688" s="253" t="s">
        <v>2644</v>
      </c>
      <c r="G688" s="253">
        <v>4</v>
      </c>
      <c r="H688" s="253" t="s">
        <v>3105</v>
      </c>
      <c r="I688" s="254" t="str">
        <f>'Dry_Litterbag Placem_Collection'!C29</f>
        <v>Dry_Ag4_T3</v>
      </c>
      <c r="J688" s="263" t="s">
        <v>2932</v>
      </c>
      <c r="K688" s="264" t="s">
        <v>298</v>
      </c>
      <c r="L688" s="221" t="str">
        <f>'WetLitterbags placem_collection'!Q29</f>
        <v>R217</v>
      </c>
      <c r="M688" s="223">
        <f>IFERROR(INDEX('Green_rooibos initial weight'!$C$5:$C$2000,MATCH(L688, 'Green_rooibos initial weight'!$A$5:$A$2000,0)),"")</f>
        <v>2.2109999999999999</v>
      </c>
      <c r="N688" s="223">
        <f>IFERROR(M688-(TBIcalc!$H$9+TBIcalc!$H$10),"")</f>
        <v>1.9611999999999998</v>
      </c>
      <c r="O688" s="378">
        <f>AVERAGE(Ashed_controlls!$K$2:$K$11)</f>
        <v>5.5147656768714146</v>
      </c>
      <c r="P688" s="223">
        <f t="shared" si="51"/>
        <v>1.8530444155451977</v>
      </c>
      <c r="Q688" s="223">
        <f>IFERROR(INDEX('Both teabags AfterWet'!$C$3:$C$840,MATCH(L688,'Both teabags AfterWet'!$A$3:$A$840,0)),"")</f>
        <v>1.5392999999999999</v>
      </c>
      <c r="R688" s="223">
        <f>IFERROR(IF(Q688&gt;0,Q688-(TBIcalc!$H$9),""),"")</f>
        <v>1.3886999999999998</v>
      </c>
      <c r="S688" s="223">
        <f>IFERROR(INDEX('Ashed teabags wet'!$K$2:$K$2000,MATCH(L688,'Ashed teabags wet'!$A$2:$A$2000,0)),"")</f>
        <v>3.5156250000002229</v>
      </c>
      <c r="T688" s="223">
        <f t="shared" si="52"/>
        <v>1.3398785156249968</v>
      </c>
      <c r="U688" s="224">
        <f>'WetLitterbags placem_collection'!E29</f>
        <v>42767</v>
      </c>
      <c r="V688" s="224">
        <f>IF('WetLitterbags placem_collection'!G29="","",'WetLitterbags placem_collection'!G29)</f>
        <v>42818</v>
      </c>
      <c r="W688" s="225">
        <f t="shared" si="50"/>
        <v>51</v>
      </c>
      <c r="X688" s="223">
        <f t="shared" si="53"/>
        <v>0.57250000000000001</v>
      </c>
      <c r="Y688" s="223">
        <f t="shared" si="54"/>
        <v>0.5131658999202009</v>
      </c>
      <c r="Z688">
        <f>IFERROR(INDEX([1]Rainfall_Wet!$O$2:$O$217,MATCH(C688, [1]Rainfall_Wet!$A$2:$A$217,0)),"")</f>
        <v>185.630065823</v>
      </c>
      <c r="AA688" s="226">
        <v>51.960000000000008</v>
      </c>
      <c r="AB688" s="226">
        <v>18.919999999999995</v>
      </c>
      <c r="AC688" s="226">
        <v>29.120000000000005</v>
      </c>
      <c r="AD688" s="227" t="s">
        <v>2654</v>
      </c>
      <c r="AE688" s="226">
        <v>3.8529324790537198</v>
      </c>
      <c r="AF688" t="str">
        <f>IF('WetLitterbags placem_collection'!AB29="","",'WetLitterbags placem_collection'!AB29)</f>
        <v/>
      </c>
      <c r="AG688" t="str">
        <f>IF('WetLitterbags placem_collection'!Z29="","",'WetLitterbags placem_collection'!Z29)</f>
        <v/>
      </c>
      <c r="AH688" s="236" t="str">
        <f>IF('WetLitterbags placem_collection'!AA29="","",'WetLitterbags placem_collection'!AA29)</f>
        <v/>
      </c>
      <c r="AI688" t="str">
        <f>IF('WetLitterbags placem_collection'!AC29="","",'WetLitterbags placem_collection'!AC29)</f>
        <v/>
      </c>
      <c r="AJ688">
        <f>AVERAGE('WetLitterbags placem_collection'!S29,'WetLitterbags placem_collection'!U29)</f>
        <v>28.900000000000002</v>
      </c>
      <c r="AK688">
        <f>AVERAGE('WetLitterbags placem_collection'!R29,'WetLitterbags placem_collection'!T29)</f>
        <v>21.4</v>
      </c>
      <c r="AL688">
        <f>INDEX([2]Coordinates!$B$2:$B$197,MATCH(I688,[2]Coordinates!$J$2:$J$197,0))</f>
        <v>-3.3849350359999999</v>
      </c>
      <c r="AM688">
        <f>INDEX([2]Coordinates!$C$2:$C$197,MATCH(I688,[2]Coordinates!$J$2:$J$197,0))</f>
        <v>34.818943019999999</v>
      </c>
      <c r="AN688" t="str">
        <f>IF(ISNUMBER(SEARCH("C", 'WetLitterbags placem_collection'!$Y29)),"YES","NO")</f>
        <v>NO</v>
      </c>
      <c r="AO688" t="str">
        <f>IF(ISNUMBER(SEARCH("H", 'WetLitterbags placem_collection'!$Y29)),"YES","NO")</f>
        <v>NO</v>
      </c>
      <c r="AP688" t="str">
        <f>IF(ISNUMBER(SEARCH("R", 'WetLitterbags placem_collection'!$Y29)),"YES","NO")</f>
        <v>NO</v>
      </c>
    </row>
    <row r="689" spans="1:42" ht="15" customHeight="1">
      <c r="A689" t="s">
        <v>3248</v>
      </c>
      <c r="B689" s="248" t="s">
        <v>2454</v>
      </c>
      <c r="C689" s="253">
        <f>'Dry_Litterbag Placem_Collection'!A30</f>
        <v>28</v>
      </c>
      <c r="D689" s="253" t="str">
        <f>'Dry_Litterbag Placem_Collection'!B30</f>
        <v>Makao</v>
      </c>
      <c r="E689" s="253" t="s">
        <v>2643</v>
      </c>
      <c r="F689" s="253" t="s">
        <v>2644</v>
      </c>
      <c r="G689" s="253">
        <v>4</v>
      </c>
      <c r="H689" s="253" t="s">
        <v>3105</v>
      </c>
      <c r="I689" s="254" t="str">
        <f>'Dry_Litterbag Placem_Collection'!C30</f>
        <v>Dry_Ag4_T4</v>
      </c>
      <c r="J689" s="263" t="s">
        <v>2932</v>
      </c>
      <c r="K689" s="264" t="s">
        <v>298</v>
      </c>
      <c r="L689" s="221" t="str">
        <f>'WetLitterbags placem_collection'!Q30</f>
        <v>R172</v>
      </c>
      <c r="M689" s="223">
        <f>IFERROR(INDEX('Green_rooibos initial weight'!$C$5:$C$2000,MATCH(L689, 'Green_rooibos initial weight'!$A$5:$A$2000,0)),"")</f>
        <v>2.1520000000000001</v>
      </c>
      <c r="N689" s="223">
        <f>IFERROR(M689-(TBIcalc!$H$9+TBIcalc!$H$10),"")</f>
        <v>1.9022000000000001</v>
      </c>
      <c r="O689" s="378">
        <f>AVERAGE(Ashed_controlls!$K$2:$K$11)</f>
        <v>5.5147656768714146</v>
      </c>
      <c r="P689" s="223">
        <f t="shared" si="51"/>
        <v>1.7972981272945521</v>
      </c>
      <c r="Q689" s="223">
        <f>IFERROR(INDEX('Both teabags AfterWet'!$C$3:$C$840,MATCH(L689,'Both teabags AfterWet'!$A$3:$A$840,0)),"")</f>
        <v>1.4665999999999999</v>
      </c>
      <c r="R689" s="223">
        <f>IFERROR(IF(Q689&gt;0,Q689-(TBIcalc!$H$9),""),"")</f>
        <v>1.3159999999999998</v>
      </c>
      <c r="S689" s="223">
        <f>IFERROR(INDEX('Ashed teabags wet'!$K$2:$K$2000,MATCH(L689,'Ashed teabags wet'!$A$2:$A$2000,0)),"")</f>
        <v>4.6569854782171465</v>
      </c>
      <c r="T689" s="223">
        <f t="shared" si="52"/>
        <v>1.2547140711066622</v>
      </c>
      <c r="U689" s="224">
        <f>'WetLitterbags placem_collection'!E30</f>
        <v>42767</v>
      </c>
      <c r="V689" s="224">
        <f>IF('WetLitterbags placem_collection'!G30="","",'WetLitterbags placem_collection'!G30)</f>
        <v>42818</v>
      </c>
      <c r="W689" s="225">
        <f t="shared" si="50"/>
        <v>51</v>
      </c>
      <c r="X689" s="223">
        <f t="shared" si="53"/>
        <v>0.58620000000000028</v>
      </c>
      <c r="Y689" s="223">
        <f t="shared" si="54"/>
        <v>0.54258405618788985</v>
      </c>
      <c r="Z689">
        <f>IFERROR(INDEX([1]Rainfall_Wet!$O$2:$O$217,MATCH(C689, [1]Rainfall_Wet!$A$2:$A$217,0)),"")</f>
        <v>185.630065823</v>
      </c>
      <c r="AA689" s="226">
        <v>51.960000000000008</v>
      </c>
      <c r="AB689" s="226">
        <v>18.919999999999995</v>
      </c>
      <c r="AC689" s="226">
        <v>29.120000000000005</v>
      </c>
      <c r="AD689" s="227" t="s">
        <v>2654</v>
      </c>
      <c r="AE689" s="226">
        <v>4.8529324790537203</v>
      </c>
      <c r="AF689" t="str">
        <f>IF('WetLitterbags placem_collection'!AB30="","",'WetLitterbags placem_collection'!AB30)</f>
        <v/>
      </c>
      <c r="AG689" t="str">
        <f>IF('WetLitterbags placem_collection'!Z30="","",'WetLitterbags placem_collection'!Z30)</f>
        <v/>
      </c>
      <c r="AH689" s="236" t="str">
        <f>IF('WetLitterbags placem_collection'!AA30="","",'WetLitterbags placem_collection'!AA30)</f>
        <v/>
      </c>
      <c r="AI689" t="str">
        <f>IF('WetLitterbags placem_collection'!AC30="","",'WetLitterbags placem_collection'!AC30)</f>
        <v/>
      </c>
      <c r="AJ689">
        <f>AVERAGE('WetLitterbags placem_collection'!S30,'WetLitterbags placem_collection'!U30)</f>
        <v>33.4</v>
      </c>
      <c r="AK689">
        <f>AVERAGE('WetLitterbags placem_collection'!R30,'WetLitterbags placem_collection'!T30)</f>
        <v>20.6</v>
      </c>
      <c r="AL689">
        <f>INDEX([2]Coordinates!$B$2:$B$197,MATCH(I689,[2]Coordinates!$J$2:$J$197,0))</f>
        <v>-3.3850070369999998</v>
      </c>
      <c r="AM689">
        <f>INDEX([2]Coordinates!$C$2:$C$197,MATCH(I689,[2]Coordinates!$J$2:$J$197,0))</f>
        <v>34.818888960000002</v>
      </c>
      <c r="AN689" t="str">
        <f>IF(ISNUMBER(SEARCH("C", 'WetLitterbags placem_collection'!$Y30)),"YES","NO")</f>
        <v>NO</v>
      </c>
      <c r="AO689" t="str">
        <f>IF(ISNUMBER(SEARCH("H", 'WetLitterbags placem_collection'!$Y30)),"YES","NO")</f>
        <v>NO</v>
      </c>
      <c r="AP689" t="str">
        <f>IF(ISNUMBER(SEARCH("R", 'WetLitterbags placem_collection'!$Y30)),"YES","NO")</f>
        <v>NO</v>
      </c>
    </row>
    <row r="690" spans="1:42" ht="15" customHeight="1">
      <c r="A690" t="s">
        <v>3248</v>
      </c>
      <c r="B690" s="248" t="s">
        <v>2454</v>
      </c>
      <c r="C690" s="253">
        <f>'Dry_Litterbag Placem_Collection'!A31</f>
        <v>29</v>
      </c>
      <c r="D690" s="253" t="str">
        <f>'Dry_Litterbag Placem_Collection'!B31</f>
        <v>Makao</v>
      </c>
      <c r="E690" s="253" t="s">
        <v>2643</v>
      </c>
      <c r="F690" s="253" t="s">
        <v>2644</v>
      </c>
      <c r="G690" s="253">
        <v>4</v>
      </c>
      <c r="H690" s="253" t="s">
        <v>3105</v>
      </c>
      <c r="I690" s="254" t="str">
        <f>'Dry_Litterbag Placem_Collection'!C31</f>
        <v>Dry_Ag4_T5</v>
      </c>
      <c r="J690" s="263" t="s">
        <v>2932</v>
      </c>
      <c r="K690" s="264" t="s">
        <v>298</v>
      </c>
      <c r="L690" s="221" t="str">
        <f>'WetLitterbags placem_collection'!Q31</f>
        <v>R349</v>
      </c>
      <c r="M690" s="223">
        <f>IFERROR(INDEX('Green_rooibos initial weight'!$C$5:$C$2000,MATCH(L690, 'Green_rooibos initial weight'!$A$5:$A$2000,0)),"")</f>
        <v>2.2469999999999999</v>
      </c>
      <c r="N690" s="223">
        <f>IFERROR(M690-(TBIcalc!$H$9+TBIcalc!$H$10),"")</f>
        <v>1.9971999999999999</v>
      </c>
      <c r="O690" s="378">
        <f>AVERAGE(Ashed_controlls!$K$2:$K$11)</f>
        <v>5.5147656768714146</v>
      </c>
      <c r="P690" s="223">
        <f t="shared" si="51"/>
        <v>1.887059099901524</v>
      </c>
      <c r="Q690" s="223">
        <f>IFERROR(INDEX('Both teabags AfterWet'!$C$3:$C$840,MATCH(L690,'Both teabags AfterWet'!$A$3:$A$840,0)),"")</f>
        <v>1.4108000000000001</v>
      </c>
      <c r="R690" s="223">
        <f>IFERROR(IF(Q690&gt;0,Q690-(TBIcalc!$H$9),""),"")</f>
        <v>1.2602</v>
      </c>
      <c r="S690" s="223">
        <f>IFERROR(INDEX('Ashed teabags wet'!$K$2:$K$2000,MATCH(L690,'Ashed teabags wet'!$A$2:$A$2000,0)),"")</f>
        <v>3.0821917808218364</v>
      </c>
      <c r="T690" s="223">
        <f t="shared" si="52"/>
        <v>1.2213582191780832</v>
      </c>
      <c r="U690" s="224">
        <f>'WetLitterbags placem_collection'!E31</f>
        <v>42767</v>
      </c>
      <c r="V690" s="224">
        <f>IF('WetLitterbags placem_collection'!G31="","",'WetLitterbags placem_collection'!G31)</f>
        <v>42818</v>
      </c>
      <c r="W690" s="225">
        <f t="shared" si="50"/>
        <v>51</v>
      </c>
      <c r="X690" s="223">
        <f t="shared" si="53"/>
        <v>0.73699999999999988</v>
      </c>
      <c r="Y690" s="223">
        <f t="shared" si="54"/>
        <v>0.6657008807234408</v>
      </c>
      <c r="Z690">
        <f>IFERROR(INDEX([1]Rainfall_Wet!$O$2:$O$217,MATCH(C690, [1]Rainfall_Wet!$A$2:$A$217,0)),"")</f>
        <v>185.630065823</v>
      </c>
      <c r="AA690" s="226">
        <v>51.960000000000008</v>
      </c>
      <c r="AB690" s="226">
        <v>18.919999999999995</v>
      </c>
      <c r="AC690" s="226">
        <v>29.120000000000005</v>
      </c>
      <c r="AD690" s="227" t="s">
        <v>2654</v>
      </c>
      <c r="AE690" s="226">
        <v>5.8529324790537203</v>
      </c>
      <c r="AF690" t="str">
        <f>IF('WetLitterbags placem_collection'!AB31="","",'WetLitterbags placem_collection'!AB31)</f>
        <v/>
      </c>
      <c r="AG690" t="str">
        <f>IF('WetLitterbags placem_collection'!Z31="","",'WetLitterbags placem_collection'!Z31)</f>
        <v/>
      </c>
      <c r="AH690" s="236" t="str">
        <f>IF('WetLitterbags placem_collection'!AA31="","",'WetLitterbags placem_collection'!AA31)</f>
        <v/>
      </c>
      <c r="AI690" t="str">
        <f>IF('WetLitterbags placem_collection'!AC31="","",'WetLitterbags placem_collection'!AC31)</f>
        <v/>
      </c>
      <c r="AJ690">
        <f>AVERAGE('WetLitterbags placem_collection'!S31,'WetLitterbags placem_collection'!U31)</f>
        <v>28.4</v>
      </c>
      <c r="AK690">
        <f>AVERAGE('WetLitterbags placem_collection'!R31,'WetLitterbags placem_collection'!T31)</f>
        <v>21.049999999999997</v>
      </c>
      <c r="AL690">
        <f>INDEX([2]Coordinates!$B$2:$B$197,MATCH(I690,[2]Coordinates!$J$2:$J$197,0))</f>
        <v>-3.3849480280000002</v>
      </c>
      <c r="AM690">
        <f>INDEX([2]Coordinates!$C$2:$C$197,MATCH(I690,[2]Coordinates!$J$2:$J$197,0))</f>
        <v>34.818854010000003</v>
      </c>
      <c r="AN690" t="str">
        <f>IF(ISNUMBER(SEARCH("C", 'WetLitterbags placem_collection'!$Y31)),"YES","NO")</f>
        <v>NO</v>
      </c>
      <c r="AO690" t="str">
        <f>IF(ISNUMBER(SEARCH("H", 'WetLitterbags placem_collection'!$Y31)),"YES","NO")</f>
        <v>NO</v>
      </c>
      <c r="AP690" t="str">
        <f>IF(ISNUMBER(SEARCH("R", 'WetLitterbags placem_collection'!$Y31)),"YES","NO")</f>
        <v>NO</v>
      </c>
    </row>
    <row r="691" spans="1:42" ht="15" customHeight="1">
      <c r="A691" t="s">
        <v>3248</v>
      </c>
      <c r="B691" s="248" t="s">
        <v>2454</v>
      </c>
      <c r="C691" s="253">
        <f>'Dry_Litterbag Placem_Collection'!A32</f>
        <v>30</v>
      </c>
      <c r="D691" s="253" t="str">
        <f>'Dry_Litterbag Placem_Collection'!B32</f>
        <v>Makao</v>
      </c>
      <c r="E691" s="253" t="s">
        <v>2643</v>
      </c>
      <c r="F691" s="253" t="s">
        <v>2644</v>
      </c>
      <c r="G691" s="253">
        <v>4</v>
      </c>
      <c r="H691" s="253" t="s">
        <v>3105</v>
      </c>
      <c r="I691" s="254" t="str">
        <f>'Dry_Litterbag Placem_Collection'!C32</f>
        <v>Dry_Ag4_T6</v>
      </c>
      <c r="J691" s="263" t="s">
        <v>2932</v>
      </c>
      <c r="K691" s="264" t="s">
        <v>298</v>
      </c>
      <c r="L691" s="221" t="str">
        <f>'WetLitterbags placem_collection'!Q32</f>
        <v>R296</v>
      </c>
      <c r="M691" s="223">
        <f>IFERROR(INDEX('Green_rooibos initial weight'!$C$5:$C$2000,MATCH(L691, 'Green_rooibos initial weight'!$A$5:$A$2000,0)),"")</f>
        <v>2.226</v>
      </c>
      <c r="N691" s="223">
        <f>IFERROR(M691-(TBIcalc!$H$9+TBIcalc!$H$10),"")</f>
        <v>1.9762</v>
      </c>
      <c r="O691" s="378">
        <f>AVERAGE(Ashed_controlls!$K$2:$K$11)</f>
        <v>5.5147656768714146</v>
      </c>
      <c r="P691" s="223">
        <f t="shared" si="51"/>
        <v>1.8672172006936671</v>
      </c>
      <c r="Q691" s="223">
        <f>IFERROR(INDEX('Both teabags AfterWet'!$C$3:$C$840,MATCH(L691,'Both teabags AfterWet'!$A$3:$A$840,0)),"")</f>
        <v>1.3653</v>
      </c>
      <c r="R691" s="223">
        <f>IFERROR(IF(Q691&gt;0,Q691-(TBIcalc!$H$9),""),"")</f>
        <v>1.2146999999999999</v>
      </c>
      <c r="S691" s="223">
        <f>IFERROR(INDEX('Ashed teabags wet'!$K$2:$K$2000,MATCH(L691,'Ashed teabags wet'!$A$2:$A$2000,0)),"")</f>
        <v>3.9301310043674835</v>
      </c>
      <c r="T691" s="223">
        <f t="shared" si="52"/>
        <v>1.1669606986899481</v>
      </c>
      <c r="U691" s="224">
        <f>'WetLitterbags placem_collection'!E32</f>
        <v>42767</v>
      </c>
      <c r="V691" s="224">
        <f>IF('WetLitterbags placem_collection'!G32="","",'WetLitterbags placem_collection'!G32)</f>
        <v>42818</v>
      </c>
      <c r="W691" s="225">
        <f t="shared" si="50"/>
        <v>51</v>
      </c>
      <c r="X691" s="223">
        <f t="shared" si="53"/>
        <v>0.76150000000000007</v>
      </c>
      <c r="Y691" s="223">
        <f t="shared" si="54"/>
        <v>0.70025650200371903</v>
      </c>
      <c r="Z691">
        <f>IFERROR(INDEX([1]Rainfall_Wet!$O$2:$O$217,MATCH(C691, [1]Rainfall_Wet!$A$2:$A$217,0)),"")</f>
        <v>185.630065823</v>
      </c>
      <c r="AA691" s="226">
        <v>51.960000000000008</v>
      </c>
      <c r="AB691" s="226">
        <v>18.919999999999995</v>
      </c>
      <c r="AC691" s="226">
        <v>29.120000000000005</v>
      </c>
      <c r="AD691" s="227" t="s">
        <v>2654</v>
      </c>
      <c r="AE691" s="226">
        <v>6.8529324790537203</v>
      </c>
      <c r="AF691" t="str">
        <f>IF('WetLitterbags placem_collection'!AB32="","",'WetLitterbags placem_collection'!AB32)</f>
        <v/>
      </c>
      <c r="AG691" t="str">
        <f>IF('WetLitterbags placem_collection'!Z32="","",'WetLitterbags placem_collection'!Z32)</f>
        <v/>
      </c>
      <c r="AH691" s="236" t="str">
        <f>IF('WetLitterbags placem_collection'!AA32="","",'WetLitterbags placem_collection'!AA32)</f>
        <v/>
      </c>
      <c r="AI691" t="str">
        <f>IF('WetLitterbags placem_collection'!AC32="","",'WetLitterbags placem_collection'!AC32)</f>
        <v/>
      </c>
      <c r="AJ691">
        <f>AVERAGE('WetLitterbags placem_collection'!S32,'WetLitterbags placem_collection'!U32)</f>
        <v>26.9</v>
      </c>
      <c r="AK691">
        <f>AVERAGE('WetLitterbags placem_collection'!R32,'WetLitterbags placem_collection'!T32)</f>
        <v>20.7</v>
      </c>
      <c r="AL691">
        <f>INDEX([2]Coordinates!$B$2:$B$197,MATCH(I691,[2]Coordinates!$J$2:$J$197,0))</f>
        <v>-3.38496496</v>
      </c>
      <c r="AM691">
        <f>INDEX([2]Coordinates!$C$2:$C$197,MATCH(I691,[2]Coordinates!$J$2:$J$197,0))</f>
        <v>34.818790970000002</v>
      </c>
      <c r="AN691" t="str">
        <f>IF(ISNUMBER(SEARCH("C", 'WetLitterbags placem_collection'!$Y32)),"YES","NO")</f>
        <v>NO</v>
      </c>
      <c r="AO691" t="str">
        <f>IF(ISNUMBER(SEARCH("H", 'WetLitterbags placem_collection'!$Y32)),"YES","NO")</f>
        <v>NO</v>
      </c>
      <c r="AP691" t="str">
        <f>IF(ISNUMBER(SEARCH("R", 'WetLitterbags placem_collection'!$Y32)),"YES","NO")</f>
        <v>NO</v>
      </c>
    </row>
    <row r="692" spans="1:42" ht="15" customHeight="1">
      <c r="A692" t="s">
        <v>3248</v>
      </c>
      <c r="B692" s="248" t="s">
        <v>2454</v>
      </c>
      <c r="C692" s="253">
        <f>'Dry_Litterbag Placem_Collection'!A33</f>
        <v>31</v>
      </c>
      <c r="D692" s="253" t="str">
        <f>'Dry_Litterbag Placem_Collection'!B33</f>
        <v>Makao</v>
      </c>
      <c r="E692" s="253" t="s">
        <v>2643</v>
      </c>
      <c r="F692" s="253" t="s">
        <v>2644</v>
      </c>
      <c r="G692" s="253">
        <v>4</v>
      </c>
      <c r="H692" s="253" t="s">
        <v>3105</v>
      </c>
      <c r="I692" s="254" t="str">
        <f>'Dry_Litterbag Placem_Collection'!C33</f>
        <v>Dry_Ag4_T7</v>
      </c>
      <c r="J692" s="263" t="s">
        <v>2932</v>
      </c>
      <c r="K692" s="264" t="s">
        <v>298</v>
      </c>
      <c r="L692" s="221" t="str">
        <f>'WetLitterbags placem_collection'!Q33</f>
        <v>R323</v>
      </c>
      <c r="M692" s="223">
        <f>IFERROR(INDEX('Green_rooibos initial weight'!$C$5:$C$2000,MATCH(L692, 'Green_rooibos initial weight'!$A$5:$A$2000,0)),"")</f>
        <v>2.1949999999999998</v>
      </c>
      <c r="N692" s="223">
        <f>IFERROR(M692-(TBIcalc!$H$9+TBIcalc!$H$10),"")</f>
        <v>1.9451999999999998</v>
      </c>
      <c r="O692" s="378">
        <f>AVERAGE(Ashed_controlls!$K$2:$K$11)</f>
        <v>5.5147656768714146</v>
      </c>
      <c r="P692" s="223">
        <f t="shared" si="51"/>
        <v>1.8379267780534971</v>
      </c>
      <c r="Q692" s="223">
        <f>IFERROR(INDEX('Both teabags AfterWet'!$C$3:$C$840,MATCH(L692,'Both teabags AfterWet'!$A$3:$A$840,0)),"")</f>
        <v>1.425</v>
      </c>
      <c r="R692" s="223">
        <f>IFERROR(IF(Q692&gt;0,Q692-(TBIcalc!$H$9),""),"")</f>
        <v>1.2744</v>
      </c>
      <c r="S692" s="223">
        <f>IFERROR(INDEX('Ashed teabags wet'!$K$2:$K$2000,MATCH(L692,'Ashed teabags wet'!$A$2:$A$2000,0)),"")</f>
        <v>20.058139534884134</v>
      </c>
      <c r="T692" s="223">
        <f t="shared" si="52"/>
        <v>1.0187790697674366</v>
      </c>
      <c r="U692" s="224">
        <f>'WetLitterbags placem_collection'!E33</f>
        <v>42767</v>
      </c>
      <c r="V692" s="224">
        <f>IF('WetLitterbags placem_collection'!G33="","",'WetLitterbags placem_collection'!G33)</f>
        <v>42818</v>
      </c>
      <c r="W692" s="225">
        <f t="shared" si="50"/>
        <v>51</v>
      </c>
      <c r="X692" s="223">
        <f t="shared" si="53"/>
        <v>0.67079999999999984</v>
      </c>
      <c r="Y692" s="223">
        <f t="shared" si="54"/>
        <v>0.81914770828606054</v>
      </c>
      <c r="Z692">
        <f>IFERROR(INDEX([1]Rainfall_Wet!$O$2:$O$217,MATCH(C692, [1]Rainfall_Wet!$A$2:$A$217,0)),"")</f>
        <v>185.630065823</v>
      </c>
      <c r="AA692" s="226">
        <v>51.960000000000008</v>
      </c>
      <c r="AB692" s="226">
        <v>18.919999999999995</v>
      </c>
      <c r="AC692" s="226">
        <v>29.120000000000005</v>
      </c>
      <c r="AD692" s="227" t="s">
        <v>2654</v>
      </c>
      <c r="AE692" s="226">
        <v>7.8529324790537203</v>
      </c>
      <c r="AF692" t="str">
        <f>IF('WetLitterbags placem_collection'!AB33="","",'WetLitterbags placem_collection'!AB33)</f>
        <v/>
      </c>
      <c r="AG692" t="str">
        <f>IF('WetLitterbags placem_collection'!Z33="","",'WetLitterbags placem_collection'!Z33)</f>
        <v/>
      </c>
      <c r="AH692" s="236" t="str">
        <f>IF('WetLitterbags placem_collection'!AA33="","",'WetLitterbags placem_collection'!AA33)</f>
        <v/>
      </c>
      <c r="AI692" t="str">
        <f>IF('WetLitterbags placem_collection'!AC33="","",'WetLitterbags placem_collection'!AC33)</f>
        <v/>
      </c>
      <c r="AJ692">
        <f>AVERAGE('WetLitterbags placem_collection'!S33,'WetLitterbags placem_collection'!U33)</f>
        <v>33</v>
      </c>
      <c r="AK692">
        <f>AVERAGE('WetLitterbags placem_collection'!R33,'WetLitterbags placem_collection'!T33)</f>
        <v>20.950000000000003</v>
      </c>
      <c r="AL692">
        <f>INDEX([2]Coordinates!$B$2:$B$197,MATCH(I692,[2]Coordinates!$J$2:$J$197,0))</f>
        <v>-3.3848409909999999</v>
      </c>
      <c r="AM692">
        <f>INDEX([2]Coordinates!$C$2:$C$197,MATCH(I692,[2]Coordinates!$J$2:$J$197,0))</f>
        <v>34.818838999999997</v>
      </c>
      <c r="AN692" t="str">
        <f>IF(ISNUMBER(SEARCH("C", 'WetLitterbags placem_collection'!$Y33)),"YES","NO")</f>
        <v>NO</v>
      </c>
      <c r="AO692" t="str">
        <f>IF(ISNUMBER(SEARCH("H", 'WetLitterbags placem_collection'!$Y33)),"YES","NO")</f>
        <v>NO</v>
      </c>
      <c r="AP692" t="str">
        <f>IF(ISNUMBER(SEARCH("R", 'WetLitterbags placem_collection'!$Y33)),"YES","NO")</f>
        <v>YES</v>
      </c>
    </row>
    <row r="693" spans="1:42" ht="15" customHeight="1">
      <c r="A693" t="s">
        <v>3248</v>
      </c>
      <c r="B693" s="248" t="s">
        <v>2454</v>
      </c>
      <c r="C693" s="253">
        <f>'Dry_Litterbag Placem_Collection'!A34</f>
        <v>32</v>
      </c>
      <c r="D693" s="253" t="str">
        <f>'Dry_Litterbag Placem_Collection'!B34</f>
        <v>Makao</v>
      </c>
      <c r="E693" s="253" t="s">
        <v>2643</v>
      </c>
      <c r="F693" s="253" t="s">
        <v>2644</v>
      </c>
      <c r="G693" s="253">
        <v>4</v>
      </c>
      <c r="H693" s="253" t="s">
        <v>3105</v>
      </c>
      <c r="I693" s="254" t="str">
        <f>'Dry_Litterbag Placem_Collection'!C34</f>
        <v>Dry_Ag4_T8</v>
      </c>
      <c r="J693" s="263" t="s">
        <v>2932</v>
      </c>
      <c r="K693" s="264" t="s">
        <v>298</v>
      </c>
      <c r="L693" s="221" t="str">
        <f>'WetLitterbags placem_collection'!Q34</f>
        <v>R156</v>
      </c>
      <c r="M693" s="223">
        <f>IFERROR(INDEX('Green_rooibos initial weight'!$C$5:$C$2000,MATCH(L693, 'Green_rooibos initial weight'!$A$5:$A$2000,0)),"")</f>
        <v>2.246</v>
      </c>
      <c r="N693" s="223">
        <f>IFERROR(M693-(TBIcalc!$H$9+TBIcalc!$H$10),"")</f>
        <v>1.9962</v>
      </c>
      <c r="O693" s="378">
        <f>AVERAGE(Ashed_controlls!$K$2:$K$11)</f>
        <v>5.5147656768714146</v>
      </c>
      <c r="P693" s="223">
        <f t="shared" si="51"/>
        <v>1.8861142475582928</v>
      </c>
      <c r="Q693" s="223">
        <f>IFERROR(INDEX('Both teabags AfterWet'!$C$3:$C$840,MATCH(L693,'Both teabags AfterWet'!$A$3:$A$840,0)),"")</f>
        <v>1.2625999999999999</v>
      </c>
      <c r="R693" s="223">
        <f>IFERROR(IF(Q693&gt;0,Q693-(TBIcalc!$H$9),""),"")</f>
        <v>1.1119999999999999</v>
      </c>
      <c r="S693" s="223">
        <f>IFERROR(INDEX('Ashed teabags wet'!$K$2:$K$2000,MATCH(L693,'Ashed teabags wet'!$A$2:$A$2000,0)),"")</f>
        <v>5.5555555555557818</v>
      </c>
      <c r="T693" s="223">
        <f t="shared" si="52"/>
        <v>1.0502222222222195</v>
      </c>
      <c r="U693" s="224">
        <f>'WetLitterbags placem_collection'!E34</f>
        <v>42767</v>
      </c>
      <c r="V693" s="224">
        <f>IF('WetLitterbags placem_collection'!G34="","",'WetLitterbags placem_collection'!G34)</f>
        <v>42818</v>
      </c>
      <c r="W693" s="225">
        <f t="shared" si="50"/>
        <v>51</v>
      </c>
      <c r="X693" s="223">
        <f t="shared" si="53"/>
        <v>0.8842000000000001</v>
      </c>
      <c r="Y693" s="223">
        <f t="shared" si="54"/>
        <v>0.83589202533607332</v>
      </c>
      <c r="Z693">
        <f>IFERROR(INDEX([1]Rainfall_Wet!$O$2:$O$217,MATCH(C693, [1]Rainfall_Wet!$A$2:$A$217,0)),"")</f>
        <v>185.630065823</v>
      </c>
      <c r="AA693" s="226">
        <v>51.960000000000008</v>
      </c>
      <c r="AB693" s="226">
        <v>18.919999999999995</v>
      </c>
      <c r="AC693" s="226">
        <v>29.120000000000005</v>
      </c>
      <c r="AD693" s="227" t="s">
        <v>2654</v>
      </c>
      <c r="AE693" s="226">
        <v>8.8529324790537203</v>
      </c>
      <c r="AF693" t="str">
        <f>IF('WetLitterbags placem_collection'!AB34="","",'WetLitterbags placem_collection'!AB34)</f>
        <v/>
      </c>
      <c r="AG693" t="str">
        <f>IF('WetLitterbags placem_collection'!Z34="","",'WetLitterbags placem_collection'!Z34)</f>
        <v/>
      </c>
      <c r="AH693" s="236" t="str">
        <f>IF('WetLitterbags placem_collection'!AA34="","",'WetLitterbags placem_collection'!AA34)</f>
        <v/>
      </c>
      <c r="AI693" t="str">
        <f>IF('WetLitterbags placem_collection'!AC34="","",'WetLitterbags placem_collection'!AC34)</f>
        <v/>
      </c>
      <c r="AJ693">
        <f>AVERAGE('WetLitterbags placem_collection'!S34,'WetLitterbags placem_collection'!U34)</f>
        <v>32.849999999999994</v>
      </c>
      <c r="AK693">
        <f>AVERAGE('WetLitterbags placem_collection'!R34,'WetLitterbags placem_collection'!T34)</f>
        <v>20.9</v>
      </c>
      <c r="AL693">
        <f>INDEX([2]Coordinates!$B$2:$B$197,MATCH(I693,[2]Coordinates!$J$2:$J$197,0))</f>
        <v>-3.3849010060000002</v>
      </c>
      <c r="AM693">
        <f>INDEX([2]Coordinates!$C$2:$C$197,MATCH(I693,[2]Coordinates!$J$2:$J$197,0))</f>
        <v>34.818979990000003</v>
      </c>
      <c r="AN693" t="str">
        <f>IF(ISNUMBER(SEARCH("C", 'WetLitterbags placem_collection'!$Y34)),"YES","NO")</f>
        <v>NO</v>
      </c>
      <c r="AO693" t="str">
        <f>IF(ISNUMBER(SEARCH("H", 'WetLitterbags placem_collection'!$Y34)),"YES","NO")</f>
        <v>NO</v>
      </c>
      <c r="AP693" t="str">
        <f>IF(ISNUMBER(SEARCH("R", 'WetLitterbags placem_collection'!$Y34)),"YES","NO")</f>
        <v>YES</v>
      </c>
    </row>
    <row r="694" spans="1:42" ht="15" customHeight="1">
      <c r="A694" t="s">
        <v>3248</v>
      </c>
      <c r="B694" s="248" t="s">
        <v>2454</v>
      </c>
      <c r="C694" s="253">
        <f>'Dry_Litterbag Placem_Collection'!A35</f>
        <v>33</v>
      </c>
      <c r="D694" s="253" t="str">
        <f>'Dry_Litterbag Placem_Collection'!B35</f>
        <v>Makao</v>
      </c>
      <c r="E694" s="253" t="s">
        <v>2643</v>
      </c>
      <c r="F694" s="253" t="s">
        <v>20</v>
      </c>
      <c r="G694" s="253">
        <v>1</v>
      </c>
      <c r="H694" s="253" t="s">
        <v>3106</v>
      </c>
      <c r="I694" s="254" t="str">
        <f>'Dry_Litterbag Placem_Collection'!C35</f>
        <v>Dry_P1_T1</v>
      </c>
      <c r="J694" s="263" t="s">
        <v>2932</v>
      </c>
      <c r="K694" s="264" t="s">
        <v>298</v>
      </c>
      <c r="L694" s="221" t="str">
        <f>'WetLitterbags placem_collection'!Q35</f>
        <v>R452</v>
      </c>
      <c r="M694" s="223">
        <f>IFERROR(INDEX('Green_rooibos initial weight'!$C$5:$C$2000,MATCH(L694, 'Green_rooibos initial weight'!$A$5:$A$2000,0)),"")</f>
        <v>2.2320000000000002</v>
      </c>
      <c r="N694" s="223">
        <f>IFERROR(M694-(TBIcalc!$H$9+TBIcalc!$H$10),"")</f>
        <v>1.9822000000000002</v>
      </c>
      <c r="O694" s="378">
        <f>AVERAGE(Ashed_controlls!$K$2:$K$11)</f>
        <v>5.5147656768714146</v>
      </c>
      <c r="P694" s="223">
        <f t="shared" si="51"/>
        <v>1.872886314753055</v>
      </c>
      <c r="Q694" s="223">
        <f>IFERROR(INDEX('Both teabags AfterWet'!$C$3:$C$840,MATCH(L694,'Both teabags AfterWet'!$A$3:$A$840,0)),"")</f>
        <v>1.6020000000000001</v>
      </c>
      <c r="R694" s="223">
        <f>IFERROR(IF(Q694&gt;0,Q694-(TBIcalc!$H$9),""),"")</f>
        <v>1.4514</v>
      </c>
      <c r="S694" s="223">
        <f>IFERROR(INDEX('Ashed teabags wet'!$K$2:$K$2000,MATCH(L694,'Ashed teabags wet'!$A$2:$A$2000,0)),"")</f>
        <v>4.5318725099597295</v>
      </c>
      <c r="T694" s="223">
        <f t="shared" si="52"/>
        <v>1.3856244023904445</v>
      </c>
      <c r="U694" s="224">
        <f>'WetLitterbags placem_collection'!E35</f>
        <v>42765</v>
      </c>
      <c r="V694" s="224">
        <f>IF('WetLitterbags placem_collection'!G35="","",'WetLitterbags placem_collection'!G35)</f>
        <v>42820</v>
      </c>
      <c r="W694" s="225">
        <f t="shared" si="50"/>
        <v>55</v>
      </c>
      <c r="X694" s="223">
        <f t="shared" si="53"/>
        <v>0.53080000000000016</v>
      </c>
      <c r="Y694" s="223">
        <f t="shared" si="54"/>
        <v>0.48726191236261052</v>
      </c>
      <c r="Z694">
        <f>IFERROR(INDEX([1]Rainfall_Wet!$O$2:$O$217,MATCH(C694, [1]Rainfall_Wet!$A$2:$A$217,0)),"")</f>
        <v>228.324359195</v>
      </c>
      <c r="AA694" s="226">
        <v>23.96</v>
      </c>
      <c r="AB694" s="226">
        <v>0.91999999999999804</v>
      </c>
      <c r="AC694" s="226">
        <v>75.12</v>
      </c>
      <c r="AD694" s="227" t="s">
        <v>2651</v>
      </c>
      <c r="AE694" s="226">
        <v>1.2493839329719072</v>
      </c>
      <c r="AF694">
        <f>IF('WetLitterbags placem_collection'!AB35="","",'WetLitterbags placem_collection'!AB35)</f>
        <v>9.5</v>
      </c>
      <c r="AG694">
        <f>IF('WetLitterbags placem_collection'!Z35="","",'WetLitterbags placem_collection'!Z35)</f>
        <v>17.2</v>
      </c>
      <c r="AH694" s="236" t="str">
        <f>IF('WetLitterbags placem_collection'!AA35="","",'WetLitterbags placem_collection'!AA35)</f>
        <v>G</v>
      </c>
      <c r="AI694">
        <f>IF('WetLitterbags placem_collection'!AC35="","",'WetLitterbags placem_collection'!AC35)</f>
        <v>0</v>
      </c>
      <c r="AJ694">
        <f>AVERAGE('WetLitterbags placem_collection'!S35,'WetLitterbags placem_collection'!U35)</f>
        <v>30.5</v>
      </c>
      <c r="AK694">
        <f>AVERAGE('WetLitterbags placem_collection'!R35,'WetLitterbags placem_collection'!T35)</f>
        <v>25.25</v>
      </c>
      <c r="AL694">
        <f>INDEX([2]Coordinates!$B$2:$B$197,MATCH(I694,[2]Coordinates!$J$2:$J$197,0))</f>
        <v>-3.4092039989999998</v>
      </c>
      <c r="AM694">
        <f>INDEX([2]Coordinates!$C$2:$C$197,MATCH(I694,[2]Coordinates!$J$2:$J$197,0))</f>
        <v>34.852751009999999</v>
      </c>
      <c r="AN694" t="str">
        <f>IF(ISNUMBER(SEARCH("C", 'WetLitterbags placem_collection'!$Y35)),"YES","NO")</f>
        <v>NO</v>
      </c>
      <c r="AO694" t="str">
        <f>IF(ISNUMBER(SEARCH("H", 'WetLitterbags placem_collection'!$Y35)),"YES","NO")</f>
        <v>NO</v>
      </c>
      <c r="AP694" t="str">
        <f>IF(ISNUMBER(SEARCH("R", 'WetLitterbags placem_collection'!$Y35)),"YES","NO")</f>
        <v>YES</v>
      </c>
    </row>
    <row r="695" spans="1:42" ht="15" customHeight="1">
      <c r="A695" t="s">
        <v>3248</v>
      </c>
      <c r="B695" s="248" t="s">
        <v>2454</v>
      </c>
      <c r="C695" s="253">
        <f>'Dry_Litterbag Placem_Collection'!A36</f>
        <v>34</v>
      </c>
      <c r="D695" s="253" t="str">
        <f>'Dry_Litterbag Placem_Collection'!B36</f>
        <v>Makao</v>
      </c>
      <c r="E695" s="253" t="s">
        <v>2643</v>
      </c>
      <c r="F695" s="253" t="s">
        <v>20</v>
      </c>
      <c r="G695" s="253">
        <v>1</v>
      </c>
      <c r="H695" s="253" t="s">
        <v>3106</v>
      </c>
      <c r="I695" s="254" t="str">
        <f>'Dry_Litterbag Placem_Collection'!C36</f>
        <v>Dry_P1_T2</v>
      </c>
      <c r="J695" s="263" t="s">
        <v>2932</v>
      </c>
      <c r="K695" s="264" t="s">
        <v>298</v>
      </c>
      <c r="L695" s="221" t="str">
        <f>'WetLitterbags placem_collection'!Q36</f>
        <v>R24</v>
      </c>
      <c r="M695" s="223">
        <f>IFERROR(INDEX('Green_rooibos initial weight'!$C$5:$C$2000,MATCH(L695, 'Green_rooibos initial weight'!$A$5:$A$2000,0)),"")</f>
        <v>2.14</v>
      </c>
      <c r="N695" s="223">
        <f>IFERROR(M695-(TBIcalc!$H$9+TBIcalc!$H$10),"")</f>
        <v>1.8902000000000001</v>
      </c>
      <c r="O695" s="378">
        <f>AVERAGE(Ashed_controlls!$K$2:$K$11)</f>
        <v>5.5147656768714146</v>
      </c>
      <c r="P695" s="223">
        <f t="shared" si="51"/>
        <v>1.7859598991757766</v>
      </c>
      <c r="Q695" s="223">
        <f>IFERROR(INDEX('Both teabags AfterWet'!$C$3:$C$840,MATCH(L695,'Both teabags AfterWet'!$A$3:$A$840,0)),"")</f>
        <v>1.4662999999999999</v>
      </c>
      <c r="R695" s="223">
        <f>IFERROR(IF(Q695&gt;0,Q695-(TBIcalc!$H$9),""),"")</f>
        <v>1.3156999999999999</v>
      </c>
      <c r="S695" s="223">
        <f>IFERROR(INDEX('Ashed teabags wet'!$K$2:$K$2000,MATCH(L695,'Ashed teabags wet'!$A$2:$A$2000,0)),"")</f>
        <v>7.4839980305272942</v>
      </c>
      <c r="T695" s="223">
        <f t="shared" si="52"/>
        <v>1.2172330379123522</v>
      </c>
      <c r="U695" s="224">
        <f>'WetLitterbags placem_collection'!E36</f>
        <v>42765</v>
      </c>
      <c r="V695" s="224">
        <f>IF('WetLitterbags placem_collection'!G36="","",'WetLitterbags placem_collection'!G36)</f>
        <v>42820</v>
      </c>
      <c r="W695" s="225">
        <f t="shared" si="50"/>
        <v>55</v>
      </c>
      <c r="X695" s="223">
        <f t="shared" si="53"/>
        <v>0.57450000000000023</v>
      </c>
      <c r="Y695" s="223">
        <f t="shared" si="54"/>
        <v>0.56872686126342442</v>
      </c>
      <c r="Z695">
        <f>IFERROR(INDEX([1]Rainfall_Wet!$O$2:$O$217,MATCH(C695, [1]Rainfall_Wet!$A$2:$A$217,0)),"")</f>
        <v>228.324359195</v>
      </c>
      <c r="AA695" s="226">
        <v>23.96</v>
      </c>
      <c r="AB695" s="226">
        <v>0.91999999999999804</v>
      </c>
      <c r="AC695" s="226">
        <v>75.12</v>
      </c>
      <c r="AD695" s="227" t="s">
        <v>2651</v>
      </c>
      <c r="AE695" s="226">
        <v>1.2493839329719072</v>
      </c>
      <c r="AF695">
        <f>IF('WetLitterbags placem_collection'!AB36="","",'WetLitterbags placem_collection'!AB36)</f>
        <v>6.5</v>
      </c>
      <c r="AG695">
        <f>IF('WetLitterbags placem_collection'!Z36="","",'WetLitterbags placem_collection'!Z36)</f>
        <v>14.2</v>
      </c>
      <c r="AH695" s="236" t="str">
        <f>IF('WetLitterbags placem_collection'!AA36="","",'WetLitterbags placem_collection'!AA36)</f>
        <v>G</v>
      </c>
      <c r="AI695">
        <f>IF('WetLitterbags placem_collection'!AC36="","",'WetLitterbags placem_collection'!AC36)</f>
        <v>0</v>
      </c>
      <c r="AJ695">
        <f>AVERAGE('WetLitterbags placem_collection'!S36,'WetLitterbags placem_collection'!U36)</f>
        <v>21</v>
      </c>
      <c r="AK695">
        <f>AVERAGE('WetLitterbags placem_collection'!R36,'WetLitterbags placem_collection'!T36)</f>
        <v>25.55</v>
      </c>
      <c r="AL695">
        <f>INDEX([2]Coordinates!$B$2:$B$197,MATCH(I695,[2]Coordinates!$J$2:$J$197,0))</f>
        <v>-3.4092350119999999</v>
      </c>
      <c r="AM695">
        <f>INDEX([2]Coordinates!$C$2:$C$197,MATCH(I695,[2]Coordinates!$J$2:$J$197,0))</f>
        <v>34.852782019999999</v>
      </c>
      <c r="AN695" t="str">
        <f>IF(ISNUMBER(SEARCH("C", 'WetLitterbags placem_collection'!$Y36)),"YES","NO")</f>
        <v>NO</v>
      </c>
      <c r="AO695" t="str">
        <f>IF(ISNUMBER(SEARCH("H", 'WetLitterbags placem_collection'!$Y36)),"YES","NO")</f>
        <v>NO</v>
      </c>
      <c r="AP695" t="str">
        <f>IF(ISNUMBER(SEARCH("R", 'WetLitterbags placem_collection'!$Y36)),"YES","NO")</f>
        <v>YES</v>
      </c>
    </row>
    <row r="696" spans="1:42" ht="15" customHeight="1">
      <c r="A696" t="s">
        <v>3248</v>
      </c>
      <c r="B696" s="248" t="s">
        <v>2454</v>
      </c>
      <c r="C696" s="253">
        <f>'Dry_Litterbag Placem_Collection'!A37</f>
        <v>35</v>
      </c>
      <c r="D696" s="253" t="str">
        <f>'Dry_Litterbag Placem_Collection'!B37</f>
        <v>Makao</v>
      </c>
      <c r="E696" s="253" t="s">
        <v>2643</v>
      </c>
      <c r="F696" s="253" t="s">
        <v>20</v>
      </c>
      <c r="G696" s="253">
        <v>1</v>
      </c>
      <c r="H696" s="253" t="s">
        <v>3106</v>
      </c>
      <c r="I696" s="254" t="str">
        <f>'Dry_Litterbag Placem_Collection'!C37</f>
        <v>Dry_P1_T3</v>
      </c>
      <c r="J696" s="263" t="s">
        <v>2932</v>
      </c>
      <c r="K696" s="264" t="s">
        <v>298</v>
      </c>
      <c r="L696" s="221" t="str">
        <f>'WetLitterbags placem_collection'!Q37</f>
        <v>R69</v>
      </c>
      <c r="M696" s="223">
        <f>IFERROR(INDEX('Green_rooibos initial weight'!$C$5:$C$2000,MATCH(L696, 'Green_rooibos initial weight'!$A$5:$A$2000,0)),"")</f>
        <v>2.2149999999999999</v>
      </c>
      <c r="N696" s="223">
        <f>IFERROR(M696-(TBIcalc!$H$9+TBIcalc!$H$10),"")</f>
        <v>1.9651999999999998</v>
      </c>
      <c r="O696" s="378">
        <f>AVERAGE(Ashed_controlls!$K$2:$K$11)</f>
        <v>5.5147656768714146</v>
      </c>
      <c r="P696" s="223">
        <f t="shared" si="51"/>
        <v>1.8568238249181228</v>
      </c>
      <c r="Q696" s="223">
        <f>IFERROR(INDEX('Both teabags AfterWet'!$C$3:$C$840,MATCH(L696,'Both teabags AfterWet'!$A$3:$A$840,0)),"")</f>
        <v>1.498</v>
      </c>
      <c r="R696" s="223">
        <f>IFERROR(IF(Q696&gt;0,Q696-(TBIcalc!$H$9),""),"")</f>
        <v>1.3473999999999999</v>
      </c>
      <c r="S696" s="223">
        <f>IFERROR(INDEX('Ashed teabags wet'!$K$2:$K$2000,MATCH(L696,'Ashed teabags wet'!$A$2:$A$2000,0)),"")</f>
        <v>7.3362875430821557</v>
      </c>
      <c r="T696" s="223">
        <f t="shared" si="52"/>
        <v>1.2485508616445109</v>
      </c>
      <c r="U696" s="224">
        <f>'WetLitterbags placem_collection'!E37</f>
        <v>42765</v>
      </c>
      <c r="V696" s="224">
        <f>IF('WetLitterbags placem_collection'!G37="","",'WetLitterbags placem_collection'!G37)</f>
        <v>42820</v>
      </c>
      <c r="W696" s="225">
        <f t="shared" si="50"/>
        <v>55</v>
      </c>
      <c r="X696" s="223">
        <f t="shared" si="53"/>
        <v>0.6177999999999999</v>
      </c>
      <c r="Y696" s="223">
        <f t="shared" si="54"/>
        <v>0.60827296327361191</v>
      </c>
      <c r="Z696">
        <f>IFERROR(INDEX([1]Rainfall_Wet!$O$2:$O$217,MATCH(C696, [1]Rainfall_Wet!$A$2:$A$217,0)),"")</f>
        <v>228.324359195</v>
      </c>
      <c r="AA696" s="226">
        <v>23.96</v>
      </c>
      <c r="AB696" s="226">
        <v>0.91999999999999804</v>
      </c>
      <c r="AC696" s="226">
        <v>75.12</v>
      </c>
      <c r="AD696" s="227" t="s">
        <v>2651</v>
      </c>
      <c r="AE696" s="226">
        <v>1.2493839329719072</v>
      </c>
      <c r="AF696">
        <f>IF('WetLitterbags placem_collection'!AB37="","",'WetLitterbags placem_collection'!AB37)</f>
        <v>0.7</v>
      </c>
      <c r="AG696">
        <f>IF('WetLitterbags placem_collection'!Z37="","",'WetLitterbags placem_collection'!Z37)</f>
        <v>10.6</v>
      </c>
      <c r="AH696" s="236" t="str">
        <f>IF('WetLitterbags placem_collection'!AA37="","",'WetLitterbags placem_collection'!AA37)</f>
        <v>G</v>
      </c>
      <c r="AI696">
        <f>IF('WetLitterbags placem_collection'!AC37="","",'WetLitterbags placem_collection'!AC37)</f>
        <v>0</v>
      </c>
      <c r="AJ696">
        <f>AVERAGE('WetLitterbags placem_collection'!S37,'WetLitterbags placem_collection'!U37)</f>
        <v>10.9</v>
      </c>
      <c r="AK696">
        <f>AVERAGE('WetLitterbags placem_collection'!R37,'WetLitterbags placem_collection'!T37)</f>
        <v>24.45</v>
      </c>
      <c r="AL696">
        <f>INDEX([2]Coordinates!$B$2:$B$197,MATCH(I696,[2]Coordinates!$J$2:$J$197,0))</f>
        <v>-3.409177009</v>
      </c>
      <c r="AM696">
        <f>INDEX([2]Coordinates!$C$2:$C$197,MATCH(I696,[2]Coordinates!$J$2:$J$197,0))</f>
        <v>34.852818990000003</v>
      </c>
      <c r="AN696" t="str">
        <f>IF(ISNUMBER(SEARCH("C", 'WetLitterbags placem_collection'!$Y37)),"YES","NO")</f>
        <v>NO</v>
      </c>
      <c r="AO696" t="str">
        <f>IF(ISNUMBER(SEARCH("H", 'WetLitterbags placem_collection'!$Y37)),"YES","NO")</f>
        <v>NO</v>
      </c>
      <c r="AP696" t="str">
        <f>IF(ISNUMBER(SEARCH("R", 'WetLitterbags placem_collection'!$Y37)),"YES","NO")</f>
        <v>YES</v>
      </c>
    </row>
    <row r="697" spans="1:42" ht="15" customHeight="1">
      <c r="A697" t="s">
        <v>3248</v>
      </c>
      <c r="B697" s="248" t="s">
        <v>2454</v>
      </c>
      <c r="C697" s="253">
        <f>'Dry_Litterbag Placem_Collection'!A38</f>
        <v>36</v>
      </c>
      <c r="D697" s="253" t="str">
        <f>'Dry_Litterbag Placem_Collection'!B38</f>
        <v>Makao</v>
      </c>
      <c r="E697" s="253" t="s">
        <v>2643</v>
      </c>
      <c r="F697" s="253" t="s">
        <v>20</v>
      </c>
      <c r="G697" s="253">
        <v>1</v>
      </c>
      <c r="H697" s="253" t="s">
        <v>3106</v>
      </c>
      <c r="I697" s="254" t="str">
        <f>'Dry_Litterbag Placem_Collection'!C38</f>
        <v>Dry_P1_T4</v>
      </c>
      <c r="J697" s="263" t="s">
        <v>2932</v>
      </c>
      <c r="K697" s="264" t="s">
        <v>298</v>
      </c>
      <c r="L697" s="221" t="str">
        <f>'WetLitterbags placem_collection'!Q38</f>
        <v>R97</v>
      </c>
      <c r="M697" s="223">
        <f>IFERROR(INDEX('Green_rooibos initial weight'!$C$5:$C$2000,MATCH(L697, 'Green_rooibos initial weight'!$A$5:$A$2000,0)),"")</f>
        <v>2.2959999999999998</v>
      </c>
      <c r="N697" s="223">
        <f>IFERROR(M697-(TBIcalc!$H$9+TBIcalc!$H$10),"")</f>
        <v>2.0461999999999998</v>
      </c>
      <c r="O697" s="378">
        <f>AVERAGE(Ashed_controlls!$K$2:$K$11)</f>
        <v>5.5147656768714146</v>
      </c>
      <c r="P697" s="223">
        <f t="shared" si="51"/>
        <v>1.9333568647198569</v>
      </c>
      <c r="Q697" s="223" t="str">
        <f>IFERROR(INDEX('Both teabags AfterWet'!$C$3:$C$840,MATCH(L697,'Both teabags AfterWet'!$A$3:$A$840,0)),"")</f>
        <v/>
      </c>
      <c r="R697" s="223" t="str">
        <f>IFERROR(IF(Q697&gt;0,Q697-(TBIcalc!$H$9),""),"")</f>
        <v/>
      </c>
      <c r="S697" s="223">
        <f>IFERROR(INDEX('Ashed teabags wet'!$K$2:$K$2000,MATCH(L697,'Ashed teabags wet'!$A$2:$A$2000,0)),"")</f>
        <v>2.0873786407763748</v>
      </c>
      <c r="T697" s="223" t="str">
        <f t="shared" si="52"/>
        <v/>
      </c>
      <c r="U697" s="224">
        <f>'WetLitterbags placem_collection'!E38</f>
        <v>42765</v>
      </c>
      <c r="V697" s="224">
        <f>IF('WetLitterbags placem_collection'!G38="","",'WetLitterbags placem_collection'!G38)</f>
        <v>42820</v>
      </c>
      <c r="W697" s="225">
        <f t="shared" si="50"/>
        <v>55</v>
      </c>
      <c r="X697" s="223" t="str">
        <f t="shared" si="53"/>
        <v/>
      </c>
      <c r="Y697" s="223" t="str">
        <f t="shared" si="54"/>
        <v/>
      </c>
      <c r="Z697">
        <f>IFERROR(INDEX([1]Rainfall_Wet!$O$2:$O$217,MATCH(C697, [1]Rainfall_Wet!$A$2:$A$217,0)),"")</f>
        <v>228.324359195</v>
      </c>
      <c r="AA697" s="226">
        <v>23.96</v>
      </c>
      <c r="AB697" s="226">
        <v>0.91999999999999804</v>
      </c>
      <c r="AC697" s="226">
        <v>75.12</v>
      </c>
      <c r="AD697" s="227" t="s">
        <v>2651</v>
      </c>
      <c r="AE697" s="226">
        <v>1.2493839329719072</v>
      </c>
      <c r="AF697">
        <f>IF('WetLitterbags placem_collection'!AB38="","",'WetLitterbags placem_collection'!AB38)</f>
        <v>3.3</v>
      </c>
      <c r="AG697">
        <f>IF('WetLitterbags placem_collection'!Z38="","",'WetLitterbags placem_collection'!Z38)</f>
        <v>4.9000000000000004</v>
      </c>
      <c r="AH697" s="236" t="str">
        <f>IF('WetLitterbags placem_collection'!AA38="","",'WetLitterbags placem_collection'!AA38)</f>
        <v>G</v>
      </c>
      <c r="AI697">
        <f>IF('WetLitterbags placem_collection'!AC38="","",'WetLitterbags placem_collection'!AC38)</f>
        <v>1</v>
      </c>
      <c r="AJ697">
        <f>AVERAGE('WetLitterbags placem_collection'!S38,'WetLitterbags placem_collection'!U38)</f>
        <v>14.1</v>
      </c>
      <c r="AK697">
        <f>AVERAGE('WetLitterbags placem_collection'!R38,'WetLitterbags placem_collection'!T38)</f>
        <v>24.75</v>
      </c>
      <c r="AL697">
        <f>INDEX([2]Coordinates!$B$2:$B$197,MATCH(I697,[2]Coordinates!$J$2:$J$197,0))</f>
        <v>-3.40917198</v>
      </c>
      <c r="AM697">
        <f>INDEX([2]Coordinates!$C$2:$C$197,MATCH(I697,[2]Coordinates!$J$2:$J$197,0))</f>
        <v>34.852960979999999</v>
      </c>
      <c r="AN697" t="str">
        <f>IF(ISNUMBER(SEARCH("C", 'WetLitterbags placem_collection'!$Y38)),"YES","NO")</f>
        <v>NO</v>
      </c>
      <c r="AO697" t="str">
        <f>IF(ISNUMBER(SEARCH("H", 'WetLitterbags placem_collection'!$Y38)),"YES","NO")</f>
        <v>NO</v>
      </c>
      <c r="AP697" t="str">
        <f>IF(ISNUMBER(SEARCH("R", 'WetLitterbags placem_collection'!$Y38)),"YES","NO")</f>
        <v>YES</v>
      </c>
    </row>
    <row r="698" spans="1:42" ht="15" customHeight="1">
      <c r="A698" t="s">
        <v>3248</v>
      </c>
      <c r="B698" s="248" t="s">
        <v>2454</v>
      </c>
      <c r="C698" s="253">
        <f>'Dry_Litterbag Placem_Collection'!A39</f>
        <v>37</v>
      </c>
      <c r="D698" s="253" t="str">
        <f>'Dry_Litterbag Placem_Collection'!B39</f>
        <v>Makao</v>
      </c>
      <c r="E698" s="253" t="s">
        <v>2643</v>
      </c>
      <c r="F698" s="253" t="s">
        <v>20</v>
      </c>
      <c r="G698" s="253">
        <v>1</v>
      </c>
      <c r="H698" s="253" t="s">
        <v>3106</v>
      </c>
      <c r="I698" s="254" t="str">
        <f>'Dry_Litterbag Placem_Collection'!C39</f>
        <v>Dry_P1_T5</v>
      </c>
      <c r="J698" s="263" t="s">
        <v>2932</v>
      </c>
      <c r="K698" s="264" t="s">
        <v>298</v>
      </c>
      <c r="L698" s="221" t="str">
        <f>'WetLitterbags placem_collection'!Q39</f>
        <v>R89</v>
      </c>
      <c r="M698" s="223">
        <f>IFERROR(INDEX('Green_rooibos initial weight'!$C$5:$C$2000,MATCH(L698, 'Green_rooibos initial weight'!$A$5:$A$2000,0)),"")</f>
        <v>2.1949999999999998</v>
      </c>
      <c r="N698" s="223">
        <f>IFERROR(M698-(TBIcalc!$H$9+TBIcalc!$H$10),"")</f>
        <v>1.9451999999999998</v>
      </c>
      <c r="O698" s="378">
        <f>AVERAGE(Ashed_controlls!$K$2:$K$11)</f>
        <v>5.5147656768714146</v>
      </c>
      <c r="P698" s="223">
        <f t="shared" si="51"/>
        <v>1.8379267780534971</v>
      </c>
      <c r="Q698" s="223">
        <f>IFERROR(INDEX('Both teabags AfterWet'!$C$3:$C$840,MATCH(L698,'Both teabags AfterWet'!$A$3:$A$840,0)),"")</f>
        <v>1.425</v>
      </c>
      <c r="R698" s="223">
        <f>IFERROR(IF(Q698&gt;0,Q698-(TBIcalc!$H$9),""),"")</f>
        <v>1.2744</v>
      </c>
      <c r="S698" s="223">
        <f>IFERROR(INDEX('Ashed teabags wet'!$K$2:$K$2000,MATCH(L698,'Ashed teabags wet'!$A$2:$A$2000,0)),"")</f>
        <v>8.2721488007830519</v>
      </c>
      <c r="T698" s="223">
        <f t="shared" si="52"/>
        <v>1.1689797356828207</v>
      </c>
      <c r="U698" s="224">
        <f>'WetLitterbags placem_collection'!E39</f>
        <v>42765</v>
      </c>
      <c r="V698" s="224">
        <f>IF('WetLitterbags placem_collection'!G39="","",'WetLitterbags placem_collection'!G39)</f>
        <v>42820</v>
      </c>
      <c r="W698" s="225">
        <f t="shared" si="50"/>
        <v>55</v>
      </c>
      <c r="X698" s="223">
        <f t="shared" si="53"/>
        <v>0.67079999999999984</v>
      </c>
      <c r="Y698" s="223">
        <f t="shared" si="54"/>
        <v>0.66894704237067648</v>
      </c>
      <c r="Z698">
        <f>IFERROR(INDEX([1]Rainfall_Wet!$O$2:$O$217,MATCH(C698, [1]Rainfall_Wet!$A$2:$A$217,0)),"")</f>
        <v>228.324359195</v>
      </c>
      <c r="AA698" s="226">
        <v>23.96</v>
      </c>
      <c r="AB698" s="226">
        <v>0.91999999999999804</v>
      </c>
      <c r="AC698" s="226">
        <v>75.12</v>
      </c>
      <c r="AD698" s="227" t="s">
        <v>2651</v>
      </c>
      <c r="AE698" s="226">
        <v>1.2493839329719072</v>
      </c>
      <c r="AF698">
        <f>IF('WetLitterbags placem_collection'!AB39="","",'WetLitterbags placem_collection'!AB39)</f>
        <v>8.3000000000000007</v>
      </c>
      <c r="AG698">
        <f>IF('WetLitterbags placem_collection'!Z39="","",'WetLitterbags placem_collection'!Z39)</f>
        <v>27.8</v>
      </c>
      <c r="AH698" s="236" t="str">
        <f>IF('WetLitterbags placem_collection'!AA39="","",'WetLitterbags placem_collection'!AA39)</f>
        <v>G</v>
      </c>
      <c r="AI698">
        <f>IF('WetLitterbags placem_collection'!AC39="","",'WetLitterbags placem_collection'!AC39)</f>
        <v>0</v>
      </c>
      <c r="AJ698">
        <f>AVERAGE('WetLitterbags placem_collection'!S39,'WetLitterbags placem_collection'!U39)</f>
        <v>19.299999999999997</v>
      </c>
      <c r="AK698">
        <f>AVERAGE('WetLitterbags placem_collection'!R39,'WetLitterbags placem_collection'!T39)</f>
        <v>24.55</v>
      </c>
      <c r="AL698">
        <f>INDEX([2]Coordinates!$B$2:$B$197,MATCH(I698,[2]Coordinates!$J$2:$J$197,0))</f>
        <v>-3.4090709779999999</v>
      </c>
      <c r="AM698">
        <f>INDEX([2]Coordinates!$C$2:$C$197,MATCH(I698,[2]Coordinates!$J$2:$J$197,0))</f>
        <v>34.852712029999999</v>
      </c>
      <c r="AN698" t="str">
        <f>IF(ISNUMBER(SEARCH("C", 'WetLitterbags placem_collection'!$Y39)),"YES","NO")</f>
        <v>NO</v>
      </c>
      <c r="AO698" t="str">
        <f>IF(ISNUMBER(SEARCH("H", 'WetLitterbags placem_collection'!$Y39)),"YES","NO")</f>
        <v>NO</v>
      </c>
      <c r="AP698" t="str">
        <f>IF(ISNUMBER(SEARCH("R", 'WetLitterbags placem_collection'!$Y39)),"YES","NO")</f>
        <v>YES</v>
      </c>
    </row>
    <row r="699" spans="1:42" ht="15" customHeight="1">
      <c r="A699" t="s">
        <v>3248</v>
      </c>
      <c r="B699" s="248" t="s">
        <v>2454</v>
      </c>
      <c r="C699" s="253">
        <f>'Dry_Litterbag Placem_Collection'!A40</f>
        <v>38</v>
      </c>
      <c r="D699" s="253" t="str">
        <f>'Dry_Litterbag Placem_Collection'!B40</f>
        <v>Makao</v>
      </c>
      <c r="E699" s="253" t="s">
        <v>2643</v>
      </c>
      <c r="F699" s="253" t="s">
        <v>20</v>
      </c>
      <c r="G699" s="253">
        <v>1</v>
      </c>
      <c r="H699" s="253" t="s">
        <v>3106</v>
      </c>
      <c r="I699" s="254" t="str">
        <f>'Dry_Litterbag Placem_Collection'!C40</f>
        <v>Dry_P1_T6</v>
      </c>
      <c r="J699" s="263" t="s">
        <v>2932</v>
      </c>
      <c r="K699" s="264" t="s">
        <v>298</v>
      </c>
      <c r="L699" s="221" t="str">
        <f>'WetLitterbags placem_collection'!Q40</f>
        <v>R147</v>
      </c>
      <c r="M699" s="223">
        <f>IFERROR(INDEX('Green_rooibos initial weight'!$C$5:$C$2000,MATCH(L699, 'Green_rooibos initial weight'!$A$5:$A$2000,0)),"")</f>
        <v>2.1960000000000002</v>
      </c>
      <c r="N699" s="223">
        <f>IFERROR(M699-(TBIcalc!$H$9+TBIcalc!$H$10),"")</f>
        <v>1.9462000000000002</v>
      </c>
      <c r="O699" s="378">
        <f>AVERAGE(Ashed_controlls!$K$2:$K$11)</f>
        <v>5.5147656768714146</v>
      </c>
      <c r="P699" s="223">
        <f t="shared" si="51"/>
        <v>1.8388716303967287</v>
      </c>
      <c r="Q699" s="223">
        <f>IFERROR(INDEX('Both teabags AfterWet'!$C$3:$C$840,MATCH(L699,'Both teabags AfterWet'!$A$3:$A$840,0)),"")</f>
        <v>1.381</v>
      </c>
      <c r="R699" s="223">
        <f>IFERROR(IF(Q699&gt;0,Q699-(TBIcalc!$H$9),""),"")</f>
        <v>1.2303999999999999</v>
      </c>
      <c r="S699" s="223">
        <f>IFERROR(INDEX('Ashed teabags wet'!$K$2:$K$2000,MATCH(L699,'Ashed teabags wet'!$A$2:$A$2000,0)),"")</f>
        <v>6.8948891031825541</v>
      </c>
      <c r="T699" s="223">
        <f t="shared" si="52"/>
        <v>1.1455652844744417</v>
      </c>
      <c r="U699" s="224">
        <f>'WetLitterbags placem_collection'!E40</f>
        <v>42765</v>
      </c>
      <c r="V699" s="224">
        <f>IF('WetLitterbags placem_collection'!G40="","",'WetLitterbags placem_collection'!G40)</f>
        <v>42820</v>
      </c>
      <c r="W699" s="225">
        <f t="shared" si="50"/>
        <v>55</v>
      </c>
      <c r="X699" s="223">
        <f t="shared" si="53"/>
        <v>0.71580000000000021</v>
      </c>
      <c r="Y699" s="223">
        <f t="shared" si="54"/>
        <v>0.69330634592228702</v>
      </c>
      <c r="Z699">
        <f>IFERROR(INDEX([1]Rainfall_Wet!$O$2:$O$217,MATCH(C699, [1]Rainfall_Wet!$A$2:$A$217,0)),"")</f>
        <v>228.324359195</v>
      </c>
      <c r="AA699" s="226">
        <v>23.96</v>
      </c>
      <c r="AB699" s="226">
        <v>0.91999999999999804</v>
      </c>
      <c r="AC699" s="226">
        <v>75.12</v>
      </c>
      <c r="AD699" s="227" t="s">
        <v>2651</v>
      </c>
      <c r="AE699" s="226">
        <v>1.2493839329719072</v>
      </c>
      <c r="AF699">
        <f>IF('WetLitterbags placem_collection'!AB40="","",'WetLitterbags placem_collection'!AB40)</f>
        <v>2</v>
      </c>
      <c r="AG699">
        <f>IF('WetLitterbags placem_collection'!Z40="","",'WetLitterbags placem_collection'!Z40)</f>
        <v>20.399999999999999</v>
      </c>
      <c r="AH699" s="236" t="str">
        <f>IF('WetLitterbags placem_collection'!AA40="","",'WetLitterbags placem_collection'!AA40)</f>
        <v>O</v>
      </c>
      <c r="AI699">
        <f>IF('WetLitterbags placem_collection'!AC40="","",'WetLitterbags placem_collection'!AC40)</f>
        <v>0</v>
      </c>
      <c r="AJ699">
        <f>AVERAGE('WetLitterbags placem_collection'!S40,'WetLitterbags placem_collection'!U40)</f>
        <v>20.9</v>
      </c>
      <c r="AK699">
        <f>AVERAGE('WetLitterbags placem_collection'!R40,'WetLitterbags placem_collection'!T40)</f>
        <v>24.1</v>
      </c>
      <c r="AL699">
        <f>INDEX([2]Coordinates!$B$2:$B$197,MATCH(I699,[2]Coordinates!$J$2:$J$197,0))</f>
        <v>-3.409280023</v>
      </c>
      <c r="AM699">
        <f>INDEX([2]Coordinates!$C$2:$C$197,MATCH(I699,[2]Coordinates!$J$2:$J$197,0))</f>
        <v>34.852612960000002</v>
      </c>
      <c r="AN699" t="str">
        <f>IF(ISNUMBER(SEARCH("C", 'WetLitterbags placem_collection'!$Y40)),"YES","NO")</f>
        <v>NO</v>
      </c>
      <c r="AO699" t="str">
        <f>IF(ISNUMBER(SEARCH("H", 'WetLitterbags placem_collection'!$Y40)),"YES","NO")</f>
        <v>NO</v>
      </c>
      <c r="AP699" t="str">
        <f>IF(ISNUMBER(SEARCH("R", 'WetLitterbags placem_collection'!$Y40)),"YES","NO")</f>
        <v>NO</v>
      </c>
    </row>
    <row r="700" spans="1:42" ht="15" customHeight="1">
      <c r="A700" t="s">
        <v>3248</v>
      </c>
      <c r="B700" s="248" t="s">
        <v>2454</v>
      </c>
      <c r="C700" s="253">
        <f>'Dry_Litterbag Placem_Collection'!A41</f>
        <v>39</v>
      </c>
      <c r="D700" s="253" t="str">
        <f>'Dry_Litterbag Placem_Collection'!B41</f>
        <v>Makao</v>
      </c>
      <c r="E700" s="253" t="s">
        <v>2643</v>
      </c>
      <c r="F700" s="253" t="s">
        <v>20</v>
      </c>
      <c r="G700" s="253">
        <v>1</v>
      </c>
      <c r="H700" s="253" t="s">
        <v>3106</v>
      </c>
      <c r="I700" s="254" t="str">
        <f>'Dry_Litterbag Placem_Collection'!C41</f>
        <v>Dry_P1_T7</v>
      </c>
      <c r="J700" s="263" t="s">
        <v>2932</v>
      </c>
      <c r="K700" s="264" t="s">
        <v>298</v>
      </c>
      <c r="L700" s="221" t="str">
        <f>'WetLitterbags placem_collection'!Q41</f>
        <v>R65</v>
      </c>
      <c r="M700" s="223">
        <f>IFERROR(INDEX('Green_rooibos initial weight'!$C$5:$C$2000,MATCH(L700, 'Green_rooibos initial weight'!$A$5:$A$2000,0)),"")</f>
        <v>2.2559999999999998</v>
      </c>
      <c r="N700" s="223">
        <f>IFERROR(M700-(TBIcalc!$H$9+TBIcalc!$H$10),"")</f>
        <v>2.0061999999999998</v>
      </c>
      <c r="O700" s="378">
        <f>AVERAGE(Ashed_controlls!$K$2:$K$11)</f>
        <v>5.5147656768714146</v>
      </c>
      <c r="P700" s="223">
        <f t="shared" si="51"/>
        <v>1.8955627709906056</v>
      </c>
      <c r="Q700" s="223">
        <f>IFERROR(INDEX('Both teabags AfterWet'!$C$3:$C$840,MATCH(L700,'Both teabags AfterWet'!$A$3:$A$840,0)),"")</f>
        <v>1.5185</v>
      </c>
      <c r="R700" s="223">
        <f>IFERROR(IF(Q700&gt;0,Q700-(TBIcalc!$H$9),""),"")</f>
        <v>1.3678999999999999</v>
      </c>
      <c r="S700" s="223">
        <f>IFERROR(INDEX('Ashed teabags wet'!$K$2:$K$2000,MATCH(L700,'Ashed teabags wet'!$A$2:$A$2000,0)),"")</f>
        <v>3.3680039623575757</v>
      </c>
      <c r="T700" s="223">
        <f t="shared" si="52"/>
        <v>1.3218290737989107</v>
      </c>
      <c r="U700" s="224">
        <f>'WetLitterbags placem_collection'!E41</f>
        <v>42765</v>
      </c>
      <c r="V700" s="224">
        <f>IF('WetLitterbags placem_collection'!G41="","",'WetLitterbags placem_collection'!G41)</f>
        <v>42820</v>
      </c>
      <c r="W700" s="225">
        <f t="shared" si="50"/>
        <v>55</v>
      </c>
      <c r="X700" s="223">
        <f t="shared" si="53"/>
        <v>0.63829999999999987</v>
      </c>
      <c r="Y700" s="223">
        <f t="shared" si="54"/>
        <v>0.57373369719169487</v>
      </c>
      <c r="Z700">
        <f>IFERROR(INDEX([1]Rainfall_Wet!$O$2:$O$217,MATCH(C700, [1]Rainfall_Wet!$A$2:$A$217,0)),"")</f>
        <v>228.324359195</v>
      </c>
      <c r="AA700" s="226">
        <v>23.96</v>
      </c>
      <c r="AB700" s="226">
        <v>0.91999999999999804</v>
      </c>
      <c r="AC700" s="226">
        <v>75.12</v>
      </c>
      <c r="AD700" s="227" t="s">
        <v>2651</v>
      </c>
      <c r="AE700" s="226">
        <v>1.2493839329719072</v>
      </c>
      <c r="AF700">
        <f>IF('WetLitterbags placem_collection'!AB41="","",'WetLitterbags placem_collection'!AB41)</f>
        <v>2.4</v>
      </c>
      <c r="AG700">
        <f>IF('WetLitterbags placem_collection'!Z41="","",'WetLitterbags placem_collection'!Z41)</f>
        <v>18</v>
      </c>
      <c r="AH700" s="236" t="str">
        <f>IF('WetLitterbags placem_collection'!AA41="","",'WetLitterbags placem_collection'!AA41)</f>
        <v>G</v>
      </c>
      <c r="AI700">
        <f>IF('WetLitterbags placem_collection'!AC41="","",'WetLitterbags placem_collection'!AC41)</f>
        <v>1</v>
      </c>
      <c r="AJ700">
        <f>AVERAGE('WetLitterbags placem_collection'!S41,'WetLitterbags placem_collection'!U41)</f>
        <v>26.9</v>
      </c>
      <c r="AK700">
        <f>AVERAGE('WetLitterbags placem_collection'!R41,'WetLitterbags placem_collection'!T41)</f>
        <v>23.299999999999997</v>
      </c>
      <c r="AL700">
        <f>INDEX([2]Coordinates!$B$2:$B$197,MATCH(I700,[2]Coordinates!$J$2:$J$197,0))</f>
        <v>-3.4093859700000002</v>
      </c>
      <c r="AM700">
        <f>INDEX([2]Coordinates!$C$2:$C$197,MATCH(I700,[2]Coordinates!$J$2:$J$197,0))</f>
        <v>34.852855030000001</v>
      </c>
      <c r="AN700" t="str">
        <f>IF(ISNUMBER(SEARCH("C", 'WetLitterbags placem_collection'!$Y41)),"YES","NO")</f>
        <v>NO</v>
      </c>
      <c r="AO700" t="str">
        <f>IF(ISNUMBER(SEARCH("H", 'WetLitterbags placem_collection'!$Y41)),"YES","NO")</f>
        <v>NO</v>
      </c>
      <c r="AP700" t="str">
        <f>IF(ISNUMBER(SEARCH("R", 'WetLitterbags placem_collection'!$Y41)),"YES","NO")</f>
        <v>YES</v>
      </c>
    </row>
    <row r="701" spans="1:42" ht="15" customHeight="1">
      <c r="A701" t="s">
        <v>3248</v>
      </c>
      <c r="B701" s="248" t="s">
        <v>2454</v>
      </c>
      <c r="C701" s="253">
        <f>'Dry_Litterbag Placem_Collection'!A42</f>
        <v>40</v>
      </c>
      <c r="D701" s="253" t="str">
        <f>'Dry_Litterbag Placem_Collection'!B42</f>
        <v>Makao</v>
      </c>
      <c r="E701" s="253" t="s">
        <v>2643</v>
      </c>
      <c r="F701" s="253" t="s">
        <v>20</v>
      </c>
      <c r="G701" s="253">
        <v>1</v>
      </c>
      <c r="H701" s="253" t="s">
        <v>3106</v>
      </c>
      <c r="I701" s="254" t="str">
        <f>'Dry_Litterbag Placem_Collection'!C42</f>
        <v>Dry_P1_T8</v>
      </c>
      <c r="J701" s="263" t="s">
        <v>2932</v>
      </c>
      <c r="K701" s="264" t="s">
        <v>298</v>
      </c>
      <c r="L701" s="221" t="str">
        <f>'WetLitterbags placem_collection'!Q42</f>
        <v>R420</v>
      </c>
      <c r="M701" s="223">
        <f>IFERROR(INDEX('Green_rooibos initial weight'!$C$5:$C$2000,MATCH(L701, 'Green_rooibos initial weight'!$A$5:$A$2000,0)),"")</f>
        <v>2.2749999999999999</v>
      </c>
      <c r="N701" s="223">
        <f>IFERROR(M701-(TBIcalc!$H$9+TBIcalc!$H$10),"")</f>
        <v>2.0251999999999999</v>
      </c>
      <c r="O701" s="378">
        <f>AVERAGE(Ashed_controlls!$K$2:$K$11)</f>
        <v>5.5147656768714146</v>
      </c>
      <c r="P701" s="223">
        <f t="shared" si="51"/>
        <v>1.9135149655120001</v>
      </c>
      <c r="Q701" s="223">
        <f>IFERROR(INDEX('Both teabags AfterWet'!$C$3:$C$840,MATCH(L701,'Both teabags AfterWet'!$A$3:$A$840,0)),"")</f>
        <v>1.66</v>
      </c>
      <c r="R701" s="223">
        <f>IFERROR(IF(Q701&gt;0,Q701-(TBIcalc!$H$9),""),"")</f>
        <v>1.5093999999999999</v>
      </c>
      <c r="S701" s="223">
        <f>IFERROR(INDEX('Ashed teabags wet'!$K$2:$K$2000,MATCH(L701,'Ashed teabags wet'!$A$2:$A$2000,0)),"")</f>
        <v>4.7856430707881614</v>
      </c>
      <c r="T701" s="223">
        <f t="shared" si="52"/>
        <v>1.4371655034895234</v>
      </c>
      <c r="U701" s="224">
        <f>'WetLitterbags placem_collection'!E42</f>
        <v>42765</v>
      </c>
      <c r="V701" s="224">
        <f>IF('WetLitterbags placem_collection'!G42="","",'WetLitterbags placem_collection'!G42)</f>
        <v>42820</v>
      </c>
      <c r="W701" s="225">
        <f t="shared" si="50"/>
        <v>55</v>
      </c>
      <c r="X701" s="223">
        <f t="shared" si="53"/>
        <v>0.51580000000000004</v>
      </c>
      <c r="Y701" s="223">
        <f t="shared" si="54"/>
        <v>0.47634946202247663</v>
      </c>
      <c r="Z701">
        <f>IFERROR(INDEX([1]Rainfall_Wet!$O$2:$O$217,MATCH(C701, [1]Rainfall_Wet!$A$2:$A$217,0)),"")</f>
        <v>228.324359195</v>
      </c>
      <c r="AA701" s="226">
        <v>23.96</v>
      </c>
      <c r="AB701" s="226">
        <v>0.91999999999999804</v>
      </c>
      <c r="AC701" s="226">
        <v>75.12</v>
      </c>
      <c r="AD701" s="227" t="s">
        <v>2651</v>
      </c>
      <c r="AE701" s="226">
        <v>1.2493839329719072</v>
      </c>
      <c r="AF701">
        <f>IF('WetLitterbags placem_collection'!AB42="","",'WetLitterbags placem_collection'!AB42)</f>
        <v>8.6999999999999993</v>
      </c>
      <c r="AG701">
        <f>IF('WetLitterbags placem_collection'!Z42="","",'WetLitterbags placem_collection'!Z42)</f>
        <v>19.3</v>
      </c>
      <c r="AH701" s="236" t="str">
        <f>IF('WetLitterbags placem_collection'!AA42="","",'WetLitterbags placem_collection'!AA42)</f>
        <v>G</v>
      </c>
      <c r="AI701">
        <f>IF('WetLitterbags placem_collection'!AC42="","",'WetLitterbags placem_collection'!AC42)</f>
        <v>0</v>
      </c>
      <c r="AJ701">
        <f>AVERAGE('WetLitterbags placem_collection'!S42,'WetLitterbags placem_collection'!U42)</f>
        <v>31.9</v>
      </c>
      <c r="AK701">
        <f>AVERAGE('WetLitterbags placem_collection'!R42,'WetLitterbags placem_collection'!T42)</f>
        <v>23.9</v>
      </c>
      <c r="AL701">
        <f>INDEX([2]Coordinates!$B$2:$B$197,MATCH(I701,[2]Coordinates!$J$2:$J$197,0))</f>
        <v>-3.4091539590000002</v>
      </c>
      <c r="AM701">
        <f>INDEX([2]Coordinates!$C$2:$C$197,MATCH(I701,[2]Coordinates!$J$2:$J$197,0))</f>
        <v>34.852755029999997</v>
      </c>
      <c r="AN701" t="str">
        <f>IF(ISNUMBER(SEARCH("C", 'WetLitterbags placem_collection'!$Y42)),"YES","NO")</f>
        <v>NO</v>
      </c>
      <c r="AO701" t="str">
        <f>IF(ISNUMBER(SEARCH("H", 'WetLitterbags placem_collection'!$Y42)),"YES","NO")</f>
        <v>NO</v>
      </c>
      <c r="AP701" t="str">
        <f>IF(ISNUMBER(SEARCH("R", 'WetLitterbags placem_collection'!$Y42)),"YES","NO")</f>
        <v>NO</v>
      </c>
    </row>
    <row r="702" spans="1:42" ht="15" customHeight="1">
      <c r="A702" t="s">
        <v>3248</v>
      </c>
      <c r="B702" s="248" t="s">
        <v>2454</v>
      </c>
      <c r="C702" s="253">
        <f>'Dry_Litterbag Placem_Collection'!A43</f>
        <v>41</v>
      </c>
      <c r="D702" s="253" t="str">
        <f>'Dry_Litterbag Placem_Collection'!B43</f>
        <v>Makao</v>
      </c>
      <c r="E702" s="253" t="s">
        <v>2643</v>
      </c>
      <c r="F702" s="253" t="s">
        <v>20</v>
      </c>
      <c r="G702" s="253">
        <v>2</v>
      </c>
      <c r="H702" s="253" t="s">
        <v>3108</v>
      </c>
      <c r="I702" s="254" t="str">
        <f>'Dry_Litterbag Placem_Collection'!C43</f>
        <v>Dry_P2_T1</v>
      </c>
      <c r="J702" s="263" t="s">
        <v>2932</v>
      </c>
      <c r="K702" s="264" t="s">
        <v>298</v>
      </c>
      <c r="L702" s="221" t="str">
        <f>'WetLitterbags placem_collection'!Q43</f>
        <v>R77</v>
      </c>
      <c r="M702" s="223">
        <f>IFERROR(INDEX('Green_rooibos initial weight'!$C$5:$C$2000,MATCH(L702, 'Green_rooibos initial weight'!$A$5:$A$2000,0)),"")</f>
        <v>2.1749999999999998</v>
      </c>
      <c r="N702" s="223">
        <f>IFERROR(M702-(TBIcalc!$H$9+TBIcalc!$H$10),"")</f>
        <v>1.9251999999999998</v>
      </c>
      <c r="O702" s="378">
        <f>AVERAGE(Ashed_controlls!$K$2:$K$11)</f>
        <v>5.5147656768714146</v>
      </c>
      <c r="P702" s="223">
        <f t="shared" si="51"/>
        <v>1.8190297311888712</v>
      </c>
      <c r="Q702" s="223">
        <f>IFERROR(INDEX('Both teabags AfterWet'!$C$3:$C$840,MATCH(L702,'Both teabags AfterWet'!$A$3:$A$840,0)),"")</f>
        <v>1.5429999999999999</v>
      </c>
      <c r="R702" s="223">
        <f>IFERROR(IF(Q702&gt;0,Q702-(TBIcalc!$H$9),""),"")</f>
        <v>1.3923999999999999</v>
      </c>
      <c r="S702" s="223">
        <f>IFERROR(INDEX('Ashed teabags wet'!$K$2:$K$2000,MATCH(L702,'Ashed teabags wet'!$A$2:$A$2000,0)),"")</f>
        <v>6.0530265132569756</v>
      </c>
      <c r="T702" s="223">
        <f t="shared" si="52"/>
        <v>1.3081176588294097</v>
      </c>
      <c r="U702" s="224">
        <f>'WetLitterbags placem_collection'!E43</f>
        <v>42766</v>
      </c>
      <c r="V702" s="224">
        <f>IF('WetLitterbags placem_collection'!G43="","",'WetLitterbags placem_collection'!G43)</f>
        <v>42820</v>
      </c>
      <c r="W702" s="225">
        <f t="shared" si="50"/>
        <v>54</v>
      </c>
      <c r="X702" s="223">
        <f t="shared" si="53"/>
        <v>0.53279999999999994</v>
      </c>
      <c r="Y702" s="223">
        <f t="shared" si="54"/>
        <v>0.51091207235946157</v>
      </c>
      <c r="Z702">
        <f>IFERROR(INDEX([1]Rainfall_Wet!$O$2:$O$217,MATCH(C702, [1]Rainfall_Wet!$A$2:$A$217,0)),"")</f>
        <v>214.262898705</v>
      </c>
      <c r="AA702" s="226">
        <v>19.96</v>
      </c>
      <c r="AB702" s="226">
        <v>4.9199999999999982</v>
      </c>
      <c r="AC702" s="226">
        <v>75.12</v>
      </c>
      <c r="AD702" s="227" t="s">
        <v>2652</v>
      </c>
      <c r="AE702" s="226">
        <v>1.641498275012321</v>
      </c>
      <c r="AF702">
        <f>IF('WetLitterbags placem_collection'!AB43="","",'WetLitterbags placem_collection'!AB43)</f>
        <v>4</v>
      </c>
      <c r="AG702">
        <f>IF('WetLitterbags placem_collection'!Z43="","",'WetLitterbags placem_collection'!Z43)</f>
        <v>19.100000000000001</v>
      </c>
      <c r="AH702" s="236" t="str">
        <f>IF('WetLitterbags placem_collection'!AA43="","",'WetLitterbags placem_collection'!AA43)</f>
        <v>G</v>
      </c>
      <c r="AI702">
        <f>IF('WetLitterbags placem_collection'!AC43="","",'WetLitterbags placem_collection'!AC43)</f>
        <v>0</v>
      </c>
      <c r="AJ702">
        <f>AVERAGE('WetLitterbags placem_collection'!S43,'WetLitterbags placem_collection'!U43)</f>
        <v>21.9</v>
      </c>
      <c r="AK702">
        <f>AVERAGE('WetLitterbags placem_collection'!R43,'WetLitterbags placem_collection'!T43)</f>
        <v>24.5</v>
      </c>
      <c r="AL702">
        <f>INDEX([2]Coordinates!$B$2:$B$197,MATCH(I702,[2]Coordinates!$J$2:$J$197,0))</f>
        <v>-3.4083420040000001</v>
      </c>
      <c r="AM702">
        <f>INDEX([2]Coordinates!$C$2:$C$197,MATCH(I702,[2]Coordinates!$J$2:$J$197,0))</f>
        <v>34.850283040000001</v>
      </c>
      <c r="AN702" t="str">
        <f>IF(ISNUMBER(SEARCH("C", 'WetLitterbags placem_collection'!$Y43)),"YES","NO")</f>
        <v>NO</v>
      </c>
      <c r="AO702" t="str">
        <f>IF(ISNUMBER(SEARCH("H", 'WetLitterbags placem_collection'!$Y43)),"YES","NO")</f>
        <v>NO</v>
      </c>
      <c r="AP702" t="str">
        <f>IF(ISNUMBER(SEARCH("R", 'WetLitterbags placem_collection'!$Y43)),"YES","NO")</f>
        <v>YES</v>
      </c>
    </row>
    <row r="703" spans="1:42" ht="15" customHeight="1">
      <c r="A703" t="s">
        <v>3248</v>
      </c>
      <c r="B703" s="248" t="s">
        <v>2454</v>
      </c>
      <c r="C703" s="253">
        <f>'Dry_Litterbag Placem_Collection'!A44</f>
        <v>42</v>
      </c>
      <c r="D703" s="253" t="str">
        <f>'Dry_Litterbag Placem_Collection'!B44</f>
        <v>Makao</v>
      </c>
      <c r="E703" s="253" t="s">
        <v>2643</v>
      </c>
      <c r="F703" s="253" t="s">
        <v>20</v>
      </c>
      <c r="G703" s="253">
        <v>2</v>
      </c>
      <c r="H703" s="253" t="s">
        <v>3108</v>
      </c>
      <c r="I703" s="254" t="str">
        <f>'Dry_Litterbag Placem_Collection'!C44</f>
        <v>Dry_P2_T2</v>
      </c>
      <c r="J703" s="263" t="s">
        <v>2932</v>
      </c>
      <c r="K703" s="264" t="s">
        <v>298</v>
      </c>
      <c r="L703" s="221" t="str">
        <f>'WetLitterbags placem_collection'!Q44</f>
        <v>R81</v>
      </c>
      <c r="M703" s="223">
        <f>IFERROR(INDEX('Green_rooibos initial weight'!$C$5:$C$2000,MATCH(L703, 'Green_rooibos initial weight'!$A$5:$A$2000,0)),"")</f>
        <v>2.004</v>
      </c>
      <c r="N703" s="223">
        <f>IFERROR(M703-(TBIcalc!$H$9+TBIcalc!$H$10),"")</f>
        <v>1.7542</v>
      </c>
      <c r="O703" s="378">
        <f>AVERAGE(Ashed_controlls!$K$2:$K$11)</f>
        <v>5.5147656768714146</v>
      </c>
      <c r="P703" s="223">
        <f t="shared" si="51"/>
        <v>1.6574599804963217</v>
      </c>
      <c r="Q703" s="223">
        <f>IFERROR(INDEX('Both teabags AfterWet'!$C$3:$C$840,MATCH(L703,'Both teabags AfterWet'!$A$3:$A$840,0)),"")</f>
        <v>1.528</v>
      </c>
      <c r="R703" s="223">
        <f>IFERROR(IF(Q703&gt;0,Q703-(TBIcalc!$H$9),""),"")</f>
        <v>1.3774</v>
      </c>
      <c r="S703" s="223">
        <f>IFERROR(INDEX('Ashed teabags wet'!$K$2:$K$2000,MATCH(L703,'Ashed teabags wet'!$A$2:$A$2000,0)),"")</f>
        <v>2.5036109773709327</v>
      </c>
      <c r="T703" s="223">
        <f t="shared" si="52"/>
        <v>1.3429152623976928</v>
      </c>
      <c r="U703" s="224">
        <f>'WetLitterbags placem_collection'!E44</f>
        <v>42766</v>
      </c>
      <c r="V703" s="224">
        <f>IF('WetLitterbags placem_collection'!G44="","",'WetLitterbags placem_collection'!G44)</f>
        <v>42820</v>
      </c>
      <c r="W703" s="225">
        <f t="shared" si="50"/>
        <v>54</v>
      </c>
      <c r="X703" s="223">
        <f t="shared" si="53"/>
        <v>0.37680000000000002</v>
      </c>
      <c r="Y703" s="223">
        <f t="shared" si="54"/>
        <v>0.31454471809862894</v>
      </c>
      <c r="Z703">
        <f>IFERROR(INDEX([1]Rainfall_Wet!$O$2:$O$217,MATCH(C703, [1]Rainfall_Wet!$A$2:$A$217,0)),"")</f>
        <v>214.262898705</v>
      </c>
      <c r="AA703" s="226">
        <v>19.96</v>
      </c>
      <c r="AB703" s="226">
        <v>4.9199999999999982</v>
      </c>
      <c r="AC703" s="226">
        <v>75.12</v>
      </c>
      <c r="AD703" s="227" t="s">
        <v>2652</v>
      </c>
      <c r="AE703" s="226">
        <v>1.641498275012321</v>
      </c>
      <c r="AF703">
        <f>IF('WetLitterbags placem_collection'!AB44="","",'WetLitterbags placem_collection'!AB44)</f>
        <v>5.9</v>
      </c>
      <c r="AG703">
        <f>IF('WetLitterbags placem_collection'!Z44="","",'WetLitterbags placem_collection'!Z44)</f>
        <v>12.7</v>
      </c>
      <c r="AH703" s="236" t="str">
        <f>IF('WetLitterbags placem_collection'!AA44="","",'WetLitterbags placem_collection'!AA44)</f>
        <v>G</v>
      </c>
      <c r="AI703">
        <f>IF('WetLitterbags placem_collection'!AC44="","",'WetLitterbags placem_collection'!AC44)</f>
        <v>0</v>
      </c>
      <c r="AJ703">
        <f>AVERAGE('WetLitterbags placem_collection'!S44,'WetLitterbags placem_collection'!U44)</f>
        <v>19</v>
      </c>
      <c r="AK703">
        <f>AVERAGE('WetLitterbags placem_collection'!R44,'WetLitterbags placem_collection'!T44)</f>
        <v>22.950000000000003</v>
      </c>
      <c r="AL703">
        <f>INDEX([2]Coordinates!$B$2:$B$197,MATCH(I703,[2]Coordinates!$J$2:$J$197,0))</f>
        <v>-3.4084079690000002</v>
      </c>
      <c r="AM703">
        <f>INDEX([2]Coordinates!$C$2:$C$197,MATCH(I703,[2]Coordinates!$J$2:$J$197,0))</f>
        <v>34.850295029999998</v>
      </c>
      <c r="AN703" t="str">
        <f>IF(ISNUMBER(SEARCH("C", 'WetLitterbags placem_collection'!$Y44)),"YES","NO")</f>
        <v>NO</v>
      </c>
      <c r="AO703" t="str">
        <f>IF(ISNUMBER(SEARCH("H", 'WetLitterbags placem_collection'!$Y44)),"YES","NO")</f>
        <v>NO</v>
      </c>
      <c r="AP703" t="str">
        <f>IF(ISNUMBER(SEARCH("R", 'WetLitterbags placem_collection'!$Y44)),"YES","NO")</f>
        <v>NO</v>
      </c>
    </row>
    <row r="704" spans="1:42" ht="15" customHeight="1">
      <c r="A704" t="s">
        <v>3248</v>
      </c>
      <c r="B704" s="248" t="s">
        <v>2454</v>
      </c>
      <c r="C704" s="253">
        <f>'Dry_Litterbag Placem_Collection'!A45</f>
        <v>43</v>
      </c>
      <c r="D704" s="253" t="str">
        <f>'Dry_Litterbag Placem_Collection'!B45</f>
        <v>Makao</v>
      </c>
      <c r="E704" s="253" t="s">
        <v>2643</v>
      </c>
      <c r="F704" s="253" t="s">
        <v>20</v>
      </c>
      <c r="G704" s="253">
        <v>2</v>
      </c>
      <c r="H704" s="253" t="s">
        <v>3108</v>
      </c>
      <c r="I704" s="254" t="str">
        <f>'Dry_Litterbag Placem_Collection'!C45</f>
        <v>Dry_P2_T3</v>
      </c>
      <c r="J704" s="263" t="s">
        <v>2932</v>
      </c>
      <c r="K704" s="264" t="s">
        <v>298</v>
      </c>
      <c r="L704" s="221" t="str">
        <f>'WetLitterbags placem_collection'!Q45</f>
        <v>R117</v>
      </c>
      <c r="M704" s="223">
        <f>IFERROR(INDEX('Green_rooibos initial weight'!$C$5:$C$2000,MATCH(L704, 'Green_rooibos initial weight'!$A$5:$A$2000,0)),"")</f>
        <v>2.2029999999999998</v>
      </c>
      <c r="N704" s="223">
        <f>IFERROR(M704-(TBIcalc!$H$9+TBIcalc!$H$10),"")</f>
        <v>1.9531999999999998</v>
      </c>
      <c r="O704" s="378">
        <f>AVERAGE(Ashed_controlls!$K$2:$K$11)</f>
        <v>5.5147656768714146</v>
      </c>
      <c r="P704" s="223">
        <f t="shared" si="51"/>
        <v>1.8454855967993473</v>
      </c>
      <c r="Q704" s="223">
        <f>IFERROR(INDEX('Both teabags AfterWet'!$C$3:$C$840,MATCH(L704,'Both teabags AfterWet'!$A$3:$A$840,0)),"")</f>
        <v>1.6155999999999999</v>
      </c>
      <c r="R704" s="223">
        <f>IFERROR(IF(Q704&gt;0,Q704-(TBIcalc!$H$9),""),"")</f>
        <v>1.4649999999999999</v>
      </c>
      <c r="S704" s="223">
        <f>IFERROR(INDEX('Ashed teabags wet'!$K$2:$K$2000,MATCH(L704,'Ashed teabags wet'!$A$2:$A$2000,0)),"")</f>
        <v>1.8435475834578603</v>
      </c>
      <c r="T704" s="223">
        <f t="shared" si="52"/>
        <v>1.4379920279023422</v>
      </c>
      <c r="U704" s="224">
        <f>'WetLitterbags placem_collection'!E45</f>
        <v>42766</v>
      </c>
      <c r="V704" s="224">
        <f>IF('WetLitterbags placem_collection'!G45="","",'WetLitterbags placem_collection'!G45)</f>
        <v>42820</v>
      </c>
      <c r="W704" s="225">
        <f t="shared" si="50"/>
        <v>54</v>
      </c>
      <c r="X704" s="223">
        <f t="shared" si="53"/>
        <v>0.48819999999999997</v>
      </c>
      <c r="Y704" s="223">
        <f t="shared" si="54"/>
        <v>0.40749356889700517</v>
      </c>
      <c r="Z704">
        <f>IFERROR(INDEX([1]Rainfall_Wet!$O$2:$O$217,MATCH(C704, [1]Rainfall_Wet!$A$2:$A$217,0)),"")</f>
        <v>214.262898705</v>
      </c>
      <c r="AA704" s="226">
        <v>19.96</v>
      </c>
      <c r="AB704" s="226">
        <v>4.9199999999999982</v>
      </c>
      <c r="AC704" s="226">
        <v>75.12</v>
      </c>
      <c r="AD704" s="227" t="s">
        <v>2652</v>
      </c>
      <c r="AE704" s="226">
        <v>1.641498275012321</v>
      </c>
      <c r="AF704">
        <f>IF('WetLitterbags placem_collection'!AB45="","",'WetLitterbags placem_collection'!AB45)</f>
        <v>5</v>
      </c>
      <c r="AG704">
        <f>IF('WetLitterbags placem_collection'!Z45="","",'WetLitterbags placem_collection'!Z45)</f>
        <v>26.3</v>
      </c>
      <c r="AH704" s="236" t="str">
        <f>IF('WetLitterbags placem_collection'!AA45="","",'WetLitterbags placem_collection'!AA45)</f>
        <v>G</v>
      </c>
      <c r="AI704">
        <f>IF('WetLitterbags placem_collection'!AC45="","",'WetLitterbags placem_collection'!AC45)</f>
        <v>0</v>
      </c>
      <c r="AJ704">
        <f>AVERAGE('WetLitterbags placem_collection'!S45,'WetLitterbags placem_collection'!U45)</f>
        <v>18.3</v>
      </c>
      <c r="AK704">
        <f>AVERAGE('WetLitterbags placem_collection'!R45,'WetLitterbags placem_collection'!T45)</f>
        <v>21.799999999999997</v>
      </c>
      <c r="AL704">
        <f>INDEX([2]Coordinates!$B$2:$B$197,MATCH(I704,[2]Coordinates!$J$2:$J$197,0))</f>
        <v>-3.4082369789999998</v>
      </c>
      <c r="AM704">
        <f>INDEX([2]Coordinates!$C$2:$C$197,MATCH(I704,[2]Coordinates!$J$2:$J$197,0))</f>
        <v>34.850189999999998</v>
      </c>
      <c r="AN704" t="str">
        <f>IF(ISNUMBER(SEARCH("C", 'WetLitterbags placem_collection'!$Y45)),"YES","NO")</f>
        <v>NO</v>
      </c>
      <c r="AO704" t="str">
        <f>IF(ISNUMBER(SEARCH("H", 'WetLitterbags placem_collection'!$Y45)),"YES","NO")</f>
        <v>NO</v>
      </c>
      <c r="AP704" t="str">
        <f>IF(ISNUMBER(SEARCH("R", 'WetLitterbags placem_collection'!$Y45)),"YES","NO")</f>
        <v>YES</v>
      </c>
    </row>
    <row r="705" spans="1:42" ht="15" customHeight="1">
      <c r="A705" t="s">
        <v>3248</v>
      </c>
      <c r="B705" s="248" t="s">
        <v>2454</v>
      </c>
      <c r="C705" s="253">
        <f>'Dry_Litterbag Placem_Collection'!A46</f>
        <v>44</v>
      </c>
      <c r="D705" s="253" t="str">
        <f>'Dry_Litterbag Placem_Collection'!B46</f>
        <v>Makao</v>
      </c>
      <c r="E705" s="253" t="s">
        <v>2643</v>
      </c>
      <c r="F705" s="253" t="s">
        <v>20</v>
      </c>
      <c r="G705" s="253">
        <v>2</v>
      </c>
      <c r="H705" s="253" t="s">
        <v>3108</v>
      </c>
      <c r="I705" s="254" t="str">
        <f>'Dry_Litterbag Placem_Collection'!C46</f>
        <v>Dry_P2_T4</v>
      </c>
      <c r="J705" s="263" t="s">
        <v>2932</v>
      </c>
      <c r="K705" s="264" t="s">
        <v>298</v>
      </c>
      <c r="L705" s="221" t="str">
        <f>'WetLitterbags placem_collection'!Q46</f>
        <v>R6</v>
      </c>
      <c r="M705" s="223">
        <f>IFERROR(INDEX('Green_rooibos initial weight'!$C$5:$C$2000,MATCH(L705, 'Green_rooibos initial weight'!$A$5:$A$2000,0)),"")</f>
        <v>2.226</v>
      </c>
      <c r="N705" s="223">
        <f>IFERROR(M705-(TBIcalc!$H$9+TBIcalc!$H$10),"")</f>
        <v>1.9762</v>
      </c>
      <c r="O705" s="378">
        <f>AVERAGE(Ashed_controlls!$K$2:$K$11)</f>
        <v>5.5147656768714146</v>
      </c>
      <c r="P705" s="223">
        <f t="shared" si="51"/>
        <v>1.8672172006936671</v>
      </c>
      <c r="Q705" s="223">
        <f>IFERROR(INDEX('Both teabags AfterWet'!$C$3:$C$840,MATCH(L705,'Both teabags AfterWet'!$A$3:$A$840,0)),"")</f>
        <v>1.5294000000000001</v>
      </c>
      <c r="R705" s="223">
        <f>IFERROR(IF(Q705&gt;0,Q705-(TBIcalc!$H$9),""),"")</f>
        <v>1.3788</v>
      </c>
      <c r="S705" s="223">
        <f>IFERROR(INDEX('Ashed teabags wet'!$K$2:$K$2000,MATCH(L705,'Ashed teabags wet'!$A$2:$A$2000,0)),"")</f>
        <v>3.8782523318604794</v>
      </c>
      <c r="T705" s="223">
        <f t="shared" si="52"/>
        <v>1.3253266568483077</v>
      </c>
      <c r="U705" s="224">
        <f>'WetLitterbags placem_collection'!E46</f>
        <v>42766</v>
      </c>
      <c r="V705" s="224">
        <f>IF('WetLitterbags placem_collection'!G46="","",'WetLitterbags placem_collection'!G46)</f>
        <v>42820</v>
      </c>
      <c r="W705" s="225">
        <f t="shared" si="50"/>
        <v>54</v>
      </c>
      <c r="X705" s="223">
        <f t="shared" si="53"/>
        <v>0.59739999999999993</v>
      </c>
      <c r="Y705" s="223">
        <f t="shared" si="54"/>
        <v>0.5418905438453594</v>
      </c>
      <c r="Z705">
        <f>IFERROR(INDEX([1]Rainfall_Wet!$O$2:$O$217,MATCH(C705, [1]Rainfall_Wet!$A$2:$A$217,0)),"")</f>
        <v>214.262898705</v>
      </c>
      <c r="AA705" s="226">
        <v>19.96</v>
      </c>
      <c r="AB705" s="226">
        <v>4.9199999999999982</v>
      </c>
      <c r="AC705" s="226">
        <v>75.12</v>
      </c>
      <c r="AD705" s="227" t="s">
        <v>2652</v>
      </c>
      <c r="AE705" s="226">
        <v>1.641498275012321</v>
      </c>
      <c r="AF705">
        <f>IF('WetLitterbags placem_collection'!AB46="","",'WetLitterbags placem_collection'!AB46)</f>
        <v>2.6</v>
      </c>
      <c r="AG705">
        <f>IF('WetLitterbags placem_collection'!Z46="","",'WetLitterbags placem_collection'!Z46)</f>
        <v>39.200000000000003</v>
      </c>
      <c r="AH705" s="236" t="str">
        <f>IF('WetLitterbags placem_collection'!AA46="","",'WetLitterbags placem_collection'!AA46)</f>
        <v>G</v>
      </c>
      <c r="AI705">
        <f>IF('WetLitterbags placem_collection'!AC46="","",'WetLitterbags placem_collection'!AC46)</f>
        <v>0</v>
      </c>
      <c r="AJ705">
        <f>AVERAGE('WetLitterbags placem_collection'!S46,'WetLitterbags placem_collection'!U46)</f>
        <v>20.6</v>
      </c>
      <c r="AK705">
        <f>AVERAGE('WetLitterbags placem_collection'!R46,'WetLitterbags placem_collection'!T46)</f>
        <v>22.65</v>
      </c>
      <c r="AL705">
        <f>INDEX([2]Coordinates!$B$2:$B$197,MATCH(I705,[2]Coordinates!$J$2:$J$197,0))</f>
        <v>-3.4081529920000002</v>
      </c>
      <c r="AM705">
        <f>INDEX([2]Coordinates!$C$2:$C$197,MATCH(I705,[2]Coordinates!$J$2:$J$197,0))</f>
        <v>34.850168959999998</v>
      </c>
      <c r="AN705" t="str">
        <f>IF(ISNUMBER(SEARCH("C", 'WetLitterbags placem_collection'!$Y46)),"YES","NO")</f>
        <v>NO</v>
      </c>
      <c r="AO705" t="str">
        <f>IF(ISNUMBER(SEARCH("H", 'WetLitterbags placem_collection'!$Y46)),"YES","NO")</f>
        <v>NO</v>
      </c>
      <c r="AP705" t="str">
        <f>IF(ISNUMBER(SEARCH("R", 'WetLitterbags placem_collection'!$Y46)),"YES","NO")</f>
        <v>NO</v>
      </c>
    </row>
    <row r="706" spans="1:42" ht="15" customHeight="1">
      <c r="A706" t="s">
        <v>3248</v>
      </c>
      <c r="B706" s="248" t="s">
        <v>2454</v>
      </c>
      <c r="C706" s="253">
        <f>'Dry_Litterbag Placem_Collection'!A47</f>
        <v>45</v>
      </c>
      <c r="D706" s="253" t="str">
        <f>'Dry_Litterbag Placem_Collection'!B47</f>
        <v>Makao</v>
      </c>
      <c r="E706" s="253" t="s">
        <v>2643</v>
      </c>
      <c r="F706" s="253" t="s">
        <v>20</v>
      </c>
      <c r="G706" s="253">
        <v>2</v>
      </c>
      <c r="H706" s="253" t="s">
        <v>3108</v>
      </c>
      <c r="I706" s="254" t="str">
        <f>'Dry_Litterbag Placem_Collection'!C47</f>
        <v>Dry_P2_T5</v>
      </c>
      <c r="J706" s="263" t="s">
        <v>2932</v>
      </c>
      <c r="K706" s="264" t="s">
        <v>298</v>
      </c>
      <c r="L706" s="221" t="str">
        <f>'WetLitterbags placem_collection'!Q47</f>
        <v>R74</v>
      </c>
      <c r="M706" s="223">
        <f>IFERROR(INDEX('Green_rooibos initial weight'!$C$5:$C$2000,MATCH(L706, 'Green_rooibos initial weight'!$A$5:$A$2000,0)),"")</f>
        <v>2.3340000000000001</v>
      </c>
      <c r="N706" s="223">
        <f>IFERROR(M706-(TBIcalc!$H$9+TBIcalc!$H$10),"")</f>
        <v>2.0842000000000001</v>
      </c>
      <c r="O706" s="378">
        <f>AVERAGE(Ashed_controlls!$K$2:$K$11)</f>
        <v>5.5147656768714146</v>
      </c>
      <c r="P706" s="223">
        <f t="shared" si="51"/>
        <v>1.9692612537626459</v>
      </c>
      <c r="Q706" s="223">
        <f>IFERROR(INDEX('Both teabags AfterWet'!$C$3:$C$840,MATCH(L706,'Both teabags AfterWet'!$A$3:$A$840,0)),"")</f>
        <v>1.5923</v>
      </c>
      <c r="R706" s="223">
        <f>IFERROR(IF(Q706&gt;0,Q706-(TBIcalc!$H$9),""),"")</f>
        <v>1.4417</v>
      </c>
      <c r="S706" s="223">
        <f>IFERROR(INDEX('Ashed teabags wet'!$K$2:$K$2000,MATCH(L706,'Ashed teabags wet'!$A$2:$A$2000,0)),"")</f>
        <v>3.1049778215869339</v>
      </c>
      <c r="T706" s="223">
        <f t="shared" si="52"/>
        <v>1.3969355347461812</v>
      </c>
      <c r="U706" s="224">
        <f>'WetLitterbags placem_collection'!E47</f>
        <v>42766</v>
      </c>
      <c r="V706" s="224">
        <f>IF('WetLitterbags placem_collection'!G47="","",'WetLitterbags placem_collection'!G47)</f>
        <v>42820</v>
      </c>
      <c r="W706" s="225">
        <f t="shared" ref="W706:W769" si="55">IFERROR(V706-U706,"")</f>
        <v>54</v>
      </c>
      <c r="X706" s="223">
        <f t="shared" si="53"/>
        <v>0.64250000000000007</v>
      </c>
      <c r="Y706" s="223">
        <f t="shared" si="54"/>
        <v>0.57232571901646478</v>
      </c>
      <c r="Z706">
        <f>IFERROR(INDEX([1]Rainfall_Wet!$O$2:$O$217,MATCH(C706, [1]Rainfall_Wet!$A$2:$A$217,0)),"")</f>
        <v>214.262898705</v>
      </c>
      <c r="AA706" s="226">
        <v>19.96</v>
      </c>
      <c r="AB706" s="226">
        <v>4.9199999999999982</v>
      </c>
      <c r="AC706" s="226">
        <v>75.12</v>
      </c>
      <c r="AD706" s="227" t="s">
        <v>2652</v>
      </c>
      <c r="AE706" s="226">
        <v>1.641498275012321</v>
      </c>
      <c r="AF706">
        <f>IF('WetLitterbags placem_collection'!AB47="","",'WetLitterbags placem_collection'!AB47)</f>
        <v>2.2999999999999998</v>
      </c>
      <c r="AG706">
        <f>IF('WetLitterbags placem_collection'!Z47="","",'WetLitterbags placem_collection'!Z47)</f>
        <v>9.3000000000000007</v>
      </c>
      <c r="AH706" s="236" t="str">
        <f>IF('WetLitterbags placem_collection'!AA47="","",'WetLitterbags placem_collection'!AA47)</f>
        <v>O</v>
      </c>
      <c r="AI706">
        <f>IF('WetLitterbags placem_collection'!AC47="","",'WetLitterbags placem_collection'!AC47)</f>
        <v>0</v>
      </c>
      <c r="AJ706">
        <f>AVERAGE('WetLitterbags placem_collection'!S47,'WetLitterbags placem_collection'!U47)</f>
        <v>24.4</v>
      </c>
      <c r="AK706">
        <f>AVERAGE('WetLitterbags placem_collection'!R47,'WetLitterbags placem_collection'!T47)</f>
        <v>22.15</v>
      </c>
      <c r="AL706">
        <f>INDEX([2]Coordinates!$B$2:$B$197,MATCH(I706,[2]Coordinates!$J$2:$J$197,0))</f>
        <v>-3.4081789759999999</v>
      </c>
      <c r="AM706">
        <f>INDEX([2]Coordinates!$C$2:$C$197,MATCH(I706,[2]Coordinates!$J$2:$J$197,0))</f>
        <v>34.850516980000002</v>
      </c>
      <c r="AN706" t="str">
        <f>IF(ISNUMBER(SEARCH("C", 'WetLitterbags placem_collection'!$Y47)),"YES","NO")</f>
        <v>NO</v>
      </c>
      <c r="AO706" t="str">
        <f>IF(ISNUMBER(SEARCH("H", 'WetLitterbags placem_collection'!$Y47)),"YES","NO")</f>
        <v>NO</v>
      </c>
      <c r="AP706" t="str">
        <f>IF(ISNUMBER(SEARCH("R", 'WetLitterbags placem_collection'!$Y47)),"YES","NO")</f>
        <v>NO</v>
      </c>
    </row>
    <row r="707" spans="1:42" ht="15" customHeight="1">
      <c r="A707" t="s">
        <v>3248</v>
      </c>
      <c r="B707" s="248" t="s">
        <v>2454</v>
      </c>
      <c r="C707" s="253">
        <f>'Dry_Litterbag Placem_Collection'!A48</f>
        <v>46</v>
      </c>
      <c r="D707" s="253" t="str">
        <f>'Dry_Litterbag Placem_Collection'!B48</f>
        <v>Makao</v>
      </c>
      <c r="E707" s="253" t="s">
        <v>2643</v>
      </c>
      <c r="F707" s="253" t="s">
        <v>20</v>
      </c>
      <c r="G707" s="253">
        <v>2</v>
      </c>
      <c r="H707" s="253" t="s">
        <v>3108</v>
      </c>
      <c r="I707" s="254" t="str">
        <f>'Dry_Litterbag Placem_Collection'!C48</f>
        <v>Dry_P2_T6</v>
      </c>
      <c r="J707" s="263" t="s">
        <v>2932</v>
      </c>
      <c r="K707" s="264" t="s">
        <v>298</v>
      </c>
      <c r="L707" s="221" t="str">
        <f>'WetLitterbags placem_collection'!Q48</f>
        <v>R102</v>
      </c>
      <c r="M707" s="223">
        <f>IFERROR(INDEX('Green_rooibos initial weight'!$C$5:$C$2000,MATCH(L707, 'Green_rooibos initial weight'!$A$5:$A$2000,0)),"")</f>
        <v>2.2469999999999999</v>
      </c>
      <c r="N707" s="223">
        <f>IFERROR(M707-(TBIcalc!$H$9+TBIcalc!$H$10),"")</f>
        <v>1.9971999999999999</v>
      </c>
      <c r="O707" s="378">
        <f>AVERAGE(Ashed_controlls!$K$2:$K$11)</f>
        <v>5.5147656768714146</v>
      </c>
      <c r="P707" s="223">
        <f t="shared" ref="P707:P770" si="56">IFERROR(N707-(O707/100)*N707,"")</f>
        <v>1.887059099901524</v>
      </c>
      <c r="Q707" s="223" t="str">
        <f>IFERROR(INDEX('Both teabags AfterWet'!$C$3:$C$840,MATCH(L707,'Both teabags AfterWet'!$A$3:$A$840,0)),"")</f>
        <v/>
      </c>
      <c r="R707" s="223" t="str">
        <f>IFERROR(IF(Q707&gt;0,Q707-(TBIcalc!$H$9),""),"")</f>
        <v/>
      </c>
      <c r="S707" s="223" t="str">
        <f>IFERROR(INDEX('Ashed teabags wet'!$K$2:$K$2000,MATCH(L707,'Ashed teabags wet'!$A$2:$A$2000,0)),"")</f>
        <v/>
      </c>
      <c r="T707" s="223" t="str">
        <f t="shared" ref="T707:T770" si="57">IFERROR(R707-(S707/100)*R707,"")</f>
        <v/>
      </c>
      <c r="U707" s="224">
        <f>'WetLitterbags placem_collection'!E48</f>
        <v>42766</v>
      </c>
      <c r="V707" s="224">
        <f>IF('WetLitterbags placem_collection'!G48="","",'WetLitterbags placem_collection'!G48)</f>
        <v>42820</v>
      </c>
      <c r="W707" s="225">
        <f t="shared" si="55"/>
        <v>54</v>
      </c>
      <c r="X707" s="223" t="str">
        <f t="shared" ref="X707:X770" si="58">IFERROR(N707-R707,"")</f>
        <v/>
      </c>
      <c r="Y707" s="223" t="str">
        <f t="shared" ref="Y707:Y770" si="59">IFERROR(P707-T707,"")</f>
        <v/>
      </c>
      <c r="Z707">
        <f>IFERROR(INDEX([1]Rainfall_Wet!$O$2:$O$217,MATCH(C707, [1]Rainfall_Wet!$A$2:$A$217,0)),"")</f>
        <v>214.262898705</v>
      </c>
      <c r="AA707" s="226">
        <v>19.96</v>
      </c>
      <c r="AB707" s="226">
        <v>4.9199999999999982</v>
      </c>
      <c r="AC707" s="226">
        <v>75.12</v>
      </c>
      <c r="AD707" s="227" t="s">
        <v>2652</v>
      </c>
      <c r="AE707" s="226">
        <v>1.641498275012321</v>
      </c>
      <c r="AF707" t="str">
        <f>IF('WetLitterbags placem_collection'!AB48="","",'WetLitterbags placem_collection'!AB48)</f>
        <v/>
      </c>
      <c r="AG707" t="str">
        <f>IF('WetLitterbags placem_collection'!Z48="","",'WetLitterbags placem_collection'!Z48)</f>
        <v/>
      </c>
      <c r="AH707" s="236" t="str">
        <f>IF('WetLitterbags placem_collection'!AA48="","",'WetLitterbags placem_collection'!AA48)</f>
        <v/>
      </c>
      <c r="AI707" t="str">
        <f>IF('WetLitterbags placem_collection'!AC48="","",'WetLitterbags placem_collection'!AC48)</f>
        <v/>
      </c>
      <c r="AJ707">
        <f>AVERAGE('WetLitterbags placem_collection'!S48,'WetLitterbags placem_collection'!U48)</f>
        <v>22.5</v>
      </c>
      <c r="AK707">
        <f>AVERAGE('WetLitterbags placem_collection'!R48,'WetLitterbags placem_collection'!T48)</f>
        <v>20.100000000000001</v>
      </c>
      <c r="AL707">
        <f>INDEX([2]Coordinates!$B$2:$B$197,MATCH(I707,[2]Coordinates!$J$2:$J$197,0))</f>
        <v>-3.4084730130000001</v>
      </c>
      <c r="AM707">
        <f>INDEX([2]Coordinates!$C$2:$C$197,MATCH(I707,[2]Coordinates!$J$2:$J$197,0))</f>
        <v>34.850401980000001</v>
      </c>
      <c r="AN707" t="str">
        <f>IF(ISNUMBER(SEARCH("C", 'WetLitterbags placem_collection'!$Y48)),"YES","NO")</f>
        <v>NO</v>
      </c>
      <c r="AO707" t="str">
        <f>IF(ISNUMBER(SEARCH("H", 'WetLitterbags placem_collection'!$Y48)),"YES","NO")</f>
        <v>NO</v>
      </c>
      <c r="AP707" t="str">
        <f>IF(ISNUMBER(SEARCH("R", 'WetLitterbags placem_collection'!$Y48)),"YES","NO")</f>
        <v>NO</v>
      </c>
    </row>
    <row r="708" spans="1:42" ht="15" customHeight="1">
      <c r="A708" t="s">
        <v>3248</v>
      </c>
      <c r="B708" s="248" t="s">
        <v>2454</v>
      </c>
      <c r="C708" s="253">
        <f>'Dry_Litterbag Placem_Collection'!A49</f>
        <v>47</v>
      </c>
      <c r="D708" s="253" t="str">
        <f>'Dry_Litterbag Placem_Collection'!B49</f>
        <v>Makao</v>
      </c>
      <c r="E708" s="253" t="s">
        <v>2643</v>
      </c>
      <c r="F708" s="253" t="s">
        <v>20</v>
      </c>
      <c r="G708" s="253">
        <v>2</v>
      </c>
      <c r="H708" s="253" t="s">
        <v>3108</v>
      </c>
      <c r="I708" s="254" t="str">
        <f>'Dry_Litterbag Placem_Collection'!C49</f>
        <v>Dry_P2_T7</v>
      </c>
      <c r="J708" s="263" t="s">
        <v>2932</v>
      </c>
      <c r="K708" s="264" t="s">
        <v>298</v>
      </c>
      <c r="L708" s="221" t="str">
        <f>'WetLitterbags placem_collection'!Q49</f>
        <v>R76</v>
      </c>
      <c r="M708" s="223">
        <f>IFERROR(INDEX('Green_rooibos initial weight'!$C$5:$C$2000,MATCH(L708, 'Green_rooibos initial weight'!$A$5:$A$2000,0)),"")</f>
        <v>2.2970000000000002</v>
      </c>
      <c r="N708" s="223">
        <f>IFERROR(M708-(TBIcalc!$H$9+TBIcalc!$H$10),"")</f>
        <v>2.0472000000000001</v>
      </c>
      <c r="O708" s="378">
        <f>AVERAGE(Ashed_controlls!$K$2:$K$11)</f>
        <v>5.5147656768714146</v>
      </c>
      <c r="P708" s="223">
        <f t="shared" si="56"/>
        <v>1.9343017170630885</v>
      </c>
      <c r="Q708" s="223">
        <f>IFERROR(INDEX('Both teabags AfterWet'!$C$3:$C$840,MATCH(L708,'Both teabags AfterWet'!$A$3:$A$840,0)),"")</f>
        <v>1.665</v>
      </c>
      <c r="R708" s="223">
        <f>IFERROR(IF(Q708&gt;0,Q708-(TBIcalc!$H$9),""),"")</f>
        <v>1.5144</v>
      </c>
      <c r="S708" s="223">
        <f>IFERROR(INDEX('Ashed teabags wet'!$K$2:$K$2000,MATCH(L708,'Ashed teabags wet'!$A$2:$A$2000,0)),"")</f>
        <v>3.0587074494324868</v>
      </c>
      <c r="T708" s="223">
        <f t="shared" si="57"/>
        <v>1.4680789343857943</v>
      </c>
      <c r="U708" s="224">
        <f>'WetLitterbags placem_collection'!E49</f>
        <v>42766</v>
      </c>
      <c r="V708" s="224">
        <f>IF('WetLitterbags placem_collection'!G49="","",'WetLitterbags placem_collection'!G49)</f>
        <v>42820</v>
      </c>
      <c r="W708" s="225">
        <f t="shared" si="55"/>
        <v>54</v>
      </c>
      <c r="X708" s="223">
        <f t="shared" si="58"/>
        <v>0.53280000000000016</v>
      </c>
      <c r="Y708" s="223">
        <f t="shared" si="59"/>
        <v>0.46622278267729422</v>
      </c>
      <c r="Z708">
        <f>IFERROR(INDEX([1]Rainfall_Wet!$O$2:$O$217,MATCH(C708, [1]Rainfall_Wet!$A$2:$A$217,0)),"")</f>
        <v>214.262898705</v>
      </c>
      <c r="AA708" s="226">
        <v>19.96</v>
      </c>
      <c r="AB708" s="226">
        <v>4.9199999999999982</v>
      </c>
      <c r="AC708" s="226">
        <v>75.12</v>
      </c>
      <c r="AD708" s="227" t="s">
        <v>2652</v>
      </c>
      <c r="AE708" s="226">
        <v>1.641498275012321</v>
      </c>
      <c r="AF708">
        <f>IF('WetLitterbags placem_collection'!AB49="","",'WetLitterbags placem_collection'!AB49)</f>
        <v>5.2</v>
      </c>
      <c r="AG708">
        <f>IF('WetLitterbags placem_collection'!Z49="","",'WetLitterbags placem_collection'!Z49)</f>
        <v>5.2</v>
      </c>
      <c r="AH708" s="236" t="str">
        <f>IF('WetLitterbags placem_collection'!AA49="","",'WetLitterbags placem_collection'!AA49)</f>
        <v>G</v>
      </c>
      <c r="AI708">
        <f>IF('WetLitterbags placem_collection'!AC49="","",'WetLitterbags placem_collection'!AC49)</f>
        <v>0</v>
      </c>
      <c r="AJ708">
        <f>AVERAGE('WetLitterbags placem_collection'!S49,'WetLitterbags placem_collection'!U49)</f>
        <v>23.7</v>
      </c>
      <c r="AK708">
        <f>AVERAGE('WetLitterbags placem_collection'!R49,'WetLitterbags placem_collection'!T49)</f>
        <v>22.6</v>
      </c>
      <c r="AL708">
        <f>INDEX([2]Coordinates!$B$2:$B$197,MATCH(I708,[2]Coordinates!$J$2:$J$197,0))</f>
        <v>-3.4084819820000001</v>
      </c>
      <c r="AM708">
        <f>INDEX([2]Coordinates!$C$2:$C$197,MATCH(I708,[2]Coordinates!$J$2:$J$197,0))</f>
        <v>34.850024040000001</v>
      </c>
      <c r="AN708" t="str">
        <f>IF(ISNUMBER(SEARCH("C", 'WetLitterbags placem_collection'!$Y49)),"YES","NO")</f>
        <v>NO</v>
      </c>
      <c r="AO708" t="str">
        <f>IF(ISNUMBER(SEARCH("H", 'WetLitterbags placem_collection'!$Y49)),"YES","NO")</f>
        <v>NO</v>
      </c>
      <c r="AP708" t="str">
        <f>IF(ISNUMBER(SEARCH("R", 'WetLitterbags placem_collection'!$Y49)),"YES","NO")</f>
        <v>NO</v>
      </c>
    </row>
    <row r="709" spans="1:42" ht="15" customHeight="1">
      <c r="A709" t="s">
        <v>3248</v>
      </c>
      <c r="B709" s="248" t="s">
        <v>2454</v>
      </c>
      <c r="C709" s="253">
        <f>'Dry_Litterbag Placem_Collection'!A50</f>
        <v>48</v>
      </c>
      <c r="D709" s="253" t="str">
        <f>'Dry_Litterbag Placem_Collection'!B50</f>
        <v>Makao</v>
      </c>
      <c r="E709" s="253" t="s">
        <v>2643</v>
      </c>
      <c r="F709" s="253" t="s">
        <v>20</v>
      </c>
      <c r="G709" s="253">
        <v>2</v>
      </c>
      <c r="H709" s="253" t="s">
        <v>3108</v>
      </c>
      <c r="I709" s="254" t="str">
        <f>'Dry_Litterbag Placem_Collection'!C50</f>
        <v>Dry_P2_T8</v>
      </c>
      <c r="J709" s="263" t="s">
        <v>2932</v>
      </c>
      <c r="K709" s="264" t="s">
        <v>298</v>
      </c>
      <c r="L709" s="221" t="str">
        <f>'WetLitterbags placem_collection'!Q50</f>
        <v>R107</v>
      </c>
      <c r="M709" s="223">
        <f>IFERROR(INDEX('Green_rooibos initial weight'!$C$5:$C$2000,MATCH(L709, 'Green_rooibos initial weight'!$A$5:$A$2000,0)),"")</f>
        <v>2.19</v>
      </c>
      <c r="N709" s="223">
        <f>IFERROR(M709-(TBIcalc!$H$9+TBIcalc!$H$10),"")</f>
        <v>1.9401999999999999</v>
      </c>
      <c r="O709" s="378">
        <f>AVERAGE(Ashed_controlls!$K$2:$K$11)</f>
        <v>5.5147656768714146</v>
      </c>
      <c r="P709" s="223">
        <f t="shared" si="56"/>
        <v>1.8332025163373407</v>
      </c>
      <c r="Q709" s="223">
        <f>IFERROR(INDEX('Both teabags AfterWet'!$C$3:$C$840,MATCH(L709,'Both teabags AfterWet'!$A$3:$A$840,0)),"")</f>
        <v>1.5349999999999999</v>
      </c>
      <c r="R709" s="223">
        <f>IFERROR(IF(Q709&gt;0,Q709-(TBIcalc!$H$9),""),"")</f>
        <v>1.3843999999999999</v>
      </c>
      <c r="S709" s="223">
        <f>IFERROR(INDEX('Ashed teabags wet'!$K$2:$K$2000,MATCH(L709,'Ashed teabags wet'!$A$2:$A$2000,0)),"")</f>
        <v>3.4431137724549741</v>
      </c>
      <c r="T709" s="223">
        <f t="shared" si="57"/>
        <v>1.3367335329341332</v>
      </c>
      <c r="U709" s="224">
        <f>'WetLitterbags placem_collection'!E50</f>
        <v>42766</v>
      </c>
      <c r="V709" s="224">
        <f>IF('WetLitterbags placem_collection'!G50="","",'WetLitterbags placem_collection'!G50)</f>
        <v>42820</v>
      </c>
      <c r="W709" s="225">
        <f t="shared" si="55"/>
        <v>54</v>
      </c>
      <c r="X709" s="223">
        <f t="shared" si="58"/>
        <v>0.55580000000000007</v>
      </c>
      <c r="Y709" s="223">
        <f t="shared" si="59"/>
        <v>0.49646898340320744</v>
      </c>
      <c r="Z709">
        <f>IFERROR(INDEX([1]Rainfall_Wet!$O$2:$O$217,MATCH(C709, [1]Rainfall_Wet!$A$2:$A$217,0)),"")</f>
        <v>214.262898705</v>
      </c>
      <c r="AA709" s="226">
        <v>19.96</v>
      </c>
      <c r="AB709" s="226">
        <v>4.9199999999999982</v>
      </c>
      <c r="AC709" s="226">
        <v>75.12</v>
      </c>
      <c r="AD709" s="227" t="s">
        <v>2652</v>
      </c>
      <c r="AE709" s="226">
        <v>1.641498275012321</v>
      </c>
      <c r="AF709">
        <f>IF('WetLitterbags placem_collection'!AB50="","",'WetLitterbags placem_collection'!AB50)</f>
        <v>7.3</v>
      </c>
      <c r="AG709">
        <f>IF('WetLitterbags placem_collection'!Z50="","",'WetLitterbags placem_collection'!Z50)</f>
        <v>27.2</v>
      </c>
      <c r="AH709" s="236" t="str">
        <f>IF('WetLitterbags placem_collection'!AA50="","",'WetLitterbags placem_collection'!AA50)</f>
        <v>M</v>
      </c>
      <c r="AI709">
        <f>IF('WetLitterbags placem_collection'!AC50="","",'WetLitterbags placem_collection'!AC50)</f>
        <v>0</v>
      </c>
      <c r="AJ709">
        <f>AVERAGE('WetLitterbags placem_collection'!S50,'WetLitterbags placem_collection'!U50)</f>
        <v>21.8</v>
      </c>
      <c r="AK709">
        <f>AVERAGE('WetLitterbags placem_collection'!R50,'WetLitterbags placem_collection'!T50)</f>
        <v>21.65</v>
      </c>
      <c r="AL709">
        <f>INDEX([2]Coordinates!$B$2:$B$197,MATCH(I709,[2]Coordinates!$J$2:$J$197,0))</f>
        <v>-3.4081990090000001</v>
      </c>
      <c r="AM709">
        <f>INDEX([2]Coordinates!$C$2:$C$197,MATCH(I709,[2]Coordinates!$J$2:$J$197,0))</f>
        <v>34.850254960000001</v>
      </c>
      <c r="AN709" t="str">
        <f>IF(ISNUMBER(SEARCH("C", 'WetLitterbags placem_collection'!$Y50)),"YES","NO")</f>
        <v>NO</v>
      </c>
      <c r="AO709" t="str">
        <f>IF(ISNUMBER(SEARCH("H", 'WetLitterbags placem_collection'!$Y50)),"YES","NO")</f>
        <v>NO</v>
      </c>
      <c r="AP709" t="str">
        <f>IF(ISNUMBER(SEARCH("R", 'WetLitterbags placem_collection'!$Y50)),"YES","NO")</f>
        <v>NO</v>
      </c>
    </row>
    <row r="710" spans="1:42" ht="15" customHeight="1">
      <c r="A710" t="s">
        <v>3248</v>
      </c>
      <c r="B710" s="248" t="s">
        <v>2454</v>
      </c>
      <c r="C710" s="253">
        <f>'Dry_Litterbag Placem_Collection'!A51</f>
        <v>49</v>
      </c>
      <c r="D710" s="253" t="str">
        <f>'Dry_Litterbag Placem_Collection'!B51</f>
        <v>Makao</v>
      </c>
      <c r="E710" s="253" t="s">
        <v>2643</v>
      </c>
      <c r="F710" s="253" t="s">
        <v>20</v>
      </c>
      <c r="G710" s="253">
        <v>3</v>
      </c>
      <c r="H710" s="253" t="s">
        <v>3109</v>
      </c>
      <c r="I710" s="254" t="str">
        <f>'Dry_Litterbag Placem_Collection'!C51</f>
        <v>Dry_P3_T1</v>
      </c>
      <c r="J710" s="263" t="s">
        <v>2932</v>
      </c>
      <c r="K710" s="264" t="s">
        <v>298</v>
      </c>
      <c r="L710" s="221" t="str">
        <f>'WetLitterbags placem_collection'!Q51</f>
        <v>R155</v>
      </c>
      <c r="M710" s="223">
        <f>IFERROR(INDEX('Green_rooibos initial weight'!$C$5:$C$2000,MATCH(L710, 'Green_rooibos initial weight'!$A$5:$A$2000,0)),"")</f>
        <v>2.206</v>
      </c>
      <c r="N710" s="223">
        <f>IFERROR(M710-(TBIcalc!$H$9+TBIcalc!$H$10),"")</f>
        <v>1.9561999999999999</v>
      </c>
      <c r="O710" s="378">
        <f>AVERAGE(Ashed_controlls!$K$2:$K$11)</f>
        <v>5.5147656768714146</v>
      </c>
      <c r="P710" s="223">
        <f t="shared" si="56"/>
        <v>1.8483201538290412</v>
      </c>
      <c r="Q710" s="223">
        <f>IFERROR(INDEX('Both teabags AfterWet'!$C$3:$C$840,MATCH(L710,'Both teabags AfterWet'!$A$3:$A$840,0)),"")</f>
        <v>1.5909</v>
      </c>
      <c r="R710" s="223">
        <f>IFERROR(IF(Q710&gt;0,Q710-(TBIcalc!$H$9),""),"")</f>
        <v>1.4402999999999999</v>
      </c>
      <c r="S710" s="223">
        <f>IFERROR(INDEX('Ashed teabags wet'!$K$2:$K$2000,MATCH(L710,'Ashed teabags wet'!$A$2:$A$2000,0)),"")</f>
        <v>10.705352676338336</v>
      </c>
      <c r="T710" s="223">
        <f t="shared" si="57"/>
        <v>1.2861108054026988</v>
      </c>
      <c r="U710" s="224">
        <f>'WetLitterbags placem_collection'!E51</f>
        <v>42766</v>
      </c>
      <c r="V710" s="224">
        <f>IF('WetLitterbags placem_collection'!G51="","",'WetLitterbags placem_collection'!G51)</f>
        <v>42820</v>
      </c>
      <c r="W710" s="225">
        <f t="shared" si="55"/>
        <v>54</v>
      </c>
      <c r="X710" s="223">
        <f t="shared" si="58"/>
        <v>0.51590000000000003</v>
      </c>
      <c r="Y710" s="223">
        <f t="shared" si="59"/>
        <v>0.5622093484263424</v>
      </c>
      <c r="Z710">
        <f>IFERROR(INDEX([1]Rainfall_Wet!$O$2:$O$217,MATCH(C710, [1]Rainfall_Wet!$A$2:$A$217,0)),"")</f>
        <v>214.262898705</v>
      </c>
      <c r="AA710" s="226">
        <v>21.96</v>
      </c>
      <c r="AB710" s="226">
        <v>8.9199999999999982</v>
      </c>
      <c r="AC710" s="226">
        <v>69.12</v>
      </c>
      <c r="AD710" s="227" t="s">
        <v>2651</v>
      </c>
      <c r="AE710" s="226">
        <v>1.7491375061606702</v>
      </c>
      <c r="AF710">
        <f>IF('WetLitterbags placem_collection'!AB51="","",'WetLitterbags placem_collection'!AB51)</f>
        <v>10.4</v>
      </c>
      <c r="AG710">
        <f>IF('WetLitterbags placem_collection'!Z51="","",'WetLitterbags placem_collection'!Z51)</f>
        <v>36</v>
      </c>
      <c r="AH710" s="236" t="str">
        <f>IF('WetLitterbags placem_collection'!AA51="","",'WetLitterbags placem_collection'!AA51)</f>
        <v>M</v>
      </c>
      <c r="AI710">
        <f>IF('WetLitterbags placem_collection'!AC51="","",'WetLitterbags placem_collection'!AC51)</f>
        <v>1</v>
      </c>
      <c r="AJ710">
        <f>AVERAGE('WetLitterbags placem_collection'!S51,'WetLitterbags placem_collection'!U51)</f>
        <v>26.2</v>
      </c>
      <c r="AK710">
        <f>AVERAGE('WetLitterbags placem_collection'!R51,'WetLitterbags placem_collection'!T51)</f>
        <v>26.55</v>
      </c>
      <c r="AL710">
        <f>INDEX([2]Coordinates!$B$2:$B$197,MATCH(I710,[2]Coordinates!$J$2:$J$197,0))</f>
        <v>-3.406225992</v>
      </c>
      <c r="AM710">
        <f>INDEX([2]Coordinates!$C$2:$C$197,MATCH(I710,[2]Coordinates!$J$2:$J$197,0))</f>
        <v>34.85055998</v>
      </c>
      <c r="AN710" t="str">
        <f>IF(ISNUMBER(SEARCH("C", 'WetLitterbags placem_collection'!$Y51)),"YES","NO")</f>
        <v>NO</v>
      </c>
      <c r="AO710" t="str">
        <f>IF(ISNUMBER(SEARCH("H", 'WetLitterbags placem_collection'!$Y51)),"YES","NO")</f>
        <v>NO</v>
      </c>
      <c r="AP710" t="str">
        <f>IF(ISNUMBER(SEARCH("R", 'WetLitterbags placem_collection'!$Y51)),"YES","NO")</f>
        <v>YES</v>
      </c>
    </row>
    <row r="711" spans="1:42" ht="15" customHeight="1">
      <c r="A711" t="s">
        <v>3248</v>
      </c>
      <c r="B711" s="248" t="s">
        <v>2454</v>
      </c>
      <c r="C711" s="253">
        <f>'Dry_Litterbag Placem_Collection'!A52</f>
        <v>50</v>
      </c>
      <c r="D711" s="253" t="str">
        <f>'Dry_Litterbag Placem_Collection'!B52</f>
        <v>Makao</v>
      </c>
      <c r="E711" s="253" t="s">
        <v>2643</v>
      </c>
      <c r="F711" s="253" t="s">
        <v>20</v>
      </c>
      <c r="G711" s="253">
        <v>3</v>
      </c>
      <c r="H711" s="253" t="s">
        <v>3109</v>
      </c>
      <c r="I711" s="254" t="str">
        <f>'Dry_Litterbag Placem_Collection'!C52</f>
        <v>Dry_P3_T2</v>
      </c>
      <c r="J711" s="263" t="s">
        <v>2932</v>
      </c>
      <c r="K711" s="264" t="s">
        <v>298</v>
      </c>
      <c r="L711" s="221" t="str">
        <f>'WetLitterbags placem_collection'!Q52</f>
        <v>R98</v>
      </c>
      <c r="M711" s="223">
        <f>IFERROR(INDEX('Green_rooibos initial weight'!$C$5:$C$2000,MATCH(L711, 'Green_rooibos initial weight'!$A$5:$A$2000,0)),"")</f>
        <v>2.1960000000000002</v>
      </c>
      <c r="N711" s="223">
        <f>IFERROR(M711-(TBIcalc!$H$9+TBIcalc!$H$10),"")</f>
        <v>1.9462000000000002</v>
      </c>
      <c r="O711" s="378">
        <f>AVERAGE(Ashed_controlls!$K$2:$K$11)</f>
        <v>5.5147656768714146</v>
      </c>
      <c r="P711" s="223">
        <f t="shared" si="56"/>
        <v>1.8388716303967287</v>
      </c>
      <c r="Q711" s="223" t="str">
        <f>IFERROR(INDEX('Both teabags AfterWet'!$C$3:$C$840,MATCH(L711,'Both teabags AfterWet'!$A$3:$A$840,0)),"")</f>
        <v/>
      </c>
      <c r="R711" s="223" t="str">
        <f>IFERROR(IF(Q711&gt;0,Q711-(TBIcalc!$H$9),""),"")</f>
        <v/>
      </c>
      <c r="S711" s="223" t="str">
        <f>IFERROR(INDEX('Ashed teabags wet'!$K$2:$K$2000,MATCH(L711,'Ashed teabags wet'!$A$2:$A$2000,0)),"")</f>
        <v/>
      </c>
      <c r="T711" s="223" t="str">
        <f t="shared" si="57"/>
        <v/>
      </c>
      <c r="U711" s="224">
        <f>'WetLitterbags placem_collection'!E52</f>
        <v>42766</v>
      </c>
      <c r="V711" s="224">
        <f>IF('WetLitterbags placem_collection'!G52="","",'WetLitterbags placem_collection'!G52)</f>
        <v>42820</v>
      </c>
      <c r="W711" s="225">
        <f t="shared" si="55"/>
        <v>54</v>
      </c>
      <c r="X711" s="223" t="str">
        <f t="shared" si="58"/>
        <v/>
      </c>
      <c r="Y711" s="223" t="str">
        <f t="shared" si="59"/>
        <v/>
      </c>
      <c r="Z711">
        <f>IFERROR(INDEX([1]Rainfall_Wet!$O$2:$O$217,MATCH(C711, [1]Rainfall_Wet!$A$2:$A$217,0)),"")</f>
        <v>214.262898705</v>
      </c>
      <c r="AA711" s="226">
        <v>21.96</v>
      </c>
      <c r="AB711" s="226">
        <v>8.9199999999999982</v>
      </c>
      <c r="AC711" s="226">
        <v>69.12</v>
      </c>
      <c r="AD711" s="227" t="s">
        <v>2651</v>
      </c>
      <c r="AE711" s="226">
        <v>1.7491375061606702</v>
      </c>
      <c r="AF711">
        <f>IF('WetLitterbags placem_collection'!AB52="","",'WetLitterbags placem_collection'!AB52)</f>
        <v>10</v>
      </c>
      <c r="AG711">
        <f>IF('WetLitterbags placem_collection'!Z52="","",'WetLitterbags placem_collection'!Z52)</f>
        <v>22.5</v>
      </c>
      <c r="AH711" s="236" t="str">
        <f>IF('WetLitterbags placem_collection'!AA52="","",'WetLitterbags placem_collection'!AA52)</f>
        <v>M</v>
      </c>
      <c r="AI711">
        <f>IF('WetLitterbags placem_collection'!AC52="","",'WetLitterbags placem_collection'!AC52)</f>
        <v>1</v>
      </c>
      <c r="AJ711">
        <f>AVERAGE('WetLitterbags placem_collection'!S52,'WetLitterbags placem_collection'!U52)</f>
        <v>31.4</v>
      </c>
      <c r="AK711">
        <f>AVERAGE('WetLitterbags placem_collection'!R52,'WetLitterbags placem_collection'!T52)</f>
        <v>22.4</v>
      </c>
      <c r="AL711">
        <f>INDEX([2]Coordinates!$B$2:$B$197,MATCH(I711,[2]Coordinates!$J$2:$J$197,0))</f>
        <v>-3.4062630399999998</v>
      </c>
      <c r="AM711">
        <f>INDEX([2]Coordinates!$C$2:$C$197,MATCH(I711,[2]Coordinates!$J$2:$J$197,0))</f>
        <v>34.850566010000001</v>
      </c>
      <c r="AN711" t="str">
        <f>IF(ISNUMBER(SEARCH("C", 'WetLitterbags placem_collection'!$Y52)),"YES","NO")</f>
        <v>NO</v>
      </c>
      <c r="AO711" t="str">
        <f>IF(ISNUMBER(SEARCH("H", 'WetLitterbags placem_collection'!$Y52)),"YES","NO")</f>
        <v>NO</v>
      </c>
      <c r="AP711" t="str">
        <f>IF(ISNUMBER(SEARCH("R", 'WetLitterbags placem_collection'!$Y52)),"YES","NO")</f>
        <v>NO</v>
      </c>
    </row>
    <row r="712" spans="1:42" ht="15" customHeight="1">
      <c r="A712" t="s">
        <v>3248</v>
      </c>
      <c r="B712" s="248" t="s">
        <v>2454</v>
      </c>
      <c r="C712" s="253">
        <f>'Dry_Litterbag Placem_Collection'!A53</f>
        <v>51</v>
      </c>
      <c r="D712" s="253" t="str">
        <f>'Dry_Litterbag Placem_Collection'!B53</f>
        <v>Makao</v>
      </c>
      <c r="E712" s="253" t="s">
        <v>2643</v>
      </c>
      <c r="F712" s="253" t="s">
        <v>20</v>
      </c>
      <c r="G712" s="253">
        <v>3</v>
      </c>
      <c r="H712" s="253" t="s">
        <v>3109</v>
      </c>
      <c r="I712" s="254" t="str">
        <f>'Dry_Litterbag Placem_Collection'!C53</f>
        <v>Dry_P3_T3</v>
      </c>
      <c r="J712" s="263" t="s">
        <v>2932</v>
      </c>
      <c r="K712" s="264" t="s">
        <v>298</v>
      </c>
      <c r="L712" s="221" t="str">
        <f>'WetLitterbags placem_collection'!Q53</f>
        <v>R29</v>
      </c>
      <c r="M712" s="223">
        <f>IFERROR(INDEX('Green_rooibos initial weight'!$C$5:$C$2000,MATCH(L712, 'Green_rooibos initial weight'!$A$5:$A$2000,0)),"")</f>
        <v>2.2400000000000002</v>
      </c>
      <c r="N712" s="223">
        <f>IFERROR(M712-(TBIcalc!$H$9+TBIcalc!$H$10),"")</f>
        <v>1.9902000000000002</v>
      </c>
      <c r="O712" s="378">
        <f>AVERAGE(Ashed_controlls!$K$2:$K$11)</f>
        <v>5.5147656768714146</v>
      </c>
      <c r="P712" s="223">
        <f t="shared" si="56"/>
        <v>1.8804451334989052</v>
      </c>
      <c r="Q712" s="223">
        <f>IFERROR(INDEX('Both teabags AfterWet'!$C$3:$C$840,MATCH(L712,'Both teabags AfterWet'!$A$3:$A$840,0)),"")</f>
        <v>1.4950000000000001</v>
      </c>
      <c r="R712" s="223">
        <f>IFERROR(IF(Q712&gt;0,Q712-(TBIcalc!$H$9),""),"")</f>
        <v>1.3444</v>
      </c>
      <c r="S712" s="223">
        <f>IFERROR(INDEX('Ashed teabags wet'!$K$2:$K$2000,MATCH(L712,'Ashed teabags wet'!$A$2:$A$2000,0)),"")</f>
        <v>3.8327526132399545</v>
      </c>
      <c r="T712" s="223">
        <f t="shared" si="57"/>
        <v>1.2928724738676021</v>
      </c>
      <c r="U712" s="224">
        <f>'WetLitterbags placem_collection'!E53</f>
        <v>42766</v>
      </c>
      <c r="V712" s="224">
        <f>IF('WetLitterbags placem_collection'!G53="","",'WetLitterbags placem_collection'!G53)</f>
        <v>42820</v>
      </c>
      <c r="W712" s="225">
        <f t="shared" si="55"/>
        <v>54</v>
      </c>
      <c r="X712" s="223">
        <f t="shared" si="58"/>
        <v>0.64580000000000015</v>
      </c>
      <c r="Y712" s="223">
        <f t="shared" si="59"/>
        <v>0.58757265963130312</v>
      </c>
      <c r="Z712">
        <f>IFERROR(INDEX([1]Rainfall_Wet!$O$2:$O$217,MATCH(C712, [1]Rainfall_Wet!$A$2:$A$217,0)),"")</f>
        <v>214.262898705</v>
      </c>
      <c r="AA712" s="226">
        <v>21.96</v>
      </c>
      <c r="AB712" s="226">
        <v>8.9199999999999982</v>
      </c>
      <c r="AC712" s="226">
        <v>69.12</v>
      </c>
      <c r="AD712" s="227" t="s">
        <v>2651</v>
      </c>
      <c r="AE712" s="226">
        <v>1.7491375061606702</v>
      </c>
      <c r="AF712">
        <f>IF('WetLitterbags placem_collection'!AB53="","",'WetLitterbags placem_collection'!AB53)</f>
        <v>3</v>
      </c>
      <c r="AG712">
        <f>IF('WetLitterbags placem_collection'!Z53="","",'WetLitterbags placem_collection'!Z53)</f>
        <v>18</v>
      </c>
      <c r="AH712" s="236" t="str">
        <f>IF('WetLitterbags placem_collection'!AA53="","",'WetLitterbags placem_collection'!AA53)</f>
        <v>O</v>
      </c>
      <c r="AI712">
        <f>IF('WetLitterbags placem_collection'!AC53="","",'WetLitterbags placem_collection'!AC53)</f>
        <v>0</v>
      </c>
      <c r="AJ712">
        <f>AVERAGE('WetLitterbags placem_collection'!S53,'WetLitterbags placem_collection'!U53)</f>
        <v>20.2</v>
      </c>
      <c r="AK712">
        <f>AVERAGE('WetLitterbags placem_collection'!R53,'WetLitterbags placem_collection'!T53)</f>
        <v>27.4</v>
      </c>
      <c r="AL712">
        <f>INDEX([2]Coordinates!$B$2:$B$197,MATCH(I712,[2]Coordinates!$J$2:$J$197,0))</f>
        <v>-3.4063920379999999</v>
      </c>
      <c r="AM712">
        <f>INDEX([2]Coordinates!$C$2:$C$197,MATCH(I712,[2]Coordinates!$J$2:$J$197,0))</f>
        <v>34.850696020000001</v>
      </c>
      <c r="AN712" t="str">
        <f>IF(ISNUMBER(SEARCH("C", 'WetLitterbags placem_collection'!$Y53)),"YES","NO")</f>
        <v>NO</v>
      </c>
      <c r="AO712" t="str">
        <f>IF(ISNUMBER(SEARCH("H", 'WetLitterbags placem_collection'!$Y53)),"YES","NO")</f>
        <v>NO</v>
      </c>
      <c r="AP712" t="str">
        <f>IF(ISNUMBER(SEARCH("R", 'WetLitterbags placem_collection'!$Y53)),"YES","NO")</f>
        <v>YES</v>
      </c>
    </row>
    <row r="713" spans="1:42" ht="15" customHeight="1">
      <c r="A713" t="s">
        <v>3248</v>
      </c>
      <c r="B713" s="248" t="s">
        <v>2454</v>
      </c>
      <c r="C713" s="253">
        <f>'Dry_Litterbag Placem_Collection'!A54</f>
        <v>52</v>
      </c>
      <c r="D713" s="253" t="str">
        <f>'Dry_Litterbag Placem_Collection'!B54</f>
        <v>Makao</v>
      </c>
      <c r="E713" s="253" t="s">
        <v>2643</v>
      </c>
      <c r="F713" s="253" t="s">
        <v>20</v>
      </c>
      <c r="G713" s="253">
        <v>3</v>
      </c>
      <c r="H713" s="253" t="s">
        <v>3109</v>
      </c>
      <c r="I713" s="254" t="str">
        <f>'Dry_Litterbag Placem_Collection'!C54</f>
        <v>Dry_P3_T4</v>
      </c>
      <c r="J713" s="263" t="s">
        <v>2932</v>
      </c>
      <c r="K713" s="264" t="s">
        <v>298</v>
      </c>
      <c r="L713" s="221" t="str">
        <f>'WetLitterbags placem_collection'!Q54</f>
        <v>R312</v>
      </c>
      <c r="M713" s="223">
        <f>IFERROR(INDEX('Green_rooibos initial weight'!$C$5:$C$2000,MATCH(L713, 'Green_rooibos initial weight'!$A$5:$A$2000,0)),"")</f>
        <v>2.2360000000000002</v>
      </c>
      <c r="N713" s="223">
        <f>IFERROR(M713-(TBIcalc!$H$9+TBIcalc!$H$10),"")</f>
        <v>1.9862000000000002</v>
      </c>
      <c r="O713" s="378">
        <f>AVERAGE(Ashed_controlls!$K$2:$K$11)</f>
        <v>5.5147656768714146</v>
      </c>
      <c r="P713" s="223">
        <f t="shared" si="56"/>
        <v>1.8766657241259801</v>
      </c>
      <c r="Q713" s="223">
        <f>IFERROR(INDEX('Both teabags AfterWet'!$C$3:$C$840,MATCH(L713,'Both teabags AfterWet'!$A$3:$A$840,0)),"")</f>
        <v>1.546</v>
      </c>
      <c r="R713" s="223">
        <f>IFERROR(IF(Q713&gt;0,Q713-(TBIcalc!$H$9),""),"")</f>
        <v>1.3954</v>
      </c>
      <c r="S713" s="223">
        <f>IFERROR(INDEX('Ashed teabags wet'!$K$2:$K$2000,MATCH(L713,'Ashed teabags wet'!$A$2:$A$2000,0)),"")</f>
        <v>9.8235574630425244</v>
      </c>
      <c r="T713" s="223">
        <f t="shared" si="57"/>
        <v>1.2583220791607046</v>
      </c>
      <c r="U713" s="224">
        <f>'WetLitterbags placem_collection'!E54</f>
        <v>42766</v>
      </c>
      <c r="V713" s="224">
        <f>IF('WetLitterbags placem_collection'!G54="","",'WetLitterbags placem_collection'!G54)</f>
        <v>42820</v>
      </c>
      <c r="W713" s="225">
        <f t="shared" si="55"/>
        <v>54</v>
      </c>
      <c r="X713" s="223">
        <f t="shared" si="58"/>
        <v>0.59080000000000021</v>
      </c>
      <c r="Y713" s="223">
        <f t="shared" si="59"/>
        <v>0.6183436449652755</v>
      </c>
      <c r="Z713">
        <f>IFERROR(INDEX([1]Rainfall_Wet!$O$2:$O$217,MATCH(C713, [1]Rainfall_Wet!$A$2:$A$217,0)),"")</f>
        <v>214.262898705</v>
      </c>
      <c r="AA713" s="226">
        <v>21.96</v>
      </c>
      <c r="AB713" s="226">
        <v>8.9199999999999982</v>
      </c>
      <c r="AC713" s="226">
        <v>69.12</v>
      </c>
      <c r="AD713" s="227" t="s">
        <v>2651</v>
      </c>
      <c r="AE713" s="226">
        <v>1.7491375061606702</v>
      </c>
      <c r="AF713">
        <f>IF('WetLitterbags placem_collection'!AB54="","",'WetLitterbags placem_collection'!AB54)</f>
        <v>13.4</v>
      </c>
      <c r="AG713">
        <f>IF('WetLitterbags placem_collection'!Z54="","",'WetLitterbags placem_collection'!Z54)</f>
        <v>67</v>
      </c>
      <c r="AH713" s="236" t="str">
        <f>IF('WetLitterbags placem_collection'!AA54="","",'WetLitterbags placem_collection'!AA54)</f>
        <v>M</v>
      </c>
      <c r="AI713">
        <f>IF('WetLitterbags placem_collection'!AC54="","",'WetLitterbags placem_collection'!AC54)</f>
        <v>1</v>
      </c>
      <c r="AJ713">
        <f>AVERAGE('WetLitterbags placem_collection'!S54,'WetLitterbags placem_collection'!U54)</f>
        <v>29.8</v>
      </c>
      <c r="AK713">
        <f>AVERAGE('WetLitterbags placem_collection'!R54,'WetLitterbags placem_collection'!T54)</f>
        <v>25.799999999999997</v>
      </c>
      <c r="AL713">
        <f>INDEX([2]Coordinates!$B$2:$B$197,MATCH(I713,[2]Coordinates!$J$2:$J$197,0))</f>
        <v>-3.4061569999999999</v>
      </c>
      <c r="AM713">
        <f>INDEX([2]Coordinates!$C$2:$C$197,MATCH(I713,[2]Coordinates!$J$2:$J$197,0))</f>
        <v>34.850738999999997</v>
      </c>
      <c r="AN713" t="str">
        <f>IF(ISNUMBER(SEARCH("C", 'WetLitterbags placem_collection'!$Y54)),"YES","NO")</f>
        <v>NO</v>
      </c>
      <c r="AO713" t="str">
        <f>IF(ISNUMBER(SEARCH("H", 'WetLitterbags placem_collection'!$Y54)),"YES","NO")</f>
        <v>NO</v>
      </c>
      <c r="AP713" t="str">
        <f>IF(ISNUMBER(SEARCH("R", 'WetLitterbags placem_collection'!$Y54)),"YES","NO")</f>
        <v>YES</v>
      </c>
    </row>
    <row r="714" spans="1:42" ht="15" customHeight="1">
      <c r="A714" t="s">
        <v>3248</v>
      </c>
      <c r="B714" s="248" t="s">
        <v>2454</v>
      </c>
      <c r="C714" s="253">
        <f>'Dry_Litterbag Placem_Collection'!A55</f>
        <v>53</v>
      </c>
      <c r="D714" s="253" t="str">
        <f>'Dry_Litterbag Placem_Collection'!B55</f>
        <v>Makao</v>
      </c>
      <c r="E714" s="253" t="s">
        <v>2643</v>
      </c>
      <c r="F714" s="253" t="s">
        <v>20</v>
      </c>
      <c r="G714" s="253">
        <v>3</v>
      </c>
      <c r="H714" s="253" t="s">
        <v>3109</v>
      </c>
      <c r="I714" s="254" t="str">
        <f>'Dry_Litterbag Placem_Collection'!C55</f>
        <v>Dry_P3_T5</v>
      </c>
      <c r="J714" s="263" t="s">
        <v>2932</v>
      </c>
      <c r="K714" s="264" t="s">
        <v>298</v>
      </c>
      <c r="L714" s="221" t="str">
        <f>'WetLitterbags placem_collection'!Q55</f>
        <v>R113</v>
      </c>
      <c r="M714" s="223">
        <f>IFERROR(INDEX('Green_rooibos initial weight'!$C$5:$C$2000,MATCH(L714, 'Green_rooibos initial weight'!$A$5:$A$2000,0)),"")</f>
        <v>2.202</v>
      </c>
      <c r="N714" s="223">
        <f>IFERROR(M714-(TBIcalc!$H$9+TBIcalc!$H$10),"")</f>
        <v>1.9521999999999999</v>
      </c>
      <c r="O714" s="378">
        <f>AVERAGE(Ashed_controlls!$K$2:$K$11)</f>
        <v>5.5147656768714146</v>
      </c>
      <c r="P714" s="223">
        <f t="shared" si="56"/>
        <v>1.8445407444561162</v>
      </c>
      <c r="Q714" s="223" t="str">
        <f>IFERROR(INDEX('Both teabags AfterWet'!$C$3:$C$840,MATCH(L714,'Both teabags AfterWet'!$A$3:$A$840,0)),"")</f>
        <v/>
      </c>
      <c r="R714" s="223" t="str">
        <f>IFERROR(IF(Q714&gt;0,Q714-(TBIcalc!$H$9),""),"")</f>
        <v/>
      </c>
      <c r="S714" s="223" t="str">
        <f>IFERROR(INDEX('Ashed teabags wet'!$K$2:$K$2000,MATCH(L714,'Ashed teabags wet'!$A$2:$A$2000,0)),"")</f>
        <v/>
      </c>
      <c r="T714" s="223" t="str">
        <f t="shared" si="57"/>
        <v/>
      </c>
      <c r="U714" s="224">
        <f>'WetLitterbags placem_collection'!E55</f>
        <v>42766</v>
      </c>
      <c r="V714" s="224">
        <f>IF('WetLitterbags placem_collection'!G55="","",'WetLitterbags placem_collection'!G55)</f>
        <v>42820</v>
      </c>
      <c r="W714" s="225">
        <f t="shared" si="55"/>
        <v>54</v>
      </c>
      <c r="X714" s="223" t="str">
        <f t="shared" si="58"/>
        <v/>
      </c>
      <c r="Y714" s="223" t="str">
        <f t="shared" si="59"/>
        <v/>
      </c>
      <c r="Z714">
        <f>IFERROR(INDEX([1]Rainfall_Wet!$O$2:$O$217,MATCH(C714, [1]Rainfall_Wet!$A$2:$A$217,0)),"")</f>
        <v>214.262898705</v>
      </c>
      <c r="AA714" s="226">
        <v>21.96</v>
      </c>
      <c r="AB714" s="226">
        <v>8.9199999999999982</v>
      </c>
      <c r="AC714" s="226">
        <v>69.12</v>
      </c>
      <c r="AD714" s="227" t="s">
        <v>2651</v>
      </c>
      <c r="AE714" s="226">
        <v>1.7491375061606702</v>
      </c>
      <c r="AF714" t="str">
        <f>IF('WetLitterbags placem_collection'!AB55="","",'WetLitterbags placem_collection'!AB55)</f>
        <v/>
      </c>
      <c r="AG714" t="str">
        <f>IF('WetLitterbags placem_collection'!Z55="","",'WetLitterbags placem_collection'!Z55)</f>
        <v/>
      </c>
      <c r="AH714" s="236" t="str">
        <f>IF('WetLitterbags placem_collection'!AA55="","",'WetLitterbags placem_collection'!AA55)</f>
        <v/>
      </c>
      <c r="AI714" t="str">
        <f>IF('WetLitterbags placem_collection'!AC55="","",'WetLitterbags placem_collection'!AC55)</f>
        <v/>
      </c>
      <c r="AJ714">
        <f>AVERAGE('WetLitterbags placem_collection'!S55,'WetLitterbags placem_collection'!U55)</f>
        <v>20.2</v>
      </c>
      <c r="AK714">
        <f>AVERAGE('WetLitterbags placem_collection'!R55,'WetLitterbags placem_collection'!T55)</f>
        <v>22.2</v>
      </c>
      <c r="AL714">
        <f>INDEX([2]Coordinates!$B$2:$B$197,MATCH(I714,[2]Coordinates!$J$2:$J$197,0))</f>
        <v>-3.4061140000000001</v>
      </c>
      <c r="AM714">
        <f>INDEX([2]Coordinates!$C$2:$C$197,MATCH(I714,[2]Coordinates!$J$2:$J$197,0))</f>
        <v>34.850596000000003</v>
      </c>
      <c r="AN714" t="str">
        <f>IF(ISNUMBER(SEARCH("C", 'WetLitterbags placem_collection'!$Y55)),"YES","NO")</f>
        <v>NO</v>
      </c>
      <c r="AO714" t="str">
        <f>IF(ISNUMBER(SEARCH("H", 'WetLitterbags placem_collection'!$Y55)),"YES","NO")</f>
        <v>NO</v>
      </c>
      <c r="AP714" t="str">
        <f>IF(ISNUMBER(SEARCH("R", 'WetLitterbags placem_collection'!$Y55)),"YES","NO")</f>
        <v>NO</v>
      </c>
    </row>
    <row r="715" spans="1:42" ht="15" customHeight="1">
      <c r="A715" t="s">
        <v>3248</v>
      </c>
      <c r="B715" s="248" t="s">
        <v>2454</v>
      </c>
      <c r="C715" s="253">
        <f>'Dry_Litterbag Placem_Collection'!A56</f>
        <v>54</v>
      </c>
      <c r="D715" s="253" t="str">
        <f>'Dry_Litterbag Placem_Collection'!B56</f>
        <v>Makao</v>
      </c>
      <c r="E715" s="253" t="s">
        <v>2643</v>
      </c>
      <c r="F715" s="253" t="s">
        <v>20</v>
      </c>
      <c r="G715" s="253">
        <v>3</v>
      </c>
      <c r="H715" s="253" t="s">
        <v>3109</v>
      </c>
      <c r="I715" s="254" t="str">
        <f>'Dry_Litterbag Placem_Collection'!C56</f>
        <v>Dry_P3_T6</v>
      </c>
      <c r="J715" s="263" t="s">
        <v>2932</v>
      </c>
      <c r="K715" s="264" t="s">
        <v>298</v>
      </c>
      <c r="L715" s="221" t="str">
        <f>'WetLitterbags placem_collection'!Q56</f>
        <v>R441</v>
      </c>
      <c r="M715" s="223">
        <f>IFERROR(INDEX('Green_rooibos initial weight'!$C$5:$C$2000,MATCH(L715, 'Green_rooibos initial weight'!$A$5:$A$2000,0)),"")</f>
        <v>2.1280000000000001</v>
      </c>
      <c r="N715" s="223">
        <f>IFERROR(M715-(TBIcalc!$H$9+TBIcalc!$H$10),"")</f>
        <v>1.8782000000000001</v>
      </c>
      <c r="O715" s="378">
        <f>AVERAGE(Ashed_controlls!$K$2:$K$11)</f>
        <v>5.5147656768714146</v>
      </c>
      <c r="P715" s="223">
        <f t="shared" si="56"/>
        <v>1.7746216710570011</v>
      </c>
      <c r="Q715" s="223" t="str">
        <f>IFERROR(INDEX('Both teabags AfterWet'!$C$3:$C$840,MATCH(L715,'Both teabags AfterWet'!$A$3:$A$840,0)),"")</f>
        <v/>
      </c>
      <c r="R715" s="223" t="str">
        <f>IFERROR(IF(Q715&gt;0,Q715-(TBIcalc!$H$9),""),"")</f>
        <v/>
      </c>
      <c r="S715" s="223" t="str">
        <f>IFERROR(INDEX('Ashed teabags wet'!$K$2:$K$2000,MATCH(L715,'Ashed teabags wet'!$A$2:$A$2000,0)),"")</f>
        <v/>
      </c>
      <c r="T715" s="223" t="str">
        <f t="shared" si="57"/>
        <v/>
      </c>
      <c r="U715" s="224">
        <f>'WetLitterbags placem_collection'!E56</f>
        <v>42766</v>
      </c>
      <c r="V715" s="224">
        <f>IF('WetLitterbags placem_collection'!G56="","",'WetLitterbags placem_collection'!G56)</f>
        <v>42820</v>
      </c>
      <c r="W715" s="225">
        <f t="shared" si="55"/>
        <v>54</v>
      </c>
      <c r="X715" s="223" t="str">
        <f t="shared" si="58"/>
        <v/>
      </c>
      <c r="Y715" s="223" t="str">
        <f t="shared" si="59"/>
        <v/>
      </c>
      <c r="Z715">
        <f>IFERROR(INDEX([1]Rainfall_Wet!$O$2:$O$217,MATCH(C715, [1]Rainfall_Wet!$A$2:$A$217,0)),"")</f>
        <v>214.262898705</v>
      </c>
      <c r="AA715" s="226">
        <v>21.96</v>
      </c>
      <c r="AB715" s="226">
        <v>8.9199999999999982</v>
      </c>
      <c r="AC715" s="226">
        <v>69.12</v>
      </c>
      <c r="AD715" s="227" t="s">
        <v>2651</v>
      </c>
      <c r="AE715" s="226">
        <v>1.7491375061606702</v>
      </c>
      <c r="AF715" t="str">
        <f>IF('WetLitterbags placem_collection'!AB56="","",'WetLitterbags placem_collection'!AB56)</f>
        <v/>
      </c>
      <c r="AG715" t="str">
        <f>IF('WetLitterbags placem_collection'!Z56="","",'WetLitterbags placem_collection'!Z56)</f>
        <v/>
      </c>
      <c r="AH715" s="236" t="str">
        <f>IF('WetLitterbags placem_collection'!AA56="","",'WetLitterbags placem_collection'!AA56)</f>
        <v/>
      </c>
      <c r="AI715" t="str">
        <f>IF('WetLitterbags placem_collection'!AC56="","",'WetLitterbags placem_collection'!AC56)</f>
        <v/>
      </c>
      <c r="AJ715">
        <f>AVERAGE('WetLitterbags placem_collection'!S56,'WetLitterbags placem_collection'!U56)</f>
        <v>30.1</v>
      </c>
      <c r="AK715">
        <f>AVERAGE('WetLitterbags placem_collection'!R56,'WetLitterbags placem_collection'!T56)</f>
        <v>22.2</v>
      </c>
      <c r="AL715">
        <f>INDEX([2]Coordinates!$B$2:$B$197,MATCH(I715,[2]Coordinates!$J$2:$J$197,0))</f>
        <v>-3.406058019</v>
      </c>
      <c r="AM715">
        <f>INDEX([2]Coordinates!$C$2:$C$197,MATCH(I715,[2]Coordinates!$J$2:$J$197,0))</f>
        <v>34.850466019999999</v>
      </c>
      <c r="AN715" t="str">
        <f>IF(ISNUMBER(SEARCH("C", 'WetLitterbags placem_collection'!$Y56)),"YES","NO")</f>
        <v>NO</v>
      </c>
      <c r="AO715" t="str">
        <f>IF(ISNUMBER(SEARCH("H", 'WetLitterbags placem_collection'!$Y56)),"YES","NO")</f>
        <v>NO</v>
      </c>
      <c r="AP715" t="str">
        <f>IF(ISNUMBER(SEARCH("R", 'WetLitterbags placem_collection'!$Y56)),"YES","NO")</f>
        <v>NO</v>
      </c>
    </row>
    <row r="716" spans="1:42" ht="15" customHeight="1">
      <c r="A716" t="s">
        <v>3248</v>
      </c>
      <c r="B716" s="248" t="s">
        <v>2454</v>
      </c>
      <c r="C716" s="253">
        <f>'Dry_Litterbag Placem_Collection'!A57</f>
        <v>55</v>
      </c>
      <c r="D716" s="253" t="str">
        <f>'Dry_Litterbag Placem_Collection'!B57</f>
        <v>Makao</v>
      </c>
      <c r="E716" s="253" t="s">
        <v>2643</v>
      </c>
      <c r="F716" s="253" t="s">
        <v>20</v>
      </c>
      <c r="G716" s="253">
        <v>3</v>
      </c>
      <c r="H716" s="253" t="s">
        <v>3109</v>
      </c>
      <c r="I716" s="254" t="str">
        <f>'Dry_Litterbag Placem_Collection'!C57</f>
        <v>Dry_P3_T7</v>
      </c>
      <c r="J716" s="263" t="s">
        <v>2932</v>
      </c>
      <c r="K716" s="264" t="s">
        <v>298</v>
      </c>
      <c r="L716" s="221" t="str">
        <f>'WetLitterbags placem_collection'!Q57</f>
        <v>R53</v>
      </c>
      <c r="M716" s="223">
        <f>IFERROR(INDEX('Green_rooibos initial weight'!$C$5:$C$2000,MATCH(L716, 'Green_rooibos initial weight'!$A$5:$A$2000,0)),"")</f>
        <v>2.2829999999999999</v>
      </c>
      <c r="N716" s="223">
        <f>IFERROR(M716-(TBIcalc!$H$9+TBIcalc!$H$10),"")</f>
        <v>2.0331999999999999</v>
      </c>
      <c r="O716" s="378">
        <f>AVERAGE(Ashed_controlls!$K$2:$K$11)</f>
        <v>5.5147656768714146</v>
      </c>
      <c r="P716" s="223">
        <f t="shared" si="56"/>
        <v>1.9210737842578502</v>
      </c>
      <c r="Q716" s="223">
        <f>IFERROR(INDEX('Both teabags AfterWet'!$C$3:$C$840,MATCH(L716,'Both teabags AfterWet'!$A$3:$A$840,0)),"")</f>
        <v>1.5207999999999999</v>
      </c>
      <c r="R716" s="223">
        <f>IFERROR(IF(Q716&gt;0,Q716-(TBIcalc!$H$9),""),"")</f>
        <v>1.3701999999999999</v>
      </c>
      <c r="S716" s="223">
        <f>IFERROR(INDEX('Ashed teabags wet'!$K$2:$K$2000,MATCH(L716,'Ashed teabags wet'!$A$2:$A$2000,0)),"")</f>
        <v>10.692124105011484</v>
      </c>
      <c r="T716" s="223">
        <f t="shared" si="57"/>
        <v>1.2236965155131325</v>
      </c>
      <c r="U716" s="224">
        <f>'WetLitterbags placem_collection'!E57</f>
        <v>42766</v>
      </c>
      <c r="V716" s="224">
        <f>IF('WetLitterbags placem_collection'!G57="","",'WetLitterbags placem_collection'!G57)</f>
        <v>42820</v>
      </c>
      <c r="W716" s="225">
        <f t="shared" si="55"/>
        <v>54</v>
      </c>
      <c r="X716" s="223">
        <f t="shared" si="58"/>
        <v>0.66300000000000003</v>
      </c>
      <c r="Y716" s="223">
        <f t="shared" si="59"/>
        <v>0.69737726874471773</v>
      </c>
      <c r="Z716">
        <f>IFERROR(INDEX([1]Rainfall_Wet!$O$2:$O$217,MATCH(C716, [1]Rainfall_Wet!$A$2:$A$217,0)),"")</f>
        <v>214.262898705</v>
      </c>
      <c r="AA716" s="226">
        <v>21.96</v>
      </c>
      <c r="AB716" s="226">
        <v>8.9199999999999982</v>
      </c>
      <c r="AC716" s="226">
        <v>69.12</v>
      </c>
      <c r="AD716" s="227" t="s">
        <v>2651</v>
      </c>
      <c r="AE716" s="226">
        <v>1.7491375061606702</v>
      </c>
      <c r="AF716">
        <f>IF('WetLitterbags placem_collection'!AB57="","",'WetLitterbags placem_collection'!AB57)</f>
        <v>15.8</v>
      </c>
      <c r="AG716">
        <f>IF('WetLitterbags placem_collection'!Z57="","",'WetLitterbags placem_collection'!Z57)</f>
        <v>45</v>
      </c>
      <c r="AH716" s="236" t="str">
        <f>IF('WetLitterbags placem_collection'!AA57="","",'WetLitterbags placem_collection'!AA57)</f>
        <v>M</v>
      </c>
      <c r="AI716">
        <f>IF('WetLitterbags placem_collection'!AC57="","",'WetLitterbags placem_collection'!AC57)</f>
        <v>1</v>
      </c>
      <c r="AJ716">
        <f>AVERAGE('WetLitterbags placem_collection'!S57,'WetLitterbags placem_collection'!U57)</f>
        <v>33</v>
      </c>
      <c r="AK716">
        <f>AVERAGE('WetLitterbags placem_collection'!R57,'WetLitterbags placem_collection'!T57)</f>
        <v>25.9</v>
      </c>
      <c r="AL716">
        <f>INDEX([2]Coordinates!$B$2:$B$197,MATCH(I716,[2]Coordinates!$J$2:$J$197,0))</f>
        <v>-3.4061389879999999</v>
      </c>
      <c r="AM716">
        <f>INDEX([2]Coordinates!$C$2:$C$197,MATCH(I716,[2]Coordinates!$J$2:$J$197,0))</f>
        <v>34.850574979999998</v>
      </c>
      <c r="AN716" t="str">
        <f>IF(ISNUMBER(SEARCH("C", 'WetLitterbags placem_collection'!$Y57)),"YES","NO")</f>
        <v>NO</v>
      </c>
      <c r="AO716" t="str">
        <f>IF(ISNUMBER(SEARCH("H", 'WetLitterbags placem_collection'!$Y57)),"YES","NO")</f>
        <v>NO</v>
      </c>
      <c r="AP716" t="str">
        <f>IF(ISNUMBER(SEARCH("R", 'WetLitterbags placem_collection'!$Y57)),"YES","NO")</f>
        <v>NO</v>
      </c>
    </row>
    <row r="717" spans="1:42" ht="15" customHeight="1">
      <c r="A717" t="s">
        <v>3248</v>
      </c>
      <c r="B717" s="248" t="s">
        <v>2454</v>
      </c>
      <c r="C717" s="253">
        <f>'Dry_Litterbag Placem_Collection'!A58</f>
        <v>56</v>
      </c>
      <c r="D717" s="253" t="str">
        <f>'Dry_Litterbag Placem_Collection'!B58</f>
        <v>Makao</v>
      </c>
      <c r="E717" s="253" t="s">
        <v>2643</v>
      </c>
      <c r="F717" s="253" t="s">
        <v>20</v>
      </c>
      <c r="G717" s="253">
        <v>3</v>
      </c>
      <c r="H717" s="253" t="s">
        <v>3109</v>
      </c>
      <c r="I717" s="254" t="str">
        <f>'Dry_Litterbag Placem_Collection'!C58</f>
        <v>Dry_P3_T8</v>
      </c>
      <c r="J717" s="263" t="s">
        <v>2932</v>
      </c>
      <c r="K717" s="264" t="s">
        <v>298</v>
      </c>
      <c r="L717" s="221" t="str">
        <f>'WetLitterbags placem_collection'!Q58</f>
        <v>R58</v>
      </c>
      <c r="M717" s="223">
        <f>IFERROR(INDEX('Green_rooibos initial weight'!$C$5:$C$2000,MATCH(L717, 'Green_rooibos initial weight'!$A$5:$A$2000,0)),"")</f>
        <v>2.1760000000000002</v>
      </c>
      <c r="N717" s="223">
        <f>IFERROR(M717-(TBIcalc!$H$9+TBIcalc!$H$10),"")</f>
        <v>1.9262000000000001</v>
      </c>
      <c r="O717" s="378">
        <f>AVERAGE(Ashed_controlls!$K$2:$K$11)</f>
        <v>5.5147656768714146</v>
      </c>
      <c r="P717" s="223">
        <f t="shared" si="56"/>
        <v>1.8199745835321028</v>
      </c>
      <c r="Q717" s="223">
        <f>IFERROR(INDEX('Both teabags AfterWet'!$C$3:$C$840,MATCH(L717,'Both teabags AfterWet'!$A$3:$A$840,0)),"")</f>
        <v>1.5980000000000001</v>
      </c>
      <c r="R717" s="223">
        <f>IFERROR(IF(Q717&gt;0,Q717-(TBIcalc!$H$9),""),"")</f>
        <v>1.4474</v>
      </c>
      <c r="S717" s="223">
        <f>IFERROR(INDEX('Ashed teabags wet'!$K$2:$K$2000,MATCH(L717,'Ashed teabags wet'!$A$2:$A$2000,0)),"")</f>
        <v>3.1372549019609965</v>
      </c>
      <c r="T717" s="223">
        <f t="shared" si="57"/>
        <v>1.4019913725490165</v>
      </c>
      <c r="U717" s="224">
        <f>'WetLitterbags placem_collection'!E58</f>
        <v>42766</v>
      </c>
      <c r="V717" s="224">
        <f>IF('WetLitterbags placem_collection'!G58="","",'WetLitterbags placem_collection'!G58)</f>
        <v>42820</v>
      </c>
      <c r="W717" s="225">
        <f t="shared" si="55"/>
        <v>54</v>
      </c>
      <c r="X717" s="223">
        <f t="shared" si="58"/>
        <v>0.47880000000000011</v>
      </c>
      <c r="Y717" s="223">
        <f t="shared" si="59"/>
        <v>0.41798321098308633</v>
      </c>
      <c r="Z717">
        <f>IFERROR(INDEX([1]Rainfall_Wet!$O$2:$O$217,MATCH(C717, [1]Rainfall_Wet!$A$2:$A$217,0)),"")</f>
        <v>214.262898705</v>
      </c>
      <c r="AA717" s="226">
        <v>21.96</v>
      </c>
      <c r="AB717" s="226">
        <v>8.9199999999999982</v>
      </c>
      <c r="AC717" s="226">
        <v>69.12</v>
      </c>
      <c r="AD717" s="227" t="s">
        <v>2651</v>
      </c>
      <c r="AE717" s="226">
        <v>1.7491375061606702</v>
      </c>
      <c r="AF717">
        <f>IF('WetLitterbags placem_collection'!AB58="","",'WetLitterbags placem_collection'!AB58)</f>
        <v>15.4</v>
      </c>
      <c r="AG717">
        <f>IF('WetLitterbags placem_collection'!Z58="","",'WetLitterbags placem_collection'!Z58)</f>
        <v>30.8</v>
      </c>
      <c r="AH717" s="236" t="str">
        <f>IF('WetLitterbags placem_collection'!AA58="","",'WetLitterbags placem_collection'!AA58)</f>
        <v>M</v>
      </c>
      <c r="AI717">
        <f>IF('WetLitterbags placem_collection'!AC58="","",'WetLitterbags placem_collection'!AC58)</f>
        <v>0</v>
      </c>
      <c r="AJ717">
        <f>AVERAGE('WetLitterbags placem_collection'!S58,'WetLitterbags placem_collection'!U58)</f>
        <v>29.5</v>
      </c>
      <c r="AK717">
        <f>AVERAGE('WetLitterbags placem_collection'!R58,'WetLitterbags placem_collection'!T58)</f>
        <v>27.6</v>
      </c>
      <c r="AL717">
        <f>INDEX([2]Coordinates!$B$2:$B$197,MATCH(I717,[2]Coordinates!$J$2:$J$197,0))</f>
        <v>-3.4062900300000001</v>
      </c>
      <c r="AM717">
        <f>INDEX([2]Coordinates!$C$2:$C$197,MATCH(I717,[2]Coordinates!$J$2:$J$197,0))</f>
        <v>34.850441959999998</v>
      </c>
      <c r="AN717" t="str">
        <f>IF(ISNUMBER(SEARCH("C", 'WetLitterbags placem_collection'!$Y58)),"YES","NO")</f>
        <v>NO</v>
      </c>
      <c r="AO717" t="str">
        <f>IF(ISNUMBER(SEARCH("H", 'WetLitterbags placem_collection'!$Y58)),"YES","NO")</f>
        <v>NO</v>
      </c>
      <c r="AP717" t="str">
        <f>IF(ISNUMBER(SEARCH("R", 'WetLitterbags placem_collection'!$Y58)),"YES","NO")</f>
        <v>NO</v>
      </c>
    </row>
    <row r="718" spans="1:42" ht="15" customHeight="1">
      <c r="A718" t="s">
        <v>3248</v>
      </c>
      <c r="B718" s="248" t="s">
        <v>2454</v>
      </c>
      <c r="C718" s="253">
        <f>'Dry_Litterbag Placem_Collection'!A59</f>
        <v>57</v>
      </c>
      <c r="D718" s="253" t="str">
        <f>'Dry_Litterbag Placem_Collection'!B59</f>
        <v>Makao</v>
      </c>
      <c r="E718" s="253" t="s">
        <v>2643</v>
      </c>
      <c r="F718" s="253" t="s">
        <v>20</v>
      </c>
      <c r="G718" s="253">
        <v>4</v>
      </c>
      <c r="H718" s="253" t="s">
        <v>3110</v>
      </c>
      <c r="I718" s="254" t="str">
        <f>'Dry_Litterbag Placem_Collection'!C59</f>
        <v>Dry_P4_T1</v>
      </c>
      <c r="J718" s="263" t="s">
        <v>2932</v>
      </c>
      <c r="K718" s="264" t="s">
        <v>298</v>
      </c>
      <c r="L718" s="221" t="str">
        <f>'WetLitterbags placem_collection'!Q59</f>
        <v>R435</v>
      </c>
      <c r="M718" s="223">
        <f>IFERROR(INDEX('Green_rooibos initial weight'!$C$5:$C$2000,MATCH(L718, 'Green_rooibos initial weight'!$A$5:$A$2000,0)),"")</f>
        <v>2.141</v>
      </c>
      <c r="N718" s="223">
        <f>IFERROR(M718-(TBIcalc!$H$9+TBIcalc!$H$10),"")</f>
        <v>1.8912</v>
      </c>
      <c r="O718" s="378">
        <f>AVERAGE(Ashed_controlls!$K$2:$K$11)</f>
        <v>5.5147656768714146</v>
      </c>
      <c r="P718" s="223">
        <f t="shared" si="56"/>
        <v>1.7869047515190077</v>
      </c>
      <c r="Q718" s="223">
        <f>IFERROR(INDEX('Both teabags AfterWet'!$C$3:$C$840,MATCH(L718,'Both teabags AfterWet'!$A$3:$A$840,0)),"")</f>
        <v>1.4594</v>
      </c>
      <c r="R718" s="223">
        <f>IFERROR(IF(Q718&gt;0,Q718-(TBIcalc!$H$9),""),"")</f>
        <v>1.3088</v>
      </c>
      <c r="S718" s="223">
        <f>IFERROR(INDEX('Ashed teabags wet'!$K$2:$K$2000,MATCH(L718,'Ashed teabags wet'!$A$2:$A$2000,0)),"")</f>
        <v>7.3673870333987725</v>
      </c>
      <c r="T718" s="223">
        <f t="shared" si="57"/>
        <v>1.2123756385068769</v>
      </c>
      <c r="U718" s="224">
        <f>'WetLitterbags placem_collection'!E59</f>
        <v>42766</v>
      </c>
      <c r="V718" s="224">
        <f>IF('WetLitterbags placem_collection'!G59="","",'WetLitterbags placem_collection'!G59)</f>
        <v>42820</v>
      </c>
      <c r="W718" s="225">
        <f t="shared" si="55"/>
        <v>54</v>
      </c>
      <c r="X718" s="223">
        <f t="shared" si="58"/>
        <v>0.58240000000000003</v>
      </c>
      <c r="Y718" s="223">
        <f t="shared" si="59"/>
        <v>0.57452911301213083</v>
      </c>
      <c r="Z718">
        <f>IFERROR(INDEX([1]Rainfall_Wet!$O$2:$O$217,MATCH(C718, [1]Rainfall_Wet!$A$2:$A$217,0)),"")</f>
        <v>214.262898705</v>
      </c>
      <c r="AA718" s="226">
        <v>25.96</v>
      </c>
      <c r="AB718" s="226">
        <v>6.9200000000000008</v>
      </c>
      <c r="AC718" s="226">
        <v>67.12</v>
      </c>
      <c r="AD718" s="227" t="s">
        <v>2651</v>
      </c>
      <c r="AE718" s="226">
        <v>1.7568260226712666</v>
      </c>
      <c r="AF718">
        <f>IF('WetLitterbags placem_collection'!AB59="","",'WetLitterbags placem_collection'!AB59)</f>
        <v>3.3</v>
      </c>
      <c r="AG718">
        <f>IF('WetLitterbags placem_collection'!Z59="","",'WetLitterbags placem_collection'!Z59)</f>
        <v>28.4</v>
      </c>
      <c r="AH718" s="236" t="str">
        <f>IF('WetLitterbags placem_collection'!AA59="","",'WetLitterbags placem_collection'!AA59)</f>
        <v>O</v>
      </c>
      <c r="AI718">
        <f>IF('WetLitterbags placem_collection'!AC59="","",'WetLitterbags placem_collection'!AC59)</f>
        <v>1</v>
      </c>
      <c r="AJ718">
        <f>AVERAGE('WetLitterbags placem_collection'!S59,'WetLitterbags placem_collection'!U59)</f>
        <v>31.6</v>
      </c>
      <c r="AK718">
        <f>AVERAGE('WetLitterbags placem_collection'!R59,'WetLitterbags placem_collection'!T59)</f>
        <v>26.9</v>
      </c>
      <c r="AL718">
        <f>INDEX([2]Coordinates!$B$2:$B$197,MATCH(I718,[2]Coordinates!$J$2:$J$197,0))</f>
        <v>-3.4064239729999999</v>
      </c>
      <c r="AM718">
        <f>INDEX([2]Coordinates!$C$2:$C$197,MATCH(I718,[2]Coordinates!$J$2:$J$197,0))</f>
        <v>34.851213010000002</v>
      </c>
      <c r="AN718" t="str">
        <f>IF(ISNUMBER(SEARCH("C", 'WetLitterbags placem_collection'!$Y59)),"YES","NO")</f>
        <v>NO</v>
      </c>
      <c r="AO718" t="str">
        <f>IF(ISNUMBER(SEARCH("H", 'WetLitterbags placem_collection'!$Y59)),"YES","NO")</f>
        <v>NO</v>
      </c>
      <c r="AP718" t="str">
        <f>IF(ISNUMBER(SEARCH("R", 'WetLitterbags placem_collection'!$Y59)),"YES","NO")</f>
        <v>YES</v>
      </c>
    </row>
    <row r="719" spans="1:42" ht="15" customHeight="1">
      <c r="A719" t="s">
        <v>3248</v>
      </c>
      <c r="B719" s="248" t="s">
        <v>2454</v>
      </c>
      <c r="C719" s="253">
        <f>'Dry_Litterbag Placem_Collection'!A60</f>
        <v>58</v>
      </c>
      <c r="D719" s="253" t="str">
        <f>'Dry_Litterbag Placem_Collection'!B60</f>
        <v>Makao</v>
      </c>
      <c r="E719" s="253" t="s">
        <v>2643</v>
      </c>
      <c r="F719" s="253" t="s">
        <v>20</v>
      </c>
      <c r="G719" s="253">
        <v>4</v>
      </c>
      <c r="H719" s="253" t="s">
        <v>3110</v>
      </c>
      <c r="I719" s="254" t="str">
        <f>'Dry_Litterbag Placem_Collection'!C60</f>
        <v>Dry_P4_T2</v>
      </c>
      <c r="J719" s="263" t="s">
        <v>2932</v>
      </c>
      <c r="K719" s="264" t="s">
        <v>298</v>
      </c>
      <c r="L719" s="221" t="str">
        <f>'WetLitterbags placem_collection'!Q60</f>
        <v>R31</v>
      </c>
      <c r="M719" s="223">
        <f>IFERROR(INDEX('Green_rooibos initial weight'!$C$5:$C$2000,MATCH(L719, 'Green_rooibos initial weight'!$A$5:$A$2000,0)),"")</f>
        <v>2.1589999999999998</v>
      </c>
      <c r="N719" s="223">
        <f>IFERROR(M719-(TBIcalc!$H$9+TBIcalc!$H$10),"")</f>
        <v>1.9091999999999998</v>
      </c>
      <c r="O719" s="378">
        <f>AVERAGE(Ashed_controlls!$K$2:$K$11)</f>
        <v>5.5147656768714146</v>
      </c>
      <c r="P719" s="223">
        <f t="shared" si="56"/>
        <v>1.8039120936971709</v>
      </c>
      <c r="Q719" s="223">
        <f>IFERROR(INDEX('Both teabags AfterWet'!$C$3:$C$840,MATCH(L719,'Both teabags AfterWet'!$A$3:$A$840,0)),"")</f>
        <v>1.1857</v>
      </c>
      <c r="R719" s="223">
        <f>IFERROR(IF(Q719&gt;0,Q719-(TBIcalc!$H$9),""),"")</f>
        <v>1.0350999999999999</v>
      </c>
      <c r="S719" s="223">
        <f>IFERROR(INDEX('Ashed teabags wet'!$K$2:$K$2000,MATCH(L719,'Ashed teabags wet'!$A$2:$A$2000,0)),"")</f>
        <v>14.436090225563877</v>
      </c>
      <c r="T719" s="223">
        <f t="shared" si="57"/>
        <v>0.88567203007518824</v>
      </c>
      <c r="U719" s="224">
        <f>'WetLitterbags placem_collection'!E60</f>
        <v>42766</v>
      </c>
      <c r="V719" s="224">
        <f>IF('WetLitterbags placem_collection'!G60="","",'WetLitterbags placem_collection'!G60)</f>
        <v>42820</v>
      </c>
      <c r="W719" s="225">
        <f t="shared" si="55"/>
        <v>54</v>
      </c>
      <c r="X719" s="223">
        <f t="shared" si="58"/>
        <v>0.87409999999999988</v>
      </c>
      <c r="Y719" s="223">
        <f t="shared" si="59"/>
        <v>0.91824006362198263</v>
      </c>
      <c r="Z719">
        <f>IFERROR(INDEX([1]Rainfall_Wet!$O$2:$O$217,MATCH(C719, [1]Rainfall_Wet!$A$2:$A$217,0)),"")</f>
        <v>214.262898705</v>
      </c>
      <c r="AA719" s="226">
        <v>25.96</v>
      </c>
      <c r="AB719" s="226">
        <v>6.9200000000000008</v>
      </c>
      <c r="AC719" s="226">
        <v>67.12</v>
      </c>
      <c r="AD719" s="227" t="s">
        <v>2651</v>
      </c>
      <c r="AE719" s="226">
        <v>1.7568260226712666</v>
      </c>
      <c r="AF719">
        <f>IF('WetLitterbags placem_collection'!AB60="","",'WetLitterbags placem_collection'!AB60)</f>
        <v>1.4</v>
      </c>
      <c r="AG719">
        <f>IF('WetLitterbags placem_collection'!Z60="","",'WetLitterbags placem_collection'!Z60)</f>
        <v>54.4</v>
      </c>
      <c r="AH719" s="236" t="str">
        <f>IF('WetLitterbags placem_collection'!AA60="","",'WetLitterbags placem_collection'!AA60)</f>
        <v>O</v>
      </c>
      <c r="AI719">
        <f>IF('WetLitterbags placem_collection'!AC60="","",'WetLitterbags placem_collection'!AC60)</f>
        <v>0</v>
      </c>
      <c r="AJ719">
        <f>AVERAGE('WetLitterbags placem_collection'!S60,'WetLitterbags placem_collection'!U60)</f>
        <v>31.6</v>
      </c>
      <c r="AK719">
        <f>AVERAGE('WetLitterbags placem_collection'!R60,'WetLitterbags placem_collection'!T60)</f>
        <v>26.700000000000003</v>
      </c>
      <c r="AL719">
        <f>INDEX([2]Coordinates!$B$2:$B$197,MATCH(I719,[2]Coordinates!$J$2:$J$197,0))</f>
        <v>-3.4065020079999999</v>
      </c>
      <c r="AM719">
        <f>INDEX([2]Coordinates!$C$2:$C$197,MATCH(I719,[2]Coordinates!$J$2:$J$197,0))</f>
        <v>34.851056020000001</v>
      </c>
      <c r="AN719" t="str">
        <f>IF(ISNUMBER(SEARCH("C", 'WetLitterbags placem_collection'!$Y60)),"YES","NO")</f>
        <v>NO</v>
      </c>
      <c r="AO719" t="str">
        <f>IF(ISNUMBER(SEARCH("H", 'WetLitterbags placem_collection'!$Y60)),"YES","NO")</f>
        <v>NO</v>
      </c>
      <c r="AP719" t="str">
        <f>IF(ISNUMBER(SEARCH("R", 'WetLitterbags placem_collection'!$Y60)),"YES","NO")</f>
        <v>NO</v>
      </c>
    </row>
    <row r="720" spans="1:42" ht="15" customHeight="1">
      <c r="A720" t="s">
        <v>3248</v>
      </c>
      <c r="B720" s="248" t="s">
        <v>2454</v>
      </c>
      <c r="C720" s="253">
        <f>'Dry_Litterbag Placem_Collection'!A61</f>
        <v>59</v>
      </c>
      <c r="D720" s="253" t="str">
        <f>'Dry_Litterbag Placem_Collection'!B61</f>
        <v>Makao</v>
      </c>
      <c r="E720" s="253" t="s">
        <v>2643</v>
      </c>
      <c r="F720" s="253" t="s">
        <v>20</v>
      </c>
      <c r="G720" s="253">
        <v>4</v>
      </c>
      <c r="H720" s="253" t="s">
        <v>3110</v>
      </c>
      <c r="I720" s="254" t="str">
        <f>'Dry_Litterbag Placem_Collection'!C61</f>
        <v>Dry_P4_T3</v>
      </c>
      <c r="J720" s="263" t="s">
        <v>2932</v>
      </c>
      <c r="K720" s="264" t="s">
        <v>298</v>
      </c>
      <c r="L720" s="221" t="str">
        <f>'WetLitterbags placem_collection'!Q61</f>
        <v>R120</v>
      </c>
      <c r="M720" s="223">
        <f>IFERROR(INDEX('Green_rooibos initial weight'!$C$5:$C$2000,MATCH(L720, 'Green_rooibos initial weight'!$A$5:$A$2000,0)),"")</f>
        <v>2.2450000000000001</v>
      </c>
      <c r="N720" s="223">
        <f>IFERROR(M720-(TBIcalc!$H$9+TBIcalc!$H$10),"")</f>
        <v>1.9952000000000001</v>
      </c>
      <c r="O720" s="378">
        <f>AVERAGE(Ashed_controlls!$K$2:$K$11)</f>
        <v>5.5147656768714146</v>
      </c>
      <c r="P720" s="223">
        <f t="shared" si="56"/>
        <v>1.8851693952150617</v>
      </c>
      <c r="Q720" s="223">
        <f>IFERROR(INDEX('Both teabags AfterWet'!$C$3:$C$840,MATCH(L720,'Both teabags AfterWet'!$A$3:$A$840,0)),"")</f>
        <v>1.4690000000000001</v>
      </c>
      <c r="R720" s="223">
        <f>IFERROR(IF(Q720&gt;0,Q720-(TBIcalc!$H$9),""),"")</f>
        <v>1.3184</v>
      </c>
      <c r="S720" s="223">
        <f>IFERROR(INDEX('Ashed teabags wet'!$K$2:$K$2000,MATCH(L720,'Ashed teabags wet'!$A$2:$A$2000,0)),"")</f>
        <v>3.836571998007162</v>
      </c>
      <c r="T720" s="223">
        <f t="shared" si="57"/>
        <v>1.2678186347782736</v>
      </c>
      <c r="U720" s="224">
        <f>'WetLitterbags placem_collection'!E61</f>
        <v>42766</v>
      </c>
      <c r="V720" s="224">
        <f>IF('WetLitterbags placem_collection'!G61="","",'WetLitterbags placem_collection'!G61)</f>
        <v>42820</v>
      </c>
      <c r="W720" s="225">
        <f t="shared" si="55"/>
        <v>54</v>
      </c>
      <c r="X720" s="223">
        <f t="shared" si="58"/>
        <v>0.67680000000000007</v>
      </c>
      <c r="Y720" s="223">
        <f t="shared" si="59"/>
        <v>0.61735076043678805</v>
      </c>
      <c r="Z720">
        <f>IFERROR(INDEX([1]Rainfall_Wet!$O$2:$O$217,MATCH(C720, [1]Rainfall_Wet!$A$2:$A$217,0)),"")</f>
        <v>214.262898705</v>
      </c>
      <c r="AA720" s="226">
        <v>25.96</v>
      </c>
      <c r="AB720" s="226">
        <v>6.9200000000000008</v>
      </c>
      <c r="AC720" s="226">
        <v>67.12</v>
      </c>
      <c r="AD720" s="227" t="s">
        <v>2651</v>
      </c>
      <c r="AE720" s="226">
        <v>1.7568260226712666</v>
      </c>
      <c r="AF720">
        <f>IF('WetLitterbags placem_collection'!AB61="","",'WetLitterbags placem_collection'!AB61)</f>
        <v>3.3</v>
      </c>
      <c r="AG720">
        <f>IF('WetLitterbags placem_collection'!Z61="","",'WetLitterbags placem_collection'!Z61)</f>
        <v>46</v>
      </c>
      <c r="AH720" s="236" t="str">
        <f>IF('WetLitterbags placem_collection'!AA61="","",'WetLitterbags placem_collection'!AA61)</f>
        <v>O</v>
      </c>
      <c r="AI720">
        <f>IF('WetLitterbags placem_collection'!AC61="","",'WetLitterbags placem_collection'!AC61)</f>
        <v>0</v>
      </c>
      <c r="AJ720">
        <f>AVERAGE('WetLitterbags placem_collection'!S61,'WetLitterbags placem_collection'!U61)</f>
        <v>27.9</v>
      </c>
      <c r="AK720">
        <f>AVERAGE('WetLitterbags placem_collection'!R61,'WetLitterbags placem_collection'!T61)</f>
        <v>27.049999999999997</v>
      </c>
      <c r="AL720">
        <f>INDEX([2]Coordinates!$B$2:$B$197,MATCH(I720,[2]Coordinates!$J$2:$J$197,0))</f>
        <v>-3.4062359670000002</v>
      </c>
      <c r="AM720">
        <f>INDEX([2]Coordinates!$C$2:$C$197,MATCH(I720,[2]Coordinates!$J$2:$J$197,0))</f>
        <v>34.851107990000003</v>
      </c>
      <c r="AN720" t="str">
        <f>IF(ISNUMBER(SEARCH("C", 'WetLitterbags placem_collection'!$Y61)),"YES","NO")</f>
        <v>NO</v>
      </c>
      <c r="AO720" t="str">
        <f>IF(ISNUMBER(SEARCH("H", 'WetLitterbags placem_collection'!$Y61)),"YES","NO")</f>
        <v>NO</v>
      </c>
      <c r="AP720" t="str">
        <f>IF(ISNUMBER(SEARCH("R", 'WetLitterbags placem_collection'!$Y61)),"YES","NO")</f>
        <v>NO</v>
      </c>
    </row>
    <row r="721" spans="1:42" ht="15" customHeight="1">
      <c r="A721" t="s">
        <v>3248</v>
      </c>
      <c r="B721" s="248" t="s">
        <v>2454</v>
      </c>
      <c r="C721" s="253">
        <f>'Dry_Litterbag Placem_Collection'!A62</f>
        <v>60</v>
      </c>
      <c r="D721" s="253" t="str">
        <f>'Dry_Litterbag Placem_Collection'!B62</f>
        <v>Makao</v>
      </c>
      <c r="E721" s="253" t="s">
        <v>2643</v>
      </c>
      <c r="F721" s="253" t="s">
        <v>20</v>
      </c>
      <c r="G721" s="253">
        <v>4</v>
      </c>
      <c r="H721" s="253" t="s">
        <v>3110</v>
      </c>
      <c r="I721" s="254" t="str">
        <f>'Dry_Litterbag Placem_Collection'!C62</f>
        <v>Dry_P4_T4</v>
      </c>
      <c r="J721" s="263" t="s">
        <v>2932</v>
      </c>
      <c r="K721" s="264" t="s">
        <v>298</v>
      </c>
      <c r="L721" s="221" t="str">
        <f>'WetLitterbags placem_collection'!Q62</f>
        <v>R390</v>
      </c>
      <c r="M721" s="223">
        <f>IFERROR(INDEX('Green_rooibos initial weight'!$C$5:$C$2000,MATCH(L721, 'Green_rooibos initial weight'!$A$5:$A$2000,0)),"")</f>
        <v>2.2480000000000002</v>
      </c>
      <c r="N721" s="223">
        <f>IFERROR(M721-(TBIcalc!$H$9+TBIcalc!$H$10),"")</f>
        <v>1.9982000000000002</v>
      </c>
      <c r="O721" s="378">
        <f>AVERAGE(Ashed_controlls!$K$2:$K$11)</f>
        <v>5.5147656768714146</v>
      </c>
      <c r="P721" s="223">
        <f t="shared" si="56"/>
        <v>1.8880039522447556</v>
      </c>
      <c r="Q721" s="223">
        <f>IFERROR(INDEX('Both teabags AfterWet'!$C$3:$C$840,MATCH(L721,'Both teabags AfterWet'!$A$3:$A$840,0)),"")</f>
        <v>1.5309999999999999</v>
      </c>
      <c r="R721" s="223">
        <f>IFERROR(IF(Q721&gt;0,Q721-(TBIcalc!$H$9),""),"")</f>
        <v>1.3803999999999998</v>
      </c>
      <c r="S721" s="223">
        <f>IFERROR(INDEX('Ashed teabags wet'!$K$2:$K$2000,MATCH(L721,'Ashed teabags wet'!$A$2:$A$2000,0)),"")</f>
        <v>9.7068716962994532</v>
      </c>
      <c r="T721" s="223">
        <f t="shared" si="57"/>
        <v>1.2464063431042822</v>
      </c>
      <c r="U721" s="224">
        <f>'WetLitterbags placem_collection'!E62</f>
        <v>42766</v>
      </c>
      <c r="V721" s="224">
        <f>IF('WetLitterbags placem_collection'!G62="","",'WetLitterbags placem_collection'!G62)</f>
        <v>42820</v>
      </c>
      <c r="W721" s="225">
        <f t="shared" si="55"/>
        <v>54</v>
      </c>
      <c r="X721" s="223">
        <f t="shared" si="58"/>
        <v>0.61780000000000035</v>
      </c>
      <c r="Y721" s="223">
        <f t="shared" si="59"/>
        <v>0.64159760914047337</v>
      </c>
      <c r="Z721">
        <f>IFERROR(INDEX([1]Rainfall_Wet!$O$2:$O$217,MATCH(C721, [1]Rainfall_Wet!$A$2:$A$217,0)),"")</f>
        <v>214.262898705</v>
      </c>
      <c r="AA721" s="226">
        <v>25.96</v>
      </c>
      <c r="AB721" s="226">
        <v>6.9200000000000008</v>
      </c>
      <c r="AC721" s="226">
        <v>67.12</v>
      </c>
      <c r="AD721" s="227" t="s">
        <v>2651</v>
      </c>
      <c r="AE721" s="226">
        <v>1.7568260226712666</v>
      </c>
      <c r="AF721">
        <f>IF('WetLitterbags placem_collection'!AB62="","",'WetLitterbags placem_collection'!AB62)</f>
        <v>2.4</v>
      </c>
      <c r="AG721">
        <f>IF('WetLitterbags placem_collection'!Z62="","",'WetLitterbags placem_collection'!Z62)</f>
        <v>10.199999999999999</v>
      </c>
      <c r="AH721" s="236" t="str">
        <f>IF('WetLitterbags placem_collection'!AA62="","",'WetLitterbags placem_collection'!AA62)</f>
        <v>O</v>
      </c>
      <c r="AI721">
        <f>IF('WetLitterbags placem_collection'!AC62="","",'WetLitterbags placem_collection'!AC62)</f>
        <v>0</v>
      </c>
      <c r="AJ721">
        <f>AVERAGE('WetLitterbags placem_collection'!S62,'WetLitterbags placem_collection'!U62)</f>
        <v>22.5</v>
      </c>
      <c r="AK721">
        <f>AVERAGE('WetLitterbags placem_collection'!R62,'WetLitterbags placem_collection'!T62)</f>
        <v>28.6</v>
      </c>
      <c r="AL721">
        <f>INDEX([2]Coordinates!$B$2:$B$197,MATCH(I721,[2]Coordinates!$J$2:$J$197,0))</f>
        <v>-3.406281983</v>
      </c>
      <c r="AM721">
        <f>INDEX([2]Coordinates!$C$2:$C$197,MATCH(I721,[2]Coordinates!$J$2:$J$197,0))</f>
        <v>34.85137898</v>
      </c>
      <c r="AN721" t="str">
        <f>IF(ISNUMBER(SEARCH("C", 'WetLitterbags placem_collection'!$Y62)),"YES","NO")</f>
        <v>NO</v>
      </c>
      <c r="AO721" t="str">
        <f>IF(ISNUMBER(SEARCH("H", 'WetLitterbags placem_collection'!$Y62)),"YES","NO")</f>
        <v>YES</v>
      </c>
      <c r="AP721" t="str">
        <f>IF(ISNUMBER(SEARCH("R", 'WetLitterbags placem_collection'!$Y62)),"YES","NO")</f>
        <v>NO</v>
      </c>
    </row>
    <row r="722" spans="1:42" ht="15" customHeight="1">
      <c r="A722" t="s">
        <v>3248</v>
      </c>
      <c r="B722" s="248" t="s">
        <v>2454</v>
      </c>
      <c r="C722" s="253">
        <f>'Dry_Litterbag Placem_Collection'!A63</f>
        <v>61</v>
      </c>
      <c r="D722" s="253" t="str">
        <f>'Dry_Litterbag Placem_Collection'!B63</f>
        <v>Makao</v>
      </c>
      <c r="E722" s="253" t="s">
        <v>2643</v>
      </c>
      <c r="F722" s="253" t="s">
        <v>20</v>
      </c>
      <c r="G722" s="253">
        <v>4</v>
      </c>
      <c r="H722" s="253" t="s">
        <v>3110</v>
      </c>
      <c r="I722" s="254" t="str">
        <f>'Dry_Litterbag Placem_Collection'!C63</f>
        <v>Dry_P4_T5</v>
      </c>
      <c r="J722" s="263" t="s">
        <v>2932</v>
      </c>
      <c r="K722" s="264" t="s">
        <v>298</v>
      </c>
      <c r="L722" s="221" t="str">
        <f>'WetLitterbags placem_collection'!Q63</f>
        <v>R143</v>
      </c>
      <c r="M722" s="223">
        <f>IFERROR(INDEX('Green_rooibos initial weight'!$C$5:$C$2000,MATCH(L722, 'Green_rooibos initial weight'!$A$5:$A$2000,0)),"")</f>
        <v>2.1560000000000001</v>
      </c>
      <c r="N722" s="223">
        <f>IFERROR(M722-(TBIcalc!$H$9+TBIcalc!$H$10),"")</f>
        <v>1.9062000000000001</v>
      </c>
      <c r="O722" s="378">
        <f>AVERAGE(Ashed_controlls!$K$2:$K$11)</f>
        <v>5.5147656768714146</v>
      </c>
      <c r="P722" s="223">
        <f t="shared" si="56"/>
        <v>1.8010775366674772</v>
      </c>
      <c r="Q722" s="223">
        <f>IFERROR(INDEX('Both teabags AfterWet'!$C$3:$C$840,MATCH(L722,'Both teabags AfterWet'!$A$3:$A$840,0)),"")</f>
        <v>1.581</v>
      </c>
      <c r="R722" s="223">
        <f>IFERROR(IF(Q722&gt;0,Q722-(TBIcalc!$H$9),""),"")</f>
        <v>1.4303999999999999</v>
      </c>
      <c r="S722" s="223">
        <f>IFERROR(INDEX('Ashed teabags wet'!$K$2:$K$2000,MATCH(L722,'Ashed teabags wet'!$A$2:$A$2000,0)),"")</f>
        <v>5.6762092793688481</v>
      </c>
      <c r="T722" s="223">
        <f t="shared" si="57"/>
        <v>1.349207502467908</v>
      </c>
      <c r="U722" s="224">
        <f>'WetLitterbags placem_collection'!E63</f>
        <v>42766</v>
      </c>
      <c r="V722" s="224">
        <f>IF('WetLitterbags placem_collection'!G63="","",'WetLitterbags placem_collection'!G63)</f>
        <v>42820</v>
      </c>
      <c r="W722" s="225">
        <f t="shared" si="55"/>
        <v>54</v>
      </c>
      <c r="X722" s="223">
        <f t="shared" si="58"/>
        <v>0.47580000000000022</v>
      </c>
      <c r="Y722" s="223">
        <f t="shared" si="59"/>
        <v>0.45187003419956917</v>
      </c>
      <c r="Z722">
        <f>IFERROR(INDEX([1]Rainfall_Wet!$O$2:$O$217,MATCH(C722, [1]Rainfall_Wet!$A$2:$A$217,0)),"")</f>
        <v>214.262898705</v>
      </c>
      <c r="AA722" s="226">
        <v>25.96</v>
      </c>
      <c r="AB722" s="226">
        <v>6.9200000000000008</v>
      </c>
      <c r="AC722" s="226">
        <v>67.12</v>
      </c>
      <c r="AD722" s="227" t="s">
        <v>2651</v>
      </c>
      <c r="AE722" s="226">
        <v>1.7568260226712666</v>
      </c>
      <c r="AF722">
        <f>IF('WetLitterbags placem_collection'!AB63="","",'WetLitterbags placem_collection'!AB63)</f>
        <v>5.6</v>
      </c>
      <c r="AG722">
        <f>IF('WetLitterbags placem_collection'!Z63="","",'WetLitterbags placem_collection'!Z63)</f>
        <v>34.200000000000003</v>
      </c>
      <c r="AH722" s="236" t="str">
        <f>IF('WetLitterbags placem_collection'!AA63="","",'WetLitterbags placem_collection'!AA63)</f>
        <v>O</v>
      </c>
      <c r="AI722">
        <f>IF('WetLitterbags placem_collection'!AC63="","",'WetLitterbags placem_collection'!AC63)</f>
        <v>0</v>
      </c>
      <c r="AJ722">
        <f>AVERAGE('WetLitterbags placem_collection'!S63,'WetLitterbags placem_collection'!U63)</f>
        <v>20.399999999999999</v>
      </c>
      <c r="AK722">
        <f>AVERAGE('WetLitterbags placem_collection'!R63,'WetLitterbags placem_collection'!T63)</f>
        <v>27.450000000000003</v>
      </c>
      <c r="AL722">
        <f>INDEX([2]Coordinates!$B$2:$B$197,MATCH(I722,[2]Coordinates!$J$2:$J$197,0))</f>
        <v>-3.406569986</v>
      </c>
      <c r="AM722">
        <f>INDEX([2]Coordinates!$C$2:$C$197,MATCH(I722,[2]Coordinates!$J$2:$J$197,0))</f>
        <v>34.851323989999997</v>
      </c>
      <c r="AN722" t="str">
        <f>IF(ISNUMBER(SEARCH("C", 'WetLitterbags placem_collection'!$Y63)),"YES","NO")</f>
        <v>NO</v>
      </c>
      <c r="AO722" t="str">
        <f>IF(ISNUMBER(SEARCH("H", 'WetLitterbags placem_collection'!$Y63)),"YES","NO")</f>
        <v>NO</v>
      </c>
      <c r="AP722" t="str">
        <f>IF(ISNUMBER(SEARCH("R", 'WetLitterbags placem_collection'!$Y63)),"YES","NO")</f>
        <v>NO</v>
      </c>
    </row>
    <row r="723" spans="1:42" ht="15" customHeight="1">
      <c r="A723" t="s">
        <v>3248</v>
      </c>
      <c r="B723" s="248" t="s">
        <v>2454</v>
      </c>
      <c r="C723" s="253">
        <f>'Dry_Litterbag Placem_Collection'!A64</f>
        <v>62</v>
      </c>
      <c r="D723" s="253" t="str">
        <f>'Dry_Litterbag Placem_Collection'!B64</f>
        <v>Makao</v>
      </c>
      <c r="E723" s="253" t="s">
        <v>2643</v>
      </c>
      <c r="F723" s="253" t="s">
        <v>20</v>
      </c>
      <c r="G723" s="253">
        <v>4</v>
      </c>
      <c r="H723" s="253" t="s">
        <v>3110</v>
      </c>
      <c r="I723" s="254" t="str">
        <f>'Dry_Litterbag Placem_Collection'!C64</f>
        <v>Dry_P4_T6</v>
      </c>
      <c r="J723" s="263" t="s">
        <v>2932</v>
      </c>
      <c r="K723" s="264" t="s">
        <v>298</v>
      </c>
      <c r="L723" s="221" t="str">
        <f>'WetLitterbags placem_collection'!Q64</f>
        <v>R448</v>
      </c>
      <c r="M723" s="223">
        <f>IFERROR(INDEX('Green_rooibos initial weight'!$C$5:$C$2000,MATCH(L723, 'Green_rooibos initial weight'!$A$5:$A$2000,0)),"")</f>
        <v>2.2029999999999998</v>
      </c>
      <c r="N723" s="223">
        <f>IFERROR(M723-(TBIcalc!$H$9+TBIcalc!$H$10),"")</f>
        <v>1.9531999999999998</v>
      </c>
      <c r="O723" s="378">
        <f>AVERAGE(Ashed_controlls!$K$2:$K$11)</f>
        <v>5.5147656768714146</v>
      </c>
      <c r="P723" s="223">
        <f t="shared" si="56"/>
        <v>1.8454855967993473</v>
      </c>
      <c r="Q723" s="223">
        <f>IFERROR(INDEX('Both teabags AfterWet'!$C$3:$C$840,MATCH(L723,'Both teabags AfterWet'!$A$3:$A$840,0)),"")</f>
        <v>1.5379</v>
      </c>
      <c r="R723" s="223">
        <f>IFERROR(IF(Q723&gt;0,Q723-(TBIcalc!$H$9),""),"")</f>
        <v>1.3873</v>
      </c>
      <c r="S723" s="223">
        <f>IFERROR(INDEX('Ashed teabags wet'!$K$2:$K$2000,MATCH(L723,'Ashed teabags wet'!$A$2:$A$2000,0)),"")</f>
        <v>6.7460317460323242</v>
      </c>
      <c r="T723" s="223">
        <f t="shared" si="57"/>
        <v>1.2937123015872936</v>
      </c>
      <c r="U723" s="224">
        <f>'WetLitterbags placem_collection'!E64</f>
        <v>42766</v>
      </c>
      <c r="V723" s="224">
        <f>IF('WetLitterbags placem_collection'!G64="","",'WetLitterbags placem_collection'!G64)</f>
        <v>42820</v>
      </c>
      <c r="W723" s="225">
        <f t="shared" si="55"/>
        <v>54</v>
      </c>
      <c r="X723" s="223">
        <f t="shared" si="58"/>
        <v>0.56589999999999985</v>
      </c>
      <c r="Y723" s="223">
        <f t="shared" si="59"/>
        <v>0.55177329521205376</v>
      </c>
      <c r="Z723">
        <f>IFERROR(INDEX([1]Rainfall_Wet!$O$2:$O$217,MATCH(C723, [1]Rainfall_Wet!$A$2:$A$217,0)),"")</f>
        <v>214.262898705</v>
      </c>
      <c r="AA723" s="226">
        <v>25.96</v>
      </c>
      <c r="AB723" s="226">
        <v>6.9200000000000008</v>
      </c>
      <c r="AC723" s="226">
        <v>67.12</v>
      </c>
      <c r="AD723" s="227" t="s">
        <v>2651</v>
      </c>
      <c r="AE723" s="226">
        <v>1.7568260226712666</v>
      </c>
      <c r="AF723">
        <f>IF('WetLitterbags placem_collection'!AB64="","",'WetLitterbags placem_collection'!AB64)</f>
        <v>4.2</v>
      </c>
      <c r="AG723">
        <f>IF('WetLitterbags placem_collection'!Z64="","",'WetLitterbags placem_collection'!Z64)</f>
        <v>40.4</v>
      </c>
      <c r="AH723" s="236" t="str">
        <f>IF('WetLitterbags placem_collection'!AA64="","",'WetLitterbags placem_collection'!AA64)</f>
        <v>O</v>
      </c>
      <c r="AI723">
        <f>IF('WetLitterbags placem_collection'!AC64="","",'WetLitterbags placem_collection'!AC64)</f>
        <v>0</v>
      </c>
      <c r="AJ723">
        <f>AVERAGE('WetLitterbags placem_collection'!S64,'WetLitterbags placem_collection'!U64)</f>
        <v>24.7</v>
      </c>
      <c r="AK723">
        <f>AVERAGE('WetLitterbags placem_collection'!R64,'WetLitterbags placem_collection'!T64)</f>
        <v>26.799999999999997</v>
      </c>
      <c r="AL723">
        <f>INDEX([2]Coordinates!$B$2:$B$197,MATCH(I723,[2]Coordinates!$J$2:$J$197,0))</f>
        <v>-3.4065180179999999</v>
      </c>
      <c r="AM723">
        <f>INDEX([2]Coordinates!$C$2:$C$197,MATCH(I723,[2]Coordinates!$J$2:$J$197,0))</f>
        <v>34.85121402</v>
      </c>
      <c r="AN723" t="str">
        <f>IF(ISNUMBER(SEARCH("C", 'WetLitterbags placem_collection'!$Y64)),"YES","NO")</f>
        <v>NO</v>
      </c>
      <c r="AO723" t="str">
        <f>IF(ISNUMBER(SEARCH("H", 'WetLitterbags placem_collection'!$Y64)),"YES","NO")</f>
        <v>NO</v>
      </c>
      <c r="AP723" t="str">
        <f>IF(ISNUMBER(SEARCH("R", 'WetLitterbags placem_collection'!$Y64)),"YES","NO")</f>
        <v>NO</v>
      </c>
    </row>
    <row r="724" spans="1:42" ht="15" customHeight="1">
      <c r="A724" t="s">
        <v>3248</v>
      </c>
      <c r="B724" s="248" t="s">
        <v>2454</v>
      </c>
      <c r="C724" s="253">
        <f>'Dry_Litterbag Placem_Collection'!A65</f>
        <v>63</v>
      </c>
      <c r="D724" s="253" t="str">
        <f>'Dry_Litterbag Placem_Collection'!B65</f>
        <v>Makao</v>
      </c>
      <c r="E724" s="253" t="s">
        <v>2643</v>
      </c>
      <c r="F724" s="253" t="s">
        <v>20</v>
      </c>
      <c r="G724" s="253">
        <v>4</v>
      </c>
      <c r="H724" s="253" t="s">
        <v>3110</v>
      </c>
      <c r="I724" s="254" t="str">
        <f>'Dry_Litterbag Placem_Collection'!C65</f>
        <v>Dry_P4_T7</v>
      </c>
      <c r="J724" s="263" t="s">
        <v>2932</v>
      </c>
      <c r="K724" s="264" t="s">
        <v>298</v>
      </c>
      <c r="L724" s="221" t="str">
        <f>'WetLitterbags placem_collection'!Q65</f>
        <v>R423</v>
      </c>
      <c r="M724" s="223">
        <f>IFERROR(INDEX('Green_rooibos initial weight'!$C$5:$C$2000,MATCH(L724, 'Green_rooibos initial weight'!$A$5:$A$2000,0)),"")</f>
        <v>2.1760000000000002</v>
      </c>
      <c r="N724" s="223">
        <f>IFERROR(M724-(TBIcalc!$H$9+TBIcalc!$H$10),"")</f>
        <v>1.9262000000000001</v>
      </c>
      <c r="O724" s="378">
        <f>AVERAGE(Ashed_controlls!$K$2:$K$11)</f>
        <v>5.5147656768714146</v>
      </c>
      <c r="P724" s="223">
        <f t="shared" si="56"/>
        <v>1.8199745835321028</v>
      </c>
      <c r="Q724" s="223">
        <f>IFERROR(INDEX('Both teabags AfterWet'!$C$3:$C$840,MATCH(L724,'Both teabags AfterWet'!$A$3:$A$840,0)),"")</f>
        <v>1.6359999999999999</v>
      </c>
      <c r="R724" s="223">
        <f>IFERROR(IF(Q724&gt;0,Q724-(TBIcalc!$H$9),""),"")</f>
        <v>1.4853999999999998</v>
      </c>
      <c r="S724" s="223">
        <f>IFERROR(INDEX('Ashed teabags wet'!$K$2:$K$2000,MATCH(L724,'Ashed teabags wet'!$A$2:$A$2000,0)),"")</f>
        <v>8.0404429465571852</v>
      </c>
      <c r="T724" s="223">
        <f t="shared" si="57"/>
        <v>1.3659672604718394</v>
      </c>
      <c r="U724" s="224">
        <f>'WetLitterbags placem_collection'!E65</f>
        <v>42766</v>
      </c>
      <c r="V724" s="224">
        <f>IF('WetLitterbags placem_collection'!G65="","",'WetLitterbags placem_collection'!G65)</f>
        <v>42820</v>
      </c>
      <c r="W724" s="225">
        <f t="shared" si="55"/>
        <v>54</v>
      </c>
      <c r="X724" s="223">
        <f t="shared" si="58"/>
        <v>0.4408000000000003</v>
      </c>
      <c r="Y724" s="223">
        <f t="shared" si="59"/>
        <v>0.45400732306026348</v>
      </c>
      <c r="Z724">
        <f>IFERROR(INDEX([1]Rainfall_Wet!$O$2:$O$217,MATCH(C724, [1]Rainfall_Wet!$A$2:$A$217,0)),"")</f>
        <v>214.262898705</v>
      </c>
      <c r="AA724" s="226">
        <v>25.96</v>
      </c>
      <c r="AB724" s="226">
        <v>6.9200000000000008</v>
      </c>
      <c r="AC724" s="226">
        <v>67.12</v>
      </c>
      <c r="AD724" s="227" t="s">
        <v>2651</v>
      </c>
      <c r="AE724" s="226">
        <v>1.7568260226712666</v>
      </c>
      <c r="AF724">
        <f>IF('WetLitterbags placem_collection'!AB65="","",'WetLitterbags placem_collection'!AB65)</f>
        <v>4.9000000000000004</v>
      </c>
      <c r="AG724">
        <f>IF('WetLitterbags placem_collection'!Z65="","",'WetLitterbags placem_collection'!Z65)</f>
        <v>45</v>
      </c>
      <c r="AH724" s="236" t="str">
        <f>IF('WetLitterbags placem_collection'!AA65="","",'WetLitterbags placem_collection'!AA65)</f>
        <v>O</v>
      </c>
      <c r="AI724">
        <f>IF('WetLitterbags placem_collection'!AC65="","",'WetLitterbags placem_collection'!AC65)</f>
        <v>0</v>
      </c>
      <c r="AJ724">
        <f>AVERAGE('WetLitterbags placem_collection'!S65,'WetLitterbags placem_collection'!U65)</f>
        <v>22.9</v>
      </c>
      <c r="AK724">
        <f>AVERAGE('WetLitterbags placem_collection'!R65,'WetLitterbags placem_collection'!T65)</f>
        <v>28.25</v>
      </c>
      <c r="AL724">
        <f>INDEX([2]Coordinates!$B$2:$B$197,MATCH(I724,[2]Coordinates!$J$2:$J$197,0))</f>
        <v>-3.406334035</v>
      </c>
      <c r="AM724">
        <f>INDEX([2]Coordinates!$C$2:$C$197,MATCH(I724,[2]Coordinates!$J$2:$J$197,0))</f>
        <v>34.851172030000001</v>
      </c>
      <c r="AN724" t="str">
        <f>IF(ISNUMBER(SEARCH("C", 'WetLitterbags placem_collection'!$Y65)),"YES","NO")</f>
        <v>NO</v>
      </c>
      <c r="AO724" t="str">
        <f>IF(ISNUMBER(SEARCH("H", 'WetLitterbags placem_collection'!$Y65)),"YES","NO")</f>
        <v>NO</v>
      </c>
      <c r="AP724" t="str">
        <f>IF(ISNUMBER(SEARCH("R", 'WetLitterbags placem_collection'!$Y65)),"YES","NO")</f>
        <v>YES</v>
      </c>
    </row>
    <row r="725" spans="1:42" ht="15" customHeight="1">
      <c r="A725" t="s">
        <v>3248</v>
      </c>
      <c r="B725" s="248" t="s">
        <v>2454</v>
      </c>
      <c r="C725" s="253">
        <f>'Dry_Litterbag Placem_Collection'!A66</f>
        <v>64</v>
      </c>
      <c r="D725" s="253" t="str">
        <f>'Dry_Litterbag Placem_Collection'!B66</f>
        <v>Makao</v>
      </c>
      <c r="E725" s="253" t="s">
        <v>2643</v>
      </c>
      <c r="F725" s="253" t="s">
        <v>20</v>
      </c>
      <c r="G725" s="253">
        <v>4</v>
      </c>
      <c r="H725" s="253" t="s">
        <v>3110</v>
      </c>
      <c r="I725" s="254" t="str">
        <f>'Dry_Litterbag Placem_Collection'!C66</f>
        <v>Dry_P4_T8</v>
      </c>
      <c r="J725" s="263" t="s">
        <v>2932</v>
      </c>
      <c r="K725" s="264" t="s">
        <v>298</v>
      </c>
      <c r="L725" s="221" t="str">
        <f>'WetLitterbags placem_collection'!Q66</f>
        <v>R550</v>
      </c>
      <c r="M725" s="223">
        <f>IFERROR(INDEX('Green_rooibos initial weight'!$C$5:$C$2000,MATCH(L725, 'Green_rooibos initial weight'!$A$5:$A$2000,0)),"")</f>
        <v>2.177</v>
      </c>
      <c r="N725" s="223">
        <f>IFERROR(M725-(TBIcalc!$H$9+TBIcalc!$H$10),"")</f>
        <v>1.9272</v>
      </c>
      <c r="O725" s="378">
        <f>AVERAGE(Ashed_controlls!$K$2:$K$11)</f>
        <v>5.5147656768714146</v>
      </c>
      <c r="P725" s="223">
        <f t="shared" si="56"/>
        <v>1.8209194358753342</v>
      </c>
      <c r="Q725" s="223">
        <f>IFERROR(INDEX('Both teabags AfterWet'!$C$3:$C$840,MATCH(L725,'Both teabags AfterWet'!$A$3:$A$840,0)),"")</f>
        <v>1.6930000000000001</v>
      </c>
      <c r="R725" s="223">
        <f>IFERROR(IF(Q725&gt;0,Q725-(TBIcalc!$H$9),""),"")</f>
        <v>1.5424</v>
      </c>
      <c r="S725" s="223">
        <f>IFERROR(INDEX('Ashed teabags wet'!$K$2:$K$2000,MATCH(L725,'Ashed teabags wet'!$A$2:$A$2000,0)),"")</f>
        <v>15.844027640671007</v>
      </c>
      <c r="T725" s="223">
        <f t="shared" si="57"/>
        <v>1.2980217176702904</v>
      </c>
      <c r="U725" s="224">
        <f>'WetLitterbags placem_collection'!E66</f>
        <v>42766</v>
      </c>
      <c r="V725" s="224">
        <f>IF('WetLitterbags placem_collection'!G66="","",'WetLitterbags placem_collection'!G66)</f>
        <v>42820</v>
      </c>
      <c r="W725" s="225">
        <f t="shared" si="55"/>
        <v>54</v>
      </c>
      <c r="X725" s="223">
        <f t="shared" si="58"/>
        <v>0.38480000000000003</v>
      </c>
      <c r="Y725" s="223">
        <f t="shared" si="59"/>
        <v>0.52289771820504383</v>
      </c>
      <c r="Z725">
        <f>IFERROR(INDEX([1]Rainfall_Wet!$O$2:$O$217,MATCH(C725, [1]Rainfall_Wet!$A$2:$A$217,0)),"")</f>
        <v>214.262898705</v>
      </c>
      <c r="AA725" s="226">
        <v>25.96</v>
      </c>
      <c r="AB725" s="226">
        <v>6.9200000000000008</v>
      </c>
      <c r="AC725" s="226">
        <v>67.12</v>
      </c>
      <c r="AD725" s="227" t="s">
        <v>2651</v>
      </c>
      <c r="AE725" s="226">
        <v>1.7568260226712666</v>
      </c>
      <c r="AF725">
        <f>IF('WetLitterbags placem_collection'!AB66="","",'WetLitterbags placem_collection'!AB66)</f>
        <v>3</v>
      </c>
      <c r="AG725">
        <f>IF('WetLitterbags placem_collection'!Z66="","",'WetLitterbags placem_collection'!Z66)</f>
        <v>22.8</v>
      </c>
      <c r="AH725" s="236" t="str">
        <f>IF('WetLitterbags placem_collection'!AA66="","",'WetLitterbags placem_collection'!AA66)</f>
        <v>O</v>
      </c>
      <c r="AI725">
        <f>IF('WetLitterbags placem_collection'!AC66="","",'WetLitterbags placem_collection'!AC66)</f>
        <v>1</v>
      </c>
      <c r="AJ725">
        <f>AVERAGE('WetLitterbags placem_collection'!S66,'WetLitterbags placem_collection'!U66)</f>
        <v>34.6</v>
      </c>
      <c r="AK725">
        <f>AVERAGE('WetLitterbags placem_collection'!R66,'WetLitterbags placem_collection'!T66)</f>
        <v>22.7</v>
      </c>
      <c r="AL725">
        <f>INDEX([2]Coordinates!$B$2:$B$197,MATCH(I725,[2]Coordinates!$J$2:$J$197,0))</f>
        <v>-3.4063409920000001</v>
      </c>
      <c r="AM725">
        <f>INDEX([2]Coordinates!$C$2:$C$197,MATCH(I725,[2]Coordinates!$J$2:$J$197,0))</f>
        <v>34.85126004</v>
      </c>
      <c r="AN725" t="str">
        <f>IF(ISNUMBER(SEARCH("C", 'WetLitterbags placem_collection'!$Y66)),"YES","NO")</f>
        <v>NO</v>
      </c>
      <c r="AO725" t="str">
        <f>IF(ISNUMBER(SEARCH("H", 'WetLitterbags placem_collection'!$Y66)),"YES","NO")</f>
        <v>NO</v>
      </c>
      <c r="AP725" t="str">
        <f>IF(ISNUMBER(SEARCH("R", 'WetLitterbags placem_collection'!$Y66)),"YES","NO")</f>
        <v>NO</v>
      </c>
    </row>
    <row r="726" spans="1:42" ht="15" customHeight="1">
      <c r="A726" t="s">
        <v>3248</v>
      </c>
      <c r="B726" s="248" t="s">
        <v>2454</v>
      </c>
      <c r="C726" s="253">
        <f>'Dry_Litterbag Placem_Collection'!A67</f>
        <v>65</v>
      </c>
      <c r="D726" s="253" t="str">
        <f>'Dry_Litterbag Placem_Collection'!B67</f>
        <v>Maswa</v>
      </c>
      <c r="E726" s="253" t="s">
        <v>2643</v>
      </c>
      <c r="F726" s="253" t="s">
        <v>2645</v>
      </c>
      <c r="G726" s="253">
        <v>1</v>
      </c>
      <c r="H726" s="253" t="s">
        <v>3111</v>
      </c>
      <c r="I726" s="254" t="str">
        <f>'Dry_Litterbag Placem_Collection'!C67</f>
        <v>Dry_W1_T1</v>
      </c>
      <c r="J726" s="263" t="s">
        <v>2932</v>
      </c>
      <c r="K726" s="264" t="s">
        <v>298</v>
      </c>
      <c r="L726" s="221" t="str">
        <f>'WetLitterbags placem_collection'!Q67</f>
        <v>R333</v>
      </c>
      <c r="M726" s="223">
        <f>IFERROR(INDEX('Green_rooibos initial weight'!$C$5:$C$2000,MATCH(L726, 'Green_rooibos initial weight'!$A$5:$A$2000,0)),"")</f>
        <v>2.27</v>
      </c>
      <c r="N726" s="223">
        <f>IFERROR(M726-(TBIcalc!$H$9+TBIcalc!$H$10),"")</f>
        <v>2.0202</v>
      </c>
      <c r="O726" s="378">
        <f>AVERAGE(Ashed_controlls!$K$2:$K$11)</f>
        <v>5.5147656768714146</v>
      </c>
      <c r="P726" s="223">
        <f t="shared" si="56"/>
        <v>1.9087907037958436</v>
      </c>
      <c r="Q726" s="223">
        <f>IFERROR(INDEX('Both teabags AfterWet'!$C$3:$C$840,MATCH(L726,'Both teabags AfterWet'!$A$3:$A$840,0)),"")</f>
        <v>1.6319999999999999</v>
      </c>
      <c r="R726" s="223">
        <f>IFERROR(IF(Q726&gt;0,Q726-(TBIcalc!$H$9),""),"")</f>
        <v>1.4813999999999998</v>
      </c>
      <c r="S726" s="223">
        <f>IFERROR(INDEX('Ashed teabags wet'!$K$2:$K$2000,MATCH(L726,'Ashed teabags wet'!$A$2:$A$2000,0)),"")</f>
        <v>3.9440838741890998</v>
      </c>
      <c r="T726" s="223">
        <f t="shared" si="57"/>
        <v>1.4229723414877624</v>
      </c>
      <c r="U726" s="224">
        <f>'WetLitterbags placem_collection'!E67</f>
        <v>42767</v>
      </c>
      <c r="V726" s="224">
        <f>IF('WetLitterbags placem_collection'!G67="","",'WetLitterbags placem_collection'!G67)</f>
        <v>42818</v>
      </c>
      <c r="W726" s="225">
        <f t="shared" si="55"/>
        <v>51</v>
      </c>
      <c r="X726" s="223">
        <f t="shared" si="58"/>
        <v>0.53880000000000017</v>
      </c>
      <c r="Y726" s="223">
        <f t="shared" si="59"/>
        <v>0.48581836230808118</v>
      </c>
      <c r="Z726">
        <f>IFERROR(INDEX([1]Rainfall_Wet!$O$2:$O$217,MATCH(C726, [1]Rainfall_Wet!$A$2:$A$217,0)),"")</f>
        <v>185.630065823</v>
      </c>
      <c r="AA726" s="226">
        <v>47.96</v>
      </c>
      <c r="AB726" s="226">
        <v>22.919999999999995</v>
      </c>
      <c r="AC726" s="226">
        <v>29.120000000000012</v>
      </c>
      <c r="AD726" s="227" t="s">
        <v>2654</v>
      </c>
      <c r="AE726" s="226">
        <v>2.8831936914736325</v>
      </c>
      <c r="AF726">
        <f>IF('WetLitterbags placem_collection'!AB67="","",'WetLitterbags placem_collection'!AB67)</f>
        <v>13.8</v>
      </c>
      <c r="AG726">
        <f>IF('WetLitterbags placem_collection'!Z67="","",'WetLitterbags placem_collection'!Z67)</f>
        <v>13.8</v>
      </c>
      <c r="AH726" s="236" t="str">
        <f>IF('WetLitterbags placem_collection'!AA67="","",'WetLitterbags placem_collection'!AA67)</f>
        <v>O</v>
      </c>
      <c r="AI726">
        <f>IF('WetLitterbags placem_collection'!AC67="","",'WetLitterbags placem_collection'!AC67)</f>
        <v>1</v>
      </c>
      <c r="AJ726">
        <f>AVERAGE('WetLitterbags placem_collection'!S67,'WetLitterbags placem_collection'!U67)</f>
        <v>32.299999999999997</v>
      </c>
      <c r="AK726">
        <f>AVERAGE('WetLitterbags placem_collection'!R67,'WetLitterbags placem_collection'!T67)</f>
        <v>22.75</v>
      </c>
      <c r="AL726">
        <f>INDEX([2]Coordinates!$B$2:$B$197,MATCH(I726,[2]Coordinates!$J$2:$J$197,0))</f>
        <v>-3.2993960379999998</v>
      </c>
      <c r="AM726">
        <f>INDEX([2]Coordinates!$C$2:$C$197,MATCH(I726,[2]Coordinates!$J$2:$J$197,0))</f>
        <v>34.848240959999998</v>
      </c>
      <c r="AN726" t="str">
        <f>IF(ISNUMBER(SEARCH("C", 'WetLitterbags placem_collection'!$Y67)),"YES","NO")</f>
        <v>NO</v>
      </c>
      <c r="AO726" t="str">
        <f>IF(ISNUMBER(SEARCH("H", 'WetLitterbags placem_collection'!$Y67)),"YES","NO")</f>
        <v>NO</v>
      </c>
      <c r="AP726" t="str">
        <f>IF(ISNUMBER(SEARCH("R", 'WetLitterbags placem_collection'!$Y67)),"YES","NO")</f>
        <v>YES</v>
      </c>
    </row>
    <row r="727" spans="1:42" ht="15" customHeight="1">
      <c r="A727" t="s">
        <v>3248</v>
      </c>
      <c r="B727" s="248" t="s">
        <v>2454</v>
      </c>
      <c r="C727" s="253">
        <f>'Dry_Litterbag Placem_Collection'!A68</f>
        <v>66</v>
      </c>
      <c r="D727" s="253" t="str">
        <f>'Dry_Litterbag Placem_Collection'!B68</f>
        <v>Maswa</v>
      </c>
      <c r="E727" s="253" t="s">
        <v>2643</v>
      </c>
      <c r="F727" s="253" t="s">
        <v>2645</v>
      </c>
      <c r="G727" s="253">
        <v>1</v>
      </c>
      <c r="H727" s="253" t="s">
        <v>3111</v>
      </c>
      <c r="I727" s="254" t="str">
        <f>'Dry_Litterbag Placem_Collection'!C68</f>
        <v>Dry_W1_T2</v>
      </c>
      <c r="J727" s="263" t="s">
        <v>2932</v>
      </c>
      <c r="K727" s="264" t="s">
        <v>298</v>
      </c>
      <c r="L727" s="221" t="str">
        <f>'WetLitterbags placem_collection'!Q68</f>
        <v>R252</v>
      </c>
      <c r="M727" s="223">
        <f>IFERROR(INDEX('Green_rooibos initial weight'!$C$5:$C$2000,MATCH(L727, 'Green_rooibos initial weight'!$A$5:$A$2000,0)),"")</f>
        <v>2.2069999999999999</v>
      </c>
      <c r="N727" s="223">
        <f>IFERROR(M727-(TBIcalc!$H$9+TBIcalc!$H$10),"")</f>
        <v>1.9571999999999998</v>
      </c>
      <c r="O727" s="378">
        <f>AVERAGE(Ashed_controlls!$K$2:$K$11)</f>
        <v>5.5147656768714146</v>
      </c>
      <c r="P727" s="223">
        <f t="shared" si="56"/>
        <v>1.8492650061722724</v>
      </c>
      <c r="Q727" s="223">
        <f>IFERROR(INDEX('Both teabags AfterWet'!$C$3:$C$840,MATCH(L727,'Both teabags AfterWet'!$A$3:$A$840,0)),"")</f>
        <v>1.6584000000000001</v>
      </c>
      <c r="R727" s="223">
        <f>IFERROR(IF(Q727&gt;0,Q727-(TBIcalc!$H$9),""),"")</f>
        <v>1.5078</v>
      </c>
      <c r="S727" s="223">
        <f>IFERROR(INDEX('Ashed teabags wet'!$K$2:$K$2000,MATCH(L727,'Ashed teabags wet'!$A$2:$A$2000,0)),"")</f>
        <v>8.0431584109849048</v>
      </c>
      <c r="T727" s="223">
        <f t="shared" si="57"/>
        <v>1.3865252574791695</v>
      </c>
      <c r="U727" s="224">
        <f>'WetLitterbags placem_collection'!E68</f>
        <v>42767</v>
      </c>
      <c r="V727" s="224">
        <f>IF('WetLitterbags placem_collection'!G68="","",'WetLitterbags placem_collection'!G68)</f>
        <v>42818</v>
      </c>
      <c r="W727" s="225">
        <f t="shared" si="55"/>
        <v>51</v>
      </c>
      <c r="X727" s="223">
        <f t="shared" si="58"/>
        <v>0.4493999999999998</v>
      </c>
      <c r="Y727" s="223">
        <f t="shared" si="59"/>
        <v>0.46273974869310286</v>
      </c>
      <c r="Z727">
        <f>IFERROR(INDEX([1]Rainfall_Wet!$O$2:$O$217,MATCH(C727, [1]Rainfall_Wet!$A$2:$A$217,0)),"")</f>
        <v>185.630065823</v>
      </c>
      <c r="AA727" s="226">
        <v>47.96</v>
      </c>
      <c r="AB727" s="226">
        <v>22.919999999999995</v>
      </c>
      <c r="AC727" s="226">
        <v>29.120000000000012</v>
      </c>
      <c r="AD727" s="227" t="s">
        <v>2654</v>
      </c>
      <c r="AE727" s="226">
        <v>3.8831936914736298</v>
      </c>
      <c r="AF727">
        <f>IF('WetLitterbags placem_collection'!AB68="","",'WetLitterbags placem_collection'!AB68)</f>
        <v>8</v>
      </c>
      <c r="AG727">
        <f>IF('WetLitterbags placem_collection'!Z68="","",'WetLitterbags placem_collection'!Z68)</f>
        <v>19.8</v>
      </c>
      <c r="AH727" s="236" t="str">
        <f>IF('WetLitterbags placem_collection'!AA68="","",'WetLitterbags placem_collection'!AA68)</f>
        <v>O</v>
      </c>
      <c r="AI727">
        <f>IF('WetLitterbags placem_collection'!AC68="","",'WetLitterbags placem_collection'!AC68)</f>
        <v>1</v>
      </c>
      <c r="AJ727">
        <f>AVERAGE('WetLitterbags placem_collection'!S68,'WetLitterbags placem_collection'!U68)</f>
        <v>30.6</v>
      </c>
      <c r="AK727">
        <f>AVERAGE('WetLitterbags placem_collection'!R68,'WetLitterbags placem_collection'!T68)</f>
        <v>21.95</v>
      </c>
      <c r="AL727">
        <f>INDEX([2]Coordinates!$B$2:$B$197,MATCH(I727,[2]Coordinates!$J$2:$J$197,0))</f>
        <v>-3.2993090340000002</v>
      </c>
      <c r="AM727">
        <f>INDEX([2]Coordinates!$C$2:$C$197,MATCH(I727,[2]Coordinates!$J$2:$J$197,0))</f>
        <v>34.848404989999999</v>
      </c>
      <c r="AN727" t="str">
        <f>IF(ISNUMBER(SEARCH("C", 'WetLitterbags placem_collection'!$Y68)),"YES","NO")</f>
        <v>NO</v>
      </c>
      <c r="AO727" t="str">
        <f>IF(ISNUMBER(SEARCH("H", 'WetLitterbags placem_collection'!$Y68)),"YES","NO")</f>
        <v>NO</v>
      </c>
      <c r="AP727" t="str">
        <f>IF(ISNUMBER(SEARCH("R", 'WetLitterbags placem_collection'!$Y68)),"YES","NO")</f>
        <v>NO</v>
      </c>
    </row>
    <row r="728" spans="1:42" ht="15" customHeight="1">
      <c r="A728" t="s">
        <v>3248</v>
      </c>
      <c r="B728" s="248" t="s">
        <v>2454</v>
      </c>
      <c r="C728" s="253">
        <f>'Dry_Litterbag Placem_Collection'!A69</f>
        <v>67</v>
      </c>
      <c r="D728" s="253" t="str">
        <f>'Dry_Litterbag Placem_Collection'!B69</f>
        <v>Maswa</v>
      </c>
      <c r="E728" s="253" t="s">
        <v>2643</v>
      </c>
      <c r="F728" s="253" t="s">
        <v>2645</v>
      </c>
      <c r="G728" s="253">
        <v>1</v>
      </c>
      <c r="H728" s="253" t="s">
        <v>3111</v>
      </c>
      <c r="I728" s="254" t="str">
        <f>'Dry_Litterbag Placem_Collection'!C69</f>
        <v>Dry_W1_T3</v>
      </c>
      <c r="J728" s="263" t="s">
        <v>2932</v>
      </c>
      <c r="K728" s="264" t="s">
        <v>298</v>
      </c>
      <c r="L728" s="221" t="str">
        <f>'WetLitterbags placem_collection'!Q69</f>
        <v>R44</v>
      </c>
      <c r="M728" s="223">
        <f>IFERROR(INDEX('Green_rooibos initial weight'!$C$5:$C$2000,MATCH(L728, 'Green_rooibos initial weight'!$A$5:$A$2000,0)),"")</f>
        <v>2.2480000000000002</v>
      </c>
      <c r="N728" s="223">
        <f>IFERROR(M728-(TBIcalc!$H$9+TBIcalc!$H$10),"")</f>
        <v>1.9982000000000002</v>
      </c>
      <c r="O728" s="378">
        <f>AVERAGE(Ashed_controlls!$K$2:$K$11)</f>
        <v>5.5147656768714146</v>
      </c>
      <c r="P728" s="223">
        <f t="shared" si="56"/>
        <v>1.8880039522447556</v>
      </c>
      <c r="Q728" s="223">
        <f>IFERROR(INDEX('Both teabags AfterWet'!$C$3:$C$840,MATCH(L728,'Both teabags AfterWet'!$A$3:$A$840,0)),"")</f>
        <v>1.5427999999999999</v>
      </c>
      <c r="R728" s="223">
        <f>IFERROR(IF(Q728&gt;0,Q728-(TBIcalc!$H$9),""),"")</f>
        <v>1.3921999999999999</v>
      </c>
      <c r="S728" s="223">
        <f>IFERROR(INDEX('Ashed teabags wet'!$K$2:$K$2000,MATCH(L728,'Ashed teabags wet'!$A$2:$A$2000,0)),"")</f>
        <v>3.2098765432091394</v>
      </c>
      <c r="T728" s="223">
        <f t="shared" si="57"/>
        <v>1.3475120987654423</v>
      </c>
      <c r="U728" s="224">
        <f>'WetLitterbags placem_collection'!E69</f>
        <v>42767</v>
      </c>
      <c r="V728" s="224">
        <f>IF('WetLitterbags placem_collection'!G69="","",'WetLitterbags placem_collection'!G69)</f>
        <v>42818</v>
      </c>
      <c r="W728" s="225">
        <f t="shared" si="55"/>
        <v>51</v>
      </c>
      <c r="X728" s="223">
        <f t="shared" si="58"/>
        <v>0.60600000000000032</v>
      </c>
      <c r="Y728" s="223">
        <f t="shared" si="59"/>
        <v>0.54049185347931328</v>
      </c>
      <c r="Z728">
        <f>IFERROR(INDEX([1]Rainfall_Wet!$O$2:$O$217,MATCH(C728, [1]Rainfall_Wet!$A$2:$A$217,0)),"")</f>
        <v>185.630065823</v>
      </c>
      <c r="AA728" s="226">
        <v>47.96</v>
      </c>
      <c r="AB728" s="226">
        <v>22.919999999999995</v>
      </c>
      <c r="AC728" s="226">
        <v>29.120000000000012</v>
      </c>
      <c r="AD728" s="227" t="s">
        <v>2654</v>
      </c>
      <c r="AE728" s="226">
        <v>4.8831936914736298</v>
      </c>
      <c r="AF728">
        <f>IF('WetLitterbags placem_collection'!AB69="","",'WetLitterbags placem_collection'!AB69)</f>
        <v>5.5</v>
      </c>
      <c r="AG728">
        <f>IF('WetLitterbags placem_collection'!Z69="","",'WetLitterbags placem_collection'!Z69)</f>
        <v>5.5</v>
      </c>
      <c r="AH728" s="236" t="str">
        <f>IF('WetLitterbags placem_collection'!AA69="","",'WetLitterbags placem_collection'!AA69)</f>
        <v>O</v>
      </c>
      <c r="AI728">
        <f>IF('WetLitterbags placem_collection'!AC69="","",'WetLitterbags placem_collection'!AC69)</f>
        <v>1</v>
      </c>
      <c r="AJ728">
        <f>AVERAGE('WetLitterbags placem_collection'!S69,'WetLitterbags placem_collection'!U69)</f>
        <v>29.9</v>
      </c>
      <c r="AK728">
        <f>AVERAGE('WetLitterbags placem_collection'!R69,'WetLitterbags placem_collection'!T69)</f>
        <v>20.7</v>
      </c>
      <c r="AL728">
        <f>INDEX([2]Coordinates!$B$2:$B$197,MATCH(I728,[2]Coordinates!$J$2:$J$197,0))</f>
        <v>-3.299434008</v>
      </c>
      <c r="AM728">
        <f>INDEX([2]Coordinates!$C$2:$C$197,MATCH(I728,[2]Coordinates!$J$2:$J$197,0))</f>
        <v>34.848514960000003</v>
      </c>
      <c r="AN728" t="str">
        <f>IF(ISNUMBER(SEARCH("C", 'WetLitterbags placem_collection'!$Y69)),"YES","NO")</f>
        <v>NO</v>
      </c>
      <c r="AO728" t="str">
        <f>IF(ISNUMBER(SEARCH("H", 'WetLitterbags placem_collection'!$Y69)),"YES","NO")</f>
        <v>NO</v>
      </c>
      <c r="AP728" t="str">
        <f>IF(ISNUMBER(SEARCH("R", 'WetLitterbags placem_collection'!$Y69)),"YES","NO")</f>
        <v>NO</v>
      </c>
    </row>
    <row r="729" spans="1:42" ht="15" customHeight="1">
      <c r="A729" t="s">
        <v>3248</v>
      </c>
      <c r="B729" s="248" t="s">
        <v>2454</v>
      </c>
      <c r="C729" s="253">
        <f>'Dry_Litterbag Placem_Collection'!A70</f>
        <v>68</v>
      </c>
      <c r="D729" s="253" t="str">
        <f>'Dry_Litterbag Placem_Collection'!B70</f>
        <v>Maswa</v>
      </c>
      <c r="E729" s="253" t="s">
        <v>2643</v>
      </c>
      <c r="F729" s="253" t="s">
        <v>2645</v>
      </c>
      <c r="G729" s="253">
        <v>1</v>
      </c>
      <c r="H729" s="253" t="s">
        <v>3111</v>
      </c>
      <c r="I729" s="254" t="str">
        <f>'Dry_Litterbag Placem_Collection'!C70</f>
        <v>Dry_W1_T4</v>
      </c>
      <c r="J729" s="263" t="s">
        <v>2932</v>
      </c>
      <c r="K729" s="264" t="s">
        <v>298</v>
      </c>
      <c r="L729" s="221" t="str">
        <f>'WetLitterbags placem_collection'!Q70</f>
        <v>R9</v>
      </c>
      <c r="M729" s="223">
        <f>IFERROR(INDEX('Green_rooibos initial weight'!$C$5:$C$2000,MATCH(L729, 'Green_rooibos initial weight'!$A$5:$A$2000,0)),"")</f>
        <v>2.2679999999999998</v>
      </c>
      <c r="N729" s="223">
        <f>IFERROR(M729-(TBIcalc!$H$9+TBIcalc!$H$10),"")</f>
        <v>2.0181999999999998</v>
      </c>
      <c r="O729" s="378">
        <f>AVERAGE(Ashed_controlls!$K$2:$K$11)</f>
        <v>5.5147656768714146</v>
      </c>
      <c r="P729" s="223">
        <f t="shared" si="56"/>
        <v>1.9069009991093808</v>
      </c>
      <c r="Q729" s="223">
        <f>IFERROR(INDEX('Both teabags AfterWet'!$C$3:$C$840,MATCH(L729,'Both teabags AfterWet'!$A$3:$A$840,0)),"")</f>
        <v>1.7050000000000001</v>
      </c>
      <c r="R729" s="223">
        <f>IFERROR(IF(Q729&gt;0,Q729-(TBIcalc!$H$9),""),"")</f>
        <v>1.5544</v>
      </c>
      <c r="S729" s="223">
        <f>IFERROR(INDEX('Ashed teabags wet'!$K$2:$K$2000,MATCH(L729,'Ashed teabags wet'!$A$2:$A$2000,0)),"")</f>
        <v>6.1938061938065374</v>
      </c>
      <c r="T729" s="223">
        <f t="shared" si="57"/>
        <v>1.4581234765234712</v>
      </c>
      <c r="U729" s="224">
        <f>'WetLitterbags placem_collection'!E70</f>
        <v>42767</v>
      </c>
      <c r="V729" s="224">
        <f>IF('WetLitterbags placem_collection'!G70="","",'WetLitterbags placem_collection'!G70)</f>
        <v>42818</v>
      </c>
      <c r="W729" s="225">
        <f t="shared" si="55"/>
        <v>51</v>
      </c>
      <c r="X729" s="223">
        <f t="shared" si="58"/>
        <v>0.46379999999999977</v>
      </c>
      <c r="Y729" s="223">
        <f t="shared" si="59"/>
        <v>0.44877752258590964</v>
      </c>
      <c r="Z729">
        <f>IFERROR(INDEX([1]Rainfall_Wet!$O$2:$O$217,MATCH(C729, [1]Rainfall_Wet!$A$2:$A$217,0)),"")</f>
        <v>185.630065823</v>
      </c>
      <c r="AA729" s="226">
        <v>47.96</v>
      </c>
      <c r="AB729" s="226">
        <v>22.919999999999995</v>
      </c>
      <c r="AC729" s="226">
        <v>29.120000000000012</v>
      </c>
      <c r="AD729" s="227" t="s">
        <v>2654</v>
      </c>
      <c r="AE729" s="226">
        <v>5.8831936914736298</v>
      </c>
      <c r="AF729">
        <f>IF('WetLitterbags placem_collection'!AB70="","",'WetLitterbags placem_collection'!AB70)</f>
        <v>9.6999999999999993</v>
      </c>
      <c r="AG729">
        <f>IF('WetLitterbags placem_collection'!Z70="","",'WetLitterbags placem_collection'!Z70)</f>
        <v>23.4</v>
      </c>
      <c r="AH729" s="236" t="str">
        <f>IF('WetLitterbags placem_collection'!AA70="","",'WetLitterbags placem_collection'!AA70)</f>
        <v>O</v>
      </c>
      <c r="AI729">
        <f>IF('WetLitterbags placem_collection'!AC70="","",'WetLitterbags placem_collection'!AC70)</f>
        <v>1</v>
      </c>
      <c r="AJ729">
        <f>AVERAGE('WetLitterbags placem_collection'!S70,'WetLitterbags placem_collection'!U70)</f>
        <v>29.85</v>
      </c>
      <c r="AK729">
        <f>AVERAGE('WetLitterbags placem_collection'!R70,'WetLitterbags placem_collection'!T70)</f>
        <v>21.2</v>
      </c>
      <c r="AL729">
        <f>INDEX([2]Coordinates!$B$2:$B$197,MATCH(I729,[2]Coordinates!$J$2:$J$197,0))</f>
        <v>-3.2991180099999999</v>
      </c>
      <c r="AM729">
        <f>INDEX([2]Coordinates!$C$2:$C$197,MATCH(I729,[2]Coordinates!$J$2:$J$197,0))</f>
        <v>34.84824699</v>
      </c>
      <c r="AN729" t="str">
        <f>IF(ISNUMBER(SEARCH("C", 'WetLitterbags placem_collection'!$Y70)),"YES","NO")</f>
        <v>NO</v>
      </c>
      <c r="AO729" t="str">
        <f>IF(ISNUMBER(SEARCH("H", 'WetLitterbags placem_collection'!$Y70)),"YES","NO")</f>
        <v>NO</v>
      </c>
      <c r="AP729" t="str">
        <f>IF(ISNUMBER(SEARCH("R", 'WetLitterbags placem_collection'!$Y70)),"YES","NO")</f>
        <v>NO</v>
      </c>
    </row>
    <row r="730" spans="1:42" ht="15" customHeight="1">
      <c r="A730" t="s">
        <v>3248</v>
      </c>
      <c r="B730" s="248" t="s">
        <v>2454</v>
      </c>
      <c r="C730" s="253">
        <f>'Dry_Litterbag Placem_Collection'!A71</f>
        <v>69</v>
      </c>
      <c r="D730" s="253" t="str">
        <f>'Dry_Litterbag Placem_Collection'!B71</f>
        <v>Maswa</v>
      </c>
      <c r="E730" s="253" t="s">
        <v>2643</v>
      </c>
      <c r="F730" s="253" t="s">
        <v>2645</v>
      </c>
      <c r="G730" s="253">
        <v>1</v>
      </c>
      <c r="H730" s="253" t="s">
        <v>3111</v>
      </c>
      <c r="I730" s="254" t="str">
        <f>'Dry_Litterbag Placem_Collection'!C71</f>
        <v>Dry_W1_T5</v>
      </c>
      <c r="J730" s="263" t="s">
        <v>2932</v>
      </c>
      <c r="K730" s="264" t="s">
        <v>298</v>
      </c>
      <c r="L730" s="221" t="str">
        <f>'WetLitterbags placem_collection'!Q71</f>
        <v>R251</v>
      </c>
      <c r="M730" s="223">
        <f>IFERROR(INDEX('Green_rooibos initial weight'!$C$5:$C$2000,MATCH(L730, 'Green_rooibos initial weight'!$A$5:$A$2000,0)),"")</f>
        <v>2.266</v>
      </c>
      <c r="N730" s="223">
        <f>IFERROR(M730-(TBIcalc!$H$9+TBIcalc!$H$10),"")</f>
        <v>2.0162</v>
      </c>
      <c r="O730" s="378">
        <f>AVERAGE(Ashed_controlls!$K$2:$K$11)</f>
        <v>5.5147656768714146</v>
      </c>
      <c r="P730" s="223">
        <f t="shared" si="56"/>
        <v>1.9050112944229185</v>
      </c>
      <c r="Q730" s="223">
        <f>IFERROR(INDEX('Both teabags AfterWet'!$C$3:$C$840,MATCH(L730,'Both teabags AfterWet'!$A$3:$A$840,0)),"")</f>
        <v>1.8979999999999999</v>
      </c>
      <c r="R730" s="223">
        <f>IFERROR(IF(Q730&gt;0,Q730-(TBIcalc!$H$9),""),"")</f>
        <v>1.7473999999999998</v>
      </c>
      <c r="S730" s="223">
        <f>IFERROR(INDEX('Ashed teabags wet'!$K$2:$K$2000,MATCH(L730,'Ashed teabags wet'!$A$2:$A$2000,0)),"")</f>
        <v>14.026483570377628</v>
      </c>
      <c r="T730" s="223">
        <f t="shared" si="57"/>
        <v>1.5023012260912212</v>
      </c>
      <c r="U730" s="224">
        <f>'WetLitterbags placem_collection'!E71</f>
        <v>42767</v>
      </c>
      <c r="V730" s="224">
        <f>IF('WetLitterbags placem_collection'!G71="","",'WetLitterbags placem_collection'!G71)</f>
        <v>42818</v>
      </c>
      <c r="W730" s="225">
        <f t="shared" si="55"/>
        <v>51</v>
      </c>
      <c r="X730" s="223">
        <f t="shared" si="58"/>
        <v>0.26880000000000015</v>
      </c>
      <c r="Y730" s="223">
        <f t="shared" si="59"/>
        <v>0.40271006833169731</v>
      </c>
      <c r="Z730">
        <f>IFERROR(INDEX([1]Rainfall_Wet!$O$2:$O$217,MATCH(C730, [1]Rainfall_Wet!$A$2:$A$217,0)),"")</f>
        <v>185.630065823</v>
      </c>
      <c r="AA730" s="226">
        <v>47.96</v>
      </c>
      <c r="AB730" s="226">
        <v>22.919999999999995</v>
      </c>
      <c r="AC730" s="226">
        <v>29.120000000000012</v>
      </c>
      <c r="AD730" s="227" t="s">
        <v>2654</v>
      </c>
      <c r="AE730" s="226">
        <v>6.8831936914736298</v>
      </c>
      <c r="AF730">
        <f>IF('WetLitterbags placem_collection'!AB71="","",'WetLitterbags placem_collection'!AB71)</f>
        <v>14.4</v>
      </c>
      <c r="AG730">
        <f>IF('WetLitterbags placem_collection'!Z71="","",'WetLitterbags placem_collection'!Z71)</f>
        <v>24.4</v>
      </c>
      <c r="AH730" s="236" t="str">
        <f>IF('WetLitterbags placem_collection'!AA71="","",'WetLitterbags placem_collection'!AA71)</f>
        <v>O</v>
      </c>
      <c r="AI730">
        <f>IF('WetLitterbags placem_collection'!AC71="","",'WetLitterbags placem_collection'!AC71)</f>
        <v>1</v>
      </c>
      <c r="AJ730">
        <f>AVERAGE('WetLitterbags placem_collection'!S71,'WetLitterbags placem_collection'!U71)</f>
        <v>31.25</v>
      </c>
      <c r="AK730">
        <f>AVERAGE('WetLitterbags placem_collection'!R71,'WetLitterbags placem_collection'!T71)</f>
        <v>23.450000000000003</v>
      </c>
      <c r="AL730">
        <f>INDEX([2]Coordinates!$B$2:$B$197,MATCH(I730,[2]Coordinates!$J$2:$J$197,0))</f>
        <v>-3.2993180030000002</v>
      </c>
      <c r="AM730">
        <f>INDEX([2]Coordinates!$C$2:$C$197,MATCH(I730,[2]Coordinates!$J$2:$J$197,0))</f>
        <v>34.848235010000003</v>
      </c>
      <c r="AN730" t="str">
        <f>IF(ISNUMBER(SEARCH("C", 'WetLitterbags placem_collection'!$Y71)),"YES","NO")</f>
        <v>NO</v>
      </c>
      <c r="AO730" t="str">
        <f>IF(ISNUMBER(SEARCH("H", 'WetLitterbags placem_collection'!$Y71)),"YES","NO")</f>
        <v>NO</v>
      </c>
      <c r="AP730" t="str">
        <f>IF(ISNUMBER(SEARCH("R", 'WetLitterbags placem_collection'!$Y71)),"YES","NO")</f>
        <v>YES</v>
      </c>
    </row>
    <row r="731" spans="1:42" ht="15" customHeight="1">
      <c r="A731" t="s">
        <v>3248</v>
      </c>
      <c r="B731" s="248" t="s">
        <v>2454</v>
      </c>
      <c r="C731" s="253">
        <f>'Dry_Litterbag Placem_Collection'!A72</f>
        <v>70</v>
      </c>
      <c r="D731" s="253" t="str">
        <f>'Dry_Litterbag Placem_Collection'!B72</f>
        <v>Maswa</v>
      </c>
      <c r="E731" s="253" t="s">
        <v>2643</v>
      </c>
      <c r="F731" s="253" t="s">
        <v>2645</v>
      </c>
      <c r="G731" s="253">
        <v>1</v>
      </c>
      <c r="H731" s="253" t="s">
        <v>3111</v>
      </c>
      <c r="I731" s="254" t="str">
        <f>'Dry_Litterbag Placem_Collection'!C72</f>
        <v>Dry_W1_T6</v>
      </c>
      <c r="J731" s="263" t="s">
        <v>2932</v>
      </c>
      <c r="K731" s="264" t="s">
        <v>298</v>
      </c>
      <c r="L731" s="221" t="str">
        <f>'WetLitterbags placem_collection'!Q72</f>
        <v>R266</v>
      </c>
      <c r="M731" s="223">
        <f>IFERROR(INDEX('Green_rooibos initial weight'!$C$5:$C$2000,MATCH(L731, 'Green_rooibos initial weight'!$A$5:$A$2000,0)),"")</f>
        <v>2.1720000000000002</v>
      </c>
      <c r="N731" s="223">
        <f>IFERROR(M731-(TBIcalc!$H$9+TBIcalc!$H$10),"")</f>
        <v>1.9222000000000001</v>
      </c>
      <c r="O731" s="378">
        <f>AVERAGE(Ashed_controlls!$K$2:$K$11)</f>
        <v>5.5147656768714146</v>
      </c>
      <c r="P731" s="223">
        <f t="shared" si="56"/>
        <v>1.8161951741591777</v>
      </c>
      <c r="Q731" s="223">
        <f>IFERROR(INDEX('Both teabags AfterWet'!$C$3:$C$840,MATCH(L731,'Both teabags AfterWet'!$A$3:$A$840,0)),"")</f>
        <v>1.599</v>
      </c>
      <c r="R731" s="223">
        <f>IFERROR(IF(Q731&gt;0,Q731-(TBIcalc!$H$9),""),"")</f>
        <v>1.4483999999999999</v>
      </c>
      <c r="S731" s="223">
        <f>IFERROR(INDEX('Ashed teabags wet'!$K$2:$K$2000,MATCH(L731,'Ashed teabags wet'!$A$2:$A$2000,0)),"")</f>
        <v>2.9397110114603966</v>
      </c>
      <c r="T731" s="223">
        <f t="shared" si="57"/>
        <v>1.4058212257100076</v>
      </c>
      <c r="U731" s="224">
        <f>'WetLitterbags placem_collection'!E72</f>
        <v>42767</v>
      </c>
      <c r="V731" s="224">
        <f>IF('WetLitterbags placem_collection'!G72="","",'WetLitterbags placem_collection'!G72)</f>
        <v>42818</v>
      </c>
      <c r="W731" s="225">
        <f t="shared" si="55"/>
        <v>51</v>
      </c>
      <c r="X731" s="223">
        <f t="shared" si="58"/>
        <v>0.47380000000000022</v>
      </c>
      <c r="Y731" s="223">
        <f t="shared" si="59"/>
        <v>0.41037394844917019</v>
      </c>
      <c r="Z731">
        <f>IFERROR(INDEX([1]Rainfall_Wet!$O$2:$O$217,MATCH(C731, [1]Rainfall_Wet!$A$2:$A$217,0)),"")</f>
        <v>185.630065823</v>
      </c>
      <c r="AA731" s="226">
        <v>47.96</v>
      </c>
      <c r="AB731" s="226">
        <v>22.919999999999995</v>
      </c>
      <c r="AC731" s="226">
        <v>29.120000000000012</v>
      </c>
      <c r="AD731" s="227" t="s">
        <v>2654</v>
      </c>
      <c r="AE731" s="226">
        <v>7.8831936914736298</v>
      </c>
      <c r="AF731">
        <f>IF('WetLitterbags placem_collection'!AB72="","",'WetLitterbags placem_collection'!AB72)</f>
        <v>15</v>
      </c>
      <c r="AG731">
        <f>IF('WetLitterbags placem_collection'!Z72="","",'WetLitterbags placem_collection'!Z72)</f>
        <v>28</v>
      </c>
      <c r="AH731" s="236" t="str">
        <f>IF('WetLitterbags placem_collection'!AA72="","",'WetLitterbags placem_collection'!AA72)</f>
        <v>O</v>
      </c>
      <c r="AI731">
        <f>IF('WetLitterbags placem_collection'!AC72="","",'WetLitterbags placem_collection'!AC72)</f>
        <v>0</v>
      </c>
      <c r="AJ731">
        <f>AVERAGE('WetLitterbags placem_collection'!S72,'WetLitterbags placem_collection'!U72)</f>
        <v>32.15</v>
      </c>
      <c r="AK731">
        <f>AVERAGE('WetLitterbags placem_collection'!R72,'WetLitterbags placem_collection'!T72)</f>
        <v>23.7</v>
      </c>
      <c r="AL731">
        <f>INDEX([2]Coordinates!$B$2:$B$197,MATCH(I731,[2]Coordinates!$J$2:$J$197,0))</f>
        <v>-3.299381034</v>
      </c>
      <c r="AM731">
        <f>INDEX([2]Coordinates!$C$2:$C$197,MATCH(I731,[2]Coordinates!$J$2:$J$197,0))</f>
        <v>34.848312040000003</v>
      </c>
      <c r="AN731" t="str">
        <f>IF(ISNUMBER(SEARCH("C", 'WetLitterbags placem_collection'!$Y72)),"YES","NO")</f>
        <v>NO</v>
      </c>
      <c r="AO731" t="str">
        <f>IF(ISNUMBER(SEARCH("H", 'WetLitterbags placem_collection'!$Y72)),"YES","NO")</f>
        <v>NO</v>
      </c>
      <c r="AP731" t="str">
        <f>IF(ISNUMBER(SEARCH("R", 'WetLitterbags placem_collection'!$Y72)),"YES","NO")</f>
        <v>YES</v>
      </c>
    </row>
    <row r="732" spans="1:42" ht="15" customHeight="1">
      <c r="A732" t="s">
        <v>3248</v>
      </c>
      <c r="B732" s="248" t="s">
        <v>2454</v>
      </c>
      <c r="C732" s="253">
        <f>'Dry_Litterbag Placem_Collection'!A73</f>
        <v>71</v>
      </c>
      <c r="D732" s="253" t="str">
        <f>'Dry_Litterbag Placem_Collection'!B73</f>
        <v>Maswa</v>
      </c>
      <c r="E732" s="253" t="s">
        <v>2643</v>
      </c>
      <c r="F732" s="253" t="s">
        <v>2645</v>
      </c>
      <c r="G732" s="253">
        <v>1</v>
      </c>
      <c r="H732" s="253" t="s">
        <v>3111</v>
      </c>
      <c r="I732" s="254" t="str">
        <f>'Dry_Litterbag Placem_Collection'!C73</f>
        <v>Dry_W1_T7</v>
      </c>
      <c r="J732" s="263" t="s">
        <v>2932</v>
      </c>
      <c r="K732" s="264" t="s">
        <v>298</v>
      </c>
      <c r="L732" s="221" t="str">
        <f>'WetLitterbags placem_collection'!Q73</f>
        <v>R528</v>
      </c>
      <c r="M732" s="223">
        <f>IFERROR(INDEX('Green_rooibos initial weight'!$C$5:$C$2000,MATCH(L732, 'Green_rooibos initial weight'!$A$5:$A$2000,0)),"")</f>
        <v>2.1019999999999999</v>
      </c>
      <c r="N732" s="223">
        <f>IFERROR(M732-(TBIcalc!$H$9+TBIcalc!$H$10),"")</f>
        <v>1.8521999999999998</v>
      </c>
      <c r="O732" s="378">
        <f>AVERAGE(Ashed_controlls!$K$2:$K$11)</f>
        <v>5.5147656768714146</v>
      </c>
      <c r="P732" s="223">
        <f t="shared" si="56"/>
        <v>1.7500555101329875</v>
      </c>
      <c r="Q732" s="223">
        <f>IFERROR(INDEX('Both teabags AfterWet'!$C$3:$C$840,MATCH(L732,'Both teabags AfterWet'!$A$3:$A$840,0)),"")</f>
        <v>1.5779000000000001</v>
      </c>
      <c r="R732" s="223">
        <f>IFERROR(IF(Q732&gt;0,Q732-(TBIcalc!$H$9),""),"")</f>
        <v>1.4273</v>
      </c>
      <c r="S732" s="223">
        <f>IFERROR(INDEX('Ashed teabags wet'!$K$2:$K$2000,MATCH(L732,'Ashed teabags wet'!$A$2:$A$2000,0)),"")</f>
        <v>2.689243027888772</v>
      </c>
      <c r="T732" s="223">
        <f t="shared" si="57"/>
        <v>1.3889164342629436</v>
      </c>
      <c r="U732" s="224">
        <f>'WetLitterbags placem_collection'!E73</f>
        <v>42767</v>
      </c>
      <c r="V732" s="224">
        <f>IF('WetLitterbags placem_collection'!G73="","",'WetLitterbags placem_collection'!G73)</f>
        <v>42818</v>
      </c>
      <c r="W732" s="225">
        <f t="shared" si="55"/>
        <v>51</v>
      </c>
      <c r="X732" s="223">
        <f t="shared" si="58"/>
        <v>0.42489999999999983</v>
      </c>
      <c r="Y732" s="223">
        <f t="shared" si="59"/>
        <v>0.3611390758700439</v>
      </c>
      <c r="Z732">
        <f>IFERROR(INDEX([1]Rainfall_Wet!$O$2:$O$217,MATCH(C732, [1]Rainfall_Wet!$A$2:$A$217,0)),"")</f>
        <v>185.630065823</v>
      </c>
      <c r="AA732" s="226">
        <v>47.96</v>
      </c>
      <c r="AB732" s="226">
        <v>22.919999999999995</v>
      </c>
      <c r="AC732" s="226">
        <v>29.120000000000012</v>
      </c>
      <c r="AD732" s="227" t="s">
        <v>2654</v>
      </c>
      <c r="AE732" s="226">
        <v>8.8831936914736307</v>
      </c>
      <c r="AF732">
        <f>IF('WetLitterbags placem_collection'!AB73="","",'WetLitterbags placem_collection'!AB73)</f>
        <v>15.5</v>
      </c>
      <c r="AG732">
        <f>IF('WetLitterbags placem_collection'!Z73="","",'WetLitterbags placem_collection'!Z73)</f>
        <v>32</v>
      </c>
      <c r="AH732" s="236" t="str">
        <f>IF('WetLitterbags placem_collection'!AA73="","",'WetLitterbags placem_collection'!AA73)</f>
        <v>O</v>
      </c>
      <c r="AI732">
        <f>IF('WetLitterbags placem_collection'!AC73="","",'WetLitterbags placem_collection'!AC73)</f>
        <v>1</v>
      </c>
      <c r="AJ732">
        <f>AVERAGE('WetLitterbags placem_collection'!S73,'WetLitterbags placem_collection'!U73)</f>
        <v>29.35</v>
      </c>
      <c r="AK732">
        <f>AVERAGE('WetLitterbags placem_collection'!R73,'WetLitterbags placem_collection'!T73)</f>
        <v>21.95</v>
      </c>
      <c r="AL732">
        <f>INDEX([2]Coordinates!$B$2:$B$197,MATCH(I732,[2]Coordinates!$J$2:$J$197,0))</f>
        <v>-3.2992429849999998</v>
      </c>
      <c r="AM732">
        <f>INDEX([2]Coordinates!$C$2:$C$197,MATCH(I732,[2]Coordinates!$J$2:$J$197,0))</f>
        <v>34.847900989999999</v>
      </c>
      <c r="AN732" t="str">
        <f>IF(ISNUMBER(SEARCH("C", 'WetLitterbags placem_collection'!$Y73)),"YES","NO")</f>
        <v>NO</v>
      </c>
      <c r="AO732" t="str">
        <f>IF(ISNUMBER(SEARCH("H", 'WetLitterbags placem_collection'!$Y73)),"YES","NO")</f>
        <v>NO</v>
      </c>
      <c r="AP732" t="str">
        <f>IF(ISNUMBER(SEARCH("R", 'WetLitterbags placem_collection'!$Y73)),"YES","NO")</f>
        <v>NO</v>
      </c>
    </row>
    <row r="733" spans="1:42" ht="15" customHeight="1">
      <c r="A733" t="s">
        <v>3248</v>
      </c>
      <c r="B733" s="248" t="s">
        <v>2454</v>
      </c>
      <c r="C733" s="253">
        <f>'Dry_Litterbag Placem_Collection'!A74</f>
        <v>72</v>
      </c>
      <c r="D733" s="253" t="str">
        <f>'Dry_Litterbag Placem_Collection'!B74</f>
        <v>Maswa</v>
      </c>
      <c r="E733" s="253" t="s">
        <v>2643</v>
      </c>
      <c r="F733" s="253" t="s">
        <v>2645</v>
      </c>
      <c r="G733" s="253">
        <v>1</v>
      </c>
      <c r="H733" s="253" t="s">
        <v>3111</v>
      </c>
      <c r="I733" s="254" t="str">
        <f>'Dry_Litterbag Placem_Collection'!C74</f>
        <v>Dry_W1_T8</v>
      </c>
      <c r="J733" s="263" t="s">
        <v>2932</v>
      </c>
      <c r="K733" s="264" t="s">
        <v>298</v>
      </c>
      <c r="L733" s="221" t="str">
        <f>'WetLitterbags placem_collection'!Q74</f>
        <v>R14</v>
      </c>
      <c r="M733" s="223">
        <f>IFERROR(INDEX('Green_rooibos initial weight'!$C$5:$C$2000,MATCH(L733, 'Green_rooibos initial weight'!$A$5:$A$2000,0)),"")</f>
        <v>2.181</v>
      </c>
      <c r="N733" s="223">
        <f>IFERROR(M733-(TBIcalc!$H$9+TBIcalc!$H$10),"")</f>
        <v>1.9312</v>
      </c>
      <c r="O733" s="378">
        <f>AVERAGE(Ashed_controlls!$K$2:$K$11)</f>
        <v>5.5147656768714146</v>
      </c>
      <c r="P733" s="223">
        <f t="shared" si="56"/>
        <v>1.8246988452482593</v>
      </c>
      <c r="Q733" s="223">
        <f>IFERROR(INDEX('Both teabags AfterWet'!$C$3:$C$840,MATCH(L733,'Both teabags AfterWet'!$A$3:$A$840,0)),"")</f>
        <v>1.5603</v>
      </c>
      <c r="R733" s="223">
        <f>IFERROR(IF(Q733&gt;0,Q733-(TBIcalc!$H$9),""),"")</f>
        <v>1.4097</v>
      </c>
      <c r="S733" s="223">
        <f>IFERROR(INDEX('Ashed teabags wet'!$K$2:$K$2000,MATCH(L733,'Ashed teabags wet'!$A$2:$A$2000,0)),"")</f>
        <v>3.0571992110453157</v>
      </c>
      <c r="T733" s="223">
        <f t="shared" si="57"/>
        <v>1.3666026627218941</v>
      </c>
      <c r="U733" s="224">
        <f>'WetLitterbags placem_collection'!E74</f>
        <v>42767</v>
      </c>
      <c r="V733" s="224">
        <f>IF('WetLitterbags placem_collection'!G74="","",'WetLitterbags placem_collection'!G74)</f>
        <v>42818</v>
      </c>
      <c r="W733" s="225">
        <f t="shared" si="55"/>
        <v>51</v>
      </c>
      <c r="X733" s="223">
        <f t="shared" si="58"/>
        <v>0.52150000000000007</v>
      </c>
      <c r="Y733" s="223">
        <f t="shared" si="59"/>
        <v>0.45809618252636519</v>
      </c>
      <c r="Z733">
        <f>IFERROR(INDEX([1]Rainfall_Wet!$O$2:$O$217,MATCH(C733, [1]Rainfall_Wet!$A$2:$A$217,0)),"")</f>
        <v>185.630065823</v>
      </c>
      <c r="AA733" s="226">
        <v>47.96</v>
      </c>
      <c r="AB733" s="226">
        <v>22.919999999999995</v>
      </c>
      <c r="AC733" s="226">
        <v>29.120000000000012</v>
      </c>
      <c r="AD733" s="227" t="s">
        <v>2654</v>
      </c>
      <c r="AE733" s="226">
        <v>9.8831936914736307</v>
      </c>
      <c r="AF733">
        <f>IF('WetLitterbags placem_collection'!AB74="","",'WetLitterbags placem_collection'!AB74)</f>
        <v>2.6</v>
      </c>
      <c r="AG733">
        <f>IF('WetLitterbags placem_collection'!Z74="","",'WetLitterbags placem_collection'!Z74)</f>
        <v>44</v>
      </c>
      <c r="AH733" s="236" t="str">
        <f>IF('WetLitterbags placem_collection'!AA74="","",'WetLitterbags placem_collection'!AA74)</f>
        <v>O</v>
      </c>
      <c r="AI733">
        <f>IF('WetLitterbags placem_collection'!AC74="","",'WetLitterbags placem_collection'!AC74)</f>
        <v>1</v>
      </c>
      <c r="AJ733">
        <f>AVERAGE('WetLitterbags placem_collection'!S74,'WetLitterbags placem_collection'!U74)</f>
        <v>32</v>
      </c>
      <c r="AK733">
        <f>AVERAGE('WetLitterbags placem_collection'!R74,'WetLitterbags placem_collection'!T74)</f>
        <v>21.9</v>
      </c>
      <c r="AL733">
        <f>INDEX([2]Coordinates!$B$2:$B$197,MATCH(I733,[2]Coordinates!$J$2:$J$197,0))</f>
        <v>-3.2996540329999999</v>
      </c>
      <c r="AM733">
        <f>INDEX([2]Coordinates!$C$2:$C$197,MATCH(I733,[2]Coordinates!$J$2:$J$197,0))</f>
        <v>34.848151020000003</v>
      </c>
      <c r="AN733" t="str">
        <f>IF(ISNUMBER(SEARCH("C", 'WetLitterbags placem_collection'!$Y74)),"YES","NO")</f>
        <v>NO</v>
      </c>
      <c r="AO733" t="str">
        <f>IF(ISNUMBER(SEARCH("H", 'WetLitterbags placem_collection'!$Y74)),"YES","NO")</f>
        <v>NO</v>
      </c>
      <c r="AP733" t="str">
        <f>IF(ISNUMBER(SEARCH("R", 'WetLitterbags placem_collection'!$Y74)),"YES","NO")</f>
        <v>NO</v>
      </c>
    </row>
    <row r="734" spans="1:42" ht="15" customHeight="1">
      <c r="A734" t="s">
        <v>3248</v>
      </c>
      <c r="B734" s="248" t="s">
        <v>2454</v>
      </c>
      <c r="C734" s="253">
        <f>'Dry_Litterbag Placem_Collection'!A75</f>
        <v>73</v>
      </c>
      <c r="D734" s="253" t="str">
        <f>'Dry_Litterbag Placem_Collection'!B75</f>
        <v>Maswa</v>
      </c>
      <c r="E734" s="253" t="s">
        <v>2643</v>
      </c>
      <c r="F734" s="253" t="s">
        <v>2645</v>
      </c>
      <c r="G734" s="253">
        <v>2</v>
      </c>
      <c r="H734" s="253" t="s">
        <v>3113</v>
      </c>
      <c r="I734" s="254" t="str">
        <f>'Dry_Litterbag Placem_Collection'!C75</f>
        <v>Dry_W2_T1</v>
      </c>
      <c r="J734" s="263" t="s">
        <v>2932</v>
      </c>
      <c r="K734" s="264" t="s">
        <v>298</v>
      </c>
      <c r="L734" s="221" t="str">
        <f>'WetLitterbags placem_collection'!Q75</f>
        <v>R393</v>
      </c>
      <c r="M734" s="223">
        <f>IFERROR(INDEX('Green_rooibos initial weight'!$C$5:$C$2000,MATCH(L734, 'Green_rooibos initial weight'!$A$5:$A$2000,0)),"")</f>
        <v>2.1829999999999998</v>
      </c>
      <c r="N734" s="223">
        <f>IFERROR(M734-(TBIcalc!$H$9+TBIcalc!$H$10),"")</f>
        <v>1.9331999999999998</v>
      </c>
      <c r="O734" s="378">
        <f>AVERAGE(Ashed_controlls!$K$2:$K$11)</f>
        <v>5.5147656768714146</v>
      </c>
      <c r="P734" s="223">
        <f t="shared" si="56"/>
        <v>1.8265885499347216</v>
      </c>
      <c r="Q734" s="223">
        <f>IFERROR(INDEX('Both teabags AfterWet'!$C$3:$C$840,MATCH(L734,'Both teabags AfterWet'!$A$3:$A$840,0)),"")</f>
        <v>1.6598999999999999</v>
      </c>
      <c r="R734" s="223">
        <f>IFERROR(IF(Q734&gt;0,Q734-(TBIcalc!$H$9),""),"")</f>
        <v>1.5092999999999999</v>
      </c>
      <c r="S734" s="223">
        <f>IFERROR(INDEX('Ashed teabags wet'!$K$2:$K$2000,MATCH(L734,'Ashed teabags wet'!$A$2:$A$2000,0)),"")</f>
        <v>2.4769305488104898</v>
      </c>
      <c r="T734" s="223">
        <f t="shared" si="57"/>
        <v>1.4719156872268031</v>
      </c>
      <c r="U734" s="224">
        <f>'WetLitterbags placem_collection'!E75</f>
        <v>42767</v>
      </c>
      <c r="V734" s="224">
        <f>IF('WetLitterbags placem_collection'!G75="","",'WetLitterbags placem_collection'!G75)</f>
        <v>42818</v>
      </c>
      <c r="W734" s="225">
        <f t="shared" si="55"/>
        <v>51</v>
      </c>
      <c r="X734" s="223">
        <f t="shared" si="58"/>
        <v>0.42389999999999994</v>
      </c>
      <c r="Y734" s="223">
        <f t="shared" si="59"/>
        <v>0.35467286270791853</v>
      </c>
      <c r="Z734">
        <f>IFERROR(INDEX([1]Rainfall_Wet!$O$2:$O$217,MATCH(C734, [1]Rainfall_Wet!$A$2:$A$217,0)),"")</f>
        <v>185.630065823</v>
      </c>
      <c r="AA734" s="226">
        <v>45.272914521112256</v>
      </c>
      <c r="AB734" s="226">
        <v>23.604531410916575</v>
      </c>
      <c r="AC734" s="226">
        <v>31.122554067971166</v>
      </c>
      <c r="AD734" s="227" t="s">
        <v>2654</v>
      </c>
      <c r="AE734" s="226">
        <v>2.0547560374568752</v>
      </c>
      <c r="AF734">
        <f>IF('WetLitterbags placem_collection'!AB75="","",'WetLitterbags placem_collection'!AB75)</f>
        <v>9.1</v>
      </c>
      <c r="AG734">
        <f>IF('WetLitterbags placem_collection'!Z75="","",'WetLitterbags placem_collection'!Z75)</f>
        <v>10</v>
      </c>
      <c r="AH734" s="236" t="str">
        <f>IF('WetLitterbags placem_collection'!AA75="","",'WetLitterbags placem_collection'!AA75)</f>
        <v>M</v>
      </c>
      <c r="AI734">
        <f>IF('WetLitterbags placem_collection'!AC75="","",'WetLitterbags placem_collection'!AC75)</f>
        <v>1</v>
      </c>
      <c r="AJ734">
        <f>AVERAGE('WetLitterbags placem_collection'!S75,'WetLitterbags placem_collection'!U75)</f>
        <v>27.85</v>
      </c>
      <c r="AK734">
        <f>AVERAGE('WetLitterbags placem_collection'!R75,'WetLitterbags placem_collection'!T75)</f>
        <v>26.15</v>
      </c>
      <c r="AL734">
        <f>INDEX([2]Coordinates!$B$2:$B$197,MATCH(I734,[2]Coordinates!$J$2:$J$197,0))</f>
        <v>-3.3025860229999999</v>
      </c>
      <c r="AM734">
        <f>INDEX([2]Coordinates!$C$2:$C$197,MATCH(I734,[2]Coordinates!$J$2:$J$197,0))</f>
        <v>34.848048009999999</v>
      </c>
      <c r="AN734" t="str">
        <f>IF(ISNUMBER(SEARCH("C", 'WetLitterbags placem_collection'!$Y75)),"YES","NO")</f>
        <v>NO</v>
      </c>
      <c r="AO734" t="str">
        <f>IF(ISNUMBER(SEARCH("H", 'WetLitterbags placem_collection'!$Y75)),"YES","NO")</f>
        <v>NO</v>
      </c>
      <c r="AP734" t="str">
        <f>IF(ISNUMBER(SEARCH("R", 'WetLitterbags placem_collection'!$Y75)),"YES","NO")</f>
        <v>YES</v>
      </c>
    </row>
    <row r="735" spans="1:42" ht="15" customHeight="1">
      <c r="A735" t="s">
        <v>3248</v>
      </c>
      <c r="B735" s="248" t="s">
        <v>2454</v>
      </c>
      <c r="C735" s="253">
        <f>'Dry_Litterbag Placem_Collection'!A76</f>
        <v>74</v>
      </c>
      <c r="D735" s="253" t="str">
        <f>'Dry_Litterbag Placem_Collection'!B76</f>
        <v>Maswa</v>
      </c>
      <c r="E735" s="253" t="s">
        <v>2643</v>
      </c>
      <c r="F735" s="253" t="s">
        <v>2645</v>
      </c>
      <c r="G735" s="253">
        <v>2</v>
      </c>
      <c r="H735" s="253" t="s">
        <v>3113</v>
      </c>
      <c r="I735" s="254" t="str">
        <f>'Dry_Litterbag Placem_Collection'!C76</f>
        <v>Dry_W2_T2</v>
      </c>
      <c r="J735" s="263" t="s">
        <v>2932</v>
      </c>
      <c r="K735" s="264" t="s">
        <v>298</v>
      </c>
      <c r="L735" s="221" t="str">
        <f>'WetLitterbags placem_collection'!Q76</f>
        <v>R138</v>
      </c>
      <c r="M735" s="223">
        <f>IFERROR(INDEX('Green_rooibos initial weight'!$C$5:$C$2000,MATCH(L735, 'Green_rooibos initial weight'!$A$5:$A$2000,0)),"")</f>
        <v>2.3140000000000001</v>
      </c>
      <c r="N735" s="223">
        <f>IFERROR(M735-(TBIcalc!$H$9+TBIcalc!$H$10),"")</f>
        <v>2.0642</v>
      </c>
      <c r="O735" s="378">
        <f>AVERAGE(Ashed_controlls!$K$2:$K$11)</f>
        <v>5.5147656768714146</v>
      </c>
      <c r="P735" s="223">
        <f t="shared" si="56"/>
        <v>1.9503642068980203</v>
      </c>
      <c r="Q735" s="223">
        <f>IFERROR(INDEX('Both teabags AfterWet'!$C$3:$C$840,MATCH(L735,'Both teabags AfterWet'!$A$3:$A$840,0)),"")</f>
        <v>1.6850000000000001</v>
      </c>
      <c r="R735" s="223">
        <f>IFERROR(IF(Q735&gt;0,Q735-(TBIcalc!$H$9),""),"")</f>
        <v>1.5344</v>
      </c>
      <c r="S735" s="223">
        <f>IFERROR(INDEX('Ashed teabags wet'!$K$2:$K$2000,MATCH(L735,'Ashed teabags wet'!$A$2:$A$2000,0)),"")</f>
        <v>3.6873156342174327</v>
      </c>
      <c r="T735" s="223">
        <f t="shared" si="57"/>
        <v>1.4778218289085676</v>
      </c>
      <c r="U735" s="224">
        <f>'WetLitterbags placem_collection'!E76</f>
        <v>42767</v>
      </c>
      <c r="V735" s="224">
        <f>IF('WetLitterbags placem_collection'!G76="","",'WetLitterbags placem_collection'!G76)</f>
        <v>42818</v>
      </c>
      <c r="W735" s="225">
        <f t="shared" si="55"/>
        <v>51</v>
      </c>
      <c r="X735" s="223">
        <f t="shared" si="58"/>
        <v>0.52980000000000005</v>
      </c>
      <c r="Y735" s="223">
        <f t="shared" si="59"/>
        <v>0.47254237798945264</v>
      </c>
      <c r="Z735">
        <f>IFERROR(INDEX([1]Rainfall_Wet!$O$2:$O$217,MATCH(C735, [1]Rainfall_Wet!$A$2:$A$217,0)),"")</f>
        <v>185.630065823</v>
      </c>
      <c r="AA735" s="226">
        <v>45.272914521112256</v>
      </c>
      <c r="AB735" s="226">
        <v>23.604531410916575</v>
      </c>
      <c r="AC735" s="226">
        <v>31.122554067971166</v>
      </c>
      <c r="AD735" s="227" t="s">
        <v>2654</v>
      </c>
      <c r="AE735" s="226">
        <v>3.0547560374568801</v>
      </c>
      <c r="AF735">
        <f>IF('WetLitterbags placem_collection'!AB76="","",'WetLitterbags placem_collection'!AB76)</f>
        <v>7.7</v>
      </c>
      <c r="AG735">
        <f>IF('WetLitterbags placem_collection'!Z76="","",'WetLitterbags placem_collection'!Z76)</f>
        <v>9.4</v>
      </c>
      <c r="AH735" s="236" t="str">
        <f>IF('WetLitterbags placem_collection'!AA76="","",'WetLitterbags placem_collection'!AA76)</f>
        <v>M</v>
      </c>
      <c r="AI735">
        <f>IF('WetLitterbags placem_collection'!AC76="","",'WetLitterbags placem_collection'!AC76)</f>
        <v>1</v>
      </c>
      <c r="AJ735">
        <f>AVERAGE('WetLitterbags placem_collection'!S76,'WetLitterbags placem_collection'!U76)</f>
        <v>24.65</v>
      </c>
      <c r="AK735">
        <f>AVERAGE('WetLitterbags placem_collection'!R76,'WetLitterbags placem_collection'!T76)</f>
        <v>24.35</v>
      </c>
      <c r="AL735">
        <f>INDEX([2]Coordinates!$B$2:$B$197,MATCH(I735,[2]Coordinates!$J$2:$J$197,0))</f>
        <v>-3.3025779759999998</v>
      </c>
      <c r="AM735">
        <f>INDEX([2]Coordinates!$C$2:$C$197,MATCH(I735,[2]Coordinates!$J$2:$J$197,0))</f>
        <v>34.848041969999997</v>
      </c>
      <c r="AN735" t="str">
        <f>IF(ISNUMBER(SEARCH("C", 'WetLitterbags placem_collection'!$Y76)),"YES","NO")</f>
        <v>NO</v>
      </c>
      <c r="AO735" t="str">
        <f>IF(ISNUMBER(SEARCH("H", 'WetLitterbags placem_collection'!$Y76)),"YES","NO")</f>
        <v>NO</v>
      </c>
      <c r="AP735" t="str">
        <f>IF(ISNUMBER(SEARCH("R", 'WetLitterbags placem_collection'!$Y76)),"YES","NO")</f>
        <v>NO</v>
      </c>
    </row>
    <row r="736" spans="1:42" ht="15" customHeight="1">
      <c r="A736" t="s">
        <v>3248</v>
      </c>
      <c r="B736" s="248" t="s">
        <v>2454</v>
      </c>
      <c r="C736" s="253">
        <f>'Dry_Litterbag Placem_Collection'!A77</f>
        <v>75</v>
      </c>
      <c r="D736" s="253" t="str">
        <f>'Dry_Litterbag Placem_Collection'!B77</f>
        <v>Maswa</v>
      </c>
      <c r="E736" s="253" t="s">
        <v>2643</v>
      </c>
      <c r="F736" s="253" t="s">
        <v>2645</v>
      </c>
      <c r="G736" s="253">
        <v>2</v>
      </c>
      <c r="H736" s="253" t="s">
        <v>3113</v>
      </c>
      <c r="I736" s="254" t="str">
        <f>'Dry_Litterbag Placem_Collection'!C77</f>
        <v>Dry_W2_T3</v>
      </c>
      <c r="J736" s="263" t="s">
        <v>2932</v>
      </c>
      <c r="K736" s="264" t="s">
        <v>298</v>
      </c>
      <c r="L736" s="221" t="str">
        <f>'WetLitterbags placem_collection'!Q77</f>
        <v>R311</v>
      </c>
      <c r="M736" s="223">
        <f>IFERROR(INDEX('Green_rooibos initial weight'!$C$5:$C$2000,MATCH(L736, 'Green_rooibos initial weight'!$A$5:$A$2000,0)),"")</f>
        <v>2.2719999999999998</v>
      </c>
      <c r="N736" s="223">
        <f>IFERROR(M736-(TBIcalc!$H$9+TBIcalc!$H$10),"")</f>
        <v>2.0221999999999998</v>
      </c>
      <c r="O736" s="378">
        <f>AVERAGE(Ashed_controlls!$K$2:$K$11)</f>
        <v>5.5147656768714146</v>
      </c>
      <c r="P736" s="223">
        <f t="shared" si="56"/>
        <v>1.9106804084823061</v>
      </c>
      <c r="Q736" s="223">
        <f>IFERROR(INDEX('Both teabags AfterWet'!$C$3:$C$840,MATCH(L736,'Both teabags AfterWet'!$A$3:$A$840,0)),"")</f>
        <v>1.6715</v>
      </c>
      <c r="R736" s="223">
        <f>IFERROR(IF(Q736&gt;0,Q736-(TBIcalc!$H$9),""),"")</f>
        <v>1.5208999999999999</v>
      </c>
      <c r="S736" s="223">
        <f>IFERROR(INDEX('Ashed teabags wet'!$K$2:$K$2000,MATCH(L736,'Ashed teabags wet'!$A$2:$A$2000,0)),"")</f>
        <v>3.5363457760311539</v>
      </c>
      <c r="T736" s="223">
        <f t="shared" si="57"/>
        <v>1.4671157170923421</v>
      </c>
      <c r="U736" s="224">
        <f>'WetLitterbags placem_collection'!E77</f>
        <v>42767</v>
      </c>
      <c r="V736" s="224">
        <f>IF('WetLitterbags placem_collection'!G77="","",'WetLitterbags placem_collection'!G77)</f>
        <v>42818</v>
      </c>
      <c r="W736" s="225">
        <f t="shared" si="55"/>
        <v>51</v>
      </c>
      <c r="X736" s="223">
        <f t="shared" si="58"/>
        <v>0.50129999999999986</v>
      </c>
      <c r="Y736" s="223">
        <f t="shared" si="59"/>
        <v>0.44356469138996402</v>
      </c>
      <c r="Z736">
        <f>IFERROR(INDEX([1]Rainfall_Wet!$O$2:$O$217,MATCH(C736, [1]Rainfall_Wet!$A$2:$A$217,0)),"")</f>
        <v>185.630065823</v>
      </c>
      <c r="AA736" s="226">
        <v>45.272914521112256</v>
      </c>
      <c r="AB736" s="226">
        <v>23.604531410916575</v>
      </c>
      <c r="AC736" s="226">
        <v>31.122554067971166</v>
      </c>
      <c r="AD736" s="227" t="s">
        <v>2654</v>
      </c>
      <c r="AE736" s="226">
        <v>4.0547560374568796</v>
      </c>
      <c r="AF736">
        <f>IF('WetLitterbags placem_collection'!AB77="","",'WetLitterbags placem_collection'!AB77)</f>
        <v>6.1</v>
      </c>
      <c r="AG736">
        <f>IF('WetLitterbags placem_collection'!Z77="","",'WetLitterbags placem_collection'!Z77)</f>
        <v>13.8</v>
      </c>
      <c r="AH736" s="236" t="str">
        <f>IF('WetLitterbags placem_collection'!AA77="","",'WetLitterbags placem_collection'!AA77)</f>
        <v>O</v>
      </c>
      <c r="AI736">
        <f>IF('WetLitterbags placem_collection'!AC77="","",'WetLitterbags placem_collection'!AC77)</f>
        <v>0</v>
      </c>
      <c r="AJ736">
        <f>AVERAGE('WetLitterbags placem_collection'!S77,'WetLitterbags placem_collection'!U77)</f>
        <v>27.150000000000002</v>
      </c>
      <c r="AK736">
        <f>AVERAGE('WetLitterbags placem_collection'!R77,'WetLitterbags placem_collection'!T77)</f>
        <v>25.65</v>
      </c>
      <c r="AL736">
        <f>INDEX([2]Coordinates!$B$2:$B$197,MATCH(I736,[2]Coordinates!$J$2:$J$197,0))</f>
        <v>-3.302687025</v>
      </c>
      <c r="AM736">
        <f>INDEX([2]Coordinates!$C$2:$C$197,MATCH(I736,[2]Coordinates!$J$2:$J$197,0))</f>
        <v>34.847926970000003</v>
      </c>
      <c r="AN736" t="str">
        <f>IF(ISNUMBER(SEARCH("C", 'WetLitterbags placem_collection'!$Y77)),"YES","NO")</f>
        <v>NO</v>
      </c>
      <c r="AO736" t="str">
        <f>IF(ISNUMBER(SEARCH("H", 'WetLitterbags placem_collection'!$Y77)),"YES","NO")</f>
        <v>NO</v>
      </c>
      <c r="AP736" t="str">
        <f>IF(ISNUMBER(SEARCH("R", 'WetLitterbags placem_collection'!$Y77)),"YES","NO")</f>
        <v>NO</v>
      </c>
    </row>
    <row r="737" spans="1:42" ht="15" customHeight="1">
      <c r="A737" t="s">
        <v>3248</v>
      </c>
      <c r="B737" s="248" t="s">
        <v>2454</v>
      </c>
      <c r="C737" s="253">
        <f>'Dry_Litterbag Placem_Collection'!A78</f>
        <v>76</v>
      </c>
      <c r="D737" s="253" t="str">
        <f>'Dry_Litterbag Placem_Collection'!B78</f>
        <v>Maswa</v>
      </c>
      <c r="E737" s="253" t="s">
        <v>2643</v>
      </c>
      <c r="F737" s="253" t="s">
        <v>2645</v>
      </c>
      <c r="G737" s="253">
        <v>2</v>
      </c>
      <c r="H737" s="253" t="s">
        <v>3113</v>
      </c>
      <c r="I737" s="254" t="str">
        <f>'Dry_Litterbag Placem_Collection'!C78</f>
        <v>Dry_W2_T4</v>
      </c>
      <c r="J737" s="263" t="s">
        <v>2932</v>
      </c>
      <c r="K737" s="264" t="s">
        <v>298</v>
      </c>
      <c r="L737" s="221" t="str">
        <f>'WetLitterbags placem_collection'!Q78</f>
        <v>R183</v>
      </c>
      <c r="M737" s="223">
        <f>IFERROR(INDEX('Green_rooibos initial weight'!$C$5:$C$2000,MATCH(L737, 'Green_rooibos initial weight'!$A$5:$A$2000,0)),"")</f>
        <v>2.262</v>
      </c>
      <c r="N737" s="223">
        <f>IFERROR(M737-(TBIcalc!$H$9+TBIcalc!$H$10),"")</f>
        <v>2.0122</v>
      </c>
      <c r="O737" s="378">
        <f>AVERAGE(Ashed_controlls!$K$2:$K$11)</f>
        <v>5.5147656768714146</v>
      </c>
      <c r="P737" s="223">
        <f t="shared" si="56"/>
        <v>1.9012318850499934</v>
      </c>
      <c r="Q737" s="223">
        <f>IFERROR(INDEX('Both teabags AfterWet'!$C$3:$C$840,MATCH(L737,'Both teabags AfterWet'!$A$3:$A$840,0)),"")</f>
        <v>1.7490000000000001</v>
      </c>
      <c r="R737" s="223">
        <f>IFERROR(IF(Q737&gt;0,Q737-(TBIcalc!$H$9),""),"")</f>
        <v>1.5984</v>
      </c>
      <c r="S737" s="223">
        <f>IFERROR(INDEX('Ashed teabags wet'!$K$2:$K$2000,MATCH(L737,'Ashed teabags wet'!$A$2:$A$2000,0)),"")</f>
        <v>2.262879152624262</v>
      </c>
      <c r="T737" s="223">
        <f t="shared" si="57"/>
        <v>1.5622301396244538</v>
      </c>
      <c r="U737" s="224">
        <f>'WetLitterbags placem_collection'!E78</f>
        <v>42767</v>
      </c>
      <c r="V737" s="224">
        <f>IF('WetLitterbags placem_collection'!G78="","",'WetLitterbags placem_collection'!G78)</f>
        <v>42818</v>
      </c>
      <c r="W737" s="225">
        <f t="shared" si="55"/>
        <v>51</v>
      </c>
      <c r="X737" s="223">
        <f t="shared" si="58"/>
        <v>0.41379999999999995</v>
      </c>
      <c r="Y737" s="223">
        <f t="shared" si="59"/>
        <v>0.33900174542553962</v>
      </c>
      <c r="Z737">
        <f>IFERROR(INDEX([1]Rainfall_Wet!$O$2:$O$217,MATCH(C737, [1]Rainfall_Wet!$A$2:$A$217,0)),"")</f>
        <v>185.630065823</v>
      </c>
      <c r="AA737" s="226">
        <v>45.272914521112256</v>
      </c>
      <c r="AB737" s="226">
        <v>23.604531410916575</v>
      </c>
      <c r="AC737" s="226">
        <v>31.122554067971166</v>
      </c>
      <c r="AD737" s="227" t="s">
        <v>2654</v>
      </c>
      <c r="AE737" s="226">
        <v>5.0547560374568796</v>
      </c>
      <c r="AF737">
        <f>IF('WetLitterbags placem_collection'!AB78="","",'WetLitterbags placem_collection'!AB78)</f>
        <v>6.7</v>
      </c>
      <c r="AG737">
        <f>IF('WetLitterbags placem_collection'!Z78="","",'WetLitterbags placem_collection'!Z78)</f>
        <v>19.3</v>
      </c>
      <c r="AH737" s="236" t="str">
        <f>IF('WetLitterbags placem_collection'!AA78="","",'WetLitterbags placem_collection'!AA78)</f>
        <v>M</v>
      </c>
      <c r="AI737">
        <f>IF('WetLitterbags placem_collection'!AC78="","",'WetLitterbags placem_collection'!AC78)</f>
        <v>1</v>
      </c>
      <c r="AJ737">
        <f>AVERAGE('WetLitterbags placem_collection'!S78,'WetLitterbags placem_collection'!U78)</f>
        <v>26.8</v>
      </c>
      <c r="AK737">
        <f>AVERAGE('WetLitterbags placem_collection'!R78,'WetLitterbags placem_collection'!T78)</f>
        <v>23.7</v>
      </c>
      <c r="AL737">
        <f>INDEX([2]Coordinates!$B$2:$B$197,MATCH(I737,[2]Coordinates!$J$2:$J$197,0))</f>
        <v>-3.3024560190000001</v>
      </c>
      <c r="AM737">
        <f>INDEX([2]Coordinates!$C$2:$C$197,MATCH(I737,[2]Coordinates!$J$2:$J$197,0))</f>
        <v>34.847871990000002</v>
      </c>
      <c r="AN737" t="str">
        <f>IF(ISNUMBER(SEARCH("C", 'WetLitterbags placem_collection'!$Y78)),"YES","NO")</f>
        <v>NO</v>
      </c>
      <c r="AO737" t="str">
        <f>IF(ISNUMBER(SEARCH("H", 'WetLitterbags placem_collection'!$Y78)),"YES","NO")</f>
        <v>NO</v>
      </c>
      <c r="AP737" t="str">
        <f>IF(ISNUMBER(SEARCH("R", 'WetLitterbags placem_collection'!$Y78)),"YES","NO")</f>
        <v>NO</v>
      </c>
    </row>
    <row r="738" spans="1:42" ht="15" customHeight="1">
      <c r="A738" t="s">
        <v>3248</v>
      </c>
      <c r="B738" s="248" t="s">
        <v>2454</v>
      </c>
      <c r="C738" s="253">
        <f>'Dry_Litterbag Placem_Collection'!A79</f>
        <v>77</v>
      </c>
      <c r="D738" s="253" t="str">
        <f>'Dry_Litterbag Placem_Collection'!B79</f>
        <v>Maswa</v>
      </c>
      <c r="E738" s="253" t="s">
        <v>2643</v>
      </c>
      <c r="F738" s="253" t="s">
        <v>2645</v>
      </c>
      <c r="G738" s="253">
        <v>2</v>
      </c>
      <c r="H738" s="253" t="s">
        <v>3113</v>
      </c>
      <c r="I738" s="254" t="str">
        <f>'Dry_Litterbag Placem_Collection'!C79</f>
        <v>Dry_W2_T5</v>
      </c>
      <c r="J738" s="263" t="s">
        <v>2932</v>
      </c>
      <c r="K738" s="264" t="s">
        <v>298</v>
      </c>
      <c r="L738" s="221" t="str">
        <f>'WetLitterbags placem_collection'!Q79</f>
        <v>R228</v>
      </c>
      <c r="M738" s="223">
        <f>IFERROR(INDEX('Green_rooibos initial weight'!$C$5:$C$2000,MATCH(L738, 'Green_rooibos initial weight'!$A$5:$A$2000,0)),"")</f>
        <v>2.2040000000000002</v>
      </c>
      <c r="N738" s="223">
        <f>IFERROR(M738-(TBIcalc!$H$9+TBIcalc!$H$10),"")</f>
        <v>1.9542000000000002</v>
      </c>
      <c r="O738" s="378">
        <f>AVERAGE(Ashed_controlls!$K$2:$K$11)</f>
        <v>5.5147656768714146</v>
      </c>
      <c r="P738" s="223">
        <f t="shared" si="56"/>
        <v>1.8464304491425789</v>
      </c>
      <c r="Q738" s="223">
        <f>IFERROR(INDEX('Both teabags AfterWet'!$C$3:$C$840,MATCH(L738,'Both teabags AfterWet'!$A$3:$A$840,0)),"")</f>
        <v>2.2429999999999999</v>
      </c>
      <c r="R738" s="223">
        <f>IFERROR(IF(Q738&gt;0,Q738-(TBIcalc!$H$9),""),"")</f>
        <v>2.0924</v>
      </c>
      <c r="S738" s="223">
        <f>IFERROR(INDEX('Ashed teabags wet'!$K$2:$K$2000,MATCH(L738,'Ashed teabags wet'!$A$2:$A$2000,0)),"")</f>
        <v>25.765054294176</v>
      </c>
      <c r="T738" s="223">
        <f t="shared" si="57"/>
        <v>1.5532920039486613</v>
      </c>
      <c r="U738" s="224">
        <f>'WetLitterbags placem_collection'!E79</f>
        <v>42767</v>
      </c>
      <c r="V738" s="224">
        <f>IF('WetLitterbags placem_collection'!G79="","",'WetLitterbags placem_collection'!G79)</f>
        <v>42818</v>
      </c>
      <c r="W738" s="225">
        <f t="shared" si="55"/>
        <v>51</v>
      </c>
      <c r="X738" s="223">
        <f t="shared" si="58"/>
        <v>-0.13819999999999988</v>
      </c>
      <c r="Y738" s="223">
        <f t="shared" si="59"/>
        <v>0.29313844519391763</v>
      </c>
      <c r="Z738">
        <f>IFERROR(INDEX([1]Rainfall_Wet!$O$2:$O$217,MATCH(C738, [1]Rainfall_Wet!$A$2:$A$217,0)),"")</f>
        <v>185.630065823</v>
      </c>
      <c r="AA738" s="226">
        <v>45.272914521112256</v>
      </c>
      <c r="AB738" s="226">
        <v>23.604531410916575</v>
      </c>
      <c r="AC738" s="226">
        <v>31.122554067971166</v>
      </c>
      <c r="AD738" s="227" t="s">
        <v>2654</v>
      </c>
      <c r="AE738" s="226">
        <v>6.0547560374568796</v>
      </c>
      <c r="AF738">
        <f>IF('WetLitterbags placem_collection'!AB79="","",'WetLitterbags placem_collection'!AB79)</f>
        <v>3.1</v>
      </c>
      <c r="AG738">
        <f>IF('WetLitterbags placem_collection'!Z79="","",'WetLitterbags placem_collection'!Z79)</f>
        <v>9.8000000000000007</v>
      </c>
      <c r="AH738" s="236" t="str">
        <f>IF('WetLitterbags placem_collection'!AA79="","",'WetLitterbags placem_collection'!AA79)</f>
        <v>O</v>
      </c>
      <c r="AI738">
        <f>IF('WetLitterbags placem_collection'!AC79="","",'WetLitterbags placem_collection'!AC79)</f>
        <v>1</v>
      </c>
      <c r="AJ738">
        <f>AVERAGE('WetLitterbags placem_collection'!S79,'WetLitterbags placem_collection'!U79)</f>
        <v>25.950000000000003</v>
      </c>
      <c r="AK738">
        <f>AVERAGE('WetLitterbags placem_collection'!R79,'WetLitterbags placem_collection'!T79)</f>
        <v>25.950000000000003</v>
      </c>
      <c r="AL738">
        <f>INDEX([2]Coordinates!$B$2:$B$197,MATCH(I738,[2]Coordinates!$J$2:$J$197,0))</f>
        <v>-3.3023280279999998</v>
      </c>
      <c r="AM738">
        <f>INDEX([2]Coordinates!$C$2:$C$197,MATCH(I738,[2]Coordinates!$J$2:$J$197,0))</f>
        <v>34.848223019999999</v>
      </c>
      <c r="AN738" t="str">
        <f>IF(ISNUMBER(SEARCH("C", 'WetLitterbags placem_collection'!$Y79)),"YES","NO")</f>
        <v>NO</v>
      </c>
      <c r="AO738" t="str">
        <f>IF(ISNUMBER(SEARCH("H", 'WetLitterbags placem_collection'!$Y79)),"YES","NO")</f>
        <v>NO</v>
      </c>
      <c r="AP738" t="str">
        <f>IF(ISNUMBER(SEARCH("R", 'WetLitterbags placem_collection'!$Y79)),"YES","NO")</f>
        <v>NO</v>
      </c>
    </row>
    <row r="739" spans="1:42" ht="15" customHeight="1">
      <c r="A739" t="s">
        <v>3248</v>
      </c>
      <c r="B739" s="248" t="s">
        <v>2454</v>
      </c>
      <c r="C739" s="253">
        <f>'Dry_Litterbag Placem_Collection'!A80</f>
        <v>78</v>
      </c>
      <c r="D739" s="253" t="str">
        <f>'Dry_Litterbag Placem_Collection'!B80</f>
        <v>Maswa</v>
      </c>
      <c r="E739" s="253" t="s">
        <v>2643</v>
      </c>
      <c r="F739" s="253" t="s">
        <v>2645</v>
      </c>
      <c r="G739" s="253">
        <v>2</v>
      </c>
      <c r="H739" s="253" t="s">
        <v>3113</v>
      </c>
      <c r="I739" s="254" t="str">
        <f>'Dry_Litterbag Placem_Collection'!C80</f>
        <v>Dry_W2_T6</v>
      </c>
      <c r="J739" s="263" t="s">
        <v>2932</v>
      </c>
      <c r="K739" s="264" t="s">
        <v>298</v>
      </c>
      <c r="L739" s="221" t="str">
        <f>'WetLitterbags placem_collection'!Q80</f>
        <v>R100</v>
      </c>
      <c r="M739" s="223">
        <f>IFERROR(INDEX('Green_rooibos initial weight'!$C$5:$C$2000,MATCH(L739, 'Green_rooibos initial weight'!$A$5:$A$2000,0)),"")</f>
        <v>2.2549999999999999</v>
      </c>
      <c r="N739" s="223">
        <f>IFERROR(M739-(TBIcalc!$H$9+TBIcalc!$H$10),"")</f>
        <v>2.0051999999999999</v>
      </c>
      <c r="O739" s="378">
        <f>AVERAGE(Ashed_controlls!$K$2:$K$11)</f>
        <v>5.5147656768714146</v>
      </c>
      <c r="P739" s="223">
        <f t="shared" si="56"/>
        <v>1.8946179186473744</v>
      </c>
      <c r="Q739" s="223">
        <f>IFERROR(INDEX('Both teabags AfterWet'!$C$3:$C$840,MATCH(L739,'Both teabags AfterWet'!$A$3:$A$840,0)),"")</f>
        <v>1.7222999999999999</v>
      </c>
      <c r="R739" s="223">
        <f>IFERROR(IF(Q739&gt;0,Q739-(TBIcalc!$H$9),""),"")</f>
        <v>1.5716999999999999</v>
      </c>
      <c r="S739" s="223">
        <f>IFERROR(INDEX('Ashed teabags wet'!$K$2:$K$2000,MATCH(L739,'Ashed teabags wet'!$A$2:$A$2000,0)),"")</f>
        <v>2.8361858190706335</v>
      </c>
      <c r="T739" s="223">
        <f t="shared" si="57"/>
        <v>1.5271236674816668</v>
      </c>
      <c r="U739" s="224">
        <f>'WetLitterbags placem_collection'!E80</f>
        <v>42767</v>
      </c>
      <c r="V739" s="224">
        <f>IF('WetLitterbags placem_collection'!G80="","",'WetLitterbags placem_collection'!G80)</f>
        <v>42818</v>
      </c>
      <c r="W739" s="225">
        <f t="shared" si="55"/>
        <v>51</v>
      </c>
      <c r="X739" s="223">
        <f t="shared" si="58"/>
        <v>0.4335</v>
      </c>
      <c r="Y739" s="223">
        <f t="shared" si="59"/>
        <v>0.36749425116570755</v>
      </c>
      <c r="Z739">
        <f>IFERROR(INDEX([1]Rainfall_Wet!$O$2:$O$217,MATCH(C739, [1]Rainfall_Wet!$A$2:$A$217,0)),"")</f>
        <v>185.630065823</v>
      </c>
      <c r="AA739" s="226">
        <v>45.272914521112256</v>
      </c>
      <c r="AB739" s="226">
        <v>23.604531410916575</v>
      </c>
      <c r="AC739" s="226">
        <v>31.122554067971166</v>
      </c>
      <c r="AD739" s="227" t="s">
        <v>2654</v>
      </c>
      <c r="AE739" s="226">
        <v>7.0547560374568796</v>
      </c>
      <c r="AF739">
        <f>IF('WetLitterbags placem_collection'!AB80="","",'WetLitterbags placem_collection'!AB80)</f>
        <v>10.4</v>
      </c>
      <c r="AG739">
        <f>IF('WetLitterbags placem_collection'!Z80="","",'WetLitterbags placem_collection'!Z80)</f>
        <v>15.4</v>
      </c>
      <c r="AH739" s="236" t="str">
        <f>IF('WetLitterbags placem_collection'!AA80="","",'WetLitterbags placem_collection'!AA80)</f>
        <v>M</v>
      </c>
      <c r="AI739">
        <f>IF('WetLitterbags placem_collection'!AC80="","",'WetLitterbags placem_collection'!AC80)</f>
        <v>1</v>
      </c>
      <c r="AJ739">
        <f>AVERAGE('WetLitterbags placem_collection'!S80,'WetLitterbags placem_collection'!U80)</f>
        <v>24.15</v>
      </c>
      <c r="AK739">
        <f>AVERAGE('WetLitterbags placem_collection'!R80,'WetLitterbags placem_collection'!T80)</f>
        <v>27.75</v>
      </c>
      <c r="AL739">
        <f>INDEX([2]Coordinates!$B$2:$B$197,MATCH(I739,[2]Coordinates!$J$2:$J$197,0))</f>
        <v>-3.3025680020000001</v>
      </c>
      <c r="AM739">
        <f>INDEX([2]Coordinates!$C$2:$C$197,MATCH(I739,[2]Coordinates!$J$2:$J$197,0))</f>
        <v>34.848167029999999</v>
      </c>
      <c r="AN739" t="str">
        <f>IF(ISNUMBER(SEARCH("C", 'WetLitterbags placem_collection'!$Y80)),"YES","NO")</f>
        <v>NO</v>
      </c>
      <c r="AO739" t="str">
        <f>IF(ISNUMBER(SEARCH("H", 'WetLitterbags placem_collection'!$Y80)),"YES","NO")</f>
        <v>NO</v>
      </c>
      <c r="AP739" t="str">
        <f>IF(ISNUMBER(SEARCH("R", 'WetLitterbags placem_collection'!$Y80)),"YES","NO")</f>
        <v>NO</v>
      </c>
    </row>
    <row r="740" spans="1:42" ht="15" customHeight="1">
      <c r="A740" t="s">
        <v>3248</v>
      </c>
      <c r="B740" s="248" t="s">
        <v>2454</v>
      </c>
      <c r="C740" s="253">
        <f>'Dry_Litterbag Placem_Collection'!A81</f>
        <v>79</v>
      </c>
      <c r="D740" s="253" t="str">
        <f>'Dry_Litterbag Placem_Collection'!B81</f>
        <v>Maswa</v>
      </c>
      <c r="E740" s="253" t="s">
        <v>2643</v>
      </c>
      <c r="F740" s="253" t="s">
        <v>2645</v>
      </c>
      <c r="G740" s="253">
        <v>2</v>
      </c>
      <c r="H740" s="253" t="s">
        <v>3113</v>
      </c>
      <c r="I740" s="254" t="str">
        <f>'Dry_Litterbag Placem_Collection'!C81</f>
        <v>Dry_W2_T7</v>
      </c>
      <c r="J740" s="263" t="s">
        <v>2932</v>
      </c>
      <c r="K740" s="264" t="s">
        <v>298</v>
      </c>
      <c r="L740" s="221" t="str">
        <f>'WetLitterbags placem_collection'!Q81</f>
        <v>R56</v>
      </c>
      <c r="M740" s="223">
        <f>IFERROR(INDEX('Green_rooibos initial weight'!$C$5:$C$2000,MATCH(L740, 'Green_rooibos initial weight'!$A$5:$A$2000,0)),"")</f>
        <v>2.1829999999999998</v>
      </c>
      <c r="N740" s="223">
        <f>IFERROR(M740-(TBIcalc!$H$9+TBIcalc!$H$10),"")</f>
        <v>1.9331999999999998</v>
      </c>
      <c r="O740" s="378">
        <f>AVERAGE(Ashed_controlls!$K$2:$K$11)</f>
        <v>5.5147656768714146</v>
      </c>
      <c r="P740" s="223">
        <f t="shared" si="56"/>
        <v>1.8265885499347216</v>
      </c>
      <c r="Q740" s="223">
        <f>IFERROR(INDEX('Both teabags AfterWet'!$C$3:$C$840,MATCH(L740,'Both teabags AfterWet'!$A$3:$A$840,0)),"")</f>
        <v>1.6438999999999999</v>
      </c>
      <c r="R740" s="223">
        <f>IFERROR(IF(Q740&gt;0,Q740-(TBIcalc!$H$9),""),"")</f>
        <v>1.4932999999999998</v>
      </c>
      <c r="S740" s="223">
        <f>IFERROR(INDEX('Ashed teabags wet'!$K$2:$K$2000,MATCH(L740,'Ashed teabags wet'!$A$2:$A$2000,0)),"")</f>
        <v>1.8838304552590228</v>
      </c>
      <c r="T740" s="223">
        <f t="shared" si="57"/>
        <v>1.4651687598116168</v>
      </c>
      <c r="U740" s="224">
        <f>'WetLitterbags placem_collection'!E81</f>
        <v>42767</v>
      </c>
      <c r="V740" s="224">
        <f>IF('WetLitterbags placem_collection'!G81="","",'WetLitterbags placem_collection'!G81)</f>
        <v>42818</v>
      </c>
      <c r="W740" s="225">
        <f t="shared" si="55"/>
        <v>51</v>
      </c>
      <c r="X740" s="223">
        <f t="shared" si="58"/>
        <v>0.43989999999999996</v>
      </c>
      <c r="Y740" s="223">
        <f t="shared" si="59"/>
        <v>0.36141979012310488</v>
      </c>
      <c r="Z740">
        <f>IFERROR(INDEX([1]Rainfall_Wet!$O$2:$O$217,MATCH(C740, [1]Rainfall_Wet!$A$2:$A$217,0)),"")</f>
        <v>185.630065823</v>
      </c>
      <c r="AA740" s="226">
        <v>45.272914521112256</v>
      </c>
      <c r="AB740" s="226">
        <v>23.604531410916575</v>
      </c>
      <c r="AC740" s="226">
        <v>31.122554067971166</v>
      </c>
      <c r="AD740" s="227" t="s">
        <v>2654</v>
      </c>
      <c r="AE740" s="226">
        <v>8.0547560374568796</v>
      </c>
      <c r="AF740">
        <f>IF('WetLitterbags placem_collection'!AB81="","",'WetLitterbags placem_collection'!AB81)</f>
        <v>3</v>
      </c>
      <c r="AG740">
        <f>IF('WetLitterbags placem_collection'!Z81="","",'WetLitterbags placem_collection'!Z81)</f>
        <v>5</v>
      </c>
      <c r="AH740" s="236" t="str">
        <f>IF('WetLitterbags placem_collection'!AA81="","",'WetLitterbags placem_collection'!AA81)</f>
        <v>G</v>
      </c>
      <c r="AI740">
        <f>IF('WetLitterbags placem_collection'!AC81="","",'WetLitterbags placem_collection'!AC81)</f>
        <v>1</v>
      </c>
      <c r="AJ740">
        <f>AVERAGE('WetLitterbags placem_collection'!S81,'WetLitterbags placem_collection'!U81)</f>
        <v>26.9</v>
      </c>
      <c r="AK740">
        <f>AVERAGE('WetLitterbags placem_collection'!R81,'WetLitterbags placem_collection'!T81)</f>
        <v>26.25</v>
      </c>
      <c r="AL740">
        <f>INDEX([2]Coordinates!$B$2:$B$197,MATCH(I740,[2]Coordinates!$J$2:$J$197,0))</f>
        <v>-3.3026270100000001</v>
      </c>
      <c r="AM740">
        <f>INDEX([2]Coordinates!$C$2:$C$197,MATCH(I740,[2]Coordinates!$J$2:$J$197,0))</f>
        <v>34.84840801</v>
      </c>
      <c r="AN740" t="str">
        <f>IF(ISNUMBER(SEARCH("C", 'WetLitterbags placem_collection'!$Y81)),"YES","NO")</f>
        <v>NO</v>
      </c>
      <c r="AO740" t="str">
        <f>IF(ISNUMBER(SEARCH("H", 'WetLitterbags placem_collection'!$Y81)),"YES","NO")</f>
        <v>NO</v>
      </c>
      <c r="AP740" t="str">
        <f>IF(ISNUMBER(SEARCH("R", 'WetLitterbags placem_collection'!$Y81)),"YES","NO")</f>
        <v>NO</v>
      </c>
    </row>
    <row r="741" spans="1:42" ht="15" customHeight="1">
      <c r="A741" t="s">
        <v>3248</v>
      </c>
      <c r="B741" s="248" t="s">
        <v>2454</v>
      </c>
      <c r="C741" s="253">
        <f>'Dry_Litterbag Placem_Collection'!A82</f>
        <v>80</v>
      </c>
      <c r="D741" s="253" t="str">
        <f>'Dry_Litterbag Placem_Collection'!B82</f>
        <v>Maswa</v>
      </c>
      <c r="E741" s="253" t="s">
        <v>2643</v>
      </c>
      <c r="F741" s="253" t="s">
        <v>2645</v>
      </c>
      <c r="G741" s="253">
        <v>2</v>
      </c>
      <c r="H741" s="253" t="s">
        <v>3113</v>
      </c>
      <c r="I741" s="254" t="str">
        <f>'Dry_Litterbag Placem_Collection'!C82</f>
        <v>Dry_W2_T8</v>
      </c>
      <c r="J741" s="263" t="s">
        <v>2932</v>
      </c>
      <c r="K741" s="264" t="s">
        <v>298</v>
      </c>
      <c r="L741" s="221" t="str">
        <f>'WetLitterbags placem_collection'!Q82</f>
        <v>R68</v>
      </c>
      <c r="M741" s="223">
        <f>IFERROR(INDEX('Green_rooibos initial weight'!$C$5:$C$2000,MATCH(L741, 'Green_rooibos initial weight'!$A$5:$A$2000,0)),"")</f>
        <v>2.2370000000000001</v>
      </c>
      <c r="N741" s="223">
        <f>IFERROR(M741-(TBIcalc!$H$9+TBIcalc!$H$10),"")</f>
        <v>1.9872000000000001</v>
      </c>
      <c r="O741" s="378">
        <f>AVERAGE(Ashed_controlls!$K$2:$K$11)</f>
        <v>5.5147656768714146</v>
      </c>
      <c r="P741" s="223">
        <f t="shared" si="56"/>
        <v>1.8776105764692113</v>
      </c>
      <c r="Q741" s="223">
        <f>IFERROR(INDEX('Both teabags AfterWet'!$C$3:$C$840,MATCH(L741,'Both teabags AfterWet'!$A$3:$A$840,0)),"")</f>
        <v>1.639</v>
      </c>
      <c r="R741" s="223">
        <f>IFERROR(IF(Q741&gt;0,Q741-(TBIcalc!$H$9),""),"")</f>
        <v>1.4883999999999999</v>
      </c>
      <c r="S741" s="223">
        <f>IFERROR(INDEX('Ashed teabags wet'!$K$2:$K$2000,MATCH(L741,'Ashed teabags wet'!$A$2:$A$2000,0)),"")</f>
        <v>10.359922178988159</v>
      </c>
      <c r="T741" s="223">
        <f t="shared" si="57"/>
        <v>1.3342029182879402</v>
      </c>
      <c r="U741" s="224">
        <f>'WetLitterbags placem_collection'!E82</f>
        <v>42767</v>
      </c>
      <c r="V741" s="224">
        <f>IF('WetLitterbags placem_collection'!G82="","",'WetLitterbags placem_collection'!G82)</f>
        <v>42818</v>
      </c>
      <c r="W741" s="225">
        <f t="shared" si="55"/>
        <v>51</v>
      </c>
      <c r="X741" s="223">
        <f t="shared" si="58"/>
        <v>0.49880000000000013</v>
      </c>
      <c r="Y741" s="223">
        <f t="shared" si="59"/>
        <v>0.54340765818127101</v>
      </c>
      <c r="Z741">
        <f>IFERROR(INDEX([1]Rainfall_Wet!$O$2:$O$217,MATCH(C741, [1]Rainfall_Wet!$A$2:$A$217,0)),"")</f>
        <v>185.630065823</v>
      </c>
      <c r="AA741" s="226">
        <v>45.272914521112256</v>
      </c>
      <c r="AB741" s="226">
        <v>23.604531410916575</v>
      </c>
      <c r="AC741" s="226">
        <v>31.122554067971166</v>
      </c>
      <c r="AD741" s="227" t="s">
        <v>2654</v>
      </c>
      <c r="AE741" s="226">
        <v>9.0547560374568796</v>
      </c>
      <c r="AF741">
        <f>IF('WetLitterbags placem_collection'!AB82="","",'WetLitterbags placem_collection'!AB82)</f>
        <v>2.7</v>
      </c>
      <c r="AG741">
        <f>IF('WetLitterbags placem_collection'!Z82="","",'WetLitterbags placem_collection'!Z82)</f>
        <v>12.4</v>
      </c>
      <c r="AH741" s="236" t="str">
        <f>IF('WetLitterbags placem_collection'!AA82="","",'WetLitterbags placem_collection'!AA82)</f>
        <v>O</v>
      </c>
      <c r="AI741">
        <f>IF('WetLitterbags placem_collection'!AC82="","",'WetLitterbags placem_collection'!AC82)</f>
        <v>1</v>
      </c>
      <c r="AJ741">
        <f>AVERAGE('WetLitterbags placem_collection'!S82,'WetLitterbags placem_collection'!U82)</f>
        <v>28.55</v>
      </c>
      <c r="AK741">
        <f>AVERAGE('WetLitterbags placem_collection'!R82,'WetLitterbags placem_collection'!T82)</f>
        <v>27.450000000000003</v>
      </c>
      <c r="AL741">
        <f>INDEX([2]Coordinates!$B$2:$B$197,MATCH(I741,[2]Coordinates!$J$2:$J$197,0))</f>
        <v>-3.3028539920000002</v>
      </c>
      <c r="AM741">
        <f>INDEX([2]Coordinates!$C$2:$C$197,MATCH(I741,[2]Coordinates!$J$2:$J$197,0))</f>
        <v>34.847988999999998</v>
      </c>
      <c r="AN741" t="str">
        <f>IF(ISNUMBER(SEARCH("C", 'WetLitterbags placem_collection'!$Y82)),"YES","NO")</f>
        <v>NO</v>
      </c>
      <c r="AO741" t="str">
        <f>IF(ISNUMBER(SEARCH("H", 'WetLitterbags placem_collection'!$Y82)),"YES","NO")</f>
        <v>NO</v>
      </c>
      <c r="AP741" t="str">
        <f>IF(ISNUMBER(SEARCH("R", 'WetLitterbags placem_collection'!$Y82)),"YES","NO")</f>
        <v>NO</v>
      </c>
    </row>
    <row r="742" spans="1:42" ht="15" customHeight="1">
      <c r="A742" t="s">
        <v>3248</v>
      </c>
      <c r="B742" s="248" t="s">
        <v>2454</v>
      </c>
      <c r="C742" s="253">
        <f>'Dry_Litterbag Placem_Collection'!A83</f>
        <v>81</v>
      </c>
      <c r="D742" s="253" t="str">
        <f>'Dry_Litterbag Placem_Collection'!B83</f>
        <v>Maswa</v>
      </c>
      <c r="E742" s="253" t="s">
        <v>2643</v>
      </c>
      <c r="F742" s="253" t="s">
        <v>2645</v>
      </c>
      <c r="G742" s="253">
        <v>3</v>
      </c>
      <c r="H742" s="253" t="s">
        <v>3114</v>
      </c>
      <c r="I742" s="254" t="str">
        <f>'Dry_Litterbag Placem_Collection'!C83</f>
        <v>Dry_W3_T1</v>
      </c>
      <c r="J742" s="263" t="s">
        <v>2932</v>
      </c>
      <c r="K742" s="264" t="s">
        <v>298</v>
      </c>
      <c r="L742" s="221" t="str">
        <f>'WetLitterbags placem_collection'!Q83</f>
        <v>R293</v>
      </c>
      <c r="M742" s="223">
        <f>IFERROR(INDEX('Green_rooibos initial weight'!$C$5:$C$2000,MATCH(L742, 'Green_rooibos initial weight'!$A$5:$A$2000,0)),"")</f>
        <v>2.165</v>
      </c>
      <c r="N742" s="223">
        <f>IFERROR(M742-(TBIcalc!$H$9+TBIcalc!$H$10),"")</f>
        <v>1.9152</v>
      </c>
      <c r="O742" s="378">
        <f>AVERAGE(Ashed_controlls!$K$2:$K$11)</f>
        <v>5.5147656768714146</v>
      </c>
      <c r="P742" s="223">
        <f t="shared" si="56"/>
        <v>1.8095812077565587</v>
      </c>
      <c r="Q742" s="223">
        <f>IFERROR(INDEX('Both teabags AfterWet'!$C$3:$C$840,MATCH(L742,'Both teabags AfterWet'!$A$3:$A$840,0)),"")</f>
        <v>1.736</v>
      </c>
      <c r="R742" s="223">
        <f>IFERROR(IF(Q742&gt;0,Q742-(TBIcalc!$H$9),""),"")</f>
        <v>1.5853999999999999</v>
      </c>
      <c r="S742" s="223">
        <f>IFERROR(INDEX('Ashed teabags wet'!$K$2:$K$2000,MATCH(L742,'Ashed teabags wet'!$A$2:$A$2000,0)),"")</f>
        <v>2.1037181996090717</v>
      </c>
      <c r="T742" s="223">
        <f t="shared" si="57"/>
        <v>1.5520476516633976</v>
      </c>
      <c r="U742" s="224">
        <f>'WetLitterbags placem_collection'!E83</f>
        <v>42767</v>
      </c>
      <c r="V742" s="224">
        <f>IF('WetLitterbags placem_collection'!G83="","",'WetLitterbags placem_collection'!G83)</f>
        <v>42818</v>
      </c>
      <c r="W742" s="225">
        <f t="shared" si="55"/>
        <v>51</v>
      </c>
      <c r="X742" s="223">
        <f t="shared" si="58"/>
        <v>0.32980000000000009</v>
      </c>
      <c r="Y742" s="223">
        <f t="shared" si="59"/>
        <v>0.25753355609316109</v>
      </c>
      <c r="Z742">
        <f>IFERROR(INDEX([1]Rainfall_Wet!$O$2:$O$217,MATCH(C742, [1]Rainfall_Wet!$A$2:$A$217,0)),"")</f>
        <v>185.01185076100001</v>
      </c>
      <c r="AA742" s="226">
        <v>38.691629007962128</v>
      </c>
      <c r="AB742" s="226">
        <v>26.81299763288143</v>
      </c>
      <c r="AC742" s="226">
        <v>34.495373359156439</v>
      </c>
      <c r="AD742" s="227" t="s">
        <v>2656</v>
      </c>
      <c r="AE742" s="226">
        <v>2.5483587974371611</v>
      </c>
      <c r="AF742">
        <f>IF('WetLitterbags placem_collection'!AB83="","",'WetLitterbags placem_collection'!AB83)</f>
        <v>6.2</v>
      </c>
      <c r="AG742">
        <f>IF('WetLitterbags placem_collection'!Z83="","",'WetLitterbags placem_collection'!Z83)</f>
        <v>13.3</v>
      </c>
      <c r="AH742" s="236" t="str">
        <f>IF('WetLitterbags placem_collection'!AA83="","",'WetLitterbags placem_collection'!AA83)</f>
        <v>O</v>
      </c>
      <c r="AI742">
        <f>IF('WetLitterbags placem_collection'!AC83="","",'WetLitterbags placem_collection'!AC83)</f>
        <v>0</v>
      </c>
      <c r="AJ742">
        <f>AVERAGE('WetLitterbags placem_collection'!S83,'WetLitterbags placem_collection'!U83)</f>
        <v>26.35</v>
      </c>
      <c r="AK742">
        <f>AVERAGE('WetLitterbags placem_collection'!R83,'WetLitterbags placem_collection'!T83)</f>
        <v>26.65</v>
      </c>
      <c r="AL742">
        <f>INDEX([2]Coordinates!$B$2:$B$197,MATCH(I742,[2]Coordinates!$J$2:$J$197,0))</f>
        <v>-3.2957159630000001</v>
      </c>
      <c r="AM742">
        <f>INDEX([2]Coordinates!$C$2:$C$197,MATCH(I742,[2]Coordinates!$J$2:$J$197,0))</f>
        <v>34.852460999999998</v>
      </c>
      <c r="AN742" t="str">
        <f>IF(ISNUMBER(SEARCH("C", 'WetLitterbags placem_collection'!$Y83)),"YES","NO")</f>
        <v>NO</v>
      </c>
      <c r="AO742" t="str">
        <f>IF(ISNUMBER(SEARCH("H", 'WetLitterbags placem_collection'!$Y83)),"YES","NO")</f>
        <v>NO</v>
      </c>
      <c r="AP742" t="str">
        <f>IF(ISNUMBER(SEARCH("R", 'WetLitterbags placem_collection'!$Y83)),"YES","NO")</f>
        <v>YES</v>
      </c>
    </row>
    <row r="743" spans="1:42" ht="15" customHeight="1">
      <c r="A743" t="s">
        <v>3248</v>
      </c>
      <c r="B743" s="248" t="s">
        <v>2454</v>
      </c>
      <c r="C743" s="253">
        <f>'Dry_Litterbag Placem_Collection'!A84</f>
        <v>82</v>
      </c>
      <c r="D743" s="253" t="str">
        <f>'Dry_Litterbag Placem_Collection'!B84</f>
        <v>Maswa</v>
      </c>
      <c r="E743" s="253" t="s">
        <v>2643</v>
      </c>
      <c r="F743" s="253" t="s">
        <v>2645</v>
      </c>
      <c r="G743" s="253">
        <v>3</v>
      </c>
      <c r="H743" s="253" t="s">
        <v>3114</v>
      </c>
      <c r="I743" s="254" t="str">
        <f>'Dry_Litterbag Placem_Collection'!C84</f>
        <v>Dry_W3_T2</v>
      </c>
      <c r="J743" s="263" t="s">
        <v>2932</v>
      </c>
      <c r="K743" s="264" t="s">
        <v>298</v>
      </c>
      <c r="L743" s="221" t="str">
        <f>'WetLitterbags placem_collection'!Q84</f>
        <v>R368</v>
      </c>
      <c r="M743" s="223">
        <f>IFERROR(INDEX('Green_rooibos initial weight'!$C$5:$C$2000,MATCH(L743, 'Green_rooibos initial weight'!$A$5:$A$2000,0)),"")</f>
        <v>2.2549999999999999</v>
      </c>
      <c r="N743" s="223">
        <f>IFERROR(M743-(TBIcalc!$H$9+TBIcalc!$H$10),"")</f>
        <v>2.0051999999999999</v>
      </c>
      <c r="O743" s="378">
        <f>AVERAGE(Ashed_controlls!$K$2:$K$11)</f>
        <v>5.5147656768714146</v>
      </c>
      <c r="P743" s="223">
        <f t="shared" si="56"/>
        <v>1.8946179186473744</v>
      </c>
      <c r="Q743" s="223">
        <f>IFERROR(INDEX('Both teabags AfterWet'!$C$3:$C$840,MATCH(L743,'Both teabags AfterWet'!$A$3:$A$840,0)),"")</f>
        <v>1.704</v>
      </c>
      <c r="R743" s="223">
        <f>IFERROR(IF(Q743&gt;0,Q743-(TBIcalc!$H$9),""),"")</f>
        <v>1.5533999999999999</v>
      </c>
      <c r="S743" s="223">
        <f>IFERROR(INDEX('Ashed teabags wet'!$K$2:$K$2000,MATCH(L743,'Ashed teabags wet'!$A$2:$A$2000,0)),"")</f>
        <v>4.0756914119362859</v>
      </c>
      <c r="T743" s="223">
        <f t="shared" si="57"/>
        <v>1.4900882096069816</v>
      </c>
      <c r="U743" s="224">
        <f>'WetLitterbags placem_collection'!E84</f>
        <v>42767</v>
      </c>
      <c r="V743" s="224">
        <f>IF('WetLitterbags placem_collection'!G84="","",'WetLitterbags placem_collection'!G84)</f>
        <v>42819</v>
      </c>
      <c r="W743" s="225">
        <f t="shared" si="55"/>
        <v>52</v>
      </c>
      <c r="X743" s="223">
        <f t="shared" si="58"/>
        <v>0.45179999999999998</v>
      </c>
      <c r="Y743" s="223">
        <f t="shared" si="59"/>
        <v>0.40452970904039276</v>
      </c>
      <c r="Z743">
        <f>IFERROR(INDEX([1]Rainfall_Wet!$O$2:$O$217,MATCH(C743, [1]Rainfall_Wet!$A$2:$A$217,0)),"")</f>
        <v>194.93009798400001</v>
      </c>
      <c r="AA743" s="226">
        <v>38.691629007962128</v>
      </c>
      <c r="AB743" s="226">
        <v>26.81299763288143</v>
      </c>
      <c r="AC743" s="226">
        <v>34.495373359156439</v>
      </c>
      <c r="AD743" s="227" t="s">
        <v>2656</v>
      </c>
      <c r="AE743" s="226">
        <v>3.5483587974371602</v>
      </c>
      <c r="AF743">
        <f>IF('WetLitterbags placem_collection'!AB84="","",'WetLitterbags placem_collection'!AB84)</f>
        <v>2.4</v>
      </c>
      <c r="AG743">
        <f>IF('WetLitterbags placem_collection'!Z84="","",'WetLitterbags placem_collection'!Z84)</f>
        <v>16.600000000000001</v>
      </c>
      <c r="AH743" s="236" t="str">
        <f>IF('WetLitterbags placem_collection'!AA84="","",'WetLitterbags placem_collection'!AA84)</f>
        <v>O</v>
      </c>
      <c r="AI743" t="str">
        <f>IF('WetLitterbags placem_collection'!AC84="","",'WetLitterbags placem_collection'!AC84)</f>
        <v/>
      </c>
      <c r="AJ743">
        <f>AVERAGE('WetLitterbags placem_collection'!S84,'WetLitterbags placem_collection'!U84)</f>
        <v>26.6</v>
      </c>
      <c r="AK743">
        <f>AVERAGE('WetLitterbags placem_collection'!R84,'WetLitterbags placem_collection'!T84)</f>
        <v>23.05</v>
      </c>
      <c r="AL743">
        <f>INDEX([2]Coordinates!$B$2:$B$197,MATCH(I743,[2]Coordinates!$J$2:$J$197,0))</f>
        <v>-3.2957230040000001</v>
      </c>
      <c r="AM743">
        <f>INDEX([2]Coordinates!$C$2:$C$197,MATCH(I743,[2]Coordinates!$J$2:$J$197,0))</f>
        <v>34.852416990000002</v>
      </c>
      <c r="AN743" t="str">
        <f>IF(ISNUMBER(SEARCH("C", 'WetLitterbags placem_collection'!$Y84)),"YES","NO")</f>
        <v>NO</v>
      </c>
      <c r="AO743" t="str">
        <f>IF(ISNUMBER(SEARCH("H", 'WetLitterbags placem_collection'!$Y84)),"YES","NO")</f>
        <v>NO</v>
      </c>
      <c r="AP743" t="str">
        <f>IF(ISNUMBER(SEARCH("R", 'WetLitterbags placem_collection'!$Y84)),"YES","NO")</f>
        <v>NO</v>
      </c>
    </row>
    <row r="744" spans="1:42" ht="15" customHeight="1">
      <c r="A744" t="s">
        <v>3248</v>
      </c>
      <c r="B744" s="248" t="s">
        <v>2454</v>
      </c>
      <c r="C744" s="253">
        <f>'Dry_Litterbag Placem_Collection'!A85</f>
        <v>83</v>
      </c>
      <c r="D744" s="253" t="str">
        <f>'Dry_Litterbag Placem_Collection'!B85</f>
        <v>Maswa</v>
      </c>
      <c r="E744" s="253" t="s">
        <v>2643</v>
      </c>
      <c r="F744" s="253" t="s">
        <v>2645</v>
      </c>
      <c r="G744" s="253">
        <v>3</v>
      </c>
      <c r="H744" s="253" t="s">
        <v>3114</v>
      </c>
      <c r="I744" s="254" t="str">
        <f>'Dry_Litterbag Placem_Collection'!C85</f>
        <v>Dry_W3_T3</v>
      </c>
      <c r="J744" s="263" t="s">
        <v>2932</v>
      </c>
      <c r="K744" s="264" t="s">
        <v>298</v>
      </c>
      <c r="L744" s="221" t="str">
        <f>'WetLitterbags placem_collection'!Q85</f>
        <v>R22</v>
      </c>
      <c r="M744" s="223">
        <f>IFERROR(INDEX('Green_rooibos initial weight'!$C$5:$C$2000,MATCH(L744, 'Green_rooibos initial weight'!$A$5:$A$2000,0)),"")</f>
        <v>2.0590000000000002</v>
      </c>
      <c r="N744" s="223">
        <f>IFERROR(M744-(TBIcalc!$H$9+TBIcalc!$H$10),"")</f>
        <v>1.8092000000000001</v>
      </c>
      <c r="O744" s="378">
        <f>AVERAGE(Ashed_controlls!$K$2:$K$11)</f>
        <v>5.5147656768714146</v>
      </c>
      <c r="P744" s="223">
        <f t="shared" si="56"/>
        <v>1.7094268593740425</v>
      </c>
      <c r="Q744" s="223">
        <f>IFERROR(INDEX('Both teabags AfterWet'!$C$3:$C$840,MATCH(L744,'Both teabags AfterWet'!$A$3:$A$840,0)),"")</f>
        <v>1.637</v>
      </c>
      <c r="R744" s="223">
        <f>IFERROR(IF(Q744&gt;0,Q744-(TBIcalc!$H$9),""),"")</f>
        <v>1.4863999999999999</v>
      </c>
      <c r="S744" s="223">
        <f>IFERROR(INDEX('Ashed teabags wet'!$K$2:$K$2000,MATCH(L744,'Ashed teabags wet'!$A$2:$A$2000,0)),"")</f>
        <v>7.3339940535177606</v>
      </c>
      <c r="T744" s="223">
        <f t="shared" si="57"/>
        <v>1.377387512388512</v>
      </c>
      <c r="U744" s="224">
        <f>'WetLitterbags placem_collection'!E85</f>
        <v>42767</v>
      </c>
      <c r="V744" s="224">
        <f>IF('WetLitterbags placem_collection'!G85="","",'WetLitterbags placem_collection'!G85)</f>
        <v>42819</v>
      </c>
      <c r="W744" s="225">
        <f t="shared" si="55"/>
        <v>52</v>
      </c>
      <c r="X744" s="223">
        <f t="shared" si="58"/>
        <v>0.3228000000000002</v>
      </c>
      <c r="Y744" s="223">
        <f t="shared" si="59"/>
        <v>0.3320393469855305</v>
      </c>
      <c r="Z744">
        <f>IFERROR(INDEX([1]Rainfall_Wet!$O$2:$O$217,MATCH(C744, [1]Rainfall_Wet!$A$2:$A$217,0)),"")</f>
        <v>194.93009798400001</v>
      </c>
      <c r="AA744" s="226">
        <v>38.691629007962128</v>
      </c>
      <c r="AB744" s="226">
        <v>26.81299763288143</v>
      </c>
      <c r="AC744" s="226">
        <v>34.495373359156439</v>
      </c>
      <c r="AD744" s="227" t="s">
        <v>2656</v>
      </c>
      <c r="AE744" s="226">
        <v>4.5483587974371602</v>
      </c>
      <c r="AF744">
        <f>IF('WetLitterbags placem_collection'!AB85="","",'WetLitterbags placem_collection'!AB85)</f>
        <v>6.4</v>
      </c>
      <c r="AG744">
        <f>IF('WetLitterbags placem_collection'!Z85="","",'WetLitterbags placem_collection'!Z85)</f>
        <v>42</v>
      </c>
      <c r="AH744" s="236" t="str">
        <f>IF('WetLitterbags placem_collection'!AA85="","",'WetLitterbags placem_collection'!AA85)</f>
        <v>M</v>
      </c>
      <c r="AI744">
        <f>IF('WetLitterbags placem_collection'!AC85="","",'WetLitterbags placem_collection'!AC85)</f>
        <v>1</v>
      </c>
      <c r="AJ744">
        <f>AVERAGE('WetLitterbags placem_collection'!S85,'WetLitterbags placem_collection'!U85)</f>
        <v>30.099999999999998</v>
      </c>
      <c r="AK744">
        <f>AVERAGE('WetLitterbags placem_collection'!R85,'WetLitterbags placem_collection'!T85)</f>
        <v>25.05</v>
      </c>
      <c r="AL744">
        <f>INDEX([2]Coordinates!$B$2:$B$197,MATCH(I744,[2]Coordinates!$J$2:$J$197,0))</f>
        <v>-3.2957430369999998</v>
      </c>
      <c r="AM744">
        <f>INDEX([2]Coordinates!$C$2:$C$197,MATCH(I744,[2]Coordinates!$J$2:$J$197,0))</f>
        <v>34.852309030000001</v>
      </c>
      <c r="AN744" t="str">
        <f>IF(ISNUMBER(SEARCH("C", 'WetLitterbags placem_collection'!$Y85)),"YES","NO")</f>
        <v>NO</v>
      </c>
      <c r="AO744" t="str">
        <f>IF(ISNUMBER(SEARCH("H", 'WetLitterbags placem_collection'!$Y85)),"YES","NO")</f>
        <v>NO</v>
      </c>
      <c r="AP744" t="str">
        <f>IF(ISNUMBER(SEARCH("R", 'WetLitterbags placem_collection'!$Y85)),"YES","NO")</f>
        <v>NO</v>
      </c>
    </row>
    <row r="745" spans="1:42" ht="15" customHeight="1">
      <c r="A745" t="s">
        <v>3248</v>
      </c>
      <c r="B745" s="248" t="s">
        <v>2454</v>
      </c>
      <c r="C745" s="253">
        <f>'Dry_Litterbag Placem_Collection'!A86</f>
        <v>84</v>
      </c>
      <c r="D745" s="253" t="str">
        <f>'Dry_Litterbag Placem_Collection'!B86</f>
        <v>Maswa</v>
      </c>
      <c r="E745" s="253" t="s">
        <v>2643</v>
      </c>
      <c r="F745" s="253" t="s">
        <v>2645</v>
      </c>
      <c r="G745" s="253">
        <v>3</v>
      </c>
      <c r="H745" s="253" t="s">
        <v>3114</v>
      </c>
      <c r="I745" s="254" t="str">
        <f>'Dry_Litterbag Placem_Collection'!C86</f>
        <v>Dry_W3_T4</v>
      </c>
      <c r="J745" s="263" t="s">
        <v>2932</v>
      </c>
      <c r="K745" s="264" t="s">
        <v>298</v>
      </c>
      <c r="L745" s="221" t="str">
        <f>'WetLitterbags placem_collection'!Q86</f>
        <v>R417</v>
      </c>
      <c r="M745" s="223">
        <f>IFERROR(INDEX('Green_rooibos initial weight'!$C$5:$C$2000,MATCH(L745, 'Green_rooibos initial weight'!$A$5:$A$2000,0)),"")</f>
        <v>2.2269999999999999</v>
      </c>
      <c r="N745" s="223">
        <f>IFERROR(M745-(TBIcalc!$H$9+TBIcalc!$H$10),"")</f>
        <v>1.9771999999999998</v>
      </c>
      <c r="O745" s="378">
        <f>AVERAGE(Ashed_controlls!$K$2:$K$11)</f>
        <v>5.5147656768714146</v>
      </c>
      <c r="P745" s="223">
        <f t="shared" si="56"/>
        <v>1.8681620530368983</v>
      </c>
      <c r="Q745" s="223">
        <f>IFERROR(INDEX('Both teabags AfterWet'!$C$3:$C$840,MATCH(L745,'Both teabags AfterWet'!$A$3:$A$840,0)),"")</f>
        <v>1.5820000000000001</v>
      </c>
      <c r="R745" s="223">
        <f>IFERROR(IF(Q745&gt;0,Q745-(TBIcalc!$H$9),""),"")</f>
        <v>1.4314</v>
      </c>
      <c r="S745" s="223">
        <f>IFERROR(INDEX('Ashed teabags wet'!$K$2:$K$2000,MATCH(L745,'Ashed teabags wet'!$A$2:$A$2000,0)),"")</f>
        <v>7.3412698412690327</v>
      </c>
      <c r="T745" s="223">
        <f t="shared" si="57"/>
        <v>1.3263170634920751</v>
      </c>
      <c r="U745" s="224">
        <f>'WetLitterbags placem_collection'!E86</f>
        <v>42767</v>
      </c>
      <c r="V745" s="224">
        <f>IF('WetLitterbags placem_collection'!G86="","",'WetLitterbags placem_collection'!G86)</f>
        <v>42819</v>
      </c>
      <c r="W745" s="225">
        <f t="shared" si="55"/>
        <v>52</v>
      </c>
      <c r="X745" s="223">
        <f t="shared" si="58"/>
        <v>0.54579999999999984</v>
      </c>
      <c r="Y745" s="223">
        <f t="shared" si="59"/>
        <v>0.54184498954482319</v>
      </c>
      <c r="Z745">
        <f>IFERROR(INDEX([1]Rainfall_Wet!$O$2:$O$217,MATCH(C745, [1]Rainfall_Wet!$A$2:$A$217,0)),"")</f>
        <v>194.93009798400001</v>
      </c>
      <c r="AA745" s="226">
        <v>38.691629007962128</v>
      </c>
      <c r="AB745" s="226">
        <v>26.81299763288143</v>
      </c>
      <c r="AC745" s="226">
        <v>34.495373359156439</v>
      </c>
      <c r="AD745" s="227" t="s">
        <v>2656</v>
      </c>
      <c r="AE745" s="226">
        <v>5.5483587974371602</v>
      </c>
      <c r="AF745">
        <f>IF('WetLitterbags placem_collection'!AB86="","",'WetLitterbags placem_collection'!AB86)</f>
        <v>5.5</v>
      </c>
      <c r="AG745">
        <f>IF('WetLitterbags placem_collection'!Z86="","",'WetLitterbags placem_collection'!Z86)</f>
        <v>55.8</v>
      </c>
      <c r="AH745" s="236" t="str">
        <f>IF('WetLitterbags placem_collection'!AA86="","",'WetLitterbags placem_collection'!AA86)</f>
        <v>M</v>
      </c>
      <c r="AI745">
        <f>IF('WetLitterbags placem_collection'!AC86="","",'WetLitterbags placem_collection'!AC86)</f>
        <v>1</v>
      </c>
      <c r="AJ745">
        <f>AVERAGE('WetLitterbags placem_collection'!S86,'WetLitterbags placem_collection'!U86)</f>
        <v>27.75</v>
      </c>
      <c r="AK745">
        <f>AVERAGE('WetLitterbags placem_collection'!R86,'WetLitterbags placem_collection'!T86)</f>
        <v>23.6</v>
      </c>
      <c r="AL745">
        <f>INDEX([2]Coordinates!$B$2:$B$197,MATCH(I745,[2]Coordinates!$J$2:$J$197,0))</f>
        <v>-3.295795005</v>
      </c>
      <c r="AM745">
        <f>INDEX([2]Coordinates!$C$2:$C$197,MATCH(I745,[2]Coordinates!$J$2:$J$197,0))</f>
        <v>34.85232001</v>
      </c>
      <c r="AN745" t="str">
        <f>IF(ISNUMBER(SEARCH("C", 'WetLitterbags placem_collection'!$Y86)),"YES","NO")</f>
        <v>NO</v>
      </c>
      <c r="AO745" t="str">
        <f>IF(ISNUMBER(SEARCH("H", 'WetLitterbags placem_collection'!$Y86)),"YES","NO")</f>
        <v>NO</v>
      </c>
      <c r="AP745" t="str">
        <f>IF(ISNUMBER(SEARCH("R", 'WetLitterbags placem_collection'!$Y86)),"YES","NO")</f>
        <v>YES</v>
      </c>
    </row>
    <row r="746" spans="1:42" ht="15" customHeight="1">
      <c r="A746" t="s">
        <v>3248</v>
      </c>
      <c r="B746" s="248" t="s">
        <v>2454</v>
      </c>
      <c r="C746" s="253">
        <f>'Dry_Litterbag Placem_Collection'!A87</f>
        <v>85</v>
      </c>
      <c r="D746" s="253" t="str">
        <f>'Dry_Litterbag Placem_Collection'!B87</f>
        <v>Maswa</v>
      </c>
      <c r="E746" s="253" t="s">
        <v>2643</v>
      </c>
      <c r="F746" s="253" t="s">
        <v>2645</v>
      </c>
      <c r="G746" s="253">
        <v>3</v>
      </c>
      <c r="H746" s="253" t="s">
        <v>3114</v>
      </c>
      <c r="I746" s="254" t="str">
        <f>'Dry_Litterbag Placem_Collection'!C87</f>
        <v>Dry_W3_T5</v>
      </c>
      <c r="J746" s="263" t="s">
        <v>2932</v>
      </c>
      <c r="K746" s="264" t="s">
        <v>298</v>
      </c>
      <c r="L746" s="221" t="str">
        <f>'WetLitterbags placem_collection'!Q87</f>
        <v>R391</v>
      </c>
      <c r="M746" s="223">
        <f>IFERROR(INDEX('Green_rooibos initial weight'!$C$5:$C$2000,MATCH(L746, 'Green_rooibos initial weight'!$A$5:$A$2000,0)),"")</f>
        <v>2.1960000000000002</v>
      </c>
      <c r="N746" s="223">
        <f>IFERROR(M746-(TBIcalc!$H$9+TBIcalc!$H$10),"")</f>
        <v>1.9462000000000002</v>
      </c>
      <c r="O746" s="378">
        <f>AVERAGE(Ashed_controlls!$K$2:$K$11)</f>
        <v>5.5147656768714146</v>
      </c>
      <c r="P746" s="223">
        <f t="shared" si="56"/>
        <v>1.8388716303967287</v>
      </c>
      <c r="Q746" s="223">
        <f>IFERROR(INDEX('Both teabags AfterWet'!$C$3:$C$840,MATCH(L746,'Both teabags AfterWet'!$A$3:$A$840,0)),"")</f>
        <v>1.6220000000000001</v>
      </c>
      <c r="R746" s="223">
        <f>IFERROR(IF(Q746&gt;0,Q746-(TBIcalc!$H$9),""),"")</f>
        <v>1.4714</v>
      </c>
      <c r="S746" s="223">
        <f>IFERROR(INDEX('Ashed teabags wet'!$K$2:$K$2000,MATCH(L746,'Ashed teabags wet'!$A$2:$A$2000,0)),"")</f>
        <v>3.6463536463541599</v>
      </c>
      <c r="T746" s="223">
        <f t="shared" si="57"/>
        <v>1.4177475524475449</v>
      </c>
      <c r="U746" s="224">
        <f>'WetLitterbags placem_collection'!E87</f>
        <v>42767</v>
      </c>
      <c r="V746" s="224">
        <f>IF('WetLitterbags placem_collection'!G87="","",'WetLitterbags placem_collection'!G87)</f>
        <v>42819</v>
      </c>
      <c r="W746" s="225">
        <f t="shared" si="55"/>
        <v>52</v>
      </c>
      <c r="X746" s="223">
        <f t="shared" si="58"/>
        <v>0.47480000000000011</v>
      </c>
      <c r="Y746" s="223">
        <f t="shared" si="59"/>
        <v>0.42112407794918383</v>
      </c>
      <c r="Z746">
        <f>IFERROR(INDEX([1]Rainfall_Wet!$O$2:$O$217,MATCH(C746, [1]Rainfall_Wet!$A$2:$A$217,0)),"")</f>
        <v>194.93009798400001</v>
      </c>
      <c r="AA746" s="226">
        <v>38.691629007962128</v>
      </c>
      <c r="AB746" s="226">
        <v>26.81299763288143</v>
      </c>
      <c r="AC746" s="226">
        <v>34.495373359156439</v>
      </c>
      <c r="AD746" s="227" t="s">
        <v>2656</v>
      </c>
      <c r="AE746" s="226">
        <v>6.5483587974371602</v>
      </c>
      <c r="AF746">
        <f>IF('WetLitterbags placem_collection'!AB87="","",'WetLitterbags placem_collection'!AB87)</f>
        <v>8.6</v>
      </c>
      <c r="AG746">
        <f>IF('WetLitterbags placem_collection'!Z87="","",'WetLitterbags placem_collection'!Z87)</f>
        <v>3.8</v>
      </c>
      <c r="AH746" s="236" t="str">
        <f>IF('WetLitterbags placem_collection'!AA87="","",'WetLitterbags placem_collection'!AA87)</f>
        <v>O</v>
      </c>
      <c r="AI746">
        <f>IF('WetLitterbags placem_collection'!AC87="","",'WetLitterbags placem_collection'!AC87)</f>
        <v>0</v>
      </c>
      <c r="AJ746">
        <f>AVERAGE('WetLitterbags placem_collection'!S87,'WetLitterbags placem_collection'!U87)</f>
        <v>26.55</v>
      </c>
      <c r="AK746">
        <f>AVERAGE('WetLitterbags placem_collection'!R87,'WetLitterbags placem_collection'!T87)</f>
        <v>23.15</v>
      </c>
      <c r="AL746">
        <f>INDEX([2]Coordinates!$B$2:$B$197,MATCH(I746,[2]Coordinates!$J$2:$J$197,0))</f>
        <v>-3.2957100119999998</v>
      </c>
      <c r="AM746">
        <f>INDEX([2]Coordinates!$C$2:$C$197,MATCH(I746,[2]Coordinates!$J$2:$J$197,0))</f>
        <v>34.852283970000002</v>
      </c>
      <c r="AN746" t="str">
        <f>IF(ISNUMBER(SEARCH("C", 'WetLitterbags placem_collection'!$Y87)),"YES","NO")</f>
        <v>NO</v>
      </c>
      <c r="AO746" t="str">
        <f>IF(ISNUMBER(SEARCH("H", 'WetLitterbags placem_collection'!$Y87)),"YES","NO")</f>
        <v>NO</v>
      </c>
      <c r="AP746" t="str">
        <f>IF(ISNUMBER(SEARCH("R", 'WetLitterbags placem_collection'!$Y87)),"YES","NO")</f>
        <v>NO</v>
      </c>
    </row>
    <row r="747" spans="1:42" ht="15" customHeight="1">
      <c r="A747" t="s">
        <v>3248</v>
      </c>
      <c r="B747" s="248" t="s">
        <v>2454</v>
      </c>
      <c r="C747" s="253">
        <f>'Dry_Litterbag Placem_Collection'!A88</f>
        <v>86</v>
      </c>
      <c r="D747" s="253" t="str">
        <f>'Dry_Litterbag Placem_Collection'!B88</f>
        <v>Maswa</v>
      </c>
      <c r="E747" s="253" t="s">
        <v>2643</v>
      </c>
      <c r="F747" s="253" t="s">
        <v>2645</v>
      </c>
      <c r="G747" s="253">
        <v>3</v>
      </c>
      <c r="H747" s="253" t="s">
        <v>3114</v>
      </c>
      <c r="I747" s="254" t="str">
        <f>'Dry_Litterbag Placem_Collection'!C88</f>
        <v>Dry_W3_T6</v>
      </c>
      <c r="J747" s="263" t="s">
        <v>2932</v>
      </c>
      <c r="K747" s="264" t="s">
        <v>298</v>
      </c>
      <c r="L747" s="221" t="str">
        <f>'WetLitterbags placem_collection'!Q88</f>
        <v>R62</v>
      </c>
      <c r="M747" s="223">
        <f>IFERROR(INDEX('Green_rooibos initial weight'!$C$5:$C$2000,MATCH(L747, 'Green_rooibos initial weight'!$A$5:$A$2000,0)),"")</f>
        <v>2.3660000000000001</v>
      </c>
      <c r="N747" s="223">
        <f>IFERROR(M747-(TBIcalc!$H$9+TBIcalc!$H$10),"")</f>
        <v>2.1162000000000001</v>
      </c>
      <c r="O747" s="378">
        <f>AVERAGE(Ashed_controlls!$K$2:$K$11)</f>
        <v>5.5147656768714146</v>
      </c>
      <c r="P747" s="223">
        <f t="shared" si="56"/>
        <v>1.9994965287460471</v>
      </c>
      <c r="Q747" s="223">
        <f>IFERROR(INDEX('Both teabags AfterWet'!$C$3:$C$840,MATCH(L747,'Both teabags AfterWet'!$A$3:$A$840,0)),"")</f>
        <v>1.6786000000000001</v>
      </c>
      <c r="R747" s="223">
        <f>IFERROR(IF(Q747&gt;0,Q747-(TBIcalc!$H$9),""),"")</f>
        <v>1.528</v>
      </c>
      <c r="S747" s="223">
        <f>IFERROR(INDEX('Ashed teabags wet'!$K$2:$K$2000,MATCH(L747,'Ashed teabags wet'!$A$2:$A$2000,0)),"")</f>
        <v>28.338278931750832</v>
      </c>
      <c r="T747" s="223">
        <f t="shared" si="57"/>
        <v>1.0949910979228474</v>
      </c>
      <c r="U747" s="224">
        <f>'WetLitterbags placem_collection'!E88</f>
        <v>42767</v>
      </c>
      <c r="V747" s="224">
        <f>IF('WetLitterbags placem_collection'!G88="","",'WetLitterbags placem_collection'!G88)</f>
        <v>42819</v>
      </c>
      <c r="W747" s="225">
        <f t="shared" si="55"/>
        <v>52</v>
      </c>
      <c r="X747" s="223">
        <f t="shared" si="58"/>
        <v>0.58820000000000006</v>
      </c>
      <c r="Y747" s="223">
        <f t="shared" si="59"/>
        <v>0.90450543082319967</v>
      </c>
      <c r="Z747">
        <f>IFERROR(INDEX([1]Rainfall_Wet!$O$2:$O$217,MATCH(C747, [1]Rainfall_Wet!$A$2:$A$217,0)),"")</f>
        <v>194.93009798400001</v>
      </c>
      <c r="AA747" s="226">
        <v>38.691629007962128</v>
      </c>
      <c r="AB747" s="226">
        <v>26.81299763288143</v>
      </c>
      <c r="AC747" s="226">
        <v>34.495373359156439</v>
      </c>
      <c r="AD747" s="227" t="s">
        <v>2656</v>
      </c>
      <c r="AE747" s="226">
        <v>7.5483587974371602</v>
      </c>
      <c r="AF747">
        <f>IF('WetLitterbags placem_collection'!AB88="","",'WetLitterbags placem_collection'!AB88)</f>
        <v>3.7</v>
      </c>
      <c r="AG747">
        <f>IF('WetLitterbags placem_collection'!Z88="","",'WetLitterbags placem_collection'!Z88)</f>
        <v>7.5</v>
      </c>
      <c r="AH747" s="236" t="str">
        <f>IF('WetLitterbags placem_collection'!AA88="","",'WetLitterbags placem_collection'!AA88)</f>
        <v>O</v>
      </c>
      <c r="AI747">
        <f>IF('WetLitterbags placem_collection'!AC88="","",'WetLitterbags placem_collection'!AC88)</f>
        <v>0</v>
      </c>
      <c r="AJ747">
        <f>AVERAGE('WetLitterbags placem_collection'!S88,'WetLitterbags placem_collection'!U88)</f>
        <v>24.05</v>
      </c>
      <c r="AK747">
        <f>AVERAGE('WetLitterbags placem_collection'!R88,'WetLitterbags placem_collection'!T88)</f>
        <v>25.799999999999997</v>
      </c>
      <c r="AL747">
        <f>INDEX([2]Coordinates!$B$2:$B$197,MATCH(I747,[2]Coordinates!$J$2:$J$197,0))</f>
        <v>-3.2956140399999998</v>
      </c>
      <c r="AM747">
        <f>INDEX([2]Coordinates!$C$2:$C$197,MATCH(I747,[2]Coordinates!$J$2:$J$197,0))</f>
        <v>34.852137030000002</v>
      </c>
      <c r="AN747" t="str">
        <f>IF(ISNUMBER(SEARCH("C", 'WetLitterbags placem_collection'!$Y88)),"YES","NO")</f>
        <v>NO</v>
      </c>
      <c r="AO747" t="str">
        <f>IF(ISNUMBER(SEARCH("H", 'WetLitterbags placem_collection'!$Y88)),"YES","NO")</f>
        <v>NO</v>
      </c>
      <c r="AP747" t="str">
        <f>IF(ISNUMBER(SEARCH("R", 'WetLitterbags placem_collection'!$Y88)),"YES","NO")</f>
        <v>NO</v>
      </c>
    </row>
    <row r="748" spans="1:42" ht="15" customHeight="1">
      <c r="A748" t="s">
        <v>3248</v>
      </c>
      <c r="B748" s="248" t="s">
        <v>2454</v>
      </c>
      <c r="C748" s="253">
        <f>'Dry_Litterbag Placem_Collection'!A89</f>
        <v>87</v>
      </c>
      <c r="D748" s="253" t="str">
        <f>'Dry_Litterbag Placem_Collection'!B89</f>
        <v>Maswa</v>
      </c>
      <c r="E748" s="253" t="s">
        <v>2643</v>
      </c>
      <c r="F748" s="253" t="s">
        <v>2645</v>
      </c>
      <c r="G748" s="253">
        <v>3</v>
      </c>
      <c r="H748" s="253" t="s">
        <v>3114</v>
      </c>
      <c r="I748" s="254" t="str">
        <f>'Dry_Litterbag Placem_Collection'!C89</f>
        <v>Dry_W3_T7</v>
      </c>
      <c r="J748" s="263" t="s">
        <v>2932</v>
      </c>
      <c r="K748" s="264" t="s">
        <v>298</v>
      </c>
      <c r="L748" s="221" t="str">
        <f>'WetLitterbags placem_collection'!Q89</f>
        <v>R329</v>
      </c>
      <c r="M748" s="223">
        <f>IFERROR(INDEX('Green_rooibos initial weight'!$C$5:$C$2000,MATCH(L748, 'Green_rooibos initial weight'!$A$5:$A$2000,0)),"")</f>
        <v>2.2120000000000002</v>
      </c>
      <c r="N748" s="223">
        <f>IFERROR(M748-(TBIcalc!$H$9+TBIcalc!$H$10),"")</f>
        <v>1.9622000000000002</v>
      </c>
      <c r="O748" s="378">
        <f>AVERAGE(Ashed_controlls!$K$2:$K$11)</f>
        <v>5.5147656768714146</v>
      </c>
      <c r="P748" s="223">
        <f t="shared" si="56"/>
        <v>1.8539892678884293</v>
      </c>
      <c r="Q748" s="223">
        <f>IFERROR(INDEX('Both teabags AfterWet'!$C$3:$C$840,MATCH(L748,'Both teabags AfterWet'!$A$3:$A$840,0)),"")</f>
        <v>1.7085999999999999</v>
      </c>
      <c r="R748" s="223">
        <f>IFERROR(IF(Q748&gt;0,Q748-(TBIcalc!$H$9),""),"")</f>
        <v>1.5579999999999998</v>
      </c>
      <c r="S748" s="223">
        <f>IFERROR(INDEX('Ashed teabags wet'!$K$2:$K$2000,MATCH(L748,'Ashed teabags wet'!$A$2:$A$2000,0)),"")</f>
        <v>5.7663873829462604</v>
      </c>
      <c r="T748" s="223">
        <f t="shared" si="57"/>
        <v>1.4681596845736971</v>
      </c>
      <c r="U748" s="224">
        <f>'WetLitterbags placem_collection'!E89</f>
        <v>42767</v>
      </c>
      <c r="V748" s="224">
        <f>IF('WetLitterbags placem_collection'!G89="","",'WetLitterbags placem_collection'!G89)</f>
        <v>42819</v>
      </c>
      <c r="W748" s="225">
        <f t="shared" si="55"/>
        <v>52</v>
      </c>
      <c r="X748" s="223">
        <f t="shared" si="58"/>
        <v>0.40420000000000034</v>
      </c>
      <c r="Y748" s="223">
        <f t="shared" si="59"/>
        <v>0.38582958331473227</v>
      </c>
      <c r="Z748">
        <f>IFERROR(INDEX([1]Rainfall_Wet!$O$2:$O$217,MATCH(C748, [1]Rainfall_Wet!$A$2:$A$217,0)),"")</f>
        <v>194.93009798400001</v>
      </c>
      <c r="AA748" s="226">
        <v>38.691629007962128</v>
      </c>
      <c r="AB748" s="226">
        <v>26.81299763288143</v>
      </c>
      <c r="AC748" s="226">
        <v>34.495373359156439</v>
      </c>
      <c r="AD748" s="227" t="s">
        <v>2656</v>
      </c>
      <c r="AE748" s="226">
        <v>8.5483587974371602</v>
      </c>
      <c r="AF748">
        <f>IF('WetLitterbags placem_collection'!AB89="","",'WetLitterbags placem_collection'!AB89)</f>
        <v>7.5</v>
      </c>
      <c r="AG748">
        <f>IF('WetLitterbags placem_collection'!Z89="","",'WetLitterbags placem_collection'!Z89)</f>
        <v>12.6</v>
      </c>
      <c r="AH748" s="236" t="str">
        <f>IF('WetLitterbags placem_collection'!AA89="","",'WetLitterbags placem_collection'!AA89)</f>
        <v>O</v>
      </c>
      <c r="AI748">
        <f>IF('WetLitterbags placem_collection'!AC89="","",'WetLitterbags placem_collection'!AC89)</f>
        <v>1</v>
      </c>
      <c r="AJ748">
        <f>AVERAGE('WetLitterbags placem_collection'!S89,'WetLitterbags placem_collection'!U89)</f>
        <v>25.85</v>
      </c>
      <c r="AK748">
        <f>AVERAGE('WetLitterbags placem_collection'!R89,'WetLitterbags placem_collection'!T89)</f>
        <v>21.55</v>
      </c>
      <c r="AL748">
        <f>INDEX([2]Coordinates!$B$2:$B$197,MATCH(I748,[2]Coordinates!$J$2:$J$197,0))</f>
        <v>-3.295904975</v>
      </c>
      <c r="AM748">
        <f>INDEX([2]Coordinates!$C$2:$C$197,MATCH(I748,[2]Coordinates!$J$2:$J$197,0))</f>
        <v>34.852136029999997</v>
      </c>
      <c r="AN748" t="str">
        <f>IF(ISNUMBER(SEARCH("C", 'WetLitterbags placem_collection'!$Y89)),"YES","NO")</f>
        <v>NO</v>
      </c>
      <c r="AO748" t="str">
        <f>IF(ISNUMBER(SEARCH("H", 'WetLitterbags placem_collection'!$Y89)),"YES","NO")</f>
        <v>NO</v>
      </c>
      <c r="AP748" t="str">
        <f>IF(ISNUMBER(SEARCH("R", 'WetLitterbags placem_collection'!$Y89)),"YES","NO")</f>
        <v>NO</v>
      </c>
    </row>
    <row r="749" spans="1:42" ht="15" customHeight="1">
      <c r="A749" t="s">
        <v>3248</v>
      </c>
      <c r="B749" s="248" t="s">
        <v>2454</v>
      </c>
      <c r="C749" s="253">
        <f>'Dry_Litterbag Placem_Collection'!A90</f>
        <v>88</v>
      </c>
      <c r="D749" s="253" t="str">
        <f>'Dry_Litterbag Placem_Collection'!B90</f>
        <v>Maswa</v>
      </c>
      <c r="E749" s="253" t="s">
        <v>2643</v>
      </c>
      <c r="F749" s="253" t="s">
        <v>2645</v>
      </c>
      <c r="G749" s="253">
        <v>3</v>
      </c>
      <c r="H749" s="253" t="s">
        <v>3114</v>
      </c>
      <c r="I749" s="254" t="str">
        <f>'Dry_Litterbag Placem_Collection'!C90</f>
        <v>Dry_W3_T8</v>
      </c>
      <c r="J749" s="263" t="s">
        <v>2932</v>
      </c>
      <c r="K749" s="264" t="s">
        <v>298</v>
      </c>
      <c r="L749" s="221" t="str">
        <f>'WetLitterbags placem_collection'!Q90</f>
        <v>R288</v>
      </c>
      <c r="M749" s="223">
        <f>IFERROR(INDEX('Green_rooibos initial weight'!$C$5:$C$2000,MATCH(L749, 'Green_rooibos initial weight'!$A$5:$A$2000,0)),"")</f>
        <v>2.2450000000000001</v>
      </c>
      <c r="N749" s="223">
        <f>IFERROR(M749-(TBIcalc!$H$9+TBIcalc!$H$10),"")</f>
        <v>1.9952000000000001</v>
      </c>
      <c r="O749" s="378">
        <f>AVERAGE(Ashed_controlls!$K$2:$K$11)</f>
        <v>5.5147656768714146</v>
      </c>
      <c r="P749" s="223">
        <f t="shared" si="56"/>
        <v>1.8851693952150617</v>
      </c>
      <c r="Q749" s="223">
        <f>IFERROR(INDEX('Both teabags AfterWet'!$C$3:$C$840,MATCH(L749,'Both teabags AfterWet'!$A$3:$A$840,0)),"")</f>
        <v>1.514</v>
      </c>
      <c r="R749" s="223">
        <f>IFERROR(IF(Q749&gt;0,Q749-(TBIcalc!$H$9),""),"")</f>
        <v>1.3633999999999999</v>
      </c>
      <c r="S749" s="223">
        <f>IFERROR(INDEX('Ashed teabags wet'!$K$2:$K$2000,MATCH(L749,'Ashed teabags wet'!$A$2:$A$2000,0)),"")</f>
        <v>4.106972301815091</v>
      </c>
      <c r="T749" s="223">
        <f t="shared" si="57"/>
        <v>1.307405539637053</v>
      </c>
      <c r="U749" s="224">
        <f>'WetLitterbags placem_collection'!E90</f>
        <v>42767</v>
      </c>
      <c r="V749" s="224">
        <f>IF('WetLitterbags placem_collection'!G90="","",'WetLitterbags placem_collection'!G90)</f>
        <v>42819</v>
      </c>
      <c r="W749" s="225">
        <f t="shared" si="55"/>
        <v>52</v>
      </c>
      <c r="X749" s="223">
        <f t="shared" si="58"/>
        <v>0.63180000000000014</v>
      </c>
      <c r="Y749" s="223">
        <f t="shared" si="59"/>
        <v>0.57776385557800869</v>
      </c>
      <c r="Z749" t="str">
        <f>IFERROR(INDEX([1]Rainfall_Wet!$O$2:$O$217,MATCH(C749, [1]Rainfall_Wet!$A$2:$A$217,0)),"")</f>
        <v/>
      </c>
      <c r="AA749" s="226">
        <v>38.691629007962128</v>
      </c>
      <c r="AB749" s="226">
        <v>26.81299763288143</v>
      </c>
      <c r="AC749" s="226">
        <v>34.495373359156439</v>
      </c>
      <c r="AD749" s="227" t="s">
        <v>2656</v>
      </c>
      <c r="AE749" s="226">
        <v>9.5483587974371602</v>
      </c>
      <c r="AF749" t="str">
        <f>IF('WetLitterbags placem_collection'!AB90="","",'WetLitterbags placem_collection'!AB90)</f>
        <v/>
      </c>
      <c r="AG749" t="str">
        <f>IF('WetLitterbags placem_collection'!Z90="","",'WetLitterbags placem_collection'!Z90)</f>
        <v/>
      </c>
      <c r="AH749" s="236" t="str">
        <f>IF('WetLitterbags placem_collection'!AA90="","",'WetLitterbags placem_collection'!AA90)</f>
        <v/>
      </c>
      <c r="AI749" t="str">
        <f>IF('WetLitterbags placem_collection'!AC90="","",'WetLitterbags placem_collection'!AC90)</f>
        <v/>
      </c>
      <c r="AJ749">
        <f>AVERAGE('WetLitterbags placem_collection'!S90,'WetLitterbags placem_collection'!U90)</f>
        <v>29.7</v>
      </c>
      <c r="AK749">
        <f>AVERAGE('WetLitterbags placem_collection'!R90,'WetLitterbags placem_collection'!T90)</f>
        <v>21.4</v>
      </c>
      <c r="AL749">
        <f>INDEX([2]Coordinates!$B$2:$B$197,MATCH(I749,[2]Coordinates!$J$2:$J$197,0))</f>
        <v>-3.2959530039999998</v>
      </c>
      <c r="AM749">
        <f>INDEX([2]Coordinates!$C$2:$C$197,MATCH(I749,[2]Coordinates!$J$2:$J$197,0))</f>
        <v>34.85242504</v>
      </c>
      <c r="AN749" t="str">
        <f>IF(ISNUMBER(SEARCH("C", 'WetLitterbags placem_collection'!$Y90)),"YES","NO")</f>
        <v>NO</v>
      </c>
      <c r="AO749" t="str">
        <f>IF(ISNUMBER(SEARCH("H", 'WetLitterbags placem_collection'!$Y90)),"YES","NO")</f>
        <v>NO</v>
      </c>
      <c r="AP749" t="str">
        <f>IF(ISNUMBER(SEARCH("R", 'WetLitterbags placem_collection'!$Y90)),"YES","NO")</f>
        <v>NO</v>
      </c>
    </row>
    <row r="750" spans="1:42" ht="15" customHeight="1">
      <c r="A750" t="s">
        <v>3248</v>
      </c>
      <c r="B750" s="248" t="s">
        <v>2454</v>
      </c>
      <c r="C750" s="253">
        <f>'Dry_Litterbag Placem_Collection'!A91</f>
        <v>89</v>
      </c>
      <c r="D750" s="253" t="str">
        <f>'Dry_Litterbag Placem_Collection'!B91</f>
        <v>Maswa</v>
      </c>
      <c r="E750" s="253" t="s">
        <v>2643</v>
      </c>
      <c r="F750" s="253" t="s">
        <v>2645</v>
      </c>
      <c r="G750" s="253">
        <v>4</v>
      </c>
      <c r="H750" s="253" t="s">
        <v>3115</v>
      </c>
      <c r="I750" s="254" t="str">
        <f>'Dry_Litterbag Placem_Collection'!C91</f>
        <v>Dry_W4_T1</v>
      </c>
      <c r="J750" s="263" t="s">
        <v>2932</v>
      </c>
      <c r="K750" s="264" t="s">
        <v>298</v>
      </c>
      <c r="L750" s="221" t="str">
        <f>'WetLitterbags placem_collection'!Q91</f>
        <v>R171</v>
      </c>
      <c r="M750" s="223">
        <f>IFERROR(INDEX('Green_rooibos initial weight'!$C$5:$C$2000,MATCH(L750, 'Green_rooibos initial weight'!$A$5:$A$2000,0)),"")</f>
        <v>2.1160000000000001</v>
      </c>
      <c r="N750" s="223">
        <f>IFERROR(M750-(TBIcalc!$H$9+TBIcalc!$H$10),"")</f>
        <v>1.8662000000000001</v>
      </c>
      <c r="O750" s="378">
        <f>AVERAGE(Ashed_controlls!$K$2:$K$11)</f>
        <v>5.5147656768714146</v>
      </c>
      <c r="P750" s="223">
        <f t="shared" si="56"/>
        <v>1.7632834429382258</v>
      </c>
      <c r="Q750" s="223">
        <f>IFERROR(INDEX('Both teabags AfterWet'!$C$3:$C$840,MATCH(L750,'Both teabags AfterWet'!$A$3:$A$840,0)),"")</f>
        <v>2.0529999999999999</v>
      </c>
      <c r="R750" s="223">
        <f>IFERROR(IF(Q750&gt;0,Q750-(TBIcalc!$H$9),""),"")</f>
        <v>1.9023999999999999</v>
      </c>
      <c r="S750" s="223">
        <f>IFERROR(INDEX('Ashed teabags wet'!$K$2:$K$2000,MATCH(L750,'Ashed teabags wet'!$A$2:$A$2000,0)),"")</f>
        <v>19.890873015872916</v>
      </c>
      <c r="T750" s="223">
        <f t="shared" si="57"/>
        <v>1.5239960317460335</v>
      </c>
      <c r="U750" s="224">
        <f>'WetLitterbags placem_collection'!E91</f>
        <v>42767</v>
      </c>
      <c r="V750" s="224">
        <f>IF('WetLitterbags placem_collection'!G91="","",'WetLitterbags placem_collection'!G91)</f>
        <v>42819</v>
      </c>
      <c r="W750" s="225">
        <f t="shared" si="55"/>
        <v>52</v>
      </c>
      <c r="X750" s="223">
        <f t="shared" si="58"/>
        <v>-3.6199999999999788E-2</v>
      </c>
      <c r="Y750" s="223">
        <f t="shared" si="59"/>
        <v>0.23928741119219232</v>
      </c>
      <c r="Z750">
        <f>IFERROR(INDEX([1]Rainfall_Wet!$O$2:$O$217,MATCH(C750, [1]Rainfall_Wet!$A$2:$A$217,0)),"")</f>
        <v>194.93009798400001</v>
      </c>
      <c r="AA750" s="226">
        <v>28.145762029394</v>
      </c>
      <c r="AB750" s="226">
        <v>25.085564727199518</v>
      </c>
      <c r="AC750" s="226">
        <v>46.768673243406489</v>
      </c>
      <c r="AD750" s="227" t="s">
        <v>2651</v>
      </c>
      <c r="AE750" s="226">
        <v>2.1716214884179394</v>
      </c>
      <c r="AF750">
        <f>IF('WetLitterbags placem_collection'!AB91="","",'WetLitterbags placem_collection'!AB91)</f>
        <v>7.3</v>
      </c>
      <c r="AG750">
        <f>IF('WetLitterbags placem_collection'!Z91="","",'WetLitterbags placem_collection'!Z91)</f>
        <v>35.799999999999997</v>
      </c>
      <c r="AH750" s="236" t="str">
        <f>IF('WetLitterbags placem_collection'!AA91="","",'WetLitterbags placem_collection'!AA91)</f>
        <v>O</v>
      </c>
      <c r="AI750">
        <f>IF('WetLitterbags placem_collection'!AC91="","",'WetLitterbags placem_collection'!AC91)</f>
        <v>0</v>
      </c>
      <c r="AJ750">
        <f>AVERAGE('WetLitterbags placem_collection'!S91,'WetLitterbags placem_collection'!U91)</f>
        <v>20.95</v>
      </c>
      <c r="AK750">
        <f>AVERAGE('WetLitterbags placem_collection'!R91,'WetLitterbags placem_collection'!T91)</f>
        <v>24.45</v>
      </c>
      <c r="AL750">
        <f>INDEX([2]Coordinates!$B$2:$B$197,MATCH(I750,[2]Coordinates!$J$2:$J$197,0))</f>
        <v>-3.2966709980000002</v>
      </c>
      <c r="AM750">
        <f>INDEX([2]Coordinates!$C$2:$C$197,MATCH(I750,[2]Coordinates!$J$2:$J$197,0))</f>
        <v>34.854407019999996</v>
      </c>
      <c r="AN750" t="str">
        <f>IF(ISNUMBER(SEARCH("C", 'WetLitterbags placem_collection'!$Y91)),"YES","NO")</f>
        <v>NO</v>
      </c>
      <c r="AO750" t="str">
        <f>IF(ISNUMBER(SEARCH("H", 'WetLitterbags placem_collection'!$Y91)),"YES","NO")</f>
        <v>NO</v>
      </c>
      <c r="AP750" t="str">
        <f>IF(ISNUMBER(SEARCH("R", 'WetLitterbags placem_collection'!$Y91)),"YES","NO")</f>
        <v>NO</v>
      </c>
    </row>
    <row r="751" spans="1:42" ht="15" customHeight="1">
      <c r="A751" t="s">
        <v>3248</v>
      </c>
      <c r="B751" s="248" t="s">
        <v>2454</v>
      </c>
      <c r="C751" s="253">
        <f>'Dry_Litterbag Placem_Collection'!A92</f>
        <v>90</v>
      </c>
      <c r="D751" s="253" t="str">
        <f>'Dry_Litterbag Placem_Collection'!B92</f>
        <v>Maswa</v>
      </c>
      <c r="E751" s="253" t="s">
        <v>2643</v>
      </c>
      <c r="F751" s="253" t="s">
        <v>2645</v>
      </c>
      <c r="G751" s="253">
        <v>4</v>
      </c>
      <c r="H751" s="253" t="s">
        <v>3115</v>
      </c>
      <c r="I751" s="254" t="str">
        <f>'Dry_Litterbag Placem_Collection'!C92</f>
        <v>Dry_W4_T2</v>
      </c>
      <c r="J751" s="263" t="s">
        <v>2932</v>
      </c>
      <c r="K751" s="264" t="s">
        <v>298</v>
      </c>
      <c r="L751" s="221" t="str">
        <f>'WetLitterbags placem_collection'!Q92</f>
        <v>R517</v>
      </c>
      <c r="M751" s="223">
        <f>IFERROR(INDEX('Green_rooibos initial weight'!$C$5:$C$2000,MATCH(L751, 'Green_rooibos initial weight'!$A$5:$A$2000,0)),"")</f>
        <v>2.222</v>
      </c>
      <c r="N751" s="223">
        <f>IFERROR(M751-(TBIcalc!$H$9+TBIcalc!$H$10),"")</f>
        <v>1.9722</v>
      </c>
      <c r="O751" s="378">
        <f>AVERAGE(Ashed_controlls!$K$2:$K$11)</f>
        <v>5.5147656768714146</v>
      </c>
      <c r="P751" s="223">
        <f t="shared" si="56"/>
        <v>1.8634377913207418</v>
      </c>
      <c r="Q751" s="223">
        <f>IFERROR(INDEX('Both teabags AfterWet'!$C$3:$C$840,MATCH(L751,'Both teabags AfterWet'!$A$3:$A$840,0)),"")</f>
        <v>2.2749000000000001</v>
      </c>
      <c r="R751" s="223">
        <f>IFERROR(IF(Q751&gt;0,Q751-(TBIcalc!$H$9),""),"")</f>
        <v>2.1243000000000003</v>
      </c>
      <c r="S751" s="223">
        <f>IFERROR(INDEX('Ashed teabags wet'!$K$2:$K$2000,MATCH(L751,'Ashed teabags wet'!$A$2:$A$2000,0)),"")</f>
        <v>22.544750846637683</v>
      </c>
      <c r="T751" s="223">
        <f t="shared" si="57"/>
        <v>1.645381857764876</v>
      </c>
      <c r="U751" s="224">
        <f>'WetLitterbags placem_collection'!E92</f>
        <v>42767</v>
      </c>
      <c r="V751" s="224">
        <f>IF('WetLitterbags placem_collection'!G92="","",'WetLitterbags placem_collection'!G92)</f>
        <v>42819</v>
      </c>
      <c r="W751" s="225">
        <f t="shared" si="55"/>
        <v>52</v>
      </c>
      <c r="X751" s="223">
        <f t="shared" si="58"/>
        <v>-0.15210000000000035</v>
      </c>
      <c r="Y751" s="223">
        <f t="shared" si="59"/>
        <v>0.21805593355586583</v>
      </c>
      <c r="Z751">
        <f>IFERROR(INDEX([1]Rainfall_Wet!$O$2:$O$217,MATCH(C751, [1]Rainfall_Wet!$A$2:$A$217,0)),"")</f>
        <v>194.93009798400001</v>
      </c>
      <c r="AA751" s="226">
        <v>28.145762029394</v>
      </c>
      <c r="AB751" s="226">
        <v>25.085564727199518</v>
      </c>
      <c r="AC751" s="226">
        <v>46.768673243406489</v>
      </c>
      <c r="AD751" s="227" t="s">
        <v>2651</v>
      </c>
      <c r="AE751" s="226">
        <v>3.1716214884179399</v>
      </c>
      <c r="AF751">
        <f>IF('WetLitterbags placem_collection'!AB92="","",'WetLitterbags placem_collection'!AB92)</f>
        <v>7.7</v>
      </c>
      <c r="AG751">
        <f>IF('WetLitterbags placem_collection'!Z92="","",'WetLitterbags placem_collection'!Z92)</f>
        <v>30.4</v>
      </c>
      <c r="AH751" s="236" t="str">
        <f>IF('WetLitterbags placem_collection'!AA92="","",'WetLitterbags placem_collection'!AA92)</f>
        <v>O</v>
      </c>
      <c r="AI751">
        <f>IF('WetLitterbags placem_collection'!AC92="","",'WetLitterbags placem_collection'!AC92)</f>
        <v>0</v>
      </c>
      <c r="AJ751">
        <f>AVERAGE('WetLitterbags placem_collection'!S92,'WetLitterbags placem_collection'!U92)</f>
        <v>27.5</v>
      </c>
      <c r="AK751">
        <f>AVERAGE('WetLitterbags placem_collection'!R92,'WetLitterbags placem_collection'!T92)</f>
        <v>23.85</v>
      </c>
      <c r="AL751">
        <f>INDEX([2]Coordinates!$B$2:$B$197,MATCH(I751,[2]Coordinates!$J$2:$J$197,0))</f>
        <v>-3.2966860009999999</v>
      </c>
      <c r="AM751">
        <f>INDEX([2]Coordinates!$C$2:$C$197,MATCH(I751,[2]Coordinates!$J$2:$J$197,0))</f>
        <v>34.854371989999997</v>
      </c>
      <c r="AN751" t="str">
        <f>IF(ISNUMBER(SEARCH("C", 'WetLitterbags placem_collection'!$Y92)),"YES","NO")</f>
        <v>NO</v>
      </c>
      <c r="AO751" t="str">
        <f>IF(ISNUMBER(SEARCH("H", 'WetLitterbags placem_collection'!$Y92)),"YES","NO")</f>
        <v>NO</v>
      </c>
      <c r="AP751" t="str">
        <f>IF(ISNUMBER(SEARCH("R", 'WetLitterbags placem_collection'!$Y92)),"YES","NO")</f>
        <v>YES</v>
      </c>
    </row>
    <row r="752" spans="1:42" ht="15" customHeight="1">
      <c r="A752" t="s">
        <v>3248</v>
      </c>
      <c r="B752" s="248" t="s">
        <v>2454</v>
      </c>
      <c r="C752" s="253">
        <f>'Dry_Litterbag Placem_Collection'!A93</f>
        <v>91</v>
      </c>
      <c r="D752" s="253" t="str">
        <f>'Dry_Litterbag Placem_Collection'!B93</f>
        <v>Maswa</v>
      </c>
      <c r="E752" s="253" t="s">
        <v>2643</v>
      </c>
      <c r="F752" s="253" t="s">
        <v>2645</v>
      </c>
      <c r="G752" s="253">
        <v>4</v>
      </c>
      <c r="H752" s="253" t="s">
        <v>3115</v>
      </c>
      <c r="I752" s="254" t="str">
        <f>'Dry_Litterbag Placem_Collection'!C93</f>
        <v>Dry_W4_T3</v>
      </c>
      <c r="J752" s="263" t="s">
        <v>2932</v>
      </c>
      <c r="K752" s="264" t="s">
        <v>298</v>
      </c>
      <c r="L752" s="221" t="str">
        <f>'WetLitterbags placem_collection'!Q93</f>
        <v>R73</v>
      </c>
      <c r="M752" s="223">
        <f>IFERROR(INDEX('Green_rooibos initial weight'!$C$5:$C$2000,MATCH(L752, 'Green_rooibos initial weight'!$A$5:$A$2000,0)),"")</f>
        <v>2.1459999999999999</v>
      </c>
      <c r="N752" s="223">
        <f>IFERROR(M752-(TBIcalc!$H$9+TBIcalc!$H$10),"")</f>
        <v>1.8961999999999999</v>
      </c>
      <c r="O752" s="378">
        <f>AVERAGE(Ashed_controlls!$K$2:$K$11)</f>
        <v>5.5147656768714146</v>
      </c>
      <c r="P752" s="223">
        <f t="shared" si="56"/>
        <v>1.7916290132351642</v>
      </c>
      <c r="Q752" s="223">
        <f>IFERROR(INDEX('Both teabags AfterWet'!$C$3:$C$840,MATCH(L752,'Both teabags AfterWet'!$A$3:$A$840,0)),"")</f>
        <v>1.663</v>
      </c>
      <c r="R752" s="223">
        <f>IFERROR(IF(Q752&gt;0,Q752-(TBIcalc!$H$9),""),"")</f>
        <v>1.5124</v>
      </c>
      <c r="S752" s="223">
        <f>IFERROR(INDEX('Ashed teabags wet'!$K$2:$K$2000,MATCH(L752,'Ashed teabags wet'!$A$2:$A$2000,0)),"")</f>
        <v>3.2402791625130467</v>
      </c>
      <c r="T752" s="223">
        <f t="shared" si="57"/>
        <v>1.4633940179461526</v>
      </c>
      <c r="U752" s="224">
        <f>'WetLitterbags placem_collection'!E93</f>
        <v>42767</v>
      </c>
      <c r="V752" s="224">
        <f>IF('WetLitterbags placem_collection'!G93="","",'WetLitterbags placem_collection'!G93)</f>
        <v>42819</v>
      </c>
      <c r="W752" s="225">
        <f t="shared" si="55"/>
        <v>52</v>
      </c>
      <c r="X752" s="223">
        <f t="shared" si="58"/>
        <v>0.38379999999999992</v>
      </c>
      <c r="Y752" s="223">
        <f t="shared" si="59"/>
        <v>0.32823499528901157</v>
      </c>
      <c r="Z752">
        <f>IFERROR(INDEX([1]Rainfall_Wet!$O$2:$O$217,MATCH(C752, [1]Rainfall_Wet!$A$2:$A$217,0)),"")</f>
        <v>194.93009798400001</v>
      </c>
      <c r="AA752" s="226">
        <v>28.145762029394</v>
      </c>
      <c r="AB752" s="226">
        <v>25.085564727199518</v>
      </c>
      <c r="AC752" s="226">
        <v>46.768673243406489</v>
      </c>
      <c r="AD752" s="227" t="s">
        <v>2651</v>
      </c>
      <c r="AE752" s="226">
        <v>4.1716214884179399</v>
      </c>
      <c r="AF752">
        <f>IF('WetLitterbags placem_collection'!AB93="","",'WetLitterbags placem_collection'!AB93)</f>
        <v>6.1</v>
      </c>
      <c r="AG752">
        <f>IF('WetLitterbags placem_collection'!Z93="","",'WetLitterbags placem_collection'!Z93)</f>
        <v>39.4</v>
      </c>
      <c r="AH752" s="236" t="str">
        <f>IF('WetLitterbags placem_collection'!AA93="","",'WetLitterbags placem_collection'!AA93)</f>
        <v>O</v>
      </c>
      <c r="AI752">
        <f>IF('WetLitterbags placem_collection'!AC93="","",'WetLitterbags placem_collection'!AC93)</f>
        <v>1</v>
      </c>
      <c r="AJ752">
        <f>AVERAGE('WetLitterbags placem_collection'!S93,'WetLitterbags placem_collection'!U93)</f>
        <v>26.4</v>
      </c>
      <c r="AK752">
        <f>AVERAGE('WetLitterbags placem_collection'!R93,'WetLitterbags placem_collection'!T93)</f>
        <v>24.35</v>
      </c>
      <c r="AL752">
        <f>INDEX([2]Coordinates!$B$2:$B$197,MATCH(I752,[2]Coordinates!$J$2:$J$197,0))</f>
        <v>-3.2966180239999998</v>
      </c>
      <c r="AM752">
        <f>INDEX([2]Coordinates!$C$2:$C$197,MATCH(I752,[2]Coordinates!$J$2:$J$197,0))</f>
        <v>34.854464020000002</v>
      </c>
      <c r="AN752" t="str">
        <f>IF(ISNUMBER(SEARCH("C", 'WetLitterbags placem_collection'!$Y93)),"YES","NO")</f>
        <v>NO</v>
      </c>
      <c r="AO752" t="str">
        <f>IF(ISNUMBER(SEARCH("H", 'WetLitterbags placem_collection'!$Y93)),"YES","NO")</f>
        <v>NO</v>
      </c>
      <c r="AP752" t="str">
        <f>IF(ISNUMBER(SEARCH("R", 'WetLitterbags placem_collection'!$Y93)),"YES","NO")</f>
        <v>NO</v>
      </c>
    </row>
    <row r="753" spans="1:42" ht="15" customHeight="1">
      <c r="A753" t="s">
        <v>3248</v>
      </c>
      <c r="B753" s="248" t="s">
        <v>2454</v>
      </c>
      <c r="C753" s="253">
        <f>'Dry_Litterbag Placem_Collection'!A94</f>
        <v>92</v>
      </c>
      <c r="D753" s="253" t="str">
        <f>'Dry_Litterbag Placem_Collection'!B94</f>
        <v>Maswa</v>
      </c>
      <c r="E753" s="253" t="s">
        <v>2643</v>
      </c>
      <c r="F753" s="253" t="s">
        <v>2645</v>
      </c>
      <c r="G753" s="253">
        <v>4</v>
      </c>
      <c r="H753" s="253" t="s">
        <v>3115</v>
      </c>
      <c r="I753" s="254" t="str">
        <f>'Dry_Litterbag Placem_Collection'!C94</f>
        <v>Dry_W4_T4</v>
      </c>
      <c r="J753" s="263" t="s">
        <v>2932</v>
      </c>
      <c r="K753" s="264" t="s">
        <v>298</v>
      </c>
      <c r="L753" s="221" t="str">
        <f>'WetLitterbags placem_collection'!Q94</f>
        <v>R4</v>
      </c>
      <c r="M753" s="223">
        <f>IFERROR(INDEX('Green_rooibos initial weight'!$C$5:$C$2000,MATCH(L753, 'Green_rooibos initial weight'!$A$5:$A$2000,0)),"")</f>
        <v>2.1549999999999998</v>
      </c>
      <c r="N753" s="223">
        <f>IFERROR(M753-(TBIcalc!$H$9+TBIcalc!$H$10),"")</f>
        <v>1.9051999999999998</v>
      </c>
      <c r="O753" s="378">
        <f>AVERAGE(Ashed_controlls!$K$2:$K$11)</f>
        <v>5.5147656768714146</v>
      </c>
      <c r="P753" s="223">
        <f t="shared" si="56"/>
        <v>1.8001326843242456</v>
      </c>
      <c r="Q753" s="223">
        <f>IFERROR(INDEX('Both teabags AfterWet'!$C$3:$C$840,MATCH(L753,'Both teabags AfterWet'!$A$3:$A$840,0)),"")</f>
        <v>1.6779999999999999</v>
      </c>
      <c r="R753" s="223">
        <f>IFERROR(IF(Q753&gt;0,Q753-(TBIcalc!$H$9),""),"")</f>
        <v>1.5273999999999999</v>
      </c>
      <c r="S753" s="223">
        <f>IFERROR(INDEX('Ashed teabags wet'!$K$2:$K$2000,MATCH(L753,'Ashed teabags wet'!$A$2:$A$2000,0)),"")</f>
        <v>2.4590163934421247</v>
      </c>
      <c r="T753" s="223">
        <f t="shared" si="57"/>
        <v>1.4898409836065649</v>
      </c>
      <c r="U753" s="224">
        <f>'WetLitterbags placem_collection'!E94</f>
        <v>42767</v>
      </c>
      <c r="V753" s="224">
        <f>IF('WetLitterbags placem_collection'!G94="","",'WetLitterbags placem_collection'!G94)</f>
        <v>42819</v>
      </c>
      <c r="W753" s="225">
        <f t="shared" si="55"/>
        <v>52</v>
      </c>
      <c r="X753" s="223">
        <f t="shared" si="58"/>
        <v>0.37779999999999991</v>
      </c>
      <c r="Y753" s="223">
        <f t="shared" si="59"/>
        <v>0.31029170071768064</v>
      </c>
      <c r="Z753">
        <f>IFERROR(INDEX([1]Rainfall_Wet!$O$2:$O$217,MATCH(C753, [1]Rainfall_Wet!$A$2:$A$217,0)),"")</f>
        <v>194.93009798400001</v>
      </c>
      <c r="AA753" s="226">
        <v>28.145762029394</v>
      </c>
      <c r="AB753" s="226">
        <v>25.085564727199518</v>
      </c>
      <c r="AC753" s="226">
        <v>46.768673243406489</v>
      </c>
      <c r="AD753" s="227" t="s">
        <v>2651</v>
      </c>
      <c r="AE753" s="226">
        <v>5.1716214884179399</v>
      </c>
      <c r="AF753">
        <f>IF('WetLitterbags placem_collection'!AB94="","",'WetLitterbags placem_collection'!AB94)</f>
        <v>7.7</v>
      </c>
      <c r="AG753">
        <f>IF('WetLitterbags placem_collection'!Z94="","",'WetLitterbags placem_collection'!Z94)</f>
        <v>24.8</v>
      </c>
      <c r="AH753" s="236" t="str">
        <f>IF('WetLitterbags placem_collection'!AA94="","",'WetLitterbags placem_collection'!AA94)</f>
        <v>O</v>
      </c>
      <c r="AI753">
        <f>IF('WetLitterbags placem_collection'!AC94="","",'WetLitterbags placem_collection'!AC94)</f>
        <v>1</v>
      </c>
      <c r="AJ753">
        <f>AVERAGE('WetLitterbags placem_collection'!S94,'WetLitterbags placem_collection'!U94)</f>
        <v>26.45</v>
      </c>
      <c r="AK753">
        <f>AVERAGE('WetLitterbags placem_collection'!R94,'WetLitterbags placem_collection'!T94)</f>
        <v>22.6</v>
      </c>
      <c r="AL753">
        <f>INDEX([2]Coordinates!$B$2:$B$197,MATCH(I753,[2]Coordinates!$J$2:$J$197,0))</f>
        <v>-3.2965539860000002</v>
      </c>
      <c r="AM753">
        <f>INDEX([2]Coordinates!$C$2:$C$197,MATCH(I753,[2]Coordinates!$J$2:$J$197,0))</f>
        <v>34.854455969999997</v>
      </c>
      <c r="AN753" t="str">
        <f>IF(ISNUMBER(SEARCH("C", 'WetLitterbags placem_collection'!$Y94)),"YES","NO")</f>
        <v>NO</v>
      </c>
      <c r="AO753" t="str">
        <f>IF(ISNUMBER(SEARCH("H", 'WetLitterbags placem_collection'!$Y94)),"YES","NO")</f>
        <v>NO</v>
      </c>
      <c r="AP753" t="str">
        <f>IF(ISNUMBER(SEARCH("R", 'WetLitterbags placem_collection'!$Y94)),"YES","NO")</f>
        <v>YES</v>
      </c>
    </row>
    <row r="754" spans="1:42" ht="15" customHeight="1">
      <c r="A754" t="s">
        <v>3248</v>
      </c>
      <c r="B754" s="248" t="s">
        <v>2454</v>
      </c>
      <c r="C754" s="253">
        <f>'Dry_Litterbag Placem_Collection'!A95</f>
        <v>93</v>
      </c>
      <c r="D754" s="253" t="str">
        <f>'Dry_Litterbag Placem_Collection'!B95</f>
        <v>Maswa</v>
      </c>
      <c r="E754" s="253" t="s">
        <v>2643</v>
      </c>
      <c r="F754" s="253" t="s">
        <v>2645</v>
      </c>
      <c r="G754" s="253">
        <v>4</v>
      </c>
      <c r="H754" s="253" t="s">
        <v>3115</v>
      </c>
      <c r="I754" s="254" t="str">
        <f>'Dry_Litterbag Placem_Collection'!C95</f>
        <v>Dry_W4_T5</v>
      </c>
      <c r="J754" s="263" t="s">
        <v>2932</v>
      </c>
      <c r="K754" s="264" t="s">
        <v>298</v>
      </c>
      <c r="L754" s="221" t="str">
        <f>'WetLitterbags placem_collection'!Q95</f>
        <v>R136</v>
      </c>
      <c r="M754" s="223">
        <f>IFERROR(INDEX('Green_rooibos initial weight'!$C$5:$C$2000,MATCH(L754, 'Green_rooibos initial weight'!$A$5:$A$2000,0)),"")</f>
        <v>2.21</v>
      </c>
      <c r="N754" s="223">
        <f>IFERROR(M754-(TBIcalc!$H$9+TBIcalc!$H$10),"")</f>
        <v>1.9601999999999999</v>
      </c>
      <c r="O754" s="378">
        <f>AVERAGE(Ashed_controlls!$K$2:$K$11)</f>
        <v>5.5147656768714146</v>
      </c>
      <c r="P754" s="223">
        <f t="shared" si="56"/>
        <v>1.8520995632019666</v>
      </c>
      <c r="Q754" s="223">
        <f>IFERROR(INDEX('Both teabags AfterWet'!$C$3:$C$840,MATCH(L754,'Both teabags AfterWet'!$A$3:$A$840,0)),"")</f>
        <v>1.6368</v>
      </c>
      <c r="R754" s="223">
        <f>IFERROR(IF(Q754&gt;0,Q754-(TBIcalc!$H$9),""),"")</f>
        <v>1.4862</v>
      </c>
      <c r="S754" s="223">
        <f>IFERROR(INDEX('Ashed teabags wet'!$K$2:$K$2000,MATCH(L754,'Ashed teabags wet'!$A$2:$A$2000,0)),"")</f>
        <v>2.2232962783957189</v>
      </c>
      <c r="T754" s="223">
        <f t="shared" si="57"/>
        <v>1.4531573707104828</v>
      </c>
      <c r="U754" s="224">
        <f>'WetLitterbags placem_collection'!E95</f>
        <v>42767</v>
      </c>
      <c r="V754" s="224">
        <f>IF('WetLitterbags placem_collection'!G95="","",'WetLitterbags placem_collection'!G95)</f>
        <v>42819</v>
      </c>
      <c r="W754" s="225">
        <f t="shared" si="55"/>
        <v>52</v>
      </c>
      <c r="X754" s="223">
        <f t="shared" si="58"/>
        <v>0.47399999999999998</v>
      </c>
      <c r="Y754" s="223">
        <f t="shared" si="59"/>
        <v>0.39894219249148377</v>
      </c>
      <c r="Z754">
        <f>IFERROR(INDEX([1]Rainfall_Wet!$O$2:$O$217,MATCH(C754, [1]Rainfall_Wet!$A$2:$A$217,0)),"")</f>
        <v>194.93009798400001</v>
      </c>
      <c r="AA754" s="226">
        <v>28.145762029394</v>
      </c>
      <c r="AB754" s="226">
        <v>25.085564727199518</v>
      </c>
      <c r="AC754" s="226">
        <v>46.768673243406489</v>
      </c>
      <c r="AD754" s="227" t="s">
        <v>2651</v>
      </c>
      <c r="AE754" s="226">
        <v>6.1716214884179399</v>
      </c>
      <c r="AF754">
        <f>IF('WetLitterbags placem_collection'!AB95="","",'WetLitterbags placem_collection'!AB95)</f>
        <v>6.6</v>
      </c>
      <c r="AG754">
        <f>IF('WetLitterbags placem_collection'!Z95="","",'WetLitterbags placem_collection'!Z95)</f>
        <v>40</v>
      </c>
      <c r="AH754" s="236" t="str">
        <f>IF('WetLitterbags placem_collection'!AA95="","",'WetLitterbags placem_collection'!AA95)</f>
        <v>O</v>
      </c>
      <c r="AI754">
        <f>IF('WetLitterbags placem_collection'!AC95="","",'WetLitterbags placem_collection'!AC95)</f>
        <v>1</v>
      </c>
      <c r="AJ754">
        <f>AVERAGE('WetLitterbags placem_collection'!S95,'WetLitterbags placem_collection'!U95)</f>
        <v>25.25</v>
      </c>
      <c r="AK754">
        <f>AVERAGE('WetLitterbags placem_collection'!R95,'WetLitterbags placem_collection'!T95)</f>
        <v>23.5</v>
      </c>
      <c r="AL754">
        <f>INDEX([2]Coordinates!$B$2:$B$197,MATCH(I754,[2]Coordinates!$J$2:$J$197,0))</f>
        <v>-3.2964789680000002</v>
      </c>
      <c r="AM754">
        <f>INDEX([2]Coordinates!$C$2:$C$197,MATCH(I754,[2]Coordinates!$J$2:$J$197,0))</f>
        <v>34.854331000000002</v>
      </c>
      <c r="AN754" t="str">
        <f>IF(ISNUMBER(SEARCH("C", 'WetLitterbags placem_collection'!$Y95)),"YES","NO")</f>
        <v>NO</v>
      </c>
      <c r="AO754" t="str">
        <f>IF(ISNUMBER(SEARCH("H", 'WetLitterbags placem_collection'!$Y95)),"YES","NO")</f>
        <v>NO</v>
      </c>
      <c r="AP754" t="str">
        <f>IF(ISNUMBER(SEARCH("R", 'WetLitterbags placem_collection'!$Y95)),"YES","NO")</f>
        <v>YES</v>
      </c>
    </row>
    <row r="755" spans="1:42" ht="15" customHeight="1">
      <c r="A755" t="s">
        <v>3248</v>
      </c>
      <c r="B755" s="248" t="s">
        <v>2454</v>
      </c>
      <c r="C755" s="253">
        <f>'Dry_Litterbag Placem_Collection'!A96</f>
        <v>94</v>
      </c>
      <c r="D755" s="253" t="str">
        <f>'Dry_Litterbag Placem_Collection'!B96</f>
        <v>Maswa</v>
      </c>
      <c r="E755" s="253" t="s">
        <v>2643</v>
      </c>
      <c r="F755" s="253" t="s">
        <v>2645</v>
      </c>
      <c r="G755" s="253">
        <v>4</v>
      </c>
      <c r="H755" s="253" t="s">
        <v>3115</v>
      </c>
      <c r="I755" s="254" t="str">
        <f>'Dry_Litterbag Placem_Collection'!C96</f>
        <v>Dry_W4_T6</v>
      </c>
      <c r="J755" s="263" t="s">
        <v>2932</v>
      </c>
      <c r="K755" s="264" t="s">
        <v>298</v>
      </c>
      <c r="L755" s="221" t="str">
        <f>'WetLitterbags placem_collection'!Q96</f>
        <v>R358</v>
      </c>
      <c r="M755" s="223">
        <f>IFERROR(INDEX('Green_rooibos initial weight'!$C$5:$C$2000,MATCH(L755, 'Green_rooibos initial weight'!$A$5:$A$2000,0)),"")</f>
        <v>2.2210000000000001</v>
      </c>
      <c r="N755" s="223">
        <f>IFERROR(M755-(TBIcalc!$H$9+TBIcalc!$H$10),"")</f>
        <v>1.9712000000000001</v>
      </c>
      <c r="O755" s="378">
        <f>AVERAGE(Ashed_controlls!$K$2:$K$11)</f>
        <v>5.5147656768714146</v>
      </c>
      <c r="P755" s="223">
        <f t="shared" si="56"/>
        <v>1.8624929389775107</v>
      </c>
      <c r="Q755" s="223" t="str">
        <f>IFERROR(INDEX('Both teabags AfterWet'!$C$3:$C$840,MATCH(L755,'Both teabags AfterWet'!$A$3:$A$840,0)),"")</f>
        <v/>
      </c>
      <c r="R755" s="223" t="str">
        <f>IFERROR(IF(Q755&gt;0,Q755-(TBIcalc!$H$9),""),"")</f>
        <v/>
      </c>
      <c r="S755" s="223" t="str">
        <f>IFERROR(INDEX('Ashed teabags wet'!$K$2:$K$2000,MATCH(L755,'Ashed teabags wet'!$A$2:$A$2000,0)),"")</f>
        <v/>
      </c>
      <c r="T755" s="223" t="str">
        <f t="shared" si="57"/>
        <v/>
      </c>
      <c r="U755" s="224">
        <f>'WetLitterbags placem_collection'!E96</f>
        <v>42767</v>
      </c>
      <c r="V755" s="224">
        <f>IF('WetLitterbags placem_collection'!G96="","",'WetLitterbags placem_collection'!G96)</f>
        <v>42819</v>
      </c>
      <c r="W755" s="225">
        <f t="shared" si="55"/>
        <v>52</v>
      </c>
      <c r="X755" s="223" t="str">
        <f t="shared" si="58"/>
        <v/>
      </c>
      <c r="Y755" s="223" t="str">
        <f t="shared" si="59"/>
        <v/>
      </c>
      <c r="Z755" t="str">
        <f>IFERROR(INDEX([1]Rainfall_Wet!$O$2:$O$217,MATCH(C755, [1]Rainfall_Wet!$A$2:$A$217,0)),"")</f>
        <v/>
      </c>
      <c r="AA755" s="226">
        <v>28.145762029394</v>
      </c>
      <c r="AB755" s="226">
        <v>25.085564727199518</v>
      </c>
      <c r="AC755" s="226">
        <v>46.768673243406489</v>
      </c>
      <c r="AD755" s="227" t="s">
        <v>2651</v>
      </c>
      <c r="AE755" s="226">
        <v>7.1716214884179399</v>
      </c>
      <c r="AF755" t="str">
        <f>IF('WetLitterbags placem_collection'!AB96="","",'WetLitterbags placem_collection'!AB96)</f>
        <v/>
      </c>
      <c r="AG755" t="str">
        <f>IF('WetLitterbags placem_collection'!Z96="","",'WetLitterbags placem_collection'!Z96)</f>
        <v/>
      </c>
      <c r="AH755" s="236" t="str">
        <f>IF('WetLitterbags placem_collection'!AA96="","",'WetLitterbags placem_collection'!AA96)</f>
        <v/>
      </c>
      <c r="AI755" t="str">
        <f>IF('WetLitterbags placem_collection'!AC96="","",'WetLitterbags placem_collection'!AC96)</f>
        <v/>
      </c>
      <c r="AJ755">
        <f>AVERAGE('WetLitterbags placem_collection'!S96,'WetLitterbags placem_collection'!U96)</f>
        <v>36.200000000000003</v>
      </c>
      <c r="AK755">
        <f>AVERAGE('WetLitterbags placem_collection'!R96,'WetLitterbags placem_collection'!T96)</f>
        <v>22</v>
      </c>
      <c r="AL755">
        <f>INDEX([2]Coordinates!$B$2:$B$197,MATCH(I755,[2]Coordinates!$J$2:$J$197,0))</f>
        <v>-3.2964649700000002</v>
      </c>
      <c r="AM755">
        <f>INDEX([2]Coordinates!$C$2:$C$197,MATCH(I755,[2]Coordinates!$J$2:$J$197,0))</f>
        <v>34.854340970000003</v>
      </c>
      <c r="AN755" t="str">
        <f>IF(ISNUMBER(SEARCH("C", 'WetLitterbags placem_collection'!$Y96)),"YES","NO")</f>
        <v>NO</v>
      </c>
      <c r="AO755" t="str">
        <f>IF(ISNUMBER(SEARCH("H", 'WetLitterbags placem_collection'!$Y96)),"YES","NO")</f>
        <v>NO</v>
      </c>
      <c r="AP755" t="str">
        <f>IF(ISNUMBER(SEARCH("R", 'WetLitterbags placem_collection'!$Y96)),"YES","NO")</f>
        <v>NO</v>
      </c>
    </row>
    <row r="756" spans="1:42" ht="15" customHeight="1">
      <c r="A756" t="s">
        <v>3248</v>
      </c>
      <c r="B756" s="248" t="s">
        <v>2454</v>
      </c>
      <c r="C756" s="253">
        <f>'Dry_Litterbag Placem_Collection'!A97</f>
        <v>95</v>
      </c>
      <c r="D756" s="253" t="str">
        <f>'Dry_Litterbag Placem_Collection'!B97</f>
        <v>Maswa</v>
      </c>
      <c r="E756" s="253" t="s">
        <v>2643</v>
      </c>
      <c r="F756" s="253" t="s">
        <v>2645</v>
      </c>
      <c r="G756" s="253">
        <v>4</v>
      </c>
      <c r="H756" s="253" t="s">
        <v>3115</v>
      </c>
      <c r="I756" s="254" t="str">
        <f>'Dry_Litterbag Placem_Collection'!C97</f>
        <v>Dry_W4_T7</v>
      </c>
      <c r="J756" s="263" t="s">
        <v>2932</v>
      </c>
      <c r="K756" s="264" t="s">
        <v>298</v>
      </c>
      <c r="L756" s="221" t="str">
        <f>'WetLitterbags placem_collection'!Q97</f>
        <v>R547</v>
      </c>
      <c r="M756" s="223">
        <f>IFERROR(INDEX('Green_rooibos initial weight'!$C$5:$C$2000,MATCH(L756, 'Green_rooibos initial weight'!$A$5:$A$2000,0)),"")</f>
        <v>2.194</v>
      </c>
      <c r="N756" s="223">
        <f>IFERROR(M756-(TBIcalc!$H$9+TBIcalc!$H$10),"")</f>
        <v>1.9441999999999999</v>
      </c>
      <c r="O756" s="378">
        <f>AVERAGE(Ashed_controlls!$K$2:$K$11)</f>
        <v>5.5147656768714146</v>
      </c>
      <c r="P756" s="223">
        <f t="shared" si="56"/>
        <v>1.836981925710266</v>
      </c>
      <c r="Q756" s="223">
        <f>IFERROR(INDEX('Both teabags AfterWet'!$C$3:$C$840,MATCH(L756,'Both teabags AfterWet'!$A$3:$A$840,0)),"")</f>
        <v>1.5620000000000001</v>
      </c>
      <c r="R756" s="223">
        <f>IFERROR(IF(Q756&gt;0,Q756-(TBIcalc!$H$9),""),"")</f>
        <v>1.4114</v>
      </c>
      <c r="S756" s="223">
        <f>IFERROR(INDEX('Ashed teabags wet'!$K$2:$K$2000,MATCH(L756,'Ashed teabags wet'!$A$2:$A$2000,0)),"")</f>
        <v>13.011335633317401</v>
      </c>
      <c r="T756" s="223">
        <f t="shared" si="57"/>
        <v>1.2277580088713582</v>
      </c>
      <c r="U756" s="224">
        <f>'WetLitterbags placem_collection'!E97</f>
        <v>42767</v>
      </c>
      <c r="V756" s="224">
        <f>IF('WetLitterbags placem_collection'!G97="","",'WetLitterbags placem_collection'!G97)</f>
        <v>42819</v>
      </c>
      <c r="W756" s="225">
        <f t="shared" si="55"/>
        <v>52</v>
      </c>
      <c r="X756" s="223">
        <f t="shared" si="58"/>
        <v>0.53279999999999994</v>
      </c>
      <c r="Y756" s="223">
        <f t="shared" si="59"/>
        <v>0.60922391683890775</v>
      </c>
      <c r="Z756">
        <f>IFERROR(INDEX([1]Rainfall_Wet!$O$2:$O$217,MATCH(C756, [1]Rainfall_Wet!$A$2:$A$217,0)),"")</f>
        <v>194.93009798400001</v>
      </c>
      <c r="AA756" s="226">
        <v>28.145762029394</v>
      </c>
      <c r="AB756" s="226">
        <v>25.085564727199518</v>
      </c>
      <c r="AC756" s="226">
        <v>46.768673243406489</v>
      </c>
      <c r="AD756" s="227" t="s">
        <v>2651</v>
      </c>
      <c r="AE756" s="226">
        <v>8.1716214884179408</v>
      </c>
      <c r="AF756">
        <f>IF('WetLitterbags placem_collection'!AB97="","",'WetLitterbags placem_collection'!AB97)</f>
        <v>5.4</v>
      </c>
      <c r="AG756">
        <f>IF('WetLitterbags placem_collection'!Z97="","",'WetLitterbags placem_collection'!Z97)</f>
        <v>15.2</v>
      </c>
      <c r="AH756" s="236" t="str">
        <f>IF('WetLitterbags placem_collection'!AA97="","",'WetLitterbags placem_collection'!AA97)</f>
        <v>O</v>
      </c>
      <c r="AI756">
        <f>IF('WetLitterbags placem_collection'!AC97="","",'WetLitterbags placem_collection'!AC97)</f>
        <v>0</v>
      </c>
      <c r="AJ756">
        <f>AVERAGE('WetLitterbags placem_collection'!S97,'WetLitterbags placem_collection'!U97)</f>
        <v>28.85</v>
      </c>
      <c r="AK756">
        <f>AVERAGE('WetLitterbags placem_collection'!R97,'WetLitterbags placem_collection'!T97)</f>
        <v>23.2</v>
      </c>
      <c r="AL756">
        <f>INDEX([2]Coordinates!$B$2:$B$197,MATCH(I756,[2]Coordinates!$J$2:$J$197,0))</f>
        <v>-3.296725983</v>
      </c>
      <c r="AM756">
        <f>INDEX([2]Coordinates!$C$2:$C$197,MATCH(I756,[2]Coordinates!$J$2:$J$197,0))</f>
        <v>34.854216000000001</v>
      </c>
      <c r="AN756" t="str">
        <f>IF(ISNUMBER(SEARCH("C", 'WetLitterbags placem_collection'!$Y97)),"YES","NO")</f>
        <v>NO</v>
      </c>
      <c r="AO756" t="str">
        <f>IF(ISNUMBER(SEARCH("H", 'WetLitterbags placem_collection'!$Y97)),"YES","NO")</f>
        <v>NO</v>
      </c>
      <c r="AP756" t="str">
        <f>IF(ISNUMBER(SEARCH("R", 'WetLitterbags placem_collection'!$Y97)),"YES","NO")</f>
        <v>YES</v>
      </c>
    </row>
    <row r="757" spans="1:42" ht="15" customHeight="1">
      <c r="A757" t="s">
        <v>3248</v>
      </c>
      <c r="B757" s="248" t="s">
        <v>2454</v>
      </c>
      <c r="C757" s="253">
        <f>'Dry_Litterbag Placem_Collection'!A98</f>
        <v>96</v>
      </c>
      <c r="D757" s="253" t="str">
        <f>'Dry_Litterbag Placem_Collection'!B98</f>
        <v>Maswa</v>
      </c>
      <c r="E757" s="253" t="s">
        <v>2643</v>
      </c>
      <c r="F757" s="253" t="s">
        <v>2645</v>
      </c>
      <c r="G757" s="253">
        <v>4</v>
      </c>
      <c r="H757" s="253" t="s">
        <v>3115</v>
      </c>
      <c r="I757" s="254" t="str">
        <f>'Dry_Litterbag Placem_Collection'!C98</f>
        <v>Dry_W4_T8</v>
      </c>
      <c r="J757" s="263" t="s">
        <v>2932</v>
      </c>
      <c r="K757" s="264" t="s">
        <v>298</v>
      </c>
      <c r="L757" s="221" t="str">
        <f>'WetLitterbags placem_collection'!Q98</f>
        <v>R588</v>
      </c>
      <c r="M757" s="223">
        <f>IFERROR(INDEX('Green_rooibos initial weight'!$C$5:$C$2000,MATCH(L757, 'Green_rooibos initial weight'!$A$5:$A$2000,0)),"")</f>
        <v>2.1360000000000001</v>
      </c>
      <c r="N757" s="223">
        <f>IFERROR(M757-(TBIcalc!$H$9+TBIcalc!$H$10),"")</f>
        <v>1.8862000000000001</v>
      </c>
      <c r="O757" s="378">
        <f>AVERAGE(Ashed_controlls!$K$2:$K$11)</f>
        <v>5.5147656768714146</v>
      </c>
      <c r="P757" s="223">
        <f t="shared" si="56"/>
        <v>1.7821804898028515</v>
      </c>
      <c r="Q757" s="223">
        <f>IFERROR(INDEX('Both teabags AfterWet'!$C$3:$C$840,MATCH(L757,'Both teabags AfterWet'!$A$3:$A$840,0)),"")</f>
        <v>0.87350000000000005</v>
      </c>
      <c r="R757" s="223">
        <f>IFERROR(IF(Q757&gt;0,Q757-(TBIcalc!$H$9),""),"")</f>
        <v>0.7229000000000001</v>
      </c>
      <c r="S757" s="223">
        <f>IFERROR(INDEX('Ashed teabags wet'!$K$2:$K$2000,MATCH(L757,'Ashed teabags wet'!$A$2:$A$2000,0)),"")</f>
        <v>6.1660865241169791</v>
      </c>
      <c r="T757" s="223">
        <f t="shared" si="57"/>
        <v>0.67832536051715842</v>
      </c>
      <c r="U757" s="224">
        <f>'WetLitterbags placem_collection'!E98</f>
        <v>42767</v>
      </c>
      <c r="V757" s="224">
        <f>IF('WetLitterbags placem_collection'!G98="","",'WetLitterbags placem_collection'!G98)</f>
        <v>42819</v>
      </c>
      <c r="W757" s="225">
        <f t="shared" si="55"/>
        <v>52</v>
      </c>
      <c r="X757" s="223">
        <f t="shared" si="58"/>
        <v>1.1633</v>
      </c>
      <c r="Y757" s="223">
        <f t="shared" si="59"/>
        <v>1.1038551292856931</v>
      </c>
      <c r="Z757">
        <f>IFERROR(INDEX([1]Rainfall_Wet!$O$2:$O$217,MATCH(C757, [1]Rainfall_Wet!$A$2:$A$217,0)),"")</f>
        <v>194.93009798400001</v>
      </c>
      <c r="AA757" s="226">
        <v>28.145762029394</v>
      </c>
      <c r="AB757" s="226">
        <v>25.085564727199518</v>
      </c>
      <c r="AC757" s="226">
        <v>46.768673243406489</v>
      </c>
      <c r="AD757" s="227" t="s">
        <v>2651</v>
      </c>
      <c r="AE757" s="226">
        <v>9.1716214884179408</v>
      </c>
      <c r="AF757">
        <f>IF('WetLitterbags placem_collection'!AB98="","",'WetLitterbags placem_collection'!AB98)</f>
        <v>4</v>
      </c>
      <c r="AG757">
        <f>IF('WetLitterbags placem_collection'!Z98="","",'WetLitterbags placem_collection'!Z98)</f>
        <v>34.4</v>
      </c>
      <c r="AH757" s="236" t="str">
        <f>IF('WetLitterbags placem_collection'!AA98="","",'WetLitterbags placem_collection'!AA98)</f>
        <v>O</v>
      </c>
      <c r="AI757">
        <f>IF('WetLitterbags placem_collection'!AC98="","",'WetLitterbags placem_collection'!AC98)</f>
        <v>0</v>
      </c>
      <c r="AJ757">
        <f>AVERAGE('WetLitterbags placem_collection'!S98,'WetLitterbags placem_collection'!U98)</f>
        <v>16.799999999999997</v>
      </c>
      <c r="AK757">
        <f>AVERAGE('WetLitterbags placem_collection'!R98,'WetLitterbags placem_collection'!T98)</f>
        <v>24.3</v>
      </c>
      <c r="AL757">
        <f>INDEX([2]Coordinates!$B$2:$B$197,MATCH(I757,[2]Coordinates!$J$2:$J$197,0))</f>
        <v>-3.2968360369999998</v>
      </c>
      <c r="AM757">
        <f>INDEX([2]Coordinates!$C$2:$C$197,MATCH(I757,[2]Coordinates!$J$2:$J$197,0))</f>
        <v>34.854462009999999</v>
      </c>
      <c r="AN757" t="str">
        <f>IF(ISNUMBER(SEARCH("C", 'WetLitterbags placem_collection'!$Y98)),"YES","NO")</f>
        <v>NO</v>
      </c>
      <c r="AO757" t="str">
        <f>IF(ISNUMBER(SEARCH("H", 'WetLitterbags placem_collection'!$Y98)),"YES","NO")</f>
        <v>NO</v>
      </c>
      <c r="AP757" t="str">
        <f>IF(ISNUMBER(SEARCH("R", 'WetLitterbags placem_collection'!$Y98)),"YES","NO")</f>
        <v>NO</v>
      </c>
    </row>
    <row r="758" spans="1:42" ht="15" customHeight="1">
      <c r="A758" t="s">
        <v>3248</v>
      </c>
      <c r="B758" s="248" t="s">
        <v>2454</v>
      </c>
      <c r="C758" s="253">
        <f>'Dry_Litterbag Placem_Collection'!A99</f>
        <v>97</v>
      </c>
      <c r="D758" s="253" t="str">
        <f>'Dry_Litterbag Placem_Collection'!B99</f>
        <v xml:space="preserve">Mwantimba
</v>
      </c>
      <c r="E758" s="253" t="s">
        <v>2454</v>
      </c>
      <c r="F758" s="253" t="s">
        <v>2644</v>
      </c>
      <c r="G758" s="253">
        <v>1</v>
      </c>
      <c r="H758" s="253" t="s">
        <v>3116</v>
      </c>
      <c r="I758" s="254" t="str">
        <f>'Dry_Litterbag Placem_Collection'!C99</f>
        <v>Wet_Ag1_T1</v>
      </c>
      <c r="J758" s="263" t="s">
        <v>2932</v>
      </c>
      <c r="K758" s="264" t="s">
        <v>298</v>
      </c>
      <c r="L758" s="221" t="str">
        <f>'WetLitterbags placem_collection'!Q99</f>
        <v>R576</v>
      </c>
      <c r="M758" s="223">
        <f>IFERROR(INDEX('Green_rooibos initial weight'!$C$5:$C$2000,MATCH(L758, 'Green_rooibos initial weight'!$A$5:$A$2000,0)),"")</f>
        <v>2.109</v>
      </c>
      <c r="N758" s="223">
        <f>IFERROR(M758-(TBIcalc!$H$9+TBIcalc!$H$10),"")</f>
        <v>1.8592</v>
      </c>
      <c r="O758" s="378">
        <f>AVERAGE(Ashed_controlls!$K$2:$K$11)</f>
        <v>5.5147656768714146</v>
      </c>
      <c r="P758" s="223">
        <f t="shared" si="56"/>
        <v>1.7566694765356066</v>
      </c>
      <c r="Q758" s="223">
        <f>IFERROR(INDEX('Both teabags AfterWet'!$C$3:$C$840,MATCH(L758,'Both teabags AfterWet'!$A$3:$A$840,0)),"")</f>
        <v>1.6898</v>
      </c>
      <c r="R758" s="223">
        <f>IFERROR(IF(Q758&gt;0,Q758-(TBIcalc!$H$9),""),"")</f>
        <v>1.5391999999999999</v>
      </c>
      <c r="S758" s="223">
        <f>IFERROR(INDEX('Ashed teabags wet'!$K$2:$K$2000,MATCH(L758,'Ashed teabags wet'!$A$2:$A$2000,0)),"")</f>
        <v>8.4409136047665729</v>
      </c>
      <c r="T758" s="223">
        <f t="shared" si="57"/>
        <v>1.4092774577954328</v>
      </c>
      <c r="U758" s="224">
        <f>'WetLitterbags placem_collection'!E99</f>
        <v>42762</v>
      </c>
      <c r="V758" s="224">
        <f>IF('WetLitterbags placem_collection'!G99="","",'WetLitterbags placem_collection'!G99)</f>
        <v>42816</v>
      </c>
      <c r="W758" s="225">
        <f t="shared" si="55"/>
        <v>54</v>
      </c>
      <c r="X758" s="223">
        <f t="shared" si="58"/>
        <v>0.32000000000000006</v>
      </c>
      <c r="Y758" s="223">
        <f t="shared" si="59"/>
        <v>0.34739201874017378</v>
      </c>
      <c r="Z758">
        <f>IFERROR(INDEX([1]Rainfall_Wet!$O$2:$O$217,MATCH(C758, [1]Rainfall_Wet!$A$2:$A$217,0)),"")</f>
        <v>206.85140822299999</v>
      </c>
      <c r="AA758" s="226">
        <v>45.96</v>
      </c>
      <c r="AB758" s="226">
        <v>14.920000000000003</v>
      </c>
      <c r="AC758" s="226">
        <v>39.119999999999997</v>
      </c>
      <c r="AD758" s="227" t="s">
        <v>2654</v>
      </c>
      <c r="AE758" s="226">
        <v>2.0374568753080333</v>
      </c>
      <c r="AF758">
        <f>IF('WetLitterbags placem_collection'!AB99="","",'WetLitterbags placem_collection'!AB99)</f>
        <v>2.4</v>
      </c>
      <c r="AG758">
        <f>IF('WetLitterbags placem_collection'!Z99="","",'WetLitterbags placem_collection'!Z99)</f>
        <v>8.9</v>
      </c>
      <c r="AH758" s="236" t="str">
        <f>IF('WetLitterbags placem_collection'!AA99="","",'WetLitterbags placem_collection'!AA99)</f>
        <v>G</v>
      </c>
      <c r="AI758">
        <f>IF('WetLitterbags placem_collection'!AC99="","",'WetLitterbags placem_collection'!AC99)</f>
        <v>1</v>
      </c>
      <c r="AJ758">
        <f>AVERAGE('WetLitterbags placem_collection'!S99,'WetLitterbags placem_collection'!U99)</f>
        <v>19.25</v>
      </c>
      <c r="AK758">
        <f>AVERAGE('WetLitterbags placem_collection'!R99,'WetLitterbags placem_collection'!T99)</f>
        <v>28.75</v>
      </c>
      <c r="AL758">
        <f>INDEX([2]Coordinates!$B$2:$B$197,MATCH(I758,[2]Coordinates!$J$2:$J$197,0))</f>
        <v>-2.3691620310000001</v>
      </c>
      <c r="AM758">
        <f>INDEX([2]Coordinates!$C$2:$C$197,MATCH(I758,[2]Coordinates!$J$2:$J$197,0))</f>
        <v>34.06028104</v>
      </c>
      <c r="AN758" t="str">
        <f>IF(ISNUMBER(SEARCH("C", 'WetLitterbags placem_collection'!$Y99)),"YES","NO")</f>
        <v>NO</v>
      </c>
      <c r="AO758" t="str">
        <f>IF(ISNUMBER(SEARCH("H", 'WetLitterbags placem_collection'!$Y99)),"YES","NO")</f>
        <v>NO</v>
      </c>
      <c r="AP758" t="str">
        <f>IF(ISNUMBER(SEARCH("R", 'WetLitterbags placem_collection'!$Y99)),"YES","NO")</f>
        <v>NO</v>
      </c>
    </row>
    <row r="759" spans="1:42" ht="15" customHeight="1">
      <c r="A759" t="s">
        <v>3248</v>
      </c>
      <c r="B759" s="248" t="s">
        <v>2454</v>
      </c>
      <c r="C759" s="253">
        <f>'Dry_Litterbag Placem_Collection'!A100</f>
        <v>98</v>
      </c>
      <c r="D759" s="253" t="str">
        <f>'Dry_Litterbag Placem_Collection'!B100</f>
        <v xml:space="preserve">Mwantimba
</v>
      </c>
      <c r="E759" s="253" t="s">
        <v>2454</v>
      </c>
      <c r="F759" s="253" t="s">
        <v>2644</v>
      </c>
      <c r="G759" s="253">
        <v>1</v>
      </c>
      <c r="H759" s="253" t="s">
        <v>3116</v>
      </c>
      <c r="I759" s="254" t="str">
        <f>'Dry_Litterbag Placem_Collection'!C100</f>
        <v>Wet_Ag1_T2</v>
      </c>
      <c r="J759" s="263" t="s">
        <v>2932</v>
      </c>
      <c r="K759" s="264" t="s">
        <v>298</v>
      </c>
      <c r="L759" s="221" t="str">
        <f>'WetLitterbags placem_collection'!Q100</f>
        <v>R561</v>
      </c>
      <c r="M759" s="223">
        <f>IFERROR(INDEX('Green_rooibos initial weight'!$C$5:$C$2000,MATCH(L759, 'Green_rooibos initial weight'!$A$5:$A$2000,0)),"")</f>
        <v>2.0760000000000001</v>
      </c>
      <c r="N759" s="223">
        <f>IFERROR(M759-(TBIcalc!$H$9+TBIcalc!$H$10),"")</f>
        <v>1.8262</v>
      </c>
      <c r="O759" s="378">
        <f>AVERAGE(Ashed_controlls!$K$2:$K$11)</f>
        <v>5.5147656768714146</v>
      </c>
      <c r="P759" s="223">
        <f t="shared" si="56"/>
        <v>1.7254893492089742</v>
      </c>
      <c r="Q759" s="223">
        <f>IFERROR(INDEX('Both teabags AfterWet'!$C$3:$C$840,MATCH(L759,'Both teabags AfterWet'!$A$3:$A$840,0)),"")</f>
        <v>1.661</v>
      </c>
      <c r="R759" s="223">
        <f>IFERROR(IF(Q759&gt;0,Q759-(TBIcalc!$H$9),""),"")</f>
        <v>1.5104</v>
      </c>
      <c r="S759" s="223">
        <f>IFERROR(INDEX('Ashed teabags wet'!$K$2:$K$2000,MATCH(L759,'Ashed teabags wet'!$A$2:$A$2000,0)),"")</f>
        <v>12.28244654400746</v>
      </c>
      <c r="T759" s="223">
        <f t="shared" si="57"/>
        <v>1.3248859273993112</v>
      </c>
      <c r="U759" s="224">
        <f>'WetLitterbags placem_collection'!E100</f>
        <v>42762</v>
      </c>
      <c r="V759" s="224">
        <f>IF('WetLitterbags placem_collection'!G100="","",'WetLitterbags placem_collection'!G100)</f>
        <v>42816</v>
      </c>
      <c r="W759" s="225">
        <f t="shared" si="55"/>
        <v>54</v>
      </c>
      <c r="X759" s="223">
        <f t="shared" si="58"/>
        <v>0.31580000000000008</v>
      </c>
      <c r="Y759" s="223">
        <f t="shared" si="59"/>
        <v>0.40060342180966302</v>
      </c>
      <c r="Z759">
        <f>IFERROR(INDEX([1]Rainfall_Wet!$O$2:$O$217,MATCH(C759, [1]Rainfall_Wet!$A$2:$A$217,0)),"")</f>
        <v>206.85140822299999</v>
      </c>
      <c r="AA759" s="226">
        <v>45.96</v>
      </c>
      <c r="AB759" s="226">
        <v>14.920000000000003</v>
      </c>
      <c r="AC759" s="226">
        <v>39.119999999999997</v>
      </c>
      <c r="AD759" s="227" t="s">
        <v>2654</v>
      </c>
      <c r="AE759" s="226">
        <v>3.0374568753080302</v>
      </c>
      <c r="AF759">
        <f>IF('WetLitterbags placem_collection'!AB100="","",'WetLitterbags placem_collection'!AB100)</f>
        <v>7.8</v>
      </c>
      <c r="AG759">
        <f>IF('WetLitterbags placem_collection'!Z100="","",'WetLitterbags placem_collection'!Z100)</f>
        <v>4.45</v>
      </c>
      <c r="AH759" s="236" t="str">
        <f>IF('WetLitterbags placem_collection'!AA100="","",'WetLitterbags placem_collection'!AA100)</f>
        <v>G</v>
      </c>
      <c r="AI759">
        <f>IF('WetLitterbags placem_collection'!AC100="","",'WetLitterbags placem_collection'!AC100)</f>
        <v>1</v>
      </c>
      <c r="AJ759">
        <f>AVERAGE('WetLitterbags placem_collection'!S100,'WetLitterbags placem_collection'!U100)</f>
        <v>22.25</v>
      </c>
      <c r="AK759">
        <f>AVERAGE('WetLitterbags placem_collection'!R100,'WetLitterbags placem_collection'!T100)</f>
        <v>29.85</v>
      </c>
      <c r="AL759">
        <f>INDEX([2]Coordinates!$B$2:$B$197,MATCH(I759,[2]Coordinates!$J$2:$J$197,0))</f>
        <v>-2.3692249790000002</v>
      </c>
      <c r="AM759">
        <f>INDEX([2]Coordinates!$C$2:$C$197,MATCH(I759,[2]Coordinates!$J$2:$J$197,0))</f>
        <v>34.060285989999997</v>
      </c>
      <c r="AN759" t="str">
        <f>IF(ISNUMBER(SEARCH("C", 'WetLitterbags placem_collection'!$Y100)),"YES","NO")</f>
        <v>NO</v>
      </c>
      <c r="AO759" t="str">
        <f>IF(ISNUMBER(SEARCH("H", 'WetLitterbags placem_collection'!$Y100)),"YES","NO")</f>
        <v>NO</v>
      </c>
      <c r="AP759" t="str">
        <f>IF(ISNUMBER(SEARCH("R", 'WetLitterbags placem_collection'!$Y100)),"YES","NO")</f>
        <v>NO</v>
      </c>
    </row>
    <row r="760" spans="1:42" ht="15" customHeight="1">
      <c r="A760" t="s">
        <v>3248</v>
      </c>
      <c r="B760" s="248" t="s">
        <v>2454</v>
      </c>
      <c r="C760" s="253">
        <f>'Dry_Litterbag Placem_Collection'!A101</f>
        <v>99</v>
      </c>
      <c r="D760" s="253" t="str">
        <f>'Dry_Litterbag Placem_Collection'!B101</f>
        <v xml:space="preserve">Mwantimba
</v>
      </c>
      <c r="E760" s="253" t="s">
        <v>2454</v>
      </c>
      <c r="F760" s="253" t="s">
        <v>2644</v>
      </c>
      <c r="G760" s="253">
        <v>1</v>
      </c>
      <c r="H760" s="253" t="s">
        <v>3116</v>
      </c>
      <c r="I760" s="254" t="str">
        <f>'Dry_Litterbag Placem_Collection'!C101</f>
        <v>Wet_Ag1_T3</v>
      </c>
      <c r="J760" s="263" t="s">
        <v>2932</v>
      </c>
      <c r="K760" s="264" t="s">
        <v>298</v>
      </c>
      <c r="L760" s="221" t="str">
        <f>'WetLitterbags placem_collection'!Q101</f>
        <v>R496</v>
      </c>
      <c r="M760" s="223">
        <f>IFERROR(INDEX('Green_rooibos initial weight'!$C$5:$C$2000,MATCH(L760, 'Green_rooibos initial weight'!$A$5:$A$2000,0)),"")</f>
        <v>2.2389999999999999</v>
      </c>
      <c r="N760" s="223">
        <f>IFERROR(M760-(TBIcalc!$H$9+TBIcalc!$H$10),"")</f>
        <v>1.9891999999999999</v>
      </c>
      <c r="O760" s="378">
        <f>AVERAGE(Ashed_controlls!$K$2:$K$11)</f>
        <v>5.5147656768714146</v>
      </c>
      <c r="P760" s="223">
        <f t="shared" si="56"/>
        <v>1.8795002811556736</v>
      </c>
      <c r="Q760" s="223">
        <f>IFERROR(INDEX('Both teabags AfterWet'!$C$3:$C$840,MATCH(L760,'Both teabags AfterWet'!$A$3:$A$840,0)),"")</f>
        <v>1.5016</v>
      </c>
      <c r="R760" s="223">
        <f>IFERROR(IF(Q760&gt;0,Q760-(TBIcalc!$H$9),""),"")</f>
        <v>1.351</v>
      </c>
      <c r="S760" s="223">
        <f>IFERROR(INDEX('Ashed teabags wet'!$K$2:$K$2000,MATCH(L760,'Ashed teabags wet'!$A$2:$A$2000,0)),"")</f>
        <v>7.3182711198407153</v>
      </c>
      <c r="T760" s="223">
        <f t="shared" si="57"/>
        <v>1.252130157170952</v>
      </c>
      <c r="U760" s="224">
        <f>'WetLitterbags placem_collection'!E101</f>
        <v>42762</v>
      </c>
      <c r="V760" s="224">
        <f>IF('WetLitterbags placem_collection'!G101="","",'WetLitterbags placem_collection'!G101)</f>
        <v>42816</v>
      </c>
      <c r="W760" s="225">
        <f t="shared" si="55"/>
        <v>54</v>
      </c>
      <c r="X760" s="223">
        <f t="shared" si="58"/>
        <v>0.63819999999999988</v>
      </c>
      <c r="Y760" s="223">
        <f t="shared" si="59"/>
        <v>0.62737012398472158</v>
      </c>
      <c r="Z760">
        <f>IFERROR(INDEX([1]Rainfall_Wet!$O$2:$O$217,MATCH(C760, [1]Rainfall_Wet!$A$2:$A$217,0)),"")</f>
        <v>206.85140822299999</v>
      </c>
      <c r="AA760" s="226">
        <v>45.96</v>
      </c>
      <c r="AB760" s="226">
        <v>14.920000000000003</v>
      </c>
      <c r="AC760" s="226">
        <v>39.119999999999997</v>
      </c>
      <c r="AD760" s="227" t="s">
        <v>2654</v>
      </c>
      <c r="AE760" s="226">
        <v>4.0374568753080302</v>
      </c>
      <c r="AF760">
        <f>IF('WetLitterbags placem_collection'!AB101="","",'WetLitterbags placem_collection'!AB101)</f>
        <v>5.0999999999999996</v>
      </c>
      <c r="AG760">
        <f>IF('WetLitterbags placem_collection'!Z101="","",'WetLitterbags placem_collection'!Z101)</f>
        <v>2.2999999999999998</v>
      </c>
      <c r="AH760" s="236" t="str">
        <f>IF('WetLitterbags placem_collection'!AA101="","",'WetLitterbags placem_collection'!AA101)</f>
        <v>G</v>
      </c>
      <c r="AI760">
        <f>IF('WetLitterbags placem_collection'!AC101="","",'WetLitterbags placem_collection'!AC101)</f>
        <v>0</v>
      </c>
      <c r="AJ760">
        <f>AVERAGE('WetLitterbags placem_collection'!S101,'WetLitterbags placem_collection'!U101)</f>
        <v>17.95</v>
      </c>
      <c r="AK760">
        <f>AVERAGE('WetLitterbags placem_collection'!R101,'WetLitterbags placem_collection'!T101)</f>
        <v>30.85</v>
      </c>
      <c r="AL760">
        <f>INDEX([2]Coordinates!$B$2:$B$197,MATCH(I760,[2]Coordinates!$J$2:$J$197,0))</f>
        <v>-2.369284993</v>
      </c>
      <c r="AM760">
        <f>INDEX([2]Coordinates!$C$2:$C$197,MATCH(I760,[2]Coordinates!$J$2:$J$197,0))</f>
        <v>34.06028104</v>
      </c>
      <c r="AN760" t="str">
        <f>IF(ISNUMBER(SEARCH("C", 'WetLitterbags placem_collection'!$Y101)),"YES","NO")</f>
        <v>NO</v>
      </c>
      <c r="AO760" t="str">
        <f>IF(ISNUMBER(SEARCH("H", 'WetLitterbags placem_collection'!$Y101)),"YES","NO")</f>
        <v>NO</v>
      </c>
      <c r="AP760" t="str">
        <f>IF(ISNUMBER(SEARCH("R", 'WetLitterbags placem_collection'!$Y101)),"YES","NO")</f>
        <v>NO</v>
      </c>
    </row>
    <row r="761" spans="1:42" ht="15" customHeight="1">
      <c r="A761" t="s">
        <v>3248</v>
      </c>
      <c r="B761" s="248" t="s">
        <v>2454</v>
      </c>
      <c r="C761" s="253">
        <f>'Dry_Litterbag Placem_Collection'!A102</f>
        <v>100</v>
      </c>
      <c r="D761" s="253" t="str">
        <f>'Dry_Litterbag Placem_Collection'!B102</f>
        <v xml:space="preserve">Mwantimba
</v>
      </c>
      <c r="E761" s="253" t="s">
        <v>2454</v>
      </c>
      <c r="F761" s="253" t="s">
        <v>2644</v>
      </c>
      <c r="G761" s="253">
        <v>1</v>
      </c>
      <c r="H761" s="253" t="s">
        <v>3116</v>
      </c>
      <c r="I761" s="254" t="str">
        <f>'Dry_Litterbag Placem_Collection'!C102</f>
        <v>Wet_Ag1_T4</v>
      </c>
      <c r="J761" s="263" t="s">
        <v>2932</v>
      </c>
      <c r="K761" s="264" t="s">
        <v>298</v>
      </c>
      <c r="L761" s="221" t="str">
        <f>'WetLitterbags placem_collection'!Q102</f>
        <v>R497</v>
      </c>
      <c r="M761" s="223">
        <f>IFERROR(INDEX('Green_rooibos initial weight'!$C$5:$C$2000,MATCH(L761, 'Green_rooibos initial weight'!$A$5:$A$2000,0)),"")</f>
        <v>2.2240000000000002</v>
      </c>
      <c r="N761" s="223">
        <f>IFERROR(M761-(TBIcalc!$H$9+TBIcalc!$H$10),"")</f>
        <v>1.9742000000000002</v>
      </c>
      <c r="O761" s="378">
        <f>AVERAGE(Ashed_controlls!$K$2:$K$11)</f>
        <v>5.5147656768714146</v>
      </c>
      <c r="P761" s="223">
        <f t="shared" si="56"/>
        <v>1.8653274960072048</v>
      </c>
      <c r="Q761" s="223">
        <f>IFERROR(INDEX('Both teabags AfterWet'!$C$3:$C$840,MATCH(L761,'Both teabags AfterWet'!$A$3:$A$840,0)),"")</f>
        <v>1.66</v>
      </c>
      <c r="R761" s="223">
        <f>IFERROR(IF(Q761&gt;0,Q761-(TBIcalc!$H$9),""),"")</f>
        <v>1.5093999999999999</v>
      </c>
      <c r="S761" s="223">
        <f>IFERROR(INDEX('Ashed teabags wet'!$K$2:$K$2000,MATCH(L761,'Ashed teabags wet'!$A$2:$A$2000,0)),"")</f>
        <v>7.3426573426567847</v>
      </c>
      <c r="T761" s="223">
        <f t="shared" si="57"/>
        <v>1.3985699300699383</v>
      </c>
      <c r="U761" s="224">
        <f>'WetLitterbags placem_collection'!E102</f>
        <v>42762</v>
      </c>
      <c r="V761" s="224">
        <f>IF('WetLitterbags placem_collection'!G102="","",'WetLitterbags placem_collection'!G102)</f>
        <v>42816</v>
      </c>
      <c r="W761" s="225">
        <f t="shared" si="55"/>
        <v>54</v>
      </c>
      <c r="X761" s="223">
        <f t="shared" si="58"/>
        <v>0.46480000000000032</v>
      </c>
      <c r="Y761" s="223">
        <f t="shared" si="59"/>
        <v>0.46675756593726647</v>
      </c>
      <c r="Z761">
        <f>IFERROR(INDEX([1]Rainfall_Wet!$O$2:$O$217,MATCH(C761, [1]Rainfall_Wet!$A$2:$A$217,0)),"")</f>
        <v>206.85140822299999</v>
      </c>
      <c r="AA761" s="226">
        <v>45.96</v>
      </c>
      <c r="AB761" s="226">
        <v>14.920000000000003</v>
      </c>
      <c r="AC761" s="226">
        <v>39.119999999999997</v>
      </c>
      <c r="AD761" s="227" t="s">
        <v>2654</v>
      </c>
      <c r="AE761" s="226">
        <v>5.0374568753080302</v>
      </c>
      <c r="AF761">
        <f>IF('WetLitterbags placem_collection'!AB102="","",'WetLitterbags placem_collection'!AB102)</f>
        <v>1.6</v>
      </c>
      <c r="AG761">
        <f>IF('WetLitterbags placem_collection'!Z102="","",'WetLitterbags placem_collection'!Z102)</f>
        <v>15</v>
      </c>
      <c r="AH761" s="236" t="str">
        <f>IF('WetLitterbags placem_collection'!AA102="","",'WetLitterbags placem_collection'!AA102)</f>
        <v>G</v>
      </c>
      <c r="AI761">
        <f>IF('WetLitterbags placem_collection'!AC102="","",'WetLitterbags placem_collection'!AC102)</f>
        <v>1</v>
      </c>
      <c r="AJ761">
        <f>AVERAGE('WetLitterbags placem_collection'!S102,'WetLitterbags placem_collection'!U102)</f>
        <v>16.5</v>
      </c>
      <c r="AK761">
        <f>AVERAGE('WetLitterbags placem_collection'!R102,'WetLitterbags placem_collection'!T102)</f>
        <v>29.85</v>
      </c>
      <c r="AL761">
        <f>INDEX([2]Coordinates!$B$2:$B$197,MATCH(I761,[2]Coordinates!$J$2:$J$197,0))</f>
        <v>-2.3691989950000001</v>
      </c>
      <c r="AM761">
        <f>INDEX([2]Coordinates!$C$2:$C$197,MATCH(I761,[2]Coordinates!$J$2:$J$197,0))</f>
        <v>34.060208029999998</v>
      </c>
      <c r="AN761" t="str">
        <f>IF(ISNUMBER(SEARCH("C", 'WetLitterbags placem_collection'!$Y102)),"YES","NO")</f>
        <v>NO</v>
      </c>
      <c r="AO761" t="str">
        <f>IF(ISNUMBER(SEARCH("H", 'WetLitterbags placem_collection'!$Y102)),"YES","NO")</f>
        <v>NO</v>
      </c>
      <c r="AP761" t="str">
        <f>IF(ISNUMBER(SEARCH("R", 'WetLitterbags placem_collection'!$Y102)),"YES","NO")</f>
        <v>NO</v>
      </c>
    </row>
    <row r="762" spans="1:42" ht="15" customHeight="1">
      <c r="A762" t="s">
        <v>3248</v>
      </c>
      <c r="B762" s="248" t="s">
        <v>2454</v>
      </c>
      <c r="C762" s="253">
        <f>'Dry_Litterbag Placem_Collection'!A103</f>
        <v>101</v>
      </c>
      <c r="D762" s="253" t="str">
        <f>'Dry_Litterbag Placem_Collection'!B103</f>
        <v xml:space="preserve">Mwantimba
</v>
      </c>
      <c r="E762" s="253" t="s">
        <v>2454</v>
      </c>
      <c r="F762" s="253" t="s">
        <v>2644</v>
      </c>
      <c r="G762" s="253">
        <v>1</v>
      </c>
      <c r="H762" s="253" t="s">
        <v>3116</v>
      </c>
      <c r="I762" s="254" t="str">
        <f>'Dry_Litterbag Placem_Collection'!C103</f>
        <v>Wet_Ag1_T5</v>
      </c>
      <c r="J762" s="263" t="s">
        <v>2932</v>
      </c>
      <c r="K762" s="264" t="s">
        <v>298</v>
      </c>
      <c r="L762" s="221" t="str">
        <f>'WetLitterbags placem_collection'!Q103</f>
        <v>R10</v>
      </c>
      <c r="M762" s="223">
        <f>IFERROR(INDEX('Green_rooibos initial weight'!$C$5:$C$2000,MATCH(L762, 'Green_rooibos initial weight'!$A$5:$A$2000,0)),"")</f>
        <v>2.29</v>
      </c>
      <c r="N762" s="223">
        <f>IFERROR(M762-(TBIcalc!$H$9+TBIcalc!$H$10),"")</f>
        <v>2.0402</v>
      </c>
      <c r="O762" s="378">
        <f>AVERAGE(Ashed_controlls!$K$2:$K$11)</f>
        <v>5.5147656768714146</v>
      </c>
      <c r="P762" s="223">
        <f t="shared" si="56"/>
        <v>1.9276877506604695</v>
      </c>
      <c r="Q762" s="223">
        <f>IFERROR(INDEX('Both teabags AfterWet'!$C$3:$C$840,MATCH(L762,'Both teabags AfterWet'!$A$3:$A$840,0)),"")</f>
        <v>1.5687</v>
      </c>
      <c r="R762" s="223">
        <f>IFERROR(IF(Q762&gt;0,Q762-(TBIcalc!$H$9),""),"")</f>
        <v>1.4180999999999999</v>
      </c>
      <c r="S762" s="223">
        <f>IFERROR(INDEX('Ashed teabags wet'!$K$2:$K$2000,MATCH(L762,'Ashed teabags wet'!$A$2:$A$2000,0)),"")</f>
        <v>7.5048732943469902</v>
      </c>
      <c r="T762" s="223">
        <f t="shared" si="57"/>
        <v>1.3116733918128651</v>
      </c>
      <c r="U762" s="224">
        <f>'WetLitterbags placem_collection'!E103</f>
        <v>42762</v>
      </c>
      <c r="V762" s="224">
        <f>IF('WetLitterbags placem_collection'!G103="","",'WetLitterbags placem_collection'!G103)</f>
        <v>42816</v>
      </c>
      <c r="W762" s="225">
        <f t="shared" si="55"/>
        <v>54</v>
      </c>
      <c r="X762" s="223">
        <f t="shared" si="58"/>
        <v>0.6221000000000001</v>
      </c>
      <c r="Y762" s="223">
        <f t="shared" si="59"/>
        <v>0.61601435884760436</v>
      </c>
      <c r="Z762">
        <f>IFERROR(INDEX([1]Rainfall_Wet!$O$2:$O$217,MATCH(C762, [1]Rainfall_Wet!$A$2:$A$217,0)),"")</f>
        <v>206.85140822299999</v>
      </c>
      <c r="AA762" s="226">
        <v>45.96</v>
      </c>
      <c r="AB762" s="226">
        <v>14.920000000000003</v>
      </c>
      <c r="AC762" s="226">
        <v>39.119999999999997</v>
      </c>
      <c r="AD762" s="227" t="s">
        <v>2654</v>
      </c>
      <c r="AE762" s="226">
        <v>6.0374568753080302</v>
      </c>
      <c r="AF762">
        <f>IF('WetLitterbags placem_collection'!AB103="","",'WetLitterbags placem_collection'!AB103)</f>
        <v>4.3499999999999996</v>
      </c>
      <c r="AG762">
        <f>IF('WetLitterbags placem_collection'!Z103="","",'WetLitterbags placem_collection'!Z103)</f>
        <v>17</v>
      </c>
      <c r="AH762" s="236" t="str">
        <f>IF('WetLitterbags placem_collection'!AA103="","",'WetLitterbags placem_collection'!AA103)</f>
        <v>G</v>
      </c>
      <c r="AI762">
        <f>IF('WetLitterbags placem_collection'!AC103="","",'WetLitterbags placem_collection'!AC103)</f>
        <v>1</v>
      </c>
      <c r="AJ762">
        <f>AVERAGE('WetLitterbags placem_collection'!S103,'WetLitterbags placem_collection'!U103)</f>
        <v>22.549999999999997</v>
      </c>
      <c r="AK762">
        <f>AVERAGE('WetLitterbags placem_collection'!R103,'WetLitterbags placem_collection'!T103)</f>
        <v>31.150000000000002</v>
      </c>
      <c r="AL762">
        <f>INDEX([2]Coordinates!$B$2:$B$197,MATCH(I762,[2]Coordinates!$J$2:$J$197,0))</f>
        <v>-2.3691900260000001</v>
      </c>
      <c r="AM762">
        <f>INDEX([2]Coordinates!$C$2:$C$197,MATCH(I762,[2]Coordinates!$J$2:$J$197,0))</f>
        <v>34.060177019999998</v>
      </c>
      <c r="AN762" t="str">
        <f>IF(ISNUMBER(SEARCH("C", 'WetLitterbags placem_collection'!$Y103)),"YES","NO")</f>
        <v>NO</v>
      </c>
      <c r="AO762" t="str">
        <f>IF(ISNUMBER(SEARCH("H", 'WetLitterbags placem_collection'!$Y103)),"YES","NO")</f>
        <v>NO</v>
      </c>
      <c r="AP762" t="str">
        <f>IF(ISNUMBER(SEARCH("R", 'WetLitterbags placem_collection'!$Y103)),"YES","NO")</f>
        <v>NO</v>
      </c>
    </row>
    <row r="763" spans="1:42" ht="15" customHeight="1">
      <c r="A763" t="s">
        <v>3248</v>
      </c>
      <c r="B763" s="248" t="s">
        <v>2454</v>
      </c>
      <c r="C763" s="253">
        <f>'Dry_Litterbag Placem_Collection'!A104</f>
        <v>102</v>
      </c>
      <c r="D763" s="253" t="str">
        <f>'Dry_Litterbag Placem_Collection'!B104</f>
        <v xml:space="preserve">Mwantimba
</v>
      </c>
      <c r="E763" s="253" t="s">
        <v>2454</v>
      </c>
      <c r="F763" s="253" t="s">
        <v>2644</v>
      </c>
      <c r="G763" s="253">
        <v>1</v>
      </c>
      <c r="H763" s="253" t="s">
        <v>3116</v>
      </c>
      <c r="I763" s="254" t="str">
        <f>'Dry_Litterbag Placem_Collection'!C104</f>
        <v>Wet_Ag1_T6</v>
      </c>
      <c r="J763" s="263" t="s">
        <v>2932</v>
      </c>
      <c r="K763" s="264" t="s">
        <v>298</v>
      </c>
      <c r="L763" s="221" t="str">
        <f>'WetLitterbags placem_collection'!Q104</f>
        <v>R26</v>
      </c>
      <c r="M763" s="223">
        <f>IFERROR(INDEX('Green_rooibos initial weight'!$C$5:$C$2000,MATCH(L763, 'Green_rooibos initial weight'!$A$5:$A$2000,0)),"")</f>
        <v>2.2559999999999998</v>
      </c>
      <c r="N763" s="223">
        <f>IFERROR(M763-(TBIcalc!$H$9+TBIcalc!$H$10),"")</f>
        <v>2.0061999999999998</v>
      </c>
      <c r="O763" s="378">
        <f>AVERAGE(Ashed_controlls!$K$2:$K$11)</f>
        <v>5.5147656768714146</v>
      </c>
      <c r="P763" s="223">
        <f t="shared" si="56"/>
        <v>1.8955627709906056</v>
      </c>
      <c r="Q763" s="223">
        <f>IFERROR(INDEX('Both teabags AfterWet'!$C$3:$C$840,MATCH(L763,'Both teabags AfterWet'!$A$3:$A$840,0)),"")</f>
        <v>1.6240000000000001</v>
      </c>
      <c r="R763" s="223">
        <f>IFERROR(IF(Q763&gt;0,Q763-(TBIcalc!$H$9),""),"")</f>
        <v>1.4734</v>
      </c>
      <c r="S763" s="223">
        <f>IFERROR(INDEX('Ashed teabags wet'!$K$2:$K$2000,MATCH(L763,'Ashed teabags wet'!$A$2:$A$2000,0)),"")</f>
        <v>5.4671968190859612</v>
      </c>
      <c r="T763" s="223">
        <f t="shared" si="57"/>
        <v>1.3928463220675875</v>
      </c>
      <c r="U763" s="224">
        <f>'WetLitterbags placem_collection'!E104</f>
        <v>42762</v>
      </c>
      <c r="V763" s="224">
        <f>IF('WetLitterbags placem_collection'!G104="","",'WetLitterbags placem_collection'!G104)</f>
        <v>42816</v>
      </c>
      <c r="W763" s="225">
        <f t="shared" si="55"/>
        <v>54</v>
      </c>
      <c r="X763" s="223">
        <f t="shared" si="58"/>
        <v>0.53279999999999972</v>
      </c>
      <c r="Y763" s="223">
        <f t="shared" si="59"/>
        <v>0.50271644892301803</v>
      </c>
      <c r="Z763">
        <f>IFERROR(INDEX([1]Rainfall_Wet!$O$2:$O$217,MATCH(C763, [1]Rainfall_Wet!$A$2:$A$217,0)),"")</f>
        <v>206.85140822299999</v>
      </c>
      <c r="AA763" s="226">
        <v>45.96</v>
      </c>
      <c r="AB763" s="226">
        <v>14.920000000000003</v>
      </c>
      <c r="AC763" s="226">
        <v>39.119999999999997</v>
      </c>
      <c r="AD763" s="227" t="s">
        <v>2654</v>
      </c>
      <c r="AE763" s="226">
        <v>7.0374568753080302</v>
      </c>
      <c r="AF763">
        <f>IF('WetLitterbags placem_collection'!AB104="","",'WetLitterbags placem_collection'!AB104)</f>
        <v>7.7</v>
      </c>
      <c r="AG763">
        <f>IF('WetLitterbags placem_collection'!Z104="","",'WetLitterbags placem_collection'!Z104)</f>
        <v>21</v>
      </c>
      <c r="AH763" s="236" t="str">
        <f>IF('WetLitterbags placem_collection'!AA104="","",'WetLitterbags placem_collection'!AA104)</f>
        <v>G</v>
      </c>
      <c r="AI763">
        <f>IF('WetLitterbags placem_collection'!AC104="","",'WetLitterbags placem_collection'!AC104)</f>
        <v>1</v>
      </c>
      <c r="AJ763">
        <f>AVERAGE('WetLitterbags placem_collection'!S104,'WetLitterbags placem_collection'!U104)</f>
        <v>21.099999999999998</v>
      </c>
      <c r="AK763">
        <f>AVERAGE('WetLitterbags placem_collection'!R104,'WetLitterbags placem_collection'!T104)</f>
        <v>31.8</v>
      </c>
      <c r="AL763">
        <f>INDEX([2]Coordinates!$B$2:$B$197,MATCH(I763,[2]Coordinates!$J$2:$J$197,0))</f>
        <v>-2.3691350409999998</v>
      </c>
      <c r="AM763">
        <f>INDEX([2]Coordinates!$C$2:$C$197,MATCH(I763,[2]Coordinates!$J$2:$J$197,0))</f>
        <v>34.06018297</v>
      </c>
      <c r="AN763" t="str">
        <f>IF(ISNUMBER(SEARCH("C", 'WetLitterbags placem_collection'!$Y104)),"YES","NO")</f>
        <v>NO</v>
      </c>
      <c r="AO763" t="str">
        <f>IF(ISNUMBER(SEARCH("H", 'WetLitterbags placem_collection'!$Y104)),"YES","NO")</f>
        <v>NO</v>
      </c>
      <c r="AP763" t="str">
        <f>IF(ISNUMBER(SEARCH("R", 'WetLitterbags placem_collection'!$Y104)),"YES","NO")</f>
        <v>NO</v>
      </c>
    </row>
    <row r="764" spans="1:42" ht="15" customHeight="1">
      <c r="A764" t="s">
        <v>3248</v>
      </c>
      <c r="B764" s="248" t="s">
        <v>2454</v>
      </c>
      <c r="C764" s="253">
        <f>'Dry_Litterbag Placem_Collection'!A105</f>
        <v>103</v>
      </c>
      <c r="D764" s="253" t="str">
        <f>'Dry_Litterbag Placem_Collection'!B105</f>
        <v xml:space="preserve">Mwantimba
</v>
      </c>
      <c r="E764" s="253" t="s">
        <v>2454</v>
      </c>
      <c r="F764" s="253" t="s">
        <v>2644</v>
      </c>
      <c r="G764" s="253">
        <v>1</v>
      </c>
      <c r="H764" s="253" t="s">
        <v>3116</v>
      </c>
      <c r="I764" s="254" t="str">
        <f>'Dry_Litterbag Placem_Collection'!C105</f>
        <v>Wet_Ag1_T7</v>
      </c>
      <c r="J764" s="263" t="s">
        <v>2932</v>
      </c>
      <c r="K764" s="264" t="s">
        <v>298</v>
      </c>
      <c r="L764" s="221" t="str">
        <f>'WetLitterbags placem_collection'!Q105</f>
        <v>R494</v>
      </c>
      <c r="M764" s="223">
        <f>IFERROR(INDEX('Green_rooibos initial weight'!$C$5:$C$2000,MATCH(L764, 'Green_rooibos initial weight'!$A$5:$A$2000,0)),"")</f>
        <v>2.2130000000000001</v>
      </c>
      <c r="N764" s="223">
        <f>IFERROR(M764-(TBIcalc!$H$9+TBIcalc!$H$10),"")</f>
        <v>1.9632000000000001</v>
      </c>
      <c r="O764" s="378">
        <f>AVERAGE(Ashed_controlls!$K$2:$K$11)</f>
        <v>5.5147656768714146</v>
      </c>
      <c r="P764" s="223">
        <f t="shared" si="56"/>
        <v>1.8549341202316605</v>
      </c>
      <c r="Q764" s="223">
        <f>IFERROR(INDEX('Both teabags AfterWet'!$C$3:$C$840,MATCH(L764,'Both teabags AfterWet'!$A$3:$A$840,0)),"")</f>
        <v>1.6919999999999999</v>
      </c>
      <c r="R764" s="223">
        <f>IFERROR(IF(Q764&gt;0,Q764-(TBIcalc!$H$9),""),"")</f>
        <v>1.5413999999999999</v>
      </c>
      <c r="S764" s="223">
        <f>IFERROR(INDEX('Ashed teabags wet'!$K$2:$K$2000,MATCH(L764,'Ashed teabags wet'!$A$2:$A$2000,0)),"")</f>
        <v>5.3175775480057332</v>
      </c>
      <c r="T764" s="223">
        <f t="shared" si="57"/>
        <v>1.4594348596750395</v>
      </c>
      <c r="U764" s="224">
        <f>'WetLitterbags placem_collection'!E105</f>
        <v>42762</v>
      </c>
      <c r="V764" s="224">
        <f>IF('WetLitterbags placem_collection'!G105="","",'WetLitterbags placem_collection'!G105)</f>
        <v>42816</v>
      </c>
      <c r="W764" s="225">
        <f t="shared" si="55"/>
        <v>54</v>
      </c>
      <c r="X764" s="223">
        <f t="shared" si="58"/>
        <v>0.42180000000000017</v>
      </c>
      <c r="Y764" s="223">
        <f t="shared" si="59"/>
        <v>0.39549926055662099</v>
      </c>
      <c r="Z764">
        <f>IFERROR(INDEX([1]Rainfall_Wet!$O$2:$O$217,MATCH(C764, [1]Rainfall_Wet!$A$2:$A$217,0)),"")</f>
        <v>206.85140822299999</v>
      </c>
      <c r="AA764" s="226">
        <v>45.96</v>
      </c>
      <c r="AB764" s="226">
        <v>14.920000000000003</v>
      </c>
      <c r="AC764" s="226">
        <v>39.119999999999997</v>
      </c>
      <c r="AD764" s="227" t="s">
        <v>2654</v>
      </c>
      <c r="AE764" s="226">
        <v>8.0374568753080293</v>
      </c>
      <c r="AF764">
        <f>IF('WetLitterbags placem_collection'!AB105="","",'WetLitterbags placem_collection'!AB105)</f>
        <v>3.25</v>
      </c>
      <c r="AG764">
        <f>IF('WetLitterbags placem_collection'!Z105="","",'WetLitterbags placem_collection'!Z105)</f>
        <v>16</v>
      </c>
      <c r="AH764" s="236" t="str">
        <f>IF('WetLitterbags placem_collection'!AA105="","",'WetLitterbags placem_collection'!AA105)</f>
        <v>G</v>
      </c>
      <c r="AI764">
        <f>IF('WetLitterbags placem_collection'!AC105="","",'WetLitterbags placem_collection'!AC105)</f>
        <v>1</v>
      </c>
      <c r="AJ764">
        <f>AVERAGE('WetLitterbags placem_collection'!S105,'WetLitterbags placem_collection'!U105)</f>
        <v>20.450000000000003</v>
      </c>
      <c r="AK764">
        <f>AVERAGE('WetLitterbags placem_collection'!R105,'WetLitterbags placem_collection'!T105)</f>
        <v>30.25</v>
      </c>
      <c r="AL764">
        <f>INDEX([2]Coordinates!$B$2:$B$197,MATCH(I764,[2]Coordinates!$J$2:$J$197,0))</f>
        <v>-2.3691330289999999</v>
      </c>
      <c r="AM764">
        <f>INDEX([2]Coordinates!$C$2:$C$197,MATCH(I764,[2]Coordinates!$J$2:$J$197,0))</f>
        <v>34.060233009999997</v>
      </c>
      <c r="AN764" t="str">
        <f>IF(ISNUMBER(SEARCH("C", 'WetLitterbags placem_collection'!$Y105)),"YES","NO")</f>
        <v>NO</v>
      </c>
      <c r="AO764" t="str">
        <f>IF(ISNUMBER(SEARCH("H", 'WetLitterbags placem_collection'!$Y105)),"YES","NO")</f>
        <v>NO</v>
      </c>
      <c r="AP764" t="str">
        <f>IF(ISNUMBER(SEARCH("R", 'WetLitterbags placem_collection'!$Y105)),"YES","NO")</f>
        <v>YES</v>
      </c>
    </row>
    <row r="765" spans="1:42" ht="15" customHeight="1">
      <c r="A765" t="s">
        <v>3248</v>
      </c>
      <c r="B765" s="248" t="s">
        <v>2454</v>
      </c>
      <c r="C765" s="253">
        <f>'Dry_Litterbag Placem_Collection'!A106</f>
        <v>104</v>
      </c>
      <c r="D765" s="253" t="str">
        <f>'Dry_Litterbag Placem_Collection'!B106</f>
        <v xml:space="preserve">Mwantimba
</v>
      </c>
      <c r="E765" s="253" t="s">
        <v>2454</v>
      </c>
      <c r="F765" s="253" t="s">
        <v>2644</v>
      </c>
      <c r="G765" s="253">
        <v>1</v>
      </c>
      <c r="H765" s="253" t="s">
        <v>3116</v>
      </c>
      <c r="I765" s="254" t="str">
        <f>'Dry_Litterbag Placem_Collection'!C106</f>
        <v>Wet_Ag1_T8</v>
      </c>
      <c r="J765" s="263" t="s">
        <v>2932</v>
      </c>
      <c r="K765" s="264" t="s">
        <v>298</v>
      </c>
      <c r="L765" s="221" t="str">
        <f>'WetLitterbags placem_collection'!Q106</f>
        <v>R475</v>
      </c>
      <c r="M765" s="223">
        <f>IFERROR(INDEX('Green_rooibos initial weight'!$C$5:$C$2000,MATCH(L765, 'Green_rooibos initial weight'!$A$5:$A$2000,0)),"")</f>
        <v>2.2210000000000001</v>
      </c>
      <c r="N765" s="223">
        <f>IFERROR(M765-(TBIcalc!$H$9+TBIcalc!$H$10),"")</f>
        <v>1.9712000000000001</v>
      </c>
      <c r="O765" s="378">
        <f>AVERAGE(Ashed_controlls!$K$2:$K$11)</f>
        <v>5.5147656768714146</v>
      </c>
      <c r="P765" s="223">
        <f t="shared" si="56"/>
        <v>1.8624929389775107</v>
      </c>
      <c r="Q765" s="223">
        <f>IFERROR(INDEX('Both teabags AfterWet'!$C$3:$C$840,MATCH(L765,'Both teabags AfterWet'!$A$3:$A$840,0)),"")</f>
        <v>1.4970000000000001</v>
      </c>
      <c r="R765" s="223">
        <f>IFERROR(IF(Q765&gt;0,Q765-(TBIcalc!$H$9),""),"")</f>
        <v>1.3464</v>
      </c>
      <c r="S765" s="223">
        <f>IFERROR(INDEX('Ashed teabags wet'!$K$2:$K$2000,MATCH(L765,'Ashed teabags wet'!$A$2:$A$2000,0)),"")</f>
        <v>9.2474176094433584</v>
      </c>
      <c r="T765" s="223">
        <f t="shared" si="57"/>
        <v>1.2218927693064547</v>
      </c>
      <c r="U765" s="224">
        <f>'WetLitterbags placem_collection'!E106</f>
        <v>42762</v>
      </c>
      <c r="V765" s="224">
        <f>IF('WetLitterbags placem_collection'!G106="","",'WetLitterbags placem_collection'!G106)</f>
        <v>42816</v>
      </c>
      <c r="W765" s="225">
        <f t="shared" si="55"/>
        <v>54</v>
      </c>
      <c r="X765" s="223">
        <f t="shared" si="58"/>
        <v>0.62480000000000002</v>
      </c>
      <c r="Y765" s="223">
        <f t="shared" si="59"/>
        <v>0.64060016967105593</v>
      </c>
      <c r="Z765">
        <f>IFERROR(INDEX([1]Rainfall_Wet!$O$2:$O$217,MATCH(C765, [1]Rainfall_Wet!$A$2:$A$217,0)),"")</f>
        <v>206.85140822299999</v>
      </c>
      <c r="AA765" s="226">
        <v>45.96</v>
      </c>
      <c r="AB765" s="226">
        <v>14.920000000000003</v>
      </c>
      <c r="AC765" s="226">
        <v>39.119999999999997</v>
      </c>
      <c r="AD765" s="227" t="s">
        <v>2654</v>
      </c>
      <c r="AE765" s="226">
        <v>9.0374568753080293</v>
      </c>
      <c r="AF765">
        <f>IF('WetLitterbags placem_collection'!AB106="","",'WetLitterbags placem_collection'!AB106)</f>
        <v>10.5</v>
      </c>
      <c r="AG765">
        <f>IF('WetLitterbags placem_collection'!Z106="","",'WetLitterbags placem_collection'!Z106)</f>
        <v>17</v>
      </c>
      <c r="AH765" s="236" t="str">
        <f>IF('WetLitterbags placem_collection'!AA106="","",'WetLitterbags placem_collection'!AA106)</f>
        <v>G</v>
      </c>
      <c r="AI765">
        <f>IF('WetLitterbags placem_collection'!AC106="","",'WetLitterbags placem_collection'!AC106)</f>
        <v>1</v>
      </c>
      <c r="AJ765">
        <f>AVERAGE('WetLitterbags placem_collection'!S106,'WetLitterbags placem_collection'!U106)</f>
        <v>21.6</v>
      </c>
      <c r="AK765">
        <f>AVERAGE('WetLitterbags placem_collection'!R106,'WetLitterbags placem_collection'!T106)</f>
        <v>29.3</v>
      </c>
      <c r="AL765">
        <f>INDEX([2]Coordinates!$B$2:$B$197,MATCH(I765,[2]Coordinates!$J$2:$J$197,0))</f>
        <v>-2.3692910280000001</v>
      </c>
      <c r="AM765">
        <f>INDEX([2]Coordinates!$C$2:$C$197,MATCH(I765,[2]Coordinates!$J$2:$J$197,0))</f>
        <v>34.06016202</v>
      </c>
      <c r="AN765" t="str">
        <f>IF(ISNUMBER(SEARCH("C", 'WetLitterbags placem_collection'!$Y106)),"YES","NO")</f>
        <v>NO</v>
      </c>
      <c r="AO765" t="str">
        <f>IF(ISNUMBER(SEARCH("H", 'WetLitterbags placem_collection'!$Y106)),"YES","NO")</f>
        <v>NO</v>
      </c>
      <c r="AP765" t="str">
        <f>IF(ISNUMBER(SEARCH("R", 'WetLitterbags placem_collection'!$Y106)),"YES","NO")</f>
        <v>NO</v>
      </c>
    </row>
    <row r="766" spans="1:42" ht="15" customHeight="1">
      <c r="A766" t="s">
        <v>3248</v>
      </c>
      <c r="B766" s="248" t="s">
        <v>2454</v>
      </c>
      <c r="C766" s="253">
        <f>'Dry_Litterbag Placem_Collection'!A107</f>
        <v>105</v>
      </c>
      <c r="D766" s="253" t="str">
        <f>'Dry_Litterbag Placem_Collection'!B107</f>
        <v xml:space="preserve">Mwantimba
</v>
      </c>
      <c r="E766" s="253" t="s">
        <v>2454</v>
      </c>
      <c r="F766" s="253" t="s">
        <v>2644</v>
      </c>
      <c r="G766" s="253">
        <v>2</v>
      </c>
      <c r="H766" s="253" t="s">
        <v>3118</v>
      </c>
      <c r="I766" s="254" t="str">
        <f>'Dry_Litterbag Placem_Collection'!C107</f>
        <v>Wet_Ag2_T1</v>
      </c>
      <c r="J766" s="263" t="s">
        <v>2932</v>
      </c>
      <c r="K766" s="264" t="s">
        <v>298</v>
      </c>
      <c r="L766" s="221" t="str">
        <f>'WetLitterbags placem_collection'!Q107</f>
        <v>R540</v>
      </c>
      <c r="M766" s="223">
        <f>IFERROR(INDEX('Green_rooibos initial weight'!$C$5:$C$2000,MATCH(L766, 'Green_rooibos initial weight'!$A$5:$A$2000,0)),"")</f>
        <v>2.194</v>
      </c>
      <c r="N766" s="223">
        <f>IFERROR(M766-(TBIcalc!$H$9+TBIcalc!$H$10),"")</f>
        <v>1.9441999999999999</v>
      </c>
      <c r="O766" s="378">
        <f>AVERAGE(Ashed_controlls!$K$2:$K$11)</f>
        <v>5.5147656768714146</v>
      </c>
      <c r="P766" s="223">
        <f t="shared" si="56"/>
        <v>1.836981925710266</v>
      </c>
      <c r="Q766" s="223">
        <f>IFERROR(INDEX('Both teabags AfterWet'!$C$3:$C$840,MATCH(L766,'Both teabags AfterWet'!$A$3:$A$840,0)),"")</f>
        <v>1.8080000000000001</v>
      </c>
      <c r="R766" s="223">
        <f>IFERROR(IF(Q766&gt;0,Q766-(TBIcalc!$H$9),""),"")</f>
        <v>1.6574</v>
      </c>
      <c r="S766" s="223">
        <f>IFERROR(INDEX('Ashed teabags wet'!$K$2:$K$2000,MATCH(L766,'Ashed teabags wet'!$A$2:$A$2000,0)),"")</f>
        <v>5.7625434674605209</v>
      </c>
      <c r="T766" s="223">
        <f t="shared" si="57"/>
        <v>1.5618916045703093</v>
      </c>
      <c r="U766" s="224">
        <f>'WetLitterbags placem_collection'!E107</f>
        <v>42762</v>
      </c>
      <c r="V766" s="224">
        <f>IF('WetLitterbags placem_collection'!G107="","",'WetLitterbags placem_collection'!G107)</f>
        <v>42816</v>
      </c>
      <c r="W766" s="225">
        <f t="shared" si="55"/>
        <v>54</v>
      </c>
      <c r="X766" s="223">
        <f t="shared" si="58"/>
        <v>0.28679999999999994</v>
      </c>
      <c r="Y766" s="223">
        <f t="shared" si="59"/>
        <v>0.27509032113995668</v>
      </c>
      <c r="Z766">
        <f>IFERROR(INDEX([1]Rainfall_Wet!$O$2:$O$217,MATCH(C766, [1]Rainfall_Wet!$A$2:$A$217,0)),"")</f>
        <v>206.85140822299999</v>
      </c>
      <c r="AA766" s="226">
        <v>34.344660194174757</v>
      </c>
      <c r="AB766" s="226">
        <v>19.22727272727273</v>
      </c>
      <c r="AC766" s="226">
        <v>46.428067078552509</v>
      </c>
      <c r="AD766" s="227" t="s">
        <v>2651</v>
      </c>
      <c r="AE766" s="226">
        <v>1.7452932479053718</v>
      </c>
      <c r="AF766">
        <f>IF('WetLitterbags placem_collection'!AB107="","",'WetLitterbags placem_collection'!AB107)</f>
        <v>5.5</v>
      </c>
      <c r="AG766">
        <f>IF('WetLitterbags placem_collection'!Z107="","",'WetLitterbags placem_collection'!Z107)</f>
        <v>23.5</v>
      </c>
      <c r="AH766" s="236" t="str">
        <f>IF('WetLitterbags placem_collection'!AA107="","",'WetLitterbags placem_collection'!AA107)</f>
        <v>M</v>
      </c>
      <c r="AI766">
        <f>IF('WetLitterbags placem_collection'!AC107="","",'WetLitterbags placem_collection'!AC107)</f>
        <v>0</v>
      </c>
      <c r="AJ766">
        <f>AVERAGE('WetLitterbags placem_collection'!S107,'WetLitterbags placem_collection'!U107)</f>
        <v>11.350000000000001</v>
      </c>
      <c r="AK766">
        <f>AVERAGE('WetLitterbags placem_collection'!R107,'WetLitterbags placem_collection'!T107)</f>
        <v>32.150000000000006</v>
      </c>
      <c r="AL766">
        <f>INDEX([2]Coordinates!$B$2:$B$197,MATCH(I766,[2]Coordinates!$J$2:$J$197,0))</f>
        <v>-2.3698080240000001</v>
      </c>
      <c r="AM766">
        <f>INDEX([2]Coordinates!$C$2:$C$197,MATCH(I766,[2]Coordinates!$J$2:$J$197,0))</f>
        <v>34.059671010000002</v>
      </c>
      <c r="AN766" t="str">
        <f>IF(ISNUMBER(SEARCH("C", 'WetLitterbags placem_collection'!$Y107)),"YES","NO")</f>
        <v>NO</v>
      </c>
      <c r="AO766" t="str">
        <f>IF(ISNUMBER(SEARCH("H", 'WetLitterbags placem_collection'!$Y107)),"YES","NO")</f>
        <v>NO</v>
      </c>
      <c r="AP766" t="str">
        <f>IF(ISNUMBER(SEARCH("R", 'WetLitterbags placem_collection'!$Y107)),"YES","NO")</f>
        <v>YES</v>
      </c>
    </row>
    <row r="767" spans="1:42" ht="15" customHeight="1">
      <c r="A767" t="s">
        <v>3248</v>
      </c>
      <c r="B767" s="248" t="s">
        <v>2454</v>
      </c>
      <c r="C767" s="253">
        <f>'Dry_Litterbag Placem_Collection'!A108</f>
        <v>106</v>
      </c>
      <c r="D767" s="253" t="str">
        <f>'Dry_Litterbag Placem_Collection'!B108</f>
        <v xml:space="preserve">Mwantimba
</v>
      </c>
      <c r="E767" s="253" t="s">
        <v>2454</v>
      </c>
      <c r="F767" s="253" t="s">
        <v>2644</v>
      </c>
      <c r="G767" s="253">
        <v>2</v>
      </c>
      <c r="H767" s="253" t="s">
        <v>3118</v>
      </c>
      <c r="I767" s="254" t="str">
        <f>'Dry_Litterbag Placem_Collection'!C108</f>
        <v>Wet_Ag2_T2</v>
      </c>
      <c r="J767" s="263" t="s">
        <v>2932</v>
      </c>
      <c r="K767" s="264" t="s">
        <v>298</v>
      </c>
      <c r="L767" s="221" t="str">
        <f>'WetLitterbags placem_collection'!Q108</f>
        <v>R593</v>
      </c>
      <c r="M767" s="223">
        <f>IFERROR(INDEX('Green_rooibos initial weight'!$C$5:$C$2000,MATCH(L767, 'Green_rooibos initial weight'!$A$5:$A$2000,0)),"")</f>
        <v>2.2090000000000001</v>
      </c>
      <c r="N767" s="223">
        <f>IFERROR(M767-(TBIcalc!$H$9+TBIcalc!$H$10),"")</f>
        <v>1.9592000000000001</v>
      </c>
      <c r="O767" s="378">
        <f>AVERAGE(Ashed_controlls!$K$2:$K$11)</f>
        <v>5.5147656768714146</v>
      </c>
      <c r="P767" s="223">
        <f t="shared" si="56"/>
        <v>1.8511547108587354</v>
      </c>
      <c r="Q767" s="223">
        <f>IFERROR(INDEX('Both teabags AfterWet'!$C$3:$C$840,MATCH(L767,'Both teabags AfterWet'!$A$3:$A$840,0)),"")</f>
        <v>1.7729999999999999</v>
      </c>
      <c r="R767" s="223">
        <f>IFERROR(IF(Q767&gt;0,Q767-(TBIcalc!$H$9),""),"")</f>
        <v>1.6223999999999998</v>
      </c>
      <c r="S767" s="223">
        <f>IFERROR(INDEX('Ashed teabags wet'!$K$2:$K$2000,MATCH(L767,'Ashed teabags wet'!$A$2:$A$2000,0)),"")</f>
        <v>5.062034739454969</v>
      </c>
      <c r="T767" s="223">
        <f t="shared" si="57"/>
        <v>1.5402735483870824</v>
      </c>
      <c r="U767" s="224">
        <f>'WetLitterbags placem_collection'!E108</f>
        <v>42762</v>
      </c>
      <c r="V767" s="224">
        <f>IF('WetLitterbags placem_collection'!G108="","",'WetLitterbags placem_collection'!G108)</f>
        <v>42816</v>
      </c>
      <c r="W767" s="225">
        <f t="shared" si="55"/>
        <v>54</v>
      </c>
      <c r="X767" s="223">
        <f t="shared" si="58"/>
        <v>0.33680000000000021</v>
      </c>
      <c r="Y767" s="223">
        <f t="shared" si="59"/>
        <v>0.31088116247165298</v>
      </c>
      <c r="Z767">
        <f>IFERROR(INDEX([1]Rainfall_Wet!$O$2:$O$217,MATCH(C767, [1]Rainfall_Wet!$A$2:$A$217,0)),"")</f>
        <v>206.85140822299999</v>
      </c>
      <c r="AA767" s="226">
        <v>34.344660194174757</v>
      </c>
      <c r="AB767" s="226">
        <v>19.22727272727273</v>
      </c>
      <c r="AC767" s="226">
        <v>46.428067078552509</v>
      </c>
      <c r="AD767" s="227" t="s">
        <v>2651</v>
      </c>
      <c r="AE767" s="226">
        <v>2.7452932479053702</v>
      </c>
      <c r="AF767">
        <f>IF('WetLitterbags placem_collection'!AB108="","",'WetLitterbags placem_collection'!AB108)</f>
        <v>8.6</v>
      </c>
      <c r="AG767">
        <f>IF('WetLitterbags placem_collection'!Z108="","",'WetLitterbags placem_collection'!Z108)</f>
        <v>17</v>
      </c>
      <c r="AH767" s="236" t="str">
        <f>IF('WetLitterbags placem_collection'!AA108="","",'WetLitterbags placem_collection'!AA108)</f>
        <v>M</v>
      </c>
      <c r="AI767">
        <f>IF('WetLitterbags placem_collection'!AC108="","",'WetLitterbags placem_collection'!AC108)</f>
        <v>0</v>
      </c>
      <c r="AJ767">
        <f>AVERAGE('WetLitterbags placem_collection'!S108,'WetLitterbags placem_collection'!U108)</f>
        <v>12.4</v>
      </c>
      <c r="AK767">
        <f>AVERAGE('WetLitterbags placem_collection'!R108,'WetLitterbags placem_collection'!T108)</f>
        <v>32.950000000000003</v>
      </c>
      <c r="AL767">
        <f>INDEX([2]Coordinates!$B$2:$B$197,MATCH(I767,[2]Coordinates!$J$2:$J$197,0))</f>
        <v>-2.3697620069999998</v>
      </c>
      <c r="AM767">
        <f>INDEX([2]Coordinates!$C$2:$C$197,MATCH(I767,[2]Coordinates!$J$2:$J$197,0))</f>
        <v>34.059730010000003</v>
      </c>
      <c r="AN767" t="str">
        <f>IF(ISNUMBER(SEARCH("C", 'WetLitterbags placem_collection'!$Y108)),"YES","NO")</f>
        <v>NO</v>
      </c>
      <c r="AO767" t="str">
        <f>IF(ISNUMBER(SEARCH("H", 'WetLitterbags placem_collection'!$Y108)),"YES","NO")</f>
        <v>NO</v>
      </c>
      <c r="AP767" t="str">
        <f>IF(ISNUMBER(SEARCH("R", 'WetLitterbags placem_collection'!$Y108)),"YES","NO")</f>
        <v>YES</v>
      </c>
    </row>
    <row r="768" spans="1:42" ht="15" customHeight="1">
      <c r="A768" t="s">
        <v>3248</v>
      </c>
      <c r="B768" s="248" t="s">
        <v>2454</v>
      </c>
      <c r="C768" s="253">
        <f>'Dry_Litterbag Placem_Collection'!A109</f>
        <v>107</v>
      </c>
      <c r="D768" s="253" t="str">
        <f>'Dry_Litterbag Placem_Collection'!B109</f>
        <v xml:space="preserve">Mwantimba
</v>
      </c>
      <c r="E768" s="253" t="s">
        <v>2454</v>
      </c>
      <c r="F768" s="253" t="s">
        <v>2644</v>
      </c>
      <c r="G768" s="253">
        <v>2</v>
      </c>
      <c r="H768" s="253" t="s">
        <v>3118</v>
      </c>
      <c r="I768" s="254" t="str">
        <f>'Dry_Litterbag Placem_Collection'!C109</f>
        <v>Wet_Ag2_T3</v>
      </c>
      <c r="J768" s="263" t="s">
        <v>2932</v>
      </c>
      <c r="K768" s="264" t="s">
        <v>298</v>
      </c>
      <c r="L768" s="221" t="str">
        <f>'WetLitterbags placem_collection'!Q109</f>
        <v>R510</v>
      </c>
      <c r="M768" s="223">
        <f>IFERROR(INDEX('Green_rooibos initial weight'!$C$5:$C$2000,MATCH(L768, 'Green_rooibos initial weight'!$A$5:$A$2000,0)),"")</f>
        <v>2.2349999999999999</v>
      </c>
      <c r="N768" s="223">
        <f>IFERROR(M768-(TBIcalc!$H$9+TBIcalc!$H$10),"")</f>
        <v>1.9851999999999999</v>
      </c>
      <c r="O768" s="378">
        <f>AVERAGE(Ashed_controlls!$K$2:$K$11)</f>
        <v>5.5147656768714146</v>
      </c>
      <c r="P768" s="223">
        <f t="shared" si="56"/>
        <v>1.8757208717827485</v>
      </c>
      <c r="Q768" s="223">
        <f>IFERROR(INDEX('Both teabags AfterWet'!$C$3:$C$840,MATCH(L768,'Both teabags AfterWet'!$A$3:$A$840,0)),"")</f>
        <v>1.5944</v>
      </c>
      <c r="R768" s="223">
        <f>IFERROR(IF(Q768&gt;0,Q768-(TBIcalc!$H$9),""),"")</f>
        <v>1.4438</v>
      </c>
      <c r="S768" s="223">
        <f>IFERROR(INDEX('Ashed teabags wet'!$K$2:$K$2000,MATCH(L768,'Ashed teabags wet'!$A$2:$A$2000,0)),"")</f>
        <v>5.2605210420842559</v>
      </c>
      <c r="T768" s="223">
        <f t="shared" si="57"/>
        <v>1.3678485971943874</v>
      </c>
      <c r="U768" s="224">
        <f>'WetLitterbags placem_collection'!E109</f>
        <v>42762</v>
      </c>
      <c r="V768" s="224">
        <f>IF('WetLitterbags placem_collection'!G109="","",'WetLitterbags placem_collection'!G109)</f>
        <v>42816</v>
      </c>
      <c r="W768" s="225">
        <f t="shared" si="55"/>
        <v>54</v>
      </c>
      <c r="X768" s="223">
        <f t="shared" si="58"/>
        <v>0.54139999999999988</v>
      </c>
      <c r="Y768" s="223">
        <f t="shared" si="59"/>
        <v>0.50787227458836104</v>
      </c>
      <c r="Z768">
        <f>IFERROR(INDEX([1]Rainfall_Wet!$O$2:$O$217,MATCH(C768, [1]Rainfall_Wet!$A$2:$A$217,0)),"")</f>
        <v>206.85140822299999</v>
      </c>
      <c r="AA768" s="226">
        <v>34.344660194174757</v>
      </c>
      <c r="AB768" s="226">
        <v>19.22727272727273</v>
      </c>
      <c r="AC768" s="226">
        <v>46.428067078552509</v>
      </c>
      <c r="AD768" s="227" t="s">
        <v>2651</v>
      </c>
      <c r="AE768" s="226">
        <v>3.7452932479053702</v>
      </c>
      <c r="AF768">
        <f>IF('WetLitterbags placem_collection'!AB109="","",'WetLitterbags placem_collection'!AB109)</f>
        <v>3.85</v>
      </c>
      <c r="AG768">
        <f>IF('WetLitterbags placem_collection'!Z109="","",'WetLitterbags placem_collection'!Z109)</f>
        <v>15.5</v>
      </c>
      <c r="AH768" s="236" t="str">
        <f>IF('WetLitterbags placem_collection'!AA109="","",'WetLitterbags placem_collection'!AA109)</f>
        <v>M</v>
      </c>
      <c r="AI768">
        <f>IF('WetLitterbags placem_collection'!AC109="","",'WetLitterbags placem_collection'!AC109)</f>
        <v>0</v>
      </c>
      <c r="AJ768">
        <f>AVERAGE('WetLitterbags placem_collection'!S109,'WetLitterbags placem_collection'!U109)</f>
        <v>11.299999999999999</v>
      </c>
      <c r="AK768">
        <f>AVERAGE('WetLitterbags placem_collection'!R109,'WetLitterbags placem_collection'!T109)</f>
        <v>32.450000000000003</v>
      </c>
      <c r="AL768">
        <f>INDEX([2]Coordinates!$B$2:$B$197,MATCH(I768,[2]Coordinates!$J$2:$J$197,0))</f>
        <v>-2.3698409649999999</v>
      </c>
      <c r="AM768">
        <f>INDEX([2]Coordinates!$C$2:$C$197,MATCH(I768,[2]Coordinates!$J$2:$J$197,0))</f>
        <v>34.059814000000003</v>
      </c>
      <c r="AN768" t="str">
        <f>IF(ISNUMBER(SEARCH("C", 'WetLitterbags placem_collection'!$Y109)),"YES","NO")</f>
        <v>NO</v>
      </c>
      <c r="AO768" t="str">
        <f>IF(ISNUMBER(SEARCH("H", 'WetLitterbags placem_collection'!$Y109)),"YES","NO")</f>
        <v>NO</v>
      </c>
      <c r="AP768" t="str">
        <f>IF(ISNUMBER(SEARCH("R", 'WetLitterbags placem_collection'!$Y109)),"YES","NO")</f>
        <v>NO</v>
      </c>
    </row>
    <row r="769" spans="1:42" ht="15" customHeight="1">
      <c r="A769" t="s">
        <v>3248</v>
      </c>
      <c r="B769" s="248" t="s">
        <v>2454</v>
      </c>
      <c r="C769" s="253">
        <f>'Dry_Litterbag Placem_Collection'!A110</f>
        <v>108</v>
      </c>
      <c r="D769" s="253" t="str">
        <f>'Dry_Litterbag Placem_Collection'!B110</f>
        <v xml:space="preserve">Mwantimba
</v>
      </c>
      <c r="E769" s="253" t="s">
        <v>2454</v>
      </c>
      <c r="F769" s="253" t="s">
        <v>2644</v>
      </c>
      <c r="G769" s="253">
        <v>2</v>
      </c>
      <c r="H769" s="253" t="s">
        <v>3118</v>
      </c>
      <c r="I769" s="254" t="str">
        <f>'Dry_Litterbag Placem_Collection'!C110</f>
        <v>Wet_Ag2_T4</v>
      </c>
      <c r="J769" s="263" t="s">
        <v>2932</v>
      </c>
      <c r="K769" s="264" t="s">
        <v>298</v>
      </c>
      <c r="L769" s="221" t="str">
        <f>'WetLitterbags placem_collection'!Q110</f>
        <v>R509</v>
      </c>
      <c r="M769" s="223">
        <f>IFERROR(INDEX('Green_rooibos initial weight'!$C$5:$C$2000,MATCH(L769, 'Green_rooibos initial weight'!$A$5:$A$2000,0)),"")</f>
        <v>2.161</v>
      </c>
      <c r="N769" s="223">
        <f>IFERROR(M769-(TBIcalc!$H$9+TBIcalc!$H$10),"")</f>
        <v>1.9112</v>
      </c>
      <c r="O769" s="378">
        <f>AVERAGE(Ashed_controlls!$K$2:$K$11)</f>
        <v>5.5147656768714146</v>
      </c>
      <c r="P769" s="223">
        <f t="shared" si="56"/>
        <v>1.8058017983836336</v>
      </c>
      <c r="Q769" s="223">
        <f>IFERROR(INDEX('Both teabags AfterWet'!$C$3:$C$840,MATCH(L769,'Both teabags AfterWet'!$A$3:$A$840,0)),"")</f>
        <v>1.6739999999999999</v>
      </c>
      <c r="R769" s="223">
        <f>IFERROR(IF(Q769&gt;0,Q769-(TBIcalc!$H$9),""),"")</f>
        <v>1.5233999999999999</v>
      </c>
      <c r="S769" s="223">
        <f>IFERROR(INDEX('Ashed teabags wet'!$K$2:$K$2000,MATCH(L769,'Ashed teabags wet'!$A$2:$A$2000,0)),"")</f>
        <v>5.6567593480338392</v>
      </c>
      <c r="T769" s="223">
        <f t="shared" si="57"/>
        <v>1.4372249280920524</v>
      </c>
      <c r="U769" s="224">
        <f>'WetLitterbags placem_collection'!E110</f>
        <v>42762</v>
      </c>
      <c r="V769" s="224">
        <f>IF('WetLitterbags placem_collection'!G110="","",'WetLitterbags placem_collection'!G110)</f>
        <v>42816</v>
      </c>
      <c r="W769" s="225">
        <f t="shared" si="55"/>
        <v>54</v>
      </c>
      <c r="X769" s="223">
        <f t="shared" si="58"/>
        <v>0.38780000000000014</v>
      </c>
      <c r="Y769" s="223">
        <f t="shared" si="59"/>
        <v>0.36857687029158126</v>
      </c>
      <c r="Z769">
        <f>IFERROR(INDEX([1]Rainfall_Wet!$O$2:$O$217,MATCH(C769, [1]Rainfall_Wet!$A$2:$A$217,0)),"")</f>
        <v>206.85140822299999</v>
      </c>
      <c r="AA769" s="226">
        <v>34.344660194174757</v>
      </c>
      <c r="AB769" s="226">
        <v>19.22727272727273</v>
      </c>
      <c r="AC769" s="226">
        <v>46.428067078552509</v>
      </c>
      <c r="AD769" s="227" t="s">
        <v>2651</v>
      </c>
      <c r="AE769" s="226">
        <v>4.7452932479053702</v>
      </c>
      <c r="AF769">
        <f>IF('WetLitterbags placem_collection'!AB110="","",'WetLitterbags placem_collection'!AB110)</f>
        <v>9.6999999999999993</v>
      </c>
      <c r="AG769">
        <f>IF('WetLitterbags placem_collection'!Z110="","",'WetLitterbags placem_collection'!Z110)</f>
        <v>22.5</v>
      </c>
      <c r="AH769" s="236" t="str">
        <f>IF('WetLitterbags placem_collection'!AA110="","",'WetLitterbags placem_collection'!AA110)</f>
        <v>M</v>
      </c>
      <c r="AI769">
        <f>IF('WetLitterbags placem_collection'!AC110="","",'WetLitterbags placem_collection'!AC110)</f>
        <v>0</v>
      </c>
      <c r="AJ769">
        <f>AVERAGE('WetLitterbags placem_collection'!S110,'WetLitterbags placem_collection'!U110)</f>
        <v>15.1</v>
      </c>
      <c r="AK769">
        <f>AVERAGE('WetLitterbags placem_collection'!R110,'WetLitterbags placem_collection'!T110)</f>
        <v>31.55</v>
      </c>
      <c r="AL769">
        <f>INDEX([2]Coordinates!$B$2:$B$197,MATCH(I769,[2]Coordinates!$J$2:$J$197,0))</f>
        <v>-2.3698620030000002</v>
      </c>
      <c r="AM769">
        <f>INDEX([2]Coordinates!$C$2:$C$197,MATCH(I769,[2]Coordinates!$J$2:$J$197,0))</f>
        <v>34.059759020000001</v>
      </c>
      <c r="AN769" t="str">
        <f>IF(ISNUMBER(SEARCH("C", 'WetLitterbags placem_collection'!$Y110)),"YES","NO")</f>
        <v>NO</v>
      </c>
      <c r="AO769" t="str">
        <f>IF(ISNUMBER(SEARCH("H", 'WetLitterbags placem_collection'!$Y110)),"YES","NO")</f>
        <v>NO</v>
      </c>
      <c r="AP769" t="str">
        <f>IF(ISNUMBER(SEARCH("R", 'WetLitterbags placem_collection'!$Y110)),"YES","NO")</f>
        <v>YES</v>
      </c>
    </row>
    <row r="770" spans="1:42" ht="15" customHeight="1">
      <c r="A770" t="s">
        <v>3248</v>
      </c>
      <c r="B770" s="248" t="s">
        <v>2454</v>
      </c>
      <c r="C770" s="253">
        <f>'Dry_Litterbag Placem_Collection'!A111</f>
        <v>109</v>
      </c>
      <c r="D770" s="253" t="str">
        <f>'Dry_Litterbag Placem_Collection'!B111</f>
        <v xml:space="preserve">Mwantimba
</v>
      </c>
      <c r="E770" s="253" t="s">
        <v>2454</v>
      </c>
      <c r="F770" s="253" t="s">
        <v>2644</v>
      </c>
      <c r="G770" s="253">
        <v>2</v>
      </c>
      <c r="H770" s="253" t="s">
        <v>3118</v>
      </c>
      <c r="I770" s="254" t="str">
        <f>'Dry_Litterbag Placem_Collection'!C111</f>
        <v>Wet_Ag2_T5</v>
      </c>
      <c r="J770" s="263" t="s">
        <v>2932</v>
      </c>
      <c r="K770" s="264" t="s">
        <v>298</v>
      </c>
      <c r="L770" s="221" t="str">
        <f>'WetLitterbags placem_collection'!Q111</f>
        <v>R33</v>
      </c>
      <c r="M770" s="223">
        <f>IFERROR(INDEX('Green_rooibos initial weight'!$C$5:$C$2000,MATCH(L770, 'Green_rooibos initial weight'!$A$5:$A$2000,0)),"")</f>
        <v>2.1989999999999998</v>
      </c>
      <c r="N770" s="223">
        <f>IFERROR(M770-(TBIcalc!$H$9+TBIcalc!$H$10),"")</f>
        <v>1.9491999999999998</v>
      </c>
      <c r="O770" s="378">
        <f>AVERAGE(Ashed_controlls!$K$2:$K$11)</f>
        <v>5.5147656768714146</v>
      </c>
      <c r="P770" s="223">
        <f t="shared" si="56"/>
        <v>1.8417061874264222</v>
      </c>
      <c r="Q770" s="223">
        <f>IFERROR(INDEX('Both teabags AfterWet'!$C$3:$C$840,MATCH(L770,'Both teabags AfterWet'!$A$3:$A$840,0)),"")</f>
        <v>1.5922000000000001</v>
      </c>
      <c r="R770" s="223">
        <f>IFERROR(IF(Q770&gt;0,Q770-(TBIcalc!$H$9),""),"")</f>
        <v>1.4416</v>
      </c>
      <c r="S770" s="223">
        <f>IFERROR(INDEX('Ashed teabags wet'!$K$2:$K$2000,MATCH(L770,'Ashed teabags wet'!$A$2:$A$2000,0)),"")</f>
        <v>7.2896281800392453</v>
      </c>
      <c r="T770" s="223">
        <f t="shared" si="57"/>
        <v>1.3365127201565543</v>
      </c>
      <c r="U770" s="224">
        <f>'WetLitterbags placem_collection'!E111</f>
        <v>42762</v>
      </c>
      <c r="V770" s="224">
        <f>IF('WetLitterbags placem_collection'!G111="","",'WetLitterbags placem_collection'!G111)</f>
        <v>42816</v>
      </c>
      <c r="W770" s="225">
        <f t="shared" ref="W770:W833" si="60">IFERROR(V770-U770,"")</f>
        <v>54</v>
      </c>
      <c r="X770" s="223">
        <f t="shared" si="58"/>
        <v>0.50759999999999983</v>
      </c>
      <c r="Y770" s="223">
        <f t="shared" si="59"/>
        <v>0.50519346726986791</v>
      </c>
      <c r="Z770">
        <f>IFERROR(INDEX([1]Rainfall_Wet!$O$2:$O$217,MATCH(C770, [1]Rainfall_Wet!$A$2:$A$217,0)),"")</f>
        <v>206.85140822299999</v>
      </c>
      <c r="AA770" s="226">
        <v>34.344660194174757</v>
      </c>
      <c r="AB770" s="226">
        <v>19.22727272727273</v>
      </c>
      <c r="AC770" s="226">
        <v>46.428067078552509</v>
      </c>
      <c r="AD770" s="227" t="s">
        <v>2651</v>
      </c>
      <c r="AE770" s="226">
        <v>5.7452932479053702</v>
      </c>
      <c r="AF770">
        <f>IF('WetLitterbags placem_collection'!AB111="","",'WetLitterbags placem_collection'!AB111)</f>
        <v>10.5</v>
      </c>
      <c r="AG770">
        <f>IF('WetLitterbags placem_collection'!Z111="","",'WetLitterbags placem_collection'!Z111)</f>
        <v>22.5</v>
      </c>
      <c r="AH770" s="236" t="str">
        <f>IF('WetLitterbags placem_collection'!AA111="","",'WetLitterbags placem_collection'!AA111)</f>
        <v>M</v>
      </c>
      <c r="AI770">
        <f>IF('WetLitterbags placem_collection'!AC111="","",'WetLitterbags placem_collection'!AC111)</f>
        <v>0</v>
      </c>
      <c r="AJ770">
        <f>AVERAGE('WetLitterbags placem_collection'!S111,'WetLitterbags placem_collection'!U111)</f>
        <v>9</v>
      </c>
      <c r="AK770">
        <f>AVERAGE('WetLitterbags placem_collection'!R111,'WetLitterbags placem_collection'!T111)</f>
        <v>33.5</v>
      </c>
      <c r="AL770">
        <f>INDEX([2]Coordinates!$B$2:$B$197,MATCH(I770,[2]Coordinates!$J$2:$J$197,0))</f>
        <v>-2.3698390370000002</v>
      </c>
      <c r="AM770">
        <f>INDEX([2]Coordinates!$C$2:$C$197,MATCH(I770,[2]Coordinates!$J$2:$J$197,0))</f>
        <v>34.059714</v>
      </c>
      <c r="AN770" t="str">
        <f>IF(ISNUMBER(SEARCH("C", 'WetLitterbags placem_collection'!$Y111)),"YES","NO")</f>
        <v>NO</v>
      </c>
      <c r="AO770" t="str">
        <f>IF(ISNUMBER(SEARCH("H", 'WetLitterbags placem_collection'!$Y111)),"YES","NO")</f>
        <v>NO</v>
      </c>
      <c r="AP770" t="str">
        <f>IF(ISNUMBER(SEARCH("R", 'WetLitterbags placem_collection'!$Y111)),"YES","NO")</f>
        <v>NO</v>
      </c>
    </row>
    <row r="771" spans="1:42" ht="15" customHeight="1">
      <c r="A771" t="s">
        <v>3248</v>
      </c>
      <c r="B771" s="248" t="s">
        <v>2454</v>
      </c>
      <c r="C771" s="253">
        <f>'Dry_Litterbag Placem_Collection'!A112</f>
        <v>110</v>
      </c>
      <c r="D771" s="253" t="str">
        <f>'Dry_Litterbag Placem_Collection'!B112</f>
        <v xml:space="preserve">Mwantimba
</v>
      </c>
      <c r="E771" s="253" t="s">
        <v>2454</v>
      </c>
      <c r="F771" s="253" t="s">
        <v>2644</v>
      </c>
      <c r="G771" s="253">
        <v>2</v>
      </c>
      <c r="H771" s="253" t="s">
        <v>3118</v>
      </c>
      <c r="I771" s="254" t="str">
        <f>'Dry_Litterbag Placem_Collection'!C112</f>
        <v>Wet_Ag2_T6</v>
      </c>
      <c r="J771" s="263" t="s">
        <v>2932</v>
      </c>
      <c r="K771" s="264" t="s">
        <v>298</v>
      </c>
      <c r="L771" s="221" t="str">
        <f>'WetLitterbags placem_collection'!Q112</f>
        <v>R54</v>
      </c>
      <c r="M771" s="223">
        <f>IFERROR(INDEX('Green_rooibos initial weight'!$C$5:$C$2000,MATCH(L771, 'Green_rooibos initial weight'!$A$5:$A$2000,0)),"")</f>
        <v>2.2069999999999999</v>
      </c>
      <c r="N771" s="223">
        <f>IFERROR(M771-(TBIcalc!$H$9+TBIcalc!$H$10),"")</f>
        <v>1.9571999999999998</v>
      </c>
      <c r="O771" s="378">
        <f>AVERAGE(Ashed_controlls!$K$2:$K$11)</f>
        <v>5.5147656768714146</v>
      </c>
      <c r="P771" s="223">
        <f t="shared" ref="P771:P834" si="61">IFERROR(N771-(O771/100)*N771,"")</f>
        <v>1.8492650061722724</v>
      </c>
      <c r="Q771" s="223">
        <f>IFERROR(INDEX('Both teabags AfterWet'!$C$3:$C$840,MATCH(L771,'Both teabags AfterWet'!$A$3:$A$840,0)),"")</f>
        <v>1.4870000000000001</v>
      </c>
      <c r="R771" s="223">
        <f>IFERROR(IF(Q771&gt;0,Q771-(TBIcalc!$H$9),""),"")</f>
        <v>1.3364</v>
      </c>
      <c r="S771" s="223">
        <f>IFERROR(INDEX('Ashed teabags wet'!$K$2:$K$2000,MATCH(L771,'Ashed teabags wet'!$A$2:$A$2000,0)),"")</f>
        <v>4.8934108527127869</v>
      </c>
      <c r="T771" s="223">
        <f t="shared" ref="T771:T834" si="62">IFERROR(R771-(S771/100)*R771,"")</f>
        <v>1.2710044573643464</v>
      </c>
      <c r="U771" s="224">
        <f>'WetLitterbags placem_collection'!E112</f>
        <v>42762</v>
      </c>
      <c r="V771" s="224">
        <f>IF('WetLitterbags placem_collection'!G112="","",'WetLitterbags placem_collection'!G112)</f>
        <v>42816</v>
      </c>
      <c r="W771" s="225">
        <f t="shared" si="60"/>
        <v>54</v>
      </c>
      <c r="X771" s="223">
        <f t="shared" ref="X771:X834" si="63">IFERROR(N771-R771,"")</f>
        <v>0.6207999999999998</v>
      </c>
      <c r="Y771" s="223">
        <f t="shared" ref="Y771:Y834" si="64">IFERROR(P771-T771,"")</f>
        <v>0.57826054880792599</v>
      </c>
      <c r="Z771">
        <f>IFERROR(INDEX([1]Rainfall_Wet!$O$2:$O$217,MATCH(C771, [1]Rainfall_Wet!$A$2:$A$217,0)),"")</f>
        <v>206.85140822299999</v>
      </c>
      <c r="AA771" s="226">
        <v>34.344660194174757</v>
      </c>
      <c r="AB771" s="226">
        <v>19.22727272727273</v>
      </c>
      <c r="AC771" s="226">
        <v>46.428067078552509</v>
      </c>
      <c r="AD771" s="227" t="s">
        <v>2651</v>
      </c>
      <c r="AE771" s="226">
        <v>6.7452932479053702</v>
      </c>
      <c r="AF771">
        <f>IF('WetLitterbags placem_collection'!AB112="","",'WetLitterbags placem_collection'!AB112)</f>
        <v>5.75</v>
      </c>
      <c r="AG771">
        <f>IF('WetLitterbags placem_collection'!Z112="","",'WetLitterbags placem_collection'!Z112)</f>
        <v>22.5</v>
      </c>
      <c r="AH771" s="236" t="str">
        <f>IF('WetLitterbags placem_collection'!AA112="","",'WetLitterbags placem_collection'!AA112)</f>
        <v>M</v>
      </c>
      <c r="AI771">
        <f>IF('WetLitterbags placem_collection'!AC112="","",'WetLitterbags placem_collection'!AC112)</f>
        <v>0</v>
      </c>
      <c r="AJ771">
        <f>AVERAGE('WetLitterbags placem_collection'!S112,'WetLitterbags placem_collection'!U112)</f>
        <v>16.950000000000003</v>
      </c>
      <c r="AK771">
        <f>AVERAGE('WetLitterbags placem_collection'!R112,'WetLitterbags placem_collection'!T112)</f>
        <v>30.5</v>
      </c>
      <c r="AL771">
        <f>INDEX([2]Coordinates!$B$2:$B$197,MATCH(I771,[2]Coordinates!$J$2:$J$197,0))</f>
        <v>-2.3697549659999999</v>
      </c>
      <c r="AM771">
        <f>INDEX([2]Coordinates!$C$2:$C$197,MATCH(I771,[2]Coordinates!$J$2:$J$197,0))</f>
        <v>34.059668989999999</v>
      </c>
      <c r="AN771" t="str">
        <f>IF(ISNUMBER(SEARCH("C", 'WetLitterbags placem_collection'!$Y112)),"YES","NO")</f>
        <v>NO</v>
      </c>
      <c r="AO771" t="str">
        <f>IF(ISNUMBER(SEARCH("H", 'WetLitterbags placem_collection'!$Y112)),"YES","NO")</f>
        <v>NO</v>
      </c>
      <c r="AP771" t="str">
        <f>IF(ISNUMBER(SEARCH("R", 'WetLitterbags placem_collection'!$Y112)),"YES","NO")</f>
        <v>YES</v>
      </c>
    </row>
    <row r="772" spans="1:42" ht="15" customHeight="1">
      <c r="A772" t="s">
        <v>3248</v>
      </c>
      <c r="B772" s="248" t="s">
        <v>2454</v>
      </c>
      <c r="C772" s="253">
        <f>'Dry_Litterbag Placem_Collection'!A113</f>
        <v>111</v>
      </c>
      <c r="D772" s="253" t="str">
        <f>'Dry_Litterbag Placem_Collection'!B113</f>
        <v xml:space="preserve">Mwantimba
</v>
      </c>
      <c r="E772" s="253" t="s">
        <v>2454</v>
      </c>
      <c r="F772" s="253" t="s">
        <v>2644</v>
      </c>
      <c r="G772" s="253">
        <v>2</v>
      </c>
      <c r="H772" s="253" t="s">
        <v>3118</v>
      </c>
      <c r="I772" s="254" t="str">
        <f>'Dry_Litterbag Placem_Collection'!C113</f>
        <v>Wet_Ag2_T7</v>
      </c>
      <c r="J772" s="263" t="s">
        <v>2932</v>
      </c>
      <c r="K772" s="264" t="s">
        <v>298</v>
      </c>
      <c r="L772" s="221" t="str">
        <f>'WetLitterbags placem_collection'!Q113</f>
        <v>R487</v>
      </c>
      <c r="M772" s="223">
        <f>IFERROR(INDEX('Green_rooibos initial weight'!$C$5:$C$2000,MATCH(L772, 'Green_rooibos initial weight'!$A$5:$A$2000,0)),"")</f>
        <v>2.222</v>
      </c>
      <c r="N772" s="223">
        <f>IFERROR(M772-(TBIcalc!$H$9+TBIcalc!$H$10),"")</f>
        <v>1.9722</v>
      </c>
      <c r="O772" s="378">
        <f>AVERAGE(Ashed_controlls!$K$2:$K$11)</f>
        <v>5.5147656768714146</v>
      </c>
      <c r="P772" s="223">
        <f t="shared" si="61"/>
        <v>1.8634377913207418</v>
      </c>
      <c r="Q772" s="223">
        <f>IFERROR(INDEX('Both teabags AfterWet'!$C$3:$C$840,MATCH(L772,'Both teabags AfterWet'!$A$3:$A$840,0)),"")</f>
        <v>1.609</v>
      </c>
      <c r="R772" s="223">
        <f>IFERROR(IF(Q772&gt;0,Q772-(TBIcalc!$H$9),""),"")</f>
        <v>1.4583999999999999</v>
      </c>
      <c r="S772" s="223">
        <f>IFERROR(INDEX('Ashed teabags wet'!$K$2:$K$2000,MATCH(L772,'Ashed teabags wet'!$A$2:$A$2000,0)),"")</f>
        <v>6.2961141170683206</v>
      </c>
      <c r="T772" s="223">
        <f t="shared" si="62"/>
        <v>1.3665774717166754</v>
      </c>
      <c r="U772" s="224">
        <f>'WetLitterbags placem_collection'!E113</f>
        <v>42762</v>
      </c>
      <c r="V772" s="224">
        <f>IF('WetLitterbags placem_collection'!G113="","",'WetLitterbags placem_collection'!G113)</f>
        <v>42816</v>
      </c>
      <c r="W772" s="225">
        <f t="shared" si="60"/>
        <v>54</v>
      </c>
      <c r="X772" s="223">
        <f t="shared" si="63"/>
        <v>0.51380000000000003</v>
      </c>
      <c r="Y772" s="223">
        <f t="shared" si="64"/>
        <v>0.4968603196040664</v>
      </c>
      <c r="Z772">
        <f>IFERROR(INDEX([1]Rainfall_Wet!$O$2:$O$217,MATCH(C772, [1]Rainfall_Wet!$A$2:$A$217,0)),"")</f>
        <v>206.85140822299999</v>
      </c>
      <c r="AA772" s="226">
        <v>34.344660194174757</v>
      </c>
      <c r="AB772" s="226">
        <v>19.22727272727273</v>
      </c>
      <c r="AC772" s="226">
        <v>46.428067078552509</v>
      </c>
      <c r="AD772" s="227" t="s">
        <v>2651</v>
      </c>
      <c r="AE772" s="226">
        <v>7.7452932479053702</v>
      </c>
      <c r="AF772">
        <f>IF('WetLitterbags placem_collection'!AB113="","",'WetLitterbags placem_collection'!AB113)</f>
        <v>6.1</v>
      </c>
      <c r="AG772">
        <f>IF('WetLitterbags placem_collection'!Z113="","",'WetLitterbags placem_collection'!Z113)</f>
        <v>26</v>
      </c>
      <c r="AH772" s="236" t="str">
        <f>IF('WetLitterbags placem_collection'!AA113="","",'WetLitterbags placem_collection'!AA113)</f>
        <v>M</v>
      </c>
      <c r="AI772">
        <f>IF('WetLitterbags placem_collection'!AC113="","",'WetLitterbags placem_collection'!AC113)</f>
        <v>0</v>
      </c>
      <c r="AJ772">
        <f>AVERAGE('WetLitterbags placem_collection'!S113,'WetLitterbags placem_collection'!U113)</f>
        <v>11.1</v>
      </c>
      <c r="AK772">
        <f>AVERAGE('WetLitterbags placem_collection'!R113,'WetLitterbags placem_collection'!T113)</f>
        <v>32.65</v>
      </c>
      <c r="AL772">
        <f>INDEX([2]Coordinates!$B$2:$B$197,MATCH(I772,[2]Coordinates!$J$2:$J$197,0))</f>
        <v>-2.3697330060000001</v>
      </c>
      <c r="AM772">
        <f>INDEX([2]Coordinates!$C$2:$C$197,MATCH(I772,[2]Coordinates!$J$2:$J$197,0))</f>
        <v>34.059615010000002</v>
      </c>
      <c r="AN772" t="str">
        <f>IF(ISNUMBER(SEARCH("C", 'WetLitterbags placem_collection'!$Y113)),"YES","NO")</f>
        <v>NO</v>
      </c>
      <c r="AO772" t="str">
        <f>IF(ISNUMBER(SEARCH("H", 'WetLitterbags placem_collection'!$Y113)),"YES","NO")</f>
        <v>NO</v>
      </c>
      <c r="AP772" t="str">
        <f>IF(ISNUMBER(SEARCH("R", 'WetLitterbags placem_collection'!$Y113)),"YES","NO")</f>
        <v>NO</v>
      </c>
    </row>
    <row r="773" spans="1:42" ht="15" customHeight="1">
      <c r="A773" t="s">
        <v>3248</v>
      </c>
      <c r="B773" s="248" t="s">
        <v>2454</v>
      </c>
      <c r="C773" s="253">
        <f>'Dry_Litterbag Placem_Collection'!A114</f>
        <v>112</v>
      </c>
      <c r="D773" s="253" t="str">
        <f>'Dry_Litterbag Placem_Collection'!B114</f>
        <v xml:space="preserve">Mwantimba
</v>
      </c>
      <c r="E773" s="253" t="s">
        <v>2454</v>
      </c>
      <c r="F773" s="253" t="s">
        <v>2644</v>
      </c>
      <c r="G773" s="253">
        <v>2</v>
      </c>
      <c r="H773" s="253" t="s">
        <v>3118</v>
      </c>
      <c r="I773" s="254" t="str">
        <f>'Dry_Litterbag Placem_Collection'!C114</f>
        <v>Wet_Ag2_T8</v>
      </c>
      <c r="J773" s="263" t="s">
        <v>2932</v>
      </c>
      <c r="K773" s="264" t="s">
        <v>298</v>
      </c>
      <c r="L773" s="221" t="str">
        <f>'WetLitterbags placem_collection'!Q114</f>
        <v>R530</v>
      </c>
      <c r="M773" s="223">
        <f>IFERROR(INDEX('Green_rooibos initial weight'!$C$5:$C$2000,MATCH(L773, 'Green_rooibos initial weight'!$A$5:$A$2000,0)),"")</f>
        <v>2.1659999999999999</v>
      </c>
      <c r="N773" s="223">
        <f>IFERROR(M773-(TBIcalc!$H$9+TBIcalc!$H$10),"")</f>
        <v>1.9161999999999999</v>
      </c>
      <c r="O773" s="378">
        <f>AVERAGE(Ashed_controlls!$K$2:$K$11)</f>
        <v>5.5147656768714146</v>
      </c>
      <c r="P773" s="223">
        <f t="shared" si="61"/>
        <v>1.8105260600997899</v>
      </c>
      <c r="Q773" s="223">
        <f>IFERROR(INDEX('Both teabags AfterWet'!$C$3:$C$840,MATCH(L773,'Both teabags AfterWet'!$A$3:$A$840,0)),"")</f>
        <v>1.627</v>
      </c>
      <c r="R773" s="223">
        <f>IFERROR(IF(Q773&gt;0,Q773-(TBIcalc!$H$9),""),"")</f>
        <v>1.4763999999999999</v>
      </c>
      <c r="S773" s="223">
        <f>IFERROR(INDEX('Ashed teabags wet'!$K$2:$K$2000,MATCH(L773,'Ashed teabags wet'!$A$2:$A$2000,0)),"")</f>
        <v>4.6511627906973203</v>
      </c>
      <c r="T773" s="223">
        <f t="shared" si="62"/>
        <v>1.4077302325581447</v>
      </c>
      <c r="U773" s="224">
        <f>'WetLitterbags placem_collection'!E114</f>
        <v>42762</v>
      </c>
      <c r="V773" s="224">
        <f>IF('WetLitterbags placem_collection'!G114="","",'WetLitterbags placem_collection'!G114)</f>
        <v>42816</v>
      </c>
      <c r="W773" s="225">
        <f t="shared" si="60"/>
        <v>54</v>
      </c>
      <c r="X773" s="223">
        <f t="shared" si="63"/>
        <v>0.43979999999999997</v>
      </c>
      <c r="Y773" s="223">
        <f t="shared" si="64"/>
        <v>0.40279582754164522</v>
      </c>
      <c r="Z773">
        <f>IFERROR(INDEX([1]Rainfall_Wet!$O$2:$O$217,MATCH(C773, [1]Rainfall_Wet!$A$2:$A$217,0)),"")</f>
        <v>206.85140822299999</v>
      </c>
      <c r="AA773" s="226">
        <v>34.344660194174757</v>
      </c>
      <c r="AB773" s="226">
        <v>19.22727272727273</v>
      </c>
      <c r="AC773" s="226">
        <v>46.428067078552509</v>
      </c>
      <c r="AD773" s="227" t="s">
        <v>2651</v>
      </c>
      <c r="AE773" s="226">
        <v>8.7452932479053693</v>
      </c>
      <c r="AF773">
        <f>IF('WetLitterbags placem_collection'!AB114="","",'WetLitterbags placem_collection'!AB114)</f>
        <v>11.5</v>
      </c>
      <c r="AG773">
        <f>IF('WetLitterbags placem_collection'!Z114="","",'WetLitterbags placem_collection'!Z114)</f>
        <v>15</v>
      </c>
      <c r="AH773" s="236" t="str">
        <f>IF('WetLitterbags placem_collection'!AA114="","",'WetLitterbags placem_collection'!AA114)</f>
        <v>M</v>
      </c>
      <c r="AI773">
        <f>IF('WetLitterbags placem_collection'!AC114="","",'WetLitterbags placem_collection'!AC114)</f>
        <v>0</v>
      </c>
      <c r="AJ773">
        <f>AVERAGE('WetLitterbags placem_collection'!S114,'WetLitterbags placem_collection'!U114)</f>
        <v>15.2</v>
      </c>
      <c r="AK773">
        <f>AVERAGE('WetLitterbags placem_collection'!R114,'WetLitterbags placem_collection'!T114)</f>
        <v>31.450000000000003</v>
      </c>
      <c r="AL773">
        <f>INDEX([2]Coordinates!$B$2:$B$197,MATCH(I773,[2]Coordinates!$J$2:$J$197,0))</f>
        <v>-2.36967098</v>
      </c>
      <c r="AM773">
        <f>INDEX([2]Coordinates!$C$2:$C$197,MATCH(I773,[2]Coordinates!$J$2:$J$197,0))</f>
        <v>34.059735959999998</v>
      </c>
      <c r="AN773" t="str">
        <f>IF(ISNUMBER(SEARCH("C", 'WetLitterbags placem_collection'!$Y114)),"YES","NO")</f>
        <v>NO</v>
      </c>
      <c r="AO773" t="str">
        <f>IF(ISNUMBER(SEARCH("H", 'WetLitterbags placem_collection'!$Y114)),"YES","NO")</f>
        <v>NO</v>
      </c>
      <c r="AP773" t="str">
        <f>IF(ISNUMBER(SEARCH("R", 'WetLitterbags placem_collection'!$Y114)),"YES","NO")</f>
        <v>NO</v>
      </c>
    </row>
    <row r="774" spans="1:42" ht="15" customHeight="1">
      <c r="A774" t="s">
        <v>3248</v>
      </c>
      <c r="B774" s="248" t="s">
        <v>2454</v>
      </c>
      <c r="C774" s="253">
        <f>'Dry_Litterbag Placem_Collection'!A115</f>
        <v>113</v>
      </c>
      <c r="D774" s="253" t="str">
        <f>'Dry_Litterbag Placem_Collection'!B115</f>
        <v xml:space="preserve">Mwantimba
</v>
      </c>
      <c r="E774" s="253" t="s">
        <v>2454</v>
      </c>
      <c r="F774" s="253" t="s">
        <v>2644</v>
      </c>
      <c r="G774" s="253">
        <v>3</v>
      </c>
      <c r="H774" s="253" t="s">
        <v>3119</v>
      </c>
      <c r="I774" s="254" t="str">
        <f>'Dry_Litterbag Placem_Collection'!C115</f>
        <v>Wet_Ag3_T1</v>
      </c>
      <c r="J774" s="263" t="s">
        <v>2932</v>
      </c>
      <c r="K774" s="264" t="s">
        <v>298</v>
      </c>
      <c r="L774" s="221" t="str">
        <f>'WetLitterbags placem_collection'!Q115</f>
        <v>R578</v>
      </c>
      <c r="M774" s="223">
        <f>IFERROR(INDEX('Green_rooibos initial weight'!$C$5:$C$2000,MATCH(L774, 'Green_rooibos initial weight'!$A$5:$A$2000,0)),"")</f>
        <v>2.1259999999999999</v>
      </c>
      <c r="N774" s="223">
        <f>IFERROR(M774-(TBIcalc!$H$9+TBIcalc!$H$10),"")</f>
        <v>1.8761999999999999</v>
      </c>
      <c r="O774" s="378">
        <f>AVERAGE(Ashed_controlls!$K$2:$K$11)</f>
        <v>5.5147656768714146</v>
      </c>
      <c r="P774" s="223">
        <f t="shared" si="61"/>
        <v>1.7727319663705383</v>
      </c>
      <c r="Q774" s="223">
        <f>IFERROR(INDEX('Both teabags AfterWet'!$C$3:$C$840,MATCH(L774,'Both teabags AfterWet'!$A$3:$A$840,0)),"")</f>
        <v>1.421</v>
      </c>
      <c r="R774" s="223">
        <f>IFERROR(IF(Q774&gt;0,Q774-(TBIcalc!$H$9),""),"")</f>
        <v>1.2704</v>
      </c>
      <c r="S774" s="223">
        <f>IFERROR(INDEX('Ashed teabags wet'!$K$2:$K$2000,MATCH(L774,'Ashed teabags wet'!$A$2:$A$2000,0)),"")</f>
        <v>12.371134020618721</v>
      </c>
      <c r="T774" s="223">
        <f t="shared" si="62"/>
        <v>1.1132371134020598</v>
      </c>
      <c r="U774" s="224">
        <f>'WetLitterbags placem_collection'!E115</f>
        <v>42762</v>
      </c>
      <c r="V774" s="224">
        <f>IF('WetLitterbags placem_collection'!G115="","",'WetLitterbags placem_collection'!G115)</f>
        <v>42816</v>
      </c>
      <c r="W774" s="225">
        <f t="shared" si="60"/>
        <v>54</v>
      </c>
      <c r="X774" s="223">
        <f t="shared" si="63"/>
        <v>0.60579999999999989</v>
      </c>
      <c r="Y774" s="223">
        <f t="shared" si="64"/>
        <v>0.65949485296847854</v>
      </c>
      <c r="Z774">
        <f>IFERROR(INDEX([1]Rainfall_Wet!$O$2:$O$217,MATCH(C774, [1]Rainfall_Wet!$A$2:$A$217,0)),"")</f>
        <v>206.85140822299999</v>
      </c>
      <c r="AA774" s="226">
        <v>27.96</v>
      </c>
      <c r="AB774" s="226">
        <v>4.9200000000000017</v>
      </c>
      <c r="AC774" s="226">
        <v>67.12</v>
      </c>
      <c r="AD774" s="227" t="s">
        <v>2651</v>
      </c>
      <c r="AE774" s="226">
        <v>0.88610152784622953</v>
      </c>
      <c r="AF774">
        <f>IF('WetLitterbags placem_collection'!AB115="","",'WetLitterbags placem_collection'!AB115)</f>
        <v>26</v>
      </c>
      <c r="AG774">
        <f>IF('WetLitterbags placem_collection'!Z115="","",'WetLitterbags placem_collection'!Z115)</f>
        <v>88.5</v>
      </c>
      <c r="AH774" s="236" t="str">
        <f>IF('WetLitterbags placem_collection'!AA115="","",'WetLitterbags placem_collection'!AA115)</f>
        <v>G</v>
      </c>
      <c r="AI774">
        <f>IF('WetLitterbags placem_collection'!AC115="","",'WetLitterbags placem_collection'!AC115)</f>
        <v>0</v>
      </c>
      <c r="AJ774">
        <f>AVERAGE('WetLitterbags placem_collection'!S115,'WetLitterbags placem_collection'!U115)</f>
        <v>8.6999999999999993</v>
      </c>
      <c r="AK774">
        <f>AVERAGE('WetLitterbags placem_collection'!R115,'WetLitterbags placem_collection'!T115)</f>
        <v>32.4</v>
      </c>
      <c r="AL774">
        <f>INDEX([2]Coordinates!$B$2:$B$197,MATCH(I774,[2]Coordinates!$J$2:$J$197,0))</f>
        <v>-2.3487199940000001</v>
      </c>
      <c r="AM774">
        <f>INDEX([2]Coordinates!$C$2:$C$197,MATCH(I774,[2]Coordinates!$J$2:$J$197,0))</f>
        <v>34.051391029999998</v>
      </c>
      <c r="AN774" t="str">
        <f>IF(ISNUMBER(SEARCH("C", 'WetLitterbags placem_collection'!$Y115)),"YES","NO")</f>
        <v>NO</v>
      </c>
      <c r="AO774" t="str">
        <f>IF(ISNUMBER(SEARCH("H", 'WetLitterbags placem_collection'!$Y115)),"YES","NO")</f>
        <v>NO</v>
      </c>
      <c r="AP774" t="str">
        <f>IF(ISNUMBER(SEARCH("R", 'WetLitterbags placem_collection'!$Y115)),"YES","NO")</f>
        <v>YES</v>
      </c>
    </row>
    <row r="775" spans="1:42" ht="15" customHeight="1">
      <c r="A775" t="s">
        <v>3248</v>
      </c>
      <c r="B775" s="248" t="s">
        <v>2454</v>
      </c>
      <c r="C775" s="253">
        <f>'Dry_Litterbag Placem_Collection'!A116</f>
        <v>114</v>
      </c>
      <c r="D775" s="253" t="str">
        <f>'Dry_Litterbag Placem_Collection'!B116</f>
        <v xml:space="preserve">Mwantimba
</v>
      </c>
      <c r="E775" s="253" t="s">
        <v>2454</v>
      </c>
      <c r="F775" s="253" t="s">
        <v>2644</v>
      </c>
      <c r="G775" s="253">
        <v>3</v>
      </c>
      <c r="H775" s="253" t="s">
        <v>3119</v>
      </c>
      <c r="I775" s="254" t="str">
        <f>'Dry_Litterbag Placem_Collection'!C116</f>
        <v>Wet_Ag3_T2</v>
      </c>
      <c r="J775" s="263" t="s">
        <v>2932</v>
      </c>
      <c r="K775" s="264" t="s">
        <v>298</v>
      </c>
      <c r="L775" s="221" t="str">
        <f>'WetLitterbags placem_collection'!Q116</f>
        <v>R37</v>
      </c>
      <c r="M775" s="223">
        <f>IFERROR(INDEX('Green_rooibos initial weight'!$C$5:$C$2000,MATCH(L775, 'Green_rooibos initial weight'!$A$5:$A$2000,0)),"")</f>
        <v>2.0979999999999999</v>
      </c>
      <c r="N775" s="223">
        <f>IFERROR(M775-(TBIcalc!$H$9+TBIcalc!$H$10),"")</f>
        <v>1.8481999999999998</v>
      </c>
      <c r="O775" s="378">
        <f>AVERAGE(Ashed_controlls!$K$2:$K$11)</f>
        <v>5.5147656768714146</v>
      </c>
      <c r="P775" s="223">
        <f t="shared" si="61"/>
        <v>1.7462761007600625</v>
      </c>
      <c r="Q775" s="223">
        <f>IFERROR(INDEX('Both teabags AfterWet'!$C$3:$C$840,MATCH(L775,'Both teabags AfterWet'!$A$3:$A$840,0)),"")</f>
        <v>1.504</v>
      </c>
      <c r="R775" s="223">
        <f>IFERROR(IF(Q775&gt;0,Q775-(TBIcalc!$H$9),""),"")</f>
        <v>1.3533999999999999</v>
      </c>
      <c r="S775" s="223">
        <f>IFERROR(INDEX('Ashed teabags wet'!$K$2:$K$2000,MATCH(L775,'Ashed teabags wet'!$A$2:$A$2000,0)),"")</f>
        <v>11.717576364547087</v>
      </c>
      <c r="T775" s="223">
        <f t="shared" si="62"/>
        <v>1.1948143214822196</v>
      </c>
      <c r="U775" s="224">
        <f>'WetLitterbags placem_collection'!E116</f>
        <v>42762</v>
      </c>
      <c r="V775" s="224">
        <f>IF('WetLitterbags placem_collection'!G116="","",'WetLitterbags placem_collection'!G116)</f>
        <v>42816</v>
      </c>
      <c r="W775" s="225">
        <f t="shared" si="60"/>
        <v>54</v>
      </c>
      <c r="X775" s="223">
        <f t="shared" si="63"/>
        <v>0.49479999999999991</v>
      </c>
      <c r="Y775" s="223">
        <f t="shared" si="64"/>
        <v>0.5514617792778429</v>
      </c>
      <c r="Z775">
        <f>IFERROR(INDEX([1]Rainfall_Wet!$O$2:$O$217,MATCH(C775, [1]Rainfall_Wet!$A$2:$A$217,0)),"")</f>
        <v>206.85140822299999</v>
      </c>
      <c r="AA775" s="226">
        <v>27.96</v>
      </c>
      <c r="AB775" s="226">
        <v>4.9200000000000017</v>
      </c>
      <c r="AC775" s="226">
        <v>67.12</v>
      </c>
      <c r="AD775" s="227" t="s">
        <v>2651</v>
      </c>
      <c r="AE775" s="226">
        <v>1.8861015278462301</v>
      </c>
      <c r="AF775">
        <f>IF('WetLitterbags placem_collection'!AB116="","",'WetLitterbags placem_collection'!AB116)</f>
        <v>16.5</v>
      </c>
      <c r="AG775">
        <f>IF('WetLitterbags placem_collection'!Z116="","",'WetLitterbags placem_collection'!Z116)</f>
        <v>87.5</v>
      </c>
      <c r="AH775" s="236" t="str">
        <f>IF('WetLitterbags placem_collection'!AA116="","",'WetLitterbags placem_collection'!AA116)</f>
        <v>G</v>
      </c>
      <c r="AI775">
        <f>IF('WetLitterbags placem_collection'!AC116="","",'WetLitterbags placem_collection'!AC116)</f>
        <v>0</v>
      </c>
      <c r="AJ775">
        <f>AVERAGE('WetLitterbags placem_collection'!S116,'WetLitterbags placem_collection'!U116)</f>
        <v>12.899999999999999</v>
      </c>
      <c r="AK775">
        <f>AVERAGE('WetLitterbags placem_collection'!R116,'WetLitterbags placem_collection'!T116)</f>
        <v>30.450000000000003</v>
      </c>
      <c r="AL775">
        <f>INDEX([2]Coordinates!$B$2:$B$197,MATCH(I775,[2]Coordinates!$J$2:$J$197,0))</f>
        <v>-2.348716976</v>
      </c>
      <c r="AM775">
        <f>INDEX([2]Coordinates!$C$2:$C$197,MATCH(I775,[2]Coordinates!$J$2:$J$197,0))</f>
        <v>34.051484989999999</v>
      </c>
      <c r="AN775" t="str">
        <f>IF(ISNUMBER(SEARCH("C", 'WetLitterbags placem_collection'!$Y116)),"YES","NO")</f>
        <v>NO</v>
      </c>
      <c r="AO775" t="str">
        <f>IF(ISNUMBER(SEARCH("H", 'WetLitterbags placem_collection'!$Y116)),"YES","NO")</f>
        <v>NO</v>
      </c>
      <c r="AP775" t="str">
        <f>IF(ISNUMBER(SEARCH("R", 'WetLitterbags placem_collection'!$Y116)),"YES","NO")</f>
        <v>NO</v>
      </c>
    </row>
    <row r="776" spans="1:42" ht="15" customHeight="1">
      <c r="A776" t="s">
        <v>3248</v>
      </c>
      <c r="B776" s="248" t="s">
        <v>2454</v>
      </c>
      <c r="C776" s="253">
        <f>'Dry_Litterbag Placem_Collection'!A117</f>
        <v>115</v>
      </c>
      <c r="D776" s="253" t="str">
        <f>'Dry_Litterbag Placem_Collection'!B117</f>
        <v xml:space="preserve">Mwantimba
</v>
      </c>
      <c r="E776" s="253" t="s">
        <v>2454</v>
      </c>
      <c r="F776" s="253" t="s">
        <v>2644</v>
      </c>
      <c r="G776" s="253">
        <v>3</v>
      </c>
      <c r="H776" s="253" t="s">
        <v>3119</v>
      </c>
      <c r="I776" s="254" t="str">
        <f>'Dry_Litterbag Placem_Collection'!C117</f>
        <v>Wet_Ag3_T3</v>
      </c>
      <c r="J776" s="263" t="s">
        <v>2932</v>
      </c>
      <c r="K776" s="264" t="s">
        <v>298</v>
      </c>
      <c r="L776" s="221" t="str">
        <f>'WetLitterbags placem_collection'!Q117</f>
        <v>R522</v>
      </c>
      <c r="M776" s="223">
        <f>IFERROR(INDEX('Green_rooibos initial weight'!$C$5:$C$2000,MATCH(L776, 'Green_rooibos initial weight'!$A$5:$A$2000,0)),"")</f>
        <v>2.1819999999999999</v>
      </c>
      <c r="N776" s="223">
        <f>IFERROR(M776-(TBIcalc!$H$9+TBIcalc!$H$10),"")</f>
        <v>1.9321999999999999</v>
      </c>
      <c r="O776" s="378">
        <f>AVERAGE(Ashed_controlls!$K$2:$K$11)</f>
        <v>5.5147656768714146</v>
      </c>
      <c r="P776" s="223">
        <f t="shared" si="61"/>
        <v>1.8256436975914905</v>
      </c>
      <c r="Q776" s="223">
        <f>IFERROR(INDEX('Both teabags AfterWet'!$C$3:$C$840,MATCH(L776,'Both teabags AfterWet'!$A$3:$A$840,0)),"")</f>
        <v>1.401</v>
      </c>
      <c r="R776" s="223">
        <f>IFERROR(IF(Q776&gt;0,Q776-(TBIcalc!$H$9),""),"")</f>
        <v>1.2504</v>
      </c>
      <c r="S776" s="223">
        <f>IFERROR(INDEX('Ashed teabags wet'!$K$2:$K$2000,MATCH(L776,'Ashed teabags wet'!$A$2:$A$2000,0)),"")</f>
        <v>3.9292730844799202</v>
      </c>
      <c r="T776" s="223">
        <f t="shared" si="62"/>
        <v>1.201268369351663</v>
      </c>
      <c r="U776" s="224">
        <f>'WetLitterbags placem_collection'!E117</f>
        <v>42762</v>
      </c>
      <c r="V776" s="224">
        <f>IF('WetLitterbags placem_collection'!G117="","",'WetLitterbags placem_collection'!G117)</f>
        <v>42816</v>
      </c>
      <c r="W776" s="225">
        <f t="shared" si="60"/>
        <v>54</v>
      </c>
      <c r="X776" s="223">
        <f t="shared" si="63"/>
        <v>0.68179999999999996</v>
      </c>
      <c r="Y776" s="223">
        <f t="shared" si="64"/>
        <v>0.62437532823982744</v>
      </c>
      <c r="Z776">
        <f>IFERROR(INDEX([1]Rainfall_Wet!$O$2:$O$217,MATCH(C776, [1]Rainfall_Wet!$A$2:$A$217,0)),"")</f>
        <v>206.85140822299999</v>
      </c>
      <c r="AA776" s="226">
        <v>27.96</v>
      </c>
      <c r="AB776" s="226">
        <v>4.9200000000000017</v>
      </c>
      <c r="AC776" s="226">
        <v>67.12</v>
      </c>
      <c r="AD776" s="227" t="s">
        <v>2651</v>
      </c>
      <c r="AE776" s="226">
        <v>2.8861015278462299</v>
      </c>
      <c r="AF776">
        <f>IF('WetLitterbags placem_collection'!AB117="","",'WetLitterbags placem_collection'!AB117)</f>
        <v>19</v>
      </c>
      <c r="AG776">
        <f>IF('WetLitterbags placem_collection'!Z117="","",'WetLitterbags placem_collection'!Z117)</f>
        <v>79.5</v>
      </c>
      <c r="AH776" s="236" t="str">
        <f>IF('WetLitterbags placem_collection'!AA117="","",'WetLitterbags placem_collection'!AA117)</f>
        <v>G</v>
      </c>
      <c r="AI776">
        <f>IF('WetLitterbags placem_collection'!AC117="","",'WetLitterbags placem_collection'!AC117)</f>
        <v>1</v>
      </c>
      <c r="AJ776">
        <f>AVERAGE('WetLitterbags placem_collection'!S117,'WetLitterbags placem_collection'!U117)</f>
        <v>9.9499999999999993</v>
      </c>
      <c r="AK776">
        <f>AVERAGE('WetLitterbags placem_collection'!R117,'WetLitterbags placem_collection'!T117)</f>
        <v>31.7</v>
      </c>
      <c r="AL776">
        <f>INDEX([2]Coordinates!$B$2:$B$197,MATCH(I776,[2]Coordinates!$J$2:$J$197,0))</f>
        <v>-2.3487800079999999</v>
      </c>
      <c r="AM776">
        <f>INDEX([2]Coordinates!$C$2:$C$197,MATCH(I776,[2]Coordinates!$J$2:$J$197,0))</f>
        <v>34.051495969999998</v>
      </c>
      <c r="AN776" t="str">
        <f>IF(ISNUMBER(SEARCH("C", 'WetLitterbags placem_collection'!$Y117)),"YES","NO")</f>
        <v>NO</v>
      </c>
      <c r="AO776" t="str">
        <f>IF(ISNUMBER(SEARCH("H", 'WetLitterbags placem_collection'!$Y117)),"YES","NO")</f>
        <v>NO</v>
      </c>
      <c r="AP776" t="str">
        <f>IF(ISNUMBER(SEARCH("R", 'WetLitterbags placem_collection'!$Y117)),"YES","NO")</f>
        <v>YES</v>
      </c>
    </row>
    <row r="777" spans="1:42" ht="15" customHeight="1">
      <c r="A777" t="s">
        <v>3248</v>
      </c>
      <c r="B777" s="248" t="s">
        <v>2454</v>
      </c>
      <c r="C777" s="253">
        <f>'Dry_Litterbag Placem_Collection'!A118</f>
        <v>116</v>
      </c>
      <c r="D777" s="253" t="str">
        <f>'Dry_Litterbag Placem_Collection'!B118</f>
        <v xml:space="preserve">Mwantimba
</v>
      </c>
      <c r="E777" s="253" t="s">
        <v>2454</v>
      </c>
      <c r="F777" s="253" t="s">
        <v>2644</v>
      </c>
      <c r="G777" s="253">
        <v>3</v>
      </c>
      <c r="H777" s="253" t="s">
        <v>3119</v>
      </c>
      <c r="I777" s="254" t="str">
        <f>'Dry_Litterbag Placem_Collection'!C118</f>
        <v>Wet_Ag3_T4</v>
      </c>
      <c r="J777" s="263" t="s">
        <v>2932</v>
      </c>
      <c r="K777" s="264" t="s">
        <v>298</v>
      </c>
      <c r="L777" s="221" t="str">
        <f>'WetLitterbags placem_collection'!Q118</f>
        <v>R480</v>
      </c>
      <c r="M777" s="223">
        <f>IFERROR(INDEX('Green_rooibos initial weight'!$C$5:$C$2000,MATCH(L777, 'Green_rooibos initial weight'!$A$5:$A$2000,0)),"")</f>
        <v>2.17</v>
      </c>
      <c r="N777" s="223">
        <f>IFERROR(M777-(TBIcalc!$H$9+TBIcalc!$H$10),"")</f>
        <v>1.9201999999999999</v>
      </c>
      <c r="O777" s="378">
        <f>AVERAGE(Ashed_controlls!$K$2:$K$11)</f>
        <v>5.5147656768714146</v>
      </c>
      <c r="P777" s="223">
        <f t="shared" si="61"/>
        <v>1.814305469472715</v>
      </c>
      <c r="Q777" s="223">
        <f>IFERROR(INDEX('Both teabags AfterWet'!$C$3:$C$840,MATCH(L777,'Both teabags AfterWet'!$A$3:$A$840,0)),"")</f>
        <v>1.4859</v>
      </c>
      <c r="R777" s="223">
        <f>IFERROR(IF(Q777&gt;0,Q777-(TBIcalc!$H$9),""),"")</f>
        <v>1.3352999999999999</v>
      </c>
      <c r="S777" s="223">
        <f>IFERROR(INDEX('Ashed teabags wet'!$K$2:$K$2000,MATCH(L777,'Ashed teabags wet'!$A$2:$A$2000,0)),"")</f>
        <v>9.0863704443334274</v>
      </c>
      <c r="T777" s="223">
        <f t="shared" si="62"/>
        <v>1.2139696954568158</v>
      </c>
      <c r="U777" s="224">
        <f>'WetLitterbags placem_collection'!E118</f>
        <v>42762</v>
      </c>
      <c r="V777" s="224">
        <f>IF('WetLitterbags placem_collection'!G118="","",'WetLitterbags placem_collection'!G118)</f>
        <v>42816</v>
      </c>
      <c r="W777" s="225">
        <f t="shared" si="60"/>
        <v>54</v>
      </c>
      <c r="X777" s="223">
        <f t="shared" si="63"/>
        <v>0.58489999999999998</v>
      </c>
      <c r="Y777" s="223">
        <f t="shared" si="64"/>
        <v>0.60033577401589922</v>
      </c>
      <c r="Z777">
        <f>IFERROR(INDEX([1]Rainfall_Wet!$O$2:$O$217,MATCH(C777, [1]Rainfall_Wet!$A$2:$A$217,0)),"")</f>
        <v>206.85140822299999</v>
      </c>
      <c r="AA777" s="226">
        <v>27.96</v>
      </c>
      <c r="AB777" s="226">
        <v>4.9200000000000017</v>
      </c>
      <c r="AC777" s="226">
        <v>67.12</v>
      </c>
      <c r="AD777" s="227" t="s">
        <v>2651</v>
      </c>
      <c r="AE777" s="226">
        <v>3.8861015278462299</v>
      </c>
      <c r="AF777">
        <f>IF('WetLitterbags placem_collection'!AB118="","",'WetLitterbags placem_collection'!AB118)</f>
        <v>22.5</v>
      </c>
      <c r="AG777">
        <f>IF('WetLitterbags placem_collection'!Z118="","",'WetLitterbags placem_collection'!Z118)</f>
        <v>76</v>
      </c>
      <c r="AH777" s="236" t="str">
        <f>IF('WetLitterbags placem_collection'!AA118="","",'WetLitterbags placem_collection'!AA118)</f>
        <v>G</v>
      </c>
      <c r="AI777">
        <f>IF('WetLitterbags placem_collection'!AC118="","",'WetLitterbags placem_collection'!AC118)</f>
        <v>1</v>
      </c>
      <c r="AJ777">
        <f>AVERAGE('WetLitterbags placem_collection'!S118,'WetLitterbags placem_collection'!U118)</f>
        <v>8.75</v>
      </c>
      <c r="AK777">
        <f>AVERAGE('WetLitterbags placem_collection'!R118,'WetLitterbags placem_collection'!T118)</f>
        <v>25.6</v>
      </c>
      <c r="AL777">
        <f>INDEX([2]Coordinates!$B$2:$B$197,MATCH(I777,[2]Coordinates!$J$2:$J$197,0))</f>
        <v>-2.3488120270000001</v>
      </c>
      <c r="AM777">
        <f>INDEX([2]Coordinates!$C$2:$C$197,MATCH(I777,[2]Coordinates!$J$2:$J$197,0))</f>
        <v>34.05146697</v>
      </c>
      <c r="AN777" t="str">
        <f>IF(ISNUMBER(SEARCH("C", 'WetLitterbags placem_collection'!$Y118)),"YES","NO")</f>
        <v>NO</v>
      </c>
      <c r="AO777" t="str">
        <f>IF(ISNUMBER(SEARCH("H", 'WetLitterbags placem_collection'!$Y118)),"YES","NO")</f>
        <v>NO</v>
      </c>
      <c r="AP777" t="str">
        <f>IF(ISNUMBER(SEARCH("R", 'WetLitterbags placem_collection'!$Y118)),"YES","NO")</f>
        <v>YES</v>
      </c>
    </row>
    <row r="778" spans="1:42" ht="15" customHeight="1">
      <c r="A778" t="s">
        <v>3248</v>
      </c>
      <c r="B778" s="248" t="s">
        <v>2454</v>
      </c>
      <c r="C778" s="253">
        <f>'Dry_Litterbag Placem_Collection'!A119</f>
        <v>117</v>
      </c>
      <c r="D778" s="253" t="str">
        <f>'Dry_Litterbag Placem_Collection'!B119</f>
        <v xml:space="preserve">Mwantimba
</v>
      </c>
      <c r="E778" s="253" t="s">
        <v>2454</v>
      </c>
      <c r="F778" s="253" t="s">
        <v>2644</v>
      </c>
      <c r="G778" s="253">
        <v>3</v>
      </c>
      <c r="H778" s="253" t="s">
        <v>3119</v>
      </c>
      <c r="I778" s="254" t="str">
        <f>'Dry_Litterbag Placem_Collection'!C119</f>
        <v>Wet_Ag3_T5</v>
      </c>
      <c r="J778" s="263" t="s">
        <v>2932</v>
      </c>
      <c r="K778" s="264" t="s">
        <v>298</v>
      </c>
      <c r="L778" s="221" t="str">
        <f>'WetLitterbags placem_collection'!Q119</f>
        <v>R565</v>
      </c>
      <c r="M778" s="223">
        <f>IFERROR(INDEX('Green_rooibos initial weight'!$C$5:$C$2000,MATCH(L778, 'Green_rooibos initial weight'!$A$5:$A$2000,0)),"")</f>
        <v>2.0649999999999999</v>
      </c>
      <c r="N778" s="223">
        <f>IFERROR(M778-(TBIcalc!$H$9+TBIcalc!$H$10),"")</f>
        <v>1.8151999999999999</v>
      </c>
      <c r="O778" s="378">
        <f>AVERAGE(Ashed_controlls!$K$2:$K$11)</f>
        <v>5.5147656768714146</v>
      </c>
      <c r="P778" s="223">
        <f t="shared" si="61"/>
        <v>1.7150959734334301</v>
      </c>
      <c r="Q778" s="223">
        <f>IFERROR(INDEX('Both teabags AfterWet'!$C$3:$C$840,MATCH(L778,'Both teabags AfterWet'!$A$3:$A$840,0)),"")</f>
        <v>1.343</v>
      </c>
      <c r="R778" s="223">
        <f>IFERROR(IF(Q778&gt;0,Q778-(TBIcalc!$H$9),""),"")</f>
        <v>1.1923999999999999</v>
      </c>
      <c r="S778" s="223">
        <f>IFERROR(INDEX('Ashed teabags wet'!$K$2:$K$2000,MATCH(L778,'Ashed teabags wet'!$A$2:$A$2000,0)),"")</f>
        <v>4.0755467196820945</v>
      </c>
      <c r="T778" s="223">
        <f t="shared" si="62"/>
        <v>1.1438031809145106</v>
      </c>
      <c r="U778" s="224">
        <f>'WetLitterbags placem_collection'!E119</f>
        <v>42762</v>
      </c>
      <c r="V778" s="224">
        <f>IF('WetLitterbags placem_collection'!G119="","",'WetLitterbags placem_collection'!G119)</f>
        <v>42816</v>
      </c>
      <c r="W778" s="225">
        <f t="shared" si="60"/>
        <v>54</v>
      </c>
      <c r="X778" s="223">
        <f t="shared" si="63"/>
        <v>0.62280000000000002</v>
      </c>
      <c r="Y778" s="223">
        <f t="shared" si="64"/>
        <v>0.57129279251891951</v>
      </c>
      <c r="Z778">
        <f>IFERROR(INDEX([1]Rainfall_Wet!$O$2:$O$217,MATCH(C778, [1]Rainfall_Wet!$A$2:$A$217,0)),"")</f>
        <v>206.85140822299999</v>
      </c>
      <c r="AA778" s="226">
        <v>27.96</v>
      </c>
      <c r="AB778" s="226">
        <v>4.9200000000000017</v>
      </c>
      <c r="AC778" s="226">
        <v>67.12</v>
      </c>
      <c r="AD778" s="227" t="s">
        <v>2651</v>
      </c>
      <c r="AE778" s="226">
        <v>4.8861015278462299</v>
      </c>
      <c r="AF778">
        <f>IF('WetLitterbags placem_collection'!AB119="","",'WetLitterbags placem_collection'!AB119)</f>
        <v>23.5</v>
      </c>
      <c r="AG778">
        <f>IF('WetLitterbags placem_collection'!Z119="","",'WetLitterbags placem_collection'!Z119)</f>
        <v>76</v>
      </c>
      <c r="AH778" s="236" t="str">
        <f>IF('WetLitterbags placem_collection'!AA119="","",'WetLitterbags placem_collection'!AA119)</f>
        <v>G</v>
      </c>
      <c r="AI778">
        <f>IF('WetLitterbags placem_collection'!AC119="","",'WetLitterbags placem_collection'!AC119)</f>
        <v>1</v>
      </c>
      <c r="AJ778">
        <f>AVERAGE('WetLitterbags placem_collection'!S119,'WetLitterbags placem_collection'!U119)</f>
        <v>5.6999999999999993</v>
      </c>
      <c r="AK778">
        <f>AVERAGE('WetLitterbags placem_collection'!R119,'WetLitterbags placem_collection'!T119)</f>
        <v>31.75</v>
      </c>
      <c r="AL778">
        <f>INDEX([2]Coordinates!$B$2:$B$197,MATCH(I778,[2]Coordinates!$J$2:$J$197,0))</f>
        <v>-2.348814961</v>
      </c>
      <c r="AM778">
        <f>INDEX([2]Coordinates!$C$2:$C$197,MATCH(I778,[2]Coordinates!$J$2:$J$197,0))</f>
        <v>34.051439979999998</v>
      </c>
      <c r="AN778" t="str">
        <f>IF(ISNUMBER(SEARCH("C", 'WetLitterbags placem_collection'!$Y119)),"YES","NO")</f>
        <v>NO</v>
      </c>
      <c r="AO778" t="str">
        <f>IF(ISNUMBER(SEARCH("H", 'WetLitterbags placem_collection'!$Y119)),"YES","NO")</f>
        <v>NO</v>
      </c>
      <c r="AP778" t="str">
        <f>IF(ISNUMBER(SEARCH("R", 'WetLitterbags placem_collection'!$Y119)),"YES","NO")</f>
        <v>NO</v>
      </c>
    </row>
    <row r="779" spans="1:42" ht="15" customHeight="1">
      <c r="A779" t="s">
        <v>3248</v>
      </c>
      <c r="B779" s="248" t="s">
        <v>2454</v>
      </c>
      <c r="C779" s="253">
        <f>'Dry_Litterbag Placem_Collection'!A120</f>
        <v>118</v>
      </c>
      <c r="D779" s="253" t="str">
        <f>'Dry_Litterbag Placem_Collection'!B120</f>
        <v xml:space="preserve">Mwantimba
</v>
      </c>
      <c r="E779" s="253" t="s">
        <v>2454</v>
      </c>
      <c r="F779" s="253" t="s">
        <v>2644</v>
      </c>
      <c r="G779" s="253">
        <v>3</v>
      </c>
      <c r="H779" s="253" t="s">
        <v>3119</v>
      </c>
      <c r="I779" s="254" t="str">
        <f>'Dry_Litterbag Placem_Collection'!C120</f>
        <v>Wet_Ag3_T6</v>
      </c>
      <c r="J779" s="263" t="s">
        <v>2932</v>
      </c>
      <c r="K779" s="264" t="s">
        <v>298</v>
      </c>
      <c r="L779" s="221" t="str">
        <f>'WetLitterbags placem_collection'!Q120</f>
        <v>R544</v>
      </c>
      <c r="M779" s="223">
        <f>IFERROR(INDEX('Green_rooibos initial weight'!$C$5:$C$2000,MATCH(L779, 'Green_rooibos initial weight'!$A$5:$A$2000,0)),"")</f>
        <v>2.2109999999999999</v>
      </c>
      <c r="N779" s="223">
        <f>IFERROR(M779-(TBIcalc!$H$9+TBIcalc!$H$10),"")</f>
        <v>1.9611999999999998</v>
      </c>
      <c r="O779" s="378">
        <f>AVERAGE(Ashed_controlls!$K$2:$K$11)</f>
        <v>5.5147656768714146</v>
      </c>
      <c r="P779" s="223">
        <f t="shared" si="61"/>
        <v>1.8530444155451977</v>
      </c>
      <c r="Q779" s="223">
        <f>IFERROR(INDEX('Both teabags AfterWet'!$C$3:$C$840,MATCH(L779,'Both teabags AfterWet'!$A$3:$A$840,0)),"")</f>
        <v>1.599</v>
      </c>
      <c r="R779" s="223">
        <f>IFERROR(IF(Q779&gt;0,Q779-(TBIcalc!$H$9),""),"")</f>
        <v>1.4483999999999999</v>
      </c>
      <c r="S779" s="223">
        <f>IFERROR(INDEX('Ashed teabags wet'!$K$2:$K$2000,MATCH(L779,'Ashed teabags wet'!$A$2:$A$2000,0)),"")</f>
        <v>4.604604604605111</v>
      </c>
      <c r="T779" s="223">
        <f t="shared" si="62"/>
        <v>1.3817069069068995</v>
      </c>
      <c r="U779" s="224">
        <f>'WetLitterbags placem_collection'!E120</f>
        <v>42762</v>
      </c>
      <c r="V779" s="224">
        <f>IF('WetLitterbags placem_collection'!G120="","",'WetLitterbags placem_collection'!G120)</f>
        <v>42816</v>
      </c>
      <c r="W779" s="225">
        <f t="shared" si="60"/>
        <v>54</v>
      </c>
      <c r="X779" s="223">
        <f t="shared" si="63"/>
        <v>0.51279999999999992</v>
      </c>
      <c r="Y779" s="223">
        <f t="shared" si="64"/>
        <v>0.47133750863829826</v>
      </c>
      <c r="Z779">
        <f>IFERROR(INDEX([1]Rainfall_Wet!$O$2:$O$217,MATCH(C779, [1]Rainfall_Wet!$A$2:$A$217,0)),"")</f>
        <v>206.85140822299999</v>
      </c>
      <c r="AA779" s="226">
        <v>27.96</v>
      </c>
      <c r="AB779" s="226">
        <v>4.9200000000000017</v>
      </c>
      <c r="AC779" s="226">
        <v>67.12</v>
      </c>
      <c r="AD779" s="227" t="s">
        <v>2651</v>
      </c>
      <c r="AE779" s="226">
        <v>5.8861015278462299</v>
      </c>
      <c r="AF779">
        <f>IF('WetLitterbags placem_collection'!AB120="","",'WetLitterbags placem_collection'!AB120)</f>
        <v>17.5</v>
      </c>
      <c r="AG779">
        <f>IF('WetLitterbags placem_collection'!Z120="","",'WetLitterbags placem_collection'!Z120)</f>
        <v>70.5</v>
      </c>
      <c r="AH779" s="236" t="str">
        <f>IF('WetLitterbags placem_collection'!AA120="","",'WetLitterbags placem_collection'!AA120)</f>
        <v>G</v>
      </c>
      <c r="AI779">
        <f>IF('WetLitterbags placem_collection'!AC120="","",'WetLitterbags placem_collection'!AC120)</f>
        <v>1</v>
      </c>
      <c r="AJ779">
        <f>AVERAGE('WetLitterbags placem_collection'!S120,'WetLitterbags placem_collection'!U120)</f>
        <v>10.7</v>
      </c>
      <c r="AK779">
        <f>AVERAGE('WetLitterbags placem_collection'!R120,'WetLitterbags placem_collection'!T120)</f>
        <v>30.85</v>
      </c>
      <c r="AL779">
        <f>INDEX([2]Coordinates!$B$2:$B$197,MATCH(I779,[2]Coordinates!$J$2:$J$197,0))</f>
        <v>-2.3488729629999998</v>
      </c>
      <c r="AM779">
        <f>INDEX([2]Coordinates!$C$2:$C$197,MATCH(I779,[2]Coordinates!$J$2:$J$197,0))</f>
        <v>34.051454980000003</v>
      </c>
      <c r="AN779" t="str">
        <f>IF(ISNUMBER(SEARCH("C", 'WetLitterbags placem_collection'!$Y120)),"YES","NO")</f>
        <v>NO</v>
      </c>
      <c r="AO779" t="str">
        <f>IF(ISNUMBER(SEARCH("H", 'WetLitterbags placem_collection'!$Y120)),"YES","NO")</f>
        <v>NO</v>
      </c>
      <c r="AP779" t="str">
        <f>IF(ISNUMBER(SEARCH("R", 'WetLitterbags placem_collection'!$Y120)),"YES","NO")</f>
        <v>NO</v>
      </c>
    </row>
    <row r="780" spans="1:42" ht="15" customHeight="1">
      <c r="A780" t="s">
        <v>3248</v>
      </c>
      <c r="B780" s="248" t="s">
        <v>2454</v>
      </c>
      <c r="C780" s="253">
        <f>'Dry_Litterbag Placem_Collection'!A121</f>
        <v>119</v>
      </c>
      <c r="D780" s="253" t="str">
        <f>'Dry_Litterbag Placem_Collection'!B121</f>
        <v xml:space="preserve">Mwantimba
</v>
      </c>
      <c r="E780" s="253" t="s">
        <v>2454</v>
      </c>
      <c r="F780" s="253" t="s">
        <v>2644</v>
      </c>
      <c r="G780" s="253">
        <v>3</v>
      </c>
      <c r="H780" s="253" t="s">
        <v>3119</v>
      </c>
      <c r="I780" s="254" t="str">
        <f>'Dry_Litterbag Placem_Collection'!C121</f>
        <v>Wet_Ag3_T7</v>
      </c>
      <c r="J780" s="263" t="s">
        <v>2932</v>
      </c>
      <c r="K780" s="264" t="s">
        <v>298</v>
      </c>
      <c r="L780" s="221" t="str">
        <f>'WetLitterbags placem_collection'!Q121</f>
        <v>R526</v>
      </c>
      <c r="M780" s="223">
        <f>IFERROR(INDEX('Green_rooibos initial weight'!$C$5:$C$2000,MATCH(L780, 'Green_rooibos initial weight'!$A$5:$A$2000,0)),"")</f>
        <v>2.0960000000000001</v>
      </c>
      <c r="N780" s="223">
        <f>IFERROR(M780-(TBIcalc!$H$9+TBIcalc!$H$10),"")</f>
        <v>1.8462000000000001</v>
      </c>
      <c r="O780" s="378">
        <f>AVERAGE(Ashed_controlls!$K$2:$K$11)</f>
        <v>5.5147656768714146</v>
      </c>
      <c r="P780" s="223">
        <f t="shared" si="61"/>
        <v>1.7443863960735999</v>
      </c>
      <c r="Q780" s="223">
        <f>IFERROR(INDEX('Both teabags AfterWet'!$C$3:$C$840,MATCH(L780,'Both teabags AfterWet'!$A$3:$A$840,0)),"")</f>
        <v>1.3</v>
      </c>
      <c r="R780" s="223">
        <f>IFERROR(IF(Q780&gt;0,Q780-(TBIcalc!$H$9),""),"")</f>
        <v>1.1494</v>
      </c>
      <c r="S780" s="223">
        <f>IFERROR(INDEX('Ashed teabags wet'!$K$2:$K$2000,MATCH(L780,'Ashed teabags wet'!$A$2:$A$2000,0)),"")</f>
        <v>6.4671814671816925</v>
      </c>
      <c r="T780" s="223">
        <f t="shared" si="62"/>
        <v>1.0750662162162137</v>
      </c>
      <c r="U780" s="224">
        <f>'WetLitterbags placem_collection'!E121</f>
        <v>42762</v>
      </c>
      <c r="V780" s="224">
        <f>IF('WetLitterbags placem_collection'!G121="","",'WetLitterbags placem_collection'!G121)</f>
        <v>42816</v>
      </c>
      <c r="W780" s="225">
        <f t="shared" si="60"/>
        <v>54</v>
      </c>
      <c r="X780" s="223">
        <f t="shared" si="63"/>
        <v>0.69680000000000009</v>
      </c>
      <c r="Y780" s="223">
        <f t="shared" si="64"/>
        <v>0.66932017985738623</v>
      </c>
      <c r="Z780">
        <f>IFERROR(INDEX([1]Rainfall_Wet!$O$2:$O$217,MATCH(C780, [1]Rainfall_Wet!$A$2:$A$217,0)),"")</f>
        <v>206.85140822299999</v>
      </c>
      <c r="AA780" s="226">
        <v>27.96</v>
      </c>
      <c r="AB780" s="226">
        <v>4.9200000000000017</v>
      </c>
      <c r="AC780" s="226">
        <v>67.12</v>
      </c>
      <c r="AD780" s="227" t="s">
        <v>2651</v>
      </c>
      <c r="AE780" s="226">
        <v>6.8861015278462299</v>
      </c>
      <c r="AF780">
        <f>IF('WetLitterbags placem_collection'!AB121="","",'WetLitterbags placem_collection'!AB121)</f>
        <v>18.5</v>
      </c>
      <c r="AG780">
        <f>IF('WetLitterbags placem_collection'!Z121="","",'WetLitterbags placem_collection'!Z121)</f>
        <v>74.5</v>
      </c>
      <c r="AH780" s="236" t="str">
        <f>IF('WetLitterbags placem_collection'!AA121="","",'WetLitterbags placem_collection'!AA121)</f>
        <v>G</v>
      </c>
      <c r="AI780">
        <f>IF('WetLitterbags placem_collection'!AC121="","",'WetLitterbags placem_collection'!AC121)</f>
        <v>1</v>
      </c>
      <c r="AJ780">
        <f>AVERAGE('WetLitterbags placem_collection'!S121,'WetLitterbags placem_collection'!U121)</f>
        <v>11.05</v>
      </c>
      <c r="AK780">
        <f>AVERAGE('WetLitterbags placem_collection'!R121,'WetLitterbags placem_collection'!T121)</f>
        <v>30.450000000000003</v>
      </c>
      <c r="AL780">
        <f>INDEX([2]Coordinates!$B$2:$B$197,MATCH(I780,[2]Coordinates!$J$2:$J$197,0))</f>
        <v>-2.3488589659999999</v>
      </c>
      <c r="AM780">
        <f>INDEX([2]Coordinates!$C$2:$C$197,MATCH(I780,[2]Coordinates!$J$2:$J$197,0))</f>
        <v>34.051389010000001</v>
      </c>
      <c r="AN780" t="str">
        <f>IF(ISNUMBER(SEARCH("C", 'WetLitterbags placem_collection'!$Y121)),"YES","NO")</f>
        <v>NO</v>
      </c>
      <c r="AO780" t="str">
        <f>IF(ISNUMBER(SEARCH("H", 'WetLitterbags placem_collection'!$Y121)),"YES","NO")</f>
        <v>NO</v>
      </c>
      <c r="AP780" t="str">
        <f>IF(ISNUMBER(SEARCH("R", 'WetLitterbags placem_collection'!$Y121)),"YES","NO")</f>
        <v>YES</v>
      </c>
    </row>
    <row r="781" spans="1:42" ht="15" customHeight="1">
      <c r="A781" t="s">
        <v>3248</v>
      </c>
      <c r="B781" s="248" t="s">
        <v>2454</v>
      </c>
      <c r="C781" s="253">
        <f>'Dry_Litterbag Placem_Collection'!A122</f>
        <v>120</v>
      </c>
      <c r="D781" s="253" t="str">
        <f>'Dry_Litterbag Placem_Collection'!B122</f>
        <v xml:space="preserve">Mwantimba
</v>
      </c>
      <c r="E781" s="253" t="s">
        <v>2454</v>
      </c>
      <c r="F781" s="253" t="s">
        <v>2644</v>
      </c>
      <c r="G781" s="253">
        <v>3</v>
      </c>
      <c r="H781" s="253" t="s">
        <v>3119</v>
      </c>
      <c r="I781" s="254" t="str">
        <f>'Dry_Litterbag Placem_Collection'!C122</f>
        <v>Wet_Ag3_T8</v>
      </c>
      <c r="J781" s="263" t="s">
        <v>2932</v>
      </c>
      <c r="K781" s="264" t="s">
        <v>298</v>
      </c>
      <c r="L781" s="221" t="str">
        <f>'WetLitterbags placem_collection'!Q122</f>
        <v>R594</v>
      </c>
      <c r="M781" s="223">
        <f>IFERROR(INDEX('Green_rooibos initial weight'!$C$5:$C$2000,MATCH(L781, 'Green_rooibos initial weight'!$A$5:$A$2000,0)),"")</f>
        <v>2.2400000000000002</v>
      </c>
      <c r="N781" s="223">
        <f>IFERROR(M781-(TBIcalc!$H$9+TBIcalc!$H$10),"")</f>
        <v>1.9902000000000002</v>
      </c>
      <c r="O781" s="378">
        <f>AVERAGE(Ashed_controlls!$K$2:$K$11)</f>
        <v>5.5147656768714146</v>
      </c>
      <c r="P781" s="223">
        <f t="shared" si="61"/>
        <v>1.8804451334989052</v>
      </c>
      <c r="Q781" s="223">
        <f>IFERROR(INDEX('Both teabags AfterWet'!$C$3:$C$840,MATCH(L781,'Both teabags AfterWet'!$A$3:$A$840,0)),"")</f>
        <v>1.4142999999999999</v>
      </c>
      <c r="R781" s="223">
        <f>IFERROR(IF(Q781&gt;0,Q781-(TBIcalc!$H$9),""),"")</f>
        <v>1.2636999999999998</v>
      </c>
      <c r="S781" s="223">
        <f>IFERROR(INDEX('Ashed teabags wet'!$K$2:$K$2000,MATCH(L781,'Ashed teabags wet'!$A$2:$A$2000,0)),"")</f>
        <v>4.3540669856461571</v>
      </c>
      <c r="T781" s="223">
        <f t="shared" si="62"/>
        <v>1.2086776555023893</v>
      </c>
      <c r="U781" s="224">
        <f>'WetLitterbags placem_collection'!E122</f>
        <v>42762</v>
      </c>
      <c r="V781" s="224">
        <f>IF('WetLitterbags placem_collection'!G122="","",'WetLitterbags placem_collection'!G122)</f>
        <v>42816</v>
      </c>
      <c r="W781" s="225">
        <f t="shared" si="60"/>
        <v>54</v>
      </c>
      <c r="X781" s="223">
        <f t="shared" si="63"/>
        <v>0.72650000000000037</v>
      </c>
      <c r="Y781" s="223">
        <f t="shared" si="64"/>
        <v>0.67176747799651593</v>
      </c>
      <c r="Z781">
        <f>IFERROR(INDEX([1]Rainfall_Wet!$O$2:$O$217,MATCH(C781, [1]Rainfall_Wet!$A$2:$A$217,0)),"")</f>
        <v>206.85140822299999</v>
      </c>
      <c r="AA781" s="226">
        <v>27.96</v>
      </c>
      <c r="AB781" s="226">
        <v>4.9200000000000017</v>
      </c>
      <c r="AC781" s="226">
        <v>67.12</v>
      </c>
      <c r="AD781" s="227" t="s">
        <v>2651</v>
      </c>
      <c r="AE781" s="226">
        <v>7.8861015278462299</v>
      </c>
      <c r="AF781">
        <f>IF('WetLitterbags placem_collection'!AB122="","",'WetLitterbags placem_collection'!AB122)</f>
        <v>19</v>
      </c>
      <c r="AG781">
        <f>IF('WetLitterbags placem_collection'!Z122="","",'WetLitterbags placem_collection'!Z122)</f>
        <v>98.5</v>
      </c>
      <c r="AH781" s="236" t="str">
        <f>IF('WetLitterbags placem_collection'!AA122="","",'WetLitterbags placem_collection'!AA122)</f>
        <v>G</v>
      </c>
      <c r="AI781">
        <f>IF('WetLitterbags placem_collection'!AC122="","",'WetLitterbags placem_collection'!AC122)</f>
        <v>0</v>
      </c>
      <c r="AJ781">
        <f>AVERAGE('WetLitterbags placem_collection'!S122,'WetLitterbags placem_collection'!U122)</f>
        <v>14.95</v>
      </c>
      <c r="AK781">
        <f>AVERAGE('WetLitterbags placem_collection'!R122,'WetLitterbags placem_collection'!T122)</f>
        <v>30.299999999999997</v>
      </c>
      <c r="AL781">
        <f>INDEX([2]Coordinates!$B$2:$B$197,MATCH(I781,[2]Coordinates!$J$2:$J$197,0))</f>
        <v>-2.3486449760000001</v>
      </c>
      <c r="AM781">
        <f>INDEX([2]Coordinates!$C$2:$C$197,MATCH(I781,[2]Coordinates!$J$2:$J$197,0))</f>
        <v>34.051495969999998</v>
      </c>
      <c r="AN781" t="str">
        <f>IF(ISNUMBER(SEARCH("C", 'WetLitterbags placem_collection'!$Y122)),"YES","NO")</f>
        <v>NO</v>
      </c>
      <c r="AO781" t="str">
        <f>IF(ISNUMBER(SEARCH("H", 'WetLitterbags placem_collection'!$Y122)),"YES","NO")</f>
        <v>NO</v>
      </c>
      <c r="AP781" t="str">
        <f>IF(ISNUMBER(SEARCH("R", 'WetLitterbags placem_collection'!$Y122)),"YES","NO")</f>
        <v>YES</v>
      </c>
    </row>
    <row r="782" spans="1:42" ht="15" customHeight="1">
      <c r="A782" t="s">
        <v>3248</v>
      </c>
      <c r="B782" s="248" t="s">
        <v>2454</v>
      </c>
      <c r="C782" s="253">
        <f>'Dry_Litterbag Placem_Collection'!A123</f>
        <v>121</v>
      </c>
      <c r="D782" s="253" t="str">
        <f>'Dry_Litterbag Placem_Collection'!B123</f>
        <v xml:space="preserve">Mwantimba
</v>
      </c>
      <c r="E782" s="253" t="s">
        <v>2454</v>
      </c>
      <c r="F782" s="253" t="s">
        <v>2644</v>
      </c>
      <c r="G782" s="253">
        <v>4</v>
      </c>
      <c r="H782" s="253" t="s">
        <v>3120</v>
      </c>
      <c r="I782" s="254" t="str">
        <f>'Dry_Litterbag Placem_Collection'!C123</f>
        <v>Wet_Ag4_T1</v>
      </c>
      <c r="J782" s="263" t="s">
        <v>2932</v>
      </c>
      <c r="K782" s="264" t="s">
        <v>298</v>
      </c>
      <c r="L782" s="221" t="str">
        <f>'WetLitterbags placem_collection'!Q123</f>
        <v>R564</v>
      </c>
      <c r="M782" s="223">
        <f>IFERROR(INDEX('Green_rooibos initial weight'!$C$5:$C$2000,MATCH(L782, 'Green_rooibos initial weight'!$A$5:$A$2000,0)),"")</f>
        <v>2.145</v>
      </c>
      <c r="N782" s="223">
        <f>IFERROR(M782-(TBIcalc!$H$9+TBIcalc!$H$10),"")</f>
        <v>1.8952</v>
      </c>
      <c r="O782" s="378">
        <f>AVERAGE(Ashed_controlls!$K$2:$K$11)</f>
        <v>5.5147656768714146</v>
      </c>
      <c r="P782" s="223">
        <f t="shared" si="61"/>
        <v>1.7906841608919331</v>
      </c>
      <c r="Q782" s="223">
        <f>IFERROR(INDEX('Both teabags AfterWet'!$C$3:$C$840,MATCH(L782,'Both teabags AfterWet'!$A$3:$A$840,0)),"")</f>
        <v>1.53</v>
      </c>
      <c r="R782" s="223">
        <f>IFERROR(IF(Q782&gt;0,Q782-(TBIcalc!$H$9),""),"")</f>
        <v>1.3794</v>
      </c>
      <c r="S782" s="223">
        <f>IFERROR(INDEX('Ashed teabags wet'!$K$2:$K$2000,MATCH(L782,'Ashed teabags wet'!$A$2:$A$2000,0)),"")</f>
        <v>7.5161772025872624</v>
      </c>
      <c r="T782" s="223">
        <f t="shared" si="62"/>
        <v>1.2757218516675113</v>
      </c>
      <c r="U782" s="224">
        <f>'WetLitterbags placem_collection'!E123</f>
        <v>42762</v>
      </c>
      <c r="V782" s="224">
        <f>IF('WetLitterbags placem_collection'!G123="","",'WetLitterbags placem_collection'!G123)</f>
        <v>42816</v>
      </c>
      <c r="W782" s="225">
        <f t="shared" si="60"/>
        <v>54</v>
      </c>
      <c r="X782" s="223">
        <f t="shared" si="63"/>
        <v>0.51580000000000004</v>
      </c>
      <c r="Y782" s="223">
        <f t="shared" si="64"/>
        <v>0.51496230922442177</v>
      </c>
      <c r="Z782">
        <f>IFERROR(INDEX([1]Rainfall_Wet!$O$2:$O$217,MATCH(C782, [1]Rainfall_Wet!$A$2:$A$217,0)),"")</f>
        <v>206.85140822299999</v>
      </c>
      <c r="AA782" s="226">
        <v>17.96</v>
      </c>
      <c r="AB782" s="226">
        <v>4.9199999999999982</v>
      </c>
      <c r="AC782" s="226">
        <v>77.12</v>
      </c>
      <c r="AD782" s="227" t="s">
        <v>2652</v>
      </c>
      <c r="AE782" s="226">
        <v>2.0220798422868409</v>
      </c>
      <c r="AF782">
        <f>IF('WetLitterbags placem_collection'!AB123="","",'WetLitterbags placem_collection'!AB123)</f>
        <v>9.65</v>
      </c>
      <c r="AG782">
        <f>IF('WetLitterbags placem_collection'!Z123="","",'WetLitterbags placem_collection'!Z123)</f>
        <v>63</v>
      </c>
      <c r="AH782" s="236" t="str">
        <f>IF('WetLitterbags placem_collection'!AA123="","",'WetLitterbags placem_collection'!AA123)</f>
        <v>G</v>
      </c>
      <c r="AI782">
        <f>IF('WetLitterbags placem_collection'!AC123="","",'WetLitterbags placem_collection'!AC123)</f>
        <v>0</v>
      </c>
      <c r="AJ782">
        <f>AVERAGE('WetLitterbags placem_collection'!S123,'WetLitterbags placem_collection'!U123)</f>
        <v>9.5500000000000007</v>
      </c>
      <c r="AK782">
        <f>AVERAGE('WetLitterbags placem_collection'!R123,'WetLitterbags placem_collection'!T123)</f>
        <v>30.75</v>
      </c>
      <c r="AL782">
        <f>INDEX([2]Coordinates!$B$2:$B$197,MATCH(I782,[2]Coordinates!$J$2:$J$197,0))</f>
        <v>-2.3492639789999998</v>
      </c>
      <c r="AM782">
        <f>INDEX([2]Coordinates!$C$2:$C$197,MATCH(I782,[2]Coordinates!$J$2:$J$197,0))</f>
        <v>34.051464029999998</v>
      </c>
      <c r="AN782" t="str">
        <f>IF(ISNUMBER(SEARCH("C", 'WetLitterbags placem_collection'!$Y123)),"YES","NO")</f>
        <v>NO</v>
      </c>
      <c r="AO782" t="str">
        <f>IF(ISNUMBER(SEARCH("H", 'WetLitterbags placem_collection'!$Y123)),"YES","NO")</f>
        <v>NO</v>
      </c>
      <c r="AP782" t="str">
        <f>IF(ISNUMBER(SEARCH("R", 'WetLitterbags placem_collection'!$Y123)),"YES","NO")</f>
        <v>YES</v>
      </c>
    </row>
    <row r="783" spans="1:42" ht="15" customHeight="1">
      <c r="A783" t="s">
        <v>3248</v>
      </c>
      <c r="B783" s="248" t="s">
        <v>2454</v>
      </c>
      <c r="C783" s="253">
        <f>'Dry_Litterbag Placem_Collection'!A124</f>
        <v>122</v>
      </c>
      <c r="D783" s="253" t="str">
        <f>'Dry_Litterbag Placem_Collection'!B124</f>
        <v xml:space="preserve">Mwantimba
</v>
      </c>
      <c r="E783" s="253" t="s">
        <v>2454</v>
      </c>
      <c r="F783" s="253" t="s">
        <v>2644</v>
      </c>
      <c r="G783" s="253">
        <v>4</v>
      </c>
      <c r="H783" s="253" t="s">
        <v>3120</v>
      </c>
      <c r="I783" s="254" t="str">
        <f>'Dry_Litterbag Placem_Collection'!C124</f>
        <v>Wet_Ag4_T2</v>
      </c>
      <c r="J783" s="263" t="s">
        <v>2932</v>
      </c>
      <c r="K783" s="264" t="s">
        <v>298</v>
      </c>
      <c r="L783" s="221" t="str">
        <f>'WetLitterbags placem_collection'!Q124</f>
        <v>R429</v>
      </c>
      <c r="M783" s="223">
        <f>IFERROR(INDEX('Green_rooibos initial weight'!$C$5:$C$2000,MATCH(L783, 'Green_rooibos initial weight'!$A$5:$A$2000,0)),"")</f>
        <v>2.21</v>
      </c>
      <c r="N783" s="223">
        <f>IFERROR(M783-(TBIcalc!$H$9+TBIcalc!$H$10),"")</f>
        <v>1.9601999999999999</v>
      </c>
      <c r="O783" s="378">
        <f>AVERAGE(Ashed_controlls!$K$2:$K$11)</f>
        <v>5.5147656768714146</v>
      </c>
      <c r="P783" s="223">
        <f t="shared" si="61"/>
        <v>1.8520995632019666</v>
      </c>
      <c r="Q783" s="223">
        <f>IFERROR(INDEX('Both teabags AfterWet'!$C$3:$C$840,MATCH(L783,'Both teabags AfterWet'!$A$3:$A$840,0)),"")</f>
        <v>1.2190000000000001</v>
      </c>
      <c r="R783" s="223">
        <f>IFERROR(IF(Q783&gt;0,Q783-(TBIcalc!$H$9),""),"")</f>
        <v>1.0684</v>
      </c>
      <c r="S783" s="223">
        <f>IFERROR(INDEX('Ashed teabags wet'!$K$2:$K$2000,MATCH(L783,'Ashed teabags wet'!$A$2:$A$2000,0)),"")</f>
        <v>8.6138613861387903</v>
      </c>
      <c r="T783" s="223">
        <f t="shared" si="62"/>
        <v>0.97636950495049313</v>
      </c>
      <c r="U783" s="224">
        <f>'WetLitterbags placem_collection'!E124</f>
        <v>42762</v>
      </c>
      <c r="V783" s="224">
        <f>IF('WetLitterbags placem_collection'!G124="","",'WetLitterbags placem_collection'!G124)</f>
        <v>42816</v>
      </c>
      <c r="W783" s="225">
        <f t="shared" si="60"/>
        <v>54</v>
      </c>
      <c r="X783" s="223">
        <f t="shared" si="63"/>
        <v>0.89179999999999993</v>
      </c>
      <c r="Y783" s="223">
        <f t="shared" si="64"/>
        <v>0.87573005825147343</v>
      </c>
      <c r="Z783">
        <f>IFERROR(INDEX([1]Rainfall_Wet!$O$2:$O$217,MATCH(C783, [1]Rainfall_Wet!$A$2:$A$217,0)),"")</f>
        <v>206.85140822299999</v>
      </c>
      <c r="AA783" s="226">
        <v>17.96</v>
      </c>
      <c r="AB783" s="226">
        <v>4.9199999999999982</v>
      </c>
      <c r="AC783" s="226">
        <v>77.12</v>
      </c>
      <c r="AD783" s="227" t="s">
        <v>2652</v>
      </c>
      <c r="AE783" s="226">
        <v>3.02207984228684</v>
      </c>
      <c r="AF783">
        <f>IF('WetLitterbags placem_collection'!AB124="","",'WetLitterbags placem_collection'!AB124)</f>
        <v>3.1</v>
      </c>
      <c r="AG783">
        <f>IF('WetLitterbags placem_collection'!Z124="","",'WetLitterbags placem_collection'!Z124)</f>
        <v>53</v>
      </c>
      <c r="AH783" s="236" t="str">
        <f>IF('WetLitterbags placem_collection'!AA124="","",'WetLitterbags placem_collection'!AA124)</f>
        <v>G</v>
      </c>
      <c r="AI783">
        <f>IF('WetLitterbags placem_collection'!AC124="","",'WetLitterbags placem_collection'!AC124)</f>
        <v>0</v>
      </c>
      <c r="AJ783">
        <f>AVERAGE('WetLitterbags placem_collection'!S124,'WetLitterbags placem_collection'!U124)</f>
        <v>11.8</v>
      </c>
      <c r="AK783">
        <f>AVERAGE('WetLitterbags placem_collection'!R124,'WetLitterbags placem_collection'!T124)</f>
        <v>30.650000000000002</v>
      </c>
      <c r="AL783">
        <f>INDEX([2]Coordinates!$B$2:$B$197,MATCH(I783,[2]Coordinates!$J$2:$J$197,0))</f>
        <v>-2.34923196</v>
      </c>
      <c r="AM783">
        <f>INDEX([2]Coordinates!$C$2:$C$197,MATCH(I783,[2]Coordinates!$J$2:$J$197,0))</f>
        <v>34.051422039999999</v>
      </c>
      <c r="AN783" t="str">
        <f>IF(ISNUMBER(SEARCH("C", 'WetLitterbags placem_collection'!$Y124)),"YES","NO")</f>
        <v>NO</v>
      </c>
      <c r="AO783" t="str">
        <f>IF(ISNUMBER(SEARCH("H", 'WetLitterbags placem_collection'!$Y124)),"YES","NO")</f>
        <v>NO</v>
      </c>
      <c r="AP783" t="str">
        <f>IF(ISNUMBER(SEARCH("R", 'WetLitterbags placem_collection'!$Y124)),"YES","NO")</f>
        <v>YES</v>
      </c>
    </row>
    <row r="784" spans="1:42" ht="15" customHeight="1">
      <c r="A784" t="s">
        <v>3248</v>
      </c>
      <c r="B784" s="248" t="s">
        <v>2454</v>
      </c>
      <c r="C784" s="253">
        <f>'Dry_Litterbag Placem_Collection'!A125</f>
        <v>123</v>
      </c>
      <c r="D784" s="253" t="str">
        <f>'Dry_Litterbag Placem_Collection'!B125</f>
        <v xml:space="preserve">Mwantimba
</v>
      </c>
      <c r="E784" s="253" t="s">
        <v>2454</v>
      </c>
      <c r="F784" s="253" t="s">
        <v>2644</v>
      </c>
      <c r="G784" s="253">
        <v>4</v>
      </c>
      <c r="H784" s="253" t="s">
        <v>3120</v>
      </c>
      <c r="I784" s="254" t="str">
        <f>'Dry_Litterbag Placem_Collection'!C125</f>
        <v>Wet_Ag4_T3</v>
      </c>
      <c r="J784" s="263" t="s">
        <v>2932</v>
      </c>
      <c r="K784" s="264" t="s">
        <v>298</v>
      </c>
      <c r="L784" s="221" t="str">
        <f>'WetLitterbags placem_collection'!Q125</f>
        <v>R466</v>
      </c>
      <c r="M784" s="223">
        <f>IFERROR(INDEX('Green_rooibos initial weight'!$C$5:$C$2000,MATCH(L784, 'Green_rooibos initial weight'!$A$5:$A$2000,0)),"")</f>
        <v>2.2269999999999999</v>
      </c>
      <c r="N784" s="223">
        <f>IFERROR(M784-(TBIcalc!$H$9+TBIcalc!$H$10),"")</f>
        <v>1.9771999999999998</v>
      </c>
      <c r="O784" s="378">
        <f>AVERAGE(Ashed_controlls!$K$2:$K$11)</f>
        <v>5.5147656768714146</v>
      </c>
      <c r="P784" s="223">
        <f t="shared" si="61"/>
        <v>1.8681620530368983</v>
      </c>
      <c r="Q784" s="223">
        <f>IFERROR(INDEX('Both teabags AfterWet'!$C$3:$C$840,MATCH(L784,'Both teabags AfterWet'!$A$3:$A$840,0)),"")</f>
        <v>1.5760000000000001</v>
      </c>
      <c r="R784" s="223">
        <f>IFERROR(IF(Q784&gt;0,Q784-(TBIcalc!$H$9),""),"")</f>
        <v>1.4254</v>
      </c>
      <c r="S784" s="223">
        <f>IFERROR(INDEX('Ashed teabags wet'!$K$2:$K$2000,MATCH(L784,'Ashed teabags wet'!$A$2:$A$2000,0)),"")</f>
        <v>3.9460539460533175</v>
      </c>
      <c r="T784" s="223">
        <f t="shared" si="62"/>
        <v>1.369152947052956</v>
      </c>
      <c r="U784" s="224">
        <f>'WetLitterbags placem_collection'!E125</f>
        <v>42762</v>
      </c>
      <c r="V784" s="224">
        <f>IF('WetLitterbags placem_collection'!G125="","",'WetLitterbags placem_collection'!G125)</f>
        <v>42816</v>
      </c>
      <c r="W784" s="225">
        <f t="shared" si="60"/>
        <v>54</v>
      </c>
      <c r="X784" s="223">
        <f t="shared" si="63"/>
        <v>0.55179999999999985</v>
      </c>
      <c r="Y784" s="223">
        <f t="shared" si="64"/>
        <v>0.49900910598394232</v>
      </c>
      <c r="Z784">
        <f>IFERROR(INDEX([1]Rainfall_Wet!$O$2:$O$217,MATCH(C784, [1]Rainfall_Wet!$A$2:$A$217,0)),"")</f>
        <v>206.85140822299999</v>
      </c>
      <c r="AA784" s="226">
        <v>17.96</v>
      </c>
      <c r="AB784" s="226">
        <v>4.9199999999999982</v>
      </c>
      <c r="AC784" s="226">
        <v>77.12</v>
      </c>
      <c r="AD784" s="227" t="s">
        <v>2652</v>
      </c>
      <c r="AE784" s="226">
        <v>4.02207984228684</v>
      </c>
      <c r="AF784">
        <f>IF('WetLitterbags placem_collection'!AB125="","",'WetLitterbags placem_collection'!AB125)</f>
        <v>3.9</v>
      </c>
      <c r="AG784">
        <f>IF('WetLitterbags placem_collection'!Z125="","",'WetLitterbags placem_collection'!Z125)</f>
        <v>51</v>
      </c>
      <c r="AH784" s="236" t="str">
        <f>IF('WetLitterbags placem_collection'!AA125="","",'WetLitterbags placem_collection'!AA125)</f>
        <v>G</v>
      </c>
      <c r="AI784">
        <f>IF('WetLitterbags placem_collection'!AC125="","",'WetLitterbags placem_collection'!AC125)</f>
        <v>1</v>
      </c>
      <c r="AJ784">
        <f>AVERAGE('WetLitterbags placem_collection'!S125,'WetLitterbags placem_collection'!U125)</f>
        <v>13.2</v>
      </c>
      <c r="AK784">
        <f>AVERAGE('WetLitterbags placem_collection'!R125,'WetLitterbags placem_collection'!T125)</f>
        <v>31.85</v>
      </c>
      <c r="AL784">
        <f>INDEX([2]Coordinates!$B$2:$B$197,MATCH(I784,[2]Coordinates!$J$2:$J$197,0))</f>
        <v>-2.3492390009999999</v>
      </c>
      <c r="AM784">
        <f>INDEX([2]Coordinates!$C$2:$C$197,MATCH(I784,[2]Coordinates!$J$2:$J$197,0))</f>
        <v>34.051304020000003</v>
      </c>
      <c r="AN784" t="str">
        <f>IF(ISNUMBER(SEARCH("C", 'WetLitterbags placem_collection'!$Y125)),"YES","NO")</f>
        <v>NO</v>
      </c>
      <c r="AO784" t="str">
        <f>IF(ISNUMBER(SEARCH("H", 'WetLitterbags placem_collection'!$Y125)),"YES","NO")</f>
        <v>NO</v>
      </c>
      <c r="AP784" t="str">
        <f>IF(ISNUMBER(SEARCH("R", 'WetLitterbags placem_collection'!$Y125)),"YES","NO")</f>
        <v>NO</v>
      </c>
    </row>
    <row r="785" spans="1:42" ht="15" customHeight="1">
      <c r="A785" t="s">
        <v>3248</v>
      </c>
      <c r="B785" s="248" t="s">
        <v>2454</v>
      </c>
      <c r="C785" s="253">
        <f>'Dry_Litterbag Placem_Collection'!A126</f>
        <v>124</v>
      </c>
      <c r="D785" s="253" t="str">
        <f>'Dry_Litterbag Placem_Collection'!B126</f>
        <v xml:space="preserve">Mwantimba
</v>
      </c>
      <c r="E785" s="253" t="s">
        <v>2454</v>
      </c>
      <c r="F785" s="253" t="s">
        <v>2644</v>
      </c>
      <c r="G785" s="253">
        <v>4</v>
      </c>
      <c r="H785" s="253" t="s">
        <v>3120</v>
      </c>
      <c r="I785" s="254" t="str">
        <f>'Dry_Litterbag Placem_Collection'!C126</f>
        <v>Wet_Ag4_T4</v>
      </c>
      <c r="J785" s="263" t="s">
        <v>2932</v>
      </c>
      <c r="K785" s="264" t="s">
        <v>298</v>
      </c>
      <c r="L785" s="221" t="str">
        <f>'WetLitterbags placem_collection'!Q126</f>
        <v>R471</v>
      </c>
      <c r="M785" s="223">
        <f>IFERROR(INDEX('Green_rooibos initial weight'!$C$5:$C$2000,MATCH(L785, 'Green_rooibos initial weight'!$A$5:$A$2000,0)),"")</f>
        <v>2.238</v>
      </c>
      <c r="N785" s="223">
        <f>IFERROR(M785-(TBIcalc!$H$9+TBIcalc!$H$10),"")</f>
        <v>1.9882</v>
      </c>
      <c r="O785" s="378">
        <f>AVERAGE(Ashed_controlls!$K$2:$K$11)</f>
        <v>5.5147656768714146</v>
      </c>
      <c r="P785" s="223">
        <f t="shared" si="61"/>
        <v>1.8785554288124424</v>
      </c>
      <c r="Q785" s="223">
        <f>IFERROR(INDEX('Both teabags AfterWet'!$C$3:$C$840,MATCH(L785,'Both teabags AfterWet'!$A$3:$A$840,0)),"")</f>
        <v>1.518</v>
      </c>
      <c r="R785" s="223">
        <f>IFERROR(IF(Q785&gt;0,Q785-(TBIcalc!$H$9),""),"")</f>
        <v>1.3673999999999999</v>
      </c>
      <c r="S785" s="223">
        <f>IFERROR(INDEX('Ashed teabags wet'!$K$2:$K$2000,MATCH(L785,'Ashed teabags wet'!$A$2:$A$2000,0)),"")</f>
        <v>3.762376237623815</v>
      </c>
      <c r="T785" s="223">
        <f t="shared" si="62"/>
        <v>1.3159532673267318</v>
      </c>
      <c r="U785" s="224">
        <f>'WetLitterbags placem_collection'!E126</f>
        <v>42762</v>
      </c>
      <c r="V785" s="224">
        <f>IF('WetLitterbags placem_collection'!G126="","",'WetLitterbags placem_collection'!G126)</f>
        <v>42816</v>
      </c>
      <c r="W785" s="225">
        <f t="shared" si="60"/>
        <v>54</v>
      </c>
      <c r="X785" s="223">
        <f t="shared" si="63"/>
        <v>0.62080000000000002</v>
      </c>
      <c r="Y785" s="223">
        <f t="shared" si="64"/>
        <v>0.56260216148571063</v>
      </c>
      <c r="Z785">
        <f>IFERROR(INDEX([1]Rainfall_Wet!$O$2:$O$217,MATCH(C785, [1]Rainfall_Wet!$A$2:$A$217,0)),"")</f>
        <v>206.85140822299999</v>
      </c>
      <c r="AA785" s="226">
        <v>17.96</v>
      </c>
      <c r="AB785" s="226">
        <v>4.9199999999999982</v>
      </c>
      <c r="AC785" s="226">
        <v>77.12</v>
      </c>
      <c r="AD785" s="227" t="s">
        <v>2652</v>
      </c>
      <c r="AE785" s="226">
        <v>5.02207984228684</v>
      </c>
      <c r="AF785">
        <f>IF('WetLitterbags placem_collection'!AB126="","",'WetLitterbags placem_collection'!AB126)</f>
        <v>5.45</v>
      </c>
      <c r="AG785">
        <f>IF('WetLitterbags placem_collection'!Z126="","",'WetLitterbags placem_collection'!Z126)</f>
        <v>47</v>
      </c>
      <c r="AH785" s="236" t="str">
        <f>IF('WetLitterbags placem_collection'!AA126="","",'WetLitterbags placem_collection'!AA126)</f>
        <v>G</v>
      </c>
      <c r="AI785">
        <f>IF('WetLitterbags placem_collection'!AC126="","",'WetLitterbags placem_collection'!AC126)</f>
        <v>1</v>
      </c>
      <c r="AJ785">
        <f>AVERAGE('WetLitterbags placem_collection'!S126,'WetLitterbags placem_collection'!U126)</f>
        <v>18.2</v>
      </c>
      <c r="AK785">
        <f>AVERAGE('WetLitterbags placem_collection'!R126,'WetLitterbags placem_collection'!T126)</f>
        <v>31.1</v>
      </c>
      <c r="AL785">
        <f>INDEX([2]Coordinates!$B$2:$B$197,MATCH(I785,[2]Coordinates!$J$2:$J$197,0))</f>
        <v>-2.3492799889999998</v>
      </c>
      <c r="AM785">
        <f>INDEX([2]Coordinates!$C$2:$C$197,MATCH(I785,[2]Coordinates!$J$2:$J$197,0))</f>
        <v>34.051280970000001</v>
      </c>
      <c r="AN785" t="str">
        <f>IF(ISNUMBER(SEARCH("C", 'WetLitterbags placem_collection'!$Y126)),"YES","NO")</f>
        <v>NO</v>
      </c>
      <c r="AO785" t="str">
        <f>IF(ISNUMBER(SEARCH("H", 'WetLitterbags placem_collection'!$Y126)),"YES","NO")</f>
        <v>NO</v>
      </c>
      <c r="AP785" t="str">
        <f>IF(ISNUMBER(SEARCH("R", 'WetLitterbags placem_collection'!$Y126)),"YES","NO")</f>
        <v>NO</v>
      </c>
    </row>
    <row r="786" spans="1:42" ht="15" customHeight="1">
      <c r="A786" t="s">
        <v>3248</v>
      </c>
      <c r="B786" s="248" t="s">
        <v>2454</v>
      </c>
      <c r="C786" s="253">
        <f>'Dry_Litterbag Placem_Collection'!A127</f>
        <v>125</v>
      </c>
      <c r="D786" s="253" t="str">
        <f>'Dry_Litterbag Placem_Collection'!B127</f>
        <v xml:space="preserve">Mwantimba
</v>
      </c>
      <c r="E786" s="253" t="s">
        <v>2454</v>
      </c>
      <c r="F786" s="253" t="s">
        <v>2644</v>
      </c>
      <c r="G786" s="253">
        <v>4</v>
      </c>
      <c r="H786" s="253" t="s">
        <v>3120</v>
      </c>
      <c r="I786" s="254" t="str">
        <f>'Dry_Litterbag Placem_Collection'!C127</f>
        <v>Wet_Ag4_T5</v>
      </c>
      <c r="J786" s="263" t="s">
        <v>2932</v>
      </c>
      <c r="K786" s="264" t="s">
        <v>298</v>
      </c>
      <c r="L786" s="221" t="str">
        <f>'WetLitterbags placem_collection'!Q127</f>
        <v>R486</v>
      </c>
      <c r="M786" s="223">
        <f>IFERROR(INDEX('Green_rooibos initial weight'!$C$5:$C$2000,MATCH(L786, 'Green_rooibos initial weight'!$A$5:$A$2000,0)),"")</f>
        <v>2.218</v>
      </c>
      <c r="N786" s="223">
        <f>IFERROR(M786-(TBIcalc!$H$9+TBIcalc!$H$10),"")</f>
        <v>1.9681999999999999</v>
      </c>
      <c r="O786" s="378">
        <f>AVERAGE(Ashed_controlls!$K$2:$K$11)</f>
        <v>5.5147656768714146</v>
      </c>
      <c r="P786" s="223">
        <f t="shared" si="61"/>
        <v>1.8596583819478167</v>
      </c>
      <c r="Q786" s="223">
        <f>IFERROR(INDEX('Both teabags AfterWet'!$C$3:$C$840,MATCH(L786,'Both teabags AfterWet'!$A$3:$A$840,0)),"")</f>
        <v>1.389</v>
      </c>
      <c r="R786" s="223">
        <f>IFERROR(IF(Q786&gt;0,Q786-(TBIcalc!$H$9),""),"")</f>
        <v>1.2383999999999999</v>
      </c>
      <c r="S786" s="223">
        <f>IFERROR(INDEX('Ashed teabags wet'!$K$2:$K$2000,MATCH(L786,'Ashed teabags wet'!$A$2:$A$2000,0)),"")</f>
        <v>4.2372881355932517</v>
      </c>
      <c r="T786" s="223">
        <f t="shared" si="62"/>
        <v>1.185925423728813</v>
      </c>
      <c r="U786" s="224">
        <f>'WetLitterbags placem_collection'!E127</f>
        <v>42762</v>
      </c>
      <c r="V786" s="224">
        <f>IF('WetLitterbags placem_collection'!G127="","",'WetLitterbags placem_collection'!G127)</f>
        <v>42816</v>
      </c>
      <c r="W786" s="225">
        <f t="shared" si="60"/>
        <v>54</v>
      </c>
      <c r="X786" s="223">
        <f t="shared" si="63"/>
        <v>0.7298</v>
      </c>
      <c r="Y786" s="223">
        <f t="shared" si="64"/>
        <v>0.6737329582190037</v>
      </c>
      <c r="Z786">
        <f>IFERROR(INDEX([1]Rainfall_Wet!$O$2:$O$217,MATCH(C786, [1]Rainfall_Wet!$A$2:$A$217,0)),"")</f>
        <v>206.85140822299999</v>
      </c>
      <c r="AA786" s="226">
        <v>17.96</v>
      </c>
      <c r="AB786" s="226">
        <v>4.9199999999999982</v>
      </c>
      <c r="AC786" s="226">
        <v>77.12</v>
      </c>
      <c r="AD786" s="227" t="s">
        <v>2652</v>
      </c>
      <c r="AE786" s="226">
        <v>6.02207984228684</v>
      </c>
      <c r="AF786">
        <f>IF('WetLitterbags placem_collection'!AB127="","",'WetLitterbags placem_collection'!AB127)</f>
        <v>9.3000000000000007</v>
      </c>
      <c r="AG786">
        <f>IF('WetLitterbags placem_collection'!Z127="","",'WetLitterbags placem_collection'!Z127)</f>
        <v>43</v>
      </c>
      <c r="AH786" s="236" t="str">
        <f>IF('WetLitterbags placem_collection'!AA127="","",'WetLitterbags placem_collection'!AA127)</f>
        <v>G</v>
      </c>
      <c r="AI786">
        <f>IF('WetLitterbags placem_collection'!AC127="","",'WetLitterbags placem_collection'!AC127)</f>
        <v>1</v>
      </c>
      <c r="AJ786">
        <f>AVERAGE('WetLitterbags placem_collection'!S127,'WetLitterbags placem_collection'!U127)</f>
        <v>19.25</v>
      </c>
      <c r="AK786">
        <f>AVERAGE('WetLitterbags placem_collection'!R127,'WetLitterbags placem_collection'!T127)</f>
        <v>32.049999999999997</v>
      </c>
      <c r="AL786">
        <f>INDEX([2]Coordinates!$B$2:$B$197,MATCH(I786,[2]Coordinates!$J$2:$J$197,0))</f>
        <v>-2.3493320400000002</v>
      </c>
      <c r="AM786">
        <f>INDEX([2]Coordinates!$C$2:$C$197,MATCH(I786,[2]Coordinates!$J$2:$J$197,0))</f>
        <v>34.051321960000003</v>
      </c>
      <c r="AN786" t="str">
        <f>IF(ISNUMBER(SEARCH("C", 'WetLitterbags placem_collection'!$Y127)),"YES","NO")</f>
        <v>NO</v>
      </c>
      <c r="AO786" t="str">
        <f>IF(ISNUMBER(SEARCH("H", 'WetLitterbags placem_collection'!$Y127)),"YES","NO")</f>
        <v>NO</v>
      </c>
      <c r="AP786" t="str">
        <f>IF(ISNUMBER(SEARCH("R", 'WetLitterbags placem_collection'!$Y127)),"YES","NO")</f>
        <v>YES</v>
      </c>
    </row>
    <row r="787" spans="1:42" ht="15" customHeight="1">
      <c r="A787" t="s">
        <v>3248</v>
      </c>
      <c r="B787" s="248" t="s">
        <v>2454</v>
      </c>
      <c r="C787" s="253">
        <f>'Dry_Litterbag Placem_Collection'!A128</f>
        <v>126</v>
      </c>
      <c r="D787" s="253" t="str">
        <f>'Dry_Litterbag Placem_Collection'!B128</f>
        <v xml:space="preserve">Mwantimba
</v>
      </c>
      <c r="E787" s="253" t="s">
        <v>2454</v>
      </c>
      <c r="F787" s="253" t="s">
        <v>2644</v>
      </c>
      <c r="G787" s="253">
        <v>4</v>
      </c>
      <c r="H787" s="253" t="s">
        <v>3120</v>
      </c>
      <c r="I787" s="254" t="str">
        <f>'Dry_Litterbag Placem_Collection'!C128</f>
        <v>Wet_Ag4_T6</v>
      </c>
      <c r="J787" s="263" t="s">
        <v>2932</v>
      </c>
      <c r="K787" s="264" t="s">
        <v>298</v>
      </c>
      <c r="L787" s="221" t="str">
        <f>'WetLitterbags placem_collection'!Q128</f>
        <v>R55</v>
      </c>
      <c r="M787" s="223">
        <f>IFERROR(INDEX('Green_rooibos initial weight'!$C$5:$C$2000,MATCH(L787, 'Green_rooibos initial weight'!$A$5:$A$2000,0)),"")</f>
        <v>2.2010000000000001</v>
      </c>
      <c r="N787" s="223">
        <f>IFERROR(M787-(TBIcalc!$H$9+TBIcalc!$H$10),"")</f>
        <v>1.9512</v>
      </c>
      <c r="O787" s="378">
        <f>AVERAGE(Ashed_controlls!$K$2:$K$11)</f>
        <v>5.5147656768714146</v>
      </c>
      <c r="P787" s="223">
        <f t="shared" si="61"/>
        <v>1.843595892112885</v>
      </c>
      <c r="Q787" s="223">
        <f>IFERROR(INDEX('Both teabags AfterWet'!$C$3:$C$840,MATCH(L787,'Both teabags AfterWet'!$A$3:$A$840,0)),"")</f>
        <v>1.4419999999999999</v>
      </c>
      <c r="R787" s="223">
        <f>IFERROR(IF(Q787&gt;0,Q787-(TBIcalc!$H$9),""),"")</f>
        <v>1.2913999999999999</v>
      </c>
      <c r="S787" s="223">
        <f>IFERROR(INDEX('Ashed teabags wet'!$K$2:$K$2000,MATCH(L787,'Ashed teabags wet'!$A$2:$A$2000,0)),"")</f>
        <v>3.9111540318678832</v>
      </c>
      <c r="T787" s="223">
        <f t="shared" si="62"/>
        <v>1.240891356832458</v>
      </c>
      <c r="U787" s="224">
        <f>'WetLitterbags placem_collection'!E128</f>
        <v>42762</v>
      </c>
      <c r="V787" s="224">
        <f>IF('WetLitterbags placem_collection'!G128="","",'WetLitterbags placem_collection'!G128)</f>
        <v>42816</v>
      </c>
      <c r="W787" s="225">
        <f t="shared" si="60"/>
        <v>54</v>
      </c>
      <c r="X787" s="223">
        <f t="shared" si="63"/>
        <v>0.65980000000000016</v>
      </c>
      <c r="Y787" s="223">
        <f t="shared" si="64"/>
        <v>0.602704535280427</v>
      </c>
      <c r="Z787">
        <f>IFERROR(INDEX([1]Rainfall_Wet!$O$2:$O$217,MATCH(C787, [1]Rainfall_Wet!$A$2:$A$217,0)),"")</f>
        <v>206.85140822299999</v>
      </c>
      <c r="AA787" s="226">
        <v>17.96</v>
      </c>
      <c r="AB787" s="226">
        <v>4.9199999999999982</v>
      </c>
      <c r="AC787" s="226">
        <v>77.12</v>
      </c>
      <c r="AD787" s="227" t="s">
        <v>2652</v>
      </c>
      <c r="AE787" s="226">
        <v>7.02207984228684</v>
      </c>
      <c r="AF787">
        <f>IF('WetLitterbags placem_collection'!AB128="","",'WetLitterbags placem_collection'!AB128)</f>
        <v>10.85</v>
      </c>
      <c r="AG787">
        <f>IF('WetLitterbags placem_collection'!Z128="","",'WetLitterbags placem_collection'!Z128)</f>
        <v>40</v>
      </c>
      <c r="AH787" s="236" t="str">
        <f>IF('WetLitterbags placem_collection'!AA128="","",'WetLitterbags placem_collection'!AA128)</f>
        <v>G</v>
      </c>
      <c r="AI787">
        <f>IF('WetLitterbags placem_collection'!AC128="","",'WetLitterbags placem_collection'!AC128)</f>
        <v>1</v>
      </c>
      <c r="AJ787">
        <f>AVERAGE('WetLitterbags placem_collection'!S128,'WetLitterbags placem_collection'!U128)</f>
        <v>16.649999999999999</v>
      </c>
      <c r="AK787">
        <f>AVERAGE('WetLitterbags placem_collection'!R128,'WetLitterbags placem_collection'!T128)</f>
        <v>32</v>
      </c>
      <c r="AL787">
        <f>INDEX([2]Coordinates!$B$2:$B$197,MATCH(I787,[2]Coordinates!$J$2:$J$197,0))</f>
        <v>-2.3493509829999999</v>
      </c>
      <c r="AM787">
        <f>INDEX([2]Coordinates!$C$2:$C$197,MATCH(I787,[2]Coordinates!$J$2:$J$197,0))</f>
        <v>34.051332019999997</v>
      </c>
      <c r="AN787" t="str">
        <f>IF(ISNUMBER(SEARCH("C", 'WetLitterbags placem_collection'!$Y128)),"YES","NO")</f>
        <v>NO</v>
      </c>
      <c r="AO787" t="str">
        <f>IF(ISNUMBER(SEARCH("H", 'WetLitterbags placem_collection'!$Y128)),"YES","NO")</f>
        <v>NO</v>
      </c>
      <c r="AP787" t="str">
        <f>IF(ISNUMBER(SEARCH("R", 'WetLitterbags placem_collection'!$Y128)),"YES","NO")</f>
        <v>YES</v>
      </c>
    </row>
    <row r="788" spans="1:42" ht="15" customHeight="1">
      <c r="A788" t="s">
        <v>3248</v>
      </c>
      <c r="B788" s="248" t="s">
        <v>2454</v>
      </c>
      <c r="C788" s="253">
        <f>'Dry_Litterbag Placem_Collection'!A129</f>
        <v>127</v>
      </c>
      <c r="D788" s="253" t="str">
        <f>'Dry_Litterbag Placem_Collection'!B129</f>
        <v xml:space="preserve">Mwantimba
</v>
      </c>
      <c r="E788" s="253" t="s">
        <v>2454</v>
      </c>
      <c r="F788" s="253" t="s">
        <v>2644</v>
      </c>
      <c r="G788" s="253">
        <v>4</v>
      </c>
      <c r="H788" s="253" t="s">
        <v>3120</v>
      </c>
      <c r="I788" s="254" t="str">
        <f>'Dry_Litterbag Placem_Collection'!C129</f>
        <v>Wet_Ag4_T7</v>
      </c>
      <c r="J788" s="263" t="s">
        <v>2932</v>
      </c>
      <c r="K788" s="264" t="s">
        <v>298</v>
      </c>
      <c r="L788" s="221" t="str">
        <f>'WetLitterbags placem_collection'!Q129</f>
        <v>R424</v>
      </c>
      <c r="M788" s="223">
        <f>IFERROR(INDEX('Green_rooibos initial weight'!$C$5:$C$2000,MATCH(L788, 'Green_rooibos initial weight'!$A$5:$A$2000,0)),"")</f>
        <v>2.214</v>
      </c>
      <c r="N788" s="223">
        <f>IFERROR(M788-(TBIcalc!$H$9+TBIcalc!$H$10),"")</f>
        <v>1.9641999999999999</v>
      </c>
      <c r="O788" s="378">
        <f>AVERAGE(Ashed_controlls!$K$2:$K$11)</f>
        <v>5.5147656768714146</v>
      </c>
      <c r="P788" s="223">
        <f t="shared" si="61"/>
        <v>1.8558789725748916</v>
      </c>
      <c r="Q788" s="223">
        <f>IFERROR(INDEX('Both teabags AfterWet'!$C$3:$C$840,MATCH(L788,'Both teabags AfterWet'!$A$3:$A$840,0)),"")</f>
        <v>1.552</v>
      </c>
      <c r="R788" s="223">
        <f>IFERROR(IF(Q788&gt;0,Q788-(TBIcalc!$H$9),""),"")</f>
        <v>1.4014</v>
      </c>
      <c r="S788" s="223">
        <f>IFERROR(INDEX('Ashed teabags wet'!$K$2:$K$2000,MATCH(L788,'Ashed teabags wet'!$A$2:$A$2000,0)),"")</f>
        <v>7.3429951690818136</v>
      </c>
      <c r="T788" s="223">
        <f t="shared" si="62"/>
        <v>1.2984952657004873</v>
      </c>
      <c r="U788" s="224">
        <f>'WetLitterbags placem_collection'!E129</f>
        <v>42762</v>
      </c>
      <c r="V788" s="224">
        <f>IF('WetLitterbags placem_collection'!G129="","",'WetLitterbags placem_collection'!G129)</f>
        <v>42816</v>
      </c>
      <c r="W788" s="225">
        <f t="shared" si="60"/>
        <v>54</v>
      </c>
      <c r="X788" s="223">
        <f t="shared" si="63"/>
        <v>0.56279999999999997</v>
      </c>
      <c r="Y788" s="223">
        <f t="shared" si="64"/>
        <v>0.55738370687440431</v>
      </c>
      <c r="Z788">
        <f>IFERROR(INDEX([1]Rainfall_Wet!$O$2:$O$217,MATCH(C788, [1]Rainfall_Wet!$A$2:$A$217,0)),"")</f>
        <v>206.85140822299999</v>
      </c>
      <c r="AA788" s="226">
        <v>17.96</v>
      </c>
      <c r="AB788" s="226">
        <v>4.9199999999999982</v>
      </c>
      <c r="AC788" s="226">
        <v>77.12</v>
      </c>
      <c r="AD788" s="227" t="s">
        <v>2652</v>
      </c>
      <c r="AE788" s="226">
        <v>8.0220798422868391</v>
      </c>
      <c r="AF788">
        <f>IF('WetLitterbags placem_collection'!AB129="","",'WetLitterbags placem_collection'!AB129)</f>
        <v>5.35</v>
      </c>
      <c r="AG788">
        <f>IF('WetLitterbags placem_collection'!Z129="","",'WetLitterbags placem_collection'!Z129)</f>
        <v>58</v>
      </c>
      <c r="AH788" s="236" t="str">
        <f>IF('WetLitterbags placem_collection'!AA129="","",'WetLitterbags placem_collection'!AA129)</f>
        <v>G</v>
      </c>
      <c r="AI788">
        <f>IF('WetLitterbags placem_collection'!AC129="","",'WetLitterbags placem_collection'!AC129)</f>
        <v>1</v>
      </c>
      <c r="AJ788">
        <f>AVERAGE('WetLitterbags placem_collection'!S129,'WetLitterbags placem_collection'!U129)</f>
        <v>15.8</v>
      </c>
      <c r="AK788">
        <f>AVERAGE('WetLitterbags placem_collection'!R129,'WetLitterbags placem_collection'!T129)</f>
        <v>31.55</v>
      </c>
      <c r="AL788">
        <f>INDEX([2]Coordinates!$B$2:$B$197,MATCH(I788,[2]Coordinates!$J$2:$J$197,0))</f>
        <v>-2.3491850219999999</v>
      </c>
      <c r="AM788">
        <f>INDEX([2]Coordinates!$C$2:$C$197,MATCH(I788,[2]Coordinates!$J$2:$J$197,0))</f>
        <v>34.051264959999997</v>
      </c>
      <c r="AN788" t="str">
        <f>IF(ISNUMBER(SEARCH("C", 'WetLitterbags placem_collection'!$Y129)),"YES","NO")</f>
        <v>NO</v>
      </c>
      <c r="AO788" t="str">
        <f>IF(ISNUMBER(SEARCH("H", 'WetLitterbags placem_collection'!$Y129)),"YES","NO")</f>
        <v>NO</v>
      </c>
      <c r="AP788" t="str">
        <f>IF(ISNUMBER(SEARCH("R", 'WetLitterbags placem_collection'!$Y129)),"YES","NO")</f>
        <v>YES</v>
      </c>
    </row>
    <row r="789" spans="1:42" ht="15" customHeight="1">
      <c r="A789" t="s">
        <v>3248</v>
      </c>
      <c r="B789" s="248" t="s">
        <v>2454</v>
      </c>
      <c r="C789" s="253">
        <f>'Dry_Litterbag Placem_Collection'!A130</f>
        <v>128</v>
      </c>
      <c r="D789" s="253" t="str">
        <f>'Dry_Litterbag Placem_Collection'!B130</f>
        <v xml:space="preserve">Mwantimba
</v>
      </c>
      <c r="E789" s="253" t="s">
        <v>2454</v>
      </c>
      <c r="F789" s="253" t="s">
        <v>2644</v>
      </c>
      <c r="G789" s="253">
        <v>4</v>
      </c>
      <c r="H789" s="253" t="s">
        <v>3120</v>
      </c>
      <c r="I789" s="254" t="str">
        <f>'Dry_Litterbag Placem_Collection'!C130</f>
        <v>Wet_Ag4_T8</v>
      </c>
      <c r="J789" s="263" t="s">
        <v>2932</v>
      </c>
      <c r="K789" s="264" t="s">
        <v>298</v>
      </c>
      <c r="L789" s="221" t="str">
        <f>'WetLitterbags placem_collection'!Q130</f>
        <v>R418</v>
      </c>
      <c r="M789" s="223">
        <f>IFERROR(INDEX('Green_rooibos initial weight'!$C$5:$C$2000,MATCH(L789, 'Green_rooibos initial weight'!$A$5:$A$2000,0)),"")</f>
        <v>2.2029999999999998</v>
      </c>
      <c r="N789" s="223">
        <f>IFERROR(M789-(TBIcalc!$H$9+TBIcalc!$H$10),"")</f>
        <v>1.9531999999999998</v>
      </c>
      <c r="O789" s="378">
        <f>AVERAGE(Ashed_controlls!$K$2:$K$11)</f>
        <v>5.5147656768714146</v>
      </c>
      <c r="P789" s="223">
        <f t="shared" si="61"/>
        <v>1.8454855967993473</v>
      </c>
      <c r="Q789" s="223">
        <f>IFERROR(INDEX('Both teabags AfterWet'!$C$3:$C$840,MATCH(L789,'Both teabags AfterWet'!$A$3:$A$840,0)),"")</f>
        <v>1.4119999999999999</v>
      </c>
      <c r="R789" s="223">
        <f>IFERROR(IF(Q789&gt;0,Q789-(TBIcalc!$H$9),""),"")</f>
        <v>1.2613999999999999</v>
      </c>
      <c r="S789" s="223">
        <f>IFERROR(INDEX('Ashed teabags wet'!$K$2:$K$2000,MATCH(L789,'Ashed teabags wet'!$A$2:$A$2000,0)),"")</f>
        <v>4.4282238442810895</v>
      </c>
      <c r="T789" s="223">
        <f t="shared" si="62"/>
        <v>1.2055423844282382</v>
      </c>
      <c r="U789" s="224">
        <f>'WetLitterbags placem_collection'!E130</f>
        <v>42762</v>
      </c>
      <c r="V789" s="224">
        <f>IF('WetLitterbags placem_collection'!G130="","",'WetLitterbags placem_collection'!G130)</f>
        <v>42816</v>
      </c>
      <c r="W789" s="225">
        <f t="shared" si="60"/>
        <v>54</v>
      </c>
      <c r="X789" s="223">
        <f t="shared" si="63"/>
        <v>0.69179999999999997</v>
      </c>
      <c r="Y789" s="223">
        <f t="shared" si="64"/>
        <v>0.63994321237110907</v>
      </c>
      <c r="Z789">
        <f>IFERROR(INDEX([1]Rainfall_Wet!$O$2:$O$217,MATCH(C789, [1]Rainfall_Wet!$A$2:$A$217,0)),"")</f>
        <v>206.85140822299999</v>
      </c>
      <c r="AA789" s="226">
        <v>17.96</v>
      </c>
      <c r="AB789" s="226">
        <v>4.9199999999999982</v>
      </c>
      <c r="AC789" s="226">
        <v>77.12</v>
      </c>
      <c r="AD789" s="227" t="s">
        <v>2652</v>
      </c>
      <c r="AE789" s="226">
        <v>9.0220798422868391</v>
      </c>
      <c r="AF789">
        <f>IF('WetLitterbags placem_collection'!AB130="","",'WetLitterbags placem_collection'!AB130)</f>
        <v>10.9</v>
      </c>
      <c r="AG789">
        <f>IF('WetLitterbags placem_collection'!Z130="","",'WetLitterbags placem_collection'!Z130)</f>
        <v>44</v>
      </c>
      <c r="AH789" s="236" t="str">
        <f>IF('WetLitterbags placem_collection'!AA130="","",'WetLitterbags placem_collection'!AA130)</f>
        <v>G</v>
      </c>
      <c r="AI789">
        <f>IF('WetLitterbags placem_collection'!AC130="","",'WetLitterbags placem_collection'!AC130)</f>
        <v>0</v>
      </c>
      <c r="AJ789">
        <f>AVERAGE('WetLitterbags placem_collection'!S130,'WetLitterbags placem_collection'!U130)</f>
        <v>8.15</v>
      </c>
      <c r="AK789">
        <f>AVERAGE('WetLitterbags placem_collection'!R130,'WetLitterbags placem_collection'!T130)</f>
        <v>31.650000000000002</v>
      </c>
      <c r="AL789">
        <f>INDEX([2]Coordinates!$B$2:$B$197,MATCH(I789,[2]Coordinates!$J$2:$J$197,0))</f>
        <v>-2.3493099960000001</v>
      </c>
      <c r="AM789">
        <f>INDEX([2]Coordinates!$C$2:$C$197,MATCH(I789,[2]Coordinates!$J$2:$J$197,0))</f>
        <v>34.05141802</v>
      </c>
      <c r="AN789" t="str">
        <f>IF(ISNUMBER(SEARCH("C", 'WetLitterbags placem_collection'!$Y130)),"YES","NO")</f>
        <v>NO</v>
      </c>
      <c r="AO789" t="str">
        <f>IF(ISNUMBER(SEARCH("H", 'WetLitterbags placem_collection'!$Y130)),"YES","NO")</f>
        <v>NO</v>
      </c>
      <c r="AP789" t="str">
        <f>IF(ISNUMBER(SEARCH("R", 'WetLitterbags placem_collection'!$Y130)),"YES","NO")</f>
        <v>YES</v>
      </c>
    </row>
    <row r="790" spans="1:42" ht="15" customHeight="1">
      <c r="A790" t="s">
        <v>3248</v>
      </c>
      <c r="B790" s="248" t="s">
        <v>2454</v>
      </c>
      <c r="C790" s="253">
        <f>'Dry_Litterbag Placem_Collection'!A131</f>
        <v>129</v>
      </c>
      <c r="D790" s="253" t="str">
        <f>'Dry_Litterbag Placem_Collection'!B131</f>
        <v xml:space="preserve">Mwantimba
</v>
      </c>
      <c r="E790" s="253" t="s">
        <v>2454</v>
      </c>
      <c r="F790" s="253" t="s">
        <v>20</v>
      </c>
      <c r="G790" s="253">
        <v>1</v>
      </c>
      <c r="H790" s="253" t="s">
        <v>3121</v>
      </c>
      <c r="I790" s="254" t="str">
        <f>'Dry_Litterbag Placem_Collection'!C131</f>
        <v>Wet_P1_T1</v>
      </c>
      <c r="J790" s="263" t="s">
        <v>2932</v>
      </c>
      <c r="K790" s="264" t="s">
        <v>298</v>
      </c>
      <c r="L790" s="221" t="str">
        <f>'WetLitterbags placem_collection'!Q131</f>
        <v>R520</v>
      </c>
      <c r="M790" s="223">
        <f>IFERROR(INDEX('Green_rooibos initial weight'!$C$5:$C$2000,MATCH(L790, 'Green_rooibos initial weight'!$A$5:$A$2000,0)),"")</f>
        <v>2.2210000000000001</v>
      </c>
      <c r="N790" s="223">
        <f>IFERROR(M790-(TBIcalc!$H$9+TBIcalc!$H$10),"")</f>
        <v>1.9712000000000001</v>
      </c>
      <c r="O790" s="378">
        <f>AVERAGE(Ashed_controlls!$K$2:$K$11)</f>
        <v>5.5147656768714146</v>
      </c>
      <c r="P790" s="223">
        <f t="shared" si="61"/>
        <v>1.8624929389775107</v>
      </c>
      <c r="Q790" s="223">
        <f>IFERROR(INDEX('Both teabags AfterWet'!$C$3:$C$840,MATCH(L790,'Both teabags AfterWet'!$A$3:$A$840,0)),"")</f>
        <v>1.5878000000000001</v>
      </c>
      <c r="R790" s="223">
        <f>IFERROR(IF(Q790&gt;0,Q790-(TBIcalc!$H$9),""),"")</f>
        <v>1.4372</v>
      </c>
      <c r="S790" s="223">
        <f>IFERROR(INDEX('Ashed teabags wet'!$K$2:$K$2000,MATCH(L790,'Ashed teabags wet'!$A$2:$A$2000,0)),"")</f>
        <v>5.5940594059407749</v>
      </c>
      <c r="T790" s="223">
        <f t="shared" si="62"/>
        <v>1.3568021782178192</v>
      </c>
      <c r="U790" s="224">
        <f>'WetLitterbags placem_collection'!E131</f>
        <v>42762</v>
      </c>
      <c r="V790" s="224">
        <f>IF('WetLitterbags placem_collection'!G131="","",'WetLitterbags placem_collection'!G131)</f>
        <v>42816</v>
      </c>
      <c r="W790" s="225">
        <f t="shared" si="60"/>
        <v>54</v>
      </c>
      <c r="X790" s="223">
        <f t="shared" si="63"/>
        <v>0.53400000000000003</v>
      </c>
      <c r="Y790" s="223">
        <f t="shared" si="64"/>
        <v>0.50569076075969144</v>
      </c>
      <c r="Z790">
        <f>IFERROR(INDEX([1]Rainfall_Wet!$O$2:$O$217,MATCH(C790, [1]Rainfall_Wet!$A$2:$A$217,0)),"")</f>
        <v>206.85140822299999</v>
      </c>
      <c r="AA790" s="226">
        <v>31.214836424255054</v>
      </c>
      <c r="AB790" s="226">
        <v>11.377370285476141</v>
      </c>
      <c r="AC790" s="226">
        <v>57.407793290268799</v>
      </c>
      <c r="AD790" s="227" t="s">
        <v>2651</v>
      </c>
      <c r="AE790" s="226">
        <v>1.7337604731394776</v>
      </c>
      <c r="AF790">
        <f>IF('WetLitterbags placem_collection'!AB131="","",'WetLitterbags placem_collection'!AB131)</f>
        <v>2.4</v>
      </c>
      <c r="AG790">
        <f>IF('WetLitterbags placem_collection'!Z131="","",'WetLitterbags placem_collection'!Z131)</f>
        <v>2.4</v>
      </c>
      <c r="AH790" s="236" t="str">
        <f>IF('WetLitterbags placem_collection'!AA131="","",'WetLitterbags placem_collection'!AA131)</f>
        <v>O</v>
      </c>
      <c r="AI790">
        <f>IF('WetLitterbags placem_collection'!AC131="","",'WetLitterbags placem_collection'!AC131)</f>
        <v>1</v>
      </c>
      <c r="AJ790">
        <f>AVERAGE('WetLitterbags placem_collection'!S131,'WetLitterbags placem_collection'!U131)</f>
        <v>15.05</v>
      </c>
      <c r="AK790">
        <f>AVERAGE('WetLitterbags placem_collection'!R131,'WetLitterbags placem_collection'!T131)</f>
        <v>28</v>
      </c>
      <c r="AL790">
        <f>INDEX([2]Coordinates!$B$2:$B$197,MATCH(I790,[2]Coordinates!$J$2:$J$197,0))</f>
        <v>-2.3503360249999998</v>
      </c>
      <c r="AM790">
        <f>INDEX([2]Coordinates!$C$2:$C$197,MATCH(I790,[2]Coordinates!$J$2:$J$197,0))</f>
        <v>34.049662009999999</v>
      </c>
      <c r="AN790" t="str">
        <f>IF(ISNUMBER(SEARCH("C", 'WetLitterbags placem_collection'!$Y131)),"YES","NO")</f>
        <v>NO</v>
      </c>
      <c r="AO790" t="str">
        <f>IF(ISNUMBER(SEARCH("H", 'WetLitterbags placem_collection'!$Y131)),"YES","NO")</f>
        <v>NO</v>
      </c>
      <c r="AP790" t="str">
        <f>IF(ISNUMBER(SEARCH("R", 'WetLitterbags placem_collection'!$Y131)),"YES","NO")</f>
        <v>NO</v>
      </c>
    </row>
    <row r="791" spans="1:42" ht="15" customHeight="1">
      <c r="A791" t="s">
        <v>3248</v>
      </c>
      <c r="B791" s="248" t="s">
        <v>2454</v>
      </c>
      <c r="C791" s="253">
        <f>'Dry_Litterbag Placem_Collection'!A132</f>
        <v>130</v>
      </c>
      <c r="D791" s="253" t="str">
        <f>'Dry_Litterbag Placem_Collection'!B132</f>
        <v xml:space="preserve">Mwantimba
</v>
      </c>
      <c r="E791" s="253" t="s">
        <v>2454</v>
      </c>
      <c r="F791" s="253" t="s">
        <v>20</v>
      </c>
      <c r="G791" s="253">
        <v>1</v>
      </c>
      <c r="H791" s="253" t="s">
        <v>3121</v>
      </c>
      <c r="I791" s="254" t="str">
        <f>'Dry_Litterbag Placem_Collection'!C132</f>
        <v>Wet_P1_T2</v>
      </c>
      <c r="J791" s="263" t="s">
        <v>2932</v>
      </c>
      <c r="K791" s="264" t="s">
        <v>298</v>
      </c>
      <c r="L791" s="221" t="str">
        <f>'WetLitterbags placem_collection'!Q132</f>
        <v>R433</v>
      </c>
      <c r="M791" s="223">
        <f>IFERROR(INDEX('Green_rooibos initial weight'!$C$5:$C$2000,MATCH(L791, 'Green_rooibos initial weight'!$A$5:$A$2000,0)),"")</f>
        <v>2.0750000000000002</v>
      </c>
      <c r="N791" s="223">
        <f>IFERROR(M791-(TBIcalc!$H$9+TBIcalc!$H$10),"")</f>
        <v>1.8252000000000002</v>
      </c>
      <c r="O791" s="378">
        <f>AVERAGE(Ashed_controlls!$K$2:$K$11)</f>
        <v>5.5147656768714146</v>
      </c>
      <c r="P791" s="223">
        <f t="shared" si="61"/>
        <v>1.7245444968657431</v>
      </c>
      <c r="Q791" s="223">
        <f>IFERROR(INDEX('Both teabags AfterWet'!$C$3:$C$840,MATCH(L791,'Both teabags AfterWet'!$A$3:$A$840,0)),"")</f>
        <v>1.5069999999999999</v>
      </c>
      <c r="R791" s="223">
        <f>IFERROR(IF(Q791&gt;0,Q791-(TBIcalc!$H$9),""),"")</f>
        <v>1.3563999999999998</v>
      </c>
      <c r="S791" s="223">
        <f>IFERROR(INDEX('Ashed teabags wet'!$K$2:$K$2000,MATCH(L791,'Ashed teabags wet'!$A$2:$A$2000,0)),"")</f>
        <v>5.1420176297748439</v>
      </c>
      <c r="T791" s="223">
        <f t="shared" si="62"/>
        <v>1.2866536728697338</v>
      </c>
      <c r="U791" s="224">
        <f>'WetLitterbags placem_collection'!E132</f>
        <v>42762</v>
      </c>
      <c r="V791" s="224">
        <f>IF('WetLitterbags placem_collection'!G132="","",'WetLitterbags placem_collection'!G132)</f>
        <v>42816</v>
      </c>
      <c r="W791" s="225">
        <f t="shared" si="60"/>
        <v>54</v>
      </c>
      <c r="X791" s="223">
        <f t="shared" si="63"/>
        <v>0.46880000000000033</v>
      </c>
      <c r="Y791" s="223">
        <f t="shared" si="64"/>
        <v>0.43789082399600932</v>
      </c>
      <c r="Z791">
        <f>IFERROR(INDEX([1]Rainfall_Wet!$O$2:$O$217,MATCH(C791, [1]Rainfall_Wet!$A$2:$A$217,0)),"")</f>
        <v>206.85140822299999</v>
      </c>
      <c r="AA791" s="226">
        <v>31.214836424255054</v>
      </c>
      <c r="AB791" s="226">
        <v>11.377370285476141</v>
      </c>
      <c r="AC791" s="226">
        <v>57.407793290268799</v>
      </c>
      <c r="AD791" s="227" t="s">
        <v>2651</v>
      </c>
      <c r="AE791" s="226">
        <v>2.7337604731394798</v>
      </c>
      <c r="AF791">
        <f>IF('WetLitterbags placem_collection'!AB132="","",'WetLitterbags placem_collection'!AB132)</f>
        <v>2.1</v>
      </c>
      <c r="AG791">
        <f>IF('WetLitterbags placem_collection'!Z132="","",'WetLitterbags placem_collection'!Z132)</f>
        <v>3.5</v>
      </c>
      <c r="AH791" s="236" t="str">
        <f>IF('WetLitterbags placem_collection'!AA132="","",'WetLitterbags placem_collection'!AA132)</f>
        <v>O</v>
      </c>
      <c r="AI791">
        <f>IF('WetLitterbags placem_collection'!AC132="","",'WetLitterbags placem_collection'!AC132)</f>
        <v>0</v>
      </c>
      <c r="AJ791">
        <f>AVERAGE('WetLitterbags placem_collection'!S132,'WetLitterbags placem_collection'!U132)</f>
        <v>16.3</v>
      </c>
      <c r="AK791">
        <f>AVERAGE('WetLitterbags placem_collection'!R132,'WetLitterbags placem_collection'!T132)</f>
        <v>28.5</v>
      </c>
      <c r="AL791">
        <f>INDEX([2]Coordinates!$B$2:$B$197,MATCH(I791,[2]Coordinates!$J$2:$J$197,0))</f>
        <v>-2.3503729889999998</v>
      </c>
      <c r="AM791">
        <f>INDEX([2]Coordinates!$C$2:$C$197,MATCH(I791,[2]Coordinates!$J$2:$J$197,0))</f>
        <v>34.049626969999998</v>
      </c>
      <c r="AN791" t="str">
        <f>IF(ISNUMBER(SEARCH("C", 'WetLitterbags placem_collection'!$Y132)),"YES","NO")</f>
        <v>NO</v>
      </c>
      <c r="AO791" t="str">
        <f>IF(ISNUMBER(SEARCH("H", 'WetLitterbags placem_collection'!$Y132)),"YES","NO")</f>
        <v>NO</v>
      </c>
      <c r="AP791" t="str">
        <f>IF(ISNUMBER(SEARCH("R", 'WetLitterbags placem_collection'!$Y132)),"YES","NO")</f>
        <v>NO</v>
      </c>
    </row>
    <row r="792" spans="1:42" ht="15" customHeight="1">
      <c r="A792" t="s">
        <v>3248</v>
      </c>
      <c r="B792" s="248" t="s">
        <v>2454</v>
      </c>
      <c r="C792" s="253">
        <f>'Dry_Litterbag Placem_Collection'!A133</f>
        <v>131</v>
      </c>
      <c r="D792" s="253" t="str">
        <f>'Dry_Litterbag Placem_Collection'!B133</f>
        <v xml:space="preserve">Mwantimba
</v>
      </c>
      <c r="E792" s="253" t="s">
        <v>2454</v>
      </c>
      <c r="F792" s="253" t="s">
        <v>20</v>
      </c>
      <c r="G792" s="253">
        <v>1</v>
      </c>
      <c r="H792" s="253" t="s">
        <v>3121</v>
      </c>
      <c r="I792" s="254" t="str">
        <f>'Dry_Litterbag Placem_Collection'!C133</f>
        <v>Wet_P1_T3</v>
      </c>
      <c r="J792" s="263" t="s">
        <v>2932</v>
      </c>
      <c r="K792" s="264" t="s">
        <v>298</v>
      </c>
      <c r="L792" s="221" t="str">
        <f>'WetLitterbags placem_collection'!Q133</f>
        <v>R592</v>
      </c>
      <c r="M792" s="223">
        <f>IFERROR(INDEX('Green_rooibos initial weight'!$C$5:$C$2000,MATCH(L792, 'Green_rooibos initial weight'!$A$5:$A$2000,0)),"")</f>
        <v>2.2549999999999999</v>
      </c>
      <c r="N792" s="223">
        <f>IFERROR(M792-(TBIcalc!$H$9+TBIcalc!$H$10),"")</f>
        <v>2.0051999999999999</v>
      </c>
      <c r="O792" s="378">
        <f>AVERAGE(Ashed_controlls!$K$2:$K$11)</f>
        <v>5.5147656768714146</v>
      </c>
      <c r="P792" s="223">
        <f t="shared" si="61"/>
        <v>1.8946179186473744</v>
      </c>
      <c r="Q792" s="223">
        <f>IFERROR(INDEX('Both teabags AfterWet'!$C$3:$C$840,MATCH(L792,'Both teabags AfterWet'!$A$3:$A$840,0)),"")</f>
        <v>1.6073999999999999</v>
      </c>
      <c r="R792" s="223">
        <f>IFERROR(IF(Q792&gt;0,Q792-(TBIcalc!$H$9),""),"")</f>
        <v>1.4567999999999999</v>
      </c>
      <c r="S792" s="223">
        <f>IFERROR(INDEX('Ashed teabags wet'!$K$2:$K$2000,MATCH(L792,'Ashed teabags wet'!$A$2:$A$2000,0)),"")</f>
        <v>3.7601142313182434</v>
      </c>
      <c r="T792" s="223">
        <f t="shared" si="62"/>
        <v>1.4020226558781557</v>
      </c>
      <c r="U792" s="224">
        <f>'WetLitterbags placem_collection'!E133</f>
        <v>42762</v>
      </c>
      <c r="V792" s="224">
        <f>IF('WetLitterbags placem_collection'!G133="","",'WetLitterbags placem_collection'!G133)</f>
        <v>42816</v>
      </c>
      <c r="W792" s="225">
        <f t="shared" si="60"/>
        <v>54</v>
      </c>
      <c r="X792" s="223">
        <f t="shared" si="63"/>
        <v>0.5484</v>
      </c>
      <c r="Y792" s="223">
        <f t="shared" si="64"/>
        <v>0.49259526276921872</v>
      </c>
      <c r="Z792">
        <f>IFERROR(INDEX([1]Rainfall_Wet!$O$2:$O$217,MATCH(C792, [1]Rainfall_Wet!$A$2:$A$217,0)),"")</f>
        <v>206.85140822299999</v>
      </c>
      <c r="AA792" s="226">
        <v>31.214836424255054</v>
      </c>
      <c r="AB792" s="226">
        <v>11.377370285476141</v>
      </c>
      <c r="AC792" s="226">
        <v>57.407793290268799</v>
      </c>
      <c r="AD792" s="227" t="s">
        <v>2651</v>
      </c>
      <c r="AE792" s="226">
        <v>3.7337604731394798</v>
      </c>
      <c r="AF792">
        <f>IF('WetLitterbags placem_collection'!AB133="","",'WetLitterbags placem_collection'!AB133)</f>
        <v>4.5</v>
      </c>
      <c r="AG792">
        <f>IF('WetLitterbags placem_collection'!Z133="","",'WetLitterbags placem_collection'!Z133)</f>
        <v>7.5</v>
      </c>
      <c r="AH792" s="236" t="str">
        <f>IF('WetLitterbags placem_collection'!AA133="","",'WetLitterbags placem_collection'!AA133)</f>
        <v>O</v>
      </c>
      <c r="AI792">
        <f>IF('WetLitterbags placem_collection'!AC133="","",'WetLitterbags placem_collection'!AC133)</f>
        <v>0</v>
      </c>
      <c r="AJ792">
        <f>AVERAGE('WetLitterbags placem_collection'!S133,'WetLitterbags placem_collection'!U133)</f>
        <v>9.3000000000000007</v>
      </c>
      <c r="AK792">
        <f>AVERAGE('WetLitterbags placem_collection'!R133,'WetLitterbags placem_collection'!T133)</f>
        <v>28.950000000000003</v>
      </c>
      <c r="AL792">
        <f>INDEX([2]Coordinates!$B$2:$B$197,MATCH(I792,[2]Coordinates!$J$2:$J$197,0))</f>
        <v>-2.3503259660000002</v>
      </c>
      <c r="AM792">
        <f>INDEX([2]Coordinates!$C$2:$C$197,MATCH(I792,[2]Coordinates!$J$2:$J$197,0))</f>
        <v>34.049616999999998</v>
      </c>
      <c r="AN792" t="str">
        <f>IF(ISNUMBER(SEARCH("C", 'WetLitterbags placem_collection'!$Y133)),"YES","NO")</f>
        <v>NO</v>
      </c>
      <c r="AO792" t="str">
        <f>IF(ISNUMBER(SEARCH("H", 'WetLitterbags placem_collection'!$Y133)),"YES","NO")</f>
        <v>NO</v>
      </c>
      <c r="AP792" t="str">
        <f>IF(ISNUMBER(SEARCH("R", 'WetLitterbags placem_collection'!$Y133)),"YES","NO")</f>
        <v>NO</v>
      </c>
    </row>
    <row r="793" spans="1:42" ht="15" customHeight="1">
      <c r="A793" t="s">
        <v>3248</v>
      </c>
      <c r="B793" s="248" t="s">
        <v>2454</v>
      </c>
      <c r="C793" s="253">
        <f>'Dry_Litterbag Placem_Collection'!A134</f>
        <v>132</v>
      </c>
      <c r="D793" s="253" t="str">
        <f>'Dry_Litterbag Placem_Collection'!B134</f>
        <v xml:space="preserve">Mwantimba
</v>
      </c>
      <c r="E793" s="253" t="s">
        <v>2454</v>
      </c>
      <c r="F793" s="253" t="s">
        <v>20</v>
      </c>
      <c r="G793" s="253">
        <v>1</v>
      </c>
      <c r="H793" s="253" t="s">
        <v>3121</v>
      </c>
      <c r="I793" s="254" t="str">
        <f>'Dry_Litterbag Placem_Collection'!C134</f>
        <v>Wet_P1_T4</v>
      </c>
      <c r="J793" s="263" t="s">
        <v>2932</v>
      </c>
      <c r="K793" s="264" t="s">
        <v>298</v>
      </c>
      <c r="L793" s="221" t="str">
        <f>'WetLitterbags placem_collection'!Q134</f>
        <v>R477</v>
      </c>
      <c r="M793" s="223">
        <f>IFERROR(INDEX('Green_rooibos initial weight'!$C$5:$C$2000,MATCH(L793, 'Green_rooibos initial weight'!$A$5:$A$2000,0)),"")</f>
        <v>2.169</v>
      </c>
      <c r="N793" s="223">
        <f>IFERROR(M793-(TBIcalc!$H$9+TBIcalc!$H$10),"")</f>
        <v>1.9192</v>
      </c>
      <c r="O793" s="378">
        <f>AVERAGE(Ashed_controlls!$K$2:$K$11)</f>
        <v>5.5147656768714146</v>
      </c>
      <c r="P793" s="223">
        <f t="shared" si="61"/>
        <v>1.8133606171294838</v>
      </c>
      <c r="Q793" s="223">
        <f>IFERROR(INDEX('Both teabags AfterWet'!$C$3:$C$840,MATCH(L793,'Both teabags AfterWet'!$A$3:$A$840,0)),"")</f>
        <v>1.573</v>
      </c>
      <c r="R793" s="223">
        <f>IFERROR(IF(Q793&gt;0,Q793-(TBIcalc!$H$9),""),"")</f>
        <v>1.4223999999999999</v>
      </c>
      <c r="S793" s="223">
        <f>IFERROR(INDEX('Ashed teabags wet'!$K$2:$K$2000,MATCH(L793,'Ashed teabags wet'!$A$2:$A$2000,0)),"")</f>
        <v>4.5098039215686896</v>
      </c>
      <c r="T793" s="223">
        <f t="shared" si="62"/>
        <v>1.3582525490196069</v>
      </c>
      <c r="U793" s="224">
        <f>'WetLitterbags placem_collection'!E134</f>
        <v>42762</v>
      </c>
      <c r="V793" s="224">
        <f>IF('WetLitterbags placem_collection'!G134="","",'WetLitterbags placem_collection'!G134)</f>
        <v>42816</v>
      </c>
      <c r="W793" s="225">
        <f t="shared" si="60"/>
        <v>54</v>
      </c>
      <c r="X793" s="223">
        <f t="shared" si="63"/>
        <v>0.49680000000000013</v>
      </c>
      <c r="Y793" s="223">
        <f t="shared" si="64"/>
        <v>0.45510806810987692</v>
      </c>
      <c r="Z793">
        <f>IFERROR(INDEX([1]Rainfall_Wet!$O$2:$O$217,MATCH(C793, [1]Rainfall_Wet!$A$2:$A$217,0)),"")</f>
        <v>206.85140822299999</v>
      </c>
      <c r="AA793" s="226">
        <v>31.214836424255054</v>
      </c>
      <c r="AB793" s="226">
        <v>11.377370285476141</v>
      </c>
      <c r="AC793" s="226">
        <v>57.407793290268799</v>
      </c>
      <c r="AD793" s="227" t="s">
        <v>2651</v>
      </c>
      <c r="AE793" s="226">
        <v>4.7337604731394798</v>
      </c>
      <c r="AF793">
        <f>IF('WetLitterbags placem_collection'!AB134="","",'WetLitterbags placem_collection'!AB134)</f>
        <v>0.7</v>
      </c>
      <c r="AG793">
        <f>IF('WetLitterbags placem_collection'!Z134="","",'WetLitterbags placem_collection'!Z134)</f>
        <v>9.8000000000000007</v>
      </c>
      <c r="AH793" s="236" t="str">
        <f>IF('WetLitterbags placem_collection'!AA134="","",'WetLitterbags placem_collection'!AA134)</f>
        <v>G</v>
      </c>
      <c r="AI793">
        <f>IF('WetLitterbags placem_collection'!AC134="","",'WetLitterbags placem_collection'!AC134)</f>
        <v>1</v>
      </c>
      <c r="AJ793">
        <f>AVERAGE('WetLitterbags placem_collection'!S134,'WetLitterbags placem_collection'!U134)</f>
        <v>18.55</v>
      </c>
      <c r="AK793">
        <f>AVERAGE('WetLitterbags placem_collection'!R134,'WetLitterbags placem_collection'!T134)</f>
        <v>28.95</v>
      </c>
      <c r="AL793">
        <f>INDEX([2]Coordinates!$B$2:$B$197,MATCH(I793,[2]Coordinates!$J$2:$J$197,0))</f>
        <v>-2.3504800260000001</v>
      </c>
      <c r="AM793">
        <f>INDEX([2]Coordinates!$C$2:$C$197,MATCH(I793,[2]Coordinates!$J$2:$J$197,0))</f>
        <v>34.049551030000003</v>
      </c>
      <c r="AN793" t="str">
        <f>IF(ISNUMBER(SEARCH("C", 'WetLitterbags placem_collection'!$Y134)),"YES","NO")</f>
        <v>NO</v>
      </c>
      <c r="AO793" t="str">
        <f>IF(ISNUMBER(SEARCH("H", 'WetLitterbags placem_collection'!$Y134)),"YES","NO")</f>
        <v>NO</v>
      </c>
      <c r="AP793" t="str">
        <f>IF(ISNUMBER(SEARCH("R", 'WetLitterbags placem_collection'!$Y134)),"YES","NO")</f>
        <v>NO</v>
      </c>
    </row>
    <row r="794" spans="1:42" ht="15" customHeight="1">
      <c r="A794" t="s">
        <v>3248</v>
      </c>
      <c r="B794" s="248" t="s">
        <v>2454</v>
      </c>
      <c r="C794" s="253">
        <f>'Dry_Litterbag Placem_Collection'!A135</f>
        <v>133</v>
      </c>
      <c r="D794" s="253" t="str">
        <f>'Dry_Litterbag Placem_Collection'!B135</f>
        <v xml:space="preserve">Mwantimba
</v>
      </c>
      <c r="E794" s="253" t="s">
        <v>2454</v>
      </c>
      <c r="F794" s="253" t="s">
        <v>20</v>
      </c>
      <c r="G794" s="253">
        <v>1</v>
      </c>
      <c r="H794" s="253" t="s">
        <v>3121</v>
      </c>
      <c r="I794" s="254" t="str">
        <f>'Dry_Litterbag Placem_Collection'!C135</f>
        <v>Wet_P1_T5</v>
      </c>
      <c r="J794" s="263" t="s">
        <v>2932</v>
      </c>
      <c r="K794" s="264" t="s">
        <v>298</v>
      </c>
      <c r="L794" s="221" t="str">
        <f>'WetLitterbags placem_collection'!Q135</f>
        <v>R597</v>
      </c>
      <c r="M794" s="223">
        <f>IFERROR(INDEX('Green_rooibos initial weight'!$C$5:$C$2000,MATCH(L794, 'Green_rooibos initial weight'!$A$5:$A$2000,0)),"")</f>
        <v>2.165</v>
      </c>
      <c r="N794" s="223">
        <f>IFERROR(M794-(TBIcalc!$H$9+TBIcalc!$H$10),"")</f>
        <v>1.9152</v>
      </c>
      <c r="O794" s="378">
        <f>AVERAGE(Ashed_controlls!$K$2:$K$11)</f>
        <v>5.5147656768714146</v>
      </c>
      <c r="P794" s="223">
        <f t="shared" si="61"/>
        <v>1.8095812077565587</v>
      </c>
      <c r="Q794" s="223">
        <f>IFERROR(INDEX('Both teabags AfterWet'!$C$3:$C$840,MATCH(L794,'Both teabags AfterWet'!$A$3:$A$840,0)),"")</f>
        <v>1.5714999999999999</v>
      </c>
      <c r="R794" s="223">
        <f>IFERROR(IF(Q794&gt;0,Q794-(TBIcalc!$H$9),""),"")</f>
        <v>1.4208999999999998</v>
      </c>
      <c r="S794" s="223">
        <f>IFERROR(INDEX('Ashed teabags wet'!$K$2:$K$2000,MATCH(L794,'Ashed teabags wet'!$A$2:$A$2000,0)),"")</f>
        <v>7.7152812344452117</v>
      </c>
      <c r="T794" s="223">
        <f t="shared" si="62"/>
        <v>1.3112735689397679</v>
      </c>
      <c r="U794" s="224">
        <f>'WetLitterbags placem_collection'!E135</f>
        <v>42762</v>
      </c>
      <c r="V794" s="224">
        <f>IF('WetLitterbags placem_collection'!G135="","",'WetLitterbags placem_collection'!G135)</f>
        <v>42816</v>
      </c>
      <c r="W794" s="225">
        <f t="shared" si="60"/>
        <v>54</v>
      </c>
      <c r="X794" s="223">
        <f t="shared" si="63"/>
        <v>0.49430000000000018</v>
      </c>
      <c r="Y794" s="223">
        <f t="shared" si="64"/>
        <v>0.49830763881679085</v>
      </c>
      <c r="Z794">
        <f>IFERROR(INDEX([1]Rainfall_Wet!$O$2:$O$217,MATCH(C794, [1]Rainfall_Wet!$A$2:$A$217,0)),"")</f>
        <v>206.85140822299999</v>
      </c>
      <c r="AA794" s="226">
        <v>31.214836424255054</v>
      </c>
      <c r="AB794" s="226">
        <v>11.377370285476141</v>
      </c>
      <c r="AC794" s="226">
        <v>57.407793290268799</v>
      </c>
      <c r="AD794" s="227" t="s">
        <v>2651</v>
      </c>
      <c r="AE794" s="226">
        <v>5.7337604731394798</v>
      </c>
      <c r="AF794">
        <f>IF('WetLitterbags placem_collection'!AB135="","",'WetLitterbags placem_collection'!AB135)</f>
        <v>2.2000000000000002</v>
      </c>
      <c r="AG794">
        <f>IF('WetLitterbags placem_collection'!Z135="","",'WetLitterbags placem_collection'!Z135)</f>
        <v>10</v>
      </c>
      <c r="AH794" s="236" t="str">
        <f>IF('WetLitterbags placem_collection'!AA135="","",'WetLitterbags placem_collection'!AA135)</f>
        <v>O</v>
      </c>
      <c r="AI794">
        <f>IF('WetLitterbags placem_collection'!AC135="","",'WetLitterbags placem_collection'!AC135)</f>
        <v>1</v>
      </c>
      <c r="AJ794">
        <f>AVERAGE('WetLitterbags placem_collection'!S135,'WetLitterbags placem_collection'!U135)</f>
        <v>13.399999999999999</v>
      </c>
      <c r="AK794">
        <f>AVERAGE('WetLitterbags placem_collection'!R135,'WetLitterbags placem_collection'!T135)</f>
        <v>31.349999999999998</v>
      </c>
      <c r="AL794">
        <f>INDEX([2]Coordinates!$B$2:$B$197,MATCH(I794,[2]Coordinates!$J$2:$J$197,0))</f>
        <v>-2.350474996</v>
      </c>
      <c r="AM794">
        <f>INDEX([2]Coordinates!$C$2:$C$197,MATCH(I794,[2]Coordinates!$J$2:$J$197,0))</f>
        <v>34.049801979999998</v>
      </c>
      <c r="AN794" t="str">
        <f>IF(ISNUMBER(SEARCH("C", 'WetLitterbags placem_collection'!$Y135)),"YES","NO")</f>
        <v>NO</v>
      </c>
      <c r="AO794" t="str">
        <f>IF(ISNUMBER(SEARCH("H", 'WetLitterbags placem_collection'!$Y135)),"YES","NO")</f>
        <v>NO</v>
      </c>
      <c r="AP794" t="str">
        <f>IF(ISNUMBER(SEARCH("R", 'WetLitterbags placem_collection'!$Y135)),"YES","NO")</f>
        <v>NO</v>
      </c>
    </row>
    <row r="795" spans="1:42" ht="15" customHeight="1">
      <c r="A795" t="s">
        <v>3248</v>
      </c>
      <c r="B795" s="248" t="s">
        <v>2454</v>
      </c>
      <c r="C795" s="253">
        <f>'Dry_Litterbag Placem_Collection'!A136</f>
        <v>134</v>
      </c>
      <c r="D795" s="253" t="str">
        <f>'Dry_Litterbag Placem_Collection'!B136</f>
        <v xml:space="preserve">Mwantimba
</v>
      </c>
      <c r="E795" s="253" t="s">
        <v>2454</v>
      </c>
      <c r="F795" s="253" t="s">
        <v>20</v>
      </c>
      <c r="G795" s="253">
        <v>1</v>
      </c>
      <c r="H795" s="253" t="s">
        <v>3121</v>
      </c>
      <c r="I795" s="254" t="str">
        <f>'Dry_Litterbag Placem_Collection'!C136</f>
        <v>Wet_P1_T6</v>
      </c>
      <c r="J795" s="263" t="s">
        <v>2932</v>
      </c>
      <c r="K795" s="264" t="s">
        <v>298</v>
      </c>
      <c r="L795" s="221" t="str">
        <f>'WetLitterbags placem_collection'!Q136</f>
        <v>R467</v>
      </c>
      <c r="M795" s="223">
        <f>IFERROR(INDEX('Green_rooibos initial weight'!$C$5:$C$2000,MATCH(L795, 'Green_rooibos initial weight'!$A$5:$A$2000,0)),"")</f>
        <v>2.3140000000000001</v>
      </c>
      <c r="N795" s="223">
        <f>IFERROR(M795-(TBIcalc!$H$9+TBIcalc!$H$10),"")</f>
        <v>2.0642</v>
      </c>
      <c r="O795" s="378">
        <f>AVERAGE(Ashed_controlls!$K$2:$K$11)</f>
        <v>5.5147656768714146</v>
      </c>
      <c r="P795" s="223">
        <f t="shared" si="61"/>
        <v>1.9503642068980203</v>
      </c>
      <c r="Q795" s="223">
        <f>IFERROR(INDEX('Both teabags AfterWet'!$C$3:$C$840,MATCH(L795,'Both teabags AfterWet'!$A$3:$A$840,0)),"")</f>
        <v>1.591</v>
      </c>
      <c r="R795" s="223">
        <f>IFERROR(IF(Q795&gt;0,Q795-(TBIcalc!$H$9),""),"")</f>
        <v>1.4403999999999999</v>
      </c>
      <c r="S795" s="223">
        <f>IFERROR(INDEX('Ashed teabags wet'!$K$2:$K$2000,MATCH(L795,'Ashed teabags wet'!$A$2:$A$2000,0)),"")</f>
        <v>3.4619188921860404</v>
      </c>
      <c r="T795" s="223">
        <f t="shared" si="62"/>
        <v>1.3905345202769521</v>
      </c>
      <c r="U795" s="224">
        <f>'WetLitterbags placem_collection'!E136</f>
        <v>42762</v>
      </c>
      <c r="V795" s="224">
        <f>IF('WetLitterbags placem_collection'!G136="","",'WetLitterbags placem_collection'!G136)</f>
        <v>42816</v>
      </c>
      <c r="W795" s="225">
        <f t="shared" si="60"/>
        <v>54</v>
      </c>
      <c r="X795" s="223">
        <f t="shared" si="63"/>
        <v>0.62380000000000013</v>
      </c>
      <c r="Y795" s="223">
        <f t="shared" si="64"/>
        <v>0.55982968662106813</v>
      </c>
      <c r="Z795">
        <f>IFERROR(INDEX([1]Rainfall_Wet!$O$2:$O$217,MATCH(C795, [1]Rainfall_Wet!$A$2:$A$217,0)),"")</f>
        <v>206.85140822299999</v>
      </c>
      <c r="AA795" s="226">
        <v>31.214836424255054</v>
      </c>
      <c r="AB795" s="226">
        <v>11.377370285476141</v>
      </c>
      <c r="AC795" s="226">
        <v>57.407793290268799</v>
      </c>
      <c r="AD795" s="227" t="s">
        <v>2651</v>
      </c>
      <c r="AE795" s="226">
        <v>6.7337604731394798</v>
      </c>
      <c r="AF795">
        <f>IF('WetLitterbags placem_collection'!AB136="","",'WetLitterbags placem_collection'!AB136)</f>
        <v>1.1000000000000001</v>
      </c>
      <c r="AG795">
        <f>IF('WetLitterbags placem_collection'!Z136="","",'WetLitterbags placem_collection'!Z136)</f>
        <v>15.4</v>
      </c>
      <c r="AH795" s="236" t="str">
        <f>IF('WetLitterbags placem_collection'!AA136="","",'WetLitterbags placem_collection'!AA136)</f>
        <v>O</v>
      </c>
      <c r="AI795">
        <f>IF('WetLitterbags placem_collection'!AC136="","",'WetLitterbags placem_collection'!AC136)</f>
        <v>1</v>
      </c>
      <c r="AJ795">
        <f>AVERAGE('WetLitterbags placem_collection'!S136,'WetLitterbags placem_collection'!U136)</f>
        <v>12.7</v>
      </c>
      <c r="AK795">
        <f>AVERAGE('WetLitterbags placem_collection'!R136,'WetLitterbags placem_collection'!T136)</f>
        <v>30.15</v>
      </c>
      <c r="AL795">
        <f>INDEX([2]Coordinates!$B$2:$B$197,MATCH(I795,[2]Coordinates!$J$2:$J$197,0))</f>
        <v>-2.3503559730000001</v>
      </c>
      <c r="AM795">
        <f>INDEX([2]Coordinates!$C$2:$C$197,MATCH(I795,[2]Coordinates!$J$2:$J$197,0))</f>
        <v>34.049800980000001</v>
      </c>
      <c r="AN795" t="str">
        <f>IF(ISNUMBER(SEARCH("C", 'WetLitterbags placem_collection'!$Y136)),"YES","NO")</f>
        <v>NO</v>
      </c>
      <c r="AO795" t="str">
        <f>IF(ISNUMBER(SEARCH("H", 'WetLitterbags placem_collection'!$Y136)),"YES","NO")</f>
        <v>NO</v>
      </c>
      <c r="AP795" t="str">
        <f>IF(ISNUMBER(SEARCH("R", 'WetLitterbags placem_collection'!$Y136)),"YES","NO")</f>
        <v>NO</v>
      </c>
    </row>
    <row r="796" spans="1:42" ht="15" customHeight="1">
      <c r="A796" t="s">
        <v>3248</v>
      </c>
      <c r="B796" s="248" t="s">
        <v>2454</v>
      </c>
      <c r="C796" s="253">
        <f>'Dry_Litterbag Placem_Collection'!A137</f>
        <v>135</v>
      </c>
      <c r="D796" s="253" t="str">
        <f>'Dry_Litterbag Placem_Collection'!B137</f>
        <v xml:space="preserve">Mwantimba
</v>
      </c>
      <c r="E796" s="253" t="s">
        <v>2454</v>
      </c>
      <c r="F796" s="253" t="s">
        <v>20</v>
      </c>
      <c r="G796" s="253">
        <v>1</v>
      </c>
      <c r="H796" s="253" t="s">
        <v>3121</v>
      </c>
      <c r="I796" s="254" t="str">
        <f>'Dry_Litterbag Placem_Collection'!C137</f>
        <v>Wet_P1_T7</v>
      </c>
      <c r="J796" s="263" t="s">
        <v>2932</v>
      </c>
      <c r="K796" s="264" t="s">
        <v>298</v>
      </c>
      <c r="L796" s="221" t="str">
        <f>'WetLitterbags placem_collection'!Q137</f>
        <v>R596</v>
      </c>
      <c r="M796" s="223">
        <f>IFERROR(INDEX('Green_rooibos initial weight'!$C$5:$C$2000,MATCH(L796, 'Green_rooibos initial weight'!$A$5:$A$2000,0)),"")</f>
        <v>2.1749999999999998</v>
      </c>
      <c r="N796" s="223">
        <f>IFERROR(M796-(TBIcalc!$H$9+TBIcalc!$H$10),"")</f>
        <v>1.9251999999999998</v>
      </c>
      <c r="O796" s="378">
        <f>AVERAGE(Ashed_controlls!$K$2:$K$11)</f>
        <v>5.5147656768714146</v>
      </c>
      <c r="P796" s="223">
        <f t="shared" si="61"/>
        <v>1.8190297311888712</v>
      </c>
      <c r="Q796" s="223">
        <f>IFERROR(INDEX('Both teabags AfterWet'!$C$3:$C$840,MATCH(L796,'Both teabags AfterWet'!$A$3:$A$840,0)),"")</f>
        <v>1.512</v>
      </c>
      <c r="R796" s="223">
        <f>IFERROR(IF(Q796&gt;0,Q796-(TBIcalc!$H$9),""),"")</f>
        <v>1.3613999999999999</v>
      </c>
      <c r="S796" s="223">
        <f>IFERROR(INDEX('Ashed teabags wet'!$K$2:$K$2000,MATCH(L796,'Ashed teabags wet'!$A$2:$A$2000,0)),"")</f>
        <v>6.95609274790369</v>
      </c>
      <c r="T796" s="223">
        <f t="shared" si="62"/>
        <v>1.266699753330039</v>
      </c>
      <c r="U796" s="224">
        <f>'WetLitterbags placem_collection'!E137</f>
        <v>42762</v>
      </c>
      <c r="V796" s="224">
        <f>IF('WetLitterbags placem_collection'!G137="","",'WetLitterbags placem_collection'!G137)</f>
        <v>42816</v>
      </c>
      <c r="W796" s="225">
        <f t="shared" si="60"/>
        <v>54</v>
      </c>
      <c r="X796" s="223">
        <f t="shared" si="63"/>
        <v>0.56379999999999986</v>
      </c>
      <c r="Y796" s="223">
        <f t="shared" si="64"/>
        <v>0.5523299778588322</v>
      </c>
      <c r="Z796">
        <f>IFERROR(INDEX([1]Rainfall_Wet!$O$2:$O$217,MATCH(C796, [1]Rainfall_Wet!$A$2:$A$217,0)),"")</f>
        <v>206.85140822299999</v>
      </c>
      <c r="AA796" s="226">
        <v>31.214836424255054</v>
      </c>
      <c r="AB796" s="226">
        <v>11.377370285476141</v>
      </c>
      <c r="AC796" s="226">
        <v>57.407793290268799</v>
      </c>
      <c r="AD796" s="227" t="s">
        <v>2651</v>
      </c>
      <c r="AE796" s="226">
        <v>7.7337604731394798</v>
      </c>
      <c r="AF796">
        <f>IF('WetLitterbags placem_collection'!AB137="","",'WetLitterbags placem_collection'!AB137)</f>
        <v>2.1</v>
      </c>
      <c r="AG796">
        <f>IF('WetLitterbags placem_collection'!Z137="","",'WetLitterbags placem_collection'!Z137)</f>
        <v>5.6</v>
      </c>
      <c r="AH796" s="236" t="str">
        <f>IF('WetLitterbags placem_collection'!AA137="","",'WetLitterbags placem_collection'!AA137)</f>
        <v>O</v>
      </c>
      <c r="AI796">
        <f>IF('WetLitterbags placem_collection'!AC137="","",'WetLitterbags placem_collection'!AC137)</f>
        <v>1</v>
      </c>
      <c r="AJ796">
        <f>AVERAGE('WetLitterbags placem_collection'!S137,'WetLitterbags placem_collection'!U137)</f>
        <v>14.5</v>
      </c>
      <c r="AK796">
        <f>AVERAGE('WetLitterbags placem_collection'!R137,'WetLitterbags placem_collection'!T137)</f>
        <v>29.65</v>
      </c>
      <c r="AL796">
        <f>INDEX([2]Coordinates!$B$2:$B$197,MATCH(I796,[2]Coordinates!$J$2:$J$197,0))</f>
        <v>-2.3503589909999998</v>
      </c>
      <c r="AM796">
        <f>INDEX([2]Coordinates!$C$2:$C$197,MATCH(I796,[2]Coordinates!$J$2:$J$197,0))</f>
        <v>34.049719000000003</v>
      </c>
      <c r="AN796" t="str">
        <f>IF(ISNUMBER(SEARCH("C", 'WetLitterbags placem_collection'!$Y137)),"YES","NO")</f>
        <v>NO</v>
      </c>
      <c r="AO796" t="str">
        <f>IF(ISNUMBER(SEARCH("H", 'WetLitterbags placem_collection'!$Y137)),"YES","NO")</f>
        <v>NO</v>
      </c>
      <c r="AP796" t="str">
        <f>IF(ISNUMBER(SEARCH("R", 'WetLitterbags placem_collection'!$Y137)),"YES","NO")</f>
        <v>NO</v>
      </c>
    </row>
    <row r="797" spans="1:42" ht="15" customHeight="1">
      <c r="A797" t="s">
        <v>3248</v>
      </c>
      <c r="B797" s="248" t="s">
        <v>2454</v>
      </c>
      <c r="C797" s="253">
        <f>'Dry_Litterbag Placem_Collection'!A138</f>
        <v>136</v>
      </c>
      <c r="D797" s="253" t="str">
        <f>'Dry_Litterbag Placem_Collection'!B138</f>
        <v xml:space="preserve">Mwantimba
</v>
      </c>
      <c r="E797" s="253" t="s">
        <v>2454</v>
      </c>
      <c r="F797" s="253" t="s">
        <v>20</v>
      </c>
      <c r="G797" s="253">
        <v>1</v>
      </c>
      <c r="H797" s="253" t="s">
        <v>3121</v>
      </c>
      <c r="I797" s="254" t="str">
        <f>'Dry_Litterbag Placem_Collection'!C138</f>
        <v>Wet_P1_T8</v>
      </c>
      <c r="J797" s="263" t="s">
        <v>2932</v>
      </c>
      <c r="K797" s="264" t="s">
        <v>298</v>
      </c>
      <c r="L797" s="221" t="str">
        <f>'WetLitterbags placem_collection'!Q138</f>
        <v>R543</v>
      </c>
      <c r="M797" s="223">
        <f>IFERROR(INDEX('Green_rooibos initial weight'!$C$5:$C$2000,MATCH(L797, 'Green_rooibos initial weight'!$A$5:$A$2000,0)),"")</f>
        <v>2.2730000000000001</v>
      </c>
      <c r="N797" s="223">
        <f>IFERROR(M797-(TBIcalc!$H$9+TBIcalc!$H$10),"")</f>
        <v>2.0232000000000001</v>
      </c>
      <c r="O797" s="378">
        <f>AVERAGE(Ashed_controlls!$K$2:$K$11)</f>
        <v>5.5147656768714146</v>
      </c>
      <c r="P797" s="223">
        <f t="shared" si="61"/>
        <v>1.9116252608255377</v>
      </c>
      <c r="Q797" s="223">
        <f>IFERROR(INDEX('Both teabags AfterWet'!$C$3:$C$840,MATCH(L797,'Both teabags AfterWet'!$A$3:$A$840,0)),"")</f>
        <v>1.5604</v>
      </c>
      <c r="R797" s="223">
        <f>IFERROR(IF(Q797&gt;0,Q797-(TBIcalc!$H$9),""),"")</f>
        <v>1.4097999999999999</v>
      </c>
      <c r="S797" s="223">
        <f>IFERROR(INDEX('Ashed teabags wet'!$K$2:$K$2000,MATCH(L797,'Ashed teabags wet'!$A$2:$A$2000,0)),"")</f>
        <v>6.5917968749991243</v>
      </c>
      <c r="T797" s="223">
        <f t="shared" si="62"/>
        <v>1.3168688476562622</v>
      </c>
      <c r="U797" s="224">
        <f>'WetLitterbags placem_collection'!E138</f>
        <v>42762</v>
      </c>
      <c r="V797" s="224">
        <f>IF('WetLitterbags placem_collection'!G138="","",'WetLitterbags placem_collection'!G138)</f>
        <v>42816</v>
      </c>
      <c r="W797" s="225">
        <f t="shared" si="60"/>
        <v>54</v>
      </c>
      <c r="X797" s="223">
        <f t="shared" si="63"/>
        <v>0.61340000000000017</v>
      </c>
      <c r="Y797" s="223">
        <f t="shared" si="64"/>
        <v>0.59475641316927552</v>
      </c>
      <c r="Z797">
        <f>IFERROR(INDEX([1]Rainfall_Wet!$O$2:$O$217,MATCH(C797, [1]Rainfall_Wet!$A$2:$A$217,0)),"")</f>
        <v>206.85140822299999</v>
      </c>
      <c r="AA797" s="226">
        <v>31.214836424255054</v>
      </c>
      <c r="AB797" s="226">
        <v>11.377370285476141</v>
      </c>
      <c r="AC797" s="226">
        <v>57.407793290268799</v>
      </c>
      <c r="AD797" s="227" t="s">
        <v>2651</v>
      </c>
      <c r="AE797" s="226">
        <v>8.7337604731394798</v>
      </c>
      <c r="AF797">
        <f>IF('WetLitterbags placem_collection'!AB138="","",'WetLitterbags placem_collection'!AB138)</f>
        <v>2.2999999999999998</v>
      </c>
      <c r="AG797">
        <f>IF('WetLitterbags placem_collection'!Z138="","",'WetLitterbags placem_collection'!Z138)</f>
        <v>16.3</v>
      </c>
      <c r="AH797" s="236" t="str">
        <f>IF('WetLitterbags placem_collection'!AA138="","",'WetLitterbags placem_collection'!AA138)</f>
        <v>G</v>
      </c>
      <c r="AI797">
        <f>IF('WetLitterbags placem_collection'!AC138="","",'WetLitterbags placem_collection'!AC138)</f>
        <v>1</v>
      </c>
      <c r="AJ797">
        <f>AVERAGE('WetLitterbags placem_collection'!S138,'WetLitterbags placem_collection'!U138)</f>
        <v>14.65</v>
      </c>
      <c r="AK797">
        <f>AVERAGE('WetLitterbags placem_collection'!R138,'WetLitterbags placem_collection'!T138)</f>
        <v>30.6</v>
      </c>
      <c r="AL797">
        <f>INDEX([2]Coordinates!$B$2:$B$197,MATCH(I797,[2]Coordinates!$J$2:$J$197,0))</f>
        <v>-2.3502159960000002</v>
      </c>
      <c r="AM797">
        <f>INDEX([2]Coordinates!$C$2:$C$197,MATCH(I797,[2]Coordinates!$J$2:$J$197,0))</f>
        <v>34.049822020000001</v>
      </c>
      <c r="AN797" t="str">
        <f>IF(ISNUMBER(SEARCH("C", 'WetLitterbags placem_collection'!$Y138)),"YES","NO")</f>
        <v>NO</v>
      </c>
      <c r="AO797" t="str">
        <f>IF(ISNUMBER(SEARCH("H", 'WetLitterbags placem_collection'!$Y138)),"YES","NO")</f>
        <v>NO</v>
      </c>
      <c r="AP797" t="str">
        <f>IF(ISNUMBER(SEARCH("R", 'WetLitterbags placem_collection'!$Y138)),"YES","NO")</f>
        <v>YES</v>
      </c>
    </row>
    <row r="798" spans="1:42" ht="15" customHeight="1">
      <c r="A798" t="s">
        <v>3248</v>
      </c>
      <c r="B798" s="248" t="s">
        <v>2454</v>
      </c>
      <c r="C798" s="253">
        <f>'Dry_Litterbag Placem_Collection'!A139</f>
        <v>137</v>
      </c>
      <c r="D798" s="253" t="str">
        <f>'Dry_Litterbag Placem_Collection'!B139</f>
        <v xml:space="preserve">Mwantimba
</v>
      </c>
      <c r="E798" s="253" t="s">
        <v>2454</v>
      </c>
      <c r="F798" s="253" t="s">
        <v>20</v>
      </c>
      <c r="G798" s="253">
        <v>2</v>
      </c>
      <c r="H798" s="253" t="s">
        <v>3123</v>
      </c>
      <c r="I798" s="254" t="str">
        <f>'Dry_Litterbag Placem_Collection'!C139</f>
        <v>Wet_P2_T1</v>
      </c>
      <c r="J798" s="263" t="s">
        <v>2932</v>
      </c>
      <c r="K798" s="264" t="s">
        <v>298</v>
      </c>
      <c r="L798" s="221" t="str">
        <f>'WetLitterbags placem_collection'!Q139</f>
        <v>R483</v>
      </c>
      <c r="M798" s="223">
        <f>IFERROR(INDEX('Green_rooibos initial weight'!$C$5:$C$2000,MATCH(L798, 'Green_rooibos initial weight'!$A$5:$A$2000,0)),"")</f>
        <v>2.1970000000000001</v>
      </c>
      <c r="N798" s="223">
        <f>IFERROR(M798-(TBIcalc!$H$9+TBIcalc!$H$10),"")</f>
        <v>1.9472</v>
      </c>
      <c r="O798" s="378">
        <f>AVERAGE(Ashed_controlls!$K$2:$K$11)</f>
        <v>5.5147656768714146</v>
      </c>
      <c r="P798" s="223">
        <f t="shared" si="61"/>
        <v>1.8398164827399599</v>
      </c>
      <c r="Q798" s="223">
        <f>IFERROR(INDEX('Both teabags AfterWet'!$C$3:$C$840,MATCH(L798,'Both teabags AfterWet'!$A$3:$A$840,0)),"")</f>
        <v>1.778</v>
      </c>
      <c r="R798" s="223">
        <f>IFERROR(IF(Q798&gt;0,Q798-(TBIcalc!$H$9),""),"")</f>
        <v>1.6274</v>
      </c>
      <c r="S798" s="223">
        <f>IFERROR(INDEX('Ashed teabags wet'!$K$2:$K$2000,MATCH(L798,'Ashed teabags wet'!$A$2:$A$2000,0)),"")</f>
        <v>11.371400683259917</v>
      </c>
      <c r="T798" s="223">
        <f t="shared" si="62"/>
        <v>1.4423418252806282</v>
      </c>
      <c r="U798" s="224">
        <f>'WetLitterbags placem_collection'!E139</f>
        <v>42762</v>
      </c>
      <c r="V798" s="224">
        <f>IF('WetLitterbags placem_collection'!G139="","",'WetLitterbags placem_collection'!G139)</f>
        <v>42816</v>
      </c>
      <c r="W798" s="225">
        <f t="shared" si="60"/>
        <v>54</v>
      </c>
      <c r="X798" s="223">
        <f t="shared" si="63"/>
        <v>0.31980000000000008</v>
      </c>
      <c r="Y798" s="223">
        <f t="shared" si="64"/>
        <v>0.39747465745933175</v>
      </c>
      <c r="Z798">
        <f>IFERROR(INDEX([1]Rainfall_Wet!$O$2:$O$217,MATCH(C798, [1]Rainfall_Wet!$A$2:$A$217,0)),"")</f>
        <v>206.85140822299999</v>
      </c>
      <c r="AA798" s="226">
        <v>33.96</v>
      </c>
      <c r="AB798" s="226">
        <v>8.9200000000000017</v>
      </c>
      <c r="AC798" s="226">
        <v>57.12</v>
      </c>
      <c r="AD798" s="227" t="s">
        <v>2651</v>
      </c>
      <c r="AE798" s="226">
        <v>2.072055199605717</v>
      </c>
      <c r="AF798">
        <f>IF('WetLitterbags placem_collection'!AB139="","",'WetLitterbags placem_collection'!AB139)</f>
        <v>1.2</v>
      </c>
      <c r="AG798">
        <f>IF('WetLitterbags placem_collection'!Z139="","",'WetLitterbags placem_collection'!Z139)</f>
        <v>32.4</v>
      </c>
      <c r="AH798" s="236" t="str">
        <f>IF('WetLitterbags placem_collection'!AA139="","",'WetLitterbags placem_collection'!AA139)</f>
        <v>G</v>
      </c>
      <c r="AI798">
        <f>IF('WetLitterbags placem_collection'!AC139="","",'WetLitterbags placem_collection'!AC139)</f>
        <v>1</v>
      </c>
      <c r="AJ798">
        <f>AVERAGE('WetLitterbags placem_collection'!S139,'WetLitterbags placem_collection'!U139)</f>
        <v>15.5</v>
      </c>
      <c r="AK798">
        <f>AVERAGE('WetLitterbags placem_collection'!R139,'WetLitterbags placem_collection'!T139)</f>
        <v>28.5</v>
      </c>
      <c r="AL798">
        <f>INDEX([2]Coordinates!$B$2:$B$197,MATCH(I798,[2]Coordinates!$J$2:$J$197,0))</f>
        <v>-2.348596025</v>
      </c>
      <c r="AM798">
        <f>INDEX([2]Coordinates!$C$2:$C$197,MATCH(I798,[2]Coordinates!$J$2:$J$197,0))</f>
        <v>34.050070959999999</v>
      </c>
      <c r="AN798" t="str">
        <f>IF(ISNUMBER(SEARCH("C", 'WetLitterbags placem_collection'!$Y139)),"YES","NO")</f>
        <v>NO</v>
      </c>
      <c r="AO798" t="str">
        <f>IF(ISNUMBER(SEARCH("H", 'WetLitterbags placem_collection'!$Y139)),"YES","NO")</f>
        <v>NO</v>
      </c>
      <c r="AP798" t="str">
        <f>IF(ISNUMBER(SEARCH("R", 'WetLitterbags placem_collection'!$Y139)),"YES","NO")</f>
        <v>NO</v>
      </c>
    </row>
    <row r="799" spans="1:42" ht="15" customHeight="1">
      <c r="A799" t="s">
        <v>3248</v>
      </c>
      <c r="B799" s="248" t="s">
        <v>2454</v>
      </c>
      <c r="C799" s="253">
        <f>'Dry_Litterbag Placem_Collection'!A140</f>
        <v>138</v>
      </c>
      <c r="D799" s="253" t="str">
        <f>'Dry_Litterbag Placem_Collection'!B140</f>
        <v xml:space="preserve">Mwantimba
</v>
      </c>
      <c r="E799" s="253" t="s">
        <v>2454</v>
      </c>
      <c r="F799" s="253" t="s">
        <v>20</v>
      </c>
      <c r="G799" s="253">
        <v>2</v>
      </c>
      <c r="H799" s="253" t="s">
        <v>3123</v>
      </c>
      <c r="I799" s="254" t="str">
        <f>'Dry_Litterbag Placem_Collection'!C140</f>
        <v>Wet_P2_T2</v>
      </c>
      <c r="J799" s="263" t="s">
        <v>2932</v>
      </c>
      <c r="K799" s="264" t="s">
        <v>298</v>
      </c>
      <c r="L799" s="221" t="str">
        <f>'WetLitterbags placem_collection'!Q140</f>
        <v>R21</v>
      </c>
      <c r="M799" s="223">
        <f>IFERROR(INDEX('Green_rooibos initial weight'!$C$5:$C$2000,MATCH(L799, 'Green_rooibos initial weight'!$A$5:$A$2000,0)),"")</f>
        <v>2.0249999999999999</v>
      </c>
      <c r="N799" s="223">
        <f>IFERROR(M799-(TBIcalc!$H$9+TBIcalc!$H$10),"")</f>
        <v>1.7751999999999999</v>
      </c>
      <c r="O799" s="378">
        <f>AVERAGE(Ashed_controlls!$K$2:$K$11)</f>
        <v>5.5147656768714146</v>
      </c>
      <c r="P799" s="223">
        <f t="shared" si="61"/>
        <v>1.6773018797041785</v>
      </c>
      <c r="Q799" s="223">
        <f>IFERROR(INDEX('Both teabags AfterWet'!$C$3:$C$840,MATCH(L799,'Both teabags AfterWet'!$A$3:$A$840,0)),"")</f>
        <v>1.522</v>
      </c>
      <c r="R799" s="223">
        <f>IFERROR(IF(Q799&gt;0,Q799-(TBIcalc!$H$9),""),"")</f>
        <v>1.3714</v>
      </c>
      <c r="S799" s="223">
        <f>IFERROR(INDEX('Ashed teabags wet'!$K$2:$K$2000,MATCH(L799,'Ashed teabags wet'!$A$2:$A$2000,0)),"")</f>
        <v>5.1369863013697721</v>
      </c>
      <c r="T799" s="223">
        <f t="shared" si="62"/>
        <v>1.3009513698630149</v>
      </c>
      <c r="U799" s="224">
        <f>'WetLitterbags placem_collection'!E140</f>
        <v>42762</v>
      </c>
      <c r="V799" s="224">
        <f>IF('WetLitterbags placem_collection'!G140="","",'WetLitterbags placem_collection'!G140)</f>
        <v>42816</v>
      </c>
      <c r="W799" s="225">
        <f t="shared" si="60"/>
        <v>54</v>
      </c>
      <c r="X799" s="223">
        <f t="shared" si="63"/>
        <v>0.40379999999999994</v>
      </c>
      <c r="Y799" s="223">
        <f t="shared" si="64"/>
        <v>0.37635050984116369</v>
      </c>
      <c r="Z799">
        <f>IFERROR(INDEX([1]Rainfall_Wet!$O$2:$O$217,MATCH(C799, [1]Rainfall_Wet!$A$2:$A$217,0)),"")</f>
        <v>206.85140822299999</v>
      </c>
      <c r="AA799" s="226">
        <v>33.96</v>
      </c>
      <c r="AB799" s="226">
        <v>8.9200000000000017</v>
      </c>
      <c r="AC799" s="226">
        <v>57.12</v>
      </c>
      <c r="AD799" s="227" t="s">
        <v>2651</v>
      </c>
      <c r="AE799" s="226">
        <v>3.0720551996057202</v>
      </c>
      <c r="AF799">
        <f>IF('WetLitterbags placem_collection'!AB140="","",'WetLitterbags placem_collection'!AB140)</f>
        <v>2.8</v>
      </c>
      <c r="AG799">
        <f>IF('WetLitterbags placem_collection'!Z140="","",'WetLitterbags placem_collection'!Z140)</f>
        <v>26.4</v>
      </c>
      <c r="AH799" s="236" t="str">
        <f>IF('WetLitterbags placem_collection'!AA140="","",'WetLitterbags placem_collection'!AA140)</f>
        <v>G</v>
      </c>
      <c r="AI799">
        <f>IF('WetLitterbags placem_collection'!AC140="","",'WetLitterbags placem_collection'!AC140)</f>
        <v>1</v>
      </c>
      <c r="AJ799">
        <f>AVERAGE('WetLitterbags placem_collection'!S140,'WetLitterbags placem_collection'!U140)</f>
        <v>15.5</v>
      </c>
      <c r="AK799">
        <f>AVERAGE('WetLitterbags placem_collection'!R140,'WetLitterbags placem_collection'!T140)</f>
        <v>29.35</v>
      </c>
      <c r="AL799">
        <f>INDEX([2]Coordinates!$B$2:$B$197,MATCH(I799,[2]Coordinates!$J$2:$J$197,0))</f>
        <v>-2.3485449790000001</v>
      </c>
      <c r="AM799">
        <f>INDEX([2]Coordinates!$C$2:$C$197,MATCH(I799,[2]Coordinates!$J$2:$J$197,0))</f>
        <v>34.050146980000001</v>
      </c>
      <c r="AN799" t="str">
        <f>IF(ISNUMBER(SEARCH("C", 'WetLitterbags placem_collection'!$Y140)),"YES","NO")</f>
        <v>NO</v>
      </c>
      <c r="AO799" t="str">
        <f>IF(ISNUMBER(SEARCH("H", 'WetLitterbags placem_collection'!$Y140)),"YES","NO")</f>
        <v>NO</v>
      </c>
      <c r="AP799" t="str">
        <f>IF(ISNUMBER(SEARCH("R", 'WetLitterbags placem_collection'!$Y140)),"YES","NO")</f>
        <v>NO</v>
      </c>
    </row>
    <row r="800" spans="1:42" ht="15" customHeight="1">
      <c r="A800" t="s">
        <v>3248</v>
      </c>
      <c r="B800" s="248" t="s">
        <v>2454</v>
      </c>
      <c r="C800" s="253">
        <f>'Dry_Litterbag Placem_Collection'!A141</f>
        <v>139</v>
      </c>
      <c r="D800" s="253" t="str">
        <f>'Dry_Litterbag Placem_Collection'!B141</f>
        <v xml:space="preserve">Mwantimba
</v>
      </c>
      <c r="E800" s="253" t="s">
        <v>2454</v>
      </c>
      <c r="F800" s="253" t="s">
        <v>20</v>
      </c>
      <c r="G800" s="253">
        <v>2</v>
      </c>
      <c r="H800" s="253" t="s">
        <v>3123</v>
      </c>
      <c r="I800" s="254" t="str">
        <f>'Dry_Litterbag Placem_Collection'!C141</f>
        <v>Wet_P2_T3</v>
      </c>
      <c r="J800" s="263" t="s">
        <v>2932</v>
      </c>
      <c r="K800" s="264" t="s">
        <v>298</v>
      </c>
      <c r="L800" s="221" t="str">
        <f>'WetLitterbags placem_collection'!Q141</f>
        <v>R538</v>
      </c>
      <c r="M800" s="223">
        <f>IFERROR(INDEX('Green_rooibos initial weight'!$C$5:$C$2000,MATCH(L800, 'Green_rooibos initial weight'!$A$5:$A$2000,0)),"")</f>
        <v>2.2000000000000002</v>
      </c>
      <c r="N800" s="223">
        <f>IFERROR(M800-(TBIcalc!$H$9+TBIcalc!$H$10),"")</f>
        <v>1.9502000000000002</v>
      </c>
      <c r="O800" s="378">
        <f>AVERAGE(Ashed_controlls!$K$2:$K$11)</f>
        <v>5.5147656768714146</v>
      </c>
      <c r="P800" s="223">
        <f t="shared" si="61"/>
        <v>1.8426510397696538</v>
      </c>
      <c r="Q800" s="223">
        <f>IFERROR(INDEX('Both teabags AfterWet'!$C$3:$C$840,MATCH(L800,'Both teabags AfterWet'!$A$3:$A$840,0)),"")</f>
        <v>1.415</v>
      </c>
      <c r="R800" s="223">
        <f>IFERROR(IF(Q800&gt;0,Q800-(TBIcalc!$H$9),""),"")</f>
        <v>1.2644</v>
      </c>
      <c r="S800" s="223">
        <f>IFERROR(INDEX('Ashed teabags wet'!$K$2:$K$2000,MATCH(L800,'Ashed teabags wet'!$A$2:$A$2000,0)),"")</f>
        <v>10.337972166998611</v>
      </c>
      <c r="T800" s="223">
        <f t="shared" si="62"/>
        <v>1.1336866799204695</v>
      </c>
      <c r="U800" s="224">
        <f>'WetLitterbags placem_collection'!E141</f>
        <v>42762</v>
      </c>
      <c r="V800" s="224">
        <f>IF('WetLitterbags placem_collection'!G141="","",'WetLitterbags placem_collection'!G141)</f>
        <v>42816</v>
      </c>
      <c r="W800" s="225">
        <f t="shared" si="60"/>
        <v>54</v>
      </c>
      <c r="X800" s="223">
        <f t="shared" si="63"/>
        <v>0.68580000000000019</v>
      </c>
      <c r="Y800" s="223">
        <f t="shared" si="64"/>
        <v>0.70896435984918438</v>
      </c>
      <c r="Z800">
        <f>IFERROR(INDEX([1]Rainfall_Wet!$O$2:$O$217,MATCH(C800, [1]Rainfall_Wet!$A$2:$A$217,0)),"")</f>
        <v>206.85140822299999</v>
      </c>
      <c r="AA800" s="226">
        <v>33.96</v>
      </c>
      <c r="AB800" s="226">
        <v>8.9200000000000017</v>
      </c>
      <c r="AC800" s="226">
        <v>57.12</v>
      </c>
      <c r="AD800" s="227" t="s">
        <v>2651</v>
      </c>
      <c r="AE800" s="226">
        <v>4.0720551996057202</v>
      </c>
      <c r="AF800">
        <f>IF('WetLitterbags placem_collection'!AB141="","",'WetLitterbags placem_collection'!AB141)</f>
        <v>5.7</v>
      </c>
      <c r="AG800">
        <f>IF('WetLitterbags placem_collection'!Z141="","",'WetLitterbags placem_collection'!Z141)</f>
        <v>19.399999999999999</v>
      </c>
      <c r="AH800" s="236" t="str">
        <f>IF('WetLitterbags placem_collection'!AA141="","",'WetLitterbags placem_collection'!AA141)</f>
        <v>G</v>
      </c>
      <c r="AI800">
        <f>IF('WetLitterbags placem_collection'!AC141="","",'WetLitterbags placem_collection'!AC141)</f>
        <v>1</v>
      </c>
      <c r="AJ800">
        <f>AVERAGE('WetLitterbags placem_collection'!S141,'WetLitterbags placem_collection'!U141)</f>
        <v>16.850000000000001</v>
      </c>
      <c r="AK800">
        <f>AVERAGE('WetLitterbags placem_collection'!R141,'WetLitterbags placem_collection'!T141)</f>
        <v>28.65</v>
      </c>
      <c r="AL800">
        <f>INDEX([2]Coordinates!$B$2:$B$197,MATCH(I800,[2]Coordinates!$J$2:$J$197,0))</f>
        <v>-2.3487209990000002</v>
      </c>
      <c r="AM800">
        <f>INDEX([2]Coordinates!$C$2:$C$197,MATCH(I800,[2]Coordinates!$J$2:$J$197,0))</f>
        <v>34.050128039999997</v>
      </c>
      <c r="AN800" t="str">
        <f>IF(ISNUMBER(SEARCH("C", 'WetLitterbags placem_collection'!$Y141)),"YES","NO")</f>
        <v>NO</v>
      </c>
      <c r="AO800" t="str">
        <f>IF(ISNUMBER(SEARCH("H", 'WetLitterbags placem_collection'!$Y141)),"YES","NO")</f>
        <v>NO</v>
      </c>
      <c r="AP800" t="str">
        <f>IF(ISNUMBER(SEARCH("R", 'WetLitterbags placem_collection'!$Y141)),"YES","NO")</f>
        <v>NO</v>
      </c>
    </row>
    <row r="801" spans="1:42" ht="15" customHeight="1">
      <c r="A801" t="s">
        <v>3248</v>
      </c>
      <c r="B801" s="248" t="s">
        <v>2454</v>
      </c>
      <c r="C801" s="253">
        <f>'Dry_Litterbag Placem_Collection'!A142</f>
        <v>140</v>
      </c>
      <c r="D801" s="253" t="str">
        <f>'Dry_Litterbag Placem_Collection'!B142</f>
        <v xml:space="preserve">Mwantimba
</v>
      </c>
      <c r="E801" s="253" t="s">
        <v>2454</v>
      </c>
      <c r="F801" s="253" t="s">
        <v>20</v>
      </c>
      <c r="G801" s="253">
        <v>2</v>
      </c>
      <c r="H801" s="253" t="s">
        <v>3123</v>
      </c>
      <c r="I801" s="254" t="str">
        <f>'Dry_Litterbag Placem_Collection'!C142</f>
        <v>Wet_P2_T4</v>
      </c>
      <c r="J801" s="263" t="s">
        <v>2932</v>
      </c>
      <c r="K801" s="264" t="s">
        <v>298</v>
      </c>
      <c r="L801" s="221" t="str">
        <f>'WetLitterbags placem_collection'!Q142</f>
        <v>R559</v>
      </c>
      <c r="M801" s="223">
        <f>IFERROR(INDEX('Green_rooibos initial weight'!$C$5:$C$2000,MATCH(L801, 'Green_rooibos initial weight'!$A$5:$A$2000,0)),"")</f>
        <v>2.161</v>
      </c>
      <c r="N801" s="223">
        <f>IFERROR(M801-(TBIcalc!$H$9+TBIcalc!$H$10),"")</f>
        <v>1.9112</v>
      </c>
      <c r="O801" s="378">
        <f>AVERAGE(Ashed_controlls!$K$2:$K$11)</f>
        <v>5.5147656768714146</v>
      </c>
      <c r="P801" s="223">
        <f t="shared" si="61"/>
        <v>1.8058017983836336</v>
      </c>
      <c r="Q801" s="223">
        <f>IFERROR(INDEX('Both teabags AfterWet'!$C$3:$C$840,MATCH(L801,'Both teabags AfterWet'!$A$3:$A$840,0)),"")</f>
        <v>1.6634</v>
      </c>
      <c r="R801" s="223">
        <f>IFERROR(IF(Q801&gt;0,Q801-(TBIcalc!$H$9),""),"")</f>
        <v>1.5127999999999999</v>
      </c>
      <c r="S801" s="223">
        <f>IFERROR(INDEX('Ashed teabags wet'!$K$2:$K$2000,MATCH(L801,'Ashed teabags wet'!$A$2:$A$2000,0)),"")</f>
        <v>11.767508337303465</v>
      </c>
      <c r="T801" s="223">
        <f t="shared" si="62"/>
        <v>1.3347811338732731</v>
      </c>
      <c r="U801" s="224">
        <f>'WetLitterbags placem_collection'!E142</f>
        <v>42762</v>
      </c>
      <c r="V801" s="224">
        <f>IF('WetLitterbags placem_collection'!G142="","",'WetLitterbags placem_collection'!G142)</f>
        <v>42816</v>
      </c>
      <c r="W801" s="225">
        <f t="shared" si="60"/>
        <v>54</v>
      </c>
      <c r="X801" s="223">
        <f t="shared" si="63"/>
        <v>0.39840000000000009</v>
      </c>
      <c r="Y801" s="223">
        <f t="shared" si="64"/>
        <v>0.47102066451036051</v>
      </c>
      <c r="Z801">
        <f>IFERROR(INDEX([1]Rainfall_Wet!$O$2:$O$217,MATCH(C801, [1]Rainfall_Wet!$A$2:$A$217,0)),"")</f>
        <v>206.85140822299999</v>
      </c>
      <c r="AA801" s="226">
        <v>33.96</v>
      </c>
      <c r="AB801" s="226">
        <v>8.9200000000000017</v>
      </c>
      <c r="AC801" s="226">
        <v>57.12</v>
      </c>
      <c r="AD801" s="227" t="s">
        <v>2651</v>
      </c>
      <c r="AE801" s="226">
        <v>5.0720551996057202</v>
      </c>
      <c r="AF801">
        <f>IF('WetLitterbags placem_collection'!AB142="","",'WetLitterbags placem_collection'!AB142)</f>
        <v>1.4</v>
      </c>
      <c r="AG801">
        <f>IF('WetLitterbags placem_collection'!Z142="","",'WetLitterbags placem_collection'!Z142)</f>
        <v>33.4</v>
      </c>
      <c r="AH801" s="236" t="str">
        <f>IF('WetLitterbags placem_collection'!AA142="","",'WetLitterbags placem_collection'!AA142)</f>
        <v>G</v>
      </c>
      <c r="AI801">
        <f>IF('WetLitterbags placem_collection'!AC142="","",'WetLitterbags placem_collection'!AC142)</f>
        <v>1</v>
      </c>
      <c r="AJ801">
        <f>AVERAGE('WetLitterbags placem_collection'!S142,'WetLitterbags placem_collection'!U142)</f>
        <v>11.55</v>
      </c>
      <c r="AK801">
        <f>AVERAGE('WetLitterbags placem_collection'!R142,'WetLitterbags placem_collection'!T142)</f>
        <v>30.85</v>
      </c>
      <c r="AL801">
        <f>INDEX([2]Coordinates!$B$2:$B$197,MATCH(I801,[2]Coordinates!$J$2:$J$197,0))</f>
        <v>-2.3486250270000002</v>
      </c>
      <c r="AM801">
        <f>INDEX([2]Coordinates!$C$2:$C$197,MATCH(I801,[2]Coordinates!$J$2:$J$197,0))</f>
        <v>34.050070959999999</v>
      </c>
      <c r="AN801" t="str">
        <f>IF(ISNUMBER(SEARCH("C", 'WetLitterbags placem_collection'!$Y142)),"YES","NO")</f>
        <v>NO</v>
      </c>
      <c r="AO801" t="str">
        <f>IF(ISNUMBER(SEARCH("H", 'WetLitterbags placem_collection'!$Y142)),"YES","NO")</f>
        <v>NO</v>
      </c>
      <c r="AP801" t="str">
        <f>IF(ISNUMBER(SEARCH("R", 'WetLitterbags placem_collection'!$Y142)),"YES","NO")</f>
        <v>NO</v>
      </c>
    </row>
    <row r="802" spans="1:42" ht="15" customHeight="1">
      <c r="A802" t="s">
        <v>3248</v>
      </c>
      <c r="B802" s="248" t="s">
        <v>2454</v>
      </c>
      <c r="C802" s="253">
        <f>'Dry_Litterbag Placem_Collection'!A143</f>
        <v>141</v>
      </c>
      <c r="D802" s="253" t="str">
        <f>'Dry_Litterbag Placem_Collection'!B143</f>
        <v xml:space="preserve">Mwantimba
</v>
      </c>
      <c r="E802" s="253" t="s">
        <v>2454</v>
      </c>
      <c r="F802" s="253" t="s">
        <v>20</v>
      </c>
      <c r="G802" s="253">
        <v>2</v>
      </c>
      <c r="H802" s="253" t="s">
        <v>3123</v>
      </c>
      <c r="I802" s="254" t="str">
        <f>'Dry_Litterbag Placem_Collection'!C143</f>
        <v>Wet_P2_T5</v>
      </c>
      <c r="J802" s="263" t="s">
        <v>2932</v>
      </c>
      <c r="K802" s="264" t="s">
        <v>298</v>
      </c>
      <c r="L802" s="221" t="str">
        <f>'WetLitterbags placem_collection'!Q143</f>
        <v>R465</v>
      </c>
      <c r="M802" s="223">
        <f>IFERROR(INDEX('Green_rooibos initial weight'!$C$5:$C$2000,MATCH(L802, 'Green_rooibos initial weight'!$A$5:$A$2000,0)),"")</f>
        <v>2.206</v>
      </c>
      <c r="N802" s="223">
        <f>IFERROR(M802-(TBIcalc!$H$9+TBIcalc!$H$10),"")</f>
        <v>1.9561999999999999</v>
      </c>
      <c r="O802" s="378">
        <f>AVERAGE(Ashed_controlls!$K$2:$K$11)</f>
        <v>5.5147656768714146</v>
      </c>
      <c r="P802" s="223">
        <f t="shared" si="61"/>
        <v>1.8483201538290412</v>
      </c>
      <c r="Q802" s="223">
        <f>IFERROR(INDEX('Both teabags AfterWet'!$C$3:$C$840,MATCH(L802,'Both teabags AfterWet'!$A$3:$A$840,0)),"")</f>
        <v>1.6759999999999999</v>
      </c>
      <c r="R802" s="223">
        <f>IFERROR(IF(Q802&gt;0,Q802-(TBIcalc!$H$9),""),"")</f>
        <v>1.5253999999999999</v>
      </c>
      <c r="S802" s="223">
        <f>IFERROR(INDEX('Ashed teabags wet'!$K$2:$K$2000,MATCH(L802,'Ashed teabags wet'!$A$2:$A$2000,0)),"")</f>
        <v>2.2604422604422161</v>
      </c>
      <c r="T802" s="223">
        <f t="shared" si="62"/>
        <v>1.4909192137592142</v>
      </c>
      <c r="U802" s="224">
        <f>'WetLitterbags placem_collection'!E143</f>
        <v>42762</v>
      </c>
      <c r="V802" s="224">
        <f>IF('WetLitterbags placem_collection'!G143="","",'WetLitterbags placem_collection'!G143)</f>
        <v>42816</v>
      </c>
      <c r="W802" s="225">
        <f t="shared" si="60"/>
        <v>54</v>
      </c>
      <c r="X802" s="223">
        <f t="shared" si="63"/>
        <v>0.43080000000000007</v>
      </c>
      <c r="Y802" s="223">
        <f t="shared" si="64"/>
        <v>0.35740094006982703</v>
      </c>
      <c r="Z802">
        <f>IFERROR(INDEX([1]Rainfall_Wet!$O$2:$O$217,MATCH(C802, [1]Rainfall_Wet!$A$2:$A$217,0)),"")</f>
        <v>206.85140822299999</v>
      </c>
      <c r="AA802" s="226">
        <v>33.96</v>
      </c>
      <c r="AB802" s="226">
        <v>8.9200000000000017</v>
      </c>
      <c r="AC802" s="226">
        <v>57.12</v>
      </c>
      <c r="AD802" s="227" t="s">
        <v>2651</v>
      </c>
      <c r="AE802" s="226">
        <v>6.0720551996057202</v>
      </c>
      <c r="AF802">
        <f>IF('WetLitterbags placem_collection'!AB143="","",'WetLitterbags placem_collection'!AB143)</f>
        <v>1.4</v>
      </c>
      <c r="AG802">
        <f>IF('WetLitterbags placem_collection'!Z143="","",'WetLitterbags placem_collection'!Z143)</f>
        <v>28.4</v>
      </c>
      <c r="AH802" s="236" t="str">
        <f>IF('WetLitterbags placem_collection'!AA143="","",'WetLitterbags placem_collection'!AA143)</f>
        <v>G</v>
      </c>
      <c r="AI802">
        <f>IF('WetLitterbags placem_collection'!AC143="","",'WetLitterbags placem_collection'!AC143)</f>
        <v>1</v>
      </c>
      <c r="AJ802">
        <f>AVERAGE('WetLitterbags placem_collection'!S143,'WetLitterbags placem_collection'!U143)</f>
        <v>9.6999999999999993</v>
      </c>
      <c r="AK802">
        <f>AVERAGE('WetLitterbags placem_collection'!R143,'WetLitterbags placem_collection'!T143)</f>
        <v>30.75</v>
      </c>
      <c r="AL802">
        <f>INDEX([2]Coordinates!$B$2:$B$197,MATCH(I802,[2]Coordinates!$J$2:$J$197,0))</f>
        <v>-2.3486060000000002</v>
      </c>
      <c r="AM802">
        <f>INDEX([2]Coordinates!$C$2:$C$197,MATCH(I802,[2]Coordinates!$J$2:$J$197,0))</f>
        <v>34.050010020000002</v>
      </c>
      <c r="AN802" t="str">
        <f>IF(ISNUMBER(SEARCH("C", 'WetLitterbags placem_collection'!$Y143)),"YES","NO")</f>
        <v>NO</v>
      </c>
      <c r="AO802" t="str">
        <f>IF(ISNUMBER(SEARCH("H", 'WetLitterbags placem_collection'!$Y143)),"YES","NO")</f>
        <v>NO</v>
      </c>
      <c r="AP802" t="str">
        <f>IF(ISNUMBER(SEARCH("R", 'WetLitterbags placem_collection'!$Y143)),"YES","NO")</f>
        <v>NO</v>
      </c>
    </row>
    <row r="803" spans="1:42" ht="15" customHeight="1">
      <c r="A803" t="s">
        <v>3248</v>
      </c>
      <c r="B803" s="248" t="s">
        <v>2454</v>
      </c>
      <c r="C803" s="253">
        <f>'Dry_Litterbag Placem_Collection'!A144</f>
        <v>142</v>
      </c>
      <c r="D803" s="253" t="str">
        <f>'Dry_Litterbag Placem_Collection'!B144</f>
        <v xml:space="preserve">Mwantimba
</v>
      </c>
      <c r="E803" s="253" t="s">
        <v>2454</v>
      </c>
      <c r="F803" s="253" t="s">
        <v>20</v>
      </c>
      <c r="G803" s="253">
        <v>2</v>
      </c>
      <c r="H803" s="253" t="s">
        <v>3123</v>
      </c>
      <c r="I803" s="254" t="str">
        <f>'Dry_Litterbag Placem_Collection'!C144</f>
        <v>Wet_P2_T6</v>
      </c>
      <c r="J803" s="263" t="s">
        <v>2932</v>
      </c>
      <c r="K803" s="264" t="s">
        <v>298</v>
      </c>
      <c r="L803" s="221" t="str">
        <f>'WetLitterbags placem_collection'!Q144</f>
        <v>R503</v>
      </c>
      <c r="M803" s="223">
        <f>IFERROR(INDEX('Green_rooibos initial weight'!$C$5:$C$2000,MATCH(L803, 'Green_rooibos initial weight'!$A$5:$A$2000,0)),"")</f>
        <v>2.1709999999999998</v>
      </c>
      <c r="N803" s="223">
        <f>IFERROR(M803-(TBIcalc!$H$9+TBIcalc!$H$10),"")</f>
        <v>1.9211999999999998</v>
      </c>
      <c r="O803" s="378">
        <f>AVERAGE(Ashed_controlls!$K$2:$K$11)</f>
        <v>5.5147656768714146</v>
      </c>
      <c r="P803" s="223">
        <f t="shared" si="61"/>
        <v>1.8152503218159461</v>
      </c>
      <c r="Q803" s="223">
        <f>IFERROR(INDEX('Both teabags AfterWet'!$C$3:$C$840,MATCH(L803,'Both teabags AfterWet'!$A$3:$A$840,0)),"")</f>
        <v>1.0640000000000001</v>
      </c>
      <c r="R803" s="223">
        <f>IFERROR(IF(Q803&gt;0,Q803-(TBIcalc!$H$9),""),"")</f>
        <v>0.91339999999999999</v>
      </c>
      <c r="S803" s="223">
        <f>IFERROR(INDEX('Ashed teabags wet'!$K$2:$K$2000,MATCH(L803,'Ashed teabags wet'!$A$2:$A$2000,0)),"")</f>
        <v>0</v>
      </c>
      <c r="T803" s="223">
        <f t="shared" si="62"/>
        <v>0.91339999999999999</v>
      </c>
      <c r="U803" s="224">
        <f>'WetLitterbags placem_collection'!E144</f>
        <v>42762</v>
      </c>
      <c r="V803" s="224">
        <f>IF('WetLitterbags placem_collection'!G144="","",'WetLitterbags placem_collection'!G144)</f>
        <v>42816</v>
      </c>
      <c r="W803" s="225">
        <f t="shared" si="60"/>
        <v>54</v>
      </c>
      <c r="X803" s="223">
        <f t="shared" si="63"/>
        <v>1.0077999999999998</v>
      </c>
      <c r="Y803" s="223">
        <f t="shared" si="64"/>
        <v>0.90185032181594615</v>
      </c>
      <c r="Z803">
        <f>IFERROR(INDEX([1]Rainfall_Wet!$O$2:$O$217,MATCH(C803, [1]Rainfall_Wet!$A$2:$A$217,0)),"")</f>
        <v>206.85140822299999</v>
      </c>
      <c r="AA803" s="226">
        <v>33.96</v>
      </c>
      <c r="AB803" s="226">
        <v>8.9200000000000017</v>
      </c>
      <c r="AC803" s="226">
        <v>57.12</v>
      </c>
      <c r="AD803" s="227" t="s">
        <v>2651</v>
      </c>
      <c r="AE803" s="226">
        <v>7.0720551996057202</v>
      </c>
      <c r="AF803">
        <f>IF('WetLitterbags placem_collection'!AB144="","",'WetLitterbags placem_collection'!AB144)</f>
        <v>1.7</v>
      </c>
      <c r="AG803">
        <f>IF('WetLitterbags placem_collection'!Z144="","",'WetLitterbags placem_collection'!Z144)</f>
        <v>33.799999999999997</v>
      </c>
      <c r="AH803" s="236" t="str">
        <f>IF('WetLitterbags placem_collection'!AA144="","",'WetLitterbags placem_collection'!AA144)</f>
        <v>G</v>
      </c>
      <c r="AI803">
        <f>IF('WetLitterbags placem_collection'!AC144="","",'WetLitterbags placem_collection'!AC144)</f>
        <v>1</v>
      </c>
      <c r="AJ803">
        <f>AVERAGE('WetLitterbags placem_collection'!S144,'WetLitterbags placem_collection'!U144)</f>
        <v>15.5</v>
      </c>
      <c r="AK803">
        <f>AVERAGE('WetLitterbags placem_collection'!R144,'WetLitterbags placem_collection'!T144)</f>
        <v>28.75</v>
      </c>
      <c r="AL803">
        <f>INDEX([2]Coordinates!$B$2:$B$197,MATCH(I803,[2]Coordinates!$J$2:$J$197,0))</f>
        <v>-2.348618992</v>
      </c>
      <c r="AM803">
        <f>INDEX([2]Coordinates!$C$2:$C$197,MATCH(I803,[2]Coordinates!$J$2:$J$197,0))</f>
        <v>34.049996030000003</v>
      </c>
      <c r="AN803" t="str">
        <f>IF(ISNUMBER(SEARCH("C", 'WetLitterbags placem_collection'!$Y144)),"YES","NO")</f>
        <v>NO</v>
      </c>
      <c r="AO803" t="str">
        <f>IF(ISNUMBER(SEARCH("H", 'WetLitterbags placem_collection'!$Y144)),"YES","NO")</f>
        <v>NO</v>
      </c>
      <c r="AP803" t="str">
        <f>IF(ISNUMBER(SEARCH("R", 'WetLitterbags placem_collection'!$Y144)),"YES","NO")</f>
        <v>YES</v>
      </c>
    </row>
    <row r="804" spans="1:42" ht="15" customHeight="1">
      <c r="A804" t="s">
        <v>3248</v>
      </c>
      <c r="B804" s="248" t="s">
        <v>2454</v>
      </c>
      <c r="C804" s="253">
        <f>'Dry_Litterbag Placem_Collection'!A145</f>
        <v>143</v>
      </c>
      <c r="D804" s="253" t="str">
        <f>'Dry_Litterbag Placem_Collection'!B145</f>
        <v xml:space="preserve">Mwantimba
</v>
      </c>
      <c r="E804" s="253" t="s">
        <v>2454</v>
      </c>
      <c r="F804" s="253" t="s">
        <v>20</v>
      </c>
      <c r="G804" s="253">
        <v>2</v>
      </c>
      <c r="H804" s="253" t="s">
        <v>3123</v>
      </c>
      <c r="I804" s="254" t="str">
        <f>'Dry_Litterbag Placem_Collection'!C145</f>
        <v>Wet_P2_T7</v>
      </c>
      <c r="J804" s="263" t="s">
        <v>2932</v>
      </c>
      <c r="K804" s="264" t="s">
        <v>298</v>
      </c>
      <c r="L804" s="221" t="str">
        <f>'WetLitterbags placem_collection'!Q145</f>
        <v>R567</v>
      </c>
      <c r="M804" s="223">
        <f>IFERROR(INDEX('Green_rooibos initial weight'!$C$5:$C$2000,MATCH(L804, 'Green_rooibos initial weight'!$A$5:$A$2000,0)),"")</f>
        <v>2.097</v>
      </c>
      <c r="N804" s="223">
        <f>IFERROR(M804-(TBIcalc!$H$9+TBIcalc!$H$10),"")</f>
        <v>1.8472</v>
      </c>
      <c r="O804" s="378">
        <f>AVERAGE(Ashed_controlls!$K$2:$K$11)</f>
        <v>5.5147656768714146</v>
      </c>
      <c r="P804" s="223">
        <f t="shared" si="61"/>
        <v>1.7453312484168313</v>
      </c>
      <c r="Q804" s="223">
        <f>IFERROR(INDEX('Both teabags AfterWet'!$C$3:$C$840,MATCH(L804,'Both teabags AfterWet'!$A$3:$A$840,0)),"")</f>
        <v>1.5908</v>
      </c>
      <c r="R804" s="223">
        <f>IFERROR(IF(Q804&gt;0,Q804-(TBIcalc!$H$9),""),"")</f>
        <v>1.4401999999999999</v>
      </c>
      <c r="S804" s="223">
        <f>IFERROR(INDEX('Ashed teabags wet'!$K$2:$K$2000,MATCH(L804,'Ashed teabags wet'!$A$2:$A$2000,0)),"")</f>
        <v>3.9043435822355246</v>
      </c>
      <c r="T804" s="223">
        <f t="shared" si="62"/>
        <v>1.383969643728644</v>
      </c>
      <c r="U804" s="224">
        <f>'WetLitterbags placem_collection'!E145</f>
        <v>42762</v>
      </c>
      <c r="V804" s="224">
        <f>IF('WetLitterbags placem_collection'!G145="","",'WetLitterbags placem_collection'!G145)</f>
        <v>42816</v>
      </c>
      <c r="W804" s="225">
        <f t="shared" si="60"/>
        <v>54</v>
      </c>
      <c r="X804" s="223">
        <f t="shared" si="63"/>
        <v>0.40700000000000003</v>
      </c>
      <c r="Y804" s="223">
        <f t="shared" si="64"/>
        <v>0.36136160468818734</v>
      </c>
      <c r="Z804">
        <f>IFERROR(INDEX([1]Rainfall_Wet!$O$2:$O$217,MATCH(C804, [1]Rainfall_Wet!$A$2:$A$217,0)),"")</f>
        <v>206.85140822299999</v>
      </c>
      <c r="AA804" s="226">
        <v>33.96</v>
      </c>
      <c r="AB804" s="226">
        <v>8.9200000000000017</v>
      </c>
      <c r="AC804" s="226">
        <v>57.12</v>
      </c>
      <c r="AD804" s="227" t="s">
        <v>2651</v>
      </c>
      <c r="AE804" s="226">
        <v>8.0720551996057193</v>
      </c>
      <c r="AF804">
        <f>IF('WetLitterbags placem_collection'!AB145="","",'WetLitterbags placem_collection'!AB145)</f>
        <v>2</v>
      </c>
      <c r="AG804">
        <f>IF('WetLitterbags placem_collection'!Z145="","",'WetLitterbags placem_collection'!Z145)</f>
        <v>23.4</v>
      </c>
      <c r="AH804" s="236" t="str">
        <f>IF('WetLitterbags placem_collection'!AA145="","",'WetLitterbags placem_collection'!AA145)</f>
        <v>G</v>
      </c>
      <c r="AI804">
        <f>IF('WetLitterbags placem_collection'!AC145="","",'WetLitterbags placem_collection'!AC145)</f>
        <v>1</v>
      </c>
      <c r="AJ804">
        <f>AVERAGE('WetLitterbags placem_collection'!S145,'WetLitterbags placem_collection'!U145)</f>
        <v>14.5</v>
      </c>
      <c r="AK804">
        <f>AVERAGE('WetLitterbags placem_collection'!R145,'WetLitterbags placem_collection'!T145)</f>
        <v>30.9</v>
      </c>
      <c r="AL804">
        <f>INDEX([2]Coordinates!$B$2:$B$197,MATCH(I804,[2]Coordinates!$J$2:$J$197,0))</f>
        <v>-2.3484970349999998</v>
      </c>
      <c r="AM804">
        <f>INDEX([2]Coordinates!$C$2:$C$197,MATCH(I804,[2]Coordinates!$J$2:$J$197,0))</f>
        <v>34.049979010000001</v>
      </c>
      <c r="AN804" t="str">
        <f>IF(ISNUMBER(SEARCH("C", 'WetLitterbags placem_collection'!$Y145)),"YES","NO")</f>
        <v>NO</v>
      </c>
      <c r="AO804" t="str">
        <f>IF(ISNUMBER(SEARCH("H", 'WetLitterbags placem_collection'!$Y145)),"YES","NO")</f>
        <v>NO</v>
      </c>
      <c r="AP804" t="str">
        <f>IF(ISNUMBER(SEARCH("R", 'WetLitterbags placem_collection'!$Y145)),"YES","NO")</f>
        <v>NO</v>
      </c>
    </row>
    <row r="805" spans="1:42" ht="15" customHeight="1">
      <c r="A805" t="s">
        <v>3248</v>
      </c>
      <c r="B805" s="248" t="s">
        <v>2454</v>
      </c>
      <c r="C805" s="253">
        <f>'Dry_Litterbag Placem_Collection'!A146</f>
        <v>144</v>
      </c>
      <c r="D805" s="253" t="str">
        <f>'Dry_Litterbag Placem_Collection'!B146</f>
        <v xml:space="preserve">Mwantimba
</v>
      </c>
      <c r="E805" s="253" t="s">
        <v>2454</v>
      </c>
      <c r="F805" s="253" t="s">
        <v>20</v>
      </c>
      <c r="G805" s="253">
        <v>2</v>
      </c>
      <c r="H805" s="253" t="s">
        <v>3123</v>
      </c>
      <c r="I805" s="254" t="str">
        <f>'Dry_Litterbag Placem_Collection'!C146</f>
        <v>Wet_P2_T8</v>
      </c>
      <c r="J805" s="263" t="s">
        <v>2932</v>
      </c>
      <c r="K805" s="264" t="s">
        <v>298</v>
      </c>
      <c r="L805" s="221" t="str">
        <f>'WetLitterbags placem_collection'!Q146</f>
        <v>R15</v>
      </c>
      <c r="M805" s="223">
        <f>IFERROR(INDEX('Green_rooibos initial weight'!$C$5:$C$2000,MATCH(L805, 'Green_rooibos initial weight'!$A$5:$A$2000,0)),"")</f>
        <v>2.2269999999999999</v>
      </c>
      <c r="N805" s="223">
        <f>IFERROR(M805-(TBIcalc!$H$9+TBIcalc!$H$10),"")</f>
        <v>1.9771999999999998</v>
      </c>
      <c r="O805" s="378">
        <f>AVERAGE(Ashed_controlls!$K$2:$K$11)</f>
        <v>5.5147656768714146</v>
      </c>
      <c r="P805" s="223">
        <f t="shared" si="61"/>
        <v>1.8681620530368983</v>
      </c>
      <c r="Q805" s="223">
        <f>IFERROR(INDEX('Both teabags AfterWet'!$C$3:$C$840,MATCH(L805,'Both teabags AfterWet'!$A$3:$A$840,0)),"")</f>
        <v>1.7290000000000001</v>
      </c>
      <c r="R805" s="223">
        <f>IFERROR(IF(Q805&gt;0,Q805-(TBIcalc!$H$9),""),"")</f>
        <v>1.5784</v>
      </c>
      <c r="S805" s="223">
        <f>IFERROR(INDEX('Ashed teabags wet'!$K$2:$K$2000,MATCH(L805,'Ashed teabags wet'!$A$2:$A$2000,0)),"")</f>
        <v>11.138613861386148</v>
      </c>
      <c r="T805" s="223">
        <f t="shared" si="62"/>
        <v>1.4025881188118812</v>
      </c>
      <c r="U805" s="224">
        <f>'WetLitterbags placem_collection'!E146</f>
        <v>42762</v>
      </c>
      <c r="V805" s="224">
        <f>IF('WetLitterbags placem_collection'!G146="","",'WetLitterbags placem_collection'!G146)</f>
        <v>42816</v>
      </c>
      <c r="W805" s="225">
        <f t="shared" si="60"/>
        <v>54</v>
      </c>
      <c r="X805" s="223">
        <f t="shared" si="63"/>
        <v>0.39879999999999982</v>
      </c>
      <c r="Y805" s="223">
        <f t="shared" si="64"/>
        <v>0.46557393422501714</v>
      </c>
      <c r="Z805">
        <f>IFERROR(INDEX([1]Rainfall_Wet!$O$2:$O$217,MATCH(C805, [1]Rainfall_Wet!$A$2:$A$217,0)),"")</f>
        <v>206.85140822299999</v>
      </c>
      <c r="AA805" s="226">
        <v>33.96</v>
      </c>
      <c r="AB805" s="226">
        <v>8.9200000000000017</v>
      </c>
      <c r="AC805" s="226">
        <v>57.12</v>
      </c>
      <c r="AD805" s="227" t="s">
        <v>2651</v>
      </c>
      <c r="AE805" s="226">
        <v>9.0720551996057193</v>
      </c>
      <c r="AF805">
        <f>IF('WetLitterbags placem_collection'!AB146="","",'WetLitterbags placem_collection'!AB146)</f>
        <v>2.5</v>
      </c>
      <c r="AG805">
        <f>IF('WetLitterbags placem_collection'!Z146="","",'WetLitterbags placem_collection'!Z146)</f>
        <v>19.8</v>
      </c>
      <c r="AH805" s="236" t="str">
        <f>IF('WetLitterbags placem_collection'!AA146="","",'WetLitterbags placem_collection'!AA146)</f>
        <v>G</v>
      </c>
      <c r="AI805">
        <f>IF('WetLitterbags placem_collection'!AC146="","",'WetLitterbags placem_collection'!AC146)</f>
        <v>1</v>
      </c>
      <c r="AJ805">
        <f>AVERAGE('WetLitterbags placem_collection'!S146,'WetLitterbags placem_collection'!U146)</f>
        <v>17.149999999999999</v>
      </c>
      <c r="AK805">
        <f>AVERAGE('WetLitterbags placem_collection'!R146,'WetLitterbags placem_collection'!T146)</f>
        <v>31.4</v>
      </c>
      <c r="AL805">
        <f>INDEX([2]Coordinates!$B$2:$B$197,MATCH(I805,[2]Coordinates!$J$2:$J$197,0))</f>
        <v>-2.3486560399999998</v>
      </c>
      <c r="AM805">
        <f>INDEX([2]Coordinates!$C$2:$C$197,MATCH(I805,[2]Coordinates!$J$2:$J$197,0))</f>
        <v>34.049895020000001</v>
      </c>
      <c r="AN805" t="str">
        <f>IF(ISNUMBER(SEARCH("C", 'WetLitterbags placem_collection'!$Y146)),"YES","NO")</f>
        <v>NO</v>
      </c>
      <c r="AO805" t="str">
        <f>IF(ISNUMBER(SEARCH("H", 'WetLitterbags placem_collection'!$Y146)),"YES","NO")</f>
        <v>NO</v>
      </c>
      <c r="AP805" t="str">
        <f>IF(ISNUMBER(SEARCH("R", 'WetLitterbags placem_collection'!$Y146)),"YES","NO")</f>
        <v>NO</v>
      </c>
    </row>
    <row r="806" spans="1:42" ht="15" customHeight="1">
      <c r="A806" t="s">
        <v>3248</v>
      </c>
      <c r="B806" s="248" t="s">
        <v>2454</v>
      </c>
      <c r="C806" s="253">
        <f>'Dry_Litterbag Placem_Collection'!A147</f>
        <v>145</v>
      </c>
      <c r="D806" s="253" t="str">
        <f>'Dry_Litterbag Placem_Collection'!B147</f>
        <v xml:space="preserve">Mwantimba
</v>
      </c>
      <c r="E806" s="253" t="s">
        <v>2454</v>
      </c>
      <c r="F806" s="253" t="s">
        <v>20</v>
      </c>
      <c r="G806" s="253">
        <v>3</v>
      </c>
      <c r="H806" s="253" t="s">
        <v>3124</v>
      </c>
      <c r="I806" s="254" t="str">
        <f>'Dry_Litterbag Placem_Collection'!C147</f>
        <v>Wet_P3_T1</v>
      </c>
      <c r="J806" s="263" t="s">
        <v>2932</v>
      </c>
      <c r="K806" s="264" t="s">
        <v>298</v>
      </c>
      <c r="L806" s="221" t="str">
        <f>'WetLitterbags placem_collection'!Q147</f>
        <v>R40</v>
      </c>
      <c r="M806" s="223">
        <f>IFERROR(INDEX('Green_rooibos initial weight'!$C$5:$C$2000,MATCH(L806, 'Green_rooibos initial weight'!$A$5:$A$2000,0)),"")</f>
        <v>2.121</v>
      </c>
      <c r="N806" s="223">
        <f>IFERROR(M806-(TBIcalc!$H$9+TBIcalc!$H$10),"")</f>
        <v>1.8712</v>
      </c>
      <c r="O806" s="378">
        <f>AVERAGE(Ashed_controlls!$K$2:$K$11)</f>
        <v>5.5147656768714146</v>
      </c>
      <c r="P806" s="223">
        <f t="shared" si="61"/>
        <v>1.7680077046543821</v>
      </c>
      <c r="Q806" s="223">
        <f>IFERROR(INDEX('Both teabags AfterWet'!$C$3:$C$840,MATCH(L806,'Both teabags AfterWet'!$A$3:$A$840,0)),"")</f>
        <v>1.589</v>
      </c>
      <c r="R806" s="223">
        <f>IFERROR(IF(Q806&gt;0,Q806-(TBIcalc!$H$9),""),"")</f>
        <v>1.4383999999999999</v>
      </c>
      <c r="S806" s="223">
        <f>IFERROR(INDEX('Ashed teabags wet'!$K$2:$K$2000,MATCH(L806,'Ashed teabags wet'!$A$2:$A$2000,0)),"")</f>
        <v>8.3980582524276741</v>
      </c>
      <c r="T806" s="223">
        <f t="shared" si="62"/>
        <v>1.3176023300970803</v>
      </c>
      <c r="U806" s="224">
        <f>'WetLitterbags placem_collection'!E147</f>
        <v>42762</v>
      </c>
      <c r="V806" s="224">
        <f>IF('WetLitterbags placem_collection'!G147="","",'WetLitterbags placem_collection'!G147)</f>
        <v>42815</v>
      </c>
      <c r="W806" s="225">
        <f t="shared" si="60"/>
        <v>53</v>
      </c>
      <c r="X806" s="223">
        <f t="shared" si="63"/>
        <v>0.43280000000000007</v>
      </c>
      <c r="Y806" s="223">
        <f t="shared" si="64"/>
        <v>0.45040537455730179</v>
      </c>
      <c r="Z806">
        <f>IFERROR(INDEX([1]Rainfall_Wet!$O$2:$O$217,MATCH(C806, [1]Rainfall_Wet!$A$2:$A$217,0)),"")</f>
        <v>205.76139209600001</v>
      </c>
      <c r="AA806" s="226">
        <v>39.96</v>
      </c>
      <c r="AB806" s="226">
        <v>12.920000000000002</v>
      </c>
      <c r="AC806" s="226">
        <v>47.12</v>
      </c>
      <c r="AD806" s="227" t="s">
        <v>2655</v>
      </c>
      <c r="AE806" s="226">
        <v>1.6549531789058647</v>
      </c>
      <c r="AF806">
        <f>IF('WetLitterbags placem_collection'!AB147="","",'WetLitterbags placem_collection'!AB147)</f>
        <v>3.95</v>
      </c>
      <c r="AG806">
        <f>IF('WetLitterbags placem_collection'!Z147="","",'WetLitterbags placem_collection'!Z147)</f>
        <v>13</v>
      </c>
      <c r="AH806" s="236" t="str">
        <f>IF('WetLitterbags placem_collection'!AA147="","",'WetLitterbags placem_collection'!AA147)</f>
        <v>O</v>
      </c>
      <c r="AI806">
        <f>IF('WetLitterbags placem_collection'!AC147="","",'WetLitterbags placem_collection'!AC147)</f>
        <v>0</v>
      </c>
      <c r="AJ806">
        <f>AVERAGE('WetLitterbags placem_collection'!S147,'WetLitterbags placem_collection'!U147)</f>
        <v>27.200000000000003</v>
      </c>
      <c r="AK806">
        <f>AVERAGE('WetLitterbags placem_collection'!R147,'WetLitterbags placem_collection'!T147)</f>
        <v>30.9</v>
      </c>
      <c r="AL806">
        <f>INDEX([2]Coordinates!$B$2:$B$197,MATCH(I806,[2]Coordinates!$J$2:$J$197,0))</f>
        <v>-2.3675269729999999</v>
      </c>
      <c r="AM806">
        <f>INDEX([2]Coordinates!$C$2:$C$197,MATCH(I806,[2]Coordinates!$J$2:$J$197,0))</f>
        <v>34.06035799</v>
      </c>
      <c r="AN806" t="str">
        <f>IF(ISNUMBER(SEARCH("C", 'WetLitterbags placem_collection'!$Y147)),"YES","NO")</f>
        <v>NO</v>
      </c>
      <c r="AO806" t="str">
        <f>IF(ISNUMBER(SEARCH("H", 'WetLitterbags placem_collection'!$Y147)),"YES","NO")</f>
        <v>NO</v>
      </c>
      <c r="AP806" t="str">
        <f>IF(ISNUMBER(SEARCH("R", 'WetLitterbags placem_collection'!$Y147)),"YES","NO")</f>
        <v>NO</v>
      </c>
    </row>
    <row r="807" spans="1:42" ht="15" customHeight="1">
      <c r="A807" t="s">
        <v>3248</v>
      </c>
      <c r="B807" s="248" t="s">
        <v>2454</v>
      </c>
      <c r="C807" s="253">
        <f>'Dry_Litterbag Placem_Collection'!A148</f>
        <v>146</v>
      </c>
      <c r="D807" s="253" t="str">
        <f>'Dry_Litterbag Placem_Collection'!B148</f>
        <v xml:space="preserve">Mwantimba
</v>
      </c>
      <c r="E807" s="253" t="s">
        <v>2454</v>
      </c>
      <c r="F807" s="253" t="s">
        <v>20</v>
      </c>
      <c r="G807" s="253">
        <v>3</v>
      </c>
      <c r="H807" s="253" t="s">
        <v>3124</v>
      </c>
      <c r="I807" s="254" t="str">
        <f>'Dry_Litterbag Placem_Collection'!C148</f>
        <v>Wet_P3_T2</v>
      </c>
      <c r="J807" s="263" t="s">
        <v>2932</v>
      </c>
      <c r="K807" s="264" t="s">
        <v>298</v>
      </c>
      <c r="L807" s="221" t="str">
        <f>'WetLitterbags placem_collection'!Q148</f>
        <v>R468</v>
      </c>
      <c r="M807" s="223">
        <f>IFERROR(INDEX('Green_rooibos initial weight'!$C$5:$C$2000,MATCH(L807, 'Green_rooibos initial weight'!$A$5:$A$2000,0)),"")</f>
        <v>2.2869999999999999</v>
      </c>
      <c r="N807" s="223">
        <f>IFERROR(M807-(TBIcalc!$H$9+TBIcalc!$H$10),"")</f>
        <v>2.0371999999999999</v>
      </c>
      <c r="O807" s="378">
        <f>AVERAGE(Ashed_controlls!$K$2:$K$11)</f>
        <v>5.5147656768714146</v>
      </c>
      <c r="P807" s="223">
        <f t="shared" si="61"/>
        <v>1.9248531936307756</v>
      </c>
      <c r="Q807" s="223">
        <f>IFERROR(INDEX('Both teabags AfterWet'!$C$3:$C$840,MATCH(L807,'Both teabags AfterWet'!$A$3:$A$840,0)),"")</f>
        <v>1.657</v>
      </c>
      <c r="R807" s="223">
        <f>IFERROR(IF(Q807&gt;0,Q807-(TBIcalc!$H$9),""),"")</f>
        <v>1.5064</v>
      </c>
      <c r="S807" s="223">
        <f>IFERROR(INDEX('Ashed teabags wet'!$K$2:$K$2000,MATCH(L807,'Ashed teabags wet'!$A$2:$A$2000,0)),"")</f>
        <v>5.4683544303797067</v>
      </c>
      <c r="T807" s="223">
        <f t="shared" si="62"/>
        <v>1.42402470886076</v>
      </c>
      <c r="U807" s="224">
        <f>'WetLitterbags placem_collection'!E148</f>
        <v>42762</v>
      </c>
      <c r="V807" s="224">
        <f>IF('WetLitterbags placem_collection'!G148="","",'WetLitterbags placem_collection'!G148)</f>
        <v>42815</v>
      </c>
      <c r="W807" s="225">
        <f t="shared" si="60"/>
        <v>53</v>
      </c>
      <c r="X807" s="223">
        <f t="shared" si="63"/>
        <v>0.53079999999999994</v>
      </c>
      <c r="Y807" s="223">
        <f t="shared" si="64"/>
        <v>0.50082848477001551</v>
      </c>
      <c r="Z807">
        <f>IFERROR(INDEX([1]Rainfall_Wet!$O$2:$O$217,MATCH(C807, [1]Rainfall_Wet!$A$2:$A$217,0)),"")</f>
        <v>205.76139209600001</v>
      </c>
      <c r="AA807" s="226">
        <v>39.96</v>
      </c>
      <c r="AB807" s="226">
        <v>12.920000000000002</v>
      </c>
      <c r="AC807" s="226">
        <v>47.12</v>
      </c>
      <c r="AD807" s="227" t="s">
        <v>2655</v>
      </c>
      <c r="AE807" s="226">
        <v>2.6549531789058598</v>
      </c>
      <c r="AF807">
        <f>IF('WetLitterbags placem_collection'!AB148="","",'WetLitterbags placem_collection'!AB148)</f>
        <v>2.75</v>
      </c>
      <c r="AG807">
        <f>IF('WetLitterbags placem_collection'!Z148="","",'WetLitterbags placem_collection'!Z148)</f>
        <v>17.7</v>
      </c>
      <c r="AH807" s="236" t="str">
        <f>IF('WetLitterbags placem_collection'!AA148="","",'WetLitterbags placem_collection'!AA148)</f>
        <v>O</v>
      </c>
      <c r="AI807">
        <f>IF('WetLitterbags placem_collection'!AC148="","",'WetLitterbags placem_collection'!AC148)</f>
        <v>1</v>
      </c>
      <c r="AJ807">
        <f>AVERAGE('WetLitterbags placem_collection'!S148,'WetLitterbags placem_collection'!U148)</f>
        <v>22.65</v>
      </c>
      <c r="AK807">
        <f>AVERAGE('WetLitterbags placem_collection'!R148,'WetLitterbags placem_collection'!T148)</f>
        <v>30.549999999999997</v>
      </c>
      <c r="AL807">
        <f>INDEX([2]Coordinates!$B$2:$B$197,MATCH(I807,[2]Coordinates!$J$2:$J$197,0))</f>
        <v>-2.3675380370000001</v>
      </c>
      <c r="AM807">
        <f>INDEX([2]Coordinates!$C$2:$C$197,MATCH(I807,[2]Coordinates!$J$2:$J$197,0))</f>
        <v>34.060381960000001</v>
      </c>
      <c r="AN807" t="str">
        <f>IF(ISNUMBER(SEARCH("C", 'WetLitterbags placem_collection'!$Y148)),"YES","NO")</f>
        <v>NO</v>
      </c>
      <c r="AO807" t="str">
        <f>IF(ISNUMBER(SEARCH("H", 'WetLitterbags placem_collection'!$Y148)),"YES","NO")</f>
        <v>NO</v>
      </c>
      <c r="AP807" t="str">
        <f>IF(ISNUMBER(SEARCH("R", 'WetLitterbags placem_collection'!$Y148)),"YES","NO")</f>
        <v>NO</v>
      </c>
    </row>
    <row r="808" spans="1:42" ht="15" customHeight="1">
      <c r="A808" t="s">
        <v>3248</v>
      </c>
      <c r="B808" s="248" t="s">
        <v>2454</v>
      </c>
      <c r="C808" s="253">
        <f>'Dry_Litterbag Placem_Collection'!A149</f>
        <v>147</v>
      </c>
      <c r="D808" s="253" t="str">
        <f>'Dry_Litterbag Placem_Collection'!B149</f>
        <v xml:space="preserve">Mwantimba
</v>
      </c>
      <c r="E808" s="253" t="s">
        <v>2454</v>
      </c>
      <c r="F808" s="253" t="s">
        <v>20</v>
      </c>
      <c r="G808" s="253">
        <v>3</v>
      </c>
      <c r="H808" s="253" t="s">
        <v>3124</v>
      </c>
      <c r="I808" s="254" t="str">
        <f>'Dry_Litterbag Placem_Collection'!C149</f>
        <v>Wet_P3_T3</v>
      </c>
      <c r="J808" s="263" t="s">
        <v>2932</v>
      </c>
      <c r="K808" s="264" t="s">
        <v>298</v>
      </c>
      <c r="L808" s="221" t="str">
        <f>'WetLitterbags placem_collection'!Q149</f>
        <v>R582</v>
      </c>
      <c r="M808" s="223">
        <f>IFERROR(INDEX('Green_rooibos initial weight'!$C$5:$C$2000,MATCH(L808, 'Green_rooibos initial weight'!$A$5:$A$2000,0)),"")</f>
        <v>2.2360000000000002</v>
      </c>
      <c r="N808" s="223">
        <f>IFERROR(M808-(TBIcalc!$H$9+TBIcalc!$H$10),"")</f>
        <v>1.9862000000000002</v>
      </c>
      <c r="O808" s="378">
        <f>AVERAGE(Ashed_controlls!$K$2:$K$11)</f>
        <v>5.5147656768714146</v>
      </c>
      <c r="P808" s="223">
        <f t="shared" si="61"/>
        <v>1.8766657241259801</v>
      </c>
      <c r="Q808" s="223">
        <f>IFERROR(INDEX('Both teabags AfterWet'!$C$3:$C$840,MATCH(L808,'Both teabags AfterWet'!$A$3:$A$840,0)),"")</f>
        <v>1.742</v>
      </c>
      <c r="R808" s="223">
        <f>IFERROR(IF(Q808&gt;0,Q808-(TBIcalc!$H$9),""),"")</f>
        <v>1.5913999999999999</v>
      </c>
      <c r="S808" s="223">
        <f>IFERROR(INDEX('Ashed teabags wet'!$K$2:$K$2000,MATCH(L808,'Ashed teabags wet'!$A$2:$A$2000,0)),"")</f>
        <v>1.3068731848979416</v>
      </c>
      <c r="T808" s="223">
        <f t="shared" si="62"/>
        <v>1.570602420135534</v>
      </c>
      <c r="U808" s="224">
        <f>'WetLitterbags placem_collection'!E149</f>
        <v>42762</v>
      </c>
      <c r="V808" s="224">
        <f>IF('WetLitterbags placem_collection'!G149="","",'WetLitterbags placem_collection'!G149)</f>
        <v>42816</v>
      </c>
      <c r="W808" s="225">
        <f t="shared" si="60"/>
        <v>54</v>
      </c>
      <c r="X808" s="223">
        <f t="shared" si="63"/>
        <v>0.39480000000000026</v>
      </c>
      <c r="Y808" s="223">
        <f t="shared" si="64"/>
        <v>0.30606330399044612</v>
      </c>
      <c r="Z808">
        <f>IFERROR(INDEX([1]Rainfall_Wet!$O$2:$O$217,MATCH(C808, [1]Rainfall_Wet!$A$2:$A$217,0)),"")</f>
        <v>206.85140822299999</v>
      </c>
      <c r="AA808" s="226">
        <v>39.96</v>
      </c>
      <c r="AB808" s="226">
        <v>12.920000000000002</v>
      </c>
      <c r="AC808" s="226">
        <v>47.12</v>
      </c>
      <c r="AD808" s="227" t="s">
        <v>2655</v>
      </c>
      <c r="AE808" s="226">
        <v>3.6549531789058598</v>
      </c>
      <c r="AF808">
        <f>IF('WetLitterbags placem_collection'!AB149="","",'WetLitterbags placem_collection'!AB149)</f>
        <v>3.6</v>
      </c>
      <c r="AG808">
        <f>IF('WetLitterbags placem_collection'!Z149="","",'WetLitterbags placem_collection'!Z149)</f>
        <v>19</v>
      </c>
      <c r="AH808" s="236" t="str">
        <f>IF('WetLitterbags placem_collection'!AA149="","",'WetLitterbags placem_collection'!AA149)</f>
        <v>M</v>
      </c>
      <c r="AI808">
        <f>IF('WetLitterbags placem_collection'!AC149="","",'WetLitterbags placem_collection'!AC149)</f>
        <v>1</v>
      </c>
      <c r="AJ808">
        <f>AVERAGE('WetLitterbags placem_collection'!S149,'WetLitterbags placem_collection'!U149)</f>
        <v>23.35</v>
      </c>
      <c r="AK808">
        <f>AVERAGE('WetLitterbags placem_collection'!R149,'WetLitterbags placem_collection'!T149)</f>
        <v>29.9</v>
      </c>
      <c r="AL808">
        <f>INDEX([2]Coordinates!$B$2:$B$197,MATCH(I808,[2]Coordinates!$J$2:$J$197,0))</f>
        <v>-2.3675780180000001</v>
      </c>
      <c r="AM808">
        <f>INDEX([2]Coordinates!$C$2:$C$197,MATCH(I808,[2]Coordinates!$J$2:$J$197,0))</f>
        <v>34.060323029999999</v>
      </c>
      <c r="AN808" t="str">
        <f>IF(ISNUMBER(SEARCH("C", 'WetLitterbags placem_collection'!$Y149)),"YES","NO")</f>
        <v>NO</v>
      </c>
      <c r="AO808" t="str">
        <f>IF(ISNUMBER(SEARCH("H", 'WetLitterbags placem_collection'!$Y149)),"YES","NO")</f>
        <v>NO</v>
      </c>
      <c r="AP808" t="str">
        <f>IF(ISNUMBER(SEARCH("R", 'WetLitterbags placem_collection'!$Y149)),"YES","NO")</f>
        <v>NO</v>
      </c>
    </row>
    <row r="809" spans="1:42" ht="15" customHeight="1">
      <c r="A809" t="s">
        <v>3248</v>
      </c>
      <c r="B809" s="248" t="s">
        <v>2454</v>
      </c>
      <c r="C809" s="253">
        <f>'Dry_Litterbag Placem_Collection'!A150</f>
        <v>148</v>
      </c>
      <c r="D809" s="253" t="str">
        <f>'Dry_Litterbag Placem_Collection'!B150</f>
        <v xml:space="preserve">Mwantimba
</v>
      </c>
      <c r="E809" s="253" t="s">
        <v>2454</v>
      </c>
      <c r="F809" s="253" t="s">
        <v>20</v>
      </c>
      <c r="G809" s="253">
        <v>3</v>
      </c>
      <c r="H809" s="253" t="s">
        <v>3124</v>
      </c>
      <c r="I809" s="254" t="str">
        <f>'Dry_Litterbag Placem_Collection'!C150</f>
        <v>Wet_P3_T4</v>
      </c>
      <c r="J809" s="263" t="s">
        <v>2932</v>
      </c>
      <c r="K809" s="264" t="s">
        <v>298</v>
      </c>
      <c r="L809" s="221" t="str">
        <f>'WetLitterbags placem_collection'!Q150</f>
        <v>R20</v>
      </c>
      <c r="M809" s="223">
        <f>IFERROR(INDEX('Green_rooibos initial weight'!$C$5:$C$2000,MATCH(L809, 'Green_rooibos initial weight'!$A$5:$A$2000,0)),"")</f>
        <v>2.2400000000000002</v>
      </c>
      <c r="N809" s="223">
        <f>IFERROR(M809-(TBIcalc!$H$9+TBIcalc!$H$10),"")</f>
        <v>1.9902000000000002</v>
      </c>
      <c r="O809" s="378">
        <f>AVERAGE(Ashed_controlls!$K$2:$K$11)</f>
        <v>5.5147656768714146</v>
      </c>
      <c r="P809" s="223">
        <f t="shared" si="61"/>
        <v>1.8804451334989052</v>
      </c>
      <c r="Q809" s="223">
        <f>IFERROR(INDEX('Both teabags AfterWet'!$C$3:$C$840,MATCH(L809,'Both teabags AfterWet'!$A$3:$A$840,0)),"")</f>
        <v>1.6375999999999999</v>
      </c>
      <c r="R809" s="223">
        <f>IFERROR(IF(Q809&gt;0,Q809-(TBIcalc!$H$9),""),"")</f>
        <v>1.4869999999999999</v>
      </c>
      <c r="S809" s="223">
        <f>IFERROR(INDEX('Ashed teabags wet'!$K$2:$K$2000,MATCH(L809,'Ashed teabags wet'!$A$2:$A$2000,0)),"")</f>
        <v>56.818181818177493</v>
      </c>
      <c r="T809" s="223">
        <f t="shared" si="62"/>
        <v>0.64211363636370067</v>
      </c>
      <c r="U809" s="224">
        <f>'WetLitterbags placem_collection'!E150</f>
        <v>42762</v>
      </c>
      <c r="V809" s="224">
        <f>IF('WetLitterbags placem_collection'!G150="","",'WetLitterbags placem_collection'!G150)</f>
        <v>42816</v>
      </c>
      <c r="W809" s="225">
        <f t="shared" si="60"/>
        <v>54</v>
      </c>
      <c r="X809" s="223">
        <f t="shared" si="63"/>
        <v>0.50320000000000031</v>
      </c>
      <c r="Y809" s="223">
        <f t="shared" si="64"/>
        <v>1.2383314971352046</v>
      </c>
      <c r="Z809">
        <f>IFERROR(INDEX([1]Rainfall_Wet!$O$2:$O$217,MATCH(C809, [1]Rainfall_Wet!$A$2:$A$217,0)),"")</f>
        <v>206.85140822299999</v>
      </c>
      <c r="AA809" s="226">
        <v>39.96</v>
      </c>
      <c r="AB809" s="226">
        <v>12.920000000000002</v>
      </c>
      <c r="AC809" s="226">
        <v>47.12</v>
      </c>
      <c r="AD809" s="227" t="s">
        <v>2655</v>
      </c>
      <c r="AE809" s="226">
        <v>4.6549531789058696</v>
      </c>
      <c r="AF809">
        <f>IF('WetLitterbags placem_collection'!AB150="","",'WetLitterbags placem_collection'!AB150)</f>
        <v>4.9000000000000004</v>
      </c>
      <c r="AG809">
        <f>IF('WetLitterbags placem_collection'!Z150="","",'WetLitterbags placem_collection'!Z150)</f>
        <v>17.489999999999998</v>
      </c>
      <c r="AH809" s="236" t="str">
        <f>IF('WetLitterbags placem_collection'!AA150="","",'WetLitterbags placem_collection'!AA150)</f>
        <v>M</v>
      </c>
      <c r="AI809">
        <f>IF('WetLitterbags placem_collection'!AC150="","",'WetLitterbags placem_collection'!AC150)</f>
        <v>1</v>
      </c>
      <c r="AJ809">
        <f>AVERAGE('WetLitterbags placem_collection'!S150,'WetLitterbags placem_collection'!U150)</f>
        <v>28.2</v>
      </c>
      <c r="AK809">
        <f>AVERAGE('WetLitterbags placem_collection'!R150,'WetLitterbags placem_collection'!T150)</f>
        <v>25.299999999999997</v>
      </c>
      <c r="AL809">
        <f>INDEX([2]Coordinates!$B$2:$B$197,MATCH(I809,[2]Coordinates!$J$2:$J$197,0))</f>
        <v>-2.3676269689999998</v>
      </c>
      <c r="AM809">
        <f>INDEX([2]Coordinates!$C$2:$C$197,MATCH(I809,[2]Coordinates!$J$2:$J$197,0))</f>
        <v>34.060310960000002</v>
      </c>
      <c r="AN809" t="str">
        <f>IF(ISNUMBER(SEARCH("C", 'WetLitterbags placem_collection'!$Y150)),"YES","NO")</f>
        <v>NO</v>
      </c>
      <c r="AO809" t="str">
        <f>IF(ISNUMBER(SEARCH("H", 'WetLitterbags placem_collection'!$Y150)),"YES","NO")</f>
        <v>NO</v>
      </c>
      <c r="AP809" t="str">
        <f>IF(ISNUMBER(SEARCH("R", 'WetLitterbags placem_collection'!$Y150)),"YES","NO")</f>
        <v>NO</v>
      </c>
    </row>
    <row r="810" spans="1:42" ht="15" customHeight="1">
      <c r="A810" t="s">
        <v>3248</v>
      </c>
      <c r="B810" s="248" t="s">
        <v>2454</v>
      </c>
      <c r="C810" s="253">
        <f>'Dry_Litterbag Placem_Collection'!A151</f>
        <v>149</v>
      </c>
      <c r="D810" s="253" t="str">
        <f>'Dry_Litterbag Placem_Collection'!B151</f>
        <v xml:space="preserve">Mwantimba
</v>
      </c>
      <c r="E810" s="253" t="s">
        <v>2454</v>
      </c>
      <c r="F810" s="253" t="s">
        <v>20</v>
      </c>
      <c r="G810" s="253">
        <v>3</v>
      </c>
      <c r="H810" s="253" t="s">
        <v>3124</v>
      </c>
      <c r="I810" s="254" t="str">
        <f>'Dry_Litterbag Placem_Collection'!C151</f>
        <v>Wet_P3_T5</v>
      </c>
      <c r="J810" s="263" t="s">
        <v>2932</v>
      </c>
      <c r="K810" s="264" t="s">
        <v>298</v>
      </c>
      <c r="L810" s="221" t="str">
        <f>'WetLitterbags placem_collection'!Q151</f>
        <v>R533</v>
      </c>
      <c r="M810" s="223">
        <f>IFERROR(INDEX('Green_rooibos initial weight'!$C$5:$C$2000,MATCH(L810, 'Green_rooibos initial weight'!$A$5:$A$2000,0)),"")</f>
        <v>2.1970000000000001</v>
      </c>
      <c r="N810" s="223">
        <f>IFERROR(M810-(TBIcalc!$H$9+TBIcalc!$H$10),"")</f>
        <v>1.9472</v>
      </c>
      <c r="O810" s="378">
        <f>AVERAGE(Ashed_controlls!$K$2:$K$11)</f>
        <v>5.5147656768714146</v>
      </c>
      <c r="P810" s="223">
        <f t="shared" si="61"/>
        <v>1.8398164827399599</v>
      </c>
      <c r="Q810" s="223">
        <f>IFERROR(INDEX('Both teabags AfterWet'!$C$3:$C$840,MATCH(L810,'Both teabags AfterWet'!$A$3:$A$840,0)),"")</f>
        <v>1.7899</v>
      </c>
      <c r="R810" s="223">
        <f>IFERROR(IF(Q810&gt;0,Q810-(TBIcalc!$H$9),""),"")</f>
        <v>1.6393</v>
      </c>
      <c r="S810" s="223">
        <f>IFERROR(INDEX('Ashed teabags wet'!$K$2:$K$2000,MATCH(L810,'Ashed teabags wet'!$A$2:$A$2000,0)),"")</f>
        <v>11.542288557213293</v>
      </c>
      <c r="T810" s="223">
        <f t="shared" si="62"/>
        <v>1.4500872636816025</v>
      </c>
      <c r="U810" s="224">
        <f>'WetLitterbags placem_collection'!E151</f>
        <v>42762</v>
      </c>
      <c r="V810" s="224">
        <f>IF('WetLitterbags placem_collection'!G151="","",'WetLitterbags placem_collection'!G151)</f>
        <v>42816</v>
      </c>
      <c r="W810" s="225">
        <f t="shared" si="60"/>
        <v>54</v>
      </c>
      <c r="X810" s="223">
        <f t="shared" si="63"/>
        <v>0.30790000000000006</v>
      </c>
      <c r="Y810" s="223">
        <f t="shared" si="64"/>
        <v>0.38972921905835745</v>
      </c>
      <c r="Z810">
        <f>IFERROR(INDEX([1]Rainfall_Wet!$O$2:$O$217,MATCH(C810, [1]Rainfall_Wet!$A$2:$A$217,0)),"")</f>
        <v>206.85140822299999</v>
      </c>
      <c r="AA810" s="226">
        <v>39.96</v>
      </c>
      <c r="AB810" s="226">
        <v>12.920000000000002</v>
      </c>
      <c r="AC810" s="226">
        <v>47.12</v>
      </c>
      <c r="AD810" s="227" t="s">
        <v>2655</v>
      </c>
      <c r="AE810" s="226">
        <v>5.6549531789058696</v>
      </c>
      <c r="AF810">
        <f>IF('WetLitterbags placem_collection'!AB151="","",'WetLitterbags placem_collection'!AB151)</f>
        <v>2.8</v>
      </c>
      <c r="AG810">
        <f>IF('WetLitterbags placem_collection'!Z151="","",'WetLitterbags placem_collection'!Z151)</f>
        <v>13</v>
      </c>
      <c r="AH810" s="236" t="str">
        <f>IF('WetLitterbags placem_collection'!AA151="","",'WetLitterbags placem_collection'!AA151)</f>
        <v>M</v>
      </c>
      <c r="AI810">
        <f>IF('WetLitterbags placem_collection'!AC151="","",'WetLitterbags placem_collection'!AC151)</f>
        <v>1</v>
      </c>
      <c r="AJ810">
        <f>AVERAGE('WetLitterbags placem_collection'!S151,'WetLitterbags placem_collection'!U151)</f>
        <v>25.4</v>
      </c>
      <c r="AK810">
        <f>AVERAGE('WetLitterbags placem_collection'!R151,'WetLitterbags placem_collection'!T151)</f>
        <v>26.9</v>
      </c>
      <c r="AL810">
        <f>INDEX([2]Coordinates!$B$2:$B$197,MATCH(I810,[2]Coordinates!$J$2:$J$197,0))</f>
        <v>-2.3677179960000001</v>
      </c>
      <c r="AM810">
        <f>INDEX([2]Coordinates!$C$2:$C$197,MATCH(I810,[2]Coordinates!$J$2:$J$197,0))</f>
        <v>34.060324960000003</v>
      </c>
      <c r="AN810" t="str">
        <f>IF(ISNUMBER(SEARCH("C", 'WetLitterbags placem_collection'!$Y151)),"YES","NO")</f>
        <v>NO</v>
      </c>
      <c r="AO810" t="str">
        <f>IF(ISNUMBER(SEARCH("H", 'WetLitterbags placem_collection'!$Y151)),"YES","NO")</f>
        <v>NO</v>
      </c>
      <c r="AP810" t="str">
        <f>IF(ISNUMBER(SEARCH("R", 'WetLitterbags placem_collection'!$Y151)),"YES","NO")</f>
        <v>NO</v>
      </c>
    </row>
    <row r="811" spans="1:42" ht="15" customHeight="1">
      <c r="A811" t="s">
        <v>3248</v>
      </c>
      <c r="B811" s="248" t="s">
        <v>2454</v>
      </c>
      <c r="C811" s="253">
        <f>'Dry_Litterbag Placem_Collection'!A152</f>
        <v>150</v>
      </c>
      <c r="D811" s="253" t="str">
        <f>'Dry_Litterbag Placem_Collection'!B152</f>
        <v xml:space="preserve">Mwantimba
</v>
      </c>
      <c r="E811" s="253" t="s">
        <v>2454</v>
      </c>
      <c r="F811" s="253" t="s">
        <v>20</v>
      </c>
      <c r="G811" s="253">
        <v>3</v>
      </c>
      <c r="H811" s="253" t="s">
        <v>3124</v>
      </c>
      <c r="I811" s="254" t="str">
        <f>'Dry_Litterbag Placem_Collection'!C152</f>
        <v>Wet_P3_T6</v>
      </c>
      <c r="J811" s="263" t="s">
        <v>2932</v>
      </c>
      <c r="K811" s="264" t="s">
        <v>298</v>
      </c>
      <c r="L811" s="221" t="str">
        <f>'WetLitterbags placem_collection'!Q152</f>
        <v>R572</v>
      </c>
      <c r="M811" s="223">
        <f>IFERROR(INDEX('Green_rooibos initial weight'!$C$5:$C$2000,MATCH(L811, 'Green_rooibos initial weight'!$A$5:$A$2000,0)),"")</f>
        <v>2.0819999999999999</v>
      </c>
      <c r="N811" s="223">
        <f>IFERROR(M811-(TBIcalc!$H$9+TBIcalc!$H$10),"")</f>
        <v>1.8321999999999998</v>
      </c>
      <c r="O811" s="378">
        <f>AVERAGE(Ashed_controlls!$K$2:$K$11)</f>
        <v>5.5147656768714146</v>
      </c>
      <c r="P811" s="223">
        <f t="shared" si="61"/>
        <v>1.7311584632683619</v>
      </c>
      <c r="Q811" s="223">
        <f>IFERROR(INDEX('Both teabags AfterWet'!$C$3:$C$840,MATCH(L811,'Both teabags AfterWet'!$A$3:$A$840,0)),"")</f>
        <v>1.5680000000000001</v>
      </c>
      <c r="R811" s="223">
        <f>IFERROR(IF(Q811&gt;0,Q811-(TBIcalc!$H$9),""),"")</f>
        <v>1.4174</v>
      </c>
      <c r="S811" s="223">
        <f>IFERROR(INDEX('Ashed teabags wet'!$K$2:$K$2000,MATCH(L811,'Ashed teabags wet'!$A$2:$A$2000,0)),"")</f>
        <v>7.1853320118927355</v>
      </c>
      <c r="T811" s="223">
        <f t="shared" si="62"/>
        <v>1.3155551040634323</v>
      </c>
      <c r="U811" s="224">
        <f>'WetLitterbags placem_collection'!E152</f>
        <v>42762</v>
      </c>
      <c r="V811" s="224">
        <f>IF('WetLitterbags placem_collection'!G152="","",'WetLitterbags placem_collection'!G152)</f>
        <v>42816</v>
      </c>
      <c r="W811" s="225">
        <f t="shared" si="60"/>
        <v>54</v>
      </c>
      <c r="X811" s="223">
        <f t="shared" si="63"/>
        <v>0.41479999999999984</v>
      </c>
      <c r="Y811" s="223">
        <f t="shared" si="64"/>
        <v>0.41560335920492952</v>
      </c>
      <c r="Z811">
        <f>IFERROR(INDEX([1]Rainfall_Wet!$O$2:$O$217,MATCH(C811, [1]Rainfall_Wet!$A$2:$A$217,0)),"")</f>
        <v>206.85140822299999</v>
      </c>
      <c r="AA811" s="226">
        <v>39.96</v>
      </c>
      <c r="AB811" s="226">
        <v>12.920000000000002</v>
      </c>
      <c r="AC811" s="226">
        <v>47.12</v>
      </c>
      <c r="AD811" s="227" t="s">
        <v>2655</v>
      </c>
      <c r="AE811" s="226">
        <v>6.6549531789058696</v>
      </c>
      <c r="AF811">
        <f>IF('WetLitterbags placem_collection'!AB152="","",'WetLitterbags placem_collection'!AB152)</f>
        <v>2.75</v>
      </c>
      <c r="AG811">
        <f>IF('WetLitterbags placem_collection'!Z152="","",'WetLitterbags placem_collection'!Z152)</f>
        <v>19</v>
      </c>
      <c r="AH811" s="236" t="str">
        <f>IF('WetLitterbags placem_collection'!AA152="","",'WetLitterbags placem_collection'!AA152)</f>
        <v>O</v>
      </c>
      <c r="AI811">
        <f>IF('WetLitterbags placem_collection'!AC152="","",'WetLitterbags placem_collection'!AC152)</f>
        <v>0</v>
      </c>
      <c r="AJ811">
        <f>AVERAGE('WetLitterbags placem_collection'!S152,'WetLitterbags placem_collection'!U152)</f>
        <v>22.55</v>
      </c>
      <c r="AK811">
        <f>AVERAGE('WetLitterbags placem_collection'!R152,'WetLitterbags placem_collection'!T152)</f>
        <v>24.75</v>
      </c>
      <c r="AL811">
        <f>INDEX([2]Coordinates!$B$2:$B$197,MATCH(I811,[2]Coordinates!$J$2:$J$197,0))</f>
        <v>-2.3675230329999999</v>
      </c>
      <c r="AM811">
        <f>INDEX([2]Coordinates!$C$2:$C$197,MATCH(I811,[2]Coordinates!$J$2:$J$197,0))</f>
        <v>34.060512969999998</v>
      </c>
      <c r="AN811" t="str">
        <f>IF(ISNUMBER(SEARCH("C", 'WetLitterbags placem_collection'!$Y152)),"YES","NO")</f>
        <v>NO</v>
      </c>
      <c r="AO811" t="str">
        <f>IF(ISNUMBER(SEARCH("H", 'WetLitterbags placem_collection'!$Y152)),"YES","NO")</f>
        <v>NO</v>
      </c>
      <c r="AP811" t="str">
        <f>IF(ISNUMBER(SEARCH("R", 'WetLitterbags placem_collection'!$Y152)),"YES","NO")</f>
        <v>NO</v>
      </c>
    </row>
    <row r="812" spans="1:42" ht="15" customHeight="1">
      <c r="A812" t="s">
        <v>3248</v>
      </c>
      <c r="B812" s="248" t="s">
        <v>2454</v>
      </c>
      <c r="C812" s="253">
        <f>'Dry_Litterbag Placem_Collection'!A153</f>
        <v>151</v>
      </c>
      <c r="D812" s="253" t="str">
        <f>'Dry_Litterbag Placem_Collection'!B153</f>
        <v xml:space="preserve">Mwantimba
</v>
      </c>
      <c r="E812" s="253" t="s">
        <v>2454</v>
      </c>
      <c r="F812" s="253" t="s">
        <v>20</v>
      </c>
      <c r="G812" s="253">
        <v>3</v>
      </c>
      <c r="H812" s="253" t="s">
        <v>3124</v>
      </c>
      <c r="I812" s="254" t="str">
        <f>'Dry_Litterbag Placem_Collection'!C153</f>
        <v>Wet_P3_T7</v>
      </c>
      <c r="J812" s="263" t="s">
        <v>2932</v>
      </c>
      <c r="K812" s="264" t="s">
        <v>298</v>
      </c>
      <c r="L812" s="221" t="str">
        <f>'WetLitterbags placem_collection'!Q153</f>
        <v>R504</v>
      </c>
      <c r="M812" s="223">
        <f>IFERROR(INDEX('Green_rooibos initial weight'!$C$5:$C$2000,MATCH(L812, 'Green_rooibos initial weight'!$A$5:$A$2000,0)),"")</f>
        <v>2.1629999999999998</v>
      </c>
      <c r="N812" s="223">
        <f>IFERROR(M812-(TBIcalc!$H$9+TBIcalc!$H$10),"")</f>
        <v>1.9131999999999998</v>
      </c>
      <c r="O812" s="378">
        <f>AVERAGE(Ashed_controlls!$K$2:$K$11)</f>
        <v>5.5147656768714146</v>
      </c>
      <c r="P812" s="223">
        <f t="shared" si="61"/>
        <v>1.807691503070096</v>
      </c>
      <c r="Q812" s="223">
        <f>IFERROR(INDEX('Both teabags AfterWet'!$C$3:$C$840,MATCH(L812,'Both teabags AfterWet'!$A$3:$A$840,0)),"")</f>
        <v>1.798</v>
      </c>
      <c r="R812" s="223">
        <f>IFERROR(IF(Q812&gt;0,Q812-(TBIcalc!$H$9),""),"")</f>
        <v>1.6474</v>
      </c>
      <c r="S812" s="223">
        <f>IFERROR(INDEX('Ashed teabags wet'!$K$2:$K$2000,MATCH(L812,'Ashed teabags wet'!$A$2:$A$2000,0)),"")</f>
        <v>6.3484251968501049</v>
      </c>
      <c r="T812" s="223">
        <f t="shared" si="62"/>
        <v>1.5428160433070914</v>
      </c>
      <c r="U812" s="224">
        <f>'WetLitterbags placem_collection'!E153</f>
        <v>42762</v>
      </c>
      <c r="V812" s="224">
        <f>IF('WetLitterbags placem_collection'!G153="","",'WetLitterbags placem_collection'!G153)</f>
        <v>42816</v>
      </c>
      <c r="W812" s="225">
        <f t="shared" si="60"/>
        <v>54</v>
      </c>
      <c r="X812" s="223">
        <f t="shared" si="63"/>
        <v>0.26579999999999981</v>
      </c>
      <c r="Y812" s="223">
        <f t="shared" si="64"/>
        <v>0.26487545976300453</v>
      </c>
      <c r="Z812">
        <f>IFERROR(INDEX([1]Rainfall_Wet!$O$2:$O$217,MATCH(C812, [1]Rainfall_Wet!$A$2:$A$217,0)),"")</f>
        <v>206.85140822299999</v>
      </c>
      <c r="AA812" s="226">
        <v>39.96</v>
      </c>
      <c r="AB812" s="226">
        <v>12.920000000000002</v>
      </c>
      <c r="AC812" s="226">
        <v>47.12</v>
      </c>
      <c r="AD812" s="227" t="s">
        <v>2655</v>
      </c>
      <c r="AE812" s="226">
        <v>7.6549531789058696</v>
      </c>
      <c r="AF812">
        <f>IF('WetLitterbags placem_collection'!AB153="","",'WetLitterbags placem_collection'!AB153)</f>
        <v>1.4</v>
      </c>
      <c r="AG812">
        <f>IF('WetLitterbags placem_collection'!Z153="","",'WetLitterbags placem_collection'!Z153)</f>
        <v>7.9</v>
      </c>
      <c r="AH812" s="236" t="str">
        <f>IF('WetLitterbags placem_collection'!AA153="","",'WetLitterbags placem_collection'!AA153)</f>
        <v>O</v>
      </c>
      <c r="AI812">
        <f>IF('WetLitterbags placem_collection'!AC153="","",'WetLitterbags placem_collection'!AC153)</f>
        <v>1</v>
      </c>
      <c r="AJ812">
        <f>AVERAGE('WetLitterbags placem_collection'!S153,'WetLitterbags placem_collection'!U153)</f>
        <v>26.049999999999997</v>
      </c>
      <c r="AK812">
        <f>AVERAGE('WetLitterbags placem_collection'!R153,'WetLitterbags placem_collection'!T153)</f>
        <v>26.5</v>
      </c>
      <c r="AL812">
        <f>INDEX([2]Coordinates!$B$2:$B$197,MATCH(I812,[2]Coordinates!$J$2:$J$197,0))</f>
        <v>-2.3673460070000001</v>
      </c>
      <c r="AM812">
        <f>INDEX([2]Coordinates!$C$2:$C$197,MATCH(I812,[2]Coordinates!$J$2:$J$197,0))</f>
        <v>34.060310039999997</v>
      </c>
      <c r="AN812" t="str">
        <f>IF(ISNUMBER(SEARCH("C", 'WetLitterbags placem_collection'!$Y153)),"YES","NO")</f>
        <v>NO</v>
      </c>
      <c r="AO812" t="str">
        <f>IF(ISNUMBER(SEARCH("H", 'WetLitterbags placem_collection'!$Y153)),"YES","NO")</f>
        <v>NO</v>
      </c>
      <c r="AP812" t="str">
        <f>IF(ISNUMBER(SEARCH("R", 'WetLitterbags placem_collection'!$Y153)),"YES","NO")</f>
        <v>NO</v>
      </c>
    </row>
    <row r="813" spans="1:42" ht="15" customHeight="1">
      <c r="A813" t="s">
        <v>3248</v>
      </c>
      <c r="B813" s="248" t="s">
        <v>2454</v>
      </c>
      <c r="C813" s="253">
        <f>'Dry_Litterbag Placem_Collection'!A154</f>
        <v>152</v>
      </c>
      <c r="D813" s="253" t="str">
        <f>'Dry_Litterbag Placem_Collection'!B154</f>
        <v xml:space="preserve">Mwantimba
</v>
      </c>
      <c r="E813" s="253" t="s">
        <v>2454</v>
      </c>
      <c r="F813" s="253" t="s">
        <v>20</v>
      </c>
      <c r="G813" s="253">
        <v>3</v>
      </c>
      <c r="H813" s="253" t="s">
        <v>3124</v>
      </c>
      <c r="I813" s="254" t="str">
        <f>'Dry_Litterbag Placem_Collection'!C154</f>
        <v>Wet_P3_T8</v>
      </c>
      <c r="J813" s="263" t="s">
        <v>2932</v>
      </c>
      <c r="K813" s="264" t="s">
        <v>298</v>
      </c>
      <c r="L813" s="221" t="str">
        <f>'WetLitterbags placem_collection'!Q154</f>
        <v>R579</v>
      </c>
      <c r="M813" s="223">
        <f>IFERROR(INDEX('Green_rooibos initial weight'!$C$5:$C$2000,MATCH(L813, 'Green_rooibos initial weight'!$A$5:$A$2000,0)),"")</f>
        <v>2.1349999999999998</v>
      </c>
      <c r="N813" s="223">
        <f>IFERROR(M813-(TBIcalc!$H$9+TBIcalc!$H$10),"")</f>
        <v>1.8851999999999998</v>
      </c>
      <c r="O813" s="378">
        <f>AVERAGE(Ashed_controlls!$K$2:$K$11)</f>
        <v>5.5147656768714146</v>
      </c>
      <c r="P813" s="223">
        <f t="shared" si="61"/>
        <v>1.7812356374596199</v>
      </c>
      <c r="Q813" s="223">
        <f>IFERROR(INDEX('Both teabags AfterWet'!$C$3:$C$840,MATCH(L813,'Both teabags AfterWet'!$A$3:$A$840,0)),"")</f>
        <v>1.5234000000000001</v>
      </c>
      <c r="R813" s="223">
        <f>IFERROR(IF(Q813&gt;0,Q813-(TBIcalc!$H$9),""),"")</f>
        <v>1.3728</v>
      </c>
      <c r="S813" s="223">
        <f>IFERROR(INDEX('Ashed teabags wet'!$K$2:$K$2000,MATCH(L813,'Ashed teabags wet'!$A$2:$A$2000,0)),"")</f>
        <v>5.1525762881442967</v>
      </c>
      <c r="T813" s="223">
        <f t="shared" si="62"/>
        <v>1.302065432716355</v>
      </c>
      <c r="U813" s="224">
        <f>'WetLitterbags placem_collection'!E154</f>
        <v>42762</v>
      </c>
      <c r="V813" s="224">
        <f>IF('WetLitterbags placem_collection'!G154="","",'WetLitterbags placem_collection'!G154)</f>
        <v>42816</v>
      </c>
      <c r="W813" s="225">
        <f t="shared" si="60"/>
        <v>54</v>
      </c>
      <c r="X813" s="223">
        <f t="shared" si="63"/>
        <v>0.51239999999999974</v>
      </c>
      <c r="Y813" s="223">
        <f t="shared" si="64"/>
        <v>0.47917020474326488</v>
      </c>
      <c r="Z813">
        <f>IFERROR(INDEX([1]Rainfall_Wet!$O$2:$O$217,MATCH(C813, [1]Rainfall_Wet!$A$2:$A$217,0)),"")</f>
        <v>206.85140822299999</v>
      </c>
      <c r="AA813" s="226">
        <v>39.96</v>
      </c>
      <c r="AB813" s="226">
        <v>12.920000000000002</v>
      </c>
      <c r="AC813" s="226">
        <v>47.12</v>
      </c>
      <c r="AD813" s="227" t="s">
        <v>2655</v>
      </c>
      <c r="AE813" s="226">
        <v>8.6549531789058705</v>
      </c>
      <c r="AF813">
        <f>IF('WetLitterbags placem_collection'!AB154="","",'WetLitterbags placem_collection'!AB154)</f>
        <v>2.2000000000000002</v>
      </c>
      <c r="AG813">
        <f>IF('WetLitterbags placem_collection'!Z154="","",'WetLitterbags placem_collection'!Z154)</f>
        <v>15</v>
      </c>
      <c r="AH813" s="236" t="str">
        <f>IF('WetLitterbags placem_collection'!AA154="","",'WetLitterbags placem_collection'!AA154)</f>
        <v>M</v>
      </c>
      <c r="AI813">
        <f>IF('WetLitterbags placem_collection'!AC154="","",'WetLitterbags placem_collection'!AC154)</f>
        <v>0</v>
      </c>
      <c r="AJ813">
        <f>AVERAGE('WetLitterbags placem_collection'!S154,'WetLitterbags placem_collection'!U154)</f>
        <v>18.8</v>
      </c>
      <c r="AK813">
        <f>AVERAGE('WetLitterbags placem_collection'!R154,'WetLitterbags placem_collection'!T154)</f>
        <v>23.7</v>
      </c>
      <c r="AL813">
        <f>INDEX([2]Coordinates!$B$2:$B$197,MATCH(I813,[2]Coordinates!$J$2:$J$197,0))</f>
        <v>-2.367543988</v>
      </c>
      <c r="AM813">
        <f>INDEX([2]Coordinates!$C$2:$C$197,MATCH(I813,[2]Coordinates!$J$2:$J$197,0))</f>
        <v>34.060168969999999</v>
      </c>
      <c r="AN813" t="str">
        <f>IF(ISNUMBER(SEARCH("C", 'WetLitterbags placem_collection'!$Y154)),"YES","NO")</f>
        <v>NO</v>
      </c>
      <c r="AO813" t="str">
        <f>IF(ISNUMBER(SEARCH("H", 'WetLitterbags placem_collection'!$Y154)),"YES","NO")</f>
        <v>NO</v>
      </c>
      <c r="AP813" t="str">
        <f>IF(ISNUMBER(SEARCH("R", 'WetLitterbags placem_collection'!$Y154)),"YES","NO")</f>
        <v>NO</v>
      </c>
    </row>
    <row r="814" spans="1:42" ht="15" customHeight="1">
      <c r="A814" t="s">
        <v>3248</v>
      </c>
      <c r="B814" s="248" t="s">
        <v>2454</v>
      </c>
      <c r="C814" s="253">
        <f>'Dry_Litterbag Placem_Collection'!A155</f>
        <v>153</v>
      </c>
      <c r="D814" s="253" t="str">
        <f>'Dry_Litterbag Placem_Collection'!B155</f>
        <v xml:space="preserve">Mwantimba
</v>
      </c>
      <c r="E814" s="253" t="s">
        <v>2454</v>
      </c>
      <c r="F814" s="253" t="s">
        <v>20</v>
      </c>
      <c r="G814" s="253">
        <v>4</v>
      </c>
      <c r="H814" s="253" t="s">
        <v>3125</v>
      </c>
      <c r="I814" s="254" t="str">
        <f>'Dry_Litterbag Placem_Collection'!C155</f>
        <v>Wet_P4_T1</v>
      </c>
      <c r="J814" s="263" t="s">
        <v>2932</v>
      </c>
      <c r="K814" s="264" t="s">
        <v>298</v>
      </c>
      <c r="L814" s="221" t="str">
        <f>'WetLitterbags placem_collection'!Q155</f>
        <v>R440</v>
      </c>
      <c r="M814" s="223">
        <f>IFERROR(INDEX('Green_rooibos initial weight'!$C$5:$C$2000,MATCH(L814, 'Green_rooibos initial weight'!$A$5:$A$2000,0)),"")</f>
        <v>2.1110000000000002</v>
      </c>
      <c r="N814" s="223">
        <f>IFERROR(M814-(TBIcalc!$H$9+TBIcalc!$H$10),"")</f>
        <v>1.8612000000000002</v>
      </c>
      <c r="O814" s="378">
        <f>AVERAGE(Ashed_controlls!$K$2:$K$11)</f>
        <v>5.5147656768714146</v>
      </c>
      <c r="P814" s="223">
        <f t="shared" si="61"/>
        <v>1.7585591812220693</v>
      </c>
      <c r="Q814" s="223">
        <f>IFERROR(INDEX('Both teabags AfterWet'!$C$3:$C$840,MATCH(L814,'Both teabags AfterWet'!$A$3:$A$840,0)),"")</f>
        <v>1.6322000000000001</v>
      </c>
      <c r="R814" s="223">
        <f>IFERROR(IF(Q814&gt;0,Q814-(TBIcalc!$H$9),""),"")</f>
        <v>1.4816</v>
      </c>
      <c r="S814" s="223">
        <f>IFERROR(INDEX('Ashed teabags wet'!$K$2:$K$2000,MATCH(L814,'Ashed teabags wet'!$A$2:$A$2000,0)),"")</f>
        <v>4.0218470705065492</v>
      </c>
      <c r="T814" s="223">
        <f t="shared" si="62"/>
        <v>1.4220123138033749</v>
      </c>
      <c r="U814" s="224">
        <f>'WetLitterbags placem_collection'!E155</f>
        <v>42762</v>
      </c>
      <c r="V814" s="224">
        <f>IF('WetLitterbags placem_collection'!G155="","",'WetLitterbags placem_collection'!G155)</f>
        <v>42816</v>
      </c>
      <c r="W814" s="225">
        <f t="shared" si="60"/>
        <v>54</v>
      </c>
      <c r="X814" s="223">
        <f t="shared" si="63"/>
        <v>0.37960000000000016</v>
      </c>
      <c r="Y814" s="223">
        <f t="shared" si="64"/>
        <v>0.33654686741869444</v>
      </c>
      <c r="Z814">
        <f>IFERROR(INDEX([1]Rainfall_Wet!$O$2:$O$217,MATCH(C814, [1]Rainfall_Wet!$A$2:$A$217,0)),"")</f>
        <v>206.85140822299999</v>
      </c>
      <c r="AA814" s="226">
        <v>27.96</v>
      </c>
      <c r="AB814" s="226">
        <v>4.9200000000000017</v>
      </c>
      <c r="AC814" s="226">
        <v>67.12</v>
      </c>
      <c r="AD814" s="227" t="s">
        <v>2651</v>
      </c>
      <c r="AE814" s="226">
        <v>1.0437161163134547</v>
      </c>
      <c r="AF814">
        <f>IF('WetLitterbags placem_collection'!AB155="","",'WetLitterbags placem_collection'!AB155)</f>
        <v>2.1</v>
      </c>
      <c r="AG814">
        <f>IF('WetLitterbags placem_collection'!Z155="","",'WetLitterbags placem_collection'!Z155)</f>
        <v>16.399999999999999</v>
      </c>
      <c r="AH814" s="236" t="str">
        <f>IF('WetLitterbags placem_collection'!AA155="","",'WetLitterbags placem_collection'!AA155)</f>
        <v>G</v>
      </c>
      <c r="AI814">
        <f>IF('WetLitterbags placem_collection'!AC155="","",'WetLitterbags placem_collection'!AC155)</f>
        <v>0</v>
      </c>
      <c r="AJ814">
        <f>AVERAGE('WetLitterbags placem_collection'!S155,'WetLitterbags placem_collection'!U155)</f>
        <v>21.35</v>
      </c>
      <c r="AK814">
        <f>AVERAGE('WetLitterbags placem_collection'!R155,'WetLitterbags placem_collection'!T155)</f>
        <v>26.700000000000003</v>
      </c>
      <c r="AL814">
        <f>INDEX([2]Coordinates!$B$2:$B$197,MATCH(I814,[2]Coordinates!$J$2:$J$197,0))</f>
        <v>-2.3676780150000001</v>
      </c>
      <c r="AM814">
        <f>INDEX([2]Coordinates!$C$2:$C$197,MATCH(I814,[2]Coordinates!$J$2:$J$197,0))</f>
        <v>34.05937797</v>
      </c>
      <c r="AN814" t="str">
        <f>IF(ISNUMBER(SEARCH("C", 'WetLitterbags placem_collection'!$Y155)),"YES","NO")</f>
        <v>NO</v>
      </c>
      <c r="AO814" t="str">
        <f>IF(ISNUMBER(SEARCH("H", 'WetLitterbags placem_collection'!$Y155)),"YES","NO")</f>
        <v>NO</v>
      </c>
      <c r="AP814" t="str">
        <f>IF(ISNUMBER(SEARCH("R", 'WetLitterbags placem_collection'!$Y155)),"YES","NO")</f>
        <v>NO</v>
      </c>
    </row>
    <row r="815" spans="1:42" ht="15" customHeight="1">
      <c r="A815" t="s">
        <v>3248</v>
      </c>
      <c r="B815" s="248" t="s">
        <v>2454</v>
      </c>
      <c r="C815" s="253">
        <f>'Dry_Litterbag Placem_Collection'!A156</f>
        <v>154</v>
      </c>
      <c r="D815" s="253" t="str">
        <f>'Dry_Litterbag Placem_Collection'!B156</f>
        <v xml:space="preserve">Mwantimba
</v>
      </c>
      <c r="E815" s="253" t="s">
        <v>2454</v>
      </c>
      <c r="F815" s="253" t="s">
        <v>20</v>
      </c>
      <c r="G815" s="253">
        <v>4</v>
      </c>
      <c r="H815" s="253" t="s">
        <v>3125</v>
      </c>
      <c r="I815" s="254" t="str">
        <f>'Dry_Litterbag Placem_Collection'!C156</f>
        <v>Wet_P4_T2</v>
      </c>
      <c r="J815" s="263" t="s">
        <v>2932</v>
      </c>
      <c r="K815" s="264" t="s">
        <v>298</v>
      </c>
      <c r="L815" s="221" t="str">
        <f>'WetLitterbags placem_collection'!Q156</f>
        <v>R485</v>
      </c>
      <c r="M815" s="223">
        <f>IFERROR(INDEX('Green_rooibos initial weight'!$C$5:$C$2000,MATCH(L815, 'Green_rooibos initial weight'!$A$5:$A$2000,0)),"")</f>
        <v>2.242</v>
      </c>
      <c r="N815" s="223">
        <f>IFERROR(M815-(TBIcalc!$H$9+TBIcalc!$H$10),"")</f>
        <v>1.9922</v>
      </c>
      <c r="O815" s="378">
        <f>AVERAGE(Ashed_controlls!$K$2:$K$11)</f>
        <v>5.5147656768714146</v>
      </c>
      <c r="P815" s="223">
        <f t="shared" si="61"/>
        <v>1.8823348381853677</v>
      </c>
      <c r="Q815" s="223">
        <f>IFERROR(INDEX('Both teabags AfterWet'!$C$3:$C$840,MATCH(L815,'Both teabags AfterWet'!$A$3:$A$840,0)),"")</f>
        <v>1.839</v>
      </c>
      <c r="R815" s="223">
        <f>IFERROR(IF(Q815&gt;0,Q815-(TBIcalc!$H$9),""),"")</f>
        <v>1.6883999999999999</v>
      </c>
      <c r="S815" s="223">
        <f>IFERROR(INDEX('Ashed teabags wet'!$K$2:$K$2000,MATCH(L815,'Ashed teabags wet'!$A$2:$A$2000,0)),"")</f>
        <v>11.924381968008097</v>
      </c>
      <c r="T815" s="223">
        <f t="shared" si="62"/>
        <v>1.4870687348521512</v>
      </c>
      <c r="U815" s="224">
        <f>'WetLitterbags placem_collection'!E156</f>
        <v>42762</v>
      </c>
      <c r="V815" s="224">
        <f>IF('WetLitterbags placem_collection'!G156="","",'WetLitterbags placem_collection'!G156)</f>
        <v>42816</v>
      </c>
      <c r="W815" s="225">
        <f t="shared" si="60"/>
        <v>54</v>
      </c>
      <c r="X815" s="223">
        <f t="shared" si="63"/>
        <v>0.30380000000000007</v>
      </c>
      <c r="Y815" s="223">
        <f t="shared" si="64"/>
        <v>0.39526610333321655</v>
      </c>
      <c r="Z815">
        <f>IFERROR(INDEX([1]Rainfall_Wet!$O$2:$O$217,MATCH(C815, [1]Rainfall_Wet!$A$2:$A$217,0)),"")</f>
        <v>206.85140822299999</v>
      </c>
      <c r="AA815" s="226">
        <v>27.96</v>
      </c>
      <c r="AB815" s="226">
        <v>4.9200000000000017</v>
      </c>
      <c r="AC815" s="226">
        <v>67.12</v>
      </c>
      <c r="AD815" s="227" t="s">
        <v>2651</v>
      </c>
      <c r="AE815" s="226">
        <v>2.0437161163134498</v>
      </c>
      <c r="AF815">
        <f>IF('WetLitterbags placem_collection'!AB156="","",'WetLitterbags placem_collection'!AB156)</f>
        <v>2.15</v>
      </c>
      <c r="AG815">
        <f>IF('WetLitterbags placem_collection'!Z156="","",'WetLitterbags placem_collection'!Z156)</f>
        <v>9</v>
      </c>
      <c r="AH815" s="236" t="str">
        <f>IF('WetLitterbags placem_collection'!AA156="","",'WetLitterbags placem_collection'!AA156)</f>
        <v>G</v>
      </c>
      <c r="AI815">
        <f>IF('WetLitterbags placem_collection'!AC156="","",'WetLitterbags placem_collection'!AC156)</f>
        <v>0</v>
      </c>
      <c r="AJ815">
        <f>AVERAGE('WetLitterbags placem_collection'!S156,'WetLitterbags placem_collection'!U156)</f>
        <v>23.5</v>
      </c>
      <c r="AK815">
        <f>AVERAGE('WetLitterbags placem_collection'!R156,'WetLitterbags placem_collection'!T156)</f>
        <v>25.7</v>
      </c>
      <c r="AL815">
        <f>INDEX([2]Coordinates!$B$2:$B$197,MATCH(I815,[2]Coordinates!$J$2:$J$197,0))</f>
        <v>-2.3677299820000002</v>
      </c>
      <c r="AM815">
        <f>INDEX([2]Coordinates!$C$2:$C$197,MATCH(I815,[2]Coordinates!$J$2:$J$197,0))</f>
        <v>34.059351990000003</v>
      </c>
      <c r="AN815" t="str">
        <f>IF(ISNUMBER(SEARCH("C", 'WetLitterbags placem_collection'!$Y156)),"YES","NO")</f>
        <v>NO</v>
      </c>
      <c r="AO815" t="str">
        <f>IF(ISNUMBER(SEARCH("H", 'WetLitterbags placem_collection'!$Y156)),"YES","NO")</f>
        <v>NO</v>
      </c>
      <c r="AP815" t="str">
        <f>IF(ISNUMBER(SEARCH("R", 'WetLitterbags placem_collection'!$Y156)),"YES","NO")</f>
        <v>NO</v>
      </c>
    </row>
    <row r="816" spans="1:42" ht="15" customHeight="1">
      <c r="A816" t="s">
        <v>3248</v>
      </c>
      <c r="B816" s="248" t="s">
        <v>2454</v>
      </c>
      <c r="C816" s="253">
        <f>'Dry_Litterbag Placem_Collection'!A157</f>
        <v>155</v>
      </c>
      <c r="D816" s="253" t="str">
        <f>'Dry_Litterbag Placem_Collection'!B157</f>
        <v xml:space="preserve">Mwantimba
</v>
      </c>
      <c r="E816" s="253" t="s">
        <v>2454</v>
      </c>
      <c r="F816" s="253" t="s">
        <v>20</v>
      </c>
      <c r="G816" s="253">
        <v>4</v>
      </c>
      <c r="H816" s="253" t="s">
        <v>3125</v>
      </c>
      <c r="I816" s="254" t="str">
        <f>'Dry_Litterbag Placem_Collection'!C157</f>
        <v>Wet_P4_T3</v>
      </c>
      <c r="J816" s="263" t="s">
        <v>2932</v>
      </c>
      <c r="K816" s="264" t="s">
        <v>298</v>
      </c>
      <c r="L816" s="221" t="str">
        <f>'WetLitterbags placem_collection'!Q157</f>
        <v>R556</v>
      </c>
      <c r="M816" s="223">
        <f>IFERROR(INDEX('Green_rooibos initial weight'!$C$5:$C$2000,MATCH(L816, 'Green_rooibos initial weight'!$A$5:$A$2000,0)),"")</f>
        <v>2.0830000000000002</v>
      </c>
      <c r="N816" s="223">
        <f>IFERROR(M816-(TBIcalc!$H$9+TBIcalc!$H$10),"")</f>
        <v>1.8332000000000002</v>
      </c>
      <c r="O816" s="378">
        <f>AVERAGE(Ashed_controlls!$K$2:$K$11)</f>
        <v>5.5147656768714146</v>
      </c>
      <c r="P816" s="223">
        <f t="shared" si="61"/>
        <v>1.7321033156115935</v>
      </c>
      <c r="Q816" s="223">
        <f>IFERROR(INDEX('Both teabags AfterWet'!$C$3:$C$840,MATCH(L816,'Both teabags AfterWet'!$A$3:$A$840,0)),"")</f>
        <v>1.643</v>
      </c>
      <c r="R816" s="223">
        <f>IFERROR(IF(Q816&gt;0,Q816-(TBIcalc!$H$9),""),"")</f>
        <v>1.4923999999999999</v>
      </c>
      <c r="S816" s="223">
        <f>IFERROR(INDEX('Ashed teabags wet'!$K$2:$K$2000,MATCH(L816,'Ashed teabags wet'!$A$2:$A$2000,0)),"")</f>
        <v>7.5886170743882877</v>
      </c>
      <c r="T816" s="223">
        <f t="shared" si="62"/>
        <v>1.3791474787818292</v>
      </c>
      <c r="U816" s="224">
        <f>'WetLitterbags placem_collection'!E157</f>
        <v>42762</v>
      </c>
      <c r="V816" s="224">
        <f>IF('WetLitterbags placem_collection'!G157="","",'WetLitterbags placem_collection'!G157)</f>
        <v>42816</v>
      </c>
      <c r="W816" s="225">
        <f t="shared" si="60"/>
        <v>54</v>
      </c>
      <c r="X816" s="223">
        <f t="shared" si="63"/>
        <v>0.34080000000000021</v>
      </c>
      <c r="Y816" s="223">
        <f t="shared" si="64"/>
        <v>0.35295583682976428</v>
      </c>
      <c r="Z816">
        <f>IFERROR(INDEX([1]Rainfall_Wet!$O$2:$O$217,MATCH(C816, [1]Rainfall_Wet!$A$2:$A$217,0)),"")</f>
        <v>206.85140822299999</v>
      </c>
      <c r="AA816" s="226">
        <v>27.96</v>
      </c>
      <c r="AB816" s="226">
        <v>4.9200000000000017</v>
      </c>
      <c r="AC816" s="226">
        <v>67.12</v>
      </c>
      <c r="AD816" s="227" t="s">
        <v>2651</v>
      </c>
      <c r="AE816" s="226">
        <v>3.0437161163134498</v>
      </c>
      <c r="AF816">
        <f>IF('WetLitterbags placem_collection'!AB157="","",'WetLitterbags placem_collection'!AB157)</f>
        <v>1.2</v>
      </c>
      <c r="AG816">
        <f>IF('WetLitterbags placem_collection'!Z157="","",'WetLitterbags placem_collection'!Z157)</f>
        <v>11</v>
      </c>
      <c r="AH816" s="236" t="str">
        <f>IF('WetLitterbags placem_collection'!AA157="","",'WetLitterbags placem_collection'!AA157)</f>
        <v>G</v>
      </c>
      <c r="AI816">
        <f>IF('WetLitterbags placem_collection'!AC157="","",'WetLitterbags placem_collection'!AC157)</f>
        <v>0</v>
      </c>
      <c r="AJ816">
        <f>AVERAGE('WetLitterbags placem_collection'!S157,'WetLitterbags placem_collection'!U157)</f>
        <v>23.75</v>
      </c>
      <c r="AK816">
        <f>AVERAGE('WetLitterbags placem_collection'!R157,'WetLitterbags placem_collection'!T157)</f>
        <v>26.799999999999997</v>
      </c>
      <c r="AL816">
        <f>INDEX([2]Coordinates!$B$2:$B$197,MATCH(I816,[2]Coordinates!$J$2:$J$197,0))</f>
        <v>-2.3677119609999999</v>
      </c>
      <c r="AM816">
        <f>INDEX([2]Coordinates!$C$2:$C$197,MATCH(I816,[2]Coordinates!$J$2:$J$197,0))</f>
        <v>34.059339000000001</v>
      </c>
      <c r="AN816" t="str">
        <f>IF(ISNUMBER(SEARCH("C", 'WetLitterbags placem_collection'!$Y157)),"YES","NO")</f>
        <v>NO</v>
      </c>
      <c r="AO816" t="str">
        <f>IF(ISNUMBER(SEARCH("H", 'WetLitterbags placem_collection'!$Y157)),"YES","NO")</f>
        <v>NO</v>
      </c>
      <c r="AP816" t="str">
        <f>IF(ISNUMBER(SEARCH("R", 'WetLitterbags placem_collection'!$Y157)),"YES","NO")</f>
        <v>NO</v>
      </c>
    </row>
    <row r="817" spans="1:42" ht="15" customHeight="1">
      <c r="A817" t="s">
        <v>3248</v>
      </c>
      <c r="B817" s="248" t="s">
        <v>2454</v>
      </c>
      <c r="C817" s="253">
        <f>'Dry_Litterbag Placem_Collection'!A158</f>
        <v>156</v>
      </c>
      <c r="D817" s="253" t="str">
        <f>'Dry_Litterbag Placem_Collection'!B158</f>
        <v xml:space="preserve">Mwantimba
</v>
      </c>
      <c r="E817" s="253" t="s">
        <v>2454</v>
      </c>
      <c r="F817" s="253" t="s">
        <v>20</v>
      </c>
      <c r="G817" s="253">
        <v>4</v>
      </c>
      <c r="H817" s="253" t="s">
        <v>3125</v>
      </c>
      <c r="I817" s="254" t="str">
        <f>'Dry_Litterbag Placem_Collection'!C158</f>
        <v>Wet_P4_T4</v>
      </c>
      <c r="J817" s="263" t="s">
        <v>2932</v>
      </c>
      <c r="K817" s="264" t="s">
        <v>298</v>
      </c>
      <c r="L817" s="221" t="str">
        <f>'WetLitterbags placem_collection'!Q158</f>
        <v>R464</v>
      </c>
      <c r="M817" s="223">
        <f>IFERROR(INDEX('Green_rooibos initial weight'!$C$5:$C$2000,MATCH(L817, 'Green_rooibos initial weight'!$A$5:$A$2000,0)),"")</f>
        <v>2.2040000000000002</v>
      </c>
      <c r="N817" s="223">
        <f>IFERROR(M817-(TBIcalc!$H$9+TBIcalc!$H$10),"")</f>
        <v>1.9542000000000002</v>
      </c>
      <c r="O817" s="378">
        <f>AVERAGE(Ashed_controlls!$K$2:$K$11)</f>
        <v>5.5147656768714146</v>
      </c>
      <c r="P817" s="223">
        <f t="shared" si="61"/>
        <v>1.8464304491425789</v>
      </c>
      <c r="Q817" s="223">
        <f>IFERROR(INDEX('Both teabags AfterWet'!$C$3:$C$840,MATCH(L817,'Both teabags AfterWet'!$A$3:$A$840,0)),"")</f>
        <v>1.802</v>
      </c>
      <c r="R817" s="223">
        <f>IFERROR(IF(Q817&gt;0,Q817-(TBIcalc!$H$9),""),"")</f>
        <v>1.6514</v>
      </c>
      <c r="S817" s="223">
        <f>IFERROR(INDEX('Ashed teabags wet'!$K$2:$K$2000,MATCH(L817,'Ashed teabags wet'!$A$2:$A$2000,0)),"")</f>
        <v>8.8737201365180916</v>
      </c>
      <c r="T817" s="223">
        <f t="shared" si="62"/>
        <v>1.5048593856655401</v>
      </c>
      <c r="U817" s="224">
        <f>'WetLitterbags placem_collection'!E158</f>
        <v>42762</v>
      </c>
      <c r="V817" s="224">
        <f>IF('WetLitterbags placem_collection'!G158="","",'WetLitterbags placem_collection'!G158)</f>
        <v>42816</v>
      </c>
      <c r="W817" s="225">
        <f t="shared" si="60"/>
        <v>54</v>
      </c>
      <c r="X817" s="223">
        <f t="shared" si="63"/>
        <v>0.30280000000000018</v>
      </c>
      <c r="Y817" s="223">
        <f t="shared" si="64"/>
        <v>0.34157106347703881</v>
      </c>
      <c r="Z817">
        <f>IFERROR(INDEX([1]Rainfall_Wet!$O$2:$O$217,MATCH(C817, [1]Rainfall_Wet!$A$2:$A$217,0)),"")</f>
        <v>206.85140822299999</v>
      </c>
      <c r="AA817" s="226">
        <v>27.96</v>
      </c>
      <c r="AB817" s="226">
        <v>4.9200000000000017</v>
      </c>
      <c r="AC817" s="226">
        <v>67.12</v>
      </c>
      <c r="AD817" s="227" t="s">
        <v>2651</v>
      </c>
      <c r="AE817" s="226">
        <v>4.0437161163134503</v>
      </c>
      <c r="AF817">
        <f>IF('WetLitterbags placem_collection'!AB158="","",'WetLitterbags placem_collection'!AB158)</f>
        <v>1.55</v>
      </c>
      <c r="AG817">
        <f>IF('WetLitterbags placem_collection'!Z158="","",'WetLitterbags placem_collection'!Z158)</f>
        <v>9.1</v>
      </c>
      <c r="AH817" s="236" t="str">
        <f>IF('WetLitterbags placem_collection'!AA158="","",'WetLitterbags placem_collection'!AA158)</f>
        <v>O</v>
      </c>
      <c r="AI817">
        <f>IF('WetLitterbags placem_collection'!AC158="","",'WetLitterbags placem_collection'!AC158)</f>
        <v>0</v>
      </c>
      <c r="AJ817">
        <f>AVERAGE('WetLitterbags placem_collection'!S158,'WetLitterbags placem_collection'!U158)</f>
        <v>21.700000000000003</v>
      </c>
      <c r="AK817">
        <f>AVERAGE('WetLitterbags placem_collection'!R158,'WetLitterbags placem_collection'!T158)</f>
        <v>26.95</v>
      </c>
      <c r="AL817">
        <f>INDEX([2]Coordinates!$B$2:$B$197,MATCH(I817,[2]Coordinates!$J$2:$J$197,0))</f>
        <v>-2.3676950300000001</v>
      </c>
      <c r="AM817">
        <f>INDEX([2]Coordinates!$C$2:$C$197,MATCH(I817,[2]Coordinates!$J$2:$J$197,0))</f>
        <v>34.059499010000003</v>
      </c>
      <c r="AN817" t="str">
        <f>IF(ISNUMBER(SEARCH("C", 'WetLitterbags placem_collection'!$Y158)),"YES","NO")</f>
        <v>NO</v>
      </c>
      <c r="AO817" t="str">
        <f>IF(ISNUMBER(SEARCH("H", 'WetLitterbags placem_collection'!$Y158)),"YES","NO")</f>
        <v>NO</v>
      </c>
      <c r="AP817" t="str">
        <f>IF(ISNUMBER(SEARCH("R", 'WetLitterbags placem_collection'!$Y158)),"YES","NO")</f>
        <v>YES</v>
      </c>
    </row>
    <row r="818" spans="1:42" ht="15" customHeight="1">
      <c r="A818" t="s">
        <v>3248</v>
      </c>
      <c r="B818" s="248" t="s">
        <v>2454</v>
      </c>
      <c r="C818" s="253">
        <f>'Dry_Litterbag Placem_Collection'!A159</f>
        <v>157</v>
      </c>
      <c r="D818" s="253" t="str">
        <f>'Dry_Litterbag Placem_Collection'!B159</f>
        <v xml:space="preserve">Mwantimba
</v>
      </c>
      <c r="E818" s="253" t="s">
        <v>2454</v>
      </c>
      <c r="F818" s="253" t="s">
        <v>20</v>
      </c>
      <c r="G818" s="253">
        <v>4</v>
      </c>
      <c r="H818" s="253" t="s">
        <v>3125</v>
      </c>
      <c r="I818" s="254" t="str">
        <f>'Dry_Litterbag Placem_Collection'!C159</f>
        <v>Wet_P4_T5</v>
      </c>
      <c r="J818" s="263" t="s">
        <v>2932</v>
      </c>
      <c r="K818" s="264" t="s">
        <v>298</v>
      </c>
      <c r="L818" s="221" t="str">
        <f>'WetLitterbags placem_collection'!Q159</f>
        <v>R35</v>
      </c>
      <c r="M818" s="223">
        <f>IFERROR(INDEX('Green_rooibos initial weight'!$C$5:$C$2000,MATCH(L818, 'Green_rooibos initial weight'!$A$5:$A$2000,0)),"")</f>
        <v>2.0630000000000002</v>
      </c>
      <c r="N818" s="223">
        <f>IFERROR(M818-(TBIcalc!$H$9+TBIcalc!$H$10),"")</f>
        <v>1.8132000000000001</v>
      </c>
      <c r="O818" s="378">
        <f>AVERAGE(Ashed_controlls!$K$2:$K$11)</f>
        <v>5.5147656768714146</v>
      </c>
      <c r="P818" s="223">
        <f t="shared" si="61"/>
        <v>1.7132062687469676</v>
      </c>
      <c r="Q818" s="223">
        <f>IFERROR(INDEX('Both teabags AfterWet'!$C$3:$C$840,MATCH(L818,'Both teabags AfterWet'!$A$3:$A$840,0)),"")</f>
        <v>1.994</v>
      </c>
      <c r="R818" s="223">
        <f>IFERROR(IF(Q818&gt;0,Q818-(TBIcalc!$H$9),""),"")</f>
        <v>1.8433999999999999</v>
      </c>
      <c r="S818" s="223">
        <f>IFERROR(INDEX('Ashed teabags wet'!$K$2:$K$2000,MATCH(L818,'Ashed teabags wet'!$A$2:$A$2000,0)),"")</f>
        <v>10.019743336623607</v>
      </c>
      <c r="T818" s="223">
        <f t="shared" si="62"/>
        <v>1.6586960513326803</v>
      </c>
      <c r="U818" s="224">
        <f>'WetLitterbags placem_collection'!E159</f>
        <v>42762</v>
      </c>
      <c r="V818" s="224">
        <f>IF('WetLitterbags placem_collection'!G159="","",'WetLitterbags placem_collection'!G159)</f>
        <v>42816</v>
      </c>
      <c r="W818" s="225">
        <f t="shared" si="60"/>
        <v>54</v>
      </c>
      <c r="X818" s="223">
        <f t="shared" si="63"/>
        <v>-3.0199999999999783E-2</v>
      </c>
      <c r="Y818" s="223">
        <f t="shared" si="64"/>
        <v>5.4510217414287299E-2</v>
      </c>
      <c r="Z818">
        <f>IFERROR(INDEX([1]Rainfall_Wet!$O$2:$O$217,MATCH(C818, [1]Rainfall_Wet!$A$2:$A$217,0)),"")</f>
        <v>206.85140822299999</v>
      </c>
      <c r="AA818" s="226">
        <v>27.96</v>
      </c>
      <c r="AB818" s="226">
        <v>4.9200000000000017</v>
      </c>
      <c r="AC818" s="226">
        <v>67.12</v>
      </c>
      <c r="AD818" s="227" t="s">
        <v>2651</v>
      </c>
      <c r="AE818" s="226">
        <v>5.0437161163134503</v>
      </c>
      <c r="AF818">
        <f>IF('WetLitterbags placem_collection'!AB159="","",'WetLitterbags placem_collection'!AB159)</f>
        <v>2.2999999999999998</v>
      </c>
      <c r="AG818">
        <f>IF('WetLitterbags placem_collection'!Z159="","",'WetLitterbags placem_collection'!Z159)</f>
        <v>7.7</v>
      </c>
      <c r="AH818" s="236" t="str">
        <f>IF('WetLitterbags placem_collection'!AA159="","",'WetLitterbags placem_collection'!AA159)</f>
        <v>O</v>
      </c>
      <c r="AI818">
        <f>IF('WetLitterbags placem_collection'!AC159="","",'WetLitterbags placem_collection'!AC159)</f>
        <v>0</v>
      </c>
      <c r="AJ818">
        <f>AVERAGE('WetLitterbags placem_collection'!S159,'WetLitterbags placem_collection'!U159)</f>
        <v>22.6</v>
      </c>
      <c r="AK818">
        <f>AVERAGE('WetLitterbags placem_collection'!R159,'WetLitterbags placem_collection'!T159)</f>
        <v>29.2</v>
      </c>
      <c r="AL818">
        <f>INDEX([2]Coordinates!$B$2:$B$197,MATCH(I818,[2]Coordinates!$J$2:$J$197,0))</f>
        <v>-2.3678019830000001</v>
      </c>
      <c r="AM818">
        <f>INDEX([2]Coordinates!$C$2:$C$197,MATCH(I818,[2]Coordinates!$J$2:$J$197,0))</f>
        <v>34.059521969999999</v>
      </c>
      <c r="AN818" t="str">
        <f>IF(ISNUMBER(SEARCH("C", 'WetLitterbags placem_collection'!$Y159)),"YES","NO")</f>
        <v>NO</v>
      </c>
      <c r="AO818" t="str">
        <f>IF(ISNUMBER(SEARCH("H", 'WetLitterbags placem_collection'!$Y159)),"YES","NO")</f>
        <v>NO</v>
      </c>
      <c r="AP818" t="str">
        <f>IF(ISNUMBER(SEARCH("R", 'WetLitterbags placem_collection'!$Y159)),"YES","NO")</f>
        <v>NO</v>
      </c>
    </row>
    <row r="819" spans="1:42" ht="15" customHeight="1">
      <c r="A819" t="s">
        <v>3248</v>
      </c>
      <c r="B819" s="248" t="s">
        <v>2454</v>
      </c>
      <c r="C819" s="253">
        <f>'Dry_Litterbag Placem_Collection'!A160</f>
        <v>158</v>
      </c>
      <c r="D819" s="253" t="str">
        <f>'Dry_Litterbag Placem_Collection'!B160</f>
        <v xml:space="preserve">Mwantimba
</v>
      </c>
      <c r="E819" s="253" t="s">
        <v>2454</v>
      </c>
      <c r="F819" s="253" t="s">
        <v>20</v>
      </c>
      <c r="G819" s="253">
        <v>4</v>
      </c>
      <c r="H819" s="253" t="s">
        <v>3125</v>
      </c>
      <c r="I819" s="254" t="str">
        <f>'Dry_Litterbag Placem_Collection'!C160</f>
        <v>Wet_P4_T6</v>
      </c>
      <c r="J819" s="263" t="s">
        <v>2932</v>
      </c>
      <c r="K819" s="264" t="s">
        <v>298</v>
      </c>
      <c r="L819" s="221" t="str">
        <f>'WetLitterbags placem_collection'!Q160</f>
        <v>R570</v>
      </c>
      <c r="M819" s="223">
        <f>IFERROR(INDEX('Green_rooibos initial weight'!$C$5:$C$2000,MATCH(L819, 'Green_rooibos initial weight'!$A$5:$A$2000,0)),"")</f>
        <v>2.0910000000000002</v>
      </c>
      <c r="N819" s="223">
        <f>IFERROR(M819-(TBIcalc!$H$9+TBIcalc!$H$10),"")</f>
        <v>1.8412000000000002</v>
      </c>
      <c r="O819" s="378">
        <f>AVERAGE(Ashed_controlls!$K$2:$K$11)</f>
        <v>5.5147656768714146</v>
      </c>
      <c r="P819" s="223">
        <f t="shared" si="61"/>
        <v>1.7396621343574437</v>
      </c>
      <c r="Q819" s="223">
        <f>IFERROR(INDEX('Both teabags AfterWet'!$C$3:$C$840,MATCH(L819,'Both teabags AfterWet'!$A$3:$A$840,0)),"")</f>
        <v>1.718</v>
      </c>
      <c r="R819" s="223">
        <f>IFERROR(IF(Q819&gt;0,Q819-(TBIcalc!$H$9),""),"")</f>
        <v>1.5673999999999999</v>
      </c>
      <c r="S819" s="223">
        <f>IFERROR(INDEX('Ashed teabags wet'!$K$2:$K$2000,MATCH(L819,'Ashed teabags wet'!$A$2:$A$2000,0)),"")</f>
        <v>4.5090180360722032</v>
      </c>
      <c r="T819" s="223">
        <f t="shared" si="62"/>
        <v>1.4967256513026042</v>
      </c>
      <c r="U819" s="224">
        <f>'WetLitterbags placem_collection'!E160</f>
        <v>42762</v>
      </c>
      <c r="V819" s="224">
        <f>IF('WetLitterbags placem_collection'!G160="","",'WetLitterbags placem_collection'!G160)</f>
        <v>42816</v>
      </c>
      <c r="W819" s="225">
        <f t="shared" si="60"/>
        <v>54</v>
      </c>
      <c r="X819" s="223">
        <f t="shared" si="63"/>
        <v>0.27380000000000027</v>
      </c>
      <c r="Y819" s="223">
        <f t="shared" si="64"/>
        <v>0.2429364830548395</v>
      </c>
      <c r="Z819">
        <f>IFERROR(INDEX([1]Rainfall_Wet!$O$2:$O$217,MATCH(C819, [1]Rainfall_Wet!$A$2:$A$217,0)),"")</f>
        <v>206.85140822299999</v>
      </c>
      <c r="AA819" s="226">
        <v>27.96</v>
      </c>
      <c r="AB819" s="226">
        <v>4.9200000000000017</v>
      </c>
      <c r="AC819" s="226">
        <v>67.12</v>
      </c>
      <c r="AD819" s="227" t="s">
        <v>2651</v>
      </c>
      <c r="AE819" s="226">
        <v>6.0437161163134503</v>
      </c>
      <c r="AF819">
        <f>IF('WetLitterbags placem_collection'!AB160="","",'WetLitterbags placem_collection'!AB160)</f>
        <v>1.9</v>
      </c>
      <c r="AG819">
        <f>IF('WetLitterbags placem_collection'!Z160="","",'WetLitterbags placem_collection'!Z160)</f>
        <v>4.3</v>
      </c>
      <c r="AH819" s="236" t="str">
        <f>IF('WetLitterbags placem_collection'!AA160="","",'WetLitterbags placem_collection'!AA160)</f>
        <v>O</v>
      </c>
      <c r="AI819">
        <f>IF('WetLitterbags placem_collection'!AC160="","",'WetLitterbags placem_collection'!AC160)</f>
        <v>0</v>
      </c>
      <c r="AJ819">
        <f>AVERAGE('WetLitterbags placem_collection'!S160,'WetLitterbags placem_collection'!U160)</f>
        <v>22.45</v>
      </c>
      <c r="AK819">
        <f>AVERAGE('WetLitterbags placem_collection'!R160,'WetLitterbags placem_collection'!T160)</f>
        <v>26.35</v>
      </c>
      <c r="AL819">
        <f>INDEX([2]Coordinates!$B$2:$B$197,MATCH(I819,[2]Coordinates!$J$2:$J$197,0))</f>
        <v>-2.3679270410000002</v>
      </c>
      <c r="AM819">
        <f>INDEX([2]Coordinates!$C$2:$C$197,MATCH(I819,[2]Coordinates!$J$2:$J$197,0))</f>
        <v>34.059300020000002</v>
      </c>
      <c r="AN819" t="str">
        <f>IF(ISNUMBER(SEARCH("C", 'WetLitterbags placem_collection'!$Y160)),"YES","NO")</f>
        <v>NO</v>
      </c>
      <c r="AO819" t="str">
        <f>IF(ISNUMBER(SEARCH("H", 'WetLitterbags placem_collection'!$Y160)),"YES","NO")</f>
        <v>NO</v>
      </c>
      <c r="AP819" t="str">
        <f>IF(ISNUMBER(SEARCH("R", 'WetLitterbags placem_collection'!$Y160)),"YES","NO")</f>
        <v>NO</v>
      </c>
    </row>
    <row r="820" spans="1:42" ht="15" customHeight="1">
      <c r="A820" t="s">
        <v>3248</v>
      </c>
      <c r="B820" s="248" t="s">
        <v>2454</v>
      </c>
      <c r="C820" s="253">
        <f>'Dry_Litterbag Placem_Collection'!A161</f>
        <v>159</v>
      </c>
      <c r="D820" s="253" t="str">
        <f>'Dry_Litterbag Placem_Collection'!B161</f>
        <v xml:space="preserve">Mwantimba
</v>
      </c>
      <c r="E820" s="253" t="s">
        <v>2454</v>
      </c>
      <c r="F820" s="253" t="s">
        <v>20</v>
      </c>
      <c r="G820" s="253">
        <v>4</v>
      </c>
      <c r="H820" s="253" t="s">
        <v>3125</v>
      </c>
      <c r="I820" s="254" t="str">
        <f>'Dry_Litterbag Placem_Collection'!C161</f>
        <v>Wet_P4_T7</v>
      </c>
      <c r="J820" s="263" t="s">
        <v>2932</v>
      </c>
      <c r="K820" s="264" t="s">
        <v>298</v>
      </c>
      <c r="L820" s="221" t="str">
        <f>'WetLitterbags placem_collection'!Q161</f>
        <v>R439</v>
      </c>
      <c r="M820" s="223">
        <f>IFERROR(INDEX('Green_rooibos initial weight'!$C$5:$C$2000,MATCH(L820, 'Green_rooibos initial weight'!$A$5:$A$2000,0)),"")</f>
        <v>2.2450000000000001</v>
      </c>
      <c r="N820" s="223">
        <f>IFERROR(M820-(TBIcalc!$H$9+TBIcalc!$H$10),"")</f>
        <v>1.9952000000000001</v>
      </c>
      <c r="O820" s="378">
        <f>AVERAGE(Ashed_controlls!$K$2:$K$11)</f>
        <v>5.5147656768714146</v>
      </c>
      <c r="P820" s="223">
        <f t="shared" si="61"/>
        <v>1.8851693952150617</v>
      </c>
      <c r="Q820" s="223" t="str">
        <f>IFERROR(INDEX('Both teabags AfterWet'!$C$3:$C$840,MATCH(L820,'Both teabags AfterWet'!$A$3:$A$840,0)),"")</f>
        <v/>
      </c>
      <c r="R820" s="223" t="str">
        <f>IFERROR(IF(Q820&gt;0,Q820-(TBIcalc!$H$9),""),"")</f>
        <v/>
      </c>
      <c r="S820" s="223" t="str">
        <f>IFERROR(INDEX('Ashed teabags wet'!$K$2:$K$2000,MATCH(L820,'Ashed teabags wet'!$A$2:$A$2000,0)),"")</f>
        <v/>
      </c>
      <c r="T820" s="223" t="str">
        <f t="shared" si="62"/>
        <v/>
      </c>
      <c r="U820" s="224">
        <f>'WetLitterbags placem_collection'!E161</f>
        <v>42762</v>
      </c>
      <c r="V820" s="224">
        <f>IF('WetLitterbags placem_collection'!G161="","",'WetLitterbags placem_collection'!G161)</f>
        <v>42816</v>
      </c>
      <c r="W820" s="225">
        <f t="shared" si="60"/>
        <v>54</v>
      </c>
      <c r="X820" s="223" t="str">
        <f t="shared" si="63"/>
        <v/>
      </c>
      <c r="Y820" s="223" t="str">
        <f t="shared" si="64"/>
        <v/>
      </c>
      <c r="Z820">
        <f>IFERROR(INDEX([1]Rainfall_Wet!$O$2:$O$217,MATCH(C820, [1]Rainfall_Wet!$A$2:$A$217,0)),"")</f>
        <v>206.85140822299999</v>
      </c>
      <c r="AA820" s="226">
        <v>27.96</v>
      </c>
      <c r="AB820" s="226">
        <v>4.9200000000000017</v>
      </c>
      <c r="AC820" s="226">
        <v>67.12</v>
      </c>
      <c r="AD820" s="227" t="s">
        <v>2651</v>
      </c>
      <c r="AE820" s="226">
        <v>7.0437161163134503</v>
      </c>
      <c r="AF820">
        <f>IF('WetLitterbags placem_collection'!AB161="","",'WetLitterbags placem_collection'!AB161)</f>
        <v>2.65</v>
      </c>
      <c r="AG820">
        <f>IF('WetLitterbags placem_collection'!Z161="","",'WetLitterbags placem_collection'!Z161)</f>
        <v>0</v>
      </c>
      <c r="AH820" s="236" t="str">
        <f>IF('WetLitterbags placem_collection'!AA161="","",'WetLitterbags placem_collection'!AA161)</f>
        <v>G</v>
      </c>
      <c r="AI820">
        <f>IF('WetLitterbags placem_collection'!AC161="","",'WetLitterbags placem_collection'!AC161)</f>
        <v>1</v>
      </c>
      <c r="AJ820">
        <f>AVERAGE('WetLitterbags placem_collection'!S161,'WetLitterbags placem_collection'!U161)</f>
        <v>14.4</v>
      </c>
      <c r="AK820">
        <f>AVERAGE('WetLitterbags placem_collection'!R161,'WetLitterbags placem_collection'!T161)</f>
        <v>28</v>
      </c>
      <c r="AL820">
        <f>INDEX([2]Coordinates!$B$2:$B$197,MATCH(I820,[2]Coordinates!$J$2:$J$197,0))</f>
        <v>-2.3676829599999998</v>
      </c>
      <c r="AM820">
        <f>INDEX([2]Coordinates!$C$2:$C$197,MATCH(I820,[2]Coordinates!$J$2:$J$197,0))</f>
        <v>34.059236990000002</v>
      </c>
      <c r="AN820" t="str">
        <f>IF(ISNUMBER(SEARCH("C", 'WetLitterbags placem_collection'!$Y161)),"YES","NO")</f>
        <v>NO</v>
      </c>
      <c r="AO820" t="str">
        <f>IF(ISNUMBER(SEARCH("H", 'WetLitterbags placem_collection'!$Y161)),"YES","NO")</f>
        <v>NO</v>
      </c>
      <c r="AP820" t="str">
        <f>IF(ISNUMBER(SEARCH("R", 'WetLitterbags placem_collection'!$Y161)),"YES","NO")</f>
        <v>NO</v>
      </c>
    </row>
    <row r="821" spans="1:42" ht="15" customHeight="1">
      <c r="A821" t="s">
        <v>3248</v>
      </c>
      <c r="B821" s="248" t="s">
        <v>2454</v>
      </c>
      <c r="C821" s="253">
        <f>'Dry_Litterbag Placem_Collection'!A162</f>
        <v>160</v>
      </c>
      <c r="D821" s="253" t="str">
        <f>'Dry_Litterbag Placem_Collection'!B162</f>
        <v xml:space="preserve">Mwantimba
</v>
      </c>
      <c r="E821" s="253" t="s">
        <v>2454</v>
      </c>
      <c r="F821" s="253" t="s">
        <v>20</v>
      </c>
      <c r="G821" s="253">
        <v>4</v>
      </c>
      <c r="H821" s="253" t="s">
        <v>3125</v>
      </c>
      <c r="I821" s="254" t="str">
        <f>'Dry_Litterbag Placem_Collection'!C162</f>
        <v>Wet_P4_T8</v>
      </c>
      <c r="J821" s="263" t="s">
        <v>2932</v>
      </c>
      <c r="K821" s="264" t="s">
        <v>298</v>
      </c>
      <c r="L821" s="221" t="str">
        <f>'WetLitterbags placem_collection'!Q162</f>
        <v>R461</v>
      </c>
      <c r="M821" s="223">
        <f>IFERROR(INDEX('Green_rooibos initial weight'!$C$5:$C$2000,MATCH(L821, 'Green_rooibos initial weight'!$A$5:$A$2000,0)),"")</f>
        <v>2.1930000000000001</v>
      </c>
      <c r="N821" s="223">
        <f>IFERROR(M821-(TBIcalc!$H$9+TBIcalc!$H$10),"")</f>
        <v>1.9432</v>
      </c>
      <c r="O821" s="378">
        <f>AVERAGE(Ashed_controlls!$K$2:$K$11)</f>
        <v>5.5147656768714146</v>
      </c>
      <c r="P821" s="223">
        <f t="shared" si="61"/>
        <v>1.8360370733670348</v>
      </c>
      <c r="Q821" s="223">
        <f>IFERROR(INDEX('Both teabags AfterWet'!$C$3:$C$840,MATCH(L821,'Both teabags AfterWet'!$A$3:$A$840,0)),"")</f>
        <v>1.744</v>
      </c>
      <c r="R821" s="223">
        <f>IFERROR(IF(Q821&gt;0,Q821-(TBIcalc!$H$9),""),"")</f>
        <v>1.5933999999999999</v>
      </c>
      <c r="S821" s="223">
        <f>IFERROR(INDEX('Ashed teabags wet'!$K$2:$K$2000,MATCH(L821,'Ashed teabags wet'!$A$2:$A$2000,0)),"")</f>
        <v>4.181184668989598</v>
      </c>
      <c r="T821" s="223">
        <f t="shared" si="62"/>
        <v>1.5267770034843198</v>
      </c>
      <c r="U821" s="224">
        <f>'WetLitterbags placem_collection'!E162</f>
        <v>42762</v>
      </c>
      <c r="V821" s="224">
        <f>IF('WetLitterbags placem_collection'!G162="","",'WetLitterbags placem_collection'!G162)</f>
        <v>42816</v>
      </c>
      <c r="W821" s="225">
        <f t="shared" si="60"/>
        <v>54</v>
      </c>
      <c r="X821" s="223">
        <f t="shared" si="63"/>
        <v>0.34980000000000011</v>
      </c>
      <c r="Y821" s="223">
        <f t="shared" si="64"/>
        <v>0.30926006988271504</v>
      </c>
      <c r="Z821">
        <f>IFERROR(INDEX([1]Rainfall_Wet!$O$2:$O$217,MATCH(C821, [1]Rainfall_Wet!$A$2:$A$217,0)),"")</f>
        <v>206.85140822299999</v>
      </c>
      <c r="AA821" s="226">
        <v>27.96</v>
      </c>
      <c r="AB821" s="226">
        <v>4.9200000000000017</v>
      </c>
      <c r="AC821" s="226">
        <v>67.12</v>
      </c>
      <c r="AD821" s="227" t="s">
        <v>2651</v>
      </c>
      <c r="AE821" s="226">
        <v>8.0437161163134494</v>
      </c>
      <c r="AF821">
        <f>IF('WetLitterbags placem_collection'!AB162="","",'WetLitterbags placem_collection'!AB162)</f>
        <v>0.8</v>
      </c>
      <c r="AG821">
        <f>IF('WetLitterbags placem_collection'!Z162="","",'WetLitterbags placem_collection'!Z162)</f>
        <v>10.8</v>
      </c>
      <c r="AH821" s="236" t="str">
        <f>IF('WetLitterbags placem_collection'!AA162="","",'WetLitterbags placem_collection'!AA162)</f>
        <v>O</v>
      </c>
      <c r="AI821">
        <f>IF('WetLitterbags placem_collection'!AC162="","",'WetLitterbags placem_collection'!AC162)</f>
        <v>0</v>
      </c>
      <c r="AJ821">
        <f>AVERAGE('WetLitterbags placem_collection'!S162,'WetLitterbags placem_collection'!U162)</f>
        <v>16.5</v>
      </c>
      <c r="AK821">
        <f>AVERAGE('WetLitterbags placem_collection'!R162,'WetLitterbags placem_collection'!T162)</f>
        <v>27.15</v>
      </c>
      <c r="AL821">
        <f>INDEX([2]Coordinates!$B$2:$B$197,MATCH(I821,[2]Coordinates!$J$2:$J$197,0))</f>
        <v>-2.367547005</v>
      </c>
      <c r="AM821">
        <f>INDEX([2]Coordinates!$C$2:$C$197,MATCH(I821,[2]Coordinates!$J$2:$J$197,0))</f>
        <v>34.059494989999997</v>
      </c>
      <c r="AN821" t="str">
        <f>IF(ISNUMBER(SEARCH("C", 'WetLitterbags placem_collection'!$Y162)),"YES","NO")</f>
        <v>NO</v>
      </c>
      <c r="AO821" t="str">
        <f>IF(ISNUMBER(SEARCH("H", 'WetLitterbags placem_collection'!$Y162)),"YES","NO")</f>
        <v>NO</v>
      </c>
      <c r="AP821" t="str">
        <f>IF(ISNUMBER(SEARCH("R", 'WetLitterbags placem_collection'!$Y162)),"YES","NO")</f>
        <v>NO</v>
      </c>
    </row>
    <row r="822" spans="1:42" ht="15" customHeight="1">
      <c r="A822" t="s">
        <v>3248</v>
      </c>
      <c r="B822" s="248" t="s">
        <v>2454</v>
      </c>
      <c r="C822" s="253">
        <f>'Dry_Litterbag Placem_Collection'!A163</f>
        <v>161</v>
      </c>
      <c r="D822" s="253" t="str">
        <f>'Dry_Litterbag Placem_Collection'!B163</f>
        <v>Handajega</v>
      </c>
      <c r="E822" s="253" t="s">
        <v>2454</v>
      </c>
      <c r="F822" s="253" t="s">
        <v>2645</v>
      </c>
      <c r="G822" s="253">
        <v>1</v>
      </c>
      <c r="H822" s="253" t="s">
        <v>3126</v>
      </c>
      <c r="I822" s="254" t="str">
        <f>'Dry_Litterbag Placem_Collection'!C163</f>
        <v>Wet_W1_T1</v>
      </c>
      <c r="J822" s="263" t="s">
        <v>2932</v>
      </c>
      <c r="K822" s="264" t="s">
        <v>298</v>
      </c>
      <c r="L822" s="221" t="str">
        <f>'WetLitterbags placem_collection'!Q163</f>
        <v>R253</v>
      </c>
      <c r="M822" s="223">
        <f>IFERROR(INDEX('Green_rooibos initial weight'!$C$5:$C$2000,MATCH(L822, 'Green_rooibos initial weight'!$A$5:$A$2000,0)),"")</f>
        <v>2.2130000000000001</v>
      </c>
      <c r="N822" s="223">
        <f>IFERROR(M822-(TBIcalc!$H$9+TBIcalc!$H$10),"")</f>
        <v>1.9632000000000001</v>
      </c>
      <c r="O822" s="378">
        <f>AVERAGE(Ashed_controlls!$K$2:$K$11)</f>
        <v>5.5147656768714146</v>
      </c>
      <c r="P822" s="223">
        <f t="shared" si="61"/>
        <v>1.8549341202316605</v>
      </c>
      <c r="Q822" s="223">
        <f>IFERROR(INDEX('Both teabags AfterWet'!$C$3:$C$840,MATCH(L822,'Both teabags AfterWet'!$A$3:$A$840,0)),"")</f>
        <v>1.7033</v>
      </c>
      <c r="R822" s="223">
        <f>IFERROR(IF(Q822&gt;0,Q822-(TBIcalc!$H$9),""),"")</f>
        <v>1.5527</v>
      </c>
      <c r="S822" s="223">
        <f>IFERROR(INDEX('Ashed teabags wet'!$K$2:$K$2000,MATCH(L822,'Ashed teabags wet'!$A$2:$A$2000,0)),"")</f>
        <v>2.4952015355091484</v>
      </c>
      <c r="T822" s="223">
        <f t="shared" si="62"/>
        <v>1.5139570057581495</v>
      </c>
      <c r="U822" s="224">
        <f>'WetLitterbags placem_collection'!E163</f>
        <v>42763</v>
      </c>
      <c r="V822" s="224">
        <f>IF('WetLitterbags placem_collection'!G163="","",'WetLitterbags placem_collection'!G163)</f>
        <v>42814</v>
      </c>
      <c r="W822" s="225">
        <f t="shared" si="60"/>
        <v>51</v>
      </c>
      <c r="X822" s="223">
        <f t="shared" si="63"/>
        <v>0.41050000000000009</v>
      </c>
      <c r="Y822" s="223">
        <f t="shared" si="64"/>
        <v>0.34097711447351098</v>
      </c>
      <c r="Z822">
        <f>IFERROR(INDEX([1]Rainfall_Wet!$O$2:$O$217,MATCH(C822, [1]Rainfall_Wet!$A$2:$A$217,0)),"")</f>
        <v>181.383442621</v>
      </c>
      <c r="AA822" s="226">
        <v>21.96</v>
      </c>
      <c r="AB822" s="226">
        <v>4.9199999999999982</v>
      </c>
      <c r="AC822" s="226">
        <v>73.12</v>
      </c>
      <c r="AD822" s="227" t="s">
        <v>2651</v>
      </c>
      <c r="AE822" s="226">
        <v>1.2416954164613114</v>
      </c>
      <c r="AF822">
        <f>IF('WetLitterbags placem_collection'!AB163="","",'WetLitterbags placem_collection'!AB163)</f>
        <v>7.6</v>
      </c>
      <c r="AG822">
        <f>IF('WetLitterbags placem_collection'!Z163="","",'WetLitterbags placem_collection'!Z163)</f>
        <v>35.799999999999997</v>
      </c>
      <c r="AH822" s="236" t="str">
        <f>IF('WetLitterbags placem_collection'!AA163="","",'WetLitterbags placem_collection'!AA163)</f>
        <v>M</v>
      </c>
      <c r="AI822">
        <f>IF('WetLitterbags placem_collection'!AC163="","",'WetLitterbags placem_collection'!AC163)</f>
        <v>0</v>
      </c>
      <c r="AJ822">
        <f>AVERAGE('WetLitterbags placem_collection'!S163,'WetLitterbags placem_collection'!U163)</f>
        <v>11.100000000000001</v>
      </c>
      <c r="AK822">
        <f>AVERAGE('WetLitterbags placem_collection'!R163,'WetLitterbags placem_collection'!T163)</f>
        <v>33.6</v>
      </c>
      <c r="AL822">
        <f>INDEX([2]Coordinates!$B$2:$B$197,MATCH(I822,[2]Coordinates!$J$2:$J$197,0))</f>
        <v>-2.272751033</v>
      </c>
      <c r="AM822">
        <f>INDEX([2]Coordinates!$C$2:$C$197,MATCH(I822,[2]Coordinates!$J$2:$J$197,0))</f>
        <v>34.023176030000002</v>
      </c>
      <c r="AN822" t="str">
        <f>IF(ISNUMBER(SEARCH("C", 'WetLitterbags placem_collection'!$Y163)),"YES","NO")</f>
        <v>NO</v>
      </c>
      <c r="AO822" t="str">
        <f>IF(ISNUMBER(SEARCH("H", 'WetLitterbags placem_collection'!$Y163)),"YES","NO")</f>
        <v>NO</v>
      </c>
      <c r="AP822" t="str">
        <f>IF(ISNUMBER(SEARCH("R", 'WetLitterbags placem_collection'!$Y163)),"YES","NO")</f>
        <v>NO</v>
      </c>
    </row>
    <row r="823" spans="1:42" ht="15" customHeight="1">
      <c r="A823" t="s">
        <v>3248</v>
      </c>
      <c r="B823" s="248" t="s">
        <v>2454</v>
      </c>
      <c r="C823" s="253">
        <f>'Dry_Litterbag Placem_Collection'!A164</f>
        <v>162</v>
      </c>
      <c r="D823" s="253" t="str">
        <f>'Dry_Litterbag Placem_Collection'!B164</f>
        <v>Handajega</v>
      </c>
      <c r="E823" s="253" t="s">
        <v>2454</v>
      </c>
      <c r="F823" s="253" t="s">
        <v>2645</v>
      </c>
      <c r="G823" s="253">
        <v>1</v>
      </c>
      <c r="H823" s="253" t="s">
        <v>3126</v>
      </c>
      <c r="I823" s="254" t="str">
        <f>'Dry_Litterbag Placem_Collection'!C164</f>
        <v>Wet_W1_T2</v>
      </c>
      <c r="J823" s="263" t="s">
        <v>2932</v>
      </c>
      <c r="K823" s="264" t="s">
        <v>298</v>
      </c>
      <c r="L823" s="221" t="str">
        <f>'WetLitterbags placem_collection'!Q164</f>
        <v>R285</v>
      </c>
      <c r="M823" s="223">
        <f>IFERROR(INDEX('Green_rooibos initial weight'!$C$5:$C$2000,MATCH(L823, 'Green_rooibos initial weight'!$A$5:$A$2000,0)),"")</f>
        <v>2.2400000000000002</v>
      </c>
      <c r="N823" s="223">
        <f>IFERROR(M823-(TBIcalc!$H$9+TBIcalc!$H$10),"")</f>
        <v>1.9902000000000002</v>
      </c>
      <c r="O823" s="378">
        <f>AVERAGE(Ashed_controlls!$K$2:$K$11)</f>
        <v>5.5147656768714146</v>
      </c>
      <c r="P823" s="223">
        <f t="shared" si="61"/>
        <v>1.8804451334989052</v>
      </c>
      <c r="Q823" s="223">
        <f>IFERROR(INDEX('Both teabags AfterWet'!$C$3:$C$840,MATCH(L823,'Both teabags AfterWet'!$A$3:$A$840,0)),"")</f>
        <v>1.6621999999999999</v>
      </c>
      <c r="R823" s="223">
        <f>IFERROR(IF(Q823&gt;0,Q823-(TBIcalc!$H$9),""),"")</f>
        <v>1.5115999999999998</v>
      </c>
      <c r="S823" s="223">
        <f>IFERROR(INDEX('Ashed teabags wet'!$K$2:$K$2000,MATCH(L823,'Ashed teabags wet'!$A$2:$A$2000,0)),"")</f>
        <v>1.8419777023749115</v>
      </c>
      <c r="T823" s="223">
        <f t="shared" si="62"/>
        <v>1.4837566650509006</v>
      </c>
      <c r="U823" s="224">
        <f>'WetLitterbags placem_collection'!E164</f>
        <v>42763</v>
      </c>
      <c r="V823" s="224">
        <f>IF('WetLitterbags placem_collection'!G164="","",'WetLitterbags placem_collection'!G164)</f>
        <v>42814</v>
      </c>
      <c r="W823" s="225">
        <f t="shared" si="60"/>
        <v>51</v>
      </c>
      <c r="X823" s="223">
        <f t="shared" si="63"/>
        <v>0.47860000000000036</v>
      </c>
      <c r="Y823" s="223">
        <f t="shared" si="64"/>
        <v>0.39668846844800454</v>
      </c>
      <c r="Z823">
        <f>IFERROR(INDEX([1]Rainfall_Wet!$O$2:$O$217,MATCH(C823, [1]Rainfall_Wet!$A$2:$A$217,0)),"")</f>
        <v>181.383442621</v>
      </c>
      <c r="AA823" s="226">
        <v>21.96</v>
      </c>
      <c r="AB823" s="226">
        <v>4.9199999999999982</v>
      </c>
      <c r="AC823" s="226">
        <v>73.12</v>
      </c>
      <c r="AD823" s="227" t="s">
        <v>2651</v>
      </c>
      <c r="AE823" s="226">
        <v>2.2416954164613099</v>
      </c>
      <c r="AF823">
        <f>IF('WetLitterbags placem_collection'!AB164="","",'WetLitterbags placem_collection'!AB164)</f>
        <v>4.0999999999999996</v>
      </c>
      <c r="AG823">
        <f>IF('WetLitterbags placem_collection'!Z164="","",'WetLitterbags placem_collection'!Z164)</f>
        <v>31.4</v>
      </c>
      <c r="AH823" s="236" t="str">
        <f>IF('WetLitterbags placem_collection'!AA164="","",'WetLitterbags placem_collection'!AA164)</f>
        <v>M</v>
      </c>
      <c r="AI823">
        <f>IF('WetLitterbags placem_collection'!AC164="","",'WetLitterbags placem_collection'!AC164)</f>
        <v>0</v>
      </c>
      <c r="AJ823">
        <f>AVERAGE('WetLitterbags placem_collection'!S164,'WetLitterbags placem_collection'!U164)</f>
        <v>9.35</v>
      </c>
      <c r="AK823">
        <f>AVERAGE('WetLitterbags placem_collection'!R164,'WetLitterbags placem_collection'!T164)</f>
        <v>34.450000000000003</v>
      </c>
      <c r="AL823">
        <f>INDEX([2]Coordinates!$B$2:$B$197,MATCH(I823,[2]Coordinates!$J$2:$J$197,0))</f>
        <v>-2.2727060219999999</v>
      </c>
      <c r="AM823">
        <f>INDEX([2]Coordinates!$C$2:$C$197,MATCH(I823,[2]Coordinates!$J$2:$J$197,0))</f>
        <v>34.023162030000002</v>
      </c>
      <c r="AN823" t="str">
        <f>IF(ISNUMBER(SEARCH("C", 'WetLitterbags placem_collection'!$Y164)),"YES","NO")</f>
        <v>NO</v>
      </c>
      <c r="AO823" t="str">
        <f>IF(ISNUMBER(SEARCH("H", 'WetLitterbags placem_collection'!$Y164)),"YES","NO")</f>
        <v>NO</v>
      </c>
      <c r="AP823" t="str">
        <f>IF(ISNUMBER(SEARCH("R", 'WetLitterbags placem_collection'!$Y164)),"YES","NO")</f>
        <v>YES</v>
      </c>
    </row>
    <row r="824" spans="1:42" ht="15" customHeight="1">
      <c r="A824" t="s">
        <v>3248</v>
      </c>
      <c r="B824" s="248" t="s">
        <v>2454</v>
      </c>
      <c r="C824" s="253">
        <f>'Dry_Litterbag Placem_Collection'!A165</f>
        <v>163</v>
      </c>
      <c r="D824" s="253" t="str">
        <f>'Dry_Litterbag Placem_Collection'!B165</f>
        <v>Handajega</v>
      </c>
      <c r="E824" s="253" t="s">
        <v>2454</v>
      </c>
      <c r="F824" s="253" t="s">
        <v>2645</v>
      </c>
      <c r="G824" s="253">
        <v>1</v>
      </c>
      <c r="H824" s="253" t="s">
        <v>3126</v>
      </c>
      <c r="I824" s="254" t="str">
        <f>'Dry_Litterbag Placem_Collection'!C165</f>
        <v>Wet_W1_T3</v>
      </c>
      <c r="J824" s="263" t="s">
        <v>2932</v>
      </c>
      <c r="K824" s="264" t="s">
        <v>298</v>
      </c>
      <c r="L824" s="221" t="str">
        <f>'WetLitterbags placem_collection'!Q165</f>
        <v>R341</v>
      </c>
      <c r="M824" s="223">
        <f>IFERROR(INDEX('Green_rooibos initial weight'!$C$5:$C$2000,MATCH(L824, 'Green_rooibos initial weight'!$A$5:$A$2000,0)),"")</f>
        <v>2.1560000000000001</v>
      </c>
      <c r="N824" s="223">
        <f>IFERROR(M824-(TBIcalc!$H$9+TBIcalc!$H$10),"")</f>
        <v>1.9062000000000001</v>
      </c>
      <c r="O824" s="378">
        <f>AVERAGE(Ashed_controlls!$K$2:$K$11)</f>
        <v>5.5147656768714146</v>
      </c>
      <c r="P824" s="223">
        <f t="shared" si="61"/>
        <v>1.8010775366674772</v>
      </c>
      <c r="Q824" s="223">
        <f>IFERROR(INDEX('Both teabags AfterWet'!$C$3:$C$840,MATCH(L824,'Both teabags AfterWet'!$A$3:$A$840,0)),"")</f>
        <v>1.738</v>
      </c>
      <c r="R824" s="223">
        <f>IFERROR(IF(Q824&gt;0,Q824-(TBIcalc!$H$9),""),"")</f>
        <v>1.5873999999999999</v>
      </c>
      <c r="S824" s="223">
        <f>IFERROR(INDEX('Ashed teabags wet'!$K$2:$K$2000,MATCH(L824,'Ashed teabags wet'!$A$2:$A$2000,0)),"")</f>
        <v>2.2942643391521438</v>
      </c>
      <c r="T824" s="223">
        <f t="shared" si="62"/>
        <v>1.5509808478802989</v>
      </c>
      <c r="U824" s="224">
        <f>'WetLitterbags placem_collection'!E165</f>
        <v>42763</v>
      </c>
      <c r="V824" s="224">
        <f>IF('WetLitterbags placem_collection'!G165="","",'WetLitterbags placem_collection'!G165)</f>
        <v>42814</v>
      </c>
      <c r="W824" s="225">
        <f t="shared" si="60"/>
        <v>51</v>
      </c>
      <c r="X824" s="223">
        <f t="shared" si="63"/>
        <v>0.31880000000000019</v>
      </c>
      <c r="Y824" s="223">
        <f t="shared" si="64"/>
        <v>0.25009668878717828</v>
      </c>
      <c r="Z824">
        <f>IFERROR(INDEX([1]Rainfall_Wet!$O$2:$O$217,MATCH(C824, [1]Rainfall_Wet!$A$2:$A$217,0)),"")</f>
        <v>181.383442621</v>
      </c>
      <c r="AA824" s="226">
        <v>21.96</v>
      </c>
      <c r="AB824" s="226">
        <v>4.9199999999999982</v>
      </c>
      <c r="AC824" s="226">
        <v>73.12</v>
      </c>
      <c r="AD824" s="227" t="s">
        <v>2651</v>
      </c>
      <c r="AE824" s="226">
        <v>3.2416954164613099</v>
      </c>
      <c r="AF824">
        <f>IF('WetLitterbags placem_collection'!AB165="","",'WetLitterbags placem_collection'!AB165)</f>
        <v>7.8</v>
      </c>
      <c r="AG824">
        <f>IF('WetLitterbags placem_collection'!Z165="","",'WetLitterbags placem_collection'!Z165)</f>
        <v>28.8</v>
      </c>
      <c r="AH824" s="236" t="str">
        <f>IF('WetLitterbags placem_collection'!AA165="","",'WetLitterbags placem_collection'!AA165)</f>
        <v>M</v>
      </c>
      <c r="AI824">
        <f>IF('WetLitterbags placem_collection'!AC165="","",'WetLitterbags placem_collection'!AC165)</f>
        <v>0</v>
      </c>
      <c r="AJ824">
        <f>AVERAGE('WetLitterbags placem_collection'!S165,'WetLitterbags placem_collection'!U165)</f>
        <v>9.3000000000000007</v>
      </c>
      <c r="AK824">
        <f>AVERAGE('WetLitterbags placem_collection'!R165,'WetLitterbags placem_collection'!T165)</f>
        <v>33.5</v>
      </c>
      <c r="AL824">
        <f>INDEX([2]Coordinates!$B$2:$B$197,MATCH(I824,[2]Coordinates!$J$2:$J$197,0))</f>
        <v>-2.2726719919999998</v>
      </c>
      <c r="AM824">
        <f>INDEX([2]Coordinates!$C$2:$C$197,MATCH(I824,[2]Coordinates!$J$2:$J$197,0))</f>
        <v>34.023210980000002</v>
      </c>
      <c r="AN824" t="str">
        <f>IF(ISNUMBER(SEARCH("C", 'WetLitterbags placem_collection'!$Y165)),"YES","NO")</f>
        <v>NO</v>
      </c>
      <c r="AO824" t="str">
        <f>IF(ISNUMBER(SEARCH("H", 'WetLitterbags placem_collection'!$Y165)),"YES","NO")</f>
        <v>NO</v>
      </c>
      <c r="AP824" t="str">
        <f>IF(ISNUMBER(SEARCH("R", 'WetLitterbags placem_collection'!$Y165)),"YES","NO")</f>
        <v>NO</v>
      </c>
    </row>
    <row r="825" spans="1:42" ht="15" customHeight="1">
      <c r="A825" t="s">
        <v>3248</v>
      </c>
      <c r="B825" s="248" t="s">
        <v>2454</v>
      </c>
      <c r="C825" s="253">
        <f>'Dry_Litterbag Placem_Collection'!A166</f>
        <v>164</v>
      </c>
      <c r="D825" s="253" t="str">
        <f>'Dry_Litterbag Placem_Collection'!B166</f>
        <v>Handajega</v>
      </c>
      <c r="E825" s="253" t="s">
        <v>2454</v>
      </c>
      <c r="F825" s="253" t="s">
        <v>2645</v>
      </c>
      <c r="G825" s="253">
        <v>1</v>
      </c>
      <c r="H825" s="253" t="s">
        <v>3126</v>
      </c>
      <c r="I825" s="254" t="str">
        <f>'Dry_Litterbag Placem_Collection'!C166</f>
        <v>Wet_W1_T4</v>
      </c>
      <c r="J825" s="263" t="s">
        <v>2932</v>
      </c>
      <c r="K825" s="264" t="s">
        <v>298</v>
      </c>
      <c r="L825" s="221" t="str">
        <f>'WetLitterbags placem_collection'!Q166</f>
        <v>R264</v>
      </c>
      <c r="M825" s="223">
        <f>IFERROR(INDEX('Green_rooibos initial weight'!$C$5:$C$2000,MATCH(L825, 'Green_rooibos initial weight'!$A$5:$A$2000,0)),"")</f>
        <v>2.2250000000000001</v>
      </c>
      <c r="N825" s="223">
        <f>IFERROR(M825-(TBIcalc!$H$9+TBIcalc!$H$10),"")</f>
        <v>1.9752000000000001</v>
      </c>
      <c r="O825" s="378">
        <f>AVERAGE(Ashed_controlls!$K$2:$K$11)</f>
        <v>5.5147656768714146</v>
      </c>
      <c r="P825" s="223">
        <f t="shared" si="61"/>
        <v>1.866272348350436</v>
      </c>
      <c r="Q825" s="223">
        <f>IFERROR(INDEX('Both teabags AfterWet'!$C$3:$C$840,MATCH(L825,'Both teabags AfterWet'!$A$3:$A$840,0)),"")</f>
        <v>1.7050000000000001</v>
      </c>
      <c r="R825" s="223">
        <f>IFERROR(IF(Q825&gt;0,Q825-(TBIcalc!$H$9),""),"")</f>
        <v>1.5544</v>
      </c>
      <c r="S825" s="223">
        <f>IFERROR(INDEX('Ashed teabags wet'!$K$2:$K$2000,MATCH(L825,'Ashed teabags wet'!$A$2:$A$2000,0)),"")</f>
        <v>1.9295706705255817</v>
      </c>
      <c r="T825" s="223">
        <f t="shared" si="62"/>
        <v>1.5244067534973504</v>
      </c>
      <c r="U825" s="224">
        <f>'WetLitterbags placem_collection'!E166</f>
        <v>42763</v>
      </c>
      <c r="V825" s="224">
        <f>IF('WetLitterbags placem_collection'!G166="","",'WetLitterbags placem_collection'!G166)</f>
        <v>42814</v>
      </c>
      <c r="W825" s="225">
        <f t="shared" si="60"/>
        <v>51</v>
      </c>
      <c r="X825" s="223">
        <f t="shared" si="63"/>
        <v>0.42080000000000006</v>
      </c>
      <c r="Y825" s="223">
        <f t="shared" si="64"/>
        <v>0.34186559485308554</v>
      </c>
      <c r="Z825">
        <f>IFERROR(INDEX([1]Rainfall_Wet!$O$2:$O$217,MATCH(C825, [1]Rainfall_Wet!$A$2:$A$217,0)),"")</f>
        <v>181.383442621</v>
      </c>
      <c r="AA825" s="226">
        <v>21.96</v>
      </c>
      <c r="AB825" s="226">
        <v>4.9199999999999982</v>
      </c>
      <c r="AC825" s="226">
        <v>73.12</v>
      </c>
      <c r="AD825" s="227" t="s">
        <v>2651</v>
      </c>
      <c r="AE825" s="226">
        <v>4.2416954164613099</v>
      </c>
      <c r="AF825">
        <f>IF('WetLitterbags placem_collection'!AB166="","",'WetLitterbags placem_collection'!AB166)</f>
        <v>9.5</v>
      </c>
      <c r="AG825">
        <f>IF('WetLitterbags placem_collection'!Z166="","",'WetLitterbags placem_collection'!Z166)</f>
        <v>20.8</v>
      </c>
      <c r="AH825" s="236" t="str">
        <f>IF('WetLitterbags placem_collection'!AA166="","",'WetLitterbags placem_collection'!AA166)</f>
        <v>M</v>
      </c>
      <c r="AI825">
        <f>IF('WetLitterbags placem_collection'!AC166="","",'WetLitterbags placem_collection'!AC166)</f>
        <v>0</v>
      </c>
      <c r="AJ825">
        <f>AVERAGE('WetLitterbags placem_collection'!S166,'WetLitterbags placem_collection'!U166)</f>
        <v>9.25</v>
      </c>
      <c r="AK825">
        <f>AVERAGE('WetLitterbags placem_collection'!R166,'WetLitterbags placem_collection'!T166)</f>
        <v>33.799999999999997</v>
      </c>
      <c r="AL825">
        <f>INDEX([2]Coordinates!$B$2:$B$197,MATCH(I825,[2]Coordinates!$J$2:$J$197,0))</f>
        <v>-2.2726180130000002</v>
      </c>
      <c r="AM825">
        <f>INDEX([2]Coordinates!$C$2:$C$197,MATCH(I825,[2]Coordinates!$J$2:$J$197,0))</f>
        <v>34.023212999999998</v>
      </c>
      <c r="AN825" t="str">
        <f>IF(ISNUMBER(SEARCH("C", 'WetLitterbags placem_collection'!$Y166)),"YES","NO")</f>
        <v>NO</v>
      </c>
      <c r="AO825" t="str">
        <f>IF(ISNUMBER(SEARCH("H", 'WetLitterbags placem_collection'!$Y166)),"YES","NO")</f>
        <v>NO</v>
      </c>
      <c r="AP825" t="str">
        <f>IF(ISNUMBER(SEARCH("R", 'WetLitterbags placem_collection'!$Y166)),"YES","NO")</f>
        <v>NO</v>
      </c>
    </row>
    <row r="826" spans="1:42" ht="15" customHeight="1">
      <c r="A826" t="s">
        <v>3248</v>
      </c>
      <c r="B826" s="248" t="s">
        <v>2454</v>
      </c>
      <c r="C826" s="253">
        <f>'Dry_Litterbag Placem_Collection'!A167</f>
        <v>165</v>
      </c>
      <c r="D826" s="253" t="str">
        <f>'Dry_Litterbag Placem_Collection'!B167</f>
        <v>Handajega</v>
      </c>
      <c r="E826" s="253" t="s">
        <v>2454</v>
      </c>
      <c r="F826" s="253" t="s">
        <v>2645</v>
      </c>
      <c r="G826" s="253">
        <v>1</v>
      </c>
      <c r="H826" s="253" t="s">
        <v>3126</v>
      </c>
      <c r="I826" s="254" t="str">
        <f>'Dry_Litterbag Placem_Collection'!C167</f>
        <v>Wet_W1_T5</v>
      </c>
      <c r="J826" s="263" t="s">
        <v>2932</v>
      </c>
      <c r="K826" s="264" t="s">
        <v>298</v>
      </c>
      <c r="L826" s="221" t="str">
        <f>'WetLitterbags placem_collection'!Q167</f>
        <v>R411</v>
      </c>
      <c r="M826" s="223">
        <f>IFERROR(INDEX('Green_rooibos initial weight'!$C$5:$C$2000,MATCH(L826, 'Green_rooibos initial weight'!$A$5:$A$2000,0)),"")</f>
        <v>2.2240000000000002</v>
      </c>
      <c r="N826" s="223">
        <f>IFERROR(M826-(TBIcalc!$H$9+TBIcalc!$H$10),"")</f>
        <v>1.9742000000000002</v>
      </c>
      <c r="O826" s="378">
        <f>AVERAGE(Ashed_controlls!$K$2:$K$11)</f>
        <v>5.5147656768714146</v>
      </c>
      <c r="P826" s="223">
        <f t="shared" si="61"/>
        <v>1.8653274960072048</v>
      </c>
      <c r="Q826" s="223">
        <f>IFERROR(INDEX('Both teabags AfterWet'!$C$3:$C$840,MATCH(L826,'Both teabags AfterWet'!$A$3:$A$840,0)),"")</f>
        <v>1.728</v>
      </c>
      <c r="R826" s="223">
        <f>IFERROR(IF(Q826&gt;0,Q826-(TBIcalc!$H$9),""),"")</f>
        <v>1.5773999999999999</v>
      </c>
      <c r="S826" s="223">
        <f>IFERROR(INDEX('Ashed teabags wet'!$K$2:$K$2000,MATCH(L826,'Ashed teabags wet'!$A$2:$A$2000,0)),"")</f>
        <v>1.9212295869364138</v>
      </c>
      <c r="T826" s="223">
        <f t="shared" si="62"/>
        <v>1.5470945244956649</v>
      </c>
      <c r="U826" s="224">
        <f>'WetLitterbags placem_collection'!E167</f>
        <v>42763</v>
      </c>
      <c r="V826" s="224">
        <f>IF('WetLitterbags placem_collection'!G167="","",'WetLitterbags placem_collection'!G167)</f>
        <v>42814</v>
      </c>
      <c r="W826" s="225">
        <f t="shared" si="60"/>
        <v>51</v>
      </c>
      <c r="X826" s="223">
        <f t="shared" si="63"/>
        <v>0.39680000000000026</v>
      </c>
      <c r="Y826" s="223">
        <f t="shared" si="64"/>
        <v>0.31823297151153995</v>
      </c>
      <c r="Z826">
        <f>IFERROR(INDEX([1]Rainfall_Wet!$O$2:$O$217,MATCH(C826, [1]Rainfall_Wet!$A$2:$A$217,0)),"")</f>
        <v>181.383442621</v>
      </c>
      <c r="AA826" s="226">
        <v>21.96</v>
      </c>
      <c r="AB826" s="226">
        <v>4.9199999999999982</v>
      </c>
      <c r="AC826" s="226">
        <v>73.12</v>
      </c>
      <c r="AD826" s="227" t="s">
        <v>2651</v>
      </c>
      <c r="AE826" s="226">
        <v>5.2416954164613099</v>
      </c>
      <c r="AF826">
        <f>IF('WetLitterbags placem_collection'!AB167="","",'WetLitterbags placem_collection'!AB167)</f>
        <v>10.4</v>
      </c>
      <c r="AG826">
        <f>IF('WetLitterbags placem_collection'!Z167="","",'WetLitterbags placem_collection'!Z167)</f>
        <v>13.8</v>
      </c>
      <c r="AH826" s="236" t="str">
        <f>IF('WetLitterbags placem_collection'!AA167="","",'WetLitterbags placem_collection'!AA167)</f>
        <v>M</v>
      </c>
      <c r="AI826">
        <f>IF('WetLitterbags placem_collection'!AC167="","",'WetLitterbags placem_collection'!AC167)</f>
        <v>0</v>
      </c>
      <c r="AJ826">
        <f>AVERAGE('WetLitterbags placem_collection'!S167,'WetLitterbags placem_collection'!U167)</f>
        <v>12</v>
      </c>
      <c r="AK826">
        <f>AVERAGE('WetLitterbags placem_collection'!R167,'WetLitterbags placem_collection'!T167)</f>
        <v>31.5</v>
      </c>
      <c r="AL826">
        <f>INDEX([2]Coordinates!$B$2:$B$197,MATCH(I826,[2]Coordinates!$J$2:$J$197,0))</f>
        <v>-2.2724750170000001</v>
      </c>
      <c r="AM826">
        <f>INDEX([2]Coordinates!$C$2:$C$197,MATCH(I826,[2]Coordinates!$J$2:$J$197,0))</f>
        <v>34.02334501</v>
      </c>
      <c r="AN826" t="str">
        <f>IF(ISNUMBER(SEARCH("C", 'WetLitterbags placem_collection'!$Y167)),"YES","NO")</f>
        <v>NO</v>
      </c>
      <c r="AO826" t="str">
        <f>IF(ISNUMBER(SEARCH("H", 'WetLitterbags placem_collection'!$Y167)),"YES","NO")</f>
        <v>NO</v>
      </c>
      <c r="AP826" t="str">
        <f>IF(ISNUMBER(SEARCH("R", 'WetLitterbags placem_collection'!$Y167)),"YES","NO")</f>
        <v>NO</v>
      </c>
    </row>
    <row r="827" spans="1:42" ht="15" customHeight="1">
      <c r="A827" t="s">
        <v>3248</v>
      </c>
      <c r="B827" s="248" t="s">
        <v>2454</v>
      </c>
      <c r="C827" s="253">
        <f>'Dry_Litterbag Placem_Collection'!A168</f>
        <v>166</v>
      </c>
      <c r="D827" s="253" t="str">
        <f>'Dry_Litterbag Placem_Collection'!B168</f>
        <v>Handajega</v>
      </c>
      <c r="E827" s="253" t="s">
        <v>2454</v>
      </c>
      <c r="F827" s="253" t="s">
        <v>2645</v>
      </c>
      <c r="G827" s="253">
        <v>1</v>
      </c>
      <c r="H827" s="253" t="s">
        <v>3126</v>
      </c>
      <c r="I827" s="254" t="str">
        <f>'Dry_Litterbag Placem_Collection'!C168</f>
        <v>Wet_W1_T6</v>
      </c>
      <c r="J827" s="263" t="s">
        <v>2932</v>
      </c>
      <c r="K827" s="264" t="s">
        <v>298</v>
      </c>
      <c r="L827" s="221" t="str">
        <f>'WetLitterbags placem_collection'!Q168</f>
        <v>R259</v>
      </c>
      <c r="M827" s="223">
        <f>IFERROR(INDEX('Green_rooibos initial weight'!$C$5:$C$2000,MATCH(L827, 'Green_rooibos initial weight'!$A$5:$A$2000,0)),"")</f>
        <v>2.218</v>
      </c>
      <c r="N827" s="223">
        <f>IFERROR(M827-(TBIcalc!$H$9+TBIcalc!$H$10),"")</f>
        <v>1.9681999999999999</v>
      </c>
      <c r="O827" s="378">
        <f>AVERAGE(Ashed_controlls!$K$2:$K$11)</f>
        <v>5.5147656768714146</v>
      </c>
      <c r="P827" s="223">
        <f t="shared" si="61"/>
        <v>1.8596583819478167</v>
      </c>
      <c r="Q827" s="223">
        <f>IFERROR(INDEX('Both teabags AfterWet'!$C$3:$C$840,MATCH(L827,'Both teabags AfterWet'!$A$3:$A$840,0)),"")</f>
        <v>1.7169000000000001</v>
      </c>
      <c r="R827" s="223">
        <f>IFERROR(IF(Q827&gt;0,Q827-(TBIcalc!$H$9),""),"")</f>
        <v>1.5663</v>
      </c>
      <c r="S827" s="223">
        <f>IFERROR(INDEX('Ashed teabags wet'!$K$2:$K$2000,MATCH(L827,'Ashed teabags wet'!$A$2:$A$2000,0)),"")</f>
        <v>1.9326065411295223</v>
      </c>
      <c r="T827" s="223">
        <f t="shared" si="62"/>
        <v>1.5360295837462883</v>
      </c>
      <c r="U827" s="224">
        <f>'WetLitterbags placem_collection'!E168</f>
        <v>42763</v>
      </c>
      <c r="V827" s="224">
        <f>IF('WetLitterbags placem_collection'!G168="","",'WetLitterbags placem_collection'!G168)</f>
        <v>42814</v>
      </c>
      <c r="W827" s="225">
        <f t="shared" si="60"/>
        <v>51</v>
      </c>
      <c r="X827" s="223">
        <f t="shared" si="63"/>
        <v>0.40189999999999992</v>
      </c>
      <c r="Y827" s="223">
        <f t="shared" si="64"/>
        <v>0.32362879820152846</v>
      </c>
      <c r="Z827">
        <f>IFERROR(INDEX([1]Rainfall_Wet!$O$2:$O$217,MATCH(C827, [1]Rainfall_Wet!$A$2:$A$217,0)),"")</f>
        <v>181.383442621</v>
      </c>
      <c r="AA827" s="226">
        <v>21.96</v>
      </c>
      <c r="AB827" s="226">
        <v>4.9199999999999982</v>
      </c>
      <c r="AC827" s="226">
        <v>73.12</v>
      </c>
      <c r="AD827" s="227" t="s">
        <v>2651</v>
      </c>
      <c r="AE827" s="226">
        <v>6.2416954164613099</v>
      </c>
      <c r="AF827">
        <f>IF('WetLitterbags placem_collection'!AB168="","",'WetLitterbags placem_collection'!AB168)</f>
        <v>2.1</v>
      </c>
      <c r="AG827">
        <f>IF('WetLitterbags placem_collection'!Z168="","",'WetLitterbags placem_collection'!Z168)</f>
        <v>4.7</v>
      </c>
      <c r="AH827" s="236" t="str">
        <f>IF('WetLitterbags placem_collection'!AA168="","",'WetLitterbags placem_collection'!AA168)</f>
        <v>M</v>
      </c>
      <c r="AI827">
        <f>IF('WetLitterbags placem_collection'!AC168="","",'WetLitterbags placem_collection'!AC168)</f>
        <v>0</v>
      </c>
      <c r="AJ827">
        <f>AVERAGE('WetLitterbags placem_collection'!S168,'WetLitterbags placem_collection'!U168)</f>
        <v>11</v>
      </c>
      <c r="AK827">
        <f>AVERAGE('WetLitterbags placem_collection'!R168,'WetLitterbags placem_collection'!T168)</f>
        <v>31.5</v>
      </c>
      <c r="AL827">
        <f>INDEX([2]Coordinates!$B$2:$B$197,MATCH(I827,[2]Coordinates!$J$2:$J$197,0))</f>
        <v>-2.2725490289999999</v>
      </c>
      <c r="AM827">
        <f>INDEX([2]Coordinates!$C$2:$C$197,MATCH(I827,[2]Coordinates!$J$2:$J$197,0))</f>
        <v>34.022886020000001</v>
      </c>
      <c r="AN827" t="str">
        <f>IF(ISNUMBER(SEARCH("C", 'WetLitterbags placem_collection'!$Y168)),"YES","NO")</f>
        <v>NO</v>
      </c>
      <c r="AO827" t="str">
        <f>IF(ISNUMBER(SEARCH("H", 'WetLitterbags placem_collection'!$Y168)),"YES","NO")</f>
        <v>NO</v>
      </c>
      <c r="AP827" t="str">
        <f>IF(ISNUMBER(SEARCH("R", 'WetLitterbags placem_collection'!$Y168)),"YES","NO")</f>
        <v>NO</v>
      </c>
    </row>
    <row r="828" spans="1:42" ht="15" customHeight="1">
      <c r="A828" t="s">
        <v>3248</v>
      </c>
      <c r="B828" s="248" t="s">
        <v>2454</v>
      </c>
      <c r="C828" s="253">
        <f>'Dry_Litterbag Placem_Collection'!A169</f>
        <v>167</v>
      </c>
      <c r="D828" s="253" t="str">
        <f>'Dry_Litterbag Placem_Collection'!B169</f>
        <v>Handajega</v>
      </c>
      <c r="E828" s="253" t="s">
        <v>2454</v>
      </c>
      <c r="F828" s="253" t="s">
        <v>2645</v>
      </c>
      <c r="G828" s="253">
        <v>1</v>
      </c>
      <c r="H828" s="253" t="s">
        <v>3126</v>
      </c>
      <c r="I828" s="254" t="str">
        <f>'Dry_Litterbag Placem_Collection'!C169</f>
        <v>Wet_W1_T7</v>
      </c>
      <c r="J828" s="263" t="s">
        <v>2932</v>
      </c>
      <c r="K828" s="264" t="s">
        <v>298</v>
      </c>
      <c r="L828" s="221" t="str">
        <f>'WetLitterbags placem_collection'!Q169</f>
        <v>R215</v>
      </c>
      <c r="M828" s="223">
        <f>IFERROR(INDEX('Green_rooibos initial weight'!$C$5:$C$2000,MATCH(L828, 'Green_rooibos initial weight'!$A$5:$A$2000,0)),"")</f>
        <v>2.1949999999999998</v>
      </c>
      <c r="N828" s="223">
        <f>IFERROR(M828-(TBIcalc!$H$9+TBIcalc!$H$10),"")</f>
        <v>1.9451999999999998</v>
      </c>
      <c r="O828" s="378">
        <f>AVERAGE(Ashed_controlls!$K$2:$K$11)</f>
        <v>5.5147656768714146</v>
      </c>
      <c r="P828" s="223">
        <f t="shared" si="61"/>
        <v>1.8379267780534971</v>
      </c>
      <c r="Q828" s="223">
        <f>IFERROR(INDEX('Both teabags AfterWet'!$C$3:$C$840,MATCH(L828,'Both teabags AfterWet'!$A$3:$A$840,0)),"")</f>
        <v>1.7432000000000001</v>
      </c>
      <c r="R828" s="223">
        <f>IFERROR(IF(Q828&gt;0,Q828-(TBIcalc!$H$9),""),"")</f>
        <v>1.5926</v>
      </c>
      <c r="S828" s="223">
        <f>IFERROR(INDEX('Ashed teabags wet'!$K$2:$K$2000,MATCH(L828,'Ashed teabags wet'!$A$2:$A$2000,0)),"")</f>
        <v>1.8428709990296765</v>
      </c>
      <c r="T828" s="223">
        <f t="shared" si="62"/>
        <v>1.5632504364694535</v>
      </c>
      <c r="U828" s="224">
        <f>'WetLitterbags placem_collection'!E169</f>
        <v>42763</v>
      </c>
      <c r="V828" s="224">
        <f>IF('WetLitterbags placem_collection'!G169="","",'WetLitterbags placem_collection'!G169)</f>
        <v>42814</v>
      </c>
      <c r="W828" s="225">
        <f t="shared" si="60"/>
        <v>51</v>
      </c>
      <c r="X828" s="223">
        <f t="shared" si="63"/>
        <v>0.3525999999999998</v>
      </c>
      <c r="Y828" s="223">
        <f t="shared" si="64"/>
        <v>0.27467634158404364</v>
      </c>
      <c r="Z828">
        <f>IFERROR(INDEX([1]Rainfall_Wet!$O$2:$O$217,MATCH(C828, [1]Rainfall_Wet!$A$2:$A$217,0)),"")</f>
        <v>181.383442621</v>
      </c>
      <c r="AA828" s="226">
        <v>21.96</v>
      </c>
      <c r="AB828" s="226">
        <v>4.9199999999999982</v>
      </c>
      <c r="AC828" s="226">
        <v>73.12</v>
      </c>
      <c r="AD828" s="227" t="s">
        <v>2651</v>
      </c>
      <c r="AE828" s="226">
        <v>7.2416954164613099</v>
      </c>
      <c r="AF828">
        <f>IF('WetLitterbags placem_collection'!AB169="","",'WetLitterbags placem_collection'!AB169)</f>
        <v>5.6</v>
      </c>
      <c r="AG828">
        <f>IF('WetLitterbags placem_collection'!Z169="","",'WetLitterbags placem_collection'!Z169)</f>
        <v>4.2</v>
      </c>
      <c r="AH828" s="236" t="str">
        <f>IF('WetLitterbags placem_collection'!AA169="","",'WetLitterbags placem_collection'!AA169)</f>
        <v>M</v>
      </c>
      <c r="AI828">
        <f>IF('WetLitterbags placem_collection'!AC169="","",'WetLitterbags placem_collection'!AC169)</f>
        <v>1</v>
      </c>
      <c r="AJ828">
        <f>AVERAGE('WetLitterbags placem_collection'!S169,'WetLitterbags placem_collection'!U169)</f>
        <v>10.45</v>
      </c>
      <c r="AK828">
        <f>AVERAGE('WetLitterbags placem_collection'!R169,'WetLitterbags placem_collection'!T169)</f>
        <v>31</v>
      </c>
      <c r="AL828">
        <f>INDEX([2]Coordinates!$B$2:$B$197,MATCH(I828,[2]Coordinates!$J$2:$J$197,0))</f>
        <v>-2.2729950310000002</v>
      </c>
      <c r="AM828">
        <f>INDEX([2]Coordinates!$C$2:$C$197,MATCH(I828,[2]Coordinates!$J$2:$J$197,0))</f>
        <v>34.022923990000002</v>
      </c>
      <c r="AN828" t="str">
        <f>IF(ISNUMBER(SEARCH("C", 'WetLitterbags placem_collection'!$Y169)),"YES","NO")</f>
        <v>NO</v>
      </c>
      <c r="AO828" t="str">
        <f>IF(ISNUMBER(SEARCH("H", 'WetLitterbags placem_collection'!$Y169)),"YES","NO")</f>
        <v>NO</v>
      </c>
      <c r="AP828" t="str">
        <f>IF(ISNUMBER(SEARCH("R", 'WetLitterbags placem_collection'!$Y169)),"YES","NO")</f>
        <v>NO</v>
      </c>
    </row>
    <row r="829" spans="1:42" ht="15" customHeight="1">
      <c r="A829" t="s">
        <v>3248</v>
      </c>
      <c r="B829" s="248" t="s">
        <v>2454</v>
      </c>
      <c r="C829" s="253">
        <f>'Dry_Litterbag Placem_Collection'!A170</f>
        <v>168</v>
      </c>
      <c r="D829" s="253" t="str">
        <f>'Dry_Litterbag Placem_Collection'!B170</f>
        <v>Handajega</v>
      </c>
      <c r="E829" s="253" t="s">
        <v>2454</v>
      </c>
      <c r="F829" s="253" t="s">
        <v>2645</v>
      </c>
      <c r="G829" s="253">
        <v>1</v>
      </c>
      <c r="H829" s="253" t="s">
        <v>3126</v>
      </c>
      <c r="I829" s="254" t="str">
        <f>'Dry_Litterbag Placem_Collection'!C170</f>
        <v>Wet_W1_T8</v>
      </c>
      <c r="J829" s="263" t="s">
        <v>2932</v>
      </c>
      <c r="K829" s="264" t="s">
        <v>298</v>
      </c>
      <c r="L829" s="221" t="str">
        <f>'WetLitterbags placem_collection'!Q170</f>
        <v>R322</v>
      </c>
      <c r="M829" s="223">
        <f>IFERROR(INDEX('Green_rooibos initial weight'!$C$5:$C$2000,MATCH(L829, 'Green_rooibos initial weight'!$A$5:$A$2000,0)),"")</f>
        <v>2.1909999999999998</v>
      </c>
      <c r="N829" s="223">
        <f>IFERROR(M829-(TBIcalc!$H$9+TBIcalc!$H$10),"")</f>
        <v>1.9411999999999998</v>
      </c>
      <c r="O829" s="378">
        <f>AVERAGE(Ashed_controlls!$K$2:$K$11)</f>
        <v>5.5147656768714146</v>
      </c>
      <c r="P829" s="223">
        <f t="shared" si="61"/>
        <v>1.834147368680572</v>
      </c>
      <c r="Q829" s="223">
        <f>IFERROR(INDEX('Both teabags AfterWet'!$C$3:$C$840,MATCH(L829,'Both teabags AfterWet'!$A$3:$A$840,0)),"")</f>
        <v>1.6950000000000001</v>
      </c>
      <c r="R829" s="223">
        <f>IFERROR(IF(Q829&gt;0,Q829-(TBIcalc!$H$9),""),"")</f>
        <v>1.5444</v>
      </c>
      <c r="S829" s="223">
        <f>IFERROR(INDEX('Ashed teabags wet'!$K$2:$K$2000,MATCH(L829,'Ashed teabags wet'!$A$2:$A$2000,0)),"")</f>
        <v>2.1371769383691874</v>
      </c>
      <c r="T829" s="223">
        <f t="shared" si="62"/>
        <v>1.5113934393638262</v>
      </c>
      <c r="U829" s="224">
        <f>'WetLitterbags placem_collection'!E170</f>
        <v>42763</v>
      </c>
      <c r="V829" s="224">
        <f>IF('WetLitterbags placem_collection'!G170="","",'WetLitterbags placem_collection'!G170)</f>
        <v>42814</v>
      </c>
      <c r="W829" s="225">
        <f t="shared" si="60"/>
        <v>51</v>
      </c>
      <c r="X829" s="223">
        <f t="shared" si="63"/>
        <v>0.39679999999999982</v>
      </c>
      <c r="Y829" s="223">
        <f t="shared" si="64"/>
        <v>0.32275392931674585</v>
      </c>
      <c r="Z829">
        <f>IFERROR(INDEX([1]Rainfall_Wet!$O$2:$O$217,MATCH(C829, [1]Rainfall_Wet!$A$2:$A$217,0)),"")</f>
        <v>181.383442621</v>
      </c>
      <c r="AA829" s="226">
        <v>21.96</v>
      </c>
      <c r="AB829" s="226">
        <v>4.9199999999999982</v>
      </c>
      <c r="AC829" s="226">
        <v>73.12</v>
      </c>
      <c r="AD829" s="227" t="s">
        <v>2651</v>
      </c>
      <c r="AE829" s="226">
        <v>8.2416954164613099</v>
      </c>
      <c r="AF829">
        <f>IF('WetLitterbags placem_collection'!AB170="","",'WetLitterbags placem_collection'!AB170)</f>
        <v>2.4</v>
      </c>
      <c r="AG829">
        <f>IF('WetLitterbags placem_collection'!Z170="","",'WetLitterbags placem_collection'!Z170)</f>
        <v>46</v>
      </c>
      <c r="AH829" s="236" t="str">
        <f>IF('WetLitterbags placem_collection'!AA170="","",'WetLitterbags placem_collection'!AA170)</f>
        <v>M</v>
      </c>
      <c r="AI829">
        <f>IF('WetLitterbags placem_collection'!AC170="","",'WetLitterbags placem_collection'!AC170)</f>
        <v>0</v>
      </c>
      <c r="AJ829">
        <f>AVERAGE('WetLitterbags placem_collection'!S170,'WetLitterbags placem_collection'!U170)</f>
        <v>11.25</v>
      </c>
      <c r="AK829">
        <f>AVERAGE('WetLitterbags placem_collection'!R170,'WetLitterbags placem_collection'!T170)</f>
        <v>33.299999999999997</v>
      </c>
      <c r="AL829">
        <f>INDEX([2]Coordinates!$B$2:$B$197,MATCH(I829,[2]Coordinates!$J$2:$J$197,0))</f>
        <v>-2.2729129719999999</v>
      </c>
      <c r="AM829">
        <f>INDEX([2]Coordinates!$C$2:$C$197,MATCH(I829,[2]Coordinates!$J$2:$J$197,0))</f>
        <v>34.023350039999997</v>
      </c>
      <c r="AN829" t="str">
        <f>IF(ISNUMBER(SEARCH("C", 'WetLitterbags placem_collection'!$Y170)),"YES","NO")</f>
        <v>NO</v>
      </c>
      <c r="AO829" t="str">
        <f>IF(ISNUMBER(SEARCH("H", 'WetLitterbags placem_collection'!$Y170)),"YES","NO")</f>
        <v>NO</v>
      </c>
      <c r="AP829" t="str">
        <f>IF(ISNUMBER(SEARCH("R", 'WetLitterbags placem_collection'!$Y170)),"YES","NO")</f>
        <v>NO</v>
      </c>
    </row>
    <row r="830" spans="1:42" ht="15" customHeight="1">
      <c r="A830" t="s">
        <v>3248</v>
      </c>
      <c r="B830" s="248" t="s">
        <v>2454</v>
      </c>
      <c r="C830" s="253">
        <f>'Dry_Litterbag Placem_Collection'!A171</f>
        <v>169</v>
      </c>
      <c r="D830" s="253" t="str">
        <f>'Dry_Litterbag Placem_Collection'!B171</f>
        <v>Handajega</v>
      </c>
      <c r="E830" s="253" t="s">
        <v>2454</v>
      </c>
      <c r="F830" s="253" t="s">
        <v>2645</v>
      </c>
      <c r="G830" s="253">
        <v>2</v>
      </c>
      <c r="H830" s="253" t="s">
        <v>3128</v>
      </c>
      <c r="I830" s="254" t="str">
        <f>'Dry_Litterbag Placem_Collection'!C171</f>
        <v>Wet_W2_T1</v>
      </c>
      <c r="J830" s="263" t="s">
        <v>2932</v>
      </c>
      <c r="K830" s="264" t="s">
        <v>298</v>
      </c>
      <c r="L830" s="221" t="str">
        <f>'WetLitterbags placem_collection'!Q171</f>
        <v>R403</v>
      </c>
      <c r="M830" s="223">
        <f>IFERROR(INDEX('Green_rooibos initial weight'!$C$5:$C$2000,MATCH(L830, 'Green_rooibos initial weight'!$A$5:$A$2000,0)),"")</f>
        <v>2.2679999999999998</v>
      </c>
      <c r="N830" s="223">
        <f>IFERROR(M830-(TBIcalc!$H$9+TBIcalc!$H$10),"")</f>
        <v>2.0181999999999998</v>
      </c>
      <c r="O830" s="378">
        <f>AVERAGE(Ashed_controlls!$K$2:$K$11)</f>
        <v>5.5147656768714146</v>
      </c>
      <c r="P830" s="223">
        <f t="shared" si="61"/>
        <v>1.9069009991093808</v>
      </c>
      <c r="Q830" s="223">
        <f>IFERROR(INDEX('Both teabags AfterWet'!$C$3:$C$840,MATCH(L830,'Both teabags AfterWet'!$A$3:$A$840,0)),"")</f>
        <v>1.736</v>
      </c>
      <c r="R830" s="223">
        <f>IFERROR(IF(Q830&gt;0,Q830-(TBIcalc!$H$9),""),"")</f>
        <v>1.5853999999999999</v>
      </c>
      <c r="S830" s="223">
        <f>IFERROR(INDEX('Ashed teabags wet'!$K$2:$K$2000,MATCH(L830,'Ashed teabags wet'!$A$2:$A$2000,0)),"")</f>
        <v>3.6768263183359386</v>
      </c>
      <c r="T830" s="223">
        <f t="shared" si="62"/>
        <v>1.527107595549102</v>
      </c>
      <c r="U830" s="224">
        <f>'WetLitterbags placem_collection'!E171</f>
        <v>42763</v>
      </c>
      <c r="V830" s="224">
        <f>IF('WetLitterbags placem_collection'!G171="","",'WetLitterbags placem_collection'!G171)</f>
        <v>42814</v>
      </c>
      <c r="W830" s="225">
        <f t="shared" si="60"/>
        <v>51</v>
      </c>
      <c r="X830" s="223">
        <f t="shared" si="63"/>
        <v>0.43279999999999985</v>
      </c>
      <c r="Y830" s="223">
        <f t="shared" si="64"/>
        <v>0.3797934035602788</v>
      </c>
      <c r="Z830">
        <f>IFERROR(INDEX([1]Rainfall_Wet!$O$2:$O$217,MATCH(C830, [1]Rainfall_Wet!$A$2:$A$217,0)),"")</f>
        <v>181.383442621</v>
      </c>
      <c r="AA830" s="226">
        <v>23.96</v>
      </c>
      <c r="AB830" s="226">
        <v>4.9199999999999982</v>
      </c>
      <c r="AC830" s="226">
        <v>71.12</v>
      </c>
      <c r="AD830" s="227" t="s">
        <v>2651</v>
      </c>
      <c r="AE830" s="226">
        <v>3.30913750616067</v>
      </c>
      <c r="AF830">
        <f>IF('WetLitterbags placem_collection'!AB171="","",'WetLitterbags placem_collection'!AB171)</f>
        <v>8.1999999999999993</v>
      </c>
      <c r="AG830">
        <f>IF('WetLitterbags placem_collection'!Z171="","",'WetLitterbags placem_collection'!Z171)</f>
        <v>11.4</v>
      </c>
      <c r="AH830" s="236" t="str">
        <f>IF('WetLitterbags placem_collection'!AA171="","",'WetLitterbags placem_collection'!AA171)</f>
        <v>O</v>
      </c>
      <c r="AI830">
        <f>IF('WetLitterbags placem_collection'!AC171="","",'WetLitterbags placem_collection'!AC171)</f>
        <v>1</v>
      </c>
      <c r="AJ830">
        <f>AVERAGE('WetLitterbags placem_collection'!S171,'WetLitterbags placem_collection'!U171)</f>
        <v>9.65</v>
      </c>
      <c r="AK830">
        <f>AVERAGE('WetLitterbags placem_collection'!R171,'WetLitterbags placem_collection'!T171)</f>
        <v>36.200000000000003</v>
      </c>
      <c r="AL830">
        <f>INDEX([2]Coordinates!$B$2:$B$197,MATCH(I830,[2]Coordinates!$J$2:$J$197,0))</f>
        <v>-2.2784290180000002</v>
      </c>
      <c r="AM830">
        <f>INDEX([2]Coordinates!$C$2:$C$197,MATCH(I830,[2]Coordinates!$J$2:$J$197,0))</f>
        <v>34.024240030000001</v>
      </c>
      <c r="AN830" t="str">
        <f>IF(ISNUMBER(SEARCH("C", 'WetLitterbags placem_collection'!$Y171)),"YES","NO")</f>
        <v>NO</v>
      </c>
      <c r="AO830" t="str">
        <f>IF(ISNUMBER(SEARCH("H", 'WetLitterbags placem_collection'!$Y171)),"YES","NO")</f>
        <v>NO</v>
      </c>
      <c r="AP830" t="str">
        <f>IF(ISNUMBER(SEARCH("R", 'WetLitterbags placem_collection'!$Y171)),"YES","NO")</f>
        <v>NO</v>
      </c>
    </row>
    <row r="831" spans="1:42" ht="15" customHeight="1">
      <c r="A831" t="s">
        <v>3248</v>
      </c>
      <c r="B831" s="248" t="s">
        <v>2454</v>
      </c>
      <c r="C831" s="253">
        <f>'Dry_Litterbag Placem_Collection'!A172</f>
        <v>170</v>
      </c>
      <c r="D831" s="253" t="str">
        <f>'Dry_Litterbag Placem_Collection'!B172</f>
        <v>Handajega</v>
      </c>
      <c r="E831" s="253" t="s">
        <v>2454</v>
      </c>
      <c r="F831" s="253" t="s">
        <v>2645</v>
      </c>
      <c r="G831" s="253">
        <v>2</v>
      </c>
      <c r="H831" s="253" t="s">
        <v>3128</v>
      </c>
      <c r="I831" s="254" t="str">
        <f>'Dry_Litterbag Placem_Collection'!C172</f>
        <v>Wet_W2_T2</v>
      </c>
      <c r="J831" s="263" t="s">
        <v>2932</v>
      </c>
      <c r="K831" s="264" t="s">
        <v>298</v>
      </c>
      <c r="L831" s="221" t="str">
        <f>'WetLitterbags placem_collection'!Q172</f>
        <v>R583</v>
      </c>
      <c r="M831" s="223">
        <f>IFERROR(INDEX('Green_rooibos initial weight'!$C$5:$C$2000,MATCH(L831, 'Green_rooibos initial weight'!$A$5:$A$2000,0)),"")</f>
        <v>2.2549999999999999</v>
      </c>
      <c r="N831" s="223">
        <f>IFERROR(M831-(TBIcalc!$H$9+TBIcalc!$H$10),"")</f>
        <v>2.0051999999999999</v>
      </c>
      <c r="O831" s="378">
        <f>AVERAGE(Ashed_controlls!$K$2:$K$11)</f>
        <v>5.5147656768714146</v>
      </c>
      <c r="P831" s="223">
        <f t="shared" si="61"/>
        <v>1.8946179186473744</v>
      </c>
      <c r="Q831" s="223">
        <f>IFERROR(INDEX('Both teabags AfterWet'!$C$3:$C$840,MATCH(L831,'Both teabags AfterWet'!$A$3:$A$840,0)),"")</f>
        <v>1.71</v>
      </c>
      <c r="R831" s="223">
        <f>IFERROR(IF(Q831&gt;0,Q831-(TBIcalc!$H$9),""),"")</f>
        <v>1.5593999999999999</v>
      </c>
      <c r="S831" s="223">
        <f>IFERROR(INDEX('Ashed teabags wet'!$K$2:$K$2000,MATCH(L831,'Ashed teabags wet'!$A$2:$A$2000,0)),"")</f>
        <v>2.3988005996999138</v>
      </c>
      <c r="T831" s="223">
        <f t="shared" si="62"/>
        <v>1.5219931034482794</v>
      </c>
      <c r="U831" s="224">
        <f>'WetLitterbags placem_collection'!E172</f>
        <v>42763</v>
      </c>
      <c r="V831" s="224">
        <f>IF('WetLitterbags placem_collection'!G172="","",'WetLitterbags placem_collection'!G172)</f>
        <v>42814</v>
      </c>
      <c r="W831" s="225">
        <f t="shared" si="60"/>
        <v>51</v>
      </c>
      <c r="X831" s="223">
        <f t="shared" si="63"/>
        <v>0.44579999999999997</v>
      </c>
      <c r="Y831" s="223">
        <f t="shared" si="64"/>
        <v>0.37262481519909496</v>
      </c>
      <c r="Z831">
        <f>IFERROR(INDEX([1]Rainfall_Wet!$O$2:$O$217,MATCH(C831, [1]Rainfall_Wet!$A$2:$A$217,0)),"")</f>
        <v>181.383442621</v>
      </c>
      <c r="AA831" s="226">
        <v>23.96</v>
      </c>
      <c r="AB831" s="226">
        <v>4.9199999999999982</v>
      </c>
      <c r="AC831" s="226">
        <v>71.12</v>
      </c>
      <c r="AD831" s="227" t="s">
        <v>2651</v>
      </c>
      <c r="AE831" s="226">
        <v>4.3091375061606696</v>
      </c>
      <c r="AF831">
        <f>IF('WetLitterbags placem_collection'!AB172="","",'WetLitterbags placem_collection'!AB172)</f>
        <v>7.7</v>
      </c>
      <c r="AG831">
        <f>IF('WetLitterbags placem_collection'!Z172="","",'WetLitterbags placem_collection'!Z172)</f>
        <v>15.8</v>
      </c>
      <c r="AH831" s="236" t="str">
        <f>IF('WetLitterbags placem_collection'!AA172="","",'WetLitterbags placem_collection'!AA172)</f>
        <v>O</v>
      </c>
      <c r="AI831">
        <f>IF('WetLitterbags placem_collection'!AC172="","",'WetLitterbags placem_collection'!AC172)</f>
        <v>1</v>
      </c>
      <c r="AJ831">
        <f>AVERAGE('WetLitterbags placem_collection'!S172,'WetLitterbags placem_collection'!U172)</f>
        <v>8.1</v>
      </c>
      <c r="AK831">
        <f>AVERAGE('WetLitterbags placem_collection'!R172,'WetLitterbags placem_collection'!T172)</f>
        <v>33.599999999999994</v>
      </c>
      <c r="AL831">
        <f>INDEX([2]Coordinates!$B$2:$B$197,MATCH(I831,[2]Coordinates!$J$2:$J$197,0))</f>
        <v>-2.2784629650000001</v>
      </c>
      <c r="AM831">
        <f>INDEX([2]Coordinates!$C$2:$C$197,MATCH(I831,[2]Coordinates!$J$2:$J$197,0))</f>
        <v>34.024177999999999</v>
      </c>
      <c r="AN831" t="str">
        <f>IF(ISNUMBER(SEARCH("C", 'WetLitterbags placem_collection'!$Y172)),"YES","NO")</f>
        <v>NO</v>
      </c>
      <c r="AO831" t="str">
        <f>IF(ISNUMBER(SEARCH("H", 'WetLitterbags placem_collection'!$Y172)),"YES","NO")</f>
        <v>NO</v>
      </c>
      <c r="AP831" t="str">
        <f>IF(ISNUMBER(SEARCH("R", 'WetLitterbags placem_collection'!$Y172)),"YES","NO")</f>
        <v>NO</v>
      </c>
    </row>
    <row r="832" spans="1:42" ht="15" customHeight="1">
      <c r="A832" t="s">
        <v>3248</v>
      </c>
      <c r="B832" s="248" t="s">
        <v>2454</v>
      </c>
      <c r="C832" s="253">
        <f>'Dry_Litterbag Placem_Collection'!A173</f>
        <v>171</v>
      </c>
      <c r="D832" s="253" t="str">
        <f>'Dry_Litterbag Placem_Collection'!B173</f>
        <v>Handajega</v>
      </c>
      <c r="E832" s="253" t="s">
        <v>2454</v>
      </c>
      <c r="F832" s="253" t="s">
        <v>2645</v>
      </c>
      <c r="G832" s="253">
        <v>2</v>
      </c>
      <c r="H832" s="253" t="s">
        <v>3128</v>
      </c>
      <c r="I832" s="254" t="str">
        <f>'Dry_Litterbag Placem_Collection'!C173</f>
        <v>Wet_W2_T3</v>
      </c>
      <c r="J832" s="263" t="s">
        <v>2932</v>
      </c>
      <c r="K832" s="264" t="s">
        <v>298</v>
      </c>
      <c r="L832" s="221" t="str">
        <f>'WetLitterbags placem_collection'!Q173</f>
        <v>R451</v>
      </c>
      <c r="M832" s="223">
        <f>IFERROR(INDEX('Green_rooibos initial weight'!$C$5:$C$2000,MATCH(L832, 'Green_rooibos initial weight'!$A$5:$A$2000,0)),"")</f>
        <v>2.1970000000000001</v>
      </c>
      <c r="N832" s="223">
        <f>IFERROR(M832-(TBIcalc!$H$9+TBIcalc!$H$10),"")</f>
        <v>1.9472</v>
      </c>
      <c r="O832" s="378">
        <f>AVERAGE(Ashed_controlls!$K$2:$K$11)</f>
        <v>5.5147656768714146</v>
      </c>
      <c r="P832" s="223">
        <f t="shared" si="61"/>
        <v>1.8398164827399599</v>
      </c>
      <c r="Q832" s="223">
        <f>IFERROR(INDEX('Both teabags AfterWet'!$C$3:$C$840,MATCH(L832,'Both teabags AfterWet'!$A$3:$A$840,0)),"")</f>
        <v>1.629</v>
      </c>
      <c r="R832" s="223">
        <f>IFERROR(IF(Q832&gt;0,Q832-(TBIcalc!$H$9),""),"")</f>
        <v>1.4783999999999999</v>
      </c>
      <c r="S832" s="223">
        <f>IFERROR(INDEX('Ashed teabags wet'!$K$2:$K$2000,MATCH(L832,'Ashed teabags wet'!$A$2:$A$2000,0)),"")</f>
        <v>1.7224409448818911</v>
      </c>
      <c r="T832" s="223">
        <f t="shared" si="62"/>
        <v>1.4529354330708661</v>
      </c>
      <c r="U832" s="224">
        <f>'WetLitterbags placem_collection'!E173</f>
        <v>42763</v>
      </c>
      <c r="V832" s="224">
        <f>IF('WetLitterbags placem_collection'!G173="","",'WetLitterbags placem_collection'!G173)</f>
        <v>42814</v>
      </c>
      <c r="W832" s="225">
        <f t="shared" si="60"/>
        <v>51</v>
      </c>
      <c r="X832" s="223">
        <f t="shared" si="63"/>
        <v>0.46880000000000011</v>
      </c>
      <c r="Y832" s="223">
        <f t="shared" si="64"/>
        <v>0.38688104966909376</v>
      </c>
      <c r="Z832">
        <f>IFERROR(INDEX([1]Rainfall_Wet!$O$2:$O$217,MATCH(C832, [1]Rainfall_Wet!$A$2:$A$217,0)),"")</f>
        <v>181.383442621</v>
      </c>
      <c r="AA832" s="226">
        <v>23.96</v>
      </c>
      <c r="AB832" s="226">
        <v>4.9199999999999982</v>
      </c>
      <c r="AC832" s="226">
        <v>71.12</v>
      </c>
      <c r="AD832" s="227" t="s">
        <v>2651</v>
      </c>
      <c r="AE832" s="226">
        <v>5.3091375061606696</v>
      </c>
      <c r="AF832">
        <f>IF('WetLitterbags placem_collection'!AB173="","",'WetLitterbags placem_collection'!AB173)</f>
        <v>13.4</v>
      </c>
      <c r="AG832">
        <f>IF('WetLitterbags placem_collection'!Z173="","",'WetLitterbags placem_collection'!Z173)</f>
        <v>7.6</v>
      </c>
      <c r="AH832" s="236" t="str">
        <f>IF('WetLitterbags placem_collection'!AA173="","",'WetLitterbags placem_collection'!AA173)</f>
        <v>O</v>
      </c>
      <c r="AI832">
        <f>IF('WetLitterbags placem_collection'!AC173="","",'WetLitterbags placem_collection'!AC173)</f>
        <v>1</v>
      </c>
      <c r="AJ832">
        <f>AVERAGE('WetLitterbags placem_collection'!S173,'WetLitterbags placem_collection'!U173)</f>
        <v>10.5</v>
      </c>
      <c r="AK832">
        <f>AVERAGE('WetLitterbags placem_collection'!R173,'WetLitterbags placem_collection'!T173)</f>
        <v>34.15</v>
      </c>
      <c r="AL832">
        <f>INDEX([2]Coordinates!$B$2:$B$197,MATCH(I832,[2]Coordinates!$J$2:$J$197,0))</f>
        <v>-2.2785389889999998</v>
      </c>
      <c r="AM832">
        <f>INDEX([2]Coordinates!$C$2:$C$197,MATCH(I832,[2]Coordinates!$J$2:$J$197,0))</f>
        <v>34.024371039999998</v>
      </c>
      <c r="AN832" t="str">
        <f>IF(ISNUMBER(SEARCH("C", 'WetLitterbags placem_collection'!$Y173)),"YES","NO")</f>
        <v>NO</v>
      </c>
      <c r="AO832" t="str">
        <f>IF(ISNUMBER(SEARCH("H", 'WetLitterbags placem_collection'!$Y173)),"YES","NO")</f>
        <v>NO</v>
      </c>
      <c r="AP832" t="str">
        <f>IF(ISNUMBER(SEARCH("R", 'WetLitterbags placem_collection'!$Y173)),"YES","NO")</f>
        <v>NO</v>
      </c>
    </row>
    <row r="833" spans="1:42" ht="15" customHeight="1">
      <c r="A833" t="s">
        <v>3248</v>
      </c>
      <c r="B833" s="248" t="s">
        <v>2454</v>
      </c>
      <c r="C833" s="253">
        <f>'Dry_Litterbag Placem_Collection'!A174</f>
        <v>172</v>
      </c>
      <c r="D833" s="253" t="str">
        <f>'Dry_Litterbag Placem_Collection'!B174</f>
        <v>Handajega</v>
      </c>
      <c r="E833" s="253" t="s">
        <v>2454</v>
      </c>
      <c r="F833" s="253" t="s">
        <v>2645</v>
      </c>
      <c r="G833" s="253">
        <v>2</v>
      </c>
      <c r="H833" s="253" t="s">
        <v>3128</v>
      </c>
      <c r="I833" s="254" t="str">
        <f>'Dry_Litterbag Placem_Collection'!C174</f>
        <v>Wet_W2_T4</v>
      </c>
      <c r="J833" s="263" t="s">
        <v>2932</v>
      </c>
      <c r="K833" s="264" t="s">
        <v>298</v>
      </c>
      <c r="L833" s="221" t="str">
        <f>'WetLitterbags placem_collection'!Q174</f>
        <v>R353</v>
      </c>
      <c r="M833" s="223">
        <f>IFERROR(INDEX('Green_rooibos initial weight'!$C$5:$C$2000,MATCH(L833, 'Green_rooibos initial weight'!$A$5:$A$2000,0)),"")</f>
        <v>2.2909999999999999</v>
      </c>
      <c r="N833" s="223">
        <f>IFERROR(M833-(TBIcalc!$H$9+TBIcalc!$H$10),"")</f>
        <v>2.0411999999999999</v>
      </c>
      <c r="O833" s="378">
        <f>AVERAGE(Ashed_controlls!$K$2:$K$11)</f>
        <v>5.5147656768714146</v>
      </c>
      <c r="P833" s="223">
        <f t="shared" si="61"/>
        <v>1.9286326030037007</v>
      </c>
      <c r="Q833" s="223">
        <f>IFERROR(INDEX('Both teabags AfterWet'!$C$3:$C$840,MATCH(L833,'Both teabags AfterWet'!$A$3:$A$840,0)),"")</f>
        <v>1.7694000000000001</v>
      </c>
      <c r="R833" s="223">
        <f>IFERROR(IF(Q833&gt;0,Q833-(TBIcalc!$H$9),""),"")</f>
        <v>1.6188</v>
      </c>
      <c r="S833" s="223">
        <f>IFERROR(INDEX('Ashed teabags wet'!$K$2:$K$2000,MATCH(L833,'Ashed teabags wet'!$A$2:$A$2000,0)),"")</f>
        <v>2.1371769383700703</v>
      </c>
      <c r="T833" s="223">
        <f t="shared" si="62"/>
        <v>1.5842033797216653</v>
      </c>
      <c r="U833" s="224">
        <f>'WetLitterbags placem_collection'!E174</f>
        <v>42763</v>
      </c>
      <c r="V833" s="224">
        <f>IF('WetLitterbags placem_collection'!G174="","",'WetLitterbags placem_collection'!G174)</f>
        <v>42814</v>
      </c>
      <c r="W833" s="225">
        <f t="shared" si="60"/>
        <v>51</v>
      </c>
      <c r="X833" s="223">
        <f t="shared" si="63"/>
        <v>0.42239999999999989</v>
      </c>
      <c r="Y833" s="223">
        <f t="shared" si="64"/>
        <v>0.3444292232820354</v>
      </c>
      <c r="Z833">
        <f>IFERROR(INDEX([1]Rainfall_Wet!$O$2:$O$217,MATCH(C833, [1]Rainfall_Wet!$A$2:$A$217,0)),"")</f>
        <v>181.383442621</v>
      </c>
      <c r="AA833" s="226">
        <v>23.96</v>
      </c>
      <c r="AB833" s="226">
        <v>4.9199999999999982</v>
      </c>
      <c r="AC833" s="226">
        <v>71.12</v>
      </c>
      <c r="AD833" s="227" t="s">
        <v>2651</v>
      </c>
      <c r="AE833" s="226">
        <v>6.3091375061606696</v>
      </c>
      <c r="AF833">
        <f>IF('WetLitterbags placem_collection'!AB174="","",'WetLitterbags placem_collection'!AB174)</f>
        <v>3.3</v>
      </c>
      <c r="AG833">
        <f>IF('WetLitterbags placem_collection'!Z174="","",'WetLitterbags placem_collection'!Z174)</f>
        <v>28.4</v>
      </c>
      <c r="AH833" s="236" t="str">
        <f>IF('WetLitterbags placem_collection'!AA174="","",'WetLitterbags placem_collection'!AA174)</f>
        <v>G</v>
      </c>
      <c r="AI833">
        <f>IF('WetLitterbags placem_collection'!AC174="","",'WetLitterbags placem_collection'!AC174)</f>
        <v>1</v>
      </c>
      <c r="AJ833">
        <f>AVERAGE('WetLitterbags placem_collection'!S174,'WetLitterbags placem_collection'!U174)</f>
        <v>9.6499999999999986</v>
      </c>
      <c r="AK833">
        <f>AVERAGE('WetLitterbags placem_collection'!R174,'WetLitterbags placem_collection'!T174)</f>
        <v>35.1</v>
      </c>
      <c r="AL833">
        <f>INDEX([2]Coordinates!$B$2:$B$197,MATCH(I833,[2]Coordinates!$J$2:$J$197,0))</f>
        <v>-2.2781410160000002</v>
      </c>
      <c r="AM833">
        <f>INDEX([2]Coordinates!$C$2:$C$197,MATCH(I833,[2]Coordinates!$J$2:$J$197,0))</f>
        <v>34.024136009999999</v>
      </c>
      <c r="AN833" t="str">
        <f>IF(ISNUMBER(SEARCH("C", 'WetLitterbags placem_collection'!$Y174)),"YES","NO")</f>
        <v>NO</v>
      </c>
      <c r="AO833" t="str">
        <f>IF(ISNUMBER(SEARCH("H", 'WetLitterbags placem_collection'!$Y174)),"YES","NO")</f>
        <v>NO</v>
      </c>
      <c r="AP833" t="str">
        <f>IF(ISNUMBER(SEARCH("R", 'WetLitterbags placem_collection'!$Y174)),"YES","NO")</f>
        <v>NO</v>
      </c>
    </row>
    <row r="834" spans="1:42" ht="15" customHeight="1">
      <c r="A834" t="s">
        <v>3248</v>
      </c>
      <c r="B834" s="248" t="s">
        <v>2454</v>
      </c>
      <c r="C834" s="253">
        <f>'Dry_Litterbag Placem_Collection'!A175</f>
        <v>173</v>
      </c>
      <c r="D834" s="253" t="str">
        <f>'Dry_Litterbag Placem_Collection'!B175</f>
        <v>Handajega</v>
      </c>
      <c r="E834" s="253" t="s">
        <v>2454</v>
      </c>
      <c r="F834" s="253" t="s">
        <v>2645</v>
      </c>
      <c r="G834" s="253">
        <v>2</v>
      </c>
      <c r="H834" s="253" t="s">
        <v>3128</v>
      </c>
      <c r="I834" s="254" t="str">
        <f>'Dry_Litterbag Placem_Collection'!C175</f>
        <v>Wet_W2_T5</v>
      </c>
      <c r="J834" s="263" t="s">
        <v>2932</v>
      </c>
      <c r="K834" s="264" t="s">
        <v>298</v>
      </c>
      <c r="L834" s="221" t="str">
        <f>'WetLitterbags placem_collection'!Q175</f>
        <v>R105</v>
      </c>
      <c r="M834" s="223">
        <f>IFERROR(INDEX('Green_rooibos initial weight'!$C$5:$C$2000,MATCH(L834, 'Green_rooibos initial weight'!$A$5:$A$2000,0)),"")</f>
        <v>2.254</v>
      </c>
      <c r="N834" s="223">
        <f>IFERROR(M834-(TBIcalc!$H$9+TBIcalc!$H$10),"")</f>
        <v>2.0042</v>
      </c>
      <c r="O834" s="378">
        <f>AVERAGE(Ashed_controlls!$K$2:$K$11)</f>
        <v>5.5147656768714146</v>
      </c>
      <c r="P834" s="223">
        <f t="shared" si="61"/>
        <v>1.893673066304143</v>
      </c>
      <c r="Q834" s="223">
        <f>IFERROR(INDEX('Both teabags AfterWet'!$C$3:$C$840,MATCH(L834,'Both teabags AfterWet'!$A$3:$A$840,0)),"")</f>
        <v>1.6919999999999999</v>
      </c>
      <c r="R834" s="223">
        <f>IFERROR(IF(Q834&gt;0,Q834-(TBIcalc!$H$9),""),"")</f>
        <v>1.5413999999999999</v>
      </c>
      <c r="S834" s="223">
        <f>IFERROR(INDEX('Ashed teabags wet'!$K$2:$K$2000,MATCH(L834,'Ashed teabags wet'!$A$2:$A$2000,0)),"")</f>
        <v>2.5628626692459697</v>
      </c>
      <c r="T834" s="223">
        <f t="shared" si="62"/>
        <v>1.5018960348162425</v>
      </c>
      <c r="U834" s="224">
        <f>'WetLitterbags placem_collection'!E175</f>
        <v>42763</v>
      </c>
      <c r="V834" s="224">
        <f>IF('WetLitterbags placem_collection'!G175="","",'WetLitterbags placem_collection'!G175)</f>
        <v>42814</v>
      </c>
      <c r="W834" s="225">
        <f t="shared" ref="W834:W881" si="65">IFERROR(V834-U834,"")</f>
        <v>51</v>
      </c>
      <c r="X834" s="223">
        <f t="shared" si="63"/>
        <v>0.4628000000000001</v>
      </c>
      <c r="Y834" s="223">
        <f t="shared" si="64"/>
        <v>0.39177703148790055</v>
      </c>
      <c r="Z834">
        <f>IFERROR(INDEX([1]Rainfall_Wet!$O$2:$O$217,MATCH(C834, [1]Rainfall_Wet!$A$2:$A$217,0)),"")</f>
        <v>181.383442621</v>
      </c>
      <c r="AA834" s="226">
        <v>23.96</v>
      </c>
      <c r="AB834" s="226">
        <v>4.9199999999999982</v>
      </c>
      <c r="AC834" s="226">
        <v>71.12</v>
      </c>
      <c r="AD834" s="227" t="s">
        <v>2651</v>
      </c>
      <c r="AE834" s="226">
        <v>7.3091375061606696</v>
      </c>
      <c r="AF834">
        <f>IF('WetLitterbags placem_collection'!AB175="","",'WetLitterbags placem_collection'!AB175)</f>
        <v>15.4</v>
      </c>
      <c r="AG834">
        <f>IF('WetLitterbags placem_collection'!Z175="","",'WetLitterbags placem_collection'!Z175)</f>
        <v>12.4</v>
      </c>
      <c r="AH834" s="236" t="str">
        <f>IF('WetLitterbags placem_collection'!AA175="","",'WetLitterbags placem_collection'!AA175)</f>
        <v>O</v>
      </c>
      <c r="AI834">
        <f>IF('WetLitterbags placem_collection'!AC175="","",'WetLitterbags placem_collection'!AC175)</f>
        <v>0</v>
      </c>
      <c r="AJ834">
        <f>AVERAGE('WetLitterbags placem_collection'!S175,'WetLitterbags placem_collection'!U175)</f>
        <v>10.450000000000001</v>
      </c>
      <c r="AK834">
        <f>AVERAGE('WetLitterbags placem_collection'!R175,'WetLitterbags placem_collection'!T175)</f>
        <v>36.349999999999994</v>
      </c>
      <c r="AL834">
        <f>INDEX([2]Coordinates!$B$2:$B$197,MATCH(I834,[2]Coordinates!$J$2:$J$197,0))</f>
        <v>-2.27856799</v>
      </c>
      <c r="AM834">
        <f>INDEX([2]Coordinates!$C$2:$C$197,MATCH(I834,[2]Coordinates!$J$2:$J$197,0))</f>
        <v>34.023969970000003</v>
      </c>
      <c r="AN834" t="str">
        <f>IF(ISNUMBER(SEARCH("C", 'WetLitterbags placem_collection'!$Y175)),"YES","NO")</f>
        <v>NO</v>
      </c>
      <c r="AO834" t="str">
        <f>IF(ISNUMBER(SEARCH("H", 'WetLitterbags placem_collection'!$Y175)),"YES","NO")</f>
        <v>NO</v>
      </c>
      <c r="AP834" t="str">
        <f>IF(ISNUMBER(SEARCH("R", 'WetLitterbags placem_collection'!$Y175)),"YES","NO")</f>
        <v>NO</v>
      </c>
    </row>
    <row r="835" spans="1:42" ht="15" customHeight="1">
      <c r="A835" t="s">
        <v>3248</v>
      </c>
      <c r="B835" s="248" t="s">
        <v>2454</v>
      </c>
      <c r="C835" s="253">
        <f>'Dry_Litterbag Placem_Collection'!A176</f>
        <v>174</v>
      </c>
      <c r="D835" s="253" t="str">
        <f>'Dry_Litterbag Placem_Collection'!B176</f>
        <v>Handajega</v>
      </c>
      <c r="E835" s="253" t="s">
        <v>2454</v>
      </c>
      <c r="F835" s="253" t="s">
        <v>2645</v>
      </c>
      <c r="G835" s="253">
        <v>2</v>
      </c>
      <c r="H835" s="253" t="s">
        <v>3128</v>
      </c>
      <c r="I835" s="254" t="str">
        <f>'Dry_Litterbag Placem_Collection'!C176</f>
        <v>Wet_W2_T6</v>
      </c>
      <c r="J835" s="263" t="s">
        <v>2932</v>
      </c>
      <c r="K835" s="264" t="s">
        <v>298</v>
      </c>
      <c r="L835" s="221" t="str">
        <f>'WetLitterbags placem_collection'!Q176</f>
        <v>R384</v>
      </c>
      <c r="M835" s="223">
        <f>IFERROR(INDEX('Green_rooibos initial weight'!$C$5:$C$2000,MATCH(L835, 'Green_rooibos initial weight'!$A$5:$A$2000,0)),"")</f>
        <v>2.2240000000000002</v>
      </c>
      <c r="N835" s="223">
        <f>IFERROR(M835-(TBIcalc!$H$9+TBIcalc!$H$10),"")</f>
        <v>1.9742000000000002</v>
      </c>
      <c r="O835" s="378">
        <f>AVERAGE(Ashed_controlls!$K$2:$K$11)</f>
        <v>5.5147656768714146</v>
      </c>
      <c r="P835" s="223">
        <f t="shared" ref="P835:P881" si="66">IFERROR(N835-(O835/100)*N835,"")</f>
        <v>1.8653274960072048</v>
      </c>
      <c r="Q835" s="223">
        <f>IFERROR(INDEX('Both teabags AfterWet'!$C$3:$C$840,MATCH(L835,'Both teabags AfterWet'!$A$3:$A$840,0)),"")</f>
        <v>1.772</v>
      </c>
      <c r="R835" s="223">
        <f>IFERROR(IF(Q835&gt;0,Q835-(TBIcalc!$H$9),""),"")</f>
        <v>1.6214</v>
      </c>
      <c r="S835" s="223">
        <f>IFERROR(INDEX('Ashed teabags wet'!$K$2:$K$2000,MATCH(L835,'Ashed teabags wet'!$A$2:$A$2000,0)),"")</f>
        <v>2.1032504780120633</v>
      </c>
      <c r="T835" s="223">
        <f t="shared" ref="T835:T881" si="67">IFERROR(R835-(S835/100)*R835,"")</f>
        <v>1.5872978967495124</v>
      </c>
      <c r="U835" s="224">
        <f>'WetLitterbags placem_collection'!E176</f>
        <v>42763</v>
      </c>
      <c r="V835" s="224">
        <f>IF('WetLitterbags placem_collection'!G176="","",'WetLitterbags placem_collection'!G176)</f>
        <v>42814</v>
      </c>
      <c r="W835" s="225">
        <f t="shared" si="65"/>
        <v>51</v>
      </c>
      <c r="X835" s="223">
        <f t="shared" ref="X835:X881" si="68">IFERROR(N835-R835,"")</f>
        <v>0.35280000000000022</v>
      </c>
      <c r="Y835" s="223">
        <f t="shared" ref="Y835:Y881" si="69">IFERROR(P835-T835,"")</f>
        <v>0.27802959925769244</v>
      </c>
      <c r="Z835">
        <f>IFERROR(INDEX([1]Rainfall_Wet!$O$2:$O$217,MATCH(C835, [1]Rainfall_Wet!$A$2:$A$217,0)),"")</f>
        <v>181.383442621</v>
      </c>
      <c r="AA835" s="226">
        <v>23.96</v>
      </c>
      <c r="AB835" s="226">
        <v>4.9199999999999982</v>
      </c>
      <c r="AC835" s="226">
        <v>71.12</v>
      </c>
      <c r="AD835" s="227" t="s">
        <v>2651</v>
      </c>
      <c r="AE835" s="226">
        <v>8.3091375061606705</v>
      </c>
      <c r="AF835">
        <f>IF('WetLitterbags placem_collection'!AB176="","",'WetLitterbags placem_collection'!AB176)</f>
        <v>7.4</v>
      </c>
      <c r="AG835">
        <f>IF('WetLitterbags placem_collection'!Z176="","",'WetLitterbags placem_collection'!Z176)</f>
        <v>7.4</v>
      </c>
      <c r="AH835" s="236" t="str">
        <f>IF('WetLitterbags placem_collection'!AA176="","",'WetLitterbags placem_collection'!AA176)</f>
        <v>O</v>
      </c>
      <c r="AI835">
        <f>IF('WetLitterbags placem_collection'!AC176="","",'WetLitterbags placem_collection'!AC176)</f>
        <v>0</v>
      </c>
      <c r="AJ835">
        <f>AVERAGE('WetLitterbags placem_collection'!S176,'WetLitterbags placem_collection'!U176)</f>
        <v>17.75</v>
      </c>
      <c r="AK835">
        <f>AVERAGE('WetLitterbags placem_collection'!R176,'WetLitterbags placem_collection'!T176)</f>
        <v>34.85</v>
      </c>
      <c r="AL835">
        <f>INDEX([2]Coordinates!$B$2:$B$197,MATCH(I835,[2]Coordinates!$J$2:$J$197,0))</f>
        <v>-2.2786809780000001</v>
      </c>
      <c r="AM835">
        <f>INDEX([2]Coordinates!$C$2:$C$197,MATCH(I835,[2]Coordinates!$J$2:$J$197,0))</f>
        <v>34.02434899</v>
      </c>
      <c r="AN835" t="str">
        <f>IF(ISNUMBER(SEARCH("C", 'WetLitterbags placem_collection'!$Y176)),"YES","NO")</f>
        <v>NO</v>
      </c>
      <c r="AO835" t="str">
        <f>IF(ISNUMBER(SEARCH("H", 'WetLitterbags placem_collection'!$Y176)),"YES","NO")</f>
        <v>NO</v>
      </c>
      <c r="AP835" t="str">
        <f>IF(ISNUMBER(SEARCH("R", 'WetLitterbags placem_collection'!$Y176)),"YES","NO")</f>
        <v>NO</v>
      </c>
    </row>
    <row r="836" spans="1:42" ht="15" customHeight="1">
      <c r="A836" t="s">
        <v>3248</v>
      </c>
      <c r="B836" s="248" t="s">
        <v>2454</v>
      </c>
      <c r="C836" s="253">
        <f>'Dry_Litterbag Placem_Collection'!A177</f>
        <v>175</v>
      </c>
      <c r="D836" s="253" t="str">
        <f>'Dry_Litterbag Placem_Collection'!B177</f>
        <v>Handajega</v>
      </c>
      <c r="E836" s="253" t="s">
        <v>2454</v>
      </c>
      <c r="F836" s="253" t="s">
        <v>2645</v>
      </c>
      <c r="G836" s="253">
        <v>2</v>
      </c>
      <c r="H836" s="253" t="s">
        <v>3128</v>
      </c>
      <c r="I836" s="254" t="str">
        <f>'Dry_Litterbag Placem_Collection'!C177</f>
        <v>Wet_W2_T7</v>
      </c>
      <c r="J836" s="263" t="s">
        <v>2932</v>
      </c>
      <c r="K836" s="264" t="s">
        <v>298</v>
      </c>
      <c r="L836" s="221" t="str">
        <f>'WetLitterbags placem_collection'!Q177</f>
        <v>R481</v>
      </c>
      <c r="M836" s="223">
        <f>IFERROR(INDEX('Green_rooibos initial weight'!$C$5:$C$2000,MATCH(L836, 'Green_rooibos initial weight'!$A$5:$A$2000,0)),"")</f>
        <v>2.1589999999999998</v>
      </c>
      <c r="N836" s="223">
        <f>IFERROR(M836-(TBIcalc!$H$9+TBIcalc!$H$10),"")</f>
        <v>1.9091999999999998</v>
      </c>
      <c r="O836" s="378">
        <f>AVERAGE(Ashed_controlls!$K$2:$K$11)</f>
        <v>5.5147656768714146</v>
      </c>
      <c r="P836" s="223">
        <f t="shared" si="66"/>
        <v>1.8039120936971709</v>
      </c>
      <c r="Q836" s="223">
        <f>IFERROR(INDEX('Both teabags AfterWet'!$C$3:$C$840,MATCH(L836,'Both teabags AfterWet'!$A$3:$A$840,0)),"")</f>
        <v>1.681</v>
      </c>
      <c r="R836" s="223">
        <f>IFERROR(IF(Q836&gt;0,Q836-(TBIcalc!$H$9),""),"")</f>
        <v>1.5304</v>
      </c>
      <c r="S836" s="223">
        <f>IFERROR(INDEX('Ashed teabags wet'!$K$2:$K$2000,MATCH(L836,'Ashed teabags wet'!$A$2:$A$2000,0)),"")</f>
        <v>22.390243902438794</v>
      </c>
      <c r="T836" s="223">
        <f t="shared" si="67"/>
        <v>1.1877397073170766</v>
      </c>
      <c r="U836" s="224">
        <f>'WetLitterbags placem_collection'!E177</f>
        <v>42763</v>
      </c>
      <c r="V836" s="224">
        <f>IF('WetLitterbags placem_collection'!G177="","",'WetLitterbags placem_collection'!G177)</f>
        <v>42814</v>
      </c>
      <c r="W836" s="225">
        <f t="shared" si="65"/>
        <v>51</v>
      </c>
      <c r="X836" s="223">
        <f t="shared" si="68"/>
        <v>0.3787999999999998</v>
      </c>
      <c r="Y836" s="223">
        <f t="shared" si="69"/>
        <v>0.61617238638009431</v>
      </c>
      <c r="Z836">
        <f>IFERROR(INDEX([1]Rainfall_Wet!$O$2:$O$217,MATCH(C836, [1]Rainfall_Wet!$A$2:$A$217,0)),"")</f>
        <v>181.383442621</v>
      </c>
      <c r="AA836" s="226">
        <v>23.96</v>
      </c>
      <c r="AB836" s="226">
        <v>4.9199999999999982</v>
      </c>
      <c r="AC836" s="226">
        <v>71.12</v>
      </c>
      <c r="AD836" s="227" t="s">
        <v>2651</v>
      </c>
      <c r="AE836" s="226">
        <v>9.3091375061606705</v>
      </c>
      <c r="AF836">
        <f>IF('WetLitterbags placem_collection'!AB177="","",'WetLitterbags placem_collection'!AB177)</f>
        <v>15.4</v>
      </c>
      <c r="AG836">
        <f>IF('WetLitterbags placem_collection'!Z177="","",'WetLitterbags placem_collection'!Z177)</f>
        <v>9.8000000000000007</v>
      </c>
      <c r="AH836" s="236" t="str">
        <f>IF('WetLitterbags placem_collection'!AA177="","",'WetLitterbags placem_collection'!AA177)</f>
        <v>O</v>
      </c>
      <c r="AI836">
        <f>IF('WetLitterbags placem_collection'!AC177="","",'WetLitterbags placem_collection'!AC177)</f>
        <v>1</v>
      </c>
      <c r="AJ836">
        <f>AVERAGE('WetLitterbags placem_collection'!S177,'WetLitterbags placem_collection'!U177)</f>
        <v>11.55</v>
      </c>
      <c r="AK836">
        <f>AVERAGE('WetLitterbags placem_collection'!R177,'WetLitterbags placem_collection'!T177)</f>
        <v>36.25</v>
      </c>
      <c r="AL836">
        <f>INDEX([2]Coordinates!$B$2:$B$197,MATCH(I836,[2]Coordinates!$J$2:$J$197,0))</f>
        <v>-2.2784219779999999</v>
      </c>
      <c r="AM836">
        <f>INDEX([2]Coordinates!$C$2:$C$197,MATCH(I836,[2]Coordinates!$J$2:$J$197,0))</f>
        <v>34.024374979999997</v>
      </c>
      <c r="AN836" t="str">
        <f>IF(ISNUMBER(SEARCH("C", 'WetLitterbags placem_collection'!$Y177)),"YES","NO")</f>
        <v>NO</v>
      </c>
      <c r="AO836" t="str">
        <f>IF(ISNUMBER(SEARCH("H", 'WetLitterbags placem_collection'!$Y177)),"YES","NO")</f>
        <v>NO</v>
      </c>
      <c r="AP836" t="str">
        <f>IF(ISNUMBER(SEARCH("R", 'WetLitterbags placem_collection'!$Y177)),"YES","NO")</f>
        <v>NO</v>
      </c>
    </row>
    <row r="837" spans="1:42" ht="15" customHeight="1">
      <c r="A837" t="s">
        <v>3248</v>
      </c>
      <c r="B837" s="248" t="s">
        <v>2454</v>
      </c>
      <c r="C837" s="253">
        <f>'Dry_Litterbag Placem_Collection'!A178</f>
        <v>176</v>
      </c>
      <c r="D837" s="253" t="str">
        <f>'Dry_Litterbag Placem_Collection'!B178</f>
        <v>Handajega</v>
      </c>
      <c r="E837" s="253" t="s">
        <v>2454</v>
      </c>
      <c r="F837" s="253" t="s">
        <v>2645</v>
      </c>
      <c r="G837" s="253">
        <v>2</v>
      </c>
      <c r="H837" s="253" t="s">
        <v>3128</v>
      </c>
      <c r="I837" s="254" t="str">
        <f>'Dry_Litterbag Placem_Collection'!C178</f>
        <v>Wet_W2_T8</v>
      </c>
      <c r="J837" s="263" t="s">
        <v>2932</v>
      </c>
      <c r="K837" s="264" t="s">
        <v>298</v>
      </c>
      <c r="L837" s="221" t="str">
        <f>'WetLitterbags placem_collection'!Q178</f>
        <v>R490</v>
      </c>
      <c r="M837" s="223">
        <f>IFERROR(INDEX('Green_rooibos initial weight'!$C$5:$C$2000,MATCH(L837, 'Green_rooibos initial weight'!$A$5:$A$2000,0)),"")</f>
        <v>2.1890000000000001</v>
      </c>
      <c r="N837" s="223">
        <f>IFERROR(M837-(TBIcalc!$H$9+TBIcalc!$H$10),"")</f>
        <v>1.9392</v>
      </c>
      <c r="O837" s="378">
        <f>AVERAGE(Ashed_controlls!$K$2:$K$11)</f>
        <v>5.5147656768714146</v>
      </c>
      <c r="P837" s="223">
        <f t="shared" si="66"/>
        <v>1.8322576639941095</v>
      </c>
      <c r="Q837" s="223">
        <f>IFERROR(INDEX('Both teabags AfterWet'!$C$3:$C$840,MATCH(L837,'Both teabags AfterWet'!$A$3:$A$840,0)),"")</f>
        <v>1.7070000000000001</v>
      </c>
      <c r="R837" s="223">
        <f>IFERROR(IF(Q837&gt;0,Q837-(TBIcalc!$H$9),""),"")</f>
        <v>1.5564</v>
      </c>
      <c r="S837" s="223">
        <f>IFERROR(INDEX('Ashed teabags wet'!$K$2:$K$2000,MATCH(L837,'Ashed teabags wet'!$A$2:$A$2000,0)),"")</f>
        <v>2.6433915211971035</v>
      </c>
      <c r="T837" s="223">
        <f t="shared" si="67"/>
        <v>1.5152582543640882</v>
      </c>
      <c r="U837" s="224">
        <f>'WetLitterbags placem_collection'!E178</f>
        <v>42763</v>
      </c>
      <c r="V837" s="224">
        <f>IF('WetLitterbags placem_collection'!G178="","",'WetLitterbags placem_collection'!G178)</f>
        <v>42814</v>
      </c>
      <c r="W837" s="225">
        <f t="shared" si="65"/>
        <v>51</v>
      </c>
      <c r="X837" s="223">
        <f t="shared" si="68"/>
        <v>0.38280000000000003</v>
      </c>
      <c r="Y837" s="223">
        <f t="shared" si="69"/>
        <v>0.31699940963002127</v>
      </c>
      <c r="Z837">
        <f>IFERROR(INDEX([1]Rainfall_Wet!$O$2:$O$217,MATCH(C837, [1]Rainfall_Wet!$A$2:$A$217,0)),"")</f>
        <v>181.383442621</v>
      </c>
      <c r="AA837" s="226">
        <v>23.96</v>
      </c>
      <c r="AB837" s="226">
        <v>4.9199999999999982</v>
      </c>
      <c r="AC837" s="226">
        <v>71.12</v>
      </c>
      <c r="AD837" s="227" t="s">
        <v>2651</v>
      </c>
      <c r="AE837" s="226">
        <v>10.309137506160701</v>
      </c>
      <c r="AF837">
        <f>IF('WetLitterbags placem_collection'!AB178="","",'WetLitterbags placem_collection'!AB178)</f>
        <v>6.8</v>
      </c>
      <c r="AG837">
        <f>IF('WetLitterbags placem_collection'!Z178="","",'WetLitterbags placem_collection'!Z178)</f>
        <v>6.9</v>
      </c>
      <c r="AH837" s="236" t="str">
        <f>IF('WetLitterbags placem_collection'!AA178="","",'WetLitterbags placem_collection'!AA178)</f>
        <v>O</v>
      </c>
      <c r="AI837">
        <f>IF('WetLitterbags placem_collection'!AC178="","",'WetLitterbags placem_collection'!AC178)</f>
        <v>0</v>
      </c>
      <c r="AJ837">
        <f>AVERAGE('WetLitterbags placem_collection'!S178,'WetLitterbags placem_collection'!U178)</f>
        <v>11.4</v>
      </c>
      <c r="AK837">
        <f>AVERAGE('WetLitterbags placem_collection'!R178,'WetLitterbags placem_collection'!T178)</f>
        <v>34.15</v>
      </c>
      <c r="AL837">
        <f>INDEX([2]Coordinates!$B$2:$B$197,MATCH(I837,[2]Coordinates!$J$2:$J$197,0))</f>
        <v>-2.2782909679999999</v>
      </c>
      <c r="AM837">
        <f>INDEX([2]Coordinates!$C$2:$C$197,MATCH(I837,[2]Coordinates!$J$2:$J$197,0))</f>
        <v>34.024574970000003</v>
      </c>
      <c r="AN837" t="str">
        <f>IF(ISNUMBER(SEARCH("C", 'WetLitterbags placem_collection'!$Y178)),"YES","NO")</f>
        <v>NO</v>
      </c>
      <c r="AO837" t="str">
        <f>IF(ISNUMBER(SEARCH("H", 'WetLitterbags placem_collection'!$Y178)),"YES","NO")</f>
        <v>NO</v>
      </c>
      <c r="AP837" t="str">
        <f>IF(ISNUMBER(SEARCH("R", 'WetLitterbags placem_collection'!$Y178)),"YES","NO")</f>
        <v>NO</v>
      </c>
    </row>
    <row r="838" spans="1:42" ht="15" customHeight="1">
      <c r="A838" t="s">
        <v>3248</v>
      </c>
      <c r="B838" s="248" t="s">
        <v>2454</v>
      </c>
      <c r="C838" s="253">
        <f>'Dry_Litterbag Placem_Collection'!A179</f>
        <v>177</v>
      </c>
      <c r="D838" s="253" t="str">
        <f>'Dry_Litterbag Placem_Collection'!B179</f>
        <v>Handajega</v>
      </c>
      <c r="E838" s="253" t="s">
        <v>2454</v>
      </c>
      <c r="F838" s="253" t="s">
        <v>2645</v>
      </c>
      <c r="G838" s="253">
        <v>3</v>
      </c>
      <c r="H838" s="253" t="s">
        <v>3129</v>
      </c>
      <c r="I838" s="254" t="str">
        <f>'Dry_Litterbag Placem_Collection'!C179</f>
        <v>Wet_W3_T1</v>
      </c>
      <c r="J838" s="263" t="s">
        <v>2932</v>
      </c>
      <c r="K838" s="264" t="s">
        <v>298</v>
      </c>
      <c r="L838" s="221" t="str">
        <f>'WetLitterbags placem_collection'!Q179</f>
        <v>R470</v>
      </c>
      <c r="M838" s="223">
        <f>IFERROR(INDEX('Green_rooibos initial weight'!$C$5:$C$2000,MATCH(L838, 'Green_rooibos initial weight'!$A$5:$A$2000,0)),"")</f>
        <v>2.1240000000000001</v>
      </c>
      <c r="N838" s="223">
        <f>IFERROR(M838-(TBIcalc!$H$9+TBIcalc!$H$10),"")</f>
        <v>1.8742000000000001</v>
      </c>
      <c r="O838" s="378">
        <f>AVERAGE(Ashed_controlls!$K$2:$K$11)</f>
        <v>5.5147656768714146</v>
      </c>
      <c r="P838" s="223">
        <f t="shared" si="66"/>
        <v>1.770842261684076</v>
      </c>
      <c r="Q838" s="223">
        <f>IFERROR(INDEX('Both teabags AfterWet'!$C$3:$C$840,MATCH(L838,'Both teabags AfterWet'!$A$3:$A$840,0)),"")</f>
        <v>1.677</v>
      </c>
      <c r="R838" s="223">
        <f>IFERROR(IF(Q838&gt;0,Q838-(TBIcalc!$H$9),""),"")</f>
        <v>1.5264</v>
      </c>
      <c r="S838" s="223">
        <f>IFERROR(INDEX('Ashed teabags wet'!$K$2:$K$2000,MATCH(L838,'Ashed teabags wet'!$A$2:$A$2000,0)),"")</f>
        <v>2.3705853894531068</v>
      </c>
      <c r="T838" s="223">
        <f t="shared" si="67"/>
        <v>1.4902153846153878</v>
      </c>
      <c r="U838" s="224">
        <f>'WetLitterbags placem_collection'!E179</f>
        <v>42763</v>
      </c>
      <c r="V838" s="224">
        <f>IF('WetLitterbags placem_collection'!G179="","",'WetLitterbags placem_collection'!G179)</f>
        <v>42815</v>
      </c>
      <c r="W838" s="225">
        <f t="shared" si="65"/>
        <v>52</v>
      </c>
      <c r="X838" s="223">
        <f t="shared" si="68"/>
        <v>0.34780000000000011</v>
      </c>
      <c r="Y838" s="223">
        <f t="shared" si="69"/>
        <v>0.28062687706868816</v>
      </c>
      <c r="Z838">
        <f>IFERROR(INDEX([1]Rainfall_Wet!$O$2:$O$217,MATCH(C838, [1]Rainfall_Wet!$A$2:$A$217,0)),"")</f>
        <v>188.24043152799999</v>
      </c>
      <c r="AA838" s="226">
        <v>25.96</v>
      </c>
      <c r="AB838" s="226">
        <v>8.9200000000000017</v>
      </c>
      <c r="AC838" s="226">
        <v>65.12</v>
      </c>
      <c r="AD838" s="227" t="s">
        <v>2651</v>
      </c>
      <c r="AE838" s="226">
        <v>1.614588467225234</v>
      </c>
      <c r="AF838">
        <f>IF('WetLitterbags placem_collection'!AB179="","",'WetLitterbags placem_collection'!AB179)</f>
        <v>17.8</v>
      </c>
      <c r="AG838">
        <f>IF('WetLitterbags placem_collection'!Z179="","",'WetLitterbags placem_collection'!Z179)</f>
        <v>25.8</v>
      </c>
      <c r="AH838" s="236" t="str">
        <f>IF('WetLitterbags placem_collection'!AA179="","",'WetLitterbags placem_collection'!AA179)</f>
        <v>O</v>
      </c>
      <c r="AI838">
        <f>IF('WetLitterbags placem_collection'!AC179="","",'WetLitterbags placem_collection'!AC179)</f>
        <v>0</v>
      </c>
      <c r="AJ838">
        <f>AVERAGE('WetLitterbags placem_collection'!S179,'WetLitterbags placem_collection'!U179)</f>
        <v>19.200000000000003</v>
      </c>
      <c r="AK838">
        <f>AVERAGE('WetLitterbags placem_collection'!R179,'WetLitterbags placem_collection'!T179)</f>
        <v>32.1</v>
      </c>
      <c r="AL838">
        <f>INDEX([2]Coordinates!$B$2:$B$197,MATCH(I838,[2]Coordinates!$J$2:$J$197,0))</f>
        <v>-2.277740026</v>
      </c>
      <c r="AM838">
        <f>INDEX([2]Coordinates!$C$2:$C$197,MATCH(I838,[2]Coordinates!$J$2:$J$197,0))</f>
        <v>34.027640990000002</v>
      </c>
      <c r="AN838" t="str">
        <f>IF(ISNUMBER(SEARCH("C", 'WetLitterbags placem_collection'!$Y179)),"YES","NO")</f>
        <v>NO</v>
      </c>
      <c r="AO838" t="str">
        <f>IF(ISNUMBER(SEARCH("H", 'WetLitterbags placem_collection'!$Y179)),"YES","NO")</f>
        <v>NO</v>
      </c>
      <c r="AP838" t="str">
        <f>IF(ISNUMBER(SEARCH("R", 'WetLitterbags placem_collection'!$Y179)),"YES","NO")</f>
        <v>NO</v>
      </c>
    </row>
    <row r="839" spans="1:42" ht="15" customHeight="1">
      <c r="A839" t="s">
        <v>3248</v>
      </c>
      <c r="B839" s="248" t="s">
        <v>2454</v>
      </c>
      <c r="C839" s="253">
        <f>'Dry_Litterbag Placem_Collection'!A180</f>
        <v>178</v>
      </c>
      <c r="D839" s="253" t="str">
        <f>'Dry_Litterbag Placem_Collection'!B180</f>
        <v>Handajega</v>
      </c>
      <c r="E839" s="253" t="s">
        <v>2454</v>
      </c>
      <c r="F839" s="253" t="s">
        <v>2645</v>
      </c>
      <c r="G839" s="253">
        <v>3</v>
      </c>
      <c r="H839" s="253" t="s">
        <v>3129</v>
      </c>
      <c r="I839" s="254" t="str">
        <f>'Dry_Litterbag Placem_Collection'!C180</f>
        <v>Wet_W3_T2</v>
      </c>
      <c r="J839" s="263" t="s">
        <v>2932</v>
      </c>
      <c r="K839" s="264" t="s">
        <v>298</v>
      </c>
      <c r="L839" s="221" t="str">
        <f>'WetLitterbags placem_collection'!Q180</f>
        <v>R488</v>
      </c>
      <c r="M839" s="223">
        <f>IFERROR(INDEX('Green_rooibos initial weight'!$C$5:$C$2000,MATCH(L839, 'Green_rooibos initial weight'!$A$5:$A$2000,0)),"")</f>
        <v>2.1589999999999998</v>
      </c>
      <c r="N839" s="223">
        <f>IFERROR(M839-(TBIcalc!$H$9+TBIcalc!$H$10),"")</f>
        <v>1.9091999999999998</v>
      </c>
      <c r="O839" s="378">
        <f>AVERAGE(Ashed_controlls!$K$2:$K$11)</f>
        <v>5.5147656768714146</v>
      </c>
      <c r="P839" s="223">
        <f t="shared" si="66"/>
        <v>1.8039120936971709</v>
      </c>
      <c r="Q839" s="223">
        <f>IFERROR(INDEX('Both teabags AfterWet'!$C$3:$C$840,MATCH(L839,'Both teabags AfterWet'!$A$3:$A$840,0)),"")</f>
        <v>1.6446000000000001</v>
      </c>
      <c r="R839" s="223">
        <f>IFERROR(IF(Q839&gt;0,Q839-(TBIcalc!$H$9),""),"")</f>
        <v>1.494</v>
      </c>
      <c r="S839" s="223">
        <f>IFERROR(INDEX('Ashed teabags wet'!$K$2:$K$2000,MATCH(L839,'Ashed teabags wet'!$A$2:$A$2000,0)),"")</f>
        <v>2.0802377414560613</v>
      </c>
      <c r="T839" s="223">
        <f t="shared" si="67"/>
        <v>1.4629212481426463</v>
      </c>
      <c r="U839" s="224">
        <f>'WetLitterbags placem_collection'!E180</f>
        <v>42763</v>
      </c>
      <c r="V839" s="224">
        <f>IF('WetLitterbags placem_collection'!G180="","",'WetLitterbags placem_collection'!G180)</f>
        <v>42815</v>
      </c>
      <c r="W839" s="225">
        <f t="shared" si="65"/>
        <v>52</v>
      </c>
      <c r="X839" s="223">
        <f t="shared" si="68"/>
        <v>0.41519999999999979</v>
      </c>
      <c r="Y839" s="223">
        <f t="shared" si="69"/>
        <v>0.34099084555452452</v>
      </c>
      <c r="Z839">
        <f>IFERROR(INDEX([1]Rainfall_Wet!$O$2:$O$217,MATCH(C839, [1]Rainfall_Wet!$A$2:$A$217,0)),"")</f>
        <v>188.24043152799999</v>
      </c>
      <c r="AA839" s="226">
        <v>25.96</v>
      </c>
      <c r="AB839" s="226">
        <v>8.9200000000000017</v>
      </c>
      <c r="AC839" s="226">
        <v>65.12</v>
      </c>
      <c r="AD839" s="227" t="s">
        <v>2651</v>
      </c>
      <c r="AE839" s="226">
        <v>2.61458846722523</v>
      </c>
      <c r="AF839">
        <f>IF('WetLitterbags placem_collection'!AB180="","",'WetLitterbags placem_collection'!AB180)</f>
        <v>15.4</v>
      </c>
      <c r="AG839">
        <f>IF('WetLitterbags placem_collection'!Z180="","",'WetLitterbags placem_collection'!Z180)</f>
        <v>18.8</v>
      </c>
      <c r="AH839" s="236" t="str">
        <f>IF('WetLitterbags placem_collection'!AA180="","",'WetLitterbags placem_collection'!AA180)</f>
        <v>O</v>
      </c>
      <c r="AI839">
        <f>IF('WetLitterbags placem_collection'!AC180="","",'WetLitterbags placem_collection'!AC180)</f>
        <v>1</v>
      </c>
      <c r="AJ839">
        <f>AVERAGE('WetLitterbags placem_collection'!S180,'WetLitterbags placem_collection'!U180)</f>
        <v>17.149999999999999</v>
      </c>
      <c r="AK839">
        <f>AVERAGE('WetLitterbags placem_collection'!R180,'WetLitterbags placem_collection'!T180)</f>
        <v>32.950000000000003</v>
      </c>
      <c r="AL839">
        <f>INDEX([2]Coordinates!$B$2:$B$197,MATCH(I839,[2]Coordinates!$J$2:$J$197,0))</f>
        <v>-2.2777889760000001</v>
      </c>
      <c r="AM839">
        <f>INDEX([2]Coordinates!$C$2:$C$197,MATCH(I839,[2]Coordinates!$J$2:$J$197,0))</f>
        <v>34.027664960000003</v>
      </c>
      <c r="AN839" t="str">
        <f>IF(ISNUMBER(SEARCH("C", 'WetLitterbags placem_collection'!$Y180)),"YES","NO")</f>
        <v>NO</v>
      </c>
      <c r="AO839" t="str">
        <f>IF(ISNUMBER(SEARCH("H", 'WetLitterbags placem_collection'!$Y180)),"YES","NO")</f>
        <v>NO</v>
      </c>
      <c r="AP839" t="str">
        <f>IF(ISNUMBER(SEARCH("R", 'WetLitterbags placem_collection'!$Y180)),"YES","NO")</f>
        <v>NO</v>
      </c>
    </row>
    <row r="840" spans="1:42" ht="15" customHeight="1">
      <c r="A840" t="s">
        <v>3248</v>
      </c>
      <c r="B840" s="248" t="s">
        <v>2454</v>
      </c>
      <c r="C840" s="253">
        <f>'Dry_Litterbag Placem_Collection'!A181</f>
        <v>179</v>
      </c>
      <c r="D840" s="253" t="str">
        <f>'Dry_Litterbag Placem_Collection'!B181</f>
        <v>Handajega</v>
      </c>
      <c r="E840" s="253" t="s">
        <v>2454</v>
      </c>
      <c r="F840" s="253" t="s">
        <v>2645</v>
      </c>
      <c r="G840" s="253">
        <v>3</v>
      </c>
      <c r="H840" s="253" t="s">
        <v>3129</v>
      </c>
      <c r="I840" s="254" t="str">
        <f>'Dry_Litterbag Placem_Collection'!C181</f>
        <v>Wet_W3_T3</v>
      </c>
      <c r="J840" s="263" t="s">
        <v>2932</v>
      </c>
      <c r="K840" s="264" t="s">
        <v>298</v>
      </c>
      <c r="L840" s="221" t="str">
        <f>'WetLitterbags placem_collection'!Q181</f>
        <v>R273</v>
      </c>
      <c r="M840" s="223">
        <f>IFERROR(INDEX('Green_rooibos initial weight'!$C$5:$C$2000,MATCH(L840, 'Green_rooibos initial weight'!$A$5:$A$2000,0)),"")</f>
        <v>2.2090000000000001</v>
      </c>
      <c r="N840" s="223">
        <f>IFERROR(M840-(TBIcalc!$H$9+TBIcalc!$H$10),"")</f>
        <v>1.9592000000000001</v>
      </c>
      <c r="O840" s="378">
        <f>AVERAGE(Ashed_controlls!$K$2:$K$11)</f>
        <v>5.5147656768714146</v>
      </c>
      <c r="P840" s="223">
        <f t="shared" si="66"/>
        <v>1.8511547108587354</v>
      </c>
      <c r="Q840" s="223">
        <f>IFERROR(INDEX('Both teabags AfterWet'!$C$3:$C$840,MATCH(L840,'Both teabags AfterWet'!$A$3:$A$840,0)),"")</f>
        <v>1.655</v>
      </c>
      <c r="R840" s="223">
        <f>IFERROR(IF(Q840&gt;0,Q840-(TBIcalc!$H$9),""),"")</f>
        <v>1.5044</v>
      </c>
      <c r="S840" s="223">
        <f>IFERROR(INDEX('Ashed teabags wet'!$K$2:$K$2000,MATCH(L840,'Ashed teabags wet'!$A$2:$A$2000,0)),"")</f>
        <v>1.9912578921804642</v>
      </c>
      <c r="T840" s="223">
        <f t="shared" si="67"/>
        <v>1.4744435162700371</v>
      </c>
      <c r="U840" s="224">
        <f>'WetLitterbags placem_collection'!E181</f>
        <v>42763</v>
      </c>
      <c r="V840" s="224">
        <f>IF('WetLitterbags placem_collection'!G181="","",'WetLitterbags placem_collection'!G181)</f>
        <v>42815</v>
      </c>
      <c r="W840" s="225">
        <f t="shared" si="65"/>
        <v>52</v>
      </c>
      <c r="X840" s="223">
        <f t="shared" si="68"/>
        <v>0.45480000000000009</v>
      </c>
      <c r="Y840" s="223">
        <f t="shared" si="69"/>
        <v>0.37671119458869828</v>
      </c>
      <c r="Z840">
        <f>IFERROR(INDEX([1]Rainfall_Wet!$O$2:$O$217,MATCH(C840, [1]Rainfall_Wet!$A$2:$A$217,0)),"")</f>
        <v>188.24043152799999</v>
      </c>
      <c r="AA840" s="226">
        <v>25.96</v>
      </c>
      <c r="AB840" s="226">
        <v>8.9200000000000017</v>
      </c>
      <c r="AC840" s="226">
        <v>65.12</v>
      </c>
      <c r="AD840" s="227" t="s">
        <v>2651</v>
      </c>
      <c r="AE840" s="226">
        <v>3.61458846722523</v>
      </c>
      <c r="AF840">
        <f>IF('WetLitterbags placem_collection'!AB181="","",'WetLitterbags placem_collection'!AB181)</f>
        <v>11.8</v>
      </c>
      <c r="AG840">
        <f>IF('WetLitterbags placem_collection'!Z181="","",'WetLitterbags placem_collection'!Z181)</f>
        <v>15.4</v>
      </c>
      <c r="AH840" s="236" t="str">
        <f>IF('WetLitterbags placem_collection'!AA181="","",'WetLitterbags placem_collection'!AA181)</f>
        <v>O</v>
      </c>
      <c r="AI840">
        <f>IF('WetLitterbags placem_collection'!AC181="","",'WetLitterbags placem_collection'!AC181)</f>
        <v>1</v>
      </c>
      <c r="AJ840">
        <f>AVERAGE('WetLitterbags placem_collection'!S181,'WetLitterbags placem_collection'!U181)</f>
        <v>14.8</v>
      </c>
      <c r="AK840">
        <f>AVERAGE('WetLitterbags placem_collection'!R181,'WetLitterbags placem_collection'!T181)</f>
        <v>32.150000000000006</v>
      </c>
      <c r="AL840">
        <f>INDEX([2]Coordinates!$B$2:$B$197,MATCH(I840,[2]Coordinates!$J$2:$J$197,0))</f>
        <v>-2.2778579589999999</v>
      </c>
      <c r="AM840">
        <f>INDEX([2]Coordinates!$C$2:$C$197,MATCH(I840,[2]Coordinates!$J$2:$J$197,0))</f>
        <v>34.027682980000002</v>
      </c>
      <c r="AN840" t="str">
        <f>IF(ISNUMBER(SEARCH("C", 'WetLitterbags placem_collection'!$Y181)),"YES","NO")</f>
        <v>NO</v>
      </c>
      <c r="AO840" t="str">
        <f>IF(ISNUMBER(SEARCH("H", 'WetLitterbags placem_collection'!$Y181)),"YES","NO")</f>
        <v>NO</v>
      </c>
      <c r="AP840" t="str">
        <f>IF(ISNUMBER(SEARCH("R", 'WetLitterbags placem_collection'!$Y181)),"YES","NO")</f>
        <v>NO</v>
      </c>
    </row>
    <row r="841" spans="1:42" ht="15" customHeight="1">
      <c r="A841" t="s">
        <v>3248</v>
      </c>
      <c r="B841" s="248" t="s">
        <v>2454</v>
      </c>
      <c r="C841" s="253">
        <f>'Dry_Litterbag Placem_Collection'!A182</f>
        <v>180</v>
      </c>
      <c r="D841" s="253" t="str">
        <f>'Dry_Litterbag Placem_Collection'!B182</f>
        <v>Handajega</v>
      </c>
      <c r="E841" s="253" t="s">
        <v>2454</v>
      </c>
      <c r="F841" s="253" t="s">
        <v>2645</v>
      </c>
      <c r="G841" s="253">
        <v>3</v>
      </c>
      <c r="H841" s="253" t="s">
        <v>3129</v>
      </c>
      <c r="I841" s="254" t="str">
        <f>'Dry_Litterbag Placem_Collection'!C182</f>
        <v>Wet_W3_T4</v>
      </c>
      <c r="J841" s="263" t="s">
        <v>2932</v>
      </c>
      <c r="K841" s="264" t="s">
        <v>298</v>
      </c>
      <c r="L841" s="221" t="str">
        <f>'WetLitterbags placem_collection'!Q182</f>
        <v>R301</v>
      </c>
      <c r="M841" s="223">
        <f>IFERROR(INDEX('Green_rooibos initial weight'!$C$5:$C$2000,MATCH(L841, 'Green_rooibos initial weight'!$A$5:$A$2000,0)),"")</f>
        <v>2.2530000000000001</v>
      </c>
      <c r="N841" s="223">
        <f>IFERROR(M841-(TBIcalc!$H$9+TBIcalc!$H$10),"")</f>
        <v>2.0032000000000001</v>
      </c>
      <c r="O841" s="378">
        <f>AVERAGE(Ashed_controlls!$K$2:$K$11)</f>
        <v>5.5147656768714146</v>
      </c>
      <c r="P841" s="223">
        <f t="shared" si="66"/>
        <v>1.8927282139609118</v>
      </c>
      <c r="Q841" s="223">
        <f>IFERROR(INDEX('Both teabags AfterWet'!$C$3:$C$840,MATCH(L841,'Both teabags AfterWet'!$A$3:$A$840,0)),"")</f>
        <v>1.6709000000000001</v>
      </c>
      <c r="R841" s="223">
        <f>IFERROR(IF(Q841&gt;0,Q841-(TBIcalc!$H$9),""),"")</f>
        <v>1.5203</v>
      </c>
      <c r="S841" s="223">
        <f>IFERROR(INDEX('Ashed teabags wet'!$K$2:$K$2000,MATCH(L841,'Ashed teabags wet'!$A$2:$A$2000,0)),"")</f>
        <v>1.9038076152294727</v>
      </c>
      <c r="T841" s="223">
        <f t="shared" si="67"/>
        <v>1.4913564128256662</v>
      </c>
      <c r="U841" s="224">
        <f>'WetLitterbags placem_collection'!E182</f>
        <v>42763</v>
      </c>
      <c r="V841" s="224">
        <f>IF('WetLitterbags placem_collection'!G182="","",'WetLitterbags placem_collection'!G182)</f>
        <v>42815</v>
      </c>
      <c r="W841" s="225">
        <f t="shared" si="65"/>
        <v>52</v>
      </c>
      <c r="X841" s="223">
        <f t="shared" si="68"/>
        <v>0.48290000000000011</v>
      </c>
      <c r="Y841" s="223">
        <f t="shared" si="69"/>
        <v>0.40137180113524562</v>
      </c>
      <c r="Z841">
        <f>IFERROR(INDEX([1]Rainfall_Wet!$O$2:$O$217,MATCH(C841, [1]Rainfall_Wet!$A$2:$A$217,0)),"")</f>
        <v>188.24043152799999</v>
      </c>
      <c r="AA841" s="226">
        <v>25.96</v>
      </c>
      <c r="AB841" s="226">
        <v>8.9200000000000017</v>
      </c>
      <c r="AC841" s="226">
        <v>65.12</v>
      </c>
      <c r="AD841" s="227" t="s">
        <v>2651</v>
      </c>
      <c r="AE841" s="226">
        <v>4.6145884672252304</v>
      </c>
      <c r="AF841">
        <f>IF('WetLitterbags placem_collection'!AB182="","",'WetLitterbags placem_collection'!AB182)</f>
        <v>8.3000000000000007</v>
      </c>
      <c r="AG841">
        <f>IF('WetLitterbags placem_collection'!Z182="","",'WetLitterbags placem_collection'!Z182)</f>
        <v>35</v>
      </c>
      <c r="AH841" s="236" t="str">
        <f>IF('WetLitterbags placem_collection'!AA182="","",'WetLitterbags placem_collection'!AA182)</f>
        <v>O</v>
      </c>
      <c r="AI841">
        <f>IF('WetLitterbags placem_collection'!AC182="","",'WetLitterbags placem_collection'!AC182)</f>
        <v>0</v>
      </c>
      <c r="AJ841">
        <f>AVERAGE('WetLitterbags placem_collection'!S182,'WetLitterbags placem_collection'!U182)</f>
        <v>12.85</v>
      </c>
      <c r="AK841">
        <f>AVERAGE('WetLitterbags placem_collection'!R182,'WetLitterbags placem_collection'!T182)</f>
        <v>32.450000000000003</v>
      </c>
      <c r="AL841">
        <f>INDEX([2]Coordinates!$B$2:$B$197,MATCH(I841,[2]Coordinates!$J$2:$J$197,0))</f>
        <v>-2.2780199809999999</v>
      </c>
      <c r="AM841">
        <f>INDEX([2]Coordinates!$C$2:$C$197,MATCH(I841,[2]Coordinates!$J$2:$J$197,0))</f>
        <v>34.027705019999999</v>
      </c>
      <c r="AN841" t="str">
        <f>IF(ISNUMBER(SEARCH("C", 'WetLitterbags placem_collection'!$Y182)),"YES","NO")</f>
        <v>NO</v>
      </c>
      <c r="AO841" t="str">
        <f>IF(ISNUMBER(SEARCH("H", 'WetLitterbags placem_collection'!$Y182)),"YES","NO")</f>
        <v>NO</v>
      </c>
      <c r="AP841" t="str">
        <f>IF(ISNUMBER(SEARCH("R", 'WetLitterbags placem_collection'!$Y182)),"YES","NO")</f>
        <v>YES</v>
      </c>
    </row>
    <row r="842" spans="1:42" ht="15" customHeight="1">
      <c r="A842" t="s">
        <v>3248</v>
      </c>
      <c r="B842" s="248" t="s">
        <v>2454</v>
      </c>
      <c r="C842" s="253">
        <f>'Dry_Litterbag Placem_Collection'!A183</f>
        <v>181</v>
      </c>
      <c r="D842" s="253" t="str">
        <f>'Dry_Litterbag Placem_Collection'!B183</f>
        <v>Handajega</v>
      </c>
      <c r="E842" s="253" t="s">
        <v>2454</v>
      </c>
      <c r="F842" s="253" t="s">
        <v>2645</v>
      </c>
      <c r="G842" s="253">
        <v>3</v>
      </c>
      <c r="H842" s="253" t="s">
        <v>3129</v>
      </c>
      <c r="I842" s="254" t="str">
        <f>'Dry_Litterbag Placem_Collection'!C183</f>
        <v>Wet_W3_T5</v>
      </c>
      <c r="J842" s="263" t="s">
        <v>2932</v>
      </c>
      <c r="K842" s="264" t="s">
        <v>298</v>
      </c>
      <c r="L842" s="221" t="str">
        <f>'WetLitterbags placem_collection'!Q183</f>
        <v>R291</v>
      </c>
      <c r="M842" s="223">
        <f>IFERROR(INDEX('Green_rooibos initial weight'!$C$5:$C$2000,MATCH(L842, 'Green_rooibos initial weight'!$A$5:$A$2000,0)),"")</f>
        <v>2.2320000000000002</v>
      </c>
      <c r="N842" s="223">
        <f>IFERROR(M842-(TBIcalc!$H$9+TBIcalc!$H$10),"")</f>
        <v>1.9822000000000002</v>
      </c>
      <c r="O842" s="378">
        <f>AVERAGE(Ashed_controlls!$K$2:$K$11)</f>
        <v>5.5147656768714146</v>
      </c>
      <c r="P842" s="223">
        <f t="shared" si="66"/>
        <v>1.872886314753055</v>
      </c>
      <c r="Q842" s="223">
        <f>IFERROR(INDEX('Both teabags AfterWet'!$C$3:$C$840,MATCH(L842,'Both teabags AfterWet'!$A$3:$A$840,0)),"")</f>
        <v>1.6970000000000001</v>
      </c>
      <c r="R842" s="223">
        <f>IFERROR(IF(Q842&gt;0,Q842-(TBIcalc!$H$9),""),"")</f>
        <v>1.5464</v>
      </c>
      <c r="S842" s="223">
        <f>IFERROR(INDEX('Ashed teabags wet'!$K$2:$K$2000,MATCH(L842,'Ashed teabags wet'!$A$2:$A$2000,0)),"")</f>
        <v>2.1348859776812832</v>
      </c>
      <c r="T842" s="223">
        <f t="shared" si="67"/>
        <v>1.5133861232411365</v>
      </c>
      <c r="U842" s="224">
        <f>'WetLitterbags placem_collection'!E183</f>
        <v>42763</v>
      </c>
      <c r="V842" s="224">
        <f>IF('WetLitterbags placem_collection'!G183="","",'WetLitterbags placem_collection'!G183)</f>
        <v>42815</v>
      </c>
      <c r="W842" s="225">
        <f t="shared" si="65"/>
        <v>52</v>
      </c>
      <c r="X842" s="223">
        <f t="shared" si="68"/>
        <v>0.43580000000000019</v>
      </c>
      <c r="Y842" s="223">
        <f t="shared" si="69"/>
        <v>0.35950019151191848</v>
      </c>
      <c r="Z842">
        <f>IFERROR(INDEX([1]Rainfall_Wet!$O$2:$O$217,MATCH(C842, [1]Rainfall_Wet!$A$2:$A$217,0)),"")</f>
        <v>188.24043152799999</v>
      </c>
      <c r="AA842" s="226">
        <v>25.96</v>
      </c>
      <c r="AB842" s="226">
        <v>8.9200000000000017</v>
      </c>
      <c r="AC842" s="226">
        <v>65.12</v>
      </c>
      <c r="AD842" s="227" t="s">
        <v>2651</v>
      </c>
      <c r="AE842" s="226">
        <v>5.6145884672252304</v>
      </c>
      <c r="AF842">
        <f>IF('WetLitterbags placem_collection'!AB183="","",'WetLitterbags placem_collection'!AB183)</f>
        <v>11.4</v>
      </c>
      <c r="AG842">
        <f>IF('WetLitterbags placem_collection'!Z183="","",'WetLitterbags placem_collection'!Z183)</f>
        <v>15.8</v>
      </c>
      <c r="AH842" s="236" t="str">
        <f>IF('WetLitterbags placem_collection'!AA183="","",'WetLitterbags placem_collection'!AA183)</f>
        <v>O</v>
      </c>
      <c r="AI842">
        <f>IF('WetLitterbags placem_collection'!AC183="","",'WetLitterbags placem_collection'!AC183)</f>
        <v>1</v>
      </c>
      <c r="AJ842">
        <f>AVERAGE('WetLitterbags placem_collection'!S183,'WetLitterbags placem_collection'!U183)</f>
        <v>13.75</v>
      </c>
      <c r="AK842">
        <f>AVERAGE('WetLitterbags placem_collection'!R183,'WetLitterbags placem_collection'!T183)</f>
        <v>32.650000000000006</v>
      </c>
      <c r="AL842">
        <f>INDEX([2]Coordinates!$B$2:$B$197,MATCH(I842,[2]Coordinates!$J$2:$J$197,0))</f>
        <v>-2.2777329850000001</v>
      </c>
      <c r="AM842">
        <f>INDEX([2]Coordinates!$C$2:$C$197,MATCH(I842,[2]Coordinates!$J$2:$J$197,0))</f>
        <v>34.027422970000003</v>
      </c>
      <c r="AN842" t="str">
        <f>IF(ISNUMBER(SEARCH("C", 'WetLitterbags placem_collection'!$Y183)),"YES","NO")</f>
        <v>NO</v>
      </c>
      <c r="AO842" t="str">
        <f>IF(ISNUMBER(SEARCH("H", 'WetLitterbags placem_collection'!$Y183)),"YES","NO")</f>
        <v>NO</v>
      </c>
      <c r="AP842" t="str">
        <f>IF(ISNUMBER(SEARCH("R", 'WetLitterbags placem_collection'!$Y183)),"YES","NO")</f>
        <v>NO</v>
      </c>
    </row>
    <row r="843" spans="1:42" ht="15" customHeight="1">
      <c r="A843" t="s">
        <v>3248</v>
      </c>
      <c r="B843" s="248" t="s">
        <v>2454</v>
      </c>
      <c r="C843" s="253">
        <f>'Dry_Litterbag Placem_Collection'!A184</f>
        <v>182</v>
      </c>
      <c r="D843" s="253" t="str">
        <f>'Dry_Litterbag Placem_Collection'!B184</f>
        <v>Handajega</v>
      </c>
      <c r="E843" s="253" t="s">
        <v>2454</v>
      </c>
      <c r="F843" s="253" t="s">
        <v>2645</v>
      </c>
      <c r="G843" s="253">
        <v>3</v>
      </c>
      <c r="H843" s="253" t="s">
        <v>3129</v>
      </c>
      <c r="I843" s="254" t="str">
        <f>'Dry_Litterbag Placem_Collection'!C184</f>
        <v>Wet_W3_T6</v>
      </c>
      <c r="J843" s="263" t="s">
        <v>2932</v>
      </c>
      <c r="K843" s="264" t="s">
        <v>298</v>
      </c>
      <c r="L843" s="221" t="str">
        <f>'WetLitterbags placem_collection'!Q184</f>
        <v>R537</v>
      </c>
      <c r="M843" s="223">
        <f>IFERROR(INDEX('Green_rooibos initial weight'!$C$5:$C$2000,MATCH(L843, 'Green_rooibos initial weight'!$A$5:$A$2000,0)),"")</f>
        <v>2.145</v>
      </c>
      <c r="N843" s="223">
        <f>IFERROR(M843-(TBIcalc!$H$9+TBIcalc!$H$10),"")</f>
        <v>1.8952</v>
      </c>
      <c r="O843" s="378">
        <f>AVERAGE(Ashed_controlls!$K$2:$K$11)</f>
        <v>5.5147656768714146</v>
      </c>
      <c r="P843" s="223">
        <f t="shared" si="66"/>
        <v>1.7906841608919331</v>
      </c>
      <c r="Q843" s="223">
        <f>IFERROR(INDEX('Both teabags AfterWet'!$C$3:$C$840,MATCH(L843,'Both teabags AfterWet'!$A$3:$A$840,0)),"")</f>
        <v>1.7152000000000001</v>
      </c>
      <c r="R843" s="223">
        <f>IFERROR(IF(Q843&gt;0,Q843-(TBIcalc!$H$9),""),"")</f>
        <v>1.5646</v>
      </c>
      <c r="S843" s="223">
        <f>IFERROR(INDEX('Ashed teabags wet'!$K$2:$K$2000,MATCH(L843,'Ashed teabags wet'!$A$2:$A$2000,0)),"")</f>
        <v>2.0958083832334542</v>
      </c>
      <c r="T843" s="223">
        <f t="shared" si="67"/>
        <v>1.5318089820359293</v>
      </c>
      <c r="U843" s="224">
        <f>'WetLitterbags placem_collection'!E184</f>
        <v>42763</v>
      </c>
      <c r="V843" s="224">
        <f>IF('WetLitterbags placem_collection'!G184="","",'WetLitterbags placem_collection'!G184)</f>
        <v>42815</v>
      </c>
      <c r="W843" s="225">
        <f t="shared" si="65"/>
        <v>52</v>
      </c>
      <c r="X843" s="223">
        <f t="shared" si="68"/>
        <v>0.3306</v>
      </c>
      <c r="Y843" s="223">
        <f t="shared" si="69"/>
        <v>0.25887517885600375</v>
      </c>
      <c r="Z843">
        <f>IFERROR(INDEX([1]Rainfall_Wet!$O$2:$O$217,MATCH(C843, [1]Rainfall_Wet!$A$2:$A$217,0)),"")</f>
        <v>188.24043152799999</v>
      </c>
      <c r="AA843" s="226">
        <v>25.96</v>
      </c>
      <c r="AB843" s="226">
        <v>8.9200000000000017</v>
      </c>
      <c r="AC843" s="226">
        <v>65.12</v>
      </c>
      <c r="AD843" s="227" t="s">
        <v>2651</v>
      </c>
      <c r="AE843" s="226">
        <v>6.6145884672252304</v>
      </c>
      <c r="AF843">
        <f>IF('WetLitterbags placem_collection'!AB184="","",'WetLitterbags placem_collection'!AB184)</f>
        <v>8.8000000000000007</v>
      </c>
      <c r="AG843">
        <f>IF('WetLitterbags placem_collection'!Z184="","",'WetLitterbags placem_collection'!Z184)</f>
        <v>15.8</v>
      </c>
      <c r="AH843" s="236" t="str">
        <f>IF('WetLitterbags placem_collection'!AA184="","",'WetLitterbags placem_collection'!AA184)</f>
        <v>O</v>
      </c>
      <c r="AI843">
        <f>IF('WetLitterbags placem_collection'!AC184="","",'WetLitterbags placem_collection'!AC184)</f>
        <v>1</v>
      </c>
      <c r="AJ843">
        <f>AVERAGE('WetLitterbags placem_collection'!S184,'WetLitterbags placem_collection'!U184)</f>
        <v>11.55</v>
      </c>
      <c r="AK843">
        <f>AVERAGE('WetLitterbags placem_collection'!R184,'WetLitterbags placem_collection'!T184)</f>
        <v>33.299999999999997</v>
      </c>
      <c r="AL843">
        <f>INDEX([2]Coordinates!$B$2:$B$197,MATCH(I843,[2]Coordinates!$J$2:$J$197,0))</f>
        <v>-2.2777009659999998</v>
      </c>
      <c r="AM843">
        <f>INDEX([2]Coordinates!$C$2:$C$197,MATCH(I843,[2]Coordinates!$J$2:$J$197,0))</f>
        <v>34.027393969999999</v>
      </c>
      <c r="AN843" t="str">
        <f>IF(ISNUMBER(SEARCH("C", 'WetLitterbags placem_collection'!$Y184)),"YES","NO")</f>
        <v>NO</v>
      </c>
      <c r="AO843" t="str">
        <f>IF(ISNUMBER(SEARCH("H", 'WetLitterbags placem_collection'!$Y184)),"YES","NO")</f>
        <v>NO</v>
      </c>
      <c r="AP843" t="str">
        <f>IF(ISNUMBER(SEARCH("R", 'WetLitterbags placem_collection'!$Y184)),"YES","NO")</f>
        <v>NO</v>
      </c>
    </row>
    <row r="844" spans="1:42" ht="15" customHeight="1">
      <c r="A844" t="s">
        <v>3248</v>
      </c>
      <c r="B844" s="248" t="s">
        <v>2454</v>
      </c>
      <c r="C844" s="253">
        <f>'Dry_Litterbag Placem_Collection'!A185</f>
        <v>183</v>
      </c>
      <c r="D844" s="253" t="str">
        <f>'Dry_Litterbag Placem_Collection'!B185</f>
        <v>Handajega</v>
      </c>
      <c r="E844" s="253" t="s">
        <v>2454</v>
      </c>
      <c r="F844" s="253" t="s">
        <v>2645</v>
      </c>
      <c r="G844" s="253">
        <v>3</v>
      </c>
      <c r="H844" s="253" t="s">
        <v>3129</v>
      </c>
      <c r="I844" s="254" t="str">
        <f>'Dry_Litterbag Placem_Collection'!C185</f>
        <v>Wet_W3_T7</v>
      </c>
      <c r="J844" s="263" t="s">
        <v>2932</v>
      </c>
      <c r="K844" s="264" t="s">
        <v>298</v>
      </c>
      <c r="L844" s="221" t="str">
        <f>'WetLitterbags placem_collection'!Q185</f>
        <v>R290</v>
      </c>
      <c r="M844" s="223">
        <f>IFERROR(INDEX('Green_rooibos initial weight'!$C$5:$C$2000,MATCH(L844, 'Green_rooibos initial weight'!$A$5:$A$2000,0)),"")</f>
        <v>2.153</v>
      </c>
      <c r="N844" s="223">
        <f>IFERROR(M844-(TBIcalc!$H$9+TBIcalc!$H$10),"")</f>
        <v>1.9032</v>
      </c>
      <c r="O844" s="378">
        <f>AVERAGE(Ashed_controlls!$K$2:$K$11)</f>
        <v>5.5147656768714146</v>
      </c>
      <c r="P844" s="223">
        <f t="shared" si="66"/>
        <v>1.7982429796377832</v>
      </c>
      <c r="Q844" s="223">
        <f>IFERROR(INDEX('Both teabags AfterWet'!$C$3:$C$840,MATCH(L844,'Both teabags AfterWet'!$A$3:$A$840,0)),"")</f>
        <v>1.7310000000000001</v>
      </c>
      <c r="R844" s="223">
        <f>IFERROR(IF(Q844&gt;0,Q844-(TBIcalc!$H$9),""),"")</f>
        <v>1.5804</v>
      </c>
      <c r="S844" s="223">
        <f>IFERROR(INDEX('Ashed teabags wet'!$K$2:$K$2000,MATCH(L844,'Ashed teabags wet'!$A$2:$A$2000,0)),"")</f>
        <v>2.639442231076139</v>
      </c>
      <c r="T844" s="223">
        <f t="shared" si="67"/>
        <v>1.5386862549800728</v>
      </c>
      <c r="U844" s="224">
        <f>'WetLitterbags placem_collection'!E185</f>
        <v>42763</v>
      </c>
      <c r="V844" s="224">
        <f>IF('WetLitterbags placem_collection'!G185="","",'WetLitterbags placem_collection'!G185)</f>
        <v>42815</v>
      </c>
      <c r="W844" s="225">
        <f t="shared" si="65"/>
        <v>52</v>
      </c>
      <c r="X844" s="223">
        <f t="shared" si="68"/>
        <v>0.32279999999999998</v>
      </c>
      <c r="Y844" s="223">
        <f t="shared" si="69"/>
        <v>0.2595567246577104</v>
      </c>
      <c r="Z844">
        <f>IFERROR(INDEX([1]Rainfall_Wet!$O$2:$O$217,MATCH(C844, [1]Rainfall_Wet!$A$2:$A$217,0)),"")</f>
        <v>188.24043152799999</v>
      </c>
      <c r="AA844" s="226">
        <v>25.96</v>
      </c>
      <c r="AB844" s="226">
        <v>8.9200000000000017</v>
      </c>
      <c r="AC844" s="226">
        <v>65.12</v>
      </c>
      <c r="AD844" s="227" t="s">
        <v>2651</v>
      </c>
      <c r="AE844" s="226">
        <v>7.6145884672252304</v>
      </c>
      <c r="AF844">
        <f>IF('WetLitterbags placem_collection'!AB185="","",'WetLitterbags placem_collection'!AB185)</f>
        <v>11.4</v>
      </c>
      <c r="AG844">
        <f>IF('WetLitterbags placem_collection'!Z185="","",'WetLitterbags placem_collection'!Z185)</f>
        <v>35.799999999999997</v>
      </c>
      <c r="AH844" s="236" t="str">
        <f>IF('WetLitterbags placem_collection'!AA185="","",'WetLitterbags placem_collection'!AA185)</f>
        <v>G</v>
      </c>
      <c r="AI844">
        <f>IF('WetLitterbags placem_collection'!AC185="","",'WetLitterbags placem_collection'!AC185)</f>
        <v>1</v>
      </c>
      <c r="AJ844">
        <f>AVERAGE('WetLitterbags placem_collection'!S185,'WetLitterbags placem_collection'!U185)</f>
        <v>13.4</v>
      </c>
      <c r="AK844">
        <f>AVERAGE('WetLitterbags placem_collection'!R185,'WetLitterbags placem_collection'!T185)</f>
        <v>33.5</v>
      </c>
      <c r="AL844">
        <f>INDEX([2]Coordinates!$B$2:$B$197,MATCH(I844,[2]Coordinates!$J$2:$J$197,0))</f>
        <v>-2.2777790019999999</v>
      </c>
      <c r="AM844">
        <f>INDEX([2]Coordinates!$C$2:$C$197,MATCH(I844,[2]Coordinates!$J$2:$J$197,0))</f>
        <v>34.028066029999998</v>
      </c>
      <c r="AN844" t="str">
        <f>IF(ISNUMBER(SEARCH("C", 'WetLitterbags placem_collection'!$Y185)),"YES","NO")</f>
        <v>NO</v>
      </c>
      <c r="AO844" t="str">
        <f>IF(ISNUMBER(SEARCH("H", 'WetLitterbags placem_collection'!$Y185)),"YES","NO")</f>
        <v>NO</v>
      </c>
      <c r="AP844" t="str">
        <f>IF(ISNUMBER(SEARCH("R", 'WetLitterbags placem_collection'!$Y185)),"YES","NO")</f>
        <v>NO</v>
      </c>
    </row>
    <row r="845" spans="1:42" ht="15" customHeight="1">
      <c r="A845" t="s">
        <v>3248</v>
      </c>
      <c r="B845" s="248" t="s">
        <v>2454</v>
      </c>
      <c r="C845" s="253">
        <f>'Dry_Litterbag Placem_Collection'!A186</f>
        <v>184</v>
      </c>
      <c r="D845" s="253" t="str">
        <f>'Dry_Litterbag Placem_Collection'!B186</f>
        <v>Handajega</v>
      </c>
      <c r="E845" s="253" t="s">
        <v>2454</v>
      </c>
      <c r="F845" s="253" t="s">
        <v>2645</v>
      </c>
      <c r="G845" s="253">
        <v>3</v>
      </c>
      <c r="H845" s="253" t="s">
        <v>3129</v>
      </c>
      <c r="I845" s="254" t="str">
        <f>'Dry_Litterbag Placem_Collection'!C186</f>
        <v>Wet_W3_T8</v>
      </c>
      <c r="J845" s="263" t="s">
        <v>2932</v>
      </c>
      <c r="K845" s="264" t="s">
        <v>298</v>
      </c>
      <c r="L845" s="221" t="str">
        <f>'WetLitterbags placem_collection'!Q186</f>
        <v>R555</v>
      </c>
      <c r="M845" s="223">
        <f>IFERROR(INDEX('Green_rooibos initial weight'!$C$5:$C$2000,MATCH(L845, 'Green_rooibos initial weight'!$A$5:$A$2000,0)),"")</f>
        <v>2.1789999999999998</v>
      </c>
      <c r="N845" s="223">
        <f>IFERROR(M845-(TBIcalc!$H$9+TBIcalc!$H$10),"")</f>
        <v>1.9291999999999998</v>
      </c>
      <c r="O845" s="378">
        <f>AVERAGE(Ashed_controlls!$K$2:$K$11)</f>
        <v>5.5147656768714146</v>
      </c>
      <c r="P845" s="223">
        <f t="shared" si="66"/>
        <v>1.8228091405617965</v>
      </c>
      <c r="Q845" s="223">
        <f>IFERROR(INDEX('Both teabags AfterWet'!$C$3:$C$840,MATCH(L845,'Both teabags AfterWet'!$A$3:$A$840,0)),"")</f>
        <v>1.7096</v>
      </c>
      <c r="R845" s="223">
        <f>IFERROR(IF(Q845&gt;0,Q845-(TBIcalc!$H$9),""),"")</f>
        <v>1.5589999999999999</v>
      </c>
      <c r="S845" s="223">
        <f>IFERROR(INDEX('Ashed teabags wet'!$K$2:$K$2000,MATCH(L845,'Ashed teabags wet'!$A$2:$A$2000,0)),"")</f>
        <v>2.750491159135366</v>
      </c>
      <c r="T845" s="223">
        <f t="shared" si="67"/>
        <v>1.5161198428290796</v>
      </c>
      <c r="U845" s="224">
        <f>'WetLitterbags placem_collection'!E186</f>
        <v>42763</v>
      </c>
      <c r="V845" s="224">
        <f>IF('WetLitterbags placem_collection'!G186="","",'WetLitterbags placem_collection'!G186)</f>
        <v>42815</v>
      </c>
      <c r="W845" s="225">
        <f t="shared" si="65"/>
        <v>52</v>
      </c>
      <c r="X845" s="223">
        <f t="shared" si="68"/>
        <v>0.37019999999999986</v>
      </c>
      <c r="Y845" s="223">
        <f t="shared" si="69"/>
        <v>0.30668929773271691</v>
      </c>
      <c r="Z845">
        <f>IFERROR(INDEX([1]Rainfall_Wet!$O$2:$O$217,MATCH(C845, [1]Rainfall_Wet!$A$2:$A$217,0)),"")</f>
        <v>188.24043152799999</v>
      </c>
      <c r="AA845" s="226">
        <v>25.96</v>
      </c>
      <c r="AB845" s="226">
        <v>8.9200000000000017</v>
      </c>
      <c r="AC845" s="226">
        <v>65.12</v>
      </c>
      <c r="AD845" s="227" t="s">
        <v>2651</v>
      </c>
      <c r="AE845" s="226">
        <v>8.6145884672252304</v>
      </c>
      <c r="AF845">
        <f>IF('WetLitterbags placem_collection'!AB186="","",'WetLitterbags placem_collection'!AB186)</f>
        <v>3.7</v>
      </c>
      <c r="AG845">
        <f>IF('WetLitterbags placem_collection'!Z186="","",'WetLitterbags placem_collection'!Z186)</f>
        <v>16.399999999999999</v>
      </c>
      <c r="AH845" s="236" t="str">
        <f>IF('WetLitterbags placem_collection'!AA186="","",'WetLitterbags placem_collection'!AA186)</f>
        <v>O</v>
      </c>
      <c r="AI845">
        <f>IF('WetLitterbags placem_collection'!AC186="","",'WetLitterbags placem_collection'!AC186)</f>
        <v>0</v>
      </c>
      <c r="AJ845">
        <f>AVERAGE('WetLitterbags placem_collection'!S186,'WetLitterbags placem_collection'!U186)</f>
        <v>13.3</v>
      </c>
      <c r="AK845">
        <f>AVERAGE('WetLitterbags placem_collection'!R186,'WetLitterbags placem_collection'!T186)</f>
        <v>29.950000000000003</v>
      </c>
      <c r="AL845">
        <f>INDEX([2]Coordinates!$B$2:$B$197,MATCH(I845,[2]Coordinates!$J$2:$J$197,0))</f>
        <v>-2.2775169829999999</v>
      </c>
      <c r="AM845">
        <f>INDEX([2]Coordinates!$C$2:$C$197,MATCH(I845,[2]Coordinates!$J$2:$J$197,0))</f>
        <v>34.027766970000002</v>
      </c>
      <c r="AN845" t="str">
        <f>IF(ISNUMBER(SEARCH("C", 'WetLitterbags placem_collection'!$Y186)),"YES","NO")</f>
        <v>NO</v>
      </c>
      <c r="AO845" t="str">
        <f>IF(ISNUMBER(SEARCH("H", 'WetLitterbags placem_collection'!$Y186)),"YES","NO")</f>
        <v>NO</v>
      </c>
      <c r="AP845" t="str">
        <f>IF(ISNUMBER(SEARCH("R", 'WetLitterbags placem_collection'!$Y186)),"YES","NO")</f>
        <v>NO</v>
      </c>
    </row>
    <row r="846" spans="1:42" ht="15" customHeight="1">
      <c r="A846" t="s">
        <v>3248</v>
      </c>
      <c r="B846" s="248" t="s">
        <v>2454</v>
      </c>
      <c r="C846" s="253">
        <f>'Dry_Litterbag Placem_Collection'!A187</f>
        <v>185</v>
      </c>
      <c r="D846" s="253" t="str">
        <f>'Dry_Litterbag Placem_Collection'!B187</f>
        <v>Handajega</v>
      </c>
      <c r="E846" s="253" t="s">
        <v>2454</v>
      </c>
      <c r="F846" s="253" t="s">
        <v>2645</v>
      </c>
      <c r="G846" s="253">
        <v>4</v>
      </c>
      <c r="H846" s="253" t="s">
        <v>3130</v>
      </c>
      <c r="I846" s="254" t="str">
        <f>'Dry_Litterbag Placem_Collection'!C187</f>
        <v>Wet_W4_T1</v>
      </c>
      <c r="J846" s="263" t="s">
        <v>2932</v>
      </c>
      <c r="K846" s="264" t="s">
        <v>298</v>
      </c>
      <c r="L846" s="221" t="str">
        <f>'WetLitterbags placem_collection'!Q187</f>
        <v>R539</v>
      </c>
      <c r="M846" s="223">
        <f>IFERROR(INDEX('Green_rooibos initial weight'!$C$5:$C$2000,MATCH(L846, 'Green_rooibos initial weight'!$A$5:$A$2000,0)),"")</f>
        <v>2.16</v>
      </c>
      <c r="N846" s="223">
        <f>IFERROR(M846-(TBIcalc!$H$9+TBIcalc!$H$10),"")</f>
        <v>1.9102000000000001</v>
      </c>
      <c r="O846" s="378">
        <f>AVERAGE(Ashed_controlls!$K$2:$K$11)</f>
        <v>5.5147656768714146</v>
      </c>
      <c r="P846" s="223">
        <f t="shared" si="66"/>
        <v>1.8048569460404023</v>
      </c>
      <c r="Q846" s="223">
        <f>IFERROR(INDEX('Both teabags AfterWet'!$C$3:$C$840,MATCH(L846,'Both teabags AfterWet'!$A$3:$A$840,0)),"")</f>
        <v>1.7513000000000001</v>
      </c>
      <c r="R846" s="223">
        <f>IFERROR(IF(Q846&gt;0,Q846-(TBIcalc!$H$9),""),"")</f>
        <v>1.6007</v>
      </c>
      <c r="S846" s="223">
        <f>IFERROR(INDEX('Ashed teabags wet'!$K$2:$K$2000,MATCH(L846,'Ashed teabags wet'!$A$2:$A$2000,0)),"")</f>
        <v>1.5944195316393635</v>
      </c>
      <c r="T846" s="223">
        <f t="shared" si="67"/>
        <v>1.5751781265570488</v>
      </c>
      <c r="U846" s="224">
        <f>'WetLitterbags placem_collection'!E187</f>
        <v>42763</v>
      </c>
      <c r="V846" s="224">
        <f>IF('WetLitterbags placem_collection'!G187="","",'WetLitterbags placem_collection'!G187)</f>
        <v>42815</v>
      </c>
      <c r="W846" s="225">
        <f t="shared" si="65"/>
        <v>52</v>
      </c>
      <c r="X846" s="223">
        <f t="shared" si="68"/>
        <v>0.30950000000000011</v>
      </c>
      <c r="Y846" s="223">
        <f t="shared" si="69"/>
        <v>0.22967881948335345</v>
      </c>
      <c r="Z846">
        <f>IFERROR(INDEX([1]Rainfall_Wet!$O$2:$O$217,MATCH(C846, [1]Rainfall_Wet!$A$2:$A$217,0)),"")</f>
        <v>188.24043152799999</v>
      </c>
      <c r="AA846" s="226">
        <v>25.96</v>
      </c>
      <c r="AB846" s="226">
        <v>8.9200000000000017</v>
      </c>
      <c r="AC846" s="226">
        <v>65.12</v>
      </c>
      <c r="AD846" s="227" t="s">
        <v>2651</v>
      </c>
      <c r="AE846" s="226">
        <v>1.6991621488417901</v>
      </c>
      <c r="AF846">
        <f>IF('WetLitterbags placem_collection'!AB187="","",'WetLitterbags placem_collection'!AB187)</f>
        <v>9.8000000000000007</v>
      </c>
      <c r="AG846">
        <f>IF('WetLitterbags placem_collection'!Z187="","",'WetLitterbags placem_collection'!Z187)</f>
        <v>29.4</v>
      </c>
      <c r="AH846" s="236" t="str">
        <f>IF('WetLitterbags placem_collection'!AA187="","",'WetLitterbags placem_collection'!AA187)</f>
        <v>O</v>
      </c>
      <c r="AI846">
        <f>IF('WetLitterbags placem_collection'!AC187="","",'WetLitterbags placem_collection'!AC187)</f>
        <v>0</v>
      </c>
      <c r="AJ846">
        <f>AVERAGE('WetLitterbags placem_collection'!S187,'WetLitterbags placem_collection'!U187)</f>
        <v>17.850000000000001</v>
      </c>
      <c r="AK846">
        <f>AVERAGE('WetLitterbags placem_collection'!R187,'WetLitterbags placem_collection'!T187)</f>
        <v>35.400000000000006</v>
      </c>
      <c r="AL846">
        <f>INDEX([2]Coordinates!$B$2:$B$197,MATCH(I846,[2]Coordinates!$J$2:$J$197,0))</f>
        <v>-2.2787330300000002</v>
      </c>
      <c r="AM846">
        <f>INDEX([2]Coordinates!$C$2:$C$197,MATCH(I846,[2]Coordinates!$J$2:$J$197,0))</f>
        <v>34.032136029999997</v>
      </c>
      <c r="AN846" t="str">
        <f>IF(ISNUMBER(SEARCH("C", 'WetLitterbags placem_collection'!$Y187)),"YES","NO")</f>
        <v>NO</v>
      </c>
      <c r="AO846" t="str">
        <f>IF(ISNUMBER(SEARCH("H", 'WetLitterbags placem_collection'!$Y187)),"YES","NO")</f>
        <v>NO</v>
      </c>
      <c r="AP846" t="str">
        <f>IF(ISNUMBER(SEARCH("R", 'WetLitterbags placem_collection'!$Y187)),"YES","NO")</f>
        <v>NO</v>
      </c>
    </row>
    <row r="847" spans="1:42" ht="15" customHeight="1">
      <c r="A847" t="s">
        <v>3248</v>
      </c>
      <c r="B847" s="248" t="s">
        <v>2454</v>
      </c>
      <c r="C847" s="253">
        <f>'Dry_Litterbag Placem_Collection'!A188</f>
        <v>186</v>
      </c>
      <c r="D847" s="253" t="str">
        <f>'Dry_Litterbag Placem_Collection'!B188</f>
        <v>Handajega</v>
      </c>
      <c r="E847" s="253" t="s">
        <v>2454</v>
      </c>
      <c r="F847" s="253" t="s">
        <v>2645</v>
      </c>
      <c r="G847" s="253">
        <v>4</v>
      </c>
      <c r="H847" s="253" t="s">
        <v>3130</v>
      </c>
      <c r="I847" s="254" t="str">
        <f>'Dry_Litterbag Placem_Collection'!C188</f>
        <v>Wet_W4_T2</v>
      </c>
      <c r="J847" s="263" t="s">
        <v>2932</v>
      </c>
      <c r="K847" s="264" t="s">
        <v>298</v>
      </c>
      <c r="L847" s="221" t="str">
        <f>'WetLitterbags placem_collection'!Q188</f>
        <v>R186</v>
      </c>
      <c r="M847" s="223">
        <f>IFERROR(INDEX('Green_rooibos initial weight'!$C$5:$C$2000,MATCH(L847, 'Green_rooibos initial weight'!$A$5:$A$2000,0)),"")</f>
        <v>2.2530000000000001</v>
      </c>
      <c r="N847" s="223">
        <f>IFERROR(M847-(TBIcalc!$H$9+TBIcalc!$H$10),"")</f>
        <v>2.0032000000000001</v>
      </c>
      <c r="O847" s="378">
        <f>AVERAGE(Ashed_controlls!$K$2:$K$11)</f>
        <v>5.5147656768714146</v>
      </c>
      <c r="P847" s="223">
        <f t="shared" si="66"/>
        <v>1.8927282139609118</v>
      </c>
      <c r="Q847" s="223">
        <f>IFERROR(INDEX('Both teabags AfterWet'!$C$3:$C$840,MATCH(L847,'Both teabags AfterWet'!$A$3:$A$840,0)),"")</f>
        <v>1.7809999999999999</v>
      </c>
      <c r="R847" s="223">
        <f>IFERROR(IF(Q847&gt;0,Q847-(TBIcalc!$H$9),""),"")</f>
        <v>1.6303999999999998</v>
      </c>
      <c r="S847" s="223">
        <f>IFERROR(INDEX('Ashed teabags wet'!$K$2:$K$2000,MATCH(L847,'Ashed teabags wet'!$A$2:$A$2000,0)),"")</f>
        <v>2.2783556215947218</v>
      </c>
      <c r="T847" s="223">
        <f t="shared" si="67"/>
        <v>1.5932536899455194</v>
      </c>
      <c r="U847" s="224">
        <f>'WetLitterbags placem_collection'!E188</f>
        <v>42763</v>
      </c>
      <c r="V847" s="224">
        <f>IF('WetLitterbags placem_collection'!G188="","",'WetLitterbags placem_collection'!G188)</f>
        <v>42815</v>
      </c>
      <c r="W847" s="225">
        <f t="shared" si="65"/>
        <v>52</v>
      </c>
      <c r="X847" s="223">
        <f t="shared" si="68"/>
        <v>0.37280000000000024</v>
      </c>
      <c r="Y847" s="223">
        <f t="shared" si="69"/>
        <v>0.29947452401539243</v>
      </c>
      <c r="Z847">
        <f>IFERROR(INDEX([1]Rainfall_Wet!$O$2:$O$217,MATCH(C847, [1]Rainfall_Wet!$A$2:$A$217,0)),"")</f>
        <v>188.24043152799999</v>
      </c>
      <c r="AA847" s="226">
        <v>25.96</v>
      </c>
      <c r="AB847" s="226">
        <v>8.9200000000000017</v>
      </c>
      <c r="AC847" s="226">
        <v>65.12</v>
      </c>
      <c r="AD847" s="227" t="s">
        <v>2651</v>
      </c>
      <c r="AE847" s="226">
        <v>2.6991621488417898</v>
      </c>
      <c r="AF847">
        <f>IF('WetLitterbags placem_collection'!AB188="","",'WetLitterbags placem_collection'!AB188)</f>
        <v>11.4</v>
      </c>
      <c r="AG847">
        <f>IF('WetLitterbags placem_collection'!Z188="","",'WetLitterbags placem_collection'!Z188)</f>
        <v>45.4</v>
      </c>
      <c r="AH847" s="236" t="str">
        <f>IF('WetLitterbags placem_collection'!AA188="","",'WetLitterbags placem_collection'!AA188)</f>
        <v>O</v>
      </c>
      <c r="AI847">
        <f>IF('WetLitterbags placem_collection'!AC188="","",'WetLitterbags placem_collection'!AC188)</f>
        <v>0</v>
      </c>
      <c r="AJ847">
        <f>AVERAGE('WetLitterbags placem_collection'!S188,'WetLitterbags placem_collection'!U188)</f>
        <v>16.899999999999999</v>
      </c>
      <c r="AK847">
        <f>AVERAGE('WetLitterbags placem_collection'!R188,'WetLitterbags placem_collection'!T188)</f>
        <v>33.9</v>
      </c>
      <c r="AL847">
        <f>INDEX([2]Coordinates!$B$2:$B$197,MATCH(I847,[2]Coordinates!$J$2:$J$197,0))</f>
        <v>-2.278763037</v>
      </c>
      <c r="AM847">
        <f>INDEX([2]Coordinates!$C$2:$C$197,MATCH(I847,[2]Coordinates!$J$2:$J$197,0))</f>
        <v>34.031974009999999</v>
      </c>
      <c r="AN847" t="str">
        <f>IF(ISNUMBER(SEARCH("C", 'WetLitterbags placem_collection'!$Y188)),"YES","NO")</f>
        <v>NO</v>
      </c>
      <c r="AO847" t="str">
        <f>IF(ISNUMBER(SEARCH("H", 'WetLitterbags placem_collection'!$Y188)),"YES","NO")</f>
        <v>NO</v>
      </c>
      <c r="AP847" t="str">
        <f>IF(ISNUMBER(SEARCH("R", 'WetLitterbags placem_collection'!$Y188)),"YES","NO")</f>
        <v>NO</v>
      </c>
    </row>
    <row r="848" spans="1:42" ht="15" customHeight="1">
      <c r="A848" t="s">
        <v>3248</v>
      </c>
      <c r="B848" s="248" t="s">
        <v>2454</v>
      </c>
      <c r="C848" s="253">
        <f>'Dry_Litterbag Placem_Collection'!A189</f>
        <v>187</v>
      </c>
      <c r="D848" s="253" t="str">
        <f>'Dry_Litterbag Placem_Collection'!B189</f>
        <v>Handajega</v>
      </c>
      <c r="E848" s="253" t="s">
        <v>2454</v>
      </c>
      <c r="F848" s="253" t="s">
        <v>2645</v>
      </c>
      <c r="G848" s="253">
        <v>4</v>
      </c>
      <c r="H848" s="253" t="s">
        <v>3130</v>
      </c>
      <c r="I848" s="254" t="str">
        <f>'Dry_Litterbag Placem_Collection'!C189</f>
        <v>Wet_W4_T3</v>
      </c>
      <c r="J848" s="263" t="s">
        <v>2932</v>
      </c>
      <c r="K848" s="264" t="s">
        <v>298</v>
      </c>
      <c r="L848" s="221" t="str">
        <f>'WetLitterbags placem_collection'!Q189</f>
        <v>R580</v>
      </c>
      <c r="M848" s="223">
        <f>IFERROR(INDEX('Green_rooibos initial weight'!$C$5:$C$2000,MATCH(L848, 'Green_rooibos initial weight'!$A$5:$A$2000,0)),"")</f>
        <v>2.0870000000000002</v>
      </c>
      <c r="N848" s="223">
        <f>IFERROR(M848-(TBIcalc!$H$9+TBIcalc!$H$10),"")</f>
        <v>1.8372000000000002</v>
      </c>
      <c r="O848" s="378">
        <f>AVERAGE(Ashed_controlls!$K$2:$K$11)</f>
        <v>5.5147656768714146</v>
      </c>
      <c r="P848" s="223">
        <f t="shared" si="66"/>
        <v>1.7358827249845186</v>
      </c>
      <c r="Q848" s="223">
        <f>IFERROR(INDEX('Both teabags AfterWet'!$C$3:$C$840,MATCH(L848,'Both teabags AfterWet'!$A$3:$A$840,0)),"")</f>
        <v>1.6225000000000001</v>
      </c>
      <c r="R848" s="223">
        <f>IFERROR(IF(Q848&gt;0,Q848-(TBIcalc!$H$9),""),"")</f>
        <v>1.4719</v>
      </c>
      <c r="S848" s="223">
        <f>IFERROR(INDEX('Ashed teabags wet'!$K$2:$K$2000,MATCH(L848,'Ashed teabags wet'!$A$2:$A$2000,0)),"")</f>
        <v>2.0914396887151829</v>
      </c>
      <c r="T848" s="223">
        <f t="shared" si="67"/>
        <v>1.4411160992218013</v>
      </c>
      <c r="U848" s="224">
        <f>'WetLitterbags placem_collection'!E189</f>
        <v>42763</v>
      </c>
      <c r="V848" s="224">
        <f>IF('WetLitterbags placem_collection'!G189="","",'WetLitterbags placem_collection'!G189)</f>
        <v>42815</v>
      </c>
      <c r="W848" s="225">
        <f t="shared" si="65"/>
        <v>52</v>
      </c>
      <c r="X848" s="223">
        <f t="shared" si="68"/>
        <v>0.36530000000000018</v>
      </c>
      <c r="Y848" s="223">
        <f t="shared" si="69"/>
        <v>0.29476662576271728</v>
      </c>
      <c r="Z848">
        <f>IFERROR(INDEX([1]Rainfall_Wet!$O$2:$O$217,MATCH(C848, [1]Rainfall_Wet!$A$2:$A$217,0)),"")</f>
        <v>188.24043152799999</v>
      </c>
      <c r="AA848" s="226">
        <v>25.96</v>
      </c>
      <c r="AB848" s="226">
        <v>8.9200000000000017</v>
      </c>
      <c r="AC848" s="226">
        <v>65.12</v>
      </c>
      <c r="AD848" s="227" t="s">
        <v>2651</v>
      </c>
      <c r="AE848" s="226">
        <v>3.6991621488417898</v>
      </c>
      <c r="AF848">
        <f>IF('WetLitterbags placem_collection'!AB189="","",'WetLitterbags placem_collection'!AB189)</f>
        <v>0.6</v>
      </c>
      <c r="AG848">
        <f>IF('WetLitterbags placem_collection'!Z189="","",'WetLitterbags placem_collection'!Z189)</f>
        <v>39.4</v>
      </c>
      <c r="AH848" s="236" t="str">
        <f>IF('WetLitterbags placem_collection'!AA189="","",'WetLitterbags placem_collection'!AA189)</f>
        <v>O</v>
      </c>
      <c r="AI848">
        <f>IF('WetLitterbags placem_collection'!AC189="","",'WetLitterbags placem_collection'!AC189)</f>
        <v>1</v>
      </c>
      <c r="AJ848">
        <f>AVERAGE('WetLitterbags placem_collection'!S189,'WetLitterbags placem_collection'!U189)</f>
        <v>14.2</v>
      </c>
      <c r="AK848">
        <f>AVERAGE('WetLitterbags placem_collection'!R189,'WetLitterbags placem_collection'!T189)</f>
        <v>33</v>
      </c>
      <c r="AL848">
        <f>INDEX([2]Coordinates!$B$2:$B$197,MATCH(I848,[2]Coordinates!$J$2:$J$197,0))</f>
        <v>-2.2785890289999999</v>
      </c>
      <c r="AM848">
        <f>INDEX([2]Coordinates!$C$2:$C$197,MATCH(I848,[2]Coordinates!$J$2:$J$197,0))</f>
        <v>34.031841999999997</v>
      </c>
      <c r="AN848" t="str">
        <f>IF(ISNUMBER(SEARCH("C", 'WetLitterbags placem_collection'!$Y189)),"YES","NO")</f>
        <v>NO</v>
      </c>
      <c r="AO848" t="str">
        <f>IF(ISNUMBER(SEARCH("H", 'WetLitterbags placem_collection'!$Y189)),"YES","NO")</f>
        <v>NO</v>
      </c>
      <c r="AP848" t="str">
        <f>IF(ISNUMBER(SEARCH("R", 'WetLitterbags placem_collection'!$Y189)),"YES","NO")</f>
        <v>NO</v>
      </c>
    </row>
    <row r="849" spans="1:42" ht="15" customHeight="1">
      <c r="A849" t="s">
        <v>3248</v>
      </c>
      <c r="B849" s="248" t="s">
        <v>2454</v>
      </c>
      <c r="C849" s="253">
        <f>'Dry_Litterbag Placem_Collection'!A190</f>
        <v>188</v>
      </c>
      <c r="D849" s="253" t="str">
        <f>'Dry_Litterbag Placem_Collection'!B190</f>
        <v>Handajega</v>
      </c>
      <c r="E849" s="253" t="s">
        <v>2454</v>
      </c>
      <c r="F849" s="253" t="s">
        <v>2645</v>
      </c>
      <c r="G849" s="253">
        <v>4</v>
      </c>
      <c r="H849" s="253" t="s">
        <v>3130</v>
      </c>
      <c r="I849" s="254" t="str">
        <f>'Dry_Litterbag Placem_Collection'!C190</f>
        <v>Wet_W4_T4</v>
      </c>
      <c r="J849" s="263" t="s">
        <v>2932</v>
      </c>
      <c r="K849" s="264" t="s">
        <v>298</v>
      </c>
      <c r="L849" s="221" t="str">
        <f>'WetLitterbags placem_collection'!Q190</f>
        <v>R222</v>
      </c>
      <c r="M849" s="223">
        <f>IFERROR(INDEX('Green_rooibos initial weight'!$C$5:$C$2000,MATCH(L849, 'Green_rooibos initial weight'!$A$5:$A$2000,0)),"")</f>
        <v>2.194</v>
      </c>
      <c r="N849" s="223">
        <f>IFERROR(M849-(TBIcalc!$H$9+TBIcalc!$H$10),"")</f>
        <v>1.9441999999999999</v>
      </c>
      <c r="O849" s="378">
        <f>AVERAGE(Ashed_controlls!$K$2:$K$11)</f>
        <v>5.5147656768714146</v>
      </c>
      <c r="P849" s="223">
        <f t="shared" si="66"/>
        <v>1.836981925710266</v>
      </c>
      <c r="Q849" s="223">
        <f>IFERROR(INDEX('Both teabags AfterWet'!$C$3:$C$840,MATCH(L849,'Both teabags AfterWet'!$A$3:$A$840,0)),"")</f>
        <v>1.5732999999999999</v>
      </c>
      <c r="R849" s="223">
        <f>IFERROR(IF(Q849&gt;0,Q849-(TBIcalc!$H$9),""),"")</f>
        <v>1.4226999999999999</v>
      </c>
      <c r="S849" s="223">
        <f>IFERROR(INDEX('Ashed teabags wet'!$K$2:$K$2000,MATCH(L849,'Ashed teabags wet'!$A$2:$A$2000,0)),"")</f>
        <v>3.2535885167466505</v>
      </c>
      <c r="T849" s="223">
        <f t="shared" si="67"/>
        <v>1.3764111961722452</v>
      </c>
      <c r="U849" s="224">
        <f>'WetLitterbags placem_collection'!E190</f>
        <v>42763</v>
      </c>
      <c r="V849" s="224">
        <f>IF('WetLitterbags placem_collection'!G190="","",'WetLitterbags placem_collection'!G190)</f>
        <v>42815</v>
      </c>
      <c r="W849" s="225">
        <f t="shared" si="65"/>
        <v>52</v>
      </c>
      <c r="X849" s="223">
        <f t="shared" si="68"/>
        <v>0.52150000000000007</v>
      </c>
      <c r="Y849" s="223">
        <f t="shared" si="69"/>
        <v>0.46057072953802081</v>
      </c>
      <c r="Z849">
        <f>IFERROR(INDEX([1]Rainfall_Wet!$O$2:$O$217,MATCH(C849, [1]Rainfall_Wet!$A$2:$A$217,0)),"")</f>
        <v>188.24043152799999</v>
      </c>
      <c r="AA849" s="226">
        <v>25.96</v>
      </c>
      <c r="AB849" s="226">
        <v>8.9200000000000017</v>
      </c>
      <c r="AC849" s="226">
        <v>65.12</v>
      </c>
      <c r="AD849" s="227" t="s">
        <v>2651</v>
      </c>
      <c r="AE849" s="226">
        <v>4.6991621488417898</v>
      </c>
      <c r="AF849">
        <f>IF('WetLitterbags placem_collection'!AB190="","",'WetLitterbags placem_collection'!AB190)</f>
        <v>2.2999999999999998</v>
      </c>
      <c r="AG849">
        <f>IF('WetLitterbags placem_collection'!Z190="","",'WetLitterbags placem_collection'!Z190)</f>
        <v>14.4</v>
      </c>
      <c r="AH849" s="236" t="str">
        <f>IF('WetLitterbags placem_collection'!AA190="","",'WetLitterbags placem_collection'!AA190)</f>
        <v>O</v>
      </c>
      <c r="AI849">
        <f>IF('WetLitterbags placem_collection'!AC190="","",'WetLitterbags placem_collection'!AC190)</f>
        <v>0</v>
      </c>
      <c r="AJ849">
        <f>AVERAGE('WetLitterbags placem_collection'!S190,'WetLitterbags placem_collection'!U190)</f>
        <v>10.45</v>
      </c>
      <c r="AK849">
        <f>AVERAGE('WetLitterbags placem_collection'!R190,'WetLitterbags placem_collection'!T190)</f>
        <v>34.15</v>
      </c>
      <c r="AL849">
        <f>INDEX([2]Coordinates!$B$2:$B$197,MATCH(I849,[2]Coordinates!$J$2:$J$197,0))</f>
        <v>-2.278422983</v>
      </c>
      <c r="AM849">
        <f>INDEX([2]Coordinates!$C$2:$C$197,MATCH(I849,[2]Coordinates!$J$2:$J$197,0))</f>
        <v>34.032261009999999</v>
      </c>
      <c r="AN849" t="str">
        <f>IF(ISNUMBER(SEARCH("C", 'WetLitterbags placem_collection'!$Y190)),"YES","NO")</f>
        <v>NO</v>
      </c>
      <c r="AO849" t="str">
        <f>IF(ISNUMBER(SEARCH("H", 'WetLitterbags placem_collection'!$Y190)),"YES","NO")</f>
        <v>NO</v>
      </c>
      <c r="AP849" t="str">
        <f>IF(ISNUMBER(SEARCH("R", 'WetLitterbags placem_collection'!$Y190)),"YES","NO")</f>
        <v>NO</v>
      </c>
    </row>
    <row r="850" spans="1:42" ht="15" customHeight="1">
      <c r="A850" t="s">
        <v>3248</v>
      </c>
      <c r="B850" s="248" t="s">
        <v>2454</v>
      </c>
      <c r="C850" s="253">
        <f>'Dry_Litterbag Placem_Collection'!A191</f>
        <v>189</v>
      </c>
      <c r="D850" s="253" t="str">
        <f>'Dry_Litterbag Placem_Collection'!B191</f>
        <v>Handajega</v>
      </c>
      <c r="E850" s="253" t="s">
        <v>2454</v>
      </c>
      <c r="F850" s="253" t="s">
        <v>2645</v>
      </c>
      <c r="G850" s="253">
        <v>4</v>
      </c>
      <c r="H850" s="253" t="s">
        <v>3130</v>
      </c>
      <c r="I850" s="254" t="str">
        <f>'Dry_Litterbag Placem_Collection'!C191</f>
        <v>Wet_W4_T5</v>
      </c>
      <c r="J850" s="263" t="s">
        <v>2932</v>
      </c>
      <c r="K850" s="264" t="s">
        <v>298</v>
      </c>
      <c r="L850" s="221" t="str">
        <f>'WetLitterbags placem_collection'!Q191</f>
        <v>R216</v>
      </c>
      <c r="M850" s="223">
        <f>IFERROR(INDEX('Green_rooibos initial weight'!$C$5:$C$2000,MATCH(L850, 'Green_rooibos initial weight'!$A$5:$A$2000,0)),"")</f>
        <v>2.1880000000000002</v>
      </c>
      <c r="N850" s="223">
        <f>IFERROR(M850-(TBIcalc!$H$9+TBIcalc!$H$10),"")</f>
        <v>1.9382000000000001</v>
      </c>
      <c r="O850" s="378">
        <f>AVERAGE(Ashed_controlls!$K$2:$K$11)</f>
        <v>5.5147656768714146</v>
      </c>
      <c r="P850" s="223">
        <f t="shared" si="66"/>
        <v>1.8313128116508783</v>
      </c>
      <c r="Q850" s="223">
        <f>IFERROR(INDEX('Both teabags AfterWet'!$C$3:$C$840,MATCH(L850,'Both teabags AfterWet'!$A$3:$A$840,0)),"")</f>
        <v>1.6973</v>
      </c>
      <c r="R850" s="223">
        <f>IFERROR(IF(Q850&gt;0,Q850-(TBIcalc!$H$9),""),"")</f>
        <v>1.5467</v>
      </c>
      <c r="S850" s="223">
        <f>IFERROR(INDEX('Ashed teabags wet'!$K$2:$K$2000,MATCH(L850,'Ashed teabags wet'!$A$2:$A$2000,0)),"")</f>
        <v>2.7254707631314172</v>
      </c>
      <c r="T850" s="223">
        <f t="shared" si="67"/>
        <v>1.5045451437066464</v>
      </c>
      <c r="U850" s="224">
        <f>'WetLitterbags placem_collection'!E191</f>
        <v>42763</v>
      </c>
      <c r="V850" s="224">
        <f>IF('WetLitterbags placem_collection'!G191="","",'WetLitterbags placem_collection'!G191)</f>
        <v>42815</v>
      </c>
      <c r="W850" s="225">
        <f t="shared" si="65"/>
        <v>52</v>
      </c>
      <c r="X850" s="223">
        <f t="shared" si="68"/>
        <v>0.39150000000000018</v>
      </c>
      <c r="Y850" s="223">
        <f t="shared" si="69"/>
        <v>0.32676766794423195</v>
      </c>
      <c r="Z850">
        <f>IFERROR(INDEX([1]Rainfall_Wet!$O$2:$O$217,MATCH(C850, [1]Rainfall_Wet!$A$2:$A$217,0)),"")</f>
        <v>188.24043152799999</v>
      </c>
      <c r="AA850" s="226">
        <v>25.96</v>
      </c>
      <c r="AB850" s="226">
        <v>8.9200000000000017</v>
      </c>
      <c r="AC850" s="226">
        <v>65.12</v>
      </c>
      <c r="AD850" s="227" t="s">
        <v>2651</v>
      </c>
      <c r="AE850" s="226">
        <v>5.6991621488417898</v>
      </c>
      <c r="AF850">
        <f>IF('WetLitterbags placem_collection'!AB191="","",'WetLitterbags placem_collection'!AB191)</f>
        <v>0.6</v>
      </c>
      <c r="AG850">
        <f>IF('WetLitterbags placem_collection'!Z191="","",'WetLitterbags placem_collection'!Z191)</f>
        <v>7</v>
      </c>
      <c r="AH850" s="236" t="str">
        <f>IF('WetLitterbags placem_collection'!AA191="","",'WetLitterbags placem_collection'!AA191)</f>
        <v>O</v>
      </c>
      <c r="AI850">
        <f>IF('WetLitterbags placem_collection'!AC191="","",'WetLitterbags placem_collection'!AC191)</f>
        <v>1</v>
      </c>
      <c r="AJ850">
        <f>AVERAGE('WetLitterbags placem_collection'!S191,'WetLitterbags placem_collection'!U191)</f>
        <v>13.6</v>
      </c>
      <c r="AK850">
        <f>AVERAGE('WetLitterbags placem_collection'!R191,'WetLitterbags placem_collection'!T191)</f>
        <v>30.6</v>
      </c>
      <c r="AL850">
        <f>INDEX([2]Coordinates!$B$2:$B$197,MATCH(I850,[2]Coordinates!$J$2:$J$197,0))</f>
        <v>-2.2787580080000001</v>
      </c>
      <c r="AM850">
        <f>INDEX([2]Coordinates!$C$2:$C$197,MATCH(I850,[2]Coordinates!$J$2:$J$197,0))</f>
        <v>34.032463010000001</v>
      </c>
      <c r="AN850" t="str">
        <f>IF(ISNUMBER(SEARCH("C", 'WetLitterbags placem_collection'!$Y191)),"YES","NO")</f>
        <v>NO</v>
      </c>
      <c r="AO850" t="str">
        <f>IF(ISNUMBER(SEARCH("H", 'WetLitterbags placem_collection'!$Y191)),"YES","NO")</f>
        <v>NO</v>
      </c>
      <c r="AP850" t="str">
        <f>IF(ISNUMBER(SEARCH("R", 'WetLitterbags placem_collection'!$Y191)),"YES","NO")</f>
        <v>YES</v>
      </c>
    </row>
    <row r="851" spans="1:42" ht="15" customHeight="1">
      <c r="A851" t="s">
        <v>3248</v>
      </c>
      <c r="B851" s="248" t="s">
        <v>2454</v>
      </c>
      <c r="C851" s="253">
        <f>'Dry_Litterbag Placem_Collection'!A192</f>
        <v>190</v>
      </c>
      <c r="D851" s="253" t="str">
        <f>'Dry_Litterbag Placem_Collection'!B192</f>
        <v>Handajega</v>
      </c>
      <c r="E851" s="253" t="s">
        <v>2454</v>
      </c>
      <c r="F851" s="253" t="s">
        <v>2645</v>
      </c>
      <c r="G851" s="253">
        <v>4</v>
      </c>
      <c r="H851" s="253" t="s">
        <v>3130</v>
      </c>
      <c r="I851" s="254" t="str">
        <f>'Dry_Litterbag Placem_Collection'!C192</f>
        <v>Wet_W4_T6</v>
      </c>
      <c r="J851" s="263" t="s">
        <v>2932</v>
      </c>
      <c r="K851" s="264" t="s">
        <v>298</v>
      </c>
      <c r="L851" s="221" t="str">
        <f>'WetLitterbags placem_collection'!Q192</f>
        <v>R232</v>
      </c>
      <c r="M851" s="223">
        <f>IFERROR(INDEX('Green_rooibos initial weight'!$C$5:$C$2000,MATCH(L851, 'Green_rooibos initial weight'!$A$5:$A$2000,0)),"")</f>
        <v>2.2440000000000002</v>
      </c>
      <c r="N851" s="223">
        <f>IFERROR(M851-(TBIcalc!$H$9+TBIcalc!$H$10),"")</f>
        <v>1.9942000000000002</v>
      </c>
      <c r="O851" s="378">
        <f>AVERAGE(Ashed_controlls!$K$2:$K$11)</f>
        <v>5.5147656768714146</v>
      </c>
      <c r="P851" s="223">
        <f t="shared" si="66"/>
        <v>1.8842245428718305</v>
      </c>
      <c r="Q851" s="223">
        <f>IFERROR(INDEX('Both teabags AfterWet'!$C$3:$C$840,MATCH(L851,'Both teabags AfterWet'!$A$3:$A$840,0)),"")</f>
        <v>1.7355</v>
      </c>
      <c r="R851" s="223">
        <f>IFERROR(IF(Q851&gt;0,Q851-(TBIcalc!$H$9),""),"")</f>
        <v>1.5849</v>
      </c>
      <c r="S851" s="223">
        <f>IFERROR(INDEX('Ashed teabags wet'!$K$2:$K$2000,MATCH(L851,'Ashed teabags wet'!$A$2:$A$2000,0)),"")</f>
        <v>2.2167487684728533</v>
      </c>
      <c r="T851" s="223">
        <f t="shared" si="67"/>
        <v>1.5497667487684736</v>
      </c>
      <c r="U851" s="224">
        <f>'WetLitterbags placem_collection'!E192</f>
        <v>42763</v>
      </c>
      <c r="V851" s="224">
        <f>IF('WetLitterbags placem_collection'!G192="","",'WetLitterbags placem_collection'!G192)</f>
        <v>42815</v>
      </c>
      <c r="W851" s="225">
        <f t="shared" si="65"/>
        <v>52</v>
      </c>
      <c r="X851" s="223">
        <f t="shared" si="68"/>
        <v>0.40930000000000022</v>
      </c>
      <c r="Y851" s="223">
        <f t="shared" si="69"/>
        <v>0.33445779410335685</v>
      </c>
      <c r="Z851">
        <f>IFERROR(INDEX([1]Rainfall_Wet!$O$2:$O$217,MATCH(C851, [1]Rainfall_Wet!$A$2:$A$217,0)),"")</f>
        <v>188.24043152799999</v>
      </c>
      <c r="AA851" s="226">
        <v>25.96</v>
      </c>
      <c r="AB851" s="226">
        <v>8.9200000000000017</v>
      </c>
      <c r="AC851" s="226">
        <v>65.12</v>
      </c>
      <c r="AD851" s="227" t="s">
        <v>2651</v>
      </c>
      <c r="AE851" s="226">
        <v>6.6991621488417898</v>
      </c>
      <c r="AF851">
        <f>IF('WetLitterbags placem_collection'!AB192="","",'WetLitterbags placem_collection'!AB192)</f>
        <v>9.5</v>
      </c>
      <c r="AG851">
        <f>IF('WetLitterbags placem_collection'!Z192="","",'WetLitterbags placem_collection'!Z192)</f>
        <v>17.399999999999999</v>
      </c>
      <c r="AH851" s="236" t="str">
        <f>IF('WetLitterbags placem_collection'!AA192="","",'WetLitterbags placem_collection'!AA192)</f>
        <v>O</v>
      </c>
      <c r="AI851">
        <f>IF('WetLitterbags placem_collection'!AC192="","",'WetLitterbags placem_collection'!AC192)</f>
        <v>0</v>
      </c>
      <c r="AJ851">
        <f>AVERAGE('WetLitterbags placem_collection'!S192,'WetLitterbags placem_collection'!U192)</f>
        <v>13.55</v>
      </c>
      <c r="AK851">
        <f>AVERAGE('WetLitterbags placem_collection'!R192,'WetLitterbags placem_collection'!T192)</f>
        <v>34.049999999999997</v>
      </c>
      <c r="AL851">
        <f>INDEX([2]Coordinates!$B$2:$B$197,MATCH(I851,[2]Coordinates!$J$2:$J$197,0))</f>
        <v>-2.2787559960000001</v>
      </c>
      <c r="AM851">
        <f>INDEX([2]Coordinates!$C$2:$C$197,MATCH(I851,[2]Coordinates!$J$2:$J$197,0))</f>
        <v>34.032268969999997</v>
      </c>
      <c r="AN851" t="str">
        <f>IF(ISNUMBER(SEARCH("C", 'WetLitterbags placem_collection'!$Y192)),"YES","NO")</f>
        <v>NO</v>
      </c>
      <c r="AO851" t="str">
        <f>IF(ISNUMBER(SEARCH("H", 'WetLitterbags placem_collection'!$Y192)),"YES","NO")</f>
        <v>NO</v>
      </c>
      <c r="AP851" t="str">
        <f>IF(ISNUMBER(SEARCH("R", 'WetLitterbags placem_collection'!$Y192)),"YES","NO")</f>
        <v>NO</v>
      </c>
    </row>
    <row r="852" spans="1:42" ht="15" customHeight="1">
      <c r="A852" t="s">
        <v>3248</v>
      </c>
      <c r="B852" s="248" t="s">
        <v>2454</v>
      </c>
      <c r="C852" s="253">
        <f>'Dry_Litterbag Placem_Collection'!A193</f>
        <v>191</v>
      </c>
      <c r="D852" s="253" t="str">
        <f>'Dry_Litterbag Placem_Collection'!B193</f>
        <v>Handajega</v>
      </c>
      <c r="E852" s="253" t="s">
        <v>2454</v>
      </c>
      <c r="F852" s="253" t="s">
        <v>2645</v>
      </c>
      <c r="G852" s="253">
        <v>4</v>
      </c>
      <c r="H852" s="253" t="s">
        <v>3130</v>
      </c>
      <c r="I852" s="254" t="str">
        <f>'Dry_Litterbag Placem_Collection'!C193</f>
        <v>Wet_W4_T7</v>
      </c>
      <c r="J852" s="263" t="s">
        <v>2932</v>
      </c>
      <c r="K852" s="264" t="s">
        <v>298</v>
      </c>
      <c r="L852" s="221" t="str">
        <f>'WetLitterbags placem_collection'!Q193</f>
        <v>R387</v>
      </c>
      <c r="M852" s="223">
        <f>IFERROR(INDEX('Green_rooibos initial weight'!$C$5:$C$2000,MATCH(L852, 'Green_rooibos initial weight'!$A$5:$A$2000,0)),"")</f>
        <v>2.1080000000000001</v>
      </c>
      <c r="N852" s="223">
        <f>IFERROR(M852-(TBIcalc!$H$9+TBIcalc!$H$10),"")</f>
        <v>1.8582000000000001</v>
      </c>
      <c r="O852" s="378">
        <f>AVERAGE(Ashed_controlls!$K$2:$K$11)</f>
        <v>5.5147656768714146</v>
      </c>
      <c r="P852" s="223">
        <f t="shared" si="66"/>
        <v>1.7557246241923754</v>
      </c>
      <c r="Q852" s="223">
        <f>IFERROR(INDEX('Both teabags AfterWet'!$C$3:$C$840,MATCH(L852,'Both teabags AfterWet'!$A$3:$A$840,0)),"")</f>
        <v>1.6520999999999999</v>
      </c>
      <c r="R852" s="223">
        <f>IFERROR(IF(Q852&gt;0,Q852-(TBIcalc!$H$9),""),"")</f>
        <v>1.5014999999999998</v>
      </c>
      <c r="S852" s="223">
        <f>IFERROR(INDEX('Ashed teabags wet'!$K$2:$K$2000,MATCH(L852,'Ashed teabags wet'!$A$2:$A$2000,0)),"")</f>
        <v>2.1414342629480405</v>
      </c>
      <c r="T852" s="223">
        <f t="shared" si="67"/>
        <v>1.469346364541835</v>
      </c>
      <c r="U852" s="224">
        <f>'WetLitterbags placem_collection'!E193</f>
        <v>42763</v>
      </c>
      <c r="V852" s="224">
        <f>IF('WetLitterbags placem_collection'!G193="","",'WetLitterbags placem_collection'!G193)</f>
        <v>42815</v>
      </c>
      <c r="W852" s="225">
        <f t="shared" si="65"/>
        <v>52</v>
      </c>
      <c r="X852" s="223">
        <f t="shared" si="68"/>
        <v>0.35670000000000024</v>
      </c>
      <c r="Y852" s="223">
        <f t="shared" si="69"/>
        <v>0.28637825965054042</v>
      </c>
      <c r="Z852">
        <f>IFERROR(INDEX([1]Rainfall_Wet!$O$2:$O$217,MATCH(C852, [1]Rainfall_Wet!$A$2:$A$217,0)),"")</f>
        <v>188.24043152799999</v>
      </c>
      <c r="AA852" s="226">
        <v>25.96</v>
      </c>
      <c r="AB852" s="226">
        <v>8.9200000000000017</v>
      </c>
      <c r="AC852" s="226">
        <v>65.12</v>
      </c>
      <c r="AD852" s="227" t="s">
        <v>2651</v>
      </c>
      <c r="AE852" s="226">
        <v>7.6991621488417898</v>
      </c>
      <c r="AF852">
        <f>IF('WetLitterbags placem_collection'!AB193="","",'WetLitterbags placem_collection'!AB193)</f>
        <v>12.4</v>
      </c>
      <c r="AG852">
        <f>IF('WetLitterbags placem_collection'!Z193="","",'WetLitterbags placem_collection'!Z193)</f>
        <v>29.8</v>
      </c>
      <c r="AH852" s="236" t="str">
        <f>IF('WetLitterbags placem_collection'!AA193="","",'WetLitterbags placem_collection'!AA193)</f>
        <v>O</v>
      </c>
      <c r="AI852">
        <f>IF('WetLitterbags placem_collection'!AC193="","",'WetLitterbags placem_collection'!AC193)</f>
        <v>0</v>
      </c>
      <c r="AJ852">
        <f>AVERAGE('WetLitterbags placem_collection'!S193,'WetLitterbags placem_collection'!U193)</f>
        <v>12.350000000000001</v>
      </c>
      <c r="AK852">
        <f>AVERAGE('WetLitterbags placem_collection'!R193,'WetLitterbags placem_collection'!T193)</f>
        <v>35</v>
      </c>
      <c r="AL852">
        <f>INDEX([2]Coordinates!$B$2:$B$197,MATCH(I852,[2]Coordinates!$J$2:$J$197,0))</f>
        <v>-2.278704029</v>
      </c>
      <c r="AM852">
        <f>INDEX([2]Coordinates!$C$2:$C$197,MATCH(I852,[2]Coordinates!$J$2:$J$197,0))</f>
        <v>34.032182970000001</v>
      </c>
      <c r="AN852" t="str">
        <f>IF(ISNUMBER(SEARCH("C", 'WetLitterbags placem_collection'!$Y193)),"YES","NO")</f>
        <v>NO</v>
      </c>
      <c r="AO852" t="str">
        <f>IF(ISNUMBER(SEARCH("H", 'WetLitterbags placem_collection'!$Y193)),"YES","NO")</f>
        <v>NO</v>
      </c>
      <c r="AP852" t="str">
        <f>IF(ISNUMBER(SEARCH("R", 'WetLitterbags placem_collection'!$Y193)),"YES","NO")</f>
        <v>NO</v>
      </c>
    </row>
    <row r="853" spans="1:42" ht="15" customHeight="1">
      <c r="A853" t="s">
        <v>3248</v>
      </c>
      <c r="B853" s="248" t="s">
        <v>2454</v>
      </c>
      <c r="C853" s="253">
        <f>'Dry_Litterbag Placem_Collection'!A194</f>
        <v>192</v>
      </c>
      <c r="D853" s="253" t="str">
        <f>'Dry_Litterbag Placem_Collection'!B194</f>
        <v>Handajega</v>
      </c>
      <c r="E853" s="253" t="s">
        <v>2454</v>
      </c>
      <c r="F853" s="253" t="s">
        <v>2645</v>
      </c>
      <c r="G853" s="253">
        <v>4</v>
      </c>
      <c r="H853" s="253" t="s">
        <v>3130</v>
      </c>
      <c r="I853" s="254" t="str">
        <f>'Dry_Litterbag Placem_Collection'!C194</f>
        <v>Wet_W4_T8</v>
      </c>
      <c r="J853" s="263" t="s">
        <v>2932</v>
      </c>
      <c r="K853" s="264" t="s">
        <v>298</v>
      </c>
      <c r="L853" s="221" t="str">
        <f>'WetLitterbags placem_collection'!Q194</f>
        <v>R346</v>
      </c>
      <c r="M853" s="223">
        <f>IFERROR(INDEX('Green_rooibos initial weight'!$C$5:$C$2000,MATCH(L853, 'Green_rooibos initial weight'!$A$5:$A$2000,0)),"")</f>
        <v>2.2349999999999999</v>
      </c>
      <c r="N853" s="223">
        <f>IFERROR(M853-(TBIcalc!$H$9+TBIcalc!$H$10),"")</f>
        <v>1.9851999999999999</v>
      </c>
      <c r="O853" s="378">
        <f>AVERAGE(Ashed_controlls!$K$2:$K$11)</f>
        <v>5.5147656768714146</v>
      </c>
      <c r="P853" s="223">
        <f t="shared" si="66"/>
        <v>1.8757208717827485</v>
      </c>
      <c r="Q853" s="223">
        <f>IFERROR(INDEX('Both teabags AfterWet'!$C$3:$C$840,MATCH(L853,'Both teabags AfterWet'!$A$3:$A$840,0)),"")</f>
        <v>1.6679999999999999</v>
      </c>
      <c r="R853" s="223">
        <f>IFERROR(IF(Q853&gt;0,Q853-(TBIcalc!$H$9),""),"")</f>
        <v>1.5173999999999999</v>
      </c>
      <c r="S853" s="223">
        <f>IFERROR(INDEX('Ashed teabags wet'!$K$2:$K$2000,MATCH(L853,'Ashed teabags wet'!$A$2:$A$2000,0)),"")</f>
        <v>2.8640776699025032</v>
      </c>
      <c r="T853" s="223">
        <f t="shared" si="67"/>
        <v>1.4739404854368994</v>
      </c>
      <c r="U853" s="224">
        <f>'WetLitterbags placem_collection'!E194</f>
        <v>42763</v>
      </c>
      <c r="V853" s="224">
        <f>IF('WetLitterbags placem_collection'!G194="","",'WetLitterbags placem_collection'!G194)</f>
        <v>42815</v>
      </c>
      <c r="W853" s="225">
        <f t="shared" si="65"/>
        <v>52</v>
      </c>
      <c r="X853" s="223">
        <f t="shared" si="68"/>
        <v>0.46779999999999999</v>
      </c>
      <c r="Y853" s="223">
        <f t="shared" si="69"/>
        <v>0.40178038634584912</v>
      </c>
      <c r="Z853">
        <f>IFERROR(INDEX([1]Rainfall_Wet!$O$2:$O$217,MATCH(C853, [1]Rainfall_Wet!$A$2:$A$217,0)),"")</f>
        <v>188.24043152799999</v>
      </c>
      <c r="AA853" s="226">
        <v>25.96</v>
      </c>
      <c r="AB853" s="226">
        <v>8.9200000000000017</v>
      </c>
      <c r="AC853" s="226">
        <v>65.12</v>
      </c>
      <c r="AD853" s="227" t="s">
        <v>2651</v>
      </c>
      <c r="AE853" s="226">
        <v>8.6991621488417898</v>
      </c>
      <c r="AF853">
        <f>IF('WetLitterbags placem_collection'!AB194="","",'WetLitterbags placem_collection'!AB194)</f>
        <v>3.6</v>
      </c>
      <c r="AG853">
        <f>IF('WetLitterbags placem_collection'!Z194="","",'WetLitterbags placem_collection'!Z194)</f>
        <v>37.799999999999997</v>
      </c>
      <c r="AH853" s="236" t="str">
        <f>IF('WetLitterbags placem_collection'!AA194="","",'WetLitterbags placem_collection'!AA194)</f>
        <v>O</v>
      </c>
      <c r="AI853">
        <f>IF('WetLitterbags placem_collection'!AC194="","",'WetLitterbags placem_collection'!AC194)</f>
        <v>0</v>
      </c>
      <c r="AJ853">
        <f>AVERAGE('WetLitterbags placem_collection'!S194,'WetLitterbags placem_collection'!U194)</f>
        <v>9.25</v>
      </c>
      <c r="AK853">
        <f>AVERAGE('WetLitterbags placem_collection'!R194,'WetLitterbags placem_collection'!T194)</f>
        <v>33.299999999999997</v>
      </c>
      <c r="AL853">
        <f>INDEX([2]Coordinates!$B$2:$B$197,MATCH(I853,[2]Coordinates!$J$2:$J$197,0))</f>
        <v>-2.2789770269999998</v>
      </c>
      <c r="AM853">
        <f>INDEX([2]Coordinates!$C$2:$C$197,MATCH(I853,[2]Coordinates!$J$2:$J$197,0))</f>
        <v>34.032051039999999</v>
      </c>
      <c r="AN853" t="str">
        <f>IF(ISNUMBER(SEARCH("C", 'WetLitterbags placem_collection'!$Y194)),"YES","NO")</f>
        <v>NO</v>
      </c>
      <c r="AO853" t="str">
        <f>IF(ISNUMBER(SEARCH("H", 'WetLitterbags placem_collection'!$Y194)),"YES","NO")</f>
        <v>NO</v>
      </c>
      <c r="AP853" t="str">
        <f>IF(ISNUMBER(SEARCH("R", 'WetLitterbags placem_collection'!$Y194)),"YES","NO")</f>
        <v>NO</v>
      </c>
    </row>
    <row r="854" spans="1:42" ht="15" customHeight="1">
      <c r="A854" t="s">
        <v>2490</v>
      </c>
      <c r="B854" s="248" t="s">
        <v>2454</v>
      </c>
      <c r="C854" s="253">
        <f>'Dry_Litterbag Placem_Collection'!A195</f>
        <v>193</v>
      </c>
      <c r="D854" s="253" t="str">
        <f>'Dry_Litterbag Placem_Collection'!B195</f>
        <v>Makao</v>
      </c>
      <c r="E854" s="253" t="s">
        <v>2643</v>
      </c>
      <c r="F854" s="253" t="s">
        <v>2644</v>
      </c>
      <c r="G854" s="253">
        <v>4</v>
      </c>
      <c r="H854" s="253" t="s">
        <v>3099</v>
      </c>
      <c r="I854" s="254" t="str">
        <f>'Dry_Litterbag Placem_Collection'!C195</f>
        <v>Dry_Ag1_CG4</v>
      </c>
      <c r="J854" s="263" t="s">
        <v>2932</v>
      </c>
      <c r="K854" s="264" t="s">
        <v>298</v>
      </c>
      <c r="L854" s="221" t="str">
        <f>'WetLitterbags placem_collection'!Q195</f>
        <v>R364</v>
      </c>
      <c r="M854" s="223">
        <f>IFERROR(INDEX('Green_rooibos initial weight'!$C$5:$C$2000,MATCH(L854, 'Green_rooibos initial weight'!$A$5:$A$2000,0)),"")</f>
        <v>2.234</v>
      </c>
      <c r="N854" s="223">
        <f>IFERROR(M854-(TBIcalc!$H$9+TBIcalc!$H$10),"")</f>
        <v>1.9842</v>
      </c>
      <c r="O854" s="378">
        <f>AVERAGE(Ashed_controlls!$K$2:$K$11)</f>
        <v>5.5147656768714146</v>
      </c>
      <c r="P854" s="223">
        <f t="shared" si="66"/>
        <v>1.8747760194395173</v>
      </c>
      <c r="Q854" s="223">
        <f>IFERROR(INDEX('Both teabags AfterWet'!$C$3:$C$840,MATCH(L854,'Both teabags AfterWet'!$A$3:$A$840,0)),"")</f>
        <v>1.3913</v>
      </c>
      <c r="R854" s="223">
        <f>IFERROR(IF(Q854&gt;0,Q854-(TBIcalc!$H$9),""),"")</f>
        <v>1.2406999999999999</v>
      </c>
      <c r="S854" s="223">
        <f>IFERROR(INDEX('Ashed teabags wet'!$K$2:$K$2000,MATCH(L854,'Ashed teabags wet'!$A$2:$A$2000,0)),"")</f>
        <v>3.461725987323931</v>
      </c>
      <c r="T854" s="223">
        <f t="shared" si="67"/>
        <v>1.1977503656752719</v>
      </c>
      <c r="U854" s="224">
        <f>'WetLitterbags placem_collection'!E195</f>
        <v>42769</v>
      </c>
      <c r="V854" s="224">
        <f>IF('WetLitterbags placem_collection'!G195="","",'WetLitterbags placem_collection'!G195)</f>
        <v>42813</v>
      </c>
      <c r="W854" s="225">
        <f t="shared" si="65"/>
        <v>44</v>
      </c>
      <c r="X854" s="223">
        <f t="shared" si="68"/>
        <v>0.74350000000000005</v>
      </c>
      <c r="Y854" s="223">
        <f t="shared" si="69"/>
        <v>0.67702565376424539</v>
      </c>
      <c r="Z854">
        <f>IFERROR(INDEX([1]Rainfall_Wet!$O$2:$O$217,MATCH(C854, [1]Rainfall_Wet!$A$2:$A$217,0)),"")</f>
        <v>175.054685654</v>
      </c>
      <c r="AA854" s="226">
        <v>12.565665055683967</v>
      </c>
      <c r="AB854" s="226">
        <v>0.9665896196679955</v>
      </c>
      <c r="AC854" s="226">
        <v>86.467745324648035</v>
      </c>
      <c r="AD854" s="227" t="s">
        <v>2653</v>
      </c>
      <c r="AE854" s="226">
        <v>1.0225726959093147</v>
      </c>
      <c r="AF854">
        <f>IF('WetLitterbags placem_collection'!AB195="","",'WetLitterbags placem_collection'!AB195)</f>
        <v>15.2</v>
      </c>
      <c r="AG854">
        <f>IF('WetLitterbags placem_collection'!Z195="","",'WetLitterbags placem_collection'!Z195)</f>
        <v>12.2</v>
      </c>
      <c r="AH854" s="236" t="str">
        <f>IF('WetLitterbags placem_collection'!AA195="","",'WetLitterbags placem_collection'!AA195)</f>
        <v>O</v>
      </c>
      <c r="AI854">
        <f>IF('WetLitterbags placem_collection'!AC195="","",'WetLitterbags placem_collection'!AC195)</f>
        <v>1</v>
      </c>
      <c r="AJ854">
        <f>AVERAGE('WetLitterbags placem_collection'!S195,'WetLitterbags placem_collection'!U195)</f>
        <v>22.4</v>
      </c>
      <c r="AK854">
        <f>AVERAGE('WetLitterbags placem_collection'!R195,'WetLitterbags placem_collection'!T195)</f>
        <v>28.95</v>
      </c>
      <c r="AL854">
        <v>-2.4396949910000001</v>
      </c>
      <c r="AM854">
        <v>34.838574029999997</v>
      </c>
      <c r="AN854" t="str">
        <f>IF(ISNUMBER(SEARCH("C", 'WetLitterbags placem_collection'!$Y195)),"YES","NO")</f>
        <v>NO</v>
      </c>
      <c r="AO854" t="str">
        <f>IF(ISNUMBER(SEARCH("H", 'WetLitterbags placem_collection'!$Y195)),"YES","NO")</f>
        <v>NO</v>
      </c>
      <c r="AP854" t="str">
        <f>IF(ISNUMBER(SEARCH("R", 'WetLitterbags placem_collection'!$Y195)),"YES","NO")</f>
        <v>NO</v>
      </c>
    </row>
    <row r="855" spans="1:42" ht="15" customHeight="1">
      <c r="A855" t="s">
        <v>2490</v>
      </c>
      <c r="B855" s="248" t="s">
        <v>2454</v>
      </c>
      <c r="C855" s="253">
        <f>'Dry_Litterbag Placem_Collection'!A196</f>
        <v>194</v>
      </c>
      <c r="D855" s="253" t="str">
        <f>'Dry_Litterbag Placem_Collection'!B196</f>
        <v>Makao</v>
      </c>
      <c r="E855" s="253" t="s">
        <v>2643</v>
      </c>
      <c r="F855" s="253" t="s">
        <v>2644</v>
      </c>
      <c r="G855" s="253">
        <v>3</v>
      </c>
      <c r="H855" s="253" t="s">
        <v>3103</v>
      </c>
      <c r="I855" s="254" t="str">
        <f>'Dry_Litterbag Placem_Collection'!C196</f>
        <v>Dry_Ag2_CG3</v>
      </c>
      <c r="J855" s="263" t="s">
        <v>2932</v>
      </c>
      <c r="K855" s="264" t="s">
        <v>298</v>
      </c>
      <c r="L855" s="221" t="str">
        <f>'WetLitterbags placem_collection'!Q196</f>
        <v>R167</v>
      </c>
      <c r="M855" s="223">
        <f>IFERROR(INDEX('Green_rooibos initial weight'!$C$5:$C$2000,MATCH(L855, 'Green_rooibos initial weight'!$A$5:$A$2000,0)),"")</f>
        <v>2.177</v>
      </c>
      <c r="N855" s="223">
        <f>IFERROR(M855-(TBIcalc!$H$9+TBIcalc!$H$10),"")</f>
        <v>1.9272</v>
      </c>
      <c r="O855" s="378">
        <f>AVERAGE(Ashed_controlls!$K$2:$K$11)</f>
        <v>5.5147656768714146</v>
      </c>
      <c r="P855" s="223">
        <f t="shared" si="66"/>
        <v>1.8209194358753342</v>
      </c>
      <c r="Q855" s="223">
        <f>IFERROR(INDEX('Both teabags AfterWet'!$C$3:$C$840,MATCH(L855,'Both teabags AfterWet'!$A$3:$A$840,0)),"")</f>
        <v>1.4750000000000001</v>
      </c>
      <c r="R855" s="223">
        <f>IFERROR(IF(Q855&gt;0,Q855-(TBIcalc!$H$9),""),"")</f>
        <v>1.3244</v>
      </c>
      <c r="S855" s="223">
        <f>IFERROR(INDEX('Ashed teabags wet'!$K$2:$K$2000,MATCH(L855,'Ashed teabags wet'!$A$2:$A$2000,0)),"")</f>
        <v>3.2435129740522455</v>
      </c>
      <c r="T855" s="223">
        <f t="shared" si="67"/>
        <v>1.2814429141716521</v>
      </c>
      <c r="U855" s="224">
        <f>'WetLitterbags placem_collection'!E196</f>
        <v>42769</v>
      </c>
      <c r="V855" s="224">
        <f>IF('WetLitterbags placem_collection'!G196="","",'WetLitterbags placem_collection'!G196)</f>
        <v>42813</v>
      </c>
      <c r="W855" s="225">
        <f t="shared" si="65"/>
        <v>44</v>
      </c>
      <c r="X855" s="223">
        <f t="shared" si="68"/>
        <v>0.6028</v>
      </c>
      <c r="Y855" s="223">
        <f t="shared" si="69"/>
        <v>0.5394765217036821</v>
      </c>
      <c r="Z855">
        <f>IFERROR(INDEX([1]Rainfall_Wet!$O$2:$O$217,MATCH(C855, [1]Rainfall_Wet!$A$2:$A$217,0)),"")</f>
        <v>175.054685654</v>
      </c>
      <c r="AA855" s="226">
        <v>21.13063730679653</v>
      </c>
      <c r="AB855" s="226">
        <v>3.0912555579081076</v>
      </c>
      <c r="AC855" s="226">
        <v>75.778107135295357</v>
      </c>
      <c r="AD855" s="227" t="s">
        <v>2651</v>
      </c>
      <c r="AE855" s="226">
        <v>0.46131099063578063</v>
      </c>
      <c r="AF855">
        <f>IF('WetLitterbags placem_collection'!AB196="","",'WetLitterbags placem_collection'!AB196)</f>
        <v>7.9</v>
      </c>
      <c r="AG855">
        <f>IF('WetLitterbags placem_collection'!Z196="","",'WetLitterbags placem_collection'!Z196)</f>
        <v>7.9</v>
      </c>
      <c r="AH855" s="236" t="str">
        <f>IF('WetLitterbags placem_collection'!AA196="","",'WetLitterbags placem_collection'!AA196)</f>
        <v>O</v>
      </c>
      <c r="AI855">
        <f>IF('WetLitterbags placem_collection'!AC196="","",'WetLitterbags placem_collection'!AC196)</f>
        <v>1</v>
      </c>
      <c r="AJ855">
        <f>AVERAGE('WetLitterbags placem_collection'!S196,'WetLitterbags placem_collection'!U196)</f>
        <v>19.600000000000001</v>
      </c>
      <c r="AK855">
        <f>AVERAGE('WetLitterbags placem_collection'!R196,'WetLitterbags placem_collection'!T196)</f>
        <v>29.3</v>
      </c>
      <c r="AL855">
        <v>-2.4395990190000001</v>
      </c>
      <c r="AM855">
        <v>34.838418959999998</v>
      </c>
      <c r="AN855" t="str">
        <f>IF(ISNUMBER(SEARCH("C", 'WetLitterbags placem_collection'!$Y196)),"YES","NO")</f>
        <v>NO</v>
      </c>
      <c r="AO855" t="str">
        <f>IF(ISNUMBER(SEARCH("H", 'WetLitterbags placem_collection'!$Y196)),"YES","NO")</f>
        <v>NO</v>
      </c>
      <c r="AP855" t="str">
        <f>IF(ISNUMBER(SEARCH("R", 'WetLitterbags placem_collection'!$Y196)),"YES","NO")</f>
        <v>YES</v>
      </c>
    </row>
    <row r="856" spans="1:42" ht="15" customHeight="1">
      <c r="A856" t="s">
        <v>2490</v>
      </c>
      <c r="B856" s="248" t="s">
        <v>2454</v>
      </c>
      <c r="C856" s="253">
        <f>'Dry_Litterbag Placem_Collection'!A197</f>
        <v>195</v>
      </c>
      <c r="D856" s="253" t="str">
        <f>'Dry_Litterbag Placem_Collection'!B197</f>
        <v>Makao</v>
      </c>
      <c r="E856" s="253" t="s">
        <v>2643</v>
      </c>
      <c r="F856" s="253" t="s">
        <v>2644</v>
      </c>
      <c r="G856" s="253">
        <v>2</v>
      </c>
      <c r="H856" s="253" t="s">
        <v>3104</v>
      </c>
      <c r="I856" s="254" t="str">
        <f>'Dry_Litterbag Placem_Collection'!C197</f>
        <v>Dry_Ag3_CG2</v>
      </c>
      <c r="J856" s="263" t="s">
        <v>2932</v>
      </c>
      <c r="K856" s="264" t="s">
        <v>298</v>
      </c>
      <c r="L856" s="221" t="str">
        <f>'WetLitterbags placem_collection'!Q197</f>
        <v>R25</v>
      </c>
      <c r="M856" s="223">
        <f>IFERROR(INDEX('Green_rooibos initial weight'!$C$5:$C$2000,MATCH(L856, 'Green_rooibos initial weight'!$A$5:$A$2000,0)),"")</f>
        <v>2.16</v>
      </c>
      <c r="N856" s="223">
        <f>IFERROR(M856-(TBIcalc!$H$9+TBIcalc!$H$10),"")</f>
        <v>1.9102000000000001</v>
      </c>
      <c r="O856" s="378">
        <f>AVERAGE(Ashed_controlls!$K$2:$K$11)</f>
        <v>5.5147656768714146</v>
      </c>
      <c r="P856" s="223">
        <f t="shared" si="66"/>
        <v>1.8048569460404023</v>
      </c>
      <c r="Q856" s="223">
        <f>IFERROR(INDEX('Both teabags AfterWet'!$C$3:$C$840,MATCH(L856,'Both teabags AfterWet'!$A$3:$A$840,0)),"")</f>
        <v>1.3527</v>
      </c>
      <c r="R856" s="223">
        <f>IFERROR(IF(Q856&gt;0,Q856-(TBIcalc!$H$9),""),"")</f>
        <v>1.2020999999999999</v>
      </c>
      <c r="S856" s="223">
        <f>IFERROR(INDEX('Ashed teabags wet'!$K$2:$K$2000,MATCH(L856,'Ashed teabags wet'!$A$2:$A$2000,0)),"")</f>
        <v>4.592085979482369</v>
      </c>
      <c r="T856" s="223">
        <f t="shared" si="67"/>
        <v>1.1468985344406424</v>
      </c>
      <c r="U856" s="224">
        <f>'WetLitterbags placem_collection'!E197</f>
        <v>42769</v>
      </c>
      <c r="V856" s="224">
        <f>IF('WetLitterbags placem_collection'!G197="","",'WetLitterbags placem_collection'!G197)</f>
        <v>42814</v>
      </c>
      <c r="W856" s="225">
        <f t="shared" si="65"/>
        <v>45</v>
      </c>
      <c r="X856" s="223">
        <f t="shared" si="68"/>
        <v>0.70810000000000017</v>
      </c>
      <c r="Y856" s="223">
        <f t="shared" si="69"/>
        <v>0.65795841159975987</v>
      </c>
      <c r="Z856">
        <f>IFERROR(INDEX([1]Rainfall_Wet!$O$2:$O$217,MATCH(C856, [1]Rainfall_Wet!$A$2:$A$217,0)),"")</f>
        <v>175.377105089</v>
      </c>
      <c r="AA856" s="226">
        <v>54.080969906906262</v>
      </c>
      <c r="AB856" s="226">
        <v>21.264484651351896</v>
      </c>
      <c r="AC856" s="226">
        <v>24.654545441741845</v>
      </c>
      <c r="AD856" s="227" t="s">
        <v>2654</v>
      </c>
      <c r="AE856" s="226">
        <v>1.8433218334154755</v>
      </c>
      <c r="AF856">
        <f>IF('WetLitterbags placem_collection'!AB197="","",'WetLitterbags placem_collection'!AB197)</f>
        <v>5.13</v>
      </c>
      <c r="AG856">
        <f>IF('WetLitterbags placem_collection'!Z197="","",'WetLitterbags placem_collection'!Z197)</f>
        <v>5.13</v>
      </c>
      <c r="AH856" s="236" t="str">
        <f>IF('WetLitterbags placem_collection'!AA197="","",'WetLitterbags placem_collection'!AA197)</f>
        <v>O</v>
      </c>
      <c r="AI856">
        <f>IF('WetLitterbags placem_collection'!AC197="","",'WetLitterbags placem_collection'!AC197)</f>
        <v>1</v>
      </c>
      <c r="AJ856">
        <f>AVERAGE('WetLitterbags placem_collection'!S197,'WetLitterbags placem_collection'!U197)</f>
        <v>29.700000000000003</v>
      </c>
      <c r="AK856">
        <f>AVERAGE('WetLitterbags placem_collection'!R197,'WetLitterbags placem_collection'!T197)</f>
        <v>24.35</v>
      </c>
      <c r="AL856">
        <v>-2.4396450349999999</v>
      </c>
      <c r="AM856">
        <v>34.83836599</v>
      </c>
      <c r="AN856" t="str">
        <f>IF(ISNUMBER(SEARCH("C", 'WetLitterbags placem_collection'!$Y197)),"YES","NO")</f>
        <v>NO</v>
      </c>
      <c r="AO856" t="str">
        <f>IF(ISNUMBER(SEARCH("H", 'WetLitterbags placem_collection'!$Y197)),"YES","NO")</f>
        <v>NO</v>
      </c>
      <c r="AP856" t="str">
        <f>IF(ISNUMBER(SEARCH("R", 'WetLitterbags placem_collection'!$Y197)),"YES","NO")</f>
        <v>NO</v>
      </c>
    </row>
    <row r="857" spans="1:42" ht="15" customHeight="1">
      <c r="A857" t="s">
        <v>2490</v>
      </c>
      <c r="B857" s="248" t="s">
        <v>2454</v>
      </c>
      <c r="C857" s="253">
        <f>'Dry_Litterbag Placem_Collection'!A198</f>
        <v>196</v>
      </c>
      <c r="D857" s="253" t="str">
        <f>'Dry_Litterbag Placem_Collection'!B198</f>
        <v>Makao</v>
      </c>
      <c r="E857" s="253" t="s">
        <v>2643</v>
      </c>
      <c r="F857" s="253" t="s">
        <v>2644</v>
      </c>
      <c r="G857" s="253">
        <v>1</v>
      </c>
      <c r="H857" s="253" t="s">
        <v>3105</v>
      </c>
      <c r="I857" s="254" t="str">
        <f>'Dry_Litterbag Placem_Collection'!C198</f>
        <v>Dry_Ag4_CG1</v>
      </c>
      <c r="J857" s="263" t="s">
        <v>2932</v>
      </c>
      <c r="K857" s="264" t="s">
        <v>298</v>
      </c>
      <c r="L857" s="221" t="str">
        <f>'WetLitterbags placem_collection'!Q198</f>
        <v>R362</v>
      </c>
      <c r="M857" s="223">
        <f>IFERROR(INDEX('Green_rooibos initial weight'!$C$5:$C$2000,MATCH(L857, 'Green_rooibos initial weight'!$A$5:$A$2000,0)),"")</f>
        <v>2.246</v>
      </c>
      <c r="N857" s="223">
        <f>IFERROR(M857-(TBIcalc!$H$9+TBIcalc!$H$10),"")</f>
        <v>1.9962</v>
      </c>
      <c r="O857" s="378">
        <f>AVERAGE(Ashed_controlls!$K$2:$K$11)</f>
        <v>5.5147656768714146</v>
      </c>
      <c r="P857" s="223">
        <f t="shared" si="66"/>
        <v>1.8861142475582928</v>
      </c>
      <c r="Q857" s="223">
        <f>IFERROR(INDEX('Both teabags AfterWet'!$C$3:$C$840,MATCH(L857,'Both teabags AfterWet'!$A$3:$A$840,0)),"")</f>
        <v>1.5253000000000001</v>
      </c>
      <c r="R857" s="223">
        <f>IFERROR(IF(Q857&gt;0,Q857-(TBIcalc!$H$9),""),"")</f>
        <v>1.3747</v>
      </c>
      <c r="S857" s="223">
        <f>IFERROR(INDEX('Ashed teabags wet'!$K$2:$K$2000,MATCH(L857,'Ashed teabags wet'!$A$2:$A$2000,0)),"")</f>
        <v>3.690944881888675</v>
      </c>
      <c r="T857" s="223">
        <f t="shared" si="67"/>
        <v>1.3239605807086765</v>
      </c>
      <c r="U857" s="224">
        <f>'WetLitterbags placem_collection'!E198</f>
        <v>42769</v>
      </c>
      <c r="V857" s="224">
        <f>IF('WetLitterbags placem_collection'!G198="","",'WetLitterbags placem_collection'!G198)</f>
        <v>42814</v>
      </c>
      <c r="W857" s="225">
        <f t="shared" si="65"/>
        <v>45</v>
      </c>
      <c r="X857" s="223">
        <f t="shared" si="68"/>
        <v>0.62149999999999994</v>
      </c>
      <c r="Y857" s="223">
        <f t="shared" si="69"/>
        <v>0.56215366684961632</v>
      </c>
      <c r="Z857">
        <f>IFERROR(INDEX([1]Rainfall_Wet!$O$2:$O$217,MATCH(C857, [1]Rainfall_Wet!$A$2:$A$217,0)),"")</f>
        <v>175.377105089</v>
      </c>
      <c r="AA857" s="226">
        <v>51.960000000000008</v>
      </c>
      <c r="AB857" s="226">
        <v>18.919999999999995</v>
      </c>
      <c r="AC857" s="226">
        <v>29.120000000000005</v>
      </c>
      <c r="AD857" s="227" t="s">
        <v>2654</v>
      </c>
      <c r="AE857" s="226">
        <v>1.85293247905372</v>
      </c>
      <c r="AF857">
        <f>IF('WetLitterbags placem_collection'!AB198="","",'WetLitterbags placem_collection'!AB198)</f>
        <v>13.8</v>
      </c>
      <c r="AG857">
        <f>IF('WetLitterbags placem_collection'!Z198="","",'WetLitterbags placem_collection'!Z198)</f>
        <v>17.399999999999999</v>
      </c>
      <c r="AH857" s="236" t="str">
        <f>IF('WetLitterbags placem_collection'!AA198="","",'WetLitterbags placem_collection'!AA198)</f>
        <v>O</v>
      </c>
      <c r="AI857">
        <f>IF('WetLitterbags placem_collection'!AC198="","",'WetLitterbags placem_collection'!AC198)</f>
        <v>1</v>
      </c>
      <c r="AJ857">
        <f>AVERAGE('WetLitterbags placem_collection'!S198,'WetLitterbags placem_collection'!U198)</f>
        <v>23.75</v>
      </c>
      <c r="AK857">
        <f>AVERAGE('WetLitterbags placem_collection'!R198,'WetLitterbags placem_collection'!T198)</f>
        <v>25.25</v>
      </c>
      <c r="AL857">
        <v>-2.439403972</v>
      </c>
      <c r="AM857">
        <v>34.838404959999998</v>
      </c>
      <c r="AN857" t="str">
        <f>IF(ISNUMBER(SEARCH("C", 'WetLitterbags placem_collection'!$Y198)),"YES","NO")</f>
        <v>NO</v>
      </c>
      <c r="AO857" t="str">
        <f>IF(ISNUMBER(SEARCH("H", 'WetLitterbags placem_collection'!$Y198)),"YES","NO")</f>
        <v>NO</v>
      </c>
      <c r="AP857" t="str">
        <f>IF(ISNUMBER(SEARCH("R", 'WetLitterbags placem_collection'!$Y198)),"YES","NO")</f>
        <v>NO</v>
      </c>
    </row>
    <row r="858" spans="1:42" ht="15" customHeight="1">
      <c r="A858" t="s">
        <v>2490</v>
      </c>
      <c r="B858" s="248" t="s">
        <v>2454</v>
      </c>
      <c r="C858" s="253">
        <f>'Dry_Litterbag Placem_Collection'!A199</f>
        <v>197</v>
      </c>
      <c r="D858" s="253" t="str">
        <f>'Dry_Litterbag Placem_Collection'!B199</f>
        <v>Makao</v>
      </c>
      <c r="E858" s="253" t="s">
        <v>2643</v>
      </c>
      <c r="F858" s="253" t="s">
        <v>20</v>
      </c>
      <c r="G858" s="253">
        <v>2</v>
      </c>
      <c r="H858" s="253" t="s">
        <v>3106</v>
      </c>
      <c r="I858" s="254" t="str">
        <f>'Dry_Litterbag Placem_Collection'!C199</f>
        <v>Dry_P1_CG2</v>
      </c>
      <c r="J858" s="263" t="s">
        <v>2932</v>
      </c>
      <c r="K858" s="264" t="s">
        <v>298</v>
      </c>
      <c r="L858" s="221" t="str">
        <f>'WetLitterbags placem_collection'!Q199</f>
        <v>R370</v>
      </c>
      <c r="M858" s="223">
        <f>IFERROR(INDEX('Green_rooibos initial weight'!$C$5:$C$2000,MATCH(L858, 'Green_rooibos initial weight'!$A$5:$A$2000,0)),"")</f>
        <v>2.2290000000000001</v>
      </c>
      <c r="N858" s="223">
        <f>IFERROR(M858-(TBIcalc!$H$9+TBIcalc!$H$10),"")</f>
        <v>1.9792000000000001</v>
      </c>
      <c r="O858" s="378">
        <f>AVERAGE(Ashed_controlls!$K$2:$K$11)</f>
        <v>5.5147656768714146</v>
      </c>
      <c r="P858" s="223">
        <f t="shared" si="66"/>
        <v>1.8700517577233611</v>
      </c>
      <c r="Q858" s="223">
        <f>IFERROR(INDEX('Both teabags AfterWet'!$C$3:$C$840,MATCH(L858,'Both teabags AfterWet'!$A$3:$A$840,0)),"")</f>
        <v>1.488</v>
      </c>
      <c r="R858" s="223">
        <f>IFERROR(IF(Q858&gt;0,Q858-(TBIcalc!$H$9),""),"")</f>
        <v>1.3373999999999999</v>
      </c>
      <c r="S858" s="223">
        <f>IFERROR(INDEX('Ashed teabags wet'!$K$2:$K$2000,MATCH(L858,'Ashed teabags wet'!$A$2:$A$2000,0)),"")</f>
        <v>5.0682261208581973</v>
      </c>
      <c r="T858" s="223">
        <f t="shared" si="67"/>
        <v>1.2696175438596424</v>
      </c>
      <c r="U858" s="224">
        <f>'WetLitterbags placem_collection'!E199</f>
        <v>42769</v>
      </c>
      <c r="V858" s="224">
        <f>IF('WetLitterbags placem_collection'!G199="","",'WetLitterbags placem_collection'!G199)</f>
        <v>42814</v>
      </c>
      <c r="W858" s="225">
        <f t="shared" si="65"/>
        <v>45</v>
      </c>
      <c r="X858" s="223">
        <f t="shared" si="68"/>
        <v>0.64180000000000015</v>
      </c>
      <c r="Y858" s="223">
        <f t="shared" si="69"/>
        <v>0.60043421386371865</v>
      </c>
      <c r="Z858">
        <f>IFERROR(INDEX([1]Rainfall_Wet!$O$2:$O$217,MATCH(C858, [1]Rainfall_Wet!$A$2:$A$217,0)),"")</f>
        <v>175.377105089</v>
      </c>
      <c r="AA858" s="226">
        <v>23.96</v>
      </c>
      <c r="AB858" s="226">
        <v>0.91999999999999804</v>
      </c>
      <c r="AC858" s="226">
        <v>75.12</v>
      </c>
      <c r="AD858" s="227" t="s">
        <v>2651</v>
      </c>
      <c r="AE858" s="226">
        <v>1.2493839329719072</v>
      </c>
      <c r="AF858">
        <f>IF('WetLitterbags placem_collection'!AB199="","",'WetLitterbags placem_collection'!AB199)</f>
        <v>5.13</v>
      </c>
      <c r="AG858">
        <f>IF('WetLitterbags placem_collection'!Z199="","",'WetLitterbags placem_collection'!Z199)</f>
        <v>5.13</v>
      </c>
      <c r="AH858" s="236" t="str">
        <f>IF('WetLitterbags placem_collection'!AA199="","",'WetLitterbags placem_collection'!AA199)</f>
        <v>O</v>
      </c>
      <c r="AI858">
        <f>IF('WetLitterbags placem_collection'!AC199="","",'WetLitterbags placem_collection'!AC199)</f>
        <v>1</v>
      </c>
      <c r="AJ858">
        <f>AVERAGE('WetLitterbags placem_collection'!S199,'WetLitterbags placem_collection'!U199)</f>
        <v>22.85</v>
      </c>
      <c r="AK858">
        <f>AVERAGE('WetLitterbags placem_collection'!R199,'WetLitterbags placem_collection'!T199)</f>
        <v>24.4</v>
      </c>
      <c r="AL858">
        <v>-2.4396450349999999</v>
      </c>
      <c r="AM858">
        <v>34.83836599</v>
      </c>
      <c r="AN858" t="str">
        <f>IF(ISNUMBER(SEARCH("C", 'WetLitterbags placem_collection'!$Y199)),"YES","NO")</f>
        <v>NO</v>
      </c>
      <c r="AO858" t="str">
        <f>IF(ISNUMBER(SEARCH("H", 'WetLitterbags placem_collection'!$Y199)),"YES","NO")</f>
        <v>NO</v>
      </c>
      <c r="AP858" t="str">
        <f>IF(ISNUMBER(SEARCH("R", 'WetLitterbags placem_collection'!$Y199)),"YES","NO")</f>
        <v>YES</v>
      </c>
    </row>
    <row r="859" spans="1:42" ht="15" customHeight="1">
      <c r="A859" t="s">
        <v>2490</v>
      </c>
      <c r="B859" s="248" t="s">
        <v>2454</v>
      </c>
      <c r="C859" s="253">
        <f>'Dry_Litterbag Placem_Collection'!A200</f>
        <v>198</v>
      </c>
      <c r="D859" s="253" t="str">
        <f>'Dry_Litterbag Placem_Collection'!B200</f>
        <v>Makao</v>
      </c>
      <c r="E859" s="253" t="s">
        <v>2643</v>
      </c>
      <c r="F859" s="253" t="s">
        <v>20</v>
      </c>
      <c r="G859" s="253">
        <v>3</v>
      </c>
      <c r="H859" s="253" t="s">
        <v>3108</v>
      </c>
      <c r="I859" s="254" t="str">
        <f>'Dry_Litterbag Placem_Collection'!C200</f>
        <v>Dry_P2_CG3</v>
      </c>
      <c r="J859" s="263" t="s">
        <v>2932</v>
      </c>
      <c r="K859" s="264" t="s">
        <v>298</v>
      </c>
      <c r="L859" s="221" t="str">
        <f>'WetLitterbags placem_collection'!Q200</f>
        <v>R168</v>
      </c>
      <c r="M859" s="223">
        <f>IFERROR(INDEX('Green_rooibos initial weight'!$C$5:$C$2000,MATCH(L859, 'Green_rooibos initial weight'!$A$5:$A$2000,0)),"")</f>
        <v>2.1459999999999999</v>
      </c>
      <c r="N859" s="223">
        <f>IFERROR(M859-(TBIcalc!$H$9+TBIcalc!$H$10),"")</f>
        <v>1.8961999999999999</v>
      </c>
      <c r="O859" s="378">
        <f>AVERAGE(Ashed_controlls!$K$2:$K$11)</f>
        <v>5.5147656768714146</v>
      </c>
      <c r="P859" s="223">
        <f t="shared" si="66"/>
        <v>1.7916290132351642</v>
      </c>
      <c r="Q859" s="223">
        <f>IFERROR(INDEX('Both teabags AfterWet'!$C$3:$C$840,MATCH(L859,'Both teabags AfterWet'!$A$3:$A$840,0)),"")</f>
        <v>1.5734999999999999</v>
      </c>
      <c r="R859" s="223">
        <f>IFERROR(IF(Q859&gt;0,Q859-(TBIcalc!$H$9),""),"")</f>
        <v>1.4228999999999998</v>
      </c>
      <c r="S859" s="223">
        <f>IFERROR(INDEX('Ashed teabags wet'!$K$2:$K$2000,MATCH(L859,'Ashed teabags wet'!$A$2:$A$2000,0)),"")</f>
        <v>3.118908382066123</v>
      </c>
      <c r="T859" s="223">
        <f t="shared" si="67"/>
        <v>1.378521052631581</v>
      </c>
      <c r="U859" s="224">
        <f>'WetLitterbags placem_collection'!E200</f>
        <v>42769</v>
      </c>
      <c r="V859" s="224">
        <f>IF('WetLitterbags placem_collection'!G200="","",'WetLitterbags placem_collection'!G200)</f>
        <v>42813</v>
      </c>
      <c r="W859" s="225">
        <f t="shared" si="65"/>
        <v>44</v>
      </c>
      <c r="X859" s="223">
        <f t="shared" si="68"/>
        <v>0.47330000000000005</v>
      </c>
      <c r="Y859" s="223">
        <f t="shared" si="69"/>
        <v>0.41310796060358324</v>
      </c>
      <c r="Z859">
        <f>IFERROR(INDEX([1]Rainfall_Wet!$O$2:$O$217,MATCH(C859, [1]Rainfall_Wet!$A$2:$A$217,0)),"")</f>
        <v>175.054685654</v>
      </c>
      <c r="AA859" s="226">
        <v>19.96</v>
      </c>
      <c r="AB859" s="226">
        <v>4.9199999999999982</v>
      </c>
      <c r="AC859" s="226">
        <v>75.12</v>
      </c>
      <c r="AD859" s="227" t="s">
        <v>2652</v>
      </c>
      <c r="AE859" s="226">
        <v>1.641498275012321</v>
      </c>
      <c r="AF859">
        <f>IF('WetLitterbags placem_collection'!AB200="","",'WetLitterbags placem_collection'!AB200)</f>
        <v>7.9</v>
      </c>
      <c r="AG859">
        <f>IF('WetLitterbags placem_collection'!Z200="","",'WetLitterbags placem_collection'!Z200)</f>
        <v>7.9</v>
      </c>
      <c r="AH859" s="236" t="str">
        <f>IF('WetLitterbags placem_collection'!AA200="","",'WetLitterbags placem_collection'!AA200)</f>
        <v>O</v>
      </c>
      <c r="AI859">
        <f>IF('WetLitterbags placem_collection'!AC200="","",'WetLitterbags placem_collection'!AC200)</f>
        <v>1</v>
      </c>
      <c r="AJ859">
        <f>AVERAGE('WetLitterbags placem_collection'!S200,'WetLitterbags placem_collection'!U200)</f>
        <v>20.9</v>
      </c>
      <c r="AK859">
        <f>AVERAGE('WetLitterbags placem_collection'!R200,'WetLitterbags placem_collection'!T200)</f>
        <v>27.45</v>
      </c>
      <c r="AL859">
        <v>-2.4395990190000001</v>
      </c>
      <c r="AM859">
        <v>34.838418959999998</v>
      </c>
      <c r="AN859" t="str">
        <f>IF(ISNUMBER(SEARCH("C", 'WetLitterbags placem_collection'!$Y200)),"YES","NO")</f>
        <v>NO</v>
      </c>
      <c r="AO859" t="str">
        <f>IF(ISNUMBER(SEARCH("H", 'WetLitterbags placem_collection'!$Y200)),"YES","NO")</f>
        <v>NO</v>
      </c>
      <c r="AP859" t="str">
        <f>IF(ISNUMBER(SEARCH("R", 'WetLitterbags placem_collection'!$Y200)),"YES","NO")</f>
        <v>YES</v>
      </c>
    </row>
    <row r="860" spans="1:42" ht="15" customHeight="1">
      <c r="A860" t="s">
        <v>2490</v>
      </c>
      <c r="B860" s="248" t="s">
        <v>2454</v>
      </c>
      <c r="C860" s="253">
        <f>'Dry_Litterbag Placem_Collection'!A201</f>
        <v>199</v>
      </c>
      <c r="D860" s="253" t="str">
        <f>'Dry_Litterbag Placem_Collection'!B201</f>
        <v>Makao</v>
      </c>
      <c r="E860" s="253" t="s">
        <v>2643</v>
      </c>
      <c r="F860" s="253" t="s">
        <v>20</v>
      </c>
      <c r="G860" s="253">
        <v>1</v>
      </c>
      <c r="H860" s="253" t="s">
        <v>3109</v>
      </c>
      <c r="I860" s="254" t="str">
        <f>'Dry_Litterbag Placem_Collection'!C201</f>
        <v>Dry_P3_CG1</v>
      </c>
      <c r="J860" s="263" t="s">
        <v>2932</v>
      </c>
      <c r="K860" s="264" t="s">
        <v>298</v>
      </c>
      <c r="L860" s="221" t="str">
        <f>'WetLitterbags placem_collection'!Q201</f>
        <v>R369</v>
      </c>
      <c r="M860" s="223">
        <f>IFERROR(INDEX('Green_rooibos initial weight'!$C$5:$C$2000,MATCH(L860, 'Green_rooibos initial weight'!$A$5:$A$2000,0)),"")</f>
        <v>2.2400000000000002</v>
      </c>
      <c r="N860" s="223">
        <f>IFERROR(M860-(TBIcalc!$H$9+TBIcalc!$H$10),"")</f>
        <v>1.9902000000000002</v>
      </c>
      <c r="O860" s="378">
        <f>AVERAGE(Ashed_controlls!$K$2:$K$11)</f>
        <v>5.5147656768714146</v>
      </c>
      <c r="P860" s="223">
        <f t="shared" si="66"/>
        <v>1.8804451334989052</v>
      </c>
      <c r="Q860" s="223">
        <f>IFERROR(INDEX('Both teabags AfterWet'!$C$3:$C$840,MATCH(L860,'Both teabags AfterWet'!$A$3:$A$840,0)),"")</f>
        <v>1.667</v>
      </c>
      <c r="R860" s="223">
        <f>IFERROR(IF(Q860&gt;0,Q860-(TBIcalc!$H$9),""),"")</f>
        <v>1.5164</v>
      </c>
      <c r="S860" s="223">
        <f>IFERROR(INDEX('Ashed teabags wet'!$K$2:$K$2000,MATCH(L860,'Ashed teabags wet'!$A$2:$A$2000,0)),"")</f>
        <v>2.8245787908823141</v>
      </c>
      <c r="T860" s="223">
        <f t="shared" si="67"/>
        <v>1.4735680872150605</v>
      </c>
      <c r="U860" s="224">
        <f>'WetLitterbags placem_collection'!E201</f>
        <v>42769</v>
      </c>
      <c r="V860" s="224">
        <f>IF('WetLitterbags placem_collection'!G201="","",'WetLitterbags placem_collection'!G201)</f>
        <v>42814</v>
      </c>
      <c r="W860" s="225">
        <f t="shared" si="65"/>
        <v>45</v>
      </c>
      <c r="X860" s="223">
        <f t="shared" si="68"/>
        <v>0.47380000000000022</v>
      </c>
      <c r="Y860" s="223">
        <f t="shared" si="69"/>
        <v>0.40687704628384469</v>
      </c>
      <c r="Z860">
        <f>IFERROR(INDEX([1]Rainfall_Wet!$O$2:$O$217,MATCH(C860, [1]Rainfall_Wet!$A$2:$A$217,0)),"")</f>
        <v>175.377105089</v>
      </c>
      <c r="AA860" s="226">
        <v>21.96</v>
      </c>
      <c r="AB860" s="226">
        <v>8.9199999999999982</v>
      </c>
      <c r="AC860" s="226">
        <v>69.12</v>
      </c>
      <c r="AD860" s="227" t="s">
        <v>2651</v>
      </c>
      <c r="AE860" s="226">
        <v>1.7491375061606702</v>
      </c>
      <c r="AF860">
        <f>IF('WetLitterbags placem_collection'!AB201="","",'WetLitterbags placem_collection'!AB201)</f>
        <v>13.8</v>
      </c>
      <c r="AG860">
        <f>IF('WetLitterbags placem_collection'!Z201="","",'WetLitterbags placem_collection'!Z201)</f>
        <v>17.399999999999999</v>
      </c>
      <c r="AH860" s="236" t="str">
        <f>IF('WetLitterbags placem_collection'!AA201="","",'WetLitterbags placem_collection'!AA201)</f>
        <v>O</v>
      </c>
      <c r="AI860">
        <f>IF('WetLitterbags placem_collection'!AC201="","",'WetLitterbags placem_collection'!AC201)</f>
        <v>1</v>
      </c>
      <c r="AJ860">
        <f>AVERAGE('WetLitterbags placem_collection'!S201,'WetLitterbags placem_collection'!U201)</f>
        <v>18.149999999999999</v>
      </c>
      <c r="AK860">
        <f>AVERAGE('WetLitterbags placem_collection'!R201,'WetLitterbags placem_collection'!T201)</f>
        <v>24.549999999999997</v>
      </c>
      <c r="AL860">
        <v>-2.439403972</v>
      </c>
      <c r="AM860">
        <v>34.838404959999998</v>
      </c>
      <c r="AN860" t="str">
        <f>IF(ISNUMBER(SEARCH("C", 'WetLitterbags placem_collection'!$Y201)),"YES","NO")</f>
        <v>NO</v>
      </c>
      <c r="AO860" t="str">
        <f>IF(ISNUMBER(SEARCH("H", 'WetLitterbags placem_collection'!$Y201)),"YES","NO")</f>
        <v>NO</v>
      </c>
      <c r="AP860" t="str">
        <f>IF(ISNUMBER(SEARCH("R", 'WetLitterbags placem_collection'!$Y201)),"YES","NO")</f>
        <v>YES</v>
      </c>
    </row>
    <row r="861" spans="1:42" ht="15" customHeight="1">
      <c r="A861" t="s">
        <v>2490</v>
      </c>
      <c r="B861" s="248" t="s">
        <v>2454</v>
      </c>
      <c r="C861" s="253">
        <f>'Dry_Litterbag Placem_Collection'!A202</f>
        <v>200</v>
      </c>
      <c r="D861" s="253" t="str">
        <f>'Dry_Litterbag Placem_Collection'!B202</f>
        <v>Makao</v>
      </c>
      <c r="E861" s="253" t="s">
        <v>2643</v>
      </c>
      <c r="F861" s="253" t="s">
        <v>20</v>
      </c>
      <c r="G861" s="253">
        <v>4</v>
      </c>
      <c r="H861" s="253" t="s">
        <v>3110</v>
      </c>
      <c r="I861" s="254" t="str">
        <f>'Dry_Litterbag Placem_Collection'!C202</f>
        <v>Dry_P4_CG4</v>
      </c>
      <c r="J861" s="263" t="s">
        <v>2932</v>
      </c>
      <c r="K861" s="264" t="s">
        <v>298</v>
      </c>
      <c r="L861" s="221" t="str">
        <f>'WetLitterbags placem_collection'!Q202</f>
        <v>R359</v>
      </c>
      <c r="M861" s="223">
        <f>IFERROR(INDEX('Green_rooibos initial weight'!$C$5:$C$2000,MATCH(L861, 'Green_rooibos initial weight'!$A$5:$A$2000,0)),"")</f>
        <v>2.198</v>
      </c>
      <c r="N861" s="223">
        <f>IFERROR(M861-(TBIcalc!$H$9+TBIcalc!$H$10),"")</f>
        <v>1.9481999999999999</v>
      </c>
      <c r="O861" s="378">
        <f>AVERAGE(Ashed_controlls!$K$2:$K$11)</f>
        <v>5.5147656768714146</v>
      </c>
      <c r="P861" s="223">
        <f t="shared" si="66"/>
        <v>1.8407613350831911</v>
      </c>
      <c r="Q861" s="223">
        <f>IFERROR(INDEX('Both teabags AfterWet'!$C$3:$C$840,MATCH(L861,'Both teabags AfterWet'!$A$3:$A$840,0)),"")</f>
        <v>1.4882</v>
      </c>
      <c r="R861" s="223">
        <f>IFERROR(IF(Q861&gt;0,Q861-(TBIcalc!$H$9),""),"")</f>
        <v>1.3375999999999999</v>
      </c>
      <c r="S861" s="223">
        <f>IFERROR(INDEX('Ashed teabags wet'!$K$2:$K$2000,MATCH(L861,'Ashed teabags wet'!$A$2:$A$2000,0)),"")</f>
        <v>4.0291262135925576</v>
      </c>
      <c r="T861" s="223">
        <f t="shared" si="67"/>
        <v>1.2837064077669857</v>
      </c>
      <c r="U861" s="224">
        <f>'WetLitterbags placem_collection'!E202</f>
        <v>42769</v>
      </c>
      <c r="V861" s="224">
        <f>IF('WetLitterbags placem_collection'!G202="","",'WetLitterbags placem_collection'!G202)</f>
        <v>42813</v>
      </c>
      <c r="W861" s="225">
        <f t="shared" si="65"/>
        <v>44</v>
      </c>
      <c r="X861" s="223">
        <f t="shared" si="68"/>
        <v>0.61060000000000003</v>
      </c>
      <c r="Y861" s="223">
        <f t="shared" si="69"/>
        <v>0.55705492731620532</v>
      </c>
      <c r="Z861">
        <f>IFERROR(INDEX([1]Rainfall_Wet!$O$2:$O$217,MATCH(C861, [1]Rainfall_Wet!$A$2:$A$217,0)),"")</f>
        <v>175.054685654</v>
      </c>
      <c r="AA861" s="226">
        <v>25.96</v>
      </c>
      <c r="AB861" s="226">
        <v>6.9200000000000008</v>
      </c>
      <c r="AC861" s="226">
        <v>67.12</v>
      </c>
      <c r="AD861" s="227" t="s">
        <v>2651</v>
      </c>
      <c r="AE861" s="226">
        <v>1.7568260226712666</v>
      </c>
      <c r="AF861">
        <f>IF('WetLitterbags placem_collection'!AB202="","",'WetLitterbags placem_collection'!AB202)</f>
        <v>15.2</v>
      </c>
      <c r="AG861">
        <f>IF('WetLitterbags placem_collection'!Z202="","",'WetLitterbags placem_collection'!Z202)</f>
        <v>12.2</v>
      </c>
      <c r="AH861" s="236" t="str">
        <f>IF('WetLitterbags placem_collection'!AA202="","",'WetLitterbags placem_collection'!AA202)</f>
        <v>O</v>
      </c>
      <c r="AI861">
        <f>IF('WetLitterbags placem_collection'!AC202="","",'WetLitterbags placem_collection'!AC202)</f>
        <v>1</v>
      </c>
      <c r="AJ861">
        <f>AVERAGE('WetLitterbags placem_collection'!S202,'WetLitterbags placem_collection'!U202)</f>
        <v>22.799999999999997</v>
      </c>
      <c r="AK861">
        <f>AVERAGE('WetLitterbags placem_collection'!R202,'WetLitterbags placem_collection'!T202)</f>
        <v>27.9</v>
      </c>
      <c r="AL861">
        <v>-2.4396949910000001</v>
      </c>
      <c r="AM861">
        <v>34.838574029999997</v>
      </c>
      <c r="AN861" t="str">
        <f>IF(ISNUMBER(SEARCH("C", 'WetLitterbags placem_collection'!$Y202)),"YES","NO")</f>
        <v>NO</v>
      </c>
      <c r="AO861" t="str">
        <f>IF(ISNUMBER(SEARCH("H", 'WetLitterbags placem_collection'!$Y202)),"YES","NO")</f>
        <v>NO</v>
      </c>
      <c r="AP861" t="str">
        <f>IF(ISNUMBER(SEARCH("R", 'WetLitterbags placem_collection'!$Y202)),"YES","NO")</f>
        <v>YES</v>
      </c>
    </row>
    <row r="862" spans="1:42" ht="15" customHeight="1">
      <c r="A862" t="s">
        <v>2490</v>
      </c>
      <c r="B862" s="248" t="s">
        <v>2454</v>
      </c>
      <c r="C862" s="253">
        <f>'Dry_Litterbag Placem_Collection'!A203</f>
        <v>201</v>
      </c>
      <c r="D862" s="253" t="str">
        <f>'Dry_Litterbag Placem_Collection'!B203</f>
        <v>Maswa</v>
      </c>
      <c r="E862" s="253" t="s">
        <v>2643</v>
      </c>
      <c r="F862" s="253" t="s">
        <v>2645</v>
      </c>
      <c r="G862" s="253">
        <v>4</v>
      </c>
      <c r="H862" s="253" t="s">
        <v>3114</v>
      </c>
      <c r="I862" s="254" t="str">
        <f>'Dry_Litterbag Placem_Collection'!C203</f>
        <v>Dry_W3_CG4</v>
      </c>
      <c r="J862" s="263" t="s">
        <v>2932</v>
      </c>
      <c r="K862" s="264" t="s">
        <v>298</v>
      </c>
      <c r="L862" s="221" t="str">
        <f>'WetLitterbags placem_collection'!Q203</f>
        <v>R395</v>
      </c>
      <c r="M862" s="223">
        <f>IFERROR(INDEX('Green_rooibos initial weight'!$C$5:$C$2000,MATCH(L862, 'Green_rooibos initial weight'!$A$5:$A$2000,0)),"")</f>
        <v>2.1280000000000001</v>
      </c>
      <c r="N862" s="223">
        <f>IFERROR(M862-(TBIcalc!$H$9+TBIcalc!$H$10),"")</f>
        <v>1.8782000000000001</v>
      </c>
      <c r="O862" s="378">
        <f>AVERAGE(Ashed_controlls!$K$2:$K$11)</f>
        <v>5.5147656768714146</v>
      </c>
      <c r="P862" s="223">
        <f t="shared" si="66"/>
        <v>1.7746216710570011</v>
      </c>
      <c r="Q862" s="223">
        <f>IFERROR(INDEX('Both teabags AfterWet'!$C$3:$C$840,MATCH(L862,'Both teabags AfterWet'!$A$3:$A$840,0)),"")</f>
        <v>1.5786</v>
      </c>
      <c r="R862" s="223">
        <f>IFERROR(IF(Q862&gt;0,Q862-(TBIcalc!$H$9),""),"")</f>
        <v>1.4279999999999999</v>
      </c>
      <c r="S862" s="223">
        <f>IFERROR(INDEX('Ashed teabags wet'!$K$2:$K$2000,MATCH(L862,'Ashed teabags wet'!$A$2:$A$2000,0)),"")</f>
        <v>3.0123456790120686</v>
      </c>
      <c r="T862" s="223">
        <f t="shared" si="67"/>
        <v>1.3849837037037076</v>
      </c>
      <c r="U862" s="224">
        <f>'WetLitterbags placem_collection'!E203</f>
        <v>42769</v>
      </c>
      <c r="V862" s="224">
        <f>IF('WetLitterbags placem_collection'!G203="","",'WetLitterbags placem_collection'!G203)</f>
        <v>42813</v>
      </c>
      <c r="W862" s="225">
        <f t="shared" si="65"/>
        <v>44</v>
      </c>
      <c r="X862" s="223">
        <f t="shared" si="68"/>
        <v>0.45020000000000016</v>
      </c>
      <c r="Y862" s="223">
        <f t="shared" si="69"/>
        <v>0.38963796735329348</v>
      </c>
      <c r="Z862">
        <f>IFERROR(INDEX([1]Rainfall_Wet!$O$2:$O$217,MATCH(C862, [1]Rainfall_Wet!$A$2:$A$217,0)),"")</f>
        <v>175.054685654</v>
      </c>
      <c r="AA862" s="226">
        <v>38.691629007962128</v>
      </c>
      <c r="AB862" s="226">
        <v>26.81299763288143</v>
      </c>
      <c r="AC862" s="226">
        <v>34.495373359156439</v>
      </c>
      <c r="AD862" s="227" t="s">
        <v>2656</v>
      </c>
      <c r="AE862" s="226">
        <v>2.5483587974371611</v>
      </c>
      <c r="AF862">
        <f>IF('WetLitterbags placem_collection'!AB203="","",'WetLitterbags placem_collection'!AB203)</f>
        <v>15.2</v>
      </c>
      <c r="AG862">
        <f>IF('WetLitterbags placem_collection'!Z203="","",'WetLitterbags placem_collection'!Z203)</f>
        <v>12.2</v>
      </c>
      <c r="AH862" s="236" t="str">
        <f>IF('WetLitterbags placem_collection'!AA203="","",'WetLitterbags placem_collection'!AA203)</f>
        <v>O</v>
      </c>
      <c r="AI862">
        <f>IF('WetLitterbags placem_collection'!AC203="","",'WetLitterbags placem_collection'!AC203)</f>
        <v>1</v>
      </c>
      <c r="AJ862">
        <f>AVERAGE('WetLitterbags placem_collection'!S203,'WetLitterbags placem_collection'!U203)</f>
        <v>22</v>
      </c>
      <c r="AK862">
        <f>AVERAGE('WetLitterbags placem_collection'!R203,'WetLitterbags placem_collection'!T203)</f>
        <v>28</v>
      </c>
      <c r="AL862">
        <v>-2.4396949910000001</v>
      </c>
      <c r="AM862">
        <v>34.838574029999997</v>
      </c>
      <c r="AN862" t="str">
        <f>IF(ISNUMBER(SEARCH("C", 'WetLitterbags placem_collection'!$Y203)),"YES","NO")</f>
        <v>NO</v>
      </c>
      <c r="AO862" t="str">
        <f>IF(ISNUMBER(SEARCH("H", 'WetLitterbags placem_collection'!$Y203)),"YES","NO")</f>
        <v>NO</v>
      </c>
      <c r="AP862" t="str">
        <f>IF(ISNUMBER(SEARCH("R", 'WetLitterbags placem_collection'!$Y203)),"YES","NO")</f>
        <v>NO</v>
      </c>
    </row>
    <row r="863" spans="1:42" ht="15" customHeight="1">
      <c r="A863" t="s">
        <v>2490</v>
      </c>
      <c r="B863" s="248" t="s">
        <v>2454</v>
      </c>
      <c r="C863" s="253">
        <f>'Dry_Litterbag Placem_Collection'!A204</f>
        <v>202</v>
      </c>
      <c r="D863" s="253" t="str">
        <f>'Dry_Litterbag Placem_Collection'!B204</f>
        <v>Maswa</v>
      </c>
      <c r="E863" s="253" t="s">
        <v>2643</v>
      </c>
      <c r="F863" s="253" t="s">
        <v>2645</v>
      </c>
      <c r="G863" s="253">
        <v>1</v>
      </c>
      <c r="H863" s="253" t="s">
        <v>3113</v>
      </c>
      <c r="I863" s="254" t="str">
        <f>'Dry_Litterbag Placem_Collection'!C204</f>
        <v>Dry_W2_CG1</v>
      </c>
      <c r="J863" s="263" t="s">
        <v>2932</v>
      </c>
      <c r="K863" s="264" t="s">
        <v>298</v>
      </c>
      <c r="L863" s="221" t="str">
        <f>'WetLitterbags placem_collection'!Q204</f>
        <v>R182</v>
      </c>
      <c r="M863" s="223">
        <f>IFERROR(INDEX('Green_rooibos initial weight'!$C$5:$C$2000,MATCH(L863, 'Green_rooibos initial weight'!$A$5:$A$2000,0)),"")</f>
        <v>2.161</v>
      </c>
      <c r="N863" s="223">
        <f>IFERROR(M863-(TBIcalc!$H$9+TBIcalc!$H$10),"")</f>
        <v>1.9112</v>
      </c>
      <c r="O863" s="378">
        <f>AVERAGE(Ashed_controlls!$K$2:$K$11)</f>
        <v>5.5147656768714146</v>
      </c>
      <c r="P863" s="223">
        <f t="shared" si="66"/>
        <v>1.8058017983836336</v>
      </c>
      <c r="Q863" s="223">
        <f>IFERROR(INDEX('Both teabags AfterWet'!$C$3:$C$840,MATCH(L863,'Both teabags AfterWet'!$A$3:$A$840,0)),"")</f>
        <v>1.679</v>
      </c>
      <c r="R863" s="223">
        <f>IFERROR(IF(Q863&gt;0,Q863-(TBIcalc!$H$9),""),"")</f>
        <v>1.5284</v>
      </c>
      <c r="S863" s="223">
        <f>IFERROR(INDEX('Ashed teabags wet'!$K$2:$K$2000,MATCH(L863,'Ashed teabags wet'!$A$2:$A$2000,0)),"")</f>
        <v>3.9234919077970858</v>
      </c>
      <c r="T863" s="223">
        <f t="shared" si="67"/>
        <v>1.4684333496812294</v>
      </c>
      <c r="U863" s="224">
        <f>'WetLitterbags placem_collection'!E204</f>
        <v>42769</v>
      </c>
      <c r="V863" s="224">
        <f>IF('WetLitterbags placem_collection'!G204="","",'WetLitterbags placem_collection'!G204)</f>
        <v>42814</v>
      </c>
      <c r="W863" s="225">
        <f t="shared" si="65"/>
        <v>45</v>
      </c>
      <c r="X863" s="223">
        <f t="shared" si="68"/>
        <v>0.38280000000000003</v>
      </c>
      <c r="Y863" s="223">
        <f t="shared" si="69"/>
        <v>0.33736844870240423</v>
      </c>
      <c r="Z863">
        <f>IFERROR(INDEX([1]Rainfall_Wet!$O$2:$O$217,MATCH(C863, [1]Rainfall_Wet!$A$2:$A$217,0)),"")</f>
        <v>175.377105089</v>
      </c>
      <c r="AA863" s="226">
        <v>45.272914521112256</v>
      </c>
      <c r="AB863" s="226">
        <v>23.604531410916575</v>
      </c>
      <c r="AC863" s="226">
        <v>31.122554067971166</v>
      </c>
      <c r="AD863" s="227" t="s">
        <v>2654</v>
      </c>
      <c r="AE863" s="226">
        <v>2.0547560374568752</v>
      </c>
      <c r="AF863">
        <f>IF('WetLitterbags placem_collection'!AB204="","",'WetLitterbags placem_collection'!AB204)</f>
        <v>13.8</v>
      </c>
      <c r="AG863">
        <f>IF('WetLitterbags placem_collection'!Z204="","",'WetLitterbags placem_collection'!Z204)</f>
        <v>17.399999999999999</v>
      </c>
      <c r="AH863" s="236" t="str">
        <f>IF('WetLitterbags placem_collection'!AA204="","",'WetLitterbags placem_collection'!AA204)</f>
        <v>O</v>
      </c>
      <c r="AI863">
        <f>IF('WetLitterbags placem_collection'!AC204="","",'WetLitterbags placem_collection'!AC204)</f>
        <v>1</v>
      </c>
      <c r="AJ863">
        <f>AVERAGE('WetLitterbags placem_collection'!S204,'WetLitterbags placem_collection'!U204)</f>
        <v>20.65</v>
      </c>
      <c r="AK863">
        <f>AVERAGE('WetLitterbags placem_collection'!R204,'WetLitterbags placem_collection'!T204)</f>
        <v>24.1</v>
      </c>
      <c r="AL863">
        <v>-2.439403972</v>
      </c>
      <c r="AM863">
        <v>34.838404959999998</v>
      </c>
      <c r="AN863" t="str">
        <f>IF(ISNUMBER(SEARCH("C", 'WetLitterbags placem_collection'!$Y204)),"YES","NO")</f>
        <v>NO</v>
      </c>
      <c r="AO863" t="str">
        <f>IF(ISNUMBER(SEARCH("H", 'WetLitterbags placem_collection'!$Y204)),"YES","NO")</f>
        <v>NO</v>
      </c>
      <c r="AP863" t="str">
        <f>IF(ISNUMBER(SEARCH("R", 'WetLitterbags placem_collection'!$Y204)),"YES","NO")</f>
        <v>NO</v>
      </c>
    </row>
    <row r="864" spans="1:42" ht="15" customHeight="1">
      <c r="A864" t="s">
        <v>2490</v>
      </c>
      <c r="B864" s="248" t="s">
        <v>2454</v>
      </c>
      <c r="C864" s="253">
        <f>'Dry_Litterbag Placem_Collection'!A205</f>
        <v>203</v>
      </c>
      <c r="D864" s="253" t="str">
        <f>'Dry_Litterbag Placem_Collection'!B205</f>
        <v>Maswa</v>
      </c>
      <c r="E864" s="253" t="s">
        <v>2643</v>
      </c>
      <c r="F864" s="253" t="s">
        <v>2645</v>
      </c>
      <c r="G864" s="253">
        <v>2</v>
      </c>
      <c r="H864" s="253" t="s">
        <v>3111</v>
      </c>
      <c r="I864" s="254" t="str">
        <f>'Dry_Litterbag Placem_Collection'!C205</f>
        <v>Dry_W1_CG2</v>
      </c>
      <c r="J864" s="263" t="s">
        <v>2932</v>
      </c>
      <c r="K864" s="264" t="s">
        <v>298</v>
      </c>
      <c r="L864" s="221" t="str">
        <f>'WetLitterbags placem_collection'!Q205</f>
        <v>R342</v>
      </c>
      <c r="M864" s="223">
        <f>IFERROR(INDEX('Green_rooibos initial weight'!$C$5:$C$2000,MATCH(L864, 'Green_rooibos initial weight'!$A$5:$A$2000,0)),"")</f>
        <v>2.2450000000000001</v>
      </c>
      <c r="N864" s="223">
        <f>IFERROR(M864-(TBIcalc!$H$9+TBIcalc!$H$10),"")</f>
        <v>1.9952000000000001</v>
      </c>
      <c r="O864" s="378">
        <f>AVERAGE(Ashed_controlls!$K$2:$K$11)</f>
        <v>5.5147656768714146</v>
      </c>
      <c r="P864" s="223">
        <f t="shared" si="66"/>
        <v>1.8851693952150617</v>
      </c>
      <c r="Q864" s="223">
        <f>IFERROR(INDEX('Both teabags AfterWet'!$C$3:$C$840,MATCH(L864,'Both teabags AfterWet'!$A$3:$A$840,0)),"")</f>
        <v>1.5906</v>
      </c>
      <c r="R864" s="223">
        <f>IFERROR(IF(Q864&gt;0,Q864-(TBIcalc!$H$9),""),"")</f>
        <v>1.44</v>
      </c>
      <c r="S864" s="223">
        <f>IFERROR(INDEX('Ashed teabags wet'!$K$2:$K$2000,MATCH(L864,'Ashed teabags wet'!$A$2:$A$2000,0)),"")</f>
        <v>3.642714570858145</v>
      </c>
      <c r="T864" s="223">
        <f t="shared" si="67"/>
        <v>1.3875449101796427</v>
      </c>
      <c r="U864" s="224">
        <f>'WetLitterbags placem_collection'!E205</f>
        <v>42769</v>
      </c>
      <c r="V864" s="224">
        <f>IF('WetLitterbags placem_collection'!G205="","",'WetLitterbags placem_collection'!G205)</f>
        <v>42814</v>
      </c>
      <c r="W864" s="225">
        <f t="shared" si="65"/>
        <v>45</v>
      </c>
      <c r="X864" s="223">
        <f t="shared" si="68"/>
        <v>0.55520000000000014</v>
      </c>
      <c r="Y864" s="223">
        <f t="shared" si="69"/>
        <v>0.49762448503541901</v>
      </c>
      <c r="Z864">
        <f>IFERROR(INDEX([1]Rainfall_Wet!$O$2:$O$217,MATCH(C864, [1]Rainfall_Wet!$A$2:$A$217,0)),"")</f>
        <v>175.377105089</v>
      </c>
      <c r="AA864" s="226">
        <v>47.96</v>
      </c>
      <c r="AB864" s="226">
        <v>22.919999999999995</v>
      </c>
      <c r="AC864" s="226">
        <v>29.120000000000012</v>
      </c>
      <c r="AD864" s="227" t="s">
        <v>2654</v>
      </c>
      <c r="AE864" s="226">
        <v>2.8831936914736325</v>
      </c>
      <c r="AF864">
        <f>IF('WetLitterbags placem_collection'!AB205="","",'WetLitterbags placem_collection'!AB205)</f>
        <v>5.13</v>
      </c>
      <c r="AG864">
        <f>IF('WetLitterbags placem_collection'!Z205="","",'WetLitterbags placem_collection'!Z205)</f>
        <v>5.13</v>
      </c>
      <c r="AH864" s="236" t="str">
        <f>IF('WetLitterbags placem_collection'!AA205="","",'WetLitterbags placem_collection'!AA205)</f>
        <v>O</v>
      </c>
      <c r="AI864">
        <f>IF('WetLitterbags placem_collection'!AC205="","",'WetLitterbags placem_collection'!AC205)</f>
        <v>1</v>
      </c>
      <c r="AJ864">
        <f>AVERAGE('WetLitterbags placem_collection'!S205,'WetLitterbags placem_collection'!U205)</f>
        <v>27</v>
      </c>
      <c r="AK864">
        <f>AVERAGE('WetLitterbags placem_collection'!R205,'WetLitterbags placem_collection'!T205)</f>
        <v>28.4</v>
      </c>
      <c r="AL864">
        <v>-2.4396450349999999</v>
      </c>
      <c r="AM864">
        <v>34.83836599</v>
      </c>
      <c r="AN864" t="str">
        <f>IF(ISNUMBER(SEARCH("C", 'WetLitterbags placem_collection'!$Y205)),"YES","NO")</f>
        <v>NO</v>
      </c>
      <c r="AO864" t="str">
        <f>IF(ISNUMBER(SEARCH("H", 'WetLitterbags placem_collection'!$Y205)),"YES","NO")</f>
        <v>NO</v>
      </c>
      <c r="AP864" t="str">
        <f>IF(ISNUMBER(SEARCH("R", 'WetLitterbags placem_collection'!$Y205)),"YES","NO")</f>
        <v>NO</v>
      </c>
    </row>
    <row r="865" spans="1:42" ht="15" customHeight="1">
      <c r="A865" t="s">
        <v>2490</v>
      </c>
      <c r="B865" s="248" t="s">
        <v>2454</v>
      </c>
      <c r="C865" s="253">
        <f>'Dry_Litterbag Placem_Collection'!A206</f>
        <v>204</v>
      </c>
      <c r="D865" s="253" t="str">
        <f>'Dry_Litterbag Placem_Collection'!B206</f>
        <v>Maswa</v>
      </c>
      <c r="E865" s="253" t="s">
        <v>2643</v>
      </c>
      <c r="F865" s="253" t="s">
        <v>2645</v>
      </c>
      <c r="G865" s="253">
        <v>3</v>
      </c>
      <c r="H865" s="253" t="s">
        <v>3115</v>
      </c>
      <c r="I865" s="254" t="str">
        <f>'Dry_Litterbag Placem_Collection'!C206</f>
        <v>Dry_W4_CG3</v>
      </c>
      <c r="J865" s="263" t="s">
        <v>2932</v>
      </c>
      <c r="K865" s="264" t="s">
        <v>298</v>
      </c>
      <c r="L865" s="221" t="str">
        <f>'WetLitterbags placem_collection'!Q206</f>
        <v>R139</v>
      </c>
      <c r="M865" s="223">
        <f>IFERROR(INDEX('Green_rooibos initial weight'!$C$5:$C$2000,MATCH(L865, 'Green_rooibos initial weight'!$A$5:$A$2000,0)),"")</f>
        <v>2.2829999999999999</v>
      </c>
      <c r="N865" s="223">
        <f>IFERROR(M865-(TBIcalc!$H$9+TBIcalc!$H$10),"")</f>
        <v>2.0331999999999999</v>
      </c>
      <c r="O865" s="378">
        <f>AVERAGE(Ashed_controlls!$K$2:$K$11)</f>
        <v>5.5147656768714146</v>
      </c>
      <c r="P865" s="223">
        <f t="shared" si="66"/>
        <v>1.9210737842578502</v>
      </c>
      <c r="Q865" s="223">
        <f>IFERROR(INDEX('Both teabags AfterWet'!$C$3:$C$840,MATCH(L865,'Both teabags AfterWet'!$A$3:$A$840,0)),"")</f>
        <v>1.6255999999999999</v>
      </c>
      <c r="R865" s="223">
        <f>IFERROR(IF(Q865&gt;0,Q865-(TBIcalc!$H$9),""),"")</f>
        <v>1.4749999999999999</v>
      </c>
      <c r="S865" s="223">
        <f>IFERROR(INDEX('Ashed teabags wet'!$K$2:$K$2000,MATCH(L865,'Ashed teabags wet'!$A$2:$A$2000,0)),"")</f>
        <v>2.9484029484021739</v>
      </c>
      <c r="T865" s="223">
        <f t="shared" si="67"/>
        <v>1.4315110565110678</v>
      </c>
      <c r="U865" s="224">
        <f>'WetLitterbags placem_collection'!E206</f>
        <v>42769</v>
      </c>
      <c r="V865" s="224">
        <f>IF('WetLitterbags placem_collection'!G206="","",'WetLitterbags placem_collection'!G206)</f>
        <v>42813</v>
      </c>
      <c r="W865" s="225">
        <f t="shared" si="65"/>
        <v>44</v>
      </c>
      <c r="X865" s="223">
        <f t="shared" si="68"/>
        <v>0.55820000000000003</v>
      </c>
      <c r="Y865" s="223">
        <f t="shared" si="69"/>
        <v>0.48956272774678244</v>
      </c>
      <c r="Z865">
        <f>IFERROR(INDEX([1]Rainfall_Wet!$O$2:$O$217,MATCH(C865, [1]Rainfall_Wet!$A$2:$A$217,0)),"")</f>
        <v>175.054685654</v>
      </c>
      <c r="AA865" s="226">
        <v>28.145762029394</v>
      </c>
      <c r="AB865" s="226">
        <v>25.085564727199518</v>
      </c>
      <c r="AC865" s="226">
        <v>46.768673243406489</v>
      </c>
      <c r="AD865" s="227" t="s">
        <v>2651</v>
      </c>
      <c r="AE865" s="226">
        <v>2.1716214884179394</v>
      </c>
      <c r="AF865">
        <f>IF('WetLitterbags placem_collection'!AB206="","",'WetLitterbags placem_collection'!AB206)</f>
        <v>7.9</v>
      </c>
      <c r="AG865">
        <f>IF('WetLitterbags placem_collection'!Z206="","",'WetLitterbags placem_collection'!Z206)</f>
        <v>7.9</v>
      </c>
      <c r="AH865" s="236" t="str">
        <f>IF('WetLitterbags placem_collection'!AA206="","",'WetLitterbags placem_collection'!AA206)</f>
        <v>O</v>
      </c>
      <c r="AI865">
        <f>IF('WetLitterbags placem_collection'!AC206="","",'WetLitterbags placem_collection'!AC206)</f>
        <v>1</v>
      </c>
      <c r="AJ865">
        <f>AVERAGE('WetLitterbags placem_collection'!S206,'WetLitterbags placem_collection'!U206)</f>
        <v>21.6</v>
      </c>
      <c r="AK865">
        <f>AVERAGE('WetLitterbags placem_collection'!R206,'WetLitterbags placem_collection'!T206)</f>
        <v>30.950000000000003</v>
      </c>
      <c r="AL865">
        <v>-2.4395990190000001</v>
      </c>
      <c r="AM865">
        <v>34.838418959999998</v>
      </c>
      <c r="AN865" t="str">
        <f>IF(ISNUMBER(SEARCH("C", 'WetLitterbags placem_collection'!$Y206)),"YES","NO")</f>
        <v>NO</v>
      </c>
      <c r="AO865" t="str">
        <f>IF(ISNUMBER(SEARCH("H", 'WetLitterbags placem_collection'!$Y206)),"YES","NO")</f>
        <v>NO</v>
      </c>
      <c r="AP865" t="str">
        <f>IF(ISNUMBER(SEARCH("R", 'WetLitterbags placem_collection'!$Y206)),"YES","NO")</f>
        <v>NO</v>
      </c>
    </row>
    <row r="866" spans="1:42" ht="15" customHeight="1">
      <c r="A866" t="s">
        <v>2490</v>
      </c>
      <c r="B866" s="248" t="s">
        <v>2454</v>
      </c>
      <c r="C866" s="253">
        <f>'Dry_Litterbag Placem_Collection'!A207</f>
        <v>205</v>
      </c>
      <c r="D866" s="253" t="str">
        <f>'Dry_Litterbag Placem_Collection'!B207</f>
        <v xml:space="preserve">Mwantimba
</v>
      </c>
      <c r="E866" s="253" t="s">
        <v>2454</v>
      </c>
      <c r="F866" s="253" t="s">
        <v>2644</v>
      </c>
      <c r="G866" s="253">
        <v>2</v>
      </c>
      <c r="H866" s="253" t="s">
        <v>3116</v>
      </c>
      <c r="I866" s="254" t="str">
        <f>'Dry_Litterbag Placem_Collection'!C207</f>
        <v>Wet_Ag1_CG2</v>
      </c>
      <c r="J866" s="263" t="s">
        <v>2932</v>
      </c>
      <c r="K866" s="264" t="s">
        <v>298</v>
      </c>
      <c r="L866" s="221" t="str">
        <f>'WetLitterbags placem_collection'!Q207</f>
        <v>R92</v>
      </c>
      <c r="M866" s="223">
        <f>IFERROR(INDEX('Green_rooibos initial weight'!$C$5:$C$2000,MATCH(L866, 'Green_rooibos initial weight'!$A$5:$A$2000,0)),"")</f>
        <v>2.246</v>
      </c>
      <c r="N866" s="223">
        <f>IFERROR(M866-(TBIcalc!$H$9+TBIcalc!$H$10),"")</f>
        <v>1.9962</v>
      </c>
      <c r="O866" s="378">
        <f>AVERAGE(Ashed_controlls!$K$2:$K$11)</f>
        <v>5.5147656768714146</v>
      </c>
      <c r="P866" s="223">
        <f t="shared" si="66"/>
        <v>1.8861142475582928</v>
      </c>
      <c r="Q866" s="223">
        <f>IFERROR(INDEX('Both teabags AfterWet'!$C$3:$C$840,MATCH(L866,'Both teabags AfterWet'!$A$3:$A$840,0)),"")</f>
        <v>1.7204999999999999</v>
      </c>
      <c r="R866" s="223">
        <f>IFERROR(IF(Q866&gt;0,Q866-(TBIcalc!$H$9),""),"")</f>
        <v>1.5698999999999999</v>
      </c>
      <c r="S866" s="223">
        <f>IFERROR(INDEX('Ashed teabags wet'!$K$2:$K$2000,MATCH(L866,'Ashed teabags wet'!$A$2:$A$2000,0)),"")</f>
        <v>4.6821094135039614</v>
      </c>
      <c r="T866" s="223">
        <f t="shared" si="67"/>
        <v>1.4963955643174012</v>
      </c>
      <c r="U866" s="224">
        <f>'WetLitterbags placem_collection'!E207</f>
        <v>42769</v>
      </c>
      <c r="V866" s="224">
        <f>IF('WetLitterbags placem_collection'!G207="","",'WetLitterbags placem_collection'!G207)</f>
        <v>42814</v>
      </c>
      <c r="W866" s="225">
        <f t="shared" si="65"/>
        <v>45</v>
      </c>
      <c r="X866" s="223">
        <f t="shared" si="68"/>
        <v>0.42630000000000012</v>
      </c>
      <c r="Y866" s="223">
        <f t="shared" si="69"/>
        <v>0.38971868324089165</v>
      </c>
      <c r="Z866">
        <f>IFERROR(INDEX([1]Rainfall_Wet!$O$2:$O$217,MATCH(C866, [1]Rainfall_Wet!$A$2:$A$217,0)),"")</f>
        <v>175.377105089</v>
      </c>
      <c r="AA866" s="226">
        <v>45.96</v>
      </c>
      <c r="AB866" s="226">
        <v>14.920000000000003</v>
      </c>
      <c r="AC866" s="226">
        <v>39.119999999999997</v>
      </c>
      <c r="AD866" s="227" t="s">
        <v>2654</v>
      </c>
      <c r="AE866" s="226">
        <v>2.0374568753080333</v>
      </c>
      <c r="AF866">
        <f>IF('WetLitterbags placem_collection'!AB207="","",'WetLitterbags placem_collection'!AB207)</f>
        <v>5.13</v>
      </c>
      <c r="AG866">
        <f>IF('WetLitterbags placem_collection'!Z207="","",'WetLitterbags placem_collection'!Z207)</f>
        <v>5.13</v>
      </c>
      <c r="AH866" s="236" t="str">
        <f>IF('WetLitterbags placem_collection'!AA207="","",'WetLitterbags placem_collection'!AA207)</f>
        <v>O</v>
      </c>
      <c r="AI866">
        <f>IF('WetLitterbags placem_collection'!AC207="","",'WetLitterbags placem_collection'!AC207)</f>
        <v>1</v>
      </c>
      <c r="AJ866">
        <f>AVERAGE('WetLitterbags placem_collection'!S207,'WetLitterbags placem_collection'!U207)</f>
        <v>24.45</v>
      </c>
      <c r="AK866">
        <f>AVERAGE('WetLitterbags placem_collection'!R207,'WetLitterbags placem_collection'!T207)</f>
        <v>26.299999999999997</v>
      </c>
      <c r="AL866">
        <v>-2.4396450349999999</v>
      </c>
      <c r="AM866">
        <v>34.83836599</v>
      </c>
      <c r="AN866" t="str">
        <f>IF(ISNUMBER(SEARCH("C", 'WetLitterbags placem_collection'!$Y207)),"YES","NO")</f>
        <v>NO</v>
      </c>
      <c r="AO866" t="str">
        <f>IF(ISNUMBER(SEARCH("H", 'WetLitterbags placem_collection'!$Y207)),"YES","NO")</f>
        <v>NO</v>
      </c>
      <c r="AP866" t="str">
        <f>IF(ISNUMBER(SEARCH("R", 'WetLitterbags placem_collection'!$Y207)),"YES","NO")</f>
        <v>NO</v>
      </c>
    </row>
    <row r="867" spans="1:42" ht="15" customHeight="1">
      <c r="A867" t="s">
        <v>2490</v>
      </c>
      <c r="B867" s="248" t="s">
        <v>2454</v>
      </c>
      <c r="C867" s="253">
        <f>'Dry_Litterbag Placem_Collection'!A208</f>
        <v>206</v>
      </c>
      <c r="D867" s="253" t="str">
        <f>'Dry_Litterbag Placem_Collection'!B208</f>
        <v xml:space="preserve">Mwantimba
</v>
      </c>
      <c r="E867" s="253" t="s">
        <v>2454</v>
      </c>
      <c r="F867" s="253" t="s">
        <v>2644</v>
      </c>
      <c r="G867" s="253">
        <v>1</v>
      </c>
      <c r="H867" s="253" t="s">
        <v>3118</v>
      </c>
      <c r="I867" s="254" t="str">
        <f>'Dry_Litterbag Placem_Collection'!C208</f>
        <v>Wet_Ag2_CG1</v>
      </c>
      <c r="J867" s="263" t="s">
        <v>2932</v>
      </c>
      <c r="K867" s="264" t="s">
        <v>298</v>
      </c>
      <c r="L867" s="221" t="str">
        <f>'WetLitterbags placem_collection'!Q208</f>
        <v>R328</v>
      </c>
      <c r="M867" s="223">
        <f>IFERROR(INDEX('Green_rooibos initial weight'!$C$5:$C$2000,MATCH(L867, 'Green_rooibos initial weight'!$A$5:$A$2000,0)),"")</f>
        <v>2.2549999999999999</v>
      </c>
      <c r="N867" s="223">
        <f>IFERROR(M867-(TBIcalc!$H$9+TBIcalc!$H$10),"")</f>
        <v>2.0051999999999999</v>
      </c>
      <c r="O867" s="378">
        <f>AVERAGE(Ashed_controlls!$K$2:$K$11)</f>
        <v>5.5147656768714146</v>
      </c>
      <c r="P867" s="223">
        <f t="shared" si="66"/>
        <v>1.8946179186473744</v>
      </c>
      <c r="Q867" s="223">
        <f>IFERROR(INDEX('Both teabags AfterWet'!$C$3:$C$840,MATCH(L867,'Both teabags AfterWet'!$A$3:$A$840,0)),"")</f>
        <v>1.609</v>
      </c>
      <c r="R867" s="223">
        <f>IFERROR(IF(Q867&gt;0,Q867-(TBIcalc!$H$9),""),"")</f>
        <v>1.4583999999999999</v>
      </c>
      <c r="S867" s="223">
        <f>IFERROR(INDEX('Ashed teabags wet'!$K$2:$K$2000,MATCH(L867,'Ashed teabags wet'!$A$2:$A$2000,0)),"")</f>
        <v>5.8794708476237458</v>
      </c>
      <c r="T867" s="223">
        <f t="shared" si="67"/>
        <v>1.3726537971582553</v>
      </c>
      <c r="U867" s="224">
        <f>'WetLitterbags placem_collection'!E208</f>
        <v>42769</v>
      </c>
      <c r="V867" s="224">
        <f>IF('WetLitterbags placem_collection'!G208="","",'WetLitterbags placem_collection'!G208)</f>
        <v>42814</v>
      </c>
      <c r="W867" s="225">
        <f t="shared" si="65"/>
        <v>45</v>
      </c>
      <c r="X867" s="223">
        <f t="shared" si="68"/>
        <v>0.54679999999999995</v>
      </c>
      <c r="Y867" s="223">
        <f t="shared" si="69"/>
        <v>0.52196412148911908</v>
      </c>
      <c r="Z867">
        <f>IFERROR(INDEX([1]Rainfall_Wet!$O$2:$O$217,MATCH(C867, [1]Rainfall_Wet!$A$2:$A$217,0)),"")</f>
        <v>175.377105089</v>
      </c>
      <c r="AA867" s="226">
        <v>34.344660194174757</v>
      </c>
      <c r="AB867" s="226">
        <v>19.22727272727273</v>
      </c>
      <c r="AC867" s="226">
        <v>46.428067078552509</v>
      </c>
      <c r="AD867" s="227" t="s">
        <v>2651</v>
      </c>
      <c r="AE867" s="226">
        <v>1.7452932479053718</v>
      </c>
      <c r="AF867">
        <f>IF('WetLitterbags placem_collection'!AB208="","",'WetLitterbags placem_collection'!AB208)</f>
        <v>13.8</v>
      </c>
      <c r="AG867">
        <f>IF('WetLitterbags placem_collection'!Z208="","",'WetLitterbags placem_collection'!Z208)</f>
        <v>17.399999999999999</v>
      </c>
      <c r="AH867" s="236" t="str">
        <f>IF('WetLitterbags placem_collection'!AA208="","",'WetLitterbags placem_collection'!AA208)</f>
        <v>O</v>
      </c>
      <c r="AI867">
        <f>IF('WetLitterbags placem_collection'!AC208="","",'WetLitterbags placem_collection'!AC208)</f>
        <v>1</v>
      </c>
      <c r="AJ867">
        <f>AVERAGE('WetLitterbags placem_collection'!S208,'WetLitterbags placem_collection'!U208)</f>
        <v>19.05</v>
      </c>
      <c r="AK867">
        <f>AVERAGE('WetLitterbags placem_collection'!R208,'WetLitterbags placem_collection'!T208)</f>
        <v>24.15</v>
      </c>
      <c r="AL867">
        <v>-2.439403972</v>
      </c>
      <c r="AM867">
        <v>34.838404959999998</v>
      </c>
      <c r="AN867" t="str">
        <f>IF(ISNUMBER(SEARCH("C", 'WetLitterbags placem_collection'!$Y208)),"YES","NO")</f>
        <v>NO</v>
      </c>
      <c r="AO867" t="str">
        <f>IF(ISNUMBER(SEARCH("H", 'WetLitterbags placem_collection'!$Y208)),"YES","NO")</f>
        <v>NO</v>
      </c>
      <c r="AP867" t="str">
        <f>IF(ISNUMBER(SEARCH("R", 'WetLitterbags placem_collection'!$Y208)),"YES","NO")</f>
        <v>YES</v>
      </c>
    </row>
    <row r="868" spans="1:42" ht="15" customHeight="1">
      <c r="A868" t="s">
        <v>2490</v>
      </c>
      <c r="B868" s="248" t="s">
        <v>2454</v>
      </c>
      <c r="C868" s="253">
        <f>'Dry_Litterbag Placem_Collection'!A209</f>
        <v>207</v>
      </c>
      <c r="D868" s="253" t="str">
        <f>'Dry_Litterbag Placem_Collection'!B209</f>
        <v xml:space="preserve">Mwantimba
</v>
      </c>
      <c r="E868" s="253" t="s">
        <v>2454</v>
      </c>
      <c r="F868" s="253" t="s">
        <v>2644</v>
      </c>
      <c r="G868" s="253">
        <v>4</v>
      </c>
      <c r="H868" s="253" t="s">
        <v>3119</v>
      </c>
      <c r="I868" s="254" t="str">
        <f>'Dry_Litterbag Placem_Collection'!C209</f>
        <v>Wet_Ag3_CG4</v>
      </c>
      <c r="J868" s="263" t="s">
        <v>2932</v>
      </c>
      <c r="K868" s="264" t="s">
        <v>298</v>
      </c>
      <c r="L868" s="221" t="str">
        <f>'WetLitterbags placem_collection'!Q209</f>
        <v>R149</v>
      </c>
      <c r="M868" s="223">
        <f>IFERROR(INDEX('Green_rooibos initial weight'!$C$5:$C$2000,MATCH(L868, 'Green_rooibos initial weight'!$A$5:$A$2000,0)),"")</f>
        <v>2.2400000000000002</v>
      </c>
      <c r="N868" s="223">
        <f>IFERROR(M868-(TBIcalc!$H$9+TBIcalc!$H$10),"")</f>
        <v>1.9902000000000002</v>
      </c>
      <c r="O868" s="378">
        <f>AVERAGE(Ashed_controlls!$K$2:$K$11)</f>
        <v>5.5147656768714146</v>
      </c>
      <c r="P868" s="223">
        <f t="shared" si="66"/>
        <v>1.8804451334989052</v>
      </c>
      <c r="Q868" s="223">
        <f>IFERROR(INDEX('Both teabags AfterWet'!$C$3:$C$840,MATCH(L868,'Both teabags AfterWet'!$A$3:$A$840,0)),"")</f>
        <v>1.401</v>
      </c>
      <c r="R868" s="223">
        <f>IFERROR(IF(Q868&gt;0,Q868-(TBIcalc!$H$9),""),"")</f>
        <v>1.2504</v>
      </c>
      <c r="S868" s="223">
        <f>IFERROR(INDEX('Ashed teabags wet'!$K$2:$K$2000,MATCH(L868,'Ashed teabags wet'!$A$2:$A$2000,0)),"")</f>
        <v>9.4146341463411449</v>
      </c>
      <c r="T868" s="223">
        <f t="shared" si="67"/>
        <v>1.1326794146341503</v>
      </c>
      <c r="U868" s="224">
        <f>'WetLitterbags placem_collection'!E209</f>
        <v>42769</v>
      </c>
      <c r="V868" s="224">
        <f>IF('WetLitterbags placem_collection'!G209="","",'WetLitterbags placem_collection'!G209)</f>
        <v>42813</v>
      </c>
      <c r="W868" s="225">
        <f t="shared" si="65"/>
        <v>44</v>
      </c>
      <c r="X868" s="223">
        <f t="shared" si="68"/>
        <v>0.73980000000000024</v>
      </c>
      <c r="Y868" s="223">
        <f t="shared" si="69"/>
        <v>0.74776571886475485</v>
      </c>
      <c r="Z868">
        <f>IFERROR(INDEX([1]Rainfall_Wet!$O$2:$O$217,MATCH(C868, [1]Rainfall_Wet!$A$2:$A$217,0)),"")</f>
        <v>175.054685654</v>
      </c>
      <c r="AA868" s="226">
        <v>27.96</v>
      </c>
      <c r="AB868" s="226">
        <v>4.9200000000000017</v>
      </c>
      <c r="AC868" s="226">
        <v>67.12</v>
      </c>
      <c r="AD868" s="227" t="s">
        <v>2651</v>
      </c>
      <c r="AE868" s="226">
        <v>0.88610152784622953</v>
      </c>
      <c r="AF868">
        <f>IF('WetLitterbags placem_collection'!AB209="","",'WetLitterbags placem_collection'!AB209)</f>
        <v>15.2</v>
      </c>
      <c r="AG868">
        <f>IF('WetLitterbags placem_collection'!Z209="","",'WetLitterbags placem_collection'!Z209)</f>
        <v>12.2</v>
      </c>
      <c r="AH868" s="236" t="str">
        <f>IF('WetLitterbags placem_collection'!AA209="","",'WetLitterbags placem_collection'!AA209)</f>
        <v>O</v>
      </c>
      <c r="AI868">
        <f>IF('WetLitterbags placem_collection'!AC209="","",'WetLitterbags placem_collection'!AC209)</f>
        <v>1</v>
      </c>
      <c r="AJ868">
        <f>AVERAGE('WetLitterbags placem_collection'!S209,'WetLitterbags placem_collection'!U209)</f>
        <v>19.8</v>
      </c>
      <c r="AK868">
        <f>AVERAGE('WetLitterbags placem_collection'!R209,'WetLitterbags placem_collection'!T209)</f>
        <v>29.05</v>
      </c>
      <c r="AL868">
        <v>-2.4396949910000001</v>
      </c>
      <c r="AM868">
        <v>34.838574029999997</v>
      </c>
      <c r="AN868" t="str">
        <f>IF(ISNUMBER(SEARCH("C", 'WetLitterbags placem_collection'!$Y209)),"YES","NO")</f>
        <v>NO</v>
      </c>
      <c r="AO868" t="str">
        <f>IF(ISNUMBER(SEARCH("H", 'WetLitterbags placem_collection'!$Y209)),"YES","NO")</f>
        <v>NO</v>
      </c>
      <c r="AP868" t="str">
        <f>IF(ISNUMBER(SEARCH("R", 'WetLitterbags placem_collection'!$Y209)),"YES","NO")</f>
        <v>NO</v>
      </c>
    </row>
    <row r="869" spans="1:42" ht="15" customHeight="1">
      <c r="A869" t="s">
        <v>2490</v>
      </c>
      <c r="B869" s="248" t="s">
        <v>2454</v>
      </c>
      <c r="C869" s="253">
        <f>'Dry_Litterbag Placem_Collection'!A210</f>
        <v>208</v>
      </c>
      <c r="D869" s="253" t="str">
        <f>'Dry_Litterbag Placem_Collection'!B210</f>
        <v xml:space="preserve">Mwantimba
</v>
      </c>
      <c r="E869" s="253" t="s">
        <v>2454</v>
      </c>
      <c r="F869" s="253" t="s">
        <v>2644</v>
      </c>
      <c r="G869" s="253">
        <v>3</v>
      </c>
      <c r="H869" s="253" t="s">
        <v>3120</v>
      </c>
      <c r="I869" s="254" t="str">
        <f>'Dry_Litterbag Placem_Collection'!C210</f>
        <v>Wet_Ag4_CG3</v>
      </c>
      <c r="J869" s="263" t="s">
        <v>2932</v>
      </c>
      <c r="K869" s="264" t="s">
        <v>298</v>
      </c>
      <c r="L869" s="221" t="str">
        <f>'WetLitterbags placem_collection'!Q210</f>
        <v>R449</v>
      </c>
      <c r="M869" s="223">
        <f>IFERROR(INDEX('Green_rooibos initial weight'!$C$5:$C$2000,MATCH(L869, 'Green_rooibos initial weight'!$A$5:$A$2000,0)),"")</f>
        <v>2.2709999999999999</v>
      </c>
      <c r="N869" s="223">
        <f>IFERROR(M869-(TBIcalc!$H$9+TBIcalc!$H$10),"")</f>
        <v>2.0211999999999999</v>
      </c>
      <c r="O869" s="378">
        <f>AVERAGE(Ashed_controlls!$K$2:$K$11)</f>
        <v>5.5147656768714146</v>
      </c>
      <c r="P869" s="223">
        <f t="shared" si="66"/>
        <v>1.9097355561390748</v>
      </c>
      <c r="Q869" s="223">
        <f>IFERROR(INDEX('Both teabags AfterWet'!$C$3:$C$840,MATCH(L869,'Both teabags AfterWet'!$A$3:$A$840,0)),"")</f>
        <v>1.611</v>
      </c>
      <c r="R869" s="223">
        <f>IFERROR(IF(Q869&gt;0,Q869-(TBIcalc!$H$9),""),"")</f>
        <v>1.4603999999999999</v>
      </c>
      <c r="S869" s="223">
        <f>IFERROR(INDEX('Ashed teabags wet'!$K$2:$K$2000,MATCH(L869,'Ashed teabags wet'!$A$2:$A$2000,0)),"")</f>
        <v>7.5425790754251629</v>
      </c>
      <c r="T869" s="223">
        <f t="shared" si="67"/>
        <v>1.3502481751824909</v>
      </c>
      <c r="U869" s="224">
        <f>'WetLitterbags placem_collection'!E210</f>
        <v>42769</v>
      </c>
      <c r="V869" s="224">
        <f>IF('WetLitterbags placem_collection'!G210="","",'WetLitterbags placem_collection'!G210)</f>
        <v>42813</v>
      </c>
      <c r="W869" s="225">
        <f t="shared" si="65"/>
        <v>44</v>
      </c>
      <c r="X869" s="223">
        <f t="shared" si="68"/>
        <v>0.56079999999999997</v>
      </c>
      <c r="Y869" s="223">
        <f t="shared" si="69"/>
        <v>0.5594873809565839</v>
      </c>
      <c r="Z869">
        <f>IFERROR(INDEX([1]Rainfall_Wet!$O$2:$O$217,MATCH(C869, [1]Rainfall_Wet!$A$2:$A$217,0)),"")</f>
        <v>175.054685654</v>
      </c>
      <c r="AA869" s="226">
        <v>17.96</v>
      </c>
      <c r="AB869" s="226">
        <v>4.9199999999999982</v>
      </c>
      <c r="AC869" s="226">
        <v>77.12</v>
      </c>
      <c r="AD869" s="227" t="s">
        <v>2652</v>
      </c>
      <c r="AE869" s="226">
        <v>2.0220798422868409</v>
      </c>
      <c r="AF869">
        <f>IF('WetLitterbags placem_collection'!AB210="","",'WetLitterbags placem_collection'!AB210)</f>
        <v>7.9</v>
      </c>
      <c r="AG869">
        <f>IF('WetLitterbags placem_collection'!Z210="","",'WetLitterbags placem_collection'!Z210)</f>
        <v>7.9</v>
      </c>
      <c r="AH869" s="236" t="str">
        <f>IF('WetLitterbags placem_collection'!AA210="","",'WetLitterbags placem_collection'!AA210)</f>
        <v>O</v>
      </c>
      <c r="AI869">
        <f>IF('WetLitterbags placem_collection'!AC210="","",'WetLitterbags placem_collection'!AC210)</f>
        <v>1</v>
      </c>
      <c r="AJ869">
        <f>AVERAGE('WetLitterbags placem_collection'!S210,'WetLitterbags placem_collection'!U210)</f>
        <v>22.200000000000003</v>
      </c>
      <c r="AK869">
        <f>AVERAGE('WetLitterbags placem_collection'!R210,'WetLitterbags placem_collection'!T210)</f>
        <v>27.45</v>
      </c>
      <c r="AL869">
        <v>-2.4395990190000001</v>
      </c>
      <c r="AM869">
        <v>34.838418959999998</v>
      </c>
      <c r="AN869" t="str">
        <f>IF(ISNUMBER(SEARCH("C", 'WetLitterbags placem_collection'!$Y210)),"YES","NO")</f>
        <v>NO</v>
      </c>
      <c r="AO869" t="str">
        <f>IF(ISNUMBER(SEARCH("H", 'WetLitterbags placem_collection'!$Y210)),"YES","NO")</f>
        <v>NO</v>
      </c>
      <c r="AP869" t="str">
        <f>IF(ISNUMBER(SEARCH("R", 'WetLitterbags placem_collection'!$Y210)),"YES","NO")</f>
        <v>YES</v>
      </c>
    </row>
    <row r="870" spans="1:42" ht="15" customHeight="1">
      <c r="A870" t="s">
        <v>2490</v>
      </c>
      <c r="B870" s="248" t="s">
        <v>2454</v>
      </c>
      <c r="C870" s="253">
        <f>'Dry_Litterbag Placem_Collection'!A211</f>
        <v>209</v>
      </c>
      <c r="D870" s="253" t="str">
        <f>'Dry_Litterbag Placem_Collection'!B211</f>
        <v xml:space="preserve">Mwantimba
</v>
      </c>
      <c r="E870" s="253" t="s">
        <v>2454</v>
      </c>
      <c r="F870" s="253" t="s">
        <v>20</v>
      </c>
      <c r="G870" s="253">
        <v>2</v>
      </c>
      <c r="H870" s="253" t="s">
        <v>3121</v>
      </c>
      <c r="I870" s="254" t="str">
        <f>'Dry_Litterbag Placem_Collection'!C211</f>
        <v>Wet_P1_CG2</v>
      </c>
      <c r="J870" s="263" t="s">
        <v>2932</v>
      </c>
      <c r="K870" s="264" t="s">
        <v>298</v>
      </c>
      <c r="L870" s="221" t="str">
        <f>'WetLitterbags placem_collection'!Q211</f>
        <v>R142</v>
      </c>
      <c r="M870" s="223">
        <f>IFERROR(INDEX('Green_rooibos initial weight'!$C$5:$C$2000,MATCH(L870, 'Green_rooibos initial weight'!$A$5:$A$2000,0)),"")</f>
        <v>2.0870000000000002</v>
      </c>
      <c r="N870" s="223">
        <f>IFERROR(M870-(TBIcalc!$H$9+TBIcalc!$H$10),"")</f>
        <v>1.8372000000000002</v>
      </c>
      <c r="O870" s="378">
        <f>AVERAGE(Ashed_controlls!$K$2:$K$11)</f>
        <v>5.5147656768714146</v>
      </c>
      <c r="P870" s="223">
        <f t="shared" si="66"/>
        <v>1.7358827249845186</v>
      </c>
      <c r="Q870" s="223">
        <f>IFERROR(INDEX('Both teabags AfterWet'!$C$3:$C$840,MATCH(L870,'Both teabags AfterWet'!$A$3:$A$840,0)),"")</f>
        <v>1.5780000000000001</v>
      </c>
      <c r="R870" s="223">
        <f>IFERROR(IF(Q870&gt;0,Q870-(TBIcalc!$H$9),""),"")</f>
        <v>1.4274</v>
      </c>
      <c r="S870" s="223">
        <f>IFERROR(INDEX('Ashed teabags wet'!$K$2:$K$2000,MATCH(L870,'Ashed teabags wet'!$A$2:$A$2000,0)),"")</f>
        <v>6.2620423892102917</v>
      </c>
      <c r="T870" s="223">
        <f t="shared" si="67"/>
        <v>1.3380156069364122</v>
      </c>
      <c r="U870" s="224">
        <f>'WetLitterbags placem_collection'!E211</f>
        <v>42769</v>
      </c>
      <c r="V870" s="224">
        <f>IF('WetLitterbags placem_collection'!G211="","",'WetLitterbags placem_collection'!G211)</f>
        <v>42814</v>
      </c>
      <c r="W870" s="225">
        <f t="shared" si="65"/>
        <v>45</v>
      </c>
      <c r="X870" s="223">
        <f t="shared" si="68"/>
        <v>0.40980000000000016</v>
      </c>
      <c r="Y870" s="223">
        <f t="shared" si="69"/>
        <v>0.39786711804810637</v>
      </c>
      <c r="Z870">
        <f>IFERROR(INDEX([1]Rainfall_Wet!$O$2:$O$217,MATCH(C870, [1]Rainfall_Wet!$A$2:$A$217,0)),"")</f>
        <v>175.377105089</v>
      </c>
      <c r="AA870" s="226">
        <v>31.214836424255054</v>
      </c>
      <c r="AB870" s="226">
        <v>11.377370285476141</v>
      </c>
      <c r="AC870" s="226">
        <v>57.407793290268799</v>
      </c>
      <c r="AD870" s="227" t="s">
        <v>2651</v>
      </c>
      <c r="AE870" s="226">
        <v>1.7337604731394776</v>
      </c>
      <c r="AF870">
        <f>IF('WetLitterbags placem_collection'!AB211="","",'WetLitterbags placem_collection'!AB211)</f>
        <v>5.13</v>
      </c>
      <c r="AG870">
        <f>IF('WetLitterbags placem_collection'!Z211="","",'WetLitterbags placem_collection'!Z211)</f>
        <v>5.13</v>
      </c>
      <c r="AH870" s="236" t="str">
        <f>IF('WetLitterbags placem_collection'!AA211="","",'WetLitterbags placem_collection'!AA211)</f>
        <v>O</v>
      </c>
      <c r="AI870">
        <f>IF('WetLitterbags placem_collection'!AC211="","",'WetLitterbags placem_collection'!AC211)</f>
        <v>1</v>
      </c>
      <c r="AJ870">
        <f>AVERAGE('WetLitterbags placem_collection'!S211,'WetLitterbags placem_collection'!U211)</f>
        <v>24.5</v>
      </c>
      <c r="AK870">
        <f>AVERAGE('WetLitterbags placem_collection'!R211,'WetLitterbags placem_collection'!T211)</f>
        <v>24.4</v>
      </c>
      <c r="AL870">
        <v>-2.4396450349999999</v>
      </c>
      <c r="AM870">
        <v>34.83836599</v>
      </c>
      <c r="AN870" t="str">
        <f>IF(ISNUMBER(SEARCH("C", 'WetLitterbags placem_collection'!$Y211)),"YES","NO")</f>
        <v>NO</v>
      </c>
      <c r="AO870" t="str">
        <f>IF(ISNUMBER(SEARCH("H", 'WetLitterbags placem_collection'!$Y211)),"YES","NO")</f>
        <v>NO</v>
      </c>
      <c r="AP870" t="str">
        <f>IF(ISNUMBER(SEARCH("R", 'WetLitterbags placem_collection'!$Y211)),"YES","NO")</f>
        <v>YES</v>
      </c>
    </row>
    <row r="871" spans="1:42" ht="15" customHeight="1">
      <c r="A871" t="s">
        <v>2490</v>
      </c>
      <c r="B871" s="248" t="s">
        <v>2454</v>
      </c>
      <c r="C871" s="253">
        <f>'Dry_Litterbag Placem_Collection'!A212</f>
        <v>210</v>
      </c>
      <c r="D871" s="253" t="str">
        <f>'Dry_Litterbag Placem_Collection'!B212</f>
        <v xml:space="preserve">Mwantimba
</v>
      </c>
      <c r="E871" s="253" t="s">
        <v>2454</v>
      </c>
      <c r="F871" s="253" t="s">
        <v>20</v>
      </c>
      <c r="G871" s="253">
        <v>4</v>
      </c>
      <c r="H871" s="253" t="s">
        <v>3123</v>
      </c>
      <c r="I871" s="254" t="str">
        <f>'Dry_Litterbag Placem_Collection'!C212</f>
        <v>Wet_P2_CG4</v>
      </c>
      <c r="J871" s="263" t="s">
        <v>2932</v>
      </c>
      <c r="K871" s="264" t="s">
        <v>298</v>
      </c>
      <c r="L871" s="221" t="str">
        <f>'WetLitterbags placem_collection'!Q212</f>
        <v>R392</v>
      </c>
      <c r="M871" s="223">
        <f>IFERROR(INDEX('Green_rooibos initial weight'!$C$5:$C$2000,MATCH(L871, 'Green_rooibos initial weight'!$A$5:$A$2000,0)),"")</f>
        <v>2.2309999999999999</v>
      </c>
      <c r="N871" s="223">
        <f>IFERROR(M871-(TBIcalc!$H$9+TBIcalc!$H$10),"")</f>
        <v>1.9811999999999999</v>
      </c>
      <c r="O871" s="378">
        <f>AVERAGE(Ashed_controlls!$K$2:$K$11)</f>
        <v>5.5147656768714146</v>
      </c>
      <c r="P871" s="223">
        <f t="shared" si="66"/>
        <v>1.8719414624098234</v>
      </c>
      <c r="Q871" s="223">
        <f>IFERROR(INDEX('Both teabags AfterWet'!$C$3:$C$840,MATCH(L871,'Both teabags AfterWet'!$A$3:$A$840,0)),"")</f>
        <v>1.6165</v>
      </c>
      <c r="R871" s="223">
        <f>IFERROR(IF(Q871&gt;0,Q871-(TBIcalc!$H$9),""),"")</f>
        <v>1.4659</v>
      </c>
      <c r="S871" s="223">
        <f>IFERROR(INDEX('Ashed teabags wet'!$K$2:$K$2000,MATCH(L871,'Ashed teabags wet'!$A$2:$A$2000,0)),"")</f>
        <v>8.4810733109723397</v>
      </c>
      <c r="T871" s="223">
        <f t="shared" si="67"/>
        <v>1.3415759463344565</v>
      </c>
      <c r="U871" s="224">
        <f>'WetLitterbags placem_collection'!E212</f>
        <v>42769</v>
      </c>
      <c r="V871" s="224">
        <f>IF('WetLitterbags placem_collection'!G212="","",'WetLitterbags placem_collection'!G212)</f>
        <v>42813</v>
      </c>
      <c r="W871" s="225">
        <f t="shared" si="65"/>
        <v>44</v>
      </c>
      <c r="X871" s="223">
        <f t="shared" si="68"/>
        <v>0.51529999999999987</v>
      </c>
      <c r="Y871" s="223">
        <f t="shared" si="69"/>
        <v>0.53036551607536686</v>
      </c>
      <c r="Z871">
        <f>IFERROR(INDEX([1]Rainfall_Wet!$O$2:$O$217,MATCH(C871, [1]Rainfall_Wet!$A$2:$A$217,0)),"")</f>
        <v>175.054685654</v>
      </c>
      <c r="AA871" s="226">
        <v>33.96</v>
      </c>
      <c r="AB871" s="226">
        <v>8.9200000000000017</v>
      </c>
      <c r="AC871" s="226">
        <v>57.12</v>
      </c>
      <c r="AD871" s="227" t="s">
        <v>2651</v>
      </c>
      <c r="AE871" s="226">
        <v>2.072055199605717</v>
      </c>
      <c r="AF871">
        <f>IF('WetLitterbags placem_collection'!AB212="","",'WetLitterbags placem_collection'!AB212)</f>
        <v>15.2</v>
      </c>
      <c r="AG871">
        <f>IF('WetLitterbags placem_collection'!Z212="","",'WetLitterbags placem_collection'!Z212)</f>
        <v>12.2</v>
      </c>
      <c r="AH871" s="236" t="str">
        <f>IF('WetLitterbags placem_collection'!AA212="","",'WetLitterbags placem_collection'!AA212)</f>
        <v>O</v>
      </c>
      <c r="AI871">
        <f>IF('WetLitterbags placem_collection'!AC212="","",'WetLitterbags placem_collection'!AC212)</f>
        <v>1</v>
      </c>
      <c r="AJ871">
        <f>AVERAGE('WetLitterbags placem_collection'!S212,'WetLitterbags placem_collection'!U212)</f>
        <v>22.4</v>
      </c>
      <c r="AK871">
        <f>AVERAGE('WetLitterbags placem_collection'!R212,'WetLitterbags placem_collection'!T212)</f>
        <v>28.400000000000002</v>
      </c>
      <c r="AL871">
        <v>-2.4396949910000001</v>
      </c>
      <c r="AM871">
        <v>34.838574029999997</v>
      </c>
      <c r="AN871" t="str">
        <f>IF(ISNUMBER(SEARCH("C", 'WetLitterbags placem_collection'!$Y212)),"YES","NO")</f>
        <v>NO</v>
      </c>
      <c r="AO871" t="str">
        <f>IF(ISNUMBER(SEARCH("H", 'WetLitterbags placem_collection'!$Y212)),"YES","NO")</f>
        <v>NO</v>
      </c>
      <c r="AP871" t="str">
        <f>IF(ISNUMBER(SEARCH("R", 'WetLitterbags placem_collection'!$Y212)),"YES","NO")</f>
        <v>NO</v>
      </c>
    </row>
    <row r="872" spans="1:42" ht="15" customHeight="1">
      <c r="A872" t="s">
        <v>2490</v>
      </c>
      <c r="B872" s="248" t="s">
        <v>2454</v>
      </c>
      <c r="C872" s="253">
        <f>'Dry_Litterbag Placem_Collection'!A213</f>
        <v>211</v>
      </c>
      <c r="D872" s="253" t="str">
        <f>'Dry_Litterbag Placem_Collection'!B213</f>
        <v xml:space="preserve">Mwantimba
</v>
      </c>
      <c r="E872" s="253" t="s">
        <v>2454</v>
      </c>
      <c r="F872" s="253" t="s">
        <v>20</v>
      </c>
      <c r="G872" s="253">
        <v>1</v>
      </c>
      <c r="H872" s="253" t="s">
        <v>3124</v>
      </c>
      <c r="I872" s="254" t="str">
        <f>'Dry_Litterbag Placem_Collection'!C213</f>
        <v>Wet_P3_CG1</v>
      </c>
      <c r="J872" s="263" t="s">
        <v>2932</v>
      </c>
      <c r="K872" s="264" t="s">
        <v>298</v>
      </c>
      <c r="L872" s="221" t="str">
        <f>'WetLitterbags placem_collection'!Q213</f>
        <v>R589</v>
      </c>
      <c r="M872" s="223">
        <f>IFERROR(INDEX('Green_rooibos initial weight'!$C$5:$C$2000,MATCH(L872, 'Green_rooibos initial weight'!$A$5:$A$2000,0)),"")</f>
        <v>2.157</v>
      </c>
      <c r="N872" s="223">
        <f>IFERROR(M872-(TBIcalc!$H$9+TBIcalc!$H$10),"")</f>
        <v>1.9072</v>
      </c>
      <c r="O872" s="378">
        <f>AVERAGE(Ashed_controlls!$K$2:$K$11)</f>
        <v>5.5147656768714146</v>
      </c>
      <c r="P872" s="223">
        <f t="shared" si="66"/>
        <v>1.8020223890107083</v>
      </c>
      <c r="Q872" s="223">
        <f>IFERROR(INDEX('Both teabags AfterWet'!$C$3:$C$840,MATCH(L872,'Both teabags AfterWet'!$A$3:$A$840,0)),"")</f>
        <v>1.5489999999999999</v>
      </c>
      <c r="R872" s="223">
        <f>IFERROR(IF(Q872&gt;0,Q872-(TBIcalc!$H$9),""),"")</f>
        <v>1.3983999999999999</v>
      </c>
      <c r="S872" s="223">
        <f>IFERROR(INDEX('Ashed teabags wet'!$K$2:$K$2000,MATCH(L872,'Ashed teabags wet'!$A$2:$A$2000,0)),"")</f>
        <v>7.414730598121813</v>
      </c>
      <c r="T872" s="223">
        <f t="shared" si="67"/>
        <v>1.2947124073158645</v>
      </c>
      <c r="U872" s="224">
        <f>'WetLitterbags placem_collection'!E213</f>
        <v>42769</v>
      </c>
      <c r="V872" s="224">
        <f>IF('WetLitterbags placem_collection'!G213="","",'WetLitterbags placem_collection'!G213)</f>
        <v>42814</v>
      </c>
      <c r="W872" s="225">
        <f t="shared" si="65"/>
        <v>45</v>
      </c>
      <c r="X872" s="223">
        <f t="shared" si="68"/>
        <v>0.50880000000000014</v>
      </c>
      <c r="Y872" s="223">
        <f t="shared" si="69"/>
        <v>0.50730998169484387</v>
      </c>
      <c r="Z872">
        <f>IFERROR(INDEX([1]Rainfall_Wet!$O$2:$O$217,MATCH(C872, [1]Rainfall_Wet!$A$2:$A$217,0)),"")</f>
        <v>175.377105089</v>
      </c>
      <c r="AA872" s="226">
        <v>39.96</v>
      </c>
      <c r="AB872" s="226">
        <v>12.920000000000002</v>
      </c>
      <c r="AC872" s="226">
        <v>47.12</v>
      </c>
      <c r="AD872" s="227" t="s">
        <v>2655</v>
      </c>
      <c r="AE872" s="226">
        <v>1.6549531789058647</v>
      </c>
      <c r="AF872">
        <f>IF('WetLitterbags placem_collection'!AB213="","",'WetLitterbags placem_collection'!AB213)</f>
        <v>13.8</v>
      </c>
      <c r="AG872">
        <f>IF('WetLitterbags placem_collection'!Z213="","",'WetLitterbags placem_collection'!Z213)</f>
        <v>17.399999999999999</v>
      </c>
      <c r="AH872" s="236" t="str">
        <f>IF('WetLitterbags placem_collection'!AA213="","",'WetLitterbags placem_collection'!AA213)</f>
        <v>O</v>
      </c>
      <c r="AI872">
        <f>IF('WetLitterbags placem_collection'!AC213="","",'WetLitterbags placem_collection'!AC213)</f>
        <v>1</v>
      </c>
      <c r="AJ872">
        <f>AVERAGE('WetLitterbags placem_collection'!S213,'WetLitterbags placem_collection'!U213)</f>
        <v>16.850000000000001</v>
      </c>
      <c r="AK872">
        <f>AVERAGE('WetLitterbags placem_collection'!R213,'WetLitterbags placem_collection'!T213)</f>
        <v>23.95</v>
      </c>
      <c r="AL872">
        <v>-2.439403972</v>
      </c>
      <c r="AM872">
        <v>34.838404959999998</v>
      </c>
      <c r="AN872" t="str">
        <f>IF(ISNUMBER(SEARCH("C", 'WetLitterbags placem_collection'!$Y213)),"YES","NO")</f>
        <v>NO</v>
      </c>
      <c r="AO872" t="str">
        <f>IF(ISNUMBER(SEARCH("H", 'WetLitterbags placem_collection'!$Y213)),"YES","NO")</f>
        <v>NO</v>
      </c>
      <c r="AP872" t="str">
        <f>IF(ISNUMBER(SEARCH("R", 'WetLitterbags placem_collection'!$Y213)),"YES","NO")</f>
        <v>YES</v>
      </c>
    </row>
    <row r="873" spans="1:42" ht="15" customHeight="1">
      <c r="A873" t="s">
        <v>2490</v>
      </c>
      <c r="B873" s="248" t="s">
        <v>2454</v>
      </c>
      <c r="C873" s="253">
        <f>'Dry_Litterbag Placem_Collection'!A214</f>
        <v>215</v>
      </c>
      <c r="D873" s="253" t="str">
        <f>'Dry_Litterbag Placem_Collection'!B214</f>
        <v xml:space="preserve">Mwantimba
</v>
      </c>
      <c r="E873" s="253" t="s">
        <v>2454</v>
      </c>
      <c r="F873" s="253" t="s">
        <v>2645</v>
      </c>
      <c r="G873" s="253">
        <v>3</v>
      </c>
      <c r="H873" s="253" t="s">
        <v>3129</v>
      </c>
      <c r="I873" s="254" t="str">
        <f>'Dry_Litterbag Placem_Collection'!C214</f>
        <v>Wet_W3_CG1</v>
      </c>
      <c r="J873" s="263" t="s">
        <v>2932</v>
      </c>
      <c r="K873" s="264" t="s">
        <v>298</v>
      </c>
      <c r="L873" s="221" t="str">
        <f>'WetLitterbags placem_collection'!Q214</f>
        <v>R130</v>
      </c>
      <c r="M873" s="223">
        <f>IFERROR(INDEX('Green_rooibos initial weight'!$C$5:$C$2000,MATCH(L873, 'Green_rooibos initial weight'!$A$5:$A$2000,0)),"")</f>
        <v>2.2410000000000001</v>
      </c>
      <c r="N873" s="223">
        <f>IFERROR(M873-(TBIcalc!$H$9+TBIcalc!$H$10),"")</f>
        <v>1.9912000000000001</v>
      </c>
      <c r="O873" s="378">
        <f>AVERAGE(Ashed_controlls!$K$2:$K$11)</f>
        <v>5.5147656768714146</v>
      </c>
      <c r="P873" s="223">
        <f t="shared" si="66"/>
        <v>1.8813899858421366</v>
      </c>
      <c r="Q873" s="223">
        <f>IFERROR(INDEX('Both teabags AfterWet'!$C$3:$C$840,MATCH(L873,'Both teabags AfterWet'!$A$3:$A$840,0)),"")</f>
        <v>1.6712</v>
      </c>
      <c r="R873" s="223">
        <f>IFERROR(IF(Q873&gt;0,Q873-(TBIcalc!$H$9),""),"")</f>
        <v>1.5206</v>
      </c>
      <c r="S873" s="223">
        <f>IFERROR(INDEX('Ashed teabags wet'!$K$2:$K$2000,MATCH(L873,'Ashed teabags wet'!$A$2:$A$2000,0)),"")</f>
        <v>7.2700296735904999</v>
      </c>
      <c r="T873" s="223">
        <f t="shared" si="67"/>
        <v>1.4100519287833828</v>
      </c>
      <c r="U873" s="224">
        <f>'WetLitterbags placem_collection'!E214</f>
        <v>42769</v>
      </c>
      <c r="V873" s="224">
        <f>IF('WetLitterbags placem_collection'!G214="","",'WetLitterbags placem_collection'!G214)</f>
        <v>42813</v>
      </c>
      <c r="W873" s="225">
        <f t="shared" si="65"/>
        <v>44</v>
      </c>
      <c r="X873" s="223">
        <f t="shared" si="68"/>
        <v>0.47060000000000013</v>
      </c>
      <c r="Y873" s="223">
        <f t="shared" si="69"/>
        <v>0.47133805705875376</v>
      </c>
      <c r="Z873">
        <f>IFERROR(INDEX([1]Rainfall_Wet!$O$2:$O$217,MATCH(C873, [1]Rainfall_Wet!$A$2:$A$217,0)),"")</f>
        <v>175.377105089</v>
      </c>
      <c r="AA873" s="226">
        <v>27.96</v>
      </c>
      <c r="AB873" s="226">
        <v>4.9200000000000017</v>
      </c>
      <c r="AC873" s="226">
        <v>67.12</v>
      </c>
      <c r="AD873" s="227" t="s">
        <v>2651</v>
      </c>
      <c r="AE873" s="226">
        <v>1.0437161163134547</v>
      </c>
      <c r="AF873">
        <f>IF('WetLitterbags placem_collection'!AB214="","",'WetLitterbags placem_collection'!AB214)</f>
        <v>7.9</v>
      </c>
      <c r="AG873">
        <f>IF('WetLitterbags placem_collection'!Z214="","",'WetLitterbags placem_collection'!Z214)</f>
        <v>7.9</v>
      </c>
      <c r="AH873" s="236" t="str">
        <f>IF('WetLitterbags placem_collection'!AA214="","",'WetLitterbags placem_collection'!AA214)</f>
        <v>O</v>
      </c>
      <c r="AI873">
        <f>IF('WetLitterbags placem_collection'!AC214="","",'WetLitterbags placem_collection'!AC214)</f>
        <v>1</v>
      </c>
      <c r="AJ873">
        <f>AVERAGE('WetLitterbags placem_collection'!S214,'WetLitterbags placem_collection'!U214)</f>
        <v>22.45</v>
      </c>
      <c r="AK873">
        <f>AVERAGE('WetLitterbags placem_collection'!R214,'WetLitterbags placem_collection'!T214)</f>
        <v>27.450000000000003</v>
      </c>
      <c r="AL873">
        <v>-2.4395990190000001</v>
      </c>
      <c r="AM873">
        <v>34.838418959999998</v>
      </c>
      <c r="AN873" t="str">
        <f>IF(ISNUMBER(SEARCH("C", 'WetLitterbags placem_collection'!$Y214)),"YES","NO")</f>
        <v>NO</v>
      </c>
      <c r="AO873" t="str">
        <f>IF(ISNUMBER(SEARCH("H", 'WetLitterbags placem_collection'!$Y214)),"YES","NO")</f>
        <v>NO</v>
      </c>
      <c r="AP873" t="str">
        <f>IF(ISNUMBER(SEARCH("R", 'WetLitterbags placem_collection'!$Y214)),"YES","NO")</f>
        <v>YES</v>
      </c>
    </row>
    <row r="874" spans="1:42" ht="15" customHeight="1">
      <c r="A874" t="s">
        <v>2490</v>
      </c>
      <c r="B874" s="248" t="s">
        <v>2454</v>
      </c>
      <c r="C874" s="253">
        <f>'Dry_Litterbag Placem_Collection'!A215</f>
        <v>212</v>
      </c>
      <c r="D874" s="253" t="str">
        <f>'Dry_Litterbag Placem_Collection'!B215</f>
        <v xml:space="preserve">Mwantimba
</v>
      </c>
      <c r="E874" s="253" t="s">
        <v>2454</v>
      </c>
      <c r="F874" s="253" t="s">
        <v>20</v>
      </c>
      <c r="G874" s="253">
        <v>4</v>
      </c>
      <c r="H874" s="253" t="s">
        <v>3125</v>
      </c>
      <c r="I874" s="254" t="str">
        <f>'Dry_Litterbag Placem_Collection'!C215</f>
        <v>Wet_P4_CG3</v>
      </c>
      <c r="J874" s="263" t="s">
        <v>2932</v>
      </c>
      <c r="K874" s="264" t="s">
        <v>298</v>
      </c>
      <c r="L874" s="221" t="str">
        <f>'WetLitterbags placem_collection'!Q215</f>
        <v>R111</v>
      </c>
      <c r="M874" s="223">
        <f>IFERROR(INDEX('Green_rooibos initial weight'!$C$5:$C$2000,MATCH(L874, 'Green_rooibos initial weight'!$A$5:$A$2000,0)),"")</f>
        <v>2.3170000000000002</v>
      </c>
      <c r="N874" s="223">
        <f>IFERROR(M874-(TBIcalc!$H$9+TBIcalc!$H$10),"")</f>
        <v>2.0672000000000001</v>
      </c>
      <c r="O874" s="378">
        <f>AVERAGE(Ashed_controlls!$K$2:$K$11)</f>
        <v>5.5147656768714146</v>
      </c>
      <c r="P874" s="223">
        <f t="shared" si="66"/>
        <v>1.9531987639277142</v>
      </c>
      <c r="Q874" s="223">
        <f>IFERROR(INDEX('Both teabags AfterWet'!$C$3:$C$840,MATCH(L874,'Both teabags AfterWet'!$A$3:$A$840,0)),"")</f>
        <v>1.587</v>
      </c>
      <c r="R874" s="223">
        <f>IFERROR(IF(Q874&gt;0,Q874-(TBIcalc!$H$9),""),"")</f>
        <v>1.4363999999999999</v>
      </c>
      <c r="S874" s="223">
        <f>IFERROR(INDEX('Ashed teabags wet'!$K$2:$K$2000,MATCH(L874,'Ashed teabags wet'!$A$2:$A$2000,0)),"")</f>
        <v>3.4013605442175416</v>
      </c>
      <c r="T874" s="223">
        <f t="shared" si="67"/>
        <v>1.3875428571428592</v>
      </c>
      <c r="U874" s="224">
        <f>'WetLitterbags placem_collection'!E215</f>
        <v>42769</v>
      </c>
      <c r="V874" s="224">
        <f>IF('WetLitterbags placem_collection'!G215="","",'WetLitterbags placem_collection'!G215)</f>
        <v>42813</v>
      </c>
      <c r="W874" s="225">
        <f t="shared" si="65"/>
        <v>44</v>
      </c>
      <c r="X874" s="223">
        <f t="shared" si="68"/>
        <v>0.63080000000000025</v>
      </c>
      <c r="Y874" s="223">
        <f t="shared" si="69"/>
        <v>0.565655906784855</v>
      </c>
      <c r="Z874">
        <f>IFERROR(INDEX([1]Rainfall_Wet!$O$2:$O$217,MATCH(C874, [1]Rainfall_Wet!$A$2:$A$217,0)),"")</f>
        <v>175.054685654</v>
      </c>
      <c r="AA874" s="226">
        <v>21.96</v>
      </c>
      <c r="AB874" s="226">
        <v>4.9199999999999982</v>
      </c>
      <c r="AC874" s="226">
        <v>73.12</v>
      </c>
      <c r="AD874" s="227" t="s">
        <v>2651</v>
      </c>
      <c r="AE874" s="226">
        <v>1.2416954164613114</v>
      </c>
      <c r="AF874">
        <f>IF('WetLitterbags placem_collection'!AB215="","",'WetLitterbags placem_collection'!AB215)</f>
        <v>15.2</v>
      </c>
      <c r="AG874">
        <f>IF('WetLitterbags placem_collection'!Z215="","",'WetLitterbags placem_collection'!Z215)</f>
        <v>12.2</v>
      </c>
      <c r="AH874" s="236" t="str">
        <f>IF('WetLitterbags placem_collection'!AA215="","",'WetLitterbags placem_collection'!AA215)</f>
        <v>O</v>
      </c>
      <c r="AI874">
        <f>IF('WetLitterbags placem_collection'!AC215="","",'WetLitterbags placem_collection'!AC215)</f>
        <v>1</v>
      </c>
      <c r="AJ874">
        <f>AVERAGE('WetLitterbags placem_collection'!S215,'WetLitterbags placem_collection'!U215)</f>
        <v>19.75</v>
      </c>
      <c r="AK874">
        <f>AVERAGE('WetLitterbags placem_collection'!R215,'WetLitterbags placem_collection'!T215)</f>
        <v>28.15</v>
      </c>
      <c r="AL874">
        <v>-2.4396949910000001</v>
      </c>
      <c r="AM874">
        <v>34.838574029999997</v>
      </c>
      <c r="AN874" t="str">
        <f>IF(ISNUMBER(SEARCH("C", 'WetLitterbags placem_collection'!$Y215)),"YES","NO")</f>
        <v>NO</v>
      </c>
      <c r="AO874" t="str">
        <f>IF(ISNUMBER(SEARCH("H", 'WetLitterbags placem_collection'!$Y215)),"YES","NO")</f>
        <v>NO</v>
      </c>
      <c r="AP874" t="str">
        <f>IF(ISNUMBER(SEARCH("R", 'WetLitterbags placem_collection'!$Y215)),"YES","NO")</f>
        <v>NO</v>
      </c>
    </row>
    <row r="875" spans="1:42" ht="15" customHeight="1">
      <c r="A875" t="s">
        <v>2490</v>
      </c>
      <c r="B875" s="248" t="s">
        <v>2454</v>
      </c>
      <c r="C875" s="253">
        <f>'Dry_Litterbag Placem_Collection'!A216</f>
        <v>213</v>
      </c>
      <c r="D875" s="253" t="str">
        <f>'Dry_Litterbag Placem_Collection'!B216</f>
        <v>Handajega</v>
      </c>
      <c r="E875" s="253" t="s">
        <v>2454</v>
      </c>
      <c r="F875" s="253" t="s">
        <v>2645</v>
      </c>
      <c r="G875" s="253">
        <v>3</v>
      </c>
      <c r="H875" s="253" t="s">
        <v>3126</v>
      </c>
      <c r="I875" s="254" t="str">
        <f>'Dry_Litterbag Placem_Collection'!C216</f>
        <v>Wet_W1_CG4</v>
      </c>
      <c r="J875" s="263" t="s">
        <v>2932</v>
      </c>
      <c r="K875" s="264" t="s">
        <v>298</v>
      </c>
      <c r="L875" s="221" t="str">
        <f>'WetLitterbags placem_collection'!Q216</f>
        <v>R412</v>
      </c>
      <c r="M875" s="223">
        <f>IFERROR(INDEX('Green_rooibos initial weight'!$C$5:$C$2000,MATCH(L875, 'Green_rooibos initial weight'!$A$5:$A$2000,0)),"")</f>
        <v>2.2709999999999999</v>
      </c>
      <c r="N875" s="223">
        <f>IFERROR(M875-(TBIcalc!$H$9+TBIcalc!$H$10),"")</f>
        <v>2.0211999999999999</v>
      </c>
      <c r="O875" s="378">
        <f>AVERAGE(Ashed_controlls!$K$2:$K$11)</f>
        <v>5.5147656768714146</v>
      </c>
      <c r="P875" s="223">
        <f t="shared" si="66"/>
        <v>1.9097355561390748</v>
      </c>
      <c r="Q875" s="223">
        <f>IFERROR(INDEX('Both teabags AfterWet'!$C$3:$C$840,MATCH(L875,'Both teabags AfterWet'!$A$3:$A$840,0)),"")</f>
        <v>1.4850000000000001</v>
      </c>
      <c r="R875" s="223">
        <f>IFERROR(IF(Q875&gt;0,Q875-(TBIcalc!$H$9),""),"")</f>
        <v>1.3344</v>
      </c>
      <c r="S875" s="223">
        <f>IFERROR(INDEX('Ashed teabags wet'!$K$2:$K$2000,MATCH(L875,'Ashed teabags wet'!$A$2:$A$2000,0)),"")</f>
        <v>5.5972013992993173</v>
      </c>
      <c r="T875" s="223">
        <f t="shared" si="67"/>
        <v>1.2597109445277499</v>
      </c>
      <c r="U875" s="224">
        <f>'WetLitterbags placem_collection'!E216</f>
        <v>42769</v>
      </c>
      <c r="V875" s="224">
        <f>IF('WetLitterbags placem_collection'!G216="","",'WetLitterbags placem_collection'!G216)</f>
        <v>42813</v>
      </c>
      <c r="W875" s="225">
        <f t="shared" si="65"/>
        <v>44</v>
      </c>
      <c r="X875" s="223">
        <f t="shared" si="68"/>
        <v>0.68679999999999986</v>
      </c>
      <c r="Y875" s="223">
        <f t="shared" si="69"/>
        <v>0.65002461161132485</v>
      </c>
      <c r="Z875">
        <f>IFERROR(INDEX([1]Rainfall_Wet!$O$2:$O$217,MATCH(C875, [1]Rainfall_Wet!$A$2:$A$217,0)),"")</f>
        <v>175.054685654</v>
      </c>
      <c r="AA875" s="226">
        <v>23.96</v>
      </c>
      <c r="AB875" s="226">
        <v>4.9199999999999982</v>
      </c>
      <c r="AC875" s="226">
        <v>71.12</v>
      </c>
      <c r="AD875" s="227" t="s">
        <v>2651</v>
      </c>
      <c r="AE875" s="226">
        <v>3.30913750616067</v>
      </c>
      <c r="AF875">
        <f>IF('WetLitterbags placem_collection'!AB216="","",'WetLitterbags placem_collection'!AB216)</f>
        <v>7.9</v>
      </c>
      <c r="AG875">
        <f>IF('WetLitterbags placem_collection'!Z216="","",'WetLitterbags placem_collection'!Z216)</f>
        <v>7.9</v>
      </c>
      <c r="AH875" s="236" t="str">
        <f>IF('WetLitterbags placem_collection'!AA216="","",'WetLitterbags placem_collection'!AA216)</f>
        <v>O</v>
      </c>
      <c r="AI875">
        <f>IF('WetLitterbags placem_collection'!AC216="","",'WetLitterbags placem_collection'!AC216)</f>
        <v>1</v>
      </c>
      <c r="AJ875">
        <f>AVERAGE('WetLitterbags placem_collection'!S216,'WetLitterbags placem_collection'!U216)</f>
        <v>19.45</v>
      </c>
      <c r="AK875">
        <f>AVERAGE('WetLitterbags placem_collection'!R216,'WetLitterbags placem_collection'!T216)</f>
        <v>29.200000000000003</v>
      </c>
      <c r="AL875">
        <v>-2.4396949910000001</v>
      </c>
      <c r="AM875">
        <v>34.838574029999997</v>
      </c>
      <c r="AN875" t="str">
        <f>IF(ISNUMBER(SEARCH("C", 'WetLitterbags placem_collection'!$Y216)),"YES","NO")</f>
        <v>NO</v>
      </c>
      <c r="AO875" t="str">
        <f>IF(ISNUMBER(SEARCH("H", 'WetLitterbags placem_collection'!$Y216)),"YES","NO")</f>
        <v>NO</v>
      </c>
      <c r="AP875" t="str">
        <f>IF(ISNUMBER(SEARCH("R", 'WetLitterbags placem_collection'!$Y216)),"YES","NO")</f>
        <v>YES</v>
      </c>
    </row>
    <row r="876" spans="1:42" ht="15" customHeight="1">
      <c r="A876" t="s">
        <v>2490</v>
      </c>
      <c r="B876" s="248" t="s">
        <v>2454</v>
      </c>
      <c r="C876" s="253">
        <f>'Dry_Litterbag Placem_Collection'!A217</f>
        <v>214</v>
      </c>
      <c r="D876" s="253" t="str">
        <f>'Dry_Litterbag Placem_Collection'!B217</f>
        <v>Handajega</v>
      </c>
      <c r="E876" s="253" t="s">
        <v>2454</v>
      </c>
      <c r="F876" s="253" t="s">
        <v>2645</v>
      </c>
      <c r="G876" s="253">
        <v>1</v>
      </c>
      <c r="H876" s="253" t="s">
        <v>3128</v>
      </c>
      <c r="I876" s="254" t="str">
        <f>'Dry_Litterbag Placem_Collection'!C217</f>
        <v>Wet_W2_CG3</v>
      </c>
      <c r="J876" s="263" t="s">
        <v>2932</v>
      </c>
      <c r="K876" s="264" t="s">
        <v>298</v>
      </c>
      <c r="L876" s="221" t="str">
        <f>'WetLitterbags placem_collection'!Q217</f>
        <v>R434</v>
      </c>
      <c r="M876" s="223">
        <f>IFERROR(INDEX('Green_rooibos initial weight'!$C$5:$C$2000,MATCH(L876, 'Green_rooibos initial weight'!$A$5:$A$2000,0)),"")</f>
        <v>2.0840000000000001</v>
      </c>
      <c r="N876" s="223">
        <f>IFERROR(M876-(TBIcalc!$H$9+TBIcalc!$H$10),"")</f>
        <v>1.8342000000000001</v>
      </c>
      <c r="O876" s="378">
        <f>AVERAGE(Ashed_controlls!$K$2:$K$11)</f>
        <v>5.5147656768714146</v>
      </c>
      <c r="P876" s="223">
        <f t="shared" si="66"/>
        <v>1.7330481679548246</v>
      </c>
      <c r="Q876" s="223">
        <f>IFERROR(INDEX('Both teabags AfterWet'!$C$3:$C$840,MATCH(L876,'Both teabags AfterWet'!$A$3:$A$840,0)),"")</f>
        <v>1.5467</v>
      </c>
      <c r="R876" s="223">
        <f>IFERROR(IF(Q876&gt;0,Q876-(TBIcalc!$H$9),""),"")</f>
        <v>1.3960999999999999</v>
      </c>
      <c r="S876" s="223">
        <f>IFERROR(INDEX('Ashed teabags wet'!$K$2:$K$2000,MATCH(L876,'Ashed teabags wet'!$A$2:$A$2000,0)),"")</f>
        <v>2.1484374999999396</v>
      </c>
      <c r="T876" s="223">
        <f t="shared" si="67"/>
        <v>1.3661056640625007</v>
      </c>
      <c r="U876" s="224">
        <f>'WetLitterbags placem_collection'!E217</f>
        <v>42769</v>
      </c>
      <c r="V876" s="224">
        <f>IF('WetLitterbags placem_collection'!G217="","",'WetLitterbags placem_collection'!G217)</f>
        <v>42814</v>
      </c>
      <c r="W876" s="225">
        <f t="shared" si="65"/>
        <v>45</v>
      </c>
      <c r="X876" s="223">
        <f t="shared" si="68"/>
        <v>0.43810000000000016</v>
      </c>
      <c r="Y876" s="223">
        <f t="shared" si="69"/>
        <v>0.36694250389232397</v>
      </c>
      <c r="Z876">
        <f>IFERROR(INDEX([1]Rainfall_Wet!$O$2:$O$217,MATCH(C876, [1]Rainfall_Wet!$A$2:$A$217,0)),"")</f>
        <v>175.054685654</v>
      </c>
      <c r="AA876" s="226">
        <v>25.96</v>
      </c>
      <c r="AB876" s="226">
        <v>8.9200000000000017</v>
      </c>
      <c r="AC876" s="226">
        <v>65.12</v>
      </c>
      <c r="AD876" s="227" t="s">
        <v>2651</v>
      </c>
      <c r="AE876" s="226">
        <v>1.614588467225234</v>
      </c>
      <c r="AF876">
        <f>IF('WetLitterbags placem_collection'!AB217="","",'WetLitterbags placem_collection'!AB217)</f>
        <v>13.8</v>
      </c>
      <c r="AG876">
        <f>IF('WetLitterbags placem_collection'!Z217="","",'WetLitterbags placem_collection'!Z217)</f>
        <v>17.399999999999999</v>
      </c>
      <c r="AH876" s="236" t="str">
        <f>IF('WetLitterbags placem_collection'!AA217="","",'WetLitterbags placem_collection'!AA217)</f>
        <v>O</v>
      </c>
      <c r="AI876">
        <f>IF('WetLitterbags placem_collection'!AC217="","",'WetLitterbags placem_collection'!AC217)</f>
        <v>1</v>
      </c>
      <c r="AJ876">
        <f>AVERAGE('WetLitterbags placem_collection'!S217,'WetLitterbags placem_collection'!U217)</f>
        <v>20.3</v>
      </c>
      <c r="AK876">
        <f>AVERAGE('WetLitterbags placem_collection'!R217,'WetLitterbags placem_collection'!T217)</f>
        <v>26.25</v>
      </c>
      <c r="AL876">
        <v>-2.439403972</v>
      </c>
      <c r="AM876">
        <v>34.838404959999998</v>
      </c>
      <c r="AN876" t="str">
        <f>IF(ISNUMBER(SEARCH("C", 'WetLitterbags placem_collection'!$Y217)),"YES","NO")</f>
        <v>NO</v>
      </c>
      <c r="AO876" t="str">
        <f>IF(ISNUMBER(SEARCH("H", 'WetLitterbags placem_collection'!$Y217)),"YES","NO")</f>
        <v>NO</v>
      </c>
      <c r="AP876" t="str">
        <f>IF(ISNUMBER(SEARCH("R", 'WetLitterbags placem_collection'!$Y217)),"YES","NO")</f>
        <v>YES</v>
      </c>
    </row>
    <row r="877" spans="1:42" ht="15" customHeight="1">
      <c r="A877" t="s">
        <v>2490</v>
      </c>
      <c r="B877" s="248" t="s">
        <v>2454</v>
      </c>
      <c r="C877" s="253">
        <f>'Dry_Litterbag Placem_Collection'!A218</f>
        <v>216</v>
      </c>
      <c r="D877" s="253" t="str">
        <f>'Dry_Litterbag Placem_Collection'!B218</f>
        <v>Handajega</v>
      </c>
      <c r="E877" s="253" t="s">
        <v>2454</v>
      </c>
      <c r="F877" s="253" t="s">
        <v>2645</v>
      </c>
      <c r="G877" s="253">
        <v>2</v>
      </c>
      <c r="H877" s="253" t="s">
        <v>3130</v>
      </c>
      <c r="I877" s="254" t="str">
        <f>'Dry_Litterbag Placem_Collection'!C218</f>
        <v>Wet_W4_CG2</v>
      </c>
      <c r="J877" s="263" t="s">
        <v>2932</v>
      </c>
      <c r="K877" s="264" t="s">
        <v>298</v>
      </c>
      <c r="L877" s="221" t="str">
        <f>'WetLitterbags placem_collection'!Q218</f>
        <v>R457</v>
      </c>
      <c r="M877" s="223">
        <f>IFERROR(INDEX('Green_rooibos initial weight'!$C$5:$C$2000,MATCH(L877, 'Green_rooibos initial weight'!$A$5:$A$2000,0)),"")</f>
        <v>2.2410000000000001</v>
      </c>
      <c r="N877" s="223">
        <f>IFERROR(M877-(TBIcalc!$H$9+TBIcalc!$H$10),"")</f>
        <v>1.9912000000000001</v>
      </c>
      <c r="O877" s="378">
        <f>AVERAGE(Ashed_controlls!$K$2:$K$11)</f>
        <v>5.5147656768714146</v>
      </c>
      <c r="P877" s="223">
        <f t="shared" si="66"/>
        <v>1.8813899858421366</v>
      </c>
      <c r="Q877" s="223">
        <f>IFERROR(INDEX('Both teabags AfterWet'!$C$3:$C$840,MATCH(L877,'Both teabags AfterWet'!$A$3:$A$840,0)),"")</f>
        <v>1.5940000000000001</v>
      </c>
      <c r="R877" s="223">
        <f>IFERROR(IF(Q877&gt;0,Q877-(TBIcalc!$H$9),""),"")</f>
        <v>1.4434</v>
      </c>
      <c r="S877" s="223">
        <f>IFERROR(INDEX('Ashed teabags wet'!$K$2:$K$2000,MATCH(L877,'Ashed teabags wet'!$A$2:$A$2000,0)),"")</f>
        <v>3.2951289398278099</v>
      </c>
      <c r="T877" s="223">
        <f t="shared" si="67"/>
        <v>1.3958381088825254</v>
      </c>
      <c r="U877" s="224">
        <f>'WetLitterbags placem_collection'!E218</f>
        <v>42769</v>
      </c>
      <c r="V877" s="224">
        <f>IF('WetLitterbags placem_collection'!G218="","",'WetLitterbags placem_collection'!G218)</f>
        <v>42814</v>
      </c>
      <c r="W877" s="225">
        <f t="shared" si="65"/>
        <v>45</v>
      </c>
      <c r="X877" s="223">
        <f t="shared" si="68"/>
        <v>0.54780000000000006</v>
      </c>
      <c r="Y877" s="223">
        <f t="shared" si="69"/>
        <v>0.48555187695961122</v>
      </c>
      <c r="Z877">
        <f>IFERROR(INDEX([1]Rainfall_Wet!$O$2:$O$217,MATCH(C877, [1]Rainfall_Wet!$A$2:$A$217,0)),"")</f>
        <v>175.377105089</v>
      </c>
      <c r="AA877" s="226">
        <v>25.96</v>
      </c>
      <c r="AB877" s="226">
        <v>8.9200000000000017</v>
      </c>
      <c r="AC877" s="226">
        <v>65.12</v>
      </c>
      <c r="AD877" s="227" t="s">
        <v>2651</v>
      </c>
      <c r="AE877" s="226">
        <v>1.6991621488417901</v>
      </c>
      <c r="AF877">
        <f>IF('WetLitterbags placem_collection'!AB218="","",'WetLitterbags placem_collection'!AB218)</f>
        <v>5.13</v>
      </c>
      <c r="AG877">
        <f>IF('WetLitterbags placem_collection'!Z218="","",'WetLitterbags placem_collection'!Z218)</f>
        <v>5.13</v>
      </c>
      <c r="AH877" s="236" t="str">
        <f>IF('WetLitterbags placem_collection'!AA218="","",'WetLitterbags placem_collection'!AA218)</f>
        <v>O</v>
      </c>
      <c r="AI877">
        <f>IF('WetLitterbags placem_collection'!AC218="","",'WetLitterbags placem_collection'!AC218)</f>
        <v>1</v>
      </c>
      <c r="AJ877">
        <f>AVERAGE('WetLitterbags placem_collection'!S218,'WetLitterbags placem_collection'!U218)</f>
        <v>20.65</v>
      </c>
      <c r="AK877">
        <f>AVERAGE('WetLitterbags placem_collection'!R218,'WetLitterbags placem_collection'!T218)</f>
        <v>25.05</v>
      </c>
      <c r="AL877">
        <v>-2.4396450349999999</v>
      </c>
      <c r="AM877">
        <v>34.83836599</v>
      </c>
      <c r="AN877" t="str">
        <f>IF(ISNUMBER(SEARCH("C", 'WetLitterbags placem_collection'!$Y218)),"YES","NO")</f>
        <v>NO</v>
      </c>
      <c r="AO877" t="str">
        <f>IF(ISNUMBER(SEARCH("H", 'WetLitterbags placem_collection'!$Y218)),"YES","NO")</f>
        <v>NO</v>
      </c>
      <c r="AP877" t="str">
        <f>IF(ISNUMBER(SEARCH("R", 'WetLitterbags placem_collection'!$Y218)),"YES","NO")</f>
        <v>YES</v>
      </c>
    </row>
    <row r="878" spans="1:42" ht="15" customHeight="1">
      <c r="A878" t="s">
        <v>2490</v>
      </c>
      <c r="B878" s="248" t="s">
        <v>2454</v>
      </c>
      <c r="C878" s="253">
        <f>'Dry_Litterbag Placem_Collection'!A219</f>
        <v>217</v>
      </c>
      <c r="D878" s="253" t="str">
        <f>'Dry_Litterbag Placem_Collection'!B219</f>
        <v>Seronera</v>
      </c>
      <c r="E878" s="253" t="s">
        <v>3249</v>
      </c>
      <c r="F878" s="253" t="s">
        <v>2423</v>
      </c>
      <c r="G878" s="253">
        <v>1</v>
      </c>
      <c r="H878" s="253" t="s">
        <v>3186</v>
      </c>
      <c r="I878" s="254" t="str">
        <f>'Dry_Litterbag Placem_Collection'!C219</f>
        <v>Local1_CG1</v>
      </c>
      <c r="J878" s="263" t="s">
        <v>2932</v>
      </c>
      <c r="K878" s="264" t="s">
        <v>298</v>
      </c>
      <c r="L878" s="221" t="str">
        <f>'WetLitterbags placem_collection'!Q219</f>
        <v>R410</v>
      </c>
      <c r="M878" s="223">
        <f>IFERROR(INDEX('Green_rooibos initial weight'!$C$5:$C$2000,MATCH(L878, 'Green_rooibos initial weight'!$A$5:$A$2000,0)),"")</f>
        <v>2.1930000000000001</v>
      </c>
      <c r="N878" s="223">
        <f>IFERROR(M878-(TBIcalc!$H$9+TBIcalc!$H$10),"")</f>
        <v>1.9432</v>
      </c>
      <c r="O878" s="378">
        <f>AVERAGE(Ashed_controlls!$K$2:$K$11)</f>
        <v>5.5147656768714146</v>
      </c>
      <c r="P878" s="223">
        <f t="shared" si="66"/>
        <v>1.8360370733670348</v>
      </c>
      <c r="Q878" s="223">
        <f>IFERROR(INDEX('Both teabags AfterWet'!$C$3:$C$840,MATCH(L878,'Both teabags AfterWet'!$A$3:$A$840,0)),"")</f>
        <v>1.488</v>
      </c>
      <c r="R878" s="223">
        <f>IFERROR(IF(Q878&gt;0,Q878-(TBIcalc!$H$9),""),"")</f>
        <v>1.3373999999999999</v>
      </c>
      <c r="S878" s="223">
        <f>IFERROR(INDEX('Ashed teabags wet'!$K$2:$K$2000,MATCH(L878,'Ashed teabags wet'!$A$2:$A$2000,0)),"")</f>
        <v>4.277286135692731</v>
      </c>
      <c r="T878" s="223">
        <f t="shared" si="67"/>
        <v>1.2801955752212453</v>
      </c>
      <c r="U878" s="224">
        <f>'WetLitterbags placem_collection'!E219</f>
        <v>42769</v>
      </c>
      <c r="V878" s="224">
        <f>IF('WetLitterbags placem_collection'!G219="","",'WetLitterbags placem_collection'!G219)</f>
        <v>42814</v>
      </c>
      <c r="W878" s="225">
        <f t="shared" si="65"/>
        <v>45</v>
      </c>
      <c r="X878" s="223">
        <f t="shared" si="68"/>
        <v>0.60580000000000012</v>
      </c>
      <c r="Y878" s="223">
        <f t="shared" si="69"/>
        <v>0.55584149814578954</v>
      </c>
      <c r="Z878">
        <f>IFERROR(INDEX([1]Rainfall_Wet!$O$2:$O$217,MATCH(C878, [1]Rainfall_Wet!$A$2:$A$217,0)),"")</f>
        <v>175.377105089</v>
      </c>
      <c r="AA878" s="226">
        <v>29.076539101497506</v>
      </c>
      <c r="AB878" s="226">
        <v>7.1963394342762079</v>
      </c>
      <c r="AC878" s="226">
        <v>63.727121464226286</v>
      </c>
      <c r="AD878" s="226" t="s">
        <v>2651</v>
      </c>
      <c r="AE878" s="226">
        <v>1.0994578610152781</v>
      </c>
      <c r="AF878">
        <f>IF('WetLitterbags placem_collection'!AB219="","",'WetLitterbags placem_collection'!AB219)</f>
        <v>13.8</v>
      </c>
      <c r="AG878">
        <f>IF('WetLitterbags placem_collection'!Z219="","",'WetLitterbags placem_collection'!Z219)</f>
        <v>17.399999999999999</v>
      </c>
      <c r="AH878" s="236" t="str">
        <f>IF('WetLitterbags placem_collection'!AA219="","",'WetLitterbags placem_collection'!AA219)</f>
        <v>O</v>
      </c>
      <c r="AI878">
        <f>IF('WetLitterbags placem_collection'!AC219="","",'WetLitterbags placem_collection'!AC219)</f>
        <v>1</v>
      </c>
      <c r="AJ878">
        <f>AVERAGE('WetLitterbags placem_collection'!S219,'WetLitterbags placem_collection'!U219)</f>
        <v>20.049999999999997</v>
      </c>
      <c r="AK878">
        <f>AVERAGE('WetLitterbags placem_collection'!R219,'WetLitterbags placem_collection'!T219)</f>
        <v>25.5</v>
      </c>
      <c r="AL878">
        <v>-2.439403972</v>
      </c>
      <c r="AM878">
        <v>34.838404959999998</v>
      </c>
      <c r="AN878" t="str">
        <f>IF(ISNUMBER(SEARCH("C", 'WetLitterbags placem_collection'!$Y219)),"YES","NO")</f>
        <v>NO</v>
      </c>
      <c r="AO878" t="str">
        <f>IF(ISNUMBER(SEARCH("H", 'WetLitterbags placem_collection'!$Y219)),"YES","NO")</f>
        <v>NO</v>
      </c>
      <c r="AP878" t="str">
        <f>IF(ISNUMBER(SEARCH("R", 'WetLitterbags placem_collection'!$Y219)),"YES","NO")</f>
        <v>NO</v>
      </c>
    </row>
    <row r="879" spans="1:42" ht="15" customHeight="1">
      <c r="A879" t="s">
        <v>2490</v>
      </c>
      <c r="B879" s="248" t="s">
        <v>2454</v>
      </c>
      <c r="C879" s="253">
        <f>'Dry_Litterbag Placem_Collection'!A220</f>
        <v>218</v>
      </c>
      <c r="D879" s="253" t="str">
        <f>'Dry_Litterbag Placem_Collection'!B220</f>
        <v>Seronera</v>
      </c>
      <c r="E879" s="253" t="s">
        <v>3249</v>
      </c>
      <c r="F879" s="253" t="s">
        <v>2423</v>
      </c>
      <c r="G879" s="253">
        <v>2</v>
      </c>
      <c r="H879" s="253" t="s">
        <v>3187</v>
      </c>
      <c r="I879" s="254" t="str">
        <f>'Dry_Litterbag Placem_Collection'!C220</f>
        <v>Local2_CG2</v>
      </c>
      <c r="J879" s="263" t="s">
        <v>2932</v>
      </c>
      <c r="K879" s="264" t="s">
        <v>298</v>
      </c>
      <c r="L879" s="221" t="str">
        <f>'WetLitterbags placem_collection'!Q220</f>
        <v>R103</v>
      </c>
      <c r="M879" s="223">
        <f>IFERROR(INDEX('Green_rooibos initial weight'!$C$5:$C$2000,MATCH(L879, 'Green_rooibos initial weight'!$A$5:$A$2000,0)),"")</f>
        <v>2.246</v>
      </c>
      <c r="N879" s="223">
        <f>IFERROR(M879-(TBIcalc!$H$9+TBIcalc!$H$10),"")</f>
        <v>1.9962</v>
      </c>
      <c r="O879" s="378">
        <f>AVERAGE(Ashed_controlls!$K$2:$K$11)</f>
        <v>5.5147656768714146</v>
      </c>
      <c r="P879" s="223">
        <f t="shared" si="66"/>
        <v>1.8861142475582928</v>
      </c>
      <c r="Q879" s="223">
        <f>IFERROR(INDEX('Both teabags AfterWet'!$C$3:$C$840,MATCH(L879,'Both teabags AfterWet'!$A$3:$A$840,0)),"")</f>
        <v>1.4296</v>
      </c>
      <c r="R879" s="223">
        <f>IFERROR(IF(Q879&gt;0,Q879-(TBIcalc!$H$9),""),"")</f>
        <v>1.2789999999999999</v>
      </c>
      <c r="S879" s="223">
        <f>IFERROR(INDEX('Ashed teabags wet'!$K$2:$K$2000,MATCH(L879,'Ashed teabags wet'!$A$2:$A$2000,0)),"")</f>
        <v>5.6706114398422001</v>
      </c>
      <c r="T879" s="223">
        <f t="shared" si="67"/>
        <v>1.2064728796844182</v>
      </c>
      <c r="U879" s="224">
        <f>'WetLitterbags placem_collection'!E220</f>
        <v>42769</v>
      </c>
      <c r="V879" s="224">
        <f>IF('WetLitterbags placem_collection'!G220="","",'WetLitterbags placem_collection'!G220)</f>
        <v>42814</v>
      </c>
      <c r="W879" s="225">
        <f t="shared" si="65"/>
        <v>45</v>
      </c>
      <c r="X879" s="223">
        <f t="shared" si="68"/>
        <v>0.71720000000000006</v>
      </c>
      <c r="Y879" s="223">
        <f t="shared" si="69"/>
        <v>0.67964136787387464</v>
      </c>
      <c r="Z879">
        <f>IFERROR(INDEX([1]Rainfall_Wet!$O$2:$O$217,MATCH(C879, [1]Rainfall_Wet!$A$2:$A$217,0)),"")</f>
        <v>175.377105089</v>
      </c>
      <c r="AA879" s="226">
        <v>21.072635135135137</v>
      </c>
      <c r="AB879" s="226">
        <v>7.3057432432432412</v>
      </c>
      <c r="AC879" s="226">
        <v>71.621621621621614</v>
      </c>
      <c r="AD879" s="226" t="s">
        <v>2651</v>
      </c>
      <c r="AE879" s="226">
        <v>1.4512074913750617</v>
      </c>
      <c r="AF879">
        <f>IF('WetLitterbags placem_collection'!AB220="","",'WetLitterbags placem_collection'!AB220)</f>
        <v>5.13</v>
      </c>
      <c r="AG879">
        <f>IF('WetLitterbags placem_collection'!Z220="","",'WetLitterbags placem_collection'!Z220)</f>
        <v>5.13</v>
      </c>
      <c r="AH879" s="236" t="str">
        <f>IF('WetLitterbags placem_collection'!AA220="","",'WetLitterbags placem_collection'!AA220)</f>
        <v>O</v>
      </c>
      <c r="AI879">
        <f>IF('WetLitterbags placem_collection'!AC220="","",'WetLitterbags placem_collection'!AC220)</f>
        <v>1</v>
      </c>
      <c r="AJ879">
        <f>AVERAGE('WetLitterbags placem_collection'!S220,'WetLitterbags placem_collection'!U220)</f>
        <v>22.1</v>
      </c>
      <c r="AK879">
        <f>AVERAGE('WetLitterbags placem_collection'!R220,'WetLitterbags placem_collection'!T220)</f>
        <v>24.5</v>
      </c>
      <c r="AL879">
        <v>-2.4396450349999999</v>
      </c>
      <c r="AM879">
        <v>34.83836599</v>
      </c>
      <c r="AN879" t="str">
        <f>IF(ISNUMBER(SEARCH("C", 'WetLitterbags placem_collection'!$Y220)),"YES","NO")</f>
        <v>NO</v>
      </c>
      <c r="AO879" t="str">
        <f>IF(ISNUMBER(SEARCH("H", 'WetLitterbags placem_collection'!$Y220)),"YES","NO")</f>
        <v>NO</v>
      </c>
      <c r="AP879" t="str">
        <f>IF(ISNUMBER(SEARCH("R", 'WetLitterbags placem_collection'!$Y220)),"YES","NO")</f>
        <v>YES</v>
      </c>
    </row>
    <row r="880" spans="1:42" ht="15" customHeight="1">
      <c r="A880" t="s">
        <v>2490</v>
      </c>
      <c r="B880" s="248" t="s">
        <v>2454</v>
      </c>
      <c r="C880" s="253">
        <f>'Dry_Litterbag Placem_Collection'!A221</f>
        <v>219</v>
      </c>
      <c r="D880" s="253" t="str">
        <f>'Dry_Litterbag Placem_Collection'!B221</f>
        <v>Seronera</v>
      </c>
      <c r="E880" s="253" t="s">
        <v>3249</v>
      </c>
      <c r="F880" s="253" t="s">
        <v>2423</v>
      </c>
      <c r="G880" s="253">
        <v>3</v>
      </c>
      <c r="H880" s="253" t="s">
        <v>3188</v>
      </c>
      <c r="I880" s="254" t="str">
        <f>'Dry_Litterbag Placem_Collection'!C221</f>
        <v>Local3_CG3</v>
      </c>
      <c r="J880" s="263" t="s">
        <v>2932</v>
      </c>
      <c r="K880" s="264" t="s">
        <v>298</v>
      </c>
      <c r="L880" s="221" t="str">
        <f>'WetLitterbags placem_collection'!Q221</f>
        <v>R356</v>
      </c>
      <c r="M880" s="223">
        <f>IFERROR(INDEX('Green_rooibos initial weight'!$C$5:$C$2000,MATCH(L880, 'Green_rooibos initial weight'!$A$5:$A$2000,0)),"")</f>
        <v>2.1619999999999999</v>
      </c>
      <c r="N880" s="223">
        <f>IFERROR(M880-(TBIcalc!$H$9+TBIcalc!$H$10),"")</f>
        <v>1.9121999999999999</v>
      </c>
      <c r="O880" s="378">
        <f>AVERAGE(Ashed_controlls!$K$2:$K$11)</f>
        <v>5.5147656768714146</v>
      </c>
      <c r="P880" s="223">
        <f t="shared" si="66"/>
        <v>1.8067466507268648</v>
      </c>
      <c r="Q880" s="223">
        <f>IFERROR(INDEX('Both teabags AfterWet'!$C$3:$C$840,MATCH(L880,'Both teabags AfterWet'!$A$3:$A$840,0)),"")</f>
        <v>1.4823</v>
      </c>
      <c r="R880" s="223">
        <f>IFERROR(IF(Q880&gt;0,Q880-(TBIcalc!$H$9),""),"")</f>
        <v>1.3316999999999999</v>
      </c>
      <c r="S880" s="223">
        <f>IFERROR(INDEX('Ashed teabags wet'!$K$2:$K$2000,MATCH(L880,'Ashed teabags wet'!$A$2:$A$2000,0)),"")</f>
        <v>7.426928605653603</v>
      </c>
      <c r="T880" s="223">
        <f t="shared" si="67"/>
        <v>1.2327955917585109</v>
      </c>
      <c r="U880" s="224">
        <f>'WetLitterbags placem_collection'!E221</f>
        <v>42769</v>
      </c>
      <c r="V880" s="224">
        <f>IF('WetLitterbags placem_collection'!G221="","",'WetLitterbags placem_collection'!G221)</f>
        <v>42813</v>
      </c>
      <c r="W880" s="225">
        <f t="shared" si="65"/>
        <v>44</v>
      </c>
      <c r="X880" s="223">
        <f t="shared" si="68"/>
        <v>0.58050000000000002</v>
      </c>
      <c r="Y880" s="223">
        <f t="shared" si="69"/>
        <v>0.57395105896835386</v>
      </c>
      <c r="Z880">
        <f>IFERROR(INDEX([1]Rainfall_Wet!$O$2:$O$217,MATCH(C880, [1]Rainfall_Wet!$A$2:$A$217,0)),"")</f>
        <v>175.054685654</v>
      </c>
      <c r="AA880" s="226">
        <v>21.96</v>
      </c>
      <c r="AB880" s="226">
        <v>4.9199999999999982</v>
      </c>
      <c r="AC880" s="226">
        <v>73.12</v>
      </c>
      <c r="AD880" s="226" t="s">
        <v>2651</v>
      </c>
      <c r="AE880" s="226">
        <v>1.4012321340561851</v>
      </c>
      <c r="AF880">
        <f>IF('WetLitterbags placem_collection'!AB221="","",'WetLitterbags placem_collection'!AB221)</f>
        <v>7.9</v>
      </c>
      <c r="AG880">
        <f>IF('WetLitterbags placem_collection'!Z221="","",'WetLitterbags placem_collection'!Z221)</f>
        <v>7.9</v>
      </c>
      <c r="AH880" s="236" t="str">
        <f>IF('WetLitterbags placem_collection'!AA221="","",'WetLitterbags placem_collection'!AA221)</f>
        <v>O</v>
      </c>
      <c r="AI880">
        <f>IF('WetLitterbags placem_collection'!AC221="","",'WetLitterbags placem_collection'!AC221)</f>
        <v>1</v>
      </c>
      <c r="AJ880">
        <f>AVERAGE('WetLitterbags placem_collection'!S221,'WetLitterbags placem_collection'!U221)</f>
        <v>21.75</v>
      </c>
      <c r="AK880">
        <f>AVERAGE('WetLitterbags placem_collection'!R221,'WetLitterbags placem_collection'!T221)</f>
        <v>27.55</v>
      </c>
      <c r="AL880">
        <v>-2.4395990190000001</v>
      </c>
      <c r="AM880">
        <v>34.838418959999998</v>
      </c>
      <c r="AN880" t="str">
        <f>IF(ISNUMBER(SEARCH("C", 'WetLitterbags placem_collection'!$Y221)),"YES","NO")</f>
        <v>NO</v>
      </c>
      <c r="AO880" t="str">
        <f>IF(ISNUMBER(SEARCH("H", 'WetLitterbags placem_collection'!$Y221)),"YES","NO")</f>
        <v>NO</v>
      </c>
      <c r="AP880" t="str">
        <f>IF(ISNUMBER(SEARCH("R", 'WetLitterbags placem_collection'!$Y221)),"YES","NO")</f>
        <v>NO</v>
      </c>
    </row>
    <row r="881" spans="1:42" ht="15" customHeight="1">
      <c r="A881" t="s">
        <v>2490</v>
      </c>
      <c r="B881" s="248" t="s">
        <v>2454</v>
      </c>
      <c r="C881" s="253">
        <f>'Dry_Litterbag Placem_Collection'!A222</f>
        <v>220</v>
      </c>
      <c r="D881" s="253" t="str">
        <f>'Dry_Litterbag Placem_Collection'!B222</f>
        <v>Seronera</v>
      </c>
      <c r="E881" s="253" t="s">
        <v>3249</v>
      </c>
      <c r="F881" s="253" t="s">
        <v>2423</v>
      </c>
      <c r="G881" s="253">
        <v>4</v>
      </c>
      <c r="H881" s="253" t="s">
        <v>3189</v>
      </c>
      <c r="I881" s="254" t="str">
        <f>'Dry_Litterbag Placem_Collection'!C222</f>
        <v>Local4_CG4</v>
      </c>
      <c r="J881" s="263" t="s">
        <v>2932</v>
      </c>
      <c r="K881" s="264" t="s">
        <v>298</v>
      </c>
      <c r="L881" s="221" t="str">
        <f>'WetLitterbags placem_collection'!Q222</f>
        <v>R319</v>
      </c>
      <c r="M881" s="223">
        <f>IFERROR(INDEX('Green_rooibos initial weight'!$C$5:$C$2000,MATCH(L881, 'Green_rooibos initial weight'!$A$5:$A$2000,0)),"")</f>
        <v>2.1709999999999998</v>
      </c>
      <c r="N881" s="223">
        <f>IFERROR(M881-(TBIcalc!$H$9+TBIcalc!$H$10),"")</f>
        <v>1.9211999999999998</v>
      </c>
      <c r="O881" s="378">
        <f>AVERAGE(Ashed_controlls!$K$2:$K$11)</f>
        <v>5.5147656768714146</v>
      </c>
      <c r="P881" s="223">
        <f t="shared" si="66"/>
        <v>1.8152503218159461</v>
      </c>
      <c r="Q881" s="223">
        <f>IFERROR(INDEX('Both teabags AfterWet'!$C$3:$C$840,MATCH(L881,'Both teabags AfterWet'!$A$3:$A$840,0)),"")</f>
        <v>1.5328999999999999</v>
      </c>
      <c r="R881" s="223">
        <f>IFERROR(IF(Q881&gt;0,Q881-(TBIcalc!$H$9),""),"")</f>
        <v>1.3822999999999999</v>
      </c>
      <c r="S881" s="223">
        <f>IFERROR(INDEX('Ashed teabags wet'!$K$2:$K$2000,MATCH(L881,'Ashed teabags wet'!$A$2:$A$2000,0)),"")</f>
        <v>5.0223769269016794</v>
      </c>
      <c r="T881" s="223">
        <f t="shared" si="67"/>
        <v>1.312875683739438</v>
      </c>
      <c r="U881" s="224">
        <f>'WetLitterbags placem_collection'!E222</f>
        <v>42769</v>
      </c>
      <c r="V881" s="224">
        <f>IF('WetLitterbags placem_collection'!G222="","",'WetLitterbags placem_collection'!G222)</f>
        <v>42813</v>
      </c>
      <c r="W881" s="225">
        <f t="shared" si="65"/>
        <v>44</v>
      </c>
      <c r="X881" s="223">
        <f t="shared" si="68"/>
        <v>0.53889999999999993</v>
      </c>
      <c r="Y881" s="223">
        <f t="shared" si="69"/>
        <v>0.50237463807650817</v>
      </c>
      <c r="Z881">
        <f>IFERROR(INDEX([1]Rainfall_Wet!$O$2:$O$217,MATCH(C881, [1]Rainfall_Wet!$A$2:$A$217,0)),"")</f>
        <v>175.054685654</v>
      </c>
      <c r="AA881" s="226">
        <v>15.960000000000003</v>
      </c>
      <c r="AB881" s="226">
        <v>6.9199999999999982</v>
      </c>
      <c r="AC881" s="226">
        <v>77.11999999999999</v>
      </c>
      <c r="AD881" s="226" t="s">
        <v>2652</v>
      </c>
      <c r="AE881" s="226">
        <v>0.60547067520946207</v>
      </c>
      <c r="AF881">
        <f>IF('WetLitterbags placem_collection'!AB222="","",'WetLitterbags placem_collection'!AB222)</f>
        <v>15.2</v>
      </c>
      <c r="AG881">
        <f>IF('WetLitterbags placem_collection'!Z222="","",'WetLitterbags placem_collection'!Z222)</f>
        <v>12.2</v>
      </c>
      <c r="AH881" s="236" t="str">
        <f>IF('WetLitterbags placem_collection'!AA222="","",'WetLitterbags placem_collection'!AA222)</f>
        <v>O</v>
      </c>
      <c r="AI881">
        <f>IF('WetLitterbags placem_collection'!AC222="","",'WetLitterbags placem_collection'!AC222)</f>
        <v>1</v>
      </c>
      <c r="AJ881">
        <f>AVERAGE('WetLitterbags placem_collection'!S222,'WetLitterbags placem_collection'!U222)</f>
        <v>20.85</v>
      </c>
      <c r="AK881">
        <f>AVERAGE('WetLitterbags placem_collection'!R222,'WetLitterbags placem_collection'!T222)</f>
        <v>27.950000000000003</v>
      </c>
      <c r="AL881">
        <v>-2.4396949910000001</v>
      </c>
      <c r="AM881">
        <v>34.838574029999997</v>
      </c>
      <c r="AN881" t="str">
        <f>IF(ISNUMBER(SEARCH("C", 'WetLitterbags placem_collection'!$Y222)),"YES","NO")</f>
        <v>NO</v>
      </c>
      <c r="AO881" t="str">
        <f>IF(ISNUMBER(SEARCH("H", 'WetLitterbags placem_collection'!$Y222)),"YES","NO")</f>
        <v>NO</v>
      </c>
      <c r="AP881" t="str">
        <f>IF(ISNUMBER(SEARCH("R", 'WetLitterbags placem_collection'!$Y222)),"YES","NO")</f>
        <v>NO</v>
      </c>
    </row>
  </sheetData>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2CD205-3DAC-475C-AE1A-9722309A97FF}">
  <dimension ref="A1:AP881"/>
  <sheetViews>
    <sheetView zoomScale="70" zoomScaleNormal="70" workbookViewId="0">
      <pane xSplit="9" ySplit="1" topLeftCell="J182" activePane="bottomRight" state="frozen"/>
      <selection pane="topRight" activeCell="F1" sqref="F1"/>
      <selection pane="bottomLeft" activeCell="A2" sqref="A2"/>
      <selection pane="bottomRight" activeCell="F193" sqref="F193"/>
    </sheetView>
  </sheetViews>
  <sheetFormatPr baseColWidth="10" defaultColWidth="11.44140625" defaultRowHeight="14.4"/>
  <cols>
    <col min="1" max="1" width="15.44140625" customWidth="1"/>
    <col min="2" max="2" width="11.44140625" style="249"/>
    <col min="3" max="3" width="6.109375" style="221" customWidth="1"/>
    <col min="4" max="8" width="11.44140625" style="221"/>
    <col min="9" max="9" width="20.109375" style="222" customWidth="1"/>
    <col min="10" max="11" width="11.44140625" style="221"/>
    <col min="13" max="18" width="11.44140625" style="194"/>
    <col min="19" max="19" width="21.88671875" style="233" customWidth="1"/>
    <col min="20" max="20" width="24.44140625" style="233" customWidth="1"/>
    <col min="21" max="22" width="11.44140625" style="16"/>
    <col min="23" max="23" width="11.44140625" style="17"/>
    <col min="24" max="24" width="11.44140625" style="194"/>
    <col min="25" max="29" width="11.44140625" style="233"/>
    <col min="30" max="30" width="16.88671875" customWidth="1"/>
    <col min="34" max="34" width="11.44140625" style="236"/>
  </cols>
  <sheetData>
    <row r="1" spans="1:42" ht="87" thickBot="1">
      <c r="A1" s="70" t="s">
        <v>3247</v>
      </c>
      <c r="B1" s="247" t="s">
        <v>2451</v>
      </c>
      <c r="C1" s="70" t="s">
        <v>2159</v>
      </c>
      <c r="D1" s="70" t="s">
        <v>2627</v>
      </c>
      <c r="E1" s="70" t="s">
        <v>2648</v>
      </c>
      <c r="F1" s="70" t="s">
        <v>2632</v>
      </c>
      <c r="G1" s="70" t="s">
        <v>2625</v>
      </c>
      <c r="H1" s="228" t="s">
        <v>2626</v>
      </c>
      <c r="I1" s="228" t="s">
        <v>3185</v>
      </c>
      <c r="J1" s="70" t="s">
        <v>25</v>
      </c>
      <c r="K1" s="70" t="s">
        <v>2647</v>
      </c>
      <c r="L1" s="70" t="s">
        <v>2631</v>
      </c>
      <c r="M1" s="269" t="s">
        <v>2633</v>
      </c>
      <c r="N1" s="269" t="s">
        <v>2634</v>
      </c>
      <c r="O1" s="70" t="s">
        <v>2635</v>
      </c>
      <c r="P1" s="70" t="s">
        <v>2636</v>
      </c>
      <c r="Q1" s="269" t="s">
        <v>2637</v>
      </c>
      <c r="R1" s="269" t="s">
        <v>2638</v>
      </c>
      <c r="S1" s="267" t="s">
        <v>2639</v>
      </c>
      <c r="T1" s="267" t="s">
        <v>2640</v>
      </c>
      <c r="U1" s="229" t="s">
        <v>2642</v>
      </c>
      <c r="V1" s="230" t="s">
        <v>31</v>
      </c>
      <c r="W1" s="231" t="s">
        <v>2641</v>
      </c>
      <c r="X1" s="269" t="s">
        <v>2934</v>
      </c>
      <c r="Y1" s="267" t="s">
        <v>2646</v>
      </c>
      <c r="Z1" s="267" t="s">
        <v>2661</v>
      </c>
      <c r="AA1" s="267" t="s">
        <v>2657</v>
      </c>
      <c r="AB1" s="267" t="s">
        <v>2658</v>
      </c>
      <c r="AC1" s="267" t="s">
        <v>2659</v>
      </c>
      <c r="AD1" s="231" t="s">
        <v>2662</v>
      </c>
      <c r="AE1" s="231" t="s">
        <v>2660</v>
      </c>
      <c r="AF1" s="232" t="s">
        <v>2665</v>
      </c>
      <c r="AG1" s="232" t="s">
        <v>2666</v>
      </c>
      <c r="AH1" s="235" t="s">
        <v>2663</v>
      </c>
      <c r="AI1" s="232" t="s">
        <v>2664</v>
      </c>
      <c r="AJ1" s="232" t="s">
        <v>2670</v>
      </c>
      <c r="AK1" s="232" t="s">
        <v>2671</v>
      </c>
      <c r="AL1" s="232" t="s">
        <v>2672</v>
      </c>
      <c r="AM1" s="232" t="s">
        <v>2673</v>
      </c>
      <c r="AN1" s="241" t="s">
        <v>2803</v>
      </c>
      <c r="AO1" s="241" t="s">
        <v>2804</v>
      </c>
      <c r="AP1" s="241" t="s">
        <v>2805</v>
      </c>
    </row>
    <row r="2" spans="1:42">
      <c r="A2" t="s">
        <v>3248</v>
      </c>
      <c r="B2" s="252" t="s">
        <v>2643</v>
      </c>
      <c r="C2" s="253">
        <f>'Dry_Litterbag Placem_Collection'!A3</f>
        <v>1</v>
      </c>
      <c r="D2" s="253" t="str">
        <f>'Dry_Litterbag Placem_Collection'!B3</f>
        <v>Makao</v>
      </c>
      <c r="E2" s="253" t="s">
        <v>2643</v>
      </c>
      <c r="F2" s="253" t="s">
        <v>2644</v>
      </c>
      <c r="G2" s="253">
        <v>1</v>
      </c>
      <c r="H2" s="253" t="s">
        <v>3099</v>
      </c>
      <c r="I2" s="254" t="str">
        <f>'Dry_Litterbag Placem_Collection'!C3</f>
        <v>Dry_Ag1_T1</v>
      </c>
      <c r="J2" s="255" t="s">
        <v>2525</v>
      </c>
      <c r="K2" s="256" t="s">
        <v>1147</v>
      </c>
      <c r="L2" s="253" t="str">
        <f>IF(ISBLANK('Dry_Litterbag Placem_Collection'!J3),"","G"&amp;""&amp;'Dry_Litterbag Placem_Collection'!J3)</f>
        <v>G407</v>
      </c>
      <c r="M2" s="257">
        <f>IFERROR(INDEX('Green_rooibos initial weight'!$C$5:$C$2000,MATCH(L2, 'Green_rooibos initial weight'!$A$5:$A$2000,0)),"")</f>
        <v>1.966</v>
      </c>
      <c r="N2" s="257">
        <f>IFERROR(M2-(TBIcalc!$Q$9+TBIcalc!$Q$10),"")</f>
        <v>1.7161999999999999</v>
      </c>
      <c r="O2" s="378">
        <f>AVERAGE(Ashed_controlls!$K$2:$K$11)</f>
        <v>5.5147656768714146</v>
      </c>
      <c r="P2" s="257">
        <f>IFERROR(N2-(O2/100)*N2,"")</f>
        <v>1.6215555914535327</v>
      </c>
      <c r="Q2" s="257">
        <f>IFERROR(INDEX('Both teabags AfterDry'!$D$2:$D$2000,MATCH(L2,'Both teabags AfterDry'!$A$2:$A$2000,0)),"")</f>
        <v>1.278</v>
      </c>
      <c r="R2" s="257">
        <f>IFERROR(IF(Q2&gt;0,Q2-(TBIcalc!$Q$9),""),"")</f>
        <v>1.1274</v>
      </c>
      <c r="S2" s="268">
        <f>IFERROR(INDEX('Ashed teabags dry'!$K$2:$K$2000,MATCH(L2,'Ashed teabags dry'!$A$2:$A$2000,0)),"")</f>
        <v>21.67931688804563</v>
      </c>
      <c r="T2" s="268">
        <f>IFERROR(R2-(S2/100)*R2,"")</f>
        <v>0.88298738140417354</v>
      </c>
      <c r="U2" s="258">
        <f>IF('Dry_Litterbag Placem_Collection'!E3="","",'Dry_Litterbag Placem_Collection'!E3)</f>
        <v>42938</v>
      </c>
      <c r="V2" s="258">
        <f>IF('Dry_Litterbag Placem_Collection'!G3="","",'Dry_Litterbag Placem_Collection'!G3)</f>
        <v>43007</v>
      </c>
      <c r="W2" s="259">
        <f t="shared" ref="W2:W65" si="0">IFERROR(V2-U2,"")</f>
        <v>69</v>
      </c>
      <c r="X2" s="257">
        <f>IFERROR(N2-R2,"")</f>
        <v>0.58879999999999999</v>
      </c>
      <c r="Y2" s="257">
        <f>IFERROR(P2-T2,"")</f>
        <v>0.73856821004935913</v>
      </c>
      <c r="Z2" s="261">
        <f>IFERROR(INDEX([3]Rainfall_Dry!$O$2:$O$217,MATCH(C2, [3]Rainfall_Dry!$A$2:$A$217,0)),"")</f>
        <v>6.900000125</v>
      </c>
      <c r="AA2" s="250">
        <v>12.565665055683967</v>
      </c>
      <c r="AB2" s="250">
        <v>0.9665896196679955</v>
      </c>
      <c r="AC2" s="250">
        <v>86.467745324648035</v>
      </c>
      <c r="AD2" s="251" t="s">
        <v>2653</v>
      </c>
      <c r="AE2" s="250">
        <v>1.0225726959093147</v>
      </c>
      <c r="AF2">
        <f>IF('WetLitterbags placem_collection'!AB3="","",'WetLitterbags placem_collection'!AB3)</f>
        <v>26.4</v>
      </c>
      <c r="AG2">
        <f>IF('WetLitterbags placem_collection'!Z3="","",'WetLitterbags placem_collection'!Z3)</f>
        <v>41</v>
      </c>
      <c r="AH2" s="236" t="str">
        <f>IF('WetLitterbags placem_collection'!AA3="","",'WetLitterbags placem_collection'!AA3)</f>
        <v>M</v>
      </c>
      <c r="AI2">
        <f>IF('WetLitterbags placem_collection'!AC3="","",'WetLitterbags placem_collection'!AC3)</f>
        <v>1</v>
      </c>
      <c r="AJ2">
        <f>IFERROR(AVERAGE('Dry_Litterbag Placem_Collection'!O3,'Dry_Litterbag Placem_Collection'!R3),"")</f>
        <v>3.8</v>
      </c>
      <c r="AK2" s="261">
        <f>IFERROR(AVERAGE('Dry_Litterbag Placem_Collection'!N3,'Dry_Litterbag Placem_Collection'!Q3),"")</f>
        <v>26.9</v>
      </c>
      <c r="AL2" s="260">
        <f>INDEX([2]Coordinates!$B$2:$B$197,MATCH(I2,[2]Coordinates!$J$2:$J$197,0))</f>
        <v>-3.3978609999999998</v>
      </c>
      <c r="AM2" s="260">
        <f>INDEX([2]Coordinates!$C$2:$C$197,MATCH(I2,[2]Coordinates!$J$2:$J$197,0))</f>
        <v>34.837608000000003</v>
      </c>
      <c r="AN2" s="260" t="str">
        <f>IF(ISNUMBER(SEARCH("C", 'Dry_Litterbag Placem_Collection'!S3)),"YES","NO")</f>
        <v>NO</v>
      </c>
      <c r="AO2" s="260" t="str">
        <f>IF(ISNUMBER(SEARCH("H", 'Dry_Litterbag Placem_Collection'!S3)),"YES","NO")</f>
        <v>YES</v>
      </c>
      <c r="AP2" s="260" t="str">
        <f>IF(ISNUMBER(SEARCH("R", 'Dry_Litterbag Placem_Collection'!S3)),"YES","NO")</f>
        <v>NO</v>
      </c>
    </row>
    <row r="3" spans="1:42">
      <c r="A3" t="s">
        <v>3248</v>
      </c>
      <c r="B3" s="252" t="s">
        <v>2643</v>
      </c>
      <c r="C3" s="253">
        <f>'Dry_Litterbag Placem_Collection'!A4</f>
        <v>2</v>
      </c>
      <c r="D3" s="253" t="str">
        <f>'Dry_Litterbag Placem_Collection'!B4</f>
        <v>Makao</v>
      </c>
      <c r="E3" s="253" t="s">
        <v>2643</v>
      </c>
      <c r="F3" s="253" t="s">
        <v>2644</v>
      </c>
      <c r="G3" s="253">
        <v>1</v>
      </c>
      <c r="H3" s="253" t="s">
        <v>3099</v>
      </c>
      <c r="I3" s="254" t="str">
        <f>'Dry_Litterbag Placem_Collection'!C4</f>
        <v>Dry_Ag1_T2</v>
      </c>
      <c r="J3" s="255" t="s">
        <v>2525</v>
      </c>
      <c r="K3" s="256" t="s">
        <v>1147</v>
      </c>
      <c r="L3" s="253" t="str">
        <f>IF(ISBLANK('Dry_Litterbag Placem_Collection'!J4),"","G"&amp;""&amp;'Dry_Litterbag Placem_Collection'!J4)</f>
        <v/>
      </c>
      <c r="M3" s="257" t="str">
        <f>IFERROR(INDEX('Green_rooibos initial weight'!$C$5:$C$2000,MATCH(L3, 'Green_rooibos initial weight'!$A$5:$A$2000,0)),"")</f>
        <v/>
      </c>
      <c r="N3" s="257" t="str">
        <f>IFERROR(M3-(TBIcalc!$Q$9+TBIcalc!$Q$10),"")</f>
        <v/>
      </c>
      <c r="O3" s="378">
        <f>AVERAGE(Ashed_controlls!$K$2:$K$11)</f>
        <v>5.5147656768714146</v>
      </c>
      <c r="P3" s="257" t="str">
        <f t="shared" ref="P3:P66" si="1">IFERROR(N3-(O3/100)*N3,"")</f>
        <v/>
      </c>
      <c r="Q3" s="257" t="str">
        <f>IFERROR(INDEX('Both teabags AfterDry'!$D$2:$D$2000,MATCH(L3,'Both teabags AfterDry'!$A$2:$A$2000,0)),"")</f>
        <v/>
      </c>
      <c r="R3" s="257" t="str">
        <f>IFERROR(IF(Q3&gt;0,Q3-(TBIcalc!$Q$9),""),"")</f>
        <v/>
      </c>
      <c r="S3" s="268" t="str">
        <f>IFERROR(INDEX('Ashed teabags dry'!$K$2:$K$2000,MATCH(L3,'Ashed teabags dry'!$A$2:$A$2000,0)),"")</f>
        <v/>
      </c>
      <c r="T3" s="268" t="str">
        <f t="shared" ref="T3:T66" si="2">IFERROR(R3-(S3/100)*R3,"")</f>
        <v/>
      </c>
      <c r="U3" s="258" t="str">
        <f>IF('Dry_Litterbag Placem_Collection'!E4="","",'Dry_Litterbag Placem_Collection'!E4)</f>
        <v/>
      </c>
      <c r="V3" s="258" t="str">
        <f>IF('Dry_Litterbag Placem_Collection'!G4="","",'Dry_Litterbag Placem_Collection'!G4)</f>
        <v/>
      </c>
      <c r="W3" s="259" t="str">
        <f t="shared" si="0"/>
        <v/>
      </c>
      <c r="X3" s="257" t="str">
        <f t="shared" ref="X3:X66" si="3">IFERROR(N3-R3,"")</f>
        <v/>
      </c>
      <c r="Y3" s="257" t="str">
        <f t="shared" ref="Y3:Y66" si="4">IFERROR(P3-T3,"")</f>
        <v/>
      </c>
      <c r="Z3" s="261" t="str">
        <f>IFERROR(INDEX([3]Rainfall_Dry!$O$2:$O$217,MATCH(C3, [3]Rainfall_Dry!$A$2:$A$217,0)),"")</f>
        <v/>
      </c>
      <c r="AA3" s="250">
        <v>12.565665055683967</v>
      </c>
      <c r="AB3" s="250">
        <v>0.9665896196679955</v>
      </c>
      <c r="AC3" s="250">
        <v>86.467745324648035</v>
      </c>
      <c r="AD3" s="251" t="s">
        <v>2653</v>
      </c>
      <c r="AE3" s="250">
        <v>2.02257269590931</v>
      </c>
      <c r="AF3">
        <f>IF('WetLitterbags placem_collection'!AB4="","",'WetLitterbags placem_collection'!AB4)</f>
        <v>22.4</v>
      </c>
      <c r="AG3">
        <f>IF('WetLitterbags placem_collection'!Z4="","",'WetLitterbags placem_collection'!Z4)</f>
        <v>39.799999999999997</v>
      </c>
      <c r="AH3" s="236" t="str">
        <f>IF('WetLitterbags placem_collection'!AA4="","",'WetLitterbags placem_collection'!AA4)</f>
        <v>M</v>
      </c>
      <c r="AI3">
        <f>IF('WetLitterbags placem_collection'!AC4="","",'WetLitterbags placem_collection'!AC4)</f>
        <v>1</v>
      </c>
      <c r="AJ3" t="str">
        <f>IFERROR(AVERAGE('Dry_Litterbag Placem_Collection'!O4,'Dry_Litterbag Placem_Collection'!R4),"")</f>
        <v/>
      </c>
      <c r="AK3" s="261" t="str">
        <f>IFERROR(AVERAGE('Dry_Litterbag Placem_Collection'!N4,'Dry_Litterbag Placem_Collection'!Q4),"")</f>
        <v/>
      </c>
      <c r="AL3" s="260">
        <f>INDEX([2]Coordinates!$B$2:$B$197,MATCH(I3,[2]Coordinates!$J$2:$J$197,0))</f>
        <v>-3.397879042</v>
      </c>
      <c r="AM3" s="260">
        <f>INDEX([2]Coordinates!$C$2:$C$197,MATCH(I3,[2]Coordinates!$J$2:$J$197,0))</f>
        <v>34.837536010000001</v>
      </c>
      <c r="AN3" s="260" t="str">
        <f>IF(ISNUMBER(SEARCH("C", 'Dry_Litterbag Placem_Collection'!S4)),"YES","NO")</f>
        <v>NO</v>
      </c>
      <c r="AO3" s="260" t="str">
        <f>IF(ISNUMBER(SEARCH("H", 'Dry_Litterbag Placem_Collection'!S4)),"YES","NO")</f>
        <v>NO</v>
      </c>
      <c r="AP3" s="260" t="str">
        <f>IF(ISNUMBER(SEARCH("R", 'Dry_Litterbag Placem_Collection'!S4)),"YES","NO")</f>
        <v>NO</v>
      </c>
    </row>
    <row r="4" spans="1:42">
      <c r="A4" t="s">
        <v>3248</v>
      </c>
      <c r="B4" s="252" t="s">
        <v>2643</v>
      </c>
      <c r="C4" s="253">
        <f>'Dry_Litterbag Placem_Collection'!A5</f>
        <v>3</v>
      </c>
      <c r="D4" s="253" t="str">
        <f>'Dry_Litterbag Placem_Collection'!B5</f>
        <v>Makao</v>
      </c>
      <c r="E4" s="253" t="s">
        <v>2643</v>
      </c>
      <c r="F4" s="253" t="s">
        <v>2644</v>
      </c>
      <c r="G4" s="253">
        <v>1</v>
      </c>
      <c r="H4" s="253" t="s">
        <v>3099</v>
      </c>
      <c r="I4" s="254" t="str">
        <f>'Dry_Litterbag Placem_Collection'!C5</f>
        <v>Dry_Ag1_T3</v>
      </c>
      <c r="J4" s="255" t="s">
        <v>2525</v>
      </c>
      <c r="K4" s="256" t="s">
        <v>1147</v>
      </c>
      <c r="L4" s="253" t="str">
        <f>IF(ISBLANK('Dry_Litterbag Placem_Collection'!J5),"","G"&amp;""&amp;'Dry_Litterbag Placem_Collection'!J5)</f>
        <v>G259</v>
      </c>
      <c r="M4" s="257">
        <f>IFERROR(INDEX('Green_rooibos initial weight'!$C$5:$C$2000,MATCH(L4, 'Green_rooibos initial weight'!$A$5:$A$2000,0)),"")</f>
        <v>1.913</v>
      </c>
      <c r="N4" s="257">
        <f>IFERROR(M4-(TBIcalc!$Q$9+TBIcalc!$Q$10),"")</f>
        <v>1.6632</v>
      </c>
      <c r="O4" s="378">
        <f>AVERAGE(Ashed_controlls!$K$2:$K$11)</f>
        <v>5.5147656768714146</v>
      </c>
      <c r="P4" s="257">
        <f t="shared" si="1"/>
        <v>1.5714784172622747</v>
      </c>
      <c r="Q4" s="257">
        <f>IFERROR(INDEX('Both teabags AfterDry'!$D$2:$D$2000,MATCH(L4,'Both teabags AfterDry'!$A$2:$A$2000,0)),"")</f>
        <v>1.5964</v>
      </c>
      <c r="R4" s="257">
        <f>IFERROR(IF(Q4&gt;0,Q4-(TBIcalc!$Q$9),""),"")</f>
        <v>1.4458</v>
      </c>
      <c r="S4" s="268">
        <f>IFERROR(INDEX('Ashed teabags dry'!$K$2:$K$2000,MATCH(L4,'Ashed teabags dry'!$A$2:$A$2000,0)),"")</f>
        <v>10.613993336505917</v>
      </c>
      <c r="T4" s="268">
        <f t="shared" si="2"/>
        <v>1.2923428843407974</v>
      </c>
      <c r="U4" s="258">
        <f>IF('Dry_Litterbag Placem_Collection'!E5="","",'Dry_Litterbag Placem_Collection'!E5)</f>
        <v>42938</v>
      </c>
      <c r="V4" s="258">
        <f>IF('Dry_Litterbag Placem_Collection'!G5="","",'Dry_Litterbag Placem_Collection'!G5)</f>
        <v>43007</v>
      </c>
      <c r="W4" s="259">
        <f t="shared" si="0"/>
        <v>69</v>
      </c>
      <c r="X4" s="257">
        <f t="shared" si="3"/>
        <v>0.21740000000000004</v>
      </c>
      <c r="Y4" s="257">
        <f t="shared" si="4"/>
        <v>0.2791355329214773</v>
      </c>
      <c r="Z4" s="261">
        <f>IFERROR(INDEX([3]Rainfall_Dry!$O$2:$O$217,MATCH(C4, [3]Rainfall_Dry!$A$2:$A$217,0)),"")</f>
        <v>6.900000125</v>
      </c>
      <c r="AA4" s="250">
        <v>12.565665055683967</v>
      </c>
      <c r="AB4" s="250">
        <v>0.9665896196679955</v>
      </c>
      <c r="AC4" s="250">
        <v>86.467745324648035</v>
      </c>
      <c r="AD4" s="251" t="s">
        <v>2653</v>
      </c>
      <c r="AE4" s="250">
        <v>3.02257269590931</v>
      </c>
      <c r="AF4" t="str">
        <f>IF('WetLitterbags placem_collection'!AB5="","",'WetLitterbags placem_collection'!AB5)</f>
        <v/>
      </c>
      <c r="AG4" t="str">
        <f>IF('WetLitterbags placem_collection'!Z5="","",'WetLitterbags placem_collection'!Z5)</f>
        <v/>
      </c>
      <c r="AH4" s="236" t="str">
        <f>IF('WetLitterbags placem_collection'!AA5="","",'WetLitterbags placem_collection'!AA5)</f>
        <v/>
      </c>
      <c r="AI4" t="str">
        <f>IF('WetLitterbags placem_collection'!AC5="","",'WetLitterbags placem_collection'!AC5)</f>
        <v/>
      </c>
      <c r="AJ4">
        <f>IFERROR(AVERAGE('Dry_Litterbag Placem_Collection'!O5,'Dry_Litterbag Placem_Collection'!R5),"")</f>
        <v>3.3</v>
      </c>
      <c r="AK4" s="261">
        <f>IFERROR(AVERAGE('Dry_Litterbag Placem_Collection'!N5,'Dry_Litterbag Placem_Collection'!Q5),"")</f>
        <v>25</v>
      </c>
      <c r="AL4" s="260">
        <f>INDEX([2]Coordinates!$B$2:$B$197,MATCH(I4,[2]Coordinates!$J$2:$J$197,0))</f>
        <v>-3.3978739999999998</v>
      </c>
      <c r="AM4" s="260">
        <f>INDEX([2]Coordinates!$C$2:$C$197,MATCH(I4,[2]Coordinates!$J$2:$J$197,0))</f>
        <v>34.837578999999998</v>
      </c>
      <c r="AN4" s="260" t="str">
        <f>IF(ISNUMBER(SEARCH("C", 'Dry_Litterbag Placem_Collection'!S5)),"YES","NO")</f>
        <v>YES</v>
      </c>
      <c r="AO4" s="260" t="str">
        <f>IF(ISNUMBER(SEARCH("H", 'Dry_Litterbag Placem_Collection'!S5)),"YES","NO")</f>
        <v>YES</v>
      </c>
      <c r="AP4" s="260" t="str">
        <f>IF(ISNUMBER(SEARCH("R", 'Dry_Litterbag Placem_Collection'!S5)),"YES","NO")</f>
        <v>NO</v>
      </c>
    </row>
    <row r="5" spans="1:42">
      <c r="A5" t="s">
        <v>3248</v>
      </c>
      <c r="B5" s="252" t="s">
        <v>2643</v>
      </c>
      <c r="C5" s="253">
        <f>'Dry_Litterbag Placem_Collection'!A6</f>
        <v>4</v>
      </c>
      <c r="D5" s="253" t="str">
        <f>'Dry_Litterbag Placem_Collection'!B6</f>
        <v>Makao</v>
      </c>
      <c r="E5" s="253" t="s">
        <v>2643</v>
      </c>
      <c r="F5" s="253" t="s">
        <v>2644</v>
      </c>
      <c r="G5" s="253">
        <v>1</v>
      </c>
      <c r="H5" s="253" t="s">
        <v>3099</v>
      </c>
      <c r="I5" s="254" t="str">
        <f>'Dry_Litterbag Placem_Collection'!C6</f>
        <v>Dry_Ag1_T4</v>
      </c>
      <c r="J5" s="255" t="s">
        <v>2525</v>
      </c>
      <c r="K5" s="256" t="s">
        <v>1147</v>
      </c>
      <c r="L5" s="253" t="str">
        <f>IF(ISBLANK('Dry_Litterbag Placem_Collection'!J6),"","G"&amp;""&amp;'Dry_Litterbag Placem_Collection'!J6)</f>
        <v>G255</v>
      </c>
      <c r="M5" s="257">
        <f>IFERROR(INDEX('Green_rooibos initial weight'!$C$5:$C$2000,MATCH(L5, 'Green_rooibos initial weight'!$A$5:$A$2000,0)),"")</f>
        <v>2.0310000000000001</v>
      </c>
      <c r="N5" s="257">
        <f>IFERROR(M5-(TBIcalc!$Q$9+TBIcalc!$Q$10),"")</f>
        <v>1.7812000000000001</v>
      </c>
      <c r="O5" s="378">
        <f>AVERAGE(Ashed_controlls!$K$2:$K$11)</f>
        <v>5.5147656768714146</v>
      </c>
      <c r="P5" s="257">
        <f t="shared" si="1"/>
        <v>1.6829709937635664</v>
      </c>
      <c r="Q5" s="257">
        <f>IFERROR(INDEX('Both teabags AfterDry'!$D$2:$D$2000,MATCH(L5,'Both teabags AfterDry'!$A$2:$A$2000,0)),"")</f>
        <v>1.6215999999999999</v>
      </c>
      <c r="R5" s="257">
        <f>IFERROR(IF(Q5&gt;0,Q5-(TBIcalc!$Q$9),""),"")</f>
        <v>1.4709999999999999</v>
      </c>
      <c r="S5" s="268">
        <f>IFERROR(INDEX('Ashed teabags dry'!$K$2:$K$2000,MATCH(L5,'Ashed teabags dry'!$A$2:$A$2000,0)),"")</f>
        <v>8.5846867749423765</v>
      </c>
      <c r="T5" s="268">
        <f t="shared" si="2"/>
        <v>1.3447192575405975</v>
      </c>
      <c r="U5" s="258">
        <f>IF('Dry_Litterbag Placem_Collection'!E6="","",'Dry_Litterbag Placem_Collection'!E6)</f>
        <v>42938</v>
      </c>
      <c r="V5" s="258">
        <f>IF('Dry_Litterbag Placem_Collection'!G6="","",'Dry_Litterbag Placem_Collection'!G6)</f>
        <v>43007</v>
      </c>
      <c r="W5" s="259">
        <f t="shared" si="0"/>
        <v>69</v>
      </c>
      <c r="X5" s="257">
        <f t="shared" si="3"/>
        <v>0.31020000000000025</v>
      </c>
      <c r="Y5" s="257">
        <f t="shared" si="4"/>
        <v>0.33825173622296889</v>
      </c>
      <c r="Z5" s="261">
        <f>IFERROR(INDEX([3]Rainfall_Dry!$O$2:$O$217,MATCH(C5, [3]Rainfall_Dry!$A$2:$A$217,0)),"")</f>
        <v>6.900000125</v>
      </c>
      <c r="AA5" s="250">
        <v>12.565665055683967</v>
      </c>
      <c r="AB5" s="250">
        <v>0.9665896196679955</v>
      </c>
      <c r="AC5" s="250">
        <v>86.467745324648035</v>
      </c>
      <c r="AD5" s="251" t="s">
        <v>2653</v>
      </c>
      <c r="AE5" s="250">
        <v>4.02257269590931</v>
      </c>
      <c r="AF5" t="str">
        <f>IF('WetLitterbags placem_collection'!AB6="","",'WetLitterbags placem_collection'!AB6)</f>
        <v/>
      </c>
      <c r="AG5" t="str">
        <f>IF('WetLitterbags placem_collection'!Z6="","",'WetLitterbags placem_collection'!Z6)</f>
        <v/>
      </c>
      <c r="AH5" s="236" t="str">
        <f>IF('WetLitterbags placem_collection'!AA6="","",'WetLitterbags placem_collection'!AA6)</f>
        <v/>
      </c>
      <c r="AI5" t="str">
        <f>IF('WetLitterbags placem_collection'!AC6="","",'WetLitterbags placem_collection'!AC6)</f>
        <v/>
      </c>
      <c r="AJ5">
        <f>IFERROR(AVERAGE('Dry_Litterbag Placem_Collection'!O6,'Dry_Litterbag Placem_Collection'!R6),"")</f>
        <v>2.25</v>
      </c>
      <c r="AK5" s="261">
        <f>IFERROR(AVERAGE('Dry_Litterbag Placem_Collection'!N6,'Dry_Litterbag Placem_Collection'!Q6),"")</f>
        <v>27.35</v>
      </c>
      <c r="AL5" s="260">
        <f>INDEX([2]Coordinates!$B$2:$B$197,MATCH(I5,[2]Coordinates!$J$2:$J$197,0))</f>
        <v>-3.3977780399999999</v>
      </c>
      <c r="AM5" s="260">
        <f>INDEX([2]Coordinates!$C$2:$C$197,MATCH(I5,[2]Coordinates!$J$2:$J$197,0))</f>
        <v>34.83751204</v>
      </c>
      <c r="AN5" s="260" t="str">
        <f>IF(ISNUMBER(SEARCH("C", 'Dry_Litterbag Placem_Collection'!S6)),"YES","NO")</f>
        <v>NO</v>
      </c>
      <c r="AO5" s="260" t="str">
        <f>IF(ISNUMBER(SEARCH("H", 'Dry_Litterbag Placem_Collection'!S6)),"YES","NO")</f>
        <v>NO</v>
      </c>
      <c r="AP5" s="260" t="str">
        <f>IF(ISNUMBER(SEARCH("R", 'Dry_Litterbag Placem_Collection'!S6)),"YES","NO")</f>
        <v>NO</v>
      </c>
    </row>
    <row r="6" spans="1:42">
      <c r="A6" t="s">
        <v>3248</v>
      </c>
      <c r="B6" s="252" t="s">
        <v>2643</v>
      </c>
      <c r="C6" s="253">
        <f>'Dry_Litterbag Placem_Collection'!A7</f>
        <v>5</v>
      </c>
      <c r="D6" s="253" t="str">
        <f>'Dry_Litterbag Placem_Collection'!B7</f>
        <v>Makao</v>
      </c>
      <c r="E6" s="253" t="s">
        <v>2643</v>
      </c>
      <c r="F6" s="253" t="s">
        <v>2644</v>
      </c>
      <c r="G6" s="253">
        <v>1</v>
      </c>
      <c r="H6" s="253" t="s">
        <v>3099</v>
      </c>
      <c r="I6" s="254" t="str">
        <f>'Dry_Litterbag Placem_Collection'!C7</f>
        <v>Dry_Ag1_T5</v>
      </c>
      <c r="J6" s="255" t="s">
        <v>2525</v>
      </c>
      <c r="K6" s="256" t="s">
        <v>1147</v>
      </c>
      <c r="L6" s="253" t="str">
        <f>IF(ISBLANK('Dry_Litterbag Placem_Collection'!J7),"","G"&amp;""&amp;'Dry_Litterbag Placem_Collection'!J7)</f>
        <v>G122</v>
      </c>
      <c r="M6" s="257">
        <f>IFERROR(INDEX('Green_rooibos initial weight'!$C$5:$C$2000,MATCH(L6, 'Green_rooibos initial weight'!$A$5:$A$2000,0)),"")</f>
        <v>1.95</v>
      </c>
      <c r="N6" s="257">
        <f>IFERROR(M6-(TBIcalc!$Q$9+TBIcalc!$Q$10),"")</f>
        <v>1.7001999999999999</v>
      </c>
      <c r="O6" s="378">
        <f>AVERAGE(Ashed_controlls!$K$2:$K$11)</f>
        <v>5.5147656768714146</v>
      </c>
      <c r="P6" s="257">
        <f t="shared" si="1"/>
        <v>1.6064379539618321</v>
      </c>
      <c r="Q6" s="257" t="str">
        <f>IFERROR(INDEX('Both teabags AfterDry'!$D$2:$D$2000,MATCH(L6,'Both teabags AfterDry'!$A$2:$A$2000,0)),"")</f>
        <v/>
      </c>
      <c r="R6" s="257" t="str">
        <f>IFERROR(IF(Q6&gt;0,Q6-(TBIcalc!$Q$9),""),"")</f>
        <v/>
      </c>
      <c r="S6" s="268" t="str">
        <f>IFERROR(INDEX('Ashed teabags dry'!$K$2:$K$2000,MATCH(L6,'Ashed teabags dry'!$A$2:$A$2000,0)),"")</f>
        <v/>
      </c>
      <c r="T6" s="268" t="str">
        <f t="shared" si="2"/>
        <v/>
      </c>
      <c r="U6" s="258">
        <f>IF('Dry_Litterbag Placem_Collection'!E7="","",'Dry_Litterbag Placem_Collection'!E7)</f>
        <v>42938</v>
      </c>
      <c r="V6" s="258" t="str">
        <f>IF('Dry_Litterbag Placem_Collection'!G7="","",'Dry_Litterbag Placem_Collection'!G7)</f>
        <v/>
      </c>
      <c r="W6" s="259" t="str">
        <f t="shared" si="0"/>
        <v/>
      </c>
      <c r="X6" s="257" t="str">
        <f t="shared" si="3"/>
        <v/>
      </c>
      <c r="Y6" s="257" t="str">
        <f t="shared" si="4"/>
        <v/>
      </c>
      <c r="Z6" s="261" t="str">
        <f>IFERROR(INDEX([3]Rainfall_Dry!$O$2:$O$217,MATCH(C6, [3]Rainfall_Dry!$A$2:$A$217,0)),"")</f>
        <v/>
      </c>
      <c r="AA6" s="250">
        <v>12.565665055683967</v>
      </c>
      <c r="AB6" s="250">
        <v>0.9665896196679955</v>
      </c>
      <c r="AC6" s="250">
        <v>86.467745324648035</v>
      </c>
      <c r="AD6" s="251" t="s">
        <v>2653</v>
      </c>
      <c r="AE6" s="250">
        <v>5.02257269590931</v>
      </c>
      <c r="AF6">
        <f>IF('WetLitterbags placem_collection'!AB7="","",'WetLitterbags placem_collection'!AB7)</f>
        <v>28.4</v>
      </c>
      <c r="AG6">
        <f>IF('WetLitterbags placem_collection'!Z7="","",'WetLitterbags placem_collection'!Z7)</f>
        <v>36.4</v>
      </c>
      <c r="AH6" s="236" t="str">
        <f>IF('WetLitterbags placem_collection'!AA7="","",'WetLitterbags placem_collection'!AA7)</f>
        <v>M</v>
      </c>
      <c r="AI6">
        <f>IF('WetLitterbags placem_collection'!AC7="","",'WetLitterbags placem_collection'!AC7)</f>
        <v>1</v>
      </c>
      <c r="AJ6">
        <f>IFERROR(AVERAGE('Dry_Litterbag Placem_Collection'!O7,'Dry_Litterbag Placem_Collection'!R7),"")</f>
        <v>3.2</v>
      </c>
      <c r="AK6" s="261">
        <f>IFERROR(AVERAGE('Dry_Litterbag Placem_Collection'!N7,'Dry_Litterbag Placem_Collection'!Q7),"")</f>
        <v>26.7</v>
      </c>
      <c r="AL6" s="260">
        <f>INDEX([2]Coordinates!$B$2:$B$197,MATCH(I6,[2]Coordinates!$J$2:$J$197,0))</f>
        <v>-3.3978020120000001</v>
      </c>
      <c r="AM6" s="260">
        <f>INDEX([2]Coordinates!$C$2:$C$197,MATCH(I6,[2]Coordinates!$J$2:$J$197,0))</f>
        <v>34.83751204</v>
      </c>
      <c r="AN6" s="260" t="str">
        <f>IF(ISNUMBER(SEARCH("C", 'Dry_Litterbag Placem_Collection'!S7)),"YES","NO")</f>
        <v>NO</v>
      </c>
      <c r="AO6" s="260" t="str">
        <f>IF(ISNUMBER(SEARCH("H", 'Dry_Litterbag Placem_Collection'!S7)),"YES","NO")</f>
        <v>NO</v>
      </c>
      <c r="AP6" s="260" t="str">
        <f>IF(ISNUMBER(SEARCH("R", 'Dry_Litterbag Placem_Collection'!S7)),"YES","NO")</f>
        <v>NO</v>
      </c>
    </row>
    <row r="7" spans="1:42">
      <c r="A7" t="s">
        <v>3248</v>
      </c>
      <c r="B7" s="252" t="s">
        <v>2643</v>
      </c>
      <c r="C7" s="253">
        <f>'Dry_Litterbag Placem_Collection'!A8</f>
        <v>6</v>
      </c>
      <c r="D7" s="253" t="str">
        <f>'Dry_Litterbag Placem_Collection'!B8</f>
        <v>Makao</v>
      </c>
      <c r="E7" s="253" t="s">
        <v>2643</v>
      </c>
      <c r="F7" s="253" t="s">
        <v>2644</v>
      </c>
      <c r="G7" s="253">
        <v>1</v>
      </c>
      <c r="H7" s="253" t="s">
        <v>3099</v>
      </c>
      <c r="I7" s="254" t="str">
        <f>'Dry_Litterbag Placem_Collection'!C8</f>
        <v>Dry_Ag1_T6</v>
      </c>
      <c r="J7" s="255" t="s">
        <v>2525</v>
      </c>
      <c r="K7" s="256" t="s">
        <v>1147</v>
      </c>
      <c r="L7" s="253" t="str">
        <f>IF(ISBLANK('Dry_Litterbag Placem_Collection'!J8),"","G"&amp;""&amp;'Dry_Litterbag Placem_Collection'!J8)</f>
        <v>G478</v>
      </c>
      <c r="M7" s="257">
        <f>IFERROR(INDEX('Green_rooibos initial weight'!$C$5:$C$2000,MATCH(L7, 'Green_rooibos initial weight'!$A$5:$A$2000,0)),"")</f>
        <v>2.056</v>
      </c>
      <c r="N7" s="257">
        <f>IFERROR(M7-(TBIcalc!$Q$9+TBIcalc!$Q$10),"")</f>
        <v>1.8062</v>
      </c>
      <c r="O7" s="378">
        <f>AVERAGE(Ashed_controlls!$K$2:$K$11)</f>
        <v>5.5147656768714146</v>
      </c>
      <c r="P7" s="257">
        <f t="shared" si="1"/>
        <v>1.7065923023443486</v>
      </c>
      <c r="Q7" s="257" t="str">
        <f>IFERROR(INDEX('Both teabags AfterDry'!$D$2:$D$2000,MATCH(L7,'Both teabags AfterDry'!$A$2:$A$2000,0)),"")</f>
        <v/>
      </c>
      <c r="R7" s="257" t="str">
        <f>IFERROR(IF(Q7&gt;0,Q7-(TBIcalc!$Q$9),""),"")</f>
        <v/>
      </c>
      <c r="S7" s="268" t="str">
        <f>IFERROR(INDEX('Ashed teabags dry'!$K$2:$K$2000,MATCH(L7,'Ashed teabags dry'!$A$2:$A$2000,0)),"")</f>
        <v/>
      </c>
      <c r="T7" s="268" t="str">
        <f t="shared" si="2"/>
        <v/>
      </c>
      <c r="U7" s="258">
        <f>IF('Dry_Litterbag Placem_Collection'!E8="","",'Dry_Litterbag Placem_Collection'!E8)</f>
        <v>42938</v>
      </c>
      <c r="V7" s="258">
        <f>IF('Dry_Litterbag Placem_Collection'!G8="","",'Dry_Litterbag Placem_Collection'!G8)</f>
        <v>43007</v>
      </c>
      <c r="W7" s="259">
        <f t="shared" si="0"/>
        <v>69</v>
      </c>
      <c r="X7" s="257" t="str">
        <f t="shared" si="3"/>
        <v/>
      </c>
      <c r="Y7" s="257" t="str">
        <f t="shared" si="4"/>
        <v/>
      </c>
      <c r="Z7" s="261">
        <f>IFERROR(INDEX([3]Rainfall_Dry!$O$2:$O$217,MATCH(C7, [3]Rainfall_Dry!$A$2:$A$217,0)),"")</f>
        <v>6.900000125</v>
      </c>
      <c r="AA7" s="250">
        <v>12.565665055683967</v>
      </c>
      <c r="AB7" s="250">
        <v>0.9665896196679955</v>
      </c>
      <c r="AC7" s="250">
        <v>86.467745324648035</v>
      </c>
      <c r="AD7" s="251" t="s">
        <v>2653</v>
      </c>
      <c r="AE7" s="250">
        <v>6.02257269590931</v>
      </c>
      <c r="AF7">
        <f>IF('WetLitterbags placem_collection'!AB8="","",'WetLitterbags placem_collection'!AB8)</f>
        <v>32.4</v>
      </c>
      <c r="AG7">
        <f>IF('WetLitterbags placem_collection'!Z8="","",'WetLitterbags placem_collection'!Z8)</f>
        <v>31</v>
      </c>
      <c r="AH7" s="236" t="str">
        <f>IF('WetLitterbags placem_collection'!AA8="","",'WetLitterbags placem_collection'!AA8)</f>
        <v>M</v>
      </c>
      <c r="AI7">
        <f>IF('WetLitterbags placem_collection'!AC8="","",'WetLitterbags placem_collection'!AC8)</f>
        <v>1</v>
      </c>
      <c r="AJ7">
        <f>IFERROR(AVERAGE('Dry_Litterbag Placem_Collection'!O8,'Dry_Litterbag Placem_Collection'!R8),"")</f>
        <v>5.35</v>
      </c>
      <c r="AK7" s="261">
        <f>IFERROR(AVERAGE('Dry_Litterbag Placem_Collection'!N8,'Dry_Litterbag Placem_Collection'!Q8),"")</f>
        <v>26.6</v>
      </c>
      <c r="AL7" s="260">
        <f>INDEX([2]Coordinates!$B$2:$B$197,MATCH(I7,[2]Coordinates!$J$2:$J$197,0))</f>
        <v>-3.3977389800000002</v>
      </c>
      <c r="AM7" s="260">
        <f>INDEX([2]Coordinates!$C$2:$C$197,MATCH(I7,[2]Coordinates!$J$2:$J$197,0))</f>
        <v>34.837501979999999</v>
      </c>
      <c r="AN7" s="260" t="str">
        <f>IF(ISNUMBER(SEARCH("C", 'Dry_Litterbag Placem_Collection'!S8)),"YES","NO")</f>
        <v>NO</v>
      </c>
      <c r="AO7" s="260" t="str">
        <f>IF(ISNUMBER(SEARCH("H", 'Dry_Litterbag Placem_Collection'!S8)),"YES","NO")</f>
        <v>NO</v>
      </c>
      <c r="AP7" s="260" t="str">
        <f>IF(ISNUMBER(SEARCH("R", 'Dry_Litterbag Placem_Collection'!S8)),"YES","NO")</f>
        <v>NO</v>
      </c>
    </row>
    <row r="8" spans="1:42">
      <c r="A8" t="s">
        <v>3248</v>
      </c>
      <c r="B8" s="252" t="s">
        <v>2643</v>
      </c>
      <c r="C8" s="253">
        <f>'Dry_Litterbag Placem_Collection'!A9</f>
        <v>7</v>
      </c>
      <c r="D8" s="253" t="str">
        <f>'Dry_Litterbag Placem_Collection'!B9</f>
        <v>Makao</v>
      </c>
      <c r="E8" s="253" t="s">
        <v>2643</v>
      </c>
      <c r="F8" s="253" t="s">
        <v>2644</v>
      </c>
      <c r="G8" s="253">
        <v>1</v>
      </c>
      <c r="H8" s="253" t="s">
        <v>3099</v>
      </c>
      <c r="I8" s="254" t="str">
        <f>'Dry_Litterbag Placem_Collection'!C9</f>
        <v>Dry_Ag1_T7</v>
      </c>
      <c r="J8" s="255" t="s">
        <v>2525</v>
      </c>
      <c r="K8" s="256" t="s">
        <v>1147</v>
      </c>
      <c r="L8" s="253" t="str">
        <f>IF(ISBLANK('Dry_Litterbag Placem_Collection'!J9),"","G"&amp;""&amp;'Dry_Litterbag Placem_Collection'!J9)</f>
        <v>G106</v>
      </c>
      <c r="M8" s="257">
        <f>IFERROR(INDEX('Green_rooibos initial weight'!$C$5:$C$2000,MATCH(L8, 'Green_rooibos initial weight'!$A$5:$A$2000,0)),"")</f>
        <v>2.1230000000000002</v>
      </c>
      <c r="N8" s="257">
        <f>IFERROR(M8-(TBIcalc!$Q$9+TBIcalc!$Q$10),"")</f>
        <v>1.8732000000000002</v>
      </c>
      <c r="O8" s="378">
        <f>AVERAGE(Ashed_controlls!$K$2:$K$11)</f>
        <v>5.5147656768714146</v>
      </c>
      <c r="P8" s="257">
        <f t="shared" si="1"/>
        <v>1.7698974093408448</v>
      </c>
      <c r="Q8" s="257">
        <f>IFERROR(INDEX('Both teabags AfterDry'!$D$2:$D$2000,MATCH(L8,'Both teabags AfterDry'!$A$2:$A$2000,0)),"")</f>
        <v>2.0188999999999999</v>
      </c>
      <c r="R8" s="257">
        <f>IFERROR(IF(Q8&gt;0,Q8-(TBIcalc!$Q$9),""),"")</f>
        <v>1.8682999999999998</v>
      </c>
      <c r="S8" s="268">
        <f>IFERROR(INDEX('Ashed teabags dry'!$K$2:$K$2000,MATCH(L8,'Ashed teabags dry'!$A$2:$A$2000,0)),"")</f>
        <v>8.482523444160524</v>
      </c>
      <c r="T8" s="268">
        <f t="shared" si="2"/>
        <v>1.7098210144927488</v>
      </c>
      <c r="U8" s="258">
        <f>IF('Dry_Litterbag Placem_Collection'!E9="","",'Dry_Litterbag Placem_Collection'!E9)</f>
        <v>42938</v>
      </c>
      <c r="V8" s="258">
        <f>IF('Dry_Litterbag Placem_Collection'!G9="","",'Dry_Litterbag Placem_Collection'!G9)</f>
        <v>43007</v>
      </c>
      <c r="W8" s="259">
        <f t="shared" si="0"/>
        <v>69</v>
      </c>
      <c r="X8" s="257">
        <f t="shared" si="3"/>
        <v>4.9000000000003485E-3</v>
      </c>
      <c r="Y8" s="257">
        <f t="shared" si="4"/>
        <v>6.0076394848096015E-2</v>
      </c>
      <c r="Z8" s="261">
        <f>IFERROR(INDEX([3]Rainfall_Dry!$O$2:$O$217,MATCH(C8, [3]Rainfall_Dry!$A$2:$A$217,0)),"")</f>
        <v>6.900000125</v>
      </c>
      <c r="AA8" s="250">
        <v>12.565665055683967</v>
      </c>
      <c r="AB8" s="250">
        <v>0.9665896196679955</v>
      </c>
      <c r="AC8" s="250">
        <v>86.467745324648035</v>
      </c>
      <c r="AD8" s="251" t="s">
        <v>2653</v>
      </c>
      <c r="AE8" s="250">
        <v>7.02257269590931</v>
      </c>
      <c r="AF8">
        <f>IF('WetLitterbags placem_collection'!AB9="","",'WetLitterbags placem_collection'!AB9)</f>
        <v>36</v>
      </c>
      <c r="AG8">
        <f>IF('WetLitterbags placem_collection'!Z9="","",'WetLitterbags placem_collection'!Z9)</f>
        <v>43.4</v>
      </c>
      <c r="AH8" s="236" t="str">
        <f>IF('WetLitterbags placem_collection'!AA9="","",'WetLitterbags placem_collection'!AA9)</f>
        <v>M</v>
      </c>
      <c r="AI8">
        <f>IF('WetLitterbags placem_collection'!AC9="","",'WetLitterbags placem_collection'!AC9)</f>
        <v>1</v>
      </c>
      <c r="AJ8">
        <f>IFERROR(AVERAGE('Dry_Litterbag Placem_Collection'!O9,'Dry_Litterbag Placem_Collection'!R9),"")</f>
        <v>2.95</v>
      </c>
      <c r="AK8" s="261">
        <f>IFERROR(AVERAGE('Dry_Litterbag Placem_Collection'!N9,'Dry_Litterbag Placem_Collection'!Q9),"")</f>
        <v>24.75</v>
      </c>
      <c r="AL8" s="260">
        <f>INDEX([2]Coordinates!$B$2:$B$197,MATCH(I8,[2]Coordinates!$J$2:$J$197,0))</f>
        <v>-3.3977630360000002</v>
      </c>
      <c r="AM8" s="260">
        <f>INDEX([2]Coordinates!$C$2:$C$197,MATCH(I8,[2]Coordinates!$J$2:$J$197,0))</f>
        <v>34.837600969999997</v>
      </c>
      <c r="AN8" s="260" t="str">
        <f>IF(ISNUMBER(SEARCH("C", 'Dry_Litterbag Placem_Collection'!S9)),"YES","NO")</f>
        <v>NO</v>
      </c>
      <c r="AO8" s="260" t="str">
        <f>IF(ISNUMBER(SEARCH("H", 'Dry_Litterbag Placem_Collection'!S9)),"YES","NO")</f>
        <v>YES</v>
      </c>
      <c r="AP8" s="260" t="str">
        <f>IF(ISNUMBER(SEARCH("R", 'Dry_Litterbag Placem_Collection'!S9)),"YES","NO")</f>
        <v>NO</v>
      </c>
    </row>
    <row r="9" spans="1:42">
      <c r="A9" t="s">
        <v>3248</v>
      </c>
      <c r="B9" s="252" t="s">
        <v>2643</v>
      </c>
      <c r="C9" s="253">
        <f>'Dry_Litterbag Placem_Collection'!A10</f>
        <v>8</v>
      </c>
      <c r="D9" s="253" t="str">
        <f>'Dry_Litterbag Placem_Collection'!B10</f>
        <v>Makao</v>
      </c>
      <c r="E9" s="253" t="s">
        <v>2643</v>
      </c>
      <c r="F9" s="253" t="s">
        <v>2644</v>
      </c>
      <c r="G9" s="253">
        <v>1</v>
      </c>
      <c r="H9" s="253" t="s">
        <v>3099</v>
      </c>
      <c r="I9" s="254" t="str">
        <f>'Dry_Litterbag Placem_Collection'!C10</f>
        <v>Dry_Ag1_T8</v>
      </c>
      <c r="J9" s="255" t="s">
        <v>2525</v>
      </c>
      <c r="K9" s="256" t="s">
        <v>1147</v>
      </c>
      <c r="L9" s="253" t="str">
        <f>IF(ISBLANK('Dry_Litterbag Placem_Collection'!J10),"","G"&amp;""&amp;'Dry_Litterbag Placem_Collection'!J10)</f>
        <v>G228</v>
      </c>
      <c r="M9" s="257">
        <f>IFERROR(INDEX('Green_rooibos initial weight'!$C$5:$C$2000,MATCH(L9, 'Green_rooibos initial weight'!$A$5:$A$2000,0)),"")</f>
        <v>1.976</v>
      </c>
      <c r="N9" s="257">
        <f>IFERROR(M9-(TBIcalc!$Q$9+TBIcalc!$Q$10),"")</f>
        <v>1.7262</v>
      </c>
      <c r="O9" s="378">
        <f>AVERAGE(Ashed_controlls!$K$2:$K$11)</f>
        <v>5.5147656768714146</v>
      </c>
      <c r="P9" s="257">
        <f t="shared" si="1"/>
        <v>1.6310041148858456</v>
      </c>
      <c r="Q9" s="257">
        <f>IFERROR(INDEX('Both teabags AfterDry'!$D$2:$D$2000,MATCH(L9,'Both teabags AfterDry'!$A$2:$A$2000,0)),"")</f>
        <v>0.83330000000000004</v>
      </c>
      <c r="R9" s="257">
        <f>IFERROR(IF(Q9&gt;0,Q9-(TBIcalc!$Q$9),""),"")</f>
        <v>0.68270000000000008</v>
      </c>
      <c r="S9" s="268">
        <f>IFERROR(INDEX('Ashed teabags dry'!$K$2:$K$2000,MATCH(L9,'Ashed teabags dry'!$A$2:$A$2000,0)),"")</f>
        <v>14.545454545454678</v>
      </c>
      <c r="T9" s="268">
        <f t="shared" si="2"/>
        <v>0.58339818181818104</v>
      </c>
      <c r="U9" s="258">
        <f>IF('Dry_Litterbag Placem_Collection'!E10="","",'Dry_Litterbag Placem_Collection'!E10)</f>
        <v>42938</v>
      </c>
      <c r="V9" s="258">
        <f>IF('Dry_Litterbag Placem_Collection'!G10="","",'Dry_Litterbag Placem_Collection'!G10)</f>
        <v>43007</v>
      </c>
      <c r="W9" s="259">
        <f t="shared" si="0"/>
        <v>69</v>
      </c>
      <c r="X9" s="257">
        <f t="shared" si="3"/>
        <v>1.0434999999999999</v>
      </c>
      <c r="Y9" s="257">
        <f t="shared" si="4"/>
        <v>1.0476059330676646</v>
      </c>
      <c r="Z9" s="261">
        <f>IFERROR(INDEX([3]Rainfall_Dry!$O$2:$O$217,MATCH(C9, [3]Rainfall_Dry!$A$2:$A$217,0)),"")</f>
        <v>6.900000125</v>
      </c>
      <c r="AA9" s="250">
        <v>12.565665055683967</v>
      </c>
      <c r="AB9" s="250">
        <v>0.9665896196679955</v>
      </c>
      <c r="AC9" s="250">
        <v>86.467745324648035</v>
      </c>
      <c r="AD9" s="251" t="s">
        <v>2653</v>
      </c>
      <c r="AE9" s="250">
        <v>8.0225726959093109</v>
      </c>
      <c r="AF9">
        <f>IF('WetLitterbags placem_collection'!AB10="","",'WetLitterbags placem_collection'!AB10)</f>
        <v>36</v>
      </c>
      <c r="AG9">
        <f>IF('WetLitterbags placem_collection'!Z10="","",'WetLitterbags placem_collection'!Z10)</f>
        <v>38.4</v>
      </c>
      <c r="AH9" s="236" t="str">
        <f>IF('WetLitterbags placem_collection'!AA10="","",'WetLitterbags placem_collection'!AA10)</f>
        <v>M</v>
      </c>
      <c r="AI9" t="str">
        <f>IF('WetLitterbags placem_collection'!AC10="","",'WetLitterbags placem_collection'!AC10)</f>
        <v/>
      </c>
      <c r="AJ9">
        <f>IFERROR(AVERAGE('Dry_Litterbag Placem_Collection'!O10,'Dry_Litterbag Placem_Collection'!R10),"")</f>
        <v>2.5999999999999996</v>
      </c>
      <c r="AK9" s="261">
        <f>IFERROR(AVERAGE('Dry_Litterbag Placem_Collection'!N10,'Dry_Litterbag Placem_Collection'!Q10),"")</f>
        <v>26</v>
      </c>
      <c r="AL9" s="260">
        <f>INDEX([2]Coordinates!$B$2:$B$197,MATCH(I9,[2]Coordinates!$J$2:$J$197,0))</f>
        <v>-3.3977320230000001</v>
      </c>
      <c r="AM9" s="260">
        <f>INDEX([2]Coordinates!$C$2:$C$197,MATCH(I9,[2]Coordinates!$J$2:$J$197,0))</f>
        <v>34.837561989999998</v>
      </c>
      <c r="AN9" s="260" t="str">
        <f>IF(ISNUMBER(SEARCH("C", 'Dry_Litterbag Placem_Collection'!S10)),"YES","NO")</f>
        <v>NO</v>
      </c>
      <c r="AO9" s="260" t="str">
        <f>IF(ISNUMBER(SEARCH("H", 'Dry_Litterbag Placem_Collection'!S10)),"YES","NO")</f>
        <v>NO</v>
      </c>
      <c r="AP9" s="260" t="str">
        <f>IF(ISNUMBER(SEARCH("R", 'Dry_Litterbag Placem_Collection'!S10)),"YES","NO")</f>
        <v>YES</v>
      </c>
    </row>
    <row r="10" spans="1:42">
      <c r="A10" t="s">
        <v>3248</v>
      </c>
      <c r="B10" s="252" t="s">
        <v>2643</v>
      </c>
      <c r="C10" s="253">
        <f>'Dry_Litterbag Placem_Collection'!A11</f>
        <v>9</v>
      </c>
      <c r="D10" s="253" t="str">
        <f>'Dry_Litterbag Placem_Collection'!B11</f>
        <v>Makao</v>
      </c>
      <c r="E10" s="253" t="s">
        <v>2643</v>
      </c>
      <c r="F10" s="253" t="s">
        <v>2644</v>
      </c>
      <c r="G10" s="253">
        <v>2</v>
      </c>
      <c r="H10" s="253" t="s">
        <v>3103</v>
      </c>
      <c r="I10" s="254" t="str">
        <f>'Dry_Litterbag Placem_Collection'!C11</f>
        <v>Dry_Ag2_T1</v>
      </c>
      <c r="J10" s="255" t="s">
        <v>2525</v>
      </c>
      <c r="K10" s="256" t="s">
        <v>1147</v>
      </c>
      <c r="L10" s="253" t="str">
        <f>IF(ISBLANK('Dry_Litterbag Placem_Collection'!J11),"","G"&amp;""&amp;'Dry_Litterbag Placem_Collection'!J11)</f>
        <v>G277</v>
      </c>
      <c r="M10" s="257">
        <f>IFERROR(INDEX('Green_rooibos initial weight'!$C$5:$C$2000,MATCH(L10, 'Green_rooibos initial weight'!$A$5:$A$2000,0)),"")</f>
        <v>1.93</v>
      </c>
      <c r="N10" s="257">
        <f>IFERROR(M10-(TBIcalc!$Q$9+TBIcalc!$Q$10),"")</f>
        <v>1.6801999999999999</v>
      </c>
      <c r="O10" s="378">
        <f>AVERAGE(Ashed_controlls!$K$2:$K$11)</f>
        <v>5.5147656768714146</v>
      </c>
      <c r="P10" s="257">
        <f t="shared" si="1"/>
        <v>1.5875409070972064</v>
      </c>
      <c r="Q10" s="257">
        <f>IFERROR(INDEX('Both teabags AfterDry'!$D$2:$D$2000,MATCH(L10,'Both teabags AfterDry'!$A$2:$A$2000,0)),"")</f>
        <v>1.9345000000000001</v>
      </c>
      <c r="R10" s="257">
        <f>IFERROR(IF(Q10&gt;0,Q10-(TBIcalc!$Q$9),""),"")</f>
        <v>1.7839</v>
      </c>
      <c r="S10" s="268">
        <f>IFERROR(INDEX('Ashed teabags dry'!$K$2:$K$2000,MATCH(L10,'Ashed teabags dry'!$A$2:$A$2000,0)),"")</f>
        <v>22.768222768222728</v>
      </c>
      <c r="T10" s="268">
        <f t="shared" si="2"/>
        <v>1.3777376740376748</v>
      </c>
      <c r="U10" s="258">
        <f>IF('Dry_Litterbag Placem_Collection'!E11="","",'Dry_Litterbag Placem_Collection'!E11)</f>
        <v>42938</v>
      </c>
      <c r="V10" s="258">
        <f>IF('Dry_Litterbag Placem_Collection'!G11="","",'Dry_Litterbag Placem_Collection'!G11)</f>
        <v>43007</v>
      </c>
      <c r="W10" s="259">
        <f t="shared" si="0"/>
        <v>69</v>
      </c>
      <c r="X10" s="257">
        <f t="shared" si="3"/>
        <v>-0.10370000000000013</v>
      </c>
      <c r="Y10" s="257">
        <f t="shared" si="4"/>
        <v>0.20980323305953164</v>
      </c>
      <c r="Z10" s="261">
        <f>IFERROR(INDEX([3]Rainfall_Dry!$O$2:$O$217,MATCH(C10, [3]Rainfall_Dry!$A$2:$A$217,0)),"")</f>
        <v>6.900000125</v>
      </c>
      <c r="AA10" s="250">
        <v>21.13063730679653</v>
      </c>
      <c r="AB10" s="250">
        <v>3.0912555579081076</v>
      </c>
      <c r="AC10" s="250">
        <v>75.778107135295357</v>
      </c>
      <c r="AD10" s="251" t="s">
        <v>2651</v>
      </c>
      <c r="AE10" s="250">
        <v>0.46131099063578063</v>
      </c>
      <c r="AF10">
        <f>IF('WetLitterbags placem_collection'!AB11="","",'WetLitterbags placem_collection'!AB11)</f>
        <v>10.8</v>
      </c>
      <c r="AG10">
        <f>IF('WetLitterbags placem_collection'!Z11="","",'WetLitterbags placem_collection'!Z11)</f>
        <v>28.4</v>
      </c>
      <c r="AH10" s="236" t="str">
        <f>IF('WetLitterbags placem_collection'!AA11="","",'WetLitterbags placem_collection'!AA11)</f>
        <v>M</v>
      </c>
      <c r="AI10">
        <f>IF('WetLitterbags placem_collection'!AC11="","",'WetLitterbags placem_collection'!AC11)</f>
        <v>0</v>
      </c>
      <c r="AJ10">
        <f>IFERROR(AVERAGE('Dry_Litterbag Placem_Collection'!O11,'Dry_Litterbag Placem_Collection'!R11),"")</f>
        <v>3.3</v>
      </c>
      <c r="AK10" s="261">
        <f>IFERROR(AVERAGE('Dry_Litterbag Placem_Collection'!N11,'Dry_Litterbag Placem_Collection'!Q11),"")</f>
        <v>26.15</v>
      </c>
      <c r="AL10" s="260">
        <f>INDEX([2]Coordinates!$B$2:$B$197,MATCH(I10,[2]Coordinates!$J$2:$J$197,0))</f>
        <v>-3.3978290019999999</v>
      </c>
      <c r="AM10" s="260">
        <f>INDEX([2]Coordinates!$C$2:$C$197,MATCH(I10,[2]Coordinates!$J$2:$J$197,0))</f>
        <v>34.837011969999999</v>
      </c>
      <c r="AN10" s="260" t="str">
        <f>IF(ISNUMBER(SEARCH("C", 'Dry_Litterbag Placem_Collection'!S11)),"YES","NO")</f>
        <v>YES</v>
      </c>
      <c r="AO10" s="260" t="str">
        <f>IF(ISNUMBER(SEARCH("H", 'Dry_Litterbag Placem_Collection'!S11)),"YES","NO")</f>
        <v>YES</v>
      </c>
      <c r="AP10" s="260" t="str">
        <f>IF(ISNUMBER(SEARCH("R", 'Dry_Litterbag Placem_Collection'!S11)),"YES","NO")</f>
        <v>NO</v>
      </c>
    </row>
    <row r="11" spans="1:42">
      <c r="A11" t="s">
        <v>3248</v>
      </c>
      <c r="B11" s="252" t="s">
        <v>2643</v>
      </c>
      <c r="C11" s="253">
        <f>'Dry_Litterbag Placem_Collection'!A12</f>
        <v>10</v>
      </c>
      <c r="D11" s="253" t="str">
        <f>'Dry_Litterbag Placem_Collection'!B12</f>
        <v>Makao</v>
      </c>
      <c r="E11" s="253" t="s">
        <v>2643</v>
      </c>
      <c r="F11" s="253" t="s">
        <v>2644</v>
      </c>
      <c r="G11" s="253">
        <v>2</v>
      </c>
      <c r="H11" s="253" t="s">
        <v>3103</v>
      </c>
      <c r="I11" s="254" t="str">
        <f>'Dry_Litterbag Placem_Collection'!C12</f>
        <v>Dry_Ag2_T2</v>
      </c>
      <c r="J11" s="255" t="s">
        <v>2525</v>
      </c>
      <c r="K11" s="256" t="s">
        <v>1147</v>
      </c>
      <c r="L11" s="253" t="str">
        <f>IF(ISBLANK('Dry_Litterbag Placem_Collection'!J12),"","G"&amp;""&amp;'Dry_Litterbag Placem_Collection'!J12)</f>
        <v>G310</v>
      </c>
      <c r="M11" s="257">
        <f>IFERROR(INDEX('Green_rooibos initial weight'!$C$5:$C$2000,MATCH(L11, 'Green_rooibos initial weight'!$A$5:$A$2000,0)),"")</f>
        <v>2.0459999999999998</v>
      </c>
      <c r="N11" s="257">
        <f>IFERROR(M11-(TBIcalc!$Q$9+TBIcalc!$Q$10),"")</f>
        <v>1.7961999999999998</v>
      </c>
      <c r="O11" s="378">
        <f>AVERAGE(Ashed_controlls!$K$2:$K$11)</f>
        <v>5.5147656768714146</v>
      </c>
      <c r="P11" s="257">
        <f t="shared" si="1"/>
        <v>1.6971437789120354</v>
      </c>
      <c r="Q11" s="257" t="str">
        <f>IFERROR(INDEX('Both teabags AfterDry'!$D$2:$D$2000,MATCH(L11,'Both teabags AfterDry'!$A$2:$A$2000,0)),"")</f>
        <v/>
      </c>
      <c r="R11" s="257" t="str">
        <f>IFERROR(IF(Q11&gt;0,Q11-(TBIcalc!$Q$9),""),"")</f>
        <v/>
      </c>
      <c r="S11" s="268" t="str">
        <f>IFERROR(INDEX('Ashed teabags dry'!$K$2:$K$2000,MATCH(L11,'Ashed teabags dry'!$A$2:$A$2000,0)),"")</f>
        <v/>
      </c>
      <c r="T11" s="268" t="str">
        <f t="shared" si="2"/>
        <v/>
      </c>
      <c r="U11" s="258">
        <f>IF('Dry_Litterbag Placem_Collection'!E12="","",'Dry_Litterbag Placem_Collection'!E12)</f>
        <v>42938</v>
      </c>
      <c r="V11" s="258" t="str">
        <f>IF('Dry_Litterbag Placem_Collection'!G12="","",'Dry_Litterbag Placem_Collection'!G12)</f>
        <v/>
      </c>
      <c r="W11" s="259" t="str">
        <f t="shared" si="0"/>
        <v/>
      </c>
      <c r="X11" s="257" t="str">
        <f t="shared" si="3"/>
        <v/>
      </c>
      <c r="Y11" s="257" t="str">
        <f t="shared" si="4"/>
        <v/>
      </c>
      <c r="Z11" s="261" t="str">
        <f>IFERROR(INDEX([3]Rainfall_Dry!$O$2:$O$217,MATCH(C11, [3]Rainfall_Dry!$A$2:$A$217,0)),"")</f>
        <v/>
      </c>
      <c r="AA11" s="250">
        <v>21.13063730679653</v>
      </c>
      <c r="AB11" s="250">
        <v>3.0912555579081076</v>
      </c>
      <c r="AC11" s="250">
        <v>75.778107135295357</v>
      </c>
      <c r="AD11" s="251" t="s">
        <v>2651</v>
      </c>
      <c r="AE11" s="250">
        <v>1.46131099063578</v>
      </c>
      <c r="AF11">
        <f>IF('WetLitterbags placem_collection'!AB12="","",'WetLitterbags placem_collection'!AB12)</f>
        <v>16.8</v>
      </c>
      <c r="AG11">
        <f>IF('WetLitterbags placem_collection'!Z12="","",'WetLitterbags placem_collection'!Z12)</f>
        <v>30</v>
      </c>
      <c r="AH11" s="236" t="str">
        <f>IF('WetLitterbags placem_collection'!AA12="","",'WetLitterbags placem_collection'!AA12)</f>
        <v>M</v>
      </c>
      <c r="AI11">
        <f>IF('WetLitterbags placem_collection'!AC12="","",'WetLitterbags placem_collection'!AC12)</f>
        <v>0</v>
      </c>
      <c r="AJ11">
        <f>IFERROR(AVERAGE('Dry_Litterbag Placem_Collection'!O12,'Dry_Litterbag Placem_Collection'!R12),"")</f>
        <v>1.5</v>
      </c>
      <c r="AK11" s="261">
        <f>IFERROR(AVERAGE('Dry_Litterbag Placem_Collection'!N12,'Dry_Litterbag Placem_Collection'!Q12),"")</f>
        <v>26.1</v>
      </c>
      <c r="AL11" s="260">
        <f>INDEX([2]Coordinates!$B$2:$B$197,MATCH(I11,[2]Coordinates!$J$2:$J$197,0))</f>
        <v>-3.3978119869999999</v>
      </c>
      <c r="AM11" s="260">
        <f>INDEX([2]Coordinates!$C$2:$C$197,MATCH(I11,[2]Coordinates!$J$2:$J$197,0))</f>
        <v>34.836968980000002</v>
      </c>
      <c r="AN11" s="260" t="str">
        <f>IF(ISNUMBER(SEARCH("C", 'Dry_Litterbag Placem_Collection'!S12)),"YES","NO")</f>
        <v>NO</v>
      </c>
      <c r="AO11" s="260" t="str">
        <f>IF(ISNUMBER(SEARCH("H", 'Dry_Litterbag Placem_Collection'!S12)),"YES","NO")</f>
        <v>NO</v>
      </c>
      <c r="AP11" s="260" t="str">
        <f>IF(ISNUMBER(SEARCH("R", 'Dry_Litterbag Placem_Collection'!S12)),"YES","NO")</f>
        <v>NO</v>
      </c>
    </row>
    <row r="12" spans="1:42">
      <c r="A12" t="s">
        <v>3248</v>
      </c>
      <c r="B12" s="252" t="s">
        <v>2643</v>
      </c>
      <c r="C12" s="253">
        <f>'Dry_Litterbag Placem_Collection'!A13</f>
        <v>11</v>
      </c>
      <c r="D12" s="253" t="str">
        <f>'Dry_Litterbag Placem_Collection'!B13</f>
        <v>Makao</v>
      </c>
      <c r="E12" s="253" t="s">
        <v>2643</v>
      </c>
      <c r="F12" s="253" t="s">
        <v>2644</v>
      </c>
      <c r="G12" s="253">
        <v>2</v>
      </c>
      <c r="H12" s="253" t="s">
        <v>3103</v>
      </c>
      <c r="I12" s="254" t="str">
        <f>'Dry_Litterbag Placem_Collection'!C13</f>
        <v>Dry_Ag2_T3</v>
      </c>
      <c r="J12" s="255" t="s">
        <v>2525</v>
      </c>
      <c r="K12" s="256" t="s">
        <v>1147</v>
      </c>
      <c r="L12" s="253" t="str">
        <f>IF(ISBLANK('Dry_Litterbag Placem_Collection'!J13),"","G"&amp;""&amp;'Dry_Litterbag Placem_Collection'!J13)</f>
        <v>G435</v>
      </c>
      <c r="M12" s="257">
        <f>IFERROR(INDEX('Green_rooibos initial weight'!$C$5:$C$2000,MATCH(L12, 'Green_rooibos initial weight'!$A$5:$A$2000,0)),"")</f>
        <v>2.0009999999999999</v>
      </c>
      <c r="N12" s="257">
        <f>IFERROR(M12-(TBIcalc!$Q$9+TBIcalc!$Q$10),"")</f>
        <v>1.7511999999999999</v>
      </c>
      <c r="O12" s="378">
        <f>AVERAGE(Ashed_controlls!$K$2:$K$11)</f>
        <v>5.5147656768714146</v>
      </c>
      <c r="P12" s="257">
        <f t="shared" si="1"/>
        <v>1.6546254234666278</v>
      </c>
      <c r="Q12" s="257">
        <f>IFERROR(INDEX('Both teabags AfterDry'!$D$2:$D$2000,MATCH(L12,'Both teabags AfterDry'!$A$2:$A$2000,0)),"")</f>
        <v>1.7934000000000001</v>
      </c>
      <c r="R12" s="257">
        <f>IFERROR(IF(Q12&gt;0,Q12-(TBIcalc!$Q$9),""),"")</f>
        <v>1.6428</v>
      </c>
      <c r="S12" s="268">
        <f>IFERROR(INDEX('Ashed teabags dry'!$K$2:$K$2000,MATCH(L12,'Ashed teabags dry'!$A$2:$A$2000,0)),"")</f>
        <v>10.240078392944513</v>
      </c>
      <c r="T12" s="268">
        <f t="shared" si="2"/>
        <v>1.4745759921607076</v>
      </c>
      <c r="U12" s="258">
        <f>IF('Dry_Litterbag Placem_Collection'!E13="","",'Dry_Litterbag Placem_Collection'!E13)</f>
        <v>42938</v>
      </c>
      <c r="V12" s="258">
        <f>IF('Dry_Litterbag Placem_Collection'!G13="","",'Dry_Litterbag Placem_Collection'!G13)</f>
        <v>43007</v>
      </c>
      <c r="W12" s="259">
        <f t="shared" si="0"/>
        <v>69</v>
      </c>
      <c r="X12" s="257">
        <f t="shared" si="3"/>
        <v>0.10839999999999983</v>
      </c>
      <c r="Y12" s="257">
        <f t="shared" si="4"/>
        <v>0.18004943130592022</v>
      </c>
      <c r="Z12" s="261">
        <f>IFERROR(INDEX([3]Rainfall_Dry!$O$2:$O$217,MATCH(C12, [3]Rainfall_Dry!$A$2:$A$217,0)),"")</f>
        <v>6.900000125</v>
      </c>
      <c r="AA12" s="250">
        <v>21.13063730679653</v>
      </c>
      <c r="AB12" s="250">
        <v>3.0912555579081076</v>
      </c>
      <c r="AC12" s="250">
        <v>75.778107135295357</v>
      </c>
      <c r="AD12" s="251" t="s">
        <v>2651</v>
      </c>
      <c r="AE12" s="250">
        <v>2.4613109906357802</v>
      </c>
      <c r="AF12">
        <f>IF('WetLitterbags placem_collection'!AB13="","",'WetLitterbags placem_collection'!AB13)</f>
        <v>11.4</v>
      </c>
      <c r="AG12">
        <f>IF('WetLitterbags placem_collection'!Z13="","",'WetLitterbags placem_collection'!Z13)</f>
        <v>24.4</v>
      </c>
      <c r="AH12" s="236" t="str">
        <f>IF('WetLitterbags placem_collection'!AA13="","",'WetLitterbags placem_collection'!AA13)</f>
        <v>M</v>
      </c>
      <c r="AI12">
        <f>IF('WetLitterbags placem_collection'!AC13="","",'WetLitterbags placem_collection'!AC13)</f>
        <v>0</v>
      </c>
      <c r="AJ12">
        <f>IFERROR(AVERAGE('Dry_Litterbag Placem_Collection'!O13,'Dry_Litterbag Placem_Collection'!R13),"")</f>
        <v>5.3</v>
      </c>
      <c r="AK12" s="261">
        <f>IFERROR(AVERAGE('Dry_Litterbag Placem_Collection'!N13,'Dry_Litterbag Placem_Collection'!Q13),"")</f>
        <v>26.450000000000003</v>
      </c>
      <c r="AL12" s="260">
        <f>INDEX([2]Coordinates!$B$2:$B$197,MATCH(I12,[2]Coordinates!$J$2:$J$197,0))</f>
        <v>-3.3977929599999999</v>
      </c>
      <c r="AM12" s="260">
        <f>INDEX([2]Coordinates!$C$2:$C$197,MATCH(I12,[2]Coordinates!$J$2:$J$197,0))</f>
        <v>34.837102999999999</v>
      </c>
      <c r="AN12" s="260" t="str">
        <f>IF(ISNUMBER(SEARCH("C", 'Dry_Litterbag Placem_Collection'!S13)),"YES","NO")</f>
        <v>YES</v>
      </c>
      <c r="AO12" s="260" t="str">
        <f>IF(ISNUMBER(SEARCH("H", 'Dry_Litterbag Placem_Collection'!S13)),"YES","NO")</f>
        <v>YES</v>
      </c>
      <c r="AP12" s="260" t="str">
        <f>IF(ISNUMBER(SEARCH("R", 'Dry_Litterbag Placem_Collection'!S13)),"YES","NO")</f>
        <v>NO</v>
      </c>
    </row>
    <row r="13" spans="1:42">
      <c r="A13" t="s">
        <v>3248</v>
      </c>
      <c r="B13" s="252" t="s">
        <v>2643</v>
      </c>
      <c r="C13" s="253">
        <f>'Dry_Litterbag Placem_Collection'!A14</f>
        <v>12</v>
      </c>
      <c r="D13" s="253" t="str">
        <f>'Dry_Litterbag Placem_Collection'!B14</f>
        <v>Makao</v>
      </c>
      <c r="E13" s="253" t="s">
        <v>2643</v>
      </c>
      <c r="F13" s="253" t="s">
        <v>2644</v>
      </c>
      <c r="G13" s="253">
        <v>2</v>
      </c>
      <c r="H13" s="253" t="s">
        <v>3103</v>
      </c>
      <c r="I13" s="254" t="str">
        <f>'Dry_Litterbag Placem_Collection'!C14</f>
        <v>Dry_Ag2_T4</v>
      </c>
      <c r="J13" s="255" t="s">
        <v>2525</v>
      </c>
      <c r="K13" s="256" t="s">
        <v>1147</v>
      </c>
      <c r="L13" s="253" t="str">
        <f>IF(ISBLANK('Dry_Litterbag Placem_Collection'!J14),"","G"&amp;""&amp;'Dry_Litterbag Placem_Collection'!J14)</f>
        <v/>
      </c>
      <c r="M13" s="257" t="str">
        <f>IFERROR(INDEX('Green_rooibos initial weight'!$C$5:$C$2000,MATCH(L13, 'Green_rooibos initial weight'!$A$5:$A$2000,0)),"")</f>
        <v/>
      </c>
      <c r="N13" s="257" t="str">
        <f>IFERROR(M13-(TBIcalc!$Q$9+TBIcalc!$Q$10),"")</f>
        <v/>
      </c>
      <c r="O13" s="378">
        <f>AVERAGE(Ashed_controlls!$K$2:$K$11)</f>
        <v>5.5147656768714146</v>
      </c>
      <c r="P13" s="257" t="str">
        <f t="shared" si="1"/>
        <v/>
      </c>
      <c r="Q13" s="257" t="str">
        <f>IFERROR(INDEX('Both teabags AfterDry'!$D$2:$D$2000,MATCH(L13,'Both teabags AfterDry'!$A$2:$A$2000,0)),"")</f>
        <v/>
      </c>
      <c r="R13" s="257" t="str">
        <f>IFERROR(IF(Q13&gt;0,Q13-(TBIcalc!$Q$9),""),"")</f>
        <v/>
      </c>
      <c r="S13" s="268" t="str">
        <f>IFERROR(INDEX('Ashed teabags dry'!$K$2:$K$2000,MATCH(L13,'Ashed teabags dry'!$A$2:$A$2000,0)),"")</f>
        <v/>
      </c>
      <c r="T13" s="268" t="str">
        <f t="shared" si="2"/>
        <v/>
      </c>
      <c r="U13" s="258" t="str">
        <f>IF('Dry_Litterbag Placem_Collection'!E14="","",'Dry_Litterbag Placem_Collection'!E14)</f>
        <v/>
      </c>
      <c r="V13" s="258" t="str">
        <f>IF('Dry_Litterbag Placem_Collection'!G14="","",'Dry_Litterbag Placem_Collection'!G14)</f>
        <v/>
      </c>
      <c r="W13" s="259" t="str">
        <f t="shared" si="0"/>
        <v/>
      </c>
      <c r="X13" s="257" t="str">
        <f t="shared" si="3"/>
        <v/>
      </c>
      <c r="Y13" s="257" t="str">
        <f t="shared" si="4"/>
        <v/>
      </c>
      <c r="Z13" s="261" t="str">
        <f>IFERROR(INDEX([3]Rainfall_Dry!$O$2:$O$217,MATCH(C13, [3]Rainfall_Dry!$A$2:$A$217,0)),"")</f>
        <v/>
      </c>
      <c r="AA13" s="250">
        <v>21.13063730679653</v>
      </c>
      <c r="AB13" s="250">
        <v>3.0912555579081076</v>
      </c>
      <c r="AC13" s="250">
        <v>75.778107135295357</v>
      </c>
      <c r="AD13" s="251" t="s">
        <v>2651</v>
      </c>
      <c r="AE13" s="250">
        <v>3.4613109906357802</v>
      </c>
      <c r="AF13" t="str">
        <f>IF('WetLitterbags placem_collection'!AB14="","",'WetLitterbags placem_collection'!AB14)</f>
        <v/>
      </c>
      <c r="AG13" t="str">
        <f>IF('WetLitterbags placem_collection'!Z14="","",'WetLitterbags placem_collection'!Z14)</f>
        <v/>
      </c>
      <c r="AH13" s="236" t="str">
        <f>IF('WetLitterbags placem_collection'!AA14="","",'WetLitterbags placem_collection'!AA14)</f>
        <v/>
      </c>
      <c r="AI13" t="str">
        <f>IF('WetLitterbags placem_collection'!AC14="","",'WetLitterbags placem_collection'!AC14)</f>
        <v/>
      </c>
      <c r="AJ13" t="str">
        <f>IFERROR(AVERAGE('Dry_Litterbag Placem_Collection'!O14,'Dry_Litterbag Placem_Collection'!R14),"")</f>
        <v/>
      </c>
      <c r="AK13" s="261" t="str">
        <f>IFERROR(AVERAGE('Dry_Litterbag Placem_Collection'!N14,'Dry_Litterbag Placem_Collection'!Q14),"")</f>
        <v/>
      </c>
      <c r="AL13" s="260">
        <f>INDEX([2]Coordinates!$B$2:$B$197,MATCH(I13,[2]Coordinates!$J$2:$J$197,0))</f>
        <v>-3.3979050260000001</v>
      </c>
      <c r="AM13" s="260">
        <f>INDEX([2]Coordinates!$C$2:$C$197,MATCH(I13,[2]Coordinates!$J$2:$J$197,0))</f>
        <v>34.837123030000001</v>
      </c>
      <c r="AN13" s="260" t="str">
        <f>IF(ISNUMBER(SEARCH("C", 'Dry_Litterbag Placem_Collection'!S14)),"YES","NO")</f>
        <v>NO</v>
      </c>
      <c r="AO13" s="260" t="str">
        <f>IF(ISNUMBER(SEARCH("H", 'Dry_Litterbag Placem_Collection'!S14)),"YES","NO")</f>
        <v>NO</v>
      </c>
      <c r="AP13" s="260" t="str">
        <f>IF(ISNUMBER(SEARCH("R", 'Dry_Litterbag Placem_Collection'!S14)),"YES","NO")</f>
        <v>NO</v>
      </c>
    </row>
    <row r="14" spans="1:42">
      <c r="A14" t="s">
        <v>3248</v>
      </c>
      <c r="B14" s="252" t="s">
        <v>2643</v>
      </c>
      <c r="C14" s="253">
        <f>'Dry_Litterbag Placem_Collection'!A15</f>
        <v>13</v>
      </c>
      <c r="D14" s="253" t="str">
        <f>'Dry_Litterbag Placem_Collection'!B15</f>
        <v>Makao</v>
      </c>
      <c r="E14" s="253" t="s">
        <v>2643</v>
      </c>
      <c r="F14" s="253" t="s">
        <v>2644</v>
      </c>
      <c r="G14" s="253">
        <v>2</v>
      </c>
      <c r="H14" s="253" t="s">
        <v>3103</v>
      </c>
      <c r="I14" s="254" t="str">
        <f>'Dry_Litterbag Placem_Collection'!C15</f>
        <v>Dry_Ag2_T5</v>
      </c>
      <c r="J14" s="255" t="s">
        <v>2525</v>
      </c>
      <c r="K14" s="256" t="s">
        <v>1147</v>
      </c>
      <c r="L14" s="253" t="str">
        <f>IF(ISBLANK('Dry_Litterbag Placem_Collection'!J15),"","G"&amp;""&amp;'Dry_Litterbag Placem_Collection'!J15)</f>
        <v>G2</v>
      </c>
      <c r="M14" s="257">
        <f>IFERROR(INDEX('Green_rooibos initial weight'!$C$5:$C$2000,MATCH(L14, 'Green_rooibos initial weight'!$A$5:$A$2000,0)),"")</f>
        <v>2</v>
      </c>
      <c r="N14" s="257">
        <f>IFERROR(M14-(TBIcalc!$Q$9+TBIcalc!$Q$10),"")</f>
        <v>1.7502</v>
      </c>
      <c r="O14" s="378">
        <f>AVERAGE(Ashed_controlls!$K$2:$K$11)</f>
        <v>5.5147656768714146</v>
      </c>
      <c r="P14" s="257">
        <f t="shared" si="1"/>
        <v>1.6536805711233964</v>
      </c>
      <c r="Q14" s="257">
        <f>IFERROR(INDEX('Both teabags AfterDry'!$D$2:$D$2000,MATCH(L14,'Both teabags AfterDry'!$A$2:$A$2000,0)),"")</f>
        <v>1.7587999999999999</v>
      </c>
      <c r="R14" s="257">
        <f>IFERROR(IF(Q14&gt;0,Q14-(TBIcalc!$Q$9),""),"")</f>
        <v>1.6081999999999999</v>
      </c>
      <c r="S14" s="268">
        <f>IFERROR(INDEX('Ashed teabags dry'!$K$2:$K$2000,MATCH(L14,'Ashed teabags dry'!$A$2:$A$2000,0)),"")</f>
        <v>27.976482116609386</v>
      </c>
      <c r="T14" s="268">
        <f t="shared" si="2"/>
        <v>1.1582822146006877</v>
      </c>
      <c r="U14" s="258">
        <f>IF('Dry_Litterbag Placem_Collection'!E15="","",'Dry_Litterbag Placem_Collection'!E15)</f>
        <v>42938</v>
      </c>
      <c r="V14" s="258">
        <f>IF('Dry_Litterbag Placem_Collection'!G15="","",'Dry_Litterbag Placem_Collection'!G15)</f>
        <v>43007</v>
      </c>
      <c r="W14" s="259">
        <f t="shared" si="0"/>
        <v>69</v>
      </c>
      <c r="X14" s="257">
        <f t="shared" si="3"/>
        <v>0.14200000000000013</v>
      </c>
      <c r="Y14" s="257">
        <f t="shared" si="4"/>
        <v>0.49539835652270869</v>
      </c>
      <c r="Z14" s="261">
        <f>IFERROR(INDEX([3]Rainfall_Dry!$O$2:$O$217,MATCH(C14, [3]Rainfall_Dry!$A$2:$A$217,0)),"")</f>
        <v>6.900000125</v>
      </c>
      <c r="AA14" s="250">
        <v>21.13063730679653</v>
      </c>
      <c r="AB14" s="250">
        <v>3.0912555579081076</v>
      </c>
      <c r="AC14" s="250">
        <v>75.778107135295357</v>
      </c>
      <c r="AD14" s="251" t="s">
        <v>2651</v>
      </c>
      <c r="AE14" s="250">
        <v>4.4613109906357797</v>
      </c>
      <c r="AF14">
        <f>IF('WetLitterbags placem_collection'!AB15="","",'WetLitterbags placem_collection'!AB15)</f>
        <v>11.4</v>
      </c>
      <c r="AG14">
        <f>IF('WetLitterbags placem_collection'!Z15="","",'WetLitterbags placem_collection'!Z15)</f>
        <v>31</v>
      </c>
      <c r="AH14" s="236" t="str">
        <f>IF('WetLitterbags placem_collection'!AA15="","",'WetLitterbags placem_collection'!AA15)</f>
        <v>M</v>
      </c>
      <c r="AI14">
        <f>IF('WetLitterbags placem_collection'!AC15="","",'WetLitterbags placem_collection'!AC15)</f>
        <v>0</v>
      </c>
      <c r="AJ14">
        <f>IFERROR(AVERAGE('Dry_Litterbag Placem_Collection'!O15,'Dry_Litterbag Placem_Collection'!R15),"")</f>
        <v>4.8</v>
      </c>
      <c r="AK14" s="261">
        <f>IFERROR(AVERAGE('Dry_Litterbag Placem_Collection'!N15,'Dry_Litterbag Placem_Collection'!Q15),"")</f>
        <v>26.1</v>
      </c>
      <c r="AL14" s="260">
        <f>INDEX([2]Coordinates!$B$2:$B$197,MATCH(I14,[2]Coordinates!$J$2:$J$197,0))</f>
        <v>-3.3979040199999999</v>
      </c>
      <c r="AM14" s="260">
        <f>INDEX([2]Coordinates!$C$2:$C$197,MATCH(I14,[2]Coordinates!$J$2:$J$197,0))</f>
        <v>34.837027980000002</v>
      </c>
      <c r="AN14" s="260" t="str">
        <f>IF(ISNUMBER(SEARCH("C", 'Dry_Litterbag Placem_Collection'!S15)),"YES","NO")</f>
        <v>YES</v>
      </c>
      <c r="AO14" s="260" t="str">
        <f>IF(ISNUMBER(SEARCH("H", 'Dry_Litterbag Placem_Collection'!S15)),"YES","NO")</f>
        <v>NO</v>
      </c>
      <c r="AP14" s="260" t="str">
        <f>IF(ISNUMBER(SEARCH("R", 'Dry_Litterbag Placem_Collection'!S15)),"YES","NO")</f>
        <v>NO</v>
      </c>
    </row>
    <row r="15" spans="1:42">
      <c r="A15" t="s">
        <v>3248</v>
      </c>
      <c r="B15" s="252" t="s">
        <v>2643</v>
      </c>
      <c r="C15" s="253">
        <f>'Dry_Litterbag Placem_Collection'!A16</f>
        <v>14</v>
      </c>
      <c r="D15" s="253" t="str">
        <f>'Dry_Litterbag Placem_Collection'!B16</f>
        <v>Makao</v>
      </c>
      <c r="E15" s="253" t="s">
        <v>2643</v>
      </c>
      <c r="F15" s="253" t="s">
        <v>2644</v>
      </c>
      <c r="G15" s="253">
        <v>2</v>
      </c>
      <c r="H15" s="253" t="s">
        <v>3103</v>
      </c>
      <c r="I15" s="254" t="str">
        <f>'Dry_Litterbag Placem_Collection'!C16</f>
        <v>Dry_Ag2_T6</v>
      </c>
      <c r="J15" s="255" t="s">
        <v>2525</v>
      </c>
      <c r="K15" s="256" t="s">
        <v>1147</v>
      </c>
      <c r="L15" s="253" t="str">
        <f>IF(ISBLANK('Dry_Litterbag Placem_Collection'!J16),"","G"&amp;""&amp;'Dry_Litterbag Placem_Collection'!J16)</f>
        <v>G225</v>
      </c>
      <c r="M15" s="257">
        <f>IFERROR(INDEX('Green_rooibos initial weight'!$C$5:$C$2000,MATCH(L15, 'Green_rooibos initial weight'!$A$5:$A$2000,0)),"")</f>
        <v>2.117</v>
      </c>
      <c r="N15" s="257">
        <f>IFERROR(M15-(TBIcalc!$Q$9+TBIcalc!$Q$10),"")</f>
        <v>1.8672</v>
      </c>
      <c r="O15" s="378">
        <f>AVERAGE(Ashed_controlls!$K$2:$K$11)</f>
        <v>5.5147656768714146</v>
      </c>
      <c r="P15" s="257">
        <f t="shared" si="1"/>
        <v>1.764228295281457</v>
      </c>
      <c r="Q15" s="257">
        <f>IFERROR(INDEX('Both teabags AfterDry'!$D$2:$D$2000,MATCH(L15,'Both teabags AfterDry'!$A$2:$A$2000,0)),"")</f>
        <v>1.25</v>
      </c>
      <c r="R15" s="257">
        <f>IFERROR(IF(Q15&gt;0,Q15-(TBIcalc!$Q$9),""),"")</f>
        <v>1.0993999999999999</v>
      </c>
      <c r="S15" s="268">
        <f>IFERROR(INDEX('Ashed teabags dry'!$K$2:$K$2000,MATCH(L15,'Ashed teabags dry'!$A$2:$A$2000,0)),"")</f>
        <v>30.8701993193968</v>
      </c>
      <c r="T15" s="268">
        <f t="shared" si="2"/>
        <v>0.76001302868255149</v>
      </c>
      <c r="U15" s="258">
        <f>IF('Dry_Litterbag Placem_Collection'!E16="","",'Dry_Litterbag Placem_Collection'!E16)</f>
        <v>42938</v>
      </c>
      <c r="V15" s="258">
        <f>IF('Dry_Litterbag Placem_Collection'!G16="","",'Dry_Litterbag Placem_Collection'!G16)</f>
        <v>43007</v>
      </c>
      <c r="W15" s="259">
        <f t="shared" si="0"/>
        <v>69</v>
      </c>
      <c r="X15" s="257">
        <f t="shared" si="3"/>
        <v>0.76780000000000004</v>
      </c>
      <c r="Y15" s="257">
        <f t="shared" si="4"/>
        <v>1.0042152665989055</v>
      </c>
      <c r="Z15" s="261">
        <f>IFERROR(INDEX([3]Rainfall_Dry!$O$2:$O$217,MATCH(C15, [3]Rainfall_Dry!$A$2:$A$217,0)),"")</f>
        <v>6.900000125</v>
      </c>
      <c r="AA15" s="250">
        <v>21.13063730679653</v>
      </c>
      <c r="AB15" s="250">
        <v>3.0912555579081076</v>
      </c>
      <c r="AC15" s="250">
        <v>75.778107135295357</v>
      </c>
      <c r="AD15" s="251" t="s">
        <v>2651</v>
      </c>
      <c r="AE15" s="250">
        <v>5.4613109906357797</v>
      </c>
      <c r="AF15">
        <f>IF('WetLitterbags placem_collection'!AB16="","",'WetLitterbags placem_collection'!AB16)</f>
        <v>28.4</v>
      </c>
      <c r="AG15">
        <f>IF('WetLitterbags placem_collection'!Z16="","",'WetLitterbags placem_collection'!Z16)</f>
        <v>42.4</v>
      </c>
      <c r="AH15" s="236" t="str">
        <f>IF('WetLitterbags placem_collection'!AA16="","",'WetLitterbags placem_collection'!AA16)</f>
        <v>M</v>
      </c>
      <c r="AI15">
        <f>IF('WetLitterbags placem_collection'!AC16="","",'WetLitterbags placem_collection'!AC16)</f>
        <v>0</v>
      </c>
      <c r="AJ15">
        <f>IFERROR(AVERAGE('Dry_Litterbag Placem_Collection'!O16,'Dry_Litterbag Placem_Collection'!R16),"")</f>
        <v>3.4</v>
      </c>
      <c r="AK15" s="261">
        <f>IFERROR(AVERAGE('Dry_Litterbag Placem_Collection'!N16,'Dry_Litterbag Placem_Collection'!Q16),"")</f>
        <v>25.55</v>
      </c>
      <c r="AL15" s="260">
        <f>INDEX([2]Coordinates!$B$2:$B$197,MATCH(I15,[2]Coordinates!$J$2:$J$197,0))</f>
        <v>-3.397854986</v>
      </c>
      <c r="AM15" s="260">
        <f>INDEX([2]Coordinates!$C$2:$C$197,MATCH(I15,[2]Coordinates!$J$2:$J$197,0))</f>
        <v>34.836874010000002</v>
      </c>
      <c r="AN15" s="260" t="str">
        <f>IF(ISNUMBER(SEARCH("C", 'Dry_Litterbag Placem_Collection'!S16)),"YES","NO")</f>
        <v>NO</v>
      </c>
      <c r="AO15" s="260" t="str">
        <f>IF(ISNUMBER(SEARCH("H", 'Dry_Litterbag Placem_Collection'!S16)),"YES","NO")</f>
        <v>YES</v>
      </c>
      <c r="AP15" s="260" t="str">
        <f>IF(ISNUMBER(SEARCH("R", 'Dry_Litterbag Placem_Collection'!S16)),"YES","NO")</f>
        <v>NO</v>
      </c>
    </row>
    <row r="16" spans="1:42">
      <c r="A16" t="s">
        <v>3248</v>
      </c>
      <c r="B16" s="252" t="s">
        <v>2643</v>
      </c>
      <c r="C16" s="253">
        <f>'Dry_Litterbag Placem_Collection'!A17</f>
        <v>15</v>
      </c>
      <c r="D16" s="253" t="str">
        <f>'Dry_Litterbag Placem_Collection'!B17</f>
        <v>Makao</v>
      </c>
      <c r="E16" s="253" t="s">
        <v>2643</v>
      </c>
      <c r="F16" s="253" t="s">
        <v>2644</v>
      </c>
      <c r="G16" s="253">
        <v>2</v>
      </c>
      <c r="H16" s="253" t="s">
        <v>3103</v>
      </c>
      <c r="I16" s="254" t="str">
        <f>'Dry_Litterbag Placem_Collection'!C17</f>
        <v>Dry_Ag2_T7</v>
      </c>
      <c r="J16" s="255" t="s">
        <v>2525</v>
      </c>
      <c r="K16" s="256" t="s">
        <v>1147</v>
      </c>
      <c r="L16" s="253" t="str">
        <f>IF(ISBLANK('Dry_Litterbag Placem_Collection'!J17),"","G"&amp;""&amp;'Dry_Litterbag Placem_Collection'!J17)</f>
        <v>G444</v>
      </c>
      <c r="M16" s="257">
        <f>IFERROR(INDEX('Green_rooibos initial weight'!$C$5:$C$2000,MATCH(L16, 'Green_rooibos initial weight'!$A$5:$A$2000,0)),"")</f>
        <v>2.0259999999999998</v>
      </c>
      <c r="N16" s="257">
        <f>IFERROR(M16-(TBIcalc!$Q$9+TBIcalc!$Q$10),"")</f>
        <v>1.7761999999999998</v>
      </c>
      <c r="O16" s="378">
        <f>AVERAGE(Ashed_controlls!$K$2:$K$11)</f>
        <v>5.5147656768714146</v>
      </c>
      <c r="P16" s="257">
        <f t="shared" si="1"/>
        <v>1.6782467320474097</v>
      </c>
      <c r="Q16" s="257">
        <f>IFERROR(INDEX('Both teabags AfterDry'!$D$2:$D$2000,MATCH(L16,'Both teabags AfterDry'!$A$2:$A$2000,0)),"")</f>
        <v>1.3574999999999999</v>
      </c>
      <c r="R16" s="257">
        <f>IFERROR(IF(Q16&gt;0,Q16-(TBIcalc!$Q$9),""),"")</f>
        <v>1.2068999999999999</v>
      </c>
      <c r="S16" s="268">
        <f>IFERROR(INDEX('Ashed teabags dry'!$K$2:$K$2000,MATCH(L16,'Ashed teabags dry'!$A$2:$A$2000,0)),"")</f>
        <v>10.790345480359514</v>
      </c>
      <c r="T16" s="268">
        <f t="shared" si="2"/>
        <v>1.0766713203975409</v>
      </c>
      <c r="U16" s="258">
        <f>IF('Dry_Litterbag Placem_Collection'!E17="","",'Dry_Litterbag Placem_Collection'!E17)</f>
        <v>42938</v>
      </c>
      <c r="V16" s="258">
        <f>IF('Dry_Litterbag Placem_Collection'!G17="","",'Dry_Litterbag Placem_Collection'!G17)</f>
        <v>43007</v>
      </c>
      <c r="W16" s="259">
        <f t="shared" si="0"/>
        <v>69</v>
      </c>
      <c r="X16" s="257">
        <f t="shared" si="3"/>
        <v>0.56929999999999992</v>
      </c>
      <c r="Y16" s="257">
        <f t="shared" si="4"/>
        <v>0.60157541164986883</v>
      </c>
      <c r="Z16" s="261">
        <f>IFERROR(INDEX([3]Rainfall_Dry!$O$2:$O$217,MATCH(C16, [3]Rainfall_Dry!$A$2:$A$217,0)),"")</f>
        <v>6.900000125</v>
      </c>
      <c r="AA16" s="250">
        <v>21.13063730679653</v>
      </c>
      <c r="AB16" s="250">
        <v>3.0912555579081076</v>
      </c>
      <c r="AC16" s="250">
        <v>75.778107135295357</v>
      </c>
      <c r="AD16" s="251" t="s">
        <v>2651</v>
      </c>
      <c r="AE16" s="250">
        <v>6.4613109906357797</v>
      </c>
      <c r="AF16">
        <f>IF('WetLitterbags placem_collection'!AB17="","",'WetLitterbags placem_collection'!AB17)</f>
        <v>15.8</v>
      </c>
      <c r="AG16">
        <f>IF('WetLitterbags placem_collection'!Z17="","",'WetLitterbags placem_collection'!Z17)</f>
        <v>30.4</v>
      </c>
      <c r="AH16" s="236" t="str">
        <f>IF('WetLitterbags placem_collection'!AA17="","",'WetLitterbags placem_collection'!AA17)</f>
        <v>M</v>
      </c>
      <c r="AI16">
        <f>IF('WetLitterbags placem_collection'!AC17="","",'WetLitterbags placem_collection'!AC17)</f>
        <v>0</v>
      </c>
      <c r="AJ16">
        <f>IFERROR(AVERAGE('Dry_Litterbag Placem_Collection'!O17,'Dry_Litterbag Placem_Collection'!R17),"")</f>
        <v>3.0999999999999996</v>
      </c>
      <c r="AK16" s="261">
        <f>IFERROR(AVERAGE('Dry_Litterbag Placem_Collection'!N17,'Dry_Litterbag Placem_Collection'!Q17),"")</f>
        <v>28</v>
      </c>
      <c r="AL16" s="260">
        <f>INDEX([2]Coordinates!$B$2:$B$197,MATCH(I16,[2]Coordinates!$J$2:$J$197,0))</f>
        <v>-3.3978060349999999</v>
      </c>
      <c r="AM16" s="260">
        <f>INDEX([2]Coordinates!$C$2:$C$197,MATCH(I16,[2]Coordinates!$J$2:$J$197,0))</f>
        <v>34.837023960000003</v>
      </c>
      <c r="AN16" s="260" t="str">
        <f>IF(ISNUMBER(SEARCH("C", 'Dry_Litterbag Placem_Collection'!S17)),"YES","NO")</f>
        <v>YES</v>
      </c>
      <c r="AO16" s="260" t="str">
        <f>IF(ISNUMBER(SEARCH("H", 'Dry_Litterbag Placem_Collection'!S17)),"YES","NO")</f>
        <v>YES</v>
      </c>
      <c r="AP16" s="260" t="str">
        <f>IF(ISNUMBER(SEARCH("R", 'Dry_Litterbag Placem_Collection'!S17)),"YES","NO")</f>
        <v>NO</v>
      </c>
    </row>
    <row r="17" spans="1:42">
      <c r="A17" t="s">
        <v>3248</v>
      </c>
      <c r="B17" s="252" t="s">
        <v>2643</v>
      </c>
      <c r="C17" s="253">
        <f>'Dry_Litterbag Placem_Collection'!A18</f>
        <v>16</v>
      </c>
      <c r="D17" s="253" t="str">
        <f>'Dry_Litterbag Placem_Collection'!B18</f>
        <v>Makao</v>
      </c>
      <c r="E17" s="253" t="s">
        <v>2643</v>
      </c>
      <c r="F17" s="253" t="s">
        <v>2644</v>
      </c>
      <c r="G17" s="253">
        <v>2</v>
      </c>
      <c r="H17" s="253" t="s">
        <v>3103</v>
      </c>
      <c r="I17" s="254" t="str">
        <f>'Dry_Litterbag Placem_Collection'!C18</f>
        <v>Dry_Ag2_T8</v>
      </c>
      <c r="J17" s="255" t="s">
        <v>2525</v>
      </c>
      <c r="K17" s="256" t="s">
        <v>1147</v>
      </c>
      <c r="L17" s="253" t="str">
        <f>IF(ISBLANK('Dry_Litterbag Placem_Collection'!J18),"","G"&amp;""&amp;'Dry_Litterbag Placem_Collection'!J18)</f>
        <v>G376</v>
      </c>
      <c r="M17" s="257">
        <f>IFERROR(INDEX('Green_rooibos initial weight'!$C$5:$C$2000,MATCH(L17, 'Green_rooibos initial weight'!$A$5:$A$2000,0)),"")</f>
        <v>2.0329999999999999</v>
      </c>
      <c r="N17" s="257">
        <f>IFERROR(M17-(TBIcalc!$Q$9+TBIcalc!$Q$10),"")</f>
        <v>1.7831999999999999</v>
      </c>
      <c r="O17" s="378">
        <f>AVERAGE(Ashed_controlls!$K$2:$K$11)</f>
        <v>5.5147656768714146</v>
      </c>
      <c r="P17" s="257">
        <f t="shared" si="1"/>
        <v>1.6848606984500289</v>
      </c>
      <c r="Q17" s="257" t="str">
        <f>IFERROR(INDEX('Both teabags AfterDry'!$D$2:$D$2000,MATCH(L17,'Both teabags AfterDry'!$A$2:$A$2000,0)),"")</f>
        <v/>
      </c>
      <c r="R17" s="257" t="str">
        <f>IFERROR(IF(Q17&gt;0,Q17-(TBIcalc!$Q$9),""),"")</f>
        <v/>
      </c>
      <c r="S17" s="268" t="str">
        <f>IFERROR(INDEX('Ashed teabags dry'!$K$2:$K$2000,MATCH(L17,'Ashed teabags dry'!$A$2:$A$2000,0)),"")</f>
        <v/>
      </c>
      <c r="T17" s="268" t="str">
        <f t="shared" si="2"/>
        <v/>
      </c>
      <c r="U17" s="258">
        <f>IF('Dry_Litterbag Placem_Collection'!E18="","",'Dry_Litterbag Placem_Collection'!E18)</f>
        <v>42938</v>
      </c>
      <c r="V17" s="258">
        <f>IF('Dry_Litterbag Placem_Collection'!G18="","",'Dry_Litterbag Placem_Collection'!G18)</f>
        <v>43007</v>
      </c>
      <c r="W17" s="259">
        <f t="shared" si="0"/>
        <v>69</v>
      </c>
      <c r="X17" s="257" t="str">
        <f t="shared" si="3"/>
        <v/>
      </c>
      <c r="Y17" s="257" t="str">
        <f t="shared" si="4"/>
        <v/>
      </c>
      <c r="Z17" s="261">
        <f>IFERROR(INDEX([3]Rainfall_Dry!$O$2:$O$217,MATCH(C17, [3]Rainfall_Dry!$A$2:$A$217,0)),"")</f>
        <v>6.900000125</v>
      </c>
      <c r="AA17" s="250">
        <v>21.13063730679653</v>
      </c>
      <c r="AB17" s="250">
        <v>3.0912555579081076</v>
      </c>
      <c r="AC17" s="250">
        <v>75.778107135295357</v>
      </c>
      <c r="AD17" s="251" t="s">
        <v>2651</v>
      </c>
      <c r="AE17" s="250">
        <v>7.4613109906357797</v>
      </c>
      <c r="AF17">
        <f>IF('WetLitterbags placem_collection'!AB18="","",'WetLitterbags placem_collection'!AB18)</f>
        <v>8</v>
      </c>
      <c r="AG17">
        <f>IF('WetLitterbags placem_collection'!Z18="","",'WetLitterbags placem_collection'!Z18)</f>
        <v>12.4</v>
      </c>
      <c r="AH17" s="236" t="str">
        <f>IF('WetLitterbags placem_collection'!AA18="","",'WetLitterbags placem_collection'!AA18)</f>
        <v>M</v>
      </c>
      <c r="AI17">
        <f>IF('WetLitterbags placem_collection'!AC18="","",'WetLitterbags placem_collection'!AC18)</f>
        <v>0</v>
      </c>
      <c r="AJ17">
        <f>IFERROR(AVERAGE('Dry_Litterbag Placem_Collection'!O18,'Dry_Litterbag Placem_Collection'!R18),"")</f>
        <v>9.1999999999999993</v>
      </c>
      <c r="AK17" s="261">
        <f>IFERROR(AVERAGE('Dry_Litterbag Placem_Collection'!N18,'Dry_Litterbag Placem_Collection'!Q18),"")</f>
        <v>27.049999999999997</v>
      </c>
      <c r="AL17" s="260">
        <f>INDEX([2]Coordinates!$B$2:$B$197,MATCH(I17,[2]Coordinates!$J$2:$J$197,0))</f>
        <v>-3.3977669760000002</v>
      </c>
      <c r="AM17" s="260">
        <f>INDEX([2]Coordinates!$C$2:$C$197,MATCH(I17,[2]Coordinates!$J$2:$J$197,0))</f>
        <v>34.837181039999997</v>
      </c>
      <c r="AN17" s="260" t="str">
        <f>IF(ISNUMBER(SEARCH("C", 'Dry_Litterbag Placem_Collection'!S18)),"YES","NO")</f>
        <v>YES</v>
      </c>
      <c r="AO17" s="260" t="str">
        <f>IF(ISNUMBER(SEARCH("H", 'Dry_Litterbag Placem_Collection'!S18)),"YES","NO")</f>
        <v>YES</v>
      </c>
      <c r="AP17" s="260" t="str">
        <f>IF(ISNUMBER(SEARCH("R", 'Dry_Litterbag Placem_Collection'!S18)),"YES","NO")</f>
        <v>NO</v>
      </c>
    </row>
    <row r="18" spans="1:42">
      <c r="A18" t="s">
        <v>3248</v>
      </c>
      <c r="B18" s="252" t="s">
        <v>2643</v>
      </c>
      <c r="C18" s="253">
        <f>'Dry_Litterbag Placem_Collection'!A19</f>
        <v>17</v>
      </c>
      <c r="D18" s="253" t="str">
        <f>'Dry_Litterbag Placem_Collection'!B19</f>
        <v>Makao</v>
      </c>
      <c r="E18" s="253" t="s">
        <v>2643</v>
      </c>
      <c r="F18" s="253" t="s">
        <v>2644</v>
      </c>
      <c r="G18" s="253">
        <v>3</v>
      </c>
      <c r="H18" s="253" t="s">
        <v>3104</v>
      </c>
      <c r="I18" s="254" t="str">
        <f>'Dry_Litterbag Placem_Collection'!C19</f>
        <v>Dry_Ag3_T1</v>
      </c>
      <c r="J18" s="255" t="s">
        <v>2525</v>
      </c>
      <c r="K18" s="256" t="s">
        <v>1147</v>
      </c>
      <c r="L18" s="253" t="str">
        <f>IF(ISBLANK('Dry_Litterbag Placem_Collection'!J19),"","G"&amp;""&amp;'Dry_Litterbag Placem_Collection'!J19)</f>
        <v>G209</v>
      </c>
      <c r="M18" s="257">
        <f>IFERROR(INDEX('Green_rooibos initial weight'!$C$5:$C$2000,MATCH(L18, 'Green_rooibos initial weight'!$A$5:$A$2000,0)),"")</f>
        <v>2.1160000000000001</v>
      </c>
      <c r="N18" s="257">
        <f>IFERROR(M18-(TBIcalc!$Q$9+TBIcalc!$Q$10),"")</f>
        <v>1.8662000000000001</v>
      </c>
      <c r="O18" s="378">
        <f>AVERAGE(Ashed_controlls!$K$2:$K$11)</f>
        <v>5.5147656768714146</v>
      </c>
      <c r="P18" s="257">
        <f t="shared" si="1"/>
        <v>1.7632834429382258</v>
      </c>
      <c r="Q18" s="257">
        <f>IFERROR(INDEX('Both teabags AfterDry'!$D$2:$D$2000,MATCH(L18,'Both teabags AfterDry'!$A$2:$A$2000,0)),"")</f>
        <v>1.9087000000000001</v>
      </c>
      <c r="R18" s="257">
        <f>IFERROR(IF(Q18&gt;0,Q18-(TBIcalc!$Q$9),""),"")</f>
        <v>1.7581</v>
      </c>
      <c r="S18" s="268">
        <f>IFERROR(INDEX('Ashed teabags dry'!$K$2:$K$2000,MATCH(L18,'Ashed teabags dry'!$A$2:$A$2000,0)),"")</f>
        <v>5.4283290924516674</v>
      </c>
      <c r="T18" s="268">
        <f t="shared" si="2"/>
        <v>1.6626645462256073</v>
      </c>
      <c r="U18" s="258">
        <f>IF('Dry_Litterbag Placem_Collection'!E19="","",'Dry_Litterbag Placem_Collection'!E19)</f>
        <v>42936</v>
      </c>
      <c r="V18" s="258">
        <f>IF('Dry_Litterbag Placem_Collection'!G19="","",'Dry_Litterbag Placem_Collection'!G19)</f>
        <v>43007</v>
      </c>
      <c r="W18" s="259">
        <f t="shared" si="0"/>
        <v>71</v>
      </c>
      <c r="X18" s="257">
        <f t="shared" si="3"/>
        <v>0.10810000000000008</v>
      </c>
      <c r="Y18" s="257">
        <f t="shared" si="4"/>
        <v>0.10061889671261848</v>
      </c>
      <c r="Z18" s="261">
        <f>IFERROR(INDEX([3]Rainfall_Dry!$O$2:$O$217,MATCH(C18, [3]Rainfall_Dry!$A$2:$A$217,0)),"")</f>
        <v>6.900000125</v>
      </c>
      <c r="AA18" s="250">
        <v>54.080969906906262</v>
      </c>
      <c r="AB18" s="250">
        <v>21.264484651351896</v>
      </c>
      <c r="AC18" s="250">
        <v>24.654545441741845</v>
      </c>
      <c r="AD18" s="251" t="s">
        <v>2654</v>
      </c>
      <c r="AE18" s="250">
        <v>1.8433218334154755</v>
      </c>
      <c r="AF18" t="str">
        <f>IF('WetLitterbags placem_collection'!AB19="","",'WetLitterbags placem_collection'!AB19)</f>
        <v/>
      </c>
      <c r="AG18" t="str">
        <f>IF('WetLitterbags placem_collection'!Z19="","",'WetLitterbags placem_collection'!Z19)</f>
        <v/>
      </c>
      <c r="AH18" s="236" t="str">
        <f>IF('WetLitterbags placem_collection'!AA19="","",'WetLitterbags placem_collection'!AA19)</f>
        <v/>
      </c>
      <c r="AI18" t="str">
        <f>IF('WetLitterbags placem_collection'!AC19="","",'WetLitterbags placem_collection'!AC19)</f>
        <v/>
      </c>
      <c r="AJ18">
        <f>IFERROR(AVERAGE('Dry_Litterbag Placem_Collection'!O19,'Dry_Litterbag Placem_Collection'!R19),"")</f>
        <v>12.9</v>
      </c>
      <c r="AK18" s="261">
        <f>IFERROR(AVERAGE('Dry_Litterbag Placem_Collection'!N19,'Dry_Litterbag Placem_Collection'!Q19),"")</f>
        <v>26.2</v>
      </c>
      <c r="AL18" s="260">
        <f>INDEX([2]Coordinates!$B$2:$B$197,MATCH(I18,[2]Coordinates!$J$2:$J$197,0))</f>
        <v>-3.3854090330000002</v>
      </c>
      <c r="AM18" s="260">
        <f>INDEX([2]Coordinates!$C$2:$C$197,MATCH(I18,[2]Coordinates!$J$2:$J$197,0))</f>
        <v>34.818901029999999</v>
      </c>
      <c r="AN18" s="260" t="str">
        <f>IF(ISNUMBER(SEARCH("C", 'Dry_Litterbag Placem_Collection'!S19)),"YES","NO")</f>
        <v>NO</v>
      </c>
      <c r="AO18" s="260" t="str">
        <f>IF(ISNUMBER(SEARCH("H", 'Dry_Litterbag Placem_Collection'!S19)),"YES","NO")</f>
        <v>NO</v>
      </c>
      <c r="AP18" s="260" t="str">
        <f>IF(ISNUMBER(SEARCH("R", 'Dry_Litterbag Placem_Collection'!S19)),"YES","NO")</f>
        <v>NO</v>
      </c>
    </row>
    <row r="19" spans="1:42">
      <c r="A19" t="s">
        <v>3248</v>
      </c>
      <c r="B19" s="252" t="s">
        <v>2643</v>
      </c>
      <c r="C19" s="253">
        <f>'Dry_Litterbag Placem_Collection'!A20</f>
        <v>18</v>
      </c>
      <c r="D19" s="253" t="str">
        <f>'Dry_Litterbag Placem_Collection'!B20</f>
        <v>Makao</v>
      </c>
      <c r="E19" s="253" t="s">
        <v>2643</v>
      </c>
      <c r="F19" s="253" t="s">
        <v>2644</v>
      </c>
      <c r="G19" s="253">
        <v>3</v>
      </c>
      <c r="H19" s="253" t="s">
        <v>3104</v>
      </c>
      <c r="I19" s="254" t="str">
        <f>'Dry_Litterbag Placem_Collection'!C20</f>
        <v>Dry_Ag3_T2</v>
      </c>
      <c r="J19" s="255" t="s">
        <v>2525</v>
      </c>
      <c r="K19" s="256" t="s">
        <v>1147</v>
      </c>
      <c r="L19" s="253" t="str">
        <f>IF(ISBLANK('Dry_Litterbag Placem_Collection'!J20),"","G"&amp;""&amp;'Dry_Litterbag Placem_Collection'!J20)</f>
        <v>G10</v>
      </c>
      <c r="M19" s="257">
        <f>IFERROR(INDEX('Green_rooibos initial weight'!$C$5:$C$2000,MATCH(L19, 'Green_rooibos initial weight'!$A$5:$A$2000,0)),"")</f>
        <v>1.9710000000000001</v>
      </c>
      <c r="N19" s="257">
        <f>IFERROR(M19-(TBIcalc!$Q$9+TBIcalc!$Q$10),"")</f>
        <v>1.7212000000000001</v>
      </c>
      <c r="O19" s="378">
        <f>AVERAGE(Ashed_controlls!$K$2:$K$11)</f>
        <v>5.5147656768714146</v>
      </c>
      <c r="P19" s="257">
        <f t="shared" si="1"/>
        <v>1.6262798531696894</v>
      </c>
      <c r="Q19" s="257">
        <f>IFERROR(INDEX('Both teabags AfterDry'!$D$2:$D$2000,MATCH(L19,'Both teabags AfterDry'!$A$2:$A$2000,0)),"")</f>
        <v>1.7706999999999999</v>
      </c>
      <c r="R19" s="257">
        <f>IFERROR(IF(Q19&gt;0,Q19-(TBIcalc!$Q$9),""),"")</f>
        <v>1.6200999999999999</v>
      </c>
      <c r="S19" s="268">
        <f>IFERROR(INDEX('Ashed teabags dry'!$K$2:$K$2000,MATCH(L19,'Ashed teabags dry'!$A$2:$A$2000,0)),"")</f>
        <v>5.8337384540594233</v>
      </c>
      <c r="T19" s="268">
        <f t="shared" si="2"/>
        <v>1.5255876033057831</v>
      </c>
      <c r="U19" s="258">
        <f>IF('Dry_Litterbag Placem_Collection'!E20="","",'Dry_Litterbag Placem_Collection'!E20)</f>
        <v>42936</v>
      </c>
      <c r="V19" s="258">
        <f>IF('Dry_Litterbag Placem_Collection'!G20="","",'Dry_Litterbag Placem_Collection'!G20)</f>
        <v>43007</v>
      </c>
      <c r="W19" s="259">
        <f t="shared" si="0"/>
        <v>71</v>
      </c>
      <c r="X19" s="257">
        <f t="shared" si="3"/>
        <v>0.10110000000000019</v>
      </c>
      <c r="Y19" s="257">
        <f t="shared" si="4"/>
        <v>0.10069224986390624</v>
      </c>
      <c r="Z19" s="261">
        <f>IFERROR(INDEX([3]Rainfall_Dry!$O$2:$O$217,MATCH(C19, [3]Rainfall_Dry!$A$2:$A$217,0)),"")</f>
        <v>6.900000125</v>
      </c>
      <c r="AA19" s="250">
        <v>54.080969906906262</v>
      </c>
      <c r="AB19" s="250">
        <v>21.264484651351896</v>
      </c>
      <c r="AC19" s="250">
        <v>24.654545441741845</v>
      </c>
      <c r="AD19" s="251" t="s">
        <v>2654</v>
      </c>
      <c r="AE19" s="250">
        <v>2.8433218334154802</v>
      </c>
      <c r="AF19" t="str">
        <f>IF('WetLitterbags placem_collection'!AB20="","",'WetLitterbags placem_collection'!AB20)</f>
        <v/>
      </c>
      <c r="AG19" t="str">
        <f>IF('WetLitterbags placem_collection'!Z20="","",'WetLitterbags placem_collection'!Z20)</f>
        <v/>
      </c>
      <c r="AH19" s="236" t="str">
        <f>IF('WetLitterbags placem_collection'!AA20="","",'WetLitterbags placem_collection'!AA20)</f>
        <v/>
      </c>
      <c r="AI19" t="str">
        <f>IF('WetLitterbags placem_collection'!AC20="","",'WetLitterbags placem_collection'!AC20)</f>
        <v/>
      </c>
      <c r="AJ19">
        <f>IFERROR(AVERAGE('Dry_Litterbag Placem_Collection'!O20,'Dry_Litterbag Placem_Collection'!R20),"")</f>
        <v>11.15</v>
      </c>
      <c r="AK19" s="261">
        <f>IFERROR(AVERAGE('Dry_Litterbag Placem_Collection'!N20,'Dry_Litterbag Placem_Collection'!Q20),"")</f>
        <v>26.1</v>
      </c>
      <c r="AL19" s="260">
        <f>INDEX([2]Coordinates!$B$2:$B$197,MATCH(I19,[2]Coordinates!$J$2:$J$197,0))</f>
        <v>-3.385375002</v>
      </c>
      <c r="AM19" s="260">
        <f>INDEX([2]Coordinates!$C$2:$C$197,MATCH(I19,[2]Coordinates!$J$2:$J$197,0))</f>
        <v>34.818939999999998</v>
      </c>
      <c r="AN19" s="260" t="str">
        <f>IF(ISNUMBER(SEARCH("C", 'Dry_Litterbag Placem_Collection'!S20)),"YES","NO")</f>
        <v>NO</v>
      </c>
      <c r="AO19" s="260" t="str">
        <f>IF(ISNUMBER(SEARCH("H", 'Dry_Litterbag Placem_Collection'!S20)),"YES","NO")</f>
        <v>NO</v>
      </c>
      <c r="AP19" s="260" t="str">
        <f>IF(ISNUMBER(SEARCH("R", 'Dry_Litterbag Placem_Collection'!S20)),"YES","NO")</f>
        <v>NO</v>
      </c>
    </row>
    <row r="20" spans="1:42">
      <c r="A20" t="s">
        <v>3248</v>
      </c>
      <c r="B20" s="252" t="s">
        <v>2643</v>
      </c>
      <c r="C20" s="253">
        <f>'Dry_Litterbag Placem_Collection'!A21</f>
        <v>19</v>
      </c>
      <c r="D20" s="253" t="str">
        <f>'Dry_Litterbag Placem_Collection'!B21</f>
        <v>Makao</v>
      </c>
      <c r="E20" s="253" t="s">
        <v>2643</v>
      </c>
      <c r="F20" s="253" t="s">
        <v>2644</v>
      </c>
      <c r="G20" s="253">
        <v>3</v>
      </c>
      <c r="H20" s="253" t="s">
        <v>3104</v>
      </c>
      <c r="I20" s="254" t="str">
        <f>'Dry_Litterbag Placem_Collection'!C21</f>
        <v>Dry_Ag3_T3</v>
      </c>
      <c r="J20" s="255" t="s">
        <v>2525</v>
      </c>
      <c r="K20" s="256" t="s">
        <v>1147</v>
      </c>
      <c r="L20" s="253" t="str">
        <f>IF(ISBLANK('Dry_Litterbag Placem_Collection'!J21),"","G"&amp;""&amp;'Dry_Litterbag Placem_Collection'!J21)</f>
        <v>G190</v>
      </c>
      <c r="M20" s="257">
        <f>IFERROR(INDEX('Green_rooibos initial weight'!$C$5:$C$2000,MATCH(L20, 'Green_rooibos initial weight'!$A$5:$A$2000,0)),"")</f>
        <v>1.909</v>
      </c>
      <c r="N20" s="257">
        <f>IFERROR(M20-(TBIcalc!$Q$9+TBIcalc!$Q$10),"")</f>
        <v>1.6592</v>
      </c>
      <c r="O20" s="378">
        <f>AVERAGE(Ashed_controlls!$K$2:$K$11)</f>
        <v>5.5147656768714146</v>
      </c>
      <c r="P20" s="257">
        <f t="shared" si="1"/>
        <v>1.5676990078893496</v>
      </c>
      <c r="Q20" s="257">
        <f>IFERROR(INDEX('Both teabags AfterDry'!$D$2:$D$2000,MATCH(L20,'Both teabags AfterDry'!$A$2:$A$2000,0)),"")</f>
        <v>1.7041999999999999</v>
      </c>
      <c r="R20" s="257">
        <f>IFERROR(IF(Q20&gt;0,Q20-(TBIcalc!$Q$9),""),"")</f>
        <v>1.5535999999999999</v>
      </c>
      <c r="S20" s="268">
        <f>IFERROR(INDEX('Ashed teabags dry'!$K$2:$K$2000,MATCH(L20,'Ashed teabags dry'!$A$2:$A$2000,0)),"")</f>
        <v>6.0311284046705405</v>
      </c>
      <c r="T20" s="268">
        <f t="shared" si="2"/>
        <v>1.4599003891050384</v>
      </c>
      <c r="U20" s="258">
        <f>IF('Dry_Litterbag Placem_Collection'!E21="","",'Dry_Litterbag Placem_Collection'!E21)</f>
        <v>42936</v>
      </c>
      <c r="V20" s="258">
        <f>IF('Dry_Litterbag Placem_Collection'!G21="","",'Dry_Litterbag Placem_Collection'!G21)</f>
        <v>43007</v>
      </c>
      <c r="W20" s="259">
        <f t="shared" si="0"/>
        <v>71</v>
      </c>
      <c r="X20" s="257">
        <f t="shared" si="3"/>
        <v>0.10560000000000014</v>
      </c>
      <c r="Y20" s="257">
        <f t="shared" si="4"/>
        <v>0.10779861878431118</v>
      </c>
      <c r="Z20" s="261">
        <f>IFERROR(INDEX([3]Rainfall_Dry!$O$2:$O$217,MATCH(C20, [3]Rainfall_Dry!$A$2:$A$217,0)),"")</f>
        <v>6.900000125</v>
      </c>
      <c r="AA20" s="250">
        <v>54.080969906906262</v>
      </c>
      <c r="AB20" s="250">
        <v>21.264484651351896</v>
      </c>
      <c r="AC20" s="250">
        <v>24.654545441741845</v>
      </c>
      <c r="AD20" s="251" t="s">
        <v>2654</v>
      </c>
      <c r="AE20" s="250">
        <v>3.8433218334154802</v>
      </c>
      <c r="AF20" t="str">
        <f>IF('WetLitterbags placem_collection'!AB21="","",'WetLitterbags placem_collection'!AB21)</f>
        <v/>
      </c>
      <c r="AG20" t="str">
        <f>IF('WetLitterbags placem_collection'!Z21="","",'WetLitterbags placem_collection'!Z21)</f>
        <v/>
      </c>
      <c r="AH20" s="236" t="str">
        <f>IF('WetLitterbags placem_collection'!AA21="","",'WetLitterbags placem_collection'!AA21)</f>
        <v/>
      </c>
      <c r="AI20" t="str">
        <f>IF('WetLitterbags placem_collection'!AC21="","",'WetLitterbags placem_collection'!AC21)</f>
        <v/>
      </c>
      <c r="AJ20">
        <f>IFERROR(AVERAGE('Dry_Litterbag Placem_Collection'!O21,'Dry_Litterbag Placem_Collection'!R21),"")</f>
        <v>15.75</v>
      </c>
      <c r="AK20" s="261">
        <f>IFERROR(AVERAGE('Dry_Litterbag Placem_Collection'!N21,'Dry_Litterbag Placem_Collection'!Q21),"")</f>
        <v>25.700000000000003</v>
      </c>
      <c r="AL20" s="260">
        <f>INDEX([2]Coordinates!$B$2:$B$197,MATCH(I20,[2]Coordinates!$J$2:$J$197,0))</f>
        <v>-3.3853589930000001</v>
      </c>
      <c r="AM20" s="260">
        <f>INDEX([2]Coordinates!$C$2:$C$197,MATCH(I20,[2]Coordinates!$J$2:$J$197,0))</f>
        <v>34.818991969999999</v>
      </c>
      <c r="AN20" s="260" t="str">
        <f>IF(ISNUMBER(SEARCH("C", 'Dry_Litterbag Placem_Collection'!S21)),"YES","NO")</f>
        <v>NO</v>
      </c>
      <c r="AO20" s="260" t="str">
        <f>IF(ISNUMBER(SEARCH("H", 'Dry_Litterbag Placem_Collection'!S21)),"YES","NO")</f>
        <v>YES</v>
      </c>
      <c r="AP20" s="260" t="str">
        <f>IF(ISNUMBER(SEARCH("R", 'Dry_Litterbag Placem_Collection'!S21)),"YES","NO")</f>
        <v>NO</v>
      </c>
    </row>
    <row r="21" spans="1:42">
      <c r="A21" t="s">
        <v>3248</v>
      </c>
      <c r="B21" s="252" t="s">
        <v>2643</v>
      </c>
      <c r="C21" s="253">
        <f>'Dry_Litterbag Placem_Collection'!A22</f>
        <v>20</v>
      </c>
      <c r="D21" s="253" t="str">
        <f>'Dry_Litterbag Placem_Collection'!B22</f>
        <v>Makao</v>
      </c>
      <c r="E21" s="253" t="s">
        <v>2643</v>
      </c>
      <c r="F21" s="253" t="s">
        <v>2644</v>
      </c>
      <c r="G21" s="253">
        <v>3</v>
      </c>
      <c r="H21" s="253" t="s">
        <v>3104</v>
      </c>
      <c r="I21" s="254" t="str">
        <f>'Dry_Litterbag Placem_Collection'!C22</f>
        <v>Dry_Ag3_T4</v>
      </c>
      <c r="J21" s="255" t="s">
        <v>2525</v>
      </c>
      <c r="K21" s="256" t="s">
        <v>1147</v>
      </c>
      <c r="L21" s="253" t="str">
        <f>IF(ISBLANK('Dry_Litterbag Placem_Collection'!J22),"","G"&amp;""&amp;'Dry_Litterbag Placem_Collection'!J22)</f>
        <v>G38</v>
      </c>
      <c r="M21" s="257">
        <f>IFERROR(INDEX('Green_rooibos initial weight'!$C$5:$C$2000,MATCH(L21, 'Green_rooibos initial weight'!$A$5:$A$2000,0)),"")</f>
        <v>1.93</v>
      </c>
      <c r="N21" s="257">
        <f>IFERROR(M21-(TBIcalc!$Q$9+TBIcalc!$Q$10),"")</f>
        <v>1.6801999999999999</v>
      </c>
      <c r="O21" s="378">
        <f>AVERAGE(Ashed_controlls!$K$2:$K$11)</f>
        <v>5.5147656768714146</v>
      </c>
      <c r="P21" s="257">
        <f t="shared" si="1"/>
        <v>1.5875409070972064</v>
      </c>
      <c r="Q21" s="257">
        <f>IFERROR(INDEX('Both teabags AfterDry'!$D$2:$D$2000,MATCH(L21,'Both teabags AfterDry'!$A$2:$A$2000,0)),"")</f>
        <v>1.6738</v>
      </c>
      <c r="R21" s="257">
        <f>IFERROR(IF(Q21&gt;0,Q21-(TBIcalc!$Q$9),""),"")</f>
        <v>1.5231999999999999</v>
      </c>
      <c r="S21" s="268">
        <f>IFERROR(INDEX('Ashed teabags dry'!$K$2:$K$2000,MATCH(L21,'Ashed teabags dry'!$A$2:$A$2000,0)),"")</f>
        <v>6.723084156088639</v>
      </c>
      <c r="T21" s="268">
        <f t="shared" si="2"/>
        <v>1.4207939821344577</v>
      </c>
      <c r="U21" s="258">
        <f>IF('Dry_Litterbag Placem_Collection'!E22="","",'Dry_Litterbag Placem_Collection'!E22)</f>
        <v>42936</v>
      </c>
      <c r="V21" s="258">
        <f>IF('Dry_Litterbag Placem_Collection'!G22="","",'Dry_Litterbag Placem_Collection'!G22)</f>
        <v>43007</v>
      </c>
      <c r="W21" s="259">
        <f t="shared" si="0"/>
        <v>71</v>
      </c>
      <c r="X21" s="257">
        <f t="shared" si="3"/>
        <v>0.15700000000000003</v>
      </c>
      <c r="Y21" s="257">
        <f t="shared" si="4"/>
        <v>0.16674692496274868</v>
      </c>
      <c r="Z21" s="261">
        <f>IFERROR(INDEX([3]Rainfall_Dry!$O$2:$O$217,MATCH(C21, [3]Rainfall_Dry!$A$2:$A$217,0)),"")</f>
        <v>6.900000125</v>
      </c>
      <c r="AA21" s="250">
        <v>54.080969906906262</v>
      </c>
      <c r="AB21" s="250">
        <v>21.264484651351896</v>
      </c>
      <c r="AC21" s="250">
        <v>24.654545441741845</v>
      </c>
      <c r="AD21" s="251" t="s">
        <v>2654</v>
      </c>
      <c r="AE21" s="250">
        <v>4.8433218334154802</v>
      </c>
      <c r="AF21" t="str">
        <f>IF('WetLitterbags placem_collection'!AB22="","",'WetLitterbags placem_collection'!AB22)</f>
        <v/>
      </c>
      <c r="AG21" t="str">
        <f>IF('WetLitterbags placem_collection'!Z22="","",'WetLitterbags placem_collection'!Z22)</f>
        <v/>
      </c>
      <c r="AH21" s="236" t="str">
        <f>IF('WetLitterbags placem_collection'!AA22="","",'WetLitterbags placem_collection'!AA22)</f>
        <v/>
      </c>
      <c r="AI21" t="str">
        <f>IF('WetLitterbags placem_collection'!AC22="","",'WetLitterbags placem_collection'!AC22)</f>
        <v/>
      </c>
      <c r="AJ21">
        <f>IFERROR(AVERAGE('Dry_Litterbag Placem_Collection'!O22,'Dry_Litterbag Placem_Collection'!R22),"")</f>
        <v>16</v>
      </c>
      <c r="AK21" s="261">
        <f>IFERROR(AVERAGE('Dry_Litterbag Placem_Collection'!N22,'Dry_Litterbag Placem_Collection'!Q22),"")</f>
        <v>26.3</v>
      </c>
      <c r="AL21" s="260">
        <f>INDEX([2]Coordinates!$B$2:$B$197,MATCH(I21,[2]Coordinates!$J$2:$J$197,0))</f>
        <v>-3.3853969629999998</v>
      </c>
      <c r="AM21" s="260">
        <f>INDEX([2]Coordinates!$C$2:$C$197,MATCH(I21,[2]Coordinates!$J$2:$J$197,0))</f>
        <v>34.818977969999999</v>
      </c>
      <c r="AN21" s="260" t="str">
        <f>IF(ISNUMBER(SEARCH("C", 'Dry_Litterbag Placem_Collection'!S22)),"YES","NO")</f>
        <v>NO</v>
      </c>
      <c r="AO21" s="260" t="str">
        <f>IF(ISNUMBER(SEARCH("H", 'Dry_Litterbag Placem_Collection'!S22)),"YES","NO")</f>
        <v>YES</v>
      </c>
      <c r="AP21" s="260" t="str">
        <f>IF(ISNUMBER(SEARCH("R", 'Dry_Litterbag Placem_Collection'!S22)),"YES","NO")</f>
        <v>NO</v>
      </c>
    </row>
    <row r="22" spans="1:42">
      <c r="A22" t="s">
        <v>3248</v>
      </c>
      <c r="B22" s="252" t="s">
        <v>2643</v>
      </c>
      <c r="C22" s="253">
        <f>'Dry_Litterbag Placem_Collection'!A23</f>
        <v>21</v>
      </c>
      <c r="D22" s="253" t="str">
        <f>'Dry_Litterbag Placem_Collection'!B23</f>
        <v>Makao</v>
      </c>
      <c r="E22" s="253" t="s">
        <v>2643</v>
      </c>
      <c r="F22" s="253" t="s">
        <v>2644</v>
      </c>
      <c r="G22" s="253">
        <v>3</v>
      </c>
      <c r="H22" s="253" t="s">
        <v>3104</v>
      </c>
      <c r="I22" s="254" t="str">
        <f>'Dry_Litterbag Placem_Collection'!C23</f>
        <v>Dry_Ag3_T5</v>
      </c>
      <c r="J22" s="255" t="s">
        <v>2525</v>
      </c>
      <c r="K22" s="256" t="s">
        <v>1147</v>
      </c>
      <c r="L22" s="253" t="str">
        <f>IF(ISBLANK('Dry_Litterbag Placem_Collection'!J23),"","G"&amp;""&amp;'Dry_Litterbag Placem_Collection'!J23)</f>
        <v>G468</v>
      </c>
      <c r="M22" s="257">
        <f>IFERROR(INDEX('Green_rooibos initial weight'!$C$5:$C$2000,MATCH(L22, 'Green_rooibos initial weight'!$A$5:$A$2000,0)),"")</f>
        <v>2.1309999999999998</v>
      </c>
      <c r="N22" s="257">
        <f>IFERROR(M22-(TBIcalc!$Q$9+TBIcalc!$Q$10),"")</f>
        <v>1.8811999999999998</v>
      </c>
      <c r="O22" s="378">
        <f>AVERAGE(Ashed_controlls!$K$2:$K$11)</f>
        <v>5.5147656768714146</v>
      </c>
      <c r="P22" s="257">
        <f t="shared" si="1"/>
        <v>1.7774562280866948</v>
      </c>
      <c r="Q22" s="257" t="str">
        <f>IFERROR(INDEX('Both teabags AfterDry'!$D$2:$D$2000,MATCH(L22,'Both teabags AfterDry'!$A$2:$A$2000,0)),"")</f>
        <v/>
      </c>
      <c r="R22" s="257" t="str">
        <f>IFERROR(IF(Q22&gt;0,Q22-(TBIcalc!$Q$9),""),"")</f>
        <v/>
      </c>
      <c r="S22" s="268" t="str">
        <f>IFERROR(INDEX('Ashed teabags dry'!$K$2:$K$2000,MATCH(L22,'Ashed teabags dry'!$A$2:$A$2000,0)),"")</f>
        <v/>
      </c>
      <c r="T22" s="268" t="str">
        <f t="shared" si="2"/>
        <v/>
      </c>
      <c r="U22" s="258">
        <f>IF('Dry_Litterbag Placem_Collection'!E23="","",'Dry_Litterbag Placem_Collection'!E23)</f>
        <v>42936</v>
      </c>
      <c r="V22" s="258">
        <f>IF('Dry_Litterbag Placem_Collection'!G23="","",'Dry_Litterbag Placem_Collection'!G23)</f>
        <v>43007</v>
      </c>
      <c r="W22" s="259">
        <f t="shared" si="0"/>
        <v>71</v>
      </c>
      <c r="X22" s="257" t="str">
        <f t="shared" si="3"/>
        <v/>
      </c>
      <c r="Y22" s="257" t="str">
        <f t="shared" si="4"/>
        <v/>
      </c>
      <c r="Z22" s="261">
        <f>IFERROR(INDEX([3]Rainfall_Dry!$O$2:$O$217,MATCH(C22, [3]Rainfall_Dry!$A$2:$A$217,0)),"")</f>
        <v>6.900000125</v>
      </c>
      <c r="AA22" s="250">
        <v>54.080969906906262</v>
      </c>
      <c r="AB22" s="250">
        <v>21.264484651351896</v>
      </c>
      <c r="AC22" s="250">
        <v>24.654545441741845</v>
      </c>
      <c r="AD22" s="251" t="s">
        <v>2654</v>
      </c>
      <c r="AE22" s="250">
        <v>5.8433218334154802</v>
      </c>
      <c r="AF22" t="str">
        <f>IF('WetLitterbags placem_collection'!AB23="","",'WetLitterbags placem_collection'!AB23)</f>
        <v/>
      </c>
      <c r="AG22" t="str">
        <f>IF('WetLitterbags placem_collection'!Z23="","",'WetLitterbags placem_collection'!Z23)</f>
        <v/>
      </c>
      <c r="AH22" s="236" t="str">
        <f>IF('WetLitterbags placem_collection'!AA23="","",'WetLitterbags placem_collection'!AA23)</f>
        <v/>
      </c>
      <c r="AI22" t="str">
        <f>IF('WetLitterbags placem_collection'!AC23="","",'WetLitterbags placem_collection'!AC23)</f>
        <v/>
      </c>
      <c r="AJ22">
        <f>IFERROR(AVERAGE('Dry_Litterbag Placem_Collection'!O23,'Dry_Litterbag Placem_Collection'!R23),"")</f>
        <v>13.2</v>
      </c>
      <c r="AK22" s="261">
        <f>IFERROR(AVERAGE('Dry_Litterbag Placem_Collection'!N23,'Dry_Litterbag Placem_Collection'!Q23),"")</f>
        <v>26.1</v>
      </c>
      <c r="AL22" s="260">
        <f>INDEX([2]Coordinates!$B$2:$B$197,MATCH(I22,[2]Coordinates!$J$2:$J$197,0))</f>
        <v>-3.3854019919999998</v>
      </c>
      <c r="AM22" s="260">
        <f>INDEX([2]Coordinates!$C$2:$C$197,MATCH(I22,[2]Coordinates!$J$2:$J$197,0))</f>
        <v>34.81894604</v>
      </c>
      <c r="AN22" s="260" t="str">
        <f>IF(ISNUMBER(SEARCH("C", 'Dry_Litterbag Placem_Collection'!S23)),"YES","NO")</f>
        <v>NO</v>
      </c>
      <c r="AO22" s="260" t="str">
        <f>IF(ISNUMBER(SEARCH("H", 'Dry_Litterbag Placem_Collection'!S23)),"YES","NO")</f>
        <v>NO</v>
      </c>
      <c r="AP22" s="260" t="str">
        <f>IF(ISNUMBER(SEARCH("R", 'Dry_Litterbag Placem_Collection'!S23)),"YES","NO")</f>
        <v>NO</v>
      </c>
    </row>
    <row r="23" spans="1:42">
      <c r="A23" t="s">
        <v>3248</v>
      </c>
      <c r="B23" s="252" t="s">
        <v>2643</v>
      </c>
      <c r="C23" s="253">
        <f>'Dry_Litterbag Placem_Collection'!A24</f>
        <v>22</v>
      </c>
      <c r="D23" s="253" t="str">
        <f>'Dry_Litterbag Placem_Collection'!B24</f>
        <v>Makao</v>
      </c>
      <c r="E23" s="253" t="s">
        <v>2643</v>
      </c>
      <c r="F23" s="253" t="s">
        <v>2644</v>
      </c>
      <c r="G23" s="253">
        <v>3</v>
      </c>
      <c r="H23" s="253" t="s">
        <v>3104</v>
      </c>
      <c r="I23" s="254" t="str">
        <f>'Dry_Litterbag Placem_Collection'!C24</f>
        <v>Dry_Ag3_T6</v>
      </c>
      <c r="J23" s="255" t="s">
        <v>2525</v>
      </c>
      <c r="K23" s="256" t="s">
        <v>1147</v>
      </c>
      <c r="L23" s="253" t="str">
        <f>IF(ISBLANK('Dry_Litterbag Placem_Collection'!J24),"","G"&amp;""&amp;'Dry_Litterbag Placem_Collection'!J24)</f>
        <v>G8</v>
      </c>
      <c r="M23" s="257">
        <f>IFERROR(INDEX('Green_rooibos initial weight'!$C$5:$C$2000,MATCH(L23, 'Green_rooibos initial weight'!$A$5:$A$2000,0)),"")</f>
        <v>2.0209999999999999</v>
      </c>
      <c r="N23" s="257">
        <f>IFERROR(M23-(TBIcalc!$Q$9+TBIcalc!$Q$10),"")</f>
        <v>1.7711999999999999</v>
      </c>
      <c r="O23" s="378">
        <f>AVERAGE(Ashed_controlls!$K$2:$K$11)</f>
        <v>5.5147656768714146</v>
      </c>
      <c r="P23" s="257">
        <f t="shared" si="1"/>
        <v>1.6735224703312535</v>
      </c>
      <c r="Q23" s="257">
        <f>IFERROR(INDEX('Both teabags AfterDry'!$D$2:$D$2000,MATCH(L23,'Both teabags AfterDry'!$A$2:$A$2000,0)),"")</f>
        <v>1.4722999999999999</v>
      </c>
      <c r="R23" s="257">
        <f>IFERROR(IF(Q23&gt;0,Q23-(TBIcalc!$Q$9),""),"")</f>
        <v>1.3216999999999999</v>
      </c>
      <c r="S23" s="268">
        <f>IFERROR(INDEX('Ashed teabags dry'!$K$2:$K$2000,MATCH(L23,'Ashed teabags dry'!$A$2:$A$2000,0)),"")</f>
        <v>8.7882822902793247</v>
      </c>
      <c r="T23" s="268">
        <f t="shared" si="2"/>
        <v>1.2055452729693781</v>
      </c>
      <c r="U23" s="258">
        <f>IF('Dry_Litterbag Placem_Collection'!E24="","",'Dry_Litterbag Placem_Collection'!E24)</f>
        <v>42936</v>
      </c>
      <c r="V23" s="258">
        <f>IF('Dry_Litterbag Placem_Collection'!G24="","",'Dry_Litterbag Placem_Collection'!G24)</f>
        <v>43007</v>
      </c>
      <c r="W23" s="259">
        <f t="shared" si="0"/>
        <v>71</v>
      </c>
      <c r="X23" s="257">
        <f t="shared" si="3"/>
        <v>0.44950000000000001</v>
      </c>
      <c r="Y23" s="257">
        <f t="shared" si="4"/>
        <v>0.46797719736187537</v>
      </c>
      <c r="Z23" s="261">
        <f>IFERROR(INDEX([3]Rainfall_Dry!$O$2:$O$217,MATCH(C23, [3]Rainfall_Dry!$A$2:$A$217,0)),"")</f>
        <v>6.900000125</v>
      </c>
      <c r="AA23" s="250">
        <v>54.080969906906262</v>
      </c>
      <c r="AB23" s="250">
        <v>21.264484651351896</v>
      </c>
      <c r="AC23" s="250">
        <v>24.654545441741845</v>
      </c>
      <c r="AD23" s="251" t="s">
        <v>2654</v>
      </c>
      <c r="AE23" s="250">
        <v>6.8433218334154802</v>
      </c>
      <c r="AF23" t="str">
        <f>IF('WetLitterbags placem_collection'!AB24="","",'WetLitterbags placem_collection'!AB24)</f>
        <v/>
      </c>
      <c r="AG23" t="str">
        <f>IF('WetLitterbags placem_collection'!Z24="","",'WetLitterbags placem_collection'!Z24)</f>
        <v/>
      </c>
      <c r="AH23" s="236" t="str">
        <f>IF('WetLitterbags placem_collection'!AA24="","",'WetLitterbags placem_collection'!AA24)</f>
        <v/>
      </c>
      <c r="AI23" t="str">
        <f>IF('WetLitterbags placem_collection'!AC24="","",'WetLitterbags placem_collection'!AC24)</f>
        <v/>
      </c>
      <c r="AJ23">
        <f>IFERROR(AVERAGE('Dry_Litterbag Placem_Collection'!O24,'Dry_Litterbag Placem_Collection'!R24),"")</f>
        <v>19.05</v>
      </c>
      <c r="AK23" s="261">
        <f>IFERROR(AVERAGE('Dry_Litterbag Placem_Collection'!N24,'Dry_Litterbag Placem_Collection'!Q24),"")</f>
        <v>25.75</v>
      </c>
      <c r="AL23" s="260">
        <f>INDEX([2]Coordinates!$B$2:$B$197,MATCH(I23,[2]Coordinates!$J$2:$J$197,0))</f>
        <v>-3.3854470029999999</v>
      </c>
      <c r="AM23" s="260">
        <f>INDEX([2]Coordinates!$C$2:$C$197,MATCH(I23,[2]Coordinates!$J$2:$J$197,0))</f>
        <v>34.818946959999998</v>
      </c>
      <c r="AN23" s="260" t="str">
        <f>IF(ISNUMBER(SEARCH("C", 'Dry_Litterbag Placem_Collection'!S24)),"YES","NO")</f>
        <v>NO</v>
      </c>
      <c r="AO23" s="260" t="str">
        <f>IF(ISNUMBER(SEARCH("H", 'Dry_Litterbag Placem_Collection'!S24)),"YES","NO")</f>
        <v>NO</v>
      </c>
      <c r="AP23" s="260" t="str">
        <f>IF(ISNUMBER(SEARCH("R", 'Dry_Litterbag Placem_Collection'!S24)),"YES","NO")</f>
        <v>NO</v>
      </c>
    </row>
    <row r="24" spans="1:42">
      <c r="A24" t="s">
        <v>3248</v>
      </c>
      <c r="B24" s="252" t="s">
        <v>2643</v>
      </c>
      <c r="C24" s="253">
        <f>'Dry_Litterbag Placem_Collection'!A25</f>
        <v>23</v>
      </c>
      <c r="D24" s="253" t="str">
        <f>'Dry_Litterbag Placem_Collection'!B25</f>
        <v>Makao</v>
      </c>
      <c r="E24" s="253" t="s">
        <v>2643</v>
      </c>
      <c r="F24" s="253" t="s">
        <v>2644</v>
      </c>
      <c r="G24" s="253">
        <v>3</v>
      </c>
      <c r="H24" s="253" t="s">
        <v>3104</v>
      </c>
      <c r="I24" s="254" t="str">
        <f>'Dry_Litterbag Placem_Collection'!C25</f>
        <v>Dry_Ag3_T7</v>
      </c>
      <c r="J24" s="255" t="s">
        <v>2525</v>
      </c>
      <c r="K24" s="256" t="s">
        <v>1147</v>
      </c>
      <c r="L24" s="253" t="str">
        <f>IF(ISBLANK('Dry_Litterbag Placem_Collection'!J25),"","G"&amp;""&amp;'Dry_Litterbag Placem_Collection'!J25)</f>
        <v/>
      </c>
      <c r="M24" s="257" t="str">
        <f>IFERROR(INDEX('Green_rooibos initial weight'!$C$5:$C$2000,MATCH(L24, 'Green_rooibos initial weight'!$A$5:$A$2000,0)),"")</f>
        <v/>
      </c>
      <c r="N24" s="257" t="str">
        <f>IFERROR(M24-(TBIcalc!$Q$9+TBIcalc!$Q$10),"")</f>
        <v/>
      </c>
      <c r="O24" s="378">
        <f>AVERAGE(Ashed_controlls!$K$2:$K$11)</f>
        <v>5.5147656768714146</v>
      </c>
      <c r="P24" s="257" t="str">
        <f t="shared" si="1"/>
        <v/>
      </c>
      <c r="Q24" s="257" t="str">
        <f>IFERROR(INDEX('Both teabags AfterDry'!$D$2:$D$2000,MATCH(L24,'Both teabags AfterDry'!$A$2:$A$2000,0)),"")</f>
        <v/>
      </c>
      <c r="R24" s="257" t="str">
        <f>IFERROR(IF(Q24&gt;0,Q24-(TBIcalc!$Q$9),""),"")</f>
        <v/>
      </c>
      <c r="S24" s="268" t="str">
        <f>IFERROR(INDEX('Ashed teabags dry'!$K$2:$K$2000,MATCH(L24,'Ashed teabags dry'!$A$2:$A$2000,0)),"")</f>
        <v/>
      </c>
      <c r="T24" s="268" t="str">
        <f t="shared" si="2"/>
        <v/>
      </c>
      <c r="U24" s="258" t="str">
        <f>IF('Dry_Litterbag Placem_Collection'!E25="","",'Dry_Litterbag Placem_Collection'!E25)</f>
        <v/>
      </c>
      <c r="V24" s="258" t="str">
        <f>IF('Dry_Litterbag Placem_Collection'!G25="","",'Dry_Litterbag Placem_Collection'!G25)</f>
        <v/>
      </c>
      <c r="W24" s="259" t="str">
        <f t="shared" si="0"/>
        <v/>
      </c>
      <c r="X24" s="257" t="str">
        <f t="shared" si="3"/>
        <v/>
      </c>
      <c r="Y24" s="257" t="str">
        <f t="shared" si="4"/>
        <v/>
      </c>
      <c r="Z24" s="261" t="str">
        <f>IFERROR(INDEX([3]Rainfall_Dry!$O$2:$O$217,MATCH(C24, [3]Rainfall_Dry!$A$2:$A$217,0)),"")</f>
        <v/>
      </c>
      <c r="AA24" s="250">
        <v>54.080969906906262</v>
      </c>
      <c r="AB24" s="250">
        <v>21.264484651351896</v>
      </c>
      <c r="AC24" s="250">
        <v>24.654545441741845</v>
      </c>
      <c r="AD24" s="251" t="s">
        <v>2654</v>
      </c>
      <c r="AE24" s="250">
        <v>7.8433218334154802</v>
      </c>
      <c r="AF24" t="str">
        <f>IF('WetLitterbags placem_collection'!AB25="","",'WetLitterbags placem_collection'!AB25)</f>
        <v/>
      </c>
      <c r="AG24" t="str">
        <f>IF('WetLitterbags placem_collection'!Z25="","",'WetLitterbags placem_collection'!Z25)</f>
        <v/>
      </c>
      <c r="AH24" s="236" t="str">
        <f>IF('WetLitterbags placem_collection'!AA25="","",'WetLitterbags placem_collection'!AA25)</f>
        <v/>
      </c>
      <c r="AI24" t="str">
        <f>IF('WetLitterbags placem_collection'!AC25="","",'WetLitterbags placem_collection'!AC25)</f>
        <v/>
      </c>
      <c r="AJ24" t="str">
        <f>IFERROR(AVERAGE('Dry_Litterbag Placem_Collection'!O25,'Dry_Litterbag Placem_Collection'!R25),"")</f>
        <v/>
      </c>
      <c r="AK24" s="261" t="str">
        <f>IFERROR(AVERAGE('Dry_Litterbag Placem_Collection'!N25,'Dry_Litterbag Placem_Collection'!Q25),"")</f>
        <v/>
      </c>
      <c r="AL24" s="260">
        <f>INDEX([2]Coordinates!$B$2:$B$197,MATCH(I24,[2]Coordinates!$J$2:$J$197,0))</f>
        <v>-3.3854200130000001</v>
      </c>
      <c r="AM24" s="260">
        <f>INDEX([2]Coordinates!$C$2:$C$197,MATCH(I24,[2]Coordinates!$J$2:$J$197,0))</f>
        <v>34.818856019999998</v>
      </c>
      <c r="AN24" s="260" t="str">
        <f>IF(ISNUMBER(SEARCH("C", 'Dry_Litterbag Placem_Collection'!S25)),"YES","NO")</f>
        <v>NO</v>
      </c>
      <c r="AO24" s="260" t="str">
        <f>IF(ISNUMBER(SEARCH("H", 'Dry_Litterbag Placem_Collection'!S25)),"YES","NO")</f>
        <v>NO</v>
      </c>
      <c r="AP24" s="260" t="str">
        <f>IF(ISNUMBER(SEARCH("R", 'Dry_Litterbag Placem_Collection'!S25)),"YES","NO")</f>
        <v>NO</v>
      </c>
    </row>
    <row r="25" spans="1:42">
      <c r="A25" t="s">
        <v>3248</v>
      </c>
      <c r="B25" s="252" t="s">
        <v>2643</v>
      </c>
      <c r="C25" s="253">
        <f>'Dry_Litterbag Placem_Collection'!A26</f>
        <v>24</v>
      </c>
      <c r="D25" s="253" t="str">
        <f>'Dry_Litterbag Placem_Collection'!B26</f>
        <v>Makao</v>
      </c>
      <c r="E25" s="253" t="s">
        <v>2643</v>
      </c>
      <c r="F25" s="253" t="s">
        <v>2644</v>
      </c>
      <c r="G25" s="253">
        <v>3</v>
      </c>
      <c r="H25" s="253" t="s">
        <v>3104</v>
      </c>
      <c r="I25" s="254" t="str">
        <f>'Dry_Litterbag Placem_Collection'!C26</f>
        <v>Dry_Ag3_T8</v>
      </c>
      <c r="J25" s="255" t="s">
        <v>2525</v>
      </c>
      <c r="K25" s="256" t="s">
        <v>1147</v>
      </c>
      <c r="L25" s="253" t="str">
        <f>IF(ISBLANK('Dry_Litterbag Placem_Collection'!J26),"","G"&amp;""&amp;'Dry_Litterbag Placem_Collection'!J26)</f>
        <v>G320</v>
      </c>
      <c r="M25" s="257">
        <f>IFERROR(INDEX('Green_rooibos initial weight'!$C$5:$C$2000,MATCH(L25, 'Green_rooibos initial weight'!$A$5:$A$2000,0)),"")</f>
        <v>2.044</v>
      </c>
      <c r="N25" s="257">
        <f>IFERROR(M25-(TBIcalc!$Q$9+TBIcalc!$Q$10),"")</f>
        <v>1.7942</v>
      </c>
      <c r="O25" s="378">
        <f>AVERAGE(Ashed_controlls!$K$2:$K$11)</f>
        <v>5.5147656768714146</v>
      </c>
      <c r="P25" s="257">
        <f t="shared" si="1"/>
        <v>1.6952540742255731</v>
      </c>
      <c r="Q25" s="257">
        <f>IFERROR(INDEX('Both teabags AfterDry'!$D$2:$D$2000,MATCH(L25,'Both teabags AfterDry'!$A$2:$A$2000,0)),"")</f>
        <v>1.7525999999999999</v>
      </c>
      <c r="R25" s="257">
        <f>IFERROR(IF(Q25&gt;0,Q25-(TBIcalc!$Q$9),""),"")</f>
        <v>1.6019999999999999</v>
      </c>
      <c r="S25" s="268">
        <f>IFERROR(INDEX('Ashed teabags dry'!$K$2:$K$2000,MATCH(L25,'Ashed teabags dry'!$A$2:$A$2000,0)),"")</f>
        <v>6.2730627306273838</v>
      </c>
      <c r="T25" s="268">
        <f t="shared" si="2"/>
        <v>1.5015055350553492</v>
      </c>
      <c r="U25" s="258">
        <f>IF('Dry_Litterbag Placem_Collection'!E26="","",'Dry_Litterbag Placem_Collection'!E26)</f>
        <v>42936</v>
      </c>
      <c r="V25" s="258">
        <f>IF('Dry_Litterbag Placem_Collection'!G26="","",'Dry_Litterbag Placem_Collection'!G26)</f>
        <v>43007</v>
      </c>
      <c r="W25" s="259">
        <f t="shared" si="0"/>
        <v>71</v>
      </c>
      <c r="X25" s="257">
        <f t="shared" si="3"/>
        <v>0.19220000000000015</v>
      </c>
      <c r="Y25" s="257">
        <f t="shared" si="4"/>
        <v>0.19374853917022383</v>
      </c>
      <c r="Z25" s="261">
        <f>IFERROR(INDEX([3]Rainfall_Dry!$O$2:$O$217,MATCH(C25, [3]Rainfall_Dry!$A$2:$A$217,0)),"")</f>
        <v>6.900000125</v>
      </c>
      <c r="AA25" s="250">
        <v>54.080969906906262</v>
      </c>
      <c r="AB25" s="250">
        <v>21.264484651351896</v>
      </c>
      <c r="AC25" s="250">
        <v>24.654545441741845</v>
      </c>
      <c r="AD25" s="251" t="s">
        <v>2654</v>
      </c>
      <c r="AE25" s="250">
        <v>8.8433218334154695</v>
      </c>
      <c r="AF25" t="str">
        <f>IF('WetLitterbags placem_collection'!AB26="","",'WetLitterbags placem_collection'!AB26)</f>
        <v/>
      </c>
      <c r="AG25" t="str">
        <f>IF('WetLitterbags placem_collection'!Z26="","",'WetLitterbags placem_collection'!Z26)</f>
        <v/>
      </c>
      <c r="AH25" s="236" t="str">
        <f>IF('WetLitterbags placem_collection'!AA26="","",'WetLitterbags placem_collection'!AA26)</f>
        <v/>
      </c>
      <c r="AI25" t="str">
        <f>IF('WetLitterbags placem_collection'!AC26="","",'WetLitterbags placem_collection'!AC26)</f>
        <v/>
      </c>
      <c r="AJ25">
        <f>IFERROR(AVERAGE('Dry_Litterbag Placem_Collection'!O26,'Dry_Litterbag Placem_Collection'!R26),"")</f>
        <v>15.6</v>
      </c>
      <c r="AK25" s="261">
        <f>IFERROR(AVERAGE('Dry_Litterbag Placem_Collection'!N26,'Dry_Litterbag Placem_Collection'!Q26),"")</f>
        <v>25.5</v>
      </c>
      <c r="AL25" s="260">
        <f>INDEX([2]Coordinates!$B$2:$B$197,MATCH(I25,[2]Coordinates!$J$2:$J$197,0))</f>
        <v>-3.3853829649999998</v>
      </c>
      <c r="AM25" s="260">
        <f>INDEX([2]Coordinates!$C$2:$C$197,MATCH(I25,[2]Coordinates!$J$2:$J$197,0))</f>
        <v>34.818877980000003</v>
      </c>
      <c r="AN25" s="260" t="str">
        <f>IF(ISNUMBER(SEARCH("C", 'Dry_Litterbag Placem_Collection'!S26)),"YES","NO")</f>
        <v>NO</v>
      </c>
      <c r="AO25" s="260" t="str">
        <f>IF(ISNUMBER(SEARCH("H", 'Dry_Litterbag Placem_Collection'!S26)),"YES","NO")</f>
        <v>NO</v>
      </c>
      <c r="AP25" s="260" t="str">
        <f>IF(ISNUMBER(SEARCH("R", 'Dry_Litterbag Placem_Collection'!S26)),"YES","NO")</f>
        <v>NO</v>
      </c>
    </row>
    <row r="26" spans="1:42">
      <c r="A26" t="s">
        <v>3248</v>
      </c>
      <c r="B26" s="252" t="s">
        <v>2643</v>
      </c>
      <c r="C26" s="253">
        <f>'Dry_Litterbag Placem_Collection'!A27</f>
        <v>25</v>
      </c>
      <c r="D26" s="253" t="str">
        <f>'Dry_Litterbag Placem_Collection'!B27</f>
        <v>Makao</v>
      </c>
      <c r="E26" s="253" t="s">
        <v>2643</v>
      </c>
      <c r="F26" s="253" t="s">
        <v>2644</v>
      </c>
      <c r="G26" s="253">
        <v>4</v>
      </c>
      <c r="H26" s="253" t="s">
        <v>3105</v>
      </c>
      <c r="I26" s="254" t="str">
        <f>'Dry_Litterbag Placem_Collection'!C27</f>
        <v>Dry_Ag4_T1</v>
      </c>
      <c r="J26" s="255" t="s">
        <v>2525</v>
      </c>
      <c r="K26" s="256" t="s">
        <v>1147</v>
      </c>
      <c r="L26" s="253" t="str">
        <f>IF(ISBLANK('Dry_Litterbag Placem_Collection'!J27),"","G"&amp;""&amp;'Dry_Litterbag Placem_Collection'!J27)</f>
        <v>G322</v>
      </c>
      <c r="M26" s="257">
        <f>IFERROR(INDEX('Green_rooibos initial weight'!$C$5:$C$2000,MATCH(L26, 'Green_rooibos initial weight'!$A$5:$A$2000,0)),"")</f>
        <v>2.0169999999999999</v>
      </c>
      <c r="N26" s="257">
        <f>IFERROR(M26-(TBIcalc!$Q$9+TBIcalc!$Q$10),"")</f>
        <v>1.7671999999999999</v>
      </c>
      <c r="O26" s="378">
        <f>AVERAGE(Ashed_controlls!$K$2:$K$11)</f>
        <v>5.5147656768714146</v>
      </c>
      <c r="P26" s="257">
        <f t="shared" si="1"/>
        <v>1.6697430609583281</v>
      </c>
      <c r="Q26" s="257">
        <f>IFERROR(INDEX('Both teabags AfterDry'!$D$2:$D$2000,MATCH(L26,'Both teabags AfterDry'!$A$2:$A$2000,0)),"")</f>
        <v>1.8697999999999999</v>
      </c>
      <c r="R26" s="257">
        <f>IFERROR(IF(Q26&gt;0,Q26-(TBIcalc!$Q$9),""),"")</f>
        <v>1.7191999999999998</v>
      </c>
      <c r="S26" s="268">
        <f>IFERROR(INDEX('Ashed teabags dry'!$K$2:$K$2000,MATCH(L26,'Ashed teabags dry'!$A$2:$A$2000,0)),"")</f>
        <v>6.1076102762959152</v>
      </c>
      <c r="T26" s="268">
        <f t="shared" si="2"/>
        <v>1.6141979641299204</v>
      </c>
      <c r="U26" s="258">
        <f>IF('Dry_Litterbag Placem_Collection'!E27="","",'Dry_Litterbag Placem_Collection'!E27)</f>
        <v>42936</v>
      </c>
      <c r="V26" s="258">
        <f>IF('Dry_Litterbag Placem_Collection'!G27="","",'Dry_Litterbag Placem_Collection'!G27)</f>
        <v>43007</v>
      </c>
      <c r="W26" s="259">
        <f t="shared" si="0"/>
        <v>71</v>
      </c>
      <c r="X26" s="257">
        <f t="shared" si="3"/>
        <v>4.8000000000000043E-2</v>
      </c>
      <c r="Y26" s="257">
        <f t="shared" si="4"/>
        <v>5.5545096828407692E-2</v>
      </c>
      <c r="Z26" s="261">
        <f>IFERROR(INDEX([3]Rainfall_Dry!$O$2:$O$217,MATCH(C26, [3]Rainfall_Dry!$A$2:$A$217,0)),"")</f>
        <v>6.900000125</v>
      </c>
      <c r="AA26" s="250">
        <v>51.960000000000008</v>
      </c>
      <c r="AB26" s="250">
        <v>18.919999999999995</v>
      </c>
      <c r="AC26" s="250">
        <v>29.120000000000005</v>
      </c>
      <c r="AD26" s="251" t="s">
        <v>2654</v>
      </c>
      <c r="AE26" s="250">
        <v>1.85293247905372</v>
      </c>
      <c r="AF26" t="str">
        <f>IF('WetLitterbags placem_collection'!AB27="","",'WetLitterbags placem_collection'!AB27)</f>
        <v/>
      </c>
      <c r="AG26" t="str">
        <f>IF('WetLitterbags placem_collection'!Z27="","",'WetLitterbags placem_collection'!Z27)</f>
        <v/>
      </c>
      <c r="AH26" s="236" t="str">
        <f>IF('WetLitterbags placem_collection'!AA27="","",'WetLitterbags placem_collection'!AA27)</f>
        <v/>
      </c>
      <c r="AI26" t="str">
        <f>IF('WetLitterbags placem_collection'!AC27="","",'WetLitterbags placem_collection'!AC27)</f>
        <v/>
      </c>
      <c r="AJ26">
        <f>IFERROR(AVERAGE('Dry_Litterbag Placem_Collection'!O27,'Dry_Litterbag Placem_Collection'!R27),"")</f>
        <v>9.85</v>
      </c>
      <c r="AK26" s="261">
        <f>IFERROR(AVERAGE('Dry_Litterbag Placem_Collection'!N27,'Dry_Litterbag Placem_Collection'!Q27),"")</f>
        <v>25.4</v>
      </c>
      <c r="AL26" s="260">
        <f>INDEX([2]Coordinates!$B$2:$B$197,MATCH(I26,[2]Coordinates!$J$2:$J$197,0))</f>
        <v>-3.3849129919999998</v>
      </c>
      <c r="AM26" s="260">
        <f>INDEX([2]Coordinates!$C$2:$C$197,MATCH(I26,[2]Coordinates!$J$2:$J$197,0))</f>
        <v>34.818899020000003</v>
      </c>
      <c r="AN26" s="260" t="str">
        <f>IF(ISNUMBER(SEARCH("C", 'Dry_Litterbag Placem_Collection'!S27)),"YES","NO")</f>
        <v>NO</v>
      </c>
      <c r="AO26" s="260" t="str">
        <f>IF(ISNUMBER(SEARCH("H", 'Dry_Litterbag Placem_Collection'!S27)),"YES","NO")</f>
        <v>NO</v>
      </c>
      <c r="AP26" s="260" t="str">
        <f>IF(ISNUMBER(SEARCH("R", 'Dry_Litterbag Placem_Collection'!S27)),"YES","NO")</f>
        <v>NO</v>
      </c>
    </row>
    <row r="27" spans="1:42">
      <c r="A27" t="s">
        <v>3248</v>
      </c>
      <c r="B27" s="252" t="s">
        <v>2643</v>
      </c>
      <c r="C27" s="253">
        <f>'Dry_Litterbag Placem_Collection'!A28</f>
        <v>26</v>
      </c>
      <c r="D27" s="253" t="str">
        <f>'Dry_Litterbag Placem_Collection'!B28</f>
        <v>Makao</v>
      </c>
      <c r="E27" s="253" t="s">
        <v>2643</v>
      </c>
      <c r="F27" s="253" t="s">
        <v>2644</v>
      </c>
      <c r="G27" s="253">
        <v>4</v>
      </c>
      <c r="H27" s="253" t="s">
        <v>3105</v>
      </c>
      <c r="I27" s="254" t="str">
        <f>'Dry_Litterbag Placem_Collection'!C28</f>
        <v>Dry_Ag4_T2</v>
      </c>
      <c r="J27" s="255" t="s">
        <v>2525</v>
      </c>
      <c r="K27" s="256" t="s">
        <v>1147</v>
      </c>
      <c r="L27" s="253" t="str">
        <f>IF(ISBLANK('Dry_Litterbag Placem_Collection'!J28),"","G"&amp;""&amp;'Dry_Litterbag Placem_Collection'!J28)</f>
        <v>G58</v>
      </c>
      <c r="M27" s="257">
        <f>IFERROR(INDEX('Green_rooibos initial weight'!$C$5:$C$2000,MATCH(L27, 'Green_rooibos initial weight'!$A$5:$A$2000,0)),"")</f>
        <v>1.9370000000000001</v>
      </c>
      <c r="N27" s="257">
        <f>IFERROR(M27-(TBIcalc!$Q$9+TBIcalc!$Q$10),"")</f>
        <v>1.6872</v>
      </c>
      <c r="O27" s="378">
        <f>AVERAGE(Ashed_controlls!$K$2:$K$11)</f>
        <v>5.5147656768714146</v>
      </c>
      <c r="P27" s="257">
        <f t="shared" si="1"/>
        <v>1.5941548734998254</v>
      </c>
      <c r="Q27" s="257">
        <f>IFERROR(INDEX('Both teabags AfterDry'!$D$2:$D$2000,MATCH(L27,'Both teabags AfterDry'!$A$2:$A$2000,0)),"")</f>
        <v>1.7357</v>
      </c>
      <c r="R27" s="257">
        <f>IFERROR(IF(Q27&gt;0,Q27-(TBIcalc!$Q$9),""),"")</f>
        <v>1.5851</v>
      </c>
      <c r="S27" s="268">
        <f>IFERROR(INDEX('Ashed teabags dry'!$K$2:$K$2000,MATCH(L27,'Ashed teabags dry'!$A$2:$A$2000,0)),"")</f>
        <v>5.724049551473775</v>
      </c>
      <c r="T27" s="268">
        <f t="shared" si="2"/>
        <v>1.4943680905595891</v>
      </c>
      <c r="U27" s="258">
        <f>IF('Dry_Litterbag Placem_Collection'!E28="","",'Dry_Litterbag Placem_Collection'!E28)</f>
        <v>42936</v>
      </c>
      <c r="V27" s="258">
        <f>IF('Dry_Litterbag Placem_Collection'!G28="","",'Dry_Litterbag Placem_Collection'!G28)</f>
        <v>43007</v>
      </c>
      <c r="W27" s="259">
        <f t="shared" si="0"/>
        <v>71</v>
      </c>
      <c r="X27" s="257">
        <f t="shared" si="3"/>
        <v>0.10210000000000008</v>
      </c>
      <c r="Y27" s="257">
        <f t="shared" si="4"/>
        <v>9.9786782940236352E-2</v>
      </c>
      <c r="Z27" s="261">
        <f>IFERROR(INDEX([3]Rainfall_Dry!$O$2:$O$217,MATCH(C27, [3]Rainfall_Dry!$A$2:$A$217,0)),"")</f>
        <v>6.900000125</v>
      </c>
      <c r="AA27" s="250">
        <v>51.960000000000008</v>
      </c>
      <c r="AB27" s="250">
        <v>18.919999999999995</v>
      </c>
      <c r="AC27" s="250">
        <v>29.120000000000005</v>
      </c>
      <c r="AD27" s="251" t="s">
        <v>2654</v>
      </c>
      <c r="AE27" s="250">
        <v>2.8529324790537198</v>
      </c>
      <c r="AF27" t="str">
        <f>IF('WetLitterbags placem_collection'!AB28="","",'WetLitterbags placem_collection'!AB28)</f>
        <v/>
      </c>
      <c r="AG27" t="str">
        <f>IF('WetLitterbags placem_collection'!Z28="","",'WetLitterbags placem_collection'!Z28)</f>
        <v/>
      </c>
      <c r="AH27" s="236" t="str">
        <f>IF('WetLitterbags placem_collection'!AA28="","",'WetLitterbags placem_collection'!AA28)</f>
        <v/>
      </c>
      <c r="AI27" t="str">
        <f>IF('WetLitterbags placem_collection'!AC28="","",'WetLitterbags placem_collection'!AC28)</f>
        <v/>
      </c>
      <c r="AJ27">
        <f>IFERROR(AVERAGE('Dry_Litterbag Placem_Collection'!O28,'Dry_Litterbag Placem_Collection'!R28),"")</f>
        <v>8.1</v>
      </c>
      <c r="AK27" s="261">
        <f>IFERROR(AVERAGE('Dry_Litterbag Placem_Collection'!N28,'Dry_Litterbag Placem_Collection'!Q28),"")</f>
        <v>25.85</v>
      </c>
      <c r="AL27" s="260">
        <f>INDEX([2]Coordinates!$B$2:$B$197,MATCH(I27,[2]Coordinates!$J$2:$J$197,0))</f>
        <v>-3.3849689999999999</v>
      </c>
      <c r="AM27" s="260">
        <f>INDEX([2]Coordinates!$C$2:$C$197,MATCH(I27,[2]Coordinates!$J$2:$J$197,0))</f>
        <v>34.818908</v>
      </c>
      <c r="AN27" s="260" t="str">
        <f>IF(ISNUMBER(SEARCH("C", 'Dry_Litterbag Placem_Collection'!S28)),"YES","NO")</f>
        <v>NO</v>
      </c>
      <c r="AO27" s="260" t="str">
        <f>IF(ISNUMBER(SEARCH("H", 'Dry_Litterbag Placem_Collection'!S28)),"YES","NO")</f>
        <v>NO</v>
      </c>
      <c r="AP27" s="260" t="str">
        <f>IF(ISNUMBER(SEARCH("R", 'Dry_Litterbag Placem_Collection'!S28)),"YES","NO")</f>
        <v>NO</v>
      </c>
    </row>
    <row r="28" spans="1:42">
      <c r="A28" t="s">
        <v>3248</v>
      </c>
      <c r="B28" s="252" t="s">
        <v>2643</v>
      </c>
      <c r="C28" s="253">
        <f>'Dry_Litterbag Placem_Collection'!A29</f>
        <v>27</v>
      </c>
      <c r="D28" s="253" t="str">
        <f>'Dry_Litterbag Placem_Collection'!B29</f>
        <v>Makao</v>
      </c>
      <c r="E28" s="253" t="s">
        <v>2643</v>
      </c>
      <c r="F28" s="253" t="s">
        <v>2644</v>
      </c>
      <c r="G28" s="253">
        <v>4</v>
      </c>
      <c r="H28" s="253" t="s">
        <v>3105</v>
      </c>
      <c r="I28" s="254" t="str">
        <f>'Dry_Litterbag Placem_Collection'!C29</f>
        <v>Dry_Ag4_T3</v>
      </c>
      <c r="J28" s="255" t="s">
        <v>2525</v>
      </c>
      <c r="K28" s="256" t="s">
        <v>1147</v>
      </c>
      <c r="L28" s="253" t="str">
        <f>IF(ISBLANK('Dry_Litterbag Placem_Collection'!J29),"","G"&amp;""&amp;'Dry_Litterbag Placem_Collection'!J29)</f>
        <v>G340</v>
      </c>
      <c r="M28" s="257">
        <f>IFERROR(INDEX('Green_rooibos initial weight'!$C$5:$C$2000,MATCH(L28, 'Green_rooibos initial weight'!$A$5:$A$2000,0)),"")</f>
        <v>2.0150000000000001</v>
      </c>
      <c r="N28" s="257">
        <f>IFERROR(M28-(TBIcalc!$Q$9+TBIcalc!$Q$10),"")</f>
        <v>1.7652000000000001</v>
      </c>
      <c r="O28" s="378">
        <f>AVERAGE(Ashed_controlls!$K$2:$K$11)</f>
        <v>5.5147656768714146</v>
      </c>
      <c r="P28" s="257">
        <f t="shared" si="1"/>
        <v>1.6678533562718658</v>
      </c>
      <c r="Q28" s="257" t="str">
        <f>IFERROR(INDEX('Both teabags AfterDry'!$D$2:$D$2000,MATCH(L28,'Both teabags AfterDry'!$A$2:$A$2000,0)),"")</f>
        <v/>
      </c>
      <c r="R28" s="257" t="str">
        <f>IFERROR(IF(Q28&gt;0,Q28-(TBIcalc!$Q$9),""),"")</f>
        <v/>
      </c>
      <c r="S28" s="268" t="str">
        <f>IFERROR(INDEX('Ashed teabags dry'!$K$2:$K$2000,MATCH(L28,'Ashed teabags dry'!$A$2:$A$2000,0)),"")</f>
        <v/>
      </c>
      <c r="T28" s="268" t="str">
        <f t="shared" si="2"/>
        <v/>
      </c>
      <c r="U28" s="258">
        <f>IF('Dry_Litterbag Placem_Collection'!E29="","",'Dry_Litterbag Placem_Collection'!E29)</f>
        <v>42936</v>
      </c>
      <c r="V28" s="258">
        <f>IF('Dry_Litterbag Placem_Collection'!G29="","",'Dry_Litterbag Placem_Collection'!G29)</f>
        <v>43007</v>
      </c>
      <c r="W28" s="259">
        <f t="shared" si="0"/>
        <v>71</v>
      </c>
      <c r="X28" s="257" t="str">
        <f t="shared" si="3"/>
        <v/>
      </c>
      <c r="Y28" s="257" t="str">
        <f t="shared" si="4"/>
        <v/>
      </c>
      <c r="Z28" s="261">
        <f>IFERROR(INDEX([3]Rainfall_Dry!$O$2:$O$217,MATCH(C28, [3]Rainfall_Dry!$A$2:$A$217,0)),"")</f>
        <v>6.900000125</v>
      </c>
      <c r="AA28" s="250">
        <v>51.960000000000008</v>
      </c>
      <c r="AB28" s="250">
        <v>18.919999999999995</v>
      </c>
      <c r="AC28" s="250">
        <v>29.120000000000005</v>
      </c>
      <c r="AD28" s="251" t="s">
        <v>2654</v>
      </c>
      <c r="AE28" s="250">
        <v>3.8529324790537198</v>
      </c>
      <c r="AF28" t="str">
        <f>IF('WetLitterbags placem_collection'!AB29="","",'WetLitterbags placem_collection'!AB29)</f>
        <v/>
      </c>
      <c r="AG28" t="str">
        <f>IF('WetLitterbags placem_collection'!Z29="","",'WetLitterbags placem_collection'!Z29)</f>
        <v/>
      </c>
      <c r="AH28" s="236" t="str">
        <f>IF('WetLitterbags placem_collection'!AA29="","",'WetLitterbags placem_collection'!AA29)</f>
        <v/>
      </c>
      <c r="AI28" t="str">
        <f>IF('WetLitterbags placem_collection'!AC29="","",'WetLitterbags placem_collection'!AC29)</f>
        <v/>
      </c>
      <c r="AJ28">
        <f>IFERROR(AVERAGE('Dry_Litterbag Placem_Collection'!O29,'Dry_Litterbag Placem_Collection'!R29),"")</f>
        <v>14.1</v>
      </c>
      <c r="AK28" s="261">
        <f>IFERROR(AVERAGE('Dry_Litterbag Placem_Collection'!N29,'Dry_Litterbag Placem_Collection'!Q29),"")</f>
        <v>26.15</v>
      </c>
      <c r="AL28" s="260">
        <f>INDEX([2]Coordinates!$B$2:$B$197,MATCH(I28,[2]Coordinates!$J$2:$J$197,0))</f>
        <v>-3.3849350359999999</v>
      </c>
      <c r="AM28" s="260">
        <f>INDEX([2]Coordinates!$C$2:$C$197,MATCH(I28,[2]Coordinates!$J$2:$J$197,0))</f>
        <v>34.818943019999999</v>
      </c>
      <c r="AN28" s="260" t="str">
        <f>IF(ISNUMBER(SEARCH("C", 'Dry_Litterbag Placem_Collection'!S29)),"YES","NO")</f>
        <v>NO</v>
      </c>
      <c r="AO28" s="260" t="str">
        <f>IF(ISNUMBER(SEARCH("H", 'Dry_Litterbag Placem_Collection'!S29)),"YES","NO")</f>
        <v>NO</v>
      </c>
      <c r="AP28" s="260" t="str">
        <f>IF(ISNUMBER(SEARCH("R", 'Dry_Litterbag Placem_Collection'!S29)),"YES","NO")</f>
        <v>NO</v>
      </c>
    </row>
    <row r="29" spans="1:42">
      <c r="A29" t="s">
        <v>3248</v>
      </c>
      <c r="B29" s="252" t="s">
        <v>2643</v>
      </c>
      <c r="C29" s="253">
        <f>'Dry_Litterbag Placem_Collection'!A30</f>
        <v>28</v>
      </c>
      <c r="D29" s="253" t="str">
        <f>'Dry_Litterbag Placem_Collection'!B30</f>
        <v>Makao</v>
      </c>
      <c r="E29" s="253" t="s">
        <v>2643</v>
      </c>
      <c r="F29" s="253" t="s">
        <v>2644</v>
      </c>
      <c r="G29" s="253">
        <v>4</v>
      </c>
      <c r="H29" s="253" t="s">
        <v>3105</v>
      </c>
      <c r="I29" s="254" t="str">
        <f>'Dry_Litterbag Placem_Collection'!C30</f>
        <v>Dry_Ag4_T4</v>
      </c>
      <c r="J29" s="255" t="s">
        <v>2525</v>
      </c>
      <c r="K29" s="256" t="s">
        <v>1147</v>
      </c>
      <c r="L29" s="253" t="str">
        <f>IF(ISBLANK('Dry_Litterbag Placem_Collection'!J30),"","G"&amp;""&amp;'Dry_Litterbag Placem_Collection'!J30)</f>
        <v>G61</v>
      </c>
      <c r="M29" s="257">
        <f>IFERROR(INDEX('Green_rooibos initial weight'!$C$5:$C$2000,MATCH(L29, 'Green_rooibos initial weight'!$A$5:$A$2000,0)),"")</f>
        <v>1.88</v>
      </c>
      <c r="N29" s="257">
        <f>IFERROR(M29-(TBIcalc!$Q$9+TBIcalc!$Q$10),"")</f>
        <v>1.6301999999999999</v>
      </c>
      <c r="O29" s="378">
        <f>AVERAGE(Ashed_controlls!$K$2:$K$11)</f>
        <v>5.5147656768714146</v>
      </c>
      <c r="P29" s="257">
        <f t="shared" si="1"/>
        <v>1.5402982899356421</v>
      </c>
      <c r="Q29" s="257">
        <f>IFERROR(INDEX('Both teabags AfterDry'!$D$2:$D$2000,MATCH(L29,'Both teabags AfterDry'!$A$2:$A$2000,0)),"")</f>
        <v>1.4991000000000001</v>
      </c>
      <c r="R29" s="257">
        <f>IFERROR(IF(Q29&gt;0,Q29-(TBIcalc!$Q$9),""),"")</f>
        <v>1.3485</v>
      </c>
      <c r="S29" s="268">
        <f>IFERROR(INDEX('Ashed teabags dry'!$K$2:$K$2000,MATCH(L29,'Ashed teabags dry'!$A$2:$A$2000,0)),"")</f>
        <v>6.888472352389627</v>
      </c>
      <c r="T29" s="268">
        <f t="shared" si="2"/>
        <v>1.2556089503280259</v>
      </c>
      <c r="U29" s="258">
        <f>IF('Dry_Litterbag Placem_Collection'!E30="","",'Dry_Litterbag Placem_Collection'!E30)</f>
        <v>42936</v>
      </c>
      <c r="V29" s="258">
        <f>IF('Dry_Litterbag Placem_Collection'!G30="","",'Dry_Litterbag Placem_Collection'!G30)</f>
        <v>43007</v>
      </c>
      <c r="W29" s="259">
        <f t="shared" si="0"/>
        <v>71</v>
      </c>
      <c r="X29" s="257">
        <f t="shared" si="3"/>
        <v>0.28169999999999984</v>
      </c>
      <c r="Y29" s="257">
        <f t="shared" si="4"/>
        <v>0.28468933960761622</v>
      </c>
      <c r="Z29" s="261">
        <f>IFERROR(INDEX([3]Rainfall_Dry!$O$2:$O$217,MATCH(C29, [3]Rainfall_Dry!$A$2:$A$217,0)),"")</f>
        <v>6.900000125</v>
      </c>
      <c r="AA29" s="250">
        <v>51.960000000000008</v>
      </c>
      <c r="AB29" s="250">
        <v>18.919999999999995</v>
      </c>
      <c r="AC29" s="250">
        <v>29.120000000000005</v>
      </c>
      <c r="AD29" s="251" t="s">
        <v>2654</v>
      </c>
      <c r="AE29" s="250">
        <v>4.8529324790537203</v>
      </c>
      <c r="AF29" t="str">
        <f>IF('WetLitterbags placem_collection'!AB30="","",'WetLitterbags placem_collection'!AB30)</f>
        <v/>
      </c>
      <c r="AG29" t="str">
        <f>IF('WetLitterbags placem_collection'!Z30="","",'WetLitterbags placem_collection'!Z30)</f>
        <v/>
      </c>
      <c r="AH29" s="236" t="str">
        <f>IF('WetLitterbags placem_collection'!AA30="","",'WetLitterbags placem_collection'!AA30)</f>
        <v/>
      </c>
      <c r="AI29" t="str">
        <f>IF('WetLitterbags placem_collection'!AC30="","",'WetLitterbags placem_collection'!AC30)</f>
        <v/>
      </c>
      <c r="AJ29">
        <f>IFERROR(AVERAGE('Dry_Litterbag Placem_Collection'!O30,'Dry_Litterbag Placem_Collection'!R30),"")</f>
        <v>9.1000000000000014</v>
      </c>
      <c r="AK29" s="261">
        <f>IFERROR(AVERAGE('Dry_Litterbag Placem_Collection'!N30,'Dry_Litterbag Placem_Collection'!Q30),"")</f>
        <v>25.700000000000003</v>
      </c>
      <c r="AL29" s="260">
        <f>INDEX([2]Coordinates!$B$2:$B$197,MATCH(I29,[2]Coordinates!$J$2:$J$197,0))</f>
        <v>-3.3850070369999998</v>
      </c>
      <c r="AM29" s="260">
        <f>INDEX([2]Coordinates!$C$2:$C$197,MATCH(I29,[2]Coordinates!$J$2:$J$197,0))</f>
        <v>34.818888960000002</v>
      </c>
      <c r="AN29" s="260" t="str">
        <f>IF(ISNUMBER(SEARCH("C", 'Dry_Litterbag Placem_Collection'!S30)),"YES","NO")</f>
        <v>NO</v>
      </c>
      <c r="AO29" s="260" t="str">
        <f>IF(ISNUMBER(SEARCH("H", 'Dry_Litterbag Placem_Collection'!S30)),"YES","NO")</f>
        <v>NO</v>
      </c>
      <c r="AP29" s="260" t="str">
        <f>IF(ISNUMBER(SEARCH("R", 'Dry_Litterbag Placem_Collection'!S30)),"YES","NO")</f>
        <v>NO</v>
      </c>
    </row>
    <row r="30" spans="1:42">
      <c r="A30" t="s">
        <v>3248</v>
      </c>
      <c r="B30" s="252" t="s">
        <v>2643</v>
      </c>
      <c r="C30" s="253">
        <f>'Dry_Litterbag Placem_Collection'!A31</f>
        <v>29</v>
      </c>
      <c r="D30" s="253" t="str">
        <f>'Dry_Litterbag Placem_Collection'!B31</f>
        <v>Makao</v>
      </c>
      <c r="E30" s="253" t="s">
        <v>2643</v>
      </c>
      <c r="F30" s="253" t="s">
        <v>2644</v>
      </c>
      <c r="G30" s="253">
        <v>4</v>
      </c>
      <c r="H30" s="253" t="s">
        <v>3105</v>
      </c>
      <c r="I30" s="254" t="str">
        <f>'Dry_Litterbag Placem_Collection'!C31</f>
        <v>Dry_Ag4_T5</v>
      </c>
      <c r="J30" s="255" t="s">
        <v>2525</v>
      </c>
      <c r="K30" s="256" t="s">
        <v>1147</v>
      </c>
      <c r="L30" s="253" t="str">
        <f>IF(ISBLANK('Dry_Litterbag Placem_Collection'!J31),"","G"&amp;""&amp;'Dry_Litterbag Placem_Collection'!J31)</f>
        <v>G319</v>
      </c>
      <c r="M30" s="257">
        <f>IFERROR(INDEX('Green_rooibos initial weight'!$C$5:$C$2000,MATCH(L30, 'Green_rooibos initial weight'!$A$5:$A$2000,0)),"")</f>
        <v>2.012</v>
      </c>
      <c r="N30" s="257">
        <f>IFERROR(M30-(TBIcalc!$Q$9+TBIcalc!$Q$10),"")</f>
        <v>1.7622</v>
      </c>
      <c r="O30" s="378">
        <f>AVERAGE(Ashed_controlls!$K$2:$K$11)</f>
        <v>5.5147656768714146</v>
      </c>
      <c r="P30" s="257">
        <f t="shared" si="1"/>
        <v>1.6650187992421719</v>
      </c>
      <c r="Q30" s="257">
        <f>IFERROR(INDEX('Both teabags AfterDry'!$D$2:$D$2000,MATCH(L30,'Both teabags AfterDry'!$A$2:$A$2000,0)),"")</f>
        <v>1.8162</v>
      </c>
      <c r="R30" s="257">
        <f>IFERROR(IF(Q30&gt;0,Q30-(TBIcalc!$Q$9),""),"")</f>
        <v>1.6656</v>
      </c>
      <c r="S30" s="268">
        <f>IFERROR(INDEX('Ashed teabags dry'!$K$2:$K$2000,MATCH(L30,'Ashed teabags dry'!$A$2:$A$2000,0)),"")</f>
        <v>6.3172671970048668</v>
      </c>
      <c r="T30" s="268">
        <f t="shared" si="2"/>
        <v>1.560379597566687</v>
      </c>
      <c r="U30" s="258">
        <f>IF('Dry_Litterbag Placem_Collection'!E31="","",'Dry_Litterbag Placem_Collection'!E31)</f>
        <v>42936</v>
      </c>
      <c r="V30" s="258">
        <f>IF('Dry_Litterbag Placem_Collection'!G31="","",'Dry_Litterbag Placem_Collection'!G31)</f>
        <v>43007</v>
      </c>
      <c r="W30" s="259">
        <f t="shared" si="0"/>
        <v>71</v>
      </c>
      <c r="X30" s="257">
        <f t="shared" si="3"/>
        <v>9.6600000000000019E-2</v>
      </c>
      <c r="Y30" s="257">
        <f t="shared" si="4"/>
        <v>0.10463920167548491</v>
      </c>
      <c r="Z30" s="261">
        <f>IFERROR(INDEX([3]Rainfall_Dry!$O$2:$O$217,MATCH(C30, [3]Rainfall_Dry!$A$2:$A$217,0)),"")</f>
        <v>6.900000125</v>
      </c>
      <c r="AA30" s="250">
        <v>51.960000000000008</v>
      </c>
      <c r="AB30" s="250">
        <v>18.919999999999995</v>
      </c>
      <c r="AC30" s="250">
        <v>29.120000000000005</v>
      </c>
      <c r="AD30" s="251" t="s">
        <v>2654</v>
      </c>
      <c r="AE30" s="250">
        <v>5.8529324790537203</v>
      </c>
      <c r="AF30" t="str">
        <f>IF('WetLitterbags placem_collection'!AB31="","",'WetLitterbags placem_collection'!AB31)</f>
        <v/>
      </c>
      <c r="AG30" t="str">
        <f>IF('WetLitterbags placem_collection'!Z31="","",'WetLitterbags placem_collection'!Z31)</f>
        <v/>
      </c>
      <c r="AH30" s="236" t="str">
        <f>IF('WetLitterbags placem_collection'!AA31="","",'WetLitterbags placem_collection'!AA31)</f>
        <v/>
      </c>
      <c r="AI30" t="str">
        <f>IF('WetLitterbags placem_collection'!AC31="","",'WetLitterbags placem_collection'!AC31)</f>
        <v/>
      </c>
      <c r="AJ30">
        <f>IFERROR(AVERAGE('Dry_Litterbag Placem_Collection'!O31,'Dry_Litterbag Placem_Collection'!R31),"")</f>
        <v>15.15</v>
      </c>
      <c r="AK30" s="261">
        <f>IFERROR(AVERAGE('Dry_Litterbag Placem_Collection'!N31,'Dry_Litterbag Placem_Collection'!Q31),"")</f>
        <v>25.65</v>
      </c>
      <c r="AL30" s="260">
        <f>INDEX([2]Coordinates!$B$2:$B$197,MATCH(I30,[2]Coordinates!$J$2:$J$197,0))</f>
        <v>-3.3849480280000002</v>
      </c>
      <c r="AM30" s="260">
        <f>INDEX([2]Coordinates!$C$2:$C$197,MATCH(I30,[2]Coordinates!$J$2:$J$197,0))</f>
        <v>34.818854010000003</v>
      </c>
      <c r="AN30" s="260" t="str">
        <f>IF(ISNUMBER(SEARCH("C", 'Dry_Litterbag Placem_Collection'!S31)),"YES","NO")</f>
        <v>NO</v>
      </c>
      <c r="AO30" s="260" t="str">
        <f>IF(ISNUMBER(SEARCH("H", 'Dry_Litterbag Placem_Collection'!S31)),"YES","NO")</f>
        <v>NO</v>
      </c>
      <c r="AP30" s="260" t="str">
        <f>IF(ISNUMBER(SEARCH("R", 'Dry_Litterbag Placem_Collection'!S31)),"YES","NO")</f>
        <v>NO</v>
      </c>
    </row>
    <row r="31" spans="1:42">
      <c r="A31" t="s">
        <v>3248</v>
      </c>
      <c r="B31" s="252" t="s">
        <v>2643</v>
      </c>
      <c r="C31" s="253">
        <f>'Dry_Litterbag Placem_Collection'!A32</f>
        <v>30</v>
      </c>
      <c r="D31" s="253" t="str">
        <f>'Dry_Litterbag Placem_Collection'!B32</f>
        <v>Makao</v>
      </c>
      <c r="E31" s="253" t="s">
        <v>2643</v>
      </c>
      <c r="F31" s="253" t="s">
        <v>2644</v>
      </c>
      <c r="G31" s="253">
        <v>4</v>
      </c>
      <c r="H31" s="253" t="s">
        <v>3105</v>
      </c>
      <c r="I31" s="254" t="str">
        <f>'Dry_Litterbag Placem_Collection'!C32</f>
        <v>Dry_Ag4_T6</v>
      </c>
      <c r="J31" s="255" t="s">
        <v>2525</v>
      </c>
      <c r="K31" s="256" t="s">
        <v>1147</v>
      </c>
      <c r="L31" s="253" t="str">
        <f>IF(ISBLANK('Dry_Litterbag Placem_Collection'!J32),"","G"&amp;""&amp;'Dry_Litterbag Placem_Collection'!J32)</f>
        <v>G273</v>
      </c>
      <c r="M31" s="257">
        <f>IFERROR(INDEX('Green_rooibos initial weight'!$C$5:$C$2000,MATCH(L31, 'Green_rooibos initial weight'!$A$5:$A$2000,0)),"")</f>
        <v>2.073</v>
      </c>
      <c r="N31" s="257">
        <f>IFERROR(M31-(TBIcalc!$Q$9+TBIcalc!$Q$10),"")</f>
        <v>1.8231999999999999</v>
      </c>
      <c r="O31" s="378">
        <f>AVERAGE(Ashed_controlls!$K$2:$K$11)</f>
        <v>5.5147656768714146</v>
      </c>
      <c r="P31" s="257">
        <f t="shared" si="1"/>
        <v>1.7226547921792803</v>
      </c>
      <c r="Q31" s="257">
        <f>IFERROR(INDEX('Both teabags AfterDry'!$D$2:$D$2000,MATCH(L31,'Both teabags AfterDry'!$A$2:$A$2000,0)),"")</f>
        <v>1.9318</v>
      </c>
      <c r="R31" s="257">
        <f>IFERROR(IF(Q31&gt;0,Q31-(TBIcalc!$Q$9),""),"")</f>
        <v>1.7811999999999999</v>
      </c>
      <c r="S31" s="268">
        <f>IFERROR(INDEX('Ashed teabags dry'!$K$2:$K$2000,MATCH(L31,'Ashed teabags dry'!$A$2:$A$2000,0)),"")</f>
        <v>5.1138805328754682</v>
      </c>
      <c r="T31" s="268">
        <f t="shared" si="2"/>
        <v>1.690111559948422</v>
      </c>
      <c r="U31" s="258">
        <f>IF('Dry_Litterbag Placem_Collection'!E32="","",'Dry_Litterbag Placem_Collection'!E32)</f>
        <v>42936</v>
      </c>
      <c r="V31" s="258">
        <f>IF('Dry_Litterbag Placem_Collection'!G32="","",'Dry_Litterbag Placem_Collection'!G32)</f>
        <v>43007</v>
      </c>
      <c r="W31" s="259">
        <f t="shared" si="0"/>
        <v>71</v>
      </c>
      <c r="X31" s="257">
        <f t="shared" si="3"/>
        <v>4.2000000000000037E-2</v>
      </c>
      <c r="Y31" s="257">
        <f t="shared" si="4"/>
        <v>3.254323223085831E-2</v>
      </c>
      <c r="Z31" s="261">
        <f>IFERROR(INDEX([3]Rainfall_Dry!$O$2:$O$217,MATCH(C31, [3]Rainfall_Dry!$A$2:$A$217,0)),"")</f>
        <v>6.900000125</v>
      </c>
      <c r="AA31" s="250">
        <v>51.960000000000008</v>
      </c>
      <c r="AB31" s="250">
        <v>18.919999999999995</v>
      </c>
      <c r="AC31" s="250">
        <v>29.120000000000005</v>
      </c>
      <c r="AD31" s="251" t="s">
        <v>2654</v>
      </c>
      <c r="AE31" s="250">
        <v>6.8529324790537203</v>
      </c>
      <c r="AF31" t="str">
        <f>IF('WetLitterbags placem_collection'!AB32="","",'WetLitterbags placem_collection'!AB32)</f>
        <v/>
      </c>
      <c r="AG31" t="str">
        <f>IF('WetLitterbags placem_collection'!Z32="","",'WetLitterbags placem_collection'!Z32)</f>
        <v/>
      </c>
      <c r="AH31" s="236" t="str">
        <f>IF('WetLitterbags placem_collection'!AA32="","",'WetLitterbags placem_collection'!AA32)</f>
        <v/>
      </c>
      <c r="AI31" t="str">
        <f>IF('WetLitterbags placem_collection'!AC32="","",'WetLitterbags placem_collection'!AC32)</f>
        <v/>
      </c>
      <c r="AJ31">
        <f>IFERROR(AVERAGE('Dry_Litterbag Placem_Collection'!O32,'Dry_Litterbag Placem_Collection'!R32),"")</f>
        <v>9.3000000000000007</v>
      </c>
      <c r="AK31" s="261">
        <f>IFERROR(AVERAGE('Dry_Litterbag Placem_Collection'!N32,'Dry_Litterbag Placem_Collection'!Q32),"")</f>
        <v>24</v>
      </c>
      <c r="AL31" s="260">
        <f>INDEX([2]Coordinates!$B$2:$B$197,MATCH(I31,[2]Coordinates!$J$2:$J$197,0))</f>
        <v>-3.38496496</v>
      </c>
      <c r="AM31" s="260">
        <f>INDEX([2]Coordinates!$C$2:$C$197,MATCH(I31,[2]Coordinates!$J$2:$J$197,0))</f>
        <v>34.818790970000002</v>
      </c>
      <c r="AN31" s="260" t="str">
        <f>IF(ISNUMBER(SEARCH("C", 'Dry_Litterbag Placem_Collection'!S32)),"YES","NO")</f>
        <v>NO</v>
      </c>
      <c r="AO31" s="260" t="str">
        <f>IF(ISNUMBER(SEARCH("H", 'Dry_Litterbag Placem_Collection'!S32)),"YES","NO")</f>
        <v>NO</v>
      </c>
      <c r="AP31" s="260" t="str">
        <f>IF(ISNUMBER(SEARCH("R", 'Dry_Litterbag Placem_Collection'!S32)),"YES","NO")</f>
        <v>NO</v>
      </c>
    </row>
    <row r="32" spans="1:42">
      <c r="A32" t="s">
        <v>3248</v>
      </c>
      <c r="B32" s="252" t="s">
        <v>2643</v>
      </c>
      <c r="C32" s="253">
        <f>'Dry_Litterbag Placem_Collection'!A33</f>
        <v>31</v>
      </c>
      <c r="D32" s="253" t="str">
        <f>'Dry_Litterbag Placem_Collection'!B33</f>
        <v>Makao</v>
      </c>
      <c r="E32" s="253" t="s">
        <v>2643</v>
      </c>
      <c r="F32" s="253" t="s">
        <v>2644</v>
      </c>
      <c r="G32" s="253">
        <v>4</v>
      </c>
      <c r="H32" s="253" t="s">
        <v>3105</v>
      </c>
      <c r="I32" s="254" t="str">
        <f>'Dry_Litterbag Placem_Collection'!C33</f>
        <v>Dry_Ag4_T7</v>
      </c>
      <c r="J32" s="255" t="s">
        <v>2525</v>
      </c>
      <c r="K32" s="256" t="s">
        <v>1147</v>
      </c>
      <c r="L32" s="253" t="str">
        <f>IF(ISBLANK('Dry_Litterbag Placem_Collection'!J33),"","G"&amp;""&amp;'Dry_Litterbag Placem_Collection'!J33)</f>
        <v/>
      </c>
      <c r="M32" s="257" t="str">
        <f>IFERROR(INDEX('Green_rooibos initial weight'!$C$5:$C$2000,MATCH(L32, 'Green_rooibos initial weight'!$A$5:$A$2000,0)),"")</f>
        <v/>
      </c>
      <c r="N32" s="257" t="str">
        <f>IFERROR(M32-(TBIcalc!$Q$9+TBIcalc!$Q$10),"")</f>
        <v/>
      </c>
      <c r="O32" s="378">
        <f>AVERAGE(Ashed_controlls!$K$2:$K$11)</f>
        <v>5.5147656768714146</v>
      </c>
      <c r="P32" s="257" t="str">
        <f t="shared" si="1"/>
        <v/>
      </c>
      <c r="Q32" s="257" t="str">
        <f>IFERROR(INDEX('Both teabags AfterDry'!$D$2:$D$2000,MATCH(L32,'Both teabags AfterDry'!$A$2:$A$2000,0)),"")</f>
        <v/>
      </c>
      <c r="R32" s="257" t="str">
        <f>IFERROR(IF(Q32&gt;0,Q32-(TBIcalc!$Q$9),""),"")</f>
        <v/>
      </c>
      <c r="S32" s="268" t="str">
        <f>IFERROR(INDEX('Ashed teabags dry'!$K$2:$K$2000,MATCH(L32,'Ashed teabags dry'!$A$2:$A$2000,0)),"")</f>
        <v/>
      </c>
      <c r="T32" s="268" t="str">
        <f t="shared" si="2"/>
        <v/>
      </c>
      <c r="U32" s="258" t="str">
        <f>IF('Dry_Litterbag Placem_Collection'!E33="","",'Dry_Litterbag Placem_Collection'!E33)</f>
        <v/>
      </c>
      <c r="V32" s="258" t="str">
        <f>IF('Dry_Litterbag Placem_Collection'!G33="","",'Dry_Litterbag Placem_Collection'!G33)</f>
        <v/>
      </c>
      <c r="W32" s="259" t="str">
        <f t="shared" si="0"/>
        <v/>
      </c>
      <c r="X32" s="257" t="str">
        <f t="shared" si="3"/>
        <v/>
      </c>
      <c r="Y32" s="257" t="str">
        <f t="shared" si="4"/>
        <v/>
      </c>
      <c r="Z32" s="261" t="str">
        <f>IFERROR(INDEX([3]Rainfall_Dry!$O$2:$O$217,MATCH(C32, [3]Rainfall_Dry!$A$2:$A$217,0)),"")</f>
        <v/>
      </c>
      <c r="AA32" s="250">
        <v>51.960000000000008</v>
      </c>
      <c r="AB32" s="250">
        <v>18.919999999999995</v>
      </c>
      <c r="AC32" s="250">
        <v>29.120000000000005</v>
      </c>
      <c r="AD32" s="251" t="s">
        <v>2654</v>
      </c>
      <c r="AE32" s="250">
        <v>7.8529324790537203</v>
      </c>
      <c r="AF32" t="str">
        <f>IF('WetLitterbags placem_collection'!AB33="","",'WetLitterbags placem_collection'!AB33)</f>
        <v/>
      </c>
      <c r="AG32" t="str">
        <f>IF('WetLitterbags placem_collection'!Z33="","",'WetLitterbags placem_collection'!Z33)</f>
        <v/>
      </c>
      <c r="AH32" s="236" t="str">
        <f>IF('WetLitterbags placem_collection'!AA33="","",'WetLitterbags placem_collection'!AA33)</f>
        <v/>
      </c>
      <c r="AI32" t="str">
        <f>IF('WetLitterbags placem_collection'!AC33="","",'WetLitterbags placem_collection'!AC33)</f>
        <v/>
      </c>
      <c r="AJ32" t="str">
        <f>IFERROR(AVERAGE('Dry_Litterbag Placem_Collection'!O33,'Dry_Litterbag Placem_Collection'!R33),"")</f>
        <v/>
      </c>
      <c r="AK32" s="261" t="str">
        <f>IFERROR(AVERAGE('Dry_Litterbag Placem_Collection'!N33,'Dry_Litterbag Placem_Collection'!Q33),"")</f>
        <v/>
      </c>
      <c r="AL32" s="260">
        <f>INDEX([2]Coordinates!$B$2:$B$197,MATCH(I32,[2]Coordinates!$J$2:$J$197,0))</f>
        <v>-3.3848409909999999</v>
      </c>
      <c r="AM32" s="260">
        <f>INDEX([2]Coordinates!$C$2:$C$197,MATCH(I32,[2]Coordinates!$J$2:$J$197,0))</f>
        <v>34.818838999999997</v>
      </c>
      <c r="AN32" s="260" t="str">
        <f>IF(ISNUMBER(SEARCH("C", 'Dry_Litterbag Placem_Collection'!S33)),"YES","NO")</f>
        <v>NO</v>
      </c>
      <c r="AO32" s="260" t="str">
        <f>IF(ISNUMBER(SEARCH("H", 'Dry_Litterbag Placem_Collection'!S33)),"YES","NO")</f>
        <v>NO</v>
      </c>
      <c r="AP32" s="260" t="str">
        <f>IF(ISNUMBER(SEARCH("R", 'Dry_Litterbag Placem_Collection'!S33)),"YES","NO")</f>
        <v>NO</v>
      </c>
    </row>
    <row r="33" spans="1:42">
      <c r="A33" t="s">
        <v>3248</v>
      </c>
      <c r="B33" s="252" t="s">
        <v>2643</v>
      </c>
      <c r="C33" s="253">
        <f>'Dry_Litterbag Placem_Collection'!A34</f>
        <v>32</v>
      </c>
      <c r="D33" s="253" t="str">
        <f>'Dry_Litterbag Placem_Collection'!B34</f>
        <v>Makao</v>
      </c>
      <c r="E33" s="253" t="s">
        <v>2643</v>
      </c>
      <c r="F33" s="253" t="s">
        <v>2644</v>
      </c>
      <c r="G33" s="253">
        <v>4</v>
      </c>
      <c r="H33" s="253" t="s">
        <v>3105</v>
      </c>
      <c r="I33" s="254" t="str">
        <f>'Dry_Litterbag Placem_Collection'!C34</f>
        <v>Dry_Ag4_T8</v>
      </c>
      <c r="J33" s="255" t="s">
        <v>2525</v>
      </c>
      <c r="K33" s="256" t="s">
        <v>1147</v>
      </c>
      <c r="L33" s="253" t="str">
        <f>IF(ISBLANK('Dry_Litterbag Placem_Collection'!J34),"","G"&amp;""&amp;'Dry_Litterbag Placem_Collection'!J34)</f>
        <v>G193</v>
      </c>
      <c r="M33" s="257">
        <f>IFERROR(INDEX('Green_rooibos initial weight'!$C$5:$C$2000,MATCH(L33, 'Green_rooibos initial weight'!$A$5:$A$2000,0)),"")</f>
        <v>2.177</v>
      </c>
      <c r="N33" s="257">
        <f>IFERROR(M33-(TBIcalc!$Q$9+TBIcalc!$Q$10),"")</f>
        <v>1.9272</v>
      </c>
      <c r="O33" s="378">
        <f>AVERAGE(Ashed_controlls!$K$2:$K$11)</f>
        <v>5.5147656768714146</v>
      </c>
      <c r="P33" s="257">
        <f t="shared" si="1"/>
        <v>1.8209194358753342</v>
      </c>
      <c r="Q33" s="257">
        <f>IFERROR(INDEX('Both teabags AfterDry'!$D$2:$D$2000,MATCH(L33,'Both teabags AfterDry'!$A$2:$A$2000,0)),"")</f>
        <v>1.8848</v>
      </c>
      <c r="R33" s="257">
        <f>IFERROR(IF(Q33&gt;0,Q33-(TBIcalc!$Q$9),""),"")</f>
        <v>1.7342</v>
      </c>
      <c r="S33" s="268">
        <f>IFERROR(INDEX('Ashed teabags dry'!$K$2:$K$2000,MATCH(L33,'Ashed teabags dry'!$A$2:$A$2000,0)),"")</f>
        <v>6.5004452359746852</v>
      </c>
      <c r="T33" s="268">
        <f t="shared" si="2"/>
        <v>1.6214692787177269</v>
      </c>
      <c r="U33" s="258">
        <f>IF('Dry_Litterbag Placem_Collection'!E34="","",'Dry_Litterbag Placem_Collection'!E34)</f>
        <v>42936</v>
      </c>
      <c r="V33" s="258">
        <f>IF('Dry_Litterbag Placem_Collection'!G34="","",'Dry_Litterbag Placem_Collection'!G34)</f>
        <v>43007</v>
      </c>
      <c r="W33" s="259">
        <f t="shared" si="0"/>
        <v>71</v>
      </c>
      <c r="X33" s="257">
        <f t="shared" si="3"/>
        <v>0.19300000000000006</v>
      </c>
      <c r="Y33" s="257">
        <f t="shared" si="4"/>
        <v>0.19945015715760728</v>
      </c>
      <c r="Z33" s="261">
        <f>IFERROR(INDEX([3]Rainfall_Dry!$O$2:$O$217,MATCH(C33, [3]Rainfall_Dry!$A$2:$A$217,0)),"")</f>
        <v>6.900000125</v>
      </c>
      <c r="AA33" s="250">
        <v>51.960000000000008</v>
      </c>
      <c r="AB33" s="250">
        <v>18.919999999999995</v>
      </c>
      <c r="AC33" s="250">
        <v>29.120000000000005</v>
      </c>
      <c r="AD33" s="251" t="s">
        <v>2654</v>
      </c>
      <c r="AE33" s="250">
        <v>8.8529324790537203</v>
      </c>
      <c r="AF33" t="str">
        <f>IF('WetLitterbags placem_collection'!AB34="","",'WetLitterbags placem_collection'!AB34)</f>
        <v/>
      </c>
      <c r="AG33" t="str">
        <f>IF('WetLitterbags placem_collection'!Z34="","",'WetLitterbags placem_collection'!Z34)</f>
        <v/>
      </c>
      <c r="AH33" s="236" t="str">
        <f>IF('WetLitterbags placem_collection'!AA34="","",'WetLitterbags placem_collection'!AA34)</f>
        <v/>
      </c>
      <c r="AI33" t="str">
        <f>IF('WetLitterbags placem_collection'!AC34="","",'WetLitterbags placem_collection'!AC34)</f>
        <v/>
      </c>
      <c r="AJ33">
        <f>IFERROR(AVERAGE('Dry_Litterbag Placem_Collection'!O34,'Dry_Litterbag Placem_Collection'!R34),"")</f>
        <v>11.850000000000001</v>
      </c>
      <c r="AK33" s="261">
        <f>IFERROR(AVERAGE('Dry_Litterbag Placem_Collection'!N34,'Dry_Litterbag Placem_Collection'!Q34),"")</f>
        <v>25.45</v>
      </c>
      <c r="AL33" s="260">
        <f>INDEX([2]Coordinates!$B$2:$B$197,MATCH(I33,[2]Coordinates!$J$2:$J$197,0))</f>
        <v>-3.3849010060000002</v>
      </c>
      <c r="AM33" s="260">
        <f>INDEX([2]Coordinates!$C$2:$C$197,MATCH(I33,[2]Coordinates!$J$2:$J$197,0))</f>
        <v>34.818979990000003</v>
      </c>
      <c r="AN33" s="260" t="str">
        <f>IF(ISNUMBER(SEARCH("C", 'Dry_Litterbag Placem_Collection'!S34)),"YES","NO")</f>
        <v>NO</v>
      </c>
      <c r="AO33" s="260" t="str">
        <f>IF(ISNUMBER(SEARCH("H", 'Dry_Litterbag Placem_Collection'!S34)),"YES","NO")</f>
        <v>NO</v>
      </c>
      <c r="AP33" s="260" t="str">
        <f>IF(ISNUMBER(SEARCH("R", 'Dry_Litterbag Placem_Collection'!S34)),"YES","NO")</f>
        <v>NO</v>
      </c>
    </row>
    <row r="34" spans="1:42">
      <c r="A34" t="s">
        <v>3248</v>
      </c>
      <c r="B34" s="252" t="s">
        <v>2643</v>
      </c>
      <c r="C34" s="253">
        <f>'Dry_Litterbag Placem_Collection'!A35</f>
        <v>33</v>
      </c>
      <c r="D34" s="253" t="str">
        <f>'Dry_Litterbag Placem_Collection'!B35</f>
        <v>Makao</v>
      </c>
      <c r="E34" s="253" t="s">
        <v>2643</v>
      </c>
      <c r="F34" s="253" t="s">
        <v>20</v>
      </c>
      <c r="G34" s="253">
        <v>1</v>
      </c>
      <c r="H34" s="253" t="s">
        <v>3106</v>
      </c>
      <c r="I34" s="254" t="str">
        <f>'Dry_Litterbag Placem_Collection'!C35</f>
        <v>Dry_P1_T1</v>
      </c>
      <c r="J34" s="255" t="s">
        <v>2525</v>
      </c>
      <c r="K34" s="256" t="s">
        <v>1147</v>
      </c>
      <c r="L34" s="253" t="str">
        <f>IF(ISBLANK('Dry_Litterbag Placem_Collection'!J35),"","G"&amp;""&amp;'Dry_Litterbag Placem_Collection'!J35)</f>
        <v>G218</v>
      </c>
      <c r="M34" s="257">
        <f>IFERROR(INDEX('Green_rooibos initial weight'!$C$5:$C$2000,MATCH(L34, 'Green_rooibos initial weight'!$A$5:$A$2000,0)),"")</f>
        <v>1.96</v>
      </c>
      <c r="N34" s="257">
        <f>IFERROR(M34-(TBIcalc!$Q$9+TBIcalc!$Q$10),"")</f>
        <v>1.7101999999999999</v>
      </c>
      <c r="O34" s="378">
        <f>AVERAGE(Ashed_controlls!$K$2:$K$11)</f>
        <v>5.5147656768714146</v>
      </c>
      <c r="P34" s="257">
        <f t="shared" si="1"/>
        <v>1.615886477394145</v>
      </c>
      <c r="Q34" s="257">
        <f>IFERROR(INDEX('Both teabags AfterDry'!$D$2:$D$2000,MATCH(L34,'Both teabags AfterDry'!$A$2:$A$2000,0)),"")</f>
        <v>1.7766</v>
      </c>
      <c r="R34" s="257">
        <f>IFERROR(IF(Q34&gt;0,Q34-(TBIcalc!$Q$9),""),"")</f>
        <v>1.6259999999999999</v>
      </c>
      <c r="S34" s="268">
        <f>IFERROR(INDEX('Ashed teabags dry'!$K$2:$K$2000,MATCH(L34,'Ashed teabags dry'!$A$2:$A$2000,0)),"")</f>
        <v>5.8311575282857895</v>
      </c>
      <c r="T34" s="268">
        <f t="shared" si="2"/>
        <v>1.5311853785900729</v>
      </c>
      <c r="U34" s="258">
        <f>IF('Dry_Litterbag Placem_Collection'!E35="","",'Dry_Litterbag Placem_Collection'!E35)</f>
        <v>42938</v>
      </c>
      <c r="V34" s="258">
        <f>IF('Dry_Litterbag Placem_Collection'!G35="","",'Dry_Litterbag Placem_Collection'!G35)</f>
        <v>43005</v>
      </c>
      <c r="W34" s="259">
        <f t="shared" si="0"/>
        <v>67</v>
      </c>
      <c r="X34" s="257">
        <f t="shared" si="3"/>
        <v>8.4200000000000053E-2</v>
      </c>
      <c r="Y34" s="257">
        <f t="shared" si="4"/>
        <v>8.4701098804072172E-2</v>
      </c>
      <c r="Z34" s="261">
        <f>IFERROR(INDEX([3]Rainfall_Dry!$O$2:$O$217,MATCH(C34, [3]Rainfall_Dry!$A$2:$A$217,0)),"")</f>
        <v>6.5250000359999998</v>
      </c>
      <c r="AA34" s="250">
        <v>23.96</v>
      </c>
      <c r="AB34" s="250">
        <v>0.91999999999999804</v>
      </c>
      <c r="AC34" s="250">
        <v>75.12</v>
      </c>
      <c r="AD34" s="251" t="s">
        <v>2651</v>
      </c>
      <c r="AE34" s="250">
        <v>1.2493839329719072</v>
      </c>
      <c r="AF34">
        <f>IF('WetLitterbags placem_collection'!AB35="","",'WetLitterbags placem_collection'!AB35)</f>
        <v>9.5</v>
      </c>
      <c r="AG34">
        <f>IF('WetLitterbags placem_collection'!Z35="","",'WetLitterbags placem_collection'!Z35)</f>
        <v>17.2</v>
      </c>
      <c r="AH34" s="236" t="str">
        <f>IF('WetLitterbags placem_collection'!AA35="","",'WetLitterbags placem_collection'!AA35)</f>
        <v>G</v>
      </c>
      <c r="AI34">
        <f>IF('WetLitterbags placem_collection'!AC35="","",'WetLitterbags placem_collection'!AC35)</f>
        <v>0</v>
      </c>
      <c r="AJ34">
        <f>IFERROR(AVERAGE('Dry_Litterbag Placem_Collection'!O35,'Dry_Litterbag Placem_Collection'!R35),"")</f>
        <v>1.65</v>
      </c>
      <c r="AK34" s="261">
        <f>IFERROR(AVERAGE('Dry_Litterbag Placem_Collection'!N35,'Dry_Litterbag Placem_Collection'!Q35),"")</f>
        <v>26.15</v>
      </c>
      <c r="AL34" s="260">
        <f>INDEX([2]Coordinates!$B$2:$B$197,MATCH(I34,[2]Coordinates!$J$2:$J$197,0))</f>
        <v>-3.4092039989999998</v>
      </c>
      <c r="AM34" s="260">
        <f>INDEX([2]Coordinates!$C$2:$C$197,MATCH(I34,[2]Coordinates!$J$2:$J$197,0))</f>
        <v>34.852751009999999</v>
      </c>
      <c r="AN34" s="260" t="str">
        <f>IF(ISNUMBER(SEARCH("C", 'Dry_Litterbag Placem_Collection'!S35)),"YES","NO")</f>
        <v>NO</v>
      </c>
      <c r="AO34" s="260" t="str">
        <f>IF(ISNUMBER(SEARCH("H", 'Dry_Litterbag Placem_Collection'!S35)),"YES","NO")</f>
        <v>NO</v>
      </c>
      <c r="AP34" s="260" t="str">
        <f>IF(ISNUMBER(SEARCH("R", 'Dry_Litterbag Placem_Collection'!S35)),"YES","NO")</f>
        <v>NO</v>
      </c>
    </row>
    <row r="35" spans="1:42">
      <c r="A35" t="s">
        <v>3248</v>
      </c>
      <c r="B35" s="252" t="s">
        <v>2643</v>
      </c>
      <c r="C35" s="253">
        <f>'Dry_Litterbag Placem_Collection'!A36</f>
        <v>34</v>
      </c>
      <c r="D35" s="253" t="str">
        <f>'Dry_Litterbag Placem_Collection'!B36</f>
        <v>Makao</v>
      </c>
      <c r="E35" s="253" t="s">
        <v>2643</v>
      </c>
      <c r="F35" s="253" t="s">
        <v>20</v>
      </c>
      <c r="G35" s="253">
        <v>1</v>
      </c>
      <c r="H35" s="253" t="s">
        <v>3106</v>
      </c>
      <c r="I35" s="254" t="str">
        <f>'Dry_Litterbag Placem_Collection'!C36</f>
        <v>Dry_P1_T2</v>
      </c>
      <c r="J35" s="255" t="s">
        <v>2525</v>
      </c>
      <c r="K35" s="256" t="s">
        <v>1147</v>
      </c>
      <c r="L35" s="253" t="str">
        <f>IF(ISBLANK('Dry_Litterbag Placem_Collection'!J36),"","G"&amp;""&amp;'Dry_Litterbag Placem_Collection'!J36)</f>
        <v>G104</v>
      </c>
      <c r="M35" s="257">
        <f>IFERROR(INDEX('Green_rooibos initial weight'!$C$5:$C$2000,MATCH(L35, 'Green_rooibos initial weight'!$A$5:$A$2000,0)),"")</f>
        <v>2.0259999999999998</v>
      </c>
      <c r="N35" s="257">
        <f>IFERROR(M35-(TBIcalc!$Q$9+TBIcalc!$Q$10),"")</f>
        <v>1.7761999999999998</v>
      </c>
      <c r="O35" s="378">
        <f>AVERAGE(Ashed_controlls!$K$2:$K$11)</f>
        <v>5.5147656768714146</v>
      </c>
      <c r="P35" s="257">
        <f t="shared" si="1"/>
        <v>1.6782467320474097</v>
      </c>
      <c r="Q35" s="257" t="str">
        <f>IFERROR(INDEX('Both teabags AfterDry'!$D$2:$D$2000,MATCH(L35,'Both teabags AfterDry'!$A$2:$A$2000,0)),"")</f>
        <v/>
      </c>
      <c r="R35" s="257" t="str">
        <f>IFERROR(IF(Q35&gt;0,Q35-(TBIcalc!$Q$9),""),"")</f>
        <v/>
      </c>
      <c r="S35" s="268" t="str">
        <f>IFERROR(INDEX('Ashed teabags dry'!$K$2:$K$2000,MATCH(L35,'Ashed teabags dry'!$A$2:$A$2000,0)),"")</f>
        <v/>
      </c>
      <c r="T35" s="268" t="str">
        <f t="shared" si="2"/>
        <v/>
      </c>
      <c r="U35" s="258">
        <f>IF('Dry_Litterbag Placem_Collection'!E36="","",'Dry_Litterbag Placem_Collection'!E36)</f>
        <v>42938</v>
      </c>
      <c r="V35" s="258">
        <f>IF('Dry_Litterbag Placem_Collection'!G36="","",'Dry_Litterbag Placem_Collection'!G36)</f>
        <v>43005</v>
      </c>
      <c r="W35" s="259">
        <f t="shared" si="0"/>
        <v>67</v>
      </c>
      <c r="X35" s="257" t="str">
        <f t="shared" si="3"/>
        <v/>
      </c>
      <c r="Y35" s="257" t="str">
        <f t="shared" si="4"/>
        <v/>
      </c>
      <c r="Z35" s="261">
        <f>IFERROR(INDEX([3]Rainfall_Dry!$O$2:$O$217,MATCH(C35, [3]Rainfall_Dry!$A$2:$A$217,0)),"")</f>
        <v>6.5250000359999998</v>
      </c>
      <c r="AA35" s="250">
        <v>23.96</v>
      </c>
      <c r="AB35" s="250">
        <v>0.91999999999999804</v>
      </c>
      <c r="AC35" s="250">
        <v>75.12</v>
      </c>
      <c r="AD35" s="251" t="s">
        <v>2651</v>
      </c>
      <c r="AE35" s="250">
        <v>1.2493839329719072</v>
      </c>
      <c r="AF35">
        <f>IF('WetLitterbags placem_collection'!AB36="","",'WetLitterbags placem_collection'!AB36)</f>
        <v>6.5</v>
      </c>
      <c r="AG35">
        <f>IF('WetLitterbags placem_collection'!Z36="","",'WetLitterbags placem_collection'!Z36)</f>
        <v>14.2</v>
      </c>
      <c r="AH35" s="236" t="str">
        <f>IF('WetLitterbags placem_collection'!AA36="","",'WetLitterbags placem_collection'!AA36)</f>
        <v>G</v>
      </c>
      <c r="AI35">
        <f>IF('WetLitterbags placem_collection'!AC36="","",'WetLitterbags placem_collection'!AC36)</f>
        <v>0</v>
      </c>
      <c r="AJ35">
        <f>IFERROR(AVERAGE('Dry_Litterbag Placem_Collection'!O36,'Dry_Litterbag Placem_Collection'!R36),"")</f>
        <v>3.25</v>
      </c>
      <c r="AK35" s="261">
        <f>IFERROR(AVERAGE('Dry_Litterbag Placem_Collection'!N36,'Dry_Litterbag Placem_Collection'!Q36),"")</f>
        <v>26.9</v>
      </c>
      <c r="AL35" s="260">
        <f>INDEX([2]Coordinates!$B$2:$B$197,MATCH(I35,[2]Coordinates!$J$2:$J$197,0))</f>
        <v>-3.4092350119999999</v>
      </c>
      <c r="AM35" s="260">
        <f>INDEX([2]Coordinates!$C$2:$C$197,MATCH(I35,[2]Coordinates!$J$2:$J$197,0))</f>
        <v>34.852782019999999</v>
      </c>
      <c r="AN35" s="260" t="str">
        <f>IF(ISNUMBER(SEARCH("C", 'Dry_Litterbag Placem_Collection'!S36)),"YES","NO")</f>
        <v>NO</v>
      </c>
      <c r="AO35" s="260" t="str">
        <f>IF(ISNUMBER(SEARCH("H", 'Dry_Litterbag Placem_Collection'!S36)),"YES","NO")</f>
        <v>YES</v>
      </c>
      <c r="AP35" s="260" t="str">
        <f>IF(ISNUMBER(SEARCH("R", 'Dry_Litterbag Placem_Collection'!S36)),"YES","NO")</f>
        <v>NO</v>
      </c>
    </row>
    <row r="36" spans="1:42">
      <c r="A36" t="s">
        <v>3248</v>
      </c>
      <c r="B36" s="252" t="s">
        <v>2643</v>
      </c>
      <c r="C36" s="253">
        <f>'Dry_Litterbag Placem_Collection'!A37</f>
        <v>35</v>
      </c>
      <c r="D36" s="253" t="str">
        <f>'Dry_Litterbag Placem_Collection'!B37</f>
        <v>Makao</v>
      </c>
      <c r="E36" s="253" t="s">
        <v>2643</v>
      </c>
      <c r="F36" s="253" t="s">
        <v>20</v>
      </c>
      <c r="G36" s="253">
        <v>1</v>
      </c>
      <c r="H36" s="253" t="s">
        <v>3106</v>
      </c>
      <c r="I36" s="254" t="str">
        <f>'Dry_Litterbag Placem_Collection'!C37</f>
        <v>Dry_P1_T3</v>
      </c>
      <c r="J36" s="255" t="s">
        <v>2525</v>
      </c>
      <c r="K36" s="256" t="s">
        <v>1147</v>
      </c>
      <c r="L36" s="253" t="str">
        <f>IF(ISBLANK('Dry_Litterbag Placem_Collection'!J37),"","G"&amp;""&amp;'Dry_Litterbag Placem_Collection'!J37)</f>
        <v>G188</v>
      </c>
      <c r="M36" s="257">
        <f>IFERROR(INDEX('Green_rooibos initial weight'!$C$5:$C$2000,MATCH(L36, 'Green_rooibos initial weight'!$A$5:$A$2000,0)),"")</f>
        <v>1.952</v>
      </c>
      <c r="N36" s="257">
        <f>IFERROR(M36-(TBIcalc!$Q$9+TBIcalc!$Q$10),"")</f>
        <v>1.7021999999999999</v>
      </c>
      <c r="O36" s="378">
        <f>AVERAGE(Ashed_controlls!$K$2:$K$11)</f>
        <v>5.5147656768714146</v>
      </c>
      <c r="P36" s="257">
        <f t="shared" si="1"/>
        <v>1.6083276586482946</v>
      </c>
      <c r="Q36" s="257">
        <f>IFERROR(INDEX('Both teabags AfterDry'!$D$2:$D$2000,MATCH(L36,'Both teabags AfterDry'!$A$2:$A$2000,0)),"")</f>
        <v>1.7849999999999999</v>
      </c>
      <c r="R36" s="257">
        <f>IFERROR(IF(Q36&gt;0,Q36-(TBIcalc!$Q$9),""),"")</f>
        <v>1.6343999999999999</v>
      </c>
      <c r="S36" s="268">
        <f>IFERROR(INDEX('Ashed teabags dry'!$K$2:$K$2000,MATCH(L36,'Ashed teabags dry'!$A$2:$A$2000,0)),"")</f>
        <v>5.9055118110234908</v>
      </c>
      <c r="T36" s="268">
        <f t="shared" si="2"/>
        <v>1.5378803149606319</v>
      </c>
      <c r="U36" s="258">
        <f>IF('Dry_Litterbag Placem_Collection'!E37="","",'Dry_Litterbag Placem_Collection'!E37)</f>
        <v>42938</v>
      </c>
      <c r="V36" s="258">
        <f>IF('Dry_Litterbag Placem_Collection'!G37="","",'Dry_Litterbag Placem_Collection'!G37)</f>
        <v>43005</v>
      </c>
      <c r="W36" s="259">
        <f t="shared" si="0"/>
        <v>67</v>
      </c>
      <c r="X36" s="257">
        <f t="shared" si="3"/>
        <v>6.7800000000000082E-2</v>
      </c>
      <c r="Y36" s="257">
        <f t="shared" si="4"/>
        <v>7.04473436876627E-2</v>
      </c>
      <c r="Z36" s="261">
        <f>IFERROR(INDEX([3]Rainfall_Dry!$O$2:$O$217,MATCH(C36, [3]Rainfall_Dry!$A$2:$A$217,0)),"")</f>
        <v>6.5250000359999998</v>
      </c>
      <c r="AA36" s="250">
        <v>23.96</v>
      </c>
      <c r="AB36" s="250">
        <v>0.91999999999999804</v>
      </c>
      <c r="AC36" s="250">
        <v>75.12</v>
      </c>
      <c r="AD36" s="251" t="s">
        <v>2651</v>
      </c>
      <c r="AE36" s="250">
        <v>1.2493839329719072</v>
      </c>
      <c r="AF36">
        <f>IF('WetLitterbags placem_collection'!AB37="","",'WetLitterbags placem_collection'!AB37)</f>
        <v>0.7</v>
      </c>
      <c r="AG36">
        <f>IF('WetLitterbags placem_collection'!Z37="","",'WetLitterbags placem_collection'!Z37)</f>
        <v>10.6</v>
      </c>
      <c r="AH36" s="236" t="str">
        <f>IF('WetLitterbags placem_collection'!AA37="","",'WetLitterbags placem_collection'!AA37)</f>
        <v>G</v>
      </c>
      <c r="AI36">
        <f>IF('WetLitterbags placem_collection'!AC37="","",'WetLitterbags placem_collection'!AC37)</f>
        <v>0</v>
      </c>
      <c r="AJ36">
        <f>IFERROR(AVERAGE('Dry_Litterbag Placem_Collection'!O37,'Dry_Litterbag Placem_Collection'!R37),"")</f>
        <v>3.35</v>
      </c>
      <c r="AK36" s="261">
        <f>IFERROR(AVERAGE('Dry_Litterbag Placem_Collection'!N37,'Dry_Litterbag Placem_Collection'!Q37),"")</f>
        <v>26.95</v>
      </c>
      <c r="AL36" s="260">
        <f>INDEX([2]Coordinates!$B$2:$B$197,MATCH(I36,[2]Coordinates!$J$2:$J$197,0))</f>
        <v>-3.409177009</v>
      </c>
      <c r="AM36" s="260">
        <f>INDEX([2]Coordinates!$C$2:$C$197,MATCH(I36,[2]Coordinates!$J$2:$J$197,0))</f>
        <v>34.852818990000003</v>
      </c>
      <c r="AN36" s="260" t="str">
        <f>IF(ISNUMBER(SEARCH("C", 'Dry_Litterbag Placem_Collection'!S37)),"YES","NO")</f>
        <v>NO</v>
      </c>
      <c r="AO36" s="260" t="str">
        <f>IF(ISNUMBER(SEARCH("H", 'Dry_Litterbag Placem_Collection'!S37)),"YES","NO")</f>
        <v>NO</v>
      </c>
      <c r="AP36" s="260" t="str">
        <f>IF(ISNUMBER(SEARCH("R", 'Dry_Litterbag Placem_Collection'!S37)),"YES","NO")</f>
        <v>NO</v>
      </c>
    </row>
    <row r="37" spans="1:42">
      <c r="A37" t="s">
        <v>3248</v>
      </c>
      <c r="B37" s="252" t="s">
        <v>2643</v>
      </c>
      <c r="C37" s="253">
        <f>'Dry_Litterbag Placem_Collection'!A38</f>
        <v>36</v>
      </c>
      <c r="D37" s="253" t="str">
        <f>'Dry_Litterbag Placem_Collection'!B38</f>
        <v>Makao</v>
      </c>
      <c r="E37" s="253" t="s">
        <v>2643</v>
      </c>
      <c r="F37" s="253" t="s">
        <v>20</v>
      </c>
      <c r="G37" s="253">
        <v>1</v>
      </c>
      <c r="H37" s="253" t="s">
        <v>3106</v>
      </c>
      <c r="I37" s="254" t="str">
        <f>'Dry_Litterbag Placem_Collection'!C38</f>
        <v>Dry_P1_T4</v>
      </c>
      <c r="J37" s="255" t="s">
        <v>2525</v>
      </c>
      <c r="K37" s="256" t="s">
        <v>1147</v>
      </c>
      <c r="L37" s="253" t="str">
        <f>IF(ISBLANK('Dry_Litterbag Placem_Collection'!J38),"","G"&amp;""&amp;'Dry_Litterbag Placem_Collection'!J38)</f>
        <v>G379</v>
      </c>
      <c r="M37" s="257">
        <f>IFERROR(INDEX('Green_rooibos initial weight'!$C$5:$C$2000,MATCH(L37, 'Green_rooibos initial weight'!$A$5:$A$2000,0)),"")</f>
        <v>2.052</v>
      </c>
      <c r="N37" s="257">
        <f>IFERROR(M37-(TBIcalc!$Q$9+TBIcalc!$Q$10),"")</f>
        <v>1.8022</v>
      </c>
      <c r="O37" s="378">
        <f>AVERAGE(Ashed_controlls!$K$2:$K$11)</f>
        <v>5.5147656768714146</v>
      </c>
      <c r="P37" s="257">
        <f t="shared" si="1"/>
        <v>1.7028128929714235</v>
      </c>
      <c r="Q37" s="257">
        <f>IFERROR(INDEX('Both teabags AfterDry'!$D$2:$D$2000,MATCH(L37,'Both teabags AfterDry'!$A$2:$A$2000,0)),"")</f>
        <v>1.65</v>
      </c>
      <c r="R37" s="257">
        <f>IFERROR(IF(Q37&gt;0,Q37-(TBIcalc!$Q$9),""),"")</f>
        <v>1.4993999999999998</v>
      </c>
      <c r="S37" s="268">
        <f>IFERROR(INDEX('Ashed teabags dry'!$K$2:$K$2000,MATCH(L37,'Ashed teabags dry'!$A$2:$A$2000,0)),"")</f>
        <v>8.6725663716812598</v>
      </c>
      <c r="T37" s="268">
        <f t="shared" si="2"/>
        <v>1.3693635398230111</v>
      </c>
      <c r="U37" s="258">
        <f>IF('Dry_Litterbag Placem_Collection'!E38="","",'Dry_Litterbag Placem_Collection'!E38)</f>
        <v>42938</v>
      </c>
      <c r="V37" s="258">
        <f>IF('Dry_Litterbag Placem_Collection'!G38="","",'Dry_Litterbag Placem_Collection'!G38)</f>
        <v>43005</v>
      </c>
      <c r="W37" s="259">
        <f t="shared" si="0"/>
        <v>67</v>
      </c>
      <c r="X37" s="257">
        <f t="shared" si="3"/>
        <v>0.30280000000000018</v>
      </c>
      <c r="Y37" s="257">
        <f t="shared" si="4"/>
        <v>0.3334493531484124</v>
      </c>
      <c r="Z37" s="261">
        <f>IFERROR(INDEX([3]Rainfall_Dry!$O$2:$O$217,MATCH(C37, [3]Rainfall_Dry!$A$2:$A$217,0)),"")</f>
        <v>6.5250000359999998</v>
      </c>
      <c r="AA37" s="250">
        <v>23.96</v>
      </c>
      <c r="AB37" s="250">
        <v>0.91999999999999804</v>
      </c>
      <c r="AC37" s="250">
        <v>75.12</v>
      </c>
      <c r="AD37" s="251" t="s">
        <v>2651</v>
      </c>
      <c r="AE37" s="250">
        <v>1.2493839329719072</v>
      </c>
      <c r="AF37">
        <f>IF('WetLitterbags placem_collection'!AB38="","",'WetLitterbags placem_collection'!AB38)</f>
        <v>3.3</v>
      </c>
      <c r="AG37">
        <f>IF('WetLitterbags placem_collection'!Z38="","",'WetLitterbags placem_collection'!Z38)</f>
        <v>4.9000000000000004</v>
      </c>
      <c r="AH37" s="236" t="str">
        <f>IF('WetLitterbags placem_collection'!AA38="","",'WetLitterbags placem_collection'!AA38)</f>
        <v>G</v>
      </c>
      <c r="AI37">
        <f>IF('WetLitterbags placem_collection'!AC38="","",'WetLitterbags placem_collection'!AC38)</f>
        <v>1</v>
      </c>
      <c r="AJ37">
        <f>IFERROR(AVERAGE('Dry_Litterbag Placem_Collection'!O38,'Dry_Litterbag Placem_Collection'!R38),"")</f>
        <v>3</v>
      </c>
      <c r="AK37" s="261">
        <f>IFERROR(AVERAGE('Dry_Litterbag Placem_Collection'!N38,'Dry_Litterbag Placem_Collection'!Q38),"")</f>
        <v>25.85</v>
      </c>
      <c r="AL37" s="260">
        <f>INDEX([2]Coordinates!$B$2:$B$197,MATCH(I37,[2]Coordinates!$J$2:$J$197,0))</f>
        <v>-3.40917198</v>
      </c>
      <c r="AM37" s="260">
        <f>INDEX([2]Coordinates!$C$2:$C$197,MATCH(I37,[2]Coordinates!$J$2:$J$197,0))</f>
        <v>34.852960979999999</v>
      </c>
      <c r="AN37" s="260" t="str">
        <f>IF(ISNUMBER(SEARCH("C", 'Dry_Litterbag Placem_Collection'!S38)),"YES","NO")</f>
        <v>NO</v>
      </c>
      <c r="AO37" s="260" t="str">
        <f>IF(ISNUMBER(SEARCH("H", 'Dry_Litterbag Placem_Collection'!S38)),"YES","NO")</f>
        <v>NO</v>
      </c>
      <c r="AP37" s="260" t="str">
        <f>IF(ISNUMBER(SEARCH("R", 'Dry_Litterbag Placem_Collection'!S38)),"YES","NO")</f>
        <v>NO</v>
      </c>
    </row>
    <row r="38" spans="1:42">
      <c r="A38" t="s">
        <v>3248</v>
      </c>
      <c r="B38" s="252" t="s">
        <v>2643</v>
      </c>
      <c r="C38" s="253">
        <f>'Dry_Litterbag Placem_Collection'!A39</f>
        <v>37</v>
      </c>
      <c r="D38" s="253" t="str">
        <f>'Dry_Litterbag Placem_Collection'!B39</f>
        <v>Makao</v>
      </c>
      <c r="E38" s="253" t="s">
        <v>2643</v>
      </c>
      <c r="F38" s="253" t="s">
        <v>20</v>
      </c>
      <c r="G38" s="253">
        <v>1</v>
      </c>
      <c r="H38" s="253" t="s">
        <v>3106</v>
      </c>
      <c r="I38" s="254" t="str">
        <f>'Dry_Litterbag Placem_Collection'!C39</f>
        <v>Dry_P1_T5</v>
      </c>
      <c r="J38" s="255" t="s">
        <v>2525</v>
      </c>
      <c r="K38" s="256" t="s">
        <v>1147</v>
      </c>
      <c r="L38" s="253" t="str">
        <f>IF(ISBLANK('Dry_Litterbag Placem_Collection'!J39),"","G"&amp;""&amp;'Dry_Litterbag Placem_Collection'!J39)</f>
        <v>G66</v>
      </c>
      <c r="M38" s="257">
        <f>IFERROR(INDEX('Green_rooibos initial weight'!$C$5:$C$2000,MATCH(L38, 'Green_rooibos initial weight'!$A$5:$A$2000,0)),"")</f>
        <v>1.9490000000000001</v>
      </c>
      <c r="N38" s="257">
        <f>IFERROR(M38-(TBIcalc!$Q$9+TBIcalc!$Q$10),"")</f>
        <v>1.6992</v>
      </c>
      <c r="O38" s="378">
        <f>AVERAGE(Ashed_controlls!$K$2:$K$11)</f>
        <v>5.5147656768714146</v>
      </c>
      <c r="P38" s="257">
        <f t="shared" si="1"/>
        <v>1.6054931016186009</v>
      </c>
      <c r="Q38" s="257">
        <f>IFERROR(INDEX('Both teabags AfterDry'!$D$2:$D$2000,MATCH(L38,'Both teabags AfterDry'!$A$2:$A$2000,0)),"")</f>
        <v>3.3298000000000001</v>
      </c>
      <c r="R38" s="257">
        <f>IFERROR(IF(Q38&gt;0,Q38-(TBIcalc!$Q$9),""),"")</f>
        <v>3.1792000000000002</v>
      </c>
      <c r="S38" s="268">
        <f>IFERROR(INDEX('Ashed teabags dry'!$K$2:$K$2000,MATCH(L38,'Ashed teabags dry'!$A$2:$A$2000,0)),"")</f>
        <v>73.511543134872284</v>
      </c>
      <c r="T38" s="268">
        <f t="shared" si="2"/>
        <v>0.84212102065614047</v>
      </c>
      <c r="U38" s="258">
        <f>IF('Dry_Litterbag Placem_Collection'!E39="","",'Dry_Litterbag Placem_Collection'!E39)</f>
        <v>42938</v>
      </c>
      <c r="V38" s="258">
        <f>IF('Dry_Litterbag Placem_Collection'!G39="","",'Dry_Litterbag Placem_Collection'!G39)</f>
        <v>43005</v>
      </c>
      <c r="W38" s="259">
        <f t="shared" si="0"/>
        <v>67</v>
      </c>
      <c r="X38" s="257">
        <f t="shared" si="3"/>
        <v>-1.4800000000000002</v>
      </c>
      <c r="Y38" s="257">
        <f t="shared" si="4"/>
        <v>0.76337208096246045</v>
      </c>
      <c r="Z38" s="261">
        <f>IFERROR(INDEX([3]Rainfall_Dry!$O$2:$O$217,MATCH(C38, [3]Rainfall_Dry!$A$2:$A$217,0)),"")</f>
        <v>6.5250000359999998</v>
      </c>
      <c r="AA38" s="250">
        <v>23.96</v>
      </c>
      <c r="AB38" s="250">
        <v>0.91999999999999804</v>
      </c>
      <c r="AC38" s="250">
        <v>75.12</v>
      </c>
      <c r="AD38" s="251" t="s">
        <v>2651</v>
      </c>
      <c r="AE38" s="250">
        <v>1.2493839329719072</v>
      </c>
      <c r="AF38">
        <f>IF('WetLitterbags placem_collection'!AB39="","",'WetLitterbags placem_collection'!AB39)</f>
        <v>8.3000000000000007</v>
      </c>
      <c r="AG38">
        <f>IF('WetLitterbags placem_collection'!Z39="","",'WetLitterbags placem_collection'!Z39)</f>
        <v>27.8</v>
      </c>
      <c r="AH38" s="236" t="str">
        <f>IF('WetLitterbags placem_collection'!AA39="","",'WetLitterbags placem_collection'!AA39)</f>
        <v>G</v>
      </c>
      <c r="AI38">
        <f>IF('WetLitterbags placem_collection'!AC39="","",'WetLitterbags placem_collection'!AC39)</f>
        <v>0</v>
      </c>
      <c r="AJ38">
        <f>IFERROR(AVERAGE('Dry_Litterbag Placem_Collection'!O39,'Dry_Litterbag Placem_Collection'!R39),"")</f>
        <v>4.25</v>
      </c>
      <c r="AK38" s="261">
        <f>IFERROR(AVERAGE('Dry_Litterbag Placem_Collection'!N39,'Dry_Litterbag Placem_Collection'!Q39),"")</f>
        <v>26.1</v>
      </c>
      <c r="AL38" s="260">
        <f>INDEX([2]Coordinates!$B$2:$B$197,MATCH(I38,[2]Coordinates!$J$2:$J$197,0))</f>
        <v>-3.4090709779999999</v>
      </c>
      <c r="AM38" s="260">
        <f>INDEX([2]Coordinates!$C$2:$C$197,MATCH(I38,[2]Coordinates!$J$2:$J$197,0))</f>
        <v>34.852712029999999</v>
      </c>
      <c r="AN38" s="260" t="str">
        <f>IF(ISNUMBER(SEARCH("C", 'Dry_Litterbag Placem_Collection'!S39)),"YES","NO")</f>
        <v>YES</v>
      </c>
      <c r="AO38" s="260" t="str">
        <f>IF(ISNUMBER(SEARCH("H", 'Dry_Litterbag Placem_Collection'!S39)),"YES","NO")</f>
        <v>YES</v>
      </c>
      <c r="AP38" s="260" t="str">
        <f>IF(ISNUMBER(SEARCH("R", 'Dry_Litterbag Placem_Collection'!S39)),"YES","NO")</f>
        <v>NO</v>
      </c>
    </row>
    <row r="39" spans="1:42">
      <c r="A39" t="s">
        <v>3248</v>
      </c>
      <c r="B39" s="252" t="s">
        <v>2643</v>
      </c>
      <c r="C39" s="253">
        <f>'Dry_Litterbag Placem_Collection'!A40</f>
        <v>38</v>
      </c>
      <c r="D39" s="253" t="str">
        <f>'Dry_Litterbag Placem_Collection'!B40</f>
        <v>Makao</v>
      </c>
      <c r="E39" s="253" t="s">
        <v>2643</v>
      </c>
      <c r="F39" s="253" t="s">
        <v>20</v>
      </c>
      <c r="G39" s="253">
        <v>1</v>
      </c>
      <c r="H39" s="253" t="s">
        <v>3106</v>
      </c>
      <c r="I39" s="254" t="str">
        <f>'Dry_Litterbag Placem_Collection'!C40</f>
        <v>Dry_P1_T6</v>
      </c>
      <c r="J39" s="255" t="s">
        <v>2525</v>
      </c>
      <c r="K39" s="256" t="s">
        <v>1147</v>
      </c>
      <c r="L39" s="253" t="str">
        <f>IF(ISBLANK('Dry_Litterbag Placem_Collection'!J40),"","G"&amp;""&amp;'Dry_Litterbag Placem_Collection'!J40)</f>
        <v>G625</v>
      </c>
      <c r="M39" s="257">
        <f>IFERROR(INDEX('Green_rooibos initial weight'!$C$5:$C$2000,MATCH(L39, 'Green_rooibos initial weight'!$A$5:$A$2000,0)),"")</f>
        <v>1.9650000000000001</v>
      </c>
      <c r="N39" s="257">
        <f>IFERROR(M39-(TBIcalc!$Q$9+TBIcalc!$Q$10),"")</f>
        <v>1.7152000000000001</v>
      </c>
      <c r="O39" s="378">
        <f>AVERAGE(Ashed_controlls!$K$2:$K$11)</f>
        <v>5.5147656768714146</v>
      </c>
      <c r="P39" s="257">
        <f t="shared" si="1"/>
        <v>1.6206107391103015</v>
      </c>
      <c r="Q39" s="257">
        <f>IFERROR(INDEX('Both teabags AfterDry'!$D$2:$D$2000,MATCH(L39,'Both teabags AfterDry'!$A$2:$A$2000,0)),"")</f>
        <v>1.8379000000000001</v>
      </c>
      <c r="R39" s="257">
        <f>IFERROR(IF(Q39&gt;0,Q39-(TBIcalc!$Q$9),""),"")</f>
        <v>1.6873</v>
      </c>
      <c r="S39" s="268">
        <f>IFERROR(INDEX('Ashed teabags dry'!$K$2:$K$2000,MATCH(L39,'Ashed teabags dry'!$A$2:$A$2000,0)),"")</f>
        <v>9.99592003263969</v>
      </c>
      <c r="T39" s="268">
        <f t="shared" si="2"/>
        <v>1.5186388412892706</v>
      </c>
      <c r="U39" s="258">
        <f>IF('Dry_Litterbag Placem_Collection'!E40="","",'Dry_Litterbag Placem_Collection'!E40)</f>
        <v>42938</v>
      </c>
      <c r="V39" s="258">
        <f>IF('Dry_Litterbag Placem_Collection'!G40="","",'Dry_Litterbag Placem_Collection'!G40)</f>
        <v>43005</v>
      </c>
      <c r="W39" s="259">
        <f t="shared" si="0"/>
        <v>67</v>
      </c>
      <c r="X39" s="257">
        <f t="shared" si="3"/>
        <v>2.7900000000000036E-2</v>
      </c>
      <c r="Y39" s="257">
        <f t="shared" si="4"/>
        <v>0.10197189782103089</v>
      </c>
      <c r="Z39" s="261">
        <f>IFERROR(INDEX([3]Rainfall_Dry!$O$2:$O$217,MATCH(C39, [3]Rainfall_Dry!$A$2:$A$217,0)),"")</f>
        <v>6.5250000359999998</v>
      </c>
      <c r="AA39" s="250">
        <v>23.96</v>
      </c>
      <c r="AB39" s="250">
        <v>0.91999999999999804</v>
      </c>
      <c r="AC39" s="250">
        <v>75.12</v>
      </c>
      <c r="AD39" s="251" t="s">
        <v>2651</v>
      </c>
      <c r="AE39" s="250">
        <v>1.2493839329719072</v>
      </c>
      <c r="AF39">
        <f>IF('WetLitterbags placem_collection'!AB40="","",'WetLitterbags placem_collection'!AB40)</f>
        <v>2</v>
      </c>
      <c r="AG39">
        <f>IF('WetLitterbags placem_collection'!Z40="","",'WetLitterbags placem_collection'!Z40)</f>
        <v>20.399999999999999</v>
      </c>
      <c r="AH39" s="236" t="str">
        <f>IF('WetLitterbags placem_collection'!AA40="","",'WetLitterbags placem_collection'!AA40)</f>
        <v>O</v>
      </c>
      <c r="AI39">
        <f>IF('WetLitterbags placem_collection'!AC40="","",'WetLitterbags placem_collection'!AC40)</f>
        <v>0</v>
      </c>
      <c r="AJ39">
        <f>IFERROR(AVERAGE('Dry_Litterbag Placem_Collection'!O40,'Dry_Litterbag Placem_Collection'!R40),"")</f>
        <v>2.85</v>
      </c>
      <c r="AK39" s="261">
        <f>IFERROR(AVERAGE('Dry_Litterbag Placem_Collection'!N40,'Dry_Litterbag Placem_Collection'!Q40),"")</f>
        <v>26.7</v>
      </c>
      <c r="AL39" s="260">
        <f>INDEX([2]Coordinates!$B$2:$B$197,MATCH(I39,[2]Coordinates!$J$2:$J$197,0))</f>
        <v>-3.409280023</v>
      </c>
      <c r="AM39" s="260">
        <f>INDEX([2]Coordinates!$C$2:$C$197,MATCH(I39,[2]Coordinates!$J$2:$J$197,0))</f>
        <v>34.852612960000002</v>
      </c>
      <c r="AN39" s="260" t="str">
        <f>IF(ISNUMBER(SEARCH("C", 'Dry_Litterbag Placem_Collection'!S40)),"YES","NO")</f>
        <v>YES</v>
      </c>
      <c r="AO39" s="260" t="str">
        <f>IF(ISNUMBER(SEARCH("H", 'Dry_Litterbag Placem_Collection'!S40)),"YES","NO")</f>
        <v>YES</v>
      </c>
      <c r="AP39" s="260" t="str">
        <f>IF(ISNUMBER(SEARCH("R", 'Dry_Litterbag Placem_Collection'!S40)),"YES","NO")</f>
        <v>NO</v>
      </c>
    </row>
    <row r="40" spans="1:42">
      <c r="A40" t="s">
        <v>3248</v>
      </c>
      <c r="B40" s="252" t="s">
        <v>2643</v>
      </c>
      <c r="C40" s="253">
        <f>'Dry_Litterbag Placem_Collection'!A41</f>
        <v>39</v>
      </c>
      <c r="D40" s="253" t="str">
        <f>'Dry_Litterbag Placem_Collection'!B41</f>
        <v>Makao</v>
      </c>
      <c r="E40" s="253" t="s">
        <v>2643</v>
      </c>
      <c r="F40" s="253" t="s">
        <v>20</v>
      </c>
      <c r="G40" s="253">
        <v>1</v>
      </c>
      <c r="H40" s="253" t="s">
        <v>3106</v>
      </c>
      <c r="I40" s="254" t="str">
        <f>'Dry_Litterbag Placem_Collection'!C41</f>
        <v>Dry_P1_T7</v>
      </c>
      <c r="J40" s="255" t="s">
        <v>2525</v>
      </c>
      <c r="K40" s="256" t="s">
        <v>1147</v>
      </c>
      <c r="L40" s="253" t="str">
        <f>IF(ISBLANK('Dry_Litterbag Placem_Collection'!J41),"","G"&amp;""&amp;'Dry_Litterbag Placem_Collection'!J41)</f>
        <v/>
      </c>
      <c r="M40" s="257" t="str">
        <f>IFERROR(INDEX('Green_rooibos initial weight'!$C$5:$C$2000,MATCH(L40, 'Green_rooibos initial weight'!$A$5:$A$2000,0)),"")</f>
        <v/>
      </c>
      <c r="N40" s="257" t="str">
        <f>IFERROR(M40-(TBIcalc!$Q$9+TBIcalc!$Q$10),"")</f>
        <v/>
      </c>
      <c r="O40" s="378">
        <f>AVERAGE(Ashed_controlls!$K$2:$K$11)</f>
        <v>5.5147656768714146</v>
      </c>
      <c r="P40" s="257" t="str">
        <f t="shared" si="1"/>
        <v/>
      </c>
      <c r="Q40" s="257" t="str">
        <f>IFERROR(INDEX('Both teabags AfterDry'!$D$2:$D$2000,MATCH(L40,'Both teabags AfterDry'!$A$2:$A$2000,0)),"")</f>
        <v/>
      </c>
      <c r="R40" s="257" t="str">
        <f>IFERROR(IF(Q40&gt;0,Q40-(TBIcalc!$Q$9),""),"")</f>
        <v/>
      </c>
      <c r="S40" s="268" t="str">
        <f>IFERROR(INDEX('Ashed teabags dry'!$K$2:$K$2000,MATCH(L40,'Ashed teabags dry'!$A$2:$A$2000,0)),"")</f>
        <v/>
      </c>
      <c r="T40" s="268" t="str">
        <f t="shared" si="2"/>
        <v/>
      </c>
      <c r="U40" s="258">
        <f>IF('Dry_Litterbag Placem_Collection'!E41="","",'Dry_Litterbag Placem_Collection'!E41)</f>
        <v>42938</v>
      </c>
      <c r="V40" s="258" t="str">
        <f>IF('Dry_Litterbag Placem_Collection'!G41="","",'Dry_Litterbag Placem_Collection'!G41)</f>
        <v/>
      </c>
      <c r="W40" s="259" t="str">
        <f t="shared" si="0"/>
        <v/>
      </c>
      <c r="X40" s="257" t="str">
        <f t="shared" si="3"/>
        <v/>
      </c>
      <c r="Y40" s="257" t="str">
        <f t="shared" si="4"/>
        <v/>
      </c>
      <c r="Z40" s="261" t="str">
        <f>IFERROR(INDEX([3]Rainfall_Dry!$O$2:$O$217,MATCH(C40, [3]Rainfall_Dry!$A$2:$A$217,0)),"")</f>
        <v/>
      </c>
      <c r="AA40" s="250">
        <v>23.96</v>
      </c>
      <c r="AB40" s="250">
        <v>0.91999999999999804</v>
      </c>
      <c r="AC40" s="250">
        <v>75.12</v>
      </c>
      <c r="AD40" s="251" t="s">
        <v>2651</v>
      </c>
      <c r="AE40" s="250">
        <v>1.2493839329719072</v>
      </c>
      <c r="AF40">
        <f>IF('WetLitterbags placem_collection'!AB41="","",'WetLitterbags placem_collection'!AB41)</f>
        <v>2.4</v>
      </c>
      <c r="AG40">
        <f>IF('WetLitterbags placem_collection'!Z41="","",'WetLitterbags placem_collection'!Z41)</f>
        <v>18</v>
      </c>
      <c r="AH40" s="236" t="str">
        <f>IF('WetLitterbags placem_collection'!AA41="","",'WetLitterbags placem_collection'!AA41)</f>
        <v>G</v>
      </c>
      <c r="AI40">
        <f>IF('WetLitterbags placem_collection'!AC41="","",'WetLitterbags placem_collection'!AC41)</f>
        <v>1</v>
      </c>
      <c r="AJ40" t="str">
        <f>IFERROR(AVERAGE('Dry_Litterbag Placem_Collection'!O41,'Dry_Litterbag Placem_Collection'!R41),"")</f>
        <v/>
      </c>
      <c r="AK40" s="261" t="str">
        <f>IFERROR(AVERAGE('Dry_Litterbag Placem_Collection'!N41,'Dry_Litterbag Placem_Collection'!Q41),"")</f>
        <v/>
      </c>
      <c r="AL40" s="260">
        <f>INDEX([2]Coordinates!$B$2:$B$197,MATCH(I40,[2]Coordinates!$J$2:$J$197,0))</f>
        <v>-3.4093859700000002</v>
      </c>
      <c r="AM40" s="260">
        <f>INDEX([2]Coordinates!$C$2:$C$197,MATCH(I40,[2]Coordinates!$J$2:$J$197,0))</f>
        <v>34.852855030000001</v>
      </c>
      <c r="AN40" s="260" t="str">
        <f>IF(ISNUMBER(SEARCH("C", 'Dry_Litterbag Placem_Collection'!S41)),"YES","NO")</f>
        <v>NO</v>
      </c>
      <c r="AO40" s="260" t="str">
        <f>IF(ISNUMBER(SEARCH("H", 'Dry_Litterbag Placem_Collection'!S41)),"YES","NO")</f>
        <v>NO</v>
      </c>
      <c r="AP40" s="260" t="str">
        <f>IF(ISNUMBER(SEARCH("R", 'Dry_Litterbag Placem_Collection'!S41)),"YES","NO")</f>
        <v>NO</v>
      </c>
    </row>
    <row r="41" spans="1:42">
      <c r="A41" t="s">
        <v>3248</v>
      </c>
      <c r="B41" s="252" t="s">
        <v>2643</v>
      </c>
      <c r="C41" s="253">
        <f>'Dry_Litterbag Placem_Collection'!A42</f>
        <v>40</v>
      </c>
      <c r="D41" s="253" t="str">
        <f>'Dry_Litterbag Placem_Collection'!B42</f>
        <v>Makao</v>
      </c>
      <c r="E41" s="253" t="s">
        <v>2643</v>
      </c>
      <c r="F41" s="253" t="s">
        <v>20</v>
      </c>
      <c r="G41" s="253">
        <v>1</v>
      </c>
      <c r="H41" s="253" t="s">
        <v>3106</v>
      </c>
      <c r="I41" s="254" t="str">
        <f>'Dry_Litterbag Placem_Collection'!C42</f>
        <v>Dry_P1_T8</v>
      </c>
      <c r="J41" s="255" t="s">
        <v>2525</v>
      </c>
      <c r="K41" s="256" t="s">
        <v>1147</v>
      </c>
      <c r="L41" s="253" t="str">
        <f>IF(ISBLANK('Dry_Litterbag Placem_Collection'!J42),"","G"&amp;""&amp;'Dry_Litterbag Placem_Collection'!J42)</f>
        <v>G88</v>
      </c>
      <c r="M41" s="257">
        <f>IFERROR(INDEX('Green_rooibos initial weight'!$C$5:$C$2000,MATCH(L41, 'Green_rooibos initial weight'!$A$5:$A$2000,0)),"")</f>
        <v>2.1549999999999998</v>
      </c>
      <c r="N41" s="257">
        <f>IFERROR(M41-(TBIcalc!$Q$9+TBIcalc!$Q$10),"")</f>
        <v>1.9051999999999998</v>
      </c>
      <c r="O41" s="378">
        <f>AVERAGE(Ashed_controlls!$K$2:$K$11)</f>
        <v>5.5147656768714146</v>
      </c>
      <c r="P41" s="257">
        <f t="shared" si="1"/>
        <v>1.8001326843242456</v>
      </c>
      <c r="Q41" s="257">
        <f>IFERROR(INDEX('Both teabags AfterDry'!$D$2:$D$2000,MATCH(L41,'Both teabags AfterDry'!$A$2:$A$2000,0)),"")</f>
        <v>1.9495</v>
      </c>
      <c r="R41" s="257">
        <f>IFERROR(IF(Q41&gt;0,Q41-(TBIcalc!$Q$9),""),"")</f>
        <v>1.7988999999999999</v>
      </c>
      <c r="S41" s="268">
        <f>IFERROR(INDEX('Ashed teabags dry'!$K$2:$K$2000,MATCH(L41,'Ashed teabags dry'!$A$2:$A$2000,0)),"")</f>
        <v>6.6945606694563358</v>
      </c>
      <c r="T41" s="268">
        <f t="shared" si="2"/>
        <v>1.6784715481171499</v>
      </c>
      <c r="U41" s="258">
        <f>IF('Dry_Litterbag Placem_Collection'!E42="","",'Dry_Litterbag Placem_Collection'!E42)</f>
        <v>42938</v>
      </c>
      <c r="V41" s="258">
        <f>IF('Dry_Litterbag Placem_Collection'!G42="","",'Dry_Litterbag Placem_Collection'!G42)</f>
        <v>43005</v>
      </c>
      <c r="W41" s="259">
        <f t="shared" si="0"/>
        <v>67</v>
      </c>
      <c r="X41" s="257">
        <f t="shared" si="3"/>
        <v>0.10629999999999984</v>
      </c>
      <c r="Y41" s="257">
        <f t="shared" si="4"/>
        <v>0.12166113620709562</v>
      </c>
      <c r="Z41" s="261">
        <f>IFERROR(INDEX([3]Rainfall_Dry!$O$2:$O$217,MATCH(C41, [3]Rainfall_Dry!$A$2:$A$217,0)),"")</f>
        <v>6.5250000359999998</v>
      </c>
      <c r="AA41" s="250">
        <v>23.96</v>
      </c>
      <c r="AB41" s="250">
        <v>0.91999999999999804</v>
      </c>
      <c r="AC41" s="250">
        <v>75.12</v>
      </c>
      <c r="AD41" s="251" t="s">
        <v>2651</v>
      </c>
      <c r="AE41" s="250">
        <v>1.2493839329719072</v>
      </c>
      <c r="AF41">
        <f>IF('WetLitterbags placem_collection'!AB42="","",'WetLitterbags placem_collection'!AB42)</f>
        <v>8.6999999999999993</v>
      </c>
      <c r="AG41">
        <f>IF('WetLitterbags placem_collection'!Z42="","",'WetLitterbags placem_collection'!Z42)</f>
        <v>19.3</v>
      </c>
      <c r="AH41" s="236" t="str">
        <f>IF('WetLitterbags placem_collection'!AA42="","",'WetLitterbags placem_collection'!AA42)</f>
        <v>G</v>
      </c>
      <c r="AI41">
        <f>IF('WetLitterbags placem_collection'!AC42="","",'WetLitterbags placem_collection'!AC42)</f>
        <v>0</v>
      </c>
      <c r="AJ41">
        <f>IFERROR(AVERAGE('Dry_Litterbag Placem_Collection'!O42,'Dry_Litterbag Placem_Collection'!R42),"")</f>
        <v>4.5999999999999996</v>
      </c>
      <c r="AK41" s="261">
        <f>IFERROR(AVERAGE('Dry_Litterbag Placem_Collection'!N42,'Dry_Litterbag Placem_Collection'!Q42),"")</f>
        <v>26.2</v>
      </c>
      <c r="AL41" s="260">
        <f>INDEX([2]Coordinates!$B$2:$B$197,MATCH(I41,[2]Coordinates!$J$2:$J$197,0))</f>
        <v>-3.4091539590000002</v>
      </c>
      <c r="AM41" s="260">
        <f>INDEX([2]Coordinates!$C$2:$C$197,MATCH(I41,[2]Coordinates!$J$2:$J$197,0))</f>
        <v>34.852755029999997</v>
      </c>
      <c r="AN41" s="260" t="str">
        <f>IF(ISNUMBER(SEARCH("C", 'Dry_Litterbag Placem_Collection'!S42)),"YES","NO")</f>
        <v>YES</v>
      </c>
      <c r="AO41" s="260" t="str">
        <f>IF(ISNUMBER(SEARCH("H", 'Dry_Litterbag Placem_Collection'!S42)),"YES","NO")</f>
        <v>YES</v>
      </c>
      <c r="AP41" s="260" t="str">
        <f>IF(ISNUMBER(SEARCH("R", 'Dry_Litterbag Placem_Collection'!S42)),"YES","NO")</f>
        <v>NO</v>
      </c>
    </row>
    <row r="42" spans="1:42">
      <c r="A42" t="s">
        <v>3248</v>
      </c>
      <c r="B42" s="252" t="s">
        <v>2643</v>
      </c>
      <c r="C42" s="253">
        <f>'Dry_Litterbag Placem_Collection'!A43</f>
        <v>41</v>
      </c>
      <c r="D42" s="253" t="str">
        <f>'Dry_Litterbag Placem_Collection'!B43</f>
        <v>Makao</v>
      </c>
      <c r="E42" s="253" t="s">
        <v>2643</v>
      </c>
      <c r="F42" s="253" t="s">
        <v>20</v>
      </c>
      <c r="G42" s="253">
        <v>2</v>
      </c>
      <c r="H42" s="253" t="s">
        <v>3108</v>
      </c>
      <c r="I42" s="254" t="str">
        <f>'Dry_Litterbag Placem_Collection'!C43</f>
        <v>Dry_P2_T1</v>
      </c>
      <c r="J42" s="255" t="s">
        <v>2525</v>
      </c>
      <c r="K42" s="256" t="s">
        <v>1147</v>
      </c>
      <c r="L42" s="253" t="str">
        <f>IF(ISBLANK('Dry_Litterbag Placem_Collection'!J43),"","G"&amp;""&amp;'Dry_Litterbag Placem_Collection'!J43)</f>
        <v>G256</v>
      </c>
      <c r="M42" s="257">
        <f>IFERROR(INDEX('Green_rooibos initial weight'!$C$5:$C$2000,MATCH(L42, 'Green_rooibos initial weight'!$A$5:$A$2000,0)),"")</f>
        <v>2.11</v>
      </c>
      <c r="N42" s="257">
        <f>IFERROR(M42-(TBIcalc!$Q$9+TBIcalc!$Q$10),"")</f>
        <v>1.8601999999999999</v>
      </c>
      <c r="O42" s="378">
        <f>AVERAGE(Ashed_controlls!$K$2:$K$11)</f>
        <v>5.5147656768714146</v>
      </c>
      <c r="P42" s="257">
        <f t="shared" si="1"/>
        <v>1.7576143288788377</v>
      </c>
      <c r="Q42" s="257">
        <f>IFERROR(INDEX('Both teabags AfterDry'!$D$2:$D$2000,MATCH(L42,'Both teabags AfterDry'!$A$2:$A$2000,0)),"")</f>
        <v>1.6208</v>
      </c>
      <c r="R42" s="257">
        <f>IFERROR(IF(Q42&gt;0,Q42-(TBIcalc!$Q$9),""),"")</f>
        <v>1.4702</v>
      </c>
      <c r="S42" s="268">
        <f>IFERROR(INDEX('Ashed teabags dry'!$K$2:$K$2000,MATCH(L42,'Ashed teabags dry'!$A$2:$A$2000,0)),"")</f>
        <v>6.3627730294394693</v>
      </c>
      <c r="T42" s="268">
        <f t="shared" si="2"/>
        <v>1.376654510921181</v>
      </c>
      <c r="U42" s="258">
        <f>IF('Dry_Litterbag Placem_Collection'!E43="","",'Dry_Litterbag Placem_Collection'!E43)</f>
        <v>42938</v>
      </c>
      <c r="V42" s="258">
        <f>IF('Dry_Litterbag Placem_Collection'!G43="","",'Dry_Litterbag Placem_Collection'!G43)</f>
        <v>43005</v>
      </c>
      <c r="W42" s="259">
        <f t="shared" si="0"/>
        <v>67</v>
      </c>
      <c r="X42" s="257">
        <f t="shared" si="3"/>
        <v>0.3899999999999999</v>
      </c>
      <c r="Y42" s="257">
        <f t="shared" si="4"/>
        <v>0.38095981795765677</v>
      </c>
      <c r="Z42" s="261">
        <f>IFERROR(INDEX([3]Rainfall_Dry!$O$2:$O$217,MATCH(C42, [3]Rainfall_Dry!$A$2:$A$217,0)),"")</f>
        <v>6.5250000359999998</v>
      </c>
      <c r="AA42" s="250">
        <v>19.96</v>
      </c>
      <c r="AB42" s="250">
        <v>4.9199999999999982</v>
      </c>
      <c r="AC42" s="250">
        <v>75.12</v>
      </c>
      <c r="AD42" s="251" t="s">
        <v>2652</v>
      </c>
      <c r="AE42" s="250">
        <v>1.641498275012321</v>
      </c>
      <c r="AF42">
        <f>IF('WetLitterbags placem_collection'!AB43="","",'WetLitterbags placem_collection'!AB43)</f>
        <v>4</v>
      </c>
      <c r="AG42">
        <f>IF('WetLitterbags placem_collection'!Z43="","",'WetLitterbags placem_collection'!Z43)</f>
        <v>19.100000000000001</v>
      </c>
      <c r="AH42" s="236" t="str">
        <f>IF('WetLitterbags placem_collection'!AA43="","",'WetLitterbags placem_collection'!AA43)</f>
        <v>G</v>
      </c>
      <c r="AI42">
        <f>IF('WetLitterbags placem_collection'!AC43="","",'WetLitterbags placem_collection'!AC43)</f>
        <v>0</v>
      </c>
      <c r="AJ42">
        <f>IFERROR(AVERAGE('Dry_Litterbag Placem_Collection'!O43,'Dry_Litterbag Placem_Collection'!R43),"")</f>
        <v>4.6500000000000004</v>
      </c>
      <c r="AK42" s="261">
        <f>IFERROR(AVERAGE('Dry_Litterbag Placem_Collection'!N43,'Dry_Litterbag Placem_Collection'!Q43),"")</f>
        <v>27.85</v>
      </c>
      <c r="AL42" s="260">
        <f>INDEX([2]Coordinates!$B$2:$B$197,MATCH(I42,[2]Coordinates!$J$2:$J$197,0))</f>
        <v>-3.4083420040000001</v>
      </c>
      <c r="AM42" s="260">
        <f>INDEX([2]Coordinates!$C$2:$C$197,MATCH(I42,[2]Coordinates!$J$2:$J$197,0))</f>
        <v>34.850283040000001</v>
      </c>
      <c r="AN42" s="260" t="str">
        <f>IF(ISNUMBER(SEARCH("C", 'Dry_Litterbag Placem_Collection'!S43)),"YES","NO")</f>
        <v>NO</v>
      </c>
      <c r="AO42" s="260" t="str">
        <f>IF(ISNUMBER(SEARCH("H", 'Dry_Litterbag Placem_Collection'!S43)),"YES","NO")</f>
        <v>YES</v>
      </c>
      <c r="AP42" s="260" t="str">
        <f>IF(ISNUMBER(SEARCH("R", 'Dry_Litterbag Placem_Collection'!S43)),"YES","NO")</f>
        <v>NO</v>
      </c>
    </row>
    <row r="43" spans="1:42">
      <c r="A43" t="s">
        <v>3248</v>
      </c>
      <c r="B43" s="252" t="s">
        <v>2643</v>
      </c>
      <c r="C43" s="253">
        <f>'Dry_Litterbag Placem_Collection'!A44</f>
        <v>42</v>
      </c>
      <c r="D43" s="253" t="str">
        <f>'Dry_Litterbag Placem_Collection'!B44</f>
        <v>Makao</v>
      </c>
      <c r="E43" s="253" t="s">
        <v>2643</v>
      </c>
      <c r="F43" s="253" t="s">
        <v>20</v>
      </c>
      <c r="G43" s="253">
        <v>2</v>
      </c>
      <c r="H43" s="253" t="s">
        <v>3108</v>
      </c>
      <c r="I43" s="254" t="str">
        <f>'Dry_Litterbag Placem_Collection'!C44</f>
        <v>Dry_P2_T2</v>
      </c>
      <c r="J43" s="255" t="s">
        <v>2525</v>
      </c>
      <c r="K43" s="256" t="s">
        <v>1147</v>
      </c>
      <c r="L43" s="253" t="str">
        <f>IF(ISBLANK('Dry_Litterbag Placem_Collection'!J44),"","G"&amp;""&amp;'Dry_Litterbag Placem_Collection'!J44)</f>
        <v>G341</v>
      </c>
      <c r="M43" s="257">
        <f>IFERROR(INDEX('Green_rooibos initial weight'!$C$5:$C$2000,MATCH(L43, 'Green_rooibos initial weight'!$A$5:$A$2000,0)),"")</f>
        <v>1.954</v>
      </c>
      <c r="N43" s="257">
        <f>IFERROR(M43-(TBIcalc!$Q$9+TBIcalc!$Q$10),"")</f>
        <v>1.7041999999999999</v>
      </c>
      <c r="O43" s="378">
        <f>AVERAGE(Ashed_controlls!$K$2:$K$11)</f>
        <v>5.5147656768714146</v>
      </c>
      <c r="P43" s="257">
        <f t="shared" si="1"/>
        <v>1.6102173633347574</v>
      </c>
      <c r="Q43" s="257">
        <f>IFERROR(INDEX('Both teabags AfterDry'!$D$2:$D$2000,MATCH(L43,'Both teabags AfterDry'!$A$2:$A$2000,0)),"")</f>
        <v>1.7267999999999999</v>
      </c>
      <c r="R43" s="257">
        <f>IFERROR(IF(Q43&gt;0,Q43-(TBIcalc!$Q$9),""),"")</f>
        <v>1.5761999999999998</v>
      </c>
      <c r="S43" s="268">
        <f>IFERROR(INDEX('Ashed teabags dry'!$K$2:$K$2000,MATCH(L43,'Ashed teabags dry'!$A$2:$A$2000,0)),"")</f>
        <v>7.1704594246447426</v>
      </c>
      <c r="T43" s="268">
        <f t="shared" si="2"/>
        <v>1.4631792185487493</v>
      </c>
      <c r="U43" s="258">
        <f>IF('Dry_Litterbag Placem_Collection'!E44="","",'Dry_Litterbag Placem_Collection'!E44)</f>
        <v>42938</v>
      </c>
      <c r="V43" s="258">
        <f>IF('Dry_Litterbag Placem_Collection'!G44="","",'Dry_Litterbag Placem_Collection'!G44)</f>
        <v>43005</v>
      </c>
      <c r="W43" s="259">
        <f t="shared" si="0"/>
        <v>67</v>
      </c>
      <c r="X43" s="257">
        <f t="shared" si="3"/>
        <v>0.12800000000000011</v>
      </c>
      <c r="Y43" s="257">
        <f t="shared" si="4"/>
        <v>0.14703814478600807</v>
      </c>
      <c r="Z43" s="261">
        <f>IFERROR(INDEX([3]Rainfall_Dry!$O$2:$O$217,MATCH(C43, [3]Rainfall_Dry!$A$2:$A$217,0)),"")</f>
        <v>6.5250000359999998</v>
      </c>
      <c r="AA43" s="250">
        <v>19.96</v>
      </c>
      <c r="AB43" s="250">
        <v>4.9199999999999982</v>
      </c>
      <c r="AC43" s="250">
        <v>75.12</v>
      </c>
      <c r="AD43" s="251" t="s">
        <v>2652</v>
      </c>
      <c r="AE43" s="250">
        <v>1.641498275012321</v>
      </c>
      <c r="AF43">
        <f>IF('WetLitterbags placem_collection'!AB44="","",'WetLitterbags placem_collection'!AB44)</f>
        <v>5.9</v>
      </c>
      <c r="AG43">
        <f>IF('WetLitterbags placem_collection'!Z44="","",'WetLitterbags placem_collection'!Z44)</f>
        <v>12.7</v>
      </c>
      <c r="AH43" s="236" t="str">
        <f>IF('WetLitterbags placem_collection'!AA44="","",'WetLitterbags placem_collection'!AA44)</f>
        <v>G</v>
      </c>
      <c r="AI43">
        <f>IF('WetLitterbags placem_collection'!AC44="","",'WetLitterbags placem_collection'!AC44)</f>
        <v>0</v>
      </c>
      <c r="AJ43">
        <f>IFERROR(AVERAGE('Dry_Litterbag Placem_Collection'!O44,'Dry_Litterbag Placem_Collection'!R44),"")</f>
        <v>5.1999999999999993</v>
      </c>
      <c r="AK43" s="261">
        <f>IFERROR(AVERAGE('Dry_Litterbag Placem_Collection'!N44,'Dry_Litterbag Placem_Collection'!Q44),"")</f>
        <v>27.15</v>
      </c>
      <c r="AL43" s="260">
        <f>INDEX([2]Coordinates!$B$2:$B$197,MATCH(I43,[2]Coordinates!$J$2:$J$197,0))</f>
        <v>-3.4084079690000002</v>
      </c>
      <c r="AM43" s="260">
        <f>INDEX([2]Coordinates!$C$2:$C$197,MATCH(I43,[2]Coordinates!$J$2:$J$197,0))</f>
        <v>34.850295029999998</v>
      </c>
      <c r="AN43" s="260" t="str">
        <f>IF(ISNUMBER(SEARCH("C", 'Dry_Litterbag Placem_Collection'!S44)),"YES","NO")</f>
        <v>YES</v>
      </c>
      <c r="AO43" s="260" t="str">
        <f>IF(ISNUMBER(SEARCH("H", 'Dry_Litterbag Placem_Collection'!S44)),"YES","NO")</f>
        <v>YES</v>
      </c>
      <c r="AP43" s="260" t="str">
        <f>IF(ISNUMBER(SEARCH("R", 'Dry_Litterbag Placem_Collection'!S44)),"YES","NO")</f>
        <v>NO</v>
      </c>
    </row>
    <row r="44" spans="1:42">
      <c r="A44" t="s">
        <v>3248</v>
      </c>
      <c r="B44" s="252" t="s">
        <v>2643</v>
      </c>
      <c r="C44" s="253">
        <f>'Dry_Litterbag Placem_Collection'!A45</f>
        <v>43</v>
      </c>
      <c r="D44" s="253" t="str">
        <f>'Dry_Litterbag Placem_Collection'!B45</f>
        <v>Makao</v>
      </c>
      <c r="E44" s="253" t="s">
        <v>2643</v>
      </c>
      <c r="F44" s="253" t="s">
        <v>20</v>
      </c>
      <c r="G44" s="253">
        <v>2</v>
      </c>
      <c r="H44" s="253" t="s">
        <v>3108</v>
      </c>
      <c r="I44" s="254" t="str">
        <f>'Dry_Litterbag Placem_Collection'!C45</f>
        <v>Dry_P2_T3</v>
      </c>
      <c r="J44" s="255" t="s">
        <v>2525</v>
      </c>
      <c r="K44" s="256" t="s">
        <v>1147</v>
      </c>
      <c r="L44" s="253" t="str">
        <f>IF(ISBLANK('Dry_Litterbag Placem_Collection'!J45),"","G"&amp;""&amp;'Dry_Litterbag Placem_Collection'!J45)</f>
        <v>G246</v>
      </c>
      <c r="M44" s="257">
        <f>IFERROR(INDEX('Green_rooibos initial weight'!$C$5:$C$2000,MATCH(L44, 'Green_rooibos initial weight'!$A$5:$A$2000,0)),"")</f>
        <v>2.1829999999999998</v>
      </c>
      <c r="N44" s="257">
        <f>IFERROR(M44-(TBIcalc!$Q$9+TBIcalc!$Q$10),"")</f>
        <v>1.9331999999999998</v>
      </c>
      <c r="O44" s="378">
        <f>AVERAGE(Ashed_controlls!$K$2:$K$11)</f>
        <v>5.5147656768714146</v>
      </c>
      <c r="P44" s="257">
        <f t="shared" si="1"/>
        <v>1.8265885499347216</v>
      </c>
      <c r="Q44" s="257">
        <f>IFERROR(INDEX('Both teabags AfterDry'!$D$2:$D$2000,MATCH(L44,'Both teabags AfterDry'!$A$2:$A$2000,0)),"")</f>
        <v>1.9577</v>
      </c>
      <c r="R44" s="257">
        <f>IFERROR(IF(Q44&gt;0,Q44-(TBIcalc!$Q$9),""),"")</f>
        <v>1.8070999999999999</v>
      </c>
      <c r="S44" s="268">
        <f>IFERROR(INDEX('Ashed teabags dry'!$K$2:$K$2000,MATCH(L44,'Ashed teabags dry'!$A$2:$A$2000,0)),"")</f>
        <v>8.1468218442253786</v>
      </c>
      <c r="T44" s="268">
        <f t="shared" si="2"/>
        <v>1.6598787824530032</v>
      </c>
      <c r="U44" s="258">
        <f>IF('Dry_Litterbag Placem_Collection'!E45="","",'Dry_Litterbag Placem_Collection'!E45)</f>
        <v>42938</v>
      </c>
      <c r="V44" s="258">
        <f>IF('Dry_Litterbag Placem_Collection'!G45="","",'Dry_Litterbag Placem_Collection'!G45)</f>
        <v>43005</v>
      </c>
      <c r="W44" s="259">
        <f t="shared" si="0"/>
        <v>67</v>
      </c>
      <c r="X44" s="257">
        <f t="shared" si="3"/>
        <v>0.12609999999999988</v>
      </c>
      <c r="Y44" s="257">
        <f t="shared" si="4"/>
        <v>0.1667097674817184</v>
      </c>
      <c r="Z44" s="261">
        <f>IFERROR(INDEX([3]Rainfall_Dry!$O$2:$O$217,MATCH(C44, [3]Rainfall_Dry!$A$2:$A$217,0)),"")</f>
        <v>6.5250000359999998</v>
      </c>
      <c r="AA44" s="250">
        <v>19.96</v>
      </c>
      <c r="AB44" s="250">
        <v>4.9199999999999982</v>
      </c>
      <c r="AC44" s="250">
        <v>75.12</v>
      </c>
      <c r="AD44" s="251" t="s">
        <v>2652</v>
      </c>
      <c r="AE44" s="250">
        <v>1.641498275012321</v>
      </c>
      <c r="AF44">
        <f>IF('WetLitterbags placem_collection'!AB45="","",'WetLitterbags placem_collection'!AB45)</f>
        <v>5</v>
      </c>
      <c r="AG44">
        <f>IF('WetLitterbags placem_collection'!Z45="","",'WetLitterbags placem_collection'!Z45)</f>
        <v>26.3</v>
      </c>
      <c r="AH44" s="236" t="str">
        <f>IF('WetLitterbags placem_collection'!AA45="","",'WetLitterbags placem_collection'!AA45)</f>
        <v>G</v>
      </c>
      <c r="AI44">
        <f>IF('WetLitterbags placem_collection'!AC45="","",'WetLitterbags placem_collection'!AC45)</f>
        <v>0</v>
      </c>
      <c r="AJ44">
        <f>IFERROR(AVERAGE('Dry_Litterbag Placem_Collection'!O45,'Dry_Litterbag Placem_Collection'!R45),"")</f>
        <v>2.4500000000000002</v>
      </c>
      <c r="AK44" s="261">
        <f>IFERROR(AVERAGE('Dry_Litterbag Placem_Collection'!N45,'Dry_Litterbag Placem_Collection'!Q45),"")</f>
        <v>26.1</v>
      </c>
      <c r="AL44" s="260">
        <f>INDEX([2]Coordinates!$B$2:$B$197,MATCH(I44,[2]Coordinates!$J$2:$J$197,0))</f>
        <v>-3.4082369789999998</v>
      </c>
      <c r="AM44" s="260">
        <f>INDEX([2]Coordinates!$C$2:$C$197,MATCH(I44,[2]Coordinates!$J$2:$J$197,0))</f>
        <v>34.850189999999998</v>
      </c>
      <c r="AN44" s="260" t="str">
        <f>IF(ISNUMBER(SEARCH("C", 'Dry_Litterbag Placem_Collection'!S45)),"YES","NO")</f>
        <v>YES</v>
      </c>
      <c r="AO44" s="260" t="str">
        <f>IF(ISNUMBER(SEARCH("H", 'Dry_Litterbag Placem_Collection'!S45)),"YES","NO")</f>
        <v>YES</v>
      </c>
      <c r="AP44" s="260" t="str">
        <f>IF(ISNUMBER(SEARCH("R", 'Dry_Litterbag Placem_Collection'!S45)),"YES","NO")</f>
        <v>NO</v>
      </c>
    </row>
    <row r="45" spans="1:42">
      <c r="A45" t="s">
        <v>3248</v>
      </c>
      <c r="B45" s="252" t="s">
        <v>2643</v>
      </c>
      <c r="C45" s="253">
        <f>'Dry_Litterbag Placem_Collection'!A46</f>
        <v>44</v>
      </c>
      <c r="D45" s="253" t="str">
        <f>'Dry_Litterbag Placem_Collection'!B46</f>
        <v>Makao</v>
      </c>
      <c r="E45" s="253" t="s">
        <v>2643</v>
      </c>
      <c r="F45" s="253" t="s">
        <v>20</v>
      </c>
      <c r="G45" s="253">
        <v>2</v>
      </c>
      <c r="H45" s="253" t="s">
        <v>3108</v>
      </c>
      <c r="I45" s="254" t="str">
        <f>'Dry_Litterbag Placem_Collection'!C46</f>
        <v>Dry_P2_T4</v>
      </c>
      <c r="J45" s="255" t="s">
        <v>2525</v>
      </c>
      <c r="K45" s="256" t="s">
        <v>1147</v>
      </c>
      <c r="L45" s="253" t="str">
        <f>IF(ISBLANK('Dry_Litterbag Placem_Collection'!J46),"","G"&amp;""&amp;'Dry_Litterbag Placem_Collection'!J46)</f>
        <v>G115</v>
      </c>
      <c r="M45" s="257">
        <f>IFERROR(INDEX('Green_rooibos initial weight'!$C$5:$C$2000,MATCH(L45, 'Green_rooibos initial weight'!$A$5:$A$2000,0)),"")</f>
        <v>2.048</v>
      </c>
      <c r="N45" s="257">
        <f>IFERROR(M45-(TBIcalc!$Q$9+TBIcalc!$Q$10),"")</f>
        <v>1.7982</v>
      </c>
      <c r="O45" s="378">
        <f>AVERAGE(Ashed_controlls!$K$2:$K$11)</f>
        <v>5.5147656768714146</v>
      </c>
      <c r="P45" s="257">
        <f t="shared" si="1"/>
        <v>1.6990334835984982</v>
      </c>
      <c r="Q45" s="257">
        <f>IFERROR(INDEX('Both teabags AfterDry'!$D$2:$D$2000,MATCH(L45,'Both teabags AfterDry'!$A$2:$A$2000,0)),"")</f>
        <v>1.7069000000000001</v>
      </c>
      <c r="R45" s="257">
        <f>IFERROR(IF(Q45&gt;0,Q45-(TBIcalc!$Q$9),""),"")</f>
        <v>1.5563</v>
      </c>
      <c r="S45" s="268">
        <f>IFERROR(INDEX('Ashed teabags dry'!$K$2:$K$2000,MATCH(L45,'Ashed teabags dry'!$A$2:$A$2000,0)),"")</f>
        <v>5.939159826170572</v>
      </c>
      <c r="T45" s="268">
        <f t="shared" si="2"/>
        <v>1.4638688556253074</v>
      </c>
      <c r="U45" s="258">
        <f>IF('Dry_Litterbag Placem_Collection'!E46="","",'Dry_Litterbag Placem_Collection'!E46)</f>
        <v>42938</v>
      </c>
      <c r="V45" s="258">
        <f>IF('Dry_Litterbag Placem_Collection'!G46="","",'Dry_Litterbag Placem_Collection'!G46)</f>
        <v>43005</v>
      </c>
      <c r="W45" s="259">
        <f t="shared" si="0"/>
        <v>67</v>
      </c>
      <c r="X45" s="257">
        <f t="shared" si="3"/>
        <v>0.2419</v>
      </c>
      <c r="Y45" s="257">
        <f t="shared" si="4"/>
        <v>0.23516462797319071</v>
      </c>
      <c r="Z45" s="261">
        <f>IFERROR(INDEX([3]Rainfall_Dry!$O$2:$O$217,MATCH(C45, [3]Rainfall_Dry!$A$2:$A$217,0)),"")</f>
        <v>6.5250000359999998</v>
      </c>
      <c r="AA45" s="250">
        <v>19.96</v>
      </c>
      <c r="AB45" s="250">
        <v>4.9199999999999982</v>
      </c>
      <c r="AC45" s="250">
        <v>75.12</v>
      </c>
      <c r="AD45" s="251" t="s">
        <v>2652</v>
      </c>
      <c r="AE45" s="250">
        <v>1.641498275012321</v>
      </c>
      <c r="AF45">
        <f>IF('WetLitterbags placem_collection'!AB46="","",'WetLitterbags placem_collection'!AB46)</f>
        <v>2.6</v>
      </c>
      <c r="AG45">
        <f>IF('WetLitterbags placem_collection'!Z46="","",'WetLitterbags placem_collection'!Z46)</f>
        <v>39.200000000000003</v>
      </c>
      <c r="AH45" s="236" t="str">
        <f>IF('WetLitterbags placem_collection'!AA46="","",'WetLitterbags placem_collection'!AA46)</f>
        <v>G</v>
      </c>
      <c r="AI45">
        <f>IF('WetLitterbags placem_collection'!AC46="","",'WetLitterbags placem_collection'!AC46)</f>
        <v>0</v>
      </c>
      <c r="AJ45">
        <f>IFERROR(AVERAGE('Dry_Litterbag Placem_Collection'!O46,'Dry_Litterbag Placem_Collection'!R46),"")</f>
        <v>3.8499999999999996</v>
      </c>
      <c r="AK45" s="261">
        <f>IFERROR(AVERAGE('Dry_Litterbag Placem_Collection'!N46,'Dry_Litterbag Placem_Collection'!Q46),"")</f>
        <v>26.5</v>
      </c>
      <c r="AL45" s="260">
        <f>INDEX([2]Coordinates!$B$2:$B$197,MATCH(I45,[2]Coordinates!$J$2:$J$197,0))</f>
        <v>-3.4081529920000002</v>
      </c>
      <c r="AM45" s="260">
        <f>INDEX([2]Coordinates!$C$2:$C$197,MATCH(I45,[2]Coordinates!$J$2:$J$197,0))</f>
        <v>34.850168959999998</v>
      </c>
      <c r="AN45" s="260" t="str">
        <f>IF(ISNUMBER(SEARCH("C", 'Dry_Litterbag Placem_Collection'!S46)),"YES","NO")</f>
        <v>NO</v>
      </c>
      <c r="AO45" s="260" t="str">
        <f>IF(ISNUMBER(SEARCH("H", 'Dry_Litterbag Placem_Collection'!S46)),"YES","NO")</f>
        <v>NO</v>
      </c>
      <c r="AP45" s="260" t="str">
        <f>IF(ISNUMBER(SEARCH("R", 'Dry_Litterbag Placem_Collection'!S46)),"YES","NO")</f>
        <v>NO</v>
      </c>
    </row>
    <row r="46" spans="1:42">
      <c r="A46" t="s">
        <v>3248</v>
      </c>
      <c r="B46" s="252" t="s">
        <v>2643</v>
      </c>
      <c r="C46" s="253">
        <f>'Dry_Litterbag Placem_Collection'!A47</f>
        <v>45</v>
      </c>
      <c r="D46" s="253" t="str">
        <f>'Dry_Litterbag Placem_Collection'!B47</f>
        <v>Makao</v>
      </c>
      <c r="E46" s="253" t="s">
        <v>2643</v>
      </c>
      <c r="F46" s="253" t="s">
        <v>20</v>
      </c>
      <c r="G46" s="253">
        <v>2</v>
      </c>
      <c r="H46" s="253" t="s">
        <v>3108</v>
      </c>
      <c r="I46" s="254" t="str">
        <f>'Dry_Litterbag Placem_Collection'!C47</f>
        <v>Dry_P2_T5</v>
      </c>
      <c r="J46" s="255" t="s">
        <v>2525</v>
      </c>
      <c r="K46" s="256" t="s">
        <v>1147</v>
      </c>
      <c r="L46" s="253" t="str">
        <f>IF(ISBLANK('Dry_Litterbag Placem_Collection'!J47),"","G"&amp;""&amp;'Dry_Litterbag Placem_Collection'!J47)</f>
        <v>G480</v>
      </c>
      <c r="M46" s="257">
        <f>IFERROR(INDEX('Green_rooibos initial weight'!$C$5:$C$2000,MATCH(L46, 'Green_rooibos initial weight'!$A$5:$A$2000,0)),"")</f>
        <v>1.9850000000000001</v>
      </c>
      <c r="N46" s="257">
        <f>IFERROR(M46-(TBIcalc!$Q$9+TBIcalc!$Q$10),"")</f>
        <v>1.7352000000000001</v>
      </c>
      <c r="O46" s="378">
        <f>AVERAGE(Ashed_controlls!$K$2:$K$11)</f>
        <v>5.5147656768714146</v>
      </c>
      <c r="P46" s="257">
        <f t="shared" si="1"/>
        <v>1.6395077859749272</v>
      </c>
      <c r="Q46" s="257" t="str">
        <f>IFERROR(INDEX('Both teabags AfterDry'!$D$2:$D$2000,MATCH(L46,'Both teabags AfterDry'!$A$2:$A$2000,0)),"")</f>
        <v/>
      </c>
      <c r="R46" s="257" t="str">
        <f>IFERROR(IF(Q46&gt;0,Q46-(TBIcalc!$Q$9),""),"")</f>
        <v/>
      </c>
      <c r="S46" s="268" t="str">
        <f>IFERROR(INDEX('Ashed teabags dry'!$K$2:$K$2000,MATCH(L46,'Ashed teabags dry'!$A$2:$A$2000,0)),"")</f>
        <v/>
      </c>
      <c r="T46" s="268" t="str">
        <f t="shared" si="2"/>
        <v/>
      </c>
      <c r="U46" s="258">
        <f>IF('Dry_Litterbag Placem_Collection'!E47="","",'Dry_Litterbag Placem_Collection'!E47)</f>
        <v>42938</v>
      </c>
      <c r="V46" s="258">
        <f>IF('Dry_Litterbag Placem_Collection'!G47="","",'Dry_Litterbag Placem_Collection'!G47)</f>
        <v>43005</v>
      </c>
      <c r="W46" s="259">
        <f t="shared" si="0"/>
        <v>67</v>
      </c>
      <c r="X46" s="257" t="str">
        <f t="shared" si="3"/>
        <v/>
      </c>
      <c r="Y46" s="257" t="str">
        <f t="shared" si="4"/>
        <v/>
      </c>
      <c r="Z46" s="261">
        <f>IFERROR(INDEX([3]Rainfall_Dry!$O$2:$O$217,MATCH(C46, [3]Rainfall_Dry!$A$2:$A$217,0)),"")</f>
        <v>6.5250000359999998</v>
      </c>
      <c r="AA46" s="250">
        <v>19.96</v>
      </c>
      <c r="AB46" s="250">
        <v>4.9199999999999982</v>
      </c>
      <c r="AC46" s="250">
        <v>75.12</v>
      </c>
      <c r="AD46" s="251" t="s">
        <v>2652</v>
      </c>
      <c r="AE46" s="250">
        <v>1.641498275012321</v>
      </c>
      <c r="AF46">
        <f>IF('WetLitterbags placem_collection'!AB47="","",'WetLitterbags placem_collection'!AB47)</f>
        <v>2.2999999999999998</v>
      </c>
      <c r="AG46">
        <f>IF('WetLitterbags placem_collection'!Z47="","",'WetLitterbags placem_collection'!Z47)</f>
        <v>9.3000000000000007</v>
      </c>
      <c r="AH46" s="236" t="str">
        <f>IF('WetLitterbags placem_collection'!AA47="","",'WetLitterbags placem_collection'!AA47)</f>
        <v>O</v>
      </c>
      <c r="AI46">
        <f>IF('WetLitterbags placem_collection'!AC47="","",'WetLitterbags placem_collection'!AC47)</f>
        <v>0</v>
      </c>
      <c r="AJ46">
        <f>IFERROR(AVERAGE('Dry_Litterbag Placem_Collection'!O47,'Dry_Litterbag Placem_Collection'!R47),"")</f>
        <v>4.0999999999999996</v>
      </c>
      <c r="AK46" s="261">
        <f>IFERROR(AVERAGE('Dry_Litterbag Placem_Collection'!N47,'Dry_Litterbag Placem_Collection'!Q47),"")</f>
        <v>27.25</v>
      </c>
      <c r="AL46" s="260">
        <f>INDEX([2]Coordinates!$B$2:$B$197,MATCH(I46,[2]Coordinates!$J$2:$J$197,0))</f>
        <v>-3.4081789759999999</v>
      </c>
      <c r="AM46" s="260">
        <f>INDEX([2]Coordinates!$C$2:$C$197,MATCH(I46,[2]Coordinates!$J$2:$J$197,0))</f>
        <v>34.850516980000002</v>
      </c>
      <c r="AN46" s="260" t="str">
        <f>IF(ISNUMBER(SEARCH("C", 'Dry_Litterbag Placem_Collection'!S47)),"YES","NO")</f>
        <v>YES</v>
      </c>
      <c r="AO46" s="260" t="str">
        <f>IF(ISNUMBER(SEARCH("H", 'Dry_Litterbag Placem_Collection'!S47)),"YES","NO")</f>
        <v>YES</v>
      </c>
      <c r="AP46" s="260" t="str">
        <f>IF(ISNUMBER(SEARCH("R", 'Dry_Litterbag Placem_Collection'!S47)),"YES","NO")</f>
        <v>NO</v>
      </c>
    </row>
    <row r="47" spans="1:42">
      <c r="A47" t="s">
        <v>3248</v>
      </c>
      <c r="B47" s="252" t="s">
        <v>2643</v>
      </c>
      <c r="C47" s="253">
        <f>'Dry_Litterbag Placem_Collection'!A48</f>
        <v>46</v>
      </c>
      <c r="D47" s="253" t="str">
        <f>'Dry_Litterbag Placem_Collection'!B48</f>
        <v>Makao</v>
      </c>
      <c r="E47" s="253" t="s">
        <v>2643</v>
      </c>
      <c r="F47" s="253" t="s">
        <v>20</v>
      </c>
      <c r="G47" s="253">
        <v>2</v>
      </c>
      <c r="H47" s="253" t="s">
        <v>3108</v>
      </c>
      <c r="I47" s="254" t="str">
        <f>'Dry_Litterbag Placem_Collection'!C48</f>
        <v>Dry_P2_T6</v>
      </c>
      <c r="J47" s="255" t="s">
        <v>2525</v>
      </c>
      <c r="K47" s="256" t="s">
        <v>1147</v>
      </c>
      <c r="L47" s="253" t="str">
        <f>IF(ISBLANK('Dry_Litterbag Placem_Collection'!J48),"","G"&amp;""&amp;'Dry_Litterbag Placem_Collection'!J48)</f>
        <v/>
      </c>
      <c r="M47" s="257" t="str">
        <f>IFERROR(INDEX('Green_rooibos initial weight'!$C$5:$C$2000,MATCH(L47, 'Green_rooibos initial weight'!$A$5:$A$2000,0)),"")</f>
        <v/>
      </c>
      <c r="N47" s="257" t="str">
        <f>IFERROR(M47-(TBIcalc!$Q$9+TBIcalc!$Q$10),"")</f>
        <v/>
      </c>
      <c r="O47" s="378">
        <f>AVERAGE(Ashed_controlls!$K$2:$K$11)</f>
        <v>5.5147656768714146</v>
      </c>
      <c r="P47" s="257" t="str">
        <f t="shared" si="1"/>
        <v/>
      </c>
      <c r="Q47" s="257" t="str">
        <f>IFERROR(INDEX('Both teabags AfterDry'!$D$2:$D$2000,MATCH(L47,'Both teabags AfterDry'!$A$2:$A$2000,0)),"")</f>
        <v/>
      </c>
      <c r="R47" s="257" t="str">
        <f>IFERROR(IF(Q47&gt;0,Q47-(TBIcalc!$Q$9),""),"")</f>
        <v/>
      </c>
      <c r="S47" s="268" t="str">
        <f>IFERROR(INDEX('Ashed teabags dry'!$K$2:$K$2000,MATCH(L47,'Ashed teabags dry'!$A$2:$A$2000,0)),"")</f>
        <v/>
      </c>
      <c r="T47" s="268" t="str">
        <f t="shared" si="2"/>
        <v/>
      </c>
      <c r="U47" s="258" t="str">
        <f>IF('Dry_Litterbag Placem_Collection'!E48="","",'Dry_Litterbag Placem_Collection'!E48)</f>
        <v/>
      </c>
      <c r="V47" s="258" t="str">
        <f>IF('Dry_Litterbag Placem_Collection'!G48="","",'Dry_Litterbag Placem_Collection'!G48)</f>
        <v/>
      </c>
      <c r="W47" s="259" t="str">
        <f t="shared" si="0"/>
        <v/>
      </c>
      <c r="X47" s="257" t="str">
        <f t="shared" si="3"/>
        <v/>
      </c>
      <c r="Y47" s="257" t="str">
        <f t="shared" si="4"/>
        <v/>
      </c>
      <c r="Z47" s="261" t="str">
        <f>IFERROR(INDEX([3]Rainfall_Dry!$O$2:$O$217,MATCH(C47, [3]Rainfall_Dry!$A$2:$A$217,0)),"")</f>
        <v/>
      </c>
      <c r="AA47" s="250">
        <v>19.96</v>
      </c>
      <c r="AB47" s="250">
        <v>4.9199999999999982</v>
      </c>
      <c r="AC47" s="250">
        <v>75.12</v>
      </c>
      <c r="AD47" s="251" t="s">
        <v>2652</v>
      </c>
      <c r="AE47" s="250">
        <v>1.641498275012321</v>
      </c>
      <c r="AF47" t="str">
        <f>IF('WetLitterbags placem_collection'!AB48="","",'WetLitterbags placem_collection'!AB48)</f>
        <v/>
      </c>
      <c r="AG47" t="str">
        <f>IF('WetLitterbags placem_collection'!Z48="","",'WetLitterbags placem_collection'!Z48)</f>
        <v/>
      </c>
      <c r="AH47" s="236" t="str">
        <f>IF('WetLitterbags placem_collection'!AA48="","",'WetLitterbags placem_collection'!AA48)</f>
        <v/>
      </c>
      <c r="AI47" t="str">
        <f>IF('WetLitterbags placem_collection'!AC48="","",'WetLitterbags placem_collection'!AC48)</f>
        <v/>
      </c>
      <c r="AJ47" t="str">
        <f>IFERROR(AVERAGE('Dry_Litterbag Placem_Collection'!O48,'Dry_Litterbag Placem_Collection'!R48),"")</f>
        <v/>
      </c>
      <c r="AK47" s="261" t="str">
        <f>IFERROR(AVERAGE('Dry_Litterbag Placem_Collection'!N48,'Dry_Litterbag Placem_Collection'!Q48),"")</f>
        <v/>
      </c>
      <c r="AL47" s="260">
        <f>INDEX([2]Coordinates!$B$2:$B$197,MATCH(I47,[2]Coordinates!$J$2:$J$197,0))</f>
        <v>-3.4084730130000001</v>
      </c>
      <c r="AM47" s="260">
        <f>INDEX([2]Coordinates!$C$2:$C$197,MATCH(I47,[2]Coordinates!$J$2:$J$197,0))</f>
        <v>34.850401980000001</v>
      </c>
      <c r="AN47" s="260" t="str">
        <f>IF(ISNUMBER(SEARCH("C", 'Dry_Litterbag Placem_Collection'!S48)),"YES","NO")</f>
        <v>NO</v>
      </c>
      <c r="AO47" s="260" t="str">
        <f>IF(ISNUMBER(SEARCH("H", 'Dry_Litterbag Placem_Collection'!S48)),"YES","NO")</f>
        <v>NO</v>
      </c>
      <c r="AP47" s="260" t="str">
        <f>IF(ISNUMBER(SEARCH("R", 'Dry_Litterbag Placem_Collection'!S48)),"YES","NO")</f>
        <v>NO</v>
      </c>
    </row>
    <row r="48" spans="1:42">
      <c r="A48" t="s">
        <v>3248</v>
      </c>
      <c r="B48" s="252" t="s">
        <v>2643</v>
      </c>
      <c r="C48" s="253">
        <f>'Dry_Litterbag Placem_Collection'!A49</f>
        <v>47</v>
      </c>
      <c r="D48" s="253" t="str">
        <f>'Dry_Litterbag Placem_Collection'!B49</f>
        <v>Makao</v>
      </c>
      <c r="E48" s="253" t="s">
        <v>2643</v>
      </c>
      <c r="F48" s="253" t="s">
        <v>20</v>
      </c>
      <c r="G48" s="253">
        <v>2</v>
      </c>
      <c r="H48" s="253" t="s">
        <v>3108</v>
      </c>
      <c r="I48" s="254" t="str">
        <f>'Dry_Litterbag Placem_Collection'!C49</f>
        <v>Dry_P2_T7</v>
      </c>
      <c r="J48" s="255" t="s">
        <v>2525</v>
      </c>
      <c r="K48" s="256" t="s">
        <v>1147</v>
      </c>
      <c r="L48" s="253" t="str">
        <f>IF(ISBLANK('Dry_Litterbag Placem_Collection'!J49),"","G"&amp;""&amp;'Dry_Litterbag Placem_Collection'!J49)</f>
        <v>G110</v>
      </c>
      <c r="M48" s="257">
        <f>IFERROR(INDEX('Green_rooibos initial weight'!$C$5:$C$2000,MATCH(L48, 'Green_rooibos initial weight'!$A$5:$A$2000,0)),"")</f>
        <v>2.093</v>
      </c>
      <c r="N48" s="257">
        <f>IFERROR(M48-(TBIcalc!$Q$9+TBIcalc!$Q$10),"")</f>
        <v>1.8431999999999999</v>
      </c>
      <c r="O48" s="378">
        <f>AVERAGE(Ashed_controlls!$K$2:$K$11)</f>
        <v>5.5147656768714146</v>
      </c>
      <c r="P48" s="257">
        <f t="shared" si="1"/>
        <v>1.741551839043906</v>
      </c>
      <c r="Q48" s="257">
        <f>IFERROR(INDEX('Both teabags AfterDry'!$D$2:$D$2000,MATCH(L48,'Both teabags AfterDry'!$A$2:$A$2000,0)),"")</f>
        <v>1.8372999999999999</v>
      </c>
      <c r="R48" s="257">
        <f>IFERROR(IF(Q48&gt;0,Q48-(TBIcalc!$Q$9),""),"")</f>
        <v>1.6866999999999999</v>
      </c>
      <c r="S48" s="268">
        <f>IFERROR(INDEX('Ashed teabags dry'!$K$2:$K$2000,MATCH(L48,'Ashed teabags dry'!$A$2:$A$2000,0)),"")</f>
        <v>6.3440422936146827</v>
      </c>
      <c r="T48" s="268">
        <f t="shared" si="2"/>
        <v>1.5796950386336011</v>
      </c>
      <c r="U48" s="258">
        <f>IF('Dry_Litterbag Placem_Collection'!E49="","",'Dry_Litterbag Placem_Collection'!E49)</f>
        <v>42938</v>
      </c>
      <c r="V48" s="258">
        <f>IF('Dry_Litterbag Placem_Collection'!G49="","",'Dry_Litterbag Placem_Collection'!G49)</f>
        <v>43005</v>
      </c>
      <c r="W48" s="259">
        <f t="shared" si="0"/>
        <v>67</v>
      </c>
      <c r="X48" s="257">
        <f t="shared" si="3"/>
        <v>0.15650000000000008</v>
      </c>
      <c r="Y48" s="257">
        <f t="shared" si="4"/>
        <v>0.16185680041030492</v>
      </c>
      <c r="Z48" s="261">
        <f>IFERROR(INDEX([3]Rainfall_Dry!$O$2:$O$217,MATCH(C48, [3]Rainfall_Dry!$A$2:$A$217,0)),"")</f>
        <v>6.5250000359999998</v>
      </c>
      <c r="AA48" s="250">
        <v>19.96</v>
      </c>
      <c r="AB48" s="250">
        <v>4.9199999999999982</v>
      </c>
      <c r="AC48" s="250">
        <v>75.12</v>
      </c>
      <c r="AD48" s="251" t="s">
        <v>2652</v>
      </c>
      <c r="AE48" s="250">
        <v>1.641498275012321</v>
      </c>
      <c r="AF48">
        <f>IF('WetLitterbags placem_collection'!AB49="","",'WetLitterbags placem_collection'!AB49)</f>
        <v>5.2</v>
      </c>
      <c r="AG48">
        <f>IF('WetLitterbags placem_collection'!Z49="","",'WetLitterbags placem_collection'!Z49)</f>
        <v>5.2</v>
      </c>
      <c r="AH48" s="236" t="str">
        <f>IF('WetLitterbags placem_collection'!AA49="","",'WetLitterbags placem_collection'!AA49)</f>
        <v>G</v>
      </c>
      <c r="AI48">
        <f>IF('WetLitterbags placem_collection'!AC49="","",'WetLitterbags placem_collection'!AC49)</f>
        <v>0</v>
      </c>
      <c r="AJ48">
        <f>IFERROR(AVERAGE('Dry_Litterbag Placem_Collection'!O49,'Dry_Litterbag Placem_Collection'!R49),"")</f>
        <v>5.35</v>
      </c>
      <c r="AK48" s="261">
        <f>IFERROR(AVERAGE('Dry_Litterbag Placem_Collection'!N49,'Dry_Litterbag Placem_Collection'!Q49),"")</f>
        <v>26.4</v>
      </c>
      <c r="AL48" s="260">
        <f>INDEX([2]Coordinates!$B$2:$B$197,MATCH(I48,[2]Coordinates!$J$2:$J$197,0))</f>
        <v>-3.4084819820000001</v>
      </c>
      <c r="AM48" s="260">
        <f>INDEX([2]Coordinates!$C$2:$C$197,MATCH(I48,[2]Coordinates!$J$2:$J$197,0))</f>
        <v>34.850024040000001</v>
      </c>
      <c r="AN48" s="260" t="str">
        <f>IF(ISNUMBER(SEARCH("C", 'Dry_Litterbag Placem_Collection'!S49)),"YES","NO")</f>
        <v>NO</v>
      </c>
      <c r="AO48" s="260" t="str">
        <f>IF(ISNUMBER(SEARCH("H", 'Dry_Litterbag Placem_Collection'!S49)),"YES","NO")</f>
        <v>NO</v>
      </c>
      <c r="AP48" s="260" t="str">
        <f>IF(ISNUMBER(SEARCH("R", 'Dry_Litterbag Placem_Collection'!S49)),"YES","NO")</f>
        <v>NO</v>
      </c>
    </row>
    <row r="49" spans="1:42">
      <c r="A49" t="s">
        <v>3248</v>
      </c>
      <c r="B49" s="252" t="s">
        <v>2643</v>
      </c>
      <c r="C49" s="253">
        <f>'Dry_Litterbag Placem_Collection'!A50</f>
        <v>48</v>
      </c>
      <c r="D49" s="253" t="str">
        <f>'Dry_Litterbag Placem_Collection'!B50</f>
        <v>Makao</v>
      </c>
      <c r="E49" s="253" t="s">
        <v>2643</v>
      </c>
      <c r="F49" s="253" t="s">
        <v>20</v>
      </c>
      <c r="G49" s="253">
        <v>2</v>
      </c>
      <c r="H49" s="253" t="s">
        <v>3108</v>
      </c>
      <c r="I49" s="254" t="str">
        <f>'Dry_Litterbag Placem_Collection'!C50</f>
        <v>Dry_P2_T8</v>
      </c>
      <c r="J49" s="255" t="s">
        <v>2525</v>
      </c>
      <c r="K49" s="256" t="s">
        <v>1147</v>
      </c>
      <c r="L49" s="253" t="str">
        <f>IF(ISBLANK('Dry_Litterbag Placem_Collection'!J50),"","G"&amp;""&amp;'Dry_Litterbag Placem_Collection'!J50)</f>
        <v>G233</v>
      </c>
      <c r="M49" s="257">
        <f>IFERROR(INDEX('Green_rooibos initial weight'!$C$5:$C$2000,MATCH(L49, 'Green_rooibos initial weight'!$A$5:$A$2000,0)),"")</f>
        <v>1.9490000000000001</v>
      </c>
      <c r="N49" s="257">
        <f>IFERROR(M49-(TBIcalc!$Q$9+TBIcalc!$Q$10),"")</f>
        <v>1.6992</v>
      </c>
      <c r="O49" s="378">
        <f>AVERAGE(Ashed_controlls!$K$2:$K$11)</f>
        <v>5.5147656768714146</v>
      </c>
      <c r="P49" s="257">
        <f t="shared" si="1"/>
        <v>1.6054931016186009</v>
      </c>
      <c r="Q49" s="257">
        <f>IFERROR(INDEX('Both teabags AfterDry'!$D$2:$D$2000,MATCH(L49,'Both teabags AfterDry'!$A$2:$A$2000,0)),"")</f>
        <v>1.6727000000000001</v>
      </c>
      <c r="R49" s="257">
        <f>IFERROR(IF(Q49&gt;0,Q49-(TBIcalc!$Q$9),""),"")</f>
        <v>1.5221</v>
      </c>
      <c r="S49" s="268">
        <f>IFERROR(INDEX('Ashed teabags dry'!$K$2:$K$2000,MATCH(L49,'Ashed teabags dry'!$A$2:$A$2000,0)),"")</f>
        <v>6.3352826510722657</v>
      </c>
      <c r="T49" s="268">
        <f t="shared" si="2"/>
        <v>1.4256706627680291</v>
      </c>
      <c r="U49" s="258">
        <f>IF('Dry_Litterbag Placem_Collection'!E50="","",'Dry_Litterbag Placem_Collection'!E50)</f>
        <v>42938</v>
      </c>
      <c r="V49" s="258">
        <f>IF('Dry_Litterbag Placem_Collection'!G50="","",'Dry_Litterbag Placem_Collection'!G50)</f>
        <v>43005</v>
      </c>
      <c r="W49" s="259">
        <f t="shared" si="0"/>
        <v>67</v>
      </c>
      <c r="X49" s="257">
        <f t="shared" si="3"/>
        <v>0.17710000000000004</v>
      </c>
      <c r="Y49" s="257">
        <f t="shared" si="4"/>
        <v>0.17982243885057181</v>
      </c>
      <c r="Z49" s="261">
        <f>IFERROR(INDEX([3]Rainfall_Dry!$O$2:$O$217,MATCH(C49, [3]Rainfall_Dry!$A$2:$A$217,0)),"")</f>
        <v>6.5250000359999998</v>
      </c>
      <c r="AA49" s="250">
        <v>19.96</v>
      </c>
      <c r="AB49" s="250">
        <v>4.9199999999999982</v>
      </c>
      <c r="AC49" s="250">
        <v>75.12</v>
      </c>
      <c r="AD49" s="251" t="s">
        <v>2652</v>
      </c>
      <c r="AE49" s="250">
        <v>1.641498275012321</v>
      </c>
      <c r="AF49">
        <f>IF('WetLitterbags placem_collection'!AB50="","",'WetLitterbags placem_collection'!AB50)</f>
        <v>7.3</v>
      </c>
      <c r="AG49">
        <f>IF('WetLitterbags placem_collection'!Z50="","",'WetLitterbags placem_collection'!Z50)</f>
        <v>27.2</v>
      </c>
      <c r="AH49" s="236" t="str">
        <f>IF('WetLitterbags placem_collection'!AA50="","",'WetLitterbags placem_collection'!AA50)</f>
        <v>M</v>
      </c>
      <c r="AI49">
        <f>IF('WetLitterbags placem_collection'!AC50="","",'WetLitterbags placem_collection'!AC50)</f>
        <v>0</v>
      </c>
      <c r="AJ49">
        <f>IFERROR(AVERAGE('Dry_Litterbag Placem_Collection'!O50,'Dry_Litterbag Placem_Collection'!R50),"")</f>
        <v>3.95</v>
      </c>
      <c r="AK49" s="261">
        <f>IFERROR(AVERAGE('Dry_Litterbag Placem_Collection'!N50,'Dry_Litterbag Placem_Collection'!Q50),"")</f>
        <v>25.950000000000003</v>
      </c>
      <c r="AL49" s="260">
        <f>INDEX([2]Coordinates!$B$2:$B$197,MATCH(I49,[2]Coordinates!$J$2:$J$197,0))</f>
        <v>-3.4081990090000001</v>
      </c>
      <c r="AM49" s="260">
        <f>INDEX([2]Coordinates!$C$2:$C$197,MATCH(I49,[2]Coordinates!$J$2:$J$197,0))</f>
        <v>34.850254960000001</v>
      </c>
      <c r="AN49" s="260" t="str">
        <f>IF(ISNUMBER(SEARCH("C", 'Dry_Litterbag Placem_Collection'!S50)),"YES","NO")</f>
        <v>NO</v>
      </c>
      <c r="AO49" s="260" t="str">
        <f>IF(ISNUMBER(SEARCH("H", 'Dry_Litterbag Placem_Collection'!S50)),"YES","NO")</f>
        <v>NO</v>
      </c>
      <c r="AP49" s="260" t="str">
        <f>IF(ISNUMBER(SEARCH("R", 'Dry_Litterbag Placem_Collection'!S50)),"YES","NO")</f>
        <v>NO</v>
      </c>
    </row>
    <row r="50" spans="1:42">
      <c r="A50" t="s">
        <v>3248</v>
      </c>
      <c r="B50" s="252" t="s">
        <v>2643</v>
      </c>
      <c r="C50" s="253">
        <f>'Dry_Litterbag Placem_Collection'!A51</f>
        <v>49</v>
      </c>
      <c r="D50" s="253" t="str">
        <f>'Dry_Litterbag Placem_Collection'!B51</f>
        <v>Makao</v>
      </c>
      <c r="E50" s="253" t="s">
        <v>2643</v>
      </c>
      <c r="F50" s="253" t="s">
        <v>20</v>
      </c>
      <c r="G50" s="253">
        <v>3</v>
      </c>
      <c r="H50" s="253" t="s">
        <v>3109</v>
      </c>
      <c r="I50" s="254" t="str">
        <f>'Dry_Litterbag Placem_Collection'!C51</f>
        <v>Dry_P3_T1</v>
      </c>
      <c r="J50" s="255" t="s">
        <v>2525</v>
      </c>
      <c r="K50" s="256" t="s">
        <v>1147</v>
      </c>
      <c r="L50" s="253" t="str">
        <f>IF(ISBLANK('Dry_Litterbag Placem_Collection'!J51),"","G"&amp;""&amp;'Dry_Litterbag Placem_Collection'!J51)</f>
        <v>G54</v>
      </c>
      <c r="M50" s="257">
        <f>IFERROR(INDEX('Green_rooibos initial weight'!$C$5:$C$2000,MATCH(L50, 'Green_rooibos initial weight'!$A$5:$A$2000,0)),"")</f>
        <v>2.0539999999999998</v>
      </c>
      <c r="N50" s="257">
        <f>IFERROR(M50-(TBIcalc!$Q$9+TBIcalc!$Q$10),"")</f>
        <v>1.8041999999999998</v>
      </c>
      <c r="O50" s="378">
        <f>AVERAGE(Ashed_controlls!$K$2:$K$11)</f>
        <v>5.5147656768714146</v>
      </c>
      <c r="P50" s="257">
        <f t="shared" si="1"/>
        <v>1.7047025976578858</v>
      </c>
      <c r="Q50" s="257" t="str">
        <f>IFERROR(INDEX('Both teabags AfterDry'!$D$2:$D$2000,MATCH(L50,'Both teabags AfterDry'!$A$2:$A$2000,0)),"")</f>
        <v/>
      </c>
      <c r="R50" s="257" t="str">
        <f>IFERROR(IF(Q50&gt;0,Q50-(TBIcalc!$Q$9),""),"")</f>
        <v/>
      </c>
      <c r="S50" s="268" t="str">
        <f>IFERROR(INDEX('Ashed teabags dry'!$K$2:$K$2000,MATCH(L50,'Ashed teabags dry'!$A$2:$A$2000,0)),"")</f>
        <v/>
      </c>
      <c r="T50" s="268" t="str">
        <f t="shared" si="2"/>
        <v/>
      </c>
      <c r="U50" s="258">
        <f>IF('Dry_Litterbag Placem_Collection'!E51="","",'Dry_Litterbag Placem_Collection'!E51)</f>
        <v>42938</v>
      </c>
      <c r="V50" s="258">
        <f>IF('Dry_Litterbag Placem_Collection'!G51="","",'Dry_Litterbag Placem_Collection'!G51)</f>
        <v>43005</v>
      </c>
      <c r="W50" s="259">
        <f t="shared" si="0"/>
        <v>67</v>
      </c>
      <c r="X50" s="257" t="str">
        <f t="shared" si="3"/>
        <v/>
      </c>
      <c r="Y50" s="257" t="str">
        <f t="shared" si="4"/>
        <v/>
      </c>
      <c r="Z50" s="261">
        <f>IFERROR(INDEX([3]Rainfall_Dry!$O$2:$O$217,MATCH(C50, [3]Rainfall_Dry!$A$2:$A$217,0)),"")</f>
        <v>6.5250000359999998</v>
      </c>
      <c r="AA50" s="250">
        <v>21.96</v>
      </c>
      <c r="AB50" s="250">
        <v>8.9199999999999982</v>
      </c>
      <c r="AC50" s="250">
        <v>69.12</v>
      </c>
      <c r="AD50" s="251" t="s">
        <v>2651</v>
      </c>
      <c r="AE50" s="250">
        <v>1.7491375061606702</v>
      </c>
      <c r="AF50">
        <f>IF('WetLitterbags placem_collection'!AB51="","",'WetLitterbags placem_collection'!AB51)</f>
        <v>10.4</v>
      </c>
      <c r="AG50">
        <f>IF('WetLitterbags placem_collection'!Z51="","",'WetLitterbags placem_collection'!Z51)</f>
        <v>36</v>
      </c>
      <c r="AH50" s="236" t="str">
        <f>IF('WetLitterbags placem_collection'!AA51="","",'WetLitterbags placem_collection'!AA51)</f>
        <v>M</v>
      </c>
      <c r="AI50">
        <f>IF('WetLitterbags placem_collection'!AC51="","",'WetLitterbags placem_collection'!AC51)</f>
        <v>1</v>
      </c>
      <c r="AJ50">
        <f>IFERROR(AVERAGE('Dry_Litterbag Placem_Collection'!O51,'Dry_Litterbag Placem_Collection'!R51),"")</f>
        <v>7.05</v>
      </c>
      <c r="AK50" s="261">
        <f>IFERROR(AVERAGE('Dry_Litterbag Placem_Collection'!N51,'Dry_Litterbag Placem_Collection'!Q51),"")</f>
        <v>31.5</v>
      </c>
      <c r="AL50" s="260">
        <f>INDEX([2]Coordinates!$B$2:$B$197,MATCH(I50,[2]Coordinates!$J$2:$J$197,0))</f>
        <v>-3.406225992</v>
      </c>
      <c r="AM50" s="260">
        <f>INDEX([2]Coordinates!$C$2:$C$197,MATCH(I50,[2]Coordinates!$J$2:$J$197,0))</f>
        <v>34.85055998</v>
      </c>
      <c r="AN50" s="260" t="str">
        <f>IF(ISNUMBER(SEARCH("C", 'Dry_Litterbag Placem_Collection'!S51)),"YES","NO")</f>
        <v>NO</v>
      </c>
      <c r="AO50" s="260" t="str">
        <f>IF(ISNUMBER(SEARCH("H", 'Dry_Litterbag Placem_Collection'!S51)),"YES","NO")</f>
        <v>NO</v>
      </c>
      <c r="AP50" s="260" t="str">
        <f>IF(ISNUMBER(SEARCH("R", 'Dry_Litterbag Placem_Collection'!S51)),"YES","NO")</f>
        <v>NO</v>
      </c>
    </row>
    <row r="51" spans="1:42">
      <c r="A51" t="s">
        <v>3248</v>
      </c>
      <c r="B51" s="252" t="s">
        <v>2643</v>
      </c>
      <c r="C51" s="253">
        <f>'Dry_Litterbag Placem_Collection'!A52</f>
        <v>50</v>
      </c>
      <c r="D51" s="253" t="str">
        <f>'Dry_Litterbag Placem_Collection'!B52</f>
        <v>Makao</v>
      </c>
      <c r="E51" s="253" t="s">
        <v>2643</v>
      </c>
      <c r="F51" s="253" t="s">
        <v>20</v>
      </c>
      <c r="G51" s="253">
        <v>3</v>
      </c>
      <c r="H51" s="253" t="s">
        <v>3109</v>
      </c>
      <c r="I51" s="254" t="str">
        <f>'Dry_Litterbag Placem_Collection'!C52</f>
        <v>Dry_P3_T2</v>
      </c>
      <c r="J51" s="255" t="s">
        <v>2525</v>
      </c>
      <c r="K51" s="256" t="s">
        <v>1147</v>
      </c>
      <c r="L51" s="253" t="str">
        <f>IF(ISBLANK('Dry_Litterbag Placem_Collection'!J52),"","G"&amp;""&amp;'Dry_Litterbag Placem_Collection'!J52)</f>
        <v>G276</v>
      </c>
      <c r="M51" s="257">
        <f>IFERROR(INDEX('Green_rooibos initial weight'!$C$5:$C$2000,MATCH(L51, 'Green_rooibos initial weight'!$A$5:$A$2000,0)),"")</f>
        <v>1.966</v>
      </c>
      <c r="N51" s="257">
        <f>IFERROR(M51-(TBIcalc!$Q$9+TBIcalc!$Q$10),"")</f>
        <v>1.7161999999999999</v>
      </c>
      <c r="O51" s="378">
        <f>AVERAGE(Ashed_controlls!$K$2:$K$11)</f>
        <v>5.5147656768714146</v>
      </c>
      <c r="P51" s="257">
        <f t="shared" si="1"/>
        <v>1.6215555914535327</v>
      </c>
      <c r="Q51" s="257" t="str">
        <f>IFERROR(INDEX('Both teabags AfterDry'!$D$2:$D$2000,MATCH(L51,'Both teabags AfterDry'!$A$2:$A$2000,0)),"")</f>
        <v/>
      </c>
      <c r="R51" s="257" t="str">
        <f>IFERROR(IF(Q51&gt;0,Q51-(TBIcalc!$Q$9),""),"")</f>
        <v/>
      </c>
      <c r="S51" s="268" t="str">
        <f>IFERROR(INDEX('Ashed teabags dry'!$K$2:$K$2000,MATCH(L51,'Ashed teabags dry'!$A$2:$A$2000,0)),"")</f>
        <v/>
      </c>
      <c r="T51" s="268" t="str">
        <f t="shared" si="2"/>
        <v/>
      </c>
      <c r="U51" s="258">
        <f>IF('Dry_Litterbag Placem_Collection'!E52="","",'Dry_Litterbag Placem_Collection'!E52)</f>
        <v>42938</v>
      </c>
      <c r="V51" s="258" t="str">
        <f>IF('Dry_Litterbag Placem_Collection'!G52="","",'Dry_Litterbag Placem_Collection'!G52)</f>
        <v/>
      </c>
      <c r="W51" s="259" t="str">
        <f t="shared" si="0"/>
        <v/>
      </c>
      <c r="X51" s="257" t="str">
        <f t="shared" si="3"/>
        <v/>
      </c>
      <c r="Y51" s="257" t="str">
        <f t="shared" si="4"/>
        <v/>
      </c>
      <c r="Z51" s="261" t="str">
        <f>IFERROR(INDEX([3]Rainfall_Dry!$O$2:$O$217,MATCH(C51, [3]Rainfall_Dry!$A$2:$A$217,0)),"")</f>
        <v/>
      </c>
      <c r="AA51" s="250">
        <v>21.96</v>
      </c>
      <c r="AB51" s="250">
        <v>8.9199999999999982</v>
      </c>
      <c r="AC51" s="250">
        <v>69.12</v>
      </c>
      <c r="AD51" s="251" t="s">
        <v>2651</v>
      </c>
      <c r="AE51" s="250">
        <v>1.7491375061606702</v>
      </c>
      <c r="AF51">
        <f>IF('WetLitterbags placem_collection'!AB52="","",'WetLitterbags placem_collection'!AB52)</f>
        <v>10</v>
      </c>
      <c r="AG51">
        <f>IF('WetLitterbags placem_collection'!Z52="","",'WetLitterbags placem_collection'!Z52)</f>
        <v>22.5</v>
      </c>
      <c r="AH51" s="236" t="str">
        <f>IF('WetLitterbags placem_collection'!AA52="","",'WetLitterbags placem_collection'!AA52)</f>
        <v>M</v>
      </c>
      <c r="AI51">
        <f>IF('WetLitterbags placem_collection'!AC52="","",'WetLitterbags placem_collection'!AC52)</f>
        <v>1</v>
      </c>
      <c r="AJ51">
        <f>IFERROR(AVERAGE('Dry_Litterbag Placem_Collection'!O52,'Dry_Litterbag Placem_Collection'!R52),"")</f>
        <v>6.4</v>
      </c>
      <c r="AK51" s="261">
        <f>IFERROR(AVERAGE('Dry_Litterbag Placem_Collection'!N52,'Dry_Litterbag Placem_Collection'!Q52),"")</f>
        <v>27.6</v>
      </c>
      <c r="AL51" s="260">
        <f>INDEX([2]Coordinates!$B$2:$B$197,MATCH(I51,[2]Coordinates!$J$2:$J$197,0))</f>
        <v>-3.4062630399999998</v>
      </c>
      <c r="AM51" s="260">
        <f>INDEX([2]Coordinates!$C$2:$C$197,MATCH(I51,[2]Coordinates!$J$2:$J$197,0))</f>
        <v>34.850566010000001</v>
      </c>
      <c r="AN51" s="260" t="str">
        <f>IF(ISNUMBER(SEARCH("C", 'Dry_Litterbag Placem_Collection'!S52)),"YES","NO")</f>
        <v>NO</v>
      </c>
      <c r="AO51" s="260" t="str">
        <f>IF(ISNUMBER(SEARCH("H", 'Dry_Litterbag Placem_Collection'!S52)),"YES","NO")</f>
        <v>NO</v>
      </c>
      <c r="AP51" s="260" t="str">
        <f>IF(ISNUMBER(SEARCH("R", 'Dry_Litterbag Placem_Collection'!S52)),"YES","NO")</f>
        <v>NO</v>
      </c>
    </row>
    <row r="52" spans="1:42">
      <c r="A52" t="s">
        <v>3248</v>
      </c>
      <c r="B52" s="252" t="s">
        <v>2643</v>
      </c>
      <c r="C52" s="253">
        <f>'Dry_Litterbag Placem_Collection'!A53</f>
        <v>51</v>
      </c>
      <c r="D52" s="253" t="str">
        <f>'Dry_Litterbag Placem_Collection'!B53</f>
        <v>Makao</v>
      </c>
      <c r="E52" s="253" t="s">
        <v>2643</v>
      </c>
      <c r="F52" s="253" t="s">
        <v>20</v>
      </c>
      <c r="G52" s="253">
        <v>3</v>
      </c>
      <c r="H52" s="253" t="s">
        <v>3109</v>
      </c>
      <c r="I52" s="254" t="str">
        <f>'Dry_Litterbag Placem_Collection'!C53</f>
        <v>Dry_P3_T3</v>
      </c>
      <c r="J52" s="255" t="s">
        <v>2525</v>
      </c>
      <c r="K52" s="256" t="s">
        <v>1147</v>
      </c>
      <c r="L52" s="253" t="str">
        <f>IF(ISBLANK('Dry_Litterbag Placem_Collection'!J53),"","G"&amp;""&amp;'Dry_Litterbag Placem_Collection'!J53)</f>
        <v>G227</v>
      </c>
      <c r="M52" s="257">
        <f>IFERROR(INDEX('Green_rooibos initial weight'!$C$5:$C$2000,MATCH(L52, 'Green_rooibos initial weight'!$A$5:$A$2000,0)),"")</f>
        <v>1.986</v>
      </c>
      <c r="N52" s="257">
        <f>IFERROR(M52-(TBIcalc!$Q$9+TBIcalc!$Q$10),"")</f>
        <v>1.7362</v>
      </c>
      <c r="O52" s="378">
        <f>AVERAGE(Ashed_controlls!$K$2:$K$11)</f>
        <v>5.5147656768714146</v>
      </c>
      <c r="P52" s="257">
        <f t="shared" si="1"/>
        <v>1.6404526383181586</v>
      </c>
      <c r="Q52" s="257">
        <f>IFERROR(INDEX('Both teabags AfterDry'!$D$2:$D$2000,MATCH(L52,'Both teabags AfterDry'!$A$2:$A$2000,0)),"")</f>
        <v>1.7715000000000001</v>
      </c>
      <c r="R52" s="257">
        <f>IFERROR(IF(Q52&gt;0,Q52-(TBIcalc!$Q$9),""),"")</f>
        <v>1.6209</v>
      </c>
      <c r="S52" s="268">
        <f>IFERROR(INDEX('Ashed teabags dry'!$K$2:$K$2000,MATCH(L52,'Ashed teabags dry'!$A$2:$A$2000,0)),"")</f>
        <v>5.9108954565503948</v>
      </c>
      <c r="T52" s="268">
        <f t="shared" si="2"/>
        <v>1.5250902955447747</v>
      </c>
      <c r="U52" s="258">
        <f>IF('Dry_Litterbag Placem_Collection'!E53="","",'Dry_Litterbag Placem_Collection'!E53)</f>
        <v>42938</v>
      </c>
      <c r="V52" s="258">
        <f>IF('Dry_Litterbag Placem_Collection'!G53="","",'Dry_Litterbag Placem_Collection'!G53)</f>
        <v>43005</v>
      </c>
      <c r="W52" s="259">
        <f t="shared" si="0"/>
        <v>67</v>
      </c>
      <c r="X52" s="257">
        <f t="shared" si="3"/>
        <v>0.11529999999999996</v>
      </c>
      <c r="Y52" s="257">
        <f t="shared" si="4"/>
        <v>0.11536234277338386</v>
      </c>
      <c r="Z52" s="261">
        <f>IFERROR(INDEX([3]Rainfall_Dry!$O$2:$O$217,MATCH(C52, [3]Rainfall_Dry!$A$2:$A$217,0)),"")</f>
        <v>6.5250000359999998</v>
      </c>
      <c r="AA52" s="250">
        <v>21.96</v>
      </c>
      <c r="AB52" s="250">
        <v>8.9199999999999982</v>
      </c>
      <c r="AC52" s="250">
        <v>69.12</v>
      </c>
      <c r="AD52" s="251" t="s">
        <v>2651</v>
      </c>
      <c r="AE52" s="250">
        <v>1.7491375061606702</v>
      </c>
      <c r="AF52">
        <f>IF('WetLitterbags placem_collection'!AB53="","",'WetLitterbags placem_collection'!AB53)</f>
        <v>3</v>
      </c>
      <c r="AG52">
        <f>IF('WetLitterbags placem_collection'!Z53="","",'WetLitterbags placem_collection'!Z53)</f>
        <v>18</v>
      </c>
      <c r="AH52" s="236" t="str">
        <f>IF('WetLitterbags placem_collection'!AA53="","",'WetLitterbags placem_collection'!AA53)</f>
        <v>O</v>
      </c>
      <c r="AI52">
        <f>IF('WetLitterbags placem_collection'!AC53="","",'WetLitterbags placem_collection'!AC53)</f>
        <v>0</v>
      </c>
      <c r="AJ52">
        <f>IFERROR(AVERAGE('Dry_Litterbag Placem_Collection'!O53,'Dry_Litterbag Placem_Collection'!R53),"")</f>
        <v>2.4500000000000002</v>
      </c>
      <c r="AK52" s="261">
        <f>IFERROR(AVERAGE('Dry_Litterbag Placem_Collection'!N53,'Dry_Litterbag Placem_Collection'!Q53),"")</f>
        <v>34.450000000000003</v>
      </c>
      <c r="AL52" s="260">
        <f>INDEX([2]Coordinates!$B$2:$B$197,MATCH(I52,[2]Coordinates!$J$2:$J$197,0))</f>
        <v>-3.4063920379999999</v>
      </c>
      <c r="AM52" s="260">
        <f>INDEX([2]Coordinates!$C$2:$C$197,MATCH(I52,[2]Coordinates!$J$2:$J$197,0))</f>
        <v>34.850696020000001</v>
      </c>
      <c r="AN52" s="260" t="str">
        <f>IF(ISNUMBER(SEARCH("C", 'Dry_Litterbag Placem_Collection'!S53)),"YES","NO")</f>
        <v>NO</v>
      </c>
      <c r="AO52" s="260" t="str">
        <f>IF(ISNUMBER(SEARCH("H", 'Dry_Litterbag Placem_Collection'!S53)),"YES","NO")</f>
        <v>NO</v>
      </c>
      <c r="AP52" s="260" t="str">
        <f>IF(ISNUMBER(SEARCH("R", 'Dry_Litterbag Placem_Collection'!S53)),"YES","NO")</f>
        <v>NO</v>
      </c>
    </row>
    <row r="53" spans="1:42">
      <c r="A53" t="s">
        <v>3248</v>
      </c>
      <c r="B53" s="252" t="s">
        <v>2643</v>
      </c>
      <c r="C53" s="253">
        <f>'Dry_Litterbag Placem_Collection'!A54</f>
        <v>52</v>
      </c>
      <c r="D53" s="253" t="str">
        <f>'Dry_Litterbag Placem_Collection'!B54</f>
        <v>Makao</v>
      </c>
      <c r="E53" s="253" t="s">
        <v>2643</v>
      </c>
      <c r="F53" s="253" t="s">
        <v>20</v>
      </c>
      <c r="G53" s="253">
        <v>3</v>
      </c>
      <c r="H53" s="253" t="s">
        <v>3109</v>
      </c>
      <c r="I53" s="254" t="str">
        <f>'Dry_Litterbag Placem_Collection'!C54</f>
        <v>Dry_P3_T4</v>
      </c>
      <c r="J53" s="255" t="s">
        <v>2525</v>
      </c>
      <c r="K53" s="256" t="s">
        <v>1147</v>
      </c>
      <c r="L53" s="253" t="str">
        <f>IF(ISBLANK('Dry_Litterbag Placem_Collection'!J54),"","G"&amp;""&amp;'Dry_Litterbag Placem_Collection'!J54)</f>
        <v>G237</v>
      </c>
      <c r="M53" s="257">
        <f>IFERROR(INDEX('Green_rooibos initial weight'!$C$5:$C$2000,MATCH(L53, 'Green_rooibos initial weight'!$A$5:$A$2000,0)),"")</f>
        <v>1.988</v>
      </c>
      <c r="N53" s="257">
        <f>IFERROR(M53-(TBIcalc!$Q$9+TBIcalc!$Q$10),"")</f>
        <v>1.7382</v>
      </c>
      <c r="O53" s="378">
        <f>AVERAGE(Ashed_controlls!$K$2:$K$11)</f>
        <v>5.5147656768714146</v>
      </c>
      <c r="P53" s="257">
        <f t="shared" si="1"/>
        <v>1.6423423430046211</v>
      </c>
      <c r="Q53" s="257">
        <f>IFERROR(INDEX('Both teabags AfterDry'!$D$2:$D$2000,MATCH(L53,'Both teabags AfterDry'!$A$2:$A$2000,0)),"")</f>
        <v>1.8220000000000001</v>
      </c>
      <c r="R53" s="257">
        <f>IFERROR(IF(Q53&gt;0,Q53-(TBIcalc!$Q$9),""),"")</f>
        <v>1.6714</v>
      </c>
      <c r="S53" s="268">
        <f>IFERROR(INDEX('Ashed teabags dry'!$K$2:$K$2000,MATCH(L53,'Ashed teabags dry'!$A$2:$A$2000,0)),"")</f>
        <v>5.8161350844273088</v>
      </c>
      <c r="T53" s="268">
        <f t="shared" si="2"/>
        <v>1.5741891181988819</v>
      </c>
      <c r="U53" s="258">
        <f>IF('Dry_Litterbag Placem_Collection'!E54="","",'Dry_Litterbag Placem_Collection'!E54)</f>
        <v>42938</v>
      </c>
      <c r="V53" s="258">
        <f>IF('Dry_Litterbag Placem_Collection'!G54="","",'Dry_Litterbag Placem_Collection'!G54)</f>
        <v>43005</v>
      </c>
      <c r="W53" s="259">
        <f t="shared" si="0"/>
        <v>67</v>
      </c>
      <c r="X53" s="257">
        <f t="shared" si="3"/>
        <v>6.6799999999999971E-2</v>
      </c>
      <c r="Y53" s="257">
        <f t="shared" si="4"/>
        <v>6.8153224805739265E-2</v>
      </c>
      <c r="Z53" s="261">
        <f>IFERROR(INDEX([3]Rainfall_Dry!$O$2:$O$217,MATCH(C53, [3]Rainfall_Dry!$A$2:$A$217,0)),"")</f>
        <v>6.5250000359999998</v>
      </c>
      <c r="AA53" s="250">
        <v>21.96</v>
      </c>
      <c r="AB53" s="250">
        <v>8.9199999999999982</v>
      </c>
      <c r="AC53" s="250">
        <v>69.12</v>
      </c>
      <c r="AD53" s="251" t="s">
        <v>2651</v>
      </c>
      <c r="AE53" s="250">
        <v>1.7491375061606702</v>
      </c>
      <c r="AF53">
        <f>IF('WetLitterbags placem_collection'!AB54="","",'WetLitterbags placem_collection'!AB54)</f>
        <v>13.4</v>
      </c>
      <c r="AG53">
        <f>IF('WetLitterbags placem_collection'!Z54="","",'WetLitterbags placem_collection'!Z54)</f>
        <v>67</v>
      </c>
      <c r="AH53" s="236" t="str">
        <f>IF('WetLitterbags placem_collection'!AA54="","",'WetLitterbags placem_collection'!AA54)</f>
        <v>M</v>
      </c>
      <c r="AI53">
        <f>IF('WetLitterbags placem_collection'!AC54="","",'WetLitterbags placem_collection'!AC54)</f>
        <v>1</v>
      </c>
      <c r="AJ53">
        <f>IFERROR(AVERAGE('Dry_Litterbag Placem_Collection'!O54,'Dry_Litterbag Placem_Collection'!R54),"")</f>
        <v>5.75</v>
      </c>
      <c r="AK53" s="261">
        <f>IFERROR(AVERAGE('Dry_Litterbag Placem_Collection'!N54,'Dry_Litterbag Placem_Collection'!Q54),"")</f>
        <v>30.75</v>
      </c>
      <c r="AL53" s="260">
        <f>INDEX([2]Coordinates!$B$2:$B$197,MATCH(I53,[2]Coordinates!$J$2:$J$197,0))</f>
        <v>-3.4061569999999999</v>
      </c>
      <c r="AM53" s="260">
        <f>INDEX([2]Coordinates!$C$2:$C$197,MATCH(I53,[2]Coordinates!$J$2:$J$197,0))</f>
        <v>34.850738999999997</v>
      </c>
      <c r="AN53" s="260" t="str">
        <f>IF(ISNUMBER(SEARCH("C", 'Dry_Litterbag Placem_Collection'!S54)),"YES","NO")</f>
        <v>NO</v>
      </c>
      <c r="AO53" s="260" t="str">
        <f>IF(ISNUMBER(SEARCH("H", 'Dry_Litterbag Placem_Collection'!S54)),"YES","NO")</f>
        <v>NO</v>
      </c>
      <c r="AP53" s="260" t="str">
        <f>IF(ISNUMBER(SEARCH("R", 'Dry_Litterbag Placem_Collection'!S54)),"YES","NO")</f>
        <v>NO</v>
      </c>
    </row>
    <row r="54" spans="1:42">
      <c r="A54" t="s">
        <v>3248</v>
      </c>
      <c r="B54" s="252" t="s">
        <v>2643</v>
      </c>
      <c r="C54" s="253">
        <f>'Dry_Litterbag Placem_Collection'!A55</f>
        <v>53</v>
      </c>
      <c r="D54" s="253" t="str">
        <f>'Dry_Litterbag Placem_Collection'!B55</f>
        <v>Makao</v>
      </c>
      <c r="E54" s="253" t="s">
        <v>2643</v>
      </c>
      <c r="F54" s="253" t="s">
        <v>20</v>
      </c>
      <c r="G54" s="253">
        <v>3</v>
      </c>
      <c r="H54" s="253" t="s">
        <v>3109</v>
      </c>
      <c r="I54" s="254" t="str">
        <f>'Dry_Litterbag Placem_Collection'!C55</f>
        <v>Dry_P3_T5</v>
      </c>
      <c r="J54" s="255" t="s">
        <v>2525</v>
      </c>
      <c r="K54" s="256" t="s">
        <v>1147</v>
      </c>
      <c r="L54" s="253" t="str">
        <f>IF(ISBLANK('Dry_Litterbag Placem_Collection'!J55),"","G"&amp;""&amp;'Dry_Litterbag Placem_Collection'!J55)</f>
        <v>G172</v>
      </c>
      <c r="M54" s="257">
        <f>IFERROR(INDEX('Green_rooibos initial weight'!$C$5:$C$2000,MATCH(L54, 'Green_rooibos initial weight'!$A$5:$A$2000,0)),"")</f>
        <v>1.9870000000000001</v>
      </c>
      <c r="N54" s="257">
        <f>IFERROR(M54-(TBIcalc!$Q$9+TBIcalc!$Q$10),"")</f>
        <v>1.7372000000000001</v>
      </c>
      <c r="O54" s="378">
        <f>AVERAGE(Ashed_controlls!$K$2:$K$11)</f>
        <v>5.5147656768714146</v>
      </c>
      <c r="P54" s="257">
        <f t="shared" si="1"/>
        <v>1.64139749066139</v>
      </c>
      <c r="Q54" s="257">
        <f>IFERROR(INDEX('Both teabags AfterDry'!$D$2:$D$2000,MATCH(L54,'Both teabags AfterDry'!$A$2:$A$2000,0)),"")</f>
        <v>1.8197000000000001</v>
      </c>
      <c r="R54" s="257">
        <f>IFERROR(IF(Q54&gt;0,Q54-(TBIcalc!$Q$9),""),"")</f>
        <v>1.6691</v>
      </c>
      <c r="S54" s="268">
        <f>IFERROR(INDEX('Ashed teabags dry'!$K$2:$K$2000,MATCH(L54,'Ashed teabags dry'!$A$2:$A$2000,0)),"")</f>
        <v>5.6308213378488601</v>
      </c>
      <c r="T54" s="268">
        <f t="shared" si="2"/>
        <v>1.5751159610499648</v>
      </c>
      <c r="U54" s="258">
        <f>IF('Dry_Litterbag Placem_Collection'!E55="","",'Dry_Litterbag Placem_Collection'!E55)</f>
        <v>42938</v>
      </c>
      <c r="V54" s="258">
        <f>IF('Dry_Litterbag Placem_Collection'!G55="","",'Dry_Litterbag Placem_Collection'!G55)</f>
        <v>43005</v>
      </c>
      <c r="W54" s="259">
        <f t="shared" si="0"/>
        <v>67</v>
      </c>
      <c r="X54" s="257">
        <f t="shared" si="3"/>
        <v>6.8100000000000049E-2</v>
      </c>
      <c r="Y54" s="257">
        <f t="shared" si="4"/>
        <v>6.6281529611425194E-2</v>
      </c>
      <c r="Z54" s="261">
        <f>IFERROR(INDEX([3]Rainfall_Dry!$O$2:$O$217,MATCH(C54, [3]Rainfall_Dry!$A$2:$A$217,0)),"")</f>
        <v>6.5250000359999998</v>
      </c>
      <c r="AA54" s="250">
        <v>21.96</v>
      </c>
      <c r="AB54" s="250">
        <v>8.9199999999999982</v>
      </c>
      <c r="AC54" s="250">
        <v>69.12</v>
      </c>
      <c r="AD54" s="251" t="s">
        <v>2651</v>
      </c>
      <c r="AE54" s="250">
        <v>1.7491375061606702</v>
      </c>
      <c r="AF54" t="str">
        <f>IF('WetLitterbags placem_collection'!AB55="","",'WetLitterbags placem_collection'!AB55)</f>
        <v/>
      </c>
      <c r="AG54" t="str">
        <f>IF('WetLitterbags placem_collection'!Z55="","",'WetLitterbags placem_collection'!Z55)</f>
        <v/>
      </c>
      <c r="AH54" s="236" t="str">
        <f>IF('WetLitterbags placem_collection'!AA55="","",'WetLitterbags placem_collection'!AA55)</f>
        <v/>
      </c>
      <c r="AI54" t="str">
        <f>IF('WetLitterbags placem_collection'!AC55="","",'WetLitterbags placem_collection'!AC55)</f>
        <v/>
      </c>
      <c r="AJ54">
        <f>IFERROR(AVERAGE('Dry_Litterbag Placem_Collection'!O55,'Dry_Litterbag Placem_Collection'!R55),"")</f>
        <v>6.5</v>
      </c>
      <c r="AK54" s="261">
        <f>IFERROR(AVERAGE('Dry_Litterbag Placem_Collection'!N55,'Dry_Litterbag Placem_Collection'!Q55),"")</f>
        <v>30.4</v>
      </c>
      <c r="AL54" s="260">
        <f>INDEX([2]Coordinates!$B$2:$B$197,MATCH(I54,[2]Coordinates!$J$2:$J$197,0))</f>
        <v>-3.4061140000000001</v>
      </c>
      <c r="AM54" s="260">
        <f>INDEX([2]Coordinates!$C$2:$C$197,MATCH(I54,[2]Coordinates!$J$2:$J$197,0))</f>
        <v>34.850596000000003</v>
      </c>
      <c r="AN54" s="260" t="str">
        <f>IF(ISNUMBER(SEARCH("C", 'Dry_Litterbag Placem_Collection'!S55)),"YES","NO")</f>
        <v>NO</v>
      </c>
      <c r="AO54" s="260" t="str">
        <f>IF(ISNUMBER(SEARCH("H", 'Dry_Litterbag Placem_Collection'!S55)),"YES","NO")</f>
        <v>NO</v>
      </c>
      <c r="AP54" s="260" t="str">
        <f>IF(ISNUMBER(SEARCH("R", 'Dry_Litterbag Placem_Collection'!S55)),"YES","NO")</f>
        <v>NO</v>
      </c>
    </row>
    <row r="55" spans="1:42">
      <c r="A55" t="s">
        <v>3248</v>
      </c>
      <c r="B55" s="252" t="s">
        <v>2643</v>
      </c>
      <c r="C55" s="253">
        <f>'Dry_Litterbag Placem_Collection'!A56</f>
        <v>54</v>
      </c>
      <c r="D55" s="253" t="str">
        <f>'Dry_Litterbag Placem_Collection'!B56</f>
        <v>Makao</v>
      </c>
      <c r="E55" s="253" t="s">
        <v>2643</v>
      </c>
      <c r="F55" s="253" t="s">
        <v>20</v>
      </c>
      <c r="G55" s="253">
        <v>3</v>
      </c>
      <c r="H55" s="253" t="s">
        <v>3109</v>
      </c>
      <c r="I55" s="254" t="str">
        <f>'Dry_Litterbag Placem_Collection'!C56</f>
        <v>Dry_P3_T6</v>
      </c>
      <c r="J55" s="255" t="s">
        <v>2525</v>
      </c>
      <c r="K55" s="256" t="s">
        <v>1147</v>
      </c>
      <c r="L55" s="253" t="str">
        <f>IF(ISBLANK('Dry_Litterbag Placem_Collection'!J56),"","G"&amp;""&amp;'Dry_Litterbag Placem_Collection'!J56)</f>
        <v/>
      </c>
      <c r="M55" s="257" t="str">
        <f>IFERROR(INDEX('Green_rooibos initial weight'!$C$5:$C$2000,MATCH(L55, 'Green_rooibos initial weight'!$A$5:$A$2000,0)),"")</f>
        <v/>
      </c>
      <c r="N55" s="257" t="str">
        <f>IFERROR(M55-(TBIcalc!$Q$9+TBIcalc!$Q$10),"")</f>
        <v/>
      </c>
      <c r="O55" s="378">
        <f>AVERAGE(Ashed_controlls!$K$2:$K$11)</f>
        <v>5.5147656768714146</v>
      </c>
      <c r="P55" s="257" t="str">
        <f t="shared" si="1"/>
        <v/>
      </c>
      <c r="Q55" s="257" t="str">
        <f>IFERROR(INDEX('Both teabags AfterDry'!$D$2:$D$2000,MATCH(L55,'Both teabags AfterDry'!$A$2:$A$2000,0)),"")</f>
        <v/>
      </c>
      <c r="R55" s="257" t="str">
        <f>IFERROR(IF(Q55&gt;0,Q55-(TBIcalc!$Q$9),""),"")</f>
        <v/>
      </c>
      <c r="S55" s="268" t="str">
        <f>IFERROR(INDEX('Ashed teabags dry'!$K$2:$K$2000,MATCH(L55,'Ashed teabags dry'!$A$2:$A$2000,0)),"")</f>
        <v/>
      </c>
      <c r="T55" s="268" t="str">
        <f t="shared" si="2"/>
        <v/>
      </c>
      <c r="U55" s="258" t="str">
        <f>IF('Dry_Litterbag Placem_Collection'!E56="","",'Dry_Litterbag Placem_Collection'!E56)</f>
        <v/>
      </c>
      <c r="V55" s="258" t="str">
        <f>IF('Dry_Litterbag Placem_Collection'!G56="","",'Dry_Litterbag Placem_Collection'!G56)</f>
        <v/>
      </c>
      <c r="W55" s="259" t="str">
        <f t="shared" si="0"/>
        <v/>
      </c>
      <c r="X55" s="257" t="str">
        <f t="shared" si="3"/>
        <v/>
      </c>
      <c r="Y55" s="257" t="str">
        <f t="shared" si="4"/>
        <v/>
      </c>
      <c r="Z55" s="261" t="str">
        <f>IFERROR(INDEX([3]Rainfall_Dry!$O$2:$O$217,MATCH(C55, [3]Rainfall_Dry!$A$2:$A$217,0)),"")</f>
        <v/>
      </c>
      <c r="AA55" s="250">
        <v>21.96</v>
      </c>
      <c r="AB55" s="250">
        <v>8.9199999999999982</v>
      </c>
      <c r="AC55" s="250">
        <v>69.12</v>
      </c>
      <c r="AD55" s="251" t="s">
        <v>2651</v>
      </c>
      <c r="AE55" s="250">
        <v>1.7491375061606702</v>
      </c>
      <c r="AF55" t="str">
        <f>IF('WetLitterbags placem_collection'!AB56="","",'WetLitterbags placem_collection'!AB56)</f>
        <v/>
      </c>
      <c r="AG55" t="str">
        <f>IF('WetLitterbags placem_collection'!Z56="","",'WetLitterbags placem_collection'!Z56)</f>
        <v/>
      </c>
      <c r="AH55" s="236" t="str">
        <f>IF('WetLitterbags placem_collection'!AA56="","",'WetLitterbags placem_collection'!AA56)</f>
        <v/>
      </c>
      <c r="AI55" t="str">
        <f>IF('WetLitterbags placem_collection'!AC56="","",'WetLitterbags placem_collection'!AC56)</f>
        <v/>
      </c>
      <c r="AJ55" t="str">
        <f>IFERROR(AVERAGE('Dry_Litterbag Placem_Collection'!O56,'Dry_Litterbag Placem_Collection'!R56),"")</f>
        <v/>
      </c>
      <c r="AK55" s="261" t="str">
        <f>IFERROR(AVERAGE('Dry_Litterbag Placem_Collection'!N56,'Dry_Litterbag Placem_Collection'!Q56),"")</f>
        <v/>
      </c>
      <c r="AL55" s="260">
        <f>INDEX([2]Coordinates!$B$2:$B$197,MATCH(I55,[2]Coordinates!$J$2:$J$197,0))</f>
        <v>-3.406058019</v>
      </c>
      <c r="AM55" s="260">
        <f>INDEX([2]Coordinates!$C$2:$C$197,MATCH(I55,[2]Coordinates!$J$2:$J$197,0))</f>
        <v>34.850466019999999</v>
      </c>
      <c r="AN55" s="260" t="str">
        <f>IF(ISNUMBER(SEARCH("C", 'Dry_Litterbag Placem_Collection'!S56)),"YES","NO")</f>
        <v>NO</v>
      </c>
      <c r="AO55" s="260" t="str">
        <f>IF(ISNUMBER(SEARCH("H", 'Dry_Litterbag Placem_Collection'!S56)),"YES","NO")</f>
        <v>NO</v>
      </c>
      <c r="AP55" s="260" t="str">
        <f>IF(ISNUMBER(SEARCH("R", 'Dry_Litterbag Placem_Collection'!S56)),"YES","NO")</f>
        <v>NO</v>
      </c>
    </row>
    <row r="56" spans="1:42">
      <c r="A56" t="s">
        <v>3248</v>
      </c>
      <c r="B56" s="252" t="s">
        <v>2643</v>
      </c>
      <c r="C56" s="253">
        <f>'Dry_Litterbag Placem_Collection'!A57</f>
        <v>55</v>
      </c>
      <c r="D56" s="253" t="str">
        <f>'Dry_Litterbag Placem_Collection'!B57</f>
        <v>Makao</v>
      </c>
      <c r="E56" s="253" t="s">
        <v>2643</v>
      </c>
      <c r="F56" s="253" t="s">
        <v>20</v>
      </c>
      <c r="G56" s="253">
        <v>3</v>
      </c>
      <c r="H56" s="253" t="s">
        <v>3109</v>
      </c>
      <c r="I56" s="254" t="str">
        <f>'Dry_Litterbag Placem_Collection'!C57</f>
        <v>Dry_P3_T7</v>
      </c>
      <c r="J56" s="255" t="s">
        <v>2525</v>
      </c>
      <c r="K56" s="256" t="s">
        <v>1147</v>
      </c>
      <c r="L56" s="253" t="str">
        <f>IF(ISBLANK('Dry_Litterbag Placem_Collection'!J57),"","G"&amp;""&amp;'Dry_Litterbag Placem_Collection'!J57)</f>
        <v>G86</v>
      </c>
      <c r="M56" s="257">
        <f>IFERROR(INDEX('Green_rooibos initial weight'!$C$5:$C$2000,MATCH(L56, 'Green_rooibos initial weight'!$A$5:$A$2000,0)),"")</f>
        <v>2.1030000000000002</v>
      </c>
      <c r="N56" s="257">
        <f>IFERROR(M56-(TBIcalc!$Q$9+TBIcalc!$Q$10),"")</f>
        <v>1.8532000000000002</v>
      </c>
      <c r="O56" s="378">
        <f>AVERAGE(Ashed_controlls!$K$2:$K$11)</f>
        <v>5.5147656768714146</v>
      </c>
      <c r="P56" s="257">
        <f t="shared" si="1"/>
        <v>1.7510003624762192</v>
      </c>
      <c r="Q56" s="257">
        <f>IFERROR(INDEX('Both teabags AfterDry'!$D$2:$D$2000,MATCH(L56,'Both teabags AfterDry'!$A$2:$A$2000,0)),"")</f>
        <v>1.8914</v>
      </c>
      <c r="R56" s="257">
        <f>IFERROR(IF(Q56&gt;0,Q56-(TBIcalc!$Q$9),""),"")</f>
        <v>1.7407999999999999</v>
      </c>
      <c r="S56" s="268">
        <f>IFERROR(INDEX('Ashed teabags dry'!$K$2:$K$2000,MATCH(L56,'Ashed teabags dry'!$A$2:$A$2000,0)),"")</f>
        <v>6.1160714285713613</v>
      </c>
      <c r="T56" s="268">
        <f t="shared" si="2"/>
        <v>1.6343314285714297</v>
      </c>
      <c r="U56" s="258">
        <f>IF('Dry_Litterbag Placem_Collection'!E57="","",'Dry_Litterbag Placem_Collection'!E57)</f>
        <v>42938</v>
      </c>
      <c r="V56" s="258">
        <f>IF('Dry_Litterbag Placem_Collection'!G57="","",'Dry_Litterbag Placem_Collection'!G57)</f>
        <v>43005</v>
      </c>
      <c r="W56" s="259">
        <f t="shared" si="0"/>
        <v>67</v>
      </c>
      <c r="X56" s="257">
        <f t="shared" si="3"/>
        <v>0.11240000000000028</v>
      </c>
      <c r="Y56" s="257">
        <f t="shared" si="4"/>
        <v>0.1166689339047895</v>
      </c>
      <c r="Z56" s="261">
        <f>IFERROR(INDEX([3]Rainfall_Dry!$O$2:$O$217,MATCH(C56, [3]Rainfall_Dry!$A$2:$A$217,0)),"")</f>
        <v>6.5250000359999998</v>
      </c>
      <c r="AA56" s="250">
        <v>21.96</v>
      </c>
      <c r="AB56" s="250">
        <v>8.9199999999999982</v>
      </c>
      <c r="AC56" s="250">
        <v>69.12</v>
      </c>
      <c r="AD56" s="251" t="s">
        <v>2651</v>
      </c>
      <c r="AE56" s="250">
        <v>1.7491375061606702</v>
      </c>
      <c r="AF56">
        <f>IF('WetLitterbags placem_collection'!AB57="","",'WetLitterbags placem_collection'!AB57)</f>
        <v>15.8</v>
      </c>
      <c r="AG56">
        <f>IF('WetLitterbags placem_collection'!Z57="","",'WetLitterbags placem_collection'!Z57)</f>
        <v>45</v>
      </c>
      <c r="AH56" s="236" t="str">
        <f>IF('WetLitterbags placem_collection'!AA57="","",'WetLitterbags placem_collection'!AA57)</f>
        <v>M</v>
      </c>
      <c r="AI56">
        <f>IF('WetLitterbags placem_collection'!AC57="","",'WetLitterbags placem_collection'!AC57)</f>
        <v>1</v>
      </c>
      <c r="AJ56">
        <f>IFERROR(AVERAGE('Dry_Litterbag Placem_Collection'!O57,'Dry_Litterbag Placem_Collection'!R57),"")</f>
        <v>4.8</v>
      </c>
      <c r="AK56" s="261">
        <f>IFERROR(AVERAGE('Dry_Litterbag Placem_Collection'!N57,'Dry_Litterbag Placem_Collection'!Q57),"")</f>
        <v>31.9</v>
      </c>
      <c r="AL56" s="260">
        <f>INDEX([2]Coordinates!$B$2:$B$197,MATCH(I56,[2]Coordinates!$J$2:$J$197,0))</f>
        <v>-3.4061389879999999</v>
      </c>
      <c r="AM56" s="260">
        <f>INDEX([2]Coordinates!$C$2:$C$197,MATCH(I56,[2]Coordinates!$J$2:$J$197,0))</f>
        <v>34.850574979999998</v>
      </c>
      <c r="AN56" s="260" t="str">
        <f>IF(ISNUMBER(SEARCH("C", 'Dry_Litterbag Placem_Collection'!S57)),"YES","NO")</f>
        <v>YES</v>
      </c>
      <c r="AO56" s="260" t="str">
        <f>IF(ISNUMBER(SEARCH("H", 'Dry_Litterbag Placem_Collection'!S57)),"YES","NO")</f>
        <v>YES</v>
      </c>
      <c r="AP56" s="260" t="str">
        <f>IF(ISNUMBER(SEARCH("R", 'Dry_Litterbag Placem_Collection'!S57)),"YES","NO")</f>
        <v>NO</v>
      </c>
    </row>
    <row r="57" spans="1:42">
      <c r="A57" t="s">
        <v>3248</v>
      </c>
      <c r="B57" s="252" t="s">
        <v>2643</v>
      </c>
      <c r="C57" s="253">
        <f>'Dry_Litterbag Placem_Collection'!A58</f>
        <v>56</v>
      </c>
      <c r="D57" s="253" t="str">
        <f>'Dry_Litterbag Placem_Collection'!B58</f>
        <v>Makao</v>
      </c>
      <c r="E57" s="253" t="s">
        <v>2643</v>
      </c>
      <c r="F57" s="253" t="s">
        <v>20</v>
      </c>
      <c r="G57" s="253">
        <v>3</v>
      </c>
      <c r="H57" s="253" t="s">
        <v>3109</v>
      </c>
      <c r="I57" s="254" t="str">
        <f>'Dry_Litterbag Placem_Collection'!C58</f>
        <v>Dry_P3_T8</v>
      </c>
      <c r="J57" s="255" t="s">
        <v>2525</v>
      </c>
      <c r="K57" s="256" t="s">
        <v>1147</v>
      </c>
      <c r="L57" s="253" t="str">
        <f>IF(ISBLANK('Dry_Litterbag Placem_Collection'!J58),"","G"&amp;""&amp;'Dry_Litterbag Placem_Collection'!J58)</f>
        <v>G107</v>
      </c>
      <c r="M57" s="257">
        <f>IFERROR(INDEX('Green_rooibos initial weight'!$C$5:$C$2000,MATCH(L57, 'Green_rooibos initial weight'!$A$5:$A$2000,0)),"")</f>
        <v>2.1749999999999998</v>
      </c>
      <c r="N57" s="257">
        <f>IFERROR(M57-(TBIcalc!$Q$9+TBIcalc!$Q$10),"")</f>
        <v>1.9251999999999998</v>
      </c>
      <c r="O57" s="378">
        <f>AVERAGE(Ashed_controlls!$K$2:$K$11)</f>
        <v>5.5147656768714146</v>
      </c>
      <c r="P57" s="257">
        <f t="shared" si="1"/>
        <v>1.8190297311888712</v>
      </c>
      <c r="Q57" s="257">
        <f>IFERROR(INDEX('Both teabags AfterDry'!$D$2:$D$2000,MATCH(L57,'Both teabags AfterDry'!$A$2:$A$2000,0)),"")</f>
        <v>2.0276000000000001</v>
      </c>
      <c r="R57" s="257">
        <f>IFERROR(IF(Q57&gt;0,Q57-(TBIcalc!$Q$9),""),"")</f>
        <v>1.877</v>
      </c>
      <c r="S57" s="268">
        <f>IFERROR(INDEX('Ashed teabags dry'!$K$2:$K$2000,MATCH(L57,'Ashed teabags dry'!$A$2:$A$2000,0)),"")</f>
        <v>5.6218057921633493</v>
      </c>
      <c r="T57" s="268">
        <f t="shared" si="2"/>
        <v>1.7714787052810939</v>
      </c>
      <c r="U57" s="258">
        <f>IF('Dry_Litterbag Placem_Collection'!E58="","",'Dry_Litterbag Placem_Collection'!E58)</f>
        <v>42938</v>
      </c>
      <c r="V57" s="258">
        <f>IF('Dry_Litterbag Placem_Collection'!G58="","",'Dry_Litterbag Placem_Collection'!G58)</f>
        <v>43005</v>
      </c>
      <c r="W57" s="259">
        <f t="shared" si="0"/>
        <v>67</v>
      </c>
      <c r="X57" s="257">
        <f t="shared" si="3"/>
        <v>4.8199999999999799E-2</v>
      </c>
      <c r="Y57" s="257">
        <f t="shared" si="4"/>
        <v>4.7551025907777378E-2</v>
      </c>
      <c r="Z57" s="261">
        <f>IFERROR(INDEX([3]Rainfall_Dry!$O$2:$O$217,MATCH(C57, [3]Rainfall_Dry!$A$2:$A$217,0)),"")</f>
        <v>6.5250000359999998</v>
      </c>
      <c r="AA57" s="250">
        <v>21.96</v>
      </c>
      <c r="AB57" s="250">
        <v>8.9199999999999982</v>
      </c>
      <c r="AC57" s="250">
        <v>69.12</v>
      </c>
      <c r="AD57" s="251" t="s">
        <v>2651</v>
      </c>
      <c r="AE57" s="250">
        <v>1.7491375061606702</v>
      </c>
      <c r="AF57">
        <f>IF('WetLitterbags placem_collection'!AB58="","",'WetLitterbags placem_collection'!AB58)</f>
        <v>15.4</v>
      </c>
      <c r="AG57">
        <f>IF('WetLitterbags placem_collection'!Z58="","",'WetLitterbags placem_collection'!Z58)</f>
        <v>30.8</v>
      </c>
      <c r="AH57" s="236" t="str">
        <f>IF('WetLitterbags placem_collection'!AA58="","",'WetLitterbags placem_collection'!AA58)</f>
        <v>M</v>
      </c>
      <c r="AI57">
        <f>IF('WetLitterbags placem_collection'!AC58="","",'WetLitterbags placem_collection'!AC58)</f>
        <v>0</v>
      </c>
      <c r="AJ57">
        <f>IFERROR(AVERAGE('Dry_Litterbag Placem_Collection'!O58,'Dry_Litterbag Placem_Collection'!R58),"")</f>
        <v>8.3000000000000007</v>
      </c>
      <c r="AK57" s="261">
        <f>IFERROR(AVERAGE('Dry_Litterbag Placem_Collection'!N58,'Dry_Litterbag Placem_Collection'!Q58),"")</f>
        <v>30.049999999999997</v>
      </c>
      <c r="AL57" s="260">
        <f>INDEX([2]Coordinates!$B$2:$B$197,MATCH(I57,[2]Coordinates!$J$2:$J$197,0))</f>
        <v>-3.4062900300000001</v>
      </c>
      <c r="AM57" s="260">
        <f>INDEX([2]Coordinates!$C$2:$C$197,MATCH(I57,[2]Coordinates!$J$2:$J$197,0))</f>
        <v>34.850441959999998</v>
      </c>
      <c r="AN57" s="260" t="str">
        <f>IF(ISNUMBER(SEARCH("C", 'Dry_Litterbag Placem_Collection'!S58)),"YES","NO")</f>
        <v>NO</v>
      </c>
      <c r="AO57" s="260" t="str">
        <f>IF(ISNUMBER(SEARCH("H", 'Dry_Litterbag Placem_Collection'!S58)),"YES","NO")</f>
        <v>NO</v>
      </c>
      <c r="AP57" s="260" t="str">
        <f>IF(ISNUMBER(SEARCH("R", 'Dry_Litterbag Placem_Collection'!S58)),"YES","NO")</f>
        <v>NO</v>
      </c>
    </row>
    <row r="58" spans="1:42">
      <c r="A58" t="s">
        <v>3248</v>
      </c>
      <c r="B58" s="252" t="s">
        <v>2643</v>
      </c>
      <c r="C58" s="253">
        <f>'Dry_Litterbag Placem_Collection'!A59</f>
        <v>57</v>
      </c>
      <c r="D58" s="253" t="str">
        <f>'Dry_Litterbag Placem_Collection'!B59</f>
        <v>Makao</v>
      </c>
      <c r="E58" s="253" t="s">
        <v>2643</v>
      </c>
      <c r="F58" s="253" t="s">
        <v>20</v>
      </c>
      <c r="G58" s="253">
        <v>4</v>
      </c>
      <c r="H58" s="253" t="s">
        <v>3110</v>
      </c>
      <c r="I58" s="254" t="str">
        <f>'Dry_Litterbag Placem_Collection'!C59</f>
        <v>Dry_P4_T1</v>
      </c>
      <c r="J58" s="255" t="s">
        <v>2525</v>
      </c>
      <c r="K58" s="256" t="s">
        <v>1147</v>
      </c>
      <c r="L58" s="253" t="str">
        <f>IF(ISBLANK('Dry_Litterbag Placem_Collection'!J59),"","G"&amp;""&amp;'Dry_Litterbag Placem_Collection'!J59)</f>
        <v>G41</v>
      </c>
      <c r="M58" s="257">
        <f>IFERROR(INDEX('Green_rooibos initial weight'!$C$5:$C$2000,MATCH(L58, 'Green_rooibos initial weight'!$A$5:$A$2000,0)),"")</f>
        <v>1.9850000000000001</v>
      </c>
      <c r="N58" s="257">
        <f>IFERROR(M58-(TBIcalc!$Q$9+TBIcalc!$Q$10),"")</f>
        <v>1.7352000000000001</v>
      </c>
      <c r="O58" s="378">
        <f>AVERAGE(Ashed_controlls!$K$2:$K$11)</f>
        <v>5.5147656768714146</v>
      </c>
      <c r="P58" s="257">
        <f t="shared" si="1"/>
        <v>1.6395077859749272</v>
      </c>
      <c r="Q58" s="257">
        <f>IFERROR(INDEX('Both teabags AfterDry'!$D$2:$D$2000,MATCH(L58,'Both teabags AfterDry'!$A$2:$A$2000,0)),"")</f>
        <v>1.7847</v>
      </c>
      <c r="R58" s="257">
        <f>IFERROR(IF(Q58&gt;0,Q58-(TBIcalc!$Q$9),""),"")</f>
        <v>1.6340999999999999</v>
      </c>
      <c r="S58" s="268">
        <f>IFERROR(INDEX('Ashed teabags dry'!$K$2:$K$2000,MATCH(L58,'Ashed teabags dry'!$A$2:$A$2000,0)),"")</f>
        <v>6.1166429587480353</v>
      </c>
      <c r="T58" s="268">
        <f t="shared" si="2"/>
        <v>1.5341479374110982</v>
      </c>
      <c r="U58" s="258">
        <f>IF('Dry_Litterbag Placem_Collection'!E59="","",'Dry_Litterbag Placem_Collection'!E59)</f>
        <v>42938</v>
      </c>
      <c r="V58" s="258">
        <f>IF('Dry_Litterbag Placem_Collection'!G59="","",'Dry_Litterbag Placem_Collection'!G59)</f>
        <v>43005</v>
      </c>
      <c r="W58" s="259">
        <f t="shared" si="0"/>
        <v>67</v>
      </c>
      <c r="X58" s="257">
        <f t="shared" si="3"/>
        <v>0.10110000000000019</v>
      </c>
      <c r="Y58" s="257">
        <f t="shared" si="4"/>
        <v>0.10535984856382896</v>
      </c>
      <c r="Z58" s="261">
        <f>IFERROR(INDEX([3]Rainfall_Dry!$O$2:$O$217,MATCH(C58, [3]Rainfall_Dry!$A$2:$A$217,0)),"")</f>
        <v>6.5250000359999998</v>
      </c>
      <c r="AA58" s="250">
        <v>25.96</v>
      </c>
      <c r="AB58" s="250">
        <v>6.9200000000000008</v>
      </c>
      <c r="AC58" s="250">
        <v>67.12</v>
      </c>
      <c r="AD58" s="251" t="s">
        <v>2651</v>
      </c>
      <c r="AE58" s="250">
        <v>1.7568260226712666</v>
      </c>
      <c r="AF58">
        <f>IF('WetLitterbags placem_collection'!AB59="","",'WetLitterbags placem_collection'!AB59)</f>
        <v>3.3</v>
      </c>
      <c r="AG58">
        <f>IF('WetLitterbags placem_collection'!Z59="","",'WetLitterbags placem_collection'!Z59)</f>
        <v>28.4</v>
      </c>
      <c r="AH58" s="236" t="str">
        <f>IF('WetLitterbags placem_collection'!AA59="","",'WetLitterbags placem_collection'!AA59)</f>
        <v>O</v>
      </c>
      <c r="AI58">
        <f>IF('WetLitterbags placem_collection'!AC59="","",'WetLitterbags placem_collection'!AC59)</f>
        <v>1</v>
      </c>
      <c r="AJ58">
        <f>IFERROR(AVERAGE('Dry_Litterbag Placem_Collection'!O59,'Dry_Litterbag Placem_Collection'!R59),"")</f>
        <v>3.95</v>
      </c>
      <c r="AK58" s="261">
        <f>IFERROR(AVERAGE('Dry_Litterbag Placem_Collection'!N59,'Dry_Litterbag Placem_Collection'!Q59),"")</f>
        <v>33.25</v>
      </c>
      <c r="AL58" s="260">
        <f>INDEX([2]Coordinates!$B$2:$B$197,MATCH(I58,[2]Coordinates!$J$2:$J$197,0))</f>
        <v>-3.4064239729999999</v>
      </c>
      <c r="AM58" s="260">
        <f>INDEX([2]Coordinates!$C$2:$C$197,MATCH(I58,[2]Coordinates!$J$2:$J$197,0))</f>
        <v>34.851213010000002</v>
      </c>
      <c r="AN58" s="260" t="str">
        <f>IF(ISNUMBER(SEARCH("C", 'Dry_Litterbag Placem_Collection'!S59)),"YES","NO")</f>
        <v>NO</v>
      </c>
      <c r="AO58" s="260" t="str">
        <f>IF(ISNUMBER(SEARCH("H", 'Dry_Litterbag Placem_Collection'!S59)),"YES","NO")</f>
        <v>NO</v>
      </c>
      <c r="AP58" s="260" t="str">
        <f>IF(ISNUMBER(SEARCH("R", 'Dry_Litterbag Placem_Collection'!S59)),"YES","NO")</f>
        <v>NO</v>
      </c>
    </row>
    <row r="59" spans="1:42">
      <c r="A59" t="s">
        <v>3248</v>
      </c>
      <c r="B59" s="252" t="s">
        <v>2643</v>
      </c>
      <c r="C59" s="253">
        <f>'Dry_Litterbag Placem_Collection'!A60</f>
        <v>58</v>
      </c>
      <c r="D59" s="253" t="str">
        <f>'Dry_Litterbag Placem_Collection'!B60</f>
        <v>Makao</v>
      </c>
      <c r="E59" s="253" t="s">
        <v>2643</v>
      </c>
      <c r="F59" s="253" t="s">
        <v>20</v>
      </c>
      <c r="G59" s="253">
        <v>4</v>
      </c>
      <c r="H59" s="253" t="s">
        <v>3110</v>
      </c>
      <c r="I59" s="254" t="str">
        <f>'Dry_Litterbag Placem_Collection'!C60</f>
        <v>Dry_P4_T2</v>
      </c>
      <c r="J59" s="255" t="s">
        <v>2525</v>
      </c>
      <c r="K59" s="256" t="s">
        <v>1147</v>
      </c>
      <c r="L59" s="253" t="str">
        <f>IF(ISBLANK('Dry_Litterbag Placem_Collection'!J60),"","G"&amp;""&amp;'Dry_Litterbag Placem_Collection'!J60)</f>
        <v>G481</v>
      </c>
      <c r="M59" s="257">
        <f>IFERROR(INDEX('Green_rooibos initial weight'!$C$5:$C$2000,MATCH(L59, 'Green_rooibos initial weight'!$A$5:$A$2000,0)),"")</f>
        <v>2.0529999999999999</v>
      </c>
      <c r="N59" s="257">
        <f>IFERROR(M59-(TBIcalc!$Q$9+TBIcalc!$Q$10),"")</f>
        <v>1.8031999999999999</v>
      </c>
      <c r="O59" s="378">
        <f>AVERAGE(Ashed_controlls!$K$2:$K$11)</f>
        <v>5.5147656768714146</v>
      </c>
      <c r="P59" s="257">
        <f t="shared" si="1"/>
        <v>1.7037577453146546</v>
      </c>
      <c r="Q59" s="257">
        <f>IFERROR(INDEX('Both teabags AfterDry'!$D$2:$D$2000,MATCH(L59,'Both teabags AfterDry'!$A$2:$A$2000,0)),"")</f>
        <v>1.7612000000000001</v>
      </c>
      <c r="R59" s="257">
        <f>IFERROR(IF(Q59&gt;0,Q59-(TBIcalc!$Q$9),""),"")</f>
        <v>1.6106</v>
      </c>
      <c r="S59" s="268">
        <f>IFERROR(INDEX('Ashed teabags dry'!$K$2:$K$2000,MATCH(L59,'Ashed teabags dry'!$A$2:$A$2000,0)),"")</f>
        <v>5.8618976651769072</v>
      </c>
      <c r="T59" s="268">
        <f t="shared" si="2"/>
        <v>1.5161882762046608</v>
      </c>
      <c r="U59" s="258">
        <f>IF('Dry_Litterbag Placem_Collection'!E60="","",'Dry_Litterbag Placem_Collection'!E60)</f>
        <v>42938</v>
      </c>
      <c r="V59" s="258">
        <f>IF('Dry_Litterbag Placem_Collection'!G60="","",'Dry_Litterbag Placem_Collection'!G60)</f>
        <v>43005</v>
      </c>
      <c r="W59" s="259">
        <f t="shared" si="0"/>
        <v>67</v>
      </c>
      <c r="X59" s="257">
        <f t="shared" si="3"/>
        <v>0.19259999999999988</v>
      </c>
      <c r="Y59" s="257">
        <f t="shared" si="4"/>
        <v>0.18756946910999384</v>
      </c>
      <c r="Z59" s="261">
        <f>IFERROR(INDEX([3]Rainfall_Dry!$O$2:$O$217,MATCH(C59, [3]Rainfall_Dry!$A$2:$A$217,0)),"")</f>
        <v>6.5250000359999998</v>
      </c>
      <c r="AA59" s="250">
        <v>25.96</v>
      </c>
      <c r="AB59" s="250">
        <v>6.9200000000000008</v>
      </c>
      <c r="AC59" s="250">
        <v>67.12</v>
      </c>
      <c r="AD59" s="251" t="s">
        <v>2651</v>
      </c>
      <c r="AE59" s="250">
        <v>1.7568260226712666</v>
      </c>
      <c r="AF59">
        <f>IF('WetLitterbags placem_collection'!AB60="","",'WetLitterbags placem_collection'!AB60)</f>
        <v>1.4</v>
      </c>
      <c r="AG59">
        <f>IF('WetLitterbags placem_collection'!Z60="","",'WetLitterbags placem_collection'!Z60)</f>
        <v>54.4</v>
      </c>
      <c r="AH59" s="236" t="str">
        <f>IF('WetLitterbags placem_collection'!AA60="","",'WetLitterbags placem_collection'!AA60)</f>
        <v>O</v>
      </c>
      <c r="AI59">
        <f>IF('WetLitterbags placem_collection'!AC60="","",'WetLitterbags placem_collection'!AC60)</f>
        <v>0</v>
      </c>
      <c r="AJ59">
        <f>IFERROR(AVERAGE('Dry_Litterbag Placem_Collection'!O60,'Dry_Litterbag Placem_Collection'!R60),"")</f>
        <v>5.7</v>
      </c>
      <c r="AK59" s="261">
        <f>IFERROR(AVERAGE('Dry_Litterbag Placem_Collection'!N60,'Dry_Litterbag Placem_Collection'!Q60),"")</f>
        <v>32.35</v>
      </c>
      <c r="AL59" s="260">
        <f>INDEX([2]Coordinates!$B$2:$B$197,MATCH(I59,[2]Coordinates!$J$2:$J$197,0))</f>
        <v>-3.4065020079999999</v>
      </c>
      <c r="AM59" s="260">
        <f>INDEX([2]Coordinates!$C$2:$C$197,MATCH(I59,[2]Coordinates!$J$2:$J$197,0))</f>
        <v>34.851056020000001</v>
      </c>
      <c r="AN59" s="260" t="str">
        <f>IF(ISNUMBER(SEARCH("C", 'Dry_Litterbag Placem_Collection'!S60)),"YES","NO")</f>
        <v>NO</v>
      </c>
      <c r="AO59" s="260" t="str">
        <f>IF(ISNUMBER(SEARCH("H", 'Dry_Litterbag Placem_Collection'!S60)),"YES","NO")</f>
        <v>YES</v>
      </c>
      <c r="AP59" s="260" t="str">
        <f>IF(ISNUMBER(SEARCH("R", 'Dry_Litterbag Placem_Collection'!S60)),"YES","NO")</f>
        <v>NO</v>
      </c>
    </row>
    <row r="60" spans="1:42">
      <c r="A60" t="s">
        <v>3248</v>
      </c>
      <c r="B60" s="252" t="s">
        <v>2643</v>
      </c>
      <c r="C60" s="253">
        <f>'Dry_Litterbag Placem_Collection'!A61</f>
        <v>59</v>
      </c>
      <c r="D60" s="253" t="str">
        <f>'Dry_Litterbag Placem_Collection'!B61</f>
        <v>Makao</v>
      </c>
      <c r="E60" s="253" t="s">
        <v>2643</v>
      </c>
      <c r="F60" s="253" t="s">
        <v>20</v>
      </c>
      <c r="G60" s="253">
        <v>4</v>
      </c>
      <c r="H60" s="253" t="s">
        <v>3110</v>
      </c>
      <c r="I60" s="254" t="str">
        <f>'Dry_Litterbag Placem_Collection'!C61</f>
        <v>Dry_P4_T3</v>
      </c>
      <c r="J60" s="255" t="s">
        <v>2525</v>
      </c>
      <c r="K60" s="256" t="s">
        <v>1147</v>
      </c>
      <c r="L60" s="253" t="str">
        <f>IF(ISBLANK('Dry_Litterbag Placem_Collection'!J61),"","G"&amp;""&amp;'Dry_Litterbag Placem_Collection'!J61)</f>
        <v>G261</v>
      </c>
      <c r="M60" s="257">
        <f>IFERROR(INDEX('Green_rooibos initial weight'!$C$5:$C$2000,MATCH(L60, 'Green_rooibos initial weight'!$A$5:$A$2000,0)),"")</f>
        <v>1.9850000000000001</v>
      </c>
      <c r="N60" s="257">
        <f>IFERROR(M60-(TBIcalc!$Q$9+TBIcalc!$Q$10),"")</f>
        <v>1.7352000000000001</v>
      </c>
      <c r="O60" s="378">
        <f>AVERAGE(Ashed_controlls!$K$2:$K$11)</f>
        <v>5.5147656768714146</v>
      </c>
      <c r="P60" s="257">
        <f t="shared" si="1"/>
        <v>1.6395077859749272</v>
      </c>
      <c r="Q60" s="257">
        <f>IFERROR(INDEX('Both teabags AfterDry'!$D$2:$D$2000,MATCH(L60,'Both teabags AfterDry'!$A$2:$A$2000,0)),"")</f>
        <v>1.8041</v>
      </c>
      <c r="R60" s="257">
        <f>IFERROR(IF(Q60&gt;0,Q60-(TBIcalc!$Q$9),""),"")</f>
        <v>1.6535</v>
      </c>
      <c r="S60" s="268">
        <f>IFERROR(INDEX('Ashed teabags dry'!$K$2:$K$2000,MATCH(L60,'Ashed teabags dry'!$A$2:$A$2000,0)),"")</f>
        <v>5.7350933090575786</v>
      </c>
      <c r="T60" s="268">
        <f t="shared" si="2"/>
        <v>1.558670232134733</v>
      </c>
      <c r="U60" s="258">
        <f>IF('Dry_Litterbag Placem_Collection'!E61="","",'Dry_Litterbag Placem_Collection'!E61)</f>
        <v>42938</v>
      </c>
      <c r="V60" s="258">
        <f>IF('Dry_Litterbag Placem_Collection'!G61="","",'Dry_Litterbag Placem_Collection'!G61)</f>
        <v>43005</v>
      </c>
      <c r="W60" s="259">
        <f t="shared" si="0"/>
        <v>67</v>
      </c>
      <c r="X60" s="257">
        <f t="shared" si="3"/>
        <v>8.1700000000000106E-2</v>
      </c>
      <c r="Y60" s="257">
        <f t="shared" si="4"/>
        <v>8.0837553840194198E-2</v>
      </c>
      <c r="Z60" s="261">
        <f>IFERROR(INDEX([3]Rainfall_Dry!$O$2:$O$217,MATCH(C60, [3]Rainfall_Dry!$A$2:$A$217,0)),"")</f>
        <v>6.5250000359999998</v>
      </c>
      <c r="AA60" s="250">
        <v>25.96</v>
      </c>
      <c r="AB60" s="250">
        <v>6.9200000000000008</v>
      </c>
      <c r="AC60" s="250">
        <v>67.12</v>
      </c>
      <c r="AD60" s="251" t="s">
        <v>2651</v>
      </c>
      <c r="AE60" s="250">
        <v>1.7568260226712666</v>
      </c>
      <c r="AF60">
        <f>IF('WetLitterbags placem_collection'!AB61="","",'WetLitterbags placem_collection'!AB61)</f>
        <v>3.3</v>
      </c>
      <c r="AG60">
        <f>IF('WetLitterbags placem_collection'!Z61="","",'WetLitterbags placem_collection'!Z61)</f>
        <v>46</v>
      </c>
      <c r="AH60" s="236" t="str">
        <f>IF('WetLitterbags placem_collection'!AA61="","",'WetLitterbags placem_collection'!AA61)</f>
        <v>O</v>
      </c>
      <c r="AI60">
        <f>IF('WetLitterbags placem_collection'!AC61="","",'WetLitterbags placem_collection'!AC61)</f>
        <v>0</v>
      </c>
      <c r="AJ60">
        <f>IFERROR(AVERAGE('Dry_Litterbag Placem_Collection'!O61,'Dry_Litterbag Placem_Collection'!R61),"")</f>
        <v>7.6999999999999993</v>
      </c>
      <c r="AK60" s="261">
        <f>IFERROR(AVERAGE('Dry_Litterbag Placem_Collection'!N61,'Dry_Litterbag Placem_Collection'!Q61),"")</f>
        <v>31.8</v>
      </c>
      <c r="AL60" s="260">
        <f>INDEX([2]Coordinates!$B$2:$B$197,MATCH(I60,[2]Coordinates!$J$2:$J$197,0))</f>
        <v>-3.4062359670000002</v>
      </c>
      <c r="AM60" s="260">
        <f>INDEX([2]Coordinates!$C$2:$C$197,MATCH(I60,[2]Coordinates!$J$2:$J$197,0))</f>
        <v>34.851107990000003</v>
      </c>
      <c r="AN60" s="260" t="str">
        <f>IF(ISNUMBER(SEARCH("C", 'Dry_Litterbag Placem_Collection'!S61)),"YES","NO")</f>
        <v>NO</v>
      </c>
      <c r="AO60" s="260" t="str">
        <f>IF(ISNUMBER(SEARCH("H", 'Dry_Litterbag Placem_Collection'!S61)),"YES","NO")</f>
        <v>NO</v>
      </c>
      <c r="AP60" s="260" t="str">
        <f>IF(ISNUMBER(SEARCH("R", 'Dry_Litterbag Placem_Collection'!S61)),"YES","NO")</f>
        <v>NO</v>
      </c>
    </row>
    <row r="61" spans="1:42">
      <c r="A61" t="s">
        <v>3248</v>
      </c>
      <c r="B61" s="252" t="s">
        <v>2643</v>
      </c>
      <c r="C61" s="253">
        <f>'Dry_Litterbag Placem_Collection'!A62</f>
        <v>60</v>
      </c>
      <c r="D61" s="253" t="str">
        <f>'Dry_Litterbag Placem_Collection'!B62</f>
        <v>Makao</v>
      </c>
      <c r="E61" s="253" t="s">
        <v>2643</v>
      </c>
      <c r="F61" s="253" t="s">
        <v>20</v>
      </c>
      <c r="G61" s="253">
        <v>4</v>
      </c>
      <c r="H61" s="253" t="s">
        <v>3110</v>
      </c>
      <c r="I61" s="254" t="str">
        <f>'Dry_Litterbag Placem_Collection'!C62</f>
        <v>Dry_P4_T4</v>
      </c>
      <c r="J61" s="255" t="s">
        <v>2525</v>
      </c>
      <c r="K61" s="256" t="s">
        <v>1147</v>
      </c>
      <c r="L61" s="253" t="str">
        <f>IF(ISBLANK('Dry_Litterbag Placem_Collection'!J62),"","G"&amp;""&amp;'Dry_Litterbag Placem_Collection'!J62)</f>
        <v>G152</v>
      </c>
      <c r="M61" s="257">
        <f>IFERROR(INDEX('Green_rooibos initial weight'!$C$5:$C$2000,MATCH(L61, 'Green_rooibos initial weight'!$A$5:$A$2000,0)),"")</f>
        <v>2.0489999999999999</v>
      </c>
      <c r="N61" s="257">
        <f>IFERROR(M61-(TBIcalc!$Q$9+TBIcalc!$Q$10),"")</f>
        <v>1.7991999999999999</v>
      </c>
      <c r="O61" s="378">
        <f>AVERAGE(Ashed_controlls!$K$2:$K$11)</f>
        <v>5.5147656768714146</v>
      </c>
      <c r="P61" s="257">
        <f t="shared" si="1"/>
        <v>1.6999783359417293</v>
      </c>
      <c r="Q61" s="257">
        <f>IFERROR(INDEX('Both teabags AfterDry'!$D$2:$D$2000,MATCH(L61,'Both teabags AfterDry'!$A$2:$A$2000,0)),"")</f>
        <v>1.8697999999999999</v>
      </c>
      <c r="R61" s="257">
        <f>IFERROR(IF(Q61&gt;0,Q61-(TBIcalc!$Q$9),""),"")</f>
        <v>1.7191999999999998</v>
      </c>
      <c r="S61" s="268">
        <f>IFERROR(INDEX('Ashed teabags dry'!$K$2:$K$2000,MATCH(L61,'Ashed teabags dry'!$A$2:$A$2000,0)),"")</f>
        <v>5.545536519386725</v>
      </c>
      <c r="T61" s="268">
        <f t="shared" si="2"/>
        <v>1.6238611361587032</v>
      </c>
      <c r="U61" s="258">
        <f>IF('Dry_Litterbag Placem_Collection'!E62="","",'Dry_Litterbag Placem_Collection'!E62)</f>
        <v>42938</v>
      </c>
      <c r="V61" s="258">
        <f>IF('Dry_Litterbag Placem_Collection'!G62="","",'Dry_Litterbag Placem_Collection'!G62)</f>
        <v>43005</v>
      </c>
      <c r="W61" s="259">
        <f t="shared" si="0"/>
        <v>67</v>
      </c>
      <c r="X61" s="257">
        <f t="shared" si="3"/>
        <v>8.0000000000000071E-2</v>
      </c>
      <c r="Y61" s="257">
        <f t="shared" si="4"/>
        <v>7.6117199783026113E-2</v>
      </c>
      <c r="Z61" s="261">
        <f>IFERROR(INDEX([3]Rainfall_Dry!$O$2:$O$217,MATCH(C61, [3]Rainfall_Dry!$A$2:$A$217,0)),"")</f>
        <v>6.5250000359999998</v>
      </c>
      <c r="AA61" s="250">
        <v>25.96</v>
      </c>
      <c r="AB61" s="250">
        <v>6.9200000000000008</v>
      </c>
      <c r="AC61" s="250">
        <v>67.12</v>
      </c>
      <c r="AD61" s="251" t="s">
        <v>2651</v>
      </c>
      <c r="AE61" s="250">
        <v>1.7568260226712666</v>
      </c>
      <c r="AF61">
        <f>IF('WetLitterbags placem_collection'!AB62="","",'WetLitterbags placem_collection'!AB62)</f>
        <v>2.4</v>
      </c>
      <c r="AG61">
        <f>IF('WetLitterbags placem_collection'!Z62="","",'WetLitterbags placem_collection'!Z62)</f>
        <v>10.199999999999999</v>
      </c>
      <c r="AH61" s="236" t="str">
        <f>IF('WetLitterbags placem_collection'!AA62="","",'WetLitterbags placem_collection'!AA62)</f>
        <v>O</v>
      </c>
      <c r="AI61">
        <f>IF('WetLitterbags placem_collection'!AC62="","",'WetLitterbags placem_collection'!AC62)</f>
        <v>0</v>
      </c>
      <c r="AJ61">
        <f>IFERROR(AVERAGE('Dry_Litterbag Placem_Collection'!O62,'Dry_Litterbag Placem_Collection'!R62),"")</f>
        <v>5.65</v>
      </c>
      <c r="AK61" s="261">
        <f>IFERROR(AVERAGE('Dry_Litterbag Placem_Collection'!N62,'Dry_Litterbag Placem_Collection'!Q62),"")</f>
        <v>32.650000000000006</v>
      </c>
      <c r="AL61" s="260">
        <f>INDEX([2]Coordinates!$B$2:$B$197,MATCH(I61,[2]Coordinates!$J$2:$J$197,0))</f>
        <v>-3.406281983</v>
      </c>
      <c r="AM61" s="260">
        <f>INDEX([2]Coordinates!$C$2:$C$197,MATCH(I61,[2]Coordinates!$J$2:$J$197,0))</f>
        <v>34.85137898</v>
      </c>
      <c r="AN61" s="260" t="str">
        <f>IF(ISNUMBER(SEARCH("C", 'Dry_Litterbag Placem_Collection'!S62)),"YES","NO")</f>
        <v>NO</v>
      </c>
      <c r="AO61" s="260" t="str">
        <f>IF(ISNUMBER(SEARCH("H", 'Dry_Litterbag Placem_Collection'!S62)),"YES","NO")</f>
        <v>NO</v>
      </c>
      <c r="AP61" s="260" t="str">
        <f>IF(ISNUMBER(SEARCH("R", 'Dry_Litterbag Placem_Collection'!S62)),"YES","NO")</f>
        <v>NO</v>
      </c>
    </row>
    <row r="62" spans="1:42">
      <c r="A62" t="s">
        <v>3248</v>
      </c>
      <c r="B62" s="252" t="s">
        <v>2643</v>
      </c>
      <c r="C62" s="253">
        <f>'Dry_Litterbag Placem_Collection'!A63</f>
        <v>61</v>
      </c>
      <c r="D62" s="253" t="str">
        <f>'Dry_Litterbag Placem_Collection'!B63</f>
        <v>Makao</v>
      </c>
      <c r="E62" s="253" t="s">
        <v>2643</v>
      </c>
      <c r="F62" s="253" t="s">
        <v>20</v>
      </c>
      <c r="G62" s="253">
        <v>4</v>
      </c>
      <c r="H62" s="253" t="s">
        <v>3110</v>
      </c>
      <c r="I62" s="254" t="str">
        <f>'Dry_Litterbag Placem_Collection'!C63</f>
        <v>Dry_P4_T5</v>
      </c>
      <c r="J62" s="255" t="s">
        <v>2525</v>
      </c>
      <c r="K62" s="256" t="s">
        <v>1147</v>
      </c>
      <c r="L62" s="253" t="str">
        <f>IF(ISBLANK('Dry_Litterbag Placem_Collection'!J63),"","G"&amp;""&amp;'Dry_Litterbag Placem_Collection'!J63)</f>
        <v>G191</v>
      </c>
      <c r="M62" s="257">
        <f>IFERROR(INDEX('Green_rooibos initial weight'!$C$5:$C$2000,MATCH(L62, 'Green_rooibos initial weight'!$A$5:$A$2000,0)),"")</f>
        <v>2.0590000000000002</v>
      </c>
      <c r="N62" s="257">
        <f>IFERROR(M62-(TBIcalc!$Q$9+TBIcalc!$Q$10),"")</f>
        <v>1.8092000000000001</v>
      </c>
      <c r="O62" s="378">
        <f>AVERAGE(Ashed_controlls!$K$2:$K$11)</f>
        <v>5.5147656768714146</v>
      </c>
      <c r="P62" s="257">
        <f t="shared" si="1"/>
        <v>1.7094268593740425</v>
      </c>
      <c r="Q62" s="257" t="str">
        <f>IFERROR(INDEX('Both teabags AfterDry'!$D$2:$D$2000,MATCH(L62,'Both teabags AfterDry'!$A$2:$A$2000,0)),"")</f>
        <v/>
      </c>
      <c r="R62" s="257" t="str">
        <f>IFERROR(IF(Q62&gt;0,Q62-(TBIcalc!$Q$9),""),"")</f>
        <v/>
      </c>
      <c r="S62" s="268" t="str">
        <f>IFERROR(INDEX('Ashed teabags dry'!$K$2:$K$2000,MATCH(L62,'Ashed teabags dry'!$A$2:$A$2000,0)),"")</f>
        <v/>
      </c>
      <c r="T62" s="268" t="str">
        <f t="shared" si="2"/>
        <v/>
      </c>
      <c r="U62" s="258">
        <f>IF('Dry_Litterbag Placem_Collection'!E63="","",'Dry_Litterbag Placem_Collection'!E63)</f>
        <v>42938</v>
      </c>
      <c r="V62" s="258">
        <f>IF('Dry_Litterbag Placem_Collection'!G63="","",'Dry_Litterbag Placem_Collection'!G63)</f>
        <v>43005</v>
      </c>
      <c r="W62" s="259">
        <f t="shared" si="0"/>
        <v>67</v>
      </c>
      <c r="X62" s="257" t="str">
        <f t="shared" si="3"/>
        <v/>
      </c>
      <c r="Y62" s="257" t="str">
        <f t="shared" si="4"/>
        <v/>
      </c>
      <c r="Z62" s="261">
        <f>IFERROR(INDEX([3]Rainfall_Dry!$O$2:$O$217,MATCH(C62, [3]Rainfall_Dry!$A$2:$A$217,0)),"")</f>
        <v>6.5250000359999998</v>
      </c>
      <c r="AA62" s="250">
        <v>25.96</v>
      </c>
      <c r="AB62" s="250">
        <v>6.9200000000000008</v>
      </c>
      <c r="AC62" s="250">
        <v>67.12</v>
      </c>
      <c r="AD62" s="251" t="s">
        <v>2651</v>
      </c>
      <c r="AE62" s="250">
        <v>1.7568260226712666</v>
      </c>
      <c r="AF62">
        <f>IF('WetLitterbags placem_collection'!AB63="","",'WetLitterbags placem_collection'!AB63)</f>
        <v>5.6</v>
      </c>
      <c r="AG62">
        <f>IF('WetLitterbags placem_collection'!Z63="","",'WetLitterbags placem_collection'!Z63)</f>
        <v>34.200000000000003</v>
      </c>
      <c r="AH62" s="236" t="str">
        <f>IF('WetLitterbags placem_collection'!AA63="","",'WetLitterbags placem_collection'!AA63)</f>
        <v>O</v>
      </c>
      <c r="AI62">
        <f>IF('WetLitterbags placem_collection'!AC63="","",'WetLitterbags placem_collection'!AC63)</f>
        <v>0</v>
      </c>
      <c r="AJ62">
        <f>IFERROR(AVERAGE('Dry_Litterbag Placem_Collection'!O63,'Dry_Litterbag Placem_Collection'!R63),"")</f>
        <v>4.5</v>
      </c>
      <c r="AK62" s="261">
        <f>IFERROR(AVERAGE('Dry_Litterbag Placem_Collection'!N63,'Dry_Litterbag Placem_Collection'!Q63),"")</f>
        <v>34</v>
      </c>
      <c r="AL62" s="260">
        <f>INDEX([2]Coordinates!$B$2:$B$197,MATCH(I62,[2]Coordinates!$J$2:$J$197,0))</f>
        <v>-3.406569986</v>
      </c>
      <c r="AM62" s="260">
        <f>INDEX([2]Coordinates!$C$2:$C$197,MATCH(I62,[2]Coordinates!$J$2:$J$197,0))</f>
        <v>34.851323989999997</v>
      </c>
      <c r="AN62" s="260" t="str">
        <f>IF(ISNUMBER(SEARCH("C", 'Dry_Litterbag Placem_Collection'!S63)),"YES","NO")</f>
        <v>NO</v>
      </c>
      <c r="AO62" s="260" t="str">
        <f>IF(ISNUMBER(SEARCH("H", 'Dry_Litterbag Placem_Collection'!S63)),"YES","NO")</f>
        <v>NO</v>
      </c>
      <c r="AP62" s="260" t="str">
        <f>IF(ISNUMBER(SEARCH("R", 'Dry_Litterbag Placem_Collection'!S63)),"YES","NO")</f>
        <v>NO</v>
      </c>
    </row>
    <row r="63" spans="1:42">
      <c r="A63" t="s">
        <v>3248</v>
      </c>
      <c r="B63" s="252" t="s">
        <v>2643</v>
      </c>
      <c r="C63" s="253">
        <f>'Dry_Litterbag Placem_Collection'!A64</f>
        <v>62</v>
      </c>
      <c r="D63" s="253" t="str">
        <f>'Dry_Litterbag Placem_Collection'!B64</f>
        <v>Makao</v>
      </c>
      <c r="E63" s="253" t="s">
        <v>2643</v>
      </c>
      <c r="F63" s="253" t="s">
        <v>20</v>
      </c>
      <c r="G63" s="253">
        <v>4</v>
      </c>
      <c r="H63" s="253" t="s">
        <v>3110</v>
      </c>
      <c r="I63" s="254" t="str">
        <f>'Dry_Litterbag Placem_Collection'!C64</f>
        <v>Dry_P4_T6</v>
      </c>
      <c r="J63" s="255" t="s">
        <v>2525</v>
      </c>
      <c r="K63" s="256" t="s">
        <v>1147</v>
      </c>
      <c r="L63" s="253" t="str">
        <f>IF(ISBLANK('Dry_Litterbag Placem_Collection'!J64),"","G"&amp;""&amp;'Dry_Litterbag Placem_Collection'!J64)</f>
        <v/>
      </c>
      <c r="M63" s="257" t="str">
        <f>IFERROR(INDEX('Green_rooibos initial weight'!$C$5:$C$2000,MATCH(L63, 'Green_rooibos initial weight'!$A$5:$A$2000,0)),"")</f>
        <v/>
      </c>
      <c r="N63" s="257" t="str">
        <f>IFERROR(M63-(TBIcalc!$Q$9+TBIcalc!$Q$10),"")</f>
        <v/>
      </c>
      <c r="O63" s="378">
        <f>AVERAGE(Ashed_controlls!$K$2:$K$11)</f>
        <v>5.5147656768714146</v>
      </c>
      <c r="P63" s="257" t="str">
        <f t="shared" si="1"/>
        <v/>
      </c>
      <c r="Q63" s="257" t="str">
        <f>IFERROR(INDEX('Both teabags AfterDry'!$D$2:$D$2000,MATCH(L63,'Both teabags AfterDry'!$A$2:$A$2000,0)),"")</f>
        <v/>
      </c>
      <c r="R63" s="257" t="str">
        <f>IFERROR(IF(Q63&gt;0,Q63-(TBIcalc!$Q$9),""),"")</f>
        <v/>
      </c>
      <c r="S63" s="268" t="str">
        <f>IFERROR(INDEX('Ashed teabags dry'!$K$2:$K$2000,MATCH(L63,'Ashed teabags dry'!$A$2:$A$2000,0)),"")</f>
        <v/>
      </c>
      <c r="T63" s="268" t="str">
        <f t="shared" si="2"/>
        <v/>
      </c>
      <c r="U63" s="258" t="str">
        <f>IF('Dry_Litterbag Placem_Collection'!E64="","",'Dry_Litterbag Placem_Collection'!E64)</f>
        <v/>
      </c>
      <c r="V63" s="258" t="str">
        <f>IF('Dry_Litterbag Placem_Collection'!G64="","",'Dry_Litterbag Placem_Collection'!G64)</f>
        <v/>
      </c>
      <c r="W63" s="259" t="str">
        <f t="shared" si="0"/>
        <v/>
      </c>
      <c r="X63" s="257" t="str">
        <f t="shared" si="3"/>
        <v/>
      </c>
      <c r="Y63" s="257" t="str">
        <f t="shared" si="4"/>
        <v/>
      </c>
      <c r="Z63" s="261" t="str">
        <f>IFERROR(INDEX([3]Rainfall_Dry!$O$2:$O$217,MATCH(C63, [3]Rainfall_Dry!$A$2:$A$217,0)),"")</f>
        <v/>
      </c>
      <c r="AA63" s="250">
        <v>25.96</v>
      </c>
      <c r="AB63" s="250">
        <v>6.9200000000000008</v>
      </c>
      <c r="AC63" s="250">
        <v>67.12</v>
      </c>
      <c r="AD63" s="251" t="s">
        <v>2651</v>
      </c>
      <c r="AE63" s="250">
        <v>1.7568260226712666</v>
      </c>
      <c r="AF63">
        <f>IF('WetLitterbags placem_collection'!AB64="","",'WetLitterbags placem_collection'!AB64)</f>
        <v>4.2</v>
      </c>
      <c r="AG63">
        <f>IF('WetLitterbags placem_collection'!Z64="","",'WetLitterbags placem_collection'!Z64)</f>
        <v>40.4</v>
      </c>
      <c r="AH63" s="236" t="str">
        <f>IF('WetLitterbags placem_collection'!AA64="","",'WetLitterbags placem_collection'!AA64)</f>
        <v>O</v>
      </c>
      <c r="AI63">
        <f>IF('WetLitterbags placem_collection'!AC64="","",'WetLitterbags placem_collection'!AC64)</f>
        <v>0</v>
      </c>
      <c r="AJ63" t="str">
        <f>IFERROR(AVERAGE('Dry_Litterbag Placem_Collection'!O64,'Dry_Litterbag Placem_Collection'!R64),"")</f>
        <v/>
      </c>
      <c r="AK63" s="261" t="str">
        <f>IFERROR(AVERAGE('Dry_Litterbag Placem_Collection'!N64,'Dry_Litterbag Placem_Collection'!Q64),"")</f>
        <v/>
      </c>
      <c r="AL63" s="260">
        <f>INDEX([2]Coordinates!$B$2:$B$197,MATCH(I63,[2]Coordinates!$J$2:$J$197,0))</f>
        <v>-3.4065180179999999</v>
      </c>
      <c r="AM63" s="260">
        <f>INDEX([2]Coordinates!$C$2:$C$197,MATCH(I63,[2]Coordinates!$J$2:$J$197,0))</f>
        <v>34.85121402</v>
      </c>
      <c r="AN63" s="260" t="str">
        <f>IF(ISNUMBER(SEARCH("C", 'Dry_Litterbag Placem_Collection'!S64)),"YES","NO")</f>
        <v>NO</v>
      </c>
      <c r="AO63" s="260" t="str">
        <f>IF(ISNUMBER(SEARCH("H", 'Dry_Litterbag Placem_Collection'!S64)),"YES","NO")</f>
        <v>NO</v>
      </c>
      <c r="AP63" s="260" t="str">
        <f>IF(ISNUMBER(SEARCH("R", 'Dry_Litterbag Placem_Collection'!S64)),"YES","NO")</f>
        <v>NO</v>
      </c>
    </row>
    <row r="64" spans="1:42">
      <c r="A64" t="s">
        <v>3248</v>
      </c>
      <c r="B64" s="252" t="s">
        <v>2643</v>
      </c>
      <c r="C64" s="253">
        <f>'Dry_Litterbag Placem_Collection'!A65</f>
        <v>63</v>
      </c>
      <c r="D64" s="253" t="str">
        <f>'Dry_Litterbag Placem_Collection'!B65</f>
        <v>Makao</v>
      </c>
      <c r="E64" s="253" t="s">
        <v>2643</v>
      </c>
      <c r="F64" s="253" t="s">
        <v>20</v>
      </c>
      <c r="G64" s="253">
        <v>4</v>
      </c>
      <c r="H64" s="253" t="s">
        <v>3110</v>
      </c>
      <c r="I64" s="254" t="str">
        <f>'Dry_Litterbag Placem_Collection'!C65</f>
        <v>Dry_P4_T7</v>
      </c>
      <c r="J64" s="255" t="s">
        <v>2525</v>
      </c>
      <c r="K64" s="256" t="s">
        <v>1147</v>
      </c>
      <c r="L64" s="253" t="str">
        <f>IF(ISBLANK('Dry_Litterbag Placem_Collection'!J65),"","G"&amp;""&amp;'Dry_Litterbag Placem_Collection'!J65)</f>
        <v>G49</v>
      </c>
      <c r="M64" s="257">
        <f>IFERROR(INDEX('Green_rooibos initial weight'!$C$5:$C$2000,MATCH(L64, 'Green_rooibos initial weight'!$A$5:$A$2000,0)),"")</f>
        <v>2.0859999999999999</v>
      </c>
      <c r="N64" s="257">
        <f>IFERROR(M64-(TBIcalc!$Q$9+TBIcalc!$Q$10),"")</f>
        <v>1.8361999999999998</v>
      </c>
      <c r="O64" s="378">
        <f>AVERAGE(Ashed_controlls!$K$2:$K$11)</f>
        <v>5.5147656768714146</v>
      </c>
      <c r="P64" s="257">
        <f t="shared" si="1"/>
        <v>1.734937872641287</v>
      </c>
      <c r="Q64" s="257">
        <f>IFERROR(INDEX('Both teabags AfterDry'!$D$2:$D$2000,MATCH(L64,'Both teabags AfterDry'!$A$2:$A$2000,0)),"")</f>
        <v>1.9326000000000001</v>
      </c>
      <c r="R64" s="257">
        <f>IFERROR(IF(Q64&gt;0,Q64-(TBIcalc!$Q$9),""),"")</f>
        <v>1.782</v>
      </c>
      <c r="S64" s="268">
        <f>IFERROR(INDEX('Ashed teabags dry'!$K$2:$K$2000,MATCH(L64,'Ashed teabags dry'!$A$2:$A$2000,0)),"")</f>
        <v>4.9388753056235117</v>
      </c>
      <c r="T64" s="268">
        <f t="shared" si="2"/>
        <v>1.693989242053789</v>
      </c>
      <c r="U64" s="258">
        <f>IF('Dry_Litterbag Placem_Collection'!E65="","",'Dry_Litterbag Placem_Collection'!E65)</f>
        <v>42938</v>
      </c>
      <c r="V64" s="258">
        <f>IF('Dry_Litterbag Placem_Collection'!G65="","",'Dry_Litterbag Placem_Collection'!G65)</f>
        <v>43005</v>
      </c>
      <c r="W64" s="259">
        <f t="shared" si="0"/>
        <v>67</v>
      </c>
      <c r="X64" s="257">
        <f t="shared" si="3"/>
        <v>5.4199999999999804E-2</v>
      </c>
      <c r="Y64" s="257">
        <f t="shared" si="4"/>
        <v>4.0948630587497981E-2</v>
      </c>
      <c r="Z64" s="261">
        <f>IFERROR(INDEX([3]Rainfall_Dry!$O$2:$O$217,MATCH(C64, [3]Rainfall_Dry!$A$2:$A$217,0)),"")</f>
        <v>6.5250000359999998</v>
      </c>
      <c r="AA64" s="250">
        <v>25.96</v>
      </c>
      <c r="AB64" s="250">
        <v>6.9200000000000008</v>
      </c>
      <c r="AC64" s="250">
        <v>67.12</v>
      </c>
      <c r="AD64" s="251" t="s">
        <v>2651</v>
      </c>
      <c r="AE64" s="250">
        <v>1.7568260226712666</v>
      </c>
      <c r="AF64">
        <f>IF('WetLitterbags placem_collection'!AB65="","",'WetLitterbags placem_collection'!AB65)</f>
        <v>4.9000000000000004</v>
      </c>
      <c r="AG64">
        <f>IF('WetLitterbags placem_collection'!Z65="","",'WetLitterbags placem_collection'!Z65)</f>
        <v>45</v>
      </c>
      <c r="AH64" s="236" t="str">
        <f>IF('WetLitterbags placem_collection'!AA65="","",'WetLitterbags placem_collection'!AA65)</f>
        <v>O</v>
      </c>
      <c r="AI64">
        <f>IF('WetLitterbags placem_collection'!AC65="","",'WetLitterbags placem_collection'!AC65)</f>
        <v>0</v>
      </c>
      <c r="AJ64">
        <f>IFERROR(AVERAGE('Dry_Litterbag Placem_Collection'!O65,'Dry_Litterbag Placem_Collection'!R65),"")</f>
        <v>4.75</v>
      </c>
      <c r="AK64" s="261">
        <f>IFERROR(AVERAGE('Dry_Litterbag Placem_Collection'!N65,'Dry_Litterbag Placem_Collection'!Q65),"")</f>
        <v>31.3</v>
      </c>
      <c r="AL64" s="260">
        <f>INDEX([2]Coordinates!$B$2:$B$197,MATCH(I64,[2]Coordinates!$J$2:$J$197,0))</f>
        <v>-3.406334035</v>
      </c>
      <c r="AM64" s="260">
        <f>INDEX([2]Coordinates!$C$2:$C$197,MATCH(I64,[2]Coordinates!$J$2:$J$197,0))</f>
        <v>34.851172030000001</v>
      </c>
      <c r="AN64" s="260" t="str">
        <f>IF(ISNUMBER(SEARCH("C", 'Dry_Litterbag Placem_Collection'!S65)),"YES","NO")</f>
        <v>NO</v>
      </c>
      <c r="AO64" s="260" t="str">
        <f>IF(ISNUMBER(SEARCH("H", 'Dry_Litterbag Placem_Collection'!S65)),"YES","NO")</f>
        <v>NO</v>
      </c>
      <c r="AP64" s="260" t="str">
        <f>IF(ISNUMBER(SEARCH("R", 'Dry_Litterbag Placem_Collection'!S65)),"YES","NO")</f>
        <v>NO</v>
      </c>
    </row>
    <row r="65" spans="1:42">
      <c r="A65" t="s">
        <v>3248</v>
      </c>
      <c r="B65" s="252" t="s">
        <v>2643</v>
      </c>
      <c r="C65" s="253">
        <f>'Dry_Litterbag Placem_Collection'!A66</f>
        <v>64</v>
      </c>
      <c r="D65" s="253" t="str">
        <f>'Dry_Litterbag Placem_Collection'!B66</f>
        <v>Makao</v>
      </c>
      <c r="E65" s="253" t="s">
        <v>2643</v>
      </c>
      <c r="F65" s="253" t="s">
        <v>20</v>
      </c>
      <c r="G65" s="253">
        <v>4</v>
      </c>
      <c r="H65" s="253" t="s">
        <v>3110</v>
      </c>
      <c r="I65" s="254" t="str">
        <f>'Dry_Litterbag Placem_Collection'!C66</f>
        <v>Dry_P4_T8</v>
      </c>
      <c r="J65" s="255" t="s">
        <v>2525</v>
      </c>
      <c r="K65" s="256" t="s">
        <v>1147</v>
      </c>
      <c r="L65" s="253" t="str">
        <f>IF(ISBLANK('Dry_Litterbag Placem_Collection'!J66),"","G"&amp;""&amp;'Dry_Litterbag Placem_Collection'!J66)</f>
        <v>G347</v>
      </c>
      <c r="M65" s="257">
        <f>IFERROR(INDEX('Green_rooibos initial weight'!$C$5:$C$2000,MATCH(L65, 'Green_rooibos initial weight'!$A$5:$A$2000,0)),"")</f>
        <v>1.8919999999999999</v>
      </c>
      <c r="N65" s="257">
        <f>IFERROR(M65-(TBIcalc!$Q$9+TBIcalc!$Q$10),"")</f>
        <v>1.6421999999999999</v>
      </c>
      <c r="O65" s="378">
        <f>AVERAGE(Ashed_controlls!$K$2:$K$11)</f>
        <v>5.5147656768714146</v>
      </c>
      <c r="P65" s="257">
        <f t="shared" si="1"/>
        <v>1.5516365180544176</v>
      </c>
      <c r="Q65" s="257">
        <f>IFERROR(INDEX('Both teabags AfterDry'!$D$2:$D$2000,MATCH(L65,'Both teabags AfterDry'!$A$2:$A$2000,0)),"")</f>
        <v>1.6924999999999999</v>
      </c>
      <c r="R65" s="257">
        <f>IFERROR(IF(Q65&gt;0,Q65-(TBIcalc!$Q$9),""),"")</f>
        <v>1.5418999999999998</v>
      </c>
      <c r="S65" s="268">
        <f>IFERROR(INDEX('Ashed teabags dry'!$K$2:$K$2000,MATCH(L65,'Ashed teabags dry'!$A$2:$A$2000,0)),"")</f>
        <v>6.3334982681843854</v>
      </c>
      <c r="T65" s="268">
        <f t="shared" si="2"/>
        <v>1.4442437902028649</v>
      </c>
      <c r="U65" s="258">
        <f>IF('Dry_Litterbag Placem_Collection'!E66="","",'Dry_Litterbag Placem_Collection'!E66)</f>
        <v>42938</v>
      </c>
      <c r="V65" s="258">
        <f>IF('Dry_Litterbag Placem_Collection'!G66="","",'Dry_Litterbag Placem_Collection'!G66)</f>
        <v>43005</v>
      </c>
      <c r="W65" s="259">
        <f t="shared" si="0"/>
        <v>67</v>
      </c>
      <c r="X65" s="257">
        <f t="shared" si="3"/>
        <v>0.10030000000000006</v>
      </c>
      <c r="Y65" s="257">
        <f t="shared" si="4"/>
        <v>0.10739272785155274</v>
      </c>
      <c r="Z65" s="261">
        <f>IFERROR(INDEX([3]Rainfall_Dry!$O$2:$O$217,MATCH(C65, [3]Rainfall_Dry!$A$2:$A$217,0)),"")</f>
        <v>6.5250000359999998</v>
      </c>
      <c r="AA65" s="250">
        <v>25.96</v>
      </c>
      <c r="AB65" s="250">
        <v>6.9200000000000008</v>
      </c>
      <c r="AC65" s="250">
        <v>67.12</v>
      </c>
      <c r="AD65" s="251" t="s">
        <v>2651</v>
      </c>
      <c r="AE65" s="250">
        <v>1.7568260226712666</v>
      </c>
      <c r="AF65">
        <f>IF('WetLitterbags placem_collection'!AB66="","",'WetLitterbags placem_collection'!AB66)</f>
        <v>3</v>
      </c>
      <c r="AG65">
        <f>IF('WetLitterbags placem_collection'!Z66="","",'WetLitterbags placem_collection'!Z66)</f>
        <v>22.8</v>
      </c>
      <c r="AH65" s="236" t="str">
        <f>IF('WetLitterbags placem_collection'!AA66="","",'WetLitterbags placem_collection'!AA66)</f>
        <v>O</v>
      </c>
      <c r="AI65">
        <f>IF('WetLitterbags placem_collection'!AC66="","",'WetLitterbags placem_collection'!AC66)</f>
        <v>1</v>
      </c>
      <c r="AJ65">
        <f>IFERROR(AVERAGE('Dry_Litterbag Placem_Collection'!O66,'Dry_Litterbag Placem_Collection'!R66),"")</f>
        <v>5.55</v>
      </c>
      <c r="AK65" s="261">
        <f>IFERROR(AVERAGE('Dry_Litterbag Placem_Collection'!N66,'Dry_Litterbag Placem_Collection'!Q66),"")</f>
        <v>31.5</v>
      </c>
      <c r="AL65" s="260">
        <f>INDEX([2]Coordinates!$B$2:$B$197,MATCH(I65,[2]Coordinates!$J$2:$J$197,0))</f>
        <v>-3.4063409920000001</v>
      </c>
      <c r="AM65" s="260">
        <f>INDEX([2]Coordinates!$C$2:$C$197,MATCH(I65,[2]Coordinates!$J$2:$J$197,0))</f>
        <v>34.85126004</v>
      </c>
      <c r="AN65" s="260" t="str">
        <f>IF(ISNUMBER(SEARCH("C", 'Dry_Litterbag Placem_Collection'!S66)),"YES","NO")</f>
        <v>NO</v>
      </c>
      <c r="AO65" s="260" t="str">
        <f>IF(ISNUMBER(SEARCH("H", 'Dry_Litterbag Placem_Collection'!S66)),"YES","NO")</f>
        <v>NO</v>
      </c>
      <c r="AP65" s="260" t="str">
        <f>IF(ISNUMBER(SEARCH("R", 'Dry_Litterbag Placem_Collection'!S66)),"YES","NO")</f>
        <v>NO</v>
      </c>
    </row>
    <row r="66" spans="1:42">
      <c r="A66" t="s">
        <v>3248</v>
      </c>
      <c r="B66" s="252" t="s">
        <v>2643</v>
      </c>
      <c r="C66" s="253">
        <f>'Dry_Litterbag Placem_Collection'!A67</f>
        <v>65</v>
      </c>
      <c r="D66" s="253" t="str">
        <f>'Dry_Litterbag Placem_Collection'!B67</f>
        <v>Maswa</v>
      </c>
      <c r="E66" s="253" t="s">
        <v>2643</v>
      </c>
      <c r="F66" s="253" t="s">
        <v>2645</v>
      </c>
      <c r="G66" s="253">
        <v>1</v>
      </c>
      <c r="H66" s="253" t="s">
        <v>3111</v>
      </c>
      <c r="I66" s="254" t="str">
        <f>'Dry_Litterbag Placem_Collection'!C67</f>
        <v>Dry_W1_T1</v>
      </c>
      <c r="J66" s="255" t="s">
        <v>2525</v>
      </c>
      <c r="K66" s="256" t="s">
        <v>1147</v>
      </c>
      <c r="L66" s="253" t="str">
        <f>IF(ISBLANK('Dry_Litterbag Placem_Collection'!J67),"","G"&amp;""&amp;'Dry_Litterbag Placem_Collection'!J67)</f>
        <v>G495</v>
      </c>
      <c r="M66" s="257">
        <f>IFERROR(INDEX('Green_rooibos initial weight'!$C$5:$C$2000,MATCH(L66, 'Green_rooibos initial weight'!$A$5:$A$2000,0)),"")</f>
        <v>2.0390000000000001</v>
      </c>
      <c r="N66" s="257">
        <f>IFERROR(M66-(TBIcalc!$Q$9+TBIcalc!$Q$10),"")</f>
        <v>1.7892000000000001</v>
      </c>
      <c r="O66" s="378">
        <f>AVERAGE(Ashed_controlls!$K$2:$K$11)</f>
        <v>5.5147656768714146</v>
      </c>
      <c r="P66" s="257">
        <f t="shared" si="1"/>
        <v>1.6905298125094168</v>
      </c>
      <c r="Q66" s="257" t="str">
        <f>IFERROR(INDEX('Both teabags AfterDry'!$D$2:$D$2000,MATCH(L66,'Both teabags AfterDry'!$A$2:$A$2000,0)),"")</f>
        <v/>
      </c>
      <c r="R66" s="257" t="str">
        <f>IFERROR(IF(Q66&gt;0,Q66-(TBIcalc!$Q$9),""),"")</f>
        <v/>
      </c>
      <c r="S66" s="268" t="str">
        <f>IFERROR(INDEX('Ashed teabags dry'!$K$2:$K$2000,MATCH(L66,'Ashed teabags dry'!$A$2:$A$2000,0)),"")</f>
        <v/>
      </c>
      <c r="T66" s="268" t="str">
        <f t="shared" si="2"/>
        <v/>
      </c>
      <c r="U66" s="258">
        <f>IF('Dry_Litterbag Placem_Collection'!E67="","",'Dry_Litterbag Placem_Collection'!E67)</f>
        <v>42937</v>
      </c>
      <c r="V66" s="258">
        <f>IF('Dry_Litterbag Placem_Collection'!G67="","",'Dry_Litterbag Placem_Collection'!G67)</f>
        <v>43005</v>
      </c>
      <c r="W66" s="259">
        <f t="shared" ref="W66:W129" si="5">IFERROR(V66-U66,"")</f>
        <v>68</v>
      </c>
      <c r="X66" s="257" t="str">
        <f t="shared" si="3"/>
        <v/>
      </c>
      <c r="Y66" s="257" t="str">
        <f t="shared" si="4"/>
        <v/>
      </c>
      <c r="Z66" s="261">
        <f>IFERROR(INDEX([3]Rainfall_Dry!$O$2:$O$217,MATCH(C66, [3]Rainfall_Dry!$A$2:$A$217,0)),"")</f>
        <v>6.900000125</v>
      </c>
      <c r="AA66" s="250">
        <v>47.96</v>
      </c>
      <c r="AB66" s="250">
        <v>22.919999999999995</v>
      </c>
      <c r="AC66" s="250">
        <v>29.120000000000012</v>
      </c>
      <c r="AD66" s="251" t="s">
        <v>2654</v>
      </c>
      <c r="AE66" s="250">
        <v>2.8831936914736325</v>
      </c>
      <c r="AF66">
        <f>IF('WetLitterbags placem_collection'!AB67="","",'WetLitterbags placem_collection'!AB67)</f>
        <v>13.8</v>
      </c>
      <c r="AG66">
        <f>IF('WetLitterbags placem_collection'!Z67="","",'WetLitterbags placem_collection'!Z67)</f>
        <v>13.8</v>
      </c>
      <c r="AH66" s="236" t="str">
        <f>IF('WetLitterbags placem_collection'!AA67="","",'WetLitterbags placem_collection'!AA67)</f>
        <v>O</v>
      </c>
      <c r="AI66">
        <f>IF('WetLitterbags placem_collection'!AC67="","",'WetLitterbags placem_collection'!AC67)</f>
        <v>1</v>
      </c>
      <c r="AJ66">
        <f>IFERROR(AVERAGE('Dry_Litterbag Placem_Collection'!O67,'Dry_Litterbag Placem_Collection'!R67),"")</f>
        <v>10.65</v>
      </c>
      <c r="AK66" s="261">
        <f>IFERROR(AVERAGE('Dry_Litterbag Placem_Collection'!N67,'Dry_Litterbag Placem_Collection'!Q67),"")</f>
        <v>28</v>
      </c>
      <c r="AL66" s="260">
        <f>INDEX([2]Coordinates!$B$2:$B$197,MATCH(I66,[2]Coordinates!$J$2:$J$197,0))</f>
        <v>-3.2993960379999998</v>
      </c>
      <c r="AM66" s="260">
        <f>INDEX([2]Coordinates!$C$2:$C$197,MATCH(I66,[2]Coordinates!$J$2:$J$197,0))</f>
        <v>34.848240959999998</v>
      </c>
      <c r="AN66" s="260" t="str">
        <f>IF(ISNUMBER(SEARCH("C", 'Dry_Litterbag Placem_Collection'!S67)),"YES","NO")</f>
        <v>NO</v>
      </c>
      <c r="AO66" s="260" t="str">
        <f>IF(ISNUMBER(SEARCH("H", 'Dry_Litterbag Placem_Collection'!S67)),"YES","NO")</f>
        <v>NO</v>
      </c>
      <c r="AP66" s="260" t="str">
        <f>IF(ISNUMBER(SEARCH("R", 'Dry_Litterbag Placem_Collection'!S67)),"YES","NO")</f>
        <v>NO</v>
      </c>
    </row>
    <row r="67" spans="1:42">
      <c r="A67" t="s">
        <v>3248</v>
      </c>
      <c r="B67" s="252" t="s">
        <v>2643</v>
      </c>
      <c r="C67" s="253">
        <f>'Dry_Litterbag Placem_Collection'!A68</f>
        <v>66</v>
      </c>
      <c r="D67" s="253" t="str">
        <f>'Dry_Litterbag Placem_Collection'!B68</f>
        <v>Maswa</v>
      </c>
      <c r="E67" s="253" t="s">
        <v>2643</v>
      </c>
      <c r="F67" s="253" t="s">
        <v>2645</v>
      </c>
      <c r="G67" s="253">
        <v>1</v>
      </c>
      <c r="H67" s="253" t="s">
        <v>3111</v>
      </c>
      <c r="I67" s="254" t="str">
        <f>'Dry_Litterbag Placem_Collection'!C68</f>
        <v>Dry_W1_T2</v>
      </c>
      <c r="J67" s="255" t="s">
        <v>2525</v>
      </c>
      <c r="K67" s="256" t="s">
        <v>1147</v>
      </c>
      <c r="L67" s="253" t="str">
        <f>IF(ISBLANK('Dry_Litterbag Placem_Collection'!J68),"","G"&amp;""&amp;'Dry_Litterbag Placem_Collection'!J68)</f>
        <v>G247</v>
      </c>
      <c r="M67" s="257">
        <f>IFERROR(INDEX('Green_rooibos initial weight'!$C$5:$C$2000,MATCH(L67, 'Green_rooibos initial weight'!$A$5:$A$2000,0)),"")</f>
        <v>2.13</v>
      </c>
      <c r="N67" s="257">
        <f>IFERROR(M67-(TBIcalc!$Q$9+TBIcalc!$Q$10),"")</f>
        <v>1.8801999999999999</v>
      </c>
      <c r="O67" s="378">
        <f>AVERAGE(Ashed_controlls!$K$2:$K$11)</f>
        <v>5.5147656768714146</v>
      </c>
      <c r="P67" s="257">
        <f t="shared" ref="P67:P130" si="6">IFERROR(N67-(O67/100)*N67,"")</f>
        <v>1.7765113757434636</v>
      </c>
      <c r="Q67" s="257">
        <f>IFERROR(INDEX('Both teabags AfterDry'!$D$2:$D$2000,MATCH(L67,'Both teabags AfterDry'!$A$2:$A$2000,0)),"")</f>
        <v>1.9853000000000001</v>
      </c>
      <c r="R67" s="257">
        <f>IFERROR(IF(Q67&gt;0,Q67-(TBIcalc!$Q$9),""),"")</f>
        <v>1.8347</v>
      </c>
      <c r="S67" s="268">
        <f>IFERROR(INDEX('Ashed teabags dry'!$K$2:$K$2000,MATCH(L67,'Ashed teabags dry'!$A$2:$A$2000,0)),"")</f>
        <v>6.078147612156255</v>
      </c>
      <c r="T67" s="268">
        <f t="shared" ref="T67:T130" si="7">IFERROR(R67-(S67/100)*R67,"")</f>
        <v>1.7231842257597692</v>
      </c>
      <c r="U67" s="258">
        <f>IF('Dry_Litterbag Placem_Collection'!E68="","",'Dry_Litterbag Placem_Collection'!E68)</f>
        <v>42937</v>
      </c>
      <c r="V67" s="258">
        <f>IF('Dry_Litterbag Placem_Collection'!G68="","",'Dry_Litterbag Placem_Collection'!G68)</f>
        <v>43005</v>
      </c>
      <c r="W67" s="259">
        <f t="shared" si="5"/>
        <v>68</v>
      </c>
      <c r="X67" s="257">
        <f t="shared" ref="X67:X130" si="8">IFERROR(N67-R67,"")</f>
        <v>4.5499999999999874E-2</v>
      </c>
      <c r="Y67" s="257">
        <f t="shared" ref="Y67:Y130" si="9">IFERROR(P67-T67,"")</f>
        <v>5.3327149983694477E-2</v>
      </c>
      <c r="Z67" s="261">
        <f>IFERROR(INDEX([3]Rainfall_Dry!$O$2:$O$217,MATCH(C67, [3]Rainfall_Dry!$A$2:$A$217,0)),"")</f>
        <v>6.900000125</v>
      </c>
      <c r="AA67" s="250">
        <v>47.96</v>
      </c>
      <c r="AB67" s="250">
        <v>22.919999999999995</v>
      </c>
      <c r="AC67" s="250">
        <v>29.120000000000012</v>
      </c>
      <c r="AD67" s="251" t="s">
        <v>2654</v>
      </c>
      <c r="AE67" s="250">
        <v>3.8831936914736298</v>
      </c>
      <c r="AF67">
        <f>IF('WetLitterbags placem_collection'!AB68="","",'WetLitterbags placem_collection'!AB68)</f>
        <v>8</v>
      </c>
      <c r="AG67">
        <f>IF('WetLitterbags placem_collection'!Z68="","",'WetLitterbags placem_collection'!Z68)</f>
        <v>19.8</v>
      </c>
      <c r="AH67" s="236" t="str">
        <f>IF('WetLitterbags placem_collection'!AA68="","",'WetLitterbags placem_collection'!AA68)</f>
        <v>O</v>
      </c>
      <c r="AI67">
        <f>IF('WetLitterbags placem_collection'!AC68="","",'WetLitterbags placem_collection'!AC68)</f>
        <v>1</v>
      </c>
      <c r="AJ67">
        <f>IFERROR(AVERAGE('Dry_Litterbag Placem_Collection'!O68,'Dry_Litterbag Placem_Collection'!R68),"")</f>
        <v>10.100000000000001</v>
      </c>
      <c r="AK67" s="261">
        <f>IFERROR(AVERAGE('Dry_Litterbag Placem_Collection'!N68,'Dry_Litterbag Placem_Collection'!Q68),"")</f>
        <v>23.6</v>
      </c>
      <c r="AL67" s="260">
        <f>INDEX([2]Coordinates!$B$2:$B$197,MATCH(I67,[2]Coordinates!$J$2:$J$197,0))</f>
        <v>-3.2993090340000002</v>
      </c>
      <c r="AM67" s="260">
        <f>INDEX([2]Coordinates!$C$2:$C$197,MATCH(I67,[2]Coordinates!$J$2:$J$197,0))</f>
        <v>34.848404989999999</v>
      </c>
      <c r="AN67" s="260" t="str">
        <f>IF(ISNUMBER(SEARCH("C", 'Dry_Litterbag Placem_Collection'!S68)),"YES","NO")</f>
        <v>YES</v>
      </c>
      <c r="AO67" s="260" t="str">
        <f>IF(ISNUMBER(SEARCH("H", 'Dry_Litterbag Placem_Collection'!S68)),"YES","NO")</f>
        <v>YES</v>
      </c>
      <c r="AP67" s="260" t="str">
        <f>IF(ISNUMBER(SEARCH("R", 'Dry_Litterbag Placem_Collection'!S68)),"YES","NO")</f>
        <v>NO</v>
      </c>
    </row>
    <row r="68" spans="1:42">
      <c r="A68" t="s">
        <v>3248</v>
      </c>
      <c r="B68" s="252" t="s">
        <v>2643</v>
      </c>
      <c r="C68" s="253">
        <f>'Dry_Litterbag Placem_Collection'!A69</f>
        <v>67</v>
      </c>
      <c r="D68" s="253" t="str">
        <f>'Dry_Litterbag Placem_Collection'!B69</f>
        <v>Maswa</v>
      </c>
      <c r="E68" s="253" t="s">
        <v>2643</v>
      </c>
      <c r="F68" s="253" t="s">
        <v>2645</v>
      </c>
      <c r="G68" s="253">
        <v>1</v>
      </c>
      <c r="H68" s="253" t="s">
        <v>3111</v>
      </c>
      <c r="I68" s="254" t="str">
        <f>'Dry_Litterbag Placem_Collection'!C69</f>
        <v>Dry_W1_T3</v>
      </c>
      <c r="J68" s="255" t="s">
        <v>2525</v>
      </c>
      <c r="K68" s="256" t="s">
        <v>1147</v>
      </c>
      <c r="L68" s="253" t="str">
        <f>IF(ISBLANK('Dry_Litterbag Placem_Collection'!J69),"","G"&amp;""&amp;'Dry_Litterbag Placem_Collection'!J69)</f>
        <v/>
      </c>
      <c r="M68" s="257" t="str">
        <f>IFERROR(INDEX('Green_rooibos initial weight'!$C$5:$C$2000,MATCH(L68, 'Green_rooibos initial weight'!$A$5:$A$2000,0)),"")</f>
        <v/>
      </c>
      <c r="N68" s="257" t="str">
        <f>IFERROR(M68-(TBIcalc!$Q$9+TBIcalc!$Q$10),"")</f>
        <v/>
      </c>
      <c r="O68" s="378">
        <f>AVERAGE(Ashed_controlls!$K$2:$K$11)</f>
        <v>5.5147656768714146</v>
      </c>
      <c r="P68" s="257" t="str">
        <f t="shared" si="6"/>
        <v/>
      </c>
      <c r="Q68" s="257" t="str">
        <f>IFERROR(INDEX('Both teabags AfterDry'!$D$2:$D$2000,MATCH(L68,'Both teabags AfterDry'!$A$2:$A$2000,0)),"")</f>
        <v/>
      </c>
      <c r="R68" s="257" t="str">
        <f>IFERROR(IF(Q68&gt;0,Q68-(TBIcalc!$Q$9),""),"")</f>
        <v/>
      </c>
      <c r="S68" s="268" t="str">
        <f>IFERROR(INDEX('Ashed teabags dry'!$K$2:$K$2000,MATCH(L68,'Ashed teabags dry'!$A$2:$A$2000,0)),"")</f>
        <v/>
      </c>
      <c r="T68" s="268" t="str">
        <f t="shared" si="7"/>
        <v/>
      </c>
      <c r="U68" s="258" t="str">
        <f>IF('Dry_Litterbag Placem_Collection'!E69="","",'Dry_Litterbag Placem_Collection'!E69)</f>
        <v/>
      </c>
      <c r="V68" s="258" t="str">
        <f>IF('Dry_Litterbag Placem_Collection'!G69="","",'Dry_Litterbag Placem_Collection'!G69)</f>
        <v/>
      </c>
      <c r="W68" s="259" t="str">
        <f t="shared" si="5"/>
        <v/>
      </c>
      <c r="X68" s="257" t="str">
        <f t="shared" si="8"/>
        <v/>
      </c>
      <c r="Y68" s="257" t="str">
        <f t="shared" si="9"/>
        <v/>
      </c>
      <c r="Z68" s="261" t="str">
        <f>IFERROR(INDEX([3]Rainfall_Dry!$O$2:$O$217,MATCH(C68, [3]Rainfall_Dry!$A$2:$A$217,0)),"")</f>
        <v/>
      </c>
      <c r="AA68" s="250">
        <v>47.96</v>
      </c>
      <c r="AB68" s="250">
        <v>22.919999999999995</v>
      </c>
      <c r="AC68" s="250">
        <v>29.120000000000012</v>
      </c>
      <c r="AD68" s="251" t="s">
        <v>2654</v>
      </c>
      <c r="AE68" s="250">
        <v>4.8831936914736298</v>
      </c>
      <c r="AF68">
        <f>IF('WetLitterbags placem_collection'!AB69="","",'WetLitterbags placem_collection'!AB69)</f>
        <v>5.5</v>
      </c>
      <c r="AG68">
        <f>IF('WetLitterbags placem_collection'!Z69="","",'WetLitterbags placem_collection'!Z69)</f>
        <v>5.5</v>
      </c>
      <c r="AH68" s="236" t="str">
        <f>IF('WetLitterbags placem_collection'!AA69="","",'WetLitterbags placem_collection'!AA69)</f>
        <v>O</v>
      </c>
      <c r="AI68">
        <f>IF('WetLitterbags placem_collection'!AC69="","",'WetLitterbags placem_collection'!AC69)</f>
        <v>1</v>
      </c>
      <c r="AJ68" t="str">
        <f>IFERROR(AVERAGE('Dry_Litterbag Placem_Collection'!O69,'Dry_Litterbag Placem_Collection'!R69),"")</f>
        <v/>
      </c>
      <c r="AK68" s="261" t="str">
        <f>IFERROR(AVERAGE('Dry_Litterbag Placem_Collection'!N69,'Dry_Litterbag Placem_Collection'!Q69),"")</f>
        <v/>
      </c>
      <c r="AL68" s="260">
        <f>INDEX([2]Coordinates!$B$2:$B$197,MATCH(I68,[2]Coordinates!$J$2:$J$197,0))</f>
        <v>-3.299434008</v>
      </c>
      <c r="AM68" s="260">
        <f>INDEX([2]Coordinates!$C$2:$C$197,MATCH(I68,[2]Coordinates!$J$2:$J$197,0))</f>
        <v>34.848514960000003</v>
      </c>
      <c r="AN68" s="260" t="str">
        <f>IF(ISNUMBER(SEARCH("C", 'Dry_Litterbag Placem_Collection'!S69)),"YES","NO")</f>
        <v>NO</v>
      </c>
      <c r="AO68" s="260" t="str">
        <f>IF(ISNUMBER(SEARCH("H", 'Dry_Litterbag Placem_Collection'!S69)),"YES","NO")</f>
        <v>NO</v>
      </c>
      <c r="AP68" s="260" t="str">
        <f>IF(ISNUMBER(SEARCH("R", 'Dry_Litterbag Placem_Collection'!S69)),"YES","NO")</f>
        <v>NO</v>
      </c>
    </row>
    <row r="69" spans="1:42">
      <c r="A69" t="s">
        <v>3248</v>
      </c>
      <c r="B69" s="252" t="s">
        <v>2643</v>
      </c>
      <c r="C69" s="253">
        <f>'Dry_Litterbag Placem_Collection'!A70</f>
        <v>68</v>
      </c>
      <c r="D69" s="253" t="str">
        <f>'Dry_Litterbag Placem_Collection'!B70</f>
        <v>Maswa</v>
      </c>
      <c r="E69" s="253" t="s">
        <v>2643</v>
      </c>
      <c r="F69" s="253" t="s">
        <v>2645</v>
      </c>
      <c r="G69" s="253">
        <v>1</v>
      </c>
      <c r="H69" s="253" t="s">
        <v>3111</v>
      </c>
      <c r="I69" s="254" t="str">
        <f>'Dry_Litterbag Placem_Collection'!C70</f>
        <v>Dry_W1_T4</v>
      </c>
      <c r="J69" s="255" t="s">
        <v>2525</v>
      </c>
      <c r="K69" s="256" t="s">
        <v>1147</v>
      </c>
      <c r="L69" s="253" t="str">
        <f>IF(ISBLANK('Dry_Litterbag Placem_Collection'!J70),"","G"&amp;""&amp;'Dry_Litterbag Placem_Collection'!J70)</f>
        <v>G63</v>
      </c>
      <c r="M69" s="257">
        <f>IFERROR(INDEX('Green_rooibos initial weight'!$C$5:$C$2000,MATCH(L69, 'Green_rooibos initial weight'!$A$5:$A$2000,0)),"")</f>
        <v>2</v>
      </c>
      <c r="N69" s="257">
        <f>IFERROR(M69-(TBIcalc!$Q$9+TBIcalc!$Q$10),"")</f>
        <v>1.7502</v>
      </c>
      <c r="O69" s="378">
        <f>AVERAGE(Ashed_controlls!$K$2:$K$11)</f>
        <v>5.5147656768714146</v>
      </c>
      <c r="P69" s="257">
        <f t="shared" si="6"/>
        <v>1.6536805711233964</v>
      </c>
      <c r="Q69" s="257">
        <f>IFERROR(INDEX('Both teabags AfterDry'!$D$2:$D$2000,MATCH(L69,'Both teabags AfterDry'!$A$2:$A$2000,0)),"")</f>
        <v>1.8152999999999999</v>
      </c>
      <c r="R69" s="257">
        <f>IFERROR(IF(Q69&gt;0,Q69-(TBIcalc!$Q$9),""),"")</f>
        <v>1.6646999999999998</v>
      </c>
      <c r="S69" s="268">
        <f>IFERROR(INDEX('Ashed teabags dry'!$K$2:$K$2000,MATCH(L69,'Ashed teabags dry'!$A$2:$A$2000,0)),"")</f>
        <v>5.6851311953349883</v>
      </c>
      <c r="T69" s="268">
        <f t="shared" si="7"/>
        <v>1.5700596209912583</v>
      </c>
      <c r="U69" s="258">
        <f>IF('Dry_Litterbag Placem_Collection'!E70="","",'Dry_Litterbag Placem_Collection'!E70)</f>
        <v>42937</v>
      </c>
      <c r="V69" s="258">
        <f>IF('Dry_Litterbag Placem_Collection'!G70="","",'Dry_Litterbag Placem_Collection'!G70)</f>
        <v>43005</v>
      </c>
      <c r="W69" s="259">
        <f t="shared" si="5"/>
        <v>68</v>
      </c>
      <c r="X69" s="257">
        <f t="shared" si="8"/>
        <v>8.5500000000000131E-2</v>
      </c>
      <c r="Y69" s="257">
        <f t="shared" si="9"/>
        <v>8.3620950132138105E-2</v>
      </c>
      <c r="Z69" s="261">
        <f>IFERROR(INDEX([3]Rainfall_Dry!$O$2:$O$217,MATCH(C69, [3]Rainfall_Dry!$A$2:$A$217,0)),"")</f>
        <v>6.900000125</v>
      </c>
      <c r="AA69" s="250">
        <v>47.96</v>
      </c>
      <c r="AB69" s="250">
        <v>22.919999999999995</v>
      </c>
      <c r="AC69" s="250">
        <v>29.120000000000012</v>
      </c>
      <c r="AD69" s="251" t="s">
        <v>2654</v>
      </c>
      <c r="AE69" s="250">
        <v>5.8831936914736298</v>
      </c>
      <c r="AF69">
        <f>IF('WetLitterbags placem_collection'!AB70="","",'WetLitterbags placem_collection'!AB70)</f>
        <v>9.6999999999999993</v>
      </c>
      <c r="AG69">
        <f>IF('WetLitterbags placem_collection'!Z70="","",'WetLitterbags placem_collection'!Z70)</f>
        <v>23.4</v>
      </c>
      <c r="AH69" s="236" t="str">
        <f>IF('WetLitterbags placem_collection'!AA70="","",'WetLitterbags placem_collection'!AA70)</f>
        <v>O</v>
      </c>
      <c r="AI69">
        <f>IF('WetLitterbags placem_collection'!AC70="","",'WetLitterbags placem_collection'!AC70)</f>
        <v>1</v>
      </c>
      <c r="AJ69">
        <f>IFERROR(AVERAGE('Dry_Litterbag Placem_Collection'!O70,'Dry_Litterbag Placem_Collection'!R70),"")</f>
        <v>7.75</v>
      </c>
      <c r="AK69" s="261">
        <f>IFERROR(AVERAGE('Dry_Litterbag Placem_Collection'!N70,'Dry_Litterbag Placem_Collection'!Q70),"")</f>
        <v>26.85</v>
      </c>
      <c r="AL69" s="260">
        <f>INDEX([2]Coordinates!$B$2:$B$197,MATCH(I69,[2]Coordinates!$J$2:$J$197,0))</f>
        <v>-3.2991180099999999</v>
      </c>
      <c r="AM69" s="260">
        <f>INDEX([2]Coordinates!$C$2:$C$197,MATCH(I69,[2]Coordinates!$J$2:$J$197,0))</f>
        <v>34.84824699</v>
      </c>
      <c r="AN69" s="260" t="str">
        <f>IF(ISNUMBER(SEARCH("C", 'Dry_Litterbag Placem_Collection'!S70)),"YES","NO")</f>
        <v>NO</v>
      </c>
      <c r="AO69" s="260" t="str">
        <f>IF(ISNUMBER(SEARCH("H", 'Dry_Litterbag Placem_Collection'!S70)),"YES","NO")</f>
        <v>NO</v>
      </c>
      <c r="AP69" s="260" t="str">
        <f>IF(ISNUMBER(SEARCH("R", 'Dry_Litterbag Placem_Collection'!S70)),"YES","NO")</f>
        <v>NO</v>
      </c>
    </row>
    <row r="70" spans="1:42">
      <c r="A70" t="s">
        <v>3248</v>
      </c>
      <c r="B70" s="252" t="s">
        <v>2643</v>
      </c>
      <c r="C70" s="253">
        <f>'Dry_Litterbag Placem_Collection'!A71</f>
        <v>69</v>
      </c>
      <c r="D70" s="253" t="str">
        <f>'Dry_Litterbag Placem_Collection'!B71</f>
        <v>Maswa</v>
      </c>
      <c r="E70" s="253" t="s">
        <v>2643</v>
      </c>
      <c r="F70" s="253" t="s">
        <v>2645</v>
      </c>
      <c r="G70" s="253">
        <v>1</v>
      </c>
      <c r="H70" s="253" t="s">
        <v>3111</v>
      </c>
      <c r="I70" s="254" t="str">
        <f>'Dry_Litterbag Placem_Collection'!C71</f>
        <v>Dry_W1_T5</v>
      </c>
      <c r="J70" s="255" t="s">
        <v>2525</v>
      </c>
      <c r="K70" s="256" t="s">
        <v>1147</v>
      </c>
      <c r="L70" s="253" t="str">
        <f>IF(ISBLANK('Dry_Litterbag Placem_Collection'!J71),"","G"&amp;""&amp;'Dry_Litterbag Placem_Collection'!J71)</f>
        <v>G382</v>
      </c>
      <c r="M70" s="257">
        <f>IFERROR(INDEX('Green_rooibos initial weight'!$C$5:$C$2000,MATCH(L70, 'Green_rooibos initial weight'!$A$5:$A$2000,0)),"")</f>
        <v>2.0960000000000001</v>
      </c>
      <c r="N70" s="257">
        <f>IFERROR(M70-(TBIcalc!$Q$9+TBIcalc!$Q$10),"")</f>
        <v>1.8462000000000001</v>
      </c>
      <c r="O70" s="378">
        <f>AVERAGE(Ashed_controlls!$K$2:$K$11)</f>
        <v>5.5147656768714146</v>
      </c>
      <c r="P70" s="257">
        <f t="shared" si="6"/>
        <v>1.7443863960735999</v>
      </c>
      <c r="Q70" s="257">
        <f>IFERROR(INDEX('Both teabags AfterDry'!$D$2:$D$2000,MATCH(L70,'Both teabags AfterDry'!$A$2:$A$2000,0)),"")</f>
        <v>1.8677999999999999</v>
      </c>
      <c r="R70" s="257">
        <f>IFERROR(IF(Q70&gt;0,Q70-(TBIcalc!$Q$9),""),"")</f>
        <v>1.7171999999999998</v>
      </c>
      <c r="S70" s="268">
        <f>IFERROR(INDEX('Ashed teabags dry'!$K$2:$K$2000,MATCH(L70,'Ashed teabags dry'!$A$2:$A$2000,0)),"")</f>
        <v>5.5063913470994565</v>
      </c>
      <c r="T70" s="268">
        <f t="shared" si="7"/>
        <v>1.622644247787608</v>
      </c>
      <c r="U70" s="258">
        <f>IF('Dry_Litterbag Placem_Collection'!E71="","",'Dry_Litterbag Placem_Collection'!E71)</f>
        <v>42937</v>
      </c>
      <c r="V70" s="258">
        <f>IF('Dry_Litterbag Placem_Collection'!G71="","",'Dry_Litterbag Placem_Collection'!G71)</f>
        <v>43006</v>
      </c>
      <c r="W70" s="259">
        <f t="shared" si="5"/>
        <v>69</v>
      </c>
      <c r="X70" s="257">
        <f t="shared" si="8"/>
        <v>0.12900000000000023</v>
      </c>
      <c r="Y70" s="257">
        <f t="shared" si="9"/>
        <v>0.12174214828599195</v>
      </c>
      <c r="Z70" s="261">
        <f>IFERROR(INDEX([3]Rainfall_Dry!$O$2:$O$217,MATCH(C70, [3]Rainfall_Dry!$A$2:$A$217,0)),"")</f>
        <v>6.900000125</v>
      </c>
      <c r="AA70" s="250">
        <v>47.96</v>
      </c>
      <c r="AB70" s="250">
        <v>22.919999999999995</v>
      </c>
      <c r="AC70" s="250">
        <v>29.120000000000012</v>
      </c>
      <c r="AD70" s="251" t="s">
        <v>2654</v>
      </c>
      <c r="AE70" s="250">
        <v>6.8831936914736298</v>
      </c>
      <c r="AF70">
        <f>IF('WetLitterbags placem_collection'!AB71="","",'WetLitterbags placem_collection'!AB71)</f>
        <v>14.4</v>
      </c>
      <c r="AG70">
        <f>IF('WetLitterbags placem_collection'!Z71="","",'WetLitterbags placem_collection'!Z71)</f>
        <v>24.4</v>
      </c>
      <c r="AH70" s="236" t="str">
        <f>IF('WetLitterbags placem_collection'!AA71="","",'WetLitterbags placem_collection'!AA71)</f>
        <v>O</v>
      </c>
      <c r="AI70">
        <f>IF('WetLitterbags placem_collection'!AC71="","",'WetLitterbags placem_collection'!AC71)</f>
        <v>1</v>
      </c>
      <c r="AJ70">
        <f>IFERROR(AVERAGE('Dry_Litterbag Placem_Collection'!O71,'Dry_Litterbag Placem_Collection'!R71),"")</f>
        <v>7.95</v>
      </c>
      <c r="AK70" s="261">
        <f>IFERROR(AVERAGE('Dry_Litterbag Placem_Collection'!N71,'Dry_Litterbag Placem_Collection'!Q71),"")</f>
        <v>26.55</v>
      </c>
      <c r="AL70" s="260">
        <f>INDEX([2]Coordinates!$B$2:$B$197,MATCH(I70,[2]Coordinates!$J$2:$J$197,0))</f>
        <v>-3.2993180030000002</v>
      </c>
      <c r="AM70" s="260">
        <f>INDEX([2]Coordinates!$C$2:$C$197,MATCH(I70,[2]Coordinates!$J$2:$J$197,0))</f>
        <v>34.848235010000003</v>
      </c>
      <c r="AN70" s="260" t="str">
        <f>IF(ISNUMBER(SEARCH("C", 'Dry_Litterbag Placem_Collection'!S71)),"YES","NO")</f>
        <v>NO</v>
      </c>
      <c r="AO70" s="260" t="str">
        <f>IF(ISNUMBER(SEARCH("H", 'Dry_Litterbag Placem_Collection'!S71)),"YES","NO")</f>
        <v>NO</v>
      </c>
      <c r="AP70" s="260" t="str">
        <f>IF(ISNUMBER(SEARCH("R", 'Dry_Litterbag Placem_Collection'!S71)),"YES","NO")</f>
        <v>NO</v>
      </c>
    </row>
    <row r="71" spans="1:42">
      <c r="A71" t="s">
        <v>3248</v>
      </c>
      <c r="B71" s="252" t="s">
        <v>2643</v>
      </c>
      <c r="C71" s="253">
        <f>'Dry_Litterbag Placem_Collection'!A72</f>
        <v>70</v>
      </c>
      <c r="D71" s="253" t="str">
        <f>'Dry_Litterbag Placem_Collection'!B72</f>
        <v>Maswa</v>
      </c>
      <c r="E71" s="253" t="s">
        <v>2643</v>
      </c>
      <c r="F71" s="253" t="s">
        <v>2645</v>
      </c>
      <c r="G71" s="253">
        <v>1</v>
      </c>
      <c r="H71" s="253" t="s">
        <v>3111</v>
      </c>
      <c r="I71" s="254" t="str">
        <f>'Dry_Litterbag Placem_Collection'!C72</f>
        <v>Dry_W1_T6</v>
      </c>
      <c r="J71" s="255" t="s">
        <v>2525</v>
      </c>
      <c r="K71" s="256" t="s">
        <v>1147</v>
      </c>
      <c r="L71" s="253" t="str">
        <f>IF(ISBLANK('Dry_Litterbag Placem_Collection'!J72),"","G"&amp;""&amp;'Dry_Litterbag Placem_Collection'!J72)</f>
        <v>G278</v>
      </c>
      <c r="M71" s="257">
        <f>IFERROR(INDEX('Green_rooibos initial weight'!$C$5:$C$2000,MATCH(L71, 'Green_rooibos initial weight'!$A$5:$A$2000,0)),"")</f>
        <v>2.0049999999999999</v>
      </c>
      <c r="N71" s="257">
        <f>IFERROR(M71-(TBIcalc!$Q$9+TBIcalc!$Q$10),"")</f>
        <v>1.7551999999999999</v>
      </c>
      <c r="O71" s="378">
        <f>AVERAGE(Ashed_controlls!$K$2:$K$11)</f>
        <v>5.5147656768714146</v>
      </c>
      <c r="P71" s="257">
        <f t="shared" si="6"/>
        <v>1.6584048328395529</v>
      </c>
      <c r="Q71" s="257">
        <f>IFERROR(INDEX('Both teabags AfterDry'!$D$2:$D$2000,MATCH(L71,'Both teabags AfterDry'!$A$2:$A$2000,0)),"")</f>
        <v>1.8243</v>
      </c>
      <c r="R71" s="257">
        <f>IFERROR(IF(Q71&gt;0,Q71-(TBIcalc!$Q$9),""),"")</f>
        <v>1.6737</v>
      </c>
      <c r="S71" s="268">
        <f>IFERROR(INDEX('Ashed teabags dry'!$K$2:$K$2000,MATCH(L71,'Ashed teabags dry'!$A$2:$A$2000,0)),"")</f>
        <v>5.9292476332832429</v>
      </c>
      <c r="T71" s="268">
        <f t="shared" si="7"/>
        <v>1.5744621823617384</v>
      </c>
      <c r="U71" s="258">
        <f>IF('Dry_Litterbag Placem_Collection'!E72="","",'Dry_Litterbag Placem_Collection'!E72)</f>
        <v>42937</v>
      </c>
      <c r="V71" s="258">
        <f>IF('Dry_Litterbag Placem_Collection'!G72="","",'Dry_Litterbag Placem_Collection'!G72)</f>
        <v>43006</v>
      </c>
      <c r="W71" s="259">
        <f t="shared" si="5"/>
        <v>69</v>
      </c>
      <c r="X71" s="257">
        <f t="shared" si="8"/>
        <v>8.1499999999999906E-2</v>
      </c>
      <c r="Y71" s="257">
        <f t="shared" si="9"/>
        <v>8.3942650477814462E-2</v>
      </c>
      <c r="Z71" s="261">
        <f>IFERROR(INDEX([3]Rainfall_Dry!$O$2:$O$217,MATCH(C71, [3]Rainfall_Dry!$A$2:$A$217,0)),"")</f>
        <v>6.900000125</v>
      </c>
      <c r="AA71" s="250">
        <v>47.96</v>
      </c>
      <c r="AB71" s="250">
        <v>22.919999999999995</v>
      </c>
      <c r="AC71" s="250">
        <v>29.120000000000012</v>
      </c>
      <c r="AD71" s="251" t="s">
        <v>2654</v>
      </c>
      <c r="AE71" s="250">
        <v>7.8831936914736298</v>
      </c>
      <c r="AF71">
        <f>IF('WetLitterbags placem_collection'!AB72="","",'WetLitterbags placem_collection'!AB72)</f>
        <v>15</v>
      </c>
      <c r="AG71">
        <f>IF('WetLitterbags placem_collection'!Z72="","",'WetLitterbags placem_collection'!Z72)</f>
        <v>28</v>
      </c>
      <c r="AH71" s="236" t="str">
        <f>IF('WetLitterbags placem_collection'!AA72="","",'WetLitterbags placem_collection'!AA72)</f>
        <v>O</v>
      </c>
      <c r="AI71">
        <f>IF('WetLitterbags placem_collection'!AC72="","",'WetLitterbags placem_collection'!AC72)</f>
        <v>0</v>
      </c>
      <c r="AJ71">
        <f>IFERROR(AVERAGE('Dry_Litterbag Placem_Collection'!O72,'Dry_Litterbag Placem_Collection'!R72),"")</f>
        <v>8.8000000000000007</v>
      </c>
      <c r="AK71" s="261">
        <f>IFERROR(AVERAGE('Dry_Litterbag Placem_Collection'!N72,'Dry_Litterbag Placem_Collection'!Q72),"")</f>
        <v>27.200000000000003</v>
      </c>
      <c r="AL71" s="260">
        <f>INDEX([2]Coordinates!$B$2:$B$197,MATCH(I71,[2]Coordinates!$J$2:$J$197,0))</f>
        <v>-3.299381034</v>
      </c>
      <c r="AM71" s="260">
        <f>INDEX([2]Coordinates!$C$2:$C$197,MATCH(I71,[2]Coordinates!$J$2:$J$197,0))</f>
        <v>34.848312040000003</v>
      </c>
      <c r="AN71" s="260" t="str">
        <f>IF(ISNUMBER(SEARCH("C", 'Dry_Litterbag Placem_Collection'!S72)),"YES","NO")</f>
        <v>NO</v>
      </c>
      <c r="AO71" s="260" t="str">
        <f>IF(ISNUMBER(SEARCH("H", 'Dry_Litterbag Placem_Collection'!S72)),"YES","NO")</f>
        <v>NO</v>
      </c>
      <c r="AP71" s="260" t="str">
        <f>IF(ISNUMBER(SEARCH("R", 'Dry_Litterbag Placem_Collection'!S72)),"YES","NO")</f>
        <v>NO</v>
      </c>
    </row>
    <row r="72" spans="1:42">
      <c r="A72" t="s">
        <v>3248</v>
      </c>
      <c r="B72" s="252" t="s">
        <v>2643</v>
      </c>
      <c r="C72" s="253">
        <f>'Dry_Litterbag Placem_Collection'!A73</f>
        <v>71</v>
      </c>
      <c r="D72" s="253" t="str">
        <f>'Dry_Litterbag Placem_Collection'!B73</f>
        <v>Maswa</v>
      </c>
      <c r="E72" s="253" t="s">
        <v>2643</v>
      </c>
      <c r="F72" s="253" t="s">
        <v>2645</v>
      </c>
      <c r="G72" s="253">
        <v>1</v>
      </c>
      <c r="H72" s="253" t="s">
        <v>3111</v>
      </c>
      <c r="I72" s="254" t="str">
        <f>'Dry_Litterbag Placem_Collection'!C73</f>
        <v>Dry_W1_T7</v>
      </c>
      <c r="J72" s="255" t="s">
        <v>2525</v>
      </c>
      <c r="K72" s="256" t="s">
        <v>1147</v>
      </c>
      <c r="L72" s="253" t="str">
        <f>IF(ISBLANK('Dry_Litterbag Placem_Collection'!J73),"","G"&amp;""&amp;'Dry_Litterbag Placem_Collection'!J73)</f>
        <v>G138</v>
      </c>
      <c r="M72" s="257">
        <f>IFERROR(INDEX('Green_rooibos initial weight'!$C$5:$C$2000,MATCH(L72, 'Green_rooibos initial weight'!$A$5:$A$2000,0)),"")</f>
        <v>1.956</v>
      </c>
      <c r="N72" s="257">
        <f>IFERROR(M72-(TBIcalc!$Q$9+TBIcalc!$Q$10),"")</f>
        <v>1.7061999999999999</v>
      </c>
      <c r="O72" s="378">
        <f>AVERAGE(Ashed_controlls!$K$2:$K$11)</f>
        <v>5.5147656768714146</v>
      </c>
      <c r="P72" s="257">
        <f t="shared" si="6"/>
        <v>1.6121070680212199</v>
      </c>
      <c r="Q72" s="257">
        <f>IFERROR(INDEX('Both teabags AfterDry'!$D$2:$D$2000,MATCH(L72,'Both teabags AfterDry'!$A$2:$A$2000,0)),"")</f>
        <v>1.782</v>
      </c>
      <c r="R72" s="257">
        <f>IFERROR(IF(Q72&gt;0,Q72-(TBIcalc!$Q$9),""),"")</f>
        <v>1.6314</v>
      </c>
      <c r="S72" s="268">
        <f>IFERROR(INDEX('Ashed teabags dry'!$K$2:$K$2000,MATCH(L72,'Ashed teabags dry'!$A$2:$A$2000,0)),"")</f>
        <v>5.177372962607877</v>
      </c>
      <c r="T72" s="268">
        <f t="shared" si="7"/>
        <v>1.546936337488015</v>
      </c>
      <c r="U72" s="258">
        <f>IF('Dry_Litterbag Placem_Collection'!E73="","",'Dry_Litterbag Placem_Collection'!E73)</f>
        <v>42937</v>
      </c>
      <c r="V72" s="258">
        <f>IF('Dry_Litterbag Placem_Collection'!G73="","",'Dry_Litterbag Placem_Collection'!G73)</f>
        <v>43006</v>
      </c>
      <c r="W72" s="259">
        <f t="shared" si="5"/>
        <v>69</v>
      </c>
      <c r="X72" s="257">
        <f t="shared" si="8"/>
        <v>7.4799999999999978E-2</v>
      </c>
      <c r="Y72" s="257">
        <f t="shared" si="9"/>
        <v>6.517073053320499E-2</v>
      </c>
      <c r="Z72" s="261">
        <f>IFERROR(INDEX([3]Rainfall_Dry!$O$2:$O$217,MATCH(C72, [3]Rainfall_Dry!$A$2:$A$217,0)),"")</f>
        <v>6.900000125</v>
      </c>
      <c r="AA72" s="250">
        <v>47.96</v>
      </c>
      <c r="AB72" s="250">
        <v>22.919999999999995</v>
      </c>
      <c r="AC72" s="250">
        <v>29.120000000000012</v>
      </c>
      <c r="AD72" s="251" t="s">
        <v>2654</v>
      </c>
      <c r="AE72" s="250">
        <v>8.8831936914736307</v>
      </c>
      <c r="AF72">
        <f>IF('WetLitterbags placem_collection'!AB73="","",'WetLitterbags placem_collection'!AB73)</f>
        <v>15.5</v>
      </c>
      <c r="AG72">
        <f>IF('WetLitterbags placem_collection'!Z73="","",'WetLitterbags placem_collection'!Z73)</f>
        <v>32</v>
      </c>
      <c r="AH72" s="236" t="str">
        <f>IF('WetLitterbags placem_collection'!AA73="","",'WetLitterbags placem_collection'!AA73)</f>
        <v>O</v>
      </c>
      <c r="AI72">
        <f>IF('WetLitterbags placem_collection'!AC73="","",'WetLitterbags placem_collection'!AC73)</f>
        <v>1</v>
      </c>
      <c r="AJ72">
        <f>IFERROR(AVERAGE('Dry_Litterbag Placem_Collection'!O73,'Dry_Litterbag Placem_Collection'!R73),"")</f>
        <v>9.9499999999999993</v>
      </c>
      <c r="AK72" s="261">
        <f>IFERROR(AVERAGE('Dry_Litterbag Placem_Collection'!N73,'Dry_Litterbag Placem_Collection'!Q73),"")</f>
        <v>27.6</v>
      </c>
      <c r="AL72" s="260">
        <f>INDEX([2]Coordinates!$B$2:$B$197,MATCH(I72,[2]Coordinates!$J$2:$J$197,0))</f>
        <v>-3.2992429849999998</v>
      </c>
      <c r="AM72" s="260">
        <f>INDEX([2]Coordinates!$C$2:$C$197,MATCH(I72,[2]Coordinates!$J$2:$J$197,0))</f>
        <v>34.847900989999999</v>
      </c>
      <c r="AN72" s="260" t="str">
        <f>IF(ISNUMBER(SEARCH("C", 'Dry_Litterbag Placem_Collection'!S73)),"YES","NO")</f>
        <v>NO</v>
      </c>
      <c r="AO72" s="260" t="str">
        <f>IF(ISNUMBER(SEARCH("H", 'Dry_Litterbag Placem_Collection'!S73)),"YES","NO")</f>
        <v>NO</v>
      </c>
      <c r="AP72" s="260" t="str">
        <f>IF(ISNUMBER(SEARCH("R", 'Dry_Litterbag Placem_Collection'!S73)),"YES","NO")</f>
        <v>NO</v>
      </c>
    </row>
    <row r="73" spans="1:42">
      <c r="A73" t="s">
        <v>3248</v>
      </c>
      <c r="B73" s="252" t="s">
        <v>2643</v>
      </c>
      <c r="C73" s="253">
        <f>'Dry_Litterbag Placem_Collection'!A74</f>
        <v>72</v>
      </c>
      <c r="D73" s="253" t="str">
        <f>'Dry_Litterbag Placem_Collection'!B74</f>
        <v>Maswa</v>
      </c>
      <c r="E73" s="253" t="s">
        <v>2643</v>
      </c>
      <c r="F73" s="253" t="s">
        <v>2645</v>
      </c>
      <c r="G73" s="253">
        <v>1</v>
      </c>
      <c r="H73" s="253" t="s">
        <v>3111</v>
      </c>
      <c r="I73" s="254" t="str">
        <f>'Dry_Litterbag Placem_Collection'!C74</f>
        <v>Dry_W1_T8</v>
      </c>
      <c r="J73" s="255" t="s">
        <v>2525</v>
      </c>
      <c r="K73" s="256" t="s">
        <v>1147</v>
      </c>
      <c r="L73" s="253" t="str">
        <f>IF(ISBLANK('Dry_Litterbag Placem_Collection'!J74),"","G"&amp;""&amp;'Dry_Litterbag Placem_Collection'!J74)</f>
        <v>G431</v>
      </c>
      <c r="M73" s="257">
        <f>IFERROR(INDEX('Green_rooibos initial weight'!$C$5:$C$2000,MATCH(L73, 'Green_rooibos initial weight'!$A$5:$A$2000,0)),"")</f>
        <v>2.08</v>
      </c>
      <c r="N73" s="257">
        <f>IFERROR(M73-(TBIcalc!$Q$9+TBIcalc!$Q$10),"")</f>
        <v>1.8302</v>
      </c>
      <c r="O73" s="378">
        <f>AVERAGE(Ashed_controlls!$K$2:$K$11)</f>
        <v>5.5147656768714146</v>
      </c>
      <c r="P73" s="257">
        <f t="shared" si="6"/>
        <v>1.7292687585818993</v>
      </c>
      <c r="Q73" s="257">
        <f>IFERROR(INDEX('Both teabags AfterDry'!$D$2:$D$2000,MATCH(L73,'Both teabags AfterDry'!$A$2:$A$2000,0)),"")</f>
        <v>1.8758999999999999</v>
      </c>
      <c r="R73" s="257">
        <f>IFERROR(IF(Q73&gt;0,Q73-(TBIcalc!$Q$9),""),"")</f>
        <v>1.7252999999999998</v>
      </c>
      <c r="S73" s="268">
        <f>IFERROR(INDEX('Ashed teabags dry'!$K$2:$K$2000,MATCH(L73,'Ashed teabags dry'!$A$2:$A$2000,0)),"")</f>
        <v>5.6922334780507073</v>
      </c>
      <c r="T73" s="268">
        <f t="shared" si="7"/>
        <v>1.627091895803191</v>
      </c>
      <c r="U73" s="258">
        <f>IF('Dry_Litterbag Placem_Collection'!E74="","",'Dry_Litterbag Placem_Collection'!E74)</f>
        <v>42937</v>
      </c>
      <c r="V73" s="258">
        <f>IF('Dry_Litterbag Placem_Collection'!G74="","",'Dry_Litterbag Placem_Collection'!G74)</f>
        <v>43006</v>
      </c>
      <c r="W73" s="259">
        <f t="shared" si="5"/>
        <v>69</v>
      </c>
      <c r="X73" s="257">
        <f t="shared" si="8"/>
        <v>0.10490000000000022</v>
      </c>
      <c r="Y73" s="257">
        <f t="shared" si="9"/>
        <v>0.1021768627787083</v>
      </c>
      <c r="Z73" s="261">
        <f>IFERROR(INDEX([3]Rainfall_Dry!$O$2:$O$217,MATCH(C73, [3]Rainfall_Dry!$A$2:$A$217,0)),"")</f>
        <v>6.900000125</v>
      </c>
      <c r="AA73" s="250">
        <v>47.96</v>
      </c>
      <c r="AB73" s="250">
        <v>22.919999999999995</v>
      </c>
      <c r="AC73" s="250">
        <v>29.120000000000012</v>
      </c>
      <c r="AD73" s="251" t="s">
        <v>2654</v>
      </c>
      <c r="AE73" s="250">
        <v>9.8831936914736307</v>
      </c>
      <c r="AF73">
        <f>IF('WetLitterbags placem_collection'!AB74="","",'WetLitterbags placem_collection'!AB74)</f>
        <v>2.6</v>
      </c>
      <c r="AG73">
        <f>IF('WetLitterbags placem_collection'!Z74="","",'WetLitterbags placem_collection'!Z74)</f>
        <v>44</v>
      </c>
      <c r="AH73" s="236" t="str">
        <f>IF('WetLitterbags placem_collection'!AA74="","",'WetLitterbags placem_collection'!AA74)</f>
        <v>O</v>
      </c>
      <c r="AI73">
        <f>IF('WetLitterbags placem_collection'!AC74="","",'WetLitterbags placem_collection'!AC74)</f>
        <v>1</v>
      </c>
      <c r="AJ73">
        <f>IFERROR(AVERAGE('Dry_Litterbag Placem_Collection'!O74,'Dry_Litterbag Placem_Collection'!R74),"")</f>
        <v>9.5</v>
      </c>
      <c r="AK73" s="261">
        <f>IFERROR(AVERAGE('Dry_Litterbag Placem_Collection'!N74,'Dry_Litterbag Placem_Collection'!Q74),"")</f>
        <v>26.35</v>
      </c>
      <c r="AL73" s="260">
        <f>INDEX([2]Coordinates!$B$2:$B$197,MATCH(I73,[2]Coordinates!$J$2:$J$197,0))</f>
        <v>-3.2996540329999999</v>
      </c>
      <c r="AM73" s="260">
        <f>INDEX([2]Coordinates!$C$2:$C$197,MATCH(I73,[2]Coordinates!$J$2:$J$197,0))</f>
        <v>34.848151020000003</v>
      </c>
      <c r="AN73" s="260" t="str">
        <f>IF(ISNUMBER(SEARCH("C", 'Dry_Litterbag Placem_Collection'!S74)),"YES","NO")</f>
        <v>NO</v>
      </c>
      <c r="AO73" s="260" t="str">
        <f>IF(ISNUMBER(SEARCH("H", 'Dry_Litterbag Placem_Collection'!S74)),"YES","NO")</f>
        <v>NO</v>
      </c>
      <c r="AP73" s="260" t="str">
        <f>IF(ISNUMBER(SEARCH("R", 'Dry_Litterbag Placem_Collection'!S74)),"YES","NO")</f>
        <v>NO</v>
      </c>
    </row>
    <row r="74" spans="1:42">
      <c r="A74" t="s">
        <v>3248</v>
      </c>
      <c r="B74" s="252" t="s">
        <v>2643</v>
      </c>
      <c r="C74" s="253">
        <f>'Dry_Litterbag Placem_Collection'!A75</f>
        <v>73</v>
      </c>
      <c r="D74" s="253" t="str">
        <f>'Dry_Litterbag Placem_Collection'!B75</f>
        <v>Maswa</v>
      </c>
      <c r="E74" s="253" t="s">
        <v>2643</v>
      </c>
      <c r="F74" s="253" t="s">
        <v>2645</v>
      </c>
      <c r="G74" s="253">
        <v>2</v>
      </c>
      <c r="H74" s="253" t="s">
        <v>3113</v>
      </c>
      <c r="I74" s="254" t="str">
        <f>'Dry_Litterbag Placem_Collection'!C75</f>
        <v>Dry_W2_T1</v>
      </c>
      <c r="J74" s="255" t="s">
        <v>2525</v>
      </c>
      <c r="K74" s="256" t="s">
        <v>1147</v>
      </c>
      <c r="L74" s="253" t="str">
        <f>IF(ISBLANK('Dry_Litterbag Placem_Collection'!J75),"","G"&amp;""&amp;'Dry_Litterbag Placem_Collection'!J75)</f>
        <v>G321</v>
      </c>
      <c r="M74" s="257">
        <f>IFERROR(INDEX('Green_rooibos initial weight'!$C$5:$C$2000,MATCH(L74, 'Green_rooibos initial weight'!$A$5:$A$2000,0)),"")</f>
        <v>1.9179999999999999</v>
      </c>
      <c r="N74" s="257">
        <f>IFERROR(M74-(TBIcalc!$Q$9+TBIcalc!$Q$10),"")</f>
        <v>1.6681999999999999</v>
      </c>
      <c r="O74" s="378">
        <f>AVERAGE(Ashed_controlls!$K$2:$K$11)</f>
        <v>5.5147656768714146</v>
      </c>
      <c r="P74" s="257">
        <f t="shared" si="6"/>
        <v>1.5762026789784309</v>
      </c>
      <c r="Q74" s="257" t="str">
        <f>IFERROR(INDEX('Both teabags AfterDry'!$D$2:$D$2000,MATCH(L74,'Both teabags AfterDry'!$A$2:$A$2000,0)),"")</f>
        <v/>
      </c>
      <c r="R74" s="257" t="str">
        <f>IFERROR(IF(Q74&gt;0,Q74-(TBIcalc!$Q$9),""),"")</f>
        <v/>
      </c>
      <c r="S74" s="268" t="str">
        <f>IFERROR(INDEX('Ashed teabags dry'!$K$2:$K$2000,MATCH(L74,'Ashed teabags dry'!$A$2:$A$2000,0)),"")</f>
        <v/>
      </c>
      <c r="T74" s="268" t="str">
        <f t="shared" si="7"/>
        <v/>
      </c>
      <c r="U74" s="258">
        <f>IF('Dry_Litterbag Placem_Collection'!E75="","",'Dry_Litterbag Placem_Collection'!E75)</f>
        <v>42937</v>
      </c>
      <c r="V74" s="258">
        <f>IF('Dry_Litterbag Placem_Collection'!G75="","",'Dry_Litterbag Placem_Collection'!G75)</f>
        <v>43006</v>
      </c>
      <c r="W74" s="259">
        <f t="shared" si="5"/>
        <v>69</v>
      </c>
      <c r="X74" s="257" t="str">
        <f t="shared" si="8"/>
        <v/>
      </c>
      <c r="Y74" s="257" t="str">
        <f t="shared" si="9"/>
        <v/>
      </c>
      <c r="Z74" s="261">
        <f>IFERROR(INDEX([3]Rainfall_Dry!$O$2:$O$217,MATCH(C74, [3]Rainfall_Dry!$A$2:$A$217,0)),"")</f>
        <v>6.900000125</v>
      </c>
      <c r="AA74" s="250">
        <v>45.272914521112256</v>
      </c>
      <c r="AB74" s="250">
        <v>23.604531410916575</v>
      </c>
      <c r="AC74" s="250">
        <v>31.122554067971166</v>
      </c>
      <c r="AD74" s="251" t="s">
        <v>2654</v>
      </c>
      <c r="AE74" s="250">
        <v>2.0547560374568752</v>
      </c>
      <c r="AF74">
        <f>IF('WetLitterbags placem_collection'!AB75="","",'WetLitterbags placem_collection'!AB75)</f>
        <v>9.1</v>
      </c>
      <c r="AG74">
        <f>IF('WetLitterbags placem_collection'!Z75="","",'WetLitterbags placem_collection'!Z75)</f>
        <v>10</v>
      </c>
      <c r="AH74" s="236" t="str">
        <f>IF('WetLitterbags placem_collection'!AA75="","",'WetLitterbags placem_collection'!AA75)</f>
        <v>M</v>
      </c>
      <c r="AI74">
        <f>IF('WetLitterbags placem_collection'!AC75="","",'WetLitterbags placem_collection'!AC75)</f>
        <v>1</v>
      </c>
      <c r="AJ74">
        <f>IFERROR(AVERAGE('Dry_Litterbag Placem_Collection'!O75,'Dry_Litterbag Placem_Collection'!R75),"")</f>
        <v>9.5500000000000007</v>
      </c>
      <c r="AK74" s="261">
        <f>IFERROR(AVERAGE('Dry_Litterbag Placem_Collection'!N75,'Dry_Litterbag Placem_Collection'!Q75),"")</f>
        <v>28.35</v>
      </c>
      <c r="AL74" s="260">
        <f>INDEX([2]Coordinates!$B$2:$B$197,MATCH(I74,[2]Coordinates!$J$2:$J$197,0))</f>
        <v>-3.3025860229999999</v>
      </c>
      <c r="AM74" s="260">
        <f>INDEX([2]Coordinates!$C$2:$C$197,MATCH(I74,[2]Coordinates!$J$2:$J$197,0))</f>
        <v>34.848048009999999</v>
      </c>
      <c r="AN74" s="260" t="str">
        <f>IF(ISNUMBER(SEARCH("C", 'Dry_Litterbag Placem_Collection'!S75)),"YES","NO")</f>
        <v>NO</v>
      </c>
      <c r="AO74" s="260" t="str">
        <f>IF(ISNUMBER(SEARCH("H", 'Dry_Litterbag Placem_Collection'!S75)),"YES","NO")</f>
        <v>NO</v>
      </c>
      <c r="AP74" s="260" t="str">
        <f>IF(ISNUMBER(SEARCH("R", 'Dry_Litterbag Placem_Collection'!S75)),"YES","NO")</f>
        <v>NO</v>
      </c>
    </row>
    <row r="75" spans="1:42">
      <c r="A75" t="s">
        <v>3248</v>
      </c>
      <c r="B75" s="252" t="s">
        <v>2643</v>
      </c>
      <c r="C75" s="253">
        <f>'Dry_Litterbag Placem_Collection'!A76</f>
        <v>74</v>
      </c>
      <c r="D75" s="253" t="str">
        <f>'Dry_Litterbag Placem_Collection'!B76</f>
        <v>Maswa</v>
      </c>
      <c r="E75" s="253" t="s">
        <v>2643</v>
      </c>
      <c r="F75" s="253" t="s">
        <v>2645</v>
      </c>
      <c r="G75" s="253">
        <v>2</v>
      </c>
      <c r="H75" s="253" t="s">
        <v>3113</v>
      </c>
      <c r="I75" s="254" t="str">
        <f>'Dry_Litterbag Placem_Collection'!C76</f>
        <v>Dry_W2_T2</v>
      </c>
      <c r="J75" s="255" t="s">
        <v>2525</v>
      </c>
      <c r="K75" s="256" t="s">
        <v>1147</v>
      </c>
      <c r="L75" s="253" t="str">
        <f>IF(ISBLANK('Dry_Litterbag Placem_Collection'!J76),"","G"&amp;""&amp;'Dry_Litterbag Placem_Collection'!J76)</f>
        <v>G329</v>
      </c>
      <c r="M75" s="257">
        <f>IFERROR(INDEX('Green_rooibos initial weight'!$C$5:$C$2000,MATCH(L75, 'Green_rooibos initial weight'!$A$5:$A$2000,0)),"")</f>
        <v>1.9550000000000001</v>
      </c>
      <c r="N75" s="257">
        <f>IFERROR(M75-(TBIcalc!$Q$9+TBIcalc!$Q$10),"")</f>
        <v>1.7052</v>
      </c>
      <c r="O75" s="378">
        <f>AVERAGE(Ashed_controlls!$K$2:$K$11)</f>
        <v>5.5147656768714146</v>
      </c>
      <c r="P75" s="257">
        <f t="shared" si="6"/>
        <v>1.6111622156779888</v>
      </c>
      <c r="Q75" s="257">
        <f>IFERROR(INDEX('Both teabags AfterDry'!$D$2:$D$2000,MATCH(L75,'Both teabags AfterDry'!$A$2:$A$2000,0)),"")</f>
        <v>1.7850999999999999</v>
      </c>
      <c r="R75" s="257">
        <f>IFERROR(IF(Q75&gt;0,Q75-(TBIcalc!$Q$9),""),"")</f>
        <v>1.6344999999999998</v>
      </c>
      <c r="S75" s="268">
        <f>IFERROR(INDEX('Ashed teabags dry'!$K$2:$K$2000,MATCH(L75,'Ashed teabags dry'!$A$2:$A$2000,0)),"")</f>
        <v>5.4652880354504347</v>
      </c>
      <c r="T75" s="268">
        <f t="shared" si="7"/>
        <v>1.5451698670605625</v>
      </c>
      <c r="U75" s="258">
        <f>IF('Dry_Litterbag Placem_Collection'!E76="","",'Dry_Litterbag Placem_Collection'!E76)</f>
        <v>42937</v>
      </c>
      <c r="V75" s="258">
        <f>IF('Dry_Litterbag Placem_Collection'!G76="","",'Dry_Litterbag Placem_Collection'!G76)</f>
        <v>43006</v>
      </c>
      <c r="W75" s="259">
        <f t="shared" si="5"/>
        <v>69</v>
      </c>
      <c r="X75" s="257">
        <f t="shared" si="8"/>
        <v>7.0700000000000207E-2</v>
      </c>
      <c r="Y75" s="257">
        <f t="shared" si="9"/>
        <v>6.5992348617426311E-2</v>
      </c>
      <c r="Z75" s="261">
        <f>IFERROR(INDEX([3]Rainfall_Dry!$O$2:$O$217,MATCH(C75, [3]Rainfall_Dry!$A$2:$A$217,0)),"")</f>
        <v>6.900000125</v>
      </c>
      <c r="AA75" s="250">
        <v>45.272914521112256</v>
      </c>
      <c r="AB75" s="250">
        <v>23.604531410916575</v>
      </c>
      <c r="AC75" s="250">
        <v>31.122554067971166</v>
      </c>
      <c r="AD75" s="251" t="s">
        <v>2654</v>
      </c>
      <c r="AE75" s="250">
        <v>3.0547560374568801</v>
      </c>
      <c r="AF75">
        <f>IF('WetLitterbags placem_collection'!AB76="","",'WetLitterbags placem_collection'!AB76)</f>
        <v>7.7</v>
      </c>
      <c r="AG75">
        <f>IF('WetLitterbags placem_collection'!Z76="","",'WetLitterbags placem_collection'!Z76)</f>
        <v>9.4</v>
      </c>
      <c r="AH75" s="236" t="str">
        <f>IF('WetLitterbags placem_collection'!AA76="","",'WetLitterbags placem_collection'!AA76)</f>
        <v>M</v>
      </c>
      <c r="AI75">
        <f>IF('WetLitterbags placem_collection'!AC76="","",'WetLitterbags placem_collection'!AC76)</f>
        <v>1</v>
      </c>
      <c r="AJ75">
        <f>IFERROR(AVERAGE('Dry_Litterbag Placem_Collection'!O76,'Dry_Litterbag Placem_Collection'!R76),"")</f>
        <v>10.8</v>
      </c>
      <c r="AK75" s="261">
        <f>IFERROR(AVERAGE('Dry_Litterbag Placem_Collection'!N76,'Dry_Litterbag Placem_Collection'!Q76),"")</f>
        <v>28.1</v>
      </c>
      <c r="AL75" s="260">
        <f>INDEX([2]Coordinates!$B$2:$B$197,MATCH(I75,[2]Coordinates!$J$2:$J$197,0))</f>
        <v>-3.3025779759999998</v>
      </c>
      <c r="AM75" s="260">
        <f>INDEX([2]Coordinates!$C$2:$C$197,MATCH(I75,[2]Coordinates!$J$2:$J$197,0))</f>
        <v>34.848041969999997</v>
      </c>
      <c r="AN75" s="260" t="str">
        <f>IF(ISNUMBER(SEARCH("C", 'Dry_Litterbag Placem_Collection'!S76)),"YES","NO")</f>
        <v>NO</v>
      </c>
      <c r="AO75" s="260" t="str">
        <f>IF(ISNUMBER(SEARCH("H", 'Dry_Litterbag Placem_Collection'!S76)),"YES","NO")</f>
        <v>NO</v>
      </c>
      <c r="AP75" s="260" t="str">
        <f>IF(ISNUMBER(SEARCH("R", 'Dry_Litterbag Placem_Collection'!S76)),"YES","NO")</f>
        <v>NO</v>
      </c>
    </row>
    <row r="76" spans="1:42">
      <c r="A76" t="s">
        <v>3248</v>
      </c>
      <c r="B76" s="252" t="s">
        <v>2643</v>
      </c>
      <c r="C76" s="253">
        <f>'Dry_Litterbag Placem_Collection'!A77</f>
        <v>75</v>
      </c>
      <c r="D76" s="253" t="str">
        <f>'Dry_Litterbag Placem_Collection'!B77</f>
        <v>Maswa</v>
      </c>
      <c r="E76" s="253" t="s">
        <v>2643</v>
      </c>
      <c r="F76" s="253" t="s">
        <v>2645</v>
      </c>
      <c r="G76" s="253">
        <v>2</v>
      </c>
      <c r="H76" s="253" t="s">
        <v>3113</v>
      </c>
      <c r="I76" s="254" t="str">
        <f>'Dry_Litterbag Placem_Collection'!C77</f>
        <v>Dry_W2_T3</v>
      </c>
      <c r="J76" s="255" t="s">
        <v>2525</v>
      </c>
      <c r="K76" s="256" t="s">
        <v>1147</v>
      </c>
      <c r="L76" s="253" t="str">
        <f>IF(ISBLANK('Dry_Litterbag Placem_Collection'!J77),"","G"&amp;""&amp;'Dry_Litterbag Placem_Collection'!J77)</f>
        <v>G215</v>
      </c>
      <c r="M76" s="257">
        <f>IFERROR(INDEX('Green_rooibos initial weight'!$C$5:$C$2000,MATCH(L76, 'Green_rooibos initial weight'!$A$5:$A$2000,0)),"")</f>
        <v>2.0579999999999998</v>
      </c>
      <c r="N76" s="257">
        <f>IFERROR(M76-(TBIcalc!$Q$9+TBIcalc!$Q$10),"")</f>
        <v>1.8081999999999998</v>
      </c>
      <c r="O76" s="378">
        <f>AVERAGE(Ashed_controlls!$K$2:$K$11)</f>
        <v>5.5147656768714146</v>
      </c>
      <c r="P76" s="257">
        <f t="shared" si="6"/>
        <v>1.7084820070308109</v>
      </c>
      <c r="Q76" s="257">
        <f>IFERROR(INDEX('Both teabags AfterDry'!$D$2:$D$2000,MATCH(L76,'Both teabags AfterDry'!$A$2:$A$2000,0)),"")</f>
        <v>1.9146000000000001</v>
      </c>
      <c r="R76" s="257">
        <f>IFERROR(IF(Q76&gt;0,Q76-(TBIcalc!$Q$9),""),"")</f>
        <v>1.764</v>
      </c>
      <c r="S76" s="268">
        <f>IFERROR(INDEX('Ashed teabags dry'!$K$2:$K$2000,MATCH(L76,'Ashed teabags dry'!$A$2:$A$2000,0)),"")</f>
        <v>5.0223769269016794</v>
      </c>
      <c r="T76" s="268">
        <f t="shared" si="7"/>
        <v>1.6754052710094545</v>
      </c>
      <c r="U76" s="258">
        <f>IF('Dry_Litterbag Placem_Collection'!E77="","",'Dry_Litterbag Placem_Collection'!E77)</f>
        <v>42937</v>
      </c>
      <c r="V76" s="258">
        <f>IF('Dry_Litterbag Placem_Collection'!G77="","",'Dry_Litterbag Placem_Collection'!G77)</f>
        <v>43006</v>
      </c>
      <c r="W76" s="259">
        <f t="shared" si="5"/>
        <v>69</v>
      </c>
      <c r="X76" s="257">
        <f t="shared" si="8"/>
        <v>4.4199999999999795E-2</v>
      </c>
      <c r="Y76" s="257">
        <f t="shared" si="9"/>
        <v>3.3076736021356412E-2</v>
      </c>
      <c r="Z76" s="261">
        <f>IFERROR(INDEX([3]Rainfall_Dry!$O$2:$O$217,MATCH(C76, [3]Rainfall_Dry!$A$2:$A$217,0)),"")</f>
        <v>6.900000125</v>
      </c>
      <c r="AA76" s="250">
        <v>45.272914521112256</v>
      </c>
      <c r="AB76" s="250">
        <v>23.604531410916575</v>
      </c>
      <c r="AC76" s="250">
        <v>31.122554067971166</v>
      </c>
      <c r="AD76" s="251" t="s">
        <v>2654</v>
      </c>
      <c r="AE76" s="250">
        <v>4.0547560374568796</v>
      </c>
      <c r="AF76">
        <f>IF('WetLitterbags placem_collection'!AB77="","",'WetLitterbags placem_collection'!AB77)</f>
        <v>6.1</v>
      </c>
      <c r="AG76">
        <f>IF('WetLitterbags placem_collection'!Z77="","",'WetLitterbags placem_collection'!Z77)</f>
        <v>13.8</v>
      </c>
      <c r="AH76" s="236" t="str">
        <f>IF('WetLitterbags placem_collection'!AA77="","",'WetLitterbags placem_collection'!AA77)</f>
        <v>O</v>
      </c>
      <c r="AI76">
        <f>IF('WetLitterbags placem_collection'!AC77="","",'WetLitterbags placem_collection'!AC77)</f>
        <v>0</v>
      </c>
      <c r="AJ76">
        <f>IFERROR(AVERAGE('Dry_Litterbag Placem_Collection'!O77,'Dry_Litterbag Placem_Collection'!R77),"")</f>
        <v>12.3</v>
      </c>
      <c r="AK76" s="261">
        <f>IFERROR(AVERAGE('Dry_Litterbag Placem_Collection'!N77,'Dry_Litterbag Placem_Collection'!Q77),"")</f>
        <v>27.200000000000003</v>
      </c>
      <c r="AL76" s="260">
        <f>INDEX([2]Coordinates!$B$2:$B$197,MATCH(I76,[2]Coordinates!$J$2:$J$197,0))</f>
        <v>-3.302687025</v>
      </c>
      <c r="AM76" s="260">
        <f>INDEX([2]Coordinates!$C$2:$C$197,MATCH(I76,[2]Coordinates!$J$2:$J$197,0))</f>
        <v>34.847926970000003</v>
      </c>
      <c r="AN76" s="260" t="str">
        <f>IF(ISNUMBER(SEARCH("C", 'Dry_Litterbag Placem_Collection'!S77)),"YES","NO")</f>
        <v>NO</v>
      </c>
      <c r="AO76" s="260" t="str">
        <f>IF(ISNUMBER(SEARCH("H", 'Dry_Litterbag Placem_Collection'!S77)),"YES","NO")</f>
        <v>YES</v>
      </c>
      <c r="AP76" s="260" t="str">
        <f>IF(ISNUMBER(SEARCH("R", 'Dry_Litterbag Placem_Collection'!S77)),"YES","NO")</f>
        <v>NO</v>
      </c>
    </row>
    <row r="77" spans="1:42">
      <c r="A77" t="s">
        <v>3248</v>
      </c>
      <c r="B77" s="252" t="s">
        <v>2643</v>
      </c>
      <c r="C77" s="253">
        <f>'Dry_Litterbag Placem_Collection'!A78</f>
        <v>76</v>
      </c>
      <c r="D77" s="253" t="str">
        <f>'Dry_Litterbag Placem_Collection'!B78</f>
        <v>Maswa</v>
      </c>
      <c r="E77" s="253" t="s">
        <v>2643</v>
      </c>
      <c r="F77" s="253" t="s">
        <v>2645</v>
      </c>
      <c r="G77" s="253">
        <v>2</v>
      </c>
      <c r="H77" s="253" t="s">
        <v>3113</v>
      </c>
      <c r="I77" s="254" t="str">
        <f>'Dry_Litterbag Placem_Collection'!C78</f>
        <v>Dry_W2_T4</v>
      </c>
      <c r="J77" s="255" t="s">
        <v>2525</v>
      </c>
      <c r="K77" s="256" t="s">
        <v>1147</v>
      </c>
      <c r="L77" s="253" t="str">
        <f>IF(ISBLANK('Dry_Litterbag Placem_Collection'!J78),"","G"&amp;""&amp;'Dry_Litterbag Placem_Collection'!J78)</f>
        <v>G60</v>
      </c>
      <c r="M77" s="257">
        <f>IFERROR(INDEX('Green_rooibos initial weight'!$C$5:$C$2000,MATCH(L77, 'Green_rooibos initial weight'!$A$5:$A$2000,0)),"")</f>
        <v>2.1230000000000002</v>
      </c>
      <c r="N77" s="257">
        <f>IFERROR(M77-(TBIcalc!$Q$9+TBIcalc!$Q$10),"")</f>
        <v>1.8732000000000002</v>
      </c>
      <c r="O77" s="378">
        <f>AVERAGE(Ashed_controlls!$K$2:$K$11)</f>
        <v>5.5147656768714146</v>
      </c>
      <c r="P77" s="257">
        <f t="shared" si="6"/>
        <v>1.7698974093408448</v>
      </c>
      <c r="Q77" s="257">
        <f>IFERROR(INDEX('Both teabags AfterDry'!$D$2:$D$2000,MATCH(L77,'Both teabags AfterDry'!$A$2:$A$2000,0)),"")</f>
        <v>1.9540999999999999</v>
      </c>
      <c r="R77" s="257">
        <f>IFERROR(IF(Q77&gt;0,Q77-(TBIcalc!$Q$9),""),"")</f>
        <v>1.8034999999999999</v>
      </c>
      <c r="S77" s="268">
        <f>IFERROR(INDEX('Ashed teabags dry'!$K$2:$K$2000,MATCH(L77,'Ashed teabags dry'!$A$2:$A$2000,0)),"")</f>
        <v>5.8748403575990409</v>
      </c>
      <c r="T77" s="268">
        <f t="shared" si="7"/>
        <v>1.6975472541507013</v>
      </c>
      <c r="U77" s="258">
        <f>IF('Dry_Litterbag Placem_Collection'!E78="","",'Dry_Litterbag Placem_Collection'!E78)</f>
        <v>42937</v>
      </c>
      <c r="V77" s="258">
        <f>IF('Dry_Litterbag Placem_Collection'!G78="","",'Dry_Litterbag Placem_Collection'!G78)</f>
        <v>43006</v>
      </c>
      <c r="W77" s="259">
        <f t="shared" si="5"/>
        <v>69</v>
      </c>
      <c r="X77" s="257">
        <f t="shared" si="8"/>
        <v>6.9700000000000317E-2</v>
      </c>
      <c r="Y77" s="257">
        <f t="shared" si="9"/>
        <v>7.2350155190143539E-2</v>
      </c>
      <c r="Z77" s="261">
        <f>IFERROR(INDEX([3]Rainfall_Dry!$O$2:$O$217,MATCH(C77, [3]Rainfall_Dry!$A$2:$A$217,0)),"")</f>
        <v>6.900000125</v>
      </c>
      <c r="AA77" s="250">
        <v>45.272914521112256</v>
      </c>
      <c r="AB77" s="250">
        <v>23.604531410916575</v>
      </c>
      <c r="AC77" s="250">
        <v>31.122554067971166</v>
      </c>
      <c r="AD77" s="251" t="s">
        <v>2654</v>
      </c>
      <c r="AE77" s="250">
        <v>5.0547560374568796</v>
      </c>
      <c r="AF77">
        <f>IF('WetLitterbags placem_collection'!AB78="","",'WetLitterbags placem_collection'!AB78)</f>
        <v>6.7</v>
      </c>
      <c r="AG77">
        <f>IF('WetLitterbags placem_collection'!Z78="","",'WetLitterbags placem_collection'!Z78)</f>
        <v>19.3</v>
      </c>
      <c r="AH77" s="236" t="str">
        <f>IF('WetLitterbags placem_collection'!AA78="","",'WetLitterbags placem_collection'!AA78)</f>
        <v>M</v>
      </c>
      <c r="AI77">
        <f>IF('WetLitterbags placem_collection'!AC78="","",'WetLitterbags placem_collection'!AC78)</f>
        <v>1</v>
      </c>
      <c r="AJ77">
        <f>IFERROR(AVERAGE('Dry_Litterbag Placem_Collection'!O78,'Dry_Litterbag Placem_Collection'!R78),"")</f>
        <v>11.1</v>
      </c>
      <c r="AK77" s="261">
        <f>IFERROR(AVERAGE('Dry_Litterbag Placem_Collection'!N78,'Dry_Litterbag Placem_Collection'!Q78),"")</f>
        <v>27.75</v>
      </c>
      <c r="AL77" s="260">
        <f>INDEX([2]Coordinates!$B$2:$B$197,MATCH(I77,[2]Coordinates!$J$2:$J$197,0))</f>
        <v>-3.3024560190000001</v>
      </c>
      <c r="AM77" s="260">
        <f>INDEX([2]Coordinates!$C$2:$C$197,MATCH(I77,[2]Coordinates!$J$2:$J$197,0))</f>
        <v>34.847871990000002</v>
      </c>
      <c r="AN77" s="260" t="str">
        <f>IF(ISNUMBER(SEARCH("C", 'Dry_Litterbag Placem_Collection'!S78)),"YES","NO")</f>
        <v>NO</v>
      </c>
      <c r="AO77" s="260" t="str">
        <f>IF(ISNUMBER(SEARCH("H", 'Dry_Litterbag Placem_Collection'!S78)),"YES","NO")</f>
        <v>NO</v>
      </c>
      <c r="AP77" s="260" t="str">
        <f>IF(ISNUMBER(SEARCH("R", 'Dry_Litterbag Placem_Collection'!S78)),"YES","NO")</f>
        <v>NO</v>
      </c>
    </row>
    <row r="78" spans="1:42">
      <c r="A78" t="s">
        <v>3248</v>
      </c>
      <c r="B78" s="252" t="s">
        <v>2643</v>
      </c>
      <c r="C78" s="253">
        <f>'Dry_Litterbag Placem_Collection'!A79</f>
        <v>77</v>
      </c>
      <c r="D78" s="253" t="str">
        <f>'Dry_Litterbag Placem_Collection'!B79</f>
        <v>Maswa</v>
      </c>
      <c r="E78" s="253" t="s">
        <v>2643</v>
      </c>
      <c r="F78" s="253" t="s">
        <v>2645</v>
      </c>
      <c r="G78" s="253">
        <v>2</v>
      </c>
      <c r="H78" s="253" t="s">
        <v>3113</v>
      </c>
      <c r="I78" s="254" t="str">
        <f>'Dry_Litterbag Placem_Collection'!C79</f>
        <v>Dry_W2_T5</v>
      </c>
      <c r="J78" s="255" t="s">
        <v>2525</v>
      </c>
      <c r="K78" s="256" t="s">
        <v>1147</v>
      </c>
      <c r="L78" s="253" t="str">
        <f>IF(ISBLANK('Dry_Litterbag Placem_Collection'!J79),"","G"&amp;""&amp;'Dry_Litterbag Placem_Collection'!J79)</f>
        <v/>
      </c>
      <c r="M78" s="257" t="str">
        <f>IFERROR(INDEX('Green_rooibos initial weight'!$C$5:$C$2000,MATCH(L78, 'Green_rooibos initial weight'!$A$5:$A$2000,0)),"")</f>
        <v/>
      </c>
      <c r="N78" s="257" t="str">
        <f>IFERROR(M78-(TBIcalc!$Q$9+TBIcalc!$Q$10),"")</f>
        <v/>
      </c>
      <c r="O78" s="378">
        <f>AVERAGE(Ashed_controlls!$K$2:$K$11)</f>
        <v>5.5147656768714146</v>
      </c>
      <c r="P78" s="257" t="str">
        <f t="shared" si="6"/>
        <v/>
      </c>
      <c r="Q78" s="257" t="str">
        <f>IFERROR(INDEX('Both teabags AfterDry'!$D$2:$D$2000,MATCH(L78,'Both teabags AfterDry'!$A$2:$A$2000,0)),"")</f>
        <v/>
      </c>
      <c r="R78" s="257" t="str">
        <f>IFERROR(IF(Q78&gt;0,Q78-(TBIcalc!$Q$9),""),"")</f>
        <v/>
      </c>
      <c r="S78" s="268" t="str">
        <f>IFERROR(INDEX('Ashed teabags dry'!$K$2:$K$2000,MATCH(L78,'Ashed teabags dry'!$A$2:$A$2000,0)),"")</f>
        <v/>
      </c>
      <c r="T78" s="268" t="str">
        <f t="shared" si="7"/>
        <v/>
      </c>
      <c r="U78" s="258" t="str">
        <f>IF('Dry_Litterbag Placem_Collection'!E79="","",'Dry_Litterbag Placem_Collection'!E79)</f>
        <v/>
      </c>
      <c r="V78" s="258" t="str">
        <f>IF('Dry_Litterbag Placem_Collection'!G79="","",'Dry_Litterbag Placem_Collection'!G79)</f>
        <v/>
      </c>
      <c r="W78" s="259" t="str">
        <f t="shared" si="5"/>
        <v/>
      </c>
      <c r="X78" s="257" t="str">
        <f t="shared" si="8"/>
        <v/>
      </c>
      <c r="Y78" s="257" t="str">
        <f t="shared" si="9"/>
        <v/>
      </c>
      <c r="Z78" s="261" t="str">
        <f>IFERROR(INDEX([3]Rainfall_Dry!$O$2:$O$217,MATCH(C78, [3]Rainfall_Dry!$A$2:$A$217,0)),"")</f>
        <v/>
      </c>
      <c r="AA78" s="250">
        <v>45.272914521112256</v>
      </c>
      <c r="AB78" s="250">
        <v>23.604531410916575</v>
      </c>
      <c r="AC78" s="250">
        <v>31.122554067971166</v>
      </c>
      <c r="AD78" s="251" t="s">
        <v>2654</v>
      </c>
      <c r="AE78" s="250">
        <v>6.0547560374568796</v>
      </c>
      <c r="AF78">
        <f>IF('WetLitterbags placem_collection'!AB79="","",'WetLitterbags placem_collection'!AB79)</f>
        <v>3.1</v>
      </c>
      <c r="AG78">
        <f>IF('WetLitterbags placem_collection'!Z79="","",'WetLitterbags placem_collection'!Z79)</f>
        <v>9.8000000000000007</v>
      </c>
      <c r="AH78" s="236" t="str">
        <f>IF('WetLitterbags placem_collection'!AA79="","",'WetLitterbags placem_collection'!AA79)</f>
        <v>O</v>
      </c>
      <c r="AI78">
        <f>IF('WetLitterbags placem_collection'!AC79="","",'WetLitterbags placem_collection'!AC79)</f>
        <v>1</v>
      </c>
      <c r="AJ78" t="str">
        <f>IFERROR(AVERAGE('Dry_Litterbag Placem_Collection'!O79,'Dry_Litterbag Placem_Collection'!R79),"")</f>
        <v/>
      </c>
      <c r="AK78" s="261" t="str">
        <f>IFERROR(AVERAGE('Dry_Litterbag Placem_Collection'!N79,'Dry_Litterbag Placem_Collection'!Q79),"")</f>
        <v/>
      </c>
      <c r="AL78" s="260">
        <f>INDEX([2]Coordinates!$B$2:$B$197,MATCH(I78,[2]Coordinates!$J$2:$J$197,0))</f>
        <v>-3.3023280279999998</v>
      </c>
      <c r="AM78" s="260">
        <f>INDEX([2]Coordinates!$C$2:$C$197,MATCH(I78,[2]Coordinates!$J$2:$J$197,0))</f>
        <v>34.848223019999999</v>
      </c>
      <c r="AN78" s="260" t="str">
        <f>IF(ISNUMBER(SEARCH("C", 'Dry_Litterbag Placem_Collection'!S79)),"YES","NO")</f>
        <v>NO</v>
      </c>
      <c r="AO78" s="260" t="str">
        <f>IF(ISNUMBER(SEARCH("H", 'Dry_Litterbag Placem_Collection'!S79)),"YES","NO")</f>
        <v>NO</v>
      </c>
      <c r="AP78" s="260" t="str">
        <f>IF(ISNUMBER(SEARCH("R", 'Dry_Litterbag Placem_Collection'!S79)),"YES","NO")</f>
        <v>NO</v>
      </c>
    </row>
    <row r="79" spans="1:42">
      <c r="A79" t="s">
        <v>3248</v>
      </c>
      <c r="B79" s="252" t="s">
        <v>2643</v>
      </c>
      <c r="C79" s="253">
        <f>'Dry_Litterbag Placem_Collection'!A80</f>
        <v>78</v>
      </c>
      <c r="D79" s="253" t="str">
        <f>'Dry_Litterbag Placem_Collection'!B80</f>
        <v>Maswa</v>
      </c>
      <c r="E79" s="253" t="s">
        <v>2643</v>
      </c>
      <c r="F79" s="253" t="s">
        <v>2645</v>
      </c>
      <c r="G79" s="253">
        <v>2</v>
      </c>
      <c r="H79" s="253" t="s">
        <v>3113</v>
      </c>
      <c r="I79" s="254" t="str">
        <f>'Dry_Litterbag Placem_Collection'!C80</f>
        <v>Dry_W2_T6</v>
      </c>
      <c r="J79" s="255" t="s">
        <v>2525</v>
      </c>
      <c r="K79" s="256" t="s">
        <v>1147</v>
      </c>
      <c r="L79" s="253" t="str">
        <f>IF(ISBLANK('Dry_Litterbag Placem_Collection'!J80),"","G"&amp;""&amp;'Dry_Litterbag Placem_Collection'!J80)</f>
        <v>G97</v>
      </c>
      <c r="M79" s="257">
        <f>IFERROR(INDEX('Green_rooibos initial weight'!$C$5:$C$2000,MATCH(L79, 'Green_rooibos initial weight'!$A$5:$A$2000,0)),"")</f>
        <v>2.0960000000000001</v>
      </c>
      <c r="N79" s="257">
        <f>IFERROR(M79-(TBIcalc!$Q$9+TBIcalc!$Q$10),"")</f>
        <v>1.8462000000000001</v>
      </c>
      <c r="O79" s="378">
        <f>AVERAGE(Ashed_controlls!$K$2:$K$11)</f>
        <v>5.5147656768714146</v>
      </c>
      <c r="P79" s="257">
        <f t="shared" si="6"/>
        <v>1.7443863960735999</v>
      </c>
      <c r="Q79" s="257">
        <f>IFERROR(INDEX('Both teabags AfterDry'!$D$2:$D$2000,MATCH(L79,'Both teabags AfterDry'!$A$2:$A$2000,0)),"")</f>
        <v>1.7647999999999999</v>
      </c>
      <c r="R79" s="257">
        <f>IFERROR(IF(Q79&gt;0,Q79-(TBIcalc!$Q$9),""),"")</f>
        <v>1.6141999999999999</v>
      </c>
      <c r="S79" s="268">
        <f>IFERROR(INDEX('Ashed teabags dry'!$K$2:$K$2000,MATCH(L79,'Ashed teabags dry'!$A$2:$A$2000,0)),"")</f>
        <v>5.6475170399223327</v>
      </c>
      <c r="T79" s="268">
        <f t="shared" si="7"/>
        <v>1.5230377799415735</v>
      </c>
      <c r="U79" s="258">
        <f>IF('Dry_Litterbag Placem_Collection'!E80="","",'Dry_Litterbag Placem_Collection'!E80)</f>
        <v>42937</v>
      </c>
      <c r="V79" s="258">
        <f>IF('Dry_Litterbag Placem_Collection'!G80="","",'Dry_Litterbag Placem_Collection'!G80)</f>
        <v>43006</v>
      </c>
      <c r="W79" s="259">
        <f t="shared" si="5"/>
        <v>69</v>
      </c>
      <c r="X79" s="257">
        <f t="shared" si="8"/>
        <v>0.23200000000000021</v>
      </c>
      <c r="Y79" s="257">
        <f t="shared" si="9"/>
        <v>0.22134861613202639</v>
      </c>
      <c r="Z79" s="261">
        <f>IFERROR(INDEX([3]Rainfall_Dry!$O$2:$O$217,MATCH(C79, [3]Rainfall_Dry!$A$2:$A$217,0)),"")</f>
        <v>6.900000125</v>
      </c>
      <c r="AA79" s="250">
        <v>45.272914521112256</v>
      </c>
      <c r="AB79" s="250">
        <v>23.604531410916575</v>
      </c>
      <c r="AC79" s="250">
        <v>31.122554067971166</v>
      </c>
      <c r="AD79" s="251" t="s">
        <v>2654</v>
      </c>
      <c r="AE79" s="250">
        <v>7.0547560374568796</v>
      </c>
      <c r="AF79">
        <f>IF('WetLitterbags placem_collection'!AB80="","",'WetLitterbags placem_collection'!AB80)</f>
        <v>10.4</v>
      </c>
      <c r="AG79">
        <f>IF('WetLitterbags placem_collection'!Z80="","",'WetLitterbags placem_collection'!Z80)</f>
        <v>15.4</v>
      </c>
      <c r="AH79" s="236" t="str">
        <f>IF('WetLitterbags placem_collection'!AA80="","",'WetLitterbags placem_collection'!AA80)</f>
        <v>M</v>
      </c>
      <c r="AI79">
        <f>IF('WetLitterbags placem_collection'!AC80="","",'WetLitterbags placem_collection'!AC80)</f>
        <v>1</v>
      </c>
      <c r="AJ79">
        <f>IFERROR(AVERAGE('Dry_Litterbag Placem_Collection'!O80,'Dry_Litterbag Placem_Collection'!R80),"")</f>
        <v>11.149999999999999</v>
      </c>
      <c r="AK79" s="261">
        <f>IFERROR(AVERAGE('Dry_Litterbag Placem_Collection'!N80,'Dry_Litterbag Placem_Collection'!Q80),"")</f>
        <v>28.35</v>
      </c>
      <c r="AL79" s="260">
        <f>INDEX([2]Coordinates!$B$2:$B$197,MATCH(I79,[2]Coordinates!$J$2:$J$197,0))</f>
        <v>-3.3025680020000001</v>
      </c>
      <c r="AM79" s="260">
        <f>INDEX([2]Coordinates!$C$2:$C$197,MATCH(I79,[2]Coordinates!$J$2:$J$197,0))</f>
        <v>34.848167029999999</v>
      </c>
      <c r="AN79" s="260" t="str">
        <f>IF(ISNUMBER(SEARCH("C", 'Dry_Litterbag Placem_Collection'!S80)),"YES","NO")</f>
        <v>NO</v>
      </c>
      <c r="AO79" s="260" t="str">
        <f>IF(ISNUMBER(SEARCH("H", 'Dry_Litterbag Placem_Collection'!S80)),"YES","NO")</f>
        <v>YES</v>
      </c>
      <c r="AP79" s="260" t="str">
        <f>IF(ISNUMBER(SEARCH("R", 'Dry_Litterbag Placem_Collection'!S80)),"YES","NO")</f>
        <v>NO</v>
      </c>
    </row>
    <row r="80" spans="1:42">
      <c r="A80" t="s">
        <v>3248</v>
      </c>
      <c r="B80" s="252" t="s">
        <v>2643</v>
      </c>
      <c r="C80" s="253">
        <f>'Dry_Litterbag Placem_Collection'!A81</f>
        <v>79</v>
      </c>
      <c r="D80" s="253" t="str">
        <f>'Dry_Litterbag Placem_Collection'!B81</f>
        <v>Maswa</v>
      </c>
      <c r="E80" s="253" t="s">
        <v>2643</v>
      </c>
      <c r="F80" s="253" t="s">
        <v>2645</v>
      </c>
      <c r="G80" s="253">
        <v>2</v>
      </c>
      <c r="H80" s="253" t="s">
        <v>3113</v>
      </c>
      <c r="I80" s="254" t="str">
        <f>'Dry_Litterbag Placem_Collection'!C81</f>
        <v>Dry_W2_T7</v>
      </c>
      <c r="J80" s="255" t="s">
        <v>2525</v>
      </c>
      <c r="K80" s="256" t="s">
        <v>1147</v>
      </c>
      <c r="L80" s="253" t="str">
        <f>IF(ISBLANK('Dry_Litterbag Placem_Collection'!J81),"","G"&amp;""&amp;'Dry_Litterbag Placem_Collection'!J81)</f>
        <v>G130</v>
      </c>
      <c r="M80" s="257">
        <f>IFERROR(INDEX('Green_rooibos initial weight'!$C$5:$C$2000,MATCH(L80, 'Green_rooibos initial weight'!$A$5:$A$2000,0)),"")</f>
        <v>1.976</v>
      </c>
      <c r="N80" s="257">
        <f>IFERROR(M80-(TBIcalc!$Q$9+TBIcalc!$Q$10),"")</f>
        <v>1.7262</v>
      </c>
      <c r="O80" s="378">
        <f>AVERAGE(Ashed_controlls!$K$2:$K$11)</f>
        <v>5.5147656768714146</v>
      </c>
      <c r="P80" s="257">
        <f t="shared" si="6"/>
        <v>1.6310041148858456</v>
      </c>
      <c r="Q80" s="257">
        <f>IFERROR(INDEX('Both teabags AfterDry'!$D$2:$D$2000,MATCH(L80,'Both teabags AfterDry'!$A$2:$A$2000,0)),"")</f>
        <v>1.8545</v>
      </c>
      <c r="R80" s="257">
        <f>IFERROR(IF(Q80&gt;0,Q80-(TBIcalc!$Q$9),""),"")</f>
        <v>1.7039</v>
      </c>
      <c r="S80" s="268">
        <f>IFERROR(INDEX('Ashed teabags dry'!$K$2:$K$2000,MATCH(L80,'Ashed teabags dry'!$A$2:$A$2000,0)),"")</f>
        <v>5.8363970588233842</v>
      </c>
      <c r="T80" s="268">
        <f t="shared" si="7"/>
        <v>1.6044536305147084</v>
      </c>
      <c r="U80" s="258">
        <f>IF('Dry_Litterbag Placem_Collection'!E81="","",'Dry_Litterbag Placem_Collection'!E81)</f>
        <v>42937</v>
      </c>
      <c r="V80" s="258">
        <f>IF('Dry_Litterbag Placem_Collection'!G81="","",'Dry_Litterbag Placem_Collection'!G81)</f>
        <v>43006</v>
      </c>
      <c r="W80" s="259">
        <f t="shared" si="5"/>
        <v>69</v>
      </c>
      <c r="X80" s="257">
        <f t="shared" si="8"/>
        <v>2.2299999999999986E-2</v>
      </c>
      <c r="Y80" s="257">
        <f t="shared" si="9"/>
        <v>2.6550484371137273E-2</v>
      </c>
      <c r="Z80" s="261">
        <f>IFERROR(INDEX([3]Rainfall_Dry!$O$2:$O$217,MATCH(C80, [3]Rainfall_Dry!$A$2:$A$217,0)),"")</f>
        <v>6.900000125</v>
      </c>
      <c r="AA80" s="250">
        <v>45.272914521112256</v>
      </c>
      <c r="AB80" s="250">
        <v>23.604531410916575</v>
      </c>
      <c r="AC80" s="250">
        <v>31.122554067971166</v>
      </c>
      <c r="AD80" s="251" t="s">
        <v>2654</v>
      </c>
      <c r="AE80" s="250">
        <v>8.0547560374568796</v>
      </c>
      <c r="AF80">
        <f>IF('WetLitterbags placem_collection'!AB81="","",'WetLitterbags placem_collection'!AB81)</f>
        <v>3</v>
      </c>
      <c r="AG80">
        <f>IF('WetLitterbags placem_collection'!Z81="","",'WetLitterbags placem_collection'!Z81)</f>
        <v>5</v>
      </c>
      <c r="AH80" s="236" t="str">
        <f>IF('WetLitterbags placem_collection'!AA81="","",'WetLitterbags placem_collection'!AA81)</f>
        <v>G</v>
      </c>
      <c r="AI80">
        <f>IF('WetLitterbags placem_collection'!AC81="","",'WetLitterbags placem_collection'!AC81)</f>
        <v>1</v>
      </c>
      <c r="AJ80">
        <f>IFERROR(AVERAGE('Dry_Litterbag Placem_Collection'!O81,'Dry_Litterbag Placem_Collection'!R81),"")</f>
        <v>9.1999999999999993</v>
      </c>
      <c r="AK80" s="261">
        <f>IFERROR(AVERAGE('Dry_Litterbag Placem_Collection'!N81,'Dry_Litterbag Placem_Collection'!Q81),"")</f>
        <v>26.25</v>
      </c>
      <c r="AL80" s="260">
        <f>INDEX([2]Coordinates!$B$2:$B$197,MATCH(I80,[2]Coordinates!$J$2:$J$197,0))</f>
        <v>-3.3026270100000001</v>
      </c>
      <c r="AM80" s="260">
        <f>INDEX([2]Coordinates!$C$2:$C$197,MATCH(I80,[2]Coordinates!$J$2:$J$197,0))</f>
        <v>34.84840801</v>
      </c>
      <c r="AN80" s="260" t="str">
        <f>IF(ISNUMBER(SEARCH("C", 'Dry_Litterbag Placem_Collection'!S81)),"YES","NO")</f>
        <v>NO</v>
      </c>
      <c r="AO80" s="260" t="str">
        <f>IF(ISNUMBER(SEARCH("H", 'Dry_Litterbag Placem_Collection'!S81)),"YES","NO")</f>
        <v>NO</v>
      </c>
      <c r="AP80" s="260" t="str">
        <f>IF(ISNUMBER(SEARCH("R", 'Dry_Litterbag Placem_Collection'!S81)),"YES","NO")</f>
        <v>NO</v>
      </c>
    </row>
    <row r="81" spans="1:42">
      <c r="A81" t="s">
        <v>3248</v>
      </c>
      <c r="B81" s="252" t="s">
        <v>2643</v>
      </c>
      <c r="C81" s="253">
        <f>'Dry_Litterbag Placem_Collection'!A82</f>
        <v>80</v>
      </c>
      <c r="D81" s="253" t="str">
        <f>'Dry_Litterbag Placem_Collection'!B82</f>
        <v>Maswa</v>
      </c>
      <c r="E81" s="253" t="s">
        <v>2643</v>
      </c>
      <c r="F81" s="253" t="s">
        <v>2645</v>
      </c>
      <c r="G81" s="253">
        <v>2</v>
      </c>
      <c r="H81" s="253" t="s">
        <v>3113</v>
      </c>
      <c r="I81" s="254" t="str">
        <f>'Dry_Litterbag Placem_Collection'!C82</f>
        <v>Dry_W2_T8</v>
      </c>
      <c r="J81" s="255" t="s">
        <v>2525</v>
      </c>
      <c r="K81" s="256" t="s">
        <v>1147</v>
      </c>
      <c r="L81" s="253" t="str">
        <f>IF(ISBLANK('Dry_Litterbag Placem_Collection'!J82),"","G"&amp;""&amp;'Dry_Litterbag Placem_Collection'!J82)</f>
        <v>G24</v>
      </c>
      <c r="M81" s="257">
        <f>IFERROR(INDEX('Green_rooibos initial weight'!$C$5:$C$2000,MATCH(L81, 'Green_rooibos initial weight'!$A$5:$A$2000,0)),"")</f>
        <v>2.09</v>
      </c>
      <c r="N81" s="257">
        <f>IFERROR(M81-(TBIcalc!$Q$9+TBIcalc!$Q$10),"")</f>
        <v>1.8401999999999998</v>
      </c>
      <c r="O81" s="378">
        <f>AVERAGE(Ashed_controlls!$K$2:$K$11)</f>
        <v>5.5147656768714146</v>
      </c>
      <c r="P81" s="257">
        <f t="shared" si="6"/>
        <v>1.7387172820142121</v>
      </c>
      <c r="Q81" s="257">
        <f>IFERROR(INDEX('Both teabags AfterDry'!$D$2:$D$2000,MATCH(L81,'Both teabags AfterDry'!$A$2:$A$2000,0)),"")</f>
        <v>1.9084000000000001</v>
      </c>
      <c r="R81" s="257">
        <f>IFERROR(IF(Q81&gt;0,Q81-(TBIcalc!$Q$9),""),"")</f>
        <v>1.7578</v>
      </c>
      <c r="S81" s="268">
        <f>IFERROR(INDEX('Ashed teabags dry'!$K$2:$K$2000,MATCH(L81,'Ashed teabags dry'!$A$2:$A$2000,0)),"")</f>
        <v>5.4078826764434664</v>
      </c>
      <c r="T81" s="268">
        <f t="shared" si="7"/>
        <v>1.6627402383134768</v>
      </c>
      <c r="U81" s="258">
        <f>IF('Dry_Litterbag Placem_Collection'!E82="","",'Dry_Litterbag Placem_Collection'!E82)</f>
        <v>42937</v>
      </c>
      <c r="V81" s="258">
        <f>IF('Dry_Litterbag Placem_Collection'!G82="","",'Dry_Litterbag Placem_Collection'!G82)</f>
        <v>43006</v>
      </c>
      <c r="W81" s="259">
        <f t="shared" si="5"/>
        <v>69</v>
      </c>
      <c r="X81" s="257">
        <f t="shared" si="8"/>
        <v>8.2399999999999807E-2</v>
      </c>
      <c r="Y81" s="257">
        <f t="shared" si="9"/>
        <v>7.5977043700735214E-2</v>
      </c>
      <c r="Z81" s="261">
        <f>IFERROR(INDEX([3]Rainfall_Dry!$O$2:$O$217,MATCH(C81, [3]Rainfall_Dry!$A$2:$A$217,0)),"")</f>
        <v>6.900000125</v>
      </c>
      <c r="AA81" s="250">
        <v>45.272914521112256</v>
      </c>
      <c r="AB81" s="250">
        <v>23.604531410916575</v>
      </c>
      <c r="AC81" s="250">
        <v>31.122554067971166</v>
      </c>
      <c r="AD81" s="251" t="s">
        <v>2654</v>
      </c>
      <c r="AE81" s="250">
        <v>9.0547560374568796</v>
      </c>
      <c r="AF81">
        <f>IF('WetLitterbags placem_collection'!AB82="","",'WetLitterbags placem_collection'!AB82)</f>
        <v>2.7</v>
      </c>
      <c r="AG81">
        <f>IF('WetLitterbags placem_collection'!Z82="","",'WetLitterbags placem_collection'!Z82)</f>
        <v>12.4</v>
      </c>
      <c r="AH81" s="236" t="str">
        <f>IF('WetLitterbags placem_collection'!AA82="","",'WetLitterbags placem_collection'!AA82)</f>
        <v>O</v>
      </c>
      <c r="AI81">
        <f>IF('WetLitterbags placem_collection'!AC82="","",'WetLitterbags placem_collection'!AC82)</f>
        <v>1</v>
      </c>
      <c r="AJ81">
        <f>IFERROR(AVERAGE('Dry_Litterbag Placem_Collection'!O82,'Dry_Litterbag Placem_Collection'!R82),"")</f>
        <v>11.75</v>
      </c>
      <c r="AK81" s="261">
        <f>IFERROR(AVERAGE('Dry_Litterbag Placem_Collection'!N82,'Dry_Litterbag Placem_Collection'!Q82),"")</f>
        <v>27.7</v>
      </c>
      <c r="AL81" s="260">
        <f>INDEX([2]Coordinates!$B$2:$B$197,MATCH(I81,[2]Coordinates!$J$2:$J$197,0))</f>
        <v>-3.3028539920000002</v>
      </c>
      <c r="AM81" s="260">
        <f>INDEX([2]Coordinates!$C$2:$C$197,MATCH(I81,[2]Coordinates!$J$2:$J$197,0))</f>
        <v>34.847988999999998</v>
      </c>
      <c r="AN81" s="260" t="str">
        <f>IF(ISNUMBER(SEARCH("C", 'Dry_Litterbag Placem_Collection'!S82)),"YES","NO")</f>
        <v>NO</v>
      </c>
      <c r="AO81" s="260" t="str">
        <f>IF(ISNUMBER(SEARCH("H", 'Dry_Litterbag Placem_Collection'!S82)),"YES","NO")</f>
        <v>NO</v>
      </c>
      <c r="AP81" s="260" t="str">
        <f>IF(ISNUMBER(SEARCH("R", 'Dry_Litterbag Placem_Collection'!S82)),"YES","NO")</f>
        <v>NO</v>
      </c>
    </row>
    <row r="82" spans="1:42">
      <c r="A82" t="s">
        <v>3248</v>
      </c>
      <c r="B82" s="252" t="s">
        <v>2643</v>
      </c>
      <c r="C82" s="253">
        <f>'Dry_Litterbag Placem_Collection'!A83</f>
        <v>81</v>
      </c>
      <c r="D82" s="253" t="str">
        <f>'Dry_Litterbag Placem_Collection'!B83</f>
        <v>Maswa</v>
      </c>
      <c r="E82" s="253" t="s">
        <v>2643</v>
      </c>
      <c r="F82" s="253" t="s">
        <v>2645</v>
      </c>
      <c r="G82" s="253">
        <v>3</v>
      </c>
      <c r="H82" s="253" t="s">
        <v>3114</v>
      </c>
      <c r="I82" s="254" t="str">
        <f>'Dry_Litterbag Placem_Collection'!C83</f>
        <v>Dry_W3_T1</v>
      </c>
      <c r="J82" s="255" t="s">
        <v>2525</v>
      </c>
      <c r="K82" s="256" t="s">
        <v>1147</v>
      </c>
      <c r="L82" s="253" t="str">
        <f>IF(ISBLANK('Dry_Litterbag Placem_Collection'!J83),"","G"&amp;""&amp;'Dry_Litterbag Placem_Collection'!J83)</f>
        <v>G312</v>
      </c>
      <c r="M82" s="257">
        <f>IFERROR(INDEX('Green_rooibos initial weight'!$C$5:$C$2000,MATCH(L82, 'Green_rooibos initial weight'!$A$5:$A$2000,0)),"")</f>
        <v>2.0179999999999998</v>
      </c>
      <c r="N82" s="257">
        <f>IFERROR(M82-(TBIcalc!$Q$9+TBIcalc!$Q$10),"")</f>
        <v>1.7681999999999998</v>
      </c>
      <c r="O82" s="378">
        <f>AVERAGE(Ashed_controlls!$K$2:$K$11)</f>
        <v>5.5147656768714146</v>
      </c>
      <c r="P82" s="257">
        <f t="shared" si="6"/>
        <v>1.6706879133015595</v>
      </c>
      <c r="Q82" s="257">
        <f>IFERROR(INDEX('Both teabags AfterDry'!$D$2:$D$2000,MATCH(L82,'Both teabags AfterDry'!$A$2:$A$2000,0)),"")</f>
        <v>1.7978000000000001</v>
      </c>
      <c r="R82" s="257">
        <f>IFERROR(IF(Q82&gt;0,Q82-(TBIcalc!$Q$9),""),"")</f>
        <v>1.6472</v>
      </c>
      <c r="S82" s="268">
        <f>IFERROR(INDEX('Ashed teabags dry'!$K$2:$K$2000,MATCH(L82,'Ashed teabags dry'!$A$2:$A$2000,0)),"")</f>
        <v>5.5148853099064077</v>
      </c>
      <c r="T82" s="268">
        <f t="shared" si="7"/>
        <v>1.5563588091752216</v>
      </c>
      <c r="U82" s="258">
        <f>IF('Dry_Litterbag Placem_Collection'!E83="","",'Dry_Litterbag Placem_Collection'!E83)</f>
        <v>42937</v>
      </c>
      <c r="V82" s="258">
        <f>IF('Dry_Litterbag Placem_Collection'!G83="","",'Dry_Litterbag Placem_Collection'!G83)</f>
        <v>43006</v>
      </c>
      <c r="W82" s="259">
        <f t="shared" si="5"/>
        <v>69</v>
      </c>
      <c r="X82" s="257">
        <f t="shared" si="8"/>
        <v>0.12099999999999977</v>
      </c>
      <c r="Y82" s="257">
        <f t="shared" si="9"/>
        <v>0.1143291041263379</v>
      </c>
      <c r="Z82" s="261">
        <f>IFERROR(INDEX([3]Rainfall_Dry!$O$2:$O$217,MATCH(C82, [3]Rainfall_Dry!$A$2:$A$217,0)),"")</f>
        <v>12.563016860999999</v>
      </c>
      <c r="AA82" s="250">
        <v>38.691629007962128</v>
      </c>
      <c r="AB82" s="250">
        <v>26.81299763288143</v>
      </c>
      <c r="AC82" s="250">
        <v>34.495373359156439</v>
      </c>
      <c r="AD82" s="251" t="s">
        <v>2656</v>
      </c>
      <c r="AE82" s="250">
        <v>2.5483587974371611</v>
      </c>
      <c r="AF82">
        <f>IF('WetLitterbags placem_collection'!AB83="","",'WetLitterbags placem_collection'!AB83)</f>
        <v>6.2</v>
      </c>
      <c r="AG82">
        <f>IF('WetLitterbags placem_collection'!Z83="","",'WetLitterbags placem_collection'!Z83)</f>
        <v>13.3</v>
      </c>
      <c r="AH82" s="236" t="str">
        <f>IF('WetLitterbags placem_collection'!AA83="","",'WetLitterbags placem_collection'!AA83)</f>
        <v>O</v>
      </c>
      <c r="AI82">
        <f>IF('WetLitterbags placem_collection'!AC83="","",'WetLitterbags placem_collection'!AC83)</f>
        <v>0</v>
      </c>
      <c r="AJ82">
        <f>IFERROR(AVERAGE('Dry_Litterbag Placem_Collection'!O83,'Dry_Litterbag Placem_Collection'!R83),"")</f>
        <v>11.850000000000001</v>
      </c>
      <c r="AK82" s="261">
        <f>IFERROR(AVERAGE('Dry_Litterbag Placem_Collection'!N83,'Dry_Litterbag Placem_Collection'!Q83),"")</f>
        <v>26.35</v>
      </c>
      <c r="AL82" s="260">
        <f>INDEX([2]Coordinates!$B$2:$B$197,MATCH(I82,[2]Coordinates!$J$2:$J$197,0))</f>
        <v>-3.2957159630000001</v>
      </c>
      <c r="AM82" s="260">
        <f>INDEX([2]Coordinates!$C$2:$C$197,MATCH(I82,[2]Coordinates!$J$2:$J$197,0))</f>
        <v>34.852460999999998</v>
      </c>
      <c r="AN82" s="260" t="str">
        <f>IF(ISNUMBER(SEARCH("C", 'Dry_Litterbag Placem_Collection'!S83)),"YES","NO")</f>
        <v>NO</v>
      </c>
      <c r="AO82" s="260" t="str">
        <f>IF(ISNUMBER(SEARCH("H", 'Dry_Litterbag Placem_Collection'!S83)),"YES","NO")</f>
        <v>NO</v>
      </c>
      <c r="AP82" s="260" t="str">
        <f>IF(ISNUMBER(SEARCH("R", 'Dry_Litterbag Placem_Collection'!S83)),"YES","NO")</f>
        <v>NO</v>
      </c>
    </row>
    <row r="83" spans="1:42">
      <c r="A83" t="s">
        <v>3248</v>
      </c>
      <c r="B83" s="252" t="s">
        <v>2643</v>
      </c>
      <c r="C83" s="253">
        <f>'Dry_Litterbag Placem_Collection'!A84</f>
        <v>82</v>
      </c>
      <c r="D83" s="253" t="str">
        <f>'Dry_Litterbag Placem_Collection'!B84</f>
        <v>Maswa</v>
      </c>
      <c r="E83" s="253" t="s">
        <v>2643</v>
      </c>
      <c r="F83" s="253" t="s">
        <v>2645</v>
      </c>
      <c r="G83" s="253">
        <v>3</v>
      </c>
      <c r="H83" s="253" t="s">
        <v>3114</v>
      </c>
      <c r="I83" s="254" t="str">
        <f>'Dry_Litterbag Placem_Collection'!C84</f>
        <v>Dry_W3_T2</v>
      </c>
      <c r="J83" s="255" t="s">
        <v>2525</v>
      </c>
      <c r="K83" s="256" t="s">
        <v>1147</v>
      </c>
      <c r="L83" s="253" t="str">
        <f>IF(ISBLANK('Dry_Litterbag Placem_Collection'!J84),"","G"&amp;""&amp;'Dry_Litterbag Placem_Collection'!J84)</f>
        <v>G356</v>
      </c>
      <c r="M83" s="257">
        <f>IFERROR(INDEX('Green_rooibos initial weight'!$C$5:$C$2000,MATCH(L83, 'Green_rooibos initial weight'!$A$5:$A$2000,0)),"")</f>
        <v>1.9870000000000001</v>
      </c>
      <c r="N83" s="257">
        <f>IFERROR(M83-(TBIcalc!$Q$9+TBIcalc!$Q$10),"")</f>
        <v>1.7372000000000001</v>
      </c>
      <c r="O83" s="378">
        <f>AVERAGE(Ashed_controlls!$K$2:$K$11)</f>
        <v>5.5147656768714146</v>
      </c>
      <c r="P83" s="257">
        <f t="shared" si="6"/>
        <v>1.64139749066139</v>
      </c>
      <c r="Q83" s="257">
        <f>IFERROR(INDEX('Both teabags AfterDry'!$D$2:$D$2000,MATCH(L83,'Both teabags AfterDry'!$A$2:$A$2000,0)),"")</f>
        <v>1.7767999999999999</v>
      </c>
      <c r="R83" s="257">
        <f>IFERROR(IF(Q83&gt;0,Q83-(TBIcalc!$Q$9),""),"")</f>
        <v>1.6261999999999999</v>
      </c>
      <c r="S83" s="268">
        <f>IFERROR(INDEX('Ashed teabags dry'!$K$2:$K$2000,MATCH(L83,'Ashed teabags dry'!$A$2:$A$2000,0)),"")</f>
        <v>5.2706552706550589</v>
      </c>
      <c r="T83" s="268">
        <f t="shared" si="7"/>
        <v>1.5404886039886074</v>
      </c>
      <c r="U83" s="258">
        <f>IF('Dry_Litterbag Placem_Collection'!E84="","",'Dry_Litterbag Placem_Collection'!E84)</f>
        <v>42937</v>
      </c>
      <c r="V83" s="258">
        <f>IF('Dry_Litterbag Placem_Collection'!G84="","",'Dry_Litterbag Placem_Collection'!G84)</f>
        <v>43006</v>
      </c>
      <c r="W83" s="259">
        <f t="shared" si="5"/>
        <v>69</v>
      </c>
      <c r="X83" s="257">
        <f t="shared" si="8"/>
        <v>0.11100000000000021</v>
      </c>
      <c r="Y83" s="257">
        <f t="shared" si="9"/>
        <v>0.10090888667278253</v>
      </c>
      <c r="Z83" s="261">
        <f>IFERROR(INDEX([3]Rainfall_Dry!$O$2:$O$217,MATCH(C83, [3]Rainfall_Dry!$A$2:$A$217,0)),"")</f>
        <v>12.563016860999999</v>
      </c>
      <c r="AA83" s="250">
        <v>38.691629007962128</v>
      </c>
      <c r="AB83" s="250">
        <v>26.81299763288143</v>
      </c>
      <c r="AC83" s="250">
        <v>34.495373359156439</v>
      </c>
      <c r="AD83" s="251" t="s">
        <v>2656</v>
      </c>
      <c r="AE83" s="250">
        <v>3.5483587974371602</v>
      </c>
      <c r="AF83">
        <f>IF('WetLitterbags placem_collection'!AB84="","",'WetLitterbags placem_collection'!AB84)</f>
        <v>2.4</v>
      </c>
      <c r="AG83">
        <f>IF('WetLitterbags placem_collection'!Z84="","",'WetLitterbags placem_collection'!Z84)</f>
        <v>16.600000000000001</v>
      </c>
      <c r="AH83" s="236" t="str">
        <f>IF('WetLitterbags placem_collection'!AA84="","",'WetLitterbags placem_collection'!AA84)</f>
        <v>O</v>
      </c>
      <c r="AI83" t="str">
        <f>IF('WetLitterbags placem_collection'!AC84="","",'WetLitterbags placem_collection'!AC84)</f>
        <v/>
      </c>
      <c r="AJ83">
        <f>IFERROR(AVERAGE('Dry_Litterbag Placem_Collection'!O84,'Dry_Litterbag Placem_Collection'!R84),"")</f>
        <v>9.9499999999999993</v>
      </c>
      <c r="AK83" s="261">
        <f>IFERROR(AVERAGE('Dry_Litterbag Placem_Collection'!N84,'Dry_Litterbag Placem_Collection'!Q84),"")</f>
        <v>25.5</v>
      </c>
      <c r="AL83" s="260">
        <f>INDEX([2]Coordinates!$B$2:$B$197,MATCH(I83,[2]Coordinates!$J$2:$J$197,0))</f>
        <v>-3.2957230040000001</v>
      </c>
      <c r="AM83" s="260">
        <f>INDEX([2]Coordinates!$C$2:$C$197,MATCH(I83,[2]Coordinates!$J$2:$J$197,0))</f>
        <v>34.852416990000002</v>
      </c>
      <c r="AN83" s="260" t="str">
        <f>IF(ISNUMBER(SEARCH("C", 'Dry_Litterbag Placem_Collection'!S84)),"YES","NO")</f>
        <v>NO</v>
      </c>
      <c r="AO83" s="260" t="str">
        <f>IF(ISNUMBER(SEARCH("H", 'Dry_Litterbag Placem_Collection'!S84)),"YES","NO")</f>
        <v>NO</v>
      </c>
      <c r="AP83" s="260" t="str">
        <f>IF(ISNUMBER(SEARCH("R", 'Dry_Litterbag Placem_Collection'!S84)),"YES","NO")</f>
        <v>NO</v>
      </c>
    </row>
    <row r="84" spans="1:42">
      <c r="A84" t="s">
        <v>3248</v>
      </c>
      <c r="B84" s="252" t="s">
        <v>2643</v>
      </c>
      <c r="C84" s="253">
        <f>'Dry_Litterbag Placem_Collection'!A85</f>
        <v>83</v>
      </c>
      <c r="D84" s="253" t="str">
        <f>'Dry_Litterbag Placem_Collection'!B85</f>
        <v>Maswa</v>
      </c>
      <c r="E84" s="253" t="s">
        <v>2643</v>
      </c>
      <c r="F84" s="253" t="s">
        <v>2645</v>
      </c>
      <c r="G84" s="253">
        <v>3</v>
      </c>
      <c r="H84" s="253" t="s">
        <v>3114</v>
      </c>
      <c r="I84" s="254" t="str">
        <f>'Dry_Litterbag Placem_Collection'!C85</f>
        <v>Dry_W3_T3</v>
      </c>
      <c r="J84" s="255" t="s">
        <v>2525</v>
      </c>
      <c r="K84" s="256" t="s">
        <v>1147</v>
      </c>
      <c r="L84" s="253" t="str">
        <f>IF(ISBLANK('Dry_Litterbag Placem_Collection'!J85),"","G"&amp;""&amp;'Dry_Litterbag Placem_Collection'!J85)</f>
        <v>G331</v>
      </c>
      <c r="M84" s="257">
        <f>IFERROR(INDEX('Green_rooibos initial weight'!$C$5:$C$2000,MATCH(L84, 'Green_rooibos initial weight'!$A$5:$A$2000,0)),"")</f>
        <v>2.0550000000000002</v>
      </c>
      <c r="N84" s="257">
        <f>IFERROR(M84-(TBIcalc!$Q$9+TBIcalc!$Q$10),"")</f>
        <v>1.8052000000000001</v>
      </c>
      <c r="O84" s="378">
        <f>AVERAGE(Ashed_controlls!$K$2:$K$11)</f>
        <v>5.5147656768714146</v>
      </c>
      <c r="P84" s="257">
        <f t="shared" si="6"/>
        <v>1.7056474500011174</v>
      </c>
      <c r="Q84" s="257">
        <f>IFERROR(INDEX('Both teabags AfterDry'!$D$2:$D$2000,MATCH(L84,'Both teabags AfterDry'!$A$2:$A$2000,0)),"")</f>
        <v>1.8354999999999999</v>
      </c>
      <c r="R84" s="257">
        <f>IFERROR(IF(Q84&gt;0,Q84-(TBIcalc!$Q$9),""),"")</f>
        <v>1.6848999999999998</v>
      </c>
      <c r="S84" s="268">
        <f>IFERROR(INDEX('Ashed teabags dry'!$K$2:$K$2000,MATCH(L84,'Ashed teabags dry'!$A$2:$A$2000,0)),"")</f>
        <v>5.6902523503216829</v>
      </c>
      <c r="T84" s="268">
        <f t="shared" si="7"/>
        <v>1.5890249381494299</v>
      </c>
      <c r="U84" s="258">
        <f>IF('Dry_Litterbag Placem_Collection'!E85="","",'Dry_Litterbag Placem_Collection'!E85)</f>
        <v>42937</v>
      </c>
      <c r="V84" s="258">
        <f>IF('Dry_Litterbag Placem_Collection'!G85="","",'Dry_Litterbag Placem_Collection'!G85)</f>
        <v>43006</v>
      </c>
      <c r="W84" s="259">
        <f t="shared" si="5"/>
        <v>69</v>
      </c>
      <c r="X84" s="257">
        <f t="shared" si="8"/>
        <v>0.1203000000000003</v>
      </c>
      <c r="Y84" s="257">
        <f t="shared" si="9"/>
        <v>0.11662251185168748</v>
      </c>
      <c r="Z84" s="261">
        <f>IFERROR(INDEX([3]Rainfall_Dry!$O$2:$O$217,MATCH(C84, [3]Rainfall_Dry!$A$2:$A$217,0)),"")</f>
        <v>12.563016860999999</v>
      </c>
      <c r="AA84" s="250">
        <v>38.691629007962128</v>
      </c>
      <c r="AB84" s="250">
        <v>26.81299763288143</v>
      </c>
      <c r="AC84" s="250">
        <v>34.495373359156439</v>
      </c>
      <c r="AD84" s="251" t="s">
        <v>2656</v>
      </c>
      <c r="AE84" s="250">
        <v>4.5483587974371602</v>
      </c>
      <c r="AF84">
        <f>IF('WetLitterbags placem_collection'!AB85="","",'WetLitterbags placem_collection'!AB85)</f>
        <v>6.4</v>
      </c>
      <c r="AG84">
        <f>IF('WetLitterbags placem_collection'!Z85="","",'WetLitterbags placem_collection'!Z85)</f>
        <v>42</v>
      </c>
      <c r="AH84" s="236" t="str">
        <f>IF('WetLitterbags placem_collection'!AA85="","",'WetLitterbags placem_collection'!AA85)</f>
        <v>M</v>
      </c>
      <c r="AI84">
        <f>IF('WetLitterbags placem_collection'!AC85="","",'WetLitterbags placem_collection'!AC85)</f>
        <v>1</v>
      </c>
      <c r="AJ84">
        <f>IFERROR(AVERAGE('Dry_Litterbag Placem_Collection'!O85,'Dry_Litterbag Placem_Collection'!R85),"")</f>
        <v>10.050000000000001</v>
      </c>
      <c r="AK84" s="261">
        <f>IFERROR(AVERAGE('Dry_Litterbag Placem_Collection'!N85,'Dry_Litterbag Placem_Collection'!Q85),"")</f>
        <v>26.05</v>
      </c>
      <c r="AL84" s="260">
        <f>INDEX([2]Coordinates!$B$2:$B$197,MATCH(I84,[2]Coordinates!$J$2:$J$197,0))</f>
        <v>-3.2957430369999998</v>
      </c>
      <c r="AM84" s="260">
        <f>INDEX([2]Coordinates!$C$2:$C$197,MATCH(I84,[2]Coordinates!$J$2:$J$197,0))</f>
        <v>34.852309030000001</v>
      </c>
      <c r="AN84" s="260" t="str">
        <f>IF(ISNUMBER(SEARCH("C", 'Dry_Litterbag Placem_Collection'!S85)),"YES","NO")</f>
        <v>NO</v>
      </c>
      <c r="AO84" s="260" t="str">
        <f>IF(ISNUMBER(SEARCH("H", 'Dry_Litterbag Placem_Collection'!S85)),"YES","NO")</f>
        <v>YES</v>
      </c>
      <c r="AP84" s="260" t="str">
        <f>IF(ISNUMBER(SEARCH("R", 'Dry_Litterbag Placem_Collection'!S85)),"YES","NO")</f>
        <v>NO</v>
      </c>
    </row>
    <row r="85" spans="1:42">
      <c r="A85" t="s">
        <v>3248</v>
      </c>
      <c r="B85" s="252" t="s">
        <v>2643</v>
      </c>
      <c r="C85" s="253">
        <f>'Dry_Litterbag Placem_Collection'!A86</f>
        <v>84</v>
      </c>
      <c r="D85" s="253" t="str">
        <f>'Dry_Litterbag Placem_Collection'!B86</f>
        <v>Maswa</v>
      </c>
      <c r="E85" s="253" t="s">
        <v>2643</v>
      </c>
      <c r="F85" s="253" t="s">
        <v>2645</v>
      </c>
      <c r="G85" s="253">
        <v>3</v>
      </c>
      <c r="H85" s="253" t="s">
        <v>3114</v>
      </c>
      <c r="I85" s="254" t="str">
        <f>'Dry_Litterbag Placem_Collection'!C86</f>
        <v>Dry_W3_T4</v>
      </c>
      <c r="J85" s="255" t="s">
        <v>2525</v>
      </c>
      <c r="K85" s="256" t="s">
        <v>1147</v>
      </c>
      <c r="L85" s="253" t="str">
        <f>IF(ISBLANK('Dry_Litterbag Placem_Collection'!J86),"","G"&amp;""&amp;'Dry_Litterbag Placem_Collection'!J86)</f>
        <v>G101</v>
      </c>
      <c r="M85" s="257">
        <f>IFERROR(INDEX('Green_rooibos initial weight'!$C$5:$C$2000,MATCH(L85, 'Green_rooibos initial weight'!$A$5:$A$2000,0)),"")</f>
        <v>2.173</v>
      </c>
      <c r="N85" s="257">
        <f>IFERROR(M85-(TBIcalc!$Q$9+TBIcalc!$Q$10),"")</f>
        <v>1.9232</v>
      </c>
      <c r="O85" s="378">
        <f>AVERAGE(Ashed_controlls!$K$2:$K$11)</f>
        <v>5.5147656768714146</v>
      </c>
      <c r="P85" s="257">
        <f t="shared" si="6"/>
        <v>1.8171400265024089</v>
      </c>
      <c r="Q85" s="257">
        <f>IFERROR(INDEX('Both teabags AfterDry'!$D$2:$D$2000,MATCH(L85,'Both teabags AfterDry'!$A$2:$A$2000,0)),"")</f>
        <v>1.9434</v>
      </c>
      <c r="R85" s="257">
        <f>IFERROR(IF(Q85&gt;0,Q85-(TBIcalc!$Q$9),""),"")</f>
        <v>1.7927999999999999</v>
      </c>
      <c r="S85" s="268">
        <f>IFERROR(INDEX('Ashed teabags dry'!$K$2:$K$2000,MATCH(L85,'Ashed teabags dry'!$A$2:$A$2000,0)),"")</f>
        <v>5.5508112724168974</v>
      </c>
      <c r="T85" s="268">
        <f t="shared" si="7"/>
        <v>1.6932850555081098</v>
      </c>
      <c r="U85" s="258">
        <f>IF('Dry_Litterbag Placem_Collection'!E86="","",'Dry_Litterbag Placem_Collection'!E86)</f>
        <v>42937</v>
      </c>
      <c r="V85" s="258">
        <f>IF('Dry_Litterbag Placem_Collection'!G86="","",'Dry_Litterbag Placem_Collection'!G86)</f>
        <v>43006</v>
      </c>
      <c r="W85" s="259">
        <f t="shared" si="5"/>
        <v>69</v>
      </c>
      <c r="X85" s="257">
        <f t="shared" si="8"/>
        <v>0.13040000000000007</v>
      </c>
      <c r="Y85" s="257">
        <f t="shared" si="9"/>
        <v>0.1238549709942991</v>
      </c>
      <c r="Z85" s="261">
        <f>IFERROR(INDEX([3]Rainfall_Dry!$O$2:$O$217,MATCH(C85, [3]Rainfall_Dry!$A$2:$A$217,0)),"")</f>
        <v>12.563016860999999</v>
      </c>
      <c r="AA85" s="250">
        <v>38.691629007962128</v>
      </c>
      <c r="AB85" s="250">
        <v>26.81299763288143</v>
      </c>
      <c r="AC85" s="250">
        <v>34.495373359156439</v>
      </c>
      <c r="AD85" s="251" t="s">
        <v>2656</v>
      </c>
      <c r="AE85" s="250">
        <v>5.5483587974371602</v>
      </c>
      <c r="AF85">
        <f>IF('WetLitterbags placem_collection'!AB86="","",'WetLitterbags placem_collection'!AB86)</f>
        <v>5.5</v>
      </c>
      <c r="AG85">
        <f>IF('WetLitterbags placem_collection'!Z86="","",'WetLitterbags placem_collection'!Z86)</f>
        <v>55.8</v>
      </c>
      <c r="AH85" s="236" t="str">
        <f>IF('WetLitterbags placem_collection'!AA86="","",'WetLitterbags placem_collection'!AA86)</f>
        <v>M</v>
      </c>
      <c r="AI85">
        <f>IF('WetLitterbags placem_collection'!AC86="","",'WetLitterbags placem_collection'!AC86)</f>
        <v>1</v>
      </c>
      <c r="AJ85">
        <f>IFERROR(AVERAGE('Dry_Litterbag Placem_Collection'!O86,'Dry_Litterbag Placem_Collection'!R86),"")</f>
        <v>10.15</v>
      </c>
      <c r="AK85" s="261">
        <f>IFERROR(AVERAGE('Dry_Litterbag Placem_Collection'!N86,'Dry_Litterbag Placem_Collection'!Q86),"")</f>
        <v>26.549999999999997</v>
      </c>
      <c r="AL85" s="260">
        <f>INDEX([2]Coordinates!$B$2:$B$197,MATCH(I85,[2]Coordinates!$J$2:$J$197,0))</f>
        <v>-3.295795005</v>
      </c>
      <c r="AM85" s="260">
        <f>INDEX([2]Coordinates!$C$2:$C$197,MATCH(I85,[2]Coordinates!$J$2:$J$197,0))</f>
        <v>34.85232001</v>
      </c>
      <c r="AN85" s="260" t="str">
        <f>IF(ISNUMBER(SEARCH("C", 'Dry_Litterbag Placem_Collection'!S86)),"YES","NO")</f>
        <v>NO</v>
      </c>
      <c r="AO85" s="260" t="str">
        <f>IF(ISNUMBER(SEARCH("H", 'Dry_Litterbag Placem_Collection'!S86)),"YES","NO")</f>
        <v>YES</v>
      </c>
      <c r="AP85" s="260" t="str">
        <f>IF(ISNUMBER(SEARCH("R", 'Dry_Litterbag Placem_Collection'!S86)),"YES","NO")</f>
        <v>NO</v>
      </c>
    </row>
    <row r="86" spans="1:42">
      <c r="A86" t="s">
        <v>3248</v>
      </c>
      <c r="B86" s="252" t="s">
        <v>2643</v>
      </c>
      <c r="C86" s="253">
        <f>'Dry_Litterbag Placem_Collection'!A87</f>
        <v>85</v>
      </c>
      <c r="D86" s="253" t="str">
        <f>'Dry_Litterbag Placem_Collection'!B87</f>
        <v>Maswa</v>
      </c>
      <c r="E86" s="253" t="s">
        <v>2643</v>
      </c>
      <c r="F86" s="253" t="s">
        <v>2645</v>
      </c>
      <c r="G86" s="253">
        <v>3</v>
      </c>
      <c r="H86" s="253" t="s">
        <v>3114</v>
      </c>
      <c r="I86" s="254" t="str">
        <f>'Dry_Litterbag Placem_Collection'!C87</f>
        <v>Dry_W3_T5</v>
      </c>
      <c r="J86" s="255" t="s">
        <v>2525</v>
      </c>
      <c r="K86" s="256" t="s">
        <v>1147</v>
      </c>
      <c r="L86" s="253" t="str">
        <f>IF(ISBLANK('Dry_Litterbag Placem_Collection'!J87),"","G"&amp;""&amp;'Dry_Litterbag Placem_Collection'!J87)</f>
        <v/>
      </c>
      <c r="M86" s="257" t="str">
        <f>IFERROR(INDEX('Green_rooibos initial weight'!$C$5:$C$2000,MATCH(L86, 'Green_rooibos initial weight'!$A$5:$A$2000,0)),"")</f>
        <v/>
      </c>
      <c r="N86" s="257" t="str">
        <f>IFERROR(M86-(TBIcalc!$Q$9+TBIcalc!$Q$10),"")</f>
        <v/>
      </c>
      <c r="O86" s="378">
        <f>AVERAGE(Ashed_controlls!$K$2:$K$11)</f>
        <v>5.5147656768714146</v>
      </c>
      <c r="P86" s="257" t="str">
        <f t="shared" si="6"/>
        <v/>
      </c>
      <c r="Q86" s="257" t="str">
        <f>IFERROR(INDEX('Both teabags AfterDry'!$D$2:$D$2000,MATCH(L86,'Both teabags AfterDry'!$A$2:$A$2000,0)),"")</f>
        <v/>
      </c>
      <c r="R86" s="257" t="str">
        <f>IFERROR(IF(Q86&gt;0,Q86-(TBIcalc!$Q$9),""),"")</f>
        <v/>
      </c>
      <c r="S86" s="268" t="str">
        <f>IFERROR(INDEX('Ashed teabags dry'!$K$2:$K$2000,MATCH(L86,'Ashed teabags dry'!$A$2:$A$2000,0)),"")</f>
        <v/>
      </c>
      <c r="T86" s="268" t="str">
        <f t="shared" si="7"/>
        <v/>
      </c>
      <c r="U86" s="258" t="str">
        <f>IF('Dry_Litterbag Placem_Collection'!E87="","",'Dry_Litterbag Placem_Collection'!E87)</f>
        <v/>
      </c>
      <c r="V86" s="258" t="str">
        <f>IF('Dry_Litterbag Placem_Collection'!G87="","",'Dry_Litterbag Placem_Collection'!G87)</f>
        <v/>
      </c>
      <c r="W86" s="259" t="str">
        <f t="shared" si="5"/>
        <v/>
      </c>
      <c r="X86" s="257" t="str">
        <f t="shared" si="8"/>
        <v/>
      </c>
      <c r="Y86" s="257" t="str">
        <f t="shared" si="9"/>
        <v/>
      </c>
      <c r="Z86" s="261" t="str">
        <f>IFERROR(INDEX([3]Rainfall_Dry!$O$2:$O$217,MATCH(C86, [3]Rainfall_Dry!$A$2:$A$217,0)),"")</f>
        <v/>
      </c>
      <c r="AA86" s="250">
        <v>38.691629007962128</v>
      </c>
      <c r="AB86" s="250">
        <v>26.81299763288143</v>
      </c>
      <c r="AC86" s="250">
        <v>34.495373359156439</v>
      </c>
      <c r="AD86" s="251" t="s">
        <v>2656</v>
      </c>
      <c r="AE86" s="250">
        <v>6.5483587974371602</v>
      </c>
      <c r="AF86">
        <f>IF('WetLitterbags placem_collection'!AB87="","",'WetLitterbags placem_collection'!AB87)</f>
        <v>8.6</v>
      </c>
      <c r="AG86">
        <f>IF('WetLitterbags placem_collection'!Z87="","",'WetLitterbags placem_collection'!Z87)</f>
        <v>3.8</v>
      </c>
      <c r="AH86" s="236" t="str">
        <f>IF('WetLitterbags placem_collection'!AA87="","",'WetLitterbags placem_collection'!AA87)</f>
        <v>O</v>
      </c>
      <c r="AI86">
        <f>IF('WetLitterbags placem_collection'!AC87="","",'WetLitterbags placem_collection'!AC87)</f>
        <v>0</v>
      </c>
      <c r="AJ86" t="str">
        <f>IFERROR(AVERAGE('Dry_Litterbag Placem_Collection'!O87,'Dry_Litterbag Placem_Collection'!R87),"")</f>
        <v/>
      </c>
      <c r="AK86" s="261" t="str">
        <f>IFERROR(AVERAGE('Dry_Litterbag Placem_Collection'!N87,'Dry_Litterbag Placem_Collection'!Q87),"")</f>
        <v/>
      </c>
      <c r="AL86" s="260">
        <f>INDEX([2]Coordinates!$B$2:$B$197,MATCH(I86,[2]Coordinates!$J$2:$J$197,0))</f>
        <v>-3.2957100119999998</v>
      </c>
      <c r="AM86" s="260">
        <f>INDEX([2]Coordinates!$C$2:$C$197,MATCH(I86,[2]Coordinates!$J$2:$J$197,0))</f>
        <v>34.852283970000002</v>
      </c>
      <c r="AN86" s="260" t="str">
        <f>IF(ISNUMBER(SEARCH("C", 'Dry_Litterbag Placem_Collection'!S87)),"YES","NO")</f>
        <v>NO</v>
      </c>
      <c r="AO86" s="260" t="str">
        <f>IF(ISNUMBER(SEARCH("H", 'Dry_Litterbag Placem_Collection'!S87)),"YES","NO")</f>
        <v>NO</v>
      </c>
      <c r="AP86" s="260" t="str">
        <f>IF(ISNUMBER(SEARCH("R", 'Dry_Litterbag Placem_Collection'!S87)),"YES","NO")</f>
        <v>NO</v>
      </c>
    </row>
    <row r="87" spans="1:42">
      <c r="A87" t="s">
        <v>3248</v>
      </c>
      <c r="B87" s="252" t="s">
        <v>2643</v>
      </c>
      <c r="C87" s="253">
        <f>'Dry_Litterbag Placem_Collection'!A88</f>
        <v>86</v>
      </c>
      <c r="D87" s="253" t="str">
        <f>'Dry_Litterbag Placem_Collection'!B88</f>
        <v>Maswa</v>
      </c>
      <c r="E87" s="253" t="s">
        <v>2643</v>
      </c>
      <c r="F87" s="253" t="s">
        <v>2645</v>
      </c>
      <c r="G87" s="253">
        <v>3</v>
      </c>
      <c r="H87" s="253" t="s">
        <v>3114</v>
      </c>
      <c r="I87" s="254" t="str">
        <f>'Dry_Litterbag Placem_Collection'!C88</f>
        <v>Dry_W3_T6</v>
      </c>
      <c r="J87" s="255" t="s">
        <v>2525</v>
      </c>
      <c r="K87" s="256" t="s">
        <v>1147</v>
      </c>
      <c r="L87" s="253" t="str">
        <f>IF(ISBLANK('Dry_Litterbag Placem_Collection'!J88),"","G"&amp;""&amp;'Dry_Litterbag Placem_Collection'!J88)</f>
        <v>G31</v>
      </c>
      <c r="M87" s="257">
        <f>IFERROR(INDEX('Green_rooibos initial weight'!$C$5:$C$2000,MATCH(L87, 'Green_rooibos initial weight'!$A$5:$A$2000,0)),"")</f>
        <v>1.9390000000000001</v>
      </c>
      <c r="N87" s="257">
        <f>IFERROR(M87-(TBIcalc!$Q$9+TBIcalc!$Q$10),"")</f>
        <v>1.6892</v>
      </c>
      <c r="O87" s="378">
        <f>AVERAGE(Ashed_controlls!$K$2:$K$11)</f>
        <v>5.5147656768714146</v>
      </c>
      <c r="P87" s="257">
        <f t="shared" si="6"/>
        <v>1.5960445781862882</v>
      </c>
      <c r="Q87" s="257" t="str">
        <f>IFERROR(INDEX('Both teabags AfterDry'!$D$2:$D$2000,MATCH(L87,'Both teabags AfterDry'!$A$2:$A$2000,0)),"")</f>
        <v/>
      </c>
      <c r="R87" s="257" t="str">
        <f>IFERROR(IF(Q87&gt;0,Q87-(TBIcalc!$Q$9),""),"")</f>
        <v/>
      </c>
      <c r="S87" s="268" t="str">
        <f>IFERROR(INDEX('Ashed teabags dry'!$K$2:$K$2000,MATCH(L87,'Ashed teabags dry'!$A$2:$A$2000,0)),"")</f>
        <v/>
      </c>
      <c r="T87" s="268" t="str">
        <f t="shared" si="7"/>
        <v/>
      </c>
      <c r="U87" s="258">
        <f>IF('Dry_Litterbag Placem_Collection'!E88="","",'Dry_Litterbag Placem_Collection'!E88)</f>
        <v>42937</v>
      </c>
      <c r="V87" s="258">
        <f>IF('Dry_Litterbag Placem_Collection'!G88="","",'Dry_Litterbag Placem_Collection'!G88)</f>
        <v>43006</v>
      </c>
      <c r="W87" s="259">
        <f t="shared" si="5"/>
        <v>69</v>
      </c>
      <c r="X87" s="257" t="str">
        <f t="shared" si="8"/>
        <v/>
      </c>
      <c r="Y87" s="257" t="str">
        <f t="shared" si="9"/>
        <v/>
      </c>
      <c r="Z87" s="261">
        <f>IFERROR(INDEX([3]Rainfall_Dry!$O$2:$O$217,MATCH(C87, [3]Rainfall_Dry!$A$2:$A$217,0)),"")</f>
        <v>12.563016860999999</v>
      </c>
      <c r="AA87" s="250">
        <v>38.691629007962128</v>
      </c>
      <c r="AB87" s="250">
        <v>26.81299763288143</v>
      </c>
      <c r="AC87" s="250">
        <v>34.495373359156439</v>
      </c>
      <c r="AD87" s="251" t="s">
        <v>2656</v>
      </c>
      <c r="AE87" s="250">
        <v>7.5483587974371602</v>
      </c>
      <c r="AF87">
        <f>IF('WetLitterbags placem_collection'!AB88="","",'WetLitterbags placem_collection'!AB88)</f>
        <v>3.7</v>
      </c>
      <c r="AG87">
        <f>IF('WetLitterbags placem_collection'!Z88="","",'WetLitterbags placem_collection'!Z88)</f>
        <v>7.5</v>
      </c>
      <c r="AH87" s="236" t="str">
        <f>IF('WetLitterbags placem_collection'!AA88="","",'WetLitterbags placem_collection'!AA88)</f>
        <v>O</v>
      </c>
      <c r="AI87">
        <f>IF('WetLitterbags placem_collection'!AC88="","",'WetLitterbags placem_collection'!AC88)</f>
        <v>0</v>
      </c>
      <c r="AJ87">
        <f>IFERROR(AVERAGE('Dry_Litterbag Placem_Collection'!O88,'Dry_Litterbag Placem_Collection'!R88),"")</f>
        <v>11.75</v>
      </c>
      <c r="AK87" s="261">
        <f>IFERROR(AVERAGE('Dry_Litterbag Placem_Collection'!N88,'Dry_Litterbag Placem_Collection'!Q88),"")</f>
        <v>26.9</v>
      </c>
      <c r="AL87" s="260">
        <f>INDEX([2]Coordinates!$B$2:$B$197,MATCH(I87,[2]Coordinates!$J$2:$J$197,0))</f>
        <v>-3.2956140399999998</v>
      </c>
      <c r="AM87" s="260">
        <f>INDEX([2]Coordinates!$C$2:$C$197,MATCH(I87,[2]Coordinates!$J$2:$J$197,0))</f>
        <v>34.852137030000002</v>
      </c>
      <c r="AN87" s="260" t="str">
        <f>IF(ISNUMBER(SEARCH("C", 'Dry_Litterbag Placem_Collection'!S88)),"YES","NO")</f>
        <v>NO</v>
      </c>
      <c r="AO87" s="260" t="str">
        <f>IF(ISNUMBER(SEARCH("H", 'Dry_Litterbag Placem_Collection'!S88)),"YES","NO")</f>
        <v>YES</v>
      </c>
      <c r="AP87" s="260" t="str">
        <f>IF(ISNUMBER(SEARCH("R", 'Dry_Litterbag Placem_Collection'!S88)),"YES","NO")</f>
        <v>NO</v>
      </c>
    </row>
    <row r="88" spans="1:42">
      <c r="A88" t="s">
        <v>3248</v>
      </c>
      <c r="B88" s="252" t="s">
        <v>2643</v>
      </c>
      <c r="C88" s="253">
        <f>'Dry_Litterbag Placem_Collection'!A89</f>
        <v>87</v>
      </c>
      <c r="D88" s="253" t="str">
        <f>'Dry_Litterbag Placem_Collection'!B89</f>
        <v>Maswa</v>
      </c>
      <c r="E88" s="253" t="s">
        <v>2643</v>
      </c>
      <c r="F88" s="253" t="s">
        <v>2645</v>
      </c>
      <c r="G88" s="253">
        <v>3</v>
      </c>
      <c r="H88" s="253" t="s">
        <v>3114</v>
      </c>
      <c r="I88" s="254" t="str">
        <f>'Dry_Litterbag Placem_Collection'!C89</f>
        <v>Dry_W3_T7</v>
      </c>
      <c r="J88" s="255" t="s">
        <v>2525</v>
      </c>
      <c r="K88" s="256" t="s">
        <v>1147</v>
      </c>
      <c r="L88" s="253" t="str">
        <f>IF(ISBLANK('Dry_Litterbag Placem_Collection'!J89),"","G"&amp;""&amp;'Dry_Litterbag Placem_Collection'!J89)</f>
        <v>G220</v>
      </c>
      <c r="M88" s="257">
        <f>IFERROR(INDEX('Green_rooibos initial weight'!$C$5:$C$2000,MATCH(L88, 'Green_rooibos initial weight'!$A$5:$A$2000,0)),"")</f>
        <v>2.1179999999999999</v>
      </c>
      <c r="N88" s="257">
        <f>IFERROR(M88-(TBIcalc!$Q$9+TBIcalc!$Q$10),"")</f>
        <v>1.8681999999999999</v>
      </c>
      <c r="O88" s="378">
        <f>AVERAGE(Ashed_controlls!$K$2:$K$11)</f>
        <v>5.5147656768714146</v>
      </c>
      <c r="P88" s="257">
        <f t="shared" si="6"/>
        <v>1.7651731476246881</v>
      </c>
      <c r="Q88" s="257">
        <f>IFERROR(INDEX('Both teabags AfterDry'!$D$2:$D$2000,MATCH(L88,'Both teabags AfterDry'!$A$2:$A$2000,0)),"")</f>
        <v>1.9671000000000001</v>
      </c>
      <c r="R88" s="257">
        <f>IFERROR(IF(Q88&gt;0,Q88-(TBIcalc!$Q$9),""),"")</f>
        <v>1.8165</v>
      </c>
      <c r="S88" s="268">
        <f>IFERROR(INDEX('Ashed teabags dry'!$K$2:$K$2000,MATCH(L88,'Ashed teabags dry'!$A$2:$A$2000,0)),"")</f>
        <v>5.9062218214606252</v>
      </c>
      <c r="T88" s="268">
        <f t="shared" si="7"/>
        <v>1.7092134806131678</v>
      </c>
      <c r="U88" s="258">
        <f>IF('Dry_Litterbag Placem_Collection'!E89="","",'Dry_Litterbag Placem_Collection'!E89)</f>
        <v>42937</v>
      </c>
      <c r="V88" s="258">
        <f>IF('Dry_Litterbag Placem_Collection'!G89="","",'Dry_Litterbag Placem_Collection'!G89)</f>
        <v>43006</v>
      </c>
      <c r="W88" s="259">
        <f t="shared" si="5"/>
        <v>69</v>
      </c>
      <c r="X88" s="257">
        <f t="shared" si="8"/>
        <v>5.1699999999999857E-2</v>
      </c>
      <c r="Y88" s="257">
        <f t="shared" si="9"/>
        <v>5.5959667011520331E-2</v>
      </c>
      <c r="Z88" s="261">
        <f>IFERROR(INDEX([3]Rainfall_Dry!$O$2:$O$217,MATCH(C88, [3]Rainfall_Dry!$A$2:$A$217,0)),"")</f>
        <v>12.563016860999999</v>
      </c>
      <c r="AA88" s="250">
        <v>38.691629007962128</v>
      </c>
      <c r="AB88" s="250">
        <v>26.81299763288143</v>
      </c>
      <c r="AC88" s="250">
        <v>34.495373359156439</v>
      </c>
      <c r="AD88" s="251" t="s">
        <v>2656</v>
      </c>
      <c r="AE88" s="250">
        <v>8.5483587974371602</v>
      </c>
      <c r="AF88">
        <f>IF('WetLitterbags placem_collection'!AB89="","",'WetLitterbags placem_collection'!AB89)</f>
        <v>7.5</v>
      </c>
      <c r="AG88">
        <f>IF('WetLitterbags placem_collection'!Z89="","",'WetLitterbags placem_collection'!Z89)</f>
        <v>12.6</v>
      </c>
      <c r="AH88" s="236" t="str">
        <f>IF('WetLitterbags placem_collection'!AA89="","",'WetLitterbags placem_collection'!AA89)</f>
        <v>O</v>
      </c>
      <c r="AI88">
        <f>IF('WetLitterbags placem_collection'!AC89="","",'WetLitterbags placem_collection'!AC89)</f>
        <v>1</v>
      </c>
      <c r="AJ88">
        <f>IFERROR(AVERAGE('Dry_Litterbag Placem_Collection'!O89,'Dry_Litterbag Placem_Collection'!R89),"")</f>
        <v>10.65</v>
      </c>
      <c r="AK88" s="261">
        <f>IFERROR(AVERAGE('Dry_Litterbag Placem_Collection'!N89,'Dry_Litterbag Placem_Collection'!Q89),"")</f>
        <v>24.3</v>
      </c>
      <c r="AL88" s="260">
        <f>INDEX([2]Coordinates!$B$2:$B$197,MATCH(I88,[2]Coordinates!$J$2:$J$197,0))</f>
        <v>-3.295904975</v>
      </c>
      <c r="AM88" s="260">
        <f>INDEX([2]Coordinates!$C$2:$C$197,MATCH(I88,[2]Coordinates!$J$2:$J$197,0))</f>
        <v>34.852136029999997</v>
      </c>
      <c r="AN88" s="260" t="str">
        <f>IF(ISNUMBER(SEARCH("C", 'Dry_Litterbag Placem_Collection'!S89)),"YES","NO")</f>
        <v>NO</v>
      </c>
      <c r="AO88" s="260" t="str">
        <f>IF(ISNUMBER(SEARCH("H", 'Dry_Litterbag Placem_Collection'!S89)),"YES","NO")</f>
        <v>NO</v>
      </c>
      <c r="AP88" s="260" t="str">
        <f>IF(ISNUMBER(SEARCH("R", 'Dry_Litterbag Placem_Collection'!S89)),"YES","NO")</f>
        <v>NO</v>
      </c>
    </row>
    <row r="89" spans="1:42">
      <c r="A89" t="s">
        <v>3248</v>
      </c>
      <c r="B89" s="252" t="s">
        <v>2643</v>
      </c>
      <c r="C89" s="253">
        <f>'Dry_Litterbag Placem_Collection'!A90</f>
        <v>88</v>
      </c>
      <c r="D89" s="253" t="str">
        <f>'Dry_Litterbag Placem_Collection'!B90</f>
        <v>Maswa</v>
      </c>
      <c r="E89" s="253" t="s">
        <v>2643</v>
      </c>
      <c r="F89" s="253" t="s">
        <v>2645</v>
      </c>
      <c r="G89" s="253">
        <v>3</v>
      </c>
      <c r="H89" s="253" t="s">
        <v>3114</v>
      </c>
      <c r="I89" s="254" t="str">
        <f>'Dry_Litterbag Placem_Collection'!C90</f>
        <v>Dry_W3_T8</v>
      </c>
      <c r="J89" s="255" t="s">
        <v>2525</v>
      </c>
      <c r="K89" s="256" t="s">
        <v>1147</v>
      </c>
      <c r="L89" s="253" t="str">
        <f>IF(ISBLANK('Dry_Litterbag Placem_Collection'!J90),"","G"&amp;""&amp;'Dry_Litterbag Placem_Collection'!J90)</f>
        <v>G531</v>
      </c>
      <c r="M89" s="257">
        <f>IFERROR(INDEX('Green_rooibos initial weight'!$C$5:$C$2000,MATCH(L89, 'Green_rooibos initial weight'!$A$5:$A$2000,0)),"")</f>
        <v>2.0110000000000001</v>
      </c>
      <c r="N89" s="257">
        <f>IFERROR(M89-(TBIcalc!$Q$9+TBIcalc!$Q$10),"")</f>
        <v>1.7612000000000001</v>
      </c>
      <c r="O89" s="378">
        <f>AVERAGE(Ashed_controlls!$K$2:$K$11)</f>
        <v>5.5147656768714146</v>
      </c>
      <c r="P89" s="257">
        <f t="shared" si="6"/>
        <v>1.6640739468989407</v>
      </c>
      <c r="Q89" s="257">
        <f>IFERROR(INDEX('Both teabags AfterDry'!$D$2:$D$2000,MATCH(L89,'Both teabags AfterDry'!$A$2:$A$2000,0)),"")</f>
        <v>1.8593999999999999</v>
      </c>
      <c r="R89" s="257">
        <f>IFERROR(IF(Q89&gt;0,Q89-(TBIcalc!$Q$9),""),"")</f>
        <v>1.7087999999999999</v>
      </c>
      <c r="S89" s="268">
        <f>IFERROR(INDEX('Ashed teabags dry'!$K$2:$K$2000,MATCH(L89,'Ashed teabags dry'!$A$2:$A$2000,0)),"")</f>
        <v>7.2600696171056427</v>
      </c>
      <c r="T89" s="268">
        <f t="shared" si="7"/>
        <v>1.5847399303828986</v>
      </c>
      <c r="U89" s="258">
        <f>IF('Dry_Litterbag Placem_Collection'!E90="","",'Dry_Litterbag Placem_Collection'!E90)</f>
        <v>42937</v>
      </c>
      <c r="V89" s="258">
        <f>IF('Dry_Litterbag Placem_Collection'!G90="","",'Dry_Litterbag Placem_Collection'!G90)</f>
        <v>43006</v>
      </c>
      <c r="W89" s="259">
        <f t="shared" si="5"/>
        <v>69</v>
      </c>
      <c r="X89" s="257">
        <f t="shared" si="8"/>
        <v>5.2400000000000224E-2</v>
      </c>
      <c r="Y89" s="257">
        <f t="shared" si="9"/>
        <v>7.9334016516042105E-2</v>
      </c>
      <c r="Z89" s="261">
        <f>IFERROR(INDEX([3]Rainfall_Dry!$O$2:$O$217,MATCH(C89, [3]Rainfall_Dry!$A$2:$A$217,0)),"")</f>
        <v>12.563016860999999</v>
      </c>
      <c r="AA89" s="250">
        <v>38.691629007962128</v>
      </c>
      <c r="AB89" s="250">
        <v>26.81299763288143</v>
      </c>
      <c r="AC89" s="250">
        <v>34.495373359156439</v>
      </c>
      <c r="AD89" s="251" t="s">
        <v>2656</v>
      </c>
      <c r="AE89" s="250">
        <v>9.5483587974371602</v>
      </c>
      <c r="AF89" t="str">
        <f>IF('WetLitterbags placem_collection'!AB90="","",'WetLitterbags placem_collection'!AB90)</f>
        <v/>
      </c>
      <c r="AG89" t="str">
        <f>IF('WetLitterbags placem_collection'!Z90="","",'WetLitterbags placem_collection'!Z90)</f>
        <v/>
      </c>
      <c r="AH89" s="236" t="str">
        <f>IF('WetLitterbags placem_collection'!AA90="","",'WetLitterbags placem_collection'!AA90)</f>
        <v/>
      </c>
      <c r="AI89" t="str">
        <f>IF('WetLitterbags placem_collection'!AC90="","",'WetLitterbags placem_collection'!AC90)</f>
        <v/>
      </c>
      <c r="AJ89">
        <f>IFERROR(AVERAGE('Dry_Litterbag Placem_Collection'!O90,'Dry_Litterbag Placem_Collection'!R90),"")</f>
        <v>11.7</v>
      </c>
      <c r="AK89" s="261">
        <f>IFERROR(AVERAGE('Dry_Litterbag Placem_Collection'!N90,'Dry_Litterbag Placem_Collection'!Q90),"")</f>
        <v>26.049999999999997</v>
      </c>
      <c r="AL89" s="260">
        <f>INDEX([2]Coordinates!$B$2:$B$197,MATCH(I89,[2]Coordinates!$J$2:$J$197,0))</f>
        <v>-3.2959530039999998</v>
      </c>
      <c r="AM89" s="260">
        <f>INDEX([2]Coordinates!$C$2:$C$197,MATCH(I89,[2]Coordinates!$J$2:$J$197,0))</f>
        <v>34.85242504</v>
      </c>
      <c r="AN89" s="260" t="str">
        <f>IF(ISNUMBER(SEARCH("C", 'Dry_Litterbag Placem_Collection'!S90)),"YES","NO")</f>
        <v>NO</v>
      </c>
      <c r="AO89" s="260" t="str">
        <f>IF(ISNUMBER(SEARCH("H", 'Dry_Litterbag Placem_Collection'!S90)),"YES","NO")</f>
        <v>NO</v>
      </c>
      <c r="AP89" s="260" t="str">
        <f>IF(ISNUMBER(SEARCH("R", 'Dry_Litterbag Placem_Collection'!S90)),"YES","NO")</f>
        <v>NO</v>
      </c>
    </row>
    <row r="90" spans="1:42">
      <c r="A90" t="s">
        <v>3248</v>
      </c>
      <c r="B90" s="252" t="s">
        <v>2643</v>
      </c>
      <c r="C90" s="253">
        <f>'Dry_Litterbag Placem_Collection'!A91</f>
        <v>89</v>
      </c>
      <c r="D90" s="253" t="str">
        <f>'Dry_Litterbag Placem_Collection'!B91</f>
        <v>Maswa</v>
      </c>
      <c r="E90" s="253" t="s">
        <v>2643</v>
      </c>
      <c r="F90" s="253" t="s">
        <v>2645</v>
      </c>
      <c r="G90" s="253">
        <v>4</v>
      </c>
      <c r="H90" s="253" t="s">
        <v>3115</v>
      </c>
      <c r="I90" s="254" t="str">
        <f>'Dry_Litterbag Placem_Collection'!C91</f>
        <v>Dry_W4_T1</v>
      </c>
      <c r="J90" s="255" t="s">
        <v>2525</v>
      </c>
      <c r="K90" s="256" t="s">
        <v>1147</v>
      </c>
      <c r="L90" s="253" t="str">
        <f>IF(ISBLANK('Dry_Litterbag Placem_Collection'!J91),"","G"&amp;""&amp;'Dry_Litterbag Placem_Collection'!J91)</f>
        <v>G35</v>
      </c>
      <c r="M90" s="257">
        <f>IFERROR(INDEX('Green_rooibos initial weight'!$C$5:$C$2000,MATCH(L90, 'Green_rooibos initial weight'!$A$5:$A$2000,0)),"")</f>
        <v>2.0299999999999998</v>
      </c>
      <c r="N90" s="257">
        <f>IFERROR(M90-(TBIcalc!$Q$9+TBIcalc!$Q$10),"")</f>
        <v>1.7801999999999998</v>
      </c>
      <c r="O90" s="378">
        <f>AVERAGE(Ashed_controlls!$K$2:$K$11)</f>
        <v>5.5147656768714146</v>
      </c>
      <c r="P90" s="257">
        <f t="shared" si="6"/>
        <v>1.6820261414203348</v>
      </c>
      <c r="Q90" s="257">
        <f>IFERROR(INDEX('Both teabags AfterDry'!$D$2:$D$2000,MATCH(L90,'Both teabags AfterDry'!$A$2:$A$2000,0)),"")</f>
        <v>1.8633999999999999</v>
      </c>
      <c r="R90" s="257">
        <f>IFERROR(IF(Q90&gt;0,Q90-(TBIcalc!$Q$9),""),"")</f>
        <v>1.7127999999999999</v>
      </c>
      <c r="S90" s="268">
        <f>IFERROR(INDEX('Ashed teabags dry'!$K$2:$K$2000,MATCH(L90,'Ashed teabags dry'!$A$2:$A$2000,0)),"")</f>
        <v>5.6105610561053325</v>
      </c>
      <c r="T90" s="268">
        <f t="shared" si="7"/>
        <v>1.6167023102310278</v>
      </c>
      <c r="U90" s="258">
        <f>IF('Dry_Litterbag Placem_Collection'!E91="","",'Dry_Litterbag Placem_Collection'!E91)</f>
        <v>42937</v>
      </c>
      <c r="V90" s="258">
        <f>IF('Dry_Litterbag Placem_Collection'!G91="","",'Dry_Litterbag Placem_Collection'!G91)</f>
        <v>43006</v>
      </c>
      <c r="W90" s="259">
        <f t="shared" si="5"/>
        <v>69</v>
      </c>
      <c r="X90" s="257">
        <f t="shared" si="8"/>
        <v>6.7399999999999904E-2</v>
      </c>
      <c r="Y90" s="257">
        <f t="shared" si="9"/>
        <v>6.5323831189306958E-2</v>
      </c>
      <c r="Z90" s="261">
        <f>IFERROR(INDEX([3]Rainfall_Dry!$O$2:$O$217,MATCH(C90, [3]Rainfall_Dry!$A$2:$A$217,0)),"")</f>
        <v>12.563016860999999</v>
      </c>
      <c r="AA90" s="250">
        <v>28.145762029394</v>
      </c>
      <c r="AB90" s="250">
        <v>25.085564727199518</v>
      </c>
      <c r="AC90" s="250">
        <v>46.768673243406489</v>
      </c>
      <c r="AD90" s="251" t="s">
        <v>2651</v>
      </c>
      <c r="AE90" s="250">
        <v>2.1716214884179394</v>
      </c>
      <c r="AF90">
        <f>IF('WetLitterbags placem_collection'!AB91="","",'WetLitterbags placem_collection'!AB91)</f>
        <v>7.3</v>
      </c>
      <c r="AG90">
        <f>IF('WetLitterbags placem_collection'!Z91="","",'WetLitterbags placem_collection'!Z91)</f>
        <v>35.799999999999997</v>
      </c>
      <c r="AH90" s="236" t="str">
        <f>IF('WetLitterbags placem_collection'!AA91="","",'WetLitterbags placem_collection'!AA91)</f>
        <v>O</v>
      </c>
      <c r="AI90">
        <f>IF('WetLitterbags placem_collection'!AC91="","",'WetLitterbags placem_collection'!AC91)</f>
        <v>0</v>
      </c>
      <c r="AJ90">
        <f>IFERROR(AVERAGE('Dry_Litterbag Placem_Collection'!O91,'Dry_Litterbag Placem_Collection'!R91),"")</f>
        <v>10.5</v>
      </c>
      <c r="AK90" s="261">
        <f>IFERROR(AVERAGE('Dry_Litterbag Placem_Collection'!N91,'Dry_Litterbag Placem_Collection'!Q91),"")</f>
        <v>26.6</v>
      </c>
      <c r="AL90" s="260">
        <f>INDEX([2]Coordinates!$B$2:$B$197,MATCH(I90,[2]Coordinates!$J$2:$J$197,0))</f>
        <v>-3.2966709980000002</v>
      </c>
      <c r="AM90" s="260">
        <f>INDEX([2]Coordinates!$C$2:$C$197,MATCH(I90,[2]Coordinates!$J$2:$J$197,0))</f>
        <v>34.854407019999996</v>
      </c>
      <c r="AN90" s="260" t="str">
        <f>IF(ISNUMBER(SEARCH("C", 'Dry_Litterbag Placem_Collection'!S91)),"YES","NO")</f>
        <v>NO</v>
      </c>
      <c r="AO90" s="260" t="str">
        <f>IF(ISNUMBER(SEARCH("H", 'Dry_Litterbag Placem_Collection'!S91)),"YES","NO")</f>
        <v>NO</v>
      </c>
      <c r="AP90" s="260" t="str">
        <f>IF(ISNUMBER(SEARCH("R", 'Dry_Litterbag Placem_Collection'!S91)),"YES","NO")</f>
        <v>NO</v>
      </c>
    </row>
    <row r="91" spans="1:42">
      <c r="A91" t="s">
        <v>3248</v>
      </c>
      <c r="B91" s="252" t="s">
        <v>2643</v>
      </c>
      <c r="C91" s="253">
        <f>'Dry_Litterbag Placem_Collection'!A92</f>
        <v>90</v>
      </c>
      <c r="D91" s="253" t="str">
        <f>'Dry_Litterbag Placem_Collection'!B92</f>
        <v>Maswa</v>
      </c>
      <c r="E91" s="253" t="s">
        <v>2643</v>
      </c>
      <c r="F91" s="253" t="s">
        <v>2645</v>
      </c>
      <c r="G91" s="253">
        <v>4</v>
      </c>
      <c r="H91" s="253" t="s">
        <v>3115</v>
      </c>
      <c r="I91" s="254" t="str">
        <f>'Dry_Litterbag Placem_Collection'!C92</f>
        <v>Dry_W4_T2</v>
      </c>
      <c r="J91" s="255" t="s">
        <v>2525</v>
      </c>
      <c r="K91" s="256" t="s">
        <v>1147</v>
      </c>
      <c r="L91" s="253" t="str">
        <f>IF(ISBLANK('Dry_Litterbag Placem_Collection'!J92),"","G"&amp;""&amp;'Dry_Litterbag Placem_Collection'!J92)</f>
        <v>G264</v>
      </c>
      <c r="M91" s="257">
        <f>IFERROR(INDEX('Green_rooibos initial weight'!$C$5:$C$2000,MATCH(L91, 'Green_rooibos initial weight'!$A$5:$A$2000,0)),"")</f>
        <v>2.1070000000000002</v>
      </c>
      <c r="N91" s="257">
        <f>IFERROR(M91-(TBIcalc!$Q$9+TBIcalc!$Q$10),"")</f>
        <v>1.8572000000000002</v>
      </c>
      <c r="O91" s="378">
        <f>AVERAGE(Ashed_controlls!$K$2:$K$11)</f>
        <v>5.5147656768714146</v>
      </c>
      <c r="P91" s="257">
        <f t="shared" si="6"/>
        <v>1.7547797718491442</v>
      </c>
      <c r="Q91" s="257" t="str">
        <f>IFERROR(INDEX('Both teabags AfterDry'!$D$2:$D$2000,MATCH(L91,'Both teabags AfterDry'!$A$2:$A$2000,0)),"")</f>
        <v/>
      </c>
      <c r="R91" s="257" t="str">
        <f>IFERROR(IF(Q91&gt;0,Q91-(TBIcalc!$Q$9),""),"")</f>
        <v/>
      </c>
      <c r="S91" s="268" t="str">
        <f>IFERROR(INDEX('Ashed teabags dry'!$K$2:$K$2000,MATCH(L91,'Ashed teabags dry'!$A$2:$A$2000,0)),"")</f>
        <v/>
      </c>
      <c r="T91" s="268" t="str">
        <f t="shared" si="7"/>
        <v/>
      </c>
      <c r="U91" s="258">
        <f>IF('Dry_Litterbag Placem_Collection'!E92="","",'Dry_Litterbag Placem_Collection'!E92)</f>
        <v>42937</v>
      </c>
      <c r="V91" s="258">
        <f>IF('Dry_Litterbag Placem_Collection'!G92="","",'Dry_Litterbag Placem_Collection'!G92)</f>
        <v>43006</v>
      </c>
      <c r="W91" s="259">
        <f t="shared" si="5"/>
        <v>69</v>
      </c>
      <c r="X91" s="257" t="str">
        <f t="shared" si="8"/>
        <v/>
      </c>
      <c r="Y91" s="257" t="str">
        <f t="shared" si="9"/>
        <v/>
      </c>
      <c r="Z91" s="261">
        <f>IFERROR(INDEX([3]Rainfall_Dry!$O$2:$O$217,MATCH(C91, [3]Rainfall_Dry!$A$2:$A$217,0)),"")</f>
        <v>12.563016860999999</v>
      </c>
      <c r="AA91" s="250">
        <v>28.145762029394</v>
      </c>
      <c r="AB91" s="250">
        <v>25.085564727199518</v>
      </c>
      <c r="AC91" s="250">
        <v>46.768673243406489</v>
      </c>
      <c r="AD91" s="251" t="s">
        <v>2651</v>
      </c>
      <c r="AE91" s="250">
        <v>3.1716214884179399</v>
      </c>
      <c r="AF91">
        <f>IF('WetLitterbags placem_collection'!AB92="","",'WetLitterbags placem_collection'!AB92)</f>
        <v>7.7</v>
      </c>
      <c r="AG91">
        <f>IF('WetLitterbags placem_collection'!Z92="","",'WetLitterbags placem_collection'!Z92)</f>
        <v>30.4</v>
      </c>
      <c r="AH91" s="236" t="str">
        <f>IF('WetLitterbags placem_collection'!AA92="","",'WetLitterbags placem_collection'!AA92)</f>
        <v>O</v>
      </c>
      <c r="AI91">
        <f>IF('WetLitterbags placem_collection'!AC92="","",'WetLitterbags placem_collection'!AC92)</f>
        <v>0</v>
      </c>
      <c r="AJ91">
        <f>IFERROR(AVERAGE('Dry_Litterbag Placem_Collection'!O92,'Dry_Litterbag Placem_Collection'!R92),"")</f>
        <v>9.85</v>
      </c>
      <c r="AK91" s="261">
        <f>IFERROR(AVERAGE('Dry_Litterbag Placem_Collection'!N92,'Dry_Litterbag Placem_Collection'!Q92),"")</f>
        <v>26.45</v>
      </c>
      <c r="AL91" s="260">
        <f>INDEX([2]Coordinates!$B$2:$B$197,MATCH(I91,[2]Coordinates!$J$2:$J$197,0))</f>
        <v>-3.2966860009999999</v>
      </c>
      <c r="AM91" s="260">
        <f>INDEX([2]Coordinates!$C$2:$C$197,MATCH(I91,[2]Coordinates!$J$2:$J$197,0))</f>
        <v>34.854371989999997</v>
      </c>
      <c r="AN91" s="260" t="str">
        <f>IF(ISNUMBER(SEARCH("C", 'Dry_Litterbag Placem_Collection'!S92)),"YES","NO")</f>
        <v>NO</v>
      </c>
      <c r="AO91" s="260" t="str">
        <f>IF(ISNUMBER(SEARCH("H", 'Dry_Litterbag Placem_Collection'!S92)),"YES","NO")</f>
        <v>NO</v>
      </c>
      <c r="AP91" s="260" t="str">
        <f>IF(ISNUMBER(SEARCH("R", 'Dry_Litterbag Placem_Collection'!S92)),"YES","NO")</f>
        <v>NO</v>
      </c>
    </row>
    <row r="92" spans="1:42">
      <c r="A92" t="s">
        <v>3248</v>
      </c>
      <c r="B92" s="252" t="s">
        <v>2643</v>
      </c>
      <c r="C92" s="253">
        <f>'Dry_Litterbag Placem_Collection'!A93</f>
        <v>91</v>
      </c>
      <c r="D92" s="253" t="str">
        <f>'Dry_Litterbag Placem_Collection'!B93</f>
        <v>Maswa</v>
      </c>
      <c r="E92" s="253" t="s">
        <v>2643</v>
      </c>
      <c r="F92" s="253" t="s">
        <v>2645</v>
      </c>
      <c r="G92" s="253">
        <v>4</v>
      </c>
      <c r="H92" s="253" t="s">
        <v>3115</v>
      </c>
      <c r="I92" s="254" t="str">
        <f>'Dry_Litterbag Placem_Collection'!C93</f>
        <v>Dry_W4_T3</v>
      </c>
      <c r="J92" s="255" t="s">
        <v>2525</v>
      </c>
      <c r="K92" s="256" t="s">
        <v>1147</v>
      </c>
      <c r="L92" s="253" t="str">
        <f>IF(ISBLANK('Dry_Litterbag Placem_Collection'!J93),"","G"&amp;""&amp;'Dry_Litterbag Placem_Collection'!J93)</f>
        <v>G13</v>
      </c>
      <c r="M92" s="257">
        <f>IFERROR(INDEX('Green_rooibos initial weight'!$C$5:$C$2000,MATCH(L92, 'Green_rooibos initial weight'!$A$5:$A$2000,0)),"")</f>
        <v>2.085</v>
      </c>
      <c r="N92" s="257">
        <f>IFERROR(M92-(TBIcalc!$Q$9+TBIcalc!$Q$10),"")</f>
        <v>1.8351999999999999</v>
      </c>
      <c r="O92" s="378">
        <f>AVERAGE(Ashed_controlls!$K$2:$K$11)</f>
        <v>5.5147656768714146</v>
      </c>
      <c r="P92" s="257">
        <f t="shared" si="6"/>
        <v>1.7339930202980558</v>
      </c>
      <c r="Q92" s="257">
        <f>IFERROR(INDEX('Both teabags AfterDry'!$D$2:$D$2000,MATCH(L92,'Both teabags AfterDry'!$A$2:$A$2000,0)),"")</f>
        <v>1.9104000000000001</v>
      </c>
      <c r="R92" s="257">
        <f>IFERROR(IF(Q92&gt;0,Q92-(TBIcalc!$Q$9),""),"")</f>
        <v>1.7598</v>
      </c>
      <c r="S92" s="268">
        <f>IFERROR(INDEX('Ashed teabags dry'!$K$2:$K$2000,MATCH(L92,'Ashed teabags dry'!$A$2:$A$2000,0)),"")</f>
        <v>5.9558517284466683</v>
      </c>
      <c r="T92" s="268">
        <f t="shared" si="7"/>
        <v>1.6549889212827955</v>
      </c>
      <c r="U92" s="258">
        <f>IF('Dry_Litterbag Placem_Collection'!E93="","",'Dry_Litterbag Placem_Collection'!E93)</f>
        <v>42937</v>
      </c>
      <c r="V92" s="258">
        <f>IF('Dry_Litterbag Placem_Collection'!G93="","",'Dry_Litterbag Placem_Collection'!G93)</f>
        <v>43006</v>
      </c>
      <c r="W92" s="259">
        <f t="shared" si="5"/>
        <v>69</v>
      </c>
      <c r="X92" s="257">
        <f t="shared" si="8"/>
        <v>7.5399999999999912E-2</v>
      </c>
      <c r="Y92" s="257">
        <f t="shared" si="9"/>
        <v>7.9004099015260287E-2</v>
      </c>
      <c r="Z92" s="261">
        <f>IFERROR(INDEX([3]Rainfall_Dry!$O$2:$O$217,MATCH(C92, [3]Rainfall_Dry!$A$2:$A$217,0)),"")</f>
        <v>12.563016860999999</v>
      </c>
      <c r="AA92" s="250">
        <v>28.145762029394</v>
      </c>
      <c r="AB92" s="250">
        <v>25.085564727199518</v>
      </c>
      <c r="AC92" s="250">
        <v>46.768673243406489</v>
      </c>
      <c r="AD92" s="251" t="s">
        <v>2651</v>
      </c>
      <c r="AE92" s="250">
        <v>4.1716214884179399</v>
      </c>
      <c r="AF92">
        <f>IF('WetLitterbags placem_collection'!AB93="","",'WetLitterbags placem_collection'!AB93)</f>
        <v>6.1</v>
      </c>
      <c r="AG92">
        <f>IF('WetLitterbags placem_collection'!Z93="","",'WetLitterbags placem_collection'!Z93)</f>
        <v>39.4</v>
      </c>
      <c r="AH92" s="236" t="str">
        <f>IF('WetLitterbags placem_collection'!AA93="","",'WetLitterbags placem_collection'!AA93)</f>
        <v>O</v>
      </c>
      <c r="AI92">
        <f>IF('WetLitterbags placem_collection'!AC93="","",'WetLitterbags placem_collection'!AC93)</f>
        <v>1</v>
      </c>
      <c r="AJ92">
        <f>IFERROR(AVERAGE('Dry_Litterbag Placem_Collection'!O93,'Dry_Litterbag Placem_Collection'!R93),"")</f>
        <v>10.95</v>
      </c>
      <c r="AK92" s="261">
        <f>IFERROR(AVERAGE('Dry_Litterbag Placem_Collection'!N93,'Dry_Litterbag Placem_Collection'!Q93),"")</f>
        <v>25.95</v>
      </c>
      <c r="AL92" s="260">
        <f>INDEX([2]Coordinates!$B$2:$B$197,MATCH(I92,[2]Coordinates!$J$2:$J$197,0))</f>
        <v>-3.2966180239999998</v>
      </c>
      <c r="AM92" s="260">
        <f>INDEX([2]Coordinates!$C$2:$C$197,MATCH(I92,[2]Coordinates!$J$2:$J$197,0))</f>
        <v>34.854464020000002</v>
      </c>
      <c r="AN92" s="260" t="str">
        <f>IF(ISNUMBER(SEARCH("C", 'Dry_Litterbag Placem_Collection'!S93)),"YES","NO")</f>
        <v>NO</v>
      </c>
      <c r="AO92" s="260" t="str">
        <f>IF(ISNUMBER(SEARCH("H", 'Dry_Litterbag Placem_Collection'!S93)),"YES","NO")</f>
        <v>NO</v>
      </c>
      <c r="AP92" s="260" t="str">
        <f>IF(ISNUMBER(SEARCH("R", 'Dry_Litterbag Placem_Collection'!S93)),"YES","NO")</f>
        <v>NO</v>
      </c>
    </row>
    <row r="93" spans="1:42">
      <c r="A93" t="s">
        <v>3248</v>
      </c>
      <c r="B93" s="252" t="s">
        <v>2643</v>
      </c>
      <c r="C93" s="253">
        <f>'Dry_Litterbag Placem_Collection'!A94</f>
        <v>92</v>
      </c>
      <c r="D93" s="253" t="str">
        <f>'Dry_Litterbag Placem_Collection'!B94</f>
        <v>Maswa</v>
      </c>
      <c r="E93" s="253" t="s">
        <v>2643</v>
      </c>
      <c r="F93" s="253" t="s">
        <v>2645</v>
      </c>
      <c r="G93" s="253">
        <v>4</v>
      </c>
      <c r="H93" s="253" t="s">
        <v>3115</v>
      </c>
      <c r="I93" s="254" t="str">
        <f>'Dry_Litterbag Placem_Collection'!C94</f>
        <v>Dry_W4_T4</v>
      </c>
      <c r="J93" s="255" t="s">
        <v>2525</v>
      </c>
      <c r="K93" s="256" t="s">
        <v>1147</v>
      </c>
      <c r="L93" s="253" t="str">
        <f>IF(ISBLANK('Dry_Litterbag Placem_Collection'!J94),"","G"&amp;""&amp;'Dry_Litterbag Placem_Collection'!J94)</f>
        <v>G324</v>
      </c>
      <c r="M93" s="257">
        <f>IFERROR(INDEX('Green_rooibos initial weight'!$C$5:$C$2000,MATCH(L93, 'Green_rooibos initial weight'!$A$5:$A$2000,0)),"")</f>
        <v>2.0430000000000001</v>
      </c>
      <c r="N93" s="257">
        <f>IFERROR(M93-(TBIcalc!$Q$9+TBIcalc!$Q$10),"")</f>
        <v>1.7932000000000001</v>
      </c>
      <c r="O93" s="378">
        <f>AVERAGE(Ashed_controlls!$K$2:$K$11)</f>
        <v>5.5147656768714146</v>
      </c>
      <c r="P93" s="257">
        <f t="shared" si="6"/>
        <v>1.6943092218823419</v>
      </c>
      <c r="Q93" s="257">
        <f>IFERROR(INDEX('Both teabags AfterDry'!$D$2:$D$2000,MATCH(L93,'Both teabags AfterDry'!$A$2:$A$2000,0)),"")</f>
        <v>1.6847000000000001</v>
      </c>
      <c r="R93" s="257">
        <f>IFERROR(IF(Q93&gt;0,Q93-(TBIcalc!$Q$9),""),"")</f>
        <v>1.5341</v>
      </c>
      <c r="S93" s="268">
        <f>IFERROR(INDEX('Ashed teabags dry'!$K$2:$K$2000,MATCH(L93,'Ashed teabags dry'!$A$2:$A$2000,0)),"")</f>
        <v>7.5962018990501106</v>
      </c>
      <c r="T93" s="268">
        <f t="shared" si="7"/>
        <v>1.4175666666666722</v>
      </c>
      <c r="U93" s="258">
        <f>IF('Dry_Litterbag Placem_Collection'!E94="","",'Dry_Litterbag Placem_Collection'!E94)</f>
        <v>42937</v>
      </c>
      <c r="V93" s="258">
        <f>IF('Dry_Litterbag Placem_Collection'!G94="","",'Dry_Litterbag Placem_Collection'!G94)</f>
        <v>43006</v>
      </c>
      <c r="W93" s="259">
        <f t="shared" si="5"/>
        <v>69</v>
      </c>
      <c r="X93" s="257">
        <f t="shared" si="8"/>
        <v>0.25910000000000011</v>
      </c>
      <c r="Y93" s="257">
        <f t="shared" si="9"/>
        <v>0.27674255521566971</v>
      </c>
      <c r="Z93" s="261">
        <f>IFERROR(INDEX([3]Rainfall_Dry!$O$2:$O$217,MATCH(C93, [3]Rainfall_Dry!$A$2:$A$217,0)),"")</f>
        <v>12.563016860999999</v>
      </c>
      <c r="AA93" s="250">
        <v>28.145762029394</v>
      </c>
      <c r="AB93" s="250">
        <v>25.085564727199518</v>
      </c>
      <c r="AC93" s="250">
        <v>46.768673243406489</v>
      </c>
      <c r="AD93" s="251" t="s">
        <v>2651</v>
      </c>
      <c r="AE93" s="250">
        <v>5.1716214884179399</v>
      </c>
      <c r="AF93">
        <f>IF('WetLitterbags placem_collection'!AB94="","",'WetLitterbags placem_collection'!AB94)</f>
        <v>7.7</v>
      </c>
      <c r="AG93">
        <f>IF('WetLitterbags placem_collection'!Z94="","",'WetLitterbags placem_collection'!Z94)</f>
        <v>24.8</v>
      </c>
      <c r="AH93" s="236" t="str">
        <f>IF('WetLitterbags placem_collection'!AA94="","",'WetLitterbags placem_collection'!AA94)</f>
        <v>O</v>
      </c>
      <c r="AI93">
        <f>IF('WetLitterbags placem_collection'!AC94="","",'WetLitterbags placem_collection'!AC94)</f>
        <v>1</v>
      </c>
      <c r="AJ93">
        <f>IFERROR(AVERAGE('Dry_Litterbag Placem_Collection'!O94,'Dry_Litterbag Placem_Collection'!R94),"")</f>
        <v>10.25</v>
      </c>
      <c r="AK93" s="261">
        <f>IFERROR(AVERAGE('Dry_Litterbag Placem_Collection'!N94,'Dry_Litterbag Placem_Collection'!Q94),"")</f>
        <v>26</v>
      </c>
      <c r="AL93" s="260">
        <f>INDEX([2]Coordinates!$B$2:$B$197,MATCH(I93,[2]Coordinates!$J$2:$J$197,0))</f>
        <v>-3.2965539860000002</v>
      </c>
      <c r="AM93" s="260">
        <f>INDEX([2]Coordinates!$C$2:$C$197,MATCH(I93,[2]Coordinates!$J$2:$J$197,0))</f>
        <v>34.854455969999997</v>
      </c>
      <c r="AN93" s="260" t="str">
        <f>IF(ISNUMBER(SEARCH("C", 'Dry_Litterbag Placem_Collection'!S94)),"YES","NO")</f>
        <v>NO</v>
      </c>
      <c r="AO93" s="260" t="str">
        <f>IF(ISNUMBER(SEARCH("H", 'Dry_Litterbag Placem_Collection'!S94)),"YES","NO")</f>
        <v>YES</v>
      </c>
      <c r="AP93" s="260" t="str">
        <f>IF(ISNUMBER(SEARCH("R", 'Dry_Litterbag Placem_Collection'!S94)),"YES","NO")</f>
        <v>NO</v>
      </c>
    </row>
    <row r="94" spans="1:42">
      <c r="A94" t="s">
        <v>3248</v>
      </c>
      <c r="B94" s="252" t="s">
        <v>2643</v>
      </c>
      <c r="C94" s="253">
        <f>'Dry_Litterbag Placem_Collection'!A95</f>
        <v>93</v>
      </c>
      <c r="D94" s="253" t="str">
        <f>'Dry_Litterbag Placem_Collection'!B95</f>
        <v>Maswa</v>
      </c>
      <c r="E94" s="253" t="s">
        <v>2643</v>
      </c>
      <c r="F94" s="253" t="s">
        <v>2645</v>
      </c>
      <c r="G94" s="253">
        <v>4</v>
      </c>
      <c r="H94" s="253" t="s">
        <v>3115</v>
      </c>
      <c r="I94" s="254" t="str">
        <f>'Dry_Litterbag Placem_Collection'!C95</f>
        <v>Dry_W4_T5</v>
      </c>
      <c r="J94" s="255" t="s">
        <v>2525</v>
      </c>
      <c r="K94" s="256" t="s">
        <v>1147</v>
      </c>
      <c r="L94" s="253" t="str">
        <f>IF(ISBLANK('Dry_Litterbag Placem_Collection'!J95),"","G"&amp;""&amp;'Dry_Litterbag Placem_Collection'!J95)</f>
        <v>G99</v>
      </c>
      <c r="M94" s="257">
        <f>IFERROR(INDEX('Green_rooibos initial weight'!$C$5:$C$2000,MATCH(L94, 'Green_rooibos initial weight'!$A$5:$A$2000,0)),"")</f>
        <v>2.097</v>
      </c>
      <c r="N94" s="257">
        <f>IFERROR(M94-(TBIcalc!$Q$9+TBIcalc!$Q$10),"")</f>
        <v>1.8472</v>
      </c>
      <c r="O94" s="378">
        <f>AVERAGE(Ashed_controlls!$K$2:$K$11)</f>
        <v>5.5147656768714146</v>
      </c>
      <c r="P94" s="257">
        <f t="shared" si="6"/>
        <v>1.7453312484168313</v>
      </c>
      <c r="Q94" s="257">
        <f>IFERROR(INDEX('Both teabags AfterDry'!$D$2:$D$2000,MATCH(L94,'Both teabags AfterDry'!$A$2:$A$2000,0)),"")</f>
        <v>1.9186000000000001</v>
      </c>
      <c r="R94" s="257">
        <f>IFERROR(IF(Q94&gt;0,Q94-(TBIcalc!$Q$9),""),"")</f>
        <v>1.768</v>
      </c>
      <c r="S94" s="268">
        <f>IFERROR(INDEX('Ashed teabags dry'!$K$2:$K$2000,MATCH(L94,'Ashed teabags dry'!$A$2:$A$2000,0)),"")</f>
        <v>6.1659712563742239</v>
      </c>
      <c r="T94" s="268">
        <f t="shared" si="7"/>
        <v>1.6589856281873037</v>
      </c>
      <c r="U94" s="258">
        <f>IF('Dry_Litterbag Placem_Collection'!E95="","",'Dry_Litterbag Placem_Collection'!E95)</f>
        <v>42937</v>
      </c>
      <c r="V94" s="258">
        <f>IF('Dry_Litterbag Placem_Collection'!G95="","",'Dry_Litterbag Placem_Collection'!G95)</f>
        <v>43006</v>
      </c>
      <c r="W94" s="259">
        <f t="shared" si="5"/>
        <v>69</v>
      </c>
      <c r="X94" s="257">
        <f t="shared" si="8"/>
        <v>7.9199999999999937E-2</v>
      </c>
      <c r="Y94" s="257">
        <f t="shared" si="9"/>
        <v>8.6345620229527631E-2</v>
      </c>
      <c r="Z94" s="261">
        <f>IFERROR(INDEX([3]Rainfall_Dry!$O$2:$O$217,MATCH(C94, [3]Rainfall_Dry!$A$2:$A$217,0)),"")</f>
        <v>12.563016860999999</v>
      </c>
      <c r="AA94" s="250">
        <v>28.145762029394</v>
      </c>
      <c r="AB94" s="250">
        <v>25.085564727199518</v>
      </c>
      <c r="AC94" s="250">
        <v>46.768673243406489</v>
      </c>
      <c r="AD94" s="251" t="s">
        <v>2651</v>
      </c>
      <c r="AE94" s="250">
        <v>6.1716214884179399</v>
      </c>
      <c r="AF94">
        <f>IF('WetLitterbags placem_collection'!AB95="","",'WetLitterbags placem_collection'!AB95)</f>
        <v>6.6</v>
      </c>
      <c r="AG94">
        <f>IF('WetLitterbags placem_collection'!Z95="","",'WetLitterbags placem_collection'!Z95)</f>
        <v>40</v>
      </c>
      <c r="AH94" s="236" t="str">
        <f>IF('WetLitterbags placem_collection'!AA95="","",'WetLitterbags placem_collection'!AA95)</f>
        <v>O</v>
      </c>
      <c r="AI94">
        <f>IF('WetLitterbags placem_collection'!AC95="","",'WetLitterbags placem_collection'!AC95)</f>
        <v>1</v>
      </c>
      <c r="AJ94">
        <f>IFERROR(AVERAGE('Dry_Litterbag Placem_Collection'!O95,'Dry_Litterbag Placem_Collection'!R95),"")</f>
        <v>10.45</v>
      </c>
      <c r="AK94" s="261">
        <f>IFERROR(AVERAGE('Dry_Litterbag Placem_Collection'!N95,'Dry_Litterbag Placem_Collection'!Q95),"")</f>
        <v>26.4</v>
      </c>
      <c r="AL94" s="260">
        <f>INDEX([2]Coordinates!$B$2:$B$197,MATCH(I94,[2]Coordinates!$J$2:$J$197,0))</f>
        <v>-3.2964789680000002</v>
      </c>
      <c r="AM94" s="260">
        <f>INDEX([2]Coordinates!$C$2:$C$197,MATCH(I94,[2]Coordinates!$J$2:$J$197,0))</f>
        <v>34.854331000000002</v>
      </c>
      <c r="AN94" s="260" t="str">
        <f>IF(ISNUMBER(SEARCH("C", 'Dry_Litterbag Placem_Collection'!S95)),"YES","NO")</f>
        <v>NO</v>
      </c>
      <c r="AO94" s="260" t="str">
        <f>IF(ISNUMBER(SEARCH("H", 'Dry_Litterbag Placem_Collection'!S95)),"YES","NO")</f>
        <v>YES</v>
      </c>
      <c r="AP94" s="260" t="str">
        <f>IF(ISNUMBER(SEARCH("R", 'Dry_Litterbag Placem_Collection'!S95)),"YES","NO")</f>
        <v>NO</v>
      </c>
    </row>
    <row r="95" spans="1:42">
      <c r="A95" t="s">
        <v>3248</v>
      </c>
      <c r="B95" s="252" t="s">
        <v>2643</v>
      </c>
      <c r="C95" s="253">
        <f>'Dry_Litterbag Placem_Collection'!A96</f>
        <v>94</v>
      </c>
      <c r="D95" s="253" t="str">
        <f>'Dry_Litterbag Placem_Collection'!B96</f>
        <v>Maswa</v>
      </c>
      <c r="E95" s="253" t="s">
        <v>2643</v>
      </c>
      <c r="F95" s="253" t="s">
        <v>2645</v>
      </c>
      <c r="G95" s="253">
        <v>4</v>
      </c>
      <c r="H95" s="253" t="s">
        <v>3115</v>
      </c>
      <c r="I95" s="254" t="str">
        <f>'Dry_Litterbag Placem_Collection'!C96</f>
        <v>Dry_W4_T6</v>
      </c>
      <c r="J95" s="255" t="s">
        <v>2525</v>
      </c>
      <c r="K95" s="256" t="s">
        <v>1147</v>
      </c>
      <c r="L95" s="253" t="str">
        <f>IF(ISBLANK('Dry_Litterbag Placem_Collection'!J96),"","G"&amp;""&amp;'Dry_Litterbag Placem_Collection'!J96)</f>
        <v/>
      </c>
      <c r="M95" s="257" t="str">
        <f>IFERROR(INDEX('Green_rooibos initial weight'!$C$5:$C$2000,MATCH(L95, 'Green_rooibos initial weight'!$A$5:$A$2000,0)),"")</f>
        <v/>
      </c>
      <c r="N95" s="257" t="str">
        <f>IFERROR(M95-(TBIcalc!$Q$9+TBIcalc!$Q$10),"")</f>
        <v/>
      </c>
      <c r="O95" s="378">
        <f>AVERAGE(Ashed_controlls!$K$2:$K$11)</f>
        <v>5.5147656768714146</v>
      </c>
      <c r="P95" s="257" t="str">
        <f t="shared" si="6"/>
        <v/>
      </c>
      <c r="Q95" s="257" t="str">
        <f>IFERROR(INDEX('Both teabags AfterDry'!$D$2:$D$2000,MATCH(L95,'Both teabags AfterDry'!$A$2:$A$2000,0)),"")</f>
        <v/>
      </c>
      <c r="R95" s="257" t="str">
        <f>IFERROR(IF(Q95&gt;0,Q95-(TBIcalc!$Q$9),""),"")</f>
        <v/>
      </c>
      <c r="S95" s="268" t="str">
        <f>IFERROR(INDEX('Ashed teabags dry'!$K$2:$K$2000,MATCH(L95,'Ashed teabags dry'!$A$2:$A$2000,0)),"")</f>
        <v/>
      </c>
      <c r="T95" s="268" t="str">
        <f t="shared" si="7"/>
        <v/>
      </c>
      <c r="U95" s="258" t="str">
        <f>IF('Dry_Litterbag Placem_Collection'!E96="","",'Dry_Litterbag Placem_Collection'!E96)</f>
        <v/>
      </c>
      <c r="V95" s="258" t="str">
        <f>IF('Dry_Litterbag Placem_Collection'!G96="","",'Dry_Litterbag Placem_Collection'!G96)</f>
        <v/>
      </c>
      <c r="W95" s="259" t="str">
        <f t="shared" si="5"/>
        <v/>
      </c>
      <c r="X95" s="257" t="str">
        <f t="shared" si="8"/>
        <v/>
      </c>
      <c r="Y95" s="257" t="str">
        <f t="shared" si="9"/>
        <v/>
      </c>
      <c r="Z95" s="261" t="str">
        <f>IFERROR(INDEX([3]Rainfall_Dry!$O$2:$O$217,MATCH(C95, [3]Rainfall_Dry!$A$2:$A$217,0)),"")</f>
        <v/>
      </c>
      <c r="AA95" s="250">
        <v>28.145762029394</v>
      </c>
      <c r="AB95" s="250">
        <v>25.085564727199518</v>
      </c>
      <c r="AC95" s="250">
        <v>46.768673243406489</v>
      </c>
      <c r="AD95" s="251" t="s">
        <v>2651</v>
      </c>
      <c r="AE95" s="250">
        <v>7.1716214884179399</v>
      </c>
      <c r="AF95" t="str">
        <f>IF('WetLitterbags placem_collection'!AB96="","",'WetLitterbags placem_collection'!AB96)</f>
        <v/>
      </c>
      <c r="AG95" t="str">
        <f>IF('WetLitterbags placem_collection'!Z96="","",'WetLitterbags placem_collection'!Z96)</f>
        <v/>
      </c>
      <c r="AH95" s="236" t="str">
        <f>IF('WetLitterbags placem_collection'!AA96="","",'WetLitterbags placem_collection'!AA96)</f>
        <v/>
      </c>
      <c r="AI95" t="str">
        <f>IF('WetLitterbags placem_collection'!AC96="","",'WetLitterbags placem_collection'!AC96)</f>
        <v/>
      </c>
      <c r="AJ95" t="str">
        <f>IFERROR(AVERAGE('Dry_Litterbag Placem_Collection'!O96,'Dry_Litterbag Placem_Collection'!R96),"")</f>
        <v/>
      </c>
      <c r="AK95" s="261" t="str">
        <f>IFERROR(AVERAGE('Dry_Litterbag Placem_Collection'!N96,'Dry_Litterbag Placem_Collection'!Q96),"")</f>
        <v/>
      </c>
      <c r="AL95" s="260">
        <f>INDEX([2]Coordinates!$B$2:$B$197,MATCH(I95,[2]Coordinates!$J$2:$J$197,0))</f>
        <v>-3.2964649700000002</v>
      </c>
      <c r="AM95" s="260">
        <f>INDEX([2]Coordinates!$C$2:$C$197,MATCH(I95,[2]Coordinates!$J$2:$J$197,0))</f>
        <v>34.854340970000003</v>
      </c>
      <c r="AN95" s="260" t="str">
        <f>IF(ISNUMBER(SEARCH("C", 'Dry_Litterbag Placem_Collection'!S96)),"YES","NO")</f>
        <v>NO</v>
      </c>
      <c r="AO95" s="260" t="str">
        <f>IF(ISNUMBER(SEARCH("H", 'Dry_Litterbag Placem_Collection'!S96)),"YES","NO")</f>
        <v>NO</v>
      </c>
      <c r="AP95" s="260" t="str">
        <f>IF(ISNUMBER(SEARCH("R", 'Dry_Litterbag Placem_Collection'!S96)),"YES","NO")</f>
        <v>NO</v>
      </c>
    </row>
    <row r="96" spans="1:42" ht="15" customHeight="1">
      <c r="A96" t="s">
        <v>3248</v>
      </c>
      <c r="B96" s="252" t="s">
        <v>2643</v>
      </c>
      <c r="C96" s="253">
        <f>'Dry_Litterbag Placem_Collection'!A97</f>
        <v>95</v>
      </c>
      <c r="D96" s="253" t="str">
        <f>'Dry_Litterbag Placem_Collection'!B97</f>
        <v>Maswa</v>
      </c>
      <c r="E96" s="253" t="s">
        <v>2643</v>
      </c>
      <c r="F96" s="253" t="s">
        <v>2645</v>
      </c>
      <c r="G96" s="253">
        <v>4</v>
      </c>
      <c r="H96" s="253" t="s">
        <v>3115</v>
      </c>
      <c r="I96" s="254" t="str">
        <f>'Dry_Litterbag Placem_Collection'!C97</f>
        <v>Dry_W4_T7</v>
      </c>
      <c r="J96" s="255" t="s">
        <v>2525</v>
      </c>
      <c r="K96" s="256" t="s">
        <v>1147</v>
      </c>
      <c r="L96" s="253" t="str">
        <f>IF(ISBLANK('Dry_Litterbag Placem_Collection'!J97),"","G"&amp;""&amp;'Dry_Litterbag Placem_Collection'!J97)</f>
        <v>G126</v>
      </c>
      <c r="M96" s="257">
        <f>IFERROR(INDEX('Green_rooibos initial weight'!$C$5:$C$2000,MATCH(L96, 'Green_rooibos initial weight'!$A$5:$A$2000,0)),"")</f>
        <v>2.093</v>
      </c>
      <c r="N96" s="257">
        <f>IFERROR(M96-(TBIcalc!$Q$9+TBIcalc!$Q$10),"")</f>
        <v>1.8431999999999999</v>
      </c>
      <c r="O96" s="378">
        <f>AVERAGE(Ashed_controlls!$K$2:$K$11)</f>
        <v>5.5147656768714146</v>
      </c>
      <c r="P96" s="257">
        <f t="shared" si="6"/>
        <v>1.741551839043906</v>
      </c>
      <c r="Q96" s="257">
        <f>IFERROR(INDEX('Both teabags AfterDry'!$D$2:$D$2000,MATCH(L96,'Both teabags AfterDry'!$A$2:$A$2000,0)),"")</f>
        <v>1.8705000000000001</v>
      </c>
      <c r="R96" s="257">
        <f>IFERROR(IF(Q96&gt;0,Q96-(TBIcalc!$Q$9),""),"")</f>
        <v>1.7199</v>
      </c>
      <c r="S96" s="268">
        <f>IFERROR(INDEX('Ashed teabags dry'!$K$2:$K$2000,MATCH(L96,'Ashed teabags dry'!$A$2:$A$2000,0)),"")</f>
        <v>5.4866412213739713</v>
      </c>
      <c r="T96" s="268">
        <f t="shared" si="7"/>
        <v>1.6255352576335891</v>
      </c>
      <c r="U96" s="258">
        <f>IF('Dry_Litterbag Placem_Collection'!E97="","",'Dry_Litterbag Placem_Collection'!E97)</f>
        <v>42937</v>
      </c>
      <c r="V96" s="258">
        <f>IF('Dry_Litterbag Placem_Collection'!G97="","",'Dry_Litterbag Placem_Collection'!G97)</f>
        <v>43006</v>
      </c>
      <c r="W96" s="259">
        <f t="shared" si="5"/>
        <v>69</v>
      </c>
      <c r="X96" s="257">
        <f t="shared" si="8"/>
        <v>0.12329999999999997</v>
      </c>
      <c r="Y96" s="257">
        <f t="shared" si="9"/>
        <v>0.1160165814103169</v>
      </c>
      <c r="Z96" s="261">
        <f>IFERROR(INDEX([3]Rainfall_Dry!$O$2:$O$217,MATCH(C96, [3]Rainfall_Dry!$A$2:$A$217,0)),"")</f>
        <v>12.563016860999999</v>
      </c>
      <c r="AA96" s="250">
        <v>28.145762029394</v>
      </c>
      <c r="AB96" s="250">
        <v>25.085564727199518</v>
      </c>
      <c r="AC96" s="250">
        <v>46.768673243406489</v>
      </c>
      <c r="AD96" s="251" t="s">
        <v>2651</v>
      </c>
      <c r="AE96" s="250">
        <v>8.1716214884179408</v>
      </c>
      <c r="AF96">
        <f>IF('WetLitterbags placem_collection'!AB97="","",'WetLitterbags placem_collection'!AB97)</f>
        <v>5.4</v>
      </c>
      <c r="AG96">
        <f>IF('WetLitterbags placem_collection'!Z97="","",'WetLitterbags placem_collection'!Z97)</f>
        <v>15.2</v>
      </c>
      <c r="AH96" s="236" t="str">
        <f>IF('WetLitterbags placem_collection'!AA97="","",'WetLitterbags placem_collection'!AA97)</f>
        <v>O</v>
      </c>
      <c r="AI96">
        <f>IF('WetLitterbags placem_collection'!AC97="","",'WetLitterbags placem_collection'!AC97)</f>
        <v>0</v>
      </c>
      <c r="AJ96">
        <f>IFERROR(AVERAGE('Dry_Litterbag Placem_Collection'!O97,'Dry_Litterbag Placem_Collection'!R97),"")</f>
        <v>8.75</v>
      </c>
      <c r="AK96" s="261">
        <f>IFERROR(AVERAGE('Dry_Litterbag Placem_Collection'!N97,'Dry_Litterbag Placem_Collection'!Q97),"")</f>
        <v>27.35</v>
      </c>
      <c r="AL96" s="260">
        <f>INDEX([2]Coordinates!$B$2:$B$197,MATCH(I96,[2]Coordinates!$J$2:$J$197,0))</f>
        <v>-3.296725983</v>
      </c>
      <c r="AM96" s="260">
        <f>INDEX([2]Coordinates!$C$2:$C$197,MATCH(I96,[2]Coordinates!$J$2:$J$197,0))</f>
        <v>34.854216000000001</v>
      </c>
      <c r="AN96" s="260" t="str">
        <f>IF(ISNUMBER(SEARCH("C", 'Dry_Litterbag Placem_Collection'!S97)),"YES","NO")</f>
        <v>NO</v>
      </c>
      <c r="AO96" s="260" t="str">
        <f>IF(ISNUMBER(SEARCH("H", 'Dry_Litterbag Placem_Collection'!S97)),"YES","NO")</f>
        <v>NO</v>
      </c>
      <c r="AP96" s="260" t="str">
        <f>IF(ISNUMBER(SEARCH("R", 'Dry_Litterbag Placem_Collection'!S97)),"YES","NO")</f>
        <v>NO</v>
      </c>
    </row>
    <row r="97" spans="1:42" ht="15" customHeight="1">
      <c r="A97" t="s">
        <v>3248</v>
      </c>
      <c r="B97" s="252" t="s">
        <v>2643</v>
      </c>
      <c r="C97" s="253">
        <f>'Dry_Litterbag Placem_Collection'!A98</f>
        <v>96</v>
      </c>
      <c r="D97" s="253" t="str">
        <f>'Dry_Litterbag Placem_Collection'!B98</f>
        <v>Maswa</v>
      </c>
      <c r="E97" s="253" t="s">
        <v>2643</v>
      </c>
      <c r="F97" s="253" t="s">
        <v>2645</v>
      </c>
      <c r="G97" s="253">
        <v>4</v>
      </c>
      <c r="H97" s="253" t="s">
        <v>3115</v>
      </c>
      <c r="I97" s="254" t="str">
        <f>'Dry_Litterbag Placem_Collection'!C98</f>
        <v>Dry_W4_T8</v>
      </c>
      <c r="J97" s="255" t="s">
        <v>2525</v>
      </c>
      <c r="K97" s="256" t="s">
        <v>1147</v>
      </c>
      <c r="L97" s="253" t="str">
        <f>IF(ISBLANK('Dry_Litterbag Placem_Collection'!J98),"","G"&amp;""&amp;'Dry_Litterbag Placem_Collection'!J98)</f>
        <v>G244</v>
      </c>
      <c r="M97" s="257">
        <f>IFERROR(INDEX('Green_rooibos initial weight'!$C$5:$C$2000,MATCH(L97, 'Green_rooibos initial weight'!$A$5:$A$2000,0)),"")</f>
        <v>2.04</v>
      </c>
      <c r="N97" s="257">
        <f>IFERROR(M97-(TBIcalc!$Q$9+TBIcalc!$Q$10),"")</f>
        <v>1.7902</v>
      </c>
      <c r="O97" s="378">
        <f>AVERAGE(Ashed_controlls!$K$2:$K$11)</f>
        <v>5.5147656768714146</v>
      </c>
      <c r="P97" s="257">
        <f t="shared" si="6"/>
        <v>1.691474664852648</v>
      </c>
      <c r="Q97" s="257">
        <f>IFERROR(INDEX('Both teabags AfterDry'!$D$2:$D$2000,MATCH(L97,'Both teabags AfterDry'!$A$2:$A$2000,0)),"")</f>
        <v>1.8649</v>
      </c>
      <c r="R97" s="257">
        <f>IFERROR(IF(Q97&gt;0,Q97-(TBIcalc!$Q$9),""),"")</f>
        <v>1.7142999999999999</v>
      </c>
      <c r="S97" s="268">
        <f>IFERROR(INDEX('Ashed teabags dry'!$K$2:$K$2000,MATCH(L97,'Ashed teabags dry'!$A$2:$A$2000,0)),"")</f>
        <v>5.8795180722893514</v>
      </c>
      <c r="T97" s="268">
        <f t="shared" si="7"/>
        <v>1.6135074216867435</v>
      </c>
      <c r="U97" s="258">
        <f>IF('Dry_Litterbag Placem_Collection'!E98="","",'Dry_Litterbag Placem_Collection'!E98)</f>
        <v>42937</v>
      </c>
      <c r="V97" s="258">
        <f>IF('Dry_Litterbag Placem_Collection'!G98="","",'Dry_Litterbag Placem_Collection'!G98)</f>
        <v>43006</v>
      </c>
      <c r="W97" s="259">
        <f t="shared" si="5"/>
        <v>69</v>
      </c>
      <c r="X97" s="257">
        <f t="shared" si="8"/>
        <v>7.5900000000000079E-2</v>
      </c>
      <c r="Y97" s="257">
        <f t="shared" si="9"/>
        <v>7.7967243165904421E-2</v>
      </c>
      <c r="Z97" s="261">
        <f>IFERROR(INDEX([3]Rainfall_Dry!$O$2:$O$217,MATCH(C97, [3]Rainfall_Dry!$A$2:$A$217,0)),"")</f>
        <v>12.563016860999999</v>
      </c>
      <c r="AA97" s="250">
        <v>28.145762029394</v>
      </c>
      <c r="AB97" s="250">
        <v>25.085564727199518</v>
      </c>
      <c r="AC97" s="250">
        <v>46.768673243406489</v>
      </c>
      <c r="AD97" s="251" t="s">
        <v>2651</v>
      </c>
      <c r="AE97" s="250">
        <v>9.1716214884179408</v>
      </c>
      <c r="AF97">
        <f>IF('WetLitterbags placem_collection'!AB98="","",'WetLitterbags placem_collection'!AB98)</f>
        <v>4</v>
      </c>
      <c r="AG97">
        <f>IF('WetLitterbags placem_collection'!Z98="","",'WetLitterbags placem_collection'!Z98)</f>
        <v>34.4</v>
      </c>
      <c r="AH97" s="236" t="str">
        <f>IF('WetLitterbags placem_collection'!AA98="","",'WetLitterbags placem_collection'!AA98)</f>
        <v>O</v>
      </c>
      <c r="AI97">
        <f>IF('WetLitterbags placem_collection'!AC98="","",'WetLitterbags placem_collection'!AC98)</f>
        <v>0</v>
      </c>
      <c r="AJ97">
        <f>IFERROR(AVERAGE('Dry_Litterbag Placem_Collection'!O98,'Dry_Litterbag Placem_Collection'!R98),"")</f>
        <v>5.0999999999999996</v>
      </c>
      <c r="AK97" s="261">
        <f>IFERROR(AVERAGE('Dry_Litterbag Placem_Collection'!N98,'Dry_Litterbag Placem_Collection'!Q98),"")</f>
        <v>25.950000000000003</v>
      </c>
      <c r="AL97" s="260">
        <f>INDEX([2]Coordinates!$B$2:$B$197,MATCH(I97,[2]Coordinates!$J$2:$J$197,0))</f>
        <v>-3.2968360369999998</v>
      </c>
      <c r="AM97" s="260">
        <f>INDEX([2]Coordinates!$C$2:$C$197,MATCH(I97,[2]Coordinates!$J$2:$J$197,0))</f>
        <v>34.854462009999999</v>
      </c>
      <c r="AN97" s="260" t="str">
        <f>IF(ISNUMBER(SEARCH("C", 'Dry_Litterbag Placem_Collection'!S98)),"YES","NO")</f>
        <v>NO</v>
      </c>
      <c r="AO97" s="260" t="str">
        <f>IF(ISNUMBER(SEARCH("H", 'Dry_Litterbag Placem_Collection'!S98)),"YES","NO")</f>
        <v>NO</v>
      </c>
      <c r="AP97" s="260" t="str">
        <f>IF(ISNUMBER(SEARCH("R", 'Dry_Litterbag Placem_Collection'!S98)),"YES","NO")</f>
        <v>NO</v>
      </c>
    </row>
    <row r="98" spans="1:42" ht="15" customHeight="1">
      <c r="A98" t="s">
        <v>3248</v>
      </c>
      <c r="B98" s="252" t="s">
        <v>2643</v>
      </c>
      <c r="C98" s="253">
        <f>'Dry_Litterbag Placem_Collection'!A99</f>
        <v>97</v>
      </c>
      <c r="D98" s="253" t="str">
        <f>'Dry_Litterbag Placem_Collection'!B99</f>
        <v xml:space="preserve">Mwantimba
</v>
      </c>
      <c r="E98" s="253" t="s">
        <v>2454</v>
      </c>
      <c r="F98" s="253" t="s">
        <v>2644</v>
      </c>
      <c r="G98" s="253">
        <v>1</v>
      </c>
      <c r="H98" s="253" t="s">
        <v>3116</v>
      </c>
      <c r="I98" s="254" t="str">
        <f>'Dry_Litterbag Placem_Collection'!C99</f>
        <v>Wet_Ag1_T1</v>
      </c>
      <c r="J98" s="255" t="s">
        <v>2525</v>
      </c>
      <c r="K98" s="256" t="s">
        <v>1147</v>
      </c>
      <c r="L98" s="253" t="str">
        <f>IF(ISBLANK('Dry_Litterbag Placem_Collection'!J99),"","G"&amp;""&amp;'Dry_Litterbag Placem_Collection'!J99)</f>
        <v>G432</v>
      </c>
      <c r="M98" s="257">
        <f>IFERROR(INDEX('Green_rooibos initial weight'!$C$5:$C$2000,MATCH(L98, 'Green_rooibos initial weight'!$A$5:$A$2000,0)),"")</f>
        <v>2.0659999999999998</v>
      </c>
      <c r="N98" s="257">
        <f>IFERROR(M98-(TBIcalc!$Q$9+TBIcalc!$Q$10),"")</f>
        <v>1.8161999999999998</v>
      </c>
      <c r="O98" s="378">
        <f>AVERAGE(Ashed_controlls!$K$2:$K$11)</f>
        <v>5.5147656768714146</v>
      </c>
      <c r="P98" s="257">
        <f t="shared" si="6"/>
        <v>1.7160408257766613</v>
      </c>
      <c r="Q98" s="257" t="str">
        <f>IFERROR(INDEX('Both teabags AfterDry'!$D$2:$D$2000,MATCH(L98,'Both teabags AfterDry'!$A$2:$A$2000,0)),"")</f>
        <v/>
      </c>
      <c r="R98" s="257" t="str">
        <f>IFERROR(IF(Q98&gt;0,Q98-(TBIcalc!$Q$9),""),"")</f>
        <v/>
      </c>
      <c r="S98" s="268" t="str">
        <f>IFERROR(INDEX('Ashed teabags dry'!$K$2:$K$2000,MATCH(L98,'Ashed teabags dry'!$A$2:$A$2000,0)),"")</f>
        <v/>
      </c>
      <c r="T98" s="268" t="str">
        <f t="shared" si="7"/>
        <v/>
      </c>
      <c r="U98" s="258">
        <f>IF('Dry_Litterbag Placem_Collection'!E99="","",'Dry_Litterbag Placem_Collection'!E99)</f>
        <v>42939</v>
      </c>
      <c r="V98" s="258">
        <f>IF('Dry_Litterbag Placem_Collection'!G99="","",'Dry_Litterbag Placem_Collection'!G99)</f>
        <v>43010</v>
      </c>
      <c r="W98" s="259">
        <f t="shared" si="5"/>
        <v>71</v>
      </c>
      <c r="X98" s="257" t="str">
        <f t="shared" si="8"/>
        <v/>
      </c>
      <c r="Y98" s="257" t="str">
        <f t="shared" si="9"/>
        <v/>
      </c>
      <c r="Z98" s="261">
        <f>IFERROR(INDEX([3]Rainfall_Dry!$O$2:$O$217,MATCH(C98, [3]Rainfall_Dry!$A$2:$A$217,0)),"")</f>
        <v>137.19979645800001</v>
      </c>
      <c r="AA98" s="250">
        <v>45.96</v>
      </c>
      <c r="AB98" s="250">
        <v>14.920000000000003</v>
      </c>
      <c r="AC98" s="250">
        <v>39.119999999999997</v>
      </c>
      <c r="AD98" s="251" t="s">
        <v>2654</v>
      </c>
      <c r="AE98" s="250">
        <v>2.0374568753080333</v>
      </c>
      <c r="AF98">
        <f>IF('WetLitterbags placem_collection'!AB99="","",'WetLitterbags placem_collection'!AB99)</f>
        <v>2.4</v>
      </c>
      <c r="AG98">
        <f>IF('WetLitterbags placem_collection'!Z99="","",'WetLitterbags placem_collection'!Z99)</f>
        <v>8.9</v>
      </c>
      <c r="AH98" s="236" t="str">
        <f>IF('WetLitterbags placem_collection'!AA99="","",'WetLitterbags placem_collection'!AA99)</f>
        <v>G</v>
      </c>
      <c r="AI98">
        <f>IF('WetLitterbags placem_collection'!AC99="","",'WetLitterbags placem_collection'!AC99)</f>
        <v>1</v>
      </c>
      <c r="AJ98">
        <f>IFERROR(AVERAGE('Dry_Litterbag Placem_Collection'!O99,'Dry_Litterbag Placem_Collection'!R99),"")</f>
        <v>6.6</v>
      </c>
      <c r="AK98" s="261">
        <f>IFERROR(AVERAGE('Dry_Litterbag Placem_Collection'!N99,'Dry_Litterbag Placem_Collection'!Q99),"")</f>
        <v>28.5</v>
      </c>
      <c r="AL98" s="260">
        <f>INDEX([2]Coordinates!$B$2:$B$197,MATCH(I98,[2]Coordinates!$J$2:$J$197,0))</f>
        <v>-2.3691620310000001</v>
      </c>
      <c r="AM98" s="260">
        <f>INDEX([2]Coordinates!$C$2:$C$197,MATCH(I98,[2]Coordinates!$J$2:$J$197,0))</f>
        <v>34.06028104</v>
      </c>
      <c r="AN98" s="260" t="str">
        <f>IF(ISNUMBER(SEARCH("C", 'Dry_Litterbag Placem_Collection'!S99)),"YES","NO")</f>
        <v>YES</v>
      </c>
      <c r="AO98" s="260" t="str">
        <f>IF(ISNUMBER(SEARCH("H", 'Dry_Litterbag Placem_Collection'!S99)),"YES","NO")</f>
        <v>YES</v>
      </c>
      <c r="AP98" s="260" t="str">
        <f>IF(ISNUMBER(SEARCH("R", 'Dry_Litterbag Placem_Collection'!S99)),"YES","NO")</f>
        <v>NO</v>
      </c>
    </row>
    <row r="99" spans="1:42" ht="15" customHeight="1">
      <c r="A99" t="s">
        <v>3248</v>
      </c>
      <c r="B99" s="252" t="s">
        <v>2643</v>
      </c>
      <c r="C99" s="253">
        <f>'Dry_Litterbag Placem_Collection'!A100</f>
        <v>98</v>
      </c>
      <c r="D99" s="253" t="str">
        <f>'Dry_Litterbag Placem_Collection'!B100</f>
        <v xml:space="preserve">Mwantimba
</v>
      </c>
      <c r="E99" s="253" t="s">
        <v>2454</v>
      </c>
      <c r="F99" s="253" t="s">
        <v>2644</v>
      </c>
      <c r="G99" s="253">
        <v>1</v>
      </c>
      <c r="H99" s="253" t="s">
        <v>3116</v>
      </c>
      <c r="I99" s="254" t="str">
        <f>'Dry_Litterbag Placem_Collection'!C100</f>
        <v>Wet_Ag1_T2</v>
      </c>
      <c r="J99" s="255" t="s">
        <v>2525</v>
      </c>
      <c r="K99" s="256" t="s">
        <v>1147</v>
      </c>
      <c r="L99" s="253" t="str">
        <f>IF(ISBLANK('Dry_Litterbag Placem_Collection'!J100),"","G"&amp;""&amp;'Dry_Litterbag Placem_Collection'!J100)</f>
        <v>G184</v>
      </c>
      <c r="M99" s="257">
        <f>IFERROR(INDEX('Green_rooibos initial weight'!$C$5:$C$2000,MATCH(L99, 'Green_rooibos initial weight'!$A$5:$A$2000,0)),"")</f>
        <v>1.925</v>
      </c>
      <c r="N99" s="257">
        <f>IFERROR(M99-(TBIcalc!$Q$9+TBIcalc!$Q$10),"")</f>
        <v>1.6752</v>
      </c>
      <c r="O99" s="378">
        <f>AVERAGE(Ashed_controlls!$K$2:$K$11)</f>
        <v>5.5147656768714146</v>
      </c>
      <c r="P99" s="257">
        <f t="shared" si="6"/>
        <v>1.5828166453810502</v>
      </c>
      <c r="Q99" s="257">
        <f>IFERROR(INDEX('Both teabags AfterDry'!$D$2:$D$2000,MATCH(L99,'Both teabags AfterDry'!$A$2:$A$2000,0)),"")</f>
        <v>0.99180000000000001</v>
      </c>
      <c r="R99" s="257">
        <f>IFERROR(IF(Q99&gt;0,Q99-(TBIcalc!$Q$9),""),"")</f>
        <v>0.84119999999999995</v>
      </c>
      <c r="S99" s="268">
        <f>IFERROR(INDEX('Ashed teabags dry'!$K$2:$K$2000,MATCH(L99,'Ashed teabags dry'!$A$2:$A$2000,0)),"")</f>
        <v>12.153918348193013</v>
      </c>
      <c r="T99" s="268">
        <f t="shared" si="7"/>
        <v>0.73896123885500031</v>
      </c>
      <c r="U99" s="258">
        <f>IF('Dry_Litterbag Placem_Collection'!E100="","",'Dry_Litterbag Placem_Collection'!E100)</f>
        <v>42939</v>
      </c>
      <c r="V99" s="258">
        <f>IF('Dry_Litterbag Placem_Collection'!G100="","",'Dry_Litterbag Placem_Collection'!G100)</f>
        <v>43010</v>
      </c>
      <c r="W99" s="259">
        <f t="shared" si="5"/>
        <v>71</v>
      </c>
      <c r="X99" s="257">
        <f t="shared" si="8"/>
        <v>0.83400000000000007</v>
      </c>
      <c r="Y99" s="257">
        <f t="shared" si="9"/>
        <v>0.84385540652604984</v>
      </c>
      <c r="Z99" s="261">
        <f>IFERROR(INDEX([3]Rainfall_Dry!$O$2:$O$217,MATCH(C99, [3]Rainfall_Dry!$A$2:$A$217,0)),"")</f>
        <v>137.19979645800001</v>
      </c>
      <c r="AA99" s="250">
        <v>45.96</v>
      </c>
      <c r="AB99" s="250">
        <v>14.920000000000003</v>
      </c>
      <c r="AC99" s="250">
        <v>39.119999999999997</v>
      </c>
      <c r="AD99" s="251" t="s">
        <v>2654</v>
      </c>
      <c r="AE99" s="250">
        <v>3.0374568753080302</v>
      </c>
      <c r="AF99">
        <f>IF('WetLitterbags placem_collection'!AB100="","",'WetLitterbags placem_collection'!AB100)</f>
        <v>7.8</v>
      </c>
      <c r="AG99">
        <f>IF('WetLitterbags placem_collection'!Z100="","",'WetLitterbags placem_collection'!Z100)</f>
        <v>4.45</v>
      </c>
      <c r="AH99" s="236" t="str">
        <f>IF('WetLitterbags placem_collection'!AA100="","",'WetLitterbags placem_collection'!AA100)</f>
        <v>G</v>
      </c>
      <c r="AI99">
        <f>IF('WetLitterbags placem_collection'!AC100="","",'WetLitterbags placem_collection'!AC100)</f>
        <v>1</v>
      </c>
      <c r="AJ99">
        <f>IFERROR(AVERAGE('Dry_Litterbag Placem_Collection'!O100,'Dry_Litterbag Placem_Collection'!R100),"")</f>
        <v>7.25</v>
      </c>
      <c r="AK99" s="261">
        <f>IFERROR(AVERAGE('Dry_Litterbag Placem_Collection'!N100,'Dry_Litterbag Placem_Collection'!Q100),"")</f>
        <v>29.3</v>
      </c>
      <c r="AL99" s="260">
        <f>INDEX([2]Coordinates!$B$2:$B$197,MATCH(I99,[2]Coordinates!$J$2:$J$197,0))</f>
        <v>-2.3692249790000002</v>
      </c>
      <c r="AM99" s="260">
        <f>INDEX([2]Coordinates!$C$2:$C$197,MATCH(I99,[2]Coordinates!$J$2:$J$197,0))</f>
        <v>34.060285989999997</v>
      </c>
      <c r="AN99" s="260" t="str">
        <f>IF(ISNUMBER(SEARCH("C", 'Dry_Litterbag Placem_Collection'!S100)),"YES","NO")</f>
        <v>YES</v>
      </c>
      <c r="AO99" s="260" t="str">
        <f>IF(ISNUMBER(SEARCH("H", 'Dry_Litterbag Placem_Collection'!S100)),"YES","NO")</f>
        <v>YES</v>
      </c>
      <c r="AP99" s="260" t="str">
        <f>IF(ISNUMBER(SEARCH("R", 'Dry_Litterbag Placem_Collection'!S100)),"YES","NO")</f>
        <v>NO</v>
      </c>
    </row>
    <row r="100" spans="1:42" ht="15" customHeight="1">
      <c r="A100" t="s">
        <v>3248</v>
      </c>
      <c r="B100" s="252" t="s">
        <v>2643</v>
      </c>
      <c r="C100" s="253">
        <f>'Dry_Litterbag Placem_Collection'!A101</f>
        <v>99</v>
      </c>
      <c r="D100" s="253" t="str">
        <f>'Dry_Litterbag Placem_Collection'!B101</f>
        <v xml:space="preserve">Mwantimba
</v>
      </c>
      <c r="E100" s="253" t="s">
        <v>2454</v>
      </c>
      <c r="F100" s="253" t="s">
        <v>2644</v>
      </c>
      <c r="G100" s="253">
        <v>1</v>
      </c>
      <c r="H100" s="253" t="s">
        <v>3116</v>
      </c>
      <c r="I100" s="254" t="str">
        <f>'Dry_Litterbag Placem_Collection'!C101</f>
        <v>Wet_Ag1_T3</v>
      </c>
      <c r="J100" s="255" t="s">
        <v>2525</v>
      </c>
      <c r="K100" s="256" t="s">
        <v>1147</v>
      </c>
      <c r="L100" s="253" t="str">
        <f>IF(ISBLANK('Dry_Litterbag Placem_Collection'!J101),"","G"&amp;""&amp;'Dry_Litterbag Placem_Collection'!J101)</f>
        <v/>
      </c>
      <c r="M100" s="257" t="str">
        <f>IFERROR(INDEX('Green_rooibos initial weight'!$C$5:$C$2000,MATCH(L100, 'Green_rooibos initial weight'!$A$5:$A$2000,0)),"")</f>
        <v/>
      </c>
      <c r="N100" s="257" t="str">
        <f>IFERROR(M100-(TBIcalc!$Q$9+TBIcalc!$Q$10),"")</f>
        <v/>
      </c>
      <c r="O100" s="378">
        <f>AVERAGE(Ashed_controlls!$K$2:$K$11)</f>
        <v>5.5147656768714146</v>
      </c>
      <c r="P100" s="257" t="str">
        <f t="shared" si="6"/>
        <v/>
      </c>
      <c r="Q100" s="257" t="str">
        <f>IFERROR(INDEX('Both teabags AfterDry'!$D$2:$D$2000,MATCH(L100,'Both teabags AfterDry'!$A$2:$A$2000,0)),"")</f>
        <v/>
      </c>
      <c r="R100" s="257" t="str">
        <f>IFERROR(IF(Q100&gt;0,Q100-(TBIcalc!$Q$9),""),"")</f>
        <v/>
      </c>
      <c r="S100" s="268" t="str">
        <f>IFERROR(INDEX('Ashed teabags dry'!$K$2:$K$2000,MATCH(L100,'Ashed teabags dry'!$A$2:$A$2000,0)),"")</f>
        <v/>
      </c>
      <c r="T100" s="268" t="str">
        <f t="shared" si="7"/>
        <v/>
      </c>
      <c r="U100" s="258" t="str">
        <f>IF('Dry_Litterbag Placem_Collection'!E101="","",'Dry_Litterbag Placem_Collection'!E101)</f>
        <v/>
      </c>
      <c r="V100" s="258" t="str">
        <f>IF('Dry_Litterbag Placem_Collection'!G101="","",'Dry_Litterbag Placem_Collection'!G101)</f>
        <v/>
      </c>
      <c r="W100" s="259" t="str">
        <f t="shared" si="5"/>
        <v/>
      </c>
      <c r="X100" s="257" t="str">
        <f t="shared" si="8"/>
        <v/>
      </c>
      <c r="Y100" s="257" t="str">
        <f t="shared" si="9"/>
        <v/>
      </c>
      <c r="Z100" s="261" t="str">
        <f>IFERROR(INDEX([3]Rainfall_Dry!$O$2:$O$217,MATCH(C100, [3]Rainfall_Dry!$A$2:$A$217,0)),"")</f>
        <v/>
      </c>
      <c r="AA100" s="250">
        <v>45.96</v>
      </c>
      <c r="AB100" s="250">
        <v>14.920000000000003</v>
      </c>
      <c r="AC100" s="250">
        <v>39.119999999999997</v>
      </c>
      <c r="AD100" s="251" t="s">
        <v>2654</v>
      </c>
      <c r="AE100" s="250">
        <v>4.0374568753080302</v>
      </c>
      <c r="AF100">
        <f>IF('WetLitterbags placem_collection'!AB101="","",'WetLitterbags placem_collection'!AB101)</f>
        <v>5.0999999999999996</v>
      </c>
      <c r="AG100">
        <f>IF('WetLitterbags placem_collection'!Z101="","",'WetLitterbags placem_collection'!Z101)</f>
        <v>2.2999999999999998</v>
      </c>
      <c r="AH100" s="236" t="str">
        <f>IF('WetLitterbags placem_collection'!AA101="","",'WetLitterbags placem_collection'!AA101)</f>
        <v>G</v>
      </c>
      <c r="AI100">
        <f>IF('WetLitterbags placem_collection'!AC101="","",'WetLitterbags placem_collection'!AC101)</f>
        <v>0</v>
      </c>
      <c r="AJ100" t="str">
        <f>IFERROR(AVERAGE('Dry_Litterbag Placem_Collection'!O101,'Dry_Litterbag Placem_Collection'!R101),"")</f>
        <v/>
      </c>
      <c r="AK100" s="261" t="str">
        <f>IFERROR(AVERAGE('Dry_Litterbag Placem_Collection'!N101,'Dry_Litterbag Placem_Collection'!Q101),"")</f>
        <v/>
      </c>
      <c r="AL100" s="260">
        <f>INDEX([2]Coordinates!$B$2:$B$197,MATCH(I100,[2]Coordinates!$J$2:$J$197,0))</f>
        <v>-2.369284993</v>
      </c>
      <c r="AM100" s="260">
        <f>INDEX([2]Coordinates!$C$2:$C$197,MATCH(I100,[2]Coordinates!$J$2:$J$197,0))</f>
        <v>34.06028104</v>
      </c>
      <c r="AN100" s="260" t="str">
        <f>IF(ISNUMBER(SEARCH("C", 'Dry_Litterbag Placem_Collection'!S101)),"YES","NO")</f>
        <v>NO</v>
      </c>
      <c r="AO100" s="260" t="str">
        <f>IF(ISNUMBER(SEARCH("H", 'Dry_Litterbag Placem_Collection'!S101)),"YES","NO")</f>
        <v>NO</v>
      </c>
      <c r="AP100" s="260" t="str">
        <f>IF(ISNUMBER(SEARCH("R", 'Dry_Litterbag Placem_Collection'!S101)),"YES","NO")</f>
        <v>NO</v>
      </c>
    </row>
    <row r="101" spans="1:42" ht="15" customHeight="1">
      <c r="A101" t="s">
        <v>3248</v>
      </c>
      <c r="B101" s="252" t="s">
        <v>2643</v>
      </c>
      <c r="C101" s="253">
        <f>'Dry_Litterbag Placem_Collection'!A102</f>
        <v>100</v>
      </c>
      <c r="D101" s="253" t="str">
        <f>'Dry_Litterbag Placem_Collection'!B102</f>
        <v xml:space="preserve">Mwantimba
</v>
      </c>
      <c r="E101" s="253" t="s">
        <v>2454</v>
      </c>
      <c r="F101" s="253" t="s">
        <v>2644</v>
      </c>
      <c r="G101" s="253">
        <v>1</v>
      </c>
      <c r="H101" s="253" t="s">
        <v>3116</v>
      </c>
      <c r="I101" s="254" t="str">
        <f>'Dry_Litterbag Placem_Collection'!C102</f>
        <v>Wet_Ag1_T4</v>
      </c>
      <c r="J101" s="255" t="s">
        <v>2525</v>
      </c>
      <c r="K101" s="256" t="s">
        <v>1147</v>
      </c>
      <c r="L101" s="253" t="str">
        <f>IF(ISBLANK('Dry_Litterbag Placem_Collection'!J102),"","G"&amp;""&amp;'Dry_Litterbag Placem_Collection'!J102)</f>
        <v>G176</v>
      </c>
      <c r="M101" s="257">
        <f>IFERROR(INDEX('Green_rooibos initial weight'!$C$5:$C$2000,MATCH(L101, 'Green_rooibos initial weight'!$A$5:$A$2000,0)),"")</f>
        <v>2.0590000000000002</v>
      </c>
      <c r="N101" s="257">
        <f>IFERROR(M101-(TBIcalc!$Q$9+TBIcalc!$Q$10),"")</f>
        <v>1.8092000000000001</v>
      </c>
      <c r="O101" s="378">
        <f>AVERAGE(Ashed_controlls!$K$2:$K$11)</f>
        <v>5.5147656768714146</v>
      </c>
      <c r="P101" s="257">
        <f t="shared" si="6"/>
        <v>1.7094268593740425</v>
      </c>
      <c r="Q101" s="257">
        <f>IFERROR(INDEX('Both teabags AfterDry'!$D$2:$D$2000,MATCH(L101,'Both teabags AfterDry'!$A$2:$A$2000,0)),"")</f>
        <v>1.3146</v>
      </c>
      <c r="R101" s="257">
        <f>IFERROR(IF(Q101&gt;0,Q101-(TBIcalc!$Q$9),""),"")</f>
        <v>1.1639999999999999</v>
      </c>
      <c r="S101" s="268">
        <f>IFERROR(INDEX('Ashed teabags dry'!$K$2:$K$2000,MATCH(L101,'Ashed teabags dry'!$A$2:$A$2000,0)),"")</f>
        <v>14.190157668418236</v>
      </c>
      <c r="T101" s="268">
        <f t="shared" si="7"/>
        <v>0.99882656473961173</v>
      </c>
      <c r="U101" s="258">
        <f>IF('Dry_Litterbag Placem_Collection'!E102="","",'Dry_Litterbag Placem_Collection'!E102)</f>
        <v>42939</v>
      </c>
      <c r="V101" s="258">
        <f>IF('Dry_Litterbag Placem_Collection'!G102="","",'Dry_Litterbag Placem_Collection'!G102)</f>
        <v>43010</v>
      </c>
      <c r="W101" s="259">
        <f t="shared" si="5"/>
        <v>71</v>
      </c>
      <c r="X101" s="257">
        <f t="shared" si="8"/>
        <v>0.64520000000000022</v>
      </c>
      <c r="Y101" s="257">
        <f t="shared" si="9"/>
        <v>0.71060029463443075</v>
      </c>
      <c r="Z101" s="261">
        <f>IFERROR(INDEX([3]Rainfall_Dry!$O$2:$O$217,MATCH(C101, [3]Rainfall_Dry!$A$2:$A$217,0)),"")</f>
        <v>137.19979645800001</v>
      </c>
      <c r="AA101" s="250">
        <v>45.96</v>
      </c>
      <c r="AB101" s="250">
        <v>14.920000000000003</v>
      </c>
      <c r="AC101" s="250">
        <v>39.119999999999997</v>
      </c>
      <c r="AD101" s="251" t="s">
        <v>2654</v>
      </c>
      <c r="AE101" s="250">
        <v>5.0374568753080302</v>
      </c>
      <c r="AF101">
        <f>IF('WetLitterbags placem_collection'!AB102="","",'WetLitterbags placem_collection'!AB102)</f>
        <v>1.6</v>
      </c>
      <c r="AG101">
        <f>IF('WetLitterbags placem_collection'!Z102="","",'WetLitterbags placem_collection'!Z102)</f>
        <v>15</v>
      </c>
      <c r="AH101" s="236" t="str">
        <f>IF('WetLitterbags placem_collection'!AA102="","",'WetLitterbags placem_collection'!AA102)</f>
        <v>G</v>
      </c>
      <c r="AI101">
        <f>IF('WetLitterbags placem_collection'!AC102="","",'WetLitterbags placem_collection'!AC102)</f>
        <v>1</v>
      </c>
      <c r="AJ101">
        <f>IFERROR(AVERAGE('Dry_Litterbag Placem_Collection'!O102,'Dry_Litterbag Placem_Collection'!R102),"")</f>
        <v>6.75</v>
      </c>
      <c r="AK101" s="261">
        <f>IFERROR(AVERAGE('Dry_Litterbag Placem_Collection'!N102,'Dry_Litterbag Placem_Collection'!Q102),"")</f>
        <v>29.1</v>
      </c>
      <c r="AL101" s="260">
        <f>INDEX([2]Coordinates!$B$2:$B$197,MATCH(I101,[2]Coordinates!$J$2:$J$197,0))</f>
        <v>-2.3691989950000001</v>
      </c>
      <c r="AM101" s="260">
        <f>INDEX([2]Coordinates!$C$2:$C$197,MATCH(I101,[2]Coordinates!$J$2:$J$197,0))</f>
        <v>34.060208029999998</v>
      </c>
      <c r="AN101" s="260" t="str">
        <f>IF(ISNUMBER(SEARCH("C", 'Dry_Litterbag Placem_Collection'!S102)),"YES","NO")</f>
        <v>YES</v>
      </c>
      <c r="AO101" s="260" t="str">
        <f>IF(ISNUMBER(SEARCH("H", 'Dry_Litterbag Placem_Collection'!S102)),"YES","NO")</f>
        <v>YES</v>
      </c>
      <c r="AP101" s="260" t="str">
        <f>IF(ISNUMBER(SEARCH("R", 'Dry_Litterbag Placem_Collection'!S102)),"YES","NO")</f>
        <v>NO</v>
      </c>
    </row>
    <row r="102" spans="1:42" ht="15" customHeight="1">
      <c r="A102" t="s">
        <v>3248</v>
      </c>
      <c r="B102" s="252" t="s">
        <v>2643</v>
      </c>
      <c r="C102" s="253">
        <f>'Dry_Litterbag Placem_Collection'!A103</f>
        <v>101</v>
      </c>
      <c r="D102" s="253" t="str">
        <f>'Dry_Litterbag Placem_Collection'!B103</f>
        <v xml:space="preserve">Mwantimba
</v>
      </c>
      <c r="E102" s="253" t="s">
        <v>2454</v>
      </c>
      <c r="F102" s="253" t="s">
        <v>2644</v>
      </c>
      <c r="G102" s="253">
        <v>1</v>
      </c>
      <c r="H102" s="253" t="s">
        <v>3116</v>
      </c>
      <c r="I102" s="254" t="str">
        <f>'Dry_Litterbag Placem_Collection'!C103</f>
        <v>Wet_Ag1_T5</v>
      </c>
      <c r="J102" s="255" t="s">
        <v>2525</v>
      </c>
      <c r="K102" s="256" t="s">
        <v>1147</v>
      </c>
      <c r="L102" s="253" t="str">
        <f>IF(ISBLANK('Dry_Litterbag Placem_Collection'!J103),"","G"&amp;""&amp;'Dry_Litterbag Placem_Collection'!J103)</f>
        <v>G11</v>
      </c>
      <c r="M102" s="257">
        <f>IFERROR(INDEX('Green_rooibos initial weight'!$C$5:$C$2000,MATCH(L102, 'Green_rooibos initial weight'!$A$5:$A$2000,0)),"")</f>
        <v>1.839</v>
      </c>
      <c r="N102" s="257">
        <f>IFERROR(M102-(TBIcalc!$Q$9+TBIcalc!$Q$10),"")</f>
        <v>1.5891999999999999</v>
      </c>
      <c r="O102" s="378">
        <f>AVERAGE(Ashed_controlls!$K$2:$K$11)</f>
        <v>5.5147656768714146</v>
      </c>
      <c r="P102" s="257">
        <f t="shared" si="6"/>
        <v>1.5015593438631594</v>
      </c>
      <c r="Q102" s="257">
        <f>IFERROR(INDEX('Both teabags AfterDry'!$D$2:$D$2000,MATCH(L102,'Both teabags AfterDry'!$A$2:$A$2000,0)),"")</f>
        <v>1.0169999999999999</v>
      </c>
      <c r="R102" s="257">
        <f>IFERROR(IF(Q102&gt;0,Q102-(TBIcalc!$Q$9),""),"")</f>
        <v>0.86639999999999984</v>
      </c>
      <c r="S102" s="268">
        <f>IFERROR(INDEX('Ashed teabags dry'!$K$2:$K$2000,MATCH(L102,'Ashed teabags dry'!$A$2:$A$2000,0)),"")</f>
        <v>15.774099318403096</v>
      </c>
      <c r="T102" s="268">
        <f t="shared" si="7"/>
        <v>0.72973320350535542</v>
      </c>
      <c r="U102" s="258">
        <f>IF('Dry_Litterbag Placem_Collection'!E103="","",'Dry_Litterbag Placem_Collection'!E103)</f>
        <v>42939</v>
      </c>
      <c r="V102" s="258">
        <f>IF('Dry_Litterbag Placem_Collection'!G103="","",'Dry_Litterbag Placem_Collection'!G103)</f>
        <v>43010</v>
      </c>
      <c r="W102" s="259">
        <f t="shared" si="5"/>
        <v>71</v>
      </c>
      <c r="X102" s="257">
        <f t="shared" si="8"/>
        <v>0.72280000000000011</v>
      </c>
      <c r="Y102" s="257">
        <f t="shared" si="9"/>
        <v>0.77182614035780395</v>
      </c>
      <c r="Z102" s="261">
        <f>IFERROR(INDEX([3]Rainfall_Dry!$O$2:$O$217,MATCH(C102, [3]Rainfall_Dry!$A$2:$A$217,0)),"")</f>
        <v>137.19979645800001</v>
      </c>
      <c r="AA102" s="250">
        <v>45.96</v>
      </c>
      <c r="AB102" s="250">
        <v>14.920000000000003</v>
      </c>
      <c r="AC102" s="250">
        <v>39.119999999999997</v>
      </c>
      <c r="AD102" s="251" t="s">
        <v>2654</v>
      </c>
      <c r="AE102" s="250">
        <v>6.0374568753080302</v>
      </c>
      <c r="AF102">
        <f>IF('WetLitterbags placem_collection'!AB103="","",'WetLitterbags placem_collection'!AB103)</f>
        <v>4.3499999999999996</v>
      </c>
      <c r="AG102">
        <f>IF('WetLitterbags placem_collection'!Z103="","",'WetLitterbags placem_collection'!Z103)</f>
        <v>17</v>
      </c>
      <c r="AH102" s="236" t="str">
        <f>IF('WetLitterbags placem_collection'!AA103="","",'WetLitterbags placem_collection'!AA103)</f>
        <v>G</v>
      </c>
      <c r="AI102">
        <f>IF('WetLitterbags placem_collection'!AC103="","",'WetLitterbags placem_collection'!AC103)</f>
        <v>1</v>
      </c>
      <c r="AJ102">
        <f>IFERROR(AVERAGE('Dry_Litterbag Placem_Collection'!O103,'Dry_Litterbag Placem_Collection'!R103),"")</f>
        <v>7.75</v>
      </c>
      <c r="AK102" s="261">
        <f>IFERROR(AVERAGE('Dry_Litterbag Placem_Collection'!N103,'Dry_Litterbag Placem_Collection'!Q103),"")</f>
        <v>29.549999999999997</v>
      </c>
      <c r="AL102" s="260">
        <f>INDEX([2]Coordinates!$B$2:$B$197,MATCH(I102,[2]Coordinates!$J$2:$J$197,0))</f>
        <v>-2.3691900260000001</v>
      </c>
      <c r="AM102" s="260">
        <f>INDEX([2]Coordinates!$C$2:$C$197,MATCH(I102,[2]Coordinates!$J$2:$J$197,0))</f>
        <v>34.060177019999998</v>
      </c>
      <c r="AN102" s="260" t="str">
        <f>IF(ISNUMBER(SEARCH("C", 'Dry_Litterbag Placem_Collection'!S103)),"YES","NO")</f>
        <v>YES</v>
      </c>
      <c r="AO102" s="260" t="str">
        <f>IF(ISNUMBER(SEARCH("H", 'Dry_Litterbag Placem_Collection'!S103)),"YES","NO")</f>
        <v>NO</v>
      </c>
      <c r="AP102" s="260" t="str">
        <f>IF(ISNUMBER(SEARCH("R", 'Dry_Litterbag Placem_Collection'!S103)),"YES","NO")</f>
        <v>NO</v>
      </c>
    </row>
    <row r="103" spans="1:42" ht="15" customHeight="1">
      <c r="A103" t="s">
        <v>3248</v>
      </c>
      <c r="B103" s="252" t="s">
        <v>2643</v>
      </c>
      <c r="C103" s="253">
        <f>'Dry_Litterbag Placem_Collection'!A104</f>
        <v>102</v>
      </c>
      <c r="D103" s="253" t="str">
        <f>'Dry_Litterbag Placem_Collection'!B104</f>
        <v xml:space="preserve">Mwantimba
</v>
      </c>
      <c r="E103" s="253" t="s">
        <v>2454</v>
      </c>
      <c r="F103" s="253" t="s">
        <v>2644</v>
      </c>
      <c r="G103" s="253">
        <v>1</v>
      </c>
      <c r="H103" s="253" t="s">
        <v>3116</v>
      </c>
      <c r="I103" s="254" t="str">
        <f>'Dry_Litterbag Placem_Collection'!C104</f>
        <v>Wet_Ag1_T6</v>
      </c>
      <c r="J103" s="255" t="s">
        <v>2525</v>
      </c>
      <c r="K103" s="256" t="s">
        <v>1147</v>
      </c>
      <c r="L103" s="253" t="str">
        <f>IF(ISBLANK('Dry_Litterbag Placem_Collection'!J104),"","G"&amp;""&amp;'Dry_Litterbag Placem_Collection'!J104)</f>
        <v>G284</v>
      </c>
      <c r="M103" s="257">
        <f>IFERROR(INDEX('Green_rooibos initial weight'!$C$5:$C$2000,MATCH(L103, 'Green_rooibos initial weight'!$A$5:$A$2000,0)),"")</f>
        <v>2.0760000000000001</v>
      </c>
      <c r="N103" s="257">
        <f>IFERROR(M103-(TBIcalc!$Q$9+TBIcalc!$Q$10),"")</f>
        <v>1.8262</v>
      </c>
      <c r="O103" s="378">
        <f>AVERAGE(Ashed_controlls!$K$2:$K$11)</f>
        <v>5.5147656768714146</v>
      </c>
      <c r="P103" s="257">
        <f t="shared" si="6"/>
        <v>1.7254893492089742</v>
      </c>
      <c r="Q103" s="257">
        <f>IFERROR(INDEX('Both teabags AfterDry'!$D$2:$D$2000,MATCH(L103,'Both teabags AfterDry'!$A$2:$A$2000,0)),"")</f>
        <v>1.1585000000000001</v>
      </c>
      <c r="R103" s="257">
        <f>IFERROR(IF(Q103&gt;0,Q103-(TBIcalc!$Q$9),""),"")</f>
        <v>1.0079</v>
      </c>
      <c r="S103" s="268">
        <f>IFERROR(INDEX('Ashed teabags dry'!$K$2:$K$2000,MATCH(L103,'Ashed teabags dry'!$A$2:$A$2000,0)),"")</f>
        <v>12.200736648250626</v>
      </c>
      <c r="T103" s="268">
        <f t="shared" si="7"/>
        <v>0.88492877532228198</v>
      </c>
      <c r="U103" s="258">
        <f>IF('Dry_Litterbag Placem_Collection'!E104="","",'Dry_Litterbag Placem_Collection'!E104)</f>
        <v>42939</v>
      </c>
      <c r="V103" s="258">
        <f>IF('Dry_Litterbag Placem_Collection'!G104="","",'Dry_Litterbag Placem_Collection'!G104)</f>
        <v>43010</v>
      </c>
      <c r="W103" s="259">
        <f t="shared" si="5"/>
        <v>71</v>
      </c>
      <c r="X103" s="257">
        <f t="shared" si="8"/>
        <v>0.81830000000000003</v>
      </c>
      <c r="Y103" s="257">
        <f t="shared" si="9"/>
        <v>0.84056057388669225</v>
      </c>
      <c r="Z103" s="261">
        <f>IFERROR(INDEX([3]Rainfall_Dry!$O$2:$O$217,MATCH(C103, [3]Rainfall_Dry!$A$2:$A$217,0)),"")</f>
        <v>137.19979645800001</v>
      </c>
      <c r="AA103" s="250">
        <v>45.96</v>
      </c>
      <c r="AB103" s="250">
        <v>14.920000000000003</v>
      </c>
      <c r="AC103" s="250">
        <v>39.119999999999997</v>
      </c>
      <c r="AD103" s="251" t="s">
        <v>2654</v>
      </c>
      <c r="AE103" s="250">
        <v>7.0374568753080302</v>
      </c>
      <c r="AF103">
        <f>IF('WetLitterbags placem_collection'!AB104="","",'WetLitterbags placem_collection'!AB104)</f>
        <v>7.7</v>
      </c>
      <c r="AG103">
        <f>IF('WetLitterbags placem_collection'!Z104="","",'WetLitterbags placem_collection'!Z104)</f>
        <v>21</v>
      </c>
      <c r="AH103" s="236" t="str">
        <f>IF('WetLitterbags placem_collection'!AA104="","",'WetLitterbags placem_collection'!AA104)</f>
        <v>G</v>
      </c>
      <c r="AI103">
        <f>IF('WetLitterbags placem_collection'!AC104="","",'WetLitterbags placem_collection'!AC104)</f>
        <v>1</v>
      </c>
      <c r="AJ103">
        <f>IFERROR(AVERAGE('Dry_Litterbag Placem_Collection'!O104,'Dry_Litterbag Placem_Collection'!R104),"")</f>
        <v>7.3000000000000007</v>
      </c>
      <c r="AK103" s="261">
        <f>IFERROR(AVERAGE('Dry_Litterbag Placem_Collection'!N104,'Dry_Litterbag Placem_Collection'!Q104),"")</f>
        <v>29.05</v>
      </c>
      <c r="AL103" s="260">
        <f>INDEX([2]Coordinates!$B$2:$B$197,MATCH(I103,[2]Coordinates!$J$2:$J$197,0))</f>
        <v>-2.3691350409999998</v>
      </c>
      <c r="AM103" s="260">
        <f>INDEX([2]Coordinates!$C$2:$C$197,MATCH(I103,[2]Coordinates!$J$2:$J$197,0))</f>
        <v>34.06018297</v>
      </c>
      <c r="AN103" s="260" t="str">
        <f>IF(ISNUMBER(SEARCH("C", 'Dry_Litterbag Placem_Collection'!S104)),"YES","NO")</f>
        <v>YES</v>
      </c>
      <c r="AO103" s="260" t="str">
        <f>IF(ISNUMBER(SEARCH("H", 'Dry_Litterbag Placem_Collection'!S104)),"YES","NO")</f>
        <v>YES</v>
      </c>
      <c r="AP103" s="260" t="str">
        <f>IF(ISNUMBER(SEARCH("R", 'Dry_Litterbag Placem_Collection'!S104)),"YES","NO")</f>
        <v>NO</v>
      </c>
    </row>
    <row r="104" spans="1:42" ht="15" customHeight="1">
      <c r="A104" t="s">
        <v>3248</v>
      </c>
      <c r="B104" s="252" t="s">
        <v>2643</v>
      </c>
      <c r="C104" s="253">
        <f>'Dry_Litterbag Placem_Collection'!A105</f>
        <v>103</v>
      </c>
      <c r="D104" s="253" t="str">
        <f>'Dry_Litterbag Placem_Collection'!B105</f>
        <v xml:space="preserve">Mwantimba
</v>
      </c>
      <c r="E104" s="253" t="s">
        <v>2454</v>
      </c>
      <c r="F104" s="253" t="s">
        <v>2644</v>
      </c>
      <c r="G104" s="253">
        <v>1</v>
      </c>
      <c r="H104" s="253" t="s">
        <v>3116</v>
      </c>
      <c r="I104" s="254" t="str">
        <f>'Dry_Litterbag Placem_Collection'!C105</f>
        <v>Wet_Ag1_T7</v>
      </c>
      <c r="J104" s="255" t="s">
        <v>2525</v>
      </c>
      <c r="K104" s="256" t="s">
        <v>1147</v>
      </c>
      <c r="L104" s="253" t="str">
        <f>IF(ISBLANK('Dry_Litterbag Placem_Collection'!J105),"","G"&amp;""&amp;'Dry_Litterbag Placem_Collection'!J105)</f>
        <v>G326</v>
      </c>
      <c r="M104" s="257">
        <f>IFERROR(INDEX('Green_rooibos initial weight'!$C$5:$C$2000,MATCH(L104, 'Green_rooibos initial weight'!$A$5:$A$2000,0)),"")</f>
        <v>2.04</v>
      </c>
      <c r="N104" s="257">
        <f>IFERROR(M104-(TBIcalc!$Q$9+TBIcalc!$Q$10),"")</f>
        <v>1.7902</v>
      </c>
      <c r="O104" s="378">
        <f>AVERAGE(Ashed_controlls!$K$2:$K$11)</f>
        <v>5.5147656768714146</v>
      </c>
      <c r="P104" s="257">
        <f t="shared" si="6"/>
        <v>1.691474664852648</v>
      </c>
      <c r="Q104" s="257">
        <f>IFERROR(INDEX('Both teabags AfterDry'!$D$2:$D$2000,MATCH(L104,'Both teabags AfterDry'!$A$2:$A$2000,0)),"")</f>
        <v>1.0625</v>
      </c>
      <c r="R104" s="257">
        <f>IFERROR(IF(Q104&gt;0,Q104-(TBIcalc!$Q$9),""),"")</f>
        <v>0.91189999999999993</v>
      </c>
      <c r="S104" s="268">
        <f>IFERROR(INDEX('Ashed teabags dry'!$K$2:$K$2000,MATCH(L104,'Ashed teabags dry'!$A$2:$A$2000,0)),"")</f>
        <v>16.846473029045587</v>
      </c>
      <c r="T104" s="268">
        <f t="shared" si="7"/>
        <v>0.75827701244813328</v>
      </c>
      <c r="U104" s="258">
        <f>IF('Dry_Litterbag Placem_Collection'!E105="","",'Dry_Litterbag Placem_Collection'!E105)</f>
        <v>42939</v>
      </c>
      <c r="V104" s="258">
        <f>IF('Dry_Litterbag Placem_Collection'!G105="","",'Dry_Litterbag Placem_Collection'!G105)</f>
        <v>43010</v>
      </c>
      <c r="W104" s="259">
        <f t="shared" si="5"/>
        <v>71</v>
      </c>
      <c r="X104" s="257">
        <f t="shared" si="8"/>
        <v>0.87830000000000008</v>
      </c>
      <c r="Y104" s="257">
        <f t="shared" si="9"/>
        <v>0.93319765240451469</v>
      </c>
      <c r="Z104" s="261">
        <f>IFERROR(INDEX([3]Rainfall_Dry!$O$2:$O$217,MATCH(C104, [3]Rainfall_Dry!$A$2:$A$217,0)),"")</f>
        <v>137.19979645800001</v>
      </c>
      <c r="AA104" s="250">
        <v>45.96</v>
      </c>
      <c r="AB104" s="250">
        <v>14.920000000000003</v>
      </c>
      <c r="AC104" s="250">
        <v>39.119999999999997</v>
      </c>
      <c r="AD104" s="251" t="s">
        <v>2654</v>
      </c>
      <c r="AE104" s="250">
        <v>8.0374568753080293</v>
      </c>
      <c r="AF104">
        <f>IF('WetLitterbags placem_collection'!AB105="","",'WetLitterbags placem_collection'!AB105)</f>
        <v>3.25</v>
      </c>
      <c r="AG104">
        <f>IF('WetLitterbags placem_collection'!Z105="","",'WetLitterbags placem_collection'!Z105)</f>
        <v>16</v>
      </c>
      <c r="AH104" s="236" t="str">
        <f>IF('WetLitterbags placem_collection'!AA105="","",'WetLitterbags placem_collection'!AA105)</f>
        <v>G</v>
      </c>
      <c r="AI104">
        <f>IF('WetLitterbags placem_collection'!AC105="","",'WetLitterbags placem_collection'!AC105)</f>
        <v>1</v>
      </c>
      <c r="AJ104">
        <f>IFERROR(AVERAGE('Dry_Litterbag Placem_Collection'!O105,'Dry_Litterbag Placem_Collection'!R105),"")</f>
        <v>30.9</v>
      </c>
      <c r="AK104" s="261">
        <f>IFERROR(AVERAGE('Dry_Litterbag Placem_Collection'!N105,'Dry_Litterbag Placem_Collection'!Q105),"")</f>
        <v>28.799999999999997</v>
      </c>
      <c r="AL104" s="260">
        <f>INDEX([2]Coordinates!$B$2:$B$197,MATCH(I104,[2]Coordinates!$J$2:$J$197,0))</f>
        <v>-2.3691330289999999</v>
      </c>
      <c r="AM104" s="260">
        <f>INDEX([2]Coordinates!$C$2:$C$197,MATCH(I104,[2]Coordinates!$J$2:$J$197,0))</f>
        <v>34.060233009999997</v>
      </c>
      <c r="AN104" s="260" t="str">
        <f>IF(ISNUMBER(SEARCH("C", 'Dry_Litterbag Placem_Collection'!S105)),"YES","NO")</f>
        <v>YES</v>
      </c>
      <c r="AO104" s="260" t="str">
        <f>IF(ISNUMBER(SEARCH("H", 'Dry_Litterbag Placem_Collection'!S105)),"YES","NO")</f>
        <v>YES</v>
      </c>
      <c r="AP104" s="260" t="str">
        <f>IF(ISNUMBER(SEARCH("R", 'Dry_Litterbag Placem_Collection'!S105)),"YES","NO")</f>
        <v>NO</v>
      </c>
    </row>
    <row r="105" spans="1:42" ht="15" customHeight="1">
      <c r="A105" t="s">
        <v>3248</v>
      </c>
      <c r="B105" s="252" t="s">
        <v>2643</v>
      </c>
      <c r="C105" s="253">
        <f>'Dry_Litterbag Placem_Collection'!A106</f>
        <v>104</v>
      </c>
      <c r="D105" s="253" t="str">
        <f>'Dry_Litterbag Placem_Collection'!B106</f>
        <v xml:space="preserve">Mwantimba
</v>
      </c>
      <c r="E105" s="253" t="s">
        <v>2454</v>
      </c>
      <c r="F105" s="253" t="s">
        <v>2644</v>
      </c>
      <c r="G105" s="253">
        <v>1</v>
      </c>
      <c r="H105" s="253" t="s">
        <v>3116</v>
      </c>
      <c r="I105" s="254" t="str">
        <f>'Dry_Litterbag Placem_Collection'!C106</f>
        <v>Wet_Ag1_T8</v>
      </c>
      <c r="J105" s="255" t="s">
        <v>2525</v>
      </c>
      <c r="K105" s="256" t="s">
        <v>1147</v>
      </c>
      <c r="L105" s="253" t="str">
        <f>IF(ISBLANK('Dry_Litterbag Placem_Collection'!J106),"","G"&amp;""&amp;'Dry_Litterbag Placem_Collection'!J106)</f>
        <v>G162</v>
      </c>
      <c r="M105" s="257">
        <f>IFERROR(INDEX('Green_rooibos initial weight'!$C$5:$C$2000,MATCH(L105, 'Green_rooibos initial weight'!$A$5:$A$2000,0)),"")</f>
        <v>2.0390000000000001</v>
      </c>
      <c r="N105" s="257">
        <f>IFERROR(M105-(TBIcalc!$Q$9+TBIcalc!$Q$10),"")</f>
        <v>1.7892000000000001</v>
      </c>
      <c r="O105" s="378">
        <f>AVERAGE(Ashed_controlls!$K$2:$K$11)</f>
        <v>5.5147656768714146</v>
      </c>
      <c r="P105" s="257">
        <f t="shared" si="6"/>
        <v>1.6905298125094168</v>
      </c>
      <c r="Q105" s="257">
        <f>IFERROR(INDEX('Both teabags AfterDry'!$D$2:$D$2000,MATCH(L105,'Both teabags AfterDry'!$A$2:$A$2000,0)),"")</f>
        <v>1.4899</v>
      </c>
      <c r="R105" s="257">
        <f>IFERROR(IF(Q105&gt;0,Q105-(TBIcalc!$Q$9),""),"")</f>
        <v>1.3392999999999999</v>
      </c>
      <c r="S105" s="268">
        <f>IFERROR(INDEX('Ashed teabags dry'!$K$2:$K$2000,MATCH(L105,'Ashed teabags dry'!$A$2:$A$2000,0)),"")</f>
        <v>11.975524475524661</v>
      </c>
      <c r="T105" s="268">
        <f t="shared" si="7"/>
        <v>1.1789118006992982</v>
      </c>
      <c r="U105" s="258">
        <f>IF('Dry_Litterbag Placem_Collection'!E106="","",'Dry_Litterbag Placem_Collection'!E106)</f>
        <v>42939</v>
      </c>
      <c r="V105" s="258">
        <f>IF('Dry_Litterbag Placem_Collection'!G106="","",'Dry_Litterbag Placem_Collection'!G106)</f>
        <v>43010</v>
      </c>
      <c r="W105" s="259">
        <f t="shared" si="5"/>
        <v>71</v>
      </c>
      <c r="X105" s="257">
        <f t="shared" si="8"/>
        <v>0.44990000000000019</v>
      </c>
      <c r="Y105" s="257">
        <f t="shared" si="9"/>
        <v>0.51161801181011857</v>
      </c>
      <c r="Z105" s="261">
        <f>IFERROR(INDEX([3]Rainfall_Dry!$O$2:$O$217,MATCH(C105, [3]Rainfall_Dry!$A$2:$A$217,0)),"")</f>
        <v>137.19979645800001</v>
      </c>
      <c r="AA105" s="250">
        <v>45.96</v>
      </c>
      <c r="AB105" s="250">
        <v>14.920000000000003</v>
      </c>
      <c r="AC105" s="250">
        <v>39.119999999999997</v>
      </c>
      <c r="AD105" s="251" t="s">
        <v>2654</v>
      </c>
      <c r="AE105" s="250">
        <v>9.0374568753080293</v>
      </c>
      <c r="AF105">
        <f>IF('WetLitterbags placem_collection'!AB106="","",'WetLitterbags placem_collection'!AB106)</f>
        <v>10.5</v>
      </c>
      <c r="AG105">
        <f>IF('WetLitterbags placem_collection'!Z106="","",'WetLitterbags placem_collection'!Z106)</f>
        <v>17</v>
      </c>
      <c r="AH105" s="236" t="str">
        <f>IF('WetLitterbags placem_collection'!AA106="","",'WetLitterbags placem_collection'!AA106)</f>
        <v>G</v>
      </c>
      <c r="AI105">
        <f>IF('WetLitterbags placem_collection'!AC106="","",'WetLitterbags placem_collection'!AC106)</f>
        <v>1</v>
      </c>
      <c r="AJ105">
        <f>IFERROR(AVERAGE('Dry_Litterbag Placem_Collection'!O106,'Dry_Litterbag Placem_Collection'!R106),"")</f>
        <v>9.3000000000000007</v>
      </c>
      <c r="AK105" s="261">
        <f>IFERROR(AVERAGE('Dry_Litterbag Placem_Collection'!N106,'Dry_Litterbag Placem_Collection'!Q106),"")</f>
        <v>28.05</v>
      </c>
      <c r="AL105" s="260">
        <f>INDEX([2]Coordinates!$B$2:$B$197,MATCH(I105,[2]Coordinates!$J$2:$J$197,0))</f>
        <v>-2.3692910280000001</v>
      </c>
      <c r="AM105" s="260">
        <f>INDEX([2]Coordinates!$C$2:$C$197,MATCH(I105,[2]Coordinates!$J$2:$J$197,0))</f>
        <v>34.06016202</v>
      </c>
      <c r="AN105" s="260" t="str">
        <f>IF(ISNUMBER(SEARCH("C", 'Dry_Litterbag Placem_Collection'!S106)),"YES","NO")</f>
        <v>YES</v>
      </c>
      <c r="AO105" s="260" t="str">
        <f>IF(ISNUMBER(SEARCH("H", 'Dry_Litterbag Placem_Collection'!S106)),"YES","NO")</f>
        <v>NO</v>
      </c>
      <c r="AP105" s="260" t="str">
        <f>IF(ISNUMBER(SEARCH("R", 'Dry_Litterbag Placem_Collection'!S106)),"YES","NO")</f>
        <v>NO</v>
      </c>
    </row>
    <row r="106" spans="1:42" ht="15" customHeight="1">
      <c r="A106" t="s">
        <v>3248</v>
      </c>
      <c r="B106" s="252" t="s">
        <v>2643</v>
      </c>
      <c r="C106" s="253">
        <f>'Dry_Litterbag Placem_Collection'!A107</f>
        <v>105</v>
      </c>
      <c r="D106" s="253" t="str">
        <f>'Dry_Litterbag Placem_Collection'!B107</f>
        <v xml:space="preserve">Mwantimba
</v>
      </c>
      <c r="E106" s="253" t="s">
        <v>2454</v>
      </c>
      <c r="F106" s="253" t="s">
        <v>2644</v>
      </c>
      <c r="G106" s="253">
        <v>2</v>
      </c>
      <c r="H106" s="253" t="s">
        <v>3118</v>
      </c>
      <c r="I106" s="254" t="str">
        <f>'Dry_Litterbag Placem_Collection'!C107</f>
        <v>Wet_Ag2_T1</v>
      </c>
      <c r="J106" s="255" t="s">
        <v>2525</v>
      </c>
      <c r="K106" s="256" t="s">
        <v>1147</v>
      </c>
      <c r="L106" s="253" t="str">
        <f>IF(ISBLANK('Dry_Litterbag Placem_Collection'!J107),"","G"&amp;""&amp;'Dry_Litterbag Placem_Collection'!J107)</f>
        <v>G6</v>
      </c>
      <c r="M106" s="257">
        <f>IFERROR(INDEX('Green_rooibos initial weight'!$C$5:$C$2000,MATCH(L106, 'Green_rooibos initial weight'!$A$5:$A$2000,0)),"")</f>
        <v>2.016</v>
      </c>
      <c r="N106" s="257">
        <f>IFERROR(M106-(TBIcalc!$Q$9+TBIcalc!$Q$10),"")</f>
        <v>1.7662</v>
      </c>
      <c r="O106" s="378">
        <f>AVERAGE(Ashed_controlls!$K$2:$K$11)</f>
        <v>5.5147656768714146</v>
      </c>
      <c r="P106" s="257">
        <f t="shared" si="6"/>
        <v>1.668798208615097</v>
      </c>
      <c r="Q106" s="257">
        <f>IFERROR(INDEX('Both teabags AfterDry'!$D$2:$D$2000,MATCH(L106,'Both teabags AfterDry'!$A$2:$A$2000,0)),"")</f>
        <v>1.1637</v>
      </c>
      <c r="R106" s="257">
        <f>IFERROR(IF(Q106&gt;0,Q106-(TBIcalc!$Q$9),""),"")</f>
        <v>1.0130999999999999</v>
      </c>
      <c r="S106" s="268">
        <f>IFERROR(INDEX('Ashed teabags dry'!$K$2:$K$2000,MATCH(L106,'Ashed teabags dry'!$A$2:$A$2000,0)),"")</f>
        <v>24.114832535885235</v>
      </c>
      <c r="T106" s="268">
        <f t="shared" si="7"/>
        <v>0.76879263157894662</v>
      </c>
      <c r="U106" s="258">
        <f>IF('Dry_Litterbag Placem_Collection'!E107="","",'Dry_Litterbag Placem_Collection'!E107)</f>
        <v>42939</v>
      </c>
      <c r="V106" s="258">
        <f>IF('Dry_Litterbag Placem_Collection'!G107="","",'Dry_Litterbag Placem_Collection'!G107)</f>
        <v>43010</v>
      </c>
      <c r="W106" s="259">
        <f t="shared" si="5"/>
        <v>71</v>
      </c>
      <c r="X106" s="257">
        <f t="shared" si="8"/>
        <v>0.7531000000000001</v>
      </c>
      <c r="Y106" s="257">
        <f t="shared" si="9"/>
        <v>0.90000557703615036</v>
      </c>
      <c r="Z106" s="261">
        <f>IFERROR(INDEX([3]Rainfall_Dry!$O$2:$O$217,MATCH(C106, [3]Rainfall_Dry!$A$2:$A$217,0)),"")</f>
        <v>137.19979645800001</v>
      </c>
      <c r="AA106" s="250">
        <v>34.344660194174757</v>
      </c>
      <c r="AB106" s="250">
        <v>19.22727272727273</v>
      </c>
      <c r="AC106" s="250">
        <v>46.428067078552509</v>
      </c>
      <c r="AD106" s="251" t="s">
        <v>2651</v>
      </c>
      <c r="AE106" s="250">
        <v>1.7452932479053718</v>
      </c>
      <c r="AF106">
        <f>IF('WetLitterbags placem_collection'!AB107="","",'WetLitterbags placem_collection'!AB107)</f>
        <v>5.5</v>
      </c>
      <c r="AG106">
        <f>IF('WetLitterbags placem_collection'!Z107="","",'WetLitterbags placem_collection'!Z107)</f>
        <v>23.5</v>
      </c>
      <c r="AH106" s="236" t="str">
        <f>IF('WetLitterbags placem_collection'!AA107="","",'WetLitterbags placem_collection'!AA107)</f>
        <v>M</v>
      </c>
      <c r="AI106">
        <f>IF('WetLitterbags placem_collection'!AC107="","",'WetLitterbags placem_collection'!AC107)</f>
        <v>0</v>
      </c>
      <c r="AJ106">
        <f>IFERROR(AVERAGE('Dry_Litterbag Placem_Collection'!O107,'Dry_Litterbag Placem_Collection'!R107),"")</f>
        <v>7.5500000000000007</v>
      </c>
      <c r="AK106" s="261">
        <f>IFERROR(AVERAGE('Dry_Litterbag Placem_Collection'!N107,'Dry_Litterbag Placem_Collection'!Q107),"")</f>
        <v>30.549999999999997</v>
      </c>
      <c r="AL106" s="260">
        <f>INDEX([2]Coordinates!$B$2:$B$197,MATCH(I106,[2]Coordinates!$J$2:$J$197,0))</f>
        <v>-2.3698080240000001</v>
      </c>
      <c r="AM106" s="260">
        <f>INDEX([2]Coordinates!$C$2:$C$197,MATCH(I106,[2]Coordinates!$J$2:$J$197,0))</f>
        <v>34.059671010000002</v>
      </c>
      <c r="AN106" s="260" t="str">
        <f>IF(ISNUMBER(SEARCH("C", 'Dry_Litterbag Placem_Collection'!S107)),"YES","NO")</f>
        <v>NO</v>
      </c>
      <c r="AO106" s="260" t="str">
        <f>IF(ISNUMBER(SEARCH("H", 'Dry_Litterbag Placem_Collection'!S107)),"YES","NO")</f>
        <v>NO</v>
      </c>
      <c r="AP106" s="260" t="str">
        <f>IF(ISNUMBER(SEARCH("R", 'Dry_Litterbag Placem_Collection'!S107)),"YES","NO")</f>
        <v>NO</v>
      </c>
    </row>
    <row r="107" spans="1:42" ht="15" customHeight="1">
      <c r="A107" t="s">
        <v>3248</v>
      </c>
      <c r="B107" s="252" t="s">
        <v>2643</v>
      </c>
      <c r="C107" s="253">
        <f>'Dry_Litterbag Placem_Collection'!A108</f>
        <v>106</v>
      </c>
      <c r="D107" s="253" t="str">
        <f>'Dry_Litterbag Placem_Collection'!B108</f>
        <v xml:space="preserve">Mwantimba
</v>
      </c>
      <c r="E107" s="253" t="s">
        <v>2454</v>
      </c>
      <c r="F107" s="253" t="s">
        <v>2644</v>
      </c>
      <c r="G107" s="253">
        <v>2</v>
      </c>
      <c r="H107" s="253" t="s">
        <v>3118</v>
      </c>
      <c r="I107" s="254" t="str">
        <f>'Dry_Litterbag Placem_Collection'!C108</f>
        <v>Wet_Ag2_T2</v>
      </c>
      <c r="J107" s="255" t="s">
        <v>2525</v>
      </c>
      <c r="K107" s="256" t="s">
        <v>1147</v>
      </c>
      <c r="L107" s="253" t="str">
        <f>IF(ISBLANK('Dry_Litterbag Placem_Collection'!J108),"","G"&amp;""&amp;'Dry_Litterbag Placem_Collection'!J108)</f>
        <v>G20</v>
      </c>
      <c r="M107" s="257">
        <f>IFERROR(INDEX('Green_rooibos initial weight'!$C$5:$C$2000,MATCH(L107, 'Green_rooibos initial weight'!$A$5:$A$2000,0)),"")</f>
        <v>2.032</v>
      </c>
      <c r="N107" s="257">
        <f>IFERROR(M107-(TBIcalc!$Q$9+TBIcalc!$Q$10),"")</f>
        <v>1.7822</v>
      </c>
      <c r="O107" s="378">
        <f>AVERAGE(Ashed_controlls!$K$2:$K$11)</f>
        <v>5.5147656768714146</v>
      </c>
      <c r="P107" s="257">
        <f t="shared" si="6"/>
        <v>1.6839158461067976</v>
      </c>
      <c r="Q107" s="257">
        <f>IFERROR(INDEX('Both teabags AfterDry'!$D$2:$D$2000,MATCH(L107,'Both teabags AfterDry'!$A$2:$A$2000,0)),"")</f>
        <v>1.0826</v>
      </c>
      <c r="R107" s="257">
        <f>IFERROR(IF(Q107&gt;0,Q107-(TBIcalc!$Q$9),""),"")</f>
        <v>0.93199999999999994</v>
      </c>
      <c r="S107" s="268">
        <f>IFERROR(INDEX('Ashed teabags dry'!$K$2:$K$2000,MATCH(L107,'Ashed teabags dry'!$A$2:$A$2000,0)),"")</f>
        <v>11.814345991561</v>
      </c>
      <c r="T107" s="268">
        <f t="shared" si="7"/>
        <v>0.82189029535865143</v>
      </c>
      <c r="U107" s="258">
        <f>IF('Dry_Litterbag Placem_Collection'!E108="","",'Dry_Litterbag Placem_Collection'!E108)</f>
        <v>42939</v>
      </c>
      <c r="V107" s="258">
        <f>IF('Dry_Litterbag Placem_Collection'!G108="","",'Dry_Litterbag Placem_Collection'!G108)</f>
        <v>43010</v>
      </c>
      <c r="W107" s="259">
        <f t="shared" si="5"/>
        <v>71</v>
      </c>
      <c r="X107" s="257">
        <f t="shared" si="8"/>
        <v>0.85020000000000007</v>
      </c>
      <c r="Y107" s="257">
        <f t="shared" si="9"/>
        <v>0.86202555074814613</v>
      </c>
      <c r="Z107" s="261">
        <f>IFERROR(INDEX([3]Rainfall_Dry!$O$2:$O$217,MATCH(C107, [3]Rainfall_Dry!$A$2:$A$217,0)),"")</f>
        <v>137.19979645800001</v>
      </c>
      <c r="AA107" s="250">
        <v>34.344660194174757</v>
      </c>
      <c r="AB107" s="250">
        <v>19.22727272727273</v>
      </c>
      <c r="AC107" s="250">
        <v>46.428067078552509</v>
      </c>
      <c r="AD107" s="251" t="s">
        <v>2651</v>
      </c>
      <c r="AE107" s="250">
        <v>2.7452932479053702</v>
      </c>
      <c r="AF107">
        <f>IF('WetLitterbags placem_collection'!AB108="","",'WetLitterbags placem_collection'!AB108)</f>
        <v>8.6</v>
      </c>
      <c r="AG107">
        <f>IF('WetLitterbags placem_collection'!Z108="","",'WetLitterbags placem_collection'!Z108)</f>
        <v>17</v>
      </c>
      <c r="AH107" s="236" t="str">
        <f>IF('WetLitterbags placem_collection'!AA108="","",'WetLitterbags placem_collection'!AA108)</f>
        <v>M</v>
      </c>
      <c r="AI107">
        <f>IF('WetLitterbags placem_collection'!AC108="","",'WetLitterbags placem_collection'!AC108)</f>
        <v>0</v>
      </c>
      <c r="AJ107">
        <f>IFERROR(AVERAGE('Dry_Litterbag Placem_Collection'!O108,'Dry_Litterbag Placem_Collection'!R108),"")</f>
        <v>6.1</v>
      </c>
      <c r="AK107" s="261">
        <f>IFERROR(AVERAGE('Dry_Litterbag Placem_Collection'!N108,'Dry_Litterbag Placem_Collection'!Q108),"")</f>
        <v>31.3</v>
      </c>
      <c r="AL107" s="260">
        <f>INDEX([2]Coordinates!$B$2:$B$197,MATCH(I107,[2]Coordinates!$J$2:$J$197,0))</f>
        <v>-2.3697620069999998</v>
      </c>
      <c r="AM107" s="260">
        <f>INDEX([2]Coordinates!$C$2:$C$197,MATCH(I107,[2]Coordinates!$J$2:$J$197,0))</f>
        <v>34.059730010000003</v>
      </c>
      <c r="AN107" s="260" t="str">
        <f>IF(ISNUMBER(SEARCH("C", 'Dry_Litterbag Placem_Collection'!S108)),"YES","NO")</f>
        <v>NO</v>
      </c>
      <c r="AO107" s="260" t="str">
        <f>IF(ISNUMBER(SEARCH("H", 'Dry_Litterbag Placem_Collection'!S108)),"YES","NO")</f>
        <v>YES</v>
      </c>
      <c r="AP107" s="260" t="str">
        <f>IF(ISNUMBER(SEARCH("R", 'Dry_Litterbag Placem_Collection'!S108)),"YES","NO")</f>
        <v>NO</v>
      </c>
    </row>
    <row r="108" spans="1:42" ht="15" customHeight="1">
      <c r="A108" t="s">
        <v>3248</v>
      </c>
      <c r="B108" s="252" t="s">
        <v>2643</v>
      </c>
      <c r="C108" s="253">
        <f>'Dry_Litterbag Placem_Collection'!A109</f>
        <v>107</v>
      </c>
      <c r="D108" s="253" t="str">
        <f>'Dry_Litterbag Placem_Collection'!B109</f>
        <v xml:space="preserve">Mwantimba
</v>
      </c>
      <c r="E108" s="253" t="s">
        <v>2454</v>
      </c>
      <c r="F108" s="253" t="s">
        <v>2644</v>
      </c>
      <c r="G108" s="253">
        <v>2</v>
      </c>
      <c r="H108" s="253" t="s">
        <v>3118</v>
      </c>
      <c r="I108" s="254" t="str">
        <f>'Dry_Litterbag Placem_Collection'!C109</f>
        <v>Wet_Ag2_T3</v>
      </c>
      <c r="J108" s="255" t="s">
        <v>2525</v>
      </c>
      <c r="K108" s="256" t="s">
        <v>1147</v>
      </c>
      <c r="L108" s="253" t="str">
        <f>IF(ISBLANK('Dry_Litterbag Placem_Collection'!J109),"","G"&amp;""&amp;'Dry_Litterbag Placem_Collection'!J109)</f>
        <v>G129</v>
      </c>
      <c r="M108" s="257">
        <f>IFERROR(INDEX('Green_rooibos initial weight'!$C$5:$C$2000,MATCH(L108, 'Green_rooibos initial weight'!$A$5:$A$2000,0)),"")</f>
        <v>1.9630000000000001</v>
      </c>
      <c r="N108" s="257">
        <f>IFERROR(M108-(TBIcalc!$Q$9+TBIcalc!$Q$10),"")</f>
        <v>1.7132000000000001</v>
      </c>
      <c r="O108" s="378">
        <f>AVERAGE(Ashed_controlls!$K$2:$K$11)</f>
        <v>5.5147656768714146</v>
      </c>
      <c r="P108" s="257">
        <f t="shared" si="6"/>
        <v>1.618721034423839</v>
      </c>
      <c r="Q108" s="257" t="str">
        <f>IFERROR(INDEX('Both teabags AfterDry'!$D$2:$D$2000,MATCH(L108,'Both teabags AfterDry'!$A$2:$A$2000,0)),"")</f>
        <v/>
      </c>
      <c r="R108" s="257" t="str">
        <f>IFERROR(IF(Q108&gt;0,Q108-(TBIcalc!$Q$9),""),"")</f>
        <v/>
      </c>
      <c r="S108" s="268" t="str">
        <f>IFERROR(INDEX('Ashed teabags dry'!$K$2:$K$2000,MATCH(L108,'Ashed teabags dry'!$A$2:$A$2000,0)),"")</f>
        <v/>
      </c>
      <c r="T108" s="268" t="str">
        <f t="shared" si="7"/>
        <v/>
      </c>
      <c r="U108" s="258">
        <f>IF('Dry_Litterbag Placem_Collection'!E109="","",'Dry_Litterbag Placem_Collection'!E109)</f>
        <v>42939</v>
      </c>
      <c r="V108" s="258">
        <f>IF('Dry_Litterbag Placem_Collection'!G109="","",'Dry_Litterbag Placem_Collection'!G109)</f>
        <v>43010</v>
      </c>
      <c r="W108" s="259">
        <f t="shared" si="5"/>
        <v>71</v>
      </c>
      <c r="X108" s="257" t="str">
        <f t="shared" si="8"/>
        <v/>
      </c>
      <c r="Y108" s="257" t="str">
        <f t="shared" si="9"/>
        <v/>
      </c>
      <c r="Z108" s="261">
        <f>IFERROR(INDEX([3]Rainfall_Dry!$O$2:$O$217,MATCH(C108, [3]Rainfall_Dry!$A$2:$A$217,0)),"")</f>
        <v>137.19979645800001</v>
      </c>
      <c r="AA108" s="250">
        <v>34.344660194174757</v>
      </c>
      <c r="AB108" s="250">
        <v>19.22727272727273</v>
      </c>
      <c r="AC108" s="250">
        <v>46.428067078552509</v>
      </c>
      <c r="AD108" s="251" t="s">
        <v>2651</v>
      </c>
      <c r="AE108" s="250">
        <v>3.7452932479053702</v>
      </c>
      <c r="AF108">
        <f>IF('WetLitterbags placem_collection'!AB109="","",'WetLitterbags placem_collection'!AB109)</f>
        <v>3.85</v>
      </c>
      <c r="AG108">
        <f>IF('WetLitterbags placem_collection'!Z109="","",'WetLitterbags placem_collection'!Z109)</f>
        <v>15.5</v>
      </c>
      <c r="AH108" s="236" t="str">
        <f>IF('WetLitterbags placem_collection'!AA109="","",'WetLitterbags placem_collection'!AA109)</f>
        <v>M</v>
      </c>
      <c r="AI108">
        <f>IF('WetLitterbags placem_collection'!AC109="","",'WetLitterbags placem_collection'!AC109)</f>
        <v>0</v>
      </c>
      <c r="AJ108">
        <f>IFERROR(AVERAGE('Dry_Litterbag Placem_Collection'!O109,'Dry_Litterbag Placem_Collection'!R109),"")</f>
        <v>5.3</v>
      </c>
      <c r="AK108" s="261">
        <f>IFERROR(AVERAGE('Dry_Litterbag Placem_Collection'!N109,'Dry_Litterbag Placem_Collection'!Q109),"")</f>
        <v>30.200000000000003</v>
      </c>
      <c r="AL108" s="260">
        <f>INDEX([2]Coordinates!$B$2:$B$197,MATCH(I108,[2]Coordinates!$J$2:$J$197,0))</f>
        <v>-2.3698409649999999</v>
      </c>
      <c r="AM108" s="260">
        <f>INDEX([2]Coordinates!$C$2:$C$197,MATCH(I108,[2]Coordinates!$J$2:$J$197,0))</f>
        <v>34.059814000000003</v>
      </c>
      <c r="AN108" s="260" t="str">
        <f>IF(ISNUMBER(SEARCH("C", 'Dry_Litterbag Placem_Collection'!S109)),"YES","NO")</f>
        <v>YES</v>
      </c>
      <c r="AO108" s="260" t="str">
        <f>IF(ISNUMBER(SEARCH("H", 'Dry_Litterbag Placem_Collection'!S109)),"YES","NO")</f>
        <v>YES</v>
      </c>
      <c r="AP108" s="260" t="str">
        <f>IF(ISNUMBER(SEARCH("R", 'Dry_Litterbag Placem_Collection'!S109)),"YES","NO")</f>
        <v>NO</v>
      </c>
    </row>
    <row r="109" spans="1:42" ht="15" customHeight="1">
      <c r="A109" t="s">
        <v>3248</v>
      </c>
      <c r="B109" s="252" t="s">
        <v>2643</v>
      </c>
      <c r="C109" s="253">
        <f>'Dry_Litterbag Placem_Collection'!A110</f>
        <v>108</v>
      </c>
      <c r="D109" s="253" t="str">
        <f>'Dry_Litterbag Placem_Collection'!B110</f>
        <v xml:space="preserve">Mwantimba
</v>
      </c>
      <c r="E109" s="253" t="s">
        <v>2454</v>
      </c>
      <c r="F109" s="253" t="s">
        <v>2644</v>
      </c>
      <c r="G109" s="253">
        <v>2</v>
      </c>
      <c r="H109" s="253" t="s">
        <v>3118</v>
      </c>
      <c r="I109" s="254" t="str">
        <f>'Dry_Litterbag Placem_Collection'!C110</f>
        <v>Wet_Ag2_T4</v>
      </c>
      <c r="J109" s="255" t="s">
        <v>2525</v>
      </c>
      <c r="K109" s="256" t="s">
        <v>1147</v>
      </c>
      <c r="L109" s="253" t="str">
        <f>IF(ISBLANK('Dry_Litterbag Placem_Collection'!J110),"","G"&amp;""&amp;'Dry_Litterbag Placem_Collection'!J110)</f>
        <v>G258</v>
      </c>
      <c r="M109" s="257">
        <f>IFERROR(INDEX('Green_rooibos initial weight'!$C$5:$C$2000,MATCH(L109, 'Green_rooibos initial weight'!$A$5:$A$2000,0)),"")</f>
        <v>2.1280000000000001</v>
      </c>
      <c r="N109" s="257">
        <f>IFERROR(M109-(TBIcalc!$Q$9+TBIcalc!$Q$10),"")</f>
        <v>1.8782000000000001</v>
      </c>
      <c r="O109" s="378">
        <f>AVERAGE(Ashed_controlls!$K$2:$K$11)</f>
        <v>5.5147656768714146</v>
      </c>
      <c r="P109" s="257">
        <f t="shared" si="6"/>
        <v>1.7746216710570011</v>
      </c>
      <c r="Q109" s="257">
        <f>IFERROR(INDEX('Both teabags AfterDry'!$D$2:$D$2000,MATCH(L109,'Both teabags AfterDry'!$A$2:$A$2000,0)),"")</f>
        <v>0.92730000000000001</v>
      </c>
      <c r="R109" s="257">
        <f>IFERROR(IF(Q109&gt;0,Q109-(TBIcalc!$Q$9),""),"")</f>
        <v>0.77669999999999995</v>
      </c>
      <c r="S109" s="268">
        <f>IFERROR(INDEX('Ashed teabags dry'!$K$2:$K$2000,MATCH(L109,'Ashed teabags dry'!$A$2:$A$2000,0)),"")</f>
        <v>20.211233797408489</v>
      </c>
      <c r="T109" s="268">
        <f t="shared" si="7"/>
        <v>0.61971934709552823</v>
      </c>
      <c r="U109" s="258">
        <f>IF('Dry_Litterbag Placem_Collection'!E110="","",'Dry_Litterbag Placem_Collection'!E110)</f>
        <v>42939</v>
      </c>
      <c r="V109" s="258">
        <f>IF('Dry_Litterbag Placem_Collection'!G110="","",'Dry_Litterbag Placem_Collection'!G110)</f>
        <v>43010</v>
      </c>
      <c r="W109" s="259">
        <f t="shared" si="5"/>
        <v>71</v>
      </c>
      <c r="X109" s="257">
        <f t="shared" si="8"/>
        <v>1.1015000000000001</v>
      </c>
      <c r="Y109" s="257">
        <f t="shared" si="9"/>
        <v>1.1549023239614729</v>
      </c>
      <c r="Z109" s="261">
        <f>IFERROR(INDEX([3]Rainfall_Dry!$O$2:$O$217,MATCH(C109, [3]Rainfall_Dry!$A$2:$A$217,0)),"")</f>
        <v>137.19979645800001</v>
      </c>
      <c r="AA109" s="250">
        <v>34.344660194174757</v>
      </c>
      <c r="AB109" s="250">
        <v>19.22727272727273</v>
      </c>
      <c r="AC109" s="250">
        <v>46.428067078552509</v>
      </c>
      <c r="AD109" s="251" t="s">
        <v>2651</v>
      </c>
      <c r="AE109" s="250">
        <v>4.7452932479053702</v>
      </c>
      <c r="AF109">
        <f>IF('WetLitterbags placem_collection'!AB110="","",'WetLitterbags placem_collection'!AB110)</f>
        <v>9.6999999999999993</v>
      </c>
      <c r="AG109">
        <f>IF('WetLitterbags placem_collection'!Z110="","",'WetLitterbags placem_collection'!Z110)</f>
        <v>22.5</v>
      </c>
      <c r="AH109" s="236" t="str">
        <f>IF('WetLitterbags placem_collection'!AA110="","",'WetLitterbags placem_collection'!AA110)</f>
        <v>M</v>
      </c>
      <c r="AI109">
        <f>IF('WetLitterbags placem_collection'!AC110="","",'WetLitterbags placem_collection'!AC110)</f>
        <v>0</v>
      </c>
      <c r="AJ109">
        <f>IFERROR(AVERAGE('Dry_Litterbag Placem_Collection'!O110,'Dry_Litterbag Placem_Collection'!R110),"")</f>
        <v>7.65</v>
      </c>
      <c r="AK109" s="261">
        <f>IFERROR(AVERAGE('Dry_Litterbag Placem_Collection'!N110,'Dry_Litterbag Placem_Collection'!Q110),"")</f>
        <v>31.8</v>
      </c>
      <c r="AL109" s="260">
        <f>INDEX([2]Coordinates!$B$2:$B$197,MATCH(I109,[2]Coordinates!$J$2:$J$197,0))</f>
        <v>-2.3698620030000002</v>
      </c>
      <c r="AM109" s="260">
        <f>INDEX([2]Coordinates!$C$2:$C$197,MATCH(I109,[2]Coordinates!$J$2:$J$197,0))</f>
        <v>34.059759020000001</v>
      </c>
      <c r="AN109" s="260" t="str">
        <f>IF(ISNUMBER(SEARCH("C", 'Dry_Litterbag Placem_Collection'!S110)),"YES","NO")</f>
        <v>YES</v>
      </c>
      <c r="AO109" s="260" t="str">
        <f>IF(ISNUMBER(SEARCH("H", 'Dry_Litterbag Placem_Collection'!S110)),"YES","NO")</f>
        <v>NO</v>
      </c>
      <c r="AP109" s="260" t="str">
        <f>IF(ISNUMBER(SEARCH("R", 'Dry_Litterbag Placem_Collection'!S110)),"YES","NO")</f>
        <v>NO</v>
      </c>
    </row>
    <row r="110" spans="1:42" ht="15" customHeight="1">
      <c r="A110" t="s">
        <v>3248</v>
      </c>
      <c r="B110" s="252" t="s">
        <v>2643</v>
      </c>
      <c r="C110" s="253">
        <f>'Dry_Litterbag Placem_Collection'!A111</f>
        <v>109</v>
      </c>
      <c r="D110" s="253" t="str">
        <f>'Dry_Litterbag Placem_Collection'!B111</f>
        <v xml:space="preserve">Mwantimba
</v>
      </c>
      <c r="E110" s="253" t="s">
        <v>2454</v>
      </c>
      <c r="F110" s="253" t="s">
        <v>2644</v>
      </c>
      <c r="G110" s="253">
        <v>2</v>
      </c>
      <c r="H110" s="253" t="s">
        <v>3118</v>
      </c>
      <c r="I110" s="254" t="str">
        <f>'Dry_Litterbag Placem_Collection'!C111</f>
        <v>Wet_Ag2_T5</v>
      </c>
      <c r="J110" s="255" t="s">
        <v>2525</v>
      </c>
      <c r="K110" s="256" t="s">
        <v>1147</v>
      </c>
      <c r="L110" s="253" t="str">
        <f>IF(ISBLANK('Dry_Litterbag Placem_Collection'!J111),"","G"&amp;""&amp;'Dry_Litterbag Placem_Collection'!J111)</f>
        <v>G294</v>
      </c>
      <c r="M110" s="257">
        <f>IFERROR(INDEX('Green_rooibos initial weight'!$C$5:$C$2000,MATCH(L110, 'Green_rooibos initial weight'!$A$5:$A$2000,0)),"")</f>
        <v>1.994</v>
      </c>
      <c r="N110" s="257">
        <f>IFERROR(M110-(TBIcalc!$Q$9+TBIcalc!$Q$10),"")</f>
        <v>1.7442</v>
      </c>
      <c r="O110" s="378">
        <f>AVERAGE(Ashed_controlls!$K$2:$K$11)</f>
        <v>5.5147656768714146</v>
      </c>
      <c r="P110" s="257">
        <f t="shared" si="6"/>
        <v>1.6480114570640088</v>
      </c>
      <c r="Q110" s="257">
        <f>IFERROR(INDEX('Both teabags AfterDry'!$D$2:$D$2000,MATCH(L110,'Both teabags AfterDry'!$A$2:$A$2000,0)),"")</f>
        <v>0.93010000000000004</v>
      </c>
      <c r="R110" s="257">
        <f>IFERROR(IF(Q110&gt;0,Q110-(TBIcalc!$Q$9),""),"")</f>
        <v>0.77950000000000008</v>
      </c>
      <c r="S110" s="268">
        <f>IFERROR(INDEX('Ashed teabags dry'!$K$2:$K$2000,MATCH(L110,'Ashed teabags dry'!$A$2:$A$2000,0)),"")</f>
        <v>29.671832269827163</v>
      </c>
      <c r="T110" s="268">
        <f t="shared" si="7"/>
        <v>0.54820806745669737</v>
      </c>
      <c r="U110" s="258">
        <f>IF('Dry_Litterbag Placem_Collection'!E111="","",'Dry_Litterbag Placem_Collection'!E111)</f>
        <v>42939</v>
      </c>
      <c r="V110" s="258">
        <f>IF('Dry_Litterbag Placem_Collection'!G111="","",'Dry_Litterbag Placem_Collection'!G111)</f>
        <v>43010</v>
      </c>
      <c r="W110" s="259">
        <f t="shared" si="5"/>
        <v>71</v>
      </c>
      <c r="X110" s="257">
        <f t="shared" si="8"/>
        <v>0.96469999999999989</v>
      </c>
      <c r="Y110" s="257">
        <f t="shared" si="9"/>
        <v>1.0998033896073114</v>
      </c>
      <c r="Z110" s="261">
        <f>IFERROR(INDEX([3]Rainfall_Dry!$O$2:$O$217,MATCH(C110, [3]Rainfall_Dry!$A$2:$A$217,0)),"")</f>
        <v>137.19979645800001</v>
      </c>
      <c r="AA110" s="250">
        <v>34.344660194174757</v>
      </c>
      <c r="AB110" s="250">
        <v>19.22727272727273</v>
      </c>
      <c r="AC110" s="250">
        <v>46.428067078552509</v>
      </c>
      <c r="AD110" s="251" t="s">
        <v>2651</v>
      </c>
      <c r="AE110" s="250">
        <v>5.7452932479053702</v>
      </c>
      <c r="AF110">
        <f>IF('WetLitterbags placem_collection'!AB111="","",'WetLitterbags placem_collection'!AB111)</f>
        <v>10.5</v>
      </c>
      <c r="AG110">
        <f>IF('WetLitterbags placem_collection'!Z111="","",'WetLitterbags placem_collection'!Z111)</f>
        <v>22.5</v>
      </c>
      <c r="AH110" s="236" t="str">
        <f>IF('WetLitterbags placem_collection'!AA111="","",'WetLitterbags placem_collection'!AA111)</f>
        <v>M</v>
      </c>
      <c r="AI110">
        <f>IF('WetLitterbags placem_collection'!AC111="","",'WetLitterbags placem_collection'!AC111)</f>
        <v>0</v>
      </c>
      <c r="AJ110">
        <f>IFERROR(AVERAGE('Dry_Litterbag Placem_Collection'!O111,'Dry_Litterbag Placem_Collection'!R111),"")</f>
        <v>7.5</v>
      </c>
      <c r="AK110" s="261">
        <f>IFERROR(AVERAGE('Dry_Litterbag Placem_Collection'!N111,'Dry_Litterbag Placem_Collection'!Q111),"")</f>
        <v>30.65</v>
      </c>
      <c r="AL110" s="260">
        <f>INDEX([2]Coordinates!$B$2:$B$197,MATCH(I110,[2]Coordinates!$J$2:$J$197,0))</f>
        <v>-2.3698390370000002</v>
      </c>
      <c r="AM110" s="260">
        <f>INDEX([2]Coordinates!$C$2:$C$197,MATCH(I110,[2]Coordinates!$J$2:$J$197,0))</f>
        <v>34.059714</v>
      </c>
      <c r="AN110" s="260" t="str">
        <f>IF(ISNUMBER(SEARCH("C", 'Dry_Litterbag Placem_Collection'!S111)),"YES","NO")</f>
        <v>NO</v>
      </c>
      <c r="AO110" s="260" t="str">
        <f>IF(ISNUMBER(SEARCH("H", 'Dry_Litterbag Placem_Collection'!S111)),"YES","NO")</f>
        <v>NO</v>
      </c>
      <c r="AP110" s="260" t="str">
        <f>IF(ISNUMBER(SEARCH("R", 'Dry_Litterbag Placem_Collection'!S111)),"YES","NO")</f>
        <v>NO</v>
      </c>
    </row>
    <row r="111" spans="1:42" ht="15" customHeight="1">
      <c r="A111" t="s">
        <v>3248</v>
      </c>
      <c r="B111" s="252" t="s">
        <v>2643</v>
      </c>
      <c r="C111" s="253">
        <f>'Dry_Litterbag Placem_Collection'!A112</f>
        <v>110</v>
      </c>
      <c r="D111" s="253" t="str">
        <f>'Dry_Litterbag Placem_Collection'!B112</f>
        <v xml:space="preserve">Mwantimba
</v>
      </c>
      <c r="E111" s="253" t="s">
        <v>2454</v>
      </c>
      <c r="F111" s="253" t="s">
        <v>2644</v>
      </c>
      <c r="G111" s="253">
        <v>2</v>
      </c>
      <c r="H111" s="253" t="s">
        <v>3118</v>
      </c>
      <c r="I111" s="254" t="str">
        <f>'Dry_Litterbag Placem_Collection'!C112</f>
        <v>Wet_Ag2_T6</v>
      </c>
      <c r="J111" s="255" t="s">
        <v>2525</v>
      </c>
      <c r="K111" s="256" t="s">
        <v>1147</v>
      </c>
      <c r="L111" s="253" t="str">
        <f>IF(ISBLANK('Dry_Litterbag Placem_Collection'!J112),"","G"&amp;""&amp;'Dry_Litterbag Placem_Collection'!J112)</f>
        <v>G350</v>
      </c>
      <c r="M111" s="257">
        <f>IFERROR(INDEX('Green_rooibos initial weight'!$C$5:$C$2000,MATCH(L111, 'Green_rooibos initial weight'!$A$5:$A$2000,0)),"")</f>
        <v>2.0640000000000001</v>
      </c>
      <c r="N111" s="257">
        <f>IFERROR(M111-(TBIcalc!$Q$9+TBIcalc!$Q$10),"")</f>
        <v>1.8142</v>
      </c>
      <c r="O111" s="378">
        <f>AVERAGE(Ashed_controlls!$K$2:$K$11)</f>
        <v>5.5147656768714146</v>
      </c>
      <c r="P111" s="257">
        <f t="shared" si="6"/>
        <v>1.7141511210901987</v>
      </c>
      <c r="Q111" s="257">
        <f>IFERROR(INDEX('Both teabags AfterDry'!$D$2:$D$2000,MATCH(L111,'Both teabags AfterDry'!$A$2:$A$2000,0)),"")</f>
        <v>0.95640000000000003</v>
      </c>
      <c r="R111" s="257">
        <f>IFERROR(IF(Q111&gt;0,Q111-(TBIcalc!$Q$9),""),"")</f>
        <v>0.80580000000000007</v>
      </c>
      <c r="S111" s="268">
        <f>IFERROR(INDEX('Ashed teabags dry'!$K$2:$K$2000,MATCH(L111,'Ashed teabags dry'!$A$2:$A$2000,0)),"")</f>
        <v>19.624497094323072</v>
      </c>
      <c r="T111" s="268">
        <f t="shared" si="7"/>
        <v>0.64766580241394478</v>
      </c>
      <c r="U111" s="258">
        <f>IF('Dry_Litterbag Placem_Collection'!E112="","",'Dry_Litterbag Placem_Collection'!E112)</f>
        <v>42939</v>
      </c>
      <c r="V111" s="258">
        <f>IF('Dry_Litterbag Placem_Collection'!G112="","",'Dry_Litterbag Placem_Collection'!G112)</f>
        <v>43010</v>
      </c>
      <c r="W111" s="259">
        <f t="shared" si="5"/>
        <v>71</v>
      </c>
      <c r="X111" s="257">
        <f t="shared" si="8"/>
        <v>1.0084</v>
      </c>
      <c r="Y111" s="257">
        <f t="shared" si="9"/>
        <v>1.066485318676254</v>
      </c>
      <c r="Z111" s="261">
        <f>IFERROR(INDEX([3]Rainfall_Dry!$O$2:$O$217,MATCH(C111, [3]Rainfall_Dry!$A$2:$A$217,0)),"")</f>
        <v>137.19979645800001</v>
      </c>
      <c r="AA111" s="250">
        <v>34.344660194174757</v>
      </c>
      <c r="AB111" s="250">
        <v>19.22727272727273</v>
      </c>
      <c r="AC111" s="250">
        <v>46.428067078552509</v>
      </c>
      <c r="AD111" s="251" t="s">
        <v>2651</v>
      </c>
      <c r="AE111" s="250">
        <v>6.7452932479053702</v>
      </c>
      <c r="AF111">
        <f>IF('WetLitterbags placem_collection'!AB112="","",'WetLitterbags placem_collection'!AB112)</f>
        <v>5.75</v>
      </c>
      <c r="AG111">
        <f>IF('WetLitterbags placem_collection'!Z112="","",'WetLitterbags placem_collection'!Z112)</f>
        <v>22.5</v>
      </c>
      <c r="AH111" s="236" t="str">
        <f>IF('WetLitterbags placem_collection'!AA112="","",'WetLitterbags placem_collection'!AA112)</f>
        <v>M</v>
      </c>
      <c r="AI111">
        <f>IF('WetLitterbags placem_collection'!AC112="","",'WetLitterbags placem_collection'!AC112)</f>
        <v>0</v>
      </c>
      <c r="AJ111">
        <f>IFERROR(AVERAGE('Dry_Litterbag Placem_Collection'!O112,'Dry_Litterbag Placem_Collection'!R112),"")</f>
        <v>7.3500000000000005</v>
      </c>
      <c r="AK111" s="261">
        <f>IFERROR(AVERAGE('Dry_Litterbag Placem_Collection'!N112,'Dry_Litterbag Placem_Collection'!Q112),"")</f>
        <v>31.150000000000002</v>
      </c>
      <c r="AL111" s="260">
        <f>INDEX([2]Coordinates!$B$2:$B$197,MATCH(I111,[2]Coordinates!$J$2:$J$197,0))</f>
        <v>-2.3697549659999999</v>
      </c>
      <c r="AM111" s="260">
        <f>INDEX([2]Coordinates!$C$2:$C$197,MATCH(I111,[2]Coordinates!$J$2:$J$197,0))</f>
        <v>34.059668989999999</v>
      </c>
      <c r="AN111" s="260" t="str">
        <f>IF(ISNUMBER(SEARCH("C", 'Dry_Litterbag Placem_Collection'!S112)),"YES","NO")</f>
        <v>YES</v>
      </c>
      <c r="AO111" s="260" t="str">
        <f>IF(ISNUMBER(SEARCH("H", 'Dry_Litterbag Placem_Collection'!S112)),"YES","NO")</f>
        <v>YES</v>
      </c>
      <c r="AP111" s="260" t="str">
        <f>IF(ISNUMBER(SEARCH("R", 'Dry_Litterbag Placem_Collection'!S112)),"YES","NO")</f>
        <v>NO</v>
      </c>
    </row>
    <row r="112" spans="1:42" ht="15" customHeight="1">
      <c r="A112" t="s">
        <v>3248</v>
      </c>
      <c r="B112" s="252" t="s">
        <v>2643</v>
      </c>
      <c r="C112" s="253">
        <f>'Dry_Litterbag Placem_Collection'!A113</f>
        <v>111</v>
      </c>
      <c r="D112" s="253" t="str">
        <f>'Dry_Litterbag Placem_Collection'!B113</f>
        <v xml:space="preserve">Mwantimba
</v>
      </c>
      <c r="E112" s="253" t="s">
        <v>2454</v>
      </c>
      <c r="F112" s="253" t="s">
        <v>2644</v>
      </c>
      <c r="G112" s="253">
        <v>2</v>
      </c>
      <c r="H112" s="253" t="s">
        <v>3118</v>
      </c>
      <c r="I112" s="254" t="str">
        <f>'Dry_Litterbag Placem_Collection'!C113</f>
        <v>Wet_Ag2_T7</v>
      </c>
      <c r="J112" s="255" t="s">
        <v>2525</v>
      </c>
      <c r="K112" s="256" t="s">
        <v>1147</v>
      </c>
      <c r="L112" s="253" t="str">
        <f>IF(ISBLANK('Dry_Litterbag Placem_Collection'!J113),"","G"&amp;""&amp;'Dry_Litterbag Placem_Collection'!J113)</f>
        <v>G274</v>
      </c>
      <c r="M112" s="257">
        <f>IFERROR(INDEX('Green_rooibos initial weight'!$C$5:$C$2000,MATCH(L112, 'Green_rooibos initial weight'!$A$5:$A$2000,0)),"")</f>
        <v>2.12</v>
      </c>
      <c r="N112" s="257">
        <f>IFERROR(M112-(TBIcalc!$Q$9+TBIcalc!$Q$10),"")</f>
        <v>1.8702000000000001</v>
      </c>
      <c r="O112" s="378">
        <f>AVERAGE(Ashed_controlls!$K$2:$K$11)</f>
        <v>5.5147656768714146</v>
      </c>
      <c r="P112" s="257">
        <f t="shared" si="6"/>
        <v>1.7670628523111509</v>
      </c>
      <c r="Q112" s="257">
        <f>IFERROR(INDEX('Both teabags AfterDry'!$D$2:$D$2000,MATCH(L112,'Both teabags AfterDry'!$A$2:$A$2000,0)),"")</f>
        <v>1.0779000000000001</v>
      </c>
      <c r="R112" s="257">
        <f>IFERROR(IF(Q112&gt;0,Q112-(TBIcalc!$Q$9),""),"")</f>
        <v>0.92730000000000001</v>
      </c>
      <c r="S112" s="268">
        <f>IFERROR(INDEX('Ashed teabags dry'!$K$2:$K$2000,MATCH(L112,'Ashed teabags dry'!$A$2:$A$2000,0)),"")</f>
        <v>17.275747508306221</v>
      </c>
      <c r="T112" s="268">
        <f t="shared" si="7"/>
        <v>0.76710199335547635</v>
      </c>
      <c r="U112" s="258">
        <f>IF('Dry_Litterbag Placem_Collection'!E113="","",'Dry_Litterbag Placem_Collection'!E113)</f>
        <v>42939</v>
      </c>
      <c r="V112" s="258">
        <f>IF('Dry_Litterbag Placem_Collection'!G113="","",'Dry_Litterbag Placem_Collection'!G113)</f>
        <v>43010</v>
      </c>
      <c r="W112" s="259">
        <f t="shared" si="5"/>
        <v>71</v>
      </c>
      <c r="X112" s="257">
        <f t="shared" si="8"/>
        <v>0.94290000000000007</v>
      </c>
      <c r="Y112" s="257">
        <f t="shared" si="9"/>
        <v>0.99996085895567455</v>
      </c>
      <c r="Z112" s="261">
        <f>IFERROR(INDEX([3]Rainfall_Dry!$O$2:$O$217,MATCH(C112, [3]Rainfall_Dry!$A$2:$A$217,0)),"")</f>
        <v>137.19979645800001</v>
      </c>
      <c r="AA112" s="250">
        <v>34.344660194174757</v>
      </c>
      <c r="AB112" s="250">
        <v>19.22727272727273</v>
      </c>
      <c r="AC112" s="250">
        <v>46.428067078552509</v>
      </c>
      <c r="AD112" s="251" t="s">
        <v>2651</v>
      </c>
      <c r="AE112" s="250">
        <v>7.7452932479053702</v>
      </c>
      <c r="AF112">
        <f>IF('WetLitterbags placem_collection'!AB113="","",'WetLitterbags placem_collection'!AB113)</f>
        <v>6.1</v>
      </c>
      <c r="AG112">
        <f>IF('WetLitterbags placem_collection'!Z113="","",'WetLitterbags placem_collection'!Z113)</f>
        <v>26</v>
      </c>
      <c r="AH112" s="236" t="str">
        <f>IF('WetLitterbags placem_collection'!AA113="","",'WetLitterbags placem_collection'!AA113)</f>
        <v>M</v>
      </c>
      <c r="AI112">
        <f>IF('WetLitterbags placem_collection'!AC113="","",'WetLitterbags placem_collection'!AC113)</f>
        <v>0</v>
      </c>
      <c r="AJ112">
        <f>IFERROR(AVERAGE('Dry_Litterbag Placem_Collection'!O113,'Dry_Litterbag Placem_Collection'!R113),"")</f>
        <v>8.3000000000000007</v>
      </c>
      <c r="AK112" s="261">
        <f>IFERROR(AVERAGE('Dry_Litterbag Placem_Collection'!N113,'Dry_Litterbag Placem_Collection'!Q113),"")</f>
        <v>29.549999999999997</v>
      </c>
      <c r="AL112" s="260">
        <f>INDEX([2]Coordinates!$B$2:$B$197,MATCH(I112,[2]Coordinates!$J$2:$J$197,0))</f>
        <v>-2.3697330060000001</v>
      </c>
      <c r="AM112" s="260">
        <f>INDEX([2]Coordinates!$C$2:$C$197,MATCH(I112,[2]Coordinates!$J$2:$J$197,0))</f>
        <v>34.059615010000002</v>
      </c>
      <c r="AN112" s="260" t="str">
        <f>IF(ISNUMBER(SEARCH("C", 'Dry_Litterbag Placem_Collection'!S113)),"YES","NO")</f>
        <v>YES</v>
      </c>
      <c r="AO112" s="260" t="str">
        <f>IF(ISNUMBER(SEARCH("H", 'Dry_Litterbag Placem_Collection'!S113)),"YES","NO")</f>
        <v>NO</v>
      </c>
      <c r="AP112" s="260" t="str">
        <f>IF(ISNUMBER(SEARCH("R", 'Dry_Litterbag Placem_Collection'!S113)),"YES","NO")</f>
        <v>NO</v>
      </c>
    </row>
    <row r="113" spans="1:42" ht="15" customHeight="1">
      <c r="A113" t="s">
        <v>3248</v>
      </c>
      <c r="B113" s="252" t="s">
        <v>2643</v>
      </c>
      <c r="C113" s="253">
        <f>'Dry_Litterbag Placem_Collection'!A114</f>
        <v>112</v>
      </c>
      <c r="D113" s="253" t="str">
        <f>'Dry_Litterbag Placem_Collection'!B114</f>
        <v xml:space="preserve">Mwantimba
</v>
      </c>
      <c r="E113" s="253" t="s">
        <v>2454</v>
      </c>
      <c r="F113" s="253" t="s">
        <v>2644</v>
      </c>
      <c r="G113" s="253">
        <v>2</v>
      </c>
      <c r="H113" s="253" t="s">
        <v>3118</v>
      </c>
      <c r="I113" s="254" t="str">
        <f>'Dry_Litterbag Placem_Collection'!C114</f>
        <v>Wet_Ag2_T8</v>
      </c>
      <c r="J113" s="255" t="s">
        <v>2525</v>
      </c>
      <c r="K113" s="256" t="s">
        <v>1147</v>
      </c>
      <c r="L113" s="253" t="str">
        <f>IF(ISBLANK('Dry_Litterbag Placem_Collection'!J114),"","G"&amp;""&amp;'Dry_Litterbag Placem_Collection'!J114)</f>
        <v/>
      </c>
      <c r="M113" s="257" t="str">
        <f>IFERROR(INDEX('Green_rooibos initial weight'!$C$5:$C$2000,MATCH(L113, 'Green_rooibos initial weight'!$A$5:$A$2000,0)),"")</f>
        <v/>
      </c>
      <c r="N113" s="257" t="str">
        <f>IFERROR(M113-(TBIcalc!$Q$9+TBIcalc!$Q$10),"")</f>
        <v/>
      </c>
      <c r="O113" s="378">
        <f>AVERAGE(Ashed_controlls!$K$2:$K$11)</f>
        <v>5.5147656768714146</v>
      </c>
      <c r="P113" s="257" t="str">
        <f t="shared" si="6"/>
        <v/>
      </c>
      <c r="Q113" s="257" t="str">
        <f>IFERROR(INDEX('Both teabags AfterDry'!$D$2:$D$2000,MATCH(L113,'Both teabags AfterDry'!$A$2:$A$2000,0)),"")</f>
        <v/>
      </c>
      <c r="R113" s="257" t="str">
        <f>IFERROR(IF(Q113&gt;0,Q113-(TBIcalc!$Q$9),""),"")</f>
        <v/>
      </c>
      <c r="S113" s="268" t="str">
        <f>IFERROR(INDEX('Ashed teabags dry'!$K$2:$K$2000,MATCH(L113,'Ashed teabags dry'!$A$2:$A$2000,0)),"")</f>
        <v/>
      </c>
      <c r="T113" s="268" t="str">
        <f t="shared" si="7"/>
        <v/>
      </c>
      <c r="U113" s="258" t="str">
        <f>IF('Dry_Litterbag Placem_Collection'!E114="","",'Dry_Litterbag Placem_Collection'!E114)</f>
        <v/>
      </c>
      <c r="V113" s="258" t="str">
        <f>IF('Dry_Litterbag Placem_Collection'!G114="","",'Dry_Litterbag Placem_Collection'!G114)</f>
        <v/>
      </c>
      <c r="W113" s="259" t="str">
        <f t="shared" si="5"/>
        <v/>
      </c>
      <c r="X113" s="257" t="str">
        <f t="shared" si="8"/>
        <v/>
      </c>
      <c r="Y113" s="257" t="str">
        <f t="shared" si="9"/>
        <v/>
      </c>
      <c r="Z113" s="261" t="str">
        <f>IFERROR(INDEX([3]Rainfall_Dry!$O$2:$O$217,MATCH(C113, [3]Rainfall_Dry!$A$2:$A$217,0)),"")</f>
        <v/>
      </c>
      <c r="AA113" s="250">
        <v>34.344660194174757</v>
      </c>
      <c r="AB113" s="250">
        <v>19.22727272727273</v>
      </c>
      <c r="AC113" s="250">
        <v>46.428067078552509</v>
      </c>
      <c r="AD113" s="251" t="s">
        <v>2651</v>
      </c>
      <c r="AE113" s="250">
        <v>8.7452932479053693</v>
      </c>
      <c r="AF113">
        <f>IF('WetLitterbags placem_collection'!AB114="","",'WetLitterbags placem_collection'!AB114)</f>
        <v>11.5</v>
      </c>
      <c r="AG113">
        <f>IF('WetLitterbags placem_collection'!Z114="","",'WetLitterbags placem_collection'!Z114)</f>
        <v>15</v>
      </c>
      <c r="AH113" s="236" t="str">
        <f>IF('WetLitterbags placem_collection'!AA114="","",'WetLitterbags placem_collection'!AA114)</f>
        <v>M</v>
      </c>
      <c r="AI113">
        <f>IF('WetLitterbags placem_collection'!AC114="","",'WetLitterbags placem_collection'!AC114)</f>
        <v>0</v>
      </c>
      <c r="AJ113" t="str">
        <f>IFERROR(AVERAGE('Dry_Litterbag Placem_Collection'!O114,'Dry_Litterbag Placem_Collection'!R114),"")</f>
        <v/>
      </c>
      <c r="AK113" s="261" t="str">
        <f>IFERROR(AVERAGE('Dry_Litterbag Placem_Collection'!N114,'Dry_Litterbag Placem_Collection'!Q114),"")</f>
        <v/>
      </c>
      <c r="AL113" s="260">
        <f>INDEX([2]Coordinates!$B$2:$B$197,MATCH(I113,[2]Coordinates!$J$2:$J$197,0))</f>
        <v>-2.36967098</v>
      </c>
      <c r="AM113" s="260">
        <f>INDEX([2]Coordinates!$C$2:$C$197,MATCH(I113,[2]Coordinates!$J$2:$J$197,0))</f>
        <v>34.059735959999998</v>
      </c>
      <c r="AN113" s="260" t="str">
        <f>IF(ISNUMBER(SEARCH("C", 'Dry_Litterbag Placem_Collection'!S114)),"YES","NO")</f>
        <v>NO</v>
      </c>
      <c r="AO113" s="260" t="str">
        <f>IF(ISNUMBER(SEARCH("H", 'Dry_Litterbag Placem_Collection'!S114)),"YES","NO")</f>
        <v>NO</v>
      </c>
      <c r="AP113" s="260" t="str">
        <f>IF(ISNUMBER(SEARCH("R", 'Dry_Litterbag Placem_Collection'!S114)),"YES","NO")</f>
        <v>NO</v>
      </c>
    </row>
    <row r="114" spans="1:42" ht="15" customHeight="1">
      <c r="A114" t="s">
        <v>3248</v>
      </c>
      <c r="B114" s="252" t="s">
        <v>2643</v>
      </c>
      <c r="C114" s="253">
        <f>'Dry_Litterbag Placem_Collection'!A115</f>
        <v>113</v>
      </c>
      <c r="D114" s="253" t="str">
        <f>'Dry_Litterbag Placem_Collection'!B115</f>
        <v xml:space="preserve">Mwantimba
</v>
      </c>
      <c r="E114" s="253" t="s">
        <v>2454</v>
      </c>
      <c r="F114" s="253" t="s">
        <v>2644</v>
      </c>
      <c r="G114" s="253">
        <v>3</v>
      </c>
      <c r="H114" s="253" t="s">
        <v>3119</v>
      </c>
      <c r="I114" s="254" t="str">
        <f>'Dry_Litterbag Placem_Collection'!C115</f>
        <v>Wet_Ag3_T1</v>
      </c>
      <c r="J114" s="255" t="s">
        <v>2525</v>
      </c>
      <c r="K114" s="256" t="s">
        <v>1147</v>
      </c>
      <c r="L114" s="253" t="str">
        <f>IF(ISBLANK('Dry_Litterbag Placem_Collection'!J115),"","G"&amp;""&amp;'Dry_Litterbag Placem_Collection'!J115)</f>
        <v>G314</v>
      </c>
      <c r="M114" s="257">
        <f>IFERROR(INDEX('Green_rooibos initial weight'!$C$5:$C$2000,MATCH(L114, 'Green_rooibos initial weight'!$A$5:$A$2000,0)),"")</f>
        <v>2.0430000000000001</v>
      </c>
      <c r="N114" s="257">
        <f>IFERROR(M114-(TBIcalc!$Q$9+TBIcalc!$Q$10),"")</f>
        <v>1.7932000000000001</v>
      </c>
      <c r="O114" s="378">
        <f>AVERAGE(Ashed_controlls!$K$2:$K$11)</f>
        <v>5.5147656768714146</v>
      </c>
      <c r="P114" s="257">
        <f t="shared" si="6"/>
        <v>1.6943092218823419</v>
      </c>
      <c r="Q114" s="257">
        <f>IFERROR(INDEX('Both teabags AfterDry'!$D$2:$D$2000,MATCH(L114,'Both teabags AfterDry'!$A$2:$A$2000,0)),"")</f>
        <v>0.78080000000000005</v>
      </c>
      <c r="R114" s="257">
        <f>IFERROR(IF(Q114&gt;0,Q114-(TBIcalc!$Q$9),""),"")</f>
        <v>0.63020000000000009</v>
      </c>
      <c r="S114" s="268">
        <f>IFERROR(INDEX('Ashed teabags dry'!$K$2:$K$2000,MATCH(L114,'Ashed teabags dry'!$A$2:$A$2000,0)),"")</f>
        <v>21.798134011874424</v>
      </c>
      <c r="T114" s="268">
        <f t="shared" si="7"/>
        <v>0.49282815945716746</v>
      </c>
      <c r="U114" s="258">
        <f>IF('Dry_Litterbag Placem_Collection'!E115="","",'Dry_Litterbag Placem_Collection'!E115)</f>
        <v>42939</v>
      </c>
      <c r="V114" s="258">
        <f>IF('Dry_Litterbag Placem_Collection'!G115="","",'Dry_Litterbag Placem_Collection'!G115)</f>
        <v>43008</v>
      </c>
      <c r="W114" s="259">
        <f t="shared" si="5"/>
        <v>69</v>
      </c>
      <c r="X114" s="257">
        <f t="shared" si="8"/>
        <v>1.163</v>
      </c>
      <c r="Y114" s="257">
        <f t="shared" si="9"/>
        <v>1.2014810624251744</v>
      </c>
      <c r="Z114" s="261">
        <f>IFERROR(INDEX([3]Rainfall_Dry!$O$2:$O$217,MATCH(C114, [3]Rainfall_Dry!$A$2:$A$217,0)),"")</f>
        <v>136.27214243</v>
      </c>
      <c r="AA114" s="250">
        <v>27.96</v>
      </c>
      <c r="AB114" s="250">
        <v>4.9200000000000017</v>
      </c>
      <c r="AC114" s="250">
        <v>67.12</v>
      </c>
      <c r="AD114" s="251" t="s">
        <v>2651</v>
      </c>
      <c r="AE114" s="250">
        <v>0.88610152784622953</v>
      </c>
      <c r="AF114">
        <f>IF('WetLitterbags placem_collection'!AB115="","",'WetLitterbags placem_collection'!AB115)</f>
        <v>26</v>
      </c>
      <c r="AG114">
        <f>IF('WetLitterbags placem_collection'!Z115="","",'WetLitterbags placem_collection'!Z115)</f>
        <v>88.5</v>
      </c>
      <c r="AH114" s="236" t="str">
        <f>IF('WetLitterbags placem_collection'!AA115="","",'WetLitterbags placem_collection'!AA115)</f>
        <v>G</v>
      </c>
      <c r="AI114">
        <f>IF('WetLitterbags placem_collection'!AC115="","",'WetLitterbags placem_collection'!AC115)</f>
        <v>0</v>
      </c>
      <c r="AJ114">
        <f>IFERROR(AVERAGE('Dry_Litterbag Placem_Collection'!O115,'Dry_Litterbag Placem_Collection'!R115),"")</f>
        <v>6.35</v>
      </c>
      <c r="AK114" s="261">
        <f>IFERROR(AVERAGE('Dry_Litterbag Placem_Collection'!N115,'Dry_Litterbag Placem_Collection'!Q115),"")</f>
        <v>28.9</v>
      </c>
      <c r="AL114" s="260">
        <f>INDEX([2]Coordinates!$B$2:$B$197,MATCH(I114,[2]Coordinates!$J$2:$J$197,0))</f>
        <v>-2.3487199940000001</v>
      </c>
      <c r="AM114" s="260">
        <f>INDEX([2]Coordinates!$C$2:$C$197,MATCH(I114,[2]Coordinates!$J$2:$J$197,0))</f>
        <v>34.051391029999998</v>
      </c>
      <c r="AN114" s="260" t="str">
        <f>IF(ISNUMBER(SEARCH("C", 'Dry_Litterbag Placem_Collection'!S115)),"YES","NO")</f>
        <v>NO</v>
      </c>
      <c r="AO114" s="260" t="str">
        <f>IF(ISNUMBER(SEARCH("H", 'Dry_Litterbag Placem_Collection'!S115)),"YES","NO")</f>
        <v>NO</v>
      </c>
      <c r="AP114" s="260" t="str">
        <f>IF(ISNUMBER(SEARCH("R", 'Dry_Litterbag Placem_Collection'!S115)),"YES","NO")</f>
        <v>YES</v>
      </c>
    </row>
    <row r="115" spans="1:42" ht="15" customHeight="1">
      <c r="A115" t="s">
        <v>3248</v>
      </c>
      <c r="B115" s="252" t="s">
        <v>2643</v>
      </c>
      <c r="C115" s="253">
        <f>'Dry_Litterbag Placem_Collection'!A116</f>
        <v>114</v>
      </c>
      <c r="D115" s="253" t="str">
        <f>'Dry_Litterbag Placem_Collection'!B116</f>
        <v xml:space="preserve">Mwantimba
</v>
      </c>
      <c r="E115" s="253" t="s">
        <v>2454</v>
      </c>
      <c r="F115" s="253" t="s">
        <v>2644</v>
      </c>
      <c r="G115" s="253">
        <v>3</v>
      </c>
      <c r="H115" s="253" t="s">
        <v>3119</v>
      </c>
      <c r="I115" s="254" t="str">
        <f>'Dry_Litterbag Placem_Collection'!C116</f>
        <v>Wet_Ag3_T2</v>
      </c>
      <c r="J115" s="255" t="s">
        <v>2525</v>
      </c>
      <c r="K115" s="256" t="s">
        <v>1147</v>
      </c>
      <c r="L115" s="253" t="str">
        <f>IF(ISBLANK('Dry_Litterbag Placem_Collection'!J116),"","G"&amp;""&amp;'Dry_Litterbag Placem_Collection'!J116)</f>
        <v>G263</v>
      </c>
      <c r="M115" s="257">
        <f>IFERROR(INDEX('Green_rooibos initial weight'!$C$5:$C$2000,MATCH(L115, 'Green_rooibos initial weight'!$A$5:$A$2000,0)),"")</f>
        <v>2.0960000000000001</v>
      </c>
      <c r="N115" s="257">
        <f>IFERROR(M115-(TBIcalc!$Q$9+TBIcalc!$Q$10),"")</f>
        <v>1.8462000000000001</v>
      </c>
      <c r="O115" s="378">
        <f>AVERAGE(Ashed_controlls!$K$2:$K$11)</f>
        <v>5.5147656768714146</v>
      </c>
      <c r="P115" s="257">
        <f t="shared" si="6"/>
        <v>1.7443863960735999</v>
      </c>
      <c r="Q115" s="257">
        <f>IFERROR(INDEX('Both teabags AfterDry'!$D$2:$D$2000,MATCH(L115,'Both teabags AfterDry'!$A$2:$A$2000,0)),"")</f>
        <v>0.83330000000000004</v>
      </c>
      <c r="R115" s="257">
        <f>IFERROR(IF(Q115&gt;0,Q115-(TBIcalc!$Q$9),""),"")</f>
        <v>0.68270000000000008</v>
      </c>
      <c r="S115" s="268">
        <f>IFERROR(INDEX('Ashed teabags dry'!$K$2:$K$2000,MATCH(L115,'Ashed teabags dry'!$A$2:$A$2000,0)),"")</f>
        <v>29.125376992675438</v>
      </c>
      <c r="T115" s="268">
        <f t="shared" si="7"/>
        <v>0.48386105127100487</v>
      </c>
      <c r="U115" s="258">
        <f>IF('Dry_Litterbag Placem_Collection'!E116="","",'Dry_Litterbag Placem_Collection'!E116)</f>
        <v>42939</v>
      </c>
      <c r="V115" s="258">
        <f>IF('Dry_Litterbag Placem_Collection'!G116="","",'Dry_Litterbag Placem_Collection'!G116)</f>
        <v>43008</v>
      </c>
      <c r="W115" s="259">
        <f t="shared" si="5"/>
        <v>69</v>
      </c>
      <c r="X115" s="257">
        <f t="shared" si="8"/>
        <v>1.1635</v>
      </c>
      <c r="Y115" s="257">
        <f t="shared" si="9"/>
        <v>1.260525344802595</v>
      </c>
      <c r="Z115" s="261">
        <f>IFERROR(INDEX([3]Rainfall_Dry!$O$2:$O$217,MATCH(C115, [3]Rainfall_Dry!$A$2:$A$217,0)),"")</f>
        <v>136.27214243</v>
      </c>
      <c r="AA115" s="250">
        <v>27.96</v>
      </c>
      <c r="AB115" s="250">
        <v>4.9200000000000017</v>
      </c>
      <c r="AC115" s="250">
        <v>67.12</v>
      </c>
      <c r="AD115" s="251" t="s">
        <v>2651</v>
      </c>
      <c r="AE115" s="250">
        <v>1.8861015278462301</v>
      </c>
      <c r="AF115">
        <f>IF('WetLitterbags placem_collection'!AB116="","",'WetLitterbags placem_collection'!AB116)</f>
        <v>16.5</v>
      </c>
      <c r="AG115">
        <f>IF('WetLitterbags placem_collection'!Z116="","",'WetLitterbags placem_collection'!Z116)</f>
        <v>87.5</v>
      </c>
      <c r="AH115" s="236" t="str">
        <f>IF('WetLitterbags placem_collection'!AA116="","",'WetLitterbags placem_collection'!AA116)</f>
        <v>G</v>
      </c>
      <c r="AI115">
        <f>IF('WetLitterbags placem_collection'!AC116="","",'WetLitterbags placem_collection'!AC116)</f>
        <v>0</v>
      </c>
      <c r="AJ115">
        <f>IFERROR(AVERAGE('Dry_Litterbag Placem_Collection'!O116,'Dry_Litterbag Placem_Collection'!R116),"")</f>
        <v>12.1</v>
      </c>
      <c r="AK115" s="261">
        <f>IFERROR(AVERAGE('Dry_Litterbag Placem_Collection'!N116,'Dry_Litterbag Placem_Collection'!Q116),"")</f>
        <v>28.1</v>
      </c>
      <c r="AL115" s="260">
        <f>INDEX([2]Coordinates!$B$2:$B$197,MATCH(I115,[2]Coordinates!$J$2:$J$197,0))</f>
        <v>-2.348716976</v>
      </c>
      <c r="AM115" s="260">
        <f>INDEX([2]Coordinates!$C$2:$C$197,MATCH(I115,[2]Coordinates!$J$2:$J$197,0))</f>
        <v>34.051484989999999</v>
      </c>
      <c r="AN115" s="260" t="str">
        <f>IF(ISNUMBER(SEARCH("C", 'Dry_Litterbag Placem_Collection'!S116)),"YES","NO")</f>
        <v>NO</v>
      </c>
      <c r="AO115" s="260" t="str">
        <f>IF(ISNUMBER(SEARCH("H", 'Dry_Litterbag Placem_Collection'!S116)),"YES","NO")</f>
        <v>NO</v>
      </c>
      <c r="AP115" s="260" t="str">
        <f>IF(ISNUMBER(SEARCH("R", 'Dry_Litterbag Placem_Collection'!S116)),"YES","NO")</f>
        <v>NO</v>
      </c>
    </row>
    <row r="116" spans="1:42" ht="15" customHeight="1">
      <c r="A116" t="s">
        <v>3248</v>
      </c>
      <c r="B116" s="252" t="s">
        <v>2643</v>
      </c>
      <c r="C116" s="253">
        <f>'Dry_Litterbag Placem_Collection'!A117</f>
        <v>115</v>
      </c>
      <c r="D116" s="253" t="str">
        <f>'Dry_Litterbag Placem_Collection'!B117</f>
        <v xml:space="preserve">Mwantimba
</v>
      </c>
      <c r="E116" s="253" t="s">
        <v>2454</v>
      </c>
      <c r="F116" s="253" t="s">
        <v>2644</v>
      </c>
      <c r="G116" s="253">
        <v>3</v>
      </c>
      <c r="H116" s="253" t="s">
        <v>3119</v>
      </c>
      <c r="I116" s="254" t="str">
        <f>'Dry_Litterbag Placem_Collection'!C117</f>
        <v>Wet_Ag3_T3</v>
      </c>
      <c r="J116" s="255" t="s">
        <v>2525</v>
      </c>
      <c r="K116" s="256" t="s">
        <v>1147</v>
      </c>
      <c r="L116" s="253" t="str">
        <f>IF(ISBLANK('Dry_Litterbag Placem_Collection'!J117),"","G"&amp;""&amp;'Dry_Litterbag Placem_Collection'!J117)</f>
        <v>G125</v>
      </c>
      <c r="M116" s="257">
        <f>IFERROR(INDEX('Green_rooibos initial weight'!$C$5:$C$2000,MATCH(L116, 'Green_rooibos initial weight'!$A$5:$A$2000,0)),"")</f>
        <v>2.0979999999999999</v>
      </c>
      <c r="N116" s="257">
        <f>IFERROR(M116-(TBIcalc!$Q$9+TBIcalc!$Q$10),"")</f>
        <v>1.8481999999999998</v>
      </c>
      <c r="O116" s="378">
        <f>AVERAGE(Ashed_controlls!$K$2:$K$11)</f>
        <v>5.5147656768714146</v>
      </c>
      <c r="P116" s="257">
        <f t="shared" si="6"/>
        <v>1.7462761007600625</v>
      </c>
      <c r="Q116" s="257">
        <f>IFERROR(INDEX('Both teabags AfterDry'!$D$2:$D$2000,MATCH(L116,'Both teabags AfterDry'!$A$2:$A$2000,0)),"")</f>
        <v>0.78120000000000001</v>
      </c>
      <c r="R116" s="257">
        <f>IFERROR(IF(Q116&gt;0,Q116-(TBIcalc!$Q$9),""),"")</f>
        <v>0.63060000000000005</v>
      </c>
      <c r="S116" s="268">
        <f>IFERROR(INDEX('Ashed teabags dry'!$K$2:$K$2000,MATCH(L116,'Ashed teabags dry'!$A$2:$A$2000,0)),"")</f>
        <v>18.503937007873372</v>
      </c>
      <c r="T116" s="268">
        <f t="shared" si="7"/>
        <v>0.51391417322835053</v>
      </c>
      <c r="U116" s="258">
        <f>IF('Dry_Litterbag Placem_Collection'!E117="","",'Dry_Litterbag Placem_Collection'!E117)</f>
        <v>42939</v>
      </c>
      <c r="V116" s="258">
        <f>IF('Dry_Litterbag Placem_Collection'!G117="","",'Dry_Litterbag Placem_Collection'!G117)</f>
        <v>43008</v>
      </c>
      <c r="W116" s="259">
        <f t="shared" si="5"/>
        <v>69</v>
      </c>
      <c r="X116" s="257">
        <f t="shared" si="8"/>
        <v>1.2175999999999998</v>
      </c>
      <c r="Y116" s="257">
        <f t="shared" si="9"/>
        <v>1.2323619275317119</v>
      </c>
      <c r="Z116" s="261">
        <f>IFERROR(INDEX([3]Rainfall_Dry!$O$2:$O$217,MATCH(C116, [3]Rainfall_Dry!$A$2:$A$217,0)),"")</f>
        <v>136.27214243</v>
      </c>
      <c r="AA116" s="250">
        <v>27.96</v>
      </c>
      <c r="AB116" s="250">
        <v>4.9200000000000017</v>
      </c>
      <c r="AC116" s="250">
        <v>67.12</v>
      </c>
      <c r="AD116" s="251" t="s">
        <v>2651</v>
      </c>
      <c r="AE116" s="250">
        <v>2.8861015278462299</v>
      </c>
      <c r="AF116">
        <f>IF('WetLitterbags placem_collection'!AB117="","",'WetLitterbags placem_collection'!AB117)</f>
        <v>19</v>
      </c>
      <c r="AG116">
        <f>IF('WetLitterbags placem_collection'!Z117="","",'WetLitterbags placem_collection'!Z117)</f>
        <v>79.5</v>
      </c>
      <c r="AH116" s="236" t="str">
        <f>IF('WetLitterbags placem_collection'!AA117="","",'WetLitterbags placem_collection'!AA117)</f>
        <v>G</v>
      </c>
      <c r="AI116">
        <f>IF('WetLitterbags placem_collection'!AC117="","",'WetLitterbags placem_collection'!AC117)</f>
        <v>1</v>
      </c>
      <c r="AJ116">
        <f>IFERROR(AVERAGE('Dry_Litterbag Placem_Collection'!O117,'Dry_Litterbag Placem_Collection'!R117),"")</f>
        <v>6.9</v>
      </c>
      <c r="AK116" s="261">
        <f>IFERROR(AVERAGE('Dry_Litterbag Placem_Collection'!N117,'Dry_Litterbag Placem_Collection'!Q117),"")</f>
        <v>28.95</v>
      </c>
      <c r="AL116" s="260">
        <f>INDEX([2]Coordinates!$B$2:$B$197,MATCH(I116,[2]Coordinates!$J$2:$J$197,0))</f>
        <v>-2.3487800079999999</v>
      </c>
      <c r="AM116" s="260">
        <f>INDEX([2]Coordinates!$C$2:$C$197,MATCH(I116,[2]Coordinates!$J$2:$J$197,0))</f>
        <v>34.051495969999998</v>
      </c>
      <c r="AN116" s="260" t="str">
        <f>IF(ISNUMBER(SEARCH("C", 'Dry_Litterbag Placem_Collection'!S117)),"YES","NO")</f>
        <v>NO</v>
      </c>
      <c r="AO116" s="260" t="str">
        <f>IF(ISNUMBER(SEARCH("H", 'Dry_Litterbag Placem_Collection'!S117)),"YES","NO")</f>
        <v>NO</v>
      </c>
      <c r="AP116" s="260" t="str">
        <f>IF(ISNUMBER(SEARCH("R", 'Dry_Litterbag Placem_Collection'!S117)),"YES","NO")</f>
        <v>YES</v>
      </c>
    </row>
    <row r="117" spans="1:42" ht="15" customHeight="1">
      <c r="A117" t="s">
        <v>3248</v>
      </c>
      <c r="B117" s="252" t="s">
        <v>2643</v>
      </c>
      <c r="C117" s="253">
        <f>'Dry_Litterbag Placem_Collection'!A118</f>
        <v>116</v>
      </c>
      <c r="D117" s="253" t="str">
        <f>'Dry_Litterbag Placem_Collection'!B118</f>
        <v xml:space="preserve">Mwantimba
</v>
      </c>
      <c r="E117" s="253" t="s">
        <v>2454</v>
      </c>
      <c r="F117" s="253" t="s">
        <v>2644</v>
      </c>
      <c r="G117" s="253">
        <v>3</v>
      </c>
      <c r="H117" s="253" t="s">
        <v>3119</v>
      </c>
      <c r="I117" s="254" t="str">
        <f>'Dry_Litterbag Placem_Collection'!C118</f>
        <v>Wet_Ag3_T4</v>
      </c>
      <c r="J117" s="255" t="s">
        <v>2525</v>
      </c>
      <c r="K117" s="256" t="s">
        <v>1147</v>
      </c>
      <c r="L117" s="253" t="str">
        <f>IF(ISBLANK('Dry_Litterbag Placem_Collection'!J118),"","G"&amp;""&amp;'Dry_Litterbag Placem_Collection'!J118)</f>
        <v>G189</v>
      </c>
      <c r="M117" s="257">
        <f>IFERROR(INDEX('Green_rooibos initial weight'!$C$5:$C$2000,MATCH(L117, 'Green_rooibos initial weight'!$A$5:$A$2000,0)),"")</f>
        <v>2.0059999999999998</v>
      </c>
      <c r="N117" s="257">
        <f>IFERROR(M117-(TBIcalc!$Q$9+TBIcalc!$Q$10),"")</f>
        <v>1.7561999999999998</v>
      </c>
      <c r="O117" s="378">
        <f>AVERAGE(Ashed_controlls!$K$2:$K$11)</f>
        <v>5.5147656768714146</v>
      </c>
      <c r="P117" s="257">
        <f t="shared" si="6"/>
        <v>1.659349685182784</v>
      </c>
      <c r="Q117" s="257">
        <f>IFERROR(INDEX('Both teabags AfterDry'!$D$2:$D$2000,MATCH(L117,'Both teabags AfterDry'!$A$2:$A$2000,0)),"")</f>
        <v>0.76890000000000003</v>
      </c>
      <c r="R117" s="257">
        <f>IFERROR(IF(Q117&gt;0,Q117-(TBIcalc!$Q$9),""),"")</f>
        <v>0.61830000000000007</v>
      </c>
      <c r="S117" s="268">
        <f>IFERROR(INDEX('Ashed teabags dry'!$K$2:$K$2000,MATCH(L117,'Ashed teabags dry'!$A$2:$A$2000,0)),"")</f>
        <v>20.116618075801487</v>
      </c>
      <c r="T117" s="268">
        <f t="shared" si="7"/>
        <v>0.49391895043731948</v>
      </c>
      <c r="U117" s="258">
        <f>IF('Dry_Litterbag Placem_Collection'!E118="","",'Dry_Litterbag Placem_Collection'!E118)</f>
        <v>42939</v>
      </c>
      <c r="V117" s="258">
        <f>IF('Dry_Litterbag Placem_Collection'!G118="","",'Dry_Litterbag Placem_Collection'!G118)</f>
        <v>43008</v>
      </c>
      <c r="W117" s="259">
        <f t="shared" si="5"/>
        <v>69</v>
      </c>
      <c r="X117" s="257">
        <f t="shared" si="8"/>
        <v>1.1378999999999997</v>
      </c>
      <c r="Y117" s="257">
        <f t="shared" si="9"/>
        <v>1.1654307347454647</v>
      </c>
      <c r="Z117" s="261">
        <f>IFERROR(INDEX([3]Rainfall_Dry!$O$2:$O$217,MATCH(C117, [3]Rainfall_Dry!$A$2:$A$217,0)),"")</f>
        <v>136.27214243</v>
      </c>
      <c r="AA117" s="250">
        <v>27.96</v>
      </c>
      <c r="AB117" s="250">
        <v>4.9200000000000017</v>
      </c>
      <c r="AC117" s="250">
        <v>67.12</v>
      </c>
      <c r="AD117" s="251" t="s">
        <v>2651</v>
      </c>
      <c r="AE117" s="250">
        <v>3.8861015278462299</v>
      </c>
      <c r="AF117">
        <f>IF('WetLitterbags placem_collection'!AB118="","",'WetLitterbags placem_collection'!AB118)</f>
        <v>22.5</v>
      </c>
      <c r="AG117">
        <f>IF('WetLitterbags placem_collection'!Z118="","",'WetLitterbags placem_collection'!Z118)</f>
        <v>76</v>
      </c>
      <c r="AH117" s="236" t="str">
        <f>IF('WetLitterbags placem_collection'!AA118="","",'WetLitterbags placem_collection'!AA118)</f>
        <v>G</v>
      </c>
      <c r="AI117">
        <f>IF('WetLitterbags placem_collection'!AC118="","",'WetLitterbags placem_collection'!AC118)</f>
        <v>1</v>
      </c>
      <c r="AJ117">
        <f>IFERROR(AVERAGE('Dry_Litterbag Placem_Collection'!O118,'Dry_Litterbag Placem_Collection'!R118),"")</f>
        <v>8.65</v>
      </c>
      <c r="AK117" s="261">
        <f>IFERROR(AVERAGE('Dry_Litterbag Placem_Collection'!N118,'Dry_Litterbag Placem_Collection'!Q118),"")</f>
        <v>29.799999999999997</v>
      </c>
      <c r="AL117" s="260">
        <f>INDEX([2]Coordinates!$B$2:$B$197,MATCH(I117,[2]Coordinates!$J$2:$J$197,0))</f>
        <v>-2.3488120270000001</v>
      </c>
      <c r="AM117" s="260">
        <f>INDEX([2]Coordinates!$C$2:$C$197,MATCH(I117,[2]Coordinates!$J$2:$J$197,0))</f>
        <v>34.05146697</v>
      </c>
      <c r="AN117" s="260" t="str">
        <f>IF(ISNUMBER(SEARCH("C", 'Dry_Litterbag Placem_Collection'!S118)),"YES","NO")</f>
        <v>NO</v>
      </c>
      <c r="AO117" s="260" t="str">
        <f>IF(ISNUMBER(SEARCH("H", 'Dry_Litterbag Placem_Collection'!S118)),"YES","NO")</f>
        <v>NO</v>
      </c>
      <c r="AP117" s="260" t="str">
        <f>IF(ISNUMBER(SEARCH("R", 'Dry_Litterbag Placem_Collection'!S118)),"YES","NO")</f>
        <v>YES</v>
      </c>
    </row>
    <row r="118" spans="1:42" ht="15" customHeight="1">
      <c r="A118" t="s">
        <v>3248</v>
      </c>
      <c r="B118" s="252" t="s">
        <v>2643</v>
      </c>
      <c r="C118" s="253">
        <f>'Dry_Litterbag Placem_Collection'!A119</f>
        <v>117</v>
      </c>
      <c r="D118" s="253" t="str">
        <f>'Dry_Litterbag Placem_Collection'!B119</f>
        <v xml:space="preserve">Mwantimba
</v>
      </c>
      <c r="E118" s="253" t="s">
        <v>2454</v>
      </c>
      <c r="F118" s="253" t="s">
        <v>2644</v>
      </c>
      <c r="G118" s="253">
        <v>3</v>
      </c>
      <c r="H118" s="253" t="s">
        <v>3119</v>
      </c>
      <c r="I118" s="254" t="str">
        <f>'Dry_Litterbag Placem_Collection'!C119</f>
        <v>Wet_Ag3_T5</v>
      </c>
      <c r="J118" s="255" t="s">
        <v>2525</v>
      </c>
      <c r="K118" s="256" t="s">
        <v>1147</v>
      </c>
      <c r="L118" s="253" t="str">
        <f>IF(ISBLANK('Dry_Litterbag Placem_Collection'!J119),"","G"&amp;""&amp;'Dry_Litterbag Placem_Collection'!J119)</f>
        <v>G533</v>
      </c>
      <c r="M118" s="257">
        <f>IFERROR(INDEX('Green_rooibos initial weight'!$C$5:$C$2000,MATCH(L118, 'Green_rooibos initial weight'!$A$5:$A$2000,0)),"")</f>
        <v>2.1070000000000002</v>
      </c>
      <c r="N118" s="257">
        <f>IFERROR(M118-(TBIcalc!$Q$9+TBIcalc!$Q$10),"")</f>
        <v>1.8572000000000002</v>
      </c>
      <c r="O118" s="378">
        <f>AVERAGE(Ashed_controlls!$K$2:$K$11)</f>
        <v>5.5147656768714146</v>
      </c>
      <c r="P118" s="257">
        <f t="shared" si="6"/>
        <v>1.7547797718491442</v>
      </c>
      <c r="Q118" s="257" t="str">
        <f>IFERROR(INDEX('Both teabags AfterDry'!$D$2:$D$2000,MATCH(L118,'Both teabags AfterDry'!$A$2:$A$2000,0)),"")</f>
        <v/>
      </c>
      <c r="R118" s="257" t="str">
        <f>IFERROR(IF(Q118&gt;0,Q118-(TBIcalc!$Q$9),""),"")</f>
        <v/>
      </c>
      <c r="S118" s="268" t="str">
        <f>IFERROR(INDEX('Ashed teabags dry'!$K$2:$K$2000,MATCH(L118,'Ashed teabags dry'!$A$2:$A$2000,0)),"")</f>
        <v/>
      </c>
      <c r="T118" s="268" t="str">
        <f t="shared" si="7"/>
        <v/>
      </c>
      <c r="U118" s="258">
        <f>IF('Dry_Litterbag Placem_Collection'!E119="","",'Dry_Litterbag Placem_Collection'!E119)</f>
        <v>42939</v>
      </c>
      <c r="V118" s="258">
        <f>IF('Dry_Litterbag Placem_Collection'!G119="","",'Dry_Litterbag Placem_Collection'!G119)</f>
        <v>43008</v>
      </c>
      <c r="W118" s="259">
        <f t="shared" si="5"/>
        <v>69</v>
      </c>
      <c r="X118" s="257" t="str">
        <f t="shared" si="8"/>
        <v/>
      </c>
      <c r="Y118" s="257" t="str">
        <f t="shared" si="9"/>
        <v/>
      </c>
      <c r="Z118" s="261">
        <f>IFERROR(INDEX([3]Rainfall_Dry!$O$2:$O$217,MATCH(C118, [3]Rainfall_Dry!$A$2:$A$217,0)),"")</f>
        <v>136.27214243</v>
      </c>
      <c r="AA118" s="250">
        <v>27.96</v>
      </c>
      <c r="AB118" s="250">
        <v>4.9200000000000017</v>
      </c>
      <c r="AC118" s="250">
        <v>67.12</v>
      </c>
      <c r="AD118" s="251" t="s">
        <v>2651</v>
      </c>
      <c r="AE118" s="250">
        <v>4.8861015278462299</v>
      </c>
      <c r="AF118">
        <f>IF('WetLitterbags placem_collection'!AB119="","",'WetLitterbags placem_collection'!AB119)</f>
        <v>23.5</v>
      </c>
      <c r="AG118">
        <f>IF('WetLitterbags placem_collection'!Z119="","",'WetLitterbags placem_collection'!Z119)</f>
        <v>76</v>
      </c>
      <c r="AH118" s="236" t="str">
        <f>IF('WetLitterbags placem_collection'!AA119="","",'WetLitterbags placem_collection'!AA119)</f>
        <v>G</v>
      </c>
      <c r="AI118">
        <f>IF('WetLitterbags placem_collection'!AC119="","",'WetLitterbags placem_collection'!AC119)</f>
        <v>1</v>
      </c>
      <c r="AJ118">
        <f>IFERROR(AVERAGE('Dry_Litterbag Placem_Collection'!O119,'Dry_Litterbag Placem_Collection'!R119),"")</f>
        <v>10.149999999999999</v>
      </c>
      <c r="AK118" s="261">
        <f>IFERROR(AVERAGE('Dry_Litterbag Placem_Collection'!N119,'Dry_Litterbag Placem_Collection'!Q119),"")</f>
        <v>29.05</v>
      </c>
      <c r="AL118" s="260">
        <f>INDEX([2]Coordinates!$B$2:$B$197,MATCH(I118,[2]Coordinates!$J$2:$J$197,0))</f>
        <v>-2.348814961</v>
      </c>
      <c r="AM118" s="260">
        <f>INDEX([2]Coordinates!$C$2:$C$197,MATCH(I118,[2]Coordinates!$J$2:$J$197,0))</f>
        <v>34.051439979999998</v>
      </c>
      <c r="AN118" s="260" t="str">
        <f>IF(ISNUMBER(SEARCH("C", 'Dry_Litterbag Placem_Collection'!S119)),"YES","NO")</f>
        <v>NO</v>
      </c>
      <c r="AO118" s="260" t="str">
        <f>IF(ISNUMBER(SEARCH("H", 'Dry_Litterbag Placem_Collection'!S119)),"YES","NO")</f>
        <v>NO</v>
      </c>
      <c r="AP118" s="260" t="str">
        <f>IF(ISNUMBER(SEARCH("R", 'Dry_Litterbag Placem_Collection'!S119)),"YES","NO")</f>
        <v>YES</v>
      </c>
    </row>
    <row r="119" spans="1:42" ht="15" customHeight="1">
      <c r="A119" t="s">
        <v>3248</v>
      </c>
      <c r="B119" s="252" t="s">
        <v>2643</v>
      </c>
      <c r="C119" s="253">
        <f>'Dry_Litterbag Placem_Collection'!A120</f>
        <v>118</v>
      </c>
      <c r="D119" s="253" t="str">
        <f>'Dry_Litterbag Placem_Collection'!B120</f>
        <v xml:space="preserve">Mwantimba
</v>
      </c>
      <c r="E119" s="253" t="s">
        <v>2454</v>
      </c>
      <c r="F119" s="253" t="s">
        <v>2644</v>
      </c>
      <c r="G119" s="253">
        <v>3</v>
      </c>
      <c r="H119" s="253" t="s">
        <v>3119</v>
      </c>
      <c r="I119" s="254" t="str">
        <f>'Dry_Litterbag Placem_Collection'!C120</f>
        <v>Wet_Ag3_T6</v>
      </c>
      <c r="J119" s="255" t="s">
        <v>2525</v>
      </c>
      <c r="K119" s="256" t="s">
        <v>1147</v>
      </c>
      <c r="L119" s="253" t="str">
        <f>IF(ISBLANK('Dry_Litterbag Placem_Collection'!J120),"","G"&amp;""&amp;'Dry_Litterbag Placem_Collection'!J120)</f>
        <v>G200</v>
      </c>
      <c r="M119" s="257">
        <f>IFERROR(INDEX('Green_rooibos initial weight'!$C$5:$C$2000,MATCH(L119, 'Green_rooibos initial weight'!$A$5:$A$2000,0)),"")</f>
        <v>2.0150000000000001</v>
      </c>
      <c r="N119" s="257">
        <f>IFERROR(M119-(TBIcalc!$Q$9+TBIcalc!$Q$10),"")</f>
        <v>1.7652000000000001</v>
      </c>
      <c r="O119" s="378">
        <f>AVERAGE(Ashed_controlls!$K$2:$K$11)</f>
        <v>5.5147656768714146</v>
      </c>
      <c r="P119" s="257">
        <f t="shared" si="6"/>
        <v>1.6678533562718658</v>
      </c>
      <c r="Q119" s="257">
        <f>IFERROR(INDEX('Both teabags AfterDry'!$D$2:$D$2000,MATCH(L119,'Both teabags AfterDry'!$A$2:$A$2000,0)),"")</f>
        <v>0.71760000000000002</v>
      </c>
      <c r="R119" s="257">
        <f>IFERROR(IF(Q119&gt;0,Q119-(TBIcalc!$Q$9),""),"")</f>
        <v>0.56699999999999995</v>
      </c>
      <c r="S119" s="268">
        <f>IFERROR(INDEX('Ashed teabags dry'!$K$2:$K$2000,MATCH(L119,'Ashed teabags dry'!$A$2:$A$2000,0)),"")</f>
        <v>18.547215496368619</v>
      </c>
      <c r="T119" s="268">
        <f t="shared" si="7"/>
        <v>0.46183728813558989</v>
      </c>
      <c r="U119" s="258">
        <f>IF('Dry_Litterbag Placem_Collection'!E120="","",'Dry_Litterbag Placem_Collection'!E120)</f>
        <v>42939</v>
      </c>
      <c r="V119" s="258">
        <f>IF('Dry_Litterbag Placem_Collection'!G120="","",'Dry_Litterbag Placem_Collection'!G120)</f>
        <v>43008</v>
      </c>
      <c r="W119" s="259">
        <f t="shared" si="5"/>
        <v>69</v>
      </c>
      <c r="X119" s="257">
        <f t="shared" si="8"/>
        <v>1.1982000000000002</v>
      </c>
      <c r="Y119" s="257">
        <f t="shared" si="9"/>
        <v>1.2060160681362759</v>
      </c>
      <c r="Z119" s="261">
        <f>IFERROR(INDEX([3]Rainfall_Dry!$O$2:$O$217,MATCH(C119, [3]Rainfall_Dry!$A$2:$A$217,0)),"")</f>
        <v>136.27214243</v>
      </c>
      <c r="AA119" s="250">
        <v>27.96</v>
      </c>
      <c r="AB119" s="250">
        <v>4.9200000000000017</v>
      </c>
      <c r="AC119" s="250">
        <v>67.12</v>
      </c>
      <c r="AD119" s="251" t="s">
        <v>2651</v>
      </c>
      <c r="AE119" s="250">
        <v>5.8861015278462299</v>
      </c>
      <c r="AF119">
        <f>IF('WetLitterbags placem_collection'!AB120="","",'WetLitterbags placem_collection'!AB120)</f>
        <v>17.5</v>
      </c>
      <c r="AG119">
        <f>IF('WetLitterbags placem_collection'!Z120="","",'WetLitterbags placem_collection'!Z120)</f>
        <v>70.5</v>
      </c>
      <c r="AH119" s="236" t="str">
        <f>IF('WetLitterbags placem_collection'!AA120="","",'WetLitterbags placem_collection'!AA120)</f>
        <v>G</v>
      </c>
      <c r="AI119">
        <f>IF('WetLitterbags placem_collection'!AC120="","",'WetLitterbags placem_collection'!AC120)</f>
        <v>1</v>
      </c>
      <c r="AJ119">
        <f>IFERROR(AVERAGE('Dry_Litterbag Placem_Collection'!O120,'Dry_Litterbag Placem_Collection'!R120),"")</f>
        <v>7.8000000000000007</v>
      </c>
      <c r="AK119" s="261">
        <f>IFERROR(AVERAGE('Dry_Litterbag Placem_Collection'!N120,'Dry_Litterbag Placem_Collection'!Q120),"")</f>
        <v>28.25</v>
      </c>
      <c r="AL119" s="260">
        <f>INDEX([2]Coordinates!$B$2:$B$197,MATCH(I119,[2]Coordinates!$J$2:$J$197,0))</f>
        <v>-2.3488729629999998</v>
      </c>
      <c r="AM119" s="260">
        <f>INDEX([2]Coordinates!$C$2:$C$197,MATCH(I119,[2]Coordinates!$J$2:$J$197,0))</f>
        <v>34.051454980000003</v>
      </c>
      <c r="AN119" s="260" t="str">
        <f>IF(ISNUMBER(SEARCH("C", 'Dry_Litterbag Placem_Collection'!S120)),"YES","NO")</f>
        <v>NO</v>
      </c>
      <c r="AO119" s="260" t="str">
        <f>IF(ISNUMBER(SEARCH("H", 'Dry_Litterbag Placem_Collection'!S120)),"YES","NO")</f>
        <v>YES</v>
      </c>
      <c r="AP119" s="260" t="str">
        <f>IF(ISNUMBER(SEARCH("R", 'Dry_Litterbag Placem_Collection'!S120)),"YES","NO")</f>
        <v>YES</v>
      </c>
    </row>
    <row r="120" spans="1:42" ht="15" customHeight="1">
      <c r="A120" t="s">
        <v>3248</v>
      </c>
      <c r="B120" s="252" t="s">
        <v>2643</v>
      </c>
      <c r="C120" s="253">
        <f>'Dry_Litterbag Placem_Collection'!A121</f>
        <v>119</v>
      </c>
      <c r="D120" s="253" t="str">
        <f>'Dry_Litterbag Placem_Collection'!B121</f>
        <v xml:space="preserve">Mwantimba
</v>
      </c>
      <c r="E120" s="253" t="s">
        <v>2454</v>
      </c>
      <c r="F120" s="253" t="s">
        <v>2644</v>
      </c>
      <c r="G120" s="253">
        <v>3</v>
      </c>
      <c r="H120" s="253" t="s">
        <v>3119</v>
      </c>
      <c r="I120" s="254" t="str">
        <f>'Dry_Litterbag Placem_Collection'!C121</f>
        <v>Wet_Ag3_T7</v>
      </c>
      <c r="J120" s="255" t="s">
        <v>2525</v>
      </c>
      <c r="K120" s="256" t="s">
        <v>1147</v>
      </c>
      <c r="L120" s="253" t="str">
        <f>IF(ISBLANK('Dry_Litterbag Placem_Collection'!J121),"","G"&amp;""&amp;'Dry_Litterbag Placem_Collection'!J121)</f>
        <v>G236</v>
      </c>
      <c r="M120" s="257">
        <f>IFERROR(INDEX('Green_rooibos initial weight'!$C$5:$C$2000,MATCH(L120, 'Green_rooibos initial weight'!$A$5:$A$2000,0)),"")</f>
        <v>2.0529999999999999</v>
      </c>
      <c r="N120" s="257">
        <f>IFERROR(M120-(TBIcalc!$Q$9+TBIcalc!$Q$10),"")</f>
        <v>1.8031999999999999</v>
      </c>
      <c r="O120" s="378">
        <f>AVERAGE(Ashed_controlls!$K$2:$K$11)</f>
        <v>5.5147656768714146</v>
      </c>
      <c r="P120" s="257">
        <f t="shared" si="6"/>
        <v>1.7037577453146546</v>
      </c>
      <c r="Q120" s="257">
        <f>IFERROR(INDEX('Both teabags AfterDry'!$D$2:$D$2000,MATCH(L120,'Both teabags AfterDry'!$A$2:$A$2000,0)),"")</f>
        <v>0.81489999999999996</v>
      </c>
      <c r="R120" s="257">
        <f>IFERROR(IF(Q120&gt;0,Q120-(TBIcalc!$Q$9),""),"")</f>
        <v>0.66429999999999989</v>
      </c>
      <c r="S120" s="268">
        <f>IFERROR(INDEX('Ashed teabags dry'!$K$2:$K$2000,MATCH(L120,'Ashed teabags dry'!$A$2:$A$2000,0)),"")</f>
        <v>19.0062711046786</v>
      </c>
      <c r="T120" s="268">
        <f t="shared" si="7"/>
        <v>0.53804134105162005</v>
      </c>
      <c r="U120" s="258">
        <f>IF('Dry_Litterbag Placem_Collection'!E121="","",'Dry_Litterbag Placem_Collection'!E121)</f>
        <v>42939</v>
      </c>
      <c r="V120" s="258">
        <f>IF('Dry_Litterbag Placem_Collection'!G121="","",'Dry_Litterbag Placem_Collection'!G121)</f>
        <v>43008</v>
      </c>
      <c r="W120" s="259">
        <f t="shared" si="5"/>
        <v>69</v>
      </c>
      <c r="X120" s="257">
        <f t="shared" si="8"/>
        <v>1.1389</v>
      </c>
      <c r="Y120" s="257">
        <f t="shared" si="9"/>
        <v>1.1657164042630346</v>
      </c>
      <c r="Z120" s="261">
        <f>IFERROR(INDEX([3]Rainfall_Dry!$O$2:$O$217,MATCH(C120, [3]Rainfall_Dry!$A$2:$A$217,0)),"")</f>
        <v>136.27214243</v>
      </c>
      <c r="AA120" s="250">
        <v>27.96</v>
      </c>
      <c r="AB120" s="250">
        <v>4.9200000000000017</v>
      </c>
      <c r="AC120" s="250">
        <v>67.12</v>
      </c>
      <c r="AD120" s="251" t="s">
        <v>2651</v>
      </c>
      <c r="AE120" s="250">
        <v>6.8861015278462299</v>
      </c>
      <c r="AF120">
        <f>IF('WetLitterbags placem_collection'!AB121="","",'WetLitterbags placem_collection'!AB121)</f>
        <v>18.5</v>
      </c>
      <c r="AG120">
        <f>IF('WetLitterbags placem_collection'!Z121="","",'WetLitterbags placem_collection'!Z121)</f>
        <v>74.5</v>
      </c>
      <c r="AH120" s="236" t="str">
        <f>IF('WetLitterbags placem_collection'!AA121="","",'WetLitterbags placem_collection'!AA121)</f>
        <v>G</v>
      </c>
      <c r="AI120">
        <f>IF('WetLitterbags placem_collection'!AC121="","",'WetLitterbags placem_collection'!AC121)</f>
        <v>1</v>
      </c>
      <c r="AJ120">
        <f>IFERROR(AVERAGE('Dry_Litterbag Placem_Collection'!O121,'Dry_Litterbag Placem_Collection'!R121),"")</f>
        <v>10.050000000000001</v>
      </c>
      <c r="AK120" s="261">
        <f>IFERROR(AVERAGE('Dry_Litterbag Placem_Collection'!N121,'Dry_Litterbag Placem_Collection'!Q121),"")</f>
        <v>27.95</v>
      </c>
      <c r="AL120" s="260">
        <f>INDEX([2]Coordinates!$B$2:$B$197,MATCH(I120,[2]Coordinates!$J$2:$J$197,0))</f>
        <v>-2.3488589659999999</v>
      </c>
      <c r="AM120" s="260">
        <f>INDEX([2]Coordinates!$C$2:$C$197,MATCH(I120,[2]Coordinates!$J$2:$J$197,0))</f>
        <v>34.051389010000001</v>
      </c>
      <c r="AN120" s="260" t="str">
        <f>IF(ISNUMBER(SEARCH("C", 'Dry_Litterbag Placem_Collection'!S121)),"YES","NO")</f>
        <v>NO</v>
      </c>
      <c r="AO120" s="260" t="str">
        <f>IF(ISNUMBER(SEARCH("H", 'Dry_Litterbag Placem_Collection'!S121)),"YES","NO")</f>
        <v>YES</v>
      </c>
      <c r="AP120" s="260" t="str">
        <f>IF(ISNUMBER(SEARCH("R", 'Dry_Litterbag Placem_Collection'!S121)),"YES","NO")</f>
        <v>NO</v>
      </c>
    </row>
    <row r="121" spans="1:42" ht="15" customHeight="1">
      <c r="A121" t="s">
        <v>3248</v>
      </c>
      <c r="B121" s="252" t="s">
        <v>2643</v>
      </c>
      <c r="C121" s="253">
        <f>'Dry_Litterbag Placem_Collection'!A122</f>
        <v>120</v>
      </c>
      <c r="D121" s="253" t="str">
        <f>'Dry_Litterbag Placem_Collection'!B122</f>
        <v xml:space="preserve">Mwantimba
</v>
      </c>
      <c r="E121" s="253" t="s">
        <v>2454</v>
      </c>
      <c r="F121" s="253" t="s">
        <v>2644</v>
      </c>
      <c r="G121" s="253">
        <v>3</v>
      </c>
      <c r="H121" s="253" t="s">
        <v>3119</v>
      </c>
      <c r="I121" s="254" t="str">
        <f>'Dry_Litterbag Placem_Collection'!C122</f>
        <v>Wet_Ag3_T8</v>
      </c>
      <c r="J121" s="255" t="s">
        <v>2525</v>
      </c>
      <c r="K121" s="256" t="s">
        <v>1147</v>
      </c>
      <c r="L121" s="253" t="str">
        <f>IF(ISBLANK('Dry_Litterbag Placem_Collection'!J122),"","G"&amp;""&amp;'Dry_Litterbag Placem_Collection'!J122)</f>
        <v/>
      </c>
      <c r="M121" s="257" t="str">
        <f>IFERROR(INDEX('Green_rooibos initial weight'!$C$5:$C$2000,MATCH(L121, 'Green_rooibos initial weight'!$A$5:$A$2000,0)),"")</f>
        <v/>
      </c>
      <c r="N121" s="257" t="str">
        <f>IFERROR(M121-(TBIcalc!$Q$9+TBIcalc!$Q$10),"")</f>
        <v/>
      </c>
      <c r="O121" s="378">
        <f>AVERAGE(Ashed_controlls!$K$2:$K$11)</f>
        <v>5.5147656768714146</v>
      </c>
      <c r="P121" s="257" t="str">
        <f t="shared" si="6"/>
        <v/>
      </c>
      <c r="Q121" s="257" t="str">
        <f>IFERROR(INDEX('Both teabags AfterDry'!$D$2:$D$2000,MATCH(L121,'Both teabags AfterDry'!$A$2:$A$2000,0)),"")</f>
        <v/>
      </c>
      <c r="R121" s="257" t="str">
        <f>IFERROR(IF(Q121&gt;0,Q121-(TBIcalc!$Q$9),""),"")</f>
        <v/>
      </c>
      <c r="S121" s="268" t="str">
        <f>IFERROR(INDEX('Ashed teabags dry'!$K$2:$K$2000,MATCH(L121,'Ashed teabags dry'!$A$2:$A$2000,0)),"")</f>
        <v/>
      </c>
      <c r="T121" s="268" t="str">
        <f t="shared" si="7"/>
        <v/>
      </c>
      <c r="U121" s="258" t="str">
        <f>IF('Dry_Litterbag Placem_Collection'!E122="","",'Dry_Litterbag Placem_Collection'!E122)</f>
        <v/>
      </c>
      <c r="V121" s="258" t="str">
        <f>IF('Dry_Litterbag Placem_Collection'!G122="","",'Dry_Litterbag Placem_Collection'!G122)</f>
        <v/>
      </c>
      <c r="W121" s="259" t="str">
        <f t="shared" si="5"/>
        <v/>
      </c>
      <c r="X121" s="257" t="str">
        <f t="shared" si="8"/>
        <v/>
      </c>
      <c r="Y121" s="257" t="str">
        <f t="shared" si="9"/>
        <v/>
      </c>
      <c r="Z121" s="261" t="str">
        <f>IFERROR(INDEX([3]Rainfall_Dry!$O$2:$O$217,MATCH(C121, [3]Rainfall_Dry!$A$2:$A$217,0)),"")</f>
        <v/>
      </c>
      <c r="AA121" s="250">
        <v>27.96</v>
      </c>
      <c r="AB121" s="250">
        <v>4.9200000000000017</v>
      </c>
      <c r="AC121" s="250">
        <v>67.12</v>
      </c>
      <c r="AD121" s="251" t="s">
        <v>2651</v>
      </c>
      <c r="AE121" s="250">
        <v>7.8861015278462299</v>
      </c>
      <c r="AF121">
        <f>IF('WetLitterbags placem_collection'!AB122="","",'WetLitterbags placem_collection'!AB122)</f>
        <v>19</v>
      </c>
      <c r="AG121">
        <f>IF('WetLitterbags placem_collection'!Z122="","",'WetLitterbags placem_collection'!Z122)</f>
        <v>98.5</v>
      </c>
      <c r="AH121" s="236" t="str">
        <f>IF('WetLitterbags placem_collection'!AA122="","",'WetLitterbags placem_collection'!AA122)</f>
        <v>G</v>
      </c>
      <c r="AI121">
        <f>IF('WetLitterbags placem_collection'!AC122="","",'WetLitterbags placem_collection'!AC122)</f>
        <v>0</v>
      </c>
      <c r="AJ121" t="str">
        <f>IFERROR(AVERAGE('Dry_Litterbag Placem_Collection'!O122,'Dry_Litterbag Placem_Collection'!R122),"")</f>
        <v/>
      </c>
      <c r="AK121" s="261" t="str">
        <f>IFERROR(AVERAGE('Dry_Litterbag Placem_Collection'!N122,'Dry_Litterbag Placem_Collection'!Q122),"")</f>
        <v/>
      </c>
      <c r="AL121" s="260">
        <f>INDEX([2]Coordinates!$B$2:$B$197,MATCH(I121,[2]Coordinates!$J$2:$J$197,0))</f>
        <v>-2.3486449760000001</v>
      </c>
      <c r="AM121" s="260">
        <f>INDEX([2]Coordinates!$C$2:$C$197,MATCH(I121,[2]Coordinates!$J$2:$J$197,0))</f>
        <v>34.051495969999998</v>
      </c>
      <c r="AN121" s="260" t="str">
        <f>IF(ISNUMBER(SEARCH("C", 'Dry_Litterbag Placem_Collection'!S122)),"YES","NO")</f>
        <v>NO</v>
      </c>
      <c r="AO121" s="260" t="str">
        <f>IF(ISNUMBER(SEARCH("H", 'Dry_Litterbag Placem_Collection'!S122)),"YES","NO")</f>
        <v>NO</v>
      </c>
      <c r="AP121" s="260" t="str">
        <f>IF(ISNUMBER(SEARCH("R", 'Dry_Litterbag Placem_Collection'!S122)),"YES","NO")</f>
        <v>NO</v>
      </c>
    </row>
    <row r="122" spans="1:42" ht="15" customHeight="1">
      <c r="A122" t="s">
        <v>3248</v>
      </c>
      <c r="B122" s="252" t="s">
        <v>2643</v>
      </c>
      <c r="C122" s="253">
        <f>'Dry_Litterbag Placem_Collection'!A123</f>
        <v>121</v>
      </c>
      <c r="D122" s="253" t="str">
        <f>'Dry_Litterbag Placem_Collection'!B123</f>
        <v xml:space="preserve">Mwantimba
</v>
      </c>
      <c r="E122" s="253" t="s">
        <v>2454</v>
      </c>
      <c r="F122" s="253" t="s">
        <v>2644</v>
      </c>
      <c r="G122" s="253">
        <v>4</v>
      </c>
      <c r="H122" s="253" t="s">
        <v>3120</v>
      </c>
      <c r="I122" s="254" t="str">
        <f>'Dry_Litterbag Placem_Collection'!C123</f>
        <v>Wet_Ag4_T1</v>
      </c>
      <c r="J122" s="255" t="s">
        <v>2525</v>
      </c>
      <c r="K122" s="256" t="s">
        <v>1147</v>
      </c>
      <c r="L122" s="253" t="str">
        <f>IF(ISBLANK('Dry_Litterbag Placem_Collection'!J123),"","G"&amp;""&amp;'Dry_Litterbag Placem_Collection'!J123)</f>
        <v>G280</v>
      </c>
      <c r="M122" s="257">
        <f>IFERROR(INDEX('Green_rooibos initial weight'!$C$5:$C$2000,MATCH(L122, 'Green_rooibos initial weight'!$A$5:$A$2000,0)),"")</f>
        <v>1.9450000000000001</v>
      </c>
      <c r="N122" s="257">
        <f>IFERROR(M122-(TBIcalc!$Q$9+TBIcalc!$Q$10),"")</f>
        <v>1.6952</v>
      </c>
      <c r="O122" s="378">
        <f>AVERAGE(Ashed_controlls!$K$2:$K$11)</f>
        <v>5.5147656768714146</v>
      </c>
      <c r="P122" s="257">
        <f t="shared" si="6"/>
        <v>1.6017136922456758</v>
      </c>
      <c r="Q122" s="257" t="str">
        <f>IFERROR(INDEX('Both teabags AfterDry'!$D$2:$D$2000,MATCH(L122,'Both teabags AfterDry'!$A$2:$A$2000,0)),"")</f>
        <v/>
      </c>
      <c r="R122" s="257" t="str">
        <f>IFERROR(IF(Q122&gt;0,Q122-(TBIcalc!$Q$9),""),"")</f>
        <v/>
      </c>
      <c r="S122" s="268" t="str">
        <f>IFERROR(INDEX('Ashed teabags dry'!$K$2:$K$2000,MATCH(L122,'Ashed teabags dry'!$A$2:$A$2000,0)),"")</f>
        <v/>
      </c>
      <c r="T122" s="268" t="str">
        <f t="shared" si="7"/>
        <v/>
      </c>
      <c r="U122" s="258">
        <f>IF('Dry_Litterbag Placem_Collection'!E123="","",'Dry_Litterbag Placem_Collection'!E123)</f>
        <v>42939</v>
      </c>
      <c r="V122" s="258">
        <f>IF('Dry_Litterbag Placem_Collection'!G123="","",'Dry_Litterbag Placem_Collection'!G123)</f>
        <v>43008</v>
      </c>
      <c r="W122" s="259">
        <f t="shared" si="5"/>
        <v>69</v>
      </c>
      <c r="X122" s="257" t="str">
        <f t="shared" si="8"/>
        <v/>
      </c>
      <c r="Y122" s="257" t="str">
        <f t="shared" si="9"/>
        <v/>
      </c>
      <c r="Z122" s="261">
        <f>IFERROR(INDEX([3]Rainfall_Dry!$O$2:$O$217,MATCH(C122, [3]Rainfall_Dry!$A$2:$A$217,0)),"")</f>
        <v>136.27214243</v>
      </c>
      <c r="AA122" s="250">
        <v>17.96</v>
      </c>
      <c r="AB122" s="250">
        <v>4.9199999999999982</v>
      </c>
      <c r="AC122" s="250">
        <v>77.12</v>
      </c>
      <c r="AD122" s="251" t="s">
        <v>2652</v>
      </c>
      <c r="AE122" s="250">
        <v>2.0220798422868409</v>
      </c>
      <c r="AF122">
        <f>IF('WetLitterbags placem_collection'!AB123="","",'WetLitterbags placem_collection'!AB123)</f>
        <v>9.65</v>
      </c>
      <c r="AG122">
        <f>IF('WetLitterbags placem_collection'!Z123="","",'WetLitterbags placem_collection'!Z123)</f>
        <v>63</v>
      </c>
      <c r="AH122" s="236" t="str">
        <f>IF('WetLitterbags placem_collection'!AA123="","",'WetLitterbags placem_collection'!AA123)</f>
        <v>G</v>
      </c>
      <c r="AI122">
        <f>IF('WetLitterbags placem_collection'!AC123="","",'WetLitterbags placem_collection'!AC123)</f>
        <v>0</v>
      </c>
      <c r="AJ122">
        <f>IFERROR(AVERAGE('Dry_Litterbag Placem_Collection'!O123,'Dry_Litterbag Placem_Collection'!R123),"")</f>
        <v>5.5</v>
      </c>
      <c r="AK122" s="261">
        <f>IFERROR(AVERAGE('Dry_Litterbag Placem_Collection'!N123,'Dry_Litterbag Placem_Collection'!Q123),"")</f>
        <v>29.1</v>
      </c>
      <c r="AL122" s="260">
        <f>INDEX([2]Coordinates!$B$2:$B$197,MATCH(I122,[2]Coordinates!$J$2:$J$197,0))</f>
        <v>-2.3492639789999998</v>
      </c>
      <c r="AM122" s="260">
        <f>INDEX([2]Coordinates!$C$2:$C$197,MATCH(I122,[2]Coordinates!$J$2:$J$197,0))</f>
        <v>34.051464029999998</v>
      </c>
      <c r="AN122" s="260" t="str">
        <f>IF(ISNUMBER(SEARCH("C", 'Dry_Litterbag Placem_Collection'!S123)),"YES","NO")</f>
        <v>NO</v>
      </c>
      <c r="AO122" s="260" t="str">
        <f>IF(ISNUMBER(SEARCH("H", 'Dry_Litterbag Placem_Collection'!S123)),"YES","NO")</f>
        <v>NO</v>
      </c>
      <c r="AP122" s="260" t="str">
        <f>IF(ISNUMBER(SEARCH("R", 'Dry_Litterbag Placem_Collection'!S123)),"YES","NO")</f>
        <v>NO</v>
      </c>
    </row>
    <row r="123" spans="1:42" ht="15" customHeight="1">
      <c r="A123" t="s">
        <v>3248</v>
      </c>
      <c r="B123" s="252" t="s">
        <v>2643</v>
      </c>
      <c r="C123" s="253">
        <f>'Dry_Litterbag Placem_Collection'!A124</f>
        <v>122</v>
      </c>
      <c r="D123" s="253" t="str">
        <f>'Dry_Litterbag Placem_Collection'!B124</f>
        <v xml:space="preserve">Mwantimba
</v>
      </c>
      <c r="E123" s="253" t="s">
        <v>2454</v>
      </c>
      <c r="F123" s="253" t="s">
        <v>2644</v>
      </c>
      <c r="G123" s="253">
        <v>4</v>
      </c>
      <c r="H123" s="253" t="s">
        <v>3120</v>
      </c>
      <c r="I123" s="254" t="str">
        <f>'Dry_Litterbag Placem_Collection'!C124</f>
        <v>Wet_Ag4_T2</v>
      </c>
      <c r="J123" s="255" t="s">
        <v>2525</v>
      </c>
      <c r="K123" s="256" t="s">
        <v>1147</v>
      </c>
      <c r="L123" s="253" t="str">
        <f>IF(ISBLANK('Dry_Litterbag Placem_Collection'!J124),"","G"&amp;""&amp;'Dry_Litterbag Placem_Collection'!J124)</f>
        <v>G231</v>
      </c>
      <c r="M123" s="257">
        <f>IFERROR(INDEX('Green_rooibos initial weight'!$C$5:$C$2000,MATCH(L123, 'Green_rooibos initial weight'!$A$5:$A$2000,0)),"")</f>
        <v>2.085</v>
      </c>
      <c r="N123" s="257">
        <f>IFERROR(M123-(TBIcalc!$Q$9+TBIcalc!$Q$10),"")</f>
        <v>1.8351999999999999</v>
      </c>
      <c r="O123" s="378">
        <f>AVERAGE(Ashed_controlls!$K$2:$K$11)</f>
        <v>5.5147656768714146</v>
      </c>
      <c r="P123" s="257">
        <f t="shared" si="6"/>
        <v>1.7339930202980558</v>
      </c>
      <c r="Q123" s="257">
        <f>IFERROR(INDEX('Both teabags AfterDry'!$D$2:$D$2000,MATCH(L123,'Both teabags AfterDry'!$A$2:$A$2000,0)),"")</f>
        <v>0.78859999999999997</v>
      </c>
      <c r="R123" s="257">
        <f>IFERROR(IF(Q123&gt;0,Q123-(TBIcalc!$Q$9),""),"")</f>
        <v>0.6379999999999999</v>
      </c>
      <c r="S123" s="268">
        <f>IFERROR(INDEX('Ashed teabags dry'!$K$2:$K$2000,MATCH(L123,'Ashed teabags dry'!$A$2:$A$2000,0)),"")</f>
        <v>27.063339731285495</v>
      </c>
      <c r="T123" s="268">
        <f t="shared" si="7"/>
        <v>0.46533589251439844</v>
      </c>
      <c r="U123" s="258">
        <f>IF('Dry_Litterbag Placem_Collection'!E124="","",'Dry_Litterbag Placem_Collection'!E124)</f>
        <v>42939</v>
      </c>
      <c r="V123" s="258">
        <f>IF('Dry_Litterbag Placem_Collection'!G124="","",'Dry_Litterbag Placem_Collection'!G124)</f>
        <v>43008</v>
      </c>
      <c r="W123" s="259">
        <f t="shared" si="5"/>
        <v>69</v>
      </c>
      <c r="X123" s="257">
        <f t="shared" si="8"/>
        <v>1.1972</v>
      </c>
      <c r="Y123" s="257">
        <f t="shared" si="9"/>
        <v>1.2686571277836574</v>
      </c>
      <c r="Z123" s="261">
        <f>IFERROR(INDEX([3]Rainfall_Dry!$O$2:$O$217,MATCH(C123, [3]Rainfall_Dry!$A$2:$A$217,0)),"")</f>
        <v>136.27214243</v>
      </c>
      <c r="AA123" s="250">
        <v>17.96</v>
      </c>
      <c r="AB123" s="250">
        <v>4.9199999999999982</v>
      </c>
      <c r="AC123" s="250">
        <v>77.12</v>
      </c>
      <c r="AD123" s="251" t="s">
        <v>2652</v>
      </c>
      <c r="AE123" s="250">
        <v>3.02207984228684</v>
      </c>
      <c r="AF123">
        <f>IF('WetLitterbags placem_collection'!AB124="","",'WetLitterbags placem_collection'!AB124)</f>
        <v>3.1</v>
      </c>
      <c r="AG123">
        <f>IF('WetLitterbags placem_collection'!Z124="","",'WetLitterbags placem_collection'!Z124)</f>
        <v>53</v>
      </c>
      <c r="AH123" s="236" t="str">
        <f>IF('WetLitterbags placem_collection'!AA124="","",'WetLitterbags placem_collection'!AA124)</f>
        <v>G</v>
      </c>
      <c r="AI123">
        <f>IF('WetLitterbags placem_collection'!AC124="","",'WetLitterbags placem_collection'!AC124)</f>
        <v>0</v>
      </c>
      <c r="AJ123">
        <f>IFERROR(AVERAGE('Dry_Litterbag Placem_Collection'!O124,'Dry_Litterbag Placem_Collection'!R124),"")</f>
        <v>9.0500000000000007</v>
      </c>
      <c r="AK123" s="261">
        <f>IFERROR(AVERAGE('Dry_Litterbag Placem_Collection'!N124,'Dry_Litterbag Placem_Collection'!Q124),"")</f>
        <v>28.55</v>
      </c>
      <c r="AL123" s="260">
        <f>INDEX([2]Coordinates!$B$2:$B$197,MATCH(I123,[2]Coordinates!$J$2:$J$197,0))</f>
        <v>-2.34923196</v>
      </c>
      <c r="AM123" s="260">
        <f>INDEX([2]Coordinates!$C$2:$C$197,MATCH(I123,[2]Coordinates!$J$2:$J$197,0))</f>
        <v>34.051422039999999</v>
      </c>
      <c r="AN123" s="260" t="str">
        <f>IF(ISNUMBER(SEARCH("C", 'Dry_Litterbag Placem_Collection'!S124)),"YES","NO")</f>
        <v>NO</v>
      </c>
      <c r="AO123" s="260" t="str">
        <f>IF(ISNUMBER(SEARCH("H", 'Dry_Litterbag Placem_Collection'!S124)),"YES","NO")</f>
        <v>YES</v>
      </c>
      <c r="AP123" s="260" t="str">
        <f>IF(ISNUMBER(SEARCH("R", 'Dry_Litterbag Placem_Collection'!S124)),"YES","NO")</f>
        <v>NO</v>
      </c>
    </row>
    <row r="124" spans="1:42" ht="15" customHeight="1">
      <c r="A124" t="s">
        <v>3248</v>
      </c>
      <c r="B124" s="252" t="s">
        <v>2643</v>
      </c>
      <c r="C124" s="253">
        <f>'Dry_Litterbag Placem_Collection'!A125</f>
        <v>123</v>
      </c>
      <c r="D124" s="253" t="str">
        <f>'Dry_Litterbag Placem_Collection'!B125</f>
        <v xml:space="preserve">Mwantimba
</v>
      </c>
      <c r="E124" s="253" t="s">
        <v>2454</v>
      </c>
      <c r="F124" s="253" t="s">
        <v>2644</v>
      </c>
      <c r="G124" s="253">
        <v>4</v>
      </c>
      <c r="H124" s="253" t="s">
        <v>3120</v>
      </c>
      <c r="I124" s="254" t="str">
        <f>'Dry_Litterbag Placem_Collection'!C125</f>
        <v>Wet_Ag4_T3</v>
      </c>
      <c r="J124" s="255" t="s">
        <v>2525</v>
      </c>
      <c r="K124" s="256" t="s">
        <v>1147</v>
      </c>
      <c r="L124" s="253" t="str">
        <f>IF(ISBLANK('Dry_Litterbag Placem_Collection'!J125),"","G"&amp;""&amp;'Dry_Litterbag Placem_Collection'!J125)</f>
        <v>G292</v>
      </c>
      <c r="M124" s="257">
        <f>IFERROR(INDEX('Green_rooibos initial weight'!$C$5:$C$2000,MATCH(L124, 'Green_rooibos initial weight'!$A$5:$A$2000,0)),"")</f>
        <v>2.0289999999999999</v>
      </c>
      <c r="N124" s="257">
        <f>IFERROR(M124-(TBIcalc!$Q$9+TBIcalc!$Q$10),"")</f>
        <v>1.7791999999999999</v>
      </c>
      <c r="O124" s="378">
        <f>AVERAGE(Ashed_controlls!$K$2:$K$11)</f>
        <v>5.5147656768714146</v>
      </c>
      <c r="P124" s="257">
        <f t="shared" si="6"/>
        <v>1.6810812890771036</v>
      </c>
      <c r="Q124" s="257">
        <f>IFERROR(INDEX('Both teabags AfterDry'!$D$2:$D$2000,MATCH(L124,'Both teabags AfterDry'!$A$2:$A$2000,0)),"")</f>
        <v>0.88980000000000004</v>
      </c>
      <c r="R124" s="257">
        <f>IFERROR(IF(Q124&gt;0,Q124-(TBIcalc!$Q$9),""),"")</f>
        <v>0.73920000000000008</v>
      </c>
      <c r="S124" s="268">
        <f>IFERROR(INDEX('Ashed teabags dry'!$K$2:$K$2000,MATCH(L124,'Ashed teabags dry'!$A$2:$A$2000,0)),"")</f>
        <v>18.857705563761883</v>
      </c>
      <c r="T124" s="268">
        <f t="shared" si="7"/>
        <v>0.59980384047267221</v>
      </c>
      <c r="U124" s="258">
        <f>IF('Dry_Litterbag Placem_Collection'!E125="","",'Dry_Litterbag Placem_Collection'!E125)</f>
        <v>42939</v>
      </c>
      <c r="V124" s="258">
        <f>IF('Dry_Litterbag Placem_Collection'!G125="","",'Dry_Litterbag Placem_Collection'!G125)</f>
        <v>43008</v>
      </c>
      <c r="W124" s="259">
        <f t="shared" si="5"/>
        <v>69</v>
      </c>
      <c r="X124" s="257">
        <f t="shared" si="8"/>
        <v>1.0399999999999998</v>
      </c>
      <c r="Y124" s="257">
        <f t="shared" si="9"/>
        <v>1.0812774486044314</v>
      </c>
      <c r="Z124" s="261">
        <f>IFERROR(INDEX([3]Rainfall_Dry!$O$2:$O$217,MATCH(C124, [3]Rainfall_Dry!$A$2:$A$217,0)),"")</f>
        <v>136.27214243</v>
      </c>
      <c r="AA124" s="250">
        <v>17.96</v>
      </c>
      <c r="AB124" s="250">
        <v>4.9199999999999982</v>
      </c>
      <c r="AC124" s="250">
        <v>77.12</v>
      </c>
      <c r="AD124" s="251" t="s">
        <v>2652</v>
      </c>
      <c r="AE124" s="250">
        <v>4.02207984228684</v>
      </c>
      <c r="AF124">
        <f>IF('WetLitterbags placem_collection'!AB125="","",'WetLitterbags placem_collection'!AB125)</f>
        <v>3.9</v>
      </c>
      <c r="AG124">
        <f>IF('WetLitterbags placem_collection'!Z125="","",'WetLitterbags placem_collection'!Z125)</f>
        <v>51</v>
      </c>
      <c r="AH124" s="236" t="str">
        <f>IF('WetLitterbags placem_collection'!AA125="","",'WetLitterbags placem_collection'!AA125)</f>
        <v>G</v>
      </c>
      <c r="AI124">
        <f>IF('WetLitterbags placem_collection'!AC125="","",'WetLitterbags placem_collection'!AC125)</f>
        <v>1</v>
      </c>
      <c r="AJ124">
        <f>IFERROR(AVERAGE('Dry_Litterbag Placem_Collection'!O125,'Dry_Litterbag Placem_Collection'!R125),"")</f>
        <v>10.7</v>
      </c>
      <c r="AK124" s="261">
        <f>IFERROR(AVERAGE('Dry_Litterbag Placem_Collection'!N125,'Dry_Litterbag Placem_Collection'!Q125),"")</f>
        <v>27.1</v>
      </c>
      <c r="AL124" s="260">
        <f>INDEX([2]Coordinates!$B$2:$B$197,MATCH(I124,[2]Coordinates!$J$2:$J$197,0))</f>
        <v>-2.3492390009999999</v>
      </c>
      <c r="AM124" s="260">
        <f>INDEX([2]Coordinates!$C$2:$C$197,MATCH(I124,[2]Coordinates!$J$2:$J$197,0))</f>
        <v>34.051304020000003</v>
      </c>
      <c r="AN124" s="260" t="str">
        <f>IF(ISNUMBER(SEARCH("C", 'Dry_Litterbag Placem_Collection'!S125)),"YES","NO")</f>
        <v>NO</v>
      </c>
      <c r="AO124" s="260" t="str">
        <f>IF(ISNUMBER(SEARCH("H", 'Dry_Litterbag Placem_Collection'!S125)),"YES","NO")</f>
        <v>NO</v>
      </c>
      <c r="AP124" s="260" t="str">
        <f>IF(ISNUMBER(SEARCH("R", 'Dry_Litterbag Placem_Collection'!S125)),"YES","NO")</f>
        <v>YES</v>
      </c>
    </row>
    <row r="125" spans="1:42" ht="15" customHeight="1">
      <c r="A125" t="s">
        <v>3248</v>
      </c>
      <c r="B125" s="252" t="s">
        <v>2643</v>
      </c>
      <c r="C125" s="253">
        <f>'Dry_Litterbag Placem_Collection'!A126</f>
        <v>124</v>
      </c>
      <c r="D125" s="253" t="str">
        <f>'Dry_Litterbag Placem_Collection'!B126</f>
        <v xml:space="preserve">Mwantimba
</v>
      </c>
      <c r="E125" s="253" t="s">
        <v>2454</v>
      </c>
      <c r="F125" s="253" t="s">
        <v>2644</v>
      </c>
      <c r="G125" s="253">
        <v>4</v>
      </c>
      <c r="H125" s="253" t="s">
        <v>3120</v>
      </c>
      <c r="I125" s="254" t="str">
        <f>'Dry_Litterbag Placem_Collection'!C126</f>
        <v>Wet_Ag4_T4</v>
      </c>
      <c r="J125" s="255" t="s">
        <v>2525</v>
      </c>
      <c r="K125" s="256" t="s">
        <v>1147</v>
      </c>
      <c r="L125" s="253" t="str">
        <f>IF(ISBLANK('Dry_Litterbag Placem_Collection'!J126),"","G"&amp;""&amp;'Dry_Litterbag Placem_Collection'!J126)</f>
        <v>G116</v>
      </c>
      <c r="M125" s="257">
        <f>IFERROR(INDEX('Green_rooibos initial weight'!$C$5:$C$2000,MATCH(L125, 'Green_rooibos initial weight'!$A$5:$A$2000,0)),"")</f>
        <v>1.925</v>
      </c>
      <c r="N125" s="257">
        <f>IFERROR(M125-(TBIcalc!$Q$9+TBIcalc!$Q$10),"")</f>
        <v>1.6752</v>
      </c>
      <c r="O125" s="378">
        <f>AVERAGE(Ashed_controlls!$K$2:$K$11)</f>
        <v>5.5147656768714146</v>
      </c>
      <c r="P125" s="257">
        <f t="shared" si="6"/>
        <v>1.5828166453810502</v>
      </c>
      <c r="Q125" s="257">
        <f>IFERROR(INDEX('Both teabags AfterDry'!$D$2:$D$2000,MATCH(L125,'Both teabags AfterDry'!$A$2:$A$2000,0)),"")</f>
        <v>0.63749999999999996</v>
      </c>
      <c r="R125" s="257">
        <f>IFERROR(IF(Q125&gt;0,Q125-(TBIcalc!$Q$9),""),"")</f>
        <v>0.48689999999999994</v>
      </c>
      <c r="S125" s="268">
        <f>IFERROR(INDEX('Ashed teabags dry'!$K$2:$K$2000,MATCH(L125,'Ashed teabags dry'!$A$2:$A$2000,0)),"")</f>
        <v>17.988929889299115</v>
      </c>
      <c r="T125" s="268">
        <f t="shared" si="7"/>
        <v>0.39931190036900255</v>
      </c>
      <c r="U125" s="258">
        <f>IF('Dry_Litterbag Placem_Collection'!E126="","",'Dry_Litterbag Placem_Collection'!E126)</f>
        <v>42939</v>
      </c>
      <c r="V125" s="258">
        <f>IF('Dry_Litterbag Placem_Collection'!G126="","",'Dry_Litterbag Placem_Collection'!G126)</f>
        <v>43008</v>
      </c>
      <c r="W125" s="259">
        <f t="shared" si="5"/>
        <v>69</v>
      </c>
      <c r="X125" s="257">
        <f t="shared" si="8"/>
        <v>1.1883000000000001</v>
      </c>
      <c r="Y125" s="257">
        <f t="shared" si="9"/>
        <v>1.1835047450120477</v>
      </c>
      <c r="Z125" s="261">
        <f>IFERROR(INDEX([3]Rainfall_Dry!$O$2:$O$217,MATCH(C125, [3]Rainfall_Dry!$A$2:$A$217,0)),"")</f>
        <v>136.27214243</v>
      </c>
      <c r="AA125" s="250">
        <v>17.96</v>
      </c>
      <c r="AB125" s="250">
        <v>4.9199999999999982</v>
      </c>
      <c r="AC125" s="250">
        <v>77.12</v>
      </c>
      <c r="AD125" s="251" t="s">
        <v>2652</v>
      </c>
      <c r="AE125" s="250">
        <v>5.02207984228684</v>
      </c>
      <c r="AF125">
        <f>IF('WetLitterbags placem_collection'!AB126="","",'WetLitterbags placem_collection'!AB126)</f>
        <v>5.45</v>
      </c>
      <c r="AG125">
        <f>IF('WetLitterbags placem_collection'!Z126="","",'WetLitterbags placem_collection'!Z126)</f>
        <v>47</v>
      </c>
      <c r="AH125" s="236" t="str">
        <f>IF('WetLitterbags placem_collection'!AA126="","",'WetLitterbags placem_collection'!AA126)</f>
        <v>G</v>
      </c>
      <c r="AI125">
        <f>IF('WetLitterbags placem_collection'!AC126="","",'WetLitterbags placem_collection'!AC126)</f>
        <v>1</v>
      </c>
      <c r="AJ125">
        <f>IFERROR(AVERAGE('Dry_Litterbag Placem_Collection'!O126,'Dry_Litterbag Placem_Collection'!R126),"")</f>
        <v>9.15</v>
      </c>
      <c r="AK125" s="261">
        <f>IFERROR(AVERAGE('Dry_Litterbag Placem_Collection'!N126,'Dry_Litterbag Placem_Collection'!Q126),"")</f>
        <v>28.05</v>
      </c>
      <c r="AL125" s="260">
        <f>INDEX([2]Coordinates!$B$2:$B$197,MATCH(I125,[2]Coordinates!$J$2:$J$197,0))</f>
        <v>-2.3492799889999998</v>
      </c>
      <c r="AM125" s="260">
        <f>INDEX([2]Coordinates!$C$2:$C$197,MATCH(I125,[2]Coordinates!$J$2:$J$197,0))</f>
        <v>34.051280970000001</v>
      </c>
      <c r="AN125" s="260" t="str">
        <f>IF(ISNUMBER(SEARCH("C", 'Dry_Litterbag Placem_Collection'!S126)),"YES","NO")</f>
        <v>NO</v>
      </c>
      <c r="AO125" s="260" t="str">
        <f>IF(ISNUMBER(SEARCH("H", 'Dry_Litterbag Placem_Collection'!S126)),"YES","NO")</f>
        <v>YES</v>
      </c>
      <c r="AP125" s="260" t="str">
        <f>IF(ISNUMBER(SEARCH("R", 'Dry_Litterbag Placem_Collection'!S126)),"YES","NO")</f>
        <v>YES</v>
      </c>
    </row>
    <row r="126" spans="1:42" ht="15" customHeight="1">
      <c r="A126" t="s">
        <v>3248</v>
      </c>
      <c r="B126" s="252" t="s">
        <v>2643</v>
      </c>
      <c r="C126" s="253">
        <f>'Dry_Litterbag Placem_Collection'!A127</f>
        <v>125</v>
      </c>
      <c r="D126" s="253" t="str">
        <f>'Dry_Litterbag Placem_Collection'!B127</f>
        <v xml:space="preserve">Mwantimba
</v>
      </c>
      <c r="E126" s="253" t="s">
        <v>2454</v>
      </c>
      <c r="F126" s="253" t="s">
        <v>2644</v>
      </c>
      <c r="G126" s="253">
        <v>4</v>
      </c>
      <c r="H126" s="253" t="s">
        <v>3120</v>
      </c>
      <c r="I126" s="254" t="str">
        <f>'Dry_Litterbag Placem_Collection'!C127</f>
        <v>Wet_Ag4_T5</v>
      </c>
      <c r="J126" s="255" t="s">
        <v>2525</v>
      </c>
      <c r="K126" s="256" t="s">
        <v>1147</v>
      </c>
      <c r="L126" s="253" t="str">
        <f>IF(ISBLANK('Dry_Litterbag Placem_Collection'!J127),"","G"&amp;""&amp;'Dry_Litterbag Placem_Collection'!J127)</f>
        <v>G50</v>
      </c>
      <c r="M126" s="257">
        <f>IFERROR(INDEX('Green_rooibos initial weight'!$C$5:$C$2000,MATCH(L126, 'Green_rooibos initial weight'!$A$5:$A$2000,0)),"")</f>
        <v>1.954</v>
      </c>
      <c r="N126" s="257">
        <f>IFERROR(M126-(TBIcalc!$Q$9+TBIcalc!$Q$10),"")</f>
        <v>1.7041999999999999</v>
      </c>
      <c r="O126" s="378">
        <f>AVERAGE(Ashed_controlls!$K$2:$K$11)</f>
        <v>5.5147656768714146</v>
      </c>
      <c r="P126" s="257">
        <f t="shared" si="6"/>
        <v>1.6102173633347574</v>
      </c>
      <c r="Q126" s="257">
        <f>IFERROR(INDEX('Both teabags AfterDry'!$D$2:$D$2000,MATCH(L126,'Both teabags AfterDry'!$A$2:$A$2000,0)),"")</f>
        <v>0.8911</v>
      </c>
      <c r="R126" s="257">
        <f>IFERROR(IF(Q126&gt;0,Q126-(TBIcalc!$Q$9),""),"")</f>
        <v>0.74049999999999994</v>
      </c>
      <c r="S126" s="268">
        <f>IFERROR(INDEX('Ashed teabags dry'!$K$2:$K$2000,MATCH(L126,'Ashed teabags dry'!$A$2:$A$2000,0)),"")</f>
        <v>30.974309258361465</v>
      </c>
      <c r="T126" s="268">
        <f t="shared" si="7"/>
        <v>0.5111352399418333</v>
      </c>
      <c r="U126" s="258">
        <f>IF('Dry_Litterbag Placem_Collection'!E127="","",'Dry_Litterbag Placem_Collection'!E127)</f>
        <v>42939</v>
      </c>
      <c r="V126" s="258">
        <f>IF('Dry_Litterbag Placem_Collection'!G127="","",'Dry_Litterbag Placem_Collection'!G127)</f>
        <v>43008</v>
      </c>
      <c r="W126" s="259">
        <f t="shared" si="5"/>
        <v>69</v>
      </c>
      <c r="X126" s="257">
        <f t="shared" si="8"/>
        <v>0.9637</v>
      </c>
      <c r="Y126" s="257">
        <f t="shared" si="9"/>
        <v>1.099082123392924</v>
      </c>
      <c r="Z126" s="261">
        <f>IFERROR(INDEX([3]Rainfall_Dry!$O$2:$O$217,MATCH(C126, [3]Rainfall_Dry!$A$2:$A$217,0)),"")</f>
        <v>136.27214243</v>
      </c>
      <c r="AA126" s="250">
        <v>17.96</v>
      </c>
      <c r="AB126" s="250">
        <v>4.9199999999999982</v>
      </c>
      <c r="AC126" s="250">
        <v>77.12</v>
      </c>
      <c r="AD126" s="251" t="s">
        <v>2652</v>
      </c>
      <c r="AE126" s="250">
        <v>6.02207984228684</v>
      </c>
      <c r="AF126">
        <f>IF('WetLitterbags placem_collection'!AB127="","",'WetLitterbags placem_collection'!AB127)</f>
        <v>9.3000000000000007</v>
      </c>
      <c r="AG126">
        <f>IF('WetLitterbags placem_collection'!Z127="","",'WetLitterbags placem_collection'!Z127)</f>
        <v>43</v>
      </c>
      <c r="AH126" s="236" t="str">
        <f>IF('WetLitterbags placem_collection'!AA127="","",'WetLitterbags placem_collection'!AA127)</f>
        <v>G</v>
      </c>
      <c r="AI126">
        <f>IF('WetLitterbags placem_collection'!AC127="","",'WetLitterbags placem_collection'!AC127)</f>
        <v>1</v>
      </c>
      <c r="AJ126">
        <f>IFERROR(AVERAGE('Dry_Litterbag Placem_Collection'!O127,'Dry_Litterbag Placem_Collection'!R127),"")</f>
        <v>10.85</v>
      </c>
      <c r="AK126" s="261">
        <f>IFERROR(AVERAGE('Dry_Litterbag Placem_Collection'!N127,'Dry_Litterbag Placem_Collection'!Q127),"")</f>
        <v>28.05</v>
      </c>
      <c r="AL126" s="260">
        <f>INDEX([2]Coordinates!$B$2:$B$197,MATCH(I126,[2]Coordinates!$J$2:$J$197,0))</f>
        <v>-2.3493320400000002</v>
      </c>
      <c r="AM126" s="260">
        <f>INDEX([2]Coordinates!$C$2:$C$197,MATCH(I126,[2]Coordinates!$J$2:$J$197,0))</f>
        <v>34.051321960000003</v>
      </c>
      <c r="AN126" s="260" t="str">
        <f>IF(ISNUMBER(SEARCH("C", 'Dry_Litterbag Placem_Collection'!S127)),"YES","NO")</f>
        <v>NO</v>
      </c>
      <c r="AO126" s="260" t="str">
        <f>IF(ISNUMBER(SEARCH("H", 'Dry_Litterbag Placem_Collection'!S127)),"YES","NO")</f>
        <v>NO</v>
      </c>
      <c r="AP126" s="260" t="str">
        <f>IF(ISNUMBER(SEARCH("R", 'Dry_Litterbag Placem_Collection'!S127)),"YES","NO")</f>
        <v>NO</v>
      </c>
    </row>
    <row r="127" spans="1:42" ht="15" customHeight="1">
      <c r="A127" t="s">
        <v>3248</v>
      </c>
      <c r="B127" s="252" t="s">
        <v>2643</v>
      </c>
      <c r="C127" s="253">
        <f>'Dry_Litterbag Placem_Collection'!A128</f>
        <v>126</v>
      </c>
      <c r="D127" s="253" t="str">
        <f>'Dry_Litterbag Placem_Collection'!B128</f>
        <v xml:space="preserve">Mwantimba
</v>
      </c>
      <c r="E127" s="253" t="s">
        <v>2454</v>
      </c>
      <c r="F127" s="253" t="s">
        <v>2644</v>
      </c>
      <c r="G127" s="253">
        <v>4</v>
      </c>
      <c r="H127" s="253" t="s">
        <v>3120</v>
      </c>
      <c r="I127" s="254" t="str">
        <f>'Dry_Litterbag Placem_Collection'!C128</f>
        <v>Wet_Ag4_T6</v>
      </c>
      <c r="J127" s="255" t="s">
        <v>2525</v>
      </c>
      <c r="K127" s="256" t="s">
        <v>1147</v>
      </c>
      <c r="L127" s="253" t="str">
        <f>IF(ISBLANK('Dry_Litterbag Placem_Collection'!J128),"","G"&amp;""&amp;'Dry_Litterbag Placem_Collection'!J128)</f>
        <v/>
      </c>
      <c r="M127" s="257" t="str">
        <f>IFERROR(INDEX('Green_rooibos initial weight'!$C$5:$C$2000,MATCH(L127, 'Green_rooibos initial weight'!$A$5:$A$2000,0)),"")</f>
        <v/>
      </c>
      <c r="N127" s="257" t="str">
        <f>IFERROR(M127-(TBIcalc!$Q$9+TBIcalc!$Q$10),"")</f>
        <v/>
      </c>
      <c r="O127" s="378">
        <f>AVERAGE(Ashed_controlls!$K$2:$K$11)</f>
        <v>5.5147656768714146</v>
      </c>
      <c r="P127" s="257" t="str">
        <f t="shared" si="6"/>
        <v/>
      </c>
      <c r="Q127" s="257" t="str">
        <f>IFERROR(INDEX('Both teabags AfterDry'!$D$2:$D$2000,MATCH(L127,'Both teabags AfterDry'!$A$2:$A$2000,0)),"")</f>
        <v/>
      </c>
      <c r="R127" s="257" t="str">
        <f>IFERROR(IF(Q127&gt;0,Q127-(TBIcalc!$Q$9),""),"")</f>
        <v/>
      </c>
      <c r="S127" s="268" t="str">
        <f>IFERROR(INDEX('Ashed teabags dry'!$K$2:$K$2000,MATCH(L127,'Ashed teabags dry'!$A$2:$A$2000,0)),"")</f>
        <v/>
      </c>
      <c r="T127" s="268" t="str">
        <f t="shared" si="7"/>
        <v/>
      </c>
      <c r="U127" s="258" t="str">
        <f>IF('Dry_Litterbag Placem_Collection'!E128="","",'Dry_Litterbag Placem_Collection'!E128)</f>
        <v/>
      </c>
      <c r="V127" s="258" t="str">
        <f>IF('Dry_Litterbag Placem_Collection'!G128="","",'Dry_Litterbag Placem_Collection'!G128)</f>
        <v/>
      </c>
      <c r="W127" s="259" t="str">
        <f t="shared" si="5"/>
        <v/>
      </c>
      <c r="X127" s="257" t="str">
        <f t="shared" si="8"/>
        <v/>
      </c>
      <c r="Y127" s="257" t="str">
        <f t="shared" si="9"/>
        <v/>
      </c>
      <c r="Z127" s="261" t="str">
        <f>IFERROR(INDEX([3]Rainfall_Dry!$O$2:$O$217,MATCH(C127, [3]Rainfall_Dry!$A$2:$A$217,0)),"")</f>
        <v/>
      </c>
      <c r="AA127" s="250">
        <v>17.96</v>
      </c>
      <c r="AB127" s="250">
        <v>4.9199999999999982</v>
      </c>
      <c r="AC127" s="250">
        <v>77.12</v>
      </c>
      <c r="AD127" s="251" t="s">
        <v>2652</v>
      </c>
      <c r="AE127" s="250">
        <v>7.02207984228684</v>
      </c>
      <c r="AF127">
        <f>IF('WetLitterbags placem_collection'!AB128="","",'WetLitterbags placem_collection'!AB128)</f>
        <v>10.85</v>
      </c>
      <c r="AG127">
        <f>IF('WetLitterbags placem_collection'!Z128="","",'WetLitterbags placem_collection'!Z128)</f>
        <v>40</v>
      </c>
      <c r="AH127" s="236" t="str">
        <f>IF('WetLitterbags placem_collection'!AA128="","",'WetLitterbags placem_collection'!AA128)</f>
        <v>G</v>
      </c>
      <c r="AI127">
        <f>IF('WetLitterbags placem_collection'!AC128="","",'WetLitterbags placem_collection'!AC128)</f>
        <v>1</v>
      </c>
      <c r="AJ127" t="str">
        <f>IFERROR(AVERAGE('Dry_Litterbag Placem_Collection'!O128,'Dry_Litterbag Placem_Collection'!R128),"")</f>
        <v/>
      </c>
      <c r="AK127" s="261" t="str">
        <f>IFERROR(AVERAGE('Dry_Litterbag Placem_Collection'!N128,'Dry_Litterbag Placem_Collection'!Q128),"")</f>
        <v/>
      </c>
      <c r="AL127" s="260">
        <f>INDEX([2]Coordinates!$B$2:$B$197,MATCH(I127,[2]Coordinates!$J$2:$J$197,0))</f>
        <v>-2.3493509829999999</v>
      </c>
      <c r="AM127" s="260">
        <f>INDEX([2]Coordinates!$C$2:$C$197,MATCH(I127,[2]Coordinates!$J$2:$J$197,0))</f>
        <v>34.051332019999997</v>
      </c>
      <c r="AN127" s="260" t="str">
        <f>IF(ISNUMBER(SEARCH("C", 'Dry_Litterbag Placem_Collection'!S128)),"YES","NO")</f>
        <v>NO</v>
      </c>
      <c r="AO127" s="260" t="str">
        <f>IF(ISNUMBER(SEARCH("H", 'Dry_Litterbag Placem_Collection'!S128)),"YES","NO")</f>
        <v>NO</v>
      </c>
      <c r="AP127" s="260" t="str">
        <f>IF(ISNUMBER(SEARCH("R", 'Dry_Litterbag Placem_Collection'!S128)),"YES","NO")</f>
        <v>NO</v>
      </c>
    </row>
    <row r="128" spans="1:42" ht="15" customHeight="1">
      <c r="A128" t="s">
        <v>3248</v>
      </c>
      <c r="B128" s="252" t="s">
        <v>2643</v>
      </c>
      <c r="C128" s="253">
        <f>'Dry_Litterbag Placem_Collection'!A129</f>
        <v>127</v>
      </c>
      <c r="D128" s="253" t="str">
        <f>'Dry_Litterbag Placem_Collection'!B129</f>
        <v xml:space="preserve">Mwantimba
</v>
      </c>
      <c r="E128" s="253" t="s">
        <v>2454</v>
      </c>
      <c r="F128" s="253" t="s">
        <v>2644</v>
      </c>
      <c r="G128" s="253">
        <v>4</v>
      </c>
      <c r="H128" s="253" t="s">
        <v>3120</v>
      </c>
      <c r="I128" s="254" t="str">
        <f>'Dry_Litterbag Placem_Collection'!C129</f>
        <v>Wet_Ag4_T7</v>
      </c>
      <c r="J128" s="255" t="s">
        <v>2525</v>
      </c>
      <c r="K128" s="256" t="s">
        <v>1147</v>
      </c>
      <c r="L128" s="253" t="str">
        <f>IF(ISBLANK('Dry_Litterbag Placem_Collection'!J129),"","G"&amp;""&amp;'Dry_Litterbag Placem_Collection'!J129)</f>
        <v>G318</v>
      </c>
      <c r="M128" s="257">
        <f>IFERROR(INDEX('Green_rooibos initial weight'!$C$5:$C$2000,MATCH(L128, 'Green_rooibos initial weight'!$A$5:$A$2000,0)),"")</f>
        <v>1.929</v>
      </c>
      <c r="N128" s="257">
        <f>IFERROR(M128-(TBIcalc!$Q$9+TBIcalc!$Q$10),"")</f>
        <v>1.6792</v>
      </c>
      <c r="O128" s="378">
        <f>AVERAGE(Ashed_controlls!$K$2:$K$11)</f>
        <v>5.5147656768714146</v>
      </c>
      <c r="P128" s="257">
        <f t="shared" si="6"/>
        <v>1.5865960547539752</v>
      </c>
      <c r="Q128" s="257">
        <f>IFERROR(INDEX('Both teabags AfterDry'!$D$2:$D$2000,MATCH(L128,'Both teabags AfterDry'!$A$2:$A$2000,0)),"")</f>
        <v>0.70609999999999995</v>
      </c>
      <c r="R128" s="257">
        <f>IFERROR(IF(Q128&gt;0,Q128-(TBIcalc!$Q$9),""),"")</f>
        <v>0.55549999999999988</v>
      </c>
      <c r="S128" s="268">
        <f>IFERROR(INDEX('Ashed teabags dry'!$K$2:$K$2000,MATCH(L128,'Ashed teabags dry'!$A$2:$A$2000,0)),"")</f>
        <v>13.937442502299483</v>
      </c>
      <c r="T128" s="268">
        <f t="shared" si="7"/>
        <v>0.47807750689972628</v>
      </c>
      <c r="U128" s="258">
        <f>IF('Dry_Litterbag Placem_Collection'!E129="","",'Dry_Litterbag Placem_Collection'!E129)</f>
        <v>42939</v>
      </c>
      <c r="V128" s="258">
        <f>IF('Dry_Litterbag Placem_Collection'!G129="","",'Dry_Litterbag Placem_Collection'!G129)</f>
        <v>43008</v>
      </c>
      <c r="W128" s="259">
        <f t="shared" si="5"/>
        <v>69</v>
      </c>
      <c r="X128" s="257">
        <f t="shared" si="8"/>
        <v>1.1237000000000001</v>
      </c>
      <c r="Y128" s="257">
        <f t="shared" si="9"/>
        <v>1.108518547854249</v>
      </c>
      <c r="Z128" s="261">
        <f>IFERROR(INDEX([3]Rainfall_Dry!$O$2:$O$217,MATCH(C128, [3]Rainfall_Dry!$A$2:$A$217,0)),"")</f>
        <v>136.27214243</v>
      </c>
      <c r="AA128" s="250">
        <v>17.96</v>
      </c>
      <c r="AB128" s="250">
        <v>4.9199999999999982</v>
      </c>
      <c r="AC128" s="250">
        <v>77.12</v>
      </c>
      <c r="AD128" s="251" t="s">
        <v>2652</v>
      </c>
      <c r="AE128" s="250">
        <v>8.0220798422868391</v>
      </c>
      <c r="AF128">
        <f>IF('WetLitterbags placem_collection'!AB129="","",'WetLitterbags placem_collection'!AB129)</f>
        <v>5.35</v>
      </c>
      <c r="AG128">
        <f>IF('WetLitterbags placem_collection'!Z129="","",'WetLitterbags placem_collection'!Z129)</f>
        <v>58</v>
      </c>
      <c r="AH128" s="236" t="str">
        <f>IF('WetLitterbags placem_collection'!AA129="","",'WetLitterbags placem_collection'!AA129)</f>
        <v>G</v>
      </c>
      <c r="AI128">
        <f>IF('WetLitterbags placem_collection'!AC129="","",'WetLitterbags placem_collection'!AC129)</f>
        <v>1</v>
      </c>
      <c r="AJ128">
        <f>IFERROR(AVERAGE('Dry_Litterbag Placem_Collection'!O129,'Dry_Litterbag Placem_Collection'!R129),"")</f>
        <v>9.6999999999999993</v>
      </c>
      <c r="AK128" s="261">
        <f>IFERROR(AVERAGE('Dry_Litterbag Placem_Collection'!N129,'Dry_Litterbag Placem_Collection'!Q129),"")</f>
        <v>28.1</v>
      </c>
      <c r="AL128" s="260">
        <f>INDEX([2]Coordinates!$B$2:$B$197,MATCH(I128,[2]Coordinates!$J$2:$J$197,0))</f>
        <v>-2.3491850219999999</v>
      </c>
      <c r="AM128" s="260">
        <f>INDEX([2]Coordinates!$C$2:$C$197,MATCH(I128,[2]Coordinates!$J$2:$J$197,0))</f>
        <v>34.051264959999997</v>
      </c>
      <c r="AN128" s="260" t="str">
        <f>IF(ISNUMBER(SEARCH("C", 'Dry_Litterbag Placem_Collection'!S129)),"YES","NO")</f>
        <v>NO</v>
      </c>
      <c r="AO128" s="260" t="str">
        <f>IF(ISNUMBER(SEARCH("H", 'Dry_Litterbag Placem_Collection'!S129)),"YES","NO")</f>
        <v>NO</v>
      </c>
      <c r="AP128" s="260" t="str">
        <f>IF(ISNUMBER(SEARCH("R", 'Dry_Litterbag Placem_Collection'!S129)),"YES","NO")</f>
        <v>YES</v>
      </c>
    </row>
    <row r="129" spans="1:42" ht="15" customHeight="1">
      <c r="A129" t="s">
        <v>3248</v>
      </c>
      <c r="B129" s="252" t="s">
        <v>2643</v>
      </c>
      <c r="C129" s="253">
        <f>'Dry_Litterbag Placem_Collection'!A130</f>
        <v>128</v>
      </c>
      <c r="D129" s="253" t="str">
        <f>'Dry_Litterbag Placem_Collection'!B130</f>
        <v xml:space="preserve">Mwantimba
</v>
      </c>
      <c r="E129" s="253" t="s">
        <v>2454</v>
      </c>
      <c r="F129" s="253" t="s">
        <v>2644</v>
      </c>
      <c r="G129" s="253">
        <v>4</v>
      </c>
      <c r="H129" s="253" t="s">
        <v>3120</v>
      </c>
      <c r="I129" s="254" t="str">
        <f>'Dry_Litterbag Placem_Collection'!C130</f>
        <v>Wet_Ag4_T8</v>
      </c>
      <c r="J129" s="255" t="s">
        <v>2525</v>
      </c>
      <c r="K129" s="256" t="s">
        <v>1147</v>
      </c>
      <c r="L129" s="253" t="str">
        <f>IF(ISBLANK('Dry_Litterbag Placem_Collection'!J130),"","G"&amp;""&amp;'Dry_Litterbag Placem_Collection'!J130)</f>
        <v>G34</v>
      </c>
      <c r="M129" s="257">
        <f>IFERROR(INDEX('Green_rooibos initial weight'!$C$5:$C$2000,MATCH(L129, 'Green_rooibos initial weight'!$A$5:$A$2000,0)),"")</f>
        <v>2.133</v>
      </c>
      <c r="N129" s="257">
        <f>IFERROR(M129-(TBIcalc!$Q$9+TBIcalc!$Q$10),"")</f>
        <v>1.8832</v>
      </c>
      <c r="O129" s="378">
        <f>AVERAGE(Ashed_controlls!$K$2:$K$11)</f>
        <v>5.5147656768714146</v>
      </c>
      <c r="P129" s="257">
        <f t="shared" si="6"/>
        <v>1.7793459327731576</v>
      </c>
      <c r="Q129" s="257">
        <f>IFERROR(INDEX('Both teabags AfterDry'!$D$2:$D$2000,MATCH(L129,'Both teabags AfterDry'!$A$2:$A$2000,0)),"")</f>
        <v>0.92579999999999996</v>
      </c>
      <c r="R129" s="257">
        <f>IFERROR(IF(Q129&gt;0,Q129-(TBIcalc!$Q$9),""),"")</f>
        <v>0.77519999999999989</v>
      </c>
      <c r="S129" s="268">
        <f>IFERROR(INDEX('Ashed teabags dry'!$K$2:$K$2000,MATCH(L129,'Ashed teabags dry'!$A$2:$A$2000,0)),"")</f>
        <v>26.714158504006296</v>
      </c>
      <c r="T129" s="268">
        <f t="shared" si="7"/>
        <v>0.56811184327694308</v>
      </c>
      <c r="U129" s="258">
        <f>IF('Dry_Litterbag Placem_Collection'!E130="","",'Dry_Litterbag Placem_Collection'!E130)</f>
        <v>42939</v>
      </c>
      <c r="V129" s="258">
        <f>IF('Dry_Litterbag Placem_Collection'!G130="","",'Dry_Litterbag Placem_Collection'!G130)</f>
        <v>43008</v>
      </c>
      <c r="W129" s="259">
        <f t="shared" si="5"/>
        <v>69</v>
      </c>
      <c r="X129" s="257">
        <f t="shared" si="8"/>
        <v>1.1080000000000001</v>
      </c>
      <c r="Y129" s="257">
        <f t="shared" si="9"/>
        <v>1.2112340894962146</v>
      </c>
      <c r="Z129" s="261">
        <f>IFERROR(INDEX([3]Rainfall_Dry!$O$2:$O$217,MATCH(C129, [3]Rainfall_Dry!$A$2:$A$217,0)),"")</f>
        <v>136.27214243</v>
      </c>
      <c r="AA129" s="250">
        <v>17.96</v>
      </c>
      <c r="AB129" s="250">
        <v>4.9199999999999982</v>
      </c>
      <c r="AC129" s="250">
        <v>77.12</v>
      </c>
      <c r="AD129" s="251" t="s">
        <v>2652</v>
      </c>
      <c r="AE129" s="250">
        <v>9.0220798422868391</v>
      </c>
      <c r="AF129">
        <f>IF('WetLitterbags placem_collection'!AB130="","",'WetLitterbags placem_collection'!AB130)</f>
        <v>10.9</v>
      </c>
      <c r="AG129">
        <f>IF('WetLitterbags placem_collection'!Z130="","",'WetLitterbags placem_collection'!Z130)</f>
        <v>44</v>
      </c>
      <c r="AH129" s="236" t="str">
        <f>IF('WetLitterbags placem_collection'!AA130="","",'WetLitterbags placem_collection'!AA130)</f>
        <v>G</v>
      </c>
      <c r="AI129">
        <f>IF('WetLitterbags placem_collection'!AC130="","",'WetLitterbags placem_collection'!AC130)</f>
        <v>0</v>
      </c>
      <c r="AJ129">
        <f>IFERROR(AVERAGE('Dry_Litterbag Placem_Collection'!O130,'Dry_Litterbag Placem_Collection'!R130),"")</f>
        <v>8.4499999999999993</v>
      </c>
      <c r="AK129" s="261">
        <f>IFERROR(AVERAGE('Dry_Litterbag Placem_Collection'!N130,'Dry_Litterbag Placem_Collection'!Q130),"")</f>
        <v>28.4</v>
      </c>
      <c r="AL129" s="260">
        <f>INDEX([2]Coordinates!$B$2:$B$197,MATCH(I129,[2]Coordinates!$J$2:$J$197,0))</f>
        <v>-2.3493099960000001</v>
      </c>
      <c r="AM129" s="260">
        <f>INDEX([2]Coordinates!$C$2:$C$197,MATCH(I129,[2]Coordinates!$J$2:$J$197,0))</f>
        <v>34.05141802</v>
      </c>
      <c r="AN129" s="260" t="str">
        <f>IF(ISNUMBER(SEARCH("C", 'Dry_Litterbag Placem_Collection'!S130)),"YES","NO")</f>
        <v>NO</v>
      </c>
      <c r="AO129" s="260" t="str">
        <f>IF(ISNUMBER(SEARCH("H", 'Dry_Litterbag Placem_Collection'!S130)),"YES","NO")</f>
        <v>NO</v>
      </c>
      <c r="AP129" s="260" t="str">
        <f>IF(ISNUMBER(SEARCH("R", 'Dry_Litterbag Placem_Collection'!S130)),"YES","NO")</f>
        <v>NO</v>
      </c>
    </row>
    <row r="130" spans="1:42" ht="15" customHeight="1">
      <c r="A130" t="s">
        <v>3248</v>
      </c>
      <c r="B130" s="252" t="s">
        <v>2643</v>
      </c>
      <c r="C130" s="253">
        <f>'Dry_Litterbag Placem_Collection'!A131</f>
        <v>129</v>
      </c>
      <c r="D130" s="253" t="str">
        <f>'Dry_Litterbag Placem_Collection'!B131</f>
        <v xml:space="preserve">Mwantimba
</v>
      </c>
      <c r="E130" s="253" t="s">
        <v>2454</v>
      </c>
      <c r="F130" s="253" t="s">
        <v>20</v>
      </c>
      <c r="G130" s="253">
        <v>1</v>
      </c>
      <c r="H130" s="253" t="s">
        <v>3121</v>
      </c>
      <c r="I130" s="254" t="str">
        <f>'Dry_Litterbag Placem_Collection'!C131</f>
        <v>Wet_P1_T1</v>
      </c>
      <c r="J130" s="255" t="s">
        <v>2525</v>
      </c>
      <c r="K130" s="256" t="s">
        <v>1147</v>
      </c>
      <c r="L130" s="253" t="str">
        <f>IF(ISBLANK('Dry_Litterbag Placem_Collection'!J131),"","G"&amp;""&amp;'Dry_Litterbag Placem_Collection'!J131)</f>
        <v>G80</v>
      </c>
      <c r="M130" s="257">
        <f>IFERROR(INDEX('Green_rooibos initial weight'!$C$5:$C$2000,MATCH(L130, 'Green_rooibos initial weight'!$A$5:$A$2000,0)),"")</f>
        <v>2.0259999999999998</v>
      </c>
      <c r="N130" s="257">
        <f>IFERROR(M130-(TBIcalc!$Q$9+TBIcalc!$Q$10),"")</f>
        <v>1.7761999999999998</v>
      </c>
      <c r="O130" s="378">
        <f>AVERAGE(Ashed_controlls!$K$2:$K$11)</f>
        <v>5.5147656768714146</v>
      </c>
      <c r="P130" s="257">
        <f t="shared" si="6"/>
        <v>1.6782467320474097</v>
      </c>
      <c r="Q130" s="257">
        <f>IFERROR(INDEX('Both teabags AfterDry'!$D$2:$D$2000,MATCH(L130,'Both teabags AfterDry'!$A$2:$A$2000,0)),"")</f>
        <v>0.72970000000000002</v>
      </c>
      <c r="R130" s="257">
        <f>IFERROR(IF(Q130&gt;0,Q130-(TBIcalc!$Q$9),""),"")</f>
        <v>0.57909999999999995</v>
      </c>
      <c r="S130" s="268">
        <f>IFERROR(INDEX('Ashed teabags dry'!$K$2:$K$2000,MATCH(L130,'Ashed teabags dry'!$A$2:$A$2000,0)),"")</f>
        <v>20.009394081728875</v>
      </c>
      <c r="T130" s="268">
        <f t="shared" si="7"/>
        <v>0.46322559887270803</v>
      </c>
      <c r="U130" s="258">
        <f>IF('Dry_Litterbag Placem_Collection'!E131="","",'Dry_Litterbag Placem_Collection'!E131)</f>
        <v>42939</v>
      </c>
      <c r="V130" s="258">
        <f>IF('Dry_Litterbag Placem_Collection'!G131="","",'Dry_Litterbag Placem_Collection'!G131)</f>
        <v>43008</v>
      </c>
      <c r="W130" s="259">
        <f t="shared" ref="W130:W193" si="10">IFERROR(V130-U130,"")</f>
        <v>69</v>
      </c>
      <c r="X130" s="257">
        <f t="shared" si="8"/>
        <v>1.1970999999999998</v>
      </c>
      <c r="Y130" s="257">
        <f t="shared" si="9"/>
        <v>1.2150211331747016</v>
      </c>
      <c r="Z130" s="261">
        <f>IFERROR(INDEX([3]Rainfall_Dry!$O$2:$O$217,MATCH(C130, [3]Rainfall_Dry!$A$2:$A$217,0)),"")</f>
        <v>136.27214243</v>
      </c>
      <c r="AA130" s="250">
        <v>31.214836424255054</v>
      </c>
      <c r="AB130" s="250">
        <v>11.377370285476141</v>
      </c>
      <c r="AC130" s="250">
        <v>57.407793290268799</v>
      </c>
      <c r="AD130" s="251" t="s">
        <v>2651</v>
      </c>
      <c r="AE130" s="250">
        <v>1.7337604731394776</v>
      </c>
      <c r="AF130">
        <f>IF('WetLitterbags placem_collection'!AB131="","",'WetLitterbags placem_collection'!AB131)</f>
        <v>2.4</v>
      </c>
      <c r="AG130">
        <f>IF('WetLitterbags placem_collection'!Z131="","",'WetLitterbags placem_collection'!Z131)</f>
        <v>2.4</v>
      </c>
      <c r="AH130" s="236" t="str">
        <f>IF('WetLitterbags placem_collection'!AA131="","",'WetLitterbags placem_collection'!AA131)</f>
        <v>O</v>
      </c>
      <c r="AI130">
        <f>IF('WetLitterbags placem_collection'!AC131="","",'WetLitterbags placem_collection'!AC131)</f>
        <v>1</v>
      </c>
      <c r="AJ130">
        <f>IFERROR(AVERAGE('Dry_Litterbag Placem_Collection'!O131,'Dry_Litterbag Placem_Collection'!R131),"")</f>
        <v>11.8</v>
      </c>
      <c r="AK130" s="261">
        <f>IFERROR(AVERAGE('Dry_Litterbag Placem_Collection'!N131,'Dry_Litterbag Placem_Collection'!Q131),"")</f>
        <v>29.05</v>
      </c>
      <c r="AL130" s="260">
        <f>INDEX([2]Coordinates!$B$2:$B$197,MATCH(I130,[2]Coordinates!$J$2:$J$197,0))</f>
        <v>-2.3503360249999998</v>
      </c>
      <c r="AM130" s="260">
        <f>INDEX([2]Coordinates!$C$2:$C$197,MATCH(I130,[2]Coordinates!$J$2:$J$197,0))</f>
        <v>34.049662009999999</v>
      </c>
      <c r="AN130" s="260" t="str">
        <f>IF(ISNUMBER(SEARCH("C", 'Dry_Litterbag Placem_Collection'!S131)),"YES","NO")</f>
        <v>YES</v>
      </c>
      <c r="AO130" s="260" t="str">
        <f>IF(ISNUMBER(SEARCH("H", 'Dry_Litterbag Placem_Collection'!S131)),"YES","NO")</f>
        <v>YES</v>
      </c>
      <c r="AP130" s="260" t="str">
        <f>IF(ISNUMBER(SEARCH("R", 'Dry_Litterbag Placem_Collection'!S131)),"YES","NO")</f>
        <v>NO</v>
      </c>
    </row>
    <row r="131" spans="1:42" ht="15" customHeight="1">
      <c r="A131" t="s">
        <v>3248</v>
      </c>
      <c r="B131" s="252" t="s">
        <v>2643</v>
      </c>
      <c r="C131" s="253">
        <f>'Dry_Litterbag Placem_Collection'!A132</f>
        <v>130</v>
      </c>
      <c r="D131" s="253" t="str">
        <f>'Dry_Litterbag Placem_Collection'!B132</f>
        <v xml:space="preserve">Mwantimba
</v>
      </c>
      <c r="E131" s="253" t="s">
        <v>2454</v>
      </c>
      <c r="F131" s="253" t="s">
        <v>20</v>
      </c>
      <c r="G131" s="253">
        <v>1</v>
      </c>
      <c r="H131" s="253" t="s">
        <v>3121</v>
      </c>
      <c r="I131" s="254" t="str">
        <f>'Dry_Litterbag Placem_Collection'!C132</f>
        <v>Wet_P1_T2</v>
      </c>
      <c r="J131" s="255" t="s">
        <v>2525</v>
      </c>
      <c r="K131" s="256" t="s">
        <v>1147</v>
      </c>
      <c r="L131" s="253" t="str">
        <f>IF(ISBLANK('Dry_Litterbag Placem_Collection'!J132),"","G"&amp;""&amp;'Dry_Litterbag Placem_Collection'!J132)</f>
        <v>G64</v>
      </c>
      <c r="M131" s="257">
        <f>IFERROR(INDEX('Green_rooibos initial weight'!$C$5:$C$2000,MATCH(L131, 'Green_rooibos initial weight'!$A$5:$A$2000,0)),"")</f>
        <v>2.0840000000000001</v>
      </c>
      <c r="N131" s="257">
        <f>IFERROR(M131-(TBIcalc!$Q$9+TBIcalc!$Q$10),"")</f>
        <v>1.8342000000000001</v>
      </c>
      <c r="O131" s="378">
        <f>AVERAGE(Ashed_controlls!$K$2:$K$11)</f>
        <v>5.5147656768714146</v>
      </c>
      <c r="P131" s="257">
        <f t="shared" ref="P131:P194" si="11">IFERROR(N131-(O131/100)*N131,"")</f>
        <v>1.7330481679548246</v>
      </c>
      <c r="Q131" s="257">
        <f>IFERROR(INDEX('Both teabags AfterDry'!$D$2:$D$2000,MATCH(L131,'Both teabags AfterDry'!$A$2:$A$2000,0)),"")</f>
        <v>0.83650000000000002</v>
      </c>
      <c r="R131" s="257">
        <f>IFERROR(IF(Q131&gt;0,Q131-(TBIcalc!$Q$9),""),"")</f>
        <v>0.68589999999999995</v>
      </c>
      <c r="S131" s="268">
        <f>IFERROR(INDEX('Ashed teabags dry'!$K$2:$K$2000,MATCH(L131,'Ashed teabags dry'!$A$2:$A$2000,0)),"")</f>
        <v>23.217636022513883</v>
      </c>
      <c r="T131" s="268">
        <f t="shared" ref="T131:T194" si="12">IFERROR(R131-(S131/100)*R131,"")</f>
        <v>0.52665023452157722</v>
      </c>
      <c r="U131" s="258">
        <f>IF('Dry_Litterbag Placem_Collection'!E132="","",'Dry_Litterbag Placem_Collection'!E132)</f>
        <v>42939</v>
      </c>
      <c r="V131" s="258">
        <f>IF('Dry_Litterbag Placem_Collection'!G132="","",'Dry_Litterbag Placem_Collection'!G132)</f>
        <v>43008</v>
      </c>
      <c r="W131" s="259">
        <f t="shared" si="10"/>
        <v>69</v>
      </c>
      <c r="X131" s="257">
        <f t="shared" ref="X131:X194" si="13">IFERROR(N131-R131,"")</f>
        <v>1.1483000000000001</v>
      </c>
      <c r="Y131" s="257">
        <f t="shared" ref="Y131:Y194" si="14">IFERROR(P131-T131,"")</f>
        <v>1.2063979334332475</v>
      </c>
      <c r="Z131" s="261">
        <f>IFERROR(INDEX([3]Rainfall_Dry!$O$2:$O$217,MATCH(C131, [3]Rainfall_Dry!$A$2:$A$217,0)),"")</f>
        <v>136.27214243</v>
      </c>
      <c r="AA131" s="250">
        <v>31.214836424255054</v>
      </c>
      <c r="AB131" s="250">
        <v>11.377370285476141</v>
      </c>
      <c r="AC131" s="250">
        <v>57.407793290268799</v>
      </c>
      <c r="AD131" s="251" t="s">
        <v>2651</v>
      </c>
      <c r="AE131" s="250">
        <v>2.7337604731394798</v>
      </c>
      <c r="AF131">
        <f>IF('WetLitterbags placem_collection'!AB132="","",'WetLitterbags placem_collection'!AB132)</f>
        <v>2.1</v>
      </c>
      <c r="AG131">
        <f>IF('WetLitterbags placem_collection'!Z132="","",'WetLitterbags placem_collection'!Z132)</f>
        <v>3.5</v>
      </c>
      <c r="AH131" s="236" t="str">
        <f>IF('WetLitterbags placem_collection'!AA132="","",'WetLitterbags placem_collection'!AA132)</f>
        <v>O</v>
      </c>
      <c r="AI131">
        <f>IF('WetLitterbags placem_collection'!AC132="","",'WetLitterbags placem_collection'!AC132)</f>
        <v>0</v>
      </c>
      <c r="AJ131">
        <f>IFERROR(AVERAGE('Dry_Litterbag Placem_Collection'!O132,'Dry_Litterbag Placem_Collection'!R132),"")</f>
        <v>8.9499999999999993</v>
      </c>
      <c r="AK131" s="261">
        <f>IFERROR(AVERAGE('Dry_Litterbag Placem_Collection'!N132,'Dry_Litterbag Placem_Collection'!Q132),"")</f>
        <v>28.55</v>
      </c>
      <c r="AL131" s="260">
        <f>INDEX([2]Coordinates!$B$2:$B$197,MATCH(I131,[2]Coordinates!$J$2:$J$197,0))</f>
        <v>-2.3503729889999998</v>
      </c>
      <c r="AM131" s="260">
        <f>INDEX([2]Coordinates!$C$2:$C$197,MATCH(I131,[2]Coordinates!$J$2:$J$197,0))</f>
        <v>34.049626969999998</v>
      </c>
      <c r="AN131" s="260" t="str">
        <f>IF(ISNUMBER(SEARCH("C", 'Dry_Litterbag Placem_Collection'!S132)),"YES","NO")</f>
        <v>YES</v>
      </c>
      <c r="AO131" s="260" t="str">
        <f>IF(ISNUMBER(SEARCH("H", 'Dry_Litterbag Placem_Collection'!S132)),"YES","NO")</f>
        <v>NO</v>
      </c>
      <c r="AP131" s="260" t="str">
        <f>IF(ISNUMBER(SEARCH("R", 'Dry_Litterbag Placem_Collection'!S132)),"YES","NO")</f>
        <v>NO</v>
      </c>
    </row>
    <row r="132" spans="1:42" ht="15" customHeight="1">
      <c r="A132" t="s">
        <v>3248</v>
      </c>
      <c r="B132" s="252" t="s">
        <v>2643</v>
      </c>
      <c r="C132" s="253">
        <f>'Dry_Litterbag Placem_Collection'!A133</f>
        <v>131</v>
      </c>
      <c r="D132" s="253" t="str">
        <f>'Dry_Litterbag Placem_Collection'!B133</f>
        <v xml:space="preserve">Mwantimba
</v>
      </c>
      <c r="E132" s="253" t="s">
        <v>2454</v>
      </c>
      <c r="F132" s="253" t="s">
        <v>20</v>
      </c>
      <c r="G132" s="253">
        <v>1</v>
      </c>
      <c r="H132" s="253" t="s">
        <v>3121</v>
      </c>
      <c r="I132" s="254" t="str">
        <f>'Dry_Litterbag Placem_Collection'!C133</f>
        <v>Wet_P1_T3</v>
      </c>
      <c r="J132" s="255" t="s">
        <v>2525</v>
      </c>
      <c r="K132" s="256" t="s">
        <v>1147</v>
      </c>
      <c r="L132" s="253" t="str">
        <f>IF(ISBLANK('Dry_Litterbag Placem_Collection'!J133),"","G"&amp;""&amp;'Dry_Litterbag Placem_Collection'!J133)</f>
        <v>G118</v>
      </c>
      <c r="M132" s="257">
        <f>IFERROR(INDEX('Green_rooibos initial weight'!$C$5:$C$2000,MATCH(L132, 'Green_rooibos initial weight'!$A$5:$A$2000,0)),"")</f>
        <v>2.0870000000000002</v>
      </c>
      <c r="N132" s="257">
        <f>IFERROR(M132-(TBIcalc!$Q$9+TBIcalc!$Q$10),"")</f>
        <v>1.8372000000000002</v>
      </c>
      <c r="O132" s="378">
        <f>AVERAGE(Ashed_controlls!$K$2:$K$11)</f>
        <v>5.5147656768714146</v>
      </c>
      <c r="P132" s="257">
        <f t="shared" si="11"/>
        <v>1.7358827249845186</v>
      </c>
      <c r="Q132" s="257">
        <f>IFERROR(INDEX('Both teabags AfterDry'!$D$2:$D$2000,MATCH(L132,'Both teabags AfterDry'!$A$2:$A$2000,0)),"")</f>
        <v>0.87509999999999999</v>
      </c>
      <c r="R132" s="257">
        <f>IFERROR(IF(Q132&gt;0,Q132-(TBIcalc!$Q$9),""),"")</f>
        <v>0.72449999999999992</v>
      </c>
      <c r="S132" s="268">
        <f>IFERROR(INDEX('Ashed teabags dry'!$K$2:$K$2000,MATCH(L132,'Ashed teabags dry'!$A$2:$A$2000,0)),"")</f>
        <v>19.267364414842707</v>
      </c>
      <c r="T132" s="268">
        <f t="shared" si="12"/>
        <v>0.58490794481446451</v>
      </c>
      <c r="U132" s="258">
        <f>IF('Dry_Litterbag Placem_Collection'!E133="","",'Dry_Litterbag Placem_Collection'!E133)</f>
        <v>42939</v>
      </c>
      <c r="V132" s="258">
        <f>IF('Dry_Litterbag Placem_Collection'!G133="","",'Dry_Litterbag Placem_Collection'!G133)</f>
        <v>43008</v>
      </c>
      <c r="W132" s="259">
        <f t="shared" si="10"/>
        <v>69</v>
      </c>
      <c r="X132" s="257">
        <f t="shared" si="13"/>
        <v>1.1127000000000002</v>
      </c>
      <c r="Y132" s="257">
        <f t="shared" si="14"/>
        <v>1.1509747801700541</v>
      </c>
      <c r="Z132" s="261">
        <f>IFERROR(INDEX([3]Rainfall_Dry!$O$2:$O$217,MATCH(C132, [3]Rainfall_Dry!$A$2:$A$217,0)),"")</f>
        <v>136.27214243</v>
      </c>
      <c r="AA132" s="250">
        <v>31.214836424255054</v>
      </c>
      <c r="AB132" s="250">
        <v>11.377370285476141</v>
      </c>
      <c r="AC132" s="250">
        <v>57.407793290268799</v>
      </c>
      <c r="AD132" s="251" t="s">
        <v>2651</v>
      </c>
      <c r="AE132" s="250">
        <v>3.7337604731394798</v>
      </c>
      <c r="AF132">
        <f>IF('WetLitterbags placem_collection'!AB133="","",'WetLitterbags placem_collection'!AB133)</f>
        <v>4.5</v>
      </c>
      <c r="AG132">
        <f>IF('WetLitterbags placem_collection'!Z133="","",'WetLitterbags placem_collection'!Z133)</f>
        <v>7.5</v>
      </c>
      <c r="AH132" s="236" t="str">
        <f>IF('WetLitterbags placem_collection'!AA133="","",'WetLitterbags placem_collection'!AA133)</f>
        <v>O</v>
      </c>
      <c r="AI132">
        <f>IF('WetLitterbags placem_collection'!AC133="","",'WetLitterbags placem_collection'!AC133)</f>
        <v>0</v>
      </c>
      <c r="AJ132">
        <f>IFERROR(AVERAGE('Dry_Litterbag Placem_Collection'!O133,'Dry_Litterbag Placem_Collection'!R133),"")</f>
        <v>8.9499999999999993</v>
      </c>
      <c r="AK132" s="261">
        <f>IFERROR(AVERAGE('Dry_Litterbag Placem_Collection'!N133,'Dry_Litterbag Placem_Collection'!Q133),"")</f>
        <v>28.6</v>
      </c>
      <c r="AL132" s="260">
        <f>INDEX([2]Coordinates!$B$2:$B$197,MATCH(I132,[2]Coordinates!$J$2:$J$197,0))</f>
        <v>-2.3503259660000002</v>
      </c>
      <c r="AM132" s="260">
        <f>INDEX([2]Coordinates!$C$2:$C$197,MATCH(I132,[2]Coordinates!$J$2:$J$197,0))</f>
        <v>34.049616999999998</v>
      </c>
      <c r="AN132" s="260" t="str">
        <f>IF(ISNUMBER(SEARCH("C", 'Dry_Litterbag Placem_Collection'!S133)),"YES","NO")</f>
        <v>YES</v>
      </c>
      <c r="AO132" s="260" t="str">
        <f>IF(ISNUMBER(SEARCH("H", 'Dry_Litterbag Placem_Collection'!S133)),"YES","NO")</f>
        <v>NO</v>
      </c>
      <c r="AP132" s="260" t="str">
        <f>IF(ISNUMBER(SEARCH("R", 'Dry_Litterbag Placem_Collection'!S133)),"YES","NO")</f>
        <v>NO</v>
      </c>
    </row>
    <row r="133" spans="1:42" ht="15" customHeight="1">
      <c r="A133" t="s">
        <v>3248</v>
      </c>
      <c r="B133" s="252" t="s">
        <v>2643</v>
      </c>
      <c r="C133" s="253">
        <f>'Dry_Litterbag Placem_Collection'!A134</f>
        <v>132</v>
      </c>
      <c r="D133" s="253" t="str">
        <f>'Dry_Litterbag Placem_Collection'!B134</f>
        <v xml:space="preserve">Mwantimba
</v>
      </c>
      <c r="E133" s="253" t="s">
        <v>2454</v>
      </c>
      <c r="F133" s="253" t="s">
        <v>20</v>
      </c>
      <c r="G133" s="253">
        <v>1</v>
      </c>
      <c r="H133" s="253" t="s">
        <v>3121</v>
      </c>
      <c r="I133" s="254" t="str">
        <f>'Dry_Litterbag Placem_Collection'!C134</f>
        <v>Wet_P1_T4</v>
      </c>
      <c r="J133" s="255" t="s">
        <v>2525</v>
      </c>
      <c r="K133" s="256" t="s">
        <v>1147</v>
      </c>
      <c r="L133" s="253" t="str">
        <f>IF(ISBLANK('Dry_Litterbag Placem_Collection'!J134),"","G"&amp;""&amp;'Dry_Litterbag Placem_Collection'!J134)</f>
        <v/>
      </c>
      <c r="M133" s="257" t="str">
        <f>IFERROR(INDEX('Green_rooibos initial weight'!$C$5:$C$2000,MATCH(L133, 'Green_rooibos initial weight'!$A$5:$A$2000,0)),"")</f>
        <v/>
      </c>
      <c r="N133" s="257" t="str">
        <f>IFERROR(M133-(TBIcalc!$Q$9+TBIcalc!$Q$10),"")</f>
        <v/>
      </c>
      <c r="O133" s="378">
        <f>AVERAGE(Ashed_controlls!$K$2:$K$11)</f>
        <v>5.5147656768714146</v>
      </c>
      <c r="P133" s="257" t="str">
        <f t="shared" si="11"/>
        <v/>
      </c>
      <c r="Q133" s="257" t="str">
        <f>IFERROR(INDEX('Both teabags AfterDry'!$D$2:$D$2000,MATCH(L133,'Both teabags AfterDry'!$A$2:$A$2000,0)),"")</f>
        <v/>
      </c>
      <c r="R133" s="257" t="str">
        <f>IFERROR(IF(Q133&gt;0,Q133-(TBIcalc!$Q$9),""),"")</f>
        <v/>
      </c>
      <c r="S133" s="268" t="str">
        <f>IFERROR(INDEX('Ashed teabags dry'!$K$2:$K$2000,MATCH(L133,'Ashed teabags dry'!$A$2:$A$2000,0)),"")</f>
        <v/>
      </c>
      <c r="T133" s="268" t="str">
        <f t="shared" si="12"/>
        <v/>
      </c>
      <c r="U133" s="258" t="str">
        <f>IF('Dry_Litterbag Placem_Collection'!E134="","",'Dry_Litterbag Placem_Collection'!E134)</f>
        <v/>
      </c>
      <c r="V133" s="258" t="str">
        <f>IF('Dry_Litterbag Placem_Collection'!G134="","",'Dry_Litterbag Placem_Collection'!G134)</f>
        <v/>
      </c>
      <c r="W133" s="259" t="str">
        <f t="shared" si="10"/>
        <v/>
      </c>
      <c r="X133" s="257" t="str">
        <f t="shared" si="13"/>
        <v/>
      </c>
      <c r="Y133" s="257" t="str">
        <f t="shared" si="14"/>
        <v/>
      </c>
      <c r="Z133" s="261" t="str">
        <f>IFERROR(INDEX([3]Rainfall_Dry!$O$2:$O$217,MATCH(C133, [3]Rainfall_Dry!$A$2:$A$217,0)),"")</f>
        <v/>
      </c>
      <c r="AA133" s="250">
        <v>31.214836424255054</v>
      </c>
      <c r="AB133" s="250">
        <v>11.377370285476141</v>
      </c>
      <c r="AC133" s="250">
        <v>57.407793290268799</v>
      </c>
      <c r="AD133" s="251" t="s">
        <v>2651</v>
      </c>
      <c r="AE133" s="250">
        <v>4.7337604731394798</v>
      </c>
      <c r="AF133">
        <f>IF('WetLitterbags placem_collection'!AB134="","",'WetLitterbags placem_collection'!AB134)</f>
        <v>0.7</v>
      </c>
      <c r="AG133">
        <f>IF('WetLitterbags placem_collection'!Z134="","",'WetLitterbags placem_collection'!Z134)</f>
        <v>9.8000000000000007</v>
      </c>
      <c r="AH133" s="236" t="str">
        <f>IF('WetLitterbags placem_collection'!AA134="","",'WetLitterbags placem_collection'!AA134)</f>
        <v>G</v>
      </c>
      <c r="AI133">
        <f>IF('WetLitterbags placem_collection'!AC134="","",'WetLitterbags placem_collection'!AC134)</f>
        <v>1</v>
      </c>
      <c r="AJ133" t="str">
        <f>IFERROR(AVERAGE('Dry_Litterbag Placem_Collection'!O134,'Dry_Litterbag Placem_Collection'!R134),"")</f>
        <v/>
      </c>
      <c r="AK133" s="261" t="str">
        <f>IFERROR(AVERAGE('Dry_Litterbag Placem_Collection'!N134,'Dry_Litterbag Placem_Collection'!Q134),"")</f>
        <v/>
      </c>
      <c r="AL133" s="260">
        <f>INDEX([2]Coordinates!$B$2:$B$197,MATCH(I133,[2]Coordinates!$J$2:$J$197,0))</f>
        <v>-2.3504800260000001</v>
      </c>
      <c r="AM133" s="260">
        <f>INDEX([2]Coordinates!$C$2:$C$197,MATCH(I133,[2]Coordinates!$J$2:$J$197,0))</f>
        <v>34.049551030000003</v>
      </c>
      <c r="AN133" s="260" t="str">
        <f>IF(ISNUMBER(SEARCH("C", 'Dry_Litterbag Placem_Collection'!S134)),"YES","NO")</f>
        <v>NO</v>
      </c>
      <c r="AO133" s="260" t="str">
        <f>IF(ISNUMBER(SEARCH("H", 'Dry_Litterbag Placem_Collection'!S134)),"YES","NO")</f>
        <v>NO</v>
      </c>
      <c r="AP133" s="260" t="str">
        <f>IF(ISNUMBER(SEARCH("R", 'Dry_Litterbag Placem_Collection'!S134)),"YES","NO")</f>
        <v>NO</v>
      </c>
    </row>
    <row r="134" spans="1:42" ht="15" customHeight="1">
      <c r="A134" t="s">
        <v>3248</v>
      </c>
      <c r="B134" s="252" t="s">
        <v>2643</v>
      </c>
      <c r="C134" s="253">
        <f>'Dry_Litterbag Placem_Collection'!A135</f>
        <v>133</v>
      </c>
      <c r="D134" s="253" t="str">
        <f>'Dry_Litterbag Placem_Collection'!B135</f>
        <v xml:space="preserve">Mwantimba
</v>
      </c>
      <c r="E134" s="253" t="s">
        <v>2454</v>
      </c>
      <c r="F134" s="253" t="s">
        <v>20</v>
      </c>
      <c r="G134" s="253">
        <v>1</v>
      </c>
      <c r="H134" s="253" t="s">
        <v>3121</v>
      </c>
      <c r="I134" s="254" t="str">
        <f>'Dry_Litterbag Placem_Collection'!C135</f>
        <v>Wet_P1_T5</v>
      </c>
      <c r="J134" s="255" t="s">
        <v>2525</v>
      </c>
      <c r="K134" s="256" t="s">
        <v>1147</v>
      </c>
      <c r="L134" s="253" t="str">
        <f>IF(ISBLANK('Dry_Litterbag Placem_Collection'!J135),"","G"&amp;""&amp;'Dry_Litterbag Placem_Collection'!J135)</f>
        <v>G270</v>
      </c>
      <c r="M134" s="257">
        <f>IFERROR(INDEX('Green_rooibos initial weight'!$C$5:$C$2000,MATCH(L134, 'Green_rooibos initial weight'!$A$5:$A$2000,0)),"")</f>
        <v>2.0139999999999998</v>
      </c>
      <c r="N134" s="257">
        <f>IFERROR(M134-(TBIcalc!$Q$9+TBIcalc!$Q$10),"")</f>
        <v>1.7641999999999998</v>
      </c>
      <c r="O134" s="378">
        <f>AVERAGE(Ashed_controlls!$K$2:$K$11)</f>
        <v>5.5147656768714146</v>
      </c>
      <c r="P134" s="257">
        <f t="shared" si="11"/>
        <v>1.6669085039286342</v>
      </c>
      <c r="Q134" s="257" t="str">
        <f>IFERROR(INDEX('Both teabags AfterDry'!$D$2:$D$2000,MATCH(L134,'Both teabags AfterDry'!$A$2:$A$2000,0)),"")</f>
        <v/>
      </c>
      <c r="R134" s="257" t="str">
        <f>IFERROR(IF(Q134&gt;0,Q134-(TBIcalc!$Q$9),""),"")</f>
        <v/>
      </c>
      <c r="S134" s="268" t="str">
        <f>IFERROR(INDEX('Ashed teabags dry'!$K$2:$K$2000,MATCH(L134,'Ashed teabags dry'!$A$2:$A$2000,0)),"")</f>
        <v/>
      </c>
      <c r="T134" s="268" t="str">
        <f t="shared" si="12"/>
        <v/>
      </c>
      <c r="U134" s="258">
        <f>IF('Dry_Litterbag Placem_Collection'!E135="","",'Dry_Litterbag Placem_Collection'!E135)</f>
        <v>42939</v>
      </c>
      <c r="V134" s="258">
        <f>IF('Dry_Litterbag Placem_Collection'!G135="","",'Dry_Litterbag Placem_Collection'!G135)</f>
        <v>43008</v>
      </c>
      <c r="W134" s="259">
        <f t="shared" si="10"/>
        <v>69</v>
      </c>
      <c r="X134" s="257" t="str">
        <f t="shared" si="13"/>
        <v/>
      </c>
      <c r="Y134" s="257" t="str">
        <f t="shared" si="14"/>
        <v/>
      </c>
      <c r="Z134" s="261">
        <f>IFERROR(INDEX([3]Rainfall_Dry!$O$2:$O$217,MATCH(C134, [3]Rainfall_Dry!$A$2:$A$217,0)),"")</f>
        <v>136.27214243</v>
      </c>
      <c r="AA134" s="250">
        <v>31.214836424255054</v>
      </c>
      <c r="AB134" s="250">
        <v>11.377370285476141</v>
      </c>
      <c r="AC134" s="250">
        <v>57.407793290268799</v>
      </c>
      <c r="AD134" s="251" t="s">
        <v>2651</v>
      </c>
      <c r="AE134" s="250">
        <v>5.7337604731394798</v>
      </c>
      <c r="AF134">
        <f>IF('WetLitterbags placem_collection'!AB135="","",'WetLitterbags placem_collection'!AB135)</f>
        <v>2.2000000000000002</v>
      </c>
      <c r="AG134">
        <f>IF('WetLitterbags placem_collection'!Z135="","",'WetLitterbags placem_collection'!Z135)</f>
        <v>10</v>
      </c>
      <c r="AH134" s="236" t="str">
        <f>IF('WetLitterbags placem_collection'!AA135="","",'WetLitterbags placem_collection'!AA135)</f>
        <v>O</v>
      </c>
      <c r="AI134">
        <f>IF('WetLitterbags placem_collection'!AC135="","",'WetLitterbags placem_collection'!AC135)</f>
        <v>1</v>
      </c>
      <c r="AJ134">
        <f>IFERROR(AVERAGE('Dry_Litterbag Placem_Collection'!O135,'Dry_Litterbag Placem_Collection'!R135),"")</f>
        <v>8.75</v>
      </c>
      <c r="AK134" s="261">
        <f>IFERROR(AVERAGE('Dry_Litterbag Placem_Collection'!N135,'Dry_Litterbag Placem_Collection'!Q135),"")</f>
        <v>31.3</v>
      </c>
      <c r="AL134" s="260">
        <f>INDEX([2]Coordinates!$B$2:$B$197,MATCH(I134,[2]Coordinates!$J$2:$J$197,0))</f>
        <v>-2.350474996</v>
      </c>
      <c r="AM134" s="260">
        <f>INDEX([2]Coordinates!$C$2:$C$197,MATCH(I134,[2]Coordinates!$J$2:$J$197,0))</f>
        <v>34.049801979999998</v>
      </c>
      <c r="AN134" s="260" t="str">
        <f>IF(ISNUMBER(SEARCH("C", 'Dry_Litterbag Placem_Collection'!S135)),"YES","NO")</f>
        <v>YES</v>
      </c>
      <c r="AO134" s="260" t="str">
        <f>IF(ISNUMBER(SEARCH("H", 'Dry_Litterbag Placem_Collection'!S135)),"YES","NO")</f>
        <v>NO</v>
      </c>
      <c r="AP134" s="260" t="str">
        <f>IF(ISNUMBER(SEARCH("R", 'Dry_Litterbag Placem_Collection'!S135)),"YES","NO")</f>
        <v>NO</v>
      </c>
    </row>
    <row r="135" spans="1:42" ht="15" customHeight="1">
      <c r="A135" t="s">
        <v>3248</v>
      </c>
      <c r="B135" s="252" t="s">
        <v>2643</v>
      </c>
      <c r="C135" s="253">
        <f>'Dry_Litterbag Placem_Collection'!A136</f>
        <v>134</v>
      </c>
      <c r="D135" s="253" t="str">
        <f>'Dry_Litterbag Placem_Collection'!B136</f>
        <v xml:space="preserve">Mwantimba
</v>
      </c>
      <c r="E135" s="253" t="s">
        <v>2454</v>
      </c>
      <c r="F135" s="253" t="s">
        <v>20</v>
      </c>
      <c r="G135" s="253">
        <v>1</v>
      </c>
      <c r="H135" s="253" t="s">
        <v>3121</v>
      </c>
      <c r="I135" s="254" t="str">
        <f>'Dry_Litterbag Placem_Collection'!C136</f>
        <v>Wet_P1_T6</v>
      </c>
      <c r="J135" s="255" t="s">
        <v>2525</v>
      </c>
      <c r="K135" s="256" t="s">
        <v>1147</v>
      </c>
      <c r="L135" s="253" t="str">
        <f>IF(ISBLANK('Dry_Litterbag Placem_Collection'!J136),"","G"&amp;""&amp;'Dry_Litterbag Placem_Collection'!J136)</f>
        <v>G316</v>
      </c>
      <c r="M135" s="257">
        <f>IFERROR(INDEX('Green_rooibos initial weight'!$C$5:$C$2000,MATCH(L135, 'Green_rooibos initial weight'!$A$5:$A$2000,0)),"")</f>
        <v>2.0579999999999998</v>
      </c>
      <c r="N135" s="257">
        <f>IFERROR(M135-(TBIcalc!$Q$9+TBIcalc!$Q$10),"")</f>
        <v>1.8081999999999998</v>
      </c>
      <c r="O135" s="378">
        <f>AVERAGE(Ashed_controlls!$K$2:$K$11)</f>
        <v>5.5147656768714146</v>
      </c>
      <c r="P135" s="257">
        <f t="shared" si="11"/>
        <v>1.7084820070308109</v>
      </c>
      <c r="Q135" s="257">
        <f>IFERROR(INDEX('Both teabags AfterDry'!$D$2:$D$2000,MATCH(L135,'Both teabags AfterDry'!$A$2:$A$2000,0)),"")</f>
        <v>0.6512</v>
      </c>
      <c r="R135" s="257">
        <f>IFERROR(IF(Q135&gt;0,Q135-(TBIcalc!$Q$9),""),"")</f>
        <v>0.50059999999999993</v>
      </c>
      <c r="S135" s="268">
        <f>IFERROR(INDEX('Ashed teabags dry'!$K$2:$K$2000,MATCH(L135,'Ashed teabags dry'!$A$2:$A$2000,0)),"")</f>
        <v>14.444983034415532</v>
      </c>
      <c r="T135" s="268">
        <f t="shared" si="12"/>
        <v>0.42828841492971581</v>
      </c>
      <c r="U135" s="258">
        <f>IF('Dry_Litterbag Placem_Collection'!E136="","",'Dry_Litterbag Placem_Collection'!E136)</f>
        <v>42939</v>
      </c>
      <c r="V135" s="258">
        <f>IF('Dry_Litterbag Placem_Collection'!G136="","",'Dry_Litterbag Placem_Collection'!G136)</f>
        <v>43008</v>
      </c>
      <c r="W135" s="259">
        <f t="shared" si="10"/>
        <v>69</v>
      </c>
      <c r="X135" s="257">
        <f t="shared" si="13"/>
        <v>1.3075999999999999</v>
      </c>
      <c r="Y135" s="257">
        <f t="shared" si="14"/>
        <v>1.280193592101095</v>
      </c>
      <c r="Z135" s="261">
        <f>IFERROR(INDEX([3]Rainfall_Dry!$O$2:$O$217,MATCH(C135, [3]Rainfall_Dry!$A$2:$A$217,0)),"")</f>
        <v>136.27214243</v>
      </c>
      <c r="AA135" s="250">
        <v>31.214836424255054</v>
      </c>
      <c r="AB135" s="250">
        <v>11.377370285476141</v>
      </c>
      <c r="AC135" s="250">
        <v>57.407793290268799</v>
      </c>
      <c r="AD135" s="251" t="s">
        <v>2651</v>
      </c>
      <c r="AE135" s="250">
        <v>6.7337604731394798</v>
      </c>
      <c r="AF135">
        <f>IF('WetLitterbags placem_collection'!AB136="","",'WetLitterbags placem_collection'!AB136)</f>
        <v>1.1000000000000001</v>
      </c>
      <c r="AG135">
        <f>IF('WetLitterbags placem_collection'!Z136="","",'WetLitterbags placem_collection'!Z136)</f>
        <v>15.4</v>
      </c>
      <c r="AH135" s="236" t="str">
        <f>IF('WetLitterbags placem_collection'!AA136="","",'WetLitterbags placem_collection'!AA136)</f>
        <v>O</v>
      </c>
      <c r="AI135">
        <f>IF('WetLitterbags placem_collection'!AC136="","",'WetLitterbags placem_collection'!AC136)</f>
        <v>1</v>
      </c>
      <c r="AJ135">
        <f>IFERROR(AVERAGE('Dry_Litterbag Placem_Collection'!O136,'Dry_Litterbag Placem_Collection'!R136),"")</f>
        <v>6.65</v>
      </c>
      <c r="AK135" s="261">
        <f>IFERROR(AVERAGE('Dry_Litterbag Placem_Collection'!N136,'Dry_Litterbag Placem_Collection'!Q136),"")</f>
        <v>29.200000000000003</v>
      </c>
      <c r="AL135" s="260">
        <f>INDEX([2]Coordinates!$B$2:$B$197,MATCH(I135,[2]Coordinates!$J$2:$J$197,0))</f>
        <v>-2.3503559730000001</v>
      </c>
      <c r="AM135" s="260">
        <f>INDEX([2]Coordinates!$C$2:$C$197,MATCH(I135,[2]Coordinates!$J$2:$J$197,0))</f>
        <v>34.049800980000001</v>
      </c>
      <c r="AN135" s="260" t="str">
        <f>IF(ISNUMBER(SEARCH("C", 'Dry_Litterbag Placem_Collection'!S136)),"YES","NO")</f>
        <v>NO</v>
      </c>
      <c r="AO135" s="260" t="str">
        <f>IF(ISNUMBER(SEARCH("H", 'Dry_Litterbag Placem_Collection'!S136)),"YES","NO")</f>
        <v>NO</v>
      </c>
      <c r="AP135" s="260" t="str">
        <f>IF(ISNUMBER(SEARCH("R", 'Dry_Litterbag Placem_Collection'!S136)),"YES","NO")</f>
        <v>YES</v>
      </c>
    </row>
    <row r="136" spans="1:42" ht="15" customHeight="1">
      <c r="A136" t="s">
        <v>3248</v>
      </c>
      <c r="B136" s="252" t="s">
        <v>2643</v>
      </c>
      <c r="C136" s="253">
        <f>'Dry_Litterbag Placem_Collection'!A137</f>
        <v>135</v>
      </c>
      <c r="D136" s="253" t="str">
        <f>'Dry_Litterbag Placem_Collection'!B137</f>
        <v xml:space="preserve">Mwantimba
</v>
      </c>
      <c r="E136" s="253" t="s">
        <v>2454</v>
      </c>
      <c r="F136" s="253" t="s">
        <v>20</v>
      </c>
      <c r="G136" s="253">
        <v>1</v>
      </c>
      <c r="H136" s="253" t="s">
        <v>3121</v>
      </c>
      <c r="I136" s="254" t="str">
        <f>'Dry_Litterbag Placem_Collection'!C137</f>
        <v>Wet_P1_T7</v>
      </c>
      <c r="J136" s="255" t="s">
        <v>2525</v>
      </c>
      <c r="K136" s="256" t="s">
        <v>1147</v>
      </c>
      <c r="L136" s="253" t="str">
        <f>IF(ISBLANK('Dry_Litterbag Placem_Collection'!J137),"","G"&amp;""&amp;'Dry_Litterbag Placem_Collection'!J137)</f>
        <v>G77</v>
      </c>
      <c r="M136" s="257">
        <f>IFERROR(INDEX('Green_rooibos initial weight'!$C$5:$C$2000,MATCH(L136, 'Green_rooibos initial weight'!$A$5:$A$2000,0)),"")</f>
        <v>2.0190000000000001</v>
      </c>
      <c r="N136" s="257">
        <f>IFERROR(M136-(TBIcalc!$Q$9+TBIcalc!$Q$10),"")</f>
        <v>1.7692000000000001</v>
      </c>
      <c r="O136" s="378">
        <f>AVERAGE(Ashed_controlls!$K$2:$K$11)</f>
        <v>5.5147656768714146</v>
      </c>
      <c r="P136" s="257">
        <f t="shared" si="11"/>
        <v>1.6716327656447911</v>
      </c>
      <c r="Q136" s="257">
        <f>IFERROR(INDEX('Both teabags AfterDry'!$D$2:$D$2000,MATCH(L136,'Both teabags AfterDry'!$A$2:$A$2000,0)),"")</f>
        <v>0.94330000000000003</v>
      </c>
      <c r="R136" s="257">
        <f>IFERROR(IF(Q136&gt;0,Q136-(TBIcalc!$Q$9),""),"")</f>
        <v>0.79269999999999996</v>
      </c>
      <c r="S136" s="268">
        <f>IFERROR(INDEX('Ashed teabags dry'!$K$2:$K$2000,MATCH(L136,'Ashed teabags dry'!$A$2:$A$2000,0)),"")</f>
        <v>34.179033030157882</v>
      </c>
      <c r="T136" s="268">
        <f t="shared" si="12"/>
        <v>0.52176280516993845</v>
      </c>
      <c r="U136" s="258">
        <f>IF('Dry_Litterbag Placem_Collection'!E137="","",'Dry_Litterbag Placem_Collection'!E137)</f>
        <v>42939</v>
      </c>
      <c r="V136" s="258">
        <f>IF('Dry_Litterbag Placem_Collection'!G137="","",'Dry_Litterbag Placem_Collection'!G137)</f>
        <v>43008</v>
      </c>
      <c r="W136" s="259">
        <f t="shared" si="10"/>
        <v>69</v>
      </c>
      <c r="X136" s="257">
        <f t="shared" si="13"/>
        <v>0.97650000000000015</v>
      </c>
      <c r="Y136" s="257">
        <f t="shared" si="14"/>
        <v>1.1498699604748528</v>
      </c>
      <c r="Z136" s="261">
        <f>IFERROR(INDEX([3]Rainfall_Dry!$O$2:$O$217,MATCH(C136, [3]Rainfall_Dry!$A$2:$A$217,0)),"")</f>
        <v>136.27214243</v>
      </c>
      <c r="AA136" s="250">
        <v>31.214836424255054</v>
      </c>
      <c r="AB136" s="250">
        <v>11.377370285476141</v>
      </c>
      <c r="AC136" s="250">
        <v>57.407793290268799</v>
      </c>
      <c r="AD136" s="251" t="s">
        <v>2651</v>
      </c>
      <c r="AE136" s="250">
        <v>7.7337604731394798</v>
      </c>
      <c r="AF136">
        <f>IF('WetLitterbags placem_collection'!AB137="","",'WetLitterbags placem_collection'!AB137)</f>
        <v>2.1</v>
      </c>
      <c r="AG136">
        <f>IF('WetLitterbags placem_collection'!Z137="","",'WetLitterbags placem_collection'!Z137)</f>
        <v>5.6</v>
      </c>
      <c r="AH136" s="236" t="str">
        <f>IF('WetLitterbags placem_collection'!AA137="","",'WetLitterbags placem_collection'!AA137)</f>
        <v>O</v>
      </c>
      <c r="AI136">
        <f>IF('WetLitterbags placem_collection'!AC137="","",'WetLitterbags placem_collection'!AC137)</f>
        <v>1</v>
      </c>
      <c r="AJ136">
        <f>IFERROR(AVERAGE('Dry_Litterbag Placem_Collection'!O137,'Dry_Litterbag Placem_Collection'!R137),"")</f>
        <v>8.5500000000000007</v>
      </c>
      <c r="AK136" s="261">
        <f>IFERROR(AVERAGE('Dry_Litterbag Placem_Collection'!N137,'Dry_Litterbag Placem_Collection'!Q137),"")</f>
        <v>31.35</v>
      </c>
      <c r="AL136" s="260">
        <f>INDEX([2]Coordinates!$B$2:$B$197,MATCH(I136,[2]Coordinates!$J$2:$J$197,0))</f>
        <v>-2.3503589909999998</v>
      </c>
      <c r="AM136" s="260">
        <f>INDEX([2]Coordinates!$C$2:$C$197,MATCH(I136,[2]Coordinates!$J$2:$J$197,0))</f>
        <v>34.049719000000003</v>
      </c>
      <c r="AN136" s="260" t="str">
        <f>IF(ISNUMBER(SEARCH("C", 'Dry_Litterbag Placem_Collection'!S137)),"YES","NO")</f>
        <v>YES</v>
      </c>
      <c r="AO136" s="260" t="str">
        <f>IF(ISNUMBER(SEARCH("H", 'Dry_Litterbag Placem_Collection'!S137)),"YES","NO")</f>
        <v>YES</v>
      </c>
      <c r="AP136" s="260" t="str">
        <f>IF(ISNUMBER(SEARCH("R", 'Dry_Litterbag Placem_Collection'!S137)),"YES","NO")</f>
        <v>NO</v>
      </c>
    </row>
    <row r="137" spans="1:42" ht="15" customHeight="1">
      <c r="A137" t="s">
        <v>3248</v>
      </c>
      <c r="B137" s="252" t="s">
        <v>2643</v>
      </c>
      <c r="C137" s="253">
        <f>'Dry_Litterbag Placem_Collection'!A138</f>
        <v>136</v>
      </c>
      <c r="D137" s="253" t="str">
        <f>'Dry_Litterbag Placem_Collection'!B138</f>
        <v xml:space="preserve">Mwantimba
</v>
      </c>
      <c r="E137" s="253" t="s">
        <v>2454</v>
      </c>
      <c r="F137" s="253" t="s">
        <v>20</v>
      </c>
      <c r="G137" s="253">
        <v>1</v>
      </c>
      <c r="H137" s="253" t="s">
        <v>3121</v>
      </c>
      <c r="I137" s="254" t="str">
        <f>'Dry_Litterbag Placem_Collection'!C138</f>
        <v>Wet_P1_T8</v>
      </c>
      <c r="J137" s="255" t="s">
        <v>2525</v>
      </c>
      <c r="K137" s="256" t="s">
        <v>1147</v>
      </c>
      <c r="L137" s="253" t="str">
        <f>IF(ISBLANK('Dry_Litterbag Placem_Collection'!J138),"","G"&amp;""&amp;'Dry_Litterbag Placem_Collection'!J138)</f>
        <v>G332</v>
      </c>
      <c r="M137" s="257">
        <f>IFERROR(INDEX('Green_rooibos initial weight'!$C$5:$C$2000,MATCH(L137, 'Green_rooibos initial weight'!$A$5:$A$2000,0)),"")</f>
        <v>2.121</v>
      </c>
      <c r="N137" s="257">
        <f>IFERROR(M137-(TBIcalc!$Q$9+TBIcalc!$Q$10),"")</f>
        <v>1.8712</v>
      </c>
      <c r="O137" s="378">
        <f>AVERAGE(Ashed_controlls!$K$2:$K$11)</f>
        <v>5.5147656768714146</v>
      </c>
      <c r="P137" s="257">
        <f t="shared" si="11"/>
        <v>1.7680077046543821</v>
      </c>
      <c r="Q137" s="257">
        <f>IFERROR(INDEX('Both teabags AfterDry'!$D$2:$D$2000,MATCH(L137,'Both teabags AfterDry'!$A$2:$A$2000,0)),"")</f>
        <v>0.98260000000000003</v>
      </c>
      <c r="R137" s="257">
        <f>IFERROR(IF(Q137&gt;0,Q137-(TBIcalc!$Q$9),""),"")</f>
        <v>0.83200000000000007</v>
      </c>
      <c r="S137" s="268">
        <f>IFERROR(INDEX('Ashed teabags dry'!$K$2:$K$2000,MATCH(L137,'Ashed teabags dry'!$A$2:$A$2000,0)),"")</f>
        <v>36.128717698681726</v>
      </c>
      <c r="T137" s="268">
        <f t="shared" si="12"/>
        <v>0.53140906874696814</v>
      </c>
      <c r="U137" s="258">
        <f>IF('Dry_Litterbag Placem_Collection'!E138="","",'Dry_Litterbag Placem_Collection'!E138)</f>
        <v>42939</v>
      </c>
      <c r="V137" s="258">
        <f>IF('Dry_Litterbag Placem_Collection'!G138="","",'Dry_Litterbag Placem_Collection'!G138)</f>
        <v>43008</v>
      </c>
      <c r="W137" s="259">
        <f t="shared" si="10"/>
        <v>69</v>
      </c>
      <c r="X137" s="257">
        <f t="shared" si="13"/>
        <v>1.0391999999999999</v>
      </c>
      <c r="Y137" s="257">
        <f t="shared" si="14"/>
        <v>1.2365986359074139</v>
      </c>
      <c r="Z137" s="261">
        <f>IFERROR(INDEX([3]Rainfall_Dry!$O$2:$O$217,MATCH(C137, [3]Rainfall_Dry!$A$2:$A$217,0)),"")</f>
        <v>136.27214243</v>
      </c>
      <c r="AA137" s="250">
        <v>31.214836424255054</v>
      </c>
      <c r="AB137" s="250">
        <v>11.377370285476141</v>
      </c>
      <c r="AC137" s="250">
        <v>57.407793290268799</v>
      </c>
      <c r="AD137" s="251" t="s">
        <v>2651</v>
      </c>
      <c r="AE137" s="250">
        <v>8.7337604731394798</v>
      </c>
      <c r="AF137">
        <f>IF('WetLitterbags placem_collection'!AB138="","",'WetLitterbags placem_collection'!AB138)</f>
        <v>2.2999999999999998</v>
      </c>
      <c r="AG137">
        <f>IF('WetLitterbags placem_collection'!Z138="","",'WetLitterbags placem_collection'!Z138)</f>
        <v>16.3</v>
      </c>
      <c r="AH137" s="236" t="str">
        <f>IF('WetLitterbags placem_collection'!AA138="","",'WetLitterbags placem_collection'!AA138)</f>
        <v>G</v>
      </c>
      <c r="AI137">
        <f>IF('WetLitterbags placem_collection'!AC138="","",'WetLitterbags placem_collection'!AC138)</f>
        <v>1</v>
      </c>
      <c r="AJ137">
        <f>IFERROR(AVERAGE('Dry_Litterbag Placem_Collection'!O138,'Dry_Litterbag Placem_Collection'!R138),"")</f>
        <v>5.9</v>
      </c>
      <c r="AK137" s="261">
        <f>IFERROR(AVERAGE('Dry_Litterbag Placem_Collection'!N138,'Dry_Litterbag Placem_Collection'!Q138),"")</f>
        <v>29.9</v>
      </c>
      <c r="AL137" s="260">
        <f>INDEX([2]Coordinates!$B$2:$B$197,MATCH(I137,[2]Coordinates!$J$2:$J$197,0))</f>
        <v>-2.3502159960000002</v>
      </c>
      <c r="AM137" s="260">
        <f>INDEX([2]Coordinates!$C$2:$C$197,MATCH(I137,[2]Coordinates!$J$2:$J$197,0))</f>
        <v>34.049822020000001</v>
      </c>
      <c r="AN137" s="260" t="str">
        <f>IF(ISNUMBER(SEARCH("C", 'Dry_Litterbag Placem_Collection'!S138)),"YES","NO")</f>
        <v>YES</v>
      </c>
      <c r="AO137" s="260" t="str">
        <f>IF(ISNUMBER(SEARCH("H", 'Dry_Litterbag Placem_Collection'!S138)),"YES","NO")</f>
        <v>NO</v>
      </c>
      <c r="AP137" s="260" t="str">
        <f>IF(ISNUMBER(SEARCH("R", 'Dry_Litterbag Placem_Collection'!S138)),"YES","NO")</f>
        <v>NO</v>
      </c>
    </row>
    <row r="138" spans="1:42" ht="15" customHeight="1">
      <c r="A138" t="s">
        <v>3248</v>
      </c>
      <c r="B138" s="252" t="s">
        <v>2643</v>
      </c>
      <c r="C138" s="253">
        <f>'Dry_Litterbag Placem_Collection'!A139</f>
        <v>137</v>
      </c>
      <c r="D138" s="253" t="str">
        <f>'Dry_Litterbag Placem_Collection'!B139</f>
        <v xml:space="preserve">Mwantimba
</v>
      </c>
      <c r="E138" s="253" t="s">
        <v>2454</v>
      </c>
      <c r="F138" s="253" t="s">
        <v>20</v>
      </c>
      <c r="G138" s="253">
        <v>2</v>
      </c>
      <c r="H138" s="253" t="s">
        <v>3123</v>
      </c>
      <c r="I138" s="254" t="str">
        <f>'Dry_Litterbag Placem_Collection'!C139</f>
        <v>Wet_P2_T1</v>
      </c>
      <c r="J138" s="255" t="s">
        <v>2525</v>
      </c>
      <c r="K138" s="256" t="s">
        <v>1147</v>
      </c>
      <c r="L138" s="253" t="str">
        <f>IF(ISBLANK('Dry_Litterbag Placem_Collection'!J139),"","G"&amp;""&amp;'Dry_Litterbag Placem_Collection'!J139)</f>
        <v>G30</v>
      </c>
      <c r="M138" s="257">
        <f>IFERROR(INDEX('Green_rooibos initial weight'!$C$5:$C$2000,MATCH(L138, 'Green_rooibos initial weight'!$A$5:$A$2000,0)),"")</f>
        <v>2.0680000000000001</v>
      </c>
      <c r="N138" s="257">
        <f>IFERROR(M138-(TBIcalc!$Q$9+TBIcalc!$Q$10),"")</f>
        <v>1.8182</v>
      </c>
      <c r="O138" s="378">
        <f>AVERAGE(Ashed_controlls!$K$2:$K$11)</f>
        <v>5.5147656768714146</v>
      </c>
      <c r="P138" s="257">
        <f t="shared" si="11"/>
        <v>1.7179305304631241</v>
      </c>
      <c r="Q138" s="257">
        <f>IFERROR(INDEX('Both teabags AfterDry'!$D$2:$D$2000,MATCH(L138,'Both teabags AfterDry'!$A$2:$A$2000,0)),"")</f>
        <v>0.80879999999999996</v>
      </c>
      <c r="R138" s="257">
        <f>IFERROR(IF(Q138&gt;0,Q138-(TBIcalc!$Q$9),""),"")</f>
        <v>0.6581999999999999</v>
      </c>
      <c r="S138" s="268">
        <f>IFERROR(INDEX('Ashed teabags dry'!$K$2:$K$2000,MATCH(L138,'Ashed teabags dry'!$A$2:$A$2000,0)),"")</f>
        <v>19.57311534968159</v>
      </c>
      <c r="T138" s="268">
        <f t="shared" si="12"/>
        <v>0.52936975476839565</v>
      </c>
      <c r="U138" s="258">
        <f>IF('Dry_Litterbag Placem_Collection'!E139="","",'Dry_Litterbag Placem_Collection'!E139)</f>
        <v>42939</v>
      </c>
      <c r="V138" s="258">
        <f>IF('Dry_Litterbag Placem_Collection'!G139="","",'Dry_Litterbag Placem_Collection'!G139)</f>
        <v>43008</v>
      </c>
      <c r="W138" s="259">
        <f t="shared" si="10"/>
        <v>69</v>
      </c>
      <c r="X138" s="257">
        <f t="shared" si="13"/>
        <v>1.1600000000000001</v>
      </c>
      <c r="Y138" s="257">
        <f t="shared" si="14"/>
        <v>1.1885607756947283</v>
      </c>
      <c r="Z138" s="261">
        <f>IFERROR(INDEX([3]Rainfall_Dry!$O$2:$O$217,MATCH(C138, [3]Rainfall_Dry!$A$2:$A$217,0)),"")</f>
        <v>136.27214243</v>
      </c>
      <c r="AA138" s="250">
        <v>33.96</v>
      </c>
      <c r="AB138" s="250">
        <v>8.9200000000000017</v>
      </c>
      <c r="AC138" s="250">
        <v>57.12</v>
      </c>
      <c r="AD138" s="251" t="s">
        <v>2651</v>
      </c>
      <c r="AE138" s="250">
        <v>2.072055199605717</v>
      </c>
      <c r="AF138">
        <f>IF('WetLitterbags placem_collection'!AB139="","",'WetLitterbags placem_collection'!AB139)</f>
        <v>1.2</v>
      </c>
      <c r="AG138">
        <f>IF('WetLitterbags placem_collection'!Z139="","",'WetLitterbags placem_collection'!Z139)</f>
        <v>32.4</v>
      </c>
      <c r="AH138" s="236" t="str">
        <f>IF('WetLitterbags placem_collection'!AA139="","",'WetLitterbags placem_collection'!AA139)</f>
        <v>G</v>
      </c>
      <c r="AI138">
        <f>IF('WetLitterbags placem_collection'!AC139="","",'WetLitterbags placem_collection'!AC139)</f>
        <v>1</v>
      </c>
      <c r="AJ138">
        <f>IFERROR(AVERAGE('Dry_Litterbag Placem_Collection'!O139,'Dry_Litterbag Placem_Collection'!R139),"")</f>
        <v>8.9</v>
      </c>
      <c r="AK138" s="261">
        <f>IFERROR(AVERAGE('Dry_Litterbag Placem_Collection'!N139,'Dry_Litterbag Placem_Collection'!Q139),"")</f>
        <v>27.55</v>
      </c>
      <c r="AL138" s="260">
        <f>INDEX([2]Coordinates!$B$2:$B$197,MATCH(I138,[2]Coordinates!$J$2:$J$197,0))</f>
        <v>-2.348596025</v>
      </c>
      <c r="AM138" s="260">
        <f>INDEX([2]Coordinates!$C$2:$C$197,MATCH(I138,[2]Coordinates!$J$2:$J$197,0))</f>
        <v>34.050070959999999</v>
      </c>
      <c r="AN138" s="260" t="str">
        <f>IF(ISNUMBER(SEARCH("C", 'Dry_Litterbag Placem_Collection'!S139)),"YES","NO")</f>
        <v>NO</v>
      </c>
      <c r="AO138" s="260" t="str">
        <f>IF(ISNUMBER(SEARCH("H", 'Dry_Litterbag Placem_Collection'!S139)),"YES","NO")</f>
        <v>YES</v>
      </c>
      <c r="AP138" s="260" t="str">
        <f>IF(ISNUMBER(SEARCH("R", 'Dry_Litterbag Placem_Collection'!S139)),"YES","NO")</f>
        <v>NO</v>
      </c>
    </row>
    <row r="139" spans="1:42" ht="15" customHeight="1">
      <c r="A139" t="s">
        <v>3248</v>
      </c>
      <c r="B139" s="252" t="s">
        <v>2643</v>
      </c>
      <c r="C139" s="253">
        <f>'Dry_Litterbag Placem_Collection'!A140</f>
        <v>138</v>
      </c>
      <c r="D139" s="253" t="str">
        <f>'Dry_Litterbag Placem_Collection'!B140</f>
        <v xml:space="preserve">Mwantimba
</v>
      </c>
      <c r="E139" s="253" t="s">
        <v>2454</v>
      </c>
      <c r="F139" s="253" t="s">
        <v>20</v>
      </c>
      <c r="G139" s="253">
        <v>2</v>
      </c>
      <c r="H139" s="253" t="s">
        <v>3123</v>
      </c>
      <c r="I139" s="254" t="str">
        <f>'Dry_Litterbag Placem_Collection'!C140</f>
        <v>Wet_P2_T2</v>
      </c>
      <c r="J139" s="255" t="s">
        <v>2525</v>
      </c>
      <c r="K139" s="256" t="s">
        <v>1147</v>
      </c>
      <c r="L139" s="253" t="str">
        <f>IF(ISBLANK('Dry_Litterbag Placem_Collection'!J140),"","G"&amp;""&amp;'Dry_Litterbag Placem_Collection'!J140)</f>
        <v>G213</v>
      </c>
      <c r="M139" s="257">
        <f>IFERROR(INDEX('Green_rooibos initial weight'!$C$5:$C$2000,MATCH(L139, 'Green_rooibos initial weight'!$A$5:$A$2000,0)),"")</f>
        <v>2.0670000000000002</v>
      </c>
      <c r="N139" s="257">
        <f>IFERROR(M139-(TBIcalc!$Q$9+TBIcalc!$Q$10),"")</f>
        <v>1.8172000000000001</v>
      </c>
      <c r="O139" s="378">
        <f>AVERAGE(Ashed_controlls!$K$2:$K$11)</f>
        <v>5.5147656768714146</v>
      </c>
      <c r="P139" s="257">
        <f t="shared" si="11"/>
        <v>1.7169856781198929</v>
      </c>
      <c r="Q139" s="257">
        <f>IFERROR(INDEX('Both teabags AfterDry'!$D$2:$D$2000,MATCH(L139,'Both teabags AfterDry'!$A$2:$A$2000,0)),"")</f>
        <v>0.66200000000000003</v>
      </c>
      <c r="R139" s="257">
        <f>IFERROR(IF(Q139&gt;0,Q139-(TBIcalc!$Q$9),""),"")</f>
        <v>0.51140000000000008</v>
      </c>
      <c r="S139" s="268">
        <f>IFERROR(INDEX('Ashed teabags dry'!$K$2:$K$2000,MATCH(L139,'Ashed teabags dry'!$A$2:$A$2000,0)),"")</f>
        <v>28.084896347481987</v>
      </c>
      <c r="T139" s="268">
        <f t="shared" si="12"/>
        <v>0.36777384007897718</v>
      </c>
      <c r="U139" s="258">
        <f>IF('Dry_Litterbag Placem_Collection'!E140="","",'Dry_Litterbag Placem_Collection'!E140)</f>
        <v>42939</v>
      </c>
      <c r="V139" s="258">
        <f>IF('Dry_Litterbag Placem_Collection'!G140="","",'Dry_Litterbag Placem_Collection'!G140)</f>
        <v>43008</v>
      </c>
      <c r="W139" s="259">
        <f t="shared" si="10"/>
        <v>69</v>
      </c>
      <c r="X139" s="257">
        <f t="shared" si="13"/>
        <v>1.3058000000000001</v>
      </c>
      <c r="Y139" s="257">
        <f t="shared" si="14"/>
        <v>1.3492118380409157</v>
      </c>
      <c r="Z139" s="261">
        <f>IFERROR(INDEX([3]Rainfall_Dry!$O$2:$O$217,MATCH(C139, [3]Rainfall_Dry!$A$2:$A$217,0)),"")</f>
        <v>136.27214243</v>
      </c>
      <c r="AA139" s="250">
        <v>33.96</v>
      </c>
      <c r="AB139" s="250">
        <v>8.9200000000000017</v>
      </c>
      <c r="AC139" s="250">
        <v>57.12</v>
      </c>
      <c r="AD139" s="251" t="s">
        <v>2651</v>
      </c>
      <c r="AE139" s="250">
        <v>3.0720551996057202</v>
      </c>
      <c r="AF139">
        <f>IF('WetLitterbags placem_collection'!AB140="","",'WetLitterbags placem_collection'!AB140)</f>
        <v>2.8</v>
      </c>
      <c r="AG139">
        <f>IF('WetLitterbags placem_collection'!Z140="","",'WetLitterbags placem_collection'!Z140)</f>
        <v>26.4</v>
      </c>
      <c r="AH139" s="236" t="str">
        <f>IF('WetLitterbags placem_collection'!AA140="","",'WetLitterbags placem_collection'!AA140)</f>
        <v>G</v>
      </c>
      <c r="AI139">
        <f>IF('WetLitterbags placem_collection'!AC140="","",'WetLitterbags placem_collection'!AC140)</f>
        <v>1</v>
      </c>
      <c r="AJ139">
        <f>IFERROR(AVERAGE('Dry_Litterbag Placem_Collection'!O140,'Dry_Litterbag Placem_Collection'!R140),"")</f>
        <v>7.05</v>
      </c>
      <c r="AK139" s="261">
        <f>IFERROR(AVERAGE('Dry_Litterbag Placem_Collection'!N140,'Dry_Litterbag Placem_Collection'!Q140),"")</f>
        <v>28.799999999999997</v>
      </c>
      <c r="AL139" s="260">
        <f>INDEX([2]Coordinates!$B$2:$B$197,MATCH(I139,[2]Coordinates!$J$2:$J$197,0))</f>
        <v>-2.3485449790000001</v>
      </c>
      <c r="AM139" s="260">
        <f>INDEX([2]Coordinates!$C$2:$C$197,MATCH(I139,[2]Coordinates!$J$2:$J$197,0))</f>
        <v>34.050146980000001</v>
      </c>
      <c r="AN139" s="260" t="str">
        <f>IF(ISNUMBER(SEARCH("C", 'Dry_Litterbag Placem_Collection'!S140)),"YES","NO")</f>
        <v>YES</v>
      </c>
      <c r="AO139" s="260" t="str">
        <f>IF(ISNUMBER(SEARCH("H", 'Dry_Litterbag Placem_Collection'!S140)),"YES","NO")</f>
        <v>YES</v>
      </c>
      <c r="AP139" s="260" t="str">
        <f>IF(ISNUMBER(SEARCH("R", 'Dry_Litterbag Placem_Collection'!S140)),"YES","NO")</f>
        <v>NO</v>
      </c>
    </row>
    <row r="140" spans="1:42" ht="15" customHeight="1">
      <c r="A140" t="s">
        <v>3248</v>
      </c>
      <c r="B140" s="252" t="s">
        <v>2643</v>
      </c>
      <c r="C140" s="253">
        <f>'Dry_Litterbag Placem_Collection'!A141</f>
        <v>139</v>
      </c>
      <c r="D140" s="253" t="str">
        <f>'Dry_Litterbag Placem_Collection'!B141</f>
        <v xml:space="preserve">Mwantimba
</v>
      </c>
      <c r="E140" s="253" t="s">
        <v>2454</v>
      </c>
      <c r="F140" s="253" t="s">
        <v>20</v>
      </c>
      <c r="G140" s="253">
        <v>2</v>
      </c>
      <c r="H140" s="253" t="s">
        <v>3123</v>
      </c>
      <c r="I140" s="254" t="str">
        <f>'Dry_Litterbag Placem_Collection'!C141</f>
        <v>Wet_P2_T3</v>
      </c>
      <c r="J140" s="255" t="s">
        <v>2525</v>
      </c>
      <c r="K140" s="256" t="s">
        <v>1147</v>
      </c>
      <c r="L140" s="253" t="str">
        <f>IF(ISBLANK('Dry_Litterbag Placem_Collection'!J141),"","G"&amp;""&amp;'Dry_Litterbag Placem_Collection'!J141)</f>
        <v>G17</v>
      </c>
      <c r="M140" s="257">
        <f>IFERROR(INDEX('Green_rooibos initial weight'!$C$5:$C$2000,MATCH(L140, 'Green_rooibos initial weight'!$A$5:$A$2000,0)),"")</f>
        <v>1.9870000000000001</v>
      </c>
      <c r="N140" s="257">
        <f>IFERROR(M140-(TBIcalc!$Q$9+TBIcalc!$Q$10),"")</f>
        <v>1.7372000000000001</v>
      </c>
      <c r="O140" s="378">
        <f>AVERAGE(Ashed_controlls!$K$2:$K$11)</f>
        <v>5.5147656768714146</v>
      </c>
      <c r="P140" s="257">
        <f t="shared" si="11"/>
        <v>1.64139749066139</v>
      </c>
      <c r="Q140" s="257">
        <f>IFERROR(INDEX('Both teabags AfterDry'!$D$2:$D$2000,MATCH(L140,'Both teabags AfterDry'!$A$2:$A$2000,0)),"")</f>
        <v>0.73580000000000001</v>
      </c>
      <c r="R140" s="257">
        <f>IFERROR(IF(Q140&gt;0,Q140-(TBIcalc!$Q$9),""),"")</f>
        <v>0.58519999999999994</v>
      </c>
      <c r="S140" s="268">
        <f>IFERROR(INDEX('Ashed teabags dry'!$K$2:$K$2000,MATCH(L140,'Ashed teabags dry'!$A$2:$A$2000,0)),"")</f>
        <v>21.345029239766301</v>
      </c>
      <c r="T140" s="268">
        <f t="shared" si="12"/>
        <v>0.46028888888888758</v>
      </c>
      <c r="U140" s="258">
        <f>IF('Dry_Litterbag Placem_Collection'!E141="","",'Dry_Litterbag Placem_Collection'!E141)</f>
        <v>42939</v>
      </c>
      <c r="V140" s="258">
        <f>IF('Dry_Litterbag Placem_Collection'!G141="","",'Dry_Litterbag Placem_Collection'!G141)</f>
        <v>43008</v>
      </c>
      <c r="W140" s="259">
        <f t="shared" si="10"/>
        <v>69</v>
      </c>
      <c r="X140" s="257">
        <f t="shared" si="13"/>
        <v>1.1520000000000001</v>
      </c>
      <c r="Y140" s="257">
        <f t="shared" si="14"/>
        <v>1.1811086017725023</v>
      </c>
      <c r="Z140" s="261">
        <f>IFERROR(INDEX([3]Rainfall_Dry!$O$2:$O$217,MATCH(C140, [3]Rainfall_Dry!$A$2:$A$217,0)),"")</f>
        <v>136.27214243</v>
      </c>
      <c r="AA140" s="250">
        <v>33.96</v>
      </c>
      <c r="AB140" s="250">
        <v>8.9200000000000017</v>
      </c>
      <c r="AC140" s="250">
        <v>57.12</v>
      </c>
      <c r="AD140" s="251" t="s">
        <v>2651</v>
      </c>
      <c r="AE140" s="250">
        <v>4.0720551996057202</v>
      </c>
      <c r="AF140">
        <f>IF('WetLitterbags placem_collection'!AB141="","",'WetLitterbags placem_collection'!AB141)</f>
        <v>5.7</v>
      </c>
      <c r="AG140">
        <f>IF('WetLitterbags placem_collection'!Z141="","",'WetLitterbags placem_collection'!Z141)</f>
        <v>19.399999999999999</v>
      </c>
      <c r="AH140" s="236" t="str">
        <f>IF('WetLitterbags placem_collection'!AA141="","",'WetLitterbags placem_collection'!AA141)</f>
        <v>G</v>
      </c>
      <c r="AI140">
        <f>IF('WetLitterbags placem_collection'!AC141="","",'WetLitterbags placem_collection'!AC141)</f>
        <v>1</v>
      </c>
      <c r="AJ140">
        <f>IFERROR(AVERAGE('Dry_Litterbag Placem_Collection'!O141,'Dry_Litterbag Placem_Collection'!R141),"")</f>
        <v>11.200000000000001</v>
      </c>
      <c r="AK140" s="261">
        <f>IFERROR(AVERAGE('Dry_Litterbag Placem_Collection'!N141,'Dry_Litterbag Placem_Collection'!Q141),"")</f>
        <v>28.15</v>
      </c>
      <c r="AL140" s="260">
        <f>INDEX([2]Coordinates!$B$2:$B$197,MATCH(I140,[2]Coordinates!$J$2:$J$197,0))</f>
        <v>-2.3487209990000002</v>
      </c>
      <c r="AM140" s="260">
        <f>INDEX([2]Coordinates!$C$2:$C$197,MATCH(I140,[2]Coordinates!$J$2:$J$197,0))</f>
        <v>34.050128039999997</v>
      </c>
      <c r="AN140" s="260" t="str">
        <f>IF(ISNUMBER(SEARCH("C", 'Dry_Litterbag Placem_Collection'!S141)),"YES","NO")</f>
        <v>YES</v>
      </c>
      <c r="AO140" s="260" t="str">
        <f>IF(ISNUMBER(SEARCH("H", 'Dry_Litterbag Placem_Collection'!S141)),"YES","NO")</f>
        <v>YES</v>
      </c>
      <c r="AP140" s="260" t="str">
        <f>IF(ISNUMBER(SEARCH("R", 'Dry_Litterbag Placem_Collection'!S141)),"YES","NO")</f>
        <v>NO</v>
      </c>
    </row>
    <row r="141" spans="1:42" ht="15" customHeight="1">
      <c r="A141" t="s">
        <v>3248</v>
      </c>
      <c r="B141" s="252" t="s">
        <v>2643</v>
      </c>
      <c r="C141" s="253">
        <f>'Dry_Litterbag Placem_Collection'!A142</f>
        <v>140</v>
      </c>
      <c r="D141" s="253" t="str">
        <f>'Dry_Litterbag Placem_Collection'!B142</f>
        <v xml:space="preserve">Mwantimba
</v>
      </c>
      <c r="E141" s="253" t="s">
        <v>2454</v>
      </c>
      <c r="F141" s="253" t="s">
        <v>20</v>
      </c>
      <c r="G141" s="253">
        <v>2</v>
      </c>
      <c r="H141" s="253" t="s">
        <v>3123</v>
      </c>
      <c r="I141" s="254" t="str">
        <f>'Dry_Litterbag Placem_Collection'!C142</f>
        <v>Wet_P2_T4</v>
      </c>
      <c r="J141" s="255" t="s">
        <v>2525</v>
      </c>
      <c r="K141" s="256" t="s">
        <v>1147</v>
      </c>
      <c r="L141" s="253" t="str">
        <f>IF(ISBLANK('Dry_Litterbag Placem_Collection'!J142),"","G"&amp;""&amp;'Dry_Litterbag Placem_Collection'!J142)</f>
        <v>G401</v>
      </c>
      <c r="M141" s="257">
        <f>IFERROR(INDEX('Green_rooibos initial weight'!$C$5:$C$2000,MATCH(L141, 'Green_rooibos initial weight'!$A$5:$A$2000,0)),"")</f>
        <v>1.9390000000000001</v>
      </c>
      <c r="N141" s="257">
        <f>IFERROR(M141-(TBIcalc!$Q$9+TBIcalc!$Q$10),"")</f>
        <v>1.6892</v>
      </c>
      <c r="O141" s="378">
        <f>AVERAGE(Ashed_controlls!$K$2:$K$11)</f>
        <v>5.5147656768714146</v>
      </c>
      <c r="P141" s="257">
        <f t="shared" si="11"/>
        <v>1.5960445781862882</v>
      </c>
      <c r="Q141" s="257">
        <f>IFERROR(INDEX('Both teabags AfterDry'!$D$2:$D$2000,MATCH(L141,'Both teabags AfterDry'!$A$2:$A$2000,0)),"")</f>
        <v>0.9304</v>
      </c>
      <c r="R141" s="257">
        <f>IFERROR(IF(Q141&gt;0,Q141-(TBIcalc!$Q$9),""),"")</f>
        <v>0.77980000000000005</v>
      </c>
      <c r="S141" s="268">
        <f>IFERROR(INDEX('Ashed teabags dry'!$K$2:$K$2000,MATCH(L141,'Ashed teabags dry'!$A$2:$A$2000,0)),"")</f>
        <v>22.900763358778644</v>
      </c>
      <c r="T141" s="268">
        <f t="shared" si="12"/>
        <v>0.60121984732824418</v>
      </c>
      <c r="U141" s="258">
        <f>IF('Dry_Litterbag Placem_Collection'!E142="","",'Dry_Litterbag Placem_Collection'!E142)</f>
        <v>42939</v>
      </c>
      <c r="V141" s="258">
        <f>IF('Dry_Litterbag Placem_Collection'!G142="","",'Dry_Litterbag Placem_Collection'!G142)</f>
        <v>43008</v>
      </c>
      <c r="W141" s="259">
        <f t="shared" si="10"/>
        <v>69</v>
      </c>
      <c r="X141" s="257">
        <f t="shared" si="13"/>
        <v>0.90939999999999999</v>
      </c>
      <c r="Y141" s="257">
        <f t="shared" si="14"/>
        <v>0.99482473085804402</v>
      </c>
      <c r="Z141" s="261">
        <f>IFERROR(INDEX([3]Rainfall_Dry!$O$2:$O$217,MATCH(C141, [3]Rainfall_Dry!$A$2:$A$217,0)),"")</f>
        <v>136.27214243</v>
      </c>
      <c r="AA141" s="250">
        <v>33.96</v>
      </c>
      <c r="AB141" s="250">
        <v>8.9200000000000017</v>
      </c>
      <c r="AC141" s="250">
        <v>57.12</v>
      </c>
      <c r="AD141" s="251" t="s">
        <v>2651</v>
      </c>
      <c r="AE141" s="250">
        <v>5.0720551996057202</v>
      </c>
      <c r="AF141">
        <f>IF('WetLitterbags placem_collection'!AB142="","",'WetLitterbags placem_collection'!AB142)</f>
        <v>1.4</v>
      </c>
      <c r="AG141">
        <f>IF('WetLitterbags placem_collection'!Z142="","",'WetLitterbags placem_collection'!Z142)</f>
        <v>33.4</v>
      </c>
      <c r="AH141" s="236" t="str">
        <f>IF('WetLitterbags placem_collection'!AA142="","",'WetLitterbags placem_collection'!AA142)</f>
        <v>G</v>
      </c>
      <c r="AI141">
        <f>IF('WetLitterbags placem_collection'!AC142="","",'WetLitterbags placem_collection'!AC142)</f>
        <v>1</v>
      </c>
      <c r="AJ141">
        <f>IFERROR(AVERAGE('Dry_Litterbag Placem_Collection'!O142,'Dry_Litterbag Placem_Collection'!R142),"")</f>
        <v>7.3000000000000007</v>
      </c>
      <c r="AK141" s="261">
        <f>IFERROR(AVERAGE('Dry_Litterbag Placem_Collection'!N142,'Dry_Litterbag Placem_Collection'!Q142),"")</f>
        <v>28</v>
      </c>
      <c r="AL141" s="260">
        <f>INDEX([2]Coordinates!$B$2:$B$197,MATCH(I141,[2]Coordinates!$J$2:$J$197,0))</f>
        <v>-2.3486250270000002</v>
      </c>
      <c r="AM141" s="260">
        <f>INDEX([2]Coordinates!$C$2:$C$197,MATCH(I141,[2]Coordinates!$J$2:$J$197,0))</f>
        <v>34.050070959999999</v>
      </c>
      <c r="AN141" s="260" t="str">
        <f>IF(ISNUMBER(SEARCH("C", 'Dry_Litterbag Placem_Collection'!S142)),"YES","NO")</f>
        <v>NO</v>
      </c>
      <c r="AO141" s="260" t="str">
        <f>IF(ISNUMBER(SEARCH("H", 'Dry_Litterbag Placem_Collection'!S142)),"YES","NO")</f>
        <v>NO</v>
      </c>
      <c r="AP141" s="260" t="str">
        <f>IF(ISNUMBER(SEARCH("R", 'Dry_Litterbag Placem_Collection'!S142)),"YES","NO")</f>
        <v>YES</v>
      </c>
    </row>
    <row r="142" spans="1:42" ht="15" customHeight="1">
      <c r="A142" t="s">
        <v>3248</v>
      </c>
      <c r="B142" s="252" t="s">
        <v>2643</v>
      </c>
      <c r="C142" s="253">
        <f>'Dry_Litterbag Placem_Collection'!A143</f>
        <v>141</v>
      </c>
      <c r="D142" s="253" t="str">
        <f>'Dry_Litterbag Placem_Collection'!B143</f>
        <v xml:space="preserve">Mwantimba
</v>
      </c>
      <c r="E142" s="253" t="s">
        <v>2454</v>
      </c>
      <c r="F142" s="253" t="s">
        <v>20</v>
      </c>
      <c r="G142" s="253">
        <v>2</v>
      </c>
      <c r="H142" s="253" t="s">
        <v>3123</v>
      </c>
      <c r="I142" s="254" t="str">
        <f>'Dry_Litterbag Placem_Collection'!C143</f>
        <v>Wet_P2_T5</v>
      </c>
      <c r="J142" s="255" t="s">
        <v>2525</v>
      </c>
      <c r="K142" s="256" t="s">
        <v>1147</v>
      </c>
      <c r="L142" s="253" t="str">
        <f>IF(ISBLANK('Dry_Litterbag Placem_Collection'!J143),"","G"&amp;""&amp;'Dry_Litterbag Placem_Collection'!J143)</f>
        <v/>
      </c>
      <c r="M142" s="257" t="str">
        <f>IFERROR(INDEX('Green_rooibos initial weight'!$C$5:$C$2000,MATCH(L142, 'Green_rooibos initial weight'!$A$5:$A$2000,0)),"")</f>
        <v/>
      </c>
      <c r="N142" s="257" t="str">
        <f>IFERROR(M142-(TBIcalc!$Q$9+TBIcalc!$Q$10),"")</f>
        <v/>
      </c>
      <c r="O142" s="378">
        <f>AVERAGE(Ashed_controlls!$K$2:$K$11)</f>
        <v>5.5147656768714146</v>
      </c>
      <c r="P142" s="257" t="str">
        <f t="shared" si="11"/>
        <v/>
      </c>
      <c r="Q142" s="257" t="str">
        <f>IFERROR(INDEX('Both teabags AfterDry'!$D$2:$D$2000,MATCH(L142,'Both teabags AfterDry'!$A$2:$A$2000,0)),"")</f>
        <v/>
      </c>
      <c r="R142" s="257" t="str">
        <f>IFERROR(IF(Q142&gt;0,Q142-(TBIcalc!$Q$9),""),"")</f>
        <v/>
      </c>
      <c r="S142" s="268" t="str">
        <f>IFERROR(INDEX('Ashed teabags dry'!$K$2:$K$2000,MATCH(L142,'Ashed teabags dry'!$A$2:$A$2000,0)),"")</f>
        <v/>
      </c>
      <c r="T142" s="268" t="str">
        <f t="shared" si="12"/>
        <v/>
      </c>
      <c r="U142" s="258" t="str">
        <f>IF('Dry_Litterbag Placem_Collection'!E143="","",'Dry_Litterbag Placem_Collection'!E143)</f>
        <v/>
      </c>
      <c r="V142" s="258" t="str">
        <f>IF('Dry_Litterbag Placem_Collection'!G143="","",'Dry_Litterbag Placem_Collection'!G143)</f>
        <v/>
      </c>
      <c r="W142" s="259" t="str">
        <f t="shared" si="10"/>
        <v/>
      </c>
      <c r="X142" s="257" t="str">
        <f t="shared" si="13"/>
        <v/>
      </c>
      <c r="Y142" s="257" t="str">
        <f t="shared" si="14"/>
        <v/>
      </c>
      <c r="Z142" s="261" t="str">
        <f>IFERROR(INDEX([3]Rainfall_Dry!$O$2:$O$217,MATCH(C142, [3]Rainfall_Dry!$A$2:$A$217,0)),"")</f>
        <v/>
      </c>
      <c r="AA142" s="250">
        <v>33.96</v>
      </c>
      <c r="AB142" s="250">
        <v>8.9200000000000017</v>
      </c>
      <c r="AC142" s="250">
        <v>57.12</v>
      </c>
      <c r="AD142" s="251" t="s">
        <v>2651</v>
      </c>
      <c r="AE142" s="250">
        <v>6.0720551996057202</v>
      </c>
      <c r="AF142">
        <f>IF('WetLitterbags placem_collection'!AB143="","",'WetLitterbags placem_collection'!AB143)</f>
        <v>1.4</v>
      </c>
      <c r="AG142">
        <f>IF('WetLitterbags placem_collection'!Z143="","",'WetLitterbags placem_collection'!Z143)</f>
        <v>28.4</v>
      </c>
      <c r="AH142" s="236" t="str">
        <f>IF('WetLitterbags placem_collection'!AA143="","",'WetLitterbags placem_collection'!AA143)</f>
        <v>G</v>
      </c>
      <c r="AI142">
        <f>IF('WetLitterbags placem_collection'!AC143="","",'WetLitterbags placem_collection'!AC143)</f>
        <v>1</v>
      </c>
      <c r="AJ142" t="str">
        <f>IFERROR(AVERAGE('Dry_Litterbag Placem_Collection'!O143,'Dry_Litterbag Placem_Collection'!R143),"")</f>
        <v/>
      </c>
      <c r="AK142" s="261" t="str">
        <f>IFERROR(AVERAGE('Dry_Litterbag Placem_Collection'!N143,'Dry_Litterbag Placem_Collection'!Q143),"")</f>
        <v/>
      </c>
      <c r="AL142" s="260">
        <f>INDEX([2]Coordinates!$B$2:$B$197,MATCH(I142,[2]Coordinates!$J$2:$J$197,0))</f>
        <v>-2.3486060000000002</v>
      </c>
      <c r="AM142" s="260">
        <f>INDEX([2]Coordinates!$C$2:$C$197,MATCH(I142,[2]Coordinates!$J$2:$J$197,0))</f>
        <v>34.050010020000002</v>
      </c>
      <c r="AN142" s="260" t="str">
        <f>IF(ISNUMBER(SEARCH("C", 'Dry_Litterbag Placem_Collection'!S143)),"YES","NO")</f>
        <v>NO</v>
      </c>
      <c r="AO142" s="260" t="str">
        <f>IF(ISNUMBER(SEARCH("H", 'Dry_Litterbag Placem_Collection'!S143)),"YES","NO")</f>
        <v>NO</v>
      </c>
      <c r="AP142" s="260" t="str">
        <f>IF(ISNUMBER(SEARCH("R", 'Dry_Litterbag Placem_Collection'!S143)),"YES","NO")</f>
        <v>NO</v>
      </c>
    </row>
    <row r="143" spans="1:42" ht="15" customHeight="1">
      <c r="A143" t="s">
        <v>3248</v>
      </c>
      <c r="B143" s="252" t="s">
        <v>2643</v>
      </c>
      <c r="C143" s="253">
        <f>'Dry_Litterbag Placem_Collection'!A144</f>
        <v>142</v>
      </c>
      <c r="D143" s="253" t="str">
        <f>'Dry_Litterbag Placem_Collection'!B144</f>
        <v xml:space="preserve">Mwantimba
</v>
      </c>
      <c r="E143" s="253" t="s">
        <v>2454</v>
      </c>
      <c r="F143" s="253" t="s">
        <v>20</v>
      </c>
      <c r="G143" s="253">
        <v>2</v>
      </c>
      <c r="H143" s="253" t="s">
        <v>3123</v>
      </c>
      <c r="I143" s="254" t="str">
        <f>'Dry_Litterbag Placem_Collection'!C144</f>
        <v>Wet_P2_T6</v>
      </c>
      <c r="J143" s="255" t="s">
        <v>2525</v>
      </c>
      <c r="K143" s="256" t="s">
        <v>1147</v>
      </c>
      <c r="L143" s="253" t="str">
        <f>IF(ISBLANK('Dry_Litterbag Placem_Collection'!J144),"","G"&amp;""&amp;'Dry_Litterbag Placem_Collection'!J144)</f>
        <v>G87</v>
      </c>
      <c r="M143" s="257">
        <f>IFERROR(INDEX('Green_rooibos initial weight'!$C$5:$C$2000,MATCH(L143, 'Green_rooibos initial weight'!$A$5:$A$2000,0)),"")</f>
        <v>1.9870000000000001</v>
      </c>
      <c r="N143" s="257">
        <f>IFERROR(M143-(TBIcalc!$Q$9+TBIcalc!$Q$10),"")</f>
        <v>1.7372000000000001</v>
      </c>
      <c r="O143" s="378">
        <f>AVERAGE(Ashed_controlls!$K$2:$K$11)</f>
        <v>5.5147656768714146</v>
      </c>
      <c r="P143" s="257">
        <f t="shared" si="11"/>
        <v>1.64139749066139</v>
      </c>
      <c r="Q143" s="257" t="str">
        <f>IFERROR(INDEX('Both teabags AfterDry'!$D$2:$D$2000,MATCH(L143,'Both teabags AfterDry'!$A$2:$A$2000,0)),"")</f>
        <v/>
      </c>
      <c r="R143" s="257" t="str">
        <f>IFERROR(IF(Q143&gt;0,Q143-(TBIcalc!$Q$9),""),"")</f>
        <v/>
      </c>
      <c r="S143" s="268" t="str">
        <f>IFERROR(INDEX('Ashed teabags dry'!$K$2:$K$2000,MATCH(L143,'Ashed teabags dry'!$A$2:$A$2000,0)),"")</f>
        <v/>
      </c>
      <c r="T143" s="268" t="str">
        <f t="shared" si="12"/>
        <v/>
      </c>
      <c r="U143" s="258">
        <f>IF('Dry_Litterbag Placem_Collection'!E144="","",'Dry_Litterbag Placem_Collection'!E144)</f>
        <v>42939</v>
      </c>
      <c r="V143" s="258">
        <f>IF('Dry_Litterbag Placem_Collection'!G144="","",'Dry_Litterbag Placem_Collection'!G144)</f>
        <v>43008</v>
      </c>
      <c r="W143" s="259">
        <f t="shared" si="10"/>
        <v>69</v>
      </c>
      <c r="X143" s="257" t="str">
        <f t="shared" si="13"/>
        <v/>
      </c>
      <c r="Y143" s="257" t="str">
        <f t="shared" si="14"/>
        <v/>
      </c>
      <c r="Z143" s="261">
        <f>IFERROR(INDEX([3]Rainfall_Dry!$O$2:$O$217,MATCH(C143, [3]Rainfall_Dry!$A$2:$A$217,0)),"")</f>
        <v>136.27214243</v>
      </c>
      <c r="AA143" s="250">
        <v>33.96</v>
      </c>
      <c r="AB143" s="250">
        <v>8.9200000000000017</v>
      </c>
      <c r="AC143" s="250">
        <v>57.12</v>
      </c>
      <c r="AD143" s="251" t="s">
        <v>2651</v>
      </c>
      <c r="AE143" s="250">
        <v>7.0720551996057202</v>
      </c>
      <c r="AF143">
        <f>IF('WetLitterbags placem_collection'!AB144="","",'WetLitterbags placem_collection'!AB144)</f>
        <v>1.7</v>
      </c>
      <c r="AG143">
        <f>IF('WetLitterbags placem_collection'!Z144="","",'WetLitterbags placem_collection'!Z144)</f>
        <v>33.799999999999997</v>
      </c>
      <c r="AH143" s="236" t="str">
        <f>IF('WetLitterbags placem_collection'!AA144="","",'WetLitterbags placem_collection'!AA144)</f>
        <v>G</v>
      </c>
      <c r="AI143">
        <f>IF('WetLitterbags placem_collection'!AC144="","",'WetLitterbags placem_collection'!AC144)</f>
        <v>1</v>
      </c>
      <c r="AJ143">
        <f>IFERROR(AVERAGE('Dry_Litterbag Placem_Collection'!O144,'Dry_Litterbag Placem_Collection'!R144),"")</f>
        <v>8.4499999999999993</v>
      </c>
      <c r="AK143" s="261">
        <f>IFERROR(AVERAGE('Dry_Litterbag Placem_Collection'!N144,'Dry_Litterbag Placem_Collection'!Q144),"")</f>
        <v>28.4</v>
      </c>
      <c r="AL143" s="260">
        <f>INDEX([2]Coordinates!$B$2:$B$197,MATCH(I143,[2]Coordinates!$J$2:$J$197,0))</f>
        <v>-2.348618992</v>
      </c>
      <c r="AM143" s="260">
        <f>INDEX([2]Coordinates!$C$2:$C$197,MATCH(I143,[2]Coordinates!$J$2:$J$197,0))</f>
        <v>34.049996030000003</v>
      </c>
      <c r="AN143" s="260" t="str">
        <f>IF(ISNUMBER(SEARCH("C", 'Dry_Litterbag Placem_Collection'!S144)),"YES","NO")</f>
        <v>YES</v>
      </c>
      <c r="AO143" s="260" t="str">
        <f>IF(ISNUMBER(SEARCH("H", 'Dry_Litterbag Placem_Collection'!S144)),"YES","NO")</f>
        <v>NO</v>
      </c>
      <c r="AP143" s="260" t="str">
        <f>IF(ISNUMBER(SEARCH("R", 'Dry_Litterbag Placem_Collection'!S144)),"YES","NO")</f>
        <v>YES</v>
      </c>
    </row>
    <row r="144" spans="1:42" ht="15" customHeight="1">
      <c r="A144" t="s">
        <v>3248</v>
      </c>
      <c r="B144" s="252" t="s">
        <v>2643</v>
      </c>
      <c r="C144" s="253">
        <f>'Dry_Litterbag Placem_Collection'!A145</f>
        <v>143</v>
      </c>
      <c r="D144" s="253" t="str">
        <f>'Dry_Litterbag Placem_Collection'!B145</f>
        <v xml:space="preserve">Mwantimba
</v>
      </c>
      <c r="E144" s="253" t="s">
        <v>2454</v>
      </c>
      <c r="F144" s="253" t="s">
        <v>20</v>
      </c>
      <c r="G144" s="253">
        <v>2</v>
      </c>
      <c r="H144" s="253" t="s">
        <v>3123</v>
      </c>
      <c r="I144" s="254" t="str">
        <f>'Dry_Litterbag Placem_Collection'!C145</f>
        <v>Wet_P2_T7</v>
      </c>
      <c r="J144" s="255" t="s">
        <v>2525</v>
      </c>
      <c r="K144" s="256" t="s">
        <v>1147</v>
      </c>
      <c r="L144" s="253" t="str">
        <f>IF(ISBLANK('Dry_Litterbag Placem_Collection'!J145),"","G"&amp;""&amp;'Dry_Litterbag Placem_Collection'!J145)</f>
        <v>G501</v>
      </c>
      <c r="M144" s="257">
        <f>IFERROR(INDEX('Green_rooibos initial weight'!$C$5:$C$2000,MATCH(L144, 'Green_rooibos initial weight'!$A$5:$A$2000,0)),"")</f>
        <v>1.917</v>
      </c>
      <c r="N144" s="257">
        <f>IFERROR(M144-(TBIcalc!$Q$9+TBIcalc!$Q$10),"")</f>
        <v>1.6672</v>
      </c>
      <c r="O144" s="378">
        <f>AVERAGE(Ashed_controlls!$K$2:$K$11)</f>
        <v>5.5147656768714146</v>
      </c>
      <c r="P144" s="257">
        <f t="shared" si="11"/>
        <v>1.5752578266351998</v>
      </c>
      <c r="Q144" s="257">
        <f>IFERROR(INDEX('Both teabags AfterDry'!$D$2:$D$2000,MATCH(L144,'Both teabags AfterDry'!$A$2:$A$2000,0)),"")</f>
        <v>0.78680000000000005</v>
      </c>
      <c r="R144" s="257">
        <f>IFERROR(IF(Q144&gt;0,Q144-(TBIcalc!$Q$9),""),"")</f>
        <v>0.6362000000000001</v>
      </c>
      <c r="S144" s="268">
        <f>IFERROR(INDEX('Ashed teabags dry'!$K$2:$K$2000,MATCH(L144,'Ashed teabags dry'!$A$2:$A$2000,0)),"")</f>
        <v>20.618120237087211</v>
      </c>
      <c r="T144" s="268">
        <f t="shared" si="12"/>
        <v>0.50502751905165122</v>
      </c>
      <c r="U144" s="258">
        <f>IF('Dry_Litterbag Placem_Collection'!E145="","",'Dry_Litterbag Placem_Collection'!E145)</f>
        <v>42939</v>
      </c>
      <c r="V144" s="258">
        <f>IF('Dry_Litterbag Placem_Collection'!G145="","",'Dry_Litterbag Placem_Collection'!G145)</f>
        <v>43008</v>
      </c>
      <c r="W144" s="259">
        <f t="shared" si="10"/>
        <v>69</v>
      </c>
      <c r="X144" s="257">
        <f t="shared" si="13"/>
        <v>1.0309999999999999</v>
      </c>
      <c r="Y144" s="257">
        <f t="shared" si="14"/>
        <v>1.0702303075835484</v>
      </c>
      <c r="Z144" s="261">
        <f>IFERROR(INDEX([3]Rainfall_Dry!$O$2:$O$217,MATCH(C144, [3]Rainfall_Dry!$A$2:$A$217,0)),"")</f>
        <v>136.27214243</v>
      </c>
      <c r="AA144" s="250">
        <v>33.96</v>
      </c>
      <c r="AB144" s="250">
        <v>8.9200000000000017</v>
      </c>
      <c r="AC144" s="250">
        <v>57.12</v>
      </c>
      <c r="AD144" s="251" t="s">
        <v>2651</v>
      </c>
      <c r="AE144" s="250">
        <v>8.0720551996057193</v>
      </c>
      <c r="AF144">
        <f>IF('WetLitterbags placem_collection'!AB145="","",'WetLitterbags placem_collection'!AB145)</f>
        <v>2</v>
      </c>
      <c r="AG144">
        <f>IF('WetLitterbags placem_collection'!Z145="","",'WetLitterbags placem_collection'!Z145)</f>
        <v>23.4</v>
      </c>
      <c r="AH144" s="236" t="str">
        <f>IF('WetLitterbags placem_collection'!AA145="","",'WetLitterbags placem_collection'!AA145)</f>
        <v>G</v>
      </c>
      <c r="AI144">
        <f>IF('WetLitterbags placem_collection'!AC145="","",'WetLitterbags placem_collection'!AC145)</f>
        <v>1</v>
      </c>
      <c r="AJ144">
        <f>IFERROR(AVERAGE('Dry_Litterbag Placem_Collection'!O145,'Dry_Litterbag Placem_Collection'!R145),"")</f>
        <v>12.5</v>
      </c>
      <c r="AK144" s="261">
        <f>IFERROR(AVERAGE('Dry_Litterbag Placem_Collection'!N145,'Dry_Litterbag Placem_Collection'!Q145),"")</f>
        <v>28</v>
      </c>
      <c r="AL144" s="260">
        <f>INDEX([2]Coordinates!$B$2:$B$197,MATCH(I144,[2]Coordinates!$J$2:$J$197,0))</f>
        <v>-2.3484970349999998</v>
      </c>
      <c r="AM144" s="260">
        <f>INDEX([2]Coordinates!$C$2:$C$197,MATCH(I144,[2]Coordinates!$J$2:$J$197,0))</f>
        <v>34.049979010000001</v>
      </c>
      <c r="AN144" s="260" t="str">
        <f>IF(ISNUMBER(SEARCH("C", 'Dry_Litterbag Placem_Collection'!S145)),"YES","NO")</f>
        <v>NO</v>
      </c>
      <c r="AO144" s="260" t="str">
        <f>IF(ISNUMBER(SEARCH("H", 'Dry_Litterbag Placem_Collection'!S145)),"YES","NO")</f>
        <v>NO</v>
      </c>
      <c r="AP144" s="260" t="str">
        <f>IF(ISNUMBER(SEARCH("R", 'Dry_Litterbag Placem_Collection'!S145)),"YES","NO")</f>
        <v>NO</v>
      </c>
    </row>
    <row r="145" spans="1:42" ht="15" customHeight="1">
      <c r="A145" t="s">
        <v>3248</v>
      </c>
      <c r="B145" s="252" t="s">
        <v>2643</v>
      </c>
      <c r="C145" s="253">
        <f>'Dry_Litterbag Placem_Collection'!A146</f>
        <v>144</v>
      </c>
      <c r="D145" s="253" t="str">
        <f>'Dry_Litterbag Placem_Collection'!B146</f>
        <v xml:space="preserve">Mwantimba
</v>
      </c>
      <c r="E145" s="253" t="s">
        <v>2454</v>
      </c>
      <c r="F145" s="253" t="s">
        <v>20</v>
      </c>
      <c r="G145" s="253">
        <v>2</v>
      </c>
      <c r="H145" s="253" t="s">
        <v>3123</v>
      </c>
      <c r="I145" s="254" t="str">
        <f>'Dry_Litterbag Placem_Collection'!C146</f>
        <v>Wet_P2_T8</v>
      </c>
      <c r="J145" s="255" t="s">
        <v>2525</v>
      </c>
      <c r="K145" s="256" t="s">
        <v>1147</v>
      </c>
      <c r="L145" s="253" t="str">
        <f>IF(ISBLANK('Dry_Litterbag Placem_Collection'!J146),"","G"&amp;""&amp;'Dry_Litterbag Placem_Collection'!J146)</f>
        <v>G141</v>
      </c>
      <c r="M145" s="257">
        <f>IFERROR(INDEX('Green_rooibos initial weight'!$C$5:$C$2000,MATCH(L145, 'Green_rooibos initial weight'!$A$5:$A$2000,0)),"")</f>
        <v>2.0310000000000001</v>
      </c>
      <c r="N145" s="257">
        <f>IFERROR(M145-(TBIcalc!$Q$9+TBIcalc!$Q$10),"")</f>
        <v>1.7812000000000001</v>
      </c>
      <c r="O145" s="378">
        <f>AVERAGE(Ashed_controlls!$K$2:$K$11)</f>
        <v>5.5147656768714146</v>
      </c>
      <c r="P145" s="257">
        <f t="shared" si="11"/>
        <v>1.6829709937635664</v>
      </c>
      <c r="Q145" s="257">
        <f>IFERROR(INDEX('Both teabags AfterDry'!$D$2:$D$2000,MATCH(L145,'Both teabags AfterDry'!$A$2:$A$2000,0)),"")</f>
        <v>0.66180000000000005</v>
      </c>
      <c r="R145" s="257">
        <f>IFERROR(IF(Q145&gt;0,Q145-(TBIcalc!$Q$9),""),"")</f>
        <v>0.5112000000000001</v>
      </c>
      <c r="S145" s="268">
        <f>IFERROR(INDEX('Ashed teabags dry'!$K$2:$K$2000,MATCH(L145,'Ashed teabags dry'!$A$2:$A$2000,0)),"")</f>
        <v>16.886930983847094</v>
      </c>
      <c r="T145" s="268">
        <f t="shared" si="12"/>
        <v>0.42487400881057374</v>
      </c>
      <c r="U145" s="258">
        <f>IF('Dry_Litterbag Placem_Collection'!E146="","",'Dry_Litterbag Placem_Collection'!E146)</f>
        <v>42939</v>
      </c>
      <c r="V145" s="258">
        <f>IF('Dry_Litterbag Placem_Collection'!G146="","",'Dry_Litterbag Placem_Collection'!G146)</f>
        <v>43008</v>
      </c>
      <c r="W145" s="259">
        <f t="shared" si="10"/>
        <v>69</v>
      </c>
      <c r="X145" s="257">
        <f t="shared" si="13"/>
        <v>1.27</v>
      </c>
      <c r="Y145" s="257">
        <f t="shared" si="14"/>
        <v>1.2580969849529926</v>
      </c>
      <c r="Z145" s="261">
        <f>IFERROR(INDEX([3]Rainfall_Dry!$O$2:$O$217,MATCH(C145, [3]Rainfall_Dry!$A$2:$A$217,0)),"")</f>
        <v>136.27214243</v>
      </c>
      <c r="AA145" s="250">
        <v>33.96</v>
      </c>
      <c r="AB145" s="250">
        <v>8.9200000000000017</v>
      </c>
      <c r="AC145" s="250">
        <v>57.12</v>
      </c>
      <c r="AD145" s="251" t="s">
        <v>2651</v>
      </c>
      <c r="AE145" s="250">
        <v>9.0720551996057193</v>
      </c>
      <c r="AF145">
        <f>IF('WetLitterbags placem_collection'!AB146="","",'WetLitterbags placem_collection'!AB146)</f>
        <v>2.5</v>
      </c>
      <c r="AG145">
        <f>IF('WetLitterbags placem_collection'!Z146="","",'WetLitterbags placem_collection'!Z146)</f>
        <v>19.8</v>
      </c>
      <c r="AH145" s="236" t="str">
        <f>IF('WetLitterbags placem_collection'!AA146="","",'WetLitterbags placem_collection'!AA146)</f>
        <v>G</v>
      </c>
      <c r="AI145">
        <f>IF('WetLitterbags placem_collection'!AC146="","",'WetLitterbags placem_collection'!AC146)</f>
        <v>1</v>
      </c>
      <c r="AJ145">
        <f>IFERROR(AVERAGE('Dry_Litterbag Placem_Collection'!O146,'Dry_Litterbag Placem_Collection'!R146),"")</f>
        <v>9.4499999999999993</v>
      </c>
      <c r="AK145" s="261">
        <f>IFERROR(AVERAGE('Dry_Litterbag Placem_Collection'!N146,'Dry_Litterbag Placem_Collection'!Q146),"")</f>
        <v>29.15</v>
      </c>
      <c r="AL145" s="260">
        <f>INDEX([2]Coordinates!$B$2:$B$197,MATCH(I145,[2]Coordinates!$J$2:$J$197,0))</f>
        <v>-2.3486560399999998</v>
      </c>
      <c r="AM145" s="260">
        <f>INDEX([2]Coordinates!$C$2:$C$197,MATCH(I145,[2]Coordinates!$J$2:$J$197,0))</f>
        <v>34.049895020000001</v>
      </c>
      <c r="AN145" s="260" t="str">
        <f>IF(ISNUMBER(SEARCH("C", 'Dry_Litterbag Placem_Collection'!S146)),"YES","NO")</f>
        <v>NO</v>
      </c>
      <c r="AO145" s="260" t="str">
        <f>IF(ISNUMBER(SEARCH("H", 'Dry_Litterbag Placem_Collection'!S146)),"YES","NO")</f>
        <v>YES</v>
      </c>
      <c r="AP145" s="260" t="str">
        <f>IF(ISNUMBER(SEARCH("R", 'Dry_Litterbag Placem_Collection'!S146)),"YES","NO")</f>
        <v>NO</v>
      </c>
    </row>
    <row r="146" spans="1:42" ht="15" customHeight="1">
      <c r="A146" t="s">
        <v>3248</v>
      </c>
      <c r="B146" s="252" t="s">
        <v>2643</v>
      </c>
      <c r="C146" s="253">
        <f>'Dry_Litterbag Placem_Collection'!A147</f>
        <v>145</v>
      </c>
      <c r="D146" s="253" t="str">
        <f>'Dry_Litterbag Placem_Collection'!B147</f>
        <v xml:space="preserve">Mwantimba
</v>
      </c>
      <c r="E146" s="253" t="s">
        <v>2454</v>
      </c>
      <c r="F146" s="253" t="s">
        <v>20</v>
      </c>
      <c r="G146" s="253">
        <v>3</v>
      </c>
      <c r="H146" s="253" t="s">
        <v>3124</v>
      </c>
      <c r="I146" s="254" t="str">
        <f>'Dry_Litterbag Placem_Collection'!C147</f>
        <v>Wet_P3_T1</v>
      </c>
      <c r="J146" s="255" t="s">
        <v>2525</v>
      </c>
      <c r="K146" s="256" t="s">
        <v>1147</v>
      </c>
      <c r="L146" s="253" t="str">
        <f>IF(ISBLANK('Dry_Litterbag Placem_Collection'!J147),"","G"&amp;""&amp;'Dry_Litterbag Placem_Collection'!J147)</f>
        <v>G131</v>
      </c>
      <c r="M146" s="257">
        <f>IFERROR(INDEX('Green_rooibos initial weight'!$C$5:$C$2000,MATCH(L146, 'Green_rooibos initial weight'!$A$5:$A$2000,0)),"")</f>
        <v>1.9670000000000001</v>
      </c>
      <c r="N146" s="257">
        <f>IFERROR(M146-(TBIcalc!$Q$9+TBIcalc!$Q$10),"")</f>
        <v>1.7172000000000001</v>
      </c>
      <c r="O146" s="378">
        <f>AVERAGE(Ashed_controlls!$K$2:$K$11)</f>
        <v>5.5147656768714146</v>
      </c>
      <c r="P146" s="257">
        <f t="shared" si="11"/>
        <v>1.6225004437967641</v>
      </c>
      <c r="Q146" s="257">
        <f>IFERROR(INDEX('Both teabags AfterDry'!$D$2:$D$2000,MATCH(L146,'Both teabags AfterDry'!$A$2:$A$2000,0)),"")</f>
        <v>1.544</v>
      </c>
      <c r="R146" s="257">
        <f>IFERROR(IF(Q146&gt;0,Q146-(TBIcalc!$Q$9),""),"")</f>
        <v>1.3934</v>
      </c>
      <c r="S146" s="268">
        <f>IFERROR(INDEX('Ashed teabags dry'!$K$2:$K$2000,MATCH(L146,'Ashed teabags dry'!$A$2:$A$2000,0)),"")</f>
        <v>8.3820662768028189</v>
      </c>
      <c r="T146" s="268">
        <f t="shared" si="12"/>
        <v>1.2766042884990294</v>
      </c>
      <c r="U146" s="258">
        <f>IF('Dry_Litterbag Placem_Collection'!E147="","",'Dry_Litterbag Placem_Collection'!E147)</f>
        <v>42939</v>
      </c>
      <c r="V146" s="258">
        <f>IF('Dry_Litterbag Placem_Collection'!G147="","",'Dry_Litterbag Placem_Collection'!G147)</f>
        <v>43010</v>
      </c>
      <c r="W146" s="259">
        <f t="shared" si="10"/>
        <v>71</v>
      </c>
      <c r="X146" s="257">
        <f t="shared" si="13"/>
        <v>0.32380000000000009</v>
      </c>
      <c r="Y146" s="257">
        <f t="shared" si="14"/>
        <v>0.34589615529773465</v>
      </c>
      <c r="Z146" s="261">
        <f>IFERROR(INDEX([3]Rainfall_Dry!$O$2:$O$217,MATCH(C146, [3]Rainfall_Dry!$A$2:$A$217,0)),"")</f>
        <v>137.19979645800001</v>
      </c>
      <c r="AA146" s="250">
        <v>39.96</v>
      </c>
      <c r="AB146" s="250">
        <v>12.920000000000002</v>
      </c>
      <c r="AC146" s="250">
        <v>47.12</v>
      </c>
      <c r="AD146" s="251" t="s">
        <v>2655</v>
      </c>
      <c r="AE146" s="250">
        <v>1.6549531789058647</v>
      </c>
      <c r="AF146">
        <f>IF('WetLitterbags placem_collection'!AB147="","",'WetLitterbags placem_collection'!AB147)</f>
        <v>3.95</v>
      </c>
      <c r="AG146">
        <f>IF('WetLitterbags placem_collection'!Z147="","",'WetLitterbags placem_collection'!Z147)</f>
        <v>13</v>
      </c>
      <c r="AH146" s="236" t="str">
        <f>IF('WetLitterbags placem_collection'!AA147="","",'WetLitterbags placem_collection'!AA147)</f>
        <v>O</v>
      </c>
      <c r="AI146">
        <f>IF('WetLitterbags placem_collection'!AC147="","",'WetLitterbags placem_collection'!AC147)</f>
        <v>0</v>
      </c>
      <c r="AJ146">
        <f>IFERROR(AVERAGE('Dry_Litterbag Placem_Collection'!O147,'Dry_Litterbag Placem_Collection'!R147),"")</f>
        <v>6.35</v>
      </c>
      <c r="AK146" s="261">
        <f>IFERROR(AVERAGE('Dry_Litterbag Placem_Collection'!N147,'Dry_Litterbag Placem_Collection'!Q147),"")</f>
        <v>30</v>
      </c>
      <c r="AL146" s="260">
        <f>INDEX([2]Coordinates!$B$2:$B$197,MATCH(I146,[2]Coordinates!$J$2:$J$197,0))</f>
        <v>-2.3675269729999999</v>
      </c>
      <c r="AM146" s="260">
        <f>INDEX([2]Coordinates!$C$2:$C$197,MATCH(I146,[2]Coordinates!$J$2:$J$197,0))</f>
        <v>34.06035799</v>
      </c>
      <c r="AN146" s="260" t="str">
        <f>IF(ISNUMBER(SEARCH("C", 'Dry_Litterbag Placem_Collection'!S147)),"YES","NO")</f>
        <v>NO</v>
      </c>
      <c r="AO146" s="260" t="str">
        <f>IF(ISNUMBER(SEARCH("H", 'Dry_Litterbag Placem_Collection'!S147)),"YES","NO")</f>
        <v>NO</v>
      </c>
      <c r="AP146" s="260" t="str">
        <f>IF(ISNUMBER(SEARCH("R", 'Dry_Litterbag Placem_Collection'!S147)),"YES","NO")</f>
        <v>NO</v>
      </c>
    </row>
    <row r="147" spans="1:42" ht="15" customHeight="1">
      <c r="A147" t="s">
        <v>3248</v>
      </c>
      <c r="B147" s="252" t="s">
        <v>2643</v>
      </c>
      <c r="C147" s="253">
        <f>'Dry_Litterbag Placem_Collection'!A148</f>
        <v>146</v>
      </c>
      <c r="D147" s="253" t="str">
        <f>'Dry_Litterbag Placem_Collection'!B148</f>
        <v xml:space="preserve">Mwantimba
</v>
      </c>
      <c r="E147" s="253" t="s">
        <v>2454</v>
      </c>
      <c r="F147" s="253" t="s">
        <v>20</v>
      </c>
      <c r="G147" s="253">
        <v>3</v>
      </c>
      <c r="H147" s="253" t="s">
        <v>3124</v>
      </c>
      <c r="I147" s="254" t="str">
        <f>'Dry_Litterbag Placem_Collection'!C148</f>
        <v>Wet_P3_T2</v>
      </c>
      <c r="J147" s="255" t="s">
        <v>2525</v>
      </c>
      <c r="K147" s="256" t="s">
        <v>1147</v>
      </c>
      <c r="L147" s="253" t="str">
        <f>IF(ISBLANK('Dry_Litterbag Placem_Collection'!J148),"","G"&amp;""&amp;'Dry_Litterbag Placem_Collection'!J148)</f>
        <v>G465</v>
      </c>
      <c r="M147" s="257">
        <f>IFERROR(INDEX('Green_rooibos initial weight'!$C$5:$C$2000,MATCH(L147, 'Green_rooibos initial weight'!$A$5:$A$2000,0)),"")</f>
        <v>2.004</v>
      </c>
      <c r="N147" s="257">
        <f>IFERROR(M147-(TBIcalc!$Q$9+TBIcalc!$Q$10),"")</f>
        <v>1.7542</v>
      </c>
      <c r="O147" s="378">
        <f>AVERAGE(Ashed_controlls!$K$2:$K$11)</f>
        <v>5.5147656768714146</v>
      </c>
      <c r="P147" s="257">
        <f t="shared" si="11"/>
        <v>1.6574599804963217</v>
      </c>
      <c r="Q147" s="257">
        <f>IFERROR(INDEX('Both teabags AfterDry'!$D$2:$D$2000,MATCH(L147,'Both teabags AfterDry'!$A$2:$A$2000,0)),"")</f>
        <v>1.6845000000000001</v>
      </c>
      <c r="R147" s="257">
        <f>IFERROR(IF(Q147&gt;0,Q147-(TBIcalc!$Q$9),""),"")</f>
        <v>1.5339</v>
      </c>
      <c r="S147" s="268">
        <f>IFERROR(INDEX('Ashed teabags dry'!$K$2:$K$2000,MATCH(L147,'Ashed teabags dry'!$A$2:$A$2000,0)),"")</f>
        <v>6.8675889328057185</v>
      </c>
      <c r="T147" s="268">
        <f t="shared" si="12"/>
        <v>1.4285580533596931</v>
      </c>
      <c r="U147" s="258">
        <f>IF('Dry_Litterbag Placem_Collection'!E148="","",'Dry_Litterbag Placem_Collection'!E148)</f>
        <v>42939</v>
      </c>
      <c r="V147" s="258">
        <f>IF('Dry_Litterbag Placem_Collection'!G148="","",'Dry_Litterbag Placem_Collection'!G148)</f>
        <v>43010</v>
      </c>
      <c r="W147" s="259">
        <f t="shared" si="10"/>
        <v>71</v>
      </c>
      <c r="X147" s="257">
        <f t="shared" si="13"/>
        <v>0.22029999999999994</v>
      </c>
      <c r="Y147" s="257">
        <f t="shared" si="14"/>
        <v>0.2289019271366286</v>
      </c>
      <c r="Z147" s="261">
        <f>IFERROR(INDEX([3]Rainfall_Dry!$O$2:$O$217,MATCH(C147, [3]Rainfall_Dry!$A$2:$A$217,0)),"")</f>
        <v>137.19979645800001</v>
      </c>
      <c r="AA147" s="250">
        <v>39.96</v>
      </c>
      <c r="AB147" s="250">
        <v>12.920000000000002</v>
      </c>
      <c r="AC147" s="250">
        <v>47.12</v>
      </c>
      <c r="AD147" s="251" t="s">
        <v>2655</v>
      </c>
      <c r="AE147" s="250">
        <v>2.6549531789058598</v>
      </c>
      <c r="AF147">
        <f>IF('WetLitterbags placem_collection'!AB148="","",'WetLitterbags placem_collection'!AB148)</f>
        <v>2.75</v>
      </c>
      <c r="AG147">
        <f>IF('WetLitterbags placem_collection'!Z148="","",'WetLitterbags placem_collection'!Z148)</f>
        <v>17.7</v>
      </c>
      <c r="AH147" s="236" t="str">
        <f>IF('WetLitterbags placem_collection'!AA148="","",'WetLitterbags placem_collection'!AA148)</f>
        <v>O</v>
      </c>
      <c r="AI147">
        <f>IF('WetLitterbags placem_collection'!AC148="","",'WetLitterbags placem_collection'!AC148)</f>
        <v>1</v>
      </c>
      <c r="AJ147">
        <f>IFERROR(AVERAGE('Dry_Litterbag Placem_Collection'!O148,'Dry_Litterbag Placem_Collection'!R148),"")</f>
        <v>6.1</v>
      </c>
      <c r="AK147" s="261">
        <f>IFERROR(AVERAGE('Dry_Litterbag Placem_Collection'!N148,'Dry_Litterbag Placem_Collection'!Q148),"")</f>
        <v>31</v>
      </c>
      <c r="AL147" s="260">
        <f>INDEX([2]Coordinates!$B$2:$B$197,MATCH(I147,[2]Coordinates!$J$2:$J$197,0))</f>
        <v>-2.3675380370000001</v>
      </c>
      <c r="AM147" s="260">
        <f>INDEX([2]Coordinates!$C$2:$C$197,MATCH(I147,[2]Coordinates!$J$2:$J$197,0))</f>
        <v>34.060381960000001</v>
      </c>
      <c r="AN147" s="260" t="str">
        <f>IF(ISNUMBER(SEARCH("C", 'Dry_Litterbag Placem_Collection'!S148)),"YES","NO")</f>
        <v>NO</v>
      </c>
      <c r="AO147" s="260" t="str">
        <f>IF(ISNUMBER(SEARCH("H", 'Dry_Litterbag Placem_Collection'!S148)),"YES","NO")</f>
        <v>NO</v>
      </c>
      <c r="AP147" s="260" t="str">
        <f>IF(ISNUMBER(SEARCH("R", 'Dry_Litterbag Placem_Collection'!S148)),"YES","NO")</f>
        <v>NO</v>
      </c>
    </row>
    <row r="148" spans="1:42" ht="15" customHeight="1">
      <c r="A148" t="s">
        <v>3248</v>
      </c>
      <c r="B148" s="252" t="s">
        <v>2643</v>
      </c>
      <c r="C148" s="253">
        <f>'Dry_Litterbag Placem_Collection'!A149</f>
        <v>147</v>
      </c>
      <c r="D148" s="253" t="str">
        <f>'Dry_Litterbag Placem_Collection'!B149</f>
        <v xml:space="preserve">Mwantimba
</v>
      </c>
      <c r="E148" s="253" t="s">
        <v>2454</v>
      </c>
      <c r="F148" s="253" t="s">
        <v>20</v>
      </c>
      <c r="G148" s="253">
        <v>3</v>
      </c>
      <c r="H148" s="253" t="s">
        <v>3124</v>
      </c>
      <c r="I148" s="254" t="str">
        <f>'Dry_Litterbag Placem_Collection'!C149</f>
        <v>Wet_P3_T3</v>
      </c>
      <c r="J148" s="255" t="s">
        <v>2525</v>
      </c>
      <c r="K148" s="256" t="s">
        <v>1147</v>
      </c>
      <c r="L148" s="253" t="str">
        <f>IF(ISBLANK('Dry_Litterbag Placem_Collection'!J149),"","G"&amp;""&amp;'Dry_Litterbag Placem_Collection'!J149)</f>
        <v>G15</v>
      </c>
      <c r="M148" s="257">
        <f>IFERROR(INDEX('Green_rooibos initial weight'!$C$5:$C$2000,MATCH(L148, 'Green_rooibos initial weight'!$A$5:$A$2000,0)),"")</f>
        <v>2.0510000000000002</v>
      </c>
      <c r="N148" s="257">
        <f>IFERROR(M148-(TBIcalc!$Q$9+TBIcalc!$Q$10),"")</f>
        <v>1.8012000000000001</v>
      </c>
      <c r="O148" s="378">
        <f>AVERAGE(Ashed_controlls!$K$2:$K$11)</f>
        <v>5.5147656768714146</v>
      </c>
      <c r="P148" s="257">
        <f t="shared" si="11"/>
        <v>1.7018680406281923</v>
      </c>
      <c r="Q148" s="257">
        <f>IFERROR(INDEX('Both teabags AfterDry'!$D$2:$D$2000,MATCH(L148,'Both teabags AfterDry'!$A$2:$A$2000,0)),"")</f>
        <v>1.6711</v>
      </c>
      <c r="R148" s="257">
        <f>IFERROR(IF(Q148&gt;0,Q148-(TBIcalc!$Q$9),""),"")</f>
        <v>1.5205</v>
      </c>
      <c r="S148" s="268">
        <f>IFERROR(INDEX('Ashed teabags dry'!$K$2:$K$2000,MATCH(L148,'Ashed teabags dry'!$A$2:$A$2000,0)),"")</f>
        <v>6.9790628115651439</v>
      </c>
      <c r="T148" s="268">
        <f t="shared" si="12"/>
        <v>1.4143833499501519</v>
      </c>
      <c r="U148" s="258">
        <f>IF('Dry_Litterbag Placem_Collection'!E149="","",'Dry_Litterbag Placem_Collection'!E149)</f>
        <v>42939</v>
      </c>
      <c r="V148" s="258">
        <f>IF('Dry_Litterbag Placem_Collection'!G149="","",'Dry_Litterbag Placem_Collection'!G149)</f>
        <v>43010</v>
      </c>
      <c r="W148" s="259">
        <f t="shared" si="10"/>
        <v>71</v>
      </c>
      <c r="X148" s="257">
        <f t="shared" si="13"/>
        <v>0.28070000000000017</v>
      </c>
      <c r="Y148" s="257">
        <f t="shared" si="14"/>
        <v>0.28748469067804039</v>
      </c>
      <c r="Z148" s="261">
        <f>IFERROR(INDEX([3]Rainfall_Dry!$O$2:$O$217,MATCH(C148, [3]Rainfall_Dry!$A$2:$A$217,0)),"")</f>
        <v>137.19979645800001</v>
      </c>
      <c r="AA148" s="250">
        <v>39.96</v>
      </c>
      <c r="AB148" s="250">
        <v>12.920000000000002</v>
      </c>
      <c r="AC148" s="250">
        <v>47.12</v>
      </c>
      <c r="AD148" s="251" t="s">
        <v>2655</v>
      </c>
      <c r="AE148" s="250">
        <v>3.6549531789058598</v>
      </c>
      <c r="AF148">
        <f>IF('WetLitterbags placem_collection'!AB149="","",'WetLitterbags placem_collection'!AB149)</f>
        <v>3.6</v>
      </c>
      <c r="AG148">
        <f>IF('WetLitterbags placem_collection'!Z149="","",'WetLitterbags placem_collection'!Z149)</f>
        <v>19</v>
      </c>
      <c r="AH148" s="236" t="str">
        <f>IF('WetLitterbags placem_collection'!AA149="","",'WetLitterbags placem_collection'!AA149)</f>
        <v>M</v>
      </c>
      <c r="AI148">
        <f>IF('WetLitterbags placem_collection'!AC149="","",'WetLitterbags placem_collection'!AC149)</f>
        <v>1</v>
      </c>
      <c r="AJ148">
        <f>IFERROR(AVERAGE('Dry_Litterbag Placem_Collection'!O149,'Dry_Litterbag Placem_Collection'!R149),"")</f>
        <v>5.6</v>
      </c>
      <c r="AK148" s="261">
        <f>IFERROR(AVERAGE('Dry_Litterbag Placem_Collection'!N149,'Dry_Litterbag Placem_Collection'!Q149),"")</f>
        <v>29.900000000000002</v>
      </c>
      <c r="AL148" s="260">
        <f>INDEX([2]Coordinates!$B$2:$B$197,MATCH(I148,[2]Coordinates!$J$2:$J$197,0))</f>
        <v>-2.3675780180000001</v>
      </c>
      <c r="AM148" s="260">
        <f>INDEX([2]Coordinates!$C$2:$C$197,MATCH(I148,[2]Coordinates!$J$2:$J$197,0))</f>
        <v>34.060323029999999</v>
      </c>
      <c r="AN148" s="260" t="str">
        <f>IF(ISNUMBER(SEARCH("C", 'Dry_Litterbag Placem_Collection'!S149)),"YES","NO")</f>
        <v>NO</v>
      </c>
      <c r="AO148" s="260" t="str">
        <f>IF(ISNUMBER(SEARCH("H", 'Dry_Litterbag Placem_Collection'!S149)),"YES","NO")</f>
        <v>NO</v>
      </c>
      <c r="AP148" s="260" t="str">
        <f>IF(ISNUMBER(SEARCH("R", 'Dry_Litterbag Placem_Collection'!S149)),"YES","NO")</f>
        <v>NO</v>
      </c>
    </row>
    <row r="149" spans="1:42" ht="15" customHeight="1">
      <c r="A149" t="s">
        <v>3248</v>
      </c>
      <c r="B149" s="252" t="s">
        <v>2643</v>
      </c>
      <c r="C149" s="253">
        <f>'Dry_Litterbag Placem_Collection'!A150</f>
        <v>148</v>
      </c>
      <c r="D149" s="253" t="str">
        <f>'Dry_Litterbag Placem_Collection'!B150</f>
        <v xml:space="preserve">Mwantimba
</v>
      </c>
      <c r="E149" s="253" t="s">
        <v>2454</v>
      </c>
      <c r="F149" s="253" t="s">
        <v>20</v>
      </c>
      <c r="G149" s="253">
        <v>3</v>
      </c>
      <c r="H149" s="253" t="s">
        <v>3124</v>
      </c>
      <c r="I149" s="254" t="str">
        <f>'Dry_Litterbag Placem_Collection'!C150</f>
        <v>Wet_P3_T4</v>
      </c>
      <c r="J149" s="255" t="s">
        <v>2525</v>
      </c>
      <c r="K149" s="256" t="s">
        <v>1147</v>
      </c>
      <c r="L149" s="253" t="str">
        <f>IF(ISBLANK('Dry_Litterbag Placem_Collection'!J150),"","G"&amp;""&amp;'Dry_Litterbag Placem_Collection'!J150)</f>
        <v>G290</v>
      </c>
      <c r="M149" s="257">
        <f>IFERROR(INDEX('Green_rooibos initial weight'!$C$5:$C$2000,MATCH(L149, 'Green_rooibos initial weight'!$A$5:$A$2000,0)),"")</f>
        <v>2.0539999999999998</v>
      </c>
      <c r="N149" s="257">
        <f>IFERROR(M149-(TBIcalc!$Q$9+TBIcalc!$Q$10),"")</f>
        <v>1.8041999999999998</v>
      </c>
      <c r="O149" s="378">
        <f>AVERAGE(Ashed_controlls!$K$2:$K$11)</f>
        <v>5.5147656768714146</v>
      </c>
      <c r="P149" s="257">
        <f t="shared" si="11"/>
        <v>1.7047025976578858</v>
      </c>
      <c r="Q149" s="257">
        <f>IFERROR(INDEX('Both teabags AfterDry'!$D$2:$D$2000,MATCH(L149,'Both teabags AfterDry'!$A$2:$A$2000,0)),"")</f>
        <v>1.6564000000000001</v>
      </c>
      <c r="R149" s="257">
        <f>IFERROR(IF(Q149&gt;0,Q149-(TBIcalc!$Q$9),""),"")</f>
        <v>1.5058</v>
      </c>
      <c r="S149" s="268">
        <f>IFERROR(INDEX('Ashed teabags dry'!$K$2:$K$2000,MATCH(L149,'Ashed teabags dry'!$A$2:$A$2000,0)),"")</f>
        <v>7.4552269887550784</v>
      </c>
      <c r="T149" s="268">
        <f t="shared" si="12"/>
        <v>1.393539192003326</v>
      </c>
      <c r="U149" s="258">
        <f>IF('Dry_Litterbag Placem_Collection'!E150="","",'Dry_Litterbag Placem_Collection'!E150)</f>
        <v>42939</v>
      </c>
      <c r="V149" s="258">
        <f>IF('Dry_Litterbag Placem_Collection'!G150="","",'Dry_Litterbag Placem_Collection'!G150)</f>
        <v>43010</v>
      </c>
      <c r="W149" s="259">
        <f t="shared" si="10"/>
        <v>71</v>
      </c>
      <c r="X149" s="257">
        <f t="shared" si="13"/>
        <v>0.29839999999999978</v>
      </c>
      <c r="Y149" s="257">
        <f t="shared" si="14"/>
        <v>0.3111634056545598</v>
      </c>
      <c r="Z149" s="261">
        <f>IFERROR(INDEX([3]Rainfall_Dry!$O$2:$O$217,MATCH(C149, [3]Rainfall_Dry!$A$2:$A$217,0)),"")</f>
        <v>137.19979645800001</v>
      </c>
      <c r="AA149" s="250">
        <v>39.96</v>
      </c>
      <c r="AB149" s="250">
        <v>12.920000000000002</v>
      </c>
      <c r="AC149" s="250">
        <v>47.12</v>
      </c>
      <c r="AD149" s="251" t="s">
        <v>2655</v>
      </c>
      <c r="AE149" s="250">
        <v>4.6549531789058696</v>
      </c>
      <c r="AF149">
        <f>IF('WetLitterbags placem_collection'!AB150="","",'WetLitterbags placem_collection'!AB150)</f>
        <v>4.9000000000000004</v>
      </c>
      <c r="AG149">
        <f>IF('WetLitterbags placem_collection'!Z150="","",'WetLitterbags placem_collection'!Z150)</f>
        <v>17.489999999999998</v>
      </c>
      <c r="AH149" s="236" t="str">
        <f>IF('WetLitterbags placem_collection'!AA150="","",'WetLitterbags placem_collection'!AA150)</f>
        <v>M</v>
      </c>
      <c r="AI149">
        <f>IF('WetLitterbags placem_collection'!AC150="","",'WetLitterbags placem_collection'!AC150)</f>
        <v>1</v>
      </c>
      <c r="AJ149">
        <f>IFERROR(AVERAGE('Dry_Litterbag Placem_Collection'!O150,'Dry_Litterbag Placem_Collection'!R150),"")</f>
        <v>6.5</v>
      </c>
      <c r="AK149" s="261">
        <f>IFERROR(AVERAGE('Dry_Litterbag Placem_Collection'!N150,'Dry_Litterbag Placem_Collection'!Q150),"")</f>
        <v>31.6</v>
      </c>
      <c r="AL149" s="260">
        <f>INDEX([2]Coordinates!$B$2:$B$197,MATCH(I149,[2]Coordinates!$J$2:$J$197,0))</f>
        <v>-2.3676269689999998</v>
      </c>
      <c r="AM149" s="260">
        <f>INDEX([2]Coordinates!$C$2:$C$197,MATCH(I149,[2]Coordinates!$J$2:$J$197,0))</f>
        <v>34.060310960000002</v>
      </c>
      <c r="AN149" s="260" t="str">
        <f>IF(ISNUMBER(SEARCH("C", 'Dry_Litterbag Placem_Collection'!S150)),"YES","NO")</f>
        <v>NO</v>
      </c>
      <c r="AO149" s="260" t="str">
        <f>IF(ISNUMBER(SEARCH("H", 'Dry_Litterbag Placem_Collection'!S150)),"YES","NO")</f>
        <v>NO</v>
      </c>
      <c r="AP149" s="260" t="str">
        <f>IF(ISNUMBER(SEARCH("R", 'Dry_Litterbag Placem_Collection'!S150)),"YES","NO")</f>
        <v>NO</v>
      </c>
    </row>
    <row r="150" spans="1:42" ht="15" customHeight="1">
      <c r="A150" t="s">
        <v>3248</v>
      </c>
      <c r="B150" s="252" t="s">
        <v>2643</v>
      </c>
      <c r="C150" s="253">
        <f>'Dry_Litterbag Placem_Collection'!A151</f>
        <v>149</v>
      </c>
      <c r="D150" s="253" t="str">
        <f>'Dry_Litterbag Placem_Collection'!B151</f>
        <v xml:space="preserve">Mwantimba
</v>
      </c>
      <c r="E150" s="253" t="s">
        <v>2454</v>
      </c>
      <c r="F150" s="253" t="s">
        <v>20</v>
      </c>
      <c r="G150" s="253">
        <v>3</v>
      </c>
      <c r="H150" s="253" t="s">
        <v>3124</v>
      </c>
      <c r="I150" s="254" t="str">
        <f>'Dry_Litterbag Placem_Collection'!C151</f>
        <v>Wet_P3_T5</v>
      </c>
      <c r="J150" s="255" t="s">
        <v>2525</v>
      </c>
      <c r="K150" s="256" t="s">
        <v>1147</v>
      </c>
      <c r="L150" s="253" t="str">
        <f>IF(ISBLANK('Dry_Litterbag Placem_Collection'!J151),"","G"&amp;""&amp;'Dry_Litterbag Placem_Collection'!J151)</f>
        <v>G194</v>
      </c>
      <c r="M150" s="257">
        <f>IFERROR(INDEX('Green_rooibos initial weight'!$C$5:$C$2000,MATCH(L150, 'Green_rooibos initial weight'!$A$5:$A$2000,0)),"")</f>
        <v>2.032</v>
      </c>
      <c r="N150" s="257">
        <f>IFERROR(M150-(TBIcalc!$Q$9+TBIcalc!$Q$10),"")</f>
        <v>1.7822</v>
      </c>
      <c r="O150" s="378">
        <f>AVERAGE(Ashed_controlls!$K$2:$K$11)</f>
        <v>5.5147656768714146</v>
      </c>
      <c r="P150" s="257">
        <f t="shared" si="11"/>
        <v>1.6839158461067976</v>
      </c>
      <c r="Q150" s="257">
        <f>IFERROR(INDEX('Both teabags AfterDry'!$D$2:$D$2000,MATCH(L150,'Both teabags AfterDry'!$A$2:$A$2000,0)),"")</f>
        <v>1.56</v>
      </c>
      <c r="R150" s="257">
        <f>IFERROR(IF(Q150&gt;0,Q150-(TBIcalc!$Q$9),""),"")</f>
        <v>1.4094</v>
      </c>
      <c r="S150" s="268">
        <f>IFERROR(INDEX('Ashed teabags dry'!$K$2:$K$2000,MATCH(L150,'Ashed teabags dry'!$A$2:$A$2000,0)),"")</f>
        <v>7.1186440677962963</v>
      </c>
      <c r="T150" s="268">
        <f t="shared" si="12"/>
        <v>1.3090698305084789</v>
      </c>
      <c r="U150" s="258">
        <f>IF('Dry_Litterbag Placem_Collection'!E151="","",'Dry_Litterbag Placem_Collection'!E151)</f>
        <v>42939</v>
      </c>
      <c r="V150" s="258">
        <f>IF('Dry_Litterbag Placem_Collection'!G151="","",'Dry_Litterbag Placem_Collection'!G151)</f>
        <v>43010</v>
      </c>
      <c r="W150" s="259">
        <f t="shared" si="10"/>
        <v>71</v>
      </c>
      <c r="X150" s="257">
        <f t="shared" si="13"/>
        <v>0.37280000000000002</v>
      </c>
      <c r="Y150" s="257">
        <f t="shared" si="14"/>
        <v>0.37484601559831865</v>
      </c>
      <c r="Z150" s="261">
        <f>IFERROR(INDEX([3]Rainfall_Dry!$O$2:$O$217,MATCH(C150, [3]Rainfall_Dry!$A$2:$A$217,0)),"")</f>
        <v>137.19979645800001</v>
      </c>
      <c r="AA150" s="250">
        <v>39.96</v>
      </c>
      <c r="AB150" s="250">
        <v>12.920000000000002</v>
      </c>
      <c r="AC150" s="250">
        <v>47.12</v>
      </c>
      <c r="AD150" s="251" t="s">
        <v>2655</v>
      </c>
      <c r="AE150" s="250">
        <v>5.6549531789058696</v>
      </c>
      <c r="AF150">
        <f>IF('WetLitterbags placem_collection'!AB151="","",'WetLitterbags placem_collection'!AB151)</f>
        <v>2.8</v>
      </c>
      <c r="AG150">
        <f>IF('WetLitterbags placem_collection'!Z151="","",'WetLitterbags placem_collection'!Z151)</f>
        <v>13</v>
      </c>
      <c r="AH150" s="236" t="str">
        <f>IF('WetLitterbags placem_collection'!AA151="","",'WetLitterbags placem_collection'!AA151)</f>
        <v>M</v>
      </c>
      <c r="AI150">
        <f>IF('WetLitterbags placem_collection'!AC151="","",'WetLitterbags placem_collection'!AC151)</f>
        <v>1</v>
      </c>
      <c r="AJ150">
        <f>IFERROR(AVERAGE('Dry_Litterbag Placem_Collection'!O151,'Dry_Litterbag Placem_Collection'!R151),"")</f>
        <v>6.3000000000000007</v>
      </c>
      <c r="AK150" s="261">
        <f>IFERROR(AVERAGE('Dry_Litterbag Placem_Collection'!N151,'Dry_Litterbag Placem_Collection'!Q151),"")</f>
        <v>31</v>
      </c>
      <c r="AL150" s="260">
        <f>INDEX([2]Coordinates!$B$2:$B$197,MATCH(I150,[2]Coordinates!$J$2:$J$197,0))</f>
        <v>-2.3677179960000001</v>
      </c>
      <c r="AM150" s="260">
        <f>INDEX([2]Coordinates!$C$2:$C$197,MATCH(I150,[2]Coordinates!$J$2:$J$197,0))</f>
        <v>34.060324960000003</v>
      </c>
      <c r="AN150" s="260" t="str">
        <f>IF(ISNUMBER(SEARCH("C", 'Dry_Litterbag Placem_Collection'!S151)),"YES","NO")</f>
        <v>NO</v>
      </c>
      <c r="AO150" s="260" t="str">
        <f>IF(ISNUMBER(SEARCH("H", 'Dry_Litterbag Placem_Collection'!S151)),"YES","NO")</f>
        <v>NO</v>
      </c>
      <c r="AP150" s="260" t="str">
        <f>IF(ISNUMBER(SEARCH("R", 'Dry_Litterbag Placem_Collection'!S151)),"YES","NO")</f>
        <v>NO</v>
      </c>
    </row>
    <row r="151" spans="1:42" ht="15" customHeight="1">
      <c r="A151" t="s">
        <v>3248</v>
      </c>
      <c r="B151" s="252" t="s">
        <v>2643</v>
      </c>
      <c r="C151" s="253">
        <f>'Dry_Litterbag Placem_Collection'!A152</f>
        <v>150</v>
      </c>
      <c r="D151" s="253" t="str">
        <f>'Dry_Litterbag Placem_Collection'!B152</f>
        <v xml:space="preserve">Mwantimba
</v>
      </c>
      <c r="E151" s="253" t="s">
        <v>2454</v>
      </c>
      <c r="F151" s="253" t="s">
        <v>20</v>
      </c>
      <c r="G151" s="253">
        <v>3</v>
      </c>
      <c r="H151" s="253" t="s">
        <v>3124</v>
      </c>
      <c r="I151" s="254" t="str">
        <f>'Dry_Litterbag Placem_Collection'!C152</f>
        <v>Wet_P3_T6</v>
      </c>
      <c r="J151" s="255" t="s">
        <v>2525</v>
      </c>
      <c r="K151" s="256" t="s">
        <v>1147</v>
      </c>
      <c r="L151" s="253" t="str">
        <f>IF(ISBLANK('Dry_Litterbag Placem_Collection'!J152),"","G"&amp;""&amp;'Dry_Litterbag Placem_Collection'!J152)</f>
        <v>G272</v>
      </c>
      <c r="M151" s="257">
        <f>IFERROR(INDEX('Green_rooibos initial weight'!$C$5:$C$2000,MATCH(L151, 'Green_rooibos initial weight'!$A$5:$A$2000,0)),"")</f>
        <v>2.0649999999999999</v>
      </c>
      <c r="N151" s="257">
        <f>IFERROR(M151-(TBIcalc!$Q$9+TBIcalc!$Q$10),"")</f>
        <v>1.8151999999999999</v>
      </c>
      <c r="O151" s="378">
        <f>AVERAGE(Ashed_controlls!$K$2:$K$11)</f>
        <v>5.5147656768714146</v>
      </c>
      <c r="P151" s="257">
        <f t="shared" si="11"/>
        <v>1.7150959734334301</v>
      </c>
      <c r="Q151" s="257" t="str">
        <f>IFERROR(INDEX('Both teabags AfterDry'!$D$2:$D$2000,MATCH(L151,'Both teabags AfterDry'!$A$2:$A$2000,0)),"")</f>
        <v/>
      </c>
      <c r="R151" s="257" t="str">
        <f>IFERROR(IF(Q151&gt;0,Q151-(TBIcalc!$Q$9),""),"")</f>
        <v/>
      </c>
      <c r="S151" s="268" t="str">
        <f>IFERROR(INDEX('Ashed teabags dry'!$K$2:$K$2000,MATCH(L151,'Ashed teabags dry'!$A$2:$A$2000,0)),"")</f>
        <v/>
      </c>
      <c r="T151" s="268" t="str">
        <f t="shared" si="12"/>
        <v/>
      </c>
      <c r="U151" s="258">
        <f>IF('Dry_Litterbag Placem_Collection'!E152="","",'Dry_Litterbag Placem_Collection'!E152)</f>
        <v>42939</v>
      </c>
      <c r="V151" s="258">
        <f>IF('Dry_Litterbag Placem_Collection'!G152="","",'Dry_Litterbag Placem_Collection'!G152)</f>
        <v>43010</v>
      </c>
      <c r="W151" s="259">
        <f t="shared" si="10"/>
        <v>71</v>
      </c>
      <c r="X151" s="257" t="str">
        <f t="shared" si="13"/>
        <v/>
      </c>
      <c r="Y151" s="257" t="str">
        <f t="shared" si="14"/>
        <v/>
      </c>
      <c r="Z151" s="261">
        <f>IFERROR(INDEX([3]Rainfall_Dry!$O$2:$O$217,MATCH(C151, [3]Rainfall_Dry!$A$2:$A$217,0)),"")</f>
        <v>137.19979645800001</v>
      </c>
      <c r="AA151" s="250">
        <v>39.96</v>
      </c>
      <c r="AB151" s="250">
        <v>12.920000000000002</v>
      </c>
      <c r="AC151" s="250">
        <v>47.12</v>
      </c>
      <c r="AD151" s="251" t="s">
        <v>2655</v>
      </c>
      <c r="AE151" s="250">
        <v>6.6549531789058696</v>
      </c>
      <c r="AF151">
        <f>IF('WetLitterbags placem_collection'!AB152="","",'WetLitterbags placem_collection'!AB152)</f>
        <v>2.75</v>
      </c>
      <c r="AG151">
        <f>IF('WetLitterbags placem_collection'!Z152="","",'WetLitterbags placem_collection'!Z152)</f>
        <v>19</v>
      </c>
      <c r="AH151" s="236" t="str">
        <f>IF('WetLitterbags placem_collection'!AA152="","",'WetLitterbags placem_collection'!AA152)</f>
        <v>O</v>
      </c>
      <c r="AI151">
        <f>IF('WetLitterbags placem_collection'!AC152="","",'WetLitterbags placem_collection'!AC152)</f>
        <v>0</v>
      </c>
      <c r="AJ151">
        <f>IFERROR(AVERAGE('Dry_Litterbag Placem_Collection'!O152,'Dry_Litterbag Placem_Collection'!R152),"")</f>
        <v>6.1999999999999993</v>
      </c>
      <c r="AK151" s="261">
        <f>IFERROR(AVERAGE('Dry_Litterbag Placem_Collection'!N152,'Dry_Litterbag Placem_Collection'!Q152),"")</f>
        <v>30.8</v>
      </c>
      <c r="AL151" s="260">
        <f>INDEX([2]Coordinates!$B$2:$B$197,MATCH(I151,[2]Coordinates!$J$2:$J$197,0))</f>
        <v>-2.3675230329999999</v>
      </c>
      <c r="AM151" s="260">
        <f>INDEX([2]Coordinates!$C$2:$C$197,MATCH(I151,[2]Coordinates!$J$2:$J$197,0))</f>
        <v>34.060512969999998</v>
      </c>
      <c r="AN151" s="260" t="str">
        <f>IF(ISNUMBER(SEARCH("C", 'Dry_Litterbag Placem_Collection'!S152)),"YES","NO")</f>
        <v>NO</v>
      </c>
      <c r="AO151" s="260" t="str">
        <f>IF(ISNUMBER(SEARCH("H", 'Dry_Litterbag Placem_Collection'!S152)),"YES","NO")</f>
        <v>YES</v>
      </c>
      <c r="AP151" s="260" t="str">
        <f>IF(ISNUMBER(SEARCH("R", 'Dry_Litterbag Placem_Collection'!S152)),"YES","NO")</f>
        <v>NO</v>
      </c>
    </row>
    <row r="152" spans="1:42" ht="15" customHeight="1">
      <c r="A152" t="s">
        <v>3248</v>
      </c>
      <c r="B152" s="252" t="s">
        <v>2643</v>
      </c>
      <c r="C152" s="253">
        <f>'Dry_Litterbag Placem_Collection'!A153</f>
        <v>151</v>
      </c>
      <c r="D152" s="253" t="str">
        <f>'Dry_Litterbag Placem_Collection'!B153</f>
        <v xml:space="preserve">Mwantimba
</v>
      </c>
      <c r="E152" s="253" t="s">
        <v>2454</v>
      </c>
      <c r="F152" s="253" t="s">
        <v>20</v>
      </c>
      <c r="G152" s="253">
        <v>3</v>
      </c>
      <c r="H152" s="253" t="s">
        <v>3124</v>
      </c>
      <c r="I152" s="254" t="str">
        <f>'Dry_Litterbag Placem_Collection'!C153</f>
        <v>Wet_P3_T7</v>
      </c>
      <c r="J152" s="255" t="s">
        <v>2525</v>
      </c>
      <c r="K152" s="256" t="s">
        <v>1147</v>
      </c>
      <c r="L152" s="253" t="str">
        <f>IF(ISBLANK('Dry_Litterbag Placem_Collection'!J153),"","G"&amp;""&amp;'Dry_Litterbag Placem_Collection'!J153)</f>
        <v/>
      </c>
      <c r="M152" s="257" t="str">
        <f>IFERROR(INDEX('Green_rooibos initial weight'!$C$5:$C$2000,MATCH(L152, 'Green_rooibos initial weight'!$A$5:$A$2000,0)),"")</f>
        <v/>
      </c>
      <c r="N152" s="257" t="str">
        <f>IFERROR(M152-(TBIcalc!$Q$9+TBIcalc!$Q$10),"")</f>
        <v/>
      </c>
      <c r="O152" s="378">
        <f>AVERAGE(Ashed_controlls!$K$2:$K$11)</f>
        <v>5.5147656768714146</v>
      </c>
      <c r="P152" s="257" t="str">
        <f t="shared" si="11"/>
        <v/>
      </c>
      <c r="Q152" s="257" t="str">
        <f>IFERROR(INDEX('Both teabags AfterDry'!$D$2:$D$2000,MATCH(L152,'Both teabags AfterDry'!$A$2:$A$2000,0)),"")</f>
        <v/>
      </c>
      <c r="R152" s="257" t="str">
        <f>IFERROR(IF(Q152&gt;0,Q152-(TBIcalc!$Q$9),""),"")</f>
        <v/>
      </c>
      <c r="S152" s="268" t="str">
        <f>IFERROR(INDEX('Ashed teabags dry'!$K$2:$K$2000,MATCH(L152,'Ashed teabags dry'!$A$2:$A$2000,0)),"")</f>
        <v/>
      </c>
      <c r="T152" s="268" t="str">
        <f t="shared" si="12"/>
        <v/>
      </c>
      <c r="U152" s="258" t="str">
        <f>IF('Dry_Litterbag Placem_Collection'!E153="","",'Dry_Litterbag Placem_Collection'!E153)</f>
        <v/>
      </c>
      <c r="V152" s="258" t="str">
        <f>IF('Dry_Litterbag Placem_Collection'!G153="","",'Dry_Litterbag Placem_Collection'!G153)</f>
        <v/>
      </c>
      <c r="W152" s="259" t="str">
        <f t="shared" si="10"/>
        <v/>
      </c>
      <c r="X152" s="257" t="str">
        <f t="shared" si="13"/>
        <v/>
      </c>
      <c r="Y152" s="257" t="str">
        <f t="shared" si="14"/>
        <v/>
      </c>
      <c r="Z152" s="261" t="str">
        <f>IFERROR(INDEX([3]Rainfall_Dry!$O$2:$O$217,MATCH(C152, [3]Rainfall_Dry!$A$2:$A$217,0)),"")</f>
        <v/>
      </c>
      <c r="AA152" s="250">
        <v>39.96</v>
      </c>
      <c r="AB152" s="250">
        <v>12.920000000000002</v>
      </c>
      <c r="AC152" s="250">
        <v>47.12</v>
      </c>
      <c r="AD152" s="251" t="s">
        <v>2655</v>
      </c>
      <c r="AE152" s="250">
        <v>7.6549531789058696</v>
      </c>
      <c r="AF152">
        <f>IF('WetLitterbags placem_collection'!AB153="","",'WetLitterbags placem_collection'!AB153)</f>
        <v>1.4</v>
      </c>
      <c r="AG152">
        <f>IF('WetLitterbags placem_collection'!Z153="","",'WetLitterbags placem_collection'!Z153)</f>
        <v>7.9</v>
      </c>
      <c r="AH152" s="236" t="str">
        <f>IF('WetLitterbags placem_collection'!AA153="","",'WetLitterbags placem_collection'!AA153)</f>
        <v>O</v>
      </c>
      <c r="AI152">
        <f>IF('WetLitterbags placem_collection'!AC153="","",'WetLitterbags placem_collection'!AC153)</f>
        <v>1</v>
      </c>
      <c r="AJ152" t="str">
        <f>IFERROR(AVERAGE('Dry_Litterbag Placem_Collection'!O153,'Dry_Litterbag Placem_Collection'!R153),"")</f>
        <v/>
      </c>
      <c r="AK152" s="261" t="str">
        <f>IFERROR(AVERAGE('Dry_Litterbag Placem_Collection'!N153,'Dry_Litterbag Placem_Collection'!Q153),"")</f>
        <v/>
      </c>
      <c r="AL152" s="260">
        <f>INDEX([2]Coordinates!$B$2:$B$197,MATCH(I152,[2]Coordinates!$J$2:$J$197,0))</f>
        <v>-2.3673460070000001</v>
      </c>
      <c r="AM152" s="260">
        <f>INDEX([2]Coordinates!$C$2:$C$197,MATCH(I152,[2]Coordinates!$J$2:$J$197,0))</f>
        <v>34.060310039999997</v>
      </c>
      <c r="AN152" s="260" t="str">
        <f>IF(ISNUMBER(SEARCH("C", 'Dry_Litterbag Placem_Collection'!S153)),"YES","NO")</f>
        <v>NO</v>
      </c>
      <c r="AO152" s="260" t="str">
        <f>IF(ISNUMBER(SEARCH("H", 'Dry_Litterbag Placem_Collection'!S153)),"YES","NO")</f>
        <v>NO</v>
      </c>
      <c r="AP152" s="260" t="str">
        <f>IF(ISNUMBER(SEARCH("R", 'Dry_Litterbag Placem_Collection'!S153)),"YES","NO")</f>
        <v>NO</v>
      </c>
    </row>
    <row r="153" spans="1:42" ht="15" customHeight="1">
      <c r="A153" t="s">
        <v>3248</v>
      </c>
      <c r="B153" s="252" t="s">
        <v>2643</v>
      </c>
      <c r="C153" s="253">
        <f>'Dry_Litterbag Placem_Collection'!A154</f>
        <v>152</v>
      </c>
      <c r="D153" s="253" t="str">
        <f>'Dry_Litterbag Placem_Collection'!B154</f>
        <v xml:space="preserve">Mwantimba
</v>
      </c>
      <c r="E153" s="253" t="s">
        <v>2454</v>
      </c>
      <c r="F153" s="253" t="s">
        <v>20</v>
      </c>
      <c r="G153" s="253">
        <v>3</v>
      </c>
      <c r="H153" s="253" t="s">
        <v>3124</v>
      </c>
      <c r="I153" s="254" t="str">
        <f>'Dry_Litterbag Placem_Collection'!C154</f>
        <v>Wet_P3_T8</v>
      </c>
      <c r="J153" s="255" t="s">
        <v>2525</v>
      </c>
      <c r="K153" s="256" t="s">
        <v>1147</v>
      </c>
      <c r="L153" s="253" t="str">
        <f>IF(ISBLANK('Dry_Litterbag Placem_Collection'!J154),"","G"&amp;""&amp;'Dry_Litterbag Placem_Collection'!J154)</f>
        <v>G198</v>
      </c>
      <c r="M153" s="257">
        <f>IFERROR(INDEX('Green_rooibos initial weight'!$C$5:$C$2000,MATCH(L153, 'Green_rooibos initial weight'!$A$5:$A$2000,0)),"")</f>
        <v>1.931</v>
      </c>
      <c r="N153" s="257">
        <f>IFERROR(M153-(TBIcalc!$Q$9+TBIcalc!$Q$10),"")</f>
        <v>1.6812</v>
      </c>
      <c r="O153" s="378">
        <f>AVERAGE(Ashed_controlls!$K$2:$K$11)</f>
        <v>5.5147656768714146</v>
      </c>
      <c r="P153" s="257">
        <f t="shared" si="11"/>
        <v>1.5884857594404378</v>
      </c>
      <c r="Q153" s="257">
        <f>IFERROR(INDEX('Both teabags AfterDry'!$D$2:$D$2000,MATCH(L153,'Both teabags AfterDry'!$A$2:$A$2000,0)),"")</f>
        <v>1.3654999999999999</v>
      </c>
      <c r="R153" s="257">
        <f>IFERROR(IF(Q153&gt;0,Q153-(TBIcalc!$Q$9),""),"")</f>
        <v>1.2148999999999999</v>
      </c>
      <c r="S153" s="268">
        <f>IFERROR(INDEX('Ashed teabags dry'!$K$2:$K$2000,MATCH(L153,'Ashed teabags dry'!$A$2:$A$2000,0)),"")</f>
        <v>10.100586756077433</v>
      </c>
      <c r="T153" s="268">
        <f t="shared" si="12"/>
        <v>1.0921879715004152</v>
      </c>
      <c r="U153" s="258">
        <f>IF('Dry_Litterbag Placem_Collection'!E154="","",'Dry_Litterbag Placem_Collection'!E154)</f>
        <v>42939</v>
      </c>
      <c r="V153" s="258">
        <f>IF('Dry_Litterbag Placem_Collection'!G154="","",'Dry_Litterbag Placem_Collection'!G154)</f>
        <v>43010</v>
      </c>
      <c r="W153" s="259">
        <f t="shared" si="10"/>
        <v>71</v>
      </c>
      <c r="X153" s="257">
        <f t="shared" si="13"/>
        <v>0.46630000000000016</v>
      </c>
      <c r="Y153" s="257">
        <f t="shared" si="14"/>
        <v>0.49629778794002255</v>
      </c>
      <c r="Z153" s="261">
        <f>IFERROR(INDEX([3]Rainfall_Dry!$O$2:$O$217,MATCH(C153, [3]Rainfall_Dry!$A$2:$A$217,0)),"")</f>
        <v>137.19979645800001</v>
      </c>
      <c r="AA153" s="250">
        <v>39.96</v>
      </c>
      <c r="AB153" s="250">
        <v>12.920000000000002</v>
      </c>
      <c r="AC153" s="250">
        <v>47.12</v>
      </c>
      <c r="AD153" s="251" t="s">
        <v>2655</v>
      </c>
      <c r="AE153" s="250">
        <v>8.6549531789058705</v>
      </c>
      <c r="AF153">
        <f>IF('WetLitterbags placem_collection'!AB154="","",'WetLitterbags placem_collection'!AB154)</f>
        <v>2.2000000000000002</v>
      </c>
      <c r="AG153">
        <f>IF('WetLitterbags placem_collection'!Z154="","",'WetLitterbags placem_collection'!Z154)</f>
        <v>15</v>
      </c>
      <c r="AH153" s="236" t="str">
        <f>IF('WetLitterbags placem_collection'!AA154="","",'WetLitterbags placem_collection'!AA154)</f>
        <v>M</v>
      </c>
      <c r="AI153">
        <f>IF('WetLitterbags placem_collection'!AC154="","",'WetLitterbags placem_collection'!AC154)</f>
        <v>0</v>
      </c>
      <c r="AJ153">
        <f>IFERROR(AVERAGE('Dry_Litterbag Placem_Collection'!O154,'Dry_Litterbag Placem_Collection'!R154),"")</f>
        <v>6.4</v>
      </c>
      <c r="AK153" s="261">
        <f>IFERROR(AVERAGE('Dry_Litterbag Placem_Collection'!N154,'Dry_Litterbag Placem_Collection'!Q154),"")</f>
        <v>28.45</v>
      </c>
      <c r="AL153" s="260">
        <f>INDEX([2]Coordinates!$B$2:$B$197,MATCH(I153,[2]Coordinates!$J$2:$J$197,0))</f>
        <v>-2.367543988</v>
      </c>
      <c r="AM153" s="260">
        <f>INDEX([2]Coordinates!$C$2:$C$197,MATCH(I153,[2]Coordinates!$J$2:$J$197,0))</f>
        <v>34.060168969999999</v>
      </c>
      <c r="AN153" s="260" t="str">
        <f>IF(ISNUMBER(SEARCH("C", 'Dry_Litterbag Placem_Collection'!S154)),"YES","NO")</f>
        <v>YES</v>
      </c>
      <c r="AO153" s="260" t="str">
        <f>IF(ISNUMBER(SEARCH("H", 'Dry_Litterbag Placem_Collection'!S154)),"YES","NO")</f>
        <v>YES</v>
      </c>
      <c r="AP153" s="260" t="str">
        <f>IF(ISNUMBER(SEARCH("R", 'Dry_Litterbag Placem_Collection'!S154)),"YES","NO")</f>
        <v>NO</v>
      </c>
    </row>
    <row r="154" spans="1:42" ht="15" customHeight="1">
      <c r="A154" t="s">
        <v>3248</v>
      </c>
      <c r="B154" s="252" t="s">
        <v>2643</v>
      </c>
      <c r="C154" s="253">
        <f>'Dry_Litterbag Placem_Collection'!A155</f>
        <v>153</v>
      </c>
      <c r="D154" s="253" t="str">
        <f>'Dry_Litterbag Placem_Collection'!B155</f>
        <v xml:space="preserve">Mwantimba
</v>
      </c>
      <c r="E154" s="253" t="s">
        <v>2454</v>
      </c>
      <c r="F154" s="253" t="s">
        <v>20</v>
      </c>
      <c r="G154" s="253">
        <v>4</v>
      </c>
      <c r="H154" s="253" t="s">
        <v>3125</v>
      </c>
      <c r="I154" s="254" t="str">
        <f>'Dry_Litterbag Placem_Collection'!C155</f>
        <v>Wet_P4_T1</v>
      </c>
      <c r="J154" s="255" t="s">
        <v>2525</v>
      </c>
      <c r="K154" s="256" t="s">
        <v>1147</v>
      </c>
      <c r="L154" s="253" t="str">
        <f>IF(ISBLANK('Dry_Litterbag Placem_Collection'!J155),"","G"&amp;""&amp;'Dry_Litterbag Placem_Collection'!J155)</f>
        <v>G197</v>
      </c>
      <c r="M154" s="257">
        <f>IFERROR(INDEX('Green_rooibos initial weight'!$C$5:$C$2000,MATCH(L154, 'Green_rooibos initial weight'!$A$5:$A$2000,0)),"")</f>
        <v>2.1120000000000001</v>
      </c>
      <c r="N154" s="257">
        <f>IFERROR(M154-(TBIcalc!$Q$9+TBIcalc!$Q$10),"")</f>
        <v>1.8622000000000001</v>
      </c>
      <c r="O154" s="378">
        <f>AVERAGE(Ashed_controlls!$K$2:$K$11)</f>
        <v>5.5147656768714146</v>
      </c>
      <c r="P154" s="257">
        <f t="shared" si="11"/>
        <v>1.7595040335653005</v>
      </c>
      <c r="Q154" s="257">
        <f>IFERROR(INDEX('Both teabags AfterDry'!$D$2:$D$2000,MATCH(L154,'Both teabags AfterDry'!$A$2:$A$2000,0)),"")</f>
        <v>1.2847</v>
      </c>
      <c r="R154" s="257">
        <f>IFERROR(IF(Q154&gt;0,Q154-(TBIcalc!$Q$9),""),"")</f>
        <v>1.1340999999999999</v>
      </c>
      <c r="S154" s="268">
        <f>IFERROR(INDEX('Ashed teabags dry'!$K$2:$K$2000,MATCH(L154,'Ashed teabags dry'!$A$2:$A$2000,0)),"")</f>
        <v>10.205908683975077</v>
      </c>
      <c r="T154" s="268">
        <f t="shared" si="12"/>
        <v>1.0183547896150387</v>
      </c>
      <c r="U154" s="258">
        <f>IF('Dry_Litterbag Placem_Collection'!E155="","",'Dry_Litterbag Placem_Collection'!E155)</f>
        <v>42939</v>
      </c>
      <c r="V154" s="258">
        <f>IF('Dry_Litterbag Placem_Collection'!G155="","",'Dry_Litterbag Placem_Collection'!G155)</f>
        <v>43010</v>
      </c>
      <c r="W154" s="259">
        <f t="shared" si="10"/>
        <v>71</v>
      </c>
      <c r="X154" s="257">
        <f t="shared" si="13"/>
        <v>0.72810000000000019</v>
      </c>
      <c r="Y154" s="257">
        <f t="shared" si="14"/>
        <v>0.74114924395026183</v>
      </c>
      <c r="Z154" s="261">
        <f>IFERROR(INDEX([3]Rainfall_Dry!$O$2:$O$217,MATCH(C154, [3]Rainfall_Dry!$A$2:$A$217,0)),"")</f>
        <v>137.19979645800001</v>
      </c>
      <c r="AA154" s="250">
        <v>27.96</v>
      </c>
      <c r="AB154" s="250">
        <v>4.9200000000000017</v>
      </c>
      <c r="AC154" s="250">
        <v>67.12</v>
      </c>
      <c r="AD154" s="251" t="s">
        <v>2651</v>
      </c>
      <c r="AE154" s="250">
        <v>1.0437161163134547</v>
      </c>
      <c r="AF154">
        <f>IF('WetLitterbags placem_collection'!AB155="","",'WetLitterbags placem_collection'!AB155)</f>
        <v>2.1</v>
      </c>
      <c r="AG154">
        <f>IF('WetLitterbags placem_collection'!Z155="","",'WetLitterbags placem_collection'!Z155)</f>
        <v>16.399999999999999</v>
      </c>
      <c r="AH154" s="236" t="str">
        <f>IF('WetLitterbags placem_collection'!AA155="","",'WetLitterbags placem_collection'!AA155)</f>
        <v>G</v>
      </c>
      <c r="AI154">
        <f>IF('WetLitterbags placem_collection'!AC155="","",'WetLitterbags placem_collection'!AC155)</f>
        <v>0</v>
      </c>
      <c r="AJ154">
        <f>IFERROR(AVERAGE('Dry_Litterbag Placem_Collection'!O155,'Dry_Litterbag Placem_Collection'!R155),"")</f>
        <v>5.65</v>
      </c>
      <c r="AK154" s="261">
        <f>IFERROR(AVERAGE('Dry_Litterbag Placem_Collection'!N155,'Dry_Litterbag Placem_Collection'!Q155),"")</f>
        <v>31.65</v>
      </c>
      <c r="AL154" s="260">
        <f>INDEX([2]Coordinates!$B$2:$B$197,MATCH(I154,[2]Coordinates!$J$2:$J$197,0))</f>
        <v>-2.3676780150000001</v>
      </c>
      <c r="AM154" s="260">
        <f>INDEX([2]Coordinates!$C$2:$C$197,MATCH(I154,[2]Coordinates!$J$2:$J$197,0))</f>
        <v>34.05937797</v>
      </c>
      <c r="AN154" s="260" t="str">
        <f>IF(ISNUMBER(SEARCH("C", 'Dry_Litterbag Placem_Collection'!S155)),"YES","NO")</f>
        <v>YES</v>
      </c>
      <c r="AO154" s="260" t="str">
        <f>IF(ISNUMBER(SEARCH("H", 'Dry_Litterbag Placem_Collection'!S155)),"YES","NO")</f>
        <v>YES</v>
      </c>
      <c r="AP154" s="260" t="str">
        <f>IF(ISNUMBER(SEARCH("R", 'Dry_Litterbag Placem_Collection'!S155)),"YES","NO")</f>
        <v>NO</v>
      </c>
    </row>
    <row r="155" spans="1:42" ht="15" customHeight="1">
      <c r="A155" t="s">
        <v>3248</v>
      </c>
      <c r="B155" s="252" t="s">
        <v>2643</v>
      </c>
      <c r="C155" s="253">
        <f>'Dry_Litterbag Placem_Collection'!A156</f>
        <v>154</v>
      </c>
      <c r="D155" s="253" t="str">
        <f>'Dry_Litterbag Placem_Collection'!B156</f>
        <v xml:space="preserve">Mwantimba
</v>
      </c>
      <c r="E155" s="253" t="s">
        <v>2454</v>
      </c>
      <c r="F155" s="253" t="s">
        <v>20</v>
      </c>
      <c r="G155" s="253">
        <v>4</v>
      </c>
      <c r="H155" s="253" t="s">
        <v>3125</v>
      </c>
      <c r="I155" s="254" t="str">
        <f>'Dry_Litterbag Placem_Collection'!C156</f>
        <v>Wet_P4_T2</v>
      </c>
      <c r="J155" s="255" t="s">
        <v>2525</v>
      </c>
      <c r="K155" s="256" t="s">
        <v>1147</v>
      </c>
      <c r="L155" s="253" t="str">
        <f>IF(ISBLANK('Dry_Litterbag Placem_Collection'!J156),"","G"&amp;""&amp;'Dry_Litterbag Placem_Collection'!J156)</f>
        <v>G127</v>
      </c>
      <c r="M155" s="257">
        <f>IFERROR(INDEX('Green_rooibos initial weight'!$C$5:$C$2000,MATCH(L155, 'Green_rooibos initial weight'!$A$5:$A$2000,0)),"")</f>
        <v>1.9490000000000001</v>
      </c>
      <c r="N155" s="257">
        <f>IFERROR(M155-(TBIcalc!$Q$9+TBIcalc!$Q$10),"")</f>
        <v>1.6992</v>
      </c>
      <c r="O155" s="378">
        <f>AVERAGE(Ashed_controlls!$K$2:$K$11)</f>
        <v>5.5147656768714146</v>
      </c>
      <c r="P155" s="257">
        <f t="shared" si="11"/>
        <v>1.6054931016186009</v>
      </c>
      <c r="Q155" s="257">
        <f>IFERROR(INDEX('Both teabags AfterDry'!$D$2:$D$2000,MATCH(L155,'Both teabags AfterDry'!$A$2:$A$2000,0)),"")</f>
        <v>1.1896</v>
      </c>
      <c r="R155" s="257">
        <f>IFERROR(IF(Q155&gt;0,Q155-(TBIcalc!$Q$9),""),"")</f>
        <v>1.0389999999999999</v>
      </c>
      <c r="S155" s="268">
        <f>IFERROR(INDEX('Ashed teabags dry'!$K$2:$K$2000,MATCH(L155,'Ashed teabags dry'!$A$2:$A$2000,0)),"")</f>
        <v>12.964728312678373</v>
      </c>
      <c r="T155" s="268">
        <f t="shared" si="12"/>
        <v>0.90429647283127168</v>
      </c>
      <c r="U155" s="258">
        <f>IF('Dry_Litterbag Placem_Collection'!E156="","",'Dry_Litterbag Placem_Collection'!E156)</f>
        <v>42939</v>
      </c>
      <c r="V155" s="258">
        <f>IF('Dry_Litterbag Placem_Collection'!G156="","",'Dry_Litterbag Placem_Collection'!G156)</f>
        <v>43010</v>
      </c>
      <c r="W155" s="259">
        <f t="shared" si="10"/>
        <v>71</v>
      </c>
      <c r="X155" s="257">
        <f t="shared" si="13"/>
        <v>0.66020000000000012</v>
      </c>
      <c r="Y155" s="257">
        <f t="shared" si="14"/>
        <v>0.70119662878732925</v>
      </c>
      <c r="Z155" s="261">
        <f>IFERROR(INDEX([3]Rainfall_Dry!$O$2:$O$217,MATCH(C155, [3]Rainfall_Dry!$A$2:$A$217,0)),"")</f>
        <v>137.19979645800001</v>
      </c>
      <c r="AA155" s="250">
        <v>27.96</v>
      </c>
      <c r="AB155" s="250">
        <v>4.9200000000000017</v>
      </c>
      <c r="AC155" s="250">
        <v>67.12</v>
      </c>
      <c r="AD155" s="251" t="s">
        <v>2651</v>
      </c>
      <c r="AE155" s="250">
        <v>2.0437161163134498</v>
      </c>
      <c r="AF155">
        <f>IF('WetLitterbags placem_collection'!AB156="","",'WetLitterbags placem_collection'!AB156)</f>
        <v>2.15</v>
      </c>
      <c r="AG155">
        <f>IF('WetLitterbags placem_collection'!Z156="","",'WetLitterbags placem_collection'!Z156)</f>
        <v>9</v>
      </c>
      <c r="AH155" s="236" t="str">
        <f>IF('WetLitterbags placem_collection'!AA156="","",'WetLitterbags placem_collection'!AA156)</f>
        <v>G</v>
      </c>
      <c r="AI155">
        <f>IF('WetLitterbags placem_collection'!AC156="","",'WetLitterbags placem_collection'!AC156)</f>
        <v>0</v>
      </c>
      <c r="AJ155">
        <f>IFERROR(AVERAGE('Dry_Litterbag Placem_Collection'!O156,'Dry_Litterbag Placem_Collection'!R156),"")</f>
        <v>4.05</v>
      </c>
      <c r="AK155" s="261">
        <f>IFERROR(AVERAGE('Dry_Litterbag Placem_Collection'!N156,'Dry_Litterbag Placem_Collection'!Q156),"")</f>
        <v>30.45</v>
      </c>
      <c r="AL155" s="260">
        <f>INDEX([2]Coordinates!$B$2:$B$197,MATCH(I155,[2]Coordinates!$J$2:$J$197,0))</f>
        <v>-2.3677299820000002</v>
      </c>
      <c r="AM155" s="260">
        <f>INDEX([2]Coordinates!$C$2:$C$197,MATCH(I155,[2]Coordinates!$J$2:$J$197,0))</f>
        <v>34.059351990000003</v>
      </c>
      <c r="AN155" s="260" t="str">
        <f>IF(ISNUMBER(SEARCH("C", 'Dry_Litterbag Placem_Collection'!S156)),"YES","NO")</f>
        <v>YES</v>
      </c>
      <c r="AO155" s="260" t="str">
        <f>IF(ISNUMBER(SEARCH("H", 'Dry_Litterbag Placem_Collection'!S156)),"YES","NO")</f>
        <v>YES</v>
      </c>
      <c r="AP155" s="260" t="str">
        <f>IF(ISNUMBER(SEARCH("R", 'Dry_Litterbag Placem_Collection'!S156)),"YES","NO")</f>
        <v>NO</v>
      </c>
    </row>
    <row r="156" spans="1:42" ht="15" customHeight="1">
      <c r="A156" t="s">
        <v>3248</v>
      </c>
      <c r="B156" s="252" t="s">
        <v>2643</v>
      </c>
      <c r="C156" s="253">
        <f>'Dry_Litterbag Placem_Collection'!A157</f>
        <v>155</v>
      </c>
      <c r="D156" s="253" t="str">
        <f>'Dry_Litterbag Placem_Collection'!B157</f>
        <v xml:space="preserve">Mwantimba
</v>
      </c>
      <c r="E156" s="253" t="s">
        <v>2454</v>
      </c>
      <c r="F156" s="253" t="s">
        <v>20</v>
      </c>
      <c r="G156" s="253">
        <v>4</v>
      </c>
      <c r="H156" s="253" t="s">
        <v>3125</v>
      </c>
      <c r="I156" s="254" t="str">
        <f>'Dry_Litterbag Placem_Collection'!C157</f>
        <v>Wet_P4_T3</v>
      </c>
      <c r="J156" s="255" t="s">
        <v>2525</v>
      </c>
      <c r="K156" s="256" t="s">
        <v>1147</v>
      </c>
      <c r="L156" s="253" t="str">
        <f>IF(ISBLANK('Dry_Litterbag Placem_Collection'!J157),"","G"&amp;""&amp;'Dry_Litterbag Placem_Collection'!J157)</f>
        <v>G253</v>
      </c>
      <c r="M156" s="257">
        <f>IFERROR(INDEX('Green_rooibos initial weight'!$C$5:$C$2000,MATCH(L156, 'Green_rooibos initial weight'!$A$5:$A$2000,0)),"")</f>
        <v>2.0169999999999999</v>
      </c>
      <c r="N156" s="257">
        <f>IFERROR(M156-(TBIcalc!$Q$9+TBIcalc!$Q$10),"")</f>
        <v>1.7671999999999999</v>
      </c>
      <c r="O156" s="378">
        <f>AVERAGE(Ashed_controlls!$K$2:$K$11)</f>
        <v>5.5147656768714146</v>
      </c>
      <c r="P156" s="257">
        <f t="shared" si="11"/>
        <v>1.6697430609583281</v>
      </c>
      <c r="Q156" s="257">
        <f>IFERROR(INDEX('Both teabags AfterDry'!$D$2:$D$2000,MATCH(L156,'Both teabags AfterDry'!$A$2:$A$2000,0)),"")</f>
        <v>1.2484</v>
      </c>
      <c r="R156" s="257">
        <f>IFERROR(IF(Q156&gt;0,Q156-(TBIcalc!$Q$9),""),"")</f>
        <v>1.0977999999999999</v>
      </c>
      <c r="S156" s="268">
        <f>IFERROR(INDEX('Ashed teabags dry'!$K$2:$K$2000,MATCH(L156,'Ashed teabags dry'!$A$2:$A$2000,0)),"")</f>
        <v>13.077679449360829</v>
      </c>
      <c r="T156" s="268">
        <f t="shared" si="12"/>
        <v>0.95423323500491675</v>
      </c>
      <c r="U156" s="258">
        <f>IF('Dry_Litterbag Placem_Collection'!E157="","",'Dry_Litterbag Placem_Collection'!E157)</f>
        <v>42939</v>
      </c>
      <c r="V156" s="258">
        <f>IF('Dry_Litterbag Placem_Collection'!G157="","",'Dry_Litterbag Placem_Collection'!G157)</f>
        <v>43010</v>
      </c>
      <c r="W156" s="259">
        <f t="shared" si="10"/>
        <v>71</v>
      </c>
      <c r="X156" s="257">
        <f t="shared" si="13"/>
        <v>0.6694</v>
      </c>
      <c r="Y156" s="257">
        <f t="shared" si="14"/>
        <v>0.71550982595341139</v>
      </c>
      <c r="Z156" s="261">
        <f>IFERROR(INDEX([3]Rainfall_Dry!$O$2:$O$217,MATCH(C156, [3]Rainfall_Dry!$A$2:$A$217,0)),"")</f>
        <v>137.19979645800001</v>
      </c>
      <c r="AA156" s="250">
        <v>27.96</v>
      </c>
      <c r="AB156" s="250">
        <v>4.9200000000000017</v>
      </c>
      <c r="AC156" s="250">
        <v>67.12</v>
      </c>
      <c r="AD156" s="251" t="s">
        <v>2651</v>
      </c>
      <c r="AE156" s="250">
        <v>3.0437161163134498</v>
      </c>
      <c r="AF156">
        <f>IF('WetLitterbags placem_collection'!AB157="","",'WetLitterbags placem_collection'!AB157)</f>
        <v>1.2</v>
      </c>
      <c r="AG156">
        <f>IF('WetLitterbags placem_collection'!Z157="","",'WetLitterbags placem_collection'!Z157)</f>
        <v>11</v>
      </c>
      <c r="AH156" s="236" t="str">
        <f>IF('WetLitterbags placem_collection'!AA157="","",'WetLitterbags placem_collection'!AA157)</f>
        <v>G</v>
      </c>
      <c r="AI156">
        <f>IF('WetLitterbags placem_collection'!AC157="","",'WetLitterbags placem_collection'!AC157)</f>
        <v>0</v>
      </c>
      <c r="AJ156">
        <f>IFERROR(AVERAGE('Dry_Litterbag Placem_Collection'!O157,'Dry_Litterbag Placem_Collection'!R157),"")</f>
        <v>5.0999999999999996</v>
      </c>
      <c r="AK156" s="261">
        <f>IFERROR(AVERAGE('Dry_Litterbag Placem_Collection'!N157,'Dry_Litterbag Placem_Collection'!Q157),"")</f>
        <v>29.4</v>
      </c>
      <c r="AL156" s="260">
        <f>INDEX([2]Coordinates!$B$2:$B$197,MATCH(I156,[2]Coordinates!$J$2:$J$197,0))</f>
        <v>-2.3677119609999999</v>
      </c>
      <c r="AM156" s="260">
        <f>INDEX([2]Coordinates!$C$2:$C$197,MATCH(I156,[2]Coordinates!$J$2:$J$197,0))</f>
        <v>34.059339000000001</v>
      </c>
      <c r="AN156" s="260" t="str">
        <f>IF(ISNUMBER(SEARCH("C", 'Dry_Litterbag Placem_Collection'!S157)),"YES","NO")</f>
        <v>NO</v>
      </c>
      <c r="AO156" s="260" t="str">
        <f>IF(ISNUMBER(SEARCH("H", 'Dry_Litterbag Placem_Collection'!S157)),"YES","NO")</f>
        <v>YES</v>
      </c>
      <c r="AP156" s="260" t="str">
        <f>IF(ISNUMBER(SEARCH("R", 'Dry_Litterbag Placem_Collection'!S157)),"YES","NO")</f>
        <v>NO</v>
      </c>
    </row>
    <row r="157" spans="1:42" ht="15" customHeight="1">
      <c r="A157" t="s">
        <v>3248</v>
      </c>
      <c r="B157" s="252" t="s">
        <v>2643</v>
      </c>
      <c r="C157" s="253">
        <f>'Dry_Litterbag Placem_Collection'!A158</f>
        <v>156</v>
      </c>
      <c r="D157" s="253" t="str">
        <f>'Dry_Litterbag Placem_Collection'!B158</f>
        <v xml:space="preserve">Mwantimba
</v>
      </c>
      <c r="E157" s="253" t="s">
        <v>2454</v>
      </c>
      <c r="F157" s="253" t="s">
        <v>20</v>
      </c>
      <c r="G157" s="253">
        <v>4</v>
      </c>
      <c r="H157" s="253" t="s">
        <v>3125</v>
      </c>
      <c r="I157" s="254" t="str">
        <f>'Dry_Litterbag Placem_Collection'!C158</f>
        <v>Wet_P4_T4</v>
      </c>
      <c r="J157" s="255" t="s">
        <v>2525</v>
      </c>
      <c r="K157" s="256" t="s">
        <v>1147</v>
      </c>
      <c r="L157" s="253" t="str">
        <f>IF(ISBLANK('Dry_Litterbag Placem_Collection'!J158),"","G"&amp;""&amp;'Dry_Litterbag Placem_Collection'!J158)</f>
        <v>G47</v>
      </c>
      <c r="M157" s="257">
        <f>IFERROR(INDEX('Green_rooibos initial weight'!$C$5:$C$2000,MATCH(L157, 'Green_rooibos initial weight'!$A$5:$A$2000,0)),"")</f>
        <v>2.0840000000000001</v>
      </c>
      <c r="N157" s="257">
        <f>IFERROR(M157-(TBIcalc!$Q$9+TBIcalc!$Q$10),"")</f>
        <v>1.8342000000000001</v>
      </c>
      <c r="O157" s="378">
        <f>AVERAGE(Ashed_controlls!$K$2:$K$11)</f>
        <v>5.5147656768714146</v>
      </c>
      <c r="P157" s="257">
        <f t="shared" si="11"/>
        <v>1.7330481679548246</v>
      </c>
      <c r="Q157" s="257">
        <f>IFERROR(INDEX('Both teabags AfterDry'!$D$2:$D$2000,MATCH(L157,'Both teabags AfterDry'!$A$2:$A$2000,0)),"")</f>
        <v>1.1167</v>
      </c>
      <c r="R157" s="257">
        <f>IFERROR(IF(Q157&gt;0,Q157-(TBIcalc!$Q$9),""),"")</f>
        <v>0.96609999999999996</v>
      </c>
      <c r="S157" s="268">
        <f>IFERROR(INDEX('Ashed teabags dry'!$K$2:$K$2000,MATCH(L157,'Ashed teabags dry'!$A$2:$A$2000,0)),"")</f>
        <v>22.323571771483682</v>
      </c>
      <c r="T157" s="268">
        <f t="shared" si="12"/>
        <v>0.75043197311569609</v>
      </c>
      <c r="U157" s="258">
        <f>IF('Dry_Litterbag Placem_Collection'!E158="","",'Dry_Litterbag Placem_Collection'!E158)</f>
        <v>42939</v>
      </c>
      <c r="V157" s="258">
        <f>IF('Dry_Litterbag Placem_Collection'!G158="","",'Dry_Litterbag Placem_Collection'!G158)</f>
        <v>43010</v>
      </c>
      <c r="W157" s="259">
        <f t="shared" si="10"/>
        <v>71</v>
      </c>
      <c r="X157" s="257">
        <f t="shared" si="13"/>
        <v>0.86810000000000009</v>
      </c>
      <c r="Y157" s="257">
        <f t="shared" si="14"/>
        <v>0.98261619483912854</v>
      </c>
      <c r="Z157" s="261">
        <f>IFERROR(INDEX([3]Rainfall_Dry!$O$2:$O$217,MATCH(C157, [3]Rainfall_Dry!$A$2:$A$217,0)),"")</f>
        <v>137.19979645800001</v>
      </c>
      <c r="AA157" s="250">
        <v>27.96</v>
      </c>
      <c r="AB157" s="250">
        <v>4.9200000000000017</v>
      </c>
      <c r="AC157" s="250">
        <v>67.12</v>
      </c>
      <c r="AD157" s="251" t="s">
        <v>2651</v>
      </c>
      <c r="AE157" s="250">
        <v>4.0437161163134503</v>
      </c>
      <c r="AF157">
        <f>IF('WetLitterbags placem_collection'!AB158="","",'WetLitterbags placem_collection'!AB158)</f>
        <v>1.55</v>
      </c>
      <c r="AG157">
        <f>IF('WetLitterbags placem_collection'!Z158="","",'WetLitterbags placem_collection'!Z158)</f>
        <v>9.1</v>
      </c>
      <c r="AH157" s="236" t="str">
        <f>IF('WetLitterbags placem_collection'!AA158="","",'WetLitterbags placem_collection'!AA158)</f>
        <v>O</v>
      </c>
      <c r="AI157">
        <f>IF('WetLitterbags placem_collection'!AC158="","",'WetLitterbags placem_collection'!AC158)</f>
        <v>0</v>
      </c>
      <c r="AJ157">
        <f>IFERROR(AVERAGE('Dry_Litterbag Placem_Collection'!O158,'Dry_Litterbag Placem_Collection'!R158),"")</f>
        <v>4.5</v>
      </c>
      <c r="AK157" s="261">
        <f>IFERROR(AVERAGE('Dry_Litterbag Placem_Collection'!N158,'Dry_Litterbag Placem_Collection'!Q158),"")</f>
        <v>30.35</v>
      </c>
      <c r="AL157" s="260">
        <f>INDEX([2]Coordinates!$B$2:$B$197,MATCH(I157,[2]Coordinates!$J$2:$J$197,0))</f>
        <v>-2.3676950300000001</v>
      </c>
      <c r="AM157" s="260">
        <f>INDEX([2]Coordinates!$C$2:$C$197,MATCH(I157,[2]Coordinates!$J$2:$J$197,0))</f>
        <v>34.059499010000003</v>
      </c>
      <c r="AN157" s="260" t="str">
        <f>IF(ISNUMBER(SEARCH("C", 'Dry_Litterbag Placem_Collection'!S158)),"YES","NO")</f>
        <v>NO</v>
      </c>
      <c r="AO157" s="260" t="str">
        <f>IF(ISNUMBER(SEARCH("H", 'Dry_Litterbag Placem_Collection'!S158)),"YES","NO")</f>
        <v>YES</v>
      </c>
      <c r="AP157" s="260" t="str">
        <f>IF(ISNUMBER(SEARCH("R", 'Dry_Litterbag Placem_Collection'!S158)),"YES","NO")</f>
        <v>YES</v>
      </c>
    </row>
    <row r="158" spans="1:42" ht="15" customHeight="1">
      <c r="A158" t="s">
        <v>3248</v>
      </c>
      <c r="B158" s="252" t="s">
        <v>2643</v>
      </c>
      <c r="C158" s="253">
        <f>'Dry_Litterbag Placem_Collection'!A159</f>
        <v>157</v>
      </c>
      <c r="D158" s="253" t="str">
        <f>'Dry_Litterbag Placem_Collection'!B159</f>
        <v xml:space="preserve">Mwantimba
</v>
      </c>
      <c r="E158" s="253" t="s">
        <v>2454</v>
      </c>
      <c r="F158" s="253" t="s">
        <v>20</v>
      </c>
      <c r="G158" s="253">
        <v>4</v>
      </c>
      <c r="H158" s="253" t="s">
        <v>3125</v>
      </c>
      <c r="I158" s="254" t="str">
        <f>'Dry_Litterbag Placem_Collection'!C159</f>
        <v>Wet_P4_T5</v>
      </c>
      <c r="J158" s="255" t="s">
        <v>2525</v>
      </c>
      <c r="K158" s="256" t="s">
        <v>1147</v>
      </c>
      <c r="L158" s="253" t="str">
        <f>IF(ISBLANK('Dry_Litterbag Placem_Collection'!J159),"","G"&amp;""&amp;'Dry_Litterbag Placem_Collection'!J159)</f>
        <v>G328</v>
      </c>
      <c r="M158" s="257">
        <f>IFERROR(INDEX('Green_rooibos initial weight'!$C$5:$C$2000,MATCH(L158, 'Green_rooibos initial weight'!$A$5:$A$2000,0)),"")</f>
        <v>2.1309999999999998</v>
      </c>
      <c r="N158" s="257">
        <f>IFERROR(M158-(TBIcalc!$Q$9+TBIcalc!$Q$10),"")</f>
        <v>1.8811999999999998</v>
      </c>
      <c r="O158" s="378">
        <f>AVERAGE(Ashed_controlls!$K$2:$K$11)</f>
        <v>5.5147656768714146</v>
      </c>
      <c r="P158" s="257">
        <f t="shared" si="11"/>
        <v>1.7774562280866948</v>
      </c>
      <c r="Q158" s="257" t="str">
        <f>IFERROR(INDEX('Both teabags AfterDry'!$D$2:$D$2000,MATCH(L158,'Both teabags AfterDry'!$A$2:$A$2000,0)),"")</f>
        <v/>
      </c>
      <c r="R158" s="257" t="str">
        <f>IFERROR(IF(Q158&gt;0,Q158-(TBIcalc!$Q$9),""),"")</f>
        <v/>
      </c>
      <c r="S158" s="268" t="str">
        <f>IFERROR(INDEX('Ashed teabags dry'!$K$2:$K$2000,MATCH(L158,'Ashed teabags dry'!$A$2:$A$2000,0)),"")</f>
        <v/>
      </c>
      <c r="T158" s="268" t="str">
        <f t="shared" si="12"/>
        <v/>
      </c>
      <c r="U158" s="258">
        <f>IF('Dry_Litterbag Placem_Collection'!E159="","",'Dry_Litterbag Placem_Collection'!E159)</f>
        <v>42939</v>
      </c>
      <c r="V158" s="258">
        <f>IF('Dry_Litterbag Placem_Collection'!G159="","",'Dry_Litterbag Placem_Collection'!G159)</f>
        <v>43010</v>
      </c>
      <c r="W158" s="259">
        <f t="shared" si="10"/>
        <v>71</v>
      </c>
      <c r="X158" s="257" t="str">
        <f t="shared" si="13"/>
        <v/>
      </c>
      <c r="Y158" s="257" t="str">
        <f t="shared" si="14"/>
        <v/>
      </c>
      <c r="Z158" s="261">
        <f>IFERROR(INDEX([3]Rainfall_Dry!$O$2:$O$217,MATCH(C158, [3]Rainfall_Dry!$A$2:$A$217,0)),"")</f>
        <v>137.19979645800001</v>
      </c>
      <c r="AA158" s="250">
        <v>27.96</v>
      </c>
      <c r="AB158" s="250">
        <v>4.9200000000000017</v>
      </c>
      <c r="AC158" s="250">
        <v>67.12</v>
      </c>
      <c r="AD158" s="251" t="s">
        <v>2651</v>
      </c>
      <c r="AE158" s="250">
        <v>5.0437161163134503</v>
      </c>
      <c r="AF158">
        <f>IF('WetLitterbags placem_collection'!AB159="","",'WetLitterbags placem_collection'!AB159)</f>
        <v>2.2999999999999998</v>
      </c>
      <c r="AG158">
        <f>IF('WetLitterbags placem_collection'!Z159="","",'WetLitterbags placem_collection'!Z159)</f>
        <v>7.7</v>
      </c>
      <c r="AH158" s="236" t="str">
        <f>IF('WetLitterbags placem_collection'!AA159="","",'WetLitterbags placem_collection'!AA159)</f>
        <v>O</v>
      </c>
      <c r="AI158">
        <f>IF('WetLitterbags placem_collection'!AC159="","",'WetLitterbags placem_collection'!AC159)</f>
        <v>0</v>
      </c>
      <c r="AJ158">
        <f>IFERROR(AVERAGE('Dry_Litterbag Placem_Collection'!O159,'Dry_Litterbag Placem_Collection'!R159),"")</f>
        <v>5.65</v>
      </c>
      <c r="AK158" s="261">
        <f>IFERROR(AVERAGE('Dry_Litterbag Placem_Collection'!N159,'Dry_Litterbag Placem_Collection'!Q159),"")</f>
        <v>29.85</v>
      </c>
      <c r="AL158" s="260">
        <f>INDEX([2]Coordinates!$B$2:$B$197,MATCH(I158,[2]Coordinates!$J$2:$J$197,0))</f>
        <v>-2.3678019830000001</v>
      </c>
      <c r="AM158" s="260">
        <f>INDEX([2]Coordinates!$C$2:$C$197,MATCH(I158,[2]Coordinates!$J$2:$J$197,0))</f>
        <v>34.059521969999999</v>
      </c>
      <c r="AN158" s="260" t="str">
        <f>IF(ISNUMBER(SEARCH("C", 'Dry_Litterbag Placem_Collection'!S159)),"YES","NO")</f>
        <v>YES</v>
      </c>
      <c r="AO158" s="260" t="str">
        <f>IF(ISNUMBER(SEARCH("H", 'Dry_Litterbag Placem_Collection'!S159)),"YES","NO")</f>
        <v>YES</v>
      </c>
      <c r="AP158" s="260" t="str">
        <f>IF(ISNUMBER(SEARCH("R", 'Dry_Litterbag Placem_Collection'!S159)),"YES","NO")</f>
        <v>YES</v>
      </c>
    </row>
    <row r="159" spans="1:42" ht="15" customHeight="1">
      <c r="A159" t="s">
        <v>3248</v>
      </c>
      <c r="B159" s="252" t="s">
        <v>2643</v>
      </c>
      <c r="C159" s="253">
        <f>'Dry_Litterbag Placem_Collection'!A160</f>
        <v>158</v>
      </c>
      <c r="D159" s="253" t="str">
        <f>'Dry_Litterbag Placem_Collection'!B160</f>
        <v xml:space="preserve">Mwantimba
</v>
      </c>
      <c r="E159" s="253" t="s">
        <v>2454</v>
      </c>
      <c r="F159" s="253" t="s">
        <v>20</v>
      </c>
      <c r="G159" s="253">
        <v>4</v>
      </c>
      <c r="H159" s="253" t="s">
        <v>3125</v>
      </c>
      <c r="I159" s="254" t="str">
        <f>'Dry_Litterbag Placem_Collection'!C160</f>
        <v>Wet_P4_T6</v>
      </c>
      <c r="J159" s="255" t="s">
        <v>2525</v>
      </c>
      <c r="K159" s="256" t="s">
        <v>1147</v>
      </c>
      <c r="L159" s="253" t="str">
        <f>IF(ISBLANK('Dry_Litterbag Placem_Collection'!J160),"","G"&amp;""&amp;'Dry_Litterbag Placem_Collection'!J160)</f>
        <v>G21</v>
      </c>
      <c r="M159" s="257">
        <f>IFERROR(INDEX('Green_rooibos initial weight'!$C$5:$C$2000,MATCH(L159, 'Green_rooibos initial weight'!$A$5:$A$2000,0)),"")</f>
        <v>2.04</v>
      </c>
      <c r="N159" s="257">
        <f>IFERROR(M159-(TBIcalc!$Q$9+TBIcalc!$Q$10),"")</f>
        <v>1.7902</v>
      </c>
      <c r="O159" s="378">
        <f>AVERAGE(Ashed_controlls!$K$2:$K$11)</f>
        <v>5.5147656768714146</v>
      </c>
      <c r="P159" s="257">
        <f t="shared" si="11"/>
        <v>1.691474664852648</v>
      </c>
      <c r="Q159" s="257">
        <f>IFERROR(INDEX('Both teabags AfterDry'!$D$2:$D$2000,MATCH(L159,'Both teabags AfterDry'!$A$2:$A$2000,0)),"")</f>
        <v>0</v>
      </c>
      <c r="R159" s="257" t="str">
        <f>IFERROR(IF(Q159&gt;0,Q159-(TBIcalc!$Q$9),""),"")</f>
        <v/>
      </c>
      <c r="S159" s="268">
        <f>IFERROR(INDEX('Ashed teabags dry'!$K$2:$K$2000,MATCH(L159,'Ashed teabags dry'!$A$2:$A$2000,0)),"")</f>
        <v>0</v>
      </c>
      <c r="T159" s="268" t="str">
        <f t="shared" si="12"/>
        <v/>
      </c>
      <c r="U159" s="258">
        <f>IF('Dry_Litterbag Placem_Collection'!E160="","",'Dry_Litterbag Placem_Collection'!E160)</f>
        <v>42939</v>
      </c>
      <c r="V159" s="258">
        <f>IF('Dry_Litterbag Placem_Collection'!G160="","",'Dry_Litterbag Placem_Collection'!G160)</f>
        <v>43010</v>
      </c>
      <c r="W159" s="259">
        <f t="shared" si="10"/>
        <v>71</v>
      </c>
      <c r="X159" s="257" t="str">
        <f t="shared" si="13"/>
        <v/>
      </c>
      <c r="Y159" s="257" t="str">
        <f t="shared" si="14"/>
        <v/>
      </c>
      <c r="Z159" s="261">
        <f>IFERROR(INDEX([3]Rainfall_Dry!$O$2:$O$217,MATCH(C159, [3]Rainfall_Dry!$A$2:$A$217,0)),"")</f>
        <v>137.19979645800001</v>
      </c>
      <c r="AA159" s="250">
        <v>27.96</v>
      </c>
      <c r="AB159" s="250">
        <v>4.9200000000000017</v>
      </c>
      <c r="AC159" s="250">
        <v>67.12</v>
      </c>
      <c r="AD159" s="251" t="s">
        <v>2651</v>
      </c>
      <c r="AE159" s="250">
        <v>6.0437161163134503</v>
      </c>
      <c r="AF159">
        <f>IF('WetLitterbags placem_collection'!AB160="","",'WetLitterbags placem_collection'!AB160)</f>
        <v>1.9</v>
      </c>
      <c r="AG159">
        <f>IF('WetLitterbags placem_collection'!Z160="","",'WetLitterbags placem_collection'!Z160)</f>
        <v>4.3</v>
      </c>
      <c r="AH159" s="236" t="str">
        <f>IF('WetLitterbags placem_collection'!AA160="","",'WetLitterbags placem_collection'!AA160)</f>
        <v>O</v>
      </c>
      <c r="AI159">
        <f>IF('WetLitterbags placem_collection'!AC160="","",'WetLitterbags placem_collection'!AC160)</f>
        <v>0</v>
      </c>
      <c r="AJ159">
        <f>IFERROR(AVERAGE('Dry_Litterbag Placem_Collection'!O160,'Dry_Litterbag Placem_Collection'!R160),"")</f>
        <v>5.95</v>
      </c>
      <c r="AK159" s="261">
        <f>IFERROR(AVERAGE('Dry_Litterbag Placem_Collection'!N160,'Dry_Litterbag Placem_Collection'!Q160),"")</f>
        <v>31.8</v>
      </c>
      <c r="AL159" s="260">
        <f>INDEX([2]Coordinates!$B$2:$B$197,MATCH(I159,[2]Coordinates!$J$2:$J$197,0))</f>
        <v>-2.3679270410000002</v>
      </c>
      <c r="AM159" s="260">
        <f>INDEX([2]Coordinates!$C$2:$C$197,MATCH(I159,[2]Coordinates!$J$2:$J$197,0))</f>
        <v>34.059300020000002</v>
      </c>
      <c r="AN159" s="260" t="str">
        <f>IF(ISNUMBER(SEARCH("C", 'Dry_Litterbag Placem_Collection'!S160)),"YES","NO")</f>
        <v>YES</v>
      </c>
      <c r="AO159" s="260" t="str">
        <f>IF(ISNUMBER(SEARCH("H", 'Dry_Litterbag Placem_Collection'!S160)),"YES","NO")</f>
        <v>YES</v>
      </c>
      <c r="AP159" s="260" t="str">
        <f>IF(ISNUMBER(SEARCH("R", 'Dry_Litterbag Placem_Collection'!S160)),"YES","NO")</f>
        <v>NO</v>
      </c>
    </row>
    <row r="160" spans="1:42" ht="15" customHeight="1">
      <c r="A160" t="s">
        <v>3248</v>
      </c>
      <c r="B160" s="252" t="s">
        <v>2643</v>
      </c>
      <c r="C160" s="253">
        <f>'Dry_Litterbag Placem_Collection'!A161</f>
        <v>159</v>
      </c>
      <c r="D160" s="253" t="str">
        <f>'Dry_Litterbag Placem_Collection'!B161</f>
        <v xml:space="preserve">Mwantimba
</v>
      </c>
      <c r="E160" s="253" t="s">
        <v>2454</v>
      </c>
      <c r="F160" s="253" t="s">
        <v>20</v>
      </c>
      <c r="G160" s="253">
        <v>4</v>
      </c>
      <c r="H160" s="253" t="s">
        <v>3125</v>
      </c>
      <c r="I160" s="254" t="str">
        <f>'Dry_Litterbag Placem_Collection'!C161</f>
        <v>Wet_P4_T7</v>
      </c>
      <c r="J160" s="255" t="s">
        <v>2525</v>
      </c>
      <c r="K160" s="256" t="s">
        <v>1147</v>
      </c>
      <c r="L160" s="253" t="str">
        <f>IF(ISBLANK('Dry_Litterbag Placem_Collection'!J161),"","G"&amp;""&amp;'Dry_Litterbag Placem_Collection'!J161)</f>
        <v/>
      </c>
      <c r="M160" s="257" t="str">
        <f>IFERROR(INDEX('Green_rooibos initial weight'!$C$5:$C$2000,MATCH(L160, 'Green_rooibos initial weight'!$A$5:$A$2000,0)),"")</f>
        <v/>
      </c>
      <c r="N160" s="257" t="str">
        <f>IFERROR(M160-(TBIcalc!$Q$9+TBIcalc!$Q$10),"")</f>
        <v/>
      </c>
      <c r="O160" s="378">
        <f>AVERAGE(Ashed_controlls!$K$2:$K$11)</f>
        <v>5.5147656768714146</v>
      </c>
      <c r="P160" s="257" t="str">
        <f t="shared" si="11"/>
        <v/>
      </c>
      <c r="Q160" s="257" t="str">
        <f>IFERROR(INDEX('Both teabags AfterDry'!$D$2:$D$2000,MATCH(L160,'Both teabags AfterDry'!$A$2:$A$2000,0)),"")</f>
        <v/>
      </c>
      <c r="R160" s="257" t="str">
        <f>IFERROR(IF(Q160&gt;0,Q160-(TBIcalc!$Q$9),""),"")</f>
        <v/>
      </c>
      <c r="S160" s="268" t="str">
        <f>IFERROR(INDEX('Ashed teabags dry'!$K$2:$K$2000,MATCH(L160,'Ashed teabags dry'!$A$2:$A$2000,0)),"")</f>
        <v/>
      </c>
      <c r="T160" s="268" t="str">
        <f t="shared" si="12"/>
        <v/>
      </c>
      <c r="U160" s="258" t="str">
        <f>IF('Dry_Litterbag Placem_Collection'!E161="","",'Dry_Litterbag Placem_Collection'!E161)</f>
        <v/>
      </c>
      <c r="V160" s="258" t="str">
        <f>IF('Dry_Litterbag Placem_Collection'!G161="","",'Dry_Litterbag Placem_Collection'!G161)</f>
        <v/>
      </c>
      <c r="W160" s="259" t="str">
        <f t="shared" si="10"/>
        <v/>
      </c>
      <c r="X160" s="257" t="str">
        <f t="shared" si="13"/>
        <v/>
      </c>
      <c r="Y160" s="257" t="str">
        <f t="shared" si="14"/>
        <v/>
      </c>
      <c r="Z160" s="261" t="str">
        <f>IFERROR(INDEX([3]Rainfall_Dry!$O$2:$O$217,MATCH(C160, [3]Rainfall_Dry!$A$2:$A$217,0)),"")</f>
        <v/>
      </c>
      <c r="AA160" s="250">
        <v>27.96</v>
      </c>
      <c r="AB160" s="250">
        <v>4.9200000000000017</v>
      </c>
      <c r="AC160" s="250">
        <v>67.12</v>
      </c>
      <c r="AD160" s="251" t="s">
        <v>2651</v>
      </c>
      <c r="AE160" s="250">
        <v>7.0437161163134503</v>
      </c>
      <c r="AF160">
        <f>IF('WetLitterbags placem_collection'!AB161="","",'WetLitterbags placem_collection'!AB161)</f>
        <v>2.65</v>
      </c>
      <c r="AG160">
        <f>IF('WetLitterbags placem_collection'!Z161="","",'WetLitterbags placem_collection'!Z161)</f>
        <v>0</v>
      </c>
      <c r="AH160" s="236" t="str">
        <f>IF('WetLitterbags placem_collection'!AA161="","",'WetLitterbags placem_collection'!AA161)</f>
        <v>G</v>
      </c>
      <c r="AI160">
        <f>IF('WetLitterbags placem_collection'!AC161="","",'WetLitterbags placem_collection'!AC161)</f>
        <v>1</v>
      </c>
      <c r="AJ160" t="str">
        <f>IFERROR(AVERAGE('Dry_Litterbag Placem_Collection'!O161,'Dry_Litterbag Placem_Collection'!R161),"")</f>
        <v/>
      </c>
      <c r="AK160" s="261" t="str">
        <f>IFERROR(AVERAGE('Dry_Litterbag Placem_Collection'!N161,'Dry_Litterbag Placem_Collection'!Q161),"")</f>
        <v/>
      </c>
      <c r="AL160" s="260">
        <f>INDEX([2]Coordinates!$B$2:$B$197,MATCH(I160,[2]Coordinates!$J$2:$J$197,0))</f>
        <v>-2.3676829599999998</v>
      </c>
      <c r="AM160" s="260">
        <f>INDEX([2]Coordinates!$C$2:$C$197,MATCH(I160,[2]Coordinates!$J$2:$J$197,0))</f>
        <v>34.059236990000002</v>
      </c>
      <c r="AN160" s="260" t="str">
        <f>IF(ISNUMBER(SEARCH("C", 'Dry_Litterbag Placem_Collection'!S161)),"YES","NO")</f>
        <v>NO</v>
      </c>
      <c r="AO160" s="260" t="str">
        <f>IF(ISNUMBER(SEARCH("H", 'Dry_Litterbag Placem_Collection'!S161)),"YES","NO")</f>
        <v>NO</v>
      </c>
      <c r="AP160" s="260" t="str">
        <f>IF(ISNUMBER(SEARCH("R", 'Dry_Litterbag Placem_Collection'!S161)),"YES","NO")</f>
        <v>NO</v>
      </c>
    </row>
    <row r="161" spans="1:42" ht="15" customHeight="1">
      <c r="A161" t="s">
        <v>3248</v>
      </c>
      <c r="B161" s="252" t="s">
        <v>2643</v>
      </c>
      <c r="C161" s="253">
        <f>'Dry_Litterbag Placem_Collection'!A162</f>
        <v>160</v>
      </c>
      <c r="D161" s="253" t="str">
        <f>'Dry_Litterbag Placem_Collection'!B162</f>
        <v xml:space="preserve">Mwantimba
</v>
      </c>
      <c r="E161" s="253" t="s">
        <v>2454</v>
      </c>
      <c r="F161" s="253" t="s">
        <v>20</v>
      </c>
      <c r="G161" s="253">
        <v>4</v>
      </c>
      <c r="H161" s="253" t="s">
        <v>3125</v>
      </c>
      <c r="I161" s="254" t="str">
        <f>'Dry_Litterbag Placem_Collection'!C162</f>
        <v>Wet_P4_T8</v>
      </c>
      <c r="J161" s="255" t="s">
        <v>2525</v>
      </c>
      <c r="K161" s="256" t="s">
        <v>1147</v>
      </c>
      <c r="L161" s="253" t="str">
        <f>IF(ISBLANK('Dry_Litterbag Placem_Collection'!J162),"","G"&amp;""&amp;'Dry_Litterbag Placem_Collection'!J162)</f>
        <v>G482</v>
      </c>
      <c r="M161" s="257">
        <f>IFERROR(INDEX('Green_rooibos initial weight'!$C$5:$C$2000,MATCH(L161, 'Green_rooibos initial weight'!$A$5:$A$2000,0)),"")</f>
        <v>2.056</v>
      </c>
      <c r="N161" s="257">
        <f>IFERROR(M161-(TBIcalc!$Q$9+TBIcalc!$Q$10),"")</f>
        <v>1.8062</v>
      </c>
      <c r="O161" s="378">
        <f>AVERAGE(Ashed_controlls!$K$2:$K$11)</f>
        <v>5.5147656768714146</v>
      </c>
      <c r="P161" s="257">
        <f t="shared" si="11"/>
        <v>1.7065923023443486</v>
      </c>
      <c r="Q161" s="257">
        <f>IFERROR(INDEX('Both teabags AfterDry'!$D$2:$D$2000,MATCH(L161,'Both teabags AfterDry'!$A$2:$A$2000,0)),"")</f>
        <v>1.4819</v>
      </c>
      <c r="R161" s="257">
        <f>IFERROR(IF(Q161&gt;0,Q161-(TBIcalc!$Q$9),""),"")</f>
        <v>1.3312999999999999</v>
      </c>
      <c r="S161" s="268">
        <f>IFERROR(INDEX('Ashed teabags dry'!$K$2:$K$2000,MATCH(L161,'Ashed teabags dry'!$A$2:$A$2000,0)),"")</f>
        <v>15.061378659112389</v>
      </c>
      <c r="T161" s="268">
        <f t="shared" si="12"/>
        <v>1.1307878659112367</v>
      </c>
      <c r="U161" s="258">
        <f>IF('Dry_Litterbag Placem_Collection'!E162="","",'Dry_Litterbag Placem_Collection'!E162)</f>
        <v>42939</v>
      </c>
      <c r="V161" s="258">
        <f>IF('Dry_Litterbag Placem_Collection'!G162="","",'Dry_Litterbag Placem_Collection'!G162)</f>
        <v>43010</v>
      </c>
      <c r="W161" s="259">
        <f t="shared" si="10"/>
        <v>71</v>
      </c>
      <c r="X161" s="257">
        <f t="shared" si="13"/>
        <v>0.4749000000000001</v>
      </c>
      <c r="Y161" s="257">
        <f t="shared" si="14"/>
        <v>0.57580443643311185</v>
      </c>
      <c r="Z161" s="261">
        <f>IFERROR(INDEX([3]Rainfall_Dry!$O$2:$O$217,MATCH(C161, [3]Rainfall_Dry!$A$2:$A$217,0)),"")</f>
        <v>137.19979645800001</v>
      </c>
      <c r="AA161" s="250">
        <v>27.96</v>
      </c>
      <c r="AB161" s="250">
        <v>4.9200000000000017</v>
      </c>
      <c r="AC161" s="250">
        <v>67.12</v>
      </c>
      <c r="AD161" s="251" t="s">
        <v>2651</v>
      </c>
      <c r="AE161" s="250">
        <v>8.0437161163134494</v>
      </c>
      <c r="AF161">
        <f>IF('WetLitterbags placem_collection'!AB162="","",'WetLitterbags placem_collection'!AB162)</f>
        <v>0.8</v>
      </c>
      <c r="AG161">
        <f>IF('WetLitterbags placem_collection'!Z162="","",'WetLitterbags placem_collection'!Z162)</f>
        <v>10.8</v>
      </c>
      <c r="AH161" s="236" t="str">
        <f>IF('WetLitterbags placem_collection'!AA162="","",'WetLitterbags placem_collection'!AA162)</f>
        <v>O</v>
      </c>
      <c r="AI161">
        <f>IF('WetLitterbags placem_collection'!AC162="","",'WetLitterbags placem_collection'!AC162)</f>
        <v>0</v>
      </c>
      <c r="AJ161">
        <f>IFERROR(AVERAGE('Dry_Litterbag Placem_Collection'!O162,'Dry_Litterbag Placem_Collection'!R162),"")</f>
        <v>6.25</v>
      </c>
      <c r="AK161" s="261">
        <f>IFERROR(AVERAGE('Dry_Litterbag Placem_Collection'!N162,'Dry_Litterbag Placem_Collection'!Q162),"")</f>
        <v>29.200000000000003</v>
      </c>
      <c r="AL161" s="260">
        <f>INDEX([2]Coordinates!$B$2:$B$197,MATCH(I161,[2]Coordinates!$J$2:$J$197,0))</f>
        <v>-2.367547005</v>
      </c>
      <c r="AM161" s="260">
        <f>INDEX([2]Coordinates!$C$2:$C$197,MATCH(I161,[2]Coordinates!$J$2:$J$197,0))</f>
        <v>34.059494989999997</v>
      </c>
      <c r="AN161" s="260" t="str">
        <f>IF(ISNUMBER(SEARCH("C", 'Dry_Litterbag Placem_Collection'!S162)),"YES","NO")</f>
        <v>YES</v>
      </c>
      <c r="AO161" s="260" t="str">
        <f>IF(ISNUMBER(SEARCH("H", 'Dry_Litterbag Placem_Collection'!S162)),"YES","NO")</f>
        <v>YES</v>
      </c>
      <c r="AP161" s="260" t="str">
        <f>IF(ISNUMBER(SEARCH("R", 'Dry_Litterbag Placem_Collection'!S162)),"YES","NO")</f>
        <v>NO</v>
      </c>
    </row>
    <row r="162" spans="1:42" ht="15" customHeight="1">
      <c r="A162" t="s">
        <v>3248</v>
      </c>
      <c r="B162" s="252" t="s">
        <v>2643</v>
      </c>
      <c r="C162" s="253">
        <f>'Dry_Litterbag Placem_Collection'!A163</f>
        <v>161</v>
      </c>
      <c r="D162" s="253" t="str">
        <f>'Dry_Litterbag Placem_Collection'!B163</f>
        <v>Handajega</v>
      </c>
      <c r="E162" s="253" t="s">
        <v>2454</v>
      </c>
      <c r="F162" s="253" t="s">
        <v>2645</v>
      </c>
      <c r="G162" s="253">
        <v>1</v>
      </c>
      <c r="H162" s="253" t="s">
        <v>3126</v>
      </c>
      <c r="I162" s="254" t="str">
        <f>'Dry_Litterbag Placem_Collection'!C163</f>
        <v>Wet_W1_T1</v>
      </c>
      <c r="J162" s="255" t="s">
        <v>2525</v>
      </c>
      <c r="K162" s="256" t="s">
        <v>1147</v>
      </c>
      <c r="L162" s="253" t="str">
        <f>IF(ISBLANK('Dry_Litterbag Placem_Collection'!J163),"","G"&amp;""&amp;'Dry_Litterbag Placem_Collection'!J163)</f>
        <v>G51</v>
      </c>
      <c r="M162" s="257">
        <f>IFERROR(INDEX('Green_rooibos initial weight'!$C$5:$C$2000,MATCH(L162, 'Green_rooibos initial weight'!$A$5:$A$2000,0)),"")</f>
        <v>2.0259999999999998</v>
      </c>
      <c r="N162" s="257">
        <f>IFERROR(M162-(TBIcalc!$Q$9+TBIcalc!$Q$10),"")</f>
        <v>1.7761999999999998</v>
      </c>
      <c r="O162" s="378">
        <f>AVERAGE(Ashed_controlls!$K$2:$K$11)</f>
        <v>5.5147656768714146</v>
      </c>
      <c r="P162" s="257">
        <f t="shared" si="11"/>
        <v>1.6782467320474097</v>
      </c>
      <c r="Q162" s="257">
        <f>IFERROR(INDEX('Both teabags AfterDry'!$D$2:$D$2000,MATCH(L162,'Both teabags AfterDry'!$A$2:$A$2000,0)),"")</f>
        <v>0.81589999999999996</v>
      </c>
      <c r="R162" s="257">
        <f>IFERROR(IF(Q162&gt;0,Q162-(TBIcalc!$Q$9),""),"")</f>
        <v>0.6653</v>
      </c>
      <c r="S162" s="268">
        <f>IFERROR(INDEX('Ashed teabags dry'!$K$2:$K$2000,MATCH(L162,'Ashed teabags dry'!$A$2:$A$2000,0)),"")</f>
        <v>26.176336226588315</v>
      </c>
      <c r="T162" s="268">
        <f t="shared" si="12"/>
        <v>0.49114883508450791</v>
      </c>
      <c r="U162" s="258">
        <f>IF('Dry_Litterbag Placem_Collection'!E163="","",'Dry_Litterbag Placem_Collection'!E163)</f>
        <v>42940</v>
      </c>
      <c r="V162" s="258">
        <f>IF('Dry_Litterbag Placem_Collection'!G163="","",'Dry_Litterbag Placem_Collection'!G163)</f>
        <v>43009</v>
      </c>
      <c r="W162" s="259">
        <f t="shared" si="10"/>
        <v>69</v>
      </c>
      <c r="X162" s="257">
        <f t="shared" si="13"/>
        <v>1.1108999999999998</v>
      </c>
      <c r="Y162" s="257">
        <f t="shared" si="14"/>
        <v>1.1870978969629018</v>
      </c>
      <c r="Z162" s="261">
        <f>IFERROR(INDEX([3]Rainfall_Dry!$O$2:$O$217,MATCH(C162, [3]Rainfall_Dry!$A$2:$A$217,0)),"")</f>
        <v>162.634207253</v>
      </c>
      <c r="AA162" s="250">
        <v>21.96</v>
      </c>
      <c r="AB162" s="250">
        <v>4.9199999999999982</v>
      </c>
      <c r="AC162" s="250">
        <v>73.12</v>
      </c>
      <c r="AD162" s="251" t="s">
        <v>2651</v>
      </c>
      <c r="AE162" s="250">
        <v>1.2416954164613114</v>
      </c>
      <c r="AF162">
        <f>IF('WetLitterbags placem_collection'!AB163="","",'WetLitterbags placem_collection'!AB163)</f>
        <v>7.6</v>
      </c>
      <c r="AG162">
        <f>IF('WetLitterbags placem_collection'!Z163="","",'WetLitterbags placem_collection'!Z163)</f>
        <v>35.799999999999997</v>
      </c>
      <c r="AH162" s="236" t="str">
        <f>IF('WetLitterbags placem_collection'!AA163="","",'WetLitterbags placem_collection'!AA163)</f>
        <v>M</v>
      </c>
      <c r="AI162">
        <f>IF('WetLitterbags placem_collection'!AC163="","",'WetLitterbags placem_collection'!AC163)</f>
        <v>0</v>
      </c>
      <c r="AJ162">
        <f>IFERROR(AVERAGE('Dry_Litterbag Placem_Collection'!O163,'Dry_Litterbag Placem_Collection'!R163),"")</f>
        <v>5.65</v>
      </c>
      <c r="AK162" s="261">
        <f>IFERROR(AVERAGE('Dry_Litterbag Placem_Collection'!N163,'Dry_Litterbag Placem_Collection'!Q163),"")</f>
        <v>31.7</v>
      </c>
      <c r="AL162" s="260">
        <f>INDEX([2]Coordinates!$B$2:$B$197,MATCH(I162,[2]Coordinates!$J$2:$J$197,0))</f>
        <v>-2.272751033</v>
      </c>
      <c r="AM162" s="260">
        <f>INDEX([2]Coordinates!$C$2:$C$197,MATCH(I162,[2]Coordinates!$J$2:$J$197,0))</f>
        <v>34.023176030000002</v>
      </c>
      <c r="AN162" s="260" t="str">
        <f>IF(ISNUMBER(SEARCH("C", 'Dry_Litterbag Placem_Collection'!S163)),"YES","NO")</f>
        <v>NO</v>
      </c>
      <c r="AO162" s="260" t="str">
        <f>IF(ISNUMBER(SEARCH("H", 'Dry_Litterbag Placem_Collection'!S163)),"YES","NO")</f>
        <v>YES</v>
      </c>
      <c r="AP162" s="260" t="str">
        <f>IF(ISNUMBER(SEARCH("R", 'Dry_Litterbag Placem_Collection'!S163)),"YES","NO")</f>
        <v>YES</v>
      </c>
    </row>
    <row r="163" spans="1:42" ht="15" customHeight="1">
      <c r="A163" t="s">
        <v>3248</v>
      </c>
      <c r="B163" s="252" t="s">
        <v>2643</v>
      </c>
      <c r="C163" s="253">
        <f>'Dry_Litterbag Placem_Collection'!A164</f>
        <v>162</v>
      </c>
      <c r="D163" s="253" t="str">
        <f>'Dry_Litterbag Placem_Collection'!B164</f>
        <v>Handajega</v>
      </c>
      <c r="E163" s="253" t="s">
        <v>2454</v>
      </c>
      <c r="F163" s="253" t="s">
        <v>2645</v>
      </c>
      <c r="G163" s="253">
        <v>1</v>
      </c>
      <c r="H163" s="253" t="s">
        <v>3126</v>
      </c>
      <c r="I163" s="254" t="str">
        <f>'Dry_Litterbag Placem_Collection'!C164</f>
        <v>Wet_W1_T2</v>
      </c>
      <c r="J163" s="255" t="s">
        <v>2525</v>
      </c>
      <c r="K163" s="256" t="s">
        <v>1147</v>
      </c>
      <c r="L163" s="253" t="str">
        <f>IF(ISBLANK('Dry_Litterbag Placem_Collection'!J164),"","G"&amp;""&amp;'Dry_Litterbag Placem_Collection'!J164)</f>
        <v>G238</v>
      </c>
      <c r="M163" s="257">
        <f>IFERROR(INDEX('Green_rooibos initial weight'!$C$5:$C$2000,MATCH(L163, 'Green_rooibos initial weight'!$A$5:$A$2000,0)),"")</f>
        <v>2.1160000000000001</v>
      </c>
      <c r="N163" s="257">
        <f>IFERROR(M163-(TBIcalc!$Q$9+TBIcalc!$Q$10),"")</f>
        <v>1.8662000000000001</v>
      </c>
      <c r="O163" s="378">
        <f>AVERAGE(Ashed_controlls!$K$2:$K$11)</f>
        <v>5.5147656768714146</v>
      </c>
      <c r="P163" s="257">
        <f t="shared" si="11"/>
        <v>1.7632834429382258</v>
      </c>
      <c r="Q163" s="257">
        <f>IFERROR(INDEX('Both teabags AfterDry'!$D$2:$D$2000,MATCH(L163,'Both teabags AfterDry'!$A$2:$A$2000,0)),"")</f>
        <v>0.81089999999999995</v>
      </c>
      <c r="R163" s="257">
        <f>IFERROR(IF(Q163&gt;0,Q163-(TBIcalc!$Q$9),""),"")</f>
        <v>0.66029999999999989</v>
      </c>
      <c r="S163" s="268">
        <f>IFERROR(INDEX('Ashed teabags dry'!$K$2:$K$2000,MATCH(L163,'Ashed teabags dry'!$A$2:$A$2000,0)),"")</f>
        <v>25.849056603773789</v>
      </c>
      <c r="T163" s="268">
        <f t="shared" si="12"/>
        <v>0.48961867924528157</v>
      </c>
      <c r="U163" s="258">
        <f>IF('Dry_Litterbag Placem_Collection'!E164="","",'Dry_Litterbag Placem_Collection'!E164)</f>
        <v>42940</v>
      </c>
      <c r="V163" s="258">
        <f>IF('Dry_Litterbag Placem_Collection'!G164="","",'Dry_Litterbag Placem_Collection'!G164)</f>
        <v>43009</v>
      </c>
      <c r="W163" s="259">
        <f t="shared" si="10"/>
        <v>69</v>
      </c>
      <c r="X163" s="257">
        <f t="shared" si="13"/>
        <v>1.2059000000000002</v>
      </c>
      <c r="Y163" s="257">
        <f t="shared" si="14"/>
        <v>1.2736647636929441</v>
      </c>
      <c r="Z163" s="261">
        <f>IFERROR(INDEX([3]Rainfall_Dry!$O$2:$O$217,MATCH(C163, [3]Rainfall_Dry!$A$2:$A$217,0)),"")</f>
        <v>162.634207253</v>
      </c>
      <c r="AA163" s="250">
        <v>21.96</v>
      </c>
      <c r="AB163" s="250">
        <v>4.9199999999999982</v>
      </c>
      <c r="AC163" s="250">
        <v>73.12</v>
      </c>
      <c r="AD163" s="251" t="s">
        <v>2651</v>
      </c>
      <c r="AE163" s="250">
        <v>2.2416954164613099</v>
      </c>
      <c r="AF163">
        <f>IF('WetLitterbags placem_collection'!AB164="","",'WetLitterbags placem_collection'!AB164)</f>
        <v>4.0999999999999996</v>
      </c>
      <c r="AG163">
        <f>IF('WetLitterbags placem_collection'!Z164="","",'WetLitterbags placem_collection'!Z164)</f>
        <v>31.4</v>
      </c>
      <c r="AH163" s="236" t="str">
        <f>IF('WetLitterbags placem_collection'!AA164="","",'WetLitterbags placem_collection'!AA164)</f>
        <v>M</v>
      </c>
      <c r="AI163">
        <f>IF('WetLitterbags placem_collection'!AC164="","",'WetLitterbags placem_collection'!AC164)</f>
        <v>0</v>
      </c>
      <c r="AJ163">
        <f>IFERROR(AVERAGE('Dry_Litterbag Placem_Collection'!O164,'Dry_Litterbag Placem_Collection'!R164),"")</f>
        <v>4.4499999999999993</v>
      </c>
      <c r="AK163" s="261">
        <f>IFERROR(AVERAGE('Dry_Litterbag Placem_Collection'!N164,'Dry_Litterbag Placem_Collection'!Q164),"")</f>
        <v>31.650000000000002</v>
      </c>
      <c r="AL163" s="260">
        <f>INDEX([2]Coordinates!$B$2:$B$197,MATCH(I163,[2]Coordinates!$J$2:$J$197,0))</f>
        <v>-2.2727060219999999</v>
      </c>
      <c r="AM163" s="260">
        <f>INDEX([2]Coordinates!$C$2:$C$197,MATCH(I163,[2]Coordinates!$J$2:$J$197,0))</f>
        <v>34.023162030000002</v>
      </c>
      <c r="AN163" s="260" t="str">
        <f>IF(ISNUMBER(SEARCH("C", 'Dry_Litterbag Placem_Collection'!S164)),"YES","NO")</f>
        <v>NO</v>
      </c>
      <c r="AO163" s="260" t="str">
        <f>IF(ISNUMBER(SEARCH("H", 'Dry_Litterbag Placem_Collection'!S164)),"YES","NO")</f>
        <v>NO</v>
      </c>
      <c r="AP163" s="260" t="str">
        <f>IF(ISNUMBER(SEARCH("R", 'Dry_Litterbag Placem_Collection'!S164)),"YES","NO")</f>
        <v>YES</v>
      </c>
    </row>
    <row r="164" spans="1:42" ht="15" customHeight="1">
      <c r="A164" t="s">
        <v>3248</v>
      </c>
      <c r="B164" s="252" t="s">
        <v>2643</v>
      </c>
      <c r="C164" s="253">
        <f>'Dry_Litterbag Placem_Collection'!A165</f>
        <v>163</v>
      </c>
      <c r="D164" s="253" t="str">
        <f>'Dry_Litterbag Placem_Collection'!B165</f>
        <v>Handajega</v>
      </c>
      <c r="E164" s="253" t="s">
        <v>2454</v>
      </c>
      <c r="F164" s="253" t="s">
        <v>2645</v>
      </c>
      <c r="G164" s="253">
        <v>1</v>
      </c>
      <c r="H164" s="253" t="s">
        <v>3126</v>
      </c>
      <c r="I164" s="254" t="str">
        <f>'Dry_Litterbag Placem_Collection'!C165</f>
        <v>Wet_W1_T3</v>
      </c>
      <c r="J164" s="255" t="s">
        <v>2525</v>
      </c>
      <c r="K164" s="256" t="s">
        <v>1147</v>
      </c>
      <c r="L164" s="253" t="str">
        <f>IF(ISBLANK('Dry_Litterbag Placem_Collection'!J165),"","G"&amp;""&amp;'Dry_Litterbag Placem_Collection'!J165)</f>
        <v>G59</v>
      </c>
      <c r="M164" s="257">
        <f>IFERROR(INDEX('Green_rooibos initial weight'!$C$5:$C$2000,MATCH(L164, 'Green_rooibos initial weight'!$A$5:$A$2000,0)),"")</f>
        <v>1.929</v>
      </c>
      <c r="N164" s="257">
        <f>IFERROR(M164-(TBIcalc!$Q$9+TBIcalc!$Q$10),"")</f>
        <v>1.6792</v>
      </c>
      <c r="O164" s="378">
        <f>AVERAGE(Ashed_controlls!$K$2:$K$11)</f>
        <v>5.5147656768714146</v>
      </c>
      <c r="P164" s="257">
        <f t="shared" si="11"/>
        <v>1.5865960547539752</v>
      </c>
      <c r="Q164" s="257">
        <f>IFERROR(INDEX('Both teabags AfterDry'!$D$2:$D$2000,MATCH(L164,'Both teabags AfterDry'!$A$2:$A$2000,0)),"")</f>
        <v>0.95679999999999998</v>
      </c>
      <c r="R164" s="257">
        <f>IFERROR(IF(Q164&gt;0,Q164-(TBIcalc!$Q$9),""),"")</f>
        <v>0.80620000000000003</v>
      </c>
      <c r="S164" s="268">
        <f>IFERROR(INDEX('Ashed teabags dry'!$K$2:$K$2000,MATCH(L164,'Ashed teabags dry'!$A$2:$A$2000,0)),"")</f>
        <v>34.794396746499032</v>
      </c>
      <c r="T164" s="268">
        <f t="shared" si="12"/>
        <v>0.52568757342972483</v>
      </c>
      <c r="U164" s="258">
        <f>IF('Dry_Litterbag Placem_Collection'!E165="","",'Dry_Litterbag Placem_Collection'!E165)</f>
        <v>42940</v>
      </c>
      <c r="V164" s="258">
        <f>IF('Dry_Litterbag Placem_Collection'!G165="","",'Dry_Litterbag Placem_Collection'!G165)</f>
        <v>43009</v>
      </c>
      <c r="W164" s="259">
        <f t="shared" si="10"/>
        <v>69</v>
      </c>
      <c r="X164" s="257">
        <f t="shared" si="13"/>
        <v>0.873</v>
      </c>
      <c r="Y164" s="257">
        <f t="shared" si="14"/>
        <v>1.0609084813242504</v>
      </c>
      <c r="Z164" s="261">
        <f>IFERROR(INDEX([3]Rainfall_Dry!$O$2:$O$217,MATCH(C164, [3]Rainfall_Dry!$A$2:$A$217,0)),"")</f>
        <v>162.634207253</v>
      </c>
      <c r="AA164" s="250">
        <v>21.96</v>
      </c>
      <c r="AB164" s="250">
        <v>4.9199999999999982</v>
      </c>
      <c r="AC164" s="250">
        <v>73.12</v>
      </c>
      <c r="AD164" s="251" t="s">
        <v>2651</v>
      </c>
      <c r="AE164" s="250">
        <v>3.2416954164613099</v>
      </c>
      <c r="AF164">
        <f>IF('WetLitterbags placem_collection'!AB165="","",'WetLitterbags placem_collection'!AB165)</f>
        <v>7.8</v>
      </c>
      <c r="AG164">
        <f>IF('WetLitterbags placem_collection'!Z165="","",'WetLitterbags placem_collection'!Z165)</f>
        <v>28.8</v>
      </c>
      <c r="AH164" s="236" t="str">
        <f>IF('WetLitterbags placem_collection'!AA165="","",'WetLitterbags placem_collection'!AA165)</f>
        <v>M</v>
      </c>
      <c r="AI164">
        <f>IF('WetLitterbags placem_collection'!AC165="","",'WetLitterbags placem_collection'!AC165)</f>
        <v>0</v>
      </c>
      <c r="AJ164">
        <f>IFERROR(AVERAGE('Dry_Litterbag Placem_Collection'!O165,'Dry_Litterbag Placem_Collection'!R165),"")</f>
        <v>4.45</v>
      </c>
      <c r="AK164" s="261">
        <f>IFERROR(AVERAGE('Dry_Litterbag Placem_Collection'!N165,'Dry_Litterbag Placem_Collection'!Q165),"")</f>
        <v>32.75</v>
      </c>
      <c r="AL164" s="260">
        <f>INDEX([2]Coordinates!$B$2:$B$197,MATCH(I164,[2]Coordinates!$J$2:$J$197,0))</f>
        <v>-2.2726719919999998</v>
      </c>
      <c r="AM164" s="260">
        <f>INDEX([2]Coordinates!$C$2:$C$197,MATCH(I164,[2]Coordinates!$J$2:$J$197,0))</f>
        <v>34.023210980000002</v>
      </c>
      <c r="AN164" s="260" t="str">
        <f>IF(ISNUMBER(SEARCH("C", 'Dry_Litterbag Placem_Collection'!S165)),"YES","NO")</f>
        <v>NO</v>
      </c>
      <c r="AO164" s="260" t="str">
        <f>IF(ISNUMBER(SEARCH("H", 'Dry_Litterbag Placem_Collection'!S165)),"YES","NO")</f>
        <v>NO</v>
      </c>
      <c r="AP164" s="260" t="str">
        <f>IF(ISNUMBER(SEARCH("R", 'Dry_Litterbag Placem_Collection'!S165)),"YES","NO")</f>
        <v>YES</v>
      </c>
    </row>
    <row r="165" spans="1:42" ht="15" customHeight="1">
      <c r="A165" t="s">
        <v>3248</v>
      </c>
      <c r="B165" s="252" t="s">
        <v>2643</v>
      </c>
      <c r="C165" s="253">
        <f>'Dry_Litterbag Placem_Collection'!A166</f>
        <v>164</v>
      </c>
      <c r="D165" s="253" t="str">
        <f>'Dry_Litterbag Placem_Collection'!B166</f>
        <v>Handajega</v>
      </c>
      <c r="E165" s="253" t="s">
        <v>2454</v>
      </c>
      <c r="F165" s="253" t="s">
        <v>2645</v>
      </c>
      <c r="G165" s="253">
        <v>1</v>
      </c>
      <c r="H165" s="253" t="s">
        <v>3126</v>
      </c>
      <c r="I165" s="254" t="str">
        <f>'Dry_Litterbag Placem_Collection'!C166</f>
        <v>Wet_W1_T4</v>
      </c>
      <c r="J165" s="255" t="s">
        <v>2525</v>
      </c>
      <c r="K165" s="256" t="s">
        <v>1147</v>
      </c>
      <c r="L165" s="253" t="str">
        <f>IF(ISBLANK('Dry_Litterbag Placem_Collection'!J166),"","G"&amp;""&amp;'Dry_Litterbag Placem_Collection'!J166)</f>
        <v>G7</v>
      </c>
      <c r="M165" s="257">
        <f>IFERROR(INDEX('Green_rooibos initial weight'!$C$5:$C$2000,MATCH(L165, 'Green_rooibos initial weight'!$A$5:$A$2000,0)),"")</f>
        <v>1.974</v>
      </c>
      <c r="N165" s="257">
        <f>IFERROR(M165-(TBIcalc!$Q$9+TBIcalc!$Q$10),"")</f>
        <v>1.7242</v>
      </c>
      <c r="O165" s="378">
        <f>AVERAGE(Ashed_controlls!$K$2:$K$11)</f>
        <v>5.5147656768714146</v>
      </c>
      <c r="P165" s="257">
        <f t="shared" si="11"/>
        <v>1.6291144101993831</v>
      </c>
      <c r="Q165" s="257">
        <f>IFERROR(INDEX('Both teabags AfterDry'!$D$2:$D$2000,MATCH(L165,'Both teabags AfterDry'!$A$2:$A$2000,0)),"")</f>
        <v>0.82040000000000002</v>
      </c>
      <c r="R165" s="257">
        <f>IFERROR(IF(Q165&gt;0,Q165-(TBIcalc!$Q$9),""),"")</f>
        <v>0.66979999999999995</v>
      </c>
      <c r="S165" s="268">
        <f>IFERROR(INDEX('Ashed teabags dry'!$K$2:$K$2000,MATCH(L165,'Ashed teabags dry'!$A$2:$A$2000,0)),"")</f>
        <v>25.538020086083453</v>
      </c>
      <c r="T165" s="268">
        <f t="shared" si="12"/>
        <v>0.49874634146341301</v>
      </c>
      <c r="U165" s="258">
        <f>IF('Dry_Litterbag Placem_Collection'!E166="","",'Dry_Litterbag Placem_Collection'!E166)</f>
        <v>42940</v>
      </c>
      <c r="V165" s="258">
        <f>IF('Dry_Litterbag Placem_Collection'!G166="","",'Dry_Litterbag Placem_Collection'!G166)</f>
        <v>43009</v>
      </c>
      <c r="W165" s="259">
        <f t="shared" si="10"/>
        <v>69</v>
      </c>
      <c r="X165" s="257">
        <f t="shared" si="13"/>
        <v>1.0544</v>
      </c>
      <c r="Y165" s="257">
        <f t="shared" si="14"/>
        <v>1.1303680687359701</v>
      </c>
      <c r="Z165" s="261">
        <f>IFERROR(INDEX([3]Rainfall_Dry!$O$2:$O$217,MATCH(C165, [3]Rainfall_Dry!$A$2:$A$217,0)),"")</f>
        <v>162.634207253</v>
      </c>
      <c r="AA165" s="250">
        <v>21.96</v>
      </c>
      <c r="AB165" s="250">
        <v>4.9199999999999982</v>
      </c>
      <c r="AC165" s="250">
        <v>73.12</v>
      </c>
      <c r="AD165" s="251" t="s">
        <v>2651</v>
      </c>
      <c r="AE165" s="250">
        <v>4.2416954164613099</v>
      </c>
      <c r="AF165">
        <f>IF('WetLitterbags placem_collection'!AB166="","",'WetLitterbags placem_collection'!AB166)</f>
        <v>9.5</v>
      </c>
      <c r="AG165">
        <f>IF('WetLitterbags placem_collection'!Z166="","",'WetLitterbags placem_collection'!Z166)</f>
        <v>20.8</v>
      </c>
      <c r="AH165" s="236" t="str">
        <f>IF('WetLitterbags placem_collection'!AA166="","",'WetLitterbags placem_collection'!AA166)</f>
        <v>M</v>
      </c>
      <c r="AI165">
        <f>IF('WetLitterbags placem_collection'!AC166="","",'WetLitterbags placem_collection'!AC166)</f>
        <v>0</v>
      </c>
      <c r="AJ165">
        <f>IFERROR(AVERAGE('Dry_Litterbag Placem_Collection'!O166,'Dry_Litterbag Placem_Collection'!R166),"")</f>
        <v>5.0500000000000007</v>
      </c>
      <c r="AK165" s="261">
        <f>IFERROR(AVERAGE('Dry_Litterbag Placem_Collection'!N166,'Dry_Litterbag Placem_Collection'!Q166),"")</f>
        <v>31.3</v>
      </c>
      <c r="AL165" s="260">
        <f>INDEX([2]Coordinates!$B$2:$B$197,MATCH(I165,[2]Coordinates!$J$2:$J$197,0))</f>
        <v>-2.2726180130000002</v>
      </c>
      <c r="AM165" s="260">
        <f>INDEX([2]Coordinates!$C$2:$C$197,MATCH(I165,[2]Coordinates!$J$2:$J$197,0))</f>
        <v>34.023212999999998</v>
      </c>
      <c r="AN165" s="260" t="str">
        <f>IF(ISNUMBER(SEARCH("C", 'Dry_Litterbag Placem_Collection'!S166)),"YES","NO")</f>
        <v>NO</v>
      </c>
      <c r="AO165" s="260" t="str">
        <f>IF(ISNUMBER(SEARCH("H", 'Dry_Litterbag Placem_Collection'!S166)),"YES","NO")</f>
        <v>NO</v>
      </c>
      <c r="AP165" s="260" t="str">
        <f>IF(ISNUMBER(SEARCH("R", 'Dry_Litterbag Placem_Collection'!S166)),"YES","NO")</f>
        <v>YES</v>
      </c>
    </row>
    <row r="166" spans="1:42" ht="15" customHeight="1">
      <c r="A166" t="s">
        <v>3248</v>
      </c>
      <c r="B166" s="252" t="s">
        <v>2643</v>
      </c>
      <c r="C166" s="253">
        <f>'Dry_Litterbag Placem_Collection'!A167</f>
        <v>165</v>
      </c>
      <c r="D166" s="253" t="str">
        <f>'Dry_Litterbag Placem_Collection'!B167</f>
        <v>Handajega</v>
      </c>
      <c r="E166" s="253" t="s">
        <v>2454</v>
      </c>
      <c r="F166" s="253" t="s">
        <v>2645</v>
      </c>
      <c r="G166" s="253">
        <v>1</v>
      </c>
      <c r="H166" s="253" t="s">
        <v>3126</v>
      </c>
      <c r="I166" s="254" t="str">
        <f>'Dry_Litterbag Placem_Collection'!C167</f>
        <v>Wet_W1_T5</v>
      </c>
      <c r="J166" s="255" t="s">
        <v>2525</v>
      </c>
      <c r="K166" s="256" t="s">
        <v>1147</v>
      </c>
      <c r="L166" s="253" t="str">
        <f>IF(ISBLANK('Dry_Litterbag Placem_Collection'!J167),"","G"&amp;""&amp;'Dry_Litterbag Placem_Collection'!J167)</f>
        <v>G85</v>
      </c>
      <c r="M166" s="257">
        <f>IFERROR(INDEX('Green_rooibos initial weight'!$C$5:$C$2000,MATCH(L166, 'Green_rooibos initial weight'!$A$5:$A$2000,0)),"")</f>
        <v>2.1360000000000001</v>
      </c>
      <c r="N166" s="257">
        <f>IFERROR(M166-(TBIcalc!$Q$9+TBIcalc!$Q$10),"")</f>
        <v>1.8862000000000001</v>
      </c>
      <c r="O166" s="378">
        <f>AVERAGE(Ashed_controlls!$K$2:$K$11)</f>
        <v>5.5147656768714146</v>
      </c>
      <c r="P166" s="257">
        <f t="shared" si="11"/>
        <v>1.7821804898028515</v>
      </c>
      <c r="Q166" s="257">
        <f>IFERROR(INDEX('Both teabags AfterDry'!$D$2:$D$2000,MATCH(L166,'Both teabags AfterDry'!$A$2:$A$2000,0)),"")</f>
        <v>0.84360000000000002</v>
      </c>
      <c r="R166" s="257">
        <f>IFERROR(IF(Q166&gt;0,Q166-(TBIcalc!$Q$9),""),"")</f>
        <v>0.69300000000000006</v>
      </c>
      <c r="S166" s="268">
        <f>IFERROR(INDEX('Ashed teabags dry'!$K$2:$K$2000,MATCH(L166,'Ashed teabags dry'!$A$2:$A$2000,0)),"")</f>
        <v>25.443786982247975</v>
      </c>
      <c r="T166" s="268">
        <f t="shared" si="12"/>
        <v>0.51667455621302161</v>
      </c>
      <c r="U166" s="258">
        <f>IF('Dry_Litterbag Placem_Collection'!E167="","",'Dry_Litterbag Placem_Collection'!E167)</f>
        <v>42940</v>
      </c>
      <c r="V166" s="258">
        <f>IF('Dry_Litterbag Placem_Collection'!G167="","",'Dry_Litterbag Placem_Collection'!G167)</f>
        <v>43009</v>
      </c>
      <c r="W166" s="259">
        <f t="shared" si="10"/>
        <v>69</v>
      </c>
      <c r="X166" s="257">
        <f t="shared" si="13"/>
        <v>1.1932</v>
      </c>
      <c r="Y166" s="257">
        <f t="shared" si="14"/>
        <v>1.26550593358983</v>
      </c>
      <c r="Z166" s="261">
        <f>IFERROR(INDEX([3]Rainfall_Dry!$O$2:$O$217,MATCH(C166, [3]Rainfall_Dry!$A$2:$A$217,0)),"")</f>
        <v>162.634207253</v>
      </c>
      <c r="AA166" s="250">
        <v>21.96</v>
      </c>
      <c r="AB166" s="250">
        <v>4.9199999999999982</v>
      </c>
      <c r="AC166" s="250">
        <v>73.12</v>
      </c>
      <c r="AD166" s="251" t="s">
        <v>2651</v>
      </c>
      <c r="AE166" s="250">
        <v>5.2416954164613099</v>
      </c>
      <c r="AF166">
        <f>IF('WetLitterbags placem_collection'!AB167="","",'WetLitterbags placem_collection'!AB167)</f>
        <v>10.4</v>
      </c>
      <c r="AG166">
        <f>IF('WetLitterbags placem_collection'!Z167="","",'WetLitterbags placem_collection'!Z167)</f>
        <v>13.8</v>
      </c>
      <c r="AH166" s="236" t="str">
        <f>IF('WetLitterbags placem_collection'!AA167="","",'WetLitterbags placem_collection'!AA167)</f>
        <v>M</v>
      </c>
      <c r="AI166">
        <f>IF('WetLitterbags placem_collection'!AC167="","",'WetLitterbags placem_collection'!AC167)</f>
        <v>0</v>
      </c>
      <c r="AJ166">
        <f>IFERROR(AVERAGE('Dry_Litterbag Placem_Collection'!O167,'Dry_Litterbag Placem_Collection'!R167),"")</f>
        <v>5.3000000000000007</v>
      </c>
      <c r="AK166" s="261">
        <f>IFERROR(AVERAGE('Dry_Litterbag Placem_Collection'!N167,'Dry_Litterbag Placem_Collection'!Q167),"")</f>
        <v>32.049999999999997</v>
      </c>
      <c r="AL166" s="260">
        <f>INDEX([2]Coordinates!$B$2:$B$197,MATCH(I166,[2]Coordinates!$J$2:$J$197,0))</f>
        <v>-2.2724750170000001</v>
      </c>
      <c r="AM166" s="260">
        <f>INDEX([2]Coordinates!$C$2:$C$197,MATCH(I166,[2]Coordinates!$J$2:$J$197,0))</f>
        <v>34.02334501</v>
      </c>
      <c r="AN166" s="260" t="str">
        <f>IF(ISNUMBER(SEARCH("C", 'Dry_Litterbag Placem_Collection'!S167)),"YES","NO")</f>
        <v>NO</v>
      </c>
      <c r="AO166" s="260" t="str">
        <f>IF(ISNUMBER(SEARCH("H", 'Dry_Litterbag Placem_Collection'!S167)),"YES","NO")</f>
        <v>NO</v>
      </c>
      <c r="AP166" s="260" t="str">
        <f>IF(ISNUMBER(SEARCH("R", 'Dry_Litterbag Placem_Collection'!S167)),"YES","NO")</f>
        <v>NO</v>
      </c>
    </row>
    <row r="167" spans="1:42" ht="15" customHeight="1">
      <c r="A167" t="s">
        <v>3248</v>
      </c>
      <c r="B167" s="252" t="s">
        <v>2643</v>
      </c>
      <c r="C167" s="253">
        <f>'Dry_Litterbag Placem_Collection'!A168</f>
        <v>166</v>
      </c>
      <c r="D167" s="253" t="str">
        <f>'Dry_Litterbag Placem_Collection'!B168</f>
        <v>Handajega</v>
      </c>
      <c r="E167" s="253" t="s">
        <v>2454</v>
      </c>
      <c r="F167" s="253" t="s">
        <v>2645</v>
      </c>
      <c r="G167" s="253">
        <v>1</v>
      </c>
      <c r="H167" s="253" t="s">
        <v>3126</v>
      </c>
      <c r="I167" s="254" t="str">
        <f>'Dry_Litterbag Placem_Collection'!C168</f>
        <v>Wet_W1_T6</v>
      </c>
      <c r="J167" s="255" t="s">
        <v>2525</v>
      </c>
      <c r="K167" s="256" t="s">
        <v>1147</v>
      </c>
      <c r="L167" s="253" t="str">
        <f>IF(ISBLANK('Dry_Litterbag Placem_Collection'!J168),"","G"&amp;""&amp;'Dry_Litterbag Placem_Collection'!J168)</f>
        <v>G1</v>
      </c>
      <c r="M167" s="257">
        <f>IFERROR(INDEX('Green_rooibos initial weight'!$C$5:$C$2000,MATCH(L167, 'Green_rooibos initial weight'!$A$5:$A$2000,0)),"")</f>
        <v>1.9870000000000001</v>
      </c>
      <c r="N167" s="257">
        <f>IFERROR(M167-(TBIcalc!$Q$9+TBIcalc!$Q$10),"")</f>
        <v>1.7372000000000001</v>
      </c>
      <c r="O167" s="378">
        <f>AVERAGE(Ashed_controlls!$K$2:$K$11)</f>
        <v>5.5147656768714146</v>
      </c>
      <c r="P167" s="257">
        <f t="shared" si="11"/>
        <v>1.64139749066139</v>
      </c>
      <c r="Q167" s="257">
        <f>IFERROR(INDEX('Both teabags AfterDry'!$D$2:$D$2000,MATCH(L167,'Both teabags AfterDry'!$A$2:$A$2000,0)),"")</f>
        <v>0.85040000000000004</v>
      </c>
      <c r="R167" s="257">
        <f>IFERROR(IF(Q167&gt;0,Q167-(TBIcalc!$Q$9),""),"")</f>
        <v>0.69979999999999998</v>
      </c>
      <c r="S167" s="268">
        <f>IFERROR(INDEX('Ashed teabags dry'!$K$2:$K$2000,MATCH(L167,'Ashed teabags dry'!$A$2:$A$2000,0)),"")</f>
        <v>26.737451737451874</v>
      </c>
      <c r="T167" s="268">
        <f t="shared" si="12"/>
        <v>0.51269131274131174</v>
      </c>
      <c r="U167" s="258">
        <f>IF('Dry_Litterbag Placem_Collection'!E168="","",'Dry_Litterbag Placem_Collection'!E168)</f>
        <v>42940</v>
      </c>
      <c r="V167" s="258">
        <f>IF('Dry_Litterbag Placem_Collection'!G168="","",'Dry_Litterbag Placem_Collection'!G168)</f>
        <v>43009</v>
      </c>
      <c r="W167" s="259">
        <f t="shared" si="10"/>
        <v>69</v>
      </c>
      <c r="X167" s="257">
        <f t="shared" si="13"/>
        <v>1.0374000000000001</v>
      </c>
      <c r="Y167" s="257">
        <f t="shared" si="14"/>
        <v>1.1287061779200782</v>
      </c>
      <c r="Z167" s="261">
        <f>IFERROR(INDEX([3]Rainfall_Dry!$O$2:$O$217,MATCH(C167, [3]Rainfall_Dry!$A$2:$A$217,0)),"")</f>
        <v>162.634207253</v>
      </c>
      <c r="AA167" s="250">
        <v>21.96</v>
      </c>
      <c r="AB167" s="250">
        <v>4.9199999999999982</v>
      </c>
      <c r="AC167" s="250">
        <v>73.12</v>
      </c>
      <c r="AD167" s="251" t="s">
        <v>2651</v>
      </c>
      <c r="AE167" s="250">
        <v>6.2416954164613099</v>
      </c>
      <c r="AF167">
        <f>IF('WetLitterbags placem_collection'!AB168="","",'WetLitterbags placem_collection'!AB168)</f>
        <v>2.1</v>
      </c>
      <c r="AG167">
        <f>IF('WetLitterbags placem_collection'!Z168="","",'WetLitterbags placem_collection'!Z168)</f>
        <v>4.7</v>
      </c>
      <c r="AH167" s="236" t="str">
        <f>IF('WetLitterbags placem_collection'!AA168="","",'WetLitterbags placem_collection'!AA168)</f>
        <v>M</v>
      </c>
      <c r="AI167">
        <f>IF('WetLitterbags placem_collection'!AC168="","",'WetLitterbags placem_collection'!AC168)</f>
        <v>0</v>
      </c>
      <c r="AJ167">
        <f>IFERROR(AVERAGE('Dry_Litterbag Placem_Collection'!O168,'Dry_Litterbag Placem_Collection'!R168),"")</f>
        <v>5.15</v>
      </c>
      <c r="AK167" s="261">
        <f>IFERROR(AVERAGE('Dry_Litterbag Placem_Collection'!N168,'Dry_Litterbag Placem_Collection'!Q168),"")</f>
        <v>33.25</v>
      </c>
      <c r="AL167" s="260">
        <f>INDEX([2]Coordinates!$B$2:$B$197,MATCH(I167,[2]Coordinates!$J$2:$J$197,0))</f>
        <v>-2.2725490289999999</v>
      </c>
      <c r="AM167" s="260">
        <f>INDEX([2]Coordinates!$C$2:$C$197,MATCH(I167,[2]Coordinates!$J$2:$J$197,0))</f>
        <v>34.022886020000001</v>
      </c>
      <c r="AN167" s="260" t="str">
        <f>IF(ISNUMBER(SEARCH("C", 'Dry_Litterbag Placem_Collection'!S168)),"YES","NO")</f>
        <v>NO</v>
      </c>
      <c r="AO167" s="260" t="str">
        <f>IF(ISNUMBER(SEARCH("H", 'Dry_Litterbag Placem_Collection'!S168)),"YES","NO")</f>
        <v>NO</v>
      </c>
      <c r="AP167" s="260" t="str">
        <f>IF(ISNUMBER(SEARCH("R", 'Dry_Litterbag Placem_Collection'!S168)),"YES","NO")</f>
        <v>YES</v>
      </c>
    </row>
    <row r="168" spans="1:42" ht="15" customHeight="1">
      <c r="A168" t="s">
        <v>3248</v>
      </c>
      <c r="B168" s="252" t="s">
        <v>2643</v>
      </c>
      <c r="C168" s="253">
        <f>'Dry_Litterbag Placem_Collection'!A169</f>
        <v>167</v>
      </c>
      <c r="D168" s="253" t="str">
        <f>'Dry_Litterbag Placem_Collection'!B169</f>
        <v>Handajega</v>
      </c>
      <c r="E168" s="253" t="s">
        <v>2454</v>
      </c>
      <c r="F168" s="253" t="s">
        <v>2645</v>
      </c>
      <c r="G168" s="253">
        <v>1</v>
      </c>
      <c r="H168" s="253" t="s">
        <v>3126</v>
      </c>
      <c r="I168" s="254" t="str">
        <f>'Dry_Litterbag Placem_Collection'!C169</f>
        <v>Wet_W1_T7</v>
      </c>
      <c r="J168" s="255" t="s">
        <v>2525</v>
      </c>
      <c r="K168" s="256" t="s">
        <v>1147</v>
      </c>
      <c r="L168" s="253" t="str">
        <f>IF(ISBLANK('Dry_Litterbag Placem_Collection'!J169),"","G"&amp;""&amp;'Dry_Litterbag Placem_Collection'!J169)</f>
        <v/>
      </c>
      <c r="M168" s="257" t="str">
        <f>IFERROR(INDEX('Green_rooibos initial weight'!$C$5:$C$2000,MATCH(L168, 'Green_rooibos initial weight'!$A$5:$A$2000,0)),"")</f>
        <v/>
      </c>
      <c r="N168" s="257" t="str">
        <f>IFERROR(M168-(TBIcalc!$Q$9+TBIcalc!$Q$10),"")</f>
        <v/>
      </c>
      <c r="O168" s="378">
        <f>AVERAGE(Ashed_controlls!$K$2:$K$11)</f>
        <v>5.5147656768714146</v>
      </c>
      <c r="P168" s="257" t="str">
        <f t="shared" si="11"/>
        <v/>
      </c>
      <c r="Q168" s="257" t="str">
        <f>IFERROR(INDEX('Both teabags AfterDry'!$D$2:$D$2000,MATCH(L168,'Both teabags AfterDry'!$A$2:$A$2000,0)),"")</f>
        <v/>
      </c>
      <c r="R168" s="257" t="str">
        <f>IFERROR(IF(Q168&gt;0,Q168-(TBIcalc!$Q$9),""),"")</f>
        <v/>
      </c>
      <c r="S168" s="268" t="str">
        <f>IFERROR(INDEX('Ashed teabags dry'!$K$2:$K$2000,MATCH(L168,'Ashed teabags dry'!$A$2:$A$2000,0)),"")</f>
        <v/>
      </c>
      <c r="T168" s="268" t="str">
        <f t="shared" si="12"/>
        <v/>
      </c>
      <c r="U168" s="258" t="str">
        <f>IF('Dry_Litterbag Placem_Collection'!E169="","",'Dry_Litterbag Placem_Collection'!E169)</f>
        <v/>
      </c>
      <c r="V168" s="258" t="str">
        <f>IF('Dry_Litterbag Placem_Collection'!G169="","",'Dry_Litterbag Placem_Collection'!G169)</f>
        <v/>
      </c>
      <c r="W168" s="259" t="str">
        <f t="shared" si="10"/>
        <v/>
      </c>
      <c r="X168" s="257" t="str">
        <f t="shared" si="13"/>
        <v/>
      </c>
      <c r="Y168" s="257" t="str">
        <f t="shared" si="14"/>
        <v/>
      </c>
      <c r="Z168" s="261" t="str">
        <f>IFERROR(INDEX([3]Rainfall_Dry!$O$2:$O$217,MATCH(C168, [3]Rainfall_Dry!$A$2:$A$217,0)),"")</f>
        <v/>
      </c>
      <c r="AA168" s="250">
        <v>21.96</v>
      </c>
      <c r="AB168" s="250">
        <v>4.9199999999999982</v>
      </c>
      <c r="AC168" s="250">
        <v>73.12</v>
      </c>
      <c r="AD168" s="251" t="s">
        <v>2651</v>
      </c>
      <c r="AE168" s="250">
        <v>7.2416954164613099</v>
      </c>
      <c r="AF168">
        <f>IF('WetLitterbags placem_collection'!AB169="","",'WetLitterbags placem_collection'!AB169)</f>
        <v>5.6</v>
      </c>
      <c r="AG168">
        <f>IF('WetLitterbags placem_collection'!Z169="","",'WetLitterbags placem_collection'!Z169)</f>
        <v>4.2</v>
      </c>
      <c r="AH168" s="236" t="str">
        <f>IF('WetLitterbags placem_collection'!AA169="","",'WetLitterbags placem_collection'!AA169)</f>
        <v>M</v>
      </c>
      <c r="AI168">
        <f>IF('WetLitterbags placem_collection'!AC169="","",'WetLitterbags placem_collection'!AC169)</f>
        <v>1</v>
      </c>
      <c r="AJ168" t="str">
        <f>IFERROR(AVERAGE('Dry_Litterbag Placem_Collection'!O169,'Dry_Litterbag Placem_Collection'!R169),"")</f>
        <v/>
      </c>
      <c r="AK168" s="261" t="str">
        <f>IFERROR(AVERAGE('Dry_Litterbag Placem_Collection'!N169,'Dry_Litterbag Placem_Collection'!Q169),"")</f>
        <v/>
      </c>
      <c r="AL168" s="260">
        <f>INDEX([2]Coordinates!$B$2:$B$197,MATCH(I168,[2]Coordinates!$J$2:$J$197,0))</f>
        <v>-2.2729950310000002</v>
      </c>
      <c r="AM168" s="260">
        <f>INDEX([2]Coordinates!$C$2:$C$197,MATCH(I168,[2]Coordinates!$J$2:$J$197,0))</f>
        <v>34.022923990000002</v>
      </c>
      <c r="AN168" s="260" t="str">
        <f>IF(ISNUMBER(SEARCH("C", 'Dry_Litterbag Placem_Collection'!S169)),"YES","NO")</f>
        <v>NO</v>
      </c>
      <c r="AO168" s="260" t="str">
        <f>IF(ISNUMBER(SEARCH("H", 'Dry_Litterbag Placem_Collection'!S169)),"YES","NO")</f>
        <v>NO</v>
      </c>
      <c r="AP168" s="260" t="str">
        <f>IF(ISNUMBER(SEARCH("R", 'Dry_Litterbag Placem_Collection'!S169)),"YES","NO")</f>
        <v>NO</v>
      </c>
    </row>
    <row r="169" spans="1:42" ht="15" customHeight="1">
      <c r="A169" t="s">
        <v>3248</v>
      </c>
      <c r="B169" s="252" t="s">
        <v>2643</v>
      </c>
      <c r="C169" s="253">
        <f>'Dry_Litterbag Placem_Collection'!A170</f>
        <v>168</v>
      </c>
      <c r="D169" s="253" t="str">
        <f>'Dry_Litterbag Placem_Collection'!B170</f>
        <v>Handajega</v>
      </c>
      <c r="E169" s="253" t="s">
        <v>2454</v>
      </c>
      <c r="F169" s="253" t="s">
        <v>2645</v>
      </c>
      <c r="G169" s="253">
        <v>1</v>
      </c>
      <c r="H169" s="253" t="s">
        <v>3126</v>
      </c>
      <c r="I169" s="254" t="str">
        <f>'Dry_Litterbag Placem_Collection'!C170</f>
        <v>Wet_W1_T8</v>
      </c>
      <c r="J169" s="255" t="s">
        <v>2525</v>
      </c>
      <c r="K169" s="256" t="s">
        <v>1147</v>
      </c>
      <c r="L169" s="253" t="str">
        <f>IF(ISBLANK('Dry_Litterbag Placem_Collection'!J170),"","G"&amp;""&amp;'Dry_Litterbag Placem_Collection'!J170)</f>
        <v>G70</v>
      </c>
      <c r="M169" s="257">
        <f>IFERROR(INDEX('Green_rooibos initial weight'!$C$5:$C$2000,MATCH(L169, 'Green_rooibos initial weight'!$A$5:$A$2000,0)),"")</f>
        <v>2.0939999999999999</v>
      </c>
      <c r="N169" s="257">
        <f>IFERROR(M169-(TBIcalc!$Q$9+TBIcalc!$Q$10),"")</f>
        <v>1.8441999999999998</v>
      </c>
      <c r="O169" s="378">
        <f>AVERAGE(Ashed_controlls!$K$2:$K$11)</f>
        <v>5.5147656768714146</v>
      </c>
      <c r="P169" s="257">
        <f t="shared" si="11"/>
        <v>1.7424966913871371</v>
      </c>
      <c r="Q169" s="257" t="str">
        <f>IFERROR(INDEX('Both teabags AfterDry'!$D$2:$D$2000,MATCH(L169,'Both teabags AfterDry'!$A$2:$A$2000,0)),"")</f>
        <v/>
      </c>
      <c r="R169" s="257" t="str">
        <f>IFERROR(IF(Q169&gt;0,Q169-(TBIcalc!$Q$9),""),"")</f>
        <v/>
      </c>
      <c r="S169" s="268" t="str">
        <f>IFERROR(INDEX('Ashed teabags dry'!$K$2:$K$2000,MATCH(L169,'Ashed teabags dry'!$A$2:$A$2000,0)),"")</f>
        <v/>
      </c>
      <c r="T169" s="268" t="str">
        <f t="shared" si="12"/>
        <v/>
      </c>
      <c r="U169" s="258">
        <f>IF('Dry_Litterbag Placem_Collection'!E170="","",'Dry_Litterbag Placem_Collection'!E170)</f>
        <v>42940</v>
      </c>
      <c r="V169" s="258">
        <f>IF('Dry_Litterbag Placem_Collection'!G170="","",'Dry_Litterbag Placem_Collection'!G170)</f>
        <v>43009</v>
      </c>
      <c r="W169" s="259">
        <f t="shared" si="10"/>
        <v>69</v>
      </c>
      <c r="X169" s="257" t="str">
        <f t="shared" si="13"/>
        <v/>
      </c>
      <c r="Y169" s="257" t="str">
        <f t="shared" si="14"/>
        <v/>
      </c>
      <c r="Z169" s="261">
        <f>IFERROR(INDEX([3]Rainfall_Dry!$O$2:$O$217,MATCH(C169, [3]Rainfall_Dry!$A$2:$A$217,0)),"")</f>
        <v>162.634207253</v>
      </c>
      <c r="AA169" s="250">
        <v>21.96</v>
      </c>
      <c r="AB169" s="250">
        <v>4.9199999999999982</v>
      </c>
      <c r="AC169" s="250">
        <v>73.12</v>
      </c>
      <c r="AD169" s="251" t="s">
        <v>2651</v>
      </c>
      <c r="AE169" s="250">
        <v>8.2416954164613099</v>
      </c>
      <c r="AF169">
        <f>IF('WetLitterbags placem_collection'!AB170="","",'WetLitterbags placem_collection'!AB170)</f>
        <v>2.4</v>
      </c>
      <c r="AG169">
        <f>IF('WetLitterbags placem_collection'!Z170="","",'WetLitterbags placem_collection'!Z170)</f>
        <v>46</v>
      </c>
      <c r="AH169" s="236" t="str">
        <f>IF('WetLitterbags placem_collection'!AA170="","",'WetLitterbags placem_collection'!AA170)</f>
        <v>M</v>
      </c>
      <c r="AI169">
        <f>IF('WetLitterbags placem_collection'!AC170="","",'WetLitterbags placem_collection'!AC170)</f>
        <v>0</v>
      </c>
      <c r="AJ169">
        <f>IFERROR(AVERAGE('Dry_Litterbag Placem_Collection'!O170,'Dry_Litterbag Placem_Collection'!R170),"")</f>
        <v>4.0999999999999996</v>
      </c>
      <c r="AK169" s="261">
        <f>IFERROR(AVERAGE('Dry_Litterbag Placem_Collection'!N170,'Dry_Litterbag Placem_Collection'!Q170),"")</f>
        <v>30.15</v>
      </c>
      <c r="AL169" s="260">
        <f>INDEX([2]Coordinates!$B$2:$B$197,MATCH(I169,[2]Coordinates!$J$2:$J$197,0))</f>
        <v>-2.2729129719999999</v>
      </c>
      <c r="AM169" s="260">
        <f>INDEX([2]Coordinates!$C$2:$C$197,MATCH(I169,[2]Coordinates!$J$2:$J$197,0))</f>
        <v>34.023350039999997</v>
      </c>
      <c r="AN169" s="260" t="str">
        <f>IF(ISNUMBER(SEARCH("C", 'Dry_Litterbag Placem_Collection'!S170)),"YES","NO")</f>
        <v>NO</v>
      </c>
      <c r="AO169" s="260" t="str">
        <f>IF(ISNUMBER(SEARCH("H", 'Dry_Litterbag Placem_Collection'!S170)),"YES","NO")</f>
        <v>NO</v>
      </c>
      <c r="AP169" s="260" t="str">
        <f>IF(ISNUMBER(SEARCH("R", 'Dry_Litterbag Placem_Collection'!S170)),"YES","NO")</f>
        <v>YES</v>
      </c>
    </row>
    <row r="170" spans="1:42" ht="15" customHeight="1">
      <c r="A170" t="s">
        <v>3248</v>
      </c>
      <c r="B170" s="252" t="s">
        <v>2643</v>
      </c>
      <c r="C170" s="253">
        <f>'Dry_Litterbag Placem_Collection'!A171</f>
        <v>169</v>
      </c>
      <c r="D170" s="253" t="str">
        <f>'Dry_Litterbag Placem_Collection'!B171</f>
        <v>Handajega</v>
      </c>
      <c r="E170" s="253" t="s">
        <v>2454</v>
      </c>
      <c r="F170" s="253" t="s">
        <v>2645</v>
      </c>
      <c r="G170" s="253">
        <v>2</v>
      </c>
      <c r="H170" s="253" t="s">
        <v>3128</v>
      </c>
      <c r="I170" s="254" t="str">
        <f>'Dry_Litterbag Placem_Collection'!C171</f>
        <v>Wet_W2_T1</v>
      </c>
      <c r="J170" s="255" t="s">
        <v>2525</v>
      </c>
      <c r="K170" s="256" t="s">
        <v>1147</v>
      </c>
      <c r="L170" s="253" t="str">
        <f>IF(ISBLANK('Dry_Litterbag Placem_Collection'!J171),"","G"&amp;""&amp;'Dry_Litterbag Placem_Collection'!J171)</f>
        <v>G250</v>
      </c>
      <c r="M170" s="257">
        <f>IFERROR(INDEX('Green_rooibos initial weight'!$C$5:$C$2000,MATCH(L170, 'Green_rooibos initial weight'!$A$5:$A$2000,0)),"")</f>
        <v>2.0139999999999998</v>
      </c>
      <c r="N170" s="257">
        <f>IFERROR(M170-(TBIcalc!$Q$9+TBIcalc!$Q$10),"")</f>
        <v>1.7641999999999998</v>
      </c>
      <c r="O170" s="378">
        <f>AVERAGE(Ashed_controlls!$K$2:$K$11)</f>
        <v>5.5147656768714146</v>
      </c>
      <c r="P170" s="257">
        <f t="shared" si="11"/>
        <v>1.6669085039286342</v>
      </c>
      <c r="Q170" s="257">
        <f>IFERROR(INDEX('Both teabags AfterDry'!$D$2:$D$2000,MATCH(L170,'Both teabags AfterDry'!$A$2:$A$2000,0)),"")</f>
        <v>0.80610000000000004</v>
      </c>
      <c r="R170" s="257">
        <f>IFERROR(IF(Q170&gt;0,Q170-(TBIcalc!$Q$9),""),"")</f>
        <v>0.65549999999999997</v>
      </c>
      <c r="S170" s="268">
        <f>IFERROR(INDEX('Ashed teabags dry'!$K$2:$K$2000,MATCH(L170,'Ashed teabags dry'!$A$2:$A$2000,0)),"")</f>
        <v>17.823265102348216</v>
      </c>
      <c r="T170" s="268">
        <f t="shared" si="12"/>
        <v>0.53866849725410737</v>
      </c>
      <c r="U170" s="258">
        <f>IF('Dry_Litterbag Placem_Collection'!E171="","",'Dry_Litterbag Placem_Collection'!E171)</f>
        <v>42940</v>
      </c>
      <c r="V170" s="258">
        <f>IF('Dry_Litterbag Placem_Collection'!G171="","",'Dry_Litterbag Placem_Collection'!G171)</f>
        <v>43009</v>
      </c>
      <c r="W170" s="259">
        <f t="shared" si="10"/>
        <v>69</v>
      </c>
      <c r="X170" s="257">
        <f t="shared" si="13"/>
        <v>1.1086999999999998</v>
      </c>
      <c r="Y170" s="257">
        <f t="shared" si="14"/>
        <v>1.1282400066745268</v>
      </c>
      <c r="Z170" s="261">
        <f>IFERROR(INDEX([3]Rainfall_Dry!$O$2:$O$217,MATCH(C170, [3]Rainfall_Dry!$A$2:$A$217,0)),"")</f>
        <v>162.634207253</v>
      </c>
      <c r="AA170" s="250">
        <v>23.96</v>
      </c>
      <c r="AB170" s="250">
        <v>4.9199999999999982</v>
      </c>
      <c r="AC170" s="250">
        <v>71.12</v>
      </c>
      <c r="AD170" s="251" t="s">
        <v>2651</v>
      </c>
      <c r="AE170" s="250">
        <v>3.30913750616067</v>
      </c>
      <c r="AF170">
        <f>IF('WetLitterbags placem_collection'!AB171="","",'WetLitterbags placem_collection'!AB171)</f>
        <v>8.1999999999999993</v>
      </c>
      <c r="AG170">
        <f>IF('WetLitterbags placem_collection'!Z171="","",'WetLitterbags placem_collection'!Z171)</f>
        <v>11.4</v>
      </c>
      <c r="AH170" s="236" t="str">
        <f>IF('WetLitterbags placem_collection'!AA171="","",'WetLitterbags placem_collection'!AA171)</f>
        <v>O</v>
      </c>
      <c r="AI170">
        <f>IF('WetLitterbags placem_collection'!AC171="","",'WetLitterbags placem_collection'!AC171)</f>
        <v>1</v>
      </c>
      <c r="AJ170">
        <f>IFERROR(AVERAGE('Dry_Litterbag Placem_Collection'!O171,'Dry_Litterbag Placem_Collection'!R171),"")</f>
        <v>6.65</v>
      </c>
      <c r="AK170" s="261">
        <f>IFERROR(AVERAGE('Dry_Litterbag Placem_Collection'!N171,'Dry_Litterbag Placem_Collection'!Q171),"")</f>
        <v>35.049999999999997</v>
      </c>
      <c r="AL170" s="260">
        <f>INDEX([2]Coordinates!$B$2:$B$197,MATCH(I170,[2]Coordinates!$J$2:$J$197,0))</f>
        <v>-2.2784290180000002</v>
      </c>
      <c r="AM170" s="260">
        <f>INDEX([2]Coordinates!$C$2:$C$197,MATCH(I170,[2]Coordinates!$J$2:$J$197,0))</f>
        <v>34.024240030000001</v>
      </c>
      <c r="AN170" s="260" t="str">
        <f>IF(ISNUMBER(SEARCH("C", 'Dry_Litterbag Placem_Collection'!S171)),"YES","NO")</f>
        <v>NO</v>
      </c>
      <c r="AO170" s="260" t="str">
        <f>IF(ISNUMBER(SEARCH("H", 'Dry_Litterbag Placem_Collection'!S171)),"YES","NO")</f>
        <v>NO</v>
      </c>
      <c r="AP170" s="260" t="str">
        <f>IF(ISNUMBER(SEARCH("R", 'Dry_Litterbag Placem_Collection'!S171)),"YES","NO")</f>
        <v>YES</v>
      </c>
    </row>
    <row r="171" spans="1:42" ht="15" customHeight="1">
      <c r="A171" t="s">
        <v>3248</v>
      </c>
      <c r="B171" s="252" t="s">
        <v>2643</v>
      </c>
      <c r="C171" s="253">
        <f>'Dry_Litterbag Placem_Collection'!A172</f>
        <v>170</v>
      </c>
      <c r="D171" s="253" t="str">
        <f>'Dry_Litterbag Placem_Collection'!B172</f>
        <v>Handajega</v>
      </c>
      <c r="E171" s="253" t="s">
        <v>2454</v>
      </c>
      <c r="F171" s="253" t="s">
        <v>2645</v>
      </c>
      <c r="G171" s="253">
        <v>2</v>
      </c>
      <c r="H171" s="253" t="s">
        <v>3128</v>
      </c>
      <c r="I171" s="254" t="str">
        <f>'Dry_Litterbag Placem_Collection'!C172</f>
        <v>Wet_W2_T2</v>
      </c>
      <c r="J171" s="255" t="s">
        <v>2525</v>
      </c>
      <c r="K171" s="256" t="s">
        <v>1147</v>
      </c>
      <c r="L171" s="253" t="str">
        <f>IF(ISBLANK('Dry_Litterbag Placem_Collection'!J172),"","G"&amp;""&amp;'Dry_Litterbag Placem_Collection'!J172)</f>
        <v>G624</v>
      </c>
      <c r="M171" s="257">
        <f>IFERROR(INDEX('Green_rooibos initial weight'!$C$5:$C$2000,MATCH(L171, 'Green_rooibos initial weight'!$A$5:$A$2000,0)),"")</f>
        <v>2.024</v>
      </c>
      <c r="N171" s="257">
        <f>IFERROR(M171-(TBIcalc!$Q$9+TBIcalc!$Q$10),"")</f>
        <v>1.7742</v>
      </c>
      <c r="O171" s="378">
        <f>AVERAGE(Ashed_controlls!$K$2:$K$11)</f>
        <v>5.5147656768714146</v>
      </c>
      <c r="P171" s="257">
        <f t="shared" si="11"/>
        <v>1.6763570273609474</v>
      </c>
      <c r="Q171" s="257">
        <f>IFERROR(INDEX('Both teabags AfterDry'!$D$2:$D$2000,MATCH(L171,'Both teabags AfterDry'!$A$2:$A$2000,0)),"")</f>
        <v>0.94779999999999998</v>
      </c>
      <c r="R171" s="257">
        <f>IFERROR(IF(Q171&gt;0,Q171-(TBIcalc!$Q$9),""),"")</f>
        <v>0.79719999999999991</v>
      </c>
      <c r="S171" s="268">
        <f>IFERROR(INDEX('Ashed teabags dry'!$K$2:$K$2000,MATCH(L171,'Ashed teabags dry'!$A$2:$A$2000,0)),"")</f>
        <v>29.054385105340501</v>
      </c>
      <c r="T171" s="268">
        <f t="shared" si="12"/>
        <v>0.56557844194022544</v>
      </c>
      <c r="U171" s="258">
        <f>IF('Dry_Litterbag Placem_Collection'!E172="","",'Dry_Litterbag Placem_Collection'!E172)</f>
        <v>42940</v>
      </c>
      <c r="V171" s="258">
        <f>IF('Dry_Litterbag Placem_Collection'!G172="","",'Dry_Litterbag Placem_Collection'!G172)</f>
        <v>43009</v>
      </c>
      <c r="W171" s="259">
        <f t="shared" si="10"/>
        <v>69</v>
      </c>
      <c r="X171" s="257">
        <f t="shared" si="13"/>
        <v>0.97700000000000009</v>
      </c>
      <c r="Y171" s="257">
        <f t="shared" si="14"/>
        <v>1.1107785854207219</v>
      </c>
      <c r="Z171" s="261">
        <f>IFERROR(INDEX([3]Rainfall_Dry!$O$2:$O$217,MATCH(C171, [3]Rainfall_Dry!$A$2:$A$217,0)),"")</f>
        <v>162.634207253</v>
      </c>
      <c r="AA171" s="250">
        <v>23.96</v>
      </c>
      <c r="AB171" s="250">
        <v>4.9199999999999982</v>
      </c>
      <c r="AC171" s="250">
        <v>71.12</v>
      </c>
      <c r="AD171" s="251" t="s">
        <v>2651</v>
      </c>
      <c r="AE171" s="250">
        <v>4.3091375061606696</v>
      </c>
      <c r="AF171">
        <f>IF('WetLitterbags placem_collection'!AB172="","",'WetLitterbags placem_collection'!AB172)</f>
        <v>7.7</v>
      </c>
      <c r="AG171">
        <f>IF('WetLitterbags placem_collection'!Z172="","",'WetLitterbags placem_collection'!Z172)</f>
        <v>15.8</v>
      </c>
      <c r="AH171" s="236" t="str">
        <f>IF('WetLitterbags placem_collection'!AA172="","",'WetLitterbags placem_collection'!AA172)</f>
        <v>O</v>
      </c>
      <c r="AI171">
        <f>IF('WetLitterbags placem_collection'!AC172="","",'WetLitterbags placem_collection'!AC172)</f>
        <v>1</v>
      </c>
      <c r="AJ171">
        <f>IFERROR(AVERAGE('Dry_Litterbag Placem_Collection'!O172,'Dry_Litterbag Placem_Collection'!R172),"")</f>
        <v>6.1</v>
      </c>
      <c r="AK171" s="261">
        <f>IFERROR(AVERAGE('Dry_Litterbag Placem_Collection'!N172,'Dry_Litterbag Placem_Collection'!Q172),"")</f>
        <v>33.950000000000003</v>
      </c>
      <c r="AL171" s="260">
        <f>INDEX([2]Coordinates!$B$2:$B$197,MATCH(I171,[2]Coordinates!$J$2:$J$197,0))</f>
        <v>-2.2784629650000001</v>
      </c>
      <c r="AM171" s="260">
        <f>INDEX([2]Coordinates!$C$2:$C$197,MATCH(I171,[2]Coordinates!$J$2:$J$197,0))</f>
        <v>34.024177999999999</v>
      </c>
      <c r="AN171" s="260" t="str">
        <f>IF(ISNUMBER(SEARCH("C", 'Dry_Litterbag Placem_Collection'!S172)),"YES","NO")</f>
        <v>NO</v>
      </c>
      <c r="AO171" s="260" t="str">
        <f>IF(ISNUMBER(SEARCH("H", 'Dry_Litterbag Placem_Collection'!S172)),"YES","NO")</f>
        <v>YES</v>
      </c>
      <c r="AP171" s="260" t="str">
        <f>IF(ISNUMBER(SEARCH("R", 'Dry_Litterbag Placem_Collection'!S172)),"YES","NO")</f>
        <v>YES</v>
      </c>
    </row>
    <row r="172" spans="1:42" ht="15" customHeight="1">
      <c r="A172" t="s">
        <v>3248</v>
      </c>
      <c r="B172" s="252" t="s">
        <v>2643</v>
      </c>
      <c r="C172" s="253">
        <f>'Dry_Litterbag Placem_Collection'!A173</f>
        <v>171</v>
      </c>
      <c r="D172" s="253" t="str">
        <f>'Dry_Litterbag Placem_Collection'!B173</f>
        <v>Handajega</v>
      </c>
      <c r="E172" s="253" t="s">
        <v>2454</v>
      </c>
      <c r="F172" s="253" t="s">
        <v>2645</v>
      </c>
      <c r="G172" s="253">
        <v>2</v>
      </c>
      <c r="H172" s="253" t="s">
        <v>3128</v>
      </c>
      <c r="I172" s="254" t="str">
        <f>'Dry_Litterbag Placem_Collection'!C173</f>
        <v>Wet_W2_T3</v>
      </c>
      <c r="J172" s="255" t="s">
        <v>2525</v>
      </c>
      <c r="K172" s="256" t="s">
        <v>1147</v>
      </c>
      <c r="L172" s="253" t="str">
        <f>IF(ISBLANK('Dry_Litterbag Placem_Collection'!J173),"","G"&amp;""&amp;'Dry_Litterbag Placem_Collection'!J173)</f>
        <v>G149</v>
      </c>
      <c r="M172" s="257">
        <f>IFERROR(INDEX('Green_rooibos initial weight'!$C$5:$C$2000,MATCH(L172, 'Green_rooibos initial weight'!$A$5:$A$2000,0)),"")</f>
        <v>2.1789999999999998</v>
      </c>
      <c r="N172" s="257">
        <f>IFERROR(M172-(TBIcalc!$Q$9+TBIcalc!$Q$10),"")</f>
        <v>1.9291999999999998</v>
      </c>
      <c r="O172" s="378">
        <f>AVERAGE(Ashed_controlls!$K$2:$K$11)</f>
        <v>5.5147656768714146</v>
      </c>
      <c r="P172" s="257">
        <f t="shared" si="11"/>
        <v>1.8228091405617965</v>
      </c>
      <c r="Q172" s="257">
        <f>IFERROR(INDEX('Both teabags AfterDry'!$D$2:$D$2000,MATCH(L172,'Both teabags AfterDry'!$A$2:$A$2000,0)),"")</f>
        <v>0.75890000000000002</v>
      </c>
      <c r="R172" s="257">
        <f>IFERROR(IF(Q172&gt;0,Q172-(TBIcalc!$Q$9),""),"")</f>
        <v>0.60830000000000006</v>
      </c>
      <c r="S172" s="268">
        <f>IFERROR(INDEX('Ashed teabags dry'!$K$2:$K$2000,MATCH(L172,'Ashed teabags dry'!$A$2:$A$2000,0)),"")</f>
        <v>19.04525111884687</v>
      </c>
      <c r="T172" s="268">
        <f t="shared" si="12"/>
        <v>0.49244773744405457</v>
      </c>
      <c r="U172" s="258">
        <f>IF('Dry_Litterbag Placem_Collection'!E173="","",'Dry_Litterbag Placem_Collection'!E173)</f>
        <v>42940</v>
      </c>
      <c r="V172" s="258">
        <f>IF('Dry_Litterbag Placem_Collection'!G173="","",'Dry_Litterbag Placem_Collection'!G173)</f>
        <v>43009</v>
      </c>
      <c r="W172" s="259">
        <f t="shared" si="10"/>
        <v>69</v>
      </c>
      <c r="X172" s="257">
        <f t="shared" si="13"/>
        <v>1.3208999999999997</v>
      </c>
      <c r="Y172" s="257">
        <f t="shared" si="14"/>
        <v>1.330361403117742</v>
      </c>
      <c r="Z172" s="261">
        <f>IFERROR(INDEX([3]Rainfall_Dry!$O$2:$O$217,MATCH(C172, [3]Rainfall_Dry!$A$2:$A$217,0)),"")</f>
        <v>162.634207253</v>
      </c>
      <c r="AA172" s="250">
        <v>23.96</v>
      </c>
      <c r="AB172" s="250">
        <v>4.9199999999999982</v>
      </c>
      <c r="AC172" s="250">
        <v>71.12</v>
      </c>
      <c r="AD172" s="251" t="s">
        <v>2651</v>
      </c>
      <c r="AE172" s="250">
        <v>5.3091375061606696</v>
      </c>
      <c r="AF172">
        <f>IF('WetLitterbags placem_collection'!AB173="","",'WetLitterbags placem_collection'!AB173)</f>
        <v>13.4</v>
      </c>
      <c r="AG172">
        <f>IF('WetLitterbags placem_collection'!Z173="","",'WetLitterbags placem_collection'!Z173)</f>
        <v>7.6</v>
      </c>
      <c r="AH172" s="236" t="str">
        <f>IF('WetLitterbags placem_collection'!AA173="","",'WetLitterbags placem_collection'!AA173)</f>
        <v>O</v>
      </c>
      <c r="AI172">
        <f>IF('WetLitterbags placem_collection'!AC173="","",'WetLitterbags placem_collection'!AC173)</f>
        <v>1</v>
      </c>
      <c r="AJ172">
        <f>IFERROR(AVERAGE('Dry_Litterbag Placem_Collection'!O173,'Dry_Litterbag Placem_Collection'!R173),"")</f>
        <v>5.6</v>
      </c>
      <c r="AK172" s="261">
        <f>IFERROR(AVERAGE('Dry_Litterbag Placem_Collection'!N173,'Dry_Litterbag Placem_Collection'!Q173),"")</f>
        <v>33</v>
      </c>
      <c r="AL172" s="260">
        <f>INDEX([2]Coordinates!$B$2:$B$197,MATCH(I172,[2]Coordinates!$J$2:$J$197,0))</f>
        <v>-2.2785389889999998</v>
      </c>
      <c r="AM172" s="260">
        <f>INDEX([2]Coordinates!$C$2:$C$197,MATCH(I172,[2]Coordinates!$J$2:$J$197,0))</f>
        <v>34.024371039999998</v>
      </c>
      <c r="AN172" s="260" t="str">
        <f>IF(ISNUMBER(SEARCH("C", 'Dry_Litterbag Placem_Collection'!S173)),"YES","NO")</f>
        <v>NO</v>
      </c>
      <c r="AO172" s="260" t="str">
        <f>IF(ISNUMBER(SEARCH("H", 'Dry_Litterbag Placem_Collection'!S173)),"YES","NO")</f>
        <v>NO</v>
      </c>
      <c r="AP172" s="260" t="str">
        <f>IF(ISNUMBER(SEARCH("R", 'Dry_Litterbag Placem_Collection'!S173)),"YES","NO")</f>
        <v>YES</v>
      </c>
    </row>
    <row r="173" spans="1:42" ht="15" customHeight="1">
      <c r="A173" t="s">
        <v>3248</v>
      </c>
      <c r="B173" s="252" t="s">
        <v>2643</v>
      </c>
      <c r="C173" s="253">
        <f>'Dry_Litterbag Placem_Collection'!A174</f>
        <v>172</v>
      </c>
      <c r="D173" s="253" t="str">
        <f>'Dry_Litterbag Placem_Collection'!B174</f>
        <v>Handajega</v>
      </c>
      <c r="E173" s="253" t="s">
        <v>2454</v>
      </c>
      <c r="F173" s="253" t="s">
        <v>2645</v>
      </c>
      <c r="G173" s="253">
        <v>2</v>
      </c>
      <c r="H173" s="253" t="s">
        <v>3128</v>
      </c>
      <c r="I173" s="254" t="str">
        <f>'Dry_Litterbag Placem_Collection'!C174</f>
        <v>Wet_W2_T4</v>
      </c>
      <c r="J173" s="255" t="s">
        <v>2525</v>
      </c>
      <c r="K173" s="256" t="s">
        <v>1147</v>
      </c>
      <c r="L173" s="253" t="str">
        <f>IF(ISBLANK('Dry_Litterbag Placem_Collection'!J174),"","G"&amp;""&amp;'Dry_Litterbag Placem_Collection'!J174)</f>
        <v/>
      </c>
      <c r="M173" s="257" t="str">
        <f>IFERROR(INDEX('Green_rooibos initial weight'!$C$5:$C$2000,MATCH(L173, 'Green_rooibos initial weight'!$A$5:$A$2000,0)),"")</f>
        <v/>
      </c>
      <c r="N173" s="257" t="str">
        <f>IFERROR(M173-(TBIcalc!$Q$9+TBIcalc!$Q$10),"")</f>
        <v/>
      </c>
      <c r="O173" s="378">
        <f>AVERAGE(Ashed_controlls!$K$2:$K$11)</f>
        <v>5.5147656768714146</v>
      </c>
      <c r="P173" s="257" t="str">
        <f t="shared" si="11"/>
        <v/>
      </c>
      <c r="Q173" s="257" t="str">
        <f>IFERROR(INDEX('Both teabags AfterDry'!$D$2:$D$2000,MATCH(L173,'Both teabags AfterDry'!$A$2:$A$2000,0)),"")</f>
        <v/>
      </c>
      <c r="R173" s="257" t="str">
        <f>IFERROR(IF(Q173&gt;0,Q173-(TBIcalc!$Q$9),""),"")</f>
        <v/>
      </c>
      <c r="S173" s="268" t="str">
        <f>IFERROR(INDEX('Ashed teabags dry'!$K$2:$K$2000,MATCH(L173,'Ashed teabags dry'!$A$2:$A$2000,0)),"")</f>
        <v/>
      </c>
      <c r="T173" s="268" t="str">
        <f t="shared" si="12"/>
        <v/>
      </c>
      <c r="U173" s="258" t="str">
        <f>IF('Dry_Litterbag Placem_Collection'!E174="","",'Dry_Litterbag Placem_Collection'!E174)</f>
        <v/>
      </c>
      <c r="V173" s="258" t="str">
        <f>IF('Dry_Litterbag Placem_Collection'!G174="","",'Dry_Litterbag Placem_Collection'!G174)</f>
        <v/>
      </c>
      <c r="W173" s="259" t="str">
        <f t="shared" si="10"/>
        <v/>
      </c>
      <c r="X173" s="257" t="str">
        <f t="shared" si="13"/>
        <v/>
      </c>
      <c r="Y173" s="257" t="str">
        <f t="shared" si="14"/>
        <v/>
      </c>
      <c r="Z173" s="261" t="str">
        <f>IFERROR(INDEX([3]Rainfall_Dry!$O$2:$O$217,MATCH(C173, [3]Rainfall_Dry!$A$2:$A$217,0)),"")</f>
        <v/>
      </c>
      <c r="AA173" s="250">
        <v>23.96</v>
      </c>
      <c r="AB173" s="250">
        <v>4.9199999999999982</v>
      </c>
      <c r="AC173" s="250">
        <v>71.12</v>
      </c>
      <c r="AD173" s="251" t="s">
        <v>2651</v>
      </c>
      <c r="AE173" s="250">
        <v>6.3091375061606696</v>
      </c>
      <c r="AF173">
        <f>IF('WetLitterbags placem_collection'!AB174="","",'WetLitterbags placem_collection'!AB174)</f>
        <v>3.3</v>
      </c>
      <c r="AG173">
        <f>IF('WetLitterbags placem_collection'!Z174="","",'WetLitterbags placem_collection'!Z174)</f>
        <v>28.4</v>
      </c>
      <c r="AH173" s="236" t="str">
        <f>IF('WetLitterbags placem_collection'!AA174="","",'WetLitterbags placem_collection'!AA174)</f>
        <v>G</v>
      </c>
      <c r="AI173">
        <f>IF('WetLitterbags placem_collection'!AC174="","",'WetLitterbags placem_collection'!AC174)</f>
        <v>1</v>
      </c>
      <c r="AJ173" t="str">
        <f>IFERROR(AVERAGE('Dry_Litterbag Placem_Collection'!O174,'Dry_Litterbag Placem_Collection'!R174),"")</f>
        <v/>
      </c>
      <c r="AK173" s="261" t="str">
        <f>IFERROR(AVERAGE('Dry_Litterbag Placem_Collection'!N174,'Dry_Litterbag Placem_Collection'!Q174),"")</f>
        <v/>
      </c>
      <c r="AL173" s="260">
        <f>INDEX([2]Coordinates!$B$2:$B$197,MATCH(I173,[2]Coordinates!$J$2:$J$197,0))</f>
        <v>-2.2781410160000002</v>
      </c>
      <c r="AM173" s="260">
        <f>INDEX([2]Coordinates!$C$2:$C$197,MATCH(I173,[2]Coordinates!$J$2:$J$197,0))</f>
        <v>34.024136009999999</v>
      </c>
      <c r="AN173" s="260" t="str">
        <f>IF(ISNUMBER(SEARCH("C", 'Dry_Litterbag Placem_Collection'!S174)),"YES","NO")</f>
        <v>NO</v>
      </c>
      <c r="AO173" s="260" t="str">
        <f>IF(ISNUMBER(SEARCH("H", 'Dry_Litterbag Placem_Collection'!S174)),"YES","NO")</f>
        <v>NO</v>
      </c>
      <c r="AP173" s="260" t="str">
        <f>IF(ISNUMBER(SEARCH("R", 'Dry_Litterbag Placem_Collection'!S174)),"YES","NO")</f>
        <v>NO</v>
      </c>
    </row>
    <row r="174" spans="1:42" ht="15" customHeight="1">
      <c r="A174" t="s">
        <v>3248</v>
      </c>
      <c r="B174" s="252" t="s">
        <v>2643</v>
      </c>
      <c r="C174" s="253">
        <f>'Dry_Litterbag Placem_Collection'!A175</f>
        <v>173</v>
      </c>
      <c r="D174" s="253" t="str">
        <f>'Dry_Litterbag Placem_Collection'!B175</f>
        <v>Handajega</v>
      </c>
      <c r="E174" s="253" t="s">
        <v>2454</v>
      </c>
      <c r="F174" s="253" t="s">
        <v>2645</v>
      </c>
      <c r="G174" s="253">
        <v>2</v>
      </c>
      <c r="H174" s="253" t="s">
        <v>3128</v>
      </c>
      <c r="I174" s="254" t="str">
        <f>'Dry_Litterbag Placem_Collection'!C175</f>
        <v>Wet_W2_T5</v>
      </c>
      <c r="J174" s="255" t="s">
        <v>2525</v>
      </c>
      <c r="K174" s="256" t="s">
        <v>1147</v>
      </c>
      <c r="L174" s="253" t="str">
        <f>IF(ISBLANK('Dry_Litterbag Placem_Collection'!J175),"","G"&amp;""&amp;'Dry_Litterbag Placem_Collection'!J175)</f>
        <v>G597</v>
      </c>
      <c r="M174" s="257">
        <f>IFERROR(INDEX('Green_rooibos initial weight'!$C$5:$C$2000,MATCH(L174, 'Green_rooibos initial weight'!$A$5:$A$2000,0)),"")</f>
        <v>1.948</v>
      </c>
      <c r="N174" s="257">
        <f>IFERROR(M174-(TBIcalc!$Q$9+TBIcalc!$Q$10),"")</f>
        <v>1.6981999999999999</v>
      </c>
      <c r="O174" s="378">
        <f>AVERAGE(Ashed_controlls!$K$2:$K$11)</f>
        <v>5.5147656768714146</v>
      </c>
      <c r="P174" s="257">
        <f t="shared" si="11"/>
        <v>1.6045482492753695</v>
      </c>
      <c r="Q174" s="257" t="str">
        <f>IFERROR(INDEX('Both teabags AfterDry'!$D$2:$D$2000,MATCH(L174,'Both teabags AfterDry'!$A$2:$A$2000,0)),"")</f>
        <v/>
      </c>
      <c r="R174" s="257" t="str">
        <f>IFERROR(IF(Q174&gt;0,Q174-(TBIcalc!$Q$9),""),"")</f>
        <v/>
      </c>
      <c r="S174" s="268" t="str">
        <f>IFERROR(INDEX('Ashed teabags dry'!$K$2:$K$2000,MATCH(L174,'Ashed teabags dry'!$A$2:$A$2000,0)),"")</f>
        <v/>
      </c>
      <c r="T174" s="268" t="str">
        <f t="shared" si="12"/>
        <v/>
      </c>
      <c r="U174" s="258">
        <f>IF('Dry_Litterbag Placem_Collection'!E175="","",'Dry_Litterbag Placem_Collection'!E175)</f>
        <v>42940</v>
      </c>
      <c r="V174" s="258">
        <f>IF('Dry_Litterbag Placem_Collection'!G175="","",'Dry_Litterbag Placem_Collection'!G175)</f>
        <v>43009</v>
      </c>
      <c r="W174" s="259">
        <f t="shared" si="10"/>
        <v>69</v>
      </c>
      <c r="X174" s="257" t="str">
        <f t="shared" si="13"/>
        <v/>
      </c>
      <c r="Y174" s="257" t="str">
        <f t="shared" si="14"/>
        <v/>
      </c>
      <c r="Z174" s="261">
        <f>IFERROR(INDEX([3]Rainfall_Dry!$O$2:$O$217,MATCH(C174, [3]Rainfall_Dry!$A$2:$A$217,0)),"")</f>
        <v>162.634207253</v>
      </c>
      <c r="AA174" s="250">
        <v>23.96</v>
      </c>
      <c r="AB174" s="250">
        <v>4.9199999999999982</v>
      </c>
      <c r="AC174" s="250">
        <v>71.12</v>
      </c>
      <c r="AD174" s="251" t="s">
        <v>2651</v>
      </c>
      <c r="AE174" s="250">
        <v>7.3091375061606696</v>
      </c>
      <c r="AF174">
        <f>IF('WetLitterbags placem_collection'!AB175="","",'WetLitterbags placem_collection'!AB175)</f>
        <v>15.4</v>
      </c>
      <c r="AG174">
        <f>IF('WetLitterbags placem_collection'!Z175="","",'WetLitterbags placem_collection'!Z175)</f>
        <v>12.4</v>
      </c>
      <c r="AH174" s="236" t="str">
        <f>IF('WetLitterbags placem_collection'!AA175="","",'WetLitterbags placem_collection'!AA175)</f>
        <v>O</v>
      </c>
      <c r="AI174">
        <f>IF('WetLitterbags placem_collection'!AC175="","",'WetLitterbags placem_collection'!AC175)</f>
        <v>0</v>
      </c>
      <c r="AJ174">
        <f>IFERROR(AVERAGE('Dry_Litterbag Placem_Collection'!O175,'Dry_Litterbag Placem_Collection'!R175),"")</f>
        <v>6.3</v>
      </c>
      <c r="AK174" s="261">
        <f>IFERROR(AVERAGE('Dry_Litterbag Placem_Collection'!N175,'Dry_Litterbag Placem_Collection'!Q175),"")</f>
        <v>34.049999999999997</v>
      </c>
      <c r="AL174" s="260">
        <f>INDEX([2]Coordinates!$B$2:$B$197,MATCH(I174,[2]Coordinates!$J$2:$J$197,0))</f>
        <v>-2.27856799</v>
      </c>
      <c r="AM174" s="260">
        <f>INDEX([2]Coordinates!$C$2:$C$197,MATCH(I174,[2]Coordinates!$J$2:$J$197,0))</f>
        <v>34.023969970000003</v>
      </c>
      <c r="AN174" s="260" t="str">
        <f>IF(ISNUMBER(SEARCH("C", 'Dry_Litterbag Placem_Collection'!S175)),"YES","NO")</f>
        <v>NO</v>
      </c>
      <c r="AO174" s="260" t="str">
        <f>IF(ISNUMBER(SEARCH("H", 'Dry_Litterbag Placem_Collection'!S175)),"YES","NO")</f>
        <v>YES</v>
      </c>
      <c r="AP174" s="260" t="str">
        <f>IF(ISNUMBER(SEARCH("R", 'Dry_Litterbag Placem_Collection'!S175)),"YES","NO")</f>
        <v>YES</v>
      </c>
    </row>
    <row r="175" spans="1:42" ht="15" customHeight="1">
      <c r="A175" t="s">
        <v>3248</v>
      </c>
      <c r="B175" s="252" t="s">
        <v>2643</v>
      </c>
      <c r="C175" s="253">
        <f>'Dry_Litterbag Placem_Collection'!A176</f>
        <v>174</v>
      </c>
      <c r="D175" s="253" t="str">
        <f>'Dry_Litterbag Placem_Collection'!B176</f>
        <v>Handajega</v>
      </c>
      <c r="E175" s="253" t="s">
        <v>2454</v>
      </c>
      <c r="F175" s="253" t="s">
        <v>2645</v>
      </c>
      <c r="G175" s="253">
        <v>2</v>
      </c>
      <c r="H175" s="253" t="s">
        <v>3128</v>
      </c>
      <c r="I175" s="254" t="str">
        <f>'Dry_Litterbag Placem_Collection'!C176</f>
        <v>Wet_W2_T6</v>
      </c>
      <c r="J175" s="255" t="s">
        <v>2525</v>
      </c>
      <c r="K175" s="256" t="s">
        <v>1147</v>
      </c>
      <c r="L175" s="253" t="str">
        <f>IF(ISBLANK('Dry_Litterbag Placem_Collection'!J176),"","G"&amp;""&amp;'Dry_Litterbag Placem_Collection'!J176)</f>
        <v>G396</v>
      </c>
      <c r="M175" s="257">
        <f>IFERROR(INDEX('Green_rooibos initial weight'!$C$5:$C$2000,MATCH(L175, 'Green_rooibos initial weight'!$A$5:$A$2000,0)),"")</f>
        <v>2.0070000000000001</v>
      </c>
      <c r="N175" s="257">
        <f>IFERROR(M175-(TBIcalc!$Q$9+TBIcalc!$Q$10),"")</f>
        <v>1.7572000000000001</v>
      </c>
      <c r="O175" s="378">
        <f>AVERAGE(Ashed_controlls!$K$2:$K$11)</f>
        <v>5.5147656768714146</v>
      </c>
      <c r="P175" s="257">
        <f t="shared" si="11"/>
        <v>1.6602945375260156</v>
      </c>
      <c r="Q175" s="257">
        <f>IFERROR(INDEX('Both teabags AfterDry'!$D$2:$D$2000,MATCH(L175,'Both teabags AfterDry'!$A$2:$A$2000,0)),"")</f>
        <v>0.80349999999999999</v>
      </c>
      <c r="R175" s="257">
        <f>IFERROR(IF(Q175&gt;0,Q175-(TBIcalc!$Q$9),""),"")</f>
        <v>0.65290000000000004</v>
      </c>
      <c r="S175" s="268">
        <f>IFERROR(INDEX('Ashed teabags dry'!$K$2:$K$2000,MATCH(L175,'Ashed teabags dry'!$A$2:$A$2000,0)),"")</f>
        <v>24.860074626865973</v>
      </c>
      <c r="T175" s="268">
        <f t="shared" si="12"/>
        <v>0.49058857276119205</v>
      </c>
      <c r="U175" s="258">
        <f>IF('Dry_Litterbag Placem_Collection'!E176="","",'Dry_Litterbag Placem_Collection'!E176)</f>
        <v>42940</v>
      </c>
      <c r="V175" s="258">
        <f>IF('Dry_Litterbag Placem_Collection'!G176="","",'Dry_Litterbag Placem_Collection'!G176)</f>
        <v>43009</v>
      </c>
      <c r="W175" s="259">
        <f t="shared" si="10"/>
        <v>69</v>
      </c>
      <c r="X175" s="257">
        <f t="shared" si="13"/>
        <v>1.1043000000000001</v>
      </c>
      <c r="Y175" s="257">
        <f t="shared" si="14"/>
        <v>1.1697059647648236</v>
      </c>
      <c r="Z175" s="261">
        <f>IFERROR(INDEX([3]Rainfall_Dry!$O$2:$O$217,MATCH(C175, [3]Rainfall_Dry!$A$2:$A$217,0)),"")</f>
        <v>162.634207253</v>
      </c>
      <c r="AA175" s="250">
        <v>23.96</v>
      </c>
      <c r="AB175" s="250">
        <v>4.9199999999999982</v>
      </c>
      <c r="AC175" s="250">
        <v>71.12</v>
      </c>
      <c r="AD175" s="251" t="s">
        <v>2651</v>
      </c>
      <c r="AE175" s="250">
        <v>8.3091375061606705</v>
      </c>
      <c r="AF175">
        <f>IF('WetLitterbags placem_collection'!AB176="","",'WetLitterbags placem_collection'!AB176)</f>
        <v>7.4</v>
      </c>
      <c r="AG175">
        <f>IF('WetLitterbags placem_collection'!Z176="","",'WetLitterbags placem_collection'!Z176)</f>
        <v>7.4</v>
      </c>
      <c r="AH175" s="236" t="str">
        <f>IF('WetLitterbags placem_collection'!AA176="","",'WetLitterbags placem_collection'!AA176)</f>
        <v>O</v>
      </c>
      <c r="AI175">
        <f>IF('WetLitterbags placem_collection'!AC176="","",'WetLitterbags placem_collection'!AC176)</f>
        <v>0</v>
      </c>
      <c r="AJ175">
        <f>IFERROR(AVERAGE('Dry_Litterbag Placem_Collection'!O176,'Dry_Litterbag Placem_Collection'!R176),"")</f>
        <v>5.9</v>
      </c>
      <c r="AK175" s="261">
        <f>IFERROR(AVERAGE('Dry_Litterbag Placem_Collection'!N176,'Dry_Litterbag Placem_Collection'!Q176),"")</f>
        <v>33.200000000000003</v>
      </c>
      <c r="AL175" s="260">
        <f>INDEX([2]Coordinates!$B$2:$B$197,MATCH(I175,[2]Coordinates!$J$2:$J$197,0))</f>
        <v>-2.2786809780000001</v>
      </c>
      <c r="AM175" s="260">
        <f>INDEX([2]Coordinates!$C$2:$C$197,MATCH(I175,[2]Coordinates!$J$2:$J$197,0))</f>
        <v>34.02434899</v>
      </c>
      <c r="AN175" s="260" t="str">
        <f>IF(ISNUMBER(SEARCH("C", 'Dry_Litterbag Placem_Collection'!S176)),"YES","NO")</f>
        <v>NO</v>
      </c>
      <c r="AO175" s="260" t="str">
        <f>IF(ISNUMBER(SEARCH("H", 'Dry_Litterbag Placem_Collection'!S176)),"YES","NO")</f>
        <v>YES</v>
      </c>
      <c r="AP175" s="260" t="str">
        <f>IF(ISNUMBER(SEARCH("R", 'Dry_Litterbag Placem_Collection'!S176)),"YES","NO")</f>
        <v>YES</v>
      </c>
    </row>
    <row r="176" spans="1:42" ht="15" customHeight="1">
      <c r="A176" t="s">
        <v>3248</v>
      </c>
      <c r="B176" s="252" t="s">
        <v>2643</v>
      </c>
      <c r="C176" s="253">
        <f>'Dry_Litterbag Placem_Collection'!A177</f>
        <v>175</v>
      </c>
      <c r="D176" s="253" t="str">
        <f>'Dry_Litterbag Placem_Collection'!B177</f>
        <v>Handajega</v>
      </c>
      <c r="E176" s="253" t="s">
        <v>2454</v>
      </c>
      <c r="F176" s="253" t="s">
        <v>2645</v>
      </c>
      <c r="G176" s="253">
        <v>2</v>
      </c>
      <c r="H176" s="253" t="s">
        <v>3128</v>
      </c>
      <c r="I176" s="254" t="str">
        <f>'Dry_Litterbag Placem_Collection'!C177</f>
        <v>Wet_W2_T7</v>
      </c>
      <c r="J176" s="255" t="s">
        <v>2525</v>
      </c>
      <c r="K176" s="256" t="s">
        <v>1147</v>
      </c>
      <c r="L176" s="253" t="str">
        <f>IF(ISBLANK('Dry_Litterbag Placem_Collection'!J177),"","G"&amp;""&amp;'Dry_Litterbag Placem_Collection'!J177)</f>
        <v>G612</v>
      </c>
      <c r="M176" s="257">
        <f>IFERROR(INDEX('Green_rooibos initial weight'!$C$5:$C$2000,MATCH(L176, 'Green_rooibos initial weight'!$A$5:$A$2000,0)),"")</f>
        <v>2.004</v>
      </c>
      <c r="N176" s="257">
        <f>IFERROR(M176-(TBIcalc!$Q$9+TBIcalc!$Q$10),"")</f>
        <v>1.7542</v>
      </c>
      <c r="O176" s="378">
        <f>AVERAGE(Ashed_controlls!$K$2:$K$11)</f>
        <v>5.5147656768714146</v>
      </c>
      <c r="P176" s="257">
        <f t="shared" si="11"/>
        <v>1.6574599804963217</v>
      </c>
      <c r="Q176" s="257">
        <f>IFERROR(INDEX('Both teabags AfterDry'!$D$2:$D$2000,MATCH(L176,'Both teabags AfterDry'!$A$2:$A$2000,0)),"")</f>
        <v>0.83</v>
      </c>
      <c r="R176" s="257">
        <f>IFERROR(IF(Q176&gt;0,Q176-(TBIcalc!$Q$9),""),"")</f>
        <v>0.6794</v>
      </c>
      <c r="S176" s="268">
        <f>IFERROR(INDEX('Ashed teabags dry'!$K$2:$K$2000,MATCH(L176,'Ashed teabags dry'!$A$2:$A$2000,0)),"")</f>
        <v>28.902765388045704</v>
      </c>
      <c r="T176" s="268">
        <f t="shared" si="12"/>
        <v>0.48303461195361752</v>
      </c>
      <c r="U176" s="258">
        <f>IF('Dry_Litterbag Placem_Collection'!E177="","",'Dry_Litterbag Placem_Collection'!E177)</f>
        <v>42940</v>
      </c>
      <c r="V176" s="258">
        <f>IF('Dry_Litterbag Placem_Collection'!G177="","",'Dry_Litterbag Placem_Collection'!G177)</f>
        <v>43009</v>
      </c>
      <c r="W176" s="259">
        <f t="shared" si="10"/>
        <v>69</v>
      </c>
      <c r="X176" s="257">
        <f t="shared" si="13"/>
        <v>1.0748</v>
      </c>
      <c r="Y176" s="257">
        <f t="shared" si="14"/>
        <v>1.1744253685427042</v>
      </c>
      <c r="Z176" s="261">
        <f>IFERROR(INDEX([3]Rainfall_Dry!$O$2:$O$217,MATCH(C176, [3]Rainfall_Dry!$A$2:$A$217,0)),"")</f>
        <v>162.634207253</v>
      </c>
      <c r="AA176" s="250">
        <v>23.96</v>
      </c>
      <c r="AB176" s="250">
        <v>4.9199999999999982</v>
      </c>
      <c r="AC176" s="250">
        <v>71.12</v>
      </c>
      <c r="AD176" s="251" t="s">
        <v>2651</v>
      </c>
      <c r="AE176" s="250">
        <v>9.3091375061606705</v>
      </c>
      <c r="AF176">
        <f>IF('WetLitterbags placem_collection'!AB177="","",'WetLitterbags placem_collection'!AB177)</f>
        <v>15.4</v>
      </c>
      <c r="AG176">
        <f>IF('WetLitterbags placem_collection'!Z177="","",'WetLitterbags placem_collection'!Z177)</f>
        <v>9.8000000000000007</v>
      </c>
      <c r="AH176" s="236" t="str">
        <f>IF('WetLitterbags placem_collection'!AA177="","",'WetLitterbags placem_collection'!AA177)</f>
        <v>O</v>
      </c>
      <c r="AI176">
        <f>IF('WetLitterbags placem_collection'!AC177="","",'WetLitterbags placem_collection'!AC177)</f>
        <v>1</v>
      </c>
      <c r="AJ176">
        <f>IFERROR(AVERAGE('Dry_Litterbag Placem_Collection'!O177,'Dry_Litterbag Placem_Collection'!R177),"")</f>
        <v>5.9499999999999993</v>
      </c>
      <c r="AK176" s="261">
        <f>IFERROR(AVERAGE('Dry_Litterbag Placem_Collection'!N177,'Dry_Litterbag Placem_Collection'!Q177),"")</f>
        <v>34.049999999999997</v>
      </c>
      <c r="AL176" s="260">
        <f>INDEX([2]Coordinates!$B$2:$B$197,MATCH(I176,[2]Coordinates!$J$2:$J$197,0))</f>
        <v>-2.2784219779999999</v>
      </c>
      <c r="AM176" s="260">
        <f>INDEX([2]Coordinates!$C$2:$C$197,MATCH(I176,[2]Coordinates!$J$2:$J$197,0))</f>
        <v>34.024374979999997</v>
      </c>
      <c r="AN176" s="260" t="str">
        <f>IF(ISNUMBER(SEARCH("C", 'Dry_Litterbag Placem_Collection'!S177)),"YES","NO")</f>
        <v>NO</v>
      </c>
      <c r="AO176" s="260" t="str">
        <f>IF(ISNUMBER(SEARCH("H", 'Dry_Litterbag Placem_Collection'!S177)),"YES","NO")</f>
        <v>YES</v>
      </c>
      <c r="AP176" s="260" t="str">
        <f>IF(ISNUMBER(SEARCH("R", 'Dry_Litterbag Placem_Collection'!S177)),"YES","NO")</f>
        <v>YES</v>
      </c>
    </row>
    <row r="177" spans="1:42" ht="15" customHeight="1">
      <c r="A177" t="s">
        <v>3248</v>
      </c>
      <c r="B177" s="252" t="s">
        <v>2643</v>
      </c>
      <c r="C177" s="253">
        <f>'Dry_Litterbag Placem_Collection'!A178</f>
        <v>176</v>
      </c>
      <c r="D177" s="253" t="str">
        <f>'Dry_Litterbag Placem_Collection'!B178</f>
        <v>Handajega</v>
      </c>
      <c r="E177" s="253" t="s">
        <v>2454</v>
      </c>
      <c r="F177" s="253" t="s">
        <v>2645</v>
      </c>
      <c r="G177" s="253">
        <v>2</v>
      </c>
      <c r="H177" s="253" t="s">
        <v>3128</v>
      </c>
      <c r="I177" s="254" t="str">
        <f>'Dry_Litterbag Placem_Collection'!C178</f>
        <v>Wet_W2_T8</v>
      </c>
      <c r="J177" s="255" t="s">
        <v>2525</v>
      </c>
      <c r="K177" s="256" t="s">
        <v>1147</v>
      </c>
      <c r="L177" s="253" t="str">
        <f>IF(ISBLANK('Dry_Litterbag Placem_Collection'!J178),"","G"&amp;""&amp;'Dry_Litterbag Placem_Collection'!J178)</f>
        <v>G183</v>
      </c>
      <c r="M177" s="257">
        <f>IFERROR(INDEX('Green_rooibos initial weight'!$C$5:$C$2000,MATCH(L177, 'Green_rooibos initial weight'!$A$5:$A$2000,0)),"")</f>
        <v>1.897</v>
      </c>
      <c r="N177" s="257">
        <f>IFERROR(M177-(TBIcalc!$Q$9+TBIcalc!$Q$10),"")</f>
        <v>1.6472</v>
      </c>
      <c r="O177" s="378">
        <f>AVERAGE(Ashed_controlls!$K$2:$K$11)</f>
        <v>5.5147656768714146</v>
      </c>
      <c r="P177" s="257">
        <f t="shared" si="11"/>
        <v>1.5563607797705741</v>
      </c>
      <c r="Q177" s="257">
        <f>IFERROR(INDEX('Both teabags AfterDry'!$D$2:$D$2000,MATCH(L177,'Both teabags AfterDry'!$A$2:$A$2000,0)),"")</f>
        <v>0.92459999999999998</v>
      </c>
      <c r="R177" s="257">
        <f>IFERROR(IF(Q177&gt;0,Q177-(TBIcalc!$Q$9),""),"")</f>
        <v>0.77400000000000002</v>
      </c>
      <c r="S177" s="268">
        <f>IFERROR(INDEX('Ashed teabags dry'!$K$2:$K$2000,MATCH(L177,'Ashed teabags dry'!$A$2:$A$2000,0)),"")</f>
        <v>36.390532544378914</v>
      </c>
      <c r="T177" s="268">
        <f t="shared" si="12"/>
        <v>0.49233727810650724</v>
      </c>
      <c r="U177" s="258">
        <f>IF('Dry_Litterbag Placem_Collection'!E178="","",'Dry_Litterbag Placem_Collection'!E178)</f>
        <v>42940</v>
      </c>
      <c r="V177" s="258">
        <f>IF('Dry_Litterbag Placem_Collection'!G178="","",'Dry_Litterbag Placem_Collection'!G178)</f>
        <v>43009</v>
      </c>
      <c r="W177" s="259">
        <f t="shared" si="10"/>
        <v>69</v>
      </c>
      <c r="X177" s="257">
        <f t="shared" si="13"/>
        <v>0.87319999999999998</v>
      </c>
      <c r="Y177" s="257">
        <f t="shared" si="14"/>
        <v>1.0640235016640669</v>
      </c>
      <c r="Z177" s="261">
        <f>IFERROR(INDEX([3]Rainfall_Dry!$O$2:$O$217,MATCH(C177, [3]Rainfall_Dry!$A$2:$A$217,0)),"")</f>
        <v>162.634207253</v>
      </c>
      <c r="AA177" s="250">
        <v>23.96</v>
      </c>
      <c r="AB177" s="250">
        <v>4.9199999999999982</v>
      </c>
      <c r="AC177" s="250">
        <v>71.12</v>
      </c>
      <c r="AD177" s="251" t="s">
        <v>2651</v>
      </c>
      <c r="AE177" s="250">
        <v>10.309137506160701</v>
      </c>
      <c r="AF177">
        <f>IF('WetLitterbags placem_collection'!AB178="","",'WetLitterbags placem_collection'!AB178)</f>
        <v>6.8</v>
      </c>
      <c r="AG177">
        <f>IF('WetLitterbags placem_collection'!Z178="","",'WetLitterbags placem_collection'!Z178)</f>
        <v>6.9</v>
      </c>
      <c r="AH177" s="236" t="str">
        <f>IF('WetLitterbags placem_collection'!AA178="","",'WetLitterbags placem_collection'!AA178)</f>
        <v>O</v>
      </c>
      <c r="AI177">
        <f>IF('WetLitterbags placem_collection'!AC178="","",'WetLitterbags placem_collection'!AC178)</f>
        <v>0</v>
      </c>
      <c r="AJ177">
        <f>IFERROR(AVERAGE('Dry_Litterbag Placem_Collection'!O178,'Dry_Litterbag Placem_Collection'!R178),"")</f>
        <v>4.5999999999999996</v>
      </c>
      <c r="AK177" s="261">
        <f>IFERROR(AVERAGE('Dry_Litterbag Placem_Collection'!N178,'Dry_Litterbag Placem_Collection'!Q178),"")</f>
        <v>34.5</v>
      </c>
      <c r="AL177" s="260">
        <f>INDEX([2]Coordinates!$B$2:$B$197,MATCH(I177,[2]Coordinates!$J$2:$J$197,0))</f>
        <v>-2.2782909679999999</v>
      </c>
      <c r="AM177" s="260">
        <f>INDEX([2]Coordinates!$C$2:$C$197,MATCH(I177,[2]Coordinates!$J$2:$J$197,0))</f>
        <v>34.024574970000003</v>
      </c>
      <c r="AN177" s="260" t="str">
        <f>IF(ISNUMBER(SEARCH("C", 'Dry_Litterbag Placem_Collection'!S178)),"YES","NO")</f>
        <v>NO</v>
      </c>
      <c r="AO177" s="260" t="str">
        <f>IF(ISNUMBER(SEARCH("H", 'Dry_Litterbag Placem_Collection'!S178)),"YES","NO")</f>
        <v>YES</v>
      </c>
      <c r="AP177" s="260" t="str">
        <f>IF(ISNUMBER(SEARCH("R", 'Dry_Litterbag Placem_Collection'!S178)),"YES","NO")</f>
        <v>YES</v>
      </c>
    </row>
    <row r="178" spans="1:42" ht="15" customHeight="1">
      <c r="A178" t="s">
        <v>3248</v>
      </c>
      <c r="B178" s="252" t="s">
        <v>2643</v>
      </c>
      <c r="C178" s="253">
        <f>'Dry_Litterbag Placem_Collection'!A179</f>
        <v>177</v>
      </c>
      <c r="D178" s="253" t="str">
        <f>'Dry_Litterbag Placem_Collection'!B179</f>
        <v>Handajega</v>
      </c>
      <c r="E178" s="253" t="s">
        <v>2454</v>
      </c>
      <c r="F178" s="253" t="s">
        <v>2645</v>
      </c>
      <c r="G178" s="253">
        <v>3</v>
      </c>
      <c r="H178" s="253" t="s">
        <v>3129</v>
      </c>
      <c r="I178" s="254" t="str">
        <f>'Dry_Litterbag Placem_Collection'!C179</f>
        <v>Wet_W3_T1</v>
      </c>
      <c r="J178" s="255" t="s">
        <v>2525</v>
      </c>
      <c r="K178" s="256" t="s">
        <v>1147</v>
      </c>
      <c r="L178" s="253" t="str">
        <f>IF(ISBLANK('Dry_Litterbag Placem_Collection'!J179),"","G"&amp;""&amp;'Dry_Litterbag Placem_Collection'!J179)</f>
        <v>G98</v>
      </c>
      <c r="M178" s="257">
        <f>IFERROR(INDEX('Green_rooibos initial weight'!$C$5:$C$2000,MATCH(L178, 'Green_rooibos initial weight'!$A$5:$A$2000,0)),"")</f>
        <v>2.0979999999999999</v>
      </c>
      <c r="N178" s="257">
        <f>IFERROR(M178-(TBIcalc!$Q$9+TBIcalc!$Q$10),"")</f>
        <v>1.8481999999999998</v>
      </c>
      <c r="O178" s="378">
        <f>AVERAGE(Ashed_controlls!$K$2:$K$11)</f>
        <v>5.5147656768714146</v>
      </c>
      <c r="P178" s="257">
        <f t="shared" si="11"/>
        <v>1.7462761007600625</v>
      </c>
      <c r="Q178" s="257" t="str">
        <f>IFERROR(INDEX('Both teabags AfterDry'!$D$2:$D$2000,MATCH(L178,'Both teabags AfterDry'!$A$2:$A$2000,0)),"")</f>
        <v/>
      </c>
      <c r="R178" s="257" t="str">
        <f>IFERROR(IF(Q178&gt;0,Q178-(TBIcalc!$Q$9),""),"")</f>
        <v/>
      </c>
      <c r="S178" s="268" t="str">
        <f>IFERROR(INDEX('Ashed teabags dry'!$K$2:$K$2000,MATCH(L178,'Ashed teabags dry'!$A$2:$A$2000,0)),"")</f>
        <v/>
      </c>
      <c r="T178" s="268" t="str">
        <f t="shared" si="12"/>
        <v/>
      </c>
      <c r="U178" s="258">
        <f>IF('Dry_Litterbag Placem_Collection'!E179="","",'Dry_Litterbag Placem_Collection'!E179)</f>
        <v>42940</v>
      </c>
      <c r="V178" s="258">
        <f>IF('Dry_Litterbag Placem_Collection'!G179="","",'Dry_Litterbag Placem_Collection'!G179)</f>
        <v>43009</v>
      </c>
      <c r="W178" s="259">
        <f t="shared" si="10"/>
        <v>69</v>
      </c>
      <c r="X178" s="257" t="str">
        <f t="shared" si="13"/>
        <v/>
      </c>
      <c r="Y178" s="257" t="str">
        <f t="shared" si="14"/>
        <v/>
      </c>
      <c r="Z178" s="261">
        <f>IFERROR(INDEX([3]Rainfall_Dry!$O$2:$O$217,MATCH(C178, [3]Rainfall_Dry!$A$2:$A$217,0)),"")</f>
        <v>162.634207253</v>
      </c>
      <c r="AA178" s="250">
        <v>25.96</v>
      </c>
      <c r="AB178" s="250">
        <v>8.9200000000000017</v>
      </c>
      <c r="AC178" s="250">
        <v>65.12</v>
      </c>
      <c r="AD178" s="251" t="s">
        <v>2651</v>
      </c>
      <c r="AE178" s="250">
        <v>1.614588467225234</v>
      </c>
      <c r="AF178">
        <f>IF('WetLitterbags placem_collection'!AB179="","",'WetLitterbags placem_collection'!AB179)</f>
        <v>17.8</v>
      </c>
      <c r="AG178">
        <f>IF('WetLitterbags placem_collection'!Z179="","",'WetLitterbags placem_collection'!Z179)</f>
        <v>25.8</v>
      </c>
      <c r="AH178" s="236" t="str">
        <f>IF('WetLitterbags placem_collection'!AA179="","",'WetLitterbags placem_collection'!AA179)</f>
        <v>O</v>
      </c>
      <c r="AI178">
        <f>IF('WetLitterbags placem_collection'!AC179="","",'WetLitterbags placem_collection'!AC179)</f>
        <v>0</v>
      </c>
      <c r="AJ178">
        <f>IFERROR(AVERAGE('Dry_Litterbag Placem_Collection'!O179,'Dry_Litterbag Placem_Collection'!R179),"")</f>
        <v>4.6999999999999993</v>
      </c>
      <c r="AK178" s="261">
        <f>IFERROR(AVERAGE('Dry_Litterbag Placem_Collection'!N179,'Dry_Litterbag Placem_Collection'!Q179),"")</f>
        <v>34.150000000000006</v>
      </c>
      <c r="AL178" s="260">
        <f>INDEX([2]Coordinates!$B$2:$B$197,MATCH(I178,[2]Coordinates!$J$2:$J$197,0))</f>
        <v>-2.277740026</v>
      </c>
      <c r="AM178" s="260">
        <f>INDEX([2]Coordinates!$C$2:$C$197,MATCH(I178,[2]Coordinates!$J$2:$J$197,0))</f>
        <v>34.027640990000002</v>
      </c>
      <c r="AN178" s="260" t="str">
        <f>IF(ISNUMBER(SEARCH("C", 'Dry_Litterbag Placem_Collection'!S179)),"YES","NO")</f>
        <v>NO</v>
      </c>
      <c r="AO178" s="260" t="str">
        <f>IF(ISNUMBER(SEARCH("H", 'Dry_Litterbag Placem_Collection'!S179)),"YES","NO")</f>
        <v>YES</v>
      </c>
      <c r="AP178" s="260" t="str">
        <f>IF(ISNUMBER(SEARCH("R", 'Dry_Litterbag Placem_Collection'!S179)),"YES","NO")</f>
        <v>YES</v>
      </c>
    </row>
    <row r="179" spans="1:42" ht="15" customHeight="1">
      <c r="A179" t="s">
        <v>3248</v>
      </c>
      <c r="B179" s="252" t="s">
        <v>2643</v>
      </c>
      <c r="C179" s="253">
        <f>'Dry_Litterbag Placem_Collection'!A180</f>
        <v>178</v>
      </c>
      <c r="D179" s="253" t="str">
        <f>'Dry_Litterbag Placem_Collection'!B180</f>
        <v>Handajega</v>
      </c>
      <c r="E179" s="253" t="s">
        <v>2454</v>
      </c>
      <c r="F179" s="253" t="s">
        <v>2645</v>
      </c>
      <c r="G179" s="253">
        <v>3</v>
      </c>
      <c r="H179" s="253" t="s">
        <v>3129</v>
      </c>
      <c r="I179" s="254" t="str">
        <f>'Dry_Litterbag Placem_Collection'!C180</f>
        <v>Wet_W3_T2</v>
      </c>
      <c r="J179" s="255" t="s">
        <v>2525</v>
      </c>
      <c r="K179" s="256" t="s">
        <v>1147</v>
      </c>
      <c r="L179" s="253" t="str">
        <f>IF(ISBLANK('Dry_Litterbag Placem_Collection'!J180),"","G"&amp;""&amp;'Dry_Litterbag Placem_Collection'!J180)</f>
        <v>G353</v>
      </c>
      <c r="M179" s="257">
        <f>IFERROR(INDEX('Green_rooibos initial weight'!$C$5:$C$2000,MATCH(L179, 'Green_rooibos initial weight'!$A$5:$A$2000,0)),"")</f>
        <v>1.988</v>
      </c>
      <c r="N179" s="257">
        <f>IFERROR(M179-(TBIcalc!$Q$9+TBIcalc!$Q$10),"")</f>
        <v>1.7382</v>
      </c>
      <c r="O179" s="378">
        <f>AVERAGE(Ashed_controlls!$K$2:$K$11)</f>
        <v>5.5147656768714146</v>
      </c>
      <c r="P179" s="257">
        <f t="shared" si="11"/>
        <v>1.6423423430046211</v>
      </c>
      <c r="Q179" s="257">
        <f>IFERROR(INDEX('Both teabags AfterDry'!$D$2:$D$2000,MATCH(L179,'Both teabags AfterDry'!$A$2:$A$2000,0)),"")</f>
        <v>0.80569999999999997</v>
      </c>
      <c r="R179" s="257">
        <f>IFERROR(IF(Q179&gt;0,Q179-(TBIcalc!$Q$9),""),"")</f>
        <v>0.65510000000000002</v>
      </c>
      <c r="S179" s="268">
        <f>IFERROR(INDEX('Ashed teabags dry'!$K$2:$K$2000,MATCH(L179,'Ashed teabags dry'!$A$2:$A$2000,0)),"")</f>
        <v>27.451946771808881</v>
      </c>
      <c r="T179" s="268">
        <f t="shared" si="12"/>
        <v>0.47526229669788</v>
      </c>
      <c r="U179" s="258">
        <f>IF('Dry_Litterbag Placem_Collection'!E180="","",'Dry_Litterbag Placem_Collection'!E180)</f>
        <v>42940</v>
      </c>
      <c r="V179" s="258">
        <f>IF('Dry_Litterbag Placem_Collection'!G180="","",'Dry_Litterbag Placem_Collection'!G180)</f>
        <v>43009</v>
      </c>
      <c r="W179" s="259">
        <f t="shared" si="10"/>
        <v>69</v>
      </c>
      <c r="X179" s="257">
        <f t="shared" si="13"/>
        <v>1.0831</v>
      </c>
      <c r="Y179" s="257">
        <f t="shared" si="14"/>
        <v>1.167080046306741</v>
      </c>
      <c r="Z179" s="261">
        <f>IFERROR(INDEX([3]Rainfall_Dry!$O$2:$O$217,MATCH(C179, [3]Rainfall_Dry!$A$2:$A$217,0)),"")</f>
        <v>162.634207253</v>
      </c>
      <c r="AA179" s="250">
        <v>25.96</v>
      </c>
      <c r="AB179" s="250">
        <v>8.9200000000000017</v>
      </c>
      <c r="AC179" s="250">
        <v>65.12</v>
      </c>
      <c r="AD179" s="251" t="s">
        <v>2651</v>
      </c>
      <c r="AE179" s="250">
        <v>2.61458846722523</v>
      </c>
      <c r="AF179">
        <f>IF('WetLitterbags placem_collection'!AB180="","",'WetLitterbags placem_collection'!AB180)</f>
        <v>15.4</v>
      </c>
      <c r="AG179">
        <f>IF('WetLitterbags placem_collection'!Z180="","",'WetLitterbags placem_collection'!Z180)</f>
        <v>18.8</v>
      </c>
      <c r="AH179" s="236" t="str">
        <f>IF('WetLitterbags placem_collection'!AA180="","",'WetLitterbags placem_collection'!AA180)</f>
        <v>O</v>
      </c>
      <c r="AI179">
        <f>IF('WetLitterbags placem_collection'!AC180="","",'WetLitterbags placem_collection'!AC180)</f>
        <v>1</v>
      </c>
      <c r="AJ179">
        <f>IFERROR(AVERAGE('Dry_Litterbag Placem_Collection'!O180,'Dry_Litterbag Placem_Collection'!R180),"")</f>
        <v>4.5</v>
      </c>
      <c r="AK179" s="261">
        <f>IFERROR(AVERAGE('Dry_Litterbag Placem_Collection'!N180,'Dry_Litterbag Placem_Collection'!Q180),"")</f>
        <v>35.799999999999997</v>
      </c>
      <c r="AL179" s="260">
        <f>INDEX([2]Coordinates!$B$2:$B$197,MATCH(I179,[2]Coordinates!$J$2:$J$197,0))</f>
        <v>-2.2777889760000001</v>
      </c>
      <c r="AM179" s="260">
        <f>INDEX([2]Coordinates!$C$2:$C$197,MATCH(I179,[2]Coordinates!$J$2:$J$197,0))</f>
        <v>34.027664960000003</v>
      </c>
      <c r="AN179" s="260" t="str">
        <f>IF(ISNUMBER(SEARCH("C", 'Dry_Litterbag Placem_Collection'!S180)),"YES","NO")</f>
        <v>NO</v>
      </c>
      <c r="AO179" s="260" t="str">
        <f>IF(ISNUMBER(SEARCH("H", 'Dry_Litterbag Placem_Collection'!S180)),"YES","NO")</f>
        <v>NO</v>
      </c>
      <c r="AP179" s="260" t="str">
        <f>IF(ISNUMBER(SEARCH("R", 'Dry_Litterbag Placem_Collection'!S180)),"YES","NO")</f>
        <v>YES</v>
      </c>
    </row>
    <row r="180" spans="1:42" ht="15" customHeight="1">
      <c r="A180" t="s">
        <v>3248</v>
      </c>
      <c r="B180" s="252" t="s">
        <v>2643</v>
      </c>
      <c r="C180" s="253">
        <f>'Dry_Litterbag Placem_Collection'!A181</f>
        <v>179</v>
      </c>
      <c r="D180" s="253" t="str">
        <f>'Dry_Litterbag Placem_Collection'!B181</f>
        <v>Handajega</v>
      </c>
      <c r="E180" s="253" t="s">
        <v>2454</v>
      </c>
      <c r="F180" s="253" t="s">
        <v>2645</v>
      </c>
      <c r="G180" s="253">
        <v>3</v>
      </c>
      <c r="H180" s="253" t="s">
        <v>3129</v>
      </c>
      <c r="I180" s="254" t="str">
        <f>'Dry_Litterbag Placem_Collection'!C181</f>
        <v>Wet_W3_T3</v>
      </c>
      <c r="J180" s="255" t="s">
        <v>2525</v>
      </c>
      <c r="K180" s="256" t="s">
        <v>1147</v>
      </c>
      <c r="L180" s="253" t="str">
        <f>IF(ISBLANK('Dry_Litterbag Placem_Collection'!J181),"","G"&amp;""&amp;'Dry_Litterbag Placem_Collection'!J181)</f>
        <v>G42</v>
      </c>
      <c r="M180" s="257">
        <f>IFERROR(INDEX('Green_rooibos initial weight'!$C$5:$C$2000,MATCH(L180, 'Green_rooibos initial weight'!$A$5:$A$2000,0)),"")</f>
        <v>1.9530000000000001</v>
      </c>
      <c r="N180" s="257">
        <f>IFERROR(M180-(TBIcalc!$Q$9+TBIcalc!$Q$10),"")</f>
        <v>1.7032</v>
      </c>
      <c r="O180" s="378">
        <f>AVERAGE(Ashed_controlls!$K$2:$K$11)</f>
        <v>5.5147656768714146</v>
      </c>
      <c r="P180" s="257">
        <f t="shared" si="11"/>
        <v>1.609272510991526</v>
      </c>
      <c r="Q180" s="257">
        <f>IFERROR(INDEX('Both teabags AfterDry'!$D$2:$D$2000,MATCH(L180,'Both teabags AfterDry'!$A$2:$A$2000,0)),"")</f>
        <v>1.0448</v>
      </c>
      <c r="R180" s="257">
        <f>IFERROR(IF(Q180&gt;0,Q180-(TBIcalc!$Q$9),""),"")</f>
        <v>0.89419999999999988</v>
      </c>
      <c r="S180" s="268">
        <f>IFERROR(INDEX('Ashed teabags dry'!$K$2:$K$2000,MATCH(L180,'Ashed teabags dry'!$A$2:$A$2000,0)),"")</f>
        <v>41.121951219512503</v>
      </c>
      <c r="T180" s="268">
        <f t="shared" si="12"/>
        <v>0.52648751219511913</v>
      </c>
      <c r="U180" s="258">
        <f>IF('Dry_Litterbag Placem_Collection'!E181="","",'Dry_Litterbag Placem_Collection'!E181)</f>
        <v>42940</v>
      </c>
      <c r="V180" s="258">
        <f>IF('Dry_Litterbag Placem_Collection'!G181="","",'Dry_Litterbag Placem_Collection'!G181)</f>
        <v>43009</v>
      </c>
      <c r="W180" s="259">
        <f t="shared" si="10"/>
        <v>69</v>
      </c>
      <c r="X180" s="257">
        <f t="shared" si="13"/>
        <v>0.80900000000000016</v>
      </c>
      <c r="Y180" s="257">
        <f t="shared" si="14"/>
        <v>1.0827849987964069</v>
      </c>
      <c r="Z180" s="261">
        <f>IFERROR(INDEX([3]Rainfall_Dry!$O$2:$O$217,MATCH(C180, [3]Rainfall_Dry!$A$2:$A$217,0)),"")</f>
        <v>162.634207253</v>
      </c>
      <c r="AA180" s="250">
        <v>25.96</v>
      </c>
      <c r="AB180" s="250">
        <v>8.9200000000000017</v>
      </c>
      <c r="AC180" s="250">
        <v>65.12</v>
      </c>
      <c r="AD180" s="251" t="s">
        <v>2651</v>
      </c>
      <c r="AE180" s="250">
        <v>3.61458846722523</v>
      </c>
      <c r="AF180">
        <f>IF('WetLitterbags placem_collection'!AB181="","",'WetLitterbags placem_collection'!AB181)</f>
        <v>11.8</v>
      </c>
      <c r="AG180">
        <f>IF('WetLitterbags placem_collection'!Z181="","",'WetLitterbags placem_collection'!Z181)</f>
        <v>15.4</v>
      </c>
      <c r="AH180" s="236" t="str">
        <f>IF('WetLitterbags placem_collection'!AA181="","",'WetLitterbags placem_collection'!AA181)</f>
        <v>O</v>
      </c>
      <c r="AI180">
        <f>IF('WetLitterbags placem_collection'!AC181="","",'WetLitterbags placem_collection'!AC181)</f>
        <v>1</v>
      </c>
      <c r="AJ180">
        <f>IFERROR(AVERAGE('Dry_Litterbag Placem_Collection'!O181,'Dry_Litterbag Placem_Collection'!R181),"")</f>
        <v>5.8</v>
      </c>
      <c r="AK180" s="261">
        <f>IFERROR(AVERAGE('Dry_Litterbag Placem_Collection'!N181,'Dry_Litterbag Placem_Collection'!Q181),"")</f>
        <v>34.75</v>
      </c>
      <c r="AL180" s="260">
        <f>INDEX([2]Coordinates!$B$2:$B$197,MATCH(I180,[2]Coordinates!$J$2:$J$197,0))</f>
        <v>-2.2778579589999999</v>
      </c>
      <c r="AM180" s="260">
        <f>INDEX([2]Coordinates!$C$2:$C$197,MATCH(I180,[2]Coordinates!$J$2:$J$197,0))</f>
        <v>34.027682980000002</v>
      </c>
      <c r="AN180" s="260" t="str">
        <f>IF(ISNUMBER(SEARCH("C", 'Dry_Litterbag Placem_Collection'!S181)),"YES","NO")</f>
        <v>NO</v>
      </c>
      <c r="AO180" s="260" t="str">
        <f>IF(ISNUMBER(SEARCH("H", 'Dry_Litterbag Placem_Collection'!S181)),"YES","NO")</f>
        <v>NO</v>
      </c>
      <c r="AP180" s="260" t="str">
        <f>IF(ISNUMBER(SEARCH("R", 'Dry_Litterbag Placem_Collection'!S181)),"YES","NO")</f>
        <v>YES</v>
      </c>
    </row>
    <row r="181" spans="1:42" ht="15" customHeight="1">
      <c r="A181" t="s">
        <v>3248</v>
      </c>
      <c r="B181" s="252" t="s">
        <v>2643</v>
      </c>
      <c r="C181" s="253">
        <f>'Dry_Litterbag Placem_Collection'!A182</f>
        <v>180</v>
      </c>
      <c r="D181" s="253" t="str">
        <f>'Dry_Litterbag Placem_Collection'!B182</f>
        <v>Handajega</v>
      </c>
      <c r="E181" s="253" t="s">
        <v>2454</v>
      </c>
      <c r="F181" s="253" t="s">
        <v>2645</v>
      </c>
      <c r="G181" s="253">
        <v>3</v>
      </c>
      <c r="H181" s="253" t="s">
        <v>3129</v>
      </c>
      <c r="I181" s="254" t="str">
        <f>'Dry_Litterbag Placem_Collection'!C182</f>
        <v>Wet_W3_T4</v>
      </c>
      <c r="J181" s="255" t="s">
        <v>2525</v>
      </c>
      <c r="K181" s="256" t="s">
        <v>1147</v>
      </c>
      <c r="L181" s="253" t="str">
        <f>IF(ISBLANK('Dry_Litterbag Placem_Collection'!J182),"","G"&amp;""&amp;'Dry_Litterbag Placem_Collection'!J182)</f>
        <v>G245</v>
      </c>
      <c r="M181" s="257">
        <f>IFERROR(INDEX('Green_rooibos initial weight'!$C$5:$C$2000,MATCH(L181, 'Green_rooibos initial weight'!$A$5:$A$2000,0)),"")</f>
        <v>2.0150000000000001</v>
      </c>
      <c r="N181" s="257">
        <f>IFERROR(M181-(TBIcalc!$Q$9+TBIcalc!$Q$10),"")</f>
        <v>1.7652000000000001</v>
      </c>
      <c r="O181" s="378">
        <f>AVERAGE(Ashed_controlls!$K$2:$K$11)</f>
        <v>5.5147656768714146</v>
      </c>
      <c r="P181" s="257">
        <f t="shared" si="11"/>
        <v>1.6678533562718658</v>
      </c>
      <c r="Q181" s="257">
        <f>IFERROR(INDEX('Both teabags AfterDry'!$D$2:$D$2000,MATCH(L181,'Both teabags AfterDry'!$A$2:$A$2000,0)),"")</f>
        <v>0.81240000000000001</v>
      </c>
      <c r="R181" s="257">
        <f>IFERROR(IF(Q181&gt;0,Q181-(TBIcalc!$Q$9),""),"")</f>
        <v>0.66179999999999994</v>
      </c>
      <c r="S181" s="268">
        <f>IFERROR(INDEX('Ashed teabags dry'!$K$2:$K$2000,MATCH(L181,'Ashed teabags dry'!$A$2:$A$2000,0)),"")</f>
        <v>19.084712755598879</v>
      </c>
      <c r="T181" s="268">
        <f t="shared" si="12"/>
        <v>0.53549737098344652</v>
      </c>
      <c r="U181" s="258">
        <f>IF('Dry_Litterbag Placem_Collection'!E182="","",'Dry_Litterbag Placem_Collection'!E182)</f>
        <v>42940</v>
      </c>
      <c r="V181" s="258">
        <f>IF('Dry_Litterbag Placem_Collection'!G182="","",'Dry_Litterbag Placem_Collection'!G182)</f>
        <v>43009</v>
      </c>
      <c r="W181" s="259">
        <f t="shared" si="10"/>
        <v>69</v>
      </c>
      <c r="X181" s="257">
        <f t="shared" si="13"/>
        <v>1.1034000000000002</v>
      </c>
      <c r="Y181" s="257">
        <f t="shared" si="14"/>
        <v>1.1323559852884193</v>
      </c>
      <c r="Z181" s="261">
        <f>IFERROR(INDEX([3]Rainfall_Dry!$O$2:$O$217,MATCH(C181, [3]Rainfall_Dry!$A$2:$A$217,0)),"")</f>
        <v>162.634207253</v>
      </c>
      <c r="AA181" s="250">
        <v>25.96</v>
      </c>
      <c r="AB181" s="250">
        <v>8.9200000000000017</v>
      </c>
      <c r="AC181" s="250">
        <v>65.12</v>
      </c>
      <c r="AD181" s="251" t="s">
        <v>2651</v>
      </c>
      <c r="AE181" s="250">
        <v>4.6145884672252304</v>
      </c>
      <c r="AF181">
        <f>IF('WetLitterbags placem_collection'!AB182="","",'WetLitterbags placem_collection'!AB182)</f>
        <v>8.3000000000000007</v>
      </c>
      <c r="AG181">
        <f>IF('WetLitterbags placem_collection'!Z182="","",'WetLitterbags placem_collection'!Z182)</f>
        <v>35</v>
      </c>
      <c r="AH181" s="236" t="str">
        <f>IF('WetLitterbags placem_collection'!AA182="","",'WetLitterbags placem_collection'!AA182)</f>
        <v>O</v>
      </c>
      <c r="AI181">
        <f>IF('WetLitterbags placem_collection'!AC182="","",'WetLitterbags placem_collection'!AC182)</f>
        <v>0</v>
      </c>
      <c r="AJ181">
        <f>IFERROR(AVERAGE('Dry_Litterbag Placem_Collection'!O182,'Dry_Litterbag Placem_Collection'!R182),"")</f>
        <v>5.3</v>
      </c>
      <c r="AK181" s="261">
        <f>IFERROR(AVERAGE('Dry_Litterbag Placem_Collection'!N182,'Dry_Litterbag Placem_Collection'!Q182),"")</f>
        <v>31</v>
      </c>
      <c r="AL181" s="260">
        <f>INDEX([2]Coordinates!$B$2:$B$197,MATCH(I181,[2]Coordinates!$J$2:$J$197,0))</f>
        <v>-2.2780199809999999</v>
      </c>
      <c r="AM181" s="260">
        <f>INDEX([2]Coordinates!$C$2:$C$197,MATCH(I181,[2]Coordinates!$J$2:$J$197,0))</f>
        <v>34.027705019999999</v>
      </c>
      <c r="AN181" s="260" t="str">
        <f>IF(ISNUMBER(SEARCH("C", 'Dry_Litterbag Placem_Collection'!S182)),"YES","NO")</f>
        <v>NO</v>
      </c>
      <c r="AO181" s="260" t="str">
        <f>IF(ISNUMBER(SEARCH("H", 'Dry_Litterbag Placem_Collection'!S182)),"YES","NO")</f>
        <v>NO</v>
      </c>
      <c r="AP181" s="260" t="str">
        <f>IF(ISNUMBER(SEARCH("R", 'Dry_Litterbag Placem_Collection'!S182)),"YES","NO")</f>
        <v>YES</v>
      </c>
    </row>
    <row r="182" spans="1:42" ht="15" customHeight="1">
      <c r="A182" t="s">
        <v>3248</v>
      </c>
      <c r="B182" s="252" t="s">
        <v>2643</v>
      </c>
      <c r="C182" s="253">
        <f>'Dry_Litterbag Placem_Collection'!A183</f>
        <v>181</v>
      </c>
      <c r="D182" s="253" t="str">
        <f>'Dry_Litterbag Placem_Collection'!B183</f>
        <v>Handajega</v>
      </c>
      <c r="E182" s="253" t="s">
        <v>2454</v>
      </c>
      <c r="F182" s="253" t="s">
        <v>2645</v>
      </c>
      <c r="G182" s="253">
        <v>3</v>
      </c>
      <c r="H182" s="253" t="s">
        <v>3129</v>
      </c>
      <c r="I182" s="254" t="str">
        <f>'Dry_Litterbag Placem_Collection'!C183</f>
        <v>Wet_W3_T5</v>
      </c>
      <c r="J182" s="255" t="s">
        <v>2525</v>
      </c>
      <c r="K182" s="256" t="s">
        <v>1147</v>
      </c>
      <c r="L182" s="253" t="str">
        <f>IF(ISBLANK('Dry_Litterbag Placem_Collection'!J183),"","G"&amp;""&amp;'Dry_Litterbag Placem_Collection'!J183)</f>
        <v>G411</v>
      </c>
      <c r="M182" s="257">
        <f>IFERROR(INDEX('Green_rooibos initial weight'!$C$5:$C$2000,MATCH(L182, 'Green_rooibos initial weight'!$A$5:$A$2000,0)),"")</f>
        <v>2.1120000000000001</v>
      </c>
      <c r="N182" s="257">
        <f>IFERROR(M182-(TBIcalc!$Q$9+TBIcalc!$Q$10),"")</f>
        <v>1.8622000000000001</v>
      </c>
      <c r="O182" s="378">
        <f>AVERAGE(Ashed_controlls!$K$2:$K$11)</f>
        <v>5.5147656768714146</v>
      </c>
      <c r="P182" s="257">
        <f t="shared" si="11"/>
        <v>1.7595040335653005</v>
      </c>
      <c r="Q182" s="257">
        <f>IFERROR(INDEX('Both teabags AfterDry'!$D$2:$D$2000,MATCH(L182,'Both teabags AfterDry'!$A$2:$A$2000,0)),"")</f>
        <v>0.76629999999999998</v>
      </c>
      <c r="R182" s="257">
        <f>IFERROR(IF(Q182&gt;0,Q182-(TBIcalc!$Q$9),""),"")</f>
        <v>0.61569999999999991</v>
      </c>
      <c r="S182" s="268">
        <f>IFERROR(INDEX('Ashed teabags dry'!$K$2:$K$2000,MATCH(L182,'Ashed teabags dry'!$A$2:$A$2000,0)),"")</f>
        <v>18.218018914882634</v>
      </c>
      <c r="T182" s="268">
        <f t="shared" si="12"/>
        <v>0.50353165754106755</v>
      </c>
      <c r="U182" s="258">
        <f>IF('Dry_Litterbag Placem_Collection'!E183="","",'Dry_Litterbag Placem_Collection'!E183)</f>
        <v>42940</v>
      </c>
      <c r="V182" s="258">
        <f>IF('Dry_Litterbag Placem_Collection'!G183="","",'Dry_Litterbag Placem_Collection'!G183)</f>
        <v>43009</v>
      </c>
      <c r="W182" s="259">
        <f t="shared" si="10"/>
        <v>69</v>
      </c>
      <c r="X182" s="257">
        <f t="shared" si="13"/>
        <v>1.2465000000000002</v>
      </c>
      <c r="Y182" s="257">
        <f t="shared" si="14"/>
        <v>1.255972376024233</v>
      </c>
      <c r="Z182" s="261">
        <f>IFERROR(INDEX([3]Rainfall_Dry!$O$2:$O$217,MATCH(C182, [3]Rainfall_Dry!$A$2:$A$217,0)),"")</f>
        <v>162.634207253</v>
      </c>
      <c r="AA182" s="250">
        <v>25.96</v>
      </c>
      <c r="AB182" s="250">
        <v>8.9200000000000017</v>
      </c>
      <c r="AC182" s="250">
        <v>65.12</v>
      </c>
      <c r="AD182" s="251" t="s">
        <v>2651</v>
      </c>
      <c r="AE182" s="250">
        <v>5.6145884672252304</v>
      </c>
      <c r="AF182">
        <f>IF('WetLitterbags placem_collection'!AB183="","",'WetLitterbags placem_collection'!AB183)</f>
        <v>11.4</v>
      </c>
      <c r="AG182">
        <f>IF('WetLitterbags placem_collection'!Z183="","",'WetLitterbags placem_collection'!Z183)</f>
        <v>15.8</v>
      </c>
      <c r="AH182" s="236" t="str">
        <f>IF('WetLitterbags placem_collection'!AA183="","",'WetLitterbags placem_collection'!AA183)</f>
        <v>O</v>
      </c>
      <c r="AI182">
        <f>IF('WetLitterbags placem_collection'!AC183="","",'WetLitterbags placem_collection'!AC183)</f>
        <v>1</v>
      </c>
      <c r="AJ182">
        <f>IFERROR(AVERAGE('Dry_Litterbag Placem_Collection'!O183,'Dry_Litterbag Placem_Collection'!R183),"")</f>
        <v>4.3000000000000007</v>
      </c>
      <c r="AK182" s="261">
        <f>IFERROR(AVERAGE('Dry_Litterbag Placem_Collection'!N183,'Dry_Litterbag Placem_Collection'!Q183),"")</f>
        <v>35.099999999999994</v>
      </c>
      <c r="AL182" s="260">
        <f>INDEX([2]Coordinates!$B$2:$B$197,MATCH(I182,[2]Coordinates!$J$2:$J$197,0))</f>
        <v>-2.2777329850000001</v>
      </c>
      <c r="AM182" s="260">
        <f>INDEX([2]Coordinates!$C$2:$C$197,MATCH(I182,[2]Coordinates!$J$2:$J$197,0))</f>
        <v>34.027422970000003</v>
      </c>
      <c r="AN182" s="260" t="str">
        <f>IF(ISNUMBER(SEARCH("C", 'Dry_Litterbag Placem_Collection'!S183)),"YES","NO")</f>
        <v>NO</v>
      </c>
      <c r="AO182" s="260" t="str">
        <f>IF(ISNUMBER(SEARCH("H", 'Dry_Litterbag Placem_Collection'!S183)),"YES","NO")</f>
        <v>NO</v>
      </c>
      <c r="AP182" s="260" t="str">
        <f>IF(ISNUMBER(SEARCH("R", 'Dry_Litterbag Placem_Collection'!S183)),"YES","NO")</f>
        <v>YES</v>
      </c>
    </row>
    <row r="183" spans="1:42" ht="15" customHeight="1">
      <c r="A183" t="s">
        <v>3248</v>
      </c>
      <c r="B183" s="252" t="s">
        <v>2643</v>
      </c>
      <c r="C183" s="253">
        <f>'Dry_Litterbag Placem_Collection'!A184</f>
        <v>182</v>
      </c>
      <c r="D183" s="253" t="str">
        <f>'Dry_Litterbag Placem_Collection'!B184</f>
        <v>Handajega</v>
      </c>
      <c r="E183" s="253" t="s">
        <v>2454</v>
      </c>
      <c r="F183" s="253" t="s">
        <v>2645</v>
      </c>
      <c r="G183" s="253">
        <v>3</v>
      </c>
      <c r="H183" s="253" t="s">
        <v>3129</v>
      </c>
      <c r="I183" s="254" t="str">
        <f>'Dry_Litterbag Placem_Collection'!C184</f>
        <v>Wet_W3_T6</v>
      </c>
      <c r="J183" s="255" t="s">
        <v>2525</v>
      </c>
      <c r="K183" s="256" t="s">
        <v>1147</v>
      </c>
      <c r="L183" s="253" t="str">
        <f>IF(ISBLANK('Dry_Litterbag Placem_Collection'!J184),"","G"&amp;""&amp;'Dry_Litterbag Placem_Collection'!J184)</f>
        <v>G309</v>
      </c>
      <c r="M183" s="257">
        <f>IFERROR(INDEX('Green_rooibos initial weight'!$C$5:$C$2000,MATCH(L183, 'Green_rooibos initial weight'!$A$5:$A$2000,0)),"")</f>
        <v>2.0579999999999998</v>
      </c>
      <c r="N183" s="257">
        <f>IFERROR(M183-(TBIcalc!$Q$9+TBIcalc!$Q$10),"")</f>
        <v>1.8081999999999998</v>
      </c>
      <c r="O183" s="378">
        <f>AVERAGE(Ashed_controlls!$K$2:$K$11)</f>
        <v>5.5147656768714146</v>
      </c>
      <c r="P183" s="257">
        <f t="shared" si="11"/>
        <v>1.7084820070308109</v>
      </c>
      <c r="Q183" s="257">
        <f>IFERROR(INDEX('Both teabags AfterDry'!$D$2:$D$2000,MATCH(L183,'Both teabags AfterDry'!$A$2:$A$2000,0)),"")</f>
        <v>0.88170000000000004</v>
      </c>
      <c r="R183" s="257">
        <f>IFERROR(IF(Q183&gt;0,Q183-(TBIcalc!$Q$9),""),"")</f>
        <v>0.73110000000000008</v>
      </c>
      <c r="S183" s="268">
        <f>IFERROR(INDEX('Ashed teabags dry'!$K$2:$K$2000,MATCH(L183,'Ashed teabags dry'!$A$2:$A$2000,0)),"")</f>
        <v>34.288537549406669</v>
      </c>
      <c r="T183" s="268">
        <f t="shared" si="12"/>
        <v>0.48041650197628794</v>
      </c>
      <c r="U183" s="258">
        <f>IF('Dry_Litterbag Placem_Collection'!E184="","",'Dry_Litterbag Placem_Collection'!E184)</f>
        <v>42940</v>
      </c>
      <c r="V183" s="258">
        <f>IF('Dry_Litterbag Placem_Collection'!G184="","",'Dry_Litterbag Placem_Collection'!G184)</f>
        <v>43009</v>
      </c>
      <c r="W183" s="259">
        <f t="shared" si="10"/>
        <v>69</v>
      </c>
      <c r="X183" s="257">
        <f t="shared" si="13"/>
        <v>1.0770999999999997</v>
      </c>
      <c r="Y183" s="257">
        <f t="shared" si="14"/>
        <v>1.2280655050545231</v>
      </c>
      <c r="Z183" s="261">
        <f>IFERROR(INDEX([3]Rainfall_Dry!$O$2:$O$217,MATCH(C183, [3]Rainfall_Dry!$A$2:$A$217,0)),"")</f>
        <v>162.634207253</v>
      </c>
      <c r="AA183" s="250">
        <v>25.96</v>
      </c>
      <c r="AB183" s="250">
        <v>8.9200000000000017</v>
      </c>
      <c r="AC183" s="250">
        <v>65.12</v>
      </c>
      <c r="AD183" s="251" t="s">
        <v>2651</v>
      </c>
      <c r="AE183" s="250">
        <v>6.6145884672252304</v>
      </c>
      <c r="AF183">
        <f>IF('WetLitterbags placem_collection'!AB184="","",'WetLitterbags placem_collection'!AB184)</f>
        <v>8.8000000000000007</v>
      </c>
      <c r="AG183">
        <f>IF('WetLitterbags placem_collection'!Z184="","",'WetLitterbags placem_collection'!Z184)</f>
        <v>15.8</v>
      </c>
      <c r="AH183" s="236" t="str">
        <f>IF('WetLitterbags placem_collection'!AA184="","",'WetLitterbags placem_collection'!AA184)</f>
        <v>O</v>
      </c>
      <c r="AI183">
        <f>IF('WetLitterbags placem_collection'!AC184="","",'WetLitterbags placem_collection'!AC184)</f>
        <v>1</v>
      </c>
      <c r="AJ183">
        <f>IFERROR(AVERAGE('Dry_Litterbag Placem_Collection'!O184,'Dry_Litterbag Placem_Collection'!R184),"")</f>
        <v>6.55</v>
      </c>
      <c r="AK183" s="261">
        <f>IFERROR(AVERAGE('Dry_Litterbag Placem_Collection'!N184,'Dry_Litterbag Placem_Collection'!Q184),"")</f>
        <v>36.400000000000006</v>
      </c>
      <c r="AL183" s="260">
        <f>INDEX([2]Coordinates!$B$2:$B$197,MATCH(I183,[2]Coordinates!$J$2:$J$197,0))</f>
        <v>-2.2777009659999998</v>
      </c>
      <c r="AM183" s="260">
        <f>INDEX([2]Coordinates!$C$2:$C$197,MATCH(I183,[2]Coordinates!$J$2:$J$197,0))</f>
        <v>34.027393969999999</v>
      </c>
      <c r="AN183" s="260" t="str">
        <f>IF(ISNUMBER(SEARCH("C", 'Dry_Litterbag Placem_Collection'!S184)),"YES","NO")</f>
        <v>NO</v>
      </c>
      <c r="AO183" s="260" t="str">
        <f>IF(ISNUMBER(SEARCH("H", 'Dry_Litterbag Placem_Collection'!S184)),"YES","NO")</f>
        <v>NO</v>
      </c>
      <c r="AP183" s="260" t="str">
        <f>IF(ISNUMBER(SEARCH("R", 'Dry_Litterbag Placem_Collection'!S184)),"YES","NO")</f>
        <v>NO</v>
      </c>
    </row>
    <row r="184" spans="1:42" ht="15" customHeight="1">
      <c r="A184" t="s">
        <v>3248</v>
      </c>
      <c r="B184" s="252" t="s">
        <v>2643</v>
      </c>
      <c r="C184" s="253">
        <f>'Dry_Litterbag Placem_Collection'!A185</f>
        <v>183</v>
      </c>
      <c r="D184" s="253" t="str">
        <f>'Dry_Litterbag Placem_Collection'!B185</f>
        <v>Handajega</v>
      </c>
      <c r="E184" s="253" t="s">
        <v>2454</v>
      </c>
      <c r="F184" s="253" t="s">
        <v>2645</v>
      </c>
      <c r="G184" s="253">
        <v>3</v>
      </c>
      <c r="H184" s="253" t="s">
        <v>3129</v>
      </c>
      <c r="I184" s="254" t="str">
        <f>'Dry_Litterbag Placem_Collection'!C185</f>
        <v>Wet_W3_T7</v>
      </c>
      <c r="J184" s="255" t="s">
        <v>2525</v>
      </c>
      <c r="K184" s="256" t="s">
        <v>1147</v>
      </c>
      <c r="L184" s="253" t="str">
        <f>IF(ISBLANK('Dry_Litterbag Placem_Collection'!J185),"","G"&amp;""&amp;'Dry_Litterbag Placem_Collection'!J185)</f>
        <v/>
      </c>
      <c r="M184" s="257" t="str">
        <f>IFERROR(INDEX('Green_rooibos initial weight'!$C$5:$C$2000,MATCH(L184, 'Green_rooibos initial weight'!$A$5:$A$2000,0)),"")</f>
        <v/>
      </c>
      <c r="N184" s="257" t="str">
        <f>IFERROR(M184-(TBIcalc!$Q$9+TBIcalc!$Q$10),"")</f>
        <v/>
      </c>
      <c r="O184" s="378">
        <f>AVERAGE(Ashed_controlls!$K$2:$K$11)</f>
        <v>5.5147656768714146</v>
      </c>
      <c r="P184" s="257" t="str">
        <f t="shared" si="11"/>
        <v/>
      </c>
      <c r="Q184" s="257" t="str">
        <f>IFERROR(INDEX('Both teabags AfterDry'!$D$2:$D$2000,MATCH(L184,'Both teabags AfterDry'!$A$2:$A$2000,0)),"")</f>
        <v/>
      </c>
      <c r="R184" s="257" t="str">
        <f>IFERROR(IF(Q184&gt;0,Q184-(TBIcalc!$Q$9),""),"")</f>
        <v/>
      </c>
      <c r="S184" s="268" t="str">
        <f>IFERROR(INDEX('Ashed teabags dry'!$K$2:$K$2000,MATCH(L184,'Ashed teabags dry'!$A$2:$A$2000,0)),"")</f>
        <v/>
      </c>
      <c r="T184" s="268" t="str">
        <f t="shared" si="12"/>
        <v/>
      </c>
      <c r="U184" s="258" t="str">
        <f>IF('Dry_Litterbag Placem_Collection'!E185="","",'Dry_Litterbag Placem_Collection'!E185)</f>
        <v/>
      </c>
      <c r="V184" s="258" t="str">
        <f>IF('Dry_Litterbag Placem_Collection'!G185="","",'Dry_Litterbag Placem_Collection'!G185)</f>
        <v/>
      </c>
      <c r="W184" s="259" t="str">
        <f t="shared" si="10"/>
        <v/>
      </c>
      <c r="X184" s="257" t="str">
        <f t="shared" si="13"/>
        <v/>
      </c>
      <c r="Y184" s="257" t="str">
        <f t="shared" si="14"/>
        <v/>
      </c>
      <c r="Z184" s="261" t="str">
        <f>IFERROR(INDEX([3]Rainfall_Dry!$O$2:$O$217,MATCH(C184, [3]Rainfall_Dry!$A$2:$A$217,0)),"")</f>
        <v/>
      </c>
      <c r="AA184" s="250">
        <v>25.96</v>
      </c>
      <c r="AB184" s="250">
        <v>8.9200000000000017</v>
      </c>
      <c r="AC184" s="250">
        <v>65.12</v>
      </c>
      <c r="AD184" s="251" t="s">
        <v>2651</v>
      </c>
      <c r="AE184" s="250">
        <v>7.6145884672252304</v>
      </c>
      <c r="AF184">
        <f>IF('WetLitterbags placem_collection'!AB185="","",'WetLitterbags placem_collection'!AB185)</f>
        <v>11.4</v>
      </c>
      <c r="AG184">
        <f>IF('WetLitterbags placem_collection'!Z185="","",'WetLitterbags placem_collection'!Z185)</f>
        <v>35.799999999999997</v>
      </c>
      <c r="AH184" s="236" t="str">
        <f>IF('WetLitterbags placem_collection'!AA185="","",'WetLitterbags placem_collection'!AA185)</f>
        <v>G</v>
      </c>
      <c r="AI184">
        <f>IF('WetLitterbags placem_collection'!AC185="","",'WetLitterbags placem_collection'!AC185)</f>
        <v>1</v>
      </c>
      <c r="AJ184" t="str">
        <f>IFERROR(AVERAGE('Dry_Litterbag Placem_Collection'!O185,'Dry_Litterbag Placem_Collection'!R185),"")</f>
        <v/>
      </c>
      <c r="AK184" s="261" t="str">
        <f>IFERROR(AVERAGE('Dry_Litterbag Placem_Collection'!N185,'Dry_Litterbag Placem_Collection'!Q185),"")</f>
        <v/>
      </c>
      <c r="AL184" s="260">
        <f>INDEX([2]Coordinates!$B$2:$B$197,MATCH(I184,[2]Coordinates!$J$2:$J$197,0))</f>
        <v>-2.2777790019999999</v>
      </c>
      <c r="AM184" s="260">
        <f>INDEX([2]Coordinates!$C$2:$C$197,MATCH(I184,[2]Coordinates!$J$2:$J$197,0))</f>
        <v>34.028066029999998</v>
      </c>
      <c r="AN184" s="260" t="str">
        <f>IF(ISNUMBER(SEARCH("C", 'Dry_Litterbag Placem_Collection'!S185)),"YES","NO")</f>
        <v>NO</v>
      </c>
      <c r="AO184" s="260" t="str">
        <f>IF(ISNUMBER(SEARCH("H", 'Dry_Litterbag Placem_Collection'!S185)),"YES","NO")</f>
        <v>NO</v>
      </c>
      <c r="AP184" s="260" t="str">
        <f>IF(ISNUMBER(SEARCH("R", 'Dry_Litterbag Placem_Collection'!S185)),"YES","NO")</f>
        <v>NO</v>
      </c>
    </row>
    <row r="185" spans="1:42" ht="15" customHeight="1">
      <c r="A185" t="s">
        <v>3248</v>
      </c>
      <c r="B185" s="252" t="s">
        <v>2643</v>
      </c>
      <c r="C185" s="253">
        <f>'Dry_Litterbag Placem_Collection'!A186</f>
        <v>184</v>
      </c>
      <c r="D185" s="253" t="str">
        <f>'Dry_Litterbag Placem_Collection'!B186</f>
        <v>Handajega</v>
      </c>
      <c r="E185" s="253" t="s">
        <v>2454</v>
      </c>
      <c r="F185" s="253" t="s">
        <v>2645</v>
      </c>
      <c r="G185" s="253">
        <v>3</v>
      </c>
      <c r="H185" s="253" t="s">
        <v>3129</v>
      </c>
      <c r="I185" s="254" t="str">
        <f>'Dry_Litterbag Placem_Collection'!C186</f>
        <v>Wet_W3_T8</v>
      </c>
      <c r="J185" s="255" t="s">
        <v>2525</v>
      </c>
      <c r="K185" s="256" t="s">
        <v>1147</v>
      </c>
      <c r="L185" s="253" t="str">
        <f>IF(ISBLANK('Dry_Litterbag Placem_Collection'!J186),"","G"&amp;""&amp;'Dry_Litterbag Placem_Collection'!J186)</f>
        <v>G235</v>
      </c>
      <c r="M185" s="257">
        <f>IFERROR(INDEX('Green_rooibos initial weight'!$C$5:$C$2000,MATCH(L185, 'Green_rooibos initial weight'!$A$5:$A$2000,0)),"")</f>
        <v>1.9259999999999999</v>
      </c>
      <c r="N185" s="257">
        <f>IFERROR(M185-(TBIcalc!$Q$9+TBIcalc!$Q$10),"")</f>
        <v>1.6761999999999999</v>
      </c>
      <c r="O185" s="378">
        <f>AVERAGE(Ashed_controlls!$K$2:$K$11)</f>
        <v>5.5147656768714146</v>
      </c>
      <c r="P185" s="257">
        <f t="shared" si="11"/>
        <v>1.5837614977242813</v>
      </c>
      <c r="Q185" s="257">
        <f>IFERROR(INDEX('Both teabags AfterDry'!$D$2:$D$2000,MATCH(L185,'Both teabags AfterDry'!$A$2:$A$2000,0)),"")</f>
        <v>0.66620000000000001</v>
      </c>
      <c r="R185" s="257">
        <f>IFERROR(IF(Q185&gt;0,Q185-(TBIcalc!$Q$9),""),"")</f>
        <v>0.51560000000000006</v>
      </c>
      <c r="S185" s="268">
        <f>IFERROR(INDEX('Ashed teabags dry'!$K$2:$K$2000,MATCH(L185,'Ashed teabags dry'!$A$2:$A$2000,0)),"")</f>
        <v>28.09315866084463</v>
      </c>
      <c r="T185" s="268">
        <f t="shared" si="12"/>
        <v>0.37075167394468511</v>
      </c>
      <c r="U185" s="258">
        <f>IF('Dry_Litterbag Placem_Collection'!E186="","",'Dry_Litterbag Placem_Collection'!E186)</f>
        <v>42940</v>
      </c>
      <c r="V185" s="258">
        <f>IF('Dry_Litterbag Placem_Collection'!G186="","",'Dry_Litterbag Placem_Collection'!G186)</f>
        <v>43009</v>
      </c>
      <c r="W185" s="259">
        <f t="shared" si="10"/>
        <v>69</v>
      </c>
      <c r="X185" s="257">
        <f t="shared" si="13"/>
        <v>1.1605999999999999</v>
      </c>
      <c r="Y185" s="257">
        <f t="shared" si="14"/>
        <v>1.2130098237795961</v>
      </c>
      <c r="Z185" s="261">
        <f>IFERROR(INDEX([3]Rainfall_Dry!$O$2:$O$217,MATCH(C185, [3]Rainfall_Dry!$A$2:$A$217,0)),"")</f>
        <v>162.634207253</v>
      </c>
      <c r="AA185" s="250">
        <v>25.96</v>
      </c>
      <c r="AB185" s="250">
        <v>8.9200000000000017</v>
      </c>
      <c r="AC185" s="250">
        <v>65.12</v>
      </c>
      <c r="AD185" s="251" t="s">
        <v>2651</v>
      </c>
      <c r="AE185" s="250">
        <v>8.6145884672252304</v>
      </c>
      <c r="AF185">
        <f>IF('WetLitterbags placem_collection'!AB186="","",'WetLitterbags placem_collection'!AB186)</f>
        <v>3.7</v>
      </c>
      <c r="AG185">
        <f>IF('WetLitterbags placem_collection'!Z186="","",'WetLitterbags placem_collection'!Z186)</f>
        <v>16.399999999999999</v>
      </c>
      <c r="AH185" s="236" t="str">
        <f>IF('WetLitterbags placem_collection'!AA186="","",'WetLitterbags placem_collection'!AA186)</f>
        <v>O</v>
      </c>
      <c r="AI185">
        <f>IF('WetLitterbags placem_collection'!AC186="","",'WetLitterbags placem_collection'!AC186)</f>
        <v>0</v>
      </c>
      <c r="AJ185">
        <f>IFERROR(AVERAGE('Dry_Litterbag Placem_Collection'!O186,'Dry_Litterbag Placem_Collection'!R186),"")</f>
        <v>4.3</v>
      </c>
      <c r="AK185" s="261">
        <f>IFERROR(AVERAGE('Dry_Litterbag Placem_Collection'!N186,'Dry_Litterbag Placem_Collection'!Q186),"")</f>
        <v>28.05</v>
      </c>
      <c r="AL185" s="260">
        <f>INDEX([2]Coordinates!$B$2:$B$197,MATCH(I185,[2]Coordinates!$J$2:$J$197,0))</f>
        <v>-2.2775169829999999</v>
      </c>
      <c r="AM185" s="260">
        <f>INDEX([2]Coordinates!$C$2:$C$197,MATCH(I185,[2]Coordinates!$J$2:$J$197,0))</f>
        <v>34.027766970000002</v>
      </c>
      <c r="AN185" s="260" t="str">
        <f>IF(ISNUMBER(SEARCH("C", 'Dry_Litterbag Placem_Collection'!S186)),"YES","NO")</f>
        <v>NO</v>
      </c>
      <c r="AO185" s="260" t="str">
        <f>IF(ISNUMBER(SEARCH("H", 'Dry_Litterbag Placem_Collection'!S186)),"YES","NO")</f>
        <v>NO</v>
      </c>
      <c r="AP185" s="260" t="str">
        <f>IF(ISNUMBER(SEARCH("R", 'Dry_Litterbag Placem_Collection'!S186)),"YES","NO")</f>
        <v>YES</v>
      </c>
    </row>
    <row r="186" spans="1:42" ht="15" customHeight="1">
      <c r="A186" t="s">
        <v>3248</v>
      </c>
      <c r="B186" s="252" t="s">
        <v>2643</v>
      </c>
      <c r="C186" s="253">
        <f>'Dry_Litterbag Placem_Collection'!A187</f>
        <v>185</v>
      </c>
      <c r="D186" s="253" t="str">
        <f>'Dry_Litterbag Placem_Collection'!B187</f>
        <v>Handajega</v>
      </c>
      <c r="E186" s="253" t="s">
        <v>2454</v>
      </c>
      <c r="F186" s="253" t="s">
        <v>2645</v>
      </c>
      <c r="G186" s="253">
        <v>4</v>
      </c>
      <c r="H186" s="253" t="s">
        <v>3130</v>
      </c>
      <c r="I186" s="254" t="str">
        <f>'Dry_Litterbag Placem_Collection'!C187</f>
        <v>Wet_W4_T1</v>
      </c>
      <c r="J186" s="255" t="s">
        <v>2525</v>
      </c>
      <c r="K186" s="256" t="s">
        <v>1147</v>
      </c>
      <c r="L186" s="253" t="str">
        <f>IF(ISBLANK('Dry_Litterbag Placem_Collection'!J187),"","G"&amp;""&amp;'Dry_Litterbag Placem_Collection'!J187)</f>
        <v>G369</v>
      </c>
      <c r="M186" s="257">
        <f>IFERROR(INDEX('Green_rooibos initial weight'!$C$5:$C$2000,MATCH(L186, 'Green_rooibos initial weight'!$A$5:$A$2000,0)),"")</f>
        <v>2.1219999999999999</v>
      </c>
      <c r="N186" s="257">
        <f>IFERROR(M186-(TBIcalc!$Q$9+TBIcalc!$Q$10),"")</f>
        <v>1.8721999999999999</v>
      </c>
      <c r="O186" s="378">
        <f>AVERAGE(Ashed_controlls!$K$2:$K$11)</f>
        <v>5.5147656768714146</v>
      </c>
      <c r="P186" s="257">
        <f t="shared" si="11"/>
        <v>1.7689525569976132</v>
      </c>
      <c r="Q186" s="257" t="str">
        <f>IFERROR(INDEX('Both teabags AfterDry'!$D$2:$D$2000,MATCH(L186,'Both teabags AfterDry'!$A$2:$A$2000,0)),"")</f>
        <v/>
      </c>
      <c r="R186" s="257" t="str">
        <f>IFERROR(IF(Q186&gt;0,Q186-(TBIcalc!$Q$9),""),"")</f>
        <v/>
      </c>
      <c r="S186" s="268" t="str">
        <f>IFERROR(INDEX('Ashed teabags dry'!$K$2:$K$2000,MATCH(L186,'Ashed teabags dry'!$A$2:$A$2000,0)),"")</f>
        <v/>
      </c>
      <c r="T186" s="268" t="str">
        <f t="shared" si="12"/>
        <v/>
      </c>
      <c r="U186" s="258">
        <f>IF('Dry_Litterbag Placem_Collection'!E187="","",'Dry_Litterbag Placem_Collection'!E187)</f>
        <v>42940</v>
      </c>
      <c r="V186" s="258">
        <f>IF('Dry_Litterbag Placem_Collection'!G187="","",'Dry_Litterbag Placem_Collection'!G187)</f>
        <v>43009</v>
      </c>
      <c r="W186" s="259">
        <f t="shared" si="10"/>
        <v>69</v>
      </c>
      <c r="X186" s="257" t="str">
        <f t="shared" si="13"/>
        <v/>
      </c>
      <c r="Y186" s="257" t="str">
        <f t="shared" si="14"/>
        <v/>
      </c>
      <c r="Z186" s="261">
        <f>IFERROR(INDEX([3]Rainfall_Dry!$O$2:$O$217,MATCH(C186, [3]Rainfall_Dry!$A$2:$A$217,0)),"")</f>
        <v>162.634207253</v>
      </c>
      <c r="AA186" s="250">
        <v>25.96</v>
      </c>
      <c r="AB186" s="250">
        <v>8.9200000000000017</v>
      </c>
      <c r="AC186" s="250">
        <v>65.12</v>
      </c>
      <c r="AD186" s="251" t="s">
        <v>2651</v>
      </c>
      <c r="AE186" s="250">
        <v>1.6991621488417901</v>
      </c>
      <c r="AF186">
        <f>IF('WetLitterbags placem_collection'!AB187="","",'WetLitterbags placem_collection'!AB187)</f>
        <v>9.8000000000000007</v>
      </c>
      <c r="AG186">
        <f>IF('WetLitterbags placem_collection'!Z187="","",'WetLitterbags placem_collection'!Z187)</f>
        <v>29.4</v>
      </c>
      <c r="AH186" s="236" t="str">
        <f>IF('WetLitterbags placem_collection'!AA187="","",'WetLitterbags placem_collection'!AA187)</f>
        <v>O</v>
      </c>
      <c r="AI186">
        <f>IF('WetLitterbags placem_collection'!AC187="","",'WetLitterbags placem_collection'!AC187)</f>
        <v>0</v>
      </c>
      <c r="AJ186">
        <f>IFERROR(AVERAGE('Dry_Litterbag Placem_Collection'!O187,'Dry_Litterbag Placem_Collection'!R187),"")</f>
        <v>4.9000000000000004</v>
      </c>
      <c r="AK186" s="261">
        <f>IFERROR(AVERAGE('Dry_Litterbag Placem_Collection'!N187,'Dry_Litterbag Placem_Collection'!Q187),"")</f>
        <v>35</v>
      </c>
      <c r="AL186" s="260">
        <f>INDEX([2]Coordinates!$B$2:$B$197,MATCH(I186,[2]Coordinates!$J$2:$J$197,0))</f>
        <v>-2.2787330300000002</v>
      </c>
      <c r="AM186" s="260">
        <f>INDEX([2]Coordinates!$C$2:$C$197,MATCH(I186,[2]Coordinates!$J$2:$J$197,0))</f>
        <v>34.032136029999997</v>
      </c>
      <c r="AN186" s="260" t="str">
        <f>IF(ISNUMBER(SEARCH("C", 'Dry_Litterbag Placem_Collection'!S187)),"YES","NO")</f>
        <v>NO</v>
      </c>
      <c r="AO186" s="260" t="str">
        <f>IF(ISNUMBER(SEARCH("H", 'Dry_Litterbag Placem_Collection'!S187)),"YES","NO")</f>
        <v>NO</v>
      </c>
      <c r="AP186" s="260" t="str">
        <f>IF(ISNUMBER(SEARCH("R", 'Dry_Litterbag Placem_Collection'!S187)),"YES","NO")</f>
        <v>NO</v>
      </c>
    </row>
    <row r="187" spans="1:42" ht="15" customHeight="1">
      <c r="A187" t="s">
        <v>3248</v>
      </c>
      <c r="B187" s="252" t="s">
        <v>2643</v>
      </c>
      <c r="C187" s="253">
        <f>'Dry_Litterbag Placem_Collection'!A188</f>
        <v>186</v>
      </c>
      <c r="D187" s="253" t="str">
        <f>'Dry_Litterbag Placem_Collection'!B188</f>
        <v>Handajega</v>
      </c>
      <c r="E187" s="253" t="s">
        <v>2454</v>
      </c>
      <c r="F187" s="253" t="s">
        <v>2645</v>
      </c>
      <c r="G187" s="253">
        <v>4</v>
      </c>
      <c r="H187" s="253" t="s">
        <v>3130</v>
      </c>
      <c r="I187" s="254" t="str">
        <f>'Dry_Litterbag Placem_Collection'!C188</f>
        <v>Wet_W4_T2</v>
      </c>
      <c r="J187" s="255" t="s">
        <v>2525</v>
      </c>
      <c r="K187" s="256" t="s">
        <v>1147</v>
      </c>
      <c r="L187" s="253" t="str">
        <f>IF(ISBLANK('Dry_Litterbag Placem_Collection'!J188),"","G"&amp;""&amp;'Dry_Litterbag Placem_Collection'!J188)</f>
        <v>G295</v>
      </c>
      <c r="M187" s="257">
        <f>IFERROR(INDEX('Green_rooibos initial weight'!$C$5:$C$2000,MATCH(L187, 'Green_rooibos initial weight'!$A$5:$A$2000,0)),"")</f>
        <v>2.0379999999999998</v>
      </c>
      <c r="N187" s="257">
        <f>IFERROR(M187-(TBIcalc!$Q$9+TBIcalc!$Q$10),"")</f>
        <v>1.7881999999999998</v>
      </c>
      <c r="O187" s="378">
        <f>AVERAGE(Ashed_controlls!$K$2:$K$11)</f>
        <v>5.5147656768714146</v>
      </c>
      <c r="P187" s="257">
        <f t="shared" si="11"/>
        <v>1.6895849601661852</v>
      </c>
      <c r="Q187" s="257">
        <f>IFERROR(INDEX('Both teabags AfterDry'!$D$2:$D$2000,MATCH(L187,'Both teabags AfterDry'!$A$2:$A$2000,0)),"")</f>
        <v>0.92659999999999998</v>
      </c>
      <c r="R187" s="257">
        <f>IFERROR(IF(Q187&gt;0,Q187-(TBIcalc!$Q$9),""),"")</f>
        <v>0.77600000000000002</v>
      </c>
      <c r="S187" s="268">
        <f>IFERROR(INDEX('Ashed teabags dry'!$K$2:$K$2000,MATCH(L187,'Ashed teabags dry'!$A$2:$A$2000,0)),"")</f>
        <v>26.422563087580492</v>
      </c>
      <c r="T187" s="268">
        <f t="shared" si="12"/>
        <v>0.57096091044037545</v>
      </c>
      <c r="U187" s="258">
        <f>IF('Dry_Litterbag Placem_Collection'!E188="","",'Dry_Litterbag Placem_Collection'!E188)</f>
        <v>42940</v>
      </c>
      <c r="V187" s="258">
        <f>IF('Dry_Litterbag Placem_Collection'!G188="","",'Dry_Litterbag Placem_Collection'!G188)</f>
        <v>43009</v>
      </c>
      <c r="W187" s="259">
        <f t="shared" si="10"/>
        <v>69</v>
      </c>
      <c r="X187" s="257">
        <f t="shared" si="13"/>
        <v>1.0121999999999998</v>
      </c>
      <c r="Y187" s="257">
        <f t="shared" si="14"/>
        <v>1.1186240497258098</v>
      </c>
      <c r="Z187" s="261">
        <f>IFERROR(INDEX([3]Rainfall_Dry!$O$2:$O$217,MATCH(C187, [3]Rainfall_Dry!$A$2:$A$217,0)),"")</f>
        <v>162.634207253</v>
      </c>
      <c r="AA187" s="250">
        <v>25.96</v>
      </c>
      <c r="AB187" s="250">
        <v>8.9200000000000017</v>
      </c>
      <c r="AC187" s="250">
        <v>65.12</v>
      </c>
      <c r="AD187" s="251" t="s">
        <v>2651</v>
      </c>
      <c r="AE187" s="250">
        <v>2.6991621488417898</v>
      </c>
      <c r="AF187">
        <f>IF('WetLitterbags placem_collection'!AB188="","",'WetLitterbags placem_collection'!AB188)</f>
        <v>11.4</v>
      </c>
      <c r="AG187">
        <f>IF('WetLitterbags placem_collection'!Z188="","",'WetLitterbags placem_collection'!Z188)</f>
        <v>45.4</v>
      </c>
      <c r="AH187" s="236" t="str">
        <f>IF('WetLitterbags placem_collection'!AA188="","",'WetLitterbags placem_collection'!AA188)</f>
        <v>O</v>
      </c>
      <c r="AI187">
        <f>IF('WetLitterbags placem_collection'!AC188="","",'WetLitterbags placem_collection'!AC188)</f>
        <v>0</v>
      </c>
      <c r="AJ187">
        <f>IFERROR(AVERAGE('Dry_Litterbag Placem_Collection'!O188,'Dry_Litterbag Placem_Collection'!R188),"")</f>
        <v>7.55</v>
      </c>
      <c r="AK187" s="261">
        <f>IFERROR(AVERAGE('Dry_Litterbag Placem_Collection'!N188,'Dry_Litterbag Placem_Collection'!Q188),"")</f>
        <v>35.299999999999997</v>
      </c>
      <c r="AL187" s="260">
        <f>INDEX([2]Coordinates!$B$2:$B$197,MATCH(I187,[2]Coordinates!$J$2:$J$197,0))</f>
        <v>-2.278763037</v>
      </c>
      <c r="AM187" s="260">
        <f>INDEX([2]Coordinates!$C$2:$C$197,MATCH(I187,[2]Coordinates!$J$2:$J$197,0))</f>
        <v>34.031974009999999</v>
      </c>
      <c r="AN187" s="260" t="str">
        <f>IF(ISNUMBER(SEARCH("C", 'Dry_Litterbag Placem_Collection'!S188)),"YES","NO")</f>
        <v>NO</v>
      </c>
      <c r="AO187" s="260" t="str">
        <f>IF(ISNUMBER(SEARCH("H", 'Dry_Litterbag Placem_Collection'!S188)),"YES","NO")</f>
        <v>YES</v>
      </c>
      <c r="AP187" s="260" t="str">
        <f>IF(ISNUMBER(SEARCH("R", 'Dry_Litterbag Placem_Collection'!S188)),"YES","NO")</f>
        <v>YES</v>
      </c>
    </row>
    <row r="188" spans="1:42" ht="15" customHeight="1">
      <c r="A188" t="s">
        <v>3248</v>
      </c>
      <c r="B188" s="252" t="s">
        <v>2643</v>
      </c>
      <c r="C188" s="253">
        <f>'Dry_Litterbag Placem_Collection'!A189</f>
        <v>187</v>
      </c>
      <c r="D188" s="253" t="str">
        <f>'Dry_Litterbag Placem_Collection'!B189</f>
        <v>Handajega</v>
      </c>
      <c r="E188" s="253" t="s">
        <v>2454</v>
      </c>
      <c r="F188" s="253" t="s">
        <v>2645</v>
      </c>
      <c r="G188" s="253">
        <v>4</v>
      </c>
      <c r="H188" s="253" t="s">
        <v>3130</v>
      </c>
      <c r="I188" s="254" t="str">
        <f>'Dry_Litterbag Placem_Collection'!C189</f>
        <v>Wet_W4_T3</v>
      </c>
      <c r="J188" s="255" t="s">
        <v>2525</v>
      </c>
      <c r="K188" s="256" t="s">
        <v>1147</v>
      </c>
      <c r="L188" s="253" t="str">
        <f>IF(ISBLANK('Dry_Litterbag Placem_Collection'!J189),"","G"&amp;""&amp;'Dry_Litterbag Placem_Collection'!J189)</f>
        <v>G242</v>
      </c>
      <c r="M188" s="257">
        <f>IFERROR(INDEX('Green_rooibos initial weight'!$C$5:$C$2000,MATCH(L188, 'Green_rooibos initial weight'!$A$5:$A$2000,0)),"")</f>
        <v>1.9470000000000001</v>
      </c>
      <c r="N188" s="257">
        <f>IFERROR(M188-(TBIcalc!$Q$9+TBIcalc!$Q$10),"")</f>
        <v>1.6972</v>
      </c>
      <c r="O188" s="378">
        <f>AVERAGE(Ashed_controlls!$K$2:$K$11)</f>
        <v>5.5147656768714146</v>
      </c>
      <c r="P188" s="257">
        <f t="shared" si="11"/>
        <v>1.6036033969321384</v>
      </c>
      <c r="Q188" s="257">
        <f>IFERROR(INDEX('Both teabags AfterDry'!$D$2:$D$2000,MATCH(L188,'Both teabags AfterDry'!$A$2:$A$2000,0)),"")</f>
        <v>0.70840000000000003</v>
      </c>
      <c r="R188" s="257">
        <f>IFERROR(IF(Q188&gt;0,Q188-(TBIcalc!$Q$9),""),"")</f>
        <v>0.55780000000000007</v>
      </c>
      <c r="S188" s="268">
        <f>IFERROR(INDEX('Ashed teabags dry'!$K$2:$K$2000,MATCH(L188,'Ashed teabags dry'!$A$2:$A$2000,0)),"")</f>
        <v>27.059970745976948</v>
      </c>
      <c r="T188" s="268">
        <f t="shared" si="12"/>
        <v>0.40685948317894061</v>
      </c>
      <c r="U188" s="258">
        <f>IF('Dry_Litterbag Placem_Collection'!E189="","",'Dry_Litterbag Placem_Collection'!E189)</f>
        <v>42940</v>
      </c>
      <c r="V188" s="258">
        <f>IF('Dry_Litterbag Placem_Collection'!G189="","",'Dry_Litterbag Placem_Collection'!G189)</f>
        <v>43009</v>
      </c>
      <c r="W188" s="259">
        <f t="shared" si="10"/>
        <v>69</v>
      </c>
      <c r="X188" s="257">
        <f t="shared" si="13"/>
        <v>1.1394</v>
      </c>
      <c r="Y188" s="257">
        <f t="shared" si="14"/>
        <v>1.1967439137531977</v>
      </c>
      <c r="Z188" s="261">
        <f>IFERROR(INDEX([3]Rainfall_Dry!$O$2:$O$217,MATCH(C188, [3]Rainfall_Dry!$A$2:$A$217,0)),"")</f>
        <v>162.634207253</v>
      </c>
      <c r="AA188" s="250">
        <v>25.96</v>
      </c>
      <c r="AB188" s="250">
        <v>8.9200000000000017</v>
      </c>
      <c r="AC188" s="250">
        <v>65.12</v>
      </c>
      <c r="AD188" s="251" t="s">
        <v>2651</v>
      </c>
      <c r="AE188" s="250">
        <v>3.6991621488417898</v>
      </c>
      <c r="AF188">
        <f>IF('WetLitterbags placem_collection'!AB189="","",'WetLitterbags placem_collection'!AB189)</f>
        <v>0.6</v>
      </c>
      <c r="AG188">
        <f>IF('WetLitterbags placem_collection'!Z189="","",'WetLitterbags placem_collection'!Z189)</f>
        <v>39.4</v>
      </c>
      <c r="AH188" s="236" t="str">
        <f>IF('WetLitterbags placem_collection'!AA189="","",'WetLitterbags placem_collection'!AA189)</f>
        <v>O</v>
      </c>
      <c r="AI188">
        <f>IF('WetLitterbags placem_collection'!AC189="","",'WetLitterbags placem_collection'!AC189)</f>
        <v>1</v>
      </c>
      <c r="AJ188">
        <f>IFERROR(AVERAGE('Dry_Litterbag Placem_Collection'!O189,'Dry_Litterbag Placem_Collection'!R189),"")</f>
        <v>5.05</v>
      </c>
      <c r="AK188" s="261">
        <f>IFERROR(AVERAGE('Dry_Litterbag Placem_Collection'!N189,'Dry_Litterbag Placem_Collection'!Q189),"")</f>
        <v>35.150000000000006</v>
      </c>
      <c r="AL188" s="260">
        <f>INDEX([2]Coordinates!$B$2:$B$197,MATCH(I188,[2]Coordinates!$J$2:$J$197,0))</f>
        <v>-2.2785890289999999</v>
      </c>
      <c r="AM188" s="260">
        <f>INDEX([2]Coordinates!$C$2:$C$197,MATCH(I188,[2]Coordinates!$J$2:$J$197,0))</f>
        <v>34.031841999999997</v>
      </c>
      <c r="AN188" s="260" t="str">
        <f>IF(ISNUMBER(SEARCH("C", 'Dry_Litterbag Placem_Collection'!S189)),"YES","NO")</f>
        <v>NO</v>
      </c>
      <c r="AO188" s="260" t="str">
        <f>IF(ISNUMBER(SEARCH("H", 'Dry_Litterbag Placem_Collection'!S189)),"YES","NO")</f>
        <v>NO</v>
      </c>
      <c r="AP188" s="260" t="str">
        <f>IF(ISNUMBER(SEARCH("R", 'Dry_Litterbag Placem_Collection'!S189)),"YES","NO")</f>
        <v>YES</v>
      </c>
    </row>
    <row r="189" spans="1:42" ht="15" customHeight="1">
      <c r="A189" t="s">
        <v>3248</v>
      </c>
      <c r="B189" s="252" t="s">
        <v>2643</v>
      </c>
      <c r="C189" s="253">
        <f>'Dry_Litterbag Placem_Collection'!A190</f>
        <v>188</v>
      </c>
      <c r="D189" s="253" t="str">
        <f>'Dry_Litterbag Placem_Collection'!B190</f>
        <v>Handajega</v>
      </c>
      <c r="E189" s="253" t="s">
        <v>2454</v>
      </c>
      <c r="F189" s="253" t="s">
        <v>2645</v>
      </c>
      <c r="G189" s="253">
        <v>4</v>
      </c>
      <c r="H189" s="253" t="s">
        <v>3130</v>
      </c>
      <c r="I189" s="254" t="str">
        <f>'Dry_Litterbag Placem_Collection'!C190</f>
        <v>Wet_W4_T4</v>
      </c>
      <c r="J189" s="255" t="s">
        <v>2525</v>
      </c>
      <c r="K189" s="256" t="s">
        <v>1147</v>
      </c>
      <c r="L189" s="253" t="str">
        <f>IF(ISBLANK('Dry_Litterbag Placem_Collection'!J190),"","G"&amp;""&amp;'Dry_Litterbag Placem_Collection'!J190)</f>
        <v>G146</v>
      </c>
      <c r="M189" s="257">
        <f>IFERROR(INDEX('Green_rooibos initial weight'!$C$5:$C$2000,MATCH(L189, 'Green_rooibos initial weight'!$A$5:$A$2000,0)),"")</f>
        <v>2.0529999999999999</v>
      </c>
      <c r="N189" s="257">
        <f>IFERROR(M189-(TBIcalc!$Q$9+TBIcalc!$Q$10),"")</f>
        <v>1.8031999999999999</v>
      </c>
      <c r="O189" s="378">
        <f>AVERAGE(Ashed_controlls!$K$2:$K$11)</f>
        <v>5.5147656768714146</v>
      </c>
      <c r="P189" s="257">
        <f t="shared" si="11"/>
        <v>1.7037577453146546</v>
      </c>
      <c r="Q189" s="257">
        <f>IFERROR(INDEX('Both teabags AfterDry'!$D$2:$D$2000,MATCH(L189,'Both teabags AfterDry'!$A$2:$A$2000,0)),"")</f>
        <v>0.91069999999999995</v>
      </c>
      <c r="R189" s="257">
        <f>IFERROR(IF(Q189&gt;0,Q189-(TBIcalc!$Q$9),""),"")</f>
        <v>0.7601</v>
      </c>
      <c r="S189" s="268">
        <f>IFERROR(INDEX('Ashed teabags dry'!$K$2:$K$2000,MATCH(L189,'Ashed teabags dry'!$A$2:$A$2000,0)),"")</f>
        <v>39.03411608329683</v>
      </c>
      <c r="T189" s="268">
        <f t="shared" si="12"/>
        <v>0.46340168365086076</v>
      </c>
      <c r="U189" s="258">
        <f>IF('Dry_Litterbag Placem_Collection'!E190="","",'Dry_Litterbag Placem_Collection'!E190)</f>
        <v>42940</v>
      </c>
      <c r="V189" s="258">
        <f>IF('Dry_Litterbag Placem_Collection'!G190="","",'Dry_Litterbag Placem_Collection'!G190)</f>
        <v>43009</v>
      </c>
      <c r="W189" s="259">
        <f t="shared" si="10"/>
        <v>69</v>
      </c>
      <c r="X189" s="257">
        <f t="shared" si="13"/>
        <v>1.0430999999999999</v>
      </c>
      <c r="Y189" s="257">
        <f t="shared" si="14"/>
        <v>1.2403560616637939</v>
      </c>
      <c r="Z189" s="261">
        <f>IFERROR(INDEX([3]Rainfall_Dry!$O$2:$O$217,MATCH(C189, [3]Rainfall_Dry!$A$2:$A$217,0)),"")</f>
        <v>162.634207253</v>
      </c>
      <c r="AA189" s="250">
        <v>25.96</v>
      </c>
      <c r="AB189" s="250">
        <v>8.9200000000000017</v>
      </c>
      <c r="AC189" s="250">
        <v>65.12</v>
      </c>
      <c r="AD189" s="251" t="s">
        <v>2651</v>
      </c>
      <c r="AE189" s="250">
        <v>4.6991621488417898</v>
      </c>
      <c r="AF189">
        <f>IF('WetLitterbags placem_collection'!AB190="","",'WetLitterbags placem_collection'!AB190)</f>
        <v>2.2999999999999998</v>
      </c>
      <c r="AG189">
        <f>IF('WetLitterbags placem_collection'!Z190="","",'WetLitterbags placem_collection'!Z190)</f>
        <v>14.4</v>
      </c>
      <c r="AH189" s="236" t="str">
        <f>IF('WetLitterbags placem_collection'!AA190="","",'WetLitterbags placem_collection'!AA190)</f>
        <v>O</v>
      </c>
      <c r="AI189">
        <f>IF('WetLitterbags placem_collection'!AC190="","",'WetLitterbags placem_collection'!AC190)</f>
        <v>0</v>
      </c>
      <c r="AJ189">
        <f>IFERROR(AVERAGE('Dry_Litterbag Placem_Collection'!O190,'Dry_Litterbag Placem_Collection'!R190),"")</f>
        <v>7.35</v>
      </c>
      <c r="AK189" s="261">
        <f>IFERROR(AVERAGE('Dry_Litterbag Placem_Collection'!N190,'Dry_Litterbag Placem_Collection'!Q190),"")</f>
        <v>34.150000000000006</v>
      </c>
      <c r="AL189" s="260">
        <f>INDEX([2]Coordinates!$B$2:$B$197,MATCH(I189,[2]Coordinates!$J$2:$J$197,0))</f>
        <v>-2.278422983</v>
      </c>
      <c r="AM189" s="260">
        <f>INDEX([2]Coordinates!$C$2:$C$197,MATCH(I189,[2]Coordinates!$J$2:$J$197,0))</f>
        <v>34.032261009999999</v>
      </c>
      <c r="AN189" s="260" t="str">
        <f>IF(ISNUMBER(SEARCH("C", 'Dry_Litterbag Placem_Collection'!S190)),"YES","NO")</f>
        <v>NO</v>
      </c>
      <c r="AO189" s="260" t="str">
        <f>IF(ISNUMBER(SEARCH("H", 'Dry_Litterbag Placem_Collection'!S190)),"YES","NO")</f>
        <v>YES</v>
      </c>
      <c r="AP189" s="260" t="str">
        <f>IF(ISNUMBER(SEARCH("R", 'Dry_Litterbag Placem_Collection'!S190)),"YES","NO")</f>
        <v>YES</v>
      </c>
    </row>
    <row r="190" spans="1:42" ht="15" customHeight="1">
      <c r="A190" t="s">
        <v>3248</v>
      </c>
      <c r="B190" s="252" t="s">
        <v>2643</v>
      </c>
      <c r="C190" s="253">
        <f>'Dry_Litterbag Placem_Collection'!A191</f>
        <v>189</v>
      </c>
      <c r="D190" s="253" t="str">
        <f>'Dry_Litterbag Placem_Collection'!B191</f>
        <v>Handajega</v>
      </c>
      <c r="E190" s="253" t="s">
        <v>2454</v>
      </c>
      <c r="F190" s="253" t="s">
        <v>2645</v>
      </c>
      <c r="G190" s="253">
        <v>4</v>
      </c>
      <c r="H190" s="253" t="s">
        <v>3130</v>
      </c>
      <c r="I190" s="254" t="str">
        <f>'Dry_Litterbag Placem_Collection'!C191</f>
        <v>Wet_W4_T5</v>
      </c>
      <c r="J190" s="255" t="s">
        <v>2525</v>
      </c>
      <c r="K190" s="256" t="s">
        <v>1147</v>
      </c>
      <c r="L190" s="253" t="str">
        <f>IF(ISBLANK('Dry_Litterbag Placem_Collection'!J191),"","G"&amp;""&amp;'Dry_Litterbag Placem_Collection'!J191)</f>
        <v>G144</v>
      </c>
      <c r="M190" s="257">
        <f>IFERROR(INDEX('Green_rooibos initial weight'!$C$5:$C$2000,MATCH(L190, 'Green_rooibos initial weight'!$A$5:$A$2000,0)),"")</f>
        <v>2.0230000000000001</v>
      </c>
      <c r="N190" s="257">
        <f>IFERROR(M190-(TBIcalc!$Q$9+TBIcalc!$Q$10),"")</f>
        <v>1.7732000000000001</v>
      </c>
      <c r="O190" s="378">
        <f>AVERAGE(Ashed_controlls!$K$2:$K$11)</f>
        <v>5.5147656768714146</v>
      </c>
      <c r="P190" s="257">
        <f t="shared" si="11"/>
        <v>1.6754121750177162</v>
      </c>
      <c r="Q190" s="257">
        <f>IFERROR(INDEX('Both teabags AfterDry'!$D$2:$D$2000,MATCH(L190,'Both teabags AfterDry'!$A$2:$A$2000,0)),"")</f>
        <v>0.68520000000000003</v>
      </c>
      <c r="R190" s="257">
        <f>IFERROR(IF(Q190&gt;0,Q190-(TBIcalc!$Q$9),""),"")</f>
        <v>0.53459999999999996</v>
      </c>
      <c r="S190" s="268">
        <f>IFERROR(INDEX('Ashed teabags dry'!$K$2:$K$2000,MATCH(L190,'Ashed teabags dry'!$A$2:$A$2000,0)),"")</f>
        <v>22.366450324513245</v>
      </c>
      <c r="T190" s="268">
        <f t="shared" si="12"/>
        <v>0.41502895656515215</v>
      </c>
      <c r="U190" s="258">
        <f>IF('Dry_Litterbag Placem_Collection'!E191="","",'Dry_Litterbag Placem_Collection'!E191)</f>
        <v>42940</v>
      </c>
      <c r="V190" s="258">
        <f>IF('Dry_Litterbag Placem_Collection'!G191="","",'Dry_Litterbag Placem_Collection'!G191)</f>
        <v>43009</v>
      </c>
      <c r="W190" s="259">
        <f t="shared" si="10"/>
        <v>69</v>
      </c>
      <c r="X190" s="257">
        <f t="shared" si="13"/>
        <v>1.2386000000000001</v>
      </c>
      <c r="Y190" s="257">
        <f t="shared" si="14"/>
        <v>1.2603832184525641</v>
      </c>
      <c r="Z190" s="261">
        <f>IFERROR(INDEX([3]Rainfall_Dry!$O$2:$O$217,MATCH(C190, [3]Rainfall_Dry!$A$2:$A$217,0)),"")</f>
        <v>162.634207253</v>
      </c>
      <c r="AA190" s="250">
        <v>25.96</v>
      </c>
      <c r="AB190" s="250">
        <v>8.9200000000000017</v>
      </c>
      <c r="AC190" s="250">
        <v>65.12</v>
      </c>
      <c r="AD190" s="251" t="s">
        <v>2651</v>
      </c>
      <c r="AE190" s="250">
        <v>5.6991621488417898</v>
      </c>
      <c r="AF190">
        <f>IF('WetLitterbags placem_collection'!AB191="","",'WetLitterbags placem_collection'!AB191)</f>
        <v>0.6</v>
      </c>
      <c r="AG190">
        <f>IF('WetLitterbags placem_collection'!Z191="","",'WetLitterbags placem_collection'!Z191)</f>
        <v>7</v>
      </c>
      <c r="AH190" s="236" t="str">
        <f>IF('WetLitterbags placem_collection'!AA191="","",'WetLitterbags placem_collection'!AA191)</f>
        <v>O</v>
      </c>
      <c r="AI190">
        <f>IF('WetLitterbags placem_collection'!AC191="","",'WetLitterbags placem_collection'!AC191)</f>
        <v>1</v>
      </c>
      <c r="AJ190">
        <f>IFERROR(AVERAGE('Dry_Litterbag Placem_Collection'!O191,'Dry_Litterbag Placem_Collection'!R191),"")</f>
        <v>5.5</v>
      </c>
      <c r="AK190" s="261">
        <f>IFERROR(AVERAGE('Dry_Litterbag Placem_Collection'!N191,'Dry_Litterbag Placem_Collection'!Q191),"")</f>
        <v>33</v>
      </c>
      <c r="AL190" s="260">
        <f>INDEX([2]Coordinates!$B$2:$B$197,MATCH(I190,[2]Coordinates!$J$2:$J$197,0))</f>
        <v>-2.2787580080000001</v>
      </c>
      <c r="AM190" s="260">
        <f>INDEX([2]Coordinates!$C$2:$C$197,MATCH(I190,[2]Coordinates!$J$2:$J$197,0))</f>
        <v>34.032463010000001</v>
      </c>
      <c r="AN190" s="260" t="str">
        <f>IF(ISNUMBER(SEARCH("C", 'Dry_Litterbag Placem_Collection'!S191)),"YES","NO")</f>
        <v>NO</v>
      </c>
      <c r="AO190" s="260" t="str">
        <f>IF(ISNUMBER(SEARCH("H", 'Dry_Litterbag Placem_Collection'!S191)),"YES","NO")</f>
        <v>NO</v>
      </c>
      <c r="AP190" s="260" t="str">
        <f>IF(ISNUMBER(SEARCH("R", 'Dry_Litterbag Placem_Collection'!S191)),"YES","NO")</f>
        <v>YES</v>
      </c>
    </row>
    <row r="191" spans="1:42" ht="15" customHeight="1">
      <c r="A191" t="s">
        <v>3248</v>
      </c>
      <c r="B191" s="252" t="s">
        <v>2643</v>
      </c>
      <c r="C191" s="253">
        <f>'Dry_Litterbag Placem_Collection'!A192</f>
        <v>190</v>
      </c>
      <c r="D191" s="253" t="str">
        <f>'Dry_Litterbag Placem_Collection'!B192</f>
        <v>Handajega</v>
      </c>
      <c r="E191" s="253" t="s">
        <v>2454</v>
      </c>
      <c r="F191" s="253" t="s">
        <v>2645</v>
      </c>
      <c r="G191" s="253">
        <v>4</v>
      </c>
      <c r="H191" s="253" t="s">
        <v>3130</v>
      </c>
      <c r="I191" s="254" t="str">
        <f>'Dry_Litterbag Placem_Collection'!C192</f>
        <v>Wet_W4_T6</v>
      </c>
      <c r="J191" s="255" t="s">
        <v>2525</v>
      </c>
      <c r="K191" s="256" t="s">
        <v>1147</v>
      </c>
      <c r="L191" s="253" t="str">
        <f>IF(ISBLANK('Dry_Litterbag Placem_Collection'!J192),"","G"&amp;""&amp;'Dry_Litterbag Placem_Collection'!J192)</f>
        <v>G171</v>
      </c>
      <c r="M191" s="257">
        <f>IFERROR(INDEX('Green_rooibos initial weight'!$C$5:$C$2000,MATCH(L191, 'Green_rooibos initial weight'!$A$5:$A$2000,0)),"")</f>
        <v>1.9239999999999999</v>
      </c>
      <c r="N191" s="257">
        <f>IFERROR(M191-(TBIcalc!$Q$9+TBIcalc!$Q$10),"")</f>
        <v>1.6741999999999999</v>
      </c>
      <c r="O191" s="378">
        <f>AVERAGE(Ashed_controlls!$K$2:$K$11)</f>
        <v>5.5147656768714146</v>
      </c>
      <c r="P191" s="257">
        <f t="shared" si="11"/>
        <v>1.5818717930378188</v>
      </c>
      <c r="Q191" s="257">
        <f>IFERROR(INDEX('Both teabags AfterDry'!$D$2:$D$2000,MATCH(L191,'Both teabags AfterDry'!$A$2:$A$2000,0)),"")</f>
        <v>0.75309999999999999</v>
      </c>
      <c r="R191" s="257">
        <f>IFERROR(IF(Q191&gt;0,Q191-(TBIcalc!$Q$9),""),"")</f>
        <v>0.60250000000000004</v>
      </c>
      <c r="S191" s="268">
        <f>IFERROR(INDEX('Ashed teabags dry'!$K$2:$K$2000,MATCH(L191,'Ashed teabags dry'!$A$2:$A$2000,0)),"")</f>
        <v>24.915824915824324</v>
      </c>
      <c r="T191" s="268">
        <f t="shared" si="12"/>
        <v>0.45238215488215849</v>
      </c>
      <c r="U191" s="258">
        <f>IF('Dry_Litterbag Placem_Collection'!E192="","",'Dry_Litterbag Placem_Collection'!E192)</f>
        <v>42940</v>
      </c>
      <c r="V191" s="258">
        <f>IF('Dry_Litterbag Placem_Collection'!G192="","",'Dry_Litterbag Placem_Collection'!G192)</f>
        <v>43009</v>
      </c>
      <c r="W191" s="259">
        <f t="shared" si="10"/>
        <v>69</v>
      </c>
      <c r="X191" s="257">
        <f t="shared" si="13"/>
        <v>1.0716999999999999</v>
      </c>
      <c r="Y191" s="257">
        <f t="shared" si="14"/>
        <v>1.1294896381556603</v>
      </c>
      <c r="Z191" s="261">
        <f>IFERROR(INDEX([3]Rainfall_Dry!$O$2:$O$217,MATCH(C191, [3]Rainfall_Dry!$A$2:$A$217,0)),"")</f>
        <v>162.634207253</v>
      </c>
      <c r="AA191" s="250">
        <v>25.96</v>
      </c>
      <c r="AB191" s="250">
        <v>8.9200000000000017</v>
      </c>
      <c r="AC191" s="250">
        <v>65.12</v>
      </c>
      <c r="AD191" s="251" t="s">
        <v>2651</v>
      </c>
      <c r="AE191" s="250">
        <v>6.6991621488417898</v>
      </c>
      <c r="AF191">
        <f>IF('WetLitterbags placem_collection'!AB192="","",'WetLitterbags placem_collection'!AB192)</f>
        <v>9.5</v>
      </c>
      <c r="AG191">
        <f>IF('WetLitterbags placem_collection'!Z192="","",'WetLitterbags placem_collection'!Z192)</f>
        <v>17.399999999999999</v>
      </c>
      <c r="AH191" s="236" t="str">
        <f>IF('WetLitterbags placem_collection'!AA192="","",'WetLitterbags placem_collection'!AA192)</f>
        <v>O</v>
      </c>
      <c r="AI191">
        <f>IF('WetLitterbags placem_collection'!AC192="","",'WetLitterbags placem_collection'!AC192)</f>
        <v>0</v>
      </c>
      <c r="AJ191">
        <f>IFERROR(AVERAGE('Dry_Litterbag Placem_Collection'!O192,'Dry_Litterbag Placem_Collection'!R192),"")</f>
        <v>5.0500000000000007</v>
      </c>
      <c r="AK191" s="261">
        <f>IFERROR(AVERAGE('Dry_Litterbag Placem_Collection'!N192,'Dry_Litterbag Placem_Collection'!Q192),"")</f>
        <v>36.049999999999997</v>
      </c>
      <c r="AL191" s="260">
        <f>INDEX([2]Coordinates!$B$2:$B$197,MATCH(I191,[2]Coordinates!$J$2:$J$197,0))</f>
        <v>-2.2787559960000001</v>
      </c>
      <c r="AM191" s="260">
        <f>INDEX([2]Coordinates!$C$2:$C$197,MATCH(I191,[2]Coordinates!$J$2:$J$197,0))</f>
        <v>34.032268969999997</v>
      </c>
      <c r="AN191" s="260" t="str">
        <f>IF(ISNUMBER(SEARCH("C", 'Dry_Litterbag Placem_Collection'!S192)),"YES","NO")</f>
        <v>NO</v>
      </c>
      <c r="AO191" s="260" t="str">
        <f>IF(ISNUMBER(SEARCH("H", 'Dry_Litterbag Placem_Collection'!S192)),"YES","NO")</f>
        <v>NO</v>
      </c>
      <c r="AP191" s="260" t="str">
        <f>IF(ISNUMBER(SEARCH("R", 'Dry_Litterbag Placem_Collection'!S192)),"YES","NO")</f>
        <v>NO</v>
      </c>
    </row>
    <row r="192" spans="1:42" ht="15" customHeight="1">
      <c r="A192" t="s">
        <v>3248</v>
      </c>
      <c r="B192" s="252" t="s">
        <v>2643</v>
      </c>
      <c r="C192" s="253">
        <f>'Dry_Litterbag Placem_Collection'!A193</f>
        <v>191</v>
      </c>
      <c r="D192" s="253" t="str">
        <f>'Dry_Litterbag Placem_Collection'!B193</f>
        <v>Handajega</v>
      </c>
      <c r="E192" s="253" t="s">
        <v>2454</v>
      </c>
      <c r="F192" s="253" t="s">
        <v>2645</v>
      </c>
      <c r="G192" s="253">
        <v>4</v>
      </c>
      <c r="H192" s="253" t="s">
        <v>3130</v>
      </c>
      <c r="I192" s="254" t="str">
        <f>'Dry_Litterbag Placem_Collection'!C193</f>
        <v>Wet_W4_T7</v>
      </c>
      <c r="J192" s="255" t="s">
        <v>2525</v>
      </c>
      <c r="K192" s="256" t="s">
        <v>1147</v>
      </c>
      <c r="L192" s="253" t="str">
        <f>IF(ISBLANK('Dry_Litterbag Placem_Collection'!J193),"","G"&amp;""&amp;'Dry_Litterbag Placem_Collection'!J193)</f>
        <v>G232</v>
      </c>
      <c r="M192" s="257">
        <f>IFERROR(INDEX('Green_rooibos initial weight'!$C$5:$C$2000,MATCH(L192, 'Green_rooibos initial weight'!$A$5:$A$2000,0)),"")</f>
        <v>2.04</v>
      </c>
      <c r="N192" s="257">
        <f>IFERROR(M192-(TBIcalc!$Q$9+TBIcalc!$Q$10),"")</f>
        <v>1.7902</v>
      </c>
      <c r="O192" s="378">
        <f>AVERAGE(Ashed_controlls!$K$2:$K$11)</f>
        <v>5.5147656768714146</v>
      </c>
      <c r="P192" s="257">
        <f t="shared" si="11"/>
        <v>1.691474664852648</v>
      </c>
      <c r="Q192" s="257">
        <f>IFERROR(INDEX('Both teabags AfterDry'!$D$2:$D$2000,MATCH(L192,'Both teabags AfterDry'!$A$2:$A$2000,0)),"")</f>
        <v>0.80369999999999997</v>
      </c>
      <c r="R192" s="257">
        <f>IFERROR(IF(Q192&gt;0,Q192-(TBIcalc!$Q$9),""),"")</f>
        <v>0.65310000000000001</v>
      </c>
      <c r="S192" s="268">
        <f>IFERROR(INDEX('Ashed teabags dry'!$K$2:$K$2000,MATCH(L192,'Ashed teabags dry'!$A$2:$A$2000,0)),"")</f>
        <v>26.339066339066047</v>
      </c>
      <c r="T192" s="268">
        <f t="shared" si="12"/>
        <v>0.48107955773955968</v>
      </c>
      <c r="U192" s="258">
        <f>IF('Dry_Litterbag Placem_Collection'!E193="","",'Dry_Litterbag Placem_Collection'!E193)</f>
        <v>42940</v>
      </c>
      <c r="V192" s="258">
        <f>IF('Dry_Litterbag Placem_Collection'!G193="","",'Dry_Litterbag Placem_Collection'!G193)</f>
        <v>43009</v>
      </c>
      <c r="W192" s="259">
        <f t="shared" si="10"/>
        <v>69</v>
      </c>
      <c r="X192" s="257">
        <f t="shared" si="13"/>
        <v>1.1371</v>
      </c>
      <c r="Y192" s="257">
        <f t="shared" si="14"/>
        <v>1.2103951071130883</v>
      </c>
      <c r="Z192" s="261">
        <f>IFERROR(INDEX([3]Rainfall_Dry!$O$2:$O$217,MATCH(C192, [3]Rainfall_Dry!$A$2:$A$217,0)),"")</f>
        <v>162.634207253</v>
      </c>
      <c r="AA192" s="250">
        <v>25.96</v>
      </c>
      <c r="AB192" s="250">
        <v>8.9200000000000017</v>
      </c>
      <c r="AC192" s="250">
        <v>65.12</v>
      </c>
      <c r="AD192" s="251" t="s">
        <v>2651</v>
      </c>
      <c r="AE192" s="250">
        <v>7.6991621488417898</v>
      </c>
      <c r="AF192">
        <f>IF('WetLitterbags placem_collection'!AB193="","",'WetLitterbags placem_collection'!AB193)</f>
        <v>12.4</v>
      </c>
      <c r="AG192">
        <f>IF('WetLitterbags placem_collection'!Z193="","",'WetLitterbags placem_collection'!Z193)</f>
        <v>29.8</v>
      </c>
      <c r="AH192" s="236" t="str">
        <f>IF('WetLitterbags placem_collection'!AA193="","",'WetLitterbags placem_collection'!AA193)</f>
        <v>O</v>
      </c>
      <c r="AI192">
        <f>IF('WetLitterbags placem_collection'!AC193="","",'WetLitterbags placem_collection'!AC193)</f>
        <v>0</v>
      </c>
      <c r="AJ192">
        <f>IFERROR(AVERAGE('Dry_Litterbag Placem_Collection'!O193,'Dry_Litterbag Placem_Collection'!R193),"")</f>
        <v>6.45</v>
      </c>
      <c r="AK192" s="261">
        <f>IFERROR(AVERAGE('Dry_Litterbag Placem_Collection'!N193,'Dry_Litterbag Placem_Collection'!Q193),"")</f>
        <v>36.349999999999994</v>
      </c>
      <c r="AL192" s="260">
        <f>INDEX([2]Coordinates!$B$2:$B$197,MATCH(I192,[2]Coordinates!$J$2:$J$197,0))</f>
        <v>-2.278704029</v>
      </c>
      <c r="AM192" s="260">
        <f>INDEX([2]Coordinates!$C$2:$C$197,MATCH(I192,[2]Coordinates!$J$2:$J$197,0))</f>
        <v>34.032182970000001</v>
      </c>
      <c r="AN192" s="260" t="str">
        <f>IF(ISNUMBER(SEARCH("C", 'Dry_Litterbag Placem_Collection'!S193)),"YES","NO")</f>
        <v>NO</v>
      </c>
      <c r="AO192" s="260" t="str">
        <f>IF(ISNUMBER(SEARCH("H", 'Dry_Litterbag Placem_Collection'!S193)),"YES","NO")</f>
        <v>NO</v>
      </c>
      <c r="AP192" s="260" t="str">
        <f>IF(ISNUMBER(SEARCH("R", 'Dry_Litterbag Placem_Collection'!S193)),"YES","NO")</f>
        <v>NO</v>
      </c>
    </row>
    <row r="193" spans="1:42" ht="15" customHeight="1">
      <c r="A193" t="s">
        <v>3248</v>
      </c>
      <c r="B193" s="252" t="s">
        <v>2643</v>
      </c>
      <c r="C193" s="253">
        <f>'Dry_Litterbag Placem_Collection'!A194</f>
        <v>192</v>
      </c>
      <c r="D193" s="253" t="str">
        <f>'Dry_Litterbag Placem_Collection'!B194</f>
        <v>Handajega</v>
      </c>
      <c r="E193" s="253" t="s">
        <v>2454</v>
      </c>
      <c r="F193" s="253" t="s">
        <v>2645</v>
      </c>
      <c r="G193" s="253">
        <v>4</v>
      </c>
      <c r="H193" s="253" t="s">
        <v>3130</v>
      </c>
      <c r="I193" s="254" t="str">
        <f>'Dry_Litterbag Placem_Collection'!C194</f>
        <v>Wet_W4_T8</v>
      </c>
      <c r="J193" s="255" t="s">
        <v>2525</v>
      </c>
      <c r="K193" s="256" t="s">
        <v>1147</v>
      </c>
      <c r="L193" s="253" t="str">
        <f>IF(ISBLANK('Dry_Litterbag Placem_Collection'!J194),"","G"&amp;""&amp;'Dry_Litterbag Placem_Collection'!J194)</f>
        <v/>
      </c>
      <c r="M193" s="257" t="str">
        <f>IFERROR(INDEX('Green_rooibos initial weight'!$C$5:$C$2000,MATCH(L193, 'Green_rooibos initial weight'!$A$5:$A$2000,0)),"")</f>
        <v/>
      </c>
      <c r="N193" s="257" t="str">
        <f>IFERROR(M193-(TBIcalc!$Q$9+TBIcalc!$Q$10),"")</f>
        <v/>
      </c>
      <c r="O193" s="378">
        <f>AVERAGE(Ashed_controlls!$K$2:$K$11)</f>
        <v>5.5147656768714146</v>
      </c>
      <c r="P193" s="257" t="str">
        <f t="shared" si="11"/>
        <v/>
      </c>
      <c r="Q193" s="257" t="str">
        <f>IFERROR(INDEX('Both teabags AfterDry'!$D$2:$D$2000,MATCH(L193,'Both teabags AfterDry'!$A$2:$A$2000,0)),"")</f>
        <v/>
      </c>
      <c r="R193" s="257" t="str">
        <f>IFERROR(IF(Q193&gt;0,Q193-(TBIcalc!$Q$9),""),"")</f>
        <v/>
      </c>
      <c r="S193" s="268" t="str">
        <f>IFERROR(INDEX('Ashed teabags dry'!$K$2:$K$2000,MATCH(L193,'Ashed teabags dry'!$A$2:$A$2000,0)),"")</f>
        <v/>
      </c>
      <c r="T193" s="268" t="str">
        <f t="shared" si="12"/>
        <v/>
      </c>
      <c r="U193" s="258" t="str">
        <f>IF('Dry_Litterbag Placem_Collection'!E194="","",'Dry_Litterbag Placem_Collection'!E194)</f>
        <v/>
      </c>
      <c r="V193" s="258" t="str">
        <f>IF('Dry_Litterbag Placem_Collection'!G194="","",'Dry_Litterbag Placem_Collection'!G194)</f>
        <v/>
      </c>
      <c r="W193" s="259" t="str">
        <f t="shared" si="10"/>
        <v/>
      </c>
      <c r="X193" s="257" t="str">
        <f t="shared" si="13"/>
        <v/>
      </c>
      <c r="Y193" s="257" t="str">
        <f t="shared" si="14"/>
        <v/>
      </c>
      <c r="Z193" s="261" t="str">
        <f>IFERROR(INDEX([3]Rainfall_Dry!$O$2:$O$217,MATCH(C193, [3]Rainfall_Dry!$A$2:$A$217,0)),"")</f>
        <v/>
      </c>
      <c r="AA193" s="250">
        <v>25.96</v>
      </c>
      <c r="AB193" s="250">
        <v>8.9200000000000017</v>
      </c>
      <c r="AC193" s="250">
        <v>65.12</v>
      </c>
      <c r="AD193" s="251" t="s">
        <v>2651</v>
      </c>
      <c r="AE193" s="250">
        <v>8.6991621488417898</v>
      </c>
      <c r="AF193">
        <f>IF('WetLitterbags placem_collection'!AB194="","",'WetLitterbags placem_collection'!AB194)</f>
        <v>3.6</v>
      </c>
      <c r="AG193">
        <f>IF('WetLitterbags placem_collection'!Z194="","",'WetLitterbags placem_collection'!Z194)</f>
        <v>37.799999999999997</v>
      </c>
      <c r="AH193" s="236" t="str">
        <f>IF('WetLitterbags placem_collection'!AA194="","",'WetLitterbags placem_collection'!AA194)</f>
        <v>O</v>
      </c>
      <c r="AI193">
        <f>IF('WetLitterbags placem_collection'!AC194="","",'WetLitterbags placem_collection'!AC194)</f>
        <v>0</v>
      </c>
      <c r="AJ193" t="str">
        <f>IFERROR(AVERAGE('Dry_Litterbag Placem_Collection'!O194,'Dry_Litterbag Placem_Collection'!R194),"")</f>
        <v/>
      </c>
      <c r="AK193" s="261" t="str">
        <f>IFERROR(AVERAGE('Dry_Litterbag Placem_Collection'!N194,'Dry_Litterbag Placem_Collection'!Q194),"")</f>
        <v/>
      </c>
      <c r="AL193" s="260">
        <f>INDEX([2]Coordinates!$B$2:$B$197,MATCH(I193,[2]Coordinates!$J$2:$J$197,0))</f>
        <v>-2.2789770269999998</v>
      </c>
      <c r="AM193" s="260">
        <f>INDEX([2]Coordinates!$C$2:$C$197,MATCH(I193,[2]Coordinates!$J$2:$J$197,0))</f>
        <v>34.032051039999999</v>
      </c>
      <c r="AN193" s="260" t="str">
        <f>IF(ISNUMBER(SEARCH("C", 'Dry_Litterbag Placem_Collection'!S194)),"YES","NO")</f>
        <v>NO</v>
      </c>
      <c r="AO193" s="260" t="str">
        <f>IF(ISNUMBER(SEARCH("H", 'Dry_Litterbag Placem_Collection'!S194)),"YES","NO")</f>
        <v>NO</v>
      </c>
      <c r="AP193" s="260" t="str">
        <f>IF(ISNUMBER(SEARCH("R", 'Dry_Litterbag Placem_Collection'!S194)),"YES","NO")</f>
        <v>NO</v>
      </c>
    </row>
    <row r="194" spans="1:42" ht="15" customHeight="1">
      <c r="A194" t="s">
        <v>2490</v>
      </c>
      <c r="B194" s="252" t="s">
        <v>2643</v>
      </c>
      <c r="C194" s="253">
        <f>'Dry_Litterbag Placem_Collection'!A195</f>
        <v>193</v>
      </c>
      <c r="D194" s="253" t="str">
        <f>'Dry_Litterbag Placem_Collection'!B195</f>
        <v>Makao</v>
      </c>
      <c r="E194" s="253" t="s">
        <v>2643</v>
      </c>
      <c r="F194" s="253" t="s">
        <v>2644</v>
      </c>
      <c r="G194" s="253">
        <v>4</v>
      </c>
      <c r="H194" s="253" t="s">
        <v>3099</v>
      </c>
      <c r="I194" s="254" t="str">
        <f>'Dry_Litterbag Placem_Collection'!C195</f>
        <v>Dry_Ag1_CG4</v>
      </c>
      <c r="J194" s="255" t="s">
        <v>2525</v>
      </c>
      <c r="K194" s="256" t="s">
        <v>1147</v>
      </c>
      <c r="L194" s="253" t="str">
        <f>IF(ISBLANK('Dry_Litterbag Placem_Collection'!J195),"","G"&amp;""&amp;'Dry_Litterbag Placem_Collection'!J195)</f>
        <v>G257</v>
      </c>
      <c r="M194" s="257">
        <f>IFERROR(INDEX('Green_rooibos initial weight'!$C$5:$C$2000,MATCH(L194, 'Green_rooibos initial weight'!$A$5:$A$2000,0)),"")</f>
        <v>1.9319999999999999</v>
      </c>
      <c r="N194" s="257">
        <f>IFERROR(M194-(TBIcalc!$Q$9+TBIcalc!$Q$10),"")</f>
        <v>1.6821999999999999</v>
      </c>
      <c r="O194" s="378">
        <f>AVERAGE(Ashed_controlls!$K$2:$K$11)</f>
        <v>5.5147656768714146</v>
      </c>
      <c r="P194" s="257">
        <f t="shared" si="11"/>
        <v>1.589430611783669</v>
      </c>
      <c r="Q194" s="257">
        <f>IFERROR(INDEX('Both teabags AfterDry'!$D$2:$D$2000,MATCH(L194,'Both teabags AfterDry'!$A$2:$A$2000,0)),"")</f>
        <v>0.67</v>
      </c>
      <c r="R194" s="257">
        <f>IFERROR(IF(Q194&gt;0,Q194-(TBIcalc!$Q$9),""),"")</f>
        <v>0.51940000000000008</v>
      </c>
      <c r="S194" s="268">
        <f>IFERROR(INDEX('Ashed teabags dry'!$K$2:$K$2000,MATCH(L194,'Ashed teabags dry'!$A$2:$A$2000,0)),"")</f>
        <v>13.170731707316666</v>
      </c>
      <c r="T194" s="268">
        <f t="shared" si="12"/>
        <v>0.45099121951219734</v>
      </c>
      <c r="U194" s="258">
        <f>IF('Dry_Litterbag Placem_Collection'!E195="","",'Dry_Litterbag Placem_Collection'!E195)</f>
        <v>42942</v>
      </c>
      <c r="V194" s="258">
        <f>IF('Dry_Litterbag Placem_Collection'!G195="","",'Dry_Litterbag Placem_Collection'!G195)</f>
        <v>43004</v>
      </c>
      <c r="W194" s="259">
        <f t="shared" ref="W194:W257" si="15">IFERROR(V194-U194,"")</f>
        <v>62</v>
      </c>
      <c r="X194" s="257">
        <f t="shared" si="13"/>
        <v>1.1627999999999998</v>
      </c>
      <c r="Y194" s="257">
        <f t="shared" si="14"/>
        <v>1.1384393922714717</v>
      </c>
      <c r="Z194" s="261">
        <f>IFERROR(INDEX([3]Rainfall_Dry!$O$2:$O$217,MATCH(C194, [3]Rainfall_Dry!$A$2:$A$217,0)),"")</f>
        <v>171.84818423999999</v>
      </c>
      <c r="AA194" s="250">
        <v>12.565665055683967</v>
      </c>
      <c r="AB194" s="250">
        <v>0.9665896196679955</v>
      </c>
      <c r="AC194" s="250">
        <v>86.467745324648035</v>
      </c>
      <c r="AD194" s="251" t="s">
        <v>2653</v>
      </c>
      <c r="AE194" s="250">
        <v>1.0225726959093147</v>
      </c>
      <c r="AF194">
        <f>IF('WetLitterbags placem_collection'!AB195="","",'WetLitterbags placem_collection'!AB195)</f>
        <v>15.2</v>
      </c>
      <c r="AG194">
        <f>IF('WetLitterbags placem_collection'!Z195="","",'WetLitterbags placem_collection'!Z195)</f>
        <v>12.2</v>
      </c>
      <c r="AH194" s="236" t="str">
        <f>IF('WetLitterbags placem_collection'!AA195="","",'WetLitterbags placem_collection'!AA195)</f>
        <v>O</v>
      </c>
      <c r="AI194">
        <f>IF('WetLitterbags placem_collection'!AC195="","",'WetLitterbags placem_collection'!AC195)</f>
        <v>1</v>
      </c>
      <c r="AJ194">
        <f>IFERROR(AVERAGE('Dry_Litterbag Placem_Collection'!O195,'Dry_Litterbag Placem_Collection'!R195),"")</f>
        <v>5.0999999999999996</v>
      </c>
      <c r="AK194" s="261">
        <f>IFERROR(AVERAGE('Dry_Litterbag Placem_Collection'!N195,'Dry_Litterbag Placem_Collection'!Q195),"")</f>
        <v>28.799999999999997</v>
      </c>
      <c r="AL194">
        <v>-2.4396949910000001</v>
      </c>
      <c r="AM194">
        <v>34.838574029999997</v>
      </c>
      <c r="AN194" s="260" t="str">
        <f>IF(ISNUMBER(SEARCH("C", 'Dry_Litterbag Placem_Collection'!S195)),"YES","NO")</f>
        <v>NO</v>
      </c>
      <c r="AO194" s="260" t="str">
        <f>IF(ISNUMBER(SEARCH("H", 'Dry_Litterbag Placem_Collection'!S195)),"YES","NO")</f>
        <v>NO</v>
      </c>
      <c r="AP194" s="260" t="str">
        <f>IF(ISNUMBER(SEARCH("R", 'Dry_Litterbag Placem_Collection'!S195)),"YES","NO")</f>
        <v>YES</v>
      </c>
    </row>
    <row r="195" spans="1:42" ht="15" customHeight="1">
      <c r="A195" t="s">
        <v>2490</v>
      </c>
      <c r="B195" s="252" t="s">
        <v>2643</v>
      </c>
      <c r="C195" s="253">
        <f>'Dry_Litterbag Placem_Collection'!A196</f>
        <v>194</v>
      </c>
      <c r="D195" s="253" t="str">
        <f>'Dry_Litterbag Placem_Collection'!B196</f>
        <v>Makao</v>
      </c>
      <c r="E195" s="253" t="s">
        <v>2643</v>
      </c>
      <c r="F195" s="253" t="s">
        <v>2644</v>
      </c>
      <c r="G195" s="253">
        <v>3</v>
      </c>
      <c r="H195" s="253" t="s">
        <v>3103</v>
      </c>
      <c r="I195" s="254" t="str">
        <f>'Dry_Litterbag Placem_Collection'!C196</f>
        <v>Dry_Ag2_CG3</v>
      </c>
      <c r="J195" s="255" t="s">
        <v>2525</v>
      </c>
      <c r="K195" s="256" t="s">
        <v>1147</v>
      </c>
      <c r="L195" s="253" t="str">
        <f>IF(ISBLANK('Dry_Litterbag Placem_Collection'!J196),"","G"&amp;""&amp;'Dry_Litterbag Placem_Collection'!J196)</f>
        <v>G148</v>
      </c>
      <c r="M195" s="257">
        <f>IFERROR(INDEX('Green_rooibos initial weight'!$C$5:$C$2000,MATCH(L195, 'Green_rooibos initial weight'!$A$5:$A$2000,0)),"")</f>
        <v>2.0710000000000002</v>
      </c>
      <c r="N195" s="257">
        <f>IFERROR(M195-(TBIcalc!$Q$9+TBIcalc!$Q$10),"")</f>
        <v>1.8212000000000002</v>
      </c>
      <c r="O195" s="378">
        <f>AVERAGE(Ashed_controlls!$K$2:$K$11)</f>
        <v>5.5147656768714146</v>
      </c>
      <c r="P195" s="257">
        <f t="shared" ref="P195:P258" si="16">IFERROR(N195-(O195/100)*N195,"")</f>
        <v>1.720765087492818</v>
      </c>
      <c r="Q195" s="257">
        <f>IFERROR(INDEX('Both teabags AfterDry'!$D$2:$D$2000,MATCH(L195,'Both teabags AfterDry'!$A$2:$A$2000,0)),"")</f>
        <v>0.433</v>
      </c>
      <c r="R195" s="257">
        <f>IFERROR(IF(Q195&gt;0,Q195-(TBIcalc!$Q$9),""),"")</f>
        <v>0.28239999999999998</v>
      </c>
      <c r="S195" s="268">
        <f>IFERROR(INDEX('Ashed teabags dry'!$K$2:$K$2000,MATCH(L195,'Ashed teabags dry'!$A$2:$A$2000,0)),"")</f>
        <v>15.447941888619916</v>
      </c>
      <c r="T195" s="268">
        <f t="shared" ref="T195:T258" si="17">IFERROR(R195-(S195/100)*R195,"")</f>
        <v>0.23877501210653734</v>
      </c>
      <c r="U195" s="258">
        <f>IF('Dry_Litterbag Placem_Collection'!E196="","",'Dry_Litterbag Placem_Collection'!E196)</f>
        <v>42942</v>
      </c>
      <c r="V195" s="258">
        <f>IF('Dry_Litterbag Placem_Collection'!G196="","",'Dry_Litterbag Placem_Collection'!G196)</f>
        <v>43004</v>
      </c>
      <c r="W195" s="259">
        <f t="shared" si="15"/>
        <v>62</v>
      </c>
      <c r="X195" s="257">
        <f t="shared" ref="X195:X258" si="18">IFERROR(N195-R195,"")</f>
        <v>1.5388000000000002</v>
      </c>
      <c r="Y195" s="257">
        <f t="shared" ref="Y195:Y258" si="19">IFERROR(P195-T195,"")</f>
        <v>1.4819900753862807</v>
      </c>
      <c r="Z195" s="261">
        <f>IFERROR(INDEX([3]Rainfall_Dry!$O$2:$O$217,MATCH(C195, [3]Rainfall_Dry!$A$2:$A$217,0)),"")</f>
        <v>171.84818423999999</v>
      </c>
      <c r="AA195" s="250">
        <v>21.13063730679653</v>
      </c>
      <c r="AB195" s="250">
        <v>3.0912555579081076</v>
      </c>
      <c r="AC195" s="250">
        <v>75.778107135295357</v>
      </c>
      <c r="AD195" s="251" t="s">
        <v>2651</v>
      </c>
      <c r="AE195" s="250">
        <v>0.46131099063578063</v>
      </c>
      <c r="AF195">
        <f>IF('WetLitterbags placem_collection'!AB196="","",'WetLitterbags placem_collection'!AB196)</f>
        <v>7.9</v>
      </c>
      <c r="AG195">
        <f>IF('WetLitterbags placem_collection'!Z196="","",'WetLitterbags placem_collection'!Z196)</f>
        <v>7.9</v>
      </c>
      <c r="AH195" s="236" t="str">
        <f>IF('WetLitterbags placem_collection'!AA196="","",'WetLitterbags placem_collection'!AA196)</f>
        <v>O</v>
      </c>
      <c r="AI195">
        <f>IF('WetLitterbags placem_collection'!AC196="","",'WetLitterbags placem_collection'!AC196)</f>
        <v>1</v>
      </c>
      <c r="AJ195">
        <f>IFERROR(AVERAGE('Dry_Litterbag Placem_Collection'!O196,'Dry_Litterbag Placem_Collection'!R196),"")</f>
        <v>5.4</v>
      </c>
      <c r="AK195" s="261">
        <f>IFERROR(AVERAGE('Dry_Litterbag Placem_Collection'!N196,'Dry_Litterbag Placem_Collection'!Q196),"")</f>
        <v>30.849999999999998</v>
      </c>
      <c r="AL195">
        <v>-2.4395990190000001</v>
      </c>
      <c r="AM195">
        <v>34.838418959999998</v>
      </c>
      <c r="AN195" s="260" t="str">
        <f>IF(ISNUMBER(SEARCH("C", 'Dry_Litterbag Placem_Collection'!S196)),"YES","NO")</f>
        <v>NO</v>
      </c>
      <c r="AO195" s="260" t="str">
        <f>IF(ISNUMBER(SEARCH("H", 'Dry_Litterbag Placem_Collection'!S196)),"YES","NO")</f>
        <v>YES</v>
      </c>
      <c r="AP195" s="260" t="str">
        <f>IF(ISNUMBER(SEARCH("R", 'Dry_Litterbag Placem_Collection'!S196)),"YES","NO")</f>
        <v>YES</v>
      </c>
    </row>
    <row r="196" spans="1:42" ht="15" customHeight="1">
      <c r="A196" t="s">
        <v>2490</v>
      </c>
      <c r="B196" s="252" t="s">
        <v>2643</v>
      </c>
      <c r="C196" s="253">
        <f>'Dry_Litterbag Placem_Collection'!A197</f>
        <v>195</v>
      </c>
      <c r="D196" s="253" t="str">
        <f>'Dry_Litterbag Placem_Collection'!B197</f>
        <v>Makao</v>
      </c>
      <c r="E196" s="253" t="s">
        <v>2643</v>
      </c>
      <c r="F196" s="253" t="s">
        <v>2644</v>
      </c>
      <c r="G196" s="253">
        <v>2</v>
      </c>
      <c r="H196" s="253" t="s">
        <v>3104</v>
      </c>
      <c r="I196" s="254" t="str">
        <f>'Dry_Litterbag Placem_Collection'!C197</f>
        <v>Dry_Ag3_CG2</v>
      </c>
      <c r="J196" s="255" t="s">
        <v>2525</v>
      </c>
      <c r="K196" s="256" t="s">
        <v>1147</v>
      </c>
      <c r="L196" s="253" t="str">
        <f>IF(ISBLANK('Dry_Litterbag Placem_Collection'!J197),"","G"&amp;""&amp;'Dry_Litterbag Placem_Collection'!J197)</f>
        <v>G105</v>
      </c>
      <c r="M196" s="257">
        <f>IFERROR(INDEX('Green_rooibos initial weight'!$C$5:$C$2000,MATCH(L196, 'Green_rooibos initial weight'!$A$5:$A$2000,0)),"")</f>
        <v>2.1440000000000001</v>
      </c>
      <c r="N196" s="257">
        <f>IFERROR(M196-(TBIcalc!$Q$9+TBIcalc!$Q$10),"")</f>
        <v>1.8942000000000001</v>
      </c>
      <c r="O196" s="378">
        <f>AVERAGE(Ashed_controlls!$K$2:$K$11)</f>
        <v>5.5147656768714146</v>
      </c>
      <c r="P196" s="257">
        <f t="shared" si="16"/>
        <v>1.7897393085487017</v>
      </c>
      <c r="Q196" s="257">
        <f>IFERROR(INDEX('Both teabags AfterDry'!$D$2:$D$2000,MATCH(L196,'Both teabags AfterDry'!$A$2:$A$2000,0)),"")</f>
        <v>1.2050000000000001</v>
      </c>
      <c r="R196" s="257">
        <f>IFERROR(IF(Q196&gt;0,Q196-(TBIcalc!$Q$9),""),"")</f>
        <v>1.0544</v>
      </c>
      <c r="S196" s="268">
        <f>IFERROR(INDEX('Ashed teabags dry'!$K$2:$K$2000,MATCH(L196,'Ashed teabags dry'!$A$2:$A$2000,0)),"")</f>
        <v>44.075144508670796</v>
      </c>
      <c r="T196" s="268">
        <f t="shared" si="17"/>
        <v>0.58967167630057515</v>
      </c>
      <c r="U196" s="258">
        <f>IF('Dry_Litterbag Placem_Collection'!E197="","",'Dry_Litterbag Placem_Collection'!E197)</f>
        <v>42942</v>
      </c>
      <c r="V196" s="258">
        <f>IF('Dry_Litterbag Placem_Collection'!G197="","",'Dry_Litterbag Placem_Collection'!G197)</f>
        <v>43004</v>
      </c>
      <c r="W196" s="259">
        <f t="shared" si="15"/>
        <v>62</v>
      </c>
      <c r="X196" s="257">
        <f t="shared" si="18"/>
        <v>0.8398000000000001</v>
      </c>
      <c r="Y196" s="257">
        <f t="shared" si="19"/>
        <v>1.2000676322481265</v>
      </c>
      <c r="Z196" s="261">
        <f>IFERROR(INDEX([3]Rainfall_Dry!$O$2:$O$217,MATCH(C196, [3]Rainfall_Dry!$A$2:$A$217,0)),"")</f>
        <v>171.84818423999999</v>
      </c>
      <c r="AA196" s="250">
        <v>54.080969906906262</v>
      </c>
      <c r="AB196" s="250">
        <v>21.264484651351896</v>
      </c>
      <c r="AC196" s="250">
        <v>24.654545441741845</v>
      </c>
      <c r="AD196" s="251" t="s">
        <v>2654</v>
      </c>
      <c r="AE196" s="250">
        <v>1.8433218334154755</v>
      </c>
      <c r="AF196">
        <f>IF('WetLitterbags placem_collection'!AB197="","",'WetLitterbags placem_collection'!AB197)</f>
        <v>5.13</v>
      </c>
      <c r="AG196">
        <f>IF('WetLitterbags placem_collection'!Z197="","",'WetLitterbags placem_collection'!Z197)</f>
        <v>5.13</v>
      </c>
      <c r="AH196" s="236" t="str">
        <f>IF('WetLitterbags placem_collection'!AA197="","",'WetLitterbags placem_collection'!AA197)</f>
        <v>O</v>
      </c>
      <c r="AI196">
        <f>IF('WetLitterbags placem_collection'!AC197="","",'WetLitterbags placem_collection'!AC197)</f>
        <v>1</v>
      </c>
      <c r="AJ196">
        <f>IFERROR(AVERAGE('Dry_Litterbag Placem_Collection'!O197,'Dry_Litterbag Placem_Collection'!R197),"")</f>
        <v>11.4</v>
      </c>
      <c r="AK196" s="261">
        <f>IFERROR(AVERAGE('Dry_Litterbag Placem_Collection'!N197,'Dry_Litterbag Placem_Collection'!Q197),"")</f>
        <v>28.1</v>
      </c>
      <c r="AL196">
        <v>-2.4396450349999999</v>
      </c>
      <c r="AM196">
        <v>34.83836599</v>
      </c>
      <c r="AN196" s="260" t="str">
        <f>IF(ISNUMBER(SEARCH("C", 'Dry_Litterbag Placem_Collection'!S197)),"YES","NO")</f>
        <v>NO</v>
      </c>
      <c r="AO196" s="260" t="str">
        <f>IF(ISNUMBER(SEARCH("H", 'Dry_Litterbag Placem_Collection'!S197)),"YES","NO")</f>
        <v>YES</v>
      </c>
      <c r="AP196" s="260" t="str">
        <f>IF(ISNUMBER(SEARCH("R", 'Dry_Litterbag Placem_Collection'!S197)),"YES","NO")</f>
        <v>YES</v>
      </c>
    </row>
    <row r="197" spans="1:42" ht="15" customHeight="1">
      <c r="A197" t="s">
        <v>2490</v>
      </c>
      <c r="B197" s="252" t="s">
        <v>2643</v>
      </c>
      <c r="C197" s="253">
        <f>'Dry_Litterbag Placem_Collection'!A198</f>
        <v>196</v>
      </c>
      <c r="D197" s="253" t="str">
        <f>'Dry_Litterbag Placem_Collection'!B198</f>
        <v>Makao</v>
      </c>
      <c r="E197" s="253" t="s">
        <v>2643</v>
      </c>
      <c r="F197" s="253" t="s">
        <v>2644</v>
      </c>
      <c r="G197" s="253">
        <v>1</v>
      </c>
      <c r="H197" s="253" t="s">
        <v>3105</v>
      </c>
      <c r="I197" s="254" t="str">
        <f>'Dry_Litterbag Placem_Collection'!C198</f>
        <v>Dry_Ag4_CG1</v>
      </c>
      <c r="J197" s="255" t="s">
        <v>2525</v>
      </c>
      <c r="K197" s="256" t="s">
        <v>1147</v>
      </c>
      <c r="L197" s="253" t="str">
        <f>IF(ISBLANK('Dry_Litterbag Placem_Collection'!J198),"","G"&amp;""&amp;'Dry_Litterbag Placem_Collection'!J198)</f>
        <v>G12</v>
      </c>
      <c r="M197" s="257">
        <f>IFERROR(INDEX('Green_rooibos initial weight'!$C$5:$C$2000,MATCH(L197, 'Green_rooibos initial weight'!$A$5:$A$2000,0)),"")</f>
        <v>1.9870000000000001</v>
      </c>
      <c r="N197" s="257">
        <f>IFERROR(M197-(TBIcalc!$Q$9+TBIcalc!$Q$10),"")</f>
        <v>1.7372000000000001</v>
      </c>
      <c r="O197" s="378">
        <f>AVERAGE(Ashed_controlls!$K$2:$K$11)</f>
        <v>5.5147656768714146</v>
      </c>
      <c r="P197" s="257">
        <f t="shared" si="16"/>
        <v>1.64139749066139</v>
      </c>
      <c r="Q197" s="257">
        <f>IFERROR(INDEX('Both teabags AfterDry'!$D$2:$D$2000,MATCH(L197,'Both teabags AfterDry'!$A$2:$A$2000,0)),"")</f>
        <v>0.748</v>
      </c>
      <c r="R197" s="257">
        <f>IFERROR(IF(Q197&gt;0,Q197-(TBIcalc!$Q$9),""),"")</f>
        <v>0.59739999999999993</v>
      </c>
      <c r="S197" s="268">
        <f>IFERROR(INDEX('Ashed teabags dry'!$K$2:$K$2000,MATCH(L197,'Ashed teabags dry'!$A$2:$A$2000,0)),"")</f>
        <v>27.855421686746478</v>
      </c>
      <c r="T197" s="268">
        <f t="shared" si="17"/>
        <v>0.43099171084337651</v>
      </c>
      <c r="U197" s="258">
        <f>IF('Dry_Litterbag Placem_Collection'!E198="","",'Dry_Litterbag Placem_Collection'!E198)</f>
        <v>42942</v>
      </c>
      <c r="V197" s="258">
        <f>IF('Dry_Litterbag Placem_Collection'!G198="","",'Dry_Litterbag Placem_Collection'!G198)</f>
        <v>43004</v>
      </c>
      <c r="W197" s="259">
        <f t="shared" si="15"/>
        <v>62</v>
      </c>
      <c r="X197" s="257">
        <f t="shared" si="18"/>
        <v>1.1398000000000001</v>
      </c>
      <c r="Y197" s="257">
        <f t="shared" si="19"/>
        <v>1.2104057798180134</v>
      </c>
      <c r="Z197" s="261">
        <f>IFERROR(INDEX([3]Rainfall_Dry!$O$2:$O$217,MATCH(C197, [3]Rainfall_Dry!$A$2:$A$217,0)),"")</f>
        <v>171.84818423999999</v>
      </c>
      <c r="AA197" s="250">
        <v>51.960000000000008</v>
      </c>
      <c r="AB197" s="250">
        <v>18.919999999999995</v>
      </c>
      <c r="AC197" s="250">
        <v>29.120000000000005</v>
      </c>
      <c r="AD197" s="251" t="s">
        <v>2654</v>
      </c>
      <c r="AE197" s="250">
        <v>1.85293247905372</v>
      </c>
      <c r="AF197">
        <f>IF('WetLitterbags placem_collection'!AB198="","",'WetLitterbags placem_collection'!AB198)</f>
        <v>13.8</v>
      </c>
      <c r="AG197">
        <f>IF('WetLitterbags placem_collection'!Z198="","",'WetLitterbags placem_collection'!Z198)</f>
        <v>17.399999999999999</v>
      </c>
      <c r="AH197" s="236" t="str">
        <f>IF('WetLitterbags placem_collection'!AA198="","",'WetLitterbags placem_collection'!AA198)</f>
        <v>O</v>
      </c>
      <c r="AI197">
        <f>IF('WetLitterbags placem_collection'!AC198="","",'WetLitterbags placem_collection'!AC198)</f>
        <v>1</v>
      </c>
      <c r="AJ197">
        <f>IFERROR(AVERAGE('Dry_Litterbag Placem_Collection'!O198,'Dry_Litterbag Placem_Collection'!R198),"")</f>
        <v>12.45</v>
      </c>
      <c r="AK197" s="261">
        <f>IFERROR(AVERAGE('Dry_Litterbag Placem_Collection'!N198,'Dry_Litterbag Placem_Collection'!Q198),"")</f>
        <v>26.65</v>
      </c>
      <c r="AL197">
        <v>-2.439403972</v>
      </c>
      <c r="AM197">
        <v>34.838404959999998</v>
      </c>
      <c r="AN197" s="260" t="str">
        <f>IF(ISNUMBER(SEARCH("C", 'Dry_Litterbag Placem_Collection'!S198)),"YES","NO")</f>
        <v>NO</v>
      </c>
      <c r="AO197" s="260" t="str">
        <f>IF(ISNUMBER(SEARCH("H", 'Dry_Litterbag Placem_Collection'!S198)),"YES","NO")</f>
        <v>YES</v>
      </c>
      <c r="AP197" s="260" t="str">
        <f>IF(ISNUMBER(SEARCH("R", 'Dry_Litterbag Placem_Collection'!S198)),"YES","NO")</f>
        <v>NO</v>
      </c>
    </row>
    <row r="198" spans="1:42" ht="15" customHeight="1">
      <c r="A198" t="s">
        <v>2490</v>
      </c>
      <c r="B198" s="252" t="s">
        <v>2643</v>
      </c>
      <c r="C198" s="253">
        <f>'Dry_Litterbag Placem_Collection'!A199</f>
        <v>197</v>
      </c>
      <c r="D198" s="253" t="str">
        <f>'Dry_Litterbag Placem_Collection'!B199</f>
        <v>Makao</v>
      </c>
      <c r="E198" s="253" t="s">
        <v>2643</v>
      </c>
      <c r="F198" s="253" t="s">
        <v>20</v>
      </c>
      <c r="G198" s="253">
        <v>2</v>
      </c>
      <c r="H198" s="253" t="s">
        <v>3106</v>
      </c>
      <c r="I198" s="254" t="str">
        <f>'Dry_Litterbag Placem_Collection'!C199</f>
        <v>Dry_P1_CG2</v>
      </c>
      <c r="J198" s="255" t="s">
        <v>2525</v>
      </c>
      <c r="K198" s="256" t="s">
        <v>1147</v>
      </c>
      <c r="L198" s="253" t="str">
        <f>IF(ISBLANK('Dry_Litterbag Placem_Collection'!J199),"","G"&amp;""&amp;'Dry_Litterbag Placem_Collection'!J199)</f>
        <v>G399</v>
      </c>
      <c r="M198" s="257">
        <f>IFERROR(INDEX('Green_rooibos initial weight'!$C$5:$C$2000,MATCH(L198, 'Green_rooibos initial weight'!$A$5:$A$2000,0)),"")</f>
        <v>2.0070000000000001</v>
      </c>
      <c r="N198" s="257">
        <f>IFERROR(M198-(TBIcalc!$Q$9+TBIcalc!$Q$10),"")</f>
        <v>1.7572000000000001</v>
      </c>
      <c r="O198" s="378">
        <f>AVERAGE(Ashed_controlls!$K$2:$K$11)</f>
        <v>5.5147656768714146</v>
      </c>
      <c r="P198" s="257">
        <f t="shared" si="16"/>
        <v>1.6602945375260156</v>
      </c>
      <c r="Q198" s="257">
        <f>IFERROR(INDEX('Both teabags AfterDry'!$D$2:$D$2000,MATCH(L198,'Both teabags AfterDry'!$A$2:$A$2000,0)),"")</f>
        <v>0.69</v>
      </c>
      <c r="R198" s="257">
        <f>IFERROR(IF(Q198&gt;0,Q198-(TBIcalc!$Q$9),""),"")</f>
        <v>0.53939999999999988</v>
      </c>
      <c r="S198" s="268">
        <f>IFERROR(INDEX('Ashed teabags dry'!$K$2:$K$2000,MATCH(L198,'Ashed teabags dry'!$A$2:$A$2000,0)),"")</f>
        <v>18.458698661744211</v>
      </c>
      <c r="T198" s="268">
        <f t="shared" si="17"/>
        <v>0.43983377941855162</v>
      </c>
      <c r="U198" s="258">
        <f>IF('Dry_Litterbag Placem_Collection'!E199="","",'Dry_Litterbag Placem_Collection'!E199)</f>
        <v>42942</v>
      </c>
      <c r="V198" s="258">
        <f>IF('Dry_Litterbag Placem_Collection'!G199="","",'Dry_Litterbag Placem_Collection'!G199)</f>
        <v>43004</v>
      </c>
      <c r="W198" s="259">
        <f t="shared" si="15"/>
        <v>62</v>
      </c>
      <c r="X198" s="257">
        <f t="shared" si="18"/>
        <v>1.2178000000000002</v>
      </c>
      <c r="Y198" s="257">
        <f t="shared" si="19"/>
        <v>1.220460758107464</v>
      </c>
      <c r="Z198" s="261">
        <f>IFERROR(INDEX([3]Rainfall_Dry!$O$2:$O$217,MATCH(C198, [3]Rainfall_Dry!$A$2:$A$217,0)),"")</f>
        <v>171.84818423999999</v>
      </c>
      <c r="AA198" s="250">
        <v>23.96</v>
      </c>
      <c r="AB198" s="250">
        <v>0.91999999999999804</v>
      </c>
      <c r="AC198" s="250">
        <v>75.12</v>
      </c>
      <c r="AD198" s="251" t="s">
        <v>2651</v>
      </c>
      <c r="AE198" s="250">
        <v>1.2493839329719072</v>
      </c>
      <c r="AF198">
        <f>IF('WetLitterbags placem_collection'!AB199="","",'WetLitterbags placem_collection'!AB199)</f>
        <v>5.13</v>
      </c>
      <c r="AG198">
        <f>IF('WetLitterbags placem_collection'!Z199="","",'WetLitterbags placem_collection'!Z199)</f>
        <v>5.13</v>
      </c>
      <c r="AH198" s="236" t="str">
        <f>IF('WetLitterbags placem_collection'!AA199="","",'WetLitterbags placem_collection'!AA199)</f>
        <v>O</v>
      </c>
      <c r="AI198">
        <f>IF('WetLitterbags placem_collection'!AC199="","",'WetLitterbags placem_collection'!AC199)</f>
        <v>1</v>
      </c>
      <c r="AJ198">
        <f>IFERROR(AVERAGE('Dry_Litterbag Placem_Collection'!O199,'Dry_Litterbag Placem_Collection'!R199),"")</f>
        <v>6.3000000000000007</v>
      </c>
      <c r="AK198" s="261">
        <f>IFERROR(AVERAGE('Dry_Litterbag Placem_Collection'!N199,'Dry_Litterbag Placem_Collection'!Q199),"")</f>
        <v>29.05</v>
      </c>
      <c r="AL198">
        <v>-2.4396450349999999</v>
      </c>
      <c r="AM198">
        <v>34.83836599</v>
      </c>
      <c r="AN198" s="260" t="str">
        <f>IF(ISNUMBER(SEARCH("C", 'Dry_Litterbag Placem_Collection'!S199)),"YES","NO")</f>
        <v>NO</v>
      </c>
      <c r="AO198" s="260" t="str">
        <f>IF(ISNUMBER(SEARCH("H", 'Dry_Litterbag Placem_Collection'!S199)),"YES","NO")</f>
        <v>NO</v>
      </c>
      <c r="AP198" s="260" t="str">
        <f>IF(ISNUMBER(SEARCH("R", 'Dry_Litterbag Placem_Collection'!S199)),"YES","NO")</f>
        <v>YES</v>
      </c>
    </row>
    <row r="199" spans="1:42" ht="15" customHeight="1">
      <c r="A199" t="s">
        <v>2490</v>
      </c>
      <c r="B199" s="252" t="s">
        <v>2643</v>
      </c>
      <c r="C199" s="253">
        <f>'Dry_Litterbag Placem_Collection'!A200</f>
        <v>198</v>
      </c>
      <c r="D199" s="253" t="str">
        <f>'Dry_Litterbag Placem_Collection'!B200</f>
        <v>Makao</v>
      </c>
      <c r="E199" s="253" t="s">
        <v>2643</v>
      </c>
      <c r="F199" s="253" t="s">
        <v>20</v>
      </c>
      <c r="G199" s="253">
        <v>3</v>
      </c>
      <c r="H199" s="253" t="s">
        <v>3108</v>
      </c>
      <c r="I199" s="254" t="str">
        <f>'Dry_Litterbag Placem_Collection'!C200</f>
        <v>Dry_P2_CG3</v>
      </c>
      <c r="J199" s="255" t="s">
        <v>2525</v>
      </c>
      <c r="K199" s="256" t="s">
        <v>1147</v>
      </c>
      <c r="L199" s="253" t="str">
        <f>IF(ISBLANK('Dry_Litterbag Placem_Collection'!J200),"","G"&amp;""&amp;'Dry_Litterbag Placem_Collection'!J200)</f>
        <v>G27</v>
      </c>
      <c r="M199" s="257">
        <f>IFERROR(INDEX('Green_rooibos initial weight'!$C$5:$C$2000,MATCH(L199, 'Green_rooibos initial weight'!$A$5:$A$2000,0)),"")</f>
        <v>1.966</v>
      </c>
      <c r="N199" s="257">
        <f>IFERROR(M199-(TBIcalc!$Q$9+TBIcalc!$Q$10),"")</f>
        <v>1.7161999999999999</v>
      </c>
      <c r="O199" s="378">
        <f>AVERAGE(Ashed_controlls!$K$2:$K$11)</f>
        <v>5.5147656768714146</v>
      </c>
      <c r="P199" s="257">
        <f t="shared" si="16"/>
        <v>1.6215555914535327</v>
      </c>
      <c r="Q199" s="257">
        <f>IFERROR(INDEX('Both teabags AfterDry'!$D$2:$D$2000,MATCH(L199,'Both teabags AfterDry'!$A$2:$A$2000,0)),"")</f>
        <v>0.73799999999999999</v>
      </c>
      <c r="R199" s="257">
        <f>IFERROR(IF(Q199&gt;0,Q199-(TBIcalc!$Q$9),""),"")</f>
        <v>0.58739999999999992</v>
      </c>
      <c r="S199" s="268">
        <f>IFERROR(INDEX('Ashed teabags dry'!$K$2:$K$2000,MATCH(L199,'Ashed teabags dry'!$A$2:$A$2000,0)),"")</f>
        <v>26.042177538007827</v>
      </c>
      <c r="T199" s="268">
        <f t="shared" si="17"/>
        <v>0.43442824914174194</v>
      </c>
      <c r="U199" s="258">
        <f>IF('Dry_Litterbag Placem_Collection'!E200="","",'Dry_Litterbag Placem_Collection'!E200)</f>
        <v>42942</v>
      </c>
      <c r="V199" s="258">
        <f>IF('Dry_Litterbag Placem_Collection'!G200="","",'Dry_Litterbag Placem_Collection'!G200)</f>
        <v>43004</v>
      </c>
      <c r="W199" s="259">
        <f t="shared" si="15"/>
        <v>62</v>
      </c>
      <c r="X199" s="257">
        <f t="shared" si="18"/>
        <v>1.1288</v>
      </c>
      <c r="Y199" s="257">
        <f t="shared" si="19"/>
        <v>1.1871273423117907</v>
      </c>
      <c r="Z199" s="261">
        <f>IFERROR(INDEX([3]Rainfall_Dry!$O$2:$O$217,MATCH(C199, [3]Rainfall_Dry!$A$2:$A$217,0)),"")</f>
        <v>171.84818423999999</v>
      </c>
      <c r="AA199" s="250">
        <v>19.96</v>
      </c>
      <c r="AB199" s="250">
        <v>4.9199999999999982</v>
      </c>
      <c r="AC199" s="250">
        <v>75.12</v>
      </c>
      <c r="AD199" s="251" t="s">
        <v>2652</v>
      </c>
      <c r="AE199" s="250">
        <v>1.641498275012321</v>
      </c>
      <c r="AF199">
        <f>IF('WetLitterbags placem_collection'!AB200="","",'WetLitterbags placem_collection'!AB200)</f>
        <v>7.9</v>
      </c>
      <c r="AG199">
        <f>IF('WetLitterbags placem_collection'!Z200="","",'WetLitterbags placem_collection'!Z200)</f>
        <v>7.9</v>
      </c>
      <c r="AH199" s="236" t="str">
        <f>IF('WetLitterbags placem_collection'!AA200="","",'WetLitterbags placem_collection'!AA200)</f>
        <v>O</v>
      </c>
      <c r="AI199">
        <f>IF('WetLitterbags placem_collection'!AC200="","",'WetLitterbags placem_collection'!AC200)</f>
        <v>1</v>
      </c>
      <c r="AJ199">
        <f>IFERROR(AVERAGE('Dry_Litterbag Placem_Collection'!O200,'Dry_Litterbag Placem_Collection'!R200),"")</f>
        <v>4.8499999999999996</v>
      </c>
      <c r="AK199" s="261">
        <f>IFERROR(AVERAGE('Dry_Litterbag Placem_Collection'!N200,'Dry_Litterbag Placem_Collection'!Q200),"")</f>
        <v>30.25</v>
      </c>
      <c r="AL199">
        <v>-2.4395990190000001</v>
      </c>
      <c r="AM199">
        <v>34.838418959999998</v>
      </c>
      <c r="AN199" s="260" t="str">
        <f>IF(ISNUMBER(SEARCH("C", 'Dry_Litterbag Placem_Collection'!S200)),"YES","NO")</f>
        <v>NO</v>
      </c>
      <c r="AO199" s="260" t="str">
        <f>IF(ISNUMBER(SEARCH("H", 'Dry_Litterbag Placem_Collection'!S200)),"YES","NO")</f>
        <v>NO</v>
      </c>
      <c r="AP199" s="260" t="str">
        <f>IF(ISNUMBER(SEARCH("R", 'Dry_Litterbag Placem_Collection'!S200)),"YES","NO")</f>
        <v>YES</v>
      </c>
    </row>
    <row r="200" spans="1:42" ht="15" customHeight="1">
      <c r="A200" t="s">
        <v>2490</v>
      </c>
      <c r="B200" s="252" t="s">
        <v>2643</v>
      </c>
      <c r="C200" s="253">
        <f>'Dry_Litterbag Placem_Collection'!A201</f>
        <v>199</v>
      </c>
      <c r="D200" s="253" t="str">
        <f>'Dry_Litterbag Placem_Collection'!B201</f>
        <v>Makao</v>
      </c>
      <c r="E200" s="253" t="s">
        <v>2643</v>
      </c>
      <c r="F200" s="253" t="s">
        <v>20</v>
      </c>
      <c r="G200" s="253">
        <v>1</v>
      </c>
      <c r="H200" s="253" t="s">
        <v>3109</v>
      </c>
      <c r="I200" s="254" t="str">
        <f>'Dry_Litterbag Placem_Collection'!C201</f>
        <v>Dry_P3_CG1</v>
      </c>
      <c r="J200" s="255" t="s">
        <v>2525</v>
      </c>
      <c r="K200" s="256" t="s">
        <v>1147</v>
      </c>
      <c r="L200" s="253" t="str">
        <f>IF(ISBLANK('Dry_Litterbag Placem_Collection'!J201),"","G"&amp;""&amp;'Dry_Litterbag Placem_Collection'!J201)</f>
        <v>G224</v>
      </c>
      <c r="M200" s="257">
        <f>IFERROR(INDEX('Green_rooibos initial weight'!$C$5:$C$2000,MATCH(L200, 'Green_rooibos initial weight'!$A$5:$A$2000,0)),"")</f>
        <v>2.0259999999999998</v>
      </c>
      <c r="N200" s="257">
        <f>IFERROR(M200-(TBIcalc!$Q$9+TBIcalc!$Q$10),"")</f>
        <v>1.7761999999999998</v>
      </c>
      <c r="O200" s="378">
        <f>AVERAGE(Ashed_controlls!$K$2:$K$11)</f>
        <v>5.5147656768714146</v>
      </c>
      <c r="P200" s="257">
        <f t="shared" si="16"/>
        <v>1.6782467320474097</v>
      </c>
      <c r="Q200" s="257">
        <f>IFERROR(INDEX('Both teabags AfterDry'!$D$2:$D$2000,MATCH(L200,'Both teabags AfterDry'!$A$2:$A$2000,0)),"")</f>
        <v>0.53049999999999997</v>
      </c>
      <c r="R200" s="257">
        <f>IFERROR(IF(Q200&gt;0,Q200-(TBIcalc!$Q$9),""),"")</f>
        <v>0.37989999999999996</v>
      </c>
      <c r="S200" s="268">
        <f>IFERROR(INDEX('Ashed teabags dry'!$K$2:$K$2000,MATCH(L200,'Ashed teabags dry'!$A$2:$A$2000,0)),"")</f>
        <v>22.616075886170179</v>
      </c>
      <c r="T200" s="268">
        <f t="shared" si="17"/>
        <v>0.29398152770843944</v>
      </c>
      <c r="U200" s="258">
        <f>IF('Dry_Litterbag Placem_Collection'!E201="","",'Dry_Litterbag Placem_Collection'!E201)</f>
        <v>42942</v>
      </c>
      <c r="V200" s="258">
        <f>IF('Dry_Litterbag Placem_Collection'!G201="","",'Dry_Litterbag Placem_Collection'!G201)</f>
        <v>43004</v>
      </c>
      <c r="W200" s="259">
        <f t="shared" si="15"/>
        <v>62</v>
      </c>
      <c r="X200" s="257">
        <f t="shared" si="18"/>
        <v>1.3962999999999999</v>
      </c>
      <c r="Y200" s="257">
        <f t="shared" si="19"/>
        <v>1.3842652043389703</v>
      </c>
      <c r="Z200" s="261">
        <f>IFERROR(INDEX([3]Rainfall_Dry!$O$2:$O$217,MATCH(C200, [3]Rainfall_Dry!$A$2:$A$217,0)),"")</f>
        <v>171.84818423999999</v>
      </c>
      <c r="AA200" s="250">
        <v>21.96</v>
      </c>
      <c r="AB200" s="250">
        <v>8.9199999999999982</v>
      </c>
      <c r="AC200" s="250">
        <v>69.12</v>
      </c>
      <c r="AD200" s="251" t="s">
        <v>2651</v>
      </c>
      <c r="AE200" s="250">
        <v>1.7491375061606702</v>
      </c>
      <c r="AF200">
        <f>IF('WetLitterbags placem_collection'!AB201="","",'WetLitterbags placem_collection'!AB201)</f>
        <v>13.8</v>
      </c>
      <c r="AG200">
        <f>IF('WetLitterbags placem_collection'!Z201="","",'WetLitterbags placem_collection'!Z201)</f>
        <v>17.399999999999999</v>
      </c>
      <c r="AH200" s="236" t="str">
        <f>IF('WetLitterbags placem_collection'!AA201="","",'WetLitterbags placem_collection'!AA201)</f>
        <v>O</v>
      </c>
      <c r="AI200">
        <f>IF('WetLitterbags placem_collection'!AC201="","",'WetLitterbags placem_collection'!AC201)</f>
        <v>1</v>
      </c>
      <c r="AJ200">
        <f>IFERROR(AVERAGE('Dry_Litterbag Placem_Collection'!O201,'Dry_Litterbag Placem_Collection'!R201),"")</f>
        <v>6.1999999999999993</v>
      </c>
      <c r="AK200" s="261">
        <f>IFERROR(AVERAGE('Dry_Litterbag Placem_Collection'!N201,'Dry_Litterbag Placem_Collection'!Q201),"")</f>
        <v>27.200000000000003</v>
      </c>
      <c r="AL200">
        <v>-2.439403972</v>
      </c>
      <c r="AM200">
        <v>34.838404959999998</v>
      </c>
      <c r="AN200" s="260" t="str">
        <f>IF(ISNUMBER(SEARCH("C", 'Dry_Litterbag Placem_Collection'!S201)),"YES","NO")</f>
        <v>NO</v>
      </c>
      <c r="AO200" s="260" t="str">
        <f>IF(ISNUMBER(SEARCH("H", 'Dry_Litterbag Placem_Collection'!S201)),"YES","NO")</f>
        <v>YES</v>
      </c>
      <c r="AP200" s="260" t="str">
        <f>IF(ISNUMBER(SEARCH("R", 'Dry_Litterbag Placem_Collection'!S201)),"YES","NO")</f>
        <v>NO</v>
      </c>
    </row>
    <row r="201" spans="1:42" ht="15" customHeight="1">
      <c r="A201" t="s">
        <v>2490</v>
      </c>
      <c r="B201" s="252" t="s">
        <v>2643</v>
      </c>
      <c r="C201" s="253">
        <f>'Dry_Litterbag Placem_Collection'!A202</f>
        <v>200</v>
      </c>
      <c r="D201" s="253" t="str">
        <f>'Dry_Litterbag Placem_Collection'!B202</f>
        <v>Makao</v>
      </c>
      <c r="E201" s="253" t="s">
        <v>2643</v>
      </c>
      <c r="F201" s="253" t="s">
        <v>20</v>
      </c>
      <c r="G201" s="253">
        <v>4</v>
      </c>
      <c r="H201" s="253" t="s">
        <v>3110</v>
      </c>
      <c r="I201" s="254" t="str">
        <f>'Dry_Litterbag Placem_Collection'!C202</f>
        <v>Dry_P4_CG4</v>
      </c>
      <c r="J201" s="255" t="s">
        <v>2525</v>
      </c>
      <c r="K201" s="256" t="s">
        <v>1147</v>
      </c>
      <c r="L201" s="253" t="str">
        <f>IF(ISBLANK('Dry_Litterbag Placem_Collection'!J202),"","G"&amp;""&amp;'Dry_Litterbag Placem_Collection'!J202)</f>
        <v>G158</v>
      </c>
      <c r="M201" s="257">
        <f>IFERROR(INDEX('Green_rooibos initial weight'!$C$5:$C$2000,MATCH(L201, 'Green_rooibos initial weight'!$A$5:$A$2000,0)),"")</f>
        <v>2.0609999999999999</v>
      </c>
      <c r="N201" s="257">
        <f>IFERROR(M201-(TBIcalc!$Q$9+TBIcalc!$Q$10),"")</f>
        <v>1.8111999999999999</v>
      </c>
      <c r="O201" s="378">
        <f>AVERAGE(Ashed_controlls!$K$2:$K$11)</f>
        <v>5.5147656768714146</v>
      </c>
      <c r="P201" s="257">
        <f t="shared" si="16"/>
        <v>1.7113165640605048</v>
      </c>
      <c r="Q201" s="257">
        <f>IFERROR(INDEX('Both teabags AfterDry'!$D$2:$D$2000,MATCH(L201,'Both teabags AfterDry'!$A$2:$A$2000,0)),"")</f>
        <v>0.71050000000000002</v>
      </c>
      <c r="R201" s="257">
        <f>IFERROR(IF(Q201&gt;0,Q201-(TBIcalc!$Q$9),""),"")</f>
        <v>0.55990000000000006</v>
      </c>
      <c r="S201" s="268">
        <f>IFERROR(INDEX('Ashed teabags dry'!$K$2:$K$2000,MATCH(L201,'Ashed teabags dry'!$A$2:$A$2000,0)),"")</f>
        <v>21.295855169128785</v>
      </c>
      <c r="T201" s="268">
        <f t="shared" si="17"/>
        <v>0.44066450690804798</v>
      </c>
      <c r="U201" s="258">
        <f>IF('Dry_Litterbag Placem_Collection'!E202="","",'Dry_Litterbag Placem_Collection'!E202)</f>
        <v>42942</v>
      </c>
      <c r="V201" s="258">
        <f>IF('Dry_Litterbag Placem_Collection'!G202="","",'Dry_Litterbag Placem_Collection'!G202)</f>
        <v>43004</v>
      </c>
      <c r="W201" s="259">
        <f t="shared" si="15"/>
        <v>62</v>
      </c>
      <c r="X201" s="257">
        <f t="shared" si="18"/>
        <v>1.2512999999999999</v>
      </c>
      <c r="Y201" s="257">
        <f t="shared" si="19"/>
        <v>1.2706520571524569</v>
      </c>
      <c r="Z201" s="261">
        <f>IFERROR(INDEX([3]Rainfall_Dry!$O$2:$O$217,MATCH(C201, [3]Rainfall_Dry!$A$2:$A$217,0)),"")</f>
        <v>171.84818423999999</v>
      </c>
      <c r="AA201" s="250">
        <v>25.96</v>
      </c>
      <c r="AB201" s="250">
        <v>6.9200000000000008</v>
      </c>
      <c r="AC201" s="250">
        <v>67.12</v>
      </c>
      <c r="AD201" s="251" t="s">
        <v>2651</v>
      </c>
      <c r="AE201" s="250">
        <v>1.7568260226712666</v>
      </c>
      <c r="AF201">
        <f>IF('WetLitterbags placem_collection'!AB202="","",'WetLitterbags placem_collection'!AB202)</f>
        <v>15.2</v>
      </c>
      <c r="AG201">
        <f>IF('WetLitterbags placem_collection'!Z202="","",'WetLitterbags placem_collection'!Z202)</f>
        <v>12.2</v>
      </c>
      <c r="AH201" s="236" t="str">
        <f>IF('WetLitterbags placem_collection'!AA202="","",'WetLitterbags placem_collection'!AA202)</f>
        <v>O</v>
      </c>
      <c r="AI201">
        <f>IF('WetLitterbags placem_collection'!AC202="","",'WetLitterbags placem_collection'!AC202)</f>
        <v>1</v>
      </c>
      <c r="AJ201">
        <f>IFERROR(AVERAGE('Dry_Litterbag Placem_Collection'!O202,'Dry_Litterbag Placem_Collection'!R202),"")</f>
        <v>7</v>
      </c>
      <c r="AK201" s="261">
        <f>IFERROR(AVERAGE('Dry_Litterbag Placem_Collection'!N202,'Dry_Litterbag Placem_Collection'!Q202),"")</f>
        <v>32.9</v>
      </c>
      <c r="AL201">
        <v>-2.4396949910000001</v>
      </c>
      <c r="AM201">
        <v>34.838574029999997</v>
      </c>
      <c r="AN201" s="260" t="str">
        <f>IF(ISNUMBER(SEARCH("C", 'Dry_Litterbag Placem_Collection'!S202)),"YES","NO")</f>
        <v>NO</v>
      </c>
      <c r="AO201" s="260" t="str">
        <f>IF(ISNUMBER(SEARCH("H", 'Dry_Litterbag Placem_Collection'!S202)),"YES","NO")</f>
        <v>NO</v>
      </c>
      <c r="AP201" s="260" t="str">
        <f>IF(ISNUMBER(SEARCH("R", 'Dry_Litterbag Placem_Collection'!S202)),"YES","NO")</f>
        <v>YES</v>
      </c>
    </row>
    <row r="202" spans="1:42" ht="15" customHeight="1">
      <c r="A202" t="s">
        <v>2490</v>
      </c>
      <c r="B202" s="252" t="s">
        <v>2643</v>
      </c>
      <c r="C202" s="253">
        <f>'Dry_Litterbag Placem_Collection'!A203</f>
        <v>201</v>
      </c>
      <c r="D202" s="253" t="str">
        <f>'Dry_Litterbag Placem_Collection'!B203</f>
        <v>Maswa</v>
      </c>
      <c r="E202" s="253" t="s">
        <v>2643</v>
      </c>
      <c r="F202" s="253" t="s">
        <v>2645</v>
      </c>
      <c r="G202" s="253">
        <v>4</v>
      </c>
      <c r="H202" s="253" t="s">
        <v>3114</v>
      </c>
      <c r="I202" s="254" t="str">
        <f>'Dry_Litterbag Placem_Collection'!C203</f>
        <v>Dry_W3_CG4</v>
      </c>
      <c r="J202" s="255" t="s">
        <v>2525</v>
      </c>
      <c r="K202" s="256" t="s">
        <v>1147</v>
      </c>
      <c r="L202" s="253" t="str">
        <f>IF(ISBLANK('Dry_Litterbag Placem_Collection'!J203),"","G"&amp;""&amp;'Dry_Litterbag Placem_Collection'!J203)</f>
        <v>G211</v>
      </c>
      <c r="M202" s="257">
        <f>IFERROR(INDEX('Green_rooibos initial weight'!$C$5:$C$2000,MATCH(L202, 'Green_rooibos initial weight'!$A$5:$A$2000,0)),"")</f>
        <v>2.06</v>
      </c>
      <c r="N202" s="257">
        <f>IFERROR(M202-(TBIcalc!$Q$9+TBIcalc!$Q$10),"")</f>
        <v>1.8102</v>
      </c>
      <c r="O202" s="378">
        <f>AVERAGE(Ashed_controlls!$K$2:$K$11)</f>
        <v>5.5147656768714146</v>
      </c>
      <c r="P202" s="257">
        <f t="shared" si="16"/>
        <v>1.7103717117172736</v>
      </c>
      <c r="Q202" s="257">
        <f>IFERROR(INDEX('Both teabags AfterDry'!$D$2:$D$2000,MATCH(L202,'Both teabags AfterDry'!$A$2:$A$2000,0)),"")</f>
        <v>0.67300000000000004</v>
      </c>
      <c r="R202" s="257">
        <f>IFERROR(IF(Q202&gt;0,Q202-(TBIcalc!$Q$9),""),"")</f>
        <v>0.52239999999999998</v>
      </c>
      <c r="S202" s="268">
        <f>IFERROR(INDEX('Ashed teabags dry'!$K$2:$K$2000,MATCH(L202,'Ashed teabags dry'!$A$2:$A$2000,0)),"")</f>
        <v>67.294685990337157</v>
      </c>
      <c r="T202" s="268">
        <f t="shared" si="17"/>
        <v>0.17085256038647867</v>
      </c>
      <c r="U202" s="258">
        <f>IF('Dry_Litterbag Placem_Collection'!E203="","",'Dry_Litterbag Placem_Collection'!E203)</f>
        <v>42942</v>
      </c>
      <c r="V202" s="258">
        <f>IF('Dry_Litterbag Placem_Collection'!G203="","",'Dry_Litterbag Placem_Collection'!G203)</f>
        <v>43004</v>
      </c>
      <c r="W202" s="259">
        <f t="shared" si="15"/>
        <v>62</v>
      </c>
      <c r="X202" s="257">
        <f t="shared" si="18"/>
        <v>1.2878000000000001</v>
      </c>
      <c r="Y202" s="257">
        <f t="shared" si="19"/>
        <v>1.5395191513307949</v>
      </c>
      <c r="Z202" s="261">
        <f>IFERROR(INDEX([3]Rainfall_Dry!$O$2:$O$217,MATCH(C202, [3]Rainfall_Dry!$A$2:$A$217,0)),"")</f>
        <v>171.84818423999999</v>
      </c>
      <c r="AA202" s="250">
        <v>38.691629007962128</v>
      </c>
      <c r="AB202" s="250">
        <v>26.81299763288143</v>
      </c>
      <c r="AC202" s="250">
        <v>34.495373359156439</v>
      </c>
      <c r="AD202" s="251" t="s">
        <v>2656</v>
      </c>
      <c r="AE202" s="250">
        <v>2.5483587974371611</v>
      </c>
      <c r="AF202">
        <f>IF('WetLitterbags placem_collection'!AB203="","",'WetLitterbags placem_collection'!AB203)</f>
        <v>15.2</v>
      </c>
      <c r="AG202">
        <f>IF('WetLitterbags placem_collection'!Z203="","",'WetLitterbags placem_collection'!Z203)</f>
        <v>12.2</v>
      </c>
      <c r="AH202" s="236" t="str">
        <f>IF('WetLitterbags placem_collection'!AA203="","",'WetLitterbags placem_collection'!AA203)</f>
        <v>O</v>
      </c>
      <c r="AI202">
        <f>IF('WetLitterbags placem_collection'!AC203="","",'WetLitterbags placem_collection'!AC203)</f>
        <v>1</v>
      </c>
      <c r="AJ202">
        <f>IFERROR(AVERAGE('Dry_Litterbag Placem_Collection'!O203,'Dry_Litterbag Placem_Collection'!R203),"")</f>
        <v>8.9</v>
      </c>
      <c r="AK202" s="261">
        <f>IFERROR(AVERAGE('Dry_Litterbag Placem_Collection'!N203,'Dry_Litterbag Placem_Collection'!Q203),"")</f>
        <v>29.15</v>
      </c>
      <c r="AL202">
        <v>-2.4396949910000001</v>
      </c>
      <c r="AM202">
        <v>34.838574029999997</v>
      </c>
      <c r="AN202" s="260" t="str">
        <f>IF(ISNUMBER(SEARCH("C", 'Dry_Litterbag Placem_Collection'!S203)),"YES","NO")</f>
        <v>NO</v>
      </c>
      <c r="AO202" s="260" t="str">
        <f>IF(ISNUMBER(SEARCH("H", 'Dry_Litterbag Placem_Collection'!S203)),"YES","NO")</f>
        <v>YES</v>
      </c>
      <c r="AP202" s="260" t="str">
        <f>IF(ISNUMBER(SEARCH("R", 'Dry_Litterbag Placem_Collection'!S203)),"YES","NO")</f>
        <v>YES</v>
      </c>
    </row>
    <row r="203" spans="1:42" ht="15" customHeight="1">
      <c r="A203" t="s">
        <v>2490</v>
      </c>
      <c r="B203" s="252" t="s">
        <v>2643</v>
      </c>
      <c r="C203" s="253">
        <f>'Dry_Litterbag Placem_Collection'!A204</f>
        <v>202</v>
      </c>
      <c r="D203" s="253" t="str">
        <f>'Dry_Litterbag Placem_Collection'!B204</f>
        <v>Maswa</v>
      </c>
      <c r="E203" s="253" t="s">
        <v>2643</v>
      </c>
      <c r="F203" s="253" t="s">
        <v>2645</v>
      </c>
      <c r="G203" s="253">
        <v>1</v>
      </c>
      <c r="H203" s="253" t="s">
        <v>3113</v>
      </c>
      <c r="I203" s="254" t="str">
        <f>'Dry_Litterbag Placem_Collection'!C204</f>
        <v>Dry_W2_CG1</v>
      </c>
      <c r="J203" s="255" t="s">
        <v>2525</v>
      </c>
      <c r="K203" s="256" t="s">
        <v>1147</v>
      </c>
      <c r="L203" s="253" t="str">
        <f>IF(ISBLANK('Dry_Litterbag Placem_Collection'!J204),"","G"&amp;""&amp;'Dry_Litterbag Placem_Collection'!J204)</f>
        <v>G181</v>
      </c>
      <c r="M203" s="257">
        <f>IFERROR(INDEX('Green_rooibos initial weight'!$C$5:$C$2000,MATCH(L203, 'Green_rooibos initial weight'!$A$5:$A$2000,0)),"")</f>
        <v>1.7629999999999999</v>
      </c>
      <c r="N203" s="257">
        <f>IFERROR(M203-(TBIcalc!$Q$9+TBIcalc!$Q$10),"")</f>
        <v>1.5131999999999999</v>
      </c>
      <c r="O203" s="378">
        <f>AVERAGE(Ashed_controlls!$K$2:$K$11)</f>
        <v>5.5147656768714146</v>
      </c>
      <c r="P203" s="257">
        <f t="shared" si="16"/>
        <v>1.4297505657775815</v>
      </c>
      <c r="Q203" s="257">
        <f>IFERROR(INDEX('Both teabags AfterDry'!$D$2:$D$2000,MATCH(L203,'Both teabags AfterDry'!$A$2:$A$2000,0)),"")</f>
        <v>0.80740000000000001</v>
      </c>
      <c r="R203" s="257">
        <f>IFERROR(IF(Q203&gt;0,Q203-(TBIcalc!$Q$9),""),"")</f>
        <v>0.65680000000000005</v>
      </c>
      <c r="S203" s="268">
        <f>IFERROR(INDEX('Ashed teabags dry'!$K$2:$K$2000,MATCH(L203,'Ashed teabags dry'!$A$2:$A$2000,0)),"")</f>
        <v>30.530575539568105</v>
      </c>
      <c r="T203" s="268">
        <f t="shared" si="17"/>
        <v>0.45627517985611671</v>
      </c>
      <c r="U203" s="258">
        <f>IF('Dry_Litterbag Placem_Collection'!E204="","",'Dry_Litterbag Placem_Collection'!E204)</f>
        <v>42942</v>
      </c>
      <c r="V203" s="258">
        <f>IF('Dry_Litterbag Placem_Collection'!G204="","",'Dry_Litterbag Placem_Collection'!G204)</f>
        <v>43004</v>
      </c>
      <c r="W203" s="259">
        <f t="shared" si="15"/>
        <v>62</v>
      </c>
      <c r="X203" s="257">
        <f t="shared" si="18"/>
        <v>0.85639999999999983</v>
      </c>
      <c r="Y203" s="257">
        <f t="shared" si="19"/>
        <v>0.97347538592146488</v>
      </c>
      <c r="Z203" s="261">
        <f>IFERROR(INDEX([3]Rainfall_Dry!$O$2:$O$217,MATCH(C203, [3]Rainfall_Dry!$A$2:$A$217,0)),"")</f>
        <v>171.84818423999999</v>
      </c>
      <c r="AA203" s="250">
        <v>45.272914521112256</v>
      </c>
      <c r="AB203" s="250">
        <v>23.604531410916575</v>
      </c>
      <c r="AC203" s="250">
        <v>31.122554067971166</v>
      </c>
      <c r="AD203" s="251" t="s">
        <v>2654</v>
      </c>
      <c r="AE203" s="250">
        <v>2.0547560374568752</v>
      </c>
      <c r="AF203">
        <f>IF('WetLitterbags placem_collection'!AB204="","",'WetLitterbags placem_collection'!AB204)</f>
        <v>13.8</v>
      </c>
      <c r="AG203">
        <f>IF('WetLitterbags placem_collection'!Z204="","",'WetLitterbags placem_collection'!Z204)</f>
        <v>17.399999999999999</v>
      </c>
      <c r="AH203" s="236" t="str">
        <f>IF('WetLitterbags placem_collection'!AA204="","",'WetLitterbags placem_collection'!AA204)</f>
        <v>O</v>
      </c>
      <c r="AI203">
        <f>IF('WetLitterbags placem_collection'!AC204="","",'WetLitterbags placem_collection'!AC204)</f>
        <v>1</v>
      </c>
      <c r="AJ203">
        <f>IFERROR(AVERAGE('Dry_Litterbag Placem_Collection'!O204,'Dry_Litterbag Placem_Collection'!R204),"")</f>
        <v>6.3</v>
      </c>
      <c r="AK203" s="261">
        <f>IFERROR(AVERAGE('Dry_Litterbag Placem_Collection'!N204,'Dry_Litterbag Placem_Collection'!Q204),"")</f>
        <v>28.85</v>
      </c>
      <c r="AL203">
        <v>-2.439403972</v>
      </c>
      <c r="AM203">
        <v>34.838404959999998</v>
      </c>
      <c r="AN203" s="260" t="str">
        <f>IF(ISNUMBER(SEARCH("C", 'Dry_Litterbag Placem_Collection'!S204)),"YES","NO")</f>
        <v>NO</v>
      </c>
      <c r="AO203" s="260" t="str">
        <f>IF(ISNUMBER(SEARCH("H", 'Dry_Litterbag Placem_Collection'!S204)),"YES","NO")</f>
        <v>NO</v>
      </c>
      <c r="AP203" s="260" t="str">
        <f>IF(ISNUMBER(SEARCH("R", 'Dry_Litterbag Placem_Collection'!S204)),"YES","NO")</f>
        <v>YES</v>
      </c>
    </row>
    <row r="204" spans="1:42" ht="15" customHeight="1">
      <c r="A204" t="s">
        <v>2490</v>
      </c>
      <c r="B204" s="252" t="s">
        <v>2643</v>
      </c>
      <c r="C204" s="253">
        <f>'Dry_Litterbag Placem_Collection'!A205</f>
        <v>203</v>
      </c>
      <c r="D204" s="253" t="str">
        <f>'Dry_Litterbag Placem_Collection'!B205</f>
        <v>Maswa</v>
      </c>
      <c r="E204" s="253" t="s">
        <v>2643</v>
      </c>
      <c r="F204" s="253" t="s">
        <v>2645</v>
      </c>
      <c r="G204" s="253">
        <v>2</v>
      </c>
      <c r="H204" s="253" t="s">
        <v>3111</v>
      </c>
      <c r="I204" s="254" t="str">
        <f>'Dry_Litterbag Placem_Collection'!C205</f>
        <v>Dry_W1_CG2</v>
      </c>
      <c r="J204" s="255" t="s">
        <v>2525</v>
      </c>
      <c r="K204" s="256" t="s">
        <v>1147</v>
      </c>
      <c r="L204" s="253" t="str">
        <f>IF(ISBLANK('Dry_Litterbag Placem_Collection'!J205),"","G"&amp;""&amp;'Dry_Litterbag Placem_Collection'!J205)</f>
        <v>G179</v>
      </c>
      <c r="M204" s="257">
        <f>IFERROR(INDEX('Green_rooibos initial weight'!$C$5:$C$2000,MATCH(L204, 'Green_rooibos initial weight'!$A$5:$A$2000,0)),"")</f>
        <v>1.9750000000000001</v>
      </c>
      <c r="N204" s="257">
        <f>IFERROR(M204-(TBIcalc!$Q$9+TBIcalc!$Q$10),"")</f>
        <v>1.7252000000000001</v>
      </c>
      <c r="O204" s="378">
        <f>AVERAGE(Ashed_controlls!$K$2:$K$11)</f>
        <v>5.5147656768714146</v>
      </c>
      <c r="P204" s="257">
        <f t="shared" si="16"/>
        <v>1.6300592625426145</v>
      </c>
      <c r="Q204" s="257">
        <f>IFERROR(INDEX('Both teabags AfterDry'!$D$2:$D$2000,MATCH(L204,'Both teabags AfterDry'!$A$2:$A$2000,0)),"")</f>
        <v>0.59770000000000001</v>
      </c>
      <c r="R204" s="257">
        <f>IFERROR(IF(Q204&gt;0,Q204-(TBIcalc!$Q$9),""),"")</f>
        <v>0.4471</v>
      </c>
      <c r="S204" s="268">
        <f>IFERROR(INDEX('Ashed teabags dry'!$K$2:$K$2000,MATCH(L204,'Ashed teabags dry'!$A$2:$A$2000,0)),"")</f>
        <v>24.558823529410816</v>
      </c>
      <c r="T204" s="268">
        <f t="shared" si="17"/>
        <v>0.33729750000000425</v>
      </c>
      <c r="U204" s="258">
        <f>IF('Dry_Litterbag Placem_Collection'!E205="","",'Dry_Litterbag Placem_Collection'!E205)</f>
        <v>42942</v>
      </c>
      <c r="V204" s="258">
        <f>IF('Dry_Litterbag Placem_Collection'!G205="","",'Dry_Litterbag Placem_Collection'!G205)</f>
        <v>43004</v>
      </c>
      <c r="W204" s="259">
        <f t="shared" si="15"/>
        <v>62</v>
      </c>
      <c r="X204" s="257">
        <f t="shared" si="18"/>
        <v>1.2781</v>
      </c>
      <c r="Y204" s="257">
        <f t="shared" si="19"/>
        <v>1.2927617625426102</v>
      </c>
      <c r="Z204" s="261">
        <f>IFERROR(INDEX([3]Rainfall_Dry!$O$2:$O$217,MATCH(C204, [3]Rainfall_Dry!$A$2:$A$217,0)),"")</f>
        <v>171.84818423999999</v>
      </c>
      <c r="AA204" s="250">
        <v>47.96</v>
      </c>
      <c r="AB204" s="250">
        <v>22.919999999999995</v>
      </c>
      <c r="AC204" s="250">
        <v>29.120000000000012</v>
      </c>
      <c r="AD204" s="251" t="s">
        <v>2654</v>
      </c>
      <c r="AE204" s="250">
        <v>2.8831936914736325</v>
      </c>
      <c r="AF204">
        <f>IF('WetLitterbags placem_collection'!AB205="","",'WetLitterbags placem_collection'!AB205)</f>
        <v>5.13</v>
      </c>
      <c r="AG204">
        <f>IF('WetLitterbags placem_collection'!Z205="","",'WetLitterbags placem_collection'!Z205)</f>
        <v>5.13</v>
      </c>
      <c r="AH204" s="236" t="str">
        <f>IF('WetLitterbags placem_collection'!AA205="","",'WetLitterbags placem_collection'!AA205)</f>
        <v>O</v>
      </c>
      <c r="AI204">
        <f>IF('WetLitterbags placem_collection'!AC205="","",'WetLitterbags placem_collection'!AC205)</f>
        <v>1</v>
      </c>
      <c r="AJ204">
        <f>IFERROR(AVERAGE('Dry_Litterbag Placem_Collection'!O205,'Dry_Litterbag Placem_Collection'!R205),"")</f>
        <v>10.100000000000001</v>
      </c>
      <c r="AK204" s="261">
        <f>IFERROR(AVERAGE('Dry_Litterbag Placem_Collection'!N205,'Dry_Litterbag Placem_Collection'!Q205),"")</f>
        <v>28.299999999999997</v>
      </c>
      <c r="AL204">
        <v>-2.4396450349999999</v>
      </c>
      <c r="AM204">
        <v>34.83836599</v>
      </c>
      <c r="AN204" s="260" t="str">
        <f>IF(ISNUMBER(SEARCH("C", 'Dry_Litterbag Placem_Collection'!S205)),"YES","NO")</f>
        <v>NO</v>
      </c>
      <c r="AO204" s="260" t="str">
        <f>IF(ISNUMBER(SEARCH("H", 'Dry_Litterbag Placem_Collection'!S205)),"YES","NO")</f>
        <v>YES</v>
      </c>
      <c r="AP204" s="260" t="str">
        <f>IF(ISNUMBER(SEARCH("R", 'Dry_Litterbag Placem_Collection'!S205)),"YES","NO")</f>
        <v>YES</v>
      </c>
    </row>
    <row r="205" spans="1:42" ht="15" customHeight="1">
      <c r="A205" t="s">
        <v>2490</v>
      </c>
      <c r="B205" s="252" t="s">
        <v>2643</v>
      </c>
      <c r="C205" s="253">
        <f>'Dry_Litterbag Placem_Collection'!A206</f>
        <v>204</v>
      </c>
      <c r="D205" s="253" t="str">
        <f>'Dry_Litterbag Placem_Collection'!B206</f>
        <v>Maswa</v>
      </c>
      <c r="E205" s="253" t="s">
        <v>2643</v>
      </c>
      <c r="F205" s="253" t="s">
        <v>2645</v>
      </c>
      <c r="G205" s="253">
        <v>3</v>
      </c>
      <c r="H205" s="253" t="s">
        <v>3115</v>
      </c>
      <c r="I205" s="254" t="str">
        <f>'Dry_Litterbag Placem_Collection'!C206</f>
        <v>Dry_W4_CG3</v>
      </c>
      <c r="J205" s="255" t="s">
        <v>2525</v>
      </c>
      <c r="K205" s="256" t="s">
        <v>1147</v>
      </c>
      <c r="L205" s="253" t="str">
        <f>IF(ISBLANK('Dry_Litterbag Placem_Collection'!J206),"","G"&amp;""&amp;'Dry_Litterbag Placem_Collection'!J206)</f>
        <v>G248</v>
      </c>
      <c r="M205" s="257">
        <f>IFERROR(INDEX('Green_rooibos initial weight'!$C$5:$C$2000,MATCH(L205, 'Green_rooibos initial weight'!$A$5:$A$2000,0)),"")</f>
        <v>1.9950000000000001</v>
      </c>
      <c r="N205" s="257">
        <f>IFERROR(M205-(TBIcalc!$Q$9+TBIcalc!$Q$10),"")</f>
        <v>1.7452000000000001</v>
      </c>
      <c r="O205" s="378">
        <f>AVERAGE(Ashed_controlls!$K$2:$K$11)</f>
        <v>5.5147656768714146</v>
      </c>
      <c r="P205" s="257">
        <f t="shared" si="16"/>
        <v>1.6489563094072401</v>
      </c>
      <c r="Q205" s="257">
        <f>IFERROR(INDEX('Both teabags AfterDry'!$D$2:$D$2000,MATCH(L205,'Both teabags AfterDry'!$A$2:$A$2000,0)),"")</f>
        <v>1.7124999999999999</v>
      </c>
      <c r="R205" s="257">
        <f>IFERROR(IF(Q205&gt;0,Q205-(TBIcalc!$Q$9),""),"")</f>
        <v>1.5618999999999998</v>
      </c>
      <c r="S205" s="268">
        <f>IFERROR(INDEX('Ashed teabags dry'!$K$2:$K$2000,MATCH(L205,'Ashed teabags dry'!$A$2:$A$2000,0)),"")</f>
        <v>13.375486381322672</v>
      </c>
      <c r="T205" s="268">
        <f t="shared" si="17"/>
        <v>1.352988278210121</v>
      </c>
      <c r="U205" s="258">
        <f>IF('Dry_Litterbag Placem_Collection'!E206="","",'Dry_Litterbag Placem_Collection'!E206)</f>
        <v>42942</v>
      </c>
      <c r="V205" s="258">
        <f>IF('Dry_Litterbag Placem_Collection'!G206="","",'Dry_Litterbag Placem_Collection'!G206)</f>
        <v>43004</v>
      </c>
      <c r="W205" s="259">
        <f t="shared" si="15"/>
        <v>62</v>
      </c>
      <c r="X205" s="257">
        <f t="shared" si="18"/>
        <v>0.18330000000000024</v>
      </c>
      <c r="Y205" s="257">
        <f t="shared" si="19"/>
        <v>0.29596803119711912</v>
      </c>
      <c r="Z205" s="261">
        <f>IFERROR(INDEX([3]Rainfall_Dry!$O$2:$O$217,MATCH(C205, [3]Rainfall_Dry!$A$2:$A$217,0)),"")</f>
        <v>171.84818423999999</v>
      </c>
      <c r="AA205" s="250">
        <v>28.145762029394</v>
      </c>
      <c r="AB205" s="250">
        <v>25.085564727199518</v>
      </c>
      <c r="AC205" s="250">
        <v>46.768673243406489</v>
      </c>
      <c r="AD205" s="251" t="s">
        <v>2651</v>
      </c>
      <c r="AE205" s="250">
        <v>2.1716214884179394</v>
      </c>
      <c r="AF205">
        <f>IF('WetLitterbags placem_collection'!AB206="","",'WetLitterbags placem_collection'!AB206)</f>
        <v>7.9</v>
      </c>
      <c r="AG205">
        <f>IF('WetLitterbags placem_collection'!Z206="","",'WetLitterbags placem_collection'!Z206)</f>
        <v>7.9</v>
      </c>
      <c r="AH205" s="236" t="str">
        <f>IF('WetLitterbags placem_collection'!AA206="","",'WetLitterbags placem_collection'!AA206)</f>
        <v>O</v>
      </c>
      <c r="AI205">
        <f>IF('WetLitterbags placem_collection'!AC206="","",'WetLitterbags placem_collection'!AC206)</f>
        <v>1</v>
      </c>
      <c r="AJ205">
        <f>IFERROR(AVERAGE('Dry_Litterbag Placem_Collection'!O206,'Dry_Litterbag Placem_Collection'!R206),"")</f>
        <v>8.3500000000000014</v>
      </c>
      <c r="AK205" s="261">
        <f>IFERROR(AVERAGE('Dry_Litterbag Placem_Collection'!N206,'Dry_Litterbag Placem_Collection'!Q206),"")</f>
        <v>27.299999999999997</v>
      </c>
      <c r="AL205">
        <v>-2.4395990190000001</v>
      </c>
      <c r="AM205">
        <v>34.838418959999998</v>
      </c>
      <c r="AN205" s="260" t="str">
        <f>IF(ISNUMBER(SEARCH("C", 'Dry_Litterbag Placem_Collection'!S206)),"YES","NO")</f>
        <v>NO</v>
      </c>
      <c r="AO205" s="260" t="str">
        <f>IF(ISNUMBER(SEARCH("H", 'Dry_Litterbag Placem_Collection'!S206)),"YES","NO")</f>
        <v>YES</v>
      </c>
      <c r="AP205" s="260" t="str">
        <f>IF(ISNUMBER(SEARCH("R", 'Dry_Litterbag Placem_Collection'!S206)),"YES","NO")</f>
        <v>YES</v>
      </c>
    </row>
    <row r="206" spans="1:42" ht="15" customHeight="1">
      <c r="A206" t="s">
        <v>2490</v>
      </c>
      <c r="B206" s="252" t="s">
        <v>2643</v>
      </c>
      <c r="C206" s="253">
        <f>'Dry_Litterbag Placem_Collection'!A207</f>
        <v>205</v>
      </c>
      <c r="D206" s="253" t="str">
        <f>'Dry_Litterbag Placem_Collection'!B207</f>
        <v xml:space="preserve">Mwantimba
</v>
      </c>
      <c r="E206" s="253" t="s">
        <v>2454</v>
      </c>
      <c r="F206" s="253" t="s">
        <v>2644</v>
      </c>
      <c r="G206" s="253">
        <v>2</v>
      </c>
      <c r="H206" s="253" t="s">
        <v>3116</v>
      </c>
      <c r="I206" s="254" t="str">
        <f>'Dry_Litterbag Placem_Collection'!C207</f>
        <v>Wet_Ag1_CG2</v>
      </c>
      <c r="J206" s="255" t="s">
        <v>2525</v>
      </c>
      <c r="K206" s="256" t="s">
        <v>1147</v>
      </c>
      <c r="L206" s="253" t="str">
        <f>IF(ISBLANK('Dry_Litterbag Placem_Collection'!J207),"","G"&amp;""&amp;'Dry_Litterbag Placem_Collection'!J207)</f>
        <v>G55</v>
      </c>
      <c r="M206" s="257">
        <f>IFERROR(INDEX('Green_rooibos initial weight'!$C$5:$C$2000,MATCH(L206, 'Green_rooibos initial weight'!$A$5:$A$2000,0)),"")</f>
        <v>2.024</v>
      </c>
      <c r="N206" s="257">
        <f>IFERROR(M206-(TBIcalc!$Q$9+TBIcalc!$Q$10),"")</f>
        <v>1.7742</v>
      </c>
      <c r="O206" s="378">
        <f>AVERAGE(Ashed_controlls!$K$2:$K$11)</f>
        <v>5.5147656768714146</v>
      </c>
      <c r="P206" s="257">
        <f t="shared" si="16"/>
        <v>1.6763570273609474</v>
      </c>
      <c r="Q206" s="257">
        <f>IFERROR(INDEX('Both teabags AfterDry'!$D$2:$D$2000,MATCH(L206,'Both teabags AfterDry'!$A$2:$A$2000,0)),"")</f>
        <v>0.86550000000000005</v>
      </c>
      <c r="R206" s="257">
        <f>IFERROR(IF(Q206&gt;0,Q206-(TBIcalc!$Q$9),""),"")</f>
        <v>0.71490000000000009</v>
      </c>
      <c r="S206" s="268">
        <f>IFERROR(INDEX('Ashed teabags dry'!$K$2:$K$2000,MATCH(L206,'Ashed teabags dry'!$A$2:$A$2000,0)),"")</f>
        <v>19.260700389104883</v>
      </c>
      <c r="T206" s="268">
        <f t="shared" si="17"/>
        <v>0.57720525291828928</v>
      </c>
      <c r="U206" s="258">
        <f>IF('Dry_Litterbag Placem_Collection'!E207="","",'Dry_Litterbag Placem_Collection'!E207)</f>
        <v>42942</v>
      </c>
      <c r="V206" s="258">
        <f>IF('Dry_Litterbag Placem_Collection'!G207="","",'Dry_Litterbag Placem_Collection'!G207)</f>
        <v>43004</v>
      </c>
      <c r="W206" s="259">
        <f t="shared" si="15"/>
        <v>62</v>
      </c>
      <c r="X206" s="257">
        <f t="shared" si="18"/>
        <v>1.0592999999999999</v>
      </c>
      <c r="Y206" s="257">
        <f t="shared" si="19"/>
        <v>1.099151774442658</v>
      </c>
      <c r="Z206" s="261">
        <f>IFERROR(INDEX([3]Rainfall_Dry!$O$2:$O$217,MATCH(C206, [3]Rainfall_Dry!$A$2:$A$217,0)),"")</f>
        <v>171.84818423999999</v>
      </c>
      <c r="AA206" s="250">
        <v>45.96</v>
      </c>
      <c r="AB206" s="250">
        <v>14.920000000000003</v>
      </c>
      <c r="AC206" s="250">
        <v>39.119999999999997</v>
      </c>
      <c r="AD206" s="251" t="s">
        <v>2654</v>
      </c>
      <c r="AE206" s="250">
        <v>2.0374568753080333</v>
      </c>
      <c r="AF206">
        <f>IF('WetLitterbags placem_collection'!AB207="","",'WetLitterbags placem_collection'!AB207)</f>
        <v>5.13</v>
      </c>
      <c r="AG206">
        <f>IF('WetLitterbags placem_collection'!Z207="","",'WetLitterbags placem_collection'!Z207)</f>
        <v>5.13</v>
      </c>
      <c r="AH206" s="236" t="str">
        <f>IF('WetLitterbags placem_collection'!AA207="","",'WetLitterbags placem_collection'!AA207)</f>
        <v>O</v>
      </c>
      <c r="AI206">
        <f>IF('WetLitterbags placem_collection'!AC207="","",'WetLitterbags placem_collection'!AC207)</f>
        <v>1</v>
      </c>
      <c r="AJ206">
        <f>IFERROR(AVERAGE('Dry_Litterbag Placem_Collection'!O207,'Dry_Litterbag Placem_Collection'!R207),"")</f>
        <v>7.9499999999999993</v>
      </c>
      <c r="AK206" s="261">
        <f>IFERROR(AVERAGE('Dry_Litterbag Placem_Collection'!N207,'Dry_Litterbag Placem_Collection'!Q207),"")</f>
        <v>29.05</v>
      </c>
      <c r="AL206">
        <v>-2.4396450349999999</v>
      </c>
      <c r="AM206">
        <v>34.83836599</v>
      </c>
      <c r="AN206" s="260" t="str">
        <f>IF(ISNUMBER(SEARCH("C", 'Dry_Litterbag Placem_Collection'!S207)),"YES","NO")</f>
        <v>NO</v>
      </c>
      <c r="AO206" s="260" t="str">
        <f>IF(ISNUMBER(SEARCH("H", 'Dry_Litterbag Placem_Collection'!S207)),"YES","NO")</f>
        <v>YES</v>
      </c>
      <c r="AP206" s="260" t="str">
        <f>IF(ISNUMBER(SEARCH("R", 'Dry_Litterbag Placem_Collection'!S207)),"YES","NO")</f>
        <v>YES</v>
      </c>
    </row>
    <row r="207" spans="1:42" ht="15" customHeight="1">
      <c r="A207" t="s">
        <v>2490</v>
      </c>
      <c r="B207" s="252" t="s">
        <v>2643</v>
      </c>
      <c r="C207" s="253">
        <f>'Dry_Litterbag Placem_Collection'!A208</f>
        <v>206</v>
      </c>
      <c r="D207" s="253" t="str">
        <f>'Dry_Litterbag Placem_Collection'!B208</f>
        <v xml:space="preserve">Mwantimba
</v>
      </c>
      <c r="E207" s="253" t="s">
        <v>2454</v>
      </c>
      <c r="F207" s="253" t="s">
        <v>2644</v>
      </c>
      <c r="G207" s="253">
        <v>1</v>
      </c>
      <c r="H207" s="253" t="s">
        <v>3118</v>
      </c>
      <c r="I207" s="254" t="str">
        <f>'Dry_Litterbag Placem_Collection'!C208</f>
        <v>Wet_Ag2_CG1</v>
      </c>
      <c r="J207" s="255" t="s">
        <v>2525</v>
      </c>
      <c r="K207" s="256" t="s">
        <v>1147</v>
      </c>
      <c r="L207" s="253" t="str">
        <f>IF(ISBLANK('Dry_Litterbag Placem_Collection'!J208),"","G"&amp;""&amp;'Dry_Litterbag Placem_Collection'!J208)</f>
        <v>G124</v>
      </c>
      <c r="M207" s="257">
        <f>IFERROR(INDEX('Green_rooibos initial weight'!$C$5:$C$2000,MATCH(L207, 'Green_rooibos initial weight'!$A$5:$A$2000,0)),"")</f>
        <v>1.9390000000000001</v>
      </c>
      <c r="N207" s="257">
        <f>IFERROR(M207-(TBIcalc!$Q$9+TBIcalc!$Q$10),"")</f>
        <v>1.6892</v>
      </c>
      <c r="O207" s="378">
        <f>AVERAGE(Ashed_controlls!$K$2:$K$11)</f>
        <v>5.5147656768714146</v>
      </c>
      <c r="P207" s="257">
        <f t="shared" si="16"/>
        <v>1.5960445781862882</v>
      </c>
      <c r="Q207" s="257">
        <f>IFERROR(INDEX('Both teabags AfterDry'!$D$2:$D$2000,MATCH(L207,'Both teabags AfterDry'!$A$2:$A$2000,0)),"")</f>
        <v>0.66969999999999996</v>
      </c>
      <c r="R207" s="257">
        <f>IFERROR(IF(Q207&gt;0,Q207-(TBIcalc!$Q$9),""),"")</f>
        <v>0.51909999999999989</v>
      </c>
      <c r="S207" s="268">
        <f>IFERROR(INDEX('Ashed teabags dry'!$K$2:$K$2000,MATCH(L207,'Ashed teabags dry'!$A$2:$A$2000,0)),"")</f>
        <v>14.333976833976731</v>
      </c>
      <c r="T207" s="268">
        <f t="shared" si="17"/>
        <v>0.44469232625482669</v>
      </c>
      <c r="U207" s="258">
        <f>IF('Dry_Litterbag Placem_Collection'!E208="","",'Dry_Litterbag Placem_Collection'!E208)</f>
        <v>42942</v>
      </c>
      <c r="V207" s="258">
        <f>IF('Dry_Litterbag Placem_Collection'!G208="","",'Dry_Litterbag Placem_Collection'!G208)</f>
        <v>43004</v>
      </c>
      <c r="W207" s="259">
        <f t="shared" si="15"/>
        <v>62</v>
      </c>
      <c r="X207" s="257">
        <f t="shared" si="18"/>
        <v>1.1701000000000001</v>
      </c>
      <c r="Y207" s="257">
        <f t="shared" si="19"/>
        <v>1.1513522519314616</v>
      </c>
      <c r="Z207" s="261">
        <f>IFERROR(INDEX([3]Rainfall_Dry!$O$2:$O$217,MATCH(C207, [3]Rainfall_Dry!$A$2:$A$217,0)),"")</f>
        <v>171.84818423999999</v>
      </c>
      <c r="AA207" s="250">
        <v>34.344660194174757</v>
      </c>
      <c r="AB207" s="250">
        <v>19.22727272727273</v>
      </c>
      <c r="AC207" s="250">
        <v>46.428067078552509</v>
      </c>
      <c r="AD207" s="251" t="s">
        <v>2651</v>
      </c>
      <c r="AE207" s="250">
        <v>1.7452932479053718</v>
      </c>
      <c r="AF207">
        <f>IF('WetLitterbags placem_collection'!AB208="","",'WetLitterbags placem_collection'!AB208)</f>
        <v>13.8</v>
      </c>
      <c r="AG207">
        <f>IF('WetLitterbags placem_collection'!Z208="","",'WetLitterbags placem_collection'!Z208)</f>
        <v>17.399999999999999</v>
      </c>
      <c r="AH207" s="236" t="str">
        <f>IF('WetLitterbags placem_collection'!AA208="","",'WetLitterbags placem_collection'!AA208)</f>
        <v>O</v>
      </c>
      <c r="AI207">
        <f>IF('WetLitterbags placem_collection'!AC208="","",'WetLitterbags placem_collection'!AC208)</f>
        <v>1</v>
      </c>
      <c r="AJ207">
        <f>IFERROR(AVERAGE('Dry_Litterbag Placem_Collection'!O208,'Dry_Litterbag Placem_Collection'!R208),"")</f>
        <v>6.4</v>
      </c>
      <c r="AK207" s="261">
        <f>IFERROR(AVERAGE('Dry_Litterbag Placem_Collection'!N208,'Dry_Litterbag Placem_Collection'!Q208),"")</f>
        <v>27.799999999999997</v>
      </c>
      <c r="AL207">
        <v>-2.439403972</v>
      </c>
      <c r="AM207">
        <v>34.838404959999998</v>
      </c>
      <c r="AN207" s="260" t="str">
        <f>IF(ISNUMBER(SEARCH("C", 'Dry_Litterbag Placem_Collection'!S208)),"YES","NO")</f>
        <v>NO</v>
      </c>
      <c r="AO207" s="260" t="str">
        <f>IF(ISNUMBER(SEARCH("H", 'Dry_Litterbag Placem_Collection'!S208)),"YES","NO")</f>
        <v>NO</v>
      </c>
      <c r="AP207" s="260" t="str">
        <f>IF(ISNUMBER(SEARCH("R", 'Dry_Litterbag Placem_Collection'!S208)),"YES","NO")</f>
        <v>YES</v>
      </c>
    </row>
    <row r="208" spans="1:42" ht="15" customHeight="1">
      <c r="A208" t="s">
        <v>2490</v>
      </c>
      <c r="B208" s="252" t="s">
        <v>2643</v>
      </c>
      <c r="C208" s="253">
        <f>'Dry_Litterbag Placem_Collection'!A209</f>
        <v>207</v>
      </c>
      <c r="D208" s="253" t="str">
        <f>'Dry_Litterbag Placem_Collection'!B209</f>
        <v xml:space="preserve">Mwantimba
</v>
      </c>
      <c r="E208" s="253" t="s">
        <v>2454</v>
      </c>
      <c r="F208" s="253" t="s">
        <v>2644</v>
      </c>
      <c r="G208" s="253">
        <v>4</v>
      </c>
      <c r="H208" s="253" t="s">
        <v>3119</v>
      </c>
      <c r="I208" s="254" t="str">
        <f>'Dry_Litterbag Placem_Collection'!C209</f>
        <v>Wet_Ag3_CG4</v>
      </c>
      <c r="J208" s="255" t="s">
        <v>2525</v>
      </c>
      <c r="K208" s="256" t="s">
        <v>1147</v>
      </c>
      <c r="L208" s="253" t="str">
        <f>IF(ISBLANK('Dry_Litterbag Placem_Collection'!J209),"","G"&amp;""&amp;'Dry_Litterbag Placem_Collection'!J209)</f>
        <v>G234</v>
      </c>
      <c r="M208" s="257">
        <f>IFERROR(INDEX('Green_rooibos initial weight'!$C$5:$C$2000,MATCH(L208, 'Green_rooibos initial weight'!$A$5:$A$2000,0)),"")</f>
        <v>2.13</v>
      </c>
      <c r="N208" s="257">
        <f>IFERROR(M208-(TBIcalc!$Q$9+TBIcalc!$Q$10),"")</f>
        <v>1.8801999999999999</v>
      </c>
      <c r="O208" s="378">
        <f>AVERAGE(Ashed_controlls!$K$2:$K$11)</f>
        <v>5.5147656768714146</v>
      </c>
      <c r="P208" s="257">
        <f t="shared" si="16"/>
        <v>1.7765113757434636</v>
      </c>
      <c r="Q208" s="257">
        <f>IFERROR(INDEX('Both teabags AfterDry'!$D$2:$D$2000,MATCH(L208,'Both teabags AfterDry'!$A$2:$A$2000,0)),"")</f>
        <v>0.745</v>
      </c>
      <c r="R208" s="257">
        <f>IFERROR(IF(Q208&gt;0,Q208-(TBIcalc!$Q$9),""),"")</f>
        <v>0.59440000000000004</v>
      </c>
      <c r="S208" s="268">
        <f>IFERROR(INDEX('Ashed teabags dry'!$K$2:$K$2000,MATCH(L208,'Ashed teabags dry'!$A$2:$A$2000,0)),"")</f>
        <v>21.467639015496861</v>
      </c>
      <c r="T208" s="268">
        <f t="shared" si="17"/>
        <v>0.46679635369188666</v>
      </c>
      <c r="U208" s="258">
        <f>IF('Dry_Litterbag Placem_Collection'!E209="","",'Dry_Litterbag Placem_Collection'!E209)</f>
        <v>42942</v>
      </c>
      <c r="V208" s="258">
        <f>IF('Dry_Litterbag Placem_Collection'!G209="","",'Dry_Litterbag Placem_Collection'!G209)</f>
        <v>43004</v>
      </c>
      <c r="W208" s="259">
        <f t="shared" si="15"/>
        <v>62</v>
      </c>
      <c r="X208" s="257">
        <f t="shared" si="18"/>
        <v>1.2857999999999998</v>
      </c>
      <c r="Y208" s="257">
        <f t="shared" si="19"/>
        <v>1.309715022051577</v>
      </c>
      <c r="Z208" s="261">
        <f>IFERROR(INDEX([3]Rainfall_Dry!$O$2:$O$217,MATCH(C208, [3]Rainfall_Dry!$A$2:$A$217,0)),"")</f>
        <v>171.84818423999999</v>
      </c>
      <c r="AA208" s="250">
        <v>27.96</v>
      </c>
      <c r="AB208" s="250">
        <v>4.9200000000000017</v>
      </c>
      <c r="AC208" s="250">
        <v>67.12</v>
      </c>
      <c r="AD208" s="251" t="s">
        <v>2651</v>
      </c>
      <c r="AE208" s="250">
        <v>0.88610152784622953</v>
      </c>
      <c r="AF208">
        <f>IF('WetLitterbags placem_collection'!AB209="","",'WetLitterbags placem_collection'!AB209)</f>
        <v>15.2</v>
      </c>
      <c r="AG208">
        <f>IF('WetLitterbags placem_collection'!Z209="","",'WetLitterbags placem_collection'!Z209)</f>
        <v>12.2</v>
      </c>
      <c r="AH208" s="236" t="str">
        <f>IF('WetLitterbags placem_collection'!AA209="","",'WetLitterbags placem_collection'!AA209)</f>
        <v>O</v>
      </c>
      <c r="AI208">
        <f>IF('WetLitterbags placem_collection'!AC209="","",'WetLitterbags placem_collection'!AC209)</f>
        <v>1</v>
      </c>
      <c r="AJ208">
        <f>IFERROR(AVERAGE('Dry_Litterbag Placem_Collection'!O209,'Dry_Litterbag Placem_Collection'!R209),"")</f>
        <v>4.3</v>
      </c>
      <c r="AK208" s="261">
        <f>IFERROR(AVERAGE('Dry_Litterbag Placem_Collection'!N209,'Dry_Litterbag Placem_Collection'!Q209),"")</f>
        <v>29.6</v>
      </c>
      <c r="AL208">
        <v>-2.4396949910000001</v>
      </c>
      <c r="AM208">
        <v>34.838574029999997</v>
      </c>
      <c r="AN208" s="260" t="str">
        <f>IF(ISNUMBER(SEARCH("C", 'Dry_Litterbag Placem_Collection'!S209)),"YES","NO")</f>
        <v>NO</v>
      </c>
      <c r="AO208" s="260" t="str">
        <f>IF(ISNUMBER(SEARCH("H", 'Dry_Litterbag Placem_Collection'!S209)),"YES","NO")</f>
        <v>NO</v>
      </c>
      <c r="AP208" s="260" t="str">
        <f>IF(ISNUMBER(SEARCH("R", 'Dry_Litterbag Placem_Collection'!S209)),"YES","NO")</f>
        <v>YES</v>
      </c>
    </row>
    <row r="209" spans="1:42" ht="15" customHeight="1">
      <c r="A209" t="s">
        <v>2490</v>
      </c>
      <c r="B209" s="252" t="s">
        <v>2643</v>
      </c>
      <c r="C209" s="253">
        <f>'Dry_Litterbag Placem_Collection'!A210</f>
        <v>208</v>
      </c>
      <c r="D209" s="253" t="str">
        <f>'Dry_Litterbag Placem_Collection'!B210</f>
        <v xml:space="preserve">Mwantimba
</v>
      </c>
      <c r="E209" s="253" t="s">
        <v>2454</v>
      </c>
      <c r="F209" s="253" t="s">
        <v>2644</v>
      </c>
      <c r="G209" s="253">
        <v>3</v>
      </c>
      <c r="H209" s="253" t="s">
        <v>3120</v>
      </c>
      <c r="I209" s="254" t="str">
        <f>'Dry_Litterbag Placem_Collection'!C210</f>
        <v>Wet_Ag4_CG3</v>
      </c>
      <c r="J209" s="255" t="s">
        <v>2525</v>
      </c>
      <c r="K209" s="256" t="s">
        <v>1147</v>
      </c>
      <c r="L209" s="253" t="str">
        <f>IF(ISBLANK('Dry_Litterbag Placem_Collection'!J210),"","G"&amp;""&amp;'Dry_Litterbag Placem_Collection'!J210)</f>
        <v>G412</v>
      </c>
      <c r="M209" s="257">
        <f>IFERROR(INDEX('Green_rooibos initial weight'!$C$5:$C$2000,MATCH(L209, 'Green_rooibos initial weight'!$A$5:$A$2000,0)),"")</f>
        <v>2.0049999999999999</v>
      </c>
      <c r="N209" s="257">
        <f>IFERROR(M209-(TBIcalc!$Q$9+TBIcalc!$Q$10),"")</f>
        <v>1.7551999999999999</v>
      </c>
      <c r="O209" s="378">
        <f>AVERAGE(Ashed_controlls!$K$2:$K$11)</f>
        <v>5.5147656768714146</v>
      </c>
      <c r="P209" s="257">
        <f t="shared" si="16"/>
        <v>1.6584048328395529</v>
      </c>
      <c r="Q209" s="257">
        <f>IFERROR(INDEX('Both teabags AfterDry'!$D$2:$D$2000,MATCH(L209,'Both teabags AfterDry'!$A$2:$A$2000,0)),"")</f>
        <v>0.72499999999999998</v>
      </c>
      <c r="R209" s="257">
        <f>IFERROR(IF(Q209&gt;0,Q209-(TBIcalc!$Q$9),""),"")</f>
        <v>0.57440000000000002</v>
      </c>
      <c r="S209" s="268">
        <f>IFERROR(INDEX('Ashed teabags dry'!$K$2:$K$2000,MATCH(L209,'Ashed teabags dry'!$A$2:$A$2000,0)),"")</f>
        <v>27.644710578842087</v>
      </c>
      <c r="T209" s="268">
        <f t="shared" si="17"/>
        <v>0.41560878243513111</v>
      </c>
      <c r="U209" s="258">
        <f>IF('Dry_Litterbag Placem_Collection'!E210="","",'Dry_Litterbag Placem_Collection'!E210)</f>
        <v>42942</v>
      </c>
      <c r="V209" s="258">
        <f>IF('Dry_Litterbag Placem_Collection'!G210="","",'Dry_Litterbag Placem_Collection'!G210)</f>
        <v>43004</v>
      </c>
      <c r="W209" s="259">
        <f t="shared" si="15"/>
        <v>62</v>
      </c>
      <c r="X209" s="257">
        <f t="shared" si="18"/>
        <v>1.1807999999999998</v>
      </c>
      <c r="Y209" s="257">
        <f t="shared" si="19"/>
        <v>1.2427960504044218</v>
      </c>
      <c r="Z209" s="261">
        <f>IFERROR(INDEX([3]Rainfall_Dry!$O$2:$O$217,MATCH(C209, [3]Rainfall_Dry!$A$2:$A$217,0)),"")</f>
        <v>171.84818423999999</v>
      </c>
      <c r="AA209" s="250">
        <v>17.96</v>
      </c>
      <c r="AB209" s="250">
        <v>4.9199999999999982</v>
      </c>
      <c r="AC209" s="250">
        <v>77.12</v>
      </c>
      <c r="AD209" s="251" t="s">
        <v>2652</v>
      </c>
      <c r="AE209" s="250">
        <v>2.0220798422868409</v>
      </c>
      <c r="AF209">
        <f>IF('WetLitterbags placem_collection'!AB210="","",'WetLitterbags placem_collection'!AB210)</f>
        <v>7.9</v>
      </c>
      <c r="AG209">
        <f>IF('WetLitterbags placem_collection'!Z210="","",'WetLitterbags placem_collection'!Z210)</f>
        <v>7.9</v>
      </c>
      <c r="AH209" s="236" t="str">
        <f>IF('WetLitterbags placem_collection'!AA210="","",'WetLitterbags placem_collection'!AA210)</f>
        <v>O</v>
      </c>
      <c r="AI209">
        <f>IF('WetLitterbags placem_collection'!AC210="","",'WetLitterbags placem_collection'!AC210)</f>
        <v>1</v>
      </c>
      <c r="AJ209">
        <f>IFERROR(AVERAGE('Dry_Litterbag Placem_Collection'!O210,'Dry_Litterbag Placem_Collection'!R210),"")</f>
        <v>6.2</v>
      </c>
      <c r="AK209" s="261">
        <f>IFERROR(AVERAGE('Dry_Litterbag Placem_Collection'!N210,'Dry_Litterbag Placem_Collection'!Q210),"")</f>
        <v>29.1</v>
      </c>
      <c r="AL209">
        <v>-2.4395990190000001</v>
      </c>
      <c r="AM209">
        <v>34.838418959999998</v>
      </c>
      <c r="AN209" s="260" t="str">
        <f>IF(ISNUMBER(SEARCH("C", 'Dry_Litterbag Placem_Collection'!S210)),"YES","NO")</f>
        <v>NO</v>
      </c>
      <c r="AO209" s="260" t="str">
        <f>IF(ISNUMBER(SEARCH("H", 'Dry_Litterbag Placem_Collection'!S210)),"YES","NO")</f>
        <v>YES</v>
      </c>
      <c r="AP209" s="260" t="str">
        <f>IF(ISNUMBER(SEARCH("R", 'Dry_Litterbag Placem_Collection'!S210)),"YES","NO")</f>
        <v>YES</v>
      </c>
    </row>
    <row r="210" spans="1:42" ht="15" customHeight="1">
      <c r="A210" t="s">
        <v>2490</v>
      </c>
      <c r="B210" s="252" t="s">
        <v>2643</v>
      </c>
      <c r="C210" s="253">
        <f>'Dry_Litterbag Placem_Collection'!A211</f>
        <v>209</v>
      </c>
      <c r="D210" s="253" t="str">
        <f>'Dry_Litterbag Placem_Collection'!B211</f>
        <v xml:space="preserve">Mwantimba
</v>
      </c>
      <c r="E210" s="253" t="s">
        <v>2454</v>
      </c>
      <c r="F210" s="253" t="s">
        <v>20</v>
      </c>
      <c r="G210" s="253">
        <v>2</v>
      </c>
      <c r="H210" s="253" t="s">
        <v>3121</v>
      </c>
      <c r="I210" s="254" t="str">
        <f>'Dry_Litterbag Placem_Collection'!C211</f>
        <v>Wet_P1_CG2</v>
      </c>
      <c r="J210" s="255" t="s">
        <v>2525</v>
      </c>
      <c r="K210" s="256" t="s">
        <v>1147</v>
      </c>
      <c r="L210" s="253" t="str">
        <f>IF(ISBLANK('Dry_Litterbag Placem_Collection'!J211),"","G"&amp;""&amp;'Dry_Litterbag Placem_Collection'!J211)</f>
        <v>G94</v>
      </c>
      <c r="M210" s="257">
        <f>IFERROR(INDEX('Green_rooibos initial weight'!$C$5:$C$2000,MATCH(L210, 'Green_rooibos initial weight'!$A$5:$A$2000,0)),"")</f>
        <v>2.0630000000000002</v>
      </c>
      <c r="N210" s="257">
        <f>IFERROR(M210-(TBIcalc!$Q$9+TBIcalc!$Q$10),"")</f>
        <v>1.8132000000000001</v>
      </c>
      <c r="O210" s="378">
        <f>AVERAGE(Ashed_controlls!$K$2:$K$11)</f>
        <v>5.5147656768714146</v>
      </c>
      <c r="P210" s="257">
        <f t="shared" si="16"/>
        <v>1.7132062687469676</v>
      </c>
      <c r="Q210" s="257">
        <f>IFERROR(INDEX('Both teabags AfterDry'!$D$2:$D$2000,MATCH(L210,'Both teabags AfterDry'!$A$2:$A$2000,0)),"")</f>
        <v>0.76</v>
      </c>
      <c r="R210" s="257">
        <f>IFERROR(IF(Q210&gt;0,Q210-(TBIcalc!$Q$9),""),"")</f>
        <v>0.60939999999999994</v>
      </c>
      <c r="S210" s="268">
        <f>IFERROR(INDEX('Ashed teabags dry'!$K$2:$K$2000,MATCH(L210,'Ashed teabags dry'!$A$2:$A$2000,0)),"")</f>
        <v>19.445818901534416</v>
      </c>
      <c r="T210" s="268">
        <f t="shared" si="17"/>
        <v>0.49089717961404922</v>
      </c>
      <c r="U210" s="258">
        <f>IF('Dry_Litterbag Placem_Collection'!E211="","",'Dry_Litterbag Placem_Collection'!E211)</f>
        <v>42942</v>
      </c>
      <c r="V210" s="258">
        <f>IF('Dry_Litterbag Placem_Collection'!G211="","",'Dry_Litterbag Placem_Collection'!G211)</f>
        <v>43004</v>
      </c>
      <c r="W210" s="259">
        <f t="shared" si="15"/>
        <v>62</v>
      </c>
      <c r="X210" s="257">
        <f t="shared" si="18"/>
        <v>1.2038000000000002</v>
      </c>
      <c r="Y210" s="257">
        <f t="shared" si="19"/>
        <v>1.2223090891329185</v>
      </c>
      <c r="Z210" s="261">
        <f>IFERROR(INDEX([3]Rainfall_Dry!$O$2:$O$217,MATCH(C210, [3]Rainfall_Dry!$A$2:$A$217,0)),"")</f>
        <v>171.84818423999999</v>
      </c>
      <c r="AA210" s="250">
        <v>31.214836424255054</v>
      </c>
      <c r="AB210" s="250">
        <v>11.377370285476141</v>
      </c>
      <c r="AC210" s="250">
        <v>57.407793290268799</v>
      </c>
      <c r="AD210" s="251" t="s">
        <v>2651</v>
      </c>
      <c r="AE210" s="250">
        <v>1.7337604731394776</v>
      </c>
      <c r="AF210">
        <f>IF('WetLitterbags placem_collection'!AB211="","",'WetLitterbags placem_collection'!AB211)</f>
        <v>5.13</v>
      </c>
      <c r="AG210">
        <f>IF('WetLitterbags placem_collection'!Z211="","",'WetLitterbags placem_collection'!Z211)</f>
        <v>5.13</v>
      </c>
      <c r="AH210" s="236" t="str">
        <f>IF('WetLitterbags placem_collection'!AA211="","",'WetLitterbags placem_collection'!AA211)</f>
        <v>O</v>
      </c>
      <c r="AI210">
        <f>IF('WetLitterbags placem_collection'!AC211="","",'WetLitterbags placem_collection'!AC211)</f>
        <v>1</v>
      </c>
      <c r="AJ210">
        <f>IFERROR(AVERAGE('Dry_Litterbag Placem_Collection'!O211,'Dry_Litterbag Placem_Collection'!R211),"")</f>
        <v>8.6000000000000014</v>
      </c>
      <c r="AK210" s="261">
        <f>IFERROR(AVERAGE('Dry_Litterbag Placem_Collection'!N211,'Dry_Litterbag Placem_Collection'!Q211),"")</f>
        <v>29.6</v>
      </c>
      <c r="AL210">
        <v>-2.4396450349999999</v>
      </c>
      <c r="AM210">
        <v>34.83836599</v>
      </c>
      <c r="AN210" s="260" t="str">
        <f>IF(ISNUMBER(SEARCH("C", 'Dry_Litterbag Placem_Collection'!S211)),"YES","NO")</f>
        <v>NO</v>
      </c>
      <c r="AO210" s="260" t="str">
        <f>IF(ISNUMBER(SEARCH("H", 'Dry_Litterbag Placem_Collection'!S211)),"YES","NO")</f>
        <v>NO</v>
      </c>
      <c r="AP210" s="260" t="str">
        <f>IF(ISNUMBER(SEARCH("R", 'Dry_Litterbag Placem_Collection'!S211)),"YES","NO")</f>
        <v>YES</v>
      </c>
    </row>
    <row r="211" spans="1:42" ht="15" customHeight="1">
      <c r="A211" t="s">
        <v>2490</v>
      </c>
      <c r="B211" s="252" t="s">
        <v>2643</v>
      </c>
      <c r="C211" s="253">
        <f>'Dry_Litterbag Placem_Collection'!A212</f>
        <v>210</v>
      </c>
      <c r="D211" s="253" t="str">
        <f>'Dry_Litterbag Placem_Collection'!B212</f>
        <v xml:space="preserve">Mwantimba
</v>
      </c>
      <c r="E211" s="253" t="s">
        <v>2454</v>
      </c>
      <c r="F211" s="253" t="s">
        <v>20</v>
      </c>
      <c r="G211" s="253">
        <v>4</v>
      </c>
      <c r="H211" s="253" t="s">
        <v>3123</v>
      </c>
      <c r="I211" s="254" t="str">
        <f>'Dry_Litterbag Placem_Collection'!C212</f>
        <v>Wet_P2_CG4</v>
      </c>
      <c r="J211" s="255" t="s">
        <v>2525</v>
      </c>
      <c r="K211" s="256" t="s">
        <v>1147</v>
      </c>
      <c r="L211" s="253" t="str">
        <f>IF(ISBLANK('Dry_Litterbag Placem_Collection'!J212),"","G"&amp;""&amp;'Dry_Litterbag Placem_Collection'!J212)</f>
        <v>G93</v>
      </c>
      <c r="M211" s="257">
        <f>IFERROR(INDEX('Green_rooibos initial weight'!$C$5:$C$2000,MATCH(L211, 'Green_rooibos initial weight'!$A$5:$A$2000,0)),"")</f>
        <v>2.1230000000000002</v>
      </c>
      <c r="N211" s="257">
        <f>IFERROR(M211-(TBIcalc!$Q$9+TBIcalc!$Q$10),"")</f>
        <v>1.8732000000000002</v>
      </c>
      <c r="O211" s="378">
        <f>AVERAGE(Ashed_controlls!$K$2:$K$11)</f>
        <v>5.5147656768714146</v>
      </c>
      <c r="P211" s="257">
        <f t="shared" si="16"/>
        <v>1.7698974093408448</v>
      </c>
      <c r="Q211" s="257">
        <f>IFERROR(INDEX('Both teabags AfterDry'!$D$2:$D$2000,MATCH(L211,'Both teabags AfterDry'!$A$2:$A$2000,0)),"")</f>
        <v>0.80600000000000005</v>
      </c>
      <c r="R211" s="257">
        <f>IFERROR(IF(Q211&gt;0,Q211-(TBIcalc!$Q$9),""),"")</f>
        <v>0.65539999999999998</v>
      </c>
      <c r="S211" s="268">
        <f>IFERROR(INDEX('Ashed teabags dry'!$K$2:$K$2000,MATCH(L211,'Ashed teabags dry'!$A$2:$A$2000,0)),"")</f>
        <v>13.82488479262701</v>
      </c>
      <c r="T211" s="268">
        <f t="shared" si="17"/>
        <v>0.56479170506912257</v>
      </c>
      <c r="U211" s="258">
        <f>IF('Dry_Litterbag Placem_Collection'!E212="","",'Dry_Litterbag Placem_Collection'!E212)</f>
        <v>42942</v>
      </c>
      <c r="V211" s="258">
        <f>IF('Dry_Litterbag Placem_Collection'!G212="","",'Dry_Litterbag Placem_Collection'!G212)</f>
        <v>43004</v>
      </c>
      <c r="W211" s="259">
        <f t="shared" si="15"/>
        <v>62</v>
      </c>
      <c r="X211" s="257">
        <f t="shared" si="18"/>
        <v>1.2178000000000002</v>
      </c>
      <c r="Y211" s="257">
        <f t="shared" si="19"/>
        <v>1.2051057042717224</v>
      </c>
      <c r="Z211" s="261">
        <f>IFERROR(INDEX([3]Rainfall_Dry!$O$2:$O$217,MATCH(C211, [3]Rainfall_Dry!$A$2:$A$217,0)),"")</f>
        <v>171.84818423999999</v>
      </c>
      <c r="AA211" s="250">
        <v>33.96</v>
      </c>
      <c r="AB211" s="250">
        <v>8.9200000000000017</v>
      </c>
      <c r="AC211" s="250">
        <v>57.12</v>
      </c>
      <c r="AD211" s="251" t="s">
        <v>2651</v>
      </c>
      <c r="AE211" s="250">
        <v>2.072055199605717</v>
      </c>
      <c r="AF211">
        <f>IF('WetLitterbags placem_collection'!AB212="","",'WetLitterbags placem_collection'!AB212)</f>
        <v>15.2</v>
      </c>
      <c r="AG211">
        <f>IF('WetLitterbags placem_collection'!Z212="","",'WetLitterbags placem_collection'!Z212)</f>
        <v>12.2</v>
      </c>
      <c r="AH211" s="236" t="str">
        <f>IF('WetLitterbags placem_collection'!AA212="","",'WetLitterbags placem_collection'!AA212)</f>
        <v>O</v>
      </c>
      <c r="AI211">
        <f>IF('WetLitterbags placem_collection'!AC212="","",'WetLitterbags placem_collection'!AC212)</f>
        <v>1</v>
      </c>
      <c r="AJ211">
        <f>IFERROR(AVERAGE('Dry_Litterbag Placem_Collection'!O212,'Dry_Litterbag Placem_Collection'!R212),"")</f>
        <v>6.1</v>
      </c>
      <c r="AK211" s="261">
        <f>IFERROR(AVERAGE('Dry_Litterbag Placem_Collection'!N212,'Dry_Litterbag Placem_Collection'!Q212),"")</f>
        <v>27.5</v>
      </c>
      <c r="AL211">
        <v>-2.4396949910000001</v>
      </c>
      <c r="AM211">
        <v>34.838574029999997</v>
      </c>
      <c r="AN211" s="260" t="str">
        <f>IF(ISNUMBER(SEARCH("C", 'Dry_Litterbag Placem_Collection'!S212)),"YES","NO")</f>
        <v>YES</v>
      </c>
      <c r="AO211" s="260" t="str">
        <f>IF(ISNUMBER(SEARCH("H", 'Dry_Litterbag Placem_Collection'!S212)),"YES","NO")</f>
        <v>NO</v>
      </c>
      <c r="AP211" s="260" t="str">
        <f>IF(ISNUMBER(SEARCH("R", 'Dry_Litterbag Placem_Collection'!S212)),"YES","NO")</f>
        <v>YES</v>
      </c>
    </row>
    <row r="212" spans="1:42" ht="15" customHeight="1">
      <c r="A212" t="s">
        <v>2490</v>
      </c>
      <c r="B212" s="252" t="s">
        <v>2643</v>
      </c>
      <c r="C212" s="253">
        <f>'Dry_Litterbag Placem_Collection'!A213</f>
        <v>211</v>
      </c>
      <c r="D212" s="253" t="str">
        <f>'Dry_Litterbag Placem_Collection'!B213</f>
        <v xml:space="preserve">Mwantimba
</v>
      </c>
      <c r="E212" s="253" t="s">
        <v>2454</v>
      </c>
      <c r="F212" s="253" t="s">
        <v>20</v>
      </c>
      <c r="G212" s="253">
        <v>1</v>
      </c>
      <c r="H212" s="253" t="s">
        <v>3124</v>
      </c>
      <c r="I212" s="254" t="str">
        <f>'Dry_Litterbag Placem_Collection'!C213</f>
        <v>Wet_P3_CG1</v>
      </c>
      <c r="J212" s="255" t="s">
        <v>2525</v>
      </c>
      <c r="K212" s="256" t="s">
        <v>1147</v>
      </c>
      <c r="L212" s="253" t="str">
        <f>IF(ISBLANK('Dry_Litterbag Placem_Collection'!J213),"","G"&amp;""&amp;'Dry_Litterbag Placem_Collection'!J213)</f>
        <v>G26</v>
      </c>
      <c r="M212" s="257">
        <f>IFERROR(INDEX('Green_rooibos initial weight'!$C$5:$C$2000,MATCH(L212, 'Green_rooibos initial weight'!$A$5:$A$2000,0)),"")</f>
        <v>2.1059999999999999</v>
      </c>
      <c r="N212" s="257">
        <f>IFERROR(M212-(TBIcalc!$Q$9+TBIcalc!$Q$10),"")</f>
        <v>1.8561999999999999</v>
      </c>
      <c r="O212" s="378">
        <f>AVERAGE(Ashed_controlls!$K$2:$K$11)</f>
        <v>5.5147656768714146</v>
      </c>
      <c r="P212" s="257">
        <f t="shared" si="16"/>
        <v>1.7538349195059126</v>
      </c>
      <c r="Q212" s="257">
        <f>IFERROR(INDEX('Both teabags AfterDry'!$D$2:$D$2000,MATCH(L212,'Both teabags AfterDry'!$A$2:$A$2000,0)),"")</f>
        <v>0.38400000000000001</v>
      </c>
      <c r="R212" s="257">
        <f>IFERROR(IF(Q212&gt;0,Q212-(TBIcalc!$Q$9),""),"")</f>
        <v>0.2334</v>
      </c>
      <c r="S212" s="268">
        <f>IFERROR(INDEX('Ashed teabags dry'!$K$2:$K$2000,MATCH(L212,'Ashed teabags dry'!$A$2:$A$2000,0)),"")</f>
        <v>18.38888888888961</v>
      </c>
      <c r="T212" s="268">
        <f t="shared" si="17"/>
        <v>0.19048033333333164</v>
      </c>
      <c r="U212" s="258">
        <f>IF('Dry_Litterbag Placem_Collection'!E213="","",'Dry_Litterbag Placem_Collection'!E213)</f>
        <v>42942</v>
      </c>
      <c r="V212" s="258">
        <f>IF('Dry_Litterbag Placem_Collection'!G213="","",'Dry_Litterbag Placem_Collection'!G213)</f>
        <v>43004</v>
      </c>
      <c r="W212" s="259">
        <f t="shared" si="15"/>
        <v>62</v>
      </c>
      <c r="X212" s="257">
        <f t="shared" si="18"/>
        <v>1.6227999999999998</v>
      </c>
      <c r="Y212" s="257">
        <f t="shared" si="19"/>
        <v>1.5633545861725811</v>
      </c>
      <c r="Z212" s="261">
        <f>IFERROR(INDEX([3]Rainfall_Dry!$O$2:$O$217,MATCH(C212, [3]Rainfall_Dry!$A$2:$A$217,0)),"")</f>
        <v>171.84818423999999</v>
      </c>
      <c r="AA212" s="250">
        <v>39.96</v>
      </c>
      <c r="AB212" s="250">
        <v>12.920000000000002</v>
      </c>
      <c r="AC212" s="250">
        <v>47.12</v>
      </c>
      <c r="AD212" s="251" t="s">
        <v>2655</v>
      </c>
      <c r="AE212" s="250">
        <v>1.6549531789058647</v>
      </c>
      <c r="AF212">
        <f>IF('WetLitterbags placem_collection'!AB213="","",'WetLitterbags placem_collection'!AB213)</f>
        <v>13.8</v>
      </c>
      <c r="AG212">
        <f>IF('WetLitterbags placem_collection'!Z213="","",'WetLitterbags placem_collection'!Z213)</f>
        <v>17.399999999999999</v>
      </c>
      <c r="AH212" s="236" t="str">
        <f>IF('WetLitterbags placem_collection'!AA213="","",'WetLitterbags placem_collection'!AA213)</f>
        <v>O</v>
      </c>
      <c r="AI212">
        <f>IF('WetLitterbags placem_collection'!AC213="","",'WetLitterbags placem_collection'!AC213)</f>
        <v>1</v>
      </c>
      <c r="AJ212">
        <f>IFERROR(AVERAGE('Dry_Litterbag Placem_Collection'!O213,'Dry_Litterbag Placem_Collection'!R213),"")</f>
        <v>7.55</v>
      </c>
      <c r="AK212" s="261">
        <f>IFERROR(AVERAGE('Dry_Litterbag Placem_Collection'!N213,'Dry_Litterbag Placem_Collection'!Q213),"")</f>
        <v>28</v>
      </c>
      <c r="AL212">
        <v>-2.439403972</v>
      </c>
      <c r="AM212">
        <v>34.838404959999998</v>
      </c>
      <c r="AN212" s="260" t="str">
        <f>IF(ISNUMBER(SEARCH("C", 'Dry_Litterbag Placem_Collection'!S213)),"YES","NO")</f>
        <v>NO</v>
      </c>
      <c r="AO212" s="260" t="str">
        <f>IF(ISNUMBER(SEARCH("H", 'Dry_Litterbag Placem_Collection'!S213)),"YES","NO")</f>
        <v>YES</v>
      </c>
      <c r="AP212" s="260" t="str">
        <f>IF(ISNUMBER(SEARCH("R", 'Dry_Litterbag Placem_Collection'!S213)),"YES","NO")</f>
        <v>NO</v>
      </c>
    </row>
    <row r="213" spans="1:42" ht="15" customHeight="1">
      <c r="A213" t="s">
        <v>2490</v>
      </c>
      <c r="B213" s="252" t="s">
        <v>2643</v>
      </c>
      <c r="C213" s="253">
        <f>'Dry_Litterbag Placem_Collection'!A214</f>
        <v>215</v>
      </c>
      <c r="D213" s="253" t="str">
        <f>'Dry_Litterbag Placem_Collection'!B214</f>
        <v xml:space="preserve">Mwantimba
</v>
      </c>
      <c r="E213" s="253" t="s">
        <v>2454</v>
      </c>
      <c r="F213" s="253" t="s">
        <v>2645</v>
      </c>
      <c r="G213" s="253">
        <v>3</v>
      </c>
      <c r="H213" s="253" t="s">
        <v>3129</v>
      </c>
      <c r="I213" s="254" t="str">
        <f>'Dry_Litterbag Placem_Collection'!C214</f>
        <v>Wet_W3_CG1</v>
      </c>
      <c r="J213" s="255" t="s">
        <v>2525</v>
      </c>
      <c r="K213" s="256" t="s">
        <v>1147</v>
      </c>
      <c r="L213" s="253" t="str">
        <f>IF(ISBLANK('Dry_Litterbag Placem_Collection'!J214),"","G"&amp;""&amp;'Dry_Litterbag Placem_Collection'!J214)</f>
        <v>G169</v>
      </c>
      <c r="M213" s="257">
        <f>IFERROR(INDEX('Green_rooibos initial weight'!$C$5:$C$2000,MATCH(L213, 'Green_rooibos initial weight'!$A$5:$A$2000,0)),"")</f>
        <v>2.0649999999999999</v>
      </c>
      <c r="N213" s="257">
        <f>IFERROR(M213-(TBIcalc!$Q$9+TBIcalc!$Q$10),"")</f>
        <v>1.8151999999999999</v>
      </c>
      <c r="O213" s="378">
        <f>AVERAGE(Ashed_controlls!$K$2:$K$11)</f>
        <v>5.5147656768714146</v>
      </c>
      <c r="P213" s="257">
        <f t="shared" si="16"/>
        <v>1.7150959734334301</v>
      </c>
      <c r="Q213" s="257">
        <f>IFERROR(INDEX('Both teabags AfterDry'!$D$2:$D$2000,MATCH(L213,'Both teabags AfterDry'!$A$2:$A$2000,0)),"")</f>
        <v>0.70899999999999996</v>
      </c>
      <c r="R213" s="257">
        <f>IFERROR(IF(Q213&gt;0,Q213-(TBIcalc!$Q$9),""),"")</f>
        <v>0.55840000000000001</v>
      </c>
      <c r="S213" s="268">
        <f>IFERROR(INDEX('Ashed teabags dry'!$K$2:$K$2000,MATCH(L213,'Ashed teabags dry'!$A$2:$A$2000,0)),"")</f>
        <v>21.867199201197611</v>
      </c>
      <c r="T213" s="268">
        <f t="shared" si="17"/>
        <v>0.43629355966051253</v>
      </c>
      <c r="U213" s="258">
        <f>IF('Dry_Litterbag Placem_Collection'!E214="","",'Dry_Litterbag Placem_Collection'!E214)</f>
        <v>42942</v>
      </c>
      <c r="V213" s="258">
        <f>IF('Dry_Litterbag Placem_Collection'!G214="","",'Dry_Litterbag Placem_Collection'!G214)</f>
        <v>43004</v>
      </c>
      <c r="W213" s="259">
        <f t="shared" si="15"/>
        <v>62</v>
      </c>
      <c r="X213" s="257">
        <f t="shared" si="18"/>
        <v>1.2567999999999999</v>
      </c>
      <c r="Y213" s="257">
        <f t="shared" si="19"/>
        <v>1.2788024137729175</v>
      </c>
      <c r="Z213" s="261" t="str">
        <f>IFERROR(INDEX([3]Rainfall_Dry!$O$2:$O$217,MATCH(C213, [3]Rainfall_Dry!$A$2:$A$217,0)),"")</f>
        <v/>
      </c>
      <c r="AA213" s="250">
        <v>27.96</v>
      </c>
      <c r="AB213" s="250">
        <v>4.9200000000000017</v>
      </c>
      <c r="AC213" s="250">
        <v>67.12</v>
      </c>
      <c r="AD213" s="251" t="s">
        <v>2651</v>
      </c>
      <c r="AE213" s="250">
        <v>1.0437161163134547</v>
      </c>
      <c r="AF213">
        <f>IF('WetLitterbags placem_collection'!AB214="","",'WetLitterbags placem_collection'!AB214)</f>
        <v>7.9</v>
      </c>
      <c r="AG213">
        <f>IF('WetLitterbags placem_collection'!Z214="","",'WetLitterbags placem_collection'!Z214)</f>
        <v>7.9</v>
      </c>
      <c r="AH213" s="236" t="str">
        <f>IF('WetLitterbags placem_collection'!AA214="","",'WetLitterbags placem_collection'!AA214)</f>
        <v>O</v>
      </c>
      <c r="AI213">
        <f>IF('WetLitterbags placem_collection'!AC214="","",'WetLitterbags placem_collection'!AC214)</f>
        <v>1</v>
      </c>
      <c r="AJ213">
        <f>IFERROR(AVERAGE('Dry_Litterbag Placem_Collection'!O214,'Dry_Litterbag Placem_Collection'!R214),"")</f>
        <v>4.3</v>
      </c>
      <c r="AK213" s="261">
        <f>IFERROR(AVERAGE('Dry_Litterbag Placem_Collection'!N214,'Dry_Litterbag Placem_Collection'!Q214),"")</f>
        <v>28.75</v>
      </c>
      <c r="AL213">
        <v>-2.4395990190000001</v>
      </c>
      <c r="AM213">
        <v>34.838418959999998</v>
      </c>
      <c r="AN213" s="260" t="str">
        <f>IF(ISNUMBER(SEARCH("C", 'Dry_Litterbag Placem_Collection'!S214)),"YES","NO")</f>
        <v>NO</v>
      </c>
      <c r="AO213" s="260" t="str">
        <f>IF(ISNUMBER(SEARCH("H", 'Dry_Litterbag Placem_Collection'!S214)),"YES","NO")</f>
        <v>NO</v>
      </c>
      <c r="AP213" s="260" t="str">
        <f>IF(ISNUMBER(SEARCH("R", 'Dry_Litterbag Placem_Collection'!S214)),"YES","NO")</f>
        <v>NO</v>
      </c>
    </row>
    <row r="214" spans="1:42" ht="15" customHeight="1">
      <c r="A214" t="s">
        <v>2490</v>
      </c>
      <c r="B214" s="252" t="s">
        <v>2643</v>
      </c>
      <c r="C214" s="253">
        <f>'Dry_Litterbag Placem_Collection'!A215</f>
        <v>212</v>
      </c>
      <c r="D214" s="253" t="str">
        <f>'Dry_Litterbag Placem_Collection'!B215</f>
        <v xml:space="preserve">Mwantimba
</v>
      </c>
      <c r="E214" s="253" t="s">
        <v>2454</v>
      </c>
      <c r="F214" s="253" t="s">
        <v>20</v>
      </c>
      <c r="G214" s="253">
        <v>4</v>
      </c>
      <c r="H214" s="253" t="s">
        <v>3125</v>
      </c>
      <c r="I214" s="254" t="str">
        <f>'Dry_Litterbag Placem_Collection'!C215</f>
        <v>Wet_P4_CG3</v>
      </c>
      <c r="J214" s="255" t="s">
        <v>2525</v>
      </c>
      <c r="K214" s="256" t="s">
        <v>1147</v>
      </c>
      <c r="L214" s="253" t="str">
        <f>IF(ISBLANK('Dry_Litterbag Placem_Collection'!J215),"","G"&amp;""&amp;'Dry_Litterbag Placem_Collection'!J215)</f>
        <v>G68</v>
      </c>
      <c r="M214" s="257">
        <f>IFERROR(INDEX('Green_rooibos initial weight'!$C$5:$C$2000,MATCH(L214, 'Green_rooibos initial weight'!$A$5:$A$2000,0)),"")</f>
        <v>1.921</v>
      </c>
      <c r="N214" s="257">
        <f>IFERROR(M214-(TBIcalc!$Q$9+TBIcalc!$Q$10),"")</f>
        <v>1.6712</v>
      </c>
      <c r="O214" s="378">
        <f>AVERAGE(Ashed_controlls!$K$2:$K$11)</f>
        <v>5.5147656768714146</v>
      </c>
      <c r="P214" s="257">
        <f t="shared" si="16"/>
        <v>1.5790372360081248</v>
      </c>
      <c r="Q214" s="257">
        <f>IFERROR(INDEX('Both teabags AfterDry'!$D$2:$D$2000,MATCH(L214,'Both teabags AfterDry'!$A$2:$A$2000,0)),"")</f>
        <v>0.71</v>
      </c>
      <c r="R214" s="257">
        <f>IFERROR(IF(Q214&gt;0,Q214-(TBIcalc!$Q$9),""),"")</f>
        <v>0.5593999999999999</v>
      </c>
      <c r="S214" s="268">
        <f>IFERROR(INDEX('Ashed teabags dry'!$K$2:$K$2000,MATCH(L214,'Ashed teabags dry'!$A$2:$A$2000,0)),"")</f>
        <v>24.931756141947613</v>
      </c>
      <c r="T214" s="268">
        <f t="shared" si="17"/>
        <v>0.419931756141945</v>
      </c>
      <c r="U214" s="258">
        <f>IF('Dry_Litterbag Placem_Collection'!E215="","",'Dry_Litterbag Placem_Collection'!E215)</f>
        <v>42942</v>
      </c>
      <c r="V214" s="258">
        <f>IF('Dry_Litterbag Placem_Collection'!G215="","",'Dry_Litterbag Placem_Collection'!G215)</f>
        <v>43004</v>
      </c>
      <c r="W214" s="259">
        <f t="shared" si="15"/>
        <v>62</v>
      </c>
      <c r="X214" s="257">
        <f t="shared" si="18"/>
        <v>1.1118000000000001</v>
      </c>
      <c r="Y214" s="257">
        <f t="shared" si="19"/>
        <v>1.15910547986618</v>
      </c>
      <c r="Z214" s="261">
        <f>IFERROR(INDEX([3]Rainfall_Dry!$O$2:$O$217,MATCH(C214, [3]Rainfall_Dry!$A$2:$A$217,0)),"")</f>
        <v>171.84818423999999</v>
      </c>
      <c r="AA214" s="250">
        <v>21.96</v>
      </c>
      <c r="AB214" s="250">
        <v>4.9199999999999982</v>
      </c>
      <c r="AC214" s="250">
        <v>73.12</v>
      </c>
      <c r="AD214" s="251" t="s">
        <v>2651</v>
      </c>
      <c r="AE214" s="250">
        <v>1.2416954164613114</v>
      </c>
      <c r="AF214">
        <f>IF('WetLitterbags placem_collection'!AB215="","",'WetLitterbags placem_collection'!AB215)</f>
        <v>15.2</v>
      </c>
      <c r="AG214">
        <f>IF('WetLitterbags placem_collection'!Z215="","",'WetLitterbags placem_collection'!Z215)</f>
        <v>12.2</v>
      </c>
      <c r="AH214" s="236" t="str">
        <f>IF('WetLitterbags placem_collection'!AA215="","",'WetLitterbags placem_collection'!AA215)</f>
        <v>O</v>
      </c>
      <c r="AI214">
        <f>IF('WetLitterbags placem_collection'!AC215="","",'WetLitterbags placem_collection'!AC215)</f>
        <v>1</v>
      </c>
      <c r="AJ214">
        <f>IFERROR(AVERAGE('Dry_Litterbag Placem_Collection'!O215,'Dry_Litterbag Placem_Collection'!R215),"")</f>
        <v>8.1499999999999986</v>
      </c>
      <c r="AK214" s="261">
        <f>IFERROR(AVERAGE('Dry_Litterbag Placem_Collection'!N215,'Dry_Litterbag Placem_Collection'!Q215),"")</f>
        <v>28.25</v>
      </c>
      <c r="AL214">
        <v>-2.4396949910000001</v>
      </c>
      <c r="AM214">
        <v>34.838574029999997</v>
      </c>
      <c r="AN214" s="260" t="str">
        <f>IF(ISNUMBER(SEARCH("C", 'Dry_Litterbag Placem_Collection'!S215)),"YES","NO")</f>
        <v>NO</v>
      </c>
      <c r="AO214" s="260" t="str">
        <f>IF(ISNUMBER(SEARCH("H", 'Dry_Litterbag Placem_Collection'!S215)),"YES","NO")</f>
        <v>YES</v>
      </c>
      <c r="AP214" s="260" t="str">
        <f>IF(ISNUMBER(SEARCH("R", 'Dry_Litterbag Placem_Collection'!S215)),"YES","NO")</f>
        <v>YES</v>
      </c>
    </row>
    <row r="215" spans="1:42" ht="15" customHeight="1">
      <c r="A215" t="s">
        <v>2490</v>
      </c>
      <c r="B215" s="252" t="s">
        <v>2643</v>
      </c>
      <c r="C215" s="253">
        <f>'Dry_Litterbag Placem_Collection'!A216</f>
        <v>213</v>
      </c>
      <c r="D215" s="253" t="str">
        <f>'Dry_Litterbag Placem_Collection'!B216</f>
        <v>Handajega</v>
      </c>
      <c r="E215" s="253" t="s">
        <v>2454</v>
      </c>
      <c r="F215" s="253" t="s">
        <v>2645</v>
      </c>
      <c r="G215" s="253">
        <v>3</v>
      </c>
      <c r="H215" s="253" t="s">
        <v>3126</v>
      </c>
      <c r="I215" s="254" t="str">
        <f>'Dry_Litterbag Placem_Collection'!C216</f>
        <v>Wet_W1_CG4</v>
      </c>
      <c r="J215" s="255" t="s">
        <v>2525</v>
      </c>
      <c r="K215" s="256" t="s">
        <v>1147</v>
      </c>
      <c r="L215" s="253" t="str">
        <f>IF(ISBLANK('Dry_Litterbag Placem_Collection'!J216),"","G"&amp;""&amp;'Dry_Litterbag Placem_Collection'!J216)</f>
        <v>G143</v>
      </c>
      <c r="M215" s="257">
        <f>IFERROR(INDEX('Green_rooibos initial weight'!$C$5:$C$2000,MATCH(L215, 'Green_rooibos initial weight'!$A$5:$A$2000,0)),"")</f>
        <v>1.9450000000000001</v>
      </c>
      <c r="N215" s="257">
        <f>IFERROR(M215-(TBIcalc!$Q$9+TBIcalc!$Q$10),"")</f>
        <v>1.6952</v>
      </c>
      <c r="O215" s="378">
        <f>AVERAGE(Ashed_controlls!$K$2:$K$11)</f>
        <v>5.5147656768714146</v>
      </c>
      <c r="P215" s="257">
        <f t="shared" si="16"/>
        <v>1.6017136922456758</v>
      </c>
      <c r="Q215" s="257">
        <f>IFERROR(INDEX('Both teabags AfterDry'!$D$2:$D$2000,MATCH(L215,'Both teabags AfterDry'!$A$2:$A$2000,0)),"")</f>
        <v>0.57899999999999996</v>
      </c>
      <c r="R215" s="257">
        <f>IFERROR(IF(Q215&gt;0,Q215-(TBIcalc!$Q$9),""),"")</f>
        <v>0.42839999999999995</v>
      </c>
      <c r="S215" s="268">
        <f>IFERROR(INDEX('Ashed teabags dry'!$K$2:$K$2000,MATCH(L215,'Ashed teabags dry'!$A$2:$A$2000,0)),"")</f>
        <v>19.161676646707068</v>
      </c>
      <c r="T215" s="268">
        <f t="shared" si="17"/>
        <v>0.34631137724550687</v>
      </c>
      <c r="U215" s="258">
        <f>IF('Dry_Litterbag Placem_Collection'!E216="","",'Dry_Litterbag Placem_Collection'!E216)</f>
        <v>42942</v>
      </c>
      <c r="V215" s="258">
        <f>IF('Dry_Litterbag Placem_Collection'!G216="","",'Dry_Litterbag Placem_Collection'!G216)</f>
        <v>43004</v>
      </c>
      <c r="W215" s="259">
        <f t="shared" si="15"/>
        <v>62</v>
      </c>
      <c r="X215" s="257">
        <f t="shared" si="18"/>
        <v>1.2668000000000001</v>
      </c>
      <c r="Y215" s="257">
        <f t="shared" si="19"/>
        <v>1.255402315000169</v>
      </c>
      <c r="Z215" s="261">
        <f>IFERROR(INDEX([3]Rainfall_Dry!$O$2:$O$217,MATCH(C215, [3]Rainfall_Dry!$A$2:$A$217,0)),"")</f>
        <v>171.84818423999999</v>
      </c>
      <c r="AA215" s="250">
        <v>23.96</v>
      </c>
      <c r="AB215" s="250">
        <v>4.9199999999999982</v>
      </c>
      <c r="AC215" s="250">
        <v>71.12</v>
      </c>
      <c r="AD215" s="251" t="s">
        <v>2651</v>
      </c>
      <c r="AE215" s="250">
        <v>3.30913750616067</v>
      </c>
      <c r="AF215">
        <f>IF('WetLitterbags placem_collection'!AB216="","",'WetLitterbags placem_collection'!AB216)</f>
        <v>7.9</v>
      </c>
      <c r="AG215">
        <f>IF('WetLitterbags placem_collection'!Z216="","",'WetLitterbags placem_collection'!Z216)</f>
        <v>7.9</v>
      </c>
      <c r="AH215" s="236" t="str">
        <f>IF('WetLitterbags placem_collection'!AA216="","",'WetLitterbags placem_collection'!AA216)</f>
        <v>O</v>
      </c>
      <c r="AI215">
        <f>IF('WetLitterbags placem_collection'!AC216="","",'WetLitterbags placem_collection'!AC216)</f>
        <v>1</v>
      </c>
      <c r="AJ215">
        <f>IFERROR(AVERAGE('Dry_Litterbag Placem_Collection'!O216,'Dry_Litterbag Placem_Collection'!R216),"")</f>
        <v>4.3499999999999996</v>
      </c>
      <c r="AK215" s="261">
        <f>IFERROR(AVERAGE('Dry_Litterbag Placem_Collection'!N216,'Dry_Litterbag Placem_Collection'!Q216),"")</f>
        <v>29.1</v>
      </c>
      <c r="AL215">
        <v>-2.4396949910000001</v>
      </c>
      <c r="AM215">
        <v>34.838574029999997</v>
      </c>
      <c r="AN215" s="260" t="str">
        <f>IF(ISNUMBER(SEARCH("C", 'Dry_Litterbag Placem_Collection'!S216)),"YES","NO")</f>
        <v>NO</v>
      </c>
      <c r="AO215" s="260" t="str">
        <f>IF(ISNUMBER(SEARCH("H", 'Dry_Litterbag Placem_Collection'!S216)),"YES","NO")</f>
        <v>NO</v>
      </c>
      <c r="AP215" s="260" t="str">
        <f>IF(ISNUMBER(SEARCH("R", 'Dry_Litterbag Placem_Collection'!S216)),"YES","NO")</f>
        <v>YES</v>
      </c>
    </row>
    <row r="216" spans="1:42" ht="15" customHeight="1">
      <c r="A216" t="s">
        <v>2490</v>
      </c>
      <c r="B216" s="252" t="s">
        <v>2643</v>
      </c>
      <c r="C216" s="253">
        <f>'Dry_Litterbag Placem_Collection'!A217</f>
        <v>214</v>
      </c>
      <c r="D216" s="253" t="str">
        <f>'Dry_Litterbag Placem_Collection'!B217</f>
        <v>Handajega</v>
      </c>
      <c r="E216" s="253" t="s">
        <v>2454</v>
      </c>
      <c r="F216" s="253" t="s">
        <v>2645</v>
      </c>
      <c r="G216" s="253">
        <v>1</v>
      </c>
      <c r="H216" s="253" t="s">
        <v>3128</v>
      </c>
      <c r="I216" s="254" t="str">
        <f>'Dry_Litterbag Placem_Collection'!C217</f>
        <v>Wet_W2_CG3</v>
      </c>
      <c r="J216" s="255" t="s">
        <v>2525</v>
      </c>
      <c r="K216" s="256" t="s">
        <v>1147</v>
      </c>
      <c r="L216" s="253" t="str">
        <f>IF(ISBLANK('Dry_Litterbag Placem_Collection'!J217),"","G"&amp;""&amp;'Dry_Litterbag Placem_Collection'!J217)</f>
        <v>G128</v>
      </c>
      <c r="M216" s="257">
        <f>IFERROR(INDEX('Green_rooibos initial weight'!$C$5:$C$2000,MATCH(L216, 'Green_rooibos initial weight'!$A$5:$A$2000,0)),"")</f>
        <v>2.0219999999999998</v>
      </c>
      <c r="N216" s="257">
        <f>IFERROR(M216-(TBIcalc!$Q$9+TBIcalc!$Q$10),"")</f>
        <v>1.7721999999999998</v>
      </c>
      <c r="O216" s="378">
        <f>AVERAGE(Ashed_controlls!$K$2:$K$11)</f>
        <v>5.5147656768714146</v>
      </c>
      <c r="P216" s="257">
        <f t="shared" si="16"/>
        <v>1.6744673226744846</v>
      </c>
      <c r="Q216" s="257">
        <f>IFERROR(INDEX('Both teabags AfterDry'!$D$2:$D$2000,MATCH(L216,'Both teabags AfterDry'!$A$2:$A$2000,0)),"")</f>
        <v>0.70599999999999996</v>
      </c>
      <c r="R216" s="257">
        <f>IFERROR(IF(Q216&gt;0,Q216-(TBIcalc!$Q$9),""),"")</f>
        <v>0.55539999999999989</v>
      </c>
      <c r="S216" s="268">
        <f>IFERROR(INDEX('Ashed teabags dry'!$K$2:$K$2000,MATCH(L216,'Ashed teabags dry'!$A$2:$A$2000,0)),"")</f>
        <v>20.06472491909372</v>
      </c>
      <c r="T216" s="268">
        <f t="shared" si="17"/>
        <v>0.44396051779935342</v>
      </c>
      <c r="U216" s="258">
        <f>IF('Dry_Litterbag Placem_Collection'!E217="","",'Dry_Litterbag Placem_Collection'!E217)</f>
        <v>42942</v>
      </c>
      <c r="V216" s="258">
        <f>IF('Dry_Litterbag Placem_Collection'!G217="","",'Dry_Litterbag Placem_Collection'!G217)</f>
        <v>43004</v>
      </c>
      <c r="W216" s="259">
        <f t="shared" si="15"/>
        <v>62</v>
      </c>
      <c r="X216" s="257">
        <f t="shared" si="18"/>
        <v>1.2167999999999999</v>
      </c>
      <c r="Y216" s="257">
        <f t="shared" si="19"/>
        <v>1.2305068048751311</v>
      </c>
      <c r="Z216" s="261">
        <f>IFERROR(INDEX([3]Rainfall_Dry!$O$2:$O$217,MATCH(C216, [3]Rainfall_Dry!$A$2:$A$217,0)),"")</f>
        <v>171.84818423999999</v>
      </c>
      <c r="AA216" s="250">
        <v>25.96</v>
      </c>
      <c r="AB216" s="250">
        <v>8.9200000000000017</v>
      </c>
      <c r="AC216" s="250">
        <v>65.12</v>
      </c>
      <c r="AD216" s="251" t="s">
        <v>2651</v>
      </c>
      <c r="AE216" s="250">
        <v>1.614588467225234</v>
      </c>
      <c r="AF216">
        <f>IF('WetLitterbags placem_collection'!AB217="","",'WetLitterbags placem_collection'!AB217)</f>
        <v>13.8</v>
      </c>
      <c r="AG216">
        <f>IF('WetLitterbags placem_collection'!Z217="","",'WetLitterbags placem_collection'!Z217)</f>
        <v>17.399999999999999</v>
      </c>
      <c r="AH216" s="236" t="str">
        <f>IF('WetLitterbags placem_collection'!AA217="","",'WetLitterbags placem_collection'!AA217)</f>
        <v>O</v>
      </c>
      <c r="AI216">
        <f>IF('WetLitterbags placem_collection'!AC217="","",'WetLitterbags placem_collection'!AC217)</f>
        <v>1</v>
      </c>
      <c r="AJ216">
        <f>IFERROR(AVERAGE('Dry_Litterbag Placem_Collection'!O217,'Dry_Litterbag Placem_Collection'!R217),"")</f>
        <v>6.3</v>
      </c>
      <c r="AK216" s="261">
        <f>IFERROR(AVERAGE('Dry_Litterbag Placem_Collection'!N217,'Dry_Litterbag Placem_Collection'!Q217),"")</f>
        <v>29.8</v>
      </c>
      <c r="AL216">
        <v>-2.439403972</v>
      </c>
      <c r="AM216">
        <v>34.838404959999998</v>
      </c>
      <c r="AN216" s="260" t="str">
        <f>IF(ISNUMBER(SEARCH("C", 'Dry_Litterbag Placem_Collection'!S217)),"YES","NO")</f>
        <v>NO</v>
      </c>
      <c r="AO216" s="260" t="str">
        <f>IF(ISNUMBER(SEARCH("H", 'Dry_Litterbag Placem_Collection'!S217)),"YES","NO")</f>
        <v>YES</v>
      </c>
      <c r="AP216" s="260" t="str">
        <f>IF(ISNUMBER(SEARCH("R", 'Dry_Litterbag Placem_Collection'!S217)),"YES","NO")</f>
        <v>NO</v>
      </c>
    </row>
    <row r="217" spans="1:42" ht="15" customHeight="1">
      <c r="A217" t="s">
        <v>2490</v>
      </c>
      <c r="B217" s="252" t="s">
        <v>2643</v>
      </c>
      <c r="C217" s="253">
        <f>'Dry_Litterbag Placem_Collection'!A218</f>
        <v>216</v>
      </c>
      <c r="D217" s="253" t="str">
        <f>'Dry_Litterbag Placem_Collection'!B218</f>
        <v>Handajega</v>
      </c>
      <c r="E217" s="253" t="s">
        <v>2454</v>
      </c>
      <c r="F217" s="253" t="s">
        <v>2645</v>
      </c>
      <c r="G217" s="253">
        <v>2</v>
      </c>
      <c r="H217" s="253" t="s">
        <v>3130</v>
      </c>
      <c r="I217" s="254" t="str">
        <f>'Dry_Litterbag Placem_Collection'!C218</f>
        <v>Wet_W4_CG2</v>
      </c>
      <c r="J217" s="255" t="s">
        <v>2525</v>
      </c>
      <c r="K217" s="256" t="s">
        <v>1147</v>
      </c>
      <c r="L217" s="253" t="str">
        <f>IF(ISBLANK('Dry_Litterbag Placem_Collection'!J218),"","G"&amp;""&amp;'Dry_Litterbag Placem_Collection'!J218)</f>
        <v>G95</v>
      </c>
      <c r="M217" s="257">
        <f>IFERROR(INDEX('Green_rooibos initial weight'!$C$5:$C$2000,MATCH(L217, 'Green_rooibos initial weight'!$A$5:$A$2000,0)),"")</f>
        <v>2.1110000000000002</v>
      </c>
      <c r="N217" s="257">
        <f>IFERROR(M217-(TBIcalc!$Q$9+TBIcalc!$Q$10),"")</f>
        <v>1.8612000000000002</v>
      </c>
      <c r="O217" s="378">
        <f>AVERAGE(Ashed_controlls!$K$2:$K$11)</f>
        <v>5.5147656768714146</v>
      </c>
      <c r="P217" s="257">
        <f t="shared" si="16"/>
        <v>1.7585591812220693</v>
      </c>
      <c r="Q217" s="257">
        <f>IFERROR(INDEX('Both teabags AfterDry'!$D$2:$D$2000,MATCH(L217,'Both teabags AfterDry'!$A$2:$A$2000,0)),"")</f>
        <v>0.80600000000000005</v>
      </c>
      <c r="R217" s="257">
        <f>IFERROR(IF(Q217&gt;0,Q217-(TBIcalc!$Q$9),""),"")</f>
        <v>0.65539999999999998</v>
      </c>
      <c r="S217" s="268">
        <f>IFERROR(INDEX('Ashed teabags dry'!$K$2:$K$2000,MATCH(L217,'Ashed teabags dry'!$A$2:$A$2000,0)),"")</f>
        <v>24.313893653516725</v>
      </c>
      <c r="T217" s="268">
        <f t="shared" si="17"/>
        <v>0.49604674099485135</v>
      </c>
      <c r="U217" s="258">
        <f>IF('Dry_Litterbag Placem_Collection'!E218="","",'Dry_Litterbag Placem_Collection'!E218)</f>
        <v>42942</v>
      </c>
      <c r="V217" s="258">
        <f>IF('Dry_Litterbag Placem_Collection'!G218="","",'Dry_Litterbag Placem_Collection'!G218)</f>
        <v>43004</v>
      </c>
      <c r="W217" s="259">
        <f t="shared" si="15"/>
        <v>62</v>
      </c>
      <c r="X217" s="257">
        <f t="shared" si="18"/>
        <v>1.2058000000000002</v>
      </c>
      <c r="Y217" s="257">
        <f t="shared" si="19"/>
        <v>1.2625124402272179</v>
      </c>
      <c r="Z217" s="261">
        <f>IFERROR(INDEX([3]Rainfall_Dry!$O$2:$O$217,MATCH(C217, [3]Rainfall_Dry!$A$2:$A$217,0)),"")</f>
        <v>171.84818423999999</v>
      </c>
      <c r="AA217" s="250">
        <v>25.96</v>
      </c>
      <c r="AB217" s="250">
        <v>8.9200000000000017</v>
      </c>
      <c r="AC217" s="250">
        <v>65.12</v>
      </c>
      <c r="AD217" s="251" t="s">
        <v>2651</v>
      </c>
      <c r="AE217" s="250">
        <v>1.6991621488417901</v>
      </c>
      <c r="AF217">
        <f>IF('WetLitterbags placem_collection'!AB218="","",'WetLitterbags placem_collection'!AB218)</f>
        <v>5.13</v>
      </c>
      <c r="AG217">
        <f>IF('WetLitterbags placem_collection'!Z218="","",'WetLitterbags placem_collection'!Z218)</f>
        <v>5.13</v>
      </c>
      <c r="AH217" s="236" t="str">
        <f>IF('WetLitterbags placem_collection'!AA218="","",'WetLitterbags placem_collection'!AA218)</f>
        <v>O</v>
      </c>
      <c r="AI217">
        <f>IF('WetLitterbags placem_collection'!AC218="","",'WetLitterbags placem_collection'!AC218)</f>
        <v>1</v>
      </c>
      <c r="AJ217">
        <f>IFERROR(AVERAGE('Dry_Litterbag Placem_Collection'!O218,'Dry_Litterbag Placem_Collection'!R218),"")</f>
        <v>7.0500000000000007</v>
      </c>
      <c r="AK217" s="261">
        <f>IFERROR(AVERAGE('Dry_Litterbag Placem_Collection'!N218,'Dry_Litterbag Placem_Collection'!Q218),"")</f>
        <v>29.85</v>
      </c>
      <c r="AL217">
        <v>-2.4396450349999999</v>
      </c>
      <c r="AM217">
        <v>34.83836599</v>
      </c>
      <c r="AN217" s="260" t="str">
        <f>IF(ISNUMBER(SEARCH("C", 'Dry_Litterbag Placem_Collection'!S218)),"YES","NO")</f>
        <v>NO</v>
      </c>
      <c r="AO217" s="260" t="str">
        <f>IF(ISNUMBER(SEARCH("H", 'Dry_Litterbag Placem_Collection'!S218)),"YES","NO")</f>
        <v>NO</v>
      </c>
      <c r="AP217" s="260" t="str">
        <f>IF(ISNUMBER(SEARCH("R", 'Dry_Litterbag Placem_Collection'!S218)),"YES","NO")</f>
        <v>NO</v>
      </c>
    </row>
    <row r="218" spans="1:42" ht="15" customHeight="1">
      <c r="A218" t="s">
        <v>2490</v>
      </c>
      <c r="B218" s="252" t="s">
        <v>2643</v>
      </c>
      <c r="C218" s="253">
        <f>'Dry_Litterbag Placem_Collection'!A219</f>
        <v>217</v>
      </c>
      <c r="D218" s="253" t="str">
        <f>'Dry_Litterbag Placem_Collection'!B219</f>
        <v>Seronera</v>
      </c>
      <c r="E218" s="253" t="s">
        <v>3249</v>
      </c>
      <c r="F218" s="253" t="s">
        <v>2423</v>
      </c>
      <c r="G218" s="253">
        <v>1</v>
      </c>
      <c r="H218" s="253" t="s">
        <v>3186</v>
      </c>
      <c r="I218" s="254" t="str">
        <f>'Dry_Litterbag Placem_Collection'!C219</f>
        <v>Local1_CG1</v>
      </c>
      <c r="J218" s="255" t="s">
        <v>2525</v>
      </c>
      <c r="K218" s="256" t="s">
        <v>1147</v>
      </c>
      <c r="L218" s="253" t="str">
        <f>IF(ISBLANK('Dry_Litterbag Placem_Collection'!J219),"","G"&amp;""&amp;'Dry_Litterbag Placem_Collection'!J219)</f>
        <v>G313</v>
      </c>
      <c r="M218" s="257">
        <f>IFERROR(INDEX('Green_rooibos initial weight'!$C$5:$C$2000,MATCH(L218, 'Green_rooibos initial weight'!$A$5:$A$2000,0)),"")</f>
        <v>1.923</v>
      </c>
      <c r="N218" s="257">
        <f>IFERROR(M218-(TBIcalc!$Q$9+TBIcalc!$Q$10),"")</f>
        <v>1.6732</v>
      </c>
      <c r="O218" s="378">
        <f>AVERAGE(Ashed_controlls!$K$2:$K$11)</f>
        <v>5.5147656768714146</v>
      </c>
      <c r="P218" s="257">
        <f t="shared" si="16"/>
        <v>1.5809269406945876</v>
      </c>
      <c r="Q218" s="257">
        <f>IFERROR(INDEX('Both teabags AfterDry'!$D$2:$D$2000,MATCH(L218,'Both teabags AfterDry'!$A$2:$A$2000,0)),"")</f>
        <v>0.74719999999999998</v>
      </c>
      <c r="R218" s="257">
        <f>IFERROR(IF(Q218&gt;0,Q218-(TBIcalc!$Q$9),""),"")</f>
        <v>0.59660000000000002</v>
      </c>
      <c r="S218" s="268">
        <f>IFERROR(INDEX('Ashed teabags dry'!$K$2:$K$2000,MATCH(L218,'Ashed teabags dry'!$A$2:$A$2000,0)),"")</f>
        <v>17.652671755725578</v>
      </c>
      <c r="T218" s="268">
        <f t="shared" si="17"/>
        <v>0.49128416030534122</v>
      </c>
      <c r="U218" s="258">
        <f>IF('Dry_Litterbag Placem_Collection'!E219="","",'Dry_Litterbag Placem_Collection'!E219)</f>
        <v>42942</v>
      </c>
      <c r="V218" s="258">
        <f>IF('Dry_Litterbag Placem_Collection'!G219="","",'Dry_Litterbag Placem_Collection'!G219)</f>
        <v>43004</v>
      </c>
      <c r="W218" s="259">
        <f t="shared" si="15"/>
        <v>62</v>
      </c>
      <c r="X218" s="257">
        <f t="shared" si="18"/>
        <v>1.0766</v>
      </c>
      <c r="Y218" s="257">
        <f t="shared" si="19"/>
        <v>1.0896427803892463</v>
      </c>
      <c r="Z218" s="261">
        <f>IFERROR(INDEX([3]Rainfall_Dry!$O$2:$O$217,MATCH(C218, [3]Rainfall_Dry!$A$2:$A$217,0)),"")</f>
        <v>171.84818423999999</v>
      </c>
      <c r="AA218" s="250">
        <v>29.076539101497506</v>
      </c>
      <c r="AB218" s="250">
        <v>7.1963394342762079</v>
      </c>
      <c r="AC218" s="250">
        <v>63.727121464226286</v>
      </c>
      <c r="AD218" s="250" t="s">
        <v>2651</v>
      </c>
      <c r="AE218" s="250">
        <v>1.0994578610152781</v>
      </c>
      <c r="AF218">
        <f>IF('WetLitterbags placem_collection'!AB219="","",'WetLitterbags placem_collection'!AB219)</f>
        <v>13.8</v>
      </c>
      <c r="AG218">
        <f>IF('WetLitterbags placem_collection'!Z219="","",'WetLitterbags placem_collection'!Z219)</f>
        <v>17.399999999999999</v>
      </c>
      <c r="AH218" s="236" t="str">
        <f>IF('WetLitterbags placem_collection'!AA219="","",'WetLitterbags placem_collection'!AA219)</f>
        <v>O</v>
      </c>
      <c r="AI218">
        <f>IF('WetLitterbags placem_collection'!AC219="","",'WetLitterbags placem_collection'!AC219)</f>
        <v>1</v>
      </c>
      <c r="AJ218">
        <f>IFERROR(AVERAGE('Dry_Litterbag Placem_Collection'!O219,'Dry_Litterbag Placem_Collection'!R219),"")</f>
        <v>7.1999999999999993</v>
      </c>
      <c r="AK218" s="261">
        <f>IFERROR(AVERAGE('Dry_Litterbag Placem_Collection'!N219,'Dry_Litterbag Placem_Collection'!Q219),"")</f>
        <v>31.25</v>
      </c>
      <c r="AL218">
        <v>-2.439403972</v>
      </c>
      <c r="AM218">
        <v>34.838404959999998</v>
      </c>
      <c r="AN218" s="260" t="str">
        <f>IF(ISNUMBER(SEARCH("C", 'Dry_Litterbag Placem_Collection'!S219)),"YES","NO")</f>
        <v>NO</v>
      </c>
      <c r="AO218" s="260" t="str">
        <f>IF(ISNUMBER(SEARCH("H", 'Dry_Litterbag Placem_Collection'!S219)),"YES","NO")</f>
        <v>YES</v>
      </c>
      <c r="AP218" s="260" t="str">
        <f>IF(ISNUMBER(SEARCH("R", 'Dry_Litterbag Placem_Collection'!S219)),"YES","NO")</f>
        <v>YES</v>
      </c>
    </row>
    <row r="219" spans="1:42" ht="15" customHeight="1">
      <c r="A219" t="s">
        <v>2490</v>
      </c>
      <c r="B219" s="252" t="s">
        <v>2643</v>
      </c>
      <c r="C219" s="253">
        <f>'Dry_Litterbag Placem_Collection'!A220</f>
        <v>218</v>
      </c>
      <c r="D219" s="253" t="str">
        <f>'Dry_Litterbag Placem_Collection'!B220</f>
        <v>Seronera</v>
      </c>
      <c r="E219" s="253" t="s">
        <v>3249</v>
      </c>
      <c r="F219" s="253" t="s">
        <v>2423</v>
      </c>
      <c r="G219" s="253">
        <v>2</v>
      </c>
      <c r="H219" s="253" t="s">
        <v>3187</v>
      </c>
      <c r="I219" s="254" t="str">
        <f>'Dry_Litterbag Placem_Collection'!C220</f>
        <v>Local2_CG2</v>
      </c>
      <c r="J219" s="255" t="s">
        <v>2525</v>
      </c>
      <c r="K219" s="256" t="s">
        <v>1147</v>
      </c>
      <c r="L219" s="253" t="str">
        <f>IF(ISBLANK('Dry_Litterbag Placem_Collection'!J220),"","G"&amp;""&amp;'Dry_Litterbag Placem_Collection'!J220)</f>
        <v>G485</v>
      </c>
      <c r="M219" s="257">
        <f>IFERROR(INDEX('Green_rooibos initial weight'!$C$5:$C$2000,MATCH(L219, 'Green_rooibos initial weight'!$A$5:$A$2000,0)),"")</f>
        <v>1.9890000000000001</v>
      </c>
      <c r="N219" s="257">
        <f>IFERROR(M219-(TBIcalc!$Q$9+TBIcalc!$Q$10),"")</f>
        <v>1.7392000000000001</v>
      </c>
      <c r="O219" s="378">
        <f>AVERAGE(Ashed_controlls!$K$2:$K$11)</f>
        <v>5.5147656768714146</v>
      </c>
      <c r="P219" s="257">
        <f t="shared" si="16"/>
        <v>1.6432871953478525</v>
      </c>
      <c r="Q219" s="257">
        <f>IFERROR(INDEX('Both teabags AfterDry'!$D$2:$D$2000,MATCH(L219,'Both teabags AfterDry'!$A$2:$A$2000,0)),"")</f>
        <v>0.66900000000000004</v>
      </c>
      <c r="R219" s="257">
        <f>IFERROR(IF(Q219&gt;0,Q219-(TBIcalc!$Q$9),""),"")</f>
        <v>0.51839999999999997</v>
      </c>
      <c r="S219" s="268">
        <f>IFERROR(INDEX('Ashed teabags dry'!$K$2:$K$2000,MATCH(L219,'Ashed teabags dry'!$A$2:$A$2000,0)),"")</f>
        <v>22.069641981362956</v>
      </c>
      <c r="T219" s="268">
        <f t="shared" si="17"/>
        <v>0.40399097596861444</v>
      </c>
      <c r="U219" s="258">
        <f>IF('Dry_Litterbag Placem_Collection'!E220="","",'Dry_Litterbag Placem_Collection'!E220)</f>
        <v>42942</v>
      </c>
      <c r="V219" s="258">
        <f>IF('Dry_Litterbag Placem_Collection'!G220="","",'Dry_Litterbag Placem_Collection'!G220)</f>
        <v>43004</v>
      </c>
      <c r="W219" s="259">
        <f t="shared" si="15"/>
        <v>62</v>
      </c>
      <c r="X219" s="257">
        <f t="shared" si="18"/>
        <v>1.2208000000000001</v>
      </c>
      <c r="Y219" s="257">
        <f t="shared" si="19"/>
        <v>1.2392962193792381</v>
      </c>
      <c r="Z219" s="261">
        <f>IFERROR(INDEX([3]Rainfall_Dry!$O$2:$O$217,MATCH(C219, [3]Rainfall_Dry!$A$2:$A$217,0)),"")</f>
        <v>171.84818423999999</v>
      </c>
      <c r="AA219" s="250">
        <v>21.072635135135137</v>
      </c>
      <c r="AB219" s="250">
        <v>7.3057432432432412</v>
      </c>
      <c r="AC219" s="250">
        <v>71.621621621621614</v>
      </c>
      <c r="AD219" s="250" t="s">
        <v>2651</v>
      </c>
      <c r="AE219" s="250">
        <v>1.4512074913750617</v>
      </c>
      <c r="AF219">
        <f>IF('WetLitterbags placem_collection'!AB220="","",'WetLitterbags placem_collection'!AB220)</f>
        <v>5.13</v>
      </c>
      <c r="AG219">
        <f>IF('WetLitterbags placem_collection'!Z220="","",'WetLitterbags placem_collection'!Z220)</f>
        <v>5.13</v>
      </c>
      <c r="AH219" s="236" t="str">
        <f>IF('WetLitterbags placem_collection'!AA220="","",'WetLitterbags placem_collection'!AA220)</f>
        <v>O</v>
      </c>
      <c r="AI219">
        <f>IF('WetLitterbags placem_collection'!AC220="","",'WetLitterbags placem_collection'!AC220)</f>
        <v>1</v>
      </c>
      <c r="AJ219">
        <f>IFERROR(AVERAGE('Dry_Litterbag Placem_Collection'!O220,'Dry_Litterbag Placem_Collection'!R220),"")</f>
        <v>6.45</v>
      </c>
      <c r="AK219" s="261">
        <f>IFERROR(AVERAGE('Dry_Litterbag Placem_Collection'!N220,'Dry_Litterbag Placem_Collection'!Q220),"")</f>
        <v>29.15</v>
      </c>
      <c r="AL219">
        <v>-2.4396450349999999</v>
      </c>
      <c r="AM219">
        <v>34.83836599</v>
      </c>
      <c r="AN219" s="260" t="str">
        <f>IF(ISNUMBER(SEARCH("C", 'Dry_Litterbag Placem_Collection'!S220)),"YES","NO")</f>
        <v>NO</v>
      </c>
      <c r="AO219" s="260" t="str">
        <f>IF(ISNUMBER(SEARCH("H", 'Dry_Litterbag Placem_Collection'!S220)),"YES","NO")</f>
        <v>NO</v>
      </c>
      <c r="AP219" s="260" t="str">
        <f>IF(ISNUMBER(SEARCH("R", 'Dry_Litterbag Placem_Collection'!S220)),"YES","NO")</f>
        <v>YES</v>
      </c>
    </row>
    <row r="220" spans="1:42" ht="15" customHeight="1">
      <c r="A220" t="s">
        <v>2490</v>
      </c>
      <c r="B220" s="252" t="s">
        <v>2643</v>
      </c>
      <c r="C220" s="253">
        <f>'Dry_Litterbag Placem_Collection'!A221</f>
        <v>219</v>
      </c>
      <c r="D220" s="253" t="str">
        <f>'Dry_Litterbag Placem_Collection'!B221</f>
        <v>Seronera</v>
      </c>
      <c r="E220" s="253" t="s">
        <v>3249</v>
      </c>
      <c r="F220" s="253" t="s">
        <v>2423</v>
      </c>
      <c r="G220" s="253">
        <v>3</v>
      </c>
      <c r="H220" s="253" t="s">
        <v>3188</v>
      </c>
      <c r="I220" s="254" t="str">
        <f>'Dry_Litterbag Placem_Collection'!C221</f>
        <v>Local3_CG3</v>
      </c>
      <c r="J220" s="255" t="s">
        <v>2525</v>
      </c>
      <c r="K220" s="256" t="s">
        <v>1147</v>
      </c>
      <c r="L220" s="253" t="str">
        <f>IF(ISBLANK('Dry_Litterbag Placem_Collection'!J221),"","G"&amp;""&amp;'Dry_Litterbag Placem_Collection'!J221)</f>
        <v>G196</v>
      </c>
      <c r="M220" s="257">
        <f>IFERROR(INDEX('Green_rooibos initial weight'!$C$5:$C$2000,MATCH(L220, 'Green_rooibos initial weight'!$A$5:$A$2000,0)),"")</f>
        <v>2.028</v>
      </c>
      <c r="N220" s="257">
        <f>IFERROR(M220-(TBIcalc!$Q$9+TBIcalc!$Q$10),"")</f>
        <v>1.7782</v>
      </c>
      <c r="O220" s="378">
        <f>AVERAGE(Ashed_controlls!$K$2:$K$11)</f>
        <v>5.5147656768714146</v>
      </c>
      <c r="P220" s="257">
        <f t="shared" si="16"/>
        <v>1.6801364367338725</v>
      </c>
      <c r="Q220" s="257">
        <f>IFERROR(INDEX('Both teabags AfterDry'!$D$2:$D$2000,MATCH(L220,'Both teabags AfterDry'!$A$2:$A$2000,0)),"")</f>
        <v>0.5756</v>
      </c>
      <c r="R220" s="257">
        <f>IFERROR(IF(Q220&gt;0,Q220-(TBIcalc!$Q$9),""),"")</f>
        <v>0.42499999999999999</v>
      </c>
      <c r="S220" s="268">
        <f>IFERROR(INDEX('Ashed teabags dry'!$K$2:$K$2000,MATCH(L220,'Ashed teabags dry'!$A$2:$A$2000,0)),"")</f>
        <v>22.698178237321503</v>
      </c>
      <c r="T220" s="268">
        <f t="shared" si="17"/>
        <v>0.32853274249138359</v>
      </c>
      <c r="U220" s="258">
        <f>IF('Dry_Litterbag Placem_Collection'!E221="","",'Dry_Litterbag Placem_Collection'!E221)</f>
        <v>42942</v>
      </c>
      <c r="V220" s="258">
        <f>IF('Dry_Litterbag Placem_Collection'!G221="","",'Dry_Litterbag Placem_Collection'!G221)</f>
        <v>43004</v>
      </c>
      <c r="W220" s="259">
        <f t="shared" si="15"/>
        <v>62</v>
      </c>
      <c r="X220" s="257">
        <f t="shared" si="18"/>
        <v>1.3532</v>
      </c>
      <c r="Y220" s="257">
        <f t="shared" si="19"/>
        <v>1.3516036942424889</v>
      </c>
      <c r="Z220" s="261">
        <f>IFERROR(INDEX([3]Rainfall_Dry!$O$2:$O$217,MATCH(C220, [3]Rainfall_Dry!$A$2:$A$217,0)),"")</f>
        <v>171.84818423999999</v>
      </c>
      <c r="AA220" s="250">
        <v>21.96</v>
      </c>
      <c r="AB220" s="250">
        <v>4.9199999999999982</v>
      </c>
      <c r="AC220" s="250">
        <v>73.12</v>
      </c>
      <c r="AD220" s="250" t="s">
        <v>2651</v>
      </c>
      <c r="AE220" s="250">
        <v>1.4012321340561851</v>
      </c>
      <c r="AF220">
        <f>IF('WetLitterbags placem_collection'!AB221="","",'WetLitterbags placem_collection'!AB221)</f>
        <v>7.9</v>
      </c>
      <c r="AG220">
        <f>IF('WetLitterbags placem_collection'!Z221="","",'WetLitterbags placem_collection'!Z221)</f>
        <v>7.9</v>
      </c>
      <c r="AH220" s="236" t="str">
        <f>IF('WetLitterbags placem_collection'!AA221="","",'WetLitterbags placem_collection'!AA221)</f>
        <v>O</v>
      </c>
      <c r="AI220">
        <f>IF('WetLitterbags placem_collection'!AC221="","",'WetLitterbags placem_collection'!AC221)</f>
        <v>1</v>
      </c>
      <c r="AJ220">
        <f>IFERROR(AVERAGE('Dry_Litterbag Placem_Collection'!O221,'Dry_Litterbag Placem_Collection'!R221),"")</f>
        <v>5.75</v>
      </c>
      <c r="AK220" s="261">
        <f>IFERROR(AVERAGE('Dry_Litterbag Placem_Collection'!N221,'Dry_Litterbag Placem_Collection'!Q221),"")</f>
        <v>32.75</v>
      </c>
      <c r="AL220">
        <v>-2.4395990190000001</v>
      </c>
      <c r="AM220">
        <v>34.838418959999998</v>
      </c>
      <c r="AN220" s="260" t="str">
        <f>IF(ISNUMBER(SEARCH("C", 'Dry_Litterbag Placem_Collection'!S221)),"YES","NO")</f>
        <v>NO</v>
      </c>
      <c r="AO220" s="260" t="str">
        <f>IF(ISNUMBER(SEARCH("H", 'Dry_Litterbag Placem_Collection'!S221)),"YES","NO")</f>
        <v>YES</v>
      </c>
      <c r="AP220" s="260" t="str">
        <f>IF(ISNUMBER(SEARCH("R", 'Dry_Litterbag Placem_Collection'!S221)),"YES","NO")</f>
        <v>YES</v>
      </c>
    </row>
    <row r="221" spans="1:42" ht="15" customHeight="1">
      <c r="A221" t="s">
        <v>2490</v>
      </c>
      <c r="B221" s="252" t="s">
        <v>2643</v>
      </c>
      <c r="C221" s="253">
        <f>'Dry_Litterbag Placem_Collection'!A222</f>
        <v>220</v>
      </c>
      <c r="D221" s="253" t="str">
        <f>'Dry_Litterbag Placem_Collection'!B222</f>
        <v>Seronera</v>
      </c>
      <c r="E221" s="253" t="s">
        <v>3249</v>
      </c>
      <c r="F221" s="253" t="s">
        <v>2423</v>
      </c>
      <c r="G221" s="253">
        <v>4</v>
      </c>
      <c r="H221" s="253" t="s">
        <v>3189</v>
      </c>
      <c r="I221" s="254" t="str">
        <f>'Dry_Litterbag Placem_Collection'!C222</f>
        <v>Local4_CG4</v>
      </c>
      <c r="J221" s="255" t="s">
        <v>2525</v>
      </c>
      <c r="K221" s="256" t="s">
        <v>1147</v>
      </c>
      <c r="L221" s="253" t="str">
        <f>IF(ISBLANK('Dry_Litterbag Placem_Collection'!J222),"","G"&amp;""&amp;'Dry_Litterbag Placem_Collection'!J222)</f>
        <v>G39</v>
      </c>
      <c r="M221" s="257">
        <f>IFERROR(INDEX('Green_rooibos initial weight'!$C$5:$C$2000,MATCH(L221, 'Green_rooibos initial weight'!$A$5:$A$2000,0)),"")</f>
        <v>2.0670000000000002</v>
      </c>
      <c r="N221" s="257">
        <f>IFERROR(M221-(TBIcalc!$Q$9+TBIcalc!$Q$10),"")</f>
        <v>1.8172000000000001</v>
      </c>
      <c r="O221" s="378">
        <f>AVERAGE(Ashed_controlls!$K$2:$K$11)</f>
        <v>5.5147656768714146</v>
      </c>
      <c r="P221" s="257">
        <f t="shared" si="16"/>
        <v>1.7169856781198929</v>
      </c>
      <c r="Q221" s="257" t="str">
        <f>IFERROR(INDEX('Both teabags AfterDry'!$D$2:$D$2000,MATCH(L221,'Both teabags AfterDry'!$A$2:$A$2000,0)),"")</f>
        <v/>
      </c>
      <c r="R221" s="257" t="str">
        <f>IFERROR(IF(Q221&gt;0,Q221-(TBIcalc!$Q$9),""),"")</f>
        <v/>
      </c>
      <c r="S221" s="268" t="str">
        <f>IFERROR(INDEX('Ashed teabags dry'!$K$2:$K$2000,MATCH(L221,'Ashed teabags dry'!$A$2:$A$2000,0)),"")</f>
        <v/>
      </c>
      <c r="T221" s="268" t="str">
        <f t="shared" si="17"/>
        <v/>
      </c>
      <c r="U221" s="258">
        <f>IF('Dry_Litterbag Placem_Collection'!E222="","",'Dry_Litterbag Placem_Collection'!E222)</f>
        <v>42942</v>
      </c>
      <c r="V221" s="258">
        <f>IF('Dry_Litterbag Placem_Collection'!G222="","",'Dry_Litterbag Placem_Collection'!G222)</f>
        <v>43004</v>
      </c>
      <c r="W221" s="259">
        <f t="shared" si="15"/>
        <v>62</v>
      </c>
      <c r="X221" s="257" t="str">
        <f t="shared" si="18"/>
        <v/>
      </c>
      <c r="Y221" s="257" t="str">
        <f t="shared" si="19"/>
        <v/>
      </c>
      <c r="Z221" s="261">
        <f>IFERROR(INDEX([3]Rainfall_Dry!$O$2:$O$217,MATCH(C221, [3]Rainfall_Dry!$A$2:$A$217,0)),"")</f>
        <v>171.84818423999999</v>
      </c>
      <c r="AA221" s="250">
        <v>15.960000000000003</v>
      </c>
      <c r="AB221" s="250">
        <v>6.9199999999999982</v>
      </c>
      <c r="AC221" s="250">
        <v>77.11999999999999</v>
      </c>
      <c r="AD221" s="250" t="s">
        <v>2652</v>
      </c>
      <c r="AE221" s="250">
        <v>0.60547067520946207</v>
      </c>
      <c r="AF221">
        <f>IF('WetLitterbags placem_collection'!AB222="","",'WetLitterbags placem_collection'!AB222)</f>
        <v>15.2</v>
      </c>
      <c r="AG221">
        <f>IF('WetLitterbags placem_collection'!Z222="","",'WetLitterbags placem_collection'!Z222)</f>
        <v>12.2</v>
      </c>
      <c r="AH221" s="236" t="str">
        <f>IF('WetLitterbags placem_collection'!AA222="","",'WetLitterbags placem_collection'!AA222)</f>
        <v>O</v>
      </c>
      <c r="AI221">
        <f>IF('WetLitterbags placem_collection'!AC222="","",'WetLitterbags placem_collection'!AC222)</f>
        <v>1</v>
      </c>
      <c r="AJ221">
        <f>IFERROR(AVERAGE('Dry_Litterbag Placem_Collection'!O222,'Dry_Litterbag Placem_Collection'!R222),"")</f>
        <v>5.3</v>
      </c>
      <c r="AK221" s="261">
        <f>IFERROR(AVERAGE('Dry_Litterbag Placem_Collection'!N222,'Dry_Litterbag Placem_Collection'!Q222),"")</f>
        <v>33.65</v>
      </c>
      <c r="AL221">
        <v>-2.4396949910000001</v>
      </c>
      <c r="AM221">
        <v>34.838574029999997</v>
      </c>
      <c r="AN221" s="260" t="str">
        <f>IF(ISNUMBER(SEARCH("C", 'Dry_Litterbag Placem_Collection'!S222)),"YES","NO")</f>
        <v>NO</v>
      </c>
      <c r="AO221" s="260" t="str">
        <f>IF(ISNUMBER(SEARCH("H", 'Dry_Litterbag Placem_Collection'!S222)),"YES","NO")</f>
        <v>NO</v>
      </c>
      <c r="AP221" s="260" t="str">
        <f>IF(ISNUMBER(SEARCH("R", 'Dry_Litterbag Placem_Collection'!S222)),"YES","NO")</f>
        <v>YES</v>
      </c>
    </row>
    <row r="222" spans="1:42" ht="15" customHeight="1">
      <c r="A222" t="s">
        <v>3248</v>
      </c>
      <c r="B222" s="252" t="s">
        <v>2643</v>
      </c>
      <c r="C222" s="253">
        <f>'Dry_Litterbag Placem_Collection'!A3</f>
        <v>1</v>
      </c>
      <c r="D222" s="253" t="str">
        <f>'Dry_Litterbag Placem_Collection'!B3</f>
        <v>Makao</v>
      </c>
      <c r="E222" s="253" t="s">
        <v>2643</v>
      </c>
      <c r="F222" s="253" t="s">
        <v>2644</v>
      </c>
      <c r="G222" s="253">
        <v>1</v>
      </c>
      <c r="H222" s="253" t="s">
        <v>3099</v>
      </c>
      <c r="I222" s="254" t="str">
        <f>'Dry_Litterbag Placem_Collection'!C3</f>
        <v>Dry_Ag1_T1</v>
      </c>
      <c r="J222" s="255" t="s">
        <v>2525</v>
      </c>
      <c r="K222" s="262" t="s">
        <v>298</v>
      </c>
      <c r="L222" s="253" t="str">
        <f>IF(ISBLANK('Dry_Litterbag Placem_Collection'!K3),"","R"&amp;""&amp;'Dry_Litterbag Placem_Collection'!K3)</f>
        <v>R811</v>
      </c>
      <c r="M222" s="257">
        <f>IFERROR(INDEX('Green_rooibos initial weight'!$C$5:$C$2000,MATCH(L222, 'Green_rooibos initial weight'!$A$5:$A$2000,0)),"")</f>
        <v>2.226</v>
      </c>
      <c r="N222" s="257">
        <f>IFERROR(M222-(TBIcalc!$Q$9+TBIcalc!$Q$10),"")</f>
        <v>1.9762</v>
      </c>
      <c r="O222" s="378">
        <f>AVERAGE(Ashed_controlls!$K$12:$K$14)</f>
        <v>2.2816647271287041</v>
      </c>
      <c r="P222" s="257">
        <f t="shared" si="16"/>
        <v>1.9311097416624825</v>
      </c>
      <c r="Q222" s="257">
        <f>IFERROR(INDEX('Both teabags AfterDry'!$D$2:$D$2000,MATCH(L222,'Both teabags AfterDry'!$A$2:$A$2000,0)),"")</f>
        <v>1.8292999999999999</v>
      </c>
      <c r="R222" s="257">
        <f>IFERROR(IF(Q222&gt;0,Q222-(TBIcalc!$Q$9),""),"")</f>
        <v>1.6786999999999999</v>
      </c>
      <c r="S222" s="268">
        <f>IFERROR(INDEX('Ashed teabags dry'!$K$2:$K$2000,MATCH(L222,'Ashed teabags dry'!$A$2:$A$2000,0)),"")</f>
        <v>3.9233576642330181</v>
      </c>
      <c r="T222" s="268">
        <f t="shared" si="17"/>
        <v>1.6128385948905202</v>
      </c>
      <c r="U222" s="258">
        <f>IF('Dry_Litterbag Placem_Collection'!E3="","",'Dry_Litterbag Placem_Collection'!E3)</f>
        <v>42938</v>
      </c>
      <c r="V222" s="258">
        <f>IF('Dry_Litterbag Placem_Collection'!G3="","",'Dry_Litterbag Placem_Collection'!G3)</f>
        <v>43007</v>
      </c>
      <c r="W222" s="259">
        <f t="shared" si="15"/>
        <v>69</v>
      </c>
      <c r="X222" s="257">
        <f t="shared" si="18"/>
        <v>0.2975000000000001</v>
      </c>
      <c r="Y222" s="257">
        <f t="shared" si="19"/>
        <v>0.31827114677196233</v>
      </c>
      <c r="Z222" s="261">
        <f>IFERROR(INDEX([3]Rainfall_Dry!$O$2:$O$217,MATCH(C222, [3]Rainfall_Dry!$A$2:$A$217,0)),"")</f>
        <v>6.900000125</v>
      </c>
      <c r="AA222" s="250">
        <v>12.565665055683967</v>
      </c>
      <c r="AB222" s="250">
        <v>0.9665896196679955</v>
      </c>
      <c r="AC222" s="250">
        <v>86.467745324648035</v>
      </c>
      <c r="AD222" s="251" t="s">
        <v>2653</v>
      </c>
      <c r="AE222" s="250">
        <v>1.0225726959093147</v>
      </c>
      <c r="AF222">
        <f>IF('WetLitterbags placem_collection'!AB3="","",'WetLitterbags placem_collection'!AB3)</f>
        <v>26.4</v>
      </c>
      <c r="AG222">
        <f>IF('WetLitterbags placem_collection'!Z3="","",'WetLitterbags placem_collection'!Z3)</f>
        <v>41</v>
      </c>
      <c r="AH222" s="236" t="str">
        <f>IF('WetLitterbags placem_collection'!AA3="","",'WetLitterbags placem_collection'!AA3)</f>
        <v>M</v>
      </c>
      <c r="AI222">
        <f>IF('WetLitterbags placem_collection'!AC3="","",'WetLitterbags placem_collection'!AC3)</f>
        <v>1</v>
      </c>
      <c r="AJ222">
        <f>IFERROR(AVERAGE('Dry_Litterbag Placem_Collection'!O3,'Dry_Litterbag Placem_Collection'!R3),"")</f>
        <v>3.8</v>
      </c>
      <c r="AK222" s="261">
        <f>IFERROR(AVERAGE('Dry_Litterbag Placem_Collection'!N3,'Dry_Litterbag Placem_Collection'!Q3),"")</f>
        <v>26.9</v>
      </c>
      <c r="AL222" s="260">
        <f>INDEX([2]Coordinates!$B$2:$B$197,MATCH(I222,[2]Coordinates!$J$2:$J$197,0))</f>
        <v>-3.3978609999999998</v>
      </c>
      <c r="AM222" s="260">
        <f>INDEX([2]Coordinates!$C$2:$C$197,MATCH(I222,[2]Coordinates!$J$2:$J$197,0))</f>
        <v>34.837608000000003</v>
      </c>
      <c r="AN222" s="260" t="str">
        <f>IF(ISNUMBER(SEARCH("C", 'Dry_Litterbag Placem_Collection'!T3)),"YES","NO")</f>
        <v>NO</v>
      </c>
      <c r="AO222" s="260" t="str">
        <f>IF(ISNUMBER(SEARCH("H", 'Dry_Litterbag Placem_Collection'!T3)),"YES","NO")</f>
        <v>YES</v>
      </c>
      <c r="AP222" s="260" t="str">
        <f>IF(ISNUMBER(SEARCH("R", 'Dry_Litterbag Placem_Collection'!T3)),"YES","NO")</f>
        <v>NO</v>
      </c>
    </row>
    <row r="223" spans="1:42" ht="15" customHeight="1">
      <c r="A223" t="s">
        <v>3248</v>
      </c>
      <c r="B223" s="252" t="s">
        <v>2643</v>
      </c>
      <c r="C223" s="253">
        <f>'Dry_Litterbag Placem_Collection'!A4</f>
        <v>2</v>
      </c>
      <c r="D223" s="253" t="str">
        <f>'Dry_Litterbag Placem_Collection'!B4</f>
        <v>Makao</v>
      </c>
      <c r="E223" s="253" t="s">
        <v>2643</v>
      </c>
      <c r="F223" s="253" t="s">
        <v>2644</v>
      </c>
      <c r="G223" s="253">
        <v>1</v>
      </c>
      <c r="H223" s="253" t="s">
        <v>3099</v>
      </c>
      <c r="I223" s="254" t="str">
        <f>'Dry_Litterbag Placem_Collection'!C4</f>
        <v>Dry_Ag1_T2</v>
      </c>
      <c r="J223" s="255" t="s">
        <v>2525</v>
      </c>
      <c r="K223" s="262" t="s">
        <v>298</v>
      </c>
      <c r="L223" s="253" t="str">
        <f>IF(ISBLANK('Dry_Litterbag Placem_Collection'!K4),"","R"&amp;""&amp;'Dry_Litterbag Placem_Collection'!K4)</f>
        <v/>
      </c>
      <c r="M223" s="257" t="str">
        <f>IFERROR(INDEX('Green_rooibos initial weight'!$C$5:$C$2000,MATCH(L223, 'Green_rooibos initial weight'!$A$5:$A$2000,0)),"")</f>
        <v/>
      </c>
      <c r="N223" s="257" t="str">
        <f>IFERROR(M223-(TBIcalc!$Q$9+TBIcalc!$Q$10),"")</f>
        <v/>
      </c>
      <c r="O223" s="378">
        <f>AVERAGE(Ashed_controlls!$K$12:$K$14)</f>
        <v>2.2816647271287041</v>
      </c>
      <c r="P223" s="257" t="str">
        <f t="shared" si="16"/>
        <v/>
      </c>
      <c r="Q223" s="257" t="str">
        <f>IFERROR(INDEX('Both teabags AfterDry'!$D$2:$D$2000,MATCH(L223,'Both teabags AfterDry'!$A$2:$A$2000,0)),"")</f>
        <v/>
      </c>
      <c r="R223" s="257" t="str">
        <f>IFERROR(IF(Q223&gt;0,Q223-(TBIcalc!$Q$9),""),"")</f>
        <v/>
      </c>
      <c r="S223" s="268" t="str">
        <f>IFERROR(INDEX('Ashed teabags dry'!$K$2:$K$2000,MATCH(L223,'Ashed teabags dry'!$A$2:$A$2000,0)),"")</f>
        <v/>
      </c>
      <c r="T223" s="268" t="str">
        <f t="shared" si="17"/>
        <v/>
      </c>
      <c r="U223" s="258" t="str">
        <f>IF('Dry_Litterbag Placem_Collection'!E4="","",'Dry_Litterbag Placem_Collection'!E4)</f>
        <v/>
      </c>
      <c r="V223" s="258" t="str">
        <f>IF('Dry_Litterbag Placem_Collection'!G4="","",'Dry_Litterbag Placem_Collection'!G4)</f>
        <v/>
      </c>
      <c r="W223" s="259" t="str">
        <f t="shared" si="15"/>
        <v/>
      </c>
      <c r="X223" s="257" t="str">
        <f t="shared" si="18"/>
        <v/>
      </c>
      <c r="Y223" s="257" t="str">
        <f t="shared" si="19"/>
        <v/>
      </c>
      <c r="Z223" s="261" t="str">
        <f>IFERROR(INDEX([3]Rainfall_Dry!$O$2:$O$217,MATCH(C223, [3]Rainfall_Dry!$A$2:$A$217,0)),"")</f>
        <v/>
      </c>
      <c r="AA223" s="250">
        <v>12.565665055683967</v>
      </c>
      <c r="AB223" s="250">
        <v>0.9665896196679955</v>
      </c>
      <c r="AC223" s="250">
        <v>86.467745324648035</v>
      </c>
      <c r="AD223" s="251" t="s">
        <v>2653</v>
      </c>
      <c r="AE223" s="250">
        <v>2.02257269590931</v>
      </c>
      <c r="AF223">
        <f>IF('WetLitterbags placem_collection'!AB4="","",'WetLitterbags placem_collection'!AB4)</f>
        <v>22.4</v>
      </c>
      <c r="AG223">
        <f>IF('WetLitterbags placem_collection'!Z4="","",'WetLitterbags placem_collection'!Z4)</f>
        <v>39.799999999999997</v>
      </c>
      <c r="AH223" s="236" t="str">
        <f>IF('WetLitterbags placem_collection'!AA4="","",'WetLitterbags placem_collection'!AA4)</f>
        <v>M</v>
      </c>
      <c r="AI223">
        <f>IF('WetLitterbags placem_collection'!AC4="","",'WetLitterbags placem_collection'!AC4)</f>
        <v>1</v>
      </c>
      <c r="AJ223" t="str">
        <f>IFERROR(AVERAGE('Dry_Litterbag Placem_Collection'!O4,'Dry_Litterbag Placem_Collection'!R4),"")</f>
        <v/>
      </c>
      <c r="AK223" s="261" t="str">
        <f>IFERROR(AVERAGE('Dry_Litterbag Placem_Collection'!N4,'Dry_Litterbag Placem_Collection'!Q4),"")</f>
        <v/>
      </c>
      <c r="AL223" s="260">
        <f>INDEX([2]Coordinates!$B$2:$B$197,MATCH(I223,[2]Coordinates!$J$2:$J$197,0))</f>
        <v>-3.397879042</v>
      </c>
      <c r="AM223" s="260">
        <f>INDEX([2]Coordinates!$C$2:$C$197,MATCH(I223,[2]Coordinates!$J$2:$J$197,0))</f>
        <v>34.837536010000001</v>
      </c>
      <c r="AN223" s="260" t="str">
        <f>IF(ISNUMBER(SEARCH("C", 'Dry_Litterbag Placem_Collection'!T4)),"YES","NO")</f>
        <v>NO</v>
      </c>
      <c r="AO223" s="260" t="str">
        <f>IF(ISNUMBER(SEARCH("H", 'Dry_Litterbag Placem_Collection'!T4)),"YES","NO")</f>
        <v>NO</v>
      </c>
      <c r="AP223" s="260" t="str">
        <f>IF(ISNUMBER(SEARCH("R", 'Dry_Litterbag Placem_Collection'!T4)),"YES","NO")</f>
        <v>NO</v>
      </c>
    </row>
    <row r="224" spans="1:42" ht="15" customHeight="1">
      <c r="A224" t="s">
        <v>3248</v>
      </c>
      <c r="B224" s="252" t="s">
        <v>2643</v>
      </c>
      <c r="C224" s="253">
        <f>'Dry_Litterbag Placem_Collection'!A5</f>
        <v>3</v>
      </c>
      <c r="D224" s="253" t="str">
        <f>'Dry_Litterbag Placem_Collection'!B5</f>
        <v>Makao</v>
      </c>
      <c r="E224" s="253" t="s">
        <v>2643</v>
      </c>
      <c r="F224" s="253" t="s">
        <v>2644</v>
      </c>
      <c r="G224" s="253">
        <v>1</v>
      </c>
      <c r="H224" s="253" t="s">
        <v>3099</v>
      </c>
      <c r="I224" s="254" t="str">
        <f>'Dry_Litterbag Placem_Collection'!C5</f>
        <v>Dry_Ag1_T3</v>
      </c>
      <c r="J224" s="255" t="s">
        <v>2525</v>
      </c>
      <c r="K224" s="262" t="s">
        <v>298</v>
      </c>
      <c r="L224" s="253" t="str">
        <f>IF(ISBLANK('Dry_Litterbag Placem_Collection'!K5),"","R"&amp;""&amp;'Dry_Litterbag Placem_Collection'!K5)</f>
        <v>R742</v>
      </c>
      <c r="M224" s="257">
        <f>IFERROR(INDEX('Green_rooibos initial weight'!$C$5:$C$2000,MATCH(L224, 'Green_rooibos initial weight'!$A$5:$A$2000,0)),"")</f>
        <v>2.1259999999999999</v>
      </c>
      <c r="N224" s="257">
        <f>IFERROR(M224-(TBIcalc!$Q$9+TBIcalc!$Q$10),"")</f>
        <v>1.8761999999999999</v>
      </c>
      <c r="O224" s="378">
        <f>AVERAGE(Ashed_controlls!$K$12:$K$14)</f>
        <v>2.2816647271287041</v>
      </c>
      <c r="P224" s="257">
        <f t="shared" si="16"/>
        <v>1.8333914063896111</v>
      </c>
      <c r="Q224" s="257">
        <f>IFERROR(INDEX('Both teabags AfterDry'!$D$2:$D$2000,MATCH(L224,'Both teabags AfterDry'!$A$2:$A$2000,0)),"")</f>
        <v>1.8767</v>
      </c>
      <c r="R224" s="257">
        <f>IFERROR(IF(Q224&gt;0,Q224-(TBIcalc!$Q$9),""),"")</f>
        <v>1.7261</v>
      </c>
      <c r="S224" s="268">
        <f>IFERROR(INDEX('Ashed teabags dry'!$K$2:$K$2000,MATCH(L224,'Ashed teabags dry'!$A$2:$A$2000,0)),"")</f>
        <v>2.7142857142857459</v>
      </c>
      <c r="T224" s="268">
        <f t="shared" si="17"/>
        <v>1.6792487142857138</v>
      </c>
      <c r="U224" s="258">
        <f>IF('Dry_Litterbag Placem_Collection'!E5="","",'Dry_Litterbag Placem_Collection'!E5)</f>
        <v>42938</v>
      </c>
      <c r="V224" s="258">
        <f>IF('Dry_Litterbag Placem_Collection'!G5="","",'Dry_Litterbag Placem_Collection'!G5)</f>
        <v>43007</v>
      </c>
      <c r="W224" s="259">
        <f t="shared" si="15"/>
        <v>69</v>
      </c>
      <c r="X224" s="257">
        <f t="shared" si="18"/>
        <v>0.1500999999999999</v>
      </c>
      <c r="Y224" s="257">
        <f t="shared" si="19"/>
        <v>0.15414269210389731</v>
      </c>
      <c r="Z224" s="261">
        <f>IFERROR(INDEX([3]Rainfall_Dry!$O$2:$O$217,MATCH(C224, [3]Rainfall_Dry!$A$2:$A$217,0)),"")</f>
        <v>6.900000125</v>
      </c>
      <c r="AA224" s="250">
        <v>12.565665055683967</v>
      </c>
      <c r="AB224" s="250">
        <v>0.9665896196679955</v>
      </c>
      <c r="AC224" s="250">
        <v>86.467745324648035</v>
      </c>
      <c r="AD224" s="251" t="s">
        <v>2653</v>
      </c>
      <c r="AE224" s="250">
        <v>3.02257269590931</v>
      </c>
      <c r="AF224" t="str">
        <f>IF('WetLitterbags placem_collection'!AB5="","",'WetLitterbags placem_collection'!AB5)</f>
        <v/>
      </c>
      <c r="AG224" t="str">
        <f>IF('WetLitterbags placem_collection'!Z5="","",'WetLitterbags placem_collection'!Z5)</f>
        <v/>
      </c>
      <c r="AH224" s="236" t="str">
        <f>IF('WetLitterbags placem_collection'!AA5="","",'WetLitterbags placem_collection'!AA5)</f>
        <v/>
      </c>
      <c r="AI224" t="str">
        <f>IF('WetLitterbags placem_collection'!AC5="","",'WetLitterbags placem_collection'!AC5)</f>
        <v/>
      </c>
      <c r="AJ224">
        <f>IFERROR(AVERAGE('Dry_Litterbag Placem_Collection'!O5,'Dry_Litterbag Placem_Collection'!R5),"")</f>
        <v>3.3</v>
      </c>
      <c r="AK224" s="261">
        <f>IFERROR(AVERAGE('Dry_Litterbag Placem_Collection'!N5,'Dry_Litterbag Placem_Collection'!Q5),"")</f>
        <v>25</v>
      </c>
      <c r="AL224" s="260">
        <f>INDEX([2]Coordinates!$B$2:$B$197,MATCH(I224,[2]Coordinates!$J$2:$J$197,0))</f>
        <v>-3.3978739999999998</v>
      </c>
      <c r="AM224" s="260">
        <f>INDEX([2]Coordinates!$C$2:$C$197,MATCH(I224,[2]Coordinates!$J$2:$J$197,0))</f>
        <v>34.837578999999998</v>
      </c>
      <c r="AN224" s="260" t="str">
        <f>IF(ISNUMBER(SEARCH("C", 'Dry_Litterbag Placem_Collection'!T5)),"YES","NO")</f>
        <v>YES</v>
      </c>
      <c r="AO224" s="260" t="str">
        <f>IF(ISNUMBER(SEARCH("H", 'Dry_Litterbag Placem_Collection'!T5)),"YES","NO")</f>
        <v>YES</v>
      </c>
      <c r="AP224" s="260" t="str">
        <f>IF(ISNUMBER(SEARCH("R", 'Dry_Litterbag Placem_Collection'!T5)),"YES","NO")</f>
        <v>NO</v>
      </c>
    </row>
    <row r="225" spans="1:42" ht="15" customHeight="1">
      <c r="A225" t="s">
        <v>3248</v>
      </c>
      <c r="B225" s="252" t="s">
        <v>2643</v>
      </c>
      <c r="C225" s="253">
        <f>'Dry_Litterbag Placem_Collection'!A6</f>
        <v>4</v>
      </c>
      <c r="D225" s="253" t="str">
        <f>'Dry_Litterbag Placem_Collection'!B6</f>
        <v>Makao</v>
      </c>
      <c r="E225" s="253" t="s">
        <v>2643</v>
      </c>
      <c r="F225" s="253" t="s">
        <v>2644</v>
      </c>
      <c r="G225" s="253">
        <v>1</v>
      </c>
      <c r="H225" s="253" t="s">
        <v>3099</v>
      </c>
      <c r="I225" s="254" t="str">
        <f>'Dry_Litterbag Placem_Collection'!C6</f>
        <v>Dry_Ag1_T4</v>
      </c>
      <c r="J225" s="255" t="s">
        <v>2525</v>
      </c>
      <c r="K225" s="262" t="s">
        <v>298</v>
      </c>
      <c r="L225" s="253" t="str">
        <f>IF(ISBLANK('Dry_Litterbag Placem_Collection'!K6),"","R"&amp;""&amp;'Dry_Litterbag Placem_Collection'!K6)</f>
        <v>R661</v>
      </c>
      <c r="M225" s="257">
        <f>IFERROR(INDEX('Green_rooibos initial weight'!$C$5:$C$2000,MATCH(L225, 'Green_rooibos initial weight'!$A$5:$A$2000,0)),"")</f>
        <v>2.1629999999999998</v>
      </c>
      <c r="N225" s="257">
        <f>IFERROR(M225-(TBIcalc!$Q$9+TBIcalc!$Q$10),"")</f>
        <v>1.9131999999999998</v>
      </c>
      <c r="O225" s="378">
        <f>AVERAGE(Ashed_controlls!$K$12:$K$14)</f>
        <v>2.2816647271287041</v>
      </c>
      <c r="P225" s="257">
        <f t="shared" si="16"/>
        <v>1.8695471904405734</v>
      </c>
      <c r="Q225" s="257">
        <f>IFERROR(INDEX('Both teabags AfterDry'!$D$2:$D$2000,MATCH(L225,'Both teabags AfterDry'!$A$2:$A$2000,0)),"")</f>
        <v>1.837</v>
      </c>
      <c r="R225" s="257">
        <f>IFERROR(IF(Q225&gt;0,Q225-(TBIcalc!$Q$9),""),"")</f>
        <v>1.6863999999999999</v>
      </c>
      <c r="S225" s="268">
        <f>IFERROR(INDEX('Ashed teabags dry'!$K$2:$K$2000,MATCH(L225,'Ashed teabags dry'!$A$2:$A$2000,0)),"")</f>
        <v>2.5594149908590014</v>
      </c>
      <c r="T225" s="268">
        <f t="shared" si="17"/>
        <v>1.6432380255941537</v>
      </c>
      <c r="U225" s="258">
        <f>IF('Dry_Litterbag Placem_Collection'!E6="","",'Dry_Litterbag Placem_Collection'!E6)</f>
        <v>42938</v>
      </c>
      <c r="V225" s="258">
        <f>IF('Dry_Litterbag Placem_Collection'!G6="","",'Dry_Litterbag Placem_Collection'!G6)</f>
        <v>43007</v>
      </c>
      <c r="W225" s="259">
        <f t="shared" si="15"/>
        <v>69</v>
      </c>
      <c r="X225" s="257">
        <f t="shared" si="18"/>
        <v>0.22679999999999989</v>
      </c>
      <c r="Y225" s="257">
        <f t="shared" si="19"/>
        <v>0.22630916484641972</v>
      </c>
      <c r="Z225" s="261">
        <f>IFERROR(INDEX([3]Rainfall_Dry!$O$2:$O$217,MATCH(C225, [3]Rainfall_Dry!$A$2:$A$217,0)),"")</f>
        <v>6.900000125</v>
      </c>
      <c r="AA225" s="250">
        <v>12.565665055683967</v>
      </c>
      <c r="AB225" s="250">
        <v>0.9665896196679955</v>
      </c>
      <c r="AC225" s="250">
        <v>86.467745324648035</v>
      </c>
      <c r="AD225" s="251" t="s">
        <v>2653</v>
      </c>
      <c r="AE225" s="250">
        <v>4.02257269590931</v>
      </c>
      <c r="AF225" t="str">
        <f>IF('WetLitterbags placem_collection'!AB6="","",'WetLitterbags placem_collection'!AB6)</f>
        <v/>
      </c>
      <c r="AG225" t="str">
        <f>IF('WetLitterbags placem_collection'!Z6="","",'WetLitterbags placem_collection'!Z6)</f>
        <v/>
      </c>
      <c r="AH225" s="236" t="str">
        <f>IF('WetLitterbags placem_collection'!AA6="","",'WetLitterbags placem_collection'!AA6)</f>
        <v/>
      </c>
      <c r="AI225" t="str">
        <f>IF('WetLitterbags placem_collection'!AC6="","",'WetLitterbags placem_collection'!AC6)</f>
        <v/>
      </c>
      <c r="AJ225">
        <f>IFERROR(AVERAGE('Dry_Litterbag Placem_Collection'!O6,'Dry_Litterbag Placem_Collection'!R6),"")</f>
        <v>2.25</v>
      </c>
      <c r="AK225" s="261">
        <f>IFERROR(AVERAGE('Dry_Litterbag Placem_Collection'!N6,'Dry_Litterbag Placem_Collection'!Q6),"")</f>
        <v>27.35</v>
      </c>
      <c r="AL225" s="260">
        <f>INDEX([2]Coordinates!$B$2:$B$197,MATCH(I225,[2]Coordinates!$J$2:$J$197,0))</f>
        <v>-3.3977780399999999</v>
      </c>
      <c r="AM225" s="260">
        <f>INDEX([2]Coordinates!$C$2:$C$197,MATCH(I225,[2]Coordinates!$J$2:$J$197,0))</f>
        <v>34.83751204</v>
      </c>
      <c r="AN225" s="260" t="str">
        <f>IF(ISNUMBER(SEARCH("C", 'Dry_Litterbag Placem_Collection'!T6)),"YES","NO")</f>
        <v>NO</v>
      </c>
      <c r="AO225" s="260" t="str">
        <f>IF(ISNUMBER(SEARCH("H", 'Dry_Litterbag Placem_Collection'!T6)),"YES","NO")</f>
        <v>YES</v>
      </c>
      <c r="AP225" s="260" t="str">
        <f>IF(ISNUMBER(SEARCH("R", 'Dry_Litterbag Placem_Collection'!T6)),"YES","NO")</f>
        <v>NO</v>
      </c>
    </row>
    <row r="226" spans="1:42" ht="15" customHeight="1">
      <c r="A226" t="s">
        <v>3248</v>
      </c>
      <c r="B226" s="252" t="s">
        <v>2643</v>
      </c>
      <c r="C226" s="253">
        <f>'Dry_Litterbag Placem_Collection'!A7</f>
        <v>5</v>
      </c>
      <c r="D226" s="253" t="str">
        <f>'Dry_Litterbag Placem_Collection'!B7</f>
        <v>Makao</v>
      </c>
      <c r="E226" s="253" t="s">
        <v>2643</v>
      </c>
      <c r="F226" s="253" t="s">
        <v>2644</v>
      </c>
      <c r="G226" s="253">
        <v>1</v>
      </c>
      <c r="H226" s="253" t="s">
        <v>3099</v>
      </c>
      <c r="I226" s="254" t="str">
        <f>'Dry_Litterbag Placem_Collection'!C7</f>
        <v>Dry_Ag1_T5</v>
      </c>
      <c r="J226" s="255" t="s">
        <v>2525</v>
      </c>
      <c r="K226" s="262" t="s">
        <v>298</v>
      </c>
      <c r="L226" s="253" t="str">
        <f>IF(ISBLANK('Dry_Litterbag Placem_Collection'!K7),"","R"&amp;""&amp;'Dry_Litterbag Placem_Collection'!K7)</f>
        <v>R724</v>
      </c>
      <c r="M226" s="257">
        <f>IFERROR(INDEX('Green_rooibos initial weight'!$C$5:$C$2000,MATCH(L226, 'Green_rooibos initial weight'!$A$5:$A$2000,0)),"")</f>
        <v>2.149</v>
      </c>
      <c r="N226" s="257">
        <f>IFERROR(M226-(TBIcalc!$Q$9+TBIcalc!$Q$10),"")</f>
        <v>1.8992</v>
      </c>
      <c r="O226" s="378">
        <f>AVERAGE(Ashed_controlls!$K$12:$K$14)</f>
        <v>2.2816647271287041</v>
      </c>
      <c r="P226" s="257">
        <f t="shared" si="16"/>
        <v>1.8558666235023717</v>
      </c>
      <c r="Q226" s="257" t="str">
        <f>IFERROR(INDEX('Both teabags AfterDry'!$D$2:$D$2000,MATCH(L226,'Both teabags AfterDry'!$A$2:$A$2000,0)),"")</f>
        <v/>
      </c>
      <c r="R226" s="257" t="str">
        <f>IFERROR(IF(Q226&gt;0,Q226-(TBIcalc!$Q$9),""),"")</f>
        <v/>
      </c>
      <c r="S226" s="268" t="str">
        <f>IFERROR(INDEX('Ashed teabags dry'!$K$2:$K$2000,MATCH(L226,'Ashed teabags dry'!$A$2:$A$2000,0)),"")</f>
        <v/>
      </c>
      <c r="T226" s="268" t="str">
        <f t="shared" si="17"/>
        <v/>
      </c>
      <c r="U226" s="258">
        <f>IF('Dry_Litterbag Placem_Collection'!E7="","",'Dry_Litterbag Placem_Collection'!E7)</f>
        <v>42938</v>
      </c>
      <c r="V226" s="258" t="str">
        <f>IF('Dry_Litterbag Placem_Collection'!G7="","",'Dry_Litterbag Placem_Collection'!G7)</f>
        <v/>
      </c>
      <c r="W226" s="259" t="str">
        <f t="shared" si="15"/>
        <v/>
      </c>
      <c r="X226" s="257" t="str">
        <f t="shared" si="18"/>
        <v/>
      </c>
      <c r="Y226" s="257" t="str">
        <f t="shared" si="19"/>
        <v/>
      </c>
      <c r="Z226" s="261" t="str">
        <f>IFERROR(INDEX([3]Rainfall_Dry!$O$2:$O$217,MATCH(C226, [3]Rainfall_Dry!$A$2:$A$217,0)),"")</f>
        <v/>
      </c>
      <c r="AA226" s="250">
        <v>12.565665055683967</v>
      </c>
      <c r="AB226" s="250">
        <v>0.9665896196679955</v>
      </c>
      <c r="AC226" s="250">
        <v>86.467745324648035</v>
      </c>
      <c r="AD226" s="251" t="s">
        <v>2653</v>
      </c>
      <c r="AE226" s="250">
        <v>5.02257269590931</v>
      </c>
      <c r="AF226">
        <f>IF('WetLitterbags placem_collection'!AB7="","",'WetLitterbags placem_collection'!AB7)</f>
        <v>28.4</v>
      </c>
      <c r="AG226">
        <f>IF('WetLitterbags placem_collection'!Z7="","",'WetLitterbags placem_collection'!Z7)</f>
        <v>36.4</v>
      </c>
      <c r="AH226" s="236" t="str">
        <f>IF('WetLitterbags placem_collection'!AA7="","",'WetLitterbags placem_collection'!AA7)</f>
        <v>M</v>
      </c>
      <c r="AI226">
        <f>IF('WetLitterbags placem_collection'!AC7="","",'WetLitterbags placem_collection'!AC7)</f>
        <v>1</v>
      </c>
      <c r="AJ226">
        <f>IFERROR(AVERAGE('Dry_Litterbag Placem_Collection'!O7,'Dry_Litterbag Placem_Collection'!R7),"")</f>
        <v>3.2</v>
      </c>
      <c r="AK226" s="261">
        <f>IFERROR(AVERAGE('Dry_Litterbag Placem_Collection'!N7,'Dry_Litterbag Placem_Collection'!Q7),"")</f>
        <v>26.7</v>
      </c>
      <c r="AL226" s="260">
        <f>INDEX([2]Coordinates!$B$2:$B$197,MATCH(I226,[2]Coordinates!$J$2:$J$197,0))</f>
        <v>-3.3978020120000001</v>
      </c>
      <c r="AM226" s="260">
        <f>INDEX([2]Coordinates!$C$2:$C$197,MATCH(I226,[2]Coordinates!$J$2:$J$197,0))</f>
        <v>34.83751204</v>
      </c>
      <c r="AN226" s="260" t="str">
        <f>IF(ISNUMBER(SEARCH("C", 'Dry_Litterbag Placem_Collection'!T7)),"YES","NO")</f>
        <v>NO</v>
      </c>
      <c r="AO226" s="260" t="str">
        <f>IF(ISNUMBER(SEARCH("H", 'Dry_Litterbag Placem_Collection'!T7)),"YES","NO")</f>
        <v>NO</v>
      </c>
      <c r="AP226" s="260" t="str">
        <f>IF(ISNUMBER(SEARCH("R", 'Dry_Litterbag Placem_Collection'!T7)),"YES","NO")</f>
        <v>NO</v>
      </c>
    </row>
    <row r="227" spans="1:42" ht="15" customHeight="1">
      <c r="A227" t="s">
        <v>3248</v>
      </c>
      <c r="B227" s="252" t="s">
        <v>2643</v>
      </c>
      <c r="C227" s="253">
        <f>'Dry_Litterbag Placem_Collection'!A8</f>
        <v>6</v>
      </c>
      <c r="D227" s="253" t="str">
        <f>'Dry_Litterbag Placem_Collection'!B8</f>
        <v>Makao</v>
      </c>
      <c r="E227" s="253" t="s">
        <v>2643</v>
      </c>
      <c r="F227" s="253" t="s">
        <v>2644</v>
      </c>
      <c r="G227" s="253">
        <v>1</v>
      </c>
      <c r="H227" s="253" t="s">
        <v>3099</v>
      </c>
      <c r="I227" s="254" t="str">
        <f>'Dry_Litterbag Placem_Collection'!C8</f>
        <v>Dry_Ag1_T6</v>
      </c>
      <c r="J227" s="255" t="s">
        <v>2525</v>
      </c>
      <c r="K227" s="262" t="s">
        <v>298</v>
      </c>
      <c r="L227" s="253" t="str">
        <f>IF(ISBLANK('Dry_Litterbag Placem_Collection'!K8),"","R"&amp;""&amp;'Dry_Litterbag Placem_Collection'!K8)</f>
        <v>R688</v>
      </c>
      <c r="M227" s="257">
        <f>IFERROR(INDEX('Green_rooibos initial weight'!$C$5:$C$2000,MATCH(L227, 'Green_rooibos initial weight'!$A$5:$A$2000,0)),"")</f>
        <v>2.1709999999999998</v>
      </c>
      <c r="N227" s="257">
        <f>IFERROR(M227-(TBIcalc!$Q$9+TBIcalc!$Q$10),"")</f>
        <v>1.9211999999999998</v>
      </c>
      <c r="O227" s="378">
        <f>AVERAGE(Ashed_controlls!$K$12:$K$14)</f>
        <v>2.2816647271287041</v>
      </c>
      <c r="P227" s="257">
        <f t="shared" si="16"/>
        <v>1.8773646572624032</v>
      </c>
      <c r="Q227" s="257" t="str">
        <f>IFERROR(INDEX('Both teabags AfterDry'!$D$2:$D$2000,MATCH(L227,'Both teabags AfterDry'!$A$2:$A$2000,0)),"")</f>
        <v/>
      </c>
      <c r="R227" s="257" t="str">
        <f>IFERROR(IF(Q227&gt;0,Q227-(TBIcalc!$Q$9),""),"")</f>
        <v/>
      </c>
      <c r="S227" s="268" t="str">
        <f>IFERROR(INDEX('Ashed teabags dry'!$K$2:$K$2000,MATCH(L227,'Ashed teabags dry'!$A$2:$A$2000,0)),"")</f>
        <v/>
      </c>
      <c r="T227" s="268" t="str">
        <f t="shared" si="17"/>
        <v/>
      </c>
      <c r="U227" s="258">
        <f>IF('Dry_Litterbag Placem_Collection'!E8="","",'Dry_Litterbag Placem_Collection'!E8)</f>
        <v>42938</v>
      </c>
      <c r="V227" s="258">
        <f>IF('Dry_Litterbag Placem_Collection'!G8="","",'Dry_Litterbag Placem_Collection'!G8)</f>
        <v>43007</v>
      </c>
      <c r="W227" s="259">
        <f t="shared" si="15"/>
        <v>69</v>
      </c>
      <c r="X227" s="257" t="str">
        <f t="shared" si="18"/>
        <v/>
      </c>
      <c r="Y227" s="257" t="str">
        <f t="shared" si="19"/>
        <v/>
      </c>
      <c r="Z227" s="261">
        <f>IFERROR(INDEX([3]Rainfall_Dry!$O$2:$O$217,MATCH(C227, [3]Rainfall_Dry!$A$2:$A$217,0)),"")</f>
        <v>6.900000125</v>
      </c>
      <c r="AA227" s="250">
        <v>12.565665055683967</v>
      </c>
      <c r="AB227" s="250">
        <v>0.9665896196679955</v>
      </c>
      <c r="AC227" s="250">
        <v>86.467745324648035</v>
      </c>
      <c r="AD227" s="251" t="s">
        <v>2653</v>
      </c>
      <c r="AE227" s="250">
        <v>6.02257269590931</v>
      </c>
      <c r="AF227">
        <f>IF('WetLitterbags placem_collection'!AB8="","",'WetLitterbags placem_collection'!AB8)</f>
        <v>32.4</v>
      </c>
      <c r="AG227">
        <f>IF('WetLitterbags placem_collection'!Z8="","",'WetLitterbags placem_collection'!Z8)</f>
        <v>31</v>
      </c>
      <c r="AH227" s="236" t="str">
        <f>IF('WetLitterbags placem_collection'!AA8="","",'WetLitterbags placem_collection'!AA8)</f>
        <v>M</v>
      </c>
      <c r="AI227">
        <f>IF('WetLitterbags placem_collection'!AC8="","",'WetLitterbags placem_collection'!AC8)</f>
        <v>1</v>
      </c>
      <c r="AJ227">
        <f>IFERROR(AVERAGE('Dry_Litterbag Placem_Collection'!O8,'Dry_Litterbag Placem_Collection'!R8),"")</f>
        <v>5.35</v>
      </c>
      <c r="AK227" s="261">
        <f>IFERROR(AVERAGE('Dry_Litterbag Placem_Collection'!N8,'Dry_Litterbag Placem_Collection'!Q8),"")</f>
        <v>26.6</v>
      </c>
      <c r="AL227" s="260">
        <f>INDEX([2]Coordinates!$B$2:$B$197,MATCH(I227,[2]Coordinates!$J$2:$J$197,0))</f>
        <v>-3.3977389800000002</v>
      </c>
      <c r="AM227" s="260">
        <f>INDEX([2]Coordinates!$C$2:$C$197,MATCH(I227,[2]Coordinates!$J$2:$J$197,0))</f>
        <v>34.837501979999999</v>
      </c>
      <c r="AN227" s="260" t="str">
        <f>IF(ISNUMBER(SEARCH("C", 'Dry_Litterbag Placem_Collection'!T8)),"YES","NO")</f>
        <v>NO</v>
      </c>
      <c r="AO227" s="260" t="str">
        <f>IF(ISNUMBER(SEARCH("H", 'Dry_Litterbag Placem_Collection'!T8)),"YES","NO")</f>
        <v>NO</v>
      </c>
      <c r="AP227" s="260" t="str">
        <f>IF(ISNUMBER(SEARCH("R", 'Dry_Litterbag Placem_Collection'!T8)),"YES","NO")</f>
        <v>NO</v>
      </c>
    </row>
    <row r="228" spans="1:42" ht="15" customHeight="1">
      <c r="A228" t="s">
        <v>3248</v>
      </c>
      <c r="B228" s="252" t="s">
        <v>2643</v>
      </c>
      <c r="C228" s="253">
        <f>'Dry_Litterbag Placem_Collection'!A9</f>
        <v>7</v>
      </c>
      <c r="D228" s="253" t="str">
        <f>'Dry_Litterbag Placem_Collection'!B9</f>
        <v>Makao</v>
      </c>
      <c r="E228" s="253" t="s">
        <v>2643</v>
      </c>
      <c r="F228" s="253" t="s">
        <v>2644</v>
      </c>
      <c r="G228" s="253">
        <v>1</v>
      </c>
      <c r="H228" s="253" t="s">
        <v>3099</v>
      </c>
      <c r="I228" s="254" t="str">
        <f>'Dry_Litterbag Placem_Collection'!C9</f>
        <v>Dry_Ag1_T7</v>
      </c>
      <c r="J228" s="255" t="s">
        <v>2525</v>
      </c>
      <c r="K228" s="262" t="s">
        <v>298</v>
      </c>
      <c r="L228" s="253" t="str">
        <f>IF(ISBLANK('Dry_Litterbag Placem_Collection'!K9),"","R"&amp;""&amp;'Dry_Litterbag Placem_Collection'!K9)</f>
        <v>R762</v>
      </c>
      <c r="M228" s="257">
        <f>IFERROR(INDEX('Green_rooibos initial weight'!$C$5:$C$2000,MATCH(L228, 'Green_rooibos initial weight'!$A$5:$A$2000,0)),"")</f>
        <v>2.1949999999999998</v>
      </c>
      <c r="N228" s="257">
        <f>IFERROR(M228-(TBIcalc!$Q$9+TBIcalc!$Q$10),"")</f>
        <v>1.9451999999999998</v>
      </c>
      <c r="O228" s="378">
        <f>AVERAGE(Ashed_controlls!$K$12:$K$14)</f>
        <v>2.2816647271287041</v>
      </c>
      <c r="P228" s="257">
        <f t="shared" si="16"/>
        <v>1.9008170577278922</v>
      </c>
      <c r="Q228" s="257">
        <f>IFERROR(INDEX('Both teabags AfterDry'!$D$2:$D$2000,MATCH(L228,'Both teabags AfterDry'!$A$2:$A$2000,0)),"")</f>
        <v>1.7052</v>
      </c>
      <c r="R228" s="257">
        <f>IFERROR(IF(Q228&gt;0,Q228-(TBIcalc!$Q$9),""),"")</f>
        <v>1.5546</v>
      </c>
      <c r="S228" s="268">
        <f>IFERROR(INDEX('Ashed teabags dry'!$K$2:$K$2000,MATCH(L228,'Ashed teabags dry'!$A$2:$A$2000,0)),"")</f>
        <v>6.2499999999996207</v>
      </c>
      <c r="T228" s="268">
        <f t="shared" si="17"/>
        <v>1.4574375000000059</v>
      </c>
      <c r="U228" s="258">
        <f>IF('Dry_Litterbag Placem_Collection'!E9="","",'Dry_Litterbag Placem_Collection'!E9)</f>
        <v>42938</v>
      </c>
      <c r="V228" s="258">
        <f>IF('Dry_Litterbag Placem_Collection'!G9="","",'Dry_Litterbag Placem_Collection'!G9)</f>
        <v>43007</v>
      </c>
      <c r="W228" s="259">
        <f t="shared" si="15"/>
        <v>69</v>
      </c>
      <c r="X228" s="257">
        <f t="shared" si="18"/>
        <v>0.39059999999999984</v>
      </c>
      <c r="Y228" s="257">
        <f t="shared" si="19"/>
        <v>0.44337955772788629</v>
      </c>
      <c r="Z228" s="261">
        <f>IFERROR(INDEX([3]Rainfall_Dry!$O$2:$O$217,MATCH(C228, [3]Rainfall_Dry!$A$2:$A$217,0)),"")</f>
        <v>6.900000125</v>
      </c>
      <c r="AA228" s="250">
        <v>12.565665055683967</v>
      </c>
      <c r="AB228" s="250">
        <v>0.9665896196679955</v>
      </c>
      <c r="AC228" s="250">
        <v>86.467745324648035</v>
      </c>
      <c r="AD228" s="251" t="s">
        <v>2653</v>
      </c>
      <c r="AE228" s="250">
        <v>7.02257269590931</v>
      </c>
      <c r="AF228">
        <f>IF('WetLitterbags placem_collection'!AB9="","",'WetLitterbags placem_collection'!AB9)</f>
        <v>36</v>
      </c>
      <c r="AG228">
        <f>IF('WetLitterbags placem_collection'!Z9="","",'WetLitterbags placem_collection'!Z9)</f>
        <v>43.4</v>
      </c>
      <c r="AH228" s="236" t="str">
        <f>IF('WetLitterbags placem_collection'!AA9="","",'WetLitterbags placem_collection'!AA9)</f>
        <v>M</v>
      </c>
      <c r="AI228">
        <f>IF('WetLitterbags placem_collection'!AC9="","",'WetLitterbags placem_collection'!AC9)</f>
        <v>1</v>
      </c>
      <c r="AJ228">
        <f>IFERROR(AVERAGE('Dry_Litterbag Placem_Collection'!O9,'Dry_Litterbag Placem_Collection'!R9),"")</f>
        <v>2.95</v>
      </c>
      <c r="AK228" s="261">
        <f>IFERROR(AVERAGE('Dry_Litterbag Placem_Collection'!N9,'Dry_Litterbag Placem_Collection'!Q9),"")</f>
        <v>24.75</v>
      </c>
      <c r="AL228" s="260">
        <f>INDEX([2]Coordinates!$B$2:$B$197,MATCH(I228,[2]Coordinates!$J$2:$J$197,0))</f>
        <v>-3.3977630360000002</v>
      </c>
      <c r="AM228" s="260">
        <f>INDEX([2]Coordinates!$C$2:$C$197,MATCH(I228,[2]Coordinates!$J$2:$J$197,0))</f>
        <v>34.837600969999997</v>
      </c>
      <c r="AN228" s="260" t="str">
        <f>IF(ISNUMBER(SEARCH("C", 'Dry_Litterbag Placem_Collection'!T9)),"YES","NO")</f>
        <v>NO</v>
      </c>
      <c r="AO228" s="260" t="str">
        <f>IF(ISNUMBER(SEARCH("H", 'Dry_Litterbag Placem_Collection'!T9)),"YES","NO")</f>
        <v>YES</v>
      </c>
      <c r="AP228" s="260" t="str">
        <f>IF(ISNUMBER(SEARCH("R", 'Dry_Litterbag Placem_Collection'!T9)),"YES","NO")</f>
        <v>NO</v>
      </c>
    </row>
    <row r="229" spans="1:42" ht="15" customHeight="1">
      <c r="A229" t="s">
        <v>3248</v>
      </c>
      <c r="B229" s="252" t="s">
        <v>2643</v>
      </c>
      <c r="C229" s="253">
        <f>'Dry_Litterbag Placem_Collection'!A10</f>
        <v>8</v>
      </c>
      <c r="D229" s="253" t="str">
        <f>'Dry_Litterbag Placem_Collection'!B10</f>
        <v>Makao</v>
      </c>
      <c r="E229" s="253" t="s">
        <v>2643</v>
      </c>
      <c r="F229" s="253" t="s">
        <v>2644</v>
      </c>
      <c r="G229" s="253">
        <v>1</v>
      </c>
      <c r="H229" s="253" t="s">
        <v>3099</v>
      </c>
      <c r="I229" s="254" t="str">
        <f>'Dry_Litterbag Placem_Collection'!C10</f>
        <v>Dry_Ag1_T8</v>
      </c>
      <c r="J229" s="255" t="s">
        <v>2525</v>
      </c>
      <c r="K229" s="262" t="s">
        <v>298</v>
      </c>
      <c r="L229" s="253" t="str">
        <f>IF(ISBLANK('Dry_Litterbag Placem_Collection'!K10),"","R"&amp;""&amp;'Dry_Litterbag Placem_Collection'!K10)</f>
        <v>R727</v>
      </c>
      <c r="M229" s="257">
        <f>IFERROR(INDEX('Green_rooibos initial weight'!$C$5:$C$2000,MATCH(L229, 'Green_rooibos initial weight'!$A$5:$A$2000,0)),"")</f>
        <v>2.1629999999999998</v>
      </c>
      <c r="N229" s="257">
        <f>IFERROR(M229-(TBIcalc!$Q$9+TBIcalc!$Q$10),"")</f>
        <v>1.9131999999999998</v>
      </c>
      <c r="O229" s="378">
        <f>AVERAGE(Ashed_controlls!$K$12:$K$14)</f>
        <v>2.2816647271287041</v>
      </c>
      <c r="P229" s="257">
        <f t="shared" si="16"/>
        <v>1.8695471904405734</v>
      </c>
      <c r="Q229" s="257">
        <f>IFERROR(INDEX('Both teabags AfterDry'!$D$2:$D$2000,MATCH(L229,'Both teabags AfterDry'!$A$2:$A$2000,0)),"")</f>
        <v>0</v>
      </c>
      <c r="R229" s="257" t="str">
        <f>IFERROR(IF(Q229&gt;0,Q229-(TBIcalc!$Q$9),""),"")</f>
        <v/>
      </c>
      <c r="S229" s="268">
        <f>IFERROR(INDEX('Ashed teabags dry'!$K$2:$K$2000,MATCH(L229,'Ashed teabags dry'!$A$2:$A$2000,0)),"")</f>
        <v>91.762114537445356</v>
      </c>
      <c r="T229" s="268" t="str">
        <f t="shared" si="17"/>
        <v/>
      </c>
      <c r="U229" s="258">
        <f>IF('Dry_Litterbag Placem_Collection'!E10="","",'Dry_Litterbag Placem_Collection'!E10)</f>
        <v>42938</v>
      </c>
      <c r="V229" s="258">
        <f>IF('Dry_Litterbag Placem_Collection'!G10="","",'Dry_Litterbag Placem_Collection'!G10)</f>
        <v>43007</v>
      </c>
      <c r="W229" s="259">
        <f t="shared" si="15"/>
        <v>69</v>
      </c>
      <c r="X229" s="257" t="str">
        <f t="shared" si="18"/>
        <v/>
      </c>
      <c r="Y229" s="257" t="str">
        <f t="shared" si="19"/>
        <v/>
      </c>
      <c r="Z229" s="261">
        <f>IFERROR(INDEX([3]Rainfall_Dry!$O$2:$O$217,MATCH(C229, [3]Rainfall_Dry!$A$2:$A$217,0)),"")</f>
        <v>6.900000125</v>
      </c>
      <c r="AA229" s="250">
        <v>12.565665055683967</v>
      </c>
      <c r="AB229" s="250">
        <v>0.9665896196679955</v>
      </c>
      <c r="AC229" s="250">
        <v>86.467745324648035</v>
      </c>
      <c r="AD229" s="251" t="s">
        <v>2653</v>
      </c>
      <c r="AE229" s="250">
        <v>8.0225726959093109</v>
      </c>
      <c r="AF229">
        <f>IF('WetLitterbags placem_collection'!AB10="","",'WetLitterbags placem_collection'!AB10)</f>
        <v>36</v>
      </c>
      <c r="AG229">
        <f>IF('WetLitterbags placem_collection'!Z10="","",'WetLitterbags placem_collection'!Z10)</f>
        <v>38.4</v>
      </c>
      <c r="AH229" s="236" t="str">
        <f>IF('WetLitterbags placem_collection'!AA10="","",'WetLitterbags placem_collection'!AA10)</f>
        <v>M</v>
      </c>
      <c r="AI229" t="str">
        <f>IF('WetLitterbags placem_collection'!AC10="","",'WetLitterbags placem_collection'!AC10)</f>
        <v/>
      </c>
      <c r="AJ229">
        <f>IFERROR(AVERAGE('Dry_Litterbag Placem_Collection'!O10,'Dry_Litterbag Placem_Collection'!R10),"")</f>
        <v>2.5999999999999996</v>
      </c>
      <c r="AK229" s="261">
        <f>IFERROR(AVERAGE('Dry_Litterbag Placem_Collection'!N10,'Dry_Litterbag Placem_Collection'!Q10),"")</f>
        <v>26</v>
      </c>
      <c r="AL229" s="260">
        <f>INDEX([2]Coordinates!$B$2:$B$197,MATCH(I229,[2]Coordinates!$J$2:$J$197,0))</f>
        <v>-3.3977320230000001</v>
      </c>
      <c r="AM229" s="260">
        <f>INDEX([2]Coordinates!$C$2:$C$197,MATCH(I229,[2]Coordinates!$J$2:$J$197,0))</f>
        <v>34.837561989999998</v>
      </c>
      <c r="AN229" s="260" t="str">
        <f>IF(ISNUMBER(SEARCH("C", 'Dry_Litterbag Placem_Collection'!T10)),"YES","NO")</f>
        <v>NO</v>
      </c>
      <c r="AO229" s="260" t="str">
        <f>IF(ISNUMBER(SEARCH("H", 'Dry_Litterbag Placem_Collection'!T10)),"YES","NO")</f>
        <v>NO</v>
      </c>
      <c r="AP229" s="260" t="str">
        <f>IF(ISNUMBER(SEARCH("R", 'Dry_Litterbag Placem_Collection'!T10)),"YES","NO")</f>
        <v>NO</v>
      </c>
    </row>
    <row r="230" spans="1:42" ht="15" customHeight="1">
      <c r="A230" t="s">
        <v>3248</v>
      </c>
      <c r="B230" s="252" t="s">
        <v>2643</v>
      </c>
      <c r="C230" s="253">
        <f>'Dry_Litterbag Placem_Collection'!A11</f>
        <v>9</v>
      </c>
      <c r="D230" s="253" t="str">
        <f>'Dry_Litterbag Placem_Collection'!B11</f>
        <v>Makao</v>
      </c>
      <c r="E230" s="253" t="s">
        <v>2643</v>
      </c>
      <c r="F230" s="253" t="s">
        <v>2644</v>
      </c>
      <c r="G230" s="253">
        <v>2</v>
      </c>
      <c r="H230" s="253" t="s">
        <v>3103</v>
      </c>
      <c r="I230" s="254" t="str">
        <f>'Dry_Litterbag Placem_Collection'!C11</f>
        <v>Dry_Ag2_T1</v>
      </c>
      <c r="J230" s="255" t="s">
        <v>2525</v>
      </c>
      <c r="K230" s="262" t="s">
        <v>298</v>
      </c>
      <c r="L230" s="253" t="str">
        <f>IF(ISBLANK('Dry_Litterbag Placem_Collection'!K11),"","R"&amp;""&amp;'Dry_Litterbag Placem_Collection'!K11)</f>
        <v>R785</v>
      </c>
      <c r="M230" s="257">
        <f>IFERROR(INDEX('Green_rooibos initial weight'!$C$5:$C$2000,MATCH(L230, 'Green_rooibos initial weight'!$A$5:$A$2000,0)),"")</f>
        <v>2.2549999999999999</v>
      </c>
      <c r="N230" s="257">
        <f>IFERROR(M230-(TBIcalc!$Q$9+TBIcalc!$Q$10),"")</f>
        <v>2.0051999999999999</v>
      </c>
      <c r="O230" s="378">
        <f>AVERAGE(Ashed_controlls!$K$12:$K$14)</f>
        <v>2.2816647271287041</v>
      </c>
      <c r="P230" s="257">
        <f t="shared" si="16"/>
        <v>1.959448058891615</v>
      </c>
      <c r="Q230" s="257">
        <f>IFERROR(INDEX('Both teabags AfterDry'!$D$2:$D$2000,MATCH(L230,'Both teabags AfterDry'!$A$2:$A$2000,0)),"")</f>
        <v>3.7812999999999999</v>
      </c>
      <c r="R230" s="257">
        <f>IFERROR(IF(Q230&gt;0,Q230-(TBIcalc!$Q$9),""),"")</f>
        <v>3.6307</v>
      </c>
      <c r="S230" s="268">
        <f>IFERROR(INDEX('Ashed teabags dry'!$K$2:$K$2000,MATCH(L230,'Ashed teabags dry'!$A$2:$A$2000,0)),"")</f>
        <v>96.078431372548579</v>
      </c>
      <c r="T230" s="268">
        <f t="shared" si="17"/>
        <v>0.1423803921568787</v>
      </c>
      <c r="U230" s="258">
        <f>IF('Dry_Litterbag Placem_Collection'!E11="","",'Dry_Litterbag Placem_Collection'!E11)</f>
        <v>42938</v>
      </c>
      <c r="V230" s="258">
        <f>IF('Dry_Litterbag Placem_Collection'!G11="","",'Dry_Litterbag Placem_Collection'!G11)</f>
        <v>43007</v>
      </c>
      <c r="W230" s="259">
        <f t="shared" si="15"/>
        <v>69</v>
      </c>
      <c r="X230" s="257">
        <f t="shared" si="18"/>
        <v>-1.6255000000000002</v>
      </c>
      <c r="Y230" s="257">
        <f t="shared" si="19"/>
        <v>1.8170676667347363</v>
      </c>
      <c r="Z230" s="261">
        <f>IFERROR(INDEX([3]Rainfall_Dry!$O$2:$O$217,MATCH(C230, [3]Rainfall_Dry!$A$2:$A$217,0)),"")</f>
        <v>6.900000125</v>
      </c>
      <c r="AA230" s="250">
        <v>21.13063730679653</v>
      </c>
      <c r="AB230" s="250">
        <v>3.0912555579081076</v>
      </c>
      <c r="AC230" s="250">
        <v>75.778107135295357</v>
      </c>
      <c r="AD230" s="251" t="s">
        <v>2651</v>
      </c>
      <c r="AE230" s="250">
        <v>0.46131099063578063</v>
      </c>
      <c r="AF230">
        <f>IF('WetLitterbags placem_collection'!AB11="","",'WetLitterbags placem_collection'!AB11)</f>
        <v>10.8</v>
      </c>
      <c r="AG230">
        <f>IF('WetLitterbags placem_collection'!Z11="","",'WetLitterbags placem_collection'!Z11)</f>
        <v>28.4</v>
      </c>
      <c r="AH230" s="236" t="str">
        <f>IF('WetLitterbags placem_collection'!AA11="","",'WetLitterbags placem_collection'!AA11)</f>
        <v>M</v>
      </c>
      <c r="AI230">
        <f>IF('WetLitterbags placem_collection'!AC11="","",'WetLitterbags placem_collection'!AC11)</f>
        <v>0</v>
      </c>
      <c r="AJ230">
        <f>IFERROR(AVERAGE('Dry_Litterbag Placem_Collection'!O11,'Dry_Litterbag Placem_Collection'!R11),"")</f>
        <v>3.3</v>
      </c>
      <c r="AK230" s="261">
        <f>IFERROR(AVERAGE('Dry_Litterbag Placem_Collection'!N11,'Dry_Litterbag Placem_Collection'!Q11),"")</f>
        <v>26.15</v>
      </c>
      <c r="AL230" s="260">
        <f>INDEX([2]Coordinates!$B$2:$B$197,MATCH(I230,[2]Coordinates!$J$2:$J$197,0))</f>
        <v>-3.3978290019999999</v>
      </c>
      <c r="AM230" s="260">
        <f>INDEX([2]Coordinates!$C$2:$C$197,MATCH(I230,[2]Coordinates!$J$2:$J$197,0))</f>
        <v>34.837011969999999</v>
      </c>
      <c r="AN230" s="260" t="str">
        <f>IF(ISNUMBER(SEARCH("C", 'Dry_Litterbag Placem_Collection'!T11)),"YES","NO")</f>
        <v>YES</v>
      </c>
      <c r="AO230" s="260" t="str">
        <f>IF(ISNUMBER(SEARCH("H", 'Dry_Litterbag Placem_Collection'!T11)),"YES","NO")</f>
        <v>NO</v>
      </c>
      <c r="AP230" s="260" t="str">
        <f>IF(ISNUMBER(SEARCH("R", 'Dry_Litterbag Placem_Collection'!T11)),"YES","NO")</f>
        <v>NO</v>
      </c>
    </row>
    <row r="231" spans="1:42" ht="15" customHeight="1">
      <c r="A231" t="s">
        <v>3248</v>
      </c>
      <c r="B231" s="252" t="s">
        <v>2643</v>
      </c>
      <c r="C231" s="253">
        <f>'Dry_Litterbag Placem_Collection'!A12</f>
        <v>10</v>
      </c>
      <c r="D231" s="253" t="str">
        <f>'Dry_Litterbag Placem_Collection'!B12</f>
        <v>Makao</v>
      </c>
      <c r="E231" s="253" t="s">
        <v>2643</v>
      </c>
      <c r="F231" s="253" t="s">
        <v>2644</v>
      </c>
      <c r="G231" s="253">
        <v>2</v>
      </c>
      <c r="H231" s="253" t="s">
        <v>3103</v>
      </c>
      <c r="I231" s="254" t="str">
        <f>'Dry_Litterbag Placem_Collection'!C12</f>
        <v>Dry_Ag2_T2</v>
      </c>
      <c r="J231" s="255" t="s">
        <v>2525</v>
      </c>
      <c r="K231" s="262" t="s">
        <v>298</v>
      </c>
      <c r="L231" s="253" t="str">
        <f>IF(ISBLANK('Dry_Litterbag Placem_Collection'!K12),"","R"&amp;""&amp;'Dry_Litterbag Placem_Collection'!K12)</f>
        <v>R747</v>
      </c>
      <c r="M231" s="257">
        <f>IFERROR(INDEX('Green_rooibos initial weight'!$C$5:$C$2000,MATCH(L231, 'Green_rooibos initial weight'!$A$5:$A$2000,0)),"")</f>
        <v>2.1549999999999998</v>
      </c>
      <c r="N231" s="257">
        <f>IFERROR(M231-(TBIcalc!$Q$9+TBIcalc!$Q$10),"")</f>
        <v>1.9051999999999998</v>
      </c>
      <c r="O231" s="378">
        <f>AVERAGE(Ashed_controlls!$K$12:$K$14)</f>
        <v>2.2816647271287041</v>
      </c>
      <c r="P231" s="257">
        <f t="shared" si="16"/>
        <v>1.8617297236187438</v>
      </c>
      <c r="Q231" s="257" t="str">
        <f>IFERROR(INDEX('Both teabags AfterDry'!$D$2:$D$2000,MATCH(L231,'Both teabags AfterDry'!$A$2:$A$2000,0)),"")</f>
        <v/>
      </c>
      <c r="R231" s="257" t="str">
        <f>IFERROR(IF(Q231&gt;0,Q231-(TBIcalc!$Q$9),""),"")</f>
        <v/>
      </c>
      <c r="S231" s="268" t="str">
        <f>IFERROR(INDEX('Ashed teabags dry'!$K$2:$K$2000,MATCH(L231,'Ashed teabags dry'!$A$2:$A$2000,0)),"")</f>
        <v/>
      </c>
      <c r="T231" s="268" t="str">
        <f t="shared" si="17"/>
        <v/>
      </c>
      <c r="U231" s="258">
        <f>IF('Dry_Litterbag Placem_Collection'!E12="","",'Dry_Litterbag Placem_Collection'!E12)</f>
        <v>42938</v>
      </c>
      <c r="V231" s="258" t="str">
        <f>IF('Dry_Litterbag Placem_Collection'!G12="","",'Dry_Litterbag Placem_Collection'!G12)</f>
        <v/>
      </c>
      <c r="W231" s="259" t="str">
        <f t="shared" si="15"/>
        <v/>
      </c>
      <c r="X231" s="257" t="str">
        <f t="shared" si="18"/>
        <v/>
      </c>
      <c r="Y231" s="257" t="str">
        <f t="shared" si="19"/>
        <v/>
      </c>
      <c r="Z231" s="261" t="str">
        <f>IFERROR(INDEX([3]Rainfall_Dry!$O$2:$O$217,MATCH(C231, [3]Rainfall_Dry!$A$2:$A$217,0)),"")</f>
        <v/>
      </c>
      <c r="AA231" s="250">
        <v>21.13063730679653</v>
      </c>
      <c r="AB231" s="250">
        <v>3.0912555579081076</v>
      </c>
      <c r="AC231" s="250">
        <v>75.778107135295357</v>
      </c>
      <c r="AD231" s="251" t="s">
        <v>2651</v>
      </c>
      <c r="AE231" s="250">
        <v>1.46131099063578</v>
      </c>
      <c r="AF231">
        <f>IF('WetLitterbags placem_collection'!AB12="","",'WetLitterbags placem_collection'!AB12)</f>
        <v>16.8</v>
      </c>
      <c r="AG231">
        <f>IF('WetLitterbags placem_collection'!Z12="","",'WetLitterbags placem_collection'!Z12)</f>
        <v>30</v>
      </c>
      <c r="AH231" s="236" t="str">
        <f>IF('WetLitterbags placem_collection'!AA12="","",'WetLitterbags placem_collection'!AA12)</f>
        <v>M</v>
      </c>
      <c r="AI231">
        <f>IF('WetLitterbags placem_collection'!AC12="","",'WetLitterbags placem_collection'!AC12)</f>
        <v>0</v>
      </c>
      <c r="AJ231">
        <f>IFERROR(AVERAGE('Dry_Litterbag Placem_Collection'!O12,'Dry_Litterbag Placem_Collection'!R12),"")</f>
        <v>1.5</v>
      </c>
      <c r="AK231" s="261">
        <f>IFERROR(AVERAGE('Dry_Litterbag Placem_Collection'!N12,'Dry_Litterbag Placem_Collection'!Q12),"")</f>
        <v>26.1</v>
      </c>
      <c r="AL231" s="260">
        <f>INDEX([2]Coordinates!$B$2:$B$197,MATCH(I231,[2]Coordinates!$J$2:$J$197,0))</f>
        <v>-3.3978119869999999</v>
      </c>
      <c r="AM231" s="260">
        <f>INDEX([2]Coordinates!$C$2:$C$197,MATCH(I231,[2]Coordinates!$J$2:$J$197,0))</f>
        <v>34.836968980000002</v>
      </c>
      <c r="AN231" s="260" t="str">
        <f>IF(ISNUMBER(SEARCH("C", 'Dry_Litterbag Placem_Collection'!T12)),"YES","NO")</f>
        <v>NO</v>
      </c>
      <c r="AO231" s="260" t="str">
        <f>IF(ISNUMBER(SEARCH("H", 'Dry_Litterbag Placem_Collection'!T12)),"YES","NO")</f>
        <v>NO</v>
      </c>
      <c r="AP231" s="260" t="str">
        <f>IF(ISNUMBER(SEARCH("R", 'Dry_Litterbag Placem_Collection'!T12)),"YES","NO")</f>
        <v>NO</v>
      </c>
    </row>
    <row r="232" spans="1:42" ht="15" customHeight="1">
      <c r="A232" t="s">
        <v>3248</v>
      </c>
      <c r="B232" s="252" t="s">
        <v>2643</v>
      </c>
      <c r="C232" s="253">
        <f>'Dry_Litterbag Placem_Collection'!A13</f>
        <v>11</v>
      </c>
      <c r="D232" s="253" t="str">
        <f>'Dry_Litterbag Placem_Collection'!B13</f>
        <v>Makao</v>
      </c>
      <c r="E232" s="253" t="s">
        <v>2643</v>
      </c>
      <c r="F232" s="253" t="s">
        <v>2644</v>
      </c>
      <c r="G232" s="253">
        <v>2</v>
      </c>
      <c r="H232" s="253" t="s">
        <v>3103</v>
      </c>
      <c r="I232" s="254" t="str">
        <f>'Dry_Litterbag Placem_Collection'!C13</f>
        <v>Dry_Ag2_T3</v>
      </c>
      <c r="J232" s="255" t="s">
        <v>2525</v>
      </c>
      <c r="K232" s="262" t="s">
        <v>298</v>
      </c>
      <c r="L232" s="253" t="str">
        <f>IF(ISBLANK('Dry_Litterbag Placem_Collection'!K13),"","R"&amp;""&amp;'Dry_Litterbag Placem_Collection'!K13)</f>
        <v>R748</v>
      </c>
      <c r="M232" s="257">
        <f>IFERROR(INDEX('Green_rooibos initial weight'!$C$5:$C$2000,MATCH(L232, 'Green_rooibos initial weight'!$A$5:$A$2000,0)),"")</f>
        <v>2.1829999999999998</v>
      </c>
      <c r="N232" s="257">
        <f>IFERROR(M232-(TBIcalc!$Q$9+TBIcalc!$Q$10),"")</f>
        <v>1.9331999999999998</v>
      </c>
      <c r="O232" s="378">
        <f>AVERAGE(Ashed_controlls!$K$12:$K$14)</f>
        <v>2.2816647271287041</v>
      </c>
      <c r="P232" s="257">
        <f t="shared" si="16"/>
        <v>1.8890908574951477</v>
      </c>
      <c r="Q232" s="257">
        <f>IFERROR(INDEX('Both teabags AfterDry'!$D$2:$D$2000,MATCH(L232,'Both teabags AfterDry'!$A$2:$A$2000,0)),"")</f>
        <v>0.98360000000000003</v>
      </c>
      <c r="R232" s="257">
        <f>IFERROR(IF(Q232&gt;0,Q232-(TBIcalc!$Q$9),""),"")</f>
        <v>0.83299999999999996</v>
      </c>
      <c r="S232" s="268">
        <f>IFERROR(INDEX('Ashed teabags dry'!$K$2:$K$2000,MATCH(L232,'Ashed teabags dry'!$A$2:$A$2000,0)),"")</f>
        <v>89.951923076922583</v>
      </c>
      <c r="T232" s="268">
        <f t="shared" si="17"/>
        <v>8.3700480769234864E-2</v>
      </c>
      <c r="U232" s="258">
        <f>IF('Dry_Litterbag Placem_Collection'!E13="","",'Dry_Litterbag Placem_Collection'!E13)</f>
        <v>42938</v>
      </c>
      <c r="V232" s="258">
        <f>IF('Dry_Litterbag Placem_Collection'!G13="","",'Dry_Litterbag Placem_Collection'!G13)</f>
        <v>43007</v>
      </c>
      <c r="W232" s="259">
        <f t="shared" si="15"/>
        <v>69</v>
      </c>
      <c r="X232" s="257">
        <f t="shared" si="18"/>
        <v>1.1001999999999998</v>
      </c>
      <c r="Y232" s="257">
        <f t="shared" si="19"/>
        <v>1.8053903767259127</v>
      </c>
      <c r="Z232" s="261">
        <f>IFERROR(INDEX([3]Rainfall_Dry!$O$2:$O$217,MATCH(C232, [3]Rainfall_Dry!$A$2:$A$217,0)),"")</f>
        <v>6.900000125</v>
      </c>
      <c r="AA232" s="250">
        <v>21.13063730679653</v>
      </c>
      <c r="AB232" s="250">
        <v>3.0912555579081076</v>
      </c>
      <c r="AC232" s="250">
        <v>75.778107135295357</v>
      </c>
      <c r="AD232" s="251" t="s">
        <v>2651</v>
      </c>
      <c r="AE232" s="250">
        <v>2.4613109906357802</v>
      </c>
      <c r="AF232">
        <f>IF('WetLitterbags placem_collection'!AB13="","",'WetLitterbags placem_collection'!AB13)</f>
        <v>11.4</v>
      </c>
      <c r="AG232">
        <f>IF('WetLitterbags placem_collection'!Z13="","",'WetLitterbags placem_collection'!Z13)</f>
        <v>24.4</v>
      </c>
      <c r="AH232" s="236" t="str">
        <f>IF('WetLitterbags placem_collection'!AA13="","",'WetLitterbags placem_collection'!AA13)</f>
        <v>M</v>
      </c>
      <c r="AI232">
        <f>IF('WetLitterbags placem_collection'!AC13="","",'WetLitterbags placem_collection'!AC13)</f>
        <v>0</v>
      </c>
      <c r="AJ232">
        <f>IFERROR(AVERAGE('Dry_Litterbag Placem_Collection'!O13,'Dry_Litterbag Placem_Collection'!R13),"")</f>
        <v>5.3</v>
      </c>
      <c r="AK232" s="261">
        <f>IFERROR(AVERAGE('Dry_Litterbag Placem_Collection'!N13,'Dry_Litterbag Placem_Collection'!Q13),"")</f>
        <v>26.450000000000003</v>
      </c>
      <c r="AL232" s="260">
        <f>INDEX([2]Coordinates!$B$2:$B$197,MATCH(I232,[2]Coordinates!$J$2:$J$197,0))</f>
        <v>-3.3977929599999999</v>
      </c>
      <c r="AM232" s="260">
        <f>INDEX([2]Coordinates!$C$2:$C$197,MATCH(I232,[2]Coordinates!$J$2:$J$197,0))</f>
        <v>34.837102999999999</v>
      </c>
      <c r="AN232" s="260" t="str">
        <f>IF(ISNUMBER(SEARCH("C", 'Dry_Litterbag Placem_Collection'!T13)),"YES","NO")</f>
        <v>YES</v>
      </c>
      <c r="AO232" s="260" t="str">
        <f>IF(ISNUMBER(SEARCH("H", 'Dry_Litterbag Placem_Collection'!T13)),"YES","NO")</f>
        <v>YES</v>
      </c>
      <c r="AP232" s="260" t="str">
        <f>IF(ISNUMBER(SEARCH("R", 'Dry_Litterbag Placem_Collection'!T13)),"YES","NO")</f>
        <v>NO</v>
      </c>
    </row>
    <row r="233" spans="1:42" ht="15" customHeight="1">
      <c r="A233" t="s">
        <v>3248</v>
      </c>
      <c r="B233" s="252" t="s">
        <v>2643</v>
      </c>
      <c r="C233" s="253">
        <f>'Dry_Litterbag Placem_Collection'!A14</f>
        <v>12</v>
      </c>
      <c r="D233" s="253" t="str">
        <f>'Dry_Litterbag Placem_Collection'!B14</f>
        <v>Makao</v>
      </c>
      <c r="E233" s="253" t="s">
        <v>2643</v>
      </c>
      <c r="F233" s="253" t="s">
        <v>2644</v>
      </c>
      <c r="G233" s="253">
        <v>2</v>
      </c>
      <c r="H233" s="253" t="s">
        <v>3103</v>
      </c>
      <c r="I233" s="254" t="str">
        <f>'Dry_Litterbag Placem_Collection'!C14</f>
        <v>Dry_Ag2_T4</v>
      </c>
      <c r="J233" s="255" t="s">
        <v>2525</v>
      </c>
      <c r="K233" s="262" t="s">
        <v>298</v>
      </c>
      <c r="L233" s="253" t="str">
        <f>IF(ISBLANK('Dry_Litterbag Placem_Collection'!K14),"","R"&amp;""&amp;'Dry_Litterbag Placem_Collection'!K14)</f>
        <v/>
      </c>
      <c r="M233" s="257" t="str">
        <f>IFERROR(INDEX('Green_rooibos initial weight'!$C$5:$C$2000,MATCH(L233, 'Green_rooibos initial weight'!$A$5:$A$2000,0)),"")</f>
        <v/>
      </c>
      <c r="N233" s="257" t="str">
        <f>IFERROR(M233-(TBIcalc!$Q$9+TBIcalc!$Q$10),"")</f>
        <v/>
      </c>
      <c r="O233" s="378">
        <f>AVERAGE(Ashed_controlls!$K$12:$K$14)</f>
        <v>2.2816647271287041</v>
      </c>
      <c r="P233" s="257" t="str">
        <f t="shared" si="16"/>
        <v/>
      </c>
      <c r="Q233" s="257" t="str">
        <f>IFERROR(INDEX('Both teabags AfterDry'!$D$2:$D$2000,MATCH(L233,'Both teabags AfterDry'!$A$2:$A$2000,0)),"")</f>
        <v/>
      </c>
      <c r="R233" s="257" t="str">
        <f>IFERROR(IF(Q233&gt;0,Q233-(TBIcalc!$Q$9),""),"")</f>
        <v/>
      </c>
      <c r="S233" s="268" t="str">
        <f>IFERROR(INDEX('Ashed teabags dry'!$K$2:$K$2000,MATCH(L233,'Ashed teabags dry'!$A$2:$A$2000,0)),"")</f>
        <v/>
      </c>
      <c r="T233" s="268" t="str">
        <f t="shared" si="17"/>
        <v/>
      </c>
      <c r="U233" s="258" t="str">
        <f>IF('Dry_Litterbag Placem_Collection'!E14="","",'Dry_Litterbag Placem_Collection'!E14)</f>
        <v/>
      </c>
      <c r="V233" s="258" t="str">
        <f>IF('Dry_Litterbag Placem_Collection'!G14="","",'Dry_Litterbag Placem_Collection'!G14)</f>
        <v/>
      </c>
      <c r="W233" s="259" t="str">
        <f t="shared" si="15"/>
        <v/>
      </c>
      <c r="X233" s="257" t="str">
        <f t="shared" si="18"/>
        <v/>
      </c>
      <c r="Y233" s="257" t="str">
        <f t="shared" si="19"/>
        <v/>
      </c>
      <c r="Z233" s="261" t="str">
        <f>IFERROR(INDEX([3]Rainfall_Dry!$O$2:$O$217,MATCH(C233, [3]Rainfall_Dry!$A$2:$A$217,0)),"")</f>
        <v/>
      </c>
      <c r="AA233" s="250">
        <v>21.13063730679653</v>
      </c>
      <c r="AB233" s="250">
        <v>3.0912555579081076</v>
      </c>
      <c r="AC233" s="250">
        <v>75.778107135295357</v>
      </c>
      <c r="AD233" s="251" t="s">
        <v>2651</v>
      </c>
      <c r="AE233" s="250">
        <v>3.4613109906357802</v>
      </c>
      <c r="AF233" t="str">
        <f>IF('WetLitterbags placem_collection'!AB14="","",'WetLitterbags placem_collection'!AB14)</f>
        <v/>
      </c>
      <c r="AG233" t="str">
        <f>IF('WetLitterbags placem_collection'!Z14="","",'WetLitterbags placem_collection'!Z14)</f>
        <v/>
      </c>
      <c r="AH233" s="236" t="str">
        <f>IF('WetLitterbags placem_collection'!AA14="","",'WetLitterbags placem_collection'!AA14)</f>
        <v/>
      </c>
      <c r="AI233" t="str">
        <f>IF('WetLitterbags placem_collection'!AC14="","",'WetLitterbags placem_collection'!AC14)</f>
        <v/>
      </c>
      <c r="AJ233" t="str">
        <f>IFERROR(AVERAGE('Dry_Litterbag Placem_Collection'!O14,'Dry_Litterbag Placem_Collection'!R14),"")</f>
        <v/>
      </c>
      <c r="AK233" s="261" t="str">
        <f>IFERROR(AVERAGE('Dry_Litterbag Placem_Collection'!N14,'Dry_Litterbag Placem_Collection'!Q14),"")</f>
        <v/>
      </c>
      <c r="AL233" s="260">
        <f>INDEX([2]Coordinates!$B$2:$B$197,MATCH(I233,[2]Coordinates!$J$2:$J$197,0))</f>
        <v>-3.3979050260000001</v>
      </c>
      <c r="AM233" s="260">
        <f>INDEX([2]Coordinates!$C$2:$C$197,MATCH(I233,[2]Coordinates!$J$2:$J$197,0))</f>
        <v>34.837123030000001</v>
      </c>
      <c r="AN233" s="260" t="str">
        <f>IF(ISNUMBER(SEARCH("C", 'Dry_Litterbag Placem_Collection'!T14)),"YES","NO")</f>
        <v>NO</v>
      </c>
      <c r="AO233" s="260" t="str">
        <f>IF(ISNUMBER(SEARCH("H", 'Dry_Litterbag Placem_Collection'!T14)),"YES","NO")</f>
        <v>NO</v>
      </c>
      <c r="AP233" s="260" t="str">
        <f>IF(ISNUMBER(SEARCH("R", 'Dry_Litterbag Placem_Collection'!T14)),"YES","NO")</f>
        <v>NO</v>
      </c>
    </row>
    <row r="234" spans="1:42" ht="15" customHeight="1">
      <c r="A234" t="s">
        <v>3248</v>
      </c>
      <c r="B234" s="252" t="s">
        <v>2643</v>
      </c>
      <c r="C234" s="253">
        <f>'Dry_Litterbag Placem_Collection'!A15</f>
        <v>13</v>
      </c>
      <c r="D234" s="253" t="str">
        <f>'Dry_Litterbag Placem_Collection'!B15</f>
        <v>Makao</v>
      </c>
      <c r="E234" s="253" t="s">
        <v>2643</v>
      </c>
      <c r="F234" s="253" t="s">
        <v>2644</v>
      </c>
      <c r="G234" s="253">
        <v>2</v>
      </c>
      <c r="H234" s="253" t="s">
        <v>3103</v>
      </c>
      <c r="I234" s="254" t="str">
        <f>'Dry_Litterbag Placem_Collection'!C15</f>
        <v>Dry_Ag2_T5</v>
      </c>
      <c r="J234" s="255" t="s">
        <v>2525</v>
      </c>
      <c r="K234" s="262" t="s">
        <v>298</v>
      </c>
      <c r="L234" s="253" t="str">
        <f>IF(ISBLANK('Dry_Litterbag Placem_Collection'!K15),"","R"&amp;""&amp;'Dry_Litterbag Placem_Collection'!K15)</f>
        <v>R784</v>
      </c>
      <c r="M234" s="257">
        <f>IFERROR(INDEX('Green_rooibos initial weight'!$C$5:$C$2000,MATCH(L234, 'Green_rooibos initial weight'!$A$5:$A$2000,0)),"")</f>
        <v>2.17</v>
      </c>
      <c r="N234" s="257">
        <f>IFERROR(M234-(TBIcalc!$Q$9+TBIcalc!$Q$10),"")</f>
        <v>1.9201999999999999</v>
      </c>
      <c r="O234" s="378">
        <f>AVERAGE(Ashed_controlls!$K$12:$K$14)</f>
        <v>2.2816647271287041</v>
      </c>
      <c r="P234" s="257">
        <f t="shared" si="16"/>
        <v>1.8763874739096746</v>
      </c>
      <c r="Q234" s="257">
        <f>IFERROR(INDEX('Both teabags AfterDry'!$D$2:$D$2000,MATCH(L234,'Both teabags AfterDry'!$A$2:$A$2000,0)),"")</f>
        <v>0</v>
      </c>
      <c r="R234" s="257" t="str">
        <f>IFERROR(IF(Q234&gt;0,Q234-(TBIcalc!$Q$9),""),"")</f>
        <v/>
      </c>
      <c r="S234" s="268">
        <f>IFERROR(INDEX('Ashed teabags dry'!$K$2:$K$2000,MATCH(L234,'Ashed teabags dry'!$A$2:$A$2000,0)),"")</f>
        <v>92.742616033754956</v>
      </c>
      <c r="T234" s="268" t="str">
        <f t="shared" si="17"/>
        <v/>
      </c>
      <c r="U234" s="258">
        <f>IF('Dry_Litterbag Placem_Collection'!E15="","",'Dry_Litterbag Placem_Collection'!E15)</f>
        <v>42938</v>
      </c>
      <c r="V234" s="258">
        <f>IF('Dry_Litterbag Placem_Collection'!G15="","",'Dry_Litterbag Placem_Collection'!G15)</f>
        <v>43007</v>
      </c>
      <c r="W234" s="259">
        <f t="shared" si="15"/>
        <v>69</v>
      </c>
      <c r="X234" s="257" t="str">
        <f t="shared" si="18"/>
        <v/>
      </c>
      <c r="Y234" s="257" t="str">
        <f t="shared" si="19"/>
        <v/>
      </c>
      <c r="Z234" s="261">
        <f>IFERROR(INDEX([3]Rainfall_Dry!$O$2:$O$217,MATCH(C234, [3]Rainfall_Dry!$A$2:$A$217,0)),"")</f>
        <v>6.900000125</v>
      </c>
      <c r="AA234" s="250">
        <v>21.13063730679653</v>
      </c>
      <c r="AB234" s="250">
        <v>3.0912555579081076</v>
      </c>
      <c r="AC234" s="250">
        <v>75.778107135295357</v>
      </c>
      <c r="AD234" s="251" t="s">
        <v>2651</v>
      </c>
      <c r="AE234" s="250">
        <v>4.4613109906357797</v>
      </c>
      <c r="AF234">
        <f>IF('WetLitterbags placem_collection'!AB15="","",'WetLitterbags placem_collection'!AB15)</f>
        <v>11.4</v>
      </c>
      <c r="AG234">
        <f>IF('WetLitterbags placem_collection'!Z15="","",'WetLitterbags placem_collection'!Z15)</f>
        <v>31</v>
      </c>
      <c r="AH234" s="236" t="str">
        <f>IF('WetLitterbags placem_collection'!AA15="","",'WetLitterbags placem_collection'!AA15)</f>
        <v>M</v>
      </c>
      <c r="AI234">
        <f>IF('WetLitterbags placem_collection'!AC15="","",'WetLitterbags placem_collection'!AC15)</f>
        <v>0</v>
      </c>
      <c r="AJ234">
        <f>IFERROR(AVERAGE('Dry_Litterbag Placem_Collection'!O15,'Dry_Litterbag Placem_Collection'!R15),"")</f>
        <v>4.8</v>
      </c>
      <c r="AK234" s="261">
        <f>IFERROR(AVERAGE('Dry_Litterbag Placem_Collection'!N15,'Dry_Litterbag Placem_Collection'!Q15),"")</f>
        <v>26.1</v>
      </c>
      <c r="AL234" s="260">
        <f>INDEX([2]Coordinates!$B$2:$B$197,MATCH(I234,[2]Coordinates!$J$2:$J$197,0))</f>
        <v>-3.3979040199999999</v>
      </c>
      <c r="AM234" s="260">
        <f>INDEX([2]Coordinates!$C$2:$C$197,MATCH(I234,[2]Coordinates!$J$2:$J$197,0))</f>
        <v>34.837027980000002</v>
      </c>
      <c r="AN234" s="260" t="str">
        <f>IF(ISNUMBER(SEARCH("C", 'Dry_Litterbag Placem_Collection'!T15)),"YES","NO")</f>
        <v>YES</v>
      </c>
      <c r="AO234" s="260" t="str">
        <f>IF(ISNUMBER(SEARCH("H", 'Dry_Litterbag Placem_Collection'!T15)),"YES","NO")</f>
        <v>YES</v>
      </c>
      <c r="AP234" s="260" t="str">
        <f>IF(ISNUMBER(SEARCH("R", 'Dry_Litterbag Placem_Collection'!T15)),"YES","NO")</f>
        <v>NO</v>
      </c>
    </row>
    <row r="235" spans="1:42" ht="15" customHeight="1">
      <c r="A235" t="s">
        <v>3248</v>
      </c>
      <c r="B235" s="252" t="s">
        <v>2643</v>
      </c>
      <c r="C235" s="253">
        <f>'Dry_Litterbag Placem_Collection'!A16</f>
        <v>14</v>
      </c>
      <c r="D235" s="253" t="str">
        <f>'Dry_Litterbag Placem_Collection'!B16</f>
        <v>Makao</v>
      </c>
      <c r="E235" s="253" t="s">
        <v>2643</v>
      </c>
      <c r="F235" s="253" t="s">
        <v>2644</v>
      </c>
      <c r="G235" s="253">
        <v>2</v>
      </c>
      <c r="H235" s="253" t="s">
        <v>3103</v>
      </c>
      <c r="I235" s="254" t="str">
        <f>'Dry_Litterbag Placem_Collection'!C16</f>
        <v>Dry_Ag2_T6</v>
      </c>
      <c r="J235" s="255" t="s">
        <v>2525</v>
      </c>
      <c r="K235" s="262" t="s">
        <v>298</v>
      </c>
      <c r="L235" s="253" t="str">
        <f>IF(ISBLANK('Dry_Litterbag Placem_Collection'!K16),"","R"&amp;""&amp;'Dry_Litterbag Placem_Collection'!K16)</f>
        <v>R838</v>
      </c>
      <c r="M235" s="257">
        <f>IFERROR(INDEX('Green_rooibos initial weight'!$C$5:$C$2000,MATCH(L235, 'Green_rooibos initial weight'!$A$5:$A$2000,0)),"")</f>
        <v>2.1589999999999998</v>
      </c>
      <c r="N235" s="257">
        <f>IFERROR(M235-(TBIcalc!$Q$9+TBIcalc!$Q$10),"")</f>
        <v>1.9091999999999998</v>
      </c>
      <c r="O235" s="378">
        <f>AVERAGE(Ashed_controlls!$K$12:$K$14)</f>
        <v>2.2816647271287041</v>
      </c>
      <c r="P235" s="257">
        <f t="shared" si="16"/>
        <v>1.8656384570296585</v>
      </c>
      <c r="Q235" s="257">
        <f>IFERROR(INDEX('Both teabags AfterDry'!$D$2:$D$2000,MATCH(L235,'Both teabags AfterDry'!$A$2:$A$2000,0)),"")</f>
        <v>1.0848</v>
      </c>
      <c r="R235" s="257">
        <f>IFERROR(IF(Q235&gt;0,Q235-(TBIcalc!$Q$9),""),"")</f>
        <v>0.93419999999999992</v>
      </c>
      <c r="S235" s="268">
        <f>IFERROR(INDEX('Ashed teabags dry'!$K$2:$K$2000,MATCH(L235,'Ashed teabags dry'!$A$2:$A$2000,0)),"")</f>
        <v>96.944824441403483</v>
      </c>
      <c r="T235" s="268">
        <f t="shared" si="17"/>
        <v>2.854145006840858E-2</v>
      </c>
      <c r="U235" s="258">
        <f>IF('Dry_Litterbag Placem_Collection'!E16="","",'Dry_Litterbag Placem_Collection'!E16)</f>
        <v>42938</v>
      </c>
      <c r="V235" s="258">
        <f>IF('Dry_Litterbag Placem_Collection'!G16="","",'Dry_Litterbag Placem_Collection'!G16)</f>
        <v>43007</v>
      </c>
      <c r="W235" s="259">
        <f t="shared" si="15"/>
        <v>69</v>
      </c>
      <c r="X235" s="257">
        <f t="shared" si="18"/>
        <v>0.97499999999999987</v>
      </c>
      <c r="Y235" s="257">
        <f t="shared" si="19"/>
        <v>1.8370970069612498</v>
      </c>
      <c r="Z235" s="261">
        <f>IFERROR(INDEX([3]Rainfall_Dry!$O$2:$O$217,MATCH(C235, [3]Rainfall_Dry!$A$2:$A$217,0)),"")</f>
        <v>6.900000125</v>
      </c>
      <c r="AA235" s="250">
        <v>21.13063730679653</v>
      </c>
      <c r="AB235" s="250">
        <v>3.0912555579081076</v>
      </c>
      <c r="AC235" s="250">
        <v>75.778107135295357</v>
      </c>
      <c r="AD235" s="251" t="s">
        <v>2651</v>
      </c>
      <c r="AE235" s="250">
        <v>5.4613109906357797</v>
      </c>
      <c r="AF235">
        <f>IF('WetLitterbags placem_collection'!AB16="","",'WetLitterbags placem_collection'!AB16)</f>
        <v>28.4</v>
      </c>
      <c r="AG235">
        <f>IF('WetLitterbags placem_collection'!Z16="","",'WetLitterbags placem_collection'!Z16)</f>
        <v>42.4</v>
      </c>
      <c r="AH235" s="236" t="str">
        <f>IF('WetLitterbags placem_collection'!AA16="","",'WetLitterbags placem_collection'!AA16)</f>
        <v>M</v>
      </c>
      <c r="AI235">
        <f>IF('WetLitterbags placem_collection'!AC16="","",'WetLitterbags placem_collection'!AC16)</f>
        <v>0</v>
      </c>
      <c r="AJ235">
        <f>IFERROR(AVERAGE('Dry_Litterbag Placem_Collection'!O16,'Dry_Litterbag Placem_Collection'!R16),"")</f>
        <v>3.4</v>
      </c>
      <c r="AK235" s="261">
        <f>IFERROR(AVERAGE('Dry_Litterbag Placem_Collection'!N16,'Dry_Litterbag Placem_Collection'!Q16),"")</f>
        <v>25.55</v>
      </c>
      <c r="AL235" s="260">
        <f>INDEX([2]Coordinates!$B$2:$B$197,MATCH(I235,[2]Coordinates!$J$2:$J$197,0))</f>
        <v>-3.397854986</v>
      </c>
      <c r="AM235" s="260">
        <f>INDEX([2]Coordinates!$C$2:$C$197,MATCH(I235,[2]Coordinates!$J$2:$J$197,0))</f>
        <v>34.836874010000002</v>
      </c>
      <c r="AN235" s="260" t="str">
        <f>IF(ISNUMBER(SEARCH("C", 'Dry_Litterbag Placem_Collection'!T16)),"YES","NO")</f>
        <v>YES</v>
      </c>
      <c r="AO235" s="260" t="str">
        <f>IF(ISNUMBER(SEARCH("H", 'Dry_Litterbag Placem_Collection'!T16)),"YES","NO")</f>
        <v>YES</v>
      </c>
      <c r="AP235" s="260" t="str">
        <f>IF(ISNUMBER(SEARCH("R", 'Dry_Litterbag Placem_Collection'!T16)),"YES","NO")</f>
        <v>NO</v>
      </c>
    </row>
    <row r="236" spans="1:42" ht="15" customHeight="1">
      <c r="A236" t="s">
        <v>3248</v>
      </c>
      <c r="B236" s="252" t="s">
        <v>2643</v>
      </c>
      <c r="C236" s="253">
        <f>'Dry_Litterbag Placem_Collection'!A17</f>
        <v>15</v>
      </c>
      <c r="D236" s="253" t="str">
        <f>'Dry_Litterbag Placem_Collection'!B17</f>
        <v>Makao</v>
      </c>
      <c r="E236" s="253" t="s">
        <v>2643</v>
      </c>
      <c r="F236" s="253" t="s">
        <v>2644</v>
      </c>
      <c r="G236" s="253">
        <v>2</v>
      </c>
      <c r="H236" s="253" t="s">
        <v>3103</v>
      </c>
      <c r="I236" s="254" t="str">
        <f>'Dry_Litterbag Placem_Collection'!C17</f>
        <v>Dry_Ag2_T7</v>
      </c>
      <c r="J236" s="255" t="s">
        <v>2525</v>
      </c>
      <c r="K236" s="262" t="s">
        <v>298</v>
      </c>
      <c r="L236" s="253" t="str">
        <f>IF(ISBLANK('Dry_Litterbag Placem_Collection'!K17),"","R"&amp;""&amp;'Dry_Litterbag Placem_Collection'!K17)</f>
        <v>R793</v>
      </c>
      <c r="M236" s="257">
        <f>IFERROR(INDEX('Green_rooibos initial weight'!$C$5:$C$2000,MATCH(L236, 'Green_rooibos initial weight'!$A$5:$A$2000,0)),"")</f>
        <v>2.2050000000000001</v>
      </c>
      <c r="N236" s="257">
        <f>IFERROR(M236-(TBIcalc!$Q$9+TBIcalc!$Q$10),"")</f>
        <v>1.9552</v>
      </c>
      <c r="O236" s="378">
        <f>AVERAGE(Ashed_controlls!$K$12:$K$14)</f>
        <v>2.2816647271287041</v>
      </c>
      <c r="P236" s="257">
        <f t="shared" si="16"/>
        <v>1.9105888912551796</v>
      </c>
      <c r="Q236" s="257">
        <f>IFERROR(INDEX('Both teabags AfterDry'!$D$2:$D$2000,MATCH(L236,'Both teabags AfterDry'!$A$2:$A$2000,0)),"")</f>
        <v>0.24560000000000001</v>
      </c>
      <c r="R236" s="257">
        <f>IFERROR(IF(Q236&gt;0,Q236-(TBIcalc!$Q$9),""),"")</f>
        <v>9.5000000000000001E-2</v>
      </c>
      <c r="S236" s="268">
        <f>IFERROR(INDEX('Ashed teabags dry'!$K$2:$K$2000,MATCH(L236,'Ashed teabags dry'!$A$2:$A$2000,0)),"")</f>
        <v>0</v>
      </c>
      <c r="T236" s="268">
        <f t="shared" si="17"/>
        <v>9.5000000000000001E-2</v>
      </c>
      <c r="U236" s="258">
        <f>IF('Dry_Litterbag Placem_Collection'!E17="","",'Dry_Litterbag Placem_Collection'!E17)</f>
        <v>42938</v>
      </c>
      <c r="V236" s="258">
        <f>IF('Dry_Litterbag Placem_Collection'!G17="","",'Dry_Litterbag Placem_Collection'!G17)</f>
        <v>43007</v>
      </c>
      <c r="W236" s="259">
        <f t="shared" si="15"/>
        <v>69</v>
      </c>
      <c r="X236" s="257">
        <f t="shared" si="18"/>
        <v>1.8602000000000001</v>
      </c>
      <c r="Y236" s="257">
        <f t="shared" si="19"/>
        <v>1.8155888912551796</v>
      </c>
      <c r="Z236" s="261">
        <f>IFERROR(INDEX([3]Rainfall_Dry!$O$2:$O$217,MATCH(C236, [3]Rainfall_Dry!$A$2:$A$217,0)),"")</f>
        <v>6.900000125</v>
      </c>
      <c r="AA236" s="250">
        <v>21.13063730679653</v>
      </c>
      <c r="AB236" s="250">
        <v>3.0912555579081076</v>
      </c>
      <c r="AC236" s="250">
        <v>75.778107135295357</v>
      </c>
      <c r="AD236" s="251" t="s">
        <v>2651</v>
      </c>
      <c r="AE236" s="250">
        <v>6.4613109906357797</v>
      </c>
      <c r="AF236">
        <f>IF('WetLitterbags placem_collection'!AB17="","",'WetLitterbags placem_collection'!AB17)</f>
        <v>15.8</v>
      </c>
      <c r="AG236">
        <f>IF('WetLitterbags placem_collection'!Z17="","",'WetLitterbags placem_collection'!Z17)</f>
        <v>30.4</v>
      </c>
      <c r="AH236" s="236" t="str">
        <f>IF('WetLitterbags placem_collection'!AA17="","",'WetLitterbags placem_collection'!AA17)</f>
        <v>M</v>
      </c>
      <c r="AI236">
        <f>IF('WetLitterbags placem_collection'!AC17="","",'WetLitterbags placem_collection'!AC17)</f>
        <v>0</v>
      </c>
      <c r="AJ236">
        <f>IFERROR(AVERAGE('Dry_Litterbag Placem_Collection'!O17,'Dry_Litterbag Placem_Collection'!R17),"")</f>
        <v>3.0999999999999996</v>
      </c>
      <c r="AK236" s="261">
        <f>IFERROR(AVERAGE('Dry_Litterbag Placem_Collection'!N17,'Dry_Litterbag Placem_Collection'!Q17),"")</f>
        <v>28</v>
      </c>
      <c r="AL236" s="260">
        <f>INDEX([2]Coordinates!$B$2:$B$197,MATCH(I236,[2]Coordinates!$J$2:$J$197,0))</f>
        <v>-3.3978060349999999</v>
      </c>
      <c r="AM236" s="260">
        <f>INDEX([2]Coordinates!$C$2:$C$197,MATCH(I236,[2]Coordinates!$J$2:$J$197,0))</f>
        <v>34.837023960000003</v>
      </c>
      <c r="AN236" s="260" t="str">
        <f>IF(ISNUMBER(SEARCH("C", 'Dry_Litterbag Placem_Collection'!T17)),"YES","NO")</f>
        <v>YES</v>
      </c>
      <c r="AO236" s="260" t="str">
        <f>IF(ISNUMBER(SEARCH("H", 'Dry_Litterbag Placem_Collection'!T17)),"YES","NO")</f>
        <v>YES</v>
      </c>
      <c r="AP236" s="260" t="str">
        <f>IF(ISNUMBER(SEARCH("R", 'Dry_Litterbag Placem_Collection'!T17)),"YES","NO")</f>
        <v>NO</v>
      </c>
    </row>
    <row r="237" spans="1:42" ht="15" customHeight="1">
      <c r="A237" t="s">
        <v>3248</v>
      </c>
      <c r="B237" s="252" t="s">
        <v>2643</v>
      </c>
      <c r="C237" s="253">
        <f>'Dry_Litterbag Placem_Collection'!A18</f>
        <v>16</v>
      </c>
      <c r="D237" s="253" t="str">
        <f>'Dry_Litterbag Placem_Collection'!B18</f>
        <v>Makao</v>
      </c>
      <c r="E237" s="253" t="s">
        <v>2643</v>
      </c>
      <c r="F237" s="253" t="s">
        <v>2644</v>
      </c>
      <c r="G237" s="253">
        <v>2</v>
      </c>
      <c r="H237" s="253" t="s">
        <v>3103</v>
      </c>
      <c r="I237" s="254" t="str">
        <f>'Dry_Litterbag Placem_Collection'!C18</f>
        <v>Dry_Ag2_T8</v>
      </c>
      <c r="J237" s="255" t="s">
        <v>2525</v>
      </c>
      <c r="K237" s="262" t="s">
        <v>298</v>
      </c>
      <c r="L237" s="253" t="str">
        <f>IF(ISBLANK('Dry_Litterbag Placem_Collection'!K18),"","R"&amp;""&amp;'Dry_Litterbag Placem_Collection'!K18)</f>
        <v>R755</v>
      </c>
      <c r="M237" s="257">
        <f>IFERROR(INDEX('Green_rooibos initial weight'!$C$5:$C$2000,MATCH(L237, 'Green_rooibos initial weight'!$A$5:$A$2000,0)),"")</f>
        <v>2.2120000000000002</v>
      </c>
      <c r="N237" s="257">
        <f>IFERROR(M237-(TBIcalc!$Q$9+TBIcalc!$Q$10),"")</f>
        <v>1.9622000000000002</v>
      </c>
      <c r="O237" s="378">
        <f>AVERAGE(Ashed_controlls!$K$12:$K$14)</f>
        <v>2.2816647271287041</v>
      </c>
      <c r="P237" s="257">
        <f t="shared" si="16"/>
        <v>1.9174291747242806</v>
      </c>
      <c r="Q237" s="257" t="str">
        <f>IFERROR(INDEX('Both teabags AfterDry'!$D$2:$D$2000,MATCH(L237,'Both teabags AfterDry'!$A$2:$A$2000,0)),"")</f>
        <v/>
      </c>
      <c r="R237" s="257" t="str">
        <f>IFERROR(IF(Q237&gt;0,Q237-(TBIcalc!$Q$9),""),"")</f>
        <v/>
      </c>
      <c r="S237" s="268" t="str">
        <f>IFERROR(INDEX('Ashed teabags dry'!$K$2:$K$2000,MATCH(L237,'Ashed teabags dry'!$A$2:$A$2000,0)),"")</f>
        <v/>
      </c>
      <c r="T237" s="268" t="str">
        <f t="shared" si="17"/>
        <v/>
      </c>
      <c r="U237" s="258">
        <f>IF('Dry_Litterbag Placem_Collection'!E18="","",'Dry_Litterbag Placem_Collection'!E18)</f>
        <v>42938</v>
      </c>
      <c r="V237" s="258">
        <f>IF('Dry_Litterbag Placem_Collection'!G18="","",'Dry_Litterbag Placem_Collection'!G18)</f>
        <v>43007</v>
      </c>
      <c r="W237" s="259">
        <f t="shared" si="15"/>
        <v>69</v>
      </c>
      <c r="X237" s="257" t="str">
        <f t="shared" si="18"/>
        <v/>
      </c>
      <c r="Y237" s="257" t="str">
        <f t="shared" si="19"/>
        <v/>
      </c>
      <c r="Z237" s="261">
        <f>IFERROR(INDEX([3]Rainfall_Dry!$O$2:$O$217,MATCH(C237, [3]Rainfall_Dry!$A$2:$A$217,0)),"")</f>
        <v>6.900000125</v>
      </c>
      <c r="AA237" s="250">
        <v>21.13063730679653</v>
      </c>
      <c r="AB237" s="250">
        <v>3.0912555579081076</v>
      </c>
      <c r="AC237" s="250">
        <v>75.778107135295357</v>
      </c>
      <c r="AD237" s="251" t="s">
        <v>2651</v>
      </c>
      <c r="AE237" s="250">
        <v>7.4613109906357797</v>
      </c>
      <c r="AF237">
        <f>IF('WetLitterbags placem_collection'!AB18="","",'WetLitterbags placem_collection'!AB18)</f>
        <v>8</v>
      </c>
      <c r="AG237">
        <f>IF('WetLitterbags placem_collection'!Z18="","",'WetLitterbags placem_collection'!Z18)</f>
        <v>12.4</v>
      </c>
      <c r="AH237" s="236" t="str">
        <f>IF('WetLitterbags placem_collection'!AA18="","",'WetLitterbags placem_collection'!AA18)</f>
        <v>M</v>
      </c>
      <c r="AI237">
        <f>IF('WetLitterbags placem_collection'!AC18="","",'WetLitterbags placem_collection'!AC18)</f>
        <v>0</v>
      </c>
      <c r="AJ237">
        <f>IFERROR(AVERAGE('Dry_Litterbag Placem_Collection'!O18,'Dry_Litterbag Placem_Collection'!R18),"")</f>
        <v>9.1999999999999993</v>
      </c>
      <c r="AK237" s="261">
        <f>IFERROR(AVERAGE('Dry_Litterbag Placem_Collection'!N18,'Dry_Litterbag Placem_Collection'!Q18),"")</f>
        <v>27.049999999999997</v>
      </c>
      <c r="AL237" s="260">
        <f>INDEX([2]Coordinates!$B$2:$B$197,MATCH(I237,[2]Coordinates!$J$2:$J$197,0))</f>
        <v>-3.3977669760000002</v>
      </c>
      <c r="AM237" s="260">
        <f>INDEX([2]Coordinates!$C$2:$C$197,MATCH(I237,[2]Coordinates!$J$2:$J$197,0))</f>
        <v>34.837181039999997</v>
      </c>
      <c r="AN237" s="260" t="str">
        <f>IF(ISNUMBER(SEARCH("C", 'Dry_Litterbag Placem_Collection'!T18)),"YES","NO")</f>
        <v>YES</v>
      </c>
      <c r="AO237" s="260" t="str">
        <f>IF(ISNUMBER(SEARCH("H", 'Dry_Litterbag Placem_Collection'!T18)),"YES","NO")</f>
        <v>YES</v>
      </c>
      <c r="AP237" s="260" t="str">
        <f>IF(ISNUMBER(SEARCH("R", 'Dry_Litterbag Placem_Collection'!T18)),"YES","NO")</f>
        <v>NO</v>
      </c>
    </row>
    <row r="238" spans="1:42" ht="15" customHeight="1">
      <c r="A238" t="s">
        <v>3248</v>
      </c>
      <c r="B238" s="252" t="s">
        <v>2643</v>
      </c>
      <c r="C238" s="253">
        <f>'Dry_Litterbag Placem_Collection'!A19</f>
        <v>17</v>
      </c>
      <c r="D238" s="253" t="str">
        <f>'Dry_Litterbag Placem_Collection'!B19</f>
        <v>Makao</v>
      </c>
      <c r="E238" s="253" t="s">
        <v>2643</v>
      </c>
      <c r="F238" s="253" t="s">
        <v>2644</v>
      </c>
      <c r="G238" s="253">
        <v>3</v>
      </c>
      <c r="H238" s="253" t="s">
        <v>3104</v>
      </c>
      <c r="I238" s="254" t="str">
        <f>'Dry_Litterbag Placem_Collection'!C19</f>
        <v>Dry_Ag3_T1</v>
      </c>
      <c r="J238" s="255" t="s">
        <v>2525</v>
      </c>
      <c r="K238" s="262" t="s">
        <v>298</v>
      </c>
      <c r="L238" s="253" t="str">
        <f>IF(ISBLANK('Dry_Litterbag Placem_Collection'!K19),"","R"&amp;""&amp;'Dry_Litterbag Placem_Collection'!K19)</f>
        <v>R826</v>
      </c>
      <c r="M238" s="257">
        <f>IFERROR(INDEX('Green_rooibos initial weight'!$C$5:$C$2000,MATCH(L238, 'Green_rooibos initial weight'!$A$5:$A$2000,0)),"")</f>
        <v>2.1659999999999999</v>
      </c>
      <c r="N238" s="257">
        <f>IFERROR(M238-(TBIcalc!$Q$9+TBIcalc!$Q$10),"")</f>
        <v>1.9161999999999999</v>
      </c>
      <c r="O238" s="378">
        <f>AVERAGE(Ashed_controlls!$K$12:$K$14)</f>
        <v>2.2816647271287041</v>
      </c>
      <c r="P238" s="257">
        <f t="shared" si="16"/>
        <v>1.8724787404987597</v>
      </c>
      <c r="Q238" s="257">
        <f>IFERROR(INDEX('Both teabags AfterDry'!$D$2:$D$2000,MATCH(L238,'Both teabags AfterDry'!$A$2:$A$2000,0)),"")</f>
        <v>1.9086000000000001</v>
      </c>
      <c r="R238" s="257">
        <f>IFERROR(IF(Q238&gt;0,Q238-(TBIcalc!$Q$9),""),"")</f>
        <v>1.758</v>
      </c>
      <c r="S238" s="268">
        <f>IFERROR(INDEX('Ashed teabags dry'!$K$2:$K$2000,MATCH(L238,'Ashed teabags dry'!$A$2:$A$2000,0)),"")</f>
        <v>3.214971209212738</v>
      </c>
      <c r="T238" s="268">
        <f t="shared" si="17"/>
        <v>1.7014808061420401</v>
      </c>
      <c r="U238" s="258">
        <f>IF('Dry_Litterbag Placem_Collection'!E19="","",'Dry_Litterbag Placem_Collection'!E19)</f>
        <v>42936</v>
      </c>
      <c r="V238" s="258">
        <f>IF('Dry_Litterbag Placem_Collection'!G19="","",'Dry_Litterbag Placem_Collection'!G19)</f>
        <v>43007</v>
      </c>
      <c r="W238" s="259">
        <f t="shared" si="15"/>
        <v>71</v>
      </c>
      <c r="X238" s="257">
        <f t="shared" si="18"/>
        <v>0.1581999999999999</v>
      </c>
      <c r="Y238" s="257">
        <f t="shared" si="19"/>
        <v>0.17099793435671962</v>
      </c>
      <c r="Z238" s="261">
        <f>IFERROR(INDEX([3]Rainfall_Dry!$O$2:$O$217,MATCH(C238, [3]Rainfall_Dry!$A$2:$A$217,0)),"")</f>
        <v>6.900000125</v>
      </c>
      <c r="AA238" s="250">
        <v>54.080969906906262</v>
      </c>
      <c r="AB238" s="250">
        <v>21.264484651351896</v>
      </c>
      <c r="AC238" s="250">
        <v>24.654545441741845</v>
      </c>
      <c r="AD238" s="251" t="s">
        <v>2654</v>
      </c>
      <c r="AE238" s="250">
        <v>1.8433218334154755</v>
      </c>
      <c r="AF238" t="str">
        <f>IF('WetLitterbags placem_collection'!AB19="","",'WetLitterbags placem_collection'!AB19)</f>
        <v/>
      </c>
      <c r="AG238" t="str">
        <f>IF('WetLitterbags placem_collection'!Z19="","",'WetLitterbags placem_collection'!Z19)</f>
        <v/>
      </c>
      <c r="AH238" s="236" t="str">
        <f>IF('WetLitterbags placem_collection'!AA19="","",'WetLitterbags placem_collection'!AA19)</f>
        <v/>
      </c>
      <c r="AI238" t="str">
        <f>IF('WetLitterbags placem_collection'!AC19="","",'WetLitterbags placem_collection'!AC19)</f>
        <v/>
      </c>
      <c r="AJ238">
        <f>IFERROR(AVERAGE('Dry_Litterbag Placem_Collection'!O19,'Dry_Litterbag Placem_Collection'!R19),"")</f>
        <v>12.9</v>
      </c>
      <c r="AK238" s="261">
        <f>IFERROR(AVERAGE('Dry_Litterbag Placem_Collection'!N19,'Dry_Litterbag Placem_Collection'!Q19),"")</f>
        <v>26.2</v>
      </c>
      <c r="AL238" s="260">
        <f>INDEX([2]Coordinates!$B$2:$B$197,MATCH(I238,[2]Coordinates!$J$2:$J$197,0))</f>
        <v>-3.3854090330000002</v>
      </c>
      <c r="AM238" s="260">
        <f>INDEX([2]Coordinates!$C$2:$C$197,MATCH(I238,[2]Coordinates!$J$2:$J$197,0))</f>
        <v>34.818901029999999</v>
      </c>
      <c r="AN238" s="260" t="str">
        <f>IF(ISNUMBER(SEARCH("C", 'Dry_Litterbag Placem_Collection'!T19)),"YES","NO")</f>
        <v>NO</v>
      </c>
      <c r="AO238" s="260" t="str">
        <f>IF(ISNUMBER(SEARCH("H", 'Dry_Litterbag Placem_Collection'!T19)),"YES","NO")</f>
        <v>NO</v>
      </c>
      <c r="AP238" s="260" t="str">
        <f>IF(ISNUMBER(SEARCH("R", 'Dry_Litterbag Placem_Collection'!T19)),"YES","NO")</f>
        <v>NO</v>
      </c>
    </row>
    <row r="239" spans="1:42" ht="15" customHeight="1">
      <c r="A239" t="s">
        <v>3248</v>
      </c>
      <c r="B239" s="252" t="s">
        <v>2643</v>
      </c>
      <c r="C239" s="253">
        <f>'Dry_Litterbag Placem_Collection'!A20</f>
        <v>18</v>
      </c>
      <c r="D239" s="253" t="str">
        <f>'Dry_Litterbag Placem_Collection'!B20</f>
        <v>Makao</v>
      </c>
      <c r="E239" s="253" t="s">
        <v>2643</v>
      </c>
      <c r="F239" s="253" t="s">
        <v>2644</v>
      </c>
      <c r="G239" s="253">
        <v>3</v>
      </c>
      <c r="H239" s="253" t="s">
        <v>3104</v>
      </c>
      <c r="I239" s="254" t="str">
        <f>'Dry_Litterbag Placem_Collection'!C20</f>
        <v>Dry_Ag3_T2</v>
      </c>
      <c r="J239" s="255" t="s">
        <v>2525</v>
      </c>
      <c r="K239" s="262" t="s">
        <v>298</v>
      </c>
      <c r="L239" s="253" t="str">
        <f>IF(ISBLANK('Dry_Litterbag Placem_Collection'!K20),"","R"&amp;""&amp;'Dry_Litterbag Placem_Collection'!K20)</f>
        <v>R732</v>
      </c>
      <c r="M239" s="257">
        <f>IFERROR(INDEX('Green_rooibos initial weight'!$C$5:$C$2000,MATCH(L239, 'Green_rooibos initial weight'!$A$5:$A$2000,0)),"")</f>
        <v>2.2189999999999999</v>
      </c>
      <c r="N239" s="257">
        <f>IFERROR(M239-(TBIcalc!$Q$9+TBIcalc!$Q$10),"")</f>
        <v>1.9691999999999998</v>
      </c>
      <c r="O239" s="378">
        <f>AVERAGE(Ashed_controlls!$K$12:$K$14)</f>
        <v>2.2816647271287041</v>
      </c>
      <c r="P239" s="257">
        <f t="shared" si="16"/>
        <v>1.9242694581933815</v>
      </c>
      <c r="Q239" s="257">
        <f>IFERROR(INDEX('Both teabags AfterDry'!$D$2:$D$2000,MATCH(L239,'Both teabags AfterDry'!$A$2:$A$2000,0)),"")</f>
        <v>1.9874000000000001</v>
      </c>
      <c r="R239" s="257">
        <f>IFERROR(IF(Q239&gt;0,Q239-(TBIcalc!$Q$9),""),"")</f>
        <v>1.8368</v>
      </c>
      <c r="S239" s="268">
        <f>IFERROR(INDEX('Ashed teabags dry'!$K$2:$K$2000,MATCH(L239,'Ashed teabags dry'!$A$2:$A$2000,0)),"")</f>
        <v>2.4777006937559349</v>
      </c>
      <c r="T239" s="268">
        <f t="shared" si="17"/>
        <v>1.791289593657091</v>
      </c>
      <c r="U239" s="258">
        <f>IF('Dry_Litterbag Placem_Collection'!E20="","",'Dry_Litterbag Placem_Collection'!E20)</f>
        <v>42936</v>
      </c>
      <c r="V239" s="258">
        <f>IF('Dry_Litterbag Placem_Collection'!G20="","",'Dry_Litterbag Placem_Collection'!G20)</f>
        <v>43007</v>
      </c>
      <c r="W239" s="259">
        <f t="shared" si="15"/>
        <v>71</v>
      </c>
      <c r="X239" s="257">
        <f t="shared" si="18"/>
        <v>0.13239999999999985</v>
      </c>
      <c r="Y239" s="257">
        <f t="shared" si="19"/>
        <v>0.13297986453629052</v>
      </c>
      <c r="Z239" s="261">
        <f>IFERROR(INDEX([3]Rainfall_Dry!$O$2:$O$217,MATCH(C239, [3]Rainfall_Dry!$A$2:$A$217,0)),"")</f>
        <v>6.900000125</v>
      </c>
      <c r="AA239" s="250">
        <v>54.080969906906262</v>
      </c>
      <c r="AB239" s="250">
        <v>21.264484651351896</v>
      </c>
      <c r="AC239" s="250">
        <v>24.654545441741845</v>
      </c>
      <c r="AD239" s="251" t="s">
        <v>2654</v>
      </c>
      <c r="AE239" s="250">
        <v>2.8433218334154802</v>
      </c>
      <c r="AF239" t="str">
        <f>IF('WetLitterbags placem_collection'!AB20="","",'WetLitterbags placem_collection'!AB20)</f>
        <v/>
      </c>
      <c r="AG239" t="str">
        <f>IF('WetLitterbags placem_collection'!Z20="","",'WetLitterbags placem_collection'!Z20)</f>
        <v/>
      </c>
      <c r="AH239" s="236" t="str">
        <f>IF('WetLitterbags placem_collection'!AA20="","",'WetLitterbags placem_collection'!AA20)</f>
        <v/>
      </c>
      <c r="AI239" t="str">
        <f>IF('WetLitterbags placem_collection'!AC20="","",'WetLitterbags placem_collection'!AC20)</f>
        <v/>
      </c>
      <c r="AJ239">
        <f>IFERROR(AVERAGE('Dry_Litterbag Placem_Collection'!O20,'Dry_Litterbag Placem_Collection'!R20),"")</f>
        <v>11.15</v>
      </c>
      <c r="AK239" s="261">
        <f>IFERROR(AVERAGE('Dry_Litterbag Placem_Collection'!N20,'Dry_Litterbag Placem_Collection'!Q20),"")</f>
        <v>26.1</v>
      </c>
      <c r="AL239" s="260">
        <f>INDEX([2]Coordinates!$B$2:$B$197,MATCH(I239,[2]Coordinates!$J$2:$J$197,0))</f>
        <v>-3.385375002</v>
      </c>
      <c r="AM239" s="260">
        <f>INDEX([2]Coordinates!$C$2:$C$197,MATCH(I239,[2]Coordinates!$J$2:$J$197,0))</f>
        <v>34.818939999999998</v>
      </c>
      <c r="AN239" s="260" t="str">
        <f>IF(ISNUMBER(SEARCH("C", 'Dry_Litterbag Placem_Collection'!T20)),"YES","NO")</f>
        <v>NO</v>
      </c>
      <c r="AO239" s="260" t="str">
        <f>IF(ISNUMBER(SEARCH("H", 'Dry_Litterbag Placem_Collection'!T20)),"YES","NO")</f>
        <v>YES</v>
      </c>
      <c r="AP239" s="260" t="str">
        <f>IF(ISNUMBER(SEARCH("R", 'Dry_Litterbag Placem_Collection'!T20)),"YES","NO")</f>
        <v>NO</v>
      </c>
    </row>
    <row r="240" spans="1:42" ht="15" customHeight="1">
      <c r="A240" t="s">
        <v>3248</v>
      </c>
      <c r="B240" s="252" t="s">
        <v>2643</v>
      </c>
      <c r="C240" s="253">
        <f>'Dry_Litterbag Placem_Collection'!A21</f>
        <v>19</v>
      </c>
      <c r="D240" s="253" t="str">
        <f>'Dry_Litterbag Placem_Collection'!B21</f>
        <v>Makao</v>
      </c>
      <c r="E240" s="253" t="s">
        <v>2643</v>
      </c>
      <c r="F240" s="253" t="s">
        <v>2644</v>
      </c>
      <c r="G240" s="253">
        <v>3</v>
      </c>
      <c r="H240" s="253" t="s">
        <v>3104</v>
      </c>
      <c r="I240" s="254" t="str">
        <f>'Dry_Litterbag Placem_Collection'!C21</f>
        <v>Dry_Ag3_T3</v>
      </c>
      <c r="J240" s="255" t="s">
        <v>2525</v>
      </c>
      <c r="K240" s="262" t="s">
        <v>298</v>
      </c>
      <c r="L240" s="253" t="str">
        <f>IF(ISBLANK('Dry_Litterbag Placem_Collection'!K21),"","R"&amp;""&amp;'Dry_Litterbag Placem_Collection'!K21)</f>
        <v>R749</v>
      </c>
      <c r="M240" s="257">
        <f>IFERROR(INDEX('Green_rooibos initial weight'!$C$5:$C$2000,MATCH(L240, 'Green_rooibos initial weight'!$A$5:$A$2000,0)),"")</f>
        <v>2.2050000000000001</v>
      </c>
      <c r="N240" s="257">
        <f>IFERROR(M240-(TBIcalc!$Q$9+TBIcalc!$Q$10),"")</f>
        <v>1.9552</v>
      </c>
      <c r="O240" s="378">
        <f>AVERAGE(Ashed_controlls!$K$12:$K$14)</f>
        <v>2.2816647271287041</v>
      </c>
      <c r="P240" s="257">
        <f t="shared" si="16"/>
        <v>1.9105888912551796</v>
      </c>
      <c r="Q240" s="257">
        <f>IFERROR(INDEX('Both teabags AfterDry'!$D$2:$D$2000,MATCH(L240,'Both teabags AfterDry'!$A$2:$A$2000,0)),"")</f>
        <v>1.9492</v>
      </c>
      <c r="R240" s="257">
        <f>IFERROR(IF(Q240&gt;0,Q240-(TBIcalc!$Q$9),""),"")</f>
        <v>1.7986</v>
      </c>
      <c r="S240" s="268">
        <f>IFERROR(INDEX('Ashed teabags dry'!$K$2:$K$2000,MATCH(L240,'Ashed teabags dry'!$A$2:$A$2000,0)),"")</f>
        <v>3.2445520581110632</v>
      </c>
      <c r="T240" s="268">
        <f t="shared" si="17"/>
        <v>1.7402434866828145</v>
      </c>
      <c r="U240" s="258">
        <f>IF('Dry_Litterbag Placem_Collection'!E21="","",'Dry_Litterbag Placem_Collection'!E21)</f>
        <v>42936</v>
      </c>
      <c r="V240" s="258">
        <f>IF('Dry_Litterbag Placem_Collection'!G21="","",'Dry_Litterbag Placem_Collection'!G21)</f>
        <v>43007</v>
      </c>
      <c r="W240" s="259">
        <f t="shared" si="15"/>
        <v>71</v>
      </c>
      <c r="X240" s="257">
        <f t="shared" si="18"/>
        <v>0.15660000000000007</v>
      </c>
      <c r="Y240" s="257">
        <f t="shared" si="19"/>
        <v>0.17034540457236513</v>
      </c>
      <c r="Z240" s="261">
        <f>IFERROR(INDEX([3]Rainfall_Dry!$O$2:$O$217,MATCH(C240, [3]Rainfall_Dry!$A$2:$A$217,0)),"")</f>
        <v>6.900000125</v>
      </c>
      <c r="AA240" s="250">
        <v>54.080969906906262</v>
      </c>
      <c r="AB240" s="250">
        <v>21.264484651351896</v>
      </c>
      <c r="AC240" s="250">
        <v>24.654545441741845</v>
      </c>
      <c r="AD240" s="251" t="s">
        <v>2654</v>
      </c>
      <c r="AE240" s="250">
        <v>3.8433218334154802</v>
      </c>
      <c r="AF240" t="str">
        <f>IF('WetLitterbags placem_collection'!AB21="","",'WetLitterbags placem_collection'!AB21)</f>
        <v/>
      </c>
      <c r="AG240" t="str">
        <f>IF('WetLitterbags placem_collection'!Z21="","",'WetLitterbags placem_collection'!Z21)</f>
        <v/>
      </c>
      <c r="AH240" s="236" t="str">
        <f>IF('WetLitterbags placem_collection'!AA21="","",'WetLitterbags placem_collection'!AA21)</f>
        <v/>
      </c>
      <c r="AI240" t="str">
        <f>IF('WetLitterbags placem_collection'!AC21="","",'WetLitterbags placem_collection'!AC21)</f>
        <v/>
      </c>
      <c r="AJ240">
        <f>IFERROR(AVERAGE('Dry_Litterbag Placem_Collection'!O21,'Dry_Litterbag Placem_Collection'!R21),"")</f>
        <v>15.75</v>
      </c>
      <c r="AK240" s="261">
        <f>IFERROR(AVERAGE('Dry_Litterbag Placem_Collection'!N21,'Dry_Litterbag Placem_Collection'!Q21),"")</f>
        <v>25.700000000000003</v>
      </c>
      <c r="AL240" s="260">
        <f>INDEX([2]Coordinates!$B$2:$B$197,MATCH(I240,[2]Coordinates!$J$2:$J$197,0))</f>
        <v>-3.3853589930000001</v>
      </c>
      <c r="AM240" s="260">
        <f>INDEX([2]Coordinates!$C$2:$C$197,MATCH(I240,[2]Coordinates!$J$2:$J$197,0))</f>
        <v>34.818991969999999</v>
      </c>
      <c r="AN240" s="260" t="str">
        <f>IF(ISNUMBER(SEARCH("C", 'Dry_Litterbag Placem_Collection'!T21)),"YES","NO")</f>
        <v>NO</v>
      </c>
      <c r="AO240" s="260" t="str">
        <f>IF(ISNUMBER(SEARCH("H", 'Dry_Litterbag Placem_Collection'!T21)),"YES","NO")</f>
        <v>NO</v>
      </c>
      <c r="AP240" s="260" t="str">
        <f>IF(ISNUMBER(SEARCH("R", 'Dry_Litterbag Placem_Collection'!T21)),"YES","NO")</f>
        <v>NO</v>
      </c>
    </row>
    <row r="241" spans="1:42" ht="15" customHeight="1">
      <c r="A241" t="s">
        <v>3248</v>
      </c>
      <c r="B241" s="252" t="s">
        <v>2643</v>
      </c>
      <c r="C241" s="253">
        <f>'Dry_Litterbag Placem_Collection'!A22</f>
        <v>20</v>
      </c>
      <c r="D241" s="253" t="str">
        <f>'Dry_Litterbag Placem_Collection'!B22</f>
        <v>Makao</v>
      </c>
      <c r="E241" s="253" t="s">
        <v>2643</v>
      </c>
      <c r="F241" s="253" t="s">
        <v>2644</v>
      </c>
      <c r="G241" s="253">
        <v>3</v>
      </c>
      <c r="H241" s="253" t="s">
        <v>3104</v>
      </c>
      <c r="I241" s="254" t="str">
        <f>'Dry_Litterbag Placem_Collection'!C22</f>
        <v>Dry_Ag3_T4</v>
      </c>
      <c r="J241" s="255" t="s">
        <v>2525</v>
      </c>
      <c r="K241" s="262" t="s">
        <v>298</v>
      </c>
      <c r="L241" s="253" t="str">
        <f>IF(ISBLANK('Dry_Litterbag Placem_Collection'!K22),"","R"&amp;""&amp;'Dry_Litterbag Placem_Collection'!K22)</f>
        <v>R632</v>
      </c>
      <c r="M241" s="257">
        <f>IFERROR(INDEX('Green_rooibos initial weight'!$C$5:$C$2000,MATCH(L241, 'Green_rooibos initial weight'!$A$5:$A$2000,0)),"")</f>
        <v>2.1269999999999998</v>
      </c>
      <c r="N241" s="257">
        <f>IFERROR(M241-(TBIcalc!$Q$9+TBIcalc!$Q$10),"")</f>
        <v>1.8771999999999998</v>
      </c>
      <c r="O241" s="378">
        <f>AVERAGE(Ashed_controlls!$K$12:$K$14)</f>
        <v>2.2816647271287041</v>
      </c>
      <c r="P241" s="257">
        <f t="shared" si="16"/>
        <v>1.8343685897423396</v>
      </c>
      <c r="Q241" s="257">
        <f>IFERROR(INDEX('Both teabags AfterDry'!$D$2:$D$2000,MATCH(L241,'Both teabags AfterDry'!$A$2:$A$2000,0)),"")</f>
        <v>1.9161999999999999</v>
      </c>
      <c r="R241" s="257">
        <f>IFERROR(IF(Q241&gt;0,Q241-(TBIcalc!$Q$9),""),"")</f>
        <v>1.7655999999999998</v>
      </c>
      <c r="S241" s="268">
        <f>IFERROR(INDEX('Ashed teabags dry'!$K$2:$K$2000,MATCH(L241,'Ashed teabags dry'!$A$2:$A$2000,0)),"")</f>
        <v>3.0104712041882107</v>
      </c>
      <c r="T241" s="268">
        <f t="shared" si="17"/>
        <v>1.7124471204188527</v>
      </c>
      <c r="U241" s="258">
        <f>IF('Dry_Litterbag Placem_Collection'!E22="","",'Dry_Litterbag Placem_Collection'!E22)</f>
        <v>42936</v>
      </c>
      <c r="V241" s="258">
        <f>IF('Dry_Litterbag Placem_Collection'!G22="","",'Dry_Litterbag Placem_Collection'!G22)</f>
        <v>43007</v>
      </c>
      <c r="W241" s="259">
        <f t="shared" si="15"/>
        <v>71</v>
      </c>
      <c r="X241" s="257">
        <f t="shared" si="18"/>
        <v>0.11159999999999992</v>
      </c>
      <c r="Y241" s="257">
        <f t="shared" si="19"/>
        <v>0.12192146932348691</v>
      </c>
      <c r="Z241" s="261">
        <f>IFERROR(INDEX([3]Rainfall_Dry!$O$2:$O$217,MATCH(C241, [3]Rainfall_Dry!$A$2:$A$217,0)),"")</f>
        <v>6.900000125</v>
      </c>
      <c r="AA241" s="250">
        <v>54.080969906906262</v>
      </c>
      <c r="AB241" s="250">
        <v>21.264484651351896</v>
      </c>
      <c r="AC241" s="250">
        <v>24.654545441741845</v>
      </c>
      <c r="AD241" s="251" t="s">
        <v>2654</v>
      </c>
      <c r="AE241" s="250">
        <v>4.8433218334154802</v>
      </c>
      <c r="AF241" t="str">
        <f>IF('WetLitterbags placem_collection'!AB22="","",'WetLitterbags placem_collection'!AB22)</f>
        <v/>
      </c>
      <c r="AG241" t="str">
        <f>IF('WetLitterbags placem_collection'!Z22="","",'WetLitterbags placem_collection'!Z22)</f>
        <v/>
      </c>
      <c r="AH241" s="236" t="str">
        <f>IF('WetLitterbags placem_collection'!AA22="","",'WetLitterbags placem_collection'!AA22)</f>
        <v/>
      </c>
      <c r="AI241" t="str">
        <f>IF('WetLitterbags placem_collection'!AC22="","",'WetLitterbags placem_collection'!AC22)</f>
        <v/>
      </c>
      <c r="AJ241">
        <f>IFERROR(AVERAGE('Dry_Litterbag Placem_Collection'!O22,'Dry_Litterbag Placem_Collection'!R22),"")</f>
        <v>16</v>
      </c>
      <c r="AK241" s="261">
        <f>IFERROR(AVERAGE('Dry_Litterbag Placem_Collection'!N22,'Dry_Litterbag Placem_Collection'!Q22),"")</f>
        <v>26.3</v>
      </c>
      <c r="AL241" s="260">
        <f>INDEX([2]Coordinates!$B$2:$B$197,MATCH(I241,[2]Coordinates!$J$2:$J$197,0))</f>
        <v>-3.3853969629999998</v>
      </c>
      <c r="AM241" s="260">
        <f>INDEX([2]Coordinates!$C$2:$C$197,MATCH(I241,[2]Coordinates!$J$2:$J$197,0))</f>
        <v>34.818977969999999</v>
      </c>
      <c r="AN241" s="260" t="str">
        <f>IF(ISNUMBER(SEARCH("C", 'Dry_Litterbag Placem_Collection'!T22)),"YES","NO")</f>
        <v>NO</v>
      </c>
      <c r="AO241" s="260" t="str">
        <f>IF(ISNUMBER(SEARCH("H", 'Dry_Litterbag Placem_Collection'!T22)),"YES","NO")</f>
        <v>NO</v>
      </c>
      <c r="AP241" s="260" t="str">
        <f>IF(ISNUMBER(SEARCH("R", 'Dry_Litterbag Placem_Collection'!T22)),"YES","NO")</f>
        <v>NO</v>
      </c>
    </row>
    <row r="242" spans="1:42" ht="15" customHeight="1">
      <c r="A242" t="s">
        <v>3248</v>
      </c>
      <c r="B242" s="252" t="s">
        <v>2643</v>
      </c>
      <c r="C242" s="253">
        <f>'Dry_Litterbag Placem_Collection'!A23</f>
        <v>21</v>
      </c>
      <c r="D242" s="253" t="str">
        <f>'Dry_Litterbag Placem_Collection'!B23</f>
        <v>Makao</v>
      </c>
      <c r="E242" s="253" t="s">
        <v>2643</v>
      </c>
      <c r="F242" s="253" t="s">
        <v>2644</v>
      </c>
      <c r="G242" s="253">
        <v>3</v>
      </c>
      <c r="H242" s="253" t="s">
        <v>3104</v>
      </c>
      <c r="I242" s="254" t="str">
        <f>'Dry_Litterbag Placem_Collection'!C23</f>
        <v>Dry_Ag3_T5</v>
      </c>
      <c r="J242" s="255" t="s">
        <v>2525</v>
      </c>
      <c r="K242" s="262" t="s">
        <v>298</v>
      </c>
      <c r="L242" s="253" t="str">
        <f>IF(ISBLANK('Dry_Litterbag Placem_Collection'!K23),"","R"&amp;""&amp;'Dry_Litterbag Placem_Collection'!K23)</f>
        <v>R630</v>
      </c>
      <c r="M242" s="257">
        <f>IFERROR(INDEX('Green_rooibos initial weight'!$C$5:$C$2000,MATCH(L242, 'Green_rooibos initial weight'!$A$5:$A$2000,0)),"")</f>
        <v>2.13</v>
      </c>
      <c r="N242" s="257">
        <f>IFERROR(M242-(TBIcalc!$Q$9+TBIcalc!$Q$10),"")</f>
        <v>1.8801999999999999</v>
      </c>
      <c r="O242" s="378">
        <f>AVERAGE(Ashed_controlls!$K$12:$K$14)</f>
        <v>2.2816647271287041</v>
      </c>
      <c r="P242" s="257">
        <f t="shared" si="16"/>
        <v>1.837300139800526</v>
      </c>
      <c r="Q242" s="257" t="str">
        <f>IFERROR(INDEX('Both teabags AfterDry'!$D$2:$D$2000,MATCH(L242,'Both teabags AfterDry'!$A$2:$A$2000,0)),"")</f>
        <v/>
      </c>
      <c r="R242" s="257" t="str">
        <f>IFERROR(IF(Q242&gt;0,Q242-(TBIcalc!$Q$9),""),"")</f>
        <v/>
      </c>
      <c r="S242" s="268" t="str">
        <f>IFERROR(INDEX('Ashed teabags dry'!$K$2:$K$2000,MATCH(L242,'Ashed teabags dry'!$A$2:$A$2000,0)),"")</f>
        <v/>
      </c>
      <c r="T242" s="268" t="str">
        <f t="shared" si="17"/>
        <v/>
      </c>
      <c r="U242" s="258">
        <f>IF('Dry_Litterbag Placem_Collection'!E23="","",'Dry_Litterbag Placem_Collection'!E23)</f>
        <v>42936</v>
      </c>
      <c r="V242" s="258">
        <f>IF('Dry_Litterbag Placem_Collection'!G23="","",'Dry_Litterbag Placem_Collection'!G23)</f>
        <v>43007</v>
      </c>
      <c r="W242" s="259">
        <f t="shared" si="15"/>
        <v>71</v>
      </c>
      <c r="X242" s="257" t="str">
        <f t="shared" si="18"/>
        <v/>
      </c>
      <c r="Y242" s="257" t="str">
        <f t="shared" si="19"/>
        <v/>
      </c>
      <c r="Z242" s="261">
        <f>IFERROR(INDEX([3]Rainfall_Dry!$O$2:$O$217,MATCH(C242, [3]Rainfall_Dry!$A$2:$A$217,0)),"")</f>
        <v>6.900000125</v>
      </c>
      <c r="AA242" s="250">
        <v>54.080969906906262</v>
      </c>
      <c r="AB242" s="250">
        <v>21.264484651351896</v>
      </c>
      <c r="AC242" s="250">
        <v>24.654545441741845</v>
      </c>
      <c r="AD242" s="251" t="s">
        <v>2654</v>
      </c>
      <c r="AE242" s="250">
        <v>5.8433218334154802</v>
      </c>
      <c r="AF242" t="str">
        <f>IF('WetLitterbags placem_collection'!AB23="","",'WetLitterbags placem_collection'!AB23)</f>
        <v/>
      </c>
      <c r="AG242" t="str">
        <f>IF('WetLitterbags placem_collection'!Z23="","",'WetLitterbags placem_collection'!Z23)</f>
        <v/>
      </c>
      <c r="AH242" s="236" t="str">
        <f>IF('WetLitterbags placem_collection'!AA23="","",'WetLitterbags placem_collection'!AA23)</f>
        <v/>
      </c>
      <c r="AI242" t="str">
        <f>IF('WetLitterbags placem_collection'!AC23="","",'WetLitterbags placem_collection'!AC23)</f>
        <v/>
      </c>
      <c r="AJ242">
        <f>IFERROR(AVERAGE('Dry_Litterbag Placem_Collection'!O23,'Dry_Litterbag Placem_Collection'!R23),"")</f>
        <v>13.2</v>
      </c>
      <c r="AK242" s="261">
        <f>IFERROR(AVERAGE('Dry_Litterbag Placem_Collection'!N23,'Dry_Litterbag Placem_Collection'!Q23),"")</f>
        <v>26.1</v>
      </c>
      <c r="AL242" s="260">
        <f>INDEX([2]Coordinates!$B$2:$B$197,MATCH(I242,[2]Coordinates!$J$2:$J$197,0))</f>
        <v>-3.3854019919999998</v>
      </c>
      <c r="AM242" s="260">
        <f>INDEX([2]Coordinates!$C$2:$C$197,MATCH(I242,[2]Coordinates!$J$2:$J$197,0))</f>
        <v>34.81894604</v>
      </c>
      <c r="AN242" s="260" t="str">
        <f>IF(ISNUMBER(SEARCH("C", 'Dry_Litterbag Placem_Collection'!T23)),"YES","NO")</f>
        <v>NO</v>
      </c>
      <c r="AO242" s="260" t="str">
        <f>IF(ISNUMBER(SEARCH("H", 'Dry_Litterbag Placem_Collection'!T23)),"YES","NO")</f>
        <v>NO</v>
      </c>
      <c r="AP242" s="260" t="str">
        <f>IF(ISNUMBER(SEARCH("R", 'Dry_Litterbag Placem_Collection'!T23)),"YES","NO")</f>
        <v>NO</v>
      </c>
    </row>
    <row r="243" spans="1:42" ht="15" customHeight="1">
      <c r="A243" t="s">
        <v>3248</v>
      </c>
      <c r="B243" s="252" t="s">
        <v>2643</v>
      </c>
      <c r="C243" s="253">
        <f>'Dry_Litterbag Placem_Collection'!A24</f>
        <v>22</v>
      </c>
      <c r="D243" s="253" t="str">
        <f>'Dry_Litterbag Placem_Collection'!B24</f>
        <v>Makao</v>
      </c>
      <c r="E243" s="253" t="s">
        <v>2643</v>
      </c>
      <c r="F243" s="253" t="s">
        <v>2644</v>
      </c>
      <c r="G243" s="253">
        <v>3</v>
      </c>
      <c r="H243" s="253" t="s">
        <v>3104</v>
      </c>
      <c r="I243" s="254" t="str">
        <f>'Dry_Litterbag Placem_Collection'!C24</f>
        <v>Dry_Ag3_T6</v>
      </c>
      <c r="J243" s="255" t="s">
        <v>2525</v>
      </c>
      <c r="K243" s="262" t="s">
        <v>298</v>
      </c>
      <c r="L243" s="253" t="str">
        <f>IF(ISBLANK('Dry_Litterbag Placem_Collection'!K24),"","R"&amp;""&amp;'Dry_Litterbag Placem_Collection'!K24)</f>
        <v>R723</v>
      </c>
      <c r="M243" s="257">
        <f>IFERROR(INDEX('Green_rooibos initial weight'!$C$5:$C$2000,MATCH(L243, 'Green_rooibos initial weight'!$A$5:$A$2000,0)),"")</f>
        <v>2.2559999999999998</v>
      </c>
      <c r="N243" s="257">
        <f>IFERROR(M243-(TBIcalc!$Q$9+TBIcalc!$Q$10),"")</f>
        <v>2.0061999999999998</v>
      </c>
      <c r="O243" s="378">
        <f>AVERAGE(Ashed_controlls!$K$12:$K$14)</f>
        <v>2.2816647271287041</v>
      </c>
      <c r="P243" s="257">
        <f t="shared" si="16"/>
        <v>1.9604252422443438</v>
      </c>
      <c r="Q243" s="257">
        <f>IFERROR(INDEX('Both teabags AfterDry'!$D$2:$D$2000,MATCH(L243,'Both teabags AfterDry'!$A$2:$A$2000,0)),"")</f>
        <v>1.8997999999999999</v>
      </c>
      <c r="R243" s="257">
        <f>IFERROR(IF(Q243&gt;0,Q243-(TBIcalc!$Q$9),""),"")</f>
        <v>1.7491999999999999</v>
      </c>
      <c r="S243" s="268">
        <f>IFERROR(INDEX('Ashed teabags dry'!$K$2:$K$2000,MATCH(L243,'Ashed teabags dry'!$A$2:$A$2000,0)),"")</f>
        <v>3.508771929824448</v>
      </c>
      <c r="T243" s="268">
        <f t="shared" si="17"/>
        <v>1.6878245614035106</v>
      </c>
      <c r="U243" s="258">
        <f>IF('Dry_Litterbag Placem_Collection'!E24="","",'Dry_Litterbag Placem_Collection'!E24)</f>
        <v>42936</v>
      </c>
      <c r="V243" s="258">
        <f>IF('Dry_Litterbag Placem_Collection'!G24="","",'Dry_Litterbag Placem_Collection'!G24)</f>
        <v>43007</v>
      </c>
      <c r="W243" s="259">
        <f t="shared" si="15"/>
        <v>71</v>
      </c>
      <c r="X243" s="257">
        <f t="shared" si="18"/>
        <v>0.2569999999999999</v>
      </c>
      <c r="Y243" s="257">
        <f t="shared" si="19"/>
        <v>0.27260068084083322</v>
      </c>
      <c r="Z243" s="261">
        <f>IFERROR(INDEX([3]Rainfall_Dry!$O$2:$O$217,MATCH(C243, [3]Rainfall_Dry!$A$2:$A$217,0)),"")</f>
        <v>6.900000125</v>
      </c>
      <c r="AA243" s="250">
        <v>54.080969906906262</v>
      </c>
      <c r="AB243" s="250">
        <v>21.264484651351896</v>
      </c>
      <c r="AC243" s="250">
        <v>24.654545441741845</v>
      </c>
      <c r="AD243" s="251" t="s">
        <v>2654</v>
      </c>
      <c r="AE243" s="250">
        <v>6.8433218334154802</v>
      </c>
      <c r="AF243" t="str">
        <f>IF('WetLitterbags placem_collection'!AB24="","",'WetLitterbags placem_collection'!AB24)</f>
        <v/>
      </c>
      <c r="AG243" t="str">
        <f>IF('WetLitterbags placem_collection'!Z24="","",'WetLitterbags placem_collection'!Z24)</f>
        <v/>
      </c>
      <c r="AH243" s="236" t="str">
        <f>IF('WetLitterbags placem_collection'!AA24="","",'WetLitterbags placem_collection'!AA24)</f>
        <v/>
      </c>
      <c r="AI243" t="str">
        <f>IF('WetLitterbags placem_collection'!AC24="","",'WetLitterbags placem_collection'!AC24)</f>
        <v/>
      </c>
      <c r="AJ243">
        <f>IFERROR(AVERAGE('Dry_Litterbag Placem_Collection'!O24,'Dry_Litterbag Placem_Collection'!R24),"")</f>
        <v>19.05</v>
      </c>
      <c r="AK243" s="261">
        <f>IFERROR(AVERAGE('Dry_Litterbag Placem_Collection'!N24,'Dry_Litterbag Placem_Collection'!Q24),"")</f>
        <v>25.75</v>
      </c>
      <c r="AL243" s="260">
        <f>INDEX([2]Coordinates!$B$2:$B$197,MATCH(I243,[2]Coordinates!$J$2:$J$197,0))</f>
        <v>-3.3854470029999999</v>
      </c>
      <c r="AM243" s="260">
        <f>INDEX([2]Coordinates!$C$2:$C$197,MATCH(I243,[2]Coordinates!$J$2:$J$197,0))</f>
        <v>34.818946959999998</v>
      </c>
      <c r="AN243" s="260" t="str">
        <f>IF(ISNUMBER(SEARCH("C", 'Dry_Litterbag Placem_Collection'!T24)),"YES","NO")</f>
        <v>NO</v>
      </c>
      <c r="AO243" s="260" t="str">
        <f>IF(ISNUMBER(SEARCH("H", 'Dry_Litterbag Placem_Collection'!T24)),"YES","NO")</f>
        <v>YES</v>
      </c>
      <c r="AP243" s="260" t="str">
        <f>IF(ISNUMBER(SEARCH("R", 'Dry_Litterbag Placem_Collection'!T24)),"YES","NO")</f>
        <v>NO</v>
      </c>
    </row>
    <row r="244" spans="1:42" ht="15" customHeight="1">
      <c r="A244" t="s">
        <v>3248</v>
      </c>
      <c r="B244" s="252" t="s">
        <v>2643</v>
      </c>
      <c r="C244" s="253">
        <f>'Dry_Litterbag Placem_Collection'!A25</f>
        <v>23</v>
      </c>
      <c r="D244" s="253" t="str">
        <f>'Dry_Litterbag Placem_Collection'!B25</f>
        <v>Makao</v>
      </c>
      <c r="E244" s="253" t="s">
        <v>2643</v>
      </c>
      <c r="F244" s="253" t="s">
        <v>2644</v>
      </c>
      <c r="G244" s="253">
        <v>3</v>
      </c>
      <c r="H244" s="253" t="s">
        <v>3104</v>
      </c>
      <c r="I244" s="254" t="str">
        <f>'Dry_Litterbag Placem_Collection'!C25</f>
        <v>Dry_Ag3_T7</v>
      </c>
      <c r="J244" s="255" t="s">
        <v>2525</v>
      </c>
      <c r="K244" s="262" t="s">
        <v>298</v>
      </c>
      <c r="L244" s="253" t="str">
        <f>IF(ISBLANK('Dry_Litterbag Placem_Collection'!K25),"","R"&amp;""&amp;'Dry_Litterbag Placem_Collection'!K25)</f>
        <v/>
      </c>
      <c r="M244" s="257" t="str">
        <f>IFERROR(INDEX('Green_rooibos initial weight'!$C$5:$C$2000,MATCH(L244, 'Green_rooibos initial weight'!$A$5:$A$2000,0)),"")</f>
        <v/>
      </c>
      <c r="N244" s="257" t="str">
        <f>IFERROR(M244-(TBIcalc!$Q$9+TBIcalc!$Q$10),"")</f>
        <v/>
      </c>
      <c r="O244" s="378">
        <f>AVERAGE(Ashed_controlls!$K$12:$K$14)</f>
        <v>2.2816647271287041</v>
      </c>
      <c r="P244" s="257" t="str">
        <f t="shared" si="16"/>
        <v/>
      </c>
      <c r="Q244" s="257" t="str">
        <f>IFERROR(INDEX('Both teabags AfterDry'!$D$2:$D$2000,MATCH(L244,'Both teabags AfterDry'!$A$2:$A$2000,0)),"")</f>
        <v/>
      </c>
      <c r="R244" s="257" t="str">
        <f>IFERROR(IF(Q244&gt;0,Q244-(TBIcalc!$Q$9),""),"")</f>
        <v/>
      </c>
      <c r="S244" s="268" t="str">
        <f>IFERROR(INDEX('Ashed teabags dry'!$K$2:$K$2000,MATCH(L244,'Ashed teabags dry'!$A$2:$A$2000,0)),"")</f>
        <v/>
      </c>
      <c r="T244" s="268" t="str">
        <f t="shared" si="17"/>
        <v/>
      </c>
      <c r="U244" s="258" t="str">
        <f>IF('Dry_Litterbag Placem_Collection'!E25="","",'Dry_Litterbag Placem_Collection'!E25)</f>
        <v/>
      </c>
      <c r="V244" s="258" t="str">
        <f>IF('Dry_Litterbag Placem_Collection'!G25="","",'Dry_Litterbag Placem_Collection'!G25)</f>
        <v/>
      </c>
      <c r="W244" s="259" t="str">
        <f t="shared" si="15"/>
        <v/>
      </c>
      <c r="X244" s="257" t="str">
        <f t="shared" si="18"/>
        <v/>
      </c>
      <c r="Y244" s="257" t="str">
        <f t="shared" si="19"/>
        <v/>
      </c>
      <c r="Z244" s="261" t="str">
        <f>IFERROR(INDEX([3]Rainfall_Dry!$O$2:$O$217,MATCH(C244, [3]Rainfall_Dry!$A$2:$A$217,0)),"")</f>
        <v/>
      </c>
      <c r="AA244" s="250">
        <v>54.080969906906262</v>
      </c>
      <c r="AB244" s="250">
        <v>21.264484651351896</v>
      </c>
      <c r="AC244" s="250">
        <v>24.654545441741845</v>
      </c>
      <c r="AD244" s="251" t="s">
        <v>2654</v>
      </c>
      <c r="AE244" s="250">
        <v>7.8433218334154802</v>
      </c>
      <c r="AF244" t="str">
        <f>IF('WetLitterbags placem_collection'!AB25="","",'WetLitterbags placem_collection'!AB25)</f>
        <v/>
      </c>
      <c r="AG244" t="str">
        <f>IF('WetLitterbags placem_collection'!Z25="","",'WetLitterbags placem_collection'!Z25)</f>
        <v/>
      </c>
      <c r="AH244" s="236" t="str">
        <f>IF('WetLitterbags placem_collection'!AA25="","",'WetLitterbags placem_collection'!AA25)</f>
        <v/>
      </c>
      <c r="AI244" t="str">
        <f>IF('WetLitterbags placem_collection'!AC25="","",'WetLitterbags placem_collection'!AC25)</f>
        <v/>
      </c>
      <c r="AJ244" t="str">
        <f>IFERROR(AVERAGE('Dry_Litterbag Placem_Collection'!O25,'Dry_Litterbag Placem_Collection'!R25),"")</f>
        <v/>
      </c>
      <c r="AK244" s="261" t="str">
        <f>IFERROR(AVERAGE('Dry_Litterbag Placem_Collection'!N25,'Dry_Litterbag Placem_Collection'!Q25),"")</f>
        <v/>
      </c>
      <c r="AL244" s="260">
        <f>INDEX([2]Coordinates!$B$2:$B$197,MATCH(I244,[2]Coordinates!$J$2:$J$197,0))</f>
        <v>-3.3854200130000001</v>
      </c>
      <c r="AM244" s="260">
        <f>INDEX([2]Coordinates!$C$2:$C$197,MATCH(I244,[2]Coordinates!$J$2:$J$197,0))</f>
        <v>34.818856019999998</v>
      </c>
      <c r="AN244" s="260" t="str">
        <f>IF(ISNUMBER(SEARCH("C", 'Dry_Litterbag Placem_Collection'!T25)),"YES","NO")</f>
        <v>NO</v>
      </c>
      <c r="AO244" s="260" t="str">
        <f>IF(ISNUMBER(SEARCH("H", 'Dry_Litterbag Placem_Collection'!T25)),"YES","NO")</f>
        <v>NO</v>
      </c>
      <c r="AP244" s="260" t="str">
        <f>IF(ISNUMBER(SEARCH("R", 'Dry_Litterbag Placem_Collection'!T25)),"YES","NO")</f>
        <v>NO</v>
      </c>
    </row>
    <row r="245" spans="1:42" ht="15" customHeight="1">
      <c r="A245" t="s">
        <v>3248</v>
      </c>
      <c r="B245" s="252" t="s">
        <v>2643</v>
      </c>
      <c r="C245" s="253">
        <f>'Dry_Litterbag Placem_Collection'!A26</f>
        <v>24</v>
      </c>
      <c r="D245" s="253" t="str">
        <f>'Dry_Litterbag Placem_Collection'!B26</f>
        <v>Makao</v>
      </c>
      <c r="E245" s="253" t="s">
        <v>2643</v>
      </c>
      <c r="F245" s="253" t="s">
        <v>2644</v>
      </c>
      <c r="G245" s="253">
        <v>3</v>
      </c>
      <c r="H245" s="253" t="s">
        <v>3104</v>
      </c>
      <c r="I245" s="254" t="str">
        <f>'Dry_Litterbag Placem_Collection'!C26</f>
        <v>Dry_Ag3_T8</v>
      </c>
      <c r="J245" s="255" t="s">
        <v>2525</v>
      </c>
      <c r="K245" s="262" t="s">
        <v>298</v>
      </c>
      <c r="L245" s="253" t="str">
        <f>IF(ISBLANK('Dry_Litterbag Placem_Collection'!K26),"","R"&amp;""&amp;'Dry_Litterbag Placem_Collection'!K26)</f>
        <v>R225</v>
      </c>
      <c r="M245" s="257">
        <f>IFERROR(INDEX('Green_rooibos initial weight'!$C$5:$C$2000,MATCH(L245, 'Green_rooibos initial weight'!$A$5:$A$2000,0)),"")</f>
        <v>2.214</v>
      </c>
      <c r="N245" s="257">
        <f>IFERROR(M245-(TBIcalc!$Q$9+TBIcalc!$Q$10),"")</f>
        <v>1.9641999999999999</v>
      </c>
      <c r="O245" s="378">
        <f>AVERAGE(Ashed_controlls!$K$12:$K$14)</f>
        <v>2.2816647271287041</v>
      </c>
      <c r="P245" s="257">
        <f t="shared" si="16"/>
        <v>1.919383541429738</v>
      </c>
      <c r="Q245" s="257">
        <f>IFERROR(INDEX('Both teabags AfterDry'!$D$2:$D$2000,MATCH(L245,'Both teabags AfterDry'!$A$2:$A$2000,0)),"")</f>
        <v>1.9572000000000001</v>
      </c>
      <c r="R245" s="257">
        <f>IFERROR(IF(Q245&gt;0,Q245-(TBIcalc!$Q$9),""),"")</f>
        <v>1.8066</v>
      </c>
      <c r="S245" s="268">
        <f>IFERROR(INDEX('Ashed teabags dry'!$K$2:$K$2000,MATCH(L245,'Ashed teabags dry'!$A$2:$A$2000,0)),"")</f>
        <v>2.4928092042184851</v>
      </c>
      <c r="T245" s="268">
        <f t="shared" si="17"/>
        <v>1.7615649089165888</v>
      </c>
      <c r="U245" s="258">
        <f>IF('Dry_Litterbag Placem_Collection'!E26="","",'Dry_Litterbag Placem_Collection'!E26)</f>
        <v>42936</v>
      </c>
      <c r="V245" s="258">
        <f>IF('Dry_Litterbag Placem_Collection'!G26="","",'Dry_Litterbag Placem_Collection'!G26)</f>
        <v>43007</v>
      </c>
      <c r="W245" s="259">
        <f t="shared" si="15"/>
        <v>71</v>
      </c>
      <c r="X245" s="257">
        <f t="shared" si="18"/>
        <v>0.15759999999999996</v>
      </c>
      <c r="Y245" s="257">
        <f t="shared" si="19"/>
        <v>0.1578186325131492</v>
      </c>
      <c r="Z245" s="261">
        <f>IFERROR(INDEX([3]Rainfall_Dry!$O$2:$O$217,MATCH(C245, [3]Rainfall_Dry!$A$2:$A$217,0)),"")</f>
        <v>6.900000125</v>
      </c>
      <c r="AA245" s="250">
        <v>54.080969906906262</v>
      </c>
      <c r="AB245" s="250">
        <v>21.264484651351896</v>
      </c>
      <c r="AC245" s="250">
        <v>24.654545441741845</v>
      </c>
      <c r="AD245" s="251" t="s">
        <v>2654</v>
      </c>
      <c r="AE245" s="250">
        <v>8.8433218334154695</v>
      </c>
      <c r="AF245" t="str">
        <f>IF('WetLitterbags placem_collection'!AB26="","",'WetLitterbags placem_collection'!AB26)</f>
        <v/>
      </c>
      <c r="AG245" t="str">
        <f>IF('WetLitterbags placem_collection'!Z26="","",'WetLitterbags placem_collection'!Z26)</f>
        <v/>
      </c>
      <c r="AH245" s="236" t="str">
        <f>IF('WetLitterbags placem_collection'!AA26="","",'WetLitterbags placem_collection'!AA26)</f>
        <v/>
      </c>
      <c r="AI245" t="str">
        <f>IF('WetLitterbags placem_collection'!AC26="","",'WetLitterbags placem_collection'!AC26)</f>
        <v/>
      </c>
      <c r="AJ245">
        <f>IFERROR(AVERAGE('Dry_Litterbag Placem_Collection'!O26,'Dry_Litterbag Placem_Collection'!R26),"")</f>
        <v>15.6</v>
      </c>
      <c r="AK245" s="261">
        <f>IFERROR(AVERAGE('Dry_Litterbag Placem_Collection'!N26,'Dry_Litterbag Placem_Collection'!Q26),"")</f>
        <v>25.5</v>
      </c>
      <c r="AL245" s="260">
        <f>INDEX([2]Coordinates!$B$2:$B$197,MATCH(I245,[2]Coordinates!$J$2:$J$197,0))</f>
        <v>-3.3853829649999998</v>
      </c>
      <c r="AM245" s="260">
        <f>INDEX([2]Coordinates!$C$2:$C$197,MATCH(I245,[2]Coordinates!$J$2:$J$197,0))</f>
        <v>34.818877980000003</v>
      </c>
      <c r="AN245" s="260" t="str">
        <f>IF(ISNUMBER(SEARCH("C", 'Dry_Litterbag Placem_Collection'!T26)),"YES","NO")</f>
        <v>NO</v>
      </c>
      <c r="AO245" s="260" t="str">
        <f>IF(ISNUMBER(SEARCH("H", 'Dry_Litterbag Placem_Collection'!T26)),"YES","NO")</f>
        <v>NO</v>
      </c>
      <c r="AP245" s="260" t="str">
        <f>IF(ISNUMBER(SEARCH("R", 'Dry_Litterbag Placem_Collection'!T26)),"YES","NO")</f>
        <v>NO</v>
      </c>
    </row>
    <row r="246" spans="1:42" ht="15" customHeight="1">
      <c r="A246" t="s">
        <v>3248</v>
      </c>
      <c r="B246" s="252" t="s">
        <v>2643</v>
      </c>
      <c r="C246" s="253">
        <f>'Dry_Litterbag Placem_Collection'!A27</f>
        <v>25</v>
      </c>
      <c r="D246" s="253" t="str">
        <f>'Dry_Litterbag Placem_Collection'!B27</f>
        <v>Makao</v>
      </c>
      <c r="E246" s="253" t="s">
        <v>2643</v>
      </c>
      <c r="F246" s="253" t="s">
        <v>2644</v>
      </c>
      <c r="G246" s="253">
        <v>4</v>
      </c>
      <c r="H246" s="253" t="s">
        <v>3105</v>
      </c>
      <c r="I246" s="254" t="str">
        <f>'Dry_Litterbag Placem_Collection'!C27</f>
        <v>Dry_Ag4_T1</v>
      </c>
      <c r="J246" s="255" t="s">
        <v>2525</v>
      </c>
      <c r="K246" s="262" t="s">
        <v>298</v>
      </c>
      <c r="L246" s="253" t="str">
        <f>IF(ISBLANK('Dry_Litterbag Placem_Collection'!K27),"","R"&amp;""&amp;'Dry_Litterbag Placem_Collection'!K27)</f>
        <v>R43</v>
      </c>
      <c r="M246" s="257">
        <f>IFERROR(INDEX('Green_rooibos initial weight'!$C$5:$C$2000,MATCH(L246, 'Green_rooibos initial weight'!$A$5:$A$2000,0)),"")</f>
        <v>2.2759999999999998</v>
      </c>
      <c r="N246" s="257">
        <f>IFERROR(M246-(TBIcalc!$Q$9+TBIcalc!$Q$10),"")</f>
        <v>2.0261999999999998</v>
      </c>
      <c r="O246" s="378">
        <f>AVERAGE(Ashed_controlls!$K$12:$K$14)</f>
        <v>2.2816647271287041</v>
      </c>
      <c r="P246" s="257">
        <f t="shared" si="16"/>
        <v>1.9799689092989179</v>
      </c>
      <c r="Q246" s="257">
        <f>IFERROR(INDEX('Both teabags AfterDry'!$D$2:$D$2000,MATCH(L246,'Both teabags AfterDry'!$A$2:$A$2000,0)),"")</f>
        <v>2.0165999999999999</v>
      </c>
      <c r="R246" s="257">
        <f>IFERROR(IF(Q246&gt;0,Q246-(TBIcalc!$Q$9),""),"")</f>
        <v>1.8659999999999999</v>
      </c>
      <c r="S246" s="268">
        <f>IFERROR(INDEX('Ashed teabags dry'!$K$2:$K$2000,MATCH(L246,'Ashed teabags dry'!$A$2:$A$2000,0)),"")</f>
        <v>3.4160037435664092</v>
      </c>
      <c r="T246" s="268">
        <f t="shared" si="17"/>
        <v>1.8022573701450506</v>
      </c>
      <c r="U246" s="258">
        <f>IF('Dry_Litterbag Placem_Collection'!E27="","",'Dry_Litterbag Placem_Collection'!E27)</f>
        <v>42936</v>
      </c>
      <c r="V246" s="258">
        <f>IF('Dry_Litterbag Placem_Collection'!G27="","",'Dry_Litterbag Placem_Collection'!G27)</f>
        <v>43007</v>
      </c>
      <c r="W246" s="259">
        <f t="shared" si="15"/>
        <v>71</v>
      </c>
      <c r="X246" s="257">
        <f t="shared" si="18"/>
        <v>0.1601999999999999</v>
      </c>
      <c r="Y246" s="257">
        <f t="shared" si="19"/>
        <v>0.17771153915386728</v>
      </c>
      <c r="Z246" s="261">
        <f>IFERROR(INDEX([3]Rainfall_Dry!$O$2:$O$217,MATCH(C246, [3]Rainfall_Dry!$A$2:$A$217,0)),"")</f>
        <v>6.900000125</v>
      </c>
      <c r="AA246" s="250">
        <v>51.960000000000008</v>
      </c>
      <c r="AB246" s="250">
        <v>18.919999999999995</v>
      </c>
      <c r="AC246" s="250">
        <v>29.120000000000005</v>
      </c>
      <c r="AD246" s="251" t="s">
        <v>2654</v>
      </c>
      <c r="AE246" s="250">
        <v>1.85293247905372</v>
      </c>
      <c r="AF246" t="str">
        <f>IF('WetLitterbags placem_collection'!AB27="","",'WetLitterbags placem_collection'!AB27)</f>
        <v/>
      </c>
      <c r="AG246" t="str">
        <f>IF('WetLitterbags placem_collection'!Z27="","",'WetLitterbags placem_collection'!Z27)</f>
        <v/>
      </c>
      <c r="AH246" s="236" t="str">
        <f>IF('WetLitterbags placem_collection'!AA27="","",'WetLitterbags placem_collection'!AA27)</f>
        <v/>
      </c>
      <c r="AI246" t="str">
        <f>IF('WetLitterbags placem_collection'!AC27="","",'WetLitterbags placem_collection'!AC27)</f>
        <v/>
      </c>
      <c r="AJ246">
        <f>IFERROR(AVERAGE('Dry_Litterbag Placem_Collection'!O27,'Dry_Litterbag Placem_Collection'!R27),"")</f>
        <v>9.85</v>
      </c>
      <c r="AK246" s="261">
        <f>IFERROR(AVERAGE('Dry_Litterbag Placem_Collection'!N27,'Dry_Litterbag Placem_Collection'!Q27),"")</f>
        <v>25.4</v>
      </c>
      <c r="AL246" s="260">
        <f>INDEX([2]Coordinates!$B$2:$B$197,MATCH(I246,[2]Coordinates!$J$2:$J$197,0))</f>
        <v>-3.3849129919999998</v>
      </c>
      <c r="AM246" s="260">
        <f>INDEX([2]Coordinates!$C$2:$C$197,MATCH(I246,[2]Coordinates!$J$2:$J$197,0))</f>
        <v>34.818899020000003</v>
      </c>
      <c r="AN246" s="260" t="str">
        <f>IF(ISNUMBER(SEARCH("C", 'Dry_Litterbag Placem_Collection'!T27)),"YES","NO")</f>
        <v>NO</v>
      </c>
      <c r="AO246" s="260" t="str">
        <f>IF(ISNUMBER(SEARCH("H", 'Dry_Litterbag Placem_Collection'!T27)),"YES","NO")</f>
        <v>NO</v>
      </c>
      <c r="AP246" s="260" t="str">
        <f>IF(ISNUMBER(SEARCH("R", 'Dry_Litterbag Placem_Collection'!T27)),"YES","NO")</f>
        <v>NO</v>
      </c>
    </row>
    <row r="247" spans="1:42" ht="15" customHeight="1">
      <c r="A247" t="s">
        <v>3248</v>
      </c>
      <c r="B247" s="252" t="s">
        <v>2643</v>
      </c>
      <c r="C247" s="253">
        <f>'Dry_Litterbag Placem_Collection'!A28</f>
        <v>26</v>
      </c>
      <c r="D247" s="253" t="str">
        <f>'Dry_Litterbag Placem_Collection'!B28</f>
        <v>Makao</v>
      </c>
      <c r="E247" s="253" t="s">
        <v>2643</v>
      </c>
      <c r="F247" s="253" t="s">
        <v>2644</v>
      </c>
      <c r="G247" s="253">
        <v>4</v>
      </c>
      <c r="H247" s="253" t="s">
        <v>3105</v>
      </c>
      <c r="I247" s="254" t="str">
        <f>'Dry_Litterbag Placem_Collection'!C28</f>
        <v>Dry_Ag4_T2</v>
      </c>
      <c r="J247" s="255" t="s">
        <v>2525</v>
      </c>
      <c r="K247" s="262" t="s">
        <v>298</v>
      </c>
      <c r="L247" s="253" t="str">
        <f>IF(ISBLANK('Dry_Litterbag Placem_Collection'!K28),"","R"&amp;""&amp;'Dry_Litterbag Placem_Collection'!K28)</f>
        <v>R602</v>
      </c>
      <c r="M247" s="257">
        <f>IFERROR(INDEX('Green_rooibos initial weight'!$C$5:$C$2000,MATCH(L247, 'Green_rooibos initial weight'!$A$5:$A$2000,0)),"")</f>
        <v>2.19</v>
      </c>
      <c r="N247" s="257">
        <f>IFERROR(M247-(TBIcalc!$Q$9+TBIcalc!$Q$10),"")</f>
        <v>1.9401999999999999</v>
      </c>
      <c r="O247" s="378">
        <f>AVERAGE(Ashed_controlls!$K$12:$K$14)</f>
        <v>2.2816647271287041</v>
      </c>
      <c r="P247" s="257">
        <f t="shared" si="16"/>
        <v>1.8959311409642488</v>
      </c>
      <c r="Q247" s="257">
        <f>IFERROR(INDEX('Both teabags AfterDry'!$D$2:$D$2000,MATCH(L247,'Both teabags AfterDry'!$A$2:$A$2000,0)),"")</f>
        <v>1.9849000000000001</v>
      </c>
      <c r="R247" s="257">
        <f>IFERROR(IF(Q247&gt;0,Q247-(TBIcalc!$Q$9),""),"")</f>
        <v>1.8343</v>
      </c>
      <c r="S247" s="268">
        <f>IFERROR(INDEX('Ashed teabags dry'!$K$2:$K$2000,MATCH(L247,'Ashed teabags dry'!$A$2:$A$2000,0)),"")</f>
        <v>2.2760290556907226</v>
      </c>
      <c r="T247" s="268">
        <f t="shared" si="17"/>
        <v>1.7925507990314651</v>
      </c>
      <c r="U247" s="258">
        <f>IF('Dry_Litterbag Placem_Collection'!E28="","",'Dry_Litterbag Placem_Collection'!E28)</f>
        <v>42936</v>
      </c>
      <c r="V247" s="258">
        <f>IF('Dry_Litterbag Placem_Collection'!G28="","",'Dry_Litterbag Placem_Collection'!G28)</f>
        <v>43007</v>
      </c>
      <c r="W247" s="259">
        <f t="shared" si="15"/>
        <v>71</v>
      </c>
      <c r="X247" s="257">
        <f t="shared" si="18"/>
        <v>0.10589999999999988</v>
      </c>
      <c r="Y247" s="257">
        <f t="shared" si="19"/>
        <v>0.10338034193278367</v>
      </c>
      <c r="Z247" s="261">
        <f>IFERROR(INDEX([3]Rainfall_Dry!$O$2:$O$217,MATCH(C247, [3]Rainfall_Dry!$A$2:$A$217,0)),"")</f>
        <v>6.900000125</v>
      </c>
      <c r="AA247" s="250">
        <v>51.960000000000008</v>
      </c>
      <c r="AB247" s="250">
        <v>18.919999999999995</v>
      </c>
      <c r="AC247" s="250">
        <v>29.120000000000005</v>
      </c>
      <c r="AD247" s="251" t="s">
        <v>2654</v>
      </c>
      <c r="AE247" s="250">
        <v>2.8529324790537198</v>
      </c>
      <c r="AF247" t="str">
        <f>IF('WetLitterbags placem_collection'!AB28="","",'WetLitterbags placem_collection'!AB28)</f>
        <v/>
      </c>
      <c r="AG247" t="str">
        <f>IF('WetLitterbags placem_collection'!Z28="","",'WetLitterbags placem_collection'!Z28)</f>
        <v/>
      </c>
      <c r="AH247" s="236" t="str">
        <f>IF('WetLitterbags placem_collection'!AA28="","",'WetLitterbags placem_collection'!AA28)</f>
        <v/>
      </c>
      <c r="AI247" t="str">
        <f>IF('WetLitterbags placem_collection'!AC28="","",'WetLitterbags placem_collection'!AC28)</f>
        <v/>
      </c>
      <c r="AJ247">
        <f>IFERROR(AVERAGE('Dry_Litterbag Placem_Collection'!O28,'Dry_Litterbag Placem_Collection'!R28),"")</f>
        <v>8.1</v>
      </c>
      <c r="AK247" s="261">
        <f>IFERROR(AVERAGE('Dry_Litterbag Placem_Collection'!N28,'Dry_Litterbag Placem_Collection'!Q28),"")</f>
        <v>25.85</v>
      </c>
      <c r="AL247" s="260">
        <f>INDEX([2]Coordinates!$B$2:$B$197,MATCH(I247,[2]Coordinates!$J$2:$J$197,0))</f>
        <v>-3.3849689999999999</v>
      </c>
      <c r="AM247" s="260">
        <f>INDEX([2]Coordinates!$C$2:$C$197,MATCH(I247,[2]Coordinates!$J$2:$J$197,0))</f>
        <v>34.818908</v>
      </c>
      <c r="AN247" s="260" t="str">
        <f>IF(ISNUMBER(SEARCH("C", 'Dry_Litterbag Placem_Collection'!T28)),"YES","NO")</f>
        <v>NO</v>
      </c>
      <c r="AO247" s="260" t="str">
        <f>IF(ISNUMBER(SEARCH("H", 'Dry_Litterbag Placem_Collection'!T28)),"YES","NO")</f>
        <v>NO</v>
      </c>
      <c r="AP247" s="260" t="str">
        <f>IF(ISNUMBER(SEARCH("R", 'Dry_Litterbag Placem_Collection'!T28)),"YES","NO")</f>
        <v>NO</v>
      </c>
    </row>
    <row r="248" spans="1:42" ht="15" customHeight="1">
      <c r="A248" t="s">
        <v>3248</v>
      </c>
      <c r="B248" s="252" t="s">
        <v>2643</v>
      </c>
      <c r="C248" s="253">
        <f>'Dry_Litterbag Placem_Collection'!A29</f>
        <v>27</v>
      </c>
      <c r="D248" s="253" t="str">
        <f>'Dry_Litterbag Placem_Collection'!B29</f>
        <v>Makao</v>
      </c>
      <c r="E248" s="253" t="s">
        <v>2643</v>
      </c>
      <c r="F248" s="253" t="s">
        <v>2644</v>
      </c>
      <c r="G248" s="253">
        <v>4</v>
      </c>
      <c r="H248" s="253" t="s">
        <v>3105</v>
      </c>
      <c r="I248" s="254" t="str">
        <f>'Dry_Litterbag Placem_Collection'!C29</f>
        <v>Dry_Ag4_T3</v>
      </c>
      <c r="J248" s="255" t="s">
        <v>2525</v>
      </c>
      <c r="K248" s="262" t="s">
        <v>298</v>
      </c>
      <c r="L248" s="253" t="str">
        <f>IF(ISBLANK('Dry_Litterbag Placem_Collection'!K29),"","R"&amp;""&amp;'Dry_Litterbag Placem_Collection'!K29)</f>
        <v>R666</v>
      </c>
      <c r="M248" s="257">
        <f>IFERROR(INDEX('Green_rooibos initial weight'!$C$5:$C$2000,MATCH(L248, 'Green_rooibos initial weight'!$A$5:$A$2000,0)),"")</f>
        <v>2.15</v>
      </c>
      <c r="N248" s="257">
        <f>IFERROR(M248-(TBIcalc!$Q$9+TBIcalc!$Q$10),"")</f>
        <v>1.9001999999999999</v>
      </c>
      <c r="O248" s="378">
        <f>AVERAGE(Ashed_controlls!$K$12:$K$14)</f>
        <v>2.2816647271287041</v>
      </c>
      <c r="P248" s="257">
        <f t="shared" si="16"/>
        <v>1.8568438068551003</v>
      </c>
      <c r="Q248" s="257" t="str">
        <f>IFERROR(INDEX('Both teabags AfterDry'!$D$2:$D$2000,MATCH(L248,'Both teabags AfterDry'!$A$2:$A$2000,0)),"")</f>
        <v/>
      </c>
      <c r="R248" s="257" t="str">
        <f>IFERROR(IF(Q248&gt;0,Q248-(TBIcalc!$Q$9),""),"")</f>
        <v/>
      </c>
      <c r="S248" s="268" t="str">
        <f>IFERROR(INDEX('Ashed teabags dry'!$K$2:$K$2000,MATCH(L248,'Ashed teabags dry'!$A$2:$A$2000,0)),"")</f>
        <v/>
      </c>
      <c r="T248" s="268" t="str">
        <f t="shared" si="17"/>
        <v/>
      </c>
      <c r="U248" s="258">
        <f>IF('Dry_Litterbag Placem_Collection'!E29="","",'Dry_Litterbag Placem_Collection'!E29)</f>
        <v>42936</v>
      </c>
      <c r="V248" s="258">
        <f>IF('Dry_Litterbag Placem_Collection'!G29="","",'Dry_Litterbag Placem_Collection'!G29)</f>
        <v>43007</v>
      </c>
      <c r="W248" s="259">
        <f t="shared" si="15"/>
        <v>71</v>
      </c>
      <c r="X248" s="257" t="str">
        <f t="shared" si="18"/>
        <v/>
      </c>
      <c r="Y248" s="257" t="str">
        <f t="shared" si="19"/>
        <v/>
      </c>
      <c r="Z248" s="261">
        <f>IFERROR(INDEX([3]Rainfall_Dry!$O$2:$O$217,MATCH(C248, [3]Rainfall_Dry!$A$2:$A$217,0)),"")</f>
        <v>6.900000125</v>
      </c>
      <c r="AA248" s="250">
        <v>51.960000000000008</v>
      </c>
      <c r="AB248" s="250">
        <v>18.919999999999995</v>
      </c>
      <c r="AC248" s="250">
        <v>29.120000000000005</v>
      </c>
      <c r="AD248" s="251" t="s">
        <v>2654</v>
      </c>
      <c r="AE248" s="250">
        <v>3.8529324790537198</v>
      </c>
      <c r="AF248" t="str">
        <f>IF('WetLitterbags placem_collection'!AB29="","",'WetLitterbags placem_collection'!AB29)</f>
        <v/>
      </c>
      <c r="AG248" t="str">
        <f>IF('WetLitterbags placem_collection'!Z29="","",'WetLitterbags placem_collection'!Z29)</f>
        <v/>
      </c>
      <c r="AH248" s="236" t="str">
        <f>IF('WetLitterbags placem_collection'!AA29="","",'WetLitterbags placem_collection'!AA29)</f>
        <v/>
      </c>
      <c r="AI248" t="str">
        <f>IF('WetLitterbags placem_collection'!AC29="","",'WetLitterbags placem_collection'!AC29)</f>
        <v/>
      </c>
      <c r="AJ248">
        <f>IFERROR(AVERAGE('Dry_Litterbag Placem_Collection'!O29,'Dry_Litterbag Placem_Collection'!R29),"")</f>
        <v>14.1</v>
      </c>
      <c r="AK248" s="261">
        <f>IFERROR(AVERAGE('Dry_Litterbag Placem_Collection'!N29,'Dry_Litterbag Placem_Collection'!Q29),"")</f>
        <v>26.15</v>
      </c>
      <c r="AL248" s="260">
        <f>INDEX([2]Coordinates!$B$2:$B$197,MATCH(I248,[2]Coordinates!$J$2:$J$197,0))</f>
        <v>-3.3849350359999999</v>
      </c>
      <c r="AM248" s="260">
        <f>INDEX([2]Coordinates!$C$2:$C$197,MATCH(I248,[2]Coordinates!$J$2:$J$197,0))</f>
        <v>34.818943019999999</v>
      </c>
      <c r="AN248" s="260" t="str">
        <f>IF(ISNUMBER(SEARCH("C", 'Dry_Litterbag Placem_Collection'!T29)),"YES","NO")</f>
        <v>NO</v>
      </c>
      <c r="AO248" s="260" t="str">
        <f>IF(ISNUMBER(SEARCH("H", 'Dry_Litterbag Placem_Collection'!T29)),"YES","NO")</f>
        <v>NO</v>
      </c>
      <c r="AP248" s="260" t="str">
        <f>IF(ISNUMBER(SEARCH("R", 'Dry_Litterbag Placem_Collection'!T29)),"YES","NO")</f>
        <v>NO</v>
      </c>
    </row>
    <row r="249" spans="1:42" ht="15" customHeight="1">
      <c r="A249" t="s">
        <v>3248</v>
      </c>
      <c r="B249" s="252" t="s">
        <v>2643</v>
      </c>
      <c r="C249" s="253">
        <f>'Dry_Litterbag Placem_Collection'!A30</f>
        <v>28</v>
      </c>
      <c r="D249" s="253" t="str">
        <f>'Dry_Litterbag Placem_Collection'!B30</f>
        <v>Makao</v>
      </c>
      <c r="E249" s="253" t="s">
        <v>2643</v>
      </c>
      <c r="F249" s="253" t="s">
        <v>2644</v>
      </c>
      <c r="G249" s="253">
        <v>4</v>
      </c>
      <c r="H249" s="253" t="s">
        <v>3105</v>
      </c>
      <c r="I249" s="254" t="str">
        <f>'Dry_Litterbag Placem_Collection'!C30</f>
        <v>Dry_Ag4_T4</v>
      </c>
      <c r="J249" s="255" t="s">
        <v>2525</v>
      </c>
      <c r="K249" s="262" t="s">
        <v>298</v>
      </c>
      <c r="L249" s="253" t="str">
        <f>IF(ISBLANK('Dry_Litterbag Placem_Collection'!K30),"","R"&amp;""&amp;'Dry_Litterbag Placem_Collection'!K30)</f>
        <v>R705</v>
      </c>
      <c r="M249" s="257">
        <f>IFERROR(INDEX('Green_rooibos initial weight'!$C$5:$C$2000,MATCH(L249, 'Green_rooibos initial weight'!$A$5:$A$2000,0)),"")</f>
        <v>2.1859999999999999</v>
      </c>
      <c r="N249" s="257">
        <f>IFERROR(M249-(TBIcalc!$Q$9+TBIcalc!$Q$10),"")</f>
        <v>1.9361999999999999</v>
      </c>
      <c r="O249" s="378">
        <f>AVERAGE(Ashed_controlls!$K$12:$K$14)</f>
        <v>2.2816647271287041</v>
      </c>
      <c r="P249" s="257">
        <f t="shared" si="16"/>
        <v>1.8920224075533341</v>
      </c>
      <c r="Q249" s="257">
        <f>IFERROR(INDEX('Both teabags AfterDry'!$D$2:$D$2000,MATCH(L249,'Both teabags AfterDry'!$A$2:$A$2000,0)),"")</f>
        <v>2.0167999999999999</v>
      </c>
      <c r="R249" s="257">
        <f>IFERROR(IF(Q249&gt;0,Q249-(TBIcalc!$Q$9),""),"")</f>
        <v>1.8661999999999999</v>
      </c>
      <c r="S249" s="268">
        <f>IFERROR(INDEX('Ashed teabags dry'!$K$2:$K$2000,MATCH(L249,'Ashed teabags dry'!$A$2:$A$2000,0)),"")</f>
        <v>3.6201222378937139</v>
      </c>
      <c r="T249" s="268">
        <f t="shared" si="17"/>
        <v>1.7986412787964274</v>
      </c>
      <c r="U249" s="258">
        <f>IF('Dry_Litterbag Placem_Collection'!E30="","",'Dry_Litterbag Placem_Collection'!E30)</f>
        <v>42936</v>
      </c>
      <c r="V249" s="258">
        <f>IF('Dry_Litterbag Placem_Collection'!G30="","",'Dry_Litterbag Placem_Collection'!G30)</f>
        <v>43007</v>
      </c>
      <c r="W249" s="259">
        <f t="shared" si="15"/>
        <v>71</v>
      </c>
      <c r="X249" s="257">
        <f t="shared" si="18"/>
        <v>7.0000000000000062E-2</v>
      </c>
      <c r="Y249" s="257">
        <f t="shared" si="19"/>
        <v>9.3381128756906628E-2</v>
      </c>
      <c r="Z249" s="261">
        <f>IFERROR(INDEX([3]Rainfall_Dry!$O$2:$O$217,MATCH(C249, [3]Rainfall_Dry!$A$2:$A$217,0)),"")</f>
        <v>6.900000125</v>
      </c>
      <c r="AA249" s="250">
        <v>51.960000000000008</v>
      </c>
      <c r="AB249" s="250">
        <v>18.919999999999995</v>
      </c>
      <c r="AC249" s="250">
        <v>29.120000000000005</v>
      </c>
      <c r="AD249" s="251" t="s">
        <v>2654</v>
      </c>
      <c r="AE249" s="250">
        <v>4.8529324790537203</v>
      </c>
      <c r="AF249" t="str">
        <f>IF('WetLitterbags placem_collection'!AB30="","",'WetLitterbags placem_collection'!AB30)</f>
        <v/>
      </c>
      <c r="AG249" t="str">
        <f>IF('WetLitterbags placem_collection'!Z30="","",'WetLitterbags placem_collection'!Z30)</f>
        <v/>
      </c>
      <c r="AH249" s="236" t="str">
        <f>IF('WetLitterbags placem_collection'!AA30="","",'WetLitterbags placem_collection'!AA30)</f>
        <v/>
      </c>
      <c r="AI249" t="str">
        <f>IF('WetLitterbags placem_collection'!AC30="","",'WetLitterbags placem_collection'!AC30)</f>
        <v/>
      </c>
      <c r="AJ249">
        <f>IFERROR(AVERAGE('Dry_Litterbag Placem_Collection'!O30,'Dry_Litterbag Placem_Collection'!R30),"")</f>
        <v>9.1000000000000014</v>
      </c>
      <c r="AK249" s="261">
        <f>IFERROR(AVERAGE('Dry_Litterbag Placem_Collection'!N30,'Dry_Litterbag Placem_Collection'!Q30),"")</f>
        <v>25.700000000000003</v>
      </c>
      <c r="AL249" s="260">
        <f>INDEX([2]Coordinates!$B$2:$B$197,MATCH(I249,[2]Coordinates!$J$2:$J$197,0))</f>
        <v>-3.3850070369999998</v>
      </c>
      <c r="AM249" s="260">
        <f>INDEX([2]Coordinates!$C$2:$C$197,MATCH(I249,[2]Coordinates!$J$2:$J$197,0))</f>
        <v>34.818888960000002</v>
      </c>
      <c r="AN249" s="260" t="str">
        <f>IF(ISNUMBER(SEARCH("C", 'Dry_Litterbag Placem_Collection'!T30)),"YES","NO")</f>
        <v>NO</v>
      </c>
      <c r="AO249" s="260" t="str">
        <f>IF(ISNUMBER(SEARCH("H", 'Dry_Litterbag Placem_Collection'!T30)),"YES","NO")</f>
        <v>NO</v>
      </c>
      <c r="AP249" s="260" t="str">
        <f>IF(ISNUMBER(SEARCH("R", 'Dry_Litterbag Placem_Collection'!T30)),"YES","NO")</f>
        <v>NO</v>
      </c>
    </row>
    <row r="250" spans="1:42" ht="15" customHeight="1">
      <c r="A250" t="s">
        <v>3248</v>
      </c>
      <c r="B250" s="252" t="s">
        <v>2643</v>
      </c>
      <c r="C250" s="253">
        <f>'Dry_Litterbag Placem_Collection'!A31</f>
        <v>29</v>
      </c>
      <c r="D250" s="253" t="str">
        <f>'Dry_Litterbag Placem_Collection'!B31</f>
        <v>Makao</v>
      </c>
      <c r="E250" s="253" t="s">
        <v>2643</v>
      </c>
      <c r="F250" s="253" t="s">
        <v>2644</v>
      </c>
      <c r="G250" s="253">
        <v>4</v>
      </c>
      <c r="H250" s="253" t="s">
        <v>3105</v>
      </c>
      <c r="I250" s="254" t="str">
        <f>'Dry_Litterbag Placem_Collection'!C31</f>
        <v>Dry_Ag4_T5</v>
      </c>
      <c r="J250" s="255" t="s">
        <v>2525</v>
      </c>
      <c r="K250" s="262" t="s">
        <v>298</v>
      </c>
      <c r="L250" s="253" t="str">
        <f>IF(ISBLANK('Dry_Litterbag Placem_Collection'!K31),"","R"&amp;""&amp;'Dry_Litterbag Placem_Collection'!K31)</f>
        <v>R305</v>
      </c>
      <c r="M250" s="257">
        <f>IFERROR(INDEX('Green_rooibos initial weight'!$C$5:$C$2000,MATCH(L250, 'Green_rooibos initial weight'!$A$5:$A$2000,0)),"")</f>
        <v>2.2829999999999999</v>
      </c>
      <c r="N250" s="257">
        <f>IFERROR(M250-(TBIcalc!$Q$9+TBIcalc!$Q$10),"")</f>
        <v>2.0331999999999999</v>
      </c>
      <c r="O250" s="378">
        <f>AVERAGE(Ashed_controlls!$K$12:$K$14)</f>
        <v>2.2816647271287041</v>
      </c>
      <c r="P250" s="257">
        <f t="shared" si="16"/>
        <v>1.9868091927680191</v>
      </c>
      <c r="Q250" s="257">
        <f>IFERROR(INDEX('Both teabags AfterDry'!$D$2:$D$2000,MATCH(L250,'Both teabags AfterDry'!$A$2:$A$2000,0)),"")</f>
        <v>2.0718999999999999</v>
      </c>
      <c r="R250" s="257">
        <f>IFERROR(IF(Q250&gt;0,Q250-(TBIcalc!$Q$9),""),"")</f>
        <v>1.9212999999999998</v>
      </c>
      <c r="S250" s="268">
        <f>IFERROR(INDEX('Ashed teabags dry'!$K$2:$K$2000,MATCH(L250,'Ashed teabags dry'!$A$2:$A$2000,0)),"")</f>
        <v>2.7534965034964429</v>
      </c>
      <c r="T250" s="268">
        <f t="shared" si="17"/>
        <v>1.8683970716783227</v>
      </c>
      <c r="U250" s="258">
        <f>IF('Dry_Litterbag Placem_Collection'!E31="","",'Dry_Litterbag Placem_Collection'!E31)</f>
        <v>42936</v>
      </c>
      <c r="V250" s="258">
        <f>IF('Dry_Litterbag Placem_Collection'!G31="","",'Dry_Litterbag Placem_Collection'!G31)</f>
        <v>43007</v>
      </c>
      <c r="W250" s="259">
        <f t="shared" si="15"/>
        <v>71</v>
      </c>
      <c r="X250" s="257">
        <f t="shared" si="18"/>
        <v>0.11190000000000011</v>
      </c>
      <c r="Y250" s="257">
        <f t="shared" si="19"/>
        <v>0.11841212108969645</v>
      </c>
      <c r="Z250" s="261">
        <f>IFERROR(INDEX([3]Rainfall_Dry!$O$2:$O$217,MATCH(C250, [3]Rainfall_Dry!$A$2:$A$217,0)),"")</f>
        <v>6.900000125</v>
      </c>
      <c r="AA250" s="250">
        <v>51.960000000000008</v>
      </c>
      <c r="AB250" s="250">
        <v>18.919999999999995</v>
      </c>
      <c r="AC250" s="250">
        <v>29.120000000000005</v>
      </c>
      <c r="AD250" s="251" t="s">
        <v>2654</v>
      </c>
      <c r="AE250" s="250">
        <v>5.8529324790537203</v>
      </c>
      <c r="AF250" t="str">
        <f>IF('WetLitterbags placem_collection'!AB31="","",'WetLitterbags placem_collection'!AB31)</f>
        <v/>
      </c>
      <c r="AG250" t="str">
        <f>IF('WetLitterbags placem_collection'!Z31="","",'WetLitterbags placem_collection'!Z31)</f>
        <v/>
      </c>
      <c r="AH250" s="236" t="str">
        <f>IF('WetLitterbags placem_collection'!AA31="","",'WetLitterbags placem_collection'!AA31)</f>
        <v/>
      </c>
      <c r="AI250" t="str">
        <f>IF('WetLitterbags placem_collection'!AC31="","",'WetLitterbags placem_collection'!AC31)</f>
        <v/>
      </c>
      <c r="AJ250">
        <f>IFERROR(AVERAGE('Dry_Litterbag Placem_Collection'!O31,'Dry_Litterbag Placem_Collection'!R31),"")</f>
        <v>15.15</v>
      </c>
      <c r="AK250" s="261">
        <f>IFERROR(AVERAGE('Dry_Litterbag Placem_Collection'!N31,'Dry_Litterbag Placem_Collection'!Q31),"")</f>
        <v>25.65</v>
      </c>
      <c r="AL250" s="260">
        <f>INDEX([2]Coordinates!$B$2:$B$197,MATCH(I250,[2]Coordinates!$J$2:$J$197,0))</f>
        <v>-3.3849480280000002</v>
      </c>
      <c r="AM250" s="260">
        <f>INDEX([2]Coordinates!$C$2:$C$197,MATCH(I250,[2]Coordinates!$J$2:$J$197,0))</f>
        <v>34.818854010000003</v>
      </c>
      <c r="AN250" s="260" t="str">
        <f>IF(ISNUMBER(SEARCH("C", 'Dry_Litterbag Placem_Collection'!T31)),"YES","NO")</f>
        <v>NO</v>
      </c>
      <c r="AO250" s="260" t="str">
        <f>IF(ISNUMBER(SEARCH("H", 'Dry_Litterbag Placem_Collection'!T31)),"YES","NO")</f>
        <v>NO</v>
      </c>
      <c r="AP250" s="260" t="str">
        <f>IF(ISNUMBER(SEARCH("R", 'Dry_Litterbag Placem_Collection'!T31)),"YES","NO")</f>
        <v>NO</v>
      </c>
    </row>
    <row r="251" spans="1:42" ht="15" customHeight="1">
      <c r="A251" t="s">
        <v>3248</v>
      </c>
      <c r="B251" s="252" t="s">
        <v>2643</v>
      </c>
      <c r="C251" s="253">
        <f>'Dry_Litterbag Placem_Collection'!A32</f>
        <v>30</v>
      </c>
      <c r="D251" s="253" t="str">
        <f>'Dry_Litterbag Placem_Collection'!B32</f>
        <v>Makao</v>
      </c>
      <c r="E251" s="253" t="s">
        <v>2643</v>
      </c>
      <c r="F251" s="253" t="s">
        <v>2644</v>
      </c>
      <c r="G251" s="253">
        <v>4</v>
      </c>
      <c r="H251" s="253" t="s">
        <v>3105</v>
      </c>
      <c r="I251" s="254" t="str">
        <f>'Dry_Litterbag Placem_Collection'!C32</f>
        <v>Dry_Ag4_T6</v>
      </c>
      <c r="J251" s="255" t="s">
        <v>2525</v>
      </c>
      <c r="K251" s="262" t="s">
        <v>298</v>
      </c>
      <c r="L251" s="253" t="str">
        <f>IF(ISBLANK('Dry_Litterbag Placem_Collection'!K32),"","R"&amp;""&amp;'Dry_Litterbag Placem_Collection'!K32)</f>
        <v>R667</v>
      </c>
      <c r="M251" s="257">
        <f>IFERROR(INDEX('Green_rooibos initial weight'!$C$5:$C$2000,MATCH(L251, 'Green_rooibos initial weight'!$A$5:$A$2000,0)),"")</f>
        <v>2.1949999999999998</v>
      </c>
      <c r="N251" s="257">
        <f>IFERROR(M251-(TBIcalc!$Q$9+TBIcalc!$Q$10),"")</f>
        <v>1.9451999999999998</v>
      </c>
      <c r="O251" s="378">
        <f>AVERAGE(Ashed_controlls!$K$12:$K$14)</f>
        <v>2.2816647271287041</v>
      </c>
      <c r="P251" s="257">
        <f t="shared" si="16"/>
        <v>1.9008170577278922</v>
      </c>
      <c r="Q251" s="257">
        <f>IFERROR(INDEX('Both teabags AfterDry'!$D$2:$D$2000,MATCH(L251,'Both teabags AfterDry'!$A$2:$A$2000,0)),"")</f>
        <v>2.0158999999999998</v>
      </c>
      <c r="R251" s="257">
        <f>IFERROR(IF(Q251&gt;0,Q251-(TBIcalc!$Q$9),""),"")</f>
        <v>1.8652999999999997</v>
      </c>
      <c r="S251" s="268">
        <f>IFERROR(INDEX('Ashed teabags dry'!$K$2:$K$2000,MATCH(L251,'Ashed teabags dry'!$A$2:$A$2000,0)),"")</f>
        <v>2.0813623462635014</v>
      </c>
      <c r="T251" s="268">
        <f t="shared" si="17"/>
        <v>1.8264763481551467</v>
      </c>
      <c r="U251" s="258">
        <f>IF('Dry_Litterbag Placem_Collection'!E32="","",'Dry_Litterbag Placem_Collection'!E32)</f>
        <v>42936</v>
      </c>
      <c r="V251" s="258">
        <f>IF('Dry_Litterbag Placem_Collection'!G32="","",'Dry_Litterbag Placem_Collection'!G32)</f>
        <v>43007</v>
      </c>
      <c r="W251" s="259">
        <f t="shared" si="15"/>
        <v>71</v>
      </c>
      <c r="X251" s="257">
        <f t="shared" si="18"/>
        <v>7.9900000000000082E-2</v>
      </c>
      <c r="Y251" s="257">
        <f t="shared" si="19"/>
        <v>7.4340709572745522E-2</v>
      </c>
      <c r="Z251" s="261">
        <f>IFERROR(INDEX([3]Rainfall_Dry!$O$2:$O$217,MATCH(C251, [3]Rainfall_Dry!$A$2:$A$217,0)),"")</f>
        <v>6.900000125</v>
      </c>
      <c r="AA251" s="250">
        <v>51.960000000000008</v>
      </c>
      <c r="AB251" s="250">
        <v>18.919999999999995</v>
      </c>
      <c r="AC251" s="250">
        <v>29.120000000000005</v>
      </c>
      <c r="AD251" s="251" t="s">
        <v>2654</v>
      </c>
      <c r="AE251" s="250">
        <v>6.8529324790537203</v>
      </c>
      <c r="AF251" t="str">
        <f>IF('WetLitterbags placem_collection'!AB32="","",'WetLitterbags placem_collection'!AB32)</f>
        <v/>
      </c>
      <c r="AG251" t="str">
        <f>IF('WetLitterbags placem_collection'!Z32="","",'WetLitterbags placem_collection'!Z32)</f>
        <v/>
      </c>
      <c r="AH251" s="236" t="str">
        <f>IF('WetLitterbags placem_collection'!AA32="","",'WetLitterbags placem_collection'!AA32)</f>
        <v/>
      </c>
      <c r="AI251" t="str">
        <f>IF('WetLitterbags placem_collection'!AC32="","",'WetLitterbags placem_collection'!AC32)</f>
        <v/>
      </c>
      <c r="AJ251">
        <f>IFERROR(AVERAGE('Dry_Litterbag Placem_Collection'!O32,'Dry_Litterbag Placem_Collection'!R32),"")</f>
        <v>9.3000000000000007</v>
      </c>
      <c r="AK251" s="261">
        <f>IFERROR(AVERAGE('Dry_Litterbag Placem_Collection'!N32,'Dry_Litterbag Placem_Collection'!Q32),"")</f>
        <v>24</v>
      </c>
      <c r="AL251" s="260">
        <f>INDEX([2]Coordinates!$B$2:$B$197,MATCH(I251,[2]Coordinates!$J$2:$J$197,0))</f>
        <v>-3.38496496</v>
      </c>
      <c r="AM251" s="260">
        <f>INDEX([2]Coordinates!$C$2:$C$197,MATCH(I251,[2]Coordinates!$J$2:$J$197,0))</f>
        <v>34.818790970000002</v>
      </c>
      <c r="AN251" s="260" t="str">
        <f>IF(ISNUMBER(SEARCH("C", 'Dry_Litterbag Placem_Collection'!T32)),"YES","NO")</f>
        <v>NO</v>
      </c>
      <c r="AO251" s="260" t="str">
        <f>IF(ISNUMBER(SEARCH("H", 'Dry_Litterbag Placem_Collection'!T32)),"YES","NO")</f>
        <v>NO</v>
      </c>
      <c r="AP251" s="260" t="str">
        <f>IF(ISNUMBER(SEARCH("R", 'Dry_Litterbag Placem_Collection'!T32)),"YES","NO")</f>
        <v>NO</v>
      </c>
    </row>
    <row r="252" spans="1:42" ht="15" customHeight="1">
      <c r="A252" t="s">
        <v>3248</v>
      </c>
      <c r="B252" s="252" t="s">
        <v>2643</v>
      </c>
      <c r="C252" s="253">
        <f>'Dry_Litterbag Placem_Collection'!A33</f>
        <v>31</v>
      </c>
      <c r="D252" s="253" t="str">
        <f>'Dry_Litterbag Placem_Collection'!B33</f>
        <v>Makao</v>
      </c>
      <c r="E252" s="253" t="s">
        <v>2643</v>
      </c>
      <c r="F252" s="253" t="s">
        <v>2644</v>
      </c>
      <c r="G252" s="253">
        <v>4</v>
      </c>
      <c r="H252" s="253" t="s">
        <v>3105</v>
      </c>
      <c r="I252" s="254" t="str">
        <f>'Dry_Litterbag Placem_Collection'!C33</f>
        <v>Dry_Ag4_T7</v>
      </c>
      <c r="J252" s="255" t="s">
        <v>2525</v>
      </c>
      <c r="K252" s="262" t="s">
        <v>298</v>
      </c>
      <c r="L252" s="253" t="str">
        <f>IF(ISBLANK('Dry_Litterbag Placem_Collection'!K33),"","R"&amp;""&amp;'Dry_Litterbag Placem_Collection'!K33)</f>
        <v/>
      </c>
      <c r="M252" s="257" t="str">
        <f>IFERROR(INDEX('Green_rooibos initial weight'!$C$5:$C$2000,MATCH(L252, 'Green_rooibos initial weight'!$A$5:$A$2000,0)),"")</f>
        <v/>
      </c>
      <c r="N252" s="257" t="str">
        <f>IFERROR(M252-(TBIcalc!$Q$9+TBIcalc!$Q$10),"")</f>
        <v/>
      </c>
      <c r="O252" s="378">
        <f>AVERAGE(Ashed_controlls!$K$12:$K$14)</f>
        <v>2.2816647271287041</v>
      </c>
      <c r="P252" s="257" t="str">
        <f t="shared" si="16"/>
        <v/>
      </c>
      <c r="Q252" s="257" t="str">
        <f>IFERROR(INDEX('Both teabags AfterDry'!$D$2:$D$2000,MATCH(L252,'Both teabags AfterDry'!$A$2:$A$2000,0)),"")</f>
        <v/>
      </c>
      <c r="R252" s="257" t="str">
        <f>IFERROR(IF(Q252&gt;0,Q252-(TBIcalc!$Q$9),""),"")</f>
        <v/>
      </c>
      <c r="S252" s="268" t="str">
        <f>IFERROR(INDEX('Ashed teabags dry'!$K$2:$K$2000,MATCH(L252,'Ashed teabags dry'!$A$2:$A$2000,0)),"")</f>
        <v/>
      </c>
      <c r="T252" s="268" t="str">
        <f t="shared" si="17"/>
        <v/>
      </c>
      <c r="U252" s="258" t="str">
        <f>IF('Dry_Litterbag Placem_Collection'!E33="","",'Dry_Litterbag Placem_Collection'!E33)</f>
        <v/>
      </c>
      <c r="V252" s="258" t="str">
        <f>IF('Dry_Litterbag Placem_Collection'!G33="","",'Dry_Litterbag Placem_Collection'!G33)</f>
        <v/>
      </c>
      <c r="W252" s="259" t="str">
        <f t="shared" si="15"/>
        <v/>
      </c>
      <c r="X252" s="257" t="str">
        <f t="shared" si="18"/>
        <v/>
      </c>
      <c r="Y252" s="257" t="str">
        <f t="shared" si="19"/>
        <v/>
      </c>
      <c r="Z252" s="261" t="str">
        <f>IFERROR(INDEX([3]Rainfall_Dry!$O$2:$O$217,MATCH(C252, [3]Rainfall_Dry!$A$2:$A$217,0)),"")</f>
        <v/>
      </c>
      <c r="AA252" s="250">
        <v>51.960000000000008</v>
      </c>
      <c r="AB252" s="250">
        <v>18.919999999999995</v>
      </c>
      <c r="AC252" s="250">
        <v>29.120000000000005</v>
      </c>
      <c r="AD252" s="251" t="s">
        <v>2654</v>
      </c>
      <c r="AE252" s="250">
        <v>7.8529324790537203</v>
      </c>
      <c r="AF252" t="str">
        <f>IF('WetLitterbags placem_collection'!AB33="","",'WetLitterbags placem_collection'!AB33)</f>
        <v/>
      </c>
      <c r="AG252" t="str">
        <f>IF('WetLitterbags placem_collection'!Z33="","",'WetLitterbags placem_collection'!Z33)</f>
        <v/>
      </c>
      <c r="AH252" s="236" t="str">
        <f>IF('WetLitterbags placem_collection'!AA33="","",'WetLitterbags placem_collection'!AA33)</f>
        <v/>
      </c>
      <c r="AI252" t="str">
        <f>IF('WetLitterbags placem_collection'!AC33="","",'WetLitterbags placem_collection'!AC33)</f>
        <v/>
      </c>
      <c r="AJ252" t="str">
        <f>IFERROR(AVERAGE('Dry_Litterbag Placem_Collection'!O33,'Dry_Litterbag Placem_Collection'!R33),"")</f>
        <v/>
      </c>
      <c r="AK252" s="261" t="str">
        <f>IFERROR(AVERAGE('Dry_Litterbag Placem_Collection'!N33,'Dry_Litterbag Placem_Collection'!Q33),"")</f>
        <v/>
      </c>
      <c r="AL252" s="260">
        <f>INDEX([2]Coordinates!$B$2:$B$197,MATCH(I252,[2]Coordinates!$J$2:$J$197,0))</f>
        <v>-3.3848409909999999</v>
      </c>
      <c r="AM252" s="260">
        <f>INDEX([2]Coordinates!$C$2:$C$197,MATCH(I252,[2]Coordinates!$J$2:$J$197,0))</f>
        <v>34.818838999999997</v>
      </c>
      <c r="AN252" s="260" t="str">
        <f>IF(ISNUMBER(SEARCH("C", 'Dry_Litterbag Placem_Collection'!T33)),"YES","NO")</f>
        <v>NO</v>
      </c>
      <c r="AO252" s="260" t="str">
        <f>IF(ISNUMBER(SEARCH("H", 'Dry_Litterbag Placem_Collection'!T33)),"YES","NO")</f>
        <v>NO</v>
      </c>
      <c r="AP252" s="260" t="str">
        <f>IF(ISNUMBER(SEARCH("R", 'Dry_Litterbag Placem_Collection'!T33)),"YES","NO")</f>
        <v>NO</v>
      </c>
    </row>
    <row r="253" spans="1:42" ht="15" customHeight="1">
      <c r="A253" t="s">
        <v>3248</v>
      </c>
      <c r="B253" s="252" t="s">
        <v>2643</v>
      </c>
      <c r="C253" s="253">
        <f>'Dry_Litterbag Placem_Collection'!A34</f>
        <v>32</v>
      </c>
      <c r="D253" s="253" t="str">
        <f>'Dry_Litterbag Placem_Collection'!B34</f>
        <v>Makao</v>
      </c>
      <c r="E253" s="253" t="s">
        <v>2643</v>
      </c>
      <c r="F253" s="253" t="s">
        <v>2644</v>
      </c>
      <c r="G253" s="253">
        <v>4</v>
      </c>
      <c r="H253" s="253" t="s">
        <v>3105</v>
      </c>
      <c r="I253" s="254" t="str">
        <f>'Dry_Litterbag Placem_Collection'!C34</f>
        <v>Dry_Ag4_T8</v>
      </c>
      <c r="J253" s="255" t="s">
        <v>2525</v>
      </c>
      <c r="K253" s="262" t="s">
        <v>298</v>
      </c>
      <c r="L253" s="253" t="str">
        <f>IF(ISBLANK('Dry_Litterbag Placem_Collection'!K34),"","R"&amp;""&amp;'Dry_Litterbag Placem_Collection'!K34)</f>
        <v>R743</v>
      </c>
      <c r="M253" s="257">
        <f>IFERROR(INDEX('Green_rooibos initial weight'!$C$5:$C$2000,MATCH(L253, 'Green_rooibos initial weight'!$A$5:$A$2000,0)),"")</f>
        <v>2.2480000000000002</v>
      </c>
      <c r="N253" s="257">
        <f>IFERROR(M253-(TBIcalc!$Q$9+TBIcalc!$Q$10),"")</f>
        <v>1.9982000000000002</v>
      </c>
      <c r="O253" s="378">
        <f>AVERAGE(Ashed_controlls!$K$12:$K$14)</f>
        <v>2.2816647271287041</v>
      </c>
      <c r="P253" s="257">
        <f t="shared" si="16"/>
        <v>1.9526077754225144</v>
      </c>
      <c r="Q253" s="257">
        <f>IFERROR(INDEX('Both teabags AfterDry'!$D$2:$D$2000,MATCH(L253,'Both teabags AfterDry'!$A$2:$A$2000,0)),"")</f>
        <v>1.9944999999999999</v>
      </c>
      <c r="R253" s="257">
        <f>IFERROR(IF(Q253&gt;0,Q253-(TBIcalc!$Q$9),""),"")</f>
        <v>1.8438999999999999</v>
      </c>
      <c r="S253" s="268">
        <f>IFERROR(INDEX('Ashed teabags dry'!$K$2:$K$2000,MATCH(L253,'Ashed teabags dry'!$A$2:$A$2000,0)),"")</f>
        <v>3.3151904997520401</v>
      </c>
      <c r="T253" s="268">
        <f t="shared" si="17"/>
        <v>1.7827712023750719</v>
      </c>
      <c r="U253" s="258">
        <f>IF('Dry_Litterbag Placem_Collection'!E34="","",'Dry_Litterbag Placem_Collection'!E34)</f>
        <v>42936</v>
      </c>
      <c r="V253" s="258">
        <f>IF('Dry_Litterbag Placem_Collection'!G34="","",'Dry_Litterbag Placem_Collection'!G34)</f>
        <v>43007</v>
      </c>
      <c r="W253" s="259">
        <f t="shared" si="15"/>
        <v>71</v>
      </c>
      <c r="X253" s="257">
        <f t="shared" si="18"/>
        <v>0.15430000000000033</v>
      </c>
      <c r="Y253" s="257">
        <f t="shared" si="19"/>
        <v>0.16983657304744249</v>
      </c>
      <c r="Z253" s="261">
        <f>IFERROR(INDEX([3]Rainfall_Dry!$O$2:$O$217,MATCH(C253, [3]Rainfall_Dry!$A$2:$A$217,0)),"")</f>
        <v>6.900000125</v>
      </c>
      <c r="AA253" s="250">
        <v>51.960000000000008</v>
      </c>
      <c r="AB253" s="250">
        <v>18.919999999999995</v>
      </c>
      <c r="AC253" s="250">
        <v>29.120000000000005</v>
      </c>
      <c r="AD253" s="251" t="s">
        <v>2654</v>
      </c>
      <c r="AE253" s="250">
        <v>8.8529324790537203</v>
      </c>
      <c r="AF253" t="str">
        <f>IF('WetLitterbags placem_collection'!AB34="","",'WetLitterbags placem_collection'!AB34)</f>
        <v/>
      </c>
      <c r="AG253" t="str">
        <f>IF('WetLitterbags placem_collection'!Z34="","",'WetLitterbags placem_collection'!Z34)</f>
        <v/>
      </c>
      <c r="AH253" s="236" t="str">
        <f>IF('WetLitterbags placem_collection'!AA34="","",'WetLitterbags placem_collection'!AA34)</f>
        <v/>
      </c>
      <c r="AI253" t="str">
        <f>IF('WetLitterbags placem_collection'!AC34="","",'WetLitterbags placem_collection'!AC34)</f>
        <v/>
      </c>
      <c r="AJ253">
        <f>IFERROR(AVERAGE('Dry_Litterbag Placem_Collection'!O34,'Dry_Litterbag Placem_Collection'!R34),"")</f>
        <v>11.850000000000001</v>
      </c>
      <c r="AK253" s="261">
        <f>IFERROR(AVERAGE('Dry_Litterbag Placem_Collection'!N34,'Dry_Litterbag Placem_Collection'!Q34),"")</f>
        <v>25.45</v>
      </c>
      <c r="AL253" s="260">
        <f>INDEX([2]Coordinates!$B$2:$B$197,MATCH(I253,[2]Coordinates!$J$2:$J$197,0))</f>
        <v>-3.3849010060000002</v>
      </c>
      <c r="AM253" s="260">
        <f>INDEX([2]Coordinates!$C$2:$C$197,MATCH(I253,[2]Coordinates!$J$2:$J$197,0))</f>
        <v>34.818979990000003</v>
      </c>
      <c r="AN253" s="260" t="str">
        <f>IF(ISNUMBER(SEARCH("C", 'Dry_Litterbag Placem_Collection'!T34)),"YES","NO")</f>
        <v>NO</v>
      </c>
      <c r="AO253" s="260" t="str">
        <f>IF(ISNUMBER(SEARCH("H", 'Dry_Litterbag Placem_Collection'!T34)),"YES","NO")</f>
        <v>NO</v>
      </c>
      <c r="AP253" s="260" t="str">
        <f>IF(ISNUMBER(SEARCH("R", 'Dry_Litterbag Placem_Collection'!T34)),"YES","NO")</f>
        <v>NO</v>
      </c>
    </row>
    <row r="254" spans="1:42" ht="15" customHeight="1">
      <c r="A254" t="s">
        <v>3248</v>
      </c>
      <c r="B254" s="252" t="s">
        <v>2643</v>
      </c>
      <c r="C254" s="253">
        <f>'Dry_Litterbag Placem_Collection'!A35</f>
        <v>33</v>
      </c>
      <c r="D254" s="253" t="str">
        <f>'Dry_Litterbag Placem_Collection'!B35</f>
        <v>Makao</v>
      </c>
      <c r="E254" s="253" t="s">
        <v>2643</v>
      </c>
      <c r="F254" s="253" t="s">
        <v>20</v>
      </c>
      <c r="G254" s="253">
        <v>1</v>
      </c>
      <c r="H254" s="253" t="s">
        <v>3106</v>
      </c>
      <c r="I254" s="254" t="str">
        <f>'Dry_Litterbag Placem_Collection'!C35</f>
        <v>Dry_P1_T1</v>
      </c>
      <c r="J254" s="255" t="s">
        <v>2525</v>
      </c>
      <c r="K254" s="262" t="s">
        <v>298</v>
      </c>
      <c r="L254" s="253" t="str">
        <f>IF(ISBLANK('Dry_Litterbag Placem_Collection'!K35),"","R"&amp;""&amp;'Dry_Litterbag Placem_Collection'!K35)</f>
        <v>R769</v>
      </c>
      <c r="M254" s="257">
        <f>IFERROR(INDEX('Green_rooibos initial weight'!$C$5:$C$2000,MATCH(L254, 'Green_rooibos initial weight'!$A$5:$A$2000,0)),"")</f>
        <v>2.2480000000000002</v>
      </c>
      <c r="N254" s="257">
        <f>IFERROR(M254-(TBIcalc!$Q$9+TBIcalc!$Q$10),"")</f>
        <v>1.9982000000000002</v>
      </c>
      <c r="O254" s="378">
        <f>AVERAGE(Ashed_controlls!$K$12:$K$14)</f>
        <v>2.2816647271287041</v>
      </c>
      <c r="P254" s="257">
        <f t="shared" si="16"/>
        <v>1.9526077754225144</v>
      </c>
      <c r="Q254" s="257">
        <f>IFERROR(INDEX('Both teabags AfterDry'!$D$2:$D$2000,MATCH(L254,'Both teabags AfterDry'!$A$2:$A$2000,0)),"")</f>
        <v>1.9911000000000001</v>
      </c>
      <c r="R254" s="257">
        <f>IFERROR(IF(Q254&gt;0,Q254-(TBIcalc!$Q$9),""),"")</f>
        <v>1.8405</v>
      </c>
      <c r="S254" s="268">
        <f>IFERROR(INDEX('Ashed teabags dry'!$K$2:$K$2000,MATCH(L254,'Ashed teabags dry'!$A$2:$A$2000,0)),"")</f>
        <v>2.7544351073765245</v>
      </c>
      <c r="T254" s="268">
        <f t="shared" si="17"/>
        <v>1.7898046218487351</v>
      </c>
      <c r="U254" s="258">
        <f>IF('Dry_Litterbag Placem_Collection'!E35="","",'Dry_Litterbag Placem_Collection'!E35)</f>
        <v>42938</v>
      </c>
      <c r="V254" s="258">
        <f>IF('Dry_Litterbag Placem_Collection'!G35="","",'Dry_Litterbag Placem_Collection'!G35)</f>
        <v>43005</v>
      </c>
      <c r="W254" s="259">
        <f t="shared" si="15"/>
        <v>67</v>
      </c>
      <c r="X254" s="257">
        <f t="shared" si="18"/>
        <v>0.15770000000000017</v>
      </c>
      <c r="Y254" s="257">
        <f t="shared" si="19"/>
        <v>0.16280315357377928</v>
      </c>
      <c r="Z254" s="261">
        <f>IFERROR(INDEX([3]Rainfall_Dry!$O$2:$O$217,MATCH(C254, [3]Rainfall_Dry!$A$2:$A$217,0)),"")</f>
        <v>6.5250000359999998</v>
      </c>
      <c r="AA254" s="250">
        <v>23.96</v>
      </c>
      <c r="AB254" s="250">
        <v>0.91999999999999804</v>
      </c>
      <c r="AC254" s="250">
        <v>75.12</v>
      </c>
      <c r="AD254" s="251" t="s">
        <v>2651</v>
      </c>
      <c r="AE254" s="250">
        <v>1.2493839329719072</v>
      </c>
      <c r="AF254">
        <f>IF('WetLitterbags placem_collection'!AB35="","",'WetLitterbags placem_collection'!AB35)</f>
        <v>9.5</v>
      </c>
      <c r="AG254">
        <f>IF('WetLitterbags placem_collection'!Z35="","",'WetLitterbags placem_collection'!Z35)</f>
        <v>17.2</v>
      </c>
      <c r="AH254" s="236" t="str">
        <f>IF('WetLitterbags placem_collection'!AA35="","",'WetLitterbags placem_collection'!AA35)</f>
        <v>G</v>
      </c>
      <c r="AI254">
        <f>IF('WetLitterbags placem_collection'!AC35="","",'WetLitterbags placem_collection'!AC35)</f>
        <v>0</v>
      </c>
      <c r="AJ254">
        <f>IFERROR(AVERAGE('Dry_Litterbag Placem_Collection'!O35,'Dry_Litterbag Placem_Collection'!R35),"")</f>
        <v>1.65</v>
      </c>
      <c r="AK254" s="261">
        <f>IFERROR(AVERAGE('Dry_Litterbag Placem_Collection'!N35,'Dry_Litterbag Placem_Collection'!Q35),"")</f>
        <v>26.15</v>
      </c>
      <c r="AL254" s="260">
        <f>INDEX([2]Coordinates!$B$2:$B$197,MATCH(I254,[2]Coordinates!$J$2:$J$197,0))</f>
        <v>-3.4092039989999998</v>
      </c>
      <c r="AM254" s="260">
        <f>INDEX([2]Coordinates!$C$2:$C$197,MATCH(I254,[2]Coordinates!$J$2:$J$197,0))</f>
        <v>34.852751009999999</v>
      </c>
      <c r="AN254" s="260" t="str">
        <f>IF(ISNUMBER(SEARCH("C", 'Dry_Litterbag Placem_Collection'!T35)),"YES","NO")</f>
        <v>NO</v>
      </c>
      <c r="AO254" s="260" t="str">
        <f>IF(ISNUMBER(SEARCH("H", 'Dry_Litterbag Placem_Collection'!T35)),"YES","NO")</f>
        <v>NO</v>
      </c>
      <c r="AP254" s="260" t="str">
        <f>IF(ISNUMBER(SEARCH("R", 'Dry_Litterbag Placem_Collection'!T35)),"YES","NO")</f>
        <v>NO</v>
      </c>
    </row>
    <row r="255" spans="1:42" ht="15" customHeight="1">
      <c r="A255" t="s">
        <v>3248</v>
      </c>
      <c r="B255" s="252" t="s">
        <v>2643</v>
      </c>
      <c r="C255" s="253">
        <f>'Dry_Litterbag Placem_Collection'!A36</f>
        <v>34</v>
      </c>
      <c r="D255" s="253" t="str">
        <f>'Dry_Litterbag Placem_Collection'!B36</f>
        <v>Makao</v>
      </c>
      <c r="E255" s="253" t="s">
        <v>2643</v>
      </c>
      <c r="F255" s="253" t="s">
        <v>20</v>
      </c>
      <c r="G255" s="253">
        <v>1</v>
      </c>
      <c r="H255" s="253" t="s">
        <v>3106</v>
      </c>
      <c r="I255" s="254" t="str">
        <f>'Dry_Litterbag Placem_Collection'!C36</f>
        <v>Dry_P1_T2</v>
      </c>
      <c r="J255" s="255" t="s">
        <v>2525</v>
      </c>
      <c r="K255" s="262" t="s">
        <v>298</v>
      </c>
      <c r="L255" s="253" t="str">
        <f>IF(ISBLANK('Dry_Litterbag Placem_Collection'!K36),"","R"&amp;""&amp;'Dry_Litterbag Placem_Collection'!K36)</f>
        <v>R753</v>
      </c>
      <c r="M255" s="257">
        <f>IFERROR(INDEX('Green_rooibos initial weight'!$C$5:$C$2000,MATCH(L255, 'Green_rooibos initial weight'!$A$5:$A$2000,0)),"")</f>
        <v>2.2400000000000002</v>
      </c>
      <c r="N255" s="257">
        <f>IFERROR(M255-(TBIcalc!$Q$9+TBIcalc!$Q$10),"")</f>
        <v>1.9902000000000002</v>
      </c>
      <c r="O255" s="378">
        <f>AVERAGE(Ashed_controlls!$K$12:$K$14)</f>
        <v>2.2816647271287041</v>
      </c>
      <c r="P255" s="257">
        <f t="shared" si="16"/>
        <v>1.9447903086006848</v>
      </c>
      <c r="Q255" s="257" t="str">
        <f>IFERROR(INDEX('Both teabags AfterDry'!$D$2:$D$2000,MATCH(L255,'Both teabags AfterDry'!$A$2:$A$2000,0)),"")</f>
        <v/>
      </c>
      <c r="R255" s="257" t="str">
        <f>IFERROR(IF(Q255&gt;0,Q255-(TBIcalc!$Q$9),""),"")</f>
        <v/>
      </c>
      <c r="S255" s="268" t="str">
        <f>IFERROR(INDEX('Ashed teabags dry'!$K$2:$K$2000,MATCH(L255,'Ashed teabags dry'!$A$2:$A$2000,0)),"")</f>
        <v/>
      </c>
      <c r="T255" s="268" t="str">
        <f t="shared" si="17"/>
        <v/>
      </c>
      <c r="U255" s="258">
        <f>IF('Dry_Litterbag Placem_Collection'!E36="","",'Dry_Litterbag Placem_Collection'!E36)</f>
        <v>42938</v>
      </c>
      <c r="V255" s="258">
        <f>IF('Dry_Litterbag Placem_Collection'!G36="","",'Dry_Litterbag Placem_Collection'!G36)</f>
        <v>43005</v>
      </c>
      <c r="W255" s="259">
        <f t="shared" si="15"/>
        <v>67</v>
      </c>
      <c r="X255" s="257" t="str">
        <f t="shared" si="18"/>
        <v/>
      </c>
      <c r="Y255" s="257" t="str">
        <f t="shared" si="19"/>
        <v/>
      </c>
      <c r="Z255" s="261">
        <f>IFERROR(INDEX([3]Rainfall_Dry!$O$2:$O$217,MATCH(C255, [3]Rainfall_Dry!$A$2:$A$217,0)),"")</f>
        <v>6.5250000359999998</v>
      </c>
      <c r="AA255" s="250">
        <v>23.96</v>
      </c>
      <c r="AB255" s="250">
        <v>0.91999999999999804</v>
      </c>
      <c r="AC255" s="250">
        <v>75.12</v>
      </c>
      <c r="AD255" s="251" t="s">
        <v>2651</v>
      </c>
      <c r="AE255" s="250">
        <v>1.2493839329719072</v>
      </c>
      <c r="AF255">
        <f>IF('WetLitterbags placem_collection'!AB36="","",'WetLitterbags placem_collection'!AB36)</f>
        <v>6.5</v>
      </c>
      <c r="AG255">
        <f>IF('WetLitterbags placem_collection'!Z36="","",'WetLitterbags placem_collection'!Z36)</f>
        <v>14.2</v>
      </c>
      <c r="AH255" s="236" t="str">
        <f>IF('WetLitterbags placem_collection'!AA36="","",'WetLitterbags placem_collection'!AA36)</f>
        <v>G</v>
      </c>
      <c r="AI255">
        <f>IF('WetLitterbags placem_collection'!AC36="","",'WetLitterbags placem_collection'!AC36)</f>
        <v>0</v>
      </c>
      <c r="AJ255">
        <f>IFERROR(AVERAGE('Dry_Litterbag Placem_Collection'!O36,'Dry_Litterbag Placem_Collection'!R36),"")</f>
        <v>3.25</v>
      </c>
      <c r="AK255" s="261">
        <f>IFERROR(AVERAGE('Dry_Litterbag Placem_Collection'!N36,'Dry_Litterbag Placem_Collection'!Q36),"")</f>
        <v>26.9</v>
      </c>
      <c r="AL255" s="260">
        <f>INDEX([2]Coordinates!$B$2:$B$197,MATCH(I255,[2]Coordinates!$J$2:$J$197,0))</f>
        <v>-3.4092350119999999</v>
      </c>
      <c r="AM255" s="260">
        <f>INDEX([2]Coordinates!$C$2:$C$197,MATCH(I255,[2]Coordinates!$J$2:$J$197,0))</f>
        <v>34.852782019999999</v>
      </c>
      <c r="AN255" s="260" t="str">
        <f>IF(ISNUMBER(SEARCH("C", 'Dry_Litterbag Placem_Collection'!T36)),"YES","NO")</f>
        <v>NO</v>
      </c>
      <c r="AO255" s="260" t="str">
        <f>IF(ISNUMBER(SEARCH("H", 'Dry_Litterbag Placem_Collection'!T36)),"YES","NO")</f>
        <v>NO</v>
      </c>
      <c r="AP255" s="260" t="str">
        <f>IF(ISNUMBER(SEARCH("R", 'Dry_Litterbag Placem_Collection'!T36)),"YES","NO")</f>
        <v>NO</v>
      </c>
    </row>
    <row r="256" spans="1:42" ht="15" customHeight="1">
      <c r="A256" t="s">
        <v>3248</v>
      </c>
      <c r="B256" s="252" t="s">
        <v>2643</v>
      </c>
      <c r="C256" s="253">
        <f>'Dry_Litterbag Placem_Collection'!A37</f>
        <v>35</v>
      </c>
      <c r="D256" s="253" t="str">
        <f>'Dry_Litterbag Placem_Collection'!B37</f>
        <v>Makao</v>
      </c>
      <c r="E256" s="253" t="s">
        <v>2643</v>
      </c>
      <c r="F256" s="253" t="s">
        <v>20</v>
      </c>
      <c r="G256" s="253">
        <v>1</v>
      </c>
      <c r="H256" s="253" t="s">
        <v>3106</v>
      </c>
      <c r="I256" s="254" t="str">
        <f>'Dry_Litterbag Placem_Collection'!C37</f>
        <v>Dry_P1_T3</v>
      </c>
      <c r="J256" s="255" t="s">
        <v>2525</v>
      </c>
      <c r="K256" s="262" t="s">
        <v>298</v>
      </c>
      <c r="L256" s="253" t="str">
        <f>IF(ISBLANK('Dry_Litterbag Placem_Collection'!K37),"","R"&amp;""&amp;'Dry_Litterbag Placem_Collection'!K37)</f>
        <v>R776</v>
      </c>
      <c r="M256" s="257">
        <f>IFERROR(INDEX('Green_rooibos initial weight'!$C$5:$C$2000,MATCH(L256, 'Green_rooibos initial weight'!$A$5:$A$2000,0)),"")</f>
        <v>2.1989999999999998</v>
      </c>
      <c r="N256" s="257">
        <f>IFERROR(M256-(TBIcalc!$Q$9+TBIcalc!$Q$10),"")</f>
        <v>1.9491999999999998</v>
      </c>
      <c r="O256" s="378">
        <f>AVERAGE(Ashed_controlls!$K$12:$K$14)</f>
        <v>2.2816647271287041</v>
      </c>
      <c r="P256" s="257">
        <f t="shared" si="16"/>
        <v>1.9047257911388071</v>
      </c>
      <c r="Q256" s="257">
        <f>IFERROR(INDEX('Both teabags AfterDry'!$D$2:$D$2000,MATCH(L256,'Both teabags AfterDry'!$A$2:$A$2000,0)),"")</f>
        <v>1.9447000000000001</v>
      </c>
      <c r="R256" s="257">
        <f>IFERROR(IF(Q256&gt;0,Q256-(TBIcalc!$Q$9),""),"")</f>
        <v>1.7941</v>
      </c>
      <c r="S256" s="268">
        <f>IFERROR(INDEX('Ashed teabags dry'!$K$2:$K$2000,MATCH(L256,'Ashed teabags dry'!$A$2:$A$2000,0)),"")</f>
        <v>3.3316506814742248</v>
      </c>
      <c r="T256" s="268">
        <f t="shared" si="17"/>
        <v>1.734326855123671</v>
      </c>
      <c r="U256" s="258">
        <f>IF('Dry_Litterbag Placem_Collection'!E37="","",'Dry_Litterbag Placem_Collection'!E37)</f>
        <v>42938</v>
      </c>
      <c r="V256" s="258">
        <f>IF('Dry_Litterbag Placem_Collection'!G37="","",'Dry_Litterbag Placem_Collection'!G37)</f>
        <v>43005</v>
      </c>
      <c r="W256" s="259">
        <f t="shared" si="15"/>
        <v>67</v>
      </c>
      <c r="X256" s="257">
        <f t="shared" si="18"/>
        <v>0.15509999999999979</v>
      </c>
      <c r="Y256" s="257">
        <f t="shared" si="19"/>
        <v>0.17039893601513612</v>
      </c>
      <c r="Z256" s="261">
        <f>IFERROR(INDEX([3]Rainfall_Dry!$O$2:$O$217,MATCH(C256, [3]Rainfall_Dry!$A$2:$A$217,0)),"")</f>
        <v>6.5250000359999998</v>
      </c>
      <c r="AA256" s="250">
        <v>23.96</v>
      </c>
      <c r="AB256" s="250">
        <v>0.91999999999999804</v>
      </c>
      <c r="AC256" s="250">
        <v>75.12</v>
      </c>
      <c r="AD256" s="251" t="s">
        <v>2651</v>
      </c>
      <c r="AE256" s="250">
        <v>1.2493839329719072</v>
      </c>
      <c r="AF256">
        <f>IF('WetLitterbags placem_collection'!AB37="","",'WetLitterbags placem_collection'!AB37)</f>
        <v>0.7</v>
      </c>
      <c r="AG256">
        <f>IF('WetLitterbags placem_collection'!Z37="","",'WetLitterbags placem_collection'!Z37)</f>
        <v>10.6</v>
      </c>
      <c r="AH256" s="236" t="str">
        <f>IF('WetLitterbags placem_collection'!AA37="","",'WetLitterbags placem_collection'!AA37)</f>
        <v>G</v>
      </c>
      <c r="AI256">
        <f>IF('WetLitterbags placem_collection'!AC37="","",'WetLitterbags placem_collection'!AC37)</f>
        <v>0</v>
      </c>
      <c r="AJ256">
        <f>IFERROR(AVERAGE('Dry_Litterbag Placem_Collection'!O37,'Dry_Litterbag Placem_Collection'!R37),"")</f>
        <v>3.35</v>
      </c>
      <c r="AK256" s="261">
        <f>IFERROR(AVERAGE('Dry_Litterbag Placem_Collection'!N37,'Dry_Litterbag Placem_Collection'!Q37),"")</f>
        <v>26.95</v>
      </c>
      <c r="AL256" s="260">
        <f>INDEX([2]Coordinates!$B$2:$B$197,MATCH(I256,[2]Coordinates!$J$2:$J$197,0))</f>
        <v>-3.409177009</v>
      </c>
      <c r="AM256" s="260">
        <f>INDEX([2]Coordinates!$C$2:$C$197,MATCH(I256,[2]Coordinates!$J$2:$J$197,0))</f>
        <v>34.852818990000003</v>
      </c>
      <c r="AN256" s="260" t="str">
        <f>IF(ISNUMBER(SEARCH("C", 'Dry_Litterbag Placem_Collection'!T37)),"YES","NO")</f>
        <v>NO</v>
      </c>
      <c r="AO256" s="260" t="str">
        <f>IF(ISNUMBER(SEARCH("H", 'Dry_Litterbag Placem_Collection'!T37)),"YES","NO")</f>
        <v>NO</v>
      </c>
      <c r="AP256" s="260" t="str">
        <f>IF(ISNUMBER(SEARCH("R", 'Dry_Litterbag Placem_Collection'!T37)),"YES","NO")</f>
        <v>NO</v>
      </c>
    </row>
    <row r="257" spans="1:42" ht="15" customHeight="1">
      <c r="A257" t="s">
        <v>3248</v>
      </c>
      <c r="B257" s="252" t="s">
        <v>2643</v>
      </c>
      <c r="C257" s="253">
        <f>'Dry_Litterbag Placem_Collection'!A38</f>
        <v>36</v>
      </c>
      <c r="D257" s="253" t="str">
        <f>'Dry_Litterbag Placem_Collection'!B38</f>
        <v>Makao</v>
      </c>
      <c r="E257" s="253" t="s">
        <v>2643</v>
      </c>
      <c r="F257" s="253" t="s">
        <v>20</v>
      </c>
      <c r="G257" s="253">
        <v>1</v>
      </c>
      <c r="H257" s="253" t="s">
        <v>3106</v>
      </c>
      <c r="I257" s="254" t="str">
        <f>'Dry_Litterbag Placem_Collection'!C38</f>
        <v>Dry_P1_T4</v>
      </c>
      <c r="J257" s="255" t="s">
        <v>2525</v>
      </c>
      <c r="K257" s="262" t="s">
        <v>298</v>
      </c>
      <c r="L257" s="253" t="str">
        <f>IF(ISBLANK('Dry_Litterbag Placem_Collection'!K38),"","R"&amp;""&amp;'Dry_Litterbag Placem_Collection'!K38)</f>
        <v>R799</v>
      </c>
      <c r="M257" s="257">
        <f>IFERROR(INDEX('Green_rooibos initial weight'!$C$5:$C$2000,MATCH(L257, 'Green_rooibos initial weight'!$A$5:$A$2000,0)),"")</f>
        <v>2.2040000000000002</v>
      </c>
      <c r="N257" s="257">
        <f>IFERROR(M257-(TBIcalc!$Q$9+TBIcalc!$Q$10),"")</f>
        <v>1.9542000000000002</v>
      </c>
      <c r="O257" s="378">
        <f>AVERAGE(Ashed_controlls!$K$12:$K$14)</f>
        <v>2.2816647271287041</v>
      </c>
      <c r="P257" s="257">
        <f t="shared" si="16"/>
        <v>1.909611707902451</v>
      </c>
      <c r="Q257" s="257">
        <f>IFERROR(INDEX('Both teabags AfterDry'!$D$2:$D$2000,MATCH(L257,'Both teabags AfterDry'!$A$2:$A$2000,0)),"")</f>
        <v>1.3494999999999999</v>
      </c>
      <c r="R257" s="257">
        <f>IFERROR(IF(Q257&gt;0,Q257-(TBIcalc!$Q$9),""),"")</f>
        <v>1.1988999999999999</v>
      </c>
      <c r="S257" s="268">
        <f>IFERROR(INDEX('Ashed teabags dry'!$K$2:$K$2000,MATCH(L257,'Ashed teabags dry'!$A$2:$A$2000,0)),"")</f>
        <v>96.616541353382999</v>
      </c>
      <c r="T257" s="268">
        <f t="shared" si="17"/>
        <v>4.0564285714291159E-2</v>
      </c>
      <c r="U257" s="258">
        <f>IF('Dry_Litterbag Placem_Collection'!E38="","",'Dry_Litterbag Placem_Collection'!E38)</f>
        <v>42938</v>
      </c>
      <c r="V257" s="258">
        <f>IF('Dry_Litterbag Placem_Collection'!G38="","",'Dry_Litterbag Placem_Collection'!G38)</f>
        <v>43005</v>
      </c>
      <c r="W257" s="259">
        <f t="shared" si="15"/>
        <v>67</v>
      </c>
      <c r="X257" s="257">
        <f t="shared" si="18"/>
        <v>0.7553000000000003</v>
      </c>
      <c r="Y257" s="257">
        <f t="shared" si="19"/>
        <v>1.8690474221881599</v>
      </c>
      <c r="Z257" s="261">
        <f>IFERROR(INDEX([3]Rainfall_Dry!$O$2:$O$217,MATCH(C257, [3]Rainfall_Dry!$A$2:$A$217,0)),"")</f>
        <v>6.5250000359999998</v>
      </c>
      <c r="AA257" s="250">
        <v>23.96</v>
      </c>
      <c r="AB257" s="250">
        <v>0.91999999999999804</v>
      </c>
      <c r="AC257" s="250">
        <v>75.12</v>
      </c>
      <c r="AD257" s="251" t="s">
        <v>2651</v>
      </c>
      <c r="AE257" s="250">
        <v>1.2493839329719072</v>
      </c>
      <c r="AF257">
        <f>IF('WetLitterbags placem_collection'!AB38="","",'WetLitterbags placem_collection'!AB38)</f>
        <v>3.3</v>
      </c>
      <c r="AG257">
        <f>IF('WetLitterbags placem_collection'!Z38="","",'WetLitterbags placem_collection'!Z38)</f>
        <v>4.9000000000000004</v>
      </c>
      <c r="AH257" s="236" t="str">
        <f>IF('WetLitterbags placem_collection'!AA38="","",'WetLitterbags placem_collection'!AA38)</f>
        <v>G</v>
      </c>
      <c r="AI257">
        <f>IF('WetLitterbags placem_collection'!AC38="","",'WetLitterbags placem_collection'!AC38)</f>
        <v>1</v>
      </c>
      <c r="AJ257">
        <f>IFERROR(AVERAGE('Dry_Litterbag Placem_Collection'!O38,'Dry_Litterbag Placem_Collection'!R38),"")</f>
        <v>3</v>
      </c>
      <c r="AK257" s="261">
        <f>IFERROR(AVERAGE('Dry_Litterbag Placem_Collection'!N38,'Dry_Litterbag Placem_Collection'!Q38),"")</f>
        <v>25.85</v>
      </c>
      <c r="AL257" s="260">
        <f>INDEX([2]Coordinates!$B$2:$B$197,MATCH(I257,[2]Coordinates!$J$2:$J$197,0))</f>
        <v>-3.40917198</v>
      </c>
      <c r="AM257" s="260">
        <f>INDEX([2]Coordinates!$C$2:$C$197,MATCH(I257,[2]Coordinates!$J$2:$J$197,0))</f>
        <v>34.852960979999999</v>
      </c>
      <c r="AN257" s="260" t="str">
        <f>IF(ISNUMBER(SEARCH("C", 'Dry_Litterbag Placem_Collection'!T38)),"YES","NO")</f>
        <v>YES</v>
      </c>
      <c r="AO257" s="260" t="str">
        <f>IF(ISNUMBER(SEARCH("H", 'Dry_Litterbag Placem_Collection'!T38)),"YES","NO")</f>
        <v>YES</v>
      </c>
      <c r="AP257" s="260" t="str">
        <f>IF(ISNUMBER(SEARCH("R", 'Dry_Litterbag Placem_Collection'!T38)),"YES","NO")</f>
        <v>NO</v>
      </c>
    </row>
    <row r="258" spans="1:42" ht="15" customHeight="1">
      <c r="A258" t="s">
        <v>3248</v>
      </c>
      <c r="B258" s="252" t="s">
        <v>2643</v>
      </c>
      <c r="C258" s="253">
        <f>'Dry_Litterbag Placem_Collection'!A39</f>
        <v>37</v>
      </c>
      <c r="D258" s="253" t="str">
        <f>'Dry_Litterbag Placem_Collection'!B39</f>
        <v>Makao</v>
      </c>
      <c r="E258" s="253" t="s">
        <v>2643</v>
      </c>
      <c r="F258" s="253" t="s">
        <v>20</v>
      </c>
      <c r="G258" s="253">
        <v>1</v>
      </c>
      <c r="H258" s="253" t="s">
        <v>3106</v>
      </c>
      <c r="I258" s="254" t="str">
        <f>'Dry_Litterbag Placem_Collection'!C39</f>
        <v>Dry_P1_T5</v>
      </c>
      <c r="J258" s="255" t="s">
        <v>2525</v>
      </c>
      <c r="K258" s="262" t="s">
        <v>298</v>
      </c>
      <c r="L258" s="253" t="str">
        <f>IF(ISBLANK('Dry_Litterbag Placem_Collection'!K39),"","R"&amp;""&amp;'Dry_Litterbag Placem_Collection'!K39)</f>
        <v>R722</v>
      </c>
      <c r="M258" s="257">
        <f>IFERROR(INDEX('Green_rooibos initial weight'!$C$5:$C$2000,MATCH(L258, 'Green_rooibos initial weight'!$A$5:$A$2000,0)),"")</f>
        <v>2.2069999999999999</v>
      </c>
      <c r="N258" s="257">
        <f>IFERROR(M258-(TBIcalc!$Q$9+TBIcalc!$Q$10),"")</f>
        <v>1.9571999999999998</v>
      </c>
      <c r="O258" s="378">
        <f>AVERAGE(Ashed_controlls!$K$12:$K$14)</f>
        <v>2.2816647271287041</v>
      </c>
      <c r="P258" s="257">
        <f t="shared" si="16"/>
        <v>1.9125432579606367</v>
      </c>
      <c r="Q258" s="257">
        <f>IFERROR(INDEX('Both teabags AfterDry'!$D$2:$D$2000,MATCH(L258,'Both teabags AfterDry'!$A$2:$A$2000,0)),"")</f>
        <v>0.13320000000000001</v>
      </c>
      <c r="R258" s="257">
        <f>IFERROR(IF(Q258&gt;0,Q258-(TBIcalc!$Q$9),""),"")</f>
        <v>-1.7399999999999999E-2</v>
      </c>
      <c r="S258" s="268">
        <f>IFERROR(INDEX('Ashed teabags dry'!$K$2:$K$2000,MATCH(L258,'Ashed teabags dry'!$A$2:$A$2000,0)),"")</f>
        <v>96.545105566220045</v>
      </c>
      <c r="T258" s="268">
        <f t="shared" si="17"/>
        <v>-6.0115163147771156E-4</v>
      </c>
      <c r="U258" s="258">
        <f>IF('Dry_Litterbag Placem_Collection'!E39="","",'Dry_Litterbag Placem_Collection'!E39)</f>
        <v>42938</v>
      </c>
      <c r="V258" s="258">
        <f>IF('Dry_Litterbag Placem_Collection'!G39="","",'Dry_Litterbag Placem_Collection'!G39)</f>
        <v>43005</v>
      </c>
      <c r="W258" s="259">
        <f t="shared" ref="W258:W321" si="20">IFERROR(V258-U258,"")</f>
        <v>67</v>
      </c>
      <c r="X258" s="257">
        <f t="shared" si="18"/>
        <v>1.9745999999999999</v>
      </c>
      <c r="Y258" s="257">
        <f t="shared" si="19"/>
        <v>1.9131444095921144</v>
      </c>
      <c r="Z258" s="261">
        <f>IFERROR(INDEX([3]Rainfall_Dry!$O$2:$O$217,MATCH(C258, [3]Rainfall_Dry!$A$2:$A$217,0)),"")</f>
        <v>6.5250000359999998</v>
      </c>
      <c r="AA258" s="250">
        <v>23.96</v>
      </c>
      <c r="AB258" s="250">
        <v>0.91999999999999804</v>
      </c>
      <c r="AC258" s="250">
        <v>75.12</v>
      </c>
      <c r="AD258" s="251" t="s">
        <v>2651</v>
      </c>
      <c r="AE258" s="250">
        <v>1.2493839329719072</v>
      </c>
      <c r="AF258">
        <f>IF('WetLitterbags placem_collection'!AB39="","",'WetLitterbags placem_collection'!AB39)</f>
        <v>8.3000000000000007</v>
      </c>
      <c r="AG258">
        <f>IF('WetLitterbags placem_collection'!Z39="","",'WetLitterbags placem_collection'!Z39)</f>
        <v>27.8</v>
      </c>
      <c r="AH258" s="236" t="str">
        <f>IF('WetLitterbags placem_collection'!AA39="","",'WetLitterbags placem_collection'!AA39)</f>
        <v>G</v>
      </c>
      <c r="AI258">
        <f>IF('WetLitterbags placem_collection'!AC39="","",'WetLitterbags placem_collection'!AC39)</f>
        <v>0</v>
      </c>
      <c r="AJ258">
        <f>IFERROR(AVERAGE('Dry_Litterbag Placem_Collection'!O39,'Dry_Litterbag Placem_Collection'!R39),"")</f>
        <v>4.25</v>
      </c>
      <c r="AK258" s="261">
        <f>IFERROR(AVERAGE('Dry_Litterbag Placem_Collection'!N39,'Dry_Litterbag Placem_Collection'!Q39),"")</f>
        <v>26.1</v>
      </c>
      <c r="AL258" s="260">
        <f>INDEX([2]Coordinates!$B$2:$B$197,MATCH(I258,[2]Coordinates!$J$2:$J$197,0))</f>
        <v>-3.4090709779999999</v>
      </c>
      <c r="AM258" s="260">
        <f>INDEX([2]Coordinates!$C$2:$C$197,MATCH(I258,[2]Coordinates!$J$2:$J$197,0))</f>
        <v>34.852712029999999</v>
      </c>
      <c r="AN258" s="260" t="str">
        <f>IF(ISNUMBER(SEARCH("C", 'Dry_Litterbag Placem_Collection'!T39)),"YES","NO")</f>
        <v>YES</v>
      </c>
      <c r="AO258" s="260" t="str">
        <f>IF(ISNUMBER(SEARCH("H", 'Dry_Litterbag Placem_Collection'!T39)),"YES","NO")</f>
        <v>YES</v>
      </c>
      <c r="AP258" s="260" t="str">
        <f>IF(ISNUMBER(SEARCH("R", 'Dry_Litterbag Placem_Collection'!T39)),"YES","NO")</f>
        <v>NO</v>
      </c>
    </row>
    <row r="259" spans="1:42" ht="15" customHeight="1">
      <c r="A259" t="s">
        <v>3248</v>
      </c>
      <c r="B259" s="252" t="s">
        <v>2643</v>
      </c>
      <c r="C259" s="253">
        <f>'Dry_Litterbag Placem_Collection'!A40</f>
        <v>38</v>
      </c>
      <c r="D259" s="253" t="str">
        <f>'Dry_Litterbag Placem_Collection'!B40</f>
        <v>Makao</v>
      </c>
      <c r="E259" s="253" t="s">
        <v>2643</v>
      </c>
      <c r="F259" s="253" t="s">
        <v>20</v>
      </c>
      <c r="G259" s="253">
        <v>1</v>
      </c>
      <c r="H259" s="253" t="s">
        <v>3106</v>
      </c>
      <c r="I259" s="254" t="str">
        <f>'Dry_Litterbag Placem_Collection'!C40</f>
        <v>Dry_P1_T6</v>
      </c>
      <c r="J259" s="255" t="s">
        <v>2525</v>
      </c>
      <c r="K259" s="262" t="s">
        <v>298</v>
      </c>
      <c r="L259" s="253" t="str">
        <f>IF(ISBLANK('Dry_Litterbag Placem_Collection'!K40),"","R"&amp;""&amp;'Dry_Litterbag Placem_Collection'!K40)</f>
        <v>R796</v>
      </c>
      <c r="M259" s="257">
        <f>IFERROR(INDEX('Green_rooibos initial weight'!$C$5:$C$2000,MATCH(L259, 'Green_rooibos initial weight'!$A$5:$A$2000,0)),"")</f>
        <v>2.2360000000000002</v>
      </c>
      <c r="N259" s="257">
        <f>IFERROR(M259-(TBIcalc!$Q$9+TBIcalc!$Q$10),"")</f>
        <v>1.9862000000000002</v>
      </c>
      <c r="O259" s="378">
        <f>AVERAGE(Ashed_controlls!$K$12:$K$14)</f>
        <v>2.2816647271287041</v>
      </c>
      <c r="P259" s="257">
        <f t="shared" ref="P259:P322" si="21">IFERROR(N259-(O259/100)*N259,"")</f>
        <v>1.9408815751897699</v>
      </c>
      <c r="Q259" s="257">
        <f>IFERROR(INDEX('Both teabags AfterDry'!$D$2:$D$2000,MATCH(L259,'Both teabags AfterDry'!$A$2:$A$2000,0)),"")</f>
        <v>1.9076</v>
      </c>
      <c r="R259" s="257">
        <f>IFERROR(IF(Q259&gt;0,Q259-(TBIcalc!$Q$9),""),"")</f>
        <v>1.7569999999999999</v>
      </c>
      <c r="S259" s="268">
        <f>IFERROR(INDEX('Ashed teabags dry'!$K$2:$K$2000,MATCH(L259,'Ashed teabags dry'!$A$2:$A$2000,0)),"")</f>
        <v>4.810004810006216</v>
      </c>
      <c r="T259" s="268">
        <f t="shared" ref="T259:T322" si="22">IFERROR(R259-(S259/100)*R259,"")</f>
        <v>1.6724882154881906</v>
      </c>
      <c r="U259" s="258">
        <f>IF('Dry_Litterbag Placem_Collection'!E40="","",'Dry_Litterbag Placem_Collection'!E40)</f>
        <v>42938</v>
      </c>
      <c r="V259" s="258">
        <f>IF('Dry_Litterbag Placem_Collection'!G40="","",'Dry_Litterbag Placem_Collection'!G40)</f>
        <v>43005</v>
      </c>
      <c r="W259" s="259">
        <f t="shared" si="20"/>
        <v>67</v>
      </c>
      <c r="X259" s="257">
        <f t="shared" ref="X259:X322" si="23">IFERROR(N259-R259,"")</f>
        <v>0.22920000000000029</v>
      </c>
      <c r="Y259" s="257">
        <f t="shared" ref="Y259:Y322" si="24">IFERROR(P259-T259,"")</f>
        <v>0.26839335970157929</v>
      </c>
      <c r="Z259" s="261">
        <f>IFERROR(INDEX([3]Rainfall_Dry!$O$2:$O$217,MATCH(C259, [3]Rainfall_Dry!$A$2:$A$217,0)),"")</f>
        <v>6.5250000359999998</v>
      </c>
      <c r="AA259" s="250">
        <v>23.96</v>
      </c>
      <c r="AB259" s="250">
        <v>0.91999999999999804</v>
      </c>
      <c r="AC259" s="250">
        <v>75.12</v>
      </c>
      <c r="AD259" s="251" t="s">
        <v>2651</v>
      </c>
      <c r="AE259" s="250">
        <v>1.2493839329719072</v>
      </c>
      <c r="AF259">
        <f>IF('WetLitterbags placem_collection'!AB40="","",'WetLitterbags placem_collection'!AB40)</f>
        <v>2</v>
      </c>
      <c r="AG259">
        <f>IF('WetLitterbags placem_collection'!Z40="","",'WetLitterbags placem_collection'!Z40)</f>
        <v>20.399999999999999</v>
      </c>
      <c r="AH259" s="236" t="str">
        <f>IF('WetLitterbags placem_collection'!AA40="","",'WetLitterbags placem_collection'!AA40)</f>
        <v>O</v>
      </c>
      <c r="AI259">
        <f>IF('WetLitterbags placem_collection'!AC40="","",'WetLitterbags placem_collection'!AC40)</f>
        <v>0</v>
      </c>
      <c r="AJ259">
        <f>IFERROR(AVERAGE('Dry_Litterbag Placem_Collection'!O40,'Dry_Litterbag Placem_Collection'!R40),"")</f>
        <v>2.85</v>
      </c>
      <c r="AK259" s="261">
        <f>IFERROR(AVERAGE('Dry_Litterbag Placem_Collection'!N40,'Dry_Litterbag Placem_Collection'!Q40),"")</f>
        <v>26.7</v>
      </c>
      <c r="AL259" s="260">
        <f>INDEX([2]Coordinates!$B$2:$B$197,MATCH(I259,[2]Coordinates!$J$2:$J$197,0))</f>
        <v>-3.409280023</v>
      </c>
      <c r="AM259" s="260">
        <f>INDEX([2]Coordinates!$C$2:$C$197,MATCH(I259,[2]Coordinates!$J$2:$J$197,0))</f>
        <v>34.852612960000002</v>
      </c>
      <c r="AN259" s="260" t="str">
        <f>IF(ISNUMBER(SEARCH("C", 'Dry_Litterbag Placem_Collection'!T40)),"YES","NO")</f>
        <v>NO</v>
      </c>
      <c r="AO259" s="260" t="str">
        <f>IF(ISNUMBER(SEARCH("H", 'Dry_Litterbag Placem_Collection'!T40)),"YES","NO")</f>
        <v>NO</v>
      </c>
      <c r="AP259" s="260" t="str">
        <f>IF(ISNUMBER(SEARCH("R", 'Dry_Litterbag Placem_Collection'!T40)),"YES","NO")</f>
        <v>NO</v>
      </c>
    </row>
    <row r="260" spans="1:42" ht="15" customHeight="1">
      <c r="A260" t="s">
        <v>3248</v>
      </c>
      <c r="B260" s="252" t="s">
        <v>2643</v>
      </c>
      <c r="C260" s="253">
        <f>'Dry_Litterbag Placem_Collection'!A41</f>
        <v>39</v>
      </c>
      <c r="D260" s="253" t="str">
        <f>'Dry_Litterbag Placem_Collection'!B41</f>
        <v>Makao</v>
      </c>
      <c r="E260" s="253" t="s">
        <v>2643</v>
      </c>
      <c r="F260" s="253" t="s">
        <v>20</v>
      </c>
      <c r="G260" s="253">
        <v>1</v>
      </c>
      <c r="H260" s="253" t="s">
        <v>3106</v>
      </c>
      <c r="I260" s="254" t="str">
        <f>'Dry_Litterbag Placem_Collection'!C41</f>
        <v>Dry_P1_T7</v>
      </c>
      <c r="J260" s="255" t="s">
        <v>2525</v>
      </c>
      <c r="K260" s="262" t="s">
        <v>298</v>
      </c>
      <c r="L260" s="253" t="str">
        <f>IF(ISBLANK('Dry_Litterbag Placem_Collection'!K41),"","R"&amp;""&amp;'Dry_Litterbag Placem_Collection'!K41)</f>
        <v/>
      </c>
      <c r="M260" s="257" t="str">
        <f>IFERROR(INDEX('Green_rooibos initial weight'!$C$5:$C$2000,MATCH(L260, 'Green_rooibos initial weight'!$A$5:$A$2000,0)),"")</f>
        <v/>
      </c>
      <c r="N260" s="257" t="str">
        <f>IFERROR(M260-(TBIcalc!$Q$9+TBIcalc!$Q$10),"")</f>
        <v/>
      </c>
      <c r="O260" s="378">
        <f>AVERAGE(Ashed_controlls!$K$12:$K$14)</f>
        <v>2.2816647271287041</v>
      </c>
      <c r="P260" s="257" t="str">
        <f t="shared" si="21"/>
        <v/>
      </c>
      <c r="Q260" s="257" t="str">
        <f>IFERROR(INDEX('Both teabags AfterDry'!$D$2:$D$2000,MATCH(L260,'Both teabags AfterDry'!$A$2:$A$2000,0)),"")</f>
        <v/>
      </c>
      <c r="R260" s="257" t="str">
        <f>IFERROR(IF(Q260&gt;0,Q260-(TBIcalc!$Q$9),""),"")</f>
        <v/>
      </c>
      <c r="S260" s="268" t="str">
        <f>IFERROR(INDEX('Ashed teabags dry'!$K$2:$K$2000,MATCH(L260,'Ashed teabags dry'!$A$2:$A$2000,0)),"")</f>
        <v/>
      </c>
      <c r="T260" s="268" t="str">
        <f t="shared" si="22"/>
        <v/>
      </c>
      <c r="U260" s="258">
        <f>IF('Dry_Litterbag Placem_Collection'!E41="","",'Dry_Litterbag Placem_Collection'!E41)</f>
        <v>42938</v>
      </c>
      <c r="V260" s="258" t="str">
        <f>IF('Dry_Litterbag Placem_Collection'!G41="","",'Dry_Litterbag Placem_Collection'!G41)</f>
        <v/>
      </c>
      <c r="W260" s="259" t="str">
        <f t="shared" si="20"/>
        <v/>
      </c>
      <c r="X260" s="257" t="str">
        <f t="shared" si="23"/>
        <v/>
      </c>
      <c r="Y260" s="257" t="str">
        <f t="shared" si="24"/>
        <v/>
      </c>
      <c r="Z260" s="261" t="str">
        <f>IFERROR(INDEX([3]Rainfall_Dry!$O$2:$O$217,MATCH(C260, [3]Rainfall_Dry!$A$2:$A$217,0)),"")</f>
        <v/>
      </c>
      <c r="AA260" s="250">
        <v>23.96</v>
      </c>
      <c r="AB260" s="250">
        <v>0.91999999999999804</v>
      </c>
      <c r="AC260" s="250">
        <v>75.12</v>
      </c>
      <c r="AD260" s="251" t="s">
        <v>2651</v>
      </c>
      <c r="AE260" s="250">
        <v>1.2493839329719072</v>
      </c>
      <c r="AF260">
        <f>IF('WetLitterbags placem_collection'!AB41="","",'WetLitterbags placem_collection'!AB41)</f>
        <v>2.4</v>
      </c>
      <c r="AG260">
        <f>IF('WetLitterbags placem_collection'!Z41="","",'WetLitterbags placem_collection'!Z41)</f>
        <v>18</v>
      </c>
      <c r="AH260" s="236" t="str">
        <f>IF('WetLitterbags placem_collection'!AA41="","",'WetLitterbags placem_collection'!AA41)</f>
        <v>G</v>
      </c>
      <c r="AI260">
        <f>IF('WetLitterbags placem_collection'!AC41="","",'WetLitterbags placem_collection'!AC41)</f>
        <v>1</v>
      </c>
      <c r="AJ260" t="str">
        <f>IFERROR(AVERAGE('Dry_Litterbag Placem_Collection'!O41,'Dry_Litterbag Placem_Collection'!R41),"")</f>
        <v/>
      </c>
      <c r="AK260" s="261" t="str">
        <f>IFERROR(AVERAGE('Dry_Litterbag Placem_Collection'!N41,'Dry_Litterbag Placem_Collection'!Q41),"")</f>
        <v/>
      </c>
      <c r="AL260" s="260">
        <f>INDEX([2]Coordinates!$B$2:$B$197,MATCH(I260,[2]Coordinates!$J$2:$J$197,0))</f>
        <v>-3.4093859700000002</v>
      </c>
      <c r="AM260" s="260">
        <f>INDEX([2]Coordinates!$C$2:$C$197,MATCH(I260,[2]Coordinates!$J$2:$J$197,0))</f>
        <v>34.852855030000001</v>
      </c>
      <c r="AN260" s="260" t="str">
        <f>IF(ISNUMBER(SEARCH("C", 'Dry_Litterbag Placem_Collection'!T41)),"YES","NO")</f>
        <v>NO</v>
      </c>
      <c r="AO260" s="260" t="str">
        <f>IF(ISNUMBER(SEARCH("H", 'Dry_Litterbag Placem_Collection'!T41)),"YES","NO")</f>
        <v>NO</v>
      </c>
      <c r="AP260" s="260" t="str">
        <f>IF(ISNUMBER(SEARCH("R", 'Dry_Litterbag Placem_Collection'!T41)),"YES","NO")</f>
        <v>NO</v>
      </c>
    </row>
    <row r="261" spans="1:42" ht="15" customHeight="1">
      <c r="A261" t="s">
        <v>3248</v>
      </c>
      <c r="B261" s="252" t="s">
        <v>2643</v>
      </c>
      <c r="C261" s="253">
        <f>'Dry_Litterbag Placem_Collection'!A42</f>
        <v>40</v>
      </c>
      <c r="D261" s="253" t="str">
        <f>'Dry_Litterbag Placem_Collection'!B42</f>
        <v>Makao</v>
      </c>
      <c r="E261" s="253" t="s">
        <v>2643</v>
      </c>
      <c r="F261" s="253" t="s">
        <v>20</v>
      </c>
      <c r="G261" s="253">
        <v>1</v>
      </c>
      <c r="H261" s="253" t="s">
        <v>3106</v>
      </c>
      <c r="I261" s="254" t="str">
        <f>'Dry_Litterbag Placem_Collection'!C42</f>
        <v>Dry_P1_T8</v>
      </c>
      <c r="J261" s="255" t="s">
        <v>2525</v>
      </c>
      <c r="K261" s="262" t="s">
        <v>298</v>
      </c>
      <c r="L261" s="253" t="str">
        <f>IF(ISBLANK('Dry_Litterbag Placem_Collection'!K42),"","R"&amp;""&amp;'Dry_Litterbag Placem_Collection'!K42)</f>
        <v>R782</v>
      </c>
      <c r="M261" s="257">
        <f>IFERROR(INDEX('Green_rooibos initial weight'!$C$5:$C$2000,MATCH(L261, 'Green_rooibos initial weight'!$A$5:$A$2000,0)),"")</f>
        <v>2.2410000000000001</v>
      </c>
      <c r="N261" s="257">
        <f>IFERROR(M261-(TBIcalc!$Q$9+TBIcalc!$Q$10),"")</f>
        <v>1.9912000000000001</v>
      </c>
      <c r="O261" s="378">
        <f>AVERAGE(Ashed_controlls!$K$12:$K$14)</f>
        <v>2.2816647271287041</v>
      </c>
      <c r="P261" s="257">
        <f t="shared" si="21"/>
        <v>1.9457674919534134</v>
      </c>
      <c r="Q261" s="257">
        <f>IFERROR(INDEX('Both teabags AfterDry'!$D$2:$D$2000,MATCH(L261,'Both teabags AfterDry'!$A$2:$A$2000,0)),"")</f>
        <v>1.992</v>
      </c>
      <c r="R261" s="257">
        <f>IFERROR(IF(Q261&gt;0,Q261-(TBIcalc!$Q$9),""),"")</f>
        <v>1.8413999999999999</v>
      </c>
      <c r="S261" s="268">
        <f>IFERROR(INDEX('Ashed teabags dry'!$K$2:$K$2000,MATCH(L261,'Ashed teabags dry'!$A$2:$A$2000,0)),"")</f>
        <v>3.5485460818134884</v>
      </c>
      <c r="T261" s="268">
        <f t="shared" si="22"/>
        <v>1.7760570724494864</v>
      </c>
      <c r="U261" s="258">
        <f>IF('Dry_Litterbag Placem_Collection'!E42="","",'Dry_Litterbag Placem_Collection'!E42)</f>
        <v>42938</v>
      </c>
      <c r="V261" s="258">
        <f>IF('Dry_Litterbag Placem_Collection'!G42="","",'Dry_Litterbag Placem_Collection'!G42)</f>
        <v>43005</v>
      </c>
      <c r="W261" s="259">
        <f t="shared" si="20"/>
        <v>67</v>
      </c>
      <c r="X261" s="257">
        <f t="shared" si="23"/>
        <v>0.14980000000000016</v>
      </c>
      <c r="Y261" s="257">
        <f t="shared" si="24"/>
        <v>0.16971041950392696</v>
      </c>
      <c r="Z261" s="261">
        <f>IFERROR(INDEX([3]Rainfall_Dry!$O$2:$O$217,MATCH(C261, [3]Rainfall_Dry!$A$2:$A$217,0)),"")</f>
        <v>6.5250000359999998</v>
      </c>
      <c r="AA261" s="250">
        <v>23.96</v>
      </c>
      <c r="AB261" s="250">
        <v>0.91999999999999804</v>
      </c>
      <c r="AC261" s="250">
        <v>75.12</v>
      </c>
      <c r="AD261" s="251" t="s">
        <v>2651</v>
      </c>
      <c r="AE261" s="250">
        <v>1.2493839329719072</v>
      </c>
      <c r="AF261">
        <f>IF('WetLitterbags placem_collection'!AB42="","",'WetLitterbags placem_collection'!AB42)</f>
        <v>8.6999999999999993</v>
      </c>
      <c r="AG261">
        <f>IF('WetLitterbags placem_collection'!Z42="","",'WetLitterbags placem_collection'!Z42)</f>
        <v>19.3</v>
      </c>
      <c r="AH261" s="236" t="str">
        <f>IF('WetLitterbags placem_collection'!AA42="","",'WetLitterbags placem_collection'!AA42)</f>
        <v>G</v>
      </c>
      <c r="AI261">
        <f>IF('WetLitterbags placem_collection'!AC42="","",'WetLitterbags placem_collection'!AC42)</f>
        <v>0</v>
      </c>
      <c r="AJ261">
        <f>IFERROR(AVERAGE('Dry_Litterbag Placem_Collection'!O42,'Dry_Litterbag Placem_Collection'!R42),"")</f>
        <v>4.5999999999999996</v>
      </c>
      <c r="AK261" s="261">
        <f>IFERROR(AVERAGE('Dry_Litterbag Placem_Collection'!N42,'Dry_Litterbag Placem_Collection'!Q42),"")</f>
        <v>26.2</v>
      </c>
      <c r="AL261" s="260">
        <f>INDEX([2]Coordinates!$B$2:$B$197,MATCH(I261,[2]Coordinates!$J$2:$J$197,0))</f>
        <v>-3.4091539590000002</v>
      </c>
      <c r="AM261" s="260">
        <f>INDEX([2]Coordinates!$C$2:$C$197,MATCH(I261,[2]Coordinates!$J$2:$J$197,0))</f>
        <v>34.852755029999997</v>
      </c>
      <c r="AN261" s="260" t="str">
        <f>IF(ISNUMBER(SEARCH("C", 'Dry_Litterbag Placem_Collection'!T42)),"YES","NO")</f>
        <v>NO</v>
      </c>
      <c r="AO261" s="260" t="str">
        <f>IF(ISNUMBER(SEARCH("H", 'Dry_Litterbag Placem_Collection'!T42)),"YES","NO")</f>
        <v>NO</v>
      </c>
      <c r="AP261" s="260" t="str">
        <f>IF(ISNUMBER(SEARCH("R", 'Dry_Litterbag Placem_Collection'!T42)),"YES","NO")</f>
        <v>NO</v>
      </c>
    </row>
    <row r="262" spans="1:42" ht="15" customHeight="1">
      <c r="A262" t="s">
        <v>3248</v>
      </c>
      <c r="B262" s="252" t="s">
        <v>2643</v>
      </c>
      <c r="C262" s="253">
        <f>'Dry_Litterbag Placem_Collection'!A43</f>
        <v>41</v>
      </c>
      <c r="D262" s="253" t="str">
        <f>'Dry_Litterbag Placem_Collection'!B43</f>
        <v>Makao</v>
      </c>
      <c r="E262" s="253" t="s">
        <v>2643</v>
      </c>
      <c r="F262" s="253" t="s">
        <v>20</v>
      </c>
      <c r="G262" s="253">
        <v>2</v>
      </c>
      <c r="H262" s="253" t="s">
        <v>3108</v>
      </c>
      <c r="I262" s="254" t="str">
        <f>'Dry_Litterbag Placem_Collection'!C43</f>
        <v>Dry_P2_T1</v>
      </c>
      <c r="J262" s="255" t="s">
        <v>2525</v>
      </c>
      <c r="K262" s="262" t="s">
        <v>298</v>
      </c>
      <c r="L262" s="253" t="str">
        <f>IF(ISBLANK('Dry_Litterbag Placem_Collection'!K43),"","R"&amp;""&amp;'Dry_Litterbag Placem_Collection'!K43)</f>
        <v>R820</v>
      </c>
      <c r="M262" s="257">
        <f>IFERROR(INDEX('Green_rooibos initial weight'!$C$5:$C$2000,MATCH(L262, 'Green_rooibos initial weight'!$A$5:$A$2000,0)),"")</f>
        <v>2.2170000000000001</v>
      </c>
      <c r="N262" s="257">
        <f>IFERROR(M262-(TBIcalc!$Q$9+TBIcalc!$Q$10),"")</f>
        <v>1.9672000000000001</v>
      </c>
      <c r="O262" s="378">
        <f>AVERAGE(Ashed_controlls!$K$12:$K$14)</f>
        <v>2.2816647271287041</v>
      </c>
      <c r="P262" s="257">
        <f t="shared" si="21"/>
        <v>1.9223150914879241</v>
      </c>
      <c r="Q262" s="257">
        <f>IFERROR(INDEX('Both teabags AfterDry'!$D$2:$D$2000,MATCH(L262,'Both teabags AfterDry'!$A$2:$A$2000,0)),"")</f>
        <v>1.2708999999999999</v>
      </c>
      <c r="R262" s="257">
        <f>IFERROR(IF(Q262&gt;0,Q262-(TBIcalc!$Q$9),""),"")</f>
        <v>1.1202999999999999</v>
      </c>
      <c r="S262" s="268">
        <f>IFERROR(INDEX('Ashed teabags dry'!$K$2:$K$2000,MATCH(L262,'Ashed teabags dry'!$A$2:$A$2000,0)),"")</f>
        <v>3.1920199501252777</v>
      </c>
      <c r="T262" s="268">
        <f t="shared" si="22"/>
        <v>1.0845398004987463</v>
      </c>
      <c r="U262" s="258">
        <f>IF('Dry_Litterbag Placem_Collection'!E43="","",'Dry_Litterbag Placem_Collection'!E43)</f>
        <v>42938</v>
      </c>
      <c r="V262" s="258">
        <f>IF('Dry_Litterbag Placem_Collection'!G43="","",'Dry_Litterbag Placem_Collection'!G43)</f>
        <v>43005</v>
      </c>
      <c r="W262" s="259">
        <f t="shared" si="20"/>
        <v>67</v>
      </c>
      <c r="X262" s="257">
        <f t="shared" si="23"/>
        <v>0.84690000000000021</v>
      </c>
      <c r="Y262" s="257">
        <f t="shared" si="24"/>
        <v>0.8377752909891778</v>
      </c>
      <c r="Z262" s="261">
        <f>IFERROR(INDEX([3]Rainfall_Dry!$O$2:$O$217,MATCH(C262, [3]Rainfall_Dry!$A$2:$A$217,0)),"")</f>
        <v>6.5250000359999998</v>
      </c>
      <c r="AA262" s="250">
        <v>19.96</v>
      </c>
      <c r="AB262" s="250">
        <v>4.9199999999999982</v>
      </c>
      <c r="AC262" s="250">
        <v>75.12</v>
      </c>
      <c r="AD262" s="251" t="s">
        <v>2652</v>
      </c>
      <c r="AE262" s="250">
        <v>1.641498275012321</v>
      </c>
      <c r="AF262">
        <f>IF('WetLitterbags placem_collection'!AB43="","",'WetLitterbags placem_collection'!AB43)</f>
        <v>4</v>
      </c>
      <c r="AG262">
        <f>IF('WetLitterbags placem_collection'!Z43="","",'WetLitterbags placem_collection'!Z43)</f>
        <v>19.100000000000001</v>
      </c>
      <c r="AH262" s="236" t="str">
        <f>IF('WetLitterbags placem_collection'!AA43="","",'WetLitterbags placem_collection'!AA43)</f>
        <v>G</v>
      </c>
      <c r="AI262">
        <f>IF('WetLitterbags placem_collection'!AC43="","",'WetLitterbags placem_collection'!AC43)</f>
        <v>0</v>
      </c>
      <c r="AJ262">
        <f>IFERROR(AVERAGE('Dry_Litterbag Placem_Collection'!O43,'Dry_Litterbag Placem_Collection'!R43),"")</f>
        <v>4.6500000000000004</v>
      </c>
      <c r="AK262" s="261">
        <f>IFERROR(AVERAGE('Dry_Litterbag Placem_Collection'!N43,'Dry_Litterbag Placem_Collection'!Q43),"")</f>
        <v>27.85</v>
      </c>
      <c r="AL262" s="260">
        <f>INDEX([2]Coordinates!$B$2:$B$197,MATCH(I262,[2]Coordinates!$J$2:$J$197,0))</f>
        <v>-3.4083420040000001</v>
      </c>
      <c r="AM262" s="260">
        <f>INDEX([2]Coordinates!$C$2:$C$197,MATCH(I262,[2]Coordinates!$J$2:$J$197,0))</f>
        <v>34.850283040000001</v>
      </c>
      <c r="AN262" s="260" t="str">
        <f>IF(ISNUMBER(SEARCH("C", 'Dry_Litterbag Placem_Collection'!T43)),"YES","NO")</f>
        <v>NO</v>
      </c>
      <c r="AO262" s="260" t="str">
        <f>IF(ISNUMBER(SEARCH("H", 'Dry_Litterbag Placem_Collection'!T43)),"YES","NO")</f>
        <v>YES</v>
      </c>
      <c r="AP262" s="260" t="str">
        <f>IF(ISNUMBER(SEARCH("R", 'Dry_Litterbag Placem_Collection'!T43)),"YES","NO")</f>
        <v>NO</v>
      </c>
    </row>
    <row r="263" spans="1:42" ht="15" customHeight="1">
      <c r="A263" t="s">
        <v>3248</v>
      </c>
      <c r="B263" s="252" t="s">
        <v>2643</v>
      </c>
      <c r="C263" s="253">
        <f>'Dry_Litterbag Placem_Collection'!A44</f>
        <v>42</v>
      </c>
      <c r="D263" s="253" t="str">
        <f>'Dry_Litterbag Placem_Collection'!B44</f>
        <v>Makao</v>
      </c>
      <c r="E263" s="253" t="s">
        <v>2643</v>
      </c>
      <c r="F263" s="253" t="s">
        <v>20</v>
      </c>
      <c r="G263" s="253">
        <v>2</v>
      </c>
      <c r="H263" s="253" t="s">
        <v>3108</v>
      </c>
      <c r="I263" s="254" t="str">
        <f>'Dry_Litterbag Placem_Collection'!C44</f>
        <v>Dry_P2_T2</v>
      </c>
      <c r="J263" s="255" t="s">
        <v>2525</v>
      </c>
      <c r="K263" s="262" t="s">
        <v>298</v>
      </c>
      <c r="L263" s="253" t="str">
        <f>IF(ISBLANK('Dry_Litterbag Placem_Collection'!K44),"","R"&amp;""&amp;'Dry_Litterbag Placem_Collection'!K44)</f>
        <v>R806</v>
      </c>
      <c r="M263" s="257">
        <f>IFERROR(INDEX('Green_rooibos initial weight'!$C$5:$C$2000,MATCH(L263, 'Green_rooibos initial weight'!$A$5:$A$2000,0)),"")</f>
        <v>2.2389999999999999</v>
      </c>
      <c r="N263" s="257">
        <f>IFERROR(M263-(TBIcalc!$Q$9+TBIcalc!$Q$10),"")</f>
        <v>1.9891999999999999</v>
      </c>
      <c r="O263" s="378">
        <f>AVERAGE(Ashed_controlls!$K$12:$K$14)</f>
        <v>2.2816647271287041</v>
      </c>
      <c r="P263" s="257">
        <f t="shared" si="21"/>
        <v>1.9438131252479556</v>
      </c>
      <c r="Q263" s="257">
        <f>IFERROR(INDEX('Both teabags AfterDry'!$D$2:$D$2000,MATCH(L263,'Both teabags AfterDry'!$A$2:$A$2000,0)),"")</f>
        <v>0.14760000000000001</v>
      </c>
      <c r="R263" s="257">
        <f>IFERROR(IF(Q263&gt;0,Q263-(TBIcalc!$Q$9),""),"")</f>
        <v>-3.0000000000000027E-3</v>
      </c>
      <c r="S263" s="268">
        <f>IFERROR(INDEX('Ashed teabags dry'!$K$2:$K$2000,MATCH(L263,'Ashed teabags dry'!$A$2:$A$2000,0)),"")</f>
        <v>0</v>
      </c>
      <c r="T263" s="268">
        <f t="shared" si="22"/>
        <v>-3.0000000000000027E-3</v>
      </c>
      <c r="U263" s="258">
        <f>IF('Dry_Litterbag Placem_Collection'!E44="","",'Dry_Litterbag Placem_Collection'!E44)</f>
        <v>42938</v>
      </c>
      <c r="V263" s="258">
        <f>IF('Dry_Litterbag Placem_Collection'!G44="","",'Dry_Litterbag Placem_Collection'!G44)</f>
        <v>43005</v>
      </c>
      <c r="W263" s="259">
        <f t="shared" si="20"/>
        <v>67</v>
      </c>
      <c r="X263" s="257">
        <f t="shared" si="23"/>
        <v>1.9922</v>
      </c>
      <c r="Y263" s="257">
        <f t="shared" si="24"/>
        <v>1.9468131252479557</v>
      </c>
      <c r="Z263" s="261">
        <f>IFERROR(INDEX([3]Rainfall_Dry!$O$2:$O$217,MATCH(C263, [3]Rainfall_Dry!$A$2:$A$217,0)),"")</f>
        <v>6.5250000359999998</v>
      </c>
      <c r="AA263" s="250">
        <v>19.96</v>
      </c>
      <c r="AB263" s="250">
        <v>4.9199999999999982</v>
      </c>
      <c r="AC263" s="250">
        <v>75.12</v>
      </c>
      <c r="AD263" s="251" t="s">
        <v>2652</v>
      </c>
      <c r="AE263" s="250">
        <v>1.641498275012321</v>
      </c>
      <c r="AF263">
        <f>IF('WetLitterbags placem_collection'!AB44="","",'WetLitterbags placem_collection'!AB44)</f>
        <v>5.9</v>
      </c>
      <c r="AG263">
        <f>IF('WetLitterbags placem_collection'!Z44="","",'WetLitterbags placem_collection'!Z44)</f>
        <v>12.7</v>
      </c>
      <c r="AH263" s="236" t="str">
        <f>IF('WetLitterbags placem_collection'!AA44="","",'WetLitterbags placem_collection'!AA44)</f>
        <v>G</v>
      </c>
      <c r="AI263">
        <f>IF('WetLitterbags placem_collection'!AC44="","",'WetLitterbags placem_collection'!AC44)</f>
        <v>0</v>
      </c>
      <c r="AJ263">
        <f>IFERROR(AVERAGE('Dry_Litterbag Placem_Collection'!O44,'Dry_Litterbag Placem_Collection'!R44),"")</f>
        <v>5.1999999999999993</v>
      </c>
      <c r="AK263" s="261">
        <f>IFERROR(AVERAGE('Dry_Litterbag Placem_Collection'!N44,'Dry_Litterbag Placem_Collection'!Q44),"")</f>
        <v>27.15</v>
      </c>
      <c r="AL263" s="260">
        <f>INDEX([2]Coordinates!$B$2:$B$197,MATCH(I263,[2]Coordinates!$J$2:$J$197,0))</f>
        <v>-3.4084079690000002</v>
      </c>
      <c r="AM263" s="260">
        <f>INDEX([2]Coordinates!$C$2:$C$197,MATCH(I263,[2]Coordinates!$J$2:$J$197,0))</f>
        <v>34.850295029999998</v>
      </c>
      <c r="AN263" s="260" t="str">
        <f>IF(ISNUMBER(SEARCH("C", 'Dry_Litterbag Placem_Collection'!T44)),"YES","NO")</f>
        <v>YES</v>
      </c>
      <c r="AO263" s="260" t="str">
        <f>IF(ISNUMBER(SEARCH("H", 'Dry_Litterbag Placem_Collection'!T44)),"YES","NO")</f>
        <v>YES</v>
      </c>
      <c r="AP263" s="260" t="str">
        <f>IF(ISNUMBER(SEARCH("R", 'Dry_Litterbag Placem_Collection'!T44)),"YES","NO")</f>
        <v>NO</v>
      </c>
    </row>
    <row r="264" spans="1:42" ht="15" customHeight="1">
      <c r="A264" t="s">
        <v>3248</v>
      </c>
      <c r="B264" s="252" t="s">
        <v>2643</v>
      </c>
      <c r="C264" s="253">
        <f>'Dry_Litterbag Placem_Collection'!A45</f>
        <v>43</v>
      </c>
      <c r="D264" s="253" t="str">
        <f>'Dry_Litterbag Placem_Collection'!B45</f>
        <v>Makao</v>
      </c>
      <c r="E264" s="253" t="s">
        <v>2643</v>
      </c>
      <c r="F264" s="253" t="s">
        <v>20</v>
      </c>
      <c r="G264" s="253">
        <v>2</v>
      </c>
      <c r="H264" s="253" t="s">
        <v>3108</v>
      </c>
      <c r="I264" s="254" t="str">
        <f>'Dry_Litterbag Placem_Collection'!C45</f>
        <v>Dry_P2_T3</v>
      </c>
      <c r="J264" s="255" t="s">
        <v>2525</v>
      </c>
      <c r="K264" s="262" t="s">
        <v>298</v>
      </c>
      <c r="L264" s="253" t="str">
        <f>IF(ISBLANK('Dry_Litterbag Placem_Collection'!K45),"","R"&amp;""&amp;'Dry_Litterbag Placem_Collection'!K45)</f>
        <v>R758</v>
      </c>
      <c r="M264" s="257">
        <f>IFERROR(INDEX('Green_rooibos initial weight'!$C$5:$C$2000,MATCH(L264, 'Green_rooibos initial weight'!$A$5:$A$2000,0)),"")</f>
        <v>2.2200000000000002</v>
      </c>
      <c r="N264" s="257">
        <f>IFERROR(M264-(TBIcalc!$Q$9+TBIcalc!$Q$10),"")</f>
        <v>1.9702000000000002</v>
      </c>
      <c r="O264" s="378">
        <f>AVERAGE(Ashed_controlls!$K$12:$K$14)</f>
        <v>2.2816647271287041</v>
      </c>
      <c r="P264" s="257">
        <f t="shared" si="21"/>
        <v>1.9252466415461105</v>
      </c>
      <c r="Q264" s="257">
        <f>IFERROR(INDEX('Both teabags AfterDry'!$D$2:$D$2000,MATCH(L264,'Both teabags AfterDry'!$A$2:$A$2000,0)),"")</f>
        <v>1.6818</v>
      </c>
      <c r="R264" s="257">
        <f>IFERROR(IF(Q264&gt;0,Q264-(TBIcalc!$Q$9),""),"")</f>
        <v>1.5311999999999999</v>
      </c>
      <c r="S264" s="268">
        <f>IFERROR(INDEX('Ashed teabags dry'!$K$2:$K$2000,MATCH(L264,'Ashed teabags dry'!$A$2:$A$2000,0)),"")</f>
        <v>92.062122519413393</v>
      </c>
      <c r="T264" s="268">
        <f t="shared" si="22"/>
        <v>0.12154477998274205</v>
      </c>
      <c r="U264" s="258">
        <f>IF('Dry_Litterbag Placem_Collection'!E45="","",'Dry_Litterbag Placem_Collection'!E45)</f>
        <v>42938</v>
      </c>
      <c r="V264" s="258">
        <f>IF('Dry_Litterbag Placem_Collection'!G45="","",'Dry_Litterbag Placem_Collection'!G45)</f>
        <v>43005</v>
      </c>
      <c r="W264" s="259">
        <f t="shared" si="20"/>
        <v>67</v>
      </c>
      <c r="X264" s="257">
        <f t="shared" si="23"/>
        <v>0.43900000000000028</v>
      </c>
      <c r="Y264" s="257">
        <f t="shared" si="24"/>
        <v>1.8037018615633684</v>
      </c>
      <c r="Z264" s="261">
        <f>IFERROR(INDEX([3]Rainfall_Dry!$O$2:$O$217,MATCH(C264, [3]Rainfall_Dry!$A$2:$A$217,0)),"")</f>
        <v>6.5250000359999998</v>
      </c>
      <c r="AA264" s="250">
        <v>19.96</v>
      </c>
      <c r="AB264" s="250">
        <v>4.9199999999999982</v>
      </c>
      <c r="AC264" s="250">
        <v>75.12</v>
      </c>
      <c r="AD264" s="251" t="s">
        <v>2652</v>
      </c>
      <c r="AE264" s="250">
        <v>1.641498275012321</v>
      </c>
      <c r="AF264">
        <f>IF('WetLitterbags placem_collection'!AB45="","",'WetLitterbags placem_collection'!AB45)</f>
        <v>5</v>
      </c>
      <c r="AG264">
        <f>IF('WetLitterbags placem_collection'!Z45="","",'WetLitterbags placem_collection'!Z45)</f>
        <v>26.3</v>
      </c>
      <c r="AH264" s="236" t="str">
        <f>IF('WetLitterbags placem_collection'!AA45="","",'WetLitterbags placem_collection'!AA45)</f>
        <v>G</v>
      </c>
      <c r="AI264">
        <f>IF('WetLitterbags placem_collection'!AC45="","",'WetLitterbags placem_collection'!AC45)</f>
        <v>0</v>
      </c>
      <c r="AJ264">
        <f>IFERROR(AVERAGE('Dry_Litterbag Placem_Collection'!O45,'Dry_Litterbag Placem_Collection'!R45),"")</f>
        <v>2.4500000000000002</v>
      </c>
      <c r="AK264" s="261">
        <f>IFERROR(AVERAGE('Dry_Litterbag Placem_Collection'!N45,'Dry_Litterbag Placem_Collection'!Q45),"")</f>
        <v>26.1</v>
      </c>
      <c r="AL264" s="260">
        <f>INDEX([2]Coordinates!$B$2:$B$197,MATCH(I264,[2]Coordinates!$J$2:$J$197,0))</f>
        <v>-3.4082369789999998</v>
      </c>
      <c r="AM264" s="260">
        <f>INDEX([2]Coordinates!$C$2:$C$197,MATCH(I264,[2]Coordinates!$J$2:$J$197,0))</f>
        <v>34.850189999999998</v>
      </c>
      <c r="AN264" s="260" t="str">
        <f>IF(ISNUMBER(SEARCH("C", 'Dry_Litterbag Placem_Collection'!T45)),"YES","NO")</f>
        <v>YES</v>
      </c>
      <c r="AO264" s="260" t="str">
        <f>IF(ISNUMBER(SEARCH("H", 'Dry_Litterbag Placem_Collection'!T45)),"YES","NO")</f>
        <v>YES</v>
      </c>
      <c r="AP264" s="260" t="str">
        <f>IF(ISNUMBER(SEARCH("R", 'Dry_Litterbag Placem_Collection'!T45)),"YES","NO")</f>
        <v>NO</v>
      </c>
    </row>
    <row r="265" spans="1:42" ht="15" customHeight="1">
      <c r="A265" t="s">
        <v>3248</v>
      </c>
      <c r="B265" s="252" t="s">
        <v>2643</v>
      </c>
      <c r="C265" s="253">
        <f>'Dry_Litterbag Placem_Collection'!A46</f>
        <v>44</v>
      </c>
      <c r="D265" s="253" t="str">
        <f>'Dry_Litterbag Placem_Collection'!B46</f>
        <v>Makao</v>
      </c>
      <c r="E265" s="253" t="s">
        <v>2643</v>
      </c>
      <c r="F265" s="253" t="s">
        <v>20</v>
      </c>
      <c r="G265" s="253">
        <v>2</v>
      </c>
      <c r="H265" s="253" t="s">
        <v>3108</v>
      </c>
      <c r="I265" s="254" t="str">
        <f>'Dry_Litterbag Placem_Collection'!C46</f>
        <v>Dry_P2_T4</v>
      </c>
      <c r="J265" s="255" t="s">
        <v>2525</v>
      </c>
      <c r="K265" s="262" t="s">
        <v>298</v>
      </c>
      <c r="L265" s="253" t="str">
        <f>IF(ISBLANK('Dry_Litterbag Placem_Collection'!K46),"","R"&amp;""&amp;'Dry_Litterbag Placem_Collection'!K46)</f>
        <v>R783</v>
      </c>
      <c r="M265" s="257">
        <f>IFERROR(INDEX('Green_rooibos initial weight'!$C$5:$C$2000,MATCH(L265, 'Green_rooibos initial weight'!$A$5:$A$2000,0)),"")</f>
        <v>2.1989999999999998</v>
      </c>
      <c r="N265" s="257">
        <f>IFERROR(M265-(TBIcalc!$Q$9+TBIcalc!$Q$10),"")</f>
        <v>1.9491999999999998</v>
      </c>
      <c r="O265" s="378">
        <f>AVERAGE(Ashed_controlls!$K$12:$K$14)</f>
        <v>2.2816647271287041</v>
      </c>
      <c r="P265" s="257">
        <f t="shared" si="21"/>
        <v>1.9047257911388071</v>
      </c>
      <c r="Q265" s="257">
        <f>IFERROR(INDEX('Both teabags AfterDry'!$D$2:$D$2000,MATCH(L265,'Both teabags AfterDry'!$A$2:$A$2000,0)),"")</f>
        <v>1.8973</v>
      </c>
      <c r="R265" s="257">
        <f>IFERROR(IF(Q265&gt;0,Q265-(TBIcalc!$Q$9),""),"")</f>
        <v>1.7466999999999999</v>
      </c>
      <c r="S265" s="268">
        <f>IFERROR(INDEX('Ashed teabags dry'!$K$2:$K$2000,MATCH(L265,'Ashed teabags dry'!$A$2:$A$2000,0)),"")</f>
        <v>3.6579572446556408</v>
      </c>
      <c r="T265" s="268">
        <f t="shared" si="22"/>
        <v>1.6828064608075999</v>
      </c>
      <c r="U265" s="258">
        <f>IF('Dry_Litterbag Placem_Collection'!E46="","",'Dry_Litterbag Placem_Collection'!E46)</f>
        <v>42938</v>
      </c>
      <c r="V265" s="258">
        <f>IF('Dry_Litterbag Placem_Collection'!G46="","",'Dry_Litterbag Placem_Collection'!G46)</f>
        <v>43005</v>
      </c>
      <c r="W265" s="259">
        <f t="shared" si="20"/>
        <v>67</v>
      </c>
      <c r="X265" s="257">
        <f t="shared" si="23"/>
        <v>0.2024999999999999</v>
      </c>
      <c r="Y265" s="257">
        <f t="shared" si="24"/>
        <v>0.22191933033120725</v>
      </c>
      <c r="Z265" s="261">
        <f>IFERROR(INDEX([3]Rainfall_Dry!$O$2:$O$217,MATCH(C265, [3]Rainfall_Dry!$A$2:$A$217,0)),"")</f>
        <v>6.5250000359999998</v>
      </c>
      <c r="AA265" s="250">
        <v>19.96</v>
      </c>
      <c r="AB265" s="250">
        <v>4.9199999999999982</v>
      </c>
      <c r="AC265" s="250">
        <v>75.12</v>
      </c>
      <c r="AD265" s="251" t="s">
        <v>2652</v>
      </c>
      <c r="AE265" s="250">
        <v>1.641498275012321</v>
      </c>
      <c r="AF265">
        <f>IF('WetLitterbags placem_collection'!AB46="","",'WetLitterbags placem_collection'!AB46)</f>
        <v>2.6</v>
      </c>
      <c r="AG265">
        <f>IF('WetLitterbags placem_collection'!Z46="","",'WetLitterbags placem_collection'!Z46)</f>
        <v>39.200000000000003</v>
      </c>
      <c r="AH265" s="236" t="str">
        <f>IF('WetLitterbags placem_collection'!AA46="","",'WetLitterbags placem_collection'!AA46)</f>
        <v>G</v>
      </c>
      <c r="AI265">
        <f>IF('WetLitterbags placem_collection'!AC46="","",'WetLitterbags placem_collection'!AC46)</f>
        <v>0</v>
      </c>
      <c r="AJ265">
        <f>IFERROR(AVERAGE('Dry_Litterbag Placem_Collection'!O46,'Dry_Litterbag Placem_Collection'!R46),"")</f>
        <v>3.8499999999999996</v>
      </c>
      <c r="AK265" s="261">
        <f>IFERROR(AVERAGE('Dry_Litterbag Placem_Collection'!N46,'Dry_Litterbag Placem_Collection'!Q46),"")</f>
        <v>26.5</v>
      </c>
      <c r="AL265" s="260">
        <f>INDEX([2]Coordinates!$B$2:$B$197,MATCH(I265,[2]Coordinates!$J$2:$J$197,0))</f>
        <v>-3.4081529920000002</v>
      </c>
      <c r="AM265" s="260">
        <f>INDEX([2]Coordinates!$C$2:$C$197,MATCH(I265,[2]Coordinates!$J$2:$J$197,0))</f>
        <v>34.850168959999998</v>
      </c>
      <c r="AN265" s="260" t="str">
        <f>IF(ISNUMBER(SEARCH("C", 'Dry_Litterbag Placem_Collection'!T46)),"YES","NO")</f>
        <v>NO</v>
      </c>
      <c r="AO265" s="260" t="str">
        <f>IF(ISNUMBER(SEARCH("H", 'Dry_Litterbag Placem_Collection'!T46)),"YES","NO")</f>
        <v>NO</v>
      </c>
      <c r="AP265" s="260" t="str">
        <f>IF(ISNUMBER(SEARCH("R", 'Dry_Litterbag Placem_Collection'!T46)),"YES","NO")</f>
        <v>NO</v>
      </c>
    </row>
    <row r="266" spans="1:42" ht="15" customHeight="1">
      <c r="A266" t="s">
        <v>3248</v>
      </c>
      <c r="B266" s="252" t="s">
        <v>2643</v>
      </c>
      <c r="C266" s="253">
        <f>'Dry_Litterbag Placem_Collection'!A47</f>
        <v>45</v>
      </c>
      <c r="D266" s="253" t="str">
        <f>'Dry_Litterbag Placem_Collection'!B47</f>
        <v>Makao</v>
      </c>
      <c r="E266" s="253" t="s">
        <v>2643</v>
      </c>
      <c r="F266" s="253" t="s">
        <v>20</v>
      </c>
      <c r="G266" s="253">
        <v>2</v>
      </c>
      <c r="H266" s="253" t="s">
        <v>3108</v>
      </c>
      <c r="I266" s="254" t="str">
        <f>'Dry_Litterbag Placem_Collection'!C47</f>
        <v>Dry_P2_T5</v>
      </c>
      <c r="J266" s="255" t="s">
        <v>2525</v>
      </c>
      <c r="K266" s="262" t="s">
        <v>298</v>
      </c>
      <c r="L266" s="253" t="str">
        <f>IF(ISBLANK('Dry_Litterbag Placem_Collection'!K47),"","R"&amp;""&amp;'Dry_Litterbag Placem_Collection'!K47)</f>
        <v>R827</v>
      </c>
      <c r="M266" s="257">
        <f>IFERROR(INDEX('Green_rooibos initial weight'!$C$5:$C$2000,MATCH(L266, 'Green_rooibos initial weight'!$A$5:$A$2000,0)),"")</f>
        <v>2.222</v>
      </c>
      <c r="N266" s="257">
        <f>IFERROR(M266-(TBIcalc!$Q$9+TBIcalc!$Q$10),"")</f>
        <v>1.9722</v>
      </c>
      <c r="O266" s="378">
        <f>AVERAGE(Ashed_controlls!$K$12:$K$14)</f>
        <v>2.2816647271287041</v>
      </c>
      <c r="P266" s="257">
        <f t="shared" si="21"/>
        <v>1.9272010082515676</v>
      </c>
      <c r="Q266" s="257" t="str">
        <f>IFERROR(INDEX('Both teabags AfterDry'!$D$2:$D$2000,MATCH(L266,'Both teabags AfterDry'!$A$2:$A$2000,0)),"")</f>
        <v/>
      </c>
      <c r="R266" s="257" t="str">
        <f>IFERROR(IF(Q266&gt;0,Q266-(TBIcalc!$Q$9),""),"")</f>
        <v/>
      </c>
      <c r="S266" s="268" t="str">
        <f>IFERROR(INDEX('Ashed teabags dry'!$K$2:$K$2000,MATCH(L266,'Ashed teabags dry'!$A$2:$A$2000,0)),"")</f>
        <v/>
      </c>
      <c r="T266" s="268" t="str">
        <f t="shared" si="22"/>
        <v/>
      </c>
      <c r="U266" s="258">
        <f>IF('Dry_Litterbag Placem_Collection'!E47="","",'Dry_Litterbag Placem_Collection'!E47)</f>
        <v>42938</v>
      </c>
      <c r="V266" s="258">
        <f>IF('Dry_Litterbag Placem_Collection'!G47="","",'Dry_Litterbag Placem_Collection'!G47)</f>
        <v>43005</v>
      </c>
      <c r="W266" s="259">
        <f t="shared" si="20"/>
        <v>67</v>
      </c>
      <c r="X266" s="257" t="str">
        <f t="shared" si="23"/>
        <v/>
      </c>
      <c r="Y266" s="257" t="str">
        <f t="shared" si="24"/>
        <v/>
      </c>
      <c r="Z266" s="261">
        <f>IFERROR(INDEX([3]Rainfall_Dry!$O$2:$O$217,MATCH(C266, [3]Rainfall_Dry!$A$2:$A$217,0)),"")</f>
        <v>6.5250000359999998</v>
      </c>
      <c r="AA266" s="250">
        <v>19.96</v>
      </c>
      <c r="AB266" s="250">
        <v>4.9199999999999982</v>
      </c>
      <c r="AC266" s="250">
        <v>75.12</v>
      </c>
      <c r="AD266" s="251" t="s">
        <v>2652</v>
      </c>
      <c r="AE266" s="250">
        <v>1.641498275012321</v>
      </c>
      <c r="AF266">
        <f>IF('WetLitterbags placem_collection'!AB47="","",'WetLitterbags placem_collection'!AB47)</f>
        <v>2.2999999999999998</v>
      </c>
      <c r="AG266">
        <f>IF('WetLitterbags placem_collection'!Z47="","",'WetLitterbags placem_collection'!Z47)</f>
        <v>9.3000000000000007</v>
      </c>
      <c r="AH266" s="236" t="str">
        <f>IF('WetLitterbags placem_collection'!AA47="","",'WetLitterbags placem_collection'!AA47)</f>
        <v>O</v>
      </c>
      <c r="AI266">
        <f>IF('WetLitterbags placem_collection'!AC47="","",'WetLitterbags placem_collection'!AC47)</f>
        <v>0</v>
      </c>
      <c r="AJ266">
        <f>IFERROR(AVERAGE('Dry_Litterbag Placem_Collection'!O47,'Dry_Litterbag Placem_Collection'!R47),"")</f>
        <v>4.0999999999999996</v>
      </c>
      <c r="AK266" s="261">
        <f>IFERROR(AVERAGE('Dry_Litterbag Placem_Collection'!N47,'Dry_Litterbag Placem_Collection'!Q47),"")</f>
        <v>27.25</v>
      </c>
      <c r="AL266" s="260">
        <f>INDEX([2]Coordinates!$B$2:$B$197,MATCH(I266,[2]Coordinates!$J$2:$J$197,0))</f>
        <v>-3.4081789759999999</v>
      </c>
      <c r="AM266" s="260">
        <f>INDEX([2]Coordinates!$C$2:$C$197,MATCH(I266,[2]Coordinates!$J$2:$J$197,0))</f>
        <v>34.850516980000002</v>
      </c>
      <c r="AN266" s="260" t="str">
        <f>IF(ISNUMBER(SEARCH("C", 'Dry_Litterbag Placem_Collection'!T47)),"YES","NO")</f>
        <v>YES</v>
      </c>
      <c r="AO266" s="260" t="str">
        <f>IF(ISNUMBER(SEARCH("H", 'Dry_Litterbag Placem_Collection'!T47)),"YES","NO")</f>
        <v>YES</v>
      </c>
      <c r="AP266" s="260" t="str">
        <f>IF(ISNUMBER(SEARCH("R", 'Dry_Litterbag Placem_Collection'!T47)),"YES","NO")</f>
        <v>NO</v>
      </c>
    </row>
    <row r="267" spans="1:42" ht="15" customHeight="1">
      <c r="A267" t="s">
        <v>3248</v>
      </c>
      <c r="B267" s="252" t="s">
        <v>2643</v>
      </c>
      <c r="C267" s="253">
        <f>'Dry_Litterbag Placem_Collection'!A48</f>
        <v>46</v>
      </c>
      <c r="D267" s="253" t="str">
        <f>'Dry_Litterbag Placem_Collection'!B48</f>
        <v>Makao</v>
      </c>
      <c r="E267" s="253" t="s">
        <v>2643</v>
      </c>
      <c r="F267" s="253" t="s">
        <v>20</v>
      </c>
      <c r="G267" s="253">
        <v>2</v>
      </c>
      <c r="H267" s="253" t="s">
        <v>3108</v>
      </c>
      <c r="I267" s="254" t="str">
        <f>'Dry_Litterbag Placem_Collection'!C48</f>
        <v>Dry_P2_T6</v>
      </c>
      <c r="J267" s="255" t="s">
        <v>2525</v>
      </c>
      <c r="K267" s="262" t="s">
        <v>298</v>
      </c>
      <c r="L267" s="253" t="str">
        <f>IF(ISBLANK('Dry_Litterbag Placem_Collection'!K48),"","R"&amp;""&amp;'Dry_Litterbag Placem_Collection'!K48)</f>
        <v/>
      </c>
      <c r="M267" s="257" t="str">
        <f>IFERROR(INDEX('Green_rooibos initial weight'!$C$5:$C$2000,MATCH(L267, 'Green_rooibos initial weight'!$A$5:$A$2000,0)),"")</f>
        <v/>
      </c>
      <c r="N267" s="257" t="str">
        <f>IFERROR(M267-(TBIcalc!$Q$9+TBIcalc!$Q$10),"")</f>
        <v/>
      </c>
      <c r="O267" s="378">
        <f>AVERAGE(Ashed_controlls!$K$12:$K$14)</f>
        <v>2.2816647271287041</v>
      </c>
      <c r="P267" s="257" t="str">
        <f t="shared" si="21"/>
        <v/>
      </c>
      <c r="Q267" s="257" t="str">
        <f>IFERROR(INDEX('Both teabags AfterDry'!$D$2:$D$2000,MATCH(L267,'Both teabags AfterDry'!$A$2:$A$2000,0)),"")</f>
        <v/>
      </c>
      <c r="R267" s="257" t="str">
        <f>IFERROR(IF(Q267&gt;0,Q267-(TBIcalc!$Q$9),""),"")</f>
        <v/>
      </c>
      <c r="S267" s="268" t="str">
        <f>IFERROR(INDEX('Ashed teabags dry'!$K$2:$K$2000,MATCH(L267,'Ashed teabags dry'!$A$2:$A$2000,0)),"")</f>
        <v/>
      </c>
      <c r="T267" s="268" t="str">
        <f t="shared" si="22"/>
        <v/>
      </c>
      <c r="U267" s="258" t="str">
        <f>IF('Dry_Litterbag Placem_Collection'!E48="","",'Dry_Litterbag Placem_Collection'!E48)</f>
        <v/>
      </c>
      <c r="V267" s="258" t="str">
        <f>IF('Dry_Litterbag Placem_Collection'!G48="","",'Dry_Litterbag Placem_Collection'!G48)</f>
        <v/>
      </c>
      <c r="W267" s="259" t="str">
        <f t="shared" si="20"/>
        <v/>
      </c>
      <c r="X267" s="257" t="str">
        <f t="shared" si="23"/>
        <v/>
      </c>
      <c r="Y267" s="257" t="str">
        <f t="shared" si="24"/>
        <v/>
      </c>
      <c r="Z267" s="261" t="str">
        <f>IFERROR(INDEX([3]Rainfall_Dry!$O$2:$O$217,MATCH(C267, [3]Rainfall_Dry!$A$2:$A$217,0)),"")</f>
        <v/>
      </c>
      <c r="AA267" s="250">
        <v>19.96</v>
      </c>
      <c r="AB267" s="250">
        <v>4.9199999999999982</v>
      </c>
      <c r="AC267" s="250">
        <v>75.12</v>
      </c>
      <c r="AD267" s="251" t="s">
        <v>2652</v>
      </c>
      <c r="AE267" s="250">
        <v>1.641498275012321</v>
      </c>
      <c r="AF267" t="str">
        <f>IF('WetLitterbags placem_collection'!AB48="","",'WetLitterbags placem_collection'!AB48)</f>
        <v/>
      </c>
      <c r="AG267" t="str">
        <f>IF('WetLitterbags placem_collection'!Z48="","",'WetLitterbags placem_collection'!Z48)</f>
        <v/>
      </c>
      <c r="AH267" s="236" t="str">
        <f>IF('WetLitterbags placem_collection'!AA48="","",'WetLitterbags placem_collection'!AA48)</f>
        <v/>
      </c>
      <c r="AI267" t="str">
        <f>IF('WetLitterbags placem_collection'!AC48="","",'WetLitterbags placem_collection'!AC48)</f>
        <v/>
      </c>
      <c r="AJ267" t="str">
        <f>IFERROR(AVERAGE('Dry_Litterbag Placem_Collection'!O48,'Dry_Litterbag Placem_Collection'!R48),"")</f>
        <v/>
      </c>
      <c r="AK267" s="261" t="str">
        <f>IFERROR(AVERAGE('Dry_Litterbag Placem_Collection'!N48,'Dry_Litterbag Placem_Collection'!Q48),"")</f>
        <v/>
      </c>
      <c r="AL267" s="260">
        <f>INDEX([2]Coordinates!$B$2:$B$197,MATCH(I267,[2]Coordinates!$J$2:$J$197,0))</f>
        <v>-3.4084730130000001</v>
      </c>
      <c r="AM267" s="260">
        <f>INDEX([2]Coordinates!$C$2:$C$197,MATCH(I267,[2]Coordinates!$J$2:$J$197,0))</f>
        <v>34.850401980000001</v>
      </c>
      <c r="AN267" s="260" t="str">
        <f>IF(ISNUMBER(SEARCH("C", 'Dry_Litterbag Placem_Collection'!T48)),"YES","NO")</f>
        <v>NO</v>
      </c>
      <c r="AO267" s="260" t="str">
        <f>IF(ISNUMBER(SEARCH("H", 'Dry_Litterbag Placem_Collection'!T48)),"YES","NO")</f>
        <v>NO</v>
      </c>
      <c r="AP267" s="260" t="str">
        <f>IF(ISNUMBER(SEARCH("R", 'Dry_Litterbag Placem_Collection'!T48)),"YES","NO")</f>
        <v>NO</v>
      </c>
    </row>
    <row r="268" spans="1:42" ht="15" customHeight="1">
      <c r="A268" t="s">
        <v>3248</v>
      </c>
      <c r="B268" s="252" t="s">
        <v>2643</v>
      </c>
      <c r="C268" s="253">
        <f>'Dry_Litterbag Placem_Collection'!A49</f>
        <v>47</v>
      </c>
      <c r="D268" s="253" t="str">
        <f>'Dry_Litterbag Placem_Collection'!B49</f>
        <v>Makao</v>
      </c>
      <c r="E268" s="253" t="s">
        <v>2643</v>
      </c>
      <c r="F268" s="253" t="s">
        <v>20</v>
      </c>
      <c r="G268" s="253">
        <v>2</v>
      </c>
      <c r="H268" s="253" t="s">
        <v>3108</v>
      </c>
      <c r="I268" s="254" t="str">
        <f>'Dry_Litterbag Placem_Collection'!C49</f>
        <v>Dry_P2_T7</v>
      </c>
      <c r="J268" s="255" t="s">
        <v>2525</v>
      </c>
      <c r="K268" s="262" t="s">
        <v>298</v>
      </c>
      <c r="L268" s="253" t="str">
        <f>IF(ISBLANK('Dry_Litterbag Placem_Collection'!K49),"","R"&amp;""&amp;'Dry_Litterbag Placem_Collection'!K49)</f>
        <v>R831</v>
      </c>
      <c r="M268" s="257">
        <f>IFERROR(INDEX('Green_rooibos initial weight'!$C$5:$C$2000,MATCH(L268, 'Green_rooibos initial weight'!$A$5:$A$2000,0)),"")</f>
        <v>2.2410000000000001</v>
      </c>
      <c r="N268" s="257">
        <f>IFERROR(M268-(TBIcalc!$Q$9+TBIcalc!$Q$10),"")</f>
        <v>1.9912000000000001</v>
      </c>
      <c r="O268" s="378">
        <f>AVERAGE(Ashed_controlls!$K$12:$K$14)</f>
        <v>2.2816647271287041</v>
      </c>
      <c r="P268" s="257">
        <f t="shared" si="21"/>
        <v>1.9457674919534134</v>
      </c>
      <c r="Q268" s="257">
        <f>IFERROR(INDEX('Both teabags AfterDry'!$D$2:$D$2000,MATCH(L268,'Both teabags AfterDry'!$A$2:$A$2000,0)),"")</f>
        <v>1.9105000000000001</v>
      </c>
      <c r="R268" s="257">
        <f>IFERROR(IF(Q268&gt;0,Q268-(TBIcalc!$Q$9),""),"")</f>
        <v>1.7599</v>
      </c>
      <c r="S268" s="268">
        <f>IFERROR(INDEX('Ashed teabags dry'!$K$2:$K$2000,MATCH(L268,'Ashed teabags dry'!$A$2:$A$2000,0)),"")</f>
        <v>4.5857988165679391</v>
      </c>
      <c r="T268" s="268">
        <f t="shared" si="22"/>
        <v>1.6791945266272208</v>
      </c>
      <c r="U268" s="258">
        <f>IF('Dry_Litterbag Placem_Collection'!E49="","",'Dry_Litterbag Placem_Collection'!E49)</f>
        <v>42938</v>
      </c>
      <c r="V268" s="258">
        <f>IF('Dry_Litterbag Placem_Collection'!G49="","",'Dry_Litterbag Placem_Collection'!G49)</f>
        <v>43005</v>
      </c>
      <c r="W268" s="259">
        <f t="shared" si="20"/>
        <v>67</v>
      </c>
      <c r="X268" s="257">
        <f t="shared" si="23"/>
        <v>0.23130000000000006</v>
      </c>
      <c r="Y268" s="257">
        <f t="shared" si="24"/>
        <v>0.26657296532619257</v>
      </c>
      <c r="Z268" s="261">
        <f>IFERROR(INDEX([3]Rainfall_Dry!$O$2:$O$217,MATCH(C268, [3]Rainfall_Dry!$A$2:$A$217,0)),"")</f>
        <v>6.5250000359999998</v>
      </c>
      <c r="AA268" s="250">
        <v>19.96</v>
      </c>
      <c r="AB268" s="250">
        <v>4.9199999999999982</v>
      </c>
      <c r="AC268" s="250">
        <v>75.12</v>
      </c>
      <c r="AD268" s="251" t="s">
        <v>2652</v>
      </c>
      <c r="AE268" s="250">
        <v>1.641498275012321</v>
      </c>
      <c r="AF268">
        <f>IF('WetLitterbags placem_collection'!AB49="","",'WetLitterbags placem_collection'!AB49)</f>
        <v>5.2</v>
      </c>
      <c r="AG268">
        <f>IF('WetLitterbags placem_collection'!Z49="","",'WetLitterbags placem_collection'!Z49)</f>
        <v>5.2</v>
      </c>
      <c r="AH268" s="236" t="str">
        <f>IF('WetLitterbags placem_collection'!AA49="","",'WetLitterbags placem_collection'!AA49)</f>
        <v>G</v>
      </c>
      <c r="AI268">
        <f>IF('WetLitterbags placem_collection'!AC49="","",'WetLitterbags placem_collection'!AC49)</f>
        <v>0</v>
      </c>
      <c r="AJ268">
        <f>IFERROR(AVERAGE('Dry_Litterbag Placem_Collection'!O49,'Dry_Litterbag Placem_Collection'!R49),"")</f>
        <v>5.35</v>
      </c>
      <c r="AK268" s="261">
        <f>IFERROR(AVERAGE('Dry_Litterbag Placem_Collection'!N49,'Dry_Litterbag Placem_Collection'!Q49),"")</f>
        <v>26.4</v>
      </c>
      <c r="AL268" s="260">
        <f>INDEX([2]Coordinates!$B$2:$B$197,MATCH(I268,[2]Coordinates!$J$2:$J$197,0))</f>
        <v>-3.4084819820000001</v>
      </c>
      <c r="AM268" s="260">
        <f>INDEX([2]Coordinates!$C$2:$C$197,MATCH(I268,[2]Coordinates!$J$2:$J$197,0))</f>
        <v>34.850024040000001</v>
      </c>
      <c r="AN268" s="260" t="str">
        <f>IF(ISNUMBER(SEARCH("C", 'Dry_Litterbag Placem_Collection'!T49)),"YES","NO")</f>
        <v>NO</v>
      </c>
      <c r="AO268" s="260" t="str">
        <f>IF(ISNUMBER(SEARCH("H", 'Dry_Litterbag Placem_Collection'!T49)),"YES","NO")</f>
        <v>YES</v>
      </c>
      <c r="AP268" s="260" t="str">
        <f>IF(ISNUMBER(SEARCH("R", 'Dry_Litterbag Placem_Collection'!T49)),"YES","NO")</f>
        <v>NO</v>
      </c>
    </row>
    <row r="269" spans="1:42" ht="15" customHeight="1">
      <c r="A269" t="s">
        <v>3248</v>
      </c>
      <c r="B269" s="252" t="s">
        <v>2643</v>
      </c>
      <c r="C269" s="253">
        <f>'Dry_Litterbag Placem_Collection'!A50</f>
        <v>48</v>
      </c>
      <c r="D269" s="253" t="str">
        <f>'Dry_Litterbag Placem_Collection'!B50</f>
        <v>Makao</v>
      </c>
      <c r="E269" s="253" t="s">
        <v>2643</v>
      </c>
      <c r="F269" s="253" t="s">
        <v>20</v>
      </c>
      <c r="G269" s="253">
        <v>2</v>
      </c>
      <c r="H269" s="253" t="s">
        <v>3108</v>
      </c>
      <c r="I269" s="254" t="str">
        <f>'Dry_Litterbag Placem_Collection'!C50</f>
        <v>Dry_P2_T8</v>
      </c>
      <c r="J269" s="255" t="s">
        <v>2525</v>
      </c>
      <c r="K269" s="262" t="s">
        <v>298</v>
      </c>
      <c r="L269" s="253" t="str">
        <f>IF(ISBLANK('Dry_Litterbag Placem_Collection'!K50),"","R"&amp;""&amp;'Dry_Litterbag Placem_Collection'!K50)</f>
        <v>R828</v>
      </c>
      <c r="M269" s="257">
        <f>IFERROR(INDEX('Green_rooibos initial weight'!$C$5:$C$2000,MATCH(L269, 'Green_rooibos initial weight'!$A$5:$A$2000,0)),"")</f>
        <v>2.2330000000000001</v>
      </c>
      <c r="N269" s="257">
        <f>IFERROR(M269-(TBIcalc!$Q$9+TBIcalc!$Q$10),"")</f>
        <v>1.9832000000000001</v>
      </c>
      <c r="O269" s="378">
        <f>AVERAGE(Ashed_controlls!$K$12:$K$14)</f>
        <v>2.2816647271287041</v>
      </c>
      <c r="P269" s="257">
        <f t="shared" si="21"/>
        <v>1.9379500251315835</v>
      </c>
      <c r="Q269" s="257">
        <f>IFERROR(INDEX('Both teabags AfterDry'!$D$2:$D$2000,MATCH(L269,'Both teabags AfterDry'!$A$2:$A$2000,0)),"")</f>
        <v>1.7596000000000001</v>
      </c>
      <c r="R269" s="257">
        <f>IFERROR(IF(Q269&gt;0,Q269-(TBIcalc!$Q$9),""),"")</f>
        <v>1.609</v>
      </c>
      <c r="S269" s="268">
        <f>IFERROR(INDEX('Ashed teabags dry'!$K$2:$K$2000,MATCH(L269,'Ashed teabags dry'!$A$2:$A$2000,0)),"")</f>
        <v>2.0276953511382803</v>
      </c>
      <c r="T269" s="268">
        <f t="shared" si="22"/>
        <v>1.576374381800185</v>
      </c>
      <c r="U269" s="258">
        <f>IF('Dry_Litterbag Placem_Collection'!E50="","",'Dry_Litterbag Placem_Collection'!E50)</f>
        <v>42938</v>
      </c>
      <c r="V269" s="258">
        <f>IF('Dry_Litterbag Placem_Collection'!G50="","",'Dry_Litterbag Placem_Collection'!G50)</f>
        <v>43005</v>
      </c>
      <c r="W269" s="259">
        <f t="shared" si="20"/>
        <v>67</v>
      </c>
      <c r="X269" s="257">
        <f t="shared" si="23"/>
        <v>0.37420000000000009</v>
      </c>
      <c r="Y269" s="257">
        <f t="shared" si="24"/>
        <v>0.36157564333139858</v>
      </c>
      <c r="Z269" s="261">
        <f>IFERROR(INDEX([3]Rainfall_Dry!$O$2:$O$217,MATCH(C269, [3]Rainfall_Dry!$A$2:$A$217,0)),"")</f>
        <v>6.5250000359999998</v>
      </c>
      <c r="AA269" s="250">
        <v>19.96</v>
      </c>
      <c r="AB269" s="250">
        <v>4.9199999999999982</v>
      </c>
      <c r="AC269" s="250">
        <v>75.12</v>
      </c>
      <c r="AD269" s="251" t="s">
        <v>2652</v>
      </c>
      <c r="AE269" s="250">
        <v>1.641498275012321</v>
      </c>
      <c r="AF269">
        <f>IF('WetLitterbags placem_collection'!AB50="","",'WetLitterbags placem_collection'!AB50)</f>
        <v>7.3</v>
      </c>
      <c r="AG269">
        <f>IF('WetLitterbags placem_collection'!Z50="","",'WetLitterbags placem_collection'!Z50)</f>
        <v>27.2</v>
      </c>
      <c r="AH269" s="236" t="str">
        <f>IF('WetLitterbags placem_collection'!AA50="","",'WetLitterbags placem_collection'!AA50)</f>
        <v>M</v>
      </c>
      <c r="AI269">
        <f>IF('WetLitterbags placem_collection'!AC50="","",'WetLitterbags placem_collection'!AC50)</f>
        <v>0</v>
      </c>
      <c r="AJ269">
        <f>IFERROR(AVERAGE('Dry_Litterbag Placem_Collection'!O50,'Dry_Litterbag Placem_Collection'!R50),"")</f>
        <v>3.95</v>
      </c>
      <c r="AK269" s="261">
        <f>IFERROR(AVERAGE('Dry_Litterbag Placem_Collection'!N50,'Dry_Litterbag Placem_Collection'!Q50),"")</f>
        <v>25.950000000000003</v>
      </c>
      <c r="AL269" s="260">
        <f>INDEX([2]Coordinates!$B$2:$B$197,MATCH(I269,[2]Coordinates!$J$2:$J$197,0))</f>
        <v>-3.4081990090000001</v>
      </c>
      <c r="AM269" s="260">
        <f>INDEX([2]Coordinates!$C$2:$C$197,MATCH(I269,[2]Coordinates!$J$2:$J$197,0))</f>
        <v>34.850254960000001</v>
      </c>
      <c r="AN269" s="260" t="str">
        <f>IF(ISNUMBER(SEARCH("C", 'Dry_Litterbag Placem_Collection'!T50)),"YES","NO")</f>
        <v>NO</v>
      </c>
      <c r="AO269" s="260" t="str">
        <f>IF(ISNUMBER(SEARCH("H", 'Dry_Litterbag Placem_Collection'!T50)),"YES","NO")</f>
        <v>NO</v>
      </c>
      <c r="AP269" s="260" t="str">
        <f>IF(ISNUMBER(SEARCH("R", 'Dry_Litterbag Placem_Collection'!T50)),"YES","NO")</f>
        <v>NO</v>
      </c>
    </row>
    <row r="270" spans="1:42" ht="15" customHeight="1">
      <c r="A270" t="s">
        <v>3248</v>
      </c>
      <c r="B270" s="252" t="s">
        <v>2643</v>
      </c>
      <c r="C270" s="253">
        <f>'Dry_Litterbag Placem_Collection'!A51</f>
        <v>49</v>
      </c>
      <c r="D270" s="253" t="str">
        <f>'Dry_Litterbag Placem_Collection'!B51</f>
        <v>Makao</v>
      </c>
      <c r="E270" s="253" t="s">
        <v>2643</v>
      </c>
      <c r="F270" s="253" t="s">
        <v>20</v>
      </c>
      <c r="G270" s="253">
        <v>3</v>
      </c>
      <c r="H270" s="253" t="s">
        <v>3109</v>
      </c>
      <c r="I270" s="254" t="str">
        <f>'Dry_Litterbag Placem_Collection'!C51</f>
        <v>Dry_P3_T1</v>
      </c>
      <c r="J270" s="255" t="s">
        <v>2525</v>
      </c>
      <c r="K270" s="262" t="s">
        <v>298</v>
      </c>
      <c r="L270" s="253" t="str">
        <f>IF(ISBLANK('Dry_Litterbag Placem_Collection'!K51),"","R"&amp;""&amp;'Dry_Litterbag Placem_Collection'!K51)</f>
        <v>R805</v>
      </c>
      <c r="M270" s="257">
        <f>IFERROR(INDEX('Green_rooibos initial weight'!$C$5:$C$2000,MATCH(L270, 'Green_rooibos initial weight'!$A$5:$A$2000,0)),"")</f>
        <v>2.2469999999999999</v>
      </c>
      <c r="N270" s="257">
        <f>IFERROR(M270-(TBIcalc!$Q$9+TBIcalc!$Q$10),"")</f>
        <v>1.9971999999999999</v>
      </c>
      <c r="O270" s="378">
        <f>AVERAGE(Ashed_controlls!$K$12:$K$14)</f>
        <v>2.2816647271287041</v>
      </c>
      <c r="P270" s="257">
        <f t="shared" si="21"/>
        <v>1.9516305920697854</v>
      </c>
      <c r="Q270" s="257" t="str">
        <f>IFERROR(INDEX('Both teabags AfterDry'!$D$2:$D$2000,MATCH(L270,'Both teabags AfterDry'!$A$2:$A$2000,0)),"")</f>
        <v/>
      </c>
      <c r="R270" s="257" t="str">
        <f>IFERROR(IF(Q270&gt;0,Q270-(TBIcalc!$Q$9),""),"")</f>
        <v/>
      </c>
      <c r="S270" s="268" t="str">
        <f>IFERROR(INDEX('Ashed teabags dry'!$K$2:$K$2000,MATCH(L270,'Ashed teabags dry'!$A$2:$A$2000,0)),"")</f>
        <v/>
      </c>
      <c r="T270" s="268" t="str">
        <f t="shared" si="22"/>
        <v/>
      </c>
      <c r="U270" s="258">
        <f>IF('Dry_Litterbag Placem_Collection'!E51="","",'Dry_Litterbag Placem_Collection'!E51)</f>
        <v>42938</v>
      </c>
      <c r="V270" s="258">
        <f>IF('Dry_Litterbag Placem_Collection'!G51="","",'Dry_Litterbag Placem_Collection'!G51)</f>
        <v>43005</v>
      </c>
      <c r="W270" s="259">
        <f t="shared" si="20"/>
        <v>67</v>
      </c>
      <c r="X270" s="257" t="str">
        <f t="shared" si="23"/>
        <v/>
      </c>
      <c r="Y270" s="257" t="str">
        <f t="shared" si="24"/>
        <v/>
      </c>
      <c r="Z270" s="261">
        <f>IFERROR(INDEX([3]Rainfall_Dry!$O$2:$O$217,MATCH(C270, [3]Rainfall_Dry!$A$2:$A$217,0)),"")</f>
        <v>6.5250000359999998</v>
      </c>
      <c r="AA270" s="250">
        <v>21.96</v>
      </c>
      <c r="AB270" s="250">
        <v>8.9199999999999982</v>
      </c>
      <c r="AC270" s="250">
        <v>69.12</v>
      </c>
      <c r="AD270" s="251" t="s">
        <v>2651</v>
      </c>
      <c r="AE270" s="250">
        <v>1.7491375061606702</v>
      </c>
      <c r="AF270">
        <f>IF('WetLitterbags placem_collection'!AB51="","",'WetLitterbags placem_collection'!AB51)</f>
        <v>10.4</v>
      </c>
      <c r="AG270">
        <f>IF('WetLitterbags placem_collection'!Z51="","",'WetLitterbags placem_collection'!Z51)</f>
        <v>36</v>
      </c>
      <c r="AH270" s="236" t="str">
        <f>IF('WetLitterbags placem_collection'!AA51="","",'WetLitterbags placem_collection'!AA51)</f>
        <v>M</v>
      </c>
      <c r="AI270">
        <f>IF('WetLitterbags placem_collection'!AC51="","",'WetLitterbags placem_collection'!AC51)</f>
        <v>1</v>
      </c>
      <c r="AJ270">
        <f>IFERROR(AVERAGE('Dry_Litterbag Placem_Collection'!O51,'Dry_Litterbag Placem_Collection'!R51),"")</f>
        <v>7.05</v>
      </c>
      <c r="AK270" s="261">
        <f>IFERROR(AVERAGE('Dry_Litterbag Placem_Collection'!N51,'Dry_Litterbag Placem_Collection'!Q51),"")</f>
        <v>31.5</v>
      </c>
      <c r="AL270" s="260">
        <f>INDEX([2]Coordinates!$B$2:$B$197,MATCH(I270,[2]Coordinates!$J$2:$J$197,0))</f>
        <v>-3.406225992</v>
      </c>
      <c r="AM270" s="260">
        <f>INDEX([2]Coordinates!$C$2:$C$197,MATCH(I270,[2]Coordinates!$J$2:$J$197,0))</f>
        <v>34.85055998</v>
      </c>
      <c r="AN270" s="260" t="str">
        <f>IF(ISNUMBER(SEARCH("C", 'Dry_Litterbag Placem_Collection'!T51)),"YES","NO")</f>
        <v>NO</v>
      </c>
      <c r="AO270" s="260" t="str">
        <f>IF(ISNUMBER(SEARCH("H", 'Dry_Litterbag Placem_Collection'!T51)),"YES","NO")</f>
        <v>NO</v>
      </c>
      <c r="AP270" s="260" t="str">
        <f>IF(ISNUMBER(SEARCH("R", 'Dry_Litterbag Placem_Collection'!T51)),"YES","NO")</f>
        <v>NO</v>
      </c>
    </row>
    <row r="271" spans="1:42" ht="15" customHeight="1">
      <c r="A271" t="s">
        <v>3248</v>
      </c>
      <c r="B271" s="252" t="s">
        <v>2643</v>
      </c>
      <c r="C271" s="253">
        <f>'Dry_Litterbag Placem_Collection'!A52</f>
        <v>50</v>
      </c>
      <c r="D271" s="253" t="str">
        <f>'Dry_Litterbag Placem_Collection'!B52</f>
        <v>Makao</v>
      </c>
      <c r="E271" s="253" t="s">
        <v>2643</v>
      </c>
      <c r="F271" s="253" t="s">
        <v>20</v>
      </c>
      <c r="G271" s="253">
        <v>3</v>
      </c>
      <c r="H271" s="253" t="s">
        <v>3109</v>
      </c>
      <c r="I271" s="254" t="str">
        <f>'Dry_Litterbag Placem_Collection'!C52</f>
        <v>Dry_P3_T2</v>
      </c>
      <c r="J271" s="255" t="s">
        <v>2525</v>
      </c>
      <c r="K271" s="262" t="s">
        <v>298</v>
      </c>
      <c r="L271" s="253" t="str">
        <f>IF(ISBLANK('Dry_Litterbag Placem_Collection'!K52),"","R"&amp;""&amp;'Dry_Litterbag Placem_Collection'!K52)</f>
        <v>R754</v>
      </c>
      <c r="M271" s="257">
        <f>IFERROR(INDEX('Green_rooibos initial weight'!$C$5:$C$2000,MATCH(L271, 'Green_rooibos initial weight'!$A$5:$A$2000,0)),"")</f>
        <v>2.2069999999999999</v>
      </c>
      <c r="N271" s="257">
        <f>IFERROR(M271-(TBIcalc!$Q$9+TBIcalc!$Q$10),"")</f>
        <v>1.9571999999999998</v>
      </c>
      <c r="O271" s="378">
        <f>AVERAGE(Ashed_controlls!$K$12:$K$14)</f>
        <v>2.2816647271287041</v>
      </c>
      <c r="P271" s="257">
        <f t="shared" si="21"/>
        <v>1.9125432579606367</v>
      </c>
      <c r="Q271" s="257" t="str">
        <f>IFERROR(INDEX('Both teabags AfterDry'!$D$2:$D$2000,MATCH(L271,'Both teabags AfterDry'!$A$2:$A$2000,0)),"")</f>
        <v/>
      </c>
      <c r="R271" s="257" t="str">
        <f>IFERROR(IF(Q271&gt;0,Q271-(TBIcalc!$Q$9),""),"")</f>
        <v/>
      </c>
      <c r="S271" s="268" t="str">
        <f>IFERROR(INDEX('Ashed teabags dry'!$K$2:$K$2000,MATCH(L271,'Ashed teabags dry'!$A$2:$A$2000,0)),"")</f>
        <v/>
      </c>
      <c r="T271" s="268" t="str">
        <f t="shared" si="22"/>
        <v/>
      </c>
      <c r="U271" s="258">
        <f>IF('Dry_Litterbag Placem_Collection'!E52="","",'Dry_Litterbag Placem_Collection'!E52)</f>
        <v>42938</v>
      </c>
      <c r="V271" s="258" t="str">
        <f>IF('Dry_Litterbag Placem_Collection'!G52="","",'Dry_Litterbag Placem_Collection'!G52)</f>
        <v/>
      </c>
      <c r="W271" s="259" t="str">
        <f t="shared" si="20"/>
        <v/>
      </c>
      <c r="X271" s="257" t="str">
        <f t="shared" si="23"/>
        <v/>
      </c>
      <c r="Y271" s="257" t="str">
        <f t="shared" si="24"/>
        <v/>
      </c>
      <c r="Z271" s="261" t="str">
        <f>IFERROR(INDEX([3]Rainfall_Dry!$O$2:$O$217,MATCH(C271, [3]Rainfall_Dry!$A$2:$A$217,0)),"")</f>
        <v/>
      </c>
      <c r="AA271" s="250">
        <v>21.96</v>
      </c>
      <c r="AB271" s="250">
        <v>8.9199999999999982</v>
      </c>
      <c r="AC271" s="250">
        <v>69.12</v>
      </c>
      <c r="AD271" s="251" t="s">
        <v>2651</v>
      </c>
      <c r="AE271" s="250">
        <v>1.7491375061606702</v>
      </c>
      <c r="AF271">
        <f>IF('WetLitterbags placem_collection'!AB52="","",'WetLitterbags placem_collection'!AB52)</f>
        <v>10</v>
      </c>
      <c r="AG271">
        <f>IF('WetLitterbags placem_collection'!Z52="","",'WetLitterbags placem_collection'!Z52)</f>
        <v>22.5</v>
      </c>
      <c r="AH271" s="236" t="str">
        <f>IF('WetLitterbags placem_collection'!AA52="","",'WetLitterbags placem_collection'!AA52)</f>
        <v>M</v>
      </c>
      <c r="AI271">
        <f>IF('WetLitterbags placem_collection'!AC52="","",'WetLitterbags placem_collection'!AC52)</f>
        <v>1</v>
      </c>
      <c r="AJ271">
        <f>IFERROR(AVERAGE('Dry_Litterbag Placem_Collection'!O52,'Dry_Litterbag Placem_Collection'!R52),"")</f>
        <v>6.4</v>
      </c>
      <c r="AK271" s="261">
        <f>IFERROR(AVERAGE('Dry_Litterbag Placem_Collection'!N52,'Dry_Litterbag Placem_Collection'!Q52),"")</f>
        <v>27.6</v>
      </c>
      <c r="AL271" s="260">
        <f>INDEX([2]Coordinates!$B$2:$B$197,MATCH(I271,[2]Coordinates!$J$2:$J$197,0))</f>
        <v>-3.4062630399999998</v>
      </c>
      <c r="AM271" s="260">
        <f>INDEX([2]Coordinates!$C$2:$C$197,MATCH(I271,[2]Coordinates!$J$2:$J$197,0))</f>
        <v>34.850566010000001</v>
      </c>
      <c r="AN271" s="260" t="str">
        <f>IF(ISNUMBER(SEARCH("C", 'Dry_Litterbag Placem_Collection'!T52)),"YES","NO")</f>
        <v>NO</v>
      </c>
      <c r="AO271" s="260" t="str">
        <f>IF(ISNUMBER(SEARCH("H", 'Dry_Litterbag Placem_Collection'!T52)),"YES","NO")</f>
        <v>NO</v>
      </c>
      <c r="AP271" s="260" t="str">
        <f>IF(ISNUMBER(SEARCH("R", 'Dry_Litterbag Placem_Collection'!T52)),"YES","NO")</f>
        <v>NO</v>
      </c>
    </row>
    <row r="272" spans="1:42" ht="15" customHeight="1">
      <c r="A272" t="s">
        <v>3248</v>
      </c>
      <c r="B272" s="252" t="s">
        <v>2643</v>
      </c>
      <c r="C272" s="253">
        <f>'Dry_Litterbag Placem_Collection'!A53</f>
        <v>51</v>
      </c>
      <c r="D272" s="253" t="str">
        <f>'Dry_Litterbag Placem_Collection'!B53</f>
        <v>Makao</v>
      </c>
      <c r="E272" s="253" t="s">
        <v>2643</v>
      </c>
      <c r="F272" s="253" t="s">
        <v>20</v>
      </c>
      <c r="G272" s="253">
        <v>3</v>
      </c>
      <c r="H272" s="253" t="s">
        <v>3109</v>
      </c>
      <c r="I272" s="254" t="str">
        <f>'Dry_Litterbag Placem_Collection'!C53</f>
        <v>Dry_P3_T3</v>
      </c>
      <c r="J272" s="255" t="s">
        <v>2525</v>
      </c>
      <c r="K272" s="262" t="s">
        <v>298</v>
      </c>
      <c r="L272" s="253" t="str">
        <f>IF(ISBLANK('Dry_Litterbag Placem_Collection'!K53),"","R"&amp;""&amp;'Dry_Litterbag Placem_Collection'!K53)</f>
        <v>R798</v>
      </c>
      <c r="M272" s="257">
        <f>IFERROR(INDEX('Green_rooibos initial weight'!$C$5:$C$2000,MATCH(L272, 'Green_rooibos initial weight'!$A$5:$A$2000,0)),"")</f>
        <v>2.1850000000000001</v>
      </c>
      <c r="N272" s="257">
        <f>IFERROR(M272-(TBIcalc!$Q$9+TBIcalc!$Q$10),"")</f>
        <v>1.9352</v>
      </c>
      <c r="O272" s="378">
        <f>AVERAGE(Ashed_controlls!$K$12:$K$14)</f>
        <v>2.2816647271287041</v>
      </c>
      <c r="P272" s="257">
        <f t="shared" si="21"/>
        <v>1.8910452242006053</v>
      </c>
      <c r="Q272" s="257">
        <f>IFERROR(INDEX('Both teabags AfterDry'!$D$2:$D$2000,MATCH(L272,'Both teabags AfterDry'!$A$2:$A$2000,0)),"")</f>
        <v>1.8956999999999999</v>
      </c>
      <c r="R272" s="257">
        <f>IFERROR(IF(Q272&gt;0,Q272-(TBIcalc!$Q$9),""),"")</f>
        <v>1.7450999999999999</v>
      </c>
      <c r="S272" s="268">
        <f>IFERROR(INDEX('Ashed teabags dry'!$K$2:$K$2000,MATCH(L272,'Ashed teabags dry'!$A$2:$A$2000,0)),"")</f>
        <v>3.1954887218038985</v>
      </c>
      <c r="T272" s="268">
        <f t="shared" si="22"/>
        <v>1.6893355263158001</v>
      </c>
      <c r="U272" s="258">
        <f>IF('Dry_Litterbag Placem_Collection'!E53="","",'Dry_Litterbag Placem_Collection'!E53)</f>
        <v>42938</v>
      </c>
      <c r="V272" s="258">
        <f>IF('Dry_Litterbag Placem_Collection'!G53="","",'Dry_Litterbag Placem_Collection'!G53)</f>
        <v>43005</v>
      </c>
      <c r="W272" s="259">
        <f t="shared" si="20"/>
        <v>67</v>
      </c>
      <c r="X272" s="257">
        <f t="shared" si="23"/>
        <v>0.19010000000000016</v>
      </c>
      <c r="Y272" s="257">
        <f t="shared" si="24"/>
        <v>0.20170969788480519</v>
      </c>
      <c r="Z272" s="261">
        <f>IFERROR(INDEX([3]Rainfall_Dry!$O$2:$O$217,MATCH(C272, [3]Rainfall_Dry!$A$2:$A$217,0)),"")</f>
        <v>6.5250000359999998</v>
      </c>
      <c r="AA272" s="250">
        <v>21.96</v>
      </c>
      <c r="AB272" s="250">
        <v>8.9199999999999982</v>
      </c>
      <c r="AC272" s="250">
        <v>69.12</v>
      </c>
      <c r="AD272" s="251" t="s">
        <v>2651</v>
      </c>
      <c r="AE272" s="250">
        <v>1.7491375061606702</v>
      </c>
      <c r="AF272">
        <f>IF('WetLitterbags placem_collection'!AB53="","",'WetLitterbags placem_collection'!AB53)</f>
        <v>3</v>
      </c>
      <c r="AG272">
        <f>IF('WetLitterbags placem_collection'!Z53="","",'WetLitterbags placem_collection'!Z53)</f>
        <v>18</v>
      </c>
      <c r="AH272" s="236" t="str">
        <f>IF('WetLitterbags placem_collection'!AA53="","",'WetLitterbags placem_collection'!AA53)</f>
        <v>O</v>
      </c>
      <c r="AI272">
        <f>IF('WetLitterbags placem_collection'!AC53="","",'WetLitterbags placem_collection'!AC53)</f>
        <v>0</v>
      </c>
      <c r="AJ272">
        <f>IFERROR(AVERAGE('Dry_Litterbag Placem_Collection'!O53,'Dry_Litterbag Placem_Collection'!R53),"")</f>
        <v>2.4500000000000002</v>
      </c>
      <c r="AK272" s="261">
        <f>IFERROR(AVERAGE('Dry_Litterbag Placem_Collection'!N53,'Dry_Litterbag Placem_Collection'!Q53),"")</f>
        <v>34.450000000000003</v>
      </c>
      <c r="AL272" s="260">
        <f>INDEX([2]Coordinates!$B$2:$B$197,MATCH(I272,[2]Coordinates!$J$2:$J$197,0))</f>
        <v>-3.4063920379999999</v>
      </c>
      <c r="AM272" s="260">
        <f>INDEX([2]Coordinates!$C$2:$C$197,MATCH(I272,[2]Coordinates!$J$2:$J$197,0))</f>
        <v>34.850696020000001</v>
      </c>
      <c r="AN272" s="260" t="str">
        <f>IF(ISNUMBER(SEARCH("C", 'Dry_Litterbag Placem_Collection'!T53)),"YES","NO")</f>
        <v>NO</v>
      </c>
      <c r="AO272" s="260" t="str">
        <f>IF(ISNUMBER(SEARCH("H", 'Dry_Litterbag Placem_Collection'!T53)),"YES","NO")</f>
        <v>NO</v>
      </c>
      <c r="AP272" s="260" t="str">
        <f>IF(ISNUMBER(SEARCH("R", 'Dry_Litterbag Placem_Collection'!T53)),"YES","NO")</f>
        <v>NO</v>
      </c>
    </row>
    <row r="273" spans="1:42" ht="15" customHeight="1">
      <c r="A273" t="s">
        <v>3248</v>
      </c>
      <c r="B273" s="252" t="s">
        <v>2643</v>
      </c>
      <c r="C273" s="253">
        <f>'Dry_Litterbag Placem_Collection'!A54</f>
        <v>52</v>
      </c>
      <c r="D273" s="253" t="str">
        <f>'Dry_Litterbag Placem_Collection'!B54</f>
        <v>Makao</v>
      </c>
      <c r="E273" s="253" t="s">
        <v>2643</v>
      </c>
      <c r="F273" s="253" t="s">
        <v>20</v>
      </c>
      <c r="G273" s="253">
        <v>3</v>
      </c>
      <c r="H273" s="253" t="s">
        <v>3109</v>
      </c>
      <c r="I273" s="254" t="str">
        <f>'Dry_Litterbag Placem_Collection'!C54</f>
        <v>Dry_P3_T4</v>
      </c>
      <c r="J273" s="255" t="s">
        <v>2525</v>
      </c>
      <c r="K273" s="262" t="s">
        <v>298</v>
      </c>
      <c r="L273" s="253" t="str">
        <f>IF(ISBLANK('Dry_Litterbag Placem_Collection'!K54),"","R"&amp;""&amp;'Dry_Litterbag Placem_Collection'!K54)</f>
        <v>R833</v>
      </c>
      <c r="M273" s="257">
        <f>IFERROR(INDEX('Green_rooibos initial weight'!$C$5:$C$2000,MATCH(L273, 'Green_rooibos initial weight'!$A$5:$A$2000,0)),"")</f>
        <v>2.218</v>
      </c>
      <c r="N273" s="257">
        <f>IFERROR(M273-(TBIcalc!$Q$9+TBIcalc!$Q$10),"")</f>
        <v>1.9681999999999999</v>
      </c>
      <c r="O273" s="378">
        <f>AVERAGE(Ashed_controlls!$K$12:$K$14)</f>
        <v>2.2816647271287041</v>
      </c>
      <c r="P273" s="257">
        <f t="shared" si="21"/>
        <v>1.9232922748406529</v>
      </c>
      <c r="Q273" s="257">
        <f>IFERROR(INDEX('Both teabags AfterDry'!$D$2:$D$2000,MATCH(L273,'Both teabags AfterDry'!$A$2:$A$2000,0)),"")</f>
        <v>1.9791000000000001</v>
      </c>
      <c r="R273" s="257">
        <f>IFERROR(IF(Q273&gt;0,Q273-(TBIcalc!$Q$9),""),"")</f>
        <v>1.8285</v>
      </c>
      <c r="S273" s="268">
        <f>IFERROR(INDEX('Ashed teabags dry'!$K$2:$K$2000,MATCH(L273,'Ashed teabags dry'!$A$2:$A$2000,0)),"")</f>
        <v>3.0042918454938667</v>
      </c>
      <c r="T273" s="268">
        <f t="shared" si="22"/>
        <v>1.7735665236051446</v>
      </c>
      <c r="U273" s="258">
        <f>IF('Dry_Litterbag Placem_Collection'!E54="","",'Dry_Litterbag Placem_Collection'!E54)</f>
        <v>42938</v>
      </c>
      <c r="V273" s="258">
        <f>IF('Dry_Litterbag Placem_Collection'!G54="","",'Dry_Litterbag Placem_Collection'!G54)</f>
        <v>43005</v>
      </c>
      <c r="W273" s="259">
        <f t="shared" si="20"/>
        <v>67</v>
      </c>
      <c r="X273" s="257">
        <f t="shared" si="23"/>
        <v>0.13969999999999994</v>
      </c>
      <c r="Y273" s="257">
        <f t="shared" si="24"/>
        <v>0.14972575123550835</v>
      </c>
      <c r="Z273" s="261">
        <f>IFERROR(INDEX([3]Rainfall_Dry!$O$2:$O$217,MATCH(C273, [3]Rainfall_Dry!$A$2:$A$217,0)),"")</f>
        <v>6.5250000359999998</v>
      </c>
      <c r="AA273" s="250">
        <v>21.96</v>
      </c>
      <c r="AB273" s="250">
        <v>8.9199999999999982</v>
      </c>
      <c r="AC273" s="250">
        <v>69.12</v>
      </c>
      <c r="AD273" s="251" t="s">
        <v>2651</v>
      </c>
      <c r="AE273" s="250">
        <v>1.7491375061606702</v>
      </c>
      <c r="AF273">
        <f>IF('WetLitterbags placem_collection'!AB54="","",'WetLitterbags placem_collection'!AB54)</f>
        <v>13.4</v>
      </c>
      <c r="AG273">
        <f>IF('WetLitterbags placem_collection'!Z54="","",'WetLitterbags placem_collection'!Z54)</f>
        <v>67</v>
      </c>
      <c r="AH273" s="236" t="str">
        <f>IF('WetLitterbags placem_collection'!AA54="","",'WetLitterbags placem_collection'!AA54)</f>
        <v>M</v>
      </c>
      <c r="AI273">
        <f>IF('WetLitterbags placem_collection'!AC54="","",'WetLitterbags placem_collection'!AC54)</f>
        <v>1</v>
      </c>
      <c r="AJ273">
        <f>IFERROR(AVERAGE('Dry_Litterbag Placem_Collection'!O54,'Dry_Litterbag Placem_Collection'!R54),"")</f>
        <v>5.75</v>
      </c>
      <c r="AK273" s="261">
        <f>IFERROR(AVERAGE('Dry_Litterbag Placem_Collection'!N54,'Dry_Litterbag Placem_Collection'!Q54),"")</f>
        <v>30.75</v>
      </c>
      <c r="AL273" s="260">
        <f>INDEX([2]Coordinates!$B$2:$B$197,MATCH(I273,[2]Coordinates!$J$2:$J$197,0))</f>
        <v>-3.4061569999999999</v>
      </c>
      <c r="AM273" s="260">
        <f>INDEX([2]Coordinates!$C$2:$C$197,MATCH(I273,[2]Coordinates!$J$2:$J$197,0))</f>
        <v>34.850738999999997</v>
      </c>
      <c r="AN273" s="260" t="str">
        <f>IF(ISNUMBER(SEARCH("C", 'Dry_Litterbag Placem_Collection'!T54)),"YES","NO")</f>
        <v>NO</v>
      </c>
      <c r="AO273" s="260" t="str">
        <f>IF(ISNUMBER(SEARCH("H", 'Dry_Litterbag Placem_Collection'!T54)),"YES","NO")</f>
        <v>NO</v>
      </c>
      <c r="AP273" s="260" t="str">
        <f>IF(ISNUMBER(SEARCH("R", 'Dry_Litterbag Placem_Collection'!T54)),"YES","NO")</f>
        <v>NO</v>
      </c>
    </row>
    <row r="274" spans="1:42" ht="15" customHeight="1">
      <c r="A274" t="s">
        <v>3248</v>
      </c>
      <c r="B274" s="252" t="s">
        <v>2643</v>
      </c>
      <c r="C274" s="253">
        <f>'Dry_Litterbag Placem_Collection'!A55</f>
        <v>53</v>
      </c>
      <c r="D274" s="253" t="str">
        <f>'Dry_Litterbag Placem_Collection'!B55</f>
        <v>Makao</v>
      </c>
      <c r="E274" s="253" t="s">
        <v>2643</v>
      </c>
      <c r="F274" s="253" t="s">
        <v>20</v>
      </c>
      <c r="G274" s="253">
        <v>3</v>
      </c>
      <c r="H274" s="253" t="s">
        <v>3109</v>
      </c>
      <c r="I274" s="254" t="str">
        <f>'Dry_Litterbag Placem_Collection'!C55</f>
        <v>Dry_P3_T5</v>
      </c>
      <c r="J274" s="255" t="s">
        <v>2525</v>
      </c>
      <c r="K274" s="262" t="s">
        <v>298</v>
      </c>
      <c r="L274" s="253" t="str">
        <f>IF(ISBLANK('Dry_Litterbag Placem_Collection'!K55),"","R"&amp;""&amp;'Dry_Litterbag Placem_Collection'!K55)</f>
        <v>R734</v>
      </c>
      <c r="M274" s="257">
        <f>IFERROR(INDEX('Green_rooibos initial weight'!$C$5:$C$2000,MATCH(L274, 'Green_rooibos initial weight'!$A$5:$A$2000,0)),"")</f>
        <v>2.1589999999999998</v>
      </c>
      <c r="N274" s="257">
        <f>IFERROR(M274-(TBIcalc!$Q$9+TBIcalc!$Q$10),"")</f>
        <v>1.9091999999999998</v>
      </c>
      <c r="O274" s="378">
        <f>AVERAGE(Ashed_controlls!$K$12:$K$14)</f>
        <v>2.2816647271287041</v>
      </c>
      <c r="P274" s="257">
        <f t="shared" si="21"/>
        <v>1.8656384570296585</v>
      </c>
      <c r="Q274" s="257">
        <f>IFERROR(INDEX('Both teabags AfterDry'!$D$2:$D$2000,MATCH(L274,'Both teabags AfterDry'!$A$2:$A$2000,0)),"")</f>
        <v>1.8914</v>
      </c>
      <c r="R274" s="257">
        <f>IFERROR(IF(Q274&gt;0,Q274-(TBIcalc!$Q$9),""),"")</f>
        <v>1.7407999999999999</v>
      </c>
      <c r="S274" s="268">
        <f>IFERROR(INDEX('Ashed teabags dry'!$K$2:$K$2000,MATCH(L274,'Ashed teabags dry'!$A$2:$A$2000,0)),"")</f>
        <v>2.63419483101393</v>
      </c>
      <c r="T274" s="268">
        <f t="shared" si="22"/>
        <v>1.6949439363817094</v>
      </c>
      <c r="U274" s="258">
        <f>IF('Dry_Litterbag Placem_Collection'!E55="","",'Dry_Litterbag Placem_Collection'!E55)</f>
        <v>42938</v>
      </c>
      <c r="V274" s="258">
        <f>IF('Dry_Litterbag Placem_Collection'!G55="","",'Dry_Litterbag Placem_Collection'!G55)</f>
        <v>43005</v>
      </c>
      <c r="W274" s="259">
        <f t="shared" si="20"/>
        <v>67</v>
      </c>
      <c r="X274" s="257">
        <f t="shared" si="23"/>
        <v>0.16839999999999988</v>
      </c>
      <c r="Y274" s="257">
        <f t="shared" si="24"/>
        <v>0.1706945206479491</v>
      </c>
      <c r="Z274" s="261">
        <f>IFERROR(INDEX([3]Rainfall_Dry!$O$2:$O$217,MATCH(C274, [3]Rainfall_Dry!$A$2:$A$217,0)),"")</f>
        <v>6.5250000359999998</v>
      </c>
      <c r="AA274" s="250">
        <v>21.96</v>
      </c>
      <c r="AB274" s="250">
        <v>8.9199999999999982</v>
      </c>
      <c r="AC274" s="250">
        <v>69.12</v>
      </c>
      <c r="AD274" s="251" t="s">
        <v>2651</v>
      </c>
      <c r="AE274" s="250">
        <v>1.7491375061606702</v>
      </c>
      <c r="AF274" t="str">
        <f>IF('WetLitterbags placem_collection'!AB55="","",'WetLitterbags placem_collection'!AB55)</f>
        <v/>
      </c>
      <c r="AG274" t="str">
        <f>IF('WetLitterbags placem_collection'!Z55="","",'WetLitterbags placem_collection'!Z55)</f>
        <v/>
      </c>
      <c r="AH274" s="236" t="str">
        <f>IF('WetLitterbags placem_collection'!AA55="","",'WetLitterbags placem_collection'!AA55)</f>
        <v/>
      </c>
      <c r="AI274" t="str">
        <f>IF('WetLitterbags placem_collection'!AC55="","",'WetLitterbags placem_collection'!AC55)</f>
        <v/>
      </c>
      <c r="AJ274">
        <f>IFERROR(AVERAGE('Dry_Litterbag Placem_Collection'!O55,'Dry_Litterbag Placem_Collection'!R55),"")</f>
        <v>6.5</v>
      </c>
      <c r="AK274" s="261">
        <f>IFERROR(AVERAGE('Dry_Litterbag Placem_Collection'!N55,'Dry_Litterbag Placem_Collection'!Q55),"")</f>
        <v>30.4</v>
      </c>
      <c r="AL274" s="260">
        <f>INDEX([2]Coordinates!$B$2:$B$197,MATCH(I274,[2]Coordinates!$J$2:$J$197,0))</f>
        <v>-3.4061140000000001</v>
      </c>
      <c r="AM274" s="260">
        <f>INDEX([2]Coordinates!$C$2:$C$197,MATCH(I274,[2]Coordinates!$J$2:$J$197,0))</f>
        <v>34.850596000000003</v>
      </c>
      <c r="AN274" s="260" t="str">
        <f>IF(ISNUMBER(SEARCH("C", 'Dry_Litterbag Placem_Collection'!T55)),"YES","NO")</f>
        <v>NO</v>
      </c>
      <c r="AO274" s="260" t="str">
        <f>IF(ISNUMBER(SEARCH("H", 'Dry_Litterbag Placem_Collection'!T55)),"YES","NO")</f>
        <v>NO</v>
      </c>
      <c r="AP274" s="260" t="str">
        <f>IF(ISNUMBER(SEARCH("R", 'Dry_Litterbag Placem_Collection'!T55)),"YES","NO")</f>
        <v>NO</v>
      </c>
    </row>
    <row r="275" spans="1:42" ht="15" customHeight="1">
      <c r="A275" t="s">
        <v>3248</v>
      </c>
      <c r="B275" s="252" t="s">
        <v>2643</v>
      </c>
      <c r="C275" s="253">
        <f>'Dry_Litterbag Placem_Collection'!A56</f>
        <v>54</v>
      </c>
      <c r="D275" s="253" t="str">
        <f>'Dry_Litterbag Placem_Collection'!B56</f>
        <v>Makao</v>
      </c>
      <c r="E275" s="253" t="s">
        <v>2643</v>
      </c>
      <c r="F275" s="253" t="s">
        <v>20</v>
      </c>
      <c r="G275" s="253">
        <v>3</v>
      </c>
      <c r="H275" s="253" t="s">
        <v>3109</v>
      </c>
      <c r="I275" s="254" t="str">
        <f>'Dry_Litterbag Placem_Collection'!C56</f>
        <v>Dry_P3_T6</v>
      </c>
      <c r="J275" s="255" t="s">
        <v>2525</v>
      </c>
      <c r="K275" s="262" t="s">
        <v>298</v>
      </c>
      <c r="L275" s="253" t="str">
        <f>IF(ISBLANK('Dry_Litterbag Placem_Collection'!K56),"","R"&amp;""&amp;'Dry_Litterbag Placem_Collection'!K56)</f>
        <v/>
      </c>
      <c r="M275" s="257" t="str">
        <f>IFERROR(INDEX('Green_rooibos initial weight'!$C$5:$C$2000,MATCH(L275, 'Green_rooibos initial weight'!$A$5:$A$2000,0)),"")</f>
        <v/>
      </c>
      <c r="N275" s="257" t="str">
        <f>IFERROR(M275-(TBIcalc!$Q$9+TBIcalc!$Q$10),"")</f>
        <v/>
      </c>
      <c r="O275" s="378">
        <f>AVERAGE(Ashed_controlls!$K$12:$K$14)</f>
        <v>2.2816647271287041</v>
      </c>
      <c r="P275" s="257" t="str">
        <f t="shared" si="21"/>
        <v/>
      </c>
      <c r="Q275" s="257" t="str">
        <f>IFERROR(INDEX('Both teabags AfterDry'!$D$2:$D$2000,MATCH(L275,'Both teabags AfterDry'!$A$2:$A$2000,0)),"")</f>
        <v/>
      </c>
      <c r="R275" s="257" t="str">
        <f>IFERROR(IF(Q275&gt;0,Q275-(TBIcalc!$Q$9),""),"")</f>
        <v/>
      </c>
      <c r="S275" s="268" t="str">
        <f>IFERROR(INDEX('Ashed teabags dry'!$K$2:$K$2000,MATCH(L275,'Ashed teabags dry'!$A$2:$A$2000,0)),"")</f>
        <v/>
      </c>
      <c r="T275" s="268" t="str">
        <f t="shared" si="22"/>
        <v/>
      </c>
      <c r="U275" s="258" t="str">
        <f>IF('Dry_Litterbag Placem_Collection'!E56="","",'Dry_Litterbag Placem_Collection'!E56)</f>
        <v/>
      </c>
      <c r="V275" s="258" t="str">
        <f>IF('Dry_Litterbag Placem_Collection'!G56="","",'Dry_Litterbag Placem_Collection'!G56)</f>
        <v/>
      </c>
      <c r="W275" s="259" t="str">
        <f t="shared" si="20"/>
        <v/>
      </c>
      <c r="X275" s="257" t="str">
        <f t="shared" si="23"/>
        <v/>
      </c>
      <c r="Y275" s="257" t="str">
        <f t="shared" si="24"/>
        <v/>
      </c>
      <c r="Z275" s="261" t="str">
        <f>IFERROR(INDEX([3]Rainfall_Dry!$O$2:$O$217,MATCH(C275, [3]Rainfall_Dry!$A$2:$A$217,0)),"")</f>
        <v/>
      </c>
      <c r="AA275" s="250">
        <v>21.96</v>
      </c>
      <c r="AB275" s="250">
        <v>8.9199999999999982</v>
      </c>
      <c r="AC275" s="250">
        <v>69.12</v>
      </c>
      <c r="AD275" s="251" t="s">
        <v>2651</v>
      </c>
      <c r="AE275" s="250">
        <v>1.7491375061606702</v>
      </c>
      <c r="AF275" t="str">
        <f>IF('WetLitterbags placem_collection'!AB56="","",'WetLitterbags placem_collection'!AB56)</f>
        <v/>
      </c>
      <c r="AG275" t="str">
        <f>IF('WetLitterbags placem_collection'!Z56="","",'WetLitterbags placem_collection'!Z56)</f>
        <v/>
      </c>
      <c r="AH275" s="236" t="str">
        <f>IF('WetLitterbags placem_collection'!AA56="","",'WetLitterbags placem_collection'!AA56)</f>
        <v/>
      </c>
      <c r="AI275" t="str">
        <f>IF('WetLitterbags placem_collection'!AC56="","",'WetLitterbags placem_collection'!AC56)</f>
        <v/>
      </c>
      <c r="AJ275" t="str">
        <f>IFERROR(AVERAGE('Dry_Litterbag Placem_Collection'!O56,'Dry_Litterbag Placem_Collection'!R56),"")</f>
        <v/>
      </c>
      <c r="AK275" s="261" t="str">
        <f>IFERROR(AVERAGE('Dry_Litterbag Placem_Collection'!N56,'Dry_Litterbag Placem_Collection'!Q56),"")</f>
        <v/>
      </c>
      <c r="AL275" s="260">
        <f>INDEX([2]Coordinates!$B$2:$B$197,MATCH(I275,[2]Coordinates!$J$2:$J$197,0))</f>
        <v>-3.406058019</v>
      </c>
      <c r="AM275" s="260">
        <f>INDEX([2]Coordinates!$C$2:$C$197,MATCH(I275,[2]Coordinates!$J$2:$J$197,0))</f>
        <v>34.850466019999999</v>
      </c>
      <c r="AN275" s="260" t="str">
        <f>IF(ISNUMBER(SEARCH("C", 'Dry_Litterbag Placem_Collection'!T56)),"YES","NO")</f>
        <v>NO</v>
      </c>
      <c r="AO275" s="260" t="str">
        <f>IF(ISNUMBER(SEARCH("H", 'Dry_Litterbag Placem_Collection'!T56)),"YES","NO")</f>
        <v>NO</v>
      </c>
      <c r="AP275" s="260" t="str">
        <f>IF(ISNUMBER(SEARCH("R", 'Dry_Litterbag Placem_Collection'!T56)),"YES","NO")</f>
        <v>NO</v>
      </c>
    </row>
    <row r="276" spans="1:42" ht="15" customHeight="1">
      <c r="A276" t="s">
        <v>3248</v>
      </c>
      <c r="B276" s="252" t="s">
        <v>2643</v>
      </c>
      <c r="C276" s="253">
        <f>'Dry_Litterbag Placem_Collection'!A57</f>
        <v>55</v>
      </c>
      <c r="D276" s="253" t="str">
        <f>'Dry_Litterbag Placem_Collection'!B57</f>
        <v>Makao</v>
      </c>
      <c r="E276" s="253" t="s">
        <v>2643</v>
      </c>
      <c r="F276" s="253" t="s">
        <v>20</v>
      </c>
      <c r="G276" s="253">
        <v>3</v>
      </c>
      <c r="H276" s="253" t="s">
        <v>3109</v>
      </c>
      <c r="I276" s="254" t="str">
        <f>'Dry_Litterbag Placem_Collection'!C57</f>
        <v>Dry_P3_T7</v>
      </c>
      <c r="J276" s="255" t="s">
        <v>2525</v>
      </c>
      <c r="K276" s="262" t="s">
        <v>298</v>
      </c>
      <c r="L276" s="253" t="str">
        <f>IF(ISBLANK('Dry_Litterbag Placem_Collection'!K57),"","R"&amp;""&amp;'Dry_Litterbag Placem_Collection'!K57)</f>
        <v>R839</v>
      </c>
      <c r="M276" s="257">
        <f>IFERROR(INDEX('Green_rooibos initial weight'!$C$5:$C$2000,MATCH(L276, 'Green_rooibos initial weight'!$A$5:$A$2000,0)),"")</f>
        <v>2.2269999999999999</v>
      </c>
      <c r="N276" s="257">
        <f>IFERROR(M276-(TBIcalc!$Q$9+TBIcalc!$Q$10),"")</f>
        <v>1.9771999999999998</v>
      </c>
      <c r="O276" s="378">
        <f>AVERAGE(Ashed_controlls!$K$12:$K$14)</f>
        <v>2.2816647271287041</v>
      </c>
      <c r="P276" s="257">
        <f t="shared" si="21"/>
        <v>1.9320869250152111</v>
      </c>
      <c r="Q276" s="257">
        <f>IFERROR(INDEX('Both teabags AfterDry'!$D$2:$D$2000,MATCH(L276,'Both teabags AfterDry'!$A$2:$A$2000,0)),"")</f>
        <v>1.9775</v>
      </c>
      <c r="R276" s="257">
        <f>IFERROR(IF(Q276&gt;0,Q276-(TBIcalc!$Q$9),""),"")</f>
        <v>1.8269</v>
      </c>
      <c r="S276" s="268">
        <f>IFERROR(INDEX('Ashed teabags dry'!$K$2:$K$2000,MATCH(L276,'Ashed teabags dry'!$A$2:$A$2000,0)),"")</f>
        <v>2.7226580526069402</v>
      </c>
      <c r="T276" s="268">
        <f t="shared" si="22"/>
        <v>1.7771597600369238</v>
      </c>
      <c r="U276" s="258">
        <f>IF('Dry_Litterbag Placem_Collection'!E57="","",'Dry_Litterbag Placem_Collection'!E57)</f>
        <v>42938</v>
      </c>
      <c r="V276" s="258">
        <f>IF('Dry_Litterbag Placem_Collection'!G57="","",'Dry_Litterbag Placem_Collection'!G57)</f>
        <v>43005</v>
      </c>
      <c r="W276" s="259">
        <f t="shared" si="20"/>
        <v>67</v>
      </c>
      <c r="X276" s="257">
        <f t="shared" si="23"/>
        <v>0.15029999999999988</v>
      </c>
      <c r="Y276" s="257">
        <f t="shared" si="24"/>
        <v>0.15492716497828729</v>
      </c>
      <c r="Z276" s="261">
        <f>IFERROR(INDEX([3]Rainfall_Dry!$O$2:$O$217,MATCH(C276, [3]Rainfall_Dry!$A$2:$A$217,0)),"")</f>
        <v>6.5250000359999998</v>
      </c>
      <c r="AA276" s="250">
        <v>21.96</v>
      </c>
      <c r="AB276" s="250">
        <v>8.9199999999999982</v>
      </c>
      <c r="AC276" s="250">
        <v>69.12</v>
      </c>
      <c r="AD276" s="251" t="s">
        <v>2651</v>
      </c>
      <c r="AE276" s="250">
        <v>1.7491375061606702</v>
      </c>
      <c r="AF276">
        <f>IF('WetLitterbags placem_collection'!AB57="","",'WetLitterbags placem_collection'!AB57)</f>
        <v>15.8</v>
      </c>
      <c r="AG276">
        <f>IF('WetLitterbags placem_collection'!Z57="","",'WetLitterbags placem_collection'!Z57)</f>
        <v>45</v>
      </c>
      <c r="AH276" s="236" t="str">
        <f>IF('WetLitterbags placem_collection'!AA57="","",'WetLitterbags placem_collection'!AA57)</f>
        <v>M</v>
      </c>
      <c r="AI276">
        <f>IF('WetLitterbags placem_collection'!AC57="","",'WetLitterbags placem_collection'!AC57)</f>
        <v>1</v>
      </c>
      <c r="AJ276">
        <f>IFERROR(AVERAGE('Dry_Litterbag Placem_Collection'!O57,'Dry_Litterbag Placem_Collection'!R57),"")</f>
        <v>4.8</v>
      </c>
      <c r="AK276" s="261">
        <f>IFERROR(AVERAGE('Dry_Litterbag Placem_Collection'!N57,'Dry_Litterbag Placem_Collection'!Q57),"")</f>
        <v>31.9</v>
      </c>
      <c r="AL276" s="260">
        <f>INDEX([2]Coordinates!$B$2:$B$197,MATCH(I276,[2]Coordinates!$J$2:$J$197,0))</f>
        <v>-3.4061389879999999</v>
      </c>
      <c r="AM276" s="260">
        <f>INDEX([2]Coordinates!$C$2:$C$197,MATCH(I276,[2]Coordinates!$J$2:$J$197,0))</f>
        <v>34.850574979999998</v>
      </c>
      <c r="AN276" s="260" t="str">
        <f>IF(ISNUMBER(SEARCH("C", 'Dry_Litterbag Placem_Collection'!T57)),"YES","NO")</f>
        <v>YES</v>
      </c>
      <c r="AO276" s="260" t="str">
        <f>IF(ISNUMBER(SEARCH("H", 'Dry_Litterbag Placem_Collection'!T57)),"YES","NO")</f>
        <v>YES</v>
      </c>
      <c r="AP276" s="260" t="str">
        <f>IF(ISNUMBER(SEARCH("R", 'Dry_Litterbag Placem_Collection'!T57)),"YES","NO")</f>
        <v>NO</v>
      </c>
    </row>
    <row r="277" spans="1:42" ht="15" customHeight="1">
      <c r="A277" t="s">
        <v>3248</v>
      </c>
      <c r="B277" s="252" t="s">
        <v>2643</v>
      </c>
      <c r="C277" s="253">
        <f>'Dry_Litterbag Placem_Collection'!A58</f>
        <v>56</v>
      </c>
      <c r="D277" s="253" t="str">
        <f>'Dry_Litterbag Placem_Collection'!B58</f>
        <v>Makao</v>
      </c>
      <c r="E277" s="253" t="s">
        <v>2643</v>
      </c>
      <c r="F277" s="253" t="s">
        <v>20</v>
      </c>
      <c r="G277" s="253">
        <v>3</v>
      </c>
      <c r="H277" s="253" t="s">
        <v>3109</v>
      </c>
      <c r="I277" s="254" t="str">
        <f>'Dry_Litterbag Placem_Collection'!C58</f>
        <v>Dry_P3_T8</v>
      </c>
      <c r="J277" s="255" t="s">
        <v>2525</v>
      </c>
      <c r="K277" s="262" t="s">
        <v>298</v>
      </c>
      <c r="L277" s="253" t="str">
        <f>IF(ISBLANK('Dry_Litterbag Placem_Collection'!K58),"","R"&amp;""&amp;'Dry_Litterbag Placem_Collection'!K58)</f>
        <v>R760</v>
      </c>
      <c r="M277" s="257">
        <f>IFERROR(INDEX('Green_rooibos initial weight'!$C$5:$C$2000,MATCH(L277, 'Green_rooibos initial weight'!$A$5:$A$2000,0)),"")</f>
        <v>2.2320000000000002</v>
      </c>
      <c r="N277" s="257">
        <f>IFERROR(M277-(TBIcalc!$Q$9+TBIcalc!$Q$10),"")</f>
        <v>1.9822000000000002</v>
      </c>
      <c r="O277" s="378">
        <f>AVERAGE(Ashed_controlls!$K$12:$K$14)</f>
        <v>2.2816647271287041</v>
      </c>
      <c r="P277" s="257">
        <f t="shared" si="21"/>
        <v>1.936972841778855</v>
      </c>
      <c r="Q277" s="257">
        <f>IFERROR(INDEX('Both teabags AfterDry'!$D$2:$D$2000,MATCH(L277,'Both teabags AfterDry'!$A$2:$A$2000,0)),"")</f>
        <v>1.9821</v>
      </c>
      <c r="R277" s="257">
        <f>IFERROR(IF(Q277&gt;0,Q277-(TBIcalc!$Q$9),""),"")</f>
        <v>1.8314999999999999</v>
      </c>
      <c r="S277" s="268">
        <f>IFERROR(INDEX('Ashed teabags dry'!$K$2:$K$2000,MATCH(L277,'Ashed teabags dry'!$A$2:$A$2000,0)),"")</f>
        <v>2.8949950932292219</v>
      </c>
      <c r="T277" s="268">
        <f t="shared" si="22"/>
        <v>1.7784781648675068</v>
      </c>
      <c r="U277" s="258">
        <f>IF('Dry_Litterbag Placem_Collection'!E58="","",'Dry_Litterbag Placem_Collection'!E58)</f>
        <v>42938</v>
      </c>
      <c r="V277" s="258">
        <f>IF('Dry_Litterbag Placem_Collection'!G58="","",'Dry_Litterbag Placem_Collection'!G58)</f>
        <v>43005</v>
      </c>
      <c r="W277" s="259">
        <f t="shared" si="20"/>
        <v>67</v>
      </c>
      <c r="X277" s="257">
        <f t="shared" si="23"/>
        <v>0.15070000000000028</v>
      </c>
      <c r="Y277" s="257">
        <f t="shared" si="24"/>
        <v>0.15849467691134822</v>
      </c>
      <c r="Z277" s="261">
        <f>IFERROR(INDEX([3]Rainfall_Dry!$O$2:$O$217,MATCH(C277, [3]Rainfall_Dry!$A$2:$A$217,0)),"")</f>
        <v>6.5250000359999998</v>
      </c>
      <c r="AA277" s="250">
        <v>21.96</v>
      </c>
      <c r="AB277" s="250">
        <v>8.9199999999999982</v>
      </c>
      <c r="AC277" s="250">
        <v>69.12</v>
      </c>
      <c r="AD277" s="251" t="s">
        <v>2651</v>
      </c>
      <c r="AE277" s="250">
        <v>1.7491375061606702</v>
      </c>
      <c r="AF277">
        <f>IF('WetLitterbags placem_collection'!AB58="","",'WetLitterbags placem_collection'!AB58)</f>
        <v>15.4</v>
      </c>
      <c r="AG277">
        <f>IF('WetLitterbags placem_collection'!Z58="","",'WetLitterbags placem_collection'!Z58)</f>
        <v>30.8</v>
      </c>
      <c r="AH277" s="236" t="str">
        <f>IF('WetLitterbags placem_collection'!AA58="","",'WetLitterbags placem_collection'!AA58)</f>
        <v>M</v>
      </c>
      <c r="AI277">
        <f>IF('WetLitterbags placem_collection'!AC58="","",'WetLitterbags placem_collection'!AC58)</f>
        <v>0</v>
      </c>
      <c r="AJ277">
        <f>IFERROR(AVERAGE('Dry_Litterbag Placem_Collection'!O58,'Dry_Litterbag Placem_Collection'!R58),"")</f>
        <v>8.3000000000000007</v>
      </c>
      <c r="AK277" s="261">
        <f>IFERROR(AVERAGE('Dry_Litterbag Placem_Collection'!N58,'Dry_Litterbag Placem_Collection'!Q58),"")</f>
        <v>30.049999999999997</v>
      </c>
      <c r="AL277" s="260">
        <f>INDEX([2]Coordinates!$B$2:$B$197,MATCH(I277,[2]Coordinates!$J$2:$J$197,0))</f>
        <v>-3.4062900300000001</v>
      </c>
      <c r="AM277" s="260">
        <f>INDEX([2]Coordinates!$C$2:$C$197,MATCH(I277,[2]Coordinates!$J$2:$J$197,0))</f>
        <v>34.850441959999998</v>
      </c>
      <c r="AN277" s="260" t="str">
        <f>IF(ISNUMBER(SEARCH("C", 'Dry_Litterbag Placem_Collection'!T58)),"YES","NO")</f>
        <v>NO</v>
      </c>
      <c r="AO277" s="260" t="str">
        <f>IF(ISNUMBER(SEARCH("H", 'Dry_Litterbag Placem_Collection'!T58)),"YES","NO")</f>
        <v>NO</v>
      </c>
      <c r="AP277" s="260" t="str">
        <f>IF(ISNUMBER(SEARCH("R", 'Dry_Litterbag Placem_Collection'!T58)),"YES","NO")</f>
        <v>NO</v>
      </c>
    </row>
    <row r="278" spans="1:42" ht="15" customHeight="1">
      <c r="A278" t="s">
        <v>3248</v>
      </c>
      <c r="B278" s="252" t="s">
        <v>2643</v>
      </c>
      <c r="C278" s="253">
        <f>'Dry_Litterbag Placem_Collection'!A59</f>
        <v>57</v>
      </c>
      <c r="D278" s="253" t="str">
        <f>'Dry_Litterbag Placem_Collection'!B59</f>
        <v>Makao</v>
      </c>
      <c r="E278" s="253" t="s">
        <v>2643</v>
      </c>
      <c r="F278" s="253" t="s">
        <v>20</v>
      </c>
      <c r="G278" s="253">
        <v>4</v>
      </c>
      <c r="H278" s="253" t="s">
        <v>3110</v>
      </c>
      <c r="I278" s="254" t="str">
        <f>'Dry_Litterbag Placem_Collection'!C59</f>
        <v>Dry_P4_T1</v>
      </c>
      <c r="J278" s="255" t="s">
        <v>2525</v>
      </c>
      <c r="K278" s="262" t="s">
        <v>298</v>
      </c>
      <c r="L278" s="253" t="str">
        <f>IF(ISBLANK('Dry_Litterbag Placem_Collection'!K59),"","R"&amp;""&amp;'Dry_Litterbag Placem_Collection'!K59)</f>
        <v>R830</v>
      </c>
      <c r="M278" s="257">
        <f>IFERROR(INDEX('Green_rooibos initial weight'!$C$5:$C$2000,MATCH(L278, 'Green_rooibos initial weight'!$A$5:$A$2000,0)),"")</f>
        <v>2.2160000000000002</v>
      </c>
      <c r="N278" s="257">
        <f>IFERROR(M278-(TBIcalc!$Q$9+TBIcalc!$Q$10),"")</f>
        <v>1.9662000000000002</v>
      </c>
      <c r="O278" s="378">
        <f>AVERAGE(Ashed_controlls!$K$12:$K$14)</f>
        <v>2.2816647271287041</v>
      </c>
      <c r="P278" s="257">
        <f t="shared" si="21"/>
        <v>1.9213379081351956</v>
      </c>
      <c r="Q278" s="257">
        <f>IFERROR(INDEX('Both teabags AfterDry'!$D$2:$D$2000,MATCH(L278,'Both teabags AfterDry'!$A$2:$A$2000,0)),"")</f>
        <v>1.9719</v>
      </c>
      <c r="R278" s="257">
        <f>IFERROR(IF(Q278&gt;0,Q278-(TBIcalc!$Q$9),""),"")</f>
        <v>1.8212999999999999</v>
      </c>
      <c r="S278" s="268">
        <f>IFERROR(INDEX('Ashed teabags dry'!$K$2:$K$2000,MATCH(L278,'Ashed teabags dry'!$A$2:$A$2000,0)),"")</f>
        <v>2.183219178082795</v>
      </c>
      <c r="T278" s="268">
        <f t="shared" si="22"/>
        <v>1.781537029109578</v>
      </c>
      <c r="U278" s="258">
        <f>IF('Dry_Litterbag Placem_Collection'!E59="","",'Dry_Litterbag Placem_Collection'!E59)</f>
        <v>42938</v>
      </c>
      <c r="V278" s="258">
        <f>IF('Dry_Litterbag Placem_Collection'!G59="","",'Dry_Litterbag Placem_Collection'!G59)</f>
        <v>43005</v>
      </c>
      <c r="W278" s="259">
        <f t="shared" si="20"/>
        <v>67</v>
      </c>
      <c r="X278" s="257">
        <f t="shared" si="23"/>
        <v>0.14490000000000025</v>
      </c>
      <c r="Y278" s="257">
        <f t="shared" si="24"/>
        <v>0.13980087902561755</v>
      </c>
      <c r="Z278" s="261">
        <f>IFERROR(INDEX([3]Rainfall_Dry!$O$2:$O$217,MATCH(C278, [3]Rainfall_Dry!$A$2:$A$217,0)),"")</f>
        <v>6.5250000359999998</v>
      </c>
      <c r="AA278" s="250">
        <v>25.96</v>
      </c>
      <c r="AB278" s="250">
        <v>6.9200000000000008</v>
      </c>
      <c r="AC278" s="250">
        <v>67.12</v>
      </c>
      <c r="AD278" s="251" t="s">
        <v>2651</v>
      </c>
      <c r="AE278" s="250">
        <v>1.7568260226712666</v>
      </c>
      <c r="AF278">
        <f>IF('WetLitterbags placem_collection'!AB59="","",'WetLitterbags placem_collection'!AB59)</f>
        <v>3.3</v>
      </c>
      <c r="AG278">
        <f>IF('WetLitterbags placem_collection'!Z59="","",'WetLitterbags placem_collection'!Z59)</f>
        <v>28.4</v>
      </c>
      <c r="AH278" s="236" t="str">
        <f>IF('WetLitterbags placem_collection'!AA59="","",'WetLitterbags placem_collection'!AA59)</f>
        <v>O</v>
      </c>
      <c r="AI278">
        <f>IF('WetLitterbags placem_collection'!AC59="","",'WetLitterbags placem_collection'!AC59)</f>
        <v>1</v>
      </c>
      <c r="AJ278">
        <f>IFERROR(AVERAGE('Dry_Litterbag Placem_Collection'!O59,'Dry_Litterbag Placem_Collection'!R59),"")</f>
        <v>3.95</v>
      </c>
      <c r="AK278" s="261">
        <f>IFERROR(AVERAGE('Dry_Litterbag Placem_Collection'!N59,'Dry_Litterbag Placem_Collection'!Q59),"")</f>
        <v>33.25</v>
      </c>
      <c r="AL278" s="260">
        <f>INDEX([2]Coordinates!$B$2:$B$197,MATCH(I278,[2]Coordinates!$J$2:$J$197,0))</f>
        <v>-3.4064239729999999</v>
      </c>
      <c r="AM278" s="260">
        <f>INDEX([2]Coordinates!$C$2:$C$197,MATCH(I278,[2]Coordinates!$J$2:$J$197,0))</f>
        <v>34.851213010000002</v>
      </c>
      <c r="AN278" s="260" t="str">
        <f>IF(ISNUMBER(SEARCH("C", 'Dry_Litterbag Placem_Collection'!T59)),"YES","NO")</f>
        <v>NO</v>
      </c>
      <c r="AO278" s="260" t="str">
        <f>IF(ISNUMBER(SEARCH("H", 'Dry_Litterbag Placem_Collection'!T59)),"YES","NO")</f>
        <v>NO</v>
      </c>
      <c r="AP278" s="260" t="str">
        <f>IF(ISNUMBER(SEARCH("R", 'Dry_Litterbag Placem_Collection'!T59)),"YES","NO")</f>
        <v>NO</v>
      </c>
    </row>
    <row r="279" spans="1:42" ht="15" customHeight="1">
      <c r="A279" t="s">
        <v>3248</v>
      </c>
      <c r="B279" s="252" t="s">
        <v>2643</v>
      </c>
      <c r="C279" s="253">
        <f>'Dry_Litterbag Placem_Collection'!A60</f>
        <v>58</v>
      </c>
      <c r="D279" s="253" t="str">
        <f>'Dry_Litterbag Placem_Collection'!B60</f>
        <v>Makao</v>
      </c>
      <c r="E279" s="253" t="s">
        <v>2643</v>
      </c>
      <c r="F279" s="253" t="s">
        <v>20</v>
      </c>
      <c r="G279" s="253">
        <v>4</v>
      </c>
      <c r="H279" s="253" t="s">
        <v>3110</v>
      </c>
      <c r="I279" s="254" t="str">
        <f>'Dry_Litterbag Placem_Collection'!C60</f>
        <v>Dry_P4_T2</v>
      </c>
      <c r="J279" s="255" t="s">
        <v>2525</v>
      </c>
      <c r="K279" s="262" t="s">
        <v>298</v>
      </c>
      <c r="L279" s="253" t="str">
        <f>IF(ISBLANK('Dry_Litterbag Placem_Collection'!K60),"","R"&amp;""&amp;'Dry_Litterbag Placem_Collection'!K60)</f>
        <v>R725</v>
      </c>
      <c r="M279" s="257">
        <f>IFERROR(INDEX('Green_rooibos initial weight'!$C$5:$C$2000,MATCH(L279, 'Green_rooibos initial weight'!$A$5:$A$2000,0)),"")</f>
        <v>2.1930000000000001</v>
      </c>
      <c r="N279" s="257">
        <f>IFERROR(M279-(TBIcalc!$Q$9+TBIcalc!$Q$10),"")</f>
        <v>1.9432</v>
      </c>
      <c r="O279" s="378">
        <f>AVERAGE(Ashed_controlls!$K$12:$K$14)</f>
        <v>2.2816647271287041</v>
      </c>
      <c r="P279" s="257">
        <f t="shared" si="21"/>
        <v>1.8988626910224351</v>
      </c>
      <c r="Q279" s="257">
        <f>IFERROR(INDEX('Both teabags AfterDry'!$D$2:$D$2000,MATCH(L279,'Both teabags AfterDry'!$A$2:$A$2000,0)),"")</f>
        <v>1.3995000000000002</v>
      </c>
      <c r="R279" s="257">
        <f>IFERROR(IF(Q279&gt;0,Q279-(TBIcalc!$Q$9),""),"")</f>
        <v>1.2489000000000001</v>
      </c>
      <c r="S279" s="268">
        <f>IFERROR(INDEX('Ashed teabags dry'!$K$2:$K$2000,MATCH(L279,'Ashed teabags dry'!$A$2:$A$2000,0)),"")</f>
        <v>3.528360875390312</v>
      </c>
      <c r="T279" s="268">
        <f t="shared" si="22"/>
        <v>1.2048343010272504</v>
      </c>
      <c r="U279" s="258">
        <f>IF('Dry_Litterbag Placem_Collection'!E60="","",'Dry_Litterbag Placem_Collection'!E60)</f>
        <v>42938</v>
      </c>
      <c r="V279" s="258">
        <f>IF('Dry_Litterbag Placem_Collection'!G60="","",'Dry_Litterbag Placem_Collection'!G60)</f>
        <v>43005</v>
      </c>
      <c r="W279" s="259">
        <f t="shared" si="20"/>
        <v>67</v>
      </c>
      <c r="X279" s="257">
        <f t="shared" si="23"/>
        <v>0.69429999999999992</v>
      </c>
      <c r="Y279" s="257">
        <f t="shared" si="24"/>
        <v>0.69402838999518468</v>
      </c>
      <c r="Z279" s="261">
        <f>IFERROR(INDEX([3]Rainfall_Dry!$O$2:$O$217,MATCH(C279, [3]Rainfall_Dry!$A$2:$A$217,0)),"")</f>
        <v>6.5250000359999998</v>
      </c>
      <c r="AA279" s="250">
        <v>25.96</v>
      </c>
      <c r="AB279" s="250">
        <v>6.9200000000000008</v>
      </c>
      <c r="AC279" s="250">
        <v>67.12</v>
      </c>
      <c r="AD279" s="251" t="s">
        <v>2651</v>
      </c>
      <c r="AE279" s="250">
        <v>1.7568260226712666</v>
      </c>
      <c r="AF279">
        <f>IF('WetLitterbags placem_collection'!AB60="","",'WetLitterbags placem_collection'!AB60)</f>
        <v>1.4</v>
      </c>
      <c r="AG279">
        <f>IF('WetLitterbags placem_collection'!Z60="","",'WetLitterbags placem_collection'!Z60)</f>
        <v>54.4</v>
      </c>
      <c r="AH279" s="236" t="str">
        <f>IF('WetLitterbags placem_collection'!AA60="","",'WetLitterbags placem_collection'!AA60)</f>
        <v>O</v>
      </c>
      <c r="AI279">
        <f>IF('WetLitterbags placem_collection'!AC60="","",'WetLitterbags placem_collection'!AC60)</f>
        <v>0</v>
      </c>
      <c r="AJ279">
        <f>IFERROR(AVERAGE('Dry_Litterbag Placem_Collection'!O60,'Dry_Litterbag Placem_Collection'!R60),"")</f>
        <v>5.7</v>
      </c>
      <c r="AK279" s="261">
        <f>IFERROR(AVERAGE('Dry_Litterbag Placem_Collection'!N60,'Dry_Litterbag Placem_Collection'!Q60),"")</f>
        <v>32.35</v>
      </c>
      <c r="AL279" s="260">
        <f>INDEX([2]Coordinates!$B$2:$B$197,MATCH(I279,[2]Coordinates!$J$2:$J$197,0))</f>
        <v>-3.4065020079999999</v>
      </c>
      <c r="AM279" s="260">
        <f>INDEX([2]Coordinates!$C$2:$C$197,MATCH(I279,[2]Coordinates!$J$2:$J$197,0))</f>
        <v>34.851056020000001</v>
      </c>
      <c r="AN279" s="260" t="str">
        <f>IF(ISNUMBER(SEARCH("C", 'Dry_Litterbag Placem_Collection'!T60)),"YES","NO")</f>
        <v>NO</v>
      </c>
      <c r="AO279" s="260" t="str">
        <f>IF(ISNUMBER(SEARCH("H", 'Dry_Litterbag Placem_Collection'!T60)),"YES","NO")</f>
        <v>YES</v>
      </c>
      <c r="AP279" s="260" t="str">
        <f>IF(ISNUMBER(SEARCH("R", 'Dry_Litterbag Placem_Collection'!T60)),"YES","NO")</f>
        <v>NO</v>
      </c>
    </row>
    <row r="280" spans="1:42" ht="15" customHeight="1">
      <c r="A280" t="s">
        <v>3248</v>
      </c>
      <c r="B280" s="252" t="s">
        <v>2643</v>
      </c>
      <c r="C280" s="253">
        <f>'Dry_Litterbag Placem_Collection'!A61</f>
        <v>59</v>
      </c>
      <c r="D280" s="253" t="str">
        <f>'Dry_Litterbag Placem_Collection'!B61</f>
        <v>Makao</v>
      </c>
      <c r="E280" s="253" t="s">
        <v>2643</v>
      </c>
      <c r="F280" s="253" t="s">
        <v>20</v>
      </c>
      <c r="G280" s="253">
        <v>4</v>
      </c>
      <c r="H280" s="253" t="s">
        <v>3110</v>
      </c>
      <c r="I280" s="254" t="str">
        <f>'Dry_Litterbag Placem_Collection'!C61</f>
        <v>Dry_P4_T3</v>
      </c>
      <c r="J280" s="255" t="s">
        <v>2525</v>
      </c>
      <c r="K280" s="262" t="s">
        <v>298</v>
      </c>
      <c r="L280" s="253" t="str">
        <f>IF(ISBLANK('Dry_Litterbag Placem_Collection'!K61),"","R"&amp;""&amp;'Dry_Litterbag Placem_Collection'!K61)</f>
        <v>R721</v>
      </c>
      <c r="M280" s="257">
        <f>IFERROR(INDEX('Green_rooibos initial weight'!$C$5:$C$2000,MATCH(L280, 'Green_rooibos initial weight'!$A$5:$A$2000,0)),"")</f>
        <v>2.2229999999999999</v>
      </c>
      <c r="N280" s="257">
        <f>IFERROR(M280-(TBIcalc!$Q$9+TBIcalc!$Q$10),"")</f>
        <v>1.9731999999999998</v>
      </c>
      <c r="O280" s="378">
        <f>AVERAGE(Ashed_controlls!$K$12:$K$14)</f>
        <v>2.2816647271287041</v>
      </c>
      <c r="P280" s="257">
        <f t="shared" si="21"/>
        <v>1.9281781916042962</v>
      </c>
      <c r="Q280" s="257">
        <f>IFERROR(INDEX('Both teabags AfterDry'!$D$2:$D$2000,MATCH(L280,'Both teabags AfterDry'!$A$2:$A$2000,0)),"")</f>
        <v>1.9549000000000001</v>
      </c>
      <c r="R280" s="257">
        <f>IFERROR(IF(Q280&gt;0,Q280-(TBIcalc!$Q$9),""),"")</f>
        <v>1.8043</v>
      </c>
      <c r="S280" s="268">
        <f>IFERROR(INDEX('Ashed teabags dry'!$K$2:$K$2000,MATCH(L280,'Ashed teabags dry'!$A$2:$A$2000,0)),"")</f>
        <v>2.6871401151632113</v>
      </c>
      <c r="T280" s="268">
        <f t="shared" si="22"/>
        <v>1.7558159309021102</v>
      </c>
      <c r="U280" s="258">
        <f>IF('Dry_Litterbag Placem_Collection'!E61="","",'Dry_Litterbag Placem_Collection'!E61)</f>
        <v>42938</v>
      </c>
      <c r="V280" s="258">
        <f>IF('Dry_Litterbag Placem_Collection'!G61="","",'Dry_Litterbag Placem_Collection'!G61)</f>
        <v>43005</v>
      </c>
      <c r="W280" s="259">
        <f t="shared" si="20"/>
        <v>67</v>
      </c>
      <c r="X280" s="257">
        <f t="shared" si="23"/>
        <v>0.16889999999999983</v>
      </c>
      <c r="Y280" s="257">
        <f t="shared" si="24"/>
        <v>0.17236226070218597</v>
      </c>
      <c r="Z280" s="261">
        <f>IFERROR(INDEX([3]Rainfall_Dry!$O$2:$O$217,MATCH(C280, [3]Rainfall_Dry!$A$2:$A$217,0)),"")</f>
        <v>6.5250000359999998</v>
      </c>
      <c r="AA280" s="250">
        <v>25.96</v>
      </c>
      <c r="AB280" s="250">
        <v>6.9200000000000008</v>
      </c>
      <c r="AC280" s="250">
        <v>67.12</v>
      </c>
      <c r="AD280" s="251" t="s">
        <v>2651</v>
      </c>
      <c r="AE280" s="250">
        <v>1.7568260226712666</v>
      </c>
      <c r="AF280">
        <f>IF('WetLitterbags placem_collection'!AB61="","",'WetLitterbags placem_collection'!AB61)</f>
        <v>3.3</v>
      </c>
      <c r="AG280">
        <f>IF('WetLitterbags placem_collection'!Z61="","",'WetLitterbags placem_collection'!Z61)</f>
        <v>46</v>
      </c>
      <c r="AH280" s="236" t="str">
        <f>IF('WetLitterbags placem_collection'!AA61="","",'WetLitterbags placem_collection'!AA61)</f>
        <v>O</v>
      </c>
      <c r="AI280">
        <f>IF('WetLitterbags placem_collection'!AC61="","",'WetLitterbags placem_collection'!AC61)</f>
        <v>0</v>
      </c>
      <c r="AJ280">
        <f>IFERROR(AVERAGE('Dry_Litterbag Placem_Collection'!O61,'Dry_Litterbag Placem_Collection'!R61),"")</f>
        <v>7.6999999999999993</v>
      </c>
      <c r="AK280" s="261">
        <f>IFERROR(AVERAGE('Dry_Litterbag Placem_Collection'!N61,'Dry_Litterbag Placem_Collection'!Q61),"")</f>
        <v>31.8</v>
      </c>
      <c r="AL280" s="260">
        <f>INDEX([2]Coordinates!$B$2:$B$197,MATCH(I280,[2]Coordinates!$J$2:$J$197,0))</f>
        <v>-3.4062359670000002</v>
      </c>
      <c r="AM280" s="260">
        <f>INDEX([2]Coordinates!$C$2:$C$197,MATCH(I280,[2]Coordinates!$J$2:$J$197,0))</f>
        <v>34.851107990000003</v>
      </c>
      <c r="AN280" s="260" t="str">
        <f>IF(ISNUMBER(SEARCH("C", 'Dry_Litterbag Placem_Collection'!T61)),"YES","NO")</f>
        <v>NO</v>
      </c>
      <c r="AO280" s="260" t="str">
        <f>IF(ISNUMBER(SEARCH("H", 'Dry_Litterbag Placem_Collection'!T61)),"YES","NO")</f>
        <v>NO</v>
      </c>
      <c r="AP280" s="260" t="str">
        <f>IF(ISNUMBER(SEARCH("R", 'Dry_Litterbag Placem_Collection'!T61)),"YES","NO")</f>
        <v>NO</v>
      </c>
    </row>
    <row r="281" spans="1:42" ht="15" customHeight="1">
      <c r="A281" t="s">
        <v>3248</v>
      </c>
      <c r="B281" s="252" t="s">
        <v>2643</v>
      </c>
      <c r="C281" s="253">
        <f>'Dry_Litterbag Placem_Collection'!A62</f>
        <v>60</v>
      </c>
      <c r="D281" s="253" t="str">
        <f>'Dry_Litterbag Placem_Collection'!B62</f>
        <v>Makao</v>
      </c>
      <c r="E281" s="253" t="s">
        <v>2643</v>
      </c>
      <c r="F281" s="253" t="s">
        <v>20</v>
      </c>
      <c r="G281" s="253">
        <v>4</v>
      </c>
      <c r="H281" s="253" t="s">
        <v>3110</v>
      </c>
      <c r="I281" s="254" t="str">
        <f>'Dry_Litterbag Placem_Collection'!C62</f>
        <v>Dry_P4_T4</v>
      </c>
      <c r="J281" s="255" t="s">
        <v>2525</v>
      </c>
      <c r="K281" s="262" t="s">
        <v>298</v>
      </c>
      <c r="L281" s="253" t="str">
        <f>IF(ISBLANK('Dry_Litterbag Placem_Collection'!K62),"","R"&amp;""&amp;'Dry_Litterbag Placem_Collection'!K62)</f>
        <v>R763</v>
      </c>
      <c r="M281" s="257">
        <f>IFERROR(INDEX('Green_rooibos initial weight'!$C$5:$C$2000,MATCH(L281, 'Green_rooibos initial weight'!$A$5:$A$2000,0)),"")</f>
        <v>2.2589999999999999</v>
      </c>
      <c r="N281" s="257">
        <f>IFERROR(M281-(TBIcalc!$Q$9+TBIcalc!$Q$10),"")</f>
        <v>2.0091999999999999</v>
      </c>
      <c r="O281" s="378">
        <f>AVERAGE(Ashed_controlls!$K$12:$K$14)</f>
        <v>2.2816647271287041</v>
      </c>
      <c r="P281" s="257">
        <f t="shared" si="21"/>
        <v>1.9633567923025299</v>
      </c>
      <c r="Q281" s="257">
        <f>IFERROR(INDEX('Both teabags AfterDry'!$D$2:$D$2000,MATCH(L281,'Both teabags AfterDry'!$A$2:$A$2000,0)),"")</f>
        <v>1.9797</v>
      </c>
      <c r="R281" s="257">
        <f>IFERROR(IF(Q281&gt;0,Q281-(TBIcalc!$Q$9),""),"")</f>
        <v>1.8290999999999999</v>
      </c>
      <c r="S281" s="268">
        <f>IFERROR(INDEX('Ashed teabags dry'!$K$2:$K$2000,MATCH(L281,'Ashed teabags dry'!$A$2:$A$2000,0)),"")</f>
        <v>2.8315946348738801</v>
      </c>
      <c r="T281" s="268">
        <f t="shared" si="22"/>
        <v>1.7773073025335218</v>
      </c>
      <c r="U281" s="258">
        <f>IF('Dry_Litterbag Placem_Collection'!E62="","",'Dry_Litterbag Placem_Collection'!E62)</f>
        <v>42938</v>
      </c>
      <c r="V281" s="258">
        <f>IF('Dry_Litterbag Placem_Collection'!G62="","",'Dry_Litterbag Placem_Collection'!G62)</f>
        <v>43005</v>
      </c>
      <c r="W281" s="259">
        <f t="shared" si="20"/>
        <v>67</v>
      </c>
      <c r="X281" s="257">
        <f t="shared" si="23"/>
        <v>0.18009999999999993</v>
      </c>
      <c r="Y281" s="257">
        <f t="shared" si="24"/>
        <v>0.18604948976900815</v>
      </c>
      <c r="Z281" s="261">
        <f>IFERROR(INDEX([3]Rainfall_Dry!$O$2:$O$217,MATCH(C281, [3]Rainfall_Dry!$A$2:$A$217,0)),"")</f>
        <v>6.5250000359999998</v>
      </c>
      <c r="AA281" s="250">
        <v>25.96</v>
      </c>
      <c r="AB281" s="250">
        <v>6.9200000000000008</v>
      </c>
      <c r="AC281" s="250">
        <v>67.12</v>
      </c>
      <c r="AD281" s="251" t="s">
        <v>2651</v>
      </c>
      <c r="AE281" s="250">
        <v>1.7568260226712666</v>
      </c>
      <c r="AF281">
        <f>IF('WetLitterbags placem_collection'!AB62="","",'WetLitterbags placem_collection'!AB62)</f>
        <v>2.4</v>
      </c>
      <c r="AG281">
        <f>IF('WetLitterbags placem_collection'!Z62="","",'WetLitterbags placem_collection'!Z62)</f>
        <v>10.199999999999999</v>
      </c>
      <c r="AH281" s="236" t="str">
        <f>IF('WetLitterbags placem_collection'!AA62="","",'WetLitterbags placem_collection'!AA62)</f>
        <v>O</v>
      </c>
      <c r="AI281">
        <f>IF('WetLitterbags placem_collection'!AC62="","",'WetLitterbags placem_collection'!AC62)</f>
        <v>0</v>
      </c>
      <c r="AJ281">
        <f>IFERROR(AVERAGE('Dry_Litterbag Placem_Collection'!O62,'Dry_Litterbag Placem_Collection'!R62),"")</f>
        <v>5.65</v>
      </c>
      <c r="AK281" s="261">
        <f>IFERROR(AVERAGE('Dry_Litterbag Placem_Collection'!N62,'Dry_Litterbag Placem_Collection'!Q62),"")</f>
        <v>32.650000000000006</v>
      </c>
      <c r="AL281" s="260">
        <f>INDEX([2]Coordinates!$B$2:$B$197,MATCH(I281,[2]Coordinates!$J$2:$J$197,0))</f>
        <v>-3.406281983</v>
      </c>
      <c r="AM281" s="260">
        <f>INDEX([2]Coordinates!$C$2:$C$197,MATCH(I281,[2]Coordinates!$J$2:$J$197,0))</f>
        <v>34.85137898</v>
      </c>
      <c r="AN281" s="260" t="str">
        <f>IF(ISNUMBER(SEARCH("C", 'Dry_Litterbag Placem_Collection'!T62)),"YES","NO")</f>
        <v>NO</v>
      </c>
      <c r="AO281" s="260" t="str">
        <f>IF(ISNUMBER(SEARCH("H", 'Dry_Litterbag Placem_Collection'!T62)),"YES","NO")</f>
        <v>NO</v>
      </c>
      <c r="AP281" s="260" t="str">
        <f>IF(ISNUMBER(SEARCH("R", 'Dry_Litterbag Placem_Collection'!T62)),"YES","NO")</f>
        <v>NO</v>
      </c>
    </row>
    <row r="282" spans="1:42" ht="15" customHeight="1">
      <c r="A282" t="s">
        <v>3248</v>
      </c>
      <c r="B282" s="252" t="s">
        <v>2643</v>
      </c>
      <c r="C282" s="253">
        <f>'Dry_Litterbag Placem_Collection'!A63</f>
        <v>61</v>
      </c>
      <c r="D282" s="253" t="str">
        <f>'Dry_Litterbag Placem_Collection'!B63</f>
        <v>Makao</v>
      </c>
      <c r="E282" s="253" t="s">
        <v>2643</v>
      </c>
      <c r="F282" s="253" t="s">
        <v>20</v>
      </c>
      <c r="G282" s="253">
        <v>4</v>
      </c>
      <c r="H282" s="253" t="s">
        <v>3110</v>
      </c>
      <c r="I282" s="254" t="str">
        <f>'Dry_Litterbag Placem_Collection'!C63</f>
        <v>Dry_P4_T5</v>
      </c>
      <c r="J282" s="255" t="s">
        <v>2525</v>
      </c>
      <c r="K282" s="262" t="s">
        <v>298</v>
      </c>
      <c r="L282" s="253" t="str">
        <f>IF(ISBLANK('Dry_Litterbag Placem_Collection'!K63),"","R"&amp;""&amp;'Dry_Litterbag Placem_Collection'!K63)</f>
        <v>R775</v>
      </c>
      <c r="M282" s="257">
        <f>IFERROR(INDEX('Green_rooibos initial weight'!$C$5:$C$2000,MATCH(L282, 'Green_rooibos initial weight'!$A$5:$A$2000,0)),"")</f>
        <v>2.2290000000000001</v>
      </c>
      <c r="N282" s="257">
        <f>IFERROR(M282-(TBIcalc!$Q$9+TBIcalc!$Q$10),"")</f>
        <v>1.9792000000000001</v>
      </c>
      <c r="O282" s="378">
        <f>AVERAGE(Ashed_controlls!$K$12:$K$14)</f>
        <v>2.2816647271287041</v>
      </c>
      <c r="P282" s="257">
        <f t="shared" si="21"/>
        <v>1.9340412917206689</v>
      </c>
      <c r="Q282" s="257" t="str">
        <f>IFERROR(INDEX('Both teabags AfterDry'!$D$2:$D$2000,MATCH(L282,'Both teabags AfterDry'!$A$2:$A$2000,0)),"")</f>
        <v/>
      </c>
      <c r="R282" s="257" t="str">
        <f>IFERROR(IF(Q282&gt;0,Q282-(TBIcalc!$Q$9),""),"")</f>
        <v/>
      </c>
      <c r="S282" s="268" t="str">
        <f>IFERROR(INDEX('Ashed teabags dry'!$K$2:$K$2000,MATCH(L282,'Ashed teabags dry'!$A$2:$A$2000,0)),"")</f>
        <v/>
      </c>
      <c r="T282" s="268" t="str">
        <f t="shared" si="22"/>
        <v/>
      </c>
      <c r="U282" s="258">
        <f>IF('Dry_Litterbag Placem_Collection'!E63="","",'Dry_Litterbag Placem_Collection'!E63)</f>
        <v>42938</v>
      </c>
      <c r="V282" s="258">
        <f>IF('Dry_Litterbag Placem_Collection'!G63="","",'Dry_Litterbag Placem_Collection'!G63)</f>
        <v>43005</v>
      </c>
      <c r="W282" s="259">
        <f t="shared" si="20"/>
        <v>67</v>
      </c>
      <c r="X282" s="257" t="str">
        <f t="shared" si="23"/>
        <v/>
      </c>
      <c r="Y282" s="257" t="str">
        <f t="shared" si="24"/>
        <v/>
      </c>
      <c r="Z282" s="261">
        <f>IFERROR(INDEX([3]Rainfall_Dry!$O$2:$O$217,MATCH(C282, [3]Rainfall_Dry!$A$2:$A$217,0)),"")</f>
        <v>6.5250000359999998</v>
      </c>
      <c r="AA282" s="250">
        <v>25.96</v>
      </c>
      <c r="AB282" s="250">
        <v>6.9200000000000008</v>
      </c>
      <c r="AC282" s="250">
        <v>67.12</v>
      </c>
      <c r="AD282" s="251" t="s">
        <v>2651</v>
      </c>
      <c r="AE282" s="250">
        <v>1.7568260226712666</v>
      </c>
      <c r="AF282">
        <f>IF('WetLitterbags placem_collection'!AB63="","",'WetLitterbags placem_collection'!AB63)</f>
        <v>5.6</v>
      </c>
      <c r="AG282">
        <f>IF('WetLitterbags placem_collection'!Z63="","",'WetLitterbags placem_collection'!Z63)</f>
        <v>34.200000000000003</v>
      </c>
      <c r="AH282" s="236" t="str">
        <f>IF('WetLitterbags placem_collection'!AA63="","",'WetLitterbags placem_collection'!AA63)</f>
        <v>O</v>
      </c>
      <c r="AI282">
        <f>IF('WetLitterbags placem_collection'!AC63="","",'WetLitterbags placem_collection'!AC63)</f>
        <v>0</v>
      </c>
      <c r="AJ282">
        <f>IFERROR(AVERAGE('Dry_Litterbag Placem_Collection'!O63,'Dry_Litterbag Placem_Collection'!R63),"")</f>
        <v>4.5</v>
      </c>
      <c r="AK282" s="261">
        <f>IFERROR(AVERAGE('Dry_Litterbag Placem_Collection'!N63,'Dry_Litterbag Placem_Collection'!Q63),"")</f>
        <v>34</v>
      </c>
      <c r="AL282" s="260">
        <f>INDEX([2]Coordinates!$B$2:$B$197,MATCH(I282,[2]Coordinates!$J$2:$J$197,0))</f>
        <v>-3.406569986</v>
      </c>
      <c r="AM282" s="260">
        <f>INDEX([2]Coordinates!$C$2:$C$197,MATCH(I282,[2]Coordinates!$J$2:$J$197,0))</f>
        <v>34.851323989999997</v>
      </c>
      <c r="AN282" s="260" t="str">
        <f>IF(ISNUMBER(SEARCH("C", 'Dry_Litterbag Placem_Collection'!T63)),"YES","NO")</f>
        <v>NO</v>
      </c>
      <c r="AO282" s="260" t="str">
        <f>IF(ISNUMBER(SEARCH("H", 'Dry_Litterbag Placem_Collection'!T63)),"YES","NO")</f>
        <v>NO</v>
      </c>
      <c r="AP282" s="260" t="str">
        <f>IF(ISNUMBER(SEARCH("R", 'Dry_Litterbag Placem_Collection'!T63)),"YES","NO")</f>
        <v>NO</v>
      </c>
    </row>
    <row r="283" spans="1:42" ht="15" customHeight="1">
      <c r="A283" t="s">
        <v>3248</v>
      </c>
      <c r="B283" s="252" t="s">
        <v>2643</v>
      </c>
      <c r="C283" s="253">
        <f>'Dry_Litterbag Placem_Collection'!A64</f>
        <v>62</v>
      </c>
      <c r="D283" s="253" t="str">
        <f>'Dry_Litterbag Placem_Collection'!B64</f>
        <v>Makao</v>
      </c>
      <c r="E283" s="253" t="s">
        <v>2643</v>
      </c>
      <c r="F283" s="253" t="s">
        <v>20</v>
      </c>
      <c r="G283" s="253">
        <v>4</v>
      </c>
      <c r="H283" s="253" t="s">
        <v>3110</v>
      </c>
      <c r="I283" s="254" t="str">
        <f>'Dry_Litterbag Placem_Collection'!C64</f>
        <v>Dry_P4_T6</v>
      </c>
      <c r="J283" s="255" t="s">
        <v>2525</v>
      </c>
      <c r="K283" s="262" t="s">
        <v>298</v>
      </c>
      <c r="L283" s="253" t="str">
        <f>IF(ISBLANK('Dry_Litterbag Placem_Collection'!K64),"","R"&amp;""&amp;'Dry_Litterbag Placem_Collection'!K64)</f>
        <v/>
      </c>
      <c r="M283" s="257" t="str">
        <f>IFERROR(INDEX('Green_rooibos initial weight'!$C$5:$C$2000,MATCH(L283, 'Green_rooibos initial weight'!$A$5:$A$2000,0)),"")</f>
        <v/>
      </c>
      <c r="N283" s="257" t="str">
        <f>IFERROR(M283-(TBIcalc!$Q$9+TBIcalc!$Q$10),"")</f>
        <v/>
      </c>
      <c r="O283" s="378">
        <f>AVERAGE(Ashed_controlls!$K$12:$K$14)</f>
        <v>2.2816647271287041</v>
      </c>
      <c r="P283" s="257" t="str">
        <f t="shared" si="21"/>
        <v/>
      </c>
      <c r="Q283" s="257" t="str">
        <f>IFERROR(INDEX('Both teabags AfterDry'!$D$2:$D$2000,MATCH(L283,'Both teabags AfterDry'!$A$2:$A$2000,0)),"")</f>
        <v/>
      </c>
      <c r="R283" s="257" t="str">
        <f>IFERROR(IF(Q283&gt;0,Q283-(TBIcalc!$Q$9),""),"")</f>
        <v/>
      </c>
      <c r="S283" s="268" t="str">
        <f>IFERROR(INDEX('Ashed teabags dry'!$K$2:$K$2000,MATCH(L283,'Ashed teabags dry'!$A$2:$A$2000,0)),"")</f>
        <v/>
      </c>
      <c r="T283" s="268" t="str">
        <f t="shared" si="22"/>
        <v/>
      </c>
      <c r="U283" s="258" t="str">
        <f>IF('Dry_Litterbag Placem_Collection'!E64="","",'Dry_Litterbag Placem_Collection'!E64)</f>
        <v/>
      </c>
      <c r="V283" s="258" t="str">
        <f>IF('Dry_Litterbag Placem_Collection'!G64="","",'Dry_Litterbag Placem_Collection'!G64)</f>
        <v/>
      </c>
      <c r="W283" s="259" t="str">
        <f t="shared" si="20"/>
        <v/>
      </c>
      <c r="X283" s="257" t="str">
        <f t="shared" si="23"/>
        <v/>
      </c>
      <c r="Y283" s="257" t="str">
        <f t="shared" si="24"/>
        <v/>
      </c>
      <c r="Z283" s="261" t="str">
        <f>IFERROR(INDEX([3]Rainfall_Dry!$O$2:$O$217,MATCH(C283, [3]Rainfall_Dry!$A$2:$A$217,0)),"")</f>
        <v/>
      </c>
      <c r="AA283" s="250">
        <v>25.96</v>
      </c>
      <c r="AB283" s="250">
        <v>6.9200000000000008</v>
      </c>
      <c r="AC283" s="250">
        <v>67.12</v>
      </c>
      <c r="AD283" s="251" t="s">
        <v>2651</v>
      </c>
      <c r="AE283" s="250">
        <v>1.7568260226712666</v>
      </c>
      <c r="AF283">
        <f>IF('WetLitterbags placem_collection'!AB64="","",'WetLitterbags placem_collection'!AB64)</f>
        <v>4.2</v>
      </c>
      <c r="AG283">
        <f>IF('WetLitterbags placem_collection'!Z64="","",'WetLitterbags placem_collection'!Z64)</f>
        <v>40.4</v>
      </c>
      <c r="AH283" s="236" t="str">
        <f>IF('WetLitterbags placem_collection'!AA64="","",'WetLitterbags placem_collection'!AA64)</f>
        <v>O</v>
      </c>
      <c r="AI283">
        <f>IF('WetLitterbags placem_collection'!AC64="","",'WetLitterbags placem_collection'!AC64)</f>
        <v>0</v>
      </c>
      <c r="AJ283" t="str">
        <f>IFERROR(AVERAGE('Dry_Litterbag Placem_Collection'!O64,'Dry_Litterbag Placem_Collection'!R64),"")</f>
        <v/>
      </c>
      <c r="AK283" s="261" t="str">
        <f>IFERROR(AVERAGE('Dry_Litterbag Placem_Collection'!N64,'Dry_Litterbag Placem_Collection'!Q64),"")</f>
        <v/>
      </c>
      <c r="AL283" s="260">
        <f>INDEX([2]Coordinates!$B$2:$B$197,MATCH(I283,[2]Coordinates!$J$2:$J$197,0))</f>
        <v>-3.4065180179999999</v>
      </c>
      <c r="AM283" s="260">
        <f>INDEX([2]Coordinates!$C$2:$C$197,MATCH(I283,[2]Coordinates!$J$2:$J$197,0))</f>
        <v>34.85121402</v>
      </c>
      <c r="AN283" s="260" t="str">
        <f>IF(ISNUMBER(SEARCH("C", 'Dry_Litterbag Placem_Collection'!T64)),"YES","NO")</f>
        <v>NO</v>
      </c>
      <c r="AO283" s="260" t="str">
        <f>IF(ISNUMBER(SEARCH("H", 'Dry_Litterbag Placem_Collection'!T64)),"YES","NO")</f>
        <v>NO</v>
      </c>
      <c r="AP283" s="260" t="str">
        <f>IF(ISNUMBER(SEARCH("R", 'Dry_Litterbag Placem_Collection'!T64)),"YES","NO")</f>
        <v>NO</v>
      </c>
    </row>
    <row r="284" spans="1:42" ht="15" customHeight="1">
      <c r="A284" t="s">
        <v>3248</v>
      </c>
      <c r="B284" s="252" t="s">
        <v>2643</v>
      </c>
      <c r="C284" s="253">
        <f>'Dry_Litterbag Placem_Collection'!A65</f>
        <v>63</v>
      </c>
      <c r="D284" s="253" t="str">
        <f>'Dry_Litterbag Placem_Collection'!B65</f>
        <v>Makao</v>
      </c>
      <c r="E284" s="253" t="s">
        <v>2643</v>
      </c>
      <c r="F284" s="253" t="s">
        <v>20</v>
      </c>
      <c r="G284" s="253">
        <v>4</v>
      </c>
      <c r="H284" s="253" t="s">
        <v>3110</v>
      </c>
      <c r="I284" s="254" t="str">
        <f>'Dry_Litterbag Placem_Collection'!C65</f>
        <v>Dry_P4_T7</v>
      </c>
      <c r="J284" s="255" t="s">
        <v>2525</v>
      </c>
      <c r="K284" s="262" t="s">
        <v>298</v>
      </c>
      <c r="L284" s="253" t="str">
        <f>IF(ISBLANK('Dry_Litterbag Placem_Collection'!K65),"","R"&amp;""&amp;'Dry_Litterbag Placem_Collection'!K65)</f>
        <v>R733</v>
      </c>
      <c r="M284" s="257">
        <f>IFERROR(INDEX('Green_rooibos initial weight'!$C$5:$C$2000,MATCH(L284, 'Green_rooibos initial weight'!$A$5:$A$2000,0)),"")</f>
        <v>2.181</v>
      </c>
      <c r="N284" s="257">
        <f>IFERROR(M284-(TBIcalc!$Q$9+TBIcalc!$Q$10),"")</f>
        <v>1.9312</v>
      </c>
      <c r="O284" s="378">
        <f>AVERAGE(Ashed_controlls!$K$12:$K$14)</f>
        <v>2.2816647271287041</v>
      </c>
      <c r="P284" s="257">
        <f t="shared" si="21"/>
        <v>1.8871364907896906</v>
      </c>
      <c r="Q284" s="257">
        <f>IFERROR(INDEX('Both teabags AfterDry'!$D$2:$D$2000,MATCH(L284,'Both teabags AfterDry'!$A$2:$A$2000,0)),"")</f>
        <v>1.9025000000000001</v>
      </c>
      <c r="R284" s="257">
        <f>IFERROR(IF(Q284&gt;0,Q284-(TBIcalc!$Q$9),""),"")</f>
        <v>1.7519</v>
      </c>
      <c r="S284" s="268">
        <f>IFERROR(INDEX('Ashed teabags dry'!$K$2:$K$2000,MATCH(L284,'Ashed teabags dry'!$A$2:$A$2000,0)),"")</f>
        <v>2.0627417275461966</v>
      </c>
      <c r="T284" s="268">
        <f t="shared" si="22"/>
        <v>1.7157628276751182</v>
      </c>
      <c r="U284" s="258">
        <f>IF('Dry_Litterbag Placem_Collection'!E65="","",'Dry_Litterbag Placem_Collection'!E65)</f>
        <v>42938</v>
      </c>
      <c r="V284" s="258">
        <f>IF('Dry_Litterbag Placem_Collection'!G65="","",'Dry_Litterbag Placem_Collection'!G65)</f>
        <v>43005</v>
      </c>
      <c r="W284" s="259">
        <f t="shared" si="20"/>
        <v>67</v>
      </c>
      <c r="X284" s="257">
        <f t="shared" si="23"/>
        <v>0.17930000000000001</v>
      </c>
      <c r="Y284" s="257">
        <f t="shared" si="24"/>
        <v>0.17137366311457236</v>
      </c>
      <c r="Z284" s="261">
        <f>IFERROR(INDEX([3]Rainfall_Dry!$O$2:$O$217,MATCH(C284, [3]Rainfall_Dry!$A$2:$A$217,0)),"")</f>
        <v>6.5250000359999998</v>
      </c>
      <c r="AA284" s="250">
        <v>25.96</v>
      </c>
      <c r="AB284" s="250">
        <v>6.9200000000000008</v>
      </c>
      <c r="AC284" s="250">
        <v>67.12</v>
      </c>
      <c r="AD284" s="251" t="s">
        <v>2651</v>
      </c>
      <c r="AE284" s="250">
        <v>1.7568260226712666</v>
      </c>
      <c r="AF284">
        <f>IF('WetLitterbags placem_collection'!AB65="","",'WetLitterbags placem_collection'!AB65)</f>
        <v>4.9000000000000004</v>
      </c>
      <c r="AG284">
        <f>IF('WetLitterbags placem_collection'!Z65="","",'WetLitterbags placem_collection'!Z65)</f>
        <v>45</v>
      </c>
      <c r="AH284" s="236" t="str">
        <f>IF('WetLitterbags placem_collection'!AA65="","",'WetLitterbags placem_collection'!AA65)</f>
        <v>O</v>
      </c>
      <c r="AI284">
        <f>IF('WetLitterbags placem_collection'!AC65="","",'WetLitterbags placem_collection'!AC65)</f>
        <v>0</v>
      </c>
      <c r="AJ284">
        <f>IFERROR(AVERAGE('Dry_Litterbag Placem_Collection'!O65,'Dry_Litterbag Placem_Collection'!R65),"")</f>
        <v>4.75</v>
      </c>
      <c r="AK284" s="261">
        <f>IFERROR(AVERAGE('Dry_Litterbag Placem_Collection'!N65,'Dry_Litterbag Placem_Collection'!Q65),"")</f>
        <v>31.3</v>
      </c>
      <c r="AL284" s="260">
        <f>INDEX([2]Coordinates!$B$2:$B$197,MATCH(I284,[2]Coordinates!$J$2:$J$197,0))</f>
        <v>-3.406334035</v>
      </c>
      <c r="AM284" s="260">
        <f>INDEX([2]Coordinates!$C$2:$C$197,MATCH(I284,[2]Coordinates!$J$2:$J$197,0))</f>
        <v>34.851172030000001</v>
      </c>
      <c r="AN284" s="260" t="str">
        <f>IF(ISNUMBER(SEARCH("C", 'Dry_Litterbag Placem_Collection'!T65)),"YES","NO")</f>
        <v>NO</v>
      </c>
      <c r="AO284" s="260" t="str">
        <f>IF(ISNUMBER(SEARCH("H", 'Dry_Litterbag Placem_Collection'!T65)),"YES","NO")</f>
        <v>NO</v>
      </c>
      <c r="AP284" s="260" t="str">
        <f>IF(ISNUMBER(SEARCH("R", 'Dry_Litterbag Placem_Collection'!T65)),"YES","NO")</f>
        <v>NO</v>
      </c>
    </row>
    <row r="285" spans="1:42" ht="15" customHeight="1">
      <c r="A285" t="s">
        <v>3248</v>
      </c>
      <c r="B285" s="252" t="s">
        <v>2643</v>
      </c>
      <c r="C285" s="253">
        <f>'Dry_Litterbag Placem_Collection'!A66</f>
        <v>64</v>
      </c>
      <c r="D285" s="253" t="str">
        <f>'Dry_Litterbag Placem_Collection'!B66</f>
        <v>Makao</v>
      </c>
      <c r="E285" s="253" t="s">
        <v>2643</v>
      </c>
      <c r="F285" s="253" t="s">
        <v>20</v>
      </c>
      <c r="G285" s="253">
        <v>4</v>
      </c>
      <c r="H285" s="253" t="s">
        <v>3110</v>
      </c>
      <c r="I285" s="254" t="str">
        <f>'Dry_Litterbag Placem_Collection'!C66</f>
        <v>Dry_P4_T8</v>
      </c>
      <c r="J285" s="255" t="s">
        <v>2525</v>
      </c>
      <c r="K285" s="262" t="s">
        <v>298</v>
      </c>
      <c r="L285" s="253" t="str">
        <f>IF(ISBLANK('Dry_Litterbag Placem_Collection'!K66),"","R"&amp;""&amp;'Dry_Litterbag Placem_Collection'!K66)</f>
        <v>R765</v>
      </c>
      <c r="M285" s="257">
        <f>IFERROR(INDEX('Green_rooibos initial weight'!$C$5:$C$2000,MATCH(L285, 'Green_rooibos initial weight'!$A$5:$A$2000,0)),"")</f>
        <v>2.2400000000000002</v>
      </c>
      <c r="N285" s="257">
        <f>IFERROR(M285-(TBIcalc!$Q$9+TBIcalc!$Q$10),"")</f>
        <v>1.9902000000000002</v>
      </c>
      <c r="O285" s="378">
        <f>AVERAGE(Ashed_controlls!$K$12:$K$14)</f>
        <v>2.2816647271287041</v>
      </c>
      <c r="P285" s="257">
        <f t="shared" si="21"/>
        <v>1.9447903086006848</v>
      </c>
      <c r="Q285" s="257">
        <f>IFERROR(INDEX('Both teabags AfterDry'!$D$2:$D$2000,MATCH(L285,'Both teabags AfterDry'!$A$2:$A$2000,0)),"")</f>
        <v>1.9783999999999999</v>
      </c>
      <c r="R285" s="257">
        <f>IFERROR(IF(Q285&gt;0,Q285-(TBIcalc!$Q$9),""),"")</f>
        <v>1.8277999999999999</v>
      </c>
      <c r="S285" s="268">
        <f>IFERROR(INDEX('Ashed teabags dry'!$K$2:$K$2000,MATCH(L285,'Ashed teabags dry'!$A$2:$A$2000,0)),"")</f>
        <v>2.2874191944304623</v>
      </c>
      <c r="T285" s="268">
        <f t="shared" si="22"/>
        <v>1.7859905519641999</v>
      </c>
      <c r="U285" s="258">
        <f>IF('Dry_Litterbag Placem_Collection'!E66="","",'Dry_Litterbag Placem_Collection'!E66)</f>
        <v>42938</v>
      </c>
      <c r="V285" s="258">
        <f>IF('Dry_Litterbag Placem_Collection'!G66="","",'Dry_Litterbag Placem_Collection'!G66)</f>
        <v>43005</v>
      </c>
      <c r="W285" s="259">
        <f t="shared" si="20"/>
        <v>67</v>
      </c>
      <c r="X285" s="257">
        <f t="shared" si="23"/>
        <v>0.16240000000000032</v>
      </c>
      <c r="Y285" s="257">
        <f t="shared" si="24"/>
        <v>0.15879975663648493</v>
      </c>
      <c r="Z285" s="261">
        <f>IFERROR(INDEX([3]Rainfall_Dry!$O$2:$O$217,MATCH(C285, [3]Rainfall_Dry!$A$2:$A$217,0)),"")</f>
        <v>6.5250000359999998</v>
      </c>
      <c r="AA285" s="250">
        <v>25.96</v>
      </c>
      <c r="AB285" s="250">
        <v>6.9200000000000008</v>
      </c>
      <c r="AC285" s="250">
        <v>67.12</v>
      </c>
      <c r="AD285" s="251" t="s">
        <v>2651</v>
      </c>
      <c r="AE285" s="250">
        <v>1.7568260226712666</v>
      </c>
      <c r="AF285">
        <f>IF('WetLitterbags placem_collection'!AB66="","",'WetLitterbags placem_collection'!AB66)</f>
        <v>3</v>
      </c>
      <c r="AG285">
        <f>IF('WetLitterbags placem_collection'!Z66="","",'WetLitterbags placem_collection'!Z66)</f>
        <v>22.8</v>
      </c>
      <c r="AH285" s="236" t="str">
        <f>IF('WetLitterbags placem_collection'!AA66="","",'WetLitterbags placem_collection'!AA66)</f>
        <v>O</v>
      </c>
      <c r="AI285">
        <f>IF('WetLitterbags placem_collection'!AC66="","",'WetLitterbags placem_collection'!AC66)</f>
        <v>1</v>
      </c>
      <c r="AJ285">
        <f>IFERROR(AVERAGE('Dry_Litterbag Placem_Collection'!O66,'Dry_Litterbag Placem_Collection'!R66),"")</f>
        <v>5.55</v>
      </c>
      <c r="AK285" s="261">
        <f>IFERROR(AVERAGE('Dry_Litterbag Placem_Collection'!N66,'Dry_Litterbag Placem_Collection'!Q66),"")</f>
        <v>31.5</v>
      </c>
      <c r="AL285" s="260">
        <f>INDEX([2]Coordinates!$B$2:$B$197,MATCH(I285,[2]Coordinates!$J$2:$J$197,0))</f>
        <v>-3.4063409920000001</v>
      </c>
      <c r="AM285" s="260">
        <f>INDEX([2]Coordinates!$C$2:$C$197,MATCH(I285,[2]Coordinates!$J$2:$J$197,0))</f>
        <v>34.85126004</v>
      </c>
      <c r="AN285" s="260" t="str">
        <f>IF(ISNUMBER(SEARCH("C", 'Dry_Litterbag Placem_Collection'!T66)),"YES","NO")</f>
        <v>NO</v>
      </c>
      <c r="AO285" s="260" t="str">
        <f>IF(ISNUMBER(SEARCH("H", 'Dry_Litterbag Placem_Collection'!T66)),"YES","NO")</f>
        <v>NO</v>
      </c>
      <c r="AP285" s="260" t="str">
        <f>IF(ISNUMBER(SEARCH("R", 'Dry_Litterbag Placem_Collection'!T66)),"YES","NO")</f>
        <v>NO</v>
      </c>
    </row>
    <row r="286" spans="1:42" ht="15" customHeight="1">
      <c r="A286" t="s">
        <v>3248</v>
      </c>
      <c r="B286" s="252" t="s">
        <v>2643</v>
      </c>
      <c r="C286" s="253">
        <f>'Dry_Litterbag Placem_Collection'!A67</f>
        <v>65</v>
      </c>
      <c r="D286" s="253" t="str">
        <f>'Dry_Litterbag Placem_Collection'!B67</f>
        <v>Maswa</v>
      </c>
      <c r="E286" s="253" t="s">
        <v>2643</v>
      </c>
      <c r="F286" s="253" t="s">
        <v>2645</v>
      </c>
      <c r="G286" s="253">
        <v>1</v>
      </c>
      <c r="H286" s="253" t="s">
        <v>3111</v>
      </c>
      <c r="I286" s="254" t="str">
        <f>'Dry_Litterbag Placem_Collection'!C67</f>
        <v>Dry_W1_T1</v>
      </c>
      <c r="J286" s="255" t="s">
        <v>2525</v>
      </c>
      <c r="K286" s="262" t="s">
        <v>298</v>
      </c>
      <c r="L286" s="253" t="str">
        <f>IF(ISBLANK('Dry_Litterbag Placem_Collection'!K67),"","R"&amp;""&amp;'Dry_Litterbag Placem_Collection'!K67)</f>
        <v>R731</v>
      </c>
      <c r="M286" s="257">
        <f>IFERROR(INDEX('Green_rooibos initial weight'!$C$5:$C$2000,MATCH(L286, 'Green_rooibos initial weight'!$A$5:$A$2000,0)),"")</f>
        <v>2.2480000000000002</v>
      </c>
      <c r="N286" s="257">
        <f>IFERROR(M286-(TBIcalc!$Q$9+TBIcalc!$Q$10),"")</f>
        <v>1.9982000000000002</v>
      </c>
      <c r="O286" s="378">
        <f>AVERAGE(Ashed_controlls!$K$12:$K$14)</f>
        <v>2.2816647271287041</v>
      </c>
      <c r="P286" s="257">
        <f t="shared" si="21"/>
        <v>1.9526077754225144</v>
      </c>
      <c r="Q286" s="257" t="str">
        <f>IFERROR(INDEX('Both teabags AfterDry'!$D$2:$D$2000,MATCH(L286,'Both teabags AfterDry'!$A$2:$A$2000,0)),"")</f>
        <v/>
      </c>
      <c r="R286" s="257" t="str">
        <f>IFERROR(IF(Q286&gt;0,Q286-(TBIcalc!$Q$9),""),"")</f>
        <v/>
      </c>
      <c r="S286" s="268" t="str">
        <f>IFERROR(INDEX('Ashed teabags dry'!$K$2:$K$2000,MATCH(L286,'Ashed teabags dry'!$A$2:$A$2000,0)),"")</f>
        <v/>
      </c>
      <c r="T286" s="268" t="str">
        <f t="shared" si="22"/>
        <v/>
      </c>
      <c r="U286" s="258">
        <f>IF('Dry_Litterbag Placem_Collection'!E67="","",'Dry_Litterbag Placem_Collection'!E67)</f>
        <v>42937</v>
      </c>
      <c r="V286" s="258">
        <f>IF('Dry_Litterbag Placem_Collection'!G67="","",'Dry_Litterbag Placem_Collection'!G67)</f>
        <v>43005</v>
      </c>
      <c r="W286" s="259">
        <f t="shared" si="20"/>
        <v>68</v>
      </c>
      <c r="X286" s="257" t="str">
        <f t="shared" si="23"/>
        <v/>
      </c>
      <c r="Y286" s="257" t="str">
        <f t="shared" si="24"/>
        <v/>
      </c>
      <c r="Z286" s="261">
        <f>IFERROR(INDEX([3]Rainfall_Dry!$O$2:$O$217,MATCH(C286, [3]Rainfall_Dry!$A$2:$A$217,0)),"")</f>
        <v>6.900000125</v>
      </c>
      <c r="AA286" s="250">
        <v>47.96</v>
      </c>
      <c r="AB286" s="250">
        <v>22.919999999999995</v>
      </c>
      <c r="AC286" s="250">
        <v>29.120000000000012</v>
      </c>
      <c r="AD286" s="251" t="s">
        <v>2654</v>
      </c>
      <c r="AE286" s="250">
        <v>2.8831936914736325</v>
      </c>
      <c r="AF286">
        <f>IF('WetLitterbags placem_collection'!AB67="","",'WetLitterbags placem_collection'!AB67)</f>
        <v>13.8</v>
      </c>
      <c r="AG286">
        <f>IF('WetLitterbags placem_collection'!Z67="","",'WetLitterbags placem_collection'!Z67)</f>
        <v>13.8</v>
      </c>
      <c r="AH286" s="236" t="str">
        <f>IF('WetLitterbags placem_collection'!AA67="","",'WetLitterbags placem_collection'!AA67)</f>
        <v>O</v>
      </c>
      <c r="AI286">
        <f>IF('WetLitterbags placem_collection'!AC67="","",'WetLitterbags placem_collection'!AC67)</f>
        <v>1</v>
      </c>
      <c r="AJ286">
        <f>IFERROR(AVERAGE('Dry_Litterbag Placem_Collection'!O67,'Dry_Litterbag Placem_Collection'!R67),"")</f>
        <v>10.65</v>
      </c>
      <c r="AK286" s="261">
        <f>IFERROR(AVERAGE('Dry_Litterbag Placem_Collection'!N67,'Dry_Litterbag Placem_Collection'!Q67),"")</f>
        <v>28</v>
      </c>
      <c r="AL286" s="260">
        <f>INDEX([2]Coordinates!$B$2:$B$197,MATCH(I286,[2]Coordinates!$J$2:$J$197,0))</f>
        <v>-3.2993960379999998</v>
      </c>
      <c r="AM286" s="260">
        <f>INDEX([2]Coordinates!$C$2:$C$197,MATCH(I286,[2]Coordinates!$J$2:$J$197,0))</f>
        <v>34.848240959999998</v>
      </c>
      <c r="AN286" s="260" t="str">
        <f>IF(ISNUMBER(SEARCH("C", 'Dry_Litterbag Placem_Collection'!T67)),"YES","NO")</f>
        <v>NO</v>
      </c>
      <c r="AO286" s="260" t="str">
        <f>IF(ISNUMBER(SEARCH("H", 'Dry_Litterbag Placem_Collection'!T67)),"YES","NO")</f>
        <v>NO</v>
      </c>
      <c r="AP286" s="260" t="str">
        <f>IF(ISNUMBER(SEARCH("R", 'Dry_Litterbag Placem_Collection'!T67)),"YES","NO")</f>
        <v>NO</v>
      </c>
    </row>
    <row r="287" spans="1:42" ht="15" customHeight="1">
      <c r="A287" t="s">
        <v>3248</v>
      </c>
      <c r="B287" s="252" t="s">
        <v>2643</v>
      </c>
      <c r="C287" s="253">
        <f>'Dry_Litterbag Placem_Collection'!A68</f>
        <v>66</v>
      </c>
      <c r="D287" s="253" t="str">
        <f>'Dry_Litterbag Placem_Collection'!B68</f>
        <v>Maswa</v>
      </c>
      <c r="E287" s="253" t="s">
        <v>2643</v>
      </c>
      <c r="F287" s="253" t="s">
        <v>2645</v>
      </c>
      <c r="G287" s="253">
        <v>1</v>
      </c>
      <c r="H287" s="253" t="s">
        <v>3111</v>
      </c>
      <c r="I287" s="254" t="str">
        <f>'Dry_Litterbag Placem_Collection'!C68</f>
        <v>Dry_W1_T2</v>
      </c>
      <c r="J287" s="255" t="s">
        <v>2525</v>
      </c>
      <c r="K287" s="262" t="s">
        <v>298</v>
      </c>
      <c r="L287" s="253" t="str">
        <f>IF(ISBLANK('Dry_Litterbag Placem_Collection'!K68),"","R"&amp;""&amp;'Dry_Litterbag Placem_Collection'!K68)</f>
        <v>R816</v>
      </c>
      <c r="M287" s="257">
        <f>IFERROR(INDEX('Green_rooibos initial weight'!$C$5:$C$2000,MATCH(L287, 'Green_rooibos initial weight'!$A$5:$A$2000,0)),"")</f>
        <v>2.194</v>
      </c>
      <c r="N287" s="257">
        <f>IFERROR(M287-(TBIcalc!$Q$9+TBIcalc!$Q$10),"")</f>
        <v>1.9441999999999999</v>
      </c>
      <c r="O287" s="378">
        <f>AVERAGE(Ashed_controlls!$K$12:$K$14)</f>
        <v>2.2816647271287041</v>
      </c>
      <c r="P287" s="257">
        <f t="shared" si="21"/>
        <v>1.8998398743751637</v>
      </c>
      <c r="Q287" s="257">
        <f>IFERROR(INDEX('Both teabags AfterDry'!$D$2:$D$2000,MATCH(L287,'Both teabags AfterDry'!$A$2:$A$2000,0)),"")</f>
        <v>1.9451000000000001</v>
      </c>
      <c r="R287" s="257">
        <f>IFERROR(IF(Q287&gt;0,Q287-(TBIcalc!$Q$9),""),"")</f>
        <v>1.7945</v>
      </c>
      <c r="S287" s="268">
        <f>IFERROR(INDEX('Ashed teabags dry'!$K$2:$K$2000,MATCH(L287,'Ashed teabags dry'!$A$2:$A$2000,0)),"")</f>
        <v>3.3524481693872197</v>
      </c>
      <c r="T287" s="268">
        <f t="shared" si="22"/>
        <v>1.7343403176003462</v>
      </c>
      <c r="U287" s="258">
        <f>IF('Dry_Litterbag Placem_Collection'!E68="","",'Dry_Litterbag Placem_Collection'!E68)</f>
        <v>42937</v>
      </c>
      <c r="V287" s="258">
        <f>IF('Dry_Litterbag Placem_Collection'!G68="","",'Dry_Litterbag Placem_Collection'!G68)</f>
        <v>43005</v>
      </c>
      <c r="W287" s="259">
        <f t="shared" si="20"/>
        <v>68</v>
      </c>
      <c r="X287" s="257">
        <f t="shared" si="23"/>
        <v>0.14969999999999994</v>
      </c>
      <c r="Y287" s="257">
        <f t="shared" si="24"/>
        <v>0.16549955677481742</v>
      </c>
      <c r="Z287" s="261">
        <f>IFERROR(INDEX([3]Rainfall_Dry!$O$2:$O$217,MATCH(C287, [3]Rainfall_Dry!$A$2:$A$217,0)),"")</f>
        <v>6.900000125</v>
      </c>
      <c r="AA287" s="250">
        <v>47.96</v>
      </c>
      <c r="AB287" s="250">
        <v>22.919999999999995</v>
      </c>
      <c r="AC287" s="250">
        <v>29.120000000000012</v>
      </c>
      <c r="AD287" s="251" t="s">
        <v>2654</v>
      </c>
      <c r="AE287" s="250">
        <v>3.8831936914736298</v>
      </c>
      <c r="AF287">
        <f>IF('WetLitterbags placem_collection'!AB68="","",'WetLitterbags placem_collection'!AB68)</f>
        <v>8</v>
      </c>
      <c r="AG287">
        <f>IF('WetLitterbags placem_collection'!Z68="","",'WetLitterbags placem_collection'!Z68)</f>
        <v>19.8</v>
      </c>
      <c r="AH287" s="236" t="str">
        <f>IF('WetLitterbags placem_collection'!AA68="","",'WetLitterbags placem_collection'!AA68)</f>
        <v>O</v>
      </c>
      <c r="AI287">
        <f>IF('WetLitterbags placem_collection'!AC68="","",'WetLitterbags placem_collection'!AC68)</f>
        <v>1</v>
      </c>
      <c r="AJ287">
        <f>IFERROR(AVERAGE('Dry_Litterbag Placem_Collection'!O68,'Dry_Litterbag Placem_Collection'!R68),"")</f>
        <v>10.100000000000001</v>
      </c>
      <c r="AK287" s="261">
        <f>IFERROR(AVERAGE('Dry_Litterbag Placem_Collection'!N68,'Dry_Litterbag Placem_Collection'!Q68),"")</f>
        <v>23.6</v>
      </c>
      <c r="AL287" s="260">
        <f>INDEX([2]Coordinates!$B$2:$B$197,MATCH(I287,[2]Coordinates!$J$2:$J$197,0))</f>
        <v>-3.2993090340000002</v>
      </c>
      <c r="AM287" s="260">
        <f>INDEX([2]Coordinates!$C$2:$C$197,MATCH(I287,[2]Coordinates!$J$2:$J$197,0))</f>
        <v>34.848404989999999</v>
      </c>
      <c r="AN287" s="260" t="str">
        <f>IF(ISNUMBER(SEARCH("C", 'Dry_Litterbag Placem_Collection'!T68)),"YES","NO")</f>
        <v>NO</v>
      </c>
      <c r="AO287" s="260" t="str">
        <f>IF(ISNUMBER(SEARCH("H", 'Dry_Litterbag Placem_Collection'!T68)),"YES","NO")</f>
        <v>NO</v>
      </c>
      <c r="AP287" s="260" t="str">
        <f>IF(ISNUMBER(SEARCH("R", 'Dry_Litterbag Placem_Collection'!T68)),"YES","NO")</f>
        <v>NO</v>
      </c>
    </row>
    <row r="288" spans="1:42" ht="15" customHeight="1">
      <c r="A288" t="s">
        <v>3248</v>
      </c>
      <c r="B288" s="252" t="s">
        <v>2643</v>
      </c>
      <c r="C288" s="253">
        <f>'Dry_Litterbag Placem_Collection'!A69</f>
        <v>67</v>
      </c>
      <c r="D288" s="253" t="str">
        <f>'Dry_Litterbag Placem_Collection'!B69</f>
        <v>Maswa</v>
      </c>
      <c r="E288" s="253" t="s">
        <v>2643</v>
      </c>
      <c r="F288" s="253" t="s">
        <v>2645</v>
      </c>
      <c r="G288" s="253">
        <v>1</v>
      </c>
      <c r="H288" s="253" t="s">
        <v>3111</v>
      </c>
      <c r="I288" s="254" t="str">
        <f>'Dry_Litterbag Placem_Collection'!C69</f>
        <v>Dry_W1_T3</v>
      </c>
      <c r="J288" s="255" t="s">
        <v>2525</v>
      </c>
      <c r="K288" s="262" t="s">
        <v>298</v>
      </c>
      <c r="L288" s="253" t="str">
        <f>IF(ISBLANK('Dry_Litterbag Placem_Collection'!K69),"","R"&amp;""&amp;'Dry_Litterbag Placem_Collection'!K69)</f>
        <v/>
      </c>
      <c r="M288" s="257" t="str">
        <f>IFERROR(INDEX('Green_rooibos initial weight'!$C$5:$C$2000,MATCH(L288, 'Green_rooibos initial weight'!$A$5:$A$2000,0)),"")</f>
        <v/>
      </c>
      <c r="N288" s="257" t="str">
        <f>IFERROR(M288-(TBIcalc!$Q$9+TBIcalc!$Q$10),"")</f>
        <v/>
      </c>
      <c r="O288" s="378">
        <f>AVERAGE(Ashed_controlls!$K$12:$K$14)</f>
        <v>2.2816647271287041</v>
      </c>
      <c r="P288" s="257" t="str">
        <f t="shared" si="21"/>
        <v/>
      </c>
      <c r="Q288" s="257" t="str">
        <f>IFERROR(INDEX('Both teabags AfterDry'!$D$2:$D$2000,MATCH(L288,'Both teabags AfterDry'!$A$2:$A$2000,0)),"")</f>
        <v/>
      </c>
      <c r="R288" s="257" t="str">
        <f>IFERROR(IF(Q288&gt;0,Q288-(TBIcalc!$Q$9),""),"")</f>
        <v/>
      </c>
      <c r="S288" s="268" t="str">
        <f>IFERROR(INDEX('Ashed teabags dry'!$K$2:$K$2000,MATCH(L288,'Ashed teabags dry'!$A$2:$A$2000,0)),"")</f>
        <v/>
      </c>
      <c r="T288" s="268" t="str">
        <f t="shared" si="22"/>
        <v/>
      </c>
      <c r="U288" s="258" t="str">
        <f>IF('Dry_Litterbag Placem_Collection'!E69="","",'Dry_Litterbag Placem_Collection'!E69)</f>
        <v/>
      </c>
      <c r="V288" s="258" t="str">
        <f>IF('Dry_Litterbag Placem_Collection'!G69="","",'Dry_Litterbag Placem_Collection'!G69)</f>
        <v/>
      </c>
      <c r="W288" s="259" t="str">
        <f t="shared" si="20"/>
        <v/>
      </c>
      <c r="X288" s="257" t="str">
        <f t="shared" si="23"/>
        <v/>
      </c>
      <c r="Y288" s="257" t="str">
        <f t="shared" si="24"/>
        <v/>
      </c>
      <c r="Z288" s="261" t="str">
        <f>IFERROR(INDEX([3]Rainfall_Dry!$O$2:$O$217,MATCH(C288, [3]Rainfall_Dry!$A$2:$A$217,0)),"")</f>
        <v/>
      </c>
      <c r="AA288" s="250">
        <v>47.96</v>
      </c>
      <c r="AB288" s="250">
        <v>22.919999999999995</v>
      </c>
      <c r="AC288" s="250">
        <v>29.120000000000012</v>
      </c>
      <c r="AD288" s="251" t="s">
        <v>2654</v>
      </c>
      <c r="AE288" s="250">
        <v>4.8831936914736298</v>
      </c>
      <c r="AF288">
        <f>IF('WetLitterbags placem_collection'!AB69="","",'WetLitterbags placem_collection'!AB69)</f>
        <v>5.5</v>
      </c>
      <c r="AG288">
        <f>IF('WetLitterbags placem_collection'!Z69="","",'WetLitterbags placem_collection'!Z69)</f>
        <v>5.5</v>
      </c>
      <c r="AH288" s="236" t="str">
        <f>IF('WetLitterbags placem_collection'!AA69="","",'WetLitterbags placem_collection'!AA69)</f>
        <v>O</v>
      </c>
      <c r="AI288">
        <f>IF('WetLitterbags placem_collection'!AC69="","",'WetLitterbags placem_collection'!AC69)</f>
        <v>1</v>
      </c>
      <c r="AJ288" t="str">
        <f>IFERROR(AVERAGE('Dry_Litterbag Placem_Collection'!O69,'Dry_Litterbag Placem_Collection'!R69),"")</f>
        <v/>
      </c>
      <c r="AK288" s="261" t="str">
        <f>IFERROR(AVERAGE('Dry_Litterbag Placem_Collection'!N69,'Dry_Litterbag Placem_Collection'!Q69),"")</f>
        <v/>
      </c>
      <c r="AL288" s="260">
        <f>INDEX([2]Coordinates!$B$2:$B$197,MATCH(I288,[2]Coordinates!$J$2:$J$197,0))</f>
        <v>-3.299434008</v>
      </c>
      <c r="AM288" s="260">
        <f>INDEX([2]Coordinates!$C$2:$C$197,MATCH(I288,[2]Coordinates!$J$2:$J$197,0))</f>
        <v>34.848514960000003</v>
      </c>
      <c r="AN288" s="260" t="str">
        <f>IF(ISNUMBER(SEARCH("C", 'Dry_Litterbag Placem_Collection'!T69)),"YES","NO")</f>
        <v>NO</v>
      </c>
      <c r="AO288" s="260" t="str">
        <f>IF(ISNUMBER(SEARCH("H", 'Dry_Litterbag Placem_Collection'!T69)),"YES","NO")</f>
        <v>NO</v>
      </c>
      <c r="AP288" s="260" t="str">
        <f>IF(ISNUMBER(SEARCH("R", 'Dry_Litterbag Placem_Collection'!T69)),"YES","NO")</f>
        <v>NO</v>
      </c>
    </row>
    <row r="289" spans="1:42" ht="15" customHeight="1">
      <c r="A289" t="s">
        <v>3248</v>
      </c>
      <c r="B289" s="252" t="s">
        <v>2643</v>
      </c>
      <c r="C289" s="253">
        <f>'Dry_Litterbag Placem_Collection'!A70</f>
        <v>68</v>
      </c>
      <c r="D289" s="253" t="str">
        <f>'Dry_Litterbag Placem_Collection'!B70</f>
        <v>Maswa</v>
      </c>
      <c r="E289" s="253" t="s">
        <v>2643</v>
      </c>
      <c r="F289" s="253" t="s">
        <v>2645</v>
      </c>
      <c r="G289" s="253">
        <v>1</v>
      </c>
      <c r="H289" s="253" t="s">
        <v>3111</v>
      </c>
      <c r="I289" s="254" t="str">
        <f>'Dry_Litterbag Placem_Collection'!C70</f>
        <v>Dry_W1_T4</v>
      </c>
      <c r="J289" s="255" t="s">
        <v>2525</v>
      </c>
      <c r="K289" s="262" t="s">
        <v>298</v>
      </c>
      <c r="L289" s="253" t="str">
        <f>IF(ISBLANK('Dry_Litterbag Placem_Collection'!K70),"","R"&amp;""&amp;'Dry_Litterbag Placem_Collection'!K70)</f>
        <v>R815</v>
      </c>
      <c r="M289" s="257">
        <f>IFERROR(INDEX('Green_rooibos initial weight'!$C$5:$C$2000,MATCH(L289, 'Green_rooibos initial weight'!$A$5:$A$2000,0)),"")</f>
        <v>2.2130000000000001</v>
      </c>
      <c r="N289" s="257">
        <f>IFERROR(M289-(TBIcalc!$Q$9+TBIcalc!$Q$10),"")</f>
        <v>1.9632000000000001</v>
      </c>
      <c r="O289" s="378">
        <f>AVERAGE(Ashed_controlls!$K$12:$K$14)</f>
        <v>2.2816647271287041</v>
      </c>
      <c r="P289" s="257">
        <f t="shared" si="21"/>
        <v>1.9184063580770094</v>
      </c>
      <c r="Q289" s="257">
        <f>IFERROR(INDEX('Both teabags AfterDry'!$D$2:$D$2000,MATCH(L289,'Both teabags AfterDry'!$A$2:$A$2000,0)),"")</f>
        <v>1.9467000000000001</v>
      </c>
      <c r="R289" s="257">
        <f>IFERROR(IF(Q289&gt;0,Q289-(TBIcalc!$Q$9),""),"")</f>
        <v>1.7961</v>
      </c>
      <c r="S289" s="268">
        <f>IFERROR(INDEX('Ashed teabags dry'!$K$2:$K$2000,MATCH(L289,'Ashed teabags dry'!$A$2:$A$2000,0)),"")</f>
        <v>2.8207461328482384</v>
      </c>
      <c r="T289" s="268">
        <f t="shared" si="22"/>
        <v>1.7454365787079129</v>
      </c>
      <c r="U289" s="258">
        <f>IF('Dry_Litterbag Placem_Collection'!E70="","",'Dry_Litterbag Placem_Collection'!E70)</f>
        <v>42937</v>
      </c>
      <c r="V289" s="258">
        <f>IF('Dry_Litterbag Placem_Collection'!G70="","",'Dry_Litterbag Placem_Collection'!G70)</f>
        <v>43005</v>
      </c>
      <c r="W289" s="259">
        <f t="shared" si="20"/>
        <v>68</v>
      </c>
      <c r="X289" s="257">
        <f t="shared" si="23"/>
        <v>0.16710000000000003</v>
      </c>
      <c r="Y289" s="257">
        <f t="shared" si="24"/>
        <v>0.17296977936909652</v>
      </c>
      <c r="Z289" s="261">
        <f>IFERROR(INDEX([3]Rainfall_Dry!$O$2:$O$217,MATCH(C289, [3]Rainfall_Dry!$A$2:$A$217,0)),"")</f>
        <v>6.900000125</v>
      </c>
      <c r="AA289" s="250">
        <v>47.96</v>
      </c>
      <c r="AB289" s="250">
        <v>22.919999999999995</v>
      </c>
      <c r="AC289" s="250">
        <v>29.120000000000012</v>
      </c>
      <c r="AD289" s="251" t="s">
        <v>2654</v>
      </c>
      <c r="AE289" s="250">
        <v>5.8831936914736298</v>
      </c>
      <c r="AF289">
        <f>IF('WetLitterbags placem_collection'!AB70="","",'WetLitterbags placem_collection'!AB70)</f>
        <v>9.6999999999999993</v>
      </c>
      <c r="AG289">
        <f>IF('WetLitterbags placem_collection'!Z70="","",'WetLitterbags placem_collection'!Z70)</f>
        <v>23.4</v>
      </c>
      <c r="AH289" s="236" t="str">
        <f>IF('WetLitterbags placem_collection'!AA70="","",'WetLitterbags placem_collection'!AA70)</f>
        <v>O</v>
      </c>
      <c r="AI289">
        <f>IF('WetLitterbags placem_collection'!AC70="","",'WetLitterbags placem_collection'!AC70)</f>
        <v>1</v>
      </c>
      <c r="AJ289">
        <f>IFERROR(AVERAGE('Dry_Litterbag Placem_Collection'!O70,'Dry_Litterbag Placem_Collection'!R70),"")</f>
        <v>7.75</v>
      </c>
      <c r="AK289" s="261">
        <f>IFERROR(AVERAGE('Dry_Litterbag Placem_Collection'!N70,'Dry_Litterbag Placem_Collection'!Q70),"")</f>
        <v>26.85</v>
      </c>
      <c r="AL289" s="260">
        <f>INDEX([2]Coordinates!$B$2:$B$197,MATCH(I289,[2]Coordinates!$J$2:$J$197,0))</f>
        <v>-3.2991180099999999</v>
      </c>
      <c r="AM289" s="260">
        <f>INDEX([2]Coordinates!$C$2:$C$197,MATCH(I289,[2]Coordinates!$J$2:$J$197,0))</f>
        <v>34.84824699</v>
      </c>
      <c r="AN289" s="260" t="str">
        <f>IF(ISNUMBER(SEARCH("C", 'Dry_Litterbag Placem_Collection'!T70)),"YES","NO")</f>
        <v>NO</v>
      </c>
      <c r="AO289" s="260" t="str">
        <f>IF(ISNUMBER(SEARCH("H", 'Dry_Litterbag Placem_Collection'!T70)),"YES","NO")</f>
        <v>NO</v>
      </c>
      <c r="AP289" s="260" t="str">
        <f>IF(ISNUMBER(SEARCH("R", 'Dry_Litterbag Placem_Collection'!T70)),"YES","NO")</f>
        <v>NO</v>
      </c>
    </row>
    <row r="290" spans="1:42" ht="15" customHeight="1">
      <c r="A290" t="s">
        <v>3248</v>
      </c>
      <c r="B290" s="252" t="s">
        <v>2643</v>
      </c>
      <c r="C290" s="253">
        <f>'Dry_Litterbag Placem_Collection'!A71</f>
        <v>69</v>
      </c>
      <c r="D290" s="253" t="str">
        <f>'Dry_Litterbag Placem_Collection'!B71</f>
        <v>Maswa</v>
      </c>
      <c r="E290" s="253" t="s">
        <v>2643</v>
      </c>
      <c r="F290" s="253" t="s">
        <v>2645</v>
      </c>
      <c r="G290" s="253">
        <v>1</v>
      </c>
      <c r="H290" s="253" t="s">
        <v>3111</v>
      </c>
      <c r="I290" s="254" t="str">
        <f>'Dry_Litterbag Placem_Collection'!C71</f>
        <v>Dry_W1_T5</v>
      </c>
      <c r="J290" s="255" t="s">
        <v>2525</v>
      </c>
      <c r="K290" s="262" t="s">
        <v>298</v>
      </c>
      <c r="L290" s="253" t="str">
        <f>IF(ISBLANK('Dry_Litterbag Placem_Collection'!K71),"","R"&amp;""&amp;'Dry_Litterbag Placem_Collection'!K71)</f>
        <v>R741</v>
      </c>
      <c r="M290" s="257">
        <f>IFERROR(INDEX('Green_rooibos initial weight'!$C$5:$C$2000,MATCH(L290, 'Green_rooibos initial weight'!$A$5:$A$2000,0)),"")</f>
        <v>2.262</v>
      </c>
      <c r="N290" s="257">
        <f>IFERROR(M290-(TBIcalc!$Q$9+TBIcalc!$Q$10),"")</f>
        <v>2.0122</v>
      </c>
      <c r="O290" s="378">
        <f>AVERAGE(Ashed_controlls!$K$12:$K$14)</f>
        <v>2.2816647271287041</v>
      </c>
      <c r="P290" s="257">
        <f t="shared" si="21"/>
        <v>1.9662883423607163</v>
      </c>
      <c r="Q290" s="257">
        <f>IFERROR(INDEX('Both teabags AfterDry'!$D$2:$D$2000,MATCH(L290,'Both teabags AfterDry'!$A$2:$A$2000,0)),"")</f>
        <v>1.9702999999999999</v>
      </c>
      <c r="R290" s="257">
        <f>IFERROR(IF(Q290&gt;0,Q290-(TBIcalc!$Q$9),""),"")</f>
        <v>1.8196999999999999</v>
      </c>
      <c r="S290" s="268">
        <f>IFERROR(INDEX('Ashed teabags dry'!$K$2:$K$2000,MATCH(L290,'Ashed teabags dry'!$A$2:$A$2000,0)),"")</f>
        <v>3.5535535535533986</v>
      </c>
      <c r="T290" s="268">
        <f t="shared" si="22"/>
        <v>1.7550359859859888</v>
      </c>
      <c r="U290" s="258">
        <f>IF('Dry_Litterbag Placem_Collection'!E71="","",'Dry_Litterbag Placem_Collection'!E71)</f>
        <v>42937</v>
      </c>
      <c r="V290" s="258">
        <f>IF('Dry_Litterbag Placem_Collection'!G71="","",'Dry_Litterbag Placem_Collection'!G71)</f>
        <v>43006</v>
      </c>
      <c r="W290" s="259">
        <f t="shared" si="20"/>
        <v>69</v>
      </c>
      <c r="X290" s="257">
        <f t="shared" si="23"/>
        <v>0.19250000000000012</v>
      </c>
      <c r="Y290" s="257">
        <f t="shared" si="24"/>
        <v>0.2112523563747275</v>
      </c>
      <c r="Z290" s="261">
        <f>IFERROR(INDEX([3]Rainfall_Dry!$O$2:$O$217,MATCH(C290, [3]Rainfall_Dry!$A$2:$A$217,0)),"")</f>
        <v>6.900000125</v>
      </c>
      <c r="AA290" s="250">
        <v>47.96</v>
      </c>
      <c r="AB290" s="250">
        <v>22.919999999999995</v>
      </c>
      <c r="AC290" s="250">
        <v>29.120000000000012</v>
      </c>
      <c r="AD290" s="251" t="s">
        <v>2654</v>
      </c>
      <c r="AE290" s="250">
        <v>6.8831936914736298</v>
      </c>
      <c r="AF290">
        <f>IF('WetLitterbags placem_collection'!AB71="","",'WetLitterbags placem_collection'!AB71)</f>
        <v>14.4</v>
      </c>
      <c r="AG290">
        <f>IF('WetLitterbags placem_collection'!Z71="","",'WetLitterbags placem_collection'!Z71)</f>
        <v>24.4</v>
      </c>
      <c r="AH290" s="236" t="str">
        <f>IF('WetLitterbags placem_collection'!AA71="","",'WetLitterbags placem_collection'!AA71)</f>
        <v>O</v>
      </c>
      <c r="AI290">
        <f>IF('WetLitterbags placem_collection'!AC71="","",'WetLitterbags placem_collection'!AC71)</f>
        <v>1</v>
      </c>
      <c r="AJ290">
        <f>IFERROR(AVERAGE('Dry_Litterbag Placem_Collection'!O71,'Dry_Litterbag Placem_Collection'!R71),"")</f>
        <v>7.95</v>
      </c>
      <c r="AK290" s="261">
        <f>IFERROR(AVERAGE('Dry_Litterbag Placem_Collection'!N71,'Dry_Litterbag Placem_Collection'!Q71),"")</f>
        <v>26.55</v>
      </c>
      <c r="AL290" s="260">
        <f>INDEX([2]Coordinates!$B$2:$B$197,MATCH(I290,[2]Coordinates!$J$2:$J$197,0))</f>
        <v>-3.2993180030000002</v>
      </c>
      <c r="AM290" s="260">
        <f>INDEX([2]Coordinates!$C$2:$C$197,MATCH(I290,[2]Coordinates!$J$2:$J$197,0))</f>
        <v>34.848235010000003</v>
      </c>
      <c r="AN290" s="260" t="str">
        <f>IF(ISNUMBER(SEARCH("C", 'Dry_Litterbag Placem_Collection'!T71)),"YES","NO")</f>
        <v>YES</v>
      </c>
      <c r="AO290" s="260" t="str">
        <f>IF(ISNUMBER(SEARCH("H", 'Dry_Litterbag Placem_Collection'!T71)),"YES","NO")</f>
        <v>NO</v>
      </c>
      <c r="AP290" s="260" t="str">
        <f>IF(ISNUMBER(SEARCH("R", 'Dry_Litterbag Placem_Collection'!T71)),"YES","NO")</f>
        <v>NO</v>
      </c>
    </row>
    <row r="291" spans="1:42" ht="15" customHeight="1">
      <c r="A291" t="s">
        <v>3248</v>
      </c>
      <c r="B291" s="252" t="s">
        <v>2643</v>
      </c>
      <c r="C291" s="253">
        <f>'Dry_Litterbag Placem_Collection'!A72</f>
        <v>70</v>
      </c>
      <c r="D291" s="253" t="str">
        <f>'Dry_Litterbag Placem_Collection'!B72</f>
        <v>Maswa</v>
      </c>
      <c r="E291" s="253" t="s">
        <v>2643</v>
      </c>
      <c r="F291" s="253" t="s">
        <v>2645</v>
      </c>
      <c r="G291" s="253">
        <v>1</v>
      </c>
      <c r="H291" s="253" t="s">
        <v>3111</v>
      </c>
      <c r="I291" s="254" t="str">
        <f>'Dry_Litterbag Placem_Collection'!C72</f>
        <v>Dry_W1_T6</v>
      </c>
      <c r="J291" s="255" t="s">
        <v>2525</v>
      </c>
      <c r="K291" s="262" t="s">
        <v>298</v>
      </c>
      <c r="L291" s="253" t="str">
        <f>IF(ISBLANK('Dry_Litterbag Placem_Collection'!K72),"","R"&amp;""&amp;'Dry_Litterbag Placem_Collection'!K72)</f>
        <v>R294</v>
      </c>
      <c r="M291" s="257">
        <f>IFERROR(INDEX('Green_rooibos initial weight'!$C$5:$C$2000,MATCH(L291, 'Green_rooibos initial weight'!$A$5:$A$2000,0)),"")</f>
        <v>2.226</v>
      </c>
      <c r="N291" s="257">
        <f>IFERROR(M291-(TBIcalc!$Q$9+TBIcalc!$Q$10),"")</f>
        <v>1.9762</v>
      </c>
      <c r="O291" s="378">
        <f>AVERAGE(Ashed_controlls!$K$12:$K$14)</f>
        <v>2.2816647271287041</v>
      </c>
      <c r="P291" s="257">
        <f t="shared" si="21"/>
        <v>1.9311097416624825</v>
      </c>
      <c r="Q291" s="257">
        <f>IFERROR(INDEX('Both teabags AfterDry'!$D$2:$D$2000,MATCH(L291,'Both teabags AfterDry'!$A$2:$A$2000,0)),"")</f>
        <v>0.51</v>
      </c>
      <c r="R291" s="257">
        <f>IFERROR(IF(Q291&gt;0,Q291-(TBIcalc!$Q$9),""),"")</f>
        <v>0.3594</v>
      </c>
      <c r="S291" s="268">
        <f>IFERROR(INDEX('Ashed teabags dry'!$K$2:$K$2000,MATCH(L291,'Ashed teabags dry'!$A$2:$A$2000,0)),"")</f>
        <v>66.450324513230314</v>
      </c>
      <c r="T291" s="268">
        <f t="shared" si="22"/>
        <v>0.12057753369945023</v>
      </c>
      <c r="U291" s="258">
        <f>IF('Dry_Litterbag Placem_Collection'!E72="","",'Dry_Litterbag Placem_Collection'!E72)</f>
        <v>42937</v>
      </c>
      <c r="V291" s="258">
        <f>IF('Dry_Litterbag Placem_Collection'!G72="","",'Dry_Litterbag Placem_Collection'!G72)</f>
        <v>43006</v>
      </c>
      <c r="W291" s="259">
        <f t="shared" si="20"/>
        <v>69</v>
      </c>
      <c r="X291" s="257">
        <f t="shared" si="23"/>
        <v>1.6168</v>
      </c>
      <c r="Y291" s="257">
        <f t="shared" si="24"/>
        <v>1.8105322079630324</v>
      </c>
      <c r="Z291" s="261">
        <f>IFERROR(INDEX([3]Rainfall_Dry!$O$2:$O$217,MATCH(C291, [3]Rainfall_Dry!$A$2:$A$217,0)),"")</f>
        <v>6.900000125</v>
      </c>
      <c r="AA291" s="250">
        <v>47.96</v>
      </c>
      <c r="AB291" s="250">
        <v>22.919999999999995</v>
      </c>
      <c r="AC291" s="250">
        <v>29.120000000000012</v>
      </c>
      <c r="AD291" s="251" t="s">
        <v>2654</v>
      </c>
      <c r="AE291" s="250">
        <v>7.8831936914736298</v>
      </c>
      <c r="AF291">
        <f>IF('WetLitterbags placem_collection'!AB72="","",'WetLitterbags placem_collection'!AB72)</f>
        <v>15</v>
      </c>
      <c r="AG291">
        <f>IF('WetLitterbags placem_collection'!Z72="","",'WetLitterbags placem_collection'!Z72)</f>
        <v>28</v>
      </c>
      <c r="AH291" s="236" t="str">
        <f>IF('WetLitterbags placem_collection'!AA72="","",'WetLitterbags placem_collection'!AA72)</f>
        <v>O</v>
      </c>
      <c r="AI291">
        <f>IF('WetLitterbags placem_collection'!AC72="","",'WetLitterbags placem_collection'!AC72)</f>
        <v>0</v>
      </c>
      <c r="AJ291">
        <f>IFERROR(AVERAGE('Dry_Litterbag Placem_Collection'!O72,'Dry_Litterbag Placem_Collection'!R72),"")</f>
        <v>8.8000000000000007</v>
      </c>
      <c r="AK291" s="261">
        <f>IFERROR(AVERAGE('Dry_Litterbag Placem_Collection'!N72,'Dry_Litterbag Placem_Collection'!Q72),"")</f>
        <v>27.200000000000003</v>
      </c>
      <c r="AL291" s="260">
        <f>INDEX([2]Coordinates!$B$2:$B$197,MATCH(I291,[2]Coordinates!$J$2:$J$197,0))</f>
        <v>-3.299381034</v>
      </c>
      <c r="AM291" s="260">
        <f>INDEX([2]Coordinates!$C$2:$C$197,MATCH(I291,[2]Coordinates!$J$2:$J$197,0))</f>
        <v>34.848312040000003</v>
      </c>
      <c r="AN291" s="260" t="str">
        <f>IF(ISNUMBER(SEARCH("C", 'Dry_Litterbag Placem_Collection'!T72)),"YES","NO")</f>
        <v>YES</v>
      </c>
      <c r="AO291" s="260" t="str">
        <f>IF(ISNUMBER(SEARCH("H", 'Dry_Litterbag Placem_Collection'!T72)),"YES","NO")</f>
        <v>YES</v>
      </c>
      <c r="AP291" s="260" t="str">
        <f>IF(ISNUMBER(SEARCH("R", 'Dry_Litterbag Placem_Collection'!T72)),"YES","NO")</f>
        <v>NO</v>
      </c>
    </row>
    <row r="292" spans="1:42" ht="15" customHeight="1">
      <c r="A292" t="s">
        <v>3248</v>
      </c>
      <c r="B292" s="252" t="s">
        <v>2643</v>
      </c>
      <c r="C292" s="253">
        <f>'Dry_Litterbag Placem_Collection'!A73</f>
        <v>71</v>
      </c>
      <c r="D292" s="253" t="str">
        <f>'Dry_Litterbag Placem_Collection'!B73</f>
        <v>Maswa</v>
      </c>
      <c r="E292" s="253" t="s">
        <v>2643</v>
      </c>
      <c r="F292" s="253" t="s">
        <v>2645</v>
      </c>
      <c r="G292" s="253">
        <v>1</v>
      </c>
      <c r="H292" s="253" t="s">
        <v>3111</v>
      </c>
      <c r="I292" s="254" t="str">
        <f>'Dry_Litterbag Placem_Collection'!C73</f>
        <v>Dry_W1_T7</v>
      </c>
      <c r="J292" s="255" t="s">
        <v>2525</v>
      </c>
      <c r="K292" s="262" t="s">
        <v>298</v>
      </c>
      <c r="L292" s="253" t="str">
        <f>IF(ISBLANK('Dry_Litterbag Placem_Collection'!K73),"","R"&amp;""&amp;'Dry_Litterbag Placem_Collection'!K73)</f>
        <v>R761</v>
      </c>
      <c r="M292" s="257">
        <f>IFERROR(INDEX('Green_rooibos initial weight'!$C$5:$C$2000,MATCH(L292, 'Green_rooibos initial weight'!$A$5:$A$2000,0)),"")</f>
        <v>2.1509999999999998</v>
      </c>
      <c r="N292" s="257">
        <f>IFERROR(M292-(TBIcalc!$Q$9+TBIcalc!$Q$10),"")</f>
        <v>1.9011999999999998</v>
      </c>
      <c r="O292" s="378">
        <f>AVERAGE(Ashed_controlls!$K$12:$K$14)</f>
        <v>2.2816647271287041</v>
      </c>
      <c r="P292" s="257">
        <f t="shared" si="21"/>
        <v>1.8578209902078289</v>
      </c>
      <c r="Q292" s="257">
        <f>IFERROR(INDEX('Both teabags AfterDry'!$D$2:$D$2000,MATCH(L292,'Both teabags AfterDry'!$A$2:$A$2000,0)),"")</f>
        <v>1.9017999999999999</v>
      </c>
      <c r="R292" s="257">
        <f>IFERROR(IF(Q292&gt;0,Q292-(TBIcalc!$Q$9),""),"")</f>
        <v>1.7511999999999999</v>
      </c>
      <c r="S292" s="268">
        <f>IFERROR(INDEX('Ashed teabags dry'!$K$2:$K$2000,MATCH(L292,'Ashed teabags dry'!$A$2:$A$2000,0)),"")</f>
        <v>2.5515210991172763</v>
      </c>
      <c r="T292" s="268">
        <f t="shared" si="22"/>
        <v>1.7065177625122581</v>
      </c>
      <c r="U292" s="258">
        <f>IF('Dry_Litterbag Placem_Collection'!E73="","",'Dry_Litterbag Placem_Collection'!E73)</f>
        <v>42937</v>
      </c>
      <c r="V292" s="258">
        <f>IF('Dry_Litterbag Placem_Collection'!G73="","",'Dry_Litterbag Placem_Collection'!G73)</f>
        <v>43006</v>
      </c>
      <c r="W292" s="259">
        <f t="shared" si="20"/>
        <v>69</v>
      </c>
      <c r="X292" s="257">
        <f t="shared" si="23"/>
        <v>0.14999999999999991</v>
      </c>
      <c r="Y292" s="257">
        <f t="shared" si="24"/>
        <v>0.15130322769557081</v>
      </c>
      <c r="Z292" s="261">
        <f>IFERROR(INDEX([3]Rainfall_Dry!$O$2:$O$217,MATCH(C292, [3]Rainfall_Dry!$A$2:$A$217,0)),"")</f>
        <v>6.900000125</v>
      </c>
      <c r="AA292" s="250">
        <v>47.96</v>
      </c>
      <c r="AB292" s="250">
        <v>22.919999999999995</v>
      </c>
      <c r="AC292" s="250">
        <v>29.120000000000012</v>
      </c>
      <c r="AD292" s="251" t="s">
        <v>2654</v>
      </c>
      <c r="AE292" s="250">
        <v>8.8831936914736307</v>
      </c>
      <c r="AF292">
        <f>IF('WetLitterbags placem_collection'!AB73="","",'WetLitterbags placem_collection'!AB73)</f>
        <v>15.5</v>
      </c>
      <c r="AG292">
        <f>IF('WetLitterbags placem_collection'!Z73="","",'WetLitterbags placem_collection'!Z73)</f>
        <v>32</v>
      </c>
      <c r="AH292" s="236" t="str">
        <f>IF('WetLitterbags placem_collection'!AA73="","",'WetLitterbags placem_collection'!AA73)</f>
        <v>O</v>
      </c>
      <c r="AI292">
        <f>IF('WetLitterbags placem_collection'!AC73="","",'WetLitterbags placem_collection'!AC73)</f>
        <v>1</v>
      </c>
      <c r="AJ292">
        <f>IFERROR(AVERAGE('Dry_Litterbag Placem_Collection'!O73,'Dry_Litterbag Placem_Collection'!R73),"")</f>
        <v>9.9499999999999993</v>
      </c>
      <c r="AK292" s="261">
        <f>IFERROR(AVERAGE('Dry_Litterbag Placem_Collection'!N73,'Dry_Litterbag Placem_Collection'!Q73),"")</f>
        <v>27.6</v>
      </c>
      <c r="AL292" s="260">
        <f>INDEX([2]Coordinates!$B$2:$B$197,MATCH(I292,[2]Coordinates!$J$2:$J$197,0))</f>
        <v>-3.2992429849999998</v>
      </c>
      <c r="AM292" s="260">
        <f>INDEX([2]Coordinates!$C$2:$C$197,MATCH(I292,[2]Coordinates!$J$2:$J$197,0))</f>
        <v>34.847900989999999</v>
      </c>
      <c r="AN292" s="260" t="str">
        <f>IF(ISNUMBER(SEARCH("C", 'Dry_Litterbag Placem_Collection'!T73)),"YES","NO")</f>
        <v>NO</v>
      </c>
      <c r="AO292" s="260" t="str">
        <f>IF(ISNUMBER(SEARCH("H", 'Dry_Litterbag Placem_Collection'!T73)),"YES","NO")</f>
        <v>NO</v>
      </c>
      <c r="AP292" s="260" t="str">
        <f>IF(ISNUMBER(SEARCH("R", 'Dry_Litterbag Placem_Collection'!T73)),"YES","NO")</f>
        <v>NO</v>
      </c>
    </row>
    <row r="293" spans="1:42" ht="15" customHeight="1">
      <c r="A293" t="s">
        <v>3248</v>
      </c>
      <c r="B293" s="252" t="s">
        <v>2643</v>
      </c>
      <c r="C293" s="253">
        <f>'Dry_Litterbag Placem_Collection'!A74</f>
        <v>72</v>
      </c>
      <c r="D293" s="253" t="str">
        <f>'Dry_Litterbag Placem_Collection'!B74</f>
        <v>Maswa</v>
      </c>
      <c r="E293" s="253" t="s">
        <v>2643</v>
      </c>
      <c r="F293" s="253" t="s">
        <v>2645</v>
      </c>
      <c r="G293" s="253">
        <v>1</v>
      </c>
      <c r="H293" s="253" t="s">
        <v>3111</v>
      </c>
      <c r="I293" s="254" t="str">
        <f>'Dry_Litterbag Placem_Collection'!C74</f>
        <v>Dry_W1_T8</v>
      </c>
      <c r="J293" s="255" t="s">
        <v>2525</v>
      </c>
      <c r="K293" s="262" t="s">
        <v>298</v>
      </c>
      <c r="L293" s="253" t="str">
        <f>IF(ISBLANK('Dry_Litterbag Placem_Collection'!K74),"","R"&amp;""&amp;'Dry_Litterbag Placem_Collection'!K74)</f>
        <v>R780</v>
      </c>
      <c r="M293" s="257">
        <f>IFERROR(INDEX('Green_rooibos initial weight'!$C$5:$C$2000,MATCH(L293, 'Green_rooibos initial weight'!$A$5:$A$2000,0)),"")</f>
        <v>2.19</v>
      </c>
      <c r="N293" s="257">
        <f>IFERROR(M293-(TBIcalc!$Q$9+TBIcalc!$Q$10),"")</f>
        <v>1.9401999999999999</v>
      </c>
      <c r="O293" s="378">
        <f>AVERAGE(Ashed_controlls!$K$12:$K$14)</f>
        <v>2.2816647271287041</v>
      </c>
      <c r="P293" s="257">
        <f t="shared" si="21"/>
        <v>1.8959311409642488</v>
      </c>
      <c r="Q293" s="257">
        <f>IFERROR(INDEX('Both teabags AfterDry'!$D$2:$D$2000,MATCH(L293,'Both teabags AfterDry'!$A$2:$A$2000,0)),"")</f>
        <v>1.9477</v>
      </c>
      <c r="R293" s="257">
        <f>IFERROR(IF(Q293&gt;0,Q293-(TBIcalc!$Q$9),""),"")</f>
        <v>1.7970999999999999</v>
      </c>
      <c r="S293" s="268">
        <f>IFERROR(INDEX('Ashed teabags dry'!$K$2:$K$2000,MATCH(L293,'Ashed teabags dry'!$A$2:$A$2000,0)),"")</f>
        <v>2.0045558086562076</v>
      </c>
      <c r="T293" s="268">
        <f t="shared" si="22"/>
        <v>1.7610761275626392</v>
      </c>
      <c r="U293" s="258">
        <f>IF('Dry_Litterbag Placem_Collection'!E74="","",'Dry_Litterbag Placem_Collection'!E74)</f>
        <v>42937</v>
      </c>
      <c r="V293" s="258">
        <f>IF('Dry_Litterbag Placem_Collection'!G74="","",'Dry_Litterbag Placem_Collection'!G74)</f>
        <v>43006</v>
      </c>
      <c r="W293" s="259">
        <f t="shared" si="20"/>
        <v>69</v>
      </c>
      <c r="X293" s="257">
        <f t="shared" si="23"/>
        <v>0.1431</v>
      </c>
      <c r="Y293" s="257">
        <f t="shared" si="24"/>
        <v>0.13485501340160955</v>
      </c>
      <c r="Z293" s="261">
        <f>IFERROR(INDEX([3]Rainfall_Dry!$O$2:$O$217,MATCH(C293, [3]Rainfall_Dry!$A$2:$A$217,0)),"")</f>
        <v>6.900000125</v>
      </c>
      <c r="AA293" s="250">
        <v>47.96</v>
      </c>
      <c r="AB293" s="250">
        <v>22.919999999999995</v>
      </c>
      <c r="AC293" s="250">
        <v>29.120000000000012</v>
      </c>
      <c r="AD293" s="251" t="s">
        <v>2654</v>
      </c>
      <c r="AE293" s="250">
        <v>9.8831936914736307</v>
      </c>
      <c r="AF293">
        <f>IF('WetLitterbags placem_collection'!AB74="","",'WetLitterbags placem_collection'!AB74)</f>
        <v>2.6</v>
      </c>
      <c r="AG293">
        <f>IF('WetLitterbags placem_collection'!Z74="","",'WetLitterbags placem_collection'!Z74)</f>
        <v>44</v>
      </c>
      <c r="AH293" s="236" t="str">
        <f>IF('WetLitterbags placem_collection'!AA74="","",'WetLitterbags placem_collection'!AA74)</f>
        <v>O</v>
      </c>
      <c r="AI293">
        <f>IF('WetLitterbags placem_collection'!AC74="","",'WetLitterbags placem_collection'!AC74)</f>
        <v>1</v>
      </c>
      <c r="AJ293">
        <f>IFERROR(AVERAGE('Dry_Litterbag Placem_Collection'!O74,'Dry_Litterbag Placem_Collection'!R74),"")</f>
        <v>9.5</v>
      </c>
      <c r="AK293" s="261">
        <f>IFERROR(AVERAGE('Dry_Litterbag Placem_Collection'!N74,'Dry_Litterbag Placem_Collection'!Q74),"")</f>
        <v>26.35</v>
      </c>
      <c r="AL293" s="260">
        <f>INDEX([2]Coordinates!$B$2:$B$197,MATCH(I293,[2]Coordinates!$J$2:$J$197,0))</f>
        <v>-3.2996540329999999</v>
      </c>
      <c r="AM293" s="260">
        <f>INDEX([2]Coordinates!$C$2:$C$197,MATCH(I293,[2]Coordinates!$J$2:$J$197,0))</f>
        <v>34.848151020000003</v>
      </c>
      <c r="AN293" s="260" t="str">
        <f>IF(ISNUMBER(SEARCH("C", 'Dry_Litterbag Placem_Collection'!T74)),"YES","NO")</f>
        <v>NO</v>
      </c>
      <c r="AO293" s="260" t="str">
        <f>IF(ISNUMBER(SEARCH("H", 'Dry_Litterbag Placem_Collection'!T74)),"YES","NO")</f>
        <v>NO</v>
      </c>
      <c r="AP293" s="260" t="str">
        <f>IF(ISNUMBER(SEARCH("R", 'Dry_Litterbag Placem_Collection'!T74)),"YES","NO")</f>
        <v>NO</v>
      </c>
    </row>
    <row r="294" spans="1:42" ht="15" customHeight="1">
      <c r="A294" t="s">
        <v>3248</v>
      </c>
      <c r="B294" s="252" t="s">
        <v>2643</v>
      </c>
      <c r="C294" s="253">
        <f>'Dry_Litterbag Placem_Collection'!A75</f>
        <v>73</v>
      </c>
      <c r="D294" s="253" t="str">
        <f>'Dry_Litterbag Placem_Collection'!B75</f>
        <v>Maswa</v>
      </c>
      <c r="E294" s="253" t="s">
        <v>2643</v>
      </c>
      <c r="F294" s="253" t="s">
        <v>2645</v>
      </c>
      <c r="G294" s="253">
        <v>2</v>
      </c>
      <c r="H294" s="253" t="s">
        <v>3113</v>
      </c>
      <c r="I294" s="254" t="str">
        <f>'Dry_Litterbag Placem_Collection'!C75</f>
        <v>Dry_W2_T1</v>
      </c>
      <c r="J294" s="255" t="s">
        <v>2525</v>
      </c>
      <c r="K294" s="262" t="s">
        <v>298</v>
      </c>
      <c r="L294" s="253" t="str">
        <f>IF(ISBLANK('Dry_Litterbag Placem_Collection'!K75),"","R"&amp;""&amp;'Dry_Litterbag Placem_Collection'!K75)</f>
        <v>R730</v>
      </c>
      <c r="M294" s="257">
        <f>IFERROR(INDEX('Green_rooibos initial weight'!$C$5:$C$2000,MATCH(L294, 'Green_rooibos initial weight'!$A$5:$A$2000,0)),"")</f>
        <v>2.1509999999999998</v>
      </c>
      <c r="N294" s="257">
        <f>IFERROR(M294-(TBIcalc!$Q$9+TBIcalc!$Q$10),"")</f>
        <v>1.9011999999999998</v>
      </c>
      <c r="O294" s="378">
        <f>AVERAGE(Ashed_controlls!$K$12:$K$14)</f>
        <v>2.2816647271287041</v>
      </c>
      <c r="P294" s="257">
        <f t="shared" si="21"/>
        <v>1.8578209902078289</v>
      </c>
      <c r="Q294" s="257" t="str">
        <f>IFERROR(INDEX('Both teabags AfterDry'!$D$2:$D$2000,MATCH(L294,'Both teabags AfterDry'!$A$2:$A$2000,0)),"")</f>
        <v/>
      </c>
      <c r="R294" s="257" t="str">
        <f>IFERROR(IF(Q294&gt;0,Q294-(TBIcalc!$Q$9),""),"")</f>
        <v/>
      </c>
      <c r="S294" s="268" t="str">
        <f>IFERROR(INDEX('Ashed teabags dry'!$K$2:$K$2000,MATCH(L294,'Ashed teabags dry'!$A$2:$A$2000,0)),"")</f>
        <v/>
      </c>
      <c r="T294" s="268" t="str">
        <f t="shared" si="22"/>
        <v/>
      </c>
      <c r="U294" s="258">
        <f>IF('Dry_Litterbag Placem_Collection'!E75="","",'Dry_Litterbag Placem_Collection'!E75)</f>
        <v>42937</v>
      </c>
      <c r="V294" s="258">
        <f>IF('Dry_Litterbag Placem_Collection'!G75="","",'Dry_Litterbag Placem_Collection'!G75)</f>
        <v>43006</v>
      </c>
      <c r="W294" s="259">
        <f t="shared" si="20"/>
        <v>69</v>
      </c>
      <c r="X294" s="257" t="str">
        <f t="shared" si="23"/>
        <v/>
      </c>
      <c r="Y294" s="257" t="str">
        <f t="shared" si="24"/>
        <v/>
      </c>
      <c r="Z294" s="261">
        <f>IFERROR(INDEX([3]Rainfall_Dry!$O$2:$O$217,MATCH(C294, [3]Rainfall_Dry!$A$2:$A$217,0)),"")</f>
        <v>6.900000125</v>
      </c>
      <c r="AA294" s="250">
        <v>45.272914521112256</v>
      </c>
      <c r="AB294" s="250">
        <v>23.604531410916575</v>
      </c>
      <c r="AC294" s="250">
        <v>31.122554067971166</v>
      </c>
      <c r="AD294" s="251" t="s">
        <v>2654</v>
      </c>
      <c r="AE294" s="250">
        <v>2.0547560374568752</v>
      </c>
      <c r="AF294">
        <f>IF('WetLitterbags placem_collection'!AB75="","",'WetLitterbags placem_collection'!AB75)</f>
        <v>9.1</v>
      </c>
      <c r="AG294">
        <f>IF('WetLitterbags placem_collection'!Z75="","",'WetLitterbags placem_collection'!Z75)</f>
        <v>10</v>
      </c>
      <c r="AH294" s="236" t="str">
        <f>IF('WetLitterbags placem_collection'!AA75="","",'WetLitterbags placem_collection'!AA75)</f>
        <v>M</v>
      </c>
      <c r="AI294">
        <f>IF('WetLitterbags placem_collection'!AC75="","",'WetLitterbags placem_collection'!AC75)</f>
        <v>1</v>
      </c>
      <c r="AJ294">
        <f>IFERROR(AVERAGE('Dry_Litterbag Placem_Collection'!O75,'Dry_Litterbag Placem_Collection'!R75),"")</f>
        <v>9.5500000000000007</v>
      </c>
      <c r="AK294" s="261">
        <f>IFERROR(AVERAGE('Dry_Litterbag Placem_Collection'!N75,'Dry_Litterbag Placem_Collection'!Q75),"")</f>
        <v>28.35</v>
      </c>
      <c r="AL294" s="260">
        <f>INDEX([2]Coordinates!$B$2:$B$197,MATCH(I294,[2]Coordinates!$J$2:$J$197,0))</f>
        <v>-3.3025860229999999</v>
      </c>
      <c r="AM294" s="260">
        <f>INDEX([2]Coordinates!$C$2:$C$197,MATCH(I294,[2]Coordinates!$J$2:$J$197,0))</f>
        <v>34.848048009999999</v>
      </c>
      <c r="AN294" s="260" t="str">
        <f>IF(ISNUMBER(SEARCH("C", 'Dry_Litterbag Placem_Collection'!T75)),"YES","NO")</f>
        <v>NO</v>
      </c>
      <c r="AO294" s="260" t="str">
        <f>IF(ISNUMBER(SEARCH("H", 'Dry_Litterbag Placem_Collection'!T75)),"YES","NO")</f>
        <v>NO</v>
      </c>
      <c r="AP294" s="260" t="str">
        <f>IF(ISNUMBER(SEARCH("R", 'Dry_Litterbag Placem_Collection'!T75)),"YES","NO")</f>
        <v>NO</v>
      </c>
    </row>
    <row r="295" spans="1:42" ht="15" customHeight="1">
      <c r="A295" t="s">
        <v>3248</v>
      </c>
      <c r="B295" s="252" t="s">
        <v>2643</v>
      </c>
      <c r="C295" s="253">
        <f>'Dry_Litterbag Placem_Collection'!A76</f>
        <v>74</v>
      </c>
      <c r="D295" s="253" t="str">
        <f>'Dry_Litterbag Placem_Collection'!B76</f>
        <v>Maswa</v>
      </c>
      <c r="E295" s="253" t="s">
        <v>2643</v>
      </c>
      <c r="F295" s="253" t="s">
        <v>2645</v>
      </c>
      <c r="G295" s="253">
        <v>2</v>
      </c>
      <c r="H295" s="253" t="s">
        <v>3113</v>
      </c>
      <c r="I295" s="254" t="str">
        <f>'Dry_Litterbag Placem_Collection'!C76</f>
        <v>Dry_W2_T2</v>
      </c>
      <c r="J295" s="255" t="s">
        <v>2525</v>
      </c>
      <c r="K295" s="262" t="s">
        <v>298</v>
      </c>
      <c r="L295" s="253" t="str">
        <f>IF(ISBLANK('Dry_Litterbag Placem_Collection'!K76),"","R"&amp;""&amp;'Dry_Litterbag Placem_Collection'!K76)</f>
        <v>R825</v>
      </c>
      <c r="M295" s="257">
        <f>IFERROR(INDEX('Green_rooibos initial weight'!$C$5:$C$2000,MATCH(L295, 'Green_rooibos initial weight'!$A$5:$A$2000,0)),"")</f>
        <v>2.1419999999999999</v>
      </c>
      <c r="N295" s="257">
        <f>IFERROR(M295-(TBIcalc!$Q$9+TBIcalc!$Q$10),"")</f>
        <v>1.8921999999999999</v>
      </c>
      <c r="O295" s="378">
        <f>AVERAGE(Ashed_controlls!$K$12:$K$14)</f>
        <v>2.2816647271287041</v>
      </c>
      <c r="P295" s="257">
        <f t="shared" si="21"/>
        <v>1.8490263400332705</v>
      </c>
      <c r="Q295" s="257">
        <f>IFERROR(INDEX('Both teabags AfterDry'!$D$2:$D$2000,MATCH(L295,'Both teabags AfterDry'!$A$2:$A$2000,0)),"")</f>
        <v>1.8925000000000001</v>
      </c>
      <c r="R295" s="257">
        <f>IFERROR(IF(Q295&gt;0,Q295-(TBIcalc!$Q$9),""),"")</f>
        <v>1.7419</v>
      </c>
      <c r="S295" s="268">
        <f>IFERROR(INDEX('Ashed teabags dry'!$K$2:$K$2000,MATCH(L295,'Ashed teabags dry'!$A$2:$A$2000,0)),"")</f>
        <v>2.7741655830084477</v>
      </c>
      <c r="T295" s="268">
        <f t="shared" si="22"/>
        <v>1.6935768097095758</v>
      </c>
      <c r="U295" s="258">
        <f>IF('Dry_Litterbag Placem_Collection'!E76="","",'Dry_Litterbag Placem_Collection'!E76)</f>
        <v>42937</v>
      </c>
      <c r="V295" s="258">
        <f>IF('Dry_Litterbag Placem_Collection'!G76="","",'Dry_Litterbag Placem_Collection'!G76)</f>
        <v>43006</v>
      </c>
      <c r="W295" s="259">
        <f t="shared" si="20"/>
        <v>69</v>
      </c>
      <c r="X295" s="257">
        <f t="shared" si="23"/>
        <v>0.15029999999999988</v>
      </c>
      <c r="Y295" s="257">
        <f t="shared" si="24"/>
        <v>0.15544953032369468</v>
      </c>
      <c r="Z295" s="261">
        <f>IFERROR(INDEX([3]Rainfall_Dry!$O$2:$O$217,MATCH(C295, [3]Rainfall_Dry!$A$2:$A$217,0)),"")</f>
        <v>6.900000125</v>
      </c>
      <c r="AA295" s="250">
        <v>45.272914521112256</v>
      </c>
      <c r="AB295" s="250">
        <v>23.604531410916575</v>
      </c>
      <c r="AC295" s="250">
        <v>31.122554067971166</v>
      </c>
      <c r="AD295" s="251" t="s">
        <v>2654</v>
      </c>
      <c r="AE295" s="250">
        <v>3.0547560374568801</v>
      </c>
      <c r="AF295">
        <f>IF('WetLitterbags placem_collection'!AB76="","",'WetLitterbags placem_collection'!AB76)</f>
        <v>7.7</v>
      </c>
      <c r="AG295">
        <f>IF('WetLitterbags placem_collection'!Z76="","",'WetLitterbags placem_collection'!Z76)</f>
        <v>9.4</v>
      </c>
      <c r="AH295" s="236" t="str">
        <f>IF('WetLitterbags placem_collection'!AA76="","",'WetLitterbags placem_collection'!AA76)</f>
        <v>M</v>
      </c>
      <c r="AI295">
        <f>IF('WetLitterbags placem_collection'!AC76="","",'WetLitterbags placem_collection'!AC76)</f>
        <v>1</v>
      </c>
      <c r="AJ295">
        <f>IFERROR(AVERAGE('Dry_Litterbag Placem_Collection'!O76,'Dry_Litterbag Placem_Collection'!R76),"")</f>
        <v>10.8</v>
      </c>
      <c r="AK295" s="261">
        <f>IFERROR(AVERAGE('Dry_Litterbag Placem_Collection'!N76,'Dry_Litterbag Placem_Collection'!Q76),"")</f>
        <v>28.1</v>
      </c>
      <c r="AL295" s="260">
        <f>INDEX([2]Coordinates!$B$2:$B$197,MATCH(I295,[2]Coordinates!$J$2:$J$197,0))</f>
        <v>-3.3025779759999998</v>
      </c>
      <c r="AM295" s="260">
        <f>INDEX([2]Coordinates!$C$2:$C$197,MATCH(I295,[2]Coordinates!$J$2:$J$197,0))</f>
        <v>34.848041969999997</v>
      </c>
      <c r="AN295" s="260" t="str">
        <f>IF(ISNUMBER(SEARCH("C", 'Dry_Litterbag Placem_Collection'!T76)),"YES","NO")</f>
        <v>NO</v>
      </c>
      <c r="AO295" s="260" t="str">
        <f>IF(ISNUMBER(SEARCH("H", 'Dry_Litterbag Placem_Collection'!T76)),"YES","NO")</f>
        <v>NO</v>
      </c>
      <c r="AP295" s="260" t="str">
        <f>IF(ISNUMBER(SEARCH("R", 'Dry_Litterbag Placem_Collection'!T76)),"YES","NO")</f>
        <v>NO</v>
      </c>
    </row>
    <row r="296" spans="1:42" ht="15" customHeight="1">
      <c r="A296" t="s">
        <v>3248</v>
      </c>
      <c r="B296" s="252" t="s">
        <v>2643</v>
      </c>
      <c r="C296" s="253">
        <f>'Dry_Litterbag Placem_Collection'!A77</f>
        <v>75</v>
      </c>
      <c r="D296" s="253" t="str">
        <f>'Dry_Litterbag Placem_Collection'!B77</f>
        <v>Maswa</v>
      </c>
      <c r="E296" s="253" t="s">
        <v>2643</v>
      </c>
      <c r="F296" s="253" t="s">
        <v>2645</v>
      </c>
      <c r="G296" s="253">
        <v>2</v>
      </c>
      <c r="H296" s="253" t="s">
        <v>3113</v>
      </c>
      <c r="I296" s="254" t="str">
        <f>'Dry_Litterbag Placem_Collection'!C77</f>
        <v>Dry_W2_T3</v>
      </c>
      <c r="J296" s="255" t="s">
        <v>2525</v>
      </c>
      <c r="K296" s="262" t="s">
        <v>298</v>
      </c>
      <c r="L296" s="253" t="str">
        <f>IF(ISBLANK('Dry_Litterbag Placem_Collection'!K77),"","R"&amp;""&amp;'Dry_Litterbag Placem_Collection'!K77)</f>
        <v>R840</v>
      </c>
      <c r="M296" s="257">
        <f>IFERROR(INDEX('Green_rooibos initial weight'!$C$5:$C$2000,MATCH(L296, 'Green_rooibos initial weight'!$A$5:$A$2000,0)),"")</f>
        <v>2.3010000000000002</v>
      </c>
      <c r="N296" s="257">
        <f>IFERROR(M296-(TBIcalc!$Q$9+TBIcalc!$Q$10),"")</f>
        <v>2.0512000000000001</v>
      </c>
      <c r="O296" s="378">
        <f>AVERAGE(Ashed_controlls!$K$12:$K$14)</f>
        <v>2.2816647271287041</v>
      </c>
      <c r="P296" s="257">
        <f t="shared" si="21"/>
        <v>2.0043984931171361</v>
      </c>
      <c r="Q296" s="257">
        <f>IFERROR(INDEX('Both teabags AfterDry'!$D$2:$D$2000,MATCH(L296,'Both teabags AfterDry'!$A$2:$A$2000,0)),"")</f>
        <v>2.0405000000000002</v>
      </c>
      <c r="R296" s="257">
        <f>IFERROR(IF(Q296&gt;0,Q296-(TBIcalc!$Q$9),""),"")</f>
        <v>1.8899000000000001</v>
      </c>
      <c r="S296" s="268">
        <f>IFERROR(INDEX('Ashed teabags dry'!$K$2:$K$2000,MATCH(L296,'Ashed teabags dry'!$A$2:$A$2000,0)),"")</f>
        <v>3.2504780114727398</v>
      </c>
      <c r="T296" s="268">
        <f t="shared" si="22"/>
        <v>1.8284692160611768</v>
      </c>
      <c r="U296" s="258">
        <f>IF('Dry_Litterbag Placem_Collection'!E77="","",'Dry_Litterbag Placem_Collection'!E77)</f>
        <v>42937</v>
      </c>
      <c r="V296" s="258">
        <f>IF('Dry_Litterbag Placem_Collection'!G77="","",'Dry_Litterbag Placem_Collection'!G77)</f>
        <v>43006</v>
      </c>
      <c r="W296" s="259">
        <f t="shared" si="20"/>
        <v>69</v>
      </c>
      <c r="X296" s="257">
        <f t="shared" si="23"/>
        <v>0.1613</v>
      </c>
      <c r="Y296" s="257">
        <f t="shared" si="24"/>
        <v>0.17592927705595929</v>
      </c>
      <c r="Z296" s="261">
        <f>IFERROR(INDEX([3]Rainfall_Dry!$O$2:$O$217,MATCH(C296, [3]Rainfall_Dry!$A$2:$A$217,0)),"")</f>
        <v>6.900000125</v>
      </c>
      <c r="AA296" s="250">
        <v>45.272914521112256</v>
      </c>
      <c r="AB296" s="250">
        <v>23.604531410916575</v>
      </c>
      <c r="AC296" s="250">
        <v>31.122554067971166</v>
      </c>
      <c r="AD296" s="251" t="s">
        <v>2654</v>
      </c>
      <c r="AE296" s="250">
        <v>4.0547560374568796</v>
      </c>
      <c r="AF296">
        <f>IF('WetLitterbags placem_collection'!AB77="","",'WetLitterbags placem_collection'!AB77)</f>
        <v>6.1</v>
      </c>
      <c r="AG296">
        <f>IF('WetLitterbags placem_collection'!Z77="","",'WetLitterbags placem_collection'!Z77)</f>
        <v>13.8</v>
      </c>
      <c r="AH296" s="236" t="str">
        <f>IF('WetLitterbags placem_collection'!AA77="","",'WetLitterbags placem_collection'!AA77)</f>
        <v>O</v>
      </c>
      <c r="AI296">
        <f>IF('WetLitterbags placem_collection'!AC77="","",'WetLitterbags placem_collection'!AC77)</f>
        <v>0</v>
      </c>
      <c r="AJ296">
        <f>IFERROR(AVERAGE('Dry_Litterbag Placem_Collection'!O77,'Dry_Litterbag Placem_Collection'!R77),"")</f>
        <v>12.3</v>
      </c>
      <c r="AK296" s="261">
        <f>IFERROR(AVERAGE('Dry_Litterbag Placem_Collection'!N77,'Dry_Litterbag Placem_Collection'!Q77),"")</f>
        <v>27.200000000000003</v>
      </c>
      <c r="AL296" s="260">
        <f>INDEX([2]Coordinates!$B$2:$B$197,MATCH(I296,[2]Coordinates!$J$2:$J$197,0))</f>
        <v>-3.302687025</v>
      </c>
      <c r="AM296" s="260">
        <f>INDEX([2]Coordinates!$C$2:$C$197,MATCH(I296,[2]Coordinates!$J$2:$J$197,0))</f>
        <v>34.847926970000003</v>
      </c>
      <c r="AN296" s="260" t="str">
        <f>IF(ISNUMBER(SEARCH("C", 'Dry_Litterbag Placem_Collection'!T77)),"YES","NO")</f>
        <v>NO</v>
      </c>
      <c r="AO296" s="260" t="str">
        <f>IF(ISNUMBER(SEARCH("H", 'Dry_Litterbag Placem_Collection'!T77)),"YES","NO")</f>
        <v>NO</v>
      </c>
      <c r="AP296" s="260" t="str">
        <f>IF(ISNUMBER(SEARCH("R", 'Dry_Litterbag Placem_Collection'!T77)),"YES","NO")</f>
        <v>NO</v>
      </c>
    </row>
    <row r="297" spans="1:42" ht="15" customHeight="1">
      <c r="A297" t="s">
        <v>3248</v>
      </c>
      <c r="B297" s="252" t="s">
        <v>2643</v>
      </c>
      <c r="C297" s="253">
        <f>'Dry_Litterbag Placem_Collection'!A78</f>
        <v>76</v>
      </c>
      <c r="D297" s="253" t="str">
        <f>'Dry_Litterbag Placem_Collection'!B78</f>
        <v>Maswa</v>
      </c>
      <c r="E297" s="253" t="s">
        <v>2643</v>
      </c>
      <c r="F297" s="253" t="s">
        <v>2645</v>
      </c>
      <c r="G297" s="253">
        <v>2</v>
      </c>
      <c r="H297" s="253" t="s">
        <v>3113</v>
      </c>
      <c r="I297" s="254" t="str">
        <f>'Dry_Litterbag Placem_Collection'!C78</f>
        <v>Dry_W2_T4</v>
      </c>
      <c r="J297" s="255" t="s">
        <v>2525</v>
      </c>
      <c r="K297" s="262" t="s">
        <v>298</v>
      </c>
      <c r="L297" s="253" t="str">
        <f>IF(ISBLANK('Dry_Litterbag Placem_Collection'!K78),"","R"&amp;""&amp;'Dry_Litterbag Placem_Collection'!K78)</f>
        <v>R770</v>
      </c>
      <c r="M297" s="257">
        <f>IFERROR(INDEX('Green_rooibos initial weight'!$C$5:$C$2000,MATCH(L297, 'Green_rooibos initial weight'!$A$5:$A$2000,0)),"")</f>
        <v>2.206</v>
      </c>
      <c r="N297" s="257">
        <f>IFERROR(M297-(TBIcalc!$Q$9+TBIcalc!$Q$10),"")</f>
        <v>1.9561999999999999</v>
      </c>
      <c r="O297" s="378">
        <f>AVERAGE(Ashed_controlls!$K$12:$K$14)</f>
        <v>2.2816647271287041</v>
      </c>
      <c r="P297" s="257">
        <f t="shared" si="21"/>
        <v>1.9115660746079082</v>
      </c>
      <c r="Q297" s="257">
        <f>IFERROR(INDEX('Both teabags AfterDry'!$D$2:$D$2000,MATCH(L297,'Both teabags AfterDry'!$A$2:$A$2000,0)),"")</f>
        <v>1.9444999999999999</v>
      </c>
      <c r="R297" s="257">
        <f>IFERROR(IF(Q297&gt;0,Q297-(TBIcalc!$Q$9),""),"")</f>
        <v>1.7938999999999998</v>
      </c>
      <c r="S297" s="268">
        <f>IFERROR(INDEX('Ashed teabags dry'!$K$2:$K$2000,MATCH(L297,'Ashed teabags dry'!$A$2:$A$2000,0)),"")</f>
        <v>2.8059990324146233</v>
      </c>
      <c r="T297" s="268">
        <f t="shared" si="22"/>
        <v>1.7435631833575138</v>
      </c>
      <c r="U297" s="258">
        <f>IF('Dry_Litterbag Placem_Collection'!E78="","",'Dry_Litterbag Placem_Collection'!E78)</f>
        <v>42937</v>
      </c>
      <c r="V297" s="258">
        <f>IF('Dry_Litterbag Placem_Collection'!G78="","",'Dry_Litterbag Placem_Collection'!G78)</f>
        <v>43006</v>
      </c>
      <c r="W297" s="259">
        <f t="shared" si="20"/>
        <v>69</v>
      </c>
      <c r="X297" s="257">
        <f t="shared" si="23"/>
        <v>0.16230000000000011</v>
      </c>
      <c r="Y297" s="257">
        <f t="shared" si="24"/>
        <v>0.16800289125039436</v>
      </c>
      <c r="Z297" s="261">
        <f>IFERROR(INDEX([3]Rainfall_Dry!$O$2:$O$217,MATCH(C297, [3]Rainfall_Dry!$A$2:$A$217,0)),"")</f>
        <v>6.900000125</v>
      </c>
      <c r="AA297" s="250">
        <v>45.272914521112256</v>
      </c>
      <c r="AB297" s="250">
        <v>23.604531410916575</v>
      </c>
      <c r="AC297" s="250">
        <v>31.122554067971166</v>
      </c>
      <c r="AD297" s="251" t="s">
        <v>2654</v>
      </c>
      <c r="AE297" s="250">
        <v>5.0547560374568796</v>
      </c>
      <c r="AF297">
        <f>IF('WetLitterbags placem_collection'!AB78="","",'WetLitterbags placem_collection'!AB78)</f>
        <v>6.7</v>
      </c>
      <c r="AG297">
        <f>IF('WetLitterbags placem_collection'!Z78="","",'WetLitterbags placem_collection'!Z78)</f>
        <v>19.3</v>
      </c>
      <c r="AH297" s="236" t="str">
        <f>IF('WetLitterbags placem_collection'!AA78="","",'WetLitterbags placem_collection'!AA78)</f>
        <v>M</v>
      </c>
      <c r="AI297">
        <f>IF('WetLitterbags placem_collection'!AC78="","",'WetLitterbags placem_collection'!AC78)</f>
        <v>1</v>
      </c>
      <c r="AJ297">
        <f>IFERROR(AVERAGE('Dry_Litterbag Placem_Collection'!O78,'Dry_Litterbag Placem_Collection'!R78),"")</f>
        <v>11.1</v>
      </c>
      <c r="AK297" s="261">
        <f>IFERROR(AVERAGE('Dry_Litterbag Placem_Collection'!N78,'Dry_Litterbag Placem_Collection'!Q78),"")</f>
        <v>27.75</v>
      </c>
      <c r="AL297" s="260">
        <f>INDEX([2]Coordinates!$B$2:$B$197,MATCH(I297,[2]Coordinates!$J$2:$J$197,0))</f>
        <v>-3.3024560190000001</v>
      </c>
      <c r="AM297" s="260">
        <f>INDEX([2]Coordinates!$C$2:$C$197,MATCH(I297,[2]Coordinates!$J$2:$J$197,0))</f>
        <v>34.847871990000002</v>
      </c>
      <c r="AN297" s="260" t="str">
        <f>IF(ISNUMBER(SEARCH("C", 'Dry_Litterbag Placem_Collection'!T78)),"YES","NO")</f>
        <v>NO</v>
      </c>
      <c r="AO297" s="260" t="str">
        <f>IF(ISNUMBER(SEARCH("H", 'Dry_Litterbag Placem_Collection'!T78)),"YES","NO")</f>
        <v>NO</v>
      </c>
      <c r="AP297" s="260" t="str">
        <f>IF(ISNUMBER(SEARCH("R", 'Dry_Litterbag Placem_Collection'!T78)),"YES","NO")</f>
        <v>NO</v>
      </c>
    </row>
    <row r="298" spans="1:42" ht="15" customHeight="1">
      <c r="A298" t="s">
        <v>3248</v>
      </c>
      <c r="B298" s="252" t="s">
        <v>2643</v>
      </c>
      <c r="C298" s="253">
        <f>'Dry_Litterbag Placem_Collection'!A79</f>
        <v>77</v>
      </c>
      <c r="D298" s="253" t="str">
        <f>'Dry_Litterbag Placem_Collection'!B79</f>
        <v>Maswa</v>
      </c>
      <c r="E298" s="253" t="s">
        <v>2643</v>
      </c>
      <c r="F298" s="253" t="s">
        <v>2645</v>
      </c>
      <c r="G298" s="253">
        <v>2</v>
      </c>
      <c r="H298" s="253" t="s">
        <v>3113</v>
      </c>
      <c r="I298" s="254" t="str">
        <f>'Dry_Litterbag Placem_Collection'!C79</f>
        <v>Dry_W2_T5</v>
      </c>
      <c r="J298" s="255" t="s">
        <v>2525</v>
      </c>
      <c r="K298" s="262" t="s">
        <v>298</v>
      </c>
      <c r="L298" s="253" t="str">
        <f>IF(ISBLANK('Dry_Litterbag Placem_Collection'!K79),"","R"&amp;""&amp;'Dry_Litterbag Placem_Collection'!K79)</f>
        <v/>
      </c>
      <c r="M298" s="257" t="str">
        <f>IFERROR(INDEX('Green_rooibos initial weight'!$C$5:$C$2000,MATCH(L298, 'Green_rooibos initial weight'!$A$5:$A$2000,0)),"")</f>
        <v/>
      </c>
      <c r="N298" s="257" t="str">
        <f>IFERROR(M298-(TBIcalc!$Q$9+TBIcalc!$Q$10),"")</f>
        <v/>
      </c>
      <c r="O298" s="378">
        <f>AVERAGE(Ashed_controlls!$K$12:$K$14)</f>
        <v>2.2816647271287041</v>
      </c>
      <c r="P298" s="257" t="str">
        <f t="shared" si="21"/>
        <v/>
      </c>
      <c r="Q298" s="257" t="str">
        <f>IFERROR(INDEX('Both teabags AfterDry'!$D$2:$D$2000,MATCH(L298,'Both teabags AfterDry'!$A$2:$A$2000,0)),"")</f>
        <v/>
      </c>
      <c r="R298" s="257" t="str">
        <f>IFERROR(IF(Q298&gt;0,Q298-(TBIcalc!$Q$9),""),"")</f>
        <v/>
      </c>
      <c r="S298" s="268" t="str">
        <f>IFERROR(INDEX('Ashed teabags dry'!$K$2:$K$2000,MATCH(L298,'Ashed teabags dry'!$A$2:$A$2000,0)),"")</f>
        <v/>
      </c>
      <c r="T298" s="268" t="str">
        <f t="shared" si="22"/>
        <v/>
      </c>
      <c r="U298" s="258" t="str">
        <f>IF('Dry_Litterbag Placem_Collection'!E79="","",'Dry_Litterbag Placem_Collection'!E79)</f>
        <v/>
      </c>
      <c r="V298" s="258" t="str">
        <f>IF('Dry_Litterbag Placem_Collection'!G79="","",'Dry_Litterbag Placem_Collection'!G79)</f>
        <v/>
      </c>
      <c r="W298" s="259" t="str">
        <f t="shared" si="20"/>
        <v/>
      </c>
      <c r="X298" s="257" t="str">
        <f t="shared" si="23"/>
        <v/>
      </c>
      <c r="Y298" s="257" t="str">
        <f t="shared" si="24"/>
        <v/>
      </c>
      <c r="Z298" s="261" t="str">
        <f>IFERROR(INDEX([3]Rainfall_Dry!$O$2:$O$217,MATCH(C298, [3]Rainfall_Dry!$A$2:$A$217,0)),"")</f>
        <v/>
      </c>
      <c r="AA298" s="250">
        <v>45.272914521112256</v>
      </c>
      <c r="AB298" s="250">
        <v>23.604531410916575</v>
      </c>
      <c r="AC298" s="250">
        <v>31.122554067971166</v>
      </c>
      <c r="AD298" s="251" t="s">
        <v>2654</v>
      </c>
      <c r="AE298" s="250">
        <v>6.0547560374568796</v>
      </c>
      <c r="AF298">
        <f>IF('WetLitterbags placem_collection'!AB79="","",'WetLitterbags placem_collection'!AB79)</f>
        <v>3.1</v>
      </c>
      <c r="AG298">
        <f>IF('WetLitterbags placem_collection'!Z79="","",'WetLitterbags placem_collection'!Z79)</f>
        <v>9.8000000000000007</v>
      </c>
      <c r="AH298" s="236" t="str">
        <f>IF('WetLitterbags placem_collection'!AA79="","",'WetLitterbags placem_collection'!AA79)</f>
        <v>O</v>
      </c>
      <c r="AI298">
        <f>IF('WetLitterbags placem_collection'!AC79="","",'WetLitterbags placem_collection'!AC79)</f>
        <v>1</v>
      </c>
      <c r="AJ298" t="str">
        <f>IFERROR(AVERAGE('Dry_Litterbag Placem_Collection'!O79,'Dry_Litterbag Placem_Collection'!R79),"")</f>
        <v/>
      </c>
      <c r="AK298" s="261" t="str">
        <f>IFERROR(AVERAGE('Dry_Litterbag Placem_Collection'!N79,'Dry_Litterbag Placem_Collection'!Q79),"")</f>
        <v/>
      </c>
      <c r="AL298" s="260">
        <f>INDEX([2]Coordinates!$B$2:$B$197,MATCH(I298,[2]Coordinates!$J$2:$J$197,0))</f>
        <v>-3.3023280279999998</v>
      </c>
      <c r="AM298" s="260">
        <f>INDEX([2]Coordinates!$C$2:$C$197,MATCH(I298,[2]Coordinates!$J$2:$J$197,0))</f>
        <v>34.848223019999999</v>
      </c>
      <c r="AN298" s="260" t="str">
        <f>IF(ISNUMBER(SEARCH("C", 'Dry_Litterbag Placem_Collection'!T79)),"YES","NO")</f>
        <v>NO</v>
      </c>
      <c r="AO298" s="260" t="str">
        <f>IF(ISNUMBER(SEARCH("H", 'Dry_Litterbag Placem_Collection'!T79)),"YES","NO")</f>
        <v>NO</v>
      </c>
      <c r="AP298" s="260" t="str">
        <f>IF(ISNUMBER(SEARCH("R", 'Dry_Litterbag Placem_Collection'!T79)),"YES","NO")</f>
        <v>NO</v>
      </c>
    </row>
    <row r="299" spans="1:42" ht="15" customHeight="1">
      <c r="A299" t="s">
        <v>3248</v>
      </c>
      <c r="B299" s="252" t="s">
        <v>2643</v>
      </c>
      <c r="C299" s="253">
        <f>'Dry_Litterbag Placem_Collection'!A80</f>
        <v>78</v>
      </c>
      <c r="D299" s="253" t="str">
        <f>'Dry_Litterbag Placem_Collection'!B80</f>
        <v>Maswa</v>
      </c>
      <c r="E299" s="253" t="s">
        <v>2643</v>
      </c>
      <c r="F299" s="253" t="s">
        <v>2645</v>
      </c>
      <c r="G299" s="253">
        <v>2</v>
      </c>
      <c r="H299" s="253" t="s">
        <v>3113</v>
      </c>
      <c r="I299" s="254" t="str">
        <f>'Dry_Litterbag Placem_Collection'!C80</f>
        <v>Dry_W2_T6</v>
      </c>
      <c r="J299" s="255" t="s">
        <v>2525</v>
      </c>
      <c r="K299" s="262" t="s">
        <v>298</v>
      </c>
      <c r="L299" s="253" t="str">
        <f>IF(ISBLANK('Dry_Litterbag Placem_Collection'!K80),"","R"&amp;""&amp;'Dry_Litterbag Placem_Collection'!K80)</f>
        <v>R696</v>
      </c>
      <c r="M299" s="257">
        <f>IFERROR(INDEX('Green_rooibos initial weight'!$C$5:$C$2000,MATCH(L299, 'Green_rooibos initial weight'!$A$5:$A$2000,0)),"")</f>
        <v>2.1389999999999998</v>
      </c>
      <c r="N299" s="257">
        <f>IFERROR(M299-(TBIcalc!$Q$9+TBIcalc!$Q$10),"")</f>
        <v>1.8891999999999998</v>
      </c>
      <c r="O299" s="378">
        <f>AVERAGE(Ashed_controlls!$K$12:$K$14)</f>
        <v>2.2816647271287041</v>
      </c>
      <c r="P299" s="257">
        <f t="shared" si="21"/>
        <v>1.8460947899750844</v>
      </c>
      <c r="Q299" s="257">
        <f>IFERROR(INDEX('Both teabags AfterDry'!$D$2:$D$2000,MATCH(L299,'Both teabags AfterDry'!$A$2:$A$2000,0)),"")</f>
        <v>1.9605999999999999</v>
      </c>
      <c r="R299" s="257">
        <f>IFERROR(IF(Q299&gt;0,Q299-(TBIcalc!$Q$9),""),"")</f>
        <v>1.8099999999999998</v>
      </c>
      <c r="S299" s="268">
        <f>IFERROR(INDEX('Ashed teabags dry'!$K$2:$K$2000,MATCH(L299,'Ashed teabags dry'!$A$2:$A$2000,0)),"")</f>
        <v>2.2848808945063115</v>
      </c>
      <c r="T299" s="268">
        <f t="shared" si="22"/>
        <v>1.7686436558094356</v>
      </c>
      <c r="U299" s="258">
        <f>IF('Dry_Litterbag Placem_Collection'!E80="","",'Dry_Litterbag Placem_Collection'!E80)</f>
        <v>42937</v>
      </c>
      <c r="V299" s="258">
        <f>IF('Dry_Litterbag Placem_Collection'!G80="","",'Dry_Litterbag Placem_Collection'!G80)</f>
        <v>43006</v>
      </c>
      <c r="W299" s="259">
        <f t="shared" si="20"/>
        <v>69</v>
      </c>
      <c r="X299" s="257">
        <f t="shared" si="23"/>
        <v>7.9199999999999937E-2</v>
      </c>
      <c r="Y299" s="257">
        <f t="shared" si="24"/>
        <v>7.745113416564875E-2</v>
      </c>
      <c r="Z299" s="261">
        <f>IFERROR(INDEX([3]Rainfall_Dry!$O$2:$O$217,MATCH(C299, [3]Rainfall_Dry!$A$2:$A$217,0)),"")</f>
        <v>6.900000125</v>
      </c>
      <c r="AA299" s="250">
        <v>45.272914521112256</v>
      </c>
      <c r="AB299" s="250">
        <v>23.604531410916575</v>
      </c>
      <c r="AC299" s="250">
        <v>31.122554067971166</v>
      </c>
      <c r="AD299" s="251" t="s">
        <v>2654</v>
      </c>
      <c r="AE299" s="250">
        <v>7.0547560374568796</v>
      </c>
      <c r="AF299">
        <f>IF('WetLitterbags placem_collection'!AB80="","",'WetLitterbags placem_collection'!AB80)</f>
        <v>10.4</v>
      </c>
      <c r="AG299">
        <f>IF('WetLitterbags placem_collection'!Z80="","",'WetLitterbags placem_collection'!Z80)</f>
        <v>15.4</v>
      </c>
      <c r="AH299" s="236" t="str">
        <f>IF('WetLitterbags placem_collection'!AA80="","",'WetLitterbags placem_collection'!AA80)</f>
        <v>M</v>
      </c>
      <c r="AI299">
        <f>IF('WetLitterbags placem_collection'!AC80="","",'WetLitterbags placem_collection'!AC80)</f>
        <v>1</v>
      </c>
      <c r="AJ299">
        <f>IFERROR(AVERAGE('Dry_Litterbag Placem_Collection'!O80,'Dry_Litterbag Placem_Collection'!R80),"")</f>
        <v>11.149999999999999</v>
      </c>
      <c r="AK299" s="261">
        <f>IFERROR(AVERAGE('Dry_Litterbag Placem_Collection'!N80,'Dry_Litterbag Placem_Collection'!Q80),"")</f>
        <v>28.35</v>
      </c>
      <c r="AL299" s="260">
        <f>INDEX([2]Coordinates!$B$2:$B$197,MATCH(I299,[2]Coordinates!$J$2:$J$197,0))</f>
        <v>-3.3025680020000001</v>
      </c>
      <c r="AM299" s="260">
        <f>INDEX([2]Coordinates!$C$2:$C$197,MATCH(I299,[2]Coordinates!$J$2:$J$197,0))</f>
        <v>34.848167029999999</v>
      </c>
      <c r="AN299" s="260" t="str">
        <f>IF(ISNUMBER(SEARCH("C", 'Dry_Litterbag Placem_Collection'!T80)),"YES","NO")</f>
        <v>NO</v>
      </c>
      <c r="AO299" s="260" t="str">
        <f>IF(ISNUMBER(SEARCH("H", 'Dry_Litterbag Placem_Collection'!T80)),"YES","NO")</f>
        <v>YES</v>
      </c>
      <c r="AP299" s="260" t="str">
        <f>IF(ISNUMBER(SEARCH("R", 'Dry_Litterbag Placem_Collection'!T80)),"YES","NO")</f>
        <v>NO</v>
      </c>
    </row>
    <row r="300" spans="1:42" ht="15" customHeight="1">
      <c r="A300" t="s">
        <v>3248</v>
      </c>
      <c r="B300" s="252" t="s">
        <v>2643</v>
      </c>
      <c r="C300" s="253">
        <f>'Dry_Litterbag Placem_Collection'!A81</f>
        <v>79</v>
      </c>
      <c r="D300" s="253" t="str">
        <f>'Dry_Litterbag Placem_Collection'!B81</f>
        <v>Maswa</v>
      </c>
      <c r="E300" s="253" t="s">
        <v>2643</v>
      </c>
      <c r="F300" s="253" t="s">
        <v>2645</v>
      </c>
      <c r="G300" s="253">
        <v>2</v>
      </c>
      <c r="H300" s="253" t="s">
        <v>3113</v>
      </c>
      <c r="I300" s="254" t="str">
        <f>'Dry_Litterbag Placem_Collection'!C81</f>
        <v>Dry_W2_T7</v>
      </c>
      <c r="J300" s="255" t="s">
        <v>2525</v>
      </c>
      <c r="K300" s="262" t="s">
        <v>298</v>
      </c>
      <c r="L300" s="253" t="str">
        <f>IF(ISBLANK('Dry_Litterbag Placem_Collection'!K81),"","R"&amp;""&amp;'Dry_Litterbag Placem_Collection'!K81)</f>
        <v>R270</v>
      </c>
      <c r="M300" s="257">
        <f>IFERROR(INDEX('Green_rooibos initial weight'!$C$5:$C$2000,MATCH(L300, 'Green_rooibos initial weight'!$A$5:$A$2000,0)),"")</f>
        <v>2.2170000000000001</v>
      </c>
      <c r="N300" s="257">
        <f>IFERROR(M300-(TBIcalc!$Q$9+TBIcalc!$Q$10),"")</f>
        <v>1.9672000000000001</v>
      </c>
      <c r="O300" s="378">
        <f>AVERAGE(Ashed_controlls!$K$12:$K$14)</f>
        <v>2.2816647271287041</v>
      </c>
      <c r="P300" s="257">
        <f t="shared" si="21"/>
        <v>1.9223150914879241</v>
      </c>
      <c r="Q300" s="257">
        <f>IFERROR(INDEX('Both teabags AfterDry'!$D$2:$D$2000,MATCH(L300,'Both teabags AfterDry'!$A$2:$A$2000,0)),"")</f>
        <v>1.9970000000000001</v>
      </c>
      <c r="R300" s="257">
        <f>IFERROR(IF(Q300&gt;0,Q300-(TBIcalc!$Q$9),""),"")</f>
        <v>1.8464</v>
      </c>
      <c r="S300" s="268">
        <f>IFERROR(INDEX('Ashed teabags dry'!$K$2:$K$2000,MATCH(L300,'Ashed teabags dry'!$A$2:$A$2000,0)),"")</f>
        <v>2.6437847866422564</v>
      </c>
      <c r="T300" s="268">
        <f t="shared" si="22"/>
        <v>1.7975851576994375</v>
      </c>
      <c r="U300" s="258">
        <f>IF('Dry_Litterbag Placem_Collection'!E81="","",'Dry_Litterbag Placem_Collection'!E81)</f>
        <v>42937</v>
      </c>
      <c r="V300" s="258">
        <f>IF('Dry_Litterbag Placem_Collection'!G81="","",'Dry_Litterbag Placem_Collection'!G81)</f>
        <v>43006</v>
      </c>
      <c r="W300" s="259">
        <f t="shared" si="20"/>
        <v>69</v>
      </c>
      <c r="X300" s="257">
        <f t="shared" si="23"/>
        <v>0.12080000000000002</v>
      </c>
      <c r="Y300" s="257">
        <f t="shared" si="24"/>
        <v>0.12472993378848662</v>
      </c>
      <c r="Z300" s="261">
        <f>IFERROR(INDEX([3]Rainfall_Dry!$O$2:$O$217,MATCH(C300, [3]Rainfall_Dry!$A$2:$A$217,0)),"")</f>
        <v>6.900000125</v>
      </c>
      <c r="AA300" s="250">
        <v>45.272914521112256</v>
      </c>
      <c r="AB300" s="250">
        <v>23.604531410916575</v>
      </c>
      <c r="AC300" s="250">
        <v>31.122554067971166</v>
      </c>
      <c r="AD300" s="251" t="s">
        <v>2654</v>
      </c>
      <c r="AE300" s="250">
        <v>8.0547560374568796</v>
      </c>
      <c r="AF300">
        <f>IF('WetLitterbags placem_collection'!AB81="","",'WetLitterbags placem_collection'!AB81)</f>
        <v>3</v>
      </c>
      <c r="AG300">
        <f>IF('WetLitterbags placem_collection'!Z81="","",'WetLitterbags placem_collection'!Z81)</f>
        <v>5</v>
      </c>
      <c r="AH300" s="236" t="str">
        <f>IF('WetLitterbags placem_collection'!AA81="","",'WetLitterbags placem_collection'!AA81)</f>
        <v>G</v>
      </c>
      <c r="AI300">
        <f>IF('WetLitterbags placem_collection'!AC81="","",'WetLitterbags placem_collection'!AC81)</f>
        <v>1</v>
      </c>
      <c r="AJ300">
        <f>IFERROR(AVERAGE('Dry_Litterbag Placem_Collection'!O81,'Dry_Litterbag Placem_Collection'!R81),"")</f>
        <v>9.1999999999999993</v>
      </c>
      <c r="AK300" s="261">
        <f>IFERROR(AVERAGE('Dry_Litterbag Placem_Collection'!N81,'Dry_Litterbag Placem_Collection'!Q81),"")</f>
        <v>26.25</v>
      </c>
      <c r="AL300" s="260">
        <f>INDEX([2]Coordinates!$B$2:$B$197,MATCH(I300,[2]Coordinates!$J$2:$J$197,0))</f>
        <v>-3.3026270100000001</v>
      </c>
      <c r="AM300" s="260">
        <f>INDEX([2]Coordinates!$C$2:$C$197,MATCH(I300,[2]Coordinates!$J$2:$J$197,0))</f>
        <v>34.84840801</v>
      </c>
      <c r="AN300" s="260" t="str">
        <f>IF(ISNUMBER(SEARCH("C", 'Dry_Litterbag Placem_Collection'!T81)),"YES","NO")</f>
        <v>NO</v>
      </c>
      <c r="AO300" s="260" t="str">
        <f>IF(ISNUMBER(SEARCH("H", 'Dry_Litterbag Placem_Collection'!T81)),"YES","NO")</f>
        <v>NO</v>
      </c>
      <c r="AP300" s="260" t="str">
        <f>IF(ISNUMBER(SEARCH("R", 'Dry_Litterbag Placem_Collection'!T81)),"YES","NO")</f>
        <v>NO</v>
      </c>
    </row>
    <row r="301" spans="1:42" ht="15" customHeight="1">
      <c r="A301" t="s">
        <v>3248</v>
      </c>
      <c r="B301" s="252" t="s">
        <v>2643</v>
      </c>
      <c r="C301" s="253">
        <f>'Dry_Litterbag Placem_Collection'!A82</f>
        <v>80</v>
      </c>
      <c r="D301" s="253" t="str">
        <f>'Dry_Litterbag Placem_Collection'!B82</f>
        <v>Maswa</v>
      </c>
      <c r="E301" s="253" t="s">
        <v>2643</v>
      </c>
      <c r="F301" s="253" t="s">
        <v>2645</v>
      </c>
      <c r="G301" s="253">
        <v>2</v>
      </c>
      <c r="H301" s="253" t="s">
        <v>3113</v>
      </c>
      <c r="I301" s="254" t="str">
        <f>'Dry_Litterbag Placem_Collection'!C82</f>
        <v>Dry_W2_T8</v>
      </c>
      <c r="J301" s="255" t="s">
        <v>2525</v>
      </c>
      <c r="K301" s="262" t="s">
        <v>298</v>
      </c>
      <c r="L301" s="253" t="str">
        <f>IF(ISBLANK('Dry_Litterbag Placem_Collection'!K82),"","R"&amp;""&amp;'Dry_Litterbag Placem_Collection'!K82)</f>
        <v>R726</v>
      </c>
      <c r="M301" s="257">
        <f>IFERROR(INDEX('Green_rooibos initial weight'!$C$5:$C$2000,MATCH(L301, 'Green_rooibos initial weight'!$A$5:$A$2000,0)),"")</f>
        <v>2.2810000000000001</v>
      </c>
      <c r="N301" s="257">
        <f>IFERROR(M301-(TBIcalc!$Q$9+TBIcalc!$Q$10),"")</f>
        <v>2.0312000000000001</v>
      </c>
      <c r="O301" s="378">
        <f>AVERAGE(Ashed_controlls!$K$12:$K$14)</f>
        <v>2.2816647271287041</v>
      </c>
      <c r="P301" s="257">
        <f t="shared" si="21"/>
        <v>1.9848548260625618</v>
      </c>
      <c r="Q301" s="257">
        <f>IFERROR(INDEX('Both teabags AfterDry'!$D$2:$D$2000,MATCH(L301,'Both teabags AfterDry'!$A$2:$A$2000,0)),"")</f>
        <v>1.9471000000000001</v>
      </c>
      <c r="R301" s="257">
        <f>IFERROR(IF(Q301&gt;0,Q301-(TBIcalc!$Q$9),""),"")</f>
        <v>1.7965</v>
      </c>
      <c r="S301" s="268">
        <f>IFERROR(INDEX('Ashed teabags dry'!$K$2:$K$2000,MATCH(L301,'Ashed teabags dry'!$A$2:$A$2000,0)),"")</f>
        <v>2.8653295128930178</v>
      </c>
      <c r="T301" s="268">
        <f t="shared" si="22"/>
        <v>1.7450243553008769</v>
      </c>
      <c r="U301" s="258">
        <f>IF('Dry_Litterbag Placem_Collection'!E82="","",'Dry_Litterbag Placem_Collection'!E82)</f>
        <v>42937</v>
      </c>
      <c r="V301" s="258">
        <f>IF('Dry_Litterbag Placem_Collection'!G82="","",'Dry_Litterbag Placem_Collection'!G82)</f>
        <v>43006</v>
      </c>
      <c r="W301" s="259">
        <f t="shared" si="20"/>
        <v>69</v>
      </c>
      <c r="X301" s="257">
        <f t="shared" si="23"/>
        <v>0.23470000000000013</v>
      </c>
      <c r="Y301" s="257">
        <f t="shared" si="24"/>
        <v>0.23983047076168496</v>
      </c>
      <c r="Z301" s="261">
        <f>IFERROR(INDEX([3]Rainfall_Dry!$O$2:$O$217,MATCH(C301, [3]Rainfall_Dry!$A$2:$A$217,0)),"")</f>
        <v>6.900000125</v>
      </c>
      <c r="AA301" s="250">
        <v>45.272914521112256</v>
      </c>
      <c r="AB301" s="250">
        <v>23.604531410916575</v>
      </c>
      <c r="AC301" s="250">
        <v>31.122554067971166</v>
      </c>
      <c r="AD301" s="251" t="s">
        <v>2654</v>
      </c>
      <c r="AE301" s="250">
        <v>9.0547560374568796</v>
      </c>
      <c r="AF301">
        <f>IF('WetLitterbags placem_collection'!AB82="","",'WetLitterbags placem_collection'!AB82)</f>
        <v>2.7</v>
      </c>
      <c r="AG301">
        <f>IF('WetLitterbags placem_collection'!Z82="","",'WetLitterbags placem_collection'!Z82)</f>
        <v>12.4</v>
      </c>
      <c r="AH301" s="236" t="str">
        <f>IF('WetLitterbags placem_collection'!AA82="","",'WetLitterbags placem_collection'!AA82)</f>
        <v>O</v>
      </c>
      <c r="AI301">
        <f>IF('WetLitterbags placem_collection'!AC82="","",'WetLitterbags placem_collection'!AC82)</f>
        <v>1</v>
      </c>
      <c r="AJ301">
        <f>IFERROR(AVERAGE('Dry_Litterbag Placem_Collection'!O82,'Dry_Litterbag Placem_Collection'!R82),"")</f>
        <v>11.75</v>
      </c>
      <c r="AK301" s="261">
        <f>IFERROR(AVERAGE('Dry_Litterbag Placem_Collection'!N82,'Dry_Litterbag Placem_Collection'!Q82),"")</f>
        <v>27.7</v>
      </c>
      <c r="AL301" s="260">
        <f>INDEX([2]Coordinates!$B$2:$B$197,MATCH(I301,[2]Coordinates!$J$2:$J$197,0))</f>
        <v>-3.3028539920000002</v>
      </c>
      <c r="AM301" s="260">
        <f>INDEX([2]Coordinates!$C$2:$C$197,MATCH(I301,[2]Coordinates!$J$2:$J$197,0))</f>
        <v>34.847988999999998</v>
      </c>
      <c r="AN301" s="260" t="str">
        <f>IF(ISNUMBER(SEARCH("C", 'Dry_Litterbag Placem_Collection'!T82)),"YES","NO")</f>
        <v>NO</v>
      </c>
      <c r="AO301" s="260" t="str">
        <f>IF(ISNUMBER(SEARCH("H", 'Dry_Litterbag Placem_Collection'!T82)),"YES","NO")</f>
        <v>NO</v>
      </c>
      <c r="AP301" s="260" t="str">
        <f>IF(ISNUMBER(SEARCH("R", 'Dry_Litterbag Placem_Collection'!T82)),"YES","NO")</f>
        <v>NO</v>
      </c>
    </row>
    <row r="302" spans="1:42" ht="15" customHeight="1">
      <c r="A302" t="s">
        <v>3248</v>
      </c>
      <c r="B302" s="252" t="s">
        <v>2643</v>
      </c>
      <c r="C302" s="253">
        <f>'Dry_Litterbag Placem_Collection'!A83</f>
        <v>81</v>
      </c>
      <c r="D302" s="253" t="str">
        <f>'Dry_Litterbag Placem_Collection'!B83</f>
        <v>Maswa</v>
      </c>
      <c r="E302" s="253" t="s">
        <v>2643</v>
      </c>
      <c r="F302" s="253" t="s">
        <v>2645</v>
      </c>
      <c r="G302" s="253">
        <v>3</v>
      </c>
      <c r="H302" s="253" t="s">
        <v>3114</v>
      </c>
      <c r="I302" s="254" t="str">
        <f>'Dry_Litterbag Placem_Collection'!C83</f>
        <v>Dry_W3_T1</v>
      </c>
      <c r="J302" s="255" t="s">
        <v>2525</v>
      </c>
      <c r="K302" s="262" t="s">
        <v>298</v>
      </c>
      <c r="L302" s="253" t="str">
        <f>IF(ISBLANK('Dry_Litterbag Placem_Collection'!K83),"","R"&amp;""&amp;'Dry_Litterbag Placem_Collection'!K83)</f>
        <v>R739</v>
      </c>
      <c r="M302" s="257">
        <f>IFERROR(INDEX('Green_rooibos initial weight'!$C$5:$C$2000,MATCH(L302, 'Green_rooibos initial weight'!$A$5:$A$2000,0)),"")</f>
        <v>2.222</v>
      </c>
      <c r="N302" s="257">
        <f>IFERROR(M302-(TBIcalc!$Q$9+TBIcalc!$Q$10),"")</f>
        <v>1.9722</v>
      </c>
      <c r="O302" s="378">
        <f>AVERAGE(Ashed_controlls!$K$12:$K$14)</f>
        <v>2.2816647271287041</v>
      </c>
      <c r="P302" s="257">
        <f t="shared" si="21"/>
        <v>1.9272010082515676</v>
      </c>
      <c r="Q302" s="257">
        <f>IFERROR(INDEX('Both teabags AfterDry'!$D$2:$D$2000,MATCH(L302,'Both teabags AfterDry'!$A$2:$A$2000,0)),"")</f>
        <v>1.9457</v>
      </c>
      <c r="R302" s="257">
        <f>IFERROR(IF(Q302&gt;0,Q302-(TBIcalc!$Q$9),""),"")</f>
        <v>1.7950999999999999</v>
      </c>
      <c r="S302" s="268">
        <f>IFERROR(INDEX('Ashed teabags dry'!$K$2:$K$2000,MATCH(L302,'Ashed teabags dry'!$A$2:$A$2000,0)),"")</f>
        <v>2.6627218934911183</v>
      </c>
      <c r="T302" s="268">
        <f t="shared" si="22"/>
        <v>1.7473014792899408</v>
      </c>
      <c r="U302" s="258">
        <f>IF('Dry_Litterbag Placem_Collection'!E83="","",'Dry_Litterbag Placem_Collection'!E83)</f>
        <v>42937</v>
      </c>
      <c r="V302" s="258">
        <f>IF('Dry_Litterbag Placem_Collection'!G83="","",'Dry_Litterbag Placem_Collection'!G83)</f>
        <v>43006</v>
      </c>
      <c r="W302" s="259">
        <f t="shared" si="20"/>
        <v>69</v>
      </c>
      <c r="X302" s="257">
        <f t="shared" si="23"/>
        <v>0.17710000000000004</v>
      </c>
      <c r="Y302" s="257">
        <f t="shared" si="24"/>
        <v>0.17989952896162675</v>
      </c>
      <c r="Z302" s="261">
        <f>IFERROR(INDEX([3]Rainfall_Dry!$O$2:$O$217,MATCH(C302, [3]Rainfall_Dry!$A$2:$A$217,0)),"")</f>
        <v>12.563016860999999</v>
      </c>
      <c r="AA302" s="250">
        <v>38.691629007962128</v>
      </c>
      <c r="AB302" s="250">
        <v>26.81299763288143</v>
      </c>
      <c r="AC302" s="250">
        <v>34.495373359156439</v>
      </c>
      <c r="AD302" s="251" t="s">
        <v>2656</v>
      </c>
      <c r="AE302" s="250">
        <v>2.5483587974371611</v>
      </c>
      <c r="AF302">
        <f>IF('WetLitterbags placem_collection'!AB83="","",'WetLitterbags placem_collection'!AB83)</f>
        <v>6.2</v>
      </c>
      <c r="AG302">
        <f>IF('WetLitterbags placem_collection'!Z83="","",'WetLitterbags placem_collection'!Z83)</f>
        <v>13.3</v>
      </c>
      <c r="AH302" s="236" t="str">
        <f>IF('WetLitterbags placem_collection'!AA83="","",'WetLitterbags placem_collection'!AA83)</f>
        <v>O</v>
      </c>
      <c r="AI302">
        <f>IF('WetLitterbags placem_collection'!AC83="","",'WetLitterbags placem_collection'!AC83)</f>
        <v>0</v>
      </c>
      <c r="AJ302">
        <f>IFERROR(AVERAGE('Dry_Litterbag Placem_Collection'!O83,'Dry_Litterbag Placem_Collection'!R83),"")</f>
        <v>11.850000000000001</v>
      </c>
      <c r="AK302" s="261">
        <f>IFERROR(AVERAGE('Dry_Litterbag Placem_Collection'!N83,'Dry_Litterbag Placem_Collection'!Q83),"")</f>
        <v>26.35</v>
      </c>
      <c r="AL302" s="260">
        <f>INDEX([2]Coordinates!$B$2:$B$197,MATCH(I302,[2]Coordinates!$J$2:$J$197,0))</f>
        <v>-3.2957159630000001</v>
      </c>
      <c r="AM302" s="260">
        <f>INDEX([2]Coordinates!$C$2:$C$197,MATCH(I302,[2]Coordinates!$J$2:$J$197,0))</f>
        <v>34.852460999999998</v>
      </c>
      <c r="AN302" s="260" t="str">
        <f>IF(ISNUMBER(SEARCH("C", 'Dry_Litterbag Placem_Collection'!T83)),"YES","NO")</f>
        <v>NO</v>
      </c>
      <c r="AO302" s="260" t="str">
        <f>IF(ISNUMBER(SEARCH("H", 'Dry_Litterbag Placem_Collection'!T83)),"YES","NO")</f>
        <v>NO</v>
      </c>
      <c r="AP302" s="260" t="str">
        <f>IF(ISNUMBER(SEARCH("R", 'Dry_Litterbag Placem_Collection'!T83)),"YES","NO")</f>
        <v>NO</v>
      </c>
    </row>
    <row r="303" spans="1:42" ht="15" customHeight="1">
      <c r="A303" t="s">
        <v>3248</v>
      </c>
      <c r="B303" s="252" t="s">
        <v>2643</v>
      </c>
      <c r="C303" s="253">
        <f>'Dry_Litterbag Placem_Collection'!A84</f>
        <v>82</v>
      </c>
      <c r="D303" s="253" t="str">
        <f>'Dry_Litterbag Placem_Collection'!B84</f>
        <v>Maswa</v>
      </c>
      <c r="E303" s="253" t="s">
        <v>2643</v>
      </c>
      <c r="F303" s="253" t="s">
        <v>2645</v>
      </c>
      <c r="G303" s="253">
        <v>3</v>
      </c>
      <c r="H303" s="253" t="s">
        <v>3114</v>
      </c>
      <c r="I303" s="254" t="str">
        <f>'Dry_Litterbag Placem_Collection'!C84</f>
        <v>Dry_W3_T2</v>
      </c>
      <c r="J303" s="255" t="s">
        <v>2525</v>
      </c>
      <c r="K303" s="262" t="s">
        <v>298</v>
      </c>
      <c r="L303" s="253" t="str">
        <f>IF(ISBLANK('Dry_Litterbag Placem_Collection'!K84),"","R"&amp;""&amp;'Dry_Litterbag Placem_Collection'!K84)</f>
        <v>R800</v>
      </c>
      <c r="M303" s="257">
        <f>IFERROR(INDEX('Green_rooibos initial weight'!$C$5:$C$2000,MATCH(L303, 'Green_rooibos initial weight'!$A$5:$A$2000,0)),"")</f>
        <v>2.1579999999999999</v>
      </c>
      <c r="N303" s="257">
        <f>IFERROR(M303-(TBIcalc!$Q$9+TBIcalc!$Q$10),"")</f>
        <v>1.9081999999999999</v>
      </c>
      <c r="O303" s="378">
        <f>AVERAGE(Ashed_controlls!$K$12:$K$14)</f>
        <v>2.2816647271287041</v>
      </c>
      <c r="P303" s="257">
        <f t="shared" si="21"/>
        <v>1.8646612736769299</v>
      </c>
      <c r="Q303" s="257">
        <f>IFERROR(INDEX('Both teabags AfterDry'!$D$2:$D$2000,MATCH(L303,'Both teabags AfterDry'!$A$2:$A$2000,0)),"")</f>
        <v>1.8712</v>
      </c>
      <c r="R303" s="257">
        <f>IFERROR(IF(Q303&gt;0,Q303-(TBIcalc!$Q$9),""),"")</f>
        <v>1.7205999999999999</v>
      </c>
      <c r="S303" s="268">
        <f>IFERROR(INDEX('Ashed teabags dry'!$K$2:$K$2000,MATCH(L303,'Ashed teabags dry'!$A$2:$A$2000,0)),"")</f>
        <v>2.8725314183131179</v>
      </c>
      <c r="T303" s="268">
        <f t="shared" si="22"/>
        <v>1.6711752244165043</v>
      </c>
      <c r="U303" s="258">
        <f>IF('Dry_Litterbag Placem_Collection'!E84="","",'Dry_Litterbag Placem_Collection'!E84)</f>
        <v>42937</v>
      </c>
      <c r="V303" s="258">
        <f>IF('Dry_Litterbag Placem_Collection'!G84="","",'Dry_Litterbag Placem_Collection'!G84)</f>
        <v>43006</v>
      </c>
      <c r="W303" s="259">
        <f t="shared" si="20"/>
        <v>69</v>
      </c>
      <c r="X303" s="257">
        <f t="shared" si="23"/>
        <v>0.18759999999999999</v>
      </c>
      <c r="Y303" s="257">
        <f t="shared" si="24"/>
        <v>0.19348604926042556</v>
      </c>
      <c r="Z303" s="261">
        <f>IFERROR(INDEX([3]Rainfall_Dry!$O$2:$O$217,MATCH(C303, [3]Rainfall_Dry!$A$2:$A$217,0)),"")</f>
        <v>12.563016860999999</v>
      </c>
      <c r="AA303" s="250">
        <v>38.691629007962128</v>
      </c>
      <c r="AB303" s="250">
        <v>26.81299763288143</v>
      </c>
      <c r="AC303" s="250">
        <v>34.495373359156439</v>
      </c>
      <c r="AD303" s="251" t="s">
        <v>2656</v>
      </c>
      <c r="AE303" s="250">
        <v>3.5483587974371602</v>
      </c>
      <c r="AF303">
        <f>IF('WetLitterbags placem_collection'!AB84="","",'WetLitterbags placem_collection'!AB84)</f>
        <v>2.4</v>
      </c>
      <c r="AG303">
        <f>IF('WetLitterbags placem_collection'!Z84="","",'WetLitterbags placem_collection'!Z84)</f>
        <v>16.600000000000001</v>
      </c>
      <c r="AH303" s="236" t="str">
        <f>IF('WetLitterbags placem_collection'!AA84="","",'WetLitterbags placem_collection'!AA84)</f>
        <v>O</v>
      </c>
      <c r="AI303" t="str">
        <f>IF('WetLitterbags placem_collection'!AC84="","",'WetLitterbags placem_collection'!AC84)</f>
        <v/>
      </c>
      <c r="AJ303">
        <f>IFERROR(AVERAGE('Dry_Litterbag Placem_Collection'!O84,'Dry_Litterbag Placem_Collection'!R84),"")</f>
        <v>9.9499999999999993</v>
      </c>
      <c r="AK303" s="261">
        <f>IFERROR(AVERAGE('Dry_Litterbag Placem_Collection'!N84,'Dry_Litterbag Placem_Collection'!Q84),"")</f>
        <v>25.5</v>
      </c>
      <c r="AL303" s="260">
        <f>INDEX([2]Coordinates!$B$2:$B$197,MATCH(I303,[2]Coordinates!$J$2:$J$197,0))</f>
        <v>-3.2957230040000001</v>
      </c>
      <c r="AM303" s="260">
        <f>INDEX([2]Coordinates!$C$2:$C$197,MATCH(I303,[2]Coordinates!$J$2:$J$197,0))</f>
        <v>34.852416990000002</v>
      </c>
      <c r="AN303" s="260" t="str">
        <f>IF(ISNUMBER(SEARCH("C", 'Dry_Litterbag Placem_Collection'!T84)),"YES","NO")</f>
        <v>NO</v>
      </c>
      <c r="AO303" s="260" t="str">
        <f>IF(ISNUMBER(SEARCH("H", 'Dry_Litterbag Placem_Collection'!T84)),"YES","NO")</f>
        <v>NO</v>
      </c>
      <c r="AP303" s="260" t="str">
        <f>IF(ISNUMBER(SEARCH("R", 'Dry_Litterbag Placem_Collection'!T84)),"YES","NO")</f>
        <v>NO</v>
      </c>
    </row>
    <row r="304" spans="1:42" ht="15" customHeight="1">
      <c r="A304" t="s">
        <v>3248</v>
      </c>
      <c r="B304" s="252" t="s">
        <v>2643</v>
      </c>
      <c r="C304" s="253">
        <f>'Dry_Litterbag Placem_Collection'!A85</f>
        <v>83</v>
      </c>
      <c r="D304" s="253" t="str">
        <f>'Dry_Litterbag Placem_Collection'!B85</f>
        <v>Maswa</v>
      </c>
      <c r="E304" s="253" t="s">
        <v>2643</v>
      </c>
      <c r="F304" s="253" t="s">
        <v>2645</v>
      </c>
      <c r="G304" s="253">
        <v>3</v>
      </c>
      <c r="H304" s="253" t="s">
        <v>3114</v>
      </c>
      <c r="I304" s="254" t="str">
        <f>'Dry_Litterbag Placem_Collection'!C85</f>
        <v>Dry_W3_T3</v>
      </c>
      <c r="J304" s="255" t="s">
        <v>2525</v>
      </c>
      <c r="K304" s="262" t="s">
        <v>298</v>
      </c>
      <c r="L304" s="253" t="str">
        <f>IF(ISBLANK('Dry_Litterbag Placem_Collection'!K85),"","R"&amp;""&amp;'Dry_Litterbag Placem_Collection'!K85)</f>
        <v>R764</v>
      </c>
      <c r="M304" s="257">
        <f>IFERROR(INDEX('Green_rooibos initial weight'!$C$5:$C$2000,MATCH(L304, 'Green_rooibos initial weight'!$A$5:$A$2000,0)),"")</f>
        <v>2.2160000000000002</v>
      </c>
      <c r="N304" s="257">
        <f>IFERROR(M304-(TBIcalc!$Q$9+TBIcalc!$Q$10),"")</f>
        <v>1.9662000000000002</v>
      </c>
      <c r="O304" s="378">
        <f>AVERAGE(Ashed_controlls!$K$12:$K$14)</f>
        <v>2.2816647271287041</v>
      </c>
      <c r="P304" s="257">
        <f t="shared" si="21"/>
        <v>1.9213379081351956</v>
      </c>
      <c r="Q304" s="257">
        <f>IFERROR(INDEX('Both teabags AfterDry'!$D$2:$D$2000,MATCH(L304,'Both teabags AfterDry'!$A$2:$A$2000,0)),"")</f>
        <v>1.9178999999999999</v>
      </c>
      <c r="R304" s="257">
        <f>IFERROR(IF(Q304&gt;0,Q304-(TBIcalc!$Q$9),""),"")</f>
        <v>1.7672999999999999</v>
      </c>
      <c r="S304" s="268">
        <f>IFERROR(INDEX('Ashed teabags dry'!$K$2:$K$2000,MATCH(L304,'Ashed teabags dry'!$A$2:$A$2000,0)),"")</f>
        <v>2.3591718825229306</v>
      </c>
      <c r="T304" s="268">
        <f t="shared" si="22"/>
        <v>1.7256063553201721</v>
      </c>
      <c r="U304" s="258">
        <f>IF('Dry_Litterbag Placem_Collection'!E85="","",'Dry_Litterbag Placem_Collection'!E85)</f>
        <v>42937</v>
      </c>
      <c r="V304" s="258">
        <f>IF('Dry_Litterbag Placem_Collection'!G85="","",'Dry_Litterbag Placem_Collection'!G85)</f>
        <v>43006</v>
      </c>
      <c r="W304" s="259">
        <f t="shared" si="20"/>
        <v>69</v>
      </c>
      <c r="X304" s="257">
        <f t="shared" si="23"/>
        <v>0.1989000000000003</v>
      </c>
      <c r="Y304" s="257">
        <f t="shared" si="24"/>
        <v>0.19573155281502341</v>
      </c>
      <c r="Z304" s="261">
        <f>IFERROR(INDEX([3]Rainfall_Dry!$O$2:$O$217,MATCH(C304, [3]Rainfall_Dry!$A$2:$A$217,0)),"")</f>
        <v>12.563016860999999</v>
      </c>
      <c r="AA304" s="250">
        <v>38.691629007962128</v>
      </c>
      <c r="AB304" s="250">
        <v>26.81299763288143</v>
      </c>
      <c r="AC304" s="250">
        <v>34.495373359156439</v>
      </c>
      <c r="AD304" s="251" t="s">
        <v>2656</v>
      </c>
      <c r="AE304" s="250">
        <v>4.5483587974371602</v>
      </c>
      <c r="AF304">
        <f>IF('WetLitterbags placem_collection'!AB85="","",'WetLitterbags placem_collection'!AB85)</f>
        <v>6.4</v>
      </c>
      <c r="AG304">
        <f>IF('WetLitterbags placem_collection'!Z85="","",'WetLitterbags placem_collection'!Z85)</f>
        <v>42</v>
      </c>
      <c r="AH304" s="236" t="str">
        <f>IF('WetLitterbags placem_collection'!AA85="","",'WetLitterbags placem_collection'!AA85)</f>
        <v>M</v>
      </c>
      <c r="AI304">
        <f>IF('WetLitterbags placem_collection'!AC85="","",'WetLitterbags placem_collection'!AC85)</f>
        <v>1</v>
      </c>
      <c r="AJ304">
        <f>IFERROR(AVERAGE('Dry_Litterbag Placem_Collection'!O85,'Dry_Litterbag Placem_Collection'!R85),"")</f>
        <v>10.050000000000001</v>
      </c>
      <c r="AK304" s="261">
        <f>IFERROR(AVERAGE('Dry_Litterbag Placem_Collection'!N85,'Dry_Litterbag Placem_Collection'!Q85),"")</f>
        <v>26.05</v>
      </c>
      <c r="AL304" s="260">
        <f>INDEX([2]Coordinates!$B$2:$B$197,MATCH(I304,[2]Coordinates!$J$2:$J$197,0))</f>
        <v>-3.2957430369999998</v>
      </c>
      <c r="AM304" s="260">
        <f>INDEX([2]Coordinates!$C$2:$C$197,MATCH(I304,[2]Coordinates!$J$2:$J$197,0))</f>
        <v>34.852309030000001</v>
      </c>
      <c r="AN304" s="260" t="str">
        <f>IF(ISNUMBER(SEARCH("C", 'Dry_Litterbag Placem_Collection'!T85)),"YES","NO")</f>
        <v>NO</v>
      </c>
      <c r="AO304" s="260" t="str">
        <f>IF(ISNUMBER(SEARCH("H", 'Dry_Litterbag Placem_Collection'!T85)),"YES","NO")</f>
        <v>NO</v>
      </c>
      <c r="AP304" s="260" t="str">
        <f>IF(ISNUMBER(SEARCH("R", 'Dry_Litterbag Placem_Collection'!T85)),"YES","NO")</f>
        <v>NO</v>
      </c>
    </row>
    <row r="305" spans="1:42" ht="15" customHeight="1">
      <c r="A305" t="s">
        <v>3248</v>
      </c>
      <c r="B305" s="252" t="s">
        <v>2643</v>
      </c>
      <c r="C305" s="253">
        <f>'Dry_Litterbag Placem_Collection'!A86</f>
        <v>84</v>
      </c>
      <c r="D305" s="253" t="str">
        <f>'Dry_Litterbag Placem_Collection'!B86</f>
        <v>Maswa</v>
      </c>
      <c r="E305" s="253" t="s">
        <v>2643</v>
      </c>
      <c r="F305" s="253" t="s">
        <v>2645</v>
      </c>
      <c r="G305" s="253">
        <v>3</v>
      </c>
      <c r="H305" s="253" t="s">
        <v>3114</v>
      </c>
      <c r="I305" s="254" t="str">
        <f>'Dry_Litterbag Placem_Collection'!C86</f>
        <v>Dry_W3_T4</v>
      </c>
      <c r="J305" s="255" t="s">
        <v>2525</v>
      </c>
      <c r="K305" s="262" t="s">
        <v>298</v>
      </c>
      <c r="L305" s="253" t="str">
        <f>IF(ISBLANK('Dry_Litterbag Placem_Collection'!K86),"","R"&amp;""&amp;'Dry_Litterbag Placem_Collection'!K86)</f>
        <v>R778</v>
      </c>
      <c r="M305" s="257">
        <f>IFERROR(INDEX('Green_rooibos initial weight'!$C$5:$C$2000,MATCH(L305, 'Green_rooibos initial weight'!$A$5:$A$2000,0)),"")</f>
        <v>2.2450000000000001</v>
      </c>
      <c r="N305" s="257">
        <f>IFERROR(M305-(TBIcalc!$Q$9+TBIcalc!$Q$10),"")</f>
        <v>1.9952000000000001</v>
      </c>
      <c r="O305" s="378">
        <f>AVERAGE(Ashed_controlls!$K$12:$K$14)</f>
        <v>2.2816647271287041</v>
      </c>
      <c r="P305" s="257">
        <f t="shared" si="21"/>
        <v>1.9496762253643283</v>
      </c>
      <c r="Q305" s="257">
        <f>IFERROR(INDEX('Both teabags AfterDry'!$D$2:$D$2000,MATCH(L305,'Both teabags AfterDry'!$A$2:$A$2000,0)),"")</f>
        <v>1.9495</v>
      </c>
      <c r="R305" s="257">
        <f>IFERROR(IF(Q305&gt;0,Q305-(TBIcalc!$Q$9),""),"")</f>
        <v>1.7988999999999999</v>
      </c>
      <c r="S305" s="268">
        <f>IFERROR(INDEX('Ashed teabags dry'!$K$2:$K$2000,MATCH(L305,'Ashed teabags dry'!$A$2:$A$2000,0)),"")</f>
        <v>2.5398406374508733</v>
      </c>
      <c r="T305" s="268">
        <f t="shared" si="22"/>
        <v>1.7532108067728962</v>
      </c>
      <c r="U305" s="258">
        <f>IF('Dry_Litterbag Placem_Collection'!E86="","",'Dry_Litterbag Placem_Collection'!E86)</f>
        <v>42937</v>
      </c>
      <c r="V305" s="258">
        <f>IF('Dry_Litterbag Placem_Collection'!G86="","",'Dry_Litterbag Placem_Collection'!G86)</f>
        <v>43006</v>
      </c>
      <c r="W305" s="259">
        <f t="shared" si="20"/>
        <v>69</v>
      </c>
      <c r="X305" s="257">
        <f t="shared" si="23"/>
        <v>0.19630000000000014</v>
      </c>
      <c r="Y305" s="257">
        <f t="shared" si="24"/>
        <v>0.19646541859143207</v>
      </c>
      <c r="Z305" s="261">
        <f>IFERROR(INDEX([3]Rainfall_Dry!$O$2:$O$217,MATCH(C305, [3]Rainfall_Dry!$A$2:$A$217,0)),"")</f>
        <v>12.563016860999999</v>
      </c>
      <c r="AA305" s="250">
        <v>38.691629007962128</v>
      </c>
      <c r="AB305" s="250">
        <v>26.81299763288143</v>
      </c>
      <c r="AC305" s="250">
        <v>34.495373359156439</v>
      </c>
      <c r="AD305" s="251" t="s">
        <v>2656</v>
      </c>
      <c r="AE305" s="250">
        <v>5.5483587974371602</v>
      </c>
      <c r="AF305">
        <f>IF('WetLitterbags placem_collection'!AB86="","",'WetLitterbags placem_collection'!AB86)</f>
        <v>5.5</v>
      </c>
      <c r="AG305">
        <f>IF('WetLitterbags placem_collection'!Z86="","",'WetLitterbags placem_collection'!Z86)</f>
        <v>55.8</v>
      </c>
      <c r="AH305" s="236" t="str">
        <f>IF('WetLitterbags placem_collection'!AA86="","",'WetLitterbags placem_collection'!AA86)</f>
        <v>M</v>
      </c>
      <c r="AI305">
        <f>IF('WetLitterbags placem_collection'!AC86="","",'WetLitterbags placem_collection'!AC86)</f>
        <v>1</v>
      </c>
      <c r="AJ305">
        <f>IFERROR(AVERAGE('Dry_Litterbag Placem_Collection'!O86,'Dry_Litterbag Placem_Collection'!R86),"")</f>
        <v>10.15</v>
      </c>
      <c r="AK305" s="261">
        <f>IFERROR(AVERAGE('Dry_Litterbag Placem_Collection'!N86,'Dry_Litterbag Placem_Collection'!Q86),"")</f>
        <v>26.549999999999997</v>
      </c>
      <c r="AL305" s="260">
        <f>INDEX([2]Coordinates!$B$2:$B$197,MATCH(I305,[2]Coordinates!$J$2:$J$197,0))</f>
        <v>-3.295795005</v>
      </c>
      <c r="AM305" s="260">
        <f>INDEX([2]Coordinates!$C$2:$C$197,MATCH(I305,[2]Coordinates!$J$2:$J$197,0))</f>
        <v>34.85232001</v>
      </c>
      <c r="AN305" s="260" t="str">
        <f>IF(ISNUMBER(SEARCH("C", 'Dry_Litterbag Placem_Collection'!T86)),"YES","NO")</f>
        <v>NO</v>
      </c>
      <c r="AO305" s="260" t="str">
        <f>IF(ISNUMBER(SEARCH("H", 'Dry_Litterbag Placem_Collection'!T86)),"YES","NO")</f>
        <v>NO</v>
      </c>
      <c r="AP305" s="260" t="str">
        <f>IF(ISNUMBER(SEARCH("R", 'Dry_Litterbag Placem_Collection'!T86)),"YES","NO")</f>
        <v>NO</v>
      </c>
    </row>
    <row r="306" spans="1:42" ht="15" customHeight="1">
      <c r="A306" t="s">
        <v>3248</v>
      </c>
      <c r="B306" s="252" t="s">
        <v>2643</v>
      </c>
      <c r="C306" s="253">
        <f>'Dry_Litterbag Placem_Collection'!A87</f>
        <v>85</v>
      </c>
      <c r="D306" s="253" t="str">
        <f>'Dry_Litterbag Placem_Collection'!B87</f>
        <v>Maswa</v>
      </c>
      <c r="E306" s="253" t="s">
        <v>2643</v>
      </c>
      <c r="F306" s="253" t="s">
        <v>2645</v>
      </c>
      <c r="G306" s="253">
        <v>3</v>
      </c>
      <c r="H306" s="253" t="s">
        <v>3114</v>
      </c>
      <c r="I306" s="254" t="str">
        <f>'Dry_Litterbag Placem_Collection'!C87</f>
        <v>Dry_W3_T5</v>
      </c>
      <c r="J306" s="255" t="s">
        <v>2525</v>
      </c>
      <c r="K306" s="262" t="s">
        <v>298</v>
      </c>
      <c r="L306" s="253" t="str">
        <f>IF(ISBLANK('Dry_Litterbag Placem_Collection'!K87),"","R"&amp;""&amp;'Dry_Litterbag Placem_Collection'!K87)</f>
        <v/>
      </c>
      <c r="M306" s="257" t="str">
        <f>IFERROR(INDEX('Green_rooibos initial weight'!$C$5:$C$2000,MATCH(L306, 'Green_rooibos initial weight'!$A$5:$A$2000,0)),"")</f>
        <v/>
      </c>
      <c r="N306" s="257" t="str">
        <f>IFERROR(M306-(TBIcalc!$Q$9+TBIcalc!$Q$10),"")</f>
        <v/>
      </c>
      <c r="O306" s="378">
        <f>AVERAGE(Ashed_controlls!$K$12:$K$14)</f>
        <v>2.2816647271287041</v>
      </c>
      <c r="P306" s="257" t="str">
        <f t="shared" si="21"/>
        <v/>
      </c>
      <c r="Q306" s="257" t="str">
        <f>IFERROR(INDEX('Both teabags AfterDry'!$D$2:$D$2000,MATCH(L306,'Both teabags AfterDry'!$A$2:$A$2000,0)),"")</f>
        <v/>
      </c>
      <c r="R306" s="257" t="str">
        <f>IFERROR(IF(Q306&gt;0,Q306-(TBIcalc!$Q$9),""),"")</f>
        <v/>
      </c>
      <c r="S306" s="268" t="str">
        <f>IFERROR(INDEX('Ashed teabags dry'!$K$2:$K$2000,MATCH(L306,'Ashed teabags dry'!$A$2:$A$2000,0)),"")</f>
        <v/>
      </c>
      <c r="T306" s="268" t="str">
        <f t="shared" si="22"/>
        <v/>
      </c>
      <c r="U306" s="258" t="str">
        <f>IF('Dry_Litterbag Placem_Collection'!E87="","",'Dry_Litterbag Placem_Collection'!E87)</f>
        <v/>
      </c>
      <c r="V306" s="258" t="str">
        <f>IF('Dry_Litterbag Placem_Collection'!G87="","",'Dry_Litterbag Placem_Collection'!G87)</f>
        <v/>
      </c>
      <c r="W306" s="259" t="str">
        <f t="shared" si="20"/>
        <v/>
      </c>
      <c r="X306" s="257" t="str">
        <f t="shared" si="23"/>
        <v/>
      </c>
      <c r="Y306" s="257" t="str">
        <f t="shared" si="24"/>
        <v/>
      </c>
      <c r="Z306" s="261" t="str">
        <f>IFERROR(INDEX([3]Rainfall_Dry!$O$2:$O$217,MATCH(C306, [3]Rainfall_Dry!$A$2:$A$217,0)),"")</f>
        <v/>
      </c>
      <c r="AA306" s="250">
        <v>38.691629007962128</v>
      </c>
      <c r="AB306" s="250">
        <v>26.81299763288143</v>
      </c>
      <c r="AC306" s="250">
        <v>34.495373359156439</v>
      </c>
      <c r="AD306" s="251" t="s">
        <v>2656</v>
      </c>
      <c r="AE306" s="250">
        <v>6.5483587974371602</v>
      </c>
      <c r="AF306">
        <f>IF('WetLitterbags placem_collection'!AB87="","",'WetLitterbags placem_collection'!AB87)</f>
        <v>8.6</v>
      </c>
      <c r="AG306">
        <f>IF('WetLitterbags placem_collection'!Z87="","",'WetLitterbags placem_collection'!Z87)</f>
        <v>3.8</v>
      </c>
      <c r="AH306" s="236" t="str">
        <f>IF('WetLitterbags placem_collection'!AA87="","",'WetLitterbags placem_collection'!AA87)</f>
        <v>O</v>
      </c>
      <c r="AI306">
        <f>IF('WetLitterbags placem_collection'!AC87="","",'WetLitterbags placem_collection'!AC87)</f>
        <v>0</v>
      </c>
      <c r="AJ306" t="str">
        <f>IFERROR(AVERAGE('Dry_Litterbag Placem_Collection'!O87,'Dry_Litterbag Placem_Collection'!R87),"")</f>
        <v/>
      </c>
      <c r="AK306" s="261" t="str">
        <f>IFERROR(AVERAGE('Dry_Litterbag Placem_Collection'!N87,'Dry_Litterbag Placem_Collection'!Q87),"")</f>
        <v/>
      </c>
      <c r="AL306" s="260">
        <f>INDEX([2]Coordinates!$B$2:$B$197,MATCH(I306,[2]Coordinates!$J$2:$J$197,0))</f>
        <v>-3.2957100119999998</v>
      </c>
      <c r="AM306" s="260">
        <f>INDEX([2]Coordinates!$C$2:$C$197,MATCH(I306,[2]Coordinates!$J$2:$J$197,0))</f>
        <v>34.852283970000002</v>
      </c>
      <c r="AN306" s="260" t="str">
        <f>IF(ISNUMBER(SEARCH("C", 'Dry_Litterbag Placem_Collection'!T87)),"YES","NO")</f>
        <v>NO</v>
      </c>
      <c r="AO306" s="260" t="str">
        <f>IF(ISNUMBER(SEARCH("H", 'Dry_Litterbag Placem_Collection'!T87)),"YES","NO")</f>
        <v>NO</v>
      </c>
      <c r="AP306" s="260" t="str">
        <f>IF(ISNUMBER(SEARCH("R", 'Dry_Litterbag Placem_Collection'!T87)),"YES","NO")</f>
        <v>NO</v>
      </c>
    </row>
    <row r="307" spans="1:42" ht="15" customHeight="1">
      <c r="A307" t="s">
        <v>3248</v>
      </c>
      <c r="B307" s="252" t="s">
        <v>2643</v>
      </c>
      <c r="C307" s="253">
        <f>'Dry_Litterbag Placem_Collection'!A88</f>
        <v>86</v>
      </c>
      <c r="D307" s="253" t="str">
        <f>'Dry_Litterbag Placem_Collection'!B88</f>
        <v>Maswa</v>
      </c>
      <c r="E307" s="253" t="s">
        <v>2643</v>
      </c>
      <c r="F307" s="253" t="s">
        <v>2645</v>
      </c>
      <c r="G307" s="253">
        <v>3</v>
      </c>
      <c r="H307" s="253" t="s">
        <v>3114</v>
      </c>
      <c r="I307" s="254" t="str">
        <f>'Dry_Litterbag Placem_Collection'!C88</f>
        <v>Dry_W3_T6</v>
      </c>
      <c r="J307" s="255" t="s">
        <v>2525</v>
      </c>
      <c r="K307" s="262" t="s">
        <v>298</v>
      </c>
      <c r="L307" s="253" t="str">
        <f>IF(ISBLANK('Dry_Litterbag Placem_Collection'!K88),"","R"&amp;""&amp;'Dry_Litterbag Placem_Collection'!K88)</f>
        <v>R738</v>
      </c>
      <c r="M307" s="257">
        <f>IFERROR(INDEX('Green_rooibos initial weight'!$C$5:$C$2000,MATCH(L307, 'Green_rooibos initial weight'!$A$5:$A$2000,0)),"")</f>
        <v>2.1890000000000001</v>
      </c>
      <c r="N307" s="257">
        <f>IFERROR(M307-(TBIcalc!$Q$9+TBIcalc!$Q$10),"")</f>
        <v>1.9392</v>
      </c>
      <c r="O307" s="378">
        <f>AVERAGE(Ashed_controlls!$K$12:$K$14)</f>
        <v>2.2816647271287041</v>
      </c>
      <c r="P307" s="257">
        <f t="shared" si="21"/>
        <v>1.8949539576115202</v>
      </c>
      <c r="Q307" s="257" t="str">
        <f>IFERROR(INDEX('Both teabags AfterDry'!$D$2:$D$2000,MATCH(L307,'Both teabags AfterDry'!$A$2:$A$2000,0)),"")</f>
        <v/>
      </c>
      <c r="R307" s="257" t="str">
        <f>IFERROR(IF(Q307&gt;0,Q307-(TBIcalc!$Q$9),""),"")</f>
        <v/>
      </c>
      <c r="S307" s="268" t="str">
        <f>IFERROR(INDEX('Ashed teabags dry'!$K$2:$K$2000,MATCH(L307,'Ashed teabags dry'!$A$2:$A$2000,0)),"")</f>
        <v/>
      </c>
      <c r="T307" s="268" t="str">
        <f t="shared" si="22"/>
        <v/>
      </c>
      <c r="U307" s="258">
        <f>IF('Dry_Litterbag Placem_Collection'!E88="","",'Dry_Litterbag Placem_Collection'!E88)</f>
        <v>42937</v>
      </c>
      <c r="V307" s="258">
        <f>IF('Dry_Litterbag Placem_Collection'!G88="","",'Dry_Litterbag Placem_Collection'!G88)</f>
        <v>43006</v>
      </c>
      <c r="W307" s="259">
        <f t="shared" si="20"/>
        <v>69</v>
      </c>
      <c r="X307" s="257" t="str">
        <f t="shared" si="23"/>
        <v/>
      </c>
      <c r="Y307" s="257" t="str">
        <f t="shared" si="24"/>
        <v/>
      </c>
      <c r="Z307" s="261">
        <f>IFERROR(INDEX([3]Rainfall_Dry!$O$2:$O$217,MATCH(C307, [3]Rainfall_Dry!$A$2:$A$217,0)),"")</f>
        <v>12.563016860999999</v>
      </c>
      <c r="AA307" s="250">
        <v>38.691629007962128</v>
      </c>
      <c r="AB307" s="250">
        <v>26.81299763288143</v>
      </c>
      <c r="AC307" s="250">
        <v>34.495373359156439</v>
      </c>
      <c r="AD307" s="251" t="s">
        <v>2656</v>
      </c>
      <c r="AE307" s="250">
        <v>7.5483587974371602</v>
      </c>
      <c r="AF307">
        <f>IF('WetLitterbags placem_collection'!AB88="","",'WetLitterbags placem_collection'!AB88)</f>
        <v>3.7</v>
      </c>
      <c r="AG307">
        <f>IF('WetLitterbags placem_collection'!Z88="","",'WetLitterbags placem_collection'!Z88)</f>
        <v>7.5</v>
      </c>
      <c r="AH307" s="236" t="str">
        <f>IF('WetLitterbags placem_collection'!AA88="","",'WetLitterbags placem_collection'!AA88)</f>
        <v>O</v>
      </c>
      <c r="AI307">
        <f>IF('WetLitterbags placem_collection'!AC88="","",'WetLitterbags placem_collection'!AC88)</f>
        <v>0</v>
      </c>
      <c r="AJ307">
        <f>IFERROR(AVERAGE('Dry_Litterbag Placem_Collection'!O88,'Dry_Litterbag Placem_Collection'!R88),"")</f>
        <v>11.75</v>
      </c>
      <c r="AK307" s="261">
        <f>IFERROR(AVERAGE('Dry_Litterbag Placem_Collection'!N88,'Dry_Litterbag Placem_Collection'!Q88),"")</f>
        <v>26.9</v>
      </c>
      <c r="AL307" s="260">
        <f>INDEX([2]Coordinates!$B$2:$B$197,MATCH(I307,[2]Coordinates!$J$2:$J$197,0))</f>
        <v>-3.2956140399999998</v>
      </c>
      <c r="AM307" s="260">
        <f>INDEX([2]Coordinates!$C$2:$C$197,MATCH(I307,[2]Coordinates!$J$2:$J$197,0))</f>
        <v>34.852137030000002</v>
      </c>
      <c r="AN307" s="260" t="str">
        <f>IF(ISNUMBER(SEARCH("C", 'Dry_Litterbag Placem_Collection'!T88)),"YES","NO")</f>
        <v>NO</v>
      </c>
      <c r="AO307" s="260" t="str">
        <f>IF(ISNUMBER(SEARCH("H", 'Dry_Litterbag Placem_Collection'!T88)),"YES","NO")</f>
        <v>NO</v>
      </c>
      <c r="AP307" s="260" t="str">
        <f>IF(ISNUMBER(SEARCH("R", 'Dry_Litterbag Placem_Collection'!T88)),"YES","NO")</f>
        <v>NO</v>
      </c>
    </row>
    <row r="308" spans="1:42" ht="15" customHeight="1">
      <c r="A308" t="s">
        <v>3248</v>
      </c>
      <c r="B308" s="252" t="s">
        <v>2643</v>
      </c>
      <c r="C308" s="253">
        <f>'Dry_Litterbag Placem_Collection'!A89</f>
        <v>87</v>
      </c>
      <c r="D308" s="253" t="str">
        <f>'Dry_Litterbag Placem_Collection'!B89</f>
        <v>Maswa</v>
      </c>
      <c r="E308" s="253" t="s">
        <v>2643</v>
      </c>
      <c r="F308" s="253" t="s">
        <v>2645</v>
      </c>
      <c r="G308" s="253">
        <v>3</v>
      </c>
      <c r="H308" s="253" t="s">
        <v>3114</v>
      </c>
      <c r="I308" s="254" t="str">
        <f>'Dry_Litterbag Placem_Collection'!C89</f>
        <v>Dry_W3_T7</v>
      </c>
      <c r="J308" s="255" t="s">
        <v>2525</v>
      </c>
      <c r="K308" s="262" t="s">
        <v>298</v>
      </c>
      <c r="L308" s="253" t="str">
        <f>IF(ISBLANK('Dry_Litterbag Placem_Collection'!K89),"","R"&amp;""&amp;'Dry_Litterbag Placem_Collection'!K89)</f>
        <v>R394</v>
      </c>
      <c r="M308" s="257">
        <f>IFERROR(INDEX('Green_rooibos initial weight'!$C$5:$C$2000,MATCH(L308, 'Green_rooibos initial weight'!$A$5:$A$2000,0)),"")</f>
        <v>2.1800000000000002</v>
      </c>
      <c r="N308" s="257">
        <f>IFERROR(M308-(TBIcalc!$Q$9+TBIcalc!$Q$10),"")</f>
        <v>1.9302000000000001</v>
      </c>
      <c r="O308" s="378">
        <f>AVERAGE(Ashed_controlls!$K$12:$K$14)</f>
        <v>2.2816647271287041</v>
      </c>
      <c r="P308" s="257">
        <f t="shared" si="21"/>
        <v>1.8861593074369618</v>
      </c>
      <c r="Q308" s="257">
        <f>IFERROR(INDEX('Both teabags AfterDry'!$D$2:$D$2000,MATCH(L308,'Both teabags AfterDry'!$A$2:$A$2000,0)),"")</f>
        <v>1.9392</v>
      </c>
      <c r="R308" s="257">
        <f>IFERROR(IF(Q308&gt;0,Q308-(TBIcalc!$Q$9),""),"")</f>
        <v>1.7886</v>
      </c>
      <c r="S308" s="268">
        <f>IFERROR(INDEX('Ashed teabags dry'!$K$2:$K$2000,MATCH(L308,'Ashed teabags dry'!$A$2:$A$2000,0)),"")</f>
        <v>3.1437125748499946</v>
      </c>
      <c r="T308" s="268">
        <f t="shared" si="22"/>
        <v>1.732371556886233</v>
      </c>
      <c r="U308" s="258">
        <f>IF('Dry_Litterbag Placem_Collection'!E89="","",'Dry_Litterbag Placem_Collection'!E89)</f>
        <v>42937</v>
      </c>
      <c r="V308" s="258">
        <f>IF('Dry_Litterbag Placem_Collection'!G89="","",'Dry_Litterbag Placem_Collection'!G89)</f>
        <v>43006</v>
      </c>
      <c r="W308" s="259">
        <f t="shared" si="20"/>
        <v>69</v>
      </c>
      <c r="X308" s="257">
        <f t="shared" si="23"/>
        <v>0.14160000000000017</v>
      </c>
      <c r="Y308" s="257">
        <f t="shared" si="24"/>
        <v>0.1537877505507288</v>
      </c>
      <c r="Z308" s="261">
        <f>IFERROR(INDEX([3]Rainfall_Dry!$O$2:$O$217,MATCH(C308, [3]Rainfall_Dry!$A$2:$A$217,0)),"")</f>
        <v>12.563016860999999</v>
      </c>
      <c r="AA308" s="250">
        <v>38.691629007962128</v>
      </c>
      <c r="AB308" s="250">
        <v>26.81299763288143</v>
      </c>
      <c r="AC308" s="250">
        <v>34.495373359156439</v>
      </c>
      <c r="AD308" s="251" t="s">
        <v>2656</v>
      </c>
      <c r="AE308" s="250">
        <v>8.5483587974371602</v>
      </c>
      <c r="AF308">
        <f>IF('WetLitterbags placem_collection'!AB89="","",'WetLitterbags placem_collection'!AB89)</f>
        <v>7.5</v>
      </c>
      <c r="AG308">
        <f>IF('WetLitterbags placem_collection'!Z89="","",'WetLitterbags placem_collection'!Z89)</f>
        <v>12.6</v>
      </c>
      <c r="AH308" s="236" t="str">
        <f>IF('WetLitterbags placem_collection'!AA89="","",'WetLitterbags placem_collection'!AA89)</f>
        <v>O</v>
      </c>
      <c r="AI308">
        <f>IF('WetLitterbags placem_collection'!AC89="","",'WetLitterbags placem_collection'!AC89)</f>
        <v>1</v>
      </c>
      <c r="AJ308">
        <f>IFERROR(AVERAGE('Dry_Litterbag Placem_Collection'!O89,'Dry_Litterbag Placem_Collection'!R89),"")</f>
        <v>10.65</v>
      </c>
      <c r="AK308" s="261">
        <f>IFERROR(AVERAGE('Dry_Litterbag Placem_Collection'!N89,'Dry_Litterbag Placem_Collection'!Q89),"")</f>
        <v>24.3</v>
      </c>
      <c r="AL308" s="260">
        <f>INDEX([2]Coordinates!$B$2:$B$197,MATCH(I308,[2]Coordinates!$J$2:$J$197,0))</f>
        <v>-3.295904975</v>
      </c>
      <c r="AM308" s="260">
        <f>INDEX([2]Coordinates!$C$2:$C$197,MATCH(I308,[2]Coordinates!$J$2:$J$197,0))</f>
        <v>34.852136029999997</v>
      </c>
      <c r="AN308" s="260" t="str">
        <f>IF(ISNUMBER(SEARCH("C", 'Dry_Litterbag Placem_Collection'!T89)),"YES","NO")</f>
        <v>NO</v>
      </c>
      <c r="AO308" s="260" t="str">
        <f>IF(ISNUMBER(SEARCH("H", 'Dry_Litterbag Placem_Collection'!T89)),"YES","NO")</f>
        <v>NO</v>
      </c>
      <c r="AP308" s="260" t="str">
        <f>IF(ISNUMBER(SEARCH("R", 'Dry_Litterbag Placem_Collection'!T89)),"YES","NO")</f>
        <v>NO</v>
      </c>
    </row>
    <row r="309" spans="1:42" ht="15" customHeight="1">
      <c r="A309" t="s">
        <v>3248</v>
      </c>
      <c r="B309" s="252" t="s">
        <v>2643</v>
      </c>
      <c r="C309" s="253">
        <f>'Dry_Litterbag Placem_Collection'!A90</f>
        <v>88</v>
      </c>
      <c r="D309" s="253" t="str">
        <f>'Dry_Litterbag Placem_Collection'!B90</f>
        <v>Maswa</v>
      </c>
      <c r="E309" s="253" t="s">
        <v>2643</v>
      </c>
      <c r="F309" s="253" t="s">
        <v>2645</v>
      </c>
      <c r="G309" s="253">
        <v>3</v>
      </c>
      <c r="H309" s="253" t="s">
        <v>3114</v>
      </c>
      <c r="I309" s="254" t="str">
        <f>'Dry_Litterbag Placem_Collection'!C90</f>
        <v>Dry_W3_T8</v>
      </c>
      <c r="J309" s="255" t="s">
        <v>2525</v>
      </c>
      <c r="K309" s="262" t="s">
        <v>298</v>
      </c>
      <c r="L309" s="253" t="str">
        <f>IF(ISBLANK('Dry_Litterbag Placem_Collection'!K90),"","R"&amp;""&amp;'Dry_Litterbag Placem_Collection'!K90)</f>
        <v>R810</v>
      </c>
      <c r="M309" s="257">
        <f>IFERROR(INDEX('Green_rooibos initial weight'!$C$5:$C$2000,MATCH(L309, 'Green_rooibos initial weight'!$A$5:$A$2000,0)),"")</f>
        <v>2.2109999999999999</v>
      </c>
      <c r="N309" s="257">
        <f>IFERROR(M309-(TBIcalc!$Q$9+TBIcalc!$Q$10),"")</f>
        <v>1.9611999999999998</v>
      </c>
      <c r="O309" s="378">
        <f>AVERAGE(Ashed_controlls!$K$12:$K$14)</f>
        <v>2.2816647271287041</v>
      </c>
      <c r="P309" s="257">
        <f t="shared" si="21"/>
        <v>1.9164519913715516</v>
      </c>
      <c r="Q309" s="257">
        <f>IFERROR(INDEX('Both teabags AfterDry'!$D$2:$D$2000,MATCH(L309,'Both teabags AfterDry'!$A$2:$A$2000,0)),"")</f>
        <v>1.9188000000000001</v>
      </c>
      <c r="R309" s="257">
        <f>IFERROR(IF(Q309&gt;0,Q309-(TBIcalc!$Q$9),""),"")</f>
        <v>1.7682</v>
      </c>
      <c r="S309" s="268">
        <f>IFERROR(INDEX('Ashed teabags dry'!$K$2:$K$2000,MATCH(L309,'Ashed teabags dry'!$A$2:$A$2000,0)),"")</f>
        <v>2.6202953787519343</v>
      </c>
      <c r="T309" s="268">
        <f t="shared" si="22"/>
        <v>1.7218679371129082</v>
      </c>
      <c r="U309" s="258">
        <f>IF('Dry_Litterbag Placem_Collection'!E90="","",'Dry_Litterbag Placem_Collection'!E90)</f>
        <v>42937</v>
      </c>
      <c r="V309" s="258">
        <f>IF('Dry_Litterbag Placem_Collection'!G90="","",'Dry_Litterbag Placem_Collection'!G90)</f>
        <v>43006</v>
      </c>
      <c r="W309" s="259">
        <f t="shared" si="20"/>
        <v>69</v>
      </c>
      <c r="X309" s="257">
        <f t="shared" si="23"/>
        <v>0.19299999999999984</v>
      </c>
      <c r="Y309" s="257">
        <f t="shared" si="24"/>
        <v>0.19458405425864345</v>
      </c>
      <c r="Z309" s="261">
        <f>IFERROR(INDEX([3]Rainfall_Dry!$O$2:$O$217,MATCH(C309, [3]Rainfall_Dry!$A$2:$A$217,0)),"")</f>
        <v>12.563016860999999</v>
      </c>
      <c r="AA309" s="250">
        <v>38.691629007962128</v>
      </c>
      <c r="AB309" s="250">
        <v>26.81299763288143</v>
      </c>
      <c r="AC309" s="250">
        <v>34.495373359156439</v>
      </c>
      <c r="AD309" s="251" t="s">
        <v>2656</v>
      </c>
      <c r="AE309" s="250">
        <v>9.5483587974371602</v>
      </c>
      <c r="AF309" t="str">
        <f>IF('WetLitterbags placem_collection'!AB90="","",'WetLitterbags placem_collection'!AB90)</f>
        <v/>
      </c>
      <c r="AG309" t="str">
        <f>IF('WetLitterbags placem_collection'!Z90="","",'WetLitterbags placem_collection'!Z90)</f>
        <v/>
      </c>
      <c r="AH309" s="236" t="str">
        <f>IF('WetLitterbags placem_collection'!AA90="","",'WetLitterbags placem_collection'!AA90)</f>
        <v/>
      </c>
      <c r="AI309" t="str">
        <f>IF('WetLitterbags placem_collection'!AC90="","",'WetLitterbags placem_collection'!AC90)</f>
        <v/>
      </c>
      <c r="AJ309">
        <f>IFERROR(AVERAGE('Dry_Litterbag Placem_Collection'!O90,'Dry_Litterbag Placem_Collection'!R90),"")</f>
        <v>11.7</v>
      </c>
      <c r="AK309" s="261">
        <f>IFERROR(AVERAGE('Dry_Litterbag Placem_Collection'!N90,'Dry_Litterbag Placem_Collection'!Q90),"")</f>
        <v>26.049999999999997</v>
      </c>
      <c r="AL309" s="260">
        <f>INDEX([2]Coordinates!$B$2:$B$197,MATCH(I309,[2]Coordinates!$J$2:$J$197,0))</f>
        <v>-3.2959530039999998</v>
      </c>
      <c r="AM309" s="260">
        <f>INDEX([2]Coordinates!$C$2:$C$197,MATCH(I309,[2]Coordinates!$J$2:$J$197,0))</f>
        <v>34.85242504</v>
      </c>
      <c r="AN309" s="260" t="str">
        <f>IF(ISNUMBER(SEARCH("C", 'Dry_Litterbag Placem_Collection'!T90)),"YES","NO")</f>
        <v>NO</v>
      </c>
      <c r="AO309" s="260" t="str">
        <f>IF(ISNUMBER(SEARCH("H", 'Dry_Litterbag Placem_Collection'!T90)),"YES","NO")</f>
        <v>NO</v>
      </c>
      <c r="AP309" s="260" t="str">
        <f>IF(ISNUMBER(SEARCH("R", 'Dry_Litterbag Placem_Collection'!T90)),"YES","NO")</f>
        <v>NO</v>
      </c>
    </row>
    <row r="310" spans="1:42" ht="15" customHeight="1">
      <c r="A310" t="s">
        <v>3248</v>
      </c>
      <c r="B310" s="252" t="s">
        <v>2643</v>
      </c>
      <c r="C310" s="253">
        <f>'Dry_Litterbag Placem_Collection'!A91</f>
        <v>89</v>
      </c>
      <c r="D310" s="253" t="str">
        <f>'Dry_Litterbag Placem_Collection'!B91</f>
        <v>Maswa</v>
      </c>
      <c r="E310" s="253" t="s">
        <v>2643</v>
      </c>
      <c r="F310" s="253" t="s">
        <v>2645</v>
      </c>
      <c r="G310" s="253">
        <v>4</v>
      </c>
      <c r="H310" s="253" t="s">
        <v>3115</v>
      </c>
      <c r="I310" s="254" t="str">
        <f>'Dry_Litterbag Placem_Collection'!C91</f>
        <v>Dry_W4_T1</v>
      </c>
      <c r="J310" s="255" t="s">
        <v>2525</v>
      </c>
      <c r="K310" s="262" t="s">
        <v>298</v>
      </c>
      <c r="L310" s="253" t="str">
        <f>IF(ISBLANK('Dry_Litterbag Placem_Collection'!K91),"","R"&amp;""&amp;'Dry_Litterbag Placem_Collection'!K91)</f>
        <v>R818</v>
      </c>
      <c r="M310" s="257">
        <f>IFERROR(INDEX('Green_rooibos initial weight'!$C$5:$C$2000,MATCH(L310, 'Green_rooibos initial weight'!$A$5:$A$2000,0)),"")</f>
        <v>2.1680000000000001</v>
      </c>
      <c r="N310" s="257">
        <f>IFERROR(M310-(TBIcalc!$Q$9+TBIcalc!$Q$10),"")</f>
        <v>1.9182000000000001</v>
      </c>
      <c r="O310" s="378">
        <f>AVERAGE(Ashed_controlls!$K$12:$K$14)</f>
        <v>2.2816647271287041</v>
      </c>
      <c r="P310" s="257">
        <f t="shared" si="21"/>
        <v>1.8744331072042173</v>
      </c>
      <c r="Q310" s="257">
        <f>IFERROR(INDEX('Both teabags AfterDry'!$D$2:$D$2000,MATCH(L310,'Both teabags AfterDry'!$A$2:$A$2000,0)),"")</f>
        <v>1.9155</v>
      </c>
      <c r="R310" s="257">
        <f>IFERROR(IF(Q310&gt;0,Q310-(TBIcalc!$Q$9),""),"")</f>
        <v>1.7648999999999999</v>
      </c>
      <c r="S310" s="268">
        <f>IFERROR(INDEX('Ashed teabags dry'!$K$2:$K$2000,MATCH(L310,'Ashed teabags dry'!$A$2:$A$2000,0)),"")</f>
        <v>2.8114396509937518</v>
      </c>
      <c r="T310" s="268">
        <f t="shared" si="22"/>
        <v>1.7152809015996111</v>
      </c>
      <c r="U310" s="258">
        <f>IF('Dry_Litterbag Placem_Collection'!E91="","",'Dry_Litterbag Placem_Collection'!E91)</f>
        <v>42937</v>
      </c>
      <c r="V310" s="258">
        <f>IF('Dry_Litterbag Placem_Collection'!G91="","",'Dry_Litterbag Placem_Collection'!G91)</f>
        <v>43006</v>
      </c>
      <c r="W310" s="259">
        <f t="shared" si="20"/>
        <v>69</v>
      </c>
      <c r="X310" s="257">
        <f t="shared" si="23"/>
        <v>0.15330000000000021</v>
      </c>
      <c r="Y310" s="257">
        <f t="shared" si="24"/>
        <v>0.15915220560460619</v>
      </c>
      <c r="Z310" s="261">
        <f>IFERROR(INDEX([3]Rainfall_Dry!$O$2:$O$217,MATCH(C310, [3]Rainfall_Dry!$A$2:$A$217,0)),"")</f>
        <v>12.563016860999999</v>
      </c>
      <c r="AA310" s="250">
        <v>28.145762029394</v>
      </c>
      <c r="AB310" s="250">
        <v>25.085564727199518</v>
      </c>
      <c r="AC310" s="250">
        <v>46.768673243406489</v>
      </c>
      <c r="AD310" s="251" t="s">
        <v>2651</v>
      </c>
      <c r="AE310" s="250">
        <v>2.1716214884179394</v>
      </c>
      <c r="AF310">
        <f>IF('WetLitterbags placem_collection'!AB91="","",'WetLitterbags placem_collection'!AB91)</f>
        <v>7.3</v>
      </c>
      <c r="AG310">
        <f>IF('WetLitterbags placem_collection'!Z91="","",'WetLitterbags placem_collection'!Z91)</f>
        <v>35.799999999999997</v>
      </c>
      <c r="AH310" s="236" t="str">
        <f>IF('WetLitterbags placem_collection'!AA91="","",'WetLitterbags placem_collection'!AA91)</f>
        <v>O</v>
      </c>
      <c r="AI310">
        <f>IF('WetLitterbags placem_collection'!AC91="","",'WetLitterbags placem_collection'!AC91)</f>
        <v>0</v>
      </c>
      <c r="AJ310">
        <f>IFERROR(AVERAGE('Dry_Litterbag Placem_Collection'!O91,'Dry_Litterbag Placem_Collection'!R91),"")</f>
        <v>10.5</v>
      </c>
      <c r="AK310" s="261">
        <f>IFERROR(AVERAGE('Dry_Litterbag Placem_Collection'!N91,'Dry_Litterbag Placem_Collection'!Q91),"")</f>
        <v>26.6</v>
      </c>
      <c r="AL310" s="260">
        <f>INDEX([2]Coordinates!$B$2:$B$197,MATCH(I310,[2]Coordinates!$J$2:$J$197,0))</f>
        <v>-3.2966709980000002</v>
      </c>
      <c r="AM310" s="260">
        <f>INDEX([2]Coordinates!$C$2:$C$197,MATCH(I310,[2]Coordinates!$J$2:$J$197,0))</f>
        <v>34.854407019999996</v>
      </c>
      <c r="AN310" s="260" t="str">
        <f>IF(ISNUMBER(SEARCH("C", 'Dry_Litterbag Placem_Collection'!T91)),"YES","NO")</f>
        <v>NO</v>
      </c>
      <c r="AO310" s="260" t="str">
        <f>IF(ISNUMBER(SEARCH("H", 'Dry_Litterbag Placem_Collection'!T91)),"YES","NO")</f>
        <v>NO</v>
      </c>
      <c r="AP310" s="260" t="str">
        <f>IF(ISNUMBER(SEARCH("R", 'Dry_Litterbag Placem_Collection'!T91)),"YES","NO")</f>
        <v>NO</v>
      </c>
    </row>
    <row r="311" spans="1:42" ht="15" customHeight="1">
      <c r="A311" t="s">
        <v>3248</v>
      </c>
      <c r="B311" s="252" t="s">
        <v>2643</v>
      </c>
      <c r="C311" s="253">
        <f>'Dry_Litterbag Placem_Collection'!A92</f>
        <v>90</v>
      </c>
      <c r="D311" s="253" t="str">
        <f>'Dry_Litterbag Placem_Collection'!B92</f>
        <v>Maswa</v>
      </c>
      <c r="E311" s="253" t="s">
        <v>2643</v>
      </c>
      <c r="F311" s="253" t="s">
        <v>2645</v>
      </c>
      <c r="G311" s="253">
        <v>4</v>
      </c>
      <c r="H311" s="253" t="s">
        <v>3115</v>
      </c>
      <c r="I311" s="254" t="str">
        <f>'Dry_Litterbag Placem_Collection'!C92</f>
        <v>Dry_W4_T2</v>
      </c>
      <c r="J311" s="255" t="s">
        <v>2525</v>
      </c>
      <c r="K311" s="262" t="s">
        <v>298</v>
      </c>
      <c r="L311" s="253" t="str">
        <f>IF(ISBLANK('Dry_Litterbag Placem_Collection'!K92),"","R"&amp;""&amp;'Dry_Litterbag Placem_Collection'!K92)</f>
        <v>R767</v>
      </c>
      <c r="M311" s="257">
        <f>IFERROR(INDEX('Green_rooibos initial weight'!$C$5:$C$2000,MATCH(L311, 'Green_rooibos initial weight'!$A$5:$A$2000,0)),"")</f>
        <v>2.1890000000000001</v>
      </c>
      <c r="N311" s="257">
        <f>IFERROR(M311-(TBIcalc!$Q$9+TBIcalc!$Q$10),"")</f>
        <v>1.9392</v>
      </c>
      <c r="O311" s="378">
        <f>AVERAGE(Ashed_controlls!$K$12:$K$14)</f>
        <v>2.2816647271287041</v>
      </c>
      <c r="P311" s="257">
        <f t="shared" si="21"/>
        <v>1.8949539576115202</v>
      </c>
      <c r="Q311" s="257" t="str">
        <f>IFERROR(INDEX('Both teabags AfterDry'!$D$2:$D$2000,MATCH(L311,'Both teabags AfterDry'!$A$2:$A$2000,0)),"")</f>
        <v/>
      </c>
      <c r="R311" s="257" t="str">
        <f>IFERROR(IF(Q311&gt;0,Q311-(TBIcalc!$Q$9),""),"")</f>
        <v/>
      </c>
      <c r="S311" s="268" t="str">
        <f>IFERROR(INDEX('Ashed teabags dry'!$K$2:$K$2000,MATCH(L311,'Ashed teabags dry'!$A$2:$A$2000,0)),"")</f>
        <v/>
      </c>
      <c r="T311" s="268" t="str">
        <f t="shared" si="22"/>
        <v/>
      </c>
      <c r="U311" s="258">
        <f>IF('Dry_Litterbag Placem_Collection'!E92="","",'Dry_Litterbag Placem_Collection'!E92)</f>
        <v>42937</v>
      </c>
      <c r="V311" s="258">
        <f>IF('Dry_Litterbag Placem_Collection'!G92="","",'Dry_Litterbag Placem_Collection'!G92)</f>
        <v>43006</v>
      </c>
      <c r="W311" s="259">
        <f t="shared" si="20"/>
        <v>69</v>
      </c>
      <c r="X311" s="257" t="str">
        <f t="shared" si="23"/>
        <v/>
      </c>
      <c r="Y311" s="257" t="str">
        <f t="shared" si="24"/>
        <v/>
      </c>
      <c r="Z311" s="261">
        <f>IFERROR(INDEX([3]Rainfall_Dry!$O$2:$O$217,MATCH(C311, [3]Rainfall_Dry!$A$2:$A$217,0)),"")</f>
        <v>12.563016860999999</v>
      </c>
      <c r="AA311" s="250">
        <v>28.145762029394</v>
      </c>
      <c r="AB311" s="250">
        <v>25.085564727199518</v>
      </c>
      <c r="AC311" s="250">
        <v>46.768673243406489</v>
      </c>
      <c r="AD311" s="251" t="s">
        <v>2651</v>
      </c>
      <c r="AE311" s="250">
        <v>3.1716214884179399</v>
      </c>
      <c r="AF311">
        <f>IF('WetLitterbags placem_collection'!AB92="","",'WetLitterbags placem_collection'!AB92)</f>
        <v>7.7</v>
      </c>
      <c r="AG311">
        <f>IF('WetLitterbags placem_collection'!Z92="","",'WetLitterbags placem_collection'!Z92)</f>
        <v>30.4</v>
      </c>
      <c r="AH311" s="236" t="str">
        <f>IF('WetLitterbags placem_collection'!AA92="","",'WetLitterbags placem_collection'!AA92)</f>
        <v>O</v>
      </c>
      <c r="AI311">
        <f>IF('WetLitterbags placem_collection'!AC92="","",'WetLitterbags placem_collection'!AC92)</f>
        <v>0</v>
      </c>
      <c r="AJ311">
        <f>IFERROR(AVERAGE('Dry_Litterbag Placem_Collection'!O92,'Dry_Litterbag Placem_Collection'!R92),"")</f>
        <v>9.85</v>
      </c>
      <c r="AK311" s="261">
        <f>IFERROR(AVERAGE('Dry_Litterbag Placem_Collection'!N92,'Dry_Litterbag Placem_Collection'!Q92),"")</f>
        <v>26.45</v>
      </c>
      <c r="AL311" s="260">
        <f>INDEX([2]Coordinates!$B$2:$B$197,MATCH(I311,[2]Coordinates!$J$2:$J$197,0))</f>
        <v>-3.2966860009999999</v>
      </c>
      <c r="AM311" s="260">
        <f>INDEX([2]Coordinates!$C$2:$C$197,MATCH(I311,[2]Coordinates!$J$2:$J$197,0))</f>
        <v>34.854371989999997</v>
      </c>
      <c r="AN311" s="260" t="str">
        <f>IF(ISNUMBER(SEARCH("C", 'Dry_Litterbag Placem_Collection'!T92)),"YES","NO")</f>
        <v>NO</v>
      </c>
      <c r="AO311" s="260" t="str">
        <f>IF(ISNUMBER(SEARCH("H", 'Dry_Litterbag Placem_Collection'!T92)),"YES","NO")</f>
        <v>NO</v>
      </c>
      <c r="AP311" s="260" t="str">
        <f>IF(ISNUMBER(SEARCH("R", 'Dry_Litterbag Placem_Collection'!T92)),"YES","NO")</f>
        <v>NO</v>
      </c>
    </row>
    <row r="312" spans="1:42" ht="15" customHeight="1">
      <c r="A312" t="s">
        <v>3248</v>
      </c>
      <c r="B312" s="252" t="s">
        <v>2643</v>
      </c>
      <c r="C312" s="253">
        <f>'Dry_Litterbag Placem_Collection'!A93</f>
        <v>91</v>
      </c>
      <c r="D312" s="253" t="str">
        <f>'Dry_Litterbag Placem_Collection'!B93</f>
        <v>Maswa</v>
      </c>
      <c r="E312" s="253" t="s">
        <v>2643</v>
      </c>
      <c r="F312" s="253" t="s">
        <v>2645</v>
      </c>
      <c r="G312" s="253">
        <v>4</v>
      </c>
      <c r="H312" s="253" t="s">
        <v>3115</v>
      </c>
      <c r="I312" s="254" t="str">
        <f>'Dry_Litterbag Placem_Collection'!C93</f>
        <v>Dry_W4_T3</v>
      </c>
      <c r="J312" s="255" t="s">
        <v>2525</v>
      </c>
      <c r="K312" s="262" t="s">
        <v>298</v>
      </c>
      <c r="L312" s="253" t="str">
        <f>IF(ISBLANK('Dry_Litterbag Placem_Collection'!K93),"","R"&amp;""&amp;'Dry_Litterbag Placem_Collection'!K93)</f>
        <v>R787</v>
      </c>
      <c r="M312" s="257">
        <f>IFERROR(INDEX('Green_rooibos initial weight'!$C$5:$C$2000,MATCH(L312, 'Green_rooibos initial weight'!$A$5:$A$2000,0)),"")</f>
        <v>2.1579999999999999</v>
      </c>
      <c r="N312" s="257">
        <f>IFERROR(M312-(TBIcalc!$Q$9+TBIcalc!$Q$10),"")</f>
        <v>1.9081999999999999</v>
      </c>
      <c r="O312" s="378">
        <f>AVERAGE(Ashed_controlls!$K$12:$K$14)</f>
        <v>2.2816647271287041</v>
      </c>
      <c r="P312" s="257">
        <f t="shared" si="21"/>
        <v>1.8646612736769299</v>
      </c>
      <c r="Q312" s="257">
        <f>IFERROR(INDEX('Both teabags AfterDry'!$D$2:$D$2000,MATCH(L312,'Both teabags AfterDry'!$A$2:$A$2000,0)),"")</f>
        <v>1.8551</v>
      </c>
      <c r="R312" s="257">
        <f>IFERROR(IF(Q312&gt;0,Q312-(TBIcalc!$Q$9),""),"")</f>
        <v>1.7044999999999999</v>
      </c>
      <c r="S312" s="268">
        <f>IFERROR(INDEX('Ashed teabags dry'!$K$2:$K$2000,MATCH(L312,'Ashed teabags dry'!$A$2:$A$2000,0)),"")</f>
        <v>3.5746606334838318</v>
      </c>
      <c r="T312" s="268">
        <f t="shared" si="22"/>
        <v>1.643569909502268</v>
      </c>
      <c r="U312" s="258">
        <f>IF('Dry_Litterbag Placem_Collection'!E93="","",'Dry_Litterbag Placem_Collection'!E93)</f>
        <v>42937</v>
      </c>
      <c r="V312" s="258">
        <f>IF('Dry_Litterbag Placem_Collection'!G93="","",'Dry_Litterbag Placem_Collection'!G93)</f>
        <v>43006</v>
      </c>
      <c r="W312" s="259">
        <f t="shared" si="20"/>
        <v>69</v>
      </c>
      <c r="X312" s="257">
        <f t="shared" si="23"/>
        <v>0.20369999999999999</v>
      </c>
      <c r="Y312" s="257">
        <f t="shared" si="24"/>
        <v>0.22109136417466191</v>
      </c>
      <c r="Z312" s="261">
        <f>IFERROR(INDEX([3]Rainfall_Dry!$O$2:$O$217,MATCH(C312, [3]Rainfall_Dry!$A$2:$A$217,0)),"")</f>
        <v>12.563016860999999</v>
      </c>
      <c r="AA312" s="250">
        <v>28.145762029394</v>
      </c>
      <c r="AB312" s="250">
        <v>25.085564727199518</v>
      </c>
      <c r="AC312" s="250">
        <v>46.768673243406489</v>
      </c>
      <c r="AD312" s="251" t="s">
        <v>2651</v>
      </c>
      <c r="AE312" s="250">
        <v>4.1716214884179399</v>
      </c>
      <c r="AF312">
        <f>IF('WetLitterbags placem_collection'!AB93="","",'WetLitterbags placem_collection'!AB93)</f>
        <v>6.1</v>
      </c>
      <c r="AG312">
        <f>IF('WetLitterbags placem_collection'!Z93="","",'WetLitterbags placem_collection'!Z93)</f>
        <v>39.4</v>
      </c>
      <c r="AH312" s="236" t="str">
        <f>IF('WetLitterbags placem_collection'!AA93="","",'WetLitterbags placem_collection'!AA93)</f>
        <v>O</v>
      </c>
      <c r="AI312">
        <f>IF('WetLitterbags placem_collection'!AC93="","",'WetLitterbags placem_collection'!AC93)</f>
        <v>1</v>
      </c>
      <c r="AJ312">
        <f>IFERROR(AVERAGE('Dry_Litterbag Placem_Collection'!O93,'Dry_Litterbag Placem_Collection'!R93),"")</f>
        <v>10.95</v>
      </c>
      <c r="AK312" s="261">
        <f>IFERROR(AVERAGE('Dry_Litterbag Placem_Collection'!N93,'Dry_Litterbag Placem_Collection'!Q93),"")</f>
        <v>25.95</v>
      </c>
      <c r="AL312" s="260">
        <f>INDEX([2]Coordinates!$B$2:$B$197,MATCH(I312,[2]Coordinates!$J$2:$J$197,0))</f>
        <v>-3.2966180239999998</v>
      </c>
      <c r="AM312" s="260">
        <f>INDEX([2]Coordinates!$C$2:$C$197,MATCH(I312,[2]Coordinates!$J$2:$J$197,0))</f>
        <v>34.854464020000002</v>
      </c>
      <c r="AN312" s="260" t="str">
        <f>IF(ISNUMBER(SEARCH("C", 'Dry_Litterbag Placem_Collection'!T93)),"YES","NO")</f>
        <v>NO</v>
      </c>
      <c r="AO312" s="260" t="str">
        <f>IF(ISNUMBER(SEARCH("H", 'Dry_Litterbag Placem_Collection'!T93)),"YES","NO")</f>
        <v>NO</v>
      </c>
      <c r="AP312" s="260" t="str">
        <f>IF(ISNUMBER(SEARCH("R", 'Dry_Litterbag Placem_Collection'!T93)),"YES","NO")</f>
        <v>NO</v>
      </c>
    </row>
    <row r="313" spans="1:42" ht="15" customHeight="1">
      <c r="A313" t="s">
        <v>3248</v>
      </c>
      <c r="B313" s="252" t="s">
        <v>2643</v>
      </c>
      <c r="C313" s="253">
        <f>'Dry_Litterbag Placem_Collection'!A94</f>
        <v>92</v>
      </c>
      <c r="D313" s="253" t="str">
        <f>'Dry_Litterbag Placem_Collection'!B94</f>
        <v>Maswa</v>
      </c>
      <c r="E313" s="253" t="s">
        <v>2643</v>
      </c>
      <c r="F313" s="253" t="s">
        <v>2645</v>
      </c>
      <c r="G313" s="253">
        <v>4</v>
      </c>
      <c r="H313" s="253" t="s">
        <v>3115</v>
      </c>
      <c r="I313" s="254" t="str">
        <f>'Dry_Litterbag Placem_Collection'!C94</f>
        <v>Dry_W4_T4</v>
      </c>
      <c r="J313" s="255" t="s">
        <v>2525</v>
      </c>
      <c r="K313" s="262" t="s">
        <v>298</v>
      </c>
      <c r="L313" s="253" t="str">
        <f>IF(ISBLANK('Dry_Litterbag Placem_Collection'!K94),"","R"&amp;""&amp;'Dry_Litterbag Placem_Collection'!K94)</f>
        <v>R812</v>
      </c>
      <c r="M313" s="257">
        <f>IFERROR(INDEX('Green_rooibos initial weight'!$C$5:$C$2000,MATCH(L313, 'Green_rooibos initial weight'!$A$5:$A$2000,0)),"")</f>
        <v>2.1819999999999999</v>
      </c>
      <c r="N313" s="257">
        <f>IFERROR(M313-(TBIcalc!$Q$9+TBIcalc!$Q$10),"")</f>
        <v>1.9321999999999999</v>
      </c>
      <c r="O313" s="378">
        <f>AVERAGE(Ashed_controlls!$K$12:$K$14)</f>
        <v>2.2816647271287041</v>
      </c>
      <c r="P313" s="257">
        <f t="shared" si="21"/>
        <v>1.8881136741424192</v>
      </c>
      <c r="Q313" s="257">
        <f>IFERROR(INDEX('Both teabags AfterDry'!$D$2:$D$2000,MATCH(L313,'Both teabags AfterDry'!$A$2:$A$2000,0)),"")</f>
        <v>1.8855</v>
      </c>
      <c r="R313" s="257">
        <f>IFERROR(IF(Q313&gt;0,Q313-(TBIcalc!$Q$9),""),"")</f>
        <v>1.7348999999999999</v>
      </c>
      <c r="S313" s="268">
        <f>IFERROR(INDEX('Ashed teabags dry'!$K$2:$K$2000,MATCH(L313,'Ashed teabags dry'!$A$2:$A$2000,0)),"")</f>
        <v>1.8952618453866015</v>
      </c>
      <c r="T313" s="268">
        <f t="shared" si="22"/>
        <v>1.7020191022443878</v>
      </c>
      <c r="U313" s="258">
        <f>IF('Dry_Litterbag Placem_Collection'!E94="","",'Dry_Litterbag Placem_Collection'!E94)</f>
        <v>42937</v>
      </c>
      <c r="V313" s="258">
        <f>IF('Dry_Litterbag Placem_Collection'!G94="","",'Dry_Litterbag Placem_Collection'!G94)</f>
        <v>43006</v>
      </c>
      <c r="W313" s="259">
        <f t="shared" si="20"/>
        <v>69</v>
      </c>
      <c r="X313" s="257">
        <f t="shared" si="23"/>
        <v>0.19730000000000003</v>
      </c>
      <c r="Y313" s="257">
        <f t="shared" si="24"/>
        <v>0.18609457189803136</v>
      </c>
      <c r="Z313" s="261">
        <f>IFERROR(INDEX([3]Rainfall_Dry!$O$2:$O$217,MATCH(C313, [3]Rainfall_Dry!$A$2:$A$217,0)),"")</f>
        <v>12.563016860999999</v>
      </c>
      <c r="AA313" s="250">
        <v>28.145762029394</v>
      </c>
      <c r="AB313" s="250">
        <v>25.085564727199518</v>
      </c>
      <c r="AC313" s="250">
        <v>46.768673243406489</v>
      </c>
      <c r="AD313" s="251" t="s">
        <v>2651</v>
      </c>
      <c r="AE313" s="250">
        <v>5.1716214884179399</v>
      </c>
      <c r="AF313">
        <f>IF('WetLitterbags placem_collection'!AB94="","",'WetLitterbags placem_collection'!AB94)</f>
        <v>7.7</v>
      </c>
      <c r="AG313">
        <f>IF('WetLitterbags placem_collection'!Z94="","",'WetLitterbags placem_collection'!Z94)</f>
        <v>24.8</v>
      </c>
      <c r="AH313" s="236" t="str">
        <f>IF('WetLitterbags placem_collection'!AA94="","",'WetLitterbags placem_collection'!AA94)</f>
        <v>O</v>
      </c>
      <c r="AI313">
        <f>IF('WetLitterbags placem_collection'!AC94="","",'WetLitterbags placem_collection'!AC94)</f>
        <v>1</v>
      </c>
      <c r="AJ313">
        <f>IFERROR(AVERAGE('Dry_Litterbag Placem_Collection'!O94,'Dry_Litterbag Placem_Collection'!R94),"")</f>
        <v>10.25</v>
      </c>
      <c r="AK313" s="261">
        <f>IFERROR(AVERAGE('Dry_Litterbag Placem_Collection'!N94,'Dry_Litterbag Placem_Collection'!Q94),"")</f>
        <v>26</v>
      </c>
      <c r="AL313" s="260">
        <f>INDEX([2]Coordinates!$B$2:$B$197,MATCH(I313,[2]Coordinates!$J$2:$J$197,0))</f>
        <v>-3.2965539860000002</v>
      </c>
      <c r="AM313" s="260">
        <f>INDEX([2]Coordinates!$C$2:$C$197,MATCH(I313,[2]Coordinates!$J$2:$J$197,0))</f>
        <v>34.854455969999997</v>
      </c>
      <c r="AN313" s="260" t="str">
        <f>IF(ISNUMBER(SEARCH("C", 'Dry_Litterbag Placem_Collection'!T94)),"YES","NO")</f>
        <v>NO</v>
      </c>
      <c r="AO313" s="260" t="str">
        <f>IF(ISNUMBER(SEARCH("H", 'Dry_Litterbag Placem_Collection'!T94)),"YES","NO")</f>
        <v>NO</v>
      </c>
      <c r="AP313" s="260" t="str">
        <f>IF(ISNUMBER(SEARCH("R", 'Dry_Litterbag Placem_Collection'!T94)),"YES","NO")</f>
        <v>NO</v>
      </c>
    </row>
    <row r="314" spans="1:42" ht="15" customHeight="1">
      <c r="A314" t="s">
        <v>3248</v>
      </c>
      <c r="B314" s="252" t="s">
        <v>2643</v>
      </c>
      <c r="C314" s="253">
        <f>'Dry_Litterbag Placem_Collection'!A95</f>
        <v>93</v>
      </c>
      <c r="D314" s="253" t="str">
        <f>'Dry_Litterbag Placem_Collection'!B95</f>
        <v>Maswa</v>
      </c>
      <c r="E314" s="253" t="s">
        <v>2643</v>
      </c>
      <c r="F314" s="253" t="s">
        <v>2645</v>
      </c>
      <c r="G314" s="253">
        <v>4</v>
      </c>
      <c r="H314" s="253" t="s">
        <v>3115</v>
      </c>
      <c r="I314" s="254" t="str">
        <f>'Dry_Litterbag Placem_Collection'!C95</f>
        <v>Dry_W4_T5</v>
      </c>
      <c r="J314" s="255" t="s">
        <v>2525</v>
      </c>
      <c r="K314" s="262" t="s">
        <v>298</v>
      </c>
      <c r="L314" s="253" t="str">
        <f>IF(ISBLANK('Dry_Litterbag Placem_Collection'!K95),"","R"&amp;""&amp;'Dry_Litterbag Placem_Collection'!K95)</f>
        <v>R675</v>
      </c>
      <c r="M314" s="257">
        <f>IFERROR(INDEX('Green_rooibos initial weight'!$C$5:$C$2000,MATCH(L314, 'Green_rooibos initial weight'!$A$5:$A$2000,0)),"")</f>
        <v>2.2069999999999999</v>
      </c>
      <c r="N314" s="257">
        <f>IFERROR(M314-(TBIcalc!$Q$9+TBIcalc!$Q$10),"")</f>
        <v>1.9571999999999998</v>
      </c>
      <c r="O314" s="378">
        <f>AVERAGE(Ashed_controlls!$K$12:$K$14)</f>
        <v>2.2816647271287041</v>
      </c>
      <c r="P314" s="257">
        <f t="shared" si="21"/>
        <v>1.9125432579606367</v>
      </c>
      <c r="Q314" s="257">
        <f>IFERROR(INDEX('Both teabags AfterDry'!$D$2:$D$2000,MATCH(L314,'Both teabags AfterDry'!$A$2:$A$2000,0)),"")</f>
        <v>2.0310000000000001</v>
      </c>
      <c r="R314" s="257">
        <f>IFERROR(IF(Q314&gt;0,Q314-(TBIcalc!$Q$9),""),"")</f>
        <v>1.8804000000000001</v>
      </c>
      <c r="S314" s="268">
        <f>IFERROR(INDEX('Ashed teabags dry'!$K$2:$K$2000,MATCH(L314,'Ashed teabags dry'!$A$2:$A$2000,0)),"")</f>
        <v>3.8099506947561541</v>
      </c>
      <c r="T314" s="268">
        <f t="shared" si="22"/>
        <v>1.8087576871358053</v>
      </c>
      <c r="U314" s="258">
        <f>IF('Dry_Litterbag Placem_Collection'!E95="","",'Dry_Litterbag Placem_Collection'!E95)</f>
        <v>42937</v>
      </c>
      <c r="V314" s="258">
        <f>IF('Dry_Litterbag Placem_Collection'!G95="","",'Dry_Litterbag Placem_Collection'!G95)</f>
        <v>43006</v>
      </c>
      <c r="W314" s="259">
        <f t="shared" si="20"/>
        <v>69</v>
      </c>
      <c r="X314" s="257">
        <f t="shared" si="23"/>
        <v>7.6799999999999757E-2</v>
      </c>
      <c r="Y314" s="257">
        <f t="shared" si="24"/>
        <v>0.10378557082483142</v>
      </c>
      <c r="Z314" s="261">
        <f>IFERROR(INDEX([3]Rainfall_Dry!$O$2:$O$217,MATCH(C314, [3]Rainfall_Dry!$A$2:$A$217,0)),"")</f>
        <v>12.563016860999999</v>
      </c>
      <c r="AA314" s="250">
        <v>28.145762029394</v>
      </c>
      <c r="AB314" s="250">
        <v>25.085564727199518</v>
      </c>
      <c r="AC314" s="250">
        <v>46.768673243406489</v>
      </c>
      <c r="AD314" s="251" t="s">
        <v>2651</v>
      </c>
      <c r="AE314" s="250">
        <v>6.1716214884179399</v>
      </c>
      <c r="AF314">
        <f>IF('WetLitterbags placem_collection'!AB95="","",'WetLitterbags placem_collection'!AB95)</f>
        <v>6.6</v>
      </c>
      <c r="AG314">
        <f>IF('WetLitterbags placem_collection'!Z95="","",'WetLitterbags placem_collection'!Z95)</f>
        <v>40</v>
      </c>
      <c r="AH314" s="236" t="str">
        <f>IF('WetLitterbags placem_collection'!AA95="","",'WetLitterbags placem_collection'!AA95)</f>
        <v>O</v>
      </c>
      <c r="AI314">
        <f>IF('WetLitterbags placem_collection'!AC95="","",'WetLitterbags placem_collection'!AC95)</f>
        <v>1</v>
      </c>
      <c r="AJ314">
        <f>IFERROR(AVERAGE('Dry_Litterbag Placem_Collection'!O95,'Dry_Litterbag Placem_Collection'!R95),"")</f>
        <v>10.45</v>
      </c>
      <c r="AK314" s="261">
        <f>IFERROR(AVERAGE('Dry_Litterbag Placem_Collection'!N95,'Dry_Litterbag Placem_Collection'!Q95),"")</f>
        <v>26.4</v>
      </c>
      <c r="AL314" s="260">
        <f>INDEX([2]Coordinates!$B$2:$B$197,MATCH(I314,[2]Coordinates!$J$2:$J$197,0))</f>
        <v>-3.2964789680000002</v>
      </c>
      <c r="AM314" s="260">
        <f>INDEX([2]Coordinates!$C$2:$C$197,MATCH(I314,[2]Coordinates!$J$2:$J$197,0))</f>
        <v>34.854331000000002</v>
      </c>
      <c r="AN314" s="260" t="str">
        <f>IF(ISNUMBER(SEARCH("C", 'Dry_Litterbag Placem_Collection'!T95)),"YES","NO")</f>
        <v>NO</v>
      </c>
      <c r="AO314" s="260" t="str">
        <f>IF(ISNUMBER(SEARCH("H", 'Dry_Litterbag Placem_Collection'!T95)),"YES","NO")</f>
        <v>YES</v>
      </c>
      <c r="AP314" s="260" t="str">
        <f>IF(ISNUMBER(SEARCH("R", 'Dry_Litterbag Placem_Collection'!T95)),"YES","NO")</f>
        <v>NO</v>
      </c>
    </row>
    <row r="315" spans="1:42" ht="15" customHeight="1">
      <c r="A315" t="s">
        <v>3248</v>
      </c>
      <c r="B315" s="252" t="s">
        <v>2643</v>
      </c>
      <c r="C315" s="253">
        <f>'Dry_Litterbag Placem_Collection'!A96</f>
        <v>94</v>
      </c>
      <c r="D315" s="253" t="str">
        <f>'Dry_Litterbag Placem_Collection'!B96</f>
        <v>Maswa</v>
      </c>
      <c r="E315" s="253" t="s">
        <v>2643</v>
      </c>
      <c r="F315" s="253" t="s">
        <v>2645</v>
      </c>
      <c r="G315" s="253">
        <v>4</v>
      </c>
      <c r="H315" s="253" t="s">
        <v>3115</v>
      </c>
      <c r="I315" s="254" t="str">
        <f>'Dry_Litterbag Placem_Collection'!C96</f>
        <v>Dry_W4_T6</v>
      </c>
      <c r="J315" s="255" t="s">
        <v>2525</v>
      </c>
      <c r="K315" s="262" t="s">
        <v>298</v>
      </c>
      <c r="L315" s="253" t="str">
        <f>IF(ISBLANK('Dry_Litterbag Placem_Collection'!K96),"","R"&amp;""&amp;'Dry_Litterbag Placem_Collection'!K96)</f>
        <v/>
      </c>
      <c r="M315" s="257" t="str">
        <f>IFERROR(INDEX('Green_rooibos initial weight'!$C$5:$C$2000,MATCH(L315, 'Green_rooibos initial weight'!$A$5:$A$2000,0)),"")</f>
        <v/>
      </c>
      <c r="N315" s="257" t="str">
        <f>IFERROR(M315-(TBIcalc!$Q$9+TBIcalc!$Q$10),"")</f>
        <v/>
      </c>
      <c r="O315" s="378">
        <f>AVERAGE(Ashed_controlls!$K$12:$K$14)</f>
        <v>2.2816647271287041</v>
      </c>
      <c r="P315" s="257" t="str">
        <f t="shared" si="21"/>
        <v/>
      </c>
      <c r="Q315" s="257" t="str">
        <f>IFERROR(INDEX('Both teabags AfterDry'!$D$2:$D$2000,MATCH(L315,'Both teabags AfterDry'!$A$2:$A$2000,0)),"")</f>
        <v/>
      </c>
      <c r="R315" s="257" t="str">
        <f>IFERROR(IF(Q315&gt;0,Q315-(TBIcalc!$Q$9),""),"")</f>
        <v/>
      </c>
      <c r="S315" s="268" t="str">
        <f>IFERROR(INDEX('Ashed teabags dry'!$K$2:$K$2000,MATCH(L315,'Ashed teabags dry'!$A$2:$A$2000,0)),"")</f>
        <v/>
      </c>
      <c r="T315" s="268" t="str">
        <f t="shared" si="22"/>
        <v/>
      </c>
      <c r="U315" s="258" t="str">
        <f>IF('Dry_Litterbag Placem_Collection'!E96="","",'Dry_Litterbag Placem_Collection'!E96)</f>
        <v/>
      </c>
      <c r="V315" s="258" t="str">
        <f>IF('Dry_Litterbag Placem_Collection'!G96="","",'Dry_Litterbag Placem_Collection'!G96)</f>
        <v/>
      </c>
      <c r="W315" s="259" t="str">
        <f t="shared" si="20"/>
        <v/>
      </c>
      <c r="X315" s="257" t="str">
        <f t="shared" si="23"/>
        <v/>
      </c>
      <c r="Y315" s="257" t="str">
        <f t="shared" si="24"/>
        <v/>
      </c>
      <c r="Z315" s="261" t="str">
        <f>IFERROR(INDEX([3]Rainfall_Dry!$O$2:$O$217,MATCH(C315, [3]Rainfall_Dry!$A$2:$A$217,0)),"")</f>
        <v/>
      </c>
      <c r="AA315" s="250">
        <v>28.145762029394</v>
      </c>
      <c r="AB315" s="250">
        <v>25.085564727199518</v>
      </c>
      <c r="AC315" s="250">
        <v>46.768673243406489</v>
      </c>
      <c r="AD315" s="251" t="s">
        <v>2651</v>
      </c>
      <c r="AE315" s="250">
        <v>7.1716214884179399</v>
      </c>
      <c r="AF315" t="str">
        <f>IF('WetLitterbags placem_collection'!AB96="","",'WetLitterbags placem_collection'!AB96)</f>
        <v/>
      </c>
      <c r="AG315" t="str">
        <f>IF('WetLitterbags placem_collection'!Z96="","",'WetLitterbags placem_collection'!Z96)</f>
        <v/>
      </c>
      <c r="AH315" s="236" t="str">
        <f>IF('WetLitterbags placem_collection'!AA96="","",'WetLitterbags placem_collection'!AA96)</f>
        <v/>
      </c>
      <c r="AI315" t="str">
        <f>IF('WetLitterbags placem_collection'!AC96="","",'WetLitterbags placem_collection'!AC96)</f>
        <v/>
      </c>
      <c r="AJ315" t="str">
        <f>IFERROR(AVERAGE('Dry_Litterbag Placem_Collection'!O96,'Dry_Litterbag Placem_Collection'!R96),"")</f>
        <v/>
      </c>
      <c r="AK315" s="261" t="str">
        <f>IFERROR(AVERAGE('Dry_Litterbag Placem_Collection'!N96,'Dry_Litterbag Placem_Collection'!Q96),"")</f>
        <v/>
      </c>
      <c r="AL315" s="260">
        <f>INDEX([2]Coordinates!$B$2:$B$197,MATCH(I315,[2]Coordinates!$J$2:$J$197,0))</f>
        <v>-3.2964649700000002</v>
      </c>
      <c r="AM315" s="260">
        <f>INDEX([2]Coordinates!$C$2:$C$197,MATCH(I315,[2]Coordinates!$J$2:$J$197,0))</f>
        <v>34.854340970000003</v>
      </c>
      <c r="AN315" s="260" t="str">
        <f>IF(ISNUMBER(SEARCH("C", 'Dry_Litterbag Placem_Collection'!T96)),"YES","NO")</f>
        <v>NO</v>
      </c>
      <c r="AO315" s="260" t="str">
        <f>IF(ISNUMBER(SEARCH("H", 'Dry_Litterbag Placem_Collection'!T96)),"YES","NO")</f>
        <v>NO</v>
      </c>
      <c r="AP315" s="260" t="str">
        <f>IF(ISNUMBER(SEARCH("R", 'Dry_Litterbag Placem_Collection'!T96)),"YES","NO")</f>
        <v>NO</v>
      </c>
    </row>
    <row r="316" spans="1:42" ht="15" customHeight="1">
      <c r="A316" t="s">
        <v>3248</v>
      </c>
      <c r="B316" s="252" t="s">
        <v>2643</v>
      </c>
      <c r="C316" s="253">
        <f>'Dry_Litterbag Placem_Collection'!A97</f>
        <v>95</v>
      </c>
      <c r="D316" s="253" t="str">
        <f>'Dry_Litterbag Placem_Collection'!B97</f>
        <v>Maswa</v>
      </c>
      <c r="E316" s="253" t="s">
        <v>2643</v>
      </c>
      <c r="F316" s="253" t="s">
        <v>2645</v>
      </c>
      <c r="G316" s="253">
        <v>4</v>
      </c>
      <c r="H316" s="253" t="s">
        <v>3115</v>
      </c>
      <c r="I316" s="254" t="str">
        <f>'Dry_Litterbag Placem_Collection'!C97</f>
        <v>Dry_W4_T7</v>
      </c>
      <c r="J316" s="255" t="s">
        <v>2525</v>
      </c>
      <c r="K316" s="262" t="s">
        <v>298</v>
      </c>
      <c r="L316" s="253" t="str">
        <f>IF(ISBLANK('Dry_Litterbag Placem_Collection'!K97),"","R"&amp;""&amp;'Dry_Litterbag Placem_Collection'!K97)</f>
        <v>R794</v>
      </c>
      <c r="M316" s="257">
        <f>IFERROR(INDEX('Green_rooibos initial weight'!$C$5:$C$2000,MATCH(L316, 'Green_rooibos initial weight'!$A$5:$A$2000,0)),"")</f>
        <v>2.2000000000000002</v>
      </c>
      <c r="N316" s="257">
        <f>IFERROR(M316-(TBIcalc!$Q$9+TBIcalc!$Q$10),"")</f>
        <v>1.9502000000000002</v>
      </c>
      <c r="O316" s="378">
        <f>AVERAGE(Ashed_controlls!$K$12:$K$14)</f>
        <v>2.2816647271287041</v>
      </c>
      <c r="P316" s="257">
        <f t="shared" si="21"/>
        <v>1.9057029744915361</v>
      </c>
      <c r="Q316" s="257">
        <f>IFERROR(INDEX('Both teabags AfterDry'!$D$2:$D$2000,MATCH(L316,'Both teabags AfterDry'!$A$2:$A$2000,0)),"")</f>
        <v>1.9469000000000001</v>
      </c>
      <c r="R316" s="257">
        <f>IFERROR(IF(Q316&gt;0,Q316-(TBIcalc!$Q$9),""),"")</f>
        <v>1.7963</v>
      </c>
      <c r="S316" s="268">
        <f>IFERROR(INDEX('Ashed teabags dry'!$K$2:$K$2000,MATCH(L316,'Ashed teabags dry'!$A$2:$A$2000,0)),"")</f>
        <v>2.6693030153240724</v>
      </c>
      <c r="T316" s="268">
        <f t="shared" si="22"/>
        <v>1.7483513099357337</v>
      </c>
      <c r="U316" s="258">
        <f>IF('Dry_Litterbag Placem_Collection'!E97="","",'Dry_Litterbag Placem_Collection'!E97)</f>
        <v>42937</v>
      </c>
      <c r="V316" s="258">
        <f>IF('Dry_Litterbag Placem_Collection'!G97="","",'Dry_Litterbag Placem_Collection'!G97)</f>
        <v>43006</v>
      </c>
      <c r="W316" s="259">
        <f t="shared" si="20"/>
        <v>69</v>
      </c>
      <c r="X316" s="257">
        <f t="shared" si="23"/>
        <v>0.15390000000000015</v>
      </c>
      <c r="Y316" s="257">
        <f t="shared" si="24"/>
        <v>0.15735166455580241</v>
      </c>
      <c r="Z316" s="261">
        <f>IFERROR(INDEX([3]Rainfall_Dry!$O$2:$O$217,MATCH(C316, [3]Rainfall_Dry!$A$2:$A$217,0)),"")</f>
        <v>12.563016860999999</v>
      </c>
      <c r="AA316" s="250">
        <v>28.145762029394</v>
      </c>
      <c r="AB316" s="250">
        <v>25.085564727199518</v>
      </c>
      <c r="AC316" s="250">
        <v>46.768673243406489</v>
      </c>
      <c r="AD316" s="251" t="s">
        <v>2651</v>
      </c>
      <c r="AE316" s="250">
        <v>8.1716214884179408</v>
      </c>
      <c r="AF316">
        <f>IF('WetLitterbags placem_collection'!AB97="","",'WetLitterbags placem_collection'!AB97)</f>
        <v>5.4</v>
      </c>
      <c r="AG316">
        <f>IF('WetLitterbags placem_collection'!Z97="","",'WetLitterbags placem_collection'!Z97)</f>
        <v>15.2</v>
      </c>
      <c r="AH316" s="236" t="str">
        <f>IF('WetLitterbags placem_collection'!AA97="","",'WetLitterbags placem_collection'!AA97)</f>
        <v>O</v>
      </c>
      <c r="AI316">
        <f>IF('WetLitterbags placem_collection'!AC97="","",'WetLitterbags placem_collection'!AC97)</f>
        <v>0</v>
      </c>
      <c r="AJ316">
        <f>IFERROR(AVERAGE('Dry_Litterbag Placem_Collection'!O97,'Dry_Litterbag Placem_Collection'!R97),"")</f>
        <v>8.75</v>
      </c>
      <c r="AK316" s="261">
        <f>IFERROR(AVERAGE('Dry_Litterbag Placem_Collection'!N97,'Dry_Litterbag Placem_Collection'!Q97),"")</f>
        <v>27.35</v>
      </c>
      <c r="AL316" s="260">
        <f>INDEX([2]Coordinates!$B$2:$B$197,MATCH(I316,[2]Coordinates!$J$2:$J$197,0))</f>
        <v>-3.296725983</v>
      </c>
      <c r="AM316" s="260">
        <f>INDEX([2]Coordinates!$C$2:$C$197,MATCH(I316,[2]Coordinates!$J$2:$J$197,0))</f>
        <v>34.854216000000001</v>
      </c>
      <c r="AN316" s="260" t="str">
        <f>IF(ISNUMBER(SEARCH("C", 'Dry_Litterbag Placem_Collection'!T97)),"YES","NO")</f>
        <v>NO</v>
      </c>
      <c r="AO316" s="260" t="str">
        <f>IF(ISNUMBER(SEARCH("H", 'Dry_Litterbag Placem_Collection'!T97)),"YES","NO")</f>
        <v>NO</v>
      </c>
      <c r="AP316" s="260" t="str">
        <f>IF(ISNUMBER(SEARCH("R", 'Dry_Litterbag Placem_Collection'!T97)),"YES","NO")</f>
        <v>NO</v>
      </c>
    </row>
    <row r="317" spans="1:42" ht="15" customHeight="1">
      <c r="A317" t="s">
        <v>3248</v>
      </c>
      <c r="B317" s="252" t="s">
        <v>2643</v>
      </c>
      <c r="C317" s="253">
        <f>'Dry_Litterbag Placem_Collection'!A98</f>
        <v>96</v>
      </c>
      <c r="D317" s="253" t="str">
        <f>'Dry_Litterbag Placem_Collection'!B98</f>
        <v>Maswa</v>
      </c>
      <c r="E317" s="253" t="s">
        <v>2643</v>
      </c>
      <c r="F317" s="253" t="s">
        <v>2645</v>
      </c>
      <c r="G317" s="253">
        <v>4</v>
      </c>
      <c r="H317" s="253" t="s">
        <v>3115</v>
      </c>
      <c r="I317" s="254" t="str">
        <f>'Dry_Litterbag Placem_Collection'!C98</f>
        <v>Dry_W4_T8</v>
      </c>
      <c r="J317" s="255" t="s">
        <v>2525</v>
      </c>
      <c r="K317" s="262" t="s">
        <v>298</v>
      </c>
      <c r="L317" s="253" t="str">
        <f>IF(ISBLANK('Dry_Litterbag Placem_Collection'!K98),"","R"&amp;""&amp;'Dry_Litterbag Placem_Collection'!K98)</f>
        <v>R737</v>
      </c>
      <c r="M317" s="257">
        <f>IFERROR(INDEX('Green_rooibos initial weight'!$C$5:$C$2000,MATCH(L317, 'Green_rooibos initial weight'!$A$5:$A$2000,0)),"")</f>
        <v>2.222</v>
      </c>
      <c r="N317" s="257">
        <f>IFERROR(M317-(TBIcalc!$Q$9+TBIcalc!$Q$10),"")</f>
        <v>1.9722</v>
      </c>
      <c r="O317" s="378">
        <f>AVERAGE(Ashed_controlls!$K$12:$K$14)</f>
        <v>2.2816647271287041</v>
      </c>
      <c r="P317" s="257">
        <f t="shared" si="21"/>
        <v>1.9272010082515676</v>
      </c>
      <c r="Q317" s="257">
        <f>IFERROR(INDEX('Both teabags AfterDry'!$D$2:$D$2000,MATCH(L317,'Both teabags AfterDry'!$A$2:$A$2000,0)),"")</f>
        <v>1.9686999999999999</v>
      </c>
      <c r="R317" s="257">
        <f>IFERROR(IF(Q317&gt;0,Q317-(TBIcalc!$Q$9),""),"")</f>
        <v>1.8180999999999998</v>
      </c>
      <c r="S317" s="268">
        <f>IFERROR(INDEX('Ashed teabags dry'!$K$2:$K$2000,MATCH(L317,'Ashed teabags dry'!$A$2:$A$2000,0)),"")</f>
        <v>3.1531531531539305</v>
      </c>
      <c r="T317" s="268">
        <f t="shared" si="22"/>
        <v>1.7607725225225082</v>
      </c>
      <c r="U317" s="258">
        <f>IF('Dry_Litterbag Placem_Collection'!E98="","",'Dry_Litterbag Placem_Collection'!E98)</f>
        <v>42937</v>
      </c>
      <c r="V317" s="258">
        <f>IF('Dry_Litterbag Placem_Collection'!G98="","",'Dry_Litterbag Placem_Collection'!G98)</f>
        <v>43006</v>
      </c>
      <c r="W317" s="259">
        <f t="shared" si="20"/>
        <v>69</v>
      </c>
      <c r="X317" s="257">
        <f t="shared" si="23"/>
        <v>0.15410000000000013</v>
      </c>
      <c r="Y317" s="257">
        <f t="shared" si="24"/>
        <v>0.16642848572905944</v>
      </c>
      <c r="Z317" s="261">
        <f>IFERROR(INDEX([3]Rainfall_Dry!$O$2:$O$217,MATCH(C317, [3]Rainfall_Dry!$A$2:$A$217,0)),"")</f>
        <v>12.563016860999999</v>
      </c>
      <c r="AA317" s="250">
        <v>28.145762029394</v>
      </c>
      <c r="AB317" s="250">
        <v>25.085564727199518</v>
      </c>
      <c r="AC317" s="250">
        <v>46.768673243406489</v>
      </c>
      <c r="AD317" s="251" t="s">
        <v>2651</v>
      </c>
      <c r="AE317" s="250">
        <v>9.1716214884179408</v>
      </c>
      <c r="AF317">
        <f>IF('WetLitterbags placem_collection'!AB98="","",'WetLitterbags placem_collection'!AB98)</f>
        <v>4</v>
      </c>
      <c r="AG317">
        <f>IF('WetLitterbags placem_collection'!Z98="","",'WetLitterbags placem_collection'!Z98)</f>
        <v>34.4</v>
      </c>
      <c r="AH317" s="236" t="str">
        <f>IF('WetLitterbags placem_collection'!AA98="","",'WetLitterbags placem_collection'!AA98)</f>
        <v>O</v>
      </c>
      <c r="AI317">
        <f>IF('WetLitterbags placem_collection'!AC98="","",'WetLitterbags placem_collection'!AC98)</f>
        <v>0</v>
      </c>
      <c r="AJ317">
        <f>IFERROR(AVERAGE('Dry_Litterbag Placem_Collection'!O98,'Dry_Litterbag Placem_Collection'!R98),"")</f>
        <v>5.0999999999999996</v>
      </c>
      <c r="AK317" s="261">
        <f>IFERROR(AVERAGE('Dry_Litterbag Placem_Collection'!N98,'Dry_Litterbag Placem_Collection'!Q98),"")</f>
        <v>25.950000000000003</v>
      </c>
      <c r="AL317" s="260">
        <f>INDEX([2]Coordinates!$B$2:$B$197,MATCH(I317,[2]Coordinates!$J$2:$J$197,0))</f>
        <v>-3.2968360369999998</v>
      </c>
      <c r="AM317" s="260">
        <f>INDEX([2]Coordinates!$C$2:$C$197,MATCH(I317,[2]Coordinates!$J$2:$J$197,0))</f>
        <v>34.854462009999999</v>
      </c>
      <c r="AN317" s="260" t="str">
        <f>IF(ISNUMBER(SEARCH("C", 'Dry_Litterbag Placem_Collection'!T98)),"YES","NO")</f>
        <v>NO</v>
      </c>
      <c r="AO317" s="260" t="str">
        <f>IF(ISNUMBER(SEARCH("H", 'Dry_Litterbag Placem_Collection'!T98)),"YES","NO")</f>
        <v>NO</v>
      </c>
      <c r="AP317" s="260" t="str">
        <f>IF(ISNUMBER(SEARCH("R", 'Dry_Litterbag Placem_Collection'!T98)),"YES","NO")</f>
        <v>NO</v>
      </c>
    </row>
    <row r="318" spans="1:42" ht="15" customHeight="1">
      <c r="A318" t="s">
        <v>3248</v>
      </c>
      <c r="B318" s="252" t="s">
        <v>2643</v>
      </c>
      <c r="C318" s="253">
        <f>'Dry_Litterbag Placem_Collection'!A99</f>
        <v>97</v>
      </c>
      <c r="D318" s="253" t="str">
        <f>'Dry_Litterbag Placem_Collection'!B99</f>
        <v xml:space="preserve">Mwantimba
</v>
      </c>
      <c r="E318" s="253" t="s">
        <v>2454</v>
      </c>
      <c r="F318" s="253" t="s">
        <v>2644</v>
      </c>
      <c r="G318" s="253">
        <v>1</v>
      </c>
      <c r="H318" s="253" t="s">
        <v>3116</v>
      </c>
      <c r="I318" s="254" t="str">
        <f>'Dry_Litterbag Placem_Collection'!C99</f>
        <v>Wet_Ag1_T1</v>
      </c>
      <c r="J318" s="255" t="s">
        <v>2525</v>
      </c>
      <c r="K318" s="262" t="s">
        <v>298</v>
      </c>
      <c r="L318" s="253" t="str">
        <f>IF(ISBLANK('Dry_Litterbag Placem_Collection'!K99),"","R"&amp;""&amp;'Dry_Litterbag Placem_Collection'!K99)</f>
        <v>R801</v>
      </c>
      <c r="M318" s="257">
        <f>IFERROR(INDEX('Green_rooibos initial weight'!$C$5:$C$2000,MATCH(L318, 'Green_rooibos initial weight'!$A$5:$A$2000,0)),"")</f>
        <v>2.17</v>
      </c>
      <c r="N318" s="257">
        <f>IFERROR(M318-(TBIcalc!$Q$9+TBIcalc!$Q$10),"")</f>
        <v>1.9201999999999999</v>
      </c>
      <c r="O318" s="378">
        <f>AVERAGE(Ashed_controlls!$K$12:$K$14)</f>
        <v>2.2816647271287041</v>
      </c>
      <c r="P318" s="257">
        <f t="shared" si="21"/>
        <v>1.8763874739096746</v>
      </c>
      <c r="Q318" s="257" t="str">
        <f>IFERROR(INDEX('Both teabags AfterDry'!$D$2:$D$2000,MATCH(L318,'Both teabags AfterDry'!$A$2:$A$2000,0)),"")</f>
        <v/>
      </c>
      <c r="R318" s="257" t="str">
        <f>IFERROR(IF(Q318&gt;0,Q318-(TBIcalc!$Q$9),""),"")</f>
        <v/>
      </c>
      <c r="S318" s="268" t="str">
        <f>IFERROR(INDEX('Ashed teabags dry'!$K$2:$K$2000,MATCH(L318,'Ashed teabags dry'!$A$2:$A$2000,0)),"")</f>
        <v/>
      </c>
      <c r="T318" s="268" t="str">
        <f t="shared" si="22"/>
        <v/>
      </c>
      <c r="U318" s="258">
        <f>IF('Dry_Litterbag Placem_Collection'!E99="","",'Dry_Litterbag Placem_Collection'!E99)</f>
        <v>42939</v>
      </c>
      <c r="V318" s="258">
        <f>IF('Dry_Litterbag Placem_Collection'!G99="","",'Dry_Litterbag Placem_Collection'!G99)</f>
        <v>43010</v>
      </c>
      <c r="W318" s="259">
        <f t="shared" si="20"/>
        <v>71</v>
      </c>
      <c r="X318" s="257" t="str">
        <f t="shared" si="23"/>
        <v/>
      </c>
      <c r="Y318" s="257" t="str">
        <f t="shared" si="24"/>
        <v/>
      </c>
      <c r="Z318" s="261">
        <f>IFERROR(INDEX([3]Rainfall_Dry!$O$2:$O$217,MATCH(C318, [3]Rainfall_Dry!$A$2:$A$217,0)),"")</f>
        <v>137.19979645800001</v>
      </c>
      <c r="AA318" s="250">
        <v>45.96</v>
      </c>
      <c r="AB318" s="250">
        <v>14.920000000000003</v>
      </c>
      <c r="AC318" s="250">
        <v>39.119999999999997</v>
      </c>
      <c r="AD318" s="251" t="s">
        <v>2654</v>
      </c>
      <c r="AE318" s="250">
        <v>2.0374568753080333</v>
      </c>
      <c r="AF318">
        <f>IF('WetLitterbags placem_collection'!AB99="","",'WetLitterbags placem_collection'!AB99)</f>
        <v>2.4</v>
      </c>
      <c r="AG318">
        <f>IF('WetLitterbags placem_collection'!Z99="","",'WetLitterbags placem_collection'!Z99)</f>
        <v>8.9</v>
      </c>
      <c r="AH318" s="236" t="str">
        <f>IF('WetLitterbags placem_collection'!AA99="","",'WetLitterbags placem_collection'!AA99)</f>
        <v>G</v>
      </c>
      <c r="AI318">
        <f>IF('WetLitterbags placem_collection'!AC99="","",'WetLitterbags placem_collection'!AC99)</f>
        <v>1</v>
      </c>
      <c r="AJ318">
        <f>IFERROR(AVERAGE('Dry_Litterbag Placem_Collection'!O99,'Dry_Litterbag Placem_Collection'!R99),"")</f>
        <v>6.6</v>
      </c>
      <c r="AK318" s="261">
        <f>IFERROR(AVERAGE('Dry_Litterbag Placem_Collection'!N99,'Dry_Litterbag Placem_Collection'!Q99),"")</f>
        <v>28.5</v>
      </c>
      <c r="AL318" s="260">
        <f>INDEX([2]Coordinates!$B$2:$B$197,MATCH(I318,[2]Coordinates!$J$2:$J$197,0))</f>
        <v>-2.3691620310000001</v>
      </c>
      <c r="AM318" s="260">
        <f>INDEX([2]Coordinates!$C$2:$C$197,MATCH(I318,[2]Coordinates!$J$2:$J$197,0))</f>
        <v>34.06028104</v>
      </c>
      <c r="AN318" s="260" t="str">
        <f>IF(ISNUMBER(SEARCH("C", 'Dry_Litterbag Placem_Collection'!T99)),"YES","NO")</f>
        <v>YES</v>
      </c>
      <c r="AO318" s="260" t="str">
        <f>IF(ISNUMBER(SEARCH("H", 'Dry_Litterbag Placem_Collection'!T99)),"YES","NO")</f>
        <v>YES</v>
      </c>
      <c r="AP318" s="260" t="str">
        <f>IF(ISNUMBER(SEARCH("R", 'Dry_Litterbag Placem_Collection'!T99)),"YES","NO")</f>
        <v>NO</v>
      </c>
    </row>
    <row r="319" spans="1:42" ht="15" customHeight="1">
      <c r="A319" t="s">
        <v>3248</v>
      </c>
      <c r="B319" s="252" t="s">
        <v>2643</v>
      </c>
      <c r="C319" s="253">
        <f>'Dry_Litterbag Placem_Collection'!A100</f>
        <v>98</v>
      </c>
      <c r="D319" s="253" t="str">
        <f>'Dry_Litterbag Placem_Collection'!B100</f>
        <v xml:space="preserve">Mwantimba
</v>
      </c>
      <c r="E319" s="253" t="s">
        <v>2454</v>
      </c>
      <c r="F319" s="253" t="s">
        <v>2644</v>
      </c>
      <c r="G319" s="253">
        <v>1</v>
      </c>
      <c r="H319" s="253" t="s">
        <v>3116</v>
      </c>
      <c r="I319" s="254" t="str">
        <f>'Dry_Litterbag Placem_Collection'!C100</f>
        <v>Wet_Ag1_T2</v>
      </c>
      <c r="J319" s="255" t="s">
        <v>2525</v>
      </c>
      <c r="K319" s="262" t="s">
        <v>298</v>
      </c>
      <c r="L319" s="253" t="str">
        <f>IF(ISBLANK('Dry_Litterbag Placem_Collection'!K100),"","R"&amp;""&amp;'Dry_Litterbag Placem_Collection'!K100)</f>
        <v>R808</v>
      </c>
      <c r="M319" s="257">
        <f>IFERROR(INDEX('Green_rooibos initial weight'!$C$5:$C$2000,MATCH(L319, 'Green_rooibos initial weight'!$A$5:$A$2000,0)),"")</f>
        <v>2.2309999999999999</v>
      </c>
      <c r="N319" s="257">
        <f>IFERROR(M319-(TBIcalc!$Q$9+TBIcalc!$Q$10),"")</f>
        <v>1.9811999999999999</v>
      </c>
      <c r="O319" s="378">
        <f>AVERAGE(Ashed_controlls!$K$12:$K$14)</f>
        <v>2.2816647271287041</v>
      </c>
      <c r="P319" s="257">
        <f t="shared" si="21"/>
        <v>1.935995658426126</v>
      </c>
      <c r="Q319" s="257">
        <f>IFERROR(INDEX('Both teabags AfterDry'!$D$2:$D$2000,MATCH(L319,'Both teabags AfterDry'!$A$2:$A$2000,0)),"")</f>
        <v>0</v>
      </c>
      <c r="R319" s="257" t="str">
        <f>IFERROR(IF(Q319&gt;0,Q319-(TBIcalc!$Q$9),""),"")</f>
        <v/>
      </c>
      <c r="S319" s="268">
        <f>IFERROR(INDEX('Ashed teabags dry'!$K$2:$K$2000,MATCH(L319,'Ashed teabags dry'!$A$2:$A$2000,0)),"")</f>
        <v>0</v>
      </c>
      <c r="T319" s="268" t="str">
        <f t="shared" si="22"/>
        <v/>
      </c>
      <c r="U319" s="258">
        <f>IF('Dry_Litterbag Placem_Collection'!E100="","",'Dry_Litterbag Placem_Collection'!E100)</f>
        <v>42939</v>
      </c>
      <c r="V319" s="258">
        <f>IF('Dry_Litterbag Placem_Collection'!G100="","",'Dry_Litterbag Placem_Collection'!G100)</f>
        <v>43010</v>
      </c>
      <c r="W319" s="259">
        <f t="shared" si="20"/>
        <v>71</v>
      </c>
      <c r="X319" s="257" t="str">
        <f t="shared" si="23"/>
        <v/>
      </c>
      <c r="Y319" s="257" t="str">
        <f t="shared" si="24"/>
        <v/>
      </c>
      <c r="Z319" s="261">
        <f>IFERROR(INDEX([3]Rainfall_Dry!$O$2:$O$217,MATCH(C319, [3]Rainfall_Dry!$A$2:$A$217,0)),"")</f>
        <v>137.19979645800001</v>
      </c>
      <c r="AA319" s="250">
        <v>45.96</v>
      </c>
      <c r="AB319" s="250">
        <v>14.920000000000003</v>
      </c>
      <c r="AC319" s="250">
        <v>39.119999999999997</v>
      </c>
      <c r="AD319" s="251" t="s">
        <v>2654</v>
      </c>
      <c r="AE319" s="250">
        <v>3.0374568753080302</v>
      </c>
      <c r="AF319">
        <f>IF('WetLitterbags placem_collection'!AB100="","",'WetLitterbags placem_collection'!AB100)</f>
        <v>7.8</v>
      </c>
      <c r="AG319">
        <f>IF('WetLitterbags placem_collection'!Z100="","",'WetLitterbags placem_collection'!Z100)</f>
        <v>4.45</v>
      </c>
      <c r="AH319" s="236" t="str">
        <f>IF('WetLitterbags placem_collection'!AA100="","",'WetLitterbags placem_collection'!AA100)</f>
        <v>G</v>
      </c>
      <c r="AI319">
        <f>IF('WetLitterbags placem_collection'!AC100="","",'WetLitterbags placem_collection'!AC100)</f>
        <v>1</v>
      </c>
      <c r="AJ319">
        <f>IFERROR(AVERAGE('Dry_Litterbag Placem_Collection'!O100,'Dry_Litterbag Placem_Collection'!R100),"")</f>
        <v>7.25</v>
      </c>
      <c r="AK319" s="261">
        <f>IFERROR(AVERAGE('Dry_Litterbag Placem_Collection'!N100,'Dry_Litterbag Placem_Collection'!Q100),"")</f>
        <v>29.3</v>
      </c>
      <c r="AL319" s="260">
        <f>INDEX([2]Coordinates!$B$2:$B$197,MATCH(I319,[2]Coordinates!$J$2:$J$197,0))</f>
        <v>-2.3692249790000002</v>
      </c>
      <c r="AM319" s="260">
        <f>INDEX([2]Coordinates!$C$2:$C$197,MATCH(I319,[2]Coordinates!$J$2:$J$197,0))</f>
        <v>34.060285989999997</v>
      </c>
      <c r="AN319" s="260" t="str">
        <f>IF(ISNUMBER(SEARCH("C", 'Dry_Litterbag Placem_Collection'!T100)),"YES","NO")</f>
        <v>YES</v>
      </c>
      <c r="AO319" s="260" t="str">
        <f>IF(ISNUMBER(SEARCH("H", 'Dry_Litterbag Placem_Collection'!T100)),"YES","NO")</f>
        <v>YES</v>
      </c>
      <c r="AP319" s="260" t="str">
        <f>IF(ISNUMBER(SEARCH("R", 'Dry_Litterbag Placem_Collection'!T100)),"YES","NO")</f>
        <v>NO</v>
      </c>
    </row>
    <row r="320" spans="1:42" ht="15" customHeight="1">
      <c r="A320" t="s">
        <v>3248</v>
      </c>
      <c r="B320" s="252" t="s">
        <v>2643</v>
      </c>
      <c r="C320" s="253">
        <f>'Dry_Litterbag Placem_Collection'!A101</f>
        <v>99</v>
      </c>
      <c r="D320" s="253" t="str">
        <f>'Dry_Litterbag Placem_Collection'!B101</f>
        <v xml:space="preserve">Mwantimba
</v>
      </c>
      <c r="E320" s="253" t="s">
        <v>2454</v>
      </c>
      <c r="F320" s="253" t="s">
        <v>2644</v>
      </c>
      <c r="G320" s="253">
        <v>1</v>
      </c>
      <c r="H320" s="253" t="s">
        <v>3116</v>
      </c>
      <c r="I320" s="254" t="str">
        <f>'Dry_Litterbag Placem_Collection'!C101</f>
        <v>Wet_Ag1_T3</v>
      </c>
      <c r="J320" s="255" t="s">
        <v>2525</v>
      </c>
      <c r="K320" s="262" t="s">
        <v>298</v>
      </c>
      <c r="L320" s="253" t="str">
        <f>IF(ISBLANK('Dry_Litterbag Placem_Collection'!K101),"","R"&amp;""&amp;'Dry_Litterbag Placem_Collection'!K101)</f>
        <v/>
      </c>
      <c r="M320" s="257" t="str">
        <f>IFERROR(INDEX('Green_rooibos initial weight'!$C$5:$C$2000,MATCH(L320, 'Green_rooibos initial weight'!$A$5:$A$2000,0)),"")</f>
        <v/>
      </c>
      <c r="N320" s="257" t="str">
        <f>IFERROR(M320-(TBIcalc!$Q$9+TBIcalc!$Q$10),"")</f>
        <v/>
      </c>
      <c r="O320" s="378">
        <f>AVERAGE(Ashed_controlls!$K$12:$K$14)</f>
        <v>2.2816647271287041</v>
      </c>
      <c r="P320" s="257" t="str">
        <f t="shared" si="21"/>
        <v/>
      </c>
      <c r="Q320" s="257" t="str">
        <f>IFERROR(INDEX('Both teabags AfterDry'!$D$2:$D$2000,MATCH(L320,'Both teabags AfterDry'!$A$2:$A$2000,0)),"")</f>
        <v/>
      </c>
      <c r="R320" s="257" t="str">
        <f>IFERROR(IF(Q320&gt;0,Q320-(TBIcalc!$Q$9),""),"")</f>
        <v/>
      </c>
      <c r="S320" s="268" t="str">
        <f>IFERROR(INDEX('Ashed teabags dry'!$K$2:$K$2000,MATCH(L320,'Ashed teabags dry'!$A$2:$A$2000,0)),"")</f>
        <v/>
      </c>
      <c r="T320" s="268" t="str">
        <f t="shared" si="22"/>
        <v/>
      </c>
      <c r="U320" s="258" t="str">
        <f>IF('Dry_Litterbag Placem_Collection'!E101="","",'Dry_Litterbag Placem_Collection'!E101)</f>
        <v/>
      </c>
      <c r="V320" s="258" t="str">
        <f>IF('Dry_Litterbag Placem_Collection'!G101="","",'Dry_Litterbag Placem_Collection'!G101)</f>
        <v/>
      </c>
      <c r="W320" s="259" t="str">
        <f t="shared" si="20"/>
        <v/>
      </c>
      <c r="X320" s="257" t="str">
        <f t="shared" si="23"/>
        <v/>
      </c>
      <c r="Y320" s="257" t="str">
        <f t="shared" si="24"/>
        <v/>
      </c>
      <c r="Z320" s="261" t="str">
        <f>IFERROR(INDEX([3]Rainfall_Dry!$O$2:$O$217,MATCH(C320, [3]Rainfall_Dry!$A$2:$A$217,0)),"")</f>
        <v/>
      </c>
      <c r="AA320" s="250">
        <v>45.96</v>
      </c>
      <c r="AB320" s="250">
        <v>14.920000000000003</v>
      </c>
      <c r="AC320" s="250">
        <v>39.119999999999997</v>
      </c>
      <c r="AD320" s="251" t="s">
        <v>2654</v>
      </c>
      <c r="AE320" s="250">
        <v>4.0374568753080302</v>
      </c>
      <c r="AF320">
        <f>IF('WetLitterbags placem_collection'!AB101="","",'WetLitterbags placem_collection'!AB101)</f>
        <v>5.0999999999999996</v>
      </c>
      <c r="AG320">
        <f>IF('WetLitterbags placem_collection'!Z101="","",'WetLitterbags placem_collection'!Z101)</f>
        <v>2.2999999999999998</v>
      </c>
      <c r="AH320" s="236" t="str">
        <f>IF('WetLitterbags placem_collection'!AA101="","",'WetLitterbags placem_collection'!AA101)</f>
        <v>G</v>
      </c>
      <c r="AI320">
        <f>IF('WetLitterbags placem_collection'!AC101="","",'WetLitterbags placem_collection'!AC101)</f>
        <v>0</v>
      </c>
      <c r="AJ320" t="str">
        <f>IFERROR(AVERAGE('Dry_Litterbag Placem_Collection'!O101,'Dry_Litterbag Placem_Collection'!R101),"")</f>
        <v/>
      </c>
      <c r="AK320" s="261" t="str">
        <f>IFERROR(AVERAGE('Dry_Litterbag Placem_Collection'!N101,'Dry_Litterbag Placem_Collection'!Q101),"")</f>
        <v/>
      </c>
      <c r="AL320" s="260">
        <f>INDEX([2]Coordinates!$B$2:$B$197,MATCH(I320,[2]Coordinates!$J$2:$J$197,0))</f>
        <v>-2.369284993</v>
      </c>
      <c r="AM320" s="260">
        <f>INDEX([2]Coordinates!$C$2:$C$197,MATCH(I320,[2]Coordinates!$J$2:$J$197,0))</f>
        <v>34.06028104</v>
      </c>
      <c r="AN320" s="260" t="str">
        <f>IF(ISNUMBER(SEARCH("C", 'Dry_Litterbag Placem_Collection'!T101)),"YES","NO")</f>
        <v>NO</v>
      </c>
      <c r="AO320" s="260" t="str">
        <f>IF(ISNUMBER(SEARCH("H", 'Dry_Litterbag Placem_Collection'!T101)),"YES","NO")</f>
        <v>NO</v>
      </c>
      <c r="AP320" s="260" t="str">
        <f>IF(ISNUMBER(SEARCH("R", 'Dry_Litterbag Placem_Collection'!T101)),"YES","NO")</f>
        <v>NO</v>
      </c>
    </row>
    <row r="321" spans="1:42" ht="15" customHeight="1">
      <c r="A321" t="s">
        <v>3248</v>
      </c>
      <c r="B321" s="252" t="s">
        <v>2643</v>
      </c>
      <c r="C321" s="253">
        <f>'Dry_Litterbag Placem_Collection'!A102</f>
        <v>100</v>
      </c>
      <c r="D321" s="253" t="str">
        <f>'Dry_Litterbag Placem_Collection'!B102</f>
        <v xml:space="preserve">Mwantimba
</v>
      </c>
      <c r="E321" s="253" t="s">
        <v>2454</v>
      </c>
      <c r="F321" s="253" t="s">
        <v>2644</v>
      </c>
      <c r="G321" s="253">
        <v>1</v>
      </c>
      <c r="H321" s="253" t="s">
        <v>3116</v>
      </c>
      <c r="I321" s="254" t="str">
        <f>'Dry_Litterbag Placem_Collection'!C102</f>
        <v>Wet_Ag1_T4</v>
      </c>
      <c r="J321" s="255" t="s">
        <v>2525</v>
      </c>
      <c r="K321" s="262" t="s">
        <v>298</v>
      </c>
      <c r="L321" s="253" t="str">
        <f>IF(ISBLANK('Dry_Litterbag Placem_Collection'!K102),"","R"&amp;""&amp;'Dry_Litterbag Placem_Collection'!K102)</f>
        <v>R276</v>
      </c>
      <c r="M321" s="257">
        <f>IFERROR(INDEX('Green_rooibos initial weight'!$C$5:$C$2000,MATCH(L321, 'Green_rooibos initial weight'!$A$5:$A$2000,0)),"")</f>
        <v>2.1930000000000001</v>
      </c>
      <c r="N321" s="257">
        <f>IFERROR(M321-(TBIcalc!$Q$9+TBIcalc!$Q$10),"")</f>
        <v>1.9432</v>
      </c>
      <c r="O321" s="378">
        <f>AVERAGE(Ashed_controlls!$K$12:$K$14)</f>
        <v>2.2816647271287041</v>
      </c>
      <c r="P321" s="257">
        <f t="shared" si="21"/>
        <v>1.8988626910224351</v>
      </c>
      <c r="Q321" s="257">
        <f>IFERROR(INDEX('Both teabags AfterDry'!$D$2:$D$2000,MATCH(L321,'Both teabags AfterDry'!$A$2:$A$2000,0)),"")</f>
        <v>1.4581</v>
      </c>
      <c r="R321" s="257">
        <f>IFERROR(IF(Q321&gt;0,Q321-(TBIcalc!$Q$9),""),"")</f>
        <v>1.3074999999999999</v>
      </c>
      <c r="S321" s="268">
        <f>IFERROR(INDEX('Ashed teabags dry'!$K$2:$K$2000,MATCH(L321,'Ashed teabags dry'!$A$2:$A$2000,0)),"")</f>
        <v>88.392857142857224</v>
      </c>
      <c r="T321" s="268">
        <f t="shared" si="22"/>
        <v>0.1517633928571418</v>
      </c>
      <c r="U321" s="258">
        <f>IF('Dry_Litterbag Placem_Collection'!E102="","",'Dry_Litterbag Placem_Collection'!E102)</f>
        <v>42939</v>
      </c>
      <c r="V321" s="258">
        <f>IF('Dry_Litterbag Placem_Collection'!G102="","",'Dry_Litterbag Placem_Collection'!G102)</f>
        <v>43010</v>
      </c>
      <c r="W321" s="259">
        <f t="shared" si="20"/>
        <v>71</v>
      </c>
      <c r="X321" s="257">
        <f t="shared" si="23"/>
        <v>0.63570000000000015</v>
      </c>
      <c r="Y321" s="257">
        <f t="shared" si="24"/>
        <v>1.7470992981652933</v>
      </c>
      <c r="Z321" s="261">
        <f>IFERROR(INDEX([3]Rainfall_Dry!$O$2:$O$217,MATCH(C321, [3]Rainfall_Dry!$A$2:$A$217,0)),"")</f>
        <v>137.19979645800001</v>
      </c>
      <c r="AA321" s="250">
        <v>45.96</v>
      </c>
      <c r="AB321" s="250">
        <v>14.920000000000003</v>
      </c>
      <c r="AC321" s="250">
        <v>39.119999999999997</v>
      </c>
      <c r="AD321" s="251" t="s">
        <v>2654</v>
      </c>
      <c r="AE321" s="250">
        <v>5.0374568753080302</v>
      </c>
      <c r="AF321">
        <f>IF('WetLitterbags placem_collection'!AB102="","",'WetLitterbags placem_collection'!AB102)</f>
        <v>1.6</v>
      </c>
      <c r="AG321">
        <f>IF('WetLitterbags placem_collection'!Z102="","",'WetLitterbags placem_collection'!Z102)</f>
        <v>15</v>
      </c>
      <c r="AH321" s="236" t="str">
        <f>IF('WetLitterbags placem_collection'!AA102="","",'WetLitterbags placem_collection'!AA102)</f>
        <v>G</v>
      </c>
      <c r="AI321">
        <f>IF('WetLitterbags placem_collection'!AC102="","",'WetLitterbags placem_collection'!AC102)</f>
        <v>1</v>
      </c>
      <c r="AJ321">
        <f>IFERROR(AVERAGE('Dry_Litterbag Placem_Collection'!O102,'Dry_Litterbag Placem_Collection'!R102),"")</f>
        <v>6.75</v>
      </c>
      <c r="AK321" s="261">
        <f>IFERROR(AVERAGE('Dry_Litterbag Placem_Collection'!N102,'Dry_Litterbag Placem_Collection'!Q102),"")</f>
        <v>29.1</v>
      </c>
      <c r="AL321" s="260">
        <f>INDEX([2]Coordinates!$B$2:$B$197,MATCH(I321,[2]Coordinates!$J$2:$J$197,0))</f>
        <v>-2.3691989950000001</v>
      </c>
      <c r="AM321" s="260">
        <f>INDEX([2]Coordinates!$C$2:$C$197,MATCH(I321,[2]Coordinates!$J$2:$J$197,0))</f>
        <v>34.060208029999998</v>
      </c>
      <c r="AN321" s="260" t="str">
        <f>IF(ISNUMBER(SEARCH("C", 'Dry_Litterbag Placem_Collection'!T102)),"YES","NO")</f>
        <v>YES</v>
      </c>
      <c r="AO321" s="260" t="str">
        <f>IF(ISNUMBER(SEARCH("H", 'Dry_Litterbag Placem_Collection'!T102)),"YES","NO")</f>
        <v>YES</v>
      </c>
      <c r="AP321" s="260" t="str">
        <f>IF(ISNUMBER(SEARCH("R", 'Dry_Litterbag Placem_Collection'!T102)),"YES","NO")</f>
        <v>NO</v>
      </c>
    </row>
    <row r="322" spans="1:42" ht="15" customHeight="1">
      <c r="A322" t="s">
        <v>3248</v>
      </c>
      <c r="B322" s="252" t="s">
        <v>2643</v>
      </c>
      <c r="C322" s="253">
        <f>'Dry_Litterbag Placem_Collection'!A103</f>
        <v>101</v>
      </c>
      <c r="D322" s="253" t="str">
        <f>'Dry_Litterbag Placem_Collection'!B103</f>
        <v xml:space="preserve">Mwantimba
</v>
      </c>
      <c r="E322" s="253" t="s">
        <v>2454</v>
      </c>
      <c r="F322" s="253" t="s">
        <v>2644</v>
      </c>
      <c r="G322" s="253">
        <v>1</v>
      </c>
      <c r="H322" s="253" t="s">
        <v>3116</v>
      </c>
      <c r="I322" s="254" t="str">
        <f>'Dry_Litterbag Placem_Collection'!C103</f>
        <v>Wet_Ag1_T5</v>
      </c>
      <c r="J322" s="255" t="s">
        <v>2525</v>
      </c>
      <c r="K322" s="262" t="s">
        <v>298</v>
      </c>
      <c r="L322" s="253" t="str">
        <f>IF(ISBLANK('Dry_Litterbag Placem_Collection'!K103),"","R"&amp;""&amp;'Dry_Litterbag Placem_Collection'!K103)</f>
        <v>R624</v>
      </c>
      <c r="M322" s="257">
        <f>IFERROR(INDEX('Green_rooibos initial weight'!$C$5:$C$2000,MATCH(L322, 'Green_rooibos initial weight'!$A$5:$A$2000,0)),"")</f>
        <v>2.0739999999999998</v>
      </c>
      <c r="N322" s="257">
        <f>IFERROR(M322-(TBIcalc!$Q$9+TBIcalc!$Q$10),"")</f>
        <v>1.8241999999999998</v>
      </c>
      <c r="O322" s="378">
        <f>AVERAGE(Ashed_controlls!$K$12:$K$14)</f>
        <v>2.2816647271287041</v>
      </c>
      <c r="P322" s="257">
        <f t="shared" si="21"/>
        <v>1.7825778720477179</v>
      </c>
      <c r="Q322" s="257">
        <f>IFERROR(INDEX('Both teabags AfterDry'!$D$2:$D$2000,MATCH(L322,'Both teabags AfterDry'!$A$2:$A$2000,0)),"")</f>
        <v>0</v>
      </c>
      <c r="R322" s="257" t="str">
        <f>IFERROR(IF(Q322&gt;0,Q322-(TBIcalc!$Q$9),""),"")</f>
        <v/>
      </c>
      <c r="S322" s="268">
        <f>IFERROR(INDEX('Ashed teabags dry'!$K$2:$K$2000,MATCH(L322,'Ashed teabags dry'!$A$2:$A$2000,0)),"")</f>
        <v>86.281234688877774</v>
      </c>
      <c r="T322" s="268" t="str">
        <f t="shared" si="22"/>
        <v/>
      </c>
      <c r="U322" s="258">
        <f>IF('Dry_Litterbag Placem_Collection'!E103="","",'Dry_Litterbag Placem_Collection'!E103)</f>
        <v>42939</v>
      </c>
      <c r="V322" s="258">
        <f>IF('Dry_Litterbag Placem_Collection'!G103="","",'Dry_Litterbag Placem_Collection'!G103)</f>
        <v>43010</v>
      </c>
      <c r="W322" s="259">
        <f t="shared" ref="W322:W385" si="25">IFERROR(V322-U322,"")</f>
        <v>71</v>
      </c>
      <c r="X322" s="257" t="str">
        <f t="shared" si="23"/>
        <v/>
      </c>
      <c r="Y322" s="257" t="str">
        <f t="shared" si="24"/>
        <v/>
      </c>
      <c r="Z322" s="261">
        <f>IFERROR(INDEX([3]Rainfall_Dry!$O$2:$O$217,MATCH(C322, [3]Rainfall_Dry!$A$2:$A$217,0)),"")</f>
        <v>137.19979645800001</v>
      </c>
      <c r="AA322" s="250">
        <v>45.96</v>
      </c>
      <c r="AB322" s="250">
        <v>14.920000000000003</v>
      </c>
      <c r="AC322" s="250">
        <v>39.119999999999997</v>
      </c>
      <c r="AD322" s="251" t="s">
        <v>2654</v>
      </c>
      <c r="AE322" s="250">
        <v>6.0374568753080302</v>
      </c>
      <c r="AF322">
        <f>IF('WetLitterbags placem_collection'!AB103="","",'WetLitterbags placem_collection'!AB103)</f>
        <v>4.3499999999999996</v>
      </c>
      <c r="AG322">
        <f>IF('WetLitterbags placem_collection'!Z103="","",'WetLitterbags placem_collection'!Z103)</f>
        <v>17</v>
      </c>
      <c r="AH322" s="236" t="str">
        <f>IF('WetLitterbags placem_collection'!AA103="","",'WetLitterbags placem_collection'!AA103)</f>
        <v>G</v>
      </c>
      <c r="AI322">
        <f>IF('WetLitterbags placem_collection'!AC103="","",'WetLitterbags placem_collection'!AC103)</f>
        <v>1</v>
      </c>
      <c r="AJ322">
        <f>IFERROR(AVERAGE('Dry_Litterbag Placem_Collection'!O103,'Dry_Litterbag Placem_Collection'!R103),"")</f>
        <v>7.75</v>
      </c>
      <c r="AK322" s="261">
        <f>IFERROR(AVERAGE('Dry_Litterbag Placem_Collection'!N103,'Dry_Litterbag Placem_Collection'!Q103),"")</f>
        <v>29.549999999999997</v>
      </c>
      <c r="AL322" s="260">
        <f>INDEX([2]Coordinates!$B$2:$B$197,MATCH(I322,[2]Coordinates!$J$2:$J$197,0))</f>
        <v>-2.3691900260000001</v>
      </c>
      <c r="AM322" s="260">
        <f>INDEX([2]Coordinates!$C$2:$C$197,MATCH(I322,[2]Coordinates!$J$2:$J$197,0))</f>
        <v>34.060177019999998</v>
      </c>
      <c r="AN322" s="260" t="str">
        <f>IF(ISNUMBER(SEARCH("C", 'Dry_Litterbag Placem_Collection'!T103)),"YES","NO")</f>
        <v>YES</v>
      </c>
      <c r="AO322" s="260" t="str">
        <f>IF(ISNUMBER(SEARCH("H", 'Dry_Litterbag Placem_Collection'!T103)),"YES","NO")</f>
        <v>YES</v>
      </c>
      <c r="AP322" s="260" t="str">
        <f>IF(ISNUMBER(SEARCH("R", 'Dry_Litterbag Placem_Collection'!T103)),"YES","NO")</f>
        <v>NO</v>
      </c>
    </row>
    <row r="323" spans="1:42" ht="15" customHeight="1">
      <c r="A323" t="s">
        <v>3248</v>
      </c>
      <c r="B323" s="252" t="s">
        <v>2643</v>
      </c>
      <c r="C323" s="253">
        <f>'Dry_Litterbag Placem_Collection'!A104</f>
        <v>102</v>
      </c>
      <c r="D323" s="253" t="str">
        <f>'Dry_Litterbag Placem_Collection'!B104</f>
        <v xml:space="preserve">Mwantimba
</v>
      </c>
      <c r="E323" s="253" t="s">
        <v>2454</v>
      </c>
      <c r="F323" s="253" t="s">
        <v>2644</v>
      </c>
      <c r="G323" s="253">
        <v>1</v>
      </c>
      <c r="H323" s="253" t="s">
        <v>3116</v>
      </c>
      <c r="I323" s="254" t="str">
        <f>'Dry_Litterbag Placem_Collection'!C104</f>
        <v>Wet_Ag1_T6</v>
      </c>
      <c r="J323" s="255" t="s">
        <v>2525</v>
      </c>
      <c r="K323" s="262" t="s">
        <v>298</v>
      </c>
      <c r="L323" s="253" t="str">
        <f>IF(ISBLANK('Dry_Litterbag Placem_Collection'!K104),"","R"&amp;""&amp;'Dry_Litterbag Placem_Collection'!K104)</f>
        <v>R781</v>
      </c>
      <c r="M323" s="257">
        <f>IFERROR(INDEX('Green_rooibos initial weight'!$C$5:$C$2000,MATCH(L323, 'Green_rooibos initial weight'!$A$5:$A$2000,0)),"")</f>
        <v>2.194</v>
      </c>
      <c r="N323" s="257">
        <f>IFERROR(M323-(TBIcalc!$Q$9+TBIcalc!$Q$10),"")</f>
        <v>1.9441999999999999</v>
      </c>
      <c r="O323" s="378">
        <f>AVERAGE(Ashed_controlls!$K$12:$K$14)</f>
        <v>2.2816647271287041</v>
      </c>
      <c r="P323" s="257">
        <f t="shared" ref="P323:P386" si="26">IFERROR(N323-(O323/100)*N323,"")</f>
        <v>1.8998398743751637</v>
      </c>
      <c r="Q323" s="257">
        <f>IFERROR(INDEX('Both teabags AfterDry'!$D$2:$D$2000,MATCH(L323,'Both teabags AfterDry'!$A$2:$A$2000,0)),"")</f>
        <v>1.8687</v>
      </c>
      <c r="R323" s="257">
        <f>IFERROR(IF(Q323&gt;0,Q323-(TBIcalc!$Q$9),""),"")</f>
        <v>1.7181</v>
      </c>
      <c r="S323" s="268">
        <f>IFERROR(INDEX('Ashed teabags dry'!$K$2:$K$2000,MATCH(L323,'Ashed teabags dry'!$A$2:$A$2000,0)),"")</f>
        <v>3.9305301645336419</v>
      </c>
      <c r="T323" s="268">
        <f t="shared" ref="T323:T386" si="27">IFERROR(R323-(S323/100)*R323,"")</f>
        <v>1.6505695612431475</v>
      </c>
      <c r="U323" s="258">
        <f>IF('Dry_Litterbag Placem_Collection'!E104="","",'Dry_Litterbag Placem_Collection'!E104)</f>
        <v>42939</v>
      </c>
      <c r="V323" s="258">
        <f>IF('Dry_Litterbag Placem_Collection'!G104="","",'Dry_Litterbag Placem_Collection'!G104)</f>
        <v>43010</v>
      </c>
      <c r="W323" s="259">
        <f t="shared" si="25"/>
        <v>71</v>
      </c>
      <c r="X323" s="257">
        <f t="shared" ref="X323:X386" si="28">IFERROR(N323-R323,"")</f>
        <v>0.22609999999999997</v>
      </c>
      <c r="Y323" s="257">
        <f t="shared" ref="Y323:Y386" si="29">IFERROR(P323-T323,"")</f>
        <v>0.2492703131320162</v>
      </c>
      <c r="Z323" s="261">
        <f>IFERROR(INDEX([3]Rainfall_Dry!$O$2:$O$217,MATCH(C323, [3]Rainfall_Dry!$A$2:$A$217,0)),"")</f>
        <v>137.19979645800001</v>
      </c>
      <c r="AA323" s="250">
        <v>45.96</v>
      </c>
      <c r="AB323" s="250">
        <v>14.920000000000003</v>
      </c>
      <c r="AC323" s="250">
        <v>39.119999999999997</v>
      </c>
      <c r="AD323" s="251" t="s">
        <v>2654</v>
      </c>
      <c r="AE323" s="250">
        <v>7.0374568753080302</v>
      </c>
      <c r="AF323">
        <f>IF('WetLitterbags placem_collection'!AB104="","",'WetLitterbags placem_collection'!AB104)</f>
        <v>7.7</v>
      </c>
      <c r="AG323">
        <f>IF('WetLitterbags placem_collection'!Z104="","",'WetLitterbags placem_collection'!Z104)</f>
        <v>21</v>
      </c>
      <c r="AH323" s="236" t="str">
        <f>IF('WetLitterbags placem_collection'!AA104="","",'WetLitterbags placem_collection'!AA104)</f>
        <v>G</v>
      </c>
      <c r="AI323">
        <f>IF('WetLitterbags placem_collection'!AC104="","",'WetLitterbags placem_collection'!AC104)</f>
        <v>1</v>
      </c>
      <c r="AJ323">
        <f>IFERROR(AVERAGE('Dry_Litterbag Placem_Collection'!O104,'Dry_Litterbag Placem_Collection'!R104),"")</f>
        <v>7.3000000000000007</v>
      </c>
      <c r="AK323" s="261">
        <f>IFERROR(AVERAGE('Dry_Litterbag Placem_Collection'!N104,'Dry_Litterbag Placem_Collection'!Q104),"")</f>
        <v>29.05</v>
      </c>
      <c r="AL323" s="260">
        <f>INDEX([2]Coordinates!$B$2:$B$197,MATCH(I323,[2]Coordinates!$J$2:$J$197,0))</f>
        <v>-2.3691350409999998</v>
      </c>
      <c r="AM323" s="260">
        <f>INDEX([2]Coordinates!$C$2:$C$197,MATCH(I323,[2]Coordinates!$J$2:$J$197,0))</f>
        <v>34.06018297</v>
      </c>
      <c r="AN323" s="260" t="str">
        <f>IF(ISNUMBER(SEARCH("C", 'Dry_Litterbag Placem_Collection'!T104)),"YES","NO")</f>
        <v>YES</v>
      </c>
      <c r="AO323" s="260" t="str">
        <f>IF(ISNUMBER(SEARCH("H", 'Dry_Litterbag Placem_Collection'!T104)),"YES","NO")</f>
        <v>YES</v>
      </c>
      <c r="AP323" s="260" t="str">
        <f>IF(ISNUMBER(SEARCH("R", 'Dry_Litterbag Placem_Collection'!T104)),"YES","NO")</f>
        <v>NO</v>
      </c>
    </row>
    <row r="324" spans="1:42" ht="15" customHeight="1">
      <c r="A324" t="s">
        <v>3248</v>
      </c>
      <c r="B324" s="252" t="s">
        <v>2643</v>
      </c>
      <c r="C324" s="253">
        <f>'Dry_Litterbag Placem_Collection'!A105</f>
        <v>103</v>
      </c>
      <c r="D324" s="253" t="str">
        <f>'Dry_Litterbag Placem_Collection'!B105</f>
        <v xml:space="preserve">Mwantimba
</v>
      </c>
      <c r="E324" s="253" t="s">
        <v>2454</v>
      </c>
      <c r="F324" s="253" t="s">
        <v>2644</v>
      </c>
      <c r="G324" s="253">
        <v>1</v>
      </c>
      <c r="H324" s="253" t="s">
        <v>3116</v>
      </c>
      <c r="I324" s="254" t="str">
        <f>'Dry_Litterbag Placem_Collection'!C105</f>
        <v>Wet_Ag1_T7</v>
      </c>
      <c r="J324" s="255" t="s">
        <v>2525</v>
      </c>
      <c r="K324" s="262" t="s">
        <v>298</v>
      </c>
      <c r="L324" s="253" t="str">
        <f>IF(ISBLANK('Dry_Litterbag Placem_Collection'!K105),"","R"&amp;""&amp;'Dry_Litterbag Placem_Collection'!K105)</f>
        <v>R772</v>
      </c>
      <c r="M324" s="257">
        <f>IFERROR(INDEX('Green_rooibos initial weight'!$C$5:$C$2000,MATCH(L324, 'Green_rooibos initial weight'!$A$5:$A$2000,0)),"")</f>
        <v>2.1909999999999998</v>
      </c>
      <c r="N324" s="257">
        <f>IFERROR(M324-(TBIcalc!$Q$9+TBIcalc!$Q$10),"")</f>
        <v>1.9411999999999998</v>
      </c>
      <c r="O324" s="378">
        <f>AVERAGE(Ashed_controlls!$K$12:$K$14)</f>
        <v>2.2816647271287041</v>
      </c>
      <c r="P324" s="257">
        <f t="shared" si="26"/>
        <v>1.8969083243169773</v>
      </c>
      <c r="Q324" s="257">
        <f>IFERROR(INDEX('Both teabags AfterDry'!$D$2:$D$2000,MATCH(L324,'Both teabags AfterDry'!$A$2:$A$2000,0)),"")</f>
        <v>1.5579000000000001</v>
      </c>
      <c r="R324" s="257">
        <f>IFERROR(IF(Q324&gt;0,Q324-(TBIcalc!$Q$9),""),"")</f>
        <v>1.4073</v>
      </c>
      <c r="S324" s="268">
        <f>IFERROR(INDEX('Ashed teabags dry'!$K$2:$K$2000,MATCH(L324,'Ashed teabags dry'!$A$2:$A$2000,0)),"")</f>
        <v>79.426490669094463</v>
      </c>
      <c r="T324" s="268">
        <f t="shared" si="27"/>
        <v>0.28953099681383354</v>
      </c>
      <c r="U324" s="258">
        <f>IF('Dry_Litterbag Placem_Collection'!E105="","",'Dry_Litterbag Placem_Collection'!E105)</f>
        <v>42939</v>
      </c>
      <c r="V324" s="258">
        <f>IF('Dry_Litterbag Placem_Collection'!G105="","",'Dry_Litterbag Placem_Collection'!G105)</f>
        <v>43010</v>
      </c>
      <c r="W324" s="259">
        <f t="shared" si="25"/>
        <v>71</v>
      </c>
      <c r="X324" s="257">
        <f t="shared" si="28"/>
        <v>0.53389999999999982</v>
      </c>
      <c r="Y324" s="257">
        <f t="shared" si="29"/>
        <v>1.6073773275031438</v>
      </c>
      <c r="Z324" s="261">
        <f>IFERROR(INDEX([3]Rainfall_Dry!$O$2:$O$217,MATCH(C324, [3]Rainfall_Dry!$A$2:$A$217,0)),"")</f>
        <v>137.19979645800001</v>
      </c>
      <c r="AA324" s="250">
        <v>45.96</v>
      </c>
      <c r="AB324" s="250">
        <v>14.920000000000003</v>
      </c>
      <c r="AC324" s="250">
        <v>39.119999999999997</v>
      </c>
      <c r="AD324" s="251" t="s">
        <v>2654</v>
      </c>
      <c r="AE324" s="250">
        <v>8.0374568753080293</v>
      </c>
      <c r="AF324">
        <f>IF('WetLitterbags placem_collection'!AB105="","",'WetLitterbags placem_collection'!AB105)</f>
        <v>3.25</v>
      </c>
      <c r="AG324">
        <f>IF('WetLitterbags placem_collection'!Z105="","",'WetLitterbags placem_collection'!Z105)</f>
        <v>16</v>
      </c>
      <c r="AH324" s="236" t="str">
        <f>IF('WetLitterbags placem_collection'!AA105="","",'WetLitterbags placem_collection'!AA105)</f>
        <v>G</v>
      </c>
      <c r="AI324">
        <f>IF('WetLitterbags placem_collection'!AC105="","",'WetLitterbags placem_collection'!AC105)</f>
        <v>1</v>
      </c>
      <c r="AJ324">
        <f>IFERROR(AVERAGE('Dry_Litterbag Placem_Collection'!O105,'Dry_Litterbag Placem_Collection'!R105),"")</f>
        <v>30.9</v>
      </c>
      <c r="AK324" s="261">
        <f>IFERROR(AVERAGE('Dry_Litterbag Placem_Collection'!N105,'Dry_Litterbag Placem_Collection'!Q105),"")</f>
        <v>28.799999999999997</v>
      </c>
      <c r="AL324" s="260">
        <f>INDEX([2]Coordinates!$B$2:$B$197,MATCH(I324,[2]Coordinates!$J$2:$J$197,0))</f>
        <v>-2.3691330289999999</v>
      </c>
      <c r="AM324" s="260">
        <f>INDEX([2]Coordinates!$C$2:$C$197,MATCH(I324,[2]Coordinates!$J$2:$J$197,0))</f>
        <v>34.060233009999997</v>
      </c>
      <c r="AN324" s="260" t="str">
        <f>IF(ISNUMBER(SEARCH("C", 'Dry_Litterbag Placem_Collection'!T105)),"YES","NO")</f>
        <v>YES</v>
      </c>
      <c r="AO324" s="260" t="str">
        <f>IF(ISNUMBER(SEARCH("H", 'Dry_Litterbag Placem_Collection'!T105)),"YES","NO")</f>
        <v>YES</v>
      </c>
      <c r="AP324" s="260" t="str">
        <f>IF(ISNUMBER(SEARCH("R", 'Dry_Litterbag Placem_Collection'!T105)),"YES","NO")</f>
        <v>NO</v>
      </c>
    </row>
    <row r="325" spans="1:42" ht="15" customHeight="1">
      <c r="A325" t="s">
        <v>3248</v>
      </c>
      <c r="B325" s="252" t="s">
        <v>2643</v>
      </c>
      <c r="C325" s="253">
        <f>'Dry_Litterbag Placem_Collection'!A106</f>
        <v>104</v>
      </c>
      <c r="D325" s="253" t="str">
        <f>'Dry_Litterbag Placem_Collection'!B106</f>
        <v xml:space="preserve">Mwantimba
</v>
      </c>
      <c r="E325" s="253" t="s">
        <v>2454</v>
      </c>
      <c r="F325" s="253" t="s">
        <v>2644</v>
      </c>
      <c r="G325" s="253">
        <v>1</v>
      </c>
      <c r="H325" s="253" t="s">
        <v>3116</v>
      </c>
      <c r="I325" s="254" t="str">
        <f>'Dry_Litterbag Placem_Collection'!C106</f>
        <v>Wet_Ag1_T8</v>
      </c>
      <c r="J325" s="255" t="s">
        <v>2525</v>
      </c>
      <c r="K325" s="262" t="s">
        <v>298</v>
      </c>
      <c r="L325" s="253" t="str">
        <f>IF(ISBLANK('Dry_Litterbag Placem_Collection'!K106),"","R"&amp;""&amp;'Dry_Litterbag Placem_Collection'!K106)</f>
        <v>R744</v>
      </c>
      <c r="M325" s="257">
        <f>IFERROR(INDEX('Green_rooibos initial weight'!$C$5:$C$2000,MATCH(L325, 'Green_rooibos initial weight'!$A$5:$A$2000,0)),"")</f>
        <v>2.2280000000000002</v>
      </c>
      <c r="N325" s="257">
        <f>IFERROR(M325-(TBIcalc!$Q$9+TBIcalc!$Q$10),"")</f>
        <v>1.9782000000000002</v>
      </c>
      <c r="O325" s="378">
        <f>AVERAGE(Ashed_controlls!$K$12:$K$14)</f>
        <v>2.2816647271287041</v>
      </c>
      <c r="P325" s="257">
        <f t="shared" si="26"/>
        <v>1.9330641083679401</v>
      </c>
      <c r="Q325" s="257">
        <f>IFERROR(INDEX('Both teabags AfterDry'!$D$2:$D$2000,MATCH(L325,'Both teabags AfterDry'!$A$2:$A$2000,0)),"")</f>
        <v>0</v>
      </c>
      <c r="R325" s="257" t="str">
        <f>IFERROR(IF(Q325&gt;0,Q325-(TBIcalc!$Q$9),""),"")</f>
        <v/>
      </c>
      <c r="S325" s="268">
        <f>IFERROR(INDEX('Ashed teabags dry'!$K$2:$K$2000,MATCH(L325,'Ashed teabags dry'!$A$2:$A$2000,0)),"")</f>
        <v>84.528487229861895</v>
      </c>
      <c r="T325" s="268" t="str">
        <f t="shared" si="27"/>
        <v/>
      </c>
      <c r="U325" s="258">
        <f>IF('Dry_Litterbag Placem_Collection'!E106="","",'Dry_Litterbag Placem_Collection'!E106)</f>
        <v>42939</v>
      </c>
      <c r="V325" s="258">
        <f>IF('Dry_Litterbag Placem_Collection'!G106="","",'Dry_Litterbag Placem_Collection'!G106)</f>
        <v>43010</v>
      </c>
      <c r="W325" s="259">
        <f t="shared" si="25"/>
        <v>71</v>
      </c>
      <c r="X325" s="257" t="str">
        <f t="shared" si="28"/>
        <v/>
      </c>
      <c r="Y325" s="257" t="str">
        <f t="shared" si="29"/>
        <v/>
      </c>
      <c r="Z325" s="261">
        <f>IFERROR(INDEX([3]Rainfall_Dry!$O$2:$O$217,MATCH(C325, [3]Rainfall_Dry!$A$2:$A$217,0)),"")</f>
        <v>137.19979645800001</v>
      </c>
      <c r="AA325" s="250">
        <v>45.96</v>
      </c>
      <c r="AB325" s="250">
        <v>14.920000000000003</v>
      </c>
      <c r="AC325" s="250">
        <v>39.119999999999997</v>
      </c>
      <c r="AD325" s="251" t="s">
        <v>2654</v>
      </c>
      <c r="AE325" s="250">
        <v>9.0374568753080293</v>
      </c>
      <c r="AF325">
        <f>IF('WetLitterbags placem_collection'!AB106="","",'WetLitterbags placem_collection'!AB106)</f>
        <v>10.5</v>
      </c>
      <c r="AG325">
        <f>IF('WetLitterbags placem_collection'!Z106="","",'WetLitterbags placem_collection'!Z106)</f>
        <v>17</v>
      </c>
      <c r="AH325" s="236" t="str">
        <f>IF('WetLitterbags placem_collection'!AA106="","",'WetLitterbags placem_collection'!AA106)</f>
        <v>G</v>
      </c>
      <c r="AI325">
        <f>IF('WetLitterbags placem_collection'!AC106="","",'WetLitterbags placem_collection'!AC106)</f>
        <v>1</v>
      </c>
      <c r="AJ325">
        <f>IFERROR(AVERAGE('Dry_Litterbag Placem_Collection'!O106,'Dry_Litterbag Placem_Collection'!R106),"")</f>
        <v>9.3000000000000007</v>
      </c>
      <c r="AK325" s="261">
        <f>IFERROR(AVERAGE('Dry_Litterbag Placem_Collection'!N106,'Dry_Litterbag Placem_Collection'!Q106),"")</f>
        <v>28.05</v>
      </c>
      <c r="AL325" s="260">
        <f>INDEX([2]Coordinates!$B$2:$B$197,MATCH(I325,[2]Coordinates!$J$2:$J$197,0))</f>
        <v>-2.3692910280000001</v>
      </c>
      <c r="AM325" s="260">
        <f>INDEX([2]Coordinates!$C$2:$C$197,MATCH(I325,[2]Coordinates!$J$2:$J$197,0))</f>
        <v>34.06016202</v>
      </c>
      <c r="AN325" s="260" t="str">
        <f>IF(ISNUMBER(SEARCH("C", 'Dry_Litterbag Placem_Collection'!T106)),"YES","NO")</f>
        <v>YES</v>
      </c>
      <c r="AO325" s="260" t="str">
        <f>IF(ISNUMBER(SEARCH("H", 'Dry_Litterbag Placem_Collection'!T106)),"YES","NO")</f>
        <v>YES</v>
      </c>
      <c r="AP325" s="260" t="str">
        <f>IF(ISNUMBER(SEARCH("R", 'Dry_Litterbag Placem_Collection'!T106)),"YES","NO")</f>
        <v>NO</v>
      </c>
    </row>
    <row r="326" spans="1:42" ht="15" customHeight="1">
      <c r="A326" t="s">
        <v>3248</v>
      </c>
      <c r="B326" s="252" t="s">
        <v>2643</v>
      </c>
      <c r="C326" s="253">
        <f>'Dry_Litterbag Placem_Collection'!A107</f>
        <v>105</v>
      </c>
      <c r="D326" s="253" t="str">
        <f>'Dry_Litterbag Placem_Collection'!B107</f>
        <v xml:space="preserve">Mwantimba
</v>
      </c>
      <c r="E326" s="253" t="s">
        <v>2454</v>
      </c>
      <c r="F326" s="253" t="s">
        <v>2644</v>
      </c>
      <c r="G326" s="253">
        <v>2</v>
      </c>
      <c r="H326" s="253" t="s">
        <v>3118</v>
      </c>
      <c r="I326" s="254" t="str">
        <f>'Dry_Litterbag Placem_Collection'!C107</f>
        <v>Wet_Ag2_T1</v>
      </c>
      <c r="J326" s="255" t="s">
        <v>2525</v>
      </c>
      <c r="K326" s="262" t="s">
        <v>298</v>
      </c>
      <c r="L326" s="253" t="str">
        <f>IF(ISBLANK('Dry_Litterbag Placem_Collection'!K107),"","R"&amp;""&amp;'Dry_Litterbag Placem_Collection'!K107)</f>
        <v>R824</v>
      </c>
      <c r="M326" s="257">
        <f>IFERROR(INDEX('Green_rooibos initial weight'!$C$5:$C$2000,MATCH(L326, 'Green_rooibos initial weight'!$A$5:$A$2000,0)),"")</f>
        <v>2.173</v>
      </c>
      <c r="N326" s="257">
        <f>IFERROR(M326-(TBIcalc!$Q$9+TBIcalc!$Q$10),"")</f>
        <v>1.9232</v>
      </c>
      <c r="O326" s="378">
        <f>AVERAGE(Ashed_controlls!$K$12:$K$14)</f>
        <v>2.2816647271287041</v>
      </c>
      <c r="P326" s="257">
        <f t="shared" si="26"/>
        <v>1.8793190239678608</v>
      </c>
      <c r="Q326" s="257">
        <f>IFERROR(INDEX('Both teabags AfterDry'!$D$2:$D$2000,MATCH(L326,'Both teabags AfterDry'!$A$2:$A$2000,0)),"")</f>
        <v>1.7653000000000001</v>
      </c>
      <c r="R326" s="257">
        <f>IFERROR(IF(Q326&gt;0,Q326-(TBIcalc!$Q$9),""),"")</f>
        <v>1.6147</v>
      </c>
      <c r="S326" s="268">
        <f>IFERROR(INDEX('Ashed teabags dry'!$K$2:$K$2000,MATCH(L326,'Ashed teabags dry'!$A$2:$A$2000,0)),"")</f>
        <v>83.348375451263863</v>
      </c>
      <c r="T326" s="268">
        <f t="shared" si="27"/>
        <v>0.26887378158844233</v>
      </c>
      <c r="U326" s="258">
        <f>IF('Dry_Litterbag Placem_Collection'!E107="","",'Dry_Litterbag Placem_Collection'!E107)</f>
        <v>42939</v>
      </c>
      <c r="V326" s="258">
        <f>IF('Dry_Litterbag Placem_Collection'!G107="","",'Dry_Litterbag Placem_Collection'!G107)</f>
        <v>43010</v>
      </c>
      <c r="W326" s="259">
        <f t="shared" si="25"/>
        <v>71</v>
      </c>
      <c r="X326" s="257">
        <f t="shared" si="28"/>
        <v>0.3085</v>
      </c>
      <c r="Y326" s="257">
        <f t="shared" si="29"/>
        <v>1.6104452423794184</v>
      </c>
      <c r="Z326" s="261">
        <f>IFERROR(INDEX([3]Rainfall_Dry!$O$2:$O$217,MATCH(C326, [3]Rainfall_Dry!$A$2:$A$217,0)),"")</f>
        <v>137.19979645800001</v>
      </c>
      <c r="AA326" s="250">
        <v>34.344660194174757</v>
      </c>
      <c r="AB326" s="250">
        <v>19.22727272727273</v>
      </c>
      <c r="AC326" s="250">
        <v>46.428067078552509</v>
      </c>
      <c r="AD326" s="251" t="s">
        <v>2651</v>
      </c>
      <c r="AE326" s="250">
        <v>1.7452932479053718</v>
      </c>
      <c r="AF326">
        <f>IF('WetLitterbags placem_collection'!AB107="","",'WetLitterbags placem_collection'!AB107)</f>
        <v>5.5</v>
      </c>
      <c r="AG326">
        <f>IF('WetLitterbags placem_collection'!Z107="","",'WetLitterbags placem_collection'!Z107)</f>
        <v>23.5</v>
      </c>
      <c r="AH326" s="236" t="str">
        <f>IF('WetLitterbags placem_collection'!AA107="","",'WetLitterbags placem_collection'!AA107)</f>
        <v>M</v>
      </c>
      <c r="AI326">
        <f>IF('WetLitterbags placem_collection'!AC107="","",'WetLitterbags placem_collection'!AC107)</f>
        <v>0</v>
      </c>
      <c r="AJ326">
        <f>IFERROR(AVERAGE('Dry_Litterbag Placem_Collection'!O107,'Dry_Litterbag Placem_Collection'!R107),"")</f>
        <v>7.5500000000000007</v>
      </c>
      <c r="AK326" s="261">
        <f>IFERROR(AVERAGE('Dry_Litterbag Placem_Collection'!N107,'Dry_Litterbag Placem_Collection'!Q107),"")</f>
        <v>30.549999999999997</v>
      </c>
      <c r="AL326" s="260">
        <f>INDEX([2]Coordinates!$B$2:$B$197,MATCH(I326,[2]Coordinates!$J$2:$J$197,0))</f>
        <v>-2.3698080240000001</v>
      </c>
      <c r="AM326" s="260">
        <f>INDEX([2]Coordinates!$C$2:$C$197,MATCH(I326,[2]Coordinates!$J$2:$J$197,0))</f>
        <v>34.059671010000002</v>
      </c>
      <c r="AN326" s="260" t="str">
        <f>IF(ISNUMBER(SEARCH("C", 'Dry_Litterbag Placem_Collection'!T107)),"YES","NO")</f>
        <v>YES</v>
      </c>
      <c r="AO326" s="260" t="str">
        <f>IF(ISNUMBER(SEARCH("H", 'Dry_Litterbag Placem_Collection'!T107)),"YES","NO")</f>
        <v>YES</v>
      </c>
      <c r="AP326" s="260" t="str">
        <f>IF(ISNUMBER(SEARCH("R", 'Dry_Litterbag Placem_Collection'!T107)),"YES","NO")</f>
        <v>NO</v>
      </c>
    </row>
    <row r="327" spans="1:42" ht="15" customHeight="1">
      <c r="A327" t="s">
        <v>3248</v>
      </c>
      <c r="B327" s="252" t="s">
        <v>2643</v>
      </c>
      <c r="C327" s="253">
        <f>'Dry_Litterbag Placem_Collection'!A108</f>
        <v>106</v>
      </c>
      <c r="D327" s="253" t="str">
        <f>'Dry_Litterbag Placem_Collection'!B108</f>
        <v xml:space="preserve">Mwantimba
</v>
      </c>
      <c r="E327" s="253" t="s">
        <v>2454</v>
      </c>
      <c r="F327" s="253" t="s">
        <v>2644</v>
      </c>
      <c r="G327" s="253">
        <v>2</v>
      </c>
      <c r="H327" s="253" t="s">
        <v>3118</v>
      </c>
      <c r="I327" s="254" t="str">
        <f>'Dry_Litterbag Placem_Collection'!C108</f>
        <v>Wet_Ag2_T2</v>
      </c>
      <c r="J327" s="255" t="s">
        <v>2525</v>
      </c>
      <c r="K327" s="262" t="s">
        <v>298</v>
      </c>
      <c r="L327" s="253" t="str">
        <f>IF(ISBLANK('Dry_Litterbag Placem_Collection'!K108),"","R"&amp;""&amp;'Dry_Litterbag Placem_Collection'!K108)</f>
        <v>R790</v>
      </c>
      <c r="M327" s="257">
        <f>IFERROR(INDEX('Green_rooibos initial weight'!$C$5:$C$2000,MATCH(L327, 'Green_rooibos initial weight'!$A$5:$A$2000,0)),"")</f>
        <v>2.266</v>
      </c>
      <c r="N327" s="257">
        <f>IFERROR(M327-(TBIcalc!$Q$9+TBIcalc!$Q$10),"")</f>
        <v>2.0162</v>
      </c>
      <c r="O327" s="378">
        <f>AVERAGE(Ashed_controlls!$K$12:$K$14)</f>
        <v>2.2816647271287041</v>
      </c>
      <c r="P327" s="257">
        <f t="shared" si="26"/>
        <v>1.9701970757716312</v>
      </c>
      <c r="Q327" s="257">
        <f>IFERROR(INDEX('Both teabags AfterDry'!$D$2:$D$2000,MATCH(L327,'Both teabags AfterDry'!$A$2:$A$2000,0)),"")</f>
        <v>2.2315</v>
      </c>
      <c r="R327" s="257">
        <f>IFERROR(IF(Q327&gt;0,Q327-(TBIcalc!$Q$9),""),"")</f>
        <v>2.0809000000000002</v>
      </c>
      <c r="S327" s="268">
        <f>IFERROR(INDEX('Ashed teabags dry'!$K$2:$K$2000,MATCH(L327,'Ashed teabags dry'!$A$2:$A$2000,0)),"")</f>
        <v>81.485100146555695</v>
      </c>
      <c r="T327" s="268">
        <f t="shared" si="27"/>
        <v>0.38527655105032244</v>
      </c>
      <c r="U327" s="258">
        <f>IF('Dry_Litterbag Placem_Collection'!E108="","",'Dry_Litterbag Placem_Collection'!E108)</f>
        <v>42939</v>
      </c>
      <c r="V327" s="258">
        <f>IF('Dry_Litterbag Placem_Collection'!G108="","",'Dry_Litterbag Placem_Collection'!G108)</f>
        <v>43010</v>
      </c>
      <c r="W327" s="259">
        <f t="shared" si="25"/>
        <v>71</v>
      </c>
      <c r="X327" s="257">
        <f t="shared" si="28"/>
        <v>-6.4700000000000202E-2</v>
      </c>
      <c r="Y327" s="257">
        <f t="shared" si="29"/>
        <v>1.5849205247213087</v>
      </c>
      <c r="Z327" s="261">
        <f>IFERROR(INDEX([3]Rainfall_Dry!$O$2:$O$217,MATCH(C327, [3]Rainfall_Dry!$A$2:$A$217,0)),"")</f>
        <v>137.19979645800001</v>
      </c>
      <c r="AA327" s="250">
        <v>34.344660194174757</v>
      </c>
      <c r="AB327" s="250">
        <v>19.22727272727273</v>
      </c>
      <c r="AC327" s="250">
        <v>46.428067078552509</v>
      </c>
      <c r="AD327" s="251" t="s">
        <v>2651</v>
      </c>
      <c r="AE327" s="250">
        <v>2.7452932479053702</v>
      </c>
      <c r="AF327">
        <f>IF('WetLitterbags placem_collection'!AB108="","",'WetLitterbags placem_collection'!AB108)</f>
        <v>8.6</v>
      </c>
      <c r="AG327">
        <f>IF('WetLitterbags placem_collection'!Z108="","",'WetLitterbags placem_collection'!Z108)</f>
        <v>17</v>
      </c>
      <c r="AH327" s="236" t="str">
        <f>IF('WetLitterbags placem_collection'!AA108="","",'WetLitterbags placem_collection'!AA108)</f>
        <v>M</v>
      </c>
      <c r="AI327">
        <f>IF('WetLitterbags placem_collection'!AC108="","",'WetLitterbags placem_collection'!AC108)</f>
        <v>0</v>
      </c>
      <c r="AJ327">
        <f>IFERROR(AVERAGE('Dry_Litterbag Placem_Collection'!O108,'Dry_Litterbag Placem_Collection'!R108),"")</f>
        <v>6.1</v>
      </c>
      <c r="AK327" s="261">
        <f>IFERROR(AVERAGE('Dry_Litterbag Placem_Collection'!N108,'Dry_Litterbag Placem_Collection'!Q108),"")</f>
        <v>31.3</v>
      </c>
      <c r="AL327" s="260">
        <f>INDEX([2]Coordinates!$B$2:$B$197,MATCH(I327,[2]Coordinates!$J$2:$J$197,0))</f>
        <v>-2.3697620069999998</v>
      </c>
      <c r="AM327" s="260">
        <f>INDEX([2]Coordinates!$C$2:$C$197,MATCH(I327,[2]Coordinates!$J$2:$J$197,0))</f>
        <v>34.059730010000003</v>
      </c>
      <c r="AN327" s="260" t="str">
        <f>IF(ISNUMBER(SEARCH("C", 'Dry_Litterbag Placem_Collection'!T108)),"YES","NO")</f>
        <v>YES</v>
      </c>
      <c r="AO327" s="260" t="str">
        <f>IF(ISNUMBER(SEARCH("H", 'Dry_Litterbag Placem_Collection'!T108)),"YES","NO")</f>
        <v>YES</v>
      </c>
      <c r="AP327" s="260" t="str">
        <f>IF(ISNUMBER(SEARCH("R", 'Dry_Litterbag Placem_Collection'!T108)),"YES","NO")</f>
        <v>NO</v>
      </c>
    </row>
    <row r="328" spans="1:42" ht="15" customHeight="1">
      <c r="A328" t="s">
        <v>3248</v>
      </c>
      <c r="B328" s="252" t="s">
        <v>2643</v>
      </c>
      <c r="C328" s="253">
        <f>'Dry_Litterbag Placem_Collection'!A109</f>
        <v>107</v>
      </c>
      <c r="D328" s="253" t="str">
        <f>'Dry_Litterbag Placem_Collection'!B109</f>
        <v xml:space="preserve">Mwantimba
</v>
      </c>
      <c r="E328" s="253" t="s">
        <v>2454</v>
      </c>
      <c r="F328" s="253" t="s">
        <v>2644</v>
      </c>
      <c r="G328" s="253">
        <v>2</v>
      </c>
      <c r="H328" s="253" t="s">
        <v>3118</v>
      </c>
      <c r="I328" s="254" t="str">
        <f>'Dry_Litterbag Placem_Collection'!C109</f>
        <v>Wet_Ag2_T3</v>
      </c>
      <c r="J328" s="255" t="s">
        <v>2525</v>
      </c>
      <c r="K328" s="262" t="s">
        <v>298</v>
      </c>
      <c r="L328" s="253" t="str">
        <f>IF(ISBLANK('Dry_Litterbag Placem_Collection'!K109),"","R"&amp;""&amp;'Dry_Litterbag Placem_Collection'!K109)</f>
        <v>R809</v>
      </c>
      <c r="M328" s="257">
        <f>IFERROR(INDEX('Green_rooibos initial weight'!$C$5:$C$2000,MATCH(L328, 'Green_rooibos initial weight'!$A$5:$A$2000,0)),"")</f>
        <v>2.2210000000000001</v>
      </c>
      <c r="N328" s="257">
        <f>IFERROR(M328-(TBIcalc!$Q$9+TBIcalc!$Q$10),"")</f>
        <v>1.9712000000000001</v>
      </c>
      <c r="O328" s="378">
        <f>AVERAGE(Ashed_controlls!$K$12:$K$14)</f>
        <v>2.2816647271287041</v>
      </c>
      <c r="P328" s="257">
        <f t="shared" si="26"/>
        <v>1.926223824898839</v>
      </c>
      <c r="Q328" s="257" t="str">
        <f>IFERROR(INDEX('Both teabags AfterDry'!$D$2:$D$2000,MATCH(L328,'Both teabags AfterDry'!$A$2:$A$2000,0)),"")</f>
        <v/>
      </c>
      <c r="R328" s="257" t="str">
        <f>IFERROR(IF(Q328&gt;0,Q328-(TBIcalc!$Q$9),""),"")</f>
        <v/>
      </c>
      <c r="S328" s="268" t="str">
        <f>IFERROR(INDEX('Ashed teabags dry'!$K$2:$K$2000,MATCH(L328,'Ashed teabags dry'!$A$2:$A$2000,0)),"")</f>
        <v/>
      </c>
      <c r="T328" s="268" t="str">
        <f t="shared" si="27"/>
        <v/>
      </c>
      <c r="U328" s="258">
        <f>IF('Dry_Litterbag Placem_Collection'!E109="","",'Dry_Litterbag Placem_Collection'!E109)</f>
        <v>42939</v>
      </c>
      <c r="V328" s="258">
        <f>IF('Dry_Litterbag Placem_Collection'!G109="","",'Dry_Litterbag Placem_Collection'!G109)</f>
        <v>43010</v>
      </c>
      <c r="W328" s="259">
        <f t="shared" si="25"/>
        <v>71</v>
      </c>
      <c r="X328" s="257" t="str">
        <f t="shared" si="28"/>
        <v/>
      </c>
      <c r="Y328" s="257" t="str">
        <f t="shared" si="29"/>
        <v/>
      </c>
      <c r="Z328" s="261">
        <f>IFERROR(INDEX([3]Rainfall_Dry!$O$2:$O$217,MATCH(C328, [3]Rainfall_Dry!$A$2:$A$217,0)),"")</f>
        <v>137.19979645800001</v>
      </c>
      <c r="AA328" s="250">
        <v>34.344660194174757</v>
      </c>
      <c r="AB328" s="250">
        <v>19.22727272727273</v>
      </c>
      <c r="AC328" s="250">
        <v>46.428067078552509</v>
      </c>
      <c r="AD328" s="251" t="s">
        <v>2651</v>
      </c>
      <c r="AE328" s="250">
        <v>3.7452932479053702</v>
      </c>
      <c r="AF328">
        <f>IF('WetLitterbags placem_collection'!AB109="","",'WetLitterbags placem_collection'!AB109)</f>
        <v>3.85</v>
      </c>
      <c r="AG328">
        <f>IF('WetLitterbags placem_collection'!Z109="","",'WetLitterbags placem_collection'!Z109)</f>
        <v>15.5</v>
      </c>
      <c r="AH328" s="236" t="str">
        <f>IF('WetLitterbags placem_collection'!AA109="","",'WetLitterbags placem_collection'!AA109)</f>
        <v>M</v>
      </c>
      <c r="AI328">
        <f>IF('WetLitterbags placem_collection'!AC109="","",'WetLitterbags placem_collection'!AC109)</f>
        <v>0</v>
      </c>
      <c r="AJ328">
        <f>IFERROR(AVERAGE('Dry_Litterbag Placem_Collection'!O109,'Dry_Litterbag Placem_Collection'!R109),"")</f>
        <v>5.3</v>
      </c>
      <c r="AK328" s="261">
        <f>IFERROR(AVERAGE('Dry_Litterbag Placem_Collection'!N109,'Dry_Litterbag Placem_Collection'!Q109),"")</f>
        <v>30.200000000000003</v>
      </c>
      <c r="AL328" s="260">
        <f>INDEX([2]Coordinates!$B$2:$B$197,MATCH(I328,[2]Coordinates!$J$2:$J$197,0))</f>
        <v>-2.3698409649999999</v>
      </c>
      <c r="AM328" s="260">
        <f>INDEX([2]Coordinates!$C$2:$C$197,MATCH(I328,[2]Coordinates!$J$2:$J$197,0))</f>
        <v>34.059814000000003</v>
      </c>
      <c r="AN328" s="260" t="str">
        <f>IF(ISNUMBER(SEARCH("C", 'Dry_Litterbag Placem_Collection'!T109)),"YES","NO")</f>
        <v>YES</v>
      </c>
      <c r="AO328" s="260" t="str">
        <f>IF(ISNUMBER(SEARCH("H", 'Dry_Litterbag Placem_Collection'!T109)),"YES","NO")</f>
        <v>YES</v>
      </c>
      <c r="AP328" s="260" t="str">
        <f>IF(ISNUMBER(SEARCH("R", 'Dry_Litterbag Placem_Collection'!T109)),"YES","NO")</f>
        <v>NO</v>
      </c>
    </row>
    <row r="329" spans="1:42" ht="15" customHeight="1">
      <c r="A329" t="s">
        <v>3248</v>
      </c>
      <c r="B329" s="252" t="s">
        <v>2643</v>
      </c>
      <c r="C329" s="253">
        <f>'Dry_Litterbag Placem_Collection'!A110</f>
        <v>108</v>
      </c>
      <c r="D329" s="253" t="str">
        <f>'Dry_Litterbag Placem_Collection'!B110</f>
        <v xml:space="preserve">Mwantimba
</v>
      </c>
      <c r="E329" s="253" t="s">
        <v>2454</v>
      </c>
      <c r="F329" s="253" t="s">
        <v>2644</v>
      </c>
      <c r="G329" s="253">
        <v>2</v>
      </c>
      <c r="H329" s="253" t="s">
        <v>3118</v>
      </c>
      <c r="I329" s="254" t="str">
        <f>'Dry_Litterbag Placem_Collection'!C110</f>
        <v>Wet_Ag2_T4</v>
      </c>
      <c r="J329" s="255" t="s">
        <v>2525</v>
      </c>
      <c r="K329" s="262" t="s">
        <v>298</v>
      </c>
      <c r="L329" s="253" t="str">
        <f>IF(ISBLANK('Dry_Litterbag Placem_Collection'!K110),"","R"&amp;""&amp;'Dry_Litterbag Placem_Collection'!K110)</f>
        <v>R777</v>
      </c>
      <c r="M329" s="257">
        <f>IFERROR(INDEX('Green_rooibos initial weight'!$C$5:$C$2000,MATCH(L329, 'Green_rooibos initial weight'!$A$5:$A$2000,0)),"")</f>
        <v>2.2549999999999999</v>
      </c>
      <c r="N329" s="257">
        <f>IFERROR(M329-(TBIcalc!$Q$9+TBIcalc!$Q$10),"")</f>
        <v>2.0051999999999999</v>
      </c>
      <c r="O329" s="378">
        <f>AVERAGE(Ashed_controlls!$K$12:$K$14)</f>
        <v>2.2816647271287041</v>
      </c>
      <c r="P329" s="257">
        <f t="shared" si="26"/>
        <v>1.959448058891615</v>
      </c>
      <c r="Q329" s="257">
        <f>IFERROR(INDEX('Both teabags AfterDry'!$D$2:$D$2000,MATCH(L329,'Both teabags AfterDry'!$A$2:$A$2000,0)),"")</f>
        <v>1.8240000000000001</v>
      </c>
      <c r="R329" s="257">
        <f>IFERROR(IF(Q329&gt;0,Q329-(TBIcalc!$Q$9),""),"")</f>
        <v>1.6734</v>
      </c>
      <c r="S329" s="268">
        <f>IFERROR(INDEX('Ashed teabags dry'!$K$2:$K$2000,MATCH(L329,'Ashed teabags dry'!$A$2:$A$2000,0)),"")</f>
        <v>4.6835443037977491</v>
      </c>
      <c r="T329" s="268">
        <f t="shared" si="27"/>
        <v>1.5950255696202484</v>
      </c>
      <c r="U329" s="258">
        <f>IF('Dry_Litterbag Placem_Collection'!E110="","",'Dry_Litterbag Placem_Collection'!E110)</f>
        <v>42939</v>
      </c>
      <c r="V329" s="258">
        <f>IF('Dry_Litterbag Placem_Collection'!G110="","",'Dry_Litterbag Placem_Collection'!G110)</f>
        <v>43010</v>
      </c>
      <c r="W329" s="259">
        <f t="shared" si="25"/>
        <v>71</v>
      </c>
      <c r="X329" s="257">
        <f t="shared" si="28"/>
        <v>0.33179999999999987</v>
      </c>
      <c r="Y329" s="257">
        <f t="shared" si="29"/>
        <v>0.36442248927136656</v>
      </c>
      <c r="Z329" s="261">
        <f>IFERROR(INDEX([3]Rainfall_Dry!$O$2:$O$217,MATCH(C329, [3]Rainfall_Dry!$A$2:$A$217,0)),"")</f>
        <v>137.19979645800001</v>
      </c>
      <c r="AA329" s="250">
        <v>34.344660194174757</v>
      </c>
      <c r="AB329" s="250">
        <v>19.22727272727273</v>
      </c>
      <c r="AC329" s="250">
        <v>46.428067078552509</v>
      </c>
      <c r="AD329" s="251" t="s">
        <v>2651</v>
      </c>
      <c r="AE329" s="250">
        <v>4.7452932479053702</v>
      </c>
      <c r="AF329">
        <f>IF('WetLitterbags placem_collection'!AB110="","",'WetLitterbags placem_collection'!AB110)</f>
        <v>9.6999999999999993</v>
      </c>
      <c r="AG329">
        <f>IF('WetLitterbags placem_collection'!Z110="","",'WetLitterbags placem_collection'!Z110)</f>
        <v>22.5</v>
      </c>
      <c r="AH329" s="236" t="str">
        <f>IF('WetLitterbags placem_collection'!AA110="","",'WetLitterbags placem_collection'!AA110)</f>
        <v>M</v>
      </c>
      <c r="AI329">
        <f>IF('WetLitterbags placem_collection'!AC110="","",'WetLitterbags placem_collection'!AC110)</f>
        <v>0</v>
      </c>
      <c r="AJ329">
        <f>IFERROR(AVERAGE('Dry_Litterbag Placem_Collection'!O110,'Dry_Litterbag Placem_Collection'!R110),"")</f>
        <v>7.65</v>
      </c>
      <c r="AK329" s="261">
        <f>IFERROR(AVERAGE('Dry_Litterbag Placem_Collection'!N110,'Dry_Litterbag Placem_Collection'!Q110),"")</f>
        <v>31.8</v>
      </c>
      <c r="AL329" s="260">
        <f>INDEX([2]Coordinates!$B$2:$B$197,MATCH(I329,[2]Coordinates!$J$2:$J$197,0))</f>
        <v>-2.3698620030000002</v>
      </c>
      <c r="AM329" s="260">
        <f>INDEX([2]Coordinates!$C$2:$C$197,MATCH(I329,[2]Coordinates!$J$2:$J$197,0))</f>
        <v>34.059759020000001</v>
      </c>
      <c r="AN329" s="260" t="str">
        <f>IF(ISNUMBER(SEARCH("C", 'Dry_Litterbag Placem_Collection'!T110)),"YES","NO")</f>
        <v>NO</v>
      </c>
      <c r="AO329" s="260" t="str">
        <f>IF(ISNUMBER(SEARCH("H", 'Dry_Litterbag Placem_Collection'!T110)),"YES","NO")</f>
        <v>NO</v>
      </c>
      <c r="AP329" s="260" t="str">
        <f>IF(ISNUMBER(SEARCH("R", 'Dry_Litterbag Placem_Collection'!T110)),"YES","NO")</f>
        <v>NO</v>
      </c>
    </row>
    <row r="330" spans="1:42" ht="15" customHeight="1">
      <c r="A330" t="s">
        <v>3248</v>
      </c>
      <c r="B330" s="252" t="s">
        <v>2643</v>
      </c>
      <c r="C330" s="253">
        <f>'Dry_Litterbag Placem_Collection'!A111</f>
        <v>109</v>
      </c>
      <c r="D330" s="253" t="str">
        <f>'Dry_Litterbag Placem_Collection'!B111</f>
        <v xml:space="preserve">Mwantimba
</v>
      </c>
      <c r="E330" s="253" t="s">
        <v>2454</v>
      </c>
      <c r="F330" s="253" t="s">
        <v>2644</v>
      </c>
      <c r="G330" s="253">
        <v>2</v>
      </c>
      <c r="H330" s="253" t="s">
        <v>3118</v>
      </c>
      <c r="I330" s="254" t="str">
        <f>'Dry_Litterbag Placem_Collection'!C111</f>
        <v>Wet_Ag2_T5</v>
      </c>
      <c r="J330" s="255" t="s">
        <v>2525</v>
      </c>
      <c r="K330" s="262" t="s">
        <v>298</v>
      </c>
      <c r="L330" s="253" t="str">
        <f>IF(ISBLANK('Dry_Litterbag Placem_Collection'!K111),"","R"&amp;""&amp;'Dry_Litterbag Placem_Collection'!K111)</f>
        <v>R804</v>
      </c>
      <c r="M330" s="257">
        <f>IFERROR(INDEX('Green_rooibos initial weight'!$C$5:$C$2000,MATCH(L330, 'Green_rooibos initial weight'!$A$5:$A$2000,0)),"")</f>
        <v>2.1960000000000002</v>
      </c>
      <c r="N330" s="257">
        <f>IFERROR(M330-(TBIcalc!$Q$9+TBIcalc!$Q$10),"")</f>
        <v>1.9462000000000002</v>
      </c>
      <c r="O330" s="378">
        <f>AVERAGE(Ashed_controlls!$K$12:$K$14)</f>
        <v>2.2816647271287041</v>
      </c>
      <c r="P330" s="257">
        <f t="shared" si="26"/>
        <v>1.9017942410806212</v>
      </c>
      <c r="Q330" s="257">
        <f>IFERROR(INDEX('Both teabags AfterDry'!$D$2:$D$2000,MATCH(L330,'Both teabags AfterDry'!$A$2:$A$2000,0)),"")</f>
        <v>1.3936999999999999</v>
      </c>
      <c r="R330" s="257">
        <f>IFERROR(IF(Q330&gt;0,Q330-(TBIcalc!$Q$9),""),"")</f>
        <v>1.2430999999999999</v>
      </c>
      <c r="S330" s="268">
        <f>IFERROR(INDEX('Ashed teabags dry'!$K$2:$K$2000,MATCH(L330,'Ashed teabags dry'!$A$2:$A$2000,0)),"")</f>
        <v>71.520554730063893</v>
      </c>
      <c r="T330" s="268">
        <f t="shared" si="27"/>
        <v>0.35402798415057579</v>
      </c>
      <c r="U330" s="258">
        <f>IF('Dry_Litterbag Placem_Collection'!E111="","",'Dry_Litterbag Placem_Collection'!E111)</f>
        <v>42939</v>
      </c>
      <c r="V330" s="258">
        <f>IF('Dry_Litterbag Placem_Collection'!G111="","",'Dry_Litterbag Placem_Collection'!G111)</f>
        <v>43010</v>
      </c>
      <c r="W330" s="259">
        <f t="shared" si="25"/>
        <v>71</v>
      </c>
      <c r="X330" s="257">
        <f t="shared" si="28"/>
        <v>0.70310000000000028</v>
      </c>
      <c r="Y330" s="257">
        <f t="shared" si="29"/>
        <v>1.5477662569300454</v>
      </c>
      <c r="Z330" s="261">
        <f>IFERROR(INDEX([3]Rainfall_Dry!$O$2:$O$217,MATCH(C330, [3]Rainfall_Dry!$A$2:$A$217,0)),"")</f>
        <v>137.19979645800001</v>
      </c>
      <c r="AA330" s="250">
        <v>34.344660194174757</v>
      </c>
      <c r="AB330" s="250">
        <v>19.22727272727273</v>
      </c>
      <c r="AC330" s="250">
        <v>46.428067078552509</v>
      </c>
      <c r="AD330" s="251" t="s">
        <v>2651</v>
      </c>
      <c r="AE330" s="250">
        <v>5.7452932479053702</v>
      </c>
      <c r="AF330">
        <f>IF('WetLitterbags placem_collection'!AB111="","",'WetLitterbags placem_collection'!AB111)</f>
        <v>10.5</v>
      </c>
      <c r="AG330">
        <f>IF('WetLitterbags placem_collection'!Z111="","",'WetLitterbags placem_collection'!Z111)</f>
        <v>22.5</v>
      </c>
      <c r="AH330" s="236" t="str">
        <f>IF('WetLitterbags placem_collection'!AA111="","",'WetLitterbags placem_collection'!AA111)</f>
        <v>M</v>
      </c>
      <c r="AI330">
        <f>IF('WetLitterbags placem_collection'!AC111="","",'WetLitterbags placem_collection'!AC111)</f>
        <v>0</v>
      </c>
      <c r="AJ330">
        <f>IFERROR(AVERAGE('Dry_Litterbag Placem_Collection'!O111,'Dry_Litterbag Placem_Collection'!R111),"")</f>
        <v>7.5</v>
      </c>
      <c r="AK330" s="261">
        <f>IFERROR(AVERAGE('Dry_Litterbag Placem_Collection'!N111,'Dry_Litterbag Placem_Collection'!Q111),"")</f>
        <v>30.65</v>
      </c>
      <c r="AL330" s="260">
        <f>INDEX([2]Coordinates!$B$2:$B$197,MATCH(I330,[2]Coordinates!$J$2:$J$197,0))</f>
        <v>-2.3698390370000002</v>
      </c>
      <c r="AM330" s="260">
        <f>INDEX([2]Coordinates!$C$2:$C$197,MATCH(I330,[2]Coordinates!$J$2:$J$197,0))</f>
        <v>34.059714</v>
      </c>
      <c r="AN330" s="260" t="str">
        <f>IF(ISNUMBER(SEARCH("C", 'Dry_Litterbag Placem_Collection'!T111)),"YES","NO")</f>
        <v>YES</v>
      </c>
      <c r="AO330" s="260" t="str">
        <f>IF(ISNUMBER(SEARCH("H", 'Dry_Litterbag Placem_Collection'!T111)),"YES","NO")</f>
        <v>YES</v>
      </c>
      <c r="AP330" s="260" t="str">
        <f>IF(ISNUMBER(SEARCH("R", 'Dry_Litterbag Placem_Collection'!T111)),"YES","NO")</f>
        <v>NO</v>
      </c>
    </row>
    <row r="331" spans="1:42" ht="15" customHeight="1">
      <c r="A331" t="s">
        <v>3248</v>
      </c>
      <c r="B331" s="252" t="s">
        <v>2643</v>
      </c>
      <c r="C331" s="253">
        <f>'Dry_Litterbag Placem_Collection'!A112</f>
        <v>110</v>
      </c>
      <c r="D331" s="253" t="str">
        <f>'Dry_Litterbag Placem_Collection'!B112</f>
        <v xml:space="preserve">Mwantimba
</v>
      </c>
      <c r="E331" s="253" t="s">
        <v>2454</v>
      </c>
      <c r="F331" s="253" t="s">
        <v>2644</v>
      </c>
      <c r="G331" s="253">
        <v>2</v>
      </c>
      <c r="H331" s="253" t="s">
        <v>3118</v>
      </c>
      <c r="I331" s="254" t="str">
        <f>'Dry_Litterbag Placem_Collection'!C112</f>
        <v>Wet_Ag2_T6</v>
      </c>
      <c r="J331" s="255" t="s">
        <v>2525</v>
      </c>
      <c r="K331" s="262" t="s">
        <v>298</v>
      </c>
      <c r="L331" s="253" t="str">
        <f>IF(ISBLANK('Dry_Litterbag Placem_Collection'!K112),"","R"&amp;""&amp;'Dry_Litterbag Placem_Collection'!K112)</f>
        <v>R786</v>
      </c>
      <c r="M331" s="257">
        <f>IFERROR(INDEX('Green_rooibos initial weight'!$C$5:$C$2000,MATCH(L331, 'Green_rooibos initial weight'!$A$5:$A$2000,0)),"")</f>
        <v>2.177</v>
      </c>
      <c r="N331" s="257">
        <f>IFERROR(M331-(TBIcalc!$Q$9+TBIcalc!$Q$10),"")</f>
        <v>1.9272</v>
      </c>
      <c r="O331" s="378">
        <f>AVERAGE(Ashed_controlls!$K$12:$K$14)</f>
        <v>2.2816647271287041</v>
      </c>
      <c r="P331" s="257">
        <f t="shared" si="26"/>
        <v>1.8832277573787757</v>
      </c>
      <c r="Q331" s="257">
        <f>IFERROR(INDEX('Both teabags AfterDry'!$D$2:$D$2000,MATCH(L331,'Both teabags AfterDry'!$A$2:$A$2000,0)),"")</f>
        <v>1.7806</v>
      </c>
      <c r="R331" s="257">
        <f>IFERROR(IF(Q331&gt;0,Q331-(TBIcalc!$Q$9),""),"")</f>
        <v>1.63</v>
      </c>
      <c r="S331" s="268">
        <f>IFERROR(INDEX('Ashed teabags dry'!$K$2:$K$2000,MATCH(L331,'Ashed teabags dry'!$A$2:$A$2000,0)),"")</f>
        <v>88.700312639571393</v>
      </c>
      <c r="T331" s="268">
        <f t="shared" si="27"/>
        <v>0.18418490397498632</v>
      </c>
      <c r="U331" s="258">
        <f>IF('Dry_Litterbag Placem_Collection'!E112="","",'Dry_Litterbag Placem_Collection'!E112)</f>
        <v>42939</v>
      </c>
      <c r="V331" s="258">
        <f>IF('Dry_Litterbag Placem_Collection'!G112="","",'Dry_Litterbag Placem_Collection'!G112)</f>
        <v>43010</v>
      </c>
      <c r="W331" s="259">
        <f t="shared" si="25"/>
        <v>71</v>
      </c>
      <c r="X331" s="257">
        <f t="shared" si="28"/>
        <v>0.29720000000000013</v>
      </c>
      <c r="Y331" s="257">
        <f t="shared" si="29"/>
        <v>1.6990428534037894</v>
      </c>
      <c r="Z331" s="261">
        <f>IFERROR(INDEX([3]Rainfall_Dry!$O$2:$O$217,MATCH(C331, [3]Rainfall_Dry!$A$2:$A$217,0)),"")</f>
        <v>137.19979645800001</v>
      </c>
      <c r="AA331" s="250">
        <v>34.344660194174757</v>
      </c>
      <c r="AB331" s="250">
        <v>19.22727272727273</v>
      </c>
      <c r="AC331" s="250">
        <v>46.428067078552509</v>
      </c>
      <c r="AD331" s="251" t="s">
        <v>2651</v>
      </c>
      <c r="AE331" s="250">
        <v>6.7452932479053702</v>
      </c>
      <c r="AF331">
        <f>IF('WetLitterbags placem_collection'!AB112="","",'WetLitterbags placem_collection'!AB112)</f>
        <v>5.75</v>
      </c>
      <c r="AG331">
        <f>IF('WetLitterbags placem_collection'!Z112="","",'WetLitterbags placem_collection'!Z112)</f>
        <v>22.5</v>
      </c>
      <c r="AH331" s="236" t="str">
        <f>IF('WetLitterbags placem_collection'!AA112="","",'WetLitterbags placem_collection'!AA112)</f>
        <v>M</v>
      </c>
      <c r="AI331">
        <f>IF('WetLitterbags placem_collection'!AC112="","",'WetLitterbags placem_collection'!AC112)</f>
        <v>0</v>
      </c>
      <c r="AJ331">
        <f>IFERROR(AVERAGE('Dry_Litterbag Placem_Collection'!O112,'Dry_Litterbag Placem_Collection'!R112),"")</f>
        <v>7.3500000000000005</v>
      </c>
      <c r="AK331" s="261">
        <f>IFERROR(AVERAGE('Dry_Litterbag Placem_Collection'!N112,'Dry_Litterbag Placem_Collection'!Q112),"")</f>
        <v>31.150000000000002</v>
      </c>
      <c r="AL331" s="260">
        <f>INDEX([2]Coordinates!$B$2:$B$197,MATCH(I331,[2]Coordinates!$J$2:$J$197,0))</f>
        <v>-2.3697549659999999</v>
      </c>
      <c r="AM331" s="260">
        <f>INDEX([2]Coordinates!$C$2:$C$197,MATCH(I331,[2]Coordinates!$J$2:$J$197,0))</f>
        <v>34.059668989999999</v>
      </c>
      <c r="AN331" s="260" t="str">
        <f>IF(ISNUMBER(SEARCH("C", 'Dry_Litterbag Placem_Collection'!T112)),"YES","NO")</f>
        <v>YES</v>
      </c>
      <c r="AO331" s="260" t="str">
        <f>IF(ISNUMBER(SEARCH("H", 'Dry_Litterbag Placem_Collection'!T112)),"YES","NO")</f>
        <v>YES</v>
      </c>
      <c r="AP331" s="260" t="str">
        <f>IF(ISNUMBER(SEARCH("R", 'Dry_Litterbag Placem_Collection'!T112)),"YES","NO")</f>
        <v>NO</v>
      </c>
    </row>
    <row r="332" spans="1:42" ht="15" customHeight="1">
      <c r="A332" t="s">
        <v>3248</v>
      </c>
      <c r="B332" s="252" t="s">
        <v>2643</v>
      </c>
      <c r="C332" s="253">
        <f>'Dry_Litterbag Placem_Collection'!A113</f>
        <v>111</v>
      </c>
      <c r="D332" s="253" t="str">
        <f>'Dry_Litterbag Placem_Collection'!B113</f>
        <v xml:space="preserve">Mwantimba
</v>
      </c>
      <c r="E332" s="253" t="s">
        <v>2454</v>
      </c>
      <c r="F332" s="253" t="s">
        <v>2644</v>
      </c>
      <c r="G332" s="253">
        <v>2</v>
      </c>
      <c r="H332" s="253" t="s">
        <v>3118</v>
      </c>
      <c r="I332" s="254" t="str">
        <f>'Dry_Litterbag Placem_Collection'!C113</f>
        <v>Wet_Ag2_T7</v>
      </c>
      <c r="J332" s="255" t="s">
        <v>2525</v>
      </c>
      <c r="K332" s="262" t="s">
        <v>298</v>
      </c>
      <c r="L332" s="253" t="str">
        <f>IF(ISBLANK('Dry_Litterbag Placem_Collection'!K113),"","R"&amp;""&amp;'Dry_Litterbag Placem_Collection'!K113)</f>
        <v>R835</v>
      </c>
      <c r="M332" s="257">
        <f>IFERROR(INDEX('Green_rooibos initial weight'!$C$5:$C$2000,MATCH(L332, 'Green_rooibos initial weight'!$A$5:$A$2000,0)),"")</f>
        <v>2.15</v>
      </c>
      <c r="N332" s="257">
        <f>IFERROR(M332-(TBIcalc!$Q$9+TBIcalc!$Q$10),"")</f>
        <v>1.9001999999999999</v>
      </c>
      <c r="O332" s="378">
        <f>AVERAGE(Ashed_controlls!$K$12:$K$14)</f>
        <v>2.2816647271287041</v>
      </c>
      <c r="P332" s="257">
        <f t="shared" si="26"/>
        <v>1.8568438068551003</v>
      </c>
      <c r="Q332" s="257">
        <f>IFERROR(INDEX('Both teabags AfterDry'!$D$2:$D$2000,MATCH(L332,'Both teabags AfterDry'!$A$2:$A$2000,0)),"")</f>
        <v>1.7563</v>
      </c>
      <c r="R332" s="257">
        <f>IFERROR(IF(Q332&gt;0,Q332-(TBIcalc!$Q$9),""),"")</f>
        <v>1.6056999999999999</v>
      </c>
      <c r="S332" s="268">
        <f>IFERROR(INDEX('Ashed teabags dry'!$K$2:$K$2000,MATCH(L332,'Ashed teabags dry'!$A$2:$A$2000,0)),"")</f>
        <v>4.065040650406667</v>
      </c>
      <c r="T332" s="268">
        <f t="shared" si="27"/>
        <v>1.54042764227642</v>
      </c>
      <c r="U332" s="258">
        <f>IF('Dry_Litterbag Placem_Collection'!E113="","",'Dry_Litterbag Placem_Collection'!E113)</f>
        <v>42939</v>
      </c>
      <c r="V332" s="258">
        <f>IF('Dry_Litterbag Placem_Collection'!G113="","",'Dry_Litterbag Placem_Collection'!G113)</f>
        <v>43010</v>
      </c>
      <c r="W332" s="259">
        <f t="shared" si="25"/>
        <v>71</v>
      </c>
      <c r="X332" s="257">
        <f t="shared" si="28"/>
        <v>0.29449999999999998</v>
      </c>
      <c r="Y332" s="257">
        <f t="shared" si="29"/>
        <v>0.31641616457868027</v>
      </c>
      <c r="Z332" s="261">
        <f>IFERROR(INDEX([3]Rainfall_Dry!$O$2:$O$217,MATCH(C332, [3]Rainfall_Dry!$A$2:$A$217,0)),"")</f>
        <v>137.19979645800001</v>
      </c>
      <c r="AA332" s="250">
        <v>34.344660194174757</v>
      </c>
      <c r="AB332" s="250">
        <v>19.22727272727273</v>
      </c>
      <c r="AC332" s="250">
        <v>46.428067078552509</v>
      </c>
      <c r="AD332" s="251" t="s">
        <v>2651</v>
      </c>
      <c r="AE332" s="250">
        <v>7.7452932479053702</v>
      </c>
      <c r="AF332">
        <f>IF('WetLitterbags placem_collection'!AB113="","",'WetLitterbags placem_collection'!AB113)</f>
        <v>6.1</v>
      </c>
      <c r="AG332">
        <f>IF('WetLitterbags placem_collection'!Z113="","",'WetLitterbags placem_collection'!Z113)</f>
        <v>26</v>
      </c>
      <c r="AH332" s="236" t="str">
        <f>IF('WetLitterbags placem_collection'!AA113="","",'WetLitterbags placem_collection'!AA113)</f>
        <v>M</v>
      </c>
      <c r="AI332">
        <f>IF('WetLitterbags placem_collection'!AC113="","",'WetLitterbags placem_collection'!AC113)</f>
        <v>0</v>
      </c>
      <c r="AJ332">
        <f>IFERROR(AVERAGE('Dry_Litterbag Placem_Collection'!O113,'Dry_Litterbag Placem_Collection'!R113),"")</f>
        <v>8.3000000000000007</v>
      </c>
      <c r="AK332" s="261">
        <f>IFERROR(AVERAGE('Dry_Litterbag Placem_Collection'!N113,'Dry_Litterbag Placem_Collection'!Q113),"")</f>
        <v>29.549999999999997</v>
      </c>
      <c r="AL332" s="260">
        <f>INDEX([2]Coordinates!$B$2:$B$197,MATCH(I332,[2]Coordinates!$J$2:$J$197,0))</f>
        <v>-2.3697330060000001</v>
      </c>
      <c r="AM332" s="260">
        <f>INDEX([2]Coordinates!$C$2:$C$197,MATCH(I332,[2]Coordinates!$J$2:$J$197,0))</f>
        <v>34.059615010000002</v>
      </c>
      <c r="AN332" s="260" t="str">
        <f>IF(ISNUMBER(SEARCH("C", 'Dry_Litterbag Placem_Collection'!T113)),"YES","NO")</f>
        <v>NO</v>
      </c>
      <c r="AO332" s="260" t="str">
        <f>IF(ISNUMBER(SEARCH("H", 'Dry_Litterbag Placem_Collection'!T113)),"YES","NO")</f>
        <v>NO</v>
      </c>
      <c r="AP332" s="260" t="str">
        <f>IF(ISNUMBER(SEARCH("R", 'Dry_Litterbag Placem_Collection'!T113)),"YES","NO")</f>
        <v>NO</v>
      </c>
    </row>
    <row r="333" spans="1:42" ht="15" customHeight="1">
      <c r="A333" t="s">
        <v>3248</v>
      </c>
      <c r="B333" s="252" t="s">
        <v>2643</v>
      </c>
      <c r="C333" s="253">
        <f>'Dry_Litterbag Placem_Collection'!A114</f>
        <v>112</v>
      </c>
      <c r="D333" s="253" t="str">
        <f>'Dry_Litterbag Placem_Collection'!B114</f>
        <v xml:space="preserve">Mwantimba
</v>
      </c>
      <c r="E333" s="253" t="s">
        <v>2454</v>
      </c>
      <c r="F333" s="253" t="s">
        <v>2644</v>
      </c>
      <c r="G333" s="253">
        <v>2</v>
      </c>
      <c r="H333" s="253" t="s">
        <v>3118</v>
      </c>
      <c r="I333" s="254" t="str">
        <f>'Dry_Litterbag Placem_Collection'!C114</f>
        <v>Wet_Ag2_T8</v>
      </c>
      <c r="J333" s="255" t="s">
        <v>2525</v>
      </c>
      <c r="K333" s="262" t="s">
        <v>298</v>
      </c>
      <c r="L333" s="253" t="str">
        <f>IF(ISBLANK('Dry_Litterbag Placem_Collection'!K114),"","R"&amp;""&amp;'Dry_Litterbag Placem_Collection'!K114)</f>
        <v/>
      </c>
      <c r="M333" s="257" t="str">
        <f>IFERROR(INDEX('Green_rooibos initial weight'!$C$5:$C$2000,MATCH(L333, 'Green_rooibos initial weight'!$A$5:$A$2000,0)),"")</f>
        <v/>
      </c>
      <c r="N333" s="257" t="str">
        <f>IFERROR(M333-(TBIcalc!$Q$9+TBIcalc!$Q$10),"")</f>
        <v/>
      </c>
      <c r="O333" s="378">
        <f>AVERAGE(Ashed_controlls!$K$12:$K$14)</f>
        <v>2.2816647271287041</v>
      </c>
      <c r="P333" s="257" t="str">
        <f t="shared" si="26"/>
        <v/>
      </c>
      <c r="Q333" s="257" t="str">
        <f>IFERROR(INDEX('Both teabags AfterDry'!$D$2:$D$2000,MATCH(L333,'Both teabags AfterDry'!$A$2:$A$2000,0)),"")</f>
        <v/>
      </c>
      <c r="R333" s="257" t="str">
        <f>IFERROR(IF(Q333&gt;0,Q333-(TBIcalc!$Q$9),""),"")</f>
        <v/>
      </c>
      <c r="S333" s="268" t="str">
        <f>IFERROR(INDEX('Ashed teabags dry'!$K$2:$K$2000,MATCH(L333,'Ashed teabags dry'!$A$2:$A$2000,0)),"")</f>
        <v/>
      </c>
      <c r="T333" s="268" t="str">
        <f t="shared" si="27"/>
        <v/>
      </c>
      <c r="U333" s="258" t="str">
        <f>IF('Dry_Litterbag Placem_Collection'!E114="","",'Dry_Litterbag Placem_Collection'!E114)</f>
        <v/>
      </c>
      <c r="V333" s="258" t="str">
        <f>IF('Dry_Litterbag Placem_Collection'!G114="","",'Dry_Litterbag Placem_Collection'!G114)</f>
        <v/>
      </c>
      <c r="W333" s="259" t="str">
        <f t="shared" si="25"/>
        <v/>
      </c>
      <c r="X333" s="257" t="str">
        <f t="shared" si="28"/>
        <v/>
      </c>
      <c r="Y333" s="257" t="str">
        <f t="shared" si="29"/>
        <v/>
      </c>
      <c r="Z333" s="261" t="str">
        <f>IFERROR(INDEX([3]Rainfall_Dry!$O$2:$O$217,MATCH(C333, [3]Rainfall_Dry!$A$2:$A$217,0)),"")</f>
        <v/>
      </c>
      <c r="AA333" s="250">
        <v>34.344660194174757</v>
      </c>
      <c r="AB333" s="250">
        <v>19.22727272727273</v>
      </c>
      <c r="AC333" s="250">
        <v>46.428067078552509</v>
      </c>
      <c r="AD333" s="251" t="s">
        <v>2651</v>
      </c>
      <c r="AE333" s="250">
        <v>8.7452932479053693</v>
      </c>
      <c r="AF333">
        <f>IF('WetLitterbags placem_collection'!AB114="","",'WetLitterbags placem_collection'!AB114)</f>
        <v>11.5</v>
      </c>
      <c r="AG333">
        <f>IF('WetLitterbags placem_collection'!Z114="","",'WetLitterbags placem_collection'!Z114)</f>
        <v>15</v>
      </c>
      <c r="AH333" s="236" t="str">
        <f>IF('WetLitterbags placem_collection'!AA114="","",'WetLitterbags placem_collection'!AA114)</f>
        <v>M</v>
      </c>
      <c r="AI333">
        <f>IF('WetLitterbags placem_collection'!AC114="","",'WetLitterbags placem_collection'!AC114)</f>
        <v>0</v>
      </c>
      <c r="AJ333" t="str">
        <f>IFERROR(AVERAGE('Dry_Litterbag Placem_Collection'!O114,'Dry_Litterbag Placem_Collection'!R114),"")</f>
        <v/>
      </c>
      <c r="AK333" s="261" t="str">
        <f>IFERROR(AVERAGE('Dry_Litterbag Placem_Collection'!N114,'Dry_Litterbag Placem_Collection'!Q114),"")</f>
        <v/>
      </c>
      <c r="AL333" s="260">
        <f>INDEX([2]Coordinates!$B$2:$B$197,MATCH(I333,[2]Coordinates!$J$2:$J$197,0))</f>
        <v>-2.36967098</v>
      </c>
      <c r="AM333" s="260">
        <f>INDEX([2]Coordinates!$C$2:$C$197,MATCH(I333,[2]Coordinates!$J$2:$J$197,0))</f>
        <v>34.059735959999998</v>
      </c>
      <c r="AN333" s="260" t="str">
        <f>IF(ISNUMBER(SEARCH("C", 'Dry_Litterbag Placem_Collection'!T114)),"YES","NO")</f>
        <v>NO</v>
      </c>
      <c r="AO333" s="260" t="str">
        <f>IF(ISNUMBER(SEARCH("H", 'Dry_Litterbag Placem_Collection'!T114)),"YES","NO")</f>
        <v>NO</v>
      </c>
      <c r="AP333" s="260" t="str">
        <f>IF(ISNUMBER(SEARCH("R", 'Dry_Litterbag Placem_Collection'!T114)),"YES","NO")</f>
        <v>NO</v>
      </c>
    </row>
    <row r="334" spans="1:42" ht="15" customHeight="1">
      <c r="A334" t="s">
        <v>3248</v>
      </c>
      <c r="B334" s="252" t="s">
        <v>2643</v>
      </c>
      <c r="C334" s="253">
        <f>'Dry_Litterbag Placem_Collection'!A115</f>
        <v>113</v>
      </c>
      <c r="D334" s="253" t="str">
        <f>'Dry_Litterbag Placem_Collection'!B115</f>
        <v xml:space="preserve">Mwantimba
</v>
      </c>
      <c r="E334" s="253" t="s">
        <v>2454</v>
      </c>
      <c r="F334" s="253" t="s">
        <v>2644</v>
      </c>
      <c r="G334" s="253">
        <v>3</v>
      </c>
      <c r="H334" s="253" t="s">
        <v>3119</v>
      </c>
      <c r="I334" s="254" t="str">
        <f>'Dry_Litterbag Placem_Collection'!C115</f>
        <v>Wet_Ag3_T1</v>
      </c>
      <c r="J334" s="255" t="s">
        <v>2525</v>
      </c>
      <c r="K334" s="262" t="s">
        <v>298</v>
      </c>
      <c r="L334" s="253" t="str">
        <f>IF(ISBLANK('Dry_Litterbag Placem_Collection'!K115),"","R"&amp;""&amp;'Dry_Litterbag Placem_Collection'!K115)</f>
        <v>R807</v>
      </c>
      <c r="M334" s="257">
        <f>IFERROR(INDEX('Green_rooibos initial weight'!$C$5:$C$2000,MATCH(L334, 'Green_rooibos initial weight'!$A$5:$A$2000,0)),"")</f>
        <v>2.21</v>
      </c>
      <c r="N334" s="257">
        <f>IFERROR(M334-(TBIcalc!$Q$9+TBIcalc!$Q$10),"")</f>
        <v>1.9601999999999999</v>
      </c>
      <c r="O334" s="378">
        <f>AVERAGE(Ashed_controlls!$K$12:$K$14)</f>
        <v>2.2816647271287041</v>
      </c>
      <c r="P334" s="257">
        <f t="shared" si="26"/>
        <v>1.9154748080188231</v>
      </c>
      <c r="Q334" s="257">
        <f>IFERROR(INDEX('Both teabags AfterDry'!$D$2:$D$2000,MATCH(L334,'Both teabags AfterDry'!$A$2:$A$2000,0)),"")</f>
        <v>1.5793999999999999</v>
      </c>
      <c r="R334" s="257">
        <f>IFERROR(IF(Q334&gt;0,Q334-(TBIcalc!$Q$9),""),"")</f>
        <v>1.4287999999999998</v>
      </c>
      <c r="S334" s="268">
        <f>IFERROR(INDEX('Ashed teabags dry'!$K$2:$K$2000,MATCH(L334,'Ashed teabags dry'!$A$2:$A$2000,0)),"")</f>
        <v>9.4054580896693931</v>
      </c>
      <c r="T334" s="268">
        <f t="shared" si="27"/>
        <v>1.2944148148148036</v>
      </c>
      <c r="U334" s="258">
        <f>IF('Dry_Litterbag Placem_Collection'!E115="","",'Dry_Litterbag Placem_Collection'!E115)</f>
        <v>42939</v>
      </c>
      <c r="V334" s="258">
        <f>IF('Dry_Litterbag Placem_Collection'!G115="","",'Dry_Litterbag Placem_Collection'!G115)</f>
        <v>43008</v>
      </c>
      <c r="W334" s="259">
        <f t="shared" si="25"/>
        <v>69</v>
      </c>
      <c r="X334" s="257">
        <f t="shared" si="28"/>
        <v>0.53140000000000009</v>
      </c>
      <c r="Y334" s="257">
        <f t="shared" si="29"/>
        <v>0.6210599932040195</v>
      </c>
      <c r="Z334" s="261">
        <f>IFERROR(INDEX([3]Rainfall_Dry!$O$2:$O$217,MATCH(C334, [3]Rainfall_Dry!$A$2:$A$217,0)),"")</f>
        <v>136.27214243</v>
      </c>
      <c r="AA334" s="250">
        <v>27.96</v>
      </c>
      <c r="AB334" s="250">
        <v>4.9200000000000017</v>
      </c>
      <c r="AC334" s="250">
        <v>67.12</v>
      </c>
      <c r="AD334" s="251" t="s">
        <v>2651</v>
      </c>
      <c r="AE334" s="250">
        <v>0.88610152784622953</v>
      </c>
      <c r="AF334">
        <f>IF('WetLitterbags placem_collection'!AB115="","",'WetLitterbags placem_collection'!AB115)</f>
        <v>26</v>
      </c>
      <c r="AG334">
        <f>IF('WetLitterbags placem_collection'!Z115="","",'WetLitterbags placem_collection'!Z115)</f>
        <v>88.5</v>
      </c>
      <c r="AH334" s="236" t="str">
        <f>IF('WetLitterbags placem_collection'!AA115="","",'WetLitterbags placem_collection'!AA115)</f>
        <v>G</v>
      </c>
      <c r="AI334">
        <f>IF('WetLitterbags placem_collection'!AC115="","",'WetLitterbags placem_collection'!AC115)</f>
        <v>0</v>
      </c>
      <c r="AJ334">
        <f>IFERROR(AVERAGE('Dry_Litterbag Placem_Collection'!O115,'Dry_Litterbag Placem_Collection'!R115),"")</f>
        <v>6.35</v>
      </c>
      <c r="AK334" s="261">
        <f>IFERROR(AVERAGE('Dry_Litterbag Placem_Collection'!N115,'Dry_Litterbag Placem_Collection'!Q115),"")</f>
        <v>28.9</v>
      </c>
      <c r="AL334" s="260">
        <f>INDEX([2]Coordinates!$B$2:$B$197,MATCH(I334,[2]Coordinates!$J$2:$J$197,0))</f>
        <v>-2.3487199940000001</v>
      </c>
      <c r="AM334" s="260">
        <f>INDEX([2]Coordinates!$C$2:$C$197,MATCH(I334,[2]Coordinates!$J$2:$J$197,0))</f>
        <v>34.051391029999998</v>
      </c>
      <c r="AN334" s="260" t="str">
        <f>IF(ISNUMBER(SEARCH("C", 'Dry_Litterbag Placem_Collection'!T115)),"YES","NO")</f>
        <v>NO</v>
      </c>
      <c r="AO334" s="260" t="str">
        <f>IF(ISNUMBER(SEARCH("H", 'Dry_Litterbag Placem_Collection'!T115)),"YES","NO")</f>
        <v>NO</v>
      </c>
      <c r="AP334" s="260" t="str">
        <f>IF(ISNUMBER(SEARCH("R", 'Dry_Litterbag Placem_Collection'!T115)),"YES","NO")</f>
        <v>NO</v>
      </c>
    </row>
    <row r="335" spans="1:42" ht="15" customHeight="1">
      <c r="A335" t="s">
        <v>3248</v>
      </c>
      <c r="B335" s="252" t="s">
        <v>2643</v>
      </c>
      <c r="C335" s="253">
        <f>'Dry_Litterbag Placem_Collection'!A116</f>
        <v>114</v>
      </c>
      <c r="D335" s="253" t="str">
        <f>'Dry_Litterbag Placem_Collection'!B116</f>
        <v xml:space="preserve">Mwantimba
</v>
      </c>
      <c r="E335" s="253" t="s">
        <v>2454</v>
      </c>
      <c r="F335" s="253" t="s">
        <v>2644</v>
      </c>
      <c r="G335" s="253">
        <v>3</v>
      </c>
      <c r="H335" s="253" t="s">
        <v>3119</v>
      </c>
      <c r="I335" s="254" t="str">
        <f>'Dry_Litterbag Placem_Collection'!C116</f>
        <v>Wet_Ag3_T2</v>
      </c>
      <c r="J335" s="255" t="s">
        <v>2525</v>
      </c>
      <c r="K335" s="262" t="s">
        <v>298</v>
      </c>
      <c r="L335" s="253" t="str">
        <f>IF(ISBLANK('Dry_Litterbag Placem_Collection'!K116),"","R"&amp;""&amp;'Dry_Litterbag Placem_Collection'!K116)</f>
        <v>R829</v>
      </c>
      <c r="M335" s="257">
        <f>IFERROR(INDEX('Green_rooibos initial weight'!$C$5:$C$2000,MATCH(L335, 'Green_rooibos initial weight'!$A$5:$A$2000,0)),"")</f>
        <v>2.1880000000000002</v>
      </c>
      <c r="N335" s="257">
        <f>IFERROR(M335-(TBIcalc!$Q$9+TBIcalc!$Q$10),"")</f>
        <v>1.9382000000000001</v>
      </c>
      <c r="O335" s="378">
        <f>AVERAGE(Ashed_controlls!$K$12:$K$14)</f>
        <v>2.2816647271287041</v>
      </c>
      <c r="P335" s="257">
        <f t="shared" si="26"/>
        <v>1.8939767742587916</v>
      </c>
      <c r="Q335" s="257">
        <f>IFERROR(INDEX('Both teabags AfterDry'!$D$2:$D$2000,MATCH(L335,'Both teabags AfterDry'!$A$2:$A$2000,0)),"")</f>
        <v>1.1127</v>
      </c>
      <c r="R335" s="257">
        <f>IFERROR(IF(Q335&gt;0,Q335-(TBIcalc!$Q$9),""),"")</f>
        <v>0.96209999999999996</v>
      </c>
      <c r="S335" s="268">
        <f>IFERROR(INDEX('Ashed teabags dry'!$K$2:$K$2000,MATCH(L335,'Ashed teabags dry'!$A$2:$A$2000,0)),"")</f>
        <v>88.557650153441656</v>
      </c>
      <c r="T335" s="268">
        <f t="shared" si="27"/>
        <v>0.11008684787373779</v>
      </c>
      <c r="U335" s="258">
        <f>IF('Dry_Litterbag Placem_Collection'!E116="","",'Dry_Litterbag Placem_Collection'!E116)</f>
        <v>42939</v>
      </c>
      <c r="V335" s="258">
        <f>IF('Dry_Litterbag Placem_Collection'!G116="","",'Dry_Litterbag Placem_Collection'!G116)</f>
        <v>43008</v>
      </c>
      <c r="W335" s="259">
        <f t="shared" si="25"/>
        <v>69</v>
      </c>
      <c r="X335" s="257">
        <f t="shared" si="28"/>
        <v>0.97610000000000019</v>
      </c>
      <c r="Y335" s="257">
        <f t="shared" si="29"/>
        <v>1.7838899263850538</v>
      </c>
      <c r="Z335" s="261">
        <f>IFERROR(INDEX([3]Rainfall_Dry!$O$2:$O$217,MATCH(C335, [3]Rainfall_Dry!$A$2:$A$217,0)),"")</f>
        <v>136.27214243</v>
      </c>
      <c r="AA335" s="250">
        <v>27.96</v>
      </c>
      <c r="AB335" s="250">
        <v>4.9200000000000017</v>
      </c>
      <c r="AC335" s="250">
        <v>67.12</v>
      </c>
      <c r="AD335" s="251" t="s">
        <v>2651</v>
      </c>
      <c r="AE335" s="250">
        <v>1.8861015278462301</v>
      </c>
      <c r="AF335">
        <f>IF('WetLitterbags placem_collection'!AB116="","",'WetLitterbags placem_collection'!AB116)</f>
        <v>16.5</v>
      </c>
      <c r="AG335">
        <f>IF('WetLitterbags placem_collection'!Z116="","",'WetLitterbags placem_collection'!Z116)</f>
        <v>87.5</v>
      </c>
      <c r="AH335" s="236" t="str">
        <f>IF('WetLitterbags placem_collection'!AA116="","",'WetLitterbags placem_collection'!AA116)</f>
        <v>G</v>
      </c>
      <c r="AI335">
        <f>IF('WetLitterbags placem_collection'!AC116="","",'WetLitterbags placem_collection'!AC116)</f>
        <v>0</v>
      </c>
      <c r="AJ335">
        <f>IFERROR(AVERAGE('Dry_Litterbag Placem_Collection'!O116,'Dry_Litterbag Placem_Collection'!R116),"")</f>
        <v>12.1</v>
      </c>
      <c r="AK335" s="261">
        <f>IFERROR(AVERAGE('Dry_Litterbag Placem_Collection'!N116,'Dry_Litterbag Placem_Collection'!Q116),"")</f>
        <v>28.1</v>
      </c>
      <c r="AL335" s="260">
        <f>INDEX([2]Coordinates!$B$2:$B$197,MATCH(I335,[2]Coordinates!$J$2:$J$197,0))</f>
        <v>-2.348716976</v>
      </c>
      <c r="AM335" s="260">
        <f>INDEX([2]Coordinates!$C$2:$C$197,MATCH(I335,[2]Coordinates!$J$2:$J$197,0))</f>
        <v>34.051484989999999</v>
      </c>
      <c r="AN335" s="260" t="str">
        <f>IF(ISNUMBER(SEARCH("C", 'Dry_Litterbag Placem_Collection'!T116)),"YES","NO")</f>
        <v>NO</v>
      </c>
      <c r="AO335" s="260" t="str">
        <f>IF(ISNUMBER(SEARCH("H", 'Dry_Litterbag Placem_Collection'!T116)),"YES","NO")</f>
        <v>YES</v>
      </c>
      <c r="AP335" s="260" t="str">
        <f>IF(ISNUMBER(SEARCH("R", 'Dry_Litterbag Placem_Collection'!T116)),"YES","NO")</f>
        <v>NO</v>
      </c>
    </row>
    <row r="336" spans="1:42" ht="15" customHeight="1">
      <c r="A336" t="s">
        <v>3248</v>
      </c>
      <c r="B336" s="252" t="s">
        <v>2643</v>
      </c>
      <c r="C336" s="253">
        <f>'Dry_Litterbag Placem_Collection'!A117</f>
        <v>115</v>
      </c>
      <c r="D336" s="253" t="str">
        <f>'Dry_Litterbag Placem_Collection'!B117</f>
        <v xml:space="preserve">Mwantimba
</v>
      </c>
      <c r="E336" s="253" t="s">
        <v>2454</v>
      </c>
      <c r="F336" s="253" t="s">
        <v>2644</v>
      </c>
      <c r="G336" s="253">
        <v>3</v>
      </c>
      <c r="H336" s="253" t="s">
        <v>3119</v>
      </c>
      <c r="I336" s="254" t="str">
        <f>'Dry_Litterbag Placem_Collection'!C117</f>
        <v>Wet_Ag3_T3</v>
      </c>
      <c r="J336" s="255" t="s">
        <v>2525</v>
      </c>
      <c r="K336" s="262" t="s">
        <v>298</v>
      </c>
      <c r="L336" s="253" t="str">
        <f>IF(ISBLANK('Dry_Litterbag Placem_Collection'!K117),"","R"&amp;""&amp;'Dry_Litterbag Placem_Collection'!K117)</f>
        <v>R766</v>
      </c>
      <c r="M336" s="257">
        <f>IFERROR(INDEX('Green_rooibos initial weight'!$C$5:$C$2000,MATCH(L336, 'Green_rooibos initial weight'!$A$5:$A$2000,0)),"")</f>
        <v>2.21</v>
      </c>
      <c r="N336" s="257">
        <f>IFERROR(M336-(TBIcalc!$Q$9+TBIcalc!$Q$10),"")</f>
        <v>1.9601999999999999</v>
      </c>
      <c r="O336" s="378">
        <f>AVERAGE(Ashed_controlls!$K$12:$K$14)</f>
        <v>2.2816647271287041</v>
      </c>
      <c r="P336" s="257">
        <f t="shared" si="26"/>
        <v>1.9154748080188231</v>
      </c>
      <c r="Q336" s="257">
        <f>IFERROR(INDEX('Both teabags AfterDry'!$D$2:$D$2000,MATCH(L336,'Both teabags AfterDry'!$A$2:$A$2000,0)),"")</f>
        <v>1.6694</v>
      </c>
      <c r="R336" s="257">
        <f>IFERROR(IF(Q336&gt;0,Q336-(TBIcalc!$Q$9),""),"")</f>
        <v>1.5187999999999999</v>
      </c>
      <c r="S336" s="268">
        <f>IFERROR(INDEX('Ashed teabags dry'!$K$2:$K$2000,MATCH(L336,'Ashed teabags dry'!$A$2:$A$2000,0)),"")</f>
        <v>23.045267489711783</v>
      </c>
      <c r="T336" s="268">
        <f t="shared" si="27"/>
        <v>1.1687884773662574</v>
      </c>
      <c r="U336" s="258">
        <f>IF('Dry_Litterbag Placem_Collection'!E117="","",'Dry_Litterbag Placem_Collection'!E117)</f>
        <v>42939</v>
      </c>
      <c r="V336" s="258">
        <f>IF('Dry_Litterbag Placem_Collection'!G117="","",'Dry_Litterbag Placem_Collection'!G117)</f>
        <v>43008</v>
      </c>
      <c r="W336" s="259">
        <f t="shared" si="25"/>
        <v>69</v>
      </c>
      <c r="X336" s="257">
        <f t="shared" si="28"/>
        <v>0.44140000000000001</v>
      </c>
      <c r="Y336" s="257">
        <f t="shared" si="29"/>
        <v>0.74668633065256573</v>
      </c>
      <c r="Z336" s="261">
        <f>IFERROR(INDEX([3]Rainfall_Dry!$O$2:$O$217,MATCH(C336, [3]Rainfall_Dry!$A$2:$A$217,0)),"")</f>
        <v>136.27214243</v>
      </c>
      <c r="AA336" s="250">
        <v>27.96</v>
      </c>
      <c r="AB336" s="250">
        <v>4.9200000000000017</v>
      </c>
      <c r="AC336" s="250">
        <v>67.12</v>
      </c>
      <c r="AD336" s="251" t="s">
        <v>2651</v>
      </c>
      <c r="AE336" s="250">
        <v>2.8861015278462299</v>
      </c>
      <c r="AF336">
        <f>IF('WetLitterbags placem_collection'!AB117="","",'WetLitterbags placem_collection'!AB117)</f>
        <v>19</v>
      </c>
      <c r="AG336">
        <f>IF('WetLitterbags placem_collection'!Z117="","",'WetLitterbags placem_collection'!Z117)</f>
        <v>79.5</v>
      </c>
      <c r="AH336" s="236" t="str">
        <f>IF('WetLitterbags placem_collection'!AA117="","",'WetLitterbags placem_collection'!AA117)</f>
        <v>G</v>
      </c>
      <c r="AI336">
        <f>IF('WetLitterbags placem_collection'!AC117="","",'WetLitterbags placem_collection'!AC117)</f>
        <v>1</v>
      </c>
      <c r="AJ336">
        <f>IFERROR(AVERAGE('Dry_Litterbag Placem_Collection'!O117,'Dry_Litterbag Placem_Collection'!R117),"")</f>
        <v>6.9</v>
      </c>
      <c r="AK336" s="261">
        <f>IFERROR(AVERAGE('Dry_Litterbag Placem_Collection'!N117,'Dry_Litterbag Placem_Collection'!Q117),"")</f>
        <v>28.95</v>
      </c>
      <c r="AL336" s="260">
        <f>INDEX([2]Coordinates!$B$2:$B$197,MATCH(I336,[2]Coordinates!$J$2:$J$197,0))</f>
        <v>-2.3487800079999999</v>
      </c>
      <c r="AM336" s="260">
        <f>INDEX([2]Coordinates!$C$2:$C$197,MATCH(I336,[2]Coordinates!$J$2:$J$197,0))</f>
        <v>34.051495969999998</v>
      </c>
      <c r="AN336" s="260" t="str">
        <f>IF(ISNUMBER(SEARCH("C", 'Dry_Litterbag Placem_Collection'!T117)),"YES","NO")</f>
        <v>NO</v>
      </c>
      <c r="AO336" s="260" t="str">
        <f>IF(ISNUMBER(SEARCH("H", 'Dry_Litterbag Placem_Collection'!T117)),"YES","NO")</f>
        <v>YES</v>
      </c>
      <c r="AP336" s="260" t="str">
        <f>IF(ISNUMBER(SEARCH("R", 'Dry_Litterbag Placem_Collection'!T117)),"YES","NO")</f>
        <v>YES</v>
      </c>
    </row>
    <row r="337" spans="1:42" ht="15" customHeight="1">
      <c r="A337" t="s">
        <v>3248</v>
      </c>
      <c r="B337" s="252" t="s">
        <v>2643</v>
      </c>
      <c r="C337" s="253">
        <f>'Dry_Litterbag Placem_Collection'!A118</f>
        <v>116</v>
      </c>
      <c r="D337" s="253" t="str">
        <f>'Dry_Litterbag Placem_Collection'!B118</f>
        <v xml:space="preserve">Mwantimba
</v>
      </c>
      <c r="E337" s="253" t="s">
        <v>2454</v>
      </c>
      <c r="F337" s="253" t="s">
        <v>2644</v>
      </c>
      <c r="G337" s="253">
        <v>3</v>
      </c>
      <c r="H337" s="253" t="s">
        <v>3119</v>
      </c>
      <c r="I337" s="254" t="str">
        <f>'Dry_Litterbag Placem_Collection'!C118</f>
        <v>Wet_Ag3_T4</v>
      </c>
      <c r="J337" s="255" t="s">
        <v>2525</v>
      </c>
      <c r="K337" s="262" t="s">
        <v>298</v>
      </c>
      <c r="L337" s="253" t="str">
        <f>IF(ISBLANK('Dry_Litterbag Placem_Collection'!K118),"","R"&amp;""&amp;'Dry_Litterbag Placem_Collection'!K118)</f>
        <v>R757</v>
      </c>
      <c r="M337" s="257">
        <f>IFERROR(INDEX('Green_rooibos initial weight'!$C$5:$C$2000,MATCH(L337, 'Green_rooibos initial weight'!$A$5:$A$2000,0)),"")</f>
        <v>2.2050000000000001</v>
      </c>
      <c r="N337" s="257">
        <f>IFERROR(M337-(TBIcalc!$Q$9+TBIcalc!$Q$10),"")</f>
        <v>1.9552</v>
      </c>
      <c r="O337" s="378">
        <f>AVERAGE(Ashed_controlls!$K$12:$K$14)</f>
        <v>2.2816647271287041</v>
      </c>
      <c r="P337" s="257">
        <f t="shared" si="26"/>
        <v>1.9105888912551796</v>
      </c>
      <c r="Q337" s="257">
        <f>IFERROR(INDEX('Both teabags AfterDry'!$D$2:$D$2000,MATCH(L337,'Both teabags AfterDry'!$A$2:$A$2000,0)),"")</f>
        <v>1.7337</v>
      </c>
      <c r="R337" s="257">
        <f>IFERROR(IF(Q337&gt;0,Q337-(TBIcalc!$Q$9),""),"")</f>
        <v>1.5831</v>
      </c>
      <c r="S337" s="268">
        <f>IFERROR(INDEX('Ashed teabags dry'!$K$2:$K$2000,MATCH(L337,'Ashed teabags dry'!$A$2:$A$2000,0)),"")</f>
        <v>14.66357308584627</v>
      </c>
      <c r="T337" s="268">
        <f t="shared" si="27"/>
        <v>1.3509609744779676</v>
      </c>
      <c r="U337" s="258">
        <f>IF('Dry_Litterbag Placem_Collection'!E118="","",'Dry_Litterbag Placem_Collection'!E118)</f>
        <v>42939</v>
      </c>
      <c r="V337" s="258">
        <f>IF('Dry_Litterbag Placem_Collection'!G118="","",'Dry_Litterbag Placem_Collection'!G118)</f>
        <v>43008</v>
      </c>
      <c r="W337" s="259">
        <f t="shared" si="25"/>
        <v>69</v>
      </c>
      <c r="X337" s="257">
        <f t="shared" si="28"/>
        <v>0.3721000000000001</v>
      </c>
      <c r="Y337" s="257">
        <f t="shared" si="29"/>
        <v>0.55962791677721202</v>
      </c>
      <c r="Z337" s="261">
        <f>IFERROR(INDEX([3]Rainfall_Dry!$O$2:$O$217,MATCH(C337, [3]Rainfall_Dry!$A$2:$A$217,0)),"")</f>
        <v>136.27214243</v>
      </c>
      <c r="AA337" s="250">
        <v>27.96</v>
      </c>
      <c r="AB337" s="250">
        <v>4.9200000000000017</v>
      </c>
      <c r="AC337" s="250">
        <v>67.12</v>
      </c>
      <c r="AD337" s="251" t="s">
        <v>2651</v>
      </c>
      <c r="AE337" s="250">
        <v>3.8861015278462299</v>
      </c>
      <c r="AF337">
        <f>IF('WetLitterbags placem_collection'!AB118="","",'WetLitterbags placem_collection'!AB118)</f>
        <v>22.5</v>
      </c>
      <c r="AG337">
        <f>IF('WetLitterbags placem_collection'!Z118="","",'WetLitterbags placem_collection'!Z118)</f>
        <v>76</v>
      </c>
      <c r="AH337" s="236" t="str">
        <f>IF('WetLitterbags placem_collection'!AA118="","",'WetLitterbags placem_collection'!AA118)</f>
        <v>G</v>
      </c>
      <c r="AI337">
        <f>IF('WetLitterbags placem_collection'!AC118="","",'WetLitterbags placem_collection'!AC118)</f>
        <v>1</v>
      </c>
      <c r="AJ337">
        <f>IFERROR(AVERAGE('Dry_Litterbag Placem_Collection'!O118,'Dry_Litterbag Placem_Collection'!R118),"")</f>
        <v>8.65</v>
      </c>
      <c r="AK337" s="261">
        <f>IFERROR(AVERAGE('Dry_Litterbag Placem_Collection'!N118,'Dry_Litterbag Placem_Collection'!Q118),"")</f>
        <v>29.799999999999997</v>
      </c>
      <c r="AL337" s="260">
        <f>INDEX([2]Coordinates!$B$2:$B$197,MATCH(I337,[2]Coordinates!$J$2:$J$197,0))</f>
        <v>-2.3488120270000001</v>
      </c>
      <c r="AM337" s="260">
        <f>INDEX([2]Coordinates!$C$2:$C$197,MATCH(I337,[2]Coordinates!$J$2:$J$197,0))</f>
        <v>34.05146697</v>
      </c>
      <c r="AN337" s="260" t="str">
        <f>IF(ISNUMBER(SEARCH("C", 'Dry_Litterbag Placem_Collection'!T118)),"YES","NO")</f>
        <v>NO</v>
      </c>
      <c r="AO337" s="260" t="str">
        <f>IF(ISNUMBER(SEARCH("H", 'Dry_Litterbag Placem_Collection'!T118)),"YES","NO")</f>
        <v>NO</v>
      </c>
      <c r="AP337" s="260" t="str">
        <f>IF(ISNUMBER(SEARCH("R", 'Dry_Litterbag Placem_Collection'!T118)),"YES","NO")</f>
        <v>NO</v>
      </c>
    </row>
    <row r="338" spans="1:42" ht="15" customHeight="1">
      <c r="A338" t="s">
        <v>3248</v>
      </c>
      <c r="B338" s="252" t="s">
        <v>2643</v>
      </c>
      <c r="C338" s="253">
        <f>'Dry_Litterbag Placem_Collection'!A119</f>
        <v>117</v>
      </c>
      <c r="D338" s="253" t="str">
        <f>'Dry_Litterbag Placem_Collection'!B119</f>
        <v xml:space="preserve">Mwantimba
</v>
      </c>
      <c r="E338" s="253" t="s">
        <v>2454</v>
      </c>
      <c r="F338" s="253" t="s">
        <v>2644</v>
      </c>
      <c r="G338" s="253">
        <v>3</v>
      </c>
      <c r="H338" s="253" t="s">
        <v>3119</v>
      </c>
      <c r="I338" s="254" t="str">
        <f>'Dry_Litterbag Placem_Collection'!C119</f>
        <v>Wet_Ag3_T5</v>
      </c>
      <c r="J338" s="255" t="s">
        <v>2525</v>
      </c>
      <c r="K338" s="262" t="s">
        <v>298</v>
      </c>
      <c r="L338" s="253" t="str">
        <f>IF(ISBLANK('Dry_Litterbag Placem_Collection'!K119),"","R"&amp;""&amp;'Dry_Litterbag Placem_Collection'!K119)</f>
        <v>R745</v>
      </c>
      <c r="M338" s="257">
        <f>IFERROR(INDEX('Green_rooibos initial weight'!$C$5:$C$2000,MATCH(L338, 'Green_rooibos initial weight'!$A$5:$A$2000,0)),"")</f>
        <v>2.2909999999999999</v>
      </c>
      <c r="N338" s="257">
        <f>IFERROR(M338-(TBIcalc!$Q$9+TBIcalc!$Q$10),"")</f>
        <v>2.0411999999999999</v>
      </c>
      <c r="O338" s="378">
        <f>AVERAGE(Ashed_controlls!$K$12:$K$14)</f>
        <v>2.2816647271287041</v>
      </c>
      <c r="P338" s="257">
        <f t="shared" si="26"/>
        <v>1.9946266595898487</v>
      </c>
      <c r="Q338" s="257" t="str">
        <f>IFERROR(INDEX('Both teabags AfterDry'!$D$2:$D$2000,MATCH(L338,'Both teabags AfterDry'!$A$2:$A$2000,0)),"")</f>
        <v/>
      </c>
      <c r="R338" s="257" t="str">
        <f>IFERROR(IF(Q338&gt;0,Q338-(TBIcalc!$Q$9),""),"")</f>
        <v/>
      </c>
      <c r="S338" s="268" t="str">
        <f>IFERROR(INDEX('Ashed teabags dry'!$K$2:$K$2000,MATCH(L338,'Ashed teabags dry'!$A$2:$A$2000,0)),"")</f>
        <v/>
      </c>
      <c r="T338" s="268" t="str">
        <f t="shared" si="27"/>
        <v/>
      </c>
      <c r="U338" s="258">
        <f>IF('Dry_Litterbag Placem_Collection'!E119="","",'Dry_Litterbag Placem_Collection'!E119)</f>
        <v>42939</v>
      </c>
      <c r="V338" s="258">
        <f>IF('Dry_Litterbag Placem_Collection'!G119="","",'Dry_Litterbag Placem_Collection'!G119)</f>
        <v>43008</v>
      </c>
      <c r="W338" s="259">
        <f t="shared" si="25"/>
        <v>69</v>
      </c>
      <c r="X338" s="257" t="str">
        <f t="shared" si="28"/>
        <v/>
      </c>
      <c r="Y338" s="257" t="str">
        <f t="shared" si="29"/>
        <v/>
      </c>
      <c r="Z338" s="261">
        <f>IFERROR(INDEX([3]Rainfall_Dry!$O$2:$O$217,MATCH(C338, [3]Rainfall_Dry!$A$2:$A$217,0)),"")</f>
        <v>136.27214243</v>
      </c>
      <c r="AA338" s="250">
        <v>27.96</v>
      </c>
      <c r="AB338" s="250">
        <v>4.9200000000000017</v>
      </c>
      <c r="AC338" s="250">
        <v>67.12</v>
      </c>
      <c r="AD338" s="251" t="s">
        <v>2651</v>
      </c>
      <c r="AE338" s="250">
        <v>4.8861015278462299</v>
      </c>
      <c r="AF338">
        <f>IF('WetLitterbags placem_collection'!AB119="","",'WetLitterbags placem_collection'!AB119)</f>
        <v>23.5</v>
      </c>
      <c r="AG338">
        <f>IF('WetLitterbags placem_collection'!Z119="","",'WetLitterbags placem_collection'!Z119)</f>
        <v>76</v>
      </c>
      <c r="AH338" s="236" t="str">
        <f>IF('WetLitterbags placem_collection'!AA119="","",'WetLitterbags placem_collection'!AA119)</f>
        <v>G</v>
      </c>
      <c r="AI338">
        <f>IF('WetLitterbags placem_collection'!AC119="","",'WetLitterbags placem_collection'!AC119)</f>
        <v>1</v>
      </c>
      <c r="AJ338">
        <f>IFERROR(AVERAGE('Dry_Litterbag Placem_Collection'!O119,'Dry_Litterbag Placem_Collection'!R119),"")</f>
        <v>10.149999999999999</v>
      </c>
      <c r="AK338" s="261">
        <f>IFERROR(AVERAGE('Dry_Litterbag Placem_Collection'!N119,'Dry_Litterbag Placem_Collection'!Q119),"")</f>
        <v>29.05</v>
      </c>
      <c r="AL338" s="260">
        <f>INDEX([2]Coordinates!$B$2:$B$197,MATCH(I338,[2]Coordinates!$J$2:$J$197,0))</f>
        <v>-2.348814961</v>
      </c>
      <c r="AM338" s="260">
        <f>INDEX([2]Coordinates!$C$2:$C$197,MATCH(I338,[2]Coordinates!$J$2:$J$197,0))</f>
        <v>34.051439979999998</v>
      </c>
      <c r="AN338" s="260" t="str">
        <f>IF(ISNUMBER(SEARCH("C", 'Dry_Litterbag Placem_Collection'!T119)),"YES","NO")</f>
        <v>NO</v>
      </c>
      <c r="AO338" s="260" t="str">
        <f>IF(ISNUMBER(SEARCH("H", 'Dry_Litterbag Placem_Collection'!T119)),"YES","NO")</f>
        <v>NO</v>
      </c>
      <c r="AP338" s="260" t="str">
        <f>IF(ISNUMBER(SEARCH("R", 'Dry_Litterbag Placem_Collection'!T119)),"YES","NO")</f>
        <v>NO</v>
      </c>
    </row>
    <row r="339" spans="1:42" ht="15" customHeight="1">
      <c r="A339" t="s">
        <v>3248</v>
      </c>
      <c r="B339" s="252" t="s">
        <v>2643</v>
      </c>
      <c r="C339" s="253">
        <f>'Dry_Litterbag Placem_Collection'!A120</f>
        <v>118</v>
      </c>
      <c r="D339" s="253" t="str">
        <f>'Dry_Litterbag Placem_Collection'!B120</f>
        <v xml:space="preserve">Mwantimba
</v>
      </c>
      <c r="E339" s="253" t="s">
        <v>2454</v>
      </c>
      <c r="F339" s="253" t="s">
        <v>2644</v>
      </c>
      <c r="G339" s="253">
        <v>3</v>
      </c>
      <c r="H339" s="253" t="s">
        <v>3119</v>
      </c>
      <c r="I339" s="254" t="str">
        <f>'Dry_Litterbag Placem_Collection'!C120</f>
        <v>Wet_Ag3_T6</v>
      </c>
      <c r="J339" s="255" t="s">
        <v>2525</v>
      </c>
      <c r="K339" s="262" t="s">
        <v>298</v>
      </c>
      <c r="L339" s="253" t="str">
        <f>IF(ISBLANK('Dry_Litterbag Placem_Collection'!K120),"","R"&amp;""&amp;'Dry_Litterbag Placem_Collection'!K120)</f>
        <v>R791</v>
      </c>
      <c r="M339" s="257">
        <f>IFERROR(INDEX('Green_rooibos initial weight'!$C$5:$C$2000,MATCH(L339, 'Green_rooibos initial weight'!$A$5:$A$2000,0)),"")</f>
        <v>2.1579999999999999</v>
      </c>
      <c r="N339" s="257">
        <f>IFERROR(M339-(TBIcalc!$Q$9+TBIcalc!$Q$10),"")</f>
        <v>1.9081999999999999</v>
      </c>
      <c r="O339" s="378">
        <f>AVERAGE(Ashed_controlls!$K$12:$K$14)</f>
        <v>2.2816647271287041</v>
      </c>
      <c r="P339" s="257">
        <f t="shared" si="26"/>
        <v>1.8646612736769299</v>
      </c>
      <c r="Q339" s="257">
        <f>IFERROR(INDEX('Both teabags AfterDry'!$D$2:$D$2000,MATCH(L339,'Both teabags AfterDry'!$A$2:$A$2000,0)),"")</f>
        <v>1.629</v>
      </c>
      <c r="R339" s="257">
        <f>IFERROR(IF(Q339&gt;0,Q339-(TBIcalc!$Q$9),""),"")</f>
        <v>1.4783999999999999</v>
      </c>
      <c r="S339" s="268">
        <f>IFERROR(INDEX('Ashed teabags dry'!$K$2:$K$2000,MATCH(L339,'Ashed teabags dry'!$A$2:$A$2000,0)),"")</f>
        <v>7.1167883211671752</v>
      </c>
      <c r="T339" s="268">
        <f t="shared" si="27"/>
        <v>1.3731854014598643</v>
      </c>
      <c r="U339" s="258">
        <f>IF('Dry_Litterbag Placem_Collection'!E120="","",'Dry_Litterbag Placem_Collection'!E120)</f>
        <v>42939</v>
      </c>
      <c r="V339" s="258">
        <f>IF('Dry_Litterbag Placem_Collection'!G120="","",'Dry_Litterbag Placem_Collection'!G120)</f>
        <v>43008</v>
      </c>
      <c r="W339" s="259">
        <f t="shared" si="25"/>
        <v>69</v>
      </c>
      <c r="X339" s="257">
        <f t="shared" si="28"/>
        <v>0.42979999999999996</v>
      </c>
      <c r="Y339" s="257">
        <f t="shared" si="29"/>
        <v>0.49147587221706557</v>
      </c>
      <c r="Z339" s="261">
        <f>IFERROR(INDEX([3]Rainfall_Dry!$O$2:$O$217,MATCH(C339, [3]Rainfall_Dry!$A$2:$A$217,0)),"")</f>
        <v>136.27214243</v>
      </c>
      <c r="AA339" s="250">
        <v>27.96</v>
      </c>
      <c r="AB339" s="250">
        <v>4.9200000000000017</v>
      </c>
      <c r="AC339" s="250">
        <v>67.12</v>
      </c>
      <c r="AD339" s="251" t="s">
        <v>2651</v>
      </c>
      <c r="AE339" s="250">
        <v>5.8861015278462299</v>
      </c>
      <c r="AF339">
        <f>IF('WetLitterbags placem_collection'!AB120="","",'WetLitterbags placem_collection'!AB120)</f>
        <v>17.5</v>
      </c>
      <c r="AG339">
        <f>IF('WetLitterbags placem_collection'!Z120="","",'WetLitterbags placem_collection'!Z120)</f>
        <v>70.5</v>
      </c>
      <c r="AH339" s="236" t="str">
        <f>IF('WetLitterbags placem_collection'!AA120="","",'WetLitterbags placem_collection'!AA120)</f>
        <v>G</v>
      </c>
      <c r="AI339">
        <f>IF('WetLitterbags placem_collection'!AC120="","",'WetLitterbags placem_collection'!AC120)</f>
        <v>1</v>
      </c>
      <c r="AJ339">
        <f>IFERROR(AVERAGE('Dry_Litterbag Placem_Collection'!O120,'Dry_Litterbag Placem_Collection'!R120),"")</f>
        <v>7.8000000000000007</v>
      </c>
      <c r="AK339" s="261">
        <f>IFERROR(AVERAGE('Dry_Litterbag Placem_Collection'!N120,'Dry_Litterbag Placem_Collection'!Q120),"")</f>
        <v>28.25</v>
      </c>
      <c r="AL339" s="260">
        <f>INDEX([2]Coordinates!$B$2:$B$197,MATCH(I339,[2]Coordinates!$J$2:$J$197,0))</f>
        <v>-2.3488729629999998</v>
      </c>
      <c r="AM339" s="260">
        <f>INDEX([2]Coordinates!$C$2:$C$197,MATCH(I339,[2]Coordinates!$J$2:$J$197,0))</f>
        <v>34.051454980000003</v>
      </c>
      <c r="AN339" s="260" t="str">
        <f>IF(ISNUMBER(SEARCH("C", 'Dry_Litterbag Placem_Collection'!T120)),"YES","NO")</f>
        <v>NO</v>
      </c>
      <c r="AO339" s="260" t="str">
        <f>IF(ISNUMBER(SEARCH("H", 'Dry_Litterbag Placem_Collection'!T120)),"YES","NO")</f>
        <v>NO</v>
      </c>
      <c r="AP339" s="260" t="str">
        <f>IF(ISNUMBER(SEARCH("R", 'Dry_Litterbag Placem_Collection'!T120)),"YES","NO")</f>
        <v>NO</v>
      </c>
    </row>
    <row r="340" spans="1:42" ht="15" customHeight="1">
      <c r="A340" t="s">
        <v>3248</v>
      </c>
      <c r="B340" s="252" t="s">
        <v>2643</v>
      </c>
      <c r="C340" s="253">
        <f>'Dry_Litterbag Placem_Collection'!A121</f>
        <v>119</v>
      </c>
      <c r="D340" s="253" t="str">
        <f>'Dry_Litterbag Placem_Collection'!B121</f>
        <v xml:space="preserve">Mwantimba
</v>
      </c>
      <c r="E340" s="253" t="s">
        <v>2454</v>
      </c>
      <c r="F340" s="253" t="s">
        <v>2644</v>
      </c>
      <c r="G340" s="253">
        <v>3</v>
      </c>
      <c r="H340" s="253" t="s">
        <v>3119</v>
      </c>
      <c r="I340" s="254" t="str">
        <f>'Dry_Litterbag Placem_Collection'!C121</f>
        <v>Wet_Ag3_T7</v>
      </c>
      <c r="J340" s="255" t="s">
        <v>2525</v>
      </c>
      <c r="K340" s="262" t="s">
        <v>298</v>
      </c>
      <c r="L340" s="253" t="str">
        <f>IF(ISBLANK('Dry_Litterbag Placem_Collection'!K121),"","R"&amp;""&amp;'Dry_Litterbag Placem_Collection'!K121)</f>
        <v>R802</v>
      </c>
      <c r="M340" s="257">
        <f>IFERROR(INDEX('Green_rooibos initial weight'!$C$5:$C$2000,MATCH(L340, 'Green_rooibos initial weight'!$A$5:$A$2000,0)),"")</f>
        <v>2.25</v>
      </c>
      <c r="N340" s="257">
        <f>IFERROR(M340-(TBIcalc!$Q$9+TBIcalc!$Q$10),"")</f>
        <v>2.0002</v>
      </c>
      <c r="O340" s="378">
        <f>AVERAGE(Ashed_controlls!$K$12:$K$14)</f>
        <v>2.2816647271287041</v>
      </c>
      <c r="P340" s="257">
        <f t="shared" si="26"/>
        <v>1.9545621421279717</v>
      </c>
      <c r="Q340" s="257">
        <f>IFERROR(INDEX('Both teabags AfterDry'!$D$2:$D$2000,MATCH(L340,'Both teabags AfterDry'!$A$2:$A$2000,0)),"")</f>
        <v>1.6778</v>
      </c>
      <c r="R340" s="257">
        <f>IFERROR(IF(Q340&gt;0,Q340-(TBIcalc!$Q$9),""),"")</f>
        <v>1.5271999999999999</v>
      </c>
      <c r="S340" s="268">
        <f>IFERROR(INDEX('Ashed teabags dry'!$K$2:$K$2000,MATCH(L340,'Ashed teabags dry'!$A$2:$A$2000,0)),"")</f>
        <v>9.0650213573804805</v>
      </c>
      <c r="T340" s="268">
        <f t="shared" si="27"/>
        <v>1.3887589938300853</v>
      </c>
      <c r="U340" s="258">
        <f>IF('Dry_Litterbag Placem_Collection'!E121="","",'Dry_Litterbag Placem_Collection'!E121)</f>
        <v>42939</v>
      </c>
      <c r="V340" s="258">
        <f>IF('Dry_Litterbag Placem_Collection'!G121="","",'Dry_Litterbag Placem_Collection'!G121)</f>
        <v>43008</v>
      </c>
      <c r="W340" s="259">
        <f t="shared" si="25"/>
        <v>69</v>
      </c>
      <c r="X340" s="257">
        <f t="shared" si="28"/>
        <v>0.47300000000000009</v>
      </c>
      <c r="Y340" s="257">
        <f t="shared" si="29"/>
        <v>0.56580314829788647</v>
      </c>
      <c r="Z340" s="261">
        <f>IFERROR(INDEX([3]Rainfall_Dry!$O$2:$O$217,MATCH(C340, [3]Rainfall_Dry!$A$2:$A$217,0)),"")</f>
        <v>136.27214243</v>
      </c>
      <c r="AA340" s="250">
        <v>27.96</v>
      </c>
      <c r="AB340" s="250">
        <v>4.9200000000000017</v>
      </c>
      <c r="AC340" s="250">
        <v>67.12</v>
      </c>
      <c r="AD340" s="251" t="s">
        <v>2651</v>
      </c>
      <c r="AE340" s="250">
        <v>6.8861015278462299</v>
      </c>
      <c r="AF340">
        <f>IF('WetLitterbags placem_collection'!AB121="","",'WetLitterbags placem_collection'!AB121)</f>
        <v>18.5</v>
      </c>
      <c r="AG340">
        <f>IF('WetLitterbags placem_collection'!Z121="","",'WetLitterbags placem_collection'!Z121)</f>
        <v>74.5</v>
      </c>
      <c r="AH340" s="236" t="str">
        <f>IF('WetLitterbags placem_collection'!AA121="","",'WetLitterbags placem_collection'!AA121)</f>
        <v>G</v>
      </c>
      <c r="AI340">
        <f>IF('WetLitterbags placem_collection'!AC121="","",'WetLitterbags placem_collection'!AC121)</f>
        <v>1</v>
      </c>
      <c r="AJ340">
        <f>IFERROR(AVERAGE('Dry_Litterbag Placem_Collection'!O121,'Dry_Litterbag Placem_Collection'!R121),"")</f>
        <v>10.050000000000001</v>
      </c>
      <c r="AK340" s="261">
        <f>IFERROR(AVERAGE('Dry_Litterbag Placem_Collection'!N121,'Dry_Litterbag Placem_Collection'!Q121),"")</f>
        <v>27.95</v>
      </c>
      <c r="AL340" s="260">
        <f>INDEX([2]Coordinates!$B$2:$B$197,MATCH(I340,[2]Coordinates!$J$2:$J$197,0))</f>
        <v>-2.3488589659999999</v>
      </c>
      <c r="AM340" s="260">
        <f>INDEX([2]Coordinates!$C$2:$C$197,MATCH(I340,[2]Coordinates!$J$2:$J$197,0))</f>
        <v>34.051389010000001</v>
      </c>
      <c r="AN340" s="260" t="str">
        <f>IF(ISNUMBER(SEARCH("C", 'Dry_Litterbag Placem_Collection'!T121)),"YES","NO")</f>
        <v>NO</v>
      </c>
      <c r="AO340" s="260" t="str">
        <f>IF(ISNUMBER(SEARCH("H", 'Dry_Litterbag Placem_Collection'!T121)),"YES","NO")</f>
        <v>NO</v>
      </c>
      <c r="AP340" s="260" t="str">
        <f>IF(ISNUMBER(SEARCH("R", 'Dry_Litterbag Placem_Collection'!T121)),"YES","NO")</f>
        <v>NO</v>
      </c>
    </row>
    <row r="341" spans="1:42" ht="15" customHeight="1">
      <c r="A341" t="s">
        <v>3248</v>
      </c>
      <c r="B341" s="252" t="s">
        <v>2643</v>
      </c>
      <c r="C341" s="253">
        <f>'Dry_Litterbag Placem_Collection'!A122</f>
        <v>120</v>
      </c>
      <c r="D341" s="253" t="str">
        <f>'Dry_Litterbag Placem_Collection'!B122</f>
        <v xml:space="preserve">Mwantimba
</v>
      </c>
      <c r="E341" s="253" t="s">
        <v>2454</v>
      </c>
      <c r="F341" s="253" t="s">
        <v>2644</v>
      </c>
      <c r="G341" s="253">
        <v>3</v>
      </c>
      <c r="H341" s="253" t="s">
        <v>3119</v>
      </c>
      <c r="I341" s="254" t="str">
        <f>'Dry_Litterbag Placem_Collection'!C122</f>
        <v>Wet_Ag3_T8</v>
      </c>
      <c r="J341" s="255" t="s">
        <v>2525</v>
      </c>
      <c r="K341" s="262" t="s">
        <v>298</v>
      </c>
      <c r="L341" s="253" t="str">
        <f>IF(ISBLANK('Dry_Litterbag Placem_Collection'!K122),"","R"&amp;""&amp;'Dry_Litterbag Placem_Collection'!K122)</f>
        <v/>
      </c>
      <c r="M341" s="257" t="str">
        <f>IFERROR(INDEX('Green_rooibos initial weight'!$C$5:$C$2000,MATCH(L341, 'Green_rooibos initial weight'!$A$5:$A$2000,0)),"")</f>
        <v/>
      </c>
      <c r="N341" s="257" t="str">
        <f>IFERROR(M341-(TBIcalc!$Q$9+TBIcalc!$Q$10),"")</f>
        <v/>
      </c>
      <c r="O341" s="378">
        <f>AVERAGE(Ashed_controlls!$K$12:$K$14)</f>
        <v>2.2816647271287041</v>
      </c>
      <c r="P341" s="257" t="str">
        <f t="shared" si="26"/>
        <v/>
      </c>
      <c r="Q341" s="257" t="str">
        <f>IFERROR(INDEX('Both teabags AfterDry'!$D$2:$D$2000,MATCH(L341,'Both teabags AfterDry'!$A$2:$A$2000,0)),"")</f>
        <v/>
      </c>
      <c r="R341" s="257" t="str">
        <f>IFERROR(IF(Q341&gt;0,Q341-(TBIcalc!$Q$9),""),"")</f>
        <v/>
      </c>
      <c r="S341" s="268" t="str">
        <f>IFERROR(INDEX('Ashed teabags dry'!$K$2:$K$2000,MATCH(L341,'Ashed teabags dry'!$A$2:$A$2000,0)),"")</f>
        <v/>
      </c>
      <c r="T341" s="268" t="str">
        <f t="shared" si="27"/>
        <v/>
      </c>
      <c r="U341" s="258" t="str">
        <f>IF('Dry_Litterbag Placem_Collection'!E122="","",'Dry_Litterbag Placem_Collection'!E122)</f>
        <v/>
      </c>
      <c r="V341" s="258" t="str">
        <f>IF('Dry_Litterbag Placem_Collection'!G122="","",'Dry_Litterbag Placem_Collection'!G122)</f>
        <v/>
      </c>
      <c r="W341" s="259" t="str">
        <f t="shared" si="25"/>
        <v/>
      </c>
      <c r="X341" s="257" t="str">
        <f t="shared" si="28"/>
        <v/>
      </c>
      <c r="Y341" s="257" t="str">
        <f t="shared" si="29"/>
        <v/>
      </c>
      <c r="Z341" s="261" t="str">
        <f>IFERROR(INDEX([3]Rainfall_Dry!$O$2:$O$217,MATCH(C341, [3]Rainfall_Dry!$A$2:$A$217,0)),"")</f>
        <v/>
      </c>
      <c r="AA341" s="250">
        <v>27.96</v>
      </c>
      <c r="AB341" s="250">
        <v>4.9200000000000017</v>
      </c>
      <c r="AC341" s="250">
        <v>67.12</v>
      </c>
      <c r="AD341" s="251" t="s">
        <v>2651</v>
      </c>
      <c r="AE341" s="250">
        <v>7.8861015278462299</v>
      </c>
      <c r="AF341">
        <f>IF('WetLitterbags placem_collection'!AB122="","",'WetLitterbags placem_collection'!AB122)</f>
        <v>19</v>
      </c>
      <c r="AG341">
        <f>IF('WetLitterbags placem_collection'!Z122="","",'WetLitterbags placem_collection'!Z122)</f>
        <v>98.5</v>
      </c>
      <c r="AH341" s="236" t="str">
        <f>IF('WetLitterbags placem_collection'!AA122="","",'WetLitterbags placem_collection'!AA122)</f>
        <v>G</v>
      </c>
      <c r="AI341">
        <f>IF('WetLitterbags placem_collection'!AC122="","",'WetLitterbags placem_collection'!AC122)</f>
        <v>0</v>
      </c>
      <c r="AJ341" t="str">
        <f>IFERROR(AVERAGE('Dry_Litterbag Placem_Collection'!O122,'Dry_Litterbag Placem_Collection'!R122),"")</f>
        <v/>
      </c>
      <c r="AK341" s="261" t="str">
        <f>IFERROR(AVERAGE('Dry_Litterbag Placem_Collection'!N122,'Dry_Litterbag Placem_Collection'!Q122),"")</f>
        <v/>
      </c>
      <c r="AL341" s="260">
        <f>INDEX([2]Coordinates!$B$2:$B$197,MATCH(I341,[2]Coordinates!$J$2:$J$197,0))</f>
        <v>-2.3486449760000001</v>
      </c>
      <c r="AM341" s="260">
        <f>INDEX([2]Coordinates!$C$2:$C$197,MATCH(I341,[2]Coordinates!$J$2:$J$197,0))</f>
        <v>34.051495969999998</v>
      </c>
      <c r="AN341" s="260" t="str">
        <f>IF(ISNUMBER(SEARCH("C", 'Dry_Litterbag Placem_Collection'!T122)),"YES","NO")</f>
        <v>NO</v>
      </c>
      <c r="AO341" s="260" t="str">
        <f>IF(ISNUMBER(SEARCH("H", 'Dry_Litterbag Placem_Collection'!T122)),"YES","NO")</f>
        <v>NO</v>
      </c>
      <c r="AP341" s="260" t="str">
        <f>IF(ISNUMBER(SEARCH("R", 'Dry_Litterbag Placem_Collection'!T122)),"YES","NO")</f>
        <v>NO</v>
      </c>
    </row>
    <row r="342" spans="1:42" ht="15" customHeight="1">
      <c r="A342" t="s">
        <v>3248</v>
      </c>
      <c r="B342" s="252" t="s">
        <v>2643</v>
      </c>
      <c r="C342" s="253">
        <f>'Dry_Litterbag Placem_Collection'!A123</f>
        <v>121</v>
      </c>
      <c r="D342" s="253" t="str">
        <f>'Dry_Litterbag Placem_Collection'!B123</f>
        <v xml:space="preserve">Mwantimba
</v>
      </c>
      <c r="E342" s="253" t="s">
        <v>2454</v>
      </c>
      <c r="F342" s="253" t="s">
        <v>2644</v>
      </c>
      <c r="G342" s="253">
        <v>4</v>
      </c>
      <c r="H342" s="253" t="s">
        <v>3120</v>
      </c>
      <c r="I342" s="254" t="str">
        <f>'Dry_Litterbag Placem_Collection'!C123</f>
        <v>Wet_Ag4_T1</v>
      </c>
      <c r="J342" s="255" t="s">
        <v>2525</v>
      </c>
      <c r="K342" s="262" t="s">
        <v>298</v>
      </c>
      <c r="L342" s="253" t="str">
        <f>IF(ISBLANK('Dry_Litterbag Placem_Collection'!K123),"","R"&amp;""&amp;'Dry_Litterbag Placem_Collection'!K123)</f>
        <v>R822</v>
      </c>
      <c r="M342" s="257">
        <f>IFERROR(INDEX('Green_rooibos initial weight'!$C$5:$C$2000,MATCH(L342, 'Green_rooibos initial weight'!$A$5:$A$2000,0)),"")</f>
        <v>2.1880000000000002</v>
      </c>
      <c r="N342" s="257">
        <f>IFERROR(M342-(TBIcalc!$Q$9+TBIcalc!$Q$10),"")</f>
        <v>1.9382000000000001</v>
      </c>
      <c r="O342" s="378">
        <f>AVERAGE(Ashed_controlls!$K$12:$K$14)</f>
        <v>2.2816647271287041</v>
      </c>
      <c r="P342" s="257">
        <f t="shared" si="26"/>
        <v>1.8939767742587916</v>
      </c>
      <c r="Q342" s="257" t="str">
        <f>IFERROR(INDEX('Both teabags AfterDry'!$D$2:$D$2000,MATCH(L342,'Both teabags AfterDry'!$A$2:$A$2000,0)),"")</f>
        <v/>
      </c>
      <c r="R342" s="257" t="str">
        <f>IFERROR(IF(Q342&gt;0,Q342-(TBIcalc!$Q$9),""),"")</f>
        <v/>
      </c>
      <c r="S342" s="268" t="str">
        <f>IFERROR(INDEX('Ashed teabags dry'!$K$2:$K$2000,MATCH(L342,'Ashed teabags dry'!$A$2:$A$2000,0)),"")</f>
        <v/>
      </c>
      <c r="T342" s="268" t="str">
        <f t="shared" si="27"/>
        <v/>
      </c>
      <c r="U342" s="258">
        <f>IF('Dry_Litterbag Placem_Collection'!E123="","",'Dry_Litterbag Placem_Collection'!E123)</f>
        <v>42939</v>
      </c>
      <c r="V342" s="258">
        <f>IF('Dry_Litterbag Placem_Collection'!G123="","",'Dry_Litterbag Placem_Collection'!G123)</f>
        <v>43008</v>
      </c>
      <c r="W342" s="259">
        <f t="shared" si="25"/>
        <v>69</v>
      </c>
      <c r="X342" s="257" t="str">
        <f t="shared" si="28"/>
        <v/>
      </c>
      <c r="Y342" s="257" t="str">
        <f t="shared" si="29"/>
        <v/>
      </c>
      <c r="Z342" s="261">
        <f>IFERROR(INDEX([3]Rainfall_Dry!$O$2:$O$217,MATCH(C342, [3]Rainfall_Dry!$A$2:$A$217,0)),"")</f>
        <v>136.27214243</v>
      </c>
      <c r="AA342" s="250">
        <v>17.96</v>
      </c>
      <c r="AB342" s="250">
        <v>4.9199999999999982</v>
      </c>
      <c r="AC342" s="250">
        <v>77.12</v>
      </c>
      <c r="AD342" s="251" t="s">
        <v>2652</v>
      </c>
      <c r="AE342" s="250">
        <v>2.0220798422868409</v>
      </c>
      <c r="AF342">
        <f>IF('WetLitterbags placem_collection'!AB123="","",'WetLitterbags placem_collection'!AB123)</f>
        <v>9.65</v>
      </c>
      <c r="AG342">
        <f>IF('WetLitterbags placem_collection'!Z123="","",'WetLitterbags placem_collection'!Z123)</f>
        <v>63</v>
      </c>
      <c r="AH342" s="236" t="str">
        <f>IF('WetLitterbags placem_collection'!AA123="","",'WetLitterbags placem_collection'!AA123)</f>
        <v>G</v>
      </c>
      <c r="AI342">
        <f>IF('WetLitterbags placem_collection'!AC123="","",'WetLitterbags placem_collection'!AC123)</f>
        <v>0</v>
      </c>
      <c r="AJ342">
        <f>IFERROR(AVERAGE('Dry_Litterbag Placem_Collection'!O123,'Dry_Litterbag Placem_Collection'!R123),"")</f>
        <v>5.5</v>
      </c>
      <c r="AK342" s="261">
        <f>IFERROR(AVERAGE('Dry_Litterbag Placem_Collection'!N123,'Dry_Litterbag Placem_Collection'!Q123),"")</f>
        <v>29.1</v>
      </c>
      <c r="AL342" s="260">
        <f>INDEX([2]Coordinates!$B$2:$B$197,MATCH(I342,[2]Coordinates!$J$2:$J$197,0))</f>
        <v>-2.3492639789999998</v>
      </c>
      <c r="AM342" s="260">
        <f>INDEX([2]Coordinates!$C$2:$C$197,MATCH(I342,[2]Coordinates!$J$2:$J$197,0))</f>
        <v>34.051464029999998</v>
      </c>
      <c r="AN342" s="260" t="str">
        <f>IF(ISNUMBER(SEARCH("C", 'Dry_Litterbag Placem_Collection'!T123)),"YES","NO")</f>
        <v>NO</v>
      </c>
      <c r="AO342" s="260" t="str">
        <f>IF(ISNUMBER(SEARCH("H", 'Dry_Litterbag Placem_Collection'!T123)),"YES","NO")</f>
        <v>NO</v>
      </c>
      <c r="AP342" s="260" t="str">
        <f>IF(ISNUMBER(SEARCH("R", 'Dry_Litterbag Placem_Collection'!T123)),"YES","NO")</f>
        <v>NO</v>
      </c>
    </row>
    <row r="343" spans="1:42" ht="15" customHeight="1">
      <c r="A343" t="s">
        <v>3248</v>
      </c>
      <c r="B343" s="252" t="s">
        <v>2643</v>
      </c>
      <c r="C343" s="253">
        <f>'Dry_Litterbag Placem_Collection'!A124</f>
        <v>122</v>
      </c>
      <c r="D343" s="253" t="str">
        <f>'Dry_Litterbag Placem_Collection'!B124</f>
        <v xml:space="preserve">Mwantimba
</v>
      </c>
      <c r="E343" s="253" t="s">
        <v>2454</v>
      </c>
      <c r="F343" s="253" t="s">
        <v>2644</v>
      </c>
      <c r="G343" s="253">
        <v>4</v>
      </c>
      <c r="H343" s="253" t="s">
        <v>3120</v>
      </c>
      <c r="I343" s="254" t="str">
        <f>'Dry_Litterbag Placem_Collection'!C124</f>
        <v>Wet_Ag4_T2</v>
      </c>
      <c r="J343" s="255" t="s">
        <v>2525</v>
      </c>
      <c r="K343" s="262" t="s">
        <v>298</v>
      </c>
      <c r="L343" s="253" t="str">
        <f>IF(ISBLANK('Dry_Litterbag Placem_Collection'!K124),"","R"&amp;""&amp;'Dry_Litterbag Placem_Collection'!K124)</f>
        <v>R792</v>
      </c>
      <c r="M343" s="257">
        <f>IFERROR(INDEX('Green_rooibos initial weight'!$C$5:$C$2000,MATCH(L343, 'Green_rooibos initial weight'!$A$5:$A$2000,0)),"")</f>
        <v>2.2389999999999999</v>
      </c>
      <c r="N343" s="257">
        <f>IFERROR(M343-(TBIcalc!$Q$9+TBIcalc!$Q$10),"")</f>
        <v>1.9891999999999999</v>
      </c>
      <c r="O343" s="378">
        <f>AVERAGE(Ashed_controlls!$K$12:$K$14)</f>
        <v>2.2816647271287041</v>
      </c>
      <c r="P343" s="257">
        <f t="shared" si="26"/>
        <v>1.9438131252479556</v>
      </c>
      <c r="Q343" s="257">
        <f>IFERROR(INDEX('Both teabags AfterDry'!$D$2:$D$2000,MATCH(L343,'Both teabags AfterDry'!$A$2:$A$2000,0)),"")</f>
        <v>0</v>
      </c>
      <c r="R343" s="257" t="str">
        <f>IFERROR(IF(Q343&gt;0,Q343-(TBIcalc!$Q$9),""),"")</f>
        <v/>
      </c>
      <c r="S343" s="268">
        <f>IFERROR(INDEX('Ashed teabags dry'!$K$2:$K$2000,MATCH(L343,'Ashed teabags dry'!$A$2:$A$2000,0)),"")</f>
        <v>0</v>
      </c>
      <c r="T343" s="268" t="str">
        <f t="shared" si="27"/>
        <v/>
      </c>
      <c r="U343" s="258">
        <f>IF('Dry_Litterbag Placem_Collection'!E124="","",'Dry_Litterbag Placem_Collection'!E124)</f>
        <v>42939</v>
      </c>
      <c r="V343" s="258">
        <f>IF('Dry_Litterbag Placem_Collection'!G124="","",'Dry_Litterbag Placem_Collection'!G124)</f>
        <v>43008</v>
      </c>
      <c r="W343" s="259">
        <f t="shared" si="25"/>
        <v>69</v>
      </c>
      <c r="X343" s="257" t="str">
        <f t="shared" si="28"/>
        <v/>
      </c>
      <c r="Y343" s="257" t="str">
        <f t="shared" si="29"/>
        <v/>
      </c>
      <c r="Z343" s="261">
        <f>IFERROR(INDEX([3]Rainfall_Dry!$O$2:$O$217,MATCH(C343, [3]Rainfall_Dry!$A$2:$A$217,0)),"")</f>
        <v>136.27214243</v>
      </c>
      <c r="AA343" s="250">
        <v>17.96</v>
      </c>
      <c r="AB343" s="250">
        <v>4.9199999999999982</v>
      </c>
      <c r="AC343" s="250">
        <v>77.12</v>
      </c>
      <c r="AD343" s="251" t="s">
        <v>2652</v>
      </c>
      <c r="AE343" s="250">
        <v>3.02207984228684</v>
      </c>
      <c r="AF343">
        <f>IF('WetLitterbags placem_collection'!AB124="","",'WetLitterbags placem_collection'!AB124)</f>
        <v>3.1</v>
      </c>
      <c r="AG343">
        <f>IF('WetLitterbags placem_collection'!Z124="","",'WetLitterbags placem_collection'!Z124)</f>
        <v>53</v>
      </c>
      <c r="AH343" s="236" t="str">
        <f>IF('WetLitterbags placem_collection'!AA124="","",'WetLitterbags placem_collection'!AA124)</f>
        <v>G</v>
      </c>
      <c r="AI343">
        <f>IF('WetLitterbags placem_collection'!AC124="","",'WetLitterbags placem_collection'!AC124)</f>
        <v>0</v>
      </c>
      <c r="AJ343">
        <f>IFERROR(AVERAGE('Dry_Litterbag Placem_Collection'!O124,'Dry_Litterbag Placem_Collection'!R124),"")</f>
        <v>9.0500000000000007</v>
      </c>
      <c r="AK343" s="261">
        <f>IFERROR(AVERAGE('Dry_Litterbag Placem_Collection'!N124,'Dry_Litterbag Placem_Collection'!Q124),"")</f>
        <v>28.55</v>
      </c>
      <c r="AL343" s="260">
        <f>INDEX([2]Coordinates!$B$2:$B$197,MATCH(I343,[2]Coordinates!$J$2:$J$197,0))</f>
        <v>-2.34923196</v>
      </c>
      <c r="AM343" s="260">
        <f>INDEX([2]Coordinates!$C$2:$C$197,MATCH(I343,[2]Coordinates!$J$2:$J$197,0))</f>
        <v>34.051422039999999</v>
      </c>
      <c r="AN343" s="260" t="str">
        <f>IF(ISNUMBER(SEARCH("C", 'Dry_Litterbag Placem_Collection'!T124)),"YES","NO")</f>
        <v>YES</v>
      </c>
      <c r="AO343" s="260" t="str">
        <f>IF(ISNUMBER(SEARCH("H", 'Dry_Litterbag Placem_Collection'!T124)),"YES","NO")</f>
        <v>YES</v>
      </c>
      <c r="AP343" s="260" t="str">
        <f>IF(ISNUMBER(SEARCH("R", 'Dry_Litterbag Placem_Collection'!T124)),"YES","NO")</f>
        <v>NO</v>
      </c>
    </row>
    <row r="344" spans="1:42" ht="15" customHeight="1">
      <c r="A344" t="s">
        <v>3248</v>
      </c>
      <c r="B344" s="252" t="s">
        <v>2643</v>
      </c>
      <c r="C344" s="253">
        <f>'Dry_Litterbag Placem_Collection'!A125</f>
        <v>123</v>
      </c>
      <c r="D344" s="253" t="str">
        <f>'Dry_Litterbag Placem_Collection'!B125</f>
        <v xml:space="preserve">Mwantimba
</v>
      </c>
      <c r="E344" s="253" t="s">
        <v>2454</v>
      </c>
      <c r="F344" s="253" t="s">
        <v>2644</v>
      </c>
      <c r="G344" s="253">
        <v>4</v>
      </c>
      <c r="H344" s="253" t="s">
        <v>3120</v>
      </c>
      <c r="I344" s="254" t="str">
        <f>'Dry_Litterbag Placem_Collection'!C125</f>
        <v>Wet_Ag4_T3</v>
      </c>
      <c r="J344" s="255" t="s">
        <v>2525</v>
      </c>
      <c r="K344" s="262" t="s">
        <v>298</v>
      </c>
      <c r="L344" s="253" t="str">
        <f>IF(ISBLANK('Dry_Litterbag Placem_Collection'!K125),"","R"&amp;""&amp;'Dry_Litterbag Placem_Collection'!K125)</f>
        <v>R740</v>
      </c>
      <c r="M344" s="257">
        <f>IFERROR(INDEX('Green_rooibos initial weight'!$C$5:$C$2000,MATCH(L344, 'Green_rooibos initial weight'!$A$5:$A$2000,0)),"")</f>
        <v>2.161</v>
      </c>
      <c r="N344" s="257">
        <f>IFERROR(M344-(TBIcalc!$Q$9+TBIcalc!$Q$10),"")</f>
        <v>1.9112</v>
      </c>
      <c r="O344" s="378">
        <f>AVERAGE(Ashed_controlls!$K$12:$K$14)</f>
        <v>2.2816647271287041</v>
      </c>
      <c r="P344" s="257">
        <f t="shared" si="26"/>
        <v>1.8675928237351163</v>
      </c>
      <c r="Q344" s="257">
        <f>IFERROR(INDEX('Both teabags AfterDry'!$D$2:$D$2000,MATCH(L344,'Both teabags AfterDry'!$A$2:$A$2000,0)),"")</f>
        <v>1.6575</v>
      </c>
      <c r="R344" s="257">
        <f>IFERROR(IF(Q344&gt;0,Q344-(TBIcalc!$Q$9),""),"")</f>
        <v>1.5068999999999999</v>
      </c>
      <c r="S344" s="268">
        <f>IFERROR(INDEX('Ashed teabags dry'!$K$2:$K$2000,MATCH(L344,'Ashed teabags dry'!$A$2:$A$2000,0)),"")</f>
        <v>10.523831996223592</v>
      </c>
      <c r="T344" s="268">
        <f t="shared" si="27"/>
        <v>1.3483163756489067</v>
      </c>
      <c r="U344" s="258">
        <f>IF('Dry_Litterbag Placem_Collection'!E125="","",'Dry_Litterbag Placem_Collection'!E125)</f>
        <v>42939</v>
      </c>
      <c r="V344" s="258">
        <f>IF('Dry_Litterbag Placem_Collection'!G125="","",'Dry_Litterbag Placem_Collection'!G125)</f>
        <v>43008</v>
      </c>
      <c r="W344" s="259">
        <f t="shared" si="25"/>
        <v>69</v>
      </c>
      <c r="X344" s="257">
        <f t="shared" si="28"/>
        <v>0.4043000000000001</v>
      </c>
      <c r="Y344" s="257">
        <f t="shared" si="29"/>
        <v>0.51927644808620954</v>
      </c>
      <c r="Z344" s="261">
        <f>IFERROR(INDEX([3]Rainfall_Dry!$O$2:$O$217,MATCH(C344, [3]Rainfall_Dry!$A$2:$A$217,0)),"")</f>
        <v>136.27214243</v>
      </c>
      <c r="AA344" s="250">
        <v>17.96</v>
      </c>
      <c r="AB344" s="250">
        <v>4.9199999999999982</v>
      </c>
      <c r="AC344" s="250">
        <v>77.12</v>
      </c>
      <c r="AD344" s="251" t="s">
        <v>2652</v>
      </c>
      <c r="AE344" s="250">
        <v>4.02207984228684</v>
      </c>
      <c r="AF344">
        <f>IF('WetLitterbags placem_collection'!AB125="","",'WetLitterbags placem_collection'!AB125)</f>
        <v>3.9</v>
      </c>
      <c r="AG344">
        <f>IF('WetLitterbags placem_collection'!Z125="","",'WetLitterbags placem_collection'!Z125)</f>
        <v>51</v>
      </c>
      <c r="AH344" s="236" t="str">
        <f>IF('WetLitterbags placem_collection'!AA125="","",'WetLitterbags placem_collection'!AA125)</f>
        <v>G</v>
      </c>
      <c r="AI344">
        <f>IF('WetLitterbags placem_collection'!AC125="","",'WetLitterbags placem_collection'!AC125)</f>
        <v>1</v>
      </c>
      <c r="AJ344">
        <f>IFERROR(AVERAGE('Dry_Litterbag Placem_Collection'!O125,'Dry_Litterbag Placem_Collection'!R125),"")</f>
        <v>10.7</v>
      </c>
      <c r="AK344" s="261">
        <f>IFERROR(AVERAGE('Dry_Litterbag Placem_Collection'!N125,'Dry_Litterbag Placem_Collection'!Q125),"")</f>
        <v>27.1</v>
      </c>
      <c r="AL344" s="260">
        <f>INDEX([2]Coordinates!$B$2:$B$197,MATCH(I344,[2]Coordinates!$J$2:$J$197,0))</f>
        <v>-2.3492390009999999</v>
      </c>
      <c r="AM344" s="260">
        <f>INDEX([2]Coordinates!$C$2:$C$197,MATCH(I344,[2]Coordinates!$J$2:$J$197,0))</f>
        <v>34.051304020000003</v>
      </c>
      <c r="AN344" s="260" t="str">
        <f>IF(ISNUMBER(SEARCH("C", 'Dry_Litterbag Placem_Collection'!T125)),"YES","NO")</f>
        <v>NO</v>
      </c>
      <c r="AO344" s="260" t="str">
        <f>IF(ISNUMBER(SEARCH("H", 'Dry_Litterbag Placem_Collection'!T125)),"YES","NO")</f>
        <v>NO</v>
      </c>
      <c r="AP344" s="260" t="str">
        <f>IF(ISNUMBER(SEARCH("R", 'Dry_Litterbag Placem_Collection'!T125)),"YES","NO")</f>
        <v>NO</v>
      </c>
    </row>
    <row r="345" spans="1:42" ht="15" customHeight="1">
      <c r="A345" t="s">
        <v>3248</v>
      </c>
      <c r="B345" s="252" t="s">
        <v>2643</v>
      </c>
      <c r="C345" s="253">
        <f>'Dry_Litterbag Placem_Collection'!A126</f>
        <v>124</v>
      </c>
      <c r="D345" s="253" t="str">
        <f>'Dry_Litterbag Placem_Collection'!B126</f>
        <v xml:space="preserve">Mwantimba
</v>
      </c>
      <c r="E345" s="253" t="s">
        <v>2454</v>
      </c>
      <c r="F345" s="253" t="s">
        <v>2644</v>
      </c>
      <c r="G345" s="253">
        <v>4</v>
      </c>
      <c r="H345" s="253" t="s">
        <v>3120</v>
      </c>
      <c r="I345" s="254" t="str">
        <f>'Dry_Litterbag Placem_Collection'!C126</f>
        <v>Wet_Ag4_T4</v>
      </c>
      <c r="J345" s="255" t="s">
        <v>2525</v>
      </c>
      <c r="K345" s="262" t="s">
        <v>298</v>
      </c>
      <c r="L345" s="253" t="str">
        <f>IF(ISBLANK('Dry_Litterbag Placem_Collection'!K126),"","R"&amp;""&amp;'Dry_Litterbag Placem_Collection'!K126)</f>
        <v>R797</v>
      </c>
      <c r="M345" s="257">
        <f>IFERROR(INDEX('Green_rooibos initial weight'!$C$5:$C$2000,MATCH(L345, 'Green_rooibos initial weight'!$A$5:$A$2000,0)),"")</f>
        <v>2.2130000000000001</v>
      </c>
      <c r="N345" s="257">
        <f>IFERROR(M345-(TBIcalc!$Q$9+TBIcalc!$Q$10),"")</f>
        <v>1.9632000000000001</v>
      </c>
      <c r="O345" s="378">
        <f>AVERAGE(Ashed_controlls!$K$12:$K$14)</f>
        <v>2.2816647271287041</v>
      </c>
      <c r="P345" s="257">
        <f t="shared" si="26"/>
        <v>1.9184063580770094</v>
      </c>
      <c r="Q345" s="257">
        <f>IFERROR(INDEX('Both teabags AfterDry'!$D$2:$D$2000,MATCH(L345,'Both teabags AfterDry'!$A$2:$A$2000,0)),"")</f>
        <v>1.5708</v>
      </c>
      <c r="R345" s="257">
        <f>IFERROR(IF(Q345&gt;0,Q345-(TBIcalc!$Q$9),""),"")</f>
        <v>1.4201999999999999</v>
      </c>
      <c r="S345" s="268">
        <f>IFERROR(INDEX('Ashed teabags dry'!$K$2:$K$2000,MATCH(L345,'Ashed teabags dry'!$A$2:$A$2000,0)),"")</f>
        <v>3.4211742949603519</v>
      </c>
      <c r="T345" s="268">
        <f t="shared" si="27"/>
        <v>1.371612482662973</v>
      </c>
      <c r="U345" s="258">
        <f>IF('Dry_Litterbag Placem_Collection'!E126="","",'Dry_Litterbag Placem_Collection'!E126)</f>
        <v>42939</v>
      </c>
      <c r="V345" s="258">
        <f>IF('Dry_Litterbag Placem_Collection'!G126="","",'Dry_Litterbag Placem_Collection'!G126)</f>
        <v>43008</v>
      </c>
      <c r="W345" s="259">
        <f t="shared" si="25"/>
        <v>69</v>
      </c>
      <c r="X345" s="257">
        <f t="shared" si="28"/>
        <v>0.54300000000000015</v>
      </c>
      <c r="Y345" s="257">
        <f t="shared" si="29"/>
        <v>0.54679387541403646</v>
      </c>
      <c r="Z345" s="261">
        <f>IFERROR(INDEX([3]Rainfall_Dry!$O$2:$O$217,MATCH(C345, [3]Rainfall_Dry!$A$2:$A$217,0)),"")</f>
        <v>136.27214243</v>
      </c>
      <c r="AA345" s="250">
        <v>17.96</v>
      </c>
      <c r="AB345" s="250">
        <v>4.9199999999999982</v>
      </c>
      <c r="AC345" s="250">
        <v>77.12</v>
      </c>
      <c r="AD345" s="251" t="s">
        <v>2652</v>
      </c>
      <c r="AE345" s="250">
        <v>5.02207984228684</v>
      </c>
      <c r="AF345">
        <f>IF('WetLitterbags placem_collection'!AB126="","",'WetLitterbags placem_collection'!AB126)</f>
        <v>5.45</v>
      </c>
      <c r="AG345">
        <f>IF('WetLitterbags placem_collection'!Z126="","",'WetLitterbags placem_collection'!Z126)</f>
        <v>47</v>
      </c>
      <c r="AH345" s="236" t="str">
        <f>IF('WetLitterbags placem_collection'!AA126="","",'WetLitterbags placem_collection'!AA126)</f>
        <v>G</v>
      </c>
      <c r="AI345">
        <f>IF('WetLitterbags placem_collection'!AC126="","",'WetLitterbags placem_collection'!AC126)</f>
        <v>1</v>
      </c>
      <c r="AJ345">
        <f>IFERROR(AVERAGE('Dry_Litterbag Placem_Collection'!O126,'Dry_Litterbag Placem_Collection'!R126),"")</f>
        <v>9.15</v>
      </c>
      <c r="AK345" s="261">
        <f>IFERROR(AVERAGE('Dry_Litterbag Placem_Collection'!N126,'Dry_Litterbag Placem_Collection'!Q126),"")</f>
        <v>28.05</v>
      </c>
      <c r="AL345" s="260">
        <f>INDEX([2]Coordinates!$B$2:$B$197,MATCH(I345,[2]Coordinates!$J$2:$J$197,0))</f>
        <v>-2.3492799889999998</v>
      </c>
      <c r="AM345" s="260">
        <f>INDEX([2]Coordinates!$C$2:$C$197,MATCH(I345,[2]Coordinates!$J$2:$J$197,0))</f>
        <v>34.051280970000001</v>
      </c>
      <c r="AN345" s="260" t="str">
        <f>IF(ISNUMBER(SEARCH("C", 'Dry_Litterbag Placem_Collection'!T126)),"YES","NO")</f>
        <v>NO</v>
      </c>
      <c r="AO345" s="260" t="str">
        <f>IF(ISNUMBER(SEARCH("H", 'Dry_Litterbag Placem_Collection'!T126)),"YES","NO")</f>
        <v>YES</v>
      </c>
      <c r="AP345" s="260" t="str">
        <f>IF(ISNUMBER(SEARCH("R", 'Dry_Litterbag Placem_Collection'!T126)),"YES","NO")</f>
        <v>YES</v>
      </c>
    </row>
    <row r="346" spans="1:42" ht="15" customHeight="1">
      <c r="A346" t="s">
        <v>3248</v>
      </c>
      <c r="B346" s="252" t="s">
        <v>2643</v>
      </c>
      <c r="C346" s="253">
        <f>'Dry_Litterbag Placem_Collection'!A127</f>
        <v>125</v>
      </c>
      <c r="D346" s="253" t="str">
        <f>'Dry_Litterbag Placem_Collection'!B127</f>
        <v xml:space="preserve">Mwantimba
</v>
      </c>
      <c r="E346" s="253" t="s">
        <v>2454</v>
      </c>
      <c r="F346" s="253" t="s">
        <v>2644</v>
      </c>
      <c r="G346" s="253">
        <v>4</v>
      </c>
      <c r="H346" s="253" t="s">
        <v>3120</v>
      </c>
      <c r="I346" s="254" t="str">
        <f>'Dry_Litterbag Placem_Collection'!C127</f>
        <v>Wet_Ag4_T5</v>
      </c>
      <c r="J346" s="255" t="s">
        <v>2525</v>
      </c>
      <c r="K346" s="262" t="s">
        <v>298</v>
      </c>
      <c r="L346" s="253" t="str">
        <f>IF(ISBLANK('Dry_Litterbag Placem_Collection'!K127),"","R"&amp;""&amp;'Dry_Litterbag Placem_Collection'!K127)</f>
        <v>R795</v>
      </c>
      <c r="M346" s="257">
        <f>IFERROR(INDEX('Green_rooibos initial weight'!$C$5:$C$2000,MATCH(L346, 'Green_rooibos initial weight'!$A$5:$A$2000,0)),"")</f>
        <v>2.2170000000000001</v>
      </c>
      <c r="N346" s="257">
        <f>IFERROR(M346-(TBIcalc!$Q$9+TBIcalc!$Q$10),"")</f>
        <v>1.9672000000000001</v>
      </c>
      <c r="O346" s="378">
        <f>AVERAGE(Ashed_controlls!$K$12:$K$14)</f>
        <v>2.2816647271287041</v>
      </c>
      <c r="P346" s="257">
        <f t="shared" si="26"/>
        <v>1.9223150914879241</v>
      </c>
      <c r="Q346" s="257">
        <f>IFERROR(INDEX('Both teabags AfterDry'!$D$2:$D$2000,MATCH(L346,'Both teabags AfterDry'!$A$2:$A$2000,0)),"")</f>
        <v>0.83220000000000005</v>
      </c>
      <c r="R346" s="257">
        <f>IFERROR(IF(Q346&gt;0,Q346-(TBIcalc!$Q$9),""),"")</f>
        <v>0.68159999999999998</v>
      </c>
      <c r="S346" s="268">
        <f>IFERROR(INDEX('Ashed teabags dry'!$K$2:$K$2000,MATCH(L346,'Ashed teabags dry'!$A$2:$A$2000,0)),"")</f>
        <v>91.950000000000998</v>
      </c>
      <c r="T346" s="268">
        <f t="shared" si="27"/>
        <v>5.4868799999993167E-2</v>
      </c>
      <c r="U346" s="258">
        <f>IF('Dry_Litterbag Placem_Collection'!E127="","",'Dry_Litterbag Placem_Collection'!E127)</f>
        <v>42939</v>
      </c>
      <c r="V346" s="258">
        <f>IF('Dry_Litterbag Placem_Collection'!G127="","",'Dry_Litterbag Placem_Collection'!G127)</f>
        <v>43008</v>
      </c>
      <c r="W346" s="259">
        <f t="shared" si="25"/>
        <v>69</v>
      </c>
      <c r="X346" s="257">
        <f t="shared" si="28"/>
        <v>1.2856000000000001</v>
      </c>
      <c r="Y346" s="257">
        <f t="shared" si="29"/>
        <v>1.8674462914879308</v>
      </c>
      <c r="Z346" s="261">
        <f>IFERROR(INDEX([3]Rainfall_Dry!$O$2:$O$217,MATCH(C346, [3]Rainfall_Dry!$A$2:$A$217,0)),"")</f>
        <v>136.27214243</v>
      </c>
      <c r="AA346" s="250">
        <v>17.96</v>
      </c>
      <c r="AB346" s="250">
        <v>4.9199999999999982</v>
      </c>
      <c r="AC346" s="250">
        <v>77.12</v>
      </c>
      <c r="AD346" s="251" t="s">
        <v>2652</v>
      </c>
      <c r="AE346" s="250">
        <v>6.02207984228684</v>
      </c>
      <c r="AF346">
        <f>IF('WetLitterbags placem_collection'!AB127="","",'WetLitterbags placem_collection'!AB127)</f>
        <v>9.3000000000000007</v>
      </c>
      <c r="AG346">
        <f>IF('WetLitterbags placem_collection'!Z127="","",'WetLitterbags placem_collection'!Z127)</f>
        <v>43</v>
      </c>
      <c r="AH346" s="236" t="str">
        <f>IF('WetLitterbags placem_collection'!AA127="","",'WetLitterbags placem_collection'!AA127)</f>
        <v>G</v>
      </c>
      <c r="AI346">
        <f>IF('WetLitterbags placem_collection'!AC127="","",'WetLitterbags placem_collection'!AC127)</f>
        <v>1</v>
      </c>
      <c r="AJ346">
        <f>IFERROR(AVERAGE('Dry_Litterbag Placem_Collection'!O127,'Dry_Litterbag Placem_Collection'!R127),"")</f>
        <v>10.85</v>
      </c>
      <c r="AK346" s="261">
        <f>IFERROR(AVERAGE('Dry_Litterbag Placem_Collection'!N127,'Dry_Litterbag Placem_Collection'!Q127),"")</f>
        <v>28.05</v>
      </c>
      <c r="AL346" s="260">
        <f>INDEX([2]Coordinates!$B$2:$B$197,MATCH(I346,[2]Coordinates!$J$2:$J$197,0))</f>
        <v>-2.3493320400000002</v>
      </c>
      <c r="AM346" s="260">
        <f>INDEX([2]Coordinates!$C$2:$C$197,MATCH(I346,[2]Coordinates!$J$2:$J$197,0))</f>
        <v>34.051321960000003</v>
      </c>
      <c r="AN346" s="260" t="str">
        <f>IF(ISNUMBER(SEARCH("C", 'Dry_Litterbag Placem_Collection'!T127)),"YES","NO")</f>
        <v>YES</v>
      </c>
      <c r="AO346" s="260" t="str">
        <f>IF(ISNUMBER(SEARCH("H", 'Dry_Litterbag Placem_Collection'!T127)),"YES","NO")</f>
        <v>YES</v>
      </c>
      <c r="AP346" s="260" t="str">
        <f>IF(ISNUMBER(SEARCH("R", 'Dry_Litterbag Placem_Collection'!T127)),"YES","NO")</f>
        <v>NO</v>
      </c>
    </row>
    <row r="347" spans="1:42" ht="15" customHeight="1">
      <c r="A347" t="s">
        <v>3248</v>
      </c>
      <c r="B347" s="252" t="s">
        <v>2643</v>
      </c>
      <c r="C347" s="253">
        <f>'Dry_Litterbag Placem_Collection'!A128</f>
        <v>126</v>
      </c>
      <c r="D347" s="253" t="str">
        <f>'Dry_Litterbag Placem_Collection'!B128</f>
        <v xml:space="preserve">Mwantimba
</v>
      </c>
      <c r="E347" s="253" t="s">
        <v>2454</v>
      </c>
      <c r="F347" s="253" t="s">
        <v>2644</v>
      </c>
      <c r="G347" s="253">
        <v>4</v>
      </c>
      <c r="H347" s="253" t="s">
        <v>3120</v>
      </c>
      <c r="I347" s="254" t="str">
        <f>'Dry_Litterbag Placem_Collection'!C128</f>
        <v>Wet_Ag4_T6</v>
      </c>
      <c r="J347" s="255" t="s">
        <v>2525</v>
      </c>
      <c r="K347" s="262" t="s">
        <v>298</v>
      </c>
      <c r="L347" s="253" t="str">
        <f>IF(ISBLANK('Dry_Litterbag Placem_Collection'!K128),"","R"&amp;""&amp;'Dry_Litterbag Placem_Collection'!K128)</f>
        <v/>
      </c>
      <c r="M347" s="257" t="str">
        <f>IFERROR(INDEX('Green_rooibos initial weight'!$C$5:$C$2000,MATCH(L347, 'Green_rooibos initial weight'!$A$5:$A$2000,0)),"")</f>
        <v/>
      </c>
      <c r="N347" s="257" t="str">
        <f>IFERROR(M347-(TBIcalc!$Q$9+TBIcalc!$Q$10),"")</f>
        <v/>
      </c>
      <c r="O347" s="378">
        <f>AVERAGE(Ashed_controlls!$K$12:$K$14)</f>
        <v>2.2816647271287041</v>
      </c>
      <c r="P347" s="257" t="str">
        <f t="shared" si="26"/>
        <v/>
      </c>
      <c r="Q347" s="257" t="str">
        <f>IFERROR(INDEX('Both teabags AfterDry'!$D$2:$D$2000,MATCH(L347,'Both teabags AfterDry'!$A$2:$A$2000,0)),"")</f>
        <v/>
      </c>
      <c r="R347" s="257" t="str">
        <f>IFERROR(IF(Q347&gt;0,Q347-(TBIcalc!$Q$9),""),"")</f>
        <v/>
      </c>
      <c r="S347" s="268" t="str">
        <f>IFERROR(INDEX('Ashed teabags dry'!$K$2:$K$2000,MATCH(L347,'Ashed teabags dry'!$A$2:$A$2000,0)),"")</f>
        <v/>
      </c>
      <c r="T347" s="268" t="str">
        <f t="shared" si="27"/>
        <v/>
      </c>
      <c r="U347" s="258" t="str">
        <f>IF('Dry_Litterbag Placem_Collection'!E128="","",'Dry_Litterbag Placem_Collection'!E128)</f>
        <v/>
      </c>
      <c r="V347" s="258" t="str">
        <f>IF('Dry_Litterbag Placem_Collection'!G128="","",'Dry_Litterbag Placem_Collection'!G128)</f>
        <v/>
      </c>
      <c r="W347" s="259" t="str">
        <f t="shared" si="25"/>
        <v/>
      </c>
      <c r="X347" s="257" t="str">
        <f t="shared" si="28"/>
        <v/>
      </c>
      <c r="Y347" s="257" t="str">
        <f t="shared" si="29"/>
        <v/>
      </c>
      <c r="Z347" s="261" t="str">
        <f>IFERROR(INDEX([3]Rainfall_Dry!$O$2:$O$217,MATCH(C347, [3]Rainfall_Dry!$A$2:$A$217,0)),"")</f>
        <v/>
      </c>
      <c r="AA347" s="250">
        <v>17.96</v>
      </c>
      <c r="AB347" s="250">
        <v>4.9199999999999982</v>
      </c>
      <c r="AC347" s="250">
        <v>77.12</v>
      </c>
      <c r="AD347" s="251" t="s">
        <v>2652</v>
      </c>
      <c r="AE347" s="250">
        <v>7.02207984228684</v>
      </c>
      <c r="AF347">
        <f>IF('WetLitterbags placem_collection'!AB128="","",'WetLitterbags placem_collection'!AB128)</f>
        <v>10.85</v>
      </c>
      <c r="AG347">
        <f>IF('WetLitterbags placem_collection'!Z128="","",'WetLitterbags placem_collection'!Z128)</f>
        <v>40</v>
      </c>
      <c r="AH347" s="236" t="str">
        <f>IF('WetLitterbags placem_collection'!AA128="","",'WetLitterbags placem_collection'!AA128)</f>
        <v>G</v>
      </c>
      <c r="AI347">
        <f>IF('WetLitterbags placem_collection'!AC128="","",'WetLitterbags placem_collection'!AC128)</f>
        <v>1</v>
      </c>
      <c r="AJ347" t="str">
        <f>IFERROR(AVERAGE('Dry_Litterbag Placem_Collection'!O128,'Dry_Litterbag Placem_Collection'!R128),"")</f>
        <v/>
      </c>
      <c r="AK347" s="261" t="str">
        <f>IFERROR(AVERAGE('Dry_Litterbag Placem_Collection'!N128,'Dry_Litterbag Placem_Collection'!Q128),"")</f>
        <v/>
      </c>
      <c r="AL347" s="260">
        <f>INDEX([2]Coordinates!$B$2:$B$197,MATCH(I347,[2]Coordinates!$J$2:$J$197,0))</f>
        <v>-2.3493509829999999</v>
      </c>
      <c r="AM347" s="260">
        <f>INDEX([2]Coordinates!$C$2:$C$197,MATCH(I347,[2]Coordinates!$J$2:$J$197,0))</f>
        <v>34.051332019999997</v>
      </c>
      <c r="AN347" s="260" t="str">
        <f>IF(ISNUMBER(SEARCH("C", 'Dry_Litterbag Placem_Collection'!T128)),"YES","NO")</f>
        <v>NO</v>
      </c>
      <c r="AO347" s="260" t="str">
        <f>IF(ISNUMBER(SEARCH("H", 'Dry_Litterbag Placem_Collection'!T128)),"YES","NO")</f>
        <v>NO</v>
      </c>
      <c r="AP347" s="260" t="str">
        <f>IF(ISNUMBER(SEARCH("R", 'Dry_Litterbag Placem_Collection'!T128)),"YES","NO")</f>
        <v>NO</v>
      </c>
    </row>
    <row r="348" spans="1:42" ht="15" customHeight="1">
      <c r="A348" t="s">
        <v>3248</v>
      </c>
      <c r="B348" s="252" t="s">
        <v>2643</v>
      </c>
      <c r="C348" s="253">
        <f>'Dry_Litterbag Placem_Collection'!A129</f>
        <v>127</v>
      </c>
      <c r="D348" s="253" t="str">
        <f>'Dry_Litterbag Placem_Collection'!B129</f>
        <v xml:space="preserve">Mwantimba
</v>
      </c>
      <c r="E348" s="253" t="s">
        <v>2454</v>
      </c>
      <c r="F348" s="253" t="s">
        <v>2644</v>
      </c>
      <c r="G348" s="253">
        <v>4</v>
      </c>
      <c r="H348" s="253" t="s">
        <v>3120</v>
      </c>
      <c r="I348" s="254" t="str">
        <f>'Dry_Litterbag Placem_Collection'!C129</f>
        <v>Wet_Ag4_T7</v>
      </c>
      <c r="J348" s="255" t="s">
        <v>2525</v>
      </c>
      <c r="K348" s="262" t="s">
        <v>298</v>
      </c>
      <c r="L348" s="253" t="str">
        <f>IF(ISBLANK('Dry_Litterbag Placem_Collection'!K129),"","R"&amp;""&amp;'Dry_Litterbag Placem_Collection'!K129)</f>
        <v>R751</v>
      </c>
      <c r="M348" s="257">
        <f>IFERROR(INDEX('Green_rooibos initial weight'!$C$5:$C$2000,MATCH(L348, 'Green_rooibos initial weight'!$A$5:$A$2000,0)),"")</f>
        <v>2.262</v>
      </c>
      <c r="N348" s="257">
        <f>IFERROR(M348-(TBIcalc!$Q$9+TBIcalc!$Q$10),"")</f>
        <v>2.0122</v>
      </c>
      <c r="O348" s="378">
        <f>AVERAGE(Ashed_controlls!$K$12:$K$14)</f>
        <v>2.2816647271287041</v>
      </c>
      <c r="P348" s="257">
        <f t="shared" si="26"/>
        <v>1.9662883423607163</v>
      </c>
      <c r="Q348" s="257">
        <f>IFERROR(INDEX('Both teabags AfterDry'!$D$2:$D$2000,MATCH(L348,'Both teabags AfterDry'!$A$2:$A$2000,0)),"")</f>
        <v>1.6394</v>
      </c>
      <c r="R348" s="257">
        <f>IFERROR(IF(Q348&gt;0,Q348-(TBIcalc!$Q$9),""),"")</f>
        <v>1.4887999999999999</v>
      </c>
      <c r="S348" s="268">
        <f>IFERROR(INDEX('Ashed teabags dry'!$K$2:$K$2000,MATCH(L348,'Ashed teabags dry'!$A$2:$A$2000,0)),"")</f>
        <v>4.0196078431371527</v>
      </c>
      <c r="T348" s="268">
        <f t="shared" si="27"/>
        <v>1.428956078431374</v>
      </c>
      <c r="U348" s="258">
        <f>IF('Dry_Litterbag Placem_Collection'!E129="","",'Dry_Litterbag Placem_Collection'!E129)</f>
        <v>42939</v>
      </c>
      <c r="V348" s="258">
        <f>IF('Dry_Litterbag Placem_Collection'!G129="","",'Dry_Litterbag Placem_Collection'!G129)</f>
        <v>43008</v>
      </c>
      <c r="W348" s="259">
        <f t="shared" si="25"/>
        <v>69</v>
      </c>
      <c r="X348" s="257">
        <f t="shared" si="28"/>
        <v>0.52340000000000009</v>
      </c>
      <c r="Y348" s="257">
        <f t="shared" si="29"/>
        <v>0.5373322639293423</v>
      </c>
      <c r="Z348" s="261">
        <f>IFERROR(INDEX([3]Rainfall_Dry!$O$2:$O$217,MATCH(C348, [3]Rainfall_Dry!$A$2:$A$217,0)),"")</f>
        <v>136.27214243</v>
      </c>
      <c r="AA348" s="250">
        <v>17.96</v>
      </c>
      <c r="AB348" s="250">
        <v>4.9199999999999982</v>
      </c>
      <c r="AC348" s="250">
        <v>77.12</v>
      </c>
      <c r="AD348" s="251" t="s">
        <v>2652</v>
      </c>
      <c r="AE348" s="250">
        <v>8.0220798422868391</v>
      </c>
      <c r="AF348">
        <f>IF('WetLitterbags placem_collection'!AB129="","",'WetLitterbags placem_collection'!AB129)</f>
        <v>5.35</v>
      </c>
      <c r="AG348">
        <f>IF('WetLitterbags placem_collection'!Z129="","",'WetLitterbags placem_collection'!Z129)</f>
        <v>58</v>
      </c>
      <c r="AH348" s="236" t="str">
        <f>IF('WetLitterbags placem_collection'!AA129="","",'WetLitterbags placem_collection'!AA129)</f>
        <v>G</v>
      </c>
      <c r="AI348">
        <f>IF('WetLitterbags placem_collection'!AC129="","",'WetLitterbags placem_collection'!AC129)</f>
        <v>1</v>
      </c>
      <c r="AJ348">
        <f>IFERROR(AVERAGE('Dry_Litterbag Placem_Collection'!O129,'Dry_Litterbag Placem_Collection'!R129),"")</f>
        <v>9.6999999999999993</v>
      </c>
      <c r="AK348" s="261">
        <f>IFERROR(AVERAGE('Dry_Litterbag Placem_Collection'!N129,'Dry_Litterbag Placem_Collection'!Q129),"")</f>
        <v>28.1</v>
      </c>
      <c r="AL348" s="260">
        <f>INDEX([2]Coordinates!$B$2:$B$197,MATCH(I348,[2]Coordinates!$J$2:$J$197,0))</f>
        <v>-2.3491850219999999</v>
      </c>
      <c r="AM348" s="260">
        <f>INDEX([2]Coordinates!$C$2:$C$197,MATCH(I348,[2]Coordinates!$J$2:$J$197,0))</f>
        <v>34.051264959999997</v>
      </c>
      <c r="AN348" s="260" t="str">
        <f>IF(ISNUMBER(SEARCH("C", 'Dry_Litterbag Placem_Collection'!T129)),"YES","NO")</f>
        <v>NO</v>
      </c>
      <c r="AO348" s="260" t="str">
        <f>IF(ISNUMBER(SEARCH("H", 'Dry_Litterbag Placem_Collection'!T129)),"YES","NO")</f>
        <v>NO</v>
      </c>
      <c r="AP348" s="260" t="str">
        <f>IF(ISNUMBER(SEARCH("R", 'Dry_Litterbag Placem_Collection'!T129)),"YES","NO")</f>
        <v>NO</v>
      </c>
    </row>
    <row r="349" spans="1:42" ht="15" customHeight="1">
      <c r="A349" t="s">
        <v>3248</v>
      </c>
      <c r="B349" s="252" t="s">
        <v>2643</v>
      </c>
      <c r="C349" s="253">
        <f>'Dry_Litterbag Placem_Collection'!A130</f>
        <v>128</v>
      </c>
      <c r="D349" s="253" t="str">
        <f>'Dry_Litterbag Placem_Collection'!B130</f>
        <v xml:space="preserve">Mwantimba
</v>
      </c>
      <c r="E349" s="253" t="s">
        <v>2454</v>
      </c>
      <c r="F349" s="253" t="s">
        <v>2644</v>
      </c>
      <c r="G349" s="253">
        <v>4</v>
      </c>
      <c r="H349" s="253" t="s">
        <v>3120</v>
      </c>
      <c r="I349" s="254" t="str">
        <f>'Dry_Litterbag Placem_Collection'!C130</f>
        <v>Wet_Ag4_T8</v>
      </c>
      <c r="J349" s="255" t="s">
        <v>2525</v>
      </c>
      <c r="K349" s="262" t="s">
        <v>298</v>
      </c>
      <c r="L349" s="253" t="str">
        <f>IF(ISBLANK('Dry_Litterbag Placem_Collection'!K130),"","R"&amp;""&amp;'Dry_Litterbag Placem_Collection'!K130)</f>
        <v>R819</v>
      </c>
      <c r="M349" s="257">
        <f>IFERROR(INDEX('Green_rooibos initial weight'!$C$5:$C$2000,MATCH(L349, 'Green_rooibos initial weight'!$A$5:$A$2000,0)),"")</f>
        <v>2.16</v>
      </c>
      <c r="N349" s="257">
        <f>IFERROR(M349-(TBIcalc!$Q$9+TBIcalc!$Q$10),"")</f>
        <v>1.9102000000000001</v>
      </c>
      <c r="O349" s="378">
        <f>AVERAGE(Ashed_controlls!$K$12:$K$14)</f>
        <v>2.2816647271287041</v>
      </c>
      <c r="P349" s="257">
        <f t="shared" si="26"/>
        <v>1.8666156403823877</v>
      </c>
      <c r="Q349" s="257">
        <f>IFERROR(INDEX('Both teabags AfterDry'!$D$2:$D$2000,MATCH(L349,'Both teabags AfterDry'!$A$2:$A$2000,0)),"")</f>
        <v>2.8028</v>
      </c>
      <c r="R349" s="257">
        <f>IFERROR(IF(Q349&gt;0,Q349-(TBIcalc!$Q$9),""),"")</f>
        <v>2.6522000000000001</v>
      </c>
      <c r="S349" s="268">
        <f>IFERROR(INDEX('Ashed teabags dry'!$K$2:$K$2000,MATCH(L349,'Ashed teabags dry'!$A$2:$A$2000,0)),"")</f>
        <v>86.93858845096193</v>
      </c>
      <c r="T349" s="268">
        <f t="shared" si="27"/>
        <v>0.3464147571035876</v>
      </c>
      <c r="U349" s="258">
        <f>IF('Dry_Litterbag Placem_Collection'!E130="","",'Dry_Litterbag Placem_Collection'!E130)</f>
        <v>42939</v>
      </c>
      <c r="V349" s="258">
        <f>IF('Dry_Litterbag Placem_Collection'!G130="","",'Dry_Litterbag Placem_Collection'!G130)</f>
        <v>43008</v>
      </c>
      <c r="W349" s="259">
        <f t="shared" si="25"/>
        <v>69</v>
      </c>
      <c r="X349" s="257">
        <f t="shared" si="28"/>
        <v>-0.74199999999999999</v>
      </c>
      <c r="Y349" s="257">
        <f t="shared" si="29"/>
        <v>1.5202008832788001</v>
      </c>
      <c r="Z349" s="261">
        <f>IFERROR(INDEX([3]Rainfall_Dry!$O$2:$O$217,MATCH(C349, [3]Rainfall_Dry!$A$2:$A$217,0)),"")</f>
        <v>136.27214243</v>
      </c>
      <c r="AA349" s="250">
        <v>17.96</v>
      </c>
      <c r="AB349" s="250">
        <v>4.9199999999999982</v>
      </c>
      <c r="AC349" s="250">
        <v>77.12</v>
      </c>
      <c r="AD349" s="251" t="s">
        <v>2652</v>
      </c>
      <c r="AE349" s="250">
        <v>9.0220798422868391</v>
      </c>
      <c r="AF349">
        <f>IF('WetLitterbags placem_collection'!AB130="","",'WetLitterbags placem_collection'!AB130)</f>
        <v>10.9</v>
      </c>
      <c r="AG349">
        <f>IF('WetLitterbags placem_collection'!Z130="","",'WetLitterbags placem_collection'!Z130)</f>
        <v>44</v>
      </c>
      <c r="AH349" s="236" t="str">
        <f>IF('WetLitterbags placem_collection'!AA130="","",'WetLitterbags placem_collection'!AA130)</f>
        <v>G</v>
      </c>
      <c r="AI349">
        <f>IF('WetLitterbags placem_collection'!AC130="","",'WetLitterbags placem_collection'!AC130)</f>
        <v>0</v>
      </c>
      <c r="AJ349">
        <f>IFERROR(AVERAGE('Dry_Litterbag Placem_Collection'!O130,'Dry_Litterbag Placem_Collection'!R130),"")</f>
        <v>8.4499999999999993</v>
      </c>
      <c r="AK349" s="261">
        <f>IFERROR(AVERAGE('Dry_Litterbag Placem_Collection'!N130,'Dry_Litterbag Placem_Collection'!Q130),"")</f>
        <v>28.4</v>
      </c>
      <c r="AL349" s="260">
        <f>INDEX([2]Coordinates!$B$2:$B$197,MATCH(I349,[2]Coordinates!$J$2:$J$197,0))</f>
        <v>-2.3493099960000001</v>
      </c>
      <c r="AM349" s="260">
        <f>INDEX([2]Coordinates!$C$2:$C$197,MATCH(I349,[2]Coordinates!$J$2:$J$197,0))</f>
        <v>34.05141802</v>
      </c>
      <c r="AN349" s="260" t="str">
        <f>IF(ISNUMBER(SEARCH("C", 'Dry_Litterbag Placem_Collection'!T130)),"YES","NO")</f>
        <v>YES</v>
      </c>
      <c r="AO349" s="260" t="str">
        <f>IF(ISNUMBER(SEARCH("H", 'Dry_Litterbag Placem_Collection'!T130)),"YES","NO")</f>
        <v>YES</v>
      </c>
      <c r="AP349" s="260" t="str">
        <f>IF(ISNUMBER(SEARCH("R", 'Dry_Litterbag Placem_Collection'!T130)),"YES","NO")</f>
        <v>NO</v>
      </c>
    </row>
    <row r="350" spans="1:42" ht="15" customHeight="1">
      <c r="A350" t="s">
        <v>3248</v>
      </c>
      <c r="B350" s="252" t="s">
        <v>2643</v>
      </c>
      <c r="C350" s="253">
        <f>'Dry_Litterbag Placem_Collection'!A131</f>
        <v>129</v>
      </c>
      <c r="D350" s="253" t="str">
        <f>'Dry_Litterbag Placem_Collection'!B131</f>
        <v xml:space="preserve">Mwantimba
</v>
      </c>
      <c r="E350" s="253" t="s">
        <v>2454</v>
      </c>
      <c r="F350" s="253" t="s">
        <v>20</v>
      </c>
      <c r="G350" s="253">
        <v>1</v>
      </c>
      <c r="H350" s="253" t="s">
        <v>3121</v>
      </c>
      <c r="I350" s="254" t="str">
        <f>'Dry_Litterbag Placem_Collection'!C131</f>
        <v>Wet_P1_T1</v>
      </c>
      <c r="J350" s="255" t="s">
        <v>2525</v>
      </c>
      <c r="K350" s="262" t="s">
        <v>298</v>
      </c>
      <c r="L350" s="253" t="str">
        <f>IF(ISBLANK('Dry_Litterbag Placem_Collection'!K131),"","R"&amp;""&amp;'Dry_Litterbag Placem_Collection'!K131)</f>
        <v>R768</v>
      </c>
      <c r="M350" s="257">
        <f>IFERROR(INDEX('Green_rooibos initial weight'!$C$5:$C$2000,MATCH(L350, 'Green_rooibos initial weight'!$A$5:$A$2000,0)),"")</f>
        <v>2.2120000000000002</v>
      </c>
      <c r="N350" s="257">
        <f>IFERROR(M350-(TBIcalc!$Q$9+TBIcalc!$Q$10),"")</f>
        <v>1.9622000000000002</v>
      </c>
      <c r="O350" s="378">
        <f>AVERAGE(Ashed_controlls!$K$12:$K$14)</f>
        <v>2.2816647271287041</v>
      </c>
      <c r="P350" s="257">
        <f t="shared" si="26"/>
        <v>1.9174291747242806</v>
      </c>
      <c r="Q350" s="257">
        <f>IFERROR(INDEX('Both teabags AfterDry'!$D$2:$D$2000,MATCH(L350,'Both teabags AfterDry'!$A$2:$A$2000,0)),"")</f>
        <v>0.67179999999999995</v>
      </c>
      <c r="R350" s="257">
        <f>IFERROR(IF(Q350&gt;0,Q350-(TBIcalc!$Q$9),""),"")</f>
        <v>0.52119999999999989</v>
      </c>
      <c r="S350" s="268">
        <f>IFERROR(INDEX('Ashed teabags dry'!$K$2:$K$2000,MATCH(L350,'Ashed teabags dry'!$A$2:$A$2000,0)),"")</f>
        <v>87.766714082503427</v>
      </c>
      <c r="T350" s="268">
        <f t="shared" si="27"/>
        <v>6.3759886201992133E-2</v>
      </c>
      <c r="U350" s="258">
        <f>IF('Dry_Litterbag Placem_Collection'!E131="","",'Dry_Litterbag Placem_Collection'!E131)</f>
        <v>42939</v>
      </c>
      <c r="V350" s="258">
        <f>IF('Dry_Litterbag Placem_Collection'!G131="","",'Dry_Litterbag Placem_Collection'!G131)</f>
        <v>43008</v>
      </c>
      <c r="W350" s="259">
        <f t="shared" si="25"/>
        <v>69</v>
      </c>
      <c r="X350" s="257">
        <f t="shared" si="28"/>
        <v>1.4410000000000003</v>
      </c>
      <c r="Y350" s="257">
        <f t="shared" si="29"/>
        <v>1.8536692885222885</v>
      </c>
      <c r="Z350" s="261">
        <f>IFERROR(INDEX([3]Rainfall_Dry!$O$2:$O$217,MATCH(C350, [3]Rainfall_Dry!$A$2:$A$217,0)),"")</f>
        <v>136.27214243</v>
      </c>
      <c r="AA350" s="250">
        <v>31.214836424255054</v>
      </c>
      <c r="AB350" s="250">
        <v>11.377370285476141</v>
      </c>
      <c r="AC350" s="250">
        <v>57.407793290268799</v>
      </c>
      <c r="AD350" s="251" t="s">
        <v>2651</v>
      </c>
      <c r="AE350" s="250">
        <v>1.7337604731394776</v>
      </c>
      <c r="AF350">
        <f>IF('WetLitterbags placem_collection'!AB131="","",'WetLitterbags placem_collection'!AB131)</f>
        <v>2.4</v>
      </c>
      <c r="AG350">
        <f>IF('WetLitterbags placem_collection'!Z131="","",'WetLitterbags placem_collection'!Z131)</f>
        <v>2.4</v>
      </c>
      <c r="AH350" s="236" t="str">
        <f>IF('WetLitterbags placem_collection'!AA131="","",'WetLitterbags placem_collection'!AA131)</f>
        <v>O</v>
      </c>
      <c r="AI350">
        <f>IF('WetLitterbags placem_collection'!AC131="","",'WetLitterbags placem_collection'!AC131)</f>
        <v>1</v>
      </c>
      <c r="AJ350">
        <f>IFERROR(AVERAGE('Dry_Litterbag Placem_Collection'!O131,'Dry_Litterbag Placem_Collection'!R131),"")</f>
        <v>11.8</v>
      </c>
      <c r="AK350" s="261">
        <f>IFERROR(AVERAGE('Dry_Litterbag Placem_Collection'!N131,'Dry_Litterbag Placem_Collection'!Q131),"")</f>
        <v>29.05</v>
      </c>
      <c r="AL350" s="260">
        <f>INDEX([2]Coordinates!$B$2:$B$197,MATCH(I350,[2]Coordinates!$J$2:$J$197,0))</f>
        <v>-2.3503360249999998</v>
      </c>
      <c r="AM350" s="260">
        <f>INDEX([2]Coordinates!$C$2:$C$197,MATCH(I350,[2]Coordinates!$J$2:$J$197,0))</f>
        <v>34.049662009999999</v>
      </c>
      <c r="AN350" s="260" t="str">
        <f>IF(ISNUMBER(SEARCH("C", 'Dry_Litterbag Placem_Collection'!T131)),"YES","NO")</f>
        <v>YES</v>
      </c>
      <c r="AO350" s="260" t="str">
        <f>IF(ISNUMBER(SEARCH("H", 'Dry_Litterbag Placem_Collection'!T131)),"YES","NO")</f>
        <v>YES</v>
      </c>
      <c r="AP350" s="260" t="str">
        <f>IF(ISNUMBER(SEARCH("R", 'Dry_Litterbag Placem_Collection'!T131)),"YES","NO")</f>
        <v>NO</v>
      </c>
    </row>
    <row r="351" spans="1:42" ht="15" customHeight="1">
      <c r="A351" t="s">
        <v>3248</v>
      </c>
      <c r="B351" s="252" t="s">
        <v>2643</v>
      </c>
      <c r="C351" s="253">
        <f>'Dry_Litterbag Placem_Collection'!A132</f>
        <v>130</v>
      </c>
      <c r="D351" s="253" t="str">
        <f>'Dry_Litterbag Placem_Collection'!B132</f>
        <v xml:space="preserve">Mwantimba
</v>
      </c>
      <c r="E351" s="253" t="s">
        <v>2454</v>
      </c>
      <c r="F351" s="253" t="s">
        <v>20</v>
      </c>
      <c r="G351" s="253">
        <v>1</v>
      </c>
      <c r="H351" s="253" t="s">
        <v>3121</v>
      </c>
      <c r="I351" s="254" t="str">
        <f>'Dry_Litterbag Placem_Collection'!C132</f>
        <v>Wet_P1_T2</v>
      </c>
      <c r="J351" s="255" t="s">
        <v>2525</v>
      </c>
      <c r="K351" s="262" t="s">
        <v>298</v>
      </c>
      <c r="L351" s="253" t="str">
        <f>IF(ISBLANK('Dry_Litterbag Placem_Collection'!K132),"","R"&amp;""&amp;'Dry_Litterbag Placem_Collection'!K132)</f>
        <v>R789</v>
      </c>
      <c r="M351" s="257">
        <f>IFERROR(INDEX('Green_rooibos initial weight'!$C$5:$C$2000,MATCH(L351, 'Green_rooibos initial weight'!$A$5:$A$2000,0)),"")</f>
        <v>2.2549999999999999</v>
      </c>
      <c r="N351" s="257">
        <f>IFERROR(M351-(TBIcalc!$Q$9+TBIcalc!$Q$10),"")</f>
        <v>2.0051999999999999</v>
      </c>
      <c r="O351" s="378">
        <f>AVERAGE(Ashed_controlls!$K$12:$K$14)</f>
        <v>2.2816647271287041</v>
      </c>
      <c r="P351" s="257">
        <f t="shared" si="26"/>
        <v>1.959448058891615</v>
      </c>
      <c r="Q351" s="257">
        <f>IFERROR(INDEX('Both teabags AfterDry'!$D$2:$D$2000,MATCH(L351,'Both teabags AfterDry'!$A$2:$A$2000,0)),"")</f>
        <v>2.4607999999999999</v>
      </c>
      <c r="R351" s="257">
        <f>IFERROR(IF(Q351&gt;0,Q351-(TBIcalc!$Q$9),""),"")</f>
        <v>2.3102</v>
      </c>
      <c r="S351" s="268">
        <f>IFERROR(INDEX('Ashed teabags dry'!$K$2:$K$2000,MATCH(L351,'Ashed teabags dry'!$A$2:$A$2000,0)),"")</f>
        <v>91.804831833254127</v>
      </c>
      <c r="T351" s="268">
        <f t="shared" si="27"/>
        <v>0.18932477498816302</v>
      </c>
      <c r="U351" s="258">
        <f>IF('Dry_Litterbag Placem_Collection'!E132="","",'Dry_Litterbag Placem_Collection'!E132)</f>
        <v>42939</v>
      </c>
      <c r="V351" s="258">
        <f>IF('Dry_Litterbag Placem_Collection'!G132="","",'Dry_Litterbag Placem_Collection'!G132)</f>
        <v>43008</v>
      </c>
      <c r="W351" s="259">
        <f t="shared" si="25"/>
        <v>69</v>
      </c>
      <c r="X351" s="257">
        <f t="shared" si="28"/>
        <v>-0.30500000000000016</v>
      </c>
      <c r="Y351" s="257">
        <f t="shared" si="29"/>
        <v>1.770123283903452</v>
      </c>
      <c r="Z351" s="261">
        <f>IFERROR(INDEX([3]Rainfall_Dry!$O$2:$O$217,MATCH(C351, [3]Rainfall_Dry!$A$2:$A$217,0)),"")</f>
        <v>136.27214243</v>
      </c>
      <c r="AA351" s="250">
        <v>31.214836424255054</v>
      </c>
      <c r="AB351" s="250">
        <v>11.377370285476141</v>
      </c>
      <c r="AC351" s="250">
        <v>57.407793290268799</v>
      </c>
      <c r="AD351" s="251" t="s">
        <v>2651</v>
      </c>
      <c r="AE351" s="250">
        <v>2.7337604731394798</v>
      </c>
      <c r="AF351">
        <f>IF('WetLitterbags placem_collection'!AB132="","",'WetLitterbags placem_collection'!AB132)</f>
        <v>2.1</v>
      </c>
      <c r="AG351">
        <f>IF('WetLitterbags placem_collection'!Z132="","",'WetLitterbags placem_collection'!Z132)</f>
        <v>3.5</v>
      </c>
      <c r="AH351" s="236" t="str">
        <f>IF('WetLitterbags placem_collection'!AA132="","",'WetLitterbags placem_collection'!AA132)</f>
        <v>O</v>
      </c>
      <c r="AI351">
        <f>IF('WetLitterbags placem_collection'!AC132="","",'WetLitterbags placem_collection'!AC132)</f>
        <v>0</v>
      </c>
      <c r="AJ351">
        <f>IFERROR(AVERAGE('Dry_Litterbag Placem_Collection'!O132,'Dry_Litterbag Placem_Collection'!R132),"")</f>
        <v>8.9499999999999993</v>
      </c>
      <c r="AK351" s="261">
        <f>IFERROR(AVERAGE('Dry_Litterbag Placem_Collection'!N132,'Dry_Litterbag Placem_Collection'!Q132),"")</f>
        <v>28.55</v>
      </c>
      <c r="AL351" s="260">
        <f>INDEX([2]Coordinates!$B$2:$B$197,MATCH(I351,[2]Coordinates!$J$2:$J$197,0))</f>
        <v>-2.3503729889999998</v>
      </c>
      <c r="AM351" s="260">
        <f>INDEX([2]Coordinates!$C$2:$C$197,MATCH(I351,[2]Coordinates!$J$2:$J$197,0))</f>
        <v>34.049626969999998</v>
      </c>
      <c r="AN351" s="260" t="str">
        <f>IF(ISNUMBER(SEARCH("C", 'Dry_Litterbag Placem_Collection'!T132)),"YES","NO")</f>
        <v>YES</v>
      </c>
      <c r="AO351" s="260" t="str">
        <f>IF(ISNUMBER(SEARCH("H", 'Dry_Litterbag Placem_Collection'!T132)),"YES","NO")</f>
        <v>YES</v>
      </c>
      <c r="AP351" s="260" t="str">
        <f>IF(ISNUMBER(SEARCH("R", 'Dry_Litterbag Placem_Collection'!T132)),"YES","NO")</f>
        <v>NO</v>
      </c>
    </row>
    <row r="352" spans="1:42" ht="15" customHeight="1">
      <c r="A352" t="s">
        <v>3248</v>
      </c>
      <c r="B352" s="252" t="s">
        <v>2643</v>
      </c>
      <c r="C352" s="253">
        <f>'Dry_Litterbag Placem_Collection'!A133</f>
        <v>131</v>
      </c>
      <c r="D352" s="253" t="str">
        <f>'Dry_Litterbag Placem_Collection'!B133</f>
        <v xml:space="preserve">Mwantimba
</v>
      </c>
      <c r="E352" s="253" t="s">
        <v>2454</v>
      </c>
      <c r="F352" s="253" t="s">
        <v>20</v>
      </c>
      <c r="G352" s="253">
        <v>1</v>
      </c>
      <c r="H352" s="253" t="s">
        <v>3121</v>
      </c>
      <c r="I352" s="254" t="str">
        <f>'Dry_Litterbag Placem_Collection'!C133</f>
        <v>Wet_P1_T3</v>
      </c>
      <c r="J352" s="255" t="s">
        <v>2525</v>
      </c>
      <c r="K352" s="262" t="s">
        <v>298</v>
      </c>
      <c r="L352" s="253" t="str">
        <f>IF(ISBLANK('Dry_Litterbag Placem_Collection'!K133),"","R"&amp;""&amp;'Dry_Litterbag Placem_Collection'!K133)</f>
        <v>R586</v>
      </c>
      <c r="M352" s="257">
        <f>IFERROR(INDEX('Green_rooibos initial weight'!$C$5:$C$2000,MATCH(L352, 'Green_rooibos initial weight'!$A$5:$A$2000,0)),"")</f>
        <v>2.1520000000000001</v>
      </c>
      <c r="N352" s="257">
        <f>IFERROR(M352-(TBIcalc!$Q$9+TBIcalc!$Q$10),"")</f>
        <v>1.9022000000000001</v>
      </c>
      <c r="O352" s="378">
        <f>AVERAGE(Ashed_controlls!$K$12:$K$14)</f>
        <v>2.2816647271287041</v>
      </c>
      <c r="P352" s="257">
        <f t="shared" si="26"/>
        <v>1.8587981735605579</v>
      </c>
      <c r="Q352" s="257">
        <f>IFERROR(INDEX('Both teabags AfterDry'!$D$2:$D$2000,MATCH(L352,'Both teabags AfterDry'!$A$2:$A$2000,0)),"")</f>
        <v>2.2069000000000001</v>
      </c>
      <c r="R352" s="257">
        <f>IFERROR(IF(Q352&gt;0,Q352-(TBIcalc!$Q$9),""),"")</f>
        <v>2.0563000000000002</v>
      </c>
      <c r="S352" s="268">
        <f>IFERROR(INDEX('Ashed teabags dry'!$K$2:$K$2000,MATCH(L352,'Ashed teabags dry'!$A$2:$A$2000,0)),"")</f>
        <v>73.946360153256592</v>
      </c>
      <c r="T352" s="268">
        <f t="shared" si="27"/>
        <v>0.53574099616858462</v>
      </c>
      <c r="U352" s="258">
        <f>IF('Dry_Litterbag Placem_Collection'!E133="","",'Dry_Litterbag Placem_Collection'!E133)</f>
        <v>42939</v>
      </c>
      <c r="V352" s="258">
        <f>IF('Dry_Litterbag Placem_Collection'!G133="","",'Dry_Litterbag Placem_Collection'!G133)</f>
        <v>43008</v>
      </c>
      <c r="W352" s="259">
        <f t="shared" si="25"/>
        <v>69</v>
      </c>
      <c r="X352" s="257">
        <f t="shared" si="28"/>
        <v>-0.15410000000000013</v>
      </c>
      <c r="Y352" s="257">
        <f t="shared" si="29"/>
        <v>1.3230571773919733</v>
      </c>
      <c r="Z352" s="261">
        <f>IFERROR(INDEX([3]Rainfall_Dry!$O$2:$O$217,MATCH(C352, [3]Rainfall_Dry!$A$2:$A$217,0)),"")</f>
        <v>136.27214243</v>
      </c>
      <c r="AA352" s="250">
        <v>31.214836424255054</v>
      </c>
      <c r="AB352" s="250">
        <v>11.377370285476141</v>
      </c>
      <c r="AC352" s="250">
        <v>57.407793290268799</v>
      </c>
      <c r="AD352" s="251" t="s">
        <v>2651</v>
      </c>
      <c r="AE352" s="250">
        <v>3.7337604731394798</v>
      </c>
      <c r="AF352">
        <f>IF('WetLitterbags placem_collection'!AB133="","",'WetLitterbags placem_collection'!AB133)</f>
        <v>4.5</v>
      </c>
      <c r="AG352">
        <f>IF('WetLitterbags placem_collection'!Z133="","",'WetLitterbags placem_collection'!Z133)</f>
        <v>7.5</v>
      </c>
      <c r="AH352" s="236" t="str">
        <f>IF('WetLitterbags placem_collection'!AA133="","",'WetLitterbags placem_collection'!AA133)</f>
        <v>O</v>
      </c>
      <c r="AI352">
        <f>IF('WetLitterbags placem_collection'!AC133="","",'WetLitterbags placem_collection'!AC133)</f>
        <v>0</v>
      </c>
      <c r="AJ352">
        <f>IFERROR(AVERAGE('Dry_Litterbag Placem_Collection'!O133,'Dry_Litterbag Placem_Collection'!R133),"")</f>
        <v>8.9499999999999993</v>
      </c>
      <c r="AK352" s="261">
        <f>IFERROR(AVERAGE('Dry_Litterbag Placem_Collection'!N133,'Dry_Litterbag Placem_Collection'!Q133),"")</f>
        <v>28.6</v>
      </c>
      <c r="AL352" s="260">
        <f>INDEX([2]Coordinates!$B$2:$B$197,MATCH(I352,[2]Coordinates!$J$2:$J$197,0))</f>
        <v>-2.3503259660000002</v>
      </c>
      <c r="AM352" s="260">
        <f>INDEX([2]Coordinates!$C$2:$C$197,MATCH(I352,[2]Coordinates!$J$2:$J$197,0))</f>
        <v>34.049616999999998</v>
      </c>
      <c r="AN352" s="260" t="str">
        <f>IF(ISNUMBER(SEARCH("C", 'Dry_Litterbag Placem_Collection'!T133)),"YES","NO")</f>
        <v>YES</v>
      </c>
      <c r="AO352" s="260" t="str">
        <f>IF(ISNUMBER(SEARCH("H", 'Dry_Litterbag Placem_Collection'!T133)),"YES","NO")</f>
        <v>YES</v>
      </c>
      <c r="AP352" s="260" t="str">
        <f>IF(ISNUMBER(SEARCH("R", 'Dry_Litterbag Placem_Collection'!T133)),"YES","NO")</f>
        <v>NO</v>
      </c>
    </row>
    <row r="353" spans="1:42" ht="15" customHeight="1">
      <c r="A353" t="s">
        <v>3248</v>
      </c>
      <c r="B353" s="252" t="s">
        <v>2643</v>
      </c>
      <c r="C353" s="253">
        <f>'Dry_Litterbag Placem_Collection'!A134</f>
        <v>132</v>
      </c>
      <c r="D353" s="253" t="str">
        <f>'Dry_Litterbag Placem_Collection'!B134</f>
        <v xml:space="preserve">Mwantimba
</v>
      </c>
      <c r="E353" s="253" t="s">
        <v>2454</v>
      </c>
      <c r="F353" s="253" t="s">
        <v>20</v>
      </c>
      <c r="G353" s="253">
        <v>1</v>
      </c>
      <c r="H353" s="253" t="s">
        <v>3121</v>
      </c>
      <c r="I353" s="254" t="str">
        <f>'Dry_Litterbag Placem_Collection'!C134</f>
        <v>Wet_P1_T4</v>
      </c>
      <c r="J353" s="255" t="s">
        <v>2525</v>
      </c>
      <c r="K353" s="262" t="s">
        <v>298</v>
      </c>
      <c r="L353" s="253" t="str">
        <f>IF(ISBLANK('Dry_Litterbag Placem_Collection'!K134),"","R"&amp;""&amp;'Dry_Litterbag Placem_Collection'!K134)</f>
        <v/>
      </c>
      <c r="M353" s="257" t="str">
        <f>IFERROR(INDEX('Green_rooibos initial weight'!$C$5:$C$2000,MATCH(L353, 'Green_rooibos initial weight'!$A$5:$A$2000,0)),"")</f>
        <v/>
      </c>
      <c r="N353" s="257" t="str">
        <f>IFERROR(M353-(TBIcalc!$Q$9+TBIcalc!$Q$10),"")</f>
        <v/>
      </c>
      <c r="O353" s="378">
        <f>AVERAGE(Ashed_controlls!$K$12:$K$14)</f>
        <v>2.2816647271287041</v>
      </c>
      <c r="P353" s="257" t="str">
        <f t="shared" si="26"/>
        <v/>
      </c>
      <c r="Q353" s="257" t="str">
        <f>IFERROR(INDEX('Both teabags AfterDry'!$D$2:$D$2000,MATCH(L353,'Both teabags AfterDry'!$A$2:$A$2000,0)),"")</f>
        <v/>
      </c>
      <c r="R353" s="257" t="str">
        <f>IFERROR(IF(Q353&gt;0,Q353-(TBIcalc!$Q$9),""),"")</f>
        <v/>
      </c>
      <c r="S353" s="268" t="str">
        <f>IFERROR(INDEX('Ashed teabags dry'!$K$2:$K$2000,MATCH(L353,'Ashed teabags dry'!$A$2:$A$2000,0)),"")</f>
        <v/>
      </c>
      <c r="T353" s="268" t="str">
        <f t="shared" si="27"/>
        <v/>
      </c>
      <c r="U353" s="258" t="str">
        <f>IF('Dry_Litterbag Placem_Collection'!E134="","",'Dry_Litterbag Placem_Collection'!E134)</f>
        <v/>
      </c>
      <c r="V353" s="258" t="str">
        <f>IF('Dry_Litterbag Placem_Collection'!G134="","",'Dry_Litterbag Placem_Collection'!G134)</f>
        <v/>
      </c>
      <c r="W353" s="259" t="str">
        <f t="shared" si="25"/>
        <v/>
      </c>
      <c r="X353" s="257" t="str">
        <f t="shared" si="28"/>
        <v/>
      </c>
      <c r="Y353" s="257" t="str">
        <f t="shared" si="29"/>
        <v/>
      </c>
      <c r="Z353" s="261" t="str">
        <f>IFERROR(INDEX([3]Rainfall_Dry!$O$2:$O$217,MATCH(C353, [3]Rainfall_Dry!$A$2:$A$217,0)),"")</f>
        <v/>
      </c>
      <c r="AA353" s="250">
        <v>31.214836424255054</v>
      </c>
      <c r="AB353" s="250">
        <v>11.377370285476141</v>
      </c>
      <c r="AC353" s="250">
        <v>57.407793290268799</v>
      </c>
      <c r="AD353" s="251" t="s">
        <v>2651</v>
      </c>
      <c r="AE353" s="250">
        <v>4.7337604731394798</v>
      </c>
      <c r="AF353">
        <f>IF('WetLitterbags placem_collection'!AB134="","",'WetLitterbags placem_collection'!AB134)</f>
        <v>0.7</v>
      </c>
      <c r="AG353">
        <f>IF('WetLitterbags placem_collection'!Z134="","",'WetLitterbags placem_collection'!Z134)</f>
        <v>9.8000000000000007</v>
      </c>
      <c r="AH353" s="236" t="str">
        <f>IF('WetLitterbags placem_collection'!AA134="","",'WetLitterbags placem_collection'!AA134)</f>
        <v>G</v>
      </c>
      <c r="AI353">
        <f>IF('WetLitterbags placem_collection'!AC134="","",'WetLitterbags placem_collection'!AC134)</f>
        <v>1</v>
      </c>
      <c r="AJ353" t="str">
        <f>IFERROR(AVERAGE('Dry_Litterbag Placem_Collection'!O134,'Dry_Litterbag Placem_Collection'!R134),"")</f>
        <v/>
      </c>
      <c r="AK353" s="261" t="str">
        <f>IFERROR(AVERAGE('Dry_Litterbag Placem_Collection'!N134,'Dry_Litterbag Placem_Collection'!Q134),"")</f>
        <v/>
      </c>
      <c r="AL353" s="260">
        <f>INDEX([2]Coordinates!$B$2:$B$197,MATCH(I353,[2]Coordinates!$J$2:$J$197,0))</f>
        <v>-2.3504800260000001</v>
      </c>
      <c r="AM353" s="260">
        <f>INDEX([2]Coordinates!$C$2:$C$197,MATCH(I353,[2]Coordinates!$J$2:$J$197,0))</f>
        <v>34.049551030000003</v>
      </c>
      <c r="AN353" s="260" t="str">
        <f>IF(ISNUMBER(SEARCH("C", 'Dry_Litterbag Placem_Collection'!T134)),"YES","NO")</f>
        <v>NO</v>
      </c>
      <c r="AO353" s="260" t="str">
        <f>IF(ISNUMBER(SEARCH("H", 'Dry_Litterbag Placem_Collection'!T134)),"YES","NO")</f>
        <v>NO</v>
      </c>
      <c r="AP353" s="260" t="str">
        <f>IF(ISNUMBER(SEARCH("R", 'Dry_Litterbag Placem_Collection'!T134)),"YES","NO")</f>
        <v>NO</v>
      </c>
    </row>
    <row r="354" spans="1:42" ht="15" customHeight="1">
      <c r="A354" t="s">
        <v>3248</v>
      </c>
      <c r="B354" s="252" t="s">
        <v>2643</v>
      </c>
      <c r="C354" s="253">
        <f>'Dry_Litterbag Placem_Collection'!A135</f>
        <v>133</v>
      </c>
      <c r="D354" s="253" t="str">
        <f>'Dry_Litterbag Placem_Collection'!B135</f>
        <v xml:space="preserve">Mwantimba
</v>
      </c>
      <c r="E354" s="253" t="s">
        <v>2454</v>
      </c>
      <c r="F354" s="253" t="s">
        <v>20</v>
      </c>
      <c r="G354" s="253">
        <v>1</v>
      </c>
      <c r="H354" s="253" t="s">
        <v>3121</v>
      </c>
      <c r="I354" s="254" t="str">
        <f>'Dry_Litterbag Placem_Collection'!C135</f>
        <v>Wet_P1_T5</v>
      </c>
      <c r="J354" s="255" t="s">
        <v>2525</v>
      </c>
      <c r="K354" s="262" t="s">
        <v>298</v>
      </c>
      <c r="L354" s="253" t="str">
        <f>IF(ISBLANK('Dry_Litterbag Placem_Collection'!K135),"","R"&amp;""&amp;'Dry_Litterbag Placem_Collection'!K135)</f>
        <v>R817</v>
      </c>
      <c r="M354" s="257">
        <f>IFERROR(INDEX('Green_rooibos initial weight'!$C$5:$C$2000,MATCH(L354, 'Green_rooibos initial weight'!$A$5:$A$2000,0)),"")</f>
        <v>2.1749999999999998</v>
      </c>
      <c r="N354" s="257">
        <f>IFERROR(M354-(TBIcalc!$Q$9+TBIcalc!$Q$10),"")</f>
        <v>1.9251999999999998</v>
      </c>
      <c r="O354" s="378">
        <f>AVERAGE(Ashed_controlls!$K$12:$K$14)</f>
        <v>2.2816647271287041</v>
      </c>
      <c r="P354" s="257">
        <f t="shared" si="26"/>
        <v>1.8812733906733179</v>
      </c>
      <c r="Q354" s="257" t="str">
        <f>IFERROR(INDEX('Both teabags AfterDry'!$D$2:$D$2000,MATCH(L354,'Both teabags AfterDry'!$A$2:$A$2000,0)),"")</f>
        <v/>
      </c>
      <c r="R354" s="257" t="str">
        <f>IFERROR(IF(Q354&gt;0,Q354-(TBIcalc!$Q$9),""),"")</f>
        <v/>
      </c>
      <c r="S354" s="268" t="str">
        <f>IFERROR(INDEX('Ashed teabags dry'!$K$2:$K$2000,MATCH(L354,'Ashed teabags dry'!$A$2:$A$2000,0)),"")</f>
        <v/>
      </c>
      <c r="T354" s="268" t="str">
        <f t="shared" si="27"/>
        <v/>
      </c>
      <c r="U354" s="258">
        <f>IF('Dry_Litterbag Placem_Collection'!E135="","",'Dry_Litterbag Placem_Collection'!E135)</f>
        <v>42939</v>
      </c>
      <c r="V354" s="258">
        <f>IF('Dry_Litterbag Placem_Collection'!G135="","",'Dry_Litterbag Placem_Collection'!G135)</f>
        <v>43008</v>
      </c>
      <c r="W354" s="259">
        <f t="shared" si="25"/>
        <v>69</v>
      </c>
      <c r="X354" s="257" t="str">
        <f t="shared" si="28"/>
        <v/>
      </c>
      <c r="Y354" s="257" t="str">
        <f t="shared" si="29"/>
        <v/>
      </c>
      <c r="Z354" s="261">
        <f>IFERROR(INDEX([3]Rainfall_Dry!$O$2:$O$217,MATCH(C354, [3]Rainfall_Dry!$A$2:$A$217,0)),"")</f>
        <v>136.27214243</v>
      </c>
      <c r="AA354" s="250">
        <v>31.214836424255054</v>
      </c>
      <c r="AB354" s="250">
        <v>11.377370285476141</v>
      </c>
      <c r="AC354" s="250">
        <v>57.407793290268799</v>
      </c>
      <c r="AD354" s="251" t="s">
        <v>2651</v>
      </c>
      <c r="AE354" s="250">
        <v>5.7337604731394798</v>
      </c>
      <c r="AF354">
        <f>IF('WetLitterbags placem_collection'!AB135="","",'WetLitterbags placem_collection'!AB135)</f>
        <v>2.2000000000000002</v>
      </c>
      <c r="AG354">
        <f>IF('WetLitterbags placem_collection'!Z135="","",'WetLitterbags placem_collection'!Z135)</f>
        <v>10</v>
      </c>
      <c r="AH354" s="236" t="str">
        <f>IF('WetLitterbags placem_collection'!AA135="","",'WetLitterbags placem_collection'!AA135)</f>
        <v>O</v>
      </c>
      <c r="AI354">
        <f>IF('WetLitterbags placem_collection'!AC135="","",'WetLitterbags placem_collection'!AC135)</f>
        <v>1</v>
      </c>
      <c r="AJ354">
        <f>IFERROR(AVERAGE('Dry_Litterbag Placem_Collection'!O135,'Dry_Litterbag Placem_Collection'!R135),"")</f>
        <v>8.75</v>
      </c>
      <c r="AK354" s="261">
        <f>IFERROR(AVERAGE('Dry_Litterbag Placem_Collection'!N135,'Dry_Litterbag Placem_Collection'!Q135),"")</f>
        <v>31.3</v>
      </c>
      <c r="AL354" s="260">
        <f>INDEX([2]Coordinates!$B$2:$B$197,MATCH(I354,[2]Coordinates!$J$2:$J$197,0))</f>
        <v>-2.350474996</v>
      </c>
      <c r="AM354" s="260">
        <f>INDEX([2]Coordinates!$C$2:$C$197,MATCH(I354,[2]Coordinates!$J$2:$J$197,0))</f>
        <v>34.049801979999998</v>
      </c>
      <c r="AN354" s="260" t="str">
        <f>IF(ISNUMBER(SEARCH("C", 'Dry_Litterbag Placem_Collection'!T135)),"YES","NO")</f>
        <v>YES</v>
      </c>
      <c r="AO354" s="260" t="str">
        <f>IF(ISNUMBER(SEARCH("H", 'Dry_Litterbag Placem_Collection'!T135)),"YES","NO")</f>
        <v>NO</v>
      </c>
      <c r="AP354" s="260" t="str">
        <f>IF(ISNUMBER(SEARCH("R", 'Dry_Litterbag Placem_Collection'!T135)),"YES","NO")</f>
        <v>NO</v>
      </c>
    </row>
    <row r="355" spans="1:42" ht="15" customHeight="1">
      <c r="A355" t="s">
        <v>3248</v>
      </c>
      <c r="B355" s="252" t="s">
        <v>2643</v>
      </c>
      <c r="C355" s="253">
        <f>'Dry_Litterbag Placem_Collection'!A136</f>
        <v>134</v>
      </c>
      <c r="D355" s="253" t="str">
        <f>'Dry_Litterbag Placem_Collection'!B136</f>
        <v xml:space="preserve">Mwantimba
</v>
      </c>
      <c r="E355" s="253" t="s">
        <v>2454</v>
      </c>
      <c r="F355" s="253" t="s">
        <v>20</v>
      </c>
      <c r="G355" s="253">
        <v>1</v>
      </c>
      <c r="H355" s="253" t="s">
        <v>3121</v>
      </c>
      <c r="I355" s="254" t="str">
        <f>'Dry_Litterbag Placem_Collection'!C136</f>
        <v>Wet_P1_T6</v>
      </c>
      <c r="J355" s="255" t="s">
        <v>2525</v>
      </c>
      <c r="K355" s="262" t="s">
        <v>298</v>
      </c>
      <c r="L355" s="253" t="str">
        <f>IF(ISBLANK('Dry_Litterbag Placem_Collection'!K136),"","R"&amp;""&amp;'Dry_Litterbag Placem_Collection'!K136)</f>
        <v>R837</v>
      </c>
      <c r="M355" s="257">
        <f>IFERROR(INDEX('Green_rooibos initial weight'!$C$5:$C$2000,MATCH(L355, 'Green_rooibos initial weight'!$A$5:$A$2000,0)),"")</f>
        <v>2.1909999999999998</v>
      </c>
      <c r="N355" s="257">
        <f>IFERROR(M355-(TBIcalc!$Q$9+TBIcalc!$Q$10),"")</f>
        <v>1.9411999999999998</v>
      </c>
      <c r="O355" s="378">
        <f>AVERAGE(Ashed_controlls!$K$12:$K$14)</f>
        <v>2.2816647271287041</v>
      </c>
      <c r="P355" s="257">
        <f t="shared" si="26"/>
        <v>1.8969083243169773</v>
      </c>
      <c r="Q355" s="257">
        <f>IFERROR(INDEX('Both teabags AfterDry'!$D$2:$D$2000,MATCH(L355,'Both teabags AfterDry'!$A$2:$A$2000,0)),"")</f>
        <v>1.7436</v>
      </c>
      <c r="R355" s="257">
        <f>IFERROR(IF(Q355&gt;0,Q355-(TBIcalc!$Q$9),""),"")</f>
        <v>1.593</v>
      </c>
      <c r="S355" s="268">
        <f>IFERROR(INDEX('Ashed teabags dry'!$K$2:$K$2000,MATCH(L355,'Ashed teabags dry'!$A$2:$A$2000,0)),"")</f>
        <v>3.5795197100129474</v>
      </c>
      <c r="T355" s="268">
        <f t="shared" si="27"/>
        <v>1.5359782510194937</v>
      </c>
      <c r="U355" s="258">
        <f>IF('Dry_Litterbag Placem_Collection'!E136="","",'Dry_Litterbag Placem_Collection'!E136)</f>
        <v>42939</v>
      </c>
      <c r="V355" s="258">
        <f>IF('Dry_Litterbag Placem_Collection'!G136="","",'Dry_Litterbag Placem_Collection'!G136)</f>
        <v>43008</v>
      </c>
      <c r="W355" s="259">
        <f t="shared" si="25"/>
        <v>69</v>
      </c>
      <c r="X355" s="257">
        <f t="shared" si="28"/>
        <v>0.34819999999999984</v>
      </c>
      <c r="Y355" s="257">
        <f t="shared" si="29"/>
        <v>0.36093007329748361</v>
      </c>
      <c r="Z355" s="261">
        <f>IFERROR(INDEX([3]Rainfall_Dry!$O$2:$O$217,MATCH(C355, [3]Rainfall_Dry!$A$2:$A$217,0)),"")</f>
        <v>136.27214243</v>
      </c>
      <c r="AA355" s="250">
        <v>31.214836424255054</v>
      </c>
      <c r="AB355" s="250">
        <v>11.377370285476141</v>
      </c>
      <c r="AC355" s="250">
        <v>57.407793290268799</v>
      </c>
      <c r="AD355" s="251" t="s">
        <v>2651</v>
      </c>
      <c r="AE355" s="250">
        <v>6.7337604731394798</v>
      </c>
      <c r="AF355">
        <f>IF('WetLitterbags placem_collection'!AB136="","",'WetLitterbags placem_collection'!AB136)</f>
        <v>1.1000000000000001</v>
      </c>
      <c r="AG355">
        <f>IF('WetLitterbags placem_collection'!Z136="","",'WetLitterbags placem_collection'!Z136)</f>
        <v>15.4</v>
      </c>
      <c r="AH355" s="236" t="str">
        <f>IF('WetLitterbags placem_collection'!AA136="","",'WetLitterbags placem_collection'!AA136)</f>
        <v>O</v>
      </c>
      <c r="AI355">
        <f>IF('WetLitterbags placem_collection'!AC136="","",'WetLitterbags placem_collection'!AC136)</f>
        <v>1</v>
      </c>
      <c r="AJ355">
        <f>IFERROR(AVERAGE('Dry_Litterbag Placem_Collection'!O136,'Dry_Litterbag Placem_Collection'!R136),"")</f>
        <v>6.65</v>
      </c>
      <c r="AK355" s="261">
        <f>IFERROR(AVERAGE('Dry_Litterbag Placem_Collection'!N136,'Dry_Litterbag Placem_Collection'!Q136),"")</f>
        <v>29.200000000000003</v>
      </c>
      <c r="AL355" s="260">
        <f>INDEX([2]Coordinates!$B$2:$B$197,MATCH(I355,[2]Coordinates!$J$2:$J$197,0))</f>
        <v>-2.3503559730000001</v>
      </c>
      <c r="AM355" s="260">
        <f>INDEX([2]Coordinates!$C$2:$C$197,MATCH(I355,[2]Coordinates!$J$2:$J$197,0))</f>
        <v>34.049800980000001</v>
      </c>
      <c r="AN355" s="260" t="str">
        <f>IF(ISNUMBER(SEARCH("C", 'Dry_Litterbag Placem_Collection'!T136)),"YES","NO")</f>
        <v>YES</v>
      </c>
      <c r="AO355" s="260" t="str">
        <f>IF(ISNUMBER(SEARCH("H", 'Dry_Litterbag Placem_Collection'!T136)),"YES","NO")</f>
        <v>NO</v>
      </c>
      <c r="AP355" s="260" t="str">
        <f>IF(ISNUMBER(SEARCH("R", 'Dry_Litterbag Placem_Collection'!T136)),"YES","NO")</f>
        <v>NO</v>
      </c>
    </row>
    <row r="356" spans="1:42" ht="15" customHeight="1">
      <c r="A356" t="s">
        <v>3248</v>
      </c>
      <c r="B356" s="252" t="s">
        <v>2643</v>
      </c>
      <c r="C356" s="253">
        <f>'Dry_Litterbag Placem_Collection'!A137</f>
        <v>135</v>
      </c>
      <c r="D356" s="253" t="str">
        <f>'Dry_Litterbag Placem_Collection'!B137</f>
        <v xml:space="preserve">Mwantimba
</v>
      </c>
      <c r="E356" s="253" t="s">
        <v>2454</v>
      </c>
      <c r="F356" s="253" t="s">
        <v>20</v>
      </c>
      <c r="G356" s="253">
        <v>1</v>
      </c>
      <c r="H356" s="253" t="s">
        <v>3121</v>
      </c>
      <c r="I356" s="254" t="str">
        <f>'Dry_Litterbag Placem_Collection'!C137</f>
        <v>Wet_P1_T7</v>
      </c>
      <c r="J356" s="255" t="s">
        <v>2525</v>
      </c>
      <c r="K356" s="262" t="s">
        <v>298</v>
      </c>
      <c r="L356" s="253" t="str">
        <f>IF(ISBLANK('Dry_Litterbag Placem_Collection'!K137),"","R"&amp;""&amp;'Dry_Litterbag Placem_Collection'!K137)</f>
        <v>R756</v>
      </c>
      <c r="M356" s="257">
        <f>IFERROR(INDEX('Green_rooibos initial weight'!$C$5:$C$2000,MATCH(L356, 'Green_rooibos initial weight'!$A$5:$A$2000,0)),"")</f>
        <v>2.2690000000000001</v>
      </c>
      <c r="N356" s="257">
        <f>IFERROR(M356-(TBIcalc!$Q$9+TBIcalc!$Q$10),"")</f>
        <v>2.0192000000000001</v>
      </c>
      <c r="O356" s="378">
        <f>AVERAGE(Ashed_controlls!$K$12:$K$14)</f>
        <v>2.2816647271287041</v>
      </c>
      <c r="P356" s="257">
        <f t="shared" si="26"/>
        <v>1.9731286258298173</v>
      </c>
      <c r="Q356" s="257">
        <f>IFERROR(INDEX('Both teabags AfterDry'!$D$2:$D$2000,MATCH(L356,'Both teabags AfterDry'!$A$2:$A$2000,0)),"")</f>
        <v>2.0406</v>
      </c>
      <c r="R356" s="257">
        <f>IFERROR(IF(Q356&gt;0,Q356-(TBIcalc!$Q$9),""),"")</f>
        <v>1.89</v>
      </c>
      <c r="S356" s="268">
        <f>IFERROR(INDEX('Ashed teabags dry'!$K$2:$K$2000,MATCH(L356,'Ashed teabags dry'!$A$2:$A$2000,0)),"")</f>
        <v>89.95546759030151</v>
      </c>
      <c r="T356" s="268">
        <f t="shared" si="27"/>
        <v>0.18984166254330148</v>
      </c>
      <c r="U356" s="258">
        <f>IF('Dry_Litterbag Placem_Collection'!E137="","",'Dry_Litterbag Placem_Collection'!E137)</f>
        <v>42939</v>
      </c>
      <c r="V356" s="258">
        <f>IF('Dry_Litterbag Placem_Collection'!G137="","",'Dry_Litterbag Placem_Collection'!G137)</f>
        <v>43008</v>
      </c>
      <c r="W356" s="259">
        <f t="shared" si="25"/>
        <v>69</v>
      </c>
      <c r="X356" s="257">
        <f t="shared" si="28"/>
        <v>0.1292000000000002</v>
      </c>
      <c r="Y356" s="257">
        <f t="shared" si="29"/>
        <v>1.7832869632865158</v>
      </c>
      <c r="Z356" s="261">
        <f>IFERROR(INDEX([3]Rainfall_Dry!$O$2:$O$217,MATCH(C356, [3]Rainfall_Dry!$A$2:$A$217,0)),"")</f>
        <v>136.27214243</v>
      </c>
      <c r="AA356" s="250">
        <v>31.214836424255054</v>
      </c>
      <c r="AB356" s="250">
        <v>11.377370285476141</v>
      </c>
      <c r="AC356" s="250">
        <v>57.407793290268799</v>
      </c>
      <c r="AD356" s="251" t="s">
        <v>2651</v>
      </c>
      <c r="AE356" s="250">
        <v>7.7337604731394798</v>
      </c>
      <c r="AF356">
        <f>IF('WetLitterbags placem_collection'!AB137="","",'WetLitterbags placem_collection'!AB137)</f>
        <v>2.1</v>
      </c>
      <c r="AG356">
        <f>IF('WetLitterbags placem_collection'!Z137="","",'WetLitterbags placem_collection'!Z137)</f>
        <v>5.6</v>
      </c>
      <c r="AH356" s="236" t="str">
        <f>IF('WetLitterbags placem_collection'!AA137="","",'WetLitterbags placem_collection'!AA137)</f>
        <v>O</v>
      </c>
      <c r="AI356">
        <f>IF('WetLitterbags placem_collection'!AC137="","",'WetLitterbags placem_collection'!AC137)</f>
        <v>1</v>
      </c>
      <c r="AJ356">
        <f>IFERROR(AVERAGE('Dry_Litterbag Placem_Collection'!O137,'Dry_Litterbag Placem_Collection'!R137),"")</f>
        <v>8.5500000000000007</v>
      </c>
      <c r="AK356" s="261">
        <f>IFERROR(AVERAGE('Dry_Litterbag Placem_Collection'!N137,'Dry_Litterbag Placem_Collection'!Q137),"")</f>
        <v>31.35</v>
      </c>
      <c r="AL356" s="260">
        <f>INDEX([2]Coordinates!$B$2:$B$197,MATCH(I356,[2]Coordinates!$J$2:$J$197,0))</f>
        <v>-2.3503589909999998</v>
      </c>
      <c r="AM356" s="260">
        <f>INDEX([2]Coordinates!$C$2:$C$197,MATCH(I356,[2]Coordinates!$J$2:$J$197,0))</f>
        <v>34.049719000000003</v>
      </c>
      <c r="AN356" s="260" t="str">
        <f>IF(ISNUMBER(SEARCH("C", 'Dry_Litterbag Placem_Collection'!T137)),"YES","NO")</f>
        <v>YES</v>
      </c>
      <c r="AO356" s="260" t="str">
        <f>IF(ISNUMBER(SEARCH("H", 'Dry_Litterbag Placem_Collection'!T137)),"YES","NO")</f>
        <v>YES</v>
      </c>
      <c r="AP356" s="260" t="str">
        <f>IF(ISNUMBER(SEARCH("R", 'Dry_Litterbag Placem_Collection'!T137)),"YES","NO")</f>
        <v>NO</v>
      </c>
    </row>
    <row r="357" spans="1:42" ht="15" customHeight="1">
      <c r="A357" t="s">
        <v>3248</v>
      </c>
      <c r="B357" s="252" t="s">
        <v>2643</v>
      </c>
      <c r="C357" s="253">
        <f>'Dry_Litterbag Placem_Collection'!A138</f>
        <v>136</v>
      </c>
      <c r="D357" s="253" t="str">
        <f>'Dry_Litterbag Placem_Collection'!B138</f>
        <v xml:space="preserve">Mwantimba
</v>
      </c>
      <c r="E357" s="253" t="s">
        <v>2454</v>
      </c>
      <c r="F357" s="253" t="s">
        <v>20</v>
      </c>
      <c r="G357" s="253">
        <v>1</v>
      </c>
      <c r="H357" s="253" t="s">
        <v>3121</v>
      </c>
      <c r="I357" s="254" t="str">
        <f>'Dry_Litterbag Placem_Collection'!C138</f>
        <v>Wet_P1_T8</v>
      </c>
      <c r="J357" s="255" t="s">
        <v>2525</v>
      </c>
      <c r="K357" s="262" t="s">
        <v>298</v>
      </c>
      <c r="L357" s="253" t="str">
        <f>IF(ISBLANK('Dry_Litterbag Placem_Collection'!K138),"","R"&amp;""&amp;'Dry_Litterbag Placem_Collection'!K138)</f>
        <v>R184</v>
      </c>
      <c r="M357" s="257">
        <f>IFERROR(INDEX('Green_rooibos initial weight'!$C$5:$C$2000,MATCH(L357, 'Green_rooibos initial weight'!$A$5:$A$2000,0)),"")</f>
        <v>2.202</v>
      </c>
      <c r="N357" s="257">
        <f>IFERROR(M357-(TBIcalc!$Q$9+TBIcalc!$Q$10),"")</f>
        <v>1.9521999999999999</v>
      </c>
      <c r="O357" s="378">
        <f>AVERAGE(Ashed_controlls!$K$12:$K$14)</f>
        <v>2.2816647271287041</v>
      </c>
      <c r="P357" s="257">
        <f t="shared" si="26"/>
        <v>1.9076573411969935</v>
      </c>
      <c r="Q357" s="257">
        <f>IFERROR(INDEX('Both teabags AfterDry'!$D$2:$D$2000,MATCH(L357,'Both teabags AfterDry'!$A$2:$A$2000,0)),"")</f>
        <v>1.7850999999999999</v>
      </c>
      <c r="R357" s="257">
        <f>IFERROR(IF(Q357&gt;0,Q357-(TBIcalc!$Q$9),""),"")</f>
        <v>1.6344999999999998</v>
      </c>
      <c r="S357" s="268">
        <f>IFERROR(INDEX('Ashed teabags dry'!$K$2:$K$2000,MATCH(L357,'Ashed teabags dry'!$A$2:$A$2000,0)),"")</f>
        <v>4.4315992292882065</v>
      </c>
      <c r="T357" s="268">
        <f t="shared" si="27"/>
        <v>1.562065510597284</v>
      </c>
      <c r="U357" s="258">
        <f>IF('Dry_Litterbag Placem_Collection'!E138="","",'Dry_Litterbag Placem_Collection'!E138)</f>
        <v>42939</v>
      </c>
      <c r="V357" s="258">
        <f>IF('Dry_Litterbag Placem_Collection'!G138="","",'Dry_Litterbag Placem_Collection'!G138)</f>
        <v>43008</v>
      </c>
      <c r="W357" s="259">
        <f t="shared" si="25"/>
        <v>69</v>
      </c>
      <c r="X357" s="257">
        <f t="shared" si="28"/>
        <v>0.31770000000000009</v>
      </c>
      <c r="Y357" s="257">
        <f t="shared" si="29"/>
        <v>0.34559183059970944</v>
      </c>
      <c r="Z357" s="261">
        <f>IFERROR(INDEX([3]Rainfall_Dry!$O$2:$O$217,MATCH(C357, [3]Rainfall_Dry!$A$2:$A$217,0)),"")</f>
        <v>136.27214243</v>
      </c>
      <c r="AA357" s="250">
        <v>31.214836424255054</v>
      </c>
      <c r="AB357" s="250">
        <v>11.377370285476141</v>
      </c>
      <c r="AC357" s="250">
        <v>57.407793290268799</v>
      </c>
      <c r="AD357" s="251" t="s">
        <v>2651</v>
      </c>
      <c r="AE357" s="250">
        <v>8.7337604731394798</v>
      </c>
      <c r="AF357">
        <f>IF('WetLitterbags placem_collection'!AB138="","",'WetLitterbags placem_collection'!AB138)</f>
        <v>2.2999999999999998</v>
      </c>
      <c r="AG357">
        <f>IF('WetLitterbags placem_collection'!Z138="","",'WetLitterbags placem_collection'!Z138)</f>
        <v>16.3</v>
      </c>
      <c r="AH357" s="236" t="str">
        <f>IF('WetLitterbags placem_collection'!AA138="","",'WetLitterbags placem_collection'!AA138)</f>
        <v>G</v>
      </c>
      <c r="AI357">
        <f>IF('WetLitterbags placem_collection'!AC138="","",'WetLitterbags placem_collection'!AC138)</f>
        <v>1</v>
      </c>
      <c r="AJ357">
        <f>IFERROR(AVERAGE('Dry_Litterbag Placem_Collection'!O138,'Dry_Litterbag Placem_Collection'!R138),"")</f>
        <v>5.9</v>
      </c>
      <c r="AK357" s="261">
        <f>IFERROR(AVERAGE('Dry_Litterbag Placem_Collection'!N138,'Dry_Litterbag Placem_Collection'!Q138),"")</f>
        <v>29.9</v>
      </c>
      <c r="AL357" s="260">
        <f>INDEX([2]Coordinates!$B$2:$B$197,MATCH(I357,[2]Coordinates!$J$2:$J$197,0))</f>
        <v>-2.3502159960000002</v>
      </c>
      <c r="AM357" s="260">
        <f>INDEX([2]Coordinates!$C$2:$C$197,MATCH(I357,[2]Coordinates!$J$2:$J$197,0))</f>
        <v>34.049822020000001</v>
      </c>
      <c r="AN357" s="260" t="str">
        <f>IF(ISNUMBER(SEARCH("C", 'Dry_Litterbag Placem_Collection'!T138)),"YES","NO")</f>
        <v>NO</v>
      </c>
      <c r="AO357" s="260" t="str">
        <f>IF(ISNUMBER(SEARCH("H", 'Dry_Litterbag Placem_Collection'!T138)),"YES","NO")</f>
        <v>NO</v>
      </c>
      <c r="AP357" s="260" t="str">
        <f>IF(ISNUMBER(SEARCH("R", 'Dry_Litterbag Placem_Collection'!T138)),"YES","NO")</f>
        <v>NO</v>
      </c>
    </row>
    <row r="358" spans="1:42" ht="15" customHeight="1">
      <c r="A358" t="s">
        <v>3248</v>
      </c>
      <c r="B358" s="252" t="s">
        <v>2643</v>
      </c>
      <c r="C358" s="253">
        <f>'Dry_Litterbag Placem_Collection'!A139</f>
        <v>137</v>
      </c>
      <c r="D358" s="253" t="str">
        <f>'Dry_Litterbag Placem_Collection'!B139</f>
        <v xml:space="preserve">Mwantimba
</v>
      </c>
      <c r="E358" s="253" t="s">
        <v>2454</v>
      </c>
      <c r="F358" s="253" t="s">
        <v>20</v>
      </c>
      <c r="G358" s="253">
        <v>2</v>
      </c>
      <c r="H358" s="253" t="s">
        <v>3123</v>
      </c>
      <c r="I358" s="254" t="str">
        <f>'Dry_Litterbag Placem_Collection'!C139</f>
        <v>Wet_P2_T1</v>
      </c>
      <c r="J358" s="255" t="s">
        <v>2525</v>
      </c>
      <c r="K358" s="262" t="s">
        <v>298</v>
      </c>
      <c r="L358" s="253" t="str">
        <f>IF(ISBLANK('Dry_Litterbag Placem_Collection'!K139),"","R"&amp;""&amp;'Dry_Litterbag Placem_Collection'!K139)</f>
        <v>R746</v>
      </c>
      <c r="M358" s="257">
        <f>IFERROR(INDEX('Green_rooibos initial weight'!$C$5:$C$2000,MATCH(L358, 'Green_rooibos initial weight'!$A$5:$A$2000,0)),"")</f>
        <v>2.2290000000000001</v>
      </c>
      <c r="N358" s="257">
        <f>IFERROR(M358-(TBIcalc!$Q$9+TBIcalc!$Q$10),"")</f>
        <v>1.9792000000000001</v>
      </c>
      <c r="O358" s="378">
        <f>AVERAGE(Ashed_controlls!$K$12:$K$14)</f>
        <v>2.2816647271287041</v>
      </c>
      <c r="P358" s="257">
        <f t="shared" si="26"/>
        <v>1.9340412917206689</v>
      </c>
      <c r="Q358" s="257">
        <f>IFERROR(INDEX('Both teabags AfterDry'!$D$2:$D$2000,MATCH(L358,'Both teabags AfterDry'!$A$2:$A$2000,0)),"")</f>
        <v>5.0305999999999997</v>
      </c>
      <c r="R358" s="257">
        <f>IFERROR(IF(Q358&gt;0,Q358-(TBIcalc!$Q$9),""),"")</f>
        <v>4.88</v>
      </c>
      <c r="S358" s="268">
        <f>IFERROR(INDEX('Ashed teabags dry'!$K$2:$K$2000,MATCH(L358,'Ashed teabags dry'!$A$2:$A$2000,0)),"")</f>
        <v>91.181818181818144</v>
      </c>
      <c r="T358" s="268">
        <f t="shared" si="27"/>
        <v>0.43032727272727467</v>
      </c>
      <c r="U358" s="258">
        <f>IF('Dry_Litterbag Placem_Collection'!E139="","",'Dry_Litterbag Placem_Collection'!E139)</f>
        <v>42939</v>
      </c>
      <c r="V358" s="258">
        <f>IF('Dry_Litterbag Placem_Collection'!G139="","",'Dry_Litterbag Placem_Collection'!G139)</f>
        <v>43008</v>
      </c>
      <c r="W358" s="259">
        <f t="shared" si="25"/>
        <v>69</v>
      </c>
      <c r="X358" s="257">
        <f t="shared" si="28"/>
        <v>-2.9007999999999998</v>
      </c>
      <c r="Y358" s="257">
        <f t="shared" si="29"/>
        <v>1.5037140189933942</v>
      </c>
      <c r="Z358" s="261">
        <f>IFERROR(INDEX([3]Rainfall_Dry!$O$2:$O$217,MATCH(C358, [3]Rainfall_Dry!$A$2:$A$217,0)),"")</f>
        <v>136.27214243</v>
      </c>
      <c r="AA358" s="250">
        <v>33.96</v>
      </c>
      <c r="AB358" s="250">
        <v>8.9200000000000017</v>
      </c>
      <c r="AC358" s="250">
        <v>57.12</v>
      </c>
      <c r="AD358" s="251" t="s">
        <v>2651</v>
      </c>
      <c r="AE358" s="250">
        <v>2.072055199605717</v>
      </c>
      <c r="AF358">
        <f>IF('WetLitterbags placem_collection'!AB139="","",'WetLitterbags placem_collection'!AB139)</f>
        <v>1.2</v>
      </c>
      <c r="AG358">
        <f>IF('WetLitterbags placem_collection'!Z139="","",'WetLitterbags placem_collection'!Z139)</f>
        <v>32.4</v>
      </c>
      <c r="AH358" s="236" t="str">
        <f>IF('WetLitterbags placem_collection'!AA139="","",'WetLitterbags placem_collection'!AA139)</f>
        <v>G</v>
      </c>
      <c r="AI358">
        <f>IF('WetLitterbags placem_collection'!AC139="","",'WetLitterbags placem_collection'!AC139)</f>
        <v>1</v>
      </c>
      <c r="AJ358">
        <f>IFERROR(AVERAGE('Dry_Litterbag Placem_Collection'!O139,'Dry_Litterbag Placem_Collection'!R139),"")</f>
        <v>8.9</v>
      </c>
      <c r="AK358" s="261">
        <f>IFERROR(AVERAGE('Dry_Litterbag Placem_Collection'!N139,'Dry_Litterbag Placem_Collection'!Q139),"")</f>
        <v>27.55</v>
      </c>
      <c r="AL358" s="260">
        <f>INDEX([2]Coordinates!$B$2:$B$197,MATCH(I358,[2]Coordinates!$J$2:$J$197,0))</f>
        <v>-2.348596025</v>
      </c>
      <c r="AM358" s="260">
        <f>INDEX([2]Coordinates!$C$2:$C$197,MATCH(I358,[2]Coordinates!$J$2:$J$197,0))</f>
        <v>34.050070959999999</v>
      </c>
      <c r="AN358" s="260" t="str">
        <f>IF(ISNUMBER(SEARCH("C", 'Dry_Litterbag Placem_Collection'!T139)),"YES","NO")</f>
        <v>YES</v>
      </c>
      <c r="AO358" s="260" t="str">
        <f>IF(ISNUMBER(SEARCH("H", 'Dry_Litterbag Placem_Collection'!T139)),"YES","NO")</f>
        <v>YES</v>
      </c>
      <c r="AP358" s="260" t="str">
        <f>IF(ISNUMBER(SEARCH("R", 'Dry_Litterbag Placem_Collection'!T139)),"YES","NO")</f>
        <v>NO</v>
      </c>
    </row>
    <row r="359" spans="1:42" ht="15" customHeight="1">
      <c r="A359" t="s">
        <v>3248</v>
      </c>
      <c r="B359" s="252" t="s">
        <v>2643</v>
      </c>
      <c r="C359" s="253">
        <f>'Dry_Litterbag Placem_Collection'!A140</f>
        <v>138</v>
      </c>
      <c r="D359" s="253" t="str">
        <f>'Dry_Litterbag Placem_Collection'!B140</f>
        <v xml:space="preserve">Mwantimba
</v>
      </c>
      <c r="E359" s="253" t="s">
        <v>2454</v>
      </c>
      <c r="F359" s="253" t="s">
        <v>20</v>
      </c>
      <c r="G359" s="253">
        <v>2</v>
      </c>
      <c r="H359" s="253" t="s">
        <v>3123</v>
      </c>
      <c r="I359" s="254" t="str">
        <f>'Dry_Litterbag Placem_Collection'!C140</f>
        <v>Wet_P2_T2</v>
      </c>
      <c r="J359" s="255" t="s">
        <v>2525</v>
      </c>
      <c r="K359" s="262" t="s">
        <v>298</v>
      </c>
      <c r="L359" s="253" t="str">
        <f>IF(ISBLANK('Dry_Litterbag Placem_Collection'!K140),"","R"&amp;""&amp;'Dry_Litterbag Placem_Collection'!K140)</f>
        <v>R821</v>
      </c>
      <c r="M359" s="257">
        <f>IFERROR(INDEX('Green_rooibos initial weight'!$C$5:$C$2000,MATCH(L359, 'Green_rooibos initial weight'!$A$5:$A$2000,0)),"")</f>
        <v>2.1680000000000001</v>
      </c>
      <c r="N359" s="257">
        <f>IFERROR(M359-(TBIcalc!$Q$9+TBIcalc!$Q$10),"")</f>
        <v>1.9182000000000001</v>
      </c>
      <c r="O359" s="378">
        <f>AVERAGE(Ashed_controlls!$K$12:$K$14)</f>
        <v>2.2816647271287041</v>
      </c>
      <c r="P359" s="257">
        <f t="shared" si="26"/>
        <v>1.8744331072042173</v>
      </c>
      <c r="Q359" s="257">
        <f>IFERROR(INDEX('Both teabags AfterDry'!$D$2:$D$2000,MATCH(L359,'Both teabags AfterDry'!$A$2:$A$2000,0)),"")</f>
        <v>0.2059</v>
      </c>
      <c r="R359" s="257">
        <f>IFERROR(IF(Q359&gt;0,Q359-(TBIcalc!$Q$9),""),"")</f>
        <v>5.5299999999999988E-2</v>
      </c>
      <c r="S359" s="268">
        <f>IFERROR(INDEX('Ashed teabags dry'!$K$2:$K$2000,MATCH(L359,'Ashed teabags dry'!$A$2:$A$2000,0)),"")</f>
        <v>0</v>
      </c>
      <c r="T359" s="268">
        <f t="shared" si="27"/>
        <v>5.5299999999999988E-2</v>
      </c>
      <c r="U359" s="258">
        <f>IF('Dry_Litterbag Placem_Collection'!E140="","",'Dry_Litterbag Placem_Collection'!E140)</f>
        <v>42939</v>
      </c>
      <c r="V359" s="258">
        <f>IF('Dry_Litterbag Placem_Collection'!G140="","",'Dry_Litterbag Placem_Collection'!G140)</f>
        <v>43008</v>
      </c>
      <c r="W359" s="259">
        <f t="shared" si="25"/>
        <v>69</v>
      </c>
      <c r="X359" s="257">
        <f t="shared" si="28"/>
        <v>1.8629000000000002</v>
      </c>
      <c r="Y359" s="257">
        <f t="shared" si="29"/>
        <v>1.8191331072042174</v>
      </c>
      <c r="Z359" s="261">
        <f>IFERROR(INDEX([3]Rainfall_Dry!$O$2:$O$217,MATCH(C359, [3]Rainfall_Dry!$A$2:$A$217,0)),"")</f>
        <v>136.27214243</v>
      </c>
      <c r="AA359" s="250">
        <v>33.96</v>
      </c>
      <c r="AB359" s="250">
        <v>8.9200000000000017</v>
      </c>
      <c r="AC359" s="250">
        <v>57.12</v>
      </c>
      <c r="AD359" s="251" t="s">
        <v>2651</v>
      </c>
      <c r="AE359" s="250">
        <v>3.0720551996057202</v>
      </c>
      <c r="AF359">
        <f>IF('WetLitterbags placem_collection'!AB140="","",'WetLitterbags placem_collection'!AB140)</f>
        <v>2.8</v>
      </c>
      <c r="AG359">
        <f>IF('WetLitterbags placem_collection'!Z140="","",'WetLitterbags placem_collection'!Z140)</f>
        <v>26.4</v>
      </c>
      <c r="AH359" s="236" t="str">
        <f>IF('WetLitterbags placem_collection'!AA140="","",'WetLitterbags placem_collection'!AA140)</f>
        <v>G</v>
      </c>
      <c r="AI359">
        <f>IF('WetLitterbags placem_collection'!AC140="","",'WetLitterbags placem_collection'!AC140)</f>
        <v>1</v>
      </c>
      <c r="AJ359">
        <f>IFERROR(AVERAGE('Dry_Litterbag Placem_Collection'!O140,'Dry_Litterbag Placem_Collection'!R140),"")</f>
        <v>7.05</v>
      </c>
      <c r="AK359" s="261">
        <f>IFERROR(AVERAGE('Dry_Litterbag Placem_Collection'!N140,'Dry_Litterbag Placem_Collection'!Q140),"")</f>
        <v>28.799999999999997</v>
      </c>
      <c r="AL359" s="260">
        <f>INDEX([2]Coordinates!$B$2:$B$197,MATCH(I359,[2]Coordinates!$J$2:$J$197,0))</f>
        <v>-2.3485449790000001</v>
      </c>
      <c r="AM359" s="260">
        <f>INDEX([2]Coordinates!$C$2:$C$197,MATCH(I359,[2]Coordinates!$J$2:$J$197,0))</f>
        <v>34.050146980000001</v>
      </c>
      <c r="AN359" s="260" t="str">
        <f>IF(ISNUMBER(SEARCH("C", 'Dry_Litterbag Placem_Collection'!T140)),"YES","NO")</f>
        <v>YES</v>
      </c>
      <c r="AO359" s="260" t="str">
        <f>IF(ISNUMBER(SEARCH("H", 'Dry_Litterbag Placem_Collection'!T140)),"YES","NO")</f>
        <v>YES</v>
      </c>
      <c r="AP359" s="260" t="str">
        <f>IF(ISNUMBER(SEARCH("R", 'Dry_Litterbag Placem_Collection'!T140)),"YES","NO")</f>
        <v>NO</v>
      </c>
    </row>
    <row r="360" spans="1:42" ht="15" customHeight="1">
      <c r="A360" t="s">
        <v>3248</v>
      </c>
      <c r="B360" s="252" t="s">
        <v>2643</v>
      </c>
      <c r="C360" s="253">
        <f>'Dry_Litterbag Placem_Collection'!A141</f>
        <v>139</v>
      </c>
      <c r="D360" s="253" t="str">
        <f>'Dry_Litterbag Placem_Collection'!B141</f>
        <v xml:space="preserve">Mwantimba
</v>
      </c>
      <c r="E360" s="253" t="s">
        <v>2454</v>
      </c>
      <c r="F360" s="253" t="s">
        <v>20</v>
      </c>
      <c r="G360" s="253">
        <v>2</v>
      </c>
      <c r="H360" s="253" t="s">
        <v>3123</v>
      </c>
      <c r="I360" s="254" t="str">
        <f>'Dry_Litterbag Placem_Collection'!C141</f>
        <v>Wet_P2_T3</v>
      </c>
      <c r="J360" s="255" t="s">
        <v>2525</v>
      </c>
      <c r="K360" s="262" t="s">
        <v>298</v>
      </c>
      <c r="L360" s="253" t="str">
        <f>IF(ISBLANK('Dry_Litterbag Placem_Collection'!K141),"","R"&amp;""&amp;'Dry_Litterbag Placem_Collection'!K141)</f>
        <v>R813</v>
      </c>
      <c r="M360" s="257">
        <f>IFERROR(INDEX('Green_rooibos initial weight'!$C$5:$C$2000,MATCH(L360, 'Green_rooibos initial weight'!$A$5:$A$2000,0)),"")</f>
        <v>2.2309999999999999</v>
      </c>
      <c r="N360" s="257">
        <f>IFERROR(M360-(TBIcalc!$Q$9+TBIcalc!$Q$10),"")</f>
        <v>1.9811999999999999</v>
      </c>
      <c r="O360" s="378">
        <f>AVERAGE(Ashed_controlls!$K$12:$K$14)</f>
        <v>2.2816647271287041</v>
      </c>
      <c r="P360" s="257">
        <f t="shared" si="26"/>
        <v>1.935995658426126</v>
      </c>
      <c r="Q360" s="257">
        <f>IFERROR(INDEX('Both teabags AfterDry'!$D$2:$D$2000,MATCH(L360,'Both teabags AfterDry'!$A$2:$A$2000,0)),"")</f>
        <v>2.1772999999999998</v>
      </c>
      <c r="R360" s="257">
        <f>IFERROR(IF(Q360&gt;0,Q360-(TBIcalc!$Q$9),""),"")</f>
        <v>2.0266999999999999</v>
      </c>
      <c r="S360" s="268">
        <f>IFERROR(INDEX('Ashed teabags dry'!$K$2:$K$2000,MATCH(L360,'Ashed teabags dry'!$A$2:$A$2000,0)),"")</f>
        <v>88.823816495851673</v>
      </c>
      <c r="T360" s="268">
        <f t="shared" si="27"/>
        <v>0.22650771107857426</v>
      </c>
      <c r="U360" s="258">
        <f>IF('Dry_Litterbag Placem_Collection'!E141="","",'Dry_Litterbag Placem_Collection'!E141)</f>
        <v>42939</v>
      </c>
      <c r="V360" s="258">
        <f>IF('Dry_Litterbag Placem_Collection'!G141="","",'Dry_Litterbag Placem_Collection'!G141)</f>
        <v>43008</v>
      </c>
      <c r="W360" s="259">
        <f t="shared" si="25"/>
        <v>69</v>
      </c>
      <c r="X360" s="257">
        <f t="shared" si="28"/>
        <v>-4.5500000000000096E-2</v>
      </c>
      <c r="Y360" s="257">
        <f t="shared" si="29"/>
        <v>1.7094879473475517</v>
      </c>
      <c r="Z360" s="261">
        <f>IFERROR(INDEX([3]Rainfall_Dry!$O$2:$O$217,MATCH(C360, [3]Rainfall_Dry!$A$2:$A$217,0)),"")</f>
        <v>136.27214243</v>
      </c>
      <c r="AA360" s="250">
        <v>33.96</v>
      </c>
      <c r="AB360" s="250">
        <v>8.9200000000000017</v>
      </c>
      <c r="AC360" s="250">
        <v>57.12</v>
      </c>
      <c r="AD360" s="251" t="s">
        <v>2651</v>
      </c>
      <c r="AE360" s="250">
        <v>4.0720551996057202</v>
      </c>
      <c r="AF360">
        <f>IF('WetLitterbags placem_collection'!AB141="","",'WetLitterbags placem_collection'!AB141)</f>
        <v>5.7</v>
      </c>
      <c r="AG360">
        <f>IF('WetLitterbags placem_collection'!Z141="","",'WetLitterbags placem_collection'!Z141)</f>
        <v>19.399999999999999</v>
      </c>
      <c r="AH360" s="236" t="str">
        <f>IF('WetLitterbags placem_collection'!AA141="","",'WetLitterbags placem_collection'!AA141)</f>
        <v>G</v>
      </c>
      <c r="AI360">
        <f>IF('WetLitterbags placem_collection'!AC141="","",'WetLitterbags placem_collection'!AC141)</f>
        <v>1</v>
      </c>
      <c r="AJ360">
        <f>IFERROR(AVERAGE('Dry_Litterbag Placem_Collection'!O141,'Dry_Litterbag Placem_Collection'!R141),"")</f>
        <v>11.200000000000001</v>
      </c>
      <c r="AK360" s="261">
        <f>IFERROR(AVERAGE('Dry_Litterbag Placem_Collection'!N141,'Dry_Litterbag Placem_Collection'!Q141),"")</f>
        <v>28.15</v>
      </c>
      <c r="AL360" s="260">
        <f>INDEX([2]Coordinates!$B$2:$B$197,MATCH(I360,[2]Coordinates!$J$2:$J$197,0))</f>
        <v>-2.3487209990000002</v>
      </c>
      <c r="AM360" s="260">
        <f>INDEX([2]Coordinates!$C$2:$C$197,MATCH(I360,[2]Coordinates!$J$2:$J$197,0))</f>
        <v>34.050128039999997</v>
      </c>
      <c r="AN360" s="260" t="str">
        <f>IF(ISNUMBER(SEARCH("C", 'Dry_Litterbag Placem_Collection'!T141)),"YES","NO")</f>
        <v>YES</v>
      </c>
      <c r="AO360" s="260" t="str">
        <f>IF(ISNUMBER(SEARCH("H", 'Dry_Litterbag Placem_Collection'!T141)),"YES","NO")</f>
        <v>YES</v>
      </c>
      <c r="AP360" s="260" t="str">
        <f>IF(ISNUMBER(SEARCH("R", 'Dry_Litterbag Placem_Collection'!T141)),"YES","NO")</f>
        <v>NO</v>
      </c>
    </row>
    <row r="361" spans="1:42" ht="15" customHeight="1">
      <c r="A361" t="s">
        <v>3248</v>
      </c>
      <c r="B361" s="252" t="s">
        <v>2643</v>
      </c>
      <c r="C361" s="253">
        <f>'Dry_Litterbag Placem_Collection'!A142</f>
        <v>140</v>
      </c>
      <c r="D361" s="253" t="str">
        <f>'Dry_Litterbag Placem_Collection'!B142</f>
        <v xml:space="preserve">Mwantimba
</v>
      </c>
      <c r="E361" s="253" t="s">
        <v>2454</v>
      </c>
      <c r="F361" s="253" t="s">
        <v>20</v>
      </c>
      <c r="G361" s="253">
        <v>2</v>
      </c>
      <c r="H361" s="253" t="s">
        <v>3123</v>
      </c>
      <c r="I361" s="254" t="str">
        <f>'Dry_Litterbag Placem_Collection'!C142</f>
        <v>Wet_P2_T4</v>
      </c>
      <c r="J361" s="255" t="s">
        <v>2525</v>
      </c>
      <c r="K361" s="262" t="s">
        <v>298</v>
      </c>
      <c r="L361" s="253" t="str">
        <f>IF(ISBLANK('Dry_Litterbag Placem_Collection'!K142),"","R"&amp;""&amp;'Dry_Litterbag Placem_Collection'!K142)</f>
        <v>R729</v>
      </c>
      <c r="M361" s="257">
        <f>IFERROR(INDEX('Green_rooibos initial weight'!$C$5:$C$2000,MATCH(L361, 'Green_rooibos initial weight'!$A$5:$A$2000,0)),"")</f>
        <v>2.1970000000000001</v>
      </c>
      <c r="N361" s="257">
        <f>IFERROR(M361-(TBIcalc!$Q$9+TBIcalc!$Q$10),"")</f>
        <v>1.9472</v>
      </c>
      <c r="O361" s="378">
        <f>AVERAGE(Ashed_controlls!$K$12:$K$14)</f>
        <v>2.2816647271287041</v>
      </c>
      <c r="P361" s="257">
        <f t="shared" si="26"/>
        <v>1.90277142443335</v>
      </c>
      <c r="Q361" s="257">
        <f>IFERROR(INDEX('Both teabags AfterDry'!$D$2:$D$2000,MATCH(L361,'Both teabags AfterDry'!$A$2:$A$2000,0)),"")</f>
        <v>1.7859</v>
      </c>
      <c r="R361" s="257">
        <f>IFERROR(IF(Q361&gt;0,Q361-(TBIcalc!$Q$9),""),"")</f>
        <v>1.6353</v>
      </c>
      <c r="S361" s="268">
        <f>IFERROR(INDEX('Ashed teabags dry'!$K$2:$K$2000,MATCH(L361,'Ashed teabags dry'!$A$2:$A$2000,0)),"")</f>
        <v>7.374631268436298</v>
      </c>
      <c r="T361" s="268">
        <f t="shared" si="27"/>
        <v>1.5147026548672613</v>
      </c>
      <c r="U361" s="258">
        <f>IF('Dry_Litterbag Placem_Collection'!E142="","",'Dry_Litterbag Placem_Collection'!E142)</f>
        <v>42939</v>
      </c>
      <c r="V361" s="258">
        <f>IF('Dry_Litterbag Placem_Collection'!G142="","",'Dry_Litterbag Placem_Collection'!G142)</f>
        <v>43008</v>
      </c>
      <c r="W361" s="259">
        <f t="shared" si="25"/>
        <v>69</v>
      </c>
      <c r="X361" s="257">
        <f t="shared" si="28"/>
        <v>0.31190000000000007</v>
      </c>
      <c r="Y361" s="257">
        <f t="shared" si="29"/>
        <v>0.38806876956608871</v>
      </c>
      <c r="Z361" s="261">
        <f>IFERROR(INDEX([3]Rainfall_Dry!$O$2:$O$217,MATCH(C361, [3]Rainfall_Dry!$A$2:$A$217,0)),"")</f>
        <v>136.27214243</v>
      </c>
      <c r="AA361" s="250">
        <v>33.96</v>
      </c>
      <c r="AB361" s="250">
        <v>8.9200000000000017</v>
      </c>
      <c r="AC361" s="250">
        <v>57.12</v>
      </c>
      <c r="AD361" s="251" t="s">
        <v>2651</v>
      </c>
      <c r="AE361" s="250">
        <v>5.0720551996057202</v>
      </c>
      <c r="AF361">
        <f>IF('WetLitterbags placem_collection'!AB142="","",'WetLitterbags placem_collection'!AB142)</f>
        <v>1.4</v>
      </c>
      <c r="AG361">
        <f>IF('WetLitterbags placem_collection'!Z142="","",'WetLitterbags placem_collection'!Z142)</f>
        <v>33.4</v>
      </c>
      <c r="AH361" s="236" t="str">
        <f>IF('WetLitterbags placem_collection'!AA142="","",'WetLitterbags placem_collection'!AA142)</f>
        <v>G</v>
      </c>
      <c r="AI361">
        <f>IF('WetLitterbags placem_collection'!AC142="","",'WetLitterbags placem_collection'!AC142)</f>
        <v>1</v>
      </c>
      <c r="AJ361">
        <f>IFERROR(AVERAGE('Dry_Litterbag Placem_Collection'!O142,'Dry_Litterbag Placem_Collection'!R142),"")</f>
        <v>7.3000000000000007</v>
      </c>
      <c r="AK361" s="261">
        <f>IFERROR(AVERAGE('Dry_Litterbag Placem_Collection'!N142,'Dry_Litterbag Placem_Collection'!Q142),"")</f>
        <v>28</v>
      </c>
      <c r="AL361" s="260">
        <f>INDEX([2]Coordinates!$B$2:$B$197,MATCH(I361,[2]Coordinates!$J$2:$J$197,0))</f>
        <v>-2.3486250270000002</v>
      </c>
      <c r="AM361" s="260">
        <f>INDEX([2]Coordinates!$C$2:$C$197,MATCH(I361,[2]Coordinates!$J$2:$J$197,0))</f>
        <v>34.050070959999999</v>
      </c>
      <c r="AN361" s="260" t="str">
        <f>IF(ISNUMBER(SEARCH("C", 'Dry_Litterbag Placem_Collection'!T142)),"YES","NO")</f>
        <v>YES</v>
      </c>
      <c r="AO361" s="260" t="str">
        <f>IF(ISNUMBER(SEARCH("H", 'Dry_Litterbag Placem_Collection'!T142)),"YES","NO")</f>
        <v>YES</v>
      </c>
      <c r="AP361" s="260" t="str">
        <f>IF(ISNUMBER(SEARCH("R", 'Dry_Litterbag Placem_Collection'!T142)),"YES","NO")</f>
        <v>NO</v>
      </c>
    </row>
    <row r="362" spans="1:42" ht="15" customHeight="1">
      <c r="A362" t="s">
        <v>3248</v>
      </c>
      <c r="B362" s="252" t="s">
        <v>2643</v>
      </c>
      <c r="C362" s="253">
        <f>'Dry_Litterbag Placem_Collection'!A143</f>
        <v>141</v>
      </c>
      <c r="D362" s="253" t="str">
        <f>'Dry_Litterbag Placem_Collection'!B143</f>
        <v xml:space="preserve">Mwantimba
</v>
      </c>
      <c r="E362" s="253" t="s">
        <v>2454</v>
      </c>
      <c r="F362" s="253" t="s">
        <v>20</v>
      </c>
      <c r="G362" s="253">
        <v>2</v>
      </c>
      <c r="H362" s="253" t="s">
        <v>3123</v>
      </c>
      <c r="I362" s="254" t="str">
        <f>'Dry_Litterbag Placem_Collection'!C143</f>
        <v>Wet_P2_T5</v>
      </c>
      <c r="J362" s="255" t="s">
        <v>2525</v>
      </c>
      <c r="K362" s="262" t="s">
        <v>298</v>
      </c>
      <c r="L362" s="253" t="str">
        <f>IF(ISBLANK('Dry_Litterbag Placem_Collection'!K143),"","R"&amp;""&amp;'Dry_Litterbag Placem_Collection'!K143)</f>
        <v/>
      </c>
      <c r="M362" s="257" t="str">
        <f>IFERROR(INDEX('Green_rooibos initial weight'!$C$5:$C$2000,MATCH(L362, 'Green_rooibos initial weight'!$A$5:$A$2000,0)),"")</f>
        <v/>
      </c>
      <c r="N362" s="257" t="str">
        <f>IFERROR(M362-(TBIcalc!$Q$9+TBIcalc!$Q$10),"")</f>
        <v/>
      </c>
      <c r="O362" s="378">
        <f>AVERAGE(Ashed_controlls!$K$12:$K$14)</f>
        <v>2.2816647271287041</v>
      </c>
      <c r="P362" s="257" t="str">
        <f t="shared" si="26"/>
        <v/>
      </c>
      <c r="Q362" s="257" t="str">
        <f>IFERROR(INDEX('Both teabags AfterDry'!$D$2:$D$2000,MATCH(L362,'Both teabags AfterDry'!$A$2:$A$2000,0)),"")</f>
        <v/>
      </c>
      <c r="R362" s="257" t="str">
        <f>IFERROR(IF(Q362&gt;0,Q362-(TBIcalc!$Q$9),""),"")</f>
        <v/>
      </c>
      <c r="S362" s="268" t="str">
        <f>IFERROR(INDEX('Ashed teabags dry'!$K$2:$K$2000,MATCH(L362,'Ashed teabags dry'!$A$2:$A$2000,0)),"")</f>
        <v/>
      </c>
      <c r="T362" s="268" t="str">
        <f t="shared" si="27"/>
        <v/>
      </c>
      <c r="U362" s="258" t="str">
        <f>IF('Dry_Litterbag Placem_Collection'!E143="","",'Dry_Litterbag Placem_Collection'!E143)</f>
        <v/>
      </c>
      <c r="V362" s="258" t="str">
        <f>IF('Dry_Litterbag Placem_Collection'!G143="","",'Dry_Litterbag Placem_Collection'!G143)</f>
        <v/>
      </c>
      <c r="W362" s="259" t="str">
        <f t="shared" si="25"/>
        <v/>
      </c>
      <c r="X362" s="257" t="str">
        <f t="shared" si="28"/>
        <v/>
      </c>
      <c r="Y362" s="257" t="str">
        <f t="shared" si="29"/>
        <v/>
      </c>
      <c r="Z362" s="261" t="str">
        <f>IFERROR(INDEX([3]Rainfall_Dry!$O$2:$O$217,MATCH(C362, [3]Rainfall_Dry!$A$2:$A$217,0)),"")</f>
        <v/>
      </c>
      <c r="AA362" s="250">
        <v>33.96</v>
      </c>
      <c r="AB362" s="250">
        <v>8.9200000000000017</v>
      </c>
      <c r="AC362" s="250">
        <v>57.12</v>
      </c>
      <c r="AD362" s="251" t="s">
        <v>2651</v>
      </c>
      <c r="AE362" s="250">
        <v>6.0720551996057202</v>
      </c>
      <c r="AF362">
        <f>IF('WetLitterbags placem_collection'!AB143="","",'WetLitterbags placem_collection'!AB143)</f>
        <v>1.4</v>
      </c>
      <c r="AG362">
        <f>IF('WetLitterbags placem_collection'!Z143="","",'WetLitterbags placem_collection'!Z143)</f>
        <v>28.4</v>
      </c>
      <c r="AH362" s="236" t="str">
        <f>IF('WetLitterbags placem_collection'!AA143="","",'WetLitterbags placem_collection'!AA143)</f>
        <v>G</v>
      </c>
      <c r="AI362">
        <f>IF('WetLitterbags placem_collection'!AC143="","",'WetLitterbags placem_collection'!AC143)</f>
        <v>1</v>
      </c>
      <c r="AJ362" t="str">
        <f>IFERROR(AVERAGE('Dry_Litterbag Placem_Collection'!O143,'Dry_Litterbag Placem_Collection'!R143),"")</f>
        <v/>
      </c>
      <c r="AK362" s="261" t="str">
        <f>IFERROR(AVERAGE('Dry_Litterbag Placem_Collection'!N143,'Dry_Litterbag Placem_Collection'!Q143),"")</f>
        <v/>
      </c>
      <c r="AL362" s="260">
        <f>INDEX([2]Coordinates!$B$2:$B$197,MATCH(I362,[2]Coordinates!$J$2:$J$197,0))</f>
        <v>-2.3486060000000002</v>
      </c>
      <c r="AM362" s="260">
        <f>INDEX([2]Coordinates!$C$2:$C$197,MATCH(I362,[2]Coordinates!$J$2:$J$197,0))</f>
        <v>34.050010020000002</v>
      </c>
      <c r="AN362" s="260" t="str">
        <f>IF(ISNUMBER(SEARCH("C", 'Dry_Litterbag Placem_Collection'!T143)),"YES","NO")</f>
        <v>NO</v>
      </c>
      <c r="AO362" s="260" t="str">
        <f>IF(ISNUMBER(SEARCH("H", 'Dry_Litterbag Placem_Collection'!T143)),"YES","NO")</f>
        <v>NO</v>
      </c>
      <c r="AP362" s="260" t="str">
        <f>IF(ISNUMBER(SEARCH("R", 'Dry_Litterbag Placem_Collection'!T143)),"YES","NO")</f>
        <v>NO</v>
      </c>
    </row>
    <row r="363" spans="1:42" ht="15" customHeight="1">
      <c r="A363" t="s">
        <v>3248</v>
      </c>
      <c r="B363" s="252" t="s">
        <v>2643</v>
      </c>
      <c r="C363" s="253">
        <f>'Dry_Litterbag Placem_Collection'!A144</f>
        <v>142</v>
      </c>
      <c r="D363" s="253" t="str">
        <f>'Dry_Litterbag Placem_Collection'!B144</f>
        <v xml:space="preserve">Mwantimba
</v>
      </c>
      <c r="E363" s="253" t="s">
        <v>2454</v>
      </c>
      <c r="F363" s="253" t="s">
        <v>20</v>
      </c>
      <c r="G363" s="253">
        <v>2</v>
      </c>
      <c r="H363" s="253" t="s">
        <v>3123</v>
      </c>
      <c r="I363" s="254" t="str">
        <f>'Dry_Litterbag Placem_Collection'!C144</f>
        <v>Wet_P2_T6</v>
      </c>
      <c r="J363" s="255" t="s">
        <v>2525</v>
      </c>
      <c r="K363" s="262" t="s">
        <v>298</v>
      </c>
      <c r="L363" s="253" t="str">
        <f>IF(ISBLANK('Dry_Litterbag Placem_Collection'!K144),"","R"&amp;""&amp;'Dry_Litterbag Placem_Collection'!K144)</f>
        <v>R834</v>
      </c>
      <c r="M363" s="257">
        <f>IFERROR(INDEX('Green_rooibos initial weight'!$C$5:$C$2000,MATCH(L363, 'Green_rooibos initial weight'!$A$5:$A$2000,0)),"")</f>
        <v>2.1840000000000002</v>
      </c>
      <c r="N363" s="257">
        <f>IFERROR(M363-(TBIcalc!$Q$9+TBIcalc!$Q$10),"")</f>
        <v>1.9342000000000001</v>
      </c>
      <c r="O363" s="378">
        <f>AVERAGE(Ashed_controlls!$K$12:$K$14)</f>
        <v>2.2816647271287041</v>
      </c>
      <c r="P363" s="257">
        <f t="shared" si="26"/>
        <v>1.8900680408478767</v>
      </c>
      <c r="Q363" s="257" t="str">
        <f>IFERROR(INDEX('Both teabags AfterDry'!$D$2:$D$2000,MATCH(L363,'Both teabags AfterDry'!$A$2:$A$2000,0)),"")</f>
        <v/>
      </c>
      <c r="R363" s="257" t="str">
        <f>IFERROR(IF(Q363&gt;0,Q363-(TBIcalc!$Q$9),""),"")</f>
        <v/>
      </c>
      <c r="S363" s="268" t="str">
        <f>IFERROR(INDEX('Ashed teabags dry'!$K$2:$K$2000,MATCH(L363,'Ashed teabags dry'!$A$2:$A$2000,0)),"")</f>
        <v/>
      </c>
      <c r="T363" s="268" t="str">
        <f t="shared" si="27"/>
        <v/>
      </c>
      <c r="U363" s="258">
        <f>IF('Dry_Litterbag Placem_Collection'!E144="","",'Dry_Litterbag Placem_Collection'!E144)</f>
        <v>42939</v>
      </c>
      <c r="V363" s="258">
        <f>IF('Dry_Litterbag Placem_Collection'!G144="","",'Dry_Litterbag Placem_Collection'!G144)</f>
        <v>43008</v>
      </c>
      <c r="W363" s="259">
        <f t="shared" si="25"/>
        <v>69</v>
      </c>
      <c r="X363" s="257" t="str">
        <f t="shared" si="28"/>
        <v/>
      </c>
      <c r="Y363" s="257" t="str">
        <f t="shared" si="29"/>
        <v/>
      </c>
      <c r="Z363" s="261">
        <f>IFERROR(INDEX([3]Rainfall_Dry!$O$2:$O$217,MATCH(C363, [3]Rainfall_Dry!$A$2:$A$217,0)),"")</f>
        <v>136.27214243</v>
      </c>
      <c r="AA363" s="250">
        <v>33.96</v>
      </c>
      <c r="AB363" s="250">
        <v>8.9200000000000017</v>
      </c>
      <c r="AC363" s="250">
        <v>57.12</v>
      </c>
      <c r="AD363" s="251" t="s">
        <v>2651</v>
      </c>
      <c r="AE363" s="250">
        <v>7.0720551996057202</v>
      </c>
      <c r="AF363">
        <f>IF('WetLitterbags placem_collection'!AB144="","",'WetLitterbags placem_collection'!AB144)</f>
        <v>1.7</v>
      </c>
      <c r="AG363">
        <f>IF('WetLitterbags placem_collection'!Z144="","",'WetLitterbags placem_collection'!Z144)</f>
        <v>33.799999999999997</v>
      </c>
      <c r="AH363" s="236" t="str">
        <f>IF('WetLitterbags placem_collection'!AA144="","",'WetLitterbags placem_collection'!AA144)</f>
        <v>G</v>
      </c>
      <c r="AI363">
        <f>IF('WetLitterbags placem_collection'!AC144="","",'WetLitterbags placem_collection'!AC144)</f>
        <v>1</v>
      </c>
      <c r="AJ363">
        <f>IFERROR(AVERAGE('Dry_Litterbag Placem_Collection'!O144,'Dry_Litterbag Placem_Collection'!R144),"")</f>
        <v>8.4499999999999993</v>
      </c>
      <c r="AK363" s="261">
        <f>IFERROR(AVERAGE('Dry_Litterbag Placem_Collection'!N144,'Dry_Litterbag Placem_Collection'!Q144),"")</f>
        <v>28.4</v>
      </c>
      <c r="AL363" s="260">
        <f>INDEX([2]Coordinates!$B$2:$B$197,MATCH(I363,[2]Coordinates!$J$2:$J$197,0))</f>
        <v>-2.348618992</v>
      </c>
      <c r="AM363" s="260">
        <f>INDEX([2]Coordinates!$C$2:$C$197,MATCH(I363,[2]Coordinates!$J$2:$J$197,0))</f>
        <v>34.049996030000003</v>
      </c>
      <c r="AN363" s="260" t="str">
        <f>IF(ISNUMBER(SEARCH("C", 'Dry_Litterbag Placem_Collection'!T144)),"YES","NO")</f>
        <v>NO</v>
      </c>
      <c r="AO363" s="260" t="str">
        <f>IF(ISNUMBER(SEARCH("H", 'Dry_Litterbag Placem_Collection'!T144)),"YES","NO")</f>
        <v>NO</v>
      </c>
      <c r="AP363" s="260" t="str">
        <f>IF(ISNUMBER(SEARCH("R", 'Dry_Litterbag Placem_Collection'!T144)),"YES","NO")</f>
        <v>NO</v>
      </c>
    </row>
    <row r="364" spans="1:42" ht="15" customHeight="1">
      <c r="A364" t="s">
        <v>3248</v>
      </c>
      <c r="B364" s="252" t="s">
        <v>2643</v>
      </c>
      <c r="C364" s="253">
        <f>'Dry_Litterbag Placem_Collection'!A145</f>
        <v>143</v>
      </c>
      <c r="D364" s="253" t="str">
        <f>'Dry_Litterbag Placem_Collection'!B145</f>
        <v xml:space="preserve">Mwantimba
</v>
      </c>
      <c r="E364" s="253" t="s">
        <v>2454</v>
      </c>
      <c r="F364" s="253" t="s">
        <v>20</v>
      </c>
      <c r="G364" s="253">
        <v>2</v>
      </c>
      <c r="H364" s="253" t="s">
        <v>3123</v>
      </c>
      <c r="I364" s="254" t="str">
        <f>'Dry_Litterbag Placem_Collection'!C145</f>
        <v>Wet_P2_T7</v>
      </c>
      <c r="J364" s="255" t="s">
        <v>2525</v>
      </c>
      <c r="K364" s="262" t="s">
        <v>298</v>
      </c>
      <c r="L364" s="253" t="str">
        <f>IF(ISBLANK('Dry_Litterbag Placem_Collection'!K145),"","R"&amp;""&amp;'Dry_Litterbag Placem_Collection'!K145)</f>
        <v>R774</v>
      </c>
      <c r="M364" s="257">
        <f>IFERROR(INDEX('Green_rooibos initial weight'!$C$5:$C$2000,MATCH(L364, 'Green_rooibos initial weight'!$A$5:$A$2000,0)),"")</f>
        <v>2.1629999999999998</v>
      </c>
      <c r="N364" s="257">
        <f>IFERROR(M364-(TBIcalc!$Q$9+TBIcalc!$Q$10),"")</f>
        <v>1.9131999999999998</v>
      </c>
      <c r="O364" s="378">
        <f>AVERAGE(Ashed_controlls!$K$12:$K$14)</f>
        <v>2.2816647271287041</v>
      </c>
      <c r="P364" s="257">
        <f t="shared" si="26"/>
        <v>1.8695471904405734</v>
      </c>
      <c r="Q364" s="257">
        <f>IFERROR(INDEX('Both teabags AfterDry'!$D$2:$D$2000,MATCH(L364,'Both teabags AfterDry'!$A$2:$A$2000,0)),"")</f>
        <v>1.5979000000000001</v>
      </c>
      <c r="R364" s="257">
        <f>IFERROR(IF(Q364&gt;0,Q364-(TBIcalc!$Q$9),""),"")</f>
        <v>1.4473</v>
      </c>
      <c r="S364" s="268">
        <f>IFERROR(INDEX('Ashed teabags dry'!$K$2:$K$2000,MATCH(L364,'Ashed teabags dry'!$A$2:$A$2000,0)),"")</f>
        <v>5.2657480314956748</v>
      </c>
      <c r="T364" s="268">
        <f t="shared" si="27"/>
        <v>1.371088828740163</v>
      </c>
      <c r="U364" s="258">
        <f>IF('Dry_Litterbag Placem_Collection'!E145="","",'Dry_Litterbag Placem_Collection'!E145)</f>
        <v>42939</v>
      </c>
      <c r="V364" s="258">
        <f>IF('Dry_Litterbag Placem_Collection'!G145="","",'Dry_Litterbag Placem_Collection'!G145)</f>
        <v>43008</v>
      </c>
      <c r="W364" s="259">
        <f t="shared" si="25"/>
        <v>69</v>
      </c>
      <c r="X364" s="257">
        <f t="shared" si="28"/>
        <v>0.46589999999999976</v>
      </c>
      <c r="Y364" s="257">
        <f t="shared" si="29"/>
        <v>0.49845836170041036</v>
      </c>
      <c r="Z364" s="261">
        <f>IFERROR(INDEX([3]Rainfall_Dry!$O$2:$O$217,MATCH(C364, [3]Rainfall_Dry!$A$2:$A$217,0)),"")</f>
        <v>136.27214243</v>
      </c>
      <c r="AA364" s="250">
        <v>33.96</v>
      </c>
      <c r="AB364" s="250">
        <v>8.9200000000000017</v>
      </c>
      <c r="AC364" s="250">
        <v>57.12</v>
      </c>
      <c r="AD364" s="251" t="s">
        <v>2651</v>
      </c>
      <c r="AE364" s="250">
        <v>8.0720551996057193</v>
      </c>
      <c r="AF364">
        <f>IF('WetLitterbags placem_collection'!AB145="","",'WetLitterbags placem_collection'!AB145)</f>
        <v>2</v>
      </c>
      <c r="AG364">
        <f>IF('WetLitterbags placem_collection'!Z145="","",'WetLitterbags placem_collection'!Z145)</f>
        <v>23.4</v>
      </c>
      <c r="AH364" s="236" t="str">
        <f>IF('WetLitterbags placem_collection'!AA145="","",'WetLitterbags placem_collection'!AA145)</f>
        <v>G</v>
      </c>
      <c r="AI364">
        <f>IF('WetLitterbags placem_collection'!AC145="","",'WetLitterbags placem_collection'!AC145)</f>
        <v>1</v>
      </c>
      <c r="AJ364">
        <f>IFERROR(AVERAGE('Dry_Litterbag Placem_Collection'!O145,'Dry_Litterbag Placem_Collection'!R145),"")</f>
        <v>12.5</v>
      </c>
      <c r="AK364" s="261">
        <f>IFERROR(AVERAGE('Dry_Litterbag Placem_Collection'!N145,'Dry_Litterbag Placem_Collection'!Q145),"")</f>
        <v>28</v>
      </c>
      <c r="AL364" s="260">
        <f>INDEX([2]Coordinates!$B$2:$B$197,MATCH(I364,[2]Coordinates!$J$2:$J$197,0))</f>
        <v>-2.3484970349999998</v>
      </c>
      <c r="AM364" s="260">
        <f>INDEX([2]Coordinates!$C$2:$C$197,MATCH(I364,[2]Coordinates!$J$2:$J$197,0))</f>
        <v>34.049979010000001</v>
      </c>
      <c r="AN364" s="260" t="str">
        <f>IF(ISNUMBER(SEARCH("C", 'Dry_Litterbag Placem_Collection'!T145)),"YES","NO")</f>
        <v>NO</v>
      </c>
      <c r="AO364" s="260" t="str">
        <f>IF(ISNUMBER(SEARCH("H", 'Dry_Litterbag Placem_Collection'!T145)),"YES","NO")</f>
        <v>NO</v>
      </c>
      <c r="AP364" s="260" t="str">
        <f>IF(ISNUMBER(SEARCH("R", 'Dry_Litterbag Placem_Collection'!T145)),"YES","NO")</f>
        <v>NO</v>
      </c>
    </row>
    <row r="365" spans="1:42" ht="15" customHeight="1">
      <c r="A365" t="s">
        <v>3248</v>
      </c>
      <c r="B365" s="252" t="s">
        <v>2643</v>
      </c>
      <c r="C365" s="253">
        <f>'Dry_Litterbag Placem_Collection'!A146</f>
        <v>144</v>
      </c>
      <c r="D365" s="253" t="str">
        <f>'Dry_Litterbag Placem_Collection'!B146</f>
        <v xml:space="preserve">Mwantimba
</v>
      </c>
      <c r="E365" s="253" t="s">
        <v>2454</v>
      </c>
      <c r="F365" s="253" t="s">
        <v>20</v>
      </c>
      <c r="G365" s="253">
        <v>2</v>
      </c>
      <c r="H365" s="253" t="s">
        <v>3123</v>
      </c>
      <c r="I365" s="254" t="str">
        <f>'Dry_Litterbag Placem_Collection'!C146</f>
        <v>Wet_P2_T8</v>
      </c>
      <c r="J365" s="255" t="s">
        <v>2525</v>
      </c>
      <c r="K365" s="262" t="s">
        <v>298</v>
      </c>
      <c r="L365" s="253" t="str">
        <f>IF(ISBLANK('Dry_Litterbag Placem_Collection'!K146),"","R"&amp;""&amp;'Dry_Litterbag Placem_Collection'!K146)</f>
        <v>R779</v>
      </c>
      <c r="M365" s="257">
        <f>IFERROR(INDEX('Green_rooibos initial weight'!$C$5:$C$2000,MATCH(L365, 'Green_rooibos initial weight'!$A$5:$A$2000,0)),"")</f>
        <v>2.16</v>
      </c>
      <c r="N365" s="257">
        <f>IFERROR(M365-(TBIcalc!$Q$9+TBIcalc!$Q$10),"")</f>
        <v>1.9102000000000001</v>
      </c>
      <c r="O365" s="378">
        <f>AVERAGE(Ashed_controlls!$K$12:$K$14)</f>
        <v>2.2816647271287041</v>
      </c>
      <c r="P365" s="257">
        <f t="shared" si="26"/>
        <v>1.8666156403823877</v>
      </c>
      <c r="Q365" s="257">
        <f>IFERROR(INDEX('Both teabags AfterDry'!$D$2:$D$2000,MATCH(L365,'Both teabags AfterDry'!$A$2:$A$2000,0)),"")</f>
        <v>0.17680000000000001</v>
      </c>
      <c r="R365" s="257">
        <f>IFERROR(IF(Q365&gt;0,Q365-(TBIcalc!$Q$9),""),"")</f>
        <v>2.6200000000000001E-2</v>
      </c>
      <c r="S365" s="268">
        <f>IFERROR(INDEX('Ashed teabags dry'!$K$2:$K$2000,MATCH(L365,'Ashed teabags dry'!$A$2:$A$2000,0)),"")</f>
        <v>0</v>
      </c>
      <c r="T365" s="268">
        <f t="shared" si="27"/>
        <v>2.6200000000000001E-2</v>
      </c>
      <c r="U365" s="258">
        <f>IF('Dry_Litterbag Placem_Collection'!E146="","",'Dry_Litterbag Placem_Collection'!E146)</f>
        <v>42939</v>
      </c>
      <c r="V365" s="258">
        <f>IF('Dry_Litterbag Placem_Collection'!G146="","",'Dry_Litterbag Placem_Collection'!G146)</f>
        <v>43008</v>
      </c>
      <c r="W365" s="259">
        <f t="shared" si="25"/>
        <v>69</v>
      </c>
      <c r="X365" s="257">
        <f t="shared" si="28"/>
        <v>1.8840000000000001</v>
      </c>
      <c r="Y365" s="257">
        <f t="shared" si="29"/>
        <v>1.8404156403823877</v>
      </c>
      <c r="Z365" s="261">
        <f>IFERROR(INDEX([3]Rainfall_Dry!$O$2:$O$217,MATCH(C365, [3]Rainfall_Dry!$A$2:$A$217,0)),"")</f>
        <v>136.27214243</v>
      </c>
      <c r="AA365" s="250">
        <v>33.96</v>
      </c>
      <c r="AB365" s="250">
        <v>8.9200000000000017</v>
      </c>
      <c r="AC365" s="250">
        <v>57.12</v>
      </c>
      <c r="AD365" s="251" t="s">
        <v>2651</v>
      </c>
      <c r="AE365" s="250">
        <v>9.0720551996057193</v>
      </c>
      <c r="AF365">
        <f>IF('WetLitterbags placem_collection'!AB146="","",'WetLitterbags placem_collection'!AB146)</f>
        <v>2.5</v>
      </c>
      <c r="AG365">
        <f>IF('WetLitterbags placem_collection'!Z146="","",'WetLitterbags placem_collection'!Z146)</f>
        <v>19.8</v>
      </c>
      <c r="AH365" s="236" t="str">
        <f>IF('WetLitterbags placem_collection'!AA146="","",'WetLitterbags placem_collection'!AA146)</f>
        <v>G</v>
      </c>
      <c r="AI365">
        <f>IF('WetLitterbags placem_collection'!AC146="","",'WetLitterbags placem_collection'!AC146)</f>
        <v>1</v>
      </c>
      <c r="AJ365">
        <f>IFERROR(AVERAGE('Dry_Litterbag Placem_Collection'!O146,'Dry_Litterbag Placem_Collection'!R146),"")</f>
        <v>9.4499999999999993</v>
      </c>
      <c r="AK365" s="261">
        <f>IFERROR(AVERAGE('Dry_Litterbag Placem_Collection'!N146,'Dry_Litterbag Placem_Collection'!Q146),"")</f>
        <v>29.15</v>
      </c>
      <c r="AL365" s="260">
        <f>INDEX([2]Coordinates!$B$2:$B$197,MATCH(I365,[2]Coordinates!$J$2:$J$197,0))</f>
        <v>-2.3486560399999998</v>
      </c>
      <c r="AM365" s="260">
        <f>INDEX([2]Coordinates!$C$2:$C$197,MATCH(I365,[2]Coordinates!$J$2:$J$197,0))</f>
        <v>34.049895020000001</v>
      </c>
      <c r="AN365" s="260" t="str">
        <f>IF(ISNUMBER(SEARCH("C", 'Dry_Litterbag Placem_Collection'!T146)),"YES","NO")</f>
        <v>YES</v>
      </c>
      <c r="AO365" s="260" t="str">
        <f>IF(ISNUMBER(SEARCH("H", 'Dry_Litterbag Placem_Collection'!T146)),"YES","NO")</f>
        <v>YES</v>
      </c>
      <c r="AP365" s="260" t="str">
        <f>IF(ISNUMBER(SEARCH("R", 'Dry_Litterbag Placem_Collection'!T146)),"YES","NO")</f>
        <v>NO</v>
      </c>
    </row>
    <row r="366" spans="1:42" ht="15" customHeight="1">
      <c r="A366" t="s">
        <v>3248</v>
      </c>
      <c r="B366" s="252" t="s">
        <v>2643</v>
      </c>
      <c r="C366" s="253">
        <f>'Dry_Litterbag Placem_Collection'!A147</f>
        <v>145</v>
      </c>
      <c r="D366" s="253" t="str">
        <f>'Dry_Litterbag Placem_Collection'!B147</f>
        <v xml:space="preserve">Mwantimba
</v>
      </c>
      <c r="E366" s="253" t="s">
        <v>2454</v>
      </c>
      <c r="F366" s="253" t="s">
        <v>20</v>
      </c>
      <c r="G366" s="253">
        <v>3</v>
      </c>
      <c r="H366" s="253" t="s">
        <v>3124</v>
      </c>
      <c r="I366" s="254" t="str">
        <f>'Dry_Litterbag Placem_Collection'!C147</f>
        <v>Wet_P3_T1</v>
      </c>
      <c r="J366" s="255" t="s">
        <v>2525</v>
      </c>
      <c r="K366" s="262" t="s">
        <v>298</v>
      </c>
      <c r="L366" s="253" t="str">
        <f>IF(ISBLANK('Dry_Litterbag Placem_Collection'!K147),"","R"&amp;""&amp;'Dry_Litterbag Placem_Collection'!K147)</f>
        <v>R728</v>
      </c>
      <c r="M366" s="257">
        <f>IFERROR(INDEX('Green_rooibos initial weight'!$C$5:$C$2000,MATCH(L366, 'Green_rooibos initial weight'!$A$5:$A$2000,0)),"")</f>
        <v>2.2429999999999999</v>
      </c>
      <c r="N366" s="257">
        <f>IFERROR(M366-(TBIcalc!$Q$9+TBIcalc!$Q$10),"")</f>
        <v>1.9931999999999999</v>
      </c>
      <c r="O366" s="378">
        <f>AVERAGE(Ashed_controlls!$K$12:$K$14)</f>
        <v>2.2816647271287041</v>
      </c>
      <c r="P366" s="257">
        <f t="shared" si="26"/>
        <v>1.9477218586588705</v>
      </c>
      <c r="Q366" s="257">
        <f>IFERROR(INDEX('Both teabags AfterDry'!$D$2:$D$2000,MATCH(L366,'Both teabags AfterDry'!$A$2:$A$2000,0)),"")</f>
        <v>1.9579</v>
      </c>
      <c r="R366" s="257">
        <f>IFERROR(IF(Q366&gt;0,Q366-(TBIcalc!$Q$9),""),"")</f>
        <v>1.8072999999999999</v>
      </c>
      <c r="S366" s="268">
        <f>IFERROR(INDEX('Ashed teabags dry'!$K$2:$K$2000,MATCH(L366,'Ashed teabags dry'!$A$2:$A$2000,0)),"")</f>
        <v>3.1746031746032655</v>
      </c>
      <c r="T366" s="268">
        <f t="shared" si="27"/>
        <v>1.7499253968253952</v>
      </c>
      <c r="U366" s="258">
        <f>IF('Dry_Litterbag Placem_Collection'!E147="","",'Dry_Litterbag Placem_Collection'!E147)</f>
        <v>42939</v>
      </c>
      <c r="V366" s="258">
        <f>IF('Dry_Litterbag Placem_Collection'!G147="","",'Dry_Litterbag Placem_Collection'!G147)</f>
        <v>43010</v>
      </c>
      <c r="W366" s="259">
        <f t="shared" si="25"/>
        <v>71</v>
      </c>
      <c r="X366" s="257">
        <f t="shared" si="28"/>
        <v>0.18589999999999995</v>
      </c>
      <c r="Y366" s="257">
        <f t="shared" si="29"/>
        <v>0.19779646183347532</v>
      </c>
      <c r="Z366" s="261">
        <f>IFERROR(INDEX([3]Rainfall_Dry!$O$2:$O$217,MATCH(C366, [3]Rainfall_Dry!$A$2:$A$217,0)),"")</f>
        <v>137.19979645800001</v>
      </c>
      <c r="AA366" s="250">
        <v>39.96</v>
      </c>
      <c r="AB366" s="250">
        <v>12.920000000000002</v>
      </c>
      <c r="AC366" s="250">
        <v>47.12</v>
      </c>
      <c r="AD366" s="251" t="s">
        <v>2655</v>
      </c>
      <c r="AE366" s="250">
        <v>1.6549531789058647</v>
      </c>
      <c r="AF366">
        <f>IF('WetLitterbags placem_collection'!AB147="","",'WetLitterbags placem_collection'!AB147)</f>
        <v>3.95</v>
      </c>
      <c r="AG366">
        <f>IF('WetLitterbags placem_collection'!Z147="","",'WetLitterbags placem_collection'!Z147)</f>
        <v>13</v>
      </c>
      <c r="AH366" s="236" t="str">
        <f>IF('WetLitterbags placem_collection'!AA147="","",'WetLitterbags placem_collection'!AA147)</f>
        <v>O</v>
      </c>
      <c r="AI366">
        <f>IF('WetLitterbags placem_collection'!AC147="","",'WetLitterbags placem_collection'!AC147)</f>
        <v>0</v>
      </c>
      <c r="AJ366">
        <f>IFERROR(AVERAGE('Dry_Litterbag Placem_Collection'!O147,'Dry_Litterbag Placem_Collection'!R147),"")</f>
        <v>6.35</v>
      </c>
      <c r="AK366" s="261">
        <f>IFERROR(AVERAGE('Dry_Litterbag Placem_Collection'!N147,'Dry_Litterbag Placem_Collection'!Q147),"")</f>
        <v>30</v>
      </c>
      <c r="AL366" s="260">
        <f>INDEX([2]Coordinates!$B$2:$B$197,MATCH(I366,[2]Coordinates!$J$2:$J$197,0))</f>
        <v>-2.3675269729999999</v>
      </c>
      <c r="AM366" s="260">
        <f>INDEX([2]Coordinates!$C$2:$C$197,MATCH(I366,[2]Coordinates!$J$2:$J$197,0))</f>
        <v>34.06035799</v>
      </c>
      <c r="AN366" s="260" t="str">
        <f>IF(ISNUMBER(SEARCH("C", 'Dry_Litterbag Placem_Collection'!T147)),"YES","NO")</f>
        <v>NO</v>
      </c>
      <c r="AO366" s="260" t="str">
        <f>IF(ISNUMBER(SEARCH("H", 'Dry_Litterbag Placem_Collection'!T147)),"YES","NO")</f>
        <v>NO</v>
      </c>
      <c r="AP366" s="260" t="str">
        <f>IF(ISNUMBER(SEARCH("R", 'Dry_Litterbag Placem_Collection'!T147)),"YES","NO")</f>
        <v>NO</v>
      </c>
    </row>
    <row r="367" spans="1:42" ht="15" customHeight="1">
      <c r="A367" t="s">
        <v>3248</v>
      </c>
      <c r="B367" s="252" t="s">
        <v>2643</v>
      </c>
      <c r="C367" s="253">
        <f>'Dry_Litterbag Placem_Collection'!A148</f>
        <v>146</v>
      </c>
      <c r="D367" s="253" t="str">
        <f>'Dry_Litterbag Placem_Collection'!B148</f>
        <v xml:space="preserve">Mwantimba
</v>
      </c>
      <c r="E367" s="253" t="s">
        <v>2454</v>
      </c>
      <c r="F367" s="253" t="s">
        <v>20</v>
      </c>
      <c r="G367" s="253">
        <v>3</v>
      </c>
      <c r="H367" s="253" t="s">
        <v>3124</v>
      </c>
      <c r="I367" s="254" t="str">
        <f>'Dry_Litterbag Placem_Collection'!C148</f>
        <v>Wet_P3_T2</v>
      </c>
      <c r="J367" s="255" t="s">
        <v>2525</v>
      </c>
      <c r="K367" s="262" t="s">
        <v>298</v>
      </c>
      <c r="L367" s="253" t="str">
        <f>IF(ISBLANK('Dry_Litterbag Placem_Collection'!K148),"","R"&amp;""&amp;'Dry_Litterbag Placem_Collection'!K148)</f>
        <v>R13</v>
      </c>
      <c r="M367" s="257">
        <f>IFERROR(INDEX('Green_rooibos initial weight'!$C$5:$C$2000,MATCH(L367, 'Green_rooibos initial weight'!$A$5:$A$2000,0)),"")</f>
        <v>2.2490000000000001</v>
      </c>
      <c r="N367" s="257">
        <f>IFERROR(M367-(TBIcalc!$Q$9+TBIcalc!$Q$10),"")</f>
        <v>1.9992000000000001</v>
      </c>
      <c r="O367" s="378">
        <f>AVERAGE(Ashed_controlls!$K$12:$K$14)</f>
        <v>2.2816647271287041</v>
      </c>
      <c r="P367" s="257">
        <f t="shared" si="26"/>
        <v>1.953584958775243</v>
      </c>
      <c r="Q367" s="257">
        <f>IFERROR(INDEX('Both teabags AfterDry'!$D$2:$D$2000,MATCH(L367,'Both teabags AfterDry'!$A$2:$A$2000,0)),"")</f>
        <v>0.68400000000000005</v>
      </c>
      <c r="R367" s="257">
        <f>IFERROR(IF(Q367&gt;0,Q367-(TBIcalc!$Q$9),""),"")</f>
        <v>0.5334000000000001</v>
      </c>
      <c r="S367" s="268">
        <f>IFERROR(INDEX('Ashed teabags dry'!$K$2:$K$2000,MATCH(L367,'Ashed teabags dry'!$A$2:$A$2000,0)),"")</f>
        <v>88.478802992518979</v>
      </c>
      <c r="T367" s="268">
        <f t="shared" si="27"/>
        <v>6.1454064837903777E-2</v>
      </c>
      <c r="U367" s="258">
        <f>IF('Dry_Litterbag Placem_Collection'!E148="","",'Dry_Litterbag Placem_Collection'!E148)</f>
        <v>42939</v>
      </c>
      <c r="V367" s="258">
        <f>IF('Dry_Litterbag Placem_Collection'!G148="","",'Dry_Litterbag Placem_Collection'!G148)</f>
        <v>43010</v>
      </c>
      <c r="W367" s="259">
        <f t="shared" si="25"/>
        <v>71</v>
      </c>
      <c r="X367" s="257">
        <f t="shared" si="28"/>
        <v>1.4658</v>
      </c>
      <c r="Y367" s="257">
        <f t="shared" si="29"/>
        <v>1.8921308939373391</v>
      </c>
      <c r="Z367" s="261">
        <f>IFERROR(INDEX([3]Rainfall_Dry!$O$2:$O$217,MATCH(C367, [3]Rainfall_Dry!$A$2:$A$217,0)),"")</f>
        <v>137.19979645800001</v>
      </c>
      <c r="AA367" s="250">
        <v>39.96</v>
      </c>
      <c r="AB367" s="250">
        <v>12.920000000000002</v>
      </c>
      <c r="AC367" s="250">
        <v>47.12</v>
      </c>
      <c r="AD367" s="251" t="s">
        <v>2655</v>
      </c>
      <c r="AE367" s="250">
        <v>2.6549531789058598</v>
      </c>
      <c r="AF367">
        <f>IF('WetLitterbags placem_collection'!AB148="","",'WetLitterbags placem_collection'!AB148)</f>
        <v>2.75</v>
      </c>
      <c r="AG367">
        <f>IF('WetLitterbags placem_collection'!Z148="","",'WetLitterbags placem_collection'!Z148)</f>
        <v>17.7</v>
      </c>
      <c r="AH367" s="236" t="str">
        <f>IF('WetLitterbags placem_collection'!AA148="","",'WetLitterbags placem_collection'!AA148)</f>
        <v>O</v>
      </c>
      <c r="AI367">
        <f>IF('WetLitterbags placem_collection'!AC148="","",'WetLitterbags placem_collection'!AC148)</f>
        <v>1</v>
      </c>
      <c r="AJ367">
        <f>IFERROR(AVERAGE('Dry_Litterbag Placem_Collection'!O148,'Dry_Litterbag Placem_Collection'!R148),"")</f>
        <v>6.1</v>
      </c>
      <c r="AK367" s="261">
        <f>IFERROR(AVERAGE('Dry_Litterbag Placem_Collection'!N148,'Dry_Litterbag Placem_Collection'!Q148),"")</f>
        <v>31</v>
      </c>
      <c r="AL367" s="260">
        <f>INDEX([2]Coordinates!$B$2:$B$197,MATCH(I367,[2]Coordinates!$J$2:$J$197,0))</f>
        <v>-2.3675380370000001</v>
      </c>
      <c r="AM367" s="260">
        <f>INDEX([2]Coordinates!$C$2:$C$197,MATCH(I367,[2]Coordinates!$J$2:$J$197,0))</f>
        <v>34.060381960000001</v>
      </c>
      <c r="AN367" s="260" t="str">
        <f>IF(ISNUMBER(SEARCH("C", 'Dry_Litterbag Placem_Collection'!T148)),"YES","NO")</f>
        <v>NO</v>
      </c>
      <c r="AO367" s="260" t="str">
        <f>IF(ISNUMBER(SEARCH("H", 'Dry_Litterbag Placem_Collection'!T148)),"YES","NO")</f>
        <v>YES</v>
      </c>
      <c r="AP367" s="260" t="str">
        <f>IF(ISNUMBER(SEARCH("R", 'Dry_Litterbag Placem_Collection'!T148)),"YES","NO")</f>
        <v>NO</v>
      </c>
    </row>
    <row r="368" spans="1:42" ht="15" customHeight="1">
      <c r="A368" t="s">
        <v>3248</v>
      </c>
      <c r="B368" s="252" t="s">
        <v>2643</v>
      </c>
      <c r="C368" s="253">
        <f>'Dry_Litterbag Placem_Collection'!A149</f>
        <v>147</v>
      </c>
      <c r="D368" s="253" t="str">
        <f>'Dry_Litterbag Placem_Collection'!B149</f>
        <v xml:space="preserve">Mwantimba
</v>
      </c>
      <c r="E368" s="253" t="s">
        <v>2454</v>
      </c>
      <c r="F368" s="253" t="s">
        <v>20</v>
      </c>
      <c r="G368" s="253">
        <v>3</v>
      </c>
      <c r="H368" s="253" t="s">
        <v>3124</v>
      </c>
      <c r="I368" s="254" t="str">
        <f>'Dry_Litterbag Placem_Collection'!C149</f>
        <v>Wet_P3_T3</v>
      </c>
      <c r="J368" s="255" t="s">
        <v>2525</v>
      </c>
      <c r="K368" s="262" t="s">
        <v>298</v>
      </c>
      <c r="L368" s="253" t="str">
        <f>IF(ISBLANK('Dry_Litterbag Placem_Collection'!K149),"","R"&amp;""&amp;'Dry_Litterbag Placem_Collection'!K149)</f>
        <v>R832</v>
      </c>
      <c r="M368" s="257">
        <f>IFERROR(INDEX('Green_rooibos initial weight'!$C$5:$C$2000,MATCH(L368, 'Green_rooibos initial weight'!$A$5:$A$2000,0)),"")</f>
        <v>2.2149999999999999</v>
      </c>
      <c r="N368" s="257">
        <f>IFERROR(M368-(TBIcalc!$Q$9+TBIcalc!$Q$10),"")</f>
        <v>1.9651999999999998</v>
      </c>
      <c r="O368" s="378">
        <f>AVERAGE(Ashed_controlls!$K$12:$K$14)</f>
        <v>2.2816647271287041</v>
      </c>
      <c r="P368" s="257">
        <f t="shared" si="26"/>
        <v>1.9203607247824666</v>
      </c>
      <c r="Q368" s="257">
        <f>IFERROR(INDEX('Both teabags AfterDry'!$D$2:$D$2000,MATCH(L368,'Both teabags AfterDry'!$A$2:$A$2000,0)),"")</f>
        <v>1.7279</v>
      </c>
      <c r="R368" s="257">
        <f>IFERROR(IF(Q368&gt;0,Q368-(TBIcalc!$Q$9),""),"")</f>
        <v>1.5772999999999999</v>
      </c>
      <c r="S368" s="268">
        <f>IFERROR(INDEX('Ashed teabags dry'!$K$2:$K$2000,MATCH(L368,'Ashed teabags dry'!$A$2:$A$2000,0)),"")</f>
        <v>3.1790556334733524</v>
      </c>
      <c r="T368" s="268">
        <f t="shared" si="27"/>
        <v>1.5271567554932248</v>
      </c>
      <c r="U368" s="258">
        <f>IF('Dry_Litterbag Placem_Collection'!E149="","",'Dry_Litterbag Placem_Collection'!E149)</f>
        <v>42939</v>
      </c>
      <c r="V368" s="258">
        <f>IF('Dry_Litterbag Placem_Collection'!G149="","",'Dry_Litterbag Placem_Collection'!G149)</f>
        <v>43010</v>
      </c>
      <c r="W368" s="259">
        <f t="shared" si="25"/>
        <v>71</v>
      </c>
      <c r="X368" s="257">
        <f t="shared" si="28"/>
        <v>0.38789999999999991</v>
      </c>
      <c r="Y368" s="257">
        <f t="shared" si="29"/>
        <v>0.39320396928924173</v>
      </c>
      <c r="Z368" s="261">
        <f>IFERROR(INDEX([3]Rainfall_Dry!$O$2:$O$217,MATCH(C368, [3]Rainfall_Dry!$A$2:$A$217,0)),"")</f>
        <v>137.19979645800001</v>
      </c>
      <c r="AA368" s="250">
        <v>39.96</v>
      </c>
      <c r="AB368" s="250">
        <v>12.920000000000002</v>
      </c>
      <c r="AC368" s="250">
        <v>47.12</v>
      </c>
      <c r="AD368" s="251" t="s">
        <v>2655</v>
      </c>
      <c r="AE368" s="250">
        <v>3.6549531789058598</v>
      </c>
      <c r="AF368">
        <f>IF('WetLitterbags placem_collection'!AB149="","",'WetLitterbags placem_collection'!AB149)</f>
        <v>3.6</v>
      </c>
      <c r="AG368">
        <f>IF('WetLitterbags placem_collection'!Z149="","",'WetLitterbags placem_collection'!Z149)</f>
        <v>19</v>
      </c>
      <c r="AH368" s="236" t="str">
        <f>IF('WetLitterbags placem_collection'!AA149="","",'WetLitterbags placem_collection'!AA149)</f>
        <v>M</v>
      </c>
      <c r="AI368">
        <f>IF('WetLitterbags placem_collection'!AC149="","",'WetLitterbags placem_collection'!AC149)</f>
        <v>1</v>
      </c>
      <c r="AJ368">
        <f>IFERROR(AVERAGE('Dry_Litterbag Placem_Collection'!O149,'Dry_Litterbag Placem_Collection'!R149),"")</f>
        <v>5.6</v>
      </c>
      <c r="AK368" s="261">
        <f>IFERROR(AVERAGE('Dry_Litterbag Placem_Collection'!N149,'Dry_Litterbag Placem_Collection'!Q149),"")</f>
        <v>29.900000000000002</v>
      </c>
      <c r="AL368" s="260">
        <f>INDEX([2]Coordinates!$B$2:$B$197,MATCH(I368,[2]Coordinates!$J$2:$J$197,0))</f>
        <v>-2.3675780180000001</v>
      </c>
      <c r="AM368" s="260">
        <f>INDEX([2]Coordinates!$C$2:$C$197,MATCH(I368,[2]Coordinates!$J$2:$J$197,0))</f>
        <v>34.060323029999999</v>
      </c>
      <c r="AN368" s="260" t="str">
        <f>IF(ISNUMBER(SEARCH("C", 'Dry_Litterbag Placem_Collection'!T149)),"YES","NO")</f>
        <v>NO</v>
      </c>
      <c r="AO368" s="260" t="str">
        <f>IF(ISNUMBER(SEARCH("H", 'Dry_Litterbag Placem_Collection'!T149)),"YES","NO")</f>
        <v>YES</v>
      </c>
      <c r="AP368" s="260" t="str">
        <f>IF(ISNUMBER(SEARCH("R", 'Dry_Litterbag Placem_Collection'!T149)),"YES","NO")</f>
        <v>NO</v>
      </c>
    </row>
    <row r="369" spans="1:42" ht="15" customHeight="1">
      <c r="A369" t="s">
        <v>3248</v>
      </c>
      <c r="B369" s="252" t="s">
        <v>2643</v>
      </c>
      <c r="C369" s="253">
        <f>'Dry_Litterbag Placem_Collection'!A150</f>
        <v>148</v>
      </c>
      <c r="D369" s="253" t="str">
        <f>'Dry_Litterbag Placem_Collection'!B150</f>
        <v xml:space="preserve">Mwantimba
</v>
      </c>
      <c r="E369" s="253" t="s">
        <v>2454</v>
      </c>
      <c r="F369" s="253" t="s">
        <v>20</v>
      </c>
      <c r="G369" s="253">
        <v>3</v>
      </c>
      <c r="H369" s="253" t="s">
        <v>3124</v>
      </c>
      <c r="I369" s="254" t="str">
        <f>'Dry_Litterbag Placem_Collection'!C150</f>
        <v>Wet_P3_T4</v>
      </c>
      <c r="J369" s="255" t="s">
        <v>2525</v>
      </c>
      <c r="K369" s="262" t="s">
        <v>298</v>
      </c>
      <c r="L369" s="253" t="str">
        <f>IF(ISBLANK('Dry_Litterbag Placem_Collection'!K150),"","R"&amp;""&amp;'Dry_Litterbag Placem_Collection'!K150)</f>
        <v>R823</v>
      </c>
      <c r="M369" s="257">
        <f>IFERROR(INDEX('Green_rooibos initial weight'!$C$5:$C$2000,MATCH(L369, 'Green_rooibos initial weight'!$A$5:$A$2000,0)),"")</f>
        <v>2.214</v>
      </c>
      <c r="N369" s="257">
        <f>IFERROR(M369-(TBIcalc!$Q$9+TBIcalc!$Q$10),"")</f>
        <v>1.9641999999999999</v>
      </c>
      <c r="O369" s="378">
        <f>AVERAGE(Ashed_controlls!$K$12:$K$14)</f>
        <v>2.2816647271287041</v>
      </c>
      <c r="P369" s="257">
        <f t="shared" si="26"/>
        <v>1.919383541429738</v>
      </c>
      <c r="Q369" s="257">
        <f>IFERROR(INDEX('Both teabags AfterDry'!$D$2:$D$2000,MATCH(L369,'Both teabags AfterDry'!$A$2:$A$2000,0)),"")</f>
        <v>0</v>
      </c>
      <c r="R369" s="257" t="str">
        <f>IFERROR(IF(Q369&gt;0,Q369-(TBIcalc!$Q$9),""),"")</f>
        <v/>
      </c>
      <c r="S369" s="268">
        <f>IFERROR(INDEX('Ashed teabags dry'!$K$2:$K$2000,MATCH(L369,'Ashed teabags dry'!$A$2:$A$2000,0)),"")</f>
        <v>90.2597402597399</v>
      </c>
      <c r="T369" s="268" t="str">
        <f t="shared" si="27"/>
        <v/>
      </c>
      <c r="U369" s="258">
        <f>IF('Dry_Litterbag Placem_Collection'!E150="","",'Dry_Litterbag Placem_Collection'!E150)</f>
        <v>42939</v>
      </c>
      <c r="V369" s="258">
        <f>IF('Dry_Litterbag Placem_Collection'!G150="","",'Dry_Litterbag Placem_Collection'!G150)</f>
        <v>43010</v>
      </c>
      <c r="W369" s="259">
        <f t="shared" si="25"/>
        <v>71</v>
      </c>
      <c r="X369" s="257" t="str">
        <f t="shared" si="28"/>
        <v/>
      </c>
      <c r="Y369" s="257" t="str">
        <f t="shared" si="29"/>
        <v/>
      </c>
      <c r="Z369" s="261">
        <f>IFERROR(INDEX([3]Rainfall_Dry!$O$2:$O$217,MATCH(C369, [3]Rainfall_Dry!$A$2:$A$217,0)),"")</f>
        <v>137.19979645800001</v>
      </c>
      <c r="AA369" s="250">
        <v>39.96</v>
      </c>
      <c r="AB369" s="250">
        <v>12.920000000000002</v>
      </c>
      <c r="AC369" s="250">
        <v>47.12</v>
      </c>
      <c r="AD369" s="251" t="s">
        <v>2655</v>
      </c>
      <c r="AE369" s="250">
        <v>4.6549531789058696</v>
      </c>
      <c r="AF369">
        <f>IF('WetLitterbags placem_collection'!AB150="","",'WetLitterbags placem_collection'!AB150)</f>
        <v>4.9000000000000004</v>
      </c>
      <c r="AG369">
        <f>IF('WetLitterbags placem_collection'!Z150="","",'WetLitterbags placem_collection'!Z150)</f>
        <v>17.489999999999998</v>
      </c>
      <c r="AH369" s="236" t="str">
        <f>IF('WetLitterbags placem_collection'!AA150="","",'WetLitterbags placem_collection'!AA150)</f>
        <v>M</v>
      </c>
      <c r="AI369">
        <f>IF('WetLitterbags placem_collection'!AC150="","",'WetLitterbags placem_collection'!AC150)</f>
        <v>1</v>
      </c>
      <c r="AJ369">
        <f>IFERROR(AVERAGE('Dry_Litterbag Placem_Collection'!O150,'Dry_Litterbag Placem_Collection'!R150),"")</f>
        <v>6.5</v>
      </c>
      <c r="AK369" s="261">
        <f>IFERROR(AVERAGE('Dry_Litterbag Placem_Collection'!N150,'Dry_Litterbag Placem_Collection'!Q150),"")</f>
        <v>31.6</v>
      </c>
      <c r="AL369" s="260">
        <f>INDEX([2]Coordinates!$B$2:$B$197,MATCH(I369,[2]Coordinates!$J$2:$J$197,0))</f>
        <v>-2.3676269689999998</v>
      </c>
      <c r="AM369" s="260">
        <f>INDEX([2]Coordinates!$C$2:$C$197,MATCH(I369,[2]Coordinates!$J$2:$J$197,0))</f>
        <v>34.060310960000002</v>
      </c>
      <c r="AN369" s="260" t="str">
        <f>IF(ISNUMBER(SEARCH("C", 'Dry_Litterbag Placem_Collection'!T150)),"YES","NO")</f>
        <v>YES</v>
      </c>
      <c r="AO369" s="260" t="str">
        <f>IF(ISNUMBER(SEARCH("H", 'Dry_Litterbag Placem_Collection'!T150)),"YES","NO")</f>
        <v>YES</v>
      </c>
      <c r="AP369" s="260" t="str">
        <f>IF(ISNUMBER(SEARCH("R", 'Dry_Litterbag Placem_Collection'!T150)),"YES","NO")</f>
        <v>NO</v>
      </c>
    </row>
    <row r="370" spans="1:42" ht="15" customHeight="1">
      <c r="A370" t="s">
        <v>3248</v>
      </c>
      <c r="B370" s="252" t="s">
        <v>2643</v>
      </c>
      <c r="C370" s="253">
        <f>'Dry_Litterbag Placem_Collection'!A151</f>
        <v>149</v>
      </c>
      <c r="D370" s="253" t="str">
        <f>'Dry_Litterbag Placem_Collection'!B151</f>
        <v xml:space="preserve">Mwantimba
</v>
      </c>
      <c r="E370" s="253" t="s">
        <v>2454</v>
      </c>
      <c r="F370" s="253" t="s">
        <v>20</v>
      </c>
      <c r="G370" s="253">
        <v>3</v>
      </c>
      <c r="H370" s="253" t="s">
        <v>3124</v>
      </c>
      <c r="I370" s="254" t="str">
        <f>'Dry_Litterbag Placem_Collection'!C151</f>
        <v>Wet_P3_T5</v>
      </c>
      <c r="J370" s="255" t="s">
        <v>2525</v>
      </c>
      <c r="K370" s="262" t="s">
        <v>298</v>
      </c>
      <c r="L370" s="253" t="str">
        <f>IF(ISBLANK('Dry_Litterbag Placem_Collection'!K151),"","R"&amp;""&amp;'Dry_Litterbag Placem_Collection'!K151)</f>
        <v>R703</v>
      </c>
      <c r="M370" s="257">
        <f>IFERROR(INDEX('Green_rooibos initial weight'!$C$5:$C$2000,MATCH(L370, 'Green_rooibos initial weight'!$A$5:$A$2000,0)),"")</f>
        <v>2.1379999999999999</v>
      </c>
      <c r="N370" s="257">
        <f>IFERROR(M370-(TBIcalc!$Q$9+TBIcalc!$Q$10),"")</f>
        <v>1.8881999999999999</v>
      </c>
      <c r="O370" s="378">
        <f>AVERAGE(Ashed_controlls!$K$12:$K$14)</f>
        <v>2.2816647271287041</v>
      </c>
      <c r="P370" s="257">
        <f t="shared" si="26"/>
        <v>1.8451176066223556</v>
      </c>
      <c r="Q370" s="257">
        <f>IFERROR(INDEX('Both teabags AfterDry'!$D$2:$D$2000,MATCH(L370,'Both teabags AfterDry'!$A$2:$A$2000,0)),"")</f>
        <v>1.9032</v>
      </c>
      <c r="R370" s="257">
        <f>IFERROR(IF(Q370&gt;0,Q370-(TBIcalc!$Q$9),""),"")</f>
        <v>1.7525999999999999</v>
      </c>
      <c r="S370" s="268">
        <f>IFERROR(INDEX('Ashed teabags dry'!$K$2:$K$2000,MATCH(L370,'Ashed teabags dry'!$A$2:$A$2000,0)),"")</f>
        <v>3.0988686669941248</v>
      </c>
      <c r="T370" s="268">
        <f t="shared" si="27"/>
        <v>1.698289227742261</v>
      </c>
      <c r="U370" s="258">
        <f>IF('Dry_Litterbag Placem_Collection'!E151="","",'Dry_Litterbag Placem_Collection'!E151)</f>
        <v>42939</v>
      </c>
      <c r="V370" s="258">
        <f>IF('Dry_Litterbag Placem_Collection'!G151="","",'Dry_Litterbag Placem_Collection'!G151)</f>
        <v>43010</v>
      </c>
      <c r="W370" s="259">
        <f t="shared" si="25"/>
        <v>71</v>
      </c>
      <c r="X370" s="257">
        <f t="shared" si="28"/>
        <v>0.13559999999999994</v>
      </c>
      <c r="Y370" s="257">
        <f t="shared" si="29"/>
        <v>0.14682837888009459</v>
      </c>
      <c r="Z370" s="261">
        <f>IFERROR(INDEX([3]Rainfall_Dry!$O$2:$O$217,MATCH(C370, [3]Rainfall_Dry!$A$2:$A$217,0)),"")</f>
        <v>137.19979645800001</v>
      </c>
      <c r="AA370" s="250">
        <v>39.96</v>
      </c>
      <c r="AB370" s="250">
        <v>12.920000000000002</v>
      </c>
      <c r="AC370" s="250">
        <v>47.12</v>
      </c>
      <c r="AD370" s="251" t="s">
        <v>2655</v>
      </c>
      <c r="AE370" s="250">
        <v>5.6549531789058696</v>
      </c>
      <c r="AF370">
        <f>IF('WetLitterbags placem_collection'!AB151="","",'WetLitterbags placem_collection'!AB151)</f>
        <v>2.8</v>
      </c>
      <c r="AG370">
        <f>IF('WetLitterbags placem_collection'!Z151="","",'WetLitterbags placem_collection'!Z151)</f>
        <v>13</v>
      </c>
      <c r="AH370" s="236" t="str">
        <f>IF('WetLitterbags placem_collection'!AA151="","",'WetLitterbags placem_collection'!AA151)</f>
        <v>M</v>
      </c>
      <c r="AI370">
        <f>IF('WetLitterbags placem_collection'!AC151="","",'WetLitterbags placem_collection'!AC151)</f>
        <v>1</v>
      </c>
      <c r="AJ370">
        <f>IFERROR(AVERAGE('Dry_Litterbag Placem_Collection'!O151,'Dry_Litterbag Placem_Collection'!R151),"")</f>
        <v>6.3000000000000007</v>
      </c>
      <c r="AK370" s="261">
        <f>IFERROR(AVERAGE('Dry_Litterbag Placem_Collection'!N151,'Dry_Litterbag Placem_Collection'!Q151),"")</f>
        <v>31</v>
      </c>
      <c r="AL370" s="260">
        <f>INDEX([2]Coordinates!$B$2:$B$197,MATCH(I370,[2]Coordinates!$J$2:$J$197,0))</f>
        <v>-2.3677179960000001</v>
      </c>
      <c r="AM370" s="260">
        <f>INDEX([2]Coordinates!$C$2:$C$197,MATCH(I370,[2]Coordinates!$J$2:$J$197,0))</f>
        <v>34.060324960000003</v>
      </c>
      <c r="AN370" s="260" t="str">
        <f>IF(ISNUMBER(SEARCH("C", 'Dry_Litterbag Placem_Collection'!T151)),"YES","NO")</f>
        <v>NO</v>
      </c>
      <c r="AO370" s="260" t="str">
        <f>IF(ISNUMBER(SEARCH("H", 'Dry_Litterbag Placem_Collection'!T151)),"YES","NO")</f>
        <v>NO</v>
      </c>
      <c r="AP370" s="260" t="str">
        <f>IF(ISNUMBER(SEARCH("R", 'Dry_Litterbag Placem_Collection'!T151)),"YES","NO")</f>
        <v>NO</v>
      </c>
    </row>
    <row r="371" spans="1:42" ht="15" customHeight="1">
      <c r="A371" t="s">
        <v>3248</v>
      </c>
      <c r="B371" s="252" t="s">
        <v>2643</v>
      </c>
      <c r="C371" s="253">
        <f>'Dry_Litterbag Placem_Collection'!A152</f>
        <v>150</v>
      </c>
      <c r="D371" s="253" t="str">
        <f>'Dry_Litterbag Placem_Collection'!B152</f>
        <v xml:space="preserve">Mwantimba
</v>
      </c>
      <c r="E371" s="253" t="s">
        <v>2454</v>
      </c>
      <c r="F371" s="253" t="s">
        <v>20</v>
      </c>
      <c r="G371" s="253">
        <v>3</v>
      </c>
      <c r="H371" s="253" t="s">
        <v>3124</v>
      </c>
      <c r="I371" s="254" t="str">
        <f>'Dry_Litterbag Placem_Collection'!C152</f>
        <v>Wet_P3_T6</v>
      </c>
      <c r="J371" s="255" t="s">
        <v>2525</v>
      </c>
      <c r="K371" s="262" t="s">
        <v>298</v>
      </c>
      <c r="L371" s="253" t="str">
        <f>IF(ISBLANK('Dry_Litterbag Placem_Collection'!K152),"","R"&amp;""&amp;'Dry_Litterbag Placem_Collection'!K152)</f>
        <v>R668</v>
      </c>
      <c r="M371" s="257">
        <f>IFERROR(INDEX('Green_rooibos initial weight'!$C$5:$C$2000,MATCH(L371, 'Green_rooibos initial weight'!$A$5:$A$2000,0)),"")</f>
        <v>2.1419999999999999</v>
      </c>
      <c r="N371" s="257">
        <f>IFERROR(M371-(TBIcalc!$Q$9+TBIcalc!$Q$10),"")</f>
        <v>1.8921999999999999</v>
      </c>
      <c r="O371" s="378">
        <f>AVERAGE(Ashed_controlls!$K$12:$K$14)</f>
        <v>2.2816647271287041</v>
      </c>
      <c r="P371" s="257">
        <f t="shared" si="26"/>
        <v>1.8490263400332705</v>
      </c>
      <c r="Q371" s="257" t="str">
        <f>IFERROR(INDEX('Both teabags AfterDry'!$D$2:$D$2000,MATCH(L371,'Both teabags AfterDry'!$A$2:$A$2000,0)),"")</f>
        <v/>
      </c>
      <c r="R371" s="257" t="str">
        <f>IFERROR(IF(Q371&gt;0,Q371-(TBIcalc!$Q$9),""),"")</f>
        <v/>
      </c>
      <c r="S371" s="268" t="str">
        <f>IFERROR(INDEX('Ashed teabags dry'!$K$2:$K$2000,MATCH(L371,'Ashed teabags dry'!$A$2:$A$2000,0)),"")</f>
        <v/>
      </c>
      <c r="T371" s="268" t="str">
        <f t="shared" si="27"/>
        <v/>
      </c>
      <c r="U371" s="258">
        <f>IF('Dry_Litterbag Placem_Collection'!E152="","",'Dry_Litterbag Placem_Collection'!E152)</f>
        <v>42939</v>
      </c>
      <c r="V371" s="258">
        <f>IF('Dry_Litterbag Placem_Collection'!G152="","",'Dry_Litterbag Placem_Collection'!G152)</f>
        <v>43010</v>
      </c>
      <c r="W371" s="259">
        <f t="shared" si="25"/>
        <v>71</v>
      </c>
      <c r="X371" s="257" t="str">
        <f t="shared" si="28"/>
        <v/>
      </c>
      <c r="Y371" s="257" t="str">
        <f t="shared" si="29"/>
        <v/>
      </c>
      <c r="Z371" s="261">
        <f>IFERROR(INDEX([3]Rainfall_Dry!$O$2:$O$217,MATCH(C371, [3]Rainfall_Dry!$A$2:$A$217,0)),"")</f>
        <v>137.19979645800001</v>
      </c>
      <c r="AA371" s="250">
        <v>39.96</v>
      </c>
      <c r="AB371" s="250">
        <v>12.920000000000002</v>
      </c>
      <c r="AC371" s="250">
        <v>47.12</v>
      </c>
      <c r="AD371" s="251" t="s">
        <v>2655</v>
      </c>
      <c r="AE371" s="250">
        <v>6.6549531789058696</v>
      </c>
      <c r="AF371">
        <f>IF('WetLitterbags placem_collection'!AB152="","",'WetLitterbags placem_collection'!AB152)</f>
        <v>2.75</v>
      </c>
      <c r="AG371">
        <f>IF('WetLitterbags placem_collection'!Z152="","",'WetLitterbags placem_collection'!Z152)</f>
        <v>19</v>
      </c>
      <c r="AH371" s="236" t="str">
        <f>IF('WetLitterbags placem_collection'!AA152="","",'WetLitterbags placem_collection'!AA152)</f>
        <v>O</v>
      </c>
      <c r="AI371">
        <f>IF('WetLitterbags placem_collection'!AC152="","",'WetLitterbags placem_collection'!AC152)</f>
        <v>0</v>
      </c>
      <c r="AJ371">
        <f>IFERROR(AVERAGE('Dry_Litterbag Placem_Collection'!O152,'Dry_Litterbag Placem_Collection'!R152),"")</f>
        <v>6.1999999999999993</v>
      </c>
      <c r="AK371" s="261">
        <f>IFERROR(AVERAGE('Dry_Litterbag Placem_Collection'!N152,'Dry_Litterbag Placem_Collection'!Q152),"")</f>
        <v>30.8</v>
      </c>
      <c r="AL371" s="260">
        <f>INDEX([2]Coordinates!$B$2:$B$197,MATCH(I371,[2]Coordinates!$J$2:$J$197,0))</f>
        <v>-2.3675230329999999</v>
      </c>
      <c r="AM371" s="260">
        <f>INDEX([2]Coordinates!$C$2:$C$197,MATCH(I371,[2]Coordinates!$J$2:$J$197,0))</f>
        <v>34.060512969999998</v>
      </c>
      <c r="AN371" s="260" t="str">
        <f>IF(ISNUMBER(SEARCH("C", 'Dry_Litterbag Placem_Collection'!T152)),"YES","NO")</f>
        <v>NO</v>
      </c>
      <c r="AO371" s="260" t="str">
        <f>IF(ISNUMBER(SEARCH("H", 'Dry_Litterbag Placem_Collection'!T152)),"YES","NO")</f>
        <v>YES</v>
      </c>
      <c r="AP371" s="260" t="str">
        <f>IF(ISNUMBER(SEARCH("R", 'Dry_Litterbag Placem_Collection'!T152)),"YES","NO")</f>
        <v>NO</v>
      </c>
    </row>
    <row r="372" spans="1:42" ht="15" customHeight="1">
      <c r="A372" t="s">
        <v>3248</v>
      </c>
      <c r="B372" s="252" t="s">
        <v>2643</v>
      </c>
      <c r="C372" s="253">
        <f>'Dry_Litterbag Placem_Collection'!A153</f>
        <v>151</v>
      </c>
      <c r="D372" s="253" t="str">
        <f>'Dry_Litterbag Placem_Collection'!B153</f>
        <v xml:space="preserve">Mwantimba
</v>
      </c>
      <c r="E372" s="253" t="s">
        <v>2454</v>
      </c>
      <c r="F372" s="253" t="s">
        <v>20</v>
      </c>
      <c r="G372" s="253">
        <v>3</v>
      </c>
      <c r="H372" s="253" t="s">
        <v>3124</v>
      </c>
      <c r="I372" s="254" t="str">
        <f>'Dry_Litterbag Placem_Collection'!C153</f>
        <v>Wet_P3_T7</v>
      </c>
      <c r="J372" s="255" t="s">
        <v>2525</v>
      </c>
      <c r="K372" s="262" t="s">
        <v>298</v>
      </c>
      <c r="L372" s="253" t="str">
        <f>IF(ISBLANK('Dry_Litterbag Placem_Collection'!K153),"","R"&amp;""&amp;'Dry_Litterbag Placem_Collection'!K153)</f>
        <v/>
      </c>
      <c r="M372" s="257" t="str">
        <f>IFERROR(INDEX('Green_rooibos initial weight'!$C$5:$C$2000,MATCH(L372, 'Green_rooibos initial weight'!$A$5:$A$2000,0)),"")</f>
        <v/>
      </c>
      <c r="N372" s="257" t="str">
        <f>IFERROR(M372-(TBIcalc!$Q$9+TBIcalc!$Q$10),"")</f>
        <v/>
      </c>
      <c r="O372" s="378">
        <f>AVERAGE(Ashed_controlls!$K$12:$K$14)</f>
        <v>2.2816647271287041</v>
      </c>
      <c r="P372" s="257" t="str">
        <f t="shared" si="26"/>
        <v/>
      </c>
      <c r="Q372" s="257" t="str">
        <f>IFERROR(INDEX('Both teabags AfterDry'!$D$2:$D$2000,MATCH(L372,'Both teabags AfterDry'!$A$2:$A$2000,0)),"")</f>
        <v/>
      </c>
      <c r="R372" s="257" t="str">
        <f>IFERROR(IF(Q372&gt;0,Q372-(TBIcalc!$Q$9),""),"")</f>
        <v/>
      </c>
      <c r="S372" s="268" t="str">
        <f>IFERROR(INDEX('Ashed teabags dry'!$K$2:$K$2000,MATCH(L372,'Ashed teabags dry'!$A$2:$A$2000,0)),"")</f>
        <v/>
      </c>
      <c r="T372" s="268" t="str">
        <f t="shared" si="27"/>
        <v/>
      </c>
      <c r="U372" s="258" t="str">
        <f>IF('Dry_Litterbag Placem_Collection'!E153="","",'Dry_Litterbag Placem_Collection'!E153)</f>
        <v/>
      </c>
      <c r="V372" s="258" t="str">
        <f>IF('Dry_Litterbag Placem_Collection'!G153="","",'Dry_Litterbag Placem_Collection'!G153)</f>
        <v/>
      </c>
      <c r="W372" s="259" t="str">
        <f t="shared" si="25"/>
        <v/>
      </c>
      <c r="X372" s="257" t="str">
        <f t="shared" si="28"/>
        <v/>
      </c>
      <c r="Y372" s="257" t="str">
        <f t="shared" si="29"/>
        <v/>
      </c>
      <c r="Z372" s="261" t="str">
        <f>IFERROR(INDEX([3]Rainfall_Dry!$O$2:$O$217,MATCH(C372, [3]Rainfall_Dry!$A$2:$A$217,0)),"")</f>
        <v/>
      </c>
      <c r="AA372" s="250">
        <v>39.96</v>
      </c>
      <c r="AB372" s="250">
        <v>12.920000000000002</v>
      </c>
      <c r="AC372" s="250">
        <v>47.12</v>
      </c>
      <c r="AD372" s="251" t="s">
        <v>2655</v>
      </c>
      <c r="AE372" s="250">
        <v>7.6549531789058696</v>
      </c>
      <c r="AF372">
        <f>IF('WetLitterbags placem_collection'!AB153="","",'WetLitterbags placem_collection'!AB153)</f>
        <v>1.4</v>
      </c>
      <c r="AG372">
        <f>IF('WetLitterbags placem_collection'!Z153="","",'WetLitterbags placem_collection'!Z153)</f>
        <v>7.9</v>
      </c>
      <c r="AH372" s="236" t="str">
        <f>IF('WetLitterbags placem_collection'!AA153="","",'WetLitterbags placem_collection'!AA153)</f>
        <v>O</v>
      </c>
      <c r="AI372">
        <f>IF('WetLitterbags placem_collection'!AC153="","",'WetLitterbags placem_collection'!AC153)</f>
        <v>1</v>
      </c>
      <c r="AJ372" t="str">
        <f>IFERROR(AVERAGE('Dry_Litterbag Placem_Collection'!O153,'Dry_Litterbag Placem_Collection'!R153),"")</f>
        <v/>
      </c>
      <c r="AK372" s="261" t="str">
        <f>IFERROR(AVERAGE('Dry_Litterbag Placem_Collection'!N153,'Dry_Litterbag Placem_Collection'!Q153),"")</f>
        <v/>
      </c>
      <c r="AL372" s="260">
        <f>INDEX([2]Coordinates!$B$2:$B$197,MATCH(I372,[2]Coordinates!$J$2:$J$197,0))</f>
        <v>-2.3673460070000001</v>
      </c>
      <c r="AM372" s="260">
        <f>INDEX([2]Coordinates!$C$2:$C$197,MATCH(I372,[2]Coordinates!$J$2:$J$197,0))</f>
        <v>34.060310039999997</v>
      </c>
      <c r="AN372" s="260" t="str">
        <f>IF(ISNUMBER(SEARCH("C", 'Dry_Litterbag Placem_Collection'!T153)),"YES","NO")</f>
        <v>NO</v>
      </c>
      <c r="AO372" s="260" t="str">
        <f>IF(ISNUMBER(SEARCH("H", 'Dry_Litterbag Placem_Collection'!T153)),"YES","NO")</f>
        <v>NO</v>
      </c>
      <c r="AP372" s="260" t="str">
        <f>IF(ISNUMBER(SEARCH("R", 'Dry_Litterbag Placem_Collection'!T153)),"YES","NO")</f>
        <v>NO</v>
      </c>
    </row>
    <row r="373" spans="1:42" ht="15" customHeight="1">
      <c r="A373" t="s">
        <v>3248</v>
      </c>
      <c r="B373" s="252" t="s">
        <v>2643</v>
      </c>
      <c r="C373" s="253">
        <f>'Dry_Litterbag Placem_Collection'!A154</f>
        <v>152</v>
      </c>
      <c r="D373" s="253" t="str">
        <f>'Dry_Litterbag Placem_Collection'!B154</f>
        <v xml:space="preserve">Mwantimba
</v>
      </c>
      <c r="E373" s="253" t="s">
        <v>2454</v>
      </c>
      <c r="F373" s="253" t="s">
        <v>20</v>
      </c>
      <c r="G373" s="253">
        <v>3</v>
      </c>
      <c r="H373" s="253" t="s">
        <v>3124</v>
      </c>
      <c r="I373" s="254" t="str">
        <f>'Dry_Litterbag Placem_Collection'!C154</f>
        <v>Wet_P3_T8</v>
      </c>
      <c r="J373" s="255" t="s">
        <v>2525</v>
      </c>
      <c r="K373" s="262" t="s">
        <v>298</v>
      </c>
      <c r="L373" s="253" t="str">
        <f>IF(ISBLANK('Dry_Litterbag Placem_Collection'!K154),"","R"&amp;""&amp;'Dry_Litterbag Placem_Collection'!K154)</f>
        <v>R788</v>
      </c>
      <c r="M373" s="257">
        <f>IFERROR(INDEX('Green_rooibos initial weight'!$C$5:$C$2000,MATCH(L373, 'Green_rooibos initial weight'!$A$5:$A$2000,0)),"")</f>
        <v>2.1869999999999998</v>
      </c>
      <c r="N373" s="257">
        <f>IFERROR(M373-(TBIcalc!$Q$9+TBIcalc!$Q$10),"")</f>
        <v>1.9371999999999998</v>
      </c>
      <c r="O373" s="378">
        <f>AVERAGE(Ashed_controlls!$K$12:$K$14)</f>
        <v>2.2816647271287041</v>
      </c>
      <c r="P373" s="257">
        <f t="shared" si="26"/>
        <v>1.8929995909060626</v>
      </c>
      <c r="Q373" s="257">
        <f>IFERROR(INDEX('Both teabags AfterDry'!$D$2:$D$2000,MATCH(L373,'Both teabags AfterDry'!$A$2:$A$2000,0)),"")</f>
        <v>0.43190000000000001</v>
      </c>
      <c r="R373" s="257">
        <f>IFERROR(IF(Q373&gt;0,Q373-(TBIcalc!$Q$9),""),"")</f>
        <v>0.28129999999999999</v>
      </c>
      <c r="S373" s="268">
        <f>IFERROR(INDEX('Ashed teabags dry'!$K$2:$K$2000,MATCH(L373,'Ashed teabags dry'!$A$2:$A$2000,0)),"")</f>
        <v>89.775910364145446</v>
      </c>
      <c r="T373" s="268">
        <f t="shared" si="27"/>
        <v>2.8760364145658857E-2</v>
      </c>
      <c r="U373" s="258">
        <f>IF('Dry_Litterbag Placem_Collection'!E154="","",'Dry_Litterbag Placem_Collection'!E154)</f>
        <v>42939</v>
      </c>
      <c r="V373" s="258">
        <f>IF('Dry_Litterbag Placem_Collection'!G154="","",'Dry_Litterbag Placem_Collection'!G154)</f>
        <v>43010</v>
      </c>
      <c r="W373" s="259">
        <f t="shared" si="25"/>
        <v>71</v>
      </c>
      <c r="X373" s="257">
        <f t="shared" si="28"/>
        <v>1.6558999999999999</v>
      </c>
      <c r="Y373" s="257">
        <f t="shared" si="29"/>
        <v>1.8642392267604038</v>
      </c>
      <c r="Z373" s="261">
        <f>IFERROR(INDEX([3]Rainfall_Dry!$O$2:$O$217,MATCH(C373, [3]Rainfall_Dry!$A$2:$A$217,0)),"")</f>
        <v>137.19979645800001</v>
      </c>
      <c r="AA373" s="250">
        <v>39.96</v>
      </c>
      <c r="AB373" s="250">
        <v>12.920000000000002</v>
      </c>
      <c r="AC373" s="250">
        <v>47.12</v>
      </c>
      <c r="AD373" s="251" t="s">
        <v>2655</v>
      </c>
      <c r="AE373" s="250">
        <v>8.6549531789058705</v>
      </c>
      <c r="AF373">
        <f>IF('WetLitterbags placem_collection'!AB154="","",'WetLitterbags placem_collection'!AB154)</f>
        <v>2.2000000000000002</v>
      </c>
      <c r="AG373">
        <f>IF('WetLitterbags placem_collection'!Z154="","",'WetLitterbags placem_collection'!Z154)</f>
        <v>15</v>
      </c>
      <c r="AH373" s="236" t="str">
        <f>IF('WetLitterbags placem_collection'!AA154="","",'WetLitterbags placem_collection'!AA154)</f>
        <v>M</v>
      </c>
      <c r="AI373">
        <f>IF('WetLitterbags placem_collection'!AC154="","",'WetLitterbags placem_collection'!AC154)</f>
        <v>0</v>
      </c>
      <c r="AJ373">
        <f>IFERROR(AVERAGE('Dry_Litterbag Placem_Collection'!O154,'Dry_Litterbag Placem_Collection'!R154),"")</f>
        <v>6.4</v>
      </c>
      <c r="AK373" s="261">
        <f>IFERROR(AVERAGE('Dry_Litterbag Placem_Collection'!N154,'Dry_Litterbag Placem_Collection'!Q154),"")</f>
        <v>28.45</v>
      </c>
      <c r="AL373" s="260">
        <f>INDEX([2]Coordinates!$B$2:$B$197,MATCH(I373,[2]Coordinates!$J$2:$J$197,0))</f>
        <v>-2.367543988</v>
      </c>
      <c r="AM373" s="260">
        <f>INDEX([2]Coordinates!$C$2:$C$197,MATCH(I373,[2]Coordinates!$J$2:$J$197,0))</f>
        <v>34.060168969999999</v>
      </c>
      <c r="AN373" s="260" t="str">
        <f>IF(ISNUMBER(SEARCH("C", 'Dry_Litterbag Placem_Collection'!T154)),"YES","NO")</f>
        <v>NO</v>
      </c>
      <c r="AO373" s="260" t="str">
        <f>IF(ISNUMBER(SEARCH("H", 'Dry_Litterbag Placem_Collection'!T154)),"YES","NO")</f>
        <v>YES</v>
      </c>
      <c r="AP373" s="260" t="str">
        <f>IF(ISNUMBER(SEARCH("R", 'Dry_Litterbag Placem_Collection'!T154)),"YES","NO")</f>
        <v>NO</v>
      </c>
    </row>
    <row r="374" spans="1:42" ht="15" customHeight="1">
      <c r="A374" t="s">
        <v>3248</v>
      </c>
      <c r="B374" s="252" t="s">
        <v>2643</v>
      </c>
      <c r="C374" s="253">
        <f>'Dry_Litterbag Placem_Collection'!A155</f>
        <v>153</v>
      </c>
      <c r="D374" s="253" t="str">
        <f>'Dry_Litterbag Placem_Collection'!B155</f>
        <v xml:space="preserve">Mwantimba
</v>
      </c>
      <c r="E374" s="253" t="s">
        <v>2454</v>
      </c>
      <c r="F374" s="253" t="s">
        <v>20</v>
      </c>
      <c r="G374" s="253">
        <v>4</v>
      </c>
      <c r="H374" s="253" t="s">
        <v>3125</v>
      </c>
      <c r="I374" s="254" t="str">
        <f>'Dry_Litterbag Placem_Collection'!C155</f>
        <v>Wet_P4_T1</v>
      </c>
      <c r="J374" s="255" t="s">
        <v>2525</v>
      </c>
      <c r="K374" s="262" t="s">
        <v>298</v>
      </c>
      <c r="L374" s="253" t="str">
        <f>IF(ISBLANK('Dry_Litterbag Placem_Collection'!K155),"","R"&amp;""&amp;'Dry_Litterbag Placem_Collection'!K155)</f>
        <v>R735</v>
      </c>
      <c r="M374" s="257">
        <f>IFERROR(INDEX('Green_rooibos initial weight'!$C$5:$C$2000,MATCH(L374, 'Green_rooibos initial weight'!$A$5:$A$2000,0)),"")</f>
        <v>2.12</v>
      </c>
      <c r="N374" s="257">
        <f>IFERROR(M374-(TBIcalc!$Q$9+TBIcalc!$Q$10),"")</f>
        <v>1.8702000000000001</v>
      </c>
      <c r="O374" s="378">
        <f>AVERAGE(Ashed_controlls!$K$12:$K$14)</f>
        <v>2.2816647271287041</v>
      </c>
      <c r="P374" s="257">
        <f t="shared" si="26"/>
        <v>1.827528306273239</v>
      </c>
      <c r="Q374" s="257">
        <f>IFERROR(INDEX('Both teabags AfterDry'!$D$2:$D$2000,MATCH(L374,'Both teabags AfterDry'!$A$2:$A$2000,0)),"")</f>
        <v>1.0566</v>
      </c>
      <c r="R374" s="257">
        <f>IFERROR(IF(Q374&gt;0,Q374-(TBIcalc!$Q$9),""),"")</f>
        <v>0.90599999999999992</v>
      </c>
      <c r="S374" s="268">
        <f>IFERROR(INDEX('Ashed teabags dry'!$K$2:$K$2000,MATCH(L374,'Ashed teabags dry'!$A$2:$A$2000,0)),"")</f>
        <v>50.895883777238879</v>
      </c>
      <c r="T374" s="268">
        <f t="shared" si="27"/>
        <v>0.44488329297821572</v>
      </c>
      <c r="U374" s="258">
        <f>IF('Dry_Litterbag Placem_Collection'!E155="","",'Dry_Litterbag Placem_Collection'!E155)</f>
        <v>42939</v>
      </c>
      <c r="V374" s="258">
        <f>IF('Dry_Litterbag Placem_Collection'!G155="","",'Dry_Litterbag Placem_Collection'!G155)</f>
        <v>43010</v>
      </c>
      <c r="W374" s="259">
        <f t="shared" si="25"/>
        <v>71</v>
      </c>
      <c r="X374" s="257">
        <f t="shared" si="28"/>
        <v>0.96420000000000017</v>
      </c>
      <c r="Y374" s="257">
        <f t="shared" si="29"/>
        <v>1.3826450132950234</v>
      </c>
      <c r="Z374" s="261">
        <f>IFERROR(INDEX([3]Rainfall_Dry!$O$2:$O$217,MATCH(C374, [3]Rainfall_Dry!$A$2:$A$217,0)),"")</f>
        <v>137.19979645800001</v>
      </c>
      <c r="AA374" s="250">
        <v>27.96</v>
      </c>
      <c r="AB374" s="250">
        <v>4.9200000000000017</v>
      </c>
      <c r="AC374" s="250">
        <v>67.12</v>
      </c>
      <c r="AD374" s="251" t="s">
        <v>2651</v>
      </c>
      <c r="AE374" s="250">
        <v>1.0437161163134547</v>
      </c>
      <c r="AF374">
        <f>IF('WetLitterbags placem_collection'!AB155="","",'WetLitterbags placem_collection'!AB155)</f>
        <v>2.1</v>
      </c>
      <c r="AG374">
        <f>IF('WetLitterbags placem_collection'!Z155="","",'WetLitterbags placem_collection'!Z155)</f>
        <v>16.399999999999999</v>
      </c>
      <c r="AH374" s="236" t="str">
        <f>IF('WetLitterbags placem_collection'!AA155="","",'WetLitterbags placem_collection'!AA155)</f>
        <v>G</v>
      </c>
      <c r="AI374">
        <f>IF('WetLitterbags placem_collection'!AC155="","",'WetLitterbags placem_collection'!AC155)</f>
        <v>0</v>
      </c>
      <c r="AJ374">
        <f>IFERROR(AVERAGE('Dry_Litterbag Placem_Collection'!O155,'Dry_Litterbag Placem_Collection'!R155),"")</f>
        <v>5.65</v>
      </c>
      <c r="AK374" s="261">
        <f>IFERROR(AVERAGE('Dry_Litterbag Placem_Collection'!N155,'Dry_Litterbag Placem_Collection'!Q155),"")</f>
        <v>31.65</v>
      </c>
      <c r="AL374" s="260">
        <f>INDEX([2]Coordinates!$B$2:$B$197,MATCH(I374,[2]Coordinates!$J$2:$J$197,0))</f>
        <v>-2.3676780150000001</v>
      </c>
      <c r="AM374" s="260">
        <f>INDEX([2]Coordinates!$C$2:$C$197,MATCH(I374,[2]Coordinates!$J$2:$J$197,0))</f>
        <v>34.05937797</v>
      </c>
      <c r="AN374" s="260" t="str">
        <f>IF(ISNUMBER(SEARCH("C", 'Dry_Litterbag Placem_Collection'!T155)),"YES","NO")</f>
        <v>YES</v>
      </c>
      <c r="AO374" s="260" t="str">
        <f>IF(ISNUMBER(SEARCH("H", 'Dry_Litterbag Placem_Collection'!T155)),"YES","NO")</f>
        <v>YES</v>
      </c>
      <c r="AP374" s="260" t="str">
        <f>IF(ISNUMBER(SEARCH("R", 'Dry_Litterbag Placem_Collection'!T155)),"YES","NO")</f>
        <v>NO</v>
      </c>
    </row>
    <row r="375" spans="1:42" ht="15" customHeight="1">
      <c r="A375" t="s">
        <v>3248</v>
      </c>
      <c r="B375" s="252" t="s">
        <v>2643</v>
      </c>
      <c r="C375" s="253">
        <f>'Dry_Litterbag Placem_Collection'!A156</f>
        <v>154</v>
      </c>
      <c r="D375" s="253" t="str">
        <f>'Dry_Litterbag Placem_Collection'!B156</f>
        <v xml:space="preserve">Mwantimba
</v>
      </c>
      <c r="E375" s="253" t="s">
        <v>2454</v>
      </c>
      <c r="F375" s="253" t="s">
        <v>20</v>
      </c>
      <c r="G375" s="253">
        <v>4</v>
      </c>
      <c r="H375" s="253" t="s">
        <v>3125</v>
      </c>
      <c r="I375" s="254" t="str">
        <f>'Dry_Litterbag Placem_Collection'!C156</f>
        <v>Wet_P4_T2</v>
      </c>
      <c r="J375" s="255" t="s">
        <v>2525</v>
      </c>
      <c r="K375" s="262" t="s">
        <v>298</v>
      </c>
      <c r="L375" s="253" t="str">
        <f>IF(ISBLANK('Dry_Litterbag Placem_Collection'!K156),"","R"&amp;""&amp;'Dry_Litterbag Placem_Collection'!K156)</f>
        <v>R836</v>
      </c>
      <c r="M375" s="257">
        <f>IFERROR(INDEX('Green_rooibos initial weight'!$C$5:$C$2000,MATCH(L375, 'Green_rooibos initial weight'!$A$5:$A$2000,0)),"")</f>
        <v>2.2000000000000002</v>
      </c>
      <c r="N375" s="257">
        <f>IFERROR(M375-(TBIcalc!$Q$9+TBIcalc!$Q$10),"")</f>
        <v>1.9502000000000002</v>
      </c>
      <c r="O375" s="378">
        <f>AVERAGE(Ashed_controlls!$K$12:$K$14)</f>
        <v>2.2816647271287041</v>
      </c>
      <c r="P375" s="257">
        <f t="shared" si="26"/>
        <v>1.9057029744915361</v>
      </c>
      <c r="Q375" s="257">
        <f>IFERROR(INDEX('Both teabags AfterDry'!$D$2:$D$2000,MATCH(L375,'Both teabags AfterDry'!$A$2:$A$2000,0)),"")</f>
        <v>0.62509999999999999</v>
      </c>
      <c r="R375" s="257">
        <f>IFERROR(IF(Q375&gt;0,Q375-(TBIcalc!$Q$9),""),"")</f>
        <v>0.47449999999999998</v>
      </c>
      <c r="S375" s="268">
        <f>IFERROR(INDEX('Ashed teabags dry'!$K$2:$K$2000,MATCH(L375,'Ashed teabags dry'!$A$2:$A$2000,0)),"")</f>
        <v>87.866927592954596</v>
      </c>
      <c r="T375" s="268">
        <f t="shared" si="27"/>
        <v>5.7571428571430439E-2</v>
      </c>
      <c r="U375" s="258">
        <f>IF('Dry_Litterbag Placem_Collection'!E156="","",'Dry_Litterbag Placem_Collection'!E156)</f>
        <v>42939</v>
      </c>
      <c r="V375" s="258">
        <f>IF('Dry_Litterbag Placem_Collection'!G156="","",'Dry_Litterbag Placem_Collection'!G156)</f>
        <v>43010</v>
      </c>
      <c r="W375" s="259">
        <f t="shared" si="25"/>
        <v>71</v>
      </c>
      <c r="X375" s="257">
        <f t="shared" si="28"/>
        <v>1.4757000000000002</v>
      </c>
      <c r="Y375" s="257">
        <f t="shared" si="29"/>
        <v>1.8481315459201058</v>
      </c>
      <c r="Z375" s="261">
        <f>IFERROR(INDEX([3]Rainfall_Dry!$O$2:$O$217,MATCH(C375, [3]Rainfall_Dry!$A$2:$A$217,0)),"")</f>
        <v>137.19979645800001</v>
      </c>
      <c r="AA375" s="250">
        <v>27.96</v>
      </c>
      <c r="AB375" s="250">
        <v>4.9200000000000017</v>
      </c>
      <c r="AC375" s="250">
        <v>67.12</v>
      </c>
      <c r="AD375" s="251" t="s">
        <v>2651</v>
      </c>
      <c r="AE375" s="250">
        <v>2.0437161163134498</v>
      </c>
      <c r="AF375">
        <f>IF('WetLitterbags placem_collection'!AB156="","",'WetLitterbags placem_collection'!AB156)</f>
        <v>2.15</v>
      </c>
      <c r="AG375">
        <f>IF('WetLitterbags placem_collection'!Z156="","",'WetLitterbags placem_collection'!Z156)</f>
        <v>9</v>
      </c>
      <c r="AH375" s="236" t="str">
        <f>IF('WetLitterbags placem_collection'!AA156="","",'WetLitterbags placem_collection'!AA156)</f>
        <v>G</v>
      </c>
      <c r="AI375">
        <f>IF('WetLitterbags placem_collection'!AC156="","",'WetLitterbags placem_collection'!AC156)</f>
        <v>0</v>
      </c>
      <c r="AJ375">
        <f>IFERROR(AVERAGE('Dry_Litterbag Placem_Collection'!O156,'Dry_Litterbag Placem_Collection'!R156),"")</f>
        <v>4.05</v>
      </c>
      <c r="AK375" s="261">
        <f>IFERROR(AVERAGE('Dry_Litterbag Placem_Collection'!N156,'Dry_Litterbag Placem_Collection'!Q156),"")</f>
        <v>30.45</v>
      </c>
      <c r="AL375" s="260">
        <f>INDEX([2]Coordinates!$B$2:$B$197,MATCH(I375,[2]Coordinates!$J$2:$J$197,0))</f>
        <v>-2.3677299820000002</v>
      </c>
      <c r="AM375" s="260">
        <f>INDEX([2]Coordinates!$C$2:$C$197,MATCH(I375,[2]Coordinates!$J$2:$J$197,0))</f>
        <v>34.059351990000003</v>
      </c>
      <c r="AN375" s="260" t="str">
        <f>IF(ISNUMBER(SEARCH("C", 'Dry_Litterbag Placem_Collection'!T156)),"YES","NO")</f>
        <v>NO</v>
      </c>
      <c r="AO375" s="260" t="str">
        <f>IF(ISNUMBER(SEARCH("H", 'Dry_Litterbag Placem_Collection'!T156)),"YES","NO")</f>
        <v>YES</v>
      </c>
      <c r="AP375" s="260" t="str">
        <f>IF(ISNUMBER(SEARCH("R", 'Dry_Litterbag Placem_Collection'!T156)),"YES","NO")</f>
        <v>NO</v>
      </c>
    </row>
    <row r="376" spans="1:42" ht="15" customHeight="1">
      <c r="A376" t="s">
        <v>3248</v>
      </c>
      <c r="B376" s="252" t="s">
        <v>2643</v>
      </c>
      <c r="C376" s="253">
        <f>'Dry_Litterbag Placem_Collection'!A157</f>
        <v>155</v>
      </c>
      <c r="D376" s="253" t="str">
        <f>'Dry_Litterbag Placem_Collection'!B157</f>
        <v xml:space="preserve">Mwantimba
</v>
      </c>
      <c r="E376" s="253" t="s">
        <v>2454</v>
      </c>
      <c r="F376" s="253" t="s">
        <v>20</v>
      </c>
      <c r="G376" s="253">
        <v>4</v>
      </c>
      <c r="H376" s="253" t="s">
        <v>3125</v>
      </c>
      <c r="I376" s="254" t="str">
        <f>'Dry_Litterbag Placem_Collection'!C157</f>
        <v>Wet_P4_T3</v>
      </c>
      <c r="J376" s="255" t="s">
        <v>2525</v>
      </c>
      <c r="K376" s="262" t="s">
        <v>298</v>
      </c>
      <c r="L376" s="253" t="str">
        <f>IF(ISBLANK('Dry_Litterbag Placem_Collection'!K157),"","R"&amp;""&amp;'Dry_Litterbag Placem_Collection'!K157)</f>
        <v>R337</v>
      </c>
      <c r="M376" s="257">
        <f>IFERROR(INDEX('Green_rooibos initial weight'!$C$5:$C$2000,MATCH(L376, 'Green_rooibos initial weight'!$A$5:$A$2000,0)),"")</f>
        <v>2.2309999999999999</v>
      </c>
      <c r="N376" s="257">
        <f>IFERROR(M376-(TBIcalc!$Q$9+TBIcalc!$Q$10),"")</f>
        <v>1.9811999999999999</v>
      </c>
      <c r="O376" s="378">
        <f>AVERAGE(Ashed_controlls!$K$12:$K$14)</f>
        <v>2.2816647271287041</v>
      </c>
      <c r="P376" s="257">
        <f t="shared" si="26"/>
        <v>1.935995658426126</v>
      </c>
      <c r="Q376" s="257">
        <f>IFERROR(INDEX('Both teabags AfterDry'!$D$2:$D$2000,MATCH(L376,'Both teabags AfterDry'!$A$2:$A$2000,0)),"")</f>
        <v>1.8893</v>
      </c>
      <c r="R376" s="257">
        <f>IFERROR(IF(Q376&gt;0,Q376-(TBIcalc!$Q$9),""),"")</f>
        <v>1.7386999999999999</v>
      </c>
      <c r="S376" s="268">
        <f>IFERROR(INDEX('Ashed teabags dry'!$K$2:$K$2000,MATCH(L376,'Ashed teabags dry'!$A$2:$A$2000,0)),"")</f>
        <v>5.2232142857139205</v>
      </c>
      <c r="T376" s="268">
        <f t="shared" si="27"/>
        <v>1.647883973214292</v>
      </c>
      <c r="U376" s="258">
        <f>IF('Dry_Litterbag Placem_Collection'!E157="","",'Dry_Litterbag Placem_Collection'!E157)</f>
        <v>42939</v>
      </c>
      <c r="V376" s="258">
        <f>IF('Dry_Litterbag Placem_Collection'!G157="","",'Dry_Litterbag Placem_Collection'!G157)</f>
        <v>43010</v>
      </c>
      <c r="W376" s="259">
        <f t="shared" si="25"/>
        <v>71</v>
      </c>
      <c r="X376" s="257">
        <f t="shared" si="28"/>
        <v>0.24249999999999994</v>
      </c>
      <c r="Y376" s="257">
        <f t="shared" si="29"/>
        <v>0.28811168521183395</v>
      </c>
      <c r="Z376" s="261">
        <f>IFERROR(INDEX([3]Rainfall_Dry!$O$2:$O$217,MATCH(C376, [3]Rainfall_Dry!$A$2:$A$217,0)),"")</f>
        <v>137.19979645800001</v>
      </c>
      <c r="AA376" s="250">
        <v>27.96</v>
      </c>
      <c r="AB376" s="250">
        <v>4.9200000000000017</v>
      </c>
      <c r="AC376" s="250">
        <v>67.12</v>
      </c>
      <c r="AD376" s="251" t="s">
        <v>2651</v>
      </c>
      <c r="AE376" s="250">
        <v>3.0437161163134498</v>
      </c>
      <c r="AF376">
        <f>IF('WetLitterbags placem_collection'!AB157="","",'WetLitterbags placem_collection'!AB157)</f>
        <v>1.2</v>
      </c>
      <c r="AG376">
        <f>IF('WetLitterbags placem_collection'!Z157="","",'WetLitterbags placem_collection'!Z157)</f>
        <v>11</v>
      </c>
      <c r="AH376" s="236" t="str">
        <f>IF('WetLitterbags placem_collection'!AA157="","",'WetLitterbags placem_collection'!AA157)</f>
        <v>G</v>
      </c>
      <c r="AI376">
        <f>IF('WetLitterbags placem_collection'!AC157="","",'WetLitterbags placem_collection'!AC157)</f>
        <v>0</v>
      </c>
      <c r="AJ376">
        <f>IFERROR(AVERAGE('Dry_Litterbag Placem_Collection'!O157,'Dry_Litterbag Placem_Collection'!R157),"")</f>
        <v>5.0999999999999996</v>
      </c>
      <c r="AK376" s="261">
        <f>IFERROR(AVERAGE('Dry_Litterbag Placem_Collection'!N157,'Dry_Litterbag Placem_Collection'!Q157),"")</f>
        <v>29.4</v>
      </c>
      <c r="AL376" s="260">
        <f>INDEX([2]Coordinates!$B$2:$B$197,MATCH(I376,[2]Coordinates!$J$2:$J$197,0))</f>
        <v>-2.3677119609999999</v>
      </c>
      <c r="AM376" s="260">
        <f>INDEX([2]Coordinates!$C$2:$C$197,MATCH(I376,[2]Coordinates!$J$2:$J$197,0))</f>
        <v>34.059339000000001</v>
      </c>
      <c r="AN376" s="260" t="str">
        <f>IF(ISNUMBER(SEARCH("C", 'Dry_Litterbag Placem_Collection'!T157)),"YES","NO")</f>
        <v>YES</v>
      </c>
      <c r="AO376" s="260" t="str">
        <f>IF(ISNUMBER(SEARCH("H", 'Dry_Litterbag Placem_Collection'!T157)),"YES","NO")</f>
        <v>YES</v>
      </c>
      <c r="AP376" s="260" t="str">
        <f>IF(ISNUMBER(SEARCH("R", 'Dry_Litterbag Placem_Collection'!T157)),"YES","NO")</f>
        <v>NO</v>
      </c>
    </row>
    <row r="377" spans="1:42" ht="15" customHeight="1">
      <c r="A377" t="s">
        <v>3248</v>
      </c>
      <c r="B377" s="252" t="s">
        <v>2643</v>
      </c>
      <c r="C377" s="253">
        <f>'Dry_Litterbag Placem_Collection'!A158</f>
        <v>156</v>
      </c>
      <c r="D377" s="253" t="str">
        <f>'Dry_Litterbag Placem_Collection'!B158</f>
        <v xml:space="preserve">Mwantimba
</v>
      </c>
      <c r="E377" s="253" t="s">
        <v>2454</v>
      </c>
      <c r="F377" s="253" t="s">
        <v>20</v>
      </c>
      <c r="G377" s="253">
        <v>4</v>
      </c>
      <c r="H377" s="253" t="s">
        <v>3125</v>
      </c>
      <c r="I377" s="254" t="str">
        <f>'Dry_Litterbag Placem_Collection'!C158</f>
        <v>Wet_P4_T4</v>
      </c>
      <c r="J377" s="255" t="s">
        <v>2525</v>
      </c>
      <c r="K377" s="262" t="s">
        <v>298</v>
      </c>
      <c r="L377" s="253" t="str">
        <f>IF(ISBLANK('Dry_Litterbag Placem_Collection'!K158),"","R"&amp;""&amp;'Dry_Litterbag Placem_Collection'!K158)</f>
        <v>R118</v>
      </c>
      <c r="M377" s="257">
        <f>IFERROR(INDEX('Green_rooibos initial weight'!$C$5:$C$2000,MATCH(L377, 'Green_rooibos initial weight'!$A$5:$A$2000,0)),"")</f>
        <v>2.3330000000000002</v>
      </c>
      <c r="N377" s="257">
        <f>IFERROR(M377-(TBIcalc!$Q$9+TBIcalc!$Q$10),"")</f>
        <v>2.0832000000000002</v>
      </c>
      <c r="O377" s="378">
        <f>AVERAGE(Ashed_controlls!$K$12:$K$14)</f>
        <v>2.2816647271287041</v>
      </c>
      <c r="P377" s="257">
        <f t="shared" si="26"/>
        <v>2.035668360404455</v>
      </c>
      <c r="Q377" s="257">
        <f>IFERROR(INDEX('Both teabags AfterDry'!$D$2:$D$2000,MATCH(L377,'Both teabags AfterDry'!$A$2:$A$2000,0)),"")</f>
        <v>0.79290000000000005</v>
      </c>
      <c r="R377" s="257">
        <f>IFERROR(IF(Q377&gt;0,Q377-(TBIcalc!$Q$9),""),"")</f>
        <v>0.64230000000000009</v>
      </c>
      <c r="S377" s="268">
        <f>IFERROR(INDEX('Ashed teabags dry'!$K$2:$K$2000,MATCH(L377,'Ashed teabags dry'!$A$2:$A$2000,0)),"")</f>
        <v>77.250247279920742</v>
      </c>
      <c r="T377" s="268">
        <f t="shared" si="27"/>
        <v>0.14612166172106905</v>
      </c>
      <c r="U377" s="258">
        <f>IF('Dry_Litterbag Placem_Collection'!E158="","",'Dry_Litterbag Placem_Collection'!E158)</f>
        <v>42939</v>
      </c>
      <c r="V377" s="258">
        <f>IF('Dry_Litterbag Placem_Collection'!G158="","",'Dry_Litterbag Placem_Collection'!G158)</f>
        <v>43010</v>
      </c>
      <c r="W377" s="259">
        <f t="shared" si="25"/>
        <v>71</v>
      </c>
      <c r="X377" s="257">
        <f t="shared" si="28"/>
        <v>1.4409000000000001</v>
      </c>
      <c r="Y377" s="257">
        <f t="shared" si="29"/>
        <v>1.889546698683386</v>
      </c>
      <c r="Z377" s="261">
        <f>IFERROR(INDEX([3]Rainfall_Dry!$O$2:$O$217,MATCH(C377, [3]Rainfall_Dry!$A$2:$A$217,0)),"")</f>
        <v>137.19979645800001</v>
      </c>
      <c r="AA377" s="250">
        <v>27.96</v>
      </c>
      <c r="AB377" s="250">
        <v>4.9200000000000017</v>
      </c>
      <c r="AC377" s="250">
        <v>67.12</v>
      </c>
      <c r="AD377" s="251" t="s">
        <v>2651</v>
      </c>
      <c r="AE377" s="250">
        <v>4.0437161163134503</v>
      </c>
      <c r="AF377">
        <f>IF('WetLitterbags placem_collection'!AB158="","",'WetLitterbags placem_collection'!AB158)</f>
        <v>1.55</v>
      </c>
      <c r="AG377">
        <f>IF('WetLitterbags placem_collection'!Z158="","",'WetLitterbags placem_collection'!Z158)</f>
        <v>9.1</v>
      </c>
      <c r="AH377" s="236" t="str">
        <f>IF('WetLitterbags placem_collection'!AA158="","",'WetLitterbags placem_collection'!AA158)</f>
        <v>O</v>
      </c>
      <c r="AI377">
        <f>IF('WetLitterbags placem_collection'!AC158="","",'WetLitterbags placem_collection'!AC158)</f>
        <v>0</v>
      </c>
      <c r="AJ377">
        <f>IFERROR(AVERAGE('Dry_Litterbag Placem_Collection'!O158,'Dry_Litterbag Placem_Collection'!R158),"")</f>
        <v>4.5</v>
      </c>
      <c r="AK377" s="261">
        <f>IFERROR(AVERAGE('Dry_Litterbag Placem_Collection'!N158,'Dry_Litterbag Placem_Collection'!Q158),"")</f>
        <v>30.35</v>
      </c>
      <c r="AL377" s="260">
        <f>INDEX([2]Coordinates!$B$2:$B$197,MATCH(I377,[2]Coordinates!$J$2:$J$197,0))</f>
        <v>-2.3676950300000001</v>
      </c>
      <c r="AM377" s="260">
        <f>INDEX([2]Coordinates!$C$2:$C$197,MATCH(I377,[2]Coordinates!$J$2:$J$197,0))</f>
        <v>34.059499010000003</v>
      </c>
      <c r="AN377" s="260" t="str">
        <f>IF(ISNUMBER(SEARCH("C", 'Dry_Litterbag Placem_Collection'!T158)),"YES","NO")</f>
        <v>YES</v>
      </c>
      <c r="AO377" s="260" t="str">
        <f>IF(ISNUMBER(SEARCH("H", 'Dry_Litterbag Placem_Collection'!T158)),"YES","NO")</f>
        <v>YES</v>
      </c>
      <c r="AP377" s="260" t="str">
        <f>IF(ISNUMBER(SEARCH("R", 'Dry_Litterbag Placem_Collection'!T158)),"YES","NO")</f>
        <v>NO</v>
      </c>
    </row>
    <row r="378" spans="1:42" ht="15" customHeight="1">
      <c r="A378" t="s">
        <v>3248</v>
      </c>
      <c r="B378" s="252" t="s">
        <v>2643</v>
      </c>
      <c r="C378" s="253">
        <f>'Dry_Litterbag Placem_Collection'!A159</f>
        <v>157</v>
      </c>
      <c r="D378" s="253" t="str">
        <f>'Dry_Litterbag Placem_Collection'!B159</f>
        <v xml:space="preserve">Mwantimba
</v>
      </c>
      <c r="E378" s="253" t="s">
        <v>2454</v>
      </c>
      <c r="F378" s="253" t="s">
        <v>20</v>
      </c>
      <c r="G378" s="253">
        <v>4</v>
      </c>
      <c r="H378" s="253" t="s">
        <v>3125</v>
      </c>
      <c r="I378" s="254" t="str">
        <f>'Dry_Litterbag Placem_Collection'!C159</f>
        <v>Wet_P4_T5</v>
      </c>
      <c r="J378" s="255" t="s">
        <v>2525</v>
      </c>
      <c r="K378" s="262" t="s">
        <v>298</v>
      </c>
      <c r="L378" s="253" t="str">
        <f>IF(ISBLANK('Dry_Litterbag Placem_Collection'!K159),"","R"&amp;""&amp;'Dry_Litterbag Placem_Collection'!K159)</f>
        <v>R478</v>
      </c>
      <c r="M378" s="257">
        <f>IFERROR(INDEX('Green_rooibos initial weight'!$C$5:$C$2000,MATCH(L378, 'Green_rooibos initial weight'!$A$5:$A$2000,0)),"")</f>
        <v>2.1640000000000001</v>
      </c>
      <c r="N378" s="257">
        <f>IFERROR(M378-(TBIcalc!$Q$9+TBIcalc!$Q$10),"")</f>
        <v>1.9142000000000001</v>
      </c>
      <c r="O378" s="378">
        <f>AVERAGE(Ashed_controlls!$K$12:$K$14)</f>
        <v>2.2816647271287041</v>
      </c>
      <c r="P378" s="257">
        <f t="shared" si="26"/>
        <v>1.8705243737933024</v>
      </c>
      <c r="Q378" s="257" t="str">
        <f>IFERROR(INDEX('Both teabags AfterDry'!$D$2:$D$2000,MATCH(L378,'Both teabags AfterDry'!$A$2:$A$2000,0)),"")</f>
        <v/>
      </c>
      <c r="R378" s="257" t="str">
        <f>IFERROR(IF(Q378&gt;0,Q378-(TBIcalc!$Q$9),""),"")</f>
        <v/>
      </c>
      <c r="S378" s="268" t="str">
        <f>IFERROR(INDEX('Ashed teabags dry'!$K$2:$K$2000,MATCH(L378,'Ashed teabags dry'!$A$2:$A$2000,0)),"")</f>
        <v/>
      </c>
      <c r="T378" s="268" t="str">
        <f t="shared" si="27"/>
        <v/>
      </c>
      <c r="U378" s="258">
        <f>IF('Dry_Litterbag Placem_Collection'!E159="","",'Dry_Litterbag Placem_Collection'!E159)</f>
        <v>42939</v>
      </c>
      <c r="V378" s="258">
        <f>IF('Dry_Litterbag Placem_Collection'!G159="","",'Dry_Litterbag Placem_Collection'!G159)</f>
        <v>43010</v>
      </c>
      <c r="W378" s="259">
        <f t="shared" si="25"/>
        <v>71</v>
      </c>
      <c r="X378" s="257" t="str">
        <f t="shared" si="28"/>
        <v/>
      </c>
      <c r="Y378" s="257" t="str">
        <f t="shared" si="29"/>
        <v/>
      </c>
      <c r="Z378" s="261">
        <f>IFERROR(INDEX([3]Rainfall_Dry!$O$2:$O$217,MATCH(C378, [3]Rainfall_Dry!$A$2:$A$217,0)),"")</f>
        <v>137.19979645800001</v>
      </c>
      <c r="AA378" s="250">
        <v>27.96</v>
      </c>
      <c r="AB378" s="250">
        <v>4.9200000000000017</v>
      </c>
      <c r="AC378" s="250">
        <v>67.12</v>
      </c>
      <c r="AD378" s="251" t="s">
        <v>2651</v>
      </c>
      <c r="AE378" s="250">
        <v>5.0437161163134503</v>
      </c>
      <c r="AF378">
        <f>IF('WetLitterbags placem_collection'!AB159="","",'WetLitterbags placem_collection'!AB159)</f>
        <v>2.2999999999999998</v>
      </c>
      <c r="AG378">
        <f>IF('WetLitterbags placem_collection'!Z159="","",'WetLitterbags placem_collection'!Z159)</f>
        <v>7.7</v>
      </c>
      <c r="AH378" s="236" t="str">
        <f>IF('WetLitterbags placem_collection'!AA159="","",'WetLitterbags placem_collection'!AA159)</f>
        <v>O</v>
      </c>
      <c r="AI378">
        <f>IF('WetLitterbags placem_collection'!AC159="","",'WetLitterbags placem_collection'!AC159)</f>
        <v>0</v>
      </c>
      <c r="AJ378">
        <f>IFERROR(AVERAGE('Dry_Litterbag Placem_Collection'!O159,'Dry_Litterbag Placem_Collection'!R159),"")</f>
        <v>5.65</v>
      </c>
      <c r="AK378" s="261">
        <f>IFERROR(AVERAGE('Dry_Litterbag Placem_Collection'!N159,'Dry_Litterbag Placem_Collection'!Q159),"")</f>
        <v>29.85</v>
      </c>
      <c r="AL378" s="260">
        <f>INDEX([2]Coordinates!$B$2:$B$197,MATCH(I378,[2]Coordinates!$J$2:$J$197,0))</f>
        <v>-2.3678019830000001</v>
      </c>
      <c r="AM378" s="260">
        <f>INDEX([2]Coordinates!$C$2:$C$197,MATCH(I378,[2]Coordinates!$J$2:$J$197,0))</f>
        <v>34.059521969999999</v>
      </c>
      <c r="AN378" s="260" t="str">
        <f>IF(ISNUMBER(SEARCH("C", 'Dry_Litterbag Placem_Collection'!T159)),"YES","NO")</f>
        <v>YES</v>
      </c>
      <c r="AO378" s="260" t="str">
        <f>IF(ISNUMBER(SEARCH("H", 'Dry_Litterbag Placem_Collection'!T159)),"YES","NO")</f>
        <v>NO</v>
      </c>
      <c r="AP378" s="260" t="str">
        <f>IF(ISNUMBER(SEARCH("R", 'Dry_Litterbag Placem_Collection'!T159)),"YES","NO")</f>
        <v>YES</v>
      </c>
    </row>
    <row r="379" spans="1:42" ht="15" customHeight="1">
      <c r="A379" t="s">
        <v>3248</v>
      </c>
      <c r="B379" s="252" t="s">
        <v>2643</v>
      </c>
      <c r="C379" s="253">
        <f>'Dry_Litterbag Placem_Collection'!A160</f>
        <v>158</v>
      </c>
      <c r="D379" s="253" t="str">
        <f>'Dry_Litterbag Placem_Collection'!B160</f>
        <v xml:space="preserve">Mwantimba
</v>
      </c>
      <c r="E379" s="253" t="s">
        <v>2454</v>
      </c>
      <c r="F379" s="253" t="s">
        <v>20</v>
      </c>
      <c r="G379" s="253">
        <v>4</v>
      </c>
      <c r="H379" s="253" t="s">
        <v>3125</v>
      </c>
      <c r="I379" s="254" t="str">
        <f>'Dry_Litterbag Placem_Collection'!C160</f>
        <v>Wet_P4_T6</v>
      </c>
      <c r="J379" s="255" t="s">
        <v>2525</v>
      </c>
      <c r="K379" s="262" t="s">
        <v>298</v>
      </c>
      <c r="L379" s="253" t="str">
        <f>IF(ISBLANK('Dry_Litterbag Placem_Collection'!K160),"","R"&amp;""&amp;'Dry_Litterbag Placem_Collection'!K160)</f>
        <v>R773</v>
      </c>
      <c r="M379" s="257">
        <f>IFERROR(INDEX('Green_rooibos initial weight'!$C$5:$C$2000,MATCH(L379, 'Green_rooibos initial weight'!$A$5:$A$2000,0)),"")</f>
        <v>2.2320000000000002</v>
      </c>
      <c r="N379" s="257">
        <f>IFERROR(M379-(TBIcalc!$Q$9+TBIcalc!$Q$10),"")</f>
        <v>1.9822000000000002</v>
      </c>
      <c r="O379" s="378">
        <f>AVERAGE(Ashed_controlls!$K$12:$K$14)</f>
        <v>2.2816647271287041</v>
      </c>
      <c r="P379" s="257">
        <f t="shared" si="26"/>
        <v>1.936972841778855</v>
      </c>
      <c r="Q379" s="257">
        <f>IFERROR(INDEX('Both teabags AfterDry'!$D$2:$D$2000,MATCH(L379,'Both teabags AfterDry'!$A$2:$A$2000,0)),"")</f>
        <v>1.3551</v>
      </c>
      <c r="R379" s="257">
        <f>IFERROR(IF(Q379&gt;0,Q379-(TBIcalc!$Q$9),""),"")</f>
        <v>1.2044999999999999</v>
      </c>
      <c r="S379" s="268">
        <f>IFERROR(INDEX('Ashed teabags dry'!$K$2:$K$2000,MATCH(L379,'Ashed teabags dry'!$A$2:$A$2000,0)),"")</f>
        <v>86.234021632251483</v>
      </c>
      <c r="T379" s="268">
        <f t="shared" si="27"/>
        <v>0.16581120943953098</v>
      </c>
      <c r="U379" s="258">
        <f>IF('Dry_Litterbag Placem_Collection'!E160="","",'Dry_Litterbag Placem_Collection'!E160)</f>
        <v>42939</v>
      </c>
      <c r="V379" s="258">
        <f>IF('Dry_Litterbag Placem_Collection'!G160="","",'Dry_Litterbag Placem_Collection'!G160)</f>
        <v>43010</v>
      </c>
      <c r="W379" s="259">
        <f t="shared" si="25"/>
        <v>71</v>
      </c>
      <c r="X379" s="257">
        <f t="shared" si="28"/>
        <v>0.77770000000000028</v>
      </c>
      <c r="Y379" s="257">
        <f t="shared" si="29"/>
        <v>1.771161632339324</v>
      </c>
      <c r="Z379" s="261">
        <f>IFERROR(INDEX([3]Rainfall_Dry!$O$2:$O$217,MATCH(C379, [3]Rainfall_Dry!$A$2:$A$217,0)),"")</f>
        <v>137.19979645800001</v>
      </c>
      <c r="AA379" s="250">
        <v>27.96</v>
      </c>
      <c r="AB379" s="250">
        <v>4.9200000000000017</v>
      </c>
      <c r="AC379" s="250">
        <v>67.12</v>
      </c>
      <c r="AD379" s="251" t="s">
        <v>2651</v>
      </c>
      <c r="AE379" s="250">
        <v>6.0437161163134503</v>
      </c>
      <c r="AF379">
        <f>IF('WetLitterbags placem_collection'!AB160="","",'WetLitterbags placem_collection'!AB160)</f>
        <v>1.9</v>
      </c>
      <c r="AG379">
        <f>IF('WetLitterbags placem_collection'!Z160="","",'WetLitterbags placem_collection'!Z160)</f>
        <v>4.3</v>
      </c>
      <c r="AH379" s="236" t="str">
        <f>IF('WetLitterbags placem_collection'!AA160="","",'WetLitterbags placem_collection'!AA160)</f>
        <v>O</v>
      </c>
      <c r="AI379">
        <f>IF('WetLitterbags placem_collection'!AC160="","",'WetLitterbags placem_collection'!AC160)</f>
        <v>0</v>
      </c>
      <c r="AJ379">
        <f>IFERROR(AVERAGE('Dry_Litterbag Placem_Collection'!O160,'Dry_Litterbag Placem_Collection'!R160),"")</f>
        <v>5.95</v>
      </c>
      <c r="AK379" s="261">
        <f>IFERROR(AVERAGE('Dry_Litterbag Placem_Collection'!N160,'Dry_Litterbag Placem_Collection'!Q160),"")</f>
        <v>31.8</v>
      </c>
      <c r="AL379" s="260">
        <f>INDEX([2]Coordinates!$B$2:$B$197,MATCH(I379,[2]Coordinates!$J$2:$J$197,0))</f>
        <v>-2.3679270410000002</v>
      </c>
      <c r="AM379" s="260">
        <f>INDEX([2]Coordinates!$C$2:$C$197,MATCH(I379,[2]Coordinates!$J$2:$J$197,0))</f>
        <v>34.059300020000002</v>
      </c>
      <c r="AN379" s="260" t="str">
        <f>IF(ISNUMBER(SEARCH("C", 'Dry_Litterbag Placem_Collection'!T160)),"YES","NO")</f>
        <v>YES</v>
      </c>
      <c r="AO379" s="260" t="str">
        <f>IF(ISNUMBER(SEARCH("H", 'Dry_Litterbag Placem_Collection'!T160)),"YES","NO")</f>
        <v>YES</v>
      </c>
      <c r="AP379" s="260" t="str">
        <f>IF(ISNUMBER(SEARCH("R", 'Dry_Litterbag Placem_Collection'!T160)),"YES","NO")</f>
        <v>NO</v>
      </c>
    </row>
    <row r="380" spans="1:42" ht="15" customHeight="1">
      <c r="A380" t="s">
        <v>3248</v>
      </c>
      <c r="B380" s="252" t="s">
        <v>2643</v>
      </c>
      <c r="C380" s="253">
        <f>'Dry_Litterbag Placem_Collection'!A161</f>
        <v>159</v>
      </c>
      <c r="D380" s="253" t="str">
        <f>'Dry_Litterbag Placem_Collection'!B161</f>
        <v xml:space="preserve">Mwantimba
</v>
      </c>
      <c r="E380" s="253" t="s">
        <v>2454</v>
      </c>
      <c r="F380" s="253" t="s">
        <v>20</v>
      </c>
      <c r="G380" s="253">
        <v>4</v>
      </c>
      <c r="H380" s="253" t="s">
        <v>3125</v>
      </c>
      <c r="I380" s="254" t="str">
        <f>'Dry_Litterbag Placem_Collection'!C161</f>
        <v>Wet_P4_T7</v>
      </c>
      <c r="J380" s="255" t="s">
        <v>2525</v>
      </c>
      <c r="K380" s="262" t="s">
        <v>298</v>
      </c>
      <c r="L380" s="253" t="str">
        <f>IF(ISBLANK('Dry_Litterbag Placem_Collection'!K161),"","R"&amp;""&amp;'Dry_Litterbag Placem_Collection'!K161)</f>
        <v/>
      </c>
      <c r="M380" s="257" t="str">
        <f>IFERROR(INDEX('Green_rooibos initial weight'!$C$5:$C$2000,MATCH(L380, 'Green_rooibos initial weight'!$A$5:$A$2000,0)),"")</f>
        <v/>
      </c>
      <c r="N380" s="257" t="str">
        <f>IFERROR(M380-(TBIcalc!$Q$9+TBIcalc!$Q$10),"")</f>
        <v/>
      </c>
      <c r="O380" s="378">
        <f>AVERAGE(Ashed_controlls!$K$12:$K$14)</f>
        <v>2.2816647271287041</v>
      </c>
      <c r="P380" s="257" t="str">
        <f t="shared" si="26"/>
        <v/>
      </c>
      <c r="Q380" s="257" t="str">
        <f>IFERROR(INDEX('Both teabags AfterDry'!$D$2:$D$2000,MATCH(L380,'Both teabags AfterDry'!$A$2:$A$2000,0)),"")</f>
        <v/>
      </c>
      <c r="R380" s="257" t="str">
        <f>IFERROR(IF(Q380&gt;0,Q380-(TBIcalc!$Q$9),""),"")</f>
        <v/>
      </c>
      <c r="S380" s="268" t="str">
        <f>IFERROR(INDEX('Ashed teabags dry'!$K$2:$K$2000,MATCH(L380,'Ashed teabags dry'!$A$2:$A$2000,0)),"")</f>
        <v/>
      </c>
      <c r="T380" s="268" t="str">
        <f t="shared" si="27"/>
        <v/>
      </c>
      <c r="U380" s="258" t="str">
        <f>IF('Dry_Litterbag Placem_Collection'!E161="","",'Dry_Litterbag Placem_Collection'!E161)</f>
        <v/>
      </c>
      <c r="V380" s="258" t="str">
        <f>IF('Dry_Litterbag Placem_Collection'!G161="","",'Dry_Litterbag Placem_Collection'!G161)</f>
        <v/>
      </c>
      <c r="W380" s="259" t="str">
        <f t="shared" si="25"/>
        <v/>
      </c>
      <c r="X380" s="257" t="str">
        <f t="shared" si="28"/>
        <v/>
      </c>
      <c r="Y380" s="257" t="str">
        <f t="shared" si="29"/>
        <v/>
      </c>
      <c r="Z380" s="261" t="str">
        <f>IFERROR(INDEX([3]Rainfall_Dry!$O$2:$O$217,MATCH(C380, [3]Rainfall_Dry!$A$2:$A$217,0)),"")</f>
        <v/>
      </c>
      <c r="AA380" s="250">
        <v>27.96</v>
      </c>
      <c r="AB380" s="250">
        <v>4.9200000000000017</v>
      </c>
      <c r="AC380" s="250">
        <v>67.12</v>
      </c>
      <c r="AD380" s="251" t="s">
        <v>2651</v>
      </c>
      <c r="AE380" s="250">
        <v>7.0437161163134503</v>
      </c>
      <c r="AF380">
        <f>IF('WetLitterbags placem_collection'!AB161="","",'WetLitterbags placem_collection'!AB161)</f>
        <v>2.65</v>
      </c>
      <c r="AG380">
        <f>IF('WetLitterbags placem_collection'!Z161="","",'WetLitterbags placem_collection'!Z161)</f>
        <v>0</v>
      </c>
      <c r="AH380" s="236" t="str">
        <f>IF('WetLitterbags placem_collection'!AA161="","",'WetLitterbags placem_collection'!AA161)</f>
        <v>G</v>
      </c>
      <c r="AI380">
        <f>IF('WetLitterbags placem_collection'!AC161="","",'WetLitterbags placem_collection'!AC161)</f>
        <v>1</v>
      </c>
      <c r="AJ380" t="str">
        <f>IFERROR(AVERAGE('Dry_Litterbag Placem_Collection'!O161,'Dry_Litterbag Placem_Collection'!R161),"")</f>
        <v/>
      </c>
      <c r="AK380" s="261" t="str">
        <f>IFERROR(AVERAGE('Dry_Litterbag Placem_Collection'!N161,'Dry_Litterbag Placem_Collection'!Q161),"")</f>
        <v/>
      </c>
      <c r="AL380" s="260">
        <f>INDEX([2]Coordinates!$B$2:$B$197,MATCH(I380,[2]Coordinates!$J$2:$J$197,0))</f>
        <v>-2.3676829599999998</v>
      </c>
      <c r="AM380" s="260">
        <f>INDEX([2]Coordinates!$C$2:$C$197,MATCH(I380,[2]Coordinates!$J$2:$J$197,0))</f>
        <v>34.059236990000002</v>
      </c>
      <c r="AN380" s="260" t="str">
        <f>IF(ISNUMBER(SEARCH("C", 'Dry_Litterbag Placem_Collection'!T161)),"YES","NO")</f>
        <v>NO</v>
      </c>
      <c r="AO380" s="260" t="str">
        <f>IF(ISNUMBER(SEARCH("H", 'Dry_Litterbag Placem_Collection'!T161)),"YES","NO")</f>
        <v>NO</v>
      </c>
      <c r="AP380" s="260" t="str">
        <f>IF(ISNUMBER(SEARCH("R", 'Dry_Litterbag Placem_Collection'!T161)),"YES","NO")</f>
        <v>NO</v>
      </c>
    </row>
    <row r="381" spans="1:42" ht="15" customHeight="1">
      <c r="A381" t="s">
        <v>3248</v>
      </c>
      <c r="B381" s="252" t="s">
        <v>2643</v>
      </c>
      <c r="C381" s="253">
        <f>'Dry_Litterbag Placem_Collection'!A162</f>
        <v>160</v>
      </c>
      <c r="D381" s="253" t="str">
        <f>'Dry_Litterbag Placem_Collection'!B162</f>
        <v xml:space="preserve">Mwantimba
</v>
      </c>
      <c r="E381" s="253" t="s">
        <v>2454</v>
      </c>
      <c r="F381" s="253" t="s">
        <v>20</v>
      </c>
      <c r="G381" s="253">
        <v>4</v>
      </c>
      <c r="H381" s="253" t="s">
        <v>3125</v>
      </c>
      <c r="I381" s="254" t="str">
        <f>'Dry_Litterbag Placem_Collection'!C162</f>
        <v>Wet_P4_T8</v>
      </c>
      <c r="J381" s="255" t="s">
        <v>2525</v>
      </c>
      <c r="K381" s="262" t="s">
        <v>298</v>
      </c>
      <c r="L381" s="253" t="str">
        <f>IF(ISBLANK('Dry_Litterbag Placem_Collection'!K162),"","R"&amp;""&amp;'Dry_Litterbag Placem_Collection'!K162)</f>
        <v>R401</v>
      </c>
      <c r="M381" s="257">
        <f>IFERROR(INDEX('Green_rooibos initial weight'!$C$5:$C$2000,MATCH(L381, 'Green_rooibos initial weight'!$A$5:$A$2000,0)),"")</f>
        <v>2.214</v>
      </c>
      <c r="N381" s="257">
        <f>IFERROR(M381-(TBIcalc!$Q$9+TBIcalc!$Q$10),"")</f>
        <v>1.9641999999999999</v>
      </c>
      <c r="O381" s="378">
        <f>AVERAGE(Ashed_controlls!$K$12:$K$14)</f>
        <v>2.2816647271287041</v>
      </c>
      <c r="P381" s="257">
        <f t="shared" si="26"/>
        <v>1.919383541429738</v>
      </c>
      <c r="Q381" s="257">
        <f>IFERROR(INDEX('Both teabags AfterDry'!$D$2:$D$2000,MATCH(L381,'Both teabags AfterDry'!$A$2:$A$2000,0)),"")</f>
        <v>1.7884</v>
      </c>
      <c r="R381" s="257">
        <f>IFERROR(IF(Q381&gt;0,Q381-(TBIcalc!$Q$9),""),"")</f>
        <v>1.6377999999999999</v>
      </c>
      <c r="S381" s="268">
        <f>IFERROR(INDEX('Ashed teabags dry'!$K$2:$K$2000,MATCH(L381,'Ashed teabags dry'!$A$2:$A$2000,0)),"")</f>
        <v>5.077369439072041</v>
      </c>
      <c r="T381" s="268">
        <f t="shared" si="27"/>
        <v>1.554642843326878</v>
      </c>
      <c r="U381" s="258">
        <f>IF('Dry_Litterbag Placem_Collection'!E162="","",'Dry_Litterbag Placem_Collection'!E162)</f>
        <v>42939</v>
      </c>
      <c r="V381" s="258">
        <f>IF('Dry_Litterbag Placem_Collection'!G162="","",'Dry_Litterbag Placem_Collection'!G162)</f>
        <v>43010</v>
      </c>
      <c r="W381" s="259">
        <f t="shared" si="25"/>
        <v>71</v>
      </c>
      <c r="X381" s="257">
        <f t="shared" si="28"/>
        <v>0.32640000000000002</v>
      </c>
      <c r="Y381" s="257">
        <f t="shared" si="29"/>
        <v>0.36474069810286003</v>
      </c>
      <c r="Z381" s="261">
        <f>IFERROR(INDEX([3]Rainfall_Dry!$O$2:$O$217,MATCH(C381, [3]Rainfall_Dry!$A$2:$A$217,0)),"")</f>
        <v>137.19979645800001</v>
      </c>
      <c r="AA381" s="250">
        <v>27.96</v>
      </c>
      <c r="AB381" s="250">
        <v>4.9200000000000017</v>
      </c>
      <c r="AC381" s="250">
        <v>67.12</v>
      </c>
      <c r="AD381" s="251" t="s">
        <v>2651</v>
      </c>
      <c r="AE381" s="250">
        <v>8.0437161163134494</v>
      </c>
      <c r="AF381">
        <f>IF('WetLitterbags placem_collection'!AB162="","",'WetLitterbags placem_collection'!AB162)</f>
        <v>0.8</v>
      </c>
      <c r="AG381">
        <f>IF('WetLitterbags placem_collection'!Z162="","",'WetLitterbags placem_collection'!Z162)</f>
        <v>10.8</v>
      </c>
      <c r="AH381" s="236" t="str">
        <f>IF('WetLitterbags placem_collection'!AA162="","",'WetLitterbags placem_collection'!AA162)</f>
        <v>O</v>
      </c>
      <c r="AI381">
        <f>IF('WetLitterbags placem_collection'!AC162="","",'WetLitterbags placem_collection'!AC162)</f>
        <v>0</v>
      </c>
      <c r="AJ381">
        <f>IFERROR(AVERAGE('Dry_Litterbag Placem_Collection'!O162,'Dry_Litterbag Placem_Collection'!R162),"")</f>
        <v>6.25</v>
      </c>
      <c r="AK381" s="261">
        <f>IFERROR(AVERAGE('Dry_Litterbag Placem_Collection'!N162,'Dry_Litterbag Placem_Collection'!Q162),"")</f>
        <v>29.200000000000003</v>
      </c>
      <c r="AL381" s="260">
        <f>INDEX([2]Coordinates!$B$2:$B$197,MATCH(I381,[2]Coordinates!$J$2:$J$197,0))</f>
        <v>-2.367547005</v>
      </c>
      <c r="AM381" s="260">
        <f>INDEX([2]Coordinates!$C$2:$C$197,MATCH(I381,[2]Coordinates!$J$2:$J$197,0))</f>
        <v>34.059494989999997</v>
      </c>
      <c r="AN381" s="260" t="str">
        <f>IF(ISNUMBER(SEARCH("C", 'Dry_Litterbag Placem_Collection'!T162)),"YES","NO")</f>
        <v>NO</v>
      </c>
      <c r="AO381" s="260" t="str">
        <f>IF(ISNUMBER(SEARCH("H", 'Dry_Litterbag Placem_Collection'!T162)),"YES","NO")</f>
        <v>YES</v>
      </c>
      <c r="AP381" s="260" t="str">
        <f>IF(ISNUMBER(SEARCH("R", 'Dry_Litterbag Placem_Collection'!T162)),"YES","NO")</f>
        <v>NO</v>
      </c>
    </row>
    <row r="382" spans="1:42" ht="15" customHeight="1">
      <c r="A382" t="s">
        <v>3248</v>
      </c>
      <c r="B382" s="252" t="s">
        <v>2643</v>
      </c>
      <c r="C382" s="253">
        <f>'Dry_Litterbag Placem_Collection'!A163</f>
        <v>161</v>
      </c>
      <c r="D382" s="253" t="str">
        <f>'Dry_Litterbag Placem_Collection'!B163</f>
        <v>Handajega</v>
      </c>
      <c r="E382" s="253" t="s">
        <v>2454</v>
      </c>
      <c r="F382" s="253" t="s">
        <v>2645</v>
      </c>
      <c r="G382" s="253">
        <v>1</v>
      </c>
      <c r="H382" s="253" t="s">
        <v>3126</v>
      </c>
      <c r="I382" s="254" t="str">
        <f>'Dry_Litterbag Placem_Collection'!C163</f>
        <v>Wet_W1_T1</v>
      </c>
      <c r="J382" s="255" t="s">
        <v>2525</v>
      </c>
      <c r="K382" s="262" t="s">
        <v>298</v>
      </c>
      <c r="L382" s="253" t="str">
        <f>IF(ISBLANK('Dry_Litterbag Placem_Collection'!K163),"","R"&amp;""&amp;'Dry_Litterbag Placem_Collection'!K163)</f>
        <v>R673</v>
      </c>
      <c r="M382" s="257">
        <f>IFERROR(INDEX('Green_rooibos initial weight'!$C$5:$C$2000,MATCH(L382, 'Green_rooibos initial weight'!$A$5:$A$2000,0)),"")</f>
        <v>2.121</v>
      </c>
      <c r="N382" s="257">
        <f>IFERROR(M382-(TBIcalc!$Q$9+TBIcalc!$Q$10),"")</f>
        <v>1.8712</v>
      </c>
      <c r="O382" s="378">
        <f>AVERAGE(Ashed_controlls!$K$12:$K$14)</f>
        <v>2.2816647271287041</v>
      </c>
      <c r="P382" s="257">
        <f t="shared" si="26"/>
        <v>1.8285054896259676</v>
      </c>
      <c r="Q382" s="257">
        <f>IFERROR(INDEX('Both teabags AfterDry'!$D$2:$D$2000,MATCH(L382,'Both teabags AfterDry'!$A$2:$A$2000,0)),"")</f>
        <v>1.1623000000000001</v>
      </c>
      <c r="R382" s="257">
        <f>IFERROR(IF(Q382&gt;0,Q382-(TBIcalc!$Q$9),""),"")</f>
        <v>1.0117</v>
      </c>
      <c r="S382" s="268">
        <f>IFERROR(INDEX('Ashed teabags dry'!$K$2:$K$2000,MATCH(L382,'Ashed teabags dry'!$A$2:$A$2000,0)),"")</f>
        <v>32.285429141716598</v>
      </c>
      <c r="T382" s="268">
        <f t="shared" si="27"/>
        <v>0.68506831337325313</v>
      </c>
      <c r="U382" s="258">
        <f>IF('Dry_Litterbag Placem_Collection'!E163="","",'Dry_Litterbag Placem_Collection'!E163)</f>
        <v>42940</v>
      </c>
      <c r="V382" s="258">
        <f>IF('Dry_Litterbag Placem_Collection'!G163="","",'Dry_Litterbag Placem_Collection'!G163)</f>
        <v>43009</v>
      </c>
      <c r="W382" s="259">
        <f t="shared" si="25"/>
        <v>69</v>
      </c>
      <c r="X382" s="257">
        <f t="shared" si="28"/>
        <v>0.85949999999999993</v>
      </c>
      <c r="Y382" s="257">
        <f t="shared" si="29"/>
        <v>1.1434371762527145</v>
      </c>
      <c r="Z382" s="261">
        <f>IFERROR(INDEX([3]Rainfall_Dry!$O$2:$O$217,MATCH(C382, [3]Rainfall_Dry!$A$2:$A$217,0)),"")</f>
        <v>162.634207253</v>
      </c>
      <c r="AA382" s="250">
        <v>21.96</v>
      </c>
      <c r="AB382" s="250">
        <v>4.9199999999999982</v>
      </c>
      <c r="AC382" s="250">
        <v>73.12</v>
      </c>
      <c r="AD382" s="251" t="s">
        <v>2651</v>
      </c>
      <c r="AE382" s="250">
        <v>1.2416954164613114</v>
      </c>
      <c r="AF382">
        <f>IF('WetLitterbags placem_collection'!AB163="","",'WetLitterbags placem_collection'!AB163)</f>
        <v>7.6</v>
      </c>
      <c r="AG382">
        <f>IF('WetLitterbags placem_collection'!Z163="","",'WetLitterbags placem_collection'!Z163)</f>
        <v>35.799999999999997</v>
      </c>
      <c r="AH382" s="236" t="str">
        <f>IF('WetLitterbags placem_collection'!AA163="","",'WetLitterbags placem_collection'!AA163)</f>
        <v>M</v>
      </c>
      <c r="AI382">
        <f>IF('WetLitterbags placem_collection'!AC163="","",'WetLitterbags placem_collection'!AC163)</f>
        <v>0</v>
      </c>
      <c r="AJ382">
        <f>IFERROR(AVERAGE('Dry_Litterbag Placem_Collection'!O163,'Dry_Litterbag Placem_Collection'!R163),"")</f>
        <v>5.65</v>
      </c>
      <c r="AK382" s="261">
        <f>IFERROR(AVERAGE('Dry_Litterbag Placem_Collection'!N163,'Dry_Litterbag Placem_Collection'!Q163),"")</f>
        <v>31.7</v>
      </c>
      <c r="AL382" s="260">
        <f>INDEX([2]Coordinates!$B$2:$B$197,MATCH(I382,[2]Coordinates!$J$2:$J$197,0))</f>
        <v>-2.272751033</v>
      </c>
      <c r="AM382" s="260">
        <f>INDEX([2]Coordinates!$C$2:$C$197,MATCH(I382,[2]Coordinates!$J$2:$J$197,0))</f>
        <v>34.023176030000002</v>
      </c>
      <c r="AN382" s="260" t="str">
        <f>IF(ISNUMBER(SEARCH("C", 'Dry_Litterbag Placem_Collection'!T163)),"YES","NO")</f>
        <v>NO</v>
      </c>
      <c r="AO382" s="260" t="str">
        <f>IF(ISNUMBER(SEARCH("H", 'Dry_Litterbag Placem_Collection'!T163)),"YES","NO")</f>
        <v>YES</v>
      </c>
      <c r="AP382" s="260" t="str">
        <f>IF(ISNUMBER(SEARCH("R", 'Dry_Litterbag Placem_Collection'!T163)),"YES","NO")</f>
        <v>NO</v>
      </c>
    </row>
    <row r="383" spans="1:42" ht="15" customHeight="1">
      <c r="A383" t="s">
        <v>3248</v>
      </c>
      <c r="B383" s="252" t="s">
        <v>2643</v>
      </c>
      <c r="C383" s="253">
        <f>'Dry_Litterbag Placem_Collection'!A164</f>
        <v>162</v>
      </c>
      <c r="D383" s="253" t="str">
        <f>'Dry_Litterbag Placem_Collection'!B164</f>
        <v>Handajega</v>
      </c>
      <c r="E383" s="253" t="s">
        <v>2454</v>
      </c>
      <c r="F383" s="253" t="s">
        <v>2645</v>
      </c>
      <c r="G383" s="253">
        <v>1</v>
      </c>
      <c r="H383" s="253" t="s">
        <v>3126</v>
      </c>
      <c r="I383" s="254" t="str">
        <f>'Dry_Litterbag Placem_Collection'!C164</f>
        <v>Wet_W1_T2</v>
      </c>
      <c r="J383" s="255" t="s">
        <v>2525</v>
      </c>
      <c r="K383" s="262" t="s">
        <v>298</v>
      </c>
      <c r="L383" s="253" t="str">
        <f>IF(ISBLANK('Dry_Litterbag Placem_Collection'!K164),"","R"&amp;""&amp;'Dry_Litterbag Placem_Collection'!K164)</f>
        <v>R814</v>
      </c>
      <c r="M383" s="257">
        <f>IFERROR(INDEX('Green_rooibos initial weight'!$C$5:$C$2000,MATCH(L383, 'Green_rooibos initial weight'!$A$5:$A$2000,0)),"")</f>
        <v>2.2210000000000001</v>
      </c>
      <c r="N383" s="257">
        <f>IFERROR(M383-(TBIcalc!$Q$9+TBIcalc!$Q$10),"")</f>
        <v>1.9712000000000001</v>
      </c>
      <c r="O383" s="378">
        <f>AVERAGE(Ashed_controlls!$K$12:$K$14)</f>
        <v>2.2816647271287041</v>
      </c>
      <c r="P383" s="257">
        <f t="shared" si="26"/>
        <v>1.926223824898839</v>
      </c>
      <c r="Q383" s="257">
        <f>IFERROR(INDEX('Both teabags AfterDry'!$D$2:$D$2000,MATCH(L383,'Both teabags AfterDry'!$A$2:$A$2000,0)),"")</f>
        <v>2.4714999999999998</v>
      </c>
      <c r="R383" s="257">
        <f>IFERROR(IF(Q383&gt;0,Q383-(TBIcalc!$Q$9),""),"")</f>
        <v>2.3209</v>
      </c>
      <c r="S383" s="268">
        <f>IFERROR(INDEX('Ashed teabags dry'!$K$2:$K$2000,MATCH(L383,'Ashed teabags dry'!$A$2:$A$2000,0)),"")</f>
        <v>91.237322515213222</v>
      </c>
      <c r="T383" s="268">
        <f t="shared" si="27"/>
        <v>0.20337298174441631</v>
      </c>
      <c r="U383" s="258">
        <f>IF('Dry_Litterbag Placem_Collection'!E164="","",'Dry_Litterbag Placem_Collection'!E164)</f>
        <v>42940</v>
      </c>
      <c r="V383" s="258">
        <f>IF('Dry_Litterbag Placem_Collection'!G164="","",'Dry_Litterbag Placem_Collection'!G164)</f>
        <v>43009</v>
      </c>
      <c r="W383" s="259">
        <f t="shared" si="25"/>
        <v>69</v>
      </c>
      <c r="X383" s="257">
        <f t="shared" si="28"/>
        <v>-0.3496999999999999</v>
      </c>
      <c r="Y383" s="257">
        <f t="shared" si="29"/>
        <v>1.7228508431544227</v>
      </c>
      <c r="Z383" s="261">
        <f>IFERROR(INDEX([3]Rainfall_Dry!$O$2:$O$217,MATCH(C383, [3]Rainfall_Dry!$A$2:$A$217,0)),"")</f>
        <v>162.634207253</v>
      </c>
      <c r="AA383" s="250">
        <v>21.96</v>
      </c>
      <c r="AB383" s="250">
        <v>4.9199999999999982</v>
      </c>
      <c r="AC383" s="250">
        <v>73.12</v>
      </c>
      <c r="AD383" s="251" t="s">
        <v>2651</v>
      </c>
      <c r="AE383" s="250">
        <v>2.2416954164613099</v>
      </c>
      <c r="AF383">
        <f>IF('WetLitterbags placem_collection'!AB164="","",'WetLitterbags placem_collection'!AB164)</f>
        <v>4.0999999999999996</v>
      </c>
      <c r="AG383">
        <f>IF('WetLitterbags placem_collection'!Z164="","",'WetLitterbags placem_collection'!Z164)</f>
        <v>31.4</v>
      </c>
      <c r="AH383" s="236" t="str">
        <f>IF('WetLitterbags placem_collection'!AA164="","",'WetLitterbags placem_collection'!AA164)</f>
        <v>M</v>
      </c>
      <c r="AI383">
        <f>IF('WetLitterbags placem_collection'!AC164="","",'WetLitterbags placem_collection'!AC164)</f>
        <v>0</v>
      </c>
      <c r="AJ383">
        <f>IFERROR(AVERAGE('Dry_Litterbag Placem_Collection'!O164,'Dry_Litterbag Placem_Collection'!R164),"")</f>
        <v>4.4499999999999993</v>
      </c>
      <c r="AK383" s="261">
        <f>IFERROR(AVERAGE('Dry_Litterbag Placem_Collection'!N164,'Dry_Litterbag Placem_Collection'!Q164),"")</f>
        <v>31.650000000000002</v>
      </c>
      <c r="AL383" s="260">
        <f>INDEX([2]Coordinates!$B$2:$B$197,MATCH(I383,[2]Coordinates!$J$2:$J$197,0))</f>
        <v>-2.2727060219999999</v>
      </c>
      <c r="AM383" s="260">
        <f>INDEX([2]Coordinates!$C$2:$C$197,MATCH(I383,[2]Coordinates!$J$2:$J$197,0))</f>
        <v>34.023162030000002</v>
      </c>
      <c r="AN383" s="260" t="str">
        <f>IF(ISNUMBER(SEARCH("C", 'Dry_Litterbag Placem_Collection'!T164)),"YES","NO")</f>
        <v>YES</v>
      </c>
      <c r="AO383" s="260" t="str">
        <f>IF(ISNUMBER(SEARCH("H", 'Dry_Litterbag Placem_Collection'!T164)),"YES","NO")</f>
        <v>YES</v>
      </c>
      <c r="AP383" s="260" t="str">
        <f>IF(ISNUMBER(SEARCH("R", 'Dry_Litterbag Placem_Collection'!T164)),"YES","NO")</f>
        <v>NO</v>
      </c>
    </row>
    <row r="384" spans="1:42" ht="15" customHeight="1">
      <c r="A384" t="s">
        <v>3248</v>
      </c>
      <c r="B384" s="252" t="s">
        <v>2643</v>
      </c>
      <c r="C384" s="253">
        <f>'Dry_Litterbag Placem_Collection'!A165</f>
        <v>163</v>
      </c>
      <c r="D384" s="253" t="str">
        <f>'Dry_Litterbag Placem_Collection'!B165</f>
        <v>Handajega</v>
      </c>
      <c r="E384" s="253" t="s">
        <v>2454</v>
      </c>
      <c r="F384" s="253" t="s">
        <v>2645</v>
      </c>
      <c r="G384" s="253">
        <v>1</v>
      </c>
      <c r="H384" s="253" t="s">
        <v>3126</v>
      </c>
      <c r="I384" s="254" t="str">
        <f>'Dry_Litterbag Placem_Collection'!C165</f>
        <v>Wet_W1_T3</v>
      </c>
      <c r="J384" s="255" t="s">
        <v>2525</v>
      </c>
      <c r="K384" s="262" t="s">
        <v>298</v>
      </c>
      <c r="L384" s="253" t="str">
        <f>IF(ISBLANK('Dry_Litterbag Placem_Collection'!K165),"","R"&amp;""&amp;'Dry_Litterbag Placem_Collection'!K165)</f>
        <v>R615</v>
      </c>
      <c r="M384" s="257">
        <f>IFERROR(INDEX('Green_rooibos initial weight'!$C$5:$C$2000,MATCH(L384, 'Green_rooibos initial weight'!$A$5:$A$2000,0)),"")</f>
        <v>2.157</v>
      </c>
      <c r="N384" s="257">
        <f>IFERROR(M384-(TBIcalc!$Q$9+TBIcalc!$Q$10),"")</f>
        <v>1.9072</v>
      </c>
      <c r="O384" s="378">
        <f>AVERAGE(Ashed_controlls!$K$12:$K$14)</f>
        <v>2.2816647271287041</v>
      </c>
      <c r="P384" s="257">
        <f t="shared" si="26"/>
        <v>1.8636840903242013</v>
      </c>
      <c r="Q384" s="257">
        <f>IFERROR(INDEX('Both teabags AfterDry'!$D$2:$D$2000,MATCH(L384,'Both teabags AfterDry'!$A$2:$A$2000,0)),"")</f>
        <v>1.4872000000000001</v>
      </c>
      <c r="R384" s="257">
        <f>IFERROR(IF(Q384&gt;0,Q384-(TBIcalc!$Q$9),""),"")</f>
        <v>1.3366</v>
      </c>
      <c r="S384" s="268">
        <f>IFERROR(INDEX('Ashed teabags dry'!$K$2:$K$2000,MATCH(L384,'Ashed teabags dry'!$A$2:$A$2000,0)),"")</f>
        <v>30.154767848227259</v>
      </c>
      <c r="T384" s="268">
        <f t="shared" si="27"/>
        <v>0.93355137294059443</v>
      </c>
      <c r="U384" s="258">
        <f>IF('Dry_Litterbag Placem_Collection'!E165="","",'Dry_Litterbag Placem_Collection'!E165)</f>
        <v>42940</v>
      </c>
      <c r="V384" s="258">
        <f>IF('Dry_Litterbag Placem_Collection'!G165="","",'Dry_Litterbag Placem_Collection'!G165)</f>
        <v>43009</v>
      </c>
      <c r="W384" s="259">
        <f t="shared" si="25"/>
        <v>69</v>
      </c>
      <c r="X384" s="257">
        <f t="shared" si="28"/>
        <v>0.5706</v>
      </c>
      <c r="Y384" s="257">
        <f t="shared" si="29"/>
        <v>0.93013271738360692</v>
      </c>
      <c r="Z384" s="261">
        <f>IFERROR(INDEX([3]Rainfall_Dry!$O$2:$O$217,MATCH(C384, [3]Rainfall_Dry!$A$2:$A$217,0)),"")</f>
        <v>162.634207253</v>
      </c>
      <c r="AA384" s="250">
        <v>21.96</v>
      </c>
      <c r="AB384" s="250">
        <v>4.9199999999999982</v>
      </c>
      <c r="AC384" s="250">
        <v>73.12</v>
      </c>
      <c r="AD384" s="251" t="s">
        <v>2651</v>
      </c>
      <c r="AE384" s="250">
        <v>3.2416954164613099</v>
      </c>
      <c r="AF384">
        <f>IF('WetLitterbags placem_collection'!AB165="","",'WetLitterbags placem_collection'!AB165)</f>
        <v>7.8</v>
      </c>
      <c r="AG384">
        <f>IF('WetLitterbags placem_collection'!Z165="","",'WetLitterbags placem_collection'!Z165)</f>
        <v>28.8</v>
      </c>
      <c r="AH384" s="236" t="str">
        <f>IF('WetLitterbags placem_collection'!AA165="","",'WetLitterbags placem_collection'!AA165)</f>
        <v>M</v>
      </c>
      <c r="AI384">
        <f>IF('WetLitterbags placem_collection'!AC165="","",'WetLitterbags placem_collection'!AC165)</f>
        <v>0</v>
      </c>
      <c r="AJ384">
        <f>IFERROR(AVERAGE('Dry_Litterbag Placem_Collection'!O165,'Dry_Litterbag Placem_Collection'!R165),"")</f>
        <v>4.45</v>
      </c>
      <c r="AK384" s="261">
        <f>IFERROR(AVERAGE('Dry_Litterbag Placem_Collection'!N165,'Dry_Litterbag Placem_Collection'!Q165),"")</f>
        <v>32.75</v>
      </c>
      <c r="AL384" s="260">
        <f>INDEX([2]Coordinates!$B$2:$B$197,MATCH(I384,[2]Coordinates!$J$2:$J$197,0))</f>
        <v>-2.2726719919999998</v>
      </c>
      <c r="AM384" s="260">
        <f>INDEX([2]Coordinates!$C$2:$C$197,MATCH(I384,[2]Coordinates!$J$2:$J$197,0))</f>
        <v>34.023210980000002</v>
      </c>
      <c r="AN384" s="260" t="str">
        <f>IF(ISNUMBER(SEARCH("C", 'Dry_Litterbag Placem_Collection'!T165)),"YES","NO")</f>
        <v>NO</v>
      </c>
      <c r="AO384" s="260" t="str">
        <f>IF(ISNUMBER(SEARCH("H", 'Dry_Litterbag Placem_Collection'!T165)),"YES","NO")</f>
        <v>YES</v>
      </c>
      <c r="AP384" s="260" t="str">
        <f>IF(ISNUMBER(SEARCH("R", 'Dry_Litterbag Placem_Collection'!T165)),"YES","NO")</f>
        <v>NO</v>
      </c>
    </row>
    <row r="385" spans="1:42" ht="15" customHeight="1">
      <c r="A385" t="s">
        <v>3248</v>
      </c>
      <c r="B385" s="252" t="s">
        <v>2643</v>
      </c>
      <c r="C385" s="253">
        <f>'Dry_Litterbag Placem_Collection'!A166</f>
        <v>164</v>
      </c>
      <c r="D385" s="253" t="str">
        <f>'Dry_Litterbag Placem_Collection'!B166</f>
        <v>Handajega</v>
      </c>
      <c r="E385" s="253" t="s">
        <v>2454</v>
      </c>
      <c r="F385" s="253" t="s">
        <v>2645</v>
      </c>
      <c r="G385" s="253">
        <v>1</v>
      </c>
      <c r="H385" s="253" t="s">
        <v>3126</v>
      </c>
      <c r="I385" s="254" t="str">
        <f>'Dry_Litterbag Placem_Collection'!C166</f>
        <v>Wet_W1_T4</v>
      </c>
      <c r="J385" s="255" t="s">
        <v>2525</v>
      </c>
      <c r="K385" s="262" t="s">
        <v>298</v>
      </c>
      <c r="L385" s="253" t="str">
        <f>IF(ISBLANK('Dry_Litterbag Placem_Collection'!K166),"","R"&amp;""&amp;'Dry_Litterbag Placem_Collection'!K166)</f>
        <v>R514</v>
      </c>
      <c r="M385" s="257">
        <f>IFERROR(INDEX('Green_rooibos initial weight'!$C$5:$C$2000,MATCH(L385, 'Green_rooibos initial weight'!$A$5:$A$2000,0)),"")</f>
        <v>2.1059999999999999</v>
      </c>
      <c r="N385" s="257">
        <f>IFERROR(M385-(TBIcalc!$Q$9+TBIcalc!$Q$10),"")</f>
        <v>1.8561999999999999</v>
      </c>
      <c r="O385" s="378">
        <f>AVERAGE(Ashed_controlls!$K$12:$K$14)</f>
        <v>2.2816647271287041</v>
      </c>
      <c r="P385" s="257">
        <f t="shared" si="26"/>
        <v>1.8138477393350367</v>
      </c>
      <c r="Q385" s="257">
        <f>IFERROR(INDEX('Both teabags AfterDry'!$D$2:$D$2000,MATCH(L385,'Both teabags AfterDry'!$A$2:$A$2000,0)),"")</f>
        <v>1.8293999999999999</v>
      </c>
      <c r="R385" s="257">
        <f>IFERROR(IF(Q385&gt;0,Q385-(TBIcalc!$Q$9),""),"")</f>
        <v>1.6787999999999998</v>
      </c>
      <c r="S385" s="268">
        <f>IFERROR(INDEX('Ashed teabags dry'!$K$2:$K$2000,MATCH(L385,'Ashed teabags dry'!$A$2:$A$2000,0)),"")</f>
        <v>11.27856101118171</v>
      </c>
      <c r="T385" s="268">
        <f t="shared" si="27"/>
        <v>1.4894555177442814</v>
      </c>
      <c r="U385" s="258">
        <f>IF('Dry_Litterbag Placem_Collection'!E166="","",'Dry_Litterbag Placem_Collection'!E166)</f>
        <v>42940</v>
      </c>
      <c r="V385" s="258">
        <f>IF('Dry_Litterbag Placem_Collection'!G166="","",'Dry_Litterbag Placem_Collection'!G166)</f>
        <v>43009</v>
      </c>
      <c r="W385" s="259">
        <f t="shared" si="25"/>
        <v>69</v>
      </c>
      <c r="X385" s="257">
        <f t="shared" si="28"/>
        <v>0.1774</v>
      </c>
      <c r="Y385" s="257">
        <f t="shared" si="29"/>
        <v>0.32439222159075531</v>
      </c>
      <c r="Z385" s="261">
        <f>IFERROR(INDEX([3]Rainfall_Dry!$O$2:$O$217,MATCH(C385, [3]Rainfall_Dry!$A$2:$A$217,0)),"")</f>
        <v>162.634207253</v>
      </c>
      <c r="AA385" s="250">
        <v>21.96</v>
      </c>
      <c r="AB385" s="250">
        <v>4.9199999999999982</v>
      </c>
      <c r="AC385" s="250">
        <v>73.12</v>
      </c>
      <c r="AD385" s="251" t="s">
        <v>2651</v>
      </c>
      <c r="AE385" s="250">
        <v>4.2416954164613099</v>
      </c>
      <c r="AF385">
        <f>IF('WetLitterbags placem_collection'!AB166="","",'WetLitterbags placem_collection'!AB166)</f>
        <v>9.5</v>
      </c>
      <c r="AG385">
        <f>IF('WetLitterbags placem_collection'!Z166="","",'WetLitterbags placem_collection'!Z166)</f>
        <v>20.8</v>
      </c>
      <c r="AH385" s="236" t="str">
        <f>IF('WetLitterbags placem_collection'!AA166="","",'WetLitterbags placem_collection'!AA166)</f>
        <v>M</v>
      </c>
      <c r="AI385">
        <f>IF('WetLitterbags placem_collection'!AC166="","",'WetLitterbags placem_collection'!AC166)</f>
        <v>0</v>
      </c>
      <c r="AJ385">
        <f>IFERROR(AVERAGE('Dry_Litterbag Placem_Collection'!O166,'Dry_Litterbag Placem_Collection'!R166),"")</f>
        <v>5.0500000000000007</v>
      </c>
      <c r="AK385" s="261">
        <f>IFERROR(AVERAGE('Dry_Litterbag Placem_Collection'!N166,'Dry_Litterbag Placem_Collection'!Q166),"")</f>
        <v>31.3</v>
      </c>
      <c r="AL385" s="260">
        <f>INDEX([2]Coordinates!$B$2:$B$197,MATCH(I385,[2]Coordinates!$J$2:$J$197,0))</f>
        <v>-2.2726180130000002</v>
      </c>
      <c r="AM385" s="260">
        <f>INDEX([2]Coordinates!$C$2:$C$197,MATCH(I385,[2]Coordinates!$J$2:$J$197,0))</f>
        <v>34.023212999999998</v>
      </c>
      <c r="AN385" s="260" t="str">
        <f>IF(ISNUMBER(SEARCH("C", 'Dry_Litterbag Placem_Collection'!T166)),"YES","NO")</f>
        <v>NO</v>
      </c>
      <c r="AO385" s="260" t="str">
        <f>IF(ISNUMBER(SEARCH("H", 'Dry_Litterbag Placem_Collection'!T166)),"YES","NO")</f>
        <v>NO</v>
      </c>
      <c r="AP385" s="260" t="str">
        <f>IF(ISNUMBER(SEARCH("R", 'Dry_Litterbag Placem_Collection'!T166)),"YES","NO")</f>
        <v>NO</v>
      </c>
    </row>
    <row r="386" spans="1:42" ht="15" customHeight="1">
      <c r="A386" t="s">
        <v>3248</v>
      </c>
      <c r="B386" s="252" t="s">
        <v>2643</v>
      </c>
      <c r="C386" s="253">
        <f>'Dry_Litterbag Placem_Collection'!A167</f>
        <v>165</v>
      </c>
      <c r="D386" s="253" t="str">
        <f>'Dry_Litterbag Placem_Collection'!B167</f>
        <v>Handajega</v>
      </c>
      <c r="E386" s="253" t="s">
        <v>2454</v>
      </c>
      <c r="F386" s="253" t="s">
        <v>2645</v>
      </c>
      <c r="G386" s="253">
        <v>1</v>
      </c>
      <c r="H386" s="253" t="s">
        <v>3126</v>
      </c>
      <c r="I386" s="254" t="str">
        <f>'Dry_Litterbag Placem_Collection'!C167</f>
        <v>Wet_W1_T5</v>
      </c>
      <c r="J386" s="255" t="s">
        <v>2525</v>
      </c>
      <c r="K386" s="262" t="s">
        <v>298</v>
      </c>
      <c r="L386" s="253" t="str">
        <f>IF(ISBLANK('Dry_Litterbag Placem_Collection'!K167),"","R"&amp;""&amp;'Dry_Litterbag Placem_Collection'!K167)</f>
        <v>R127</v>
      </c>
      <c r="M386" s="257">
        <f>IFERROR(INDEX('Green_rooibos initial weight'!$C$5:$C$2000,MATCH(L386, 'Green_rooibos initial weight'!$A$5:$A$2000,0)),"")</f>
        <v>2.1869999999999998</v>
      </c>
      <c r="N386" s="257">
        <f>IFERROR(M386-(TBIcalc!$Q$9+TBIcalc!$Q$10),"")</f>
        <v>1.9371999999999998</v>
      </c>
      <c r="O386" s="378">
        <f>AVERAGE(Ashed_controlls!$K$12:$K$14)</f>
        <v>2.2816647271287041</v>
      </c>
      <c r="P386" s="257">
        <f t="shared" si="26"/>
        <v>1.8929995909060626</v>
      </c>
      <c r="Q386" s="257">
        <f>IFERROR(INDEX('Both teabags AfterDry'!$D$2:$D$2000,MATCH(L386,'Both teabags AfterDry'!$A$2:$A$2000,0)),"")</f>
        <v>1.7946</v>
      </c>
      <c r="R386" s="257">
        <f>IFERROR(IF(Q386&gt;0,Q386-(TBIcalc!$Q$9),""),"")</f>
        <v>1.6439999999999999</v>
      </c>
      <c r="S386" s="268">
        <f>IFERROR(INDEX('Ashed teabags dry'!$K$2:$K$2000,MATCH(L386,'Ashed teabags dry'!$A$2:$A$2000,0)),"")</f>
        <v>16.392649903288074</v>
      </c>
      <c r="T386" s="268">
        <f t="shared" si="27"/>
        <v>1.3745048355899441</v>
      </c>
      <c r="U386" s="258">
        <f>IF('Dry_Litterbag Placem_Collection'!E167="","",'Dry_Litterbag Placem_Collection'!E167)</f>
        <v>42940</v>
      </c>
      <c r="V386" s="258">
        <f>IF('Dry_Litterbag Placem_Collection'!G167="","",'Dry_Litterbag Placem_Collection'!G167)</f>
        <v>43009</v>
      </c>
      <c r="W386" s="259">
        <f t="shared" ref="W386:W449" si="30">IFERROR(V386-U386,"")</f>
        <v>69</v>
      </c>
      <c r="X386" s="257">
        <f t="shared" si="28"/>
        <v>0.29319999999999991</v>
      </c>
      <c r="Y386" s="257">
        <f t="shared" si="29"/>
        <v>0.51849475531611855</v>
      </c>
      <c r="Z386" s="261">
        <f>IFERROR(INDEX([3]Rainfall_Dry!$O$2:$O$217,MATCH(C386, [3]Rainfall_Dry!$A$2:$A$217,0)),"")</f>
        <v>162.634207253</v>
      </c>
      <c r="AA386" s="250">
        <v>21.96</v>
      </c>
      <c r="AB386" s="250">
        <v>4.9199999999999982</v>
      </c>
      <c r="AC386" s="250">
        <v>73.12</v>
      </c>
      <c r="AD386" s="251" t="s">
        <v>2651</v>
      </c>
      <c r="AE386" s="250">
        <v>5.2416954164613099</v>
      </c>
      <c r="AF386">
        <f>IF('WetLitterbags placem_collection'!AB167="","",'WetLitterbags placem_collection'!AB167)</f>
        <v>10.4</v>
      </c>
      <c r="AG386">
        <f>IF('WetLitterbags placem_collection'!Z167="","",'WetLitterbags placem_collection'!Z167)</f>
        <v>13.8</v>
      </c>
      <c r="AH386" s="236" t="str">
        <f>IF('WetLitterbags placem_collection'!AA167="","",'WetLitterbags placem_collection'!AA167)</f>
        <v>M</v>
      </c>
      <c r="AI386">
        <f>IF('WetLitterbags placem_collection'!AC167="","",'WetLitterbags placem_collection'!AC167)</f>
        <v>0</v>
      </c>
      <c r="AJ386">
        <f>IFERROR(AVERAGE('Dry_Litterbag Placem_Collection'!O167,'Dry_Litterbag Placem_Collection'!R167),"")</f>
        <v>5.3000000000000007</v>
      </c>
      <c r="AK386" s="261">
        <f>IFERROR(AVERAGE('Dry_Litterbag Placem_Collection'!N167,'Dry_Litterbag Placem_Collection'!Q167),"")</f>
        <v>32.049999999999997</v>
      </c>
      <c r="AL386" s="260">
        <f>INDEX([2]Coordinates!$B$2:$B$197,MATCH(I386,[2]Coordinates!$J$2:$J$197,0))</f>
        <v>-2.2724750170000001</v>
      </c>
      <c r="AM386" s="260">
        <f>INDEX([2]Coordinates!$C$2:$C$197,MATCH(I386,[2]Coordinates!$J$2:$J$197,0))</f>
        <v>34.02334501</v>
      </c>
      <c r="AN386" s="260" t="str">
        <f>IF(ISNUMBER(SEARCH("C", 'Dry_Litterbag Placem_Collection'!T167)),"YES","NO")</f>
        <v>NO</v>
      </c>
      <c r="AO386" s="260" t="str">
        <f>IF(ISNUMBER(SEARCH("H", 'Dry_Litterbag Placem_Collection'!T167)),"YES","NO")</f>
        <v>NO</v>
      </c>
      <c r="AP386" s="260" t="str">
        <f>IF(ISNUMBER(SEARCH("R", 'Dry_Litterbag Placem_Collection'!T167)),"YES","NO")</f>
        <v>NO</v>
      </c>
    </row>
    <row r="387" spans="1:42" ht="15" customHeight="1">
      <c r="A387" t="s">
        <v>3248</v>
      </c>
      <c r="B387" s="252" t="s">
        <v>2643</v>
      </c>
      <c r="C387" s="253">
        <f>'Dry_Litterbag Placem_Collection'!A168</f>
        <v>166</v>
      </c>
      <c r="D387" s="253" t="str">
        <f>'Dry_Litterbag Placem_Collection'!B168</f>
        <v>Handajega</v>
      </c>
      <c r="E387" s="253" t="s">
        <v>2454</v>
      </c>
      <c r="F387" s="253" t="s">
        <v>2645</v>
      </c>
      <c r="G387" s="253">
        <v>1</v>
      </c>
      <c r="H387" s="253" t="s">
        <v>3126</v>
      </c>
      <c r="I387" s="254" t="str">
        <f>'Dry_Litterbag Placem_Collection'!C168</f>
        <v>Wet_W1_T6</v>
      </c>
      <c r="J387" s="255" t="s">
        <v>2525</v>
      </c>
      <c r="K387" s="262" t="s">
        <v>298</v>
      </c>
      <c r="L387" s="253" t="str">
        <f>IF(ISBLANK('Dry_Litterbag Placem_Collection'!K168),"","R"&amp;""&amp;'Dry_Litterbag Placem_Collection'!K168)</f>
        <v>R752</v>
      </c>
      <c r="M387" s="257">
        <f>IFERROR(INDEX('Green_rooibos initial weight'!$C$5:$C$2000,MATCH(L387, 'Green_rooibos initial weight'!$A$5:$A$2000,0)),"")</f>
        <v>2.1970000000000001</v>
      </c>
      <c r="N387" s="257">
        <f>IFERROR(M387-(TBIcalc!$Q$9+TBIcalc!$Q$10),"")</f>
        <v>1.9472</v>
      </c>
      <c r="O387" s="378">
        <f>AVERAGE(Ashed_controlls!$K$12:$K$14)</f>
        <v>2.2816647271287041</v>
      </c>
      <c r="P387" s="257">
        <f t="shared" ref="P387:P450" si="31">IFERROR(N387-(O387/100)*N387,"")</f>
        <v>1.90277142443335</v>
      </c>
      <c r="Q387" s="257">
        <f>IFERROR(INDEX('Both teabags AfterDry'!$D$2:$D$2000,MATCH(L387,'Both teabags AfterDry'!$A$2:$A$2000,0)),"")</f>
        <v>1.6897</v>
      </c>
      <c r="R387" s="257">
        <f>IFERROR(IF(Q387&gt;0,Q387-(TBIcalc!$Q$9),""),"")</f>
        <v>1.5390999999999999</v>
      </c>
      <c r="S387" s="268">
        <f>IFERROR(INDEX('Ashed teabags dry'!$K$2:$K$2000,MATCH(L387,'Ashed teabags dry'!$A$2:$A$2000,0)),"")</f>
        <v>8.4949215143121215</v>
      </c>
      <c r="T387" s="268">
        <f t="shared" ref="T387:T450" si="32">IFERROR(R387-(S387/100)*R387,"")</f>
        <v>1.408354662973222</v>
      </c>
      <c r="U387" s="258">
        <f>IF('Dry_Litterbag Placem_Collection'!E168="","",'Dry_Litterbag Placem_Collection'!E168)</f>
        <v>42940</v>
      </c>
      <c r="V387" s="258">
        <f>IF('Dry_Litterbag Placem_Collection'!G168="","",'Dry_Litterbag Placem_Collection'!G168)</f>
        <v>43009</v>
      </c>
      <c r="W387" s="259">
        <f t="shared" si="30"/>
        <v>69</v>
      </c>
      <c r="X387" s="257">
        <f t="shared" ref="X387:X450" si="33">IFERROR(N387-R387,"")</f>
        <v>0.40810000000000013</v>
      </c>
      <c r="Y387" s="257">
        <f t="shared" ref="Y387:Y450" si="34">IFERROR(P387-T387,"")</f>
        <v>0.49441676146012803</v>
      </c>
      <c r="Z387" s="261">
        <f>IFERROR(INDEX([3]Rainfall_Dry!$O$2:$O$217,MATCH(C387, [3]Rainfall_Dry!$A$2:$A$217,0)),"")</f>
        <v>162.634207253</v>
      </c>
      <c r="AA387" s="250">
        <v>21.96</v>
      </c>
      <c r="AB387" s="250">
        <v>4.9199999999999982</v>
      </c>
      <c r="AC387" s="250">
        <v>73.12</v>
      </c>
      <c r="AD387" s="251" t="s">
        <v>2651</v>
      </c>
      <c r="AE387" s="250">
        <v>6.2416954164613099</v>
      </c>
      <c r="AF387">
        <f>IF('WetLitterbags placem_collection'!AB168="","",'WetLitterbags placem_collection'!AB168)</f>
        <v>2.1</v>
      </c>
      <c r="AG387">
        <f>IF('WetLitterbags placem_collection'!Z168="","",'WetLitterbags placem_collection'!Z168)</f>
        <v>4.7</v>
      </c>
      <c r="AH387" s="236" t="str">
        <f>IF('WetLitterbags placem_collection'!AA168="","",'WetLitterbags placem_collection'!AA168)</f>
        <v>M</v>
      </c>
      <c r="AI387">
        <f>IF('WetLitterbags placem_collection'!AC168="","",'WetLitterbags placem_collection'!AC168)</f>
        <v>0</v>
      </c>
      <c r="AJ387">
        <f>IFERROR(AVERAGE('Dry_Litterbag Placem_Collection'!O168,'Dry_Litterbag Placem_Collection'!R168),"")</f>
        <v>5.15</v>
      </c>
      <c r="AK387" s="261">
        <f>IFERROR(AVERAGE('Dry_Litterbag Placem_Collection'!N168,'Dry_Litterbag Placem_Collection'!Q168),"")</f>
        <v>33.25</v>
      </c>
      <c r="AL387" s="260">
        <f>INDEX([2]Coordinates!$B$2:$B$197,MATCH(I387,[2]Coordinates!$J$2:$J$197,0))</f>
        <v>-2.2725490289999999</v>
      </c>
      <c r="AM387" s="260">
        <f>INDEX([2]Coordinates!$C$2:$C$197,MATCH(I387,[2]Coordinates!$J$2:$J$197,0))</f>
        <v>34.022886020000001</v>
      </c>
      <c r="AN387" s="260" t="str">
        <f>IF(ISNUMBER(SEARCH("C", 'Dry_Litterbag Placem_Collection'!T168)),"YES","NO")</f>
        <v>NO</v>
      </c>
      <c r="AO387" s="260" t="str">
        <f>IF(ISNUMBER(SEARCH("H", 'Dry_Litterbag Placem_Collection'!T168)),"YES","NO")</f>
        <v>NO</v>
      </c>
      <c r="AP387" s="260" t="str">
        <f>IF(ISNUMBER(SEARCH("R", 'Dry_Litterbag Placem_Collection'!T168)),"YES","NO")</f>
        <v>NO</v>
      </c>
    </row>
    <row r="388" spans="1:42" ht="15" customHeight="1">
      <c r="A388" t="s">
        <v>3248</v>
      </c>
      <c r="B388" s="252" t="s">
        <v>2643</v>
      </c>
      <c r="C388" s="253">
        <f>'Dry_Litterbag Placem_Collection'!A169</f>
        <v>167</v>
      </c>
      <c r="D388" s="253" t="str">
        <f>'Dry_Litterbag Placem_Collection'!B169</f>
        <v>Handajega</v>
      </c>
      <c r="E388" s="253" t="s">
        <v>2454</v>
      </c>
      <c r="F388" s="253" t="s">
        <v>2645</v>
      </c>
      <c r="G388" s="253">
        <v>1</v>
      </c>
      <c r="H388" s="253" t="s">
        <v>3126</v>
      </c>
      <c r="I388" s="254" t="str">
        <f>'Dry_Litterbag Placem_Collection'!C169</f>
        <v>Wet_W1_T7</v>
      </c>
      <c r="J388" s="255" t="s">
        <v>2525</v>
      </c>
      <c r="K388" s="262" t="s">
        <v>298</v>
      </c>
      <c r="L388" s="253" t="str">
        <f>IF(ISBLANK('Dry_Litterbag Placem_Collection'!K169),"","R"&amp;""&amp;'Dry_Litterbag Placem_Collection'!K169)</f>
        <v/>
      </c>
      <c r="M388" s="257" t="str">
        <f>IFERROR(INDEX('Green_rooibos initial weight'!$C$5:$C$2000,MATCH(L388, 'Green_rooibos initial weight'!$A$5:$A$2000,0)),"")</f>
        <v/>
      </c>
      <c r="N388" s="257" t="str">
        <f>IFERROR(M388-(TBIcalc!$Q$9+TBIcalc!$Q$10),"")</f>
        <v/>
      </c>
      <c r="O388" s="378">
        <f>AVERAGE(Ashed_controlls!$K$12:$K$14)</f>
        <v>2.2816647271287041</v>
      </c>
      <c r="P388" s="257" t="str">
        <f t="shared" si="31"/>
        <v/>
      </c>
      <c r="Q388" s="257" t="str">
        <f>IFERROR(INDEX('Both teabags AfterDry'!$D$2:$D$2000,MATCH(L388,'Both teabags AfterDry'!$A$2:$A$2000,0)),"")</f>
        <v/>
      </c>
      <c r="R388" s="257" t="str">
        <f>IFERROR(IF(Q388&gt;0,Q388-(TBIcalc!$Q$9),""),"")</f>
        <v/>
      </c>
      <c r="S388" s="268" t="str">
        <f>IFERROR(INDEX('Ashed teabags dry'!$K$2:$K$2000,MATCH(L388,'Ashed teabags dry'!$A$2:$A$2000,0)),"")</f>
        <v/>
      </c>
      <c r="T388" s="268" t="str">
        <f t="shared" si="32"/>
        <v/>
      </c>
      <c r="U388" s="258" t="str">
        <f>IF('Dry_Litterbag Placem_Collection'!E169="","",'Dry_Litterbag Placem_Collection'!E169)</f>
        <v/>
      </c>
      <c r="V388" s="258" t="str">
        <f>IF('Dry_Litterbag Placem_Collection'!G169="","",'Dry_Litterbag Placem_Collection'!G169)</f>
        <v/>
      </c>
      <c r="W388" s="259" t="str">
        <f t="shared" si="30"/>
        <v/>
      </c>
      <c r="X388" s="257" t="str">
        <f t="shared" si="33"/>
        <v/>
      </c>
      <c r="Y388" s="257" t="str">
        <f t="shared" si="34"/>
        <v/>
      </c>
      <c r="Z388" s="261" t="str">
        <f>IFERROR(INDEX([3]Rainfall_Dry!$O$2:$O$217,MATCH(C388, [3]Rainfall_Dry!$A$2:$A$217,0)),"")</f>
        <v/>
      </c>
      <c r="AA388" s="250">
        <v>21.96</v>
      </c>
      <c r="AB388" s="250">
        <v>4.9199999999999982</v>
      </c>
      <c r="AC388" s="250">
        <v>73.12</v>
      </c>
      <c r="AD388" s="251" t="s">
        <v>2651</v>
      </c>
      <c r="AE388" s="250">
        <v>7.2416954164613099</v>
      </c>
      <c r="AF388">
        <f>IF('WetLitterbags placem_collection'!AB169="","",'WetLitterbags placem_collection'!AB169)</f>
        <v>5.6</v>
      </c>
      <c r="AG388">
        <f>IF('WetLitterbags placem_collection'!Z169="","",'WetLitterbags placem_collection'!Z169)</f>
        <v>4.2</v>
      </c>
      <c r="AH388" s="236" t="str">
        <f>IF('WetLitterbags placem_collection'!AA169="","",'WetLitterbags placem_collection'!AA169)</f>
        <v>M</v>
      </c>
      <c r="AI388">
        <f>IF('WetLitterbags placem_collection'!AC169="","",'WetLitterbags placem_collection'!AC169)</f>
        <v>1</v>
      </c>
      <c r="AJ388" t="str">
        <f>IFERROR(AVERAGE('Dry_Litterbag Placem_Collection'!O169,'Dry_Litterbag Placem_Collection'!R169),"")</f>
        <v/>
      </c>
      <c r="AK388" s="261" t="str">
        <f>IFERROR(AVERAGE('Dry_Litterbag Placem_Collection'!N169,'Dry_Litterbag Placem_Collection'!Q169),"")</f>
        <v/>
      </c>
      <c r="AL388" s="260">
        <f>INDEX([2]Coordinates!$B$2:$B$197,MATCH(I388,[2]Coordinates!$J$2:$J$197,0))</f>
        <v>-2.2729950310000002</v>
      </c>
      <c r="AM388" s="260">
        <f>INDEX([2]Coordinates!$C$2:$C$197,MATCH(I388,[2]Coordinates!$J$2:$J$197,0))</f>
        <v>34.022923990000002</v>
      </c>
      <c r="AN388" s="260" t="str">
        <f>IF(ISNUMBER(SEARCH("C", 'Dry_Litterbag Placem_Collection'!T169)),"YES","NO")</f>
        <v>NO</v>
      </c>
      <c r="AO388" s="260" t="str">
        <f>IF(ISNUMBER(SEARCH("H", 'Dry_Litterbag Placem_Collection'!T169)),"YES","NO")</f>
        <v>NO</v>
      </c>
      <c r="AP388" s="260" t="str">
        <f>IF(ISNUMBER(SEARCH("R", 'Dry_Litterbag Placem_Collection'!T169)),"YES","NO")</f>
        <v>NO</v>
      </c>
    </row>
    <row r="389" spans="1:42" ht="15" customHeight="1">
      <c r="A389" t="s">
        <v>3248</v>
      </c>
      <c r="B389" s="252" t="s">
        <v>2643</v>
      </c>
      <c r="C389" s="253">
        <f>'Dry_Litterbag Placem_Collection'!A170</f>
        <v>168</v>
      </c>
      <c r="D389" s="253" t="str">
        <f>'Dry_Litterbag Placem_Collection'!B170</f>
        <v>Handajega</v>
      </c>
      <c r="E389" s="253" t="s">
        <v>2454</v>
      </c>
      <c r="F389" s="253" t="s">
        <v>2645</v>
      </c>
      <c r="G389" s="253">
        <v>1</v>
      </c>
      <c r="H389" s="253" t="s">
        <v>3126</v>
      </c>
      <c r="I389" s="254" t="str">
        <f>'Dry_Litterbag Placem_Collection'!C170</f>
        <v>Wet_W1_T8</v>
      </c>
      <c r="J389" s="255" t="s">
        <v>2525</v>
      </c>
      <c r="K389" s="262" t="s">
        <v>298</v>
      </c>
      <c r="L389" s="253" t="str">
        <f>IF(ISBLANK('Dry_Litterbag Placem_Collection'!K170),"","R"&amp;""&amp;'Dry_Litterbag Placem_Collection'!K170)</f>
        <v>R690</v>
      </c>
      <c r="M389" s="257">
        <f>IFERROR(INDEX('Green_rooibos initial weight'!$C$5:$C$2000,MATCH(L389, 'Green_rooibos initial weight'!$A$5:$A$2000,0)),"")</f>
        <v>2.141</v>
      </c>
      <c r="N389" s="257">
        <f>IFERROR(M389-(TBIcalc!$Q$9+TBIcalc!$Q$10),"")</f>
        <v>1.8912</v>
      </c>
      <c r="O389" s="378">
        <f>AVERAGE(Ashed_controlls!$K$12:$K$14)</f>
        <v>2.2816647271287041</v>
      </c>
      <c r="P389" s="257">
        <f t="shared" si="31"/>
        <v>1.8480491566805419</v>
      </c>
      <c r="Q389" s="257" t="str">
        <f>IFERROR(INDEX('Both teabags AfterDry'!$D$2:$D$2000,MATCH(L389,'Both teabags AfterDry'!$A$2:$A$2000,0)),"")</f>
        <v/>
      </c>
      <c r="R389" s="257" t="str">
        <f>IFERROR(IF(Q389&gt;0,Q389-(TBIcalc!$Q$9),""),"")</f>
        <v/>
      </c>
      <c r="S389" s="268" t="str">
        <f>IFERROR(INDEX('Ashed teabags dry'!$K$2:$K$2000,MATCH(L389,'Ashed teabags dry'!$A$2:$A$2000,0)),"")</f>
        <v/>
      </c>
      <c r="T389" s="268" t="str">
        <f t="shared" si="32"/>
        <v/>
      </c>
      <c r="U389" s="258">
        <f>IF('Dry_Litterbag Placem_Collection'!E170="","",'Dry_Litterbag Placem_Collection'!E170)</f>
        <v>42940</v>
      </c>
      <c r="V389" s="258">
        <f>IF('Dry_Litterbag Placem_Collection'!G170="","",'Dry_Litterbag Placem_Collection'!G170)</f>
        <v>43009</v>
      </c>
      <c r="W389" s="259">
        <f t="shared" si="30"/>
        <v>69</v>
      </c>
      <c r="X389" s="257" t="str">
        <f t="shared" si="33"/>
        <v/>
      </c>
      <c r="Y389" s="257" t="str">
        <f t="shared" si="34"/>
        <v/>
      </c>
      <c r="Z389" s="261">
        <f>IFERROR(INDEX([3]Rainfall_Dry!$O$2:$O$217,MATCH(C389, [3]Rainfall_Dry!$A$2:$A$217,0)),"")</f>
        <v>162.634207253</v>
      </c>
      <c r="AA389" s="250">
        <v>21.96</v>
      </c>
      <c r="AB389" s="250">
        <v>4.9199999999999982</v>
      </c>
      <c r="AC389" s="250">
        <v>73.12</v>
      </c>
      <c r="AD389" s="251" t="s">
        <v>2651</v>
      </c>
      <c r="AE389" s="250">
        <v>8.2416954164613099</v>
      </c>
      <c r="AF389">
        <f>IF('WetLitterbags placem_collection'!AB170="","",'WetLitterbags placem_collection'!AB170)</f>
        <v>2.4</v>
      </c>
      <c r="AG389">
        <f>IF('WetLitterbags placem_collection'!Z170="","",'WetLitterbags placem_collection'!Z170)</f>
        <v>46</v>
      </c>
      <c r="AH389" s="236" t="str">
        <f>IF('WetLitterbags placem_collection'!AA170="","",'WetLitterbags placem_collection'!AA170)</f>
        <v>M</v>
      </c>
      <c r="AI389">
        <f>IF('WetLitterbags placem_collection'!AC170="","",'WetLitterbags placem_collection'!AC170)</f>
        <v>0</v>
      </c>
      <c r="AJ389">
        <f>IFERROR(AVERAGE('Dry_Litterbag Placem_Collection'!O170,'Dry_Litterbag Placem_Collection'!R170),"")</f>
        <v>4.0999999999999996</v>
      </c>
      <c r="AK389" s="261">
        <f>IFERROR(AVERAGE('Dry_Litterbag Placem_Collection'!N170,'Dry_Litterbag Placem_Collection'!Q170),"")</f>
        <v>30.15</v>
      </c>
      <c r="AL389" s="260">
        <f>INDEX([2]Coordinates!$B$2:$B$197,MATCH(I389,[2]Coordinates!$J$2:$J$197,0))</f>
        <v>-2.2729129719999999</v>
      </c>
      <c r="AM389" s="260">
        <f>INDEX([2]Coordinates!$C$2:$C$197,MATCH(I389,[2]Coordinates!$J$2:$J$197,0))</f>
        <v>34.023350039999997</v>
      </c>
      <c r="AN389" s="260" t="str">
        <f>IF(ISNUMBER(SEARCH("C", 'Dry_Litterbag Placem_Collection'!T170)),"YES","NO")</f>
        <v>NO</v>
      </c>
      <c r="AO389" s="260" t="str">
        <f>IF(ISNUMBER(SEARCH("H", 'Dry_Litterbag Placem_Collection'!T170)),"YES","NO")</f>
        <v>YES</v>
      </c>
      <c r="AP389" s="260" t="str">
        <f>IF(ISNUMBER(SEARCH("R", 'Dry_Litterbag Placem_Collection'!T170)),"YES","NO")</f>
        <v>NO</v>
      </c>
    </row>
    <row r="390" spans="1:42" ht="15" customHeight="1">
      <c r="A390" t="s">
        <v>3248</v>
      </c>
      <c r="B390" s="252" t="s">
        <v>2643</v>
      </c>
      <c r="C390" s="253">
        <f>'Dry_Litterbag Placem_Collection'!A171</f>
        <v>169</v>
      </c>
      <c r="D390" s="253" t="str">
        <f>'Dry_Litterbag Placem_Collection'!B171</f>
        <v>Handajega</v>
      </c>
      <c r="E390" s="253" t="s">
        <v>2454</v>
      </c>
      <c r="F390" s="253" t="s">
        <v>2645</v>
      </c>
      <c r="G390" s="253">
        <v>2</v>
      </c>
      <c r="H390" s="253" t="s">
        <v>3128</v>
      </c>
      <c r="I390" s="254" t="str">
        <f>'Dry_Litterbag Placem_Collection'!C171</f>
        <v>Wet_W2_T1</v>
      </c>
      <c r="J390" s="255" t="s">
        <v>2525</v>
      </c>
      <c r="K390" s="262" t="s">
        <v>298</v>
      </c>
      <c r="L390" s="253" t="str">
        <f>IF(ISBLANK('Dry_Litterbag Placem_Collection'!K171),"","R"&amp;""&amp;'Dry_Litterbag Placem_Collection'!K171)</f>
        <v>R684</v>
      </c>
      <c r="M390" s="257">
        <f>IFERROR(INDEX('Green_rooibos initial weight'!$C$5:$C$2000,MATCH(L390, 'Green_rooibos initial weight'!$A$5:$A$2000,0)),"")</f>
        <v>2.1139999999999999</v>
      </c>
      <c r="N390" s="257">
        <f>IFERROR(M390-(TBIcalc!$Q$9+TBIcalc!$Q$10),"")</f>
        <v>1.8641999999999999</v>
      </c>
      <c r="O390" s="378">
        <f>AVERAGE(Ashed_controlls!$K$12:$K$14)</f>
        <v>2.2816647271287041</v>
      </c>
      <c r="P390" s="257">
        <f t="shared" si="31"/>
        <v>1.8216652061568666</v>
      </c>
      <c r="Q390" s="257">
        <f>IFERROR(INDEX('Both teabags AfterDry'!$D$2:$D$2000,MATCH(L390,'Both teabags AfterDry'!$A$2:$A$2000,0)),"")</f>
        <v>1.8154999999999999</v>
      </c>
      <c r="R390" s="257">
        <f>IFERROR(IF(Q390&gt;0,Q390-(TBIcalc!$Q$9),""),"")</f>
        <v>1.6648999999999998</v>
      </c>
      <c r="S390" s="268">
        <f>IFERROR(INDEX('Ashed teabags dry'!$K$2:$K$2000,MATCH(L390,'Ashed teabags dry'!$A$2:$A$2000,0)),"")</f>
        <v>11.642512077294652</v>
      </c>
      <c r="T390" s="268">
        <f t="shared" si="32"/>
        <v>1.4710638164251213</v>
      </c>
      <c r="U390" s="258">
        <f>IF('Dry_Litterbag Placem_Collection'!E171="","",'Dry_Litterbag Placem_Collection'!E171)</f>
        <v>42940</v>
      </c>
      <c r="V390" s="258">
        <f>IF('Dry_Litterbag Placem_Collection'!G171="","",'Dry_Litterbag Placem_Collection'!G171)</f>
        <v>43009</v>
      </c>
      <c r="W390" s="259">
        <f t="shared" si="30"/>
        <v>69</v>
      </c>
      <c r="X390" s="257">
        <f t="shared" si="33"/>
        <v>0.19930000000000003</v>
      </c>
      <c r="Y390" s="257">
        <f t="shared" si="34"/>
        <v>0.35060138973174526</v>
      </c>
      <c r="Z390" s="261">
        <f>IFERROR(INDEX([3]Rainfall_Dry!$O$2:$O$217,MATCH(C390, [3]Rainfall_Dry!$A$2:$A$217,0)),"")</f>
        <v>162.634207253</v>
      </c>
      <c r="AA390" s="250">
        <v>23.96</v>
      </c>
      <c r="AB390" s="250">
        <v>4.9199999999999982</v>
      </c>
      <c r="AC390" s="250">
        <v>71.12</v>
      </c>
      <c r="AD390" s="251" t="s">
        <v>2651</v>
      </c>
      <c r="AE390" s="250">
        <v>3.30913750616067</v>
      </c>
      <c r="AF390">
        <f>IF('WetLitterbags placem_collection'!AB171="","",'WetLitterbags placem_collection'!AB171)</f>
        <v>8.1999999999999993</v>
      </c>
      <c r="AG390">
        <f>IF('WetLitterbags placem_collection'!Z171="","",'WetLitterbags placem_collection'!Z171)</f>
        <v>11.4</v>
      </c>
      <c r="AH390" s="236" t="str">
        <f>IF('WetLitterbags placem_collection'!AA171="","",'WetLitterbags placem_collection'!AA171)</f>
        <v>O</v>
      </c>
      <c r="AI390">
        <f>IF('WetLitterbags placem_collection'!AC171="","",'WetLitterbags placem_collection'!AC171)</f>
        <v>1</v>
      </c>
      <c r="AJ390">
        <f>IFERROR(AVERAGE('Dry_Litterbag Placem_Collection'!O171,'Dry_Litterbag Placem_Collection'!R171),"")</f>
        <v>6.65</v>
      </c>
      <c r="AK390" s="261">
        <f>IFERROR(AVERAGE('Dry_Litterbag Placem_Collection'!N171,'Dry_Litterbag Placem_Collection'!Q171),"")</f>
        <v>35.049999999999997</v>
      </c>
      <c r="AL390" s="260">
        <f>INDEX([2]Coordinates!$B$2:$B$197,MATCH(I390,[2]Coordinates!$J$2:$J$197,0))</f>
        <v>-2.2784290180000002</v>
      </c>
      <c r="AM390" s="260">
        <f>INDEX([2]Coordinates!$C$2:$C$197,MATCH(I390,[2]Coordinates!$J$2:$J$197,0))</f>
        <v>34.024240030000001</v>
      </c>
      <c r="AN390" s="260" t="str">
        <f>IF(ISNUMBER(SEARCH("C", 'Dry_Litterbag Placem_Collection'!T171)),"YES","NO")</f>
        <v>YES</v>
      </c>
      <c r="AO390" s="260" t="str">
        <f>IF(ISNUMBER(SEARCH("H", 'Dry_Litterbag Placem_Collection'!T171)),"YES","NO")</f>
        <v>NO</v>
      </c>
      <c r="AP390" s="260" t="str">
        <f>IF(ISNUMBER(SEARCH("R", 'Dry_Litterbag Placem_Collection'!T171)),"YES","NO")</f>
        <v>NO</v>
      </c>
    </row>
    <row r="391" spans="1:42" ht="15" customHeight="1">
      <c r="A391" t="s">
        <v>3248</v>
      </c>
      <c r="B391" s="252" t="s">
        <v>2643</v>
      </c>
      <c r="C391" s="253">
        <f>'Dry_Litterbag Placem_Collection'!A172</f>
        <v>170</v>
      </c>
      <c r="D391" s="253" t="str">
        <f>'Dry_Litterbag Placem_Collection'!B172</f>
        <v>Handajega</v>
      </c>
      <c r="E391" s="253" t="s">
        <v>2454</v>
      </c>
      <c r="F391" s="253" t="s">
        <v>2645</v>
      </c>
      <c r="G391" s="253">
        <v>2</v>
      </c>
      <c r="H391" s="253" t="s">
        <v>3128</v>
      </c>
      <c r="I391" s="254" t="str">
        <f>'Dry_Litterbag Placem_Collection'!C172</f>
        <v>Wet_W2_T2</v>
      </c>
      <c r="J391" s="255" t="s">
        <v>2525</v>
      </c>
      <c r="K391" s="262" t="s">
        <v>298</v>
      </c>
      <c r="L391" s="253" t="str">
        <f>IF(ISBLANK('Dry_Litterbag Placem_Collection'!K172),"","R"&amp;""&amp;'Dry_Litterbag Placem_Collection'!K172)</f>
        <v>R694</v>
      </c>
      <c r="M391" s="257">
        <f>IFERROR(INDEX('Green_rooibos initial weight'!$C$5:$C$2000,MATCH(L391, 'Green_rooibos initial weight'!$A$5:$A$2000,0)),"")</f>
        <v>2.23</v>
      </c>
      <c r="N391" s="257">
        <f>IFERROR(M391-(TBIcalc!$Q$9+TBIcalc!$Q$10),"")</f>
        <v>1.9802</v>
      </c>
      <c r="O391" s="378">
        <f>AVERAGE(Ashed_controlls!$K$12:$K$14)</f>
        <v>2.2816647271287041</v>
      </c>
      <c r="P391" s="257">
        <f t="shared" si="31"/>
        <v>1.9350184750733974</v>
      </c>
      <c r="Q391" s="257">
        <f>IFERROR(INDEX('Both teabags AfterDry'!$D$2:$D$2000,MATCH(L391,'Both teabags AfterDry'!$A$2:$A$2000,0)),"")</f>
        <v>1.7605</v>
      </c>
      <c r="R391" s="257">
        <f>IFERROR(IF(Q391&gt;0,Q391-(TBIcalc!$Q$9),""),"")</f>
        <v>1.6098999999999999</v>
      </c>
      <c r="S391" s="268">
        <f>IFERROR(INDEX('Ashed teabags dry'!$K$2:$K$2000,MATCH(L391,'Ashed teabags dry'!$A$2:$A$2000,0)),"")</f>
        <v>4.9253731343281189</v>
      </c>
      <c r="T391" s="268">
        <f t="shared" si="32"/>
        <v>1.5306064179104515</v>
      </c>
      <c r="U391" s="258">
        <f>IF('Dry_Litterbag Placem_Collection'!E172="","",'Dry_Litterbag Placem_Collection'!E172)</f>
        <v>42940</v>
      </c>
      <c r="V391" s="258">
        <f>IF('Dry_Litterbag Placem_Collection'!G172="","",'Dry_Litterbag Placem_Collection'!G172)</f>
        <v>43009</v>
      </c>
      <c r="W391" s="259">
        <f t="shared" si="30"/>
        <v>69</v>
      </c>
      <c r="X391" s="257">
        <f t="shared" si="33"/>
        <v>0.37030000000000007</v>
      </c>
      <c r="Y391" s="257">
        <f t="shared" si="34"/>
        <v>0.40441205716294593</v>
      </c>
      <c r="Z391" s="261">
        <f>IFERROR(INDEX([3]Rainfall_Dry!$O$2:$O$217,MATCH(C391, [3]Rainfall_Dry!$A$2:$A$217,0)),"")</f>
        <v>162.634207253</v>
      </c>
      <c r="AA391" s="250">
        <v>23.96</v>
      </c>
      <c r="AB391" s="250">
        <v>4.9199999999999982</v>
      </c>
      <c r="AC391" s="250">
        <v>71.12</v>
      </c>
      <c r="AD391" s="251" t="s">
        <v>2651</v>
      </c>
      <c r="AE391" s="250">
        <v>4.3091375061606696</v>
      </c>
      <c r="AF391">
        <f>IF('WetLitterbags placem_collection'!AB172="","",'WetLitterbags placem_collection'!AB172)</f>
        <v>7.7</v>
      </c>
      <c r="AG391">
        <f>IF('WetLitterbags placem_collection'!Z172="","",'WetLitterbags placem_collection'!Z172)</f>
        <v>15.8</v>
      </c>
      <c r="AH391" s="236" t="str">
        <f>IF('WetLitterbags placem_collection'!AA172="","",'WetLitterbags placem_collection'!AA172)</f>
        <v>O</v>
      </c>
      <c r="AI391">
        <f>IF('WetLitterbags placem_collection'!AC172="","",'WetLitterbags placem_collection'!AC172)</f>
        <v>1</v>
      </c>
      <c r="AJ391">
        <f>IFERROR(AVERAGE('Dry_Litterbag Placem_Collection'!O172,'Dry_Litterbag Placem_Collection'!R172),"")</f>
        <v>6.1</v>
      </c>
      <c r="AK391" s="261">
        <f>IFERROR(AVERAGE('Dry_Litterbag Placem_Collection'!N172,'Dry_Litterbag Placem_Collection'!Q172),"")</f>
        <v>33.950000000000003</v>
      </c>
      <c r="AL391" s="260">
        <f>INDEX([2]Coordinates!$B$2:$B$197,MATCH(I391,[2]Coordinates!$J$2:$J$197,0))</f>
        <v>-2.2784629650000001</v>
      </c>
      <c r="AM391" s="260">
        <f>INDEX([2]Coordinates!$C$2:$C$197,MATCH(I391,[2]Coordinates!$J$2:$J$197,0))</f>
        <v>34.024177999999999</v>
      </c>
      <c r="AN391" s="260" t="str">
        <f>IF(ISNUMBER(SEARCH("C", 'Dry_Litterbag Placem_Collection'!T172)),"YES","NO")</f>
        <v>NO</v>
      </c>
      <c r="AO391" s="260" t="str">
        <f>IF(ISNUMBER(SEARCH("H", 'Dry_Litterbag Placem_Collection'!T172)),"YES","NO")</f>
        <v>NO</v>
      </c>
      <c r="AP391" s="260" t="str">
        <f>IF(ISNUMBER(SEARCH("R", 'Dry_Litterbag Placem_Collection'!T172)),"YES","NO")</f>
        <v>YES</v>
      </c>
    </row>
    <row r="392" spans="1:42" ht="15" customHeight="1">
      <c r="A392" t="s">
        <v>3248</v>
      </c>
      <c r="B392" s="252" t="s">
        <v>2643</v>
      </c>
      <c r="C392" s="253">
        <f>'Dry_Litterbag Placem_Collection'!A173</f>
        <v>171</v>
      </c>
      <c r="D392" s="253" t="str">
        <f>'Dry_Litterbag Placem_Collection'!B173</f>
        <v>Handajega</v>
      </c>
      <c r="E392" s="253" t="s">
        <v>2454</v>
      </c>
      <c r="F392" s="253" t="s">
        <v>2645</v>
      </c>
      <c r="G392" s="253">
        <v>2</v>
      </c>
      <c r="H392" s="253" t="s">
        <v>3128</v>
      </c>
      <c r="I392" s="254" t="str">
        <f>'Dry_Litterbag Placem_Collection'!C173</f>
        <v>Wet_W2_T3</v>
      </c>
      <c r="J392" s="255" t="s">
        <v>2525</v>
      </c>
      <c r="K392" s="262" t="s">
        <v>298</v>
      </c>
      <c r="L392" s="253" t="str">
        <f>IF(ISBLANK('Dry_Litterbag Placem_Collection'!K173),"","R"&amp;""&amp;'Dry_Litterbag Placem_Collection'!K173)</f>
        <v>R655</v>
      </c>
      <c r="M392" s="257">
        <f>IFERROR(INDEX('Green_rooibos initial weight'!$C$5:$C$2000,MATCH(L392, 'Green_rooibos initial weight'!$A$5:$A$2000,0)),"")</f>
        <v>2.1779999999999999</v>
      </c>
      <c r="N392" s="257">
        <f>IFERROR(M392-(TBIcalc!$Q$9+TBIcalc!$Q$10),"")</f>
        <v>1.9281999999999999</v>
      </c>
      <c r="O392" s="378">
        <f>AVERAGE(Ashed_controlls!$K$12:$K$14)</f>
        <v>2.2816647271287041</v>
      </c>
      <c r="P392" s="257">
        <f t="shared" si="31"/>
        <v>1.8842049407315042</v>
      </c>
      <c r="Q392" s="257">
        <f>IFERROR(INDEX('Both teabags AfterDry'!$D$2:$D$2000,MATCH(L392,'Both teabags AfterDry'!$A$2:$A$2000,0)),"")</f>
        <v>3.7545000000000002</v>
      </c>
      <c r="R392" s="257">
        <f>IFERROR(IF(Q392&gt;0,Q392-(TBIcalc!$Q$9),""),"")</f>
        <v>3.6039000000000003</v>
      </c>
      <c r="S392" s="268">
        <f>IFERROR(INDEX('Ashed teabags dry'!$K$2:$K$2000,MATCH(L392,'Ashed teabags dry'!$A$2:$A$2000,0)),"")</f>
        <v>89.436947417404014</v>
      </c>
      <c r="T392" s="268">
        <f t="shared" si="32"/>
        <v>0.38068185202417704</v>
      </c>
      <c r="U392" s="258">
        <f>IF('Dry_Litterbag Placem_Collection'!E173="","",'Dry_Litterbag Placem_Collection'!E173)</f>
        <v>42940</v>
      </c>
      <c r="V392" s="258">
        <f>IF('Dry_Litterbag Placem_Collection'!G173="","",'Dry_Litterbag Placem_Collection'!G173)</f>
        <v>43009</v>
      </c>
      <c r="W392" s="259">
        <f t="shared" si="30"/>
        <v>69</v>
      </c>
      <c r="X392" s="257">
        <f t="shared" si="33"/>
        <v>-1.6757000000000004</v>
      </c>
      <c r="Y392" s="257">
        <f t="shared" si="34"/>
        <v>1.5035230887073272</v>
      </c>
      <c r="Z392" s="261">
        <f>IFERROR(INDEX([3]Rainfall_Dry!$O$2:$O$217,MATCH(C392, [3]Rainfall_Dry!$A$2:$A$217,0)),"")</f>
        <v>162.634207253</v>
      </c>
      <c r="AA392" s="250">
        <v>23.96</v>
      </c>
      <c r="AB392" s="250">
        <v>4.9199999999999982</v>
      </c>
      <c r="AC392" s="250">
        <v>71.12</v>
      </c>
      <c r="AD392" s="251" t="s">
        <v>2651</v>
      </c>
      <c r="AE392" s="250">
        <v>5.3091375061606696</v>
      </c>
      <c r="AF392">
        <f>IF('WetLitterbags placem_collection'!AB173="","",'WetLitterbags placem_collection'!AB173)</f>
        <v>13.4</v>
      </c>
      <c r="AG392">
        <f>IF('WetLitterbags placem_collection'!Z173="","",'WetLitterbags placem_collection'!Z173)</f>
        <v>7.6</v>
      </c>
      <c r="AH392" s="236" t="str">
        <f>IF('WetLitterbags placem_collection'!AA173="","",'WetLitterbags placem_collection'!AA173)</f>
        <v>O</v>
      </c>
      <c r="AI392">
        <f>IF('WetLitterbags placem_collection'!AC173="","",'WetLitterbags placem_collection'!AC173)</f>
        <v>1</v>
      </c>
      <c r="AJ392">
        <f>IFERROR(AVERAGE('Dry_Litterbag Placem_Collection'!O173,'Dry_Litterbag Placem_Collection'!R173),"")</f>
        <v>5.6</v>
      </c>
      <c r="AK392" s="261">
        <f>IFERROR(AVERAGE('Dry_Litterbag Placem_Collection'!N173,'Dry_Litterbag Placem_Collection'!Q173),"")</f>
        <v>33</v>
      </c>
      <c r="AL392" s="260">
        <f>INDEX([2]Coordinates!$B$2:$B$197,MATCH(I392,[2]Coordinates!$J$2:$J$197,0))</f>
        <v>-2.2785389889999998</v>
      </c>
      <c r="AM392" s="260">
        <f>INDEX([2]Coordinates!$C$2:$C$197,MATCH(I392,[2]Coordinates!$J$2:$J$197,0))</f>
        <v>34.024371039999998</v>
      </c>
      <c r="AN392" s="260" t="str">
        <f>IF(ISNUMBER(SEARCH("C", 'Dry_Litterbag Placem_Collection'!T173)),"YES","NO")</f>
        <v>NO</v>
      </c>
      <c r="AO392" s="260" t="str">
        <f>IF(ISNUMBER(SEARCH("H", 'Dry_Litterbag Placem_Collection'!T173)),"YES","NO")</f>
        <v>YES</v>
      </c>
      <c r="AP392" s="260" t="str">
        <f>IF(ISNUMBER(SEARCH("R", 'Dry_Litterbag Placem_Collection'!T173)),"YES","NO")</f>
        <v>YES</v>
      </c>
    </row>
    <row r="393" spans="1:42" ht="15" customHeight="1">
      <c r="A393" t="s">
        <v>3248</v>
      </c>
      <c r="B393" s="252" t="s">
        <v>2643</v>
      </c>
      <c r="C393" s="253">
        <f>'Dry_Litterbag Placem_Collection'!A174</f>
        <v>172</v>
      </c>
      <c r="D393" s="253" t="str">
        <f>'Dry_Litterbag Placem_Collection'!B174</f>
        <v>Handajega</v>
      </c>
      <c r="E393" s="253" t="s">
        <v>2454</v>
      </c>
      <c r="F393" s="253" t="s">
        <v>2645</v>
      </c>
      <c r="G393" s="253">
        <v>2</v>
      </c>
      <c r="H393" s="253" t="s">
        <v>3128</v>
      </c>
      <c r="I393" s="254" t="str">
        <f>'Dry_Litterbag Placem_Collection'!C174</f>
        <v>Wet_W2_T4</v>
      </c>
      <c r="J393" s="255" t="s">
        <v>2525</v>
      </c>
      <c r="K393" s="262" t="s">
        <v>298</v>
      </c>
      <c r="L393" s="253" t="str">
        <f>IF(ISBLANK('Dry_Litterbag Placem_Collection'!K174),"","R"&amp;""&amp;'Dry_Litterbag Placem_Collection'!K174)</f>
        <v/>
      </c>
      <c r="M393" s="257" t="str">
        <f>IFERROR(INDEX('Green_rooibos initial weight'!$C$5:$C$2000,MATCH(L393, 'Green_rooibos initial weight'!$A$5:$A$2000,0)),"")</f>
        <v/>
      </c>
      <c r="N393" s="257" t="str">
        <f>IFERROR(M393-(TBIcalc!$Q$9+TBIcalc!$Q$10),"")</f>
        <v/>
      </c>
      <c r="O393" s="378">
        <f>AVERAGE(Ashed_controlls!$K$12:$K$14)</f>
        <v>2.2816647271287041</v>
      </c>
      <c r="P393" s="257" t="str">
        <f t="shared" si="31"/>
        <v/>
      </c>
      <c r="Q393" s="257" t="str">
        <f>IFERROR(INDEX('Both teabags AfterDry'!$D$2:$D$2000,MATCH(L393,'Both teabags AfterDry'!$A$2:$A$2000,0)),"")</f>
        <v/>
      </c>
      <c r="R393" s="257" t="str">
        <f>IFERROR(IF(Q393&gt;0,Q393-(TBIcalc!$Q$9),""),"")</f>
        <v/>
      </c>
      <c r="S393" s="268" t="str">
        <f>IFERROR(INDEX('Ashed teabags dry'!$K$2:$K$2000,MATCH(L393,'Ashed teabags dry'!$A$2:$A$2000,0)),"")</f>
        <v/>
      </c>
      <c r="T393" s="268" t="str">
        <f t="shared" si="32"/>
        <v/>
      </c>
      <c r="U393" s="258" t="str">
        <f>IF('Dry_Litterbag Placem_Collection'!E174="","",'Dry_Litterbag Placem_Collection'!E174)</f>
        <v/>
      </c>
      <c r="V393" s="258" t="str">
        <f>IF('Dry_Litterbag Placem_Collection'!G174="","",'Dry_Litterbag Placem_Collection'!G174)</f>
        <v/>
      </c>
      <c r="W393" s="259" t="str">
        <f t="shared" si="30"/>
        <v/>
      </c>
      <c r="X393" s="257" t="str">
        <f t="shared" si="33"/>
        <v/>
      </c>
      <c r="Y393" s="257" t="str">
        <f t="shared" si="34"/>
        <v/>
      </c>
      <c r="Z393" s="261" t="str">
        <f>IFERROR(INDEX([3]Rainfall_Dry!$O$2:$O$217,MATCH(C393, [3]Rainfall_Dry!$A$2:$A$217,0)),"")</f>
        <v/>
      </c>
      <c r="AA393" s="250">
        <v>23.96</v>
      </c>
      <c r="AB393" s="250">
        <v>4.9199999999999982</v>
      </c>
      <c r="AC393" s="250">
        <v>71.12</v>
      </c>
      <c r="AD393" s="251" t="s">
        <v>2651</v>
      </c>
      <c r="AE393" s="250">
        <v>6.3091375061606696</v>
      </c>
      <c r="AF393">
        <f>IF('WetLitterbags placem_collection'!AB174="","",'WetLitterbags placem_collection'!AB174)</f>
        <v>3.3</v>
      </c>
      <c r="AG393">
        <f>IF('WetLitterbags placem_collection'!Z174="","",'WetLitterbags placem_collection'!Z174)</f>
        <v>28.4</v>
      </c>
      <c r="AH393" s="236" t="str">
        <f>IF('WetLitterbags placem_collection'!AA174="","",'WetLitterbags placem_collection'!AA174)</f>
        <v>G</v>
      </c>
      <c r="AI393">
        <f>IF('WetLitterbags placem_collection'!AC174="","",'WetLitterbags placem_collection'!AC174)</f>
        <v>1</v>
      </c>
      <c r="AJ393" t="str">
        <f>IFERROR(AVERAGE('Dry_Litterbag Placem_Collection'!O174,'Dry_Litterbag Placem_Collection'!R174),"")</f>
        <v/>
      </c>
      <c r="AK393" s="261" t="str">
        <f>IFERROR(AVERAGE('Dry_Litterbag Placem_Collection'!N174,'Dry_Litterbag Placem_Collection'!Q174),"")</f>
        <v/>
      </c>
      <c r="AL393" s="260">
        <f>INDEX([2]Coordinates!$B$2:$B$197,MATCH(I393,[2]Coordinates!$J$2:$J$197,0))</f>
        <v>-2.2781410160000002</v>
      </c>
      <c r="AM393" s="260">
        <f>INDEX([2]Coordinates!$C$2:$C$197,MATCH(I393,[2]Coordinates!$J$2:$J$197,0))</f>
        <v>34.024136009999999</v>
      </c>
      <c r="AN393" s="260" t="str">
        <f>IF(ISNUMBER(SEARCH("C", 'Dry_Litterbag Placem_Collection'!T174)),"YES","NO")</f>
        <v>NO</v>
      </c>
      <c r="AO393" s="260" t="str">
        <f>IF(ISNUMBER(SEARCH("H", 'Dry_Litterbag Placem_Collection'!T174)),"YES","NO")</f>
        <v>NO</v>
      </c>
      <c r="AP393" s="260" t="str">
        <f>IF(ISNUMBER(SEARCH("R", 'Dry_Litterbag Placem_Collection'!T174)),"YES","NO")</f>
        <v>NO</v>
      </c>
    </row>
    <row r="394" spans="1:42" ht="15" customHeight="1">
      <c r="A394" t="s">
        <v>3248</v>
      </c>
      <c r="B394" s="252" t="s">
        <v>2643</v>
      </c>
      <c r="C394" s="253">
        <f>'Dry_Litterbag Placem_Collection'!A175</f>
        <v>173</v>
      </c>
      <c r="D394" s="253" t="str">
        <f>'Dry_Litterbag Placem_Collection'!B175</f>
        <v>Handajega</v>
      </c>
      <c r="E394" s="253" t="s">
        <v>2454</v>
      </c>
      <c r="F394" s="253" t="s">
        <v>2645</v>
      </c>
      <c r="G394" s="253">
        <v>2</v>
      </c>
      <c r="H394" s="253" t="s">
        <v>3128</v>
      </c>
      <c r="I394" s="254" t="str">
        <f>'Dry_Litterbag Placem_Collection'!C175</f>
        <v>Wet_W2_T5</v>
      </c>
      <c r="J394" s="255" t="s">
        <v>2525</v>
      </c>
      <c r="K394" s="262" t="s">
        <v>298</v>
      </c>
      <c r="L394" s="253" t="str">
        <f>IF(ISBLANK('Dry_Litterbag Placem_Collection'!K175),"","R"&amp;""&amp;'Dry_Litterbag Placem_Collection'!K175)</f>
        <v>R405</v>
      </c>
      <c r="M394" s="257">
        <f>IFERROR(INDEX('Green_rooibos initial weight'!$C$5:$C$2000,MATCH(L394, 'Green_rooibos initial weight'!$A$5:$A$2000,0)),"")</f>
        <v>2.2400000000000002</v>
      </c>
      <c r="N394" s="257">
        <f>IFERROR(M394-(TBIcalc!$Q$9+TBIcalc!$Q$10),"")</f>
        <v>1.9902000000000002</v>
      </c>
      <c r="O394" s="378">
        <f>AVERAGE(Ashed_controlls!$K$12:$K$14)</f>
        <v>2.2816647271287041</v>
      </c>
      <c r="P394" s="257">
        <f t="shared" si="31"/>
        <v>1.9447903086006848</v>
      </c>
      <c r="Q394" s="257" t="str">
        <f>IFERROR(INDEX('Both teabags AfterDry'!$D$2:$D$2000,MATCH(L394,'Both teabags AfterDry'!$A$2:$A$2000,0)),"")</f>
        <v/>
      </c>
      <c r="R394" s="257" t="str">
        <f>IFERROR(IF(Q394&gt;0,Q394-(TBIcalc!$Q$9),""),"")</f>
        <v/>
      </c>
      <c r="S394" s="268" t="str">
        <f>IFERROR(INDEX('Ashed teabags dry'!$K$2:$K$2000,MATCH(L394,'Ashed teabags dry'!$A$2:$A$2000,0)),"")</f>
        <v/>
      </c>
      <c r="T394" s="268" t="str">
        <f t="shared" si="32"/>
        <v/>
      </c>
      <c r="U394" s="258">
        <f>IF('Dry_Litterbag Placem_Collection'!E175="","",'Dry_Litterbag Placem_Collection'!E175)</f>
        <v>42940</v>
      </c>
      <c r="V394" s="258">
        <f>IF('Dry_Litterbag Placem_Collection'!G175="","",'Dry_Litterbag Placem_Collection'!G175)</f>
        <v>43009</v>
      </c>
      <c r="W394" s="259">
        <f t="shared" si="30"/>
        <v>69</v>
      </c>
      <c r="X394" s="257" t="str">
        <f t="shared" si="33"/>
        <v/>
      </c>
      <c r="Y394" s="257" t="str">
        <f t="shared" si="34"/>
        <v/>
      </c>
      <c r="Z394" s="261">
        <f>IFERROR(INDEX([3]Rainfall_Dry!$O$2:$O$217,MATCH(C394, [3]Rainfall_Dry!$A$2:$A$217,0)),"")</f>
        <v>162.634207253</v>
      </c>
      <c r="AA394" s="250">
        <v>23.96</v>
      </c>
      <c r="AB394" s="250">
        <v>4.9199999999999982</v>
      </c>
      <c r="AC394" s="250">
        <v>71.12</v>
      </c>
      <c r="AD394" s="251" t="s">
        <v>2651</v>
      </c>
      <c r="AE394" s="250">
        <v>7.3091375061606696</v>
      </c>
      <c r="AF394">
        <f>IF('WetLitterbags placem_collection'!AB175="","",'WetLitterbags placem_collection'!AB175)</f>
        <v>15.4</v>
      </c>
      <c r="AG394">
        <f>IF('WetLitterbags placem_collection'!Z175="","",'WetLitterbags placem_collection'!Z175)</f>
        <v>12.4</v>
      </c>
      <c r="AH394" s="236" t="str">
        <f>IF('WetLitterbags placem_collection'!AA175="","",'WetLitterbags placem_collection'!AA175)</f>
        <v>O</v>
      </c>
      <c r="AI394">
        <f>IF('WetLitterbags placem_collection'!AC175="","",'WetLitterbags placem_collection'!AC175)</f>
        <v>0</v>
      </c>
      <c r="AJ394">
        <f>IFERROR(AVERAGE('Dry_Litterbag Placem_Collection'!O175,'Dry_Litterbag Placem_Collection'!R175),"")</f>
        <v>6.3</v>
      </c>
      <c r="AK394" s="261">
        <f>IFERROR(AVERAGE('Dry_Litterbag Placem_Collection'!N175,'Dry_Litterbag Placem_Collection'!Q175),"")</f>
        <v>34.049999999999997</v>
      </c>
      <c r="AL394" s="260">
        <f>INDEX([2]Coordinates!$B$2:$B$197,MATCH(I394,[2]Coordinates!$J$2:$J$197,0))</f>
        <v>-2.27856799</v>
      </c>
      <c r="AM394" s="260">
        <f>INDEX([2]Coordinates!$C$2:$C$197,MATCH(I394,[2]Coordinates!$J$2:$J$197,0))</f>
        <v>34.023969970000003</v>
      </c>
      <c r="AN394" s="260" t="str">
        <f>IF(ISNUMBER(SEARCH("C", 'Dry_Litterbag Placem_Collection'!T175)),"YES","NO")</f>
        <v>NO</v>
      </c>
      <c r="AO394" s="260" t="str">
        <f>IF(ISNUMBER(SEARCH("H", 'Dry_Litterbag Placem_Collection'!T175)),"YES","NO")</f>
        <v>YES</v>
      </c>
      <c r="AP394" s="260" t="str">
        <f>IF(ISNUMBER(SEARCH("R", 'Dry_Litterbag Placem_Collection'!T175)),"YES","NO")</f>
        <v>YES</v>
      </c>
    </row>
    <row r="395" spans="1:42" ht="15" customHeight="1">
      <c r="A395" t="s">
        <v>3248</v>
      </c>
      <c r="B395" s="252" t="s">
        <v>2643</v>
      </c>
      <c r="C395" s="253">
        <f>'Dry_Litterbag Placem_Collection'!A176</f>
        <v>174</v>
      </c>
      <c r="D395" s="253" t="str">
        <f>'Dry_Litterbag Placem_Collection'!B176</f>
        <v>Handajega</v>
      </c>
      <c r="E395" s="253" t="s">
        <v>2454</v>
      </c>
      <c r="F395" s="253" t="s">
        <v>2645</v>
      </c>
      <c r="G395" s="253">
        <v>2</v>
      </c>
      <c r="H395" s="253" t="s">
        <v>3128</v>
      </c>
      <c r="I395" s="254" t="str">
        <f>'Dry_Litterbag Placem_Collection'!C176</f>
        <v>Wet_W2_T6</v>
      </c>
      <c r="J395" s="255" t="s">
        <v>2525</v>
      </c>
      <c r="K395" s="262" t="s">
        <v>298</v>
      </c>
      <c r="L395" s="253" t="str">
        <f>IF(ISBLANK('Dry_Litterbag Placem_Collection'!K176),"","R"&amp;""&amp;'Dry_Litterbag Placem_Collection'!K176)</f>
        <v>R736</v>
      </c>
      <c r="M395" s="257">
        <f>IFERROR(INDEX('Green_rooibos initial weight'!$C$5:$C$2000,MATCH(L395, 'Green_rooibos initial weight'!$A$5:$A$2000,0)),"")</f>
        <v>2.2189999999999999</v>
      </c>
      <c r="N395" s="257">
        <f>IFERROR(M395-(TBIcalc!$Q$9+TBIcalc!$Q$10),"")</f>
        <v>1.9691999999999998</v>
      </c>
      <c r="O395" s="378">
        <f>AVERAGE(Ashed_controlls!$K$12:$K$14)</f>
        <v>2.2816647271287041</v>
      </c>
      <c r="P395" s="257">
        <f t="shared" si="31"/>
        <v>1.9242694581933815</v>
      </c>
      <c r="Q395" s="257">
        <f>IFERROR(INDEX('Both teabags AfterDry'!$D$2:$D$2000,MATCH(L395,'Both teabags AfterDry'!$A$2:$A$2000,0)),"")</f>
        <v>1.6238999999999999</v>
      </c>
      <c r="R395" s="257">
        <f>IFERROR(IF(Q395&gt;0,Q395-(TBIcalc!$Q$9),""),"")</f>
        <v>1.4732999999999998</v>
      </c>
      <c r="S395" s="268">
        <f>IFERROR(INDEX('Ashed teabags dry'!$K$2:$K$2000,MATCH(L395,'Ashed teabags dry'!$A$2:$A$2000,0)),"")</f>
        <v>10.510638297872269</v>
      </c>
      <c r="T395" s="268">
        <f t="shared" si="32"/>
        <v>1.3184467659574477</v>
      </c>
      <c r="U395" s="258">
        <f>IF('Dry_Litterbag Placem_Collection'!E176="","",'Dry_Litterbag Placem_Collection'!E176)</f>
        <v>42940</v>
      </c>
      <c r="V395" s="258">
        <f>IF('Dry_Litterbag Placem_Collection'!G176="","",'Dry_Litterbag Placem_Collection'!G176)</f>
        <v>43009</v>
      </c>
      <c r="W395" s="259">
        <f t="shared" si="30"/>
        <v>69</v>
      </c>
      <c r="X395" s="257">
        <f t="shared" si="33"/>
        <v>0.49590000000000001</v>
      </c>
      <c r="Y395" s="257">
        <f t="shared" si="34"/>
        <v>0.60582269223593377</v>
      </c>
      <c r="Z395" s="261">
        <f>IFERROR(INDEX([3]Rainfall_Dry!$O$2:$O$217,MATCH(C395, [3]Rainfall_Dry!$A$2:$A$217,0)),"")</f>
        <v>162.634207253</v>
      </c>
      <c r="AA395" s="250">
        <v>23.96</v>
      </c>
      <c r="AB395" s="250">
        <v>4.9199999999999982</v>
      </c>
      <c r="AC395" s="250">
        <v>71.12</v>
      </c>
      <c r="AD395" s="251" t="s">
        <v>2651</v>
      </c>
      <c r="AE395" s="250">
        <v>8.3091375061606705</v>
      </c>
      <c r="AF395">
        <f>IF('WetLitterbags placem_collection'!AB176="","",'WetLitterbags placem_collection'!AB176)</f>
        <v>7.4</v>
      </c>
      <c r="AG395">
        <f>IF('WetLitterbags placem_collection'!Z176="","",'WetLitterbags placem_collection'!Z176)</f>
        <v>7.4</v>
      </c>
      <c r="AH395" s="236" t="str">
        <f>IF('WetLitterbags placem_collection'!AA176="","",'WetLitterbags placem_collection'!AA176)</f>
        <v>O</v>
      </c>
      <c r="AI395">
        <f>IF('WetLitterbags placem_collection'!AC176="","",'WetLitterbags placem_collection'!AC176)</f>
        <v>0</v>
      </c>
      <c r="AJ395">
        <f>IFERROR(AVERAGE('Dry_Litterbag Placem_Collection'!O176,'Dry_Litterbag Placem_Collection'!R176),"")</f>
        <v>5.9</v>
      </c>
      <c r="AK395" s="261">
        <f>IFERROR(AVERAGE('Dry_Litterbag Placem_Collection'!N176,'Dry_Litterbag Placem_Collection'!Q176),"")</f>
        <v>33.200000000000003</v>
      </c>
      <c r="AL395" s="260">
        <f>INDEX([2]Coordinates!$B$2:$B$197,MATCH(I395,[2]Coordinates!$J$2:$J$197,0))</f>
        <v>-2.2786809780000001</v>
      </c>
      <c r="AM395" s="260">
        <f>INDEX([2]Coordinates!$C$2:$C$197,MATCH(I395,[2]Coordinates!$J$2:$J$197,0))</f>
        <v>34.02434899</v>
      </c>
      <c r="AN395" s="260" t="str">
        <f>IF(ISNUMBER(SEARCH("C", 'Dry_Litterbag Placem_Collection'!T176)),"YES","NO")</f>
        <v>NO</v>
      </c>
      <c r="AO395" s="260" t="str">
        <f>IF(ISNUMBER(SEARCH("H", 'Dry_Litterbag Placem_Collection'!T176)),"YES","NO")</f>
        <v>NO</v>
      </c>
      <c r="AP395" s="260" t="str">
        <f>IF(ISNUMBER(SEARCH("R", 'Dry_Litterbag Placem_Collection'!T176)),"YES","NO")</f>
        <v>YES</v>
      </c>
    </row>
    <row r="396" spans="1:42" ht="15" customHeight="1">
      <c r="A396" t="s">
        <v>3248</v>
      </c>
      <c r="B396" s="252" t="s">
        <v>2643</v>
      </c>
      <c r="C396" s="253">
        <f>'Dry_Litterbag Placem_Collection'!A177</f>
        <v>175</v>
      </c>
      <c r="D396" s="253" t="str">
        <f>'Dry_Litterbag Placem_Collection'!B177</f>
        <v>Handajega</v>
      </c>
      <c r="E396" s="253" t="s">
        <v>2454</v>
      </c>
      <c r="F396" s="253" t="s">
        <v>2645</v>
      </c>
      <c r="G396" s="253">
        <v>2</v>
      </c>
      <c r="H396" s="253" t="s">
        <v>3128</v>
      </c>
      <c r="I396" s="254" t="str">
        <f>'Dry_Litterbag Placem_Collection'!C177</f>
        <v>Wet_W2_T7</v>
      </c>
      <c r="J396" s="255" t="s">
        <v>2525</v>
      </c>
      <c r="K396" s="262" t="s">
        <v>298</v>
      </c>
      <c r="L396" s="253" t="str">
        <f>IF(ISBLANK('Dry_Litterbag Placem_Collection'!K177),"","R"&amp;""&amp;'Dry_Litterbag Placem_Collection'!K177)</f>
        <v>R338</v>
      </c>
      <c r="M396" s="257">
        <f>IFERROR(INDEX('Green_rooibos initial weight'!$C$5:$C$2000,MATCH(L396, 'Green_rooibos initial weight'!$A$5:$A$2000,0)),"")</f>
        <v>2.1709999999999998</v>
      </c>
      <c r="N396" s="257">
        <f>IFERROR(M396-(TBIcalc!$Q$9+TBIcalc!$Q$10),"")</f>
        <v>1.9211999999999998</v>
      </c>
      <c r="O396" s="378">
        <f>AVERAGE(Ashed_controlls!$K$12:$K$14)</f>
        <v>2.2816647271287041</v>
      </c>
      <c r="P396" s="257">
        <f t="shared" si="31"/>
        <v>1.8773646572624032</v>
      </c>
      <c r="Q396" s="257">
        <f>IFERROR(INDEX('Both teabags AfterDry'!$D$2:$D$2000,MATCH(L396,'Both teabags AfterDry'!$A$2:$A$2000,0)),"")</f>
        <v>1.8117000000000001</v>
      </c>
      <c r="R396" s="257">
        <f>IFERROR(IF(Q396&gt;0,Q396-(TBIcalc!$Q$9),""),"")</f>
        <v>1.6611</v>
      </c>
      <c r="S396" s="268">
        <f>IFERROR(INDEX('Ashed teabags dry'!$K$2:$K$2000,MATCH(L396,'Ashed teabags dry'!$A$2:$A$2000,0)),"")</f>
        <v>8.794946550048822</v>
      </c>
      <c r="T396" s="268">
        <f t="shared" si="32"/>
        <v>1.515007142857139</v>
      </c>
      <c r="U396" s="258">
        <f>IF('Dry_Litterbag Placem_Collection'!E177="","",'Dry_Litterbag Placem_Collection'!E177)</f>
        <v>42940</v>
      </c>
      <c r="V396" s="258">
        <f>IF('Dry_Litterbag Placem_Collection'!G177="","",'Dry_Litterbag Placem_Collection'!G177)</f>
        <v>43009</v>
      </c>
      <c r="W396" s="259">
        <f t="shared" si="30"/>
        <v>69</v>
      </c>
      <c r="X396" s="257">
        <f t="shared" si="33"/>
        <v>0.26009999999999978</v>
      </c>
      <c r="Y396" s="257">
        <f t="shared" si="34"/>
        <v>0.3623575144052642</v>
      </c>
      <c r="Z396" s="261">
        <f>IFERROR(INDEX([3]Rainfall_Dry!$O$2:$O$217,MATCH(C396, [3]Rainfall_Dry!$A$2:$A$217,0)),"")</f>
        <v>162.634207253</v>
      </c>
      <c r="AA396" s="250">
        <v>23.96</v>
      </c>
      <c r="AB396" s="250">
        <v>4.9199999999999982</v>
      </c>
      <c r="AC396" s="250">
        <v>71.12</v>
      </c>
      <c r="AD396" s="251" t="s">
        <v>2651</v>
      </c>
      <c r="AE396" s="250">
        <v>9.3091375061606705</v>
      </c>
      <c r="AF396">
        <f>IF('WetLitterbags placem_collection'!AB177="","",'WetLitterbags placem_collection'!AB177)</f>
        <v>15.4</v>
      </c>
      <c r="AG396">
        <f>IF('WetLitterbags placem_collection'!Z177="","",'WetLitterbags placem_collection'!Z177)</f>
        <v>9.8000000000000007</v>
      </c>
      <c r="AH396" s="236" t="str">
        <f>IF('WetLitterbags placem_collection'!AA177="","",'WetLitterbags placem_collection'!AA177)</f>
        <v>O</v>
      </c>
      <c r="AI396">
        <f>IF('WetLitterbags placem_collection'!AC177="","",'WetLitterbags placem_collection'!AC177)</f>
        <v>1</v>
      </c>
      <c r="AJ396">
        <f>IFERROR(AVERAGE('Dry_Litterbag Placem_Collection'!O177,'Dry_Litterbag Placem_Collection'!R177),"")</f>
        <v>5.9499999999999993</v>
      </c>
      <c r="AK396" s="261">
        <f>IFERROR(AVERAGE('Dry_Litterbag Placem_Collection'!N177,'Dry_Litterbag Placem_Collection'!Q177),"")</f>
        <v>34.049999999999997</v>
      </c>
      <c r="AL396" s="260">
        <f>INDEX([2]Coordinates!$B$2:$B$197,MATCH(I396,[2]Coordinates!$J$2:$J$197,0))</f>
        <v>-2.2784219779999999</v>
      </c>
      <c r="AM396" s="260">
        <f>INDEX([2]Coordinates!$C$2:$C$197,MATCH(I396,[2]Coordinates!$J$2:$J$197,0))</f>
        <v>34.024374979999997</v>
      </c>
      <c r="AN396" s="260" t="str">
        <f>IF(ISNUMBER(SEARCH("C", 'Dry_Litterbag Placem_Collection'!T177)),"YES","NO")</f>
        <v>NO</v>
      </c>
      <c r="AO396" s="260" t="str">
        <f>IF(ISNUMBER(SEARCH("H", 'Dry_Litterbag Placem_Collection'!T177)),"YES","NO")</f>
        <v>NO</v>
      </c>
      <c r="AP396" s="260" t="str">
        <f>IF(ISNUMBER(SEARCH("R", 'Dry_Litterbag Placem_Collection'!T177)),"YES","NO")</f>
        <v>NO</v>
      </c>
    </row>
    <row r="397" spans="1:42" ht="15" customHeight="1">
      <c r="A397" t="s">
        <v>3248</v>
      </c>
      <c r="B397" s="252" t="s">
        <v>2643</v>
      </c>
      <c r="C397" s="253">
        <f>'Dry_Litterbag Placem_Collection'!A178</f>
        <v>176</v>
      </c>
      <c r="D397" s="253" t="str">
        <f>'Dry_Litterbag Placem_Collection'!B178</f>
        <v>Handajega</v>
      </c>
      <c r="E397" s="253" t="s">
        <v>2454</v>
      </c>
      <c r="F397" s="253" t="s">
        <v>2645</v>
      </c>
      <c r="G397" s="253">
        <v>2</v>
      </c>
      <c r="H397" s="253" t="s">
        <v>3128</v>
      </c>
      <c r="I397" s="254" t="str">
        <f>'Dry_Litterbag Placem_Collection'!C178</f>
        <v>Wet_W2_T8</v>
      </c>
      <c r="J397" s="255" t="s">
        <v>2525</v>
      </c>
      <c r="K397" s="262" t="s">
        <v>298</v>
      </c>
      <c r="L397" s="253" t="str">
        <f>IF(ISBLANK('Dry_Litterbag Placem_Collection'!K178),"","R"&amp;""&amp;'Dry_Litterbag Placem_Collection'!K178)</f>
        <v>R52</v>
      </c>
      <c r="M397" s="257">
        <f>IFERROR(INDEX('Green_rooibos initial weight'!$C$5:$C$2000,MATCH(L397, 'Green_rooibos initial weight'!$A$5:$A$2000,0)),"")</f>
        <v>2.1629999999999998</v>
      </c>
      <c r="N397" s="257">
        <f>IFERROR(M397-(TBIcalc!$Q$9+TBIcalc!$Q$10),"")</f>
        <v>1.9131999999999998</v>
      </c>
      <c r="O397" s="378">
        <f>AVERAGE(Ashed_controlls!$K$12:$K$14)</f>
        <v>2.2816647271287041</v>
      </c>
      <c r="P397" s="257">
        <f t="shared" si="31"/>
        <v>1.8695471904405734</v>
      </c>
      <c r="Q397" s="257">
        <f>IFERROR(INDEX('Both teabags AfterDry'!$D$2:$D$2000,MATCH(L397,'Both teabags AfterDry'!$A$2:$A$2000,0)),"")</f>
        <v>0</v>
      </c>
      <c r="R397" s="257" t="str">
        <f>IFERROR(IF(Q397&gt;0,Q397-(TBIcalc!$Q$9),""),"")</f>
        <v/>
      </c>
      <c r="S397" s="268">
        <f>IFERROR(INDEX('Ashed teabags dry'!$K$2:$K$2000,MATCH(L397,'Ashed teabags dry'!$A$2:$A$2000,0)),"")</f>
        <v>93.555555555555571</v>
      </c>
      <c r="T397" s="268" t="str">
        <f t="shared" si="32"/>
        <v/>
      </c>
      <c r="U397" s="258">
        <f>IF('Dry_Litterbag Placem_Collection'!E178="","",'Dry_Litterbag Placem_Collection'!E178)</f>
        <v>42940</v>
      </c>
      <c r="V397" s="258">
        <f>IF('Dry_Litterbag Placem_Collection'!G178="","",'Dry_Litterbag Placem_Collection'!G178)</f>
        <v>43009</v>
      </c>
      <c r="W397" s="259">
        <f t="shared" si="30"/>
        <v>69</v>
      </c>
      <c r="X397" s="257" t="str">
        <f t="shared" si="33"/>
        <v/>
      </c>
      <c r="Y397" s="257" t="str">
        <f t="shared" si="34"/>
        <v/>
      </c>
      <c r="Z397" s="261">
        <f>IFERROR(INDEX([3]Rainfall_Dry!$O$2:$O$217,MATCH(C397, [3]Rainfall_Dry!$A$2:$A$217,0)),"")</f>
        <v>162.634207253</v>
      </c>
      <c r="AA397" s="250">
        <v>23.96</v>
      </c>
      <c r="AB397" s="250">
        <v>4.9199999999999982</v>
      </c>
      <c r="AC397" s="250">
        <v>71.12</v>
      </c>
      <c r="AD397" s="251" t="s">
        <v>2651</v>
      </c>
      <c r="AE397" s="250">
        <v>10.309137506160701</v>
      </c>
      <c r="AF397">
        <f>IF('WetLitterbags placem_collection'!AB178="","",'WetLitterbags placem_collection'!AB178)</f>
        <v>6.8</v>
      </c>
      <c r="AG397">
        <f>IF('WetLitterbags placem_collection'!Z178="","",'WetLitterbags placem_collection'!Z178)</f>
        <v>6.9</v>
      </c>
      <c r="AH397" s="236" t="str">
        <f>IF('WetLitterbags placem_collection'!AA178="","",'WetLitterbags placem_collection'!AA178)</f>
        <v>O</v>
      </c>
      <c r="AI397">
        <f>IF('WetLitterbags placem_collection'!AC178="","",'WetLitterbags placem_collection'!AC178)</f>
        <v>0</v>
      </c>
      <c r="AJ397">
        <f>IFERROR(AVERAGE('Dry_Litterbag Placem_Collection'!O178,'Dry_Litterbag Placem_Collection'!R178),"")</f>
        <v>4.5999999999999996</v>
      </c>
      <c r="AK397" s="261">
        <f>IFERROR(AVERAGE('Dry_Litterbag Placem_Collection'!N178,'Dry_Litterbag Placem_Collection'!Q178),"")</f>
        <v>34.5</v>
      </c>
      <c r="AL397" s="260">
        <f>INDEX([2]Coordinates!$B$2:$B$197,MATCH(I397,[2]Coordinates!$J$2:$J$197,0))</f>
        <v>-2.2782909679999999</v>
      </c>
      <c r="AM397" s="260">
        <f>INDEX([2]Coordinates!$C$2:$C$197,MATCH(I397,[2]Coordinates!$J$2:$J$197,0))</f>
        <v>34.024574970000003</v>
      </c>
      <c r="AN397" s="260" t="str">
        <f>IF(ISNUMBER(SEARCH("C", 'Dry_Litterbag Placem_Collection'!T178)),"YES","NO")</f>
        <v>NO</v>
      </c>
      <c r="AO397" s="260" t="str">
        <f>IF(ISNUMBER(SEARCH("H", 'Dry_Litterbag Placem_Collection'!T178)),"YES","NO")</f>
        <v>YES</v>
      </c>
      <c r="AP397" s="260" t="str">
        <f>IF(ISNUMBER(SEARCH("R", 'Dry_Litterbag Placem_Collection'!T178)),"YES","NO")</f>
        <v>YES</v>
      </c>
    </row>
    <row r="398" spans="1:42" ht="15" customHeight="1">
      <c r="A398" t="s">
        <v>3248</v>
      </c>
      <c r="B398" s="252" t="s">
        <v>2643</v>
      </c>
      <c r="C398" s="253">
        <f>'Dry_Litterbag Placem_Collection'!A179</f>
        <v>177</v>
      </c>
      <c r="D398" s="253" t="str">
        <f>'Dry_Litterbag Placem_Collection'!B179</f>
        <v>Handajega</v>
      </c>
      <c r="E398" s="253" t="s">
        <v>2454</v>
      </c>
      <c r="F398" s="253" t="s">
        <v>2645</v>
      </c>
      <c r="G398" s="253">
        <v>3</v>
      </c>
      <c r="H398" s="253" t="s">
        <v>3129</v>
      </c>
      <c r="I398" s="254" t="str">
        <f>'Dry_Litterbag Placem_Collection'!C179</f>
        <v>Wet_W3_T1</v>
      </c>
      <c r="J398" s="255" t="s">
        <v>2525</v>
      </c>
      <c r="K398" s="262" t="s">
        <v>298</v>
      </c>
      <c r="L398" s="253" t="str">
        <f>IF(ISBLANK('Dry_Litterbag Placem_Collection'!K179),"","R"&amp;""&amp;'Dry_Litterbag Placem_Collection'!K179)</f>
        <v>R750</v>
      </c>
      <c r="M398" s="257">
        <f>IFERROR(INDEX('Green_rooibos initial weight'!$C$5:$C$2000,MATCH(L398, 'Green_rooibos initial weight'!$A$5:$A$2000,0)),"")</f>
        <v>2.2029999999999998</v>
      </c>
      <c r="N398" s="257">
        <f>IFERROR(M398-(TBIcalc!$Q$9+TBIcalc!$Q$10),"")</f>
        <v>1.9531999999999998</v>
      </c>
      <c r="O398" s="378">
        <f>AVERAGE(Ashed_controlls!$K$12:$K$14)</f>
        <v>2.2816647271287041</v>
      </c>
      <c r="P398" s="257">
        <f t="shared" si="31"/>
        <v>1.908634524549722</v>
      </c>
      <c r="Q398" s="257" t="str">
        <f>IFERROR(INDEX('Both teabags AfterDry'!$D$2:$D$2000,MATCH(L398,'Both teabags AfterDry'!$A$2:$A$2000,0)),"")</f>
        <v/>
      </c>
      <c r="R398" s="257" t="str">
        <f>IFERROR(IF(Q398&gt;0,Q398-(TBIcalc!$Q$9),""),"")</f>
        <v/>
      </c>
      <c r="S398" s="268" t="str">
        <f>IFERROR(INDEX('Ashed teabags dry'!$K$2:$K$2000,MATCH(L398,'Ashed teabags dry'!$A$2:$A$2000,0)),"")</f>
        <v/>
      </c>
      <c r="T398" s="268" t="str">
        <f t="shared" si="32"/>
        <v/>
      </c>
      <c r="U398" s="258">
        <f>IF('Dry_Litterbag Placem_Collection'!E179="","",'Dry_Litterbag Placem_Collection'!E179)</f>
        <v>42940</v>
      </c>
      <c r="V398" s="258">
        <f>IF('Dry_Litterbag Placem_Collection'!G179="","",'Dry_Litterbag Placem_Collection'!G179)</f>
        <v>43009</v>
      </c>
      <c r="W398" s="259">
        <f t="shared" si="30"/>
        <v>69</v>
      </c>
      <c r="X398" s="257" t="str">
        <f t="shared" si="33"/>
        <v/>
      </c>
      <c r="Y398" s="257" t="str">
        <f t="shared" si="34"/>
        <v/>
      </c>
      <c r="Z398" s="261">
        <f>IFERROR(INDEX([3]Rainfall_Dry!$O$2:$O$217,MATCH(C398, [3]Rainfall_Dry!$A$2:$A$217,0)),"")</f>
        <v>162.634207253</v>
      </c>
      <c r="AA398" s="250">
        <v>25.96</v>
      </c>
      <c r="AB398" s="250">
        <v>8.9200000000000017</v>
      </c>
      <c r="AC398" s="250">
        <v>65.12</v>
      </c>
      <c r="AD398" s="251" t="s">
        <v>2651</v>
      </c>
      <c r="AE398" s="250">
        <v>1.614588467225234</v>
      </c>
      <c r="AF398">
        <f>IF('WetLitterbags placem_collection'!AB179="","",'WetLitterbags placem_collection'!AB179)</f>
        <v>17.8</v>
      </c>
      <c r="AG398">
        <f>IF('WetLitterbags placem_collection'!Z179="","",'WetLitterbags placem_collection'!Z179)</f>
        <v>25.8</v>
      </c>
      <c r="AH398" s="236" t="str">
        <f>IF('WetLitterbags placem_collection'!AA179="","",'WetLitterbags placem_collection'!AA179)</f>
        <v>O</v>
      </c>
      <c r="AI398">
        <f>IF('WetLitterbags placem_collection'!AC179="","",'WetLitterbags placem_collection'!AC179)</f>
        <v>0</v>
      </c>
      <c r="AJ398">
        <f>IFERROR(AVERAGE('Dry_Litterbag Placem_Collection'!O179,'Dry_Litterbag Placem_Collection'!R179),"")</f>
        <v>4.6999999999999993</v>
      </c>
      <c r="AK398" s="261">
        <f>IFERROR(AVERAGE('Dry_Litterbag Placem_Collection'!N179,'Dry_Litterbag Placem_Collection'!Q179),"")</f>
        <v>34.150000000000006</v>
      </c>
      <c r="AL398" s="260">
        <f>INDEX([2]Coordinates!$B$2:$B$197,MATCH(I398,[2]Coordinates!$J$2:$J$197,0))</f>
        <v>-2.277740026</v>
      </c>
      <c r="AM398" s="260">
        <f>INDEX([2]Coordinates!$C$2:$C$197,MATCH(I398,[2]Coordinates!$J$2:$J$197,0))</f>
        <v>34.027640990000002</v>
      </c>
      <c r="AN398" s="260" t="str">
        <f>IF(ISNUMBER(SEARCH("C", 'Dry_Litterbag Placem_Collection'!T179)),"YES","NO")</f>
        <v>YES</v>
      </c>
      <c r="AO398" s="260" t="str">
        <f>IF(ISNUMBER(SEARCH("H", 'Dry_Litterbag Placem_Collection'!T179)),"YES","NO")</f>
        <v>YES</v>
      </c>
      <c r="AP398" s="260" t="str">
        <f>IF(ISNUMBER(SEARCH("R", 'Dry_Litterbag Placem_Collection'!T179)),"YES","NO")</f>
        <v>YES</v>
      </c>
    </row>
    <row r="399" spans="1:42" ht="15" customHeight="1">
      <c r="A399" t="s">
        <v>3248</v>
      </c>
      <c r="B399" s="252" t="s">
        <v>2643</v>
      </c>
      <c r="C399" s="253">
        <f>'Dry_Litterbag Placem_Collection'!A180</f>
        <v>178</v>
      </c>
      <c r="D399" s="253" t="str">
        <f>'Dry_Litterbag Placem_Collection'!B180</f>
        <v>Handajega</v>
      </c>
      <c r="E399" s="253" t="s">
        <v>2454</v>
      </c>
      <c r="F399" s="253" t="s">
        <v>2645</v>
      </c>
      <c r="G399" s="253">
        <v>3</v>
      </c>
      <c r="H399" s="253" t="s">
        <v>3129</v>
      </c>
      <c r="I399" s="254" t="str">
        <f>'Dry_Litterbag Placem_Collection'!C180</f>
        <v>Wet_W3_T2</v>
      </c>
      <c r="J399" s="255" t="s">
        <v>2525</v>
      </c>
      <c r="K399" s="262" t="s">
        <v>298</v>
      </c>
      <c r="L399" s="253" t="str">
        <f>IF(ISBLANK('Dry_Litterbag Placem_Collection'!K180),"","R"&amp;""&amp;'Dry_Litterbag Placem_Collection'!K180)</f>
        <v>R612</v>
      </c>
      <c r="M399" s="257">
        <f>IFERROR(INDEX('Green_rooibos initial weight'!$C$5:$C$2000,MATCH(L399, 'Green_rooibos initial weight'!$A$5:$A$2000,0)),"")</f>
        <v>2.11</v>
      </c>
      <c r="N399" s="257">
        <f>IFERROR(M399-(TBIcalc!$Q$9+TBIcalc!$Q$10),"")</f>
        <v>1.8601999999999999</v>
      </c>
      <c r="O399" s="378">
        <f>AVERAGE(Ashed_controlls!$K$12:$K$14)</f>
        <v>2.2816647271287041</v>
      </c>
      <c r="P399" s="257">
        <f t="shared" si="31"/>
        <v>1.8177564727459516</v>
      </c>
      <c r="Q399" s="257">
        <f>IFERROR(INDEX('Both teabags AfterDry'!$D$2:$D$2000,MATCH(L399,'Both teabags AfterDry'!$A$2:$A$2000,0)),"")</f>
        <v>0</v>
      </c>
      <c r="R399" s="257" t="str">
        <f>IFERROR(IF(Q399&gt;0,Q399-(TBIcalc!$Q$9),""),"")</f>
        <v/>
      </c>
      <c r="S399" s="268">
        <f>IFERROR(INDEX('Ashed teabags dry'!$K$2:$K$2000,MATCH(L399,'Ashed teabags dry'!$A$2:$A$2000,0)),"")</f>
        <v>94.417238001958822</v>
      </c>
      <c r="T399" s="268" t="str">
        <f t="shared" si="32"/>
        <v/>
      </c>
      <c r="U399" s="258">
        <f>IF('Dry_Litterbag Placem_Collection'!E180="","",'Dry_Litterbag Placem_Collection'!E180)</f>
        <v>42940</v>
      </c>
      <c r="V399" s="258">
        <f>IF('Dry_Litterbag Placem_Collection'!G180="","",'Dry_Litterbag Placem_Collection'!G180)</f>
        <v>43009</v>
      </c>
      <c r="W399" s="259">
        <f t="shared" si="30"/>
        <v>69</v>
      </c>
      <c r="X399" s="257" t="str">
        <f t="shared" si="33"/>
        <v/>
      </c>
      <c r="Y399" s="257" t="str">
        <f t="shared" si="34"/>
        <v/>
      </c>
      <c r="Z399" s="261">
        <f>IFERROR(INDEX([3]Rainfall_Dry!$O$2:$O$217,MATCH(C399, [3]Rainfall_Dry!$A$2:$A$217,0)),"")</f>
        <v>162.634207253</v>
      </c>
      <c r="AA399" s="250">
        <v>25.96</v>
      </c>
      <c r="AB399" s="250">
        <v>8.9200000000000017</v>
      </c>
      <c r="AC399" s="250">
        <v>65.12</v>
      </c>
      <c r="AD399" s="251" t="s">
        <v>2651</v>
      </c>
      <c r="AE399" s="250">
        <v>2.61458846722523</v>
      </c>
      <c r="AF399">
        <f>IF('WetLitterbags placem_collection'!AB180="","",'WetLitterbags placem_collection'!AB180)</f>
        <v>15.4</v>
      </c>
      <c r="AG399">
        <f>IF('WetLitterbags placem_collection'!Z180="","",'WetLitterbags placem_collection'!Z180)</f>
        <v>18.8</v>
      </c>
      <c r="AH399" s="236" t="str">
        <f>IF('WetLitterbags placem_collection'!AA180="","",'WetLitterbags placem_collection'!AA180)</f>
        <v>O</v>
      </c>
      <c r="AI399">
        <f>IF('WetLitterbags placem_collection'!AC180="","",'WetLitterbags placem_collection'!AC180)</f>
        <v>1</v>
      </c>
      <c r="AJ399">
        <f>IFERROR(AVERAGE('Dry_Litterbag Placem_Collection'!O180,'Dry_Litterbag Placem_Collection'!R180),"")</f>
        <v>4.5</v>
      </c>
      <c r="AK399" s="261">
        <f>IFERROR(AVERAGE('Dry_Litterbag Placem_Collection'!N180,'Dry_Litterbag Placem_Collection'!Q180),"")</f>
        <v>35.799999999999997</v>
      </c>
      <c r="AL399" s="260">
        <f>INDEX([2]Coordinates!$B$2:$B$197,MATCH(I399,[2]Coordinates!$J$2:$J$197,0))</f>
        <v>-2.2777889760000001</v>
      </c>
      <c r="AM399" s="260">
        <f>INDEX([2]Coordinates!$C$2:$C$197,MATCH(I399,[2]Coordinates!$J$2:$J$197,0))</f>
        <v>34.027664960000003</v>
      </c>
      <c r="AN399" s="260" t="str">
        <f>IF(ISNUMBER(SEARCH("C", 'Dry_Litterbag Placem_Collection'!T180)),"YES","NO")</f>
        <v>YES</v>
      </c>
      <c r="AO399" s="260" t="str">
        <f>IF(ISNUMBER(SEARCH("H", 'Dry_Litterbag Placem_Collection'!T180)),"YES","NO")</f>
        <v>YES</v>
      </c>
      <c r="AP399" s="260" t="str">
        <f>IF(ISNUMBER(SEARCH("R", 'Dry_Litterbag Placem_Collection'!T180)),"YES","NO")</f>
        <v>NO</v>
      </c>
    </row>
    <row r="400" spans="1:42" ht="15" customHeight="1">
      <c r="A400" t="s">
        <v>3248</v>
      </c>
      <c r="B400" s="252" t="s">
        <v>2643</v>
      </c>
      <c r="C400" s="253">
        <f>'Dry_Litterbag Placem_Collection'!A181</f>
        <v>179</v>
      </c>
      <c r="D400" s="253" t="str">
        <f>'Dry_Litterbag Placem_Collection'!B181</f>
        <v>Handajega</v>
      </c>
      <c r="E400" s="253" t="s">
        <v>2454</v>
      </c>
      <c r="F400" s="253" t="s">
        <v>2645</v>
      </c>
      <c r="G400" s="253">
        <v>3</v>
      </c>
      <c r="H400" s="253" t="s">
        <v>3129</v>
      </c>
      <c r="I400" s="254" t="str">
        <f>'Dry_Litterbag Placem_Collection'!C181</f>
        <v>Wet_W3_T3</v>
      </c>
      <c r="J400" s="255" t="s">
        <v>2525</v>
      </c>
      <c r="K400" s="262" t="s">
        <v>298</v>
      </c>
      <c r="L400" s="253" t="str">
        <f>IF(ISBLANK('Dry_Litterbag Placem_Collection'!K181),"","R"&amp;""&amp;'Dry_Litterbag Placem_Collection'!K181)</f>
        <v>R491</v>
      </c>
      <c r="M400" s="257">
        <f>IFERROR(INDEX('Green_rooibos initial weight'!$C$5:$C$2000,MATCH(L400, 'Green_rooibos initial weight'!$A$5:$A$2000,0)),"")</f>
        <v>2.2690000000000001</v>
      </c>
      <c r="N400" s="257">
        <f>IFERROR(M400-(TBIcalc!$Q$9+TBIcalc!$Q$10),"")</f>
        <v>2.0192000000000001</v>
      </c>
      <c r="O400" s="378">
        <f>AVERAGE(Ashed_controlls!$K$12:$K$14)</f>
        <v>2.2816647271287041</v>
      </c>
      <c r="P400" s="257">
        <f t="shared" si="31"/>
        <v>1.9731286258298173</v>
      </c>
      <c r="Q400" s="257">
        <f>IFERROR(INDEX('Both teabags AfterDry'!$D$2:$D$2000,MATCH(L400,'Both teabags AfterDry'!$A$2:$A$2000,0)),"")</f>
        <v>2.0198</v>
      </c>
      <c r="R400" s="257">
        <f>IFERROR(IF(Q400&gt;0,Q400-(TBIcalc!$Q$9),""),"")</f>
        <v>1.8692</v>
      </c>
      <c r="S400" s="268">
        <f>IFERROR(INDEX('Ashed teabags dry'!$K$2:$K$2000,MATCH(L400,'Ashed teabags dry'!$A$2:$A$2000,0)),"")</f>
        <v>14.684287812040845</v>
      </c>
      <c r="T400" s="268">
        <f t="shared" si="32"/>
        <v>1.5947212922173324</v>
      </c>
      <c r="U400" s="258">
        <f>IF('Dry_Litterbag Placem_Collection'!E181="","",'Dry_Litterbag Placem_Collection'!E181)</f>
        <v>42940</v>
      </c>
      <c r="V400" s="258">
        <f>IF('Dry_Litterbag Placem_Collection'!G181="","",'Dry_Litterbag Placem_Collection'!G181)</f>
        <v>43009</v>
      </c>
      <c r="W400" s="259">
        <f t="shared" si="30"/>
        <v>69</v>
      </c>
      <c r="X400" s="257">
        <f t="shared" si="33"/>
        <v>0.15000000000000013</v>
      </c>
      <c r="Y400" s="257">
        <f t="shared" si="34"/>
        <v>0.37840733361248491</v>
      </c>
      <c r="Z400" s="261">
        <f>IFERROR(INDEX([3]Rainfall_Dry!$O$2:$O$217,MATCH(C400, [3]Rainfall_Dry!$A$2:$A$217,0)),"")</f>
        <v>162.634207253</v>
      </c>
      <c r="AA400" s="250">
        <v>25.96</v>
      </c>
      <c r="AB400" s="250">
        <v>8.9200000000000017</v>
      </c>
      <c r="AC400" s="250">
        <v>65.12</v>
      </c>
      <c r="AD400" s="251" t="s">
        <v>2651</v>
      </c>
      <c r="AE400" s="250">
        <v>3.61458846722523</v>
      </c>
      <c r="AF400">
        <f>IF('WetLitterbags placem_collection'!AB181="","",'WetLitterbags placem_collection'!AB181)</f>
        <v>11.8</v>
      </c>
      <c r="AG400">
        <f>IF('WetLitterbags placem_collection'!Z181="","",'WetLitterbags placem_collection'!Z181)</f>
        <v>15.4</v>
      </c>
      <c r="AH400" s="236" t="str">
        <f>IF('WetLitterbags placem_collection'!AA181="","",'WetLitterbags placem_collection'!AA181)</f>
        <v>O</v>
      </c>
      <c r="AI400">
        <f>IF('WetLitterbags placem_collection'!AC181="","",'WetLitterbags placem_collection'!AC181)</f>
        <v>1</v>
      </c>
      <c r="AJ400">
        <f>IFERROR(AVERAGE('Dry_Litterbag Placem_Collection'!O181,'Dry_Litterbag Placem_Collection'!R181),"")</f>
        <v>5.8</v>
      </c>
      <c r="AK400" s="261">
        <f>IFERROR(AVERAGE('Dry_Litterbag Placem_Collection'!N181,'Dry_Litterbag Placem_Collection'!Q181),"")</f>
        <v>34.75</v>
      </c>
      <c r="AL400" s="260">
        <f>INDEX([2]Coordinates!$B$2:$B$197,MATCH(I400,[2]Coordinates!$J$2:$J$197,0))</f>
        <v>-2.2778579589999999</v>
      </c>
      <c r="AM400" s="260">
        <f>INDEX([2]Coordinates!$C$2:$C$197,MATCH(I400,[2]Coordinates!$J$2:$J$197,0))</f>
        <v>34.027682980000002</v>
      </c>
      <c r="AN400" s="260" t="str">
        <f>IF(ISNUMBER(SEARCH("C", 'Dry_Litterbag Placem_Collection'!T181)),"YES","NO")</f>
        <v>NO</v>
      </c>
      <c r="AO400" s="260" t="str">
        <f>IF(ISNUMBER(SEARCH("H", 'Dry_Litterbag Placem_Collection'!T181)),"YES","NO")</f>
        <v>NO</v>
      </c>
      <c r="AP400" s="260" t="str">
        <f>IF(ISNUMBER(SEARCH("R", 'Dry_Litterbag Placem_Collection'!T181)),"YES","NO")</f>
        <v>YES</v>
      </c>
    </row>
    <row r="401" spans="1:42" ht="15" customHeight="1">
      <c r="A401" t="s">
        <v>3248</v>
      </c>
      <c r="B401" s="252" t="s">
        <v>2643</v>
      </c>
      <c r="C401" s="253">
        <f>'Dry_Litterbag Placem_Collection'!A182</f>
        <v>180</v>
      </c>
      <c r="D401" s="253" t="str">
        <f>'Dry_Litterbag Placem_Collection'!B182</f>
        <v>Handajega</v>
      </c>
      <c r="E401" s="253" t="s">
        <v>2454</v>
      </c>
      <c r="F401" s="253" t="s">
        <v>2645</v>
      </c>
      <c r="G401" s="253">
        <v>3</v>
      </c>
      <c r="H401" s="253" t="s">
        <v>3129</v>
      </c>
      <c r="I401" s="254" t="str">
        <f>'Dry_Litterbag Placem_Collection'!C182</f>
        <v>Wet_W3_T4</v>
      </c>
      <c r="J401" s="255" t="s">
        <v>2525</v>
      </c>
      <c r="K401" s="262" t="s">
        <v>298</v>
      </c>
      <c r="L401" s="253" t="str">
        <f>IF(ISBLANK('Dry_Litterbag Placem_Collection'!K182),"","R"&amp;""&amp;'Dry_Litterbag Placem_Collection'!K182)</f>
        <v>R325</v>
      </c>
      <c r="M401" s="257">
        <f>IFERROR(INDEX('Green_rooibos initial weight'!$C$5:$C$2000,MATCH(L401, 'Green_rooibos initial weight'!$A$5:$A$2000,0)),"")</f>
        <v>2.2069999999999999</v>
      </c>
      <c r="N401" s="257">
        <f>IFERROR(M401-(TBIcalc!$Q$9+TBIcalc!$Q$10),"")</f>
        <v>1.9571999999999998</v>
      </c>
      <c r="O401" s="378">
        <f>AVERAGE(Ashed_controlls!$K$12:$K$14)</f>
        <v>2.2816647271287041</v>
      </c>
      <c r="P401" s="257">
        <f t="shared" si="31"/>
        <v>1.9125432579606367</v>
      </c>
      <c r="Q401" s="257">
        <f>IFERROR(INDEX('Both teabags AfterDry'!$D$2:$D$2000,MATCH(L401,'Both teabags AfterDry'!$A$2:$A$2000,0)),"")</f>
        <v>1.6720999999999999</v>
      </c>
      <c r="R401" s="257">
        <f>IFERROR(IF(Q401&gt;0,Q401-(TBIcalc!$Q$9),""),"")</f>
        <v>1.5214999999999999</v>
      </c>
      <c r="S401" s="268">
        <f>IFERROR(INDEX('Ashed teabags dry'!$K$2:$K$2000,MATCH(L401,'Ashed teabags dry'!$A$2:$A$2000,0)),"")</f>
        <v>6.4801178203239465</v>
      </c>
      <c r="T401" s="268">
        <f t="shared" si="32"/>
        <v>1.422905007363771</v>
      </c>
      <c r="U401" s="258">
        <f>IF('Dry_Litterbag Placem_Collection'!E182="","",'Dry_Litterbag Placem_Collection'!E182)</f>
        <v>42940</v>
      </c>
      <c r="V401" s="258">
        <f>IF('Dry_Litterbag Placem_Collection'!G182="","",'Dry_Litterbag Placem_Collection'!G182)</f>
        <v>43009</v>
      </c>
      <c r="W401" s="259">
        <f t="shared" si="30"/>
        <v>69</v>
      </c>
      <c r="X401" s="257">
        <f t="shared" si="33"/>
        <v>0.43569999999999998</v>
      </c>
      <c r="Y401" s="257">
        <f t="shared" si="34"/>
        <v>0.48963825059686572</v>
      </c>
      <c r="Z401" s="261">
        <f>IFERROR(INDEX([3]Rainfall_Dry!$O$2:$O$217,MATCH(C401, [3]Rainfall_Dry!$A$2:$A$217,0)),"")</f>
        <v>162.634207253</v>
      </c>
      <c r="AA401" s="250">
        <v>25.96</v>
      </c>
      <c r="AB401" s="250">
        <v>8.9200000000000017</v>
      </c>
      <c r="AC401" s="250">
        <v>65.12</v>
      </c>
      <c r="AD401" s="251" t="s">
        <v>2651</v>
      </c>
      <c r="AE401" s="250">
        <v>4.6145884672252304</v>
      </c>
      <c r="AF401">
        <f>IF('WetLitterbags placem_collection'!AB182="","",'WetLitterbags placem_collection'!AB182)</f>
        <v>8.3000000000000007</v>
      </c>
      <c r="AG401">
        <f>IF('WetLitterbags placem_collection'!Z182="","",'WetLitterbags placem_collection'!Z182)</f>
        <v>35</v>
      </c>
      <c r="AH401" s="236" t="str">
        <f>IF('WetLitterbags placem_collection'!AA182="","",'WetLitterbags placem_collection'!AA182)</f>
        <v>O</v>
      </c>
      <c r="AI401">
        <f>IF('WetLitterbags placem_collection'!AC182="","",'WetLitterbags placem_collection'!AC182)</f>
        <v>0</v>
      </c>
      <c r="AJ401">
        <f>IFERROR(AVERAGE('Dry_Litterbag Placem_Collection'!O182,'Dry_Litterbag Placem_Collection'!R182),"")</f>
        <v>5.3</v>
      </c>
      <c r="AK401" s="261">
        <f>IFERROR(AVERAGE('Dry_Litterbag Placem_Collection'!N182,'Dry_Litterbag Placem_Collection'!Q182),"")</f>
        <v>31</v>
      </c>
      <c r="AL401" s="260">
        <f>INDEX([2]Coordinates!$B$2:$B$197,MATCH(I401,[2]Coordinates!$J$2:$J$197,0))</f>
        <v>-2.2780199809999999</v>
      </c>
      <c r="AM401" s="260">
        <f>INDEX([2]Coordinates!$C$2:$C$197,MATCH(I401,[2]Coordinates!$J$2:$J$197,0))</f>
        <v>34.027705019999999</v>
      </c>
      <c r="AN401" s="260" t="str">
        <f>IF(ISNUMBER(SEARCH("C", 'Dry_Litterbag Placem_Collection'!T182)),"YES","NO")</f>
        <v>NO</v>
      </c>
      <c r="AO401" s="260" t="str">
        <f>IF(ISNUMBER(SEARCH("H", 'Dry_Litterbag Placem_Collection'!T182)),"YES","NO")</f>
        <v>NO</v>
      </c>
      <c r="AP401" s="260" t="str">
        <f>IF(ISNUMBER(SEARCH("R", 'Dry_Litterbag Placem_Collection'!T182)),"YES","NO")</f>
        <v>NO</v>
      </c>
    </row>
    <row r="402" spans="1:42" ht="15" customHeight="1">
      <c r="A402" t="s">
        <v>3248</v>
      </c>
      <c r="B402" s="252" t="s">
        <v>2643</v>
      </c>
      <c r="C402" s="253">
        <f>'Dry_Litterbag Placem_Collection'!A183</f>
        <v>181</v>
      </c>
      <c r="D402" s="253" t="str">
        <f>'Dry_Litterbag Placem_Collection'!B183</f>
        <v>Handajega</v>
      </c>
      <c r="E402" s="253" t="s">
        <v>2454</v>
      </c>
      <c r="F402" s="253" t="s">
        <v>2645</v>
      </c>
      <c r="G402" s="253">
        <v>3</v>
      </c>
      <c r="H402" s="253" t="s">
        <v>3129</v>
      </c>
      <c r="I402" s="254" t="str">
        <f>'Dry_Litterbag Placem_Collection'!C183</f>
        <v>Wet_W3_T5</v>
      </c>
      <c r="J402" s="255" t="s">
        <v>2525</v>
      </c>
      <c r="K402" s="262" t="s">
        <v>298</v>
      </c>
      <c r="L402" s="253" t="str">
        <f>IF(ISBLANK('Dry_Litterbag Placem_Collection'!K183),"","R"&amp;""&amp;'Dry_Litterbag Placem_Collection'!K183)</f>
        <v>R116</v>
      </c>
      <c r="M402" s="257">
        <f>IFERROR(INDEX('Green_rooibos initial weight'!$C$5:$C$2000,MATCH(L402, 'Green_rooibos initial weight'!$A$5:$A$2000,0)),"")</f>
        <v>2.2909999999999999</v>
      </c>
      <c r="N402" s="257">
        <f>IFERROR(M402-(TBIcalc!$Q$9+TBIcalc!$Q$10),"")</f>
        <v>2.0411999999999999</v>
      </c>
      <c r="O402" s="378">
        <f>AVERAGE(Ashed_controlls!$K$12:$K$14)</f>
        <v>2.2816647271287041</v>
      </c>
      <c r="P402" s="257">
        <f t="shared" si="31"/>
        <v>1.9946266595898487</v>
      </c>
      <c r="Q402" s="257">
        <f>IFERROR(INDEX('Both teabags AfterDry'!$D$2:$D$2000,MATCH(L402,'Both teabags AfterDry'!$A$2:$A$2000,0)),"")</f>
        <v>2.0322</v>
      </c>
      <c r="R402" s="257">
        <f>IFERROR(IF(Q402&gt;0,Q402-(TBIcalc!$Q$9),""),"")</f>
        <v>1.8815999999999999</v>
      </c>
      <c r="S402" s="268">
        <f>IFERROR(INDEX('Ashed teabags dry'!$K$2:$K$2000,MATCH(L402,'Ashed teabags dry'!$A$2:$A$2000,0)),"")</f>
        <v>7.2674418604643565</v>
      </c>
      <c r="T402" s="268">
        <f t="shared" si="32"/>
        <v>1.7448558139535026</v>
      </c>
      <c r="U402" s="258">
        <f>IF('Dry_Litterbag Placem_Collection'!E183="","",'Dry_Litterbag Placem_Collection'!E183)</f>
        <v>42940</v>
      </c>
      <c r="V402" s="258">
        <f>IF('Dry_Litterbag Placem_Collection'!G183="","",'Dry_Litterbag Placem_Collection'!G183)</f>
        <v>43009</v>
      </c>
      <c r="W402" s="259">
        <f t="shared" si="30"/>
        <v>69</v>
      </c>
      <c r="X402" s="257">
        <f t="shared" si="33"/>
        <v>0.15959999999999996</v>
      </c>
      <c r="Y402" s="257">
        <f t="shared" si="34"/>
        <v>0.24977084563634611</v>
      </c>
      <c r="Z402" s="261">
        <f>IFERROR(INDEX([3]Rainfall_Dry!$O$2:$O$217,MATCH(C402, [3]Rainfall_Dry!$A$2:$A$217,0)),"")</f>
        <v>162.634207253</v>
      </c>
      <c r="AA402" s="250">
        <v>25.96</v>
      </c>
      <c r="AB402" s="250">
        <v>8.9200000000000017</v>
      </c>
      <c r="AC402" s="250">
        <v>65.12</v>
      </c>
      <c r="AD402" s="251" t="s">
        <v>2651</v>
      </c>
      <c r="AE402" s="250">
        <v>5.6145884672252304</v>
      </c>
      <c r="AF402">
        <f>IF('WetLitterbags placem_collection'!AB183="","",'WetLitterbags placem_collection'!AB183)</f>
        <v>11.4</v>
      </c>
      <c r="AG402">
        <f>IF('WetLitterbags placem_collection'!Z183="","",'WetLitterbags placem_collection'!Z183)</f>
        <v>15.8</v>
      </c>
      <c r="AH402" s="236" t="str">
        <f>IF('WetLitterbags placem_collection'!AA183="","",'WetLitterbags placem_collection'!AA183)</f>
        <v>O</v>
      </c>
      <c r="AI402">
        <f>IF('WetLitterbags placem_collection'!AC183="","",'WetLitterbags placem_collection'!AC183)</f>
        <v>1</v>
      </c>
      <c r="AJ402">
        <f>IFERROR(AVERAGE('Dry_Litterbag Placem_Collection'!O183,'Dry_Litterbag Placem_Collection'!R183),"")</f>
        <v>4.3000000000000007</v>
      </c>
      <c r="AK402" s="261">
        <f>IFERROR(AVERAGE('Dry_Litterbag Placem_Collection'!N183,'Dry_Litterbag Placem_Collection'!Q183),"")</f>
        <v>35.099999999999994</v>
      </c>
      <c r="AL402" s="260">
        <f>INDEX([2]Coordinates!$B$2:$B$197,MATCH(I402,[2]Coordinates!$J$2:$J$197,0))</f>
        <v>-2.2777329850000001</v>
      </c>
      <c r="AM402" s="260">
        <f>INDEX([2]Coordinates!$C$2:$C$197,MATCH(I402,[2]Coordinates!$J$2:$J$197,0))</f>
        <v>34.027422970000003</v>
      </c>
      <c r="AN402" s="260" t="str">
        <f>IF(ISNUMBER(SEARCH("C", 'Dry_Litterbag Placem_Collection'!T183)),"YES","NO")</f>
        <v>NO</v>
      </c>
      <c r="AO402" s="260" t="str">
        <f>IF(ISNUMBER(SEARCH("H", 'Dry_Litterbag Placem_Collection'!T183)),"YES","NO")</f>
        <v>NO</v>
      </c>
      <c r="AP402" s="260" t="str">
        <f>IF(ISNUMBER(SEARCH("R", 'Dry_Litterbag Placem_Collection'!T183)),"YES","NO")</f>
        <v>YES</v>
      </c>
    </row>
    <row r="403" spans="1:42" ht="15" customHeight="1">
      <c r="A403" t="s">
        <v>3248</v>
      </c>
      <c r="B403" s="252" t="s">
        <v>2643</v>
      </c>
      <c r="C403" s="253">
        <f>'Dry_Litterbag Placem_Collection'!A184</f>
        <v>182</v>
      </c>
      <c r="D403" s="253" t="str">
        <f>'Dry_Litterbag Placem_Collection'!B184</f>
        <v>Handajega</v>
      </c>
      <c r="E403" s="253" t="s">
        <v>2454</v>
      </c>
      <c r="F403" s="253" t="s">
        <v>2645</v>
      </c>
      <c r="G403" s="253">
        <v>3</v>
      </c>
      <c r="H403" s="253" t="s">
        <v>3129</v>
      </c>
      <c r="I403" s="254" t="str">
        <f>'Dry_Litterbag Placem_Collection'!C184</f>
        <v>Wet_W3_T6</v>
      </c>
      <c r="J403" s="255" t="s">
        <v>2525</v>
      </c>
      <c r="K403" s="262" t="s">
        <v>298</v>
      </c>
      <c r="L403" s="253" t="str">
        <f>IF(ISBLANK('Dry_Litterbag Placem_Collection'!K184),"","R"&amp;""&amp;'Dry_Litterbag Placem_Collection'!K184)</f>
        <v>R613</v>
      </c>
      <c r="M403" s="257">
        <f>IFERROR(INDEX('Green_rooibos initial weight'!$C$5:$C$2000,MATCH(L403, 'Green_rooibos initial weight'!$A$5:$A$2000,0)),"")</f>
        <v>2.1680000000000001</v>
      </c>
      <c r="N403" s="257">
        <f>IFERROR(M403-(TBIcalc!$Q$9+TBIcalc!$Q$10),"")</f>
        <v>1.9182000000000001</v>
      </c>
      <c r="O403" s="378">
        <f>AVERAGE(Ashed_controlls!$K$12:$K$14)</f>
        <v>2.2816647271287041</v>
      </c>
      <c r="P403" s="257">
        <f t="shared" si="31"/>
        <v>1.8744331072042173</v>
      </c>
      <c r="Q403" s="257">
        <f>IFERROR(INDEX('Both teabags AfterDry'!$D$2:$D$2000,MATCH(L403,'Both teabags AfterDry'!$A$2:$A$2000,0)),"")</f>
        <v>1.7827</v>
      </c>
      <c r="R403" s="257">
        <f>IFERROR(IF(Q403&gt;0,Q403-(TBIcalc!$Q$9),""),"")</f>
        <v>1.6320999999999999</v>
      </c>
      <c r="S403" s="268">
        <f>IFERROR(INDEX('Ashed teabags dry'!$K$2:$K$2000,MATCH(L403,'Ashed teabags dry'!$A$2:$A$2000,0)),"")</f>
        <v>22.3821339950374</v>
      </c>
      <c r="T403" s="268">
        <f t="shared" si="32"/>
        <v>1.2668011910669945</v>
      </c>
      <c r="U403" s="258">
        <f>IF('Dry_Litterbag Placem_Collection'!E184="","",'Dry_Litterbag Placem_Collection'!E184)</f>
        <v>42940</v>
      </c>
      <c r="V403" s="258">
        <f>IF('Dry_Litterbag Placem_Collection'!G184="","",'Dry_Litterbag Placem_Collection'!G184)</f>
        <v>43009</v>
      </c>
      <c r="W403" s="259">
        <f t="shared" si="30"/>
        <v>69</v>
      </c>
      <c r="X403" s="257">
        <f t="shared" si="33"/>
        <v>0.28610000000000024</v>
      </c>
      <c r="Y403" s="257">
        <f t="shared" si="34"/>
        <v>0.60763191613722278</v>
      </c>
      <c r="Z403" s="261">
        <f>IFERROR(INDEX([3]Rainfall_Dry!$O$2:$O$217,MATCH(C403, [3]Rainfall_Dry!$A$2:$A$217,0)),"")</f>
        <v>162.634207253</v>
      </c>
      <c r="AA403" s="250">
        <v>25.96</v>
      </c>
      <c r="AB403" s="250">
        <v>8.9200000000000017</v>
      </c>
      <c r="AC403" s="250">
        <v>65.12</v>
      </c>
      <c r="AD403" s="251" t="s">
        <v>2651</v>
      </c>
      <c r="AE403" s="250">
        <v>6.6145884672252304</v>
      </c>
      <c r="AF403">
        <f>IF('WetLitterbags placem_collection'!AB184="","",'WetLitterbags placem_collection'!AB184)</f>
        <v>8.8000000000000007</v>
      </c>
      <c r="AG403">
        <f>IF('WetLitterbags placem_collection'!Z184="","",'WetLitterbags placem_collection'!Z184)</f>
        <v>15.8</v>
      </c>
      <c r="AH403" s="236" t="str">
        <f>IF('WetLitterbags placem_collection'!AA184="","",'WetLitterbags placem_collection'!AA184)</f>
        <v>O</v>
      </c>
      <c r="AI403">
        <f>IF('WetLitterbags placem_collection'!AC184="","",'WetLitterbags placem_collection'!AC184)</f>
        <v>1</v>
      </c>
      <c r="AJ403">
        <f>IFERROR(AVERAGE('Dry_Litterbag Placem_Collection'!O184,'Dry_Litterbag Placem_Collection'!R184),"")</f>
        <v>6.55</v>
      </c>
      <c r="AK403" s="261">
        <f>IFERROR(AVERAGE('Dry_Litterbag Placem_Collection'!N184,'Dry_Litterbag Placem_Collection'!Q184),"")</f>
        <v>36.400000000000006</v>
      </c>
      <c r="AL403" s="260">
        <f>INDEX([2]Coordinates!$B$2:$B$197,MATCH(I403,[2]Coordinates!$J$2:$J$197,0))</f>
        <v>-2.2777009659999998</v>
      </c>
      <c r="AM403" s="260">
        <f>INDEX([2]Coordinates!$C$2:$C$197,MATCH(I403,[2]Coordinates!$J$2:$J$197,0))</f>
        <v>34.027393969999999</v>
      </c>
      <c r="AN403" s="260" t="str">
        <f>IF(ISNUMBER(SEARCH("C", 'Dry_Litterbag Placem_Collection'!T184)),"YES","NO")</f>
        <v>YES</v>
      </c>
      <c r="AO403" s="260" t="str">
        <f>IF(ISNUMBER(SEARCH("H", 'Dry_Litterbag Placem_Collection'!T184)),"YES","NO")</f>
        <v>YES</v>
      </c>
      <c r="AP403" s="260" t="str">
        <f>IF(ISNUMBER(SEARCH("R", 'Dry_Litterbag Placem_Collection'!T184)),"YES","NO")</f>
        <v>YES</v>
      </c>
    </row>
    <row r="404" spans="1:42" ht="15" customHeight="1">
      <c r="A404" t="s">
        <v>3248</v>
      </c>
      <c r="B404" s="252" t="s">
        <v>2643</v>
      </c>
      <c r="C404" s="253">
        <f>'Dry_Litterbag Placem_Collection'!A185</f>
        <v>183</v>
      </c>
      <c r="D404" s="253" t="str">
        <f>'Dry_Litterbag Placem_Collection'!B185</f>
        <v>Handajega</v>
      </c>
      <c r="E404" s="253" t="s">
        <v>2454</v>
      </c>
      <c r="F404" s="253" t="s">
        <v>2645</v>
      </c>
      <c r="G404" s="253">
        <v>3</v>
      </c>
      <c r="H404" s="253" t="s">
        <v>3129</v>
      </c>
      <c r="I404" s="254" t="str">
        <f>'Dry_Litterbag Placem_Collection'!C185</f>
        <v>Wet_W3_T7</v>
      </c>
      <c r="J404" s="255" t="s">
        <v>2525</v>
      </c>
      <c r="K404" s="262" t="s">
        <v>298</v>
      </c>
      <c r="L404" s="253" t="str">
        <f>IF(ISBLANK('Dry_Litterbag Placem_Collection'!K185),"","R"&amp;""&amp;'Dry_Litterbag Placem_Collection'!K185)</f>
        <v/>
      </c>
      <c r="M404" s="257" t="str">
        <f>IFERROR(INDEX('Green_rooibos initial weight'!$C$5:$C$2000,MATCH(L404, 'Green_rooibos initial weight'!$A$5:$A$2000,0)),"")</f>
        <v/>
      </c>
      <c r="N404" s="257" t="str">
        <f>IFERROR(M404-(TBIcalc!$Q$9+TBIcalc!$Q$10),"")</f>
        <v/>
      </c>
      <c r="O404" s="378">
        <f>AVERAGE(Ashed_controlls!$K$12:$K$14)</f>
        <v>2.2816647271287041</v>
      </c>
      <c r="P404" s="257" t="str">
        <f t="shared" si="31"/>
        <v/>
      </c>
      <c r="Q404" s="257" t="str">
        <f>IFERROR(INDEX('Both teabags AfterDry'!$D$2:$D$2000,MATCH(L404,'Both teabags AfterDry'!$A$2:$A$2000,0)),"")</f>
        <v/>
      </c>
      <c r="R404" s="257" t="str">
        <f>IFERROR(IF(Q404&gt;0,Q404-(TBIcalc!$Q$9),""),"")</f>
        <v/>
      </c>
      <c r="S404" s="268" t="str">
        <f>IFERROR(INDEX('Ashed teabags dry'!$K$2:$K$2000,MATCH(L404,'Ashed teabags dry'!$A$2:$A$2000,0)),"")</f>
        <v/>
      </c>
      <c r="T404" s="268" t="str">
        <f t="shared" si="32"/>
        <v/>
      </c>
      <c r="U404" s="258" t="str">
        <f>IF('Dry_Litterbag Placem_Collection'!E185="","",'Dry_Litterbag Placem_Collection'!E185)</f>
        <v/>
      </c>
      <c r="V404" s="258" t="str">
        <f>IF('Dry_Litterbag Placem_Collection'!G185="","",'Dry_Litterbag Placem_Collection'!G185)</f>
        <v/>
      </c>
      <c r="W404" s="259" t="str">
        <f t="shared" si="30"/>
        <v/>
      </c>
      <c r="X404" s="257" t="str">
        <f t="shared" si="33"/>
        <v/>
      </c>
      <c r="Y404" s="257" t="str">
        <f t="shared" si="34"/>
        <v/>
      </c>
      <c r="Z404" s="261" t="str">
        <f>IFERROR(INDEX([3]Rainfall_Dry!$O$2:$O$217,MATCH(C404, [3]Rainfall_Dry!$A$2:$A$217,0)),"")</f>
        <v/>
      </c>
      <c r="AA404" s="250">
        <v>25.96</v>
      </c>
      <c r="AB404" s="250">
        <v>8.9200000000000017</v>
      </c>
      <c r="AC404" s="250">
        <v>65.12</v>
      </c>
      <c r="AD404" s="251" t="s">
        <v>2651</v>
      </c>
      <c r="AE404" s="250">
        <v>7.6145884672252304</v>
      </c>
      <c r="AF404">
        <f>IF('WetLitterbags placem_collection'!AB185="","",'WetLitterbags placem_collection'!AB185)</f>
        <v>11.4</v>
      </c>
      <c r="AG404">
        <f>IF('WetLitterbags placem_collection'!Z185="","",'WetLitterbags placem_collection'!Z185)</f>
        <v>35.799999999999997</v>
      </c>
      <c r="AH404" s="236" t="str">
        <f>IF('WetLitterbags placem_collection'!AA185="","",'WetLitterbags placem_collection'!AA185)</f>
        <v>G</v>
      </c>
      <c r="AI404">
        <f>IF('WetLitterbags placem_collection'!AC185="","",'WetLitterbags placem_collection'!AC185)</f>
        <v>1</v>
      </c>
      <c r="AJ404" t="str">
        <f>IFERROR(AVERAGE('Dry_Litterbag Placem_Collection'!O185,'Dry_Litterbag Placem_Collection'!R185),"")</f>
        <v/>
      </c>
      <c r="AK404" s="261" t="str">
        <f>IFERROR(AVERAGE('Dry_Litterbag Placem_Collection'!N185,'Dry_Litterbag Placem_Collection'!Q185),"")</f>
        <v/>
      </c>
      <c r="AL404" s="260">
        <f>INDEX([2]Coordinates!$B$2:$B$197,MATCH(I404,[2]Coordinates!$J$2:$J$197,0))</f>
        <v>-2.2777790019999999</v>
      </c>
      <c r="AM404" s="260">
        <f>INDEX([2]Coordinates!$C$2:$C$197,MATCH(I404,[2]Coordinates!$J$2:$J$197,0))</f>
        <v>34.028066029999998</v>
      </c>
      <c r="AN404" s="260" t="str">
        <f>IF(ISNUMBER(SEARCH("C", 'Dry_Litterbag Placem_Collection'!T185)),"YES","NO")</f>
        <v>NO</v>
      </c>
      <c r="AO404" s="260" t="str">
        <f>IF(ISNUMBER(SEARCH("H", 'Dry_Litterbag Placem_Collection'!T185)),"YES","NO")</f>
        <v>NO</v>
      </c>
      <c r="AP404" s="260" t="str">
        <f>IF(ISNUMBER(SEARCH("R", 'Dry_Litterbag Placem_Collection'!T185)),"YES","NO")</f>
        <v>NO</v>
      </c>
    </row>
    <row r="405" spans="1:42" ht="15" customHeight="1">
      <c r="A405" t="s">
        <v>3248</v>
      </c>
      <c r="B405" s="252" t="s">
        <v>2643</v>
      </c>
      <c r="C405" s="253">
        <f>'Dry_Litterbag Placem_Collection'!A186</f>
        <v>184</v>
      </c>
      <c r="D405" s="253" t="str">
        <f>'Dry_Litterbag Placem_Collection'!B186</f>
        <v>Handajega</v>
      </c>
      <c r="E405" s="253" t="s">
        <v>2454</v>
      </c>
      <c r="F405" s="253" t="s">
        <v>2645</v>
      </c>
      <c r="G405" s="253">
        <v>3</v>
      </c>
      <c r="H405" s="253" t="s">
        <v>3129</v>
      </c>
      <c r="I405" s="254" t="str">
        <f>'Dry_Litterbag Placem_Collection'!C186</f>
        <v>Wet_W3_T8</v>
      </c>
      <c r="J405" s="255" t="s">
        <v>2525</v>
      </c>
      <c r="K405" s="262" t="s">
        <v>298</v>
      </c>
      <c r="L405" s="253" t="str">
        <f>IF(ISBLANK('Dry_Litterbag Placem_Collection'!K186),"","R"&amp;""&amp;'Dry_Litterbag Placem_Collection'!K186)</f>
        <v>R179</v>
      </c>
      <c r="M405" s="257">
        <f>IFERROR(INDEX('Green_rooibos initial weight'!$C$5:$C$2000,MATCH(L405, 'Green_rooibos initial weight'!$A$5:$A$2000,0)),"")</f>
        <v>2.177</v>
      </c>
      <c r="N405" s="257">
        <f>IFERROR(M405-(TBIcalc!$Q$9+TBIcalc!$Q$10),"")</f>
        <v>1.9272</v>
      </c>
      <c r="O405" s="378">
        <f>AVERAGE(Ashed_controlls!$K$12:$K$14)</f>
        <v>2.2816647271287041</v>
      </c>
      <c r="P405" s="257">
        <f t="shared" si="31"/>
        <v>1.8832277573787757</v>
      </c>
      <c r="Q405" s="257">
        <f>IFERROR(INDEX('Both teabags AfterDry'!$D$2:$D$2000,MATCH(L405,'Both teabags AfterDry'!$A$2:$A$2000,0)),"")</f>
        <v>1.7174</v>
      </c>
      <c r="R405" s="257">
        <f>IFERROR(IF(Q405&gt;0,Q405-(TBIcalc!$Q$9),""),"")</f>
        <v>1.5668</v>
      </c>
      <c r="S405" s="268">
        <f>IFERROR(INDEX('Ashed teabags dry'!$K$2:$K$2000,MATCH(L405,'Ashed teabags dry'!$A$2:$A$2000,0)),"")</f>
        <v>5.7032382793619867</v>
      </c>
      <c r="T405" s="268">
        <f t="shared" si="32"/>
        <v>1.4774416626389564</v>
      </c>
      <c r="U405" s="258">
        <f>IF('Dry_Litterbag Placem_Collection'!E186="","",'Dry_Litterbag Placem_Collection'!E186)</f>
        <v>42940</v>
      </c>
      <c r="V405" s="258">
        <f>IF('Dry_Litterbag Placem_Collection'!G186="","",'Dry_Litterbag Placem_Collection'!G186)</f>
        <v>43009</v>
      </c>
      <c r="W405" s="259">
        <f t="shared" si="30"/>
        <v>69</v>
      </c>
      <c r="X405" s="257">
        <f t="shared" si="33"/>
        <v>0.36040000000000005</v>
      </c>
      <c r="Y405" s="257">
        <f t="shared" si="34"/>
        <v>0.4057860947398193</v>
      </c>
      <c r="Z405" s="261">
        <f>IFERROR(INDEX([3]Rainfall_Dry!$O$2:$O$217,MATCH(C405, [3]Rainfall_Dry!$A$2:$A$217,0)),"")</f>
        <v>162.634207253</v>
      </c>
      <c r="AA405" s="250">
        <v>25.96</v>
      </c>
      <c r="AB405" s="250">
        <v>8.9200000000000017</v>
      </c>
      <c r="AC405" s="250">
        <v>65.12</v>
      </c>
      <c r="AD405" s="251" t="s">
        <v>2651</v>
      </c>
      <c r="AE405" s="250">
        <v>8.6145884672252304</v>
      </c>
      <c r="AF405">
        <f>IF('WetLitterbags placem_collection'!AB186="","",'WetLitterbags placem_collection'!AB186)</f>
        <v>3.7</v>
      </c>
      <c r="AG405">
        <f>IF('WetLitterbags placem_collection'!Z186="","",'WetLitterbags placem_collection'!Z186)</f>
        <v>16.399999999999999</v>
      </c>
      <c r="AH405" s="236" t="str">
        <f>IF('WetLitterbags placem_collection'!AA186="","",'WetLitterbags placem_collection'!AA186)</f>
        <v>O</v>
      </c>
      <c r="AI405">
        <f>IF('WetLitterbags placem_collection'!AC186="","",'WetLitterbags placem_collection'!AC186)</f>
        <v>0</v>
      </c>
      <c r="AJ405">
        <f>IFERROR(AVERAGE('Dry_Litterbag Placem_Collection'!O186,'Dry_Litterbag Placem_Collection'!R186),"")</f>
        <v>4.3</v>
      </c>
      <c r="AK405" s="261">
        <f>IFERROR(AVERAGE('Dry_Litterbag Placem_Collection'!N186,'Dry_Litterbag Placem_Collection'!Q186),"")</f>
        <v>28.05</v>
      </c>
      <c r="AL405" s="260">
        <f>INDEX([2]Coordinates!$B$2:$B$197,MATCH(I405,[2]Coordinates!$J$2:$J$197,0))</f>
        <v>-2.2775169829999999</v>
      </c>
      <c r="AM405" s="260">
        <f>INDEX([2]Coordinates!$C$2:$C$197,MATCH(I405,[2]Coordinates!$J$2:$J$197,0))</f>
        <v>34.027766970000002</v>
      </c>
      <c r="AN405" s="260" t="str">
        <f>IF(ISNUMBER(SEARCH("C", 'Dry_Litterbag Placem_Collection'!T186)),"YES","NO")</f>
        <v>NO</v>
      </c>
      <c r="AO405" s="260" t="str">
        <f>IF(ISNUMBER(SEARCH("H", 'Dry_Litterbag Placem_Collection'!T186)),"YES","NO")</f>
        <v>NO</v>
      </c>
      <c r="AP405" s="260" t="str">
        <f>IF(ISNUMBER(SEARCH("R", 'Dry_Litterbag Placem_Collection'!T186)),"YES","NO")</f>
        <v>YES</v>
      </c>
    </row>
    <row r="406" spans="1:42" ht="15" customHeight="1">
      <c r="A406" t="s">
        <v>3248</v>
      </c>
      <c r="B406" s="252" t="s">
        <v>2643</v>
      </c>
      <c r="C406" s="253">
        <f>'Dry_Litterbag Placem_Collection'!A187</f>
        <v>185</v>
      </c>
      <c r="D406" s="253" t="str">
        <f>'Dry_Litterbag Placem_Collection'!B187</f>
        <v>Handajega</v>
      </c>
      <c r="E406" s="253" t="s">
        <v>2454</v>
      </c>
      <c r="F406" s="253" t="s">
        <v>2645</v>
      </c>
      <c r="G406" s="253">
        <v>4</v>
      </c>
      <c r="H406" s="253" t="s">
        <v>3130</v>
      </c>
      <c r="I406" s="254" t="str">
        <f>'Dry_Litterbag Placem_Collection'!C187</f>
        <v>Wet_W4_T1</v>
      </c>
      <c r="J406" s="255" t="s">
        <v>2525</v>
      </c>
      <c r="K406" s="262" t="s">
        <v>298</v>
      </c>
      <c r="L406" s="253" t="str">
        <f>IF(ISBLANK('Dry_Litterbag Placem_Collection'!K187),"","R"&amp;""&amp;'Dry_Litterbag Placem_Collection'!K187)</f>
        <v>R300</v>
      </c>
      <c r="M406" s="257">
        <f>IFERROR(INDEX('Green_rooibos initial weight'!$C$5:$C$2000,MATCH(L406, 'Green_rooibos initial weight'!$A$5:$A$2000,0)),"")</f>
        <v>2.2330000000000001</v>
      </c>
      <c r="N406" s="257">
        <f>IFERROR(M406-(TBIcalc!$Q$9+TBIcalc!$Q$10),"")</f>
        <v>1.9832000000000001</v>
      </c>
      <c r="O406" s="378">
        <f>AVERAGE(Ashed_controlls!$K$12:$K$14)</f>
        <v>2.2816647271287041</v>
      </c>
      <c r="P406" s="257">
        <f t="shared" si="31"/>
        <v>1.9379500251315835</v>
      </c>
      <c r="Q406" s="257" t="str">
        <f>IFERROR(INDEX('Both teabags AfterDry'!$D$2:$D$2000,MATCH(L406,'Both teabags AfterDry'!$A$2:$A$2000,0)),"")</f>
        <v/>
      </c>
      <c r="R406" s="257" t="str">
        <f>IFERROR(IF(Q406&gt;0,Q406-(TBIcalc!$Q$9),""),"")</f>
        <v/>
      </c>
      <c r="S406" s="268" t="str">
        <f>IFERROR(INDEX('Ashed teabags dry'!$K$2:$K$2000,MATCH(L406,'Ashed teabags dry'!$A$2:$A$2000,0)),"")</f>
        <v/>
      </c>
      <c r="T406" s="268" t="str">
        <f t="shared" si="32"/>
        <v/>
      </c>
      <c r="U406" s="258">
        <f>IF('Dry_Litterbag Placem_Collection'!E187="","",'Dry_Litterbag Placem_Collection'!E187)</f>
        <v>42940</v>
      </c>
      <c r="V406" s="258">
        <f>IF('Dry_Litterbag Placem_Collection'!G187="","",'Dry_Litterbag Placem_Collection'!G187)</f>
        <v>43009</v>
      </c>
      <c r="W406" s="259">
        <f t="shared" si="30"/>
        <v>69</v>
      </c>
      <c r="X406" s="257" t="str">
        <f t="shared" si="33"/>
        <v/>
      </c>
      <c r="Y406" s="257" t="str">
        <f t="shared" si="34"/>
        <v/>
      </c>
      <c r="Z406" s="261">
        <f>IFERROR(INDEX([3]Rainfall_Dry!$O$2:$O$217,MATCH(C406, [3]Rainfall_Dry!$A$2:$A$217,0)),"")</f>
        <v>162.634207253</v>
      </c>
      <c r="AA406" s="250">
        <v>25.96</v>
      </c>
      <c r="AB406" s="250">
        <v>8.9200000000000017</v>
      </c>
      <c r="AC406" s="250">
        <v>65.12</v>
      </c>
      <c r="AD406" s="251" t="s">
        <v>2651</v>
      </c>
      <c r="AE406" s="250">
        <v>1.6991621488417901</v>
      </c>
      <c r="AF406">
        <f>IF('WetLitterbags placem_collection'!AB187="","",'WetLitterbags placem_collection'!AB187)</f>
        <v>9.8000000000000007</v>
      </c>
      <c r="AG406">
        <f>IF('WetLitterbags placem_collection'!Z187="","",'WetLitterbags placem_collection'!Z187)</f>
        <v>29.4</v>
      </c>
      <c r="AH406" s="236" t="str">
        <f>IF('WetLitterbags placem_collection'!AA187="","",'WetLitterbags placem_collection'!AA187)</f>
        <v>O</v>
      </c>
      <c r="AI406">
        <f>IF('WetLitterbags placem_collection'!AC187="","",'WetLitterbags placem_collection'!AC187)</f>
        <v>0</v>
      </c>
      <c r="AJ406">
        <f>IFERROR(AVERAGE('Dry_Litterbag Placem_Collection'!O187,'Dry_Litterbag Placem_Collection'!R187),"")</f>
        <v>4.9000000000000004</v>
      </c>
      <c r="AK406" s="261">
        <f>IFERROR(AVERAGE('Dry_Litterbag Placem_Collection'!N187,'Dry_Litterbag Placem_Collection'!Q187),"")</f>
        <v>35</v>
      </c>
      <c r="AL406" s="260">
        <f>INDEX([2]Coordinates!$B$2:$B$197,MATCH(I406,[2]Coordinates!$J$2:$J$197,0))</f>
        <v>-2.2787330300000002</v>
      </c>
      <c r="AM406" s="260">
        <f>INDEX([2]Coordinates!$C$2:$C$197,MATCH(I406,[2]Coordinates!$J$2:$J$197,0))</f>
        <v>34.032136029999997</v>
      </c>
      <c r="AN406" s="260" t="str">
        <f>IF(ISNUMBER(SEARCH("C", 'Dry_Litterbag Placem_Collection'!T187)),"YES","NO")</f>
        <v>NO</v>
      </c>
      <c r="AO406" s="260" t="str">
        <f>IF(ISNUMBER(SEARCH("H", 'Dry_Litterbag Placem_Collection'!T187)),"YES","NO")</f>
        <v>YES</v>
      </c>
      <c r="AP406" s="260" t="str">
        <f>IF(ISNUMBER(SEARCH("R", 'Dry_Litterbag Placem_Collection'!T187)),"YES","NO")</f>
        <v>NO</v>
      </c>
    </row>
    <row r="407" spans="1:42" ht="15" customHeight="1">
      <c r="A407" t="s">
        <v>3248</v>
      </c>
      <c r="B407" s="252" t="s">
        <v>2643</v>
      </c>
      <c r="C407" s="253">
        <f>'Dry_Litterbag Placem_Collection'!A188</f>
        <v>186</v>
      </c>
      <c r="D407" s="253" t="str">
        <f>'Dry_Litterbag Placem_Collection'!B188</f>
        <v>Handajega</v>
      </c>
      <c r="E407" s="253" t="s">
        <v>2454</v>
      </c>
      <c r="F407" s="253" t="s">
        <v>2645</v>
      </c>
      <c r="G407" s="253">
        <v>4</v>
      </c>
      <c r="H407" s="253" t="s">
        <v>3130</v>
      </c>
      <c r="I407" s="254" t="str">
        <f>'Dry_Litterbag Placem_Collection'!C188</f>
        <v>Wet_W4_T2</v>
      </c>
      <c r="J407" s="255" t="s">
        <v>2525</v>
      </c>
      <c r="K407" s="262" t="s">
        <v>298</v>
      </c>
      <c r="L407" s="253" t="str">
        <f>IF(ISBLANK('Dry_Litterbag Placem_Collection'!K188),"","R"&amp;""&amp;'Dry_Litterbag Placem_Collection'!K188)</f>
        <v>R717</v>
      </c>
      <c r="M407" s="257">
        <f>IFERROR(INDEX('Green_rooibos initial weight'!$C$5:$C$2000,MATCH(L407, 'Green_rooibos initial weight'!$A$5:$A$2000,0)),"")</f>
        <v>2.1619999999999999</v>
      </c>
      <c r="N407" s="257">
        <f>IFERROR(M407-(TBIcalc!$Q$9+TBIcalc!$Q$10),"")</f>
        <v>1.9121999999999999</v>
      </c>
      <c r="O407" s="378">
        <f>AVERAGE(Ashed_controlls!$K$12:$K$14)</f>
        <v>2.2816647271287041</v>
      </c>
      <c r="P407" s="257">
        <f t="shared" si="31"/>
        <v>1.8685700070878448</v>
      </c>
      <c r="Q407" s="257">
        <f>IFERROR(INDEX('Both teabags AfterDry'!$D$2:$D$2000,MATCH(L407,'Both teabags AfterDry'!$A$2:$A$2000,0)),"")</f>
        <v>1.7592000000000001</v>
      </c>
      <c r="R407" s="257">
        <f>IFERROR(IF(Q407&gt;0,Q407-(TBIcalc!$Q$9),""),"")</f>
        <v>1.6086</v>
      </c>
      <c r="S407" s="268">
        <f>IFERROR(INDEX('Ashed teabags dry'!$K$2:$K$2000,MATCH(L407,'Ashed teabags dry'!$A$2:$A$2000,0)),"")</f>
        <v>31.265266243282504</v>
      </c>
      <c r="T407" s="268">
        <f t="shared" si="32"/>
        <v>1.1056669272105577</v>
      </c>
      <c r="U407" s="258">
        <f>IF('Dry_Litterbag Placem_Collection'!E188="","",'Dry_Litterbag Placem_Collection'!E188)</f>
        <v>42940</v>
      </c>
      <c r="V407" s="258">
        <f>IF('Dry_Litterbag Placem_Collection'!G188="","",'Dry_Litterbag Placem_Collection'!G188)</f>
        <v>43009</v>
      </c>
      <c r="W407" s="259">
        <f t="shared" si="30"/>
        <v>69</v>
      </c>
      <c r="X407" s="257">
        <f t="shared" si="33"/>
        <v>0.30359999999999987</v>
      </c>
      <c r="Y407" s="257">
        <f t="shared" si="34"/>
        <v>0.76290307987728712</v>
      </c>
      <c r="Z407" s="261">
        <f>IFERROR(INDEX([3]Rainfall_Dry!$O$2:$O$217,MATCH(C407, [3]Rainfall_Dry!$A$2:$A$217,0)),"")</f>
        <v>162.634207253</v>
      </c>
      <c r="AA407" s="250">
        <v>25.96</v>
      </c>
      <c r="AB407" s="250">
        <v>8.9200000000000017</v>
      </c>
      <c r="AC407" s="250">
        <v>65.12</v>
      </c>
      <c r="AD407" s="251" t="s">
        <v>2651</v>
      </c>
      <c r="AE407" s="250">
        <v>2.6991621488417898</v>
      </c>
      <c r="AF407">
        <f>IF('WetLitterbags placem_collection'!AB188="","",'WetLitterbags placem_collection'!AB188)</f>
        <v>11.4</v>
      </c>
      <c r="AG407">
        <f>IF('WetLitterbags placem_collection'!Z188="","",'WetLitterbags placem_collection'!Z188)</f>
        <v>45.4</v>
      </c>
      <c r="AH407" s="236" t="str">
        <f>IF('WetLitterbags placem_collection'!AA188="","",'WetLitterbags placem_collection'!AA188)</f>
        <v>O</v>
      </c>
      <c r="AI407">
        <f>IF('WetLitterbags placem_collection'!AC188="","",'WetLitterbags placem_collection'!AC188)</f>
        <v>0</v>
      </c>
      <c r="AJ407">
        <f>IFERROR(AVERAGE('Dry_Litterbag Placem_Collection'!O188,'Dry_Litterbag Placem_Collection'!R188),"")</f>
        <v>7.55</v>
      </c>
      <c r="AK407" s="261">
        <f>IFERROR(AVERAGE('Dry_Litterbag Placem_Collection'!N188,'Dry_Litterbag Placem_Collection'!Q188),"")</f>
        <v>35.299999999999997</v>
      </c>
      <c r="AL407" s="260">
        <f>INDEX([2]Coordinates!$B$2:$B$197,MATCH(I407,[2]Coordinates!$J$2:$J$197,0))</f>
        <v>-2.278763037</v>
      </c>
      <c r="AM407" s="260">
        <f>INDEX([2]Coordinates!$C$2:$C$197,MATCH(I407,[2]Coordinates!$J$2:$J$197,0))</f>
        <v>34.031974009999999</v>
      </c>
      <c r="AN407" s="260" t="str">
        <f>IF(ISNUMBER(SEARCH("C", 'Dry_Litterbag Placem_Collection'!T188)),"YES","NO")</f>
        <v>YES</v>
      </c>
      <c r="AO407" s="260" t="str">
        <f>IF(ISNUMBER(SEARCH("H", 'Dry_Litterbag Placem_Collection'!T188)),"YES","NO")</f>
        <v>YES</v>
      </c>
      <c r="AP407" s="260" t="str">
        <f>IF(ISNUMBER(SEARCH("R", 'Dry_Litterbag Placem_Collection'!T188)),"YES","NO")</f>
        <v>NO</v>
      </c>
    </row>
    <row r="408" spans="1:42" ht="15" customHeight="1">
      <c r="A408" t="s">
        <v>3248</v>
      </c>
      <c r="B408" s="252" t="s">
        <v>2643</v>
      </c>
      <c r="C408" s="253">
        <f>'Dry_Litterbag Placem_Collection'!A189</f>
        <v>187</v>
      </c>
      <c r="D408" s="253" t="str">
        <f>'Dry_Litterbag Placem_Collection'!B189</f>
        <v>Handajega</v>
      </c>
      <c r="E408" s="253" t="s">
        <v>2454</v>
      </c>
      <c r="F408" s="253" t="s">
        <v>2645</v>
      </c>
      <c r="G408" s="253">
        <v>4</v>
      </c>
      <c r="H408" s="253" t="s">
        <v>3130</v>
      </c>
      <c r="I408" s="254" t="str">
        <f>'Dry_Litterbag Placem_Collection'!C189</f>
        <v>Wet_W4_T3</v>
      </c>
      <c r="J408" s="255" t="s">
        <v>2525</v>
      </c>
      <c r="K408" s="262" t="s">
        <v>298</v>
      </c>
      <c r="L408" s="253" t="str">
        <f>IF(ISBLANK('Dry_Litterbag Placem_Collection'!K189),"","R"&amp;""&amp;'Dry_Litterbag Placem_Collection'!K189)</f>
        <v>R759</v>
      </c>
      <c r="M408" s="257">
        <f>IFERROR(INDEX('Green_rooibos initial weight'!$C$5:$C$2000,MATCH(L408, 'Green_rooibos initial weight'!$A$5:$A$2000,0)),"")</f>
        <v>2.2469999999999999</v>
      </c>
      <c r="N408" s="257">
        <f>IFERROR(M408-(TBIcalc!$Q$9+TBIcalc!$Q$10),"")</f>
        <v>1.9971999999999999</v>
      </c>
      <c r="O408" s="378">
        <f>AVERAGE(Ashed_controlls!$K$12:$K$14)</f>
        <v>2.2816647271287041</v>
      </c>
      <c r="P408" s="257">
        <f t="shared" si="31"/>
        <v>1.9516305920697854</v>
      </c>
      <c r="Q408" s="257">
        <f>IFERROR(INDEX('Both teabags AfterDry'!$D$2:$D$2000,MATCH(L408,'Both teabags AfterDry'!$A$2:$A$2000,0)),"")</f>
        <v>1.7075</v>
      </c>
      <c r="R408" s="257">
        <f>IFERROR(IF(Q408&gt;0,Q408-(TBIcalc!$Q$9),""),"")</f>
        <v>1.5569</v>
      </c>
      <c r="S408" s="268">
        <f>IFERROR(INDEX('Ashed teabags dry'!$K$2:$K$2000,MATCH(L408,'Ashed teabags dry'!$A$2:$A$2000,0)),"")</f>
        <v>9.3676814988289312</v>
      </c>
      <c r="T408" s="268">
        <f t="shared" si="32"/>
        <v>1.4110545667447323</v>
      </c>
      <c r="U408" s="258">
        <f>IF('Dry_Litterbag Placem_Collection'!E189="","",'Dry_Litterbag Placem_Collection'!E189)</f>
        <v>42940</v>
      </c>
      <c r="V408" s="258">
        <f>IF('Dry_Litterbag Placem_Collection'!G189="","",'Dry_Litterbag Placem_Collection'!G189)</f>
        <v>43009</v>
      </c>
      <c r="W408" s="259">
        <f t="shared" si="30"/>
        <v>69</v>
      </c>
      <c r="X408" s="257">
        <f t="shared" si="33"/>
        <v>0.44029999999999991</v>
      </c>
      <c r="Y408" s="257">
        <f t="shared" si="34"/>
        <v>0.54057602532505311</v>
      </c>
      <c r="Z408" s="261">
        <f>IFERROR(INDEX([3]Rainfall_Dry!$O$2:$O$217,MATCH(C408, [3]Rainfall_Dry!$A$2:$A$217,0)),"")</f>
        <v>162.634207253</v>
      </c>
      <c r="AA408" s="250">
        <v>25.96</v>
      </c>
      <c r="AB408" s="250">
        <v>8.9200000000000017</v>
      </c>
      <c r="AC408" s="250">
        <v>65.12</v>
      </c>
      <c r="AD408" s="251" t="s">
        <v>2651</v>
      </c>
      <c r="AE408" s="250">
        <v>3.6991621488417898</v>
      </c>
      <c r="AF408">
        <f>IF('WetLitterbags placem_collection'!AB189="","",'WetLitterbags placem_collection'!AB189)</f>
        <v>0.6</v>
      </c>
      <c r="AG408">
        <f>IF('WetLitterbags placem_collection'!Z189="","",'WetLitterbags placem_collection'!Z189)</f>
        <v>39.4</v>
      </c>
      <c r="AH408" s="236" t="str">
        <f>IF('WetLitterbags placem_collection'!AA189="","",'WetLitterbags placem_collection'!AA189)</f>
        <v>O</v>
      </c>
      <c r="AI408">
        <f>IF('WetLitterbags placem_collection'!AC189="","",'WetLitterbags placem_collection'!AC189)</f>
        <v>1</v>
      </c>
      <c r="AJ408">
        <f>IFERROR(AVERAGE('Dry_Litterbag Placem_Collection'!O189,'Dry_Litterbag Placem_Collection'!R189),"")</f>
        <v>5.05</v>
      </c>
      <c r="AK408" s="261">
        <f>IFERROR(AVERAGE('Dry_Litterbag Placem_Collection'!N189,'Dry_Litterbag Placem_Collection'!Q189),"")</f>
        <v>35.150000000000006</v>
      </c>
      <c r="AL408" s="260">
        <f>INDEX([2]Coordinates!$B$2:$B$197,MATCH(I408,[2]Coordinates!$J$2:$J$197,0))</f>
        <v>-2.2785890289999999</v>
      </c>
      <c r="AM408" s="260">
        <f>INDEX([2]Coordinates!$C$2:$C$197,MATCH(I408,[2]Coordinates!$J$2:$J$197,0))</f>
        <v>34.031841999999997</v>
      </c>
      <c r="AN408" s="260" t="str">
        <f>IF(ISNUMBER(SEARCH("C", 'Dry_Litterbag Placem_Collection'!T189)),"YES","NO")</f>
        <v>NO</v>
      </c>
      <c r="AO408" s="260" t="str">
        <f>IF(ISNUMBER(SEARCH("H", 'Dry_Litterbag Placem_Collection'!T189)),"YES","NO")</f>
        <v>NO</v>
      </c>
      <c r="AP408" s="260" t="str">
        <f>IF(ISNUMBER(SEARCH("R", 'Dry_Litterbag Placem_Collection'!T189)),"YES","NO")</f>
        <v>NO</v>
      </c>
    </row>
    <row r="409" spans="1:42" ht="15" customHeight="1">
      <c r="A409" t="s">
        <v>3248</v>
      </c>
      <c r="B409" s="252" t="s">
        <v>2643</v>
      </c>
      <c r="C409" s="253">
        <f>'Dry_Litterbag Placem_Collection'!A190</f>
        <v>188</v>
      </c>
      <c r="D409" s="253" t="str">
        <f>'Dry_Litterbag Placem_Collection'!B190</f>
        <v>Handajega</v>
      </c>
      <c r="E409" s="253" t="s">
        <v>2454</v>
      </c>
      <c r="F409" s="253" t="s">
        <v>2645</v>
      </c>
      <c r="G409" s="253">
        <v>4</v>
      </c>
      <c r="H409" s="253" t="s">
        <v>3130</v>
      </c>
      <c r="I409" s="254" t="str">
        <f>'Dry_Litterbag Placem_Collection'!C190</f>
        <v>Wet_W4_T4</v>
      </c>
      <c r="J409" s="255" t="s">
        <v>2525</v>
      </c>
      <c r="K409" s="262" t="s">
        <v>298</v>
      </c>
      <c r="L409" s="253" t="str">
        <f>IF(ISBLANK('Dry_Litterbag Placem_Collection'!K190),"","R"&amp;""&amp;'Dry_Litterbag Placem_Collection'!K190)</f>
        <v>R357</v>
      </c>
      <c r="M409" s="257">
        <f>IFERROR(INDEX('Green_rooibos initial weight'!$C$5:$C$2000,MATCH(L409, 'Green_rooibos initial weight'!$A$5:$A$2000,0)),"")</f>
        <v>2.2090000000000001</v>
      </c>
      <c r="N409" s="257">
        <f>IFERROR(M409-(TBIcalc!$Q$9+TBIcalc!$Q$10),"")</f>
        <v>1.9592000000000001</v>
      </c>
      <c r="O409" s="378">
        <f>AVERAGE(Ashed_controlls!$K$12:$K$14)</f>
        <v>2.2816647271287041</v>
      </c>
      <c r="P409" s="257">
        <f t="shared" si="31"/>
        <v>1.9144976246660945</v>
      </c>
      <c r="Q409" s="257">
        <f>IFERROR(INDEX('Both teabags AfterDry'!$D$2:$D$2000,MATCH(L409,'Both teabags AfterDry'!$A$2:$A$2000,0)),"")</f>
        <v>0</v>
      </c>
      <c r="R409" s="257" t="str">
        <f>IFERROR(IF(Q409&gt;0,Q409-(TBIcalc!$Q$9),""),"")</f>
        <v/>
      </c>
      <c r="S409" s="268">
        <f>IFERROR(INDEX('Ashed teabags dry'!$K$2:$K$2000,MATCH(L409,'Ashed teabags dry'!$A$2:$A$2000,0)),"")</f>
        <v>0</v>
      </c>
      <c r="T409" s="268" t="str">
        <f t="shared" si="32"/>
        <v/>
      </c>
      <c r="U409" s="258">
        <f>IF('Dry_Litterbag Placem_Collection'!E190="","",'Dry_Litterbag Placem_Collection'!E190)</f>
        <v>42940</v>
      </c>
      <c r="V409" s="258">
        <f>IF('Dry_Litterbag Placem_Collection'!G190="","",'Dry_Litterbag Placem_Collection'!G190)</f>
        <v>43009</v>
      </c>
      <c r="W409" s="259">
        <f t="shared" si="30"/>
        <v>69</v>
      </c>
      <c r="X409" s="257" t="str">
        <f t="shared" si="33"/>
        <v/>
      </c>
      <c r="Y409" s="257" t="str">
        <f t="shared" si="34"/>
        <v/>
      </c>
      <c r="Z409" s="261">
        <f>IFERROR(INDEX([3]Rainfall_Dry!$O$2:$O$217,MATCH(C409, [3]Rainfall_Dry!$A$2:$A$217,0)),"")</f>
        <v>162.634207253</v>
      </c>
      <c r="AA409" s="250">
        <v>25.96</v>
      </c>
      <c r="AB409" s="250">
        <v>8.9200000000000017</v>
      </c>
      <c r="AC409" s="250">
        <v>65.12</v>
      </c>
      <c r="AD409" s="251" t="s">
        <v>2651</v>
      </c>
      <c r="AE409" s="250">
        <v>4.6991621488417898</v>
      </c>
      <c r="AF409">
        <f>IF('WetLitterbags placem_collection'!AB190="","",'WetLitterbags placem_collection'!AB190)</f>
        <v>2.2999999999999998</v>
      </c>
      <c r="AG409">
        <f>IF('WetLitterbags placem_collection'!Z190="","",'WetLitterbags placem_collection'!Z190)</f>
        <v>14.4</v>
      </c>
      <c r="AH409" s="236" t="str">
        <f>IF('WetLitterbags placem_collection'!AA190="","",'WetLitterbags placem_collection'!AA190)</f>
        <v>O</v>
      </c>
      <c r="AI409">
        <f>IF('WetLitterbags placem_collection'!AC190="","",'WetLitterbags placem_collection'!AC190)</f>
        <v>0</v>
      </c>
      <c r="AJ409">
        <f>IFERROR(AVERAGE('Dry_Litterbag Placem_Collection'!O190,'Dry_Litterbag Placem_Collection'!R190),"")</f>
        <v>7.35</v>
      </c>
      <c r="AK409" s="261">
        <f>IFERROR(AVERAGE('Dry_Litterbag Placem_Collection'!N190,'Dry_Litterbag Placem_Collection'!Q190),"")</f>
        <v>34.150000000000006</v>
      </c>
      <c r="AL409" s="260">
        <f>INDEX([2]Coordinates!$B$2:$B$197,MATCH(I409,[2]Coordinates!$J$2:$J$197,0))</f>
        <v>-2.278422983</v>
      </c>
      <c r="AM409" s="260">
        <f>INDEX([2]Coordinates!$C$2:$C$197,MATCH(I409,[2]Coordinates!$J$2:$J$197,0))</f>
        <v>34.032261009999999</v>
      </c>
      <c r="AN409" s="260" t="str">
        <f>IF(ISNUMBER(SEARCH("C", 'Dry_Litterbag Placem_Collection'!T190)),"YES","NO")</f>
        <v>YES</v>
      </c>
      <c r="AO409" s="260" t="str">
        <f>IF(ISNUMBER(SEARCH("H", 'Dry_Litterbag Placem_Collection'!T190)),"YES","NO")</f>
        <v>YES</v>
      </c>
      <c r="AP409" s="260" t="str">
        <f>IF(ISNUMBER(SEARCH("R", 'Dry_Litterbag Placem_Collection'!T190)),"YES","NO")</f>
        <v>YES</v>
      </c>
    </row>
    <row r="410" spans="1:42" ht="15" customHeight="1">
      <c r="A410" t="s">
        <v>3248</v>
      </c>
      <c r="B410" s="252" t="s">
        <v>2643</v>
      </c>
      <c r="C410" s="253">
        <f>'Dry_Litterbag Placem_Collection'!A191</f>
        <v>189</v>
      </c>
      <c r="D410" s="253" t="str">
        <f>'Dry_Litterbag Placem_Collection'!B191</f>
        <v>Handajega</v>
      </c>
      <c r="E410" s="253" t="s">
        <v>2454</v>
      </c>
      <c r="F410" s="253" t="s">
        <v>2645</v>
      </c>
      <c r="G410" s="253">
        <v>4</v>
      </c>
      <c r="H410" s="253" t="s">
        <v>3130</v>
      </c>
      <c r="I410" s="254" t="str">
        <f>'Dry_Litterbag Placem_Collection'!C191</f>
        <v>Wet_W4_T5</v>
      </c>
      <c r="J410" s="255" t="s">
        <v>2525</v>
      </c>
      <c r="K410" s="262" t="s">
        <v>298</v>
      </c>
      <c r="L410" s="253" t="str">
        <f>IF(ISBLANK('Dry_Litterbag Placem_Collection'!K191),"","R"&amp;""&amp;'Dry_Litterbag Placem_Collection'!K191)</f>
        <v>R18</v>
      </c>
      <c r="M410" s="257">
        <f>IFERROR(INDEX('Green_rooibos initial weight'!$C$5:$C$2000,MATCH(L410, 'Green_rooibos initial weight'!$A$5:$A$2000,0)),"")</f>
        <v>2.2519999999999998</v>
      </c>
      <c r="N410" s="257">
        <f>IFERROR(M410-(TBIcalc!$Q$9+TBIcalc!$Q$10),"")</f>
        <v>2.0021999999999998</v>
      </c>
      <c r="O410" s="378">
        <f>AVERAGE(Ashed_controlls!$K$12:$K$14)</f>
        <v>2.2816647271287041</v>
      </c>
      <c r="P410" s="257">
        <f t="shared" si="31"/>
        <v>1.9565165088334289</v>
      </c>
      <c r="Q410" s="257">
        <f>IFERROR(INDEX('Both teabags AfterDry'!$D$2:$D$2000,MATCH(L410,'Both teabags AfterDry'!$A$2:$A$2000,0)),"")</f>
        <v>0</v>
      </c>
      <c r="R410" s="257" t="str">
        <f>IFERROR(IF(Q410&gt;0,Q410-(TBIcalc!$Q$9),""),"")</f>
        <v/>
      </c>
      <c r="S410" s="268">
        <f>IFERROR(INDEX('Ashed teabags dry'!$K$2:$K$2000,MATCH(L410,'Ashed teabags dry'!$A$2:$A$2000,0)),"")</f>
        <v>91.674047829938516</v>
      </c>
      <c r="T410" s="268" t="str">
        <f t="shared" si="32"/>
        <v/>
      </c>
      <c r="U410" s="258">
        <f>IF('Dry_Litterbag Placem_Collection'!E191="","",'Dry_Litterbag Placem_Collection'!E191)</f>
        <v>42940</v>
      </c>
      <c r="V410" s="258">
        <f>IF('Dry_Litterbag Placem_Collection'!G191="","",'Dry_Litterbag Placem_Collection'!G191)</f>
        <v>43009</v>
      </c>
      <c r="W410" s="259">
        <f t="shared" si="30"/>
        <v>69</v>
      </c>
      <c r="X410" s="257" t="str">
        <f t="shared" si="33"/>
        <v/>
      </c>
      <c r="Y410" s="257" t="str">
        <f t="shared" si="34"/>
        <v/>
      </c>
      <c r="Z410" s="261">
        <f>IFERROR(INDEX([3]Rainfall_Dry!$O$2:$O$217,MATCH(C410, [3]Rainfall_Dry!$A$2:$A$217,0)),"")</f>
        <v>162.634207253</v>
      </c>
      <c r="AA410" s="250">
        <v>25.96</v>
      </c>
      <c r="AB410" s="250">
        <v>8.9200000000000017</v>
      </c>
      <c r="AC410" s="250">
        <v>65.12</v>
      </c>
      <c r="AD410" s="251" t="s">
        <v>2651</v>
      </c>
      <c r="AE410" s="250">
        <v>5.6991621488417898</v>
      </c>
      <c r="AF410">
        <f>IF('WetLitterbags placem_collection'!AB191="","",'WetLitterbags placem_collection'!AB191)</f>
        <v>0.6</v>
      </c>
      <c r="AG410">
        <f>IF('WetLitterbags placem_collection'!Z191="","",'WetLitterbags placem_collection'!Z191)</f>
        <v>7</v>
      </c>
      <c r="AH410" s="236" t="str">
        <f>IF('WetLitterbags placem_collection'!AA191="","",'WetLitterbags placem_collection'!AA191)</f>
        <v>O</v>
      </c>
      <c r="AI410">
        <f>IF('WetLitterbags placem_collection'!AC191="","",'WetLitterbags placem_collection'!AC191)</f>
        <v>1</v>
      </c>
      <c r="AJ410">
        <f>IFERROR(AVERAGE('Dry_Litterbag Placem_Collection'!O191,'Dry_Litterbag Placem_Collection'!R191),"")</f>
        <v>5.5</v>
      </c>
      <c r="AK410" s="261">
        <f>IFERROR(AVERAGE('Dry_Litterbag Placem_Collection'!N191,'Dry_Litterbag Placem_Collection'!Q191),"")</f>
        <v>33</v>
      </c>
      <c r="AL410" s="260">
        <f>INDEX([2]Coordinates!$B$2:$B$197,MATCH(I410,[2]Coordinates!$J$2:$J$197,0))</f>
        <v>-2.2787580080000001</v>
      </c>
      <c r="AM410" s="260">
        <f>INDEX([2]Coordinates!$C$2:$C$197,MATCH(I410,[2]Coordinates!$J$2:$J$197,0))</f>
        <v>34.032463010000001</v>
      </c>
      <c r="AN410" s="260" t="str">
        <f>IF(ISNUMBER(SEARCH("C", 'Dry_Litterbag Placem_Collection'!T191)),"YES","NO")</f>
        <v>NO</v>
      </c>
      <c r="AO410" s="260" t="str">
        <f>IF(ISNUMBER(SEARCH("H", 'Dry_Litterbag Placem_Collection'!T191)),"YES","NO")</f>
        <v>YES</v>
      </c>
      <c r="AP410" s="260" t="str">
        <f>IF(ISNUMBER(SEARCH("R", 'Dry_Litterbag Placem_Collection'!T191)),"YES","NO")</f>
        <v>YES</v>
      </c>
    </row>
    <row r="411" spans="1:42" ht="15" customHeight="1">
      <c r="A411" t="s">
        <v>3248</v>
      </c>
      <c r="B411" s="252" t="s">
        <v>2643</v>
      </c>
      <c r="C411" s="253">
        <f>'Dry_Litterbag Placem_Collection'!A192</f>
        <v>190</v>
      </c>
      <c r="D411" s="253" t="str">
        <f>'Dry_Litterbag Placem_Collection'!B192</f>
        <v>Handajega</v>
      </c>
      <c r="E411" s="253" t="s">
        <v>2454</v>
      </c>
      <c r="F411" s="253" t="s">
        <v>2645</v>
      </c>
      <c r="G411" s="253">
        <v>4</v>
      </c>
      <c r="H411" s="253" t="s">
        <v>3130</v>
      </c>
      <c r="I411" s="254" t="str">
        <f>'Dry_Litterbag Placem_Collection'!C192</f>
        <v>Wet_W4_T6</v>
      </c>
      <c r="J411" s="255" t="s">
        <v>2525</v>
      </c>
      <c r="K411" s="262" t="s">
        <v>298</v>
      </c>
      <c r="L411" s="253" t="str">
        <f>IF(ISBLANK('Dry_Litterbag Placem_Collection'!K192),"","R"&amp;""&amp;'Dry_Litterbag Placem_Collection'!K192)</f>
        <v>R397</v>
      </c>
      <c r="M411" s="257">
        <f>IFERROR(INDEX('Green_rooibos initial weight'!$C$5:$C$2000,MATCH(L411, 'Green_rooibos initial weight'!$A$5:$A$2000,0)),"")</f>
        <v>2.1970000000000001</v>
      </c>
      <c r="N411" s="257">
        <f>IFERROR(M411-(TBIcalc!$Q$9+TBIcalc!$Q$10),"")</f>
        <v>1.9472</v>
      </c>
      <c r="O411" s="378">
        <f>AVERAGE(Ashed_controlls!$K$12:$K$14)</f>
        <v>2.2816647271287041</v>
      </c>
      <c r="P411" s="257">
        <f t="shared" si="31"/>
        <v>1.90277142443335</v>
      </c>
      <c r="Q411" s="257">
        <f>IFERROR(INDEX('Both teabags AfterDry'!$D$2:$D$2000,MATCH(L411,'Both teabags AfterDry'!$A$2:$A$2000,0)),"")</f>
        <v>1.7444999999999999</v>
      </c>
      <c r="R411" s="257">
        <f>IFERROR(IF(Q411&gt;0,Q411-(TBIcalc!$Q$9),""),"")</f>
        <v>1.5938999999999999</v>
      </c>
      <c r="S411" s="268">
        <f>IFERROR(INDEX('Ashed teabags dry'!$K$2:$K$2000,MATCH(L411,'Ashed teabags dry'!$A$2:$A$2000,0)),"")</f>
        <v>11.059262715818997</v>
      </c>
      <c r="T411" s="268">
        <f t="shared" si="32"/>
        <v>1.417626411572561</v>
      </c>
      <c r="U411" s="258">
        <f>IF('Dry_Litterbag Placem_Collection'!E192="","",'Dry_Litterbag Placem_Collection'!E192)</f>
        <v>42940</v>
      </c>
      <c r="V411" s="258">
        <f>IF('Dry_Litterbag Placem_Collection'!G192="","",'Dry_Litterbag Placem_Collection'!G192)</f>
        <v>43009</v>
      </c>
      <c r="W411" s="259">
        <f t="shared" si="30"/>
        <v>69</v>
      </c>
      <c r="X411" s="257">
        <f t="shared" si="33"/>
        <v>0.35330000000000017</v>
      </c>
      <c r="Y411" s="257">
        <f t="shared" si="34"/>
        <v>0.48514501286078904</v>
      </c>
      <c r="Z411" s="261">
        <f>IFERROR(INDEX([3]Rainfall_Dry!$O$2:$O$217,MATCH(C411, [3]Rainfall_Dry!$A$2:$A$217,0)),"")</f>
        <v>162.634207253</v>
      </c>
      <c r="AA411" s="250">
        <v>25.96</v>
      </c>
      <c r="AB411" s="250">
        <v>8.9200000000000017</v>
      </c>
      <c r="AC411" s="250">
        <v>65.12</v>
      </c>
      <c r="AD411" s="251" t="s">
        <v>2651</v>
      </c>
      <c r="AE411" s="250">
        <v>6.6991621488417898</v>
      </c>
      <c r="AF411">
        <f>IF('WetLitterbags placem_collection'!AB192="","",'WetLitterbags placem_collection'!AB192)</f>
        <v>9.5</v>
      </c>
      <c r="AG411">
        <f>IF('WetLitterbags placem_collection'!Z192="","",'WetLitterbags placem_collection'!Z192)</f>
        <v>17.399999999999999</v>
      </c>
      <c r="AH411" s="236" t="str">
        <f>IF('WetLitterbags placem_collection'!AA192="","",'WetLitterbags placem_collection'!AA192)</f>
        <v>O</v>
      </c>
      <c r="AI411">
        <f>IF('WetLitterbags placem_collection'!AC192="","",'WetLitterbags placem_collection'!AC192)</f>
        <v>0</v>
      </c>
      <c r="AJ411">
        <f>IFERROR(AVERAGE('Dry_Litterbag Placem_Collection'!O192,'Dry_Litterbag Placem_Collection'!R192),"")</f>
        <v>5.0500000000000007</v>
      </c>
      <c r="AK411" s="261">
        <f>IFERROR(AVERAGE('Dry_Litterbag Placem_Collection'!N192,'Dry_Litterbag Placem_Collection'!Q192),"")</f>
        <v>36.049999999999997</v>
      </c>
      <c r="AL411" s="260">
        <f>INDEX([2]Coordinates!$B$2:$B$197,MATCH(I411,[2]Coordinates!$J$2:$J$197,0))</f>
        <v>-2.2787559960000001</v>
      </c>
      <c r="AM411" s="260">
        <f>INDEX([2]Coordinates!$C$2:$C$197,MATCH(I411,[2]Coordinates!$J$2:$J$197,0))</f>
        <v>34.032268969999997</v>
      </c>
      <c r="AN411" s="260" t="str">
        <f>IF(ISNUMBER(SEARCH("C", 'Dry_Litterbag Placem_Collection'!T192)),"YES","NO")</f>
        <v>NO</v>
      </c>
      <c r="AO411" s="260" t="str">
        <f>IF(ISNUMBER(SEARCH("H", 'Dry_Litterbag Placem_Collection'!T192)),"YES","NO")</f>
        <v>NO</v>
      </c>
      <c r="AP411" s="260" t="str">
        <f>IF(ISNUMBER(SEARCH("R", 'Dry_Litterbag Placem_Collection'!T192)),"YES","NO")</f>
        <v>NO</v>
      </c>
    </row>
    <row r="412" spans="1:42" ht="15" customHeight="1">
      <c r="A412" t="s">
        <v>3248</v>
      </c>
      <c r="B412" s="252" t="s">
        <v>2643</v>
      </c>
      <c r="C412" s="253">
        <f>'Dry_Litterbag Placem_Collection'!A193</f>
        <v>191</v>
      </c>
      <c r="D412" s="253" t="str">
        <f>'Dry_Litterbag Placem_Collection'!B193</f>
        <v>Handajega</v>
      </c>
      <c r="E412" s="253" t="s">
        <v>2454</v>
      </c>
      <c r="F412" s="253" t="s">
        <v>2645</v>
      </c>
      <c r="G412" s="253">
        <v>4</v>
      </c>
      <c r="H412" s="253" t="s">
        <v>3130</v>
      </c>
      <c r="I412" s="254" t="str">
        <f>'Dry_Litterbag Placem_Collection'!C193</f>
        <v>Wet_W4_T7</v>
      </c>
      <c r="J412" s="255" t="s">
        <v>2525</v>
      </c>
      <c r="K412" s="262" t="s">
        <v>298</v>
      </c>
      <c r="L412" s="253" t="str">
        <f>IF(ISBLANK('Dry_Litterbag Placem_Collection'!K193),"","R"&amp;""&amp;'Dry_Litterbag Placem_Collection'!K193)</f>
        <v>R715</v>
      </c>
      <c r="M412" s="257">
        <f>IFERROR(INDEX('Green_rooibos initial weight'!$C$5:$C$2000,MATCH(L412, 'Green_rooibos initial weight'!$A$5:$A$2000,0)),"")</f>
        <v>2.161</v>
      </c>
      <c r="N412" s="257">
        <f>IFERROR(M412-(TBIcalc!$Q$9+TBIcalc!$Q$10),"")</f>
        <v>1.9112</v>
      </c>
      <c r="O412" s="378">
        <f>AVERAGE(Ashed_controlls!$K$12:$K$14)</f>
        <v>2.2816647271287041</v>
      </c>
      <c r="P412" s="257">
        <f t="shared" si="31"/>
        <v>1.8675928237351163</v>
      </c>
      <c r="Q412" s="257">
        <f>IFERROR(INDEX('Both teabags AfterDry'!$D$2:$D$2000,MATCH(L412,'Both teabags AfterDry'!$A$2:$A$2000,0)),"")</f>
        <v>1.9014</v>
      </c>
      <c r="R412" s="257">
        <f>IFERROR(IF(Q412&gt;0,Q412-(TBIcalc!$Q$9),""),"")</f>
        <v>1.7507999999999999</v>
      </c>
      <c r="S412" s="268">
        <f>IFERROR(INDEX('Ashed teabags dry'!$K$2:$K$2000,MATCH(L412,'Ashed teabags dry'!$A$2:$A$2000,0)),"")</f>
        <v>5.9051306873185379</v>
      </c>
      <c r="T412" s="268">
        <f t="shared" si="32"/>
        <v>1.647412971926427</v>
      </c>
      <c r="U412" s="258">
        <f>IF('Dry_Litterbag Placem_Collection'!E193="","",'Dry_Litterbag Placem_Collection'!E193)</f>
        <v>42940</v>
      </c>
      <c r="V412" s="258">
        <f>IF('Dry_Litterbag Placem_Collection'!G193="","",'Dry_Litterbag Placem_Collection'!G193)</f>
        <v>43009</v>
      </c>
      <c r="W412" s="259">
        <f t="shared" si="30"/>
        <v>69</v>
      </c>
      <c r="X412" s="257">
        <f t="shared" si="33"/>
        <v>0.1604000000000001</v>
      </c>
      <c r="Y412" s="257">
        <f t="shared" si="34"/>
        <v>0.22017985180868926</v>
      </c>
      <c r="Z412" s="261">
        <f>IFERROR(INDEX([3]Rainfall_Dry!$O$2:$O$217,MATCH(C412, [3]Rainfall_Dry!$A$2:$A$217,0)),"")</f>
        <v>162.634207253</v>
      </c>
      <c r="AA412" s="250">
        <v>25.96</v>
      </c>
      <c r="AB412" s="250">
        <v>8.9200000000000017</v>
      </c>
      <c r="AC412" s="250">
        <v>65.12</v>
      </c>
      <c r="AD412" s="251" t="s">
        <v>2651</v>
      </c>
      <c r="AE412" s="250">
        <v>7.6991621488417898</v>
      </c>
      <c r="AF412">
        <f>IF('WetLitterbags placem_collection'!AB193="","",'WetLitterbags placem_collection'!AB193)</f>
        <v>12.4</v>
      </c>
      <c r="AG412">
        <f>IF('WetLitterbags placem_collection'!Z193="","",'WetLitterbags placem_collection'!Z193)</f>
        <v>29.8</v>
      </c>
      <c r="AH412" s="236" t="str">
        <f>IF('WetLitterbags placem_collection'!AA193="","",'WetLitterbags placem_collection'!AA193)</f>
        <v>O</v>
      </c>
      <c r="AI412">
        <f>IF('WetLitterbags placem_collection'!AC193="","",'WetLitterbags placem_collection'!AC193)</f>
        <v>0</v>
      </c>
      <c r="AJ412">
        <f>IFERROR(AVERAGE('Dry_Litterbag Placem_Collection'!O193,'Dry_Litterbag Placem_Collection'!R193),"")</f>
        <v>6.45</v>
      </c>
      <c r="AK412" s="261">
        <f>IFERROR(AVERAGE('Dry_Litterbag Placem_Collection'!N193,'Dry_Litterbag Placem_Collection'!Q193),"")</f>
        <v>36.349999999999994</v>
      </c>
      <c r="AL412" s="260">
        <f>INDEX([2]Coordinates!$B$2:$B$197,MATCH(I412,[2]Coordinates!$J$2:$J$197,0))</f>
        <v>-2.278704029</v>
      </c>
      <c r="AM412" s="260">
        <f>INDEX([2]Coordinates!$C$2:$C$197,MATCH(I412,[2]Coordinates!$J$2:$J$197,0))</f>
        <v>34.032182970000001</v>
      </c>
      <c r="AN412" s="260" t="str">
        <f>IF(ISNUMBER(SEARCH("C", 'Dry_Litterbag Placem_Collection'!T193)),"YES","NO")</f>
        <v>NO</v>
      </c>
      <c r="AO412" s="260" t="str">
        <f>IF(ISNUMBER(SEARCH("H", 'Dry_Litterbag Placem_Collection'!T193)),"YES","NO")</f>
        <v>NO</v>
      </c>
      <c r="AP412" s="260" t="str">
        <f>IF(ISNUMBER(SEARCH("R", 'Dry_Litterbag Placem_Collection'!T193)),"YES","NO")</f>
        <v>NO</v>
      </c>
    </row>
    <row r="413" spans="1:42" ht="15" customHeight="1">
      <c r="A413" t="s">
        <v>3248</v>
      </c>
      <c r="B413" s="252" t="s">
        <v>2643</v>
      </c>
      <c r="C413" s="253">
        <f>'Dry_Litterbag Placem_Collection'!A194</f>
        <v>192</v>
      </c>
      <c r="D413" s="253" t="str">
        <f>'Dry_Litterbag Placem_Collection'!B194</f>
        <v>Handajega</v>
      </c>
      <c r="E413" s="253" t="s">
        <v>2454</v>
      </c>
      <c r="F413" s="253" t="s">
        <v>2645</v>
      </c>
      <c r="G413" s="253">
        <v>4</v>
      </c>
      <c r="H413" s="253" t="s">
        <v>3130</v>
      </c>
      <c r="I413" s="254" t="str">
        <f>'Dry_Litterbag Placem_Collection'!C194</f>
        <v>Wet_W4_T8</v>
      </c>
      <c r="J413" s="255" t="s">
        <v>2525</v>
      </c>
      <c r="K413" s="262" t="s">
        <v>298</v>
      </c>
      <c r="L413" s="253" t="str">
        <f>IF(ISBLANK('Dry_Litterbag Placem_Collection'!K194),"","R"&amp;""&amp;'Dry_Litterbag Placem_Collection'!K194)</f>
        <v/>
      </c>
      <c r="M413" s="257" t="str">
        <f>IFERROR(INDEX('Green_rooibos initial weight'!$C$5:$C$2000,MATCH(L413, 'Green_rooibos initial weight'!$A$5:$A$2000,0)),"")</f>
        <v/>
      </c>
      <c r="N413" s="257" t="str">
        <f>IFERROR(M413-(TBIcalc!$Q$9+TBIcalc!$Q$10),"")</f>
        <v/>
      </c>
      <c r="O413" s="378">
        <f>AVERAGE(Ashed_controlls!$K$12:$K$14)</f>
        <v>2.2816647271287041</v>
      </c>
      <c r="P413" s="257" t="str">
        <f t="shared" si="31"/>
        <v/>
      </c>
      <c r="Q413" s="257" t="str">
        <f>IFERROR(INDEX('Both teabags AfterDry'!$D$2:$D$2000,MATCH(L413,'Both teabags AfterDry'!$A$2:$A$2000,0)),"")</f>
        <v/>
      </c>
      <c r="R413" s="257" t="str">
        <f>IFERROR(IF(Q413&gt;0,Q413-(TBIcalc!$Q$9),""),"")</f>
        <v/>
      </c>
      <c r="S413" s="268" t="str">
        <f>IFERROR(INDEX('Ashed teabags dry'!$K$2:$K$2000,MATCH(L413,'Ashed teabags dry'!$A$2:$A$2000,0)),"")</f>
        <v/>
      </c>
      <c r="T413" s="268" t="str">
        <f t="shared" si="32"/>
        <v/>
      </c>
      <c r="U413" s="258" t="str">
        <f>IF('Dry_Litterbag Placem_Collection'!E194="","",'Dry_Litterbag Placem_Collection'!E194)</f>
        <v/>
      </c>
      <c r="V413" s="258" t="str">
        <f>IF('Dry_Litterbag Placem_Collection'!G194="","",'Dry_Litterbag Placem_Collection'!G194)</f>
        <v/>
      </c>
      <c r="W413" s="259" t="str">
        <f t="shared" si="30"/>
        <v/>
      </c>
      <c r="X413" s="257" t="str">
        <f t="shared" si="33"/>
        <v/>
      </c>
      <c r="Y413" s="257" t="str">
        <f t="shared" si="34"/>
        <v/>
      </c>
      <c r="Z413" s="261" t="str">
        <f>IFERROR(INDEX([3]Rainfall_Dry!$O$2:$O$217,MATCH(C413, [3]Rainfall_Dry!$A$2:$A$217,0)),"")</f>
        <v/>
      </c>
      <c r="AA413" s="250">
        <v>25.96</v>
      </c>
      <c r="AB413" s="250">
        <v>8.9200000000000017</v>
      </c>
      <c r="AC413" s="250">
        <v>65.12</v>
      </c>
      <c r="AD413" s="251" t="s">
        <v>2651</v>
      </c>
      <c r="AE413" s="250">
        <v>8.6991621488417898</v>
      </c>
      <c r="AF413">
        <f>IF('WetLitterbags placem_collection'!AB194="","",'WetLitterbags placem_collection'!AB194)</f>
        <v>3.6</v>
      </c>
      <c r="AG413">
        <f>IF('WetLitterbags placem_collection'!Z194="","",'WetLitterbags placem_collection'!Z194)</f>
        <v>37.799999999999997</v>
      </c>
      <c r="AH413" s="236" t="str">
        <f>IF('WetLitterbags placem_collection'!AA194="","",'WetLitterbags placem_collection'!AA194)</f>
        <v>O</v>
      </c>
      <c r="AI413">
        <f>IF('WetLitterbags placem_collection'!AC194="","",'WetLitterbags placem_collection'!AC194)</f>
        <v>0</v>
      </c>
      <c r="AJ413" t="str">
        <f>IFERROR(AVERAGE('Dry_Litterbag Placem_Collection'!O194,'Dry_Litterbag Placem_Collection'!R194),"")</f>
        <v/>
      </c>
      <c r="AK413" s="261" t="str">
        <f>IFERROR(AVERAGE('Dry_Litterbag Placem_Collection'!N194,'Dry_Litterbag Placem_Collection'!Q194),"")</f>
        <v/>
      </c>
      <c r="AL413" s="260">
        <f>INDEX([2]Coordinates!$B$2:$B$197,MATCH(I413,[2]Coordinates!$J$2:$J$197,0))</f>
        <v>-2.2789770269999998</v>
      </c>
      <c r="AM413" s="260">
        <f>INDEX([2]Coordinates!$C$2:$C$197,MATCH(I413,[2]Coordinates!$J$2:$J$197,0))</f>
        <v>34.032051039999999</v>
      </c>
      <c r="AN413" s="260" t="str">
        <f>IF(ISNUMBER(SEARCH("C", 'Dry_Litterbag Placem_Collection'!T194)),"YES","NO")</f>
        <v>NO</v>
      </c>
      <c r="AO413" s="260" t="str">
        <f>IF(ISNUMBER(SEARCH("H", 'Dry_Litterbag Placem_Collection'!T194)),"YES","NO")</f>
        <v>NO</v>
      </c>
      <c r="AP413" s="260" t="str">
        <f>IF(ISNUMBER(SEARCH("R", 'Dry_Litterbag Placem_Collection'!T194)),"YES","NO")</f>
        <v>NO</v>
      </c>
    </row>
    <row r="414" spans="1:42" ht="15" customHeight="1">
      <c r="A414" t="s">
        <v>2490</v>
      </c>
      <c r="B414" s="252" t="s">
        <v>2643</v>
      </c>
      <c r="C414" s="253">
        <f>'Dry_Litterbag Placem_Collection'!A195</f>
        <v>193</v>
      </c>
      <c r="D414" s="253" t="str">
        <f>'Dry_Litterbag Placem_Collection'!B195</f>
        <v>Makao</v>
      </c>
      <c r="E414" s="253" t="s">
        <v>2643</v>
      </c>
      <c r="F414" s="253" t="s">
        <v>2644</v>
      </c>
      <c r="G414" s="253">
        <v>4</v>
      </c>
      <c r="H414" s="253" t="s">
        <v>3099</v>
      </c>
      <c r="I414" s="254" t="str">
        <f>'Dry_Litterbag Placem_Collection'!C195</f>
        <v>Dry_Ag1_CG4</v>
      </c>
      <c r="J414" s="255" t="s">
        <v>2525</v>
      </c>
      <c r="K414" s="262" t="s">
        <v>298</v>
      </c>
      <c r="L414" s="253" t="str">
        <f>IF(ISBLANK('Dry_Litterbag Placem_Collection'!K195),"","R"&amp;""&amp;'Dry_Litterbag Placem_Collection'!K195)</f>
        <v>R695</v>
      </c>
      <c r="M414" s="257">
        <f>IFERROR(INDEX('Green_rooibos initial weight'!$C$5:$C$2000,MATCH(L414, 'Green_rooibos initial weight'!$A$5:$A$2000,0)),"")</f>
        <v>2.1789999999999998</v>
      </c>
      <c r="N414" s="257">
        <f>IFERROR(M414-(TBIcalc!$Q$9+TBIcalc!$Q$10),"")</f>
        <v>1.9291999999999998</v>
      </c>
      <c r="O414" s="378">
        <f>AVERAGE(Ashed_controlls!$K$12:$K$14)</f>
        <v>2.2816647271287041</v>
      </c>
      <c r="P414" s="257">
        <f t="shared" si="31"/>
        <v>1.8851821240842328</v>
      </c>
      <c r="Q414" s="257">
        <f>IFERROR(INDEX('Both teabags AfterDry'!$D$2:$D$2000,MATCH(L414,'Both teabags AfterDry'!$A$2:$A$2000,0)),"")</f>
        <v>1.42</v>
      </c>
      <c r="R414" s="257">
        <f>IFERROR(IF(Q414&gt;0,Q414-(TBIcalc!$Q$9),""),"")</f>
        <v>1.2693999999999999</v>
      </c>
      <c r="S414" s="268">
        <f>IFERROR(INDEX('Ashed teabags dry'!$K$2:$K$2000,MATCH(L414,'Ashed teabags dry'!$A$2:$A$2000,0)),"")</f>
        <v>8.5788561525128699</v>
      </c>
      <c r="T414" s="268">
        <f t="shared" si="32"/>
        <v>1.1605000000000014</v>
      </c>
      <c r="U414" s="258">
        <f>IF('Dry_Litterbag Placem_Collection'!E195="","",'Dry_Litterbag Placem_Collection'!E195)</f>
        <v>42942</v>
      </c>
      <c r="V414" s="258">
        <f>IF('Dry_Litterbag Placem_Collection'!G195="","",'Dry_Litterbag Placem_Collection'!G195)</f>
        <v>43004</v>
      </c>
      <c r="W414" s="259">
        <f t="shared" si="30"/>
        <v>62</v>
      </c>
      <c r="X414" s="257">
        <f t="shared" si="33"/>
        <v>0.65979999999999994</v>
      </c>
      <c r="Y414" s="257">
        <f t="shared" si="34"/>
        <v>0.72468212408423138</v>
      </c>
      <c r="Z414" s="261">
        <f>IFERROR(INDEX([3]Rainfall_Dry!$O$2:$O$217,MATCH(C414, [3]Rainfall_Dry!$A$2:$A$217,0)),"")</f>
        <v>171.84818423999999</v>
      </c>
      <c r="AA414" s="250">
        <v>12.565665055683967</v>
      </c>
      <c r="AB414" s="250">
        <v>0.9665896196679955</v>
      </c>
      <c r="AC414" s="250">
        <v>86.467745324648035</v>
      </c>
      <c r="AD414" s="251" t="s">
        <v>2653</v>
      </c>
      <c r="AE414" s="250">
        <v>1.0225726959093147</v>
      </c>
      <c r="AF414">
        <f>IF('WetLitterbags placem_collection'!AB195="","",'WetLitterbags placem_collection'!AB195)</f>
        <v>15.2</v>
      </c>
      <c r="AG414">
        <f>IF('WetLitterbags placem_collection'!Z195="","",'WetLitterbags placem_collection'!Z195)</f>
        <v>12.2</v>
      </c>
      <c r="AH414" s="236" t="str">
        <f>IF('WetLitterbags placem_collection'!AA195="","",'WetLitterbags placem_collection'!AA195)</f>
        <v>O</v>
      </c>
      <c r="AI414">
        <f>IF('WetLitterbags placem_collection'!AC195="","",'WetLitterbags placem_collection'!AC195)</f>
        <v>1</v>
      </c>
      <c r="AJ414">
        <f>IFERROR(AVERAGE('Dry_Litterbag Placem_Collection'!O195,'Dry_Litterbag Placem_Collection'!R195),"")</f>
        <v>5.0999999999999996</v>
      </c>
      <c r="AK414" s="261">
        <f>IFERROR(AVERAGE('Dry_Litterbag Placem_Collection'!N195,'Dry_Litterbag Placem_Collection'!Q195),"")</f>
        <v>28.799999999999997</v>
      </c>
      <c r="AL414">
        <v>-2.4396949910000001</v>
      </c>
      <c r="AM414">
        <v>34.838574029999997</v>
      </c>
      <c r="AN414" s="260" t="str">
        <f>IF(ISNUMBER(SEARCH("C", 'Dry_Litterbag Placem_Collection'!T195)),"YES","NO")</f>
        <v>NO</v>
      </c>
      <c r="AO414" s="260" t="str">
        <f>IF(ISNUMBER(SEARCH("H", 'Dry_Litterbag Placem_Collection'!T195)),"YES","NO")</f>
        <v>NO</v>
      </c>
      <c r="AP414" s="260" t="str">
        <f>IF(ISNUMBER(SEARCH("R", 'Dry_Litterbag Placem_Collection'!T195)),"YES","NO")</f>
        <v>NO</v>
      </c>
    </row>
    <row r="415" spans="1:42" ht="15" customHeight="1">
      <c r="A415" t="s">
        <v>2490</v>
      </c>
      <c r="B415" s="252" t="s">
        <v>2643</v>
      </c>
      <c r="C415" s="253">
        <f>'Dry_Litterbag Placem_Collection'!A196</f>
        <v>194</v>
      </c>
      <c r="D415" s="253" t="str">
        <f>'Dry_Litterbag Placem_Collection'!B196</f>
        <v>Makao</v>
      </c>
      <c r="E415" s="253" t="s">
        <v>2643</v>
      </c>
      <c r="F415" s="253" t="s">
        <v>2644</v>
      </c>
      <c r="G415" s="253">
        <v>3</v>
      </c>
      <c r="H415" s="253" t="s">
        <v>3103</v>
      </c>
      <c r="I415" s="254" t="str">
        <f>'Dry_Litterbag Placem_Collection'!C196</f>
        <v>Dry_Ag2_CG3</v>
      </c>
      <c r="J415" s="255" t="s">
        <v>2525</v>
      </c>
      <c r="K415" s="262" t="s">
        <v>298</v>
      </c>
      <c r="L415" s="253" t="str">
        <f>IF(ISBLANK('Dry_Litterbag Placem_Collection'!K196),"","R"&amp;""&amp;'Dry_Litterbag Placem_Collection'!K196)</f>
        <v>R653</v>
      </c>
      <c r="M415" s="257">
        <f>IFERROR(INDEX('Green_rooibos initial weight'!$C$5:$C$2000,MATCH(L415, 'Green_rooibos initial weight'!$A$5:$A$2000,0)),"")</f>
        <v>2.1989999999999998</v>
      </c>
      <c r="N415" s="257">
        <f>IFERROR(M415-(TBIcalc!$Q$9+TBIcalc!$Q$10),"")</f>
        <v>1.9491999999999998</v>
      </c>
      <c r="O415" s="378">
        <f>AVERAGE(Ashed_controlls!$K$12:$K$14)</f>
        <v>2.2816647271287041</v>
      </c>
      <c r="P415" s="257">
        <f t="shared" si="31"/>
        <v>1.9047257911388071</v>
      </c>
      <c r="Q415" s="257">
        <f>IFERROR(INDEX('Both teabags AfterDry'!$D$2:$D$2000,MATCH(L415,'Both teabags AfterDry'!$A$2:$A$2000,0)),"")</f>
        <v>1.613</v>
      </c>
      <c r="R415" s="257">
        <f>IFERROR(IF(Q415&gt;0,Q415-(TBIcalc!$Q$9),""),"")</f>
        <v>1.4623999999999999</v>
      </c>
      <c r="S415" s="268">
        <f>IFERROR(INDEX('Ashed teabags dry'!$K$2:$K$2000,MATCH(L415,'Ashed teabags dry'!$A$2:$A$2000,0)),"")</f>
        <v>6.2529384109078929</v>
      </c>
      <c r="T415" s="268">
        <f t="shared" si="32"/>
        <v>1.3709570286788828</v>
      </c>
      <c r="U415" s="258">
        <f>IF('Dry_Litterbag Placem_Collection'!E196="","",'Dry_Litterbag Placem_Collection'!E196)</f>
        <v>42942</v>
      </c>
      <c r="V415" s="258">
        <f>IF('Dry_Litterbag Placem_Collection'!G196="","",'Dry_Litterbag Placem_Collection'!G196)</f>
        <v>43004</v>
      </c>
      <c r="W415" s="259">
        <f t="shared" si="30"/>
        <v>62</v>
      </c>
      <c r="X415" s="257">
        <f t="shared" si="33"/>
        <v>0.4867999999999999</v>
      </c>
      <c r="Y415" s="257">
        <f t="shared" si="34"/>
        <v>0.53376876245992433</v>
      </c>
      <c r="Z415" s="261">
        <f>IFERROR(INDEX([3]Rainfall_Dry!$O$2:$O$217,MATCH(C415, [3]Rainfall_Dry!$A$2:$A$217,0)),"")</f>
        <v>171.84818423999999</v>
      </c>
      <c r="AA415" s="250">
        <v>21.13063730679653</v>
      </c>
      <c r="AB415" s="250">
        <v>3.0912555579081076</v>
      </c>
      <c r="AC415" s="250">
        <v>75.778107135295357</v>
      </c>
      <c r="AD415" s="251" t="s">
        <v>2651</v>
      </c>
      <c r="AE415" s="250">
        <v>0.46131099063578063</v>
      </c>
      <c r="AF415">
        <f>IF('WetLitterbags placem_collection'!AB196="","",'WetLitterbags placem_collection'!AB196)</f>
        <v>7.9</v>
      </c>
      <c r="AG415">
        <f>IF('WetLitterbags placem_collection'!Z196="","",'WetLitterbags placem_collection'!Z196)</f>
        <v>7.9</v>
      </c>
      <c r="AH415" s="236" t="str">
        <f>IF('WetLitterbags placem_collection'!AA196="","",'WetLitterbags placem_collection'!AA196)</f>
        <v>O</v>
      </c>
      <c r="AI415">
        <f>IF('WetLitterbags placem_collection'!AC196="","",'WetLitterbags placem_collection'!AC196)</f>
        <v>1</v>
      </c>
      <c r="AJ415">
        <f>IFERROR(AVERAGE('Dry_Litterbag Placem_Collection'!O196,'Dry_Litterbag Placem_Collection'!R196),"")</f>
        <v>5.4</v>
      </c>
      <c r="AK415" s="261">
        <f>IFERROR(AVERAGE('Dry_Litterbag Placem_Collection'!N196,'Dry_Litterbag Placem_Collection'!Q196),"")</f>
        <v>30.849999999999998</v>
      </c>
      <c r="AL415">
        <v>-2.4395990190000001</v>
      </c>
      <c r="AM415">
        <v>34.838418959999998</v>
      </c>
      <c r="AN415" s="260" t="str">
        <f>IF(ISNUMBER(SEARCH("C", 'Dry_Litterbag Placem_Collection'!T196)),"YES","NO")</f>
        <v>NO</v>
      </c>
      <c r="AO415" s="260" t="str">
        <f>IF(ISNUMBER(SEARCH("H", 'Dry_Litterbag Placem_Collection'!T196)),"YES","NO")</f>
        <v>NO</v>
      </c>
      <c r="AP415" s="260" t="str">
        <f>IF(ISNUMBER(SEARCH("R", 'Dry_Litterbag Placem_Collection'!T196)),"YES","NO")</f>
        <v>YES</v>
      </c>
    </row>
    <row r="416" spans="1:42" ht="15" customHeight="1">
      <c r="A416" t="s">
        <v>2490</v>
      </c>
      <c r="B416" s="252" t="s">
        <v>2643</v>
      </c>
      <c r="C416" s="253">
        <f>'Dry_Litterbag Placem_Collection'!A197</f>
        <v>195</v>
      </c>
      <c r="D416" s="253" t="str">
        <f>'Dry_Litterbag Placem_Collection'!B197</f>
        <v>Makao</v>
      </c>
      <c r="E416" s="253" t="s">
        <v>2643</v>
      </c>
      <c r="F416" s="253" t="s">
        <v>2644</v>
      </c>
      <c r="G416" s="253">
        <v>2</v>
      </c>
      <c r="H416" s="253" t="s">
        <v>3104</v>
      </c>
      <c r="I416" s="254" t="str">
        <f>'Dry_Litterbag Placem_Collection'!C197</f>
        <v>Dry_Ag3_CG2</v>
      </c>
      <c r="J416" s="255" t="s">
        <v>2525</v>
      </c>
      <c r="K416" s="262" t="s">
        <v>298</v>
      </c>
      <c r="L416" s="253" t="str">
        <f>IF(ISBLANK('Dry_Litterbag Placem_Collection'!K197),"","R"&amp;""&amp;'Dry_Litterbag Placem_Collection'!K197)</f>
        <v>R389</v>
      </c>
      <c r="M416" s="257">
        <f>IFERROR(INDEX('Green_rooibos initial weight'!$C$5:$C$2000,MATCH(L416, 'Green_rooibos initial weight'!$A$5:$A$2000,0)),"")</f>
        <v>2.2349999999999999</v>
      </c>
      <c r="N416" s="257">
        <f>IFERROR(M416-(TBIcalc!$Q$9+TBIcalc!$Q$10),"")</f>
        <v>1.9851999999999999</v>
      </c>
      <c r="O416" s="378">
        <f>AVERAGE(Ashed_controlls!$K$12:$K$14)</f>
        <v>2.2816647271287041</v>
      </c>
      <c r="P416" s="257">
        <f t="shared" si="31"/>
        <v>1.9399043918370409</v>
      </c>
      <c r="Q416" s="257">
        <f>IFERROR(INDEX('Both teabags AfterDry'!$D$2:$D$2000,MATCH(L416,'Both teabags AfterDry'!$A$2:$A$2000,0)),"")</f>
        <v>0.78200000000000003</v>
      </c>
      <c r="R416" s="257">
        <f>IFERROR(IF(Q416&gt;0,Q416-(TBIcalc!$Q$9),""),"")</f>
        <v>0.63139999999999996</v>
      </c>
      <c r="S416" s="268">
        <f>IFERROR(INDEX('Ashed teabags dry'!$K$2:$K$2000,MATCH(L416,'Ashed teabags dry'!$A$2:$A$2000,0)),"")</f>
        <v>74.075764491100372</v>
      </c>
      <c r="T416" s="268">
        <f t="shared" si="32"/>
        <v>0.16368562300319223</v>
      </c>
      <c r="U416" s="258">
        <f>IF('Dry_Litterbag Placem_Collection'!E197="","",'Dry_Litterbag Placem_Collection'!E197)</f>
        <v>42942</v>
      </c>
      <c r="V416" s="258">
        <f>IF('Dry_Litterbag Placem_Collection'!G197="","",'Dry_Litterbag Placem_Collection'!G197)</f>
        <v>43004</v>
      </c>
      <c r="W416" s="259">
        <f t="shared" si="30"/>
        <v>62</v>
      </c>
      <c r="X416" s="257">
        <f t="shared" si="33"/>
        <v>1.3537999999999999</v>
      </c>
      <c r="Y416" s="257">
        <f t="shared" si="34"/>
        <v>1.7762187688338487</v>
      </c>
      <c r="Z416" s="261">
        <f>IFERROR(INDEX([3]Rainfall_Dry!$O$2:$O$217,MATCH(C416, [3]Rainfall_Dry!$A$2:$A$217,0)),"")</f>
        <v>171.84818423999999</v>
      </c>
      <c r="AA416" s="250">
        <v>54.080969906906262</v>
      </c>
      <c r="AB416" s="250">
        <v>21.264484651351896</v>
      </c>
      <c r="AC416" s="250">
        <v>24.654545441741845</v>
      </c>
      <c r="AD416" s="251" t="s">
        <v>2654</v>
      </c>
      <c r="AE416" s="250">
        <v>1.8433218334154755</v>
      </c>
      <c r="AF416">
        <f>IF('WetLitterbags placem_collection'!AB197="","",'WetLitterbags placem_collection'!AB197)</f>
        <v>5.13</v>
      </c>
      <c r="AG416">
        <f>IF('WetLitterbags placem_collection'!Z197="","",'WetLitterbags placem_collection'!Z197)</f>
        <v>5.13</v>
      </c>
      <c r="AH416" s="236" t="str">
        <f>IF('WetLitterbags placem_collection'!AA197="","",'WetLitterbags placem_collection'!AA197)</f>
        <v>O</v>
      </c>
      <c r="AI416">
        <f>IF('WetLitterbags placem_collection'!AC197="","",'WetLitterbags placem_collection'!AC197)</f>
        <v>1</v>
      </c>
      <c r="AJ416">
        <f>IFERROR(AVERAGE('Dry_Litterbag Placem_Collection'!O197,'Dry_Litterbag Placem_Collection'!R197),"")</f>
        <v>11.4</v>
      </c>
      <c r="AK416" s="261">
        <f>IFERROR(AVERAGE('Dry_Litterbag Placem_Collection'!N197,'Dry_Litterbag Placem_Collection'!Q197),"")</f>
        <v>28.1</v>
      </c>
      <c r="AL416">
        <v>-2.4396450349999999</v>
      </c>
      <c r="AM416">
        <v>34.83836599</v>
      </c>
      <c r="AN416" s="260" t="str">
        <f>IF(ISNUMBER(SEARCH("C", 'Dry_Litterbag Placem_Collection'!T197)),"YES","NO")</f>
        <v>NO</v>
      </c>
      <c r="AO416" s="260" t="str">
        <f>IF(ISNUMBER(SEARCH("H", 'Dry_Litterbag Placem_Collection'!T197)),"YES","NO")</f>
        <v>NO</v>
      </c>
      <c r="AP416" s="260" t="str">
        <f>IF(ISNUMBER(SEARCH("R", 'Dry_Litterbag Placem_Collection'!T197)),"YES","NO")</f>
        <v>YES</v>
      </c>
    </row>
    <row r="417" spans="1:42" ht="15" customHeight="1">
      <c r="A417" t="s">
        <v>2490</v>
      </c>
      <c r="B417" s="252" t="s">
        <v>2643</v>
      </c>
      <c r="C417" s="253">
        <f>'Dry_Litterbag Placem_Collection'!A198</f>
        <v>196</v>
      </c>
      <c r="D417" s="253" t="str">
        <f>'Dry_Litterbag Placem_Collection'!B198</f>
        <v>Makao</v>
      </c>
      <c r="E417" s="253" t="s">
        <v>2643</v>
      </c>
      <c r="F417" s="253" t="s">
        <v>2644</v>
      </c>
      <c r="G417" s="253">
        <v>1</v>
      </c>
      <c r="H417" s="253" t="s">
        <v>3105</v>
      </c>
      <c r="I417" s="254" t="str">
        <f>'Dry_Litterbag Placem_Collection'!C198</f>
        <v>Dry_Ag4_CG1</v>
      </c>
      <c r="J417" s="255" t="s">
        <v>2525</v>
      </c>
      <c r="K417" s="262" t="s">
        <v>298</v>
      </c>
      <c r="L417" s="253" t="str">
        <f>IF(ISBLANK('Dry_Litterbag Placem_Collection'!K198),"","R"&amp;""&amp;'Dry_Litterbag Placem_Collection'!K198)</f>
        <v>R455</v>
      </c>
      <c r="M417" s="257">
        <f>IFERROR(INDEX('Green_rooibos initial weight'!$C$5:$C$2000,MATCH(L417, 'Green_rooibos initial weight'!$A$5:$A$2000,0)),"")</f>
        <v>2.1850000000000001</v>
      </c>
      <c r="N417" s="257">
        <f>IFERROR(M417-(TBIcalc!$Q$9+TBIcalc!$Q$10),"")</f>
        <v>1.9352</v>
      </c>
      <c r="O417" s="378">
        <f>AVERAGE(Ashed_controlls!$K$12:$K$14)</f>
        <v>2.2816647271287041</v>
      </c>
      <c r="P417" s="257">
        <f t="shared" si="31"/>
        <v>1.8910452242006053</v>
      </c>
      <c r="Q417" s="257">
        <f>IFERROR(INDEX('Both teabags AfterDry'!$D$2:$D$2000,MATCH(L417,'Both teabags AfterDry'!$A$2:$A$2000,0)),"")</f>
        <v>0.19900000000000001</v>
      </c>
      <c r="R417" s="257">
        <f>IFERROR(IF(Q417&gt;0,Q417-(TBIcalc!$Q$9),""),"")</f>
        <v>4.8399999999999999E-2</v>
      </c>
      <c r="S417" s="268" t="str">
        <f>IFERROR(INDEX('Ashed teabags dry'!$K$2:$K$2000,MATCH(L417,'Ashed teabags dry'!$A$2:$A$2000,0)),"")</f>
        <v/>
      </c>
      <c r="T417" s="268" t="str">
        <f t="shared" si="32"/>
        <v/>
      </c>
      <c r="U417" s="258">
        <f>IF('Dry_Litterbag Placem_Collection'!E198="","",'Dry_Litterbag Placem_Collection'!E198)</f>
        <v>42942</v>
      </c>
      <c r="V417" s="258">
        <f>IF('Dry_Litterbag Placem_Collection'!G198="","",'Dry_Litterbag Placem_Collection'!G198)</f>
        <v>43004</v>
      </c>
      <c r="W417" s="259">
        <f t="shared" si="30"/>
        <v>62</v>
      </c>
      <c r="X417" s="257">
        <f t="shared" si="33"/>
        <v>1.8868</v>
      </c>
      <c r="Y417" s="257" t="str">
        <f t="shared" si="34"/>
        <v/>
      </c>
      <c r="Z417" s="261">
        <f>IFERROR(INDEX([3]Rainfall_Dry!$O$2:$O$217,MATCH(C417, [3]Rainfall_Dry!$A$2:$A$217,0)),"")</f>
        <v>171.84818423999999</v>
      </c>
      <c r="AA417" s="250">
        <v>51.960000000000008</v>
      </c>
      <c r="AB417" s="250">
        <v>18.919999999999995</v>
      </c>
      <c r="AC417" s="250">
        <v>29.120000000000005</v>
      </c>
      <c r="AD417" s="251" t="s">
        <v>2654</v>
      </c>
      <c r="AE417" s="250">
        <v>1.85293247905372</v>
      </c>
      <c r="AF417">
        <f>IF('WetLitterbags placem_collection'!AB198="","",'WetLitterbags placem_collection'!AB198)</f>
        <v>13.8</v>
      </c>
      <c r="AG417">
        <f>IF('WetLitterbags placem_collection'!Z198="","",'WetLitterbags placem_collection'!Z198)</f>
        <v>17.399999999999999</v>
      </c>
      <c r="AH417" s="236" t="str">
        <f>IF('WetLitterbags placem_collection'!AA198="","",'WetLitterbags placem_collection'!AA198)</f>
        <v>O</v>
      </c>
      <c r="AI417">
        <f>IF('WetLitterbags placem_collection'!AC198="","",'WetLitterbags placem_collection'!AC198)</f>
        <v>1</v>
      </c>
      <c r="AJ417">
        <f>IFERROR(AVERAGE('Dry_Litterbag Placem_Collection'!O198,'Dry_Litterbag Placem_Collection'!R198),"")</f>
        <v>12.45</v>
      </c>
      <c r="AK417" s="261">
        <f>IFERROR(AVERAGE('Dry_Litterbag Placem_Collection'!N198,'Dry_Litterbag Placem_Collection'!Q198),"")</f>
        <v>26.65</v>
      </c>
      <c r="AL417">
        <v>-2.439403972</v>
      </c>
      <c r="AM417">
        <v>34.838404959999998</v>
      </c>
      <c r="AN417" s="260" t="str">
        <f>IF(ISNUMBER(SEARCH("C", 'Dry_Litterbag Placem_Collection'!T198)),"YES","NO")</f>
        <v>NO</v>
      </c>
      <c r="AO417" s="260" t="str">
        <f>IF(ISNUMBER(SEARCH("H", 'Dry_Litterbag Placem_Collection'!T198)),"YES","NO")</f>
        <v>YES</v>
      </c>
      <c r="AP417" s="260" t="str">
        <f>IF(ISNUMBER(SEARCH("R", 'Dry_Litterbag Placem_Collection'!T198)),"YES","NO")</f>
        <v>NO</v>
      </c>
    </row>
    <row r="418" spans="1:42" ht="15" customHeight="1">
      <c r="A418" t="s">
        <v>2490</v>
      </c>
      <c r="B418" s="252" t="s">
        <v>2643</v>
      </c>
      <c r="C418" s="253">
        <f>'Dry_Litterbag Placem_Collection'!A199</f>
        <v>197</v>
      </c>
      <c r="D418" s="253" t="str">
        <f>'Dry_Litterbag Placem_Collection'!B199</f>
        <v>Makao</v>
      </c>
      <c r="E418" s="253" t="s">
        <v>2643</v>
      </c>
      <c r="F418" s="253" t="s">
        <v>20</v>
      </c>
      <c r="G418" s="253">
        <v>2</v>
      </c>
      <c r="H418" s="253" t="s">
        <v>3106</v>
      </c>
      <c r="I418" s="254" t="str">
        <f>'Dry_Litterbag Placem_Collection'!C199</f>
        <v>Dry_P1_CG2</v>
      </c>
      <c r="J418" s="255" t="s">
        <v>2525</v>
      </c>
      <c r="K418" s="262" t="s">
        <v>298</v>
      </c>
      <c r="L418" s="253" t="str">
        <f>IF(ISBLANK('Dry_Litterbag Placem_Collection'!K199),"","R"&amp;""&amp;'Dry_Litterbag Placem_Collection'!K199)</f>
        <v>R692</v>
      </c>
      <c r="M418" s="257">
        <f>IFERROR(INDEX('Green_rooibos initial weight'!$C$5:$C$2000,MATCH(L418, 'Green_rooibos initial weight'!$A$5:$A$2000,0)),"")</f>
        <v>2.1419999999999999</v>
      </c>
      <c r="N418" s="257">
        <f>IFERROR(M418-(TBIcalc!$Q$9+TBIcalc!$Q$10),"")</f>
        <v>1.8921999999999999</v>
      </c>
      <c r="O418" s="378">
        <f>AVERAGE(Ashed_controlls!$K$12:$K$14)</f>
        <v>2.2816647271287041</v>
      </c>
      <c r="P418" s="257">
        <f t="shared" si="31"/>
        <v>1.8490263400332705</v>
      </c>
      <c r="Q418" s="257">
        <f>IFERROR(INDEX('Both teabags AfterDry'!$D$2:$D$2000,MATCH(L418,'Both teabags AfterDry'!$A$2:$A$2000,0)),"")</f>
        <v>1.6160000000000001</v>
      </c>
      <c r="R418" s="257">
        <f>IFERROR(IF(Q418&gt;0,Q418-(TBIcalc!$Q$9),""),"")</f>
        <v>1.4654</v>
      </c>
      <c r="S418" s="268">
        <f>IFERROR(INDEX('Ashed teabags dry'!$K$2:$K$2000,MATCH(L418,'Ashed teabags dry'!$A$2:$A$2000,0)),"")</f>
        <v>6.6166740185264974</v>
      </c>
      <c r="T418" s="268">
        <f t="shared" si="32"/>
        <v>1.3684392589325127</v>
      </c>
      <c r="U418" s="258">
        <f>IF('Dry_Litterbag Placem_Collection'!E199="","",'Dry_Litterbag Placem_Collection'!E199)</f>
        <v>42942</v>
      </c>
      <c r="V418" s="258">
        <f>IF('Dry_Litterbag Placem_Collection'!G199="","",'Dry_Litterbag Placem_Collection'!G199)</f>
        <v>43004</v>
      </c>
      <c r="W418" s="259">
        <f t="shared" si="30"/>
        <v>62</v>
      </c>
      <c r="X418" s="257">
        <f t="shared" si="33"/>
        <v>0.42679999999999985</v>
      </c>
      <c r="Y418" s="257">
        <f t="shared" si="34"/>
        <v>0.48058708110075776</v>
      </c>
      <c r="Z418" s="261">
        <f>IFERROR(INDEX([3]Rainfall_Dry!$O$2:$O$217,MATCH(C418, [3]Rainfall_Dry!$A$2:$A$217,0)),"")</f>
        <v>171.84818423999999</v>
      </c>
      <c r="AA418" s="250">
        <v>23.96</v>
      </c>
      <c r="AB418" s="250">
        <v>0.91999999999999804</v>
      </c>
      <c r="AC418" s="250">
        <v>75.12</v>
      </c>
      <c r="AD418" s="251" t="s">
        <v>2651</v>
      </c>
      <c r="AE418" s="250">
        <v>1.2493839329719072</v>
      </c>
      <c r="AF418">
        <f>IF('WetLitterbags placem_collection'!AB199="","",'WetLitterbags placem_collection'!AB199)</f>
        <v>5.13</v>
      </c>
      <c r="AG418">
        <f>IF('WetLitterbags placem_collection'!Z199="","",'WetLitterbags placem_collection'!Z199)</f>
        <v>5.13</v>
      </c>
      <c r="AH418" s="236" t="str">
        <f>IF('WetLitterbags placem_collection'!AA199="","",'WetLitterbags placem_collection'!AA199)</f>
        <v>O</v>
      </c>
      <c r="AI418">
        <f>IF('WetLitterbags placem_collection'!AC199="","",'WetLitterbags placem_collection'!AC199)</f>
        <v>1</v>
      </c>
      <c r="AJ418">
        <f>IFERROR(AVERAGE('Dry_Litterbag Placem_Collection'!O199,'Dry_Litterbag Placem_Collection'!R199),"")</f>
        <v>6.3000000000000007</v>
      </c>
      <c r="AK418" s="261">
        <f>IFERROR(AVERAGE('Dry_Litterbag Placem_Collection'!N199,'Dry_Litterbag Placem_Collection'!Q199),"")</f>
        <v>29.05</v>
      </c>
      <c r="AL418">
        <v>-2.4396450349999999</v>
      </c>
      <c r="AM418">
        <v>34.83836599</v>
      </c>
      <c r="AN418" s="260" t="str">
        <f>IF(ISNUMBER(SEARCH("C", 'Dry_Litterbag Placem_Collection'!T199)),"YES","NO")</f>
        <v>NO</v>
      </c>
      <c r="AO418" s="260" t="str">
        <f>IF(ISNUMBER(SEARCH("H", 'Dry_Litterbag Placem_Collection'!T199)),"YES","NO")</f>
        <v>NO</v>
      </c>
      <c r="AP418" s="260" t="str">
        <f>IF(ISNUMBER(SEARCH("R", 'Dry_Litterbag Placem_Collection'!T199)),"YES","NO")</f>
        <v>YES</v>
      </c>
    </row>
    <row r="419" spans="1:42" ht="15" customHeight="1">
      <c r="A419" t="s">
        <v>2490</v>
      </c>
      <c r="B419" s="252" t="s">
        <v>2643</v>
      </c>
      <c r="C419" s="253">
        <f>'Dry_Litterbag Placem_Collection'!A200</f>
        <v>198</v>
      </c>
      <c r="D419" s="253" t="str">
        <f>'Dry_Litterbag Placem_Collection'!B200</f>
        <v>Makao</v>
      </c>
      <c r="E419" s="253" t="s">
        <v>2643</v>
      </c>
      <c r="F419" s="253" t="s">
        <v>20</v>
      </c>
      <c r="G419" s="253">
        <v>3</v>
      </c>
      <c r="H419" s="253" t="s">
        <v>3108</v>
      </c>
      <c r="I419" s="254" t="str">
        <f>'Dry_Litterbag Placem_Collection'!C200</f>
        <v>Dry_P2_CG3</v>
      </c>
      <c r="J419" s="255" t="s">
        <v>2525</v>
      </c>
      <c r="K419" s="262" t="s">
        <v>298</v>
      </c>
      <c r="L419" s="253" t="str">
        <f>IF(ISBLANK('Dry_Litterbag Placem_Collection'!K200),"","R"&amp;""&amp;'Dry_Litterbag Placem_Collection'!K200)</f>
        <v>R352</v>
      </c>
      <c r="M419" s="257">
        <f>IFERROR(INDEX('Green_rooibos initial weight'!$C$5:$C$2000,MATCH(L419, 'Green_rooibos initial weight'!$A$5:$A$2000,0)),"")</f>
        <v>2.2789999999999999</v>
      </c>
      <c r="N419" s="257">
        <f>IFERROR(M419-(TBIcalc!$Q$9+TBIcalc!$Q$10),"")</f>
        <v>2.0291999999999999</v>
      </c>
      <c r="O419" s="378">
        <f>AVERAGE(Ashed_controlls!$K$12:$K$14)</f>
        <v>2.2816647271287041</v>
      </c>
      <c r="P419" s="257">
        <f t="shared" si="31"/>
        <v>1.9829004593571042</v>
      </c>
      <c r="Q419" s="257">
        <f>IFERROR(INDEX('Both teabags AfterDry'!$D$2:$D$2000,MATCH(L419,'Both teabags AfterDry'!$A$2:$A$2000,0)),"")</f>
        <v>1.615</v>
      </c>
      <c r="R419" s="257">
        <f>IFERROR(IF(Q419&gt;0,Q419-(TBIcalc!$Q$9),""),"")</f>
        <v>1.4643999999999999</v>
      </c>
      <c r="S419" s="268">
        <f>IFERROR(INDEX('Ashed teabags dry'!$K$2:$K$2000,MATCH(L419,'Ashed teabags dry'!$A$2:$A$2000,0)),"")</f>
        <v>5.1034482758627195</v>
      </c>
      <c r="T419" s="268">
        <f t="shared" si="32"/>
        <v>1.3896651034482663</v>
      </c>
      <c r="U419" s="258">
        <f>IF('Dry_Litterbag Placem_Collection'!E200="","",'Dry_Litterbag Placem_Collection'!E200)</f>
        <v>42942</v>
      </c>
      <c r="V419" s="258">
        <f>IF('Dry_Litterbag Placem_Collection'!G200="","",'Dry_Litterbag Placem_Collection'!G200)</f>
        <v>43004</v>
      </c>
      <c r="W419" s="259">
        <f t="shared" si="30"/>
        <v>62</v>
      </c>
      <c r="X419" s="257">
        <f t="shared" si="33"/>
        <v>0.56479999999999997</v>
      </c>
      <c r="Y419" s="257">
        <f t="shared" si="34"/>
        <v>0.59323535590883791</v>
      </c>
      <c r="Z419" s="261">
        <f>IFERROR(INDEX([3]Rainfall_Dry!$O$2:$O$217,MATCH(C419, [3]Rainfall_Dry!$A$2:$A$217,0)),"")</f>
        <v>171.84818423999999</v>
      </c>
      <c r="AA419" s="250">
        <v>19.96</v>
      </c>
      <c r="AB419" s="250">
        <v>4.9199999999999982</v>
      </c>
      <c r="AC419" s="250">
        <v>75.12</v>
      </c>
      <c r="AD419" s="251" t="s">
        <v>2652</v>
      </c>
      <c r="AE419" s="250">
        <v>1.641498275012321</v>
      </c>
      <c r="AF419">
        <f>IF('WetLitterbags placem_collection'!AB200="","",'WetLitterbags placem_collection'!AB200)</f>
        <v>7.9</v>
      </c>
      <c r="AG419">
        <f>IF('WetLitterbags placem_collection'!Z200="","",'WetLitterbags placem_collection'!Z200)</f>
        <v>7.9</v>
      </c>
      <c r="AH419" s="236" t="str">
        <f>IF('WetLitterbags placem_collection'!AA200="","",'WetLitterbags placem_collection'!AA200)</f>
        <v>O</v>
      </c>
      <c r="AI419">
        <f>IF('WetLitterbags placem_collection'!AC200="","",'WetLitterbags placem_collection'!AC200)</f>
        <v>1</v>
      </c>
      <c r="AJ419">
        <f>IFERROR(AVERAGE('Dry_Litterbag Placem_Collection'!O200,'Dry_Litterbag Placem_Collection'!R200),"")</f>
        <v>4.8499999999999996</v>
      </c>
      <c r="AK419" s="261">
        <f>IFERROR(AVERAGE('Dry_Litterbag Placem_Collection'!N200,'Dry_Litterbag Placem_Collection'!Q200),"")</f>
        <v>30.25</v>
      </c>
      <c r="AL419">
        <v>-2.4395990190000001</v>
      </c>
      <c r="AM419">
        <v>34.838418959999998</v>
      </c>
      <c r="AN419" s="260" t="str">
        <f>IF(ISNUMBER(SEARCH("C", 'Dry_Litterbag Placem_Collection'!T200)),"YES","NO")</f>
        <v>NO</v>
      </c>
      <c r="AO419" s="260" t="str">
        <f>IF(ISNUMBER(SEARCH("H", 'Dry_Litterbag Placem_Collection'!T200)),"YES","NO")</f>
        <v>YES</v>
      </c>
      <c r="AP419" s="260" t="str">
        <f>IF(ISNUMBER(SEARCH("R", 'Dry_Litterbag Placem_Collection'!T200)),"YES","NO")</f>
        <v>YES</v>
      </c>
    </row>
    <row r="420" spans="1:42" ht="15" customHeight="1">
      <c r="A420" t="s">
        <v>2490</v>
      </c>
      <c r="B420" s="252" t="s">
        <v>2643</v>
      </c>
      <c r="C420" s="253">
        <f>'Dry_Litterbag Placem_Collection'!A201</f>
        <v>199</v>
      </c>
      <c r="D420" s="253" t="str">
        <f>'Dry_Litterbag Placem_Collection'!B201</f>
        <v>Makao</v>
      </c>
      <c r="E420" s="253" t="s">
        <v>2643</v>
      </c>
      <c r="F420" s="253" t="s">
        <v>20</v>
      </c>
      <c r="G420" s="253">
        <v>1</v>
      </c>
      <c r="H420" s="253" t="s">
        <v>3109</v>
      </c>
      <c r="I420" s="254" t="str">
        <f>'Dry_Litterbag Placem_Collection'!C201</f>
        <v>Dry_P3_CG1</v>
      </c>
      <c r="J420" s="255" t="s">
        <v>2525</v>
      </c>
      <c r="K420" s="262" t="s">
        <v>298</v>
      </c>
      <c r="L420" s="253" t="str">
        <f>IF(ISBLANK('Dry_Litterbag Placem_Collection'!K201),"","R"&amp;""&amp;'Dry_Litterbag Placem_Collection'!K201)</f>
        <v>R327</v>
      </c>
      <c r="M420" s="257">
        <f>IFERROR(INDEX('Green_rooibos initial weight'!$C$5:$C$2000,MATCH(L420, 'Green_rooibos initial weight'!$A$5:$A$2000,0)),"")</f>
        <v>2.2229999999999999</v>
      </c>
      <c r="N420" s="257">
        <f>IFERROR(M420-(TBIcalc!$Q$9+TBIcalc!$Q$10),"")</f>
        <v>1.9731999999999998</v>
      </c>
      <c r="O420" s="378">
        <f>AVERAGE(Ashed_controlls!$K$12:$K$14)</f>
        <v>2.2816647271287041</v>
      </c>
      <c r="P420" s="257">
        <f t="shared" si="31"/>
        <v>1.9281781916042962</v>
      </c>
      <c r="Q420" s="257">
        <f>IFERROR(INDEX('Both teabags AfterDry'!$D$2:$D$2000,MATCH(L420,'Both teabags AfterDry'!$A$2:$A$2000,0)),"")</f>
        <v>1.5642</v>
      </c>
      <c r="R420" s="257">
        <f>IFERROR(IF(Q420&gt;0,Q420-(TBIcalc!$Q$9),""),"")</f>
        <v>1.4136</v>
      </c>
      <c r="S420" s="268">
        <f>IFERROR(INDEX('Ashed teabags dry'!$K$2:$K$2000,MATCH(L420,'Ashed teabags dry'!$A$2:$A$2000,0)),"")</f>
        <v>3.4327009936770145</v>
      </c>
      <c r="T420" s="268">
        <f t="shared" si="32"/>
        <v>1.3650753387533816</v>
      </c>
      <c r="U420" s="258">
        <f>IF('Dry_Litterbag Placem_Collection'!E201="","",'Dry_Litterbag Placem_Collection'!E201)</f>
        <v>42942</v>
      </c>
      <c r="V420" s="258">
        <f>IF('Dry_Litterbag Placem_Collection'!G201="","",'Dry_Litterbag Placem_Collection'!G201)</f>
        <v>43004</v>
      </c>
      <c r="W420" s="259">
        <f t="shared" si="30"/>
        <v>62</v>
      </c>
      <c r="X420" s="257">
        <f t="shared" si="33"/>
        <v>0.55959999999999988</v>
      </c>
      <c r="Y420" s="257">
        <f t="shared" si="34"/>
        <v>0.56310285285091455</v>
      </c>
      <c r="Z420" s="261">
        <f>IFERROR(INDEX([3]Rainfall_Dry!$O$2:$O$217,MATCH(C420, [3]Rainfall_Dry!$A$2:$A$217,0)),"")</f>
        <v>171.84818423999999</v>
      </c>
      <c r="AA420" s="250">
        <v>21.96</v>
      </c>
      <c r="AB420" s="250">
        <v>8.9199999999999982</v>
      </c>
      <c r="AC420" s="250">
        <v>69.12</v>
      </c>
      <c r="AD420" s="251" t="s">
        <v>2651</v>
      </c>
      <c r="AE420" s="250">
        <v>1.7491375061606702</v>
      </c>
      <c r="AF420">
        <f>IF('WetLitterbags placem_collection'!AB201="","",'WetLitterbags placem_collection'!AB201)</f>
        <v>13.8</v>
      </c>
      <c r="AG420">
        <f>IF('WetLitterbags placem_collection'!Z201="","",'WetLitterbags placem_collection'!Z201)</f>
        <v>17.399999999999999</v>
      </c>
      <c r="AH420" s="236" t="str">
        <f>IF('WetLitterbags placem_collection'!AA201="","",'WetLitterbags placem_collection'!AA201)</f>
        <v>O</v>
      </c>
      <c r="AI420">
        <f>IF('WetLitterbags placem_collection'!AC201="","",'WetLitterbags placem_collection'!AC201)</f>
        <v>1</v>
      </c>
      <c r="AJ420">
        <f>IFERROR(AVERAGE('Dry_Litterbag Placem_Collection'!O201,'Dry_Litterbag Placem_Collection'!R201),"")</f>
        <v>6.1999999999999993</v>
      </c>
      <c r="AK420" s="261">
        <f>IFERROR(AVERAGE('Dry_Litterbag Placem_Collection'!N201,'Dry_Litterbag Placem_Collection'!Q201),"")</f>
        <v>27.200000000000003</v>
      </c>
      <c r="AL420">
        <v>-2.439403972</v>
      </c>
      <c r="AM420">
        <v>34.838404959999998</v>
      </c>
      <c r="AN420" s="260" t="str">
        <f>IF(ISNUMBER(SEARCH("C", 'Dry_Litterbag Placem_Collection'!T201)),"YES","NO")</f>
        <v>NO</v>
      </c>
      <c r="AO420" s="260" t="str">
        <f>IF(ISNUMBER(SEARCH("H", 'Dry_Litterbag Placem_Collection'!T201)),"YES","NO")</f>
        <v>YES</v>
      </c>
      <c r="AP420" s="260" t="str">
        <f>IF(ISNUMBER(SEARCH("R", 'Dry_Litterbag Placem_Collection'!T201)),"YES","NO")</f>
        <v>NO</v>
      </c>
    </row>
    <row r="421" spans="1:42" ht="15" customHeight="1">
      <c r="A421" t="s">
        <v>2490</v>
      </c>
      <c r="B421" s="252" t="s">
        <v>2643</v>
      </c>
      <c r="C421" s="253">
        <f>'Dry_Litterbag Placem_Collection'!A202</f>
        <v>200</v>
      </c>
      <c r="D421" s="253" t="str">
        <f>'Dry_Litterbag Placem_Collection'!B202</f>
        <v>Makao</v>
      </c>
      <c r="E421" s="253" t="s">
        <v>2643</v>
      </c>
      <c r="F421" s="253" t="s">
        <v>20</v>
      </c>
      <c r="G421" s="253">
        <v>4</v>
      </c>
      <c r="H421" s="253" t="s">
        <v>3110</v>
      </c>
      <c r="I421" s="254" t="str">
        <f>'Dry_Litterbag Placem_Collection'!C202</f>
        <v>Dry_P4_CG4</v>
      </c>
      <c r="J421" s="255" t="s">
        <v>2525</v>
      </c>
      <c r="K421" s="262" t="s">
        <v>298</v>
      </c>
      <c r="L421" s="253" t="str">
        <f>IF(ISBLANK('Dry_Litterbag Placem_Collection'!K202),"","R"&amp;""&amp;'Dry_Litterbag Placem_Collection'!K202)</f>
        <v>R75</v>
      </c>
      <c r="M421" s="257">
        <f>IFERROR(INDEX('Green_rooibos initial weight'!$C$5:$C$2000,MATCH(L421, 'Green_rooibos initial weight'!$A$5:$A$2000,0)),"")</f>
        <v>2.1819999999999999</v>
      </c>
      <c r="N421" s="257">
        <f>IFERROR(M421-(TBIcalc!$Q$9+TBIcalc!$Q$10),"")</f>
        <v>1.9321999999999999</v>
      </c>
      <c r="O421" s="378">
        <f>AVERAGE(Ashed_controlls!$K$12:$K$14)</f>
        <v>2.2816647271287041</v>
      </c>
      <c r="P421" s="257">
        <f t="shared" si="31"/>
        <v>1.8881136741424192</v>
      </c>
      <c r="Q421" s="257">
        <f>IFERROR(INDEX('Both teabags AfterDry'!$D$2:$D$2000,MATCH(L421,'Both teabags AfterDry'!$A$2:$A$2000,0)),"")</f>
        <v>0.1565</v>
      </c>
      <c r="R421" s="257">
        <f>IFERROR(IF(Q421&gt;0,Q421-(TBIcalc!$Q$9),""),"")</f>
        <v>5.8999999999999886E-3</v>
      </c>
      <c r="S421" s="268">
        <f>IFERROR(INDEX('Ashed teabags dry'!$K$2:$K$2000,MATCH(L421,'Ashed teabags dry'!$A$2:$A$2000,0)),"")</f>
        <v>0</v>
      </c>
      <c r="T421" s="268">
        <f t="shared" si="32"/>
        <v>5.8999999999999886E-3</v>
      </c>
      <c r="U421" s="258">
        <f>IF('Dry_Litterbag Placem_Collection'!E202="","",'Dry_Litterbag Placem_Collection'!E202)</f>
        <v>42942</v>
      </c>
      <c r="V421" s="258">
        <f>IF('Dry_Litterbag Placem_Collection'!G202="","",'Dry_Litterbag Placem_Collection'!G202)</f>
        <v>43004</v>
      </c>
      <c r="W421" s="259">
        <f t="shared" si="30"/>
        <v>62</v>
      </c>
      <c r="X421" s="257">
        <f t="shared" si="33"/>
        <v>1.9262999999999999</v>
      </c>
      <c r="Y421" s="257">
        <f t="shared" si="34"/>
        <v>1.8822136741424191</v>
      </c>
      <c r="Z421" s="261">
        <f>IFERROR(INDEX([3]Rainfall_Dry!$O$2:$O$217,MATCH(C421, [3]Rainfall_Dry!$A$2:$A$217,0)),"")</f>
        <v>171.84818423999999</v>
      </c>
      <c r="AA421" s="250">
        <v>25.96</v>
      </c>
      <c r="AB421" s="250">
        <v>6.9200000000000008</v>
      </c>
      <c r="AC421" s="250">
        <v>67.12</v>
      </c>
      <c r="AD421" s="251" t="s">
        <v>2651</v>
      </c>
      <c r="AE421" s="250">
        <v>1.7568260226712666</v>
      </c>
      <c r="AF421">
        <f>IF('WetLitterbags placem_collection'!AB202="","",'WetLitterbags placem_collection'!AB202)</f>
        <v>15.2</v>
      </c>
      <c r="AG421">
        <f>IF('WetLitterbags placem_collection'!Z202="","",'WetLitterbags placem_collection'!Z202)</f>
        <v>12.2</v>
      </c>
      <c r="AH421" s="236" t="str">
        <f>IF('WetLitterbags placem_collection'!AA202="","",'WetLitterbags placem_collection'!AA202)</f>
        <v>O</v>
      </c>
      <c r="AI421">
        <f>IF('WetLitterbags placem_collection'!AC202="","",'WetLitterbags placem_collection'!AC202)</f>
        <v>1</v>
      </c>
      <c r="AJ421">
        <f>IFERROR(AVERAGE('Dry_Litterbag Placem_Collection'!O202,'Dry_Litterbag Placem_Collection'!R202),"")</f>
        <v>7</v>
      </c>
      <c r="AK421" s="261">
        <f>IFERROR(AVERAGE('Dry_Litterbag Placem_Collection'!N202,'Dry_Litterbag Placem_Collection'!Q202),"")</f>
        <v>32.9</v>
      </c>
      <c r="AL421">
        <v>-2.4396949910000001</v>
      </c>
      <c r="AM421">
        <v>34.838574029999997</v>
      </c>
      <c r="AN421" s="260" t="str">
        <f>IF(ISNUMBER(SEARCH("C", 'Dry_Litterbag Placem_Collection'!T202)),"YES","NO")</f>
        <v>NO</v>
      </c>
      <c r="AO421" s="260" t="str">
        <f>IF(ISNUMBER(SEARCH("H", 'Dry_Litterbag Placem_Collection'!T202)),"YES","NO")</f>
        <v>YES</v>
      </c>
      <c r="AP421" s="260" t="str">
        <f>IF(ISNUMBER(SEARCH("R", 'Dry_Litterbag Placem_Collection'!T202)),"YES","NO")</f>
        <v>YES</v>
      </c>
    </row>
    <row r="422" spans="1:42" ht="15" customHeight="1">
      <c r="A422" t="s">
        <v>2490</v>
      </c>
      <c r="B422" s="252" t="s">
        <v>2643</v>
      </c>
      <c r="C422" s="253">
        <f>'Dry_Litterbag Placem_Collection'!A203</f>
        <v>201</v>
      </c>
      <c r="D422" s="253" t="str">
        <f>'Dry_Litterbag Placem_Collection'!B203</f>
        <v>Maswa</v>
      </c>
      <c r="E422" s="253" t="s">
        <v>2643</v>
      </c>
      <c r="F422" s="253" t="s">
        <v>2645</v>
      </c>
      <c r="G422" s="253">
        <v>4</v>
      </c>
      <c r="H422" s="253" t="s">
        <v>3114</v>
      </c>
      <c r="I422" s="254" t="str">
        <f>'Dry_Litterbag Placem_Collection'!C203</f>
        <v>Dry_W3_CG4</v>
      </c>
      <c r="J422" s="255" t="s">
        <v>2525</v>
      </c>
      <c r="K422" s="262" t="s">
        <v>298</v>
      </c>
      <c r="L422" s="253" t="str">
        <f>IF(ISBLANK('Dry_Litterbag Placem_Collection'!K203),"","R"&amp;""&amp;'Dry_Litterbag Placem_Collection'!K203)</f>
        <v>R36</v>
      </c>
      <c r="M422" s="257">
        <f>IFERROR(INDEX('Green_rooibos initial weight'!$C$5:$C$2000,MATCH(L422, 'Green_rooibos initial weight'!$A$5:$A$2000,0)),"")</f>
        <v>2.298</v>
      </c>
      <c r="N422" s="257">
        <f>IFERROR(M422-(TBIcalc!$Q$9+TBIcalc!$Q$10),"")</f>
        <v>2.0482</v>
      </c>
      <c r="O422" s="378">
        <f>AVERAGE(Ashed_controlls!$K$12:$K$14)</f>
        <v>2.2816647271287041</v>
      </c>
      <c r="P422" s="257">
        <f t="shared" si="31"/>
        <v>2.0014669430589498</v>
      </c>
      <c r="Q422" s="257">
        <f>IFERROR(INDEX('Both teabags AfterDry'!$D$2:$D$2000,MATCH(L422,'Both teabags AfterDry'!$A$2:$A$2000,0)),"")</f>
        <v>1.968</v>
      </c>
      <c r="R422" s="257">
        <f>IFERROR(IF(Q422&gt;0,Q422-(TBIcalc!$Q$9),""),"")</f>
        <v>1.8173999999999999</v>
      </c>
      <c r="S422" s="268">
        <f>IFERROR(INDEX('Ashed teabags dry'!$K$2:$K$2000,MATCH(L422,'Ashed teabags dry'!$A$2:$A$2000,0)),"")</f>
        <v>10.068426197458811</v>
      </c>
      <c r="T422" s="268">
        <f t="shared" si="32"/>
        <v>1.6344164222873836</v>
      </c>
      <c r="U422" s="258">
        <f>IF('Dry_Litterbag Placem_Collection'!E203="","",'Dry_Litterbag Placem_Collection'!E203)</f>
        <v>42942</v>
      </c>
      <c r="V422" s="258">
        <f>IF('Dry_Litterbag Placem_Collection'!G203="","",'Dry_Litterbag Placem_Collection'!G203)</f>
        <v>43004</v>
      </c>
      <c r="W422" s="259">
        <f t="shared" si="30"/>
        <v>62</v>
      </c>
      <c r="X422" s="257">
        <f t="shared" si="33"/>
        <v>0.23080000000000012</v>
      </c>
      <c r="Y422" s="257">
        <f t="shared" si="34"/>
        <v>0.36705052077156619</v>
      </c>
      <c r="Z422" s="261">
        <f>IFERROR(INDEX([3]Rainfall_Dry!$O$2:$O$217,MATCH(C422, [3]Rainfall_Dry!$A$2:$A$217,0)),"")</f>
        <v>171.84818423999999</v>
      </c>
      <c r="AA422" s="250">
        <v>38.691629007962128</v>
      </c>
      <c r="AB422" s="250">
        <v>26.81299763288143</v>
      </c>
      <c r="AC422" s="250">
        <v>34.495373359156439</v>
      </c>
      <c r="AD422" s="251" t="s">
        <v>2656</v>
      </c>
      <c r="AE422" s="250">
        <v>2.5483587974371611</v>
      </c>
      <c r="AF422">
        <f>IF('WetLitterbags placem_collection'!AB203="","",'WetLitterbags placem_collection'!AB203)</f>
        <v>15.2</v>
      </c>
      <c r="AG422">
        <f>IF('WetLitterbags placem_collection'!Z203="","",'WetLitterbags placem_collection'!Z203)</f>
        <v>12.2</v>
      </c>
      <c r="AH422" s="236" t="str">
        <f>IF('WetLitterbags placem_collection'!AA203="","",'WetLitterbags placem_collection'!AA203)</f>
        <v>O</v>
      </c>
      <c r="AI422">
        <f>IF('WetLitterbags placem_collection'!AC203="","",'WetLitterbags placem_collection'!AC203)</f>
        <v>1</v>
      </c>
      <c r="AJ422">
        <f>IFERROR(AVERAGE('Dry_Litterbag Placem_Collection'!O203,'Dry_Litterbag Placem_Collection'!R203),"")</f>
        <v>8.9</v>
      </c>
      <c r="AK422" s="261">
        <f>IFERROR(AVERAGE('Dry_Litterbag Placem_Collection'!N203,'Dry_Litterbag Placem_Collection'!Q203),"")</f>
        <v>29.15</v>
      </c>
      <c r="AL422">
        <v>-2.4396949910000001</v>
      </c>
      <c r="AM422">
        <v>34.838574029999997</v>
      </c>
      <c r="AN422" s="260" t="str">
        <f>IF(ISNUMBER(SEARCH("C", 'Dry_Litterbag Placem_Collection'!T203)),"YES","NO")</f>
        <v>YES</v>
      </c>
      <c r="AO422" s="260" t="str">
        <f>IF(ISNUMBER(SEARCH("H", 'Dry_Litterbag Placem_Collection'!T203)),"YES","NO")</f>
        <v>YES</v>
      </c>
      <c r="AP422" s="260" t="str">
        <f>IF(ISNUMBER(SEARCH("R", 'Dry_Litterbag Placem_Collection'!T203)),"YES","NO")</f>
        <v>YES</v>
      </c>
    </row>
    <row r="423" spans="1:42" ht="15" customHeight="1">
      <c r="A423" t="s">
        <v>2490</v>
      </c>
      <c r="B423" s="252" t="s">
        <v>2643</v>
      </c>
      <c r="C423" s="253">
        <f>'Dry_Litterbag Placem_Collection'!A204</f>
        <v>202</v>
      </c>
      <c r="D423" s="253" t="str">
        <f>'Dry_Litterbag Placem_Collection'!B204</f>
        <v>Maswa</v>
      </c>
      <c r="E423" s="253" t="s">
        <v>2643</v>
      </c>
      <c r="F423" s="253" t="s">
        <v>2645</v>
      </c>
      <c r="G423" s="253">
        <v>1</v>
      </c>
      <c r="H423" s="253" t="s">
        <v>3113</v>
      </c>
      <c r="I423" s="254" t="str">
        <f>'Dry_Litterbag Placem_Collection'!C204</f>
        <v>Dry_W2_CG1</v>
      </c>
      <c r="J423" s="255" t="s">
        <v>2525</v>
      </c>
      <c r="K423" s="262" t="s">
        <v>298</v>
      </c>
      <c r="L423" s="253" t="str">
        <f>IF(ISBLANK('Dry_Litterbag Placem_Collection'!K204),"","R"&amp;""&amp;'Dry_Litterbag Placem_Collection'!K204)</f>
        <v>R676</v>
      </c>
      <c r="M423" s="257">
        <f>IFERROR(INDEX('Green_rooibos initial weight'!$C$5:$C$2000,MATCH(L423, 'Green_rooibos initial weight'!$A$5:$A$2000,0)),"")</f>
        <v>2.1459999999999999</v>
      </c>
      <c r="N423" s="257">
        <f>IFERROR(M423-(TBIcalc!$Q$9+TBIcalc!$Q$10),"")</f>
        <v>1.8961999999999999</v>
      </c>
      <c r="O423" s="378">
        <f>AVERAGE(Ashed_controlls!$K$12:$K$14)</f>
        <v>2.2816647271287041</v>
      </c>
      <c r="P423" s="257">
        <f t="shared" si="31"/>
        <v>1.8529350734441854</v>
      </c>
      <c r="Q423" s="257">
        <f>IFERROR(INDEX('Both teabags AfterDry'!$D$2:$D$2000,MATCH(L423,'Both teabags AfterDry'!$A$2:$A$2000,0)),"")</f>
        <v>1.6712</v>
      </c>
      <c r="R423" s="257">
        <f>IFERROR(IF(Q423&gt;0,Q423-(TBIcalc!$Q$9),""),"")</f>
        <v>1.5206</v>
      </c>
      <c r="S423" s="268">
        <f>IFERROR(INDEX('Ashed teabags dry'!$K$2:$K$2000,MATCH(L423,'Ashed teabags dry'!$A$2:$A$2000,0)),"")</f>
        <v>11.369253583786671</v>
      </c>
      <c r="T423" s="268">
        <f t="shared" si="32"/>
        <v>1.3477191300049398</v>
      </c>
      <c r="U423" s="258">
        <f>IF('Dry_Litterbag Placem_Collection'!E204="","",'Dry_Litterbag Placem_Collection'!E204)</f>
        <v>42942</v>
      </c>
      <c r="V423" s="258">
        <f>IF('Dry_Litterbag Placem_Collection'!G204="","",'Dry_Litterbag Placem_Collection'!G204)</f>
        <v>43004</v>
      </c>
      <c r="W423" s="259">
        <f t="shared" si="30"/>
        <v>62</v>
      </c>
      <c r="X423" s="257">
        <f t="shared" si="33"/>
        <v>0.37559999999999993</v>
      </c>
      <c r="Y423" s="257">
        <f t="shared" si="34"/>
        <v>0.50521594343924559</v>
      </c>
      <c r="Z423" s="261">
        <f>IFERROR(INDEX([3]Rainfall_Dry!$O$2:$O$217,MATCH(C423, [3]Rainfall_Dry!$A$2:$A$217,0)),"")</f>
        <v>171.84818423999999</v>
      </c>
      <c r="AA423" s="250">
        <v>45.272914521112256</v>
      </c>
      <c r="AB423" s="250">
        <v>23.604531410916575</v>
      </c>
      <c r="AC423" s="250">
        <v>31.122554067971166</v>
      </c>
      <c r="AD423" s="251" t="s">
        <v>2654</v>
      </c>
      <c r="AE423" s="250">
        <v>2.0547560374568752</v>
      </c>
      <c r="AF423">
        <f>IF('WetLitterbags placem_collection'!AB204="","",'WetLitterbags placem_collection'!AB204)</f>
        <v>13.8</v>
      </c>
      <c r="AG423">
        <f>IF('WetLitterbags placem_collection'!Z204="","",'WetLitterbags placem_collection'!Z204)</f>
        <v>17.399999999999999</v>
      </c>
      <c r="AH423" s="236" t="str">
        <f>IF('WetLitterbags placem_collection'!AA204="","",'WetLitterbags placem_collection'!AA204)</f>
        <v>O</v>
      </c>
      <c r="AI423">
        <f>IF('WetLitterbags placem_collection'!AC204="","",'WetLitterbags placem_collection'!AC204)</f>
        <v>1</v>
      </c>
      <c r="AJ423">
        <f>IFERROR(AVERAGE('Dry_Litterbag Placem_Collection'!O204,'Dry_Litterbag Placem_Collection'!R204),"")</f>
        <v>6.3</v>
      </c>
      <c r="AK423" s="261">
        <f>IFERROR(AVERAGE('Dry_Litterbag Placem_Collection'!N204,'Dry_Litterbag Placem_Collection'!Q204),"")</f>
        <v>28.85</v>
      </c>
      <c r="AL423">
        <v>-2.439403972</v>
      </c>
      <c r="AM423">
        <v>34.838404959999998</v>
      </c>
      <c r="AN423" s="260" t="str">
        <f>IF(ISNUMBER(SEARCH("C", 'Dry_Litterbag Placem_Collection'!T204)),"YES","NO")</f>
        <v>NO</v>
      </c>
      <c r="AO423" s="260" t="str">
        <f>IF(ISNUMBER(SEARCH("H", 'Dry_Litterbag Placem_Collection'!T204)),"YES","NO")</f>
        <v>YES</v>
      </c>
      <c r="AP423" s="260" t="str">
        <f>IF(ISNUMBER(SEARCH("R", 'Dry_Litterbag Placem_Collection'!T204)),"YES","NO")</f>
        <v>YES</v>
      </c>
    </row>
    <row r="424" spans="1:42" ht="15" customHeight="1">
      <c r="A424" t="s">
        <v>2490</v>
      </c>
      <c r="B424" s="252" t="s">
        <v>2643</v>
      </c>
      <c r="C424" s="253">
        <f>'Dry_Litterbag Placem_Collection'!A205</f>
        <v>203</v>
      </c>
      <c r="D424" s="253" t="str">
        <f>'Dry_Litterbag Placem_Collection'!B205</f>
        <v>Maswa</v>
      </c>
      <c r="E424" s="253" t="s">
        <v>2643</v>
      </c>
      <c r="F424" s="253" t="s">
        <v>2645</v>
      </c>
      <c r="G424" s="253">
        <v>2</v>
      </c>
      <c r="H424" s="253" t="s">
        <v>3111</v>
      </c>
      <c r="I424" s="254" t="str">
        <f>'Dry_Litterbag Placem_Collection'!C205</f>
        <v>Dry_W1_CG2</v>
      </c>
      <c r="J424" s="255" t="s">
        <v>2525</v>
      </c>
      <c r="K424" s="262" t="s">
        <v>298</v>
      </c>
      <c r="L424" s="253" t="str">
        <f>IF(ISBLANK('Dry_Litterbag Placem_Collection'!K205),"","R"&amp;""&amp;'Dry_Litterbag Placem_Collection'!K205)</f>
        <v>R685</v>
      </c>
      <c r="M424" s="257">
        <f>IFERROR(INDEX('Green_rooibos initial weight'!$C$5:$C$2000,MATCH(L424, 'Green_rooibos initial weight'!$A$5:$A$2000,0)),"")</f>
        <v>2.1629999999999998</v>
      </c>
      <c r="N424" s="257">
        <f>IFERROR(M424-(TBIcalc!$Q$9+TBIcalc!$Q$10),"")</f>
        <v>1.9131999999999998</v>
      </c>
      <c r="O424" s="378">
        <f>AVERAGE(Ashed_controlls!$K$12:$K$14)</f>
        <v>2.2816647271287041</v>
      </c>
      <c r="P424" s="257">
        <f t="shared" si="31"/>
        <v>1.8695471904405734</v>
      </c>
      <c r="Q424" s="257">
        <f>IFERROR(INDEX('Both teabags AfterDry'!$D$2:$D$2000,MATCH(L424,'Both teabags AfterDry'!$A$2:$A$2000,0)),"")</f>
        <v>1.7919</v>
      </c>
      <c r="R424" s="257">
        <f>IFERROR(IF(Q424&gt;0,Q424-(TBIcalc!$Q$9),""),"")</f>
        <v>1.6413</v>
      </c>
      <c r="S424" s="268">
        <f>IFERROR(INDEX('Ashed teabags dry'!$K$2:$K$2000,MATCH(L424,'Ashed teabags dry'!$A$2:$A$2000,0)),"")</f>
        <v>7.1924603174607373</v>
      </c>
      <c r="T424" s="268">
        <f t="shared" si="32"/>
        <v>1.5232501488095169</v>
      </c>
      <c r="U424" s="258">
        <f>IF('Dry_Litterbag Placem_Collection'!E205="","",'Dry_Litterbag Placem_Collection'!E205)</f>
        <v>42942</v>
      </c>
      <c r="V424" s="258">
        <f>IF('Dry_Litterbag Placem_Collection'!G205="","",'Dry_Litterbag Placem_Collection'!G205)</f>
        <v>43004</v>
      </c>
      <c r="W424" s="259">
        <f t="shared" si="30"/>
        <v>62</v>
      </c>
      <c r="X424" s="257">
        <f t="shared" si="33"/>
        <v>0.27189999999999981</v>
      </c>
      <c r="Y424" s="257">
        <f t="shared" si="34"/>
        <v>0.34629704163105646</v>
      </c>
      <c r="Z424" s="261">
        <f>IFERROR(INDEX([3]Rainfall_Dry!$O$2:$O$217,MATCH(C424, [3]Rainfall_Dry!$A$2:$A$217,0)),"")</f>
        <v>171.84818423999999</v>
      </c>
      <c r="AA424" s="250">
        <v>47.96</v>
      </c>
      <c r="AB424" s="250">
        <v>22.919999999999995</v>
      </c>
      <c r="AC424" s="250">
        <v>29.120000000000012</v>
      </c>
      <c r="AD424" s="251" t="s">
        <v>2654</v>
      </c>
      <c r="AE424" s="250">
        <v>2.8831936914736325</v>
      </c>
      <c r="AF424">
        <f>IF('WetLitterbags placem_collection'!AB205="","",'WetLitterbags placem_collection'!AB205)</f>
        <v>5.13</v>
      </c>
      <c r="AG424">
        <f>IF('WetLitterbags placem_collection'!Z205="","",'WetLitterbags placem_collection'!Z205)</f>
        <v>5.13</v>
      </c>
      <c r="AH424" s="236" t="str">
        <f>IF('WetLitterbags placem_collection'!AA205="","",'WetLitterbags placem_collection'!AA205)</f>
        <v>O</v>
      </c>
      <c r="AI424">
        <f>IF('WetLitterbags placem_collection'!AC205="","",'WetLitterbags placem_collection'!AC205)</f>
        <v>1</v>
      </c>
      <c r="AJ424">
        <f>IFERROR(AVERAGE('Dry_Litterbag Placem_Collection'!O205,'Dry_Litterbag Placem_Collection'!R205),"")</f>
        <v>10.100000000000001</v>
      </c>
      <c r="AK424" s="261">
        <f>IFERROR(AVERAGE('Dry_Litterbag Placem_Collection'!N205,'Dry_Litterbag Placem_Collection'!Q205),"")</f>
        <v>28.299999999999997</v>
      </c>
      <c r="AL424">
        <v>-2.4396450349999999</v>
      </c>
      <c r="AM424">
        <v>34.83836599</v>
      </c>
      <c r="AN424" s="260" t="str">
        <f>IF(ISNUMBER(SEARCH("C", 'Dry_Litterbag Placem_Collection'!T205)),"YES","NO")</f>
        <v>NO</v>
      </c>
      <c r="AO424" s="260" t="str">
        <f>IF(ISNUMBER(SEARCH("H", 'Dry_Litterbag Placem_Collection'!T205)),"YES","NO")</f>
        <v>NO</v>
      </c>
      <c r="AP424" s="260" t="str">
        <f>IF(ISNUMBER(SEARCH("R", 'Dry_Litterbag Placem_Collection'!T205)),"YES","NO")</f>
        <v>YES</v>
      </c>
    </row>
    <row r="425" spans="1:42" ht="15" customHeight="1">
      <c r="A425" t="s">
        <v>2490</v>
      </c>
      <c r="B425" s="252" t="s">
        <v>2643</v>
      </c>
      <c r="C425" s="253">
        <f>'Dry_Litterbag Placem_Collection'!A206</f>
        <v>204</v>
      </c>
      <c r="D425" s="253" t="str">
        <f>'Dry_Litterbag Placem_Collection'!B206</f>
        <v>Maswa</v>
      </c>
      <c r="E425" s="253" t="s">
        <v>2643</v>
      </c>
      <c r="F425" s="253" t="s">
        <v>2645</v>
      </c>
      <c r="G425" s="253">
        <v>3</v>
      </c>
      <c r="H425" s="253" t="s">
        <v>3115</v>
      </c>
      <c r="I425" s="254" t="str">
        <f>'Dry_Litterbag Placem_Collection'!C206</f>
        <v>Dry_W4_CG3</v>
      </c>
      <c r="J425" s="255" t="s">
        <v>2525</v>
      </c>
      <c r="K425" s="262" t="s">
        <v>298</v>
      </c>
      <c r="L425" s="253" t="str">
        <f>IF(ISBLANK('Dry_Litterbag Placem_Collection'!K206),"","R"&amp;""&amp;'Dry_Litterbag Placem_Collection'!K206)</f>
        <v>R254</v>
      </c>
      <c r="M425" s="257">
        <f>IFERROR(INDEX('Green_rooibos initial weight'!$C$5:$C$2000,MATCH(L425, 'Green_rooibos initial weight'!$A$5:$A$2000,0)),"")</f>
        <v>2.266</v>
      </c>
      <c r="N425" s="257">
        <f>IFERROR(M425-(TBIcalc!$Q$9+TBIcalc!$Q$10),"")</f>
        <v>2.0162</v>
      </c>
      <c r="O425" s="378">
        <f>AVERAGE(Ashed_controlls!$K$12:$K$14)</f>
        <v>2.2816647271287041</v>
      </c>
      <c r="P425" s="257">
        <f t="shared" si="31"/>
        <v>1.9701970757716312</v>
      </c>
      <c r="Q425" s="257">
        <f>IFERROR(INDEX('Both teabags AfterDry'!$D$2:$D$2000,MATCH(L425,'Both teabags AfterDry'!$A$2:$A$2000,0)),"")</f>
        <v>1.8010999999999999</v>
      </c>
      <c r="R425" s="257">
        <f>IFERROR(IF(Q425&gt;0,Q425-(TBIcalc!$Q$9),""),"")</f>
        <v>1.6504999999999999</v>
      </c>
      <c r="S425" s="268">
        <f>IFERROR(INDEX('Ashed teabags dry'!$K$2:$K$2000,MATCH(L425,'Ashed teabags dry'!$A$2:$A$2000,0)),"")</f>
        <v>6.0425953442297144</v>
      </c>
      <c r="T425" s="268">
        <f t="shared" si="32"/>
        <v>1.5507669638434884</v>
      </c>
      <c r="U425" s="258">
        <f>IF('Dry_Litterbag Placem_Collection'!E206="","",'Dry_Litterbag Placem_Collection'!E206)</f>
        <v>42942</v>
      </c>
      <c r="V425" s="258">
        <f>IF('Dry_Litterbag Placem_Collection'!G206="","",'Dry_Litterbag Placem_Collection'!G206)</f>
        <v>43004</v>
      </c>
      <c r="W425" s="259">
        <f t="shared" si="30"/>
        <v>62</v>
      </c>
      <c r="X425" s="257">
        <f t="shared" si="33"/>
        <v>0.36570000000000014</v>
      </c>
      <c r="Y425" s="257">
        <f t="shared" si="34"/>
        <v>0.41943011192814272</v>
      </c>
      <c r="Z425" s="261">
        <f>IFERROR(INDEX([3]Rainfall_Dry!$O$2:$O$217,MATCH(C425, [3]Rainfall_Dry!$A$2:$A$217,0)),"")</f>
        <v>171.84818423999999</v>
      </c>
      <c r="AA425" s="250">
        <v>28.145762029394</v>
      </c>
      <c r="AB425" s="250">
        <v>25.085564727199518</v>
      </c>
      <c r="AC425" s="250">
        <v>46.768673243406489</v>
      </c>
      <c r="AD425" s="251" t="s">
        <v>2651</v>
      </c>
      <c r="AE425" s="250">
        <v>2.1716214884179394</v>
      </c>
      <c r="AF425">
        <f>IF('WetLitterbags placem_collection'!AB206="","",'WetLitterbags placem_collection'!AB206)</f>
        <v>7.9</v>
      </c>
      <c r="AG425">
        <f>IF('WetLitterbags placem_collection'!Z206="","",'WetLitterbags placem_collection'!Z206)</f>
        <v>7.9</v>
      </c>
      <c r="AH425" s="236" t="str">
        <f>IF('WetLitterbags placem_collection'!AA206="","",'WetLitterbags placem_collection'!AA206)</f>
        <v>O</v>
      </c>
      <c r="AI425">
        <f>IF('WetLitterbags placem_collection'!AC206="","",'WetLitterbags placem_collection'!AC206)</f>
        <v>1</v>
      </c>
      <c r="AJ425">
        <f>IFERROR(AVERAGE('Dry_Litterbag Placem_Collection'!O206,'Dry_Litterbag Placem_Collection'!R206),"")</f>
        <v>8.3500000000000014</v>
      </c>
      <c r="AK425" s="261">
        <f>IFERROR(AVERAGE('Dry_Litterbag Placem_Collection'!N206,'Dry_Litterbag Placem_Collection'!Q206),"")</f>
        <v>27.299999999999997</v>
      </c>
      <c r="AL425">
        <v>-2.4395990190000001</v>
      </c>
      <c r="AM425">
        <v>34.838418959999998</v>
      </c>
      <c r="AN425" s="260" t="str">
        <f>IF(ISNUMBER(SEARCH("C", 'Dry_Litterbag Placem_Collection'!T206)),"YES","NO")</f>
        <v>NO</v>
      </c>
      <c r="AO425" s="260" t="str">
        <f>IF(ISNUMBER(SEARCH("H", 'Dry_Litterbag Placem_Collection'!T206)),"YES","NO")</f>
        <v>YES</v>
      </c>
      <c r="AP425" s="260" t="str">
        <f>IF(ISNUMBER(SEARCH("R", 'Dry_Litterbag Placem_Collection'!T206)),"YES","NO")</f>
        <v>YES</v>
      </c>
    </row>
    <row r="426" spans="1:42" ht="15" customHeight="1">
      <c r="A426" t="s">
        <v>2490</v>
      </c>
      <c r="B426" s="252" t="s">
        <v>2643</v>
      </c>
      <c r="C426" s="253">
        <f>'Dry_Litterbag Placem_Collection'!A207</f>
        <v>205</v>
      </c>
      <c r="D426" s="253" t="str">
        <f>'Dry_Litterbag Placem_Collection'!B207</f>
        <v xml:space="preserve">Mwantimba
</v>
      </c>
      <c r="E426" s="253" t="s">
        <v>2454</v>
      </c>
      <c r="F426" s="253" t="s">
        <v>2644</v>
      </c>
      <c r="G426" s="253">
        <v>2</v>
      </c>
      <c r="H426" s="253" t="s">
        <v>3116</v>
      </c>
      <c r="I426" s="254" t="str">
        <f>'Dry_Litterbag Placem_Collection'!C207</f>
        <v>Wet_Ag1_CG2</v>
      </c>
      <c r="J426" s="255" t="s">
        <v>2525</v>
      </c>
      <c r="K426" s="262" t="s">
        <v>298</v>
      </c>
      <c r="L426" s="253" t="str">
        <f>IF(ISBLANK('Dry_Litterbag Placem_Collection'!K207),"","R"&amp;""&amp;'Dry_Litterbag Placem_Collection'!K207)</f>
        <v>R348</v>
      </c>
      <c r="M426" s="257">
        <f>IFERROR(INDEX('Green_rooibos initial weight'!$C$5:$C$2000,MATCH(L426, 'Green_rooibos initial weight'!$A$5:$A$2000,0)),"")</f>
        <v>2.31</v>
      </c>
      <c r="N426" s="257">
        <f>IFERROR(M426-(TBIcalc!$Q$9+TBIcalc!$Q$10),"")</f>
        <v>2.0602</v>
      </c>
      <c r="O426" s="378">
        <f>AVERAGE(Ashed_controlls!$K$12:$K$14)</f>
        <v>2.2816647271287041</v>
      </c>
      <c r="P426" s="257">
        <f t="shared" si="31"/>
        <v>2.0131931432916943</v>
      </c>
      <c r="Q426" s="257">
        <f>IFERROR(INDEX('Both teabags AfterDry'!$D$2:$D$2000,MATCH(L426,'Both teabags AfterDry'!$A$2:$A$2000,0)),"")</f>
        <v>1.7168000000000001</v>
      </c>
      <c r="R426" s="257">
        <f>IFERROR(IF(Q426&gt;0,Q426-(TBIcalc!$Q$9),""),"")</f>
        <v>1.5662</v>
      </c>
      <c r="S426" s="268">
        <f>IFERROR(INDEX('Ashed teabags dry'!$K$2:$K$2000,MATCH(L426,'Ashed teabags dry'!$A$2:$A$2000,0)),"")</f>
        <v>5.9891107078038743</v>
      </c>
      <c r="T426" s="268">
        <f t="shared" si="32"/>
        <v>1.4723985480943758</v>
      </c>
      <c r="U426" s="258">
        <f>IF('Dry_Litterbag Placem_Collection'!E207="","",'Dry_Litterbag Placem_Collection'!E207)</f>
        <v>42942</v>
      </c>
      <c r="V426" s="258">
        <f>IF('Dry_Litterbag Placem_Collection'!G207="","",'Dry_Litterbag Placem_Collection'!G207)</f>
        <v>43004</v>
      </c>
      <c r="W426" s="259">
        <f t="shared" si="30"/>
        <v>62</v>
      </c>
      <c r="X426" s="257">
        <f t="shared" si="33"/>
        <v>0.49399999999999999</v>
      </c>
      <c r="Y426" s="257">
        <f t="shared" si="34"/>
        <v>0.54079459519731854</v>
      </c>
      <c r="Z426" s="261">
        <f>IFERROR(INDEX([3]Rainfall_Dry!$O$2:$O$217,MATCH(C426, [3]Rainfall_Dry!$A$2:$A$217,0)),"")</f>
        <v>171.84818423999999</v>
      </c>
      <c r="AA426" s="250">
        <v>45.96</v>
      </c>
      <c r="AB426" s="250">
        <v>14.920000000000003</v>
      </c>
      <c r="AC426" s="250">
        <v>39.119999999999997</v>
      </c>
      <c r="AD426" s="251" t="s">
        <v>2654</v>
      </c>
      <c r="AE426" s="250">
        <v>2.0374568753080333</v>
      </c>
      <c r="AF426">
        <f>IF('WetLitterbags placem_collection'!AB207="","",'WetLitterbags placem_collection'!AB207)</f>
        <v>5.13</v>
      </c>
      <c r="AG426">
        <f>IF('WetLitterbags placem_collection'!Z207="","",'WetLitterbags placem_collection'!Z207)</f>
        <v>5.13</v>
      </c>
      <c r="AH426" s="236" t="str">
        <f>IF('WetLitterbags placem_collection'!AA207="","",'WetLitterbags placem_collection'!AA207)</f>
        <v>O</v>
      </c>
      <c r="AI426">
        <f>IF('WetLitterbags placem_collection'!AC207="","",'WetLitterbags placem_collection'!AC207)</f>
        <v>1</v>
      </c>
      <c r="AJ426">
        <f>IFERROR(AVERAGE('Dry_Litterbag Placem_Collection'!O207,'Dry_Litterbag Placem_Collection'!R207),"")</f>
        <v>7.9499999999999993</v>
      </c>
      <c r="AK426" s="261">
        <f>IFERROR(AVERAGE('Dry_Litterbag Placem_Collection'!N207,'Dry_Litterbag Placem_Collection'!Q207),"")</f>
        <v>29.05</v>
      </c>
      <c r="AL426">
        <v>-2.4396450349999999</v>
      </c>
      <c r="AM426">
        <v>34.83836599</v>
      </c>
      <c r="AN426" s="260" t="str">
        <f>IF(ISNUMBER(SEARCH("C", 'Dry_Litterbag Placem_Collection'!T207)),"YES","NO")</f>
        <v>NO</v>
      </c>
      <c r="AO426" s="260" t="str">
        <f>IF(ISNUMBER(SEARCH("H", 'Dry_Litterbag Placem_Collection'!T207)),"YES","NO")</f>
        <v>YES</v>
      </c>
      <c r="AP426" s="260" t="str">
        <f>IF(ISNUMBER(SEARCH("R", 'Dry_Litterbag Placem_Collection'!T207)),"YES","NO")</f>
        <v>YES</v>
      </c>
    </row>
    <row r="427" spans="1:42" ht="15" customHeight="1">
      <c r="A427" t="s">
        <v>2490</v>
      </c>
      <c r="B427" s="252" t="s">
        <v>2643</v>
      </c>
      <c r="C427" s="253">
        <f>'Dry_Litterbag Placem_Collection'!A208</f>
        <v>206</v>
      </c>
      <c r="D427" s="253" t="str">
        <f>'Dry_Litterbag Placem_Collection'!B208</f>
        <v xml:space="preserve">Mwantimba
</v>
      </c>
      <c r="E427" s="253" t="s">
        <v>2454</v>
      </c>
      <c r="F427" s="253" t="s">
        <v>2644</v>
      </c>
      <c r="G427" s="253">
        <v>1</v>
      </c>
      <c r="H427" s="253" t="s">
        <v>3118</v>
      </c>
      <c r="I427" s="254" t="str">
        <f>'Dry_Litterbag Placem_Collection'!C208</f>
        <v>Wet_Ag2_CG1</v>
      </c>
      <c r="J427" s="255" t="s">
        <v>2525</v>
      </c>
      <c r="K427" s="262" t="s">
        <v>298</v>
      </c>
      <c r="L427" s="253" t="str">
        <f>IF(ISBLANK('Dry_Litterbag Placem_Collection'!K208),"","R"&amp;""&amp;'Dry_Litterbag Placem_Collection'!K208)</f>
        <v>R686</v>
      </c>
      <c r="M427" s="257">
        <f>IFERROR(INDEX('Green_rooibos initial weight'!$C$5:$C$2000,MATCH(L427, 'Green_rooibos initial weight'!$A$5:$A$2000,0)),"")</f>
        <v>2.1890000000000001</v>
      </c>
      <c r="N427" s="257">
        <f>IFERROR(M427-(TBIcalc!$Q$9+TBIcalc!$Q$10),"")</f>
        <v>1.9392</v>
      </c>
      <c r="O427" s="378">
        <f>AVERAGE(Ashed_controlls!$K$12:$K$14)</f>
        <v>2.2816647271287041</v>
      </c>
      <c r="P427" s="257">
        <f t="shared" si="31"/>
        <v>1.8949539576115202</v>
      </c>
      <c r="Q427" s="257">
        <f>IFERROR(INDEX('Both teabags AfterDry'!$D$2:$D$2000,MATCH(L427,'Both teabags AfterDry'!$A$2:$A$2000,0)),"")</f>
        <v>3.4599000000000002</v>
      </c>
      <c r="R427" s="257">
        <f>IFERROR(IF(Q427&gt;0,Q427-(TBIcalc!$Q$9),""),"")</f>
        <v>3.3093000000000004</v>
      </c>
      <c r="S427" s="268">
        <f>IFERROR(INDEX('Ashed teabags dry'!$K$2:$K$2000,MATCH(L427,'Ashed teabags dry'!$A$2:$A$2000,0)),"")</f>
        <v>95.258416311047142</v>
      </c>
      <c r="T427" s="268">
        <f t="shared" si="32"/>
        <v>0.1569132290185169</v>
      </c>
      <c r="U427" s="258">
        <f>IF('Dry_Litterbag Placem_Collection'!E208="","",'Dry_Litterbag Placem_Collection'!E208)</f>
        <v>42942</v>
      </c>
      <c r="V427" s="258">
        <f>IF('Dry_Litterbag Placem_Collection'!G208="","",'Dry_Litterbag Placem_Collection'!G208)</f>
        <v>43004</v>
      </c>
      <c r="W427" s="259">
        <f t="shared" si="30"/>
        <v>62</v>
      </c>
      <c r="X427" s="257">
        <f t="shared" si="33"/>
        <v>-1.3701000000000003</v>
      </c>
      <c r="Y427" s="257">
        <f t="shared" si="34"/>
        <v>1.7380407285930033</v>
      </c>
      <c r="Z427" s="261">
        <f>IFERROR(INDEX([3]Rainfall_Dry!$O$2:$O$217,MATCH(C427, [3]Rainfall_Dry!$A$2:$A$217,0)),"")</f>
        <v>171.84818423999999</v>
      </c>
      <c r="AA427" s="250">
        <v>34.344660194174757</v>
      </c>
      <c r="AB427" s="250">
        <v>19.22727272727273</v>
      </c>
      <c r="AC427" s="250">
        <v>46.428067078552509</v>
      </c>
      <c r="AD427" s="251" t="s">
        <v>2651</v>
      </c>
      <c r="AE427" s="250">
        <v>1.7452932479053718</v>
      </c>
      <c r="AF427">
        <f>IF('WetLitterbags placem_collection'!AB208="","",'WetLitterbags placem_collection'!AB208)</f>
        <v>13.8</v>
      </c>
      <c r="AG427">
        <f>IF('WetLitterbags placem_collection'!Z208="","",'WetLitterbags placem_collection'!Z208)</f>
        <v>17.399999999999999</v>
      </c>
      <c r="AH427" s="236" t="str">
        <f>IF('WetLitterbags placem_collection'!AA208="","",'WetLitterbags placem_collection'!AA208)</f>
        <v>O</v>
      </c>
      <c r="AI427">
        <f>IF('WetLitterbags placem_collection'!AC208="","",'WetLitterbags placem_collection'!AC208)</f>
        <v>1</v>
      </c>
      <c r="AJ427">
        <f>IFERROR(AVERAGE('Dry_Litterbag Placem_Collection'!O208,'Dry_Litterbag Placem_Collection'!R208),"")</f>
        <v>6.4</v>
      </c>
      <c r="AK427" s="261">
        <f>IFERROR(AVERAGE('Dry_Litterbag Placem_Collection'!N208,'Dry_Litterbag Placem_Collection'!Q208),"")</f>
        <v>27.799999999999997</v>
      </c>
      <c r="AL427">
        <v>-2.439403972</v>
      </c>
      <c r="AM427">
        <v>34.838404959999998</v>
      </c>
      <c r="AN427" s="260" t="str">
        <f>IF(ISNUMBER(SEARCH("C", 'Dry_Litterbag Placem_Collection'!T208)),"YES","NO")</f>
        <v>NO</v>
      </c>
      <c r="AO427" s="260" t="str">
        <f>IF(ISNUMBER(SEARCH("H", 'Dry_Litterbag Placem_Collection'!T208)),"YES","NO")</f>
        <v>YES</v>
      </c>
      <c r="AP427" s="260" t="str">
        <f>IF(ISNUMBER(SEARCH("R", 'Dry_Litterbag Placem_Collection'!T208)),"YES","NO")</f>
        <v>YES</v>
      </c>
    </row>
    <row r="428" spans="1:42" ht="15" customHeight="1">
      <c r="A428" t="s">
        <v>2490</v>
      </c>
      <c r="B428" s="252" t="s">
        <v>2643</v>
      </c>
      <c r="C428" s="253">
        <f>'Dry_Litterbag Placem_Collection'!A209</f>
        <v>207</v>
      </c>
      <c r="D428" s="253" t="str">
        <f>'Dry_Litterbag Placem_Collection'!B209</f>
        <v xml:space="preserve">Mwantimba
</v>
      </c>
      <c r="E428" s="253" t="s">
        <v>2454</v>
      </c>
      <c r="F428" s="253" t="s">
        <v>2644</v>
      </c>
      <c r="G428" s="253">
        <v>4</v>
      </c>
      <c r="H428" s="253" t="s">
        <v>3119</v>
      </c>
      <c r="I428" s="254" t="str">
        <f>'Dry_Litterbag Placem_Collection'!C209</f>
        <v>Wet_Ag3_CG4</v>
      </c>
      <c r="J428" s="255" t="s">
        <v>2525</v>
      </c>
      <c r="K428" s="262" t="s">
        <v>298</v>
      </c>
      <c r="L428" s="253" t="str">
        <f>IF(ISBLANK('Dry_Litterbag Placem_Collection'!K209),"","R"&amp;""&amp;'Dry_Litterbag Placem_Collection'!K209)</f>
        <v>R551</v>
      </c>
      <c r="M428" s="257">
        <f>IFERROR(INDEX('Green_rooibos initial weight'!$C$5:$C$2000,MATCH(L428, 'Green_rooibos initial weight'!$A$5:$A$2000,0)),"")</f>
        <v>2.1739999999999999</v>
      </c>
      <c r="N428" s="257">
        <f>IFERROR(M428-(TBIcalc!$Q$9+TBIcalc!$Q$10),"")</f>
        <v>1.9241999999999999</v>
      </c>
      <c r="O428" s="378">
        <f>AVERAGE(Ashed_controlls!$K$12:$K$14)</f>
        <v>2.2816647271287041</v>
      </c>
      <c r="P428" s="257">
        <f t="shared" si="31"/>
        <v>1.8802962073205893</v>
      </c>
      <c r="Q428" s="257">
        <f>IFERROR(INDEX('Both teabags AfterDry'!$D$2:$D$2000,MATCH(L428,'Both teabags AfterDry'!$A$2:$A$2000,0)),"")</f>
        <v>8.3109999999999999</v>
      </c>
      <c r="R428" s="257">
        <f>IFERROR(IF(Q428&gt;0,Q428-(TBIcalc!$Q$9),""),"")</f>
        <v>8.1603999999999992</v>
      </c>
      <c r="S428" s="268">
        <f>IFERROR(INDEX('Ashed teabags dry'!$K$2:$K$2000,MATCH(L428,'Ashed teabags dry'!$A$2:$A$2000,0)),"")</f>
        <v>95.853767275969844</v>
      </c>
      <c r="T428" s="268">
        <f t="shared" si="32"/>
        <v>0.33834917521175623</v>
      </c>
      <c r="U428" s="258">
        <f>IF('Dry_Litterbag Placem_Collection'!E209="","",'Dry_Litterbag Placem_Collection'!E209)</f>
        <v>42942</v>
      </c>
      <c r="V428" s="258">
        <f>IF('Dry_Litterbag Placem_Collection'!G209="","",'Dry_Litterbag Placem_Collection'!G209)</f>
        <v>43004</v>
      </c>
      <c r="W428" s="259">
        <f t="shared" si="30"/>
        <v>62</v>
      </c>
      <c r="X428" s="257">
        <f t="shared" si="33"/>
        <v>-6.2361999999999993</v>
      </c>
      <c r="Y428" s="257">
        <f t="shared" si="34"/>
        <v>1.5419470321088331</v>
      </c>
      <c r="Z428" s="261">
        <f>IFERROR(INDEX([3]Rainfall_Dry!$O$2:$O$217,MATCH(C428, [3]Rainfall_Dry!$A$2:$A$217,0)),"")</f>
        <v>171.84818423999999</v>
      </c>
      <c r="AA428" s="250">
        <v>27.96</v>
      </c>
      <c r="AB428" s="250">
        <v>4.9200000000000017</v>
      </c>
      <c r="AC428" s="250">
        <v>67.12</v>
      </c>
      <c r="AD428" s="251" t="s">
        <v>2651</v>
      </c>
      <c r="AE428" s="250">
        <v>0.88610152784622953</v>
      </c>
      <c r="AF428">
        <f>IF('WetLitterbags placem_collection'!AB209="","",'WetLitterbags placem_collection'!AB209)</f>
        <v>15.2</v>
      </c>
      <c r="AG428">
        <f>IF('WetLitterbags placem_collection'!Z209="","",'WetLitterbags placem_collection'!Z209)</f>
        <v>12.2</v>
      </c>
      <c r="AH428" s="236" t="str">
        <f>IF('WetLitterbags placem_collection'!AA209="","",'WetLitterbags placem_collection'!AA209)</f>
        <v>O</v>
      </c>
      <c r="AI428">
        <f>IF('WetLitterbags placem_collection'!AC209="","",'WetLitterbags placem_collection'!AC209)</f>
        <v>1</v>
      </c>
      <c r="AJ428">
        <f>IFERROR(AVERAGE('Dry_Litterbag Placem_Collection'!O209,'Dry_Litterbag Placem_Collection'!R209),"")</f>
        <v>4.3</v>
      </c>
      <c r="AK428" s="261">
        <f>IFERROR(AVERAGE('Dry_Litterbag Placem_Collection'!N209,'Dry_Litterbag Placem_Collection'!Q209),"")</f>
        <v>29.6</v>
      </c>
      <c r="AL428">
        <v>-2.4396949910000001</v>
      </c>
      <c r="AM428">
        <v>34.838574029999997</v>
      </c>
      <c r="AN428" s="260" t="str">
        <f>IF(ISNUMBER(SEARCH("C", 'Dry_Litterbag Placem_Collection'!T209)),"YES","NO")</f>
        <v>NO</v>
      </c>
      <c r="AO428" s="260" t="str">
        <f>IF(ISNUMBER(SEARCH("H", 'Dry_Litterbag Placem_Collection'!T209)),"YES","NO")</f>
        <v>NO</v>
      </c>
      <c r="AP428" s="260" t="str">
        <f>IF(ISNUMBER(SEARCH("R", 'Dry_Litterbag Placem_Collection'!T209)),"YES","NO")</f>
        <v>YES</v>
      </c>
    </row>
    <row r="429" spans="1:42" ht="15" customHeight="1">
      <c r="A429" t="s">
        <v>2490</v>
      </c>
      <c r="B429" s="252" t="s">
        <v>2643</v>
      </c>
      <c r="C429" s="253">
        <f>'Dry_Litterbag Placem_Collection'!A210</f>
        <v>208</v>
      </c>
      <c r="D429" s="253" t="str">
        <f>'Dry_Litterbag Placem_Collection'!B210</f>
        <v xml:space="preserve">Mwantimba
</v>
      </c>
      <c r="E429" s="253" t="s">
        <v>2454</v>
      </c>
      <c r="F429" s="253" t="s">
        <v>2644</v>
      </c>
      <c r="G429" s="253">
        <v>3</v>
      </c>
      <c r="H429" s="253" t="s">
        <v>3120</v>
      </c>
      <c r="I429" s="254" t="str">
        <f>'Dry_Litterbag Placem_Collection'!C210</f>
        <v>Wet_Ag4_CG3</v>
      </c>
      <c r="J429" s="255" t="s">
        <v>2525</v>
      </c>
      <c r="K429" s="262" t="s">
        <v>298</v>
      </c>
      <c r="L429" s="253" t="str">
        <f>IF(ISBLANK('Dry_Litterbag Placem_Collection'!K210),"","R"&amp;""&amp;'Dry_Litterbag Placem_Collection'!K210)</f>
        <v>R516</v>
      </c>
      <c r="M429" s="257">
        <f>IFERROR(INDEX('Green_rooibos initial weight'!$C$5:$C$2000,MATCH(L429, 'Green_rooibos initial weight'!$A$5:$A$2000,0)),"")</f>
        <v>2.141</v>
      </c>
      <c r="N429" s="257">
        <f>IFERROR(M429-(TBIcalc!$Q$9+TBIcalc!$Q$10),"")</f>
        <v>1.8912</v>
      </c>
      <c r="O429" s="378">
        <f>AVERAGE(Ashed_controlls!$K$12:$K$14)</f>
        <v>2.2816647271287041</v>
      </c>
      <c r="P429" s="257">
        <f t="shared" si="31"/>
        <v>1.8480491566805419</v>
      </c>
      <c r="Q429" s="257">
        <f>IFERROR(INDEX('Both teabags AfterDry'!$D$2:$D$2000,MATCH(L429,'Both teabags AfterDry'!$A$2:$A$2000,0)),"")</f>
        <v>1.7749999999999999</v>
      </c>
      <c r="R429" s="257">
        <f>IFERROR(IF(Q429&gt;0,Q429-(TBIcalc!$Q$9),""),"")</f>
        <v>1.6243999999999998</v>
      </c>
      <c r="S429" s="268">
        <f>IFERROR(INDEX('Ashed teabags dry'!$K$2:$K$2000,MATCH(L429,'Ashed teabags dry'!$A$2:$A$2000,0)),"")</f>
        <v>78.613771089831701</v>
      </c>
      <c r="T429" s="268">
        <f t="shared" si="32"/>
        <v>0.34739790241677393</v>
      </c>
      <c r="U429" s="258">
        <f>IF('Dry_Litterbag Placem_Collection'!E210="","",'Dry_Litterbag Placem_Collection'!E210)</f>
        <v>42942</v>
      </c>
      <c r="V429" s="258">
        <f>IF('Dry_Litterbag Placem_Collection'!G210="","",'Dry_Litterbag Placem_Collection'!G210)</f>
        <v>43004</v>
      </c>
      <c r="W429" s="259">
        <f t="shared" si="30"/>
        <v>62</v>
      </c>
      <c r="X429" s="257">
        <f t="shared" si="33"/>
        <v>0.26680000000000015</v>
      </c>
      <c r="Y429" s="257">
        <f t="shared" si="34"/>
        <v>1.500651254263768</v>
      </c>
      <c r="Z429" s="261">
        <f>IFERROR(INDEX([3]Rainfall_Dry!$O$2:$O$217,MATCH(C429, [3]Rainfall_Dry!$A$2:$A$217,0)),"")</f>
        <v>171.84818423999999</v>
      </c>
      <c r="AA429" s="250">
        <v>17.96</v>
      </c>
      <c r="AB429" s="250">
        <v>4.9199999999999982</v>
      </c>
      <c r="AC429" s="250">
        <v>77.12</v>
      </c>
      <c r="AD429" s="251" t="s">
        <v>2652</v>
      </c>
      <c r="AE429" s="250">
        <v>2.0220798422868409</v>
      </c>
      <c r="AF429">
        <f>IF('WetLitterbags placem_collection'!AB210="","",'WetLitterbags placem_collection'!AB210)</f>
        <v>7.9</v>
      </c>
      <c r="AG429">
        <f>IF('WetLitterbags placem_collection'!Z210="","",'WetLitterbags placem_collection'!Z210)</f>
        <v>7.9</v>
      </c>
      <c r="AH429" s="236" t="str">
        <f>IF('WetLitterbags placem_collection'!AA210="","",'WetLitterbags placem_collection'!AA210)</f>
        <v>O</v>
      </c>
      <c r="AI429">
        <f>IF('WetLitterbags placem_collection'!AC210="","",'WetLitterbags placem_collection'!AC210)</f>
        <v>1</v>
      </c>
      <c r="AJ429">
        <f>IFERROR(AVERAGE('Dry_Litterbag Placem_Collection'!O210,'Dry_Litterbag Placem_Collection'!R210),"")</f>
        <v>6.2</v>
      </c>
      <c r="AK429" s="261">
        <f>IFERROR(AVERAGE('Dry_Litterbag Placem_Collection'!N210,'Dry_Litterbag Placem_Collection'!Q210),"")</f>
        <v>29.1</v>
      </c>
      <c r="AL429">
        <v>-2.4395990190000001</v>
      </c>
      <c r="AM429">
        <v>34.838418959999998</v>
      </c>
      <c r="AN429" s="260" t="str">
        <f>IF(ISNUMBER(SEARCH("C", 'Dry_Litterbag Placem_Collection'!T210)),"YES","NO")</f>
        <v>YES</v>
      </c>
      <c r="AO429" s="260" t="str">
        <f>IF(ISNUMBER(SEARCH("H", 'Dry_Litterbag Placem_Collection'!T210)),"YES","NO")</f>
        <v>NO</v>
      </c>
      <c r="AP429" s="260" t="str">
        <f>IF(ISNUMBER(SEARCH("R", 'Dry_Litterbag Placem_Collection'!T210)),"YES","NO")</f>
        <v>NO</v>
      </c>
    </row>
    <row r="430" spans="1:42" ht="15" customHeight="1">
      <c r="A430" t="s">
        <v>2490</v>
      </c>
      <c r="B430" s="252" t="s">
        <v>2643</v>
      </c>
      <c r="C430" s="253">
        <f>'Dry_Litterbag Placem_Collection'!A211</f>
        <v>209</v>
      </c>
      <c r="D430" s="253" t="str">
        <f>'Dry_Litterbag Placem_Collection'!B211</f>
        <v xml:space="preserve">Mwantimba
</v>
      </c>
      <c r="E430" s="253" t="s">
        <v>2454</v>
      </c>
      <c r="F430" s="253" t="s">
        <v>20</v>
      </c>
      <c r="G430" s="253">
        <v>2</v>
      </c>
      <c r="H430" s="253" t="s">
        <v>3121</v>
      </c>
      <c r="I430" s="254" t="str">
        <f>'Dry_Litterbag Placem_Collection'!C211</f>
        <v>Wet_P1_CG2</v>
      </c>
      <c r="J430" s="255" t="s">
        <v>2525</v>
      </c>
      <c r="K430" s="262" t="s">
        <v>298</v>
      </c>
      <c r="L430" s="253" t="str">
        <f>IF(ISBLANK('Dry_Litterbag Placem_Collection'!K211),"","R"&amp;""&amp;'Dry_Litterbag Placem_Collection'!K211)</f>
        <v>R678</v>
      </c>
      <c r="M430" s="257">
        <f>IFERROR(INDEX('Green_rooibos initial weight'!$C$5:$C$2000,MATCH(L430, 'Green_rooibos initial weight'!$A$5:$A$2000,0)),"")</f>
        <v>2.1320000000000001</v>
      </c>
      <c r="N430" s="257">
        <f>IFERROR(M430-(TBIcalc!$Q$9+TBIcalc!$Q$10),"")</f>
        <v>1.8822000000000001</v>
      </c>
      <c r="O430" s="378">
        <f>AVERAGE(Ashed_controlls!$K$12:$K$14)</f>
        <v>2.2816647271287041</v>
      </c>
      <c r="P430" s="257">
        <f t="shared" si="31"/>
        <v>1.8392545065059835</v>
      </c>
      <c r="Q430" s="257">
        <f>IFERROR(INDEX('Both teabags AfterDry'!$D$2:$D$2000,MATCH(L430,'Both teabags AfterDry'!$A$2:$A$2000,0)),"")</f>
        <v>1.6856</v>
      </c>
      <c r="R430" s="257">
        <f>IFERROR(IF(Q430&gt;0,Q430-(TBIcalc!$Q$9),""),"")</f>
        <v>1.5349999999999999</v>
      </c>
      <c r="S430" s="268">
        <f>IFERROR(INDEX('Ashed teabags dry'!$K$2:$K$2000,MATCH(L430,'Ashed teabags dry'!$A$2:$A$2000,0)),"")</f>
        <v>3.8461538461540399</v>
      </c>
      <c r="T430" s="268">
        <f t="shared" si="32"/>
        <v>1.4759615384615354</v>
      </c>
      <c r="U430" s="258">
        <f>IF('Dry_Litterbag Placem_Collection'!E211="","",'Dry_Litterbag Placem_Collection'!E211)</f>
        <v>42942</v>
      </c>
      <c r="V430" s="258">
        <f>IF('Dry_Litterbag Placem_Collection'!G211="","",'Dry_Litterbag Placem_Collection'!G211)</f>
        <v>43004</v>
      </c>
      <c r="W430" s="259">
        <f t="shared" si="30"/>
        <v>62</v>
      </c>
      <c r="X430" s="257">
        <f t="shared" si="33"/>
        <v>0.34720000000000018</v>
      </c>
      <c r="Y430" s="257">
        <f t="shared" si="34"/>
        <v>0.36329296804444811</v>
      </c>
      <c r="Z430" s="261">
        <f>IFERROR(INDEX([3]Rainfall_Dry!$O$2:$O$217,MATCH(C430, [3]Rainfall_Dry!$A$2:$A$217,0)),"")</f>
        <v>171.84818423999999</v>
      </c>
      <c r="AA430" s="250">
        <v>31.214836424255054</v>
      </c>
      <c r="AB430" s="250">
        <v>11.377370285476141</v>
      </c>
      <c r="AC430" s="250">
        <v>57.407793290268799</v>
      </c>
      <c r="AD430" s="251" t="s">
        <v>2651</v>
      </c>
      <c r="AE430" s="250">
        <v>1.7337604731394776</v>
      </c>
      <c r="AF430">
        <f>IF('WetLitterbags placem_collection'!AB211="","",'WetLitterbags placem_collection'!AB211)</f>
        <v>5.13</v>
      </c>
      <c r="AG430">
        <f>IF('WetLitterbags placem_collection'!Z211="","",'WetLitterbags placem_collection'!Z211)</f>
        <v>5.13</v>
      </c>
      <c r="AH430" s="236" t="str">
        <f>IF('WetLitterbags placem_collection'!AA211="","",'WetLitterbags placem_collection'!AA211)</f>
        <v>O</v>
      </c>
      <c r="AI430">
        <f>IF('WetLitterbags placem_collection'!AC211="","",'WetLitterbags placem_collection'!AC211)</f>
        <v>1</v>
      </c>
      <c r="AJ430">
        <f>IFERROR(AVERAGE('Dry_Litterbag Placem_Collection'!O211,'Dry_Litterbag Placem_Collection'!R211),"")</f>
        <v>8.6000000000000014</v>
      </c>
      <c r="AK430" s="261">
        <f>IFERROR(AVERAGE('Dry_Litterbag Placem_Collection'!N211,'Dry_Litterbag Placem_Collection'!Q211),"")</f>
        <v>29.6</v>
      </c>
      <c r="AL430">
        <v>-2.4396450349999999</v>
      </c>
      <c r="AM430">
        <v>34.83836599</v>
      </c>
      <c r="AN430" s="260" t="str">
        <f>IF(ISNUMBER(SEARCH("C", 'Dry_Litterbag Placem_Collection'!T211)),"YES","NO")</f>
        <v>NO</v>
      </c>
      <c r="AO430" s="260" t="str">
        <f>IF(ISNUMBER(SEARCH("H", 'Dry_Litterbag Placem_Collection'!T211)),"YES","NO")</f>
        <v>NO</v>
      </c>
      <c r="AP430" s="260" t="str">
        <f>IF(ISNUMBER(SEARCH("R", 'Dry_Litterbag Placem_Collection'!T211)),"YES","NO")</f>
        <v>NO</v>
      </c>
    </row>
    <row r="431" spans="1:42" ht="15" customHeight="1">
      <c r="A431" t="s">
        <v>2490</v>
      </c>
      <c r="B431" s="252" t="s">
        <v>2643</v>
      </c>
      <c r="C431" s="253">
        <f>'Dry_Litterbag Placem_Collection'!A212</f>
        <v>210</v>
      </c>
      <c r="D431" s="253" t="str">
        <f>'Dry_Litterbag Placem_Collection'!B212</f>
        <v xml:space="preserve">Mwantimba
</v>
      </c>
      <c r="E431" s="253" t="s">
        <v>2454</v>
      </c>
      <c r="F431" s="253" t="s">
        <v>20</v>
      </c>
      <c r="G431" s="253">
        <v>4</v>
      </c>
      <c r="H431" s="253" t="s">
        <v>3123</v>
      </c>
      <c r="I431" s="254" t="str">
        <f>'Dry_Litterbag Placem_Collection'!C212</f>
        <v>Wet_P2_CG4</v>
      </c>
      <c r="J431" s="255" t="s">
        <v>2525</v>
      </c>
      <c r="K431" s="262" t="s">
        <v>298</v>
      </c>
      <c r="L431" s="253" t="str">
        <f>IF(ISBLANK('Dry_Litterbag Placem_Collection'!K212),"","R"&amp;""&amp;'Dry_Litterbag Placem_Collection'!K212)</f>
        <v>R335</v>
      </c>
      <c r="M431" s="257">
        <f>IFERROR(INDEX('Green_rooibos initial weight'!$C$5:$C$2000,MATCH(L431, 'Green_rooibos initial weight'!$A$5:$A$2000,0)),"")</f>
        <v>2.1629999999999998</v>
      </c>
      <c r="N431" s="257">
        <f>IFERROR(M431-(TBIcalc!$Q$9+TBIcalc!$Q$10),"")</f>
        <v>1.9131999999999998</v>
      </c>
      <c r="O431" s="378">
        <f>AVERAGE(Ashed_controlls!$K$12:$K$14)</f>
        <v>2.2816647271287041</v>
      </c>
      <c r="P431" s="257">
        <f t="shared" si="31"/>
        <v>1.8695471904405734</v>
      </c>
      <c r="Q431" s="257">
        <f>IFERROR(INDEX('Both teabags AfterDry'!$D$2:$D$2000,MATCH(L431,'Both teabags AfterDry'!$A$2:$A$2000,0)),"")</f>
        <v>1.716</v>
      </c>
      <c r="R431" s="257">
        <f>IFERROR(IF(Q431&gt;0,Q431-(TBIcalc!$Q$9),""),"")</f>
        <v>1.5653999999999999</v>
      </c>
      <c r="S431" s="268">
        <f>IFERROR(INDEX('Ashed teabags dry'!$K$2:$K$2000,MATCH(L431,'Ashed teabags dry'!$A$2:$A$2000,0)),"")</f>
        <v>89.116785265801681</v>
      </c>
      <c r="T431" s="268">
        <f t="shared" si="32"/>
        <v>0.17036584344914041</v>
      </c>
      <c r="U431" s="258">
        <f>IF('Dry_Litterbag Placem_Collection'!E212="","",'Dry_Litterbag Placem_Collection'!E212)</f>
        <v>42942</v>
      </c>
      <c r="V431" s="258">
        <f>IF('Dry_Litterbag Placem_Collection'!G212="","",'Dry_Litterbag Placem_Collection'!G212)</f>
        <v>43004</v>
      </c>
      <c r="W431" s="259">
        <f t="shared" si="30"/>
        <v>62</v>
      </c>
      <c r="X431" s="257">
        <f t="shared" si="33"/>
        <v>0.34779999999999989</v>
      </c>
      <c r="Y431" s="257">
        <f t="shared" si="34"/>
        <v>1.699181346991433</v>
      </c>
      <c r="Z431" s="261">
        <f>IFERROR(INDEX([3]Rainfall_Dry!$O$2:$O$217,MATCH(C431, [3]Rainfall_Dry!$A$2:$A$217,0)),"")</f>
        <v>171.84818423999999</v>
      </c>
      <c r="AA431" s="250">
        <v>33.96</v>
      </c>
      <c r="AB431" s="250">
        <v>8.9200000000000017</v>
      </c>
      <c r="AC431" s="250">
        <v>57.12</v>
      </c>
      <c r="AD431" s="251" t="s">
        <v>2651</v>
      </c>
      <c r="AE431" s="250">
        <v>2.072055199605717</v>
      </c>
      <c r="AF431">
        <f>IF('WetLitterbags placem_collection'!AB212="","",'WetLitterbags placem_collection'!AB212)</f>
        <v>15.2</v>
      </c>
      <c r="AG431">
        <f>IF('WetLitterbags placem_collection'!Z212="","",'WetLitterbags placem_collection'!Z212)</f>
        <v>12.2</v>
      </c>
      <c r="AH431" s="236" t="str">
        <f>IF('WetLitterbags placem_collection'!AA212="","",'WetLitterbags placem_collection'!AA212)</f>
        <v>O</v>
      </c>
      <c r="AI431">
        <f>IF('WetLitterbags placem_collection'!AC212="","",'WetLitterbags placem_collection'!AC212)</f>
        <v>1</v>
      </c>
      <c r="AJ431">
        <f>IFERROR(AVERAGE('Dry_Litterbag Placem_Collection'!O212,'Dry_Litterbag Placem_Collection'!R212),"")</f>
        <v>6.1</v>
      </c>
      <c r="AK431" s="261">
        <f>IFERROR(AVERAGE('Dry_Litterbag Placem_Collection'!N212,'Dry_Litterbag Placem_Collection'!Q212),"")</f>
        <v>27.5</v>
      </c>
      <c r="AL431">
        <v>-2.4396949910000001</v>
      </c>
      <c r="AM431">
        <v>34.838574029999997</v>
      </c>
      <c r="AN431" s="260" t="str">
        <f>IF(ISNUMBER(SEARCH("C", 'Dry_Litterbag Placem_Collection'!T212)),"YES","NO")</f>
        <v>YES</v>
      </c>
      <c r="AO431" s="260" t="str">
        <f>IF(ISNUMBER(SEARCH("H", 'Dry_Litterbag Placem_Collection'!T212)),"YES","NO")</f>
        <v>YES</v>
      </c>
      <c r="AP431" s="260" t="str">
        <f>IF(ISNUMBER(SEARCH("R", 'Dry_Litterbag Placem_Collection'!T212)),"YES","NO")</f>
        <v>NO</v>
      </c>
    </row>
    <row r="432" spans="1:42" ht="15" customHeight="1">
      <c r="A432" t="s">
        <v>2490</v>
      </c>
      <c r="B432" s="252" t="s">
        <v>2643</v>
      </c>
      <c r="C432" s="253">
        <f>'Dry_Litterbag Placem_Collection'!A213</f>
        <v>211</v>
      </c>
      <c r="D432" s="253" t="str">
        <f>'Dry_Litterbag Placem_Collection'!B213</f>
        <v xml:space="preserve">Mwantimba
</v>
      </c>
      <c r="E432" s="253" t="s">
        <v>2454</v>
      </c>
      <c r="F432" s="253" t="s">
        <v>20</v>
      </c>
      <c r="G432" s="253">
        <v>1</v>
      </c>
      <c r="H432" s="253" t="s">
        <v>3124</v>
      </c>
      <c r="I432" s="254" t="str">
        <f>'Dry_Litterbag Placem_Collection'!C213</f>
        <v>Wet_P3_CG1</v>
      </c>
      <c r="J432" s="255" t="s">
        <v>2525</v>
      </c>
      <c r="K432" s="262" t="s">
        <v>298</v>
      </c>
      <c r="L432" s="253" t="str">
        <f>IF(ISBLANK('Dry_Litterbag Placem_Collection'!K213),"","R"&amp;""&amp;'Dry_Litterbag Placem_Collection'!K213)</f>
        <v>R249</v>
      </c>
      <c r="M432" s="257">
        <f>IFERROR(INDEX('Green_rooibos initial weight'!$C$5:$C$2000,MATCH(L432, 'Green_rooibos initial weight'!$A$5:$A$2000,0)),"")</f>
        <v>2.294</v>
      </c>
      <c r="N432" s="257">
        <f>IFERROR(M432-(TBIcalc!$Q$9+TBIcalc!$Q$10),"")</f>
        <v>2.0442</v>
      </c>
      <c r="O432" s="378">
        <f>AVERAGE(Ashed_controlls!$K$12:$K$14)</f>
        <v>2.2816647271287041</v>
      </c>
      <c r="P432" s="257">
        <f t="shared" si="31"/>
        <v>1.9975582096480351</v>
      </c>
      <c r="Q432" s="257">
        <f>IFERROR(INDEX('Both teabags AfterDry'!$D$2:$D$2000,MATCH(L432,'Both teabags AfterDry'!$A$2:$A$2000,0)),"")</f>
        <v>1.1160000000000001</v>
      </c>
      <c r="R432" s="257">
        <f>IFERROR(IF(Q432&gt;0,Q432-(TBIcalc!$Q$9),""),"")</f>
        <v>0.96540000000000004</v>
      </c>
      <c r="S432" s="268">
        <f>IFERROR(INDEX('Ashed teabags dry'!$K$2:$K$2000,MATCH(L432,'Ashed teabags dry'!$A$2:$A$2000,0)),"")</f>
        <v>35.262904003859205</v>
      </c>
      <c r="T432" s="268">
        <f t="shared" si="32"/>
        <v>0.62497192474674323</v>
      </c>
      <c r="U432" s="258">
        <f>IF('Dry_Litterbag Placem_Collection'!E213="","",'Dry_Litterbag Placem_Collection'!E213)</f>
        <v>42942</v>
      </c>
      <c r="V432" s="258">
        <f>IF('Dry_Litterbag Placem_Collection'!G213="","",'Dry_Litterbag Placem_Collection'!G213)</f>
        <v>43004</v>
      </c>
      <c r="W432" s="259">
        <f t="shared" si="30"/>
        <v>62</v>
      </c>
      <c r="X432" s="257">
        <f t="shared" si="33"/>
        <v>1.0788</v>
      </c>
      <c r="Y432" s="257">
        <f t="shared" si="34"/>
        <v>1.372586284901292</v>
      </c>
      <c r="Z432" s="261">
        <f>IFERROR(INDEX([3]Rainfall_Dry!$O$2:$O$217,MATCH(C432, [3]Rainfall_Dry!$A$2:$A$217,0)),"")</f>
        <v>171.84818423999999</v>
      </c>
      <c r="AA432" s="250">
        <v>39.96</v>
      </c>
      <c r="AB432" s="250">
        <v>12.920000000000002</v>
      </c>
      <c r="AC432" s="250">
        <v>47.12</v>
      </c>
      <c r="AD432" s="251" t="s">
        <v>2655</v>
      </c>
      <c r="AE432" s="250">
        <v>1.6549531789058647</v>
      </c>
      <c r="AF432">
        <f>IF('WetLitterbags placem_collection'!AB213="","",'WetLitterbags placem_collection'!AB213)</f>
        <v>13.8</v>
      </c>
      <c r="AG432">
        <f>IF('WetLitterbags placem_collection'!Z213="","",'WetLitterbags placem_collection'!Z213)</f>
        <v>17.399999999999999</v>
      </c>
      <c r="AH432" s="236" t="str">
        <f>IF('WetLitterbags placem_collection'!AA213="","",'WetLitterbags placem_collection'!AA213)</f>
        <v>O</v>
      </c>
      <c r="AI432">
        <f>IF('WetLitterbags placem_collection'!AC213="","",'WetLitterbags placem_collection'!AC213)</f>
        <v>1</v>
      </c>
      <c r="AJ432">
        <f>IFERROR(AVERAGE('Dry_Litterbag Placem_Collection'!O213,'Dry_Litterbag Placem_Collection'!R213),"")</f>
        <v>7.55</v>
      </c>
      <c r="AK432" s="261">
        <f>IFERROR(AVERAGE('Dry_Litterbag Placem_Collection'!N213,'Dry_Litterbag Placem_Collection'!Q213),"")</f>
        <v>28</v>
      </c>
      <c r="AL432">
        <v>-2.439403972</v>
      </c>
      <c r="AM432">
        <v>34.838404959999998</v>
      </c>
      <c r="AN432" s="260" t="str">
        <f>IF(ISNUMBER(SEARCH("C", 'Dry_Litterbag Placem_Collection'!T213)),"YES","NO")</f>
        <v>YES</v>
      </c>
      <c r="AO432" s="260" t="str">
        <f>IF(ISNUMBER(SEARCH("H", 'Dry_Litterbag Placem_Collection'!T213)),"YES","NO")</f>
        <v>YES</v>
      </c>
      <c r="AP432" s="260" t="str">
        <f>IF(ISNUMBER(SEARCH("R", 'Dry_Litterbag Placem_Collection'!T213)),"YES","NO")</f>
        <v>YES</v>
      </c>
    </row>
    <row r="433" spans="1:42" ht="15" customHeight="1">
      <c r="A433" t="s">
        <v>2490</v>
      </c>
      <c r="B433" s="252" t="s">
        <v>2643</v>
      </c>
      <c r="C433" s="253">
        <f>'Dry_Litterbag Placem_Collection'!A214</f>
        <v>215</v>
      </c>
      <c r="D433" s="253" t="str">
        <f>'Dry_Litterbag Placem_Collection'!B214</f>
        <v xml:space="preserve">Mwantimba
</v>
      </c>
      <c r="E433" s="253" t="s">
        <v>2454</v>
      </c>
      <c r="F433" s="253" t="s">
        <v>2645</v>
      </c>
      <c r="G433" s="253">
        <v>3</v>
      </c>
      <c r="H433" s="253" t="s">
        <v>3129</v>
      </c>
      <c r="I433" s="254" t="str">
        <f>'Dry_Litterbag Placem_Collection'!C214</f>
        <v>Wet_W3_CG1</v>
      </c>
      <c r="J433" s="255" t="s">
        <v>2525</v>
      </c>
      <c r="K433" s="262" t="s">
        <v>298</v>
      </c>
      <c r="L433" s="253" t="str">
        <f>IF(ISBLANK('Dry_Litterbag Placem_Collection'!K214),"","R"&amp;""&amp;'Dry_Litterbag Placem_Collection'!K214)</f>
        <v>R627</v>
      </c>
      <c r="M433" s="257">
        <f>IFERROR(INDEX('Green_rooibos initial weight'!$C$5:$C$2000,MATCH(L433, 'Green_rooibos initial weight'!$A$5:$A$2000,0)),"")</f>
        <v>2.1429999999999998</v>
      </c>
      <c r="N433" s="257">
        <f>IFERROR(M433-(TBIcalc!$Q$9+TBIcalc!$Q$10),"")</f>
        <v>1.8931999999999998</v>
      </c>
      <c r="O433" s="378">
        <f>AVERAGE(Ashed_controlls!$K$12:$K$14)</f>
        <v>2.2816647271287041</v>
      </c>
      <c r="P433" s="257">
        <f t="shared" si="31"/>
        <v>1.850003523385999</v>
      </c>
      <c r="Q433" s="257">
        <f>IFERROR(INDEX('Both teabags AfterDry'!$D$2:$D$2000,MATCH(L433,'Both teabags AfterDry'!$A$2:$A$2000,0)),"")</f>
        <v>1.7356</v>
      </c>
      <c r="R433" s="257">
        <f>IFERROR(IF(Q433&gt;0,Q433-(TBIcalc!$Q$9),""),"")</f>
        <v>1.585</v>
      </c>
      <c r="S433" s="268">
        <f>IFERROR(INDEX('Ashed teabags dry'!$K$2:$K$2000,MATCH(L433,'Ashed teabags dry'!$A$2:$A$2000,0)),"")</f>
        <v>5.6538839724678436</v>
      </c>
      <c r="T433" s="268">
        <f t="shared" si="32"/>
        <v>1.4953859390363846</v>
      </c>
      <c r="U433" s="258">
        <f>IF('Dry_Litterbag Placem_Collection'!E214="","",'Dry_Litterbag Placem_Collection'!E214)</f>
        <v>42942</v>
      </c>
      <c r="V433" s="258">
        <f>IF('Dry_Litterbag Placem_Collection'!G214="","",'Dry_Litterbag Placem_Collection'!G214)</f>
        <v>43004</v>
      </c>
      <c r="W433" s="259">
        <f t="shared" si="30"/>
        <v>62</v>
      </c>
      <c r="X433" s="257">
        <f t="shared" si="33"/>
        <v>0.30819999999999981</v>
      </c>
      <c r="Y433" s="257">
        <f t="shared" si="34"/>
        <v>0.35461758434961443</v>
      </c>
      <c r="Z433" s="261" t="str">
        <f>IFERROR(INDEX([3]Rainfall_Dry!$O$2:$O$217,MATCH(C433, [3]Rainfall_Dry!$A$2:$A$217,0)),"")</f>
        <v/>
      </c>
      <c r="AA433" s="250">
        <v>27.96</v>
      </c>
      <c r="AB433" s="250">
        <v>4.9200000000000017</v>
      </c>
      <c r="AC433" s="250">
        <v>67.12</v>
      </c>
      <c r="AD433" s="251" t="s">
        <v>2651</v>
      </c>
      <c r="AE433" s="250">
        <v>1.0437161163134547</v>
      </c>
      <c r="AF433">
        <f>IF('WetLitterbags placem_collection'!AB214="","",'WetLitterbags placem_collection'!AB214)</f>
        <v>7.9</v>
      </c>
      <c r="AG433">
        <f>IF('WetLitterbags placem_collection'!Z214="","",'WetLitterbags placem_collection'!Z214)</f>
        <v>7.9</v>
      </c>
      <c r="AH433" s="236" t="str">
        <f>IF('WetLitterbags placem_collection'!AA214="","",'WetLitterbags placem_collection'!AA214)</f>
        <v>O</v>
      </c>
      <c r="AI433">
        <f>IF('WetLitterbags placem_collection'!AC214="","",'WetLitterbags placem_collection'!AC214)</f>
        <v>1</v>
      </c>
      <c r="AJ433">
        <f>IFERROR(AVERAGE('Dry_Litterbag Placem_Collection'!O214,'Dry_Litterbag Placem_Collection'!R214),"")</f>
        <v>4.3</v>
      </c>
      <c r="AK433" s="261">
        <f>IFERROR(AVERAGE('Dry_Litterbag Placem_Collection'!N214,'Dry_Litterbag Placem_Collection'!Q214),"")</f>
        <v>28.75</v>
      </c>
      <c r="AL433">
        <v>-2.4395990190000001</v>
      </c>
      <c r="AM433">
        <v>34.838418959999998</v>
      </c>
      <c r="AN433" s="260" t="str">
        <f>IF(ISNUMBER(SEARCH("C", 'Dry_Litterbag Placem_Collection'!T214)),"YES","NO")</f>
        <v>NO</v>
      </c>
      <c r="AO433" s="260" t="str">
        <f>IF(ISNUMBER(SEARCH("H", 'Dry_Litterbag Placem_Collection'!T214)),"YES","NO")</f>
        <v>NO</v>
      </c>
      <c r="AP433" s="260" t="str">
        <f>IF(ISNUMBER(SEARCH("R", 'Dry_Litterbag Placem_Collection'!T214)),"YES","NO")</f>
        <v>YES</v>
      </c>
    </row>
    <row r="434" spans="1:42" ht="15" customHeight="1">
      <c r="A434" t="s">
        <v>2490</v>
      </c>
      <c r="B434" s="252" t="s">
        <v>2643</v>
      </c>
      <c r="C434" s="253">
        <f>'Dry_Litterbag Placem_Collection'!A215</f>
        <v>212</v>
      </c>
      <c r="D434" s="253" t="str">
        <f>'Dry_Litterbag Placem_Collection'!B215</f>
        <v xml:space="preserve">Mwantimba
</v>
      </c>
      <c r="E434" s="253" t="s">
        <v>2454</v>
      </c>
      <c r="F434" s="253" t="s">
        <v>20</v>
      </c>
      <c r="G434" s="253">
        <v>4</v>
      </c>
      <c r="H434" s="253" t="s">
        <v>3125</v>
      </c>
      <c r="I434" s="254" t="str">
        <f>'Dry_Litterbag Placem_Collection'!C215</f>
        <v>Wet_P4_CG3</v>
      </c>
      <c r="J434" s="255" t="s">
        <v>2525</v>
      </c>
      <c r="K434" s="262" t="s">
        <v>298</v>
      </c>
      <c r="L434" s="253" t="str">
        <f>IF(ISBLANK('Dry_Litterbag Placem_Collection'!K215),"","R"&amp;""&amp;'Dry_Litterbag Placem_Collection'!K215)</f>
        <v>R803</v>
      </c>
      <c r="M434" s="257">
        <f>IFERROR(INDEX('Green_rooibos initial weight'!$C$5:$C$2000,MATCH(L434, 'Green_rooibos initial weight'!$A$5:$A$2000,0)),"")</f>
        <v>2.1930000000000001</v>
      </c>
      <c r="N434" s="257">
        <f>IFERROR(M434-(TBIcalc!$Q$9+TBIcalc!$Q$10),"")</f>
        <v>1.9432</v>
      </c>
      <c r="O434" s="378">
        <f>AVERAGE(Ashed_controlls!$K$12:$K$14)</f>
        <v>2.2816647271287041</v>
      </c>
      <c r="P434" s="257">
        <f t="shared" si="31"/>
        <v>1.8988626910224351</v>
      </c>
      <c r="Q434" s="257">
        <f>IFERROR(INDEX('Both teabags AfterDry'!$D$2:$D$2000,MATCH(L434,'Both teabags AfterDry'!$A$2:$A$2000,0)),"")</f>
        <v>0.78500000000000003</v>
      </c>
      <c r="R434" s="257">
        <f>IFERROR(IF(Q434&gt;0,Q434-(TBIcalc!$Q$9),""),"")</f>
        <v>0.63440000000000007</v>
      </c>
      <c r="S434" s="268">
        <f>IFERROR(INDEX('Ashed teabags dry'!$K$2:$K$2000,MATCH(L434,'Ashed teabags dry'!$A$2:$A$2000,0)),"")</f>
        <v>11.856932876041183</v>
      </c>
      <c r="T434" s="268">
        <f t="shared" si="32"/>
        <v>0.55917961783439485</v>
      </c>
      <c r="U434" s="258">
        <f>IF('Dry_Litterbag Placem_Collection'!E215="","",'Dry_Litterbag Placem_Collection'!E215)</f>
        <v>42942</v>
      </c>
      <c r="V434" s="258">
        <f>IF('Dry_Litterbag Placem_Collection'!G215="","",'Dry_Litterbag Placem_Collection'!G215)</f>
        <v>43004</v>
      </c>
      <c r="W434" s="259">
        <f t="shared" si="30"/>
        <v>62</v>
      </c>
      <c r="X434" s="257">
        <f t="shared" si="33"/>
        <v>1.3088</v>
      </c>
      <c r="Y434" s="257">
        <f t="shared" si="34"/>
        <v>1.3396830731880403</v>
      </c>
      <c r="Z434" s="261">
        <f>IFERROR(INDEX([3]Rainfall_Dry!$O$2:$O$217,MATCH(C434, [3]Rainfall_Dry!$A$2:$A$217,0)),"")</f>
        <v>171.84818423999999</v>
      </c>
      <c r="AA434" s="250">
        <v>21.96</v>
      </c>
      <c r="AB434" s="250">
        <v>4.9199999999999982</v>
      </c>
      <c r="AC434" s="250">
        <v>73.12</v>
      </c>
      <c r="AD434" s="251" t="s">
        <v>2651</v>
      </c>
      <c r="AE434" s="250">
        <v>1.2416954164613114</v>
      </c>
      <c r="AF434">
        <f>IF('WetLitterbags placem_collection'!AB215="","",'WetLitterbags placem_collection'!AB215)</f>
        <v>15.2</v>
      </c>
      <c r="AG434">
        <f>IF('WetLitterbags placem_collection'!Z215="","",'WetLitterbags placem_collection'!Z215)</f>
        <v>12.2</v>
      </c>
      <c r="AH434" s="236" t="str">
        <f>IF('WetLitterbags placem_collection'!AA215="","",'WetLitterbags placem_collection'!AA215)</f>
        <v>O</v>
      </c>
      <c r="AI434">
        <f>IF('WetLitterbags placem_collection'!AC215="","",'WetLitterbags placem_collection'!AC215)</f>
        <v>1</v>
      </c>
      <c r="AJ434">
        <f>IFERROR(AVERAGE('Dry_Litterbag Placem_Collection'!O215,'Dry_Litterbag Placem_Collection'!R215),"")</f>
        <v>8.1499999999999986</v>
      </c>
      <c r="AK434" s="261">
        <f>IFERROR(AVERAGE('Dry_Litterbag Placem_Collection'!N215,'Dry_Litterbag Placem_Collection'!Q215),"")</f>
        <v>28.25</v>
      </c>
      <c r="AL434">
        <v>-2.4396949910000001</v>
      </c>
      <c r="AM434">
        <v>34.838574029999997</v>
      </c>
      <c r="AN434" s="260" t="str">
        <f>IF(ISNUMBER(SEARCH("C", 'Dry_Litterbag Placem_Collection'!T215)),"YES","NO")</f>
        <v>NO</v>
      </c>
      <c r="AO434" s="260" t="str">
        <f>IF(ISNUMBER(SEARCH("H", 'Dry_Litterbag Placem_Collection'!T215)),"YES","NO")</f>
        <v>YES</v>
      </c>
      <c r="AP434" s="260" t="str">
        <f>IF(ISNUMBER(SEARCH("R", 'Dry_Litterbag Placem_Collection'!T215)),"YES","NO")</f>
        <v>YES</v>
      </c>
    </row>
    <row r="435" spans="1:42" ht="15" customHeight="1">
      <c r="A435" t="s">
        <v>2490</v>
      </c>
      <c r="B435" s="252" t="s">
        <v>2643</v>
      </c>
      <c r="C435" s="253">
        <f>'Dry_Litterbag Placem_Collection'!A216</f>
        <v>213</v>
      </c>
      <c r="D435" s="253" t="str">
        <f>'Dry_Litterbag Placem_Collection'!B216</f>
        <v>Handajega</v>
      </c>
      <c r="E435" s="253" t="s">
        <v>2454</v>
      </c>
      <c r="F435" s="253" t="s">
        <v>2645</v>
      </c>
      <c r="G435" s="253">
        <v>3</v>
      </c>
      <c r="H435" s="253" t="s">
        <v>3126</v>
      </c>
      <c r="I435" s="254" t="str">
        <f>'Dry_Litterbag Placem_Collection'!C216</f>
        <v>Wet_W1_CG4</v>
      </c>
      <c r="J435" s="255" t="s">
        <v>2525</v>
      </c>
      <c r="K435" s="262" t="s">
        <v>298</v>
      </c>
      <c r="L435" s="253" t="str">
        <f>IF(ISBLANK('Dry_Litterbag Placem_Collection'!K216),"","R"&amp;""&amp;'Dry_Litterbag Placem_Collection'!K216)</f>
        <v>R321</v>
      </c>
      <c r="M435" s="257">
        <f>IFERROR(INDEX('Green_rooibos initial weight'!$C$5:$C$2000,MATCH(L435, 'Green_rooibos initial weight'!$A$5:$A$2000,0)),"")</f>
        <v>2.1859999999999999</v>
      </c>
      <c r="N435" s="257">
        <f>IFERROR(M435-(TBIcalc!$Q$9+TBIcalc!$Q$10),"")</f>
        <v>1.9361999999999999</v>
      </c>
      <c r="O435" s="378">
        <f>AVERAGE(Ashed_controlls!$K$12:$K$14)</f>
        <v>2.2816647271287041</v>
      </c>
      <c r="P435" s="257">
        <f t="shared" si="31"/>
        <v>1.8920224075533341</v>
      </c>
      <c r="Q435" s="257">
        <f>IFERROR(INDEX('Both teabags AfterDry'!$D$2:$D$2000,MATCH(L435,'Both teabags AfterDry'!$A$2:$A$2000,0)),"")</f>
        <v>1.6859999999999999</v>
      </c>
      <c r="R435" s="257">
        <f>IFERROR(IF(Q435&gt;0,Q435-(TBIcalc!$Q$9),""),"")</f>
        <v>1.5353999999999999</v>
      </c>
      <c r="S435" s="268">
        <f>IFERROR(INDEX('Ashed teabags dry'!$K$2:$K$2000,MATCH(L435,'Ashed teabags dry'!$A$2:$A$2000,0)),"")</f>
        <v>5.7692307692305311</v>
      </c>
      <c r="T435" s="268">
        <f t="shared" si="32"/>
        <v>1.4468192307692342</v>
      </c>
      <c r="U435" s="258">
        <f>IF('Dry_Litterbag Placem_Collection'!E216="","",'Dry_Litterbag Placem_Collection'!E216)</f>
        <v>42942</v>
      </c>
      <c r="V435" s="258">
        <f>IF('Dry_Litterbag Placem_Collection'!G216="","",'Dry_Litterbag Placem_Collection'!G216)</f>
        <v>43004</v>
      </c>
      <c r="W435" s="259">
        <f t="shared" si="30"/>
        <v>62</v>
      </c>
      <c r="X435" s="257">
        <f t="shared" si="33"/>
        <v>0.40080000000000005</v>
      </c>
      <c r="Y435" s="257">
        <f t="shared" si="34"/>
        <v>0.44520317678409982</v>
      </c>
      <c r="Z435" s="261">
        <f>IFERROR(INDEX([3]Rainfall_Dry!$O$2:$O$217,MATCH(C435, [3]Rainfall_Dry!$A$2:$A$217,0)),"")</f>
        <v>171.84818423999999</v>
      </c>
      <c r="AA435" s="250">
        <v>23.96</v>
      </c>
      <c r="AB435" s="250">
        <v>4.9199999999999982</v>
      </c>
      <c r="AC435" s="250">
        <v>71.12</v>
      </c>
      <c r="AD435" s="251" t="s">
        <v>2651</v>
      </c>
      <c r="AE435" s="250">
        <v>3.30913750616067</v>
      </c>
      <c r="AF435">
        <f>IF('WetLitterbags placem_collection'!AB216="","",'WetLitterbags placem_collection'!AB216)</f>
        <v>7.9</v>
      </c>
      <c r="AG435">
        <f>IF('WetLitterbags placem_collection'!Z216="","",'WetLitterbags placem_collection'!Z216)</f>
        <v>7.9</v>
      </c>
      <c r="AH435" s="236" t="str">
        <f>IF('WetLitterbags placem_collection'!AA216="","",'WetLitterbags placem_collection'!AA216)</f>
        <v>O</v>
      </c>
      <c r="AI435">
        <f>IF('WetLitterbags placem_collection'!AC216="","",'WetLitterbags placem_collection'!AC216)</f>
        <v>1</v>
      </c>
      <c r="AJ435">
        <f>IFERROR(AVERAGE('Dry_Litterbag Placem_Collection'!O216,'Dry_Litterbag Placem_Collection'!R216),"")</f>
        <v>4.3499999999999996</v>
      </c>
      <c r="AK435" s="261">
        <f>IFERROR(AVERAGE('Dry_Litterbag Placem_Collection'!N216,'Dry_Litterbag Placem_Collection'!Q216),"")</f>
        <v>29.1</v>
      </c>
      <c r="AL435">
        <v>-2.4396949910000001</v>
      </c>
      <c r="AM435">
        <v>34.838574029999997</v>
      </c>
      <c r="AN435" s="260" t="str">
        <f>IF(ISNUMBER(SEARCH("C", 'Dry_Litterbag Placem_Collection'!T216)),"YES","NO")</f>
        <v>NO</v>
      </c>
      <c r="AO435" s="260" t="str">
        <f>IF(ISNUMBER(SEARCH("H", 'Dry_Litterbag Placem_Collection'!T216)),"YES","NO")</f>
        <v>NO</v>
      </c>
      <c r="AP435" s="260" t="str">
        <f>IF(ISNUMBER(SEARCH("R", 'Dry_Litterbag Placem_Collection'!T216)),"YES","NO")</f>
        <v>YES</v>
      </c>
    </row>
    <row r="436" spans="1:42" ht="15" customHeight="1">
      <c r="A436" t="s">
        <v>2490</v>
      </c>
      <c r="B436" s="252" t="s">
        <v>2643</v>
      </c>
      <c r="C436" s="253">
        <f>'Dry_Litterbag Placem_Collection'!A217</f>
        <v>214</v>
      </c>
      <c r="D436" s="253" t="str">
        <f>'Dry_Litterbag Placem_Collection'!B217</f>
        <v>Handajega</v>
      </c>
      <c r="E436" s="253" t="s">
        <v>2454</v>
      </c>
      <c r="F436" s="253" t="s">
        <v>2645</v>
      </c>
      <c r="G436" s="253">
        <v>1</v>
      </c>
      <c r="H436" s="253" t="s">
        <v>3128</v>
      </c>
      <c r="I436" s="254" t="str">
        <f>'Dry_Litterbag Placem_Collection'!C217</f>
        <v>Wet_W2_CG3</v>
      </c>
      <c r="J436" s="255" t="s">
        <v>2525</v>
      </c>
      <c r="K436" s="262" t="s">
        <v>298</v>
      </c>
      <c r="L436" s="253" t="str">
        <f>IF(ISBLANK('Dry_Litterbag Placem_Collection'!K217),"","R"&amp;""&amp;'Dry_Litterbag Placem_Collection'!K217)</f>
        <v>R677</v>
      </c>
      <c r="M436" s="257">
        <f>IFERROR(INDEX('Green_rooibos initial weight'!$C$5:$C$2000,MATCH(L436, 'Green_rooibos initial weight'!$A$5:$A$2000,0)),"")</f>
        <v>2.1240000000000001</v>
      </c>
      <c r="N436" s="257">
        <f>IFERROR(M436-(TBIcalc!$Q$9+TBIcalc!$Q$10),"")</f>
        <v>1.8742000000000001</v>
      </c>
      <c r="O436" s="378">
        <f>AVERAGE(Ashed_controlls!$K$12:$K$14)</f>
        <v>2.2816647271287041</v>
      </c>
      <c r="P436" s="257">
        <f t="shared" si="31"/>
        <v>1.8314370396841539</v>
      </c>
      <c r="Q436" s="257">
        <f>IFERROR(INDEX('Both teabags AfterDry'!$D$2:$D$2000,MATCH(L436,'Both teabags AfterDry'!$A$2:$A$2000,0)),"")</f>
        <v>1.7569999999999999</v>
      </c>
      <c r="R436" s="257">
        <f>IFERROR(IF(Q436&gt;0,Q436-(TBIcalc!$Q$9),""),"")</f>
        <v>1.6063999999999998</v>
      </c>
      <c r="S436" s="268">
        <f>IFERROR(INDEX('Ashed teabags dry'!$K$2:$K$2000,MATCH(L436,'Ashed teabags dry'!$A$2:$A$2000,0)),"")</f>
        <v>10.652591170825588</v>
      </c>
      <c r="T436" s="268">
        <f t="shared" si="32"/>
        <v>1.4352767754318576</v>
      </c>
      <c r="U436" s="258">
        <f>IF('Dry_Litterbag Placem_Collection'!E217="","",'Dry_Litterbag Placem_Collection'!E217)</f>
        <v>42942</v>
      </c>
      <c r="V436" s="258">
        <f>IF('Dry_Litterbag Placem_Collection'!G217="","",'Dry_Litterbag Placem_Collection'!G217)</f>
        <v>43004</v>
      </c>
      <c r="W436" s="259">
        <f t="shared" si="30"/>
        <v>62</v>
      </c>
      <c r="X436" s="257">
        <f t="shared" si="33"/>
        <v>0.26780000000000026</v>
      </c>
      <c r="Y436" s="257">
        <f t="shared" si="34"/>
        <v>0.39616026425229633</v>
      </c>
      <c r="Z436" s="261">
        <f>IFERROR(INDEX([3]Rainfall_Dry!$O$2:$O$217,MATCH(C436, [3]Rainfall_Dry!$A$2:$A$217,0)),"")</f>
        <v>171.84818423999999</v>
      </c>
      <c r="AA436" s="250">
        <v>25.96</v>
      </c>
      <c r="AB436" s="250">
        <v>8.9200000000000017</v>
      </c>
      <c r="AC436" s="250">
        <v>65.12</v>
      </c>
      <c r="AD436" s="251" t="s">
        <v>2651</v>
      </c>
      <c r="AE436" s="250">
        <v>1.614588467225234</v>
      </c>
      <c r="AF436">
        <f>IF('WetLitterbags placem_collection'!AB217="","",'WetLitterbags placem_collection'!AB217)</f>
        <v>13.8</v>
      </c>
      <c r="AG436">
        <f>IF('WetLitterbags placem_collection'!Z217="","",'WetLitterbags placem_collection'!Z217)</f>
        <v>17.399999999999999</v>
      </c>
      <c r="AH436" s="236" t="str">
        <f>IF('WetLitterbags placem_collection'!AA217="","",'WetLitterbags placem_collection'!AA217)</f>
        <v>O</v>
      </c>
      <c r="AI436">
        <f>IF('WetLitterbags placem_collection'!AC217="","",'WetLitterbags placem_collection'!AC217)</f>
        <v>1</v>
      </c>
      <c r="AJ436">
        <f>IFERROR(AVERAGE('Dry_Litterbag Placem_Collection'!O217,'Dry_Litterbag Placem_Collection'!R217),"")</f>
        <v>6.3</v>
      </c>
      <c r="AK436" s="261">
        <f>IFERROR(AVERAGE('Dry_Litterbag Placem_Collection'!N217,'Dry_Litterbag Placem_Collection'!Q217),"")</f>
        <v>29.8</v>
      </c>
      <c r="AL436">
        <v>-2.439403972</v>
      </c>
      <c r="AM436">
        <v>34.838404959999998</v>
      </c>
      <c r="AN436" s="260" t="str">
        <f>IF(ISNUMBER(SEARCH("C", 'Dry_Litterbag Placem_Collection'!T217)),"YES","NO")</f>
        <v>NO</v>
      </c>
      <c r="AO436" s="260" t="str">
        <f>IF(ISNUMBER(SEARCH("H", 'Dry_Litterbag Placem_Collection'!T217)),"YES","NO")</f>
        <v>YES</v>
      </c>
      <c r="AP436" s="260" t="str">
        <f>IF(ISNUMBER(SEARCH("R", 'Dry_Litterbag Placem_Collection'!T217)),"YES","NO")</f>
        <v>YES</v>
      </c>
    </row>
    <row r="437" spans="1:42" ht="15" customHeight="1">
      <c r="A437" t="s">
        <v>2490</v>
      </c>
      <c r="B437" s="252" t="s">
        <v>2643</v>
      </c>
      <c r="C437" s="253">
        <f>'Dry_Litterbag Placem_Collection'!A218</f>
        <v>216</v>
      </c>
      <c r="D437" s="253" t="str">
        <f>'Dry_Litterbag Placem_Collection'!B218</f>
        <v>Handajega</v>
      </c>
      <c r="E437" s="253" t="s">
        <v>2454</v>
      </c>
      <c r="F437" s="253" t="s">
        <v>2645</v>
      </c>
      <c r="G437" s="253">
        <v>2</v>
      </c>
      <c r="H437" s="253" t="s">
        <v>3130</v>
      </c>
      <c r="I437" s="254" t="str">
        <f>'Dry_Litterbag Placem_Collection'!C218</f>
        <v>Wet_W4_CG2</v>
      </c>
      <c r="J437" s="255" t="s">
        <v>2525</v>
      </c>
      <c r="K437" s="262" t="s">
        <v>298</v>
      </c>
      <c r="L437" s="253" t="str">
        <f>IF(ISBLANK('Dry_Litterbag Placem_Collection'!K218),"","R"&amp;""&amp;'Dry_Litterbag Placem_Collection'!K218)</f>
        <v>R379</v>
      </c>
      <c r="M437" s="257">
        <f>IFERROR(INDEX('Green_rooibos initial weight'!$C$5:$C$2000,MATCH(L437, 'Green_rooibos initial weight'!$A$5:$A$2000,0)),"")</f>
        <v>2.246</v>
      </c>
      <c r="N437" s="257">
        <f>IFERROR(M437-(TBIcalc!$Q$9+TBIcalc!$Q$10),"")</f>
        <v>1.9962</v>
      </c>
      <c r="O437" s="378">
        <f>AVERAGE(Ashed_controlls!$K$12:$K$14)</f>
        <v>2.2816647271287041</v>
      </c>
      <c r="P437" s="257">
        <f t="shared" si="31"/>
        <v>1.9506534087170568</v>
      </c>
      <c r="Q437" s="257">
        <f>IFERROR(INDEX('Both teabags AfterDry'!$D$2:$D$2000,MATCH(L437,'Both teabags AfterDry'!$A$2:$A$2000,0)),"")</f>
        <v>1.736</v>
      </c>
      <c r="R437" s="257">
        <f>IFERROR(IF(Q437&gt;0,Q437-(TBIcalc!$Q$9),""),"")</f>
        <v>1.5853999999999999</v>
      </c>
      <c r="S437" s="268">
        <f>IFERROR(INDEX('Ashed teabags dry'!$K$2:$K$2000,MATCH(L437,'Ashed teabags dry'!$A$2:$A$2000,0)),"")</f>
        <v>4.8247610377782575</v>
      </c>
      <c r="T437" s="268">
        <f t="shared" si="32"/>
        <v>1.5089082385070633</v>
      </c>
      <c r="U437" s="258">
        <f>IF('Dry_Litterbag Placem_Collection'!E218="","",'Dry_Litterbag Placem_Collection'!E218)</f>
        <v>42942</v>
      </c>
      <c r="V437" s="258">
        <f>IF('Dry_Litterbag Placem_Collection'!G218="","",'Dry_Litterbag Placem_Collection'!G218)</f>
        <v>43004</v>
      </c>
      <c r="W437" s="259">
        <f t="shared" si="30"/>
        <v>62</v>
      </c>
      <c r="X437" s="257">
        <f t="shared" si="33"/>
        <v>0.41080000000000005</v>
      </c>
      <c r="Y437" s="257">
        <f t="shared" si="34"/>
        <v>0.44174517020999349</v>
      </c>
      <c r="Z437" s="261">
        <f>IFERROR(INDEX([3]Rainfall_Dry!$O$2:$O$217,MATCH(C437, [3]Rainfall_Dry!$A$2:$A$217,0)),"")</f>
        <v>171.84818423999999</v>
      </c>
      <c r="AA437" s="250">
        <v>25.96</v>
      </c>
      <c r="AB437" s="250">
        <v>8.9200000000000017</v>
      </c>
      <c r="AC437" s="250">
        <v>65.12</v>
      </c>
      <c r="AD437" s="251" t="s">
        <v>2651</v>
      </c>
      <c r="AE437" s="250">
        <v>1.6991621488417901</v>
      </c>
      <c r="AF437">
        <f>IF('WetLitterbags placem_collection'!AB218="","",'WetLitterbags placem_collection'!AB218)</f>
        <v>5.13</v>
      </c>
      <c r="AG437">
        <f>IF('WetLitterbags placem_collection'!Z218="","",'WetLitterbags placem_collection'!Z218)</f>
        <v>5.13</v>
      </c>
      <c r="AH437" s="236" t="str">
        <f>IF('WetLitterbags placem_collection'!AA218="","",'WetLitterbags placem_collection'!AA218)</f>
        <v>O</v>
      </c>
      <c r="AI437">
        <f>IF('WetLitterbags placem_collection'!AC218="","",'WetLitterbags placem_collection'!AC218)</f>
        <v>1</v>
      </c>
      <c r="AJ437">
        <f>IFERROR(AVERAGE('Dry_Litterbag Placem_Collection'!O218,'Dry_Litterbag Placem_Collection'!R218),"")</f>
        <v>7.0500000000000007</v>
      </c>
      <c r="AK437" s="261">
        <f>IFERROR(AVERAGE('Dry_Litterbag Placem_Collection'!N218,'Dry_Litterbag Placem_Collection'!Q218),"")</f>
        <v>29.85</v>
      </c>
      <c r="AL437">
        <v>-2.4396450349999999</v>
      </c>
      <c r="AM437">
        <v>34.83836599</v>
      </c>
      <c r="AN437" s="260" t="str">
        <f>IF(ISNUMBER(SEARCH("C", 'Dry_Litterbag Placem_Collection'!T218)),"YES","NO")</f>
        <v>NO</v>
      </c>
      <c r="AO437" s="260" t="str">
        <f>IF(ISNUMBER(SEARCH("H", 'Dry_Litterbag Placem_Collection'!T218)),"YES","NO")</f>
        <v>NO</v>
      </c>
      <c r="AP437" s="260" t="str">
        <f>IF(ISNUMBER(SEARCH("R", 'Dry_Litterbag Placem_Collection'!T218)),"YES","NO")</f>
        <v>NO</v>
      </c>
    </row>
    <row r="438" spans="1:42" ht="15" customHeight="1">
      <c r="A438" t="s">
        <v>2490</v>
      </c>
      <c r="B438" s="252" t="s">
        <v>2643</v>
      </c>
      <c r="C438" s="253">
        <f>'Dry_Litterbag Placem_Collection'!A219</f>
        <v>217</v>
      </c>
      <c r="D438" s="253" t="str">
        <f>'Dry_Litterbag Placem_Collection'!B219</f>
        <v>Seronera</v>
      </c>
      <c r="E438" s="253" t="s">
        <v>3249</v>
      </c>
      <c r="F438" s="253" t="s">
        <v>2423</v>
      </c>
      <c r="G438" s="253">
        <v>1</v>
      </c>
      <c r="H438" s="253" t="s">
        <v>3186</v>
      </c>
      <c r="I438" s="254" t="str">
        <f>'Dry_Litterbag Placem_Collection'!C219</f>
        <v>Local1_CG1</v>
      </c>
      <c r="J438" s="255" t="s">
        <v>2525</v>
      </c>
      <c r="K438" s="262" t="s">
        <v>298</v>
      </c>
      <c r="L438" s="253" t="str">
        <f>IF(ISBLANK('Dry_Litterbag Placem_Collection'!K219),"","R"&amp;""&amp;'Dry_Litterbag Placem_Collection'!K219)</f>
        <v>R771</v>
      </c>
      <c r="M438" s="257">
        <f>IFERROR(INDEX('Green_rooibos initial weight'!$C$5:$C$2000,MATCH(L438, 'Green_rooibos initial weight'!$A$5:$A$2000,0)),"")</f>
        <v>2.2309999999999999</v>
      </c>
      <c r="N438" s="257">
        <f>IFERROR(M438-(TBIcalc!$Q$9+TBIcalc!$Q$10),"")</f>
        <v>1.9811999999999999</v>
      </c>
      <c r="O438" s="378">
        <f>AVERAGE(Ashed_controlls!$K$12:$K$14)</f>
        <v>2.2816647271287041</v>
      </c>
      <c r="P438" s="257">
        <f t="shared" si="31"/>
        <v>1.935995658426126</v>
      </c>
      <c r="Q438" s="257">
        <f>IFERROR(INDEX('Both teabags AfterDry'!$D$2:$D$2000,MATCH(L438,'Both teabags AfterDry'!$A$2:$A$2000,0)),"")</f>
        <v>1.0895999999999999</v>
      </c>
      <c r="R438" s="257">
        <f>IFERROR(IF(Q438&gt;0,Q438-(TBIcalc!$Q$9),""),"")</f>
        <v>0.93899999999999983</v>
      </c>
      <c r="S438" s="268">
        <f>IFERROR(INDEX('Ashed teabags dry'!$K$2:$K$2000,MATCH(L438,'Ashed teabags dry'!$A$2:$A$2000,0)),"")</f>
        <v>85.664182376150734</v>
      </c>
      <c r="T438" s="268">
        <f t="shared" si="32"/>
        <v>0.13461332748794463</v>
      </c>
      <c r="U438" s="258">
        <f>IF('Dry_Litterbag Placem_Collection'!E219="","",'Dry_Litterbag Placem_Collection'!E219)</f>
        <v>42942</v>
      </c>
      <c r="V438" s="258">
        <f>IF('Dry_Litterbag Placem_Collection'!G219="","",'Dry_Litterbag Placem_Collection'!G219)</f>
        <v>43004</v>
      </c>
      <c r="W438" s="259">
        <f t="shared" si="30"/>
        <v>62</v>
      </c>
      <c r="X438" s="257">
        <f t="shared" si="33"/>
        <v>1.0422</v>
      </c>
      <c r="Y438" s="257">
        <f t="shared" si="34"/>
        <v>1.8013823309381813</v>
      </c>
      <c r="Z438" s="261">
        <f>IFERROR(INDEX([3]Rainfall_Dry!$O$2:$O$217,MATCH(C438, [3]Rainfall_Dry!$A$2:$A$217,0)),"")</f>
        <v>171.84818423999999</v>
      </c>
      <c r="AA438" s="250">
        <v>29.076539101497506</v>
      </c>
      <c r="AB438" s="250">
        <v>7.1963394342762079</v>
      </c>
      <c r="AC438" s="250">
        <v>63.727121464226286</v>
      </c>
      <c r="AD438" s="250" t="s">
        <v>2651</v>
      </c>
      <c r="AE438" s="250">
        <v>1.0994578610152781</v>
      </c>
      <c r="AF438">
        <f>IF('WetLitterbags placem_collection'!AB219="","",'WetLitterbags placem_collection'!AB219)</f>
        <v>13.8</v>
      </c>
      <c r="AG438">
        <f>IF('WetLitterbags placem_collection'!Z219="","",'WetLitterbags placem_collection'!Z219)</f>
        <v>17.399999999999999</v>
      </c>
      <c r="AH438" s="236" t="str">
        <f>IF('WetLitterbags placem_collection'!AA219="","",'WetLitterbags placem_collection'!AA219)</f>
        <v>O</v>
      </c>
      <c r="AI438">
        <f>IF('WetLitterbags placem_collection'!AC219="","",'WetLitterbags placem_collection'!AC219)</f>
        <v>1</v>
      </c>
      <c r="AJ438">
        <f>IFERROR(AVERAGE('Dry_Litterbag Placem_Collection'!O219,'Dry_Litterbag Placem_Collection'!R219),"")</f>
        <v>7.1999999999999993</v>
      </c>
      <c r="AK438" s="261">
        <f>IFERROR(AVERAGE('Dry_Litterbag Placem_Collection'!N219,'Dry_Litterbag Placem_Collection'!Q219),"")</f>
        <v>31.25</v>
      </c>
      <c r="AL438">
        <v>-2.439403972</v>
      </c>
      <c r="AM438">
        <v>34.838404959999998</v>
      </c>
      <c r="AN438" s="260" t="str">
        <f>IF(ISNUMBER(SEARCH("C", 'Dry_Litterbag Placem_Collection'!T219)),"YES","NO")</f>
        <v>NO</v>
      </c>
      <c r="AO438" s="260" t="str">
        <f>IF(ISNUMBER(SEARCH("H", 'Dry_Litterbag Placem_Collection'!T219)),"YES","NO")</f>
        <v>YES</v>
      </c>
      <c r="AP438" s="260" t="str">
        <f>IF(ISNUMBER(SEARCH("R", 'Dry_Litterbag Placem_Collection'!T219)),"YES","NO")</f>
        <v>YES</v>
      </c>
    </row>
    <row r="439" spans="1:42" ht="15" customHeight="1">
      <c r="A439" t="s">
        <v>2490</v>
      </c>
      <c r="B439" s="252" t="s">
        <v>2643</v>
      </c>
      <c r="C439" s="253">
        <f>'Dry_Litterbag Placem_Collection'!A220</f>
        <v>218</v>
      </c>
      <c r="D439" s="253" t="str">
        <f>'Dry_Litterbag Placem_Collection'!B220</f>
        <v>Seronera</v>
      </c>
      <c r="E439" s="253" t="s">
        <v>3249</v>
      </c>
      <c r="F439" s="253" t="s">
        <v>2423</v>
      </c>
      <c r="G439" s="253">
        <v>2</v>
      </c>
      <c r="H439" s="253" t="s">
        <v>3187</v>
      </c>
      <c r="I439" s="254" t="str">
        <f>'Dry_Litterbag Placem_Collection'!C220</f>
        <v>Local2_CG2</v>
      </c>
      <c r="J439" s="255" t="s">
        <v>2525</v>
      </c>
      <c r="K439" s="262" t="s">
        <v>298</v>
      </c>
      <c r="L439" s="253" t="str">
        <f>IF(ISBLANK('Dry_Litterbag Placem_Collection'!K220),"","R"&amp;""&amp;'Dry_Litterbag Placem_Collection'!K220)</f>
        <v>R680</v>
      </c>
      <c r="M439" s="257">
        <f>IFERROR(INDEX('Green_rooibos initial weight'!$C$5:$C$2000,MATCH(L439, 'Green_rooibos initial weight'!$A$5:$A$2000,0)),"")</f>
        <v>2.1080000000000001</v>
      </c>
      <c r="N439" s="257">
        <f>IFERROR(M439-(TBIcalc!$Q$9+TBIcalc!$Q$10),"")</f>
        <v>1.8582000000000001</v>
      </c>
      <c r="O439" s="378">
        <f>AVERAGE(Ashed_controlls!$K$12:$K$14)</f>
        <v>2.2816647271287041</v>
      </c>
      <c r="P439" s="257">
        <f t="shared" si="31"/>
        <v>1.8158021060404945</v>
      </c>
      <c r="Q439" s="257">
        <f>IFERROR(INDEX('Both teabags AfterDry'!$D$2:$D$2000,MATCH(L439,'Both teabags AfterDry'!$A$2:$A$2000,0)),"")</f>
        <v>0.17100000000000001</v>
      </c>
      <c r="R439" s="257">
        <f>IFERROR(IF(Q439&gt;0,Q439-(TBIcalc!$Q$9),""),"")</f>
        <v>2.0400000000000001E-2</v>
      </c>
      <c r="S439" s="268">
        <f>IFERROR(INDEX('Ashed teabags dry'!$K$2:$K$2000,MATCH(L439,'Ashed teabags dry'!$A$2:$A$2000,0)),"")</f>
        <v>0</v>
      </c>
      <c r="T439" s="268">
        <f t="shared" si="32"/>
        <v>2.0400000000000001E-2</v>
      </c>
      <c r="U439" s="258">
        <f>IF('Dry_Litterbag Placem_Collection'!E220="","",'Dry_Litterbag Placem_Collection'!E220)</f>
        <v>42942</v>
      </c>
      <c r="V439" s="258">
        <f>IF('Dry_Litterbag Placem_Collection'!G220="","",'Dry_Litterbag Placem_Collection'!G220)</f>
        <v>43004</v>
      </c>
      <c r="W439" s="259">
        <f t="shared" si="30"/>
        <v>62</v>
      </c>
      <c r="X439" s="257">
        <f t="shared" si="33"/>
        <v>1.8378000000000001</v>
      </c>
      <c r="Y439" s="257">
        <f t="shared" si="34"/>
        <v>1.7954021060404945</v>
      </c>
      <c r="Z439" s="261">
        <f>IFERROR(INDEX([3]Rainfall_Dry!$O$2:$O$217,MATCH(C439, [3]Rainfall_Dry!$A$2:$A$217,0)),"")</f>
        <v>171.84818423999999</v>
      </c>
      <c r="AA439" s="250">
        <v>21.072635135135137</v>
      </c>
      <c r="AB439" s="250">
        <v>7.3057432432432412</v>
      </c>
      <c r="AC439" s="250">
        <v>71.621621621621614</v>
      </c>
      <c r="AD439" s="250" t="s">
        <v>2651</v>
      </c>
      <c r="AE439" s="250">
        <v>1.4512074913750617</v>
      </c>
      <c r="AF439">
        <f>IF('WetLitterbags placem_collection'!AB220="","",'WetLitterbags placem_collection'!AB220)</f>
        <v>5.13</v>
      </c>
      <c r="AG439">
        <f>IF('WetLitterbags placem_collection'!Z220="","",'WetLitterbags placem_collection'!Z220)</f>
        <v>5.13</v>
      </c>
      <c r="AH439" s="236" t="str">
        <f>IF('WetLitterbags placem_collection'!AA220="","",'WetLitterbags placem_collection'!AA220)</f>
        <v>O</v>
      </c>
      <c r="AI439">
        <f>IF('WetLitterbags placem_collection'!AC220="","",'WetLitterbags placem_collection'!AC220)</f>
        <v>1</v>
      </c>
      <c r="AJ439">
        <f>IFERROR(AVERAGE('Dry_Litterbag Placem_Collection'!O220,'Dry_Litterbag Placem_Collection'!R220),"")</f>
        <v>6.45</v>
      </c>
      <c r="AK439" s="261">
        <f>IFERROR(AVERAGE('Dry_Litterbag Placem_Collection'!N220,'Dry_Litterbag Placem_Collection'!Q220),"")</f>
        <v>29.15</v>
      </c>
      <c r="AL439">
        <v>-2.4396450349999999</v>
      </c>
      <c r="AM439">
        <v>34.83836599</v>
      </c>
      <c r="AN439" s="260" t="str">
        <f>IF(ISNUMBER(SEARCH("C", 'Dry_Litterbag Placem_Collection'!T220)),"YES","NO")</f>
        <v>NO</v>
      </c>
      <c r="AO439" s="260" t="str">
        <f>IF(ISNUMBER(SEARCH("H", 'Dry_Litterbag Placem_Collection'!T220)),"YES","NO")</f>
        <v>YES</v>
      </c>
      <c r="AP439" s="260" t="str">
        <f>IF(ISNUMBER(SEARCH("R", 'Dry_Litterbag Placem_Collection'!T220)),"YES","NO")</f>
        <v>YES</v>
      </c>
    </row>
    <row r="440" spans="1:42" ht="15" customHeight="1">
      <c r="A440" t="s">
        <v>2490</v>
      </c>
      <c r="B440" s="252" t="s">
        <v>2643</v>
      </c>
      <c r="C440" s="253">
        <f>'Dry_Litterbag Placem_Collection'!A221</f>
        <v>219</v>
      </c>
      <c r="D440" s="253" t="str">
        <f>'Dry_Litterbag Placem_Collection'!B221</f>
        <v>Seronera</v>
      </c>
      <c r="E440" s="253" t="s">
        <v>3249</v>
      </c>
      <c r="F440" s="253" t="s">
        <v>2423</v>
      </c>
      <c r="G440" s="253">
        <v>3</v>
      </c>
      <c r="H440" s="253" t="s">
        <v>3188</v>
      </c>
      <c r="I440" s="254" t="str">
        <f>'Dry_Litterbag Placem_Collection'!C221</f>
        <v>Local3_CG3</v>
      </c>
      <c r="J440" s="255" t="s">
        <v>2525</v>
      </c>
      <c r="K440" s="262" t="s">
        <v>298</v>
      </c>
      <c r="L440" s="253" t="str">
        <f>IF(ISBLANK('Dry_Litterbag Placem_Collection'!K221),"","R"&amp;""&amp;'Dry_Litterbag Placem_Collection'!K221)</f>
        <v>R178</v>
      </c>
      <c r="M440" s="257">
        <f>IFERROR(INDEX('Green_rooibos initial weight'!$C$5:$C$2000,MATCH(L440, 'Green_rooibos initial weight'!$A$5:$A$2000,0)),"")</f>
        <v>2.222</v>
      </c>
      <c r="N440" s="257">
        <f>IFERROR(M440-(TBIcalc!$Q$9+TBIcalc!$Q$10),"")</f>
        <v>1.9722</v>
      </c>
      <c r="O440" s="378">
        <f>AVERAGE(Ashed_controlls!$K$12:$K$14)</f>
        <v>2.2816647271287041</v>
      </c>
      <c r="P440" s="257">
        <f t="shared" si="31"/>
        <v>1.9272010082515676</v>
      </c>
      <c r="Q440" s="257">
        <f>IFERROR(INDEX('Both teabags AfterDry'!$D$2:$D$2000,MATCH(L440,'Both teabags AfterDry'!$A$2:$A$2000,0)),"")</f>
        <v>1.8229</v>
      </c>
      <c r="R440" s="257">
        <f>IFERROR(IF(Q440&gt;0,Q440-(TBIcalc!$Q$9),""),"")</f>
        <v>1.6722999999999999</v>
      </c>
      <c r="S440" s="268">
        <f>IFERROR(INDEX('Ashed teabags dry'!$K$2:$K$2000,MATCH(L440,'Ashed teabags dry'!$A$2:$A$2000,0)),"")</f>
        <v>19.137332672284675</v>
      </c>
      <c r="T440" s="268">
        <f t="shared" si="32"/>
        <v>1.3522663857213832</v>
      </c>
      <c r="U440" s="258">
        <f>IF('Dry_Litterbag Placem_Collection'!E221="","",'Dry_Litterbag Placem_Collection'!E221)</f>
        <v>42942</v>
      </c>
      <c r="V440" s="258">
        <f>IF('Dry_Litterbag Placem_Collection'!G221="","",'Dry_Litterbag Placem_Collection'!G221)</f>
        <v>43004</v>
      </c>
      <c r="W440" s="259">
        <f t="shared" si="30"/>
        <v>62</v>
      </c>
      <c r="X440" s="257">
        <f t="shared" si="33"/>
        <v>0.29990000000000006</v>
      </c>
      <c r="Y440" s="257">
        <f t="shared" si="34"/>
        <v>0.57493462253018435</v>
      </c>
      <c r="Z440" s="261">
        <f>IFERROR(INDEX([3]Rainfall_Dry!$O$2:$O$217,MATCH(C440, [3]Rainfall_Dry!$A$2:$A$217,0)),"")</f>
        <v>171.84818423999999</v>
      </c>
      <c r="AA440" s="250">
        <v>21.96</v>
      </c>
      <c r="AB440" s="250">
        <v>4.9199999999999982</v>
      </c>
      <c r="AC440" s="250">
        <v>73.12</v>
      </c>
      <c r="AD440" s="250" t="s">
        <v>2651</v>
      </c>
      <c r="AE440" s="250">
        <v>1.4012321340561851</v>
      </c>
      <c r="AF440">
        <f>IF('WetLitterbags placem_collection'!AB221="","",'WetLitterbags placem_collection'!AB221)</f>
        <v>7.9</v>
      </c>
      <c r="AG440">
        <f>IF('WetLitterbags placem_collection'!Z221="","",'WetLitterbags placem_collection'!Z221)</f>
        <v>7.9</v>
      </c>
      <c r="AH440" s="236" t="str">
        <f>IF('WetLitterbags placem_collection'!AA221="","",'WetLitterbags placem_collection'!AA221)</f>
        <v>O</v>
      </c>
      <c r="AI440">
        <f>IF('WetLitterbags placem_collection'!AC221="","",'WetLitterbags placem_collection'!AC221)</f>
        <v>1</v>
      </c>
      <c r="AJ440">
        <f>IFERROR(AVERAGE('Dry_Litterbag Placem_Collection'!O221,'Dry_Litterbag Placem_Collection'!R221),"")</f>
        <v>5.75</v>
      </c>
      <c r="AK440" s="261">
        <f>IFERROR(AVERAGE('Dry_Litterbag Placem_Collection'!N221,'Dry_Litterbag Placem_Collection'!Q221),"")</f>
        <v>32.75</v>
      </c>
      <c r="AL440">
        <v>-2.4395990190000001</v>
      </c>
      <c r="AM440">
        <v>34.838418959999998</v>
      </c>
      <c r="AN440" s="260" t="str">
        <f>IF(ISNUMBER(SEARCH("C", 'Dry_Litterbag Placem_Collection'!T221)),"YES","NO")</f>
        <v>NO</v>
      </c>
      <c r="AO440" s="260" t="str">
        <f>IF(ISNUMBER(SEARCH("H", 'Dry_Litterbag Placem_Collection'!T221)),"YES","NO")</f>
        <v>NO</v>
      </c>
      <c r="AP440" s="260" t="str">
        <f>IF(ISNUMBER(SEARCH("R", 'Dry_Litterbag Placem_Collection'!T221)),"YES","NO")</f>
        <v>YES</v>
      </c>
    </row>
    <row r="441" spans="1:42" ht="15" customHeight="1">
      <c r="A441" t="s">
        <v>2490</v>
      </c>
      <c r="B441" s="252" t="s">
        <v>2643</v>
      </c>
      <c r="C441" s="253">
        <f>'Dry_Litterbag Placem_Collection'!A222</f>
        <v>220</v>
      </c>
      <c r="D441" s="253" t="str">
        <f>'Dry_Litterbag Placem_Collection'!B222</f>
        <v>Seronera</v>
      </c>
      <c r="E441" s="253" t="s">
        <v>3249</v>
      </c>
      <c r="F441" s="253" t="s">
        <v>2423</v>
      </c>
      <c r="G441" s="253">
        <v>4</v>
      </c>
      <c r="H441" s="253" t="s">
        <v>3189</v>
      </c>
      <c r="I441" s="254" t="str">
        <f>'Dry_Litterbag Placem_Collection'!C222</f>
        <v>Local4_CG4</v>
      </c>
      <c r="J441" s="255" t="s">
        <v>2525</v>
      </c>
      <c r="K441" s="262" t="s">
        <v>298</v>
      </c>
      <c r="L441" s="253" t="str">
        <f>IF(ISBLANK('Dry_Litterbag Placem_Collection'!K222),"","R"&amp;""&amp;'Dry_Litterbag Placem_Collection'!K222)</f>
        <v>R194</v>
      </c>
      <c r="M441" s="257">
        <f>IFERROR(INDEX('Green_rooibos initial weight'!$C$5:$C$2000,MATCH(L441, 'Green_rooibos initial weight'!$A$5:$A$2000,0)),"")</f>
        <v>2.149</v>
      </c>
      <c r="N441" s="257">
        <f>IFERROR(M441-(TBIcalc!$Q$9+TBIcalc!$Q$10),"")</f>
        <v>1.8992</v>
      </c>
      <c r="O441" s="378">
        <f>AVERAGE(Ashed_controlls!$K$12:$K$14)</f>
        <v>2.2816647271287041</v>
      </c>
      <c r="P441" s="257">
        <f t="shared" si="31"/>
        <v>1.8558666235023717</v>
      </c>
      <c r="Q441" s="257" t="str">
        <f>IFERROR(INDEX('Both teabags AfterDry'!$D$2:$D$2000,MATCH(L441,'Both teabags AfterDry'!$A$2:$A$2000,0)),"")</f>
        <v/>
      </c>
      <c r="R441" s="257" t="str">
        <f>IFERROR(IF(Q441&gt;0,Q441-(TBIcalc!$Q$9),""),"")</f>
        <v/>
      </c>
      <c r="S441" s="268" t="str">
        <f>IFERROR(INDEX('Ashed teabags dry'!$K$2:$K$2000,MATCH(L441,'Ashed teabags dry'!$A$2:$A$2000,0)),"")</f>
        <v/>
      </c>
      <c r="T441" s="268" t="str">
        <f t="shared" si="32"/>
        <v/>
      </c>
      <c r="U441" s="258">
        <f>IF('Dry_Litterbag Placem_Collection'!E222="","",'Dry_Litterbag Placem_Collection'!E222)</f>
        <v>42942</v>
      </c>
      <c r="V441" s="258">
        <f>IF('Dry_Litterbag Placem_Collection'!G222="","",'Dry_Litterbag Placem_Collection'!G222)</f>
        <v>43004</v>
      </c>
      <c r="W441" s="259">
        <f t="shared" si="30"/>
        <v>62</v>
      </c>
      <c r="X441" s="257" t="str">
        <f t="shared" si="33"/>
        <v/>
      </c>
      <c r="Y441" s="257" t="str">
        <f t="shared" si="34"/>
        <v/>
      </c>
      <c r="Z441" s="261">
        <f>IFERROR(INDEX([3]Rainfall_Dry!$O$2:$O$217,MATCH(C441, [3]Rainfall_Dry!$A$2:$A$217,0)),"")</f>
        <v>171.84818423999999</v>
      </c>
      <c r="AA441" s="250">
        <v>15.960000000000003</v>
      </c>
      <c r="AB441" s="250">
        <v>6.9199999999999982</v>
      </c>
      <c r="AC441" s="250">
        <v>77.11999999999999</v>
      </c>
      <c r="AD441" s="250" t="s">
        <v>2652</v>
      </c>
      <c r="AE441" s="250">
        <v>0.60547067520946207</v>
      </c>
      <c r="AF441">
        <f>IF('WetLitterbags placem_collection'!AB222="","",'WetLitterbags placem_collection'!AB222)</f>
        <v>15.2</v>
      </c>
      <c r="AG441">
        <f>IF('WetLitterbags placem_collection'!Z222="","",'WetLitterbags placem_collection'!Z222)</f>
        <v>12.2</v>
      </c>
      <c r="AH441" s="236" t="str">
        <f>IF('WetLitterbags placem_collection'!AA222="","",'WetLitterbags placem_collection'!AA222)</f>
        <v>O</v>
      </c>
      <c r="AI441">
        <f>IF('WetLitterbags placem_collection'!AC222="","",'WetLitterbags placem_collection'!AC222)</f>
        <v>1</v>
      </c>
      <c r="AJ441">
        <f>IFERROR(AVERAGE('Dry_Litterbag Placem_Collection'!O222,'Dry_Litterbag Placem_Collection'!R222),"")</f>
        <v>5.3</v>
      </c>
      <c r="AK441" s="261">
        <f>IFERROR(AVERAGE('Dry_Litterbag Placem_Collection'!N222,'Dry_Litterbag Placem_Collection'!Q222),"")</f>
        <v>33.65</v>
      </c>
      <c r="AL441">
        <v>-2.4396949910000001</v>
      </c>
      <c r="AM441">
        <v>34.838574029999997</v>
      </c>
      <c r="AN441" s="260" t="str">
        <f>IF(ISNUMBER(SEARCH("C", 'Dry_Litterbag Placem_Collection'!T222)),"YES","NO")</f>
        <v>YES</v>
      </c>
      <c r="AO441" s="260" t="str">
        <f>IF(ISNUMBER(SEARCH("H", 'Dry_Litterbag Placem_Collection'!T222)),"YES","NO")</f>
        <v>YES</v>
      </c>
      <c r="AP441" s="260" t="str">
        <f>IF(ISNUMBER(SEARCH("R", 'Dry_Litterbag Placem_Collection'!T222)),"YES","NO")</f>
        <v>YES</v>
      </c>
    </row>
    <row r="442" spans="1:42" ht="15" customHeight="1">
      <c r="A442" t="s">
        <v>3248</v>
      </c>
      <c r="B442" s="252" t="s">
        <v>2643</v>
      </c>
      <c r="C442" s="253">
        <f>'Dry_Litterbag Placem_Collection'!A3</f>
        <v>1</v>
      </c>
      <c r="D442" s="253" t="str">
        <f>'Dry_Litterbag Placem_Collection'!B3</f>
        <v>Makao</v>
      </c>
      <c r="E442" s="253" t="s">
        <v>2643</v>
      </c>
      <c r="F442" s="253" t="s">
        <v>2644</v>
      </c>
      <c r="G442" s="253">
        <v>1</v>
      </c>
      <c r="H442" s="253" t="s">
        <v>3099</v>
      </c>
      <c r="I442" s="254" t="str">
        <f>'Dry_Litterbag Placem_Collection'!C3</f>
        <v>Dry_Ag1_T1</v>
      </c>
      <c r="J442" s="263" t="s">
        <v>2932</v>
      </c>
      <c r="K442" s="256" t="s">
        <v>1147</v>
      </c>
      <c r="L442" s="253" t="str">
        <f>IF(ISBLANK('Dry_Litterbag Placem_Collection'!L3),"","G"&amp;""&amp;'Dry_Litterbag Placem_Collection'!L3)</f>
        <v>G377</v>
      </c>
      <c r="M442" s="257">
        <f>IFERROR(INDEX('Green_rooibos initial weight'!$C$5:$C$2000,MATCH(L442, 'Green_rooibos initial weight'!$A$5:$A$2000,0)),"")</f>
        <v>2.1030000000000002</v>
      </c>
      <c r="N442" s="257">
        <f>IFERROR(M442-(TBIcalc!$Q$9+TBIcalc!$Q$10),"")</f>
        <v>1.8532000000000002</v>
      </c>
      <c r="O442" s="378">
        <f>AVERAGE(Ashed_controlls!$K$2:$K$11)</f>
        <v>5.5147656768714146</v>
      </c>
      <c r="P442" s="257">
        <f t="shared" si="31"/>
        <v>1.7510003624762192</v>
      </c>
      <c r="Q442" s="257">
        <f>IFERROR(INDEX('Both teabags AfterDry'!$D$2:$D$2000,MATCH(L442,'Both teabags AfterDry'!$A$2:$A$2000,0)),"")</f>
        <v>1.3894</v>
      </c>
      <c r="R442" s="257">
        <f>IFERROR(IF(Q442&gt;0,Q442-(TBIcalc!$Q$9),""),"")</f>
        <v>1.2387999999999999</v>
      </c>
      <c r="S442" s="268">
        <f>IFERROR(INDEX('Ashed teabags dry'!$K$2:$K$2000,MATCH(L442,'Ashed teabags dry'!$A$2:$A$2000,0)),"")</f>
        <v>16.862567811935126</v>
      </c>
      <c r="T442" s="268">
        <f t="shared" si="32"/>
        <v>1.0299065099457476</v>
      </c>
      <c r="U442" s="258">
        <f>IF('Dry_Litterbag Placem_Collection'!E3="","",'Dry_Litterbag Placem_Collection'!E3)</f>
        <v>42938</v>
      </c>
      <c r="V442" s="258">
        <f>IF('Dry_Litterbag Placem_Collection'!G3="","",'Dry_Litterbag Placem_Collection'!G3)</f>
        <v>43007</v>
      </c>
      <c r="W442" s="259">
        <f t="shared" si="30"/>
        <v>69</v>
      </c>
      <c r="X442" s="257">
        <f t="shared" si="33"/>
        <v>0.61440000000000028</v>
      </c>
      <c r="Y442" s="257">
        <f t="shared" si="34"/>
        <v>0.72109385253047154</v>
      </c>
      <c r="Z442" s="261">
        <f>IFERROR(INDEX([3]Rainfall_Dry!$O$2:$O$217,MATCH(C442, [3]Rainfall_Dry!$A$2:$A$217,0)),"")</f>
        <v>6.900000125</v>
      </c>
      <c r="AA442" s="250">
        <v>12.565665055683967</v>
      </c>
      <c r="AB442" s="250">
        <v>0.9665896196679955</v>
      </c>
      <c r="AC442" s="250">
        <v>86.467745324648035</v>
      </c>
      <c r="AD442" s="251" t="s">
        <v>2653</v>
      </c>
      <c r="AE442" s="250">
        <v>1.0225726959093147</v>
      </c>
      <c r="AF442">
        <f>IF('WetLitterbags placem_collection'!AB3="","",'WetLitterbags placem_collection'!AB3)</f>
        <v>26.4</v>
      </c>
      <c r="AG442">
        <f>IF('WetLitterbags placem_collection'!Z3="","",'WetLitterbags placem_collection'!Z3)</f>
        <v>41</v>
      </c>
      <c r="AH442" s="236" t="str">
        <f>IF('WetLitterbags placem_collection'!AA3="","",'WetLitterbags placem_collection'!AA3)</f>
        <v>M</v>
      </c>
      <c r="AI442">
        <f>IF('WetLitterbags placem_collection'!AC3="","",'WetLitterbags placem_collection'!AC3)</f>
        <v>1</v>
      </c>
      <c r="AJ442">
        <f>IFERROR(AVERAGE('Dry_Litterbag Placem_Collection'!O3,'Dry_Litterbag Placem_Collection'!R3),"")</f>
        <v>3.8</v>
      </c>
      <c r="AK442" s="261">
        <f>IFERROR(AVERAGE('Dry_Litterbag Placem_Collection'!N3,'Dry_Litterbag Placem_Collection'!Q3),"")</f>
        <v>26.9</v>
      </c>
      <c r="AL442" s="260">
        <f>INDEX([2]Coordinates!$B$2:$B$197,MATCH(I442,[2]Coordinates!$J$2:$J$197,0))</f>
        <v>-3.3978609999999998</v>
      </c>
      <c r="AM442" s="260">
        <f>INDEX([2]Coordinates!$C$2:$C$197,MATCH(I442,[2]Coordinates!$J$2:$J$197,0))</f>
        <v>34.837608000000003</v>
      </c>
      <c r="AN442" s="260" t="str">
        <f>IF(ISNUMBER(SEARCH("C", 'Dry_Litterbag Placem_Collection'!U3)),"YES","NO")</f>
        <v>NO</v>
      </c>
      <c r="AO442" s="260" t="str">
        <f>IF(ISNUMBER(SEARCH("H", 'Dry_Litterbag Placem_Collection'!U3)),"YES","NO")</f>
        <v>NO</v>
      </c>
      <c r="AP442" s="260" t="str">
        <f>IF(ISNUMBER(SEARCH("R", 'Dry_Litterbag Placem_Collection'!U3)),"YES","NO")</f>
        <v>YES</v>
      </c>
    </row>
    <row r="443" spans="1:42" ht="15" customHeight="1">
      <c r="A443" t="s">
        <v>3248</v>
      </c>
      <c r="B443" s="252" t="s">
        <v>2643</v>
      </c>
      <c r="C443" s="253">
        <f>'Dry_Litterbag Placem_Collection'!A4</f>
        <v>2</v>
      </c>
      <c r="D443" s="253" t="str">
        <f>'Dry_Litterbag Placem_Collection'!B4</f>
        <v>Makao</v>
      </c>
      <c r="E443" s="253" t="s">
        <v>2643</v>
      </c>
      <c r="F443" s="253" t="s">
        <v>2644</v>
      </c>
      <c r="G443" s="253">
        <v>1</v>
      </c>
      <c r="H443" s="253" t="s">
        <v>3099</v>
      </c>
      <c r="I443" s="254" t="str">
        <f>'Dry_Litterbag Placem_Collection'!C4</f>
        <v>Dry_Ag1_T2</v>
      </c>
      <c r="J443" s="263" t="s">
        <v>2932</v>
      </c>
      <c r="K443" s="256" t="s">
        <v>1147</v>
      </c>
      <c r="L443" s="253" t="str">
        <f>IF(ISBLANK('Dry_Litterbag Placem_Collection'!L4),"","G"&amp;""&amp;'Dry_Litterbag Placem_Collection'!L4)</f>
        <v/>
      </c>
      <c r="M443" s="257" t="str">
        <f>IFERROR(INDEX('Green_rooibos initial weight'!$C$5:$C$2000,MATCH(L443, 'Green_rooibos initial weight'!$A$5:$A$2000,0)),"")</f>
        <v/>
      </c>
      <c r="N443" s="257" t="str">
        <f>IFERROR(M443-(TBIcalc!$Q$9+TBIcalc!$Q$10),"")</f>
        <v/>
      </c>
      <c r="O443" s="378">
        <f>AVERAGE(Ashed_controlls!$K$2:$K$11)</f>
        <v>5.5147656768714146</v>
      </c>
      <c r="P443" s="257" t="str">
        <f t="shared" si="31"/>
        <v/>
      </c>
      <c r="Q443" s="257" t="str">
        <f>IFERROR(INDEX('Both teabags AfterDry'!$D$2:$D$2000,MATCH(L443,'Both teabags AfterDry'!$A$2:$A$2000,0)),"")</f>
        <v/>
      </c>
      <c r="R443" s="257" t="str">
        <f>IFERROR(IF(Q443&gt;0,Q443-(TBIcalc!$Q$9),""),"")</f>
        <v/>
      </c>
      <c r="S443" s="268" t="str">
        <f>IFERROR(INDEX('Ashed teabags dry'!$K$2:$K$2000,MATCH(L443,'Ashed teabags dry'!$A$2:$A$2000,0)),"")</f>
        <v/>
      </c>
      <c r="T443" s="268" t="str">
        <f t="shared" si="32"/>
        <v/>
      </c>
      <c r="U443" s="258" t="str">
        <f>IF('Dry_Litterbag Placem_Collection'!E4="","",'Dry_Litterbag Placem_Collection'!E4)</f>
        <v/>
      </c>
      <c r="V443" s="258" t="str">
        <f>IF('Dry_Litterbag Placem_Collection'!G4="","",'Dry_Litterbag Placem_Collection'!G4)</f>
        <v/>
      </c>
      <c r="W443" s="259" t="str">
        <f t="shared" si="30"/>
        <v/>
      </c>
      <c r="X443" s="257" t="str">
        <f t="shared" si="33"/>
        <v/>
      </c>
      <c r="Y443" s="257" t="str">
        <f t="shared" si="34"/>
        <v/>
      </c>
      <c r="Z443" s="261" t="str">
        <f>IFERROR(INDEX([3]Rainfall_Dry!$O$2:$O$217,MATCH(C443, [3]Rainfall_Dry!$A$2:$A$217,0)),"")</f>
        <v/>
      </c>
      <c r="AA443" s="250">
        <v>12.565665055683967</v>
      </c>
      <c r="AB443" s="250">
        <v>0.9665896196679955</v>
      </c>
      <c r="AC443" s="250">
        <v>86.467745324648035</v>
      </c>
      <c r="AD443" s="251" t="s">
        <v>2653</v>
      </c>
      <c r="AE443" s="250">
        <v>2.02257269590931</v>
      </c>
      <c r="AF443">
        <f>IF('WetLitterbags placem_collection'!AB4="","",'WetLitterbags placem_collection'!AB4)</f>
        <v>22.4</v>
      </c>
      <c r="AG443">
        <f>IF('WetLitterbags placem_collection'!Z4="","",'WetLitterbags placem_collection'!Z4)</f>
        <v>39.799999999999997</v>
      </c>
      <c r="AH443" s="236" t="str">
        <f>IF('WetLitterbags placem_collection'!AA4="","",'WetLitterbags placem_collection'!AA4)</f>
        <v>M</v>
      </c>
      <c r="AI443">
        <f>IF('WetLitterbags placem_collection'!AC4="","",'WetLitterbags placem_collection'!AC4)</f>
        <v>1</v>
      </c>
      <c r="AJ443" t="str">
        <f>IFERROR(AVERAGE('Dry_Litterbag Placem_Collection'!O4,'Dry_Litterbag Placem_Collection'!R4),"")</f>
        <v/>
      </c>
      <c r="AK443" s="261" t="str">
        <f>IFERROR(AVERAGE('Dry_Litterbag Placem_Collection'!N4,'Dry_Litterbag Placem_Collection'!Q4),"")</f>
        <v/>
      </c>
      <c r="AL443" s="260">
        <f>INDEX([2]Coordinates!$B$2:$B$197,MATCH(I443,[2]Coordinates!$J$2:$J$197,0))</f>
        <v>-3.397879042</v>
      </c>
      <c r="AM443" s="260">
        <f>INDEX([2]Coordinates!$C$2:$C$197,MATCH(I443,[2]Coordinates!$J$2:$J$197,0))</f>
        <v>34.837536010000001</v>
      </c>
      <c r="AN443" s="260" t="str">
        <f>IF(ISNUMBER(SEARCH("C", 'Dry_Litterbag Placem_Collection'!U4)),"YES","NO")</f>
        <v>NO</v>
      </c>
      <c r="AO443" s="260" t="str">
        <f>IF(ISNUMBER(SEARCH("H", 'Dry_Litterbag Placem_Collection'!U4)),"YES","NO")</f>
        <v>NO</v>
      </c>
      <c r="AP443" s="260" t="str">
        <f>IF(ISNUMBER(SEARCH("R", 'Dry_Litterbag Placem_Collection'!U4)),"YES","NO")</f>
        <v>NO</v>
      </c>
    </row>
    <row r="444" spans="1:42" ht="15" customHeight="1">
      <c r="A444" t="s">
        <v>3248</v>
      </c>
      <c r="B444" s="252" t="s">
        <v>2643</v>
      </c>
      <c r="C444" s="253">
        <f>'Dry_Litterbag Placem_Collection'!A5</f>
        <v>3</v>
      </c>
      <c r="D444" s="253" t="str">
        <f>'Dry_Litterbag Placem_Collection'!B5</f>
        <v>Makao</v>
      </c>
      <c r="E444" s="253" t="s">
        <v>2643</v>
      </c>
      <c r="F444" s="253" t="s">
        <v>2644</v>
      </c>
      <c r="G444" s="253">
        <v>1</v>
      </c>
      <c r="H444" s="253" t="s">
        <v>3099</v>
      </c>
      <c r="I444" s="254" t="str">
        <f>'Dry_Litterbag Placem_Collection'!C5</f>
        <v>Dry_Ag1_T3</v>
      </c>
      <c r="J444" s="263" t="s">
        <v>2932</v>
      </c>
      <c r="K444" s="256" t="s">
        <v>1147</v>
      </c>
      <c r="L444" s="253" t="str">
        <f>IF(ISBLANK('Dry_Litterbag Placem_Collection'!L5),"","G"&amp;""&amp;'Dry_Litterbag Placem_Collection'!L5)</f>
        <v>G44</v>
      </c>
      <c r="M444" s="257">
        <f>IFERROR(INDEX('Green_rooibos initial weight'!$C$5:$C$2000,MATCH(L444, 'Green_rooibos initial weight'!$A$5:$A$2000,0)),"")</f>
        <v>2.0680000000000001</v>
      </c>
      <c r="N444" s="257">
        <f>IFERROR(M444-(TBIcalc!$Q$9+TBIcalc!$Q$10),"")</f>
        <v>1.8182</v>
      </c>
      <c r="O444" s="378">
        <f>AVERAGE(Ashed_controlls!$K$2:$K$11)</f>
        <v>5.5147656768714146</v>
      </c>
      <c r="P444" s="257">
        <f t="shared" si="31"/>
        <v>1.7179305304631241</v>
      </c>
      <c r="Q444" s="257">
        <f>IFERROR(INDEX('Both teabags AfterDry'!$D$2:$D$2000,MATCH(L444,'Both teabags AfterDry'!$A$2:$A$2000,0)),"")</f>
        <v>1.5553999999999999</v>
      </c>
      <c r="R444" s="257">
        <f>IFERROR(IF(Q444&gt;0,Q444-(TBIcalc!$Q$9),""),"")</f>
        <v>1.4047999999999998</v>
      </c>
      <c r="S444" s="268">
        <f>IFERROR(INDEX('Ashed teabags dry'!$K$2:$K$2000,MATCH(L444,'Ashed teabags dry'!$A$2:$A$2000,0)),"")</f>
        <v>10.622710622710303</v>
      </c>
      <c r="T444" s="268">
        <f t="shared" si="32"/>
        <v>1.2555721611721655</v>
      </c>
      <c r="U444" s="258">
        <f>IF('Dry_Litterbag Placem_Collection'!E5="","",'Dry_Litterbag Placem_Collection'!E5)</f>
        <v>42938</v>
      </c>
      <c r="V444" s="258">
        <f>IF('Dry_Litterbag Placem_Collection'!G5="","",'Dry_Litterbag Placem_Collection'!G5)</f>
        <v>43007</v>
      </c>
      <c r="W444" s="259">
        <f t="shared" si="30"/>
        <v>69</v>
      </c>
      <c r="X444" s="257">
        <f t="shared" si="33"/>
        <v>0.41340000000000021</v>
      </c>
      <c r="Y444" s="257">
        <f t="shared" si="34"/>
        <v>0.46235836929095853</v>
      </c>
      <c r="Z444" s="261">
        <f>IFERROR(INDEX([3]Rainfall_Dry!$O$2:$O$217,MATCH(C444, [3]Rainfall_Dry!$A$2:$A$217,0)),"")</f>
        <v>6.900000125</v>
      </c>
      <c r="AA444" s="250">
        <v>12.565665055683967</v>
      </c>
      <c r="AB444" s="250">
        <v>0.9665896196679955</v>
      </c>
      <c r="AC444" s="250">
        <v>86.467745324648035</v>
      </c>
      <c r="AD444" s="251" t="s">
        <v>2653</v>
      </c>
      <c r="AE444" s="250">
        <v>3.02257269590931</v>
      </c>
      <c r="AF444" t="str">
        <f>IF('WetLitterbags placem_collection'!AB5="","",'WetLitterbags placem_collection'!AB5)</f>
        <v/>
      </c>
      <c r="AG444" t="str">
        <f>IF('WetLitterbags placem_collection'!Z5="","",'WetLitterbags placem_collection'!Z5)</f>
        <v/>
      </c>
      <c r="AH444" s="236" t="str">
        <f>IF('WetLitterbags placem_collection'!AA5="","",'WetLitterbags placem_collection'!AA5)</f>
        <v/>
      </c>
      <c r="AI444" t="str">
        <f>IF('WetLitterbags placem_collection'!AC5="","",'WetLitterbags placem_collection'!AC5)</f>
        <v/>
      </c>
      <c r="AJ444">
        <f>IFERROR(AVERAGE('Dry_Litterbag Placem_Collection'!O5,'Dry_Litterbag Placem_Collection'!R5),"")</f>
        <v>3.3</v>
      </c>
      <c r="AK444" s="261">
        <f>IFERROR(AVERAGE('Dry_Litterbag Placem_Collection'!N5,'Dry_Litterbag Placem_Collection'!Q5),"")</f>
        <v>25</v>
      </c>
      <c r="AL444" s="260">
        <f>INDEX([2]Coordinates!$B$2:$B$197,MATCH(I444,[2]Coordinates!$J$2:$J$197,0))</f>
        <v>-3.3978739999999998</v>
      </c>
      <c r="AM444" s="260">
        <f>INDEX([2]Coordinates!$C$2:$C$197,MATCH(I444,[2]Coordinates!$J$2:$J$197,0))</f>
        <v>34.837578999999998</v>
      </c>
      <c r="AN444" s="260" t="str">
        <f>IF(ISNUMBER(SEARCH("C", 'Dry_Litterbag Placem_Collection'!U5)),"YES","NO")</f>
        <v>NO</v>
      </c>
      <c r="AO444" s="260" t="str">
        <f>IF(ISNUMBER(SEARCH("H", 'Dry_Litterbag Placem_Collection'!U5)),"YES","NO")</f>
        <v>NO</v>
      </c>
      <c r="AP444" s="260" t="str">
        <f>IF(ISNUMBER(SEARCH("R", 'Dry_Litterbag Placem_Collection'!U5)),"YES","NO")</f>
        <v>YES</v>
      </c>
    </row>
    <row r="445" spans="1:42" ht="15" customHeight="1">
      <c r="A445" t="s">
        <v>3248</v>
      </c>
      <c r="B445" s="252" t="s">
        <v>2643</v>
      </c>
      <c r="C445" s="253">
        <f>'Dry_Litterbag Placem_Collection'!A6</f>
        <v>4</v>
      </c>
      <c r="D445" s="253" t="str">
        <f>'Dry_Litterbag Placem_Collection'!B6</f>
        <v>Makao</v>
      </c>
      <c r="E445" s="253" t="s">
        <v>2643</v>
      </c>
      <c r="F445" s="253" t="s">
        <v>2644</v>
      </c>
      <c r="G445" s="253">
        <v>1</v>
      </c>
      <c r="H445" s="253" t="s">
        <v>3099</v>
      </c>
      <c r="I445" s="254" t="str">
        <f>'Dry_Litterbag Placem_Collection'!C6</f>
        <v>Dry_Ag1_T4</v>
      </c>
      <c r="J445" s="263" t="s">
        <v>2932</v>
      </c>
      <c r="K445" s="256" t="s">
        <v>1147</v>
      </c>
      <c r="L445" s="253" t="str">
        <f>IF(ISBLANK('Dry_Litterbag Placem_Collection'!L6),"","G"&amp;""&amp;'Dry_Litterbag Placem_Collection'!L6)</f>
        <v>G357</v>
      </c>
      <c r="M445" s="257">
        <f>IFERROR(INDEX('Green_rooibos initial weight'!$C$5:$C$2000,MATCH(L445, 'Green_rooibos initial weight'!$A$5:$A$2000,0)),"")</f>
        <v>1.996</v>
      </c>
      <c r="N445" s="257">
        <f>IFERROR(M445-(TBIcalc!$Q$9+TBIcalc!$Q$10),"")</f>
        <v>1.7462</v>
      </c>
      <c r="O445" s="378">
        <f>AVERAGE(Ashed_controlls!$K$2:$K$11)</f>
        <v>5.5147656768714146</v>
      </c>
      <c r="P445" s="257">
        <f t="shared" si="31"/>
        <v>1.6499011617504713</v>
      </c>
      <c r="Q445" s="257">
        <f>IFERROR(INDEX('Both teabags AfterDry'!$D$2:$D$2000,MATCH(L445,'Both teabags AfterDry'!$A$2:$A$2000,0)),"")</f>
        <v>1.6417999999999999</v>
      </c>
      <c r="R445" s="257">
        <f>IFERROR(IF(Q445&gt;0,Q445-(TBIcalc!$Q$9),""),"")</f>
        <v>1.4911999999999999</v>
      </c>
      <c r="S445" s="268">
        <f>IFERROR(INDEX('Ashed teabags dry'!$K$2:$K$2000,MATCH(L445,'Ashed teabags dry'!$A$2:$A$2000,0)),"")</f>
        <v>6.3956144358153066</v>
      </c>
      <c r="T445" s="268">
        <f t="shared" si="32"/>
        <v>1.3958285975331219</v>
      </c>
      <c r="U445" s="258">
        <f>IF('Dry_Litterbag Placem_Collection'!E6="","",'Dry_Litterbag Placem_Collection'!E6)</f>
        <v>42938</v>
      </c>
      <c r="V445" s="258">
        <f>IF('Dry_Litterbag Placem_Collection'!G6="","",'Dry_Litterbag Placem_Collection'!G6)</f>
        <v>43007</v>
      </c>
      <c r="W445" s="259">
        <f t="shared" si="30"/>
        <v>69</v>
      </c>
      <c r="X445" s="257">
        <f t="shared" si="33"/>
        <v>0.25500000000000012</v>
      </c>
      <c r="Y445" s="257">
        <f t="shared" si="34"/>
        <v>0.25407256421734936</v>
      </c>
      <c r="Z445" s="261">
        <f>IFERROR(INDEX([3]Rainfall_Dry!$O$2:$O$217,MATCH(C445, [3]Rainfall_Dry!$A$2:$A$217,0)),"")</f>
        <v>6.900000125</v>
      </c>
      <c r="AA445" s="250">
        <v>12.565665055683967</v>
      </c>
      <c r="AB445" s="250">
        <v>0.9665896196679955</v>
      </c>
      <c r="AC445" s="250">
        <v>86.467745324648035</v>
      </c>
      <c r="AD445" s="251" t="s">
        <v>2653</v>
      </c>
      <c r="AE445" s="250">
        <v>4.02257269590931</v>
      </c>
      <c r="AF445" t="str">
        <f>IF('WetLitterbags placem_collection'!AB6="","",'WetLitterbags placem_collection'!AB6)</f>
        <v/>
      </c>
      <c r="AG445" t="str">
        <f>IF('WetLitterbags placem_collection'!Z6="","",'WetLitterbags placem_collection'!Z6)</f>
        <v/>
      </c>
      <c r="AH445" s="236" t="str">
        <f>IF('WetLitterbags placem_collection'!AA6="","",'WetLitterbags placem_collection'!AA6)</f>
        <v/>
      </c>
      <c r="AI445" t="str">
        <f>IF('WetLitterbags placem_collection'!AC6="","",'WetLitterbags placem_collection'!AC6)</f>
        <v/>
      </c>
      <c r="AJ445">
        <f>IFERROR(AVERAGE('Dry_Litterbag Placem_Collection'!O6,'Dry_Litterbag Placem_Collection'!R6),"")</f>
        <v>2.25</v>
      </c>
      <c r="AK445" s="261">
        <f>IFERROR(AVERAGE('Dry_Litterbag Placem_Collection'!N6,'Dry_Litterbag Placem_Collection'!Q6),"")</f>
        <v>27.35</v>
      </c>
      <c r="AL445" s="260">
        <f>INDEX([2]Coordinates!$B$2:$B$197,MATCH(I445,[2]Coordinates!$J$2:$J$197,0))</f>
        <v>-3.3977780399999999</v>
      </c>
      <c r="AM445" s="260">
        <f>INDEX([2]Coordinates!$C$2:$C$197,MATCH(I445,[2]Coordinates!$J$2:$J$197,0))</f>
        <v>34.83751204</v>
      </c>
      <c r="AN445" s="260" t="str">
        <f>IF(ISNUMBER(SEARCH("C", 'Dry_Litterbag Placem_Collection'!U6)),"YES","NO")</f>
        <v>NO</v>
      </c>
      <c r="AO445" s="260" t="str">
        <f>IF(ISNUMBER(SEARCH("H", 'Dry_Litterbag Placem_Collection'!U6)),"YES","NO")</f>
        <v>NO</v>
      </c>
      <c r="AP445" s="260" t="str">
        <f>IF(ISNUMBER(SEARCH("R", 'Dry_Litterbag Placem_Collection'!U6)),"YES","NO")</f>
        <v>NO</v>
      </c>
    </row>
    <row r="446" spans="1:42" ht="15" customHeight="1">
      <c r="A446" t="s">
        <v>3248</v>
      </c>
      <c r="B446" s="252" t="s">
        <v>2643</v>
      </c>
      <c r="C446" s="253">
        <f>'Dry_Litterbag Placem_Collection'!A7</f>
        <v>5</v>
      </c>
      <c r="D446" s="253" t="str">
        <f>'Dry_Litterbag Placem_Collection'!B7</f>
        <v>Makao</v>
      </c>
      <c r="E446" s="253" t="s">
        <v>2643</v>
      </c>
      <c r="F446" s="253" t="s">
        <v>2644</v>
      </c>
      <c r="G446" s="253">
        <v>1</v>
      </c>
      <c r="H446" s="253" t="s">
        <v>3099</v>
      </c>
      <c r="I446" s="254" t="str">
        <f>'Dry_Litterbag Placem_Collection'!C7</f>
        <v>Dry_Ag1_T5</v>
      </c>
      <c r="J446" s="263" t="s">
        <v>2932</v>
      </c>
      <c r="K446" s="256" t="s">
        <v>1147</v>
      </c>
      <c r="L446" s="253" t="str">
        <f>IF(ISBLANK('Dry_Litterbag Placem_Collection'!L7),"","G"&amp;""&amp;'Dry_Litterbag Placem_Collection'!L7)</f>
        <v>G734</v>
      </c>
      <c r="M446" s="257">
        <f>IFERROR(INDEX('Green_rooibos initial weight'!$C$5:$C$2000,MATCH(L446, 'Green_rooibos initial weight'!$A$5:$A$2000,0)),"")</f>
        <v>1.9870000000000001</v>
      </c>
      <c r="N446" s="257">
        <f>IFERROR(M446-(TBIcalc!$Q$9+TBIcalc!$Q$10),"")</f>
        <v>1.7372000000000001</v>
      </c>
      <c r="O446" s="378">
        <f>AVERAGE(Ashed_controlls!$K$2:$K$11)</f>
        <v>5.5147656768714146</v>
      </c>
      <c r="P446" s="257">
        <f t="shared" si="31"/>
        <v>1.64139749066139</v>
      </c>
      <c r="Q446" s="257" t="str">
        <f>IFERROR(INDEX('Both teabags AfterDry'!$D$2:$D$2000,MATCH(L446,'Both teabags AfterDry'!$A$2:$A$2000,0)),"")</f>
        <v/>
      </c>
      <c r="R446" s="257" t="str">
        <f>IFERROR(IF(Q446&gt;0,Q446-(TBIcalc!$Q$9),""),"")</f>
        <v/>
      </c>
      <c r="S446" s="268" t="str">
        <f>IFERROR(INDEX('Ashed teabags dry'!$K$2:$K$2000,MATCH(L446,'Ashed teabags dry'!$A$2:$A$2000,0)),"")</f>
        <v/>
      </c>
      <c r="T446" s="268" t="str">
        <f t="shared" si="32"/>
        <v/>
      </c>
      <c r="U446" s="258">
        <f>IF('Dry_Litterbag Placem_Collection'!E7="","",'Dry_Litterbag Placem_Collection'!E7)</f>
        <v>42938</v>
      </c>
      <c r="V446" s="258" t="str">
        <f>IF('Dry_Litterbag Placem_Collection'!G7="","",'Dry_Litterbag Placem_Collection'!G7)</f>
        <v/>
      </c>
      <c r="W446" s="259" t="str">
        <f t="shared" si="30"/>
        <v/>
      </c>
      <c r="X446" s="257" t="str">
        <f t="shared" si="33"/>
        <v/>
      </c>
      <c r="Y446" s="257" t="str">
        <f t="shared" si="34"/>
        <v/>
      </c>
      <c r="Z446" s="261" t="str">
        <f>IFERROR(INDEX([3]Rainfall_Dry!$O$2:$O$217,MATCH(C446, [3]Rainfall_Dry!$A$2:$A$217,0)),"")</f>
        <v/>
      </c>
      <c r="AA446" s="250">
        <v>12.565665055683967</v>
      </c>
      <c r="AB446" s="250">
        <v>0.9665896196679955</v>
      </c>
      <c r="AC446" s="250">
        <v>86.467745324648035</v>
      </c>
      <c r="AD446" s="251" t="s">
        <v>2653</v>
      </c>
      <c r="AE446" s="250">
        <v>5.02257269590931</v>
      </c>
      <c r="AF446">
        <f>IF('WetLitterbags placem_collection'!AB7="","",'WetLitterbags placem_collection'!AB7)</f>
        <v>28.4</v>
      </c>
      <c r="AG446">
        <f>IF('WetLitterbags placem_collection'!Z7="","",'WetLitterbags placem_collection'!Z7)</f>
        <v>36.4</v>
      </c>
      <c r="AH446" s="236" t="str">
        <f>IF('WetLitterbags placem_collection'!AA7="","",'WetLitterbags placem_collection'!AA7)</f>
        <v>M</v>
      </c>
      <c r="AI446">
        <f>IF('WetLitterbags placem_collection'!AC7="","",'WetLitterbags placem_collection'!AC7)</f>
        <v>1</v>
      </c>
      <c r="AJ446">
        <f>IFERROR(AVERAGE('Dry_Litterbag Placem_Collection'!O7,'Dry_Litterbag Placem_Collection'!R7),"")</f>
        <v>3.2</v>
      </c>
      <c r="AK446" s="261">
        <f>IFERROR(AVERAGE('Dry_Litterbag Placem_Collection'!N7,'Dry_Litterbag Placem_Collection'!Q7),"")</f>
        <v>26.7</v>
      </c>
      <c r="AL446" s="260">
        <f>INDEX([2]Coordinates!$B$2:$B$197,MATCH(I446,[2]Coordinates!$J$2:$J$197,0))</f>
        <v>-3.3978020120000001</v>
      </c>
      <c r="AM446" s="260">
        <f>INDEX([2]Coordinates!$C$2:$C$197,MATCH(I446,[2]Coordinates!$J$2:$J$197,0))</f>
        <v>34.83751204</v>
      </c>
      <c r="AN446" s="260" t="str">
        <f>IF(ISNUMBER(SEARCH("C", 'Dry_Litterbag Placem_Collection'!U7)),"YES","NO")</f>
        <v>NO</v>
      </c>
      <c r="AO446" s="260" t="str">
        <f>IF(ISNUMBER(SEARCH("H", 'Dry_Litterbag Placem_Collection'!U7)),"YES","NO")</f>
        <v>NO</v>
      </c>
      <c r="AP446" s="260" t="str">
        <f>IF(ISNUMBER(SEARCH("R", 'Dry_Litterbag Placem_Collection'!U7)),"YES","NO")</f>
        <v>NO</v>
      </c>
    </row>
    <row r="447" spans="1:42" ht="15" customHeight="1">
      <c r="A447" t="s">
        <v>3248</v>
      </c>
      <c r="B447" s="252" t="s">
        <v>2643</v>
      </c>
      <c r="C447" s="253">
        <f>'Dry_Litterbag Placem_Collection'!A8</f>
        <v>6</v>
      </c>
      <c r="D447" s="253" t="str">
        <f>'Dry_Litterbag Placem_Collection'!B8</f>
        <v>Makao</v>
      </c>
      <c r="E447" s="253" t="s">
        <v>2643</v>
      </c>
      <c r="F447" s="253" t="s">
        <v>2644</v>
      </c>
      <c r="G447" s="253">
        <v>1</v>
      </c>
      <c r="H447" s="253" t="s">
        <v>3099</v>
      </c>
      <c r="I447" s="254" t="str">
        <f>'Dry_Litterbag Placem_Collection'!C8</f>
        <v>Dry_Ag1_T6</v>
      </c>
      <c r="J447" s="263" t="s">
        <v>2932</v>
      </c>
      <c r="K447" s="256" t="s">
        <v>1147</v>
      </c>
      <c r="L447" s="253" t="str">
        <f>IF(ISBLANK('Dry_Litterbag Placem_Collection'!L8),"","G"&amp;""&amp;'Dry_Litterbag Placem_Collection'!L8)</f>
        <v>G164</v>
      </c>
      <c r="M447" s="257">
        <f>IFERROR(INDEX('Green_rooibos initial weight'!$C$5:$C$2000,MATCH(L447, 'Green_rooibos initial weight'!$A$5:$A$2000,0)),"")</f>
        <v>1.994</v>
      </c>
      <c r="N447" s="257">
        <f>IFERROR(M447-(TBIcalc!$Q$9+TBIcalc!$Q$10),"")</f>
        <v>1.7442</v>
      </c>
      <c r="O447" s="378">
        <f>AVERAGE(Ashed_controlls!$K$2:$K$11)</f>
        <v>5.5147656768714146</v>
      </c>
      <c r="P447" s="257">
        <f t="shared" si="31"/>
        <v>1.6480114570640088</v>
      </c>
      <c r="Q447" s="257" t="str">
        <f>IFERROR(INDEX('Both teabags AfterDry'!$D$2:$D$2000,MATCH(L447,'Both teabags AfterDry'!$A$2:$A$2000,0)),"")</f>
        <v/>
      </c>
      <c r="R447" s="257" t="str">
        <f>IFERROR(IF(Q447&gt;0,Q447-(TBIcalc!$Q$9),""),"")</f>
        <v/>
      </c>
      <c r="S447" s="268" t="str">
        <f>IFERROR(INDEX('Ashed teabags dry'!$K$2:$K$2000,MATCH(L447,'Ashed teabags dry'!$A$2:$A$2000,0)),"")</f>
        <v/>
      </c>
      <c r="T447" s="268" t="str">
        <f t="shared" si="32"/>
        <v/>
      </c>
      <c r="U447" s="258">
        <f>IF('Dry_Litterbag Placem_Collection'!E8="","",'Dry_Litterbag Placem_Collection'!E8)</f>
        <v>42938</v>
      </c>
      <c r="V447" s="258">
        <f>IF('Dry_Litterbag Placem_Collection'!G8="","",'Dry_Litterbag Placem_Collection'!G8)</f>
        <v>43007</v>
      </c>
      <c r="W447" s="259">
        <f t="shared" si="30"/>
        <v>69</v>
      </c>
      <c r="X447" s="257" t="str">
        <f t="shared" si="33"/>
        <v/>
      </c>
      <c r="Y447" s="257" t="str">
        <f t="shared" si="34"/>
        <v/>
      </c>
      <c r="Z447" s="261">
        <f>IFERROR(INDEX([3]Rainfall_Dry!$O$2:$O$217,MATCH(C447, [3]Rainfall_Dry!$A$2:$A$217,0)),"")</f>
        <v>6.900000125</v>
      </c>
      <c r="AA447" s="250">
        <v>12.565665055683967</v>
      </c>
      <c r="AB447" s="250">
        <v>0.9665896196679955</v>
      </c>
      <c r="AC447" s="250">
        <v>86.467745324648035</v>
      </c>
      <c r="AD447" s="251" t="s">
        <v>2653</v>
      </c>
      <c r="AE447" s="250">
        <v>6.02257269590931</v>
      </c>
      <c r="AF447">
        <f>IF('WetLitterbags placem_collection'!AB8="","",'WetLitterbags placem_collection'!AB8)</f>
        <v>32.4</v>
      </c>
      <c r="AG447">
        <f>IF('WetLitterbags placem_collection'!Z8="","",'WetLitterbags placem_collection'!Z8)</f>
        <v>31</v>
      </c>
      <c r="AH447" s="236" t="str">
        <f>IF('WetLitterbags placem_collection'!AA8="","",'WetLitterbags placem_collection'!AA8)</f>
        <v>M</v>
      </c>
      <c r="AI447">
        <f>IF('WetLitterbags placem_collection'!AC8="","",'WetLitterbags placem_collection'!AC8)</f>
        <v>1</v>
      </c>
      <c r="AJ447">
        <f>IFERROR(AVERAGE('Dry_Litterbag Placem_Collection'!O8,'Dry_Litterbag Placem_Collection'!R8),"")</f>
        <v>5.35</v>
      </c>
      <c r="AK447" s="261">
        <f>IFERROR(AVERAGE('Dry_Litterbag Placem_Collection'!N8,'Dry_Litterbag Placem_Collection'!Q8),"")</f>
        <v>26.6</v>
      </c>
      <c r="AL447" s="260">
        <f>INDEX([2]Coordinates!$B$2:$B$197,MATCH(I447,[2]Coordinates!$J$2:$J$197,0))</f>
        <v>-3.3977389800000002</v>
      </c>
      <c r="AM447" s="260">
        <f>INDEX([2]Coordinates!$C$2:$C$197,MATCH(I447,[2]Coordinates!$J$2:$J$197,0))</f>
        <v>34.837501979999999</v>
      </c>
      <c r="AN447" s="260" t="str">
        <f>IF(ISNUMBER(SEARCH("C", 'Dry_Litterbag Placem_Collection'!U8)),"YES","NO")</f>
        <v>NO</v>
      </c>
      <c r="AO447" s="260" t="str">
        <f>IF(ISNUMBER(SEARCH("H", 'Dry_Litterbag Placem_Collection'!U8)),"YES","NO")</f>
        <v>NO</v>
      </c>
      <c r="AP447" s="260" t="str">
        <f>IF(ISNUMBER(SEARCH("R", 'Dry_Litterbag Placem_Collection'!U8)),"YES","NO")</f>
        <v>NO</v>
      </c>
    </row>
    <row r="448" spans="1:42" ht="15" customHeight="1">
      <c r="A448" t="s">
        <v>3248</v>
      </c>
      <c r="B448" s="252" t="s">
        <v>2643</v>
      </c>
      <c r="C448" s="253">
        <f>'Dry_Litterbag Placem_Collection'!A9</f>
        <v>7</v>
      </c>
      <c r="D448" s="253" t="str">
        <f>'Dry_Litterbag Placem_Collection'!B9</f>
        <v>Makao</v>
      </c>
      <c r="E448" s="253" t="s">
        <v>2643</v>
      </c>
      <c r="F448" s="253" t="s">
        <v>2644</v>
      </c>
      <c r="G448" s="253">
        <v>1</v>
      </c>
      <c r="H448" s="253" t="s">
        <v>3099</v>
      </c>
      <c r="I448" s="254" t="str">
        <f>'Dry_Litterbag Placem_Collection'!C9</f>
        <v>Dry_Ag1_T7</v>
      </c>
      <c r="J448" s="263" t="s">
        <v>2932</v>
      </c>
      <c r="K448" s="256" t="s">
        <v>1147</v>
      </c>
      <c r="L448" s="253" t="str">
        <f>IF(ISBLANK('Dry_Litterbag Placem_Collection'!L9),"","G"&amp;""&amp;'Dry_Litterbag Placem_Collection'!L9)</f>
        <v>G776</v>
      </c>
      <c r="M448" s="257">
        <f>IFERROR(INDEX('Green_rooibos initial weight'!$C$5:$C$2000,MATCH(L448, 'Green_rooibos initial weight'!$A$5:$A$2000,0)),"")</f>
        <v>1.9790000000000001</v>
      </c>
      <c r="N448" s="257">
        <f>IFERROR(M448-(TBIcalc!$Q$9+TBIcalc!$Q$10),"")</f>
        <v>1.7292000000000001</v>
      </c>
      <c r="O448" s="378">
        <f>AVERAGE(Ashed_controlls!$K$2:$K$11)</f>
        <v>5.5147656768714146</v>
      </c>
      <c r="P448" s="257">
        <f t="shared" si="31"/>
        <v>1.6338386719155396</v>
      </c>
      <c r="Q448" s="257">
        <f>IFERROR(INDEX('Both teabags AfterDry'!$D$2:$D$2000,MATCH(L448,'Both teabags AfterDry'!$A$2:$A$2000,0)),"")</f>
        <v>1.8093999999999999</v>
      </c>
      <c r="R448" s="257">
        <f>IFERROR(IF(Q448&gt;0,Q448-(TBIcalc!$Q$9),""),"")</f>
        <v>1.6587999999999998</v>
      </c>
      <c r="S448" s="268">
        <f>IFERROR(INDEX('Ashed teabags dry'!$K$2:$K$2000,MATCH(L448,'Ashed teabags dry'!$A$2:$A$2000,0)),"")</f>
        <v>5.924510272335799</v>
      </c>
      <c r="T448" s="268">
        <f t="shared" si="32"/>
        <v>1.5605242236024937</v>
      </c>
      <c r="U448" s="258">
        <f>IF('Dry_Litterbag Placem_Collection'!E9="","",'Dry_Litterbag Placem_Collection'!E9)</f>
        <v>42938</v>
      </c>
      <c r="V448" s="258">
        <f>IF('Dry_Litterbag Placem_Collection'!G9="","",'Dry_Litterbag Placem_Collection'!G9)</f>
        <v>43007</v>
      </c>
      <c r="W448" s="259">
        <f t="shared" si="30"/>
        <v>69</v>
      </c>
      <c r="X448" s="257">
        <f t="shared" si="33"/>
        <v>7.040000000000024E-2</v>
      </c>
      <c r="Y448" s="257">
        <f t="shared" si="34"/>
        <v>7.3314448313045899E-2</v>
      </c>
      <c r="Z448" s="261">
        <f>IFERROR(INDEX([3]Rainfall_Dry!$O$2:$O$217,MATCH(C448, [3]Rainfall_Dry!$A$2:$A$217,0)),"")</f>
        <v>6.900000125</v>
      </c>
      <c r="AA448" s="250">
        <v>12.565665055683967</v>
      </c>
      <c r="AB448" s="250">
        <v>0.9665896196679955</v>
      </c>
      <c r="AC448" s="250">
        <v>86.467745324648035</v>
      </c>
      <c r="AD448" s="251" t="s">
        <v>2653</v>
      </c>
      <c r="AE448" s="250">
        <v>7.02257269590931</v>
      </c>
      <c r="AF448">
        <f>IF('WetLitterbags placem_collection'!AB9="","",'WetLitterbags placem_collection'!AB9)</f>
        <v>36</v>
      </c>
      <c r="AG448">
        <f>IF('WetLitterbags placem_collection'!Z9="","",'WetLitterbags placem_collection'!Z9)</f>
        <v>43.4</v>
      </c>
      <c r="AH448" s="236" t="str">
        <f>IF('WetLitterbags placem_collection'!AA9="","",'WetLitterbags placem_collection'!AA9)</f>
        <v>M</v>
      </c>
      <c r="AI448">
        <f>IF('WetLitterbags placem_collection'!AC9="","",'WetLitterbags placem_collection'!AC9)</f>
        <v>1</v>
      </c>
      <c r="AJ448">
        <f>IFERROR(AVERAGE('Dry_Litterbag Placem_Collection'!O9,'Dry_Litterbag Placem_Collection'!R9),"")</f>
        <v>2.95</v>
      </c>
      <c r="AK448" s="261">
        <f>IFERROR(AVERAGE('Dry_Litterbag Placem_Collection'!N9,'Dry_Litterbag Placem_Collection'!Q9),"")</f>
        <v>24.75</v>
      </c>
      <c r="AL448" s="260">
        <f>INDEX([2]Coordinates!$B$2:$B$197,MATCH(I448,[2]Coordinates!$J$2:$J$197,0))</f>
        <v>-3.3977630360000002</v>
      </c>
      <c r="AM448" s="260">
        <f>INDEX([2]Coordinates!$C$2:$C$197,MATCH(I448,[2]Coordinates!$J$2:$J$197,0))</f>
        <v>34.837600969999997</v>
      </c>
      <c r="AN448" s="260" t="str">
        <f>IF(ISNUMBER(SEARCH("C", 'Dry_Litterbag Placem_Collection'!U9)),"YES","NO")</f>
        <v>NO</v>
      </c>
      <c r="AO448" s="260" t="str">
        <f>IF(ISNUMBER(SEARCH("H", 'Dry_Litterbag Placem_Collection'!U9)),"YES","NO")</f>
        <v>NO</v>
      </c>
      <c r="AP448" s="260" t="str">
        <f>IF(ISNUMBER(SEARCH("R", 'Dry_Litterbag Placem_Collection'!U9)),"YES","NO")</f>
        <v>NO</v>
      </c>
    </row>
    <row r="449" spans="1:42" ht="15" customHeight="1">
      <c r="A449" t="s">
        <v>3248</v>
      </c>
      <c r="B449" s="252" t="s">
        <v>2643</v>
      </c>
      <c r="C449" s="253">
        <f>'Dry_Litterbag Placem_Collection'!A10</f>
        <v>8</v>
      </c>
      <c r="D449" s="253" t="str">
        <f>'Dry_Litterbag Placem_Collection'!B10</f>
        <v>Makao</v>
      </c>
      <c r="E449" s="253" t="s">
        <v>2643</v>
      </c>
      <c r="F449" s="253" t="s">
        <v>2644</v>
      </c>
      <c r="G449" s="253">
        <v>1</v>
      </c>
      <c r="H449" s="253" t="s">
        <v>3099</v>
      </c>
      <c r="I449" s="254" t="str">
        <f>'Dry_Litterbag Placem_Collection'!C10</f>
        <v>Dry_Ag1_T8</v>
      </c>
      <c r="J449" s="263" t="s">
        <v>2932</v>
      </c>
      <c r="K449" s="256" t="s">
        <v>1147</v>
      </c>
      <c r="L449" s="253" t="str">
        <f>IF(ISBLANK('Dry_Litterbag Placem_Collection'!L10),"","G"&amp;""&amp;'Dry_Litterbag Placem_Collection'!L10)</f>
        <v>G23</v>
      </c>
      <c r="M449" s="257">
        <f>IFERROR(INDEX('Green_rooibos initial weight'!$C$5:$C$2000,MATCH(L449, 'Green_rooibos initial weight'!$A$5:$A$2000,0)),"")</f>
        <v>2.0750000000000002</v>
      </c>
      <c r="N449" s="257">
        <f>IFERROR(M449-(TBIcalc!$Q$9+TBIcalc!$Q$10),"")</f>
        <v>1.8252000000000002</v>
      </c>
      <c r="O449" s="378">
        <f>AVERAGE(Ashed_controlls!$K$2:$K$11)</f>
        <v>5.5147656768714146</v>
      </c>
      <c r="P449" s="257">
        <f t="shared" si="31"/>
        <v>1.7245444968657431</v>
      </c>
      <c r="Q449" s="257">
        <f>IFERROR(INDEX('Both teabags AfterDry'!$D$2:$D$2000,MATCH(L449,'Both teabags AfterDry'!$A$2:$A$2000,0)),"")</f>
        <v>0.94159999999999999</v>
      </c>
      <c r="R449" s="257">
        <f>IFERROR(IF(Q449&gt;0,Q449-(TBIcalc!$Q$9),""),"")</f>
        <v>0.79099999999999993</v>
      </c>
      <c r="S449" s="268">
        <f>IFERROR(INDEX('Ashed teabags dry'!$K$2:$K$2000,MATCH(L449,'Ashed teabags dry'!$A$2:$A$2000,0)),"")</f>
        <v>19.020979020979762</v>
      </c>
      <c r="T449" s="268">
        <f t="shared" si="32"/>
        <v>0.64054405594405006</v>
      </c>
      <c r="U449" s="258">
        <f>IF('Dry_Litterbag Placem_Collection'!E10="","",'Dry_Litterbag Placem_Collection'!E10)</f>
        <v>42938</v>
      </c>
      <c r="V449" s="258">
        <f>IF('Dry_Litterbag Placem_Collection'!G10="","",'Dry_Litterbag Placem_Collection'!G10)</f>
        <v>43007</v>
      </c>
      <c r="W449" s="259">
        <f t="shared" si="30"/>
        <v>69</v>
      </c>
      <c r="X449" s="257">
        <f t="shared" si="33"/>
        <v>1.0342000000000002</v>
      </c>
      <c r="Y449" s="257">
        <f t="shared" si="34"/>
        <v>1.084000440921693</v>
      </c>
      <c r="Z449" s="261">
        <f>IFERROR(INDEX([3]Rainfall_Dry!$O$2:$O$217,MATCH(C449, [3]Rainfall_Dry!$A$2:$A$217,0)),"")</f>
        <v>6.900000125</v>
      </c>
      <c r="AA449" s="250">
        <v>12.565665055683967</v>
      </c>
      <c r="AB449" s="250">
        <v>0.9665896196679955</v>
      </c>
      <c r="AC449" s="250">
        <v>86.467745324648035</v>
      </c>
      <c r="AD449" s="251" t="s">
        <v>2653</v>
      </c>
      <c r="AE449" s="250">
        <v>8.0225726959093109</v>
      </c>
      <c r="AF449">
        <f>IF('WetLitterbags placem_collection'!AB10="","",'WetLitterbags placem_collection'!AB10)</f>
        <v>36</v>
      </c>
      <c r="AG449">
        <f>IF('WetLitterbags placem_collection'!Z10="","",'WetLitterbags placem_collection'!Z10)</f>
        <v>38.4</v>
      </c>
      <c r="AH449" s="236" t="str">
        <f>IF('WetLitterbags placem_collection'!AA10="","",'WetLitterbags placem_collection'!AA10)</f>
        <v>M</v>
      </c>
      <c r="AI449" t="str">
        <f>IF('WetLitterbags placem_collection'!AC10="","",'WetLitterbags placem_collection'!AC10)</f>
        <v/>
      </c>
      <c r="AJ449">
        <f>IFERROR(AVERAGE('Dry_Litterbag Placem_Collection'!O10,'Dry_Litterbag Placem_Collection'!R10),"")</f>
        <v>2.5999999999999996</v>
      </c>
      <c r="AK449" s="261">
        <f>IFERROR(AVERAGE('Dry_Litterbag Placem_Collection'!N10,'Dry_Litterbag Placem_Collection'!Q10),"")</f>
        <v>26</v>
      </c>
      <c r="AL449" s="260">
        <f>INDEX([2]Coordinates!$B$2:$B$197,MATCH(I449,[2]Coordinates!$J$2:$J$197,0))</f>
        <v>-3.3977320230000001</v>
      </c>
      <c r="AM449" s="260">
        <f>INDEX([2]Coordinates!$C$2:$C$197,MATCH(I449,[2]Coordinates!$J$2:$J$197,0))</f>
        <v>34.837561989999998</v>
      </c>
      <c r="AN449" s="260" t="str">
        <f>IF(ISNUMBER(SEARCH("C", 'Dry_Litterbag Placem_Collection'!U10)),"YES","NO")</f>
        <v>NO</v>
      </c>
      <c r="AO449" s="260" t="str">
        <f>IF(ISNUMBER(SEARCH("H", 'Dry_Litterbag Placem_Collection'!U10)),"YES","NO")</f>
        <v>NO</v>
      </c>
      <c r="AP449" s="260" t="str">
        <f>IF(ISNUMBER(SEARCH("R", 'Dry_Litterbag Placem_Collection'!U10)),"YES","NO")</f>
        <v>YES</v>
      </c>
    </row>
    <row r="450" spans="1:42" ht="15" customHeight="1">
      <c r="A450" t="s">
        <v>3248</v>
      </c>
      <c r="B450" s="252" t="s">
        <v>2643</v>
      </c>
      <c r="C450" s="253">
        <f>'Dry_Litterbag Placem_Collection'!A11</f>
        <v>9</v>
      </c>
      <c r="D450" s="253" t="str">
        <f>'Dry_Litterbag Placem_Collection'!B11</f>
        <v>Makao</v>
      </c>
      <c r="E450" s="253" t="s">
        <v>2643</v>
      </c>
      <c r="F450" s="253" t="s">
        <v>2644</v>
      </c>
      <c r="G450" s="253">
        <v>2</v>
      </c>
      <c r="H450" s="253" t="s">
        <v>3103</v>
      </c>
      <c r="I450" s="254" t="str">
        <f>'Dry_Litterbag Placem_Collection'!C11</f>
        <v>Dry_Ag2_T1</v>
      </c>
      <c r="J450" s="263" t="s">
        <v>2932</v>
      </c>
      <c r="K450" s="256" t="s">
        <v>1147</v>
      </c>
      <c r="L450" s="253" t="str">
        <f>IF(ISBLANK('Dry_Litterbag Placem_Collection'!L11),"","G"&amp;""&amp;'Dry_Litterbag Placem_Collection'!L11)</f>
        <v>G570</v>
      </c>
      <c r="M450" s="257">
        <f>IFERROR(INDEX('Green_rooibos initial weight'!$C$5:$C$2000,MATCH(L450, 'Green_rooibos initial weight'!$A$5:$A$2000,0)),"")</f>
        <v>2.1040000000000001</v>
      </c>
      <c r="N450" s="257">
        <f>IFERROR(M450-(TBIcalc!$Q$9+TBIcalc!$Q$10),"")</f>
        <v>1.8542000000000001</v>
      </c>
      <c r="O450" s="378">
        <f>AVERAGE(Ashed_controlls!$K$2:$K$11)</f>
        <v>5.5147656768714146</v>
      </c>
      <c r="P450" s="257">
        <f t="shared" si="31"/>
        <v>1.7519452148194503</v>
      </c>
      <c r="Q450" s="257">
        <f>IFERROR(INDEX('Both teabags AfterDry'!$D$2:$D$2000,MATCH(L450,'Both teabags AfterDry'!$A$2:$A$2000,0)),"")</f>
        <v>1.9100999999999999</v>
      </c>
      <c r="R450" s="257">
        <f>IFERROR(IF(Q450&gt;0,Q450-(TBIcalc!$Q$9),""),"")</f>
        <v>1.7594999999999998</v>
      </c>
      <c r="S450" s="268">
        <f>IFERROR(INDEX('Ashed teabags dry'!$K$2:$K$2000,MATCH(L450,'Ashed teabags dry'!$A$2:$A$2000,0)),"")</f>
        <v>5.923344947734277</v>
      </c>
      <c r="T450" s="268">
        <f t="shared" si="32"/>
        <v>1.6552787456446152</v>
      </c>
      <c r="U450" s="258">
        <f>IF('Dry_Litterbag Placem_Collection'!E11="","",'Dry_Litterbag Placem_Collection'!E11)</f>
        <v>42938</v>
      </c>
      <c r="V450" s="258">
        <f>IF('Dry_Litterbag Placem_Collection'!G11="","",'Dry_Litterbag Placem_Collection'!G11)</f>
        <v>43007</v>
      </c>
      <c r="W450" s="259">
        <f t="shared" ref="W450:W513" si="35">IFERROR(V450-U450,"")</f>
        <v>69</v>
      </c>
      <c r="X450" s="257">
        <f t="shared" si="33"/>
        <v>9.4700000000000228E-2</v>
      </c>
      <c r="Y450" s="257">
        <f t="shared" si="34"/>
        <v>9.6666469174835123E-2</v>
      </c>
      <c r="Z450" s="261">
        <f>IFERROR(INDEX([3]Rainfall_Dry!$O$2:$O$217,MATCH(C450, [3]Rainfall_Dry!$A$2:$A$217,0)),"")</f>
        <v>6.900000125</v>
      </c>
      <c r="AA450" s="250">
        <v>21.13063730679653</v>
      </c>
      <c r="AB450" s="250">
        <v>3.0912555579081076</v>
      </c>
      <c r="AC450" s="250">
        <v>75.778107135295357</v>
      </c>
      <c r="AD450" s="251" t="s">
        <v>2651</v>
      </c>
      <c r="AE450" s="250">
        <v>0.46131099063578063</v>
      </c>
      <c r="AF450">
        <f>IF('WetLitterbags placem_collection'!AB11="","",'WetLitterbags placem_collection'!AB11)</f>
        <v>10.8</v>
      </c>
      <c r="AG450">
        <f>IF('WetLitterbags placem_collection'!Z11="","",'WetLitterbags placem_collection'!Z11)</f>
        <v>28.4</v>
      </c>
      <c r="AH450" s="236" t="str">
        <f>IF('WetLitterbags placem_collection'!AA11="","",'WetLitterbags placem_collection'!AA11)</f>
        <v>M</v>
      </c>
      <c r="AI450">
        <f>IF('WetLitterbags placem_collection'!AC11="","",'WetLitterbags placem_collection'!AC11)</f>
        <v>0</v>
      </c>
      <c r="AJ450">
        <f>IFERROR(AVERAGE('Dry_Litterbag Placem_Collection'!O11,'Dry_Litterbag Placem_Collection'!R11),"")</f>
        <v>3.3</v>
      </c>
      <c r="AK450" s="261">
        <f>IFERROR(AVERAGE('Dry_Litterbag Placem_Collection'!N11,'Dry_Litterbag Placem_Collection'!Q11),"")</f>
        <v>26.15</v>
      </c>
      <c r="AL450" s="260">
        <f>INDEX([2]Coordinates!$B$2:$B$197,MATCH(I450,[2]Coordinates!$J$2:$J$197,0))</f>
        <v>-3.3978290019999999</v>
      </c>
      <c r="AM450" s="260">
        <f>INDEX([2]Coordinates!$C$2:$C$197,MATCH(I450,[2]Coordinates!$J$2:$J$197,0))</f>
        <v>34.837011969999999</v>
      </c>
      <c r="AN450" s="260" t="str">
        <f>IF(ISNUMBER(SEARCH("C", 'Dry_Litterbag Placem_Collection'!U11)),"YES","NO")</f>
        <v>NO</v>
      </c>
      <c r="AO450" s="260" t="str">
        <f>IF(ISNUMBER(SEARCH("H", 'Dry_Litterbag Placem_Collection'!U11)),"YES","NO")</f>
        <v>NO</v>
      </c>
      <c r="AP450" s="260" t="str">
        <f>IF(ISNUMBER(SEARCH("R", 'Dry_Litterbag Placem_Collection'!U11)),"YES","NO")</f>
        <v>NO</v>
      </c>
    </row>
    <row r="451" spans="1:42" ht="15" customHeight="1">
      <c r="A451" t="s">
        <v>3248</v>
      </c>
      <c r="B451" s="252" t="s">
        <v>2643</v>
      </c>
      <c r="C451" s="253">
        <f>'Dry_Litterbag Placem_Collection'!A12</f>
        <v>10</v>
      </c>
      <c r="D451" s="253" t="str">
        <f>'Dry_Litterbag Placem_Collection'!B12</f>
        <v>Makao</v>
      </c>
      <c r="E451" s="253" t="s">
        <v>2643</v>
      </c>
      <c r="F451" s="253" t="s">
        <v>2644</v>
      </c>
      <c r="G451" s="253">
        <v>2</v>
      </c>
      <c r="H451" s="253" t="s">
        <v>3103</v>
      </c>
      <c r="I451" s="254" t="str">
        <f>'Dry_Litterbag Placem_Collection'!C12</f>
        <v>Dry_Ag2_T2</v>
      </c>
      <c r="J451" s="263" t="s">
        <v>2932</v>
      </c>
      <c r="K451" s="256" t="s">
        <v>1147</v>
      </c>
      <c r="L451" s="253" t="str">
        <f>IF(ISBLANK('Dry_Litterbag Placem_Collection'!L12),"","G"&amp;""&amp;'Dry_Litterbag Placem_Collection'!L12)</f>
        <v>G642</v>
      </c>
      <c r="M451" s="257">
        <f>IFERROR(INDEX('Green_rooibos initial weight'!$C$5:$C$2000,MATCH(L451, 'Green_rooibos initial weight'!$A$5:$A$2000,0)),"")</f>
        <v>2.1269999999999998</v>
      </c>
      <c r="N451" s="257">
        <f>IFERROR(M451-(TBIcalc!$Q$9+TBIcalc!$Q$10),"")</f>
        <v>1.8771999999999998</v>
      </c>
      <c r="O451" s="378">
        <f>AVERAGE(Ashed_controlls!$K$2:$K$11)</f>
        <v>5.5147656768714146</v>
      </c>
      <c r="P451" s="257">
        <f t="shared" ref="P451:P514" si="36">IFERROR(N451-(O451/100)*N451,"")</f>
        <v>1.7736768187137695</v>
      </c>
      <c r="Q451" s="257" t="str">
        <f>IFERROR(INDEX('Both teabags AfterDry'!$D$2:$D$2000,MATCH(L451,'Both teabags AfterDry'!$A$2:$A$2000,0)),"")</f>
        <v/>
      </c>
      <c r="R451" s="257" t="str">
        <f>IFERROR(IF(Q451&gt;0,Q451-(TBIcalc!$Q$9),""),"")</f>
        <v/>
      </c>
      <c r="S451" s="268" t="str">
        <f>IFERROR(INDEX('Ashed teabags dry'!$K$2:$K$2000,MATCH(L451,'Ashed teabags dry'!$A$2:$A$2000,0)),"")</f>
        <v/>
      </c>
      <c r="T451" s="268" t="str">
        <f t="shared" ref="T451:T514" si="37">IFERROR(R451-(S451/100)*R451,"")</f>
        <v/>
      </c>
      <c r="U451" s="258">
        <f>IF('Dry_Litterbag Placem_Collection'!E12="","",'Dry_Litterbag Placem_Collection'!E12)</f>
        <v>42938</v>
      </c>
      <c r="V451" s="258" t="str">
        <f>IF('Dry_Litterbag Placem_Collection'!G12="","",'Dry_Litterbag Placem_Collection'!G12)</f>
        <v/>
      </c>
      <c r="W451" s="259" t="str">
        <f t="shared" si="35"/>
        <v/>
      </c>
      <c r="X451" s="257" t="str">
        <f t="shared" ref="X451:X514" si="38">IFERROR(N451-R451,"")</f>
        <v/>
      </c>
      <c r="Y451" s="257" t="str">
        <f t="shared" ref="Y451:Y514" si="39">IFERROR(P451-T451,"")</f>
        <v/>
      </c>
      <c r="Z451" s="261" t="str">
        <f>IFERROR(INDEX([3]Rainfall_Dry!$O$2:$O$217,MATCH(C451, [3]Rainfall_Dry!$A$2:$A$217,0)),"")</f>
        <v/>
      </c>
      <c r="AA451" s="250">
        <v>21.13063730679653</v>
      </c>
      <c r="AB451" s="250">
        <v>3.0912555579081076</v>
      </c>
      <c r="AC451" s="250">
        <v>75.778107135295357</v>
      </c>
      <c r="AD451" s="251" t="s">
        <v>2651</v>
      </c>
      <c r="AE451" s="250">
        <v>1.46131099063578</v>
      </c>
      <c r="AF451">
        <f>IF('WetLitterbags placem_collection'!AB12="","",'WetLitterbags placem_collection'!AB12)</f>
        <v>16.8</v>
      </c>
      <c r="AG451">
        <f>IF('WetLitterbags placem_collection'!Z12="","",'WetLitterbags placem_collection'!Z12)</f>
        <v>30</v>
      </c>
      <c r="AH451" s="236" t="str">
        <f>IF('WetLitterbags placem_collection'!AA12="","",'WetLitterbags placem_collection'!AA12)</f>
        <v>M</v>
      </c>
      <c r="AI451">
        <f>IF('WetLitterbags placem_collection'!AC12="","",'WetLitterbags placem_collection'!AC12)</f>
        <v>0</v>
      </c>
      <c r="AJ451">
        <f>IFERROR(AVERAGE('Dry_Litterbag Placem_Collection'!O12,'Dry_Litterbag Placem_Collection'!R12),"")</f>
        <v>1.5</v>
      </c>
      <c r="AK451" s="261">
        <f>IFERROR(AVERAGE('Dry_Litterbag Placem_Collection'!N12,'Dry_Litterbag Placem_Collection'!Q12),"")</f>
        <v>26.1</v>
      </c>
      <c r="AL451" s="260">
        <f>INDEX([2]Coordinates!$B$2:$B$197,MATCH(I451,[2]Coordinates!$J$2:$J$197,0))</f>
        <v>-3.3978119869999999</v>
      </c>
      <c r="AM451" s="260">
        <f>INDEX([2]Coordinates!$C$2:$C$197,MATCH(I451,[2]Coordinates!$J$2:$J$197,0))</f>
        <v>34.836968980000002</v>
      </c>
      <c r="AN451" s="260" t="str">
        <f>IF(ISNUMBER(SEARCH("C", 'Dry_Litterbag Placem_Collection'!U12)),"YES","NO")</f>
        <v>NO</v>
      </c>
      <c r="AO451" s="260" t="str">
        <f>IF(ISNUMBER(SEARCH("H", 'Dry_Litterbag Placem_Collection'!U12)),"YES","NO")</f>
        <v>NO</v>
      </c>
      <c r="AP451" s="260" t="str">
        <f>IF(ISNUMBER(SEARCH("R", 'Dry_Litterbag Placem_Collection'!U12)),"YES","NO")</f>
        <v>NO</v>
      </c>
    </row>
    <row r="452" spans="1:42" ht="15" customHeight="1">
      <c r="A452" t="s">
        <v>3248</v>
      </c>
      <c r="B452" s="252" t="s">
        <v>2643</v>
      </c>
      <c r="C452" s="253">
        <f>'Dry_Litterbag Placem_Collection'!A13</f>
        <v>11</v>
      </c>
      <c r="D452" s="253" t="str">
        <f>'Dry_Litterbag Placem_Collection'!B13</f>
        <v>Makao</v>
      </c>
      <c r="E452" s="253" t="s">
        <v>2643</v>
      </c>
      <c r="F452" s="253" t="s">
        <v>2644</v>
      </c>
      <c r="G452" s="253">
        <v>2</v>
      </c>
      <c r="H452" s="253" t="s">
        <v>3103</v>
      </c>
      <c r="I452" s="254" t="str">
        <f>'Dry_Litterbag Placem_Collection'!C13</f>
        <v>Dry_Ag2_T3</v>
      </c>
      <c r="J452" s="263" t="s">
        <v>2932</v>
      </c>
      <c r="K452" s="256" t="s">
        <v>1147</v>
      </c>
      <c r="L452" s="253" t="str">
        <f>IF(ISBLANK('Dry_Litterbag Placem_Collection'!L13),"","G"&amp;""&amp;'Dry_Litterbag Placem_Collection'!L13)</f>
        <v>G663</v>
      </c>
      <c r="M452" s="257">
        <f>IFERROR(INDEX('Green_rooibos initial weight'!$C$5:$C$2000,MATCH(L452, 'Green_rooibos initial weight'!$A$5:$A$2000,0)),"")</f>
        <v>2.0760000000000001</v>
      </c>
      <c r="N452" s="257">
        <f>IFERROR(M452-(TBIcalc!$Q$9+TBIcalc!$Q$10),"")</f>
        <v>1.8262</v>
      </c>
      <c r="O452" s="378">
        <f>AVERAGE(Ashed_controlls!$K$2:$K$11)</f>
        <v>5.5147656768714146</v>
      </c>
      <c r="P452" s="257">
        <f t="shared" si="36"/>
        <v>1.7254893492089742</v>
      </c>
      <c r="Q452" s="257">
        <f>IFERROR(INDEX('Both teabags AfterDry'!$D$2:$D$2000,MATCH(L452,'Both teabags AfterDry'!$A$2:$A$2000,0)),"")</f>
        <v>1.6718</v>
      </c>
      <c r="R452" s="257">
        <f>IFERROR(IF(Q452&gt;0,Q452-(TBIcalc!$Q$9),""),"")</f>
        <v>1.5211999999999999</v>
      </c>
      <c r="S452" s="268">
        <f>IFERROR(INDEX('Ashed teabags dry'!$K$2:$K$2000,MATCH(L452,'Ashed teabags dry'!$A$2:$A$2000,0)),"")</f>
        <v>7.9058031959628696</v>
      </c>
      <c r="T452" s="268">
        <f t="shared" si="37"/>
        <v>1.4009369217830128</v>
      </c>
      <c r="U452" s="258">
        <f>IF('Dry_Litterbag Placem_Collection'!E13="","",'Dry_Litterbag Placem_Collection'!E13)</f>
        <v>42938</v>
      </c>
      <c r="V452" s="258">
        <f>IF('Dry_Litterbag Placem_Collection'!G13="","",'Dry_Litterbag Placem_Collection'!G13)</f>
        <v>43007</v>
      </c>
      <c r="W452" s="259">
        <f t="shared" si="35"/>
        <v>69</v>
      </c>
      <c r="X452" s="257">
        <f t="shared" si="38"/>
        <v>0.30500000000000016</v>
      </c>
      <c r="Y452" s="257">
        <f t="shared" si="39"/>
        <v>0.32455242742596146</v>
      </c>
      <c r="Z452" s="261">
        <f>IFERROR(INDEX([3]Rainfall_Dry!$O$2:$O$217,MATCH(C452, [3]Rainfall_Dry!$A$2:$A$217,0)),"")</f>
        <v>6.900000125</v>
      </c>
      <c r="AA452" s="250">
        <v>21.13063730679653</v>
      </c>
      <c r="AB452" s="250">
        <v>3.0912555579081076</v>
      </c>
      <c r="AC452" s="250">
        <v>75.778107135295357</v>
      </c>
      <c r="AD452" s="251" t="s">
        <v>2651</v>
      </c>
      <c r="AE452" s="250">
        <v>2.4613109906357802</v>
      </c>
      <c r="AF452">
        <f>IF('WetLitterbags placem_collection'!AB13="","",'WetLitterbags placem_collection'!AB13)</f>
        <v>11.4</v>
      </c>
      <c r="AG452">
        <f>IF('WetLitterbags placem_collection'!Z13="","",'WetLitterbags placem_collection'!Z13)</f>
        <v>24.4</v>
      </c>
      <c r="AH452" s="236" t="str">
        <f>IF('WetLitterbags placem_collection'!AA13="","",'WetLitterbags placem_collection'!AA13)</f>
        <v>M</v>
      </c>
      <c r="AI452">
        <f>IF('WetLitterbags placem_collection'!AC13="","",'WetLitterbags placem_collection'!AC13)</f>
        <v>0</v>
      </c>
      <c r="AJ452">
        <f>IFERROR(AVERAGE('Dry_Litterbag Placem_Collection'!O13,'Dry_Litterbag Placem_Collection'!R13),"")</f>
        <v>5.3</v>
      </c>
      <c r="AK452" s="261">
        <f>IFERROR(AVERAGE('Dry_Litterbag Placem_Collection'!N13,'Dry_Litterbag Placem_Collection'!Q13),"")</f>
        <v>26.450000000000003</v>
      </c>
      <c r="AL452" s="260">
        <f>INDEX([2]Coordinates!$B$2:$B$197,MATCH(I452,[2]Coordinates!$J$2:$J$197,0))</f>
        <v>-3.3977929599999999</v>
      </c>
      <c r="AM452" s="260">
        <f>INDEX([2]Coordinates!$C$2:$C$197,MATCH(I452,[2]Coordinates!$J$2:$J$197,0))</f>
        <v>34.837102999999999</v>
      </c>
      <c r="AN452" s="260" t="str">
        <f>IF(ISNUMBER(SEARCH("C", 'Dry_Litterbag Placem_Collection'!U13)),"YES","NO")</f>
        <v>NO</v>
      </c>
      <c r="AO452" s="260" t="str">
        <f>IF(ISNUMBER(SEARCH("H", 'Dry_Litterbag Placem_Collection'!U13)),"YES","NO")</f>
        <v>NO</v>
      </c>
      <c r="AP452" s="260" t="str">
        <f>IF(ISNUMBER(SEARCH("R", 'Dry_Litterbag Placem_Collection'!U13)),"YES","NO")</f>
        <v>NO</v>
      </c>
    </row>
    <row r="453" spans="1:42" ht="15" customHeight="1">
      <c r="A453" t="s">
        <v>3248</v>
      </c>
      <c r="B453" s="252" t="s">
        <v>2643</v>
      </c>
      <c r="C453" s="253">
        <f>'Dry_Litterbag Placem_Collection'!A14</f>
        <v>12</v>
      </c>
      <c r="D453" s="253" t="str">
        <f>'Dry_Litterbag Placem_Collection'!B14</f>
        <v>Makao</v>
      </c>
      <c r="E453" s="253" t="s">
        <v>2643</v>
      </c>
      <c r="F453" s="253" t="s">
        <v>2644</v>
      </c>
      <c r="G453" s="253">
        <v>2</v>
      </c>
      <c r="H453" s="253" t="s">
        <v>3103</v>
      </c>
      <c r="I453" s="254" t="str">
        <f>'Dry_Litterbag Placem_Collection'!C14</f>
        <v>Dry_Ag2_T4</v>
      </c>
      <c r="J453" s="263" t="s">
        <v>2932</v>
      </c>
      <c r="K453" s="256" t="s">
        <v>1147</v>
      </c>
      <c r="L453" s="253" t="str">
        <f>IF(ISBLANK('Dry_Litterbag Placem_Collection'!L14),"","G"&amp;""&amp;'Dry_Litterbag Placem_Collection'!L14)</f>
        <v/>
      </c>
      <c r="M453" s="257" t="str">
        <f>IFERROR(INDEX('Green_rooibos initial weight'!$C$5:$C$2000,MATCH(L453, 'Green_rooibos initial weight'!$A$5:$A$2000,0)),"")</f>
        <v/>
      </c>
      <c r="N453" s="257" t="str">
        <f>IFERROR(M453-(TBIcalc!$Q$9+TBIcalc!$Q$10),"")</f>
        <v/>
      </c>
      <c r="O453" s="378">
        <f>AVERAGE(Ashed_controlls!$K$2:$K$11)</f>
        <v>5.5147656768714146</v>
      </c>
      <c r="P453" s="257" t="str">
        <f t="shared" si="36"/>
        <v/>
      </c>
      <c r="Q453" s="257" t="str">
        <f>IFERROR(INDEX('Both teabags AfterDry'!$D$2:$D$2000,MATCH(L453,'Both teabags AfterDry'!$A$2:$A$2000,0)),"")</f>
        <v/>
      </c>
      <c r="R453" s="257" t="str">
        <f>IFERROR(IF(Q453&gt;0,Q453-(TBIcalc!$Q$9),""),"")</f>
        <v/>
      </c>
      <c r="S453" s="268" t="str">
        <f>IFERROR(INDEX('Ashed teabags dry'!$K$2:$K$2000,MATCH(L453,'Ashed teabags dry'!$A$2:$A$2000,0)),"")</f>
        <v/>
      </c>
      <c r="T453" s="268" t="str">
        <f t="shared" si="37"/>
        <v/>
      </c>
      <c r="U453" s="258" t="str">
        <f>IF('Dry_Litterbag Placem_Collection'!E14="","",'Dry_Litterbag Placem_Collection'!E14)</f>
        <v/>
      </c>
      <c r="V453" s="258" t="str">
        <f>IF('Dry_Litterbag Placem_Collection'!G14="","",'Dry_Litterbag Placem_Collection'!G14)</f>
        <v/>
      </c>
      <c r="W453" s="259" t="str">
        <f t="shared" si="35"/>
        <v/>
      </c>
      <c r="X453" s="257" t="str">
        <f t="shared" si="38"/>
        <v/>
      </c>
      <c r="Y453" s="257" t="str">
        <f t="shared" si="39"/>
        <v/>
      </c>
      <c r="Z453" s="261" t="str">
        <f>IFERROR(INDEX([3]Rainfall_Dry!$O$2:$O$217,MATCH(C453, [3]Rainfall_Dry!$A$2:$A$217,0)),"")</f>
        <v/>
      </c>
      <c r="AA453" s="250">
        <v>21.13063730679653</v>
      </c>
      <c r="AB453" s="250">
        <v>3.0912555579081076</v>
      </c>
      <c r="AC453" s="250">
        <v>75.778107135295357</v>
      </c>
      <c r="AD453" s="251" t="s">
        <v>2651</v>
      </c>
      <c r="AE453" s="250">
        <v>3.4613109906357802</v>
      </c>
      <c r="AF453" t="str">
        <f>IF('WetLitterbags placem_collection'!AB14="","",'WetLitterbags placem_collection'!AB14)</f>
        <v/>
      </c>
      <c r="AG453" t="str">
        <f>IF('WetLitterbags placem_collection'!Z14="","",'WetLitterbags placem_collection'!Z14)</f>
        <v/>
      </c>
      <c r="AH453" s="236" t="str">
        <f>IF('WetLitterbags placem_collection'!AA14="","",'WetLitterbags placem_collection'!AA14)</f>
        <v/>
      </c>
      <c r="AI453" t="str">
        <f>IF('WetLitterbags placem_collection'!AC14="","",'WetLitterbags placem_collection'!AC14)</f>
        <v/>
      </c>
      <c r="AJ453" t="str">
        <f>IFERROR(AVERAGE('Dry_Litterbag Placem_Collection'!O14,'Dry_Litterbag Placem_Collection'!R14),"")</f>
        <v/>
      </c>
      <c r="AK453" s="261" t="str">
        <f>IFERROR(AVERAGE('Dry_Litterbag Placem_Collection'!N14,'Dry_Litterbag Placem_Collection'!Q14),"")</f>
        <v/>
      </c>
      <c r="AL453" s="260">
        <f>INDEX([2]Coordinates!$B$2:$B$197,MATCH(I453,[2]Coordinates!$J$2:$J$197,0))</f>
        <v>-3.3979050260000001</v>
      </c>
      <c r="AM453" s="260">
        <f>INDEX([2]Coordinates!$C$2:$C$197,MATCH(I453,[2]Coordinates!$J$2:$J$197,0))</f>
        <v>34.837123030000001</v>
      </c>
      <c r="AN453" s="260" t="str">
        <f>IF(ISNUMBER(SEARCH("C", 'Dry_Litterbag Placem_Collection'!U14)),"YES","NO")</f>
        <v>NO</v>
      </c>
      <c r="AO453" s="260" t="str">
        <f>IF(ISNUMBER(SEARCH("H", 'Dry_Litterbag Placem_Collection'!U14)),"YES","NO")</f>
        <v>NO</v>
      </c>
      <c r="AP453" s="260" t="str">
        <f>IF(ISNUMBER(SEARCH("R", 'Dry_Litterbag Placem_Collection'!U14)),"YES","NO")</f>
        <v>NO</v>
      </c>
    </row>
    <row r="454" spans="1:42" ht="15" customHeight="1">
      <c r="A454" t="s">
        <v>3248</v>
      </c>
      <c r="B454" s="252" t="s">
        <v>2643</v>
      </c>
      <c r="C454" s="253">
        <f>'Dry_Litterbag Placem_Collection'!A15</f>
        <v>13</v>
      </c>
      <c r="D454" s="253" t="str">
        <f>'Dry_Litterbag Placem_Collection'!B15</f>
        <v>Makao</v>
      </c>
      <c r="E454" s="253" t="s">
        <v>2643</v>
      </c>
      <c r="F454" s="253" t="s">
        <v>2644</v>
      </c>
      <c r="G454" s="253">
        <v>2</v>
      </c>
      <c r="H454" s="253" t="s">
        <v>3103</v>
      </c>
      <c r="I454" s="254" t="str">
        <f>'Dry_Litterbag Placem_Collection'!C15</f>
        <v>Dry_Ag2_T5</v>
      </c>
      <c r="J454" s="263" t="s">
        <v>2932</v>
      </c>
      <c r="K454" s="256" t="s">
        <v>1147</v>
      </c>
      <c r="L454" s="253" t="str">
        <f>IF(ISBLANK('Dry_Litterbag Placem_Collection'!L15),"","G"&amp;""&amp;'Dry_Litterbag Placem_Collection'!L15)</f>
        <v>G874</v>
      </c>
      <c r="M454" s="257">
        <f>IFERROR(INDEX('Green_rooibos initial weight'!$C$5:$C$2000,MATCH(L454, 'Green_rooibos initial weight'!$A$5:$A$2000,0)),"")</f>
        <v>2.032</v>
      </c>
      <c r="N454" s="257">
        <f>IFERROR(M454-(TBIcalc!$Q$9+TBIcalc!$Q$10),"")</f>
        <v>1.7822</v>
      </c>
      <c r="O454" s="378">
        <f>AVERAGE(Ashed_controlls!$K$2:$K$11)</f>
        <v>5.5147656768714146</v>
      </c>
      <c r="P454" s="257">
        <f t="shared" si="36"/>
        <v>1.6839158461067976</v>
      </c>
      <c r="Q454" s="257">
        <f>IFERROR(INDEX('Both teabags AfterDry'!$D$2:$D$2000,MATCH(L454,'Both teabags AfterDry'!$A$2:$A$2000,0)),"")</f>
        <v>1.361</v>
      </c>
      <c r="R454" s="257">
        <f>IFERROR(IF(Q454&gt;0,Q454-(TBIcalc!$Q$9),""),"")</f>
        <v>1.2103999999999999</v>
      </c>
      <c r="S454" s="268">
        <f>IFERROR(INDEX('Ashed teabags dry'!$K$2:$K$2000,MATCH(L454,'Ashed teabags dry'!$A$2:$A$2000,0)),"")</f>
        <v>9.2644320297957403</v>
      </c>
      <c r="T454" s="268">
        <f t="shared" si="37"/>
        <v>1.0982633147113523</v>
      </c>
      <c r="U454" s="258">
        <f>IF('Dry_Litterbag Placem_Collection'!E15="","",'Dry_Litterbag Placem_Collection'!E15)</f>
        <v>42938</v>
      </c>
      <c r="V454" s="258">
        <f>IF('Dry_Litterbag Placem_Collection'!G15="","",'Dry_Litterbag Placem_Collection'!G15)</f>
        <v>43007</v>
      </c>
      <c r="W454" s="259">
        <f t="shared" si="35"/>
        <v>69</v>
      </c>
      <c r="X454" s="257">
        <f t="shared" si="38"/>
        <v>0.57180000000000009</v>
      </c>
      <c r="Y454" s="257">
        <f t="shared" si="39"/>
        <v>0.58565253139544526</v>
      </c>
      <c r="Z454" s="261">
        <f>IFERROR(INDEX([3]Rainfall_Dry!$O$2:$O$217,MATCH(C454, [3]Rainfall_Dry!$A$2:$A$217,0)),"")</f>
        <v>6.900000125</v>
      </c>
      <c r="AA454" s="250">
        <v>21.13063730679653</v>
      </c>
      <c r="AB454" s="250">
        <v>3.0912555579081076</v>
      </c>
      <c r="AC454" s="250">
        <v>75.778107135295357</v>
      </c>
      <c r="AD454" s="251" t="s">
        <v>2651</v>
      </c>
      <c r="AE454" s="250">
        <v>4.4613109906357797</v>
      </c>
      <c r="AF454">
        <f>IF('WetLitterbags placem_collection'!AB15="","",'WetLitterbags placem_collection'!AB15)</f>
        <v>11.4</v>
      </c>
      <c r="AG454">
        <f>IF('WetLitterbags placem_collection'!Z15="","",'WetLitterbags placem_collection'!Z15)</f>
        <v>31</v>
      </c>
      <c r="AH454" s="236" t="str">
        <f>IF('WetLitterbags placem_collection'!AA15="","",'WetLitterbags placem_collection'!AA15)</f>
        <v>M</v>
      </c>
      <c r="AI454">
        <f>IF('WetLitterbags placem_collection'!AC15="","",'WetLitterbags placem_collection'!AC15)</f>
        <v>0</v>
      </c>
      <c r="AJ454">
        <f>IFERROR(AVERAGE('Dry_Litterbag Placem_Collection'!O15,'Dry_Litterbag Placem_Collection'!R15),"")</f>
        <v>4.8</v>
      </c>
      <c r="AK454" s="261">
        <f>IFERROR(AVERAGE('Dry_Litterbag Placem_Collection'!N15,'Dry_Litterbag Placem_Collection'!Q15),"")</f>
        <v>26.1</v>
      </c>
      <c r="AL454" s="260">
        <f>INDEX([2]Coordinates!$B$2:$B$197,MATCH(I454,[2]Coordinates!$J$2:$J$197,0))</f>
        <v>-3.3979040199999999</v>
      </c>
      <c r="AM454" s="260">
        <f>INDEX([2]Coordinates!$C$2:$C$197,MATCH(I454,[2]Coordinates!$J$2:$J$197,0))</f>
        <v>34.837027980000002</v>
      </c>
      <c r="AN454" s="260" t="str">
        <f>IF(ISNUMBER(SEARCH("C", 'Dry_Litterbag Placem_Collection'!U15)),"YES","NO")</f>
        <v>NO</v>
      </c>
      <c r="AO454" s="260" t="str">
        <f>IF(ISNUMBER(SEARCH("H", 'Dry_Litterbag Placem_Collection'!U15)),"YES","NO")</f>
        <v>NO</v>
      </c>
      <c r="AP454" s="260" t="str">
        <f>IF(ISNUMBER(SEARCH("R", 'Dry_Litterbag Placem_Collection'!U15)),"YES","NO")</f>
        <v>NO</v>
      </c>
    </row>
    <row r="455" spans="1:42" ht="15" customHeight="1">
      <c r="A455" t="s">
        <v>3248</v>
      </c>
      <c r="B455" s="252" t="s">
        <v>2643</v>
      </c>
      <c r="C455" s="253">
        <f>'Dry_Litterbag Placem_Collection'!A16</f>
        <v>14</v>
      </c>
      <c r="D455" s="253" t="str">
        <f>'Dry_Litterbag Placem_Collection'!B16</f>
        <v>Makao</v>
      </c>
      <c r="E455" s="253" t="s">
        <v>2643</v>
      </c>
      <c r="F455" s="253" t="s">
        <v>2644</v>
      </c>
      <c r="G455" s="253">
        <v>2</v>
      </c>
      <c r="H455" s="253" t="s">
        <v>3103</v>
      </c>
      <c r="I455" s="254" t="str">
        <f>'Dry_Litterbag Placem_Collection'!C16</f>
        <v>Dry_Ag2_T6</v>
      </c>
      <c r="J455" s="263" t="s">
        <v>2932</v>
      </c>
      <c r="K455" s="256" t="s">
        <v>1147</v>
      </c>
      <c r="L455" s="253" t="str">
        <f>IF(ISBLANK('Dry_Litterbag Placem_Collection'!L16),"","G"&amp;""&amp;'Dry_Litterbag Placem_Collection'!L16)</f>
        <v>G219</v>
      </c>
      <c r="M455" s="257">
        <f>IFERROR(INDEX('Green_rooibos initial weight'!$C$5:$C$2000,MATCH(L455, 'Green_rooibos initial weight'!$A$5:$A$2000,0)),"")</f>
        <v>2.0110000000000001</v>
      </c>
      <c r="N455" s="257">
        <f>IFERROR(M455-(TBIcalc!$Q$9+TBIcalc!$Q$10),"")</f>
        <v>1.7612000000000001</v>
      </c>
      <c r="O455" s="378">
        <f>AVERAGE(Ashed_controlls!$K$2:$K$11)</f>
        <v>5.5147656768714146</v>
      </c>
      <c r="P455" s="257">
        <f t="shared" si="36"/>
        <v>1.6640739468989407</v>
      </c>
      <c r="Q455" s="257">
        <f>IFERROR(INDEX('Both teabags AfterDry'!$D$2:$D$2000,MATCH(L455,'Both teabags AfterDry'!$A$2:$A$2000,0)),"")</f>
        <v>0.76939999999999997</v>
      </c>
      <c r="R455" s="257">
        <f>IFERROR(IF(Q455&gt;0,Q455-(TBIcalc!$Q$9),""),"")</f>
        <v>0.61880000000000002</v>
      </c>
      <c r="S455" s="268">
        <f>IFERROR(INDEX('Ashed teabags dry'!$K$2:$K$2000,MATCH(L455,'Ashed teabags dry'!$A$2:$A$2000,0)),"")</f>
        <v>15.956439393940133</v>
      </c>
      <c r="T455" s="268">
        <f t="shared" si="37"/>
        <v>0.52006155303029844</v>
      </c>
      <c r="U455" s="258">
        <f>IF('Dry_Litterbag Placem_Collection'!E16="","",'Dry_Litterbag Placem_Collection'!E16)</f>
        <v>42938</v>
      </c>
      <c r="V455" s="258">
        <f>IF('Dry_Litterbag Placem_Collection'!G16="","",'Dry_Litterbag Placem_Collection'!G16)</f>
        <v>43007</v>
      </c>
      <c r="W455" s="259">
        <f t="shared" si="35"/>
        <v>69</v>
      </c>
      <c r="X455" s="257">
        <f t="shared" si="38"/>
        <v>1.1424000000000001</v>
      </c>
      <c r="Y455" s="257">
        <f t="shared" si="39"/>
        <v>1.1440123938686422</v>
      </c>
      <c r="Z455" s="261">
        <f>IFERROR(INDEX([3]Rainfall_Dry!$O$2:$O$217,MATCH(C455, [3]Rainfall_Dry!$A$2:$A$217,0)),"")</f>
        <v>6.900000125</v>
      </c>
      <c r="AA455" s="250">
        <v>21.13063730679653</v>
      </c>
      <c r="AB455" s="250">
        <v>3.0912555579081076</v>
      </c>
      <c r="AC455" s="250">
        <v>75.778107135295357</v>
      </c>
      <c r="AD455" s="251" t="s">
        <v>2651</v>
      </c>
      <c r="AE455" s="250">
        <v>5.4613109906357797</v>
      </c>
      <c r="AF455">
        <f>IF('WetLitterbags placem_collection'!AB16="","",'WetLitterbags placem_collection'!AB16)</f>
        <v>28.4</v>
      </c>
      <c r="AG455">
        <f>IF('WetLitterbags placem_collection'!Z16="","",'WetLitterbags placem_collection'!Z16)</f>
        <v>42.4</v>
      </c>
      <c r="AH455" s="236" t="str">
        <f>IF('WetLitterbags placem_collection'!AA16="","",'WetLitterbags placem_collection'!AA16)</f>
        <v>M</v>
      </c>
      <c r="AI455">
        <f>IF('WetLitterbags placem_collection'!AC16="","",'WetLitterbags placem_collection'!AC16)</f>
        <v>0</v>
      </c>
      <c r="AJ455">
        <f>IFERROR(AVERAGE('Dry_Litterbag Placem_Collection'!O16,'Dry_Litterbag Placem_Collection'!R16),"")</f>
        <v>3.4</v>
      </c>
      <c r="AK455" s="261">
        <f>IFERROR(AVERAGE('Dry_Litterbag Placem_Collection'!N16,'Dry_Litterbag Placem_Collection'!Q16),"")</f>
        <v>25.55</v>
      </c>
      <c r="AL455" s="260">
        <f>INDEX([2]Coordinates!$B$2:$B$197,MATCH(I455,[2]Coordinates!$J$2:$J$197,0))</f>
        <v>-3.397854986</v>
      </c>
      <c r="AM455" s="260">
        <f>INDEX([2]Coordinates!$C$2:$C$197,MATCH(I455,[2]Coordinates!$J$2:$J$197,0))</f>
        <v>34.836874010000002</v>
      </c>
      <c r="AN455" s="260" t="str">
        <f>IF(ISNUMBER(SEARCH("C", 'Dry_Litterbag Placem_Collection'!U16)),"YES","NO")</f>
        <v>NO</v>
      </c>
      <c r="AO455" s="260" t="str">
        <f>IF(ISNUMBER(SEARCH("H", 'Dry_Litterbag Placem_Collection'!U16)),"YES","NO")</f>
        <v>NO</v>
      </c>
      <c r="AP455" s="260" t="str">
        <f>IF(ISNUMBER(SEARCH("R", 'Dry_Litterbag Placem_Collection'!U16)),"YES","NO")</f>
        <v>YES</v>
      </c>
    </row>
    <row r="456" spans="1:42" ht="15" customHeight="1">
      <c r="A456" t="s">
        <v>3248</v>
      </c>
      <c r="B456" s="252" t="s">
        <v>2643</v>
      </c>
      <c r="C456" s="253">
        <f>'Dry_Litterbag Placem_Collection'!A17</f>
        <v>15</v>
      </c>
      <c r="D456" s="253" t="str">
        <f>'Dry_Litterbag Placem_Collection'!B17</f>
        <v>Makao</v>
      </c>
      <c r="E456" s="253" t="s">
        <v>2643</v>
      </c>
      <c r="F456" s="253" t="s">
        <v>2644</v>
      </c>
      <c r="G456" s="253">
        <v>2</v>
      </c>
      <c r="H456" s="253" t="s">
        <v>3103</v>
      </c>
      <c r="I456" s="254" t="str">
        <f>'Dry_Litterbag Placem_Collection'!C17</f>
        <v>Dry_Ag2_T7</v>
      </c>
      <c r="J456" s="263" t="s">
        <v>2932</v>
      </c>
      <c r="K456" s="256" t="s">
        <v>1147</v>
      </c>
      <c r="L456" s="253" t="str">
        <f>IF(ISBLANK('Dry_Litterbag Placem_Collection'!L17),"","G"&amp;""&amp;'Dry_Litterbag Placem_Collection'!L17)</f>
        <v>G630</v>
      </c>
      <c r="M456" s="257">
        <f>IFERROR(INDEX('Green_rooibos initial weight'!$C$5:$C$2000,MATCH(L456, 'Green_rooibos initial weight'!$A$5:$A$2000,0)),"")</f>
        <v>2.12</v>
      </c>
      <c r="N456" s="257">
        <f>IFERROR(M456-(TBIcalc!$Q$9+TBIcalc!$Q$10),"")</f>
        <v>1.8702000000000001</v>
      </c>
      <c r="O456" s="378">
        <f>AVERAGE(Ashed_controlls!$K$2:$K$11)</f>
        <v>5.5147656768714146</v>
      </c>
      <c r="P456" s="257">
        <f t="shared" si="36"/>
        <v>1.7670628523111509</v>
      </c>
      <c r="Q456" s="257">
        <f>IFERROR(INDEX('Both teabags AfterDry'!$D$2:$D$2000,MATCH(L456,'Both teabags AfterDry'!$A$2:$A$2000,0)),"")</f>
        <v>1.8631</v>
      </c>
      <c r="R456" s="257">
        <f>IFERROR(IF(Q456&gt;0,Q456-(TBIcalc!$Q$9),""),"")</f>
        <v>1.7124999999999999</v>
      </c>
      <c r="S456" s="268">
        <f>IFERROR(INDEX('Ashed teabags dry'!$K$2:$K$2000,MATCH(L456,'Ashed teabags dry'!$A$2:$A$2000,0)),"")</f>
        <v>6.134371957156727</v>
      </c>
      <c r="T456" s="268">
        <f t="shared" si="37"/>
        <v>1.607448880233691</v>
      </c>
      <c r="U456" s="258">
        <f>IF('Dry_Litterbag Placem_Collection'!E17="","",'Dry_Litterbag Placem_Collection'!E17)</f>
        <v>42938</v>
      </c>
      <c r="V456" s="258">
        <f>IF('Dry_Litterbag Placem_Collection'!G17="","",'Dry_Litterbag Placem_Collection'!G17)</f>
        <v>43007</v>
      </c>
      <c r="W456" s="259">
        <f t="shared" si="35"/>
        <v>69</v>
      </c>
      <c r="X456" s="257">
        <f t="shared" si="38"/>
        <v>0.15770000000000017</v>
      </c>
      <c r="Y456" s="257">
        <f t="shared" si="39"/>
        <v>0.15961397207745986</v>
      </c>
      <c r="Z456" s="261">
        <f>IFERROR(INDEX([3]Rainfall_Dry!$O$2:$O$217,MATCH(C456, [3]Rainfall_Dry!$A$2:$A$217,0)),"")</f>
        <v>6.900000125</v>
      </c>
      <c r="AA456" s="250">
        <v>21.13063730679653</v>
      </c>
      <c r="AB456" s="250">
        <v>3.0912555579081076</v>
      </c>
      <c r="AC456" s="250">
        <v>75.778107135295357</v>
      </c>
      <c r="AD456" s="251" t="s">
        <v>2651</v>
      </c>
      <c r="AE456" s="250">
        <v>6.4613109906357797</v>
      </c>
      <c r="AF456">
        <f>IF('WetLitterbags placem_collection'!AB17="","",'WetLitterbags placem_collection'!AB17)</f>
        <v>15.8</v>
      </c>
      <c r="AG456">
        <f>IF('WetLitterbags placem_collection'!Z17="","",'WetLitterbags placem_collection'!Z17)</f>
        <v>30.4</v>
      </c>
      <c r="AH456" s="236" t="str">
        <f>IF('WetLitterbags placem_collection'!AA17="","",'WetLitterbags placem_collection'!AA17)</f>
        <v>M</v>
      </c>
      <c r="AI456">
        <f>IF('WetLitterbags placem_collection'!AC17="","",'WetLitterbags placem_collection'!AC17)</f>
        <v>0</v>
      </c>
      <c r="AJ456">
        <f>IFERROR(AVERAGE('Dry_Litterbag Placem_Collection'!O17,'Dry_Litterbag Placem_Collection'!R17),"")</f>
        <v>3.0999999999999996</v>
      </c>
      <c r="AK456" s="261">
        <f>IFERROR(AVERAGE('Dry_Litterbag Placem_Collection'!N17,'Dry_Litterbag Placem_Collection'!Q17),"")</f>
        <v>28</v>
      </c>
      <c r="AL456" s="260">
        <f>INDEX([2]Coordinates!$B$2:$B$197,MATCH(I456,[2]Coordinates!$J$2:$J$197,0))</f>
        <v>-3.3978060349999999</v>
      </c>
      <c r="AM456" s="260">
        <f>INDEX([2]Coordinates!$C$2:$C$197,MATCH(I456,[2]Coordinates!$J$2:$J$197,0))</f>
        <v>34.837023960000003</v>
      </c>
      <c r="AN456" s="260" t="str">
        <f>IF(ISNUMBER(SEARCH("C", 'Dry_Litterbag Placem_Collection'!U17)),"YES","NO")</f>
        <v>NO</v>
      </c>
      <c r="AO456" s="260" t="str">
        <f>IF(ISNUMBER(SEARCH("H", 'Dry_Litterbag Placem_Collection'!U17)),"YES","NO")</f>
        <v>NO</v>
      </c>
      <c r="AP456" s="260" t="str">
        <f>IF(ISNUMBER(SEARCH("R", 'Dry_Litterbag Placem_Collection'!U17)),"YES","NO")</f>
        <v>NO</v>
      </c>
    </row>
    <row r="457" spans="1:42" ht="15" customHeight="1">
      <c r="A457" t="s">
        <v>3248</v>
      </c>
      <c r="B457" s="252" t="s">
        <v>2643</v>
      </c>
      <c r="C457" s="253">
        <f>'Dry_Litterbag Placem_Collection'!A18</f>
        <v>16</v>
      </c>
      <c r="D457" s="253" t="str">
        <f>'Dry_Litterbag Placem_Collection'!B18</f>
        <v>Makao</v>
      </c>
      <c r="E457" s="253" t="s">
        <v>2643</v>
      </c>
      <c r="F457" s="253" t="s">
        <v>2644</v>
      </c>
      <c r="G457" s="253">
        <v>2</v>
      </c>
      <c r="H457" s="253" t="s">
        <v>3103</v>
      </c>
      <c r="I457" s="254" t="str">
        <f>'Dry_Litterbag Placem_Collection'!C18</f>
        <v>Dry_Ag2_T8</v>
      </c>
      <c r="J457" s="263" t="s">
        <v>2932</v>
      </c>
      <c r="K457" s="256" t="s">
        <v>1147</v>
      </c>
      <c r="L457" s="253" t="str">
        <f>IF(ISBLANK('Dry_Litterbag Placem_Collection'!L18),"","G"&amp;""&amp;'Dry_Litterbag Placem_Collection'!L18)</f>
        <v>G662</v>
      </c>
      <c r="M457" s="257">
        <f>IFERROR(INDEX('Green_rooibos initial weight'!$C$5:$C$2000,MATCH(L457, 'Green_rooibos initial weight'!$A$5:$A$2000,0)),"")</f>
        <v>2.1349999999999998</v>
      </c>
      <c r="N457" s="257">
        <f>IFERROR(M457-(TBIcalc!$Q$9+TBIcalc!$Q$10),"")</f>
        <v>1.8851999999999998</v>
      </c>
      <c r="O457" s="378">
        <f>AVERAGE(Ashed_controlls!$K$2:$K$11)</f>
        <v>5.5147656768714146</v>
      </c>
      <c r="P457" s="257">
        <f t="shared" si="36"/>
        <v>1.7812356374596199</v>
      </c>
      <c r="Q457" s="257" t="str">
        <f>IFERROR(INDEX('Both teabags AfterDry'!$D$2:$D$2000,MATCH(L457,'Both teabags AfterDry'!$A$2:$A$2000,0)),"")</f>
        <v/>
      </c>
      <c r="R457" s="257" t="str">
        <f>IFERROR(IF(Q457&gt;0,Q457-(TBIcalc!$Q$9),""),"")</f>
        <v/>
      </c>
      <c r="S457" s="268" t="str">
        <f>IFERROR(INDEX('Ashed teabags dry'!$K$2:$K$2000,MATCH(L457,'Ashed teabags dry'!$A$2:$A$2000,0)),"")</f>
        <v/>
      </c>
      <c r="T457" s="268" t="str">
        <f t="shared" si="37"/>
        <v/>
      </c>
      <c r="U457" s="258">
        <f>IF('Dry_Litterbag Placem_Collection'!E18="","",'Dry_Litterbag Placem_Collection'!E18)</f>
        <v>42938</v>
      </c>
      <c r="V457" s="258">
        <f>IF('Dry_Litterbag Placem_Collection'!G18="","",'Dry_Litterbag Placem_Collection'!G18)</f>
        <v>43007</v>
      </c>
      <c r="W457" s="259">
        <f t="shared" si="35"/>
        <v>69</v>
      </c>
      <c r="X457" s="257" t="str">
        <f t="shared" si="38"/>
        <v/>
      </c>
      <c r="Y457" s="257" t="str">
        <f t="shared" si="39"/>
        <v/>
      </c>
      <c r="Z457" s="261">
        <f>IFERROR(INDEX([3]Rainfall_Dry!$O$2:$O$217,MATCH(C457, [3]Rainfall_Dry!$A$2:$A$217,0)),"")</f>
        <v>6.900000125</v>
      </c>
      <c r="AA457" s="250">
        <v>21.13063730679653</v>
      </c>
      <c r="AB457" s="250">
        <v>3.0912555579081076</v>
      </c>
      <c r="AC457" s="250">
        <v>75.778107135295357</v>
      </c>
      <c r="AD457" s="251" t="s">
        <v>2651</v>
      </c>
      <c r="AE457" s="250">
        <v>7.4613109906357797</v>
      </c>
      <c r="AF457">
        <f>IF('WetLitterbags placem_collection'!AB18="","",'WetLitterbags placem_collection'!AB18)</f>
        <v>8</v>
      </c>
      <c r="AG457">
        <f>IF('WetLitterbags placem_collection'!Z18="","",'WetLitterbags placem_collection'!Z18)</f>
        <v>12.4</v>
      </c>
      <c r="AH457" s="236" t="str">
        <f>IF('WetLitterbags placem_collection'!AA18="","",'WetLitterbags placem_collection'!AA18)</f>
        <v>M</v>
      </c>
      <c r="AI457">
        <f>IF('WetLitterbags placem_collection'!AC18="","",'WetLitterbags placem_collection'!AC18)</f>
        <v>0</v>
      </c>
      <c r="AJ457">
        <f>IFERROR(AVERAGE('Dry_Litterbag Placem_Collection'!O18,'Dry_Litterbag Placem_Collection'!R18),"")</f>
        <v>9.1999999999999993</v>
      </c>
      <c r="AK457" s="261">
        <f>IFERROR(AVERAGE('Dry_Litterbag Placem_Collection'!N18,'Dry_Litterbag Placem_Collection'!Q18),"")</f>
        <v>27.049999999999997</v>
      </c>
      <c r="AL457" s="260">
        <f>INDEX([2]Coordinates!$B$2:$B$197,MATCH(I457,[2]Coordinates!$J$2:$J$197,0))</f>
        <v>-3.3977669760000002</v>
      </c>
      <c r="AM457" s="260">
        <f>INDEX([2]Coordinates!$C$2:$C$197,MATCH(I457,[2]Coordinates!$J$2:$J$197,0))</f>
        <v>34.837181039999997</v>
      </c>
      <c r="AN457" s="260" t="str">
        <f>IF(ISNUMBER(SEARCH("C", 'Dry_Litterbag Placem_Collection'!U18)),"YES","NO")</f>
        <v>NO</v>
      </c>
      <c r="AO457" s="260" t="str">
        <f>IF(ISNUMBER(SEARCH("H", 'Dry_Litterbag Placem_Collection'!U18)),"YES","NO")</f>
        <v>NO</v>
      </c>
      <c r="AP457" s="260" t="str">
        <f>IF(ISNUMBER(SEARCH("R", 'Dry_Litterbag Placem_Collection'!U18)),"YES","NO")</f>
        <v>YES</v>
      </c>
    </row>
    <row r="458" spans="1:42" ht="15" customHeight="1">
      <c r="A458" t="s">
        <v>3248</v>
      </c>
      <c r="B458" s="252" t="s">
        <v>2643</v>
      </c>
      <c r="C458" s="253">
        <f>'Dry_Litterbag Placem_Collection'!A19</f>
        <v>17</v>
      </c>
      <c r="D458" s="253" t="str">
        <f>'Dry_Litterbag Placem_Collection'!B19</f>
        <v>Makao</v>
      </c>
      <c r="E458" s="253" t="s">
        <v>2643</v>
      </c>
      <c r="F458" s="253" t="s">
        <v>2644</v>
      </c>
      <c r="G458" s="253">
        <v>3</v>
      </c>
      <c r="H458" s="253" t="s">
        <v>3104</v>
      </c>
      <c r="I458" s="254" t="str">
        <f>'Dry_Litterbag Placem_Collection'!C19</f>
        <v>Dry_Ag3_T1</v>
      </c>
      <c r="J458" s="263" t="s">
        <v>2932</v>
      </c>
      <c r="K458" s="256" t="s">
        <v>1147</v>
      </c>
      <c r="L458" s="253" t="str">
        <f>IF(ISBLANK('Dry_Litterbag Placem_Collection'!L19),"","G"&amp;""&amp;'Dry_Litterbag Placem_Collection'!L19)</f>
        <v>G349</v>
      </c>
      <c r="M458" s="257">
        <f>IFERROR(INDEX('Green_rooibos initial weight'!$C$5:$C$2000,MATCH(L458, 'Green_rooibos initial weight'!$A$5:$A$2000,0)),"")</f>
        <v>1.9450000000000001</v>
      </c>
      <c r="N458" s="257">
        <f>IFERROR(M458-(TBIcalc!$Q$9+TBIcalc!$Q$10),"")</f>
        <v>1.6952</v>
      </c>
      <c r="O458" s="378">
        <f>AVERAGE(Ashed_controlls!$K$2:$K$11)</f>
        <v>5.5147656768714146</v>
      </c>
      <c r="P458" s="257">
        <f t="shared" si="36"/>
        <v>1.6017136922456758</v>
      </c>
      <c r="Q458" s="257">
        <f>IFERROR(INDEX('Both teabags AfterDry'!$D$2:$D$2000,MATCH(L458,'Both teabags AfterDry'!$A$2:$A$2000,0)),"")</f>
        <v>1.7968</v>
      </c>
      <c r="R458" s="257">
        <f>IFERROR(IF(Q458&gt;0,Q458-(TBIcalc!$Q$9),""),"")</f>
        <v>1.6461999999999999</v>
      </c>
      <c r="S458" s="268">
        <f>IFERROR(INDEX('Ashed teabags dry'!$K$2:$K$2000,MATCH(L458,'Ashed teabags dry'!$A$2:$A$2000,0)),"")</f>
        <v>5.923344947734277</v>
      </c>
      <c r="T458" s="268">
        <f t="shared" si="37"/>
        <v>1.5486898954703983</v>
      </c>
      <c r="U458" s="258">
        <f>IF('Dry_Litterbag Placem_Collection'!E19="","",'Dry_Litterbag Placem_Collection'!E19)</f>
        <v>42936</v>
      </c>
      <c r="V458" s="258">
        <f>IF('Dry_Litterbag Placem_Collection'!G19="","",'Dry_Litterbag Placem_Collection'!G19)</f>
        <v>43007</v>
      </c>
      <c r="W458" s="259">
        <f t="shared" si="35"/>
        <v>71</v>
      </c>
      <c r="X458" s="257">
        <f t="shared" si="38"/>
        <v>4.9000000000000155E-2</v>
      </c>
      <c r="Y458" s="257">
        <f t="shared" si="39"/>
        <v>5.3023796775277576E-2</v>
      </c>
      <c r="Z458" s="261">
        <f>IFERROR(INDEX([3]Rainfall_Dry!$O$2:$O$217,MATCH(C458, [3]Rainfall_Dry!$A$2:$A$217,0)),"")</f>
        <v>6.900000125</v>
      </c>
      <c r="AA458" s="250">
        <v>54.080969906906262</v>
      </c>
      <c r="AB458" s="250">
        <v>21.264484651351896</v>
      </c>
      <c r="AC458" s="250">
        <v>24.654545441741845</v>
      </c>
      <c r="AD458" s="251" t="s">
        <v>2654</v>
      </c>
      <c r="AE458" s="250">
        <v>1.8433218334154755</v>
      </c>
      <c r="AF458" t="str">
        <f>IF('WetLitterbags placem_collection'!AB19="","",'WetLitterbags placem_collection'!AB19)</f>
        <v/>
      </c>
      <c r="AG458" t="str">
        <f>IF('WetLitterbags placem_collection'!Z19="","",'WetLitterbags placem_collection'!Z19)</f>
        <v/>
      </c>
      <c r="AH458" s="236" t="str">
        <f>IF('WetLitterbags placem_collection'!AA19="","",'WetLitterbags placem_collection'!AA19)</f>
        <v/>
      </c>
      <c r="AI458" t="str">
        <f>IF('WetLitterbags placem_collection'!AC19="","",'WetLitterbags placem_collection'!AC19)</f>
        <v/>
      </c>
      <c r="AJ458">
        <f>IFERROR(AVERAGE('Dry_Litterbag Placem_Collection'!O19,'Dry_Litterbag Placem_Collection'!R19),"")</f>
        <v>12.9</v>
      </c>
      <c r="AK458" s="261">
        <f>IFERROR(AVERAGE('Dry_Litterbag Placem_Collection'!N19,'Dry_Litterbag Placem_Collection'!Q19),"")</f>
        <v>26.2</v>
      </c>
      <c r="AL458" s="260">
        <f>INDEX([2]Coordinates!$B$2:$B$197,MATCH(I458,[2]Coordinates!$J$2:$J$197,0))</f>
        <v>-3.3854090330000002</v>
      </c>
      <c r="AM458" s="260">
        <f>INDEX([2]Coordinates!$C$2:$C$197,MATCH(I458,[2]Coordinates!$J$2:$J$197,0))</f>
        <v>34.818901029999999</v>
      </c>
      <c r="AN458" s="260" t="str">
        <f>IF(ISNUMBER(SEARCH("C", 'Dry_Litterbag Placem_Collection'!U19)),"YES","NO")</f>
        <v>NO</v>
      </c>
      <c r="AO458" s="260" t="str">
        <f>IF(ISNUMBER(SEARCH("H", 'Dry_Litterbag Placem_Collection'!U19)),"YES","NO")</f>
        <v>NO</v>
      </c>
      <c r="AP458" s="260" t="str">
        <f>IF(ISNUMBER(SEARCH("R", 'Dry_Litterbag Placem_Collection'!U19)),"YES","NO")</f>
        <v>NO</v>
      </c>
    </row>
    <row r="459" spans="1:42" ht="15" customHeight="1">
      <c r="A459" t="s">
        <v>3248</v>
      </c>
      <c r="B459" s="252" t="s">
        <v>2643</v>
      </c>
      <c r="C459" s="253">
        <f>'Dry_Litterbag Placem_Collection'!A20</f>
        <v>18</v>
      </c>
      <c r="D459" s="253" t="str">
        <f>'Dry_Litterbag Placem_Collection'!B20</f>
        <v>Makao</v>
      </c>
      <c r="E459" s="253" t="s">
        <v>2643</v>
      </c>
      <c r="F459" s="253" t="s">
        <v>2644</v>
      </c>
      <c r="G459" s="253">
        <v>3</v>
      </c>
      <c r="H459" s="253" t="s">
        <v>3104</v>
      </c>
      <c r="I459" s="254" t="str">
        <f>'Dry_Litterbag Placem_Collection'!C20</f>
        <v>Dry_Ag3_T2</v>
      </c>
      <c r="J459" s="263" t="s">
        <v>2932</v>
      </c>
      <c r="K459" s="256" t="s">
        <v>1147</v>
      </c>
      <c r="L459" s="253" t="str">
        <f>IF(ISBLANK('Dry_Litterbag Placem_Collection'!L20),"","G"&amp;""&amp;'Dry_Litterbag Placem_Collection'!L20)</f>
        <v>G113</v>
      </c>
      <c r="M459" s="257">
        <f>IFERROR(INDEX('Green_rooibos initial weight'!$C$5:$C$2000,MATCH(L459, 'Green_rooibos initial weight'!$A$5:$A$2000,0)),"")</f>
        <v>2.0539999999999998</v>
      </c>
      <c r="N459" s="257">
        <f>IFERROR(M459-(TBIcalc!$Q$9+TBIcalc!$Q$10),"")</f>
        <v>1.8041999999999998</v>
      </c>
      <c r="O459" s="378">
        <f>AVERAGE(Ashed_controlls!$K$2:$K$11)</f>
        <v>5.5147656768714146</v>
      </c>
      <c r="P459" s="257">
        <f t="shared" si="36"/>
        <v>1.7047025976578858</v>
      </c>
      <c r="Q459" s="257">
        <f>IFERROR(INDEX('Both teabags AfterDry'!$D$2:$D$2000,MATCH(L459,'Both teabags AfterDry'!$A$2:$A$2000,0)),"")</f>
        <v>1.8204</v>
      </c>
      <c r="R459" s="257">
        <f>IFERROR(IF(Q459&gt;0,Q459-(TBIcalc!$Q$9),""),"")</f>
        <v>1.6698</v>
      </c>
      <c r="S459" s="268">
        <f>IFERROR(INDEX('Ashed teabags dry'!$K$2:$K$2000,MATCH(L459,'Ashed teabags dry'!$A$2:$A$2000,0)),"")</f>
        <v>6.7017711823853698</v>
      </c>
      <c r="T459" s="268">
        <f t="shared" si="37"/>
        <v>1.557893824796529</v>
      </c>
      <c r="U459" s="258">
        <f>IF('Dry_Litterbag Placem_Collection'!E20="","",'Dry_Litterbag Placem_Collection'!E20)</f>
        <v>42936</v>
      </c>
      <c r="V459" s="258">
        <f>IF('Dry_Litterbag Placem_Collection'!G20="","",'Dry_Litterbag Placem_Collection'!G20)</f>
        <v>43007</v>
      </c>
      <c r="W459" s="259">
        <f t="shared" si="35"/>
        <v>71</v>
      </c>
      <c r="X459" s="257">
        <f t="shared" si="38"/>
        <v>0.13439999999999985</v>
      </c>
      <c r="Y459" s="257">
        <f t="shared" si="39"/>
        <v>0.14680877286135674</v>
      </c>
      <c r="Z459" s="261">
        <f>IFERROR(INDEX([3]Rainfall_Dry!$O$2:$O$217,MATCH(C459, [3]Rainfall_Dry!$A$2:$A$217,0)),"")</f>
        <v>6.900000125</v>
      </c>
      <c r="AA459" s="250">
        <v>54.080969906906262</v>
      </c>
      <c r="AB459" s="250">
        <v>21.264484651351896</v>
      </c>
      <c r="AC459" s="250">
        <v>24.654545441741845</v>
      </c>
      <c r="AD459" s="251" t="s">
        <v>2654</v>
      </c>
      <c r="AE459" s="250">
        <v>2.8433218334154802</v>
      </c>
      <c r="AF459" t="str">
        <f>IF('WetLitterbags placem_collection'!AB20="","",'WetLitterbags placem_collection'!AB20)</f>
        <v/>
      </c>
      <c r="AG459" t="str">
        <f>IF('WetLitterbags placem_collection'!Z20="","",'WetLitterbags placem_collection'!Z20)</f>
        <v/>
      </c>
      <c r="AH459" s="236" t="str">
        <f>IF('WetLitterbags placem_collection'!AA20="","",'WetLitterbags placem_collection'!AA20)</f>
        <v/>
      </c>
      <c r="AI459" t="str">
        <f>IF('WetLitterbags placem_collection'!AC20="","",'WetLitterbags placem_collection'!AC20)</f>
        <v/>
      </c>
      <c r="AJ459">
        <f>IFERROR(AVERAGE('Dry_Litterbag Placem_Collection'!O20,'Dry_Litterbag Placem_Collection'!R20),"")</f>
        <v>11.15</v>
      </c>
      <c r="AK459" s="261">
        <f>IFERROR(AVERAGE('Dry_Litterbag Placem_Collection'!N20,'Dry_Litterbag Placem_Collection'!Q20),"")</f>
        <v>26.1</v>
      </c>
      <c r="AL459" s="260">
        <f>INDEX([2]Coordinates!$B$2:$B$197,MATCH(I459,[2]Coordinates!$J$2:$J$197,0))</f>
        <v>-3.385375002</v>
      </c>
      <c r="AM459" s="260">
        <f>INDEX([2]Coordinates!$C$2:$C$197,MATCH(I459,[2]Coordinates!$J$2:$J$197,0))</f>
        <v>34.818939999999998</v>
      </c>
      <c r="AN459" s="260" t="str">
        <f>IF(ISNUMBER(SEARCH("C", 'Dry_Litterbag Placem_Collection'!U20)),"YES","NO")</f>
        <v>NO</v>
      </c>
      <c r="AO459" s="260" t="str">
        <f>IF(ISNUMBER(SEARCH("H", 'Dry_Litterbag Placem_Collection'!U20)),"YES","NO")</f>
        <v>NO</v>
      </c>
      <c r="AP459" s="260" t="str">
        <f>IF(ISNUMBER(SEARCH("R", 'Dry_Litterbag Placem_Collection'!U20)),"YES","NO")</f>
        <v>NO</v>
      </c>
    </row>
    <row r="460" spans="1:42" ht="15" customHeight="1">
      <c r="A460" t="s">
        <v>3248</v>
      </c>
      <c r="B460" s="252" t="s">
        <v>2643</v>
      </c>
      <c r="C460" s="253">
        <f>'Dry_Litterbag Placem_Collection'!A21</f>
        <v>19</v>
      </c>
      <c r="D460" s="253" t="str">
        <f>'Dry_Litterbag Placem_Collection'!B21</f>
        <v>Makao</v>
      </c>
      <c r="E460" s="253" t="s">
        <v>2643</v>
      </c>
      <c r="F460" s="253" t="s">
        <v>2644</v>
      </c>
      <c r="G460" s="253">
        <v>3</v>
      </c>
      <c r="H460" s="253" t="s">
        <v>3104</v>
      </c>
      <c r="I460" s="254" t="str">
        <f>'Dry_Litterbag Placem_Collection'!C21</f>
        <v>Dry_Ag3_T3</v>
      </c>
      <c r="J460" s="263" t="s">
        <v>2932</v>
      </c>
      <c r="K460" s="256" t="s">
        <v>1147</v>
      </c>
      <c r="L460" s="253" t="str">
        <f>IF(ISBLANK('Dry_Litterbag Placem_Collection'!L21),"","G"&amp;""&amp;'Dry_Litterbag Placem_Collection'!L21)</f>
        <v>G394</v>
      </c>
      <c r="M460" s="257">
        <f>IFERROR(INDEX('Green_rooibos initial weight'!$C$5:$C$2000,MATCH(L460, 'Green_rooibos initial weight'!$A$5:$A$2000,0)),"")</f>
        <v>2.056</v>
      </c>
      <c r="N460" s="257">
        <f>IFERROR(M460-(TBIcalc!$Q$9+TBIcalc!$Q$10),"")</f>
        <v>1.8062</v>
      </c>
      <c r="O460" s="378">
        <f>AVERAGE(Ashed_controlls!$K$2:$K$11)</f>
        <v>5.5147656768714146</v>
      </c>
      <c r="P460" s="257">
        <f t="shared" si="36"/>
        <v>1.7065923023443486</v>
      </c>
      <c r="Q460" s="257">
        <f>IFERROR(INDEX('Both teabags AfterDry'!$D$2:$D$2000,MATCH(L460,'Both teabags AfterDry'!$A$2:$A$2000,0)),"")</f>
        <v>1.8532999999999999</v>
      </c>
      <c r="R460" s="257">
        <f>IFERROR(IF(Q460&gt;0,Q460-(TBIcalc!$Q$9),""),"")</f>
        <v>1.7026999999999999</v>
      </c>
      <c r="S460" s="268">
        <f>IFERROR(INDEX('Ashed teabags dry'!$K$2:$K$2000,MATCH(L460,'Ashed teabags dry'!$A$2:$A$2000,0)),"")</f>
        <v>6.2286689419790493</v>
      </c>
      <c r="T460" s="268">
        <f t="shared" si="37"/>
        <v>1.5966444539249227</v>
      </c>
      <c r="U460" s="258">
        <f>IF('Dry_Litterbag Placem_Collection'!E21="","",'Dry_Litterbag Placem_Collection'!E21)</f>
        <v>42936</v>
      </c>
      <c r="V460" s="258">
        <f>IF('Dry_Litterbag Placem_Collection'!G21="","",'Dry_Litterbag Placem_Collection'!G21)</f>
        <v>43007</v>
      </c>
      <c r="W460" s="259">
        <f t="shared" si="35"/>
        <v>71</v>
      </c>
      <c r="X460" s="257">
        <f t="shared" si="38"/>
        <v>0.10350000000000015</v>
      </c>
      <c r="Y460" s="257">
        <f t="shared" si="39"/>
        <v>0.10994784841942584</v>
      </c>
      <c r="Z460" s="261">
        <f>IFERROR(INDEX([3]Rainfall_Dry!$O$2:$O$217,MATCH(C460, [3]Rainfall_Dry!$A$2:$A$217,0)),"")</f>
        <v>6.900000125</v>
      </c>
      <c r="AA460" s="250">
        <v>54.080969906906262</v>
      </c>
      <c r="AB460" s="250">
        <v>21.264484651351896</v>
      </c>
      <c r="AC460" s="250">
        <v>24.654545441741845</v>
      </c>
      <c r="AD460" s="251" t="s">
        <v>2654</v>
      </c>
      <c r="AE460" s="250">
        <v>3.8433218334154802</v>
      </c>
      <c r="AF460" t="str">
        <f>IF('WetLitterbags placem_collection'!AB21="","",'WetLitterbags placem_collection'!AB21)</f>
        <v/>
      </c>
      <c r="AG460" t="str">
        <f>IF('WetLitterbags placem_collection'!Z21="","",'WetLitterbags placem_collection'!Z21)</f>
        <v/>
      </c>
      <c r="AH460" s="236" t="str">
        <f>IF('WetLitterbags placem_collection'!AA21="","",'WetLitterbags placem_collection'!AA21)</f>
        <v/>
      </c>
      <c r="AI460" t="str">
        <f>IF('WetLitterbags placem_collection'!AC21="","",'WetLitterbags placem_collection'!AC21)</f>
        <v/>
      </c>
      <c r="AJ460">
        <f>IFERROR(AVERAGE('Dry_Litterbag Placem_Collection'!O21,'Dry_Litterbag Placem_Collection'!R21),"")</f>
        <v>15.75</v>
      </c>
      <c r="AK460" s="261">
        <f>IFERROR(AVERAGE('Dry_Litterbag Placem_Collection'!N21,'Dry_Litterbag Placem_Collection'!Q21),"")</f>
        <v>25.700000000000003</v>
      </c>
      <c r="AL460" s="260">
        <f>INDEX([2]Coordinates!$B$2:$B$197,MATCH(I460,[2]Coordinates!$J$2:$J$197,0))</f>
        <v>-3.3853589930000001</v>
      </c>
      <c r="AM460" s="260">
        <f>INDEX([2]Coordinates!$C$2:$C$197,MATCH(I460,[2]Coordinates!$J$2:$J$197,0))</f>
        <v>34.818991969999999</v>
      </c>
      <c r="AN460" s="260" t="str">
        <f>IF(ISNUMBER(SEARCH("C", 'Dry_Litterbag Placem_Collection'!U21)),"YES","NO")</f>
        <v>NO</v>
      </c>
      <c r="AO460" s="260" t="str">
        <f>IF(ISNUMBER(SEARCH("H", 'Dry_Litterbag Placem_Collection'!U21)),"YES","NO")</f>
        <v>NO</v>
      </c>
      <c r="AP460" s="260" t="str">
        <f>IF(ISNUMBER(SEARCH("R", 'Dry_Litterbag Placem_Collection'!U21)),"YES","NO")</f>
        <v>NO</v>
      </c>
    </row>
    <row r="461" spans="1:42" ht="15" customHeight="1">
      <c r="A461" t="s">
        <v>3248</v>
      </c>
      <c r="B461" s="252" t="s">
        <v>2643</v>
      </c>
      <c r="C461" s="253">
        <f>'Dry_Litterbag Placem_Collection'!A22</f>
        <v>20</v>
      </c>
      <c r="D461" s="253" t="str">
        <f>'Dry_Litterbag Placem_Collection'!B22</f>
        <v>Makao</v>
      </c>
      <c r="E461" s="253" t="s">
        <v>2643</v>
      </c>
      <c r="F461" s="253" t="s">
        <v>2644</v>
      </c>
      <c r="G461" s="253">
        <v>3</v>
      </c>
      <c r="H461" s="253" t="s">
        <v>3104</v>
      </c>
      <c r="I461" s="254" t="str">
        <f>'Dry_Litterbag Placem_Collection'!C22</f>
        <v>Dry_Ag3_T4</v>
      </c>
      <c r="J461" s="263" t="s">
        <v>2932</v>
      </c>
      <c r="K461" s="256" t="s">
        <v>1147</v>
      </c>
      <c r="L461" s="253" t="str">
        <f>IF(ISBLANK('Dry_Litterbag Placem_Collection'!L22),"","G"&amp;""&amp;'Dry_Litterbag Placem_Collection'!L22)</f>
        <v>G79</v>
      </c>
      <c r="M461" s="257">
        <f>IFERROR(INDEX('Green_rooibos initial weight'!$C$5:$C$2000,MATCH(L461, 'Green_rooibos initial weight'!$A$5:$A$2000,0)),"")</f>
        <v>2.1120000000000001</v>
      </c>
      <c r="N461" s="257">
        <f>IFERROR(M461-(TBIcalc!$Q$9+TBIcalc!$Q$10),"")</f>
        <v>1.8622000000000001</v>
      </c>
      <c r="O461" s="378">
        <f>AVERAGE(Ashed_controlls!$K$2:$K$11)</f>
        <v>5.5147656768714146</v>
      </c>
      <c r="P461" s="257">
        <f t="shared" si="36"/>
        <v>1.7595040335653005</v>
      </c>
      <c r="Q461" s="257">
        <f>IFERROR(INDEX('Both teabags AfterDry'!$D$2:$D$2000,MATCH(L461,'Both teabags AfterDry'!$A$2:$A$2000,0)),"")</f>
        <v>1.8559000000000001</v>
      </c>
      <c r="R461" s="257">
        <f>IFERROR(IF(Q461&gt;0,Q461-(TBIcalc!$Q$9),""),"")</f>
        <v>1.7053</v>
      </c>
      <c r="S461" s="268">
        <f>IFERROR(INDEX('Ashed teabags dry'!$K$2:$K$2000,MATCH(L461,'Ashed teabags dry'!$A$2:$A$2000,0)),"")</f>
        <v>6.4935064935060867</v>
      </c>
      <c r="T461" s="268">
        <f t="shared" si="37"/>
        <v>1.5945662337662407</v>
      </c>
      <c r="U461" s="258">
        <f>IF('Dry_Litterbag Placem_Collection'!E22="","",'Dry_Litterbag Placem_Collection'!E22)</f>
        <v>42936</v>
      </c>
      <c r="V461" s="258">
        <f>IF('Dry_Litterbag Placem_Collection'!G22="","",'Dry_Litterbag Placem_Collection'!G22)</f>
        <v>43007</v>
      </c>
      <c r="W461" s="259">
        <f t="shared" si="35"/>
        <v>71</v>
      </c>
      <c r="X461" s="257">
        <f t="shared" si="38"/>
        <v>0.15690000000000004</v>
      </c>
      <c r="Y461" s="257">
        <f t="shared" si="39"/>
        <v>0.16493779979905976</v>
      </c>
      <c r="Z461" s="261">
        <f>IFERROR(INDEX([3]Rainfall_Dry!$O$2:$O$217,MATCH(C461, [3]Rainfall_Dry!$A$2:$A$217,0)),"")</f>
        <v>6.900000125</v>
      </c>
      <c r="AA461" s="250">
        <v>54.080969906906262</v>
      </c>
      <c r="AB461" s="250">
        <v>21.264484651351896</v>
      </c>
      <c r="AC461" s="250">
        <v>24.654545441741845</v>
      </c>
      <c r="AD461" s="251" t="s">
        <v>2654</v>
      </c>
      <c r="AE461" s="250">
        <v>4.8433218334154802</v>
      </c>
      <c r="AF461" t="str">
        <f>IF('WetLitterbags placem_collection'!AB22="","",'WetLitterbags placem_collection'!AB22)</f>
        <v/>
      </c>
      <c r="AG461" t="str">
        <f>IF('WetLitterbags placem_collection'!Z22="","",'WetLitterbags placem_collection'!Z22)</f>
        <v/>
      </c>
      <c r="AH461" s="236" t="str">
        <f>IF('WetLitterbags placem_collection'!AA22="","",'WetLitterbags placem_collection'!AA22)</f>
        <v/>
      </c>
      <c r="AI461" t="str">
        <f>IF('WetLitterbags placem_collection'!AC22="","",'WetLitterbags placem_collection'!AC22)</f>
        <v/>
      </c>
      <c r="AJ461">
        <f>IFERROR(AVERAGE('Dry_Litterbag Placem_Collection'!O22,'Dry_Litterbag Placem_Collection'!R22),"")</f>
        <v>16</v>
      </c>
      <c r="AK461" s="261">
        <f>IFERROR(AVERAGE('Dry_Litterbag Placem_Collection'!N22,'Dry_Litterbag Placem_Collection'!Q22),"")</f>
        <v>26.3</v>
      </c>
      <c r="AL461" s="260">
        <f>INDEX([2]Coordinates!$B$2:$B$197,MATCH(I461,[2]Coordinates!$J$2:$J$197,0))</f>
        <v>-3.3853969629999998</v>
      </c>
      <c r="AM461" s="260">
        <f>INDEX([2]Coordinates!$C$2:$C$197,MATCH(I461,[2]Coordinates!$J$2:$J$197,0))</f>
        <v>34.818977969999999</v>
      </c>
      <c r="AN461" s="260" t="str">
        <f>IF(ISNUMBER(SEARCH("C", 'Dry_Litterbag Placem_Collection'!U22)),"YES","NO")</f>
        <v>NO</v>
      </c>
      <c r="AO461" s="260" t="str">
        <f>IF(ISNUMBER(SEARCH("H", 'Dry_Litterbag Placem_Collection'!U22)),"YES","NO")</f>
        <v>NO</v>
      </c>
      <c r="AP461" s="260" t="str">
        <f>IF(ISNUMBER(SEARCH("R", 'Dry_Litterbag Placem_Collection'!U22)),"YES","NO")</f>
        <v>NO</v>
      </c>
    </row>
    <row r="462" spans="1:42" ht="15" customHeight="1">
      <c r="A462" t="s">
        <v>3248</v>
      </c>
      <c r="B462" s="252" t="s">
        <v>2643</v>
      </c>
      <c r="C462" s="253">
        <f>'Dry_Litterbag Placem_Collection'!A23</f>
        <v>21</v>
      </c>
      <c r="D462" s="253" t="str">
        <f>'Dry_Litterbag Placem_Collection'!B23</f>
        <v>Makao</v>
      </c>
      <c r="E462" s="253" t="s">
        <v>2643</v>
      </c>
      <c r="F462" s="253" t="s">
        <v>2644</v>
      </c>
      <c r="G462" s="253">
        <v>3</v>
      </c>
      <c r="H462" s="253" t="s">
        <v>3104</v>
      </c>
      <c r="I462" s="254" t="str">
        <f>'Dry_Litterbag Placem_Collection'!C23</f>
        <v>Dry_Ag3_T5</v>
      </c>
      <c r="J462" s="263" t="s">
        <v>2932</v>
      </c>
      <c r="K462" s="256" t="s">
        <v>1147</v>
      </c>
      <c r="L462" s="253" t="str">
        <f>IF(ISBLANK('Dry_Litterbag Placem_Collection'!L23),"","G"&amp;""&amp;'Dry_Litterbag Placem_Collection'!L23)</f>
        <v>G488</v>
      </c>
      <c r="M462" s="257">
        <f>IFERROR(INDEX('Green_rooibos initial weight'!$C$5:$C$2000,MATCH(L462, 'Green_rooibos initial weight'!$A$5:$A$2000,0)),"")</f>
        <v>1.9910000000000001</v>
      </c>
      <c r="N462" s="257">
        <f>IFERROR(M462-(TBIcalc!$Q$9+TBIcalc!$Q$10),"")</f>
        <v>1.7412000000000001</v>
      </c>
      <c r="O462" s="378">
        <f>AVERAGE(Ashed_controlls!$K$2:$K$11)</f>
        <v>5.5147656768714146</v>
      </c>
      <c r="P462" s="257">
        <f t="shared" si="36"/>
        <v>1.645176900034315</v>
      </c>
      <c r="Q462" s="257" t="str">
        <f>IFERROR(INDEX('Both teabags AfterDry'!$D$2:$D$2000,MATCH(L462,'Both teabags AfterDry'!$A$2:$A$2000,0)),"")</f>
        <v/>
      </c>
      <c r="R462" s="257" t="str">
        <f>IFERROR(IF(Q462&gt;0,Q462-(TBIcalc!$Q$9),""),"")</f>
        <v/>
      </c>
      <c r="S462" s="268" t="str">
        <f>IFERROR(INDEX('Ashed teabags dry'!$K$2:$K$2000,MATCH(L462,'Ashed teabags dry'!$A$2:$A$2000,0)),"")</f>
        <v/>
      </c>
      <c r="T462" s="268" t="str">
        <f t="shared" si="37"/>
        <v/>
      </c>
      <c r="U462" s="258">
        <f>IF('Dry_Litterbag Placem_Collection'!E23="","",'Dry_Litterbag Placem_Collection'!E23)</f>
        <v>42936</v>
      </c>
      <c r="V462" s="258">
        <f>IF('Dry_Litterbag Placem_Collection'!G23="","",'Dry_Litterbag Placem_Collection'!G23)</f>
        <v>43007</v>
      </c>
      <c r="W462" s="259">
        <f t="shared" si="35"/>
        <v>71</v>
      </c>
      <c r="X462" s="257" t="str">
        <f t="shared" si="38"/>
        <v/>
      </c>
      <c r="Y462" s="257" t="str">
        <f t="shared" si="39"/>
        <v/>
      </c>
      <c r="Z462" s="261">
        <f>IFERROR(INDEX([3]Rainfall_Dry!$O$2:$O$217,MATCH(C462, [3]Rainfall_Dry!$A$2:$A$217,0)),"")</f>
        <v>6.900000125</v>
      </c>
      <c r="AA462" s="250">
        <v>54.080969906906262</v>
      </c>
      <c r="AB462" s="250">
        <v>21.264484651351896</v>
      </c>
      <c r="AC462" s="250">
        <v>24.654545441741845</v>
      </c>
      <c r="AD462" s="251" t="s">
        <v>2654</v>
      </c>
      <c r="AE462" s="250">
        <v>5.8433218334154802</v>
      </c>
      <c r="AF462" t="str">
        <f>IF('WetLitterbags placem_collection'!AB23="","",'WetLitterbags placem_collection'!AB23)</f>
        <v/>
      </c>
      <c r="AG462" t="str">
        <f>IF('WetLitterbags placem_collection'!Z23="","",'WetLitterbags placem_collection'!Z23)</f>
        <v/>
      </c>
      <c r="AH462" s="236" t="str">
        <f>IF('WetLitterbags placem_collection'!AA23="","",'WetLitterbags placem_collection'!AA23)</f>
        <v/>
      </c>
      <c r="AI462" t="str">
        <f>IF('WetLitterbags placem_collection'!AC23="","",'WetLitterbags placem_collection'!AC23)</f>
        <v/>
      </c>
      <c r="AJ462">
        <f>IFERROR(AVERAGE('Dry_Litterbag Placem_Collection'!O23,'Dry_Litterbag Placem_Collection'!R23),"")</f>
        <v>13.2</v>
      </c>
      <c r="AK462" s="261">
        <f>IFERROR(AVERAGE('Dry_Litterbag Placem_Collection'!N23,'Dry_Litterbag Placem_Collection'!Q23),"")</f>
        <v>26.1</v>
      </c>
      <c r="AL462" s="260">
        <f>INDEX([2]Coordinates!$B$2:$B$197,MATCH(I462,[2]Coordinates!$J$2:$J$197,0))</f>
        <v>-3.3854019919999998</v>
      </c>
      <c r="AM462" s="260">
        <f>INDEX([2]Coordinates!$C$2:$C$197,MATCH(I462,[2]Coordinates!$J$2:$J$197,0))</f>
        <v>34.81894604</v>
      </c>
      <c r="AN462" s="260" t="str">
        <f>IF(ISNUMBER(SEARCH("C", 'Dry_Litterbag Placem_Collection'!U23)),"YES","NO")</f>
        <v>NO</v>
      </c>
      <c r="AO462" s="260" t="str">
        <f>IF(ISNUMBER(SEARCH("H", 'Dry_Litterbag Placem_Collection'!U23)),"YES","NO")</f>
        <v>NO</v>
      </c>
      <c r="AP462" s="260" t="str">
        <f>IF(ISNUMBER(SEARCH("R", 'Dry_Litterbag Placem_Collection'!U23)),"YES","NO")</f>
        <v>NO</v>
      </c>
    </row>
    <row r="463" spans="1:42" ht="15" customHeight="1">
      <c r="A463" t="s">
        <v>3248</v>
      </c>
      <c r="B463" s="252" t="s">
        <v>2643</v>
      </c>
      <c r="C463" s="253">
        <f>'Dry_Litterbag Placem_Collection'!A24</f>
        <v>22</v>
      </c>
      <c r="D463" s="253" t="str">
        <f>'Dry_Litterbag Placem_Collection'!B24</f>
        <v>Makao</v>
      </c>
      <c r="E463" s="253" t="s">
        <v>2643</v>
      </c>
      <c r="F463" s="253" t="s">
        <v>2644</v>
      </c>
      <c r="G463" s="253">
        <v>3</v>
      </c>
      <c r="H463" s="253" t="s">
        <v>3104</v>
      </c>
      <c r="I463" s="254" t="str">
        <f>'Dry_Litterbag Placem_Collection'!C24</f>
        <v>Dry_Ag3_T6</v>
      </c>
      <c r="J463" s="263" t="s">
        <v>2932</v>
      </c>
      <c r="K463" s="256" t="s">
        <v>1147</v>
      </c>
      <c r="L463" s="253" t="str">
        <f>IF(ISBLANK('Dry_Litterbag Placem_Collection'!L24),"","G"&amp;""&amp;'Dry_Litterbag Placem_Collection'!L24)</f>
        <v>G750</v>
      </c>
      <c r="M463" s="257">
        <f>IFERROR(INDEX('Green_rooibos initial weight'!$C$5:$C$2000,MATCH(L463, 'Green_rooibos initial weight'!$A$5:$A$2000,0)),"")</f>
        <v>1.966</v>
      </c>
      <c r="N463" s="257">
        <f>IFERROR(M463-(TBIcalc!$Q$9+TBIcalc!$Q$10),"")</f>
        <v>1.7161999999999999</v>
      </c>
      <c r="O463" s="378">
        <f>AVERAGE(Ashed_controlls!$K$2:$K$11)</f>
        <v>5.5147656768714146</v>
      </c>
      <c r="P463" s="257">
        <f t="shared" si="36"/>
        <v>1.6215555914535327</v>
      </c>
      <c r="Q463" s="257">
        <f>IFERROR(INDEX('Both teabags AfterDry'!$D$2:$D$2000,MATCH(L463,'Both teabags AfterDry'!$A$2:$A$2000,0)),"")</f>
        <v>1.3833</v>
      </c>
      <c r="R463" s="257">
        <f>IFERROR(IF(Q463&gt;0,Q463-(TBIcalc!$Q$9),""),"")</f>
        <v>1.2326999999999999</v>
      </c>
      <c r="S463" s="268">
        <f>IFERROR(INDEX('Ashed teabags dry'!$K$2:$K$2000,MATCH(L463,'Ashed teabags dry'!$A$2:$A$2000,0)),"")</f>
        <v>8.0118694362018044</v>
      </c>
      <c r="T463" s="268">
        <f t="shared" si="37"/>
        <v>1.1339376854599403</v>
      </c>
      <c r="U463" s="258">
        <f>IF('Dry_Litterbag Placem_Collection'!E24="","",'Dry_Litterbag Placem_Collection'!E24)</f>
        <v>42936</v>
      </c>
      <c r="V463" s="258">
        <f>IF('Dry_Litterbag Placem_Collection'!G24="","",'Dry_Litterbag Placem_Collection'!G24)</f>
        <v>43007</v>
      </c>
      <c r="W463" s="259">
        <f t="shared" si="35"/>
        <v>71</v>
      </c>
      <c r="X463" s="257">
        <f t="shared" si="38"/>
        <v>0.48350000000000004</v>
      </c>
      <c r="Y463" s="257">
        <f t="shared" si="39"/>
        <v>0.48761790599359234</v>
      </c>
      <c r="Z463" s="261">
        <f>IFERROR(INDEX([3]Rainfall_Dry!$O$2:$O$217,MATCH(C463, [3]Rainfall_Dry!$A$2:$A$217,0)),"")</f>
        <v>6.900000125</v>
      </c>
      <c r="AA463" s="250">
        <v>54.080969906906262</v>
      </c>
      <c r="AB463" s="250">
        <v>21.264484651351896</v>
      </c>
      <c r="AC463" s="250">
        <v>24.654545441741845</v>
      </c>
      <c r="AD463" s="251" t="s">
        <v>2654</v>
      </c>
      <c r="AE463" s="250">
        <v>6.8433218334154802</v>
      </c>
      <c r="AF463" t="str">
        <f>IF('WetLitterbags placem_collection'!AB24="","",'WetLitterbags placem_collection'!AB24)</f>
        <v/>
      </c>
      <c r="AG463" t="str">
        <f>IF('WetLitterbags placem_collection'!Z24="","",'WetLitterbags placem_collection'!Z24)</f>
        <v/>
      </c>
      <c r="AH463" s="236" t="str">
        <f>IF('WetLitterbags placem_collection'!AA24="","",'WetLitterbags placem_collection'!AA24)</f>
        <v/>
      </c>
      <c r="AI463" t="str">
        <f>IF('WetLitterbags placem_collection'!AC24="","",'WetLitterbags placem_collection'!AC24)</f>
        <v/>
      </c>
      <c r="AJ463">
        <f>IFERROR(AVERAGE('Dry_Litterbag Placem_Collection'!O24,'Dry_Litterbag Placem_Collection'!R24),"")</f>
        <v>19.05</v>
      </c>
      <c r="AK463" s="261">
        <f>IFERROR(AVERAGE('Dry_Litterbag Placem_Collection'!N24,'Dry_Litterbag Placem_Collection'!Q24),"")</f>
        <v>25.75</v>
      </c>
      <c r="AL463" s="260">
        <f>INDEX([2]Coordinates!$B$2:$B$197,MATCH(I463,[2]Coordinates!$J$2:$J$197,0))</f>
        <v>-3.3854470029999999</v>
      </c>
      <c r="AM463" s="260">
        <f>INDEX([2]Coordinates!$C$2:$C$197,MATCH(I463,[2]Coordinates!$J$2:$J$197,0))</f>
        <v>34.818946959999998</v>
      </c>
      <c r="AN463" s="260" t="str">
        <f>IF(ISNUMBER(SEARCH("C", 'Dry_Litterbag Placem_Collection'!U24)),"YES","NO")</f>
        <v>NO</v>
      </c>
      <c r="AO463" s="260" t="str">
        <f>IF(ISNUMBER(SEARCH("H", 'Dry_Litterbag Placem_Collection'!U24)),"YES","NO")</f>
        <v>NO</v>
      </c>
      <c r="AP463" s="260" t="str">
        <f>IF(ISNUMBER(SEARCH("R", 'Dry_Litterbag Placem_Collection'!U24)),"YES","NO")</f>
        <v>NO</v>
      </c>
    </row>
    <row r="464" spans="1:42" ht="15" customHeight="1">
      <c r="A464" t="s">
        <v>3248</v>
      </c>
      <c r="B464" s="252" t="s">
        <v>2643</v>
      </c>
      <c r="C464" s="253">
        <f>'Dry_Litterbag Placem_Collection'!A25</f>
        <v>23</v>
      </c>
      <c r="D464" s="253" t="str">
        <f>'Dry_Litterbag Placem_Collection'!B25</f>
        <v>Makao</v>
      </c>
      <c r="E464" s="253" t="s">
        <v>2643</v>
      </c>
      <c r="F464" s="253" t="s">
        <v>2644</v>
      </c>
      <c r="G464" s="253">
        <v>3</v>
      </c>
      <c r="H464" s="253" t="s">
        <v>3104</v>
      </c>
      <c r="I464" s="254" t="str">
        <f>'Dry_Litterbag Placem_Collection'!C25</f>
        <v>Dry_Ag3_T7</v>
      </c>
      <c r="J464" s="263" t="s">
        <v>2932</v>
      </c>
      <c r="K464" s="256" t="s">
        <v>1147</v>
      </c>
      <c r="L464" s="253" t="str">
        <f>IF(ISBLANK('Dry_Litterbag Placem_Collection'!L25),"","G"&amp;""&amp;'Dry_Litterbag Placem_Collection'!L25)</f>
        <v/>
      </c>
      <c r="M464" s="257" t="str">
        <f>IFERROR(INDEX('Green_rooibos initial weight'!$C$5:$C$2000,MATCH(L464, 'Green_rooibos initial weight'!$A$5:$A$2000,0)),"")</f>
        <v/>
      </c>
      <c r="N464" s="257" t="str">
        <f>IFERROR(M464-(TBIcalc!$Q$9+TBIcalc!$Q$10),"")</f>
        <v/>
      </c>
      <c r="O464" s="378">
        <f>AVERAGE(Ashed_controlls!$K$2:$K$11)</f>
        <v>5.5147656768714146</v>
      </c>
      <c r="P464" s="257" t="str">
        <f t="shared" si="36"/>
        <v/>
      </c>
      <c r="Q464" s="257" t="str">
        <f>IFERROR(INDEX('Both teabags AfterDry'!$D$2:$D$2000,MATCH(L464,'Both teabags AfterDry'!$A$2:$A$2000,0)),"")</f>
        <v/>
      </c>
      <c r="R464" s="257" t="str">
        <f>IFERROR(IF(Q464&gt;0,Q464-(TBIcalc!$Q$9),""),"")</f>
        <v/>
      </c>
      <c r="S464" s="268" t="str">
        <f>IFERROR(INDEX('Ashed teabags dry'!$K$2:$K$2000,MATCH(L464,'Ashed teabags dry'!$A$2:$A$2000,0)),"")</f>
        <v/>
      </c>
      <c r="T464" s="268" t="str">
        <f t="shared" si="37"/>
        <v/>
      </c>
      <c r="U464" s="258" t="str">
        <f>IF('Dry_Litterbag Placem_Collection'!E25="","",'Dry_Litterbag Placem_Collection'!E25)</f>
        <v/>
      </c>
      <c r="V464" s="258" t="str">
        <f>IF('Dry_Litterbag Placem_Collection'!G25="","",'Dry_Litterbag Placem_Collection'!G25)</f>
        <v/>
      </c>
      <c r="W464" s="259" t="str">
        <f t="shared" si="35"/>
        <v/>
      </c>
      <c r="X464" s="257" t="str">
        <f t="shared" si="38"/>
        <v/>
      </c>
      <c r="Y464" s="257" t="str">
        <f t="shared" si="39"/>
        <v/>
      </c>
      <c r="Z464" s="261" t="str">
        <f>IFERROR(INDEX([3]Rainfall_Dry!$O$2:$O$217,MATCH(C464, [3]Rainfall_Dry!$A$2:$A$217,0)),"")</f>
        <v/>
      </c>
      <c r="AA464" s="250">
        <v>54.080969906906262</v>
      </c>
      <c r="AB464" s="250">
        <v>21.264484651351896</v>
      </c>
      <c r="AC464" s="250">
        <v>24.654545441741845</v>
      </c>
      <c r="AD464" s="251" t="s">
        <v>2654</v>
      </c>
      <c r="AE464" s="250">
        <v>7.8433218334154802</v>
      </c>
      <c r="AF464" t="str">
        <f>IF('WetLitterbags placem_collection'!AB25="","",'WetLitterbags placem_collection'!AB25)</f>
        <v/>
      </c>
      <c r="AG464" t="str">
        <f>IF('WetLitterbags placem_collection'!Z25="","",'WetLitterbags placem_collection'!Z25)</f>
        <v/>
      </c>
      <c r="AH464" s="236" t="str">
        <f>IF('WetLitterbags placem_collection'!AA25="","",'WetLitterbags placem_collection'!AA25)</f>
        <v/>
      </c>
      <c r="AI464" t="str">
        <f>IF('WetLitterbags placem_collection'!AC25="","",'WetLitterbags placem_collection'!AC25)</f>
        <v/>
      </c>
      <c r="AJ464" t="str">
        <f>IFERROR(AVERAGE('Dry_Litterbag Placem_Collection'!O25,'Dry_Litterbag Placem_Collection'!R25),"")</f>
        <v/>
      </c>
      <c r="AK464" s="261" t="str">
        <f>IFERROR(AVERAGE('Dry_Litterbag Placem_Collection'!N25,'Dry_Litterbag Placem_Collection'!Q25),"")</f>
        <v/>
      </c>
      <c r="AL464" s="260">
        <f>INDEX([2]Coordinates!$B$2:$B$197,MATCH(I464,[2]Coordinates!$J$2:$J$197,0))</f>
        <v>-3.3854200130000001</v>
      </c>
      <c r="AM464" s="260">
        <f>INDEX([2]Coordinates!$C$2:$C$197,MATCH(I464,[2]Coordinates!$J$2:$J$197,0))</f>
        <v>34.818856019999998</v>
      </c>
      <c r="AN464" s="260" t="str">
        <f>IF(ISNUMBER(SEARCH("C", 'Dry_Litterbag Placem_Collection'!U25)),"YES","NO")</f>
        <v>NO</v>
      </c>
      <c r="AO464" s="260" t="str">
        <f>IF(ISNUMBER(SEARCH("H", 'Dry_Litterbag Placem_Collection'!U25)),"YES","NO")</f>
        <v>NO</v>
      </c>
      <c r="AP464" s="260" t="str">
        <f>IF(ISNUMBER(SEARCH("R", 'Dry_Litterbag Placem_Collection'!U25)),"YES","NO")</f>
        <v>NO</v>
      </c>
    </row>
    <row r="465" spans="1:42" ht="15" customHeight="1">
      <c r="A465" t="s">
        <v>3248</v>
      </c>
      <c r="B465" s="252" t="s">
        <v>2643</v>
      </c>
      <c r="C465" s="253">
        <f>'Dry_Litterbag Placem_Collection'!A26</f>
        <v>24</v>
      </c>
      <c r="D465" s="253" t="str">
        <f>'Dry_Litterbag Placem_Collection'!B26</f>
        <v>Makao</v>
      </c>
      <c r="E465" s="253" t="s">
        <v>2643</v>
      </c>
      <c r="F465" s="253" t="s">
        <v>2644</v>
      </c>
      <c r="G465" s="253">
        <v>3</v>
      </c>
      <c r="H465" s="253" t="s">
        <v>3104</v>
      </c>
      <c r="I465" s="254" t="str">
        <f>'Dry_Litterbag Placem_Collection'!C26</f>
        <v>Dry_Ag3_T8</v>
      </c>
      <c r="J465" s="263" t="s">
        <v>2932</v>
      </c>
      <c r="K465" s="256" t="s">
        <v>1147</v>
      </c>
      <c r="L465" s="253" t="str">
        <f>IF(ISBLANK('Dry_Litterbag Placem_Collection'!L26),"","G"&amp;""&amp;'Dry_Litterbag Placem_Collection'!L26)</f>
        <v>G562</v>
      </c>
      <c r="M465" s="257">
        <f>IFERROR(INDEX('Green_rooibos initial weight'!$C$5:$C$2000,MATCH(L465, 'Green_rooibos initial weight'!$A$5:$A$2000,0)),"")</f>
        <v>2.1419999999999999</v>
      </c>
      <c r="N465" s="257">
        <f>IFERROR(M465-(TBIcalc!$Q$9+TBIcalc!$Q$10),"")</f>
        <v>1.8921999999999999</v>
      </c>
      <c r="O465" s="378">
        <f>AVERAGE(Ashed_controlls!$K$2:$K$11)</f>
        <v>5.5147656768714146</v>
      </c>
      <c r="P465" s="257">
        <f t="shared" si="36"/>
        <v>1.7878496038622389</v>
      </c>
      <c r="Q465" s="257">
        <f>IFERROR(INDEX('Both teabags AfterDry'!$D$2:$D$2000,MATCH(L465,'Both teabags AfterDry'!$A$2:$A$2000,0)),"")</f>
        <v>1.8862000000000001</v>
      </c>
      <c r="R465" s="257">
        <f>IFERROR(IF(Q465&gt;0,Q465-(TBIcalc!$Q$9),""),"")</f>
        <v>1.7356</v>
      </c>
      <c r="S465" s="268">
        <f>IFERROR(INDEX('Ashed teabags dry'!$K$2:$K$2000,MATCH(L465,'Ashed teabags dry'!$A$2:$A$2000,0)),"")</f>
        <v>6.1334641805691774</v>
      </c>
      <c r="T465" s="268">
        <f t="shared" si="37"/>
        <v>1.6291475956820414</v>
      </c>
      <c r="U465" s="258">
        <f>IF('Dry_Litterbag Placem_Collection'!E26="","",'Dry_Litterbag Placem_Collection'!E26)</f>
        <v>42936</v>
      </c>
      <c r="V465" s="258">
        <f>IF('Dry_Litterbag Placem_Collection'!G26="","",'Dry_Litterbag Placem_Collection'!G26)</f>
        <v>43007</v>
      </c>
      <c r="W465" s="259">
        <f t="shared" si="35"/>
        <v>71</v>
      </c>
      <c r="X465" s="257">
        <f t="shared" si="38"/>
        <v>0.15659999999999985</v>
      </c>
      <c r="Y465" s="257">
        <f t="shared" si="39"/>
        <v>0.15870200818019753</v>
      </c>
      <c r="Z465" s="261">
        <f>IFERROR(INDEX([3]Rainfall_Dry!$O$2:$O$217,MATCH(C465, [3]Rainfall_Dry!$A$2:$A$217,0)),"")</f>
        <v>6.900000125</v>
      </c>
      <c r="AA465" s="250">
        <v>54.080969906906262</v>
      </c>
      <c r="AB465" s="250">
        <v>21.264484651351896</v>
      </c>
      <c r="AC465" s="250">
        <v>24.654545441741845</v>
      </c>
      <c r="AD465" s="251" t="s">
        <v>2654</v>
      </c>
      <c r="AE465" s="250">
        <v>8.8433218334154695</v>
      </c>
      <c r="AF465" t="str">
        <f>IF('WetLitterbags placem_collection'!AB26="","",'WetLitterbags placem_collection'!AB26)</f>
        <v/>
      </c>
      <c r="AG465" t="str">
        <f>IF('WetLitterbags placem_collection'!Z26="","",'WetLitterbags placem_collection'!Z26)</f>
        <v/>
      </c>
      <c r="AH465" s="236" t="str">
        <f>IF('WetLitterbags placem_collection'!AA26="","",'WetLitterbags placem_collection'!AA26)</f>
        <v/>
      </c>
      <c r="AI465" t="str">
        <f>IF('WetLitterbags placem_collection'!AC26="","",'WetLitterbags placem_collection'!AC26)</f>
        <v/>
      </c>
      <c r="AJ465">
        <f>IFERROR(AVERAGE('Dry_Litterbag Placem_Collection'!O26,'Dry_Litterbag Placem_Collection'!R26),"")</f>
        <v>15.6</v>
      </c>
      <c r="AK465" s="261">
        <f>IFERROR(AVERAGE('Dry_Litterbag Placem_Collection'!N26,'Dry_Litterbag Placem_Collection'!Q26),"")</f>
        <v>25.5</v>
      </c>
      <c r="AL465" s="260">
        <f>INDEX([2]Coordinates!$B$2:$B$197,MATCH(I465,[2]Coordinates!$J$2:$J$197,0))</f>
        <v>-3.3853829649999998</v>
      </c>
      <c r="AM465" s="260">
        <f>INDEX([2]Coordinates!$C$2:$C$197,MATCH(I465,[2]Coordinates!$J$2:$J$197,0))</f>
        <v>34.818877980000003</v>
      </c>
      <c r="AN465" s="260" t="str">
        <f>IF(ISNUMBER(SEARCH("C", 'Dry_Litterbag Placem_Collection'!U26)),"YES","NO")</f>
        <v>NO</v>
      </c>
      <c r="AO465" s="260" t="str">
        <f>IF(ISNUMBER(SEARCH("H", 'Dry_Litterbag Placem_Collection'!U26)),"YES","NO")</f>
        <v>NO</v>
      </c>
      <c r="AP465" s="260" t="str">
        <f>IF(ISNUMBER(SEARCH("R", 'Dry_Litterbag Placem_Collection'!U26)),"YES","NO")</f>
        <v>NO</v>
      </c>
    </row>
    <row r="466" spans="1:42" ht="15" customHeight="1">
      <c r="A466" t="s">
        <v>3248</v>
      </c>
      <c r="B466" s="252" t="s">
        <v>2643</v>
      </c>
      <c r="C466" s="253">
        <f>'Dry_Litterbag Placem_Collection'!A27</f>
        <v>25</v>
      </c>
      <c r="D466" s="253" t="str">
        <f>'Dry_Litterbag Placem_Collection'!B27</f>
        <v>Makao</v>
      </c>
      <c r="E466" s="253" t="s">
        <v>2643</v>
      </c>
      <c r="F466" s="253" t="s">
        <v>2644</v>
      </c>
      <c r="G466" s="253">
        <v>4</v>
      </c>
      <c r="H466" s="253" t="s">
        <v>3105</v>
      </c>
      <c r="I466" s="254" t="str">
        <f>'Dry_Litterbag Placem_Collection'!C27</f>
        <v>Dry_Ag4_T1</v>
      </c>
      <c r="J466" s="263" t="s">
        <v>2932</v>
      </c>
      <c r="K466" s="256" t="s">
        <v>1147</v>
      </c>
      <c r="L466" s="253" t="str">
        <f>IF(ISBLANK('Dry_Litterbag Placem_Collection'!L27),"","G"&amp;""&amp;'Dry_Litterbag Placem_Collection'!L27)</f>
        <v>G156</v>
      </c>
      <c r="M466" s="257">
        <f>IFERROR(INDEX('Green_rooibos initial weight'!$C$5:$C$2000,MATCH(L466, 'Green_rooibos initial weight'!$A$5:$A$2000,0)),"")</f>
        <v>1.944</v>
      </c>
      <c r="N466" s="257">
        <f>IFERROR(M466-(TBIcalc!$Q$9+TBIcalc!$Q$10),"")</f>
        <v>1.6941999999999999</v>
      </c>
      <c r="O466" s="378">
        <f>AVERAGE(Ashed_controlls!$K$2:$K$11)</f>
        <v>5.5147656768714146</v>
      </c>
      <c r="P466" s="257">
        <f t="shared" si="36"/>
        <v>1.6007688399024445</v>
      </c>
      <c r="Q466" s="257">
        <f>IFERROR(INDEX('Both teabags AfterDry'!$D$2:$D$2000,MATCH(L466,'Both teabags AfterDry'!$A$2:$A$2000,0)),"")</f>
        <v>1.8079000000000001</v>
      </c>
      <c r="R466" s="257">
        <f>IFERROR(IF(Q466&gt;0,Q466-(TBIcalc!$Q$9),""),"")</f>
        <v>1.6573</v>
      </c>
      <c r="S466" s="268">
        <f>IFERROR(INDEX('Ashed teabags dry'!$K$2:$K$2000,MATCH(L466,'Ashed teabags dry'!$A$2:$A$2000,0)),"")</f>
        <v>5.9562587249876717</v>
      </c>
      <c r="T466" s="268">
        <f t="shared" si="37"/>
        <v>1.5585869241507793</v>
      </c>
      <c r="U466" s="258">
        <f>IF('Dry_Litterbag Placem_Collection'!E27="","",'Dry_Litterbag Placem_Collection'!E27)</f>
        <v>42936</v>
      </c>
      <c r="V466" s="258">
        <f>IF('Dry_Litterbag Placem_Collection'!G27="","",'Dry_Litterbag Placem_Collection'!G27)</f>
        <v>43007</v>
      </c>
      <c r="W466" s="259">
        <f t="shared" si="35"/>
        <v>71</v>
      </c>
      <c r="X466" s="257">
        <f t="shared" si="38"/>
        <v>3.6899999999999933E-2</v>
      </c>
      <c r="Y466" s="257">
        <f t="shared" si="39"/>
        <v>4.2181915751665189E-2</v>
      </c>
      <c r="Z466" s="261">
        <f>IFERROR(INDEX([3]Rainfall_Dry!$O$2:$O$217,MATCH(C466, [3]Rainfall_Dry!$A$2:$A$217,0)),"")</f>
        <v>6.900000125</v>
      </c>
      <c r="AA466" s="250">
        <v>51.960000000000008</v>
      </c>
      <c r="AB466" s="250">
        <v>18.919999999999995</v>
      </c>
      <c r="AC466" s="250">
        <v>29.120000000000005</v>
      </c>
      <c r="AD466" s="251" t="s">
        <v>2654</v>
      </c>
      <c r="AE466" s="250">
        <v>1.85293247905372</v>
      </c>
      <c r="AF466" t="str">
        <f>IF('WetLitterbags placem_collection'!AB27="","",'WetLitterbags placem_collection'!AB27)</f>
        <v/>
      </c>
      <c r="AG466" t="str">
        <f>IF('WetLitterbags placem_collection'!Z27="","",'WetLitterbags placem_collection'!Z27)</f>
        <v/>
      </c>
      <c r="AH466" s="236" t="str">
        <f>IF('WetLitterbags placem_collection'!AA27="","",'WetLitterbags placem_collection'!AA27)</f>
        <v/>
      </c>
      <c r="AI466" t="str">
        <f>IF('WetLitterbags placem_collection'!AC27="","",'WetLitterbags placem_collection'!AC27)</f>
        <v/>
      </c>
      <c r="AJ466">
        <f>IFERROR(AVERAGE('Dry_Litterbag Placem_Collection'!O27,'Dry_Litterbag Placem_Collection'!R27),"")</f>
        <v>9.85</v>
      </c>
      <c r="AK466" s="261">
        <f>IFERROR(AVERAGE('Dry_Litterbag Placem_Collection'!N27,'Dry_Litterbag Placem_Collection'!Q27),"")</f>
        <v>25.4</v>
      </c>
      <c r="AL466" s="260">
        <f>INDEX([2]Coordinates!$B$2:$B$197,MATCH(I466,[2]Coordinates!$J$2:$J$197,0))</f>
        <v>-3.3849129919999998</v>
      </c>
      <c r="AM466" s="260">
        <f>INDEX([2]Coordinates!$C$2:$C$197,MATCH(I466,[2]Coordinates!$J$2:$J$197,0))</f>
        <v>34.818899020000003</v>
      </c>
      <c r="AN466" s="260" t="str">
        <f>IF(ISNUMBER(SEARCH("C", 'Dry_Litterbag Placem_Collection'!U27)),"YES","NO")</f>
        <v>NO</v>
      </c>
      <c r="AO466" s="260" t="str">
        <f>IF(ISNUMBER(SEARCH("H", 'Dry_Litterbag Placem_Collection'!U27)),"YES","NO")</f>
        <v>NO</v>
      </c>
      <c r="AP466" s="260" t="str">
        <f>IF(ISNUMBER(SEARCH("R", 'Dry_Litterbag Placem_Collection'!U27)),"YES","NO")</f>
        <v>NO</v>
      </c>
    </row>
    <row r="467" spans="1:42" ht="15" customHeight="1">
      <c r="A467" t="s">
        <v>3248</v>
      </c>
      <c r="B467" s="252" t="s">
        <v>2643</v>
      </c>
      <c r="C467" s="253">
        <f>'Dry_Litterbag Placem_Collection'!A28</f>
        <v>26</v>
      </c>
      <c r="D467" s="253" t="str">
        <f>'Dry_Litterbag Placem_Collection'!B28</f>
        <v>Makao</v>
      </c>
      <c r="E467" s="253" t="s">
        <v>2643</v>
      </c>
      <c r="F467" s="253" t="s">
        <v>2644</v>
      </c>
      <c r="G467" s="253">
        <v>4</v>
      </c>
      <c r="H467" s="253" t="s">
        <v>3105</v>
      </c>
      <c r="I467" s="254" t="str">
        <f>'Dry_Litterbag Placem_Collection'!C28</f>
        <v>Dry_Ag4_T2</v>
      </c>
      <c r="J467" s="263" t="s">
        <v>2932</v>
      </c>
      <c r="K467" s="256" t="s">
        <v>1147</v>
      </c>
      <c r="L467" s="253" t="str">
        <f>IF(ISBLANK('Dry_Litterbag Placem_Collection'!L28),"","G"&amp;""&amp;'Dry_Litterbag Placem_Collection'!L28)</f>
        <v>G555</v>
      </c>
      <c r="M467" s="257">
        <f>IFERROR(INDEX('Green_rooibos initial weight'!$C$5:$C$2000,MATCH(L467, 'Green_rooibos initial weight'!$A$5:$A$2000,0)),"")</f>
        <v>2.1469999999999998</v>
      </c>
      <c r="N467" s="257">
        <f>IFERROR(M467-(TBIcalc!$Q$9+TBIcalc!$Q$10),"")</f>
        <v>1.8971999999999998</v>
      </c>
      <c r="O467" s="378">
        <f>AVERAGE(Ashed_controlls!$K$2:$K$11)</f>
        <v>5.5147656768714146</v>
      </c>
      <c r="P467" s="257">
        <f t="shared" si="36"/>
        <v>1.7925738655783954</v>
      </c>
      <c r="Q467" s="257">
        <f>IFERROR(INDEX('Both teabags AfterDry'!$D$2:$D$2000,MATCH(L467,'Both teabags AfterDry'!$A$2:$A$2000,0)),"")</f>
        <v>2.0030000000000001</v>
      </c>
      <c r="R467" s="257">
        <f>IFERROR(IF(Q467&gt;0,Q467-(TBIcalc!$Q$9),""),"")</f>
        <v>1.8524</v>
      </c>
      <c r="S467" s="268">
        <f>IFERROR(INDEX('Ashed teabags dry'!$K$2:$K$2000,MATCH(L467,'Ashed teabags dry'!$A$2:$A$2000,0)),"")</f>
        <v>6.0509554140126784</v>
      </c>
      <c r="T467" s="268">
        <f t="shared" si="37"/>
        <v>1.7403121019108292</v>
      </c>
      <c r="U467" s="258">
        <f>IF('Dry_Litterbag Placem_Collection'!E28="","",'Dry_Litterbag Placem_Collection'!E28)</f>
        <v>42936</v>
      </c>
      <c r="V467" s="258">
        <f>IF('Dry_Litterbag Placem_Collection'!G28="","",'Dry_Litterbag Placem_Collection'!G28)</f>
        <v>43007</v>
      </c>
      <c r="W467" s="259">
        <f t="shared" si="35"/>
        <v>71</v>
      </c>
      <c r="X467" s="257">
        <f t="shared" si="38"/>
        <v>4.4799999999999729E-2</v>
      </c>
      <c r="Y467" s="257">
        <f t="shared" si="39"/>
        <v>5.2261763667566186E-2</v>
      </c>
      <c r="Z467" s="261">
        <f>IFERROR(INDEX([3]Rainfall_Dry!$O$2:$O$217,MATCH(C467, [3]Rainfall_Dry!$A$2:$A$217,0)),"")</f>
        <v>6.900000125</v>
      </c>
      <c r="AA467" s="250">
        <v>51.960000000000008</v>
      </c>
      <c r="AB467" s="250">
        <v>18.919999999999995</v>
      </c>
      <c r="AC467" s="250">
        <v>29.120000000000005</v>
      </c>
      <c r="AD467" s="251" t="s">
        <v>2654</v>
      </c>
      <c r="AE467" s="250">
        <v>2.8529324790537198</v>
      </c>
      <c r="AF467" t="str">
        <f>IF('WetLitterbags placem_collection'!AB28="","",'WetLitterbags placem_collection'!AB28)</f>
        <v/>
      </c>
      <c r="AG467" t="str">
        <f>IF('WetLitterbags placem_collection'!Z28="","",'WetLitterbags placem_collection'!Z28)</f>
        <v/>
      </c>
      <c r="AH467" s="236" t="str">
        <f>IF('WetLitterbags placem_collection'!AA28="","",'WetLitterbags placem_collection'!AA28)</f>
        <v/>
      </c>
      <c r="AI467" t="str">
        <f>IF('WetLitterbags placem_collection'!AC28="","",'WetLitterbags placem_collection'!AC28)</f>
        <v/>
      </c>
      <c r="AJ467">
        <f>IFERROR(AVERAGE('Dry_Litterbag Placem_Collection'!O28,'Dry_Litterbag Placem_Collection'!R28),"")</f>
        <v>8.1</v>
      </c>
      <c r="AK467" s="261">
        <f>IFERROR(AVERAGE('Dry_Litterbag Placem_Collection'!N28,'Dry_Litterbag Placem_Collection'!Q28),"")</f>
        <v>25.85</v>
      </c>
      <c r="AL467" s="260">
        <f>INDEX([2]Coordinates!$B$2:$B$197,MATCH(I467,[2]Coordinates!$J$2:$J$197,0))</f>
        <v>-3.3849689999999999</v>
      </c>
      <c r="AM467" s="260">
        <f>INDEX([2]Coordinates!$C$2:$C$197,MATCH(I467,[2]Coordinates!$J$2:$J$197,0))</f>
        <v>34.818908</v>
      </c>
      <c r="AN467" s="260" t="str">
        <f>IF(ISNUMBER(SEARCH("C", 'Dry_Litterbag Placem_Collection'!U28)),"YES","NO")</f>
        <v>NO</v>
      </c>
      <c r="AO467" s="260" t="str">
        <f>IF(ISNUMBER(SEARCH("H", 'Dry_Litterbag Placem_Collection'!U28)),"YES","NO")</f>
        <v>NO</v>
      </c>
      <c r="AP467" s="260" t="str">
        <f>IF(ISNUMBER(SEARCH("R", 'Dry_Litterbag Placem_Collection'!U28)),"YES","NO")</f>
        <v>NO</v>
      </c>
    </row>
    <row r="468" spans="1:42" ht="15" customHeight="1">
      <c r="A468" t="s">
        <v>3248</v>
      </c>
      <c r="B468" s="252" t="s">
        <v>2643</v>
      </c>
      <c r="C468" s="253">
        <f>'Dry_Litterbag Placem_Collection'!A29</f>
        <v>27</v>
      </c>
      <c r="D468" s="253" t="str">
        <f>'Dry_Litterbag Placem_Collection'!B29</f>
        <v>Makao</v>
      </c>
      <c r="E468" s="253" t="s">
        <v>2643</v>
      </c>
      <c r="F468" s="253" t="s">
        <v>2644</v>
      </c>
      <c r="G468" s="253">
        <v>4</v>
      </c>
      <c r="H468" s="253" t="s">
        <v>3105</v>
      </c>
      <c r="I468" s="254" t="str">
        <f>'Dry_Litterbag Placem_Collection'!C29</f>
        <v>Dry_Ag4_T3</v>
      </c>
      <c r="J468" s="263" t="s">
        <v>2932</v>
      </c>
      <c r="K468" s="256" t="s">
        <v>1147</v>
      </c>
      <c r="L468" s="253" t="str">
        <f>IF(ISBLANK('Dry_Litterbag Placem_Collection'!L29),"","G"&amp;""&amp;'Dry_Litterbag Placem_Collection'!L29)</f>
        <v>G378</v>
      </c>
      <c r="M468" s="257">
        <f>IFERROR(INDEX('Green_rooibos initial weight'!$C$5:$C$2000,MATCH(L468, 'Green_rooibos initial weight'!$A$5:$A$2000,0)),"")</f>
        <v>2.0830000000000002</v>
      </c>
      <c r="N468" s="257">
        <f>IFERROR(M468-(TBIcalc!$Q$9+TBIcalc!$Q$10),"")</f>
        <v>1.8332000000000002</v>
      </c>
      <c r="O468" s="378">
        <f>AVERAGE(Ashed_controlls!$K$2:$K$11)</f>
        <v>5.5147656768714146</v>
      </c>
      <c r="P468" s="257">
        <f t="shared" si="36"/>
        <v>1.7321033156115935</v>
      </c>
      <c r="Q468" s="257" t="str">
        <f>IFERROR(INDEX('Both teabags AfterDry'!$D$2:$D$2000,MATCH(L468,'Both teabags AfterDry'!$A$2:$A$2000,0)),"")</f>
        <v/>
      </c>
      <c r="R468" s="257" t="str">
        <f>IFERROR(IF(Q468&gt;0,Q468-(TBIcalc!$Q$9),""),"")</f>
        <v/>
      </c>
      <c r="S468" s="268" t="str">
        <f>IFERROR(INDEX('Ashed teabags dry'!$K$2:$K$2000,MATCH(L468,'Ashed teabags dry'!$A$2:$A$2000,0)),"")</f>
        <v/>
      </c>
      <c r="T468" s="268" t="str">
        <f t="shared" si="37"/>
        <v/>
      </c>
      <c r="U468" s="258">
        <f>IF('Dry_Litterbag Placem_Collection'!E29="","",'Dry_Litterbag Placem_Collection'!E29)</f>
        <v>42936</v>
      </c>
      <c r="V468" s="258">
        <f>IF('Dry_Litterbag Placem_Collection'!G29="","",'Dry_Litterbag Placem_Collection'!G29)</f>
        <v>43007</v>
      </c>
      <c r="W468" s="259">
        <f t="shared" si="35"/>
        <v>71</v>
      </c>
      <c r="X468" s="257" t="str">
        <f t="shared" si="38"/>
        <v/>
      </c>
      <c r="Y468" s="257" t="str">
        <f t="shared" si="39"/>
        <v/>
      </c>
      <c r="Z468" s="261">
        <f>IFERROR(INDEX([3]Rainfall_Dry!$O$2:$O$217,MATCH(C468, [3]Rainfall_Dry!$A$2:$A$217,0)),"")</f>
        <v>6.900000125</v>
      </c>
      <c r="AA468" s="250">
        <v>51.960000000000008</v>
      </c>
      <c r="AB468" s="250">
        <v>18.919999999999995</v>
      </c>
      <c r="AC468" s="250">
        <v>29.120000000000005</v>
      </c>
      <c r="AD468" s="251" t="s">
        <v>2654</v>
      </c>
      <c r="AE468" s="250">
        <v>3.8529324790537198</v>
      </c>
      <c r="AF468" t="str">
        <f>IF('WetLitterbags placem_collection'!AB29="","",'WetLitterbags placem_collection'!AB29)</f>
        <v/>
      </c>
      <c r="AG468" t="str">
        <f>IF('WetLitterbags placem_collection'!Z29="","",'WetLitterbags placem_collection'!Z29)</f>
        <v/>
      </c>
      <c r="AH468" s="236" t="str">
        <f>IF('WetLitterbags placem_collection'!AA29="","",'WetLitterbags placem_collection'!AA29)</f>
        <v/>
      </c>
      <c r="AI468" t="str">
        <f>IF('WetLitterbags placem_collection'!AC29="","",'WetLitterbags placem_collection'!AC29)</f>
        <v/>
      </c>
      <c r="AJ468">
        <f>IFERROR(AVERAGE('Dry_Litterbag Placem_Collection'!O29,'Dry_Litterbag Placem_Collection'!R29),"")</f>
        <v>14.1</v>
      </c>
      <c r="AK468" s="261">
        <f>IFERROR(AVERAGE('Dry_Litterbag Placem_Collection'!N29,'Dry_Litterbag Placem_Collection'!Q29),"")</f>
        <v>26.15</v>
      </c>
      <c r="AL468" s="260">
        <f>INDEX([2]Coordinates!$B$2:$B$197,MATCH(I468,[2]Coordinates!$J$2:$J$197,0))</f>
        <v>-3.3849350359999999</v>
      </c>
      <c r="AM468" s="260">
        <f>INDEX([2]Coordinates!$C$2:$C$197,MATCH(I468,[2]Coordinates!$J$2:$J$197,0))</f>
        <v>34.818943019999999</v>
      </c>
      <c r="AN468" s="260" t="str">
        <f>IF(ISNUMBER(SEARCH("C", 'Dry_Litterbag Placem_Collection'!U29)),"YES","NO")</f>
        <v>NO</v>
      </c>
      <c r="AO468" s="260" t="str">
        <f>IF(ISNUMBER(SEARCH("H", 'Dry_Litterbag Placem_Collection'!U29)),"YES","NO")</f>
        <v>NO</v>
      </c>
      <c r="AP468" s="260" t="str">
        <f>IF(ISNUMBER(SEARCH("R", 'Dry_Litterbag Placem_Collection'!U29)),"YES","NO")</f>
        <v>NO</v>
      </c>
    </row>
    <row r="469" spans="1:42" ht="15" customHeight="1">
      <c r="A469" t="s">
        <v>3248</v>
      </c>
      <c r="B469" s="252" t="s">
        <v>2643</v>
      </c>
      <c r="C469" s="253">
        <f>'Dry_Litterbag Placem_Collection'!A30</f>
        <v>28</v>
      </c>
      <c r="D469" s="253" t="str">
        <f>'Dry_Litterbag Placem_Collection'!B30</f>
        <v>Makao</v>
      </c>
      <c r="E469" s="253" t="s">
        <v>2643</v>
      </c>
      <c r="F469" s="253" t="s">
        <v>2644</v>
      </c>
      <c r="G469" s="253">
        <v>4</v>
      </c>
      <c r="H469" s="253" t="s">
        <v>3105</v>
      </c>
      <c r="I469" s="254" t="str">
        <f>'Dry_Litterbag Placem_Collection'!C30</f>
        <v>Dry_Ag4_T4</v>
      </c>
      <c r="J469" s="263" t="s">
        <v>2932</v>
      </c>
      <c r="K469" s="256" t="s">
        <v>1147</v>
      </c>
      <c r="L469" s="253" t="str">
        <f>IF(ISBLANK('Dry_Litterbag Placem_Collection'!L30),"","G"&amp;""&amp;'Dry_Litterbag Placem_Collection'!L30)</f>
        <v>G46</v>
      </c>
      <c r="M469" s="257">
        <f>IFERROR(INDEX('Green_rooibos initial weight'!$C$5:$C$2000,MATCH(L469, 'Green_rooibos initial weight'!$A$5:$A$2000,0)),"")</f>
        <v>1.895</v>
      </c>
      <c r="N469" s="257">
        <f>IFERROR(M469-(TBIcalc!$Q$9+TBIcalc!$Q$10),"")</f>
        <v>1.6452</v>
      </c>
      <c r="O469" s="378">
        <f>AVERAGE(Ashed_controlls!$K$2:$K$11)</f>
        <v>5.5147656768714146</v>
      </c>
      <c r="P469" s="257">
        <f t="shared" si="36"/>
        <v>1.5544710750841115</v>
      </c>
      <c r="Q469" s="257">
        <f>IFERROR(INDEX('Both teabags AfterDry'!$D$2:$D$2000,MATCH(L469,'Both teabags AfterDry'!$A$2:$A$2000,0)),"")</f>
        <v>1.5884</v>
      </c>
      <c r="R469" s="257">
        <f>IFERROR(IF(Q469&gt;0,Q469-(TBIcalc!$Q$9),""),"")</f>
        <v>1.4378</v>
      </c>
      <c r="S469" s="268">
        <f>IFERROR(INDEX('Ashed teabags dry'!$K$2:$K$2000,MATCH(L469,'Ashed teabags dry'!$A$2:$A$2000,0)),"")</f>
        <v>6.5978456014354894</v>
      </c>
      <c r="T469" s="268">
        <f t="shared" si="37"/>
        <v>1.3429361759425604</v>
      </c>
      <c r="U469" s="258">
        <f>IF('Dry_Litterbag Placem_Collection'!E30="","",'Dry_Litterbag Placem_Collection'!E30)</f>
        <v>42936</v>
      </c>
      <c r="V469" s="258">
        <f>IF('Dry_Litterbag Placem_Collection'!G30="","",'Dry_Litterbag Placem_Collection'!G30)</f>
        <v>43007</v>
      </c>
      <c r="W469" s="259">
        <f t="shared" si="35"/>
        <v>71</v>
      </c>
      <c r="X469" s="257">
        <f t="shared" si="38"/>
        <v>0.20740000000000003</v>
      </c>
      <c r="Y469" s="257">
        <f t="shared" si="39"/>
        <v>0.2115348991415511</v>
      </c>
      <c r="Z469" s="261">
        <f>IFERROR(INDEX([3]Rainfall_Dry!$O$2:$O$217,MATCH(C469, [3]Rainfall_Dry!$A$2:$A$217,0)),"")</f>
        <v>6.900000125</v>
      </c>
      <c r="AA469" s="250">
        <v>51.960000000000008</v>
      </c>
      <c r="AB469" s="250">
        <v>18.919999999999995</v>
      </c>
      <c r="AC469" s="250">
        <v>29.120000000000005</v>
      </c>
      <c r="AD469" s="251" t="s">
        <v>2654</v>
      </c>
      <c r="AE469" s="250">
        <v>4.8529324790537203</v>
      </c>
      <c r="AF469" t="str">
        <f>IF('WetLitterbags placem_collection'!AB30="","",'WetLitterbags placem_collection'!AB30)</f>
        <v/>
      </c>
      <c r="AG469" t="str">
        <f>IF('WetLitterbags placem_collection'!Z30="","",'WetLitterbags placem_collection'!Z30)</f>
        <v/>
      </c>
      <c r="AH469" s="236" t="str">
        <f>IF('WetLitterbags placem_collection'!AA30="","",'WetLitterbags placem_collection'!AA30)</f>
        <v/>
      </c>
      <c r="AI469" t="str">
        <f>IF('WetLitterbags placem_collection'!AC30="","",'WetLitterbags placem_collection'!AC30)</f>
        <v/>
      </c>
      <c r="AJ469">
        <f>IFERROR(AVERAGE('Dry_Litterbag Placem_Collection'!O30,'Dry_Litterbag Placem_Collection'!R30),"")</f>
        <v>9.1000000000000014</v>
      </c>
      <c r="AK469" s="261">
        <f>IFERROR(AVERAGE('Dry_Litterbag Placem_Collection'!N30,'Dry_Litterbag Placem_Collection'!Q30),"")</f>
        <v>25.700000000000003</v>
      </c>
      <c r="AL469" s="260">
        <f>INDEX([2]Coordinates!$B$2:$B$197,MATCH(I469,[2]Coordinates!$J$2:$J$197,0))</f>
        <v>-3.3850070369999998</v>
      </c>
      <c r="AM469" s="260">
        <f>INDEX([2]Coordinates!$C$2:$C$197,MATCH(I469,[2]Coordinates!$J$2:$J$197,0))</f>
        <v>34.818888960000002</v>
      </c>
      <c r="AN469" s="260" t="str">
        <f>IF(ISNUMBER(SEARCH("C", 'Dry_Litterbag Placem_Collection'!U30)),"YES","NO")</f>
        <v>NO</v>
      </c>
      <c r="AO469" s="260" t="str">
        <f>IF(ISNUMBER(SEARCH("H", 'Dry_Litterbag Placem_Collection'!U30)),"YES","NO")</f>
        <v>NO</v>
      </c>
      <c r="AP469" s="260" t="str">
        <f>IF(ISNUMBER(SEARCH("R", 'Dry_Litterbag Placem_Collection'!U30)),"YES","NO")</f>
        <v>NO</v>
      </c>
    </row>
    <row r="470" spans="1:42" ht="15" customHeight="1">
      <c r="A470" t="s">
        <v>3248</v>
      </c>
      <c r="B470" s="252" t="s">
        <v>2643</v>
      </c>
      <c r="C470" s="253">
        <f>'Dry_Litterbag Placem_Collection'!A31</f>
        <v>29</v>
      </c>
      <c r="D470" s="253" t="str">
        <f>'Dry_Litterbag Placem_Collection'!B31</f>
        <v>Makao</v>
      </c>
      <c r="E470" s="253" t="s">
        <v>2643</v>
      </c>
      <c r="F470" s="253" t="s">
        <v>2644</v>
      </c>
      <c r="G470" s="253">
        <v>4</v>
      </c>
      <c r="H470" s="253" t="s">
        <v>3105</v>
      </c>
      <c r="I470" s="254" t="str">
        <f>'Dry_Litterbag Placem_Collection'!C31</f>
        <v>Dry_Ag4_T5</v>
      </c>
      <c r="J470" s="263" t="s">
        <v>2932</v>
      </c>
      <c r="K470" s="256" t="s">
        <v>1147</v>
      </c>
      <c r="L470" s="253" t="str">
        <f>IF(ISBLANK('Dry_Litterbag Placem_Collection'!L31),"","G"&amp;""&amp;'Dry_Litterbag Placem_Collection'!L31)</f>
        <v>G397</v>
      </c>
      <c r="M470" s="257">
        <f>IFERROR(INDEX('Green_rooibos initial weight'!$C$5:$C$2000,MATCH(L470, 'Green_rooibos initial weight'!$A$5:$A$2000,0)),"")</f>
        <v>1.968</v>
      </c>
      <c r="N470" s="257">
        <f>IFERROR(M470-(TBIcalc!$Q$9+TBIcalc!$Q$10),"")</f>
        <v>1.7181999999999999</v>
      </c>
      <c r="O470" s="378">
        <f>AVERAGE(Ashed_controlls!$K$2:$K$11)</f>
        <v>5.5147656768714146</v>
      </c>
      <c r="P470" s="257">
        <f t="shared" si="36"/>
        <v>1.6234452961399952</v>
      </c>
      <c r="Q470" s="257">
        <f>IFERROR(INDEX('Both teabags AfterDry'!$D$2:$D$2000,MATCH(L470,'Both teabags AfterDry'!$A$2:$A$2000,0)),"")</f>
        <v>1.7436</v>
      </c>
      <c r="R470" s="257">
        <f>IFERROR(IF(Q470&gt;0,Q470-(TBIcalc!$Q$9),""),"")</f>
        <v>1.593</v>
      </c>
      <c r="S470" s="268">
        <f>IFERROR(INDEX('Ashed teabags dry'!$K$2:$K$2000,MATCH(L470,'Ashed teabags dry'!$A$2:$A$2000,0)),"")</f>
        <v>6.4090019569471499</v>
      </c>
      <c r="T470" s="268">
        <f t="shared" si="37"/>
        <v>1.4909045988258318</v>
      </c>
      <c r="U470" s="258">
        <f>IF('Dry_Litterbag Placem_Collection'!E31="","",'Dry_Litterbag Placem_Collection'!E31)</f>
        <v>42936</v>
      </c>
      <c r="V470" s="258">
        <f>IF('Dry_Litterbag Placem_Collection'!G31="","",'Dry_Litterbag Placem_Collection'!G31)</f>
        <v>43007</v>
      </c>
      <c r="W470" s="259">
        <f t="shared" si="35"/>
        <v>71</v>
      </c>
      <c r="X470" s="257">
        <f t="shared" si="38"/>
        <v>0.12519999999999998</v>
      </c>
      <c r="Y470" s="257">
        <f t="shared" si="39"/>
        <v>0.1325406973141634</v>
      </c>
      <c r="Z470" s="261">
        <f>IFERROR(INDEX([3]Rainfall_Dry!$O$2:$O$217,MATCH(C470, [3]Rainfall_Dry!$A$2:$A$217,0)),"")</f>
        <v>6.900000125</v>
      </c>
      <c r="AA470" s="250">
        <v>51.960000000000008</v>
      </c>
      <c r="AB470" s="250">
        <v>18.919999999999995</v>
      </c>
      <c r="AC470" s="250">
        <v>29.120000000000005</v>
      </c>
      <c r="AD470" s="251" t="s">
        <v>2654</v>
      </c>
      <c r="AE470" s="250">
        <v>5.8529324790537203</v>
      </c>
      <c r="AF470" t="str">
        <f>IF('WetLitterbags placem_collection'!AB31="","",'WetLitterbags placem_collection'!AB31)</f>
        <v/>
      </c>
      <c r="AG470" t="str">
        <f>IF('WetLitterbags placem_collection'!Z31="","",'WetLitterbags placem_collection'!Z31)</f>
        <v/>
      </c>
      <c r="AH470" s="236" t="str">
        <f>IF('WetLitterbags placem_collection'!AA31="","",'WetLitterbags placem_collection'!AA31)</f>
        <v/>
      </c>
      <c r="AI470" t="str">
        <f>IF('WetLitterbags placem_collection'!AC31="","",'WetLitterbags placem_collection'!AC31)</f>
        <v/>
      </c>
      <c r="AJ470">
        <f>IFERROR(AVERAGE('Dry_Litterbag Placem_Collection'!O31,'Dry_Litterbag Placem_Collection'!R31),"")</f>
        <v>15.15</v>
      </c>
      <c r="AK470" s="261">
        <f>IFERROR(AVERAGE('Dry_Litterbag Placem_Collection'!N31,'Dry_Litterbag Placem_Collection'!Q31),"")</f>
        <v>25.65</v>
      </c>
      <c r="AL470" s="260">
        <f>INDEX([2]Coordinates!$B$2:$B$197,MATCH(I470,[2]Coordinates!$J$2:$J$197,0))</f>
        <v>-3.3849480280000002</v>
      </c>
      <c r="AM470" s="260">
        <f>INDEX([2]Coordinates!$C$2:$C$197,MATCH(I470,[2]Coordinates!$J$2:$J$197,0))</f>
        <v>34.818854010000003</v>
      </c>
      <c r="AN470" s="260" t="str">
        <f>IF(ISNUMBER(SEARCH("C", 'Dry_Litterbag Placem_Collection'!U31)),"YES","NO")</f>
        <v>NO</v>
      </c>
      <c r="AO470" s="260" t="str">
        <f>IF(ISNUMBER(SEARCH("H", 'Dry_Litterbag Placem_Collection'!U31)),"YES","NO")</f>
        <v>NO</v>
      </c>
      <c r="AP470" s="260" t="str">
        <f>IF(ISNUMBER(SEARCH("R", 'Dry_Litterbag Placem_Collection'!U31)),"YES","NO")</f>
        <v>NO</v>
      </c>
    </row>
    <row r="471" spans="1:42" ht="15" customHeight="1">
      <c r="A471" t="s">
        <v>3248</v>
      </c>
      <c r="B471" s="252" t="s">
        <v>2643</v>
      </c>
      <c r="C471" s="253">
        <f>'Dry_Litterbag Placem_Collection'!A32</f>
        <v>30</v>
      </c>
      <c r="D471" s="253" t="str">
        <f>'Dry_Litterbag Placem_Collection'!B32</f>
        <v>Makao</v>
      </c>
      <c r="E471" s="253" t="s">
        <v>2643</v>
      </c>
      <c r="F471" s="253" t="s">
        <v>2644</v>
      </c>
      <c r="G471" s="253">
        <v>4</v>
      </c>
      <c r="H471" s="253" t="s">
        <v>3105</v>
      </c>
      <c r="I471" s="254" t="str">
        <f>'Dry_Litterbag Placem_Collection'!C32</f>
        <v>Dry_Ag4_T6</v>
      </c>
      <c r="J471" s="263" t="s">
        <v>2932</v>
      </c>
      <c r="K471" s="256" t="s">
        <v>1147</v>
      </c>
      <c r="L471" s="253" t="str">
        <f>IF(ISBLANK('Dry_Litterbag Placem_Collection'!L32),"","G"&amp;""&amp;'Dry_Litterbag Placem_Collection'!L32)</f>
        <v>G166</v>
      </c>
      <c r="M471" s="257">
        <f>IFERROR(INDEX('Green_rooibos initial weight'!$C$5:$C$2000,MATCH(L471, 'Green_rooibos initial weight'!$A$5:$A$2000,0)),"")</f>
        <v>2.032</v>
      </c>
      <c r="N471" s="257">
        <f>IFERROR(M471-(TBIcalc!$Q$9+TBIcalc!$Q$10),"")</f>
        <v>1.7822</v>
      </c>
      <c r="O471" s="378">
        <f>AVERAGE(Ashed_controlls!$K$2:$K$11)</f>
        <v>5.5147656768714146</v>
      </c>
      <c r="P471" s="257">
        <f t="shared" si="36"/>
        <v>1.6839158461067976</v>
      </c>
      <c r="Q471" s="257">
        <f>IFERROR(INDEX('Both teabags AfterDry'!$D$2:$D$2000,MATCH(L471,'Both teabags AfterDry'!$A$2:$A$2000,0)),"")</f>
        <v>1.8809</v>
      </c>
      <c r="R471" s="257">
        <f>IFERROR(IF(Q471&gt;0,Q471-(TBIcalc!$Q$9),""),"")</f>
        <v>1.7302999999999999</v>
      </c>
      <c r="S471" s="268">
        <f>IFERROR(INDEX('Ashed teabags dry'!$K$2:$K$2000,MATCH(L471,'Ashed teabags dry'!$A$2:$A$2000,0)),"")</f>
        <v>5.730937348227001</v>
      </c>
      <c r="T471" s="268">
        <f t="shared" si="37"/>
        <v>1.6311375910636281</v>
      </c>
      <c r="U471" s="258">
        <f>IF('Dry_Litterbag Placem_Collection'!E32="","",'Dry_Litterbag Placem_Collection'!E32)</f>
        <v>42936</v>
      </c>
      <c r="V471" s="258">
        <f>IF('Dry_Litterbag Placem_Collection'!G32="","",'Dry_Litterbag Placem_Collection'!G32)</f>
        <v>43007</v>
      </c>
      <c r="W471" s="259">
        <f t="shared" si="35"/>
        <v>71</v>
      </c>
      <c r="X471" s="257">
        <f t="shared" si="38"/>
        <v>5.1900000000000057E-2</v>
      </c>
      <c r="Y471" s="257">
        <f t="shared" si="39"/>
        <v>5.2778255043169464E-2</v>
      </c>
      <c r="Z471" s="261">
        <f>IFERROR(INDEX([3]Rainfall_Dry!$O$2:$O$217,MATCH(C471, [3]Rainfall_Dry!$A$2:$A$217,0)),"")</f>
        <v>6.900000125</v>
      </c>
      <c r="AA471" s="250">
        <v>51.960000000000008</v>
      </c>
      <c r="AB471" s="250">
        <v>18.919999999999995</v>
      </c>
      <c r="AC471" s="250">
        <v>29.120000000000005</v>
      </c>
      <c r="AD471" s="251" t="s">
        <v>2654</v>
      </c>
      <c r="AE471" s="250">
        <v>6.8529324790537203</v>
      </c>
      <c r="AF471" t="str">
        <f>IF('WetLitterbags placem_collection'!AB32="","",'WetLitterbags placem_collection'!AB32)</f>
        <v/>
      </c>
      <c r="AG471" t="str">
        <f>IF('WetLitterbags placem_collection'!Z32="","",'WetLitterbags placem_collection'!Z32)</f>
        <v/>
      </c>
      <c r="AH471" s="236" t="str">
        <f>IF('WetLitterbags placem_collection'!AA32="","",'WetLitterbags placem_collection'!AA32)</f>
        <v/>
      </c>
      <c r="AI471" t="str">
        <f>IF('WetLitterbags placem_collection'!AC32="","",'WetLitterbags placem_collection'!AC32)</f>
        <v/>
      </c>
      <c r="AJ471">
        <f>IFERROR(AVERAGE('Dry_Litterbag Placem_Collection'!O32,'Dry_Litterbag Placem_Collection'!R32),"")</f>
        <v>9.3000000000000007</v>
      </c>
      <c r="AK471" s="261">
        <f>IFERROR(AVERAGE('Dry_Litterbag Placem_Collection'!N32,'Dry_Litterbag Placem_Collection'!Q32),"")</f>
        <v>24</v>
      </c>
      <c r="AL471" s="260">
        <f>INDEX([2]Coordinates!$B$2:$B$197,MATCH(I471,[2]Coordinates!$J$2:$J$197,0))</f>
        <v>-3.38496496</v>
      </c>
      <c r="AM471" s="260">
        <f>INDEX([2]Coordinates!$C$2:$C$197,MATCH(I471,[2]Coordinates!$J$2:$J$197,0))</f>
        <v>34.818790970000002</v>
      </c>
      <c r="AN471" s="260" t="str">
        <f>IF(ISNUMBER(SEARCH("C", 'Dry_Litterbag Placem_Collection'!U32)),"YES","NO")</f>
        <v>NO</v>
      </c>
      <c r="AO471" s="260" t="str">
        <f>IF(ISNUMBER(SEARCH("H", 'Dry_Litterbag Placem_Collection'!U32)),"YES","NO")</f>
        <v>NO</v>
      </c>
      <c r="AP471" s="260" t="str">
        <f>IF(ISNUMBER(SEARCH("R", 'Dry_Litterbag Placem_Collection'!U32)),"YES","NO")</f>
        <v>NO</v>
      </c>
    </row>
    <row r="472" spans="1:42" ht="15" customHeight="1">
      <c r="A472" t="s">
        <v>3248</v>
      </c>
      <c r="B472" s="252" t="s">
        <v>2643</v>
      </c>
      <c r="C472" s="253">
        <f>'Dry_Litterbag Placem_Collection'!A33</f>
        <v>31</v>
      </c>
      <c r="D472" s="253" t="str">
        <f>'Dry_Litterbag Placem_Collection'!B33</f>
        <v>Makao</v>
      </c>
      <c r="E472" s="253" t="s">
        <v>2643</v>
      </c>
      <c r="F472" s="253" t="s">
        <v>2644</v>
      </c>
      <c r="G472" s="253">
        <v>4</v>
      </c>
      <c r="H472" s="253" t="s">
        <v>3105</v>
      </c>
      <c r="I472" s="254" t="str">
        <f>'Dry_Litterbag Placem_Collection'!C33</f>
        <v>Dry_Ag4_T7</v>
      </c>
      <c r="J472" s="263" t="s">
        <v>2932</v>
      </c>
      <c r="K472" s="256" t="s">
        <v>1147</v>
      </c>
      <c r="L472" s="253" t="str">
        <f>IF(ISBLANK('Dry_Litterbag Placem_Collection'!L33),"","G"&amp;""&amp;'Dry_Litterbag Placem_Collection'!L33)</f>
        <v/>
      </c>
      <c r="M472" s="257" t="str">
        <f>IFERROR(INDEX('Green_rooibos initial weight'!$C$5:$C$2000,MATCH(L472, 'Green_rooibos initial weight'!$A$5:$A$2000,0)),"")</f>
        <v/>
      </c>
      <c r="N472" s="257" t="str">
        <f>IFERROR(M472-(TBIcalc!$Q$9+TBIcalc!$Q$10),"")</f>
        <v/>
      </c>
      <c r="O472" s="378">
        <f>AVERAGE(Ashed_controlls!$K$2:$K$11)</f>
        <v>5.5147656768714146</v>
      </c>
      <c r="P472" s="257" t="str">
        <f t="shared" si="36"/>
        <v/>
      </c>
      <c r="Q472" s="257" t="str">
        <f>IFERROR(INDEX('Both teabags AfterDry'!$D$2:$D$2000,MATCH(L472,'Both teabags AfterDry'!$A$2:$A$2000,0)),"")</f>
        <v/>
      </c>
      <c r="R472" s="257" t="str">
        <f>IFERROR(IF(Q472&gt;0,Q472-(TBIcalc!$Q$9),""),"")</f>
        <v/>
      </c>
      <c r="S472" s="268" t="str">
        <f>IFERROR(INDEX('Ashed teabags dry'!$K$2:$K$2000,MATCH(L472,'Ashed teabags dry'!$A$2:$A$2000,0)),"")</f>
        <v/>
      </c>
      <c r="T472" s="268" t="str">
        <f t="shared" si="37"/>
        <v/>
      </c>
      <c r="U472" s="258" t="str">
        <f>IF('Dry_Litterbag Placem_Collection'!E33="","",'Dry_Litterbag Placem_Collection'!E33)</f>
        <v/>
      </c>
      <c r="V472" s="258" t="str">
        <f>IF('Dry_Litterbag Placem_Collection'!G33="","",'Dry_Litterbag Placem_Collection'!G33)</f>
        <v/>
      </c>
      <c r="W472" s="259" t="str">
        <f t="shared" si="35"/>
        <v/>
      </c>
      <c r="X472" s="257" t="str">
        <f t="shared" si="38"/>
        <v/>
      </c>
      <c r="Y472" s="257" t="str">
        <f t="shared" si="39"/>
        <v/>
      </c>
      <c r="Z472" s="261" t="str">
        <f>IFERROR(INDEX([3]Rainfall_Dry!$O$2:$O$217,MATCH(C472, [3]Rainfall_Dry!$A$2:$A$217,0)),"")</f>
        <v/>
      </c>
      <c r="AA472" s="250">
        <v>51.960000000000008</v>
      </c>
      <c r="AB472" s="250">
        <v>18.919999999999995</v>
      </c>
      <c r="AC472" s="250">
        <v>29.120000000000005</v>
      </c>
      <c r="AD472" s="251" t="s">
        <v>2654</v>
      </c>
      <c r="AE472" s="250">
        <v>7.8529324790537203</v>
      </c>
      <c r="AF472" t="str">
        <f>IF('WetLitterbags placem_collection'!AB33="","",'WetLitterbags placem_collection'!AB33)</f>
        <v/>
      </c>
      <c r="AG472" t="str">
        <f>IF('WetLitterbags placem_collection'!Z33="","",'WetLitterbags placem_collection'!Z33)</f>
        <v/>
      </c>
      <c r="AH472" s="236" t="str">
        <f>IF('WetLitterbags placem_collection'!AA33="","",'WetLitterbags placem_collection'!AA33)</f>
        <v/>
      </c>
      <c r="AI472" t="str">
        <f>IF('WetLitterbags placem_collection'!AC33="","",'WetLitterbags placem_collection'!AC33)</f>
        <v/>
      </c>
      <c r="AJ472" t="str">
        <f>IFERROR(AVERAGE('Dry_Litterbag Placem_Collection'!O33,'Dry_Litterbag Placem_Collection'!R33),"")</f>
        <v/>
      </c>
      <c r="AK472" s="261" t="str">
        <f>IFERROR(AVERAGE('Dry_Litterbag Placem_Collection'!N33,'Dry_Litterbag Placem_Collection'!Q33),"")</f>
        <v/>
      </c>
      <c r="AL472" s="260">
        <f>INDEX([2]Coordinates!$B$2:$B$197,MATCH(I472,[2]Coordinates!$J$2:$J$197,0))</f>
        <v>-3.3848409909999999</v>
      </c>
      <c r="AM472" s="260">
        <f>INDEX([2]Coordinates!$C$2:$C$197,MATCH(I472,[2]Coordinates!$J$2:$J$197,0))</f>
        <v>34.818838999999997</v>
      </c>
      <c r="AN472" s="260" t="str">
        <f>IF(ISNUMBER(SEARCH("C", 'Dry_Litterbag Placem_Collection'!U33)),"YES","NO")</f>
        <v>NO</v>
      </c>
      <c r="AO472" s="260" t="str">
        <f>IF(ISNUMBER(SEARCH("H", 'Dry_Litterbag Placem_Collection'!U33)),"YES","NO")</f>
        <v>NO</v>
      </c>
      <c r="AP472" s="260" t="str">
        <f>IF(ISNUMBER(SEARCH("R", 'Dry_Litterbag Placem_Collection'!U33)),"YES","NO")</f>
        <v>NO</v>
      </c>
    </row>
    <row r="473" spans="1:42" ht="15" customHeight="1">
      <c r="A473" t="s">
        <v>3248</v>
      </c>
      <c r="B473" s="252" t="s">
        <v>2643</v>
      </c>
      <c r="C473" s="253">
        <f>'Dry_Litterbag Placem_Collection'!A34</f>
        <v>32</v>
      </c>
      <c r="D473" s="253" t="str">
        <f>'Dry_Litterbag Placem_Collection'!B34</f>
        <v>Makao</v>
      </c>
      <c r="E473" s="253" t="s">
        <v>2643</v>
      </c>
      <c r="F473" s="253" t="s">
        <v>2644</v>
      </c>
      <c r="G473" s="253">
        <v>4</v>
      </c>
      <c r="H473" s="253" t="s">
        <v>3105</v>
      </c>
      <c r="I473" s="254" t="str">
        <f>'Dry_Litterbag Placem_Collection'!C34</f>
        <v>Dry_Ag4_T8</v>
      </c>
      <c r="J473" s="263" t="s">
        <v>2932</v>
      </c>
      <c r="K473" s="256" t="s">
        <v>1147</v>
      </c>
      <c r="L473" s="253" t="str">
        <f>IF(ISBLANK('Dry_Litterbag Placem_Collection'!L34),"","G"&amp;""&amp;'Dry_Litterbag Placem_Collection'!L34)</f>
        <v>G293</v>
      </c>
      <c r="M473" s="257">
        <f>IFERROR(INDEX('Green_rooibos initial weight'!$C$5:$C$2000,MATCH(L473, 'Green_rooibos initial weight'!$A$5:$A$2000,0)),"")</f>
        <v>2.0699999999999998</v>
      </c>
      <c r="N473" s="257">
        <f>IFERROR(M473-(TBIcalc!$Q$9+TBIcalc!$Q$10),"")</f>
        <v>1.8201999999999998</v>
      </c>
      <c r="O473" s="378">
        <f>AVERAGE(Ashed_controlls!$K$2:$K$11)</f>
        <v>5.5147656768714146</v>
      </c>
      <c r="P473" s="257">
        <f t="shared" si="36"/>
        <v>1.7198202351495864</v>
      </c>
      <c r="Q473" s="257">
        <f>IFERROR(INDEX('Both teabags AfterDry'!$D$2:$D$2000,MATCH(L473,'Both teabags AfterDry'!$A$2:$A$2000,0)),"")</f>
        <v>1.8129</v>
      </c>
      <c r="R473" s="257">
        <f>IFERROR(IF(Q473&gt;0,Q473-(TBIcalc!$Q$9),""),"")</f>
        <v>1.6622999999999999</v>
      </c>
      <c r="S473" s="268">
        <f>IFERROR(INDEX('Ashed teabags dry'!$K$2:$K$2000,MATCH(L473,'Ashed teabags dry'!$A$2:$A$2000,0)),"")</f>
        <v>6.7003792667513089</v>
      </c>
      <c r="T473" s="268">
        <f t="shared" si="37"/>
        <v>1.5509195954487929</v>
      </c>
      <c r="U473" s="258">
        <f>IF('Dry_Litterbag Placem_Collection'!E34="","",'Dry_Litterbag Placem_Collection'!E34)</f>
        <v>42936</v>
      </c>
      <c r="V473" s="258">
        <f>IF('Dry_Litterbag Placem_Collection'!G34="","",'Dry_Litterbag Placem_Collection'!G34)</f>
        <v>43007</v>
      </c>
      <c r="W473" s="259">
        <f t="shared" si="35"/>
        <v>71</v>
      </c>
      <c r="X473" s="257">
        <f t="shared" si="38"/>
        <v>0.15789999999999993</v>
      </c>
      <c r="Y473" s="257">
        <f t="shared" si="39"/>
        <v>0.1689006397007935</v>
      </c>
      <c r="Z473" s="261">
        <f>IFERROR(INDEX([3]Rainfall_Dry!$O$2:$O$217,MATCH(C473, [3]Rainfall_Dry!$A$2:$A$217,0)),"")</f>
        <v>6.900000125</v>
      </c>
      <c r="AA473" s="250">
        <v>51.960000000000008</v>
      </c>
      <c r="AB473" s="250">
        <v>18.919999999999995</v>
      </c>
      <c r="AC473" s="250">
        <v>29.120000000000005</v>
      </c>
      <c r="AD473" s="251" t="s">
        <v>2654</v>
      </c>
      <c r="AE473" s="250">
        <v>8.8529324790537203</v>
      </c>
      <c r="AF473" t="str">
        <f>IF('WetLitterbags placem_collection'!AB34="","",'WetLitterbags placem_collection'!AB34)</f>
        <v/>
      </c>
      <c r="AG473" t="str">
        <f>IF('WetLitterbags placem_collection'!Z34="","",'WetLitterbags placem_collection'!Z34)</f>
        <v/>
      </c>
      <c r="AH473" s="236" t="str">
        <f>IF('WetLitterbags placem_collection'!AA34="","",'WetLitterbags placem_collection'!AA34)</f>
        <v/>
      </c>
      <c r="AI473" t="str">
        <f>IF('WetLitterbags placem_collection'!AC34="","",'WetLitterbags placem_collection'!AC34)</f>
        <v/>
      </c>
      <c r="AJ473">
        <f>IFERROR(AVERAGE('Dry_Litterbag Placem_Collection'!O34,'Dry_Litterbag Placem_Collection'!R34),"")</f>
        <v>11.850000000000001</v>
      </c>
      <c r="AK473" s="261">
        <f>IFERROR(AVERAGE('Dry_Litterbag Placem_Collection'!N34,'Dry_Litterbag Placem_Collection'!Q34),"")</f>
        <v>25.45</v>
      </c>
      <c r="AL473" s="260">
        <f>INDEX([2]Coordinates!$B$2:$B$197,MATCH(I473,[2]Coordinates!$J$2:$J$197,0))</f>
        <v>-3.3849010060000002</v>
      </c>
      <c r="AM473" s="260">
        <f>INDEX([2]Coordinates!$C$2:$C$197,MATCH(I473,[2]Coordinates!$J$2:$J$197,0))</f>
        <v>34.818979990000003</v>
      </c>
      <c r="AN473" s="260" t="str">
        <f>IF(ISNUMBER(SEARCH("C", 'Dry_Litterbag Placem_Collection'!U34)),"YES","NO")</f>
        <v>NO</v>
      </c>
      <c r="AO473" s="260" t="str">
        <f>IF(ISNUMBER(SEARCH("H", 'Dry_Litterbag Placem_Collection'!U34)),"YES","NO")</f>
        <v>NO</v>
      </c>
      <c r="AP473" s="260" t="str">
        <f>IF(ISNUMBER(SEARCH("R", 'Dry_Litterbag Placem_Collection'!U34)),"YES","NO")</f>
        <v>NO</v>
      </c>
    </row>
    <row r="474" spans="1:42" ht="15" customHeight="1">
      <c r="A474" t="s">
        <v>3248</v>
      </c>
      <c r="B474" s="252" t="s">
        <v>2643</v>
      </c>
      <c r="C474" s="253">
        <f>'Dry_Litterbag Placem_Collection'!A35</f>
        <v>33</v>
      </c>
      <c r="D474" s="253" t="str">
        <f>'Dry_Litterbag Placem_Collection'!B35</f>
        <v>Makao</v>
      </c>
      <c r="E474" s="253" t="s">
        <v>2643</v>
      </c>
      <c r="F474" s="253" t="s">
        <v>20</v>
      </c>
      <c r="G474" s="253">
        <v>1</v>
      </c>
      <c r="H474" s="253" t="s">
        <v>3106</v>
      </c>
      <c r="I474" s="254" t="str">
        <f>'Dry_Litterbag Placem_Collection'!C35</f>
        <v>Dry_P1_T1</v>
      </c>
      <c r="J474" s="263" t="s">
        <v>2932</v>
      </c>
      <c r="K474" s="256" t="s">
        <v>1147</v>
      </c>
      <c r="L474" s="253" t="str">
        <f>IF(ISBLANK('Dry_Litterbag Placem_Collection'!L35),"","G"&amp;""&amp;'Dry_Litterbag Placem_Collection'!L35)</f>
        <v>G139</v>
      </c>
      <c r="M474" s="257">
        <f>IFERROR(INDEX('Green_rooibos initial weight'!$C$5:$C$2000,MATCH(L474, 'Green_rooibos initial weight'!$A$5:$A$2000,0)),"")</f>
        <v>2.0059999999999998</v>
      </c>
      <c r="N474" s="257">
        <f>IFERROR(M474-(TBIcalc!$Q$9+TBIcalc!$Q$10),"")</f>
        <v>1.7561999999999998</v>
      </c>
      <c r="O474" s="378">
        <f>AVERAGE(Ashed_controlls!$K$2:$K$11)</f>
        <v>5.5147656768714146</v>
      </c>
      <c r="P474" s="257">
        <f t="shared" si="36"/>
        <v>1.659349685182784</v>
      </c>
      <c r="Q474" s="257">
        <f>IFERROR(INDEX('Both teabags AfterDry'!$D$2:$D$2000,MATCH(L474,'Both teabags AfterDry'!$A$2:$A$2000,0)),"")</f>
        <v>1.8048</v>
      </c>
      <c r="R474" s="257">
        <f>IFERROR(IF(Q474&gt;0,Q474-(TBIcalc!$Q$9),""),"")</f>
        <v>1.6541999999999999</v>
      </c>
      <c r="S474" s="268">
        <f>IFERROR(INDEX('Ashed teabags dry'!$K$2:$K$2000,MATCH(L474,'Ashed teabags dry'!$A$2:$A$2000,0)),"")</f>
        <v>6.0181368507832858</v>
      </c>
      <c r="T474" s="268">
        <f t="shared" si="37"/>
        <v>1.5546479802143427</v>
      </c>
      <c r="U474" s="258">
        <f>IF('Dry_Litterbag Placem_Collection'!E35="","",'Dry_Litterbag Placem_Collection'!E35)</f>
        <v>42938</v>
      </c>
      <c r="V474" s="258">
        <f>IF('Dry_Litterbag Placem_Collection'!G35="","",'Dry_Litterbag Placem_Collection'!G35)</f>
        <v>43005</v>
      </c>
      <c r="W474" s="259">
        <f t="shared" si="35"/>
        <v>67</v>
      </c>
      <c r="X474" s="257">
        <f t="shared" si="38"/>
        <v>0.10199999999999987</v>
      </c>
      <c r="Y474" s="257">
        <f t="shared" si="39"/>
        <v>0.10470170496844133</v>
      </c>
      <c r="Z474" s="261">
        <f>IFERROR(INDEX([3]Rainfall_Dry!$O$2:$O$217,MATCH(C474, [3]Rainfall_Dry!$A$2:$A$217,0)),"")</f>
        <v>6.5250000359999998</v>
      </c>
      <c r="AA474" s="250">
        <v>23.96</v>
      </c>
      <c r="AB474" s="250">
        <v>0.91999999999999804</v>
      </c>
      <c r="AC474" s="250">
        <v>75.12</v>
      </c>
      <c r="AD474" s="251" t="s">
        <v>2651</v>
      </c>
      <c r="AE474" s="250">
        <v>1.2493839329719072</v>
      </c>
      <c r="AF474">
        <f>IF('WetLitterbags placem_collection'!AB35="","",'WetLitterbags placem_collection'!AB35)</f>
        <v>9.5</v>
      </c>
      <c r="AG474">
        <f>IF('WetLitterbags placem_collection'!Z35="","",'WetLitterbags placem_collection'!Z35)</f>
        <v>17.2</v>
      </c>
      <c r="AH474" s="236" t="str">
        <f>IF('WetLitterbags placem_collection'!AA35="","",'WetLitterbags placem_collection'!AA35)</f>
        <v>G</v>
      </c>
      <c r="AI474">
        <f>IF('WetLitterbags placem_collection'!AC35="","",'WetLitterbags placem_collection'!AC35)</f>
        <v>0</v>
      </c>
      <c r="AJ474">
        <f>IFERROR(AVERAGE('Dry_Litterbag Placem_Collection'!O35,'Dry_Litterbag Placem_Collection'!R35),"")</f>
        <v>1.65</v>
      </c>
      <c r="AK474" s="261">
        <f>IFERROR(AVERAGE('Dry_Litterbag Placem_Collection'!N35,'Dry_Litterbag Placem_Collection'!Q35),"")</f>
        <v>26.15</v>
      </c>
      <c r="AL474" s="260">
        <f>INDEX([2]Coordinates!$B$2:$B$197,MATCH(I474,[2]Coordinates!$J$2:$J$197,0))</f>
        <v>-3.4092039989999998</v>
      </c>
      <c r="AM474" s="260">
        <f>INDEX([2]Coordinates!$C$2:$C$197,MATCH(I474,[2]Coordinates!$J$2:$J$197,0))</f>
        <v>34.852751009999999</v>
      </c>
      <c r="AN474" s="260" t="str">
        <f>IF(ISNUMBER(SEARCH("C", 'Dry_Litterbag Placem_Collection'!U35)),"YES","NO")</f>
        <v>NO</v>
      </c>
      <c r="AO474" s="260" t="str">
        <f>IF(ISNUMBER(SEARCH("H", 'Dry_Litterbag Placem_Collection'!U35)),"YES","NO")</f>
        <v>NO</v>
      </c>
      <c r="AP474" s="260" t="str">
        <f>IF(ISNUMBER(SEARCH("R", 'Dry_Litterbag Placem_Collection'!U35)),"YES","NO")</f>
        <v>NO</v>
      </c>
    </row>
    <row r="475" spans="1:42" ht="15" customHeight="1">
      <c r="A475" t="s">
        <v>3248</v>
      </c>
      <c r="B475" s="252" t="s">
        <v>2643</v>
      </c>
      <c r="C475" s="253">
        <f>'Dry_Litterbag Placem_Collection'!A36</f>
        <v>34</v>
      </c>
      <c r="D475" s="253" t="str">
        <f>'Dry_Litterbag Placem_Collection'!B36</f>
        <v>Makao</v>
      </c>
      <c r="E475" s="253" t="s">
        <v>2643</v>
      </c>
      <c r="F475" s="253" t="s">
        <v>20</v>
      </c>
      <c r="G475" s="253">
        <v>1</v>
      </c>
      <c r="H475" s="253" t="s">
        <v>3106</v>
      </c>
      <c r="I475" s="254" t="str">
        <f>'Dry_Litterbag Placem_Collection'!C36</f>
        <v>Dry_P1_T2</v>
      </c>
      <c r="J475" s="263" t="s">
        <v>2932</v>
      </c>
      <c r="K475" s="256" t="s">
        <v>1147</v>
      </c>
      <c r="L475" s="253" t="str">
        <f>IF(ISBLANK('Dry_Litterbag Placem_Collection'!L36),"","G"&amp;""&amp;'Dry_Litterbag Placem_Collection'!L36)</f>
        <v>G487</v>
      </c>
      <c r="M475" s="257">
        <f>IFERROR(INDEX('Green_rooibos initial weight'!$C$5:$C$2000,MATCH(L475, 'Green_rooibos initial weight'!$A$5:$A$2000,0)),"")</f>
        <v>1.9259999999999999</v>
      </c>
      <c r="N475" s="257">
        <f>IFERROR(M475-(TBIcalc!$Q$9+TBIcalc!$Q$10),"")</f>
        <v>1.6761999999999999</v>
      </c>
      <c r="O475" s="378">
        <f>AVERAGE(Ashed_controlls!$K$2:$K$11)</f>
        <v>5.5147656768714146</v>
      </c>
      <c r="P475" s="257">
        <f t="shared" si="36"/>
        <v>1.5837614977242813</v>
      </c>
      <c r="Q475" s="257" t="str">
        <f>IFERROR(INDEX('Both teabags AfterDry'!$D$2:$D$2000,MATCH(L475,'Both teabags AfterDry'!$A$2:$A$2000,0)),"")</f>
        <v/>
      </c>
      <c r="R475" s="257" t="str">
        <f>IFERROR(IF(Q475&gt;0,Q475-(TBIcalc!$Q$9),""),"")</f>
        <v/>
      </c>
      <c r="S475" s="268" t="str">
        <f>IFERROR(INDEX('Ashed teabags dry'!$K$2:$K$2000,MATCH(L475,'Ashed teabags dry'!$A$2:$A$2000,0)),"")</f>
        <v/>
      </c>
      <c r="T475" s="268" t="str">
        <f t="shared" si="37"/>
        <v/>
      </c>
      <c r="U475" s="258">
        <f>IF('Dry_Litterbag Placem_Collection'!E36="","",'Dry_Litterbag Placem_Collection'!E36)</f>
        <v>42938</v>
      </c>
      <c r="V475" s="258">
        <f>IF('Dry_Litterbag Placem_Collection'!G36="","",'Dry_Litterbag Placem_Collection'!G36)</f>
        <v>43005</v>
      </c>
      <c r="W475" s="259">
        <f t="shared" si="35"/>
        <v>67</v>
      </c>
      <c r="X475" s="257" t="str">
        <f t="shared" si="38"/>
        <v/>
      </c>
      <c r="Y475" s="257" t="str">
        <f t="shared" si="39"/>
        <v/>
      </c>
      <c r="Z475" s="261">
        <f>IFERROR(INDEX([3]Rainfall_Dry!$O$2:$O$217,MATCH(C475, [3]Rainfall_Dry!$A$2:$A$217,0)),"")</f>
        <v>6.5250000359999998</v>
      </c>
      <c r="AA475" s="250">
        <v>23.96</v>
      </c>
      <c r="AB475" s="250">
        <v>0.91999999999999804</v>
      </c>
      <c r="AC475" s="250">
        <v>75.12</v>
      </c>
      <c r="AD475" s="251" t="s">
        <v>2651</v>
      </c>
      <c r="AE475" s="250">
        <v>1.2493839329719072</v>
      </c>
      <c r="AF475">
        <f>IF('WetLitterbags placem_collection'!AB36="","",'WetLitterbags placem_collection'!AB36)</f>
        <v>6.5</v>
      </c>
      <c r="AG475">
        <f>IF('WetLitterbags placem_collection'!Z36="","",'WetLitterbags placem_collection'!Z36)</f>
        <v>14.2</v>
      </c>
      <c r="AH475" s="236" t="str">
        <f>IF('WetLitterbags placem_collection'!AA36="","",'WetLitterbags placem_collection'!AA36)</f>
        <v>G</v>
      </c>
      <c r="AI475">
        <f>IF('WetLitterbags placem_collection'!AC36="","",'WetLitterbags placem_collection'!AC36)</f>
        <v>0</v>
      </c>
      <c r="AJ475">
        <f>IFERROR(AVERAGE('Dry_Litterbag Placem_Collection'!O36,'Dry_Litterbag Placem_Collection'!R36),"")</f>
        <v>3.25</v>
      </c>
      <c r="AK475" s="261">
        <f>IFERROR(AVERAGE('Dry_Litterbag Placem_Collection'!N36,'Dry_Litterbag Placem_Collection'!Q36),"")</f>
        <v>26.9</v>
      </c>
      <c r="AL475" s="260">
        <f>INDEX([2]Coordinates!$B$2:$B$197,MATCH(I475,[2]Coordinates!$J$2:$J$197,0))</f>
        <v>-3.4092350119999999</v>
      </c>
      <c r="AM475" s="260">
        <f>INDEX([2]Coordinates!$C$2:$C$197,MATCH(I475,[2]Coordinates!$J$2:$J$197,0))</f>
        <v>34.852782019999999</v>
      </c>
      <c r="AN475" s="260" t="str">
        <f>IF(ISNUMBER(SEARCH("C", 'Dry_Litterbag Placem_Collection'!U36)),"YES","NO")</f>
        <v>NO</v>
      </c>
      <c r="AO475" s="260" t="str">
        <f>IF(ISNUMBER(SEARCH("H", 'Dry_Litterbag Placem_Collection'!U36)),"YES","NO")</f>
        <v>NO</v>
      </c>
      <c r="AP475" s="260" t="str">
        <f>IF(ISNUMBER(SEARCH("R", 'Dry_Litterbag Placem_Collection'!U36)),"YES","NO")</f>
        <v>NO</v>
      </c>
    </row>
    <row r="476" spans="1:42" ht="15" customHeight="1">
      <c r="A476" t="s">
        <v>3248</v>
      </c>
      <c r="B476" s="252" t="s">
        <v>2643</v>
      </c>
      <c r="C476" s="253">
        <f>'Dry_Litterbag Placem_Collection'!A37</f>
        <v>35</v>
      </c>
      <c r="D476" s="253" t="str">
        <f>'Dry_Litterbag Placem_Collection'!B37</f>
        <v>Makao</v>
      </c>
      <c r="E476" s="253" t="s">
        <v>2643</v>
      </c>
      <c r="F476" s="253" t="s">
        <v>20</v>
      </c>
      <c r="G476" s="253">
        <v>1</v>
      </c>
      <c r="H476" s="253" t="s">
        <v>3106</v>
      </c>
      <c r="I476" s="254" t="str">
        <f>'Dry_Litterbag Placem_Collection'!C37</f>
        <v>Dry_P1_T3</v>
      </c>
      <c r="J476" s="263" t="s">
        <v>2932</v>
      </c>
      <c r="K476" s="256" t="s">
        <v>1147</v>
      </c>
      <c r="L476" s="253" t="str">
        <f>IF(ISBLANK('Dry_Litterbag Placem_Collection'!L37),"","G"&amp;""&amp;'Dry_Litterbag Placem_Collection'!L37)</f>
        <v>G717</v>
      </c>
      <c r="M476" s="257">
        <f>IFERROR(INDEX('Green_rooibos initial weight'!$C$5:$C$2000,MATCH(L476, 'Green_rooibos initial weight'!$A$5:$A$2000,0)),"")</f>
        <v>1.944</v>
      </c>
      <c r="N476" s="257">
        <f>IFERROR(M476-(TBIcalc!$Q$9+TBIcalc!$Q$10),"")</f>
        <v>1.6941999999999999</v>
      </c>
      <c r="O476" s="378">
        <f>AVERAGE(Ashed_controlls!$K$2:$K$11)</f>
        <v>5.5147656768714146</v>
      </c>
      <c r="P476" s="257">
        <f t="shared" si="36"/>
        <v>1.6007688399024445</v>
      </c>
      <c r="Q476" s="257">
        <f>IFERROR(INDEX('Both teabags AfterDry'!$D$2:$D$2000,MATCH(L476,'Both teabags AfterDry'!$A$2:$A$2000,0)),"")</f>
        <v>1.8165</v>
      </c>
      <c r="R476" s="257">
        <f>IFERROR(IF(Q476&gt;0,Q476-(TBIcalc!$Q$9),""),"")</f>
        <v>1.6658999999999999</v>
      </c>
      <c r="S476" s="268">
        <f>IFERROR(INDEX('Ashed teabags dry'!$K$2:$K$2000,MATCH(L476,'Ashed teabags dry'!$A$2:$A$2000,0)),"")</f>
        <v>5.65371024735001</v>
      </c>
      <c r="T476" s="268">
        <f t="shared" si="37"/>
        <v>1.5717148409893962</v>
      </c>
      <c r="U476" s="258">
        <f>IF('Dry_Litterbag Placem_Collection'!E37="","",'Dry_Litterbag Placem_Collection'!E37)</f>
        <v>42938</v>
      </c>
      <c r="V476" s="258">
        <f>IF('Dry_Litterbag Placem_Collection'!G37="","",'Dry_Litterbag Placem_Collection'!G37)</f>
        <v>43005</v>
      </c>
      <c r="W476" s="259">
        <f t="shared" si="35"/>
        <v>67</v>
      </c>
      <c r="X476" s="257">
        <f t="shared" si="38"/>
        <v>2.8299999999999992E-2</v>
      </c>
      <c r="Y476" s="257">
        <f t="shared" si="39"/>
        <v>2.9053998913048273E-2</v>
      </c>
      <c r="Z476" s="261">
        <f>IFERROR(INDEX([3]Rainfall_Dry!$O$2:$O$217,MATCH(C476, [3]Rainfall_Dry!$A$2:$A$217,0)),"")</f>
        <v>6.5250000359999998</v>
      </c>
      <c r="AA476" s="250">
        <v>23.96</v>
      </c>
      <c r="AB476" s="250">
        <v>0.91999999999999804</v>
      </c>
      <c r="AC476" s="250">
        <v>75.12</v>
      </c>
      <c r="AD476" s="251" t="s">
        <v>2651</v>
      </c>
      <c r="AE476" s="250">
        <v>1.2493839329719072</v>
      </c>
      <c r="AF476">
        <f>IF('WetLitterbags placem_collection'!AB37="","",'WetLitterbags placem_collection'!AB37)</f>
        <v>0.7</v>
      </c>
      <c r="AG476">
        <f>IF('WetLitterbags placem_collection'!Z37="","",'WetLitterbags placem_collection'!Z37)</f>
        <v>10.6</v>
      </c>
      <c r="AH476" s="236" t="str">
        <f>IF('WetLitterbags placem_collection'!AA37="","",'WetLitterbags placem_collection'!AA37)</f>
        <v>G</v>
      </c>
      <c r="AI476">
        <f>IF('WetLitterbags placem_collection'!AC37="","",'WetLitterbags placem_collection'!AC37)</f>
        <v>0</v>
      </c>
      <c r="AJ476">
        <f>IFERROR(AVERAGE('Dry_Litterbag Placem_Collection'!O37,'Dry_Litterbag Placem_Collection'!R37),"")</f>
        <v>3.35</v>
      </c>
      <c r="AK476" s="261">
        <f>IFERROR(AVERAGE('Dry_Litterbag Placem_Collection'!N37,'Dry_Litterbag Placem_Collection'!Q37),"")</f>
        <v>26.95</v>
      </c>
      <c r="AL476" s="260">
        <f>INDEX([2]Coordinates!$B$2:$B$197,MATCH(I476,[2]Coordinates!$J$2:$J$197,0))</f>
        <v>-3.409177009</v>
      </c>
      <c r="AM476" s="260">
        <f>INDEX([2]Coordinates!$C$2:$C$197,MATCH(I476,[2]Coordinates!$J$2:$J$197,0))</f>
        <v>34.852818990000003</v>
      </c>
      <c r="AN476" s="260" t="str">
        <f>IF(ISNUMBER(SEARCH("C", 'Dry_Litterbag Placem_Collection'!U37)),"YES","NO")</f>
        <v>NO</v>
      </c>
      <c r="AO476" s="260" t="str">
        <f>IF(ISNUMBER(SEARCH("H", 'Dry_Litterbag Placem_Collection'!U37)),"YES","NO")</f>
        <v>NO</v>
      </c>
      <c r="AP476" s="260" t="str">
        <f>IF(ISNUMBER(SEARCH("R", 'Dry_Litterbag Placem_Collection'!U37)),"YES","NO")</f>
        <v>NO</v>
      </c>
    </row>
    <row r="477" spans="1:42" ht="15" customHeight="1">
      <c r="A477" t="s">
        <v>3248</v>
      </c>
      <c r="B477" s="252" t="s">
        <v>2643</v>
      </c>
      <c r="C477" s="253">
        <f>'Dry_Litterbag Placem_Collection'!A38</f>
        <v>36</v>
      </c>
      <c r="D477" s="253" t="str">
        <f>'Dry_Litterbag Placem_Collection'!B38</f>
        <v>Makao</v>
      </c>
      <c r="E477" s="253" t="s">
        <v>2643</v>
      </c>
      <c r="F477" s="253" t="s">
        <v>20</v>
      </c>
      <c r="G477" s="253">
        <v>1</v>
      </c>
      <c r="H477" s="253" t="s">
        <v>3106</v>
      </c>
      <c r="I477" s="254" t="str">
        <f>'Dry_Litterbag Placem_Collection'!C38</f>
        <v>Dry_P1_T4</v>
      </c>
      <c r="J477" s="263" t="s">
        <v>2932</v>
      </c>
      <c r="K477" s="256" t="s">
        <v>1147</v>
      </c>
      <c r="L477" s="253" t="str">
        <f>IF(ISBLANK('Dry_Litterbag Placem_Collection'!L38),"","G"&amp;""&amp;'Dry_Litterbag Placem_Collection'!L38)</f>
        <v>G767</v>
      </c>
      <c r="M477" s="257">
        <f>IFERROR(INDEX('Green_rooibos initial weight'!$C$5:$C$2000,MATCH(L477, 'Green_rooibos initial weight'!$A$5:$A$2000,0)),"")</f>
        <v>1.8879999999999999</v>
      </c>
      <c r="N477" s="257">
        <f>IFERROR(M477-(TBIcalc!$Q$9+TBIcalc!$Q$10),"")</f>
        <v>1.6381999999999999</v>
      </c>
      <c r="O477" s="378">
        <f>AVERAGE(Ashed_controlls!$K$2:$K$11)</f>
        <v>5.5147656768714146</v>
      </c>
      <c r="P477" s="257">
        <f t="shared" si="36"/>
        <v>1.5478571086814923</v>
      </c>
      <c r="Q477" s="257">
        <f>IFERROR(INDEX('Both teabags AfterDry'!$D$2:$D$2000,MATCH(L477,'Both teabags AfterDry'!$A$2:$A$2000,0)),"")</f>
        <v>1.4665999999999999</v>
      </c>
      <c r="R477" s="257">
        <f>IFERROR(IF(Q477&gt;0,Q477-(TBIcalc!$Q$9),""),"")</f>
        <v>1.3159999999999998</v>
      </c>
      <c r="S477" s="268">
        <f>IFERROR(INDEX('Ashed teabags dry'!$K$2:$K$2000,MATCH(L477,'Ashed teabags dry'!$A$2:$A$2000,0)),"")</f>
        <v>8.3333333333337372</v>
      </c>
      <c r="T477" s="268">
        <f t="shared" si="37"/>
        <v>1.2063333333333279</v>
      </c>
      <c r="U477" s="258">
        <f>IF('Dry_Litterbag Placem_Collection'!E38="","",'Dry_Litterbag Placem_Collection'!E38)</f>
        <v>42938</v>
      </c>
      <c r="V477" s="258">
        <f>IF('Dry_Litterbag Placem_Collection'!G38="","",'Dry_Litterbag Placem_Collection'!G38)</f>
        <v>43005</v>
      </c>
      <c r="W477" s="259">
        <f t="shared" si="35"/>
        <v>67</v>
      </c>
      <c r="X477" s="257">
        <f t="shared" si="38"/>
        <v>0.32220000000000004</v>
      </c>
      <c r="Y477" s="257">
        <f t="shared" si="39"/>
        <v>0.34152377534816436</v>
      </c>
      <c r="Z477" s="261">
        <f>IFERROR(INDEX([3]Rainfall_Dry!$O$2:$O$217,MATCH(C477, [3]Rainfall_Dry!$A$2:$A$217,0)),"")</f>
        <v>6.5250000359999998</v>
      </c>
      <c r="AA477" s="250">
        <v>23.96</v>
      </c>
      <c r="AB477" s="250">
        <v>0.91999999999999804</v>
      </c>
      <c r="AC477" s="250">
        <v>75.12</v>
      </c>
      <c r="AD477" s="251" t="s">
        <v>2651</v>
      </c>
      <c r="AE477" s="250">
        <v>1.2493839329719072</v>
      </c>
      <c r="AF477">
        <f>IF('WetLitterbags placem_collection'!AB38="","",'WetLitterbags placem_collection'!AB38)</f>
        <v>3.3</v>
      </c>
      <c r="AG477">
        <f>IF('WetLitterbags placem_collection'!Z38="","",'WetLitterbags placem_collection'!Z38)</f>
        <v>4.9000000000000004</v>
      </c>
      <c r="AH477" s="236" t="str">
        <f>IF('WetLitterbags placem_collection'!AA38="","",'WetLitterbags placem_collection'!AA38)</f>
        <v>G</v>
      </c>
      <c r="AI477">
        <f>IF('WetLitterbags placem_collection'!AC38="","",'WetLitterbags placem_collection'!AC38)</f>
        <v>1</v>
      </c>
      <c r="AJ477">
        <f>IFERROR(AVERAGE('Dry_Litterbag Placem_Collection'!O38,'Dry_Litterbag Placem_Collection'!R38),"")</f>
        <v>3</v>
      </c>
      <c r="AK477" s="261">
        <f>IFERROR(AVERAGE('Dry_Litterbag Placem_Collection'!N38,'Dry_Litterbag Placem_Collection'!Q38),"")</f>
        <v>25.85</v>
      </c>
      <c r="AL477" s="260">
        <f>INDEX([2]Coordinates!$B$2:$B$197,MATCH(I477,[2]Coordinates!$J$2:$J$197,0))</f>
        <v>-3.40917198</v>
      </c>
      <c r="AM477" s="260">
        <f>INDEX([2]Coordinates!$C$2:$C$197,MATCH(I477,[2]Coordinates!$J$2:$J$197,0))</f>
        <v>34.852960979999999</v>
      </c>
      <c r="AN477" s="260" t="str">
        <f>IF(ISNUMBER(SEARCH("C", 'Dry_Litterbag Placem_Collection'!U38)),"YES","NO")</f>
        <v>NO</v>
      </c>
      <c r="AO477" s="260" t="str">
        <f>IF(ISNUMBER(SEARCH("H", 'Dry_Litterbag Placem_Collection'!U38)),"YES","NO")</f>
        <v>NO</v>
      </c>
      <c r="AP477" s="260" t="str">
        <f>IF(ISNUMBER(SEARCH("R", 'Dry_Litterbag Placem_Collection'!U38)),"YES","NO")</f>
        <v>YES</v>
      </c>
    </row>
    <row r="478" spans="1:42" ht="15" customHeight="1">
      <c r="A478" t="s">
        <v>3248</v>
      </c>
      <c r="B478" s="252" t="s">
        <v>2643</v>
      </c>
      <c r="C478" s="253">
        <f>'Dry_Litterbag Placem_Collection'!A39</f>
        <v>37</v>
      </c>
      <c r="D478" s="253" t="str">
        <f>'Dry_Litterbag Placem_Collection'!B39</f>
        <v>Makao</v>
      </c>
      <c r="E478" s="253" t="s">
        <v>2643</v>
      </c>
      <c r="F478" s="253" t="s">
        <v>20</v>
      </c>
      <c r="G478" s="253">
        <v>1</v>
      </c>
      <c r="H478" s="253" t="s">
        <v>3106</v>
      </c>
      <c r="I478" s="254" t="str">
        <f>'Dry_Litterbag Placem_Collection'!C39</f>
        <v>Dry_P1_T5</v>
      </c>
      <c r="J478" s="263" t="s">
        <v>2932</v>
      </c>
      <c r="K478" s="256" t="s">
        <v>1147</v>
      </c>
      <c r="L478" s="253" t="str">
        <f>IF(ISBLANK('Dry_Litterbag Placem_Collection'!L39),"","G"&amp;""&amp;'Dry_Litterbag Placem_Collection'!L39)</f>
        <v>G473</v>
      </c>
      <c r="M478" s="257">
        <f>IFERROR(INDEX('Green_rooibos initial weight'!$C$5:$C$2000,MATCH(L478, 'Green_rooibos initial weight'!$A$5:$A$2000,0)),"")</f>
        <v>2.077</v>
      </c>
      <c r="N478" s="257">
        <f>IFERROR(M478-(TBIcalc!$Q$9+TBIcalc!$Q$10),"")</f>
        <v>1.8271999999999999</v>
      </c>
      <c r="O478" s="378">
        <f>AVERAGE(Ashed_controlls!$K$2:$K$11)</f>
        <v>5.5147656768714146</v>
      </c>
      <c r="P478" s="257">
        <f t="shared" si="36"/>
        <v>1.7264342015522054</v>
      </c>
      <c r="Q478" s="257">
        <f>IFERROR(INDEX('Both teabags AfterDry'!$D$2:$D$2000,MATCH(L478,'Both teabags AfterDry'!$A$2:$A$2000,0)),"")</f>
        <v>1.8992</v>
      </c>
      <c r="R478" s="257">
        <f>IFERROR(IF(Q478&gt;0,Q478-(TBIcalc!$Q$9),""),"")</f>
        <v>1.7485999999999999</v>
      </c>
      <c r="S478" s="268">
        <f>IFERROR(INDEX('Ashed teabags dry'!$K$2:$K$2000,MATCH(L478,'Ashed teabags dry'!$A$2:$A$2000,0)),"")</f>
        <v>6.7924528301884193</v>
      </c>
      <c r="T478" s="268">
        <f t="shared" si="37"/>
        <v>1.6298271698113251</v>
      </c>
      <c r="U478" s="258">
        <f>IF('Dry_Litterbag Placem_Collection'!E39="","",'Dry_Litterbag Placem_Collection'!E39)</f>
        <v>42938</v>
      </c>
      <c r="V478" s="258">
        <f>IF('Dry_Litterbag Placem_Collection'!G39="","",'Dry_Litterbag Placem_Collection'!G39)</f>
        <v>43005</v>
      </c>
      <c r="W478" s="259">
        <f t="shared" si="35"/>
        <v>67</v>
      </c>
      <c r="X478" s="257">
        <f t="shared" si="38"/>
        <v>7.8600000000000003E-2</v>
      </c>
      <c r="Y478" s="257">
        <f t="shared" si="39"/>
        <v>9.6607031740880256E-2</v>
      </c>
      <c r="Z478" s="261">
        <f>IFERROR(INDEX([3]Rainfall_Dry!$O$2:$O$217,MATCH(C478, [3]Rainfall_Dry!$A$2:$A$217,0)),"")</f>
        <v>6.5250000359999998</v>
      </c>
      <c r="AA478" s="250">
        <v>23.96</v>
      </c>
      <c r="AB478" s="250">
        <v>0.91999999999999804</v>
      </c>
      <c r="AC478" s="250">
        <v>75.12</v>
      </c>
      <c r="AD478" s="251" t="s">
        <v>2651</v>
      </c>
      <c r="AE478" s="250">
        <v>1.2493839329719072</v>
      </c>
      <c r="AF478">
        <f>IF('WetLitterbags placem_collection'!AB39="","",'WetLitterbags placem_collection'!AB39)</f>
        <v>8.3000000000000007</v>
      </c>
      <c r="AG478">
        <f>IF('WetLitterbags placem_collection'!Z39="","",'WetLitterbags placem_collection'!Z39)</f>
        <v>27.8</v>
      </c>
      <c r="AH478" s="236" t="str">
        <f>IF('WetLitterbags placem_collection'!AA39="","",'WetLitterbags placem_collection'!AA39)</f>
        <v>G</v>
      </c>
      <c r="AI478">
        <f>IF('WetLitterbags placem_collection'!AC39="","",'WetLitterbags placem_collection'!AC39)</f>
        <v>0</v>
      </c>
      <c r="AJ478">
        <f>IFERROR(AVERAGE('Dry_Litterbag Placem_Collection'!O39,'Dry_Litterbag Placem_Collection'!R39),"")</f>
        <v>4.25</v>
      </c>
      <c r="AK478" s="261">
        <f>IFERROR(AVERAGE('Dry_Litterbag Placem_Collection'!N39,'Dry_Litterbag Placem_Collection'!Q39),"")</f>
        <v>26.1</v>
      </c>
      <c r="AL478" s="260">
        <f>INDEX([2]Coordinates!$B$2:$B$197,MATCH(I478,[2]Coordinates!$J$2:$J$197,0))</f>
        <v>-3.4090709779999999</v>
      </c>
      <c r="AM478" s="260">
        <f>INDEX([2]Coordinates!$C$2:$C$197,MATCH(I478,[2]Coordinates!$J$2:$J$197,0))</f>
        <v>34.852712029999999</v>
      </c>
      <c r="AN478" s="260" t="str">
        <f>IF(ISNUMBER(SEARCH("C", 'Dry_Litterbag Placem_Collection'!U39)),"YES","NO")</f>
        <v>NO</v>
      </c>
      <c r="AO478" s="260" t="str">
        <f>IF(ISNUMBER(SEARCH("H", 'Dry_Litterbag Placem_Collection'!U39)),"YES","NO")</f>
        <v>NO</v>
      </c>
      <c r="AP478" s="260" t="str">
        <f>IF(ISNUMBER(SEARCH("R", 'Dry_Litterbag Placem_Collection'!U39)),"YES","NO")</f>
        <v>NO</v>
      </c>
    </row>
    <row r="479" spans="1:42" ht="15" customHeight="1">
      <c r="A479" t="s">
        <v>3248</v>
      </c>
      <c r="B479" s="252" t="s">
        <v>2643</v>
      </c>
      <c r="C479" s="253">
        <f>'Dry_Litterbag Placem_Collection'!A40</f>
        <v>38</v>
      </c>
      <c r="D479" s="253" t="str">
        <f>'Dry_Litterbag Placem_Collection'!B40</f>
        <v>Makao</v>
      </c>
      <c r="E479" s="253" t="s">
        <v>2643</v>
      </c>
      <c r="F479" s="253" t="s">
        <v>20</v>
      </c>
      <c r="G479" s="253">
        <v>1</v>
      </c>
      <c r="H479" s="253" t="s">
        <v>3106</v>
      </c>
      <c r="I479" s="254" t="str">
        <f>'Dry_Litterbag Placem_Collection'!C40</f>
        <v>Dry_P1_T6</v>
      </c>
      <c r="J479" s="263" t="s">
        <v>2932</v>
      </c>
      <c r="K479" s="256" t="s">
        <v>1147</v>
      </c>
      <c r="L479" s="253" t="str">
        <f>IF(ISBLANK('Dry_Litterbag Placem_Collection'!L40),"","G"&amp;""&amp;'Dry_Litterbag Placem_Collection'!L40)</f>
        <v>G111</v>
      </c>
      <c r="M479" s="257">
        <f>IFERROR(INDEX('Green_rooibos initial weight'!$C$5:$C$2000,MATCH(L479, 'Green_rooibos initial weight'!$A$5:$A$2000,0)),"")</f>
        <v>2.0750000000000002</v>
      </c>
      <c r="N479" s="257">
        <f>IFERROR(M479-(TBIcalc!$Q$9+TBIcalc!$Q$10),"")</f>
        <v>1.8252000000000002</v>
      </c>
      <c r="O479" s="378">
        <f>AVERAGE(Ashed_controlls!$K$2:$K$11)</f>
        <v>5.5147656768714146</v>
      </c>
      <c r="P479" s="257">
        <f t="shared" si="36"/>
        <v>1.7245444968657431</v>
      </c>
      <c r="Q479" s="257">
        <f>IFERROR(INDEX('Both teabags AfterDry'!$D$2:$D$2000,MATCH(L479,'Both teabags AfterDry'!$A$2:$A$2000,0)),"")</f>
        <v>1.8357000000000001</v>
      </c>
      <c r="R479" s="257">
        <f>IFERROR(IF(Q479&gt;0,Q479-(TBIcalc!$Q$9),""),"")</f>
        <v>1.6851</v>
      </c>
      <c r="S479" s="268">
        <f>IFERROR(INDEX('Ashed teabags dry'!$K$2:$K$2000,MATCH(L479,'Ashed teabags dry'!$A$2:$A$2000,0)),"")</f>
        <v>6.2317429406042981</v>
      </c>
      <c r="T479" s="268">
        <f t="shared" si="37"/>
        <v>1.580088899707877</v>
      </c>
      <c r="U479" s="258">
        <f>IF('Dry_Litterbag Placem_Collection'!E40="","",'Dry_Litterbag Placem_Collection'!E40)</f>
        <v>42938</v>
      </c>
      <c r="V479" s="258">
        <f>IF('Dry_Litterbag Placem_Collection'!G40="","",'Dry_Litterbag Placem_Collection'!G40)</f>
        <v>43005</v>
      </c>
      <c r="W479" s="259">
        <f t="shared" si="35"/>
        <v>67</v>
      </c>
      <c r="X479" s="257">
        <f t="shared" si="38"/>
        <v>0.14010000000000011</v>
      </c>
      <c r="Y479" s="257">
        <f t="shared" si="39"/>
        <v>0.14445559715786604</v>
      </c>
      <c r="Z479" s="261">
        <f>IFERROR(INDEX([3]Rainfall_Dry!$O$2:$O$217,MATCH(C479, [3]Rainfall_Dry!$A$2:$A$217,0)),"")</f>
        <v>6.5250000359999998</v>
      </c>
      <c r="AA479" s="250">
        <v>23.96</v>
      </c>
      <c r="AB479" s="250">
        <v>0.91999999999999804</v>
      </c>
      <c r="AC479" s="250">
        <v>75.12</v>
      </c>
      <c r="AD479" s="251" t="s">
        <v>2651</v>
      </c>
      <c r="AE479" s="250">
        <v>1.2493839329719072</v>
      </c>
      <c r="AF479">
        <f>IF('WetLitterbags placem_collection'!AB40="","",'WetLitterbags placem_collection'!AB40)</f>
        <v>2</v>
      </c>
      <c r="AG479">
        <f>IF('WetLitterbags placem_collection'!Z40="","",'WetLitterbags placem_collection'!Z40)</f>
        <v>20.399999999999999</v>
      </c>
      <c r="AH479" s="236" t="str">
        <f>IF('WetLitterbags placem_collection'!AA40="","",'WetLitterbags placem_collection'!AA40)</f>
        <v>O</v>
      </c>
      <c r="AI479">
        <f>IF('WetLitterbags placem_collection'!AC40="","",'WetLitterbags placem_collection'!AC40)</f>
        <v>0</v>
      </c>
      <c r="AJ479">
        <f>IFERROR(AVERAGE('Dry_Litterbag Placem_Collection'!O40,'Dry_Litterbag Placem_Collection'!R40),"")</f>
        <v>2.85</v>
      </c>
      <c r="AK479" s="261">
        <f>IFERROR(AVERAGE('Dry_Litterbag Placem_Collection'!N40,'Dry_Litterbag Placem_Collection'!Q40),"")</f>
        <v>26.7</v>
      </c>
      <c r="AL479" s="260">
        <f>INDEX([2]Coordinates!$B$2:$B$197,MATCH(I479,[2]Coordinates!$J$2:$J$197,0))</f>
        <v>-3.409280023</v>
      </c>
      <c r="AM479" s="260">
        <f>INDEX([2]Coordinates!$C$2:$C$197,MATCH(I479,[2]Coordinates!$J$2:$J$197,0))</f>
        <v>34.852612960000002</v>
      </c>
      <c r="AN479" s="260" t="str">
        <f>IF(ISNUMBER(SEARCH("C", 'Dry_Litterbag Placem_Collection'!U40)),"YES","NO")</f>
        <v>NO</v>
      </c>
      <c r="AO479" s="260" t="str">
        <f>IF(ISNUMBER(SEARCH("H", 'Dry_Litterbag Placem_Collection'!U40)),"YES","NO")</f>
        <v>NO</v>
      </c>
      <c r="AP479" s="260" t="str">
        <f>IF(ISNUMBER(SEARCH("R", 'Dry_Litterbag Placem_Collection'!U40)),"YES","NO")</f>
        <v>NO</v>
      </c>
    </row>
    <row r="480" spans="1:42" ht="15" customHeight="1">
      <c r="A480" t="s">
        <v>3248</v>
      </c>
      <c r="B480" s="252" t="s">
        <v>2643</v>
      </c>
      <c r="C480" s="253">
        <f>'Dry_Litterbag Placem_Collection'!A41</f>
        <v>39</v>
      </c>
      <c r="D480" s="253" t="str">
        <f>'Dry_Litterbag Placem_Collection'!B41</f>
        <v>Makao</v>
      </c>
      <c r="E480" s="253" t="s">
        <v>2643</v>
      </c>
      <c r="F480" s="253" t="s">
        <v>20</v>
      </c>
      <c r="G480" s="253">
        <v>1</v>
      </c>
      <c r="H480" s="253" t="s">
        <v>3106</v>
      </c>
      <c r="I480" s="254" t="str">
        <f>'Dry_Litterbag Placem_Collection'!C41</f>
        <v>Dry_P1_T7</v>
      </c>
      <c r="J480" s="263" t="s">
        <v>2932</v>
      </c>
      <c r="K480" s="256" t="s">
        <v>1147</v>
      </c>
      <c r="L480" s="253" t="str">
        <f>IF(ISBLANK('Dry_Litterbag Placem_Collection'!L41),"","G"&amp;""&amp;'Dry_Litterbag Placem_Collection'!L41)</f>
        <v/>
      </c>
      <c r="M480" s="257" t="str">
        <f>IFERROR(INDEX('Green_rooibos initial weight'!$C$5:$C$2000,MATCH(L480, 'Green_rooibos initial weight'!$A$5:$A$2000,0)),"")</f>
        <v/>
      </c>
      <c r="N480" s="257" t="str">
        <f>IFERROR(M480-(TBIcalc!$Q$9+TBIcalc!$Q$10),"")</f>
        <v/>
      </c>
      <c r="O480" s="378">
        <f>AVERAGE(Ashed_controlls!$K$2:$K$11)</f>
        <v>5.5147656768714146</v>
      </c>
      <c r="P480" s="257" t="str">
        <f t="shared" si="36"/>
        <v/>
      </c>
      <c r="Q480" s="257" t="str">
        <f>IFERROR(INDEX('Both teabags AfterDry'!$D$2:$D$2000,MATCH(L480,'Both teabags AfterDry'!$A$2:$A$2000,0)),"")</f>
        <v/>
      </c>
      <c r="R480" s="257" t="str">
        <f>IFERROR(IF(Q480&gt;0,Q480-(TBIcalc!$Q$9),""),"")</f>
        <v/>
      </c>
      <c r="S480" s="268" t="str">
        <f>IFERROR(INDEX('Ashed teabags dry'!$K$2:$K$2000,MATCH(L480,'Ashed teabags dry'!$A$2:$A$2000,0)),"")</f>
        <v/>
      </c>
      <c r="T480" s="268" t="str">
        <f t="shared" si="37"/>
        <v/>
      </c>
      <c r="U480" s="258">
        <f>IF('Dry_Litterbag Placem_Collection'!E41="","",'Dry_Litterbag Placem_Collection'!E41)</f>
        <v>42938</v>
      </c>
      <c r="V480" s="258" t="str">
        <f>IF('Dry_Litterbag Placem_Collection'!G41="","",'Dry_Litterbag Placem_Collection'!G41)</f>
        <v/>
      </c>
      <c r="W480" s="259" t="str">
        <f t="shared" si="35"/>
        <v/>
      </c>
      <c r="X480" s="257" t="str">
        <f t="shared" si="38"/>
        <v/>
      </c>
      <c r="Y480" s="257" t="str">
        <f t="shared" si="39"/>
        <v/>
      </c>
      <c r="Z480" s="261" t="str">
        <f>IFERROR(INDEX([3]Rainfall_Dry!$O$2:$O$217,MATCH(C480, [3]Rainfall_Dry!$A$2:$A$217,0)),"")</f>
        <v/>
      </c>
      <c r="AA480" s="250">
        <v>23.96</v>
      </c>
      <c r="AB480" s="250">
        <v>0.91999999999999804</v>
      </c>
      <c r="AC480" s="250">
        <v>75.12</v>
      </c>
      <c r="AD480" s="251" t="s">
        <v>2651</v>
      </c>
      <c r="AE480" s="250">
        <v>1.2493839329719072</v>
      </c>
      <c r="AF480">
        <f>IF('WetLitterbags placem_collection'!AB41="","",'WetLitterbags placem_collection'!AB41)</f>
        <v>2.4</v>
      </c>
      <c r="AG480">
        <f>IF('WetLitterbags placem_collection'!Z41="","",'WetLitterbags placem_collection'!Z41)</f>
        <v>18</v>
      </c>
      <c r="AH480" s="236" t="str">
        <f>IF('WetLitterbags placem_collection'!AA41="","",'WetLitterbags placem_collection'!AA41)</f>
        <v>G</v>
      </c>
      <c r="AI480">
        <f>IF('WetLitterbags placem_collection'!AC41="","",'WetLitterbags placem_collection'!AC41)</f>
        <v>1</v>
      </c>
      <c r="AJ480" t="str">
        <f>IFERROR(AVERAGE('Dry_Litterbag Placem_Collection'!O41,'Dry_Litterbag Placem_Collection'!R41),"")</f>
        <v/>
      </c>
      <c r="AK480" s="261" t="str">
        <f>IFERROR(AVERAGE('Dry_Litterbag Placem_Collection'!N41,'Dry_Litterbag Placem_Collection'!Q41),"")</f>
        <v/>
      </c>
      <c r="AL480" s="260">
        <f>INDEX([2]Coordinates!$B$2:$B$197,MATCH(I480,[2]Coordinates!$J$2:$J$197,0))</f>
        <v>-3.4093859700000002</v>
      </c>
      <c r="AM480" s="260">
        <f>INDEX([2]Coordinates!$C$2:$C$197,MATCH(I480,[2]Coordinates!$J$2:$J$197,0))</f>
        <v>34.852855030000001</v>
      </c>
      <c r="AN480" s="260" t="str">
        <f>IF(ISNUMBER(SEARCH("C", 'Dry_Litterbag Placem_Collection'!U41)),"YES","NO")</f>
        <v>NO</v>
      </c>
      <c r="AO480" s="260" t="str">
        <f>IF(ISNUMBER(SEARCH("H", 'Dry_Litterbag Placem_Collection'!U41)),"YES","NO")</f>
        <v>NO</v>
      </c>
      <c r="AP480" s="260" t="str">
        <f>IF(ISNUMBER(SEARCH("R", 'Dry_Litterbag Placem_Collection'!U41)),"YES","NO")</f>
        <v>NO</v>
      </c>
    </row>
    <row r="481" spans="1:42" ht="15" customHeight="1">
      <c r="A481" t="s">
        <v>3248</v>
      </c>
      <c r="B481" s="252" t="s">
        <v>2643</v>
      </c>
      <c r="C481" s="253">
        <f>'Dry_Litterbag Placem_Collection'!A42</f>
        <v>40</v>
      </c>
      <c r="D481" s="253" t="str">
        <f>'Dry_Litterbag Placem_Collection'!B42</f>
        <v>Makao</v>
      </c>
      <c r="E481" s="253" t="s">
        <v>2643</v>
      </c>
      <c r="F481" s="253" t="s">
        <v>20</v>
      </c>
      <c r="G481" s="253">
        <v>1</v>
      </c>
      <c r="H481" s="253" t="s">
        <v>3106</v>
      </c>
      <c r="I481" s="254" t="str">
        <f>'Dry_Litterbag Placem_Collection'!C42</f>
        <v>Dry_P1_T8</v>
      </c>
      <c r="J481" s="263" t="s">
        <v>2932</v>
      </c>
      <c r="K481" s="256" t="s">
        <v>1147</v>
      </c>
      <c r="L481" s="253" t="str">
        <f>IF(ISBLANK('Dry_Litterbag Placem_Collection'!L42),"","G"&amp;""&amp;'Dry_Litterbag Placem_Collection'!L42)</f>
        <v>G646</v>
      </c>
      <c r="M481" s="257">
        <f>IFERROR(INDEX('Green_rooibos initial weight'!$C$5:$C$2000,MATCH(L481, 'Green_rooibos initial weight'!$A$5:$A$2000,0)),"")</f>
        <v>2.1629999999999998</v>
      </c>
      <c r="N481" s="257">
        <f>IFERROR(M481-(TBIcalc!$Q$9+TBIcalc!$Q$10),"")</f>
        <v>1.9131999999999998</v>
      </c>
      <c r="O481" s="378">
        <f>AVERAGE(Ashed_controlls!$K$2:$K$11)</f>
        <v>5.5147656768714146</v>
      </c>
      <c r="P481" s="257">
        <f t="shared" si="36"/>
        <v>1.807691503070096</v>
      </c>
      <c r="Q481" s="257">
        <f>IFERROR(INDEX('Both teabags AfterDry'!$D$2:$D$2000,MATCH(L481,'Both teabags AfterDry'!$A$2:$A$2000,0)),"")</f>
        <v>1.9007000000000001</v>
      </c>
      <c r="R481" s="257">
        <f>IFERROR(IF(Q481&gt;0,Q481-(TBIcalc!$Q$9),""),"")</f>
        <v>1.7501</v>
      </c>
      <c r="S481" s="268">
        <f>IFERROR(INDEX('Ashed teabags dry'!$K$2:$K$2000,MATCH(L481,'Ashed teabags dry'!$A$2:$A$2000,0)),"")</f>
        <v>6.7672833495611799</v>
      </c>
      <c r="T481" s="268">
        <f t="shared" si="37"/>
        <v>1.6316657740993297</v>
      </c>
      <c r="U481" s="258">
        <f>IF('Dry_Litterbag Placem_Collection'!E42="","",'Dry_Litterbag Placem_Collection'!E42)</f>
        <v>42938</v>
      </c>
      <c r="V481" s="258">
        <f>IF('Dry_Litterbag Placem_Collection'!G42="","",'Dry_Litterbag Placem_Collection'!G42)</f>
        <v>43005</v>
      </c>
      <c r="W481" s="259">
        <f t="shared" si="35"/>
        <v>67</v>
      </c>
      <c r="X481" s="257">
        <f t="shared" si="38"/>
        <v>0.1630999999999998</v>
      </c>
      <c r="Y481" s="257">
        <f t="shared" si="39"/>
        <v>0.17602572897076629</v>
      </c>
      <c r="Z481" s="261">
        <f>IFERROR(INDEX([3]Rainfall_Dry!$O$2:$O$217,MATCH(C481, [3]Rainfall_Dry!$A$2:$A$217,0)),"")</f>
        <v>6.5250000359999998</v>
      </c>
      <c r="AA481" s="250">
        <v>23.96</v>
      </c>
      <c r="AB481" s="250">
        <v>0.91999999999999804</v>
      </c>
      <c r="AC481" s="250">
        <v>75.12</v>
      </c>
      <c r="AD481" s="251" t="s">
        <v>2651</v>
      </c>
      <c r="AE481" s="250">
        <v>1.2493839329719072</v>
      </c>
      <c r="AF481">
        <f>IF('WetLitterbags placem_collection'!AB42="","",'WetLitterbags placem_collection'!AB42)</f>
        <v>8.6999999999999993</v>
      </c>
      <c r="AG481">
        <f>IF('WetLitterbags placem_collection'!Z42="","",'WetLitterbags placem_collection'!Z42)</f>
        <v>19.3</v>
      </c>
      <c r="AH481" s="236" t="str">
        <f>IF('WetLitterbags placem_collection'!AA42="","",'WetLitterbags placem_collection'!AA42)</f>
        <v>G</v>
      </c>
      <c r="AI481">
        <f>IF('WetLitterbags placem_collection'!AC42="","",'WetLitterbags placem_collection'!AC42)</f>
        <v>0</v>
      </c>
      <c r="AJ481">
        <f>IFERROR(AVERAGE('Dry_Litterbag Placem_Collection'!O42,'Dry_Litterbag Placem_Collection'!R42),"")</f>
        <v>4.5999999999999996</v>
      </c>
      <c r="AK481" s="261">
        <f>IFERROR(AVERAGE('Dry_Litterbag Placem_Collection'!N42,'Dry_Litterbag Placem_Collection'!Q42),"")</f>
        <v>26.2</v>
      </c>
      <c r="AL481" s="260">
        <f>INDEX([2]Coordinates!$B$2:$B$197,MATCH(I481,[2]Coordinates!$J$2:$J$197,0))</f>
        <v>-3.4091539590000002</v>
      </c>
      <c r="AM481" s="260">
        <f>INDEX([2]Coordinates!$C$2:$C$197,MATCH(I481,[2]Coordinates!$J$2:$J$197,0))</f>
        <v>34.852755029999997</v>
      </c>
      <c r="AN481" s="260" t="str">
        <f>IF(ISNUMBER(SEARCH("C", 'Dry_Litterbag Placem_Collection'!U42)),"YES","NO")</f>
        <v>NO</v>
      </c>
      <c r="AO481" s="260" t="str">
        <f>IF(ISNUMBER(SEARCH("H", 'Dry_Litterbag Placem_Collection'!U42)),"YES","NO")</f>
        <v>NO</v>
      </c>
      <c r="AP481" s="260" t="str">
        <f>IF(ISNUMBER(SEARCH("R", 'Dry_Litterbag Placem_Collection'!U42)),"YES","NO")</f>
        <v>NO</v>
      </c>
    </row>
    <row r="482" spans="1:42" ht="15" customHeight="1">
      <c r="A482" t="s">
        <v>3248</v>
      </c>
      <c r="B482" s="252" t="s">
        <v>2643</v>
      </c>
      <c r="C482" s="253">
        <f>'Dry_Litterbag Placem_Collection'!A43</f>
        <v>41</v>
      </c>
      <c r="D482" s="253" t="str">
        <f>'Dry_Litterbag Placem_Collection'!B43</f>
        <v>Makao</v>
      </c>
      <c r="E482" s="253" t="s">
        <v>2643</v>
      </c>
      <c r="F482" s="253" t="s">
        <v>20</v>
      </c>
      <c r="G482" s="253">
        <v>2</v>
      </c>
      <c r="H482" s="253" t="s">
        <v>3108</v>
      </c>
      <c r="I482" s="254" t="str">
        <f>'Dry_Litterbag Placem_Collection'!C43</f>
        <v>Dry_P2_T1</v>
      </c>
      <c r="J482" s="263" t="s">
        <v>2932</v>
      </c>
      <c r="K482" s="256" t="s">
        <v>1147</v>
      </c>
      <c r="L482" s="253" t="str">
        <f>IF(ISBLANK('Dry_Litterbag Placem_Collection'!L43),"","G"&amp;""&amp;'Dry_Litterbag Placem_Collection'!L43)</f>
        <v>G43</v>
      </c>
      <c r="M482" s="257">
        <f>IFERROR(INDEX('Green_rooibos initial weight'!$C$5:$C$2000,MATCH(L482, 'Green_rooibos initial weight'!$A$5:$A$2000,0)),"")</f>
        <v>1.9650000000000001</v>
      </c>
      <c r="N482" s="257">
        <f>IFERROR(M482-(TBIcalc!$Q$9+TBIcalc!$Q$10),"")</f>
        <v>1.7152000000000001</v>
      </c>
      <c r="O482" s="378">
        <f>AVERAGE(Ashed_controlls!$K$2:$K$11)</f>
        <v>5.5147656768714146</v>
      </c>
      <c r="P482" s="257">
        <f t="shared" si="36"/>
        <v>1.6206107391103015</v>
      </c>
      <c r="Q482" s="257">
        <f>IFERROR(INDEX('Both teabags AfterDry'!$D$2:$D$2000,MATCH(L482,'Both teabags AfterDry'!$A$2:$A$2000,0)),"")</f>
        <v>1.7821</v>
      </c>
      <c r="R482" s="257">
        <f>IFERROR(IF(Q482&gt;0,Q482-(TBIcalc!$Q$9),""),"")</f>
        <v>1.6315</v>
      </c>
      <c r="S482" s="268">
        <f>IFERROR(INDEX('Ashed teabags dry'!$K$2:$K$2000,MATCH(L482,'Ashed teabags dry'!$A$2:$A$2000,0)),"")</f>
        <v>4.8097944905995158</v>
      </c>
      <c r="T482" s="268">
        <f t="shared" si="37"/>
        <v>1.5530282028858688</v>
      </c>
      <c r="U482" s="258">
        <f>IF('Dry_Litterbag Placem_Collection'!E43="","",'Dry_Litterbag Placem_Collection'!E43)</f>
        <v>42938</v>
      </c>
      <c r="V482" s="258">
        <f>IF('Dry_Litterbag Placem_Collection'!G43="","",'Dry_Litterbag Placem_Collection'!G43)</f>
        <v>43005</v>
      </c>
      <c r="W482" s="259">
        <f t="shared" si="35"/>
        <v>67</v>
      </c>
      <c r="X482" s="257">
        <f t="shared" si="38"/>
        <v>8.3700000000000108E-2</v>
      </c>
      <c r="Y482" s="257">
        <f t="shared" si="39"/>
        <v>6.7582536224432666E-2</v>
      </c>
      <c r="Z482" s="261">
        <f>IFERROR(INDEX([3]Rainfall_Dry!$O$2:$O$217,MATCH(C482, [3]Rainfall_Dry!$A$2:$A$217,0)),"")</f>
        <v>6.5250000359999998</v>
      </c>
      <c r="AA482" s="250">
        <v>19.96</v>
      </c>
      <c r="AB482" s="250">
        <v>4.9199999999999982</v>
      </c>
      <c r="AC482" s="250">
        <v>75.12</v>
      </c>
      <c r="AD482" s="251" t="s">
        <v>2652</v>
      </c>
      <c r="AE482" s="250">
        <v>1.641498275012321</v>
      </c>
      <c r="AF482">
        <f>IF('WetLitterbags placem_collection'!AB43="","",'WetLitterbags placem_collection'!AB43)</f>
        <v>4</v>
      </c>
      <c r="AG482">
        <f>IF('WetLitterbags placem_collection'!Z43="","",'WetLitterbags placem_collection'!Z43)</f>
        <v>19.100000000000001</v>
      </c>
      <c r="AH482" s="236" t="str">
        <f>IF('WetLitterbags placem_collection'!AA43="","",'WetLitterbags placem_collection'!AA43)</f>
        <v>G</v>
      </c>
      <c r="AI482">
        <f>IF('WetLitterbags placem_collection'!AC43="","",'WetLitterbags placem_collection'!AC43)</f>
        <v>0</v>
      </c>
      <c r="AJ482">
        <f>IFERROR(AVERAGE('Dry_Litterbag Placem_Collection'!O43,'Dry_Litterbag Placem_Collection'!R43),"")</f>
        <v>4.6500000000000004</v>
      </c>
      <c r="AK482" s="261">
        <f>IFERROR(AVERAGE('Dry_Litterbag Placem_Collection'!N43,'Dry_Litterbag Placem_Collection'!Q43),"")</f>
        <v>27.85</v>
      </c>
      <c r="AL482" s="260">
        <f>INDEX([2]Coordinates!$B$2:$B$197,MATCH(I482,[2]Coordinates!$J$2:$J$197,0))</f>
        <v>-3.4083420040000001</v>
      </c>
      <c r="AM482" s="260">
        <f>INDEX([2]Coordinates!$C$2:$C$197,MATCH(I482,[2]Coordinates!$J$2:$J$197,0))</f>
        <v>34.850283040000001</v>
      </c>
      <c r="AN482" s="260" t="str">
        <f>IF(ISNUMBER(SEARCH("C", 'Dry_Litterbag Placem_Collection'!U43)),"YES","NO")</f>
        <v>NO</v>
      </c>
      <c r="AO482" s="260" t="str">
        <f>IF(ISNUMBER(SEARCH("H", 'Dry_Litterbag Placem_Collection'!U43)),"YES","NO")</f>
        <v>NO</v>
      </c>
      <c r="AP482" s="260" t="str">
        <f>IF(ISNUMBER(SEARCH("R", 'Dry_Litterbag Placem_Collection'!U43)),"YES","NO")</f>
        <v>NO</v>
      </c>
    </row>
    <row r="483" spans="1:42" ht="15" customHeight="1">
      <c r="A483" t="s">
        <v>3248</v>
      </c>
      <c r="B483" s="252" t="s">
        <v>2643</v>
      </c>
      <c r="C483" s="253">
        <f>'Dry_Litterbag Placem_Collection'!A44</f>
        <v>42</v>
      </c>
      <c r="D483" s="253" t="str">
        <f>'Dry_Litterbag Placem_Collection'!B44</f>
        <v>Makao</v>
      </c>
      <c r="E483" s="253" t="s">
        <v>2643</v>
      </c>
      <c r="F483" s="253" t="s">
        <v>20</v>
      </c>
      <c r="G483" s="253">
        <v>2</v>
      </c>
      <c r="H483" s="253" t="s">
        <v>3108</v>
      </c>
      <c r="I483" s="254" t="str">
        <f>'Dry_Litterbag Placem_Collection'!C44</f>
        <v>Dry_P2_T2</v>
      </c>
      <c r="J483" s="263" t="s">
        <v>2932</v>
      </c>
      <c r="K483" s="256" t="s">
        <v>1147</v>
      </c>
      <c r="L483" s="253" t="str">
        <f>IF(ISBLANK('Dry_Litterbag Placem_Collection'!L44),"","G"&amp;""&amp;'Dry_Litterbag Placem_Collection'!L44)</f>
        <v>G268</v>
      </c>
      <c r="M483" s="257">
        <f>IFERROR(INDEX('Green_rooibos initial weight'!$C$5:$C$2000,MATCH(L483, 'Green_rooibos initial weight'!$A$5:$A$2000,0)),"")</f>
        <v>2.1389999999999998</v>
      </c>
      <c r="N483" s="257">
        <f>IFERROR(M483-(TBIcalc!$Q$9+TBIcalc!$Q$10),"")</f>
        <v>1.8891999999999998</v>
      </c>
      <c r="O483" s="378">
        <f>AVERAGE(Ashed_controlls!$K$2:$K$11)</f>
        <v>5.5147656768714146</v>
      </c>
      <c r="P483" s="257">
        <f t="shared" si="36"/>
        <v>1.785015046832545</v>
      </c>
      <c r="Q483" s="257">
        <f>IFERROR(INDEX('Both teabags AfterDry'!$D$2:$D$2000,MATCH(L483,'Both teabags AfterDry'!$A$2:$A$2000,0)),"")</f>
        <v>1.7633000000000001</v>
      </c>
      <c r="R483" s="257">
        <f>IFERROR(IF(Q483&gt;0,Q483-(TBIcalc!$Q$9),""),"")</f>
        <v>1.6127</v>
      </c>
      <c r="S483" s="268">
        <f>IFERROR(INDEX('Ashed teabags dry'!$K$2:$K$2000,MATCH(L483,'Ashed teabags dry'!$A$2:$A$2000,0)),"")</f>
        <v>9.3972472710013903</v>
      </c>
      <c r="T483" s="268">
        <f t="shared" si="37"/>
        <v>1.4611505932605606</v>
      </c>
      <c r="U483" s="258">
        <f>IF('Dry_Litterbag Placem_Collection'!E44="","",'Dry_Litterbag Placem_Collection'!E44)</f>
        <v>42938</v>
      </c>
      <c r="V483" s="258">
        <f>IF('Dry_Litterbag Placem_Collection'!G44="","",'Dry_Litterbag Placem_Collection'!G44)</f>
        <v>43005</v>
      </c>
      <c r="W483" s="259">
        <f t="shared" si="35"/>
        <v>67</v>
      </c>
      <c r="X483" s="257">
        <f t="shared" si="38"/>
        <v>0.27649999999999975</v>
      </c>
      <c r="Y483" s="257">
        <f t="shared" si="39"/>
        <v>0.32386445357198435</v>
      </c>
      <c r="Z483" s="261">
        <f>IFERROR(INDEX([3]Rainfall_Dry!$O$2:$O$217,MATCH(C483, [3]Rainfall_Dry!$A$2:$A$217,0)),"")</f>
        <v>6.5250000359999998</v>
      </c>
      <c r="AA483" s="250">
        <v>19.96</v>
      </c>
      <c r="AB483" s="250">
        <v>4.9199999999999982</v>
      </c>
      <c r="AC483" s="250">
        <v>75.12</v>
      </c>
      <c r="AD483" s="251" t="s">
        <v>2652</v>
      </c>
      <c r="AE483" s="250">
        <v>1.641498275012321</v>
      </c>
      <c r="AF483">
        <f>IF('WetLitterbags placem_collection'!AB44="","",'WetLitterbags placem_collection'!AB44)</f>
        <v>5.9</v>
      </c>
      <c r="AG483">
        <f>IF('WetLitterbags placem_collection'!Z44="","",'WetLitterbags placem_collection'!Z44)</f>
        <v>12.7</v>
      </c>
      <c r="AH483" s="236" t="str">
        <f>IF('WetLitterbags placem_collection'!AA44="","",'WetLitterbags placem_collection'!AA44)</f>
        <v>G</v>
      </c>
      <c r="AI483">
        <f>IF('WetLitterbags placem_collection'!AC44="","",'WetLitterbags placem_collection'!AC44)</f>
        <v>0</v>
      </c>
      <c r="AJ483">
        <f>IFERROR(AVERAGE('Dry_Litterbag Placem_Collection'!O44,'Dry_Litterbag Placem_Collection'!R44),"")</f>
        <v>5.1999999999999993</v>
      </c>
      <c r="AK483" s="261">
        <f>IFERROR(AVERAGE('Dry_Litterbag Placem_Collection'!N44,'Dry_Litterbag Placem_Collection'!Q44),"")</f>
        <v>27.15</v>
      </c>
      <c r="AL483" s="260">
        <f>INDEX([2]Coordinates!$B$2:$B$197,MATCH(I483,[2]Coordinates!$J$2:$J$197,0))</f>
        <v>-3.4084079690000002</v>
      </c>
      <c r="AM483" s="260">
        <f>INDEX([2]Coordinates!$C$2:$C$197,MATCH(I483,[2]Coordinates!$J$2:$J$197,0))</f>
        <v>34.850295029999998</v>
      </c>
      <c r="AN483" s="260" t="str">
        <f>IF(ISNUMBER(SEARCH("C", 'Dry_Litterbag Placem_Collection'!U44)),"YES","NO")</f>
        <v>NO</v>
      </c>
      <c r="AO483" s="260" t="str">
        <f>IF(ISNUMBER(SEARCH("H", 'Dry_Litterbag Placem_Collection'!U44)),"YES","NO")</f>
        <v>NO</v>
      </c>
      <c r="AP483" s="260" t="str">
        <f>IF(ISNUMBER(SEARCH("R", 'Dry_Litterbag Placem_Collection'!U44)),"YES","NO")</f>
        <v>YES</v>
      </c>
    </row>
    <row r="484" spans="1:42" ht="15" customHeight="1">
      <c r="A484" t="s">
        <v>3248</v>
      </c>
      <c r="B484" s="252" t="s">
        <v>2643</v>
      </c>
      <c r="C484" s="253">
        <f>'Dry_Litterbag Placem_Collection'!A45</f>
        <v>43</v>
      </c>
      <c r="D484" s="253" t="str">
        <f>'Dry_Litterbag Placem_Collection'!B45</f>
        <v>Makao</v>
      </c>
      <c r="E484" s="253" t="s">
        <v>2643</v>
      </c>
      <c r="F484" s="253" t="s">
        <v>20</v>
      </c>
      <c r="G484" s="253">
        <v>2</v>
      </c>
      <c r="H484" s="253" t="s">
        <v>3108</v>
      </c>
      <c r="I484" s="254" t="str">
        <f>'Dry_Litterbag Placem_Collection'!C45</f>
        <v>Dry_P2_T3</v>
      </c>
      <c r="J484" s="263" t="s">
        <v>2932</v>
      </c>
      <c r="K484" s="256" t="s">
        <v>1147</v>
      </c>
      <c r="L484" s="253" t="str">
        <f>IF(ISBLANK('Dry_Litterbag Placem_Collection'!L45),"","G"&amp;""&amp;'Dry_Litterbag Placem_Collection'!L45)</f>
        <v>G300</v>
      </c>
      <c r="M484" s="257">
        <f>IFERROR(INDEX('Green_rooibos initial weight'!$C$5:$C$2000,MATCH(L484, 'Green_rooibos initial weight'!$A$5:$A$2000,0)),"")</f>
        <v>2.052</v>
      </c>
      <c r="N484" s="257">
        <f>IFERROR(M484-(TBIcalc!$Q$9+TBIcalc!$Q$10),"")</f>
        <v>1.8022</v>
      </c>
      <c r="O484" s="378">
        <f>AVERAGE(Ashed_controlls!$K$2:$K$11)</f>
        <v>5.5147656768714146</v>
      </c>
      <c r="P484" s="257">
        <f t="shared" si="36"/>
        <v>1.7028128929714235</v>
      </c>
      <c r="Q484" s="257">
        <f>IFERROR(INDEX('Both teabags AfterDry'!$D$2:$D$2000,MATCH(L484,'Both teabags AfterDry'!$A$2:$A$2000,0)),"")</f>
        <v>1.8340000000000001</v>
      </c>
      <c r="R484" s="257">
        <f>IFERROR(IF(Q484&gt;0,Q484-(TBIcalc!$Q$9),""),"")</f>
        <v>1.6834</v>
      </c>
      <c r="S484" s="268">
        <f>IFERROR(INDEX('Ashed teabags dry'!$K$2:$K$2000,MATCH(L484,'Ashed teabags dry'!$A$2:$A$2000,0)),"")</f>
        <v>6.2999529854254668</v>
      </c>
      <c r="T484" s="268">
        <f t="shared" si="37"/>
        <v>1.5773465914433478</v>
      </c>
      <c r="U484" s="258">
        <f>IF('Dry_Litterbag Placem_Collection'!E45="","",'Dry_Litterbag Placem_Collection'!E45)</f>
        <v>42938</v>
      </c>
      <c r="V484" s="258">
        <f>IF('Dry_Litterbag Placem_Collection'!G45="","",'Dry_Litterbag Placem_Collection'!G45)</f>
        <v>43005</v>
      </c>
      <c r="W484" s="259">
        <f t="shared" si="35"/>
        <v>67</v>
      </c>
      <c r="X484" s="257">
        <f t="shared" si="38"/>
        <v>0.11880000000000002</v>
      </c>
      <c r="Y484" s="257">
        <f t="shared" si="39"/>
        <v>0.1254663015280757</v>
      </c>
      <c r="Z484" s="261">
        <f>IFERROR(INDEX([3]Rainfall_Dry!$O$2:$O$217,MATCH(C484, [3]Rainfall_Dry!$A$2:$A$217,0)),"")</f>
        <v>6.5250000359999998</v>
      </c>
      <c r="AA484" s="250">
        <v>19.96</v>
      </c>
      <c r="AB484" s="250">
        <v>4.9199999999999982</v>
      </c>
      <c r="AC484" s="250">
        <v>75.12</v>
      </c>
      <c r="AD484" s="251" t="s">
        <v>2652</v>
      </c>
      <c r="AE484" s="250">
        <v>1.641498275012321</v>
      </c>
      <c r="AF484">
        <f>IF('WetLitterbags placem_collection'!AB45="","",'WetLitterbags placem_collection'!AB45)</f>
        <v>5</v>
      </c>
      <c r="AG484">
        <f>IF('WetLitterbags placem_collection'!Z45="","",'WetLitterbags placem_collection'!Z45)</f>
        <v>26.3</v>
      </c>
      <c r="AH484" s="236" t="str">
        <f>IF('WetLitterbags placem_collection'!AA45="","",'WetLitterbags placem_collection'!AA45)</f>
        <v>G</v>
      </c>
      <c r="AI484">
        <f>IF('WetLitterbags placem_collection'!AC45="","",'WetLitterbags placem_collection'!AC45)</f>
        <v>0</v>
      </c>
      <c r="AJ484">
        <f>IFERROR(AVERAGE('Dry_Litterbag Placem_Collection'!O45,'Dry_Litterbag Placem_Collection'!R45),"")</f>
        <v>2.4500000000000002</v>
      </c>
      <c r="AK484" s="261">
        <f>IFERROR(AVERAGE('Dry_Litterbag Placem_Collection'!N45,'Dry_Litterbag Placem_Collection'!Q45),"")</f>
        <v>26.1</v>
      </c>
      <c r="AL484" s="260">
        <f>INDEX([2]Coordinates!$B$2:$B$197,MATCH(I484,[2]Coordinates!$J$2:$J$197,0))</f>
        <v>-3.4082369789999998</v>
      </c>
      <c r="AM484" s="260">
        <f>INDEX([2]Coordinates!$C$2:$C$197,MATCH(I484,[2]Coordinates!$J$2:$J$197,0))</f>
        <v>34.850189999999998</v>
      </c>
      <c r="AN484" s="260" t="str">
        <f>IF(ISNUMBER(SEARCH("C", 'Dry_Litterbag Placem_Collection'!U45)),"YES","NO")</f>
        <v>NO</v>
      </c>
      <c r="AO484" s="260" t="str">
        <f>IF(ISNUMBER(SEARCH("H", 'Dry_Litterbag Placem_Collection'!U45)),"YES","NO")</f>
        <v>NO</v>
      </c>
      <c r="AP484" s="260" t="str">
        <f>IF(ISNUMBER(SEARCH("R", 'Dry_Litterbag Placem_Collection'!U45)),"YES","NO")</f>
        <v>NO</v>
      </c>
    </row>
    <row r="485" spans="1:42" ht="15" customHeight="1">
      <c r="A485" t="s">
        <v>3248</v>
      </c>
      <c r="B485" s="252" t="s">
        <v>2643</v>
      </c>
      <c r="C485" s="253">
        <f>'Dry_Litterbag Placem_Collection'!A46</f>
        <v>44</v>
      </c>
      <c r="D485" s="253" t="str">
        <f>'Dry_Litterbag Placem_Collection'!B46</f>
        <v>Makao</v>
      </c>
      <c r="E485" s="253" t="s">
        <v>2643</v>
      </c>
      <c r="F485" s="253" t="s">
        <v>20</v>
      </c>
      <c r="G485" s="253">
        <v>2</v>
      </c>
      <c r="H485" s="253" t="s">
        <v>3108</v>
      </c>
      <c r="I485" s="254" t="str">
        <f>'Dry_Litterbag Placem_Collection'!C46</f>
        <v>Dry_P2_T4</v>
      </c>
      <c r="J485" s="263" t="s">
        <v>2932</v>
      </c>
      <c r="K485" s="256" t="s">
        <v>1147</v>
      </c>
      <c r="L485" s="253" t="str">
        <f>IF(ISBLANK('Dry_Litterbag Placem_Collection'!L46),"","G"&amp;""&amp;'Dry_Litterbag Placem_Collection'!L46)</f>
        <v>G823</v>
      </c>
      <c r="M485" s="257">
        <f>IFERROR(INDEX('Green_rooibos initial weight'!$C$5:$C$2000,MATCH(L485, 'Green_rooibos initial weight'!$A$5:$A$2000,0)),"")</f>
        <v>1.9630000000000001</v>
      </c>
      <c r="N485" s="257">
        <f>IFERROR(M485-(TBIcalc!$Q$9+TBIcalc!$Q$10),"")</f>
        <v>1.7132000000000001</v>
      </c>
      <c r="O485" s="378">
        <f>AVERAGE(Ashed_controlls!$K$2:$K$11)</f>
        <v>5.5147656768714146</v>
      </c>
      <c r="P485" s="257">
        <f t="shared" si="36"/>
        <v>1.618721034423839</v>
      </c>
      <c r="Q485" s="257">
        <f>IFERROR(INDEX('Both teabags AfterDry'!$D$2:$D$2000,MATCH(L485,'Both teabags AfterDry'!$A$2:$A$2000,0)),"")</f>
        <v>1.8245</v>
      </c>
      <c r="R485" s="257">
        <f>IFERROR(IF(Q485&gt;0,Q485-(TBIcalc!$Q$9),""),"")</f>
        <v>1.6738999999999999</v>
      </c>
      <c r="S485" s="268">
        <f>IFERROR(INDEX('Ashed teabags dry'!$K$2:$K$2000,MATCH(L485,'Ashed teabags dry'!$A$2:$A$2000,0)),"")</f>
        <v>6.7021748779403518</v>
      </c>
      <c r="T485" s="268">
        <f t="shared" si="37"/>
        <v>1.5617122947181563</v>
      </c>
      <c r="U485" s="258">
        <f>IF('Dry_Litterbag Placem_Collection'!E46="","",'Dry_Litterbag Placem_Collection'!E46)</f>
        <v>42938</v>
      </c>
      <c r="V485" s="258">
        <f>IF('Dry_Litterbag Placem_Collection'!G46="","",'Dry_Litterbag Placem_Collection'!G46)</f>
        <v>43005</v>
      </c>
      <c r="W485" s="259">
        <f t="shared" si="35"/>
        <v>67</v>
      </c>
      <c r="X485" s="257">
        <f t="shared" si="38"/>
        <v>3.9300000000000113E-2</v>
      </c>
      <c r="Y485" s="257">
        <f t="shared" si="39"/>
        <v>5.7008739705682654E-2</v>
      </c>
      <c r="Z485" s="261">
        <f>IFERROR(INDEX([3]Rainfall_Dry!$O$2:$O$217,MATCH(C485, [3]Rainfall_Dry!$A$2:$A$217,0)),"")</f>
        <v>6.5250000359999998</v>
      </c>
      <c r="AA485" s="250">
        <v>19.96</v>
      </c>
      <c r="AB485" s="250">
        <v>4.9199999999999982</v>
      </c>
      <c r="AC485" s="250">
        <v>75.12</v>
      </c>
      <c r="AD485" s="251" t="s">
        <v>2652</v>
      </c>
      <c r="AE485" s="250">
        <v>1.641498275012321</v>
      </c>
      <c r="AF485">
        <f>IF('WetLitterbags placem_collection'!AB46="","",'WetLitterbags placem_collection'!AB46)</f>
        <v>2.6</v>
      </c>
      <c r="AG485">
        <f>IF('WetLitterbags placem_collection'!Z46="","",'WetLitterbags placem_collection'!Z46)</f>
        <v>39.200000000000003</v>
      </c>
      <c r="AH485" s="236" t="str">
        <f>IF('WetLitterbags placem_collection'!AA46="","",'WetLitterbags placem_collection'!AA46)</f>
        <v>G</v>
      </c>
      <c r="AI485">
        <f>IF('WetLitterbags placem_collection'!AC46="","",'WetLitterbags placem_collection'!AC46)</f>
        <v>0</v>
      </c>
      <c r="AJ485">
        <f>IFERROR(AVERAGE('Dry_Litterbag Placem_Collection'!O46,'Dry_Litterbag Placem_Collection'!R46),"")</f>
        <v>3.8499999999999996</v>
      </c>
      <c r="AK485" s="261">
        <f>IFERROR(AVERAGE('Dry_Litterbag Placem_Collection'!N46,'Dry_Litterbag Placem_Collection'!Q46),"")</f>
        <v>26.5</v>
      </c>
      <c r="AL485" s="260">
        <f>INDEX([2]Coordinates!$B$2:$B$197,MATCH(I485,[2]Coordinates!$J$2:$J$197,0))</f>
        <v>-3.4081529920000002</v>
      </c>
      <c r="AM485" s="260">
        <f>INDEX([2]Coordinates!$C$2:$C$197,MATCH(I485,[2]Coordinates!$J$2:$J$197,0))</f>
        <v>34.850168959999998</v>
      </c>
      <c r="AN485" s="260" t="str">
        <f>IF(ISNUMBER(SEARCH("C", 'Dry_Litterbag Placem_Collection'!U46)),"YES","NO")</f>
        <v>NO</v>
      </c>
      <c r="AO485" s="260" t="str">
        <f>IF(ISNUMBER(SEARCH("H", 'Dry_Litterbag Placem_Collection'!U46)),"YES","NO")</f>
        <v>NO</v>
      </c>
      <c r="AP485" s="260" t="str">
        <f>IF(ISNUMBER(SEARCH("R", 'Dry_Litterbag Placem_Collection'!U46)),"YES","NO")</f>
        <v>NO</v>
      </c>
    </row>
    <row r="486" spans="1:42" ht="15" customHeight="1">
      <c r="A486" t="s">
        <v>3248</v>
      </c>
      <c r="B486" s="252" t="s">
        <v>2643</v>
      </c>
      <c r="C486" s="253">
        <f>'Dry_Litterbag Placem_Collection'!A47</f>
        <v>45</v>
      </c>
      <c r="D486" s="253" t="str">
        <f>'Dry_Litterbag Placem_Collection'!B47</f>
        <v>Makao</v>
      </c>
      <c r="E486" s="253" t="s">
        <v>2643</v>
      </c>
      <c r="F486" s="253" t="s">
        <v>20</v>
      </c>
      <c r="G486" s="253">
        <v>2</v>
      </c>
      <c r="H486" s="253" t="s">
        <v>3108</v>
      </c>
      <c r="I486" s="254" t="str">
        <f>'Dry_Litterbag Placem_Collection'!C47</f>
        <v>Dry_P2_T5</v>
      </c>
      <c r="J486" s="263" t="s">
        <v>2932</v>
      </c>
      <c r="K486" s="256" t="s">
        <v>1147</v>
      </c>
      <c r="L486" s="253" t="str">
        <f>IF(ISBLANK('Dry_Litterbag Placem_Collection'!L47),"","G"&amp;""&amp;'Dry_Litterbag Placem_Collection'!L47)</f>
        <v>G354</v>
      </c>
      <c r="M486" s="257">
        <f>IFERROR(INDEX('Green_rooibos initial weight'!$C$5:$C$2000,MATCH(L486, 'Green_rooibos initial weight'!$A$5:$A$2000,0)),"")</f>
        <v>1.835</v>
      </c>
      <c r="N486" s="257">
        <f>IFERROR(M486-(TBIcalc!$Q$9+TBIcalc!$Q$10),"")</f>
        <v>1.5851999999999999</v>
      </c>
      <c r="O486" s="378">
        <f>AVERAGE(Ashed_controlls!$K$2:$K$11)</f>
        <v>5.5147656768714146</v>
      </c>
      <c r="P486" s="257">
        <f t="shared" si="36"/>
        <v>1.4977799344902343</v>
      </c>
      <c r="Q486" s="257" t="str">
        <f>IFERROR(INDEX('Both teabags AfterDry'!$D$2:$D$2000,MATCH(L486,'Both teabags AfterDry'!$A$2:$A$2000,0)),"")</f>
        <v/>
      </c>
      <c r="R486" s="257" t="str">
        <f>IFERROR(IF(Q486&gt;0,Q486-(TBIcalc!$Q$9),""),"")</f>
        <v/>
      </c>
      <c r="S486" s="268" t="str">
        <f>IFERROR(INDEX('Ashed teabags dry'!$K$2:$K$2000,MATCH(L486,'Ashed teabags dry'!$A$2:$A$2000,0)),"")</f>
        <v/>
      </c>
      <c r="T486" s="268" t="str">
        <f t="shared" si="37"/>
        <v/>
      </c>
      <c r="U486" s="258">
        <f>IF('Dry_Litterbag Placem_Collection'!E47="","",'Dry_Litterbag Placem_Collection'!E47)</f>
        <v>42938</v>
      </c>
      <c r="V486" s="258">
        <f>IF('Dry_Litterbag Placem_Collection'!G47="","",'Dry_Litterbag Placem_Collection'!G47)</f>
        <v>43005</v>
      </c>
      <c r="W486" s="259">
        <f t="shared" si="35"/>
        <v>67</v>
      </c>
      <c r="X486" s="257" t="str">
        <f t="shared" si="38"/>
        <v/>
      </c>
      <c r="Y486" s="257" t="str">
        <f t="shared" si="39"/>
        <v/>
      </c>
      <c r="Z486" s="261">
        <f>IFERROR(INDEX([3]Rainfall_Dry!$O$2:$O$217,MATCH(C486, [3]Rainfall_Dry!$A$2:$A$217,0)),"")</f>
        <v>6.5250000359999998</v>
      </c>
      <c r="AA486" s="250">
        <v>19.96</v>
      </c>
      <c r="AB486" s="250">
        <v>4.9199999999999982</v>
      </c>
      <c r="AC486" s="250">
        <v>75.12</v>
      </c>
      <c r="AD486" s="251" t="s">
        <v>2652</v>
      </c>
      <c r="AE486" s="250">
        <v>1.641498275012321</v>
      </c>
      <c r="AF486">
        <f>IF('WetLitterbags placem_collection'!AB47="","",'WetLitterbags placem_collection'!AB47)</f>
        <v>2.2999999999999998</v>
      </c>
      <c r="AG486">
        <f>IF('WetLitterbags placem_collection'!Z47="","",'WetLitterbags placem_collection'!Z47)</f>
        <v>9.3000000000000007</v>
      </c>
      <c r="AH486" s="236" t="str">
        <f>IF('WetLitterbags placem_collection'!AA47="","",'WetLitterbags placem_collection'!AA47)</f>
        <v>O</v>
      </c>
      <c r="AI486">
        <f>IF('WetLitterbags placem_collection'!AC47="","",'WetLitterbags placem_collection'!AC47)</f>
        <v>0</v>
      </c>
      <c r="AJ486">
        <f>IFERROR(AVERAGE('Dry_Litterbag Placem_Collection'!O47,'Dry_Litterbag Placem_Collection'!R47),"")</f>
        <v>4.0999999999999996</v>
      </c>
      <c r="AK486" s="261">
        <f>IFERROR(AVERAGE('Dry_Litterbag Placem_Collection'!N47,'Dry_Litterbag Placem_Collection'!Q47),"")</f>
        <v>27.25</v>
      </c>
      <c r="AL486" s="260">
        <f>INDEX([2]Coordinates!$B$2:$B$197,MATCH(I486,[2]Coordinates!$J$2:$J$197,0))</f>
        <v>-3.4081789759999999</v>
      </c>
      <c r="AM486" s="260">
        <f>INDEX([2]Coordinates!$C$2:$C$197,MATCH(I486,[2]Coordinates!$J$2:$J$197,0))</f>
        <v>34.850516980000002</v>
      </c>
      <c r="AN486" s="260" t="str">
        <f>IF(ISNUMBER(SEARCH("C", 'Dry_Litterbag Placem_Collection'!U47)),"YES","NO")</f>
        <v>NO</v>
      </c>
      <c r="AO486" s="260" t="str">
        <f>IF(ISNUMBER(SEARCH("H", 'Dry_Litterbag Placem_Collection'!U47)),"YES","NO")</f>
        <v>NO</v>
      </c>
      <c r="AP486" s="260" t="str">
        <f>IF(ISNUMBER(SEARCH("R", 'Dry_Litterbag Placem_Collection'!U47)),"YES","NO")</f>
        <v>NO</v>
      </c>
    </row>
    <row r="487" spans="1:42" ht="15" customHeight="1">
      <c r="A487" t="s">
        <v>3248</v>
      </c>
      <c r="B487" s="252" t="s">
        <v>2643</v>
      </c>
      <c r="C487" s="253">
        <f>'Dry_Litterbag Placem_Collection'!A48</f>
        <v>46</v>
      </c>
      <c r="D487" s="253" t="str">
        <f>'Dry_Litterbag Placem_Collection'!B48</f>
        <v>Makao</v>
      </c>
      <c r="E487" s="253" t="s">
        <v>2643</v>
      </c>
      <c r="F487" s="253" t="s">
        <v>20</v>
      </c>
      <c r="G487" s="253">
        <v>2</v>
      </c>
      <c r="H487" s="253" t="s">
        <v>3108</v>
      </c>
      <c r="I487" s="254" t="str">
        <f>'Dry_Litterbag Placem_Collection'!C48</f>
        <v>Dry_P2_T6</v>
      </c>
      <c r="J487" s="263" t="s">
        <v>2932</v>
      </c>
      <c r="K487" s="256" t="s">
        <v>1147</v>
      </c>
      <c r="L487" s="253" t="str">
        <f>IF(ISBLANK('Dry_Litterbag Placem_Collection'!L48),"","G"&amp;""&amp;'Dry_Litterbag Placem_Collection'!L48)</f>
        <v/>
      </c>
      <c r="M487" s="257" t="str">
        <f>IFERROR(INDEX('Green_rooibos initial weight'!$C$5:$C$2000,MATCH(L487, 'Green_rooibos initial weight'!$A$5:$A$2000,0)),"")</f>
        <v/>
      </c>
      <c r="N487" s="257" t="str">
        <f>IFERROR(M487-(TBIcalc!$Q$9+TBIcalc!$Q$10),"")</f>
        <v/>
      </c>
      <c r="O487" s="378">
        <f>AVERAGE(Ashed_controlls!$K$2:$K$11)</f>
        <v>5.5147656768714146</v>
      </c>
      <c r="P487" s="257" t="str">
        <f t="shared" si="36"/>
        <v/>
      </c>
      <c r="Q487" s="257" t="str">
        <f>IFERROR(INDEX('Both teabags AfterDry'!$D$2:$D$2000,MATCH(L487,'Both teabags AfterDry'!$A$2:$A$2000,0)),"")</f>
        <v/>
      </c>
      <c r="R487" s="257" t="str">
        <f>IFERROR(IF(Q487&gt;0,Q487-(TBIcalc!$Q$9),""),"")</f>
        <v/>
      </c>
      <c r="S487" s="268" t="str">
        <f>IFERROR(INDEX('Ashed teabags dry'!$K$2:$K$2000,MATCH(L487,'Ashed teabags dry'!$A$2:$A$2000,0)),"")</f>
        <v/>
      </c>
      <c r="T487" s="268" t="str">
        <f t="shared" si="37"/>
        <v/>
      </c>
      <c r="U487" s="258" t="str">
        <f>IF('Dry_Litterbag Placem_Collection'!E48="","",'Dry_Litterbag Placem_Collection'!E48)</f>
        <v/>
      </c>
      <c r="V487" s="258" t="str">
        <f>IF('Dry_Litterbag Placem_Collection'!G48="","",'Dry_Litterbag Placem_Collection'!G48)</f>
        <v/>
      </c>
      <c r="W487" s="259" t="str">
        <f t="shared" si="35"/>
        <v/>
      </c>
      <c r="X487" s="257" t="str">
        <f t="shared" si="38"/>
        <v/>
      </c>
      <c r="Y487" s="257" t="str">
        <f t="shared" si="39"/>
        <v/>
      </c>
      <c r="Z487" s="261" t="str">
        <f>IFERROR(INDEX([3]Rainfall_Dry!$O$2:$O$217,MATCH(C487, [3]Rainfall_Dry!$A$2:$A$217,0)),"")</f>
        <v/>
      </c>
      <c r="AA487" s="250">
        <v>19.96</v>
      </c>
      <c r="AB487" s="250">
        <v>4.9199999999999982</v>
      </c>
      <c r="AC487" s="250">
        <v>75.12</v>
      </c>
      <c r="AD487" s="251" t="s">
        <v>2652</v>
      </c>
      <c r="AE487" s="250">
        <v>1.641498275012321</v>
      </c>
      <c r="AF487" t="str">
        <f>IF('WetLitterbags placem_collection'!AB48="","",'WetLitterbags placem_collection'!AB48)</f>
        <v/>
      </c>
      <c r="AG487" t="str">
        <f>IF('WetLitterbags placem_collection'!Z48="","",'WetLitterbags placem_collection'!Z48)</f>
        <v/>
      </c>
      <c r="AH487" s="236" t="str">
        <f>IF('WetLitterbags placem_collection'!AA48="","",'WetLitterbags placem_collection'!AA48)</f>
        <v/>
      </c>
      <c r="AI487" t="str">
        <f>IF('WetLitterbags placem_collection'!AC48="","",'WetLitterbags placem_collection'!AC48)</f>
        <v/>
      </c>
      <c r="AJ487" t="str">
        <f>IFERROR(AVERAGE('Dry_Litterbag Placem_Collection'!O48,'Dry_Litterbag Placem_Collection'!R48),"")</f>
        <v/>
      </c>
      <c r="AK487" s="261" t="str">
        <f>IFERROR(AVERAGE('Dry_Litterbag Placem_Collection'!N48,'Dry_Litterbag Placem_Collection'!Q48),"")</f>
        <v/>
      </c>
      <c r="AL487" s="260">
        <f>INDEX([2]Coordinates!$B$2:$B$197,MATCH(I487,[2]Coordinates!$J$2:$J$197,0))</f>
        <v>-3.4084730130000001</v>
      </c>
      <c r="AM487" s="260">
        <f>INDEX([2]Coordinates!$C$2:$C$197,MATCH(I487,[2]Coordinates!$J$2:$J$197,0))</f>
        <v>34.850401980000001</v>
      </c>
      <c r="AN487" s="260" t="str">
        <f>IF(ISNUMBER(SEARCH("C", 'Dry_Litterbag Placem_Collection'!U48)),"YES","NO")</f>
        <v>NO</v>
      </c>
      <c r="AO487" s="260" t="str">
        <f>IF(ISNUMBER(SEARCH("H", 'Dry_Litterbag Placem_Collection'!U48)),"YES","NO")</f>
        <v>NO</v>
      </c>
      <c r="AP487" s="260" t="str">
        <f>IF(ISNUMBER(SEARCH("R", 'Dry_Litterbag Placem_Collection'!U48)),"YES","NO")</f>
        <v>NO</v>
      </c>
    </row>
    <row r="488" spans="1:42" ht="15" customHeight="1">
      <c r="A488" t="s">
        <v>3248</v>
      </c>
      <c r="B488" s="252" t="s">
        <v>2643</v>
      </c>
      <c r="C488" s="253">
        <f>'Dry_Litterbag Placem_Collection'!A49</f>
        <v>47</v>
      </c>
      <c r="D488" s="253" t="str">
        <f>'Dry_Litterbag Placem_Collection'!B49</f>
        <v>Makao</v>
      </c>
      <c r="E488" s="253" t="s">
        <v>2643</v>
      </c>
      <c r="F488" s="253" t="s">
        <v>20</v>
      </c>
      <c r="G488" s="253">
        <v>2</v>
      </c>
      <c r="H488" s="253" t="s">
        <v>3108</v>
      </c>
      <c r="I488" s="254" t="str">
        <f>'Dry_Litterbag Placem_Collection'!C49</f>
        <v>Dry_P2_T7</v>
      </c>
      <c r="J488" s="263" t="s">
        <v>2932</v>
      </c>
      <c r="K488" s="256" t="s">
        <v>1147</v>
      </c>
      <c r="L488" s="253" t="str">
        <f>IF(ISBLANK('Dry_Litterbag Placem_Collection'!L49),"","G"&amp;""&amp;'Dry_Litterbag Placem_Collection'!L49)</f>
        <v>G659</v>
      </c>
      <c r="M488" s="257">
        <f>IFERROR(INDEX('Green_rooibos initial weight'!$C$5:$C$2000,MATCH(L488, 'Green_rooibos initial weight'!$A$5:$A$2000,0)),"")</f>
        <v>2.0529999999999999</v>
      </c>
      <c r="N488" s="257">
        <f>IFERROR(M488-(TBIcalc!$Q$9+TBIcalc!$Q$10),"")</f>
        <v>1.8031999999999999</v>
      </c>
      <c r="O488" s="378">
        <f>AVERAGE(Ashed_controlls!$K$2:$K$11)</f>
        <v>5.5147656768714146</v>
      </c>
      <c r="P488" s="257">
        <f t="shared" si="36"/>
        <v>1.7037577453146546</v>
      </c>
      <c r="Q488" s="257">
        <f>IFERROR(INDEX('Both teabags AfterDry'!$D$2:$D$2000,MATCH(L488,'Both teabags AfterDry'!$A$2:$A$2000,0)),"")</f>
        <v>1.8913</v>
      </c>
      <c r="R488" s="257">
        <f>IFERROR(IF(Q488&gt;0,Q488-(TBIcalc!$Q$9),""),"")</f>
        <v>1.7406999999999999</v>
      </c>
      <c r="S488" s="268">
        <f>IFERROR(INDEX('Ashed teabags dry'!$K$2:$K$2000,MATCH(L488,'Ashed teabags dry'!$A$2:$A$2000,0)),"")</f>
        <v>5.8849557522116545</v>
      </c>
      <c r="T488" s="268">
        <f t="shared" si="37"/>
        <v>1.6382605752212516</v>
      </c>
      <c r="U488" s="258">
        <f>IF('Dry_Litterbag Placem_Collection'!E49="","",'Dry_Litterbag Placem_Collection'!E49)</f>
        <v>42938</v>
      </c>
      <c r="V488" s="258">
        <f>IF('Dry_Litterbag Placem_Collection'!G49="","",'Dry_Litterbag Placem_Collection'!G49)</f>
        <v>43005</v>
      </c>
      <c r="W488" s="259">
        <f t="shared" si="35"/>
        <v>67</v>
      </c>
      <c r="X488" s="257">
        <f t="shared" si="38"/>
        <v>6.25E-2</v>
      </c>
      <c r="Y488" s="257">
        <f t="shared" si="39"/>
        <v>6.5497170093403057E-2</v>
      </c>
      <c r="Z488" s="261">
        <f>IFERROR(INDEX([3]Rainfall_Dry!$O$2:$O$217,MATCH(C488, [3]Rainfall_Dry!$A$2:$A$217,0)),"")</f>
        <v>6.5250000359999998</v>
      </c>
      <c r="AA488" s="250">
        <v>19.96</v>
      </c>
      <c r="AB488" s="250">
        <v>4.9199999999999982</v>
      </c>
      <c r="AC488" s="250">
        <v>75.12</v>
      </c>
      <c r="AD488" s="251" t="s">
        <v>2652</v>
      </c>
      <c r="AE488" s="250">
        <v>1.641498275012321</v>
      </c>
      <c r="AF488">
        <f>IF('WetLitterbags placem_collection'!AB49="","",'WetLitterbags placem_collection'!AB49)</f>
        <v>5.2</v>
      </c>
      <c r="AG488">
        <f>IF('WetLitterbags placem_collection'!Z49="","",'WetLitterbags placem_collection'!Z49)</f>
        <v>5.2</v>
      </c>
      <c r="AH488" s="236" t="str">
        <f>IF('WetLitterbags placem_collection'!AA49="","",'WetLitterbags placem_collection'!AA49)</f>
        <v>G</v>
      </c>
      <c r="AI488">
        <f>IF('WetLitterbags placem_collection'!AC49="","",'WetLitterbags placem_collection'!AC49)</f>
        <v>0</v>
      </c>
      <c r="AJ488">
        <f>IFERROR(AVERAGE('Dry_Litterbag Placem_Collection'!O49,'Dry_Litterbag Placem_Collection'!R49),"")</f>
        <v>5.35</v>
      </c>
      <c r="AK488" s="261">
        <f>IFERROR(AVERAGE('Dry_Litterbag Placem_Collection'!N49,'Dry_Litterbag Placem_Collection'!Q49),"")</f>
        <v>26.4</v>
      </c>
      <c r="AL488" s="260">
        <f>INDEX([2]Coordinates!$B$2:$B$197,MATCH(I488,[2]Coordinates!$J$2:$J$197,0))</f>
        <v>-3.4084819820000001</v>
      </c>
      <c r="AM488" s="260">
        <f>INDEX([2]Coordinates!$C$2:$C$197,MATCH(I488,[2]Coordinates!$J$2:$J$197,0))</f>
        <v>34.850024040000001</v>
      </c>
      <c r="AN488" s="260" t="str">
        <f>IF(ISNUMBER(SEARCH("C", 'Dry_Litterbag Placem_Collection'!U49)),"YES","NO")</f>
        <v>NO</v>
      </c>
      <c r="AO488" s="260" t="str">
        <f>IF(ISNUMBER(SEARCH("H", 'Dry_Litterbag Placem_Collection'!U49)),"YES","NO")</f>
        <v>NO</v>
      </c>
      <c r="AP488" s="260" t="str">
        <f>IF(ISNUMBER(SEARCH("R", 'Dry_Litterbag Placem_Collection'!U49)),"YES","NO")</f>
        <v>NO</v>
      </c>
    </row>
    <row r="489" spans="1:42" ht="15" customHeight="1">
      <c r="A489" t="s">
        <v>3248</v>
      </c>
      <c r="B489" s="252" t="s">
        <v>2643</v>
      </c>
      <c r="C489" s="253">
        <f>'Dry_Litterbag Placem_Collection'!A50</f>
        <v>48</v>
      </c>
      <c r="D489" s="253" t="str">
        <f>'Dry_Litterbag Placem_Collection'!B50</f>
        <v>Makao</v>
      </c>
      <c r="E489" s="253" t="s">
        <v>2643</v>
      </c>
      <c r="F489" s="253" t="s">
        <v>20</v>
      </c>
      <c r="G489" s="253">
        <v>2</v>
      </c>
      <c r="H489" s="253" t="s">
        <v>3108</v>
      </c>
      <c r="I489" s="254" t="str">
        <f>'Dry_Litterbag Placem_Collection'!C50</f>
        <v>Dry_P2_T8</v>
      </c>
      <c r="J489" s="263" t="s">
        <v>2932</v>
      </c>
      <c r="K489" s="256" t="s">
        <v>1147</v>
      </c>
      <c r="L489" s="253" t="str">
        <f>IF(ISBLANK('Dry_Litterbag Placem_Collection'!L50),"","G"&amp;""&amp;'Dry_Litterbag Placem_Collection'!L50)</f>
        <v>G267</v>
      </c>
      <c r="M489" s="257">
        <f>IFERROR(INDEX('Green_rooibos initial weight'!$C$5:$C$2000,MATCH(L489, 'Green_rooibos initial weight'!$A$5:$A$2000,0)),"")</f>
        <v>2.069</v>
      </c>
      <c r="N489" s="257">
        <f>IFERROR(M489-(TBIcalc!$Q$9+TBIcalc!$Q$10),"")</f>
        <v>1.8191999999999999</v>
      </c>
      <c r="O489" s="378">
        <f>AVERAGE(Ashed_controlls!$K$2:$K$11)</f>
        <v>5.5147656768714146</v>
      </c>
      <c r="P489" s="257">
        <f t="shared" si="36"/>
        <v>1.7188753828063552</v>
      </c>
      <c r="Q489" s="257">
        <f>IFERROR(INDEX('Both teabags AfterDry'!$D$2:$D$2000,MATCH(L489,'Both teabags AfterDry'!$A$2:$A$2000,0)),"")</f>
        <v>1.8248</v>
      </c>
      <c r="R489" s="257">
        <f>IFERROR(IF(Q489&gt;0,Q489-(TBIcalc!$Q$9),""),"")</f>
        <v>1.6741999999999999</v>
      </c>
      <c r="S489" s="268">
        <f>IFERROR(INDEX('Ashed teabags dry'!$K$2:$K$2000,MATCH(L489,'Ashed teabags dry'!$A$2:$A$2000,0)),"")</f>
        <v>5.78791719476098</v>
      </c>
      <c r="T489" s="268">
        <f t="shared" si="37"/>
        <v>1.5772986903253117</v>
      </c>
      <c r="U489" s="258">
        <f>IF('Dry_Litterbag Placem_Collection'!E50="","",'Dry_Litterbag Placem_Collection'!E50)</f>
        <v>42938</v>
      </c>
      <c r="V489" s="258">
        <f>IF('Dry_Litterbag Placem_Collection'!G50="","",'Dry_Litterbag Placem_Collection'!G50)</f>
        <v>43005</v>
      </c>
      <c r="W489" s="259">
        <f t="shared" si="35"/>
        <v>67</v>
      </c>
      <c r="X489" s="257">
        <f t="shared" si="38"/>
        <v>0.14500000000000002</v>
      </c>
      <c r="Y489" s="257">
        <f t="shared" si="39"/>
        <v>0.14157669248104354</v>
      </c>
      <c r="Z489" s="261">
        <f>IFERROR(INDEX([3]Rainfall_Dry!$O$2:$O$217,MATCH(C489, [3]Rainfall_Dry!$A$2:$A$217,0)),"")</f>
        <v>6.5250000359999998</v>
      </c>
      <c r="AA489" s="250">
        <v>19.96</v>
      </c>
      <c r="AB489" s="250">
        <v>4.9199999999999982</v>
      </c>
      <c r="AC489" s="250">
        <v>75.12</v>
      </c>
      <c r="AD489" s="251" t="s">
        <v>2652</v>
      </c>
      <c r="AE489" s="250">
        <v>1.641498275012321</v>
      </c>
      <c r="AF489">
        <f>IF('WetLitterbags placem_collection'!AB50="","",'WetLitterbags placem_collection'!AB50)</f>
        <v>7.3</v>
      </c>
      <c r="AG489">
        <f>IF('WetLitterbags placem_collection'!Z50="","",'WetLitterbags placem_collection'!Z50)</f>
        <v>27.2</v>
      </c>
      <c r="AH489" s="236" t="str">
        <f>IF('WetLitterbags placem_collection'!AA50="","",'WetLitterbags placem_collection'!AA50)</f>
        <v>M</v>
      </c>
      <c r="AI489">
        <f>IF('WetLitterbags placem_collection'!AC50="","",'WetLitterbags placem_collection'!AC50)</f>
        <v>0</v>
      </c>
      <c r="AJ489">
        <f>IFERROR(AVERAGE('Dry_Litterbag Placem_Collection'!O50,'Dry_Litterbag Placem_Collection'!R50),"")</f>
        <v>3.95</v>
      </c>
      <c r="AK489" s="261">
        <f>IFERROR(AVERAGE('Dry_Litterbag Placem_Collection'!N50,'Dry_Litterbag Placem_Collection'!Q50),"")</f>
        <v>25.950000000000003</v>
      </c>
      <c r="AL489" s="260">
        <f>INDEX([2]Coordinates!$B$2:$B$197,MATCH(I489,[2]Coordinates!$J$2:$J$197,0))</f>
        <v>-3.4081990090000001</v>
      </c>
      <c r="AM489" s="260">
        <f>INDEX([2]Coordinates!$C$2:$C$197,MATCH(I489,[2]Coordinates!$J$2:$J$197,0))</f>
        <v>34.850254960000001</v>
      </c>
      <c r="AN489" s="260" t="str">
        <f>IF(ISNUMBER(SEARCH("C", 'Dry_Litterbag Placem_Collection'!U50)),"YES","NO")</f>
        <v>NO</v>
      </c>
      <c r="AO489" s="260" t="str">
        <f>IF(ISNUMBER(SEARCH("H", 'Dry_Litterbag Placem_Collection'!U50)),"YES","NO")</f>
        <v>NO</v>
      </c>
      <c r="AP489" s="260" t="str">
        <f>IF(ISNUMBER(SEARCH("R", 'Dry_Litterbag Placem_Collection'!U50)),"YES","NO")</f>
        <v>NO</v>
      </c>
    </row>
    <row r="490" spans="1:42" ht="15" customHeight="1">
      <c r="A490" t="s">
        <v>3248</v>
      </c>
      <c r="B490" s="252" t="s">
        <v>2643</v>
      </c>
      <c r="C490" s="253">
        <f>'Dry_Litterbag Placem_Collection'!A51</f>
        <v>49</v>
      </c>
      <c r="D490" s="253" t="str">
        <f>'Dry_Litterbag Placem_Collection'!B51</f>
        <v>Makao</v>
      </c>
      <c r="E490" s="253" t="s">
        <v>2643</v>
      </c>
      <c r="F490" s="253" t="s">
        <v>20</v>
      </c>
      <c r="G490" s="253">
        <v>3</v>
      </c>
      <c r="H490" s="253" t="s">
        <v>3109</v>
      </c>
      <c r="I490" s="254" t="str">
        <f>'Dry_Litterbag Placem_Collection'!C51</f>
        <v>Dry_P3_T1</v>
      </c>
      <c r="J490" s="263" t="s">
        <v>2932</v>
      </c>
      <c r="K490" s="256" t="s">
        <v>1147</v>
      </c>
      <c r="L490" s="253" t="str">
        <f>IF(ISBLANK('Dry_Litterbag Placem_Collection'!L51),"","G"&amp;""&amp;'Dry_Litterbag Placem_Collection'!L51)</f>
        <v>G812</v>
      </c>
      <c r="M490" s="257">
        <f>IFERROR(INDEX('Green_rooibos initial weight'!$C$5:$C$2000,MATCH(L490, 'Green_rooibos initial weight'!$A$5:$A$2000,0)),"")</f>
        <v>2.0169999999999999</v>
      </c>
      <c r="N490" s="257">
        <f>IFERROR(M490-(TBIcalc!$Q$9+TBIcalc!$Q$10),"")</f>
        <v>1.7671999999999999</v>
      </c>
      <c r="O490" s="378">
        <f>AVERAGE(Ashed_controlls!$K$2:$K$11)</f>
        <v>5.5147656768714146</v>
      </c>
      <c r="P490" s="257">
        <f t="shared" si="36"/>
        <v>1.6697430609583281</v>
      </c>
      <c r="Q490" s="257" t="str">
        <f>IFERROR(INDEX('Both teabags AfterDry'!$D$2:$D$2000,MATCH(L490,'Both teabags AfterDry'!$A$2:$A$2000,0)),"")</f>
        <v/>
      </c>
      <c r="R490" s="257" t="str">
        <f>IFERROR(IF(Q490&gt;0,Q490-(TBIcalc!$Q$9),""),"")</f>
        <v/>
      </c>
      <c r="S490" s="268" t="str">
        <f>IFERROR(INDEX('Ashed teabags dry'!$K$2:$K$2000,MATCH(L490,'Ashed teabags dry'!$A$2:$A$2000,0)),"")</f>
        <v/>
      </c>
      <c r="T490" s="268" t="str">
        <f t="shared" si="37"/>
        <v/>
      </c>
      <c r="U490" s="258">
        <f>IF('Dry_Litterbag Placem_Collection'!E51="","",'Dry_Litterbag Placem_Collection'!E51)</f>
        <v>42938</v>
      </c>
      <c r="V490" s="258">
        <f>IF('Dry_Litterbag Placem_Collection'!G51="","",'Dry_Litterbag Placem_Collection'!G51)</f>
        <v>43005</v>
      </c>
      <c r="W490" s="259">
        <f t="shared" si="35"/>
        <v>67</v>
      </c>
      <c r="X490" s="257" t="str">
        <f t="shared" si="38"/>
        <v/>
      </c>
      <c r="Y490" s="257" t="str">
        <f t="shared" si="39"/>
        <v/>
      </c>
      <c r="Z490" s="261">
        <f>IFERROR(INDEX([3]Rainfall_Dry!$O$2:$O$217,MATCH(C490, [3]Rainfall_Dry!$A$2:$A$217,0)),"")</f>
        <v>6.5250000359999998</v>
      </c>
      <c r="AA490" s="250">
        <v>21.96</v>
      </c>
      <c r="AB490" s="250">
        <v>8.9199999999999982</v>
      </c>
      <c r="AC490" s="250">
        <v>69.12</v>
      </c>
      <c r="AD490" s="251" t="s">
        <v>2651</v>
      </c>
      <c r="AE490" s="250">
        <v>1.7491375061606702</v>
      </c>
      <c r="AF490">
        <f>IF('WetLitterbags placem_collection'!AB51="","",'WetLitterbags placem_collection'!AB51)</f>
        <v>10.4</v>
      </c>
      <c r="AG490">
        <f>IF('WetLitterbags placem_collection'!Z51="","",'WetLitterbags placem_collection'!Z51)</f>
        <v>36</v>
      </c>
      <c r="AH490" s="236" t="str">
        <f>IF('WetLitterbags placem_collection'!AA51="","",'WetLitterbags placem_collection'!AA51)</f>
        <v>M</v>
      </c>
      <c r="AI490">
        <f>IF('WetLitterbags placem_collection'!AC51="","",'WetLitterbags placem_collection'!AC51)</f>
        <v>1</v>
      </c>
      <c r="AJ490">
        <f>IFERROR(AVERAGE('Dry_Litterbag Placem_Collection'!O51,'Dry_Litterbag Placem_Collection'!R51),"")</f>
        <v>7.05</v>
      </c>
      <c r="AK490" s="261">
        <f>IFERROR(AVERAGE('Dry_Litterbag Placem_Collection'!N51,'Dry_Litterbag Placem_Collection'!Q51),"")</f>
        <v>31.5</v>
      </c>
      <c r="AL490" s="260">
        <f>INDEX([2]Coordinates!$B$2:$B$197,MATCH(I490,[2]Coordinates!$J$2:$J$197,0))</f>
        <v>-3.406225992</v>
      </c>
      <c r="AM490" s="260">
        <f>INDEX([2]Coordinates!$C$2:$C$197,MATCH(I490,[2]Coordinates!$J$2:$J$197,0))</f>
        <v>34.85055998</v>
      </c>
      <c r="AN490" s="260" t="str">
        <f>IF(ISNUMBER(SEARCH("C", 'Dry_Litterbag Placem_Collection'!U51)),"YES","NO")</f>
        <v>NO</v>
      </c>
      <c r="AO490" s="260" t="str">
        <f>IF(ISNUMBER(SEARCH("H", 'Dry_Litterbag Placem_Collection'!U51)),"YES","NO")</f>
        <v>NO</v>
      </c>
      <c r="AP490" s="260" t="str">
        <f>IF(ISNUMBER(SEARCH("R", 'Dry_Litterbag Placem_Collection'!U51)),"YES","NO")</f>
        <v>NO</v>
      </c>
    </row>
    <row r="491" spans="1:42" ht="15" customHeight="1">
      <c r="A491" t="s">
        <v>3248</v>
      </c>
      <c r="B491" s="252" t="s">
        <v>2643</v>
      </c>
      <c r="C491" s="253">
        <f>'Dry_Litterbag Placem_Collection'!A52</f>
        <v>50</v>
      </c>
      <c r="D491" s="253" t="str">
        <f>'Dry_Litterbag Placem_Collection'!B52</f>
        <v>Makao</v>
      </c>
      <c r="E491" s="253" t="s">
        <v>2643</v>
      </c>
      <c r="F491" s="253" t="s">
        <v>20</v>
      </c>
      <c r="G491" s="253">
        <v>3</v>
      </c>
      <c r="H491" s="253" t="s">
        <v>3109</v>
      </c>
      <c r="I491" s="254" t="str">
        <f>'Dry_Litterbag Placem_Collection'!C52</f>
        <v>Dry_P3_T2</v>
      </c>
      <c r="J491" s="263" t="s">
        <v>2932</v>
      </c>
      <c r="K491" s="256" t="s">
        <v>1147</v>
      </c>
      <c r="L491" s="253" t="str">
        <f>IF(ISBLANK('Dry_Litterbag Placem_Collection'!L52),"","G"&amp;""&amp;'Dry_Litterbag Placem_Collection'!L52)</f>
        <v>G212</v>
      </c>
      <c r="M491" s="257">
        <f>IFERROR(INDEX('Green_rooibos initial weight'!$C$5:$C$2000,MATCH(L491, 'Green_rooibos initial weight'!$A$5:$A$2000,0)),"")</f>
        <v>1.9570000000000001</v>
      </c>
      <c r="N491" s="257">
        <f>IFERROR(M491-(TBIcalc!$Q$9+TBIcalc!$Q$10),"")</f>
        <v>1.7072000000000001</v>
      </c>
      <c r="O491" s="378">
        <f>AVERAGE(Ashed_controlls!$K$2:$K$11)</f>
        <v>5.5147656768714146</v>
      </c>
      <c r="P491" s="257">
        <f t="shared" si="36"/>
        <v>1.6130519203644513</v>
      </c>
      <c r="Q491" s="257" t="str">
        <f>IFERROR(INDEX('Both teabags AfterDry'!$D$2:$D$2000,MATCH(L491,'Both teabags AfterDry'!$A$2:$A$2000,0)),"")</f>
        <v/>
      </c>
      <c r="R491" s="257" t="str">
        <f>IFERROR(IF(Q491&gt;0,Q491-(TBIcalc!$Q$9),""),"")</f>
        <v/>
      </c>
      <c r="S491" s="268" t="str">
        <f>IFERROR(INDEX('Ashed teabags dry'!$K$2:$K$2000,MATCH(L491,'Ashed teabags dry'!$A$2:$A$2000,0)),"")</f>
        <v/>
      </c>
      <c r="T491" s="268" t="str">
        <f t="shared" si="37"/>
        <v/>
      </c>
      <c r="U491" s="258">
        <f>IF('Dry_Litterbag Placem_Collection'!E52="","",'Dry_Litterbag Placem_Collection'!E52)</f>
        <v>42938</v>
      </c>
      <c r="V491" s="258" t="str">
        <f>IF('Dry_Litterbag Placem_Collection'!G52="","",'Dry_Litterbag Placem_Collection'!G52)</f>
        <v/>
      </c>
      <c r="W491" s="259" t="str">
        <f t="shared" si="35"/>
        <v/>
      </c>
      <c r="X491" s="257" t="str">
        <f t="shared" si="38"/>
        <v/>
      </c>
      <c r="Y491" s="257" t="str">
        <f t="shared" si="39"/>
        <v/>
      </c>
      <c r="Z491" s="261" t="str">
        <f>IFERROR(INDEX([3]Rainfall_Dry!$O$2:$O$217,MATCH(C491, [3]Rainfall_Dry!$A$2:$A$217,0)),"")</f>
        <v/>
      </c>
      <c r="AA491" s="250">
        <v>21.96</v>
      </c>
      <c r="AB491" s="250">
        <v>8.9199999999999982</v>
      </c>
      <c r="AC491" s="250">
        <v>69.12</v>
      </c>
      <c r="AD491" s="251" t="s">
        <v>2651</v>
      </c>
      <c r="AE491" s="250">
        <v>1.7491375061606702</v>
      </c>
      <c r="AF491">
        <f>IF('WetLitterbags placem_collection'!AB52="","",'WetLitterbags placem_collection'!AB52)</f>
        <v>10</v>
      </c>
      <c r="AG491">
        <f>IF('WetLitterbags placem_collection'!Z52="","",'WetLitterbags placem_collection'!Z52)</f>
        <v>22.5</v>
      </c>
      <c r="AH491" s="236" t="str">
        <f>IF('WetLitterbags placem_collection'!AA52="","",'WetLitterbags placem_collection'!AA52)</f>
        <v>M</v>
      </c>
      <c r="AI491">
        <f>IF('WetLitterbags placem_collection'!AC52="","",'WetLitterbags placem_collection'!AC52)</f>
        <v>1</v>
      </c>
      <c r="AJ491">
        <f>IFERROR(AVERAGE('Dry_Litterbag Placem_Collection'!O52,'Dry_Litterbag Placem_Collection'!R52),"")</f>
        <v>6.4</v>
      </c>
      <c r="AK491" s="261">
        <f>IFERROR(AVERAGE('Dry_Litterbag Placem_Collection'!N52,'Dry_Litterbag Placem_Collection'!Q52),"")</f>
        <v>27.6</v>
      </c>
      <c r="AL491" s="260">
        <f>INDEX([2]Coordinates!$B$2:$B$197,MATCH(I491,[2]Coordinates!$J$2:$J$197,0))</f>
        <v>-3.4062630399999998</v>
      </c>
      <c r="AM491" s="260">
        <f>INDEX([2]Coordinates!$C$2:$C$197,MATCH(I491,[2]Coordinates!$J$2:$J$197,0))</f>
        <v>34.850566010000001</v>
      </c>
      <c r="AN491" s="260" t="str">
        <f>IF(ISNUMBER(SEARCH("C", 'Dry_Litterbag Placem_Collection'!U52)),"YES","NO")</f>
        <v>NO</v>
      </c>
      <c r="AO491" s="260" t="str">
        <f>IF(ISNUMBER(SEARCH("H", 'Dry_Litterbag Placem_Collection'!U52)),"YES","NO")</f>
        <v>NO</v>
      </c>
      <c r="AP491" s="260" t="str">
        <f>IF(ISNUMBER(SEARCH("R", 'Dry_Litterbag Placem_Collection'!U52)),"YES","NO")</f>
        <v>NO</v>
      </c>
    </row>
    <row r="492" spans="1:42" ht="15" customHeight="1">
      <c r="A492" t="s">
        <v>3248</v>
      </c>
      <c r="B492" s="252" t="s">
        <v>2643</v>
      </c>
      <c r="C492" s="253">
        <f>'Dry_Litterbag Placem_Collection'!A53</f>
        <v>51</v>
      </c>
      <c r="D492" s="253" t="str">
        <f>'Dry_Litterbag Placem_Collection'!B53</f>
        <v>Makao</v>
      </c>
      <c r="E492" s="253" t="s">
        <v>2643</v>
      </c>
      <c r="F492" s="253" t="s">
        <v>20</v>
      </c>
      <c r="G492" s="253">
        <v>3</v>
      </c>
      <c r="H492" s="253" t="s">
        <v>3109</v>
      </c>
      <c r="I492" s="254" t="str">
        <f>'Dry_Litterbag Placem_Collection'!C53</f>
        <v>Dry_P3_T3</v>
      </c>
      <c r="J492" s="263" t="s">
        <v>2932</v>
      </c>
      <c r="K492" s="256" t="s">
        <v>1147</v>
      </c>
      <c r="L492" s="253" t="str">
        <f>IF(ISBLANK('Dry_Litterbag Placem_Collection'!L53),"","G"&amp;""&amp;'Dry_Litterbag Placem_Collection'!L53)</f>
        <v>G598</v>
      </c>
      <c r="M492" s="257">
        <f>IFERROR(INDEX('Green_rooibos initial weight'!$C$5:$C$2000,MATCH(L492, 'Green_rooibos initial weight'!$A$5:$A$2000,0)),"")</f>
        <v>2.1680000000000001</v>
      </c>
      <c r="N492" s="257">
        <f>IFERROR(M492-(TBIcalc!$Q$9+TBIcalc!$Q$10),"")</f>
        <v>1.9182000000000001</v>
      </c>
      <c r="O492" s="378">
        <f>AVERAGE(Ashed_controlls!$K$2:$K$11)</f>
        <v>5.5147656768714146</v>
      </c>
      <c r="P492" s="257">
        <f t="shared" si="36"/>
        <v>1.8124157647862527</v>
      </c>
      <c r="Q492" s="257">
        <f>IFERROR(INDEX('Both teabags AfterDry'!$D$2:$D$2000,MATCH(L492,'Both teabags AfterDry'!$A$2:$A$2000,0)),"")</f>
        <v>1.9169</v>
      </c>
      <c r="R492" s="257">
        <f>IFERROR(IF(Q492&gt;0,Q492-(TBIcalc!$Q$9),""),"")</f>
        <v>1.7663</v>
      </c>
      <c r="S492" s="268">
        <f>IFERROR(INDEX('Ashed teabags dry'!$K$2:$K$2000,MATCH(L492,'Ashed teabags dry'!$A$2:$A$2000,0)),"")</f>
        <v>6.1355764473040955</v>
      </c>
      <c r="T492" s="268">
        <f t="shared" si="37"/>
        <v>1.6579273132112677</v>
      </c>
      <c r="U492" s="258">
        <f>IF('Dry_Litterbag Placem_Collection'!E53="","",'Dry_Litterbag Placem_Collection'!E53)</f>
        <v>42938</v>
      </c>
      <c r="V492" s="258">
        <f>IF('Dry_Litterbag Placem_Collection'!G53="","",'Dry_Litterbag Placem_Collection'!G53)</f>
        <v>43005</v>
      </c>
      <c r="W492" s="259">
        <f t="shared" si="35"/>
        <v>67</v>
      </c>
      <c r="X492" s="257">
        <f t="shared" si="38"/>
        <v>0.15190000000000015</v>
      </c>
      <c r="Y492" s="257">
        <f t="shared" si="39"/>
        <v>0.15448845157498492</v>
      </c>
      <c r="Z492" s="261">
        <f>IFERROR(INDEX([3]Rainfall_Dry!$O$2:$O$217,MATCH(C492, [3]Rainfall_Dry!$A$2:$A$217,0)),"")</f>
        <v>6.5250000359999998</v>
      </c>
      <c r="AA492" s="250">
        <v>21.96</v>
      </c>
      <c r="AB492" s="250">
        <v>8.9199999999999982</v>
      </c>
      <c r="AC492" s="250">
        <v>69.12</v>
      </c>
      <c r="AD492" s="251" t="s">
        <v>2651</v>
      </c>
      <c r="AE492" s="250">
        <v>1.7491375061606702</v>
      </c>
      <c r="AF492">
        <f>IF('WetLitterbags placem_collection'!AB53="","",'WetLitterbags placem_collection'!AB53)</f>
        <v>3</v>
      </c>
      <c r="AG492">
        <f>IF('WetLitterbags placem_collection'!Z53="","",'WetLitterbags placem_collection'!Z53)</f>
        <v>18</v>
      </c>
      <c r="AH492" s="236" t="str">
        <f>IF('WetLitterbags placem_collection'!AA53="","",'WetLitterbags placem_collection'!AA53)</f>
        <v>O</v>
      </c>
      <c r="AI492">
        <f>IF('WetLitterbags placem_collection'!AC53="","",'WetLitterbags placem_collection'!AC53)</f>
        <v>0</v>
      </c>
      <c r="AJ492">
        <f>IFERROR(AVERAGE('Dry_Litterbag Placem_Collection'!O53,'Dry_Litterbag Placem_Collection'!R53),"")</f>
        <v>2.4500000000000002</v>
      </c>
      <c r="AK492" s="261">
        <f>IFERROR(AVERAGE('Dry_Litterbag Placem_Collection'!N53,'Dry_Litterbag Placem_Collection'!Q53),"")</f>
        <v>34.450000000000003</v>
      </c>
      <c r="AL492" s="260">
        <f>INDEX([2]Coordinates!$B$2:$B$197,MATCH(I492,[2]Coordinates!$J$2:$J$197,0))</f>
        <v>-3.4063920379999999</v>
      </c>
      <c r="AM492" s="260">
        <f>INDEX([2]Coordinates!$C$2:$C$197,MATCH(I492,[2]Coordinates!$J$2:$J$197,0))</f>
        <v>34.850696020000001</v>
      </c>
      <c r="AN492" s="260" t="str">
        <f>IF(ISNUMBER(SEARCH("C", 'Dry_Litterbag Placem_Collection'!U53)),"YES","NO")</f>
        <v>NO</v>
      </c>
      <c r="AO492" s="260" t="str">
        <f>IF(ISNUMBER(SEARCH("H", 'Dry_Litterbag Placem_Collection'!U53)),"YES","NO")</f>
        <v>NO</v>
      </c>
      <c r="AP492" s="260" t="str">
        <f>IF(ISNUMBER(SEARCH("R", 'Dry_Litterbag Placem_Collection'!U53)),"YES","NO")</f>
        <v>NO</v>
      </c>
    </row>
    <row r="493" spans="1:42" ht="15" customHeight="1">
      <c r="A493" t="s">
        <v>3248</v>
      </c>
      <c r="B493" s="252" t="s">
        <v>2643</v>
      </c>
      <c r="C493" s="253">
        <f>'Dry_Litterbag Placem_Collection'!A54</f>
        <v>52</v>
      </c>
      <c r="D493" s="253" t="str">
        <f>'Dry_Litterbag Placem_Collection'!B54</f>
        <v>Makao</v>
      </c>
      <c r="E493" s="253" t="s">
        <v>2643</v>
      </c>
      <c r="F493" s="253" t="s">
        <v>20</v>
      </c>
      <c r="G493" s="253">
        <v>3</v>
      </c>
      <c r="H493" s="253" t="s">
        <v>3109</v>
      </c>
      <c r="I493" s="254" t="str">
        <f>'Dry_Litterbag Placem_Collection'!C54</f>
        <v>Dry_P3_T4</v>
      </c>
      <c r="J493" s="263" t="s">
        <v>2932</v>
      </c>
      <c r="K493" s="256" t="s">
        <v>1147</v>
      </c>
      <c r="L493" s="253" t="str">
        <f>IF(ISBLANK('Dry_Litterbag Placem_Collection'!L54),"","G"&amp;""&amp;'Dry_Litterbag Placem_Collection'!L54)</f>
        <v>G848</v>
      </c>
      <c r="M493" s="257">
        <f>IFERROR(INDEX('Green_rooibos initial weight'!$C$5:$C$2000,MATCH(L493, 'Green_rooibos initial weight'!$A$5:$A$2000,0)),"")</f>
        <v>2.0110000000000001</v>
      </c>
      <c r="N493" s="257">
        <f>IFERROR(M493-(TBIcalc!$Q$9+TBIcalc!$Q$10),"")</f>
        <v>1.7612000000000001</v>
      </c>
      <c r="O493" s="378">
        <f>AVERAGE(Ashed_controlls!$K$2:$K$11)</f>
        <v>5.5147656768714146</v>
      </c>
      <c r="P493" s="257">
        <f t="shared" si="36"/>
        <v>1.6640739468989407</v>
      </c>
      <c r="Q493" s="257">
        <f>IFERROR(INDEX('Both teabags AfterDry'!$D$2:$D$2000,MATCH(L493,'Both teabags AfterDry'!$A$2:$A$2000,0)),"")</f>
        <v>1.8361000000000001</v>
      </c>
      <c r="R493" s="257">
        <f>IFERROR(IF(Q493&gt;0,Q493-(TBIcalc!$Q$9),""),"")</f>
        <v>1.6855</v>
      </c>
      <c r="S493" s="268">
        <f>IFERROR(INDEX('Ashed teabags dry'!$K$2:$K$2000,MATCH(L493,'Ashed teabags dry'!$A$2:$A$2000,0)),"")</f>
        <v>5.7409879839785489</v>
      </c>
      <c r="T493" s="268">
        <f t="shared" si="37"/>
        <v>1.5887356475300416</v>
      </c>
      <c r="U493" s="258">
        <f>IF('Dry_Litterbag Placem_Collection'!E54="","",'Dry_Litterbag Placem_Collection'!E54)</f>
        <v>42938</v>
      </c>
      <c r="V493" s="258">
        <f>IF('Dry_Litterbag Placem_Collection'!G54="","",'Dry_Litterbag Placem_Collection'!G54)</f>
        <v>43005</v>
      </c>
      <c r="W493" s="259">
        <f t="shared" si="35"/>
        <v>67</v>
      </c>
      <c r="X493" s="257">
        <f t="shared" si="38"/>
        <v>7.5700000000000101E-2</v>
      </c>
      <c r="Y493" s="257">
        <f t="shared" si="39"/>
        <v>7.5338299368899131E-2</v>
      </c>
      <c r="Z493" s="261">
        <f>IFERROR(INDEX([3]Rainfall_Dry!$O$2:$O$217,MATCH(C493, [3]Rainfall_Dry!$A$2:$A$217,0)),"")</f>
        <v>6.5250000359999998</v>
      </c>
      <c r="AA493" s="250">
        <v>21.96</v>
      </c>
      <c r="AB493" s="250">
        <v>8.9199999999999982</v>
      </c>
      <c r="AC493" s="250">
        <v>69.12</v>
      </c>
      <c r="AD493" s="251" t="s">
        <v>2651</v>
      </c>
      <c r="AE493" s="250">
        <v>1.7491375061606702</v>
      </c>
      <c r="AF493">
        <f>IF('WetLitterbags placem_collection'!AB54="","",'WetLitterbags placem_collection'!AB54)</f>
        <v>13.4</v>
      </c>
      <c r="AG493">
        <f>IF('WetLitterbags placem_collection'!Z54="","",'WetLitterbags placem_collection'!Z54)</f>
        <v>67</v>
      </c>
      <c r="AH493" s="236" t="str">
        <f>IF('WetLitterbags placem_collection'!AA54="","",'WetLitterbags placem_collection'!AA54)</f>
        <v>M</v>
      </c>
      <c r="AI493">
        <f>IF('WetLitterbags placem_collection'!AC54="","",'WetLitterbags placem_collection'!AC54)</f>
        <v>1</v>
      </c>
      <c r="AJ493">
        <f>IFERROR(AVERAGE('Dry_Litterbag Placem_Collection'!O54,'Dry_Litterbag Placem_Collection'!R54),"")</f>
        <v>5.75</v>
      </c>
      <c r="AK493" s="261">
        <f>IFERROR(AVERAGE('Dry_Litterbag Placem_Collection'!N54,'Dry_Litterbag Placem_Collection'!Q54),"")</f>
        <v>30.75</v>
      </c>
      <c r="AL493" s="260">
        <f>INDEX([2]Coordinates!$B$2:$B$197,MATCH(I493,[2]Coordinates!$J$2:$J$197,0))</f>
        <v>-3.4061569999999999</v>
      </c>
      <c r="AM493" s="260">
        <f>INDEX([2]Coordinates!$C$2:$C$197,MATCH(I493,[2]Coordinates!$J$2:$J$197,0))</f>
        <v>34.850738999999997</v>
      </c>
      <c r="AN493" s="260" t="str">
        <f>IF(ISNUMBER(SEARCH("C", 'Dry_Litterbag Placem_Collection'!U54)),"YES","NO")</f>
        <v>NO</v>
      </c>
      <c r="AO493" s="260" t="str">
        <f>IF(ISNUMBER(SEARCH("H", 'Dry_Litterbag Placem_Collection'!U54)),"YES","NO")</f>
        <v>NO</v>
      </c>
      <c r="AP493" s="260" t="str">
        <f>IF(ISNUMBER(SEARCH("R", 'Dry_Litterbag Placem_Collection'!U54)),"YES","NO")</f>
        <v>NO</v>
      </c>
    </row>
    <row r="494" spans="1:42" ht="15" customHeight="1">
      <c r="A494" t="s">
        <v>3248</v>
      </c>
      <c r="B494" s="252" t="s">
        <v>2643</v>
      </c>
      <c r="C494" s="253">
        <f>'Dry_Litterbag Placem_Collection'!A55</f>
        <v>53</v>
      </c>
      <c r="D494" s="253" t="str">
        <f>'Dry_Litterbag Placem_Collection'!B55</f>
        <v>Makao</v>
      </c>
      <c r="E494" s="253" t="s">
        <v>2643</v>
      </c>
      <c r="F494" s="253" t="s">
        <v>20</v>
      </c>
      <c r="G494" s="253">
        <v>3</v>
      </c>
      <c r="H494" s="253" t="s">
        <v>3109</v>
      </c>
      <c r="I494" s="254" t="str">
        <f>'Dry_Litterbag Placem_Collection'!C55</f>
        <v>Dry_P3_T5</v>
      </c>
      <c r="J494" s="263" t="s">
        <v>2932</v>
      </c>
      <c r="K494" s="256" t="s">
        <v>1147</v>
      </c>
      <c r="L494" s="253" t="str">
        <f>IF(ISBLANK('Dry_Litterbag Placem_Collection'!L55),"","G"&amp;""&amp;'Dry_Litterbag Placem_Collection'!L55)</f>
        <v>G759</v>
      </c>
      <c r="M494" s="257">
        <f>IFERROR(INDEX('Green_rooibos initial weight'!$C$5:$C$2000,MATCH(L494, 'Green_rooibos initial weight'!$A$5:$A$2000,0)),"")</f>
        <v>2.0539999999999998</v>
      </c>
      <c r="N494" s="257">
        <f>IFERROR(M494-(TBIcalc!$Q$9+TBIcalc!$Q$10),"")</f>
        <v>1.8041999999999998</v>
      </c>
      <c r="O494" s="378">
        <f>AVERAGE(Ashed_controlls!$K$2:$K$11)</f>
        <v>5.5147656768714146</v>
      </c>
      <c r="P494" s="257">
        <f t="shared" si="36"/>
        <v>1.7047025976578858</v>
      </c>
      <c r="Q494" s="257">
        <f>IFERROR(INDEX('Both teabags AfterDry'!$D$2:$D$2000,MATCH(L494,'Both teabags AfterDry'!$A$2:$A$2000,0)),"")</f>
        <v>1.8980999999999999</v>
      </c>
      <c r="R494" s="257">
        <f>IFERROR(IF(Q494&gt;0,Q494-(TBIcalc!$Q$9),""),"")</f>
        <v>1.7474999999999998</v>
      </c>
      <c r="S494" s="268">
        <f>IFERROR(INDEX('Ashed teabags dry'!$K$2:$K$2000,MATCH(L494,'Ashed teabags dry'!$A$2:$A$2000,0)),"")</f>
        <v>5.7571359458148255</v>
      </c>
      <c r="T494" s="268">
        <f t="shared" si="37"/>
        <v>1.6468940493468858</v>
      </c>
      <c r="U494" s="258">
        <f>IF('Dry_Litterbag Placem_Collection'!E55="","",'Dry_Litterbag Placem_Collection'!E55)</f>
        <v>42938</v>
      </c>
      <c r="V494" s="258">
        <f>IF('Dry_Litterbag Placem_Collection'!G55="","",'Dry_Litterbag Placem_Collection'!G55)</f>
        <v>43005</v>
      </c>
      <c r="W494" s="259">
        <f t="shared" si="35"/>
        <v>67</v>
      </c>
      <c r="X494" s="257">
        <f t="shared" si="38"/>
        <v>5.6699999999999973E-2</v>
      </c>
      <c r="Y494" s="257">
        <f t="shared" si="39"/>
        <v>5.7808548311000019E-2</v>
      </c>
      <c r="Z494" s="261">
        <f>IFERROR(INDEX([3]Rainfall_Dry!$O$2:$O$217,MATCH(C494, [3]Rainfall_Dry!$A$2:$A$217,0)),"")</f>
        <v>6.5250000359999998</v>
      </c>
      <c r="AA494" s="250">
        <v>21.96</v>
      </c>
      <c r="AB494" s="250">
        <v>8.9199999999999982</v>
      </c>
      <c r="AC494" s="250">
        <v>69.12</v>
      </c>
      <c r="AD494" s="251" t="s">
        <v>2651</v>
      </c>
      <c r="AE494" s="250">
        <v>1.7491375061606702</v>
      </c>
      <c r="AF494" t="str">
        <f>IF('WetLitterbags placem_collection'!AB55="","",'WetLitterbags placem_collection'!AB55)</f>
        <v/>
      </c>
      <c r="AG494" t="str">
        <f>IF('WetLitterbags placem_collection'!Z55="","",'WetLitterbags placem_collection'!Z55)</f>
        <v/>
      </c>
      <c r="AH494" s="236" t="str">
        <f>IF('WetLitterbags placem_collection'!AA55="","",'WetLitterbags placem_collection'!AA55)</f>
        <v/>
      </c>
      <c r="AI494" t="str">
        <f>IF('WetLitterbags placem_collection'!AC55="","",'WetLitterbags placem_collection'!AC55)</f>
        <v/>
      </c>
      <c r="AJ494">
        <f>IFERROR(AVERAGE('Dry_Litterbag Placem_Collection'!O55,'Dry_Litterbag Placem_Collection'!R55),"")</f>
        <v>6.5</v>
      </c>
      <c r="AK494" s="261">
        <f>IFERROR(AVERAGE('Dry_Litterbag Placem_Collection'!N55,'Dry_Litterbag Placem_Collection'!Q55),"")</f>
        <v>30.4</v>
      </c>
      <c r="AL494" s="260">
        <f>INDEX([2]Coordinates!$B$2:$B$197,MATCH(I494,[2]Coordinates!$J$2:$J$197,0))</f>
        <v>-3.4061140000000001</v>
      </c>
      <c r="AM494" s="260">
        <f>INDEX([2]Coordinates!$C$2:$C$197,MATCH(I494,[2]Coordinates!$J$2:$J$197,0))</f>
        <v>34.850596000000003</v>
      </c>
      <c r="AN494" s="260" t="str">
        <f>IF(ISNUMBER(SEARCH("C", 'Dry_Litterbag Placem_Collection'!U55)),"YES","NO")</f>
        <v>NO</v>
      </c>
      <c r="AO494" s="260" t="str">
        <f>IF(ISNUMBER(SEARCH("H", 'Dry_Litterbag Placem_Collection'!U55)),"YES","NO")</f>
        <v>NO</v>
      </c>
      <c r="AP494" s="260" t="str">
        <f>IF(ISNUMBER(SEARCH("R", 'Dry_Litterbag Placem_Collection'!U55)),"YES","NO")</f>
        <v>NO</v>
      </c>
    </row>
    <row r="495" spans="1:42" ht="15" customHeight="1">
      <c r="A495" t="s">
        <v>3248</v>
      </c>
      <c r="B495" s="252" t="s">
        <v>2643</v>
      </c>
      <c r="C495" s="253">
        <f>'Dry_Litterbag Placem_Collection'!A56</f>
        <v>54</v>
      </c>
      <c r="D495" s="253" t="str">
        <f>'Dry_Litterbag Placem_Collection'!B56</f>
        <v>Makao</v>
      </c>
      <c r="E495" s="253" t="s">
        <v>2643</v>
      </c>
      <c r="F495" s="253" t="s">
        <v>20</v>
      </c>
      <c r="G495" s="253">
        <v>3</v>
      </c>
      <c r="H495" s="253" t="s">
        <v>3109</v>
      </c>
      <c r="I495" s="254" t="str">
        <f>'Dry_Litterbag Placem_Collection'!C56</f>
        <v>Dry_P3_T6</v>
      </c>
      <c r="J495" s="263" t="s">
        <v>2932</v>
      </c>
      <c r="K495" s="256" t="s">
        <v>1147</v>
      </c>
      <c r="L495" s="253" t="str">
        <f>IF(ISBLANK('Dry_Litterbag Placem_Collection'!L56),"","G"&amp;""&amp;'Dry_Litterbag Placem_Collection'!L56)</f>
        <v/>
      </c>
      <c r="M495" s="257" t="str">
        <f>IFERROR(INDEX('Green_rooibos initial weight'!$C$5:$C$2000,MATCH(L495, 'Green_rooibos initial weight'!$A$5:$A$2000,0)),"")</f>
        <v/>
      </c>
      <c r="N495" s="257" t="str">
        <f>IFERROR(M495-(TBIcalc!$Q$9+TBIcalc!$Q$10),"")</f>
        <v/>
      </c>
      <c r="O495" s="378">
        <f>AVERAGE(Ashed_controlls!$K$2:$K$11)</f>
        <v>5.5147656768714146</v>
      </c>
      <c r="P495" s="257" t="str">
        <f t="shared" si="36"/>
        <v/>
      </c>
      <c r="Q495" s="257" t="str">
        <f>IFERROR(INDEX('Both teabags AfterDry'!$D$2:$D$2000,MATCH(L495,'Both teabags AfterDry'!$A$2:$A$2000,0)),"")</f>
        <v/>
      </c>
      <c r="R495" s="257" t="str">
        <f>IFERROR(IF(Q495&gt;0,Q495-(TBIcalc!$Q$9),""),"")</f>
        <v/>
      </c>
      <c r="S495" s="268" t="str">
        <f>IFERROR(INDEX('Ashed teabags dry'!$K$2:$K$2000,MATCH(L495,'Ashed teabags dry'!$A$2:$A$2000,0)),"")</f>
        <v/>
      </c>
      <c r="T495" s="268" t="str">
        <f t="shared" si="37"/>
        <v/>
      </c>
      <c r="U495" s="258" t="str">
        <f>IF('Dry_Litterbag Placem_Collection'!E56="","",'Dry_Litterbag Placem_Collection'!E56)</f>
        <v/>
      </c>
      <c r="V495" s="258" t="str">
        <f>IF('Dry_Litterbag Placem_Collection'!G56="","",'Dry_Litterbag Placem_Collection'!G56)</f>
        <v/>
      </c>
      <c r="W495" s="259" t="str">
        <f t="shared" si="35"/>
        <v/>
      </c>
      <c r="X495" s="257" t="str">
        <f t="shared" si="38"/>
        <v/>
      </c>
      <c r="Y495" s="257" t="str">
        <f t="shared" si="39"/>
        <v/>
      </c>
      <c r="Z495" s="261" t="str">
        <f>IFERROR(INDEX([3]Rainfall_Dry!$O$2:$O$217,MATCH(C495, [3]Rainfall_Dry!$A$2:$A$217,0)),"")</f>
        <v/>
      </c>
      <c r="AA495" s="250">
        <v>21.96</v>
      </c>
      <c r="AB495" s="250">
        <v>8.9199999999999982</v>
      </c>
      <c r="AC495" s="250">
        <v>69.12</v>
      </c>
      <c r="AD495" s="251" t="s">
        <v>2651</v>
      </c>
      <c r="AE495" s="250">
        <v>1.7491375061606702</v>
      </c>
      <c r="AF495" t="str">
        <f>IF('WetLitterbags placem_collection'!AB56="","",'WetLitterbags placem_collection'!AB56)</f>
        <v/>
      </c>
      <c r="AG495" t="str">
        <f>IF('WetLitterbags placem_collection'!Z56="","",'WetLitterbags placem_collection'!Z56)</f>
        <v/>
      </c>
      <c r="AH495" s="236" t="str">
        <f>IF('WetLitterbags placem_collection'!AA56="","",'WetLitterbags placem_collection'!AA56)</f>
        <v/>
      </c>
      <c r="AI495" t="str">
        <f>IF('WetLitterbags placem_collection'!AC56="","",'WetLitterbags placem_collection'!AC56)</f>
        <v/>
      </c>
      <c r="AJ495" t="str">
        <f>IFERROR(AVERAGE('Dry_Litterbag Placem_Collection'!O56,'Dry_Litterbag Placem_Collection'!R56),"")</f>
        <v/>
      </c>
      <c r="AK495" s="261" t="str">
        <f>IFERROR(AVERAGE('Dry_Litterbag Placem_Collection'!N56,'Dry_Litterbag Placem_Collection'!Q56),"")</f>
        <v/>
      </c>
      <c r="AL495" s="260">
        <f>INDEX([2]Coordinates!$B$2:$B$197,MATCH(I495,[2]Coordinates!$J$2:$J$197,0))</f>
        <v>-3.406058019</v>
      </c>
      <c r="AM495" s="260">
        <f>INDEX([2]Coordinates!$C$2:$C$197,MATCH(I495,[2]Coordinates!$J$2:$J$197,0))</f>
        <v>34.850466019999999</v>
      </c>
      <c r="AN495" s="260" t="str">
        <f>IF(ISNUMBER(SEARCH("C", 'Dry_Litterbag Placem_Collection'!U56)),"YES","NO")</f>
        <v>NO</v>
      </c>
      <c r="AO495" s="260" t="str">
        <f>IF(ISNUMBER(SEARCH("H", 'Dry_Litterbag Placem_Collection'!U56)),"YES","NO")</f>
        <v>NO</v>
      </c>
      <c r="AP495" s="260" t="str">
        <f>IF(ISNUMBER(SEARCH("R", 'Dry_Litterbag Placem_Collection'!U56)),"YES","NO")</f>
        <v>NO</v>
      </c>
    </row>
    <row r="496" spans="1:42" ht="15" customHeight="1">
      <c r="A496" t="s">
        <v>3248</v>
      </c>
      <c r="B496" s="252" t="s">
        <v>2643</v>
      </c>
      <c r="C496" s="253">
        <f>'Dry_Litterbag Placem_Collection'!A57</f>
        <v>55</v>
      </c>
      <c r="D496" s="253" t="str">
        <f>'Dry_Litterbag Placem_Collection'!B57</f>
        <v>Makao</v>
      </c>
      <c r="E496" s="253" t="s">
        <v>2643</v>
      </c>
      <c r="F496" s="253" t="s">
        <v>20</v>
      </c>
      <c r="G496" s="253">
        <v>3</v>
      </c>
      <c r="H496" s="253" t="s">
        <v>3109</v>
      </c>
      <c r="I496" s="254" t="str">
        <f>'Dry_Litterbag Placem_Collection'!C57</f>
        <v>Dry_P3_T7</v>
      </c>
      <c r="J496" s="263" t="s">
        <v>2932</v>
      </c>
      <c r="K496" s="256" t="s">
        <v>1147</v>
      </c>
      <c r="L496" s="253" t="str">
        <f>IF(ISBLANK('Dry_Litterbag Placem_Collection'!L57),"","G"&amp;""&amp;'Dry_Litterbag Placem_Collection'!L57)</f>
        <v>G260</v>
      </c>
      <c r="M496" s="257">
        <f>IFERROR(INDEX('Green_rooibos initial weight'!$C$5:$C$2000,MATCH(L496, 'Green_rooibos initial weight'!$A$5:$A$2000,0)),"")</f>
        <v>2.1560000000000001</v>
      </c>
      <c r="N496" s="257">
        <f>IFERROR(M496-(TBIcalc!$Q$9+TBIcalc!$Q$10),"")</f>
        <v>1.9062000000000001</v>
      </c>
      <c r="O496" s="378">
        <f>AVERAGE(Ashed_controlls!$K$2:$K$11)</f>
        <v>5.5147656768714146</v>
      </c>
      <c r="P496" s="257">
        <f t="shared" si="36"/>
        <v>1.8010775366674772</v>
      </c>
      <c r="Q496" s="257">
        <f>IFERROR(INDEX('Both teabags AfterDry'!$D$2:$D$2000,MATCH(L496,'Both teabags AfterDry'!$A$2:$A$2000,0)),"")</f>
        <v>1.9074</v>
      </c>
      <c r="R496" s="257">
        <f>IFERROR(IF(Q496&gt;0,Q496-(TBIcalc!$Q$9),""),"")</f>
        <v>1.7567999999999999</v>
      </c>
      <c r="S496" s="268">
        <f>IFERROR(INDEX('Ashed teabags dry'!$K$2:$K$2000,MATCH(L496,'Ashed teabags dry'!$A$2:$A$2000,0)),"")</f>
        <v>8.8734232274901057</v>
      </c>
      <c r="T496" s="268">
        <f t="shared" si="37"/>
        <v>1.6009117007394538</v>
      </c>
      <c r="U496" s="258">
        <f>IF('Dry_Litterbag Placem_Collection'!E57="","",'Dry_Litterbag Placem_Collection'!E57)</f>
        <v>42938</v>
      </c>
      <c r="V496" s="258">
        <f>IF('Dry_Litterbag Placem_Collection'!G57="","",'Dry_Litterbag Placem_Collection'!G57)</f>
        <v>43005</v>
      </c>
      <c r="W496" s="259">
        <f t="shared" si="35"/>
        <v>67</v>
      </c>
      <c r="X496" s="257">
        <f t="shared" si="38"/>
        <v>0.1494000000000002</v>
      </c>
      <c r="Y496" s="257">
        <f t="shared" si="39"/>
        <v>0.20016583592802339</v>
      </c>
      <c r="Z496" s="261">
        <f>IFERROR(INDEX([3]Rainfall_Dry!$O$2:$O$217,MATCH(C496, [3]Rainfall_Dry!$A$2:$A$217,0)),"")</f>
        <v>6.5250000359999998</v>
      </c>
      <c r="AA496" s="250">
        <v>21.96</v>
      </c>
      <c r="AB496" s="250">
        <v>8.9199999999999982</v>
      </c>
      <c r="AC496" s="250">
        <v>69.12</v>
      </c>
      <c r="AD496" s="251" t="s">
        <v>2651</v>
      </c>
      <c r="AE496" s="250">
        <v>1.7491375061606702</v>
      </c>
      <c r="AF496">
        <f>IF('WetLitterbags placem_collection'!AB57="","",'WetLitterbags placem_collection'!AB57)</f>
        <v>15.8</v>
      </c>
      <c r="AG496">
        <f>IF('WetLitterbags placem_collection'!Z57="","",'WetLitterbags placem_collection'!Z57)</f>
        <v>45</v>
      </c>
      <c r="AH496" s="236" t="str">
        <f>IF('WetLitterbags placem_collection'!AA57="","",'WetLitterbags placem_collection'!AA57)</f>
        <v>M</v>
      </c>
      <c r="AI496">
        <f>IF('WetLitterbags placem_collection'!AC57="","",'WetLitterbags placem_collection'!AC57)</f>
        <v>1</v>
      </c>
      <c r="AJ496">
        <f>IFERROR(AVERAGE('Dry_Litterbag Placem_Collection'!O57,'Dry_Litterbag Placem_Collection'!R57),"")</f>
        <v>4.8</v>
      </c>
      <c r="AK496" s="261">
        <f>IFERROR(AVERAGE('Dry_Litterbag Placem_Collection'!N57,'Dry_Litterbag Placem_Collection'!Q57),"")</f>
        <v>31.9</v>
      </c>
      <c r="AL496" s="260">
        <f>INDEX([2]Coordinates!$B$2:$B$197,MATCH(I496,[2]Coordinates!$J$2:$J$197,0))</f>
        <v>-3.4061389879999999</v>
      </c>
      <c r="AM496" s="260">
        <f>INDEX([2]Coordinates!$C$2:$C$197,MATCH(I496,[2]Coordinates!$J$2:$J$197,0))</f>
        <v>34.850574979999998</v>
      </c>
      <c r="AN496" s="260" t="str">
        <f>IF(ISNUMBER(SEARCH("C", 'Dry_Litterbag Placem_Collection'!U57)),"YES","NO")</f>
        <v>NO</v>
      </c>
      <c r="AO496" s="260" t="str">
        <f>IF(ISNUMBER(SEARCH("H", 'Dry_Litterbag Placem_Collection'!U57)),"YES","NO")</f>
        <v>NO</v>
      </c>
      <c r="AP496" s="260" t="str">
        <f>IF(ISNUMBER(SEARCH("R", 'Dry_Litterbag Placem_Collection'!U57)),"YES","NO")</f>
        <v>NO</v>
      </c>
    </row>
    <row r="497" spans="1:42" ht="15" customHeight="1">
      <c r="A497" t="s">
        <v>3248</v>
      </c>
      <c r="B497" s="252" t="s">
        <v>2643</v>
      </c>
      <c r="C497" s="253">
        <f>'Dry_Litterbag Placem_Collection'!A58</f>
        <v>56</v>
      </c>
      <c r="D497" s="253" t="str">
        <f>'Dry_Litterbag Placem_Collection'!B58</f>
        <v>Makao</v>
      </c>
      <c r="E497" s="253" t="s">
        <v>2643</v>
      </c>
      <c r="F497" s="253" t="s">
        <v>20</v>
      </c>
      <c r="G497" s="253">
        <v>3</v>
      </c>
      <c r="H497" s="253" t="s">
        <v>3109</v>
      </c>
      <c r="I497" s="254" t="str">
        <f>'Dry_Litterbag Placem_Collection'!C58</f>
        <v>Dry_P3_T8</v>
      </c>
      <c r="J497" s="263" t="s">
        <v>2932</v>
      </c>
      <c r="K497" s="256" t="s">
        <v>1147</v>
      </c>
      <c r="L497" s="253" t="str">
        <f>IF(ISBLANK('Dry_Litterbag Placem_Collection'!L58),"","G"&amp;""&amp;'Dry_Litterbag Placem_Collection'!L58)</f>
        <v>G493</v>
      </c>
      <c r="M497" s="257">
        <f>IFERROR(INDEX('Green_rooibos initial weight'!$C$5:$C$2000,MATCH(L497, 'Green_rooibos initial weight'!$A$5:$A$2000,0)),"")</f>
        <v>2.0510000000000002</v>
      </c>
      <c r="N497" s="257">
        <f>IFERROR(M497-(TBIcalc!$Q$9+TBIcalc!$Q$10),"")</f>
        <v>1.8012000000000001</v>
      </c>
      <c r="O497" s="378">
        <f>AVERAGE(Ashed_controlls!$K$2:$K$11)</f>
        <v>5.5147656768714146</v>
      </c>
      <c r="P497" s="257">
        <f t="shared" si="36"/>
        <v>1.7018680406281923</v>
      </c>
      <c r="Q497" s="257">
        <f>IFERROR(INDEX('Both teabags AfterDry'!$D$2:$D$2000,MATCH(L497,'Both teabags AfterDry'!$A$2:$A$2000,0)),"")</f>
        <v>1.8869</v>
      </c>
      <c r="R497" s="257">
        <f>IFERROR(IF(Q497&gt;0,Q497-(TBIcalc!$Q$9),""),"")</f>
        <v>1.7363</v>
      </c>
      <c r="S497" s="268">
        <f>IFERROR(INDEX('Ashed teabags dry'!$K$2:$K$2000,MATCH(L497,'Ashed teabags dry'!$A$2:$A$2000,0)),"")</f>
        <v>6.380316930776055</v>
      </c>
      <c r="T497" s="268">
        <f t="shared" si="37"/>
        <v>1.6255185571309354</v>
      </c>
      <c r="U497" s="258">
        <f>IF('Dry_Litterbag Placem_Collection'!E58="","",'Dry_Litterbag Placem_Collection'!E58)</f>
        <v>42938</v>
      </c>
      <c r="V497" s="258">
        <f>IF('Dry_Litterbag Placem_Collection'!G58="","",'Dry_Litterbag Placem_Collection'!G58)</f>
        <v>43005</v>
      </c>
      <c r="W497" s="259">
        <f t="shared" si="35"/>
        <v>67</v>
      </c>
      <c r="X497" s="257">
        <f t="shared" si="38"/>
        <v>6.490000000000018E-2</v>
      </c>
      <c r="Y497" s="257">
        <f t="shared" si="39"/>
        <v>7.6349483497256898E-2</v>
      </c>
      <c r="Z497" s="261">
        <f>IFERROR(INDEX([3]Rainfall_Dry!$O$2:$O$217,MATCH(C497, [3]Rainfall_Dry!$A$2:$A$217,0)),"")</f>
        <v>6.5250000359999998</v>
      </c>
      <c r="AA497" s="250">
        <v>21.96</v>
      </c>
      <c r="AB497" s="250">
        <v>8.9199999999999982</v>
      </c>
      <c r="AC497" s="250">
        <v>69.12</v>
      </c>
      <c r="AD497" s="251" t="s">
        <v>2651</v>
      </c>
      <c r="AE497" s="250">
        <v>1.7491375061606702</v>
      </c>
      <c r="AF497">
        <f>IF('WetLitterbags placem_collection'!AB58="","",'WetLitterbags placem_collection'!AB58)</f>
        <v>15.4</v>
      </c>
      <c r="AG497">
        <f>IF('WetLitterbags placem_collection'!Z58="","",'WetLitterbags placem_collection'!Z58)</f>
        <v>30.8</v>
      </c>
      <c r="AH497" s="236" t="str">
        <f>IF('WetLitterbags placem_collection'!AA58="","",'WetLitterbags placem_collection'!AA58)</f>
        <v>M</v>
      </c>
      <c r="AI497">
        <f>IF('WetLitterbags placem_collection'!AC58="","",'WetLitterbags placem_collection'!AC58)</f>
        <v>0</v>
      </c>
      <c r="AJ497">
        <f>IFERROR(AVERAGE('Dry_Litterbag Placem_Collection'!O58,'Dry_Litterbag Placem_Collection'!R58),"")</f>
        <v>8.3000000000000007</v>
      </c>
      <c r="AK497" s="261">
        <f>IFERROR(AVERAGE('Dry_Litterbag Placem_Collection'!N58,'Dry_Litterbag Placem_Collection'!Q58),"")</f>
        <v>30.049999999999997</v>
      </c>
      <c r="AL497" s="260">
        <f>INDEX([2]Coordinates!$B$2:$B$197,MATCH(I497,[2]Coordinates!$J$2:$J$197,0))</f>
        <v>-3.4062900300000001</v>
      </c>
      <c r="AM497" s="260">
        <f>INDEX([2]Coordinates!$C$2:$C$197,MATCH(I497,[2]Coordinates!$J$2:$J$197,0))</f>
        <v>34.850441959999998</v>
      </c>
      <c r="AN497" s="260" t="str">
        <f>IF(ISNUMBER(SEARCH("C", 'Dry_Litterbag Placem_Collection'!U58)),"YES","NO")</f>
        <v>NO</v>
      </c>
      <c r="AO497" s="260" t="str">
        <f>IF(ISNUMBER(SEARCH("H", 'Dry_Litterbag Placem_Collection'!U58)),"YES","NO")</f>
        <v>NO</v>
      </c>
      <c r="AP497" s="260" t="str">
        <f>IF(ISNUMBER(SEARCH("R", 'Dry_Litterbag Placem_Collection'!U58)),"YES","NO")</f>
        <v>NO</v>
      </c>
    </row>
    <row r="498" spans="1:42" ht="15" customHeight="1">
      <c r="A498" t="s">
        <v>3248</v>
      </c>
      <c r="B498" s="252" t="s">
        <v>2643</v>
      </c>
      <c r="C498" s="253">
        <f>'Dry_Litterbag Placem_Collection'!A59</f>
        <v>57</v>
      </c>
      <c r="D498" s="253" t="str">
        <f>'Dry_Litterbag Placem_Collection'!B59</f>
        <v>Makao</v>
      </c>
      <c r="E498" s="253" t="s">
        <v>2643</v>
      </c>
      <c r="F498" s="253" t="s">
        <v>20</v>
      </c>
      <c r="G498" s="253">
        <v>4</v>
      </c>
      <c r="H498" s="253" t="s">
        <v>3110</v>
      </c>
      <c r="I498" s="254" t="str">
        <f>'Dry_Litterbag Placem_Collection'!C59</f>
        <v>Dry_P4_T1</v>
      </c>
      <c r="J498" s="263" t="s">
        <v>2932</v>
      </c>
      <c r="K498" s="256" t="s">
        <v>1147</v>
      </c>
      <c r="L498" s="253" t="str">
        <f>IF(ISBLANK('Dry_Litterbag Placem_Collection'!L59),"","G"&amp;""&amp;'Dry_Litterbag Placem_Collection'!L59)</f>
        <v>G342</v>
      </c>
      <c r="M498" s="257">
        <f>IFERROR(INDEX('Green_rooibos initial weight'!$C$5:$C$2000,MATCH(L498, 'Green_rooibos initial weight'!$A$5:$A$2000,0)),"")</f>
        <v>1.9039999999999999</v>
      </c>
      <c r="N498" s="257">
        <f>IFERROR(M498-(TBIcalc!$Q$9+TBIcalc!$Q$10),"")</f>
        <v>1.6541999999999999</v>
      </c>
      <c r="O498" s="378">
        <f>AVERAGE(Ashed_controlls!$K$2:$K$11)</f>
        <v>5.5147656768714146</v>
      </c>
      <c r="P498" s="257">
        <f t="shared" si="36"/>
        <v>1.5629747461731929</v>
      </c>
      <c r="Q498" s="257">
        <f>IFERROR(INDEX('Both teabags AfterDry'!$D$2:$D$2000,MATCH(L498,'Both teabags AfterDry'!$A$2:$A$2000,0)),"")</f>
        <v>1.7556</v>
      </c>
      <c r="R498" s="257">
        <f>IFERROR(IF(Q498&gt;0,Q498-(TBIcalc!$Q$9),""),"")</f>
        <v>1.605</v>
      </c>
      <c r="S498" s="268">
        <f>IFERROR(INDEX('Ashed teabags dry'!$K$2:$K$2000,MATCH(L498,'Ashed teabags dry'!$A$2:$A$2000,0)),"")</f>
        <v>5.6726094003237382</v>
      </c>
      <c r="T498" s="268">
        <f t="shared" si="37"/>
        <v>1.5139546191248039</v>
      </c>
      <c r="U498" s="258">
        <f>IF('Dry_Litterbag Placem_Collection'!E59="","",'Dry_Litterbag Placem_Collection'!E59)</f>
        <v>42938</v>
      </c>
      <c r="V498" s="258">
        <f>IF('Dry_Litterbag Placem_Collection'!G59="","",'Dry_Litterbag Placem_Collection'!G59)</f>
        <v>43005</v>
      </c>
      <c r="W498" s="259">
        <f t="shared" si="35"/>
        <v>67</v>
      </c>
      <c r="X498" s="257">
        <f t="shared" si="38"/>
        <v>4.919999999999991E-2</v>
      </c>
      <c r="Y498" s="257">
        <f t="shared" si="39"/>
        <v>4.9020127048388984E-2</v>
      </c>
      <c r="Z498" s="261">
        <f>IFERROR(INDEX([3]Rainfall_Dry!$O$2:$O$217,MATCH(C498, [3]Rainfall_Dry!$A$2:$A$217,0)),"")</f>
        <v>6.5250000359999998</v>
      </c>
      <c r="AA498" s="250">
        <v>25.96</v>
      </c>
      <c r="AB498" s="250">
        <v>6.9200000000000008</v>
      </c>
      <c r="AC498" s="250">
        <v>67.12</v>
      </c>
      <c r="AD498" s="251" t="s">
        <v>2651</v>
      </c>
      <c r="AE498" s="250">
        <v>1.7568260226712666</v>
      </c>
      <c r="AF498">
        <f>IF('WetLitterbags placem_collection'!AB59="","",'WetLitterbags placem_collection'!AB59)</f>
        <v>3.3</v>
      </c>
      <c r="AG498">
        <f>IF('WetLitterbags placem_collection'!Z59="","",'WetLitterbags placem_collection'!Z59)</f>
        <v>28.4</v>
      </c>
      <c r="AH498" s="236" t="str">
        <f>IF('WetLitterbags placem_collection'!AA59="","",'WetLitterbags placem_collection'!AA59)</f>
        <v>O</v>
      </c>
      <c r="AI498">
        <f>IF('WetLitterbags placem_collection'!AC59="","",'WetLitterbags placem_collection'!AC59)</f>
        <v>1</v>
      </c>
      <c r="AJ498">
        <f>IFERROR(AVERAGE('Dry_Litterbag Placem_Collection'!O59,'Dry_Litterbag Placem_Collection'!R59),"")</f>
        <v>3.95</v>
      </c>
      <c r="AK498" s="261">
        <f>IFERROR(AVERAGE('Dry_Litterbag Placem_Collection'!N59,'Dry_Litterbag Placem_Collection'!Q59),"")</f>
        <v>33.25</v>
      </c>
      <c r="AL498" s="260">
        <f>INDEX([2]Coordinates!$B$2:$B$197,MATCH(I498,[2]Coordinates!$J$2:$J$197,0))</f>
        <v>-3.4064239729999999</v>
      </c>
      <c r="AM498" s="260">
        <f>INDEX([2]Coordinates!$C$2:$C$197,MATCH(I498,[2]Coordinates!$J$2:$J$197,0))</f>
        <v>34.851213010000002</v>
      </c>
      <c r="AN498" s="260" t="str">
        <f>IF(ISNUMBER(SEARCH("C", 'Dry_Litterbag Placem_Collection'!U59)),"YES","NO")</f>
        <v>NO</v>
      </c>
      <c r="AO498" s="260" t="str">
        <f>IF(ISNUMBER(SEARCH("H", 'Dry_Litterbag Placem_Collection'!U59)),"YES","NO")</f>
        <v>NO</v>
      </c>
      <c r="AP498" s="260" t="str">
        <f>IF(ISNUMBER(SEARCH("R", 'Dry_Litterbag Placem_Collection'!U59)),"YES","NO")</f>
        <v>NO</v>
      </c>
    </row>
    <row r="499" spans="1:42" ht="15" customHeight="1">
      <c r="A499" t="s">
        <v>3248</v>
      </c>
      <c r="B499" s="252" t="s">
        <v>2643</v>
      </c>
      <c r="C499" s="253">
        <f>'Dry_Litterbag Placem_Collection'!A60</f>
        <v>58</v>
      </c>
      <c r="D499" s="253" t="str">
        <f>'Dry_Litterbag Placem_Collection'!B60</f>
        <v>Makao</v>
      </c>
      <c r="E499" s="253" t="s">
        <v>2643</v>
      </c>
      <c r="F499" s="253" t="s">
        <v>20</v>
      </c>
      <c r="G499" s="253">
        <v>4</v>
      </c>
      <c r="H499" s="253" t="s">
        <v>3110</v>
      </c>
      <c r="I499" s="254" t="str">
        <f>'Dry_Litterbag Placem_Collection'!C60</f>
        <v>Dry_P4_T2</v>
      </c>
      <c r="J499" s="263" t="s">
        <v>2932</v>
      </c>
      <c r="K499" s="256" t="s">
        <v>1147</v>
      </c>
      <c r="L499" s="253" t="str">
        <f>IF(ISBLANK('Dry_Litterbag Placem_Collection'!L60),"","G"&amp;""&amp;'Dry_Litterbag Placem_Collection'!L60)</f>
        <v>G735</v>
      </c>
      <c r="M499" s="257">
        <f>IFERROR(INDEX('Green_rooibos initial weight'!$C$5:$C$2000,MATCH(L499, 'Green_rooibos initial weight'!$A$5:$A$2000,0)),"")</f>
        <v>2.0950000000000002</v>
      </c>
      <c r="N499" s="257">
        <f>IFERROR(M499-(TBIcalc!$Q$9+TBIcalc!$Q$10),"")</f>
        <v>1.8452000000000002</v>
      </c>
      <c r="O499" s="378">
        <f>AVERAGE(Ashed_controlls!$K$2:$K$11)</f>
        <v>5.5147656768714146</v>
      </c>
      <c r="P499" s="257">
        <f t="shared" si="36"/>
        <v>1.7434415437303687</v>
      </c>
      <c r="Q499" s="257">
        <f>IFERROR(INDEX('Both teabags AfterDry'!$D$2:$D$2000,MATCH(L499,'Both teabags AfterDry'!$A$2:$A$2000,0)),"")</f>
        <v>1.9036</v>
      </c>
      <c r="R499" s="257">
        <f>IFERROR(IF(Q499&gt;0,Q499-(TBIcalc!$Q$9),""),"")</f>
        <v>1.7529999999999999</v>
      </c>
      <c r="S499" s="268">
        <f>IFERROR(INDEX('Ashed teabags dry'!$K$2:$K$2000,MATCH(L499,'Ashed teabags dry'!$A$2:$A$2000,0)),"")</f>
        <v>6.5088757396447594</v>
      </c>
      <c r="T499" s="268">
        <f t="shared" si="37"/>
        <v>1.6388994082840274</v>
      </c>
      <c r="U499" s="258">
        <f>IF('Dry_Litterbag Placem_Collection'!E60="","",'Dry_Litterbag Placem_Collection'!E60)</f>
        <v>42938</v>
      </c>
      <c r="V499" s="258">
        <f>IF('Dry_Litterbag Placem_Collection'!G60="","",'Dry_Litterbag Placem_Collection'!G60)</f>
        <v>43005</v>
      </c>
      <c r="W499" s="259">
        <f t="shared" si="35"/>
        <v>67</v>
      </c>
      <c r="X499" s="257">
        <f t="shared" si="38"/>
        <v>9.2200000000000282E-2</v>
      </c>
      <c r="Y499" s="257">
        <f t="shared" si="39"/>
        <v>0.10454213544634139</v>
      </c>
      <c r="Z499" s="261">
        <f>IFERROR(INDEX([3]Rainfall_Dry!$O$2:$O$217,MATCH(C499, [3]Rainfall_Dry!$A$2:$A$217,0)),"")</f>
        <v>6.5250000359999998</v>
      </c>
      <c r="AA499" s="250">
        <v>25.96</v>
      </c>
      <c r="AB499" s="250">
        <v>6.9200000000000008</v>
      </c>
      <c r="AC499" s="250">
        <v>67.12</v>
      </c>
      <c r="AD499" s="251" t="s">
        <v>2651</v>
      </c>
      <c r="AE499" s="250">
        <v>1.7568260226712666</v>
      </c>
      <c r="AF499">
        <f>IF('WetLitterbags placem_collection'!AB60="","",'WetLitterbags placem_collection'!AB60)</f>
        <v>1.4</v>
      </c>
      <c r="AG499">
        <f>IF('WetLitterbags placem_collection'!Z60="","",'WetLitterbags placem_collection'!Z60)</f>
        <v>54.4</v>
      </c>
      <c r="AH499" s="236" t="str">
        <f>IF('WetLitterbags placem_collection'!AA60="","",'WetLitterbags placem_collection'!AA60)</f>
        <v>O</v>
      </c>
      <c r="AI499">
        <f>IF('WetLitterbags placem_collection'!AC60="","",'WetLitterbags placem_collection'!AC60)</f>
        <v>0</v>
      </c>
      <c r="AJ499">
        <f>IFERROR(AVERAGE('Dry_Litterbag Placem_Collection'!O60,'Dry_Litterbag Placem_Collection'!R60),"")</f>
        <v>5.7</v>
      </c>
      <c r="AK499" s="261">
        <f>IFERROR(AVERAGE('Dry_Litterbag Placem_Collection'!N60,'Dry_Litterbag Placem_Collection'!Q60),"")</f>
        <v>32.35</v>
      </c>
      <c r="AL499" s="260">
        <f>INDEX([2]Coordinates!$B$2:$B$197,MATCH(I499,[2]Coordinates!$J$2:$J$197,0))</f>
        <v>-3.4065020079999999</v>
      </c>
      <c r="AM499" s="260">
        <f>INDEX([2]Coordinates!$C$2:$C$197,MATCH(I499,[2]Coordinates!$J$2:$J$197,0))</f>
        <v>34.851056020000001</v>
      </c>
      <c r="AN499" s="260" t="str">
        <f>IF(ISNUMBER(SEARCH("C", 'Dry_Litterbag Placem_Collection'!U60)),"YES","NO")</f>
        <v>NO</v>
      </c>
      <c r="AO499" s="260" t="str">
        <f>IF(ISNUMBER(SEARCH("H", 'Dry_Litterbag Placem_Collection'!U60)),"YES","NO")</f>
        <v>NO</v>
      </c>
      <c r="AP499" s="260" t="str">
        <f>IF(ISNUMBER(SEARCH("R", 'Dry_Litterbag Placem_Collection'!U60)),"YES","NO")</f>
        <v>NO</v>
      </c>
    </row>
    <row r="500" spans="1:42" ht="15" customHeight="1">
      <c r="A500" t="s">
        <v>3248</v>
      </c>
      <c r="B500" s="252" t="s">
        <v>2643</v>
      </c>
      <c r="C500" s="253">
        <f>'Dry_Litterbag Placem_Collection'!A61</f>
        <v>59</v>
      </c>
      <c r="D500" s="253" t="str">
        <f>'Dry_Litterbag Placem_Collection'!B61</f>
        <v>Makao</v>
      </c>
      <c r="E500" s="253" t="s">
        <v>2643</v>
      </c>
      <c r="F500" s="253" t="s">
        <v>20</v>
      </c>
      <c r="G500" s="253">
        <v>4</v>
      </c>
      <c r="H500" s="253" t="s">
        <v>3110</v>
      </c>
      <c r="I500" s="254" t="str">
        <f>'Dry_Litterbag Placem_Collection'!C61</f>
        <v>Dry_P4_T3</v>
      </c>
      <c r="J500" s="263" t="s">
        <v>2932</v>
      </c>
      <c r="K500" s="256" t="s">
        <v>1147</v>
      </c>
      <c r="L500" s="253" t="str">
        <f>IF(ISBLANK('Dry_Litterbag Placem_Collection'!L61),"","G"&amp;""&amp;'Dry_Litterbag Placem_Collection'!L61)</f>
        <v>G558</v>
      </c>
      <c r="M500" s="257">
        <f>IFERROR(INDEX('Green_rooibos initial weight'!$C$5:$C$2000,MATCH(L500, 'Green_rooibos initial weight'!$A$5:$A$2000,0)),"")</f>
        <v>2.1789999999999998</v>
      </c>
      <c r="N500" s="257">
        <f>IFERROR(M500-(TBIcalc!$Q$9+TBIcalc!$Q$10),"")</f>
        <v>1.9291999999999998</v>
      </c>
      <c r="O500" s="378">
        <f>AVERAGE(Ashed_controlls!$K$2:$K$11)</f>
        <v>5.5147656768714146</v>
      </c>
      <c r="P500" s="257">
        <f t="shared" si="36"/>
        <v>1.8228091405617965</v>
      </c>
      <c r="Q500" s="257">
        <f>IFERROR(INDEX('Both teabags AfterDry'!$D$2:$D$2000,MATCH(L500,'Both teabags AfterDry'!$A$2:$A$2000,0)),"")</f>
        <v>1.9415</v>
      </c>
      <c r="R500" s="257">
        <f>IFERROR(IF(Q500&gt;0,Q500-(TBIcalc!$Q$9),""),"")</f>
        <v>1.7908999999999999</v>
      </c>
      <c r="S500" s="268">
        <f>IFERROR(INDEX('Ashed teabags dry'!$K$2:$K$2000,MATCH(L500,'Ashed teabags dry'!$A$2:$A$2000,0)),"")</f>
        <v>5.6511056511055608</v>
      </c>
      <c r="T500" s="268">
        <f t="shared" si="37"/>
        <v>1.6896943488943506</v>
      </c>
      <c r="U500" s="258">
        <f>IF('Dry_Litterbag Placem_Collection'!E61="","",'Dry_Litterbag Placem_Collection'!E61)</f>
        <v>42938</v>
      </c>
      <c r="V500" s="258">
        <f>IF('Dry_Litterbag Placem_Collection'!G61="","",'Dry_Litterbag Placem_Collection'!G61)</f>
        <v>43005</v>
      </c>
      <c r="W500" s="259">
        <f t="shared" si="35"/>
        <v>67</v>
      </c>
      <c r="X500" s="257">
        <f t="shared" si="38"/>
        <v>0.13829999999999987</v>
      </c>
      <c r="Y500" s="257">
        <f t="shared" si="39"/>
        <v>0.133114791667446</v>
      </c>
      <c r="Z500" s="261">
        <f>IFERROR(INDEX([3]Rainfall_Dry!$O$2:$O$217,MATCH(C500, [3]Rainfall_Dry!$A$2:$A$217,0)),"")</f>
        <v>6.5250000359999998</v>
      </c>
      <c r="AA500" s="250">
        <v>25.96</v>
      </c>
      <c r="AB500" s="250">
        <v>6.9200000000000008</v>
      </c>
      <c r="AC500" s="250">
        <v>67.12</v>
      </c>
      <c r="AD500" s="251" t="s">
        <v>2651</v>
      </c>
      <c r="AE500" s="250">
        <v>1.7568260226712666</v>
      </c>
      <c r="AF500">
        <f>IF('WetLitterbags placem_collection'!AB61="","",'WetLitterbags placem_collection'!AB61)</f>
        <v>3.3</v>
      </c>
      <c r="AG500">
        <f>IF('WetLitterbags placem_collection'!Z61="","",'WetLitterbags placem_collection'!Z61)</f>
        <v>46</v>
      </c>
      <c r="AH500" s="236" t="str">
        <f>IF('WetLitterbags placem_collection'!AA61="","",'WetLitterbags placem_collection'!AA61)</f>
        <v>O</v>
      </c>
      <c r="AI500">
        <f>IF('WetLitterbags placem_collection'!AC61="","",'WetLitterbags placem_collection'!AC61)</f>
        <v>0</v>
      </c>
      <c r="AJ500">
        <f>IFERROR(AVERAGE('Dry_Litterbag Placem_Collection'!O61,'Dry_Litterbag Placem_Collection'!R61),"")</f>
        <v>7.6999999999999993</v>
      </c>
      <c r="AK500" s="261">
        <f>IFERROR(AVERAGE('Dry_Litterbag Placem_Collection'!N61,'Dry_Litterbag Placem_Collection'!Q61),"")</f>
        <v>31.8</v>
      </c>
      <c r="AL500" s="260">
        <f>INDEX([2]Coordinates!$B$2:$B$197,MATCH(I500,[2]Coordinates!$J$2:$J$197,0))</f>
        <v>-3.4062359670000002</v>
      </c>
      <c r="AM500" s="260">
        <f>INDEX([2]Coordinates!$C$2:$C$197,MATCH(I500,[2]Coordinates!$J$2:$J$197,0))</f>
        <v>34.851107990000003</v>
      </c>
      <c r="AN500" s="260" t="str">
        <f>IF(ISNUMBER(SEARCH("C", 'Dry_Litterbag Placem_Collection'!U61)),"YES","NO")</f>
        <v>NO</v>
      </c>
      <c r="AO500" s="260" t="str">
        <f>IF(ISNUMBER(SEARCH("H", 'Dry_Litterbag Placem_Collection'!U61)),"YES","NO")</f>
        <v>NO</v>
      </c>
      <c r="AP500" s="260" t="str">
        <f>IF(ISNUMBER(SEARCH("R", 'Dry_Litterbag Placem_Collection'!U61)),"YES","NO")</f>
        <v>NO</v>
      </c>
    </row>
    <row r="501" spans="1:42" ht="15" customHeight="1">
      <c r="A501" t="s">
        <v>3248</v>
      </c>
      <c r="B501" s="252" t="s">
        <v>2643</v>
      </c>
      <c r="C501" s="253">
        <f>'Dry_Litterbag Placem_Collection'!A62</f>
        <v>60</v>
      </c>
      <c r="D501" s="253" t="str">
        <f>'Dry_Litterbag Placem_Collection'!B62</f>
        <v>Makao</v>
      </c>
      <c r="E501" s="253" t="s">
        <v>2643</v>
      </c>
      <c r="F501" s="253" t="s">
        <v>20</v>
      </c>
      <c r="G501" s="253">
        <v>4</v>
      </c>
      <c r="H501" s="253" t="s">
        <v>3110</v>
      </c>
      <c r="I501" s="254" t="str">
        <f>'Dry_Litterbag Placem_Collection'!C62</f>
        <v>Dry_P4_T4</v>
      </c>
      <c r="J501" s="263" t="s">
        <v>2932</v>
      </c>
      <c r="K501" s="256" t="s">
        <v>1147</v>
      </c>
      <c r="L501" s="253" t="str">
        <f>IF(ISBLANK('Dry_Litterbag Placem_Collection'!L62),"","G"&amp;""&amp;'Dry_Litterbag Placem_Collection'!L62)</f>
        <v>G751</v>
      </c>
      <c r="M501" s="257">
        <f>IFERROR(INDEX('Green_rooibos initial weight'!$C$5:$C$2000,MATCH(L501, 'Green_rooibos initial weight'!$A$5:$A$2000,0)),"")</f>
        <v>2.0750000000000002</v>
      </c>
      <c r="N501" s="257">
        <f>IFERROR(M501-(TBIcalc!$Q$9+TBIcalc!$Q$10),"")</f>
        <v>1.8252000000000002</v>
      </c>
      <c r="O501" s="378">
        <f>AVERAGE(Ashed_controlls!$K$2:$K$11)</f>
        <v>5.5147656768714146</v>
      </c>
      <c r="P501" s="257">
        <f t="shared" si="36"/>
        <v>1.7245444968657431</v>
      </c>
      <c r="Q501" s="257" t="str">
        <f>IFERROR(INDEX('Both teabags AfterDry'!$D$2:$D$2000,MATCH(L501,'Both teabags AfterDry'!$A$2:$A$2000,0)),"")</f>
        <v/>
      </c>
      <c r="R501" s="257" t="str">
        <f>IFERROR(IF(Q501&gt;0,Q501-(TBIcalc!$Q$9),""),"")</f>
        <v/>
      </c>
      <c r="S501" s="268" t="str">
        <f>IFERROR(INDEX('Ashed teabags dry'!$K$2:$K$2000,MATCH(L501,'Ashed teabags dry'!$A$2:$A$2000,0)),"")</f>
        <v/>
      </c>
      <c r="T501" s="268" t="str">
        <f t="shared" si="37"/>
        <v/>
      </c>
      <c r="U501" s="258">
        <f>IF('Dry_Litterbag Placem_Collection'!E62="","",'Dry_Litterbag Placem_Collection'!E62)</f>
        <v>42938</v>
      </c>
      <c r="V501" s="258">
        <f>IF('Dry_Litterbag Placem_Collection'!G62="","",'Dry_Litterbag Placem_Collection'!G62)</f>
        <v>43005</v>
      </c>
      <c r="W501" s="259">
        <f t="shared" si="35"/>
        <v>67</v>
      </c>
      <c r="X501" s="257" t="str">
        <f t="shared" si="38"/>
        <v/>
      </c>
      <c r="Y501" s="257" t="str">
        <f t="shared" si="39"/>
        <v/>
      </c>
      <c r="Z501" s="261">
        <f>IFERROR(INDEX([3]Rainfall_Dry!$O$2:$O$217,MATCH(C501, [3]Rainfall_Dry!$A$2:$A$217,0)),"")</f>
        <v>6.5250000359999998</v>
      </c>
      <c r="AA501" s="250">
        <v>25.96</v>
      </c>
      <c r="AB501" s="250">
        <v>6.9200000000000008</v>
      </c>
      <c r="AC501" s="250">
        <v>67.12</v>
      </c>
      <c r="AD501" s="251" t="s">
        <v>2651</v>
      </c>
      <c r="AE501" s="250">
        <v>1.7568260226712666</v>
      </c>
      <c r="AF501">
        <f>IF('WetLitterbags placem_collection'!AB62="","",'WetLitterbags placem_collection'!AB62)</f>
        <v>2.4</v>
      </c>
      <c r="AG501">
        <f>IF('WetLitterbags placem_collection'!Z62="","",'WetLitterbags placem_collection'!Z62)</f>
        <v>10.199999999999999</v>
      </c>
      <c r="AH501" s="236" t="str">
        <f>IF('WetLitterbags placem_collection'!AA62="","",'WetLitterbags placem_collection'!AA62)</f>
        <v>O</v>
      </c>
      <c r="AI501">
        <f>IF('WetLitterbags placem_collection'!AC62="","",'WetLitterbags placem_collection'!AC62)</f>
        <v>0</v>
      </c>
      <c r="AJ501">
        <f>IFERROR(AVERAGE('Dry_Litterbag Placem_Collection'!O62,'Dry_Litterbag Placem_Collection'!R62),"")</f>
        <v>5.65</v>
      </c>
      <c r="AK501" s="261">
        <f>IFERROR(AVERAGE('Dry_Litterbag Placem_Collection'!N62,'Dry_Litterbag Placem_Collection'!Q62),"")</f>
        <v>32.650000000000006</v>
      </c>
      <c r="AL501" s="260">
        <f>INDEX([2]Coordinates!$B$2:$B$197,MATCH(I501,[2]Coordinates!$J$2:$J$197,0))</f>
        <v>-3.406281983</v>
      </c>
      <c r="AM501" s="260">
        <f>INDEX([2]Coordinates!$C$2:$C$197,MATCH(I501,[2]Coordinates!$J$2:$J$197,0))</f>
        <v>34.85137898</v>
      </c>
      <c r="AN501" s="260" t="str">
        <f>IF(ISNUMBER(SEARCH("C", 'Dry_Litterbag Placem_Collection'!U62)),"YES","NO")</f>
        <v>NO</v>
      </c>
      <c r="AO501" s="260" t="str">
        <f>IF(ISNUMBER(SEARCH("H", 'Dry_Litterbag Placem_Collection'!U62)),"YES","NO")</f>
        <v>NO</v>
      </c>
      <c r="AP501" s="260" t="str">
        <f>IF(ISNUMBER(SEARCH("R", 'Dry_Litterbag Placem_Collection'!U62)),"YES","NO")</f>
        <v>NO</v>
      </c>
    </row>
    <row r="502" spans="1:42" ht="15" customHeight="1">
      <c r="A502" t="s">
        <v>3248</v>
      </c>
      <c r="B502" s="252" t="s">
        <v>2643</v>
      </c>
      <c r="C502" s="253">
        <f>'Dry_Litterbag Placem_Collection'!A63</f>
        <v>61</v>
      </c>
      <c r="D502" s="253" t="str">
        <f>'Dry_Litterbag Placem_Collection'!B63</f>
        <v>Makao</v>
      </c>
      <c r="E502" s="253" t="s">
        <v>2643</v>
      </c>
      <c r="F502" s="253" t="s">
        <v>20</v>
      </c>
      <c r="G502" s="253">
        <v>4</v>
      </c>
      <c r="H502" s="253" t="s">
        <v>3110</v>
      </c>
      <c r="I502" s="254" t="str">
        <f>'Dry_Litterbag Placem_Collection'!C63</f>
        <v>Dry_P4_T5</v>
      </c>
      <c r="J502" s="263" t="s">
        <v>2932</v>
      </c>
      <c r="K502" s="256" t="s">
        <v>1147</v>
      </c>
      <c r="L502" s="253" t="str">
        <f>IF(ISBLANK('Dry_Litterbag Placem_Collection'!L63),"","G"&amp;""&amp;'Dry_Litterbag Placem_Collection'!L63)</f>
        <v>G748</v>
      </c>
      <c r="M502" s="257">
        <f>IFERROR(INDEX('Green_rooibos initial weight'!$C$5:$C$2000,MATCH(L502, 'Green_rooibos initial weight'!$A$5:$A$2000,0)),"")</f>
        <v>2.081</v>
      </c>
      <c r="N502" s="257">
        <f>IFERROR(M502-(TBIcalc!$Q$9+TBIcalc!$Q$10),"")</f>
        <v>1.8311999999999999</v>
      </c>
      <c r="O502" s="378">
        <f>AVERAGE(Ashed_controlls!$K$2:$K$11)</f>
        <v>5.5147656768714146</v>
      </c>
      <c r="P502" s="257">
        <f t="shared" si="36"/>
        <v>1.7302136109251305</v>
      </c>
      <c r="Q502" s="257" t="str">
        <f>IFERROR(INDEX('Both teabags AfterDry'!$D$2:$D$2000,MATCH(L502,'Both teabags AfterDry'!$A$2:$A$2000,0)),"")</f>
        <v/>
      </c>
      <c r="R502" s="257" t="str">
        <f>IFERROR(IF(Q502&gt;0,Q502-(TBIcalc!$Q$9),""),"")</f>
        <v/>
      </c>
      <c r="S502" s="268" t="str">
        <f>IFERROR(INDEX('Ashed teabags dry'!$K$2:$K$2000,MATCH(L502,'Ashed teabags dry'!$A$2:$A$2000,0)),"")</f>
        <v/>
      </c>
      <c r="T502" s="268" t="str">
        <f t="shared" si="37"/>
        <v/>
      </c>
      <c r="U502" s="258">
        <f>IF('Dry_Litterbag Placem_Collection'!E63="","",'Dry_Litterbag Placem_Collection'!E63)</f>
        <v>42938</v>
      </c>
      <c r="V502" s="258">
        <f>IF('Dry_Litterbag Placem_Collection'!G63="","",'Dry_Litterbag Placem_Collection'!G63)</f>
        <v>43005</v>
      </c>
      <c r="W502" s="259">
        <f t="shared" si="35"/>
        <v>67</v>
      </c>
      <c r="X502" s="257" t="str">
        <f t="shared" si="38"/>
        <v/>
      </c>
      <c r="Y502" s="257" t="str">
        <f t="shared" si="39"/>
        <v/>
      </c>
      <c r="Z502" s="261">
        <f>IFERROR(INDEX([3]Rainfall_Dry!$O$2:$O$217,MATCH(C502, [3]Rainfall_Dry!$A$2:$A$217,0)),"")</f>
        <v>6.5250000359999998</v>
      </c>
      <c r="AA502" s="250">
        <v>25.96</v>
      </c>
      <c r="AB502" s="250">
        <v>6.9200000000000008</v>
      </c>
      <c r="AC502" s="250">
        <v>67.12</v>
      </c>
      <c r="AD502" s="251" t="s">
        <v>2651</v>
      </c>
      <c r="AE502" s="250">
        <v>1.7568260226712666</v>
      </c>
      <c r="AF502">
        <f>IF('WetLitterbags placem_collection'!AB63="","",'WetLitterbags placem_collection'!AB63)</f>
        <v>5.6</v>
      </c>
      <c r="AG502">
        <f>IF('WetLitterbags placem_collection'!Z63="","",'WetLitterbags placem_collection'!Z63)</f>
        <v>34.200000000000003</v>
      </c>
      <c r="AH502" s="236" t="str">
        <f>IF('WetLitterbags placem_collection'!AA63="","",'WetLitterbags placem_collection'!AA63)</f>
        <v>O</v>
      </c>
      <c r="AI502">
        <f>IF('WetLitterbags placem_collection'!AC63="","",'WetLitterbags placem_collection'!AC63)</f>
        <v>0</v>
      </c>
      <c r="AJ502">
        <f>IFERROR(AVERAGE('Dry_Litterbag Placem_Collection'!O63,'Dry_Litterbag Placem_Collection'!R63),"")</f>
        <v>4.5</v>
      </c>
      <c r="AK502" s="261">
        <f>IFERROR(AVERAGE('Dry_Litterbag Placem_Collection'!N63,'Dry_Litterbag Placem_Collection'!Q63),"")</f>
        <v>34</v>
      </c>
      <c r="AL502" s="260">
        <f>INDEX([2]Coordinates!$B$2:$B$197,MATCH(I502,[2]Coordinates!$J$2:$J$197,0))</f>
        <v>-3.406569986</v>
      </c>
      <c r="AM502" s="260">
        <f>INDEX([2]Coordinates!$C$2:$C$197,MATCH(I502,[2]Coordinates!$J$2:$J$197,0))</f>
        <v>34.851323989999997</v>
      </c>
      <c r="AN502" s="260" t="str">
        <f>IF(ISNUMBER(SEARCH("C", 'Dry_Litterbag Placem_Collection'!U63)),"YES","NO")</f>
        <v>NO</v>
      </c>
      <c r="AO502" s="260" t="str">
        <f>IF(ISNUMBER(SEARCH("H", 'Dry_Litterbag Placem_Collection'!U63)),"YES","NO")</f>
        <v>NO</v>
      </c>
      <c r="AP502" s="260" t="str">
        <f>IF(ISNUMBER(SEARCH("R", 'Dry_Litterbag Placem_Collection'!U63)),"YES","NO")</f>
        <v>NO</v>
      </c>
    </row>
    <row r="503" spans="1:42" ht="15" customHeight="1">
      <c r="A503" t="s">
        <v>3248</v>
      </c>
      <c r="B503" s="252" t="s">
        <v>2643</v>
      </c>
      <c r="C503" s="253">
        <f>'Dry_Litterbag Placem_Collection'!A64</f>
        <v>62</v>
      </c>
      <c r="D503" s="253" t="str">
        <f>'Dry_Litterbag Placem_Collection'!B64</f>
        <v>Makao</v>
      </c>
      <c r="E503" s="253" t="s">
        <v>2643</v>
      </c>
      <c r="F503" s="253" t="s">
        <v>20</v>
      </c>
      <c r="G503" s="253">
        <v>4</v>
      </c>
      <c r="H503" s="253" t="s">
        <v>3110</v>
      </c>
      <c r="I503" s="254" t="str">
        <f>'Dry_Litterbag Placem_Collection'!C64</f>
        <v>Dry_P4_T6</v>
      </c>
      <c r="J503" s="263" t="s">
        <v>2932</v>
      </c>
      <c r="K503" s="256" t="s">
        <v>1147</v>
      </c>
      <c r="L503" s="253" t="str">
        <f>IF(ISBLANK('Dry_Litterbag Placem_Collection'!L64),"","G"&amp;""&amp;'Dry_Litterbag Placem_Collection'!L64)</f>
        <v/>
      </c>
      <c r="M503" s="257" t="str">
        <f>IFERROR(INDEX('Green_rooibos initial weight'!$C$5:$C$2000,MATCH(L503, 'Green_rooibos initial weight'!$A$5:$A$2000,0)),"")</f>
        <v/>
      </c>
      <c r="N503" s="257" t="str">
        <f>IFERROR(M503-(TBIcalc!$Q$9+TBIcalc!$Q$10),"")</f>
        <v/>
      </c>
      <c r="O503" s="378">
        <f>AVERAGE(Ashed_controlls!$K$2:$K$11)</f>
        <v>5.5147656768714146</v>
      </c>
      <c r="P503" s="257" t="str">
        <f t="shared" si="36"/>
        <v/>
      </c>
      <c r="Q503" s="257" t="str">
        <f>IFERROR(INDEX('Both teabags AfterDry'!$D$2:$D$2000,MATCH(L503,'Both teabags AfterDry'!$A$2:$A$2000,0)),"")</f>
        <v/>
      </c>
      <c r="R503" s="257" t="str">
        <f>IFERROR(IF(Q503&gt;0,Q503-(TBIcalc!$Q$9),""),"")</f>
        <v/>
      </c>
      <c r="S503" s="268" t="str">
        <f>IFERROR(INDEX('Ashed teabags dry'!$K$2:$K$2000,MATCH(L503,'Ashed teabags dry'!$A$2:$A$2000,0)),"")</f>
        <v/>
      </c>
      <c r="T503" s="268" t="str">
        <f t="shared" si="37"/>
        <v/>
      </c>
      <c r="U503" s="258" t="str">
        <f>IF('Dry_Litterbag Placem_Collection'!E64="","",'Dry_Litterbag Placem_Collection'!E64)</f>
        <v/>
      </c>
      <c r="V503" s="258" t="str">
        <f>IF('Dry_Litterbag Placem_Collection'!G64="","",'Dry_Litterbag Placem_Collection'!G64)</f>
        <v/>
      </c>
      <c r="W503" s="259" t="str">
        <f t="shared" si="35"/>
        <v/>
      </c>
      <c r="X503" s="257" t="str">
        <f t="shared" si="38"/>
        <v/>
      </c>
      <c r="Y503" s="257" t="str">
        <f t="shared" si="39"/>
        <v/>
      </c>
      <c r="Z503" s="261" t="str">
        <f>IFERROR(INDEX([3]Rainfall_Dry!$O$2:$O$217,MATCH(C503, [3]Rainfall_Dry!$A$2:$A$217,0)),"")</f>
        <v/>
      </c>
      <c r="AA503" s="250">
        <v>25.96</v>
      </c>
      <c r="AB503" s="250">
        <v>6.9200000000000008</v>
      </c>
      <c r="AC503" s="250">
        <v>67.12</v>
      </c>
      <c r="AD503" s="251" t="s">
        <v>2651</v>
      </c>
      <c r="AE503" s="250">
        <v>1.7568260226712666</v>
      </c>
      <c r="AF503">
        <f>IF('WetLitterbags placem_collection'!AB64="","",'WetLitterbags placem_collection'!AB64)</f>
        <v>4.2</v>
      </c>
      <c r="AG503">
        <f>IF('WetLitterbags placem_collection'!Z64="","",'WetLitterbags placem_collection'!Z64)</f>
        <v>40.4</v>
      </c>
      <c r="AH503" s="236" t="str">
        <f>IF('WetLitterbags placem_collection'!AA64="","",'WetLitterbags placem_collection'!AA64)</f>
        <v>O</v>
      </c>
      <c r="AI503">
        <f>IF('WetLitterbags placem_collection'!AC64="","",'WetLitterbags placem_collection'!AC64)</f>
        <v>0</v>
      </c>
      <c r="AJ503" t="str">
        <f>IFERROR(AVERAGE('Dry_Litterbag Placem_Collection'!O64,'Dry_Litterbag Placem_Collection'!R64),"")</f>
        <v/>
      </c>
      <c r="AK503" s="261" t="str">
        <f>IFERROR(AVERAGE('Dry_Litterbag Placem_Collection'!N64,'Dry_Litterbag Placem_Collection'!Q64),"")</f>
        <v/>
      </c>
      <c r="AL503" s="260">
        <f>INDEX([2]Coordinates!$B$2:$B$197,MATCH(I503,[2]Coordinates!$J$2:$J$197,0))</f>
        <v>-3.4065180179999999</v>
      </c>
      <c r="AM503" s="260">
        <f>INDEX([2]Coordinates!$C$2:$C$197,MATCH(I503,[2]Coordinates!$J$2:$J$197,0))</f>
        <v>34.85121402</v>
      </c>
      <c r="AN503" s="260" t="str">
        <f>IF(ISNUMBER(SEARCH("C", 'Dry_Litterbag Placem_Collection'!U64)),"YES","NO")</f>
        <v>NO</v>
      </c>
      <c r="AO503" s="260" t="str">
        <f>IF(ISNUMBER(SEARCH("H", 'Dry_Litterbag Placem_Collection'!U64)),"YES","NO")</f>
        <v>NO</v>
      </c>
      <c r="AP503" s="260" t="str">
        <f>IF(ISNUMBER(SEARCH("R", 'Dry_Litterbag Placem_Collection'!U64)),"YES","NO")</f>
        <v>NO</v>
      </c>
    </row>
    <row r="504" spans="1:42" ht="15" customHeight="1">
      <c r="A504" t="s">
        <v>3248</v>
      </c>
      <c r="B504" s="252" t="s">
        <v>2643</v>
      </c>
      <c r="C504" s="253">
        <f>'Dry_Litterbag Placem_Collection'!A65</f>
        <v>63</v>
      </c>
      <c r="D504" s="253" t="str">
        <f>'Dry_Litterbag Placem_Collection'!B65</f>
        <v>Makao</v>
      </c>
      <c r="E504" s="253" t="s">
        <v>2643</v>
      </c>
      <c r="F504" s="253" t="s">
        <v>20</v>
      </c>
      <c r="G504" s="253">
        <v>4</v>
      </c>
      <c r="H504" s="253" t="s">
        <v>3110</v>
      </c>
      <c r="I504" s="254" t="str">
        <f>'Dry_Litterbag Placem_Collection'!C65</f>
        <v>Dry_P4_T7</v>
      </c>
      <c r="J504" s="263" t="s">
        <v>2932</v>
      </c>
      <c r="K504" s="256" t="s">
        <v>1147</v>
      </c>
      <c r="L504" s="253" t="str">
        <f>IF(ISBLANK('Dry_Litterbag Placem_Collection'!L65),"","G"&amp;""&amp;'Dry_Litterbag Placem_Collection'!L65)</f>
        <v>G629</v>
      </c>
      <c r="M504" s="257">
        <f>IFERROR(INDEX('Green_rooibos initial weight'!$C$5:$C$2000,MATCH(L504, 'Green_rooibos initial weight'!$A$5:$A$2000,0)),"")</f>
        <v>1.978</v>
      </c>
      <c r="N504" s="257">
        <f>IFERROR(M504-(TBIcalc!$Q$9+TBIcalc!$Q$10),"")</f>
        <v>1.7282</v>
      </c>
      <c r="O504" s="378">
        <f>AVERAGE(Ashed_controlls!$K$2:$K$11)</f>
        <v>5.5147656768714146</v>
      </c>
      <c r="P504" s="257">
        <f t="shared" si="36"/>
        <v>1.6328938195723082</v>
      </c>
      <c r="Q504" s="257">
        <f>IFERROR(INDEX('Both teabags AfterDry'!$D$2:$D$2000,MATCH(L504,'Both teabags AfterDry'!$A$2:$A$2000,0)),"")</f>
        <v>1.8411</v>
      </c>
      <c r="R504" s="257">
        <f>IFERROR(IF(Q504&gt;0,Q504-(TBIcalc!$Q$9),""),"")</f>
        <v>1.6904999999999999</v>
      </c>
      <c r="S504" s="268">
        <f>IFERROR(INDEX('Ashed teabags dry'!$K$2:$K$2000,MATCH(L504,'Ashed teabags dry'!$A$2:$A$2000,0)),"")</f>
        <v>5.6801195814651884</v>
      </c>
      <c r="T504" s="268">
        <f t="shared" si="37"/>
        <v>1.5944775784753309</v>
      </c>
      <c r="U504" s="258">
        <f>IF('Dry_Litterbag Placem_Collection'!E65="","",'Dry_Litterbag Placem_Collection'!E65)</f>
        <v>42938</v>
      </c>
      <c r="V504" s="258">
        <f>IF('Dry_Litterbag Placem_Collection'!G65="","",'Dry_Litterbag Placem_Collection'!G65)</f>
        <v>43005</v>
      </c>
      <c r="W504" s="259">
        <f t="shared" si="35"/>
        <v>67</v>
      </c>
      <c r="X504" s="257">
        <f t="shared" si="38"/>
        <v>3.7700000000000067E-2</v>
      </c>
      <c r="Y504" s="257">
        <f t="shared" si="39"/>
        <v>3.8416241096977277E-2</v>
      </c>
      <c r="Z504" s="261">
        <f>IFERROR(INDEX([3]Rainfall_Dry!$O$2:$O$217,MATCH(C504, [3]Rainfall_Dry!$A$2:$A$217,0)),"")</f>
        <v>6.5250000359999998</v>
      </c>
      <c r="AA504" s="250">
        <v>25.96</v>
      </c>
      <c r="AB504" s="250">
        <v>6.9200000000000008</v>
      </c>
      <c r="AC504" s="250">
        <v>67.12</v>
      </c>
      <c r="AD504" s="251" t="s">
        <v>2651</v>
      </c>
      <c r="AE504" s="250">
        <v>1.7568260226712666</v>
      </c>
      <c r="AF504">
        <f>IF('WetLitterbags placem_collection'!AB65="","",'WetLitterbags placem_collection'!AB65)</f>
        <v>4.9000000000000004</v>
      </c>
      <c r="AG504">
        <f>IF('WetLitterbags placem_collection'!Z65="","",'WetLitterbags placem_collection'!Z65)</f>
        <v>45</v>
      </c>
      <c r="AH504" s="236" t="str">
        <f>IF('WetLitterbags placem_collection'!AA65="","",'WetLitterbags placem_collection'!AA65)</f>
        <v>O</v>
      </c>
      <c r="AI504">
        <f>IF('WetLitterbags placem_collection'!AC65="","",'WetLitterbags placem_collection'!AC65)</f>
        <v>0</v>
      </c>
      <c r="AJ504">
        <f>IFERROR(AVERAGE('Dry_Litterbag Placem_Collection'!O65,'Dry_Litterbag Placem_Collection'!R65),"")</f>
        <v>4.75</v>
      </c>
      <c r="AK504" s="261">
        <f>IFERROR(AVERAGE('Dry_Litterbag Placem_Collection'!N65,'Dry_Litterbag Placem_Collection'!Q65),"")</f>
        <v>31.3</v>
      </c>
      <c r="AL504" s="260">
        <f>INDEX([2]Coordinates!$B$2:$B$197,MATCH(I504,[2]Coordinates!$J$2:$J$197,0))</f>
        <v>-3.406334035</v>
      </c>
      <c r="AM504" s="260">
        <f>INDEX([2]Coordinates!$C$2:$C$197,MATCH(I504,[2]Coordinates!$J$2:$J$197,0))</f>
        <v>34.851172030000001</v>
      </c>
      <c r="AN504" s="260" t="str">
        <f>IF(ISNUMBER(SEARCH("C", 'Dry_Litterbag Placem_Collection'!U65)),"YES","NO")</f>
        <v>NO</v>
      </c>
      <c r="AO504" s="260" t="str">
        <f>IF(ISNUMBER(SEARCH("H", 'Dry_Litterbag Placem_Collection'!U65)),"YES","NO")</f>
        <v>NO</v>
      </c>
      <c r="AP504" s="260" t="str">
        <f>IF(ISNUMBER(SEARCH("R", 'Dry_Litterbag Placem_Collection'!U65)),"YES","NO")</f>
        <v>NO</v>
      </c>
    </row>
    <row r="505" spans="1:42" ht="15" customHeight="1">
      <c r="A505" t="s">
        <v>3248</v>
      </c>
      <c r="B505" s="252" t="s">
        <v>2643</v>
      </c>
      <c r="C505" s="253">
        <f>'Dry_Litterbag Placem_Collection'!A66</f>
        <v>64</v>
      </c>
      <c r="D505" s="253" t="str">
        <f>'Dry_Litterbag Placem_Collection'!B66</f>
        <v>Makao</v>
      </c>
      <c r="E505" s="253" t="s">
        <v>2643</v>
      </c>
      <c r="F505" s="253" t="s">
        <v>20</v>
      </c>
      <c r="G505" s="253">
        <v>4</v>
      </c>
      <c r="H505" s="253" t="s">
        <v>3110</v>
      </c>
      <c r="I505" s="254" t="str">
        <f>'Dry_Litterbag Placem_Collection'!C66</f>
        <v>Dry_P4_T8</v>
      </c>
      <c r="J505" s="263" t="s">
        <v>2932</v>
      </c>
      <c r="K505" s="256" t="s">
        <v>1147</v>
      </c>
      <c r="L505" s="253" t="str">
        <f>IF(ISBLANK('Dry_Litterbag Placem_Collection'!L66),"","G"&amp;""&amp;'Dry_Litterbag Placem_Collection'!L66)</f>
        <v>G84</v>
      </c>
      <c r="M505" s="257">
        <f>IFERROR(INDEX('Green_rooibos initial weight'!$C$5:$C$2000,MATCH(L505, 'Green_rooibos initial weight'!$A$5:$A$2000,0)),"")</f>
        <v>2.1259999999999999</v>
      </c>
      <c r="N505" s="257">
        <f>IFERROR(M505-(TBIcalc!$Q$9+TBIcalc!$Q$10),"")</f>
        <v>1.8761999999999999</v>
      </c>
      <c r="O505" s="378">
        <f>AVERAGE(Ashed_controlls!$K$2:$K$11)</f>
        <v>5.5147656768714146</v>
      </c>
      <c r="P505" s="257">
        <f t="shared" si="36"/>
        <v>1.7727319663705383</v>
      </c>
      <c r="Q505" s="257">
        <f>IFERROR(INDEX('Both teabags AfterDry'!$D$2:$D$2000,MATCH(L505,'Both teabags AfterDry'!$A$2:$A$2000,0)),"")</f>
        <v>1.9314</v>
      </c>
      <c r="R505" s="257">
        <f>IFERROR(IF(Q505&gt;0,Q505-(TBIcalc!$Q$9),""),"")</f>
        <v>1.7807999999999999</v>
      </c>
      <c r="S505" s="268">
        <f>IFERROR(INDEX('Ashed teabags dry'!$K$2:$K$2000,MATCH(L505,'Ashed teabags dry'!$A$2:$A$2000,0)),"")</f>
        <v>5.2683407188580818</v>
      </c>
      <c r="T505" s="268">
        <f t="shared" si="37"/>
        <v>1.6869813884785752</v>
      </c>
      <c r="U505" s="258">
        <f>IF('Dry_Litterbag Placem_Collection'!E66="","",'Dry_Litterbag Placem_Collection'!E66)</f>
        <v>42938</v>
      </c>
      <c r="V505" s="258">
        <f>IF('Dry_Litterbag Placem_Collection'!G66="","",'Dry_Litterbag Placem_Collection'!G66)</f>
        <v>43005</v>
      </c>
      <c r="W505" s="259">
        <f t="shared" si="35"/>
        <v>67</v>
      </c>
      <c r="X505" s="257">
        <f t="shared" si="38"/>
        <v>9.5399999999999929E-2</v>
      </c>
      <c r="Y505" s="257">
        <f t="shared" si="39"/>
        <v>8.5750577891963164E-2</v>
      </c>
      <c r="Z505" s="261">
        <f>IFERROR(INDEX([3]Rainfall_Dry!$O$2:$O$217,MATCH(C505, [3]Rainfall_Dry!$A$2:$A$217,0)),"")</f>
        <v>6.5250000359999998</v>
      </c>
      <c r="AA505" s="250">
        <v>25.96</v>
      </c>
      <c r="AB505" s="250">
        <v>6.9200000000000008</v>
      </c>
      <c r="AC505" s="250">
        <v>67.12</v>
      </c>
      <c r="AD505" s="251" t="s">
        <v>2651</v>
      </c>
      <c r="AE505" s="250">
        <v>1.7568260226712666</v>
      </c>
      <c r="AF505">
        <f>IF('WetLitterbags placem_collection'!AB66="","",'WetLitterbags placem_collection'!AB66)</f>
        <v>3</v>
      </c>
      <c r="AG505">
        <f>IF('WetLitterbags placem_collection'!Z66="","",'WetLitterbags placem_collection'!Z66)</f>
        <v>22.8</v>
      </c>
      <c r="AH505" s="236" t="str">
        <f>IF('WetLitterbags placem_collection'!AA66="","",'WetLitterbags placem_collection'!AA66)</f>
        <v>O</v>
      </c>
      <c r="AI505">
        <f>IF('WetLitterbags placem_collection'!AC66="","",'WetLitterbags placem_collection'!AC66)</f>
        <v>1</v>
      </c>
      <c r="AJ505">
        <f>IFERROR(AVERAGE('Dry_Litterbag Placem_Collection'!O66,'Dry_Litterbag Placem_Collection'!R66),"")</f>
        <v>5.55</v>
      </c>
      <c r="AK505" s="261">
        <f>IFERROR(AVERAGE('Dry_Litterbag Placem_Collection'!N66,'Dry_Litterbag Placem_Collection'!Q66),"")</f>
        <v>31.5</v>
      </c>
      <c r="AL505" s="260">
        <f>INDEX([2]Coordinates!$B$2:$B$197,MATCH(I505,[2]Coordinates!$J$2:$J$197,0))</f>
        <v>-3.4063409920000001</v>
      </c>
      <c r="AM505" s="260">
        <f>INDEX([2]Coordinates!$C$2:$C$197,MATCH(I505,[2]Coordinates!$J$2:$J$197,0))</f>
        <v>34.85126004</v>
      </c>
      <c r="AN505" s="260" t="str">
        <f>IF(ISNUMBER(SEARCH("C", 'Dry_Litterbag Placem_Collection'!U66)),"YES","NO")</f>
        <v>NO</v>
      </c>
      <c r="AO505" s="260" t="str">
        <f>IF(ISNUMBER(SEARCH("H", 'Dry_Litterbag Placem_Collection'!U66)),"YES","NO")</f>
        <v>NO</v>
      </c>
      <c r="AP505" s="260" t="str">
        <f>IF(ISNUMBER(SEARCH("R", 'Dry_Litterbag Placem_Collection'!U66)),"YES","NO")</f>
        <v>NO</v>
      </c>
    </row>
    <row r="506" spans="1:42" ht="15" customHeight="1">
      <c r="A506" t="s">
        <v>3248</v>
      </c>
      <c r="B506" s="252" t="s">
        <v>2643</v>
      </c>
      <c r="C506" s="253">
        <f>'Dry_Litterbag Placem_Collection'!A67</f>
        <v>65</v>
      </c>
      <c r="D506" s="253" t="str">
        <f>'Dry_Litterbag Placem_Collection'!B67</f>
        <v>Maswa</v>
      </c>
      <c r="E506" s="253" t="s">
        <v>2643</v>
      </c>
      <c r="F506" s="253" t="s">
        <v>2645</v>
      </c>
      <c r="G506" s="253">
        <v>1</v>
      </c>
      <c r="H506" s="253" t="s">
        <v>3111</v>
      </c>
      <c r="I506" s="254" t="str">
        <f>'Dry_Litterbag Placem_Collection'!C67</f>
        <v>Dry_W1_T1</v>
      </c>
      <c r="J506" s="263" t="s">
        <v>2932</v>
      </c>
      <c r="K506" s="256" t="s">
        <v>1147</v>
      </c>
      <c r="L506" s="253" t="str">
        <f>IF(ISBLANK('Dry_Litterbag Placem_Collection'!L67),"","G"&amp;""&amp;'Dry_Litterbag Placem_Collection'!L67)</f>
        <v>G586</v>
      </c>
      <c r="M506" s="257">
        <f>IFERROR(INDEX('Green_rooibos initial weight'!$C$5:$C$2000,MATCH(L506, 'Green_rooibos initial weight'!$A$5:$A$2000,0)),"")</f>
        <v>1.9590000000000001</v>
      </c>
      <c r="N506" s="257">
        <f>IFERROR(M506-(TBIcalc!$Q$9+TBIcalc!$Q$10),"")</f>
        <v>1.7092000000000001</v>
      </c>
      <c r="O506" s="378">
        <f>AVERAGE(Ashed_controlls!$K$2:$K$11)</f>
        <v>5.5147656768714146</v>
      </c>
      <c r="P506" s="257">
        <f t="shared" si="36"/>
        <v>1.6149416250509139</v>
      </c>
      <c r="Q506" s="257" t="str">
        <f>IFERROR(INDEX('Both teabags AfterDry'!$D$2:$D$2000,MATCH(L506,'Both teabags AfterDry'!$A$2:$A$2000,0)),"")</f>
        <v/>
      </c>
      <c r="R506" s="257" t="str">
        <f>IFERROR(IF(Q506&gt;0,Q506-(TBIcalc!$Q$9),""),"")</f>
        <v/>
      </c>
      <c r="S506" s="268" t="str">
        <f>IFERROR(INDEX('Ashed teabags dry'!$K$2:$K$2000,MATCH(L506,'Ashed teabags dry'!$A$2:$A$2000,0)),"")</f>
        <v/>
      </c>
      <c r="T506" s="268" t="str">
        <f t="shared" si="37"/>
        <v/>
      </c>
      <c r="U506" s="258">
        <f>IF('Dry_Litterbag Placem_Collection'!E67="","",'Dry_Litterbag Placem_Collection'!E67)</f>
        <v>42937</v>
      </c>
      <c r="V506" s="258">
        <f>IF('Dry_Litterbag Placem_Collection'!G67="","",'Dry_Litterbag Placem_Collection'!G67)</f>
        <v>43005</v>
      </c>
      <c r="W506" s="259">
        <f t="shared" si="35"/>
        <v>68</v>
      </c>
      <c r="X506" s="257" t="str">
        <f t="shared" si="38"/>
        <v/>
      </c>
      <c r="Y506" s="257" t="str">
        <f t="shared" si="39"/>
        <v/>
      </c>
      <c r="Z506" s="261">
        <f>IFERROR(INDEX([3]Rainfall_Dry!$O$2:$O$217,MATCH(C506, [3]Rainfall_Dry!$A$2:$A$217,0)),"")</f>
        <v>6.900000125</v>
      </c>
      <c r="AA506" s="250">
        <v>47.96</v>
      </c>
      <c r="AB506" s="250">
        <v>22.919999999999995</v>
      </c>
      <c r="AC506" s="250">
        <v>29.120000000000012</v>
      </c>
      <c r="AD506" s="251" t="s">
        <v>2654</v>
      </c>
      <c r="AE506" s="250">
        <v>2.8831936914736325</v>
      </c>
      <c r="AF506">
        <f>IF('WetLitterbags placem_collection'!AB67="","",'WetLitterbags placem_collection'!AB67)</f>
        <v>13.8</v>
      </c>
      <c r="AG506">
        <f>IF('WetLitterbags placem_collection'!Z67="","",'WetLitterbags placem_collection'!Z67)</f>
        <v>13.8</v>
      </c>
      <c r="AH506" s="236" t="str">
        <f>IF('WetLitterbags placem_collection'!AA67="","",'WetLitterbags placem_collection'!AA67)</f>
        <v>O</v>
      </c>
      <c r="AI506">
        <f>IF('WetLitterbags placem_collection'!AC67="","",'WetLitterbags placem_collection'!AC67)</f>
        <v>1</v>
      </c>
      <c r="AJ506">
        <f>IFERROR(AVERAGE('Dry_Litterbag Placem_Collection'!O67,'Dry_Litterbag Placem_Collection'!R67),"")</f>
        <v>10.65</v>
      </c>
      <c r="AK506" s="261">
        <f>IFERROR(AVERAGE('Dry_Litterbag Placem_Collection'!N67,'Dry_Litterbag Placem_Collection'!Q67),"")</f>
        <v>28</v>
      </c>
      <c r="AL506" s="260">
        <f>INDEX([2]Coordinates!$B$2:$B$197,MATCH(I506,[2]Coordinates!$J$2:$J$197,0))</f>
        <v>-3.2993960379999998</v>
      </c>
      <c r="AM506" s="260">
        <f>INDEX([2]Coordinates!$C$2:$C$197,MATCH(I506,[2]Coordinates!$J$2:$J$197,0))</f>
        <v>34.848240959999998</v>
      </c>
      <c r="AN506" s="260" t="str">
        <f>IF(ISNUMBER(SEARCH("C", 'Dry_Litterbag Placem_Collection'!U67)),"YES","NO")</f>
        <v>NO</v>
      </c>
      <c r="AO506" s="260" t="str">
        <f>IF(ISNUMBER(SEARCH("H", 'Dry_Litterbag Placem_Collection'!U67)),"YES","NO")</f>
        <v>NO</v>
      </c>
      <c r="AP506" s="260" t="str">
        <f>IF(ISNUMBER(SEARCH("R", 'Dry_Litterbag Placem_Collection'!U67)),"YES","NO")</f>
        <v>NO</v>
      </c>
    </row>
    <row r="507" spans="1:42" ht="15" customHeight="1">
      <c r="A507" t="s">
        <v>3248</v>
      </c>
      <c r="B507" s="252" t="s">
        <v>2643</v>
      </c>
      <c r="C507" s="253">
        <f>'Dry_Litterbag Placem_Collection'!A68</f>
        <v>66</v>
      </c>
      <c r="D507" s="253" t="str">
        <f>'Dry_Litterbag Placem_Collection'!B68</f>
        <v>Maswa</v>
      </c>
      <c r="E507" s="253" t="s">
        <v>2643</v>
      </c>
      <c r="F507" s="253" t="s">
        <v>2645</v>
      </c>
      <c r="G507" s="253">
        <v>1</v>
      </c>
      <c r="H507" s="253" t="s">
        <v>3111</v>
      </c>
      <c r="I507" s="254" t="str">
        <f>'Dry_Litterbag Placem_Collection'!C68</f>
        <v>Dry_W1_T2</v>
      </c>
      <c r="J507" s="263" t="s">
        <v>2932</v>
      </c>
      <c r="K507" s="256" t="s">
        <v>1147</v>
      </c>
      <c r="L507" s="253" t="str">
        <f>IF(ISBLANK('Dry_Litterbag Placem_Collection'!L68),"","G"&amp;""&amp;'Dry_Litterbag Placem_Collection'!L68)</f>
        <v>G851</v>
      </c>
      <c r="M507" s="257">
        <f>IFERROR(INDEX('Green_rooibos initial weight'!$C$5:$C$2000,MATCH(L507, 'Green_rooibos initial weight'!$A$5:$A$2000,0)),"")</f>
        <v>1.9930000000000001</v>
      </c>
      <c r="N507" s="257">
        <f>IFERROR(M507-(TBIcalc!$Q$9+TBIcalc!$Q$10),"")</f>
        <v>1.7432000000000001</v>
      </c>
      <c r="O507" s="378">
        <f>AVERAGE(Ashed_controlls!$K$2:$K$11)</f>
        <v>5.5147656768714146</v>
      </c>
      <c r="P507" s="257">
        <f t="shared" si="36"/>
        <v>1.6470666047207776</v>
      </c>
      <c r="Q507" s="257">
        <f>IFERROR(INDEX('Both teabags AfterDry'!$D$2:$D$2000,MATCH(L507,'Both teabags AfterDry'!$A$2:$A$2000,0)),"")</f>
        <v>1.8367</v>
      </c>
      <c r="R507" s="257">
        <f>IFERROR(IF(Q507&gt;0,Q507-(TBIcalc!$Q$9),""),"")</f>
        <v>1.6860999999999999</v>
      </c>
      <c r="S507" s="268">
        <f>IFERROR(INDEX('Ashed teabags dry'!$K$2:$K$2000,MATCH(L507,'Ashed teabags dry'!$A$2:$A$2000,0)),"")</f>
        <v>6.3484251968505419</v>
      </c>
      <c r="T507" s="268">
        <f t="shared" si="37"/>
        <v>1.5790592027559029</v>
      </c>
      <c r="U507" s="258">
        <f>IF('Dry_Litterbag Placem_Collection'!E68="","",'Dry_Litterbag Placem_Collection'!E68)</f>
        <v>42937</v>
      </c>
      <c r="V507" s="258">
        <f>IF('Dry_Litterbag Placem_Collection'!G68="","",'Dry_Litterbag Placem_Collection'!G68)</f>
        <v>43005</v>
      </c>
      <c r="W507" s="259">
        <f t="shared" si="35"/>
        <v>68</v>
      </c>
      <c r="X507" s="257">
        <f t="shared" si="38"/>
        <v>5.7100000000000151E-2</v>
      </c>
      <c r="Y507" s="257">
        <f t="shared" si="39"/>
        <v>6.8007401964874648E-2</v>
      </c>
      <c r="Z507" s="261">
        <f>IFERROR(INDEX([3]Rainfall_Dry!$O$2:$O$217,MATCH(C507, [3]Rainfall_Dry!$A$2:$A$217,0)),"")</f>
        <v>6.900000125</v>
      </c>
      <c r="AA507" s="250">
        <v>47.96</v>
      </c>
      <c r="AB507" s="250">
        <v>22.919999999999995</v>
      </c>
      <c r="AC507" s="250">
        <v>29.120000000000012</v>
      </c>
      <c r="AD507" s="251" t="s">
        <v>2654</v>
      </c>
      <c r="AE507" s="250">
        <v>3.8831936914736298</v>
      </c>
      <c r="AF507">
        <f>IF('WetLitterbags placem_collection'!AB68="","",'WetLitterbags placem_collection'!AB68)</f>
        <v>8</v>
      </c>
      <c r="AG507">
        <f>IF('WetLitterbags placem_collection'!Z68="","",'WetLitterbags placem_collection'!Z68)</f>
        <v>19.8</v>
      </c>
      <c r="AH507" s="236" t="str">
        <f>IF('WetLitterbags placem_collection'!AA68="","",'WetLitterbags placem_collection'!AA68)</f>
        <v>O</v>
      </c>
      <c r="AI507">
        <f>IF('WetLitterbags placem_collection'!AC68="","",'WetLitterbags placem_collection'!AC68)</f>
        <v>1</v>
      </c>
      <c r="AJ507">
        <f>IFERROR(AVERAGE('Dry_Litterbag Placem_Collection'!O68,'Dry_Litterbag Placem_Collection'!R68),"")</f>
        <v>10.100000000000001</v>
      </c>
      <c r="AK507" s="261">
        <f>IFERROR(AVERAGE('Dry_Litterbag Placem_Collection'!N68,'Dry_Litterbag Placem_Collection'!Q68),"")</f>
        <v>23.6</v>
      </c>
      <c r="AL507" s="260">
        <f>INDEX([2]Coordinates!$B$2:$B$197,MATCH(I507,[2]Coordinates!$J$2:$J$197,0))</f>
        <v>-3.2993090340000002</v>
      </c>
      <c r="AM507" s="260">
        <f>INDEX([2]Coordinates!$C$2:$C$197,MATCH(I507,[2]Coordinates!$J$2:$J$197,0))</f>
        <v>34.848404989999999</v>
      </c>
      <c r="AN507" s="260" t="str">
        <f>IF(ISNUMBER(SEARCH("C", 'Dry_Litterbag Placem_Collection'!U68)),"YES","NO")</f>
        <v>NO</v>
      </c>
      <c r="AO507" s="260" t="str">
        <f>IF(ISNUMBER(SEARCH("H", 'Dry_Litterbag Placem_Collection'!U68)),"YES","NO")</f>
        <v>NO</v>
      </c>
      <c r="AP507" s="260" t="str">
        <f>IF(ISNUMBER(SEARCH("R", 'Dry_Litterbag Placem_Collection'!U68)),"YES","NO")</f>
        <v>NO</v>
      </c>
    </row>
    <row r="508" spans="1:42" ht="15" customHeight="1">
      <c r="A508" t="s">
        <v>3248</v>
      </c>
      <c r="B508" s="252" t="s">
        <v>2643</v>
      </c>
      <c r="C508" s="253">
        <f>'Dry_Litterbag Placem_Collection'!A69</f>
        <v>67</v>
      </c>
      <c r="D508" s="253" t="str">
        <f>'Dry_Litterbag Placem_Collection'!B69</f>
        <v>Maswa</v>
      </c>
      <c r="E508" s="253" t="s">
        <v>2643</v>
      </c>
      <c r="F508" s="253" t="s">
        <v>2645</v>
      </c>
      <c r="G508" s="253">
        <v>1</v>
      </c>
      <c r="H508" s="253" t="s">
        <v>3111</v>
      </c>
      <c r="I508" s="254" t="str">
        <f>'Dry_Litterbag Placem_Collection'!C69</f>
        <v>Dry_W1_T3</v>
      </c>
      <c r="J508" s="263" t="s">
        <v>2932</v>
      </c>
      <c r="K508" s="256" t="s">
        <v>1147</v>
      </c>
      <c r="L508" s="253" t="str">
        <f>IF(ISBLANK('Dry_Litterbag Placem_Collection'!L69),"","G"&amp;""&amp;'Dry_Litterbag Placem_Collection'!L69)</f>
        <v/>
      </c>
      <c r="M508" s="257" t="str">
        <f>IFERROR(INDEX('Green_rooibos initial weight'!$C$5:$C$2000,MATCH(L508, 'Green_rooibos initial weight'!$A$5:$A$2000,0)),"")</f>
        <v/>
      </c>
      <c r="N508" s="257" t="str">
        <f>IFERROR(M508-(TBIcalc!$Q$9+TBIcalc!$Q$10),"")</f>
        <v/>
      </c>
      <c r="O508" s="378">
        <f>AVERAGE(Ashed_controlls!$K$2:$K$11)</f>
        <v>5.5147656768714146</v>
      </c>
      <c r="P508" s="257" t="str">
        <f t="shared" si="36"/>
        <v/>
      </c>
      <c r="Q508" s="257" t="str">
        <f>IFERROR(INDEX('Both teabags AfterDry'!$D$2:$D$2000,MATCH(L508,'Both teabags AfterDry'!$A$2:$A$2000,0)),"")</f>
        <v/>
      </c>
      <c r="R508" s="257" t="str">
        <f>IFERROR(IF(Q508&gt;0,Q508-(TBIcalc!$Q$9),""),"")</f>
        <v/>
      </c>
      <c r="S508" s="268" t="str">
        <f>IFERROR(INDEX('Ashed teabags dry'!$K$2:$K$2000,MATCH(L508,'Ashed teabags dry'!$A$2:$A$2000,0)),"")</f>
        <v/>
      </c>
      <c r="T508" s="268" t="str">
        <f t="shared" si="37"/>
        <v/>
      </c>
      <c r="U508" s="258" t="str">
        <f>IF('Dry_Litterbag Placem_Collection'!E69="","",'Dry_Litterbag Placem_Collection'!E69)</f>
        <v/>
      </c>
      <c r="V508" s="258" t="str">
        <f>IF('Dry_Litterbag Placem_Collection'!G69="","",'Dry_Litterbag Placem_Collection'!G69)</f>
        <v/>
      </c>
      <c r="W508" s="259" t="str">
        <f t="shared" si="35"/>
        <v/>
      </c>
      <c r="X508" s="257" t="str">
        <f t="shared" si="38"/>
        <v/>
      </c>
      <c r="Y508" s="257" t="str">
        <f t="shared" si="39"/>
        <v/>
      </c>
      <c r="Z508" s="261" t="str">
        <f>IFERROR(INDEX([3]Rainfall_Dry!$O$2:$O$217,MATCH(C508, [3]Rainfall_Dry!$A$2:$A$217,0)),"")</f>
        <v/>
      </c>
      <c r="AA508" s="250">
        <v>47.96</v>
      </c>
      <c r="AB508" s="250">
        <v>22.919999999999995</v>
      </c>
      <c r="AC508" s="250">
        <v>29.120000000000012</v>
      </c>
      <c r="AD508" s="251" t="s">
        <v>2654</v>
      </c>
      <c r="AE508" s="250">
        <v>4.8831936914736298</v>
      </c>
      <c r="AF508">
        <f>IF('WetLitterbags placem_collection'!AB69="","",'WetLitterbags placem_collection'!AB69)</f>
        <v>5.5</v>
      </c>
      <c r="AG508">
        <f>IF('WetLitterbags placem_collection'!Z69="","",'WetLitterbags placem_collection'!Z69)</f>
        <v>5.5</v>
      </c>
      <c r="AH508" s="236" t="str">
        <f>IF('WetLitterbags placem_collection'!AA69="","",'WetLitterbags placem_collection'!AA69)</f>
        <v>O</v>
      </c>
      <c r="AI508">
        <f>IF('WetLitterbags placem_collection'!AC69="","",'WetLitterbags placem_collection'!AC69)</f>
        <v>1</v>
      </c>
      <c r="AJ508" t="str">
        <f>IFERROR(AVERAGE('Dry_Litterbag Placem_Collection'!O69,'Dry_Litterbag Placem_Collection'!R69),"")</f>
        <v/>
      </c>
      <c r="AK508" s="261" t="str">
        <f>IFERROR(AVERAGE('Dry_Litterbag Placem_Collection'!N69,'Dry_Litterbag Placem_Collection'!Q69),"")</f>
        <v/>
      </c>
      <c r="AL508" s="260">
        <f>INDEX([2]Coordinates!$B$2:$B$197,MATCH(I508,[2]Coordinates!$J$2:$J$197,0))</f>
        <v>-3.299434008</v>
      </c>
      <c r="AM508" s="260">
        <f>INDEX([2]Coordinates!$C$2:$C$197,MATCH(I508,[2]Coordinates!$J$2:$J$197,0))</f>
        <v>34.848514960000003</v>
      </c>
      <c r="AN508" s="260" t="str">
        <f>IF(ISNUMBER(SEARCH("C", 'Dry_Litterbag Placem_Collection'!U69)),"YES","NO")</f>
        <v>NO</v>
      </c>
      <c r="AO508" s="260" t="str">
        <f>IF(ISNUMBER(SEARCH("H", 'Dry_Litterbag Placem_Collection'!U69)),"YES","NO")</f>
        <v>NO</v>
      </c>
      <c r="AP508" s="260" t="str">
        <f>IF(ISNUMBER(SEARCH("R", 'Dry_Litterbag Placem_Collection'!U69)),"YES","NO")</f>
        <v>NO</v>
      </c>
    </row>
    <row r="509" spans="1:42" ht="15" customHeight="1">
      <c r="A509" t="s">
        <v>3248</v>
      </c>
      <c r="B509" s="252" t="s">
        <v>2643</v>
      </c>
      <c r="C509" s="253">
        <f>'Dry_Litterbag Placem_Collection'!A70</f>
        <v>68</v>
      </c>
      <c r="D509" s="253" t="str">
        <f>'Dry_Litterbag Placem_Collection'!B70</f>
        <v>Maswa</v>
      </c>
      <c r="E509" s="253" t="s">
        <v>2643</v>
      </c>
      <c r="F509" s="253" t="s">
        <v>2645</v>
      </c>
      <c r="G509" s="253">
        <v>1</v>
      </c>
      <c r="H509" s="253" t="s">
        <v>3111</v>
      </c>
      <c r="I509" s="254" t="str">
        <f>'Dry_Litterbag Placem_Collection'!C70</f>
        <v>Dry_W1_T4</v>
      </c>
      <c r="J509" s="263" t="s">
        <v>2932</v>
      </c>
      <c r="K509" s="256" t="s">
        <v>1147</v>
      </c>
      <c r="L509" s="253" t="str">
        <f>IF(ISBLANK('Dry_Litterbag Placem_Collection'!L70),"","G"&amp;""&amp;'Dry_Litterbag Placem_Collection'!L70)</f>
        <v>G467</v>
      </c>
      <c r="M509" s="257">
        <f>IFERROR(INDEX('Green_rooibos initial weight'!$C$5:$C$2000,MATCH(L509, 'Green_rooibos initial weight'!$A$5:$A$2000,0)),"")</f>
        <v>2.0259999999999998</v>
      </c>
      <c r="N509" s="257">
        <f>IFERROR(M509-(TBIcalc!$Q$9+TBIcalc!$Q$10),"")</f>
        <v>1.7761999999999998</v>
      </c>
      <c r="O509" s="378">
        <f>AVERAGE(Ashed_controlls!$K$2:$K$11)</f>
        <v>5.5147656768714146</v>
      </c>
      <c r="P509" s="257">
        <f t="shared" si="36"/>
        <v>1.6782467320474097</v>
      </c>
      <c r="Q509" s="257">
        <f>IFERROR(INDEX('Both teabags AfterDry'!$D$2:$D$2000,MATCH(L509,'Both teabags AfterDry'!$A$2:$A$2000,0)),"")</f>
        <v>1.8359000000000001</v>
      </c>
      <c r="R509" s="257">
        <f>IFERROR(IF(Q509&gt;0,Q509-(TBIcalc!$Q$9),""),"")</f>
        <v>1.6853</v>
      </c>
      <c r="S509" s="268">
        <f>IFERROR(INDEX('Ashed teabags dry'!$K$2:$K$2000,MATCH(L509,'Ashed teabags dry'!$A$2:$A$2000,0)),"")</f>
        <v>5.6516237874314612</v>
      </c>
      <c r="T509" s="268">
        <f t="shared" si="37"/>
        <v>1.5900531843104175</v>
      </c>
      <c r="U509" s="258">
        <f>IF('Dry_Litterbag Placem_Collection'!E70="","",'Dry_Litterbag Placem_Collection'!E70)</f>
        <v>42937</v>
      </c>
      <c r="V509" s="258">
        <f>IF('Dry_Litterbag Placem_Collection'!G70="","",'Dry_Litterbag Placem_Collection'!G70)</f>
        <v>43005</v>
      </c>
      <c r="W509" s="259">
        <f t="shared" si="35"/>
        <v>68</v>
      </c>
      <c r="X509" s="257">
        <f t="shared" si="38"/>
        <v>9.0899999999999759E-2</v>
      </c>
      <c r="Y509" s="257">
        <f t="shared" si="39"/>
        <v>8.8193547736992173E-2</v>
      </c>
      <c r="Z509" s="261">
        <f>IFERROR(INDEX([3]Rainfall_Dry!$O$2:$O$217,MATCH(C509, [3]Rainfall_Dry!$A$2:$A$217,0)),"")</f>
        <v>6.900000125</v>
      </c>
      <c r="AA509" s="250">
        <v>47.96</v>
      </c>
      <c r="AB509" s="250">
        <v>22.919999999999995</v>
      </c>
      <c r="AC509" s="250">
        <v>29.120000000000012</v>
      </c>
      <c r="AD509" s="251" t="s">
        <v>2654</v>
      </c>
      <c r="AE509" s="250">
        <v>5.8831936914736298</v>
      </c>
      <c r="AF509">
        <f>IF('WetLitterbags placem_collection'!AB70="","",'WetLitterbags placem_collection'!AB70)</f>
        <v>9.6999999999999993</v>
      </c>
      <c r="AG509">
        <f>IF('WetLitterbags placem_collection'!Z70="","",'WetLitterbags placem_collection'!Z70)</f>
        <v>23.4</v>
      </c>
      <c r="AH509" s="236" t="str">
        <f>IF('WetLitterbags placem_collection'!AA70="","",'WetLitterbags placem_collection'!AA70)</f>
        <v>O</v>
      </c>
      <c r="AI509">
        <f>IF('WetLitterbags placem_collection'!AC70="","",'WetLitterbags placem_collection'!AC70)</f>
        <v>1</v>
      </c>
      <c r="AJ509">
        <f>IFERROR(AVERAGE('Dry_Litterbag Placem_Collection'!O70,'Dry_Litterbag Placem_Collection'!R70),"")</f>
        <v>7.75</v>
      </c>
      <c r="AK509" s="261">
        <f>IFERROR(AVERAGE('Dry_Litterbag Placem_Collection'!N70,'Dry_Litterbag Placem_Collection'!Q70),"")</f>
        <v>26.85</v>
      </c>
      <c r="AL509" s="260">
        <f>INDEX([2]Coordinates!$B$2:$B$197,MATCH(I509,[2]Coordinates!$J$2:$J$197,0))</f>
        <v>-3.2991180099999999</v>
      </c>
      <c r="AM509" s="260">
        <f>INDEX([2]Coordinates!$C$2:$C$197,MATCH(I509,[2]Coordinates!$J$2:$J$197,0))</f>
        <v>34.84824699</v>
      </c>
      <c r="AN509" s="260" t="str">
        <f>IF(ISNUMBER(SEARCH("C", 'Dry_Litterbag Placem_Collection'!U70)),"YES","NO")</f>
        <v>NO</v>
      </c>
      <c r="AO509" s="260" t="str">
        <f>IF(ISNUMBER(SEARCH("H", 'Dry_Litterbag Placem_Collection'!U70)),"YES","NO")</f>
        <v>NO</v>
      </c>
      <c r="AP509" s="260" t="str">
        <f>IF(ISNUMBER(SEARCH("R", 'Dry_Litterbag Placem_Collection'!U70)),"YES","NO")</f>
        <v>NO</v>
      </c>
    </row>
    <row r="510" spans="1:42" ht="15" customHeight="1">
      <c r="A510" t="s">
        <v>3248</v>
      </c>
      <c r="B510" s="252" t="s">
        <v>2643</v>
      </c>
      <c r="C510" s="253">
        <f>'Dry_Litterbag Placem_Collection'!A71</f>
        <v>69</v>
      </c>
      <c r="D510" s="253" t="str">
        <f>'Dry_Litterbag Placem_Collection'!B71</f>
        <v>Maswa</v>
      </c>
      <c r="E510" s="253" t="s">
        <v>2643</v>
      </c>
      <c r="F510" s="253" t="s">
        <v>2645</v>
      </c>
      <c r="G510" s="253">
        <v>1</v>
      </c>
      <c r="H510" s="253" t="s">
        <v>3111</v>
      </c>
      <c r="I510" s="254" t="str">
        <f>'Dry_Litterbag Placem_Collection'!C71</f>
        <v>Dry_W1_T5</v>
      </c>
      <c r="J510" s="263" t="s">
        <v>2932</v>
      </c>
      <c r="K510" s="256" t="s">
        <v>1147</v>
      </c>
      <c r="L510" s="253" t="str">
        <f>IF(ISBLANK('Dry_Litterbag Placem_Collection'!L71),"","G"&amp;""&amp;'Dry_Litterbag Placem_Collection'!L71)</f>
        <v>G766</v>
      </c>
      <c r="M510" s="257">
        <f>IFERROR(INDEX('Green_rooibos initial weight'!$C$5:$C$2000,MATCH(L510, 'Green_rooibos initial weight'!$A$5:$A$2000,0)),"")</f>
        <v>2.0409999999999999</v>
      </c>
      <c r="N510" s="257">
        <f>IFERROR(M510-(TBIcalc!$Q$9+TBIcalc!$Q$10),"")</f>
        <v>1.7911999999999999</v>
      </c>
      <c r="O510" s="378">
        <f>AVERAGE(Ashed_controlls!$K$2:$K$11)</f>
        <v>5.5147656768714146</v>
      </c>
      <c r="P510" s="257">
        <f t="shared" si="36"/>
        <v>1.6924195171958791</v>
      </c>
      <c r="Q510" s="257">
        <f>IFERROR(INDEX('Both teabags AfterDry'!$D$2:$D$2000,MATCH(L510,'Both teabags AfterDry'!$A$2:$A$2000,0)),"")</f>
        <v>1.8654999999999999</v>
      </c>
      <c r="R510" s="257">
        <f>IFERROR(IF(Q510&gt;0,Q510-(TBIcalc!$Q$9),""),"")</f>
        <v>1.7148999999999999</v>
      </c>
      <c r="S510" s="268">
        <f>IFERROR(INDEX('Ashed teabags dry'!$K$2:$K$2000,MATCH(L510,'Ashed teabags dry'!$A$2:$A$2000,0)),"")</f>
        <v>6.0009837678305544</v>
      </c>
      <c r="T510" s="268">
        <f t="shared" si="37"/>
        <v>1.6119891293654738</v>
      </c>
      <c r="U510" s="258">
        <f>IF('Dry_Litterbag Placem_Collection'!E71="","",'Dry_Litterbag Placem_Collection'!E71)</f>
        <v>42937</v>
      </c>
      <c r="V510" s="258">
        <f>IF('Dry_Litterbag Placem_Collection'!G71="","",'Dry_Litterbag Placem_Collection'!G71)</f>
        <v>43006</v>
      </c>
      <c r="W510" s="259">
        <f t="shared" si="35"/>
        <v>69</v>
      </c>
      <c r="X510" s="257">
        <f t="shared" si="38"/>
        <v>7.6300000000000034E-2</v>
      </c>
      <c r="Y510" s="257">
        <f t="shared" si="39"/>
        <v>8.0430387830405348E-2</v>
      </c>
      <c r="Z510" s="261">
        <f>IFERROR(INDEX([3]Rainfall_Dry!$O$2:$O$217,MATCH(C510, [3]Rainfall_Dry!$A$2:$A$217,0)),"")</f>
        <v>6.900000125</v>
      </c>
      <c r="AA510" s="250">
        <v>47.96</v>
      </c>
      <c r="AB510" s="250">
        <v>22.919999999999995</v>
      </c>
      <c r="AC510" s="250">
        <v>29.120000000000012</v>
      </c>
      <c r="AD510" s="251" t="s">
        <v>2654</v>
      </c>
      <c r="AE510" s="250">
        <v>6.8831936914736298</v>
      </c>
      <c r="AF510">
        <f>IF('WetLitterbags placem_collection'!AB71="","",'WetLitterbags placem_collection'!AB71)</f>
        <v>14.4</v>
      </c>
      <c r="AG510">
        <f>IF('WetLitterbags placem_collection'!Z71="","",'WetLitterbags placem_collection'!Z71)</f>
        <v>24.4</v>
      </c>
      <c r="AH510" s="236" t="str">
        <f>IF('WetLitterbags placem_collection'!AA71="","",'WetLitterbags placem_collection'!AA71)</f>
        <v>O</v>
      </c>
      <c r="AI510">
        <f>IF('WetLitterbags placem_collection'!AC71="","",'WetLitterbags placem_collection'!AC71)</f>
        <v>1</v>
      </c>
      <c r="AJ510">
        <f>IFERROR(AVERAGE('Dry_Litterbag Placem_Collection'!O71,'Dry_Litterbag Placem_Collection'!R71),"")</f>
        <v>7.95</v>
      </c>
      <c r="AK510" s="261">
        <f>IFERROR(AVERAGE('Dry_Litterbag Placem_Collection'!N71,'Dry_Litterbag Placem_Collection'!Q71),"")</f>
        <v>26.55</v>
      </c>
      <c r="AL510" s="260">
        <f>INDEX([2]Coordinates!$B$2:$B$197,MATCH(I510,[2]Coordinates!$J$2:$J$197,0))</f>
        <v>-3.2993180030000002</v>
      </c>
      <c r="AM510" s="260">
        <f>INDEX([2]Coordinates!$C$2:$C$197,MATCH(I510,[2]Coordinates!$J$2:$J$197,0))</f>
        <v>34.848235010000003</v>
      </c>
      <c r="AN510" s="260" t="str">
        <f>IF(ISNUMBER(SEARCH("C", 'Dry_Litterbag Placem_Collection'!U71)),"YES","NO")</f>
        <v>NO</v>
      </c>
      <c r="AO510" s="260" t="str">
        <f>IF(ISNUMBER(SEARCH("H", 'Dry_Litterbag Placem_Collection'!U71)),"YES","NO")</f>
        <v>NO</v>
      </c>
      <c r="AP510" s="260" t="str">
        <f>IF(ISNUMBER(SEARCH("R", 'Dry_Litterbag Placem_Collection'!U71)),"YES","NO")</f>
        <v>NO</v>
      </c>
    </row>
    <row r="511" spans="1:42" ht="15" customHeight="1">
      <c r="A511" t="s">
        <v>3248</v>
      </c>
      <c r="B511" s="252" t="s">
        <v>2643</v>
      </c>
      <c r="C511" s="253">
        <f>'Dry_Litterbag Placem_Collection'!A72</f>
        <v>70</v>
      </c>
      <c r="D511" s="253" t="str">
        <f>'Dry_Litterbag Placem_Collection'!B72</f>
        <v>Maswa</v>
      </c>
      <c r="E511" s="253" t="s">
        <v>2643</v>
      </c>
      <c r="F511" s="253" t="s">
        <v>2645</v>
      </c>
      <c r="G511" s="253">
        <v>1</v>
      </c>
      <c r="H511" s="253" t="s">
        <v>3111</v>
      </c>
      <c r="I511" s="254" t="str">
        <f>'Dry_Litterbag Placem_Collection'!C72</f>
        <v>Dry_W1_T6</v>
      </c>
      <c r="J511" s="263" t="s">
        <v>2932</v>
      </c>
      <c r="K511" s="256" t="s">
        <v>1147</v>
      </c>
      <c r="L511" s="253" t="str">
        <f>IF(ISBLANK('Dry_Litterbag Placem_Collection'!L72),"","G"&amp;""&amp;'Dry_Litterbag Placem_Collection'!L72)</f>
        <v>G430</v>
      </c>
      <c r="M511" s="257">
        <f>IFERROR(INDEX('Green_rooibos initial weight'!$C$5:$C$2000,MATCH(L511, 'Green_rooibos initial weight'!$A$5:$A$2000,0)),"")</f>
        <v>2.09</v>
      </c>
      <c r="N511" s="257">
        <f>IFERROR(M511-(TBIcalc!$Q$9+TBIcalc!$Q$10),"")</f>
        <v>1.8401999999999998</v>
      </c>
      <c r="O511" s="378">
        <f>AVERAGE(Ashed_controlls!$K$2:$K$11)</f>
        <v>5.5147656768714146</v>
      </c>
      <c r="P511" s="257">
        <f t="shared" si="36"/>
        <v>1.7387172820142121</v>
      </c>
      <c r="Q511" s="257">
        <f>IFERROR(INDEX('Both teabags AfterDry'!$D$2:$D$2000,MATCH(L511,'Both teabags AfterDry'!$A$2:$A$2000,0)),"")</f>
        <v>1.8875999999999999</v>
      </c>
      <c r="R511" s="257">
        <f>IFERROR(IF(Q511&gt;0,Q511-(TBIcalc!$Q$9),""),"")</f>
        <v>1.7369999999999999</v>
      </c>
      <c r="S511" s="268">
        <f>IFERROR(INDEX('Ashed teabags dry'!$K$2:$K$2000,MATCH(L511,'Ashed teabags dry'!$A$2:$A$2000,0)),"")</f>
        <v>5.6997022543597504</v>
      </c>
      <c r="T511" s="268">
        <f t="shared" si="37"/>
        <v>1.637996171841771</v>
      </c>
      <c r="U511" s="258">
        <f>IF('Dry_Litterbag Placem_Collection'!E72="","",'Dry_Litterbag Placem_Collection'!E72)</f>
        <v>42937</v>
      </c>
      <c r="V511" s="258">
        <f>IF('Dry_Litterbag Placem_Collection'!G72="","",'Dry_Litterbag Placem_Collection'!G72)</f>
        <v>43006</v>
      </c>
      <c r="W511" s="259">
        <f t="shared" si="35"/>
        <v>69</v>
      </c>
      <c r="X511" s="257">
        <f t="shared" si="38"/>
        <v>0.10319999999999996</v>
      </c>
      <c r="Y511" s="257">
        <f t="shared" si="39"/>
        <v>0.10072111017244101</v>
      </c>
      <c r="Z511" s="261">
        <f>IFERROR(INDEX([3]Rainfall_Dry!$O$2:$O$217,MATCH(C511, [3]Rainfall_Dry!$A$2:$A$217,0)),"")</f>
        <v>6.900000125</v>
      </c>
      <c r="AA511" s="250">
        <v>47.96</v>
      </c>
      <c r="AB511" s="250">
        <v>22.919999999999995</v>
      </c>
      <c r="AC511" s="250">
        <v>29.120000000000012</v>
      </c>
      <c r="AD511" s="251" t="s">
        <v>2654</v>
      </c>
      <c r="AE511" s="250">
        <v>7.8831936914736298</v>
      </c>
      <c r="AF511">
        <f>IF('WetLitterbags placem_collection'!AB72="","",'WetLitterbags placem_collection'!AB72)</f>
        <v>15</v>
      </c>
      <c r="AG511">
        <f>IF('WetLitterbags placem_collection'!Z72="","",'WetLitterbags placem_collection'!Z72)</f>
        <v>28</v>
      </c>
      <c r="AH511" s="236" t="str">
        <f>IF('WetLitterbags placem_collection'!AA72="","",'WetLitterbags placem_collection'!AA72)</f>
        <v>O</v>
      </c>
      <c r="AI511">
        <f>IF('WetLitterbags placem_collection'!AC72="","",'WetLitterbags placem_collection'!AC72)</f>
        <v>0</v>
      </c>
      <c r="AJ511">
        <f>IFERROR(AVERAGE('Dry_Litterbag Placem_Collection'!O72,'Dry_Litterbag Placem_Collection'!R72),"")</f>
        <v>8.8000000000000007</v>
      </c>
      <c r="AK511" s="261">
        <f>IFERROR(AVERAGE('Dry_Litterbag Placem_Collection'!N72,'Dry_Litterbag Placem_Collection'!Q72),"")</f>
        <v>27.200000000000003</v>
      </c>
      <c r="AL511" s="260">
        <f>INDEX([2]Coordinates!$B$2:$B$197,MATCH(I511,[2]Coordinates!$J$2:$J$197,0))</f>
        <v>-3.299381034</v>
      </c>
      <c r="AM511" s="260">
        <f>INDEX([2]Coordinates!$C$2:$C$197,MATCH(I511,[2]Coordinates!$J$2:$J$197,0))</f>
        <v>34.848312040000003</v>
      </c>
      <c r="AN511" s="260" t="str">
        <f>IF(ISNUMBER(SEARCH("C", 'Dry_Litterbag Placem_Collection'!U72)),"YES","NO")</f>
        <v>NO</v>
      </c>
      <c r="AO511" s="260" t="str">
        <f>IF(ISNUMBER(SEARCH("H", 'Dry_Litterbag Placem_Collection'!U72)),"YES","NO")</f>
        <v>NO</v>
      </c>
      <c r="AP511" s="260" t="str">
        <f>IF(ISNUMBER(SEARCH("R", 'Dry_Litterbag Placem_Collection'!U72)),"YES","NO")</f>
        <v>NO</v>
      </c>
    </row>
    <row r="512" spans="1:42" ht="15" customHeight="1">
      <c r="A512" t="s">
        <v>3248</v>
      </c>
      <c r="B512" s="252" t="s">
        <v>2643</v>
      </c>
      <c r="C512" s="253">
        <f>'Dry_Litterbag Placem_Collection'!A73</f>
        <v>71</v>
      </c>
      <c r="D512" s="253" t="str">
        <f>'Dry_Litterbag Placem_Collection'!B73</f>
        <v>Maswa</v>
      </c>
      <c r="E512" s="253" t="s">
        <v>2643</v>
      </c>
      <c r="F512" s="253" t="s">
        <v>2645</v>
      </c>
      <c r="G512" s="253">
        <v>1</v>
      </c>
      <c r="H512" s="253" t="s">
        <v>3111</v>
      </c>
      <c r="I512" s="254" t="str">
        <f>'Dry_Litterbag Placem_Collection'!C73</f>
        <v>Dry_W1_T7</v>
      </c>
      <c r="J512" s="263" t="s">
        <v>2932</v>
      </c>
      <c r="K512" s="256" t="s">
        <v>1147</v>
      </c>
      <c r="L512" s="253" t="str">
        <f>IF(ISBLANK('Dry_Litterbag Placem_Collection'!L73),"","G"&amp;""&amp;'Dry_Litterbag Placem_Collection'!L73)</f>
        <v>G174</v>
      </c>
      <c r="M512" s="257">
        <f>IFERROR(INDEX('Green_rooibos initial weight'!$C$5:$C$2000,MATCH(L512, 'Green_rooibos initial weight'!$A$5:$A$2000,0)),"")</f>
        <v>2.0649999999999999</v>
      </c>
      <c r="N512" s="257">
        <f>IFERROR(M512-(TBIcalc!$Q$9+TBIcalc!$Q$10),"")</f>
        <v>1.8151999999999999</v>
      </c>
      <c r="O512" s="378">
        <f>AVERAGE(Ashed_controlls!$K$2:$K$11)</f>
        <v>5.5147656768714146</v>
      </c>
      <c r="P512" s="257">
        <f t="shared" si="36"/>
        <v>1.7150959734334301</v>
      </c>
      <c r="Q512" s="257">
        <f>IFERROR(INDEX('Both teabags AfterDry'!$D$2:$D$2000,MATCH(L512,'Both teabags AfterDry'!$A$2:$A$2000,0)),"")</f>
        <v>1.8838999999999999</v>
      </c>
      <c r="R512" s="257">
        <f>IFERROR(IF(Q512&gt;0,Q512-(TBIcalc!$Q$9),""),"")</f>
        <v>1.7332999999999998</v>
      </c>
      <c r="S512" s="268">
        <f>IFERROR(INDEX('Ashed teabags dry'!$K$2:$K$2000,MATCH(L512,'Ashed teabags dry'!$A$2:$A$2000,0)),"")</f>
        <v>5.4401582591501034</v>
      </c>
      <c r="T512" s="268">
        <f t="shared" si="37"/>
        <v>1.6390057368941511</v>
      </c>
      <c r="U512" s="258">
        <f>IF('Dry_Litterbag Placem_Collection'!E73="","",'Dry_Litterbag Placem_Collection'!E73)</f>
        <v>42937</v>
      </c>
      <c r="V512" s="258">
        <f>IF('Dry_Litterbag Placem_Collection'!G73="","",'Dry_Litterbag Placem_Collection'!G73)</f>
        <v>43006</v>
      </c>
      <c r="W512" s="259">
        <f t="shared" si="35"/>
        <v>69</v>
      </c>
      <c r="X512" s="257">
        <f t="shared" si="38"/>
        <v>8.1900000000000084E-2</v>
      </c>
      <c r="Y512" s="257">
        <f t="shared" si="39"/>
        <v>7.6090236539279044E-2</v>
      </c>
      <c r="Z512" s="261">
        <f>IFERROR(INDEX([3]Rainfall_Dry!$O$2:$O$217,MATCH(C512, [3]Rainfall_Dry!$A$2:$A$217,0)),"")</f>
        <v>6.900000125</v>
      </c>
      <c r="AA512" s="250">
        <v>47.96</v>
      </c>
      <c r="AB512" s="250">
        <v>22.919999999999995</v>
      </c>
      <c r="AC512" s="250">
        <v>29.120000000000012</v>
      </c>
      <c r="AD512" s="251" t="s">
        <v>2654</v>
      </c>
      <c r="AE512" s="250">
        <v>8.8831936914736307</v>
      </c>
      <c r="AF512">
        <f>IF('WetLitterbags placem_collection'!AB73="","",'WetLitterbags placem_collection'!AB73)</f>
        <v>15.5</v>
      </c>
      <c r="AG512">
        <f>IF('WetLitterbags placem_collection'!Z73="","",'WetLitterbags placem_collection'!Z73)</f>
        <v>32</v>
      </c>
      <c r="AH512" s="236" t="str">
        <f>IF('WetLitterbags placem_collection'!AA73="","",'WetLitterbags placem_collection'!AA73)</f>
        <v>O</v>
      </c>
      <c r="AI512">
        <f>IF('WetLitterbags placem_collection'!AC73="","",'WetLitterbags placem_collection'!AC73)</f>
        <v>1</v>
      </c>
      <c r="AJ512">
        <f>IFERROR(AVERAGE('Dry_Litterbag Placem_Collection'!O73,'Dry_Litterbag Placem_Collection'!R73),"")</f>
        <v>9.9499999999999993</v>
      </c>
      <c r="AK512" s="261">
        <f>IFERROR(AVERAGE('Dry_Litterbag Placem_Collection'!N73,'Dry_Litterbag Placem_Collection'!Q73),"")</f>
        <v>27.6</v>
      </c>
      <c r="AL512" s="260">
        <f>INDEX([2]Coordinates!$B$2:$B$197,MATCH(I512,[2]Coordinates!$J$2:$J$197,0))</f>
        <v>-3.2992429849999998</v>
      </c>
      <c r="AM512" s="260">
        <f>INDEX([2]Coordinates!$C$2:$C$197,MATCH(I512,[2]Coordinates!$J$2:$J$197,0))</f>
        <v>34.847900989999999</v>
      </c>
      <c r="AN512" s="260" t="str">
        <f>IF(ISNUMBER(SEARCH("C", 'Dry_Litterbag Placem_Collection'!U73)),"YES","NO")</f>
        <v>NO</v>
      </c>
      <c r="AO512" s="260" t="str">
        <f>IF(ISNUMBER(SEARCH("H", 'Dry_Litterbag Placem_Collection'!U73)),"YES","NO")</f>
        <v>NO</v>
      </c>
      <c r="AP512" s="260" t="str">
        <f>IF(ISNUMBER(SEARCH("R", 'Dry_Litterbag Placem_Collection'!U73)),"YES","NO")</f>
        <v>NO</v>
      </c>
    </row>
    <row r="513" spans="1:42" ht="15" customHeight="1">
      <c r="A513" t="s">
        <v>3248</v>
      </c>
      <c r="B513" s="252" t="s">
        <v>2643</v>
      </c>
      <c r="C513" s="253">
        <f>'Dry_Litterbag Placem_Collection'!A74</f>
        <v>72</v>
      </c>
      <c r="D513" s="253" t="str">
        <f>'Dry_Litterbag Placem_Collection'!B74</f>
        <v>Maswa</v>
      </c>
      <c r="E513" s="253" t="s">
        <v>2643</v>
      </c>
      <c r="F513" s="253" t="s">
        <v>2645</v>
      </c>
      <c r="G513" s="253">
        <v>1</v>
      </c>
      <c r="H513" s="253" t="s">
        <v>3111</v>
      </c>
      <c r="I513" s="254" t="str">
        <f>'Dry_Litterbag Placem_Collection'!C74</f>
        <v>Dry_W1_T8</v>
      </c>
      <c r="J513" s="263" t="s">
        <v>2932</v>
      </c>
      <c r="K513" s="256" t="s">
        <v>1147</v>
      </c>
      <c r="L513" s="253" t="str">
        <f>IF(ISBLANK('Dry_Litterbag Placem_Collection'!L74),"","G"&amp;""&amp;'Dry_Litterbag Placem_Collection'!L74)</f>
        <v>G714</v>
      </c>
      <c r="M513" s="257">
        <f>IFERROR(INDEX('Green_rooibos initial weight'!$C$5:$C$2000,MATCH(L513, 'Green_rooibos initial weight'!$A$5:$A$2000,0)),"")</f>
        <v>2.0459999999999998</v>
      </c>
      <c r="N513" s="257">
        <f>IFERROR(M513-(TBIcalc!$Q$9+TBIcalc!$Q$10),"")</f>
        <v>1.7961999999999998</v>
      </c>
      <c r="O513" s="378">
        <f>AVERAGE(Ashed_controlls!$K$2:$K$11)</f>
        <v>5.5147656768714146</v>
      </c>
      <c r="P513" s="257">
        <f t="shared" si="36"/>
        <v>1.6971437789120354</v>
      </c>
      <c r="Q513" s="257">
        <f>IFERROR(INDEX('Both teabags AfterDry'!$D$2:$D$2000,MATCH(L513,'Both teabags AfterDry'!$A$2:$A$2000,0)),"")</f>
        <v>1.8528</v>
      </c>
      <c r="R513" s="257">
        <f>IFERROR(IF(Q513&gt;0,Q513-(TBIcalc!$Q$9),""),"")</f>
        <v>1.7021999999999999</v>
      </c>
      <c r="S513" s="268">
        <f>IFERROR(INDEX('Ashed teabags dry'!$K$2:$K$2000,MATCH(L513,'Ashed teabags dry'!$A$2:$A$2000,0)),"")</f>
        <v>5.4821341164956561</v>
      </c>
      <c r="T513" s="268">
        <f t="shared" si="37"/>
        <v>1.6088831130690109</v>
      </c>
      <c r="U513" s="258">
        <f>IF('Dry_Litterbag Placem_Collection'!E74="","",'Dry_Litterbag Placem_Collection'!E74)</f>
        <v>42937</v>
      </c>
      <c r="V513" s="258">
        <f>IF('Dry_Litterbag Placem_Collection'!G74="","",'Dry_Litterbag Placem_Collection'!G74)</f>
        <v>43006</v>
      </c>
      <c r="W513" s="259">
        <f t="shared" si="35"/>
        <v>69</v>
      </c>
      <c r="X513" s="257">
        <f t="shared" si="38"/>
        <v>9.3999999999999861E-2</v>
      </c>
      <c r="Y513" s="257">
        <f t="shared" si="39"/>
        <v>8.8260665843024499E-2</v>
      </c>
      <c r="Z513" s="261">
        <f>IFERROR(INDEX([3]Rainfall_Dry!$O$2:$O$217,MATCH(C513, [3]Rainfall_Dry!$A$2:$A$217,0)),"")</f>
        <v>6.900000125</v>
      </c>
      <c r="AA513" s="250">
        <v>47.96</v>
      </c>
      <c r="AB513" s="250">
        <v>22.919999999999995</v>
      </c>
      <c r="AC513" s="250">
        <v>29.120000000000012</v>
      </c>
      <c r="AD513" s="251" t="s">
        <v>2654</v>
      </c>
      <c r="AE513" s="250">
        <v>9.8831936914736307</v>
      </c>
      <c r="AF513">
        <f>IF('WetLitterbags placem_collection'!AB74="","",'WetLitterbags placem_collection'!AB74)</f>
        <v>2.6</v>
      </c>
      <c r="AG513">
        <f>IF('WetLitterbags placem_collection'!Z74="","",'WetLitterbags placem_collection'!Z74)</f>
        <v>44</v>
      </c>
      <c r="AH513" s="236" t="str">
        <f>IF('WetLitterbags placem_collection'!AA74="","",'WetLitterbags placem_collection'!AA74)</f>
        <v>O</v>
      </c>
      <c r="AI513">
        <f>IF('WetLitterbags placem_collection'!AC74="","",'WetLitterbags placem_collection'!AC74)</f>
        <v>1</v>
      </c>
      <c r="AJ513">
        <f>IFERROR(AVERAGE('Dry_Litterbag Placem_Collection'!O74,'Dry_Litterbag Placem_Collection'!R74),"")</f>
        <v>9.5</v>
      </c>
      <c r="AK513" s="261">
        <f>IFERROR(AVERAGE('Dry_Litterbag Placem_Collection'!N74,'Dry_Litterbag Placem_Collection'!Q74),"")</f>
        <v>26.35</v>
      </c>
      <c r="AL513" s="260">
        <f>INDEX([2]Coordinates!$B$2:$B$197,MATCH(I513,[2]Coordinates!$J$2:$J$197,0))</f>
        <v>-3.2996540329999999</v>
      </c>
      <c r="AM513" s="260">
        <f>INDEX([2]Coordinates!$C$2:$C$197,MATCH(I513,[2]Coordinates!$J$2:$J$197,0))</f>
        <v>34.848151020000003</v>
      </c>
      <c r="AN513" s="260" t="str">
        <f>IF(ISNUMBER(SEARCH("C", 'Dry_Litterbag Placem_Collection'!U74)),"YES","NO")</f>
        <v>NO</v>
      </c>
      <c r="AO513" s="260" t="str">
        <f>IF(ISNUMBER(SEARCH("H", 'Dry_Litterbag Placem_Collection'!U74)),"YES","NO")</f>
        <v>NO</v>
      </c>
      <c r="AP513" s="260" t="str">
        <f>IF(ISNUMBER(SEARCH("R", 'Dry_Litterbag Placem_Collection'!U74)),"YES","NO")</f>
        <v>NO</v>
      </c>
    </row>
    <row r="514" spans="1:42" ht="15" customHeight="1">
      <c r="A514" t="s">
        <v>3248</v>
      </c>
      <c r="B514" s="252" t="s">
        <v>2643</v>
      </c>
      <c r="C514" s="253">
        <f>'Dry_Litterbag Placem_Collection'!A75</f>
        <v>73</v>
      </c>
      <c r="D514" s="253" t="str">
        <f>'Dry_Litterbag Placem_Collection'!B75</f>
        <v>Maswa</v>
      </c>
      <c r="E514" s="253" t="s">
        <v>2643</v>
      </c>
      <c r="F514" s="253" t="s">
        <v>2645</v>
      </c>
      <c r="G514" s="253">
        <v>2</v>
      </c>
      <c r="H514" s="253" t="s">
        <v>3113</v>
      </c>
      <c r="I514" s="254" t="str">
        <f>'Dry_Litterbag Placem_Collection'!C75</f>
        <v>Dry_W2_T1</v>
      </c>
      <c r="J514" s="263" t="s">
        <v>2932</v>
      </c>
      <c r="K514" s="256" t="s">
        <v>1147</v>
      </c>
      <c r="L514" s="253" t="str">
        <f>IF(ISBLANK('Dry_Litterbag Placem_Collection'!L75),"","G"&amp;""&amp;'Dry_Litterbag Placem_Collection'!L75)</f>
        <v>G726</v>
      </c>
      <c r="M514" s="257">
        <f>IFERROR(INDEX('Green_rooibos initial weight'!$C$5:$C$2000,MATCH(L514, 'Green_rooibos initial weight'!$A$5:$A$2000,0)),"")</f>
        <v>1.9950000000000001</v>
      </c>
      <c r="N514" s="257">
        <f>IFERROR(M514-(TBIcalc!$Q$9+TBIcalc!$Q$10),"")</f>
        <v>1.7452000000000001</v>
      </c>
      <c r="O514" s="378">
        <f>AVERAGE(Ashed_controlls!$K$2:$K$11)</f>
        <v>5.5147656768714146</v>
      </c>
      <c r="P514" s="257">
        <f t="shared" si="36"/>
        <v>1.6489563094072401</v>
      </c>
      <c r="Q514" s="257" t="str">
        <f>IFERROR(INDEX('Both teabags AfterDry'!$D$2:$D$2000,MATCH(L514,'Both teabags AfterDry'!$A$2:$A$2000,0)),"")</f>
        <v/>
      </c>
      <c r="R514" s="257" t="str">
        <f>IFERROR(IF(Q514&gt;0,Q514-(TBIcalc!$Q$9),""),"")</f>
        <v/>
      </c>
      <c r="S514" s="268" t="str">
        <f>IFERROR(INDEX('Ashed teabags dry'!$K$2:$K$2000,MATCH(L514,'Ashed teabags dry'!$A$2:$A$2000,0)),"")</f>
        <v/>
      </c>
      <c r="T514" s="268" t="str">
        <f t="shared" si="37"/>
        <v/>
      </c>
      <c r="U514" s="258">
        <f>IF('Dry_Litterbag Placem_Collection'!E75="","",'Dry_Litterbag Placem_Collection'!E75)</f>
        <v>42937</v>
      </c>
      <c r="V514" s="258">
        <f>IF('Dry_Litterbag Placem_Collection'!G75="","",'Dry_Litterbag Placem_Collection'!G75)</f>
        <v>43006</v>
      </c>
      <c r="W514" s="259">
        <f t="shared" ref="W514:W577" si="40">IFERROR(V514-U514,"")</f>
        <v>69</v>
      </c>
      <c r="X514" s="257" t="str">
        <f t="shared" si="38"/>
        <v/>
      </c>
      <c r="Y514" s="257" t="str">
        <f t="shared" si="39"/>
        <v/>
      </c>
      <c r="Z514" s="261">
        <f>IFERROR(INDEX([3]Rainfall_Dry!$O$2:$O$217,MATCH(C514, [3]Rainfall_Dry!$A$2:$A$217,0)),"")</f>
        <v>6.900000125</v>
      </c>
      <c r="AA514" s="250">
        <v>45.272914521112256</v>
      </c>
      <c r="AB514" s="250">
        <v>23.604531410916575</v>
      </c>
      <c r="AC514" s="250">
        <v>31.122554067971166</v>
      </c>
      <c r="AD514" s="251" t="s">
        <v>2654</v>
      </c>
      <c r="AE514" s="250">
        <v>2.0547560374568752</v>
      </c>
      <c r="AF514">
        <f>IF('WetLitterbags placem_collection'!AB75="","",'WetLitterbags placem_collection'!AB75)</f>
        <v>9.1</v>
      </c>
      <c r="AG514">
        <f>IF('WetLitterbags placem_collection'!Z75="","",'WetLitterbags placem_collection'!Z75)</f>
        <v>10</v>
      </c>
      <c r="AH514" s="236" t="str">
        <f>IF('WetLitterbags placem_collection'!AA75="","",'WetLitterbags placem_collection'!AA75)</f>
        <v>M</v>
      </c>
      <c r="AI514">
        <f>IF('WetLitterbags placem_collection'!AC75="","",'WetLitterbags placem_collection'!AC75)</f>
        <v>1</v>
      </c>
      <c r="AJ514">
        <f>IFERROR(AVERAGE('Dry_Litterbag Placem_Collection'!O75,'Dry_Litterbag Placem_Collection'!R75),"")</f>
        <v>9.5500000000000007</v>
      </c>
      <c r="AK514" s="261">
        <f>IFERROR(AVERAGE('Dry_Litterbag Placem_Collection'!N75,'Dry_Litterbag Placem_Collection'!Q75),"")</f>
        <v>28.35</v>
      </c>
      <c r="AL514" s="260">
        <f>INDEX([2]Coordinates!$B$2:$B$197,MATCH(I514,[2]Coordinates!$J$2:$J$197,0))</f>
        <v>-3.3025860229999999</v>
      </c>
      <c r="AM514" s="260">
        <f>INDEX([2]Coordinates!$C$2:$C$197,MATCH(I514,[2]Coordinates!$J$2:$J$197,0))</f>
        <v>34.848048009999999</v>
      </c>
      <c r="AN514" s="260" t="str">
        <f>IF(ISNUMBER(SEARCH("C", 'Dry_Litterbag Placem_Collection'!U75)),"YES","NO")</f>
        <v>NO</v>
      </c>
      <c r="AO514" s="260" t="str">
        <f>IF(ISNUMBER(SEARCH("H", 'Dry_Litterbag Placem_Collection'!U75)),"YES","NO")</f>
        <v>NO</v>
      </c>
      <c r="AP514" s="260" t="str">
        <f>IF(ISNUMBER(SEARCH("R", 'Dry_Litterbag Placem_Collection'!U75)),"YES","NO")</f>
        <v>NO</v>
      </c>
    </row>
    <row r="515" spans="1:42" ht="15" customHeight="1">
      <c r="A515" t="s">
        <v>3248</v>
      </c>
      <c r="B515" s="252" t="s">
        <v>2643</v>
      </c>
      <c r="C515" s="253">
        <f>'Dry_Litterbag Placem_Collection'!A76</f>
        <v>74</v>
      </c>
      <c r="D515" s="253" t="str">
        <f>'Dry_Litterbag Placem_Collection'!B76</f>
        <v>Maswa</v>
      </c>
      <c r="E515" s="253" t="s">
        <v>2643</v>
      </c>
      <c r="F515" s="253" t="s">
        <v>2645</v>
      </c>
      <c r="G515" s="253">
        <v>2</v>
      </c>
      <c r="H515" s="253" t="s">
        <v>3113</v>
      </c>
      <c r="I515" s="254" t="str">
        <f>'Dry_Litterbag Placem_Collection'!C76</f>
        <v>Dry_W2_T2</v>
      </c>
      <c r="J515" s="263" t="s">
        <v>2932</v>
      </c>
      <c r="K515" s="256" t="s">
        <v>1147</v>
      </c>
      <c r="L515" s="253" t="str">
        <f>IF(ISBLANK('Dry_Litterbag Placem_Collection'!L76),"","G"&amp;""&amp;'Dry_Litterbag Placem_Collection'!L76)</f>
        <v>G866</v>
      </c>
      <c r="M515" s="257">
        <f>IFERROR(INDEX('Green_rooibos initial weight'!$C$5:$C$2000,MATCH(L515, 'Green_rooibos initial weight'!$A$5:$A$2000,0)),"")</f>
        <v>2.0310000000000001</v>
      </c>
      <c r="N515" s="257">
        <f>IFERROR(M515-(TBIcalc!$Q$9+TBIcalc!$Q$10),"")</f>
        <v>1.7812000000000001</v>
      </c>
      <c r="O515" s="378">
        <f>AVERAGE(Ashed_controlls!$K$2:$K$11)</f>
        <v>5.5147656768714146</v>
      </c>
      <c r="P515" s="257">
        <f t="shared" ref="P515:P578" si="41">IFERROR(N515-(O515/100)*N515,"")</f>
        <v>1.6829709937635664</v>
      </c>
      <c r="Q515" s="257">
        <f>IFERROR(INDEX('Both teabags AfterDry'!$D$2:$D$2000,MATCH(L515,'Both teabags AfterDry'!$A$2:$A$2000,0)),"")</f>
        <v>1.8541000000000001</v>
      </c>
      <c r="R515" s="257">
        <f>IFERROR(IF(Q515&gt;0,Q515-(TBIcalc!$Q$9),""),"")</f>
        <v>1.7035</v>
      </c>
      <c r="S515" s="268">
        <f>IFERROR(INDEX('Ashed teabags dry'!$K$2:$K$2000,MATCH(L515,'Ashed teabags dry'!$A$2:$A$2000,0)),"")</f>
        <v>5.5854973052423755</v>
      </c>
      <c r="T515" s="268">
        <f t="shared" ref="T515:T578" si="42">IFERROR(R515-(S515/100)*R515,"")</f>
        <v>1.6083510534051961</v>
      </c>
      <c r="U515" s="258">
        <f>IF('Dry_Litterbag Placem_Collection'!E76="","",'Dry_Litterbag Placem_Collection'!E76)</f>
        <v>42937</v>
      </c>
      <c r="V515" s="258">
        <f>IF('Dry_Litterbag Placem_Collection'!G76="","",'Dry_Litterbag Placem_Collection'!G76)</f>
        <v>43006</v>
      </c>
      <c r="W515" s="259">
        <f t="shared" si="40"/>
        <v>69</v>
      </c>
      <c r="X515" s="257">
        <f t="shared" ref="X515:X578" si="43">IFERROR(N515-R515,"")</f>
        <v>7.7700000000000102E-2</v>
      </c>
      <c r="Y515" s="257">
        <f t="shared" ref="Y515:Y578" si="44">IFERROR(P515-T515,"")</f>
        <v>7.4619940358370274E-2</v>
      </c>
      <c r="Z515" s="261">
        <f>IFERROR(INDEX([3]Rainfall_Dry!$O$2:$O$217,MATCH(C515, [3]Rainfall_Dry!$A$2:$A$217,0)),"")</f>
        <v>6.900000125</v>
      </c>
      <c r="AA515" s="250">
        <v>45.272914521112256</v>
      </c>
      <c r="AB515" s="250">
        <v>23.604531410916575</v>
      </c>
      <c r="AC515" s="250">
        <v>31.122554067971166</v>
      </c>
      <c r="AD515" s="251" t="s">
        <v>2654</v>
      </c>
      <c r="AE515" s="250">
        <v>3.0547560374568801</v>
      </c>
      <c r="AF515">
        <f>IF('WetLitterbags placem_collection'!AB76="","",'WetLitterbags placem_collection'!AB76)</f>
        <v>7.7</v>
      </c>
      <c r="AG515">
        <f>IF('WetLitterbags placem_collection'!Z76="","",'WetLitterbags placem_collection'!Z76)</f>
        <v>9.4</v>
      </c>
      <c r="AH515" s="236" t="str">
        <f>IF('WetLitterbags placem_collection'!AA76="","",'WetLitterbags placem_collection'!AA76)</f>
        <v>M</v>
      </c>
      <c r="AI515">
        <f>IF('WetLitterbags placem_collection'!AC76="","",'WetLitterbags placem_collection'!AC76)</f>
        <v>1</v>
      </c>
      <c r="AJ515">
        <f>IFERROR(AVERAGE('Dry_Litterbag Placem_Collection'!O76,'Dry_Litterbag Placem_Collection'!R76),"")</f>
        <v>10.8</v>
      </c>
      <c r="AK515" s="261">
        <f>IFERROR(AVERAGE('Dry_Litterbag Placem_Collection'!N76,'Dry_Litterbag Placem_Collection'!Q76),"")</f>
        <v>28.1</v>
      </c>
      <c r="AL515" s="260">
        <f>INDEX([2]Coordinates!$B$2:$B$197,MATCH(I515,[2]Coordinates!$J$2:$J$197,0))</f>
        <v>-3.3025779759999998</v>
      </c>
      <c r="AM515" s="260">
        <f>INDEX([2]Coordinates!$C$2:$C$197,MATCH(I515,[2]Coordinates!$J$2:$J$197,0))</f>
        <v>34.848041969999997</v>
      </c>
      <c r="AN515" s="260" t="str">
        <f>IF(ISNUMBER(SEARCH("C", 'Dry_Litterbag Placem_Collection'!U76)),"YES","NO")</f>
        <v>NO</v>
      </c>
      <c r="AO515" s="260" t="str">
        <f>IF(ISNUMBER(SEARCH("H", 'Dry_Litterbag Placem_Collection'!U76)),"YES","NO")</f>
        <v>NO</v>
      </c>
      <c r="AP515" s="260" t="str">
        <f>IF(ISNUMBER(SEARCH("R", 'Dry_Litterbag Placem_Collection'!U76)),"YES","NO")</f>
        <v>NO</v>
      </c>
    </row>
    <row r="516" spans="1:42" ht="15" customHeight="1">
      <c r="A516" t="s">
        <v>3248</v>
      </c>
      <c r="B516" s="252" t="s">
        <v>2643</v>
      </c>
      <c r="C516" s="253">
        <f>'Dry_Litterbag Placem_Collection'!A77</f>
        <v>75</v>
      </c>
      <c r="D516" s="253" t="str">
        <f>'Dry_Litterbag Placem_Collection'!B77</f>
        <v>Maswa</v>
      </c>
      <c r="E516" s="253" t="s">
        <v>2643</v>
      </c>
      <c r="F516" s="253" t="s">
        <v>2645</v>
      </c>
      <c r="G516" s="253">
        <v>2</v>
      </c>
      <c r="H516" s="253" t="s">
        <v>3113</v>
      </c>
      <c r="I516" s="254" t="str">
        <f>'Dry_Litterbag Placem_Collection'!C77</f>
        <v>Dry_W2_T3</v>
      </c>
      <c r="J516" s="263" t="s">
        <v>2932</v>
      </c>
      <c r="K516" s="256" t="s">
        <v>1147</v>
      </c>
      <c r="L516" s="253" t="str">
        <f>IF(ISBLANK('Dry_Litterbag Placem_Collection'!L77),"","G"&amp;""&amp;'Dry_Litterbag Placem_Collection'!L77)</f>
        <v>G705</v>
      </c>
      <c r="M516" s="257">
        <f>IFERROR(INDEX('Green_rooibos initial weight'!$C$5:$C$2000,MATCH(L516, 'Green_rooibos initial weight'!$A$5:$A$2000,0)),"")</f>
        <v>1.9830000000000001</v>
      </c>
      <c r="N516" s="257">
        <f>IFERROR(M516-(TBIcalc!$Q$9+TBIcalc!$Q$10),"")</f>
        <v>1.7332000000000001</v>
      </c>
      <c r="O516" s="378">
        <f>AVERAGE(Ashed_controlls!$K$2:$K$11)</f>
        <v>5.5147656768714146</v>
      </c>
      <c r="P516" s="257">
        <f t="shared" si="41"/>
        <v>1.6376180812884646</v>
      </c>
      <c r="Q516" s="257">
        <f>IFERROR(INDEX('Both teabags AfterDry'!$D$2:$D$2000,MATCH(L516,'Both teabags AfterDry'!$A$2:$A$2000,0)),"")</f>
        <v>1.8152999999999999</v>
      </c>
      <c r="R516" s="257">
        <f>IFERROR(IF(Q516&gt;0,Q516-(TBIcalc!$Q$9),""),"")</f>
        <v>1.6646999999999998</v>
      </c>
      <c r="S516" s="268">
        <f>IFERROR(INDEX('Ashed teabags dry'!$K$2:$K$2000,MATCH(L516,'Ashed teabags dry'!$A$2:$A$2000,0)),"")</f>
        <v>5.8558558558565581</v>
      </c>
      <c r="T516" s="268">
        <f t="shared" si="42"/>
        <v>1.5672175675675557</v>
      </c>
      <c r="U516" s="258">
        <f>IF('Dry_Litterbag Placem_Collection'!E77="","",'Dry_Litterbag Placem_Collection'!E77)</f>
        <v>42937</v>
      </c>
      <c r="V516" s="258">
        <f>IF('Dry_Litterbag Placem_Collection'!G77="","",'Dry_Litterbag Placem_Collection'!G77)</f>
        <v>43006</v>
      </c>
      <c r="W516" s="259">
        <f t="shared" si="40"/>
        <v>69</v>
      </c>
      <c r="X516" s="257">
        <f t="shared" si="43"/>
        <v>6.8500000000000227E-2</v>
      </c>
      <c r="Y516" s="257">
        <f t="shared" si="44"/>
        <v>7.0400513720908942E-2</v>
      </c>
      <c r="Z516" s="261">
        <f>IFERROR(INDEX([3]Rainfall_Dry!$O$2:$O$217,MATCH(C516, [3]Rainfall_Dry!$A$2:$A$217,0)),"")</f>
        <v>6.900000125</v>
      </c>
      <c r="AA516" s="250">
        <v>45.272914521112256</v>
      </c>
      <c r="AB516" s="250">
        <v>23.604531410916575</v>
      </c>
      <c r="AC516" s="250">
        <v>31.122554067971166</v>
      </c>
      <c r="AD516" s="251" t="s">
        <v>2654</v>
      </c>
      <c r="AE516" s="250">
        <v>4.0547560374568796</v>
      </c>
      <c r="AF516">
        <f>IF('WetLitterbags placem_collection'!AB77="","",'WetLitterbags placem_collection'!AB77)</f>
        <v>6.1</v>
      </c>
      <c r="AG516">
        <f>IF('WetLitterbags placem_collection'!Z77="","",'WetLitterbags placem_collection'!Z77)</f>
        <v>13.8</v>
      </c>
      <c r="AH516" s="236" t="str">
        <f>IF('WetLitterbags placem_collection'!AA77="","",'WetLitterbags placem_collection'!AA77)</f>
        <v>O</v>
      </c>
      <c r="AI516">
        <f>IF('WetLitterbags placem_collection'!AC77="","",'WetLitterbags placem_collection'!AC77)</f>
        <v>0</v>
      </c>
      <c r="AJ516">
        <f>IFERROR(AVERAGE('Dry_Litterbag Placem_Collection'!O77,'Dry_Litterbag Placem_Collection'!R77),"")</f>
        <v>12.3</v>
      </c>
      <c r="AK516" s="261">
        <f>IFERROR(AVERAGE('Dry_Litterbag Placem_Collection'!N77,'Dry_Litterbag Placem_Collection'!Q77),"")</f>
        <v>27.200000000000003</v>
      </c>
      <c r="AL516" s="260">
        <f>INDEX([2]Coordinates!$B$2:$B$197,MATCH(I516,[2]Coordinates!$J$2:$J$197,0))</f>
        <v>-3.302687025</v>
      </c>
      <c r="AM516" s="260">
        <f>INDEX([2]Coordinates!$C$2:$C$197,MATCH(I516,[2]Coordinates!$J$2:$J$197,0))</f>
        <v>34.847926970000003</v>
      </c>
      <c r="AN516" s="260" t="str">
        <f>IF(ISNUMBER(SEARCH("C", 'Dry_Litterbag Placem_Collection'!U77)),"YES","NO")</f>
        <v>NO</v>
      </c>
      <c r="AO516" s="260" t="str">
        <f>IF(ISNUMBER(SEARCH("H", 'Dry_Litterbag Placem_Collection'!U77)),"YES","NO")</f>
        <v>NO</v>
      </c>
      <c r="AP516" s="260" t="str">
        <f>IF(ISNUMBER(SEARCH("R", 'Dry_Litterbag Placem_Collection'!U77)),"YES","NO")</f>
        <v>NO</v>
      </c>
    </row>
    <row r="517" spans="1:42" ht="15" customHeight="1">
      <c r="A517" t="s">
        <v>3248</v>
      </c>
      <c r="B517" s="252" t="s">
        <v>2643</v>
      </c>
      <c r="C517" s="253">
        <f>'Dry_Litterbag Placem_Collection'!A78</f>
        <v>76</v>
      </c>
      <c r="D517" s="253" t="str">
        <f>'Dry_Litterbag Placem_Collection'!B78</f>
        <v>Maswa</v>
      </c>
      <c r="E517" s="253" t="s">
        <v>2643</v>
      </c>
      <c r="F517" s="253" t="s">
        <v>2645</v>
      </c>
      <c r="G517" s="253">
        <v>2</v>
      </c>
      <c r="H517" s="253" t="s">
        <v>3113</v>
      </c>
      <c r="I517" s="254" t="str">
        <f>'Dry_Litterbag Placem_Collection'!C78</f>
        <v>Dry_W2_T4</v>
      </c>
      <c r="J517" s="263" t="s">
        <v>2932</v>
      </c>
      <c r="K517" s="256" t="s">
        <v>1147</v>
      </c>
      <c r="L517" s="253" t="str">
        <f>IF(ISBLANK('Dry_Litterbag Placem_Collection'!L78),"","G"&amp;""&amp;'Dry_Litterbag Placem_Collection'!L78)</f>
        <v>G601</v>
      </c>
      <c r="M517" s="257">
        <f>IFERROR(INDEX('Green_rooibos initial weight'!$C$5:$C$2000,MATCH(L517, 'Green_rooibos initial weight'!$A$5:$A$2000,0)),"")</f>
        <v>2.0099999999999998</v>
      </c>
      <c r="N517" s="257">
        <f>IFERROR(M517-(TBIcalc!$Q$9+TBIcalc!$Q$10),"")</f>
        <v>1.7601999999999998</v>
      </c>
      <c r="O517" s="378">
        <f>AVERAGE(Ashed_controlls!$K$2:$K$11)</f>
        <v>5.5147656768714146</v>
      </c>
      <c r="P517" s="257">
        <f t="shared" si="41"/>
        <v>1.6631290945557091</v>
      </c>
      <c r="Q517" s="257">
        <f>IFERROR(INDEX('Both teabags AfterDry'!$D$2:$D$2000,MATCH(L517,'Both teabags AfterDry'!$A$2:$A$2000,0)),"")</f>
        <v>1.8379000000000001</v>
      </c>
      <c r="R517" s="257">
        <f>IFERROR(IF(Q517&gt;0,Q517-(TBIcalc!$Q$9),""),"")</f>
        <v>1.6873</v>
      </c>
      <c r="S517" s="268">
        <f>IFERROR(INDEX('Ashed teabags dry'!$K$2:$K$2000,MATCH(L517,'Ashed teabags dry'!$A$2:$A$2000,0)),"")</f>
        <v>5.9833251593918666</v>
      </c>
      <c r="T517" s="268">
        <f t="shared" si="42"/>
        <v>1.586343354585581</v>
      </c>
      <c r="U517" s="258">
        <f>IF('Dry_Litterbag Placem_Collection'!E78="","",'Dry_Litterbag Placem_Collection'!E78)</f>
        <v>42937</v>
      </c>
      <c r="V517" s="258">
        <f>IF('Dry_Litterbag Placem_Collection'!G78="","",'Dry_Litterbag Placem_Collection'!G78)</f>
        <v>43006</v>
      </c>
      <c r="W517" s="259">
        <f t="shared" si="40"/>
        <v>69</v>
      </c>
      <c r="X517" s="257">
        <f t="shared" si="43"/>
        <v>7.2899999999999743E-2</v>
      </c>
      <c r="Y517" s="257">
        <f t="shared" si="44"/>
        <v>7.6785739970128164E-2</v>
      </c>
      <c r="Z517" s="261">
        <f>IFERROR(INDEX([3]Rainfall_Dry!$O$2:$O$217,MATCH(C517, [3]Rainfall_Dry!$A$2:$A$217,0)),"")</f>
        <v>6.900000125</v>
      </c>
      <c r="AA517" s="250">
        <v>45.272914521112256</v>
      </c>
      <c r="AB517" s="250">
        <v>23.604531410916575</v>
      </c>
      <c r="AC517" s="250">
        <v>31.122554067971166</v>
      </c>
      <c r="AD517" s="251" t="s">
        <v>2654</v>
      </c>
      <c r="AE517" s="250">
        <v>5.0547560374568796</v>
      </c>
      <c r="AF517">
        <f>IF('WetLitterbags placem_collection'!AB78="","",'WetLitterbags placem_collection'!AB78)</f>
        <v>6.7</v>
      </c>
      <c r="AG517">
        <f>IF('WetLitterbags placem_collection'!Z78="","",'WetLitterbags placem_collection'!Z78)</f>
        <v>19.3</v>
      </c>
      <c r="AH517" s="236" t="str">
        <f>IF('WetLitterbags placem_collection'!AA78="","",'WetLitterbags placem_collection'!AA78)</f>
        <v>M</v>
      </c>
      <c r="AI517">
        <f>IF('WetLitterbags placem_collection'!AC78="","",'WetLitterbags placem_collection'!AC78)</f>
        <v>1</v>
      </c>
      <c r="AJ517">
        <f>IFERROR(AVERAGE('Dry_Litterbag Placem_Collection'!O78,'Dry_Litterbag Placem_Collection'!R78),"")</f>
        <v>11.1</v>
      </c>
      <c r="AK517" s="261">
        <f>IFERROR(AVERAGE('Dry_Litterbag Placem_Collection'!N78,'Dry_Litterbag Placem_Collection'!Q78),"")</f>
        <v>27.75</v>
      </c>
      <c r="AL517" s="260">
        <f>INDEX([2]Coordinates!$B$2:$B$197,MATCH(I517,[2]Coordinates!$J$2:$J$197,0))</f>
        <v>-3.3024560190000001</v>
      </c>
      <c r="AM517" s="260">
        <f>INDEX([2]Coordinates!$C$2:$C$197,MATCH(I517,[2]Coordinates!$J$2:$J$197,0))</f>
        <v>34.847871990000002</v>
      </c>
      <c r="AN517" s="260" t="str">
        <f>IF(ISNUMBER(SEARCH("C", 'Dry_Litterbag Placem_Collection'!U78)),"YES","NO")</f>
        <v>NO</v>
      </c>
      <c r="AO517" s="260" t="str">
        <f>IF(ISNUMBER(SEARCH("H", 'Dry_Litterbag Placem_Collection'!U78)),"YES","NO")</f>
        <v>NO</v>
      </c>
      <c r="AP517" s="260" t="str">
        <f>IF(ISNUMBER(SEARCH("R", 'Dry_Litterbag Placem_Collection'!U78)),"YES","NO")</f>
        <v>NO</v>
      </c>
    </row>
    <row r="518" spans="1:42" ht="15" customHeight="1">
      <c r="A518" t="s">
        <v>3248</v>
      </c>
      <c r="B518" s="252" t="s">
        <v>2643</v>
      </c>
      <c r="C518" s="253">
        <f>'Dry_Litterbag Placem_Collection'!A79</f>
        <v>77</v>
      </c>
      <c r="D518" s="253" t="str">
        <f>'Dry_Litterbag Placem_Collection'!B79</f>
        <v>Maswa</v>
      </c>
      <c r="E518" s="253" t="s">
        <v>2643</v>
      </c>
      <c r="F518" s="253" t="s">
        <v>2645</v>
      </c>
      <c r="G518" s="253">
        <v>2</v>
      </c>
      <c r="H518" s="253" t="s">
        <v>3113</v>
      </c>
      <c r="I518" s="254" t="str">
        <f>'Dry_Litterbag Placem_Collection'!C79</f>
        <v>Dry_W2_T5</v>
      </c>
      <c r="J518" s="263" t="s">
        <v>2932</v>
      </c>
      <c r="K518" s="256" t="s">
        <v>1147</v>
      </c>
      <c r="L518" s="253" t="str">
        <f>IF(ISBLANK('Dry_Litterbag Placem_Collection'!L79),"","G"&amp;""&amp;'Dry_Litterbag Placem_Collection'!L79)</f>
        <v/>
      </c>
      <c r="M518" s="257" t="str">
        <f>IFERROR(INDEX('Green_rooibos initial weight'!$C$5:$C$2000,MATCH(L518, 'Green_rooibos initial weight'!$A$5:$A$2000,0)),"")</f>
        <v/>
      </c>
      <c r="N518" s="257" t="str">
        <f>IFERROR(M518-(TBIcalc!$Q$9+TBIcalc!$Q$10),"")</f>
        <v/>
      </c>
      <c r="O518" s="378">
        <f>AVERAGE(Ashed_controlls!$K$2:$K$11)</f>
        <v>5.5147656768714146</v>
      </c>
      <c r="P518" s="257" t="str">
        <f t="shared" si="41"/>
        <v/>
      </c>
      <c r="Q518" s="257" t="str">
        <f>IFERROR(INDEX('Both teabags AfterDry'!$D$2:$D$2000,MATCH(L518,'Both teabags AfterDry'!$A$2:$A$2000,0)),"")</f>
        <v/>
      </c>
      <c r="R518" s="257" t="str">
        <f>IFERROR(IF(Q518&gt;0,Q518-(TBIcalc!$Q$9),""),"")</f>
        <v/>
      </c>
      <c r="S518" s="268" t="str">
        <f>IFERROR(INDEX('Ashed teabags dry'!$K$2:$K$2000,MATCH(L518,'Ashed teabags dry'!$A$2:$A$2000,0)),"")</f>
        <v/>
      </c>
      <c r="T518" s="268" t="str">
        <f t="shared" si="42"/>
        <v/>
      </c>
      <c r="U518" s="258" t="str">
        <f>IF('Dry_Litterbag Placem_Collection'!E79="","",'Dry_Litterbag Placem_Collection'!E79)</f>
        <v/>
      </c>
      <c r="V518" s="258" t="str">
        <f>IF('Dry_Litterbag Placem_Collection'!G79="","",'Dry_Litterbag Placem_Collection'!G79)</f>
        <v/>
      </c>
      <c r="W518" s="259" t="str">
        <f t="shared" si="40"/>
        <v/>
      </c>
      <c r="X518" s="257" t="str">
        <f t="shared" si="43"/>
        <v/>
      </c>
      <c r="Y518" s="257" t="str">
        <f t="shared" si="44"/>
        <v/>
      </c>
      <c r="Z518" s="261" t="str">
        <f>IFERROR(INDEX([3]Rainfall_Dry!$O$2:$O$217,MATCH(C518, [3]Rainfall_Dry!$A$2:$A$217,0)),"")</f>
        <v/>
      </c>
      <c r="AA518" s="250">
        <v>45.272914521112256</v>
      </c>
      <c r="AB518" s="250">
        <v>23.604531410916575</v>
      </c>
      <c r="AC518" s="250">
        <v>31.122554067971166</v>
      </c>
      <c r="AD518" s="251" t="s">
        <v>2654</v>
      </c>
      <c r="AE518" s="250">
        <v>6.0547560374568796</v>
      </c>
      <c r="AF518">
        <f>IF('WetLitterbags placem_collection'!AB79="","",'WetLitterbags placem_collection'!AB79)</f>
        <v>3.1</v>
      </c>
      <c r="AG518">
        <f>IF('WetLitterbags placem_collection'!Z79="","",'WetLitterbags placem_collection'!Z79)</f>
        <v>9.8000000000000007</v>
      </c>
      <c r="AH518" s="236" t="str">
        <f>IF('WetLitterbags placem_collection'!AA79="","",'WetLitterbags placem_collection'!AA79)</f>
        <v>O</v>
      </c>
      <c r="AI518">
        <f>IF('WetLitterbags placem_collection'!AC79="","",'WetLitterbags placem_collection'!AC79)</f>
        <v>1</v>
      </c>
      <c r="AJ518" t="str">
        <f>IFERROR(AVERAGE('Dry_Litterbag Placem_Collection'!O79,'Dry_Litterbag Placem_Collection'!R79),"")</f>
        <v/>
      </c>
      <c r="AK518" s="261" t="str">
        <f>IFERROR(AVERAGE('Dry_Litterbag Placem_Collection'!N79,'Dry_Litterbag Placem_Collection'!Q79),"")</f>
        <v/>
      </c>
      <c r="AL518" s="260">
        <f>INDEX([2]Coordinates!$B$2:$B$197,MATCH(I518,[2]Coordinates!$J$2:$J$197,0))</f>
        <v>-3.3023280279999998</v>
      </c>
      <c r="AM518" s="260">
        <f>INDEX([2]Coordinates!$C$2:$C$197,MATCH(I518,[2]Coordinates!$J$2:$J$197,0))</f>
        <v>34.848223019999999</v>
      </c>
      <c r="AN518" s="260" t="str">
        <f>IF(ISNUMBER(SEARCH("C", 'Dry_Litterbag Placem_Collection'!U79)),"YES","NO")</f>
        <v>NO</v>
      </c>
      <c r="AO518" s="260" t="str">
        <f>IF(ISNUMBER(SEARCH("H", 'Dry_Litterbag Placem_Collection'!U79)),"YES","NO")</f>
        <v>NO</v>
      </c>
      <c r="AP518" s="260" t="str">
        <f>IF(ISNUMBER(SEARCH("R", 'Dry_Litterbag Placem_Collection'!U79)),"YES","NO")</f>
        <v>NO</v>
      </c>
    </row>
    <row r="519" spans="1:42" ht="15" customHeight="1">
      <c r="A519" t="s">
        <v>3248</v>
      </c>
      <c r="B519" s="252" t="s">
        <v>2643</v>
      </c>
      <c r="C519" s="253">
        <f>'Dry_Litterbag Placem_Collection'!A80</f>
        <v>78</v>
      </c>
      <c r="D519" s="253" t="str">
        <f>'Dry_Litterbag Placem_Collection'!B80</f>
        <v>Maswa</v>
      </c>
      <c r="E519" s="253" t="s">
        <v>2643</v>
      </c>
      <c r="F519" s="253" t="s">
        <v>2645</v>
      </c>
      <c r="G519" s="253">
        <v>2</v>
      </c>
      <c r="H519" s="253" t="s">
        <v>3113</v>
      </c>
      <c r="I519" s="254" t="str">
        <f>'Dry_Litterbag Placem_Collection'!C80</f>
        <v>Dry_W2_T6</v>
      </c>
      <c r="J519" s="263" t="s">
        <v>2932</v>
      </c>
      <c r="K519" s="256" t="s">
        <v>1147</v>
      </c>
      <c r="L519" s="253" t="str">
        <f>IF(ISBLANK('Dry_Litterbag Placem_Collection'!L80),"","G"&amp;""&amp;'Dry_Litterbag Placem_Collection'!L80)</f>
        <v>G157</v>
      </c>
      <c r="M519" s="257">
        <f>IFERROR(INDEX('Green_rooibos initial weight'!$C$5:$C$2000,MATCH(L519, 'Green_rooibos initial weight'!$A$5:$A$2000,0)),"")</f>
        <v>1.994</v>
      </c>
      <c r="N519" s="257">
        <f>IFERROR(M519-(TBIcalc!$Q$9+TBIcalc!$Q$10),"")</f>
        <v>1.7442</v>
      </c>
      <c r="O519" s="378">
        <f>AVERAGE(Ashed_controlls!$K$2:$K$11)</f>
        <v>5.5147656768714146</v>
      </c>
      <c r="P519" s="257">
        <f t="shared" si="41"/>
        <v>1.6480114570640088</v>
      </c>
      <c r="Q519" s="257">
        <f>IFERROR(INDEX('Both teabags AfterDry'!$D$2:$D$2000,MATCH(L519,'Both teabags AfterDry'!$A$2:$A$2000,0)),"")</f>
        <v>1.8103</v>
      </c>
      <c r="R519" s="257">
        <f>IFERROR(IF(Q519&gt;0,Q519-(TBIcalc!$Q$9),""),"")</f>
        <v>1.6597</v>
      </c>
      <c r="S519" s="268">
        <f>IFERROR(INDEX('Ashed teabags dry'!$K$2:$K$2000,MATCH(L519,'Ashed teabags dry'!$A$2:$A$2000,0)),"")</f>
        <v>6.3027295285366076</v>
      </c>
      <c r="T519" s="268">
        <f t="shared" si="42"/>
        <v>1.5550935980148779</v>
      </c>
      <c r="U519" s="258">
        <f>IF('Dry_Litterbag Placem_Collection'!E80="","",'Dry_Litterbag Placem_Collection'!E80)</f>
        <v>42937</v>
      </c>
      <c r="V519" s="258">
        <f>IF('Dry_Litterbag Placem_Collection'!G80="","",'Dry_Litterbag Placem_Collection'!G80)</f>
        <v>43006</v>
      </c>
      <c r="W519" s="259">
        <f t="shared" si="40"/>
        <v>69</v>
      </c>
      <c r="X519" s="257">
        <f t="shared" si="43"/>
        <v>8.450000000000002E-2</v>
      </c>
      <c r="Y519" s="257">
        <f t="shared" si="44"/>
        <v>9.2917859049130858E-2</v>
      </c>
      <c r="Z519" s="261">
        <f>IFERROR(INDEX([3]Rainfall_Dry!$O$2:$O$217,MATCH(C519, [3]Rainfall_Dry!$A$2:$A$217,0)),"")</f>
        <v>6.900000125</v>
      </c>
      <c r="AA519" s="250">
        <v>45.272914521112256</v>
      </c>
      <c r="AB519" s="250">
        <v>23.604531410916575</v>
      </c>
      <c r="AC519" s="250">
        <v>31.122554067971166</v>
      </c>
      <c r="AD519" s="251" t="s">
        <v>2654</v>
      </c>
      <c r="AE519" s="250">
        <v>7.0547560374568796</v>
      </c>
      <c r="AF519">
        <f>IF('WetLitterbags placem_collection'!AB80="","",'WetLitterbags placem_collection'!AB80)</f>
        <v>10.4</v>
      </c>
      <c r="AG519">
        <f>IF('WetLitterbags placem_collection'!Z80="","",'WetLitterbags placem_collection'!Z80)</f>
        <v>15.4</v>
      </c>
      <c r="AH519" s="236" t="str">
        <f>IF('WetLitterbags placem_collection'!AA80="","",'WetLitterbags placem_collection'!AA80)</f>
        <v>M</v>
      </c>
      <c r="AI519">
        <f>IF('WetLitterbags placem_collection'!AC80="","",'WetLitterbags placem_collection'!AC80)</f>
        <v>1</v>
      </c>
      <c r="AJ519">
        <f>IFERROR(AVERAGE('Dry_Litterbag Placem_Collection'!O80,'Dry_Litterbag Placem_Collection'!R80),"")</f>
        <v>11.149999999999999</v>
      </c>
      <c r="AK519" s="261">
        <f>IFERROR(AVERAGE('Dry_Litterbag Placem_Collection'!N80,'Dry_Litterbag Placem_Collection'!Q80),"")</f>
        <v>28.35</v>
      </c>
      <c r="AL519" s="260">
        <f>INDEX([2]Coordinates!$B$2:$B$197,MATCH(I519,[2]Coordinates!$J$2:$J$197,0))</f>
        <v>-3.3025680020000001</v>
      </c>
      <c r="AM519" s="260">
        <f>INDEX([2]Coordinates!$C$2:$C$197,MATCH(I519,[2]Coordinates!$J$2:$J$197,0))</f>
        <v>34.848167029999999</v>
      </c>
      <c r="AN519" s="260" t="str">
        <f>IF(ISNUMBER(SEARCH("C", 'Dry_Litterbag Placem_Collection'!U80)),"YES","NO")</f>
        <v>NO</v>
      </c>
      <c r="AO519" s="260" t="str">
        <f>IF(ISNUMBER(SEARCH("H", 'Dry_Litterbag Placem_Collection'!U80)),"YES","NO")</f>
        <v>NO</v>
      </c>
      <c r="AP519" s="260" t="str">
        <f>IF(ISNUMBER(SEARCH("R", 'Dry_Litterbag Placem_Collection'!U80)),"YES","NO")</f>
        <v>NO</v>
      </c>
    </row>
    <row r="520" spans="1:42" ht="15" customHeight="1">
      <c r="A520" t="s">
        <v>3248</v>
      </c>
      <c r="B520" s="252" t="s">
        <v>2643</v>
      </c>
      <c r="C520" s="253">
        <f>'Dry_Litterbag Placem_Collection'!A81</f>
        <v>79</v>
      </c>
      <c r="D520" s="253" t="str">
        <f>'Dry_Litterbag Placem_Collection'!B81</f>
        <v>Maswa</v>
      </c>
      <c r="E520" s="253" t="s">
        <v>2643</v>
      </c>
      <c r="F520" s="253" t="s">
        <v>2645</v>
      </c>
      <c r="G520" s="253">
        <v>2</v>
      </c>
      <c r="H520" s="253" t="s">
        <v>3113</v>
      </c>
      <c r="I520" s="254" t="str">
        <f>'Dry_Litterbag Placem_Collection'!C81</f>
        <v>Dry_W2_T7</v>
      </c>
      <c r="J520" s="263" t="s">
        <v>2932</v>
      </c>
      <c r="K520" s="256" t="s">
        <v>1147</v>
      </c>
      <c r="L520" s="253" t="str">
        <f>IF(ISBLANK('Dry_Litterbag Placem_Collection'!L81),"","G"&amp;""&amp;'Dry_Litterbag Placem_Collection'!L81)</f>
        <v>G226</v>
      </c>
      <c r="M520" s="257">
        <f>IFERROR(INDEX('Green_rooibos initial weight'!$C$5:$C$2000,MATCH(L520, 'Green_rooibos initial weight'!$A$5:$A$2000,0)),"")</f>
        <v>1.929</v>
      </c>
      <c r="N520" s="257">
        <f>IFERROR(M520-(TBIcalc!$Q$9+TBIcalc!$Q$10),"")</f>
        <v>1.6792</v>
      </c>
      <c r="O520" s="378">
        <f>AVERAGE(Ashed_controlls!$K$2:$K$11)</f>
        <v>5.5147656768714146</v>
      </c>
      <c r="P520" s="257">
        <f t="shared" si="41"/>
        <v>1.5865960547539752</v>
      </c>
      <c r="Q520" s="257">
        <f>IFERROR(INDEX('Both teabags AfterDry'!$D$2:$D$2000,MATCH(L520,'Both teabags AfterDry'!$A$2:$A$2000,0)),"")</f>
        <v>1.7826</v>
      </c>
      <c r="R520" s="257">
        <f>IFERROR(IF(Q520&gt;0,Q520-(TBIcalc!$Q$9),""),"")</f>
        <v>1.6319999999999999</v>
      </c>
      <c r="S520" s="268">
        <f>IFERROR(INDEX('Ashed teabags dry'!$K$2:$K$2000,MATCH(L520,'Ashed teabags dry'!$A$2:$A$2000,0)),"")</f>
        <v>5.6047197640117146</v>
      </c>
      <c r="T520" s="268">
        <f t="shared" si="42"/>
        <v>1.5405309734513288</v>
      </c>
      <c r="U520" s="258">
        <f>IF('Dry_Litterbag Placem_Collection'!E81="","",'Dry_Litterbag Placem_Collection'!E81)</f>
        <v>42937</v>
      </c>
      <c r="V520" s="258">
        <f>IF('Dry_Litterbag Placem_Collection'!G81="","",'Dry_Litterbag Placem_Collection'!G81)</f>
        <v>43006</v>
      </c>
      <c r="W520" s="259">
        <f t="shared" si="40"/>
        <v>69</v>
      </c>
      <c r="X520" s="257">
        <f t="shared" si="43"/>
        <v>4.7200000000000131E-2</v>
      </c>
      <c r="Y520" s="257">
        <f t="shared" si="44"/>
        <v>4.6065081302646416E-2</v>
      </c>
      <c r="Z520" s="261">
        <f>IFERROR(INDEX([3]Rainfall_Dry!$O$2:$O$217,MATCH(C520, [3]Rainfall_Dry!$A$2:$A$217,0)),"")</f>
        <v>6.900000125</v>
      </c>
      <c r="AA520" s="250">
        <v>45.272914521112256</v>
      </c>
      <c r="AB520" s="250">
        <v>23.604531410916575</v>
      </c>
      <c r="AC520" s="250">
        <v>31.122554067971166</v>
      </c>
      <c r="AD520" s="251" t="s">
        <v>2654</v>
      </c>
      <c r="AE520" s="250">
        <v>8.0547560374568796</v>
      </c>
      <c r="AF520">
        <f>IF('WetLitterbags placem_collection'!AB81="","",'WetLitterbags placem_collection'!AB81)</f>
        <v>3</v>
      </c>
      <c r="AG520">
        <f>IF('WetLitterbags placem_collection'!Z81="","",'WetLitterbags placem_collection'!Z81)</f>
        <v>5</v>
      </c>
      <c r="AH520" s="236" t="str">
        <f>IF('WetLitterbags placem_collection'!AA81="","",'WetLitterbags placem_collection'!AA81)</f>
        <v>G</v>
      </c>
      <c r="AI520">
        <f>IF('WetLitterbags placem_collection'!AC81="","",'WetLitterbags placem_collection'!AC81)</f>
        <v>1</v>
      </c>
      <c r="AJ520">
        <f>IFERROR(AVERAGE('Dry_Litterbag Placem_Collection'!O81,'Dry_Litterbag Placem_Collection'!R81),"")</f>
        <v>9.1999999999999993</v>
      </c>
      <c r="AK520" s="261">
        <f>IFERROR(AVERAGE('Dry_Litterbag Placem_Collection'!N81,'Dry_Litterbag Placem_Collection'!Q81),"")</f>
        <v>26.25</v>
      </c>
      <c r="AL520" s="260">
        <f>INDEX([2]Coordinates!$B$2:$B$197,MATCH(I520,[2]Coordinates!$J$2:$J$197,0))</f>
        <v>-3.3026270100000001</v>
      </c>
      <c r="AM520" s="260">
        <f>INDEX([2]Coordinates!$C$2:$C$197,MATCH(I520,[2]Coordinates!$J$2:$J$197,0))</f>
        <v>34.84840801</v>
      </c>
      <c r="AN520" s="260" t="str">
        <f>IF(ISNUMBER(SEARCH("C", 'Dry_Litterbag Placem_Collection'!U81)),"YES","NO")</f>
        <v>NO</v>
      </c>
      <c r="AO520" s="260" t="str">
        <f>IF(ISNUMBER(SEARCH("H", 'Dry_Litterbag Placem_Collection'!U81)),"YES","NO")</f>
        <v>NO</v>
      </c>
      <c r="AP520" s="260" t="str">
        <f>IF(ISNUMBER(SEARCH("R", 'Dry_Litterbag Placem_Collection'!U81)),"YES","NO")</f>
        <v>NO</v>
      </c>
    </row>
    <row r="521" spans="1:42" ht="15" customHeight="1">
      <c r="A521" t="s">
        <v>3248</v>
      </c>
      <c r="B521" s="252" t="s">
        <v>2643</v>
      </c>
      <c r="C521" s="253">
        <f>'Dry_Litterbag Placem_Collection'!A82</f>
        <v>80</v>
      </c>
      <c r="D521" s="253" t="str">
        <f>'Dry_Litterbag Placem_Collection'!B82</f>
        <v>Maswa</v>
      </c>
      <c r="E521" s="253" t="s">
        <v>2643</v>
      </c>
      <c r="F521" s="253" t="s">
        <v>2645</v>
      </c>
      <c r="G521" s="253">
        <v>2</v>
      </c>
      <c r="H521" s="253" t="s">
        <v>3113</v>
      </c>
      <c r="I521" s="254" t="str">
        <f>'Dry_Litterbag Placem_Collection'!C82</f>
        <v>Dry_W2_T8</v>
      </c>
      <c r="J521" s="263" t="s">
        <v>2932</v>
      </c>
      <c r="K521" s="256" t="s">
        <v>1147</v>
      </c>
      <c r="L521" s="253" t="str">
        <f>IF(ISBLANK('Dry_Litterbag Placem_Collection'!L82),"","G"&amp;""&amp;'Dry_Litterbag Placem_Collection'!L82)</f>
        <v>G855</v>
      </c>
      <c r="M521" s="257">
        <f>IFERROR(INDEX('Green_rooibos initial weight'!$C$5:$C$2000,MATCH(L521, 'Green_rooibos initial weight'!$A$5:$A$2000,0)),"")</f>
        <v>1.9570000000000001</v>
      </c>
      <c r="N521" s="257">
        <f>IFERROR(M521-(TBIcalc!$Q$9+TBIcalc!$Q$10),"")</f>
        <v>1.7072000000000001</v>
      </c>
      <c r="O521" s="378">
        <f>AVERAGE(Ashed_controlls!$K$2:$K$11)</f>
        <v>5.5147656768714146</v>
      </c>
      <c r="P521" s="257">
        <f t="shared" si="41"/>
        <v>1.6130519203644513</v>
      </c>
      <c r="Q521" s="257">
        <f>IFERROR(INDEX('Both teabags AfterDry'!$D$2:$D$2000,MATCH(L521,'Both teabags AfterDry'!$A$2:$A$2000,0)),"")</f>
        <v>1.7664</v>
      </c>
      <c r="R521" s="257">
        <f>IFERROR(IF(Q521&gt;0,Q521-(TBIcalc!$Q$9),""),"")</f>
        <v>1.6157999999999999</v>
      </c>
      <c r="S521" s="268">
        <f>IFERROR(INDEX('Ashed teabags dry'!$K$2:$K$2000,MATCH(L521,'Ashed teabags dry'!$A$2:$A$2000,0)),"")</f>
        <v>6.0306475531388282</v>
      </c>
      <c r="T521" s="268">
        <f t="shared" si="42"/>
        <v>1.5183567968363827</v>
      </c>
      <c r="U521" s="258">
        <f>IF('Dry_Litterbag Placem_Collection'!E82="","",'Dry_Litterbag Placem_Collection'!E82)</f>
        <v>42937</v>
      </c>
      <c r="V521" s="258">
        <f>IF('Dry_Litterbag Placem_Collection'!G82="","",'Dry_Litterbag Placem_Collection'!G82)</f>
        <v>43006</v>
      </c>
      <c r="W521" s="259">
        <f t="shared" si="40"/>
        <v>69</v>
      </c>
      <c r="X521" s="257">
        <f t="shared" si="43"/>
        <v>9.1400000000000148E-2</v>
      </c>
      <c r="Y521" s="257">
        <f t="shared" si="44"/>
        <v>9.4695123528068637E-2</v>
      </c>
      <c r="Z521" s="261">
        <f>IFERROR(INDEX([3]Rainfall_Dry!$O$2:$O$217,MATCH(C521, [3]Rainfall_Dry!$A$2:$A$217,0)),"")</f>
        <v>6.900000125</v>
      </c>
      <c r="AA521" s="250">
        <v>45.272914521112256</v>
      </c>
      <c r="AB521" s="250">
        <v>23.604531410916575</v>
      </c>
      <c r="AC521" s="250">
        <v>31.122554067971166</v>
      </c>
      <c r="AD521" s="251" t="s">
        <v>2654</v>
      </c>
      <c r="AE521" s="250">
        <v>9.0547560374568796</v>
      </c>
      <c r="AF521">
        <f>IF('WetLitterbags placem_collection'!AB82="","",'WetLitterbags placem_collection'!AB82)</f>
        <v>2.7</v>
      </c>
      <c r="AG521">
        <f>IF('WetLitterbags placem_collection'!Z82="","",'WetLitterbags placem_collection'!Z82)</f>
        <v>12.4</v>
      </c>
      <c r="AH521" s="236" t="str">
        <f>IF('WetLitterbags placem_collection'!AA82="","",'WetLitterbags placem_collection'!AA82)</f>
        <v>O</v>
      </c>
      <c r="AI521">
        <f>IF('WetLitterbags placem_collection'!AC82="","",'WetLitterbags placem_collection'!AC82)</f>
        <v>1</v>
      </c>
      <c r="AJ521">
        <f>IFERROR(AVERAGE('Dry_Litterbag Placem_Collection'!O82,'Dry_Litterbag Placem_Collection'!R82),"")</f>
        <v>11.75</v>
      </c>
      <c r="AK521" s="261">
        <f>IFERROR(AVERAGE('Dry_Litterbag Placem_Collection'!N82,'Dry_Litterbag Placem_Collection'!Q82),"")</f>
        <v>27.7</v>
      </c>
      <c r="AL521" s="260">
        <f>INDEX([2]Coordinates!$B$2:$B$197,MATCH(I521,[2]Coordinates!$J$2:$J$197,0))</f>
        <v>-3.3028539920000002</v>
      </c>
      <c r="AM521" s="260">
        <f>INDEX([2]Coordinates!$C$2:$C$197,MATCH(I521,[2]Coordinates!$J$2:$J$197,0))</f>
        <v>34.847988999999998</v>
      </c>
      <c r="AN521" s="260" t="str">
        <f>IF(ISNUMBER(SEARCH("C", 'Dry_Litterbag Placem_Collection'!U82)),"YES","NO")</f>
        <v>NO</v>
      </c>
      <c r="AO521" s="260" t="str">
        <f>IF(ISNUMBER(SEARCH("H", 'Dry_Litterbag Placem_Collection'!U82)),"YES","NO")</f>
        <v>NO</v>
      </c>
      <c r="AP521" s="260" t="str">
        <f>IF(ISNUMBER(SEARCH("R", 'Dry_Litterbag Placem_Collection'!U82)),"YES","NO")</f>
        <v>NO</v>
      </c>
    </row>
    <row r="522" spans="1:42" ht="15" customHeight="1">
      <c r="A522" t="s">
        <v>3248</v>
      </c>
      <c r="B522" s="252" t="s">
        <v>2643</v>
      </c>
      <c r="C522" s="253">
        <f>'Dry_Litterbag Placem_Collection'!A83</f>
        <v>81</v>
      </c>
      <c r="D522" s="253" t="str">
        <f>'Dry_Litterbag Placem_Collection'!B83</f>
        <v>Maswa</v>
      </c>
      <c r="E522" s="253" t="s">
        <v>2643</v>
      </c>
      <c r="F522" s="253" t="s">
        <v>2645</v>
      </c>
      <c r="G522" s="253">
        <v>3</v>
      </c>
      <c r="H522" s="253" t="s">
        <v>3114</v>
      </c>
      <c r="I522" s="254" t="str">
        <f>'Dry_Litterbag Placem_Collection'!C83</f>
        <v>Dry_W3_T1</v>
      </c>
      <c r="J522" s="263" t="s">
        <v>2932</v>
      </c>
      <c r="K522" s="256" t="s">
        <v>1147</v>
      </c>
      <c r="L522" s="253" t="str">
        <f>IF(ISBLANK('Dry_Litterbag Placem_Collection'!L83),"","G"&amp;""&amp;'Dry_Litterbag Placem_Collection'!L83)</f>
        <v>G413</v>
      </c>
      <c r="M522" s="257">
        <f>IFERROR(INDEX('Green_rooibos initial weight'!$C$5:$C$2000,MATCH(L522, 'Green_rooibos initial weight'!$A$5:$A$2000,0)),"")</f>
        <v>2.1589999999999998</v>
      </c>
      <c r="N522" s="257">
        <f>IFERROR(M522-(TBIcalc!$Q$9+TBIcalc!$Q$10),"")</f>
        <v>1.9091999999999998</v>
      </c>
      <c r="O522" s="378">
        <f>AVERAGE(Ashed_controlls!$K$2:$K$11)</f>
        <v>5.5147656768714146</v>
      </c>
      <c r="P522" s="257">
        <f t="shared" si="41"/>
        <v>1.8039120936971709</v>
      </c>
      <c r="Q522" s="257">
        <f>IFERROR(INDEX('Both teabags AfterDry'!$D$2:$D$2000,MATCH(L522,'Both teabags AfterDry'!$A$2:$A$2000,0)),"")</f>
        <v>1.9466000000000001</v>
      </c>
      <c r="R522" s="257">
        <f>IFERROR(IF(Q522&gt;0,Q522-(TBIcalc!$Q$9),""),"")</f>
        <v>1.796</v>
      </c>
      <c r="S522" s="268">
        <f>IFERROR(INDEX('Ashed teabags dry'!$K$2:$K$2000,MATCH(L522,'Ashed teabags dry'!$A$2:$A$2000,0)),"")</f>
        <v>5.3246753246752787</v>
      </c>
      <c r="T522" s="268">
        <f t="shared" si="42"/>
        <v>1.7003688311688321</v>
      </c>
      <c r="U522" s="258">
        <f>IF('Dry_Litterbag Placem_Collection'!E83="","",'Dry_Litterbag Placem_Collection'!E83)</f>
        <v>42937</v>
      </c>
      <c r="V522" s="258">
        <f>IF('Dry_Litterbag Placem_Collection'!G83="","",'Dry_Litterbag Placem_Collection'!G83)</f>
        <v>43006</v>
      </c>
      <c r="W522" s="259">
        <f t="shared" si="40"/>
        <v>69</v>
      </c>
      <c r="X522" s="257">
        <f t="shared" si="43"/>
        <v>0.11319999999999975</v>
      </c>
      <c r="Y522" s="257">
        <f t="shared" si="44"/>
        <v>0.10354326252833879</v>
      </c>
      <c r="Z522" s="261">
        <f>IFERROR(INDEX([3]Rainfall_Dry!$O$2:$O$217,MATCH(C522, [3]Rainfall_Dry!$A$2:$A$217,0)),"")</f>
        <v>12.563016860999999</v>
      </c>
      <c r="AA522" s="250">
        <v>38.691629007962128</v>
      </c>
      <c r="AB522" s="250">
        <v>26.81299763288143</v>
      </c>
      <c r="AC522" s="250">
        <v>34.495373359156439</v>
      </c>
      <c r="AD522" s="251" t="s">
        <v>2656</v>
      </c>
      <c r="AE522" s="250">
        <v>2.5483587974371611</v>
      </c>
      <c r="AF522">
        <f>IF('WetLitterbags placem_collection'!AB83="","",'WetLitterbags placem_collection'!AB83)</f>
        <v>6.2</v>
      </c>
      <c r="AG522">
        <f>IF('WetLitterbags placem_collection'!Z83="","",'WetLitterbags placem_collection'!Z83)</f>
        <v>13.3</v>
      </c>
      <c r="AH522" s="236" t="str">
        <f>IF('WetLitterbags placem_collection'!AA83="","",'WetLitterbags placem_collection'!AA83)</f>
        <v>O</v>
      </c>
      <c r="AI522">
        <f>IF('WetLitterbags placem_collection'!AC83="","",'WetLitterbags placem_collection'!AC83)</f>
        <v>0</v>
      </c>
      <c r="AJ522">
        <f>IFERROR(AVERAGE('Dry_Litterbag Placem_Collection'!O83,'Dry_Litterbag Placem_Collection'!R83),"")</f>
        <v>11.850000000000001</v>
      </c>
      <c r="AK522" s="261">
        <f>IFERROR(AVERAGE('Dry_Litterbag Placem_Collection'!N83,'Dry_Litterbag Placem_Collection'!Q83),"")</f>
        <v>26.35</v>
      </c>
      <c r="AL522" s="260">
        <f>INDEX([2]Coordinates!$B$2:$B$197,MATCH(I522,[2]Coordinates!$J$2:$J$197,0))</f>
        <v>-3.2957159630000001</v>
      </c>
      <c r="AM522" s="260">
        <f>INDEX([2]Coordinates!$C$2:$C$197,MATCH(I522,[2]Coordinates!$J$2:$J$197,0))</f>
        <v>34.852460999999998</v>
      </c>
      <c r="AN522" s="260" t="str">
        <f>IF(ISNUMBER(SEARCH("C", 'Dry_Litterbag Placem_Collection'!U83)),"YES","NO")</f>
        <v>NO</v>
      </c>
      <c r="AO522" s="260" t="str">
        <f>IF(ISNUMBER(SEARCH("H", 'Dry_Litterbag Placem_Collection'!U83)),"YES","NO")</f>
        <v>NO</v>
      </c>
      <c r="AP522" s="260" t="str">
        <f>IF(ISNUMBER(SEARCH("R", 'Dry_Litterbag Placem_Collection'!U83)),"YES","NO")</f>
        <v>NO</v>
      </c>
    </row>
    <row r="523" spans="1:42" ht="15" customHeight="1">
      <c r="A523" t="s">
        <v>3248</v>
      </c>
      <c r="B523" s="252" t="s">
        <v>2643</v>
      </c>
      <c r="C523" s="253">
        <f>'Dry_Litterbag Placem_Collection'!A84</f>
        <v>82</v>
      </c>
      <c r="D523" s="253" t="str">
        <f>'Dry_Litterbag Placem_Collection'!B84</f>
        <v>Maswa</v>
      </c>
      <c r="E523" s="253" t="s">
        <v>2643</v>
      </c>
      <c r="F523" s="253" t="s">
        <v>2645</v>
      </c>
      <c r="G523" s="253">
        <v>3</v>
      </c>
      <c r="H523" s="253" t="s">
        <v>3114</v>
      </c>
      <c r="I523" s="254" t="str">
        <f>'Dry_Litterbag Placem_Collection'!C84</f>
        <v>Dry_W3_T2</v>
      </c>
      <c r="J523" s="263" t="s">
        <v>2932</v>
      </c>
      <c r="K523" s="256" t="s">
        <v>1147</v>
      </c>
      <c r="L523" s="253" t="str">
        <f>IF(ISBLANK('Dry_Litterbag Placem_Collection'!L84),"","G"&amp;""&amp;'Dry_Litterbag Placem_Collection'!L84)</f>
        <v>G370</v>
      </c>
      <c r="M523" s="257">
        <f>IFERROR(INDEX('Green_rooibos initial weight'!$C$5:$C$2000,MATCH(L523, 'Green_rooibos initial weight'!$A$5:$A$2000,0)),"")</f>
        <v>2.0619999999999998</v>
      </c>
      <c r="N523" s="257">
        <f>IFERROR(M523-(TBIcalc!$Q$9+TBIcalc!$Q$10),"")</f>
        <v>1.8121999999999998</v>
      </c>
      <c r="O523" s="378">
        <f>AVERAGE(Ashed_controlls!$K$2:$K$11)</f>
        <v>5.5147656768714146</v>
      </c>
      <c r="P523" s="257">
        <f t="shared" si="41"/>
        <v>1.712261416403736</v>
      </c>
      <c r="Q523" s="257">
        <f>IFERROR(INDEX('Both teabags AfterDry'!$D$2:$D$2000,MATCH(L523,'Both teabags AfterDry'!$A$2:$A$2000,0)),"")</f>
        <v>1.8433999999999999</v>
      </c>
      <c r="R523" s="257">
        <f>IFERROR(IF(Q523&gt;0,Q523-(TBIcalc!$Q$9),""),"")</f>
        <v>1.6927999999999999</v>
      </c>
      <c r="S523" s="268">
        <f>IFERROR(INDEX('Ashed teabags dry'!$K$2:$K$2000,MATCH(L523,'Ashed teabags dry'!$A$2:$A$2000,0)),"")</f>
        <v>5.4829185997469585</v>
      </c>
      <c r="T523" s="268">
        <f t="shared" si="42"/>
        <v>1.5999851539434833</v>
      </c>
      <c r="U523" s="258">
        <f>IF('Dry_Litterbag Placem_Collection'!E84="","",'Dry_Litterbag Placem_Collection'!E84)</f>
        <v>42937</v>
      </c>
      <c r="V523" s="258">
        <f>IF('Dry_Litterbag Placem_Collection'!G84="","",'Dry_Litterbag Placem_Collection'!G84)</f>
        <v>43006</v>
      </c>
      <c r="W523" s="259">
        <f t="shared" si="40"/>
        <v>69</v>
      </c>
      <c r="X523" s="257">
        <f t="shared" si="43"/>
        <v>0.11939999999999995</v>
      </c>
      <c r="Y523" s="257">
        <f t="shared" si="44"/>
        <v>0.11227626246025268</v>
      </c>
      <c r="Z523" s="261">
        <f>IFERROR(INDEX([3]Rainfall_Dry!$O$2:$O$217,MATCH(C523, [3]Rainfall_Dry!$A$2:$A$217,0)),"")</f>
        <v>12.563016860999999</v>
      </c>
      <c r="AA523" s="250">
        <v>38.691629007962128</v>
      </c>
      <c r="AB523" s="250">
        <v>26.81299763288143</v>
      </c>
      <c r="AC523" s="250">
        <v>34.495373359156439</v>
      </c>
      <c r="AD523" s="251" t="s">
        <v>2656</v>
      </c>
      <c r="AE523" s="250">
        <v>3.5483587974371602</v>
      </c>
      <c r="AF523">
        <f>IF('WetLitterbags placem_collection'!AB84="","",'WetLitterbags placem_collection'!AB84)</f>
        <v>2.4</v>
      </c>
      <c r="AG523">
        <f>IF('WetLitterbags placem_collection'!Z84="","",'WetLitterbags placem_collection'!Z84)</f>
        <v>16.600000000000001</v>
      </c>
      <c r="AH523" s="236" t="str">
        <f>IF('WetLitterbags placem_collection'!AA84="","",'WetLitterbags placem_collection'!AA84)</f>
        <v>O</v>
      </c>
      <c r="AI523" t="str">
        <f>IF('WetLitterbags placem_collection'!AC84="","",'WetLitterbags placem_collection'!AC84)</f>
        <v/>
      </c>
      <c r="AJ523">
        <f>IFERROR(AVERAGE('Dry_Litterbag Placem_Collection'!O84,'Dry_Litterbag Placem_Collection'!R84),"")</f>
        <v>9.9499999999999993</v>
      </c>
      <c r="AK523" s="261">
        <f>IFERROR(AVERAGE('Dry_Litterbag Placem_Collection'!N84,'Dry_Litterbag Placem_Collection'!Q84),"")</f>
        <v>25.5</v>
      </c>
      <c r="AL523" s="260">
        <f>INDEX([2]Coordinates!$B$2:$B$197,MATCH(I523,[2]Coordinates!$J$2:$J$197,0))</f>
        <v>-3.2957230040000001</v>
      </c>
      <c r="AM523" s="260">
        <f>INDEX([2]Coordinates!$C$2:$C$197,MATCH(I523,[2]Coordinates!$J$2:$J$197,0))</f>
        <v>34.852416990000002</v>
      </c>
      <c r="AN523" s="260" t="str">
        <f>IF(ISNUMBER(SEARCH("C", 'Dry_Litterbag Placem_Collection'!U84)),"YES","NO")</f>
        <v>NO</v>
      </c>
      <c r="AO523" s="260" t="str">
        <f>IF(ISNUMBER(SEARCH("H", 'Dry_Litterbag Placem_Collection'!U84)),"YES","NO")</f>
        <v>NO</v>
      </c>
      <c r="AP523" s="260" t="str">
        <f>IF(ISNUMBER(SEARCH("R", 'Dry_Litterbag Placem_Collection'!U84)),"YES","NO")</f>
        <v>NO</v>
      </c>
    </row>
    <row r="524" spans="1:42" ht="15" customHeight="1">
      <c r="A524" t="s">
        <v>3248</v>
      </c>
      <c r="B524" s="252" t="s">
        <v>2643</v>
      </c>
      <c r="C524" s="253">
        <f>'Dry_Litterbag Placem_Collection'!A85</f>
        <v>83</v>
      </c>
      <c r="D524" s="253" t="str">
        <f>'Dry_Litterbag Placem_Collection'!B85</f>
        <v>Maswa</v>
      </c>
      <c r="E524" s="253" t="s">
        <v>2643</v>
      </c>
      <c r="F524" s="253" t="s">
        <v>2645</v>
      </c>
      <c r="G524" s="253">
        <v>3</v>
      </c>
      <c r="H524" s="253" t="s">
        <v>3114</v>
      </c>
      <c r="I524" s="254" t="str">
        <f>'Dry_Litterbag Placem_Collection'!C85</f>
        <v>Dry_W3_T3</v>
      </c>
      <c r="J524" s="263" t="s">
        <v>2932</v>
      </c>
      <c r="K524" s="256" t="s">
        <v>1147</v>
      </c>
      <c r="L524" s="253" t="str">
        <f>IF(ISBLANK('Dry_Litterbag Placem_Collection'!L85),"","G"&amp;""&amp;'Dry_Litterbag Placem_Collection'!L85)</f>
        <v>G879</v>
      </c>
      <c r="M524" s="257">
        <f>IFERROR(INDEX('Green_rooibos initial weight'!$C$5:$C$2000,MATCH(L524, 'Green_rooibos initial weight'!$A$5:$A$2000,0)),"")</f>
        <v>2.09</v>
      </c>
      <c r="N524" s="257">
        <f>IFERROR(M524-(TBIcalc!$Q$9+TBIcalc!$Q$10),"")</f>
        <v>1.8401999999999998</v>
      </c>
      <c r="O524" s="378">
        <f>AVERAGE(Ashed_controlls!$K$2:$K$11)</f>
        <v>5.5147656768714146</v>
      </c>
      <c r="P524" s="257">
        <f t="shared" si="41"/>
        <v>1.7387172820142121</v>
      </c>
      <c r="Q524" s="257">
        <f>IFERROR(INDEX('Both teabags AfterDry'!$D$2:$D$2000,MATCH(L524,'Both teabags AfterDry'!$A$2:$A$2000,0)),"")</f>
        <v>1.8814</v>
      </c>
      <c r="R524" s="257">
        <f>IFERROR(IF(Q524&gt;0,Q524-(TBIcalc!$Q$9),""),"")</f>
        <v>1.7307999999999999</v>
      </c>
      <c r="S524" s="268">
        <f>IFERROR(INDEX('Ashed teabags dry'!$K$2:$K$2000,MATCH(L524,'Ashed teabags dry'!$A$2:$A$2000,0)),"")</f>
        <v>6.0018903591673709</v>
      </c>
      <c r="T524" s="268">
        <f t="shared" si="42"/>
        <v>1.6269192816635309</v>
      </c>
      <c r="U524" s="258">
        <f>IF('Dry_Litterbag Placem_Collection'!E85="","",'Dry_Litterbag Placem_Collection'!E85)</f>
        <v>42937</v>
      </c>
      <c r="V524" s="258">
        <f>IF('Dry_Litterbag Placem_Collection'!G85="","",'Dry_Litterbag Placem_Collection'!G85)</f>
        <v>43006</v>
      </c>
      <c r="W524" s="259">
        <f t="shared" si="40"/>
        <v>69</v>
      </c>
      <c r="X524" s="257">
        <f t="shared" si="43"/>
        <v>0.10939999999999994</v>
      </c>
      <c r="Y524" s="257">
        <f t="shared" si="44"/>
        <v>0.1117980003506811</v>
      </c>
      <c r="Z524" s="261">
        <f>IFERROR(INDEX([3]Rainfall_Dry!$O$2:$O$217,MATCH(C524, [3]Rainfall_Dry!$A$2:$A$217,0)),"")</f>
        <v>12.563016860999999</v>
      </c>
      <c r="AA524" s="250">
        <v>38.691629007962128</v>
      </c>
      <c r="AB524" s="250">
        <v>26.81299763288143</v>
      </c>
      <c r="AC524" s="250">
        <v>34.495373359156439</v>
      </c>
      <c r="AD524" s="251" t="s">
        <v>2656</v>
      </c>
      <c r="AE524" s="250">
        <v>4.5483587974371602</v>
      </c>
      <c r="AF524">
        <f>IF('WetLitterbags placem_collection'!AB85="","",'WetLitterbags placem_collection'!AB85)</f>
        <v>6.4</v>
      </c>
      <c r="AG524">
        <f>IF('WetLitterbags placem_collection'!Z85="","",'WetLitterbags placem_collection'!Z85)</f>
        <v>42</v>
      </c>
      <c r="AH524" s="236" t="str">
        <f>IF('WetLitterbags placem_collection'!AA85="","",'WetLitterbags placem_collection'!AA85)</f>
        <v>M</v>
      </c>
      <c r="AI524">
        <f>IF('WetLitterbags placem_collection'!AC85="","",'WetLitterbags placem_collection'!AC85)</f>
        <v>1</v>
      </c>
      <c r="AJ524">
        <f>IFERROR(AVERAGE('Dry_Litterbag Placem_Collection'!O85,'Dry_Litterbag Placem_Collection'!R85),"")</f>
        <v>10.050000000000001</v>
      </c>
      <c r="AK524" s="261">
        <f>IFERROR(AVERAGE('Dry_Litterbag Placem_Collection'!N85,'Dry_Litterbag Placem_Collection'!Q85),"")</f>
        <v>26.05</v>
      </c>
      <c r="AL524" s="260">
        <f>INDEX([2]Coordinates!$B$2:$B$197,MATCH(I524,[2]Coordinates!$J$2:$J$197,0))</f>
        <v>-3.2957430369999998</v>
      </c>
      <c r="AM524" s="260">
        <f>INDEX([2]Coordinates!$C$2:$C$197,MATCH(I524,[2]Coordinates!$J$2:$J$197,0))</f>
        <v>34.852309030000001</v>
      </c>
      <c r="AN524" s="260" t="str">
        <f>IF(ISNUMBER(SEARCH("C", 'Dry_Litterbag Placem_Collection'!U85)),"YES","NO")</f>
        <v>NO</v>
      </c>
      <c r="AO524" s="260" t="str">
        <f>IF(ISNUMBER(SEARCH("H", 'Dry_Litterbag Placem_Collection'!U85)),"YES","NO")</f>
        <v>NO</v>
      </c>
      <c r="AP524" s="260" t="str">
        <f>IF(ISNUMBER(SEARCH("R", 'Dry_Litterbag Placem_Collection'!U85)),"YES","NO")</f>
        <v>NO</v>
      </c>
    </row>
    <row r="525" spans="1:42" ht="15" customHeight="1">
      <c r="A525" t="s">
        <v>3248</v>
      </c>
      <c r="B525" s="252" t="s">
        <v>2643</v>
      </c>
      <c r="C525" s="253">
        <f>'Dry_Litterbag Placem_Collection'!A86</f>
        <v>84</v>
      </c>
      <c r="D525" s="253" t="str">
        <f>'Dry_Litterbag Placem_Collection'!B86</f>
        <v>Maswa</v>
      </c>
      <c r="E525" s="253" t="s">
        <v>2643</v>
      </c>
      <c r="F525" s="253" t="s">
        <v>2645</v>
      </c>
      <c r="G525" s="253">
        <v>3</v>
      </c>
      <c r="H525" s="253" t="s">
        <v>3114</v>
      </c>
      <c r="I525" s="254" t="str">
        <f>'Dry_Litterbag Placem_Collection'!C86</f>
        <v>Dry_W3_T4</v>
      </c>
      <c r="J525" s="263" t="s">
        <v>2932</v>
      </c>
      <c r="K525" s="256" t="s">
        <v>1147</v>
      </c>
      <c r="L525" s="253" t="str">
        <f>IF(ISBLANK('Dry_Litterbag Placem_Collection'!L86),"","G"&amp;""&amp;'Dry_Litterbag Placem_Collection'!L86)</f>
        <v>G854</v>
      </c>
      <c r="M525" s="257">
        <f>IFERROR(INDEX('Green_rooibos initial weight'!$C$5:$C$2000,MATCH(L525, 'Green_rooibos initial weight'!$A$5:$A$2000,0)),"")</f>
        <v>1.998</v>
      </c>
      <c r="N525" s="257">
        <f>IFERROR(M525-(TBIcalc!$Q$9+TBIcalc!$Q$10),"")</f>
        <v>1.7482</v>
      </c>
      <c r="O525" s="378">
        <f>AVERAGE(Ashed_controlls!$K$2:$K$11)</f>
        <v>5.5147656768714146</v>
      </c>
      <c r="P525" s="257">
        <f t="shared" si="41"/>
        <v>1.6517908664369338</v>
      </c>
      <c r="Q525" s="257">
        <f>IFERROR(INDEX('Both teabags AfterDry'!$D$2:$D$2000,MATCH(L525,'Both teabags AfterDry'!$A$2:$A$2000,0)),"")</f>
        <v>1.8062</v>
      </c>
      <c r="R525" s="257">
        <f>IFERROR(IF(Q525&gt;0,Q525-(TBIcalc!$Q$9),""),"")</f>
        <v>1.6556</v>
      </c>
      <c r="S525" s="268">
        <f>IFERROR(INDEX('Ashed teabags dry'!$K$2:$K$2000,MATCH(L525,'Ashed teabags dry'!$A$2:$A$2000,0)),"")</f>
        <v>6.7607003891055024</v>
      </c>
      <c r="T525" s="268">
        <f t="shared" si="42"/>
        <v>1.5436698443579693</v>
      </c>
      <c r="U525" s="258">
        <f>IF('Dry_Litterbag Placem_Collection'!E86="","",'Dry_Litterbag Placem_Collection'!E86)</f>
        <v>42937</v>
      </c>
      <c r="V525" s="258">
        <f>IF('Dry_Litterbag Placem_Collection'!G86="","",'Dry_Litterbag Placem_Collection'!G86)</f>
        <v>43006</v>
      </c>
      <c r="W525" s="259">
        <f t="shared" si="40"/>
        <v>69</v>
      </c>
      <c r="X525" s="257">
        <f t="shared" si="43"/>
        <v>9.2600000000000016E-2</v>
      </c>
      <c r="Y525" s="257">
        <f t="shared" si="44"/>
        <v>0.10812102207896457</v>
      </c>
      <c r="Z525" s="261">
        <f>IFERROR(INDEX([3]Rainfall_Dry!$O$2:$O$217,MATCH(C525, [3]Rainfall_Dry!$A$2:$A$217,0)),"")</f>
        <v>12.563016860999999</v>
      </c>
      <c r="AA525" s="250">
        <v>38.691629007962128</v>
      </c>
      <c r="AB525" s="250">
        <v>26.81299763288143</v>
      </c>
      <c r="AC525" s="250">
        <v>34.495373359156439</v>
      </c>
      <c r="AD525" s="251" t="s">
        <v>2656</v>
      </c>
      <c r="AE525" s="250">
        <v>5.5483587974371602</v>
      </c>
      <c r="AF525">
        <f>IF('WetLitterbags placem_collection'!AB86="","",'WetLitterbags placem_collection'!AB86)</f>
        <v>5.5</v>
      </c>
      <c r="AG525">
        <f>IF('WetLitterbags placem_collection'!Z86="","",'WetLitterbags placem_collection'!Z86)</f>
        <v>55.8</v>
      </c>
      <c r="AH525" s="236" t="str">
        <f>IF('WetLitterbags placem_collection'!AA86="","",'WetLitterbags placem_collection'!AA86)</f>
        <v>M</v>
      </c>
      <c r="AI525">
        <f>IF('WetLitterbags placem_collection'!AC86="","",'WetLitterbags placem_collection'!AC86)</f>
        <v>1</v>
      </c>
      <c r="AJ525">
        <f>IFERROR(AVERAGE('Dry_Litterbag Placem_Collection'!O86,'Dry_Litterbag Placem_Collection'!R86),"")</f>
        <v>10.15</v>
      </c>
      <c r="AK525" s="261">
        <f>IFERROR(AVERAGE('Dry_Litterbag Placem_Collection'!N86,'Dry_Litterbag Placem_Collection'!Q86),"")</f>
        <v>26.549999999999997</v>
      </c>
      <c r="AL525" s="260">
        <f>INDEX([2]Coordinates!$B$2:$B$197,MATCH(I525,[2]Coordinates!$J$2:$J$197,0))</f>
        <v>-3.295795005</v>
      </c>
      <c r="AM525" s="260">
        <f>INDEX([2]Coordinates!$C$2:$C$197,MATCH(I525,[2]Coordinates!$J$2:$J$197,0))</f>
        <v>34.85232001</v>
      </c>
      <c r="AN525" s="260" t="str">
        <f>IF(ISNUMBER(SEARCH("C", 'Dry_Litterbag Placem_Collection'!U86)),"YES","NO")</f>
        <v>NO</v>
      </c>
      <c r="AO525" s="260" t="str">
        <f>IF(ISNUMBER(SEARCH("H", 'Dry_Litterbag Placem_Collection'!U86)),"YES","NO")</f>
        <v>NO</v>
      </c>
      <c r="AP525" s="260" t="str">
        <f>IF(ISNUMBER(SEARCH("R", 'Dry_Litterbag Placem_Collection'!U86)),"YES","NO")</f>
        <v>NO</v>
      </c>
    </row>
    <row r="526" spans="1:42" ht="15" customHeight="1">
      <c r="A526" t="s">
        <v>3248</v>
      </c>
      <c r="B526" s="252" t="s">
        <v>2643</v>
      </c>
      <c r="C526" s="253">
        <f>'Dry_Litterbag Placem_Collection'!A87</f>
        <v>85</v>
      </c>
      <c r="D526" s="253" t="str">
        <f>'Dry_Litterbag Placem_Collection'!B87</f>
        <v>Maswa</v>
      </c>
      <c r="E526" s="253" t="s">
        <v>2643</v>
      </c>
      <c r="F526" s="253" t="s">
        <v>2645</v>
      </c>
      <c r="G526" s="253">
        <v>3</v>
      </c>
      <c r="H526" s="253" t="s">
        <v>3114</v>
      </c>
      <c r="I526" s="254" t="str">
        <f>'Dry_Litterbag Placem_Collection'!C87</f>
        <v>Dry_W3_T5</v>
      </c>
      <c r="J526" s="263" t="s">
        <v>2932</v>
      </c>
      <c r="K526" s="256" t="s">
        <v>1147</v>
      </c>
      <c r="L526" s="253" t="str">
        <f>IF(ISBLANK('Dry_Litterbag Placem_Collection'!L87),"","G"&amp;""&amp;'Dry_Litterbag Placem_Collection'!L87)</f>
        <v/>
      </c>
      <c r="M526" s="257" t="str">
        <f>IFERROR(INDEX('Green_rooibos initial weight'!$C$5:$C$2000,MATCH(L526, 'Green_rooibos initial weight'!$A$5:$A$2000,0)),"")</f>
        <v/>
      </c>
      <c r="N526" s="257" t="str">
        <f>IFERROR(M526-(TBIcalc!$Q$9+TBIcalc!$Q$10),"")</f>
        <v/>
      </c>
      <c r="O526" s="378">
        <f>AVERAGE(Ashed_controlls!$K$2:$K$11)</f>
        <v>5.5147656768714146</v>
      </c>
      <c r="P526" s="257" t="str">
        <f t="shared" si="41"/>
        <v/>
      </c>
      <c r="Q526" s="257" t="str">
        <f>IFERROR(INDEX('Both teabags AfterDry'!$D$2:$D$2000,MATCH(L526,'Both teabags AfterDry'!$A$2:$A$2000,0)),"")</f>
        <v/>
      </c>
      <c r="R526" s="257" t="str">
        <f>IFERROR(IF(Q526&gt;0,Q526-(TBIcalc!$Q$9),""),"")</f>
        <v/>
      </c>
      <c r="S526" s="268" t="str">
        <f>IFERROR(INDEX('Ashed teabags dry'!$K$2:$K$2000,MATCH(L526,'Ashed teabags dry'!$A$2:$A$2000,0)),"")</f>
        <v/>
      </c>
      <c r="T526" s="268" t="str">
        <f t="shared" si="42"/>
        <v/>
      </c>
      <c r="U526" s="258" t="str">
        <f>IF('Dry_Litterbag Placem_Collection'!E87="","",'Dry_Litterbag Placem_Collection'!E87)</f>
        <v/>
      </c>
      <c r="V526" s="258" t="str">
        <f>IF('Dry_Litterbag Placem_Collection'!G87="","",'Dry_Litterbag Placem_Collection'!G87)</f>
        <v/>
      </c>
      <c r="W526" s="259" t="str">
        <f t="shared" si="40"/>
        <v/>
      </c>
      <c r="X526" s="257" t="str">
        <f t="shared" si="43"/>
        <v/>
      </c>
      <c r="Y526" s="257" t="str">
        <f t="shared" si="44"/>
        <v/>
      </c>
      <c r="Z526" s="261" t="str">
        <f>IFERROR(INDEX([3]Rainfall_Dry!$O$2:$O$217,MATCH(C526, [3]Rainfall_Dry!$A$2:$A$217,0)),"")</f>
        <v/>
      </c>
      <c r="AA526" s="250">
        <v>38.691629007962128</v>
      </c>
      <c r="AB526" s="250">
        <v>26.81299763288143</v>
      </c>
      <c r="AC526" s="250">
        <v>34.495373359156439</v>
      </c>
      <c r="AD526" s="251" t="s">
        <v>2656</v>
      </c>
      <c r="AE526" s="250">
        <v>6.5483587974371602</v>
      </c>
      <c r="AF526">
        <f>IF('WetLitterbags placem_collection'!AB87="","",'WetLitterbags placem_collection'!AB87)</f>
        <v>8.6</v>
      </c>
      <c r="AG526">
        <f>IF('WetLitterbags placem_collection'!Z87="","",'WetLitterbags placem_collection'!Z87)</f>
        <v>3.8</v>
      </c>
      <c r="AH526" s="236" t="str">
        <f>IF('WetLitterbags placem_collection'!AA87="","",'WetLitterbags placem_collection'!AA87)</f>
        <v>O</v>
      </c>
      <c r="AI526">
        <f>IF('WetLitterbags placem_collection'!AC87="","",'WetLitterbags placem_collection'!AC87)</f>
        <v>0</v>
      </c>
      <c r="AJ526" t="str">
        <f>IFERROR(AVERAGE('Dry_Litterbag Placem_Collection'!O87,'Dry_Litterbag Placem_Collection'!R87),"")</f>
        <v/>
      </c>
      <c r="AK526" s="261" t="str">
        <f>IFERROR(AVERAGE('Dry_Litterbag Placem_Collection'!N87,'Dry_Litterbag Placem_Collection'!Q87),"")</f>
        <v/>
      </c>
      <c r="AL526" s="260">
        <f>INDEX([2]Coordinates!$B$2:$B$197,MATCH(I526,[2]Coordinates!$J$2:$J$197,0))</f>
        <v>-3.2957100119999998</v>
      </c>
      <c r="AM526" s="260">
        <f>INDEX([2]Coordinates!$C$2:$C$197,MATCH(I526,[2]Coordinates!$J$2:$J$197,0))</f>
        <v>34.852283970000002</v>
      </c>
      <c r="AN526" s="260" t="str">
        <f>IF(ISNUMBER(SEARCH("C", 'Dry_Litterbag Placem_Collection'!U87)),"YES","NO")</f>
        <v>NO</v>
      </c>
      <c r="AO526" s="260" t="str">
        <f>IF(ISNUMBER(SEARCH("H", 'Dry_Litterbag Placem_Collection'!U87)),"YES","NO")</f>
        <v>NO</v>
      </c>
      <c r="AP526" s="260" t="str">
        <f>IF(ISNUMBER(SEARCH("R", 'Dry_Litterbag Placem_Collection'!U87)),"YES","NO")</f>
        <v>NO</v>
      </c>
    </row>
    <row r="527" spans="1:42" ht="15" customHeight="1">
      <c r="A527" t="s">
        <v>3248</v>
      </c>
      <c r="B527" s="252" t="s">
        <v>2643</v>
      </c>
      <c r="C527" s="253">
        <f>'Dry_Litterbag Placem_Collection'!A88</f>
        <v>86</v>
      </c>
      <c r="D527" s="253" t="str">
        <f>'Dry_Litterbag Placem_Collection'!B88</f>
        <v>Maswa</v>
      </c>
      <c r="E527" s="253" t="s">
        <v>2643</v>
      </c>
      <c r="F527" s="253" t="s">
        <v>2645</v>
      </c>
      <c r="G527" s="253">
        <v>3</v>
      </c>
      <c r="H527" s="253" t="s">
        <v>3114</v>
      </c>
      <c r="I527" s="254" t="str">
        <f>'Dry_Litterbag Placem_Collection'!C88</f>
        <v>Dry_W3_T6</v>
      </c>
      <c r="J527" s="263" t="s">
        <v>2932</v>
      </c>
      <c r="K527" s="256" t="s">
        <v>1147</v>
      </c>
      <c r="L527" s="253" t="str">
        <f>IF(ISBLANK('Dry_Litterbag Placem_Collection'!L88),"","G"&amp;""&amp;'Dry_Litterbag Placem_Collection'!L88)</f>
        <v>G788</v>
      </c>
      <c r="M527" s="257">
        <f>IFERROR(INDEX('Green_rooibos initial weight'!$C$5:$C$2000,MATCH(L527, 'Green_rooibos initial weight'!$A$5:$A$2000,0)),"")</f>
        <v>2.0699999999999998</v>
      </c>
      <c r="N527" s="257">
        <f>IFERROR(M527-(TBIcalc!$Q$9+TBIcalc!$Q$10),"")</f>
        <v>1.8201999999999998</v>
      </c>
      <c r="O527" s="378">
        <f>AVERAGE(Ashed_controlls!$K$2:$K$11)</f>
        <v>5.5147656768714146</v>
      </c>
      <c r="P527" s="257">
        <f t="shared" si="41"/>
        <v>1.7198202351495864</v>
      </c>
      <c r="Q527" s="257" t="str">
        <f>IFERROR(INDEX('Both teabags AfterDry'!$D$2:$D$2000,MATCH(L527,'Both teabags AfterDry'!$A$2:$A$2000,0)),"")</f>
        <v/>
      </c>
      <c r="R527" s="257" t="str">
        <f>IFERROR(IF(Q527&gt;0,Q527-(TBIcalc!$Q$9),""),"")</f>
        <v/>
      </c>
      <c r="S527" s="268" t="str">
        <f>IFERROR(INDEX('Ashed teabags dry'!$K$2:$K$2000,MATCH(L527,'Ashed teabags dry'!$A$2:$A$2000,0)),"")</f>
        <v/>
      </c>
      <c r="T527" s="268" t="str">
        <f t="shared" si="42"/>
        <v/>
      </c>
      <c r="U527" s="258">
        <f>IF('Dry_Litterbag Placem_Collection'!E88="","",'Dry_Litterbag Placem_Collection'!E88)</f>
        <v>42937</v>
      </c>
      <c r="V527" s="258">
        <f>IF('Dry_Litterbag Placem_Collection'!G88="","",'Dry_Litterbag Placem_Collection'!G88)</f>
        <v>43006</v>
      </c>
      <c r="W527" s="259">
        <f t="shared" si="40"/>
        <v>69</v>
      </c>
      <c r="X527" s="257" t="str">
        <f t="shared" si="43"/>
        <v/>
      </c>
      <c r="Y527" s="257" t="str">
        <f t="shared" si="44"/>
        <v/>
      </c>
      <c r="Z527" s="261">
        <f>IFERROR(INDEX([3]Rainfall_Dry!$O$2:$O$217,MATCH(C527, [3]Rainfall_Dry!$A$2:$A$217,0)),"")</f>
        <v>12.563016860999999</v>
      </c>
      <c r="AA527" s="250">
        <v>38.691629007962128</v>
      </c>
      <c r="AB527" s="250">
        <v>26.81299763288143</v>
      </c>
      <c r="AC527" s="250">
        <v>34.495373359156439</v>
      </c>
      <c r="AD527" s="251" t="s">
        <v>2656</v>
      </c>
      <c r="AE527" s="250">
        <v>7.5483587974371602</v>
      </c>
      <c r="AF527">
        <f>IF('WetLitterbags placem_collection'!AB88="","",'WetLitterbags placem_collection'!AB88)</f>
        <v>3.7</v>
      </c>
      <c r="AG527">
        <f>IF('WetLitterbags placem_collection'!Z88="","",'WetLitterbags placem_collection'!Z88)</f>
        <v>7.5</v>
      </c>
      <c r="AH527" s="236" t="str">
        <f>IF('WetLitterbags placem_collection'!AA88="","",'WetLitterbags placem_collection'!AA88)</f>
        <v>O</v>
      </c>
      <c r="AI527">
        <f>IF('WetLitterbags placem_collection'!AC88="","",'WetLitterbags placem_collection'!AC88)</f>
        <v>0</v>
      </c>
      <c r="AJ527">
        <f>IFERROR(AVERAGE('Dry_Litterbag Placem_Collection'!O88,'Dry_Litterbag Placem_Collection'!R88),"")</f>
        <v>11.75</v>
      </c>
      <c r="AK527" s="261">
        <f>IFERROR(AVERAGE('Dry_Litterbag Placem_Collection'!N88,'Dry_Litterbag Placem_Collection'!Q88),"")</f>
        <v>26.9</v>
      </c>
      <c r="AL527" s="260">
        <f>INDEX([2]Coordinates!$B$2:$B$197,MATCH(I527,[2]Coordinates!$J$2:$J$197,0))</f>
        <v>-3.2956140399999998</v>
      </c>
      <c r="AM527" s="260">
        <f>INDEX([2]Coordinates!$C$2:$C$197,MATCH(I527,[2]Coordinates!$J$2:$J$197,0))</f>
        <v>34.852137030000002</v>
      </c>
      <c r="AN527" s="260" t="str">
        <f>IF(ISNUMBER(SEARCH("C", 'Dry_Litterbag Placem_Collection'!U88)),"YES","NO")</f>
        <v>NO</v>
      </c>
      <c r="AO527" s="260" t="str">
        <f>IF(ISNUMBER(SEARCH("H", 'Dry_Litterbag Placem_Collection'!U88)),"YES","NO")</f>
        <v>NO</v>
      </c>
      <c r="AP527" s="260" t="str">
        <f>IF(ISNUMBER(SEARCH("R", 'Dry_Litterbag Placem_Collection'!U88)),"YES","NO")</f>
        <v>NO</v>
      </c>
    </row>
    <row r="528" spans="1:42" ht="15" customHeight="1">
      <c r="A528" t="s">
        <v>3248</v>
      </c>
      <c r="B528" s="252" t="s">
        <v>2643</v>
      </c>
      <c r="C528" s="253">
        <f>'Dry_Litterbag Placem_Collection'!A89</f>
        <v>87</v>
      </c>
      <c r="D528" s="253" t="str">
        <f>'Dry_Litterbag Placem_Collection'!B89</f>
        <v>Maswa</v>
      </c>
      <c r="E528" s="253" t="s">
        <v>2643</v>
      </c>
      <c r="F528" s="253" t="s">
        <v>2645</v>
      </c>
      <c r="G528" s="253">
        <v>3</v>
      </c>
      <c r="H528" s="253" t="s">
        <v>3114</v>
      </c>
      <c r="I528" s="254" t="str">
        <f>'Dry_Litterbag Placem_Collection'!C89</f>
        <v>Dry_W3_T7</v>
      </c>
      <c r="J528" s="263" t="s">
        <v>2932</v>
      </c>
      <c r="K528" s="256" t="s">
        <v>1147</v>
      </c>
      <c r="L528" s="253" t="str">
        <f>IF(ISBLANK('Dry_Litterbag Placem_Collection'!L89),"","G"&amp;""&amp;'Dry_Litterbag Placem_Collection'!L89)</f>
        <v>G91</v>
      </c>
      <c r="M528" s="257">
        <f>IFERROR(INDEX('Green_rooibos initial weight'!$C$5:$C$2000,MATCH(L528, 'Green_rooibos initial weight'!$A$5:$A$2000,0)),"")</f>
        <v>2.044</v>
      </c>
      <c r="N528" s="257">
        <f>IFERROR(M528-(TBIcalc!$Q$9+TBIcalc!$Q$10),"")</f>
        <v>1.7942</v>
      </c>
      <c r="O528" s="378">
        <f>AVERAGE(Ashed_controlls!$K$2:$K$11)</f>
        <v>5.5147656768714146</v>
      </c>
      <c r="P528" s="257">
        <f t="shared" si="41"/>
        <v>1.6952540742255731</v>
      </c>
      <c r="Q528" s="257">
        <f>IFERROR(INDEX('Both teabags AfterDry'!$D$2:$D$2000,MATCH(L528,'Both teabags AfterDry'!$A$2:$A$2000,0)),"")</f>
        <v>1.8609</v>
      </c>
      <c r="R528" s="257">
        <f>IFERROR(IF(Q528&gt;0,Q528-(TBIcalc!$Q$9),""),"")</f>
        <v>1.7102999999999999</v>
      </c>
      <c r="S528" s="268">
        <f>IFERROR(INDEX('Ashed teabags dry'!$K$2:$K$2000,MATCH(L528,'Ashed teabags dry'!$A$2:$A$2000,0)),"")</f>
        <v>5.6727613689638741</v>
      </c>
      <c r="T528" s="268">
        <f t="shared" si="42"/>
        <v>1.6132787623066107</v>
      </c>
      <c r="U528" s="258">
        <f>IF('Dry_Litterbag Placem_Collection'!E89="","",'Dry_Litterbag Placem_Collection'!E89)</f>
        <v>42937</v>
      </c>
      <c r="V528" s="258">
        <f>IF('Dry_Litterbag Placem_Collection'!G89="","",'Dry_Litterbag Placem_Collection'!G89)</f>
        <v>43006</v>
      </c>
      <c r="W528" s="259">
        <f t="shared" si="40"/>
        <v>69</v>
      </c>
      <c r="X528" s="257">
        <f t="shared" si="43"/>
        <v>8.3900000000000086E-2</v>
      </c>
      <c r="Y528" s="257">
        <f t="shared" si="44"/>
        <v>8.1975311918962346E-2</v>
      </c>
      <c r="Z528" s="261">
        <f>IFERROR(INDEX([3]Rainfall_Dry!$O$2:$O$217,MATCH(C528, [3]Rainfall_Dry!$A$2:$A$217,0)),"")</f>
        <v>12.563016860999999</v>
      </c>
      <c r="AA528" s="250">
        <v>38.691629007962128</v>
      </c>
      <c r="AB528" s="250">
        <v>26.81299763288143</v>
      </c>
      <c r="AC528" s="250">
        <v>34.495373359156439</v>
      </c>
      <c r="AD528" s="251" t="s">
        <v>2656</v>
      </c>
      <c r="AE528" s="250">
        <v>8.5483587974371602</v>
      </c>
      <c r="AF528">
        <f>IF('WetLitterbags placem_collection'!AB89="","",'WetLitterbags placem_collection'!AB89)</f>
        <v>7.5</v>
      </c>
      <c r="AG528">
        <f>IF('WetLitterbags placem_collection'!Z89="","",'WetLitterbags placem_collection'!Z89)</f>
        <v>12.6</v>
      </c>
      <c r="AH528" s="236" t="str">
        <f>IF('WetLitterbags placem_collection'!AA89="","",'WetLitterbags placem_collection'!AA89)</f>
        <v>O</v>
      </c>
      <c r="AI528">
        <f>IF('WetLitterbags placem_collection'!AC89="","",'WetLitterbags placem_collection'!AC89)</f>
        <v>1</v>
      </c>
      <c r="AJ528">
        <f>IFERROR(AVERAGE('Dry_Litterbag Placem_Collection'!O89,'Dry_Litterbag Placem_Collection'!R89),"")</f>
        <v>10.65</v>
      </c>
      <c r="AK528" s="261">
        <f>IFERROR(AVERAGE('Dry_Litterbag Placem_Collection'!N89,'Dry_Litterbag Placem_Collection'!Q89),"")</f>
        <v>24.3</v>
      </c>
      <c r="AL528" s="260">
        <f>INDEX([2]Coordinates!$B$2:$B$197,MATCH(I528,[2]Coordinates!$J$2:$J$197,0))</f>
        <v>-3.295904975</v>
      </c>
      <c r="AM528" s="260">
        <f>INDEX([2]Coordinates!$C$2:$C$197,MATCH(I528,[2]Coordinates!$J$2:$J$197,0))</f>
        <v>34.852136029999997</v>
      </c>
      <c r="AN528" s="260" t="str">
        <f>IF(ISNUMBER(SEARCH("C", 'Dry_Litterbag Placem_Collection'!U89)),"YES","NO")</f>
        <v>NO</v>
      </c>
      <c r="AO528" s="260" t="str">
        <f>IF(ISNUMBER(SEARCH("H", 'Dry_Litterbag Placem_Collection'!U89)),"YES","NO")</f>
        <v>NO</v>
      </c>
      <c r="AP528" s="260" t="str">
        <f>IF(ISNUMBER(SEARCH("R", 'Dry_Litterbag Placem_Collection'!U89)),"YES","NO")</f>
        <v>NO</v>
      </c>
    </row>
    <row r="529" spans="1:42" ht="15" customHeight="1">
      <c r="A529" t="s">
        <v>3248</v>
      </c>
      <c r="B529" s="252" t="s">
        <v>2643</v>
      </c>
      <c r="C529" s="253">
        <f>'Dry_Litterbag Placem_Collection'!A90</f>
        <v>88</v>
      </c>
      <c r="D529" s="253" t="str">
        <f>'Dry_Litterbag Placem_Collection'!B90</f>
        <v>Maswa</v>
      </c>
      <c r="E529" s="253" t="s">
        <v>2643</v>
      </c>
      <c r="F529" s="253" t="s">
        <v>2645</v>
      </c>
      <c r="G529" s="253">
        <v>3</v>
      </c>
      <c r="H529" s="253" t="s">
        <v>3114</v>
      </c>
      <c r="I529" s="254" t="str">
        <f>'Dry_Litterbag Placem_Collection'!C90</f>
        <v>Dry_W3_T8</v>
      </c>
      <c r="J529" s="263" t="s">
        <v>2932</v>
      </c>
      <c r="K529" s="256" t="s">
        <v>1147</v>
      </c>
      <c r="L529" s="253" t="str">
        <f>IF(ISBLANK('Dry_Litterbag Placem_Collection'!L90),"","G"&amp;""&amp;'Dry_Litterbag Placem_Collection'!L90)</f>
        <v>G364</v>
      </c>
      <c r="M529" s="257">
        <f>IFERROR(INDEX('Green_rooibos initial weight'!$C$5:$C$2000,MATCH(L529, 'Green_rooibos initial weight'!$A$5:$A$2000,0)),"")</f>
        <v>2.0569999999999999</v>
      </c>
      <c r="N529" s="257">
        <f>IFERROR(M529-(TBIcalc!$Q$9+TBIcalc!$Q$10),"")</f>
        <v>1.8071999999999999</v>
      </c>
      <c r="O529" s="378">
        <f>AVERAGE(Ashed_controlls!$K$2:$K$11)</f>
        <v>5.5147656768714146</v>
      </c>
      <c r="P529" s="257">
        <f t="shared" si="41"/>
        <v>1.7075371546875797</v>
      </c>
      <c r="Q529" s="257">
        <f>IFERROR(INDEX('Both teabags AfterDry'!$D$2:$D$2000,MATCH(L529,'Both teabags AfterDry'!$A$2:$A$2000,0)),"")</f>
        <v>1.8589</v>
      </c>
      <c r="R529" s="257">
        <f>IFERROR(IF(Q529&gt;0,Q529-(TBIcalc!$Q$9),""),"")</f>
        <v>1.7082999999999999</v>
      </c>
      <c r="S529" s="268">
        <f>IFERROR(INDEX('Ashed teabags dry'!$K$2:$K$2000,MATCH(L529,'Ashed teabags dry'!$A$2:$A$2000,0)),"")</f>
        <v>6.3441350981288833</v>
      </c>
      <c r="T529" s="268">
        <f t="shared" si="42"/>
        <v>1.5999231401186642</v>
      </c>
      <c r="U529" s="258">
        <f>IF('Dry_Litterbag Placem_Collection'!E90="","",'Dry_Litterbag Placem_Collection'!E90)</f>
        <v>42937</v>
      </c>
      <c r="V529" s="258">
        <f>IF('Dry_Litterbag Placem_Collection'!G90="","",'Dry_Litterbag Placem_Collection'!G90)</f>
        <v>43006</v>
      </c>
      <c r="W529" s="259">
        <f t="shared" si="40"/>
        <v>69</v>
      </c>
      <c r="X529" s="257">
        <f t="shared" si="43"/>
        <v>9.8899999999999988E-2</v>
      </c>
      <c r="Y529" s="257">
        <f t="shared" si="44"/>
        <v>0.10761401456891551</v>
      </c>
      <c r="Z529" s="261">
        <f>IFERROR(INDEX([3]Rainfall_Dry!$O$2:$O$217,MATCH(C529, [3]Rainfall_Dry!$A$2:$A$217,0)),"")</f>
        <v>12.563016860999999</v>
      </c>
      <c r="AA529" s="250">
        <v>38.691629007962128</v>
      </c>
      <c r="AB529" s="250">
        <v>26.81299763288143</v>
      </c>
      <c r="AC529" s="250">
        <v>34.495373359156439</v>
      </c>
      <c r="AD529" s="251" t="s">
        <v>2656</v>
      </c>
      <c r="AE529" s="250">
        <v>9.5483587974371602</v>
      </c>
      <c r="AF529" t="str">
        <f>IF('WetLitterbags placem_collection'!AB90="","",'WetLitterbags placem_collection'!AB90)</f>
        <v/>
      </c>
      <c r="AG529" t="str">
        <f>IF('WetLitterbags placem_collection'!Z90="","",'WetLitterbags placem_collection'!Z90)</f>
        <v/>
      </c>
      <c r="AH529" s="236" t="str">
        <f>IF('WetLitterbags placem_collection'!AA90="","",'WetLitterbags placem_collection'!AA90)</f>
        <v/>
      </c>
      <c r="AI529" t="str">
        <f>IF('WetLitterbags placem_collection'!AC90="","",'WetLitterbags placem_collection'!AC90)</f>
        <v/>
      </c>
      <c r="AJ529">
        <f>IFERROR(AVERAGE('Dry_Litterbag Placem_Collection'!O90,'Dry_Litterbag Placem_Collection'!R90),"")</f>
        <v>11.7</v>
      </c>
      <c r="AK529" s="261">
        <f>IFERROR(AVERAGE('Dry_Litterbag Placem_Collection'!N90,'Dry_Litterbag Placem_Collection'!Q90),"")</f>
        <v>26.049999999999997</v>
      </c>
      <c r="AL529" s="260">
        <f>INDEX([2]Coordinates!$B$2:$B$197,MATCH(I529,[2]Coordinates!$J$2:$J$197,0))</f>
        <v>-3.2959530039999998</v>
      </c>
      <c r="AM529" s="260">
        <f>INDEX([2]Coordinates!$C$2:$C$197,MATCH(I529,[2]Coordinates!$J$2:$J$197,0))</f>
        <v>34.85242504</v>
      </c>
      <c r="AN529" s="260" t="str">
        <f>IF(ISNUMBER(SEARCH("C", 'Dry_Litterbag Placem_Collection'!U90)),"YES","NO")</f>
        <v>NO</v>
      </c>
      <c r="AO529" s="260" t="str">
        <f>IF(ISNUMBER(SEARCH("H", 'Dry_Litterbag Placem_Collection'!U90)),"YES","NO")</f>
        <v>NO</v>
      </c>
      <c r="AP529" s="260" t="str">
        <f>IF(ISNUMBER(SEARCH("R", 'Dry_Litterbag Placem_Collection'!U90)),"YES","NO")</f>
        <v>NO</v>
      </c>
    </row>
    <row r="530" spans="1:42" ht="15" customHeight="1">
      <c r="A530" t="s">
        <v>3248</v>
      </c>
      <c r="B530" s="252" t="s">
        <v>2643</v>
      </c>
      <c r="C530" s="253">
        <f>'Dry_Litterbag Placem_Collection'!A91</f>
        <v>89</v>
      </c>
      <c r="D530" s="253" t="str">
        <f>'Dry_Litterbag Placem_Collection'!B91</f>
        <v>Maswa</v>
      </c>
      <c r="E530" s="253" t="s">
        <v>2643</v>
      </c>
      <c r="F530" s="253" t="s">
        <v>2645</v>
      </c>
      <c r="G530" s="253">
        <v>4</v>
      </c>
      <c r="H530" s="253" t="s">
        <v>3115</v>
      </c>
      <c r="I530" s="254" t="str">
        <f>'Dry_Litterbag Placem_Collection'!C91</f>
        <v>Dry_W4_T1</v>
      </c>
      <c r="J530" s="263" t="s">
        <v>2932</v>
      </c>
      <c r="K530" s="256" t="s">
        <v>1147</v>
      </c>
      <c r="L530" s="253" t="str">
        <f>IF(ISBLANK('Dry_Litterbag Placem_Collection'!L91),"","G"&amp;""&amp;'Dry_Litterbag Placem_Collection'!L91)</f>
        <v>G862</v>
      </c>
      <c r="M530" s="257">
        <f>IFERROR(INDEX('Green_rooibos initial weight'!$C$5:$C$2000,MATCH(L530, 'Green_rooibos initial weight'!$A$5:$A$2000,0)),"")</f>
        <v>1.996</v>
      </c>
      <c r="N530" s="257">
        <f>IFERROR(M530-(TBIcalc!$Q$9+TBIcalc!$Q$10),"")</f>
        <v>1.7462</v>
      </c>
      <c r="O530" s="378">
        <f>AVERAGE(Ashed_controlls!$K$2:$K$11)</f>
        <v>5.5147656768714146</v>
      </c>
      <c r="P530" s="257">
        <f t="shared" si="41"/>
        <v>1.6499011617504713</v>
      </c>
      <c r="Q530" s="257">
        <f>IFERROR(INDEX('Both teabags AfterDry'!$D$2:$D$2000,MATCH(L530,'Both teabags AfterDry'!$A$2:$A$2000,0)),"")</f>
        <v>1.8160000000000001</v>
      </c>
      <c r="R530" s="257">
        <f>IFERROR(IF(Q530&gt;0,Q530-(TBIcalc!$Q$9),""),"")</f>
        <v>1.6654</v>
      </c>
      <c r="S530" s="268">
        <f>IFERROR(INDEX('Ashed teabags dry'!$K$2:$K$2000,MATCH(L530,'Ashed teabags dry'!$A$2:$A$2000,0)),"")</f>
        <v>6.0205580029367782</v>
      </c>
      <c r="T530" s="268">
        <f t="shared" si="42"/>
        <v>1.565133627019091</v>
      </c>
      <c r="U530" s="258">
        <f>IF('Dry_Litterbag Placem_Collection'!E91="","",'Dry_Litterbag Placem_Collection'!E91)</f>
        <v>42937</v>
      </c>
      <c r="V530" s="258">
        <f>IF('Dry_Litterbag Placem_Collection'!G91="","",'Dry_Litterbag Placem_Collection'!G91)</f>
        <v>43006</v>
      </c>
      <c r="W530" s="259">
        <f t="shared" si="40"/>
        <v>69</v>
      </c>
      <c r="X530" s="257">
        <f t="shared" si="43"/>
        <v>8.0799999999999983E-2</v>
      </c>
      <c r="Y530" s="257">
        <f t="shared" si="44"/>
        <v>8.4767534731380323E-2</v>
      </c>
      <c r="Z530" s="261">
        <f>IFERROR(INDEX([3]Rainfall_Dry!$O$2:$O$217,MATCH(C530, [3]Rainfall_Dry!$A$2:$A$217,0)),"")</f>
        <v>12.563016860999999</v>
      </c>
      <c r="AA530" s="250">
        <v>28.145762029394</v>
      </c>
      <c r="AB530" s="250">
        <v>25.085564727199518</v>
      </c>
      <c r="AC530" s="250">
        <v>46.768673243406489</v>
      </c>
      <c r="AD530" s="251" t="s">
        <v>2651</v>
      </c>
      <c r="AE530" s="250">
        <v>2.1716214884179394</v>
      </c>
      <c r="AF530">
        <f>IF('WetLitterbags placem_collection'!AB91="","",'WetLitterbags placem_collection'!AB91)</f>
        <v>7.3</v>
      </c>
      <c r="AG530">
        <f>IF('WetLitterbags placem_collection'!Z91="","",'WetLitterbags placem_collection'!Z91)</f>
        <v>35.799999999999997</v>
      </c>
      <c r="AH530" s="236" t="str">
        <f>IF('WetLitterbags placem_collection'!AA91="","",'WetLitterbags placem_collection'!AA91)</f>
        <v>O</v>
      </c>
      <c r="AI530">
        <f>IF('WetLitterbags placem_collection'!AC91="","",'WetLitterbags placem_collection'!AC91)</f>
        <v>0</v>
      </c>
      <c r="AJ530">
        <f>IFERROR(AVERAGE('Dry_Litterbag Placem_Collection'!O91,'Dry_Litterbag Placem_Collection'!R91),"")</f>
        <v>10.5</v>
      </c>
      <c r="AK530" s="261">
        <f>IFERROR(AVERAGE('Dry_Litterbag Placem_Collection'!N91,'Dry_Litterbag Placem_Collection'!Q91),"")</f>
        <v>26.6</v>
      </c>
      <c r="AL530" s="260">
        <f>INDEX([2]Coordinates!$B$2:$B$197,MATCH(I530,[2]Coordinates!$J$2:$J$197,0))</f>
        <v>-3.2966709980000002</v>
      </c>
      <c r="AM530" s="260">
        <f>INDEX([2]Coordinates!$C$2:$C$197,MATCH(I530,[2]Coordinates!$J$2:$J$197,0))</f>
        <v>34.854407019999996</v>
      </c>
      <c r="AN530" s="260" t="str">
        <f>IF(ISNUMBER(SEARCH("C", 'Dry_Litterbag Placem_Collection'!U91)),"YES","NO")</f>
        <v>NO</v>
      </c>
      <c r="AO530" s="260" t="str">
        <f>IF(ISNUMBER(SEARCH("H", 'Dry_Litterbag Placem_Collection'!U91)),"YES","NO")</f>
        <v>NO</v>
      </c>
      <c r="AP530" s="260" t="str">
        <f>IF(ISNUMBER(SEARCH("R", 'Dry_Litterbag Placem_Collection'!U91)),"YES","NO")</f>
        <v>NO</v>
      </c>
    </row>
    <row r="531" spans="1:42" ht="15" customHeight="1">
      <c r="A531" t="s">
        <v>3248</v>
      </c>
      <c r="B531" s="252" t="s">
        <v>2643</v>
      </c>
      <c r="C531" s="253">
        <f>'Dry_Litterbag Placem_Collection'!A92</f>
        <v>90</v>
      </c>
      <c r="D531" s="253" t="str">
        <f>'Dry_Litterbag Placem_Collection'!B92</f>
        <v>Maswa</v>
      </c>
      <c r="E531" s="253" t="s">
        <v>2643</v>
      </c>
      <c r="F531" s="253" t="s">
        <v>2645</v>
      </c>
      <c r="G531" s="253">
        <v>4</v>
      </c>
      <c r="H531" s="253" t="s">
        <v>3115</v>
      </c>
      <c r="I531" s="254" t="str">
        <f>'Dry_Litterbag Placem_Collection'!C92</f>
        <v>Dry_W4_T2</v>
      </c>
      <c r="J531" s="263" t="s">
        <v>2932</v>
      </c>
      <c r="K531" s="256" t="s">
        <v>1147</v>
      </c>
      <c r="L531" s="253" t="str">
        <f>IF(ISBLANK('Dry_Litterbag Placem_Collection'!L92),"","G"&amp;""&amp;'Dry_Litterbag Placem_Collection'!L92)</f>
        <v>G330</v>
      </c>
      <c r="M531" s="257">
        <f>IFERROR(INDEX('Green_rooibos initial weight'!$C$5:$C$2000,MATCH(L531, 'Green_rooibos initial weight'!$A$5:$A$2000,0)),"")</f>
        <v>2.1379999999999999</v>
      </c>
      <c r="N531" s="257">
        <f>IFERROR(M531-(TBIcalc!$Q$9+TBIcalc!$Q$10),"")</f>
        <v>1.8881999999999999</v>
      </c>
      <c r="O531" s="378">
        <f>AVERAGE(Ashed_controlls!$K$2:$K$11)</f>
        <v>5.5147656768714146</v>
      </c>
      <c r="P531" s="257">
        <f t="shared" si="41"/>
        <v>1.7840701944893138</v>
      </c>
      <c r="Q531" s="257" t="str">
        <f>IFERROR(INDEX('Both teabags AfterDry'!$D$2:$D$2000,MATCH(L531,'Both teabags AfterDry'!$A$2:$A$2000,0)),"")</f>
        <v/>
      </c>
      <c r="R531" s="257" t="str">
        <f>IFERROR(IF(Q531&gt;0,Q531-(TBIcalc!$Q$9),""),"")</f>
        <v/>
      </c>
      <c r="S531" s="268" t="str">
        <f>IFERROR(INDEX('Ashed teabags dry'!$K$2:$K$2000,MATCH(L531,'Ashed teabags dry'!$A$2:$A$2000,0)),"")</f>
        <v/>
      </c>
      <c r="T531" s="268" t="str">
        <f t="shared" si="42"/>
        <v/>
      </c>
      <c r="U531" s="258">
        <f>IF('Dry_Litterbag Placem_Collection'!E92="","",'Dry_Litterbag Placem_Collection'!E92)</f>
        <v>42937</v>
      </c>
      <c r="V531" s="258">
        <f>IF('Dry_Litterbag Placem_Collection'!G92="","",'Dry_Litterbag Placem_Collection'!G92)</f>
        <v>43006</v>
      </c>
      <c r="W531" s="259">
        <f t="shared" si="40"/>
        <v>69</v>
      </c>
      <c r="X531" s="257" t="str">
        <f t="shared" si="43"/>
        <v/>
      </c>
      <c r="Y531" s="257" t="str">
        <f t="shared" si="44"/>
        <v/>
      </c>
      <c r="Z531" s="261">
        <f>IFERROR(INDEX([3]Rainfall_Dry!$O$2:$O$217,MATCH(C531, [3]Rainfall_Dry!$A$2:$A$217,0)),"")</f>
        <v>12.563016860999999</v>
      </c>
      <c r="AA531" s="250">
        <v>28.145762029394</v>
      </c>
      <c r="AB531" s="250">
        <v>25.085564727199518</v>
      </c>
      <c r="AC531" s="250">
        <v>46.768673243406489</v>
      </c>
      <c r="AD531" s="251" t="s">
        <v>2651</v>
      </c>
      <c r="AE531" s="250">
        <v>3.1716214884179399</v>
      </c>
      <c r="AF531">
        <f>IF('WetLitterbags placem_collection'!AB92="","",'WetLitterbags placem_collection'!AB92)</f>
        <v>7.7</v>
      </c>
      <c r="AG531">
        <f>IF('WetLitterbags placem_collection'!Z92="","",'WetLitterbags placem_collection'!Z92)</f>
        <v>30.4</v>
      </c>
      <c r="AH531" s="236" t="str">
        <f>IF('WetLitterbags placem_collection'!AA92="","",'WetLitterbags placem_collection'!AA92)</f>
        <v>O</v>
      </c>
      <c r="AI531">
        <f>IF('WetLitterbags placem_collection'!AC92="","",'WetLitterbags placem_collection'!AC92)</f>
        <v>0</v>
      </c>
      <c r="AJ531">
        <f>IFERROR(AVERAGE('Dry_Litterbag Placem_Collection'!O92,'Dry_Litterbag Placem_Collection'!R92),"")</f>
        <v>9.85</v>
      </c>
      <c r="AK531" s="261">
        <f>IFERROR(AVERAGE('Dry_Litterbag Placem_Collection'!N92,'Dry_Litterbag Placem_Collection'!Q92),"")</f>
        <v>26.45</v>
      </c>
      <c r="AL531" s="260">
        <f>INDEX([2]Coordinates!$B$2:$B$197,MATCH(I531,[2]Coordinates!$J$2:$J$197,0))</f>
        <v>-3.2966860009999999</v>
      </c>
      <c r="AM531" s="260">
        <f>INDEX([2]Coordinates!$C$2:$C$197,MATCH(I531,[2]Coordinates!$J$2:$J$197,0))</f>
        <v>34.854371989999997</v>
      </c>
      <c r="AN531" s="260" t="str">
        <f>IF(ISNUMBER(SEARCH("C", 'Dry_Litterbag Placem_Collection'!U92)),"YES","NO")</f>
        <v>NO</v>
      </c>
      <c r="AO531" s="260" t="str">
        <f>IF(ISNUMBER(SEARCH("H", 'Dry_Litterbag Placem_Collection'!U92)),"YES","NO")</f>
        <v>NO</v>
      </c>
      <c r="AP531" s="260" t="str">
        <f>IF(ISNUMBER(SEARCH("R", 'Dry_Litterbag Placem_Collection'!U92)),"YES","NO")</f>
        <v>NO</v>
      </c>
    </row>
    <row r="532" spans="1:42" ht="15" customHeight="1">
      <c r="A532" t="s">
        <v>3248</v>
      </c>
      <c r="B532" s="252" t="s">
        <v>2643</v>
      </c>
      <c r="C532" s="253">
        <f>'Dry_Litterbag Placem_Collection'!A93</f>
        <v>91</v>
      </c>
      <c r="D532" s="253" t="str">
        <f>'Dry_Litterbag Placem_Collection'!B93</f>
        <v>Maswa</v>
      </c>
      <c r="E532" s="253" t="s">
        <v>2643</v>
      </c>
      <c r="F532" s="253" t="s">
        <v>2645</v>
      </c>
      <c r="G532" s="253">
        <v>4</v>
      </c>
      <c r="H532" s="253" t="s">
        <v>3115</v>
      </c>
      <c r="I532" s="254" t="str">
        <f>'Dry_Litterbag Placem_Collection'!C93</f>
        <v>Dry_W4_T3</v>
      </c>
      <c r="J532" s="263" t="s">
        <v>2932</v>
      </c>
      <c r="K532" s="256" t="s">
        <v>1147</v>
      </c>
      <c r="L532" s="253" t="str">
        <f>IF(ISBLANK('Dry_Litterbag Placem_Collection'!L93),"","G"&amp;""&amp;'Dry_Litterbag Placem_Collection'!L93)</f>
        <v>G596</v>
      </c>
      <c r="M532" s="257">
        <f>IFERROR(INDEX('Green_rooibos initial weight'!$C$5:$C$2000,MATCH(L532, 'Green_rooibos initial weight'!$A$5:$A$2000,0)),"")</f>
        <v>2.0179999999999998</v>
      </c>
      <c r="N532" s="257">
        <f>IFERROR(M532-(TBIcalc!$Q$9+TBIcalc!$Q$10),"")</f>
        <v>1.7681999999999998</v>
      </c>
      <c r="O532" s="378">
        <f>AVERAGE(Ashed_controlls!$K$2:$K$11)</f>
        <v>5.5147656768714146</v>
      </c>
      <c r="P532" s="257">
        <f t="shared" si="41"/>
        <v>1.6706879133015595</v>
      </c>
      <c r="Q532" s="257">
        <f>IFERROR(INDEX('Both teabags AfterDry'!$D$2:$D$2000,MATCH(L532,'Both teabags AfterDry'!$A$2:$A$2000,0)),"")</f>
        <v>1.8642000000000001</v>
      </c>
      <c r="R532" s="257">
        <f>IFERROR(IF(Q532&gt;0,Q532-(TBIcalc!$Q$9),""),"")</f>
        <v>1.7136</v>
      </c>
      <c r="S532" s="268">
        <f>IFERROR(INDEX('Ashed teabags dry'!$K$2:$K$2000,MATCH(L532,'Ashed teabags dry'!$A$2:$A$2000,0)),"")</f>
        <v>5.1882845188279267</v>
      </c>
      <c r="T532" s="268">
        <f t="shared" si="42"/>
        <v>1.6246935564853646</v>
      </c>
      <c r="U532" s="258">
        <f>IF('Dry_Litterbag Placem_Collection'!E93="","",'Dry_Litterbag Placem_Collection'!E93)</f>
        <v>42937</v>
      </c>
      <c r="V532" s="258">
        <f>IF('Dry_Litterbag Placem_Collection'!G93="","",'Dry_Litterbag Placem_Collection'!G93)</f>
        <v>43006</v>
      </c>
      <c r="W532" s="259">
        <f t="shared" si="40"/>
        <v>69</v>
      </c>
      <c r="X532" s="257">
        <f t="shared" si="43"/>
        <v>5.459999999999976E-2</v>
      </c>
      <c r="Y532" s="257">
        <f t="shared" si="44"/>
        <v>4.5994356816194903E-2</v>
      </c>
      <c r="Z532" s="261">
        <f>IFERROR(INDEX([3]Rainfall_Dry!$O$2:$O$217,MATCH(C532, [3]Rainfall_Dry!$A$2:$A$217,0)),"")</f>
        <v>12.563016860999999</v>
      </c>
      <c r="AA532" s="250">
        <v>28.145762029394</v>
      </c>
      <c r="AB532" s="250">
        <v>25.085564727199518</v>
      </c>
      <c r="AC532" s="250">
        <v>46.768673243406489</v>
      </c>
      <c r="AD532" s="251" t="s">
        <v>2651</v>
      </c>
      <c r="AE532" s="250">
        <v>4.1716214884179399</v>
      </c>
      <c r="AF532">
        <f>IF('WetLitterbags placem_collection'!AB93="","",'WetLitterbags placem_collection'!AB93)</f>
        <v>6.1</v>
      </c>
      <c r="AG532">
        <f>IF('WetLitterbags placem_collection'!Z93="","",'WetLitterbags placem_collection'!Z93)</f>
        <v>39.4</v>
      </c>
      <c r="AH532" s="236" t="str">
        <f>IF('WetLitterbags placem_collection'!AA93="","",'WetLitterbags placem_collection'!AA93)</f>
        <v>O</v>
      </c>
      <c r="AI532">
        <f>IF('WetLitterbags placem_collection'!AC93="","",'WetLitterbags placem_collection'!AC93)</f>
        <v>1</v>
      </c>
      <c r="AJ532">
        <f>IFERROR(AVERAGE('Dry_Litterbag Placem_Collection'!O93,'Dry_Litterbag Placem_Collection'!R93),"")</f>
        <v>10.95</v>
      </c>
      <c r="AK532" s="261">
        <f>IFERROR(AVERAGE('Dry_Litterbag Placem_Collection'!N93,'Dry_Litterbag Placem_Collection'!Q93),"")</f>
        <v>25.95</v>
      </c>
      <c r="AL532" s="260">
        <f>INDEX([2]Coordinates!$B$2:$B$197,MATCH(I532,[2]Coordinates!$J$2:$J$197,0))</f>
        <v>-3.2966180239999998</v>
      </c>
      <c r="AM532" s="260">
        <f>INDEX([2]Coordinates!$C$2:$C$197,MATCH(I532,[2]Coordinates!$J$2:$J$197,0))</f>
        <v>34.854464020000002</v>
      </c>
      <c r="AN532" s="260" t="str">
        <f>IF(ISNUMBER(SEARCH("C", 'Dry_Litterbag Placem_Collection'!U93)),"YES","NO")</f>
        <v>NO</v>
      </c>
      <c r="AO532" s="260" t="str">
        <f>IF(ISNUMBER(SEARCH("H", 'Dry_Litterbag Placem_Collection'!U93)),"YES","NO")</f>
        <v>NO</v>
      </c>
      <c r="AP532" s="260" t="str">
        <f>IF(ISNUMBER(SEARCH("R", 'Dry_Litterbag Placem_Collection'!U93)),"YES","NO")</f>
        <v>NO</v>
      </c>
    </row>
    <row r="533" spans="1:42" ht="15" customHeight="1">
      <c r="A533" t="s">
        <v>3248</v>
      </c>
      <c r="B533" s="252" t="s">
        <v>2643</v>
      </c>
      <c r="C533" s="253">
        <f>'Dry_Litterbag Placem_Collection'!A94</f>
        <v>92</v>
      </c>
      <c r="D533" s="253" t="str">
        <f>'Dry_Litterbag Placem_Collection'!B94</f>
        <v>Maswa</v>
      </c>
      <c r="E533" s="253" t="s">
        <v>2643</v>
      </c>
      <c r="F533" s="253" t="s">
        <v>2645</v>
      </c>
      <c r="G533" s="253">
        <v>4</v>
      </c>
      <c r="H533" s="253" t="s">
        <v>3115</v>
      </c>
      <c r="I533" s="254" t="str">
        <f>'Dry_Litterbag Placem_Collection'!C94</f>
        <v>Dry_W4_T4</v>
      </c>
      <c r="J533" s="263" t="s">
        <v>2932</v>
      </c>
      <c r="K533" s="256" t="s">
        <v>1147</v>
      </c>
      <c r="L533" s="253" t="str">
        <f>IF(ISBLANK('Dry_Litterbag Placem_Collection'!L94),"","G"&amp;""&amp;'Dry_Litterbag Placem_Collection'!L94)</f>
        <v>G380</v>
      </c>
      <c r="M533" s="257">
        <f>IFERROR(INDEX('Green_rooibos initial weight'!$C$5:$C$2000,MATCH(L533, 'Green_rooibos initial weight'!$A$5:$A$2000,0)),"")</f>
        <v>2.0619999999999998</v>
      </c>
      <c r="N533" s="257">
        <f>IFERROR(M533-(TBIcalc!$Q$9+TBIcalc!$Q$10),"")</f>
        <v>1.8121999999999998</v>
      </c>
      <c r="O533" s="378">
        <f>AVERAGE(Ashed_controlls!$K$2:$K$11)</f>
        <v>5.5147656768714146</v>
      </c>
      <c r="P533" s="257">
        <f t="shared" si="41"/>
        <v>1.712261416403736</v>
      </c>
      <c r="Q533" s="257">
        <f>IFERROR(INDEX('Both teabags AfterDry'!$D$2:$D$2000,MATCH(L533,'Both teabags AfterDry'!$A$2:$A$2000,0)),"")</f>
        <v>1.8685</v>
      </c>
      <c r="R533" s="257">
        <f>IFERROR(IF(Q533&gt;0,Q533-(TBIcalc!$Q$9),""),"")</f>
        <v>1.7179</v>
      </c>
      <c r="S533" s="268">
        <f>IFERROR(INDEX('Ashed teabags dry'!$K$2:$K$2000,MATCH(L533,'Ashed teabags dry'!$A$2:$A$2000,0)),"")</f>
        <v>5.9040590405909334</v>
      </c>
      <c r="T533" s="268">
        <f t="shared" si="42"/>
        <v>1.6164741697416884</v>
      </c>
      <c r="U533" s="258">
        <f>IF('Dry_Litterbag Placem_Collection'!E94="","",'Dry_Litterbag Placem_Collection'!E94)</f>
        <v>42937</v>
      </c>
      <c r="V533" s="258">
        <f>IF('Dry_Litterbag Placem_Collection'!G94="","",'Dry_Litterbag Placem_Collection'!G94)</f>
        <v>43006</v>
      </c>
      <c r="W533" s="259">
        <f t="shared" si="40"/>
        <v>69</v>
      </c>
      <c r="X533" s="257">
        <f t="shared" si="43"/>
        <v>9.4299999999999828E-2</v>
      </c>
      <c r="Y533" s="257">
        <f t="shared" si="44"/>
        <v>9.578724666204752E-2</v>
      </c>
      <c r="Z533" s="261">
        <f>IFERROR(INDEX([3]Rainfall_Dry!$O$2:$O$217,MATCH(C533, [3]Rainfall_Dry!$A$2:$A$217,0)),"")</f>
        <v>12.563016860999999</v>
      </c>
      <c r="AA533" s="250">
        <v>28.145762029394</v>
      </c>
      <c r="AB533" s="250">
        <v>25.085564727199518</v>
      </c>
      <c r="AC533" s="250">
        <v>46.768673243406489</v>
      </c>
      <c r="AD533" s="251" t="s">
        <v>2651</v>
      </c>
      <c r="AE533" s="250">
        <v>5.1716214884179399</v>
      </c>
      <c r="AF533">
        <f>IF('WetLitterbags placem_collection'!AB94="","",'WetLitterbags placem_collection'!AB94)</f>
        <v>7.7</v>
      </c>
      <c r="AG533">
        <f>IF('WetLitterbags placem_collection'!Z94="","",'WetLitterbags placem_collection'!Z94)</f>
        <v>24.8</v>
      </c>
      <c r="AH533" s="236" t="str">
        <f>IF('WetLitterbags placem_collection'!AA94="","",'WetLitterbags placem_collection'!AA94)</f>
        <v>O</v>
      </c>
      <c r="AI533">
        <f>IF('WetLitterbags placem_collection'!AC94="","",'WetLitterbags placem_collection'!AC94)</f>
        <v>1</v>
      </c>
      <c r="AJ533">
        <f>IFERROR(AVERAGE('Dry_Litterbag Placem_Collection'!O94,'Dry_Litterbag Placem_Collection'!R94),"")</f>
        <v>10.25</v>
      </c>
      <c r="AK533" s="261">
        <f>IFERROR(AVERAGE('Dry_Litterbag Placem_Collection'!N94,'Dry_Litterbag Placem_Collection'!Q94),"")</f>
        <v>26</v>
      </c>
      <c r="AL533" s="260">
        <f>INDEX([2]Coordinates!$B$2:$B$197,MATCH(I533,[2]Coordinates!$J$2:$J$197,0))</f>
        <v>-3.2965539860000002</v>
      </c>
      <c r="AM533" s="260">
        <f>INDEX([2]Coordinates!$C$2:$C$197,MATCH(I533,[2]Coordinates!$J$2:$J$197,0))</f>
        <v>34.854455969999997</v>
      </c>
      <c r="AN533" s="260" t="str">
        <f>IF(ISNUMBER(SEARCH("C", 'Dry_Litterbag Placem_Collection'!U94)),"YES","NO")</f>
        <v>NO</v>
      </c>
      <c r="AO533" s="260" t="str">
        <f>IF(ISNUMBER(SEARCH("H", 'Dry_Litterbag Placem_Collection'!U94)),"YES","NO")</f>
        <v>NO</v>
      </c>
      <c r="AP533" s="260" t="str">
        <f>IF(ISNUMBER(SEARCH("R", 'Dry_Litterbag Placem_Collection'!U94)),"YES","NO")</f>
        <v>NO</v>
      </c>
    </row>
    <row r="534" spans="1:42" ht="15" customHeight="1">
      <c r="A534" t="s">
        <v>3248</v>
      </c>
      <c r="B534" s="252" t="s">
        <v>2643</v>
      </c>
      <c r="C534" s="253">
        <f>'Dry_Litterbag Placem_Collection'!A95</f>
        <v>93</v>
      </c>
      <c r="D534" s="253" t="str">
        <f>'Dry_Litterbag Placem_Collection'!B95</f>
        <v>Maswa</v>
      </c>
      <c r="E534" s="253" t="s">
        <v>2643</v>
      </c>
      <c r="F534" s="253" t="s">
        <v>2645</v>
      </c>
      <c r="G534" s="253">
        <v>4</v>
      </c>
      <c r="H534" s="253" t="s">
        <v>3115</v>
      </c>
      <c r="I534" s="254" t="str">
        <f>'Dry_Litterbag Placem_Collection'!C95</f>
        <v>Dry_W4_T5</v>
      </c>
      <c r="J534" s="263" t="s">
        <v>2932</v>
      </c>
      <c r="K534" s="256" t="s">
        <v>1147</v>
      </c>
      <c r="L534" s="253" t="str">
        <f>IF(ISBLANK('Dry_Litterbag Placem_Collection'!L95),"","G"&amp;""&amp;'Dry_Litterbag Placem_Collection'!L95)</f>
        <v>G872</v>
      </c>
      <c r="M534" s="257">
        <f>IFERROR(INDEX('Green_rooibos initial weight'!$C$5:$C$2000,MATCH(L534, 'Green_rooibos initial weight'!$A$5:$A$2000,0)),"")</f>
        <v>2.008</v>
      </c>
      <c r="N534" s="257">
        <f>IFERROR(M534-(TBIcalc!$Q$9+TBIcalc!$Q$10),"")</f>
        <v>1.7582</v>
      </c>
      <c r="O534" s="378">
        <f>AVERAGE(Ashed_controlls!$K$2:$K$11)</f>
        <v>5.5147656768714146</v>
      </c>
      <c r="P534" s="257">
        <f t="shared" si="41"/>
        <v>1.6612393898692468</v>
      </c>
      <c r="Q534" s="257">
        <f>IFERROR(INDEX('Both teabags AfterDry'!$D$2:$D$2000,MATCH(L534,'Both teabags AfterDry'!$A$2:$A$2000,0)),"")</f>
        <v>1.8389</v>
      </c>
      <c r="R534" s="257">
        <f>IFERROR(IF(Q534&gt;0,Q534-(TBIcalc!$Q$9),""),"")</f>
        <v>1.6882999999999999</v>
      </c>
      <c r="S534" s="268">
        <f>IFERROR(INDEX('Ashed teabags dry'!$K$2:$K$2000,MATCH(L534,'Ashed teabags dry'!$A$2:$A$2000,0)),"")</f>
        <v>5.7008144020571656</v>
      </c>
      <c r="T534" s="268">
        <f t="shared" si="42"/>
        <v>1.5920531504500688</v>
      </c>
      <c r="U534" s="258">
        <f>IF('Dry_Litterbag Placem_Collection'!E95="","",'Dry_Litterbag Placem_Collection'!E95)</f>
        <v>42937</v>
      </c>
      <c r="V534" s="258">
        <f>IF('Dry_Litterbag Placem_Collection'!G95="","",'Dry_Litterbag Placem_Collection'!G95)</f>
        <v>43006</v>
      </c>
      <c r="W534" s="259">
        <f t="shared" si="40"/>
        <v>69</v>
      </c>
      <c r="X534" s="257">
        <f t="shared" si="43"/>
        <v>6.9900000000000073E-2</v>
      </c>
      <c r="Y534" s="257">
        <f t="shared" si="44"/>
        <v>6.9186239419178008E-2</v>
      </c>
      <c r="Z534" s="261">
        <f>IFERROR(INDEX([3]Rainfall_Dry!$O$2:$O$217,MATCH(C534, [3]Rainfall_Dry!$A$2:$A$217,0)),"")</f>
        <v>12.563016860999999</v>
      </c>
      <c r="AA534" s="250">
        <v>28.145762029394</v>
      </c>
      <c r="AB534" s="250">
        <v>25.085564727199518</v>
      </c>
      <c r="AC534" s="250">
        <v>46.768673243406489</v>
      </c>
      <c r="AD534" s="251" t="s">
        <v>2651</v>
      </c>
      <c r="AE534" s="250">
        <v>6.1716214884179399</v>
      </c>
      <c r="AF534">
        <f>IF('WetLitterbags placem_collection'!AB95="","",'WetLitterbags placem_collection'!AB95)</f>
        <v>6.6</v>
      </c>
      <c r="AG534">
        <f>IF('WetLitterbags placem_collection'!Z95="","",'WetLitterbags placem_collection'!Z95)</f>
        <v>40</v>
      </c>
      <c r="AH534" s="236" t="str">
        <f>IF('WetLitterbags placem_collection'!AA95="","",'WetLitterbags placem_collection'!AA95)</f>
        <v>O</v>
      </c>
      <c r="AI534">
        <f>IF('WetLitterbags placem_collection'!AC95="","",'WetLitterbags placem_collection'!AC95)</f>
        <v>1</v>
      </c>
      <c r="AJ534">
        <f>IFERROR(AVERAGE('Dry_Litterbag Placem_Collection'!O95,'Dry_Litterbag Placem_Collection'!R95),"")</f>
        <v>10.45</v>
      </c>
      <c r="AK534" s="261">
        <f>IFERROR(AVERAGE('Dry_Litterbag Placem_Collection'!N95,'Dry_Litterbag Placem_Collection'!Q95),"")</f>
        <v>26.4</v>
      </c>
      <c r="AL534" s="260">
        <f>INDEX([2]Coordinates!$B$2:$B$197,MATCH(I534,[2]Coordinates!$J$2:$J$197,0))</f>
        <v>-3.2964789680000002</v>
      </c>
      <c r="AM534" s="260">
        <f>INDEX([2]Coordinates!$C$2:$C$197,MATCH(I534,[2]Coordinates!$J$2:$J$197,0))</f>
        <v>34.854331000000002</v>
      </c>
      <c r="AN534" s="260" t="str">
        <f>IF(ISNUMBER(SEARCH("C", 'Dry_Litterbag Placem_Collection'!U95)),"YES","NO")</f>
        <v>NO</v>
      </c>
      <c r="AO534" s="260" t="str">
        <f>IF(ISNUMBER(SEARCH("H", 'Dry_Litterbag Placem_Collection'!U95)),"YES","NO")</f>
        <v>NO</v>
      </c>
      <c r="AP534" s="260" t="str">
        <f>IF(ISNUMBER(SEARCH("R", 'Dry_Litterbag Placem_Collection'!U95)),"YES","NO")</f>
        <v>NO</v>
      </c>
    </row>
    <row r="535" spans="1:42" ht="15" customHeight="1">
      <c r="A535" t="s">
        <v>3248</v>
      </c>
      <c r="B535" s="252" t="s">
        <v>2643</v>
      </c>
      <c r="C535" s="253">
        <f>'Dry_Litterbag Placem_Collection'!A96</f>
        <v>94</v>
      </c>
      <c r="D535" s="253" t="str">
        <f>'Dry_Litterbag Placem_Collection'!B96</f>
        <v>Maswa</v>
      </c>
      <c r="E535" s="253" t="s">
        <v>2643</v>
      </c>
      <c r="F535" s="253" t="s">
        <v>2645</v>
      </c>
      <c r="G535" s="253">
        <v>4</v>
      </c>
      <c r="H535" s="253" t="s">
        <v>3115</v>
      </c>
      <c r="I535" s="254" t="str">
        <f>'Dry_Litterbag Placem_Collection'!C96</f>
        <v>Dry_W4_T6</v>
      </c>
      <c r="J535" s="263" t="s">
        <v>2932</v>
      </c>
      <c r="K535" s="256" t="s">
        <v>1147</v>
      </c>
      <c r="L535" s="253" t="str">
        <f>IF(ISBLANK('Dry_Litterbag Placem_Collection'!L96),"","G"&amp;""&amp;'Dry_Litterbag Placem_Collection'!L96)</f>
        <v/>
      </c>
      <c r="M535" s="257" t="str">
        <f>IFERROR(INDEX('Green_rooibos initial weight'!$C$5:$C$2000,MATCH(L535, 'Green_rooibos initial weight'!$A$5:$A$2000,0)),"")</f>
        <v/>
      </c>
      <c r="N535" s="257" t="str">
        <f>IFERROR(M535-(TBIcalc!$Q$9+TBIcalc!$Q$10),"")</f>
        <v/>
      </c>
      <c r="O535" s="378">
        <f>AVERAGE(Ashed_controlls!$K$2:$K$11)</f>
        <v>5.5147656768714146</v>
      </c>
      <c r="P535" s="257" t="str">
        <f t="shared" si="41"/>
        <v/>
      </c>
      <c r="Q535" s="257" t="str">
        <f>IFERROR(INDEX('Both teabags AfterDry'!$D$2:$D$2000,MATCH(L535,'Both teabags AfterDry'!$A$2:$A$2000,0)),"")</f>
        <v/>
      </c>
      <c r="R535" s="257" t="str">
        <f>IFERROR(IF(Q535&gt;0,Q535-(TBIcalc!$Q$9),""),"")</f>
        <v/>
      </c>
      <c r="S535" s="268" t="str">
        <f>IFERROR(INDEX('Ashed teabags dry'!$K$2:$K$2000,MATCH(L535,'Ashed teabags dry'!$A$2:$A$2000,0)),"")</f>
        <v/>
      </c>
      <c r="T535" s="268" t="str">
        <f t="shared" si="42"/>
        <v/>
      </c>
      <c r="U535" s="258" t="str">
        <f>IF('Dry_Litterbag Placem_Collection'!E96="","",'Dry_Litterbag Placem_Collection'!E96)</f>
        <v/>
      </c>
      <c r="V535" s="258" t="str">
        <f>IF('Dry_Litterbag Placem_Collection'!G96="","",'Dry_Litterbag Placem_Collection'!G96)</f>
        <v/>
      </c>
      <c r="W535" s="259" t="str">
        <f t="shared" si="40"/>
        <v/>
      </c>
      <c r="X535" s="257" t="str">
        <f t="shared" si="43"/>
        <v/>
      </c>
      <c r="Y535" s="257" t="str">
        <f t="shared" si="44"/>
        <v/>
      </c>
      <c r="Z535" s="261" t="str">
        <f>IFERROR(INDEX([3]Rainfall_Dry!$O$2:$O$217,MATCH(C535, [3]Rainfall_Dry!$A$2:$A$217,0)),"")</f>
        <v/>
      </c>
      <c r="AA535" s="250">
        <v>28.145762029394</v>
      </c>
      <c r="AB535" s="250">
        <v>25.085564727199518</v>
      </c>
      <c r="AC535" s="250">
        <v>46.768673243406489</v>
      </c>
      <c r="AD535" s="251" t="s">
        <v>2651</v>
      </c>
      <c r="AE535" s="250">
        <v>7.1716214884179399</v>
      </c>
      <c r="AF535" t="str">
        <f>IF('WetLitterbags placem_collection'!AB96="","",'WetLitterbags placem_collection'!AB96)</f>
        <v/>
      </c>
      <c r="AG535" t="str">
        <f>IF('WetLitterbags placem_collection'!Z96="","",'WetLitterbags placem_collection'!Z96)</f>
        <v/>
      </c>
      <c r="AH535" s="236" t="str">
        <f>IF('WetLitterbags placem_collection'!AA96="","",'WetLitterbags placem_collection'!AA96)</f>
        <v/>
      </c>
      <c r="AI535" t="str">
        <f>IF('WetLitterbags placem_collection'!AC96="","",'WetLitterbags placem_collection'!AC96)</f>
        <v/>
      </c>
      <c r="AJ535" t="str">
        <f>IFERROR(AVERAGE('Dry_Litterbag Placem_Collection'!O96,'Dry_Litterbag Placem_Collection'!R96),"")</f>
        <v/>
      </c>
      <c r="AK535" s="261" t="str">
        <f>IFERROR(AVERAGE('Dry_Litterbag Placem_Collection'!N96,'Dry_Litterbag Placem_Collection'!Q96),"")</f>
        <v/>
      </c>
      <c r="AL535" s="260">
        <f>INDEX([2]Coordinates!$B$2:$B$197,MATCH(I535,[2]Coordinates!$J$2:$J$197,0))</f>
        <v>-3.2964649700000002</v>
      </c>
      <c r="AM535" s="260">
        <f>INDEX([2]Coordinates!$C$2:$C$197,MATCH(I535,[2]Coordinates!$J$2:$J$197,0))</f>
        <v>34.854340970000003</v>
      </c>
      <c r="AN535" s="260" t="str">
        <f>IF(ISNUMBER(SEARCH("C", 'Dry_Litterbag Placem_Collection'!U96)),"YES","NO")</f>
        <v>NO</v>
      </c>
      <c r="AO535" s="260" t="str">
        <f>IF(ISNUMBER(SEARCH("H", 'Dry_Litterbag Placem_Collection'!U96)),"YES","NO")</f>
        <v>NO</v>
      </c>
      <c r="AP535" s="260" t="str">
        <f>IF(ISNUMBER(SEARCH("R", 'Dry_Litterbag Placem_Collection'!U96)),"YES","NO")</f>
        <v>NO</v>
      </c>
    </row>
    <row r="536" spans="1:42" ht="15" customHeight="1">
      <c r="A536" t="s">
        <v>3248</v>
      </c>
      <c r="B536" s="252" t="s">
        <v>2643</v>
      </c>
      <c r="C536" s="253">
        <f>'Dry_Litterbag Placem_Collection'!A97</f>
        <v>95</v>
      </c>
      <c r="D536" s="253" t="str">
        <f>'Dry_Litterbag Placem_Collection'!B97</f>
        <v>Maswa</v>
      </c>
      <c r="E536" s="253" t="s">
        <v>2643</v>
      </c>
      <c r="F536" s="253" t="s">
        <v>2645</v>
      </c>
      <c r="G536" s="253">
        <v>4</v>
      </c>
      <c r="H536" s="253" t="s">
        <v>3115</v>
      </c>
      <c r="I536" s="254" t="str">
        <f>'Dry_Litterbag Placem_Collection'!C97</f>
        <v>Dry_W4_T7</v>
      </c>
      <c r="J536" s="263" t="s">
        <v>2932</v>
      </c>
      <c r="K536" s="256" t="s">
        <v>1147</v>
      </c>
      <c r="L536" s="253" t="str">
        <f>IF(ISBLANK('Dry_Litterbag Placem_Collection'!L97),"","G"&amp;""&amp;'Dry_Litterbag Placem_Collection'!L97)</f>
        <v>G844</v>
      </c>
      <c r="M536" s="257">
        <f>IFERROR(INDEX('Green_rooibos initial weight'!$C$5:$C$2000,MATCH(L536, 'Green_rooibos initial weight'!$A$5:$A$2000,0)),"")</f>
        <v>1.95</v>
      </c>
      <c r="N536" s="257">
        <f>IFERROR(M536-(TBIcalc!$Q$9+TBIcalc!$Q$10),"")</f>
        <v>1.7001999999999999</v>
      </c>
      <c r="O536" s="378">
        <f>AVERAGE(Ashed_controlls!$K$2:$K$11)</f>
        <v>5.5147656768714146</v>
      </c>
      <c r="P536" s="257">
        <f t="shared" si="41"/>
        <v>1.6064379539618321</v>
      </c>
      <c r="Q536" s="257">
        <f>IFERROR(INDEX('Both teabags AfterDry'!$D$2:$D$2000,MATCH(L536,'Both teabags AfterDry'!$A$2:$A$2000,0)),"")</f>
        <v>1.7751999999999999</v>
      </c>
      <c r="R536" s="257">
        <f>IFERROR(IF(Q536&gt;0,Q536-(TBIcalc!$Q$9),""),"")</f>
        <v>1.6245999999999998</v>
      </c>
      <c r="S536" s="268">
        <f>IFERROR(INDEX('Ashed teabags dry'!$K$2:$K$2000,MATCH(L536,'Ashed teabags dry'!$A$2:$A$2000,0)),"")</f>
        <v>6.2158130283436162</v>
      </c>
      <c r="T536" s="268">
        <f t="shared" si="42"/>
        <v>1.5236179015415294</v>
      </c>
      <c r="U536" s="258">
        <f>IF('Dry_Litterbag Placem_Collection'!E97="","",'Dry_Litterbag Placem_Collection'!E97)</f>
        <v>42937</v>
      </c>
      <c r="V536" s="258">
        <f>IF('Dry_Litterbag Placem_Collection'!G97="","",'Dry_Litterbag Placem_Collection'!G97)</f>
        <v>43006</v>
      </c>
      <c r="W536" s="259">
        <f t="shared" si="40"/>
        <v>69</v>
      </c>
      <c r="X536" s="257">
        <f t="shared" si="43"/>
        <v>7.5600000000000112E-2</v>
      </c>
      <c r="Y536" s="257">
        <f t="shared" si="44"/>
        <v>8.2820052420302659E-2</v>
      </c>
      <c r="Z536" s="261">
        <f>IFERROR(INDEX([3]Rainfall_Dry!$O$2:$O$217,MATCH(C536, [3]Rainfall_Dry!$A$2:$A$217,0)),"")</f>
        <v>12.563016860999999</v>
      </c>
      <c r="AA536" s="250">
        <v>28.145762029394</v>
      </c>
      <c r="AB536" s="250">
        <v>25.085564727199518</v>
      </c>
      <c r="AC536" s="250">
        <v>46.768673243406489</v>
      </c>
      <c r="AD536" s="251" t="s">
        <v>2651</v>
      </c>
      <c r="AE536" s="250">
        <v>8.1716214884179408</v>
      </c>
      <c r="AF536">
        <f>IF('WetLitterbags placem_collection'!AB97="","",'WetLitterbags placem_collection'!AB97)</f>
        <v>5.4</v>
      </c>
      <c r="AG536">
        <f>IF('WetLitterbags placem_collection'!Z97="","",'WetLitterbags placem_collection'!Z97)</f>
        <v>15.2</v>
      </c>
      <c r="AH536" s="236" t="str">
        <f>IF('WetLitterbags placem_collection'!AA97="","",'WetLitterbags placem_collection'!AA97)</f>
        <v>O</v>
      </c>
      <c r="AI536">
        <f>IF('WetLitterbags placem_collection'!AC97="","",'WetLitterbags placem_collection'!AC97)</f>
        <v>0</v>
      </c>
      <c r="AJ536">
        <f>IFERROR(AVERAGE('Dry_Litterbag Placem_Collection'!O97,'Dry_Litterbag Placem_Collection'!R97),"")</f>
        <v>8.75</v>
      </c>
      <c r="AK536" s="261">
        <f>IFERROR(AVERAGE('Dry_Litterbag Placem_Collection'!N97,'Dry_Litterbag Placem_Collection'!Q97),"")</f>
        <v>27.35</v>
      </c>
      <c r="AL536" s="260">
        <f>INDEX([2]Coordinates!$B$2:$B$197,MATCH(I536,[2]Coordinates!$J$2:$J$197,0))</f>
        <v>-3.296725983</v>
      </c>
      <c r="AM536" s="260">
        <f>INDEX([2]Coordinates!$C$2:$C$197,MATCH(I536,[2]Coordinates!$J$2:$J$197,0))</f>
        <v>34.854216000000001</v>
      </c>
      <c r="AN536" s="260" t="str">
        <f>IF(ISNUMBER(SEARCH("C", 'Dry_Litterbag Placem_Collection'!U97)),"YES","NO")</f>
        <v>NO</v>
      </c>
      <c r="AO536" s="260" t="str">
        <f>IF(ISNUMBER(SEARCH("H", 'Dry_Litterbag Placem_Collection'!U97)),"YES","NO")</f>
        <v>NO</v>
      </c>
      <c r="AP536" s="260" t="str">
        <f>IF(ISNUMBER(SEARCH("R", 'Dry_Litterbag Placem_Collection'!U97)),"YES","NO")</f>
        <v>NO</v>
      </c>
    </row>
    <row r="537" spans="1:42" ht="15" customHeight="1">
      <c r="A537" t="s">
        <v>3248</v>
      </c>
      <c r="B537" s="252" t="s">
        <v>2643</v>
      </c>
      <c r="C537" s="253">
        <f>'Dry_Litterbag Placem_Collection'!A98</f>
        <v>96</v>
      </c>
      <c r="D537" s="253" t="str">
        <f>'Dry_Litterbag Placem_Collection'!B98</f>
        <v>Maswa</v>
      </c>
      <c r="E537" s="253" t="s">
        <v>2643</v>
      </c>
      <c r="F537" s="253" t="s">
        <v>2645</v>
      </c>
      <c r="G537" s="253">
        <v>4</v>
      </c>
      <c r="H537" s="253" t="s">
        <v>3115</v>
      </c>
      <c r="I537" s="254" t="str">
        <f>'Dry_Litterbag Placem_Collection'!C98</f>
        <v>Dry_W4_T8</v>
      </c>
      <c r="J537" s="263" t="s">
        <v>2932</v>
      </c>
      <c r="K537" s="256" t="s">
        <v>1147</v>
      </c>
      <c r="L537" s="253" t="str">
        <f>IF(ISBLANK('Dry_Litterbag Placem_Collection'!L98),"","G"&amp;""&amp;'Dry_Litterbag Placem_Collection'!L98)</f>
        <v>G372</v>
      </c>
      <c r="M537" s="257">
        <f>IFERROR(INDEX('Green_rooibos initial weight'!$C$5:$C$2000,MATCH(L537, 'Green_rooibos initial weight'!$A$5:$A$2000,0)),"")</f>
        <v>2.1539999999999999</v>
      </c>
      <c r="N537" s="257">
        <f>IFERROR(M537-(TBIcalc!$Q$9+TBIcalc!$Q$10),"")</f>
        <v>1.9041999999999999</v>
      </c>
      <c r="O537" s="378">
        <f>AVERAGE(Ashed_controlls!$K$2:$K$11)</f>
        <v>5.5147656768714146</v>
      </c>
      <c r="P537" s="257">
        <f t="shared" si="41"/>
        <v>1.7991878319810144</v>
      </c>
      <c r="Q537" s="257">
        <f>IFERROR(INDEX('Both teabags AfterDry'!$D$2:$D$2000,MATCH(L537,'Both teabags AfterDry'!$A$2:$A$2000,0)),"")</f>
        <v>1.9605999999999999</v>
      </c>
      <c r="R537" s="257">
        <f>IFERROR(IF(Q537&gt;0,Q537-(TBIcalc!$Q$9),""),"")</f>
        <v>1.8099999999999998</v>
      </c>
      <c r="S537" s="268">
        <f>IFERROR(INDEX('Ashed teabags dry'!$K$2:$K$2000,MATCH(L537,'Ashed teabags dry'!$A$2:$A$2000,0)),"")</f>
        <v>5.7128906249998721</v>
      </c>
      <c r="T537" s="268">
        <f t="shared" si="42"/>
        <v>1.7065966796875021</v>
      </c>
      <c r="U537" s="258">
        <f>IF('Dry_Litterbag Placem_Collection'!E98="","",'Dry_Litterbag Placem_Collection'!E98)</f>
        <v>42937</v>
      </c>
      <c r="V537" s="258">
        <f>IF('Dry_Litterbag Placem_Collection'!G98="","",'Dry_Litterbag Placem_Collection'!G98)</f>
        <v>43006</v>
      </c>
      <c r="W537" s="259">
        <f t="shared" si="40"/>
        <v>69</v>
      </c>
      <c r="X537" s="257">
        <f t="shared" si="43"/>
        <v>9.4200000000000061E-2</v>
      </c>
      <c r="Y537" s="257">
        <f t="shared" si="44"/>
        <v>9.2591152293512335E-2</v>
      </c>
      <c r="Z537" s="261">
        <f>IFERROR(INDEX([3]Rainfall_Dry!$O$2:$O$217,MATCH(C537, [3]Rainfall_Dry!$A$2:$A$217,0)),"")</f>
        <v>12.563016860999999</v>
      </c>
      <c r="AA537" s="250">
        <v>28.145762029394</v>
      </c>
      <c r="AB537" s="250">
        <v>25.085564727199518</v>
      </c>
      <c r="AC537" s="250">
        <v>46.768673243406489</v>
      </c>
      <c r="AD537" s="251" t="s">
        <v>2651</v>
      </c>
      <c r="AE537" s="250">
        <v>9.1716214884179408</v>
      </c>
      <c r="AF537">
        <f>IF('WetLitterbags placem_collection'!AB98="","",'WetLitterbags placem_collection'!AB98)</f>
        <v>4</v>
      </c>
      <c r="AG537">
        <f>IF('WetLitterbags placem_collection'!Z98="","",'WetLitterbags placem_collection'!Z98)</f>
        <v>34.4</v>
      </c>
      <c r="AH537" s="236" t="str">
        <f>IF('WetLitterbags placem_collection'!AA98="","",'WetLitterbags placem_collection'!AA98)</f>
        <v>O</v>
      </c>
      <c r="AI537">
        <f>IF('WetLitterbags placem_collection'!AC98="","",'WetLitterbags placem_collection'!AC98)</f>
        <v>0</v>
      </c>
      <c r="AJ537">
        <f>IFERROR(AVERAGE('Dry_Litterbag Placem_Collection'!O98,'Dry_Litterbag Placem_Collection'!R98),"")</f>
        <v>5.0999999999999996</v>
      </c>
      <c r="AK537" s="261">
        <f>IFERROR(AVERAGE('Dry_Litterbag Placem_Collection'!N98,'Dry_Litterbag Placem_Collection'!Q98),"")</f>
        <v>25.950000000000003</v>
      </c>
      <c r="AL537" s="260">
        <f>INDEX([2]Coordinates!$B$2:$B$197,MATCH(I537,[2]Coordinates!$J$2:$J$197,0))</f>
        <v>-3.2968360369999998</v>
      </c>
      <c r="AM537" s="260">
        <f>INDEX([2]Coordinates!$C$2:$C$197,MATCH(I537,[2]Coordinates!$J$2:$J$197,0))</f>
        <v>34.854462009999999</v>
      </c>
      <c r="AN537" s="260" t="str">
        <f>IF(ISNUMBER(SEARCH("C", 'Dry_Litterbag Placem_Collection'!U98)),"YES","NO")</f>
        <v>NO</v>
      </c>
      <c r="AO537" s="260" t="str">
        <f>IF(ISNUMBER(SEARCH("H", 'Dry_Litterbag Placem_Collection'!U98)),"YES","NO")</f>
        <v>NO</v>
      </c>
      <c r="AP537" s="260" t="str">
        <f>IF(ISNUMBER(SEARCH("R", 'Dry_Litterbag Placem_Collection'!U98)),"YES","NO")</f>
        <v>NO</v>
      </c>
    </row>
    <row r="538" spans="1:42" ht="15" customHeight="1">
      <c r="A538" t="s">
        <v>3248</v>
      </c>
      <c r="B538" s="252" t="s">
        <v>2643</v>
      </c>
      <c r="C538" s="253">
        <f>'Dry_Litterbag Placem_Collection'!A99</f>
        <v>97</v>
      </c>
      <c r="D538" s="253" t="str">
        <f>'Dry_Litterbag Placem_Collection'!B99</f>
        <v xml:space="preserve">Mwantimba
</v>
      </c>
      <c r="E538" s="253" t="s">
        <v>2454</v>
      </c>
      <c r="F538" s="253" t="s">
        <v>2644</v>
      </c>
      <c r="G538" s="253">
        <v>1</v>
      </c>
      <c r="H538" s="253" t="s">
        <v>3116</v>
      </c>
      <c r="I538" s="254" t="str">
        <f>'Dry_Litterbag Placem_Collection'!C99</f>
        <v>Wet_Ag1_T1</v>
      </c>
      <c r="J538" s="263" t="s">
        <v>2932</v>
      </c>
      <c r="K538" s="256" t="s">
        <v>1147</v>
      </c>
      <c r="L538" s="253" t="str">
        <f>IF(ISBLANK('Dry_Litterbag Placem_Collection'!L99),"","G"&amp;""&amp;'Dry_Litterbag Placem_Collection'!L99)</f>
        <v>G3</v>
      </c>
      <c r="M538" s="257">
        <f>IFERROR(INDEX('Green_rooibos initial weight'!$C$5:$C$2000,MATCH(L538, 'Green_rooibos initial weight'!$A$5:$A$2000,0)),"")</f>
        <v>2.0470000000000002</v>
      </c>
      <c r="N538" s="257">
        <f>IFERROR(M538-(TBIcalc!$Q$9+TBIcalc!$Q$10),"")</f>
        <v>1.7972000000000001</v>
      </c>
      <c r="O538" s="378">
        <f>AVERAGE(Ashed_controlls!$K$2:$K$11)</f>
        <v>5.5147656768714146</v>
      </c>
      <c r="P538" s="257">
        <f t="shared" si="41"/>
        <v>1.698088631255267</v>
      </c>
      <c r="Q538" s="257" t="str">
        <f>IFERROR(INDEX('Both teabags AfterDry'!$D$2:$D$2000,MATCH(L538,'Both teabags AfterDry'!$A$2:$A$2000,0)),"")</f>
        <v/>
      </c>
      <c r="R538" s="257" t="str">
        <f>IFERROR(IF(Q538&gt;0,Q538-(TBIcalc!$Q$9),""),"")</f>
        <v/>
      </c>
      <c r="S538" s="268" t="str">
        <f>IFERROR(INDEX('Ashed teabags dry'!$K$2:$K$2000,MATCH(L538,'Ashed teabags dry'!$A$2:$A$2000,0)),"")</f>
        <v/>
      </c>
      <c r="T538" s="268" t="str">
        <f t="shared" si="42"/>
        <v/>
      </c>
      <c r="U538" s="258">
        <f>IF('Dry_Litterbag Placem_Collection'!E99="","",'Dry_Litterbag Placem_Collection'!E99)</f>
        <v>42939</v>
      </c>
      <c r="V538" s="258">
        <f>IF('Dry_Litterbag Placem_Collection'!G99="","",'Dry_Litterbag Placem_Collection'!G99)</f>
        <v>43010</v>
      </c>
      <c r="W538" s="259">
        <f t="shared" si="40"/>
        <v>71</v>
      </c>
      <c r="X538" s="257" t="str">
        <f t="shared" si="43"/>
        <v/>
      </c>
      <c r="Y538" s="257" t="str">
        <f t="shared" si="44"/>
        <v/>
      </c>
      <c r="Z538" s="261">
        <f>IFERROR(INDEX([3]Rainfall_Dry!$O$2:$O$217,MATCH(C538, [3]Rainfall_Dry!$A$2:$A$217,0)),"")</f>
        <v>137.19979645800001</v>
      </c>
      <c r="AA538" s="250">
        <v>45.96</v>
      </c>
      <c r="AB538" s="250">
        <v>14.920000000000003</v>
      </c>
      <c r="AC538" s="250">
        <v>39.119999999999997</v>
      </c>
      <c r="AD538" s="251" t="s">
        <v>2654</v>
      </c>
      <c r="AE538" s="250">
        <v>2.0374568753080333</v>
      </c>
      <c r="AF538">
        <f>IF('WetLitterbags placem_collection'!AB99="","",'WetLitterbags placem_collection'!AB99)</f>
        <v>2.4</v>
      </c>
      <c r="AG538">
        <f>IF('WetLitterbags placem_collection'!Z99="","",'WetLitterbags placem_collection'!Z99)</f>
        <v>8.9</v>
      </c>
      <c r="AH538" s="236" t="str">
        <f>IF('WetLitterbags placem_collection'!AA99="","",'WetLitterbags placem_collection'!AA99)</f>
        <v>G</v>
      </c>
      <c r="AI538">
        <f>IF('WetLitterbags placem_collection'!AC99="","",'WetLitterbags placem_collection'!AC99)</f>
        <v>1</v>
      </c>
      <c r="AJ538">
        <f>IFERROR(AVERAGE('Dry_Litterbag Placem_Collection'!O99,'Dry_Litterbag Placem_Collection'!R99),"")</f>
        <v>6.6</v>
      </c>
      <c r="AK538" s="261">
        <f>IFERROR(AVERAGE('Dry_Litterbag Placem_Collection'!N99,'Dry_Litterbag Placem_Collection'!Q99),"")</f>
        <v>28.5</v>
      </c>
      <c r="AL538" s="260">
        <f>INDEX([2]Coordinates!$B$2:$B$197,MATCH(I538,[2]Coordinates!$J$2:$J$197,0))</f>
        <v>-2.3691620310000001</v>
      </c>
      <c r="AM538" s="260">
        <f>INDEX([2]Coordinates!$C$2:$C$197,MATCH(I538,[2]Coordinates!$J$2:$J$197,0))</f>
        <v>34.06028104</v>
      </c>
      <c r="AN538" s="260" t="str">
        <f>IF(ISNUMBER(SEARCH("C", 'Dry_Litterbag Placem_Collection'!U99)),"YES","NO")</f>
        <v>NO</v>
      </c>
      <c r="AO538" s="260" t="str">
        <f>IF(ISNUMBER(SEARCH("H", 'Dry_Litterbag Placem_Collection'!U99)),"YES","NO")</f>
        <v>NO</v>
      </c>
      <c r="AP538" s="260" t="str">
        <f>IF(ISNUMBER(SEARCH("R", 'Dry_Litterbag Placem_Collection'!U99)),"YES","NO")</f>
        <v>NO</v>
      </c>
    </row>
    <row r="539" spans="1:42" ht="15" customHeight="1">
      <c r="A539" t="s">
        <v>3248</v>
      </c>
      <c r="B539" s="252" t="s">
        <v>2643</v>
      </c>
      <c r="C539" s="253">
        <f>'Dry_Litterbag Placem_Collection'!A100</f>
        <v>98</v>
      </c>
      <c r="D539" s="253" t="str">
        <f>'Dry_Litterbag Placem_Collection'!B100</f>
        <v xml:space="preserve">Mwantimba
</v>
      </c>
      <c r="E539" s="253" t="s">
        <v>2454</v>
      </c>
      <c r="F539" s="253" t="s">
        <v>2644</v>
      </c>
      <c r="G539" s="253">
        <v>1</v>
      </c>
      <c r="H539" s="253" t="s">
        <v>3116</v>
      </c>
      <c r="I539" s="254" t="str">
        <f>'Dry_Litterbag Placem_Collection'!C100</f>
        <v>Wet_Ag1_T2</v>
      </c>
      <c r="J539" s="263" t="s">
        <v>2932</v>
      </c>
      <c r="K539" s="256" t="s">
        <v>1147</v>
      </c>
      <c r="L539" s="253" t="str">
        <f>IF(ISBLANK('Dry_Litterbag Placem_Collection'!L100),"","G"&amp;""&amp;'Dry_Litterbag Placem_Collection'!L100)</f>
        <v>G25</v>
      </c>
      <c r="M539" s="257">
        <f>IFERROR(INDEX('Green_rooibos initial weight'!$C$5:$C$2000,MATCH(L539, 'Green_rooibos initial weight'!$A$5:$A$2000,0)),"")</f>
        <v>2.0230000000000001</v>
      </c>
      <c r="N539" s="257">
        <f>IFERROR(M539-(TBIcalc!$Q$9+TBIcalc!$Q$10),"")</f>
        <v>1.7732000000000001</v>
      </c>
      <c r="O539" s="378">
        <f>AVERAGE(Ashed_controlls!$K$2:$K$11)</f>
        <v>5.5147656768714146</v>
      </c>
      <c r="P539" s="257">
        <f t="shared" si="41"/>
        <v>1.6754121750177162</v>
      </c>
      <c r="Q539" s="257">
        <f>IFERROR(INDEX('Both teabags AfterDry'!$D$2:$D$2000,MATCH(L539,'Both teabags AfterDry'!$A$2:$A$2000,0)),"")</f>
        <v>0.995</v>
      </c>
      <c r="R539" s="257">
        <f>IFERROR(IF(Q539&gt;0,Q539-(TBIcalc!$Q$9),""),"")</f>
        <v>0.84440000000000004</v>
      </c>
      <c r="S539" s="268">
        <f>IFERROR(INDEX('Ashed teabags dry'!$K$2:$K$2000,MATCH(L539,'Ashed teabags dry'!$A$2:$A$2000,0)),"")</f>
        <v>21.132793907663359</v>
      </c>
      <c r="T539" s="268">
        <f t="shared" si="42"/>
        <v>0.66595468824369064</v>
      </c>
      <c r="U539" s="258">
        <f>IF('Dry_Litterbag Placem_Collection'!E100="","",'Dry_Litterbag Placem_Collection'!E100)</f>
        <v>42939</v>
      </c>
      <c r="V539" s="258">
        <f>IF('Dry_Litterbag Placem_Collection'!G100="","",'Dry_Litterbag Placem_Collection'!G100)</f>
        <v>43010</v>
      </c>
      <c r="W539" s="259">
        <f t="shared" si="40"/>
        <v>71</v>
      </c>
      <c r="X539" s="257">
        <f t="shared" si="43"/>
        <v>0.92880000000000007</v>
      </c>
      <c r="Y539" s="257">
        <f t="shared" si="44"/>
        <v>1.0094574867740256</v>
      </c>
      <c r="Z539" s="261">
        <f>IFERROR(INDEX([3]Rainfall_Dry!$O$2:$O$217,MATCH(C539, [3]Rainfall_Dry!$A$2:$A$217,0)),"")</f>
        <v>137.19979645800001</v>
      </c>
      <c r="AA539" s="250">
        <v>45.96</v>
      </c>
      <c r="AB539" s="250">
        <v>14.920000000000003</v>
      </c>
      <c r="AC539" s="250">
        <v>39.119999999999997</v>
      </c>
      <c r="AD539" s="251" t="s">
        <v>2654</v>
      </c>
      <c r="AE539" s="250">
        <v>3.0374568753080302</v>
      </c>
      <c r="AF539">
        <f>IF('WetLitterbags placem_collection'!AB100="","",'WetLitterbags placem_collection'!AB100)</f>
        <v>7.8</v>
      </c>
      <c r="AG539">
        <f>IF('WetLitterbags placem_collection'!Z100="","",'WetLitterbags placem_collection'!Z100)</f>
        <v>4.45</v>
      </c>
      <c r="AH539" s="236" t="str">
        <f>IF('WetLitterbags placem_collection'!AA100="","",'WetLitterbags placem_collection'!AA100)</f>
        <v>G</v>
      </c>
      <c r="AI539">
        <f>IF('WetLitterbags placem_collection'!AC100="","",'WetLitterbags placem_collection'!AC100)</f>
        <v>1</v>
      </c>
      <c r="AJ539">
        <f>IFERROR(AVERAGE('Dry_Litterbag Placem_Collection'!O100,'Dry_Litterbag Placem_Collection'!R100),"")</f>
        <v>7.25</v>
      </c>
      <c r="AK539" s="261">
        <f>IFERROR(AVERAGE('Dry_Litterbag Placem_Collection'!N100,'Dry_Litterbag Placem_Collection'!Q100),"")</f>
        <v>29.3</v>
      </c>
      <c r="AL539" s="260">
        <f>INDEX([2]Coordinates!$B$2:$B$197,MATCH(I539,[2]Coordinates!$J$2:$J$197,0))</f>
        <v>-2.3692249790000002</v>
      </c>
      <c r="AM539" s="260">
        <f>INDEX([2]Coordinates!$C$2:$C$197,MATCH(I539,[2]Coordinates!$J$2:$J$197,0))</f>
        <v>34.060285989999997</v>
      </c>
      <c r="AN539" s="260" t="str">
        <f>IF(ISNUMBER(SEARCH("C", 'Dry_Litterbag Placem_Collection'!U100)),"YES","NO")</f>
        <v>NO</v>
      </c>
      <c r="AO539" s="260" t="str">
        <f>IF(ISNUMBER(SEARCH("H", 'Dry_Litterbag Placem_Collection'!U100)),"YES","NO")</f>
        <v>NO</v>
      </c>
      <c r="AP539" s="260" t="str">
        <f>IF(ISNUMBER(SEARCH("R", 'Dry_Litterbag Placem_Collection'!U100)),"YES","NO")</f>
        <v>NO</v>
      </c>
    </row>
    <row r="540" spans="1:42" ht="15" customHeight="1">
      <c r="A540" t="s">
        <v>3248</v>
      </c>
      <c r="B540" s="252" t="s">
        <v>2643</v>
      </c>
      <c r="C540" s="253">
        <f>'Dry_Litterbag Placem_Collection'!A101</f>
        <v>99</v>
      </c>
      <c r="D540" s="253" t="str">
        <f>'Dry_Litterbag Placem_Collection'!B101</f>
        <v xml:space="preserve">Mwantimba
</v>
      </c>
      <c r="E540" s="253" t="s">
        <v>2454</v>
      </c>
      <c r="F540" s="253" t="s">
        <v>2644</v>
      </c>
      <c r="G540" s="253">
        <v>1</v>
      </c>
      <c r="H540" s="253" t="s">
        <v>3116</v>
      </c>
      <c r="I540" s="254" t="str">
        <f>'Dry_Litterbag Placem_Collection'!C101</f>
        <v>Wet_Ag1_T3</v>
      </c>
      <c r="J540" s="263" t="s">
        <v>2932</v>
      </c>
      <c r="K540" s="256" t="s">
        <v>1147</v>
      </c>
      <c r="L540" s="253" t="str">
        <f>IF(ISBLANK('Dry_Litterbag Placem_Collection'!L101),"","G"&amp;""&amp;'Dry_Litterbag Placem_Collection'!L101)</f>
        <v/>
      </c>
      <c r="M540" s="257" t="str">
        <f>IFERROR(INDEX('Green_rooibos initial weight'!$C$5:$C$2000,MATCH(L540, 'Green_rooibos initial weight'!$A$5:$A$2000,0)),"")</f>
        <v/>
      </c>
      <c r="N540" s="257" t="str">
        <f>IFERROR(M540-(TBIcalc!$Q$9+TBIcalc!$Q$10),"")</f>
        <v/>
      </c>
      <c r="O540" s="378">
        <f>AVERAGE(Ashed_controlls!$K$2:$K$11)</f>
        <v>5.5147656768714146</v>
      </c>
      <c r="P540" s="257" t="str">
        <f t="shared" si="41"/>
        <v/>
      </c>
      <c r="Q540" s="257" t="str">
        <f>IFERROR(INDEX('Both teabags AfterDry'!$D$2:$D$2000,MATCH(L540,'Both teabags AfterDry'!$A$2:$A$2000,0)),"")</f>
        <v/>
      </c>
      <c r="R540" s="257" t="str">
        <f>IFERROR(IF(Q540&gt;0,Q540-(TBIcalc!$Q$9),""),"")</f>
        <v/>
      </c>
      <c r="S540" s="268" t="str">
        <f>IFERROR(INDEX('Ashed teabags dry'!$K$2:$K$2000,MATCH(L540,'Ashed teabags dry'!$A$2:$A$2000,0)),"")</f>
        <v/>
      </c>
      <c r="T540" s="268" t="str">
        <f t="shared" si="42"/>
        <v/>
      </c>
      <c r="U540" s="258" t="str">
        <f>IF('Dry_Litterbag Placem_Collection'!E101="","",'Dry_Litterbag Placem_Collection'!E101)</f>
        <v/>
      </c>
      <c r="V540" s="258" t="str">
        <f>IF('Dry_Litterbag Placem_Collection'!G101="","",'Dry_Litterbag Placem_Collection'!G101)</f>
        <v/>
      </c>
      <c r="W540" s="259" t="str">
        <f t="shared" si="40"/>
        <v/>
      </c>
      <c r="X540" s="257" t="str">
        <f t="shared" si="43"/>
        <v/>
      </c>
      <c r="Y540" s="257" t="str">
        <f t="shared" si="44"/>
        <v/>
      </c>
      <c r="Z540" s="261" t="str">
        <f>IFERROR(INDEX([3]Rainfall_Dry!$O$2:$O$217,MATCH(C540, [3]Rainfall_Dry!$A$2:$A$217,0)),"")</f>
        <v/>
      </c>
      <c r="AA540" s="250">
        <v>45.96</v>
      </c>
      <c r="AB540" s="250">
        <v>14.920000000000003</v>
      </c>
      <c r="AC540" s="250">
        <v>39.119999999999997</v>
      </c>
      <c r="AD540" s="251" t="s">
        <v>2654</v>
      </c>
      <c r="AE540" s="250">
        <v>4.0374568753080302</v>
      </c>
      <c r="AF540">
        <f>IF('WetLitterbags placem_collection'!AB101="","",'WetLitterbags placem_collection'!AB101)</f>
        <v>5.0999999999999996</v>
      </c>
      <c r="AG540">
        <f>IF('WetLitterbags placem_collection'!Z101="","",'WetLitterbags placem_collection'!Z101)</f>
        <v>2.2999999999999998</v>
      </c>
      <c r="AH540" s="236" t="str">
        <f>IF('WetLitterbags placem_collection'!AA101="","",'WetLitterbags placem_collection'!AA101)</f>
        <v>G</v>
      </c>
      <c r="AI540">
        <f>IF('WetLitterbags placem_collection'!AC101="","",'WetLitterbags placem_collection'!AC101)</f>
        <v>0</v>
      </c>
      <c r="AJ540" t="str">
        <f>IFERROR(AVERAGE('Dry_Litterbag Placem_Collection'!O101,'Dry_Litterbag Placem_Collection'!R101),"")</f>
        <v/>
      </c>
      <c r="AK540" s="261" t="str">
        <f>IFERROR(AVERAGE('Dry_Litterbag Placem_Collection'!N101,'Dry_Litterbag Placem_Collection'!Q101),"")</f>
        <v/>
      </c>
      <c r="AL540" s="260">
        <f>INDEX([2]Coordinates!$B$2:$B$197,MATCH(I540,[2]Coordinates!$J$2:$J$197,0))</f>
        <v>-2.369284993</v>
      </c>
      <c r="AM540" s="260">
        <f>INDEX([2]Coordinates!$C$2:$C$197,MATCH(I540,[2]Coordinates!$J$2:$J$197,0))</f>
        <v>34.06028104</v>
      </c>
      <c r="AN540" s="260" t="str">
        <f>IF(ISNUMBER(SEARCH("C", 'Dry_Litterbag Placem_Collection'!U101)),"YES","NO")</f>
        <v>NO</v>
      </c>
      <c r="AO540" s="260" t="str">
        <f>IF(ISNUMBER(SEARCH("H", 'Dry_Litterbag Placem_Collection'!U101)),"YES","NO")</f>
        <v>NO</v>
      </c>
      <c r="AP540" s="260" t="str">
        <f>IF(ISNUMBER(SEARCH("R", 'Dry_Litterbag Placem_Collection'!U101)),"YES","NO")</f>
        <v>NO</v>
      </c>
    </row>
    <row r="541" spans="1:42" ht="15" customHeight="1">
      <c r="A541" t="s">
        <v>3248</v>
      </c>
      <c r="B541" s="252" t="s">
        <v>2643</v>
      </c>
      <c r="C541" s="253">
        <f>'Dry_Litterbag Placem_Collection'!A102</f>
        <v>100</v>
      </c>
      <c r="D541" s="253" t="str">
        <f>'Dry_Litterbag Placem_Collection'!B102</f>
        <v xml:space="preserve">Mwantimba
</v>
      </c>
      <c r="E541" s="253" t="s">
        <v>2454</v>
      </c>
      <c r="F541" s="253" t="s">
        <v>2644</v>
      </c>
      <c r="G541" s="253">
        <v>1</v>
      </c>
      <c r="H541" s="253" t="s">
        <v>3116</v>
      </c>
      <c r="I541" s="254" t="str">
        <f>'Dry_Litterbag Placem_Collection'!C102</f>
        <v>Wet_Ag1_T4</v>
      </c>
      <c r="J541" s="263" t="s">
        <v>2932</v>
      </c>
      <c r="K541" s="256" t="s">
        <v>1147</v>
      </c>
      <c r="L541" s="253" t="str">
        <f>IF(ISBLANK('Dry_Litterbag Placem_Collection'!L102),"","G"&amp;""&amp;'Dry_Litterbag Placem_Collection'!L102)</f>
        <v>G187</v>
      </c>
      <c r="M541" s="257">
        <f>IFERROR(INDEX('Green_rooibos initial weight'!$C$5:$C$2000,MATCH(L541, 'Green_rooibos initial weight'!$A$5:$A$2000,0)),"")</f>
        <v>1.996</v>
      </c>
      <c r="N541" s="257">
        <f>IFERROR(M541-(TBIcalc!$Q$9+TBIcalc!$Q$10),"")</f>
        <v>1.7462</v>
      </c>
      <c r="O541" s="378">
        <f>AVERAGE(Ashed_controlls!$K$2:$K$11)</f>
        <v>5.5147656768714146</v>
      </c>
      <c r="P541" s="257">
        <f t="shared" si="41"/>
        <v>1.6499011617504713</v>
      </c>
      <c r="Q541" s="257">
        <f>IFERROR(INDEX('Both teabags AfterDry'!$D$2:$D$2000,MATCH(L541,'Both teabags AfterDry'!$A$2:$A$2000,0)),"")</f>
        <v>1.1655</v>
      </c>
      <c r="R541" s="257">
        <f>IFERROR(IF(Q541&gt;0,Q541-(TBIcalc!$Q$9),""),"")</f>
        <v>1.0148999999999999</v>
      </c>
      <c r="S541" s="268">
        <f>IFERROR(INDEX('Ashed teabags dry'!$K$2:$K$2000,MATCH(L541,'Ashed teabags dry'!$A$2:$A$2000,0)),"")</f>
        <v>10.999039385206627</v>
      </c>
      <c r="T541" s="268">
        <f t="shared" si="42"/>
        <v>0.90327074927953788</v>
      </c>
      <c r="U541" s="258">
        <f>IF('Dry_Litterbag Placem_Collection'!E102="","",'Dry_Litterbag Placem_Collection'!E102)</f>
        <v>42939</v>
      </c>
      <c r="V541" s="258">
        <f>IF('Dry_Litterbag Placem_Collection'!G102="","",'Dry_Litterbag Placem_Collection'!G102)</f>
        <v>43010</v>
      </c>
      <c r="W541" s="259">
        <f t="shared" si="40"/>
        <v>71</v>
      </c>
      <c r="X541" s="257">
        <f t="shared" si="43"/>
        <v>0.73130000000000006</v>
      </c>
      <c r="Y541" s="257">
        <f t="shared" si="44"/>
        <v>0.74663041247093342</v>
      </c>
      <c r="Z541" s="261">
        <f>IFERROR(INDEX([3]Rainfall_Dry!$O$2:$O$217,MATCH(C541, [3]Rainfall_Dry!$A$2:$A$217,0)),"")</f>
        <v>137.19979645800001</v>
      </c>
      <c r="AA541" s="250">
        <v>45.96</v>
      </c>
      <c r="AB541" s="250">
        <v>14.920000000000003</v>
      </c>
      <c r="AC541" s="250">
        <v>39.119999999999997</v>
      </c>
      <c r="AD541" s="251" t="s">
        <v>2654</v>
      </c>
      <c r="AE541" s="250">
        <v>5.0374568753080302</v>
      </c>
      <c r="AF541">
        <f>IF('WetLitterbags placem_collection'!AB102="","",'WetLitterbags placem_collection'!AB102)</f>
        <v>1.6</v>
      </c>
      <c r="AG541">
        <f>IF('WetLitterbags placem_collection'!Z102="","",'WetLitterbags placem_collection'!Z102)</f>
        <v>15</v>
      </c>
      <c r="AH541" s="236" t="str">
        <f>IF('WetLitterbags placem_collection'!AA102="","",'WetLitterbags placem_collection'!AA102)</f>
        <v>G</v>
      </c>
      <c r="AI541">
        <f>IF('WetLitterbags placem_collection'!AC102="","",'WetLitterbags placem_collection'!AC102)</f>
        <v>1</v>
      </c>
      <c r="AJ541">
        <f>IFERROR(AVERAGE('Dry_Litterbag Placem_Collection'!O102,'Dry_Litterbag Placem_Collection'!R102),"")</f>
        <v>6.75</v>
      </c>
      <c r="AK541" s="261">
        <f>IFERROR(AVERAGE('Dry_Litterbag Placem_Collection'!N102,'Dry_Litterbag Placem_Collection'!Q102),"")</f>
        <v>29.1</v>
      </c>
      <c r="AL541" s="260">
        <f>INDEX([2]Coordinates!$B$2:$B$197,MATCH(I541,[2]Coordinates!$J$2:$J$197,0))</f>
        <v>-2.3691989950000001</v>
      </c>
      <c r="AM541" s="260">
        <f>INDEX([2]Coordinates!$C$2:$C$197,MATCH(I541,[2]Coordinates!$J$2:$J$197,0))</f>
        <v>34.060208029999998</v>
      </c>
      <c r="AN541" s="260" t="str">
        <f>IF(ISNUMBER(SEARCH("C", 'Dry_Litterbag Placem_Collection'!U102)),"YES","NO")</f>
        <v>NO</v>
      </c>
      <c r="AO541" s="260" t="str">
        <f>IF(ISNUMBER(SEARCH("H", 'Dry_Litterbag Placem_Collection'!U102)),"YES","NO")</f>
        <v>NO</v>
      </c>
      <c r="AP541" s="260" t="str">
        <f>IF(ISNUMBER(SEARCH("R", 'Dry_Litterbag Placem_Collection'!U102)),"YES","NO")</f>
        <v>NO</v>
      </c>
    </row>
    <row r="542" spans="1:42" ht="15" customHeight="1">
      <c r="A542" t="s">
        <v>3248</v>
      </c>
      <c r="B542" s="252" t="s">
        <v>2643</v>
      </c>
      <c r="C542" s="253">
        <f>'Dry_Litterbag Placem_Collection'!A103</f>
        <v>101</v>
      </c>
      <c r="D542" s="253" t="str">
        <f>'Dry_Litterbag Placem_Collection'!B103</f>
        <v xml:space="preserve">Mwantimba
</v>
      </c>
      <c r="E542" s="253" t="s">
        <v>2454</v>
      </c>
      <c r="F542" s="253" t="s">
        <v>2644</v>
      </c>
      <c r="G542" s="253">
        <v>1</v>
      </c>
      <c r="H542" s="253" t="s">
        <v>3116</v>
      </c>
      <c r="I542" s="254" t="str">
        <f>'Dry_Litterbag Placem_Collection'!C103</f>
        <v>Wet_Ag1_T5</v>
      </c>
      <c r="J542" s="263" t="s">
        <v>2932</v>
      </c>
      <c r="K542" s="256" t="s">
        <v>1147</v>
      </c>
      <c r="L542" s="253" t="str">
        <f>IF(ISBLANK('Dry_Litterbag Placem_Collection'!L103),"","G"&amp;""&amp;'Dry_Litterbag Placem_Collection'!L103)</f>
        <v>G398</v>
      </c>
      <c r="M542" s="257">
        <f>IFERROR(INDEX('Green_rooibos initial weight'!$C$5:$C$2000,MATCH(L542, 'Green_rooibos initial weight'!$A$5:$A$2000,0)),"")</f>
        <v>1.9870000000000001</v>
      </c>
      <c r="N542" s="257">
        <f>IFERROR(M542-(TBIcalc!$Q$9+TBIcalc!$Q$10),"")</f>
        <v>1.7372000000000001</v>
      </c>
      <c r="O542" s="378">
        <f>AVERAGE(Ashed_controlls!$K$2:$K$11)</f>
        <v>5.5147656768714146</v>
      </c>
      <c r="P542" s="257">
        <f t="shared" si="41"/>
        <v>1.64139749066139</v>
      </c>
      <c r="Q542" s="257">
        <f>IFERROR(INDEX('Both teabags AfterDry'!$D$2:$D$2000,MATCH(L542,'Both teabags AfterDry'!$A$2:$A$2000,0)),"")</f>
        <v>1.0217000000000001</v>
      </c>
      <c r="R542" s="257">
        <f>IFERROR(IF(Q542&gt;0,Q542-(TBIcalc!$Q$9),""),"")</f>
        <v>0.87109999999999999</v>
      </c>
      <c r="S542" s="268">
        <f>IFERROR(INDEX('Ashed teabags dry'!$K$2:$K$2000,MATCH(L542,'Ashed teabags dry'!$A$2:$A$2000,0)),"")</f>
        <v>14.119832791454268</v>
      </c>
      <c r="T542" s="268">
        <f t="shared" si="42"/>
        <v>0.74810213655364188</v>
      </c>
      <c r="U542" s="258">
        <f>IF('Dry_Litterbag Placem_Collection'!E103="","",'Dry_Litterbag Placem_Collection'!E103)</f>
        <v>42939</v>
      </c>
      <c r="V542" s="258">
        <f>IF('Dry_Litterbag Placem_Collection'!G103="","",'Dry_Litterbag Placem_Collection'!G103)</f>
        <v>43010</v>
      </c>
      <c r="W542" s="259">
        <f t="shared" si="40"/>
        <v>71</v>
      </c>
      <c r="X542" s="257">
        <f t="shared" si="43"/>
        <v>0.86610000000000009</v>
      </c>
      <c r="Y542" s="257">
        <f t="shared" si="44"/>
        <v>0.89329535410774807</v>
      </c>
      <c r="Z542" s="261">
        <f>IFERROR(INDEX([3]Rainfall_Dry!$O$2:$O$217,MATCH(C542, [3]Rainfall_Dry!$A$2:$A$217,0)),"")</f>
        <v>137.19979645800001</v>
      </c>
      <c r="AA542" s="250">
        <v>45.96</v>
      </c>
      <c r="AB542" s="250">
        <v>14.920000000000003</v>
      </c>
      <c r="AC542" s="250">
        <v>39.119999999999997</v>
      </c>
      <c r="AD542" s="251" t="s">
        <v>2654</v>
      </c>
      <c r="AE542" s="250">
        <v>6.0374568753080302</v>
      </c>
      <c r="AF542">
        <f>IF('WetLitterbags placem_collection'!AB103="","",'WetLitterbags placem_collection'!AB103)</f>
        <v>4.3499999999999996</v>
      </c>
      <c r="AG542">
        <f>IF('WetLitterbags placem_collection'!Z103="","",'WetLitterbags placem_collection'!Z103)</f>
        <v>17</v>
      </c>
      <c r="AH542" s="236" t="str">
        <f>IF('WetLitterbags placem_collection'!AA103="","",'WetLitterbags placem_collection'!AA103)</f>
        <v>G</v>
      </c>
      <c r="AI542">
        <f>IF('WetLitterbags placem_collection'!AC103="","",'WetLitterbags placem_collection'!AC103)</f>
        <v>1</v>
      </c>
      <c r="AJ542">
        <f>IFERROR(AVERAGE('Dry_Litterbag Placem_Collection'!O103,'Dry_Litterbag Placem_Collection'!R103),"")</f>
        <v>7.75</v>
      </c>
      <c r="AK542" s="261">
        <f>IFERROR(AVERAGE('Dry_Litterbag Placem_Collection'!N103,'Dry_Litterbag Placem_Collection'!Q103),"")</f>
        <v>29.549999999999997</v>
      </c>
      <c r="AL542" s="260">
        <f>INDEX([2]Coordinates!$B$2:$B$197,MATCH(I542,[2]Coordinates!$J$2:$J$197,0))</f>
        <v>-2.3691900260000001</v>
      </c>
      <c r="AM542" s="260">
        <f>INDEX([2]Coordinates!$C$2:$C$197,MATCH(I542,[2]Coordinates!$J$2:$J$197,0))</f>
        <v>34.060177019999998</v>
      </c>
      <c r="AN542" s="260" t="str">
        <f>IF(ISNUMBER(SEARCH("C", 'Dry_Litterbag Placem_Collection'!U103)),"YES","NO")</f>
        <v>NO</v>
      </c>
      <c r="AO542" s="260" t="str">
        <f>IF(ISNUMBER(SEARCH("H", 'Dry_Litterbag Placem_Collection'!U103)),"YES","NO")</f>
        <v>NO</v>
      </c>
      <c r="AP542" s="260" t="str">
        <f>IF(ISNUMBER(SEARCH("R", 'Dry_Litterbag Placem_Collection'!U103)),"YES","NO")</f>
        <v>NO</v>
      </c>
    </row>
    <row r="543" spans="1:42" ht="15" customHeight="1">
      <c r="A543" t="s">
        <v>3248</v>
      </c>
      <c r="B543" s="252" t="s">
        <v>2643</v>
      </c>
      <c r="C543" s="253">
        <f>'Dry_Litterbag Placem_Collection'!A104</f>
        <v>102</v>
      </c>
      <c r="D543" s="253" t="str">
        <f>'Dry_Litterbag Placem_Collection'!B104</f>
        <v xml:space="preserve">Mwantimba
</v>
      </c>
      <c r="E543" s="253" t="s">
        <v>2454</v>
      </c>
      <c r="F543" s="253" t="s">
        <v>2644</v>
      </c>
      <c r="G543" s="253">
        <v>1</v>
      </c>
      <c r="H543" s="253" t="s">
        <v>3116</v>
      </c>
      <c r="I543" s="254" t="str">
        <f>'Dry_Litterbag Placem_Collection'!C104</f>
        <v>Wet_Ag1_T6</v>
      </c>
      <c r="J543" s="263" t="s">
        <v>2932</v>
      </c>
      <c r="K543" s="256" t="s">
        <v>1147</v>
      </c>
      <c r="L543" s="253" t="str">
        <f>IF(ISBLANK('Dry_Litterbag Placem_Collection'!L104),"","G"&amp;""&amp;'Dry_Litterbag Placem_Collection'!L104)</f>
        <v>G120</v>
      </c>
      <c r="M543" s="257">
        <f>IFERROR(INDEX('Green_rooibos initial weight'!$C$5:$C$2000,MATCH(L543, 'Green_rooibos initial weight'!$A$5:$A$2000,0)),"")</f>
        <v>2.0449999999999999</v>
      </c>
      <c r="N543" s="257">
        <f>IFERROR(M543-(TBIcalc!$Q$9+TBIcalc!$Q$10),"")</f>
        <v>1.7951999999999999</v>
      </c>
      <c r="O543" s="378">
        <f>AVERAGE(Ashed_controlls!$K$2:$K$11)</f>
        <v>5.5147656768714146</v>
      </c>
      <c r="P543" s="257">
        <f t="shared" si="41"/>
        <v>1.6961989265688042</v>
      </c>
      <c r="Q543" s="257">
        <f>IFERROR(INDEX('Both teabags AfterDry'!$D$2:$D$2000,MATCH(L543,'Both teabags AfterDry'!$A$2:$A$2000,0)),"")</f>
        <v>1.0569999999999999</v>
      </c>
      <c r="R543" s="257">
        <f>IFERROR(IF(Q543&gt;0,Q543-(TBIcalc!$Q$9),""),"")</f>
        <v>0.90639999999999987</v>
      </c>
      <c r="S543" s="268">
        <f>IFERROR(INDEX('Ashed teabags dry'!$K$2:$K$2000,MATCH(L543,'Ashed teabags dry'!$A$2:$A$2000,0)),"")</f>
        <v>10.580708661416786</v>
      </c>
      <c r="T543" s="268">
        <f t="shared" si="42"/>
        <v>0.81049645669291814</v>
      </c>
      <c r="U543" s="258">
        <f>IF('Dry_Litterbag Placem_Collection'!E104="","",'Dry_Litterbag Placem_Collection'!E104)</f>
        <v>42939</v>
      </c>
      <c r="V543" s="258">
        <f>IF('Dry_Litterbag Placem_Collection'!G104="","",'Dry_Litterbag Placem_Collection'!G104)</f>
        <v>43010</v>
      </c>
      <c r="W543" s="259">
        <f t="shared" si="40"/>
        <v>71</v>
      </c>
      <c r="X543" s="257">
        <f t="shared" si="43"/>
        <v>0.88880000000000003</v>
      </c>
      <c r="Y543" s="257">
        <f t="shared" si="44"/>
        <v>0.88570246987588608</v>
      </c>
      <c r="Z543" s="261">
        <f>IFERROR(INDEX([3]Rainfall_Dry!$O$2:$O$217,MATCH(C543, [3]Rainfall_Dry!$A$2:$A$217,0)),"")</f>
        <v>137.19979645800001</v>
      </c>
      <c r="AA543" s="250">
        <v>45.96</v>
      </c>
      <c r="AB543" s="250">
        <v>14.920000000000003</v>
      </c>
      <c r="AC543" s="250">
        <v>39.119999999999997</v>
      </c>
      <c r="AD543" s="251" t="s">
        <v>2654</v>
      </c>
      <c r="AE543" s="250">
        <v>7.0374568753080302</v>
      </c>
      <c r="AF543">
        <f>IF('WetLitterbags placem_collection'!AB104="","",'WetLitterbags placem_collection'!AB104)</f>
        <v>7.7</v>
      </c>
      <c r="AG543">
        <f>IF('WetLitterbags placem_collection'!Z104="","",'WetLitterbags placem_collection'!Z104)</f>
        <v>21</v>
      </c>
      <c r="AH543" s="236" t="str">
        <f>IF('WetLitterbags placem_collection'!AA104="","",'WetLitterbags placem_collection'!AA104)</f>
        <v>G</v>
      </c>
      <c r="AI543">
        <f>IF('WetLitterbags placem_collection'!AC104="","",'WetLitterbags placem_collection'!AC104)</f>
        <v>1</v>
      </c>
      <c r="AJ543">
        <f>IFERROR(AVERAGE('Dry_Litterbag Placem_Collection'!O104,'Dry_Litterbag Placem_Collection'!R104),"")</f>
        <v>7.3000000000000007</v>
      </c>
      <c r="AK543" s="261">
        <f>IFERROR(AVERAGE('Dry_Litterbag Placem_Collection'!N104,'Dry_Litterbag Placem_Collection'!Q104),"")</f>
        <v>29.05</v>
      </c>
      <c r="AL543" s="260">
        <f>INDEX([2]Coordinates!$B$2:$B$197,MATCH(I543,[2]Coordinates!$J$2:$J$197,0))</f>
        <v>-2.3691350409999998</v>
      </c>
      <c r="AM543" s="260">
        <f>INDEX([2]Coordinates!$C$2:$C$197,MATCH(I543,[2]Coordinates!$J$2:$J$197,0))</f>
        <v>34.06018297</v>
      </c>
      <c r="AN543" s="260" t="str">
        <f>IF(ISNUMBER(SEARCH("C", 'Dry_Litterbag Placem_Collection'!U104)),"YES","NO")</f>
        <v>NO</v>
      </c>
      <c r="AO543" s="260" t="str">
        <f>IF(ISNUMBER(SEARCH("H", 'Dry_Litterbag Placem_Collection'!U104)),"YES","NO")</f>
        <v>NO</v>
      </c>
      <c r="AP543" s="260" t="str">
        <f>IF(ISNUMBER(SEARCH("R", 'Dry_Litterbag Placem_Collection'!U104)),"YES","NO")</f>
        <v>NO</v>
      </c>
    </row>
    <row r="544" spans="1:42" ht="15" customHeight="1">
      <c r="A544" t="s">
        <v>3248</v>
      </c>
      <c r="B544" s="252" t="s">
        <v>2643</v>
      </c>
      <c r="C544" s="253">
        <f>'Dry_Litterbag Placem_Collection'!A105</f>
        <v>103</v>
      </c>
      <c r="D544" s="253" t="str">
        <f>'Dry_Litterbag Placem_Collection'!B105</f>
        <v xml:space="preserve">Mwantimba
</v>
      </c>
      <c r="E544" s="253" t="s">
        <v>2454</v>
      </c>
      <c r="F544" s="253" t="s">
        <v>2644</v>
      </c>
      <c r="G544" s="253">
        <v>1</v>
      </c>
      <c r="H544" s="253" t="s">
        <v>3116</v>
      </c>
      <c r="I544" s="254" t="str">
        <f>'Dry_Litterbag Placem_Collection'!C105</f>
        <v>Wet_Ag1_T7</v>
      </c>
      <c r="J544" s="263" t="s">
        <v>2932</v>
      </c>
      <c r="K544" s="256" t="s">
        <v>1147</v>
      </c>
      <c r="L544" s="253" t="str">
        <f>IF(ISBLANK('Dry_Litterbag Placem_Collection'!L105),"","G"&amp;""&amp;'Dry_Litterbag Placem_Collection'!L105)</f>
        <v>G145</v>
      </c>
      <c r="M544" s="257">
        <f>IFERROR(INDEX('Green_rooibos initial weight'!$C$5:$C$2000,MATCH(L544, 'Green_rooibos initial weight'!$A$5:$A$2000,0)),"")</f>
        <v>2.044</v>
      </c>
      <c r="N544" s="257">
        <f>IFERROR(M544-(TBIcalc!$Q$9+TBIcalc!$Q$10),"")</f>
        <v>1.7942</v>
      </c>
      <c r="O544" s="378">
        <f>AVERAGE(Ashed_controlls!$K$2:$K$11)</f>
        <v>5.5147656768714146</v>
      </c>
      <c r="P544" s="257">
        <f t="shared" si="41"/>
        <v>1.6952540742255731</v>
      </c>
      <c r="Q544" s="257">
        <f>IFERROR(INDEX('Both teabags AfterDry'!$D$2:$D$2000,MATCH(L544,'Both teabags AfterDry'!$A$2:$A$2000,0)),"")</f>
        <v>1.0654999999999999</v>
      </c>
      <c r="R544" s="257">
        <f>IFERROR(IF(Q544&gt;0,Q544-(TBIcalc!$Q$9),""),"")</f>
        <v>0.91489999999999982</v>
      </c>
      <c r="S544" s="268">
        <f>IFERROR(INDEX('Ashed teabags dry'!$K$2:$K$2000,MATCH(L544,'Ashed teabags dry'!$A$2:$A$2000,0)),"")</f>
        <v>11.406672678088214</v>
      </c>
      <c r="T544" s="268">
        <f t="shared" si="42"/>
        <v>0.81054035166817084</v>
      </c>
      <c r="U544" s="258">
        <f>IF('Dry_Litterbag Placem_Collection'!E105="","",'Dry_Litterbag Placem_Collection'!E105)</f>
        <v>42939</v>
      </c>
      <c r="V544" s="258">
        <f>IF('Dry_Litterbag Placem_Collection'!G105="","",'Dry_Litterbag Placem_Collection'!G105)</f>
        <v>43010</v>
      </c>
      <c r="W544" s="259">
        <f t="shared" si="40"/>
        <v>71</v>
      </c>
      <c r="X544" s="257">
        <f t="shared" si="43"/>
        <v>0.87930000000000019</v>
      </c>
      <c r="Y544" s="257">
        <f t="shared" si="44"/>
        <v>0.88471372255740222</v>
      </c>
      <c r="Z544" s="261">
        <f>IFERROR(INDEX([3]Rainfall_Dry!$O$2:$O$217,MATCH(C544, [3]Rainfall_Dry!$A$2:$A$217,0)),"")</f>
        <v>137.19979645800001</v>
      </c>
      <c r="AA544" s="250">
        <v>45.96</v>
      </c>
      <c r="AB544" s="250">
        <v>14.920000000000003</v>
      </c>
      <c r="AC544" s="250">
        <v>39.119999999999997</v>
      </c>
      <c r="AD544" s="251" t="s">
        <v>2654</v>
      </c>
      <c r="AE544" s="250">
        <v>8.0374568753080293</v>
      </c>
      <c r="AF544">
        <f>IF('WetLitterbags placem_collection'!AB105="","",'WetLitterbags placem_collection'!AB105)</f>
        <v>3.25</v>
      </c>
      <c r="AG544">
        <f>IF('WetLitterbags placem_collection'!Z105="","",'WetLitterbags placem_collection'!Z105)</f>
        <v>16</v>
      </c>
      <c r="AH544" s="236" t="str">
        <f>IF('WetLitterbags placem_collection'!AA105="","",'WetLitterbags placem_collection'!AA105)</f>
        <v>G</v>
      </c>
      <c r="AI544">
        <f>IF('WetLitterbags placem_collection'!AC105="","",'WetLitterbags placem_collection'!AC105)</f>
        <v>1</v>
      </c>
      <c r="AJ544">
        <f>IFERROR(AVERAGE('Dry_Litterbag Placem_Collection'!O105,'Dry_Litterbag Placem_Collection'!R105),"")</f>
        <v>30.9</v>
      </c>
      <c r="AK544" s="261">
        <f>IFERROR(AVERAGE('Dry_Litterbag Placem_Collection'!N105,'Dry_Litterbag Placem_Collection'!Q105),"")</f>
        <v>28.799999999999997</v>
      </c>
      <c r="AL544" s="260">
        <f>INDEX([2]Coordinates!$B$2:$B$197,MATCH(I544,[2]Coordinates!$J$2:$J$197,0))</f>
        <v>-2.3691330289999999</v>
      </c>
      <c r="AM544" s="260">
        <f>INDEX([2]Coordinates!$C$2:$C$197,MATCH(I544,[2]Coordinates!$J$2:$J$197,0))</f>
        <v>34.060233009999997</v>
      </c>
      <c r="AN544" s="260" t="str">
        <f>IF(ISNUMBER(SEARCH("C", 'Dry_Litterbag Placem_Collection'!U105)),"YES","NO")</f>
        <v>NO</v>
      </c>
      <c r="AO544" s="260" t="str">
        <f>IF(ISNUMBER(SEARCH("H", 'Dry_Litterbag Placem_Collection'!U105)),"YES","NO")</f>
        <v>NO</v>
      </c>
      <c r="AP544" s="260" t="str">
        <f>IF(ISNUMBER(SEARCH("R", 'Dry_Litterbag Placem_Collection'!U105)),"YES","NO")</f>
        <v>NO</v>
      </c>
    </row>
    <row r="545" spans="1:42" ht="15" customHeight="1">
      <c r="A545" t="s">
        <v>3248</v>
      </c>
      <c r="B545" s="252" t="s">
        <v>2643</v>
      </c>
      <c r="C545" s="253">
        <f>'Dry_Litterbag Placem_Collection'!A106</f>
        <v>104</v>
      </c>
      <c r="D545" s="253" t="str">
        <f>'Dry_Litterbag Placem_Collection'!B106</f>
        <v xml:space="preserve">Mwantimba
</v>
      </c>
      <c r="E545" s="253" t="s">
        <v>2454</v>
      </c>
      <c r="F545" s="253" t="s">
        <v>2644</v>
      </c>
      <c r="G545" s="253">
        <v>1</v>
      </c>
      <c r="H545" s="253" t="s">
        <v>3116</v>
      </c>
      <c r="I545" s="254" t="str">
        <f>'Dry_Litterbag Placem_Collection'!C106</f>
        <v>Wet_Ag1_T8</v>
      </c>
      <c r="J545" s="263" t="s">
        <v>2932</v>
      </c>
      <c r="K545" s="256" t="s">
        <v>1147</v>
      </c>
      <c r="L545" s="253" t="str">
        <f>IF(ISBLANK('Dry_Litterbag Placem_Collection'!L106),"","G"&amp;""&amp;'Dry_Litterbag Placem_Collection'!L106)</f>
        <v>G76</v>
      </c>
      <c r="M545" s="257">
        <f>IFERROR(INDEX('Green_rooibos initial weight'!$C$5:$C$2000,MATCH(L545, 'Green_rooibos initial weight'!$A$5:$A$2000,0)),"")</f>
        <v>2.0129999999999999</v>
      </c>
      <c r="N545" s="257">
        <f>IFERROR(M545-(TBIcalc!$Q$9+TBIcalc!$Q$10),"")</f>
        <v>1.7631999999999999</v>
      </c>
      <c r="O545" s="378">
        <f>AVERAGE(Ashed_controlls!$K$2:$K$11)</f>
        <v>5.5147656768714146</v>
      </c>
      <c r="P545" s="257">
        <f t="shared" si="41"/>
        <v>1.665963651585403</v>
      </c>
      <c r="Q545" s="257">
        <f>IFERROR(INDEX('Both teabags AfterDry'!$D$2:$D$2000,MATCH(L545,'Both teabags AfterDry'!$A$2:$A$2000,0)),"")</f>
        <v>1.2876000000000001</v>
      </c>
      <c r="R545" s="257">
        <f>IFERROR(IF(Q545&gt;0,Q545-(TBIcalc!$Q$9),""),"")</f>
        <v>1.137</v>
      </c>
      <c r="S545" s="268">
        <f>IFERROR(INDEX('Ashed teabags dry'!$K$2:$K$2000,MATCH(L545,'Ashed teabags dry'!$A$2:$A$2000,0)),"")</f>
        <v>9.59232613908814</v>
      </c>
      <c r="T545" s="268">
        <f t="shared" si="42"/>
        <v>1.0279352517985678</v>
      </c>
      <c r="U545" s="258">
        <f>IF('Dry_Litterbag Placem_Collection'!E106="","",'Dry_Litterbag Placem_Collection'!E106)</f>
        <v>42939</v>
      </c>
      <c r="V545" s="258">
        <f>IF('Dry_Litterbag Placem_Collection'!G106="","",'Dry_Litterbag Placem_Collection'!G106)</f>
        <v>43010</v>
      </c>
      <c r="W545" s="259">
        <f t="shared" si="40"/>
        <v>71</v>
      </c>
      <c r="X545" s="257">
        <f t="shared" si="43"/>
        <v>0.62619999999999987</v>
      </c>
      <c r="Y545" s="257">
        <f t="shared" si="44"/>
        <v>0.63802839978683523</v>
      </c>
      <c r="Z545" s="261">
        <f>IFERROR(INDEX([3]Rainfall_Dry!$O$2:$O$217,MATCH(C545, [3]Rainfall_Dry!$A$2:$A$217,0)),"")</f>
        <v>137.19979645800001</v>
      </c>
      <c r="AA545" s="250">
        <v>45.96</v>
      </c>
      <c r="AB545" s="250">
        <v>14.920000000000003</v>
      </c>
      <c r="AC545" s="250">
        <v>39.119999999999997</v>
      </c>
      <c r="AD545" s="251" t="s">
        <v>2654</v>
      </c>
      <c r="AE545" s="250">
        <v>9.0374568753080293</v>
      </c>
      <c r="AF545">
        <f>IF('WetLitterbags placem_collection'!AB106="","",'WetLitterbags placem_collection'!AB106)</f>
        <v>10.5</v>
      </c>
      <c r="AG545">
        <f>IF('WetLitterbags placem_collection'!Z106="","",'WetLitterbags placem_collection'!Z106)</f>
        <v>17</v>
      </c>
      <c r="AH545" s="236" t="str">
        <f>IF('WetLitterbags placem_collection'!AA106="","",'WetLitterbags placem_collection'!AA106)</f>
        <v>G</v>
      </c>
      <c r="AI545">
        <f>IF('WetLitterbags placem_collection'!AC106="","",'WetLitterbags placem_collection'!AC106)</f>
        <v>1</v>
      </c>
      <c r="AJ545">
        <f>IFERROR(AVERAGE('Dry_Litterbag Placem_Collection'!O106,'Dry_Litterbag Placem_Collection'!R106),"")</f>
        <v>9.3000000000000007</v>
      </c>
      <c r="AK545" s="261">
        <f>IFERROR(AVERAGE('Dry_Litterbag Placem_Collection'!N106,'Dry_Litterbag Placem_Collection'!Q106),"")</f>
        <v>28.05</v>
      </c>
      <c r="AL545" s="260">
        <f>INDEX([2]Coordinates!$B$2:$B$197,MATCH(I545,[2]Coordinates!$J$2:$J$197,0))</f>
        <v>-2.3692910280000001</v>
      </c>
      <c r="AM545" s="260">
        <f>INDEX([2]Coordinates!$C$2:$C$197,MATCH(I545,[2]Coordinates!$J$2:$J$197,0))</f>
        <v>34.06016202</v>
      </c>
      <c r="AN545" s="260" t="str">
        <f>IF(ISNUMBER(SEARCH("C", 'Dry_Litterbag Placem_Collection'!U106)),"YES","NO")</f>
        <v>NO</v>
      </c>
      <c r="AO545" s="260" t="str">
        <f>IF(ISNUMBER(SEARCH("H", 'Dry_Litterbag Placem_Collection'!U106)),"YES","NO")</f>
        <v>NO</v>
      </c>
      <c r="AP545" s="260" t="str">
        <f>IF(ISNUMBER(SEARCH("R", 'Dry_Litterbag Placem_Collection'!U106)),"YES","NO")</f>
        <v>NO</v>
      </c>
    </row>
    <row r="546" spans="1:42" ht="15" customHeight="1">
      <c r="A546" t="s">
        <v>3248</v>
      </c>
      <c r="B546" s="252" t="s">
        <v>2643</v>
      </c>
      <c r="C546" s="253">
        <f>'Dry_Litterbag Placem_Collection'!A107</f>
        <v>105</v>
      </c>
      <c r="D546" s="253" t="str">
        <f>'Dry_Litterbag Placem_Collection'!B107</f>
        <v xml:space="preserve">Mwantimba
</v>
      </c>
      <c r="E546" s="253" t="s">
        <v>2454</v>
      </c>
      <c r="F546" s="253" t="s">
        <v>2644</v>
      </c>
      <c r="G546" s="253">
        <v>2</v>
      </c>
      <c r="H546" s="253" t="s">
        <v>3118</v>
      </c>
      <c r="I546" s="254" t="str">
        <f>'Dry_Litterbag Placem_Collection'!C107</f>
        <v>Wet_Ag2_T1</v>
      </c>
      <c r="J546" s="263" t="s">
        <v>2932</v>
      </c>
      <c r="K546" s="256" t="s">
        <v>1147</v>
      </c>
      <c r="L546" s="253" t="str">
        <f>IF(ISBLANK('Dry_Litterbag Placem_Collection'!L107),"","G"&amp;""&amp;'Dry_Litterbag Placem_Collection'!L107)</f>
        <v>G57</v>
      </c>
      <c r="M546" s="257">
        <f>IFERROR(INDEX('Green_rooibos initial weight'!$C$5:$C$2000,MATCH(L546, 'Green_rooibos initial weight'!$A$5:$A$2000,0)),"")</f>
        <v>2.077</v>
      </c>
      <c r="N546" s="257">
        <f>IFERROR(M546-(TBIcalc!$Q$9+TBIcalc!$Q$10),"")</f>
        <v>1.8271999999999999</v>
      </c>
      <c r="O546" s="378">
        <f>AVERAGE(Ashed_controlls!$K$2:$K$11)</f>
        <v>5.5147656768714146</v>
      </c>
      <c r="P546" s="257">
        <f t="shared" si="41"/>
        <v>1.7264342015522054</v>
      </c>
      <c r="Q546" s="257">
        <f>IFERROR(INDEX('Both teabags AfterDry'!$D$2:$D$2000,MATCH(L546,'Both teabags AfterDry'!$A$2:$A$2000,0)),"")</f>
        <v>1.0114000000000001</v>
      </c>
      <c r="R546" s="257">
        <f>IFERROR(IF(Q546&gt;0,Q546-(TBIcalc!$Q$9),""),"")</f>
        <v>0.86080000000000001</v>
      </c>
      <c r="S546" s="268">
        <f>IFERROR(INDEX('Ashed teabags dry'!$K$2:$K$2000,MATCH(L546,'Ashed teabags dry'!$A$2:$A$2000,0)),"")</f>
        <v>24.439461883408928</v>
      </c>
      <c r="T546" s="268">
        <f t="shared" si="42"/>
        <v>0.65042511210761589</v>
      </c>
      <c r="U546" s="258">
        <f>IF('Dry_Litterbag Placem_Collection'!E107="","",'Dry_Litterbag Placem_Collection'!E107)</f>
        <v>42939</v>
      </c>
      <c r="V546" s="258">
        <f>IF('Dry_Litterbag Placem_Collection'!G107="","",'Dry_Litterbag Placem_Collection'!G107)</f>
        <v>43010</v>
      </c>
      <c r="W546" s="259">
        <f t="shared" si="40"/>
        <v>71</v>
      </c>
      <c r="X546" s="257">
        <f t="shared" si="43"/>
        <v>0.96639999999999993</v>
      </c>
      <c r="Y546" s="257">
        <f t="shared" si="44"/>
        <v>1.0760090894445895</v>
      </c>
      <c r="Z546" s="261">
        <f>IFERROR(INDEX([3]Rainfall_Dry!$O$2:$O$217,MATCH(C546, [3]Rainfall_Dry!$A$2:$A$217,0)),"")</f>
        <v>137.19979645800001</v>
      </c>
      <c r="AA546" s="250">
        <v>34.344660194174757</v>
      </c>
      <c r="AB546" s="250">
        <v>19.22727272727273</v>
      </c>
      <c r="AC546" s="250">
        <v>46.428067078552509</v>
      </c>
      <c r="AD546" s="251" t="s">
        <v>2651</v>
      </c>
      <c r="AE546" s="250">
        <v>1.7452932479053718</v>
      </c>
      <c r="AF546">
        <f>IF('WetLitterbags placem_collection'!AB107="","",'WetLitterbags placem_collection'!AB107)</f>
        <v>5.5</v>
      </c>
      <c r="AG546">
        <f>IF('WetLitterbags placem_collection'!Z107="","",'WetLitterbags placem_collection'!Z107)</f>
        <v>23.5</v>
      </c>
      <c r="AH546" s="236" t="str">
        <f>IF('WetLitterbags placem_collection'!AA107="","",'WetLitterbags placem_collection'!AA107)</f>
        <v>M</v>
      </c>
      <c r="AI546">
        <f>IF('WetLitterbags placem_collection'!AC107="","",'WetLitterbags placem_collection'!AC107)</f>
        <v>0</v>
      </c>
      <c r="AJ546">
        <f>IFERROR(AVERAGE('Dry_Litterbag Placem_Collection'!O107,'Dry_Litterbag Placem_Collection'!R107),"")</f>
        <v>7.5500000000000007</v>
      </c>
      <c r="AK546" s="261">
        <f>IFERROR(AVERAGE('Dry_Litterbag Placem_Collection'!N107,'Dry_Litterbag Placem_Collection'!Q107),"")</f>
        <v>30.549999999999997</v>
      </c>
      <c r="AL546" s="260">
        <f>INDEX([2]Coordinates!$B$2:$B$197,MATCH(I546,[2]Coordinates!$J$2:$J$197,0))</f>
        <v>-2.3698080240000001</v>
      </c>
      <c r="AM546" s="260">
        <f>INDEX([2]Coordinates!$C$2:$C$197,MATCH(I546,[2]Coordinates!$J$2:$J$197,0))</f>
        <v>34.059671010000002</v>
      </c>
      <c r="AN546" s="260" t="str">
        <f>IF(ISNUMBER(SEARCH("C", 'Dry_Litterbag Placem_Collection'!U107)),"YES","NO")</f>
        <v>NO</v>
      </c>
      <c r="AO546" s="260" t="str">
        <f>IF(ISNUMBER(SEARCH("H", 'Dry_Litterbag Placem_Collection'!U107)),"YES","NO")</f>
        <v>NO</v>
      </c>
      <c r="AP546" s="260" t="str">
        <f>IF(ISNUMBER(SEARCH("R", 'Dry_Litterbag Placem_Collection'!U107)),"YES","NO")</f>
        <v>NO</v>
      </c>
    </row>
    <row r="547" spans="1:42" ht="15" customHeight="1">
      <c r="A547" t="s">
        <v>3248</v>
      </c>
      <c r="B547" s="252" t="s">
        <v>2643</v>
      </c>
      <c r="C547" s="253">
        <f>'Dry_Litterbag Placem_Collection'!A108</f>
        <v>106</v>
      </c>
      <c r="D547" s="253" t="str">
        <f>'Dry_Litterbag Placem_Collection'!B108</f>
        <v xml:space="preserve">Mwantimba
</v>
      </c>
      <c r="E547" s="253" t="s">
        <v>2454</v>
      </c>
      <c r="F547" s="253" t="s">
        <v>2644</v>
      </c>
      <c r="G547" s="253">
        <v>2</v>
      </c>
      <c r="H547" s="253" t="s">
        <v>3118</v>
      </c>
      <c r="I547" s="254" t="str">
        <f>'Dry_Litterbag Placem_Collection'!C108</f>
        <v>Wet_Ag2_T2</v>
      </c>
      <c r="J547" s="263" t="s">
        <v>2932</v>
      </c>
      <c r="K547" s="256" t="s">
        <v>1147</v>
      </c>
      <c r="L547" s="253" t="str">
        <f>IF(ISBLANK('Dry_Litterbag Placem_Collection'!L108),"","G"&amp;""&amp;'Dry_Litterbag Placem_Collection'!L108)</f>
        <v>G167</v>
      </c>
      <c r="M547" s="257">
        <f>IFERROR(INDEX('Green_rooibos initial weight'!$C$5:$C$2000,MATCH(L547, 'Green_rooibos initial weight'!$A$5:$A$2000,0)),"")</f>
        <v>1.996</v>
      </c>
      <c r="N547" s="257">
        <f>IFERROR(M547-(TBIcalc!$Q$9+TBIcalc!$Q$10),"")</f>
        <v>1.7462</v>
      </c>
      <c r="O547" s="378">
        <f>AVERAGE(Ashed_controlls!$K$2:$K$11)</f>
        <v>5.5147656768714146</v>
      </c>
      <c r="P547" s="257">
        <f t="shared" si="41"/>
        <v>1.6499011617504713</v>
      </c>
      <c r="Q547" s="257">
        <f>IFERROR(INDEX('Both teabags AfterDry'!$D$2:$D$2000,MATCH(L547,'Both teabags AfterDry'!$A$2:$A$2000,0)),"")</f>
        <v>0.98309999999999997</v>
      </c>
      <c r="R547" s="257">
        <f>IFERROR(IF(Q547&gt;0,Q547-(TBIcalc!$Q$9),""),"")</f>
        <v>0.83250000000000002</v>
      </c>
      <c r="S547" s="268">
        <f>IFERROR(INDEX('Ashed teabags dry'!$K$2:$K$2000,MATCH(L547,'Ashed teabags dry'!$A$2:$A$2000,0)),"")</f>
        <v>18.432769367765196</v>
      </c>
      <c r="T547" s="268">
        <f t="shared" si="42"/>
        <v>0.67904719501335475</v>
      </c>
      <c r="U547" s="258">
        <f>IF('Dry_Litterbag Placem_Collection'!E108="","",'Dry_Litterbag Placem_Collection'!E108)</f>
        <v>42939</v>
      </c>
      <c r="V547" s="258">
        <f>IF('Dry_Litterbag Placem_Collection'!G108="","",'Dry_Litterbag Placem_Collection'!G108)</f>
        <v>43010</v>
      </c>
      <c r="W547" s="259">
        <f t="shared" si="40"/>
        <v>71</v>
      </c>
      <c r="X547" s="257">
        <f t="shared" si="43"/>
        <v>0.91369999999999996</v>
      </c>
      <c r="Y547" s="257">
        <f t="shared" si="44"/>
        <v>0.97085396673711655</v>
      </c>
      <c r="Z547" s="261">
        <f>IFERROR(INDEX([3]Rainfall_Dry!$O$2:$O$217,MATCH(C547, [3]Rainfall_Dry!$A$2:$A$217,0)),"")</f>
        <v>137.19979645800001</v>
      </c>
      <c r="AA547" s="250">
        <v>34.344660194174757</v>
      </c>
      <c r="AB547" s="250">
        <v>19.22727272727273</v>
      </c>
      <c r="AC547" s="250">
        <v>46.428067078552509</v>
      </c>
      <c r="AD547" s="251" t="s">
        <v>2651</v>
      </c>
      <c r="AE547" s="250">
        <v>2.7452932479053702</v>
      </c>
      <c r="AF547">
        <f>IF('WetLitterbags placem_collection'!AB108="","",'WetLitterbags placem_collection'!AB108)</f>
        <v>8.6</v>
      </c>
      <c r="AG547">
        <f>IF('WetLitterbags placem_collection'!Z108="","",'WetLitterbags placem_collection'!Z108)</f>
        <v>17</v>
      </c>
      <c r="AH547" s="236" t="str">
        <f>IF('WetLitterbags placem_collection'!AA108="","",'WetLitterbags placem_collection'!AA108)</f>
        <v>M</v>
      </c>
      <c r="AI547">
        <f>IF('WetLitterbags placem_collection'!AC108="","",'WetLitterbags placem_collection'!AC108)</f>
        <v>0</v>
      </c>
      <c r="AJ547">
        <f>IFERROR(AVERAGE('Dry_Litterbag Placem_Collection'!O108,'Dry_Litterbag Placem_Collection'!R108),"")</f>
        <v>6.1</v>
      </c>
      <c r="AK547" s="261">
        <f>IFERROR(AVERAGE('Dry_Litterbag Placem_Collection'!N108,'Dry_Litterbag Placem_Collection'!Q108),"")</f>
        <v>31.3</v>
      </c>
      <c r="AL547" s="260">
        <f>INDEX([2]Coordinates!$B$2:$B$197,MATCH(I547,[2]Coordinates!$J$2:$J$197,0))</f>
        <v>-2.3697620069999998</v>
      </c>
      <c r="AM547" s="260">
        <f>INDEX([2]Coordinates!$C$2:$C$197,MATCH(I547,[2]Coordinates!$J$2:$J$197,0))</f>
        <v>34.059730010000003</v>
      </c>
      <c r="AN547" s="260" t="str">
        <f>IF(ISNUMBER(SEARCH("C", 'Dry_Litterbag Placem_Collection'!U108)),"YES","NO")</f>
        <v>NO</v>
      </c>
      <c r="AO547" s="260" t="str">
        <f>IF(ISNUMBER(SEARCH("H", 'Dry_Litterbag Placem_Collection'!U108)),"YES","NO")</f>
        <v>NO</v>
      </c>
      <c r="AP547" s="260" t="str">
        <f>IF(ISNUMBER(SEARCH("R", 'Dry_Litterbag Placem_Collection'!U108)),"YES","NO")</f>
        <v>NO</v>
      </c>
    </row>
    <row r="548" spans="1:42" ht="15" customHeight="1">
      <c r="A548" t="s">
        <v>3248</v>
      </c>
      <c r="B548" s="252" t="s">
        <v>2643</v>
      </c>
      <c r="C548" s="253">
        <f>'Dry_Litterbag Placem_Collection'!A109</f>
        <v>107</v>
      </c>
      <c r="D548" s="253" t="str">
        <f>'Dry_Litterbag Placem_Collection'!B109</f>
        <v xml:space="preserve">Mwantimba
</v>
      </c>
      <c r="E548" s="253" t="s">
        <v>2454</v>
      </c>
      <c r="F548" s="253" t="s">
        <v>2644</v>
      </c>
      <c r="G548" s="253">
        <v>2</v>
      </c>
      <c r="H548" s="253" t="s">
        <v>3118</v>
      </c>
      <c r="I548" s="254" t="str">
        <f>'Dry_Litterbag Placem_Collection'!C109</f>
        <v>Wet_Ag2_T3</v>
      </c>
      <c r="J548" s="263" t="s">
        <v>2932</v>
      </c>
      <c r="K548" s="256" t="s">
        <v>1147</v>
      </c>
      <c r="L548" s="253" t="str">
        <f>IF(ISBLANK('Dry_Litterbag Placem_Collection'!L109),"","G"&amp;""&amp;'Dry_Litterbag Placem_Collection'!L109)</f>
        <v>G208</v>
      </c>
      <c r="M548" s="257">
        <f>IFERROR(INDEX('Green_rooibos initial weight'!$C$5:$C$2000,MATCH(L548, 'Green_rooibos initial weight'!$A$5:$A$2000,0)),"")</f>
        <v>2.0019999999999998</v>
      </c>
      <c r="N548" s="257">
        <f>IFERROR(M548-(TBIcalc!$Q$9+TBIcalc!$Q$10),"")</f>
        <v>1.7521999999999998</v>
      </c>
      <c r="O548" s="378">
        <f>AVERAGE(Ashed_controlls!$K$2:$K$11)</f>
        <v>5.5147656768714146</v>
      </c>
      <c r="P548" s="257">
        <f t="shared" si="41"/>
        <v>1.6555702758098589</v>
      </c>
      <c r="Q548" s="257" t="str">
        <f>IFERROR(INDEX('Both teabags AfterDry'!$D$2:$D$2000,MATCH(L548,'Both teabags AfterDry'!$A$2:$A$2000,0)),"")</f>
        <v/>
      </c>
      <c r="R548" s="257" t="str">
        <f>IFERROR(IF(Q548&gt;0,Q548-(TBIcalc!$Q$9),""),"")</f>
        <v/>
      </c>
      <c r="S548" s="268" t="str">
        <f>IFERROR(INDEX('Ashed teabags dry'!$K$2:$K$2000,MATCH(L548,'Ashed teabags dry'!$A$2:$A$2000,0)),"")</f>
        <v/>
      </c>
      <c r="T548" s="268" t="str">
        <f t="shared" si="42"/>
        <v/>
      </c>
      <c r="U548" s="258">
        <f>IF('Dry_Litterbag Placem_Collection'!E109="","",'Dry_Litterbag Placem_Collection'!E109)</f>
        <v>42939</v>
      </c>
      <c r="V548" s="258">
        <f>IF('Dry_Litterbag Placem_Collection'!G109="","",'Dry_Litterbag Placem_Collection'!G109)</f>
        <v>43010</v>
      </c>
      <c r="W548" s="259">
        <f t="shared" si="40"/>
        <v>71</v>
      </c>
      <c r="X548" s="257" t="str">
        <f t="shared" si="43"/>
        <v/>
      </c>
      <c r="Y548" s="257" t="str">
        <f t="shared" si="44"/>
        <v/>
      </c>
      <c r="Z548" s="261">
        <f>IFERROR(INDEX([3]Rainfall_Dry!$O$2:$O$217,MATCH(C548, [3]Rainfall_Dry!$A$2:$A$217,0)),"")</f>
        <v>137.19979645800001</v>
      </c>
      <c r="AA548" s="250">
        <v>34.344660194174757</v>
      </c>
      <c r="AB548" s="250">
        <v>19.22727272727273</v>
      </c>
      <c r="AC548" s="250">
        <v>46.428067078552509</v>
      </c>
      <c r="AD548" s="251" t="s">
        <v>2651</v>
      </c>
      <c r="AE548" s="250">
        <v>3.7452932479053702</v>
      </c>
      <c r="AF548">
        <f>IF('WetLitterbags placem_collection'!AB109="","",'WetLitterbags placem_collection'!AB109)</f>
        <v>3.85</v>
      </c>
      <c r="AG548">
        <f>IF('WetLitterbags placem_collection'!Z109="","",'WetLitterbags placem_collection'!Z109)</f>
        <v>15.5</v>
      </c>
      <c r="AH548" s="236" t="str">
        <f>IF('WetLitterbags placem_collection'!AA109="","",'WetLitterbags placem_collection'!AA109)</f>
        <v>M</v>
      </c>
      <c r="AI548">
        <f>IF('WetLitterbags placem_collection'!AC109="","",'WetLitterbags placem_collection'!AC109)</f>
        <v>0</v>
      </c>
      <c r="AJ548">
        <f>IFERROR(AVERAGE('Dry_Litterbag Placem_Collection'!O109,'Dry_Litterbag Placem_Collection'!R109),"")</f>
        <v>5.3</v>
      </c>
      <c r="AK548" s="261">
        <f>IFERROR(AVERAGE('Dry_Litterbag Placem_Collection'!N109,'Dry_Litterbag Placem_Collection'!Q109),"")</f>
        <v>30.200000000000003</v>
      </c>
      <c r="AL548" s="260">
        <f>INDEX([2]Coordinates!$B$2:$B$197,MATCH(I548,[2]Coordinates!$J$2:$J$197,0))</f>
        <v>-2.3698409649999999</v>
      </c>
      <c r="AM548" s="260">
        <f>INDEX([2]Coordinates!$C$2:$C$197,MATCH(I548,[2]Coordinates!$J$2:$J$197,0))</f>
        <v>34.059814000000003</v>
      </c>
      <c r="AN548" s="260" t="str">
        <f>IF(ISNUMBER(SEARCH("C", 'Dry_Litterbag Placem_Collection'!U109)),"YES","NO")</f>
        <v>NO</v>
      </c>
      <c r="AO548" s="260" t="str">
        <f>IF(ISNUMBER(SEARCH("H", 'Dry_Litterbag Placem_Collection'!U109)),"YES","NO")</f>
        <v>NO</v>
      </c>
      <c r="AP548" s="260" t="str">
        <f>IF(ISNUMBER(SEARCH("R", 'Dry_Litterbag Placem_Collection'!U109)),"YES","NO")</f>
        <v>NO</v>
      </c>
    </row>
    <row r="549" spans="1:42" ht="15" customHeight="1">
      <c r="A549" t="s">
        <v>3248</v>
      </c>
      <c r="B549" s="252" t="s">
        <v>2643</v>
      </c>
      <c r="C549" s="253">
        <f>'Dry_Litterbag Placem_Collection'!A110</f>
        <v>108</v>
      </c>
      <c r="D549" s="253" t="str">
        <f>'Dry_Litterbag Placem_Collection'!B110</f>
        <v xml:space="preserve">Mwantimba
</v>
      </c>
      <c r="E549" s="253" t="s">
        <v>2454</v>
      </c>
      <c r="F549" s="253" t="s">
        <v>2644</v>
      </c>
      <c r="G549" s="253">
        <v>2</v>
      </c>
      <c r="H549" s="253" t="s">
        <v>3118</v>
      </c>
      <c r="I549" s="254" t="str">
        <f>'Dry_Litterbag Placem_Collection'!C110</f>
        <v>Wet_Ag2_T4</v>
      </c>
      <c r="J549" s="263" t="s">
        <v>2932</v>
      </c>
      <c r="K549" s="256" t="s">
        <v>1147</v>
      </c>
      <c r="L549" s="253" t="str">
        <f>IF(ISBLANK('Dry_Litterbag Placem_Collection'!L110),"","G"&amp;""&amp;'Dry_Litterbag Placem_Collection'!L110)</f>
        <v>G62</v>
      </c>
      <c r="M549" s="257">
        <f>IFERROR(INDEX('Green_rooibos initial weight'!$C$5:$C$2000,MATCH(L549, 'Green_rooibos initial weight'!$A$5:$A$2000,0)),"")</f>
        <v>2.0819999999999999</v>
      </c>
      <c r="N549" s="257">
        <f>IFERROR(M549-(TBIcalc!$Q$9+TBIcalc!$Q$10),"")</f>
        <v>1.8321999999999998</v>
      </c>
      <c r="O549" s="378">
        <f>AVERAGE(Ashed_controlls!$K$2:$K$11)</f>
        <v>5.5147656768714146</v>
      </c>
      <c r="P549" s="257">
        <f t="shared" si="41"/>
        <v>1.7311584632683619</v>
      </c>
      <c r="Q549" s="257">
        <f>IFERROR(INDEX('Both teabags AfterDry'!$D$2:$D$2000,MATCH(L549,'Both teabags AfterDry'!$A$2:$A$2000,0)),"")</f>
        <v>1.0947</v>
      </c>
      <c r="R549" s="257">
        <f>IFERROR(IF(Q549&gt;0,Q549-(TBIcalc!$Q$9),""),"")</f>
        <v>0.94409999999999994</v>
      </c>
      <c r="S549" s="268">
        <f>IFERROR(INDEX('Ashed teabags dry'!$K$2:$K$2000,MATCH(L549,'Ashed teabags dry'!$A$2:$A$2000,0)),"")</f>
        <v>18.630647414997014</v>
      </c>
      <c r="T549" s="268">
        <f t="shared" si="42"/>
        <v>0.76820805775501311</v>
      </c>
      <c r="U549" s="258">
        <f>IF('Dry_Litterbag Placem_Collection'!E110="","",'Dry_Litterbag Placem_Collection'!E110)</f>
        <v>42939</v>
      </c>
      <c r="V549" s="258">
        <f>IF('Dry_Litterbag Placem_Collection'!G110="","",'Dry_Litterbag Placem_Collection'!G110)</f>
        <v>43010</v>
      </c>
      <c r="W549" s="259">
        <f t="shared" si="40"/>
        <v>71</v>
      </c>
      <c r="X549" s="257">
        <f t="shared" si="43"/>
        <v>0.88809999999999989</v>
      </c>
      <c r="Y549" s="257">
        <f t="shared" si="44"/>
        <v>0.96295040551334876</v>
      </c>
      <c r="Z549" s="261">
        <f>IFERROR(INDEX([3]Rainfall_Dry!$O$2:$O$217,MATCH(C549, [3]Rainfall_Dry!$A$2:$A$217,0)),"")</f>
        <v>137.19979645800001</v>
      </c>
      <c r="AA549" s="250">
        <v>34.344660194174757</v>
      </c>
      <c r="AB549" s="250">
        <v>19.22727272727273</v>
      </c>
      <c r="AC549" s="250">
        <v>46.428067078552509</v>
      </c>
      <c r="AD549" s="251" t="s">
        <v>2651</v>
      </c>
      <c r="AE549" s="250">
        <v>4.7452932479053702</v>
      </c>
      <c r="AF549">
        <f>IF('WetLitterbags placem_collection'!AB110="","",'WetLitterbags placem_collection'!AB110)</f>
        <v>9.6999999999999993</v>
      </c>
      <c r="AG549">
        <f>IF('WetLitterbags placem_collection'!Z110="","",'WetLitterbags placem_collection'!Z110)</f>
        <v>22.5</v>
      </c>
      <c r="AH549" s="236" t="str">
        <f>IF('WetLitterbags placem_collection'!AA110="","",'WetLitterbags placem_collection'!AA110)</f>
        <v>M</v>
      </c>
      <c r="AI549">
        <f>IF('WetLitterbags placem_collection'!AC110="","",'WetLitterbags placem_collection'!AC110)</f>
        <v>0</v>
      </c>
      <c r="AJ549">
        <f>IFERROR(AVERAGE('Dry_Litterbag Placem_Collection'!O110,'Dry_Litterbag Placem_Collection'!R110),"")</f>
        <v>7.65</v>
      </c>
      <c r="AK549" s="261">
        <f>IFERROR(AVERAGE('Dry_Litterbag Placem_Collection'!N110,'Dry_Litterbag Placem_Collection'!Q110),"")</f>
        <v>31.8</v>
      </c>
      <c r="AL549" s="260">
        <f>INDEX([2]Coordinates!$B$2:$B$197,MATCH(I549,[2]Coordinates!$J$2:$J$197,0))</f>
        <v>-2.3698620030000002</v>
      </c>
      <c r="AM549" s="260">
        <f>INDEX([2]Coordinates!$C$2:$C$197,MATCH(I549,[2]Coordinates!$J$2:$J$197,0))</f>
        <v>34.059759020000001</v>
      </c>
      <c r="AN549" s="260" t="str">
        <f>IF(ISNUMBER(SEARCH("C", 'Dry_Litterbag Placem_Collection'!U110)),"YES","NO")</f>
        <v>NO</v>
      </c>
      <c r="AO549" s="260" t="str">
        <f>IF(ISNUMBER(SEARCH("H", 'Dry_Litterbag Placem_Collection'!U110)),"YES","NO")</f>
        <v>NO</v>
      </c>
      <c r="AP549" s="260" t="str">
        <f>IF(ISNUMBER(SEARCH("R", 'Dry_Litterbag Placem_Collection'!U110)),"YES","NO")</f>
        <v>NO</v>
      </c>
    </row>
    <row r="550" spans="1:42" ht="15" customHeight="1">
      <c r="A550" t="s">
        <v>3248</v>
      </c>
      <c r="B550" s="252" t="s">
        <v>2643</v>
      </c>
      <c r="C550" s="253">
        <f>'Dry_Litterbag Placem_Collection'!A111</f>
        <v>109</v>
      </c>
      <c r="D550" s="253" t="str">
        <f>'Dry_Litterbag Placem_Collection'!B111</f>
        <v xml:space="preserve">Mwantimba
</v>
      </c>
      <c r="E550" s="253" t="s">
        <v>2454</v>
      </c>
      <c r="F550" s="253" t="s">
        <v>2644</v>
      </c>
      <c r="G550" s="253">
        <v>2</v>
      </c>
      <c r="H550" s="253" t="s">
        <v>3118</v>
      </c>
      <c r="I550" s="254" t="str">
        <f>'Dry_Litterbag Placem_Collection'!C111</f>
        <v>Wet_Ag2_T5</v>
      </c>
      <c r="J550" s="263" t="s">
        <v>2932</v>
      </c>
      <c r="K550" s="256" t="s">
        <v>1147</v>
      </c>
      <c r="L550" s="253" t="str">
        <f>IF(ISBLANK('Dry_Litterbag Placem_Collection'!L111),"","G"&amp;""&amp;'Dry_Litterbag Placem_Collection'!L111)</f>
        <v>G102</v>
      </c>
      <c r="M550" s="257">
        <f>IFERROR(INDEX('Green_rooibos initial weight'!$C$5:$C$2000,MATCH(L550, 'Green_rooibos initial weight'!$A$5:$A$2000,0)),"")</f>
        <v>2.0920000000000001</v>
      </c>
      <c r="N550" s="257">
        <f>IFERROR(M550-(TBIcalc!$Q$9+TBIcalc!$Q$10),"")</f>
        <v>1.8422000000000001</v>
      </c>
      <c r="O550" s="378">
        <f>AVERAGE(Ashed_controlls!$K$2:$K$11)</f>
        <v>5.5147656768714146</v>
      </c>
      <c r="P550" s="257">
        <f t="shared" si="41"/>
        <v>1.7406069867006748</v>
      </c>
      <c r="Q550" s="257">
        <f>IFERROR(INDEX('Both teabags AfterDry'!$D$2:$D$2000,MATCH(L550,'Both teabags AfterDry'!$A$2:$A$2000,0)),"")</f>
        <v>1.0327999999999999</v>
      </c>
      <c r="R550" s="257">
        <f>IFERROR(IF(Q550&gt;0,Q550-(TBIcalc!$Q$9),""),"")</f>
        <v>0.88219999999999987</v>
      </c>
      <c r="S550" s="268">
        <f>IFERROR(INDEX('Ashed teabags dry'!$K$2:$K$2000,MATCH(L550,'Ashed teabags dry'!$A$2:$A$2000,0)),"")</f>
        <v>18.731117824773449</v>
      </c>
      <c r="T550" s="268">
        <f t="shared" si="42"/>
        <v>0.71695407854984849</v>
      </c>
      <c r="U550" s="258">
        <f>IF('Dry_Litterbag Placem_Collection'!E111="","",'Dry_Litterbag Placem_Collection'!E111)</f>
        <v>42939</v>
      </c>
      <c r="V550" s="258">
        <f>IF('Dry_Litterbag Placem_Collection'!G111="","",'Dry_Litterbag Placem_Collection'!G111)</f>
        <v>43010</v>
      </c>
      <c r="W550" s="259">
        <f t="shared" si="40"/>
        <v>71</v>
      </c>
      <c r="X550" s="257">
        <f t="shared" si="43"/>
        <v>0.96000000000000019</v>
      </c>
      <c r="Y550" s="257">
        <f t="shared" si="44"/>
        <v>1.0236529081508263</v>
      </c>
      <c r="Z550" s="261">
        <f>IFERROR(INDEX([3]Rainfall_Dry!$O$2:$O$217,MATCH(C550, [3]Rainfall_Dry!$A$2:$A$217,0)),"")</f>
        <v>137.19979645800001</v>
      </c>
      <c r="AA550" s="250">
        <v>34.344660194174757</v>
      </c>
      <c r="AB550" s="250">
        <v>19.22727272727273</v>
      </c>
      <c r="AC550" s="250">
        <v>46.428067078552509</v>
      </c>
      <c r="AD550" s="251" t="s">
        <v>2651</v>
      </c>
      <c r="AE550" s="250">
        <v>5.7452932479053702</v>
      </c>
      <c r="AF550">
        <f>IF('WetLitterbags placem_collection'!AB111="","",'WetLitterbags placem_collection'!AB111)</f>
        <v>10.5</v>
      </c>
      <c r="AG550">
        <f>IF('WetLitterbags placem_collection'!Z111="","",'WetLitterbags placem_collection'!Z111)</f>
        <v>22.5</v>
      </c>
      <c r="AH550" s="236" t="str">
        <f>IF('WetLitterbags placem_collection'!AA111="","",'WetLitterbags placem_collection'!AA111)</f>
        <v>M</v>
      </c>
      <c r="AI550">
        <f>IF('WetLitterbags placem_collection'!AC111="","",'WetLitterbags placem_collection'!AC111)</f>
        <v>0</v>
      </c>
      <c r="AJ550">
        <f>IFERROR(AVERAGE('Dry_Litterbag Placem_Collection'!O111,'Dry_Litterbag Placem_Collection'!R111),"")</f>
        <v>7.5</v>
      </c>
      <c r="AK550" s="261">
        <f>IFERROR(AVERAGE('Dry_Litterbag Placem_Collection'!N111,'Dry_Litterbag Placem_Collection'!Q111),"")</f>
        <v>30.65</v>
      </c>
      <c r="AL550" s="260">
        <f>INDEX([2]Coordinates!$B$2:$B$197,MATCH(I550,[2]Coordinates!$J$2:$J$197,0))</f>
        <v>-2.3698390370000002</v>
      </c>
      <c r="AM550" s="260">
        <f>INDEX([2]Coordinates!$C$2:$C$197,MATCH(I550,[2]Coordinates!$J$2:$J$197,0))</f>
        <v>34.059714</v>
      </c>
      <c r="AN550" s="260" t="str">
        <f>IF(ISNUMBER(SEARCH("C", 'Dry_Litterbag Placem_Collection'!U111)),"YES","NO")</f>
        <v>NO</v>
      </c>
      <c r="AO550" s="260" t="str">
        <f>IF(ISNUMBER(SEARCH("H", 'Dry_Litterbag Placem_Collection'!U111)),"YES","NO")</f>
        <v>NO</v>
      </c>
      <c r="AP550" s="260" t="str">
        <f>IF(ISNUMBER(SEARCH("R", 'Dry_Litterbag Placem_Collection'!U111)),"YES","NO")</f>
        <v>NO</v>
      </c>
    </row>
    <row r="551" spans="1:42" ht="15" customHeight="1">
      <c r="A551" t="s">
        <v>3248</v>
      </c>
      <c r="B551" s="252" t="s">
        <v>2643</v>
      </c>
      <c r="C551" s="253">
        <f>'Dry_Litterbag Placem_Collection'!A112</f>
        <v>110</v>
      </c>
      <c r="D551" s="253" t="str">
        <f>'Dry_Litterbag Placem_Collection'!B112</f>
        <v xml:space="preserve">Mwantimba
</v>
      </c>
      <c r="E551" s="253" t="s">
        <v>2454</v>
      </c>
      <c r="F551" s="253" t="s">
        <v>2644</v>
      </c>
      <c r="G551" s="253">
        <v>2</v>
      </c>
      <c r="H551" s="253" t="s">
        <v>3118</v>
      </c>
      <c r="I551" s="254" t="str">
        <f>'Dry_Litterbag Placem_Collection'!C112</f>
        <v>Wet_Ag2_T6</v>
      </c>
      <c r="J551" s="263" t="s">
        <v>2932</v>
      </c>
      <c r="K551" s="256" t="s">
        <v>1147</v>
      </c>
      <c r="L551" s="253" t="str">
        <f>IF(ISBLANK('Dry_Litterbag Placem_Collection'!L112),"","G"&amp;""&amp;'Dry_Litterbag Placem_Collection'!L112)</f>
        <v>G265</v>
      </c>
      <c r="M551" s="257">
        <f>IFERROR(INDEX('Green_rooibos initial weight'!$C$5:$C$2000,MATCH(L551, 'Green_rooibos initial weight'!$A$5:$A$2000,0)),"")</f>
        <v>1.9790000000000001</v>
      </c>
      <c r="N551" s="257">
        <f>IFERROR(M551-(TBIcalc!$Q$9+TBIcalc!$Q$10),"")</f>
        <v>1.7292000000000001</v>
      </c>
      <c r="O551" s="378">
        <f>AVERAGE(Ashed_controlls!$K$2:$K$11)</f>
        <v>5.5147656768714146</v>
      </c>
      <c r="P551" s="257">
        <f t="shared" si="41"/>
        <v>1.6338386719155396</v>
      </c>
      <c r="Q551" s="257">
        <f>IFERROR(INDEX('Both teabags AfterDry'!$D$2:$D$2000,MATCH(L551,'Both teabags AfterDry'!$A$2:$A$2000,0)),"")</f>
        <v>0.93579999999999997</v>
      </c>
      <c r="R551" s="257">
        <f>IFERROR(IF(Q551&gt;0,Q551-(TBIcalc!$Q$9),""),"")</f>
        <v>0.7851999999999999</v>
      </c>
      <c r="S551" s="268">
        <f>IFERROR(INDEX('Ashed teabags dry'!$K$2:$K$2000,MATCH(L551,'Ashed teabags dry'!$A$2:$A$2000,0)),"")</f>
        <v>14.665354330708222</v>
      </c>
      <c r="T551" s="268">
        <f t="shared" si="42"/>
        <v>0.67004763779527898</v>
      </c>
      <c r="U551" s="258">
        <f>IF('Dry_Litterbag Placem_Collection'!E112="","",'Dry_Litterbag Placem_Collection'!E112)</f>
        <v>42939</v>
      </c>
      <c r="V551" s="258">
        <f>IF('Dry_Litterbag Placem_Collection'!G112="","",'Dry_Litterbag Placem_Collection'!G112)</f>
        <v>43010</v>
      </c>
      <c r="W551" s="259">
        <f t="shared" si="40"/>
        <v>71</v>
      </c>
      <c r="X551" s="257">
        <f t="shared" si="43"/>
        <v>0.94400000000000017</v>
      </c>
      <c r="Y551" s="257">
        <f t="shared" si="44"/>
        <v>0.96379103412026057</v>
      </c>
      <c r="Z551" s="261">
        <f>IFERROR(INDEX([3]Rainfall_Dry!$O$2:$O$217,MATCH(C551, [3]Rainfall_Dry!$A$2:$A$217,0)),"")</f>
        <v>137.19979645800001</v>
      </c>
      <c r="AA551" s="250">
        <v>34.344660194174757</v>
      </c>
      <c r="AB551" s="250">
        <v>19.22727272727273</v>
      </c>
      <c r="AC551" s="250">
        <v>46.428067078552509</v>
      </c>
      <c r="AD551" s="251" t="s">
        <v>2651</v>
      </c>
      <c r="AE551" s="250">
        <v>6.7452932479053702</v>
      </c>
      <c r="AF551">
        <f>IF('WetLitterbags placem_collection'!AB112="","",'WetLitterbags placem_collection'!AB112)</f>
        <v>5.75</v>
      </c>
      <c r="AG551">
        <f>IF('WetLitterbags placem_collection'!Z112="","",'WetLitterbags placem_collection'!Z112)</f>
        <v>22.5</v>
      </c>
      <c r="AH551" s="236" t="str">
        <f>IF('WetLitterbags placem_collection'!AA112="","",'WetLitterbags placem_collection'!AA112)</f>
        <v>M</v>
      </c>
      <c r="AI551">
        <f>IF('WetLitterbags placem_collection'!AC112="","",'WetLitterbags placem_collection'!AC112)</f>
        <v>0</v>
      </c>
      <c r="AJ551">
        <f>IFERROR(AVERAGE('Dry_Litterbag Placem_Collection'!O112,'Dry_Litterbag Placem_Collection'!R112),"")</f>
        <v>7.3500000000000005</v>
      </c>
      <c r="AK551" s="261">
        <f>IFERROR(AVERAGE('Dry_Litterbag Placem_Collection'!N112,'Dry_Litterbag Placem_Collection'!Q112),"")</f>
        <v>31.150000000000002</v>
      </c>
      <c r="AL551" s="260">
        <f>INDEX([2]Coordinates!$B$2:$B$197,MATCH(I551,[2]Coordinates!$J$2:$J$197,0))</f>
        <v>-2.3697549659999999</v>
      </c>
      <c r="AM551" s="260">
        <f>INDEX([2]Coordinates!$C$2:$C$197,MATCH(I551,[2]Coordinates!$J$2:$J$197,0))</f>
        <v>34.059668989999999</v>
      </c>
      <c r="AN551" s="260" t="str">
        <f>IF(ISNUMBER(SEARCH("C", 'Dry_Litterbag Placem_Collection'!U112)),"YES","NO")</f>
        <v>NO</v>
      </c>
      <c r="AO551" s="260" t="str">
        <f>IF(ISNUMBER(SEARCH("H", 'Dry_Litterbag Placem_Collection'!U112)),"YES","NO")</f>
        <v>NO</v>
      </c>
      <c r="AP551" s="260" t="str">
        <f>IF(ISNUMBER(SEARCH("R", 'Dry_Litterbag Placem_Collection'!U112)),"YES","NO")</f>
        <v>NO</v>
      </c>
    </row>
    <row r="552" spans="1:42" ht="15" customHeight="1">
      <c r="A552" t="s">
        <v>3248</v>
      </c>
      <c r="B552" s="252" t="s">
        <v>2643</v>
      </c>
      <c r="C552" s="253">
        <f>'Dry_Litterbag Placem_Collection'!A113</f>
        <v>111</v>
      </c>
      <c r="D552" s="253" t="str">
        <f>'Dry_Litterbag Placem_Collection'!B113</f>
        <v xml:space="preserve">Mwantimba
</v>
      </c>
      <c r="E552" s="253" t="s">
        <v>2454</v>
      </c>
      <c r="F552" s="253" t="s">
        <v>2644</v>
      </c>
      <c r="G552" s="253">
        <v>2</v>
      </c>
      <c r="H552" s="253" t="s">
        <v>3118</v>
      </c>
      <c r="I552" s="254" t="str">
        <f>'Dry_Litterbag Placem_Collection'!C113</f>
        <v>Wet_Ag2_T7</v>
      </c>
      <c r="J552" s="263" t="s">
        <v>2932</v>
      </c>
      <c r="K552" s="256" t="s">
        <v>1147</v>
      </c>
      <c r="L552" s="253" t="str">
        <f>IF(ISBLANK('Dry_Litterbag Placem_Collection'!L113),"","G"&amp;""&amp;'Dry_Litterbag Placem_Collection'!L113)</f>
        <v>G455</v>
      </c>
      <c r="M552" s="257">
        <f>IFERROR(INDEX('Green_rooibos initial weight'!$C$5:$C$2000,MATCH(L552, 'Green_rooibos initial weight'!$A$5:$A$2000,0)),"")</f>
        <v>2.0299999999999998</v>
      </c>
      <c r="N552" s="257">
        <f>IFERROR(M552-(TBIcalc!$Q$9+TBIcalc!$Q$10),"")</f>
        <v>1.7801999999999998</v>
      </c>
      <c r="O552" s="378">
        <f>AVERAGE(Ashed_controlls!$K$2:$K$11)</f>
        <v>5.5147656768714146</v>
      </c>
      <c r="P552" s="257">
        <f t="shared" si="41"/>
        <v>1.6820261414203348</v>
      </c>
      <c r="Q552" s="257">
        <f>IFERROR(INDEX('Both teabags AfterDry'!$D$2:$D$2000,MATCH(L552,'Both teabags AfterDry'!$A$2:$A$2000,0)),"")</f>
        <v>0.92169999999999996</v>
      </c>
      <c r="R552" s="257">
        <f>IFERROR(IF(Q552&gt;0,Q552-(TBIcalc!$Q$9),""),"")</f>
        <v>0.7710999999999999</v>
      </c>
      <c r="S552" s="268">
        <f>IFERROR(INDEX('Ashed teabags dry'!$K$2:$K$2000,MATCH(L552,'Ashed teabags dry'!$A$2:$A$2000,0)),"")</f>
        <v>17.328170377541223</v>
      </c>
      <c r="T552" s="268">
        <f t="shared" si="42"/>
        <v>0.63748247821877957</v>
      </c>
      <c r="U552" s="258">
        <f>IF('Dry_Litterbag Placem_Collection'!E113="","",'Dry_Litterbag Placem_Collection'!E113)</f>
        <v>42939</v>
      </c>
      <c r="V552" s="258">
        <f>IF('Dry_Litterbag Placem_Collection'!G113="","",'Dry_Litterbag Placem_Collection'!G113)</f>
        <v>43010</v>
      </c>
      <c r="W552" s="259">
        <f t="shared" si="40"/>
        <v>71</v>
      </c>
      <c r="X552" s="257">
        <f t="shared" si="43"/>
        <v>1.0090999999999999</v>
      </c>
      <c r="Y552" s="257">
        <f t="shared" si="44"/>
        <v>1.0445436632015552</v>
      </c>
      <c r="Z552" s="261">
        <f>IFERROR(INDEX([3]Rainfall_Dry!$O$2:$O$217,MATCH(C552, [3]Rainfall_Dry!$A$2:$A$217,0)),"")</f>
        <v>137.19979645800001</v>
      </c>
      <c r="AA552" s="250">
        <v>34.344660194174757</v>
      </c>
      <c r="AB552" s="250">
        <v>19.22727272727273</v>
      </c>
      <c r="AC552" s="250">
        <v>46.428067078552509</v>
      </c>
      <c r="AD552" s="251" t="s">
        <v>2651</v>
      </c>
      <c r="AE552" s="250">
        <v>7.7452932479053702</v>
      </c>
      <c r="AF552">
        <f>IF('WetLitterbags placem_collection'!AB113="","",'WetLitterbags placem_collection'!AB113)</f>
        <v>6.1</v>
      </c>
      <c r="AG552">
        <f>IF('WetLitterbags placem_collection'!Z113="","",'WetLitterbags placem_collection'!Z113)</f>
        <v>26</v>
      </c>
      <c r="AH552" s="236" t="str">
        <f>IF('WetLitterbags placem_collection'!AA113="","",'WetLitterbags placem_collection'!AA113)</f>
        <v>M</v>
      </c>
      <c r="AI552">
        <f>IF('WetLitterbags placem_collection'!AC113="","",'WetLitterbags placem_collection'!AC113)</f>
        <v>0</v>
      </c>
      <c r="AJ552">
        <f>IFERROR(AVERAGE('Dry_Litterbag Placem_Collection'!O113,'Dry_Litterbag Placem_Collection'!R113),"")</f>
        <v>8.3000000000000007</v>
      </c>
      <c r="AK552" s="261">
        <f>IFERROR(AVERAGE('Dry_Litterbag Placem_Collection'!N113,'Dry_Litterbag Placem_Collection'!Q113),"")</f>
        <v>29.549999999999997</v>
      </c>
      <c r="AL552" s="260">
        <f>INDEX([2]Coordinates!$B$2:$B$197,MATCH(I552,[2]Coordinates!$J$2:$J$197,0))</f>
        <v>-2.3697330060000001</v>
      </c>
      <c r="AM552" s="260">
        <f>INDEX([2]Coordinates!$C$2:$C$197,MATCH(I552,[2]Coordinates!$J$2:$J$197,0))</f>
        <v>34.059615010000002</v>
      </c>
      <c r="AN552" s="260" t="str">
        <f>IF(ISNUMBER(SEARCH("C", 'Dry_Litterbag Placem_Collection'!U113)),"YES","NO")</f>
        <v>NO</v>
      </c>
      <c r="AO552" s="260" t="str">
        <f>IF(ISNUMBER(SEARCH("H", 'Dry_Litterbag Placem_Collection'!U113)),"YES","NO")</f>
        <v>NO</v>
      </c>
      <c r="AP552" s="260" t="str">
        <f>IF(ISNUMBER(SEARCH("R", 'Dry_Litterbag Placem_Collection'!U113)),"YES","NO")</f>
        <v>NO</v>
      </c>
    </row>
    <row r="553" spans="1:42" ht="15" customHeight="1">
      <c r="A553" t="s">
        <v>3248</v>
      </c>
      <c r="B553" s="252" t="s">
        <v>2643</v>
      </c>
      <c r="C553" s="253">
        <f>'Dry_Litterbag Placem_Collection'!A114</f>
        <v>112</v>
      </c>
      <c r="D553" s="253" t="str">
        <f>'Dry_Litterbag Placem_Collection'!B114</f>
        <v xml:space="preserve">Mwantimba
</v>
      </c>
      <c r="E553" s="253" t="s">
        <v>2454</v>
      </c>
      <c r="F553" s="253" t="s">
        <v>2644</v>
      </c>
      <c r="G553" s="253">
        <v>2</v>
      </c>
      <c r="H553" s="253" t="s">
        <v>3118</v>
      </c>
      <c r="I553" s="254" t="str">
        <f>'Dry_Litterbag Placem_Collection'!C114</f>
        <v>Wet_Ag2_T8</v>
      </c>
      <c r="J553" s="263" t="s">
        <v>2932</v>
      </c>
      <c r="K553" s="256" t="s">
        <v>1147</v>
      </c>
      <c r="L553" s="253" t="str">
        <f>IF(ISBLANK('Dry_Litterbag Placem_Collection'!L114),"","G"&amp;""&amp;'Dry_Litterbag Placem_Collection'!L114)</f>
        <v/>
      </c>
      <c r="M553" s="257" t="str">
        <f>IFERROR(INDEX('Green_rooibos initial weight'!$C$5:$C$2000,MATCH(L553, 'Green_rooibos initial weight'!$A$5:$A$2000,0)),"")</f>
        <v/>
      </c>
      <c r="N553" s="257" t="str">
        <f>IFERROR(M553-(TBIcalc!$Q$9+TBIcalc!$Q$10),"")</f>
        <v/>
      </c>
      <c r="O553" s="378">
        <f>AVERAGE(Ashed_controlls!$K$2:$K$11)</f>
        <v>5.5147656768714146</v>
      </c>
      <c r="P553" s="257" t="str">
        <f t="shared" si="41"/>
        <v/>
      </c>
      <c r="Q553" s="257" t="str">
        <f>IFERROR(INDEX('Both teabags AfterDry'!$D$2:$D$2000,MATCH(L553,'Both teabags AfterDry'!$A$2:$A$2000,0)),"")</f>
        <v/>
      </c>
      <c r="R553" s="257" t="str">
        <f>IFERROR(IF(Q553&gt;0,Q553-(TBIcalc!$Q$9),""),"")</f>
        <v/>
      </c>
      <c r="S553" s="268" t="str">
        <f>IFERROR(INDEX('Ashed teabags dry'!$K$2:$K$2000,MATCH(L553,'Ashed teabags dry'!$A$2:$A$2000,0)),"")</f>
        <v/>
      </c>
      <c r="T553" s="268" t="str">
        <f t="shared" si="42"/>
        <v/>
      </c>
      <c r="U553" s="258" t="str">
        <f>IF('Dry_Litterbag Placem_Collection'!E114="","",'Dry_Litterbag Placem_Collection'!E114)</f>
        <v/>
      </c>
      <c r="V553" s="258" t="str">
        <f>IF('Dry_Litterbag Placem_Collection'!G114="","",'Dry_Litterbag Placem_Collection'!G114)</f>
        <v/>
      </c>
      <c r="W553" s="259" t="str">
        <f t="shared" si="40"/>
        <v/>
      </c>
      <c r="X553" s="257" t="str">
        <f t="shared" si="43"/>
        <v/>
      </c>
      <c r="Y553" s="257" t="str">
        <f t="shared" si="44"/>
        <v/>
      </c>
      <c r="Z553" s="261" t="str">
        <f>IFERROR(INDEX([3]Rainfall_Dry!$O$2:$O$217,MATCH(C553, [3]Rainfall_Dry!$A$2:$A$217,0)),"")</f>
        <v/>
      </c>
      <c r="AA553" s="250">
        <v>34.344660194174757</v>
      </c>
      <c r="AB553" s="250">
        <v>19.22727272727273</v>
      </c>
      <c r="AC553" s="250">
        <v>46.428067078552509</v>
      </c>
      <c r="AD553" s="251" t="s">
        <v>2651</v>
      </c>
      <c r="AE553" s="250">
        <v>8.7452932479053693</v>
      </c>
      <c r="AF553">
        <f>IF('WetLitterbags placem_collection'!AB114="","",'WetLitterbags placem_collection'!AB114)</f>
        <v>11.5</v>
      </c>
      <c r="AG553">
        <f>IF('WetLitterbags placem_collection'!Z114="","",'WetLitterbags placem_collection'!Z114)</f>
        <v>15</v>
      </c>
      <c r="AH553" s="236" t="str">
        <f>IF('WetLitterbags placem_collection'!AA114="","",'WetLitterbags placem_collection'!AA114)</f>
        <v>M</v>
      </c>
      <c r="AI553">
        <f>IF('WetLitterbags placem_collection'!AC114="","",'WetLitterbags placem_collection'!AC114)</f>
        <v>0</v>
      </c>
      <c r="AJ553" t="str">
        <f>IFERROR(AVERAGE('Dry_Litterbag Placem_Collection'!O114,'Dry_Litterbag Placem_Collection'!R114),"")</f>
        <v/>
      </c>
      <c r="AK553" s="261" t="str">
        <f>IFERROR(AVERAGE('Dry_Litterbag Placem_Collection'!N114,'Dry_Litterbag Placem_Collection'!Q114),"")</f>
        <v/>
      </c>
      <c r="AL553" s="260">
        <f>INDEX([2]Coordinates!$B$2:$B$197,MATCH(I553,[2]Coordinates!$J$2:$J$197,0))</f>
        <v>-2.36967098</v>
      </c>
      <c r="AM553" s="260">
        <f>INDEX([2]Coordinates!$C$2:$C$197,MATCH(I553,[2]Coordinates!$J$2:$J$197,0))</f>
        <v>34.059735959999998</v>
      </c>
      <c r="AN553" s="260" t="str">
        <f>IF(ISNUMBER(SEARCH("C", 'Dry_Litterbag Placem_Collection'!U114)),"YES","NO")</f>
        <v>NO</v>
      </c>
      <c r="AO553" s="260" t="str">
        <f>IF(ISNUMBER(SEARCH("H", 'Dry_Litterbag Placem_Collection'!U114)),"YES","NO")</f>
        <v>NO</v>
      </c>
      <c r="AP553" s="260" t="str">
        <f>IF(ISNUMBER(SEARCH("R", 'Dry_Litterbag Placem_Collection'!U114)),"YES","NO")</f>
        <v>NO</v>
      </c>
    </row>
    <row r="554" spans="1:42" ht="15" customHeight="1">
      <c r="A554" t="s">
        <v>3248</v>
      </c>
      <c r="B554" s="252" t="s">
        <v>2643</v>
      </c>
      <c r="C554" s="253">
        <f>'Dry_Litterbag Placem_Collection'!A115</f>
        <v>113</v>
      </c>
      <c r="D554" s="253" t="str">
        <f>'Dry_Litterbag Placem_Collection'!B115</f>
        <v xml:space="preserve">Mwantimba
</v>
      </c>
      <c r="E554" s="253" t="s">
        <v>2454</v>
      </c>
      <c r="F554" s="253" t="s">
        <v>2644</v>
      </c>
      <c r="G554" s="253">
        <v>3</v>
      </c>
      <c r="H554" s="253" t="s">
        <v>3119</v>
      </c>
      <c r="I554" s="254" t="str">
        <f>'Dry_Litterbag Placem_Collection'!C115</f>
        <v>Wet_Ag3_T1</v>
      </c>
      <c r="J554" s="263" t="s">
        <v>2932</v>
      </c>
      <c r="K554" s="256" t="s">
        <v>1147</v>
      </c>
      <c r="L554" s="253" t="str">
        <f>IF(ISBLANK('Dry_Litterbag Placem_Collection'!L115),"","G"&amp;""&amp;'Dry_Litterbag Placem_Collection'!L115)</f>
        <v>G490</v>
      </c>
      <c r="M554" s="257">
        <f>IFERROR(INDEX('Green_rooibos initial weight'!$C$5:$C$2000,MATCH(L554, 'Green_rooibos initial weight'!$A$5:$A$2000,0)),"")</f>
        <v>1.881</v>
      </c>
      <c r="N554" s="257">
        <f>IFERROR(M554-(TBIcalc!$Q$9+TBIcalc!$Q$10),"")</f>
        <v>1.6312</v>
      </c>
      <c r="O554" s="378">
        <f>AVERAGE(Ashed_controlls!$K$2:$K$11)</f>
        <v>5.5147656768714146</v>
      </c>
      <c r="P554" s="257">
        <f t="shared" si="41"/>
        <v>1.5412431422788735</v>
      </c>
      <c r="Q554" s="257">
        <f>IFERROR(INDEX('Both teabags AfterDry'!$D$2:$D$2000,MATCH(L554,'Both teabags AfterDry'!$A$2:$A$2000,0)),"")</f>
        <v>0.72760000000000002</v>
      </c>
      <c r="R554" s="257">
        <f>IFERROR(IF(Q554&gt;0,Q554-(TBIcalc!$Q$9),""),"")</f>
        <v>0.57699999999999996</v>
      </c>
      <c r="S554" s="268">
        <f>IFERROR(INDEX('Ashed teabags dry'!$K$2:$K$2000,MATCH(L554,'Ashed teabags dry'!$A$2:$A$2000,0)),"")</f>
        <v>23.173681664247997</v>
      </c>
      <c r="T554" s="268">
        <f t="shared" si="42"/>
        <v>0.44328785679728899</v>
      </c>
      <c r="U554" s="258">
        <f>IF('Dry_Litterbag Placem_Collection'!E115="","",'Dry_Litterbag Placem_Collection'!E115)</f>
        <v>42939</v>
      </c>
      <c r="V554" s="258">
        <f>IF('Dry_Litterbag Placem_Collection'!G115="","",'Dry_Litterbag Placem_Collection'!G115)</f>
        <v>43008</v>
      </c>
      <c r="W554" s="259">
        <f t="shared" si="40"/>
        <v>69</v>
      </c>
      <c r="X554" s="257">
        <f t="shared" si="43"/>
        <v>1.0542</v>
      </c>
      <c r="Y554" s="257">
        <f t="shared" si="44"/>
        <v>1.0979552854815844</v>
      </c>
      <c r="Z554" s="261">
        <f>IFERROR(INDEX([3]Rainfall_Dry!$O$2:$O$217,MATCH(C554, [3]Rainfall_Dry!$A$2:$A$217,0)),"")</f>
        <v>136.27214243</v>
      </c>
      <c r="AA554" s="250">
        <v>27.96</v>
      </c>
      <c r="AB554" s="250">
        <v>4.9200000000000017</v>
      </c>
      <c r="AC554" s="250">
        <v>67.12</v>
      </c>
      <c r="AD554" s="251" t="s">
        <v>2651</v>
      </c>
      <c r="AE554" s="250">
        <v>0.88610152784622953</v>
      </c>
      <c r="AF554">
        <f>IF('WetLitterbags placem_collection'!AB115="","",'WetLitterbags placem_collection'!AB115)</f>
        <v>26</v>
      </c>
      <c r="AG554">
        <f>IF('WetLitterbags placem_collection'!Z115="","",'WetLitterbags placem_collection'!Z115)</f>
        <v>88.5</v>
      </c>
      <c r="AH554" s="236" t="str">
        <f>IF('WetLitterbags placem_collection'!AA115="","",'WetLitterbags placem_collection'!AA115)</f>
        <v>G</v>
      </c>
      <c r="AI554">
        <f>IF('WetLitterbags placem_collection'!AC115="","",'WetLitterbags placem_collection'!AC115)</f>
        <v>0</v>
      </c>
      <c r="AJ554">
        <f>IFERROR(AVERAGE('Dry_Litterbag Placem_Collection'!O115,'Dry_Litterbag Placem_Collection'!R115),"")</f>
        <v>6.35</v>
      </c>
      <c r="AK554" s="261">
        <f>IFERROR(AVERAGE('Dry_Litterbag Placem_Collection'!N115,'Dry_Litterbag Placem_Collection'!Q115),"")</f>
        <v>28.9</v>
      </c>
      <c r="AL554" s="260">
        <f>INDEX([2]Coordinates!$B$2:$B$197,MATCH(I554,[2]Coordinates!$J$2:$J$197,0))</f>
        <v>-2.3487199940000001</v>
      </c>
      <c r="AM554" s="260">
        <f>INDEX([2]Coordinates!$C$2:$C$197,MATCH(I554,[2]Coordinates!$J$2:$J$197,0))</f>
        <v>34.051391029999998</v>
      </c>
      <c r="AN554" s="260" t="str">
        <f>IF(ISNUMBER(SEARCH("C", 'Dry_Litterbag Placem_Collection'!U115)),"YES","NO")</f>
        <v>NO</v>
      </c>
      <c r="AO554" s="260" t="str">
        <f>IF(ISNUMBER(SEARCH("H", 'Dry_Litterbag Placem_Collection'!U115)),"YES","NO")</f>
        <v>NO</v>
      </c>
      <c r="AP554" s="260" t="str">
        <f>IF(ISNUMBER(SEARCH("R", 'Dry_Litterbag Placem_Collection'!U115)),"YES","NO")</f>
        <v>NO</v>
      </c>
    </row>
    <row r="555" spans="1:42" ht="15" customHeight="1">
      <c r="A555" t="s">
        <v>3248</v>
      </c>
      <c r="B555" s="252" t="s">
        <v>2643</v>
      </c>
      <c r="C555" s="253">
        <f>'Dry_Litterbag Placem_Collection'!A116</f>
        <v>114</v>
      </c>
      <c r="D555" s="253" t="str">
        <f>'Dry_Litterbag Placem_Collection'!B116</f>
        <v xml:space="preserve">Mwantimba
</v>
      </c>
      <c r="E555" s="253" t="s">
        <v>2454</v>
      </c>
      <c r="F555" s="253" t="s">
        <v>2644</v>
      </c>
      <c r="G555" s="253">
        <v>3</v>
      </c>
      <c r="H555" s="253" t="s">
        <v>3119</v>
      </c>
      <c r="I555" s="254" t="str">
        <f>'Dry_Litterbag Placem_Collection'!C116</f>
        <v>Wet_Ag3_T2</v>
      </c>
      <c r="J555" s="263" t="s">
        <v>2932</v>
      </c>
      <c r="K555" s="256" t="s">
        <v>1147</v>
      </c>
      <c r="L555" s="253" t="str">
        <f>IF(ISBLANK('Dry_Litterbag Placem_Collection'!L116),"","G"&amp;""&amp;'Dry_Litterbag Placem_Collection'!L116)</f>
        <v>G650</v>
      </c>
      <c r="M555" s="257">
        <f>IFERROR(INDEX('Green_rooibos initial weight'!$C$5:$C$2000,MATCH(L555, 'Green_rooibos initial weight'!$A$5:$A$2000,0)),"")</f>
        <v>2.0270000000000001</v>
      </c>
      <c r="N555" s="257">
        <f>IFERROR(M555-(TBIcalc!$Q$9+TBIcalc!$Q$10),"")</f>
        <v>1.7772000000000001</v>
      </c>
      <c r="O555" s="378">
        <f>AVERAGE(Ashed_controlls!$K$2:$K$11)</f>
        <v>5.5147656768714146</v>
      </c>
      <c r="P555" s="257">
        <f t="shared" si="41"/>
        <v>1.6791915843906413</v>
      </c>
      <c r="Q555" s="257">
        <f>IFERROR(INDEX('Both teabags AfterDry'!$D$2:$D$2000,MATCH(L555,'Both teabags AfterDry'!$A$2:$A$2000,0)),"")</f>
        <v>0.86890000000000001</v>
      </c>
      <c r="R555" s="257">
        <f>IFERROR(IF(Q555&gt;0,Q555-(TBIcalc!$Q$9),""),"")</f>
        <v>0.71829999999999994</v>
      </c>
      <c r="S555" s="268">
        <f>IFERROR(INDEX('Ashed teabags dry'!$K$2:$K$2000,MATCH(L555,'Ashed teabags dry'!$A$2:$A$2000,0)),"")</f>
        <v>22.395326192794663</v>
      </c>
      <c r="T555" s="268">
        <f t="shared" si="42"/>
        <v>0.55743437195715595</v>
      </c>
      <c r="U555" s="258">
        <f>IF('Dry_Litterbag Placem_Collection'!E116="","",'Dry_Litterbag Placem_Collection'!E116)</f>
        <v>42939</v>
      </c>
      <c r="V555" s="258">
        <f>IF('Dry_Litterbag Placem_Collection'!G116="","",'Dry_Litterbag Placem_Collection'!G116)</f>
        <v>43008</v>
      </c>
      <c r="W555" s="259">
        <f t="shared" si="40"/>
        <v>69</v>
      </c>
      <c r="X555" s="257">
        <f t="shared" si="43"/>
        <v>1.0589000000000002</v>
      </c>
      <c r="Y555" s="257">
        <f t="shared" si="44"/>
        <v>1.1217572124334854</v>
      </c>
      <c r="Z555" s="261">
        <f>IFERROR(INDEX([3]Rainfall_Dry!$O$2:$O$217,MATCH(C555, [3]Rainfall_Dry!$A$2:$A$217,0)),"")</f>
        <v>136.27214243</v>
      </c>
      <c r="AA555" s="250">
        <v>27.96</v>
      </c>
      <c r="AB555" s="250">
        <v>4.9200000000000017</v>
      </c>
      <c r="AC555" s="250">
        <v>67.12</v>
      </c>
      <c r="AD555" s="251" t="s">
        <v>2651</v>
      </c>
      <c r="AE555" s="250">
        <v>1.8861015278462301</v>
      </c>
      <c r="AF555">
        <f>IF('WetLitterbags placem_collection'!AB116="","",'WetLitterbags placem_collection'!AB116)</f>
        <v>16.5</v>
      </c>
      <c r="AG555">
        <f>IF('WetLitterbags placem_collection'!Z116="","",'WetLitterbags placem_collection'!Z116)</f>
        <v>87.5</v>
      </c>
      <c r="AH555" s="236" t="str">
        <f>IF('WetLitterbags placem_collection'!AA116="","",'WetLitterbags placem_collection'!AA116)</f>
        <v>G</v>
      </c>
      <c r="AI555">
        <f>IF('WetLitterbags placem_collection'!AC116="","",'WetLitterbags placem_collection'!AC116)</f>
        <v>0</v>
      </c>
      <c r="AJ555">
        <f>IFERROR(AVERAGE('Dry_Litterbag Placem_Collection'!O116,'Dry_Litterbag Placem_Collection'!R116),"")</f>
        <v>12.1</v>
      </c>
      <c r="AK555" s="261">
        <f>IFERROR(AVERAGE('Dry_Litterbag Placem_Collection'!N116,'Dry_Litterbag Placem_Collection'!Q116),"")</f>
        <v>28.1</v>
      </c>
      <c r="AL555" s="260">
        <f>INDEX([2]Coordinates!$B$2:$B$197,MATCH(I555,[2]Coordinates!$J$2:$J$197,0))</f>
        <v>-2.348716976</v>
      </c>
      <c r="AM555" s="260">
        <f>INDEX([2]Coordinates!$C$2:$C$197,MATCH(I555,[2]Coordinates!$J$2:$J$197,0))</f>
        <v>34.051484989999999</v>
      </c>
      <c r="AN555" s="260" t="str">
        <f>IF(ISNUMBER(SEARCH("C", 'Dry_Litterbag Placem_Collection'!U116)),"YES","NO")</f>
        <v>NO</v>
      </c>
      <c r="AO555" s="260" t="str">
        <f>IF(ISNUMBER(SEARCH("H", 'Dry_Litterbag Placem_Collection'!U116)),"YES","NO")</f>
        <v>NO</v>
      </c>
      <c r="AP555" s="260" t="str">
        <f>IF(ISNUMBER(SEARCH("R", 'Dry_Litterbag Placem_Collection'!U116)),"YES","NO")</f>
        <v>NO</v>
      </c>
    </row>
    <row r="556" spans="1:42" ht="15" customHeight="1">
      <c r="A556" t="s">
        <v>3248</v>
      </c>
      <c r="B556" s="252" t="s">
        <v>2643</v>
      </c>
      <c r="C556" s="253">
        <f>'Dry_Litterbag Placem_Collection'!A117</f>
        <v>115</v>
      </c>
      <c r="D556" s="253" t="str">
        <f>'Dry_Litterbag Placem_Collection'!B117</f>
        <v xml:space="preserve">Mwantimba
</v>
      </c>
      <c r="E556" s="253" t="s">
        <v>2454</v>
      </c>
      <c r="F556" s="253" t="s">
        <v>2644</v>
      </c>
      <c r="G556" s="253">
        <v>3</v>
      </c>
      <c r="H556" s="253" t="s">
        <v>3119</v>
      </c>
      <c r="I556" s="254" t="str">
        <f>'Dry_Litterbag Placem_Collection'!C117</f>
        <v>Wet_Ag3_T3</v>
      </c>
      <c r="J556" s="263" t="s">
        <v>2932</v>
      </c>
      <c r="K556" s="256" t="s">
        <v>1147</v>
      </c>
      <c r="L556" s="253" t="str">
        <f>IF(ISBLANK('Dry_Litterbag Placem_Collection'!L117),"","G"&amp;""&amp;'Dry_Litterbag Placem_Collection'!L117)</f>
        <v>G873</v>
      </c>
      <c r="M556" s="257">
        <f>IFERROR(INDEX('Green_rooibos initial weight'!$C$5:$C$2000,MATCH(L556, 'Green_rooibos initial weight'!$A$5:$A$2000,0)),"")</f>
        <v>2.0089999999999999</v>
      </c>
      <c r="N556" s="257">
        <f>IFERROR(M556-(TBIcalc!$Q$9+TBIcalc!$Q$10),"")</f>
        <v>1.7591999999999999</v>
      </c>
      <c r="O556" s="378">
        <f>AVERAGE(Ashed_controlls!$K$2:$K$11)</f>
        <v>5.5147656768714146</v>
      </c>
      <c r="P556" s="257">
        <f t="shared" si="41"/>
        <v>1.662184242212478</v>
      </c>
      <c r="Q556" s="257">
        <f>IFERROR(INDEX('Both teabags AfterDry'!$D$2:$D$2000,MATCH(L556,'Both teabags AfterDry'!$A$2:$A$2000,0)),"")</f>
        <v>0.68469999999999998</v>
      </c>
      <c r="R556" s="257">
        <f>IFERROR(IF(Q556&gt;0,Q556-(TBIcalc!$Q$9),""),"")</f>
        <v>0.53410000000000002</v>
      </c>
      <c r="S556" s="268">
        <f>IFERROR(INDEX('Ashed teabags dry'!$K$2:$K$2000,MATCH(L556,'Ashed teabags dry'!$A$2:$A$2000,0)),"")</f>
        <v>14.840499306518451</v>
      </c>
      <c r="T556" s="268">
        <f t="shared" si="42"/>
        <v>0.45483689320388498</v>
      </c>
      <c r="U556" s="258">
        <f>IF('Dry_Litterbag Placem_Collection'!E117="","",'Dry_Litterbag Placem_Collection'!E117)</f>
        <v>42939</v>
      </c>
      <c r="V556" s="258">
        <f>IF('Dry_Litterbag Placem_Collection'!G117="","",'Dry_Litterbag Placem_Collection'!G117)</f>
        <v>43008</v>
      </c>
      <c r="W556" s="259">
        <f t="shared" si="40"/>
        <v>69</v>
      </c>
      <c r="X556" s="257">
        <f t="shared" si="43"/>
        <v>1.2250999999999999</v>
      </c>
      <c r="Y556" s="257">
        <f t="shared" si="44"/>
        <v>1.2073473490085931</v>
      </c>
      <c r="Z556" s="261">
        <f>IFERROR(INDEX([3]Rainfall_Dry!$O$2:$O$217,MATCH(C556, [3]Rainfall_Dry!$A$2:$A$217,0)),"")</f>
        <v>136.27214243</v>
      </c>
      <c r="AA556" s="250">
        <v>27.96</v>
      </c>
      <c r="AB556" s="250">
        <v>4.9200000000000017</v>
      </c>
      <c r="AC556" s="250">
        <v>67.12</v>
      </c>
      <c r="AD556" s="251" t="s">
        <v>2651</v>
      </c>
      <c r="AE556" s="250">
        <v>2.8861015278462299</v>
      </c>
      <c r="AF556">
        <f>IF('WetLitterbags placem_collection'!AB117="","",'WetLitterbags placem_collection'!AB117)</f>
        <v>19</v>
      </c>
      <c r="AG556">
        <f>IF('WetLitterbags placem_collection'!Z117="","",'WetLitterbags placem_collection'!Z117)</f>
        <v>79.5</v>
      </c>
      <c r="AH556" s="236" t="str">
        <f>IF('WetLitterbags placem_collection'!AA117="","",'WetLitterbags placem_collection'!AA117)</f>
        <v>G</v>
      </c>
      <c r="AI556">
        <f>IF('WetLitterbags placem_collection'!AC117="","",'WetLitterbags placem_collection'!AC117)</f>
        <v>1</v>
      </c>
      <c r="AJ556">
        <f>IFERROR(AVERAGE('Dry_Litterbag Placem_Collection'!O117,'Dry_Litterbag Placem_Collection'!R117),"")</f>
        <v>6.9</v>
      </c>
      <c r="AK556" s="261">
        <f>IFERROR(AVERAGE('Dry_Litterbag Placem_Collection'!N117,'Dry_Litterbag Placem_Collection'!Q117),"")</f>
        <v>28.95</v>
      </c>
      <c r="AL556" s="260">
        <f>INDEX([2]Coordinates!$B$2:$B$197,MATCH(I556,[2]Coordinates!$J$2:$J$197,0))</f>
        <v>-2.3487800079999999</v>
      </c>
      <c r="AM556" s="260">
        <f>INDEX([2]Coordinates!$C$2:$C$197,MATCH(I556,[2]Coordinates!$J$2:$J$197,0))</f>
        <v>34.051495969999998</v>
      </c>
      <c r="AN556" s="260" t="str">
        <f>IF(ISNUMBER(SEARCH("C", 'Dry_Litterbag Placem_Collection'!U117)),"YES","NO")</f>
        <v>NO</v>
      </c>
      <c r="AO556" s="260" t="str">
        <f>IF(ISNUMBER(SEARCH("H", 'Dry_Litterbag Placem_Collection'!U117)),"YES","NO")</f>
        <v>NO</v>
      </c>
      <c r="AP556" s="260" t="str">
        <f>IF(ISNUMBER(SEARCH("R", 'Dry_Litterbag Placem_Collection'!U117)),"YES","NO")</f>
        <v>NO</v>
      </c>
    </row>
    <row r="557" spans="1:42" ht="15" customHeight="1">
      <c r="A557" t="s">
        <v>3248</v>
      </c>
      <c r="B557" s="252" t="s">
        <v>2643</v>
      </c>
      <c r="C557" s="253">
        <f>'Dry_Litterbag Placem_Collection'!A118</f>
        <v>116</v>
      </c>
      <c r="D557" s="253" t="str">
        <f>'Dry_Litterbag Placem_Collection'!B118</f>
        <v xml:space="preserve">Mwantimba
</v>
      </c>
      <c r="E557" s="253" t="s">
        <v>2454</v>
      </c>
      <c r="F557" s="253" t="s">
        <v>2644</v>
      </c>
      <c r="G557" s="253">
        <v>3</v>
      </c>
      <c r="H557" s="253" t="s">
        <v>3119</v>
      </c>
      <c r="I557" s="254" t="str">
        <f>'Dry_Litterbag Placem_Collection'!C118</f>
        <v>Wet_Ag3_T4</v>
      </c>
      <c r="J557" s="263" t="s">
        <v>2932</v>
      </c>
      <c r="K557" s="256" t="s">
        <v>1147</v>
      </c>
      <c r="L557" s="253" t="str">
        <f>IF(ISBLANK('Dry_Litterbag Placem_Collection'!L118),"","G"&amp;""&amp;'Dry_Litterbag Placem_Collection'!L118)</f>
        <v>G206</v>
      </c>
      <c r="M557" s="257">
        <f>IFERROR(INDEX('Green_rooibos initial weight'!$C$5:$C$2000,MATCH(L557, 'Green_rooibos initial weight'!$A$5:$A$2000,0)),"")</f>
        <v>2.0249999999999999</v>
      </c>
      <c r="N557" s="257">
        <f>IFERROR(M557-(TBIcalc!$Q$9+TBIcalc!$Q$10),"")</f>
        <v>1.7751999999999999</v>
      </c>
      <c r="O557" s="378">
        <f>AVERAGE(Ashed_controlls!$K$2:$K$11)</f>
        <v>5.5147656768714146</v>
      </c>
      <c r="P557" s="257">
        <f t="shared" si="41"/>
        <v>1.6773018797041785</v>
      </c>
      <c r="Q557" s="257">
        <f>IFERROR(INDEX('Both teabags AfterDry'!$D$2:$D$2000,MATCH(L557,'Both teabags AfterDry'!$A$2:$A$2000,0)),"")</f>
        <v>0.75260000000000005</v>
      </c>
      <c r="R557" s="257">
        <f>IFERROR(IF(Q557&gt;0,Q557-(TBIcalc!$Q$9),""),"")</f>
        <v>0.60200000000000009</v>
      </c>
      <c r="S557" s="268">
        <f>IFERROR(INDEX('Ashed teabags dry'!$K$2:$K$2000,MATCH(L557,'Ashed teabags dry'!$A$2:$A$2000,0)),"")</f>
        <v>20.407259849490842</v>
      </c>
      <c r="T557" s="268">
        <f t="shared" si="42"/>
        <v>0.47914829570606521</v>
      </c>
      <c r="U557" s="258">
        <f>IF('Dry_Litterbag Placem_Collection'!E118="","",'Dry_Litterbag Placem_Collection'!E118)</f>
        <v>42939</v>
      </c>
      <c r="V557" s="258">
        <f>IF('Dry_Litterbag Placem_Collection'!G118="","",'Dry_Litterbag Placem_Collection'!G118)</f>
        <v>43008</v>
      </c>
      <c r="W557" s="259">
        <f t="shared" si="40"/>
        <v>69</v>
      </c>
      <c r="X557" s="257">
        <f t="shared" si="43"/>
        <v>1.1731999999999998</v>
      </c>
      <c r="Y557" s="257">
        <f t="shared" si="44"/>
        <v>1.1981535839981134</v>
      </c>
      <c r="Z557" s="261">
        <f>IFERROR(INDEX([3]Rainfall_Dry!$O$2:$O$217,MATCH(C557, [3]Rainfall_Dry!$A$2:$A$217,0)),"")</f>
        <v>136.27214243</v>
      </c>
      <c r="AA557" s="250">
        <v>27.96</v>
      </c>
      <c r="AB557" s="250">
        <v>4.9200000000000017</v>
      </c>
      <c r="AC557" s="250">
        <v>67.12</v>
      </c>
      <c r="AD557" s="251" t="s">
        <v>2651</v>
      </c>
      <c r="AE557" s="250">
        <v>3.8861015278462299</v>
      </c>
      <c r="AF557">
        <f>IF('WetLitterbags placem_collection'!AB118="","",'WetLitterbags placem_collection'!AB118)</f>
        <v>22.5</v>
      </c>
      <c r="AG557">
        <f>IF('WetLitterbags placem_collection'!Z118="","",'WetLitterbags placem_collection'!Z118)</f>
        <v>76</v>
      </c>
      <c r="AH557" s="236" t="str">
        <f>IF('WetLitterbags placem_collection'!AA118="","",'WetLitterbags placem_collection'!AA118)</f>
        <v>G</v>
      </c>
      <c r="AI557">
        <f>IF('WetLitterbags placem_collection'!AC118="","",'WetLitterbags placem_collection'!AC118)</f>
        <v>1</v>
      </c>
      <c r="AJ557">
        <f>IFERROR(AVERAGE('Dry_Litterbag Placem_Collection'!O118,'Dry_Litterbag Placem_Collection'!R118),"")</f>
        <v>8.65</v>
      </c>
      <c r="AK557" s="261">
        <f>IFERROR(AVERAGE('Dry_Litterbag Placem_Collection'!N118,'Dry_Litterbag Placem_Collection'!Q118),"")</f>
        <v>29.799999999999997</v>
      </c>
      <c r="AL557" s="260">
        <f>INDEX([2]Coordinates!$B$2:$B$197,MATCH(I557,[2]Coordinates!$J$2:$J$197,0))</f>
        <v>-2.3488120270000001</v>
      </c>
      <c r="AM557" s="260">
        <f>INDEX([2]Coordinates!$C$2:$C$197,MATCH(I557,[2]Coordinates!$J$2:$J$197,0))</f>
        <v>34.05146697</v>
      </c>
      <c r="AN557" s="260" t="str">
        <f>IF(ISNUMBER(SEARCH("C", 'Dry_Litterbag Placem_Collection'!U118)),"YES","NO")</f>
        <v>NO</v>
      </c>
      <c r="AO557" s="260" t="str">
        <f>IF(ISNUMBER(SEARCH("H", 'Dry_Litterbag Placem_Collection'!U118)),"YES","NO")</f>
        <v>NO</v>
      </c>
      <c r="AP557" s="260" t="str">
        <f>IF(ISNUMBER(SEARCH("R", 'Dry_Litterbag Placem_Collection'!U118)),"YES","NO")</f>
        <v>NO</v>
      </c>
    </row>
    <row r="558" spans="1:42" ht="15" customHeight="1">
      <c r="A558" t="s">
        <v>3248</v>
      </c>
      <c r="B558" s="252" t="s">
        <v>2643</v>
      </c>
      <c r="C558" s="253">
        <f>'Dry_Litterbag Placem_Collection'!A119</f>
        <v>117</v>
      </c>
      <c r="D558" s="253" t="str">
        <f>'Dry_Litterbag Placem_Collection'!B119</f>
        <v xml:space="preserve">Mwantimba
</v>
      </c>
      <c r="E558" s="253" t="s">
        <v>2454</v>
      </c>
      <c r="F558" s="253" t="s">
        <v>2644</v>
      </c>
      <c r="G558" s="253">
        <v>3</v>
      </c>
      <c r="H558" s="253" t="s">
        <v>3119</v>
      </c>
      <c r="I558" s="254" t="str">
        <f>'Dry_Litterbag Placem_Collection'!C119</f>
        <v>Wet_Ag3_T5</v>
      </c>
      <c r="J558" s="263" t="s">
        <v>2932</v>
      </c>
      <c r="K558" s="256" t="s">
        <v>1147</v>
      </c>
      <c r="L558" s="253" t="str">
        <f>IF(ISBLANK('Dry_Litterbag Placem_Collection'!L119),"","G"&amp;""&amp;'Dry_Litterbag Placem_Collection'!L119)</f>
        <v>G163</v>
      </c>
      <c r="M558" s="257">
        <f>IFERROR(INDEX('Green_rooibos initial weight'!$C$5:$C$2000,MATCH(L558, 'Green_rooibos initial weight'!$A$5:$A$2000,0)),"")</f>
        <v>2.04</v>
      </c>
      <c r="N558" s="257">
        <f>IFERROR(M558-(TBIcalc!$Q$9+TBIcalc!$Q$10),"")</f>
        <v>1.7902</v>
      </c>
      <c r="O558" s="378">
        <f>AVERAGE(Ashed_controlls!$K$2:$K$11)</f>
        <v>5.5147656768714146</v>
      </c>
      <c r="P558" s="257">
        <f t="shared" si="41"/>
        <v>1.691474664852648</v>
      </c>
      <c r="Q558" s="257" t="str">
        <f>IFERROR(INDEX('Both teabags AfterDry'!$D$2:$D$2000,MATCH(L558,'Both teabags AfterDry'!$A$2:$A$2000,0)),"")</f>
        <v/>
      </c>
      <c r="R558" s="257" t="str">
        <f>IFERROR(IF(Q558&gt;0,Q558-(TBIcalc!$Q$9),""),"")</f>
        <v/>
      </c>
      <c r="S558" s="268" t="str">
        <f>IFERROR(INDEX('Ashed teabags dry'!$K$2:$K$2000,MATCH(L558,'Ashed teabags dry'!$A$2:$A$2000,0)),"")</f>
        <v/>
      </c>
      <c r="T558" s="268" t="str">
        <f t="shared" si="42"/>
        <v/>
      </c>
      <c r="U558" s="258">
        <f>IF('Dry_Litterbag Placem_Collection'!E119="","",'Dry_Litterbag Placem_Collection'!E119)</f>
        <v>42939</v>
      </c>
      <c r="V558" s="258">
        <f>IF('Dry_Litterbag Placem_Collection'!G119="","",'Dry_Litterbag Placem_Collection'!G119)</f>
        <v>43008</v>
      </c>
      <c r="W558" s="259">
        <f t="shared" si="40"/>
        <v>69</v>
      </c>
      <c r="X558" s="257" t="str">
        <f t="shared" si="43"/>
        <v/>
      </c>
      <c r="Y558" s="257" t="str">
        <f t="shared" si="44"/>
        <v/>
      </c>
      <c r="Z558" s="261">
        <f>IFERROR(INDEX([3]Rainfall_Dry!$O$2:$O$217,MATCH(C558, [3]Rainfall_Dry!$A$2:$A$217,0)),"")</f>
        <v>136.27214243</v>
      </c>
      <c r="AA558" s="250">
        <v>27.96</v>
      </c>
      <c r="AB558" s="250">
        <v>4.9200000000000017</v>
      </c>
      <c r="AC558" s="250">
        <v>67.12</v>
      </c>
      <c r="AD558" s="251" t="s">
        <v>2651</v>
      </c>
      <c r="AE558" s="250">
        <v>4.8861015278462299</v>
      </c>
      <c r="AF558">
        <f>IF('WetLitterbags placem_collection'!AB119="","",'WetLitterbags placem_collection'!AB119)</f>
        <v>23.5</v>
      </c>
      <c r="AG558">
        <f>IF('WetLitterbags placem_collection'!Z119="","",'WetLitterbags placem_collection'!Z119)</f>
        <v>76</v>
      </c>
      <c r="AH558" s="236" t="str">
        <f>IF('WetLitterbags placem_collection'!AA119="","",'WetLitterbags placem_collection'!AA119)</f>
        <v>G</v>
      </c>
      <c r="AI558">
        <f>IF('WetLitterbags placem_collection'!AC119="","",'WetLitterbags placem_collection'!AC119)</f>
        <v>1</v>
      </c>
      <c r="AJ558">
        <f>IFERROR(AVERAGE('Dry_Litterbag Placem_Collection'!O119,'Dry_Litterbag Placem_Collection'!R119),"")</f>
        <v>10.149999999999999</v>
      </c>
      <c r="AK558" s="261">
        <f>IFERROR(AVERAGE('Dry_Litterbag Placem_Collection'!N119,'Dry_Litterbag Placem_Collection'!Q119),"")</f>
        <v>29.05</v>
      </c>
      <c r="AL558" s="260">
        <f>INDEX([2]Coordinates!$B$2:$B$197,MATCH(I558,[2]Coordinates!$J$2:$J$197,0))</f>
        <v>-2.348814961</v>
      </c>
      <c r="AM558" s="260">
        <f>INDEX([2]Coordinates!$C$2:$C$197,MATCH(I558,[2]Coordinates!$J$2:$J$197,0))</f>
        <v>34.051439979999998</v>
      </c>
      <c r="AN558" s="260" t="str">
        <f>IF(ISNUMBER(SEARCH("C", 'Dry_Litterbag Placem_Collection'!U119)),"YES","NO")</f>
        <v>NO</v>
      </c>
      <c r="AO558" s="260" t="str">
        <f>IF(ISNUMBER(SEARCH("H", 'Dry_Litterbag Placem_Collection'!U119)),"YES","NO")</f>
        <v>NO</v>
      </c>
      <c r="AP558" s="260" t="str">
        <f>IF(ISNUMBER(SEARCH("R", 'Dry_Litterbag Placem_Collection'!U119)),"YES","NO")</f>
        <v>NO</v>
      </c>
    </row>
    <row r="559" spans="1:42" ht="15" customHeight="1">
      <c r="A559" t="s">
        <v>3248</v>
      </c>
      <c r="B559" s="252" t="s">
        <v>2643</v>
      </c>
      <c r="C559" s="253">
        <f>'Dry_Litterbag Placem_Collection'!A120</f>
        <v>118</v>
      </c>
      <c r="D559" s="253" t="str">
        <f>'Dry_Litterbag Placem_Collection'!B120</f>
        <v xml:space="preserve">Mwantimba
</v>
      </c>
      <c r="E559" s="253" t="s">
        <v>2454</v>
      </c>
      <c r="F559" s="253" t="s">
        <v>2644</v>
      </c>
      <c r="G559" s="253">
        <v>3</v>
      </c>
      <c r="H559" s="253" t="s">
        <v>3119</v>
      </c>
      <c r="I559" s="254" t="str">
        <f>'Dry_Litterbag Placem_Collection'!C120</f>
        <v>Wet_Ag3_T6</v>
      </c>
      <c r="J559" s="263" t="s">
        <v>2932</v>
      </c>
      <c r="K559" s="256" t="s">
        <v>1147</v>
      </c>
      <c r="L559" s="253" t="str">
        <f>IF(ISBLANK('Dry_Litterbag Placem_Collection'!L120),"","G"&amp;""&amp;'Dry_Litterbag Placem_Collection'!L120)</f>
        <v>G83</v>
      </c>
      <c r="M559" s="257">
        <f>IFERROR(INDEX('Green_rooibos initial weight'!$C$5:$C$2000,MATCH(L559, 'Green_rooibos initial weight'!$A$5:$A$2000,0)),"")</f>
        <v>2.0209999999999999</v>
      </c>
      <c r="N559" s="257">
        <f>IFERROR(M559-(TBIcalc!$Q$9+TBIcalc!$Q$10),"")</f>
        <v>1.7711999999999999</v>
      </c>
      <c r="O559" s="378">
        <f>AVERAGE(Ashed_controlls!$K$2:$K$11)</f>
        <v>5.5147656768714146</v>
      </c>
      <c r="P559" s="257">
        <f t="shared" si="41"/>
        <v>1.6735224703312535</v>
      </c>
      <c r="Q559" s="257">
        <f>IFERROR(INDEX('Both teabags AfterDry'!$D$2:$D$2000,MATCH(L559,'Both teabags AfterDry'!$A$2:$A$2000,0)),"")</f>
        <v>0.81779999999999997</v>
      </c>
      <c r="R559" s="257">
        <f>IFERROR(IF(Q559&gt;0,Q559-(TBIcalc!$Q$9),""),"")</f>
        <v>0.66720000000000002</v>
      </c>
      <c r="S559" s="268">
        <f>IFERROR(INDEX('Ashed teabags dry'!$K$2:$K$2000,MATCH(L559,'Ashed teabags dry'!$A$2:$A$2000,0)),"")</f>
        <v>31.832094446874049</v>
      </c>
      <c r="T559" s="268">
        <f t="shared" si="42"/>
        <v>0.45481626585045637</v>
      </c>
      <c r="U559" s="258">
        <f>IF('Dry_Litterbag Placem_Collection'!E120="","",'Dry_Litterbag Placem_Collection'!E120)</f>
        <v>42939</v>
      </c>
      <c r="V559" s="258">
        <f>IF('Dry_Litterbag Placem_Collection'!G120="","",'Dry_Litterbag Placem_Collection'!G120)</f>
        <v>43008</v>
      </c>
      <c r="W559" s="259">
        <f t="shared" si="40"/>
        <v>69</v>
      </c>
      <c r="X559" s="257">
        <f t="shared" si="43"/>
        <v>1.1039999999999999</v>
      </c>
      <c r="Y559" s="257">
        <f t="shared" si="44"/>
        <v>1.218706204480797</v>
      </c>
      <c r="Z559" s="261">
        <f>IFERROR(INDEX([3]Rainfall_Dry!$O$2:$O$217,MATCH(C559, [3]Rainfall_Dry!$A$2:$A$217,0)),"")</f>
        <v>136.27214243</v>
      </c>
      <c r="AA559" s="250">
        <v>27.96</v>
      </c>
      <c r="AB559" s="250">
        <v>4.9200000000000017</v>
      </c>
      <c r="AC559" s="250">
        <v>67.12</v>
      </c>
      <c r="AD559" s="251" t="s">
        <v>2651</v>
      </c>
      <c r="AE559" s="250">
        <v>5.8861015278462299</v>
      </c>
      <c r="AF559">
        <f>IF('WetLitterbags placem_collection'!AB120="","",'WetLitterbags placem_collection'!AB120)</f>
        <v>17.5</v>
      </c>
      <c r="AG559">
        <f>IF('WetLitterbags placem_collection'!Z120="","",'WetLitterbags placem_collection'!Z120)</f>
        <v>70.5</v>
      </c>
      <c r="AH559" s="236" t="str">
        <f>IF('WetLitterbags placem_collection'!AA120="","",'WetLitterbags placem_collection'!AA120)</f>
        <v>G</v>
      </c>
      <c r="AI559">
        <f>IF('WetLitterbags placem_collection'!AC120="","",'WetLitterbags placem_collection'!AC120)</f>
        <v>1</v>
      </c>
      <c r="AJ559">
        <f>IFERROR(AVERAGE('Dry_Litterbag Placem_Collection'!O120,'Dry_Litterbag Placem_Collection'!R120),"")</f>
        <v>7.8000000000000007</v>
      </c>
      <c r="AK559" s="261">
        <f>IFERROR(AVERAGE('Dry_Litterbag Placem_Collection'!N120,'Dry_Litterbag Placem_Collection'!Q120),"")</f>
        <v>28.25</v>
      </c>
      <c r="AL559" s="260">
        <f>INDEX([2]Coordinates!$B$2:$B$197,MATCH(I559,[2]Coordinates!$J$2:$J$197,0))</f>
        <v>-2.3488729629999998</v>
      </c>
      <c r="AM559" s="260">
        <f>INDEX([2]Coordinates!$C$2:$C$197,MATCH(I559,[2]Coordinates!$J$2:$J$197,0))</f>
        <v>34.051454980000003</v>
      </c>
      <c r="AN559" s="260" t="str">
        <f>IF(ISNUMBER(SEARCH("C", 'Dry_Litterbag Placem_Collection'!U120)),"YES","NO")</f>
        <v>NO</v>
      </c>
      <c r="AO559" s="260" t="str">
        <f>IF(ISNUMBER(SEARCH("H", 'Dry_Litterbag Placem_Collection'!U120)),"YES","NO")</f>
        <v>NO</v>
      </c>
      <c r="AP559" s="260" t="str">
        <f>IF(ISNUMBER(SEARCH("R", 'Dry_Litterbag Placem_Collection'!U120)),"YES","NO")</f>
        <v>YES</v>
      </c>
    </row>
    <row r="560" spans="1:42" ht="15" customHeight="1">
      <c r="A560" t="s">
        <v>3248</v>
      </c>
      <c r="B560" s="252" t="s">
        <v>2643</v>
      </c>
      <c r="C560" s="253">
        <f>'Dry_Litterbag Placem_Collection'!A121</f>
        <v>119</v>
      </c>
      <c r="D560" s="253" t="str">
        <f>'Dry_Litterbag Placem_Collection'!B121</f>
        <v xml:space="preserve">Mwantimba
</v>
      </c>
      <c r="E560" s="253" t="s">
        <v>2454</v>
      </c>
      <c r="F560" s="253" t="s">
        <v>2644</v>
      </c>
      <c r="G560" s="253">
        <v>3</v>
      </c>
      <c r="H560" s="253" t="s">
        <v>3119</v>
      </c>
      <c r="I560" s="254" t="str">
        <f>'Dry_Litterbag Placem_Collection'!C121</f>
        <v>Wet_Ag3_T7</v>
      </c>
      <c r="J560" s="263" t="s">
        <v>2932</v>
      </c>
      <c r="K560" s="256" t="s">
        <v>1147</v>
      </c>
      <c r="L560" s="253" t="str">
        <f>IF(ISBLANK('Dry_Litterbag Placem_Collection'!L121),"","G"&amp;""&amp;'Dry_Litterbag Placem_Collection'!L121)</f>
        <v>G159</v>
      </c>
      <c r="M560" s="257">
        <f>IFERROR(INDEX('Green_rooibos initial weight'!$C$5:$C$2000,MATCH(L560, 'Green_rooibos initial weight'!$A$5:$A$2000,0)),"")</f>
        <v>2.1419999999999999</v>
      </c>
      <c r="N560" s="257">
        <f>IFERROR(M560-(TBIcalc!$Q$9+TBIcalc!$Q$10),"")</f>
        <v>1.8921999999999999</v>
      </c>
      <c r="O560" s="378">
        <f>AVERAGE(Ashed_controlls!$K$2:$K$11)</f>
        <v>5.5147656768714146</v>
      </c>
      <c r="P560" s="257">
        <f t="shared" si="41"/>
        <v>1.7878496038622389</v>
      </c>
      <c r="Q560" s="257">
        <f>IFERROR(INDEX('Both teabags AfterDry'!$D$2:$D$2000,MATCH(L560,'Both teabags AfterDry'!$A$2:$A$2000,0)),"")</f>
        <v>0.76990000000000003</v>
      </c>
      <c r="R560" s="257">
        <f>IFERROR(IF(Q560&gt;0,Q560-(TBIcalc!$Q$9),""),"")</f>
        <v>0.61929999999999996</v>
      </c>
      <c r="S560" s="268">
        <f>IFERROR(INDEX('Ashed teabags dry'!$K$2:$K$2000,MATCH(L560,'Ashed teabags dry'!$A$2:$A$2000,0)),"")</f>
        <v>17.673992673993002</v>
      </c>
      <c r="T560" s="268">
        <f t="shared" si="42"/>
        <v>0.50984496336996132</v>
      </c>
      <c r="U560" s="258">
        <f>IF('Dry_Litterbag Placem_Collection'!E121="","",'Dry_Litterbag Placem_Collection'!E121)</f>
        <v>42939</v>
      </c>
      <c r="V560" s="258">
        <f>IF('Dry_Litterbag Placem_Collection'!G121="","",'Dry_Litterbag Placem_Collection'!G121)</f>
        <v>43008</v>
      </c>
      <c r="W560" s="259">
        <f t="shared" si="40"/>
        <v>69</v>
      </c>
      <c r="X560" s="257">
        <f t="shared" si="43"/>
        <v>1.2728999999999999</v>
      </c>
      <c r="Y560" s="257">
        <f t="shared" si="44"/>
        <v>1.2780046404922776</v>
      </c>
      <c r="Z560" s="261">
        <f>IFERROR(INDEX([3]Rainfall_Dry!$O$2:$O$217,MATCH(C560, [3]Rainfall_Dry!$A$2:$A$217,0)),"")</f>
        <v>136.27214243</v>
      </c>
      <c r="AA560" s="250">
        <v>27.96</v>
      </c>
      <c r="AB560" s="250">
        <v>4.9200000000000017</v>
      </c>
      <c r="AC560" s="250">
        <v>67.12</v>
      </c>
      <c r="AD560" s="251" t="s">
        <v>2651</v>
      </c>
      <c r="AE560" s="250">
        <v>6.8861015278462299</v>
      </c>
      <c r="AF560">
        <f>IF('WetLitterbags placem_collection'!AB121="","",'WetLitterbags placem_collection'!AB121)</f>
        <v>18.5</v>
      </c>
      <c r="AG560">
        <f>IF('WetLitterbags placem_collection'!Z121="","",'WetLitterbags placem_collection'!Z121)</f>
        <v>74.5</v>
      </c>
      <c r="AH560" s="236" t="str">
        <f>IF('WetLitterbags placem_collection'!AA121="","",'WetLitterbags placem_collection'!AA121)</f>
        <v>G</v>
      </c>
      <c r="AI560">
        <f>IF('WetLitterbags placem_collection'!AC121="","",'WetLitterbags placem_collection'!AC121)</f>
        <v>1</v>
      </c>
      <c r="AJ560">
        <f>IFERROR(AVERAGE('Dry_Litterbag Placem_Collection'!O121,'Dry_Litterbag Placem_Collection'!R121),"")</f>
        <v>10.050000000000001</v>
      </c>
      <c r="AK560" s="261">
        <f>IFERROR(AVERAGE('Dry_Litterbag Placem_Collection'!N121,'Dry_Litterbag Placem_Collection'!Q121),"")</f>
        <v>27.95</v>
      </c>
      <c r="AL560" s="260">
        <f>INDEX([2]Coordinates!$B$2:$B$197,MATCH(I560,[2]Coordinates!$J$2:$J$197,0))</f>
        <v>-2.3488589659999999</v>
      </c>
      <c r="AM560" s="260">
        <f>INDEX([2]Coordinates!$C$2:$C$197,MATCH(I560,[2]Coordinates!$J$2:$J$197,0))</f>
        <v>34.051389010000001</v>
      </c>
      <c r="AN560" s="260" t="str">
        <f>IF(ISNUMBER(SEARCH("C", 'Dry_Litterbag Placem_Collection'!U121)),"YES","NO")</f>
        <v>NO</v>
      </c>
      <c r="AO560" s="260" t="str">
        <f>IF(ISNUMBER(SEARCH("H", 'Dry_Litterbag Placem_Collection'!U121)),"YES","NO")</f>
        <v>NO</v>
      </c>
      <c r="AP560" s="260" t="str">
        <f>IF(ISNUMBER(SEARCH("R", 'Dry_Litterbag Placem_Collection'!U121)),"YES","NO")</f>
        <v>YES</v>
      </c>
    </row>
    <row r="561" spans="1:42" ht="15" customHeight="1">
      <c r="A561" t="s">
        <v>3248</v>
      </c>
      <c r="B561" s="252" t="s">
        <v>2643</v>
      </c>
      <c r="C561" s="253">
        <f>'Dry_Litterbag Placem_Collection'!A122</f>
        <v>120</v>
      </c>
      <c r="D561" s="253" t="str">
        <f>'Dry_Litterbag Placem_Collection'!B122</f>
        <v xml:space="preserve">Mwantimba
</v>
      </c>
      <c r="E561" s="253" t="s">
        <v>2454</v>
      </c>
      <c r="F561" s="253" t="s">
        <v>2644</v>
      </c>
      <c r="G561" s="253">
        <v>3</v>
      </c>
      <c r="H561" s="253" t="s">
        <v>3119</v>
      </c>
      <c r="I561" s="254" t="str">
        <f>'Dry_Litterbag Placem_Collection'!C122</f>
        <v>Wet_Ag3_T8</v>
      </c>
      <c r="J561" s="263" t="s">
        <v>2932</v>
      </c>
      <c r="K561" s="256" t="s">
        <v>1147</v>
      </c>
      <c r="L561" s="253" t="str">
        <f>IF(ISBLANK('Dry_Litterbag Placem_Collection'!L122),"","G"&amp;""&amp;'Dry_Litterbag Placem_Collection'!L122)</f>
        <v/>
      </c>
      <c r="M561" s="257" t="str">
        <f>IFERROR(INDEX('Green_rooibos initial weight'!$C$5:$C$2000,MATCH(L561, 'Green_rooibos initial weight'!$A$5:$A$2000,0)),"")</f>
        <v/>
      </c>
      <c r="N561" s="257" t="str">
        <f>IFERROR(M561-(TBIcalc!$Q$9+TBIcalc!$Q$10),"")</f>
        <v/>
      </c>
      <c r="O561" s="378">
        <f>AVERAGE(Ashed_controlls!$K$2:$K$11)</f>
        <v>5.5147656768714146</v>
      </c>
      <c r="P561" s="257" t="str">
        <f t="shared" si="41"/>
        <v/>
      </c>
      <c r="Q561" s="257" t="str">
        <f>IFERROR(INDEX('Both teabags AfterDry'!$D$2:$D$2000,MATCH(L561,'Both teabags AfterDry'!$A$2:$A$2000,0)),"")</f>
        <v/>
      </c>
      <c r="R561" s="257" t="str">
        <f>IFERROR(IF(Q561&gt;0,Q561-(TBIcalc!$Q$9),""),"")</f>
        <v/>
      </c>
      <c r="S561" s="268" t="str">
        <f>IFERROR(INDEX('Ashed teabags dry'!$K$2:$K$2000,MATCH(L561,'Ashed teabags dry'!$A$2:$A$2000,0)),"")</f>
        <v/>
      </c>
      <c r="T561" s="268" t="str">
        <f t="shared" si="42"/>
        <v/>
      </c>
      <c r="U561" s="258" t="str">
        <f>IF('Dry_Litterbag Placem_Collection'!E122="","",'Dry_Litterbag Placem_Collection'!E122)</f>
        <v/>
      </c>
      <c r="V561" s="258" t="str">
        <f>IF('Dry_Litterbag Placem_Collection'!G122="","",'Dry_Litterbag Placem_Collection'!G122)</f>
        <v/>
      </c>
      <c r="W561" s="259" t="str">
        <f t="shared" si="40"/>
        <v/>
      </c>
      <c r="X561" s="257" t="str">
        <f t="shared" si="43"/>
        <v/>
      </c>
      <c r="Y561" s="257" t="str">
        <f t="shared" si="44"/>
        <v/>
      </c>
      <c r="Z561" s="261" t="str">
        <f>IFERROR(INDEX([3]Rainfall_Dry!$O$2:$O$217,MATCH(C561, [3]Rainfall_Dry!$A$2:$A$217,0)),"")</f>
        <v/>
      </c>
      <c r="AA561" s="250">
        <v>27.96</v>
      </c>
      <c r="AB561" s="250">
        <v>4.9200000000000017</v>
      </c>
      <c r="AC561" s="250">
        <v>67.12</v>
      </c>
      <c r="AD561" s="251" t="s">
        <v>2651</v>
      </c>
      <c r="AE561" s="250">
        <v>7.8861015278462299</v>
      </c>
      <c r="AF561">
        <f>IF('WetLitterbags placem_collection'!AB122="","",'WetLitterbags placem_collection'!AB122)</f>
        <v>19</v>
      </c>
      <c r="AG561">
        <f>IF('WetLitterbags placem_collection'!Z122="","",'WetLitterbags placem_collection'!Z122)</f>
        <v>98.5</v>
      </c>
      <c r="AH561" s="236" t="str">
        <f>IF('WetLitterbags placem_collection'!AA122="","",'WetLitterbags placem_collection'!AA122)</f>
        <v>G</v>
      </c>
      <c r="AI561">
        <f>IF('WetLitterbags placem_collection'!AC122="","",'WetLitterbags placem_collection'!AC122)</f>
        <v>0</v>
      </c>
      <c r="AJ561" t="str">
        <f>IFERROR(AVERAGE('Dry_Litterbag Placem_Collection'!O122,'Dry_Litterbag Placem_Collection'!R122),"")</f>
        <v/>
      </c>
      <c r="AK561" s="261" t="str">
        <f>IFERROR(AVERAGE('Dry_Litterbag Placem_Collection'!N122,'Dry_Litterbag Placem_Collection'!Q122),"")</f>
        <v/>
      </c>
      <c r="AL561" s="260">
        <f>INDEX([2]Coordinates!$B$2:$B$197,MATCH(I561,[2]Coordinates!$J$2:$J$197,0))</f>
        <v>-2.3486449760000001</v>
      </c>
      <c r="AM561" s="260">
        <f>INDEX([2]Coordinates!$C$2:$C$197,MATCH(I561,[2]Coordinates!$J$2:$J$197,0))</f>
        <v>34.051495969999998</v>
      </c>
      <c r="AN561" s="260" t="str">
        <f>IF(ISNUMBER(SEARCH("C", 'Dry_Litterbag Placem_Collection'!U122)),"YES","NO")</f>
        <v>NO</v>
      </c>
      <c r="AO561" s="260" t="str">
        <f>IF(ISNUMBER(SEARCH("H", 'Dry_Litterbag Placem_Collection'!U122)),"YES","NO")</f>
        <v>NO</v>
      </c>
      <c r="AP561" s="260" t="str">
        <f>IF(ISNUMBER(SEARCH("R", 'Dry_Litterbag Placem_Collection'!U122)),"YES","NO")</f>
        <v>NO</v>
      </c>
    </row>
    <row r="562" spans="1:42" ht="15" customHeight="1">
      <c r="A562" t="s">
        <v>3248</v>
      </c>
      <c r="B562" s="252" t="s">
        <v>2643</v>
      </c>
      <c r="C562" s="253">
        <f>'Dry_Litterbag Placem_Collection'!A123</f>
        <v>121</v>
      </c>
      <c r="D562" s="253" t="str">
        <f>'Dry_Litterbag Placem_Collection'!B123</f>
        <v xml:space="preserve">Mwantimba
</v>
      </c>
      <c r="E562" s="253" t="s">
        <v>2454</v>
      </c>
      <c r="F562" s="253" t="s">
        <v>2644</v>
      </c>
      <c r="G562" s="253">
        <v>4</v>
      </c>
      <c r="H562" s="253" t="s">
        <v>3120</v>
      </c>
      <c r="I562" s="254" t="str">
        <f>'Dry_Litterbag Placem_Collection'!C123</f>
        <v>Wet_Ag4_T1</v>
      </c>
      <c r="J562" s="263" t="s">
        <v>2932</v>
      </c>
      <c r="K562" s="256" t="s">
        <v>1147</v>
      </c>
      <c r="L562" s="253" t="str">
        <f>IF(ISBLANK('Dry_Litterbag Placem_Collection'!L123),"","G"&amp;""&amp;'Dry_Litterbag Placem_Collection'!L123)</f>
        <v>G16</v>
      </c>
      <c r="M562" s="257">
        <f>IFERROR(INDEX('Green_rooibos initial weight'!$C$5:$C$2000,MATCH(L562, 'Green_rooibos initial weight'!$A$5:$A$2000,0)),"")</f>
        <v>1.9410000000000001</v>
      </c>
      <c r="N562" s="257">
        <f>IFERROR(M562-(TBIcalc!$Q$9+TBIcalc!$Q$10),"")</f>
        <v>1.6912</v>
      </c>
      <c r="O562" s="378">
        <f>AVERAGE(Ashed_controlls!$K$2:$K$11)</f>
        <v>5.5147656768714146</v>
      </c>
      <c r="P562" s="257">
        <f t="shared" si="41"/>
        <v>1.5979342828727507</v>
      </c>
      <c r="Q562" s="257" t="str">
        <f>IFERROR(INDEX('Both teabags AfterDry'!$D$2:$D$2000,MATCH(L562,'Both teabags AfterDry'!$A$2:$A$2000,0)),"")</f>
        <v/>
      </c>
      <c r="R562" s="257" t="str">
        <f>IFERROR(IF(Q562&gt;0,Q562-(TBIcalc!$Q$9),""),"")</f>
        <v/>
      </c>
      <c r="S562" s="268" t="str">
        <f>IFERROR(INDEX('Ashed teabags dry'!$K$2:$K$2000,MATCH(L562,'Ashed teabags dry'!$A$2:$A$2000,0)),"")</f>
        <v/>
      </c>
      <c r="T562" s="268" t="str">
        <f t="shared" si="42"/>
        <v/>
      </c>
      <c r="U562" s="258">
        <f>IF('Dry_Litterbag Placem_Collection'!E123="","",'Dry_Litterbag Placem_Collection'!E123)</f>
        <v>42939</v>
      </c>
      <c r="V562" s="258">
        <f>IF('Dry_Litterbag Placem_Collection'!G123="","",'Dry_Litterbag Placem_Collection'!G123)</f>
        <v>43008</v>
      </c>
      <c r="W562" s="259">
        <f t="shared" si="40"/>
        <v>69</v>
      </c>
      <c r="X562" s="257" t="str">
        <f t="shared" si="43"/>
        <v/>
      </c>
      <c r="Y562" s="257" t="str">
        <f t="shared" si="44"/>
        <v/>
      </c>
      <c r="Z562" s="261">
        <f>IFERROR(INDEX([3]Rainfall_Dry!$O$2:$O$217,MATCH(C562, [3]Rainfall_Dry!$A$2:$A$217,0)),"")</f>
        <v>136.27214243</v>
      </c>
      <c r="AA562" s="250">
        <v>17.96</v>
      </c>
      <c r="AB562" s="250">
        <v>4.9199999999999982</v>
      </c>
      <c r="AC562" s="250">
        <v>77.12</v>
      </c>
      <c r="AD562" s="251" t="s">
        <v>2652</v>
      </c>
      <c r="AE562" s="250">
        <v>2.0220798422868409</v>
      </c>
      <c r="AF562">
        <f>IF('WetLitterbags placem_collection'!AB123="","",'WetLitterbags placem_collection'!AB123)</f>
        <v>9.65</v>
      </c>
      <c r="AG562">
        <f>IF('WetLitterbags placem_collection'!Z123="","",'WetLitterbags placem_collection'!Z123)</f>
        <v>63</v>
      </c>
      <c r="AH562" s="236" t="str">
        <f>IF('WetLitterbags placem_collection'!AA123="","",'WetLitterbags placem_collection'!AA123)</f>
        <v>G</v>
      </c>
      <c r="AI562">
        <f>IF('WetLitterbags placem_collection'!AC123="","",'WetLitterbags placem_collection'!AC123)</f>
        <v>0</v>
      </c>
      <c r="AJ562">
        <f>IFERROR(AVERAGE('Dry_Litterbag Placem_Collection'!O123,'Dry_Litterbag Placem_Collection'!R123),"")</f>
        <v>5.5</v>
      </c>
      <c r="AK562" s="261">
        <f>IFERROR(AVERAGE('Dry_Litterbag Placem_Collection'!N123,'Dry_Litterbag Placem_Collection'!Q123),"")</f>
        <v>29.1</v>
      </c>
      <c r="AL562" s="260">
        <f>INDEX([2]Coordinates!$B$2:$B$197,MATCH(I562,[2]Coordinates!$J$2:$J$197,0))</f>
        <v>-2.3492639789999998</v>
      </c>
      <c r="AM562" s="260">
        <f>INDEX([2]Coordinates!$C$2:$C$197,MATCH(I562,[2]Coordinates!$J$2:$J$197,0))</f>
        <v>34.051464029999998</v>
      </c>
      <c r="AN562" s="260" t="str">
        <f>IF(ISNUMBER(SEARCH("C", 'Dry_Litterbag Placem_Collection'!U123)),"YES","NO")</f>
        <v>NO</v>
      </c>
      <c r="AO562" s="260" t="str">
        <f>IF(ISNUMBER(SEARCH("H", 'Dry_Litterbag Placem_Collection'!U123)),"YES","NO")</f>
        <v>NO</v>
      </c>
      <c r="AP562" s="260" t="str">
        <f>IF(ISNUMBER(SEARCH("R", 'Dry_Litterbag Placem_Collection'!U123)),"YES","NO")</f>
        <v>NO</v>
      </c>
    </row>
    <row r="563" spans="1:42" ht="15" customHeight="1">
      <c r="A563" t="s">
        <v>3248</v>
      </c>
      <c r="B563" s="252" t="s">
        <v>2643</v>
      </c>
      <c r="C563" s="253">
        <f>'Dry_Litterbag Placem_Collection'!A124</f>
        <v>122</v>
      </c>
      <c r="D563" s="253" t="str">
        <f>'Dry_Litterbag Placem_Collection'!B124</f>
        <v xml:space="preserve">Mwantimba
</v>
      </c>
      <c r="E563" s="253" t="s">
        <v>2454</v>
      </c>
      <c r="F563" s="253" t="s">
        <v>2644</v>
      </c>
      <c r="G563" s="253">
        <v>4</v>
      </c>
      <c r="H563" s="253" t="s">
        <v>3120</v>
      </c>
      <c r="I563" s="254" t="str">
        <f>'Dry_Litterbag Placem_Collection'!C124</f>
        <v>Wet_Ag4_T2</v>
      </c>
      <c r="J563" s="263" t="s">
        <v>2932</v>
      </c>
      <c r="K563" s="256" t="s">
        <v>1147</v>
      </c>
      <c r="L563" s="253" t="str">
        <f>IF(ISBLANK('Dry_Litterbag Placem_Collection'!L124),"","G"&amp;""&amp;'Dry_Litterbag Placem_Collection'!L124)</f>
        <v>G109</v>
      </c>
      <c r="M563" s="257">
        <f>IFERROR(INDEX('Green_rooibos initial weight'!$C$5:$C$2000,MATCH(L563, 'Green_rooibos initial weight'!$A$5:$A$2000,0)),"")</f>
        <v>1.992</v>
      </c>
      <c r="N563" s="257">
        <f>IFERROR(M563-(TBIcalc!$Q$9+TBIcalc!$Q$10),"")</f>
        <v>1.7422</v>
      </c>
      <c r="O563" s="378">
        <f>AVERAGE(Ashed_controlls!$K$2:$K$11)</f>
        <v>5.5147656768714146</v>
      </c>
      <c r="P563" s="257">
        <f t="shared" si="41"/>
        <v>1.6461217523775462</v>
      </c>
      <c r="Q563" s="257">
        <f>IFERROR(INDEX('Both teabags AfterDry'!$D$2:$D$2000,MATCH(L563,'Both teabags AfterDry'!$A$2:$A$2000,0)),"")</f>
        <v>0.67359999999999998</v>
      </c>
      <c r="R563" s="257">
        <f>IFERROR(IF(Q563&gt;0,Q563-(TBIcalc!$Q$9),""),"")</f>
        <v>0.52299999999999991</v>
      </c>
      <c r="S563" s="268">
        <f>IFERROR(INDEX('Ashed teabags dry'!$K$2:$K$2000,MATCH(L563,'Ashed teabags dry'!$A$2:$A$2000,0)),"")</f>
        <v>17.174515235456546</v>
      </c>
      <c r="T563" s="268">
        <f t="shared" si="42"/>
        <v>0.4331772853185622</v>
      </c>
      <c r="U563" s="258">
        <f>IF('Dry_Litterbag Placem_Collection'!E124="","",'Dry_Litterbag Placem_Collection'!E124)</f>
        <v>42939</v>
      </c>
      <c r="V563" s="258">
        <f>IF('Dry_Litterbag Placem_Collection'!G124="","",'Dry_Litterbag Placem_Collection'!G124)</f>
        <v>43008</v>
      </c>
      <c r="W563" s="259">
        <f t="shared" si="40"/>
        <v>69</v>
      </c>
      <c r="X563" s="257">
        <f t="shared" si="43"/>
        <v>1.2192000000000001</v>
      </c>
      <c r="Y563" s="257">
        <f t="shared" si="44"/>
        <v>1.212944467058984</v>
      </c>
      <c r="Z563" s="261">
        <f>IFERROR(INDEX([3]Rainfall_Dry!$O$2:$O$217,MATCH(C563, [3]Rainfall_Dry!$A$2:$A$217,0)),"")</f>
        <v>136.27214243</v>
      </c>
      <c r="AA563" s="250">
        <v>17.96</v>
      </c>
      <c r="AB563" s="250">
        <v>4.9199999999999982</v>
      </c>
      <c r="AC563" s="250">
        <v>77.12</v>
      </c>
      <c r="AD563" s="251" t="s">
        <v>2652</v>
      </c>
      <c r="AE563" s="250">
        <v>3.02207984228684</v>
      </c>
      <c r="AF563">
        <f>IF('WetLitterbags placem_collection'!AB124="","",'WetLitterbags placem_collection'!AB124)</f>
        <v>3.1</v>
      </c>
      <c r="AG563">
        <f>IF('WetLitterbags placem_collection'!Z124="","",'WetLitterbags placem_collection'!Z124)</f>
        <v>53</v>
      </c>
      <c r="AH563" s="236" t="str">
        <f>IF('WetLitterbags placem_collection'!AA124="","",'WetLitterbags placem_collection'!AA124)</f>
        <v>G</v>
      </c>
      <c r="AI563">
        <f>IF('WetLitterbags placem_collection'!AC124="","",'WetLitterbags placem_collection'!AC124)</f>
        <v>0</v>
      </c>
      <c r="AJ563">
        <f>IFERROR(AVERAGE('Dry_Litterbag Placem_Collection'!O124,'Dry_Litterbag Placem_Collection'!R124),"")</f>
        <v>9.0500000000000007</v>
      </c>
      <c r="AK563" s="261">
        <f>IFERROR(AVERAGE('Dry_Litterbag Placem_Collection'!N124,'Dry_Litterbag Placem_Collection'!Q124),"")</f>
        <v>28.55</v>
      </c>
      <c r="AL563" s="260">
        <f>INDEX([2]Coordinates!$B$2:$B$197,MATCH(I563,[2]Coordinates!$J$2:$J$197,0))</f>
        <v>-2.34923196</v>
      </c>
      <c r="AM563" s="260">
        <f>INDEX([2]Coordinates!$C$2:$C$197,MATCH(I563,[2]Coordinates!$J$2:$J$197,0))</f>
        <v>34.051422039999999</v>
      </c>
      <c r="AN563" s="260" t="str">
        <f>IF(ISNUMBER(SEARCH("C", 'Dry_Litterbag Placem_Collection'!U124)),"YES","NO")</f>
        <v>NO</v>
      </c>
      <c r="AO563" s="260" t="str">
        <f>IF(ISNUMBER(SEARCH("H", 'Dry_Litterbag Placem_Collection'!U124)),"YES","NO")</f>
        <v>NO</v>
      </c>
      <c r="AP563" s="260" t="str">
        <f>IF(ISNUMBER(SEARCH("R", 'Dry_Litterbag Placem_Collection'!U124)),"YES","NO")</f>
        <v>NO</v>
      </c>
    </row>
    <row r="564" spans="1:42" ht="15" customHeight="1">
      <c r="A564" t="s">
        <v>3248</v>
      </c>
      <c r="B564" s="252" t="s">
        <v>2643</v>
      </c>
      <c r="C564" s="253">
        <f>'Dry_Litterbag Placem_Collection'!A125</f>
        <v>123</v>
      </c>
      <c r="D564" s="253" t="str">
        <f>'Dry_Litterbag Placem_Collection'!B125</f>
        <v xml:space="preserve">Mwantimba
</v>
      </c>
      <c r="E564" s="253" t="s">
        <v>2454</v>
      </c>
      <c r="F564" s="253" t="s">
        <v>2644</v>
      </c>
      <c r="G564" s="253">
        <v>4</v>
      </c>
      <c r="H564" s="253" t="s">
        <v>3120</v>
      </c>
      <c r="I564" s="254" t="str">
        <f>'Dry_Litterbag Placem_Collection'!C125</f>
        <v>Wet_Ag4_T3</v>
      </c>
      <c r="J564" s="263" t="s">
        <v>2932</v>
      </c>
      <c r="K564" s="256" t="s">
        <v>1147</v>
      </c>
      <c r="L564" s="253" t="str">
        <f>IF(ISBLANK('Dry_Litterbag Placem_Collection'!L125),"","G"&amp;""&amp;'Dry_Litterbag Placem_Collection'!L125)</f>
        <v>G344</v>
      </c>
      <c r="M564" s="257">
        <f>IFERROR(INDEX('Green_rooibos initial weight'!$C$5:$C$2000,MATCH(L564, 'Green_rooibos initial weight'!$A$5:$A$2000,0)),"")</f>
        <v>1.93</v>
      </c>
      <c r="N564" s="257">
        <f>IFERROR(M564-(TBIcalc!$Q$9+TBIcalc!$Q$10),"")</f>
        <v>1.6801999999999999</v>
      </c>
      <c r="O564" s="378">
        <f>AVERAGE(Ashed_controlls!$K$2:$K$11)</f>
        <v>5.5147656768714146</v>
      </c>
      <c r="P564" s="257">
        <f t="shared" si="41"/>
        <v>1.5875409070972064</v>
      </c>
      <c r="Q564" s="257">
        <f>IFERROR(INDEX('Both teabags AfterDry'!$D$2:$D$2000,MATCH(L564,'Both teabags AfterDry'!$A$2:$A$2000,0)),"")</f>
        <v>0.78580000000000005</v>
      </c>
      <c r="R564" s="257">
        <f>IFERROR(IF(Q564&gt;0,Q564-(TBIcalc!$Q$9),""),"")</f>
        <v>0.63519999999999999</v>
      </c>
      <c r="S564" s="268">
        <f>IFERROR(INDEX('Ashed teabags dry'!$K$2:$K$2000,MATCH(L564,'Ashed teabags dry'!$A$2:$A$2000,0)),"")</f>
        <v>19.618781961877247</v>
      </c>
      <c r="T564" s="268">
        <f t="shared" si="42"/>
        <v>0.51058149697815569</v>
      </c>
      <c r="U564" s="258">
        <f>IF('Dry_Litterbag Placem_Collection'!E125="","",'Dry_Litterbag Placem_Collection'!E125)</f>
        <v>42939</v>
      </c>
      <c r="V564" s="258">
        <f>IF('Dry_Litterbag Placem_Collection'!G125="","",'Dry_Litterbag Placem_Collection'!G125)</f>
        <v>43008</v>
      </c>
      <c r="W564" s="259">
        <f t="shared" si="40"/>
        <v>69</v>
      </c>
      <c r="X564" s="257">
        <f t="shared" si="43"/>
        <v>1.0449999999999999</v>
      </c>
      <c r="Y564" s="257">
        <f t="shared" si="44"/>
        <v>1.0769594101190507</v>
      </c>
      <c r="Z564" s="261">
        <f>IFERROR(INDEX([3]Rainfall_Dry!$O$2:$O$217,MATCH(C564, [3]Rainfall_Dry!$A$2:$A$217,0)),"")</f>
        <v>136.27214243</v>
      </c>
      <c r="AA564" s="250">
        <v>17.96</v>
      </c>
      <c r="AB564" s="250">
        <v>4.9199999999999982</v>
      </c>
      <c r="AC564" s="250">
        <v>77.12</v>
      </c>
      <c r="AD564" s="251" t="s">
        <v>2652</v>
      </c>
      <c r="AE564" s="250">
        <v>4.02207984228684</v>
      </c>
      <c r="AF564">
        <f>IF('WetLitterbags placem_collection'!AB125="","",'WetLitterbags placem_collection'!AB125)</f>
        <v>3.9</v>
      </c>
      <c r="AG564">
        <f>IF('WetLitterbags placem_collection'!Z125="","",'WetLitterbags placem_collection'!Z125)</f>
        <v>51</v>
      </c>
      <c r="AH564" s="236" t="str">
        <f>IF('WetLitterbags placem_collection'!AA125="","",'WetLitterbags placem_collection'!AA125)</f>
        <v>G</v>
      </c>
      <c r="AI564">
        <f>IF('WetLitterbags placem_collection'!AC125="","",'WetLitterbags placem_collection'!AC125)</f>
        <v>1</v>
      </c>
      <c r="AJ564">
        <f>IFERROR(AVERAGE('Dry_Litterbag Placem_Collection'!O125,'Dry_Litterbag Placem_Collection'!R125),"")</f>
        <v>10.7</v>
      </c>
      <c r="AK564" s="261">
        <f>IFERROR(AVERAGE('Dry_Litterbag Placem_Collection'!N125,'Dry_Litterbag Placem_Collection'!Q125),"")</f>
        <v>27.1</v>
      </c>
      <c r="AL564" s="260">
        <f>INDEX([2]Coordinates!$B$2:$B$197,MATCH(I564,[2]Coordinates!$J$2:$J$197,0))</f>
        <v>-2.3492390009999999</v>
      </c>
      <c r="AM564" s="260">
        <f>INDEX([2]Coordinates!$C$2:$C$197,MATCH(I564,[2]Coordinates!$J$2:$J$197,0))</f>
        <v>34.051304020000003</v>
      </c>
      <c r="AN564" s="260" t="str">
        <f>IF(ISNUMBER(SEARCH("C", 'Dry_Litterbag Placem_Collection'!U125)),"YES","NO")</f>
        <v>NO</v>
      </c>
      <c r="AO564" s="260" t="str">
        <f>IF(ISNUMBER(SEARCH("H", 'Dry_Litterbag Placem_Collection'!U125)),"YES","NO")</f>
        <v>NO</v>
      </c>
      <c r="AP564" s="260" t="str">
        <f>IF(ISNUMBER(SEARCH("R", 'Dry_Litterbag Placem_Collection'!U125)),"YES","NO")</f>
        <v>NO</v>
      </c>
    </row>
    <row r="565" spans="1:42" ht="15" customHeight="1">
      <c r="A565" t="s">
        <v>3248</v>
      </c>
      <c r="B565" s="252" t="s">
        <v>2643</v>
      </c>
      <c r="C565" s="253">
        <f>'Dry_Litterbag Placem_Collection'!A126</f>
        <v>124</v>
      </c>
      <c r="D565" s="253" t="str">
        <f>'Dry_Litterbag Placem_Collection'!B126</f>
        <v xml:space="preserve">Mwantimba
</v>
      </c>
      <c r="E565" s="253" t="s">
        <v>2454</v>
      </c>
      <c r="F565" s="253" t="s">
        <v>2644</v>
      </c>
      <c r="G565" s="253">
        <v>4</v>
      </c>
      <c r="H565" s="253" t="s">
        <v>3120</v>
      </c>
      <c r="I565" s="254" t="str">
        <f>'Dry_Litterbag Placem_Collection'!C126</f>
        <v>Wet_Ag4_T4</v>
      </c>
      <c r="J565" s="263" t="s">
        <v>2932</v>
      </c>
      <c r="K565" s="256" t="s">
        <v>1147</v>
      </c>
      <c r="L565" s="253" t="str">
        <f>IF(ISBLANK('Dry_Litterbag Placem_Collection'!L126),"","G"&amp;""&amp;'Dry_Litterbag Placem_Collection'!L126)</f>
        <v>G221</v>
      </c>
      <c r="M565" s="257">
        <f>IFERROR(INDEX('Green_rooibos initial weight'!$C$5:$C$2000,MATCH(L565, 'Green_rooibos initial weight'!$A$5:$A$2000,0)),"")</f>
        <v>2.004</v>
      </c>
      <c r="N565" s="257">
        <f>IFERROR(M565-(TBIcalc!$Q$9+TBIcalc!$Q$10),"")</f>
        <v>1.7542</v>
      </c>
      <c r="O565" s="378">
        <f>AVERAGE(Ashed_controlls!$K$2:$K$11)</f>
        <v>5.5147656768714146</v>
      </c>
      <c r="P565" s="257">
        <f t="shared" si="41"/>
        <v>1.6574599804963217</v>
      </c>
      <c r="Q565" s="257">
        <f>IFERROR(INDEX('Both teabags AfterDry'!$D$2:$D$2000,MATCH(L565,'Both teabags AfterDry'!$A$2:$A$2000,0)),"")</f>
        <v>0.66700000000000004</v>
      </c>
      <c r="R565" s="257">
        <f>IFERROR(IF(Q565&gt;0,Q565-(TBIcalc!$Q$9),""),"")</f>
        <v>0.51639999999999997</v>
      </c>
      <c r="S565" s="268">
        <f>IFERROR(INDEX('Ashed teabags dry'!$K$2:$K$2000,MATCH(L565,'Ashed teabags dry'!$A$2:$A$2000,0)),"")</f>
        <v>19.375305026842138</v>
      </c>
      <c r="T565" s="268">
        <f t="shared" si="42"/>
        <v>0.41634592484138716</v>
      </c>
      <c r="U565" s="258">
        <f>IF('Dry_Litterbag Placem_Collection'!E126="","",'Dry_Litterbag Placem_Collection'!E126)</f>
        <v>42939</v>
      </c>
      <c r="V565" s="258">
        <f>IF('Dry_Litterbag Placem_Collection'!G126="","",'Dry_Litterbag Placem_Collection'!G126)</f>
        <v>43008</v>
      </c>
      <c r="W565" s="259">
        <f t="shared" si="40"/>
        <v>69</v>
      </c>
      <c r="X565" s="257">
        <f t="shared" si="43"/>
        <v>1.2378</v>
      </c>
      <c r="Y565" s="257">
        <f t="shared" si="44"/>
        <v>1.2411140556549345</v>
      </c>
      <c r="Z565" s="261">
        <f>IFERROR(INDEX([3]Rainfall_Dry!$O$2:$O$217,MATCH(C565, [3]Rainfall_Dry!$A$2:$A$217,0)),"")</f>
        <v>136.27214243</v>
      </c>
      <c r="AA565" s="250">
        <v>17.96</v>
      </c>
      <c r="AB565" s="250">
        <v>4.9199999999999982</v>
      </c>
      <c r="AC565" s="250">
        <v>77.12</v>
      </c>
      <c r="AD565" s="251" t="s">
        <v>2652</v>
      </c>
      <c r="AE565" s="250">
        <v>5.02207984228684</v>
      </c>
      <c r="AF565">
        <f>IF('WetLitterbags placem_collection'!AB126="","",'WetLitterbags placem_collection'!AB126)</f>
        <v>5.45</v>
      </c>
      <c r="AG565">
        <f>IF('WetLitterbags placem_collection'!Z126="","",'WetLitterbags placem_collection'!Z126)</f>
        <v>47</v>
      </c>
      <c r="AH565" s="236" t="str">
        <f>IF('WetLitterbags placem_collection'!AA126="","",'WetLitterbags placem_collection'!AA126)</f>
        <v>G</v>
      </c>
      <c r="AI565">
        <f>IF('WetLitterbags placem_collection'!AC126="","",'WetLitterbags placem_collection'!AC126)</f>
        <v>1</v>
      </c>
      <c r="AJ565">
        <f>IFERROR(AVERAGE('Dry_Litterbag Placem_Collection'!O126,'Dry_Litterbag Placem_Collection'!R126),"")</f>
        <v>9.15</v>
      </c>
      <c r="AK565" s="261">
        <f>IFERROR(AVERAGE('Dry_Litterbag Placem_Collection'!N126,'Dry_Litterbag Placem_Collection'!Q126),"")</f>
        <v>28.05</v>
      </c>
      <c r="AL565" s="260">
        <f>INDEX([2]Coordinates!$B$2:$B$197,MATCH(I565,[2]Coordinates!$J$2:$J$197,0))</f>
        <v>-2.3492799889999998</v>
      </c>
      <c r="AM565" s="260">
        <f>INDEX([2]Coordinates!$C$2:$C$197,MATCH(I565,[2]Coordinates!$J$2:$J$197,0))</f>
        <v>34.051280970000001</v>
      </c>
      <c r="AN565" s="260" t="str">
        <f>IF(ISNUMBER(SEARCH("C", 'Dry_Litterbag Placem_Collection'!U126)),"YES","NO")</f>
        <v>NO</v>
      </c>
      <c r="AO565" s="260" t="str">
        <f>IF(ISNUMBER(SEARCH("H", 'Dry_Litterbag Placem_Collection'!U126)),"YES","NO")</f>
        <v>NO</v>
      </c>
      <c r="AP565" s="260" t="str">
        <f>IF(ISNUMBER(SEARCH("R", 'Dry_Litterbag Placem_Collection'!U126)),"YES","NO")</f>
        <v>NO</v>
      </c>
    </row>
    <row r="566" spans="1:42" ht="15" customHeight="1">
      <c r="A566" t="s">
        <v>3248</v>
      </c>
      <c r="B566" s="252" t="s">
        <v>2643</v>
      </c>
      <c r="C566" s="253">
        <f>'Dry_Litterbag Placem_Collection'!A127</f>
        <v>125</v>
      </c>
      <c r="D566" s="253" t="str">
        <f>'Dry_Litterbag Placem_Collection'!B127</f>
        <v xml:space="preserve">Mwantimba
</v>
      </c>
      <c r="E566" s="253" t="s">
        <v>2454</v>
      </c>
      <c r="F566" s="253" t="s">
        <v>2644</v>
      </c>
      <c r="G566" s="253">
        <v>4</v>
      </c>
      <c r="H566" s="253" t="s">
        <v>3120</v>
      </c>
      <c r="I566" s="254" t="str">
        <f>'Dry_Litterbag Placem_Collection'!C127</f>
        <v>Wet_Ag4_T5</v>
      </c>
      <c r="J566" s="263" t="s">
        <v>2932</v>
      </c>
      <c r="K566" s="256" t="s">
        <v>1147</v>
      </c>
      <c r="L566" s="253" t="str">
        <f>IF(ISBLANK('Dry_Litterbag Placem_Collection'!L127),"","G"&amp;""&amp;'Dry_Litterbag Placem_Collection'!L127)</f>
        <v>G757</v>
      </c>
      <c r="M566" s="257">
        <f>IFERROR(INDEX('Green_rooibos initial weight'!$C$5:$C$2000,MATCH(L566, 'Green_rooibos initial weight'!$A$5:$A$2000,0)),"")</f>
        <v>2.0670000000000002</v>
      </c>
      <c r="N566" s="257">
        <f>IFERROR(M566-(TBIcalc!$Q$9+TBIcalc!$Q$10),"")</f>
        <v>1.8172000000000001</v>
      </c>
      <c r="O566" s="378">
        <f>AVERAGE(Ashed_controlls!$K$2:$K$11)</f>
        <v>5.5147656768714146</v>
      </c>
      <c r="P566" s="257">
        <f t="shared" si="41"/>
        <v>1.7169856781198929</v>
      </c>
      <c r="Q566" s="257">
        <f>IFERROR(INDEX('Both teabags AfterDry'!$D$2:$D$2000,MATCH(L566,'Both teabags AfterDry'!$A$2:$A$2000,0)),"")</f>
        <v>0.92230000000000001</v>
      </c>
      <c r="R566" s="257">
        <f>IFERROR(IF(Q566&gt;0,Q566-(TBIcalc!$Q$9),""),"")</f>
        <v>0.77170000000000005</v>
      </c>
      <c r="S566" s="268">
        <f>IFERROR(INDEX('Ashed teabags dry'!$K$2:$K$2000,MATCH(L566,'Ashed teabags dry'!$A$2:$A$2000,0)),"")</f>
        <v>20.954254795868039</v>
      </c>
      <c r="T566" s="268">
        <f t="shared" si="42"/>
        <v>0.60999601574028639</v>
      </c>
      <c r="U566" s="258">
        <f>IF('Dry_Litterbag Placem_Collection'!E127="","",'Dry_Litterbag Placem_Collection'!E127)</f>
        <v>42939</v>
      </c>
      <c r="V566" s="258">
        <f>IF('Dry_Litterbag Placem_Collection'!G127="","",'Dry_Litterbag Placem_Collection'!G127)</f>
        <v>43008</v>
      </c>
      <c r="W566" s="259">
        <f t="shared" si="40"/>
        <v>69</v>
      </c>
      <c r="X566" s="257">
        <f t="shared" si="43"/>
        <v>1.0455000000000001</v>
      </c>
      <c r="Y566" s="257">
        <f t="shared" si="44"/>
        <v>1.1069896623796065</v>
      </c>
      <c r="Z566" s="261">
        <f>IFERROR(INDEX([3]Rainfall_Dry!$O$2:$O$217,MATCH(C566, [3]Rainfall_Dry!$A$2:$A$217,0)),"")</f>
        <v>136.27214243</v>
      </c>
      <c r="AA566" s="250">
        <v>17.96</v>
      </c>
      <c r="AB566" s="250">
        <v>4.9199999999999982</v>
      </c>
      <c r="AC566" s="250">
        <v>77.12</v>
      </c>
      <c r="AD566" s="251" t="s">
        <v>2652</v>
      </c>
      <c r="AE566" s="250">
        <v>6.02207984228684</v>
      </c>
      <c r="AF566">
        <f>IF('WetLitterbags placem_collection'!AB127="","",'WetLitterbags placem_collection'!AB127)</f>
        <v>9.3000000000000007</v>
      </c>
      <c r="AG566">
        <f>IF('WetLitterbags placem_collection'!Z127="","",'WetLitterbags placem_collection'!Z127)</f>
        <v>43</v>
      </c>
      <c r="AH566" s="236" t="str">
        <f>IF('WetLitterbags placem_collection'!AA127="","",'WetLitterbags placem_collection'!AA127)</f>
        <v>G</v>
      </c>
      <c r="AI566">
        <f>IF('WetLitterbags placem_collection'!AC127="","",'WetLitterbags placem_collection'!AC127)</f>
        <v>1</v>
      </c>
      <c r="AJ566">
        <f>IFERROR(AVERAGE('Dry_Litterbag Placem_Collection'!O127,'Dry_Litterbag Placem_Collection'!R127),"")</f>
        <v>10.85</v>
      </c>
      <c r="AK566" s="261">
        <f>IFERROR(AVERAGE('Dry_Litterbag Placem_Collection'!N127,'Dry_Litterbag Placem_Collection'!Q127),"")</f>
        <v>28.05</v>
      </c>
      <c r="AL566" s="260">
        <f>INDEX([2]Coordinates!$B$2:$B$197,MATCH(I566,[2]Coordinates!$J$2:$J$197,0))</f>
        <v>-2.3493320400000002</v>
      </c>
      <c r="AM566" s="260">
        <f>INDEX([2]Coordinates!$C$2:$C$197,MATCH(I566,[2]Coordinates!$J$2:$J$197,0))</f>
        <v>34.051321960000003</v>
      </c>
      <c r="AN566" s="260" t="str">
        <f>IF(ISNUMBER(SEARCH("C", 'Dry_Litterbag Placem_Collection'!U127)),"YES","NO")</f>
        <v>NO</v>
      </c>
      <c r="AO566" s="260" t="str">
        <f>IF(ISNUMBER(SEARCH("H", 'Dry_Litterbag Placem_Collection'!U127)),"YES","NO")</f>
        <v>NO</v>
      </c>
      <c r="AP566" s="260" t="str">
        <f>IF(ISNUMBER(SEARCH("R", 'Dry_Litterbag Placem_Collection'!U127)),"YES","NO")</f>
        <v>NO</v>
      </c>
    </row>
    <row r="567" spans="1:42" ht="15" customHeight="1">
      <c r="A567" t="s">
        <v>3248</v>
      </c>
      <c r="B567" s="252" t="s">
        <v>2643</v>
      </c>
      <c r="C567" s="253">
        <f>'Dry_Litterbag Placem_Collection'!A128</f>
        <v>126</v>
      </c>
      <c r="D567" s="253" t="str">
        <f>'Dry_Litterbag Placem_Collection'!B128</f>
        <v xml:space="preserve">Mwantimba
</v>
      </c>
      <c r="E567" s="253" t="s">
        <v>2454</v>
      </c>
      <c r="F567" s="253" t="s">
        <v>2644</v>
      </c>
      <c r="G567" s="253">
        <v>4</v>
      </c>
      <c r="H567" s="253" t="s">
        <v>3120</v>
      </c>
      <c r="I567" s="254" t="str">
        <f>'Dry_Litterbag Placem_Collection'!C128</f>
        <v>Wet_Ag4_T6</v>
      </c>
      <c r="J567" s="263" t="s">
        <v>2932</v>
      </c>
      <c r="K567" s="256" t="s">
        <v>1147</v>
      </c>
      <c r="L567" s="253" t="str">
        <f>IF(ISBLANK('Dry_Litterbag Placem_Collection'!L128),"","G"&amp;""&amp;'Dry_Litterbag Placem_Collection'!L128)</f>
        <v/>
      </c>
      <c r="M567" s="257" t="str">
        <f>IFERROR(INDEX('Green_rooibos initial weight'!$C$5:$C$2000,MATCH(L567, 'Green_rooibos initial weight'!$A$5:$A$2000,0)),"")</f>
        <v/>
      </c>
      <c r="N567" s="257" t="str">
        <f>IFERROR(M567-(TBIcalc!$Q$9+TBIcalc!$Q$10),"")</f>
        <v/>
      </c>
      <c r="O567" s="378">
        <f>AVERAGE(Ashed_controlls!$K$2:$K$11)</f>
        <v>5.5147656768714146</v>
      </c>
      <c r="P567" s="257" t="str">
        <f t="shared" si="41"/>
        <v/>
      </c>
      <c r="Q567" s="257" t="str">
        <f>IFERROR(INDEX('Both teabags AfterDry'!$D$2:$D$2000,MATCH(L567,'Both teabags AfterDry'!$A$2:$A$2000,0)),"")</f>
        <v/>
      </c>
      <c r="R567" s="257" t="str">
        <f>IFERROR(IF(Q567&gt;0,Q567-(TBIcalc!$Q$9),""),"")</f>
        <v/>
      </c>
      <c r="S567" s="268" t="str">
        <f>IFERROR(INDEX('Ashed teabags dry'!$K$2:$K$2000,MATCH(L567,'Ashed teabags dry'!$A$2:$A$2000,0)),"")</f>
        <v/>
      </c>
      <c r="T567" s="268" t="str">
        <f t="shared" si="42"/>
        <v/>
      </c>
      <c r="U567" s="258" t="str">
        <f>IF('Dry_Litterbag Placem_Collection'!E128="","",'Dry_Litterbag Placem_Collection'!E128)</f>
        <v/>
      </c>
      <c r="V567" s="258" t="str">
        <f>IF('Dry_Litterbag Placem_Collection'!G128="","",'Dry_Litterbag Placem_Collection'!G128)</f>
        <v/>
      </c>
      <c r="W567" s="259" t="str">
        <f t="shared" si="40"/>
        <v/>
      </c>
      <c r="X567" s="257" t="str">
        <f t="shared" si="43"/>
        <v/>
      </c>
      <c r="Y567" s="257" t="str">
        <f t="shared" si="44"/>
        <v/>
      </c>
      <c r="Z567" s="261" t="str">
        <f>IFERROR(INDEX([3]Rainfall_Dry!$O$2:$O$217,MATCH(C567, [3]Rainfall_Dry!$A$2:$A$217,0)),"")</f>
        <v/>
      </c>
      <c r="AA567" s="250">
        <v>17.96</v>
      </c>
      <c r="AB567" s="250">
        <v>4.9199999999999982</v>
      </c>
      <c r="AC567" s="250">
        <v>77.12</v>
      </c>
      <c r="AD567" s="251" t="s">
        <v>2652</v>
      </c>
      <c r="AE567" s="250">
        <v>7.02207984228684</v>
      </c>
      <c r="AF567">
        <f>IF('WetLitterbags placem_collection'!AB128="","",'WetLitterbags placem_collection'!AB128)</f>
        <v>10.85</v>
      </c>
      <c r="AG567">
        <f>IF('WetLitterbags placem_collection'!Z128="","",'WetLitterbags placem_collection'!Z128)</f>
        <v>40</v>
      </c>
      <c r="AH567" s="236" t="str">
        <f>IF('WetLitterbags placem_collection'!AA128="","",'WetLitterbags placem_collection'!AA128)</f>
        <v>G</v>
      </c>
      <c r="AI567">
        <f>IF('WetLitterbags placem_collection'!AC128="","",'WetLitterbags placem_collection'!AC128)</f>
        <v>1</v>
      </c>
      <c r="AJ567" t="str">
        <f>IFERROR(AVERAGE('Dry_Litterbag Placem_Collection'!O128,'Dry_Litterbag Placem_Collection'!R128),"")</f>
        <v/>
      </c>
      <c r="AK567" s="261" t="str">
        <f>IFERROR(AVERAGE('Dry_Litterbag Placem_Collection'!N128,'Dry_Litterbag Placem_Collection'!Q128),"")</f>
        <v/>
      </c>
      <c r="AL567" s="260">
        <f>INDEX([2]Coordinates!$B$2:$B$197,MATCH(I567,[2]Coordinates!$J$2:$J$197,0))</f>
        <v>-2.3493509829999999</v>
      </c>
      <c r="AM567" s="260">
        <f>INDEX([2]Coordinates!$C$2:$C$197,MATCH(I567,[2]Coordinates!$J$2:$J$197,0))</f>
        <v>34.051332019999997</v>
      </c>
      <c r="AN567" s="260" t="str">
        <f>IF(ISNUMBER(SEARCH("C", 'Dry_Litterbag Placem_Collection'!U128)),"YES","NO")</f>
        <v>NO</v>
      </c>
      <c r="AO567" s="260" t="str">
        <f>IF(ISNUMBER(SEARCH("H", 'Dry_Litterbag Placem_Collection'!U128)),"YES","NO")</f>
        <v>NO</v>
      </c>
      <c r="AP567" s="260" t="str">
        <f>IF(ISNUMBER(SEARCH("R", 'Dry_Litterbag Placem_Collection'!U128)),"YES","NO")</f>
        <v>NO</v>
      </c>
    </row>
    <row r="568" spans="1:42" ht="15" customHeight="1">
      <c r="A568" t="s">
        <v>3248</v>
      </c>
      <c r="B568" s="252" t="s">
        <v>2643</v>
      </c>
      <c r="C568" s="253">
        <f>'Dry_Litterbag Placem_Collection'!A129</f>
        <v>127</v>
      </c>
      <c r="D568" s="253" t="str">
        <f>'Dry_Litterbag Placem_Collection'!B129</f>
        <v xml:space="preserve">Mwantimba
</v>
      </c>
      <c r="E568" s="253" t="s">
        <v>2454</v>
      </c>
      <c r="F568" s="253" t="s">
        <v>2644</v>
      </c>
      <c r="G568" s="253">
        <v>4</v>
      </c>
      <c r="H568" s="253" t="s">
        <v>3120</v>
      </c>
      <c r="I568" s="254" t="str">
        <f>'Dry_Litterbag Placem_Collection'!C129</f>
        <v>Wet_Ag4_T7</v>
      </c>
      <c r="J568" s="263" t="s">
        <v>2932</v>
      </c>
      <c r="K568" s="256" t="s">
        <v>1147</v>
      </c>
      <c r="L568" s="253" t="str">
        <f>IF(ISBLANK('Dry_Litterbag Placem_Collection'!L129),"","G"&amp;""&amp;'Dry_Litterbag Placem_Collection'!L129)</f>
        <v>G96</v>
      </c>
      <c r="M568" s="257">
        <f>IFERROR(INDEX('Green_rooibos initial weight'!$C$5:$C$2000,MATCH(L568, 'Green_rooibos initial weight'!$A$5:$A$2000,0)),"")</f>
        <v>2.2349999999999999</v>
      </c>
      <c r="N568" s="257">
        <f>IFERROR(M568-(TBIcalc!$Q$9+TBIcalc!$Q$10),"")</f>
        <v>1.9851999999999999</v>
      </c>
      <c r="O568" s="378">
        <f>AVERAGE(Ashed_controlls!$K$2:$K$11)</f>
        <v>5.5147656768714146</v>
      </c>
      <c r="P568" s="257">
        <f t="shared" si="41"/>
        <v>1.8757208717827485</v>
      </c>
      <c r="Q568" s="257">
        <f>IFERROR(INDEX('Both teabags AfterDry'!$D$2:$D$2000,MATCH(L568,'Both teabags AfterDry'!$A$2:$A$2000,0)),"")</f>
        <v>0.77790000000000004</v>
      </c>
      <c r="R568" s="257">
        <f>IFERROR(IF(Q568&gt;0,Q568-(TBIcalc!$Q$9),""),"")</f>
        <v>0.62729999999999997</v>
      </c>
      <c r="S568" s="268">
        <f>IFERROR(INDEX('Ashed teabags dry'!$K$2:$K$2000,MATCH(L568,'Ashed teabags dry'!$A$2:$A$2000,0)),"")</f>
        <v>15.120274914089208</v>
      </c>
      <c r="T568" s="268">
        <f t="shared" si="42"/>
        <v>0.53245051546391842</v>
      </c>
      <c r="U568" s="258">
        <f>IF('Dry_Litterbag Placem_Collection'!E129="","",'Dry_Litterbag Placem_Collection'!E129)</f>
        <v>42939</v>
      </c>
      <c r="V568" s="258">
        <f>IF('Dry_Litterbag Placem_Collection'!G129="","",'Dry_Litterbag Placem_Collection'!G129)</f>
        <v>43008</v>
      </c>
      <c r="W568" s="259">
        <f t="shared" si="40"/>
        <v>69</v>
      </c>
      <c r="X568" s="257">
        <f t="shared" si="43"/>
        <v>1.3578999999999999</v>
      </c>
      <c r="Y568" s="257">
        <f t="shared" si="44"/>
        <v>1.34327035631883</v>
      </c>
      <c r="Z568" s="261">
        <f>IFERROR(INDEX([3]Rainfall_Dry!$O$2:$O$217,MATCH(C568, [3]Rainfall_Dry!$A$2:$A$217,0)),"")</f>
        <v>136.27214243</v>
      </c>
      <c r="AA568" s="250">
        <v>17.96</v>
      </c>
      <c r="AB568" s="250">
        <v>4.9199999999999982</v>
      </c>
      <c r="AC568" s="250">
        <v>77.12</v>
      </c>
      <c r="AD568" s="251" t="s">
        <v>2652</v>
      </c>
      <c r="AE568" s="250">
        <v>8.0220798422868391</v>
      </c>
      <c r="AF568">
        <f>IF('WetLitterbags placem_collection'!AB129="","",'WetLitterbags placem_collection'!AB129)</f>
        <v>5.35</v>
      </c>
      <c r="AG568">
        <f>IF('WetLitterbags placem_collection'!Z129="","",'WetLitterbags placem_collection'!Z129)</f>
        <v>58</v>
      </c>
      <c r="AH568" s="236" t="str">
        <f>IF('WetLitterbags placem_collection'!AA129="","",'WetLitterbags placem_collection'!AA129)</f>
        <v>G</v>
      </c>
      <c r="AI568">
        <f>IF('WetLitterbags placem_collection'!AC129="","",'WetLitterbags placem_collection'!AC129)</f>
        <v>1</v>
      </c>
      <c r="AJ568">
        <f>IFERROR(AVERAGE('Dry_Litterbag Placem_Collection'!O129,'Dry_Litterbag Placem_Collection'!R129),"")</f>
        <v>9.6999999999999993</v>
      </c>
      <c r="AK568" s="261">
        <f>IFERROR(AVERAGE('Dry_Litterbag Placem_Collection'!N129,'Dry_Litterbag Placem_Collection'!Q129),"")</f>
        <v>28.1</v>
      </c>
      <c r="AL568" s="260">
        <f>INDEX([2]Coordinates!$B$2:$B$197,MATCH(I568,[2]Coordinates!$J$2:$J$197,0))</f>
        <v>-2.3491850219999999</v>
      </c>
      <c r="AM568" s="260">
        <f>INDEX([2]Coordinates!$C$2:$C$197,MATCH(I568,[2]Coordinates!$J$2:$J$197,0))</f>
        <v>34.051264959999997</v>
      </c>
      <c r="AN568" s="260" t="str">
        <f>IF(ISNUMBER(SEARCH("C", 'Dry_Litterbag Placem_Collection'!U129)),"YES","NO")</f>
        <v>NO</v>
      </c>
      <c r="AO568" s="260" t="str">
        <f>IF(ISNUMBER(SEARCH("H", 'Dry_Litterbag Placem_Collection'!U129)),"YES","NO")</f>
        <v>NO</v>
      </c>
      <c r="AP568" s="260" t="str">
        <f>IF(ISNUMBER(SEARCH("R", 'Dry_Litterbag Placem_Collection'!U129)),"YES","NO")</f>
        <v>YES</v>
      </c>
    </row>
    <row r="569" spans="1:42" ht="15" customHeight="1">
      <c r="A569" t="s">
        <v>3248</v>
      </c>
      <c r="B569" s="252" t="s">
        <v>2643</v>
      </c>
      <c r="C569" s="253">
        <f>'Dry_Litterbag Placem_Collection'!A130</f>
        <v>128</v>
      </c>
      <c r="D569" s="253" t="str">
        <f>'Dry_Litterbag Placem_Collection'!B130</f>
        <v xml:space="preserve">Mwantimba
</v>
      </c>
      <c r="E569" s="253" t="s">
        <v>2454</v>
      </c>
      <c r="F569" s="253" t="s">
        <v>2644</v>
      </c>
      <c r="G569" s="253">
        <v>4</v>
      </c>
      <c r="H569" s="253" t="s">
        <v>3120</v>
      </c>
      <c r="I569" s="254" t="str">
        <f>'Dry_Litterbag Placem_Collection'!C130</f>
        <v>Wet_Ag4_T8</v>
      </c>
      <c r="J569" s="263" t="s">
        <v>2932</v>
      </c>
      <c r="K569" s="256" t="s">
        <v>1147</v>
      </c>
      <c r="L569" s="253" t="str">
        <f>IF(ISBLANK('Dry_Litterbag Placem_Collection'!L130),"","G"&amp;""&amp;'Dry_Litterbag Placem_Collection'!L130)</f>
        <v>G134</v>
      </c>
      <c r="M569" s="257">
        <f>IFERROR(INDEX('Green_rooibos initial weight'!$C$5:$C$2000,MATCH(L569, 'Green_rooibos initial weight'!$A$5:$A$2000,0)),"")</f>
        <v>2.0089999999999999</v>
      </c>
      <c r="N569" s="257">
        <f>IFERROR(M569-(TBIcalc!$Q$9+TBIcalc!$Q$10),"")</f>
        <v>1.7591999999999999</v>
      </c>
      <c r="O569" s="378">
        <f>AVERAGE(Ashed_controlls!$K$2:$K$11)</f>
        <v>5.5147656768714146</v>
      </c>
      <c r="P569" s="257">
        <f t="shared" si="41"/>
        <v>1.662184242212478</v>
      </c>
      <c r="Q569" s="257">
        <f>IFERROR(INDEX('Both teabags AfterDry'!$D$2:$D$2000,MATCH(L569,'Both teabags AfterDry'!$A$2:$A$2000,0)),"")</f>
        <v>0.82289999999999996</v>
      </c>
      <c r="R569" s="257">
        <f>IFERROR(IF(Q569&gt;0,Q569-(TBIcalc!$Q$9),""),"")</f>
        <v>0.6722999999999999</v>
      </c>
      <c r="S569" s="268">
        <f>IFERROR(INDEX('Ashed teabags dry'!$K$2:$K$2000,MATCH(L569,'Ashed teabags dry'!$A$2:$A$2000,0)),"")</f>
        <v>18.432510885341248</v>
      </c>
      <c r="T569" s="268">
        <f t="shared" si="42"/>
        <v>0.54837822931785074</v>
      </c>
      <c r="U569" s="258">
        <f>IF('Dry_Litterbag Placem_Collection'!E130="","",'Dry_Litterbag Placem_Collection'!E130)</f>
        <v>42939</v>
      </c>
      <c r="V569" s="258">
        <f>IF('Dry_Litterbag Placem_Collection'!G130="","",'Dry_Litterbag Placem_Collection'!G130)</f>
        <v>43008</v>
      </c>
      <c r="W569" s="259">
        <f t="shared" si="40"/>
        <v>69</v>
      </c>
      <c r="X569" s="257">
        <f t="shared" si="43"/>
        <v>1.0869</v>
      </c>
      <c r="Y569" s="257">
        <f t="shared" si="44"/>
        <v>1.1138060128946272</v>
      </c>
      <c r="Z569" s="261">
        <f>IFERROR(INDEX([3]Rainfall_Dry!$O$2:$O$217,MATCH(C569, [3]Rainfall_Dry!$A$2:$A$217,0)),"")</f>
        <v>136.27214243</v>
      </c>
      <c r="AA569" s="250">
        <v>17.96</v>
      </c>
      <c r="AB569" s="250">
        <v>4.9199999999999982</v>
      </c>
      <c r="AC569" s="250">
        <v>77.12</v>
      </c>
      <c r="AD569" s="251" t="s">
        <v>2652</v>
      </c>
      <c r="AE569" s="250">
        <v>9.0220798422868391</v>
      </c>
      <c r="AF569">
        <f>IF('WetLitterbags placem_collection'!AB130="","",'WetLitterbags placem_collection'!AB130)</f>
        <v>10.9</v>
      </c>
      <c r="AG569">
        <f>IF('WetLitterbags placem_collection'!Z130="","",'WetLitterbags placem_collection'!Z130)</f>
        <v>44</v>
      </c>
      <c r="AH569" s="236" t="str">
        <f>IF('WetLitterbags placem_collection'!AA130="","",'WetLitterbags placem_collection'!AA130)</f>
        <v>G</v>
      </c>
      <c r="AI569">
        <f>IF('WetLitterbags placem_collection'!AC130="","",'WetLitterbags placem_collection'!AC130)</f>
        <v>0</v>
      </c>
      <c r="AJ569">
        <f>IFERROR(AVERAGE('Dry_Litterbag Placem_Collection'!O130,'Dry_Litterbag Placem_Collection'!R130),"")</f>
        <v>8.4499999999999993</v>
      </c>
      <c r="AK569" s="261">
        <f>IFERROR(AVERAGE('Dry_Litterbag Placem_Collection'!N130,'Dry_Litterbag Placem_Collection'!Q130),"")</f>
        <v>28.4</v>
      </c>
      <c r="AL569" s="260">
        <f>INDEX([2]Coordinates!$B$2:$B$197,MATCH(I569,[2]Coordinates!$J$2:$J$197,0))</f>
        <v>-2.3493099960000001</v>
      </c>
      <c r="AM569" s="260">
        <f>INDEX([2]Coordinates!$C$2:$C$197,MATCH(I569,[2]Coordinates!$J$2:$J$197,0))</f>
        <v>34.05141802</v>
      </c>
      <c r="AN569" s="260" t="str">
        <f>IF(ISNUMBER(SEARCH("C", 'Dry_Litterbag Placem_Collection'!U130)),"YES","NO")</f>
        <v>NO</v>
      </c>
      <c r="AO569" s="260" t="str">
        <f>IF(ISNUMBER(SEARCH("H", 'Dry_Litterbag Placem_Collection'!U130)),"YES","NO")</f>
        <v>NO</v>
      </c>
      <c r="AP569" s="260" t="str">
        <f>IF(ISNUMBER(SEARCH("R", 'Dry_Litterbag Placem_Collection'!U130)),"YES","NO")</f>
        <v>NO</v>
      </c>
    </row>
    <row r="570" spans="1:42" ht="15" customHeight="1">
      <c r="A570" t="s">
        <v>3248</v>
      </c>
      <c r="B570" s="252" t="s">
        <v>2643</v>
      </c>
      <c r="C570" s="253">
        <f>'Dry_Litterbag Placem_Collection'!A131</f>
        <v>129</v>
      </c>
      <c r="D570" s="253" t="str">
        <f>'Dry_Litterbag Placem_Collection'!B131</f>
        <v xml:space="preserve">Mwantimba
</v>
      </c>
      <c r="E570" s="253" t="s">
        <v>2454</v>
      </c>
      <c r="F570" s="253" t="s">
        <v>20</v>
      </c>
      <c r="G570" s="253">
        <v>1</v>
      </c>
      <c r="H570" s="253" t="s">
        <v>3121</v>
      </c>
      <c r="I570" s="254" t="str">
        <f>'Dry_Litterbag Placem_Collection'!C131</f>
        <v>Wet_P1_T1</v>
      </c>
      <c r="J570" s="263" t="s">
        <v>2932</v>
      </c>
      <c r="K570" s="256" t="s">
        <v>1147</v>
      </c>
      <c r="L570" s="253" t="str">
        <f>IF(ISBLANK('Dry_Litterbag Placem_Collection'!L131),"","G"&amp;""&amp;'Dry_Litterbag Placem_Collection'!L131)</f>
        <v>G671</v>
      </c>
      <c r="M570" s="257">
        <f>IFERROR(INDEX('Green_rooibos initial weight'!$C$5:$C$2000,MATCH(L570, 'Green_rooibos initial weight'!$A$5:$A$2000,0)),"")</f>
        <v>2.0510000000000002</v>
      </c>
      <c r="N570" s="257">
        <f>IFERROR(M570-(TBIcalc!$Q$9+TBIcalc!$Q$10),"")</f>
        <v>1.8012000000000001</v>
      </c>
      <c r="O570" s="378">
        <f>AVERAGE(Ashed_controlls!$K$2:$K$11)</f>
        <v>5.5147656768714146</v>
      </c>
      <c r="P570" s="257">
        <f t="shared" si="41"/>
        <v>1.7018680406281923</v>
      </c>
      <c r="Q570" s="257">
        <f>IFERROR(INDEX('Both teabags AfterDry'!$D$2:$D$2000,MATCH(L570,'Both teabags AfterDry'!$A$2:$A$2000,0)),"")</f>
        <v>0.68540000000000001</v>
      </c>
      <c r="R570" s="257">
        <f>IFERROR(IF(Q570&gt;0,Q570-(TBIcalc!$Q$9),""),"")</f>
        <v>0.53479999999999994</v>
      </c>
      <c r="S570" s="268">
        <f>IFERROR(INDEX('Ashed teabags dry'!$K$2:$K$2000,MATCH(L570,'Ashed teabags dry'!$A$2:$A$2000,0)),"")</f>
        <v>15.942028985507489</v>
      </c>
      <c r="T570" s="268">
        <f t="shared" si="42"/>
        <v>0.44954202898550588</v>
      </c>
      <c r="U570" s="258">
        <f>IF('Dry_Litterbag Placem_Collection'!E131="","",'Dry_Litterbag Placem_Collection'!E131)</f>
        <v>42939</v>
      </c>
      <c r="V570" s="258">
        <f>IF('Dry_Litterbag Placem_Collection'!G131="","",'Dry_Litterbag Placem_Collection'!G131)</f>
        <v>43008</v>
      </c>
      <c r="W570" s="259">
        <f t="shared" si="40"/>
        <v>69</v>
      </c>
      <c r="X570" s="257">
        <f t="shared" si="43"/>
        <v>1.2664000000000002</v>
      </c>
      <c r="Y570" s="257">
        <f t="shared" si="44"/>
        <v>1.2523260116426864</v>
      </c>
      <c r="Z570" s="261">
        <f>IFERROR(INDEX([3]Rainfall_Dry!$O$2:$O$217,MATCH(C570, [3]Rainfall_Dry!$A$2:$A$217,0)),"")</f>
        <v>136.27214243</v>
      </c>
      <c r="AA570" s="250">
        <v>31.214836424255054</v>
      </c>
      <c r="AB570" s="250">
        <v>11.377370285476141</v>
      </c>
      <c r="AC570" s="250">
        <v>57.407793290268799</v>
      </c>
      <c r="AD570" s="251" t="s">
        <v>2651</v>
      </c>
      <c r="AE570" s="250">
        <v>1.7337604731394776</v>
      </c>
      <c r="AF570">
        <f>IF('WetLitterbags placem_collection'!AB131="","",'WetLitterbags placem_collection'!AB131)</f>
        <v>2.4</v>
      </c>
      <c r="AG570">
        <f>IF('WetLitterbags placem_collection'!Z131="","",'WetLitterbags placem_collection'!Z131)</f>
        <v>2.4</v>
      </c>
      <c r="AH570" s="236" t="str">
        <f>IF('WetLitterbags placem_collection'!AA131="","",'WetLitterbags placem_collection'!AA131)</f>
        <v>O</v>
      </c>
      <c r="AI570">
        <f>IF('WetLitterbags placem_collection'!AC131="","",'WetLitterbags placem_collection'!AC131)</f>
        <v>1</v>
      </c>
      <c r="AJ570">
        <f>IFERROR(AVERAGE('Dry_Litterbag Placem_Collection'!O131,'Dry_Litterbag Placem_Collection'!R131),"")</f>
        <v>11.8</v>
      </c>
      <c r="AK570" s="261">
        <f>IFERROR(AVERAGE('Dry_Litterbag Placem_Collection'!N131,'Dry_Litterbag Placem_Collection'!Q131),"")</f>
        <v>29.05</v>
      </c>
      <c r="AL570" s="260">
        <f>INDEX([2]Coordinates!$B$2:$B$197,MATCH(I570,[2]Coordinates!$J$2:$J$197,0))</f>
        <v>-2.3503360249999998</v>
      </c>
      <c r="AM570" s="260">
        <f>INDEX([2]Coordinates!$C$2:$C$197,MATCH(I570,[2]Coordinates!$J$2:$J$197,0))</f>
        <v>34.049662009999999</v>
      </c>
      <c r="AN570" s="260" t="str">
        <f>IF(ISNUMBER(SEARCH("C", 'Dry_Litterbag Placem_Collection'!U131)),"YES","NO")</f>
        <v>NO</v>
      </c>
      <c r="AO570" s="260" t="str">
        <f>IF(ISNUMBER(SEARCH("H", 'Dry_Litterbag Placem_Collection'!U131)),"YES","NO")</f>
        <v>NO</v>
      </c>
      <c r="AP570" s="260" t="str">
        <f>IF(ISNUMBER(SEARCH("R", 'Dry_Litterbag Placem_Collection'!U131)),"YES","NO")</f>
        <v>NO</v>
      </c>
    </row>
    <row r="571" spans="1:42" ht="15" customHeight="1">
      <c r="A571" t="s">
        <v>3248</v>
      </c>
      <c r="B571" s="252" t="s">
        <v>2643</v>
      </c>
      <c r="C571" s="253">
        <f>'Dry_Litterbag Placem_Collection'!A132</f>
        <v>130</v>
      </c>
      <c r="D571" s="253" t="str">
        <f>'Dry_Litterbag Placem_Collection'!B132</f>
        <v xml:space="preserve">Mwantimba
</v>
      </c>
      <c r="E571" s="253" t="s">
        <v>2454</v>
      </c>
      <c r="F571" s="253" t="s">
        <v>20</v>
      </c>
      <c r="G571" s="253">
        <v>1</v>
      </c>
      <c r="H571" s="253" t="s">
        <v>3121</v>
      </c>
      <c r="I571" s="254" t="str">
        <f>'Dry_Litterbag Placem_Collection'!C132</f>
        <v>Wet_P1_T2</v>
      </c>
      <c r="J571" s="263" t="s">
        <v>2932</v>
      </c>
      <c r="K571" s="256" t="s">
        <v>1147</v>
      </c>
      <c r="L571" s="253" t="str">
        <f>IF(ISBLANK('Dry_Litterbag Placem_Collection'!L132),"","G"&amp;""&amp;'Dry_Litterbag Placem_Collection'!L132)</f>
        <v>G400</v>
      </c>
      <c r="M571" s="257">
        <f>IFERROR(INDEX('Green_rooibos initial weight'!$C$5:$C$2000,MATCH(L571, 'Green_rooibos initial weight'!$A$5:$A$2000,0)),"")</f>
        <v>2.0089999999999999</v>
      </c>
      <c r="N571" s="257">
        <f>IFERROR(M571-(TBIcalc!$Q$9+TBIcalc!$Q$10),"")</f>
        <v>1.7591999999999999</v>
      </c>
      <c r="O571" s="378">
        <f>AVERAGE(Ashed_controlls!$K$2:$K$11)</f>
        <v>5.5147656768714146</v>
      </c>
      <c r="P571" s="257">
        <f t="shared" si="41"/>
        <v>1.662184242212478</v>
      </c>
      <c r="Q571" s="257">
        <f>IFERROR(INDEX('Both teabags AfterDry'!$D$2:$D$2000,MATCH(L571,'Both teabags AfterDry'!$A$2:$A$2000,0)),"")</f>
        <v>0.86</v>
      </c>
      <c r="R571" s="257">
        <f>IFERROR(IF(Q571&gt;0,Q571-(TBIcalc!$Q$9),""),"")</f>
        <v>0.70940000000000003</v>
      </c>
      <c r="S571" s="268">
        <f>IFERROR(INDEX('Ashed teabags dry'!$K$2:$K$2000,MATCH(L571,'Ashed teabags dry'!$A$2:$A$2000,0)),"")</f>
        <v>23.389830508474194</v>
      </c>
      <c r="T571" s="268">
        <f t="shared" si="42"/>
        <v>0.54347254237288412</v>
      </c>
      <c r="U571" s="258">
        <f>IF('Dry_Litterbag Placem_Collection'!E132="","",'Dry_Litterbag Placem_Collection'!E132)</f>
        <v>42939</v>
      </c>
      <c r="V571" s="258">
        <f>IF('Dry_Litterbag Placem_Collection'!G132="","",'Dry_Litterbag Placem_Collection'!G132)</f>
        <v>43008</v>
      </c>
      <c r="W571" s="259">
        <f t="shared" si="40"/>
        <v>69</v>
      </c>
      <c r="X571" s="257">
        <f t="shared" si="43"/>
        <v>1.0497999999999998</v>
      </c>
      <c r="Y571" s="257">
        <f t="shared" si="44"/>
        <v>1.1187116998395938</v>
      </c>
      <c r="Z571" s="261">
        <f>IFERROR(INDEX([3]Rainfall_Dry!$O$2:$O$217,MATCH(C571, [3]Rainfall_Dry!$A$2:$A$217,0)),"")</f>
        <v>136.27214243</v>
      </c>
      <c r="AA571" s="250">
        <v>31.214836424255054</v>
      </c>
      <c r="AB571" s="250">
        <v>11.377370285476141</v>
      </c>
      <c r="AC571" s="250">
        <v>57.407793290268799</v>
      </c>
      <c r="AD571" s="251" t="s">
        <v>2651</v>
      </c>
      <c r="AE571" s="250">
        <v>2.7337604731394798</v>
      </c>
      <c r="AF571">
        <f>IF('WetLitterbags placem_collection'!AB132="","",'WetLitterbags placem_collection'!AB132)</f>
        <v>2.1</v>
      </c>
      <c r="AG571">
        <f>IF('WetLitterbags placem_collection'!Z132="","",'WetLitterbags placem_collection'!Z132)</f>
        <v>3.5</v>
      </c>
      <c r="AH571" s="236" t="str">
        <f>IF('WetLitterbags placem_collection'!AA132="","",'WetLitterbags placem_collection'!AA132)</f>
        <v>O</v>
      </c>
      <c r="AI571">
        <f>IF('WetLitterbags placem_collection'!AC132="","",'WetLitterbags placem_collection'!AC132)</f>
        <v>0</v>
      </c>
      <c r="AJ571">
        <f>IFERROR(AVERAGE('Dry_Litterbag Placem_Collection'!O132,'Dry_Litterbag Placem_Collection'!R132),"")</f>
        <v>8.9499999999999993</v>
      </c>
      <c r="AK571" s="261">
        <f>IFERROR(AVERAGE('Dry_Litterbag Placem_Collection'!N132,'Dry_Litterbag Placem_Collection'!Q132),"")</f>
        <v>28.55</v>
      </c>
      <c r="AL571" s="260">
        <f>INDEX([2]Coordinates!$B$2:$B$197,MATCH(I571,[2]Coordinates!$J$2:$J$197,0))</f>
        <v>-2.3503729889999998</v>
      </c>
      <c r="AM571" s="260">
        <f>INDEX([2]Coordinates!$C$2:$C$197,MATCH(I571,[2]Coordinates!$J$2:$J$197,0))</f>
        <v>34.049626969999998</v>
      </c>
      <c r="AN571" s="260" t="str">
        <f>IF(ISNUMBER(SEARCH("C", 'Dry_Litterbag Placem_Collection'!U132)),"YES","NO")</f>
        <v>NO</v>
      </c>
      <c r="AO571" s="260" t="str">
        <f>IF(ISNUMBER(SEARCH("H", 'Dry_Litterbag Placem_Collection'!U132)),"YES","NO")</f>
        <v>NO</v>
      </c>
      <c r="AP571" s="260" t="str">
        <f>IF(ISNUMBER(SEARCH("R", 'Dry_Litterbag Placem_Collection'!U132)),"YES","NO")</f>
        <v>YES</v>
      </c>
    </row>
    <row r="572" spans="1:42" ht="15" customHeight="1">
      <c r="A572" t="s">
        <v>3248</v>
      </c>
      <c r="B572" s="252" t="s">
        <v>2643</v>
      </c>
      <c r="C572" s="253">
        <f>'Dry_Litterbag Placem_Collection'!A133</f>
        <v>131</v>
      </c>
      <c r="D572" s="253" t="str">
        <f>'Dry_Litterbag Placem_Collection'!B133</f>
        <v xml:space="preserve">Mwantimba
</v>
      </c>
      <c r="E572" s="253" t="s">
        <v>2454</v>
      </c>
      <c r="F572" s="253" t="s">
        <v>20</v>
      </c>
      <c r="G572" s="253">
        <v>1</v>
      </c>
      <c r="H572" s="253" t="s">
        <v>3121</v>
      </c>
      <c r="I572" s="254" t="str">
        <f>'Dry_Litterbag Placem_Collection'!C133</f>
        <v>Wet_P1_T3</v>
      </c>
      <c r="J572" s="263" t="s">
        <v>2932</v>
      </c>
      <c r="K572" s="256" t="s">
        <v>1147</v>
      </c>
      <c r="L572" s="253" t="str">
        <f>IF(ISBLANK('Dry_Litterbag Placem_Collection'!L133),"","G"&amp;""&amp;'Dry_Litterbag Placem_Collection'!L133)</f>
        <v>G48</v>
      </c>
      <c r="M572" s="257">
        <f>IFERROR(INDEX('Green_rooibos initial weight'!$C$5:$C$2000,MATCH(L572, 'Green_rooibos initial weight'!$A$5:$A$2000,0)),"")</f>
        <v>2.0590000000000002</v>
      </c>
      <c r="N572" s="257">
        <f>IFERROR(M572-(TBIcalc!$Q$9+TBIcalc!$Q$10),"")</f>
        <v>1.8092000000000001</v>
      </c>
      <c r="O572" s="378">
        <f>AVERAGE(Ashed_controlls!$K$2:$K$11)</f>
        <v>5.5147656768714146</v>
      </c>
      <c r="P572" s="257">
        <f t="shared" si="41"/>
        <v>1.7094268593740425</v>
      </c>
      <c r="Q572" s="257">
        <f>IFERROR(INDEX('Both teabags AfterDry'!$D$2:$D$2000,MATCH(L572,'Both teabags AfterDry'!$A$2:$A$2000,0)),"")</f>
        <v>0.84750000000000003</v>
      </c>
      <c r="R572" s="257">
        <f>IFERROR(IF(Q572&gt;0,Q572-(TBIcalc!$Q$9),""),"")</f>
        <v>0.69690000000000007</v>
      </c>
      <c r="S572" s="268">
        <f>IFERROR(INDEX('Ashed teabags dry'!$K$2:$K$2000,MATCH(L572,'Ashed teabags dry'!$A$2:$A$2000,0)),"")</f>
        <v>16.880037932669509</v>
      </c>
      <c r="T572" s="268">
        <f t="shared" si="42"/>
        <v>0.57926301564722626</v>
      </c>
      <c r="U572" s="258">
        <f>IF('Dry_Litterbag Placem_Collection'!E133="","",'Dry_Litterbag Placem_Collection'!E133)</f>
        <v>42939</v>
      </c>
      <c r="V572" s="258">
        <f>IF('Dry_Litterbag Placem_Collection'!G133="","",'Dry_Litterbag Placem_Collection'!G133)</f>
        <v>43008</v>
      </c>
      <c r="W572" s="259">
        <f t="shared" si="40"/>
        <v>69</v>
      </c>
      <c r="X572" s="257">
        <f t="shared" si="43"/>
        <v>1.1123000000000001</v>
      </c>
      <c r="Y572" s="257">
        <f t="shared" si="44"/>
        <v>1.1301638437268162</v>
      </c>
      <c r="Z572" s="261">
        <f>IFERROR(INDEX([3]Rainfall_Dry!$O$2:$O$217,MATCH(C572, [3]Rainfall_Dry!$A$2:$A$217,0)),"")</f>
        <v>136.27214243</v>
      </c>
      <c r="AA572" s="250">
        <v>31.214836424255054</v>
      </c>
      <c r="AB572" s="250">
        <v>11.377370285476141</v>
      </c>
      <c r="AC572" s="250">
        <v>57.407793290268799</v>
      </c>
      <c r="AD572" s="251" t="s">
        <v>2651</v>
      </c>
      <c r="AE572" s="250">
        <v>3.7337604731394798</v>
      </c>
      <c r="AF572">
        <f>IF('WetLitterbags placem_collection'!AB133="","",'WetLitterbags placem_collection'!AB133)</f>
        <v>4.5</v>
      </c>
      <c r="AG572">
        <f>IF('WetLitterbags placem_collection'!Z133="","",'WetLitterbags placem_collection'!Z133)</f>
        <v>7.5</v>
      </c>
      <c r="AH572" s="236" t="str">
        <f>IF('WetLitterbags placem_collection'!AA133="","",'WetLitterbags placem_collection'!AA133)</f>
        <v>O</v>
      </c>
      <c r="AI572">
        <f>IF('WetLitterbags placem_collection'!AC133="","",'WetLitterbags placem_collection'!AC133)</f>
        <v>0</v>
      </c>
      <c r="AJ572">
        <f>IFERROR(AVERAGE('Dry_Litterbag Placem_Collection'!O133,'Dry_Litterbag Placem_Collection'!R133),"")</f>
        <v>8.9499999999999993</v>
      </c>
      <c r="AK572" s="261">
        <f>IFERROR(AVERAGE('Dry_Litterbag Placem_Collection'!N133,'Dry_Litterbag Placem_Collection'!Q133),"")</f>
        <v>28.6</v>
      </c>
      <c r="AL572" s="260">
        <f>INDEX([2]Coordinates!$B$2:$B$197,MATCH(I572,[2]Coordinates!$J$2:$J$197,0))</f>
        <v>-2.3503259660000002</v>
      </c>
      <c r="AM572" s="260">
        <f>INDEX([2]Coordinates!$C$2:$C$197,MATCH(I572,[2]Coordinates!$J$2:$J$197,0))</f>
        <v>34.049616999999998</v>
      </c>
      <c r="AN572" s="260" t="str">
        <f>IF(ISNUMBER(SEARCH("C", 'Dry_Litterbag Placem_Collection'!U133)),"YES","NO")</f>
        <v>NO</v>
      </c>
      <c r="AO572" s="260" t="str">
        <f>IF(ISNUMBER(SEARCH("H", 'Dry_Litterbag Placem_Collection'!U133)),"YES","NO")</f>
        <v>NO</v>
      </c>
      <c r="AP572" s="260" t="str">
        <f>IF(ISNUMBER(SEARCH("R", 'Dry_Litterbag Placem_Collection'!U133)),"YES","NO")</f>
        <v>YES</v>
      </c>
    </row>
    <row r="573" spans="1:42" ht="15" customHeight="1">
      <c r="A573" t="s">
        <v>3248</v>
      </c>
      <c r="B573" s="252" t="s">
        <v>2643</v>
      </c>
      <c r="C573" s="253">
        <f>'Dry_Litterbag Placem_Collection'!A134</f>
        <v>132</v>
      </c>
      <c r="D573" s="253" t="str">
        <f>'Dry_Litterbag Placem_Collection'!B134</f>
        <v xml:space="preserve">Mwantimba
</v>
      </c>
      <c r="E573" s="253" t="s">
        <v>2454</v>
      </c>
      <c r="F573" s="253" t="s">
        <v>20</v>
      </c>
      <c r="G573" s="253">
        <v>1</v>
      </c>
      <c r="H573" s="253" t="s">
        <v>3121</v>
      </c>
      <c r="I573" s="254" t="str">
        <f>'Dry_Litterbag Placem_Collection'!C134</f>
        <v>Wet_P1_T4</v>
      </c>
      <c r="J573" s="263" t="s">
        <v>2932</v>
      </c>
      <c r="K573" s="256" t="s">
        <v>1147</v>
      </c>
      <c r="L573" s="253" t="str">
        <f>IF(ISBLANK('Dry_Litterbag Placem_Collection'!L134),"","G"&amp;""&amp;'Dry_Litterbag Placem_Collection'!L134)</f>
        <v/>
      </c>
      <c r="M573" s="257" t="str">
        <f>IFERROR(INDEX('Green_rooibos initial weight'!$C$5:$C$2000,MATCH(L573, 'Green_rooibos initial weight'!$A$5:$A$2000,0)),"")</f>
        <v/>
      </c>
      <c r="N573" s="257" t="str">
        <f>IFERROR(M573-(TBIcalc!$Q$9+TBIcalc!$Q$10),"")</f>
        <v/>
      </c>
      <c r="O573" s="378">
        <f>AVERAGE(Ashed_controlls!$K$2:$K$11)</f>
        <v>5.5147656768714146</v>
      </c>
      <c r="P573" s="257" t="str">
        <f t="shared" si="41"/>
        <v/>
      </c>
      <c r="Q573" s="257" t="str">
        <f>IFERROR(INDEX('Both teabags AfterDry'!$D$2:$D$2000,MATCH(L573,'Both teabags AfterDry'!$A$2:$A$2000,0)),"")</f>
        <v/>
      </c>
      <c r="R573" s="257" t="str">
        <f>IFERROR(IF(Q573&gt;0,Q573-(TBIcalc!$Q$9),""),"")</f>
        <v/>
      </c>
      <c r="S573" s="268" t="str">
        <f>IFERROR(INDEX('Ashed teabags dry'!$K$2:$K$2000,MATCH(L573,'Ashed teabags dry'!$A$2:$A$2000,0)),"")</f>
        <v/>
      </c>
      <c r="T573" s="268" t="str">
        <f t="shared" si="42"/>
        <v/>
      </c>
      <c r="U573" s="258" t="str">
        <f>IF('Dry_Litterbag Placem_Collection'!E134="","",'Dry_Litterbag Placem_Collection'!E134)</f>
        <v/>
      </c>
      <c r="V573" s="258" t="str">
        <f>IF('Dry_Litterbag Placem_Collection'!G134="","",'Dry_Litterbag Placem_Collection'!G134)</f>
        <v/>
      </c>
      <c r="W573" s="259" t="str">
        <f t="shared" si="40"/>
        <v/>
      </c>
      <c r="X573" s="257" t="str">
        <f t="shared" si="43"/>
        <v/>
      </c>
      <c r="Y573" s="257" t="str">
        <f t="shared" si="44"/>
        <v/>
      </c>
      <c r="Z573" s="261" t="str">
        <f>IFERROR(INDEX([3]Rainfall_Dry!$O$2:$O$217,MATCH(C573, [3]Rainfall_Dry!$A$2:$A$217,0)),"")</f>
        <v/>
      </c>
      <c r="AA573" s="250">
        <v>31.214836424255054</v>
      </c>
      <c r="AB573" s="250">
        <v>11.377370285476141</v>
      </c>
      <c r="AC573" s="250">
        <v>57.407793290268799</v>
      </c>
      <c r="AD573" s="251" t="s">
        <v>2651</v>
      </c>
      <c r="AE573" s="250">
        <v>4.7337604731394798</v>
      </c>
      <c r="AF573">
        <f>IF('WetLitterbags placem_collection'!AB134="","",'WetLitterbags placem_collection'!AB134)</f>
        <v>0.7</v>
      </c>
      <c r="AG573">
        <f>IF('WetLitterbags placem_collection'!Z134="","",'WetLitterbags placem_collection'!Z134)</f>
        <v>9.8000000000000007</v>
      </c>
      <c r="AH573" s="236" t="str">
        <f>IF('WetLitterbags placem_collection'!AA134="","",'WetLitterbags placem_collection'!AA134)</f>
        <v>G</v>
      </c>
      <c r="AI573">
        <f>IF('WetLitterbags placem_collection'!AC134="","",'WetLitterbags placem_collection'!AC134)</f>
        <v>1</v>
      </c>
      <c r="AJ573" t="str">
        <f>IFERROR(AVERAGE('Dry_Litterbag Placem_Collection'!O134,'Dry_Litterbag Placem_Collection'!R134),"")</f>
        <v/>
      </c>
      <c r="AK573" s="261" t="str">
        <f>IFERROR(AVERAGE('Dry_Litterbag Placem_Collection'!N134,'Dry_Litterbag Placem_Collection'!Q134),"")</f>
        <v/>
      </c>
      <c r="AL573" s="260">
        <f>INDEX([2]Coordinates!$B$2:$B$197,MATCH(I573,[2]Coordinates!$J$2:$J$197,0))</f>
        <v>-2.3504800260000001</v>
      </c>
      <c r="AM573" s="260">
        <f>INDEX([2]Coordinates!$C$2:$C$197,MATCH(I573,[2]Coordinates!$J$2:$J$197,0))</f>
        <v>34.049551030000003</v>
      </c>
      <c r="AN573" s="260" t="str">
        <f>IF(ISNUMBER(SEARCH("C", 'Dry_Litterbag Placem_Collection'!U134)),"YES","NO")</f>
        <v>NO</v>
      </c>
      <c r="AO573" s="260" t="str">
        <f>IF(ISNUMBER(SEARCH("H", 'Dry_Litterbag Placem_Collection'!U134)),"YES","NO")</f>
        <v>NO</v>
      </c>
      <c r="AP573" s="260" t="str">
        <f>IF(ISNUMBER(SEARCH("R", 'Dry_Litterbag Placem_Collection'!U134)),"YES","NO")</f>
        <v>NO</v>
      </c>
    </row>
    <row r="574" spans="1:42" ht="15" customHeight="1">
      <c r="A574" t="s">
        <v>3248</v>
      </c>
      <c r="B574" s="252" t="s">
        <v>2643</v>
      </c>
      <c r="C574" s="253">
        <f>'Dry_Litterbag Placem_Collection'!A135</f>
        <v>133</v>
      </c>
      <c r="D574" s="253" t="str">
        <f>'Dry_Litterbag Placem_Collection'!B135</f>
        <v xml:space="preserve">Mwantimba
</v>
      </c>
      <c r="E574" s="253" t="s">
        <v>2454</v>
      </c>
      <c r="F574" s="253" t="s">
        <v>20</v>
      </c>
      <c r="G574" s="253">
        <v>1</v>
      </c>
      <c r="H574" s="253" t="s">
        <v>3121</v>
      </c>
      <c r="I574" s="254" t="str">
        <f>'Dry_Litterbag Placem_Collection'!C135</f>
        <v>Wet_P1_T5</v>
      </c>
      <c r="J574" s="263" t="s">
        <v>2932</v>
      </c>
      <c r="K574" s="256" t="s">
        <v>1147</v>
      </c>
      <c r="L574" s="253" t="str">
        <f>IF(ISBLANK('Dry_Litterbag Placem_Collection'!L135),"","G"&amp;""&amp;'Dry_Litterbag Placem_Collection'!L135)</f>
        <v>G210</v>
      </c>
      <c r="M574" s="257">
        <f>IFERROR(INDEX('Green_rooibos initial weight'!$C$5:$C$2000,MATCH(L574, 'Green_rooibos initial weight'!$A$5:$A$2000,0)),"")</f>
        <v>1.923</v>
      </c>
      <c r="N574" s="257">
        <f>IFERROR(M574-(TBIcalc!$Q$9+TBIcalc!$Q$10),"")</f>
        <v>1.6732</v>
      </c>
      <c r="O574" s="378">
        <f>AVERAGE(Ashed_controlls!$K$2:$K$11)</f>
        <v>5.5147656768714146</v>
      </c>
      <c r="P574" s="257">
        <f t="shared" si="41"/>
        <v>1.5809269406945876</v>
      </c>
      <c r="Q574" s="257" t="str">
        <f>IFERROR(INDEX('Both teabags AfterDry'!$D$2:$D$2000,MATCH(L574,'Both teabags AfterDry'!$A$2:$A$2000,0)),"")</f>
        <v/>
      </c>
      <c r="R574" s="257" t="str">
        <f>IFERROR(IF(Q574&gt;0,Q574-(TBIcalc!$Q$9),""),"")</f>
        <v/>
      </c>
      <c r="S574" s="268" t="str">
        <f>IFERROR(INDEX('Ashed teabags dry'!$K$2:$K$2000,MATCH(L574,'Ashed teabags dry'!$A$2:$A$2000,0)),"")</f>
        <v/>
      </c>
      <c r="T574" s="268" t="str">
        <f t="shared" si="42"/>
        <v/>
      </c>
      <c r="U574" s="258">
        <f>IF('Dry_Litterbag Placem_Collection'!E135="","",'Dry_Litterbag Placem_Collection'!E135)</f>
        <v>42939</v>
      </c>
      <c r="V574" s="258">
        <f>IF('Dry_Litterbag Placem_Collection'!G135="","",'Dry_Litterbag Placem_Collection'!G135)</f>
        <v>43008</v>
      </c>
      <c r="W574" s="259">
        <f t="shared" si="40"/>
        <v>69</v>
      </c>
      <c r="X574" s="257" t="str">
        <f t="shared" si="43"/>
        <v/>
      </c>
      <c r="Y574" s="257" t="str">
        <f t="shared" si="44"/>
        <v/>
      </c>
      <c r="Z574" s="261">
        <f>IFERROR(INDEX([3]Rainfall_Dry!$O$2:$O$217,MATCH(C574, [3]Rainfall_Dry!$A$2:$A$217,0)),"")</f>
        <v>136.27214243</v>
      </c>
      <c r="AA574" s="250">
        <v>31.214836424255054</v>
      </c>
      <c r="AB574" s="250">
        <v>11.377370285476141</v>
      </c>
      <c r="AC574" s="250">
        <v>57.407793290268799</v>
      </c>
      <c r="AD574" s="251" t="s">
        <v>2651</v>
      </c>
      <c r="AE574" s="250">
        <v>5.7337604731394798</v>
      </c>
      <c r="AF574">
        <f>IF('WetLitterbags placem_collection'!AB135="","",'WetLitterbags placem_collection'!AB135)</f>
        <v>2.2000000000000002</v>
      </c>
      <c r="AG574">
        <f>IF('WetLitterbags placem_collection'!Z135="","",'WetLitterbags placem_collection'!Z135)</f>
        <v>10</v>
      </c>
      <c r="AH574" s="236" t="str">
        <f>IF('WetLitterbags placem_collection'!AA135="","",'WetLitterbags placem_collection'!AA135)</f>
        <v>O</v>
      </c>
      <c r="AI574">
        <f>IF('WetLitterbags placem_collection'!AC135="","",'WetLitterbags placem_collection'!AC135)</f>
        <v>1</v>
      </c>
      <c r="AJ574">
        <f>IFERROR(AVERAGE('Dry_Litterbag Placem_Collection'!O135,'Dry_Litterbag Placem_Collection'!R135),"")</f>
        <v>8.75</v>
      </c>
      <c r="AK574" s="261">
        <f>IFERROR(AVERAGE('Dry_Litterbag Placem_Collection'!N135,'Dry_Litterbag Placem_Collection'!Q135),"")</f>
        <v>31.3</v>
      </c>
      <c r="AL574" s="260">
        <f>INDEX([2]Coordinates!$B$2:$B$197,MATCH(I574,[2]Coordinates!$J$2:$J$197,0))</f>
        <v>-2.350474996</v>
      </c>
      <c r="AM574" s="260">
        <f>INDEX([2]Coordinates!$C$2:$C$197,MATCH(I574,[2]Coordinates!$J$2:$J$197,0))</f>
        <v>34.049801979999998</v>
      </c>
      <c r="AN574" s="260" t="str">
        <f>IF(ISNUMBER(SEARCH("C", 'Dry_Litterbag Placem_Collection'!U135)),"YES","NO")</f>
        <v>NO</v>
      </c>
      <c r="AO574" s="260" t="str">
        <f>IF(ISNUMBER(SEARCH("H", 'Dry_Litterbag Placem_Collection'!U135)),"YES","NO")</f>
        <v>NO</v>
      </c>
      <c r="AP574" s="260" t="str">
        <f>IF(ISNUMBER(SEARCH("R", 'Dry_Litterbag Placem_Collection'!U135)),"YES","NO")</f>
        <v>YES</v>
      </c>
    </row>
    <row r="575" spans="1:42" ht="15" customHeight="1">
      <c r="A575" t="s">
        <v>3248</v>
      </c>
      <c r="B575" s="252" t="s">
        <v>2643</v>
      </c>
      <c r="C575" s="253">
        <f>'Dry_Litterbag Placem_Collection'!A136</f>
        <v>134</v>
      </c>
      <c r="D575" s="253" t="str">
        <f>'Dry_Litterbag Placem_Collection'!B136</f>
        <v xml:space="preserve">Mwantimba
</v>
      </c>
      <c r="E575" s="253" t="s">
        <v>2454</v>
      </c>
      <c r="F575" s="253" t="s">
        <v>20</v>
      </c>
      <c r="G575" s="253">
        <v>1</v>
      </c>
      <c r="H575" s="253" t="s">
        <v>3121</v>
      </c>
      <c r="I575" s="254" t="str">
        <f>'Dry_Litterbag Placem_Collection'!C136</f>
        <v>Wet_P1_T6</v>
      </c>
      <c r="J575" s="263" t="s">
        <v>2932</v>
      </c>
      <c r="K575" s="256" t="s">
        <v>1147</v>
      </c>
      <c r="L575" s="253" t="str">
        <f>IF(ISBLANK('Dry_Litterbag Placem_Collection'!L136),"","G"&amp;""&amp;'Dry_Litterbag Placem_Collection'!L136)</f>
        <v>G40</v>
      </c>
      <c r="M575" s="257">
        <f>IFERROR(INDEX('Green_rooibos initial weight'!$C$5:$C$2000,MATCH(L575, 'Green_rooibos initial weight'!$A$5:$A$2000,0)),"")</f>
        <v>2.0369999999999999</v>
      </c>
      <c r="N575" s="257">
        <f>IFERROR(M575-(TBIcalc!$Q$9+TBIcalc!$Q$10),"")</f>
        <v>1.7871999999999999</v>
      </c>
      <c r="O575" s="378">
        <f>AVERAGE(Ashed_controlls!$K$2:$K$11)</f>
        <v>5.5147656768714146</v>
      </c>
      <c r="P575" s="257">
        <f t="shared" si="41"/>
        <v>1.688640107822954</v>
      </c>
      <c r="Q575" s="257">
        <f>IFERROR(INDEX('Both teabags AfterDry'!$D$2:$D$2000,MATCH(L575,'Both teabags AfterDry'!$A$2:$A$2000,0)),"")</f>
        <v>0.68400000000000005</v>
      </c>
      <c r="R575" s="257">
        <f>IFERROR(IF(Q575&gt;0,Q575-(TBIcalc!$Q$9),""),"")</f>
        <v>0.5334000000000001</v>
      </c>
      <c r="S575" s="268">
        <f>IFERROR(INDEX('Ashed teabags dry'!$K$2:$K$2000,MATCH(L575,'Ashed teabags dry'!$A$2:$A$2000,0)),"")</f>
        <v>16.995073891625683</v>
      </c>
      <c r="T575" s="268">
        <f t="shared" si="42"/>
        <v>0.44274827586206866</v>
      </c>
      <c r="U575" s="258">
        <f>IF('Dry_Litterbag Placem_Collection'!E136="","",'Dry_Litterbag Placem_Collection'!E136)</f>
        <v>42939</v>
      </c>
      <c r="V575" s="258">
        <f>IF('Dry_Litterbag Placem_Collection'!G136="","",'Dry_Litterbag Placem_Collection'!G136)</f>
        <v>43008</v>
      </c>
      <c r="W575" s="259">
        <f t="shared" si="40"/>
        <v>69</v>
      </c>
      <c r="X575" s="257">
        <f t="shared" si="43"/>
        <v>1.2537999999999998</v>
      </c>
      <c r="Y575" s="257">
        <f t="shared" si="44"/>
        <v>1.2458918319608854</v>
      </c>
      <c r="Z575" s="261">
        <f>IFERROR(INDEX([3]Rainfall_Dry!$O$2:$O$217,MATCH(C575, [3]Rainfall_Dry!$A$2:$A$217,0)),"")</f>
        <v>136.27214243</v>
      </c>
      <c r="AA575" s="250">
        <v>31.214836424255054</v>
      </c>
      <c r="AB575" s="250">
        <v>11.377370285476141</v>
      </c>
      <c r="AC575" s="250">
        <v>57.407793290268799</v>
      </c>
      <c r="AD575" s="251" t="s">
        <v>2651</v>
      </c>
      <c r="AE575" s="250">
        <v>6.7337604731394798</v>
      </c>
      <c r="AF575">
        <f>IF('WetLitterbags placem_collection'!AB136="","",'WetLitterbags placem_collection'!AB136)</f>
        <v>1.1000000000000001</v>
      </c>
      <c r="AG575">
        <f>IF('WetLitterbags placem_collection'!Z136="","",'WetLitterbags placem_collection'!Z136)</f>
        <v>15.4</v>
      </c>
      <c r="AH575" s="236" t="str">
        <f>IF('WetLitterbags placem_collection'!AA136="","",'WetLitterbags placem_collection'!AA136)</f>
        <v>O</v>
      </c>
      <c r="AI575">
        <f>IF('WetLitterbags placem_collection'!AC136="","",'WetLitterbags placem_collection'!AC136)</f>
        <v>1</v>
      </c>
      <c r="AJ575">
        <f>IFERROR(AVERAGE('Dry_Litterbag Placem_Collection'!O136,'Dry_Litterbag Placem_Collection'!R136),"")</f>
        <v>6.65</v>
      </c>
      <c r="AK575" s="261">
        <f>IFERROR(AVERAGE('Dry_Litterbag Placem_Collection'!N136,'Dry_Litterbag Placem_Collection'!Q136),"")</f>
        <v>29.200000000000003</v>
      </c>
      <c r="AL575" s="260">
        <f>INDEX([2]Coordinates!$B$2:$B$197,MATCH(I575,[2]Coordinates!$J$2:$J$197,0))</f>
        <v>-2.3503559730000001</v>
      </c>
      <c r="AM575" s="260">
        <f>INDEX([2]Coordinates!$C$2:$C$197,MATCH(I575,[2]Coordinates!$J$2:$J$197,0))</f>
        <v>34.049800980000001</v>
      </c>
      <c r="AN575" s="260" t="str">
        <f>IF(ISNUMBER(SEARCH("C", 'Dry_Litterbag Placem_Collection'!U136)),"YES","NO")</f>
        <v>NO</v>
      </c>
      <c r="AO575" s="260" t="str">
        <f>IF(ISNUMBER(SEARCH("H", 'Dry_Litterbag Placem_Collection'!U136)),"YES","NO")</f>
        <v>NO</v>
      </c>
      <c r="AP575" s="260" t="str">
        <f>IF(ISNUMBER(SEARCH("R", 'Dry_Litterbag Placem_Collection'!U136)),"YES","NO")</f>
        <v>YES</v>
      </c>
    </row>
    <row r="576" spans="1:42" ht="15" customHeight="1">
      <c r="A576" t="s">
        <v>3248</v>
      </c>
      <c r="B576" s="252" t="s">
        <v>2643</v>
      </c>
      <c r="C576" s="253">
        <f>'Dry_Litterbag Placem_Collection'!A137</f>
        <v>135</v>
      </c>
      <c r="D576" s="253" t="str">
        <f>'Dry_Litterbag Placem_Collection'!B137</f>
        <v xml:space="preserve">Mwantimba
</v>
      </c>
      <c r="E576" s="253" t="s">
        <v>2454</v>
      </c>
      <c r="F576" s="253" t="s">
        <v>20</v>
      </c>
      <c r="G576" s="253">
        <v>1</v>
      </c>
      <c r="H576" s="253" t="s">
        <v>3121</v>
      </c>
      <c r="I576" s="254" t="str">
        <f>'Dry_Litterbag Placem_Collection'!C137</f>
        <v>Wet_P1_T7</v>
      </c>
      <c r="J576" s="263" t="s">
        <v>2932</v>
      </c>
      <c r="K576" s="256" t="s">
        <v>1147</v>
      </c>
      <c r="L576" s="253" t="str">
        <f>IF(ISBLANK('Dry_Litterbag Placem_Collection'!L137),"","G"&amp;""&amp;'Dry_Litterbag Placem_Collection'!L137)</f>
        <v>G517</v>
      </c>
      <c r="M576" s="257">
        <f>IFERROR(INDEX('Green_rooibos initial weight'!$C$5:$C$2000,MATCH(L576, 'Green_rooibos initial weight'!$A$5:$A$2000,0)),"")</f>
        <v>2.069</v>
      </c>
      <c r="N576" s="257">
        <f>IFERROR(M576-(TBIcalc!$Q$9+TBIcalc!$Q$10),"")</f>
        <v>1.8191999999999999</v>
      </c>
      <c r="O576" s="378">
        <f>AVERAGE(Ashed_controlls!$K$2:$K$11)</f>
        <v>5.5147656768714146</v>
      </c>
      <c r="P576" s="257">
        <f t="shared" si="41"/>
        <v>1.7188753828063552</v>
      </c>
      <c r="Q576" s="257">
        <f>IFERROR(INDEX('Both teabags AfterDry'!$D$2:$D$2000,MATCH(L576,'Both teabags AfterDry'!$A$2:$A$2000,0)),"")</f>
        <v>0.7097</v>
      </c>
      <c r="R576" s="257">
        <f>IFERROR(IF(Q576&gt;0,Q576-(TBIcalc!$Q$9),""),"")</f>
        <v>0.55909999999999993</v>
      </c>
      <c r="S576" s="268">
        <f>IFERROR(INDEX('Ashed teabags dry'!$K$2:$K$2000,MATCH(L576,'Ashed teabags dry'!$A$2:$A$2000,0)),"")</f>
        <v>18.257464512971215</v>
      </c>
      <c r="T576" s="268">
        <f t="shared" si="42"/>
        <v>0.45702251590797788</v>
      </c>
      <c r="U576" s="258">
        <f>IF('Dry_Litterbag Placem_Collection'!E137="","",'Dry_Litterbag Placem_Collection'!E137)</f>
        <v>42939</v>
      </c>
      <c r="V576" s="258">
        <f>IF('Dry_Litterbag Placem_Collection'!G137="","",'Dry_Litterbag Placem_Collection'!G137)</f>
        <v>43008</v>
      </c>
      <c r="W576" s="259">
        <f t="shared" si="40"/>
        <v>69</v>
      </c>
      <c r="X576" s="257">
        <f t="shared" si="43"/>
        <v>1.2601</v>
      </c>
      <c r="Y576" s="257">
        <f t="shared" si="44"/>
        <v>1.2618528668983773</v>
      </c>
      <c r="Z576" s="261">
        <f>IFERROR(INDEX([3]Rainfall_Dry!$O$2:$O$217,MATCH(C576, [3]Rainfall_Dry!$A$2:$A$217,0)),"")</f>
        <v>136.27214243</v>
      </c>
      <c r="AA576" s="250">
        <v>31.214836424255054</v>
      </c>
      <c r="AB576" s="250">
        <v>11.377370285476141</v>
      </c>
      <c r="AC576" s="250">
        <v>57.407793290268799</v>
      </c>
      <c r="AD576" s="251" t="s">
        <v>2651</v>
      </c>
      <c r="AE576" s="250">
        <v>7.7337604731394798</v>
      </c>
      <c r="AF576">
        <f>IF('WetLitterbags placem_collection'!AB137="","",'WetLitterbags placem_collection'!AB137)</f>
        <v>2.1</v>
      </c>
      <c r="AG576">
        <f>IF('WetLitterbags placem_collection'!Z137="","",'WetLitterbags placem_collection'!Z137)</f>
        <v>5.6</v>
      </c>
      <c r="AH576" s="236" t="str">
        <f>IF('WetLitterbags placem_collection'!AA137="","",'WetLitterbags placem_collection'!AA137)</f>
        <v>O</v>
      </c>
      <c r="AI576">
        <f>IF('WetLitterbags placem_collection'!AC137="","",'WetLitterbags placem_collection'!AC137)</f>
        <v>1</v>
      </c>
      <c r="AJ576">
        <f>IFERROR(AVERAGE('Dry_Litterbag Placem_Collection'!O137,'Dry_Litterbag Placem_Collection'!R137),"")</f>
        <v>8.5500000000000007</v>
      </c>
      <c r="AK576" s="261">
        <f>IFERROR(AVERAGE('Dry_Litterbag Placem_Collection'!N137,'Dry_Litterbag Placem_Collection'!Q137),"")</f>
        <v>31.35</v>
      </c>
      <c r="AL576" s="260">
        <f>INDEX([2]Coordinates!$B$2:$B$197,MATCH(I576,[2]Coordinates!$J$2:$J$197,0))</f>
        <v>-2.3503589909999998</v>
      </c>
      <c r="AM576" s="260">
        <f>INDEX([2]Coordinates!$C$2:$C$197,MATCH(I576,[2]Coordinates!$J$2:$J$197,0))</f>
        <v>34.049719000000003</v>
      </c>
      <c r="AN576" s="260" t="str">
        <f>IF(ISNUMBER(SEARCH("C", 'Dry_Litterbag Placem_Collection'!U137)),"YES","NO")</f>
        <v>NO</v>
      </c>
      <c r="AO576" s="260" t="str">
        <f>IF(ISNUMBER(SEARCH("H", 'Dry_Litterbag Placem_Collection'!U137)),"YES","NO")</f>
        <v>NO</v>
      </c>
      <c r="AP576" s="260" t="str">
        <f>IF(ISNUMBER(SEARCH("R", 'Dry_Litterbag Placem_Collection'!U137)),"YES","NO")</f>
        <v>NO</v>
      </c>
    </row>
    <row r="577" spans="1:42" ht="15" customHeight="1">
      <c r="A577" t="s">
        <v>3248</v>
      </c>
      <c r="B577" s="252" t="s">
        <v>2643</v>
      </c>
      <c r="C577" s="253">
        <f>'Dry_Litterbag Placem_Collection'!A138</f>
        <v>136</v>
      </c>
      <c r="D577" s="253" t="str">
        <f>'Dry_Litterbag Placem_Collection'!B138</f>
        <v xml:space="preserve">Mwantimba
</v>
      </c>
      <c r="E577" s="253" t="s">
        <v>2454</v>
      </c>
      <c r="F577" s="253" t="s">
        <v>20</v>
      </c>
      <c r="G577" s="253">
        <v>1</v>
      </c>
      <c r="H577" s="253" t="s">
        <v>3121</v>
      </c>
      <c r="I577" s="254" t="str">
        <f>'Dry_Litterbag Placem_Collection'!C138</f>
        <v>Wet_P1_T8</v>
      </c>
      <c r="J577" s="263" t="s">
        <v>2932</v>
      </c>
      <c r="K577" s="256" t="s">
        <v>1147</v>
      </c>
      <c r="L577" s="253" t="str">
        <f>IF(ISBLANK('Dry_Litterbag Placem_Collection'!L138),"","G"&amp;""&amp;'Dry_Litterbag Placem_Collection'!L138)</f>
        <v>G67</v>
      </c>
      <c r="M577" s="257">
        <f>IFERROR(INDEX('Green_rooibos initial weight'!$C$5:$C$2000,MATCH(L577, 'Green_rooibos initial weight'!$A$5:$A$2000,0)),"")</f>
        <v>1.984</v>
      </c>
      <c r="N577" s="257">
        <f>IFERROR(M577-(TBIcalc!$Q$9+TBIcalc!$Q$10),"")</f>
        <v>1.7342</v>
      </c>
      <c r="O577" s="378">
        <f>AVERAGE(Ashed_controlls!$K$2:$K$11)</f>
        <v>5.5147656768714146</v>
      </c>
      <c r="P577" s="257">
        <f t="shared" si="41"/>
        <v>1.6385629336316958</v>
      </c>
      <c r="Q577" s="257">
        <f>IFERROR(INDEX('Both teabags AfterDry'!$D$2:$D$2000,MATCH(L577,'Both teabags AfterDry'!$A$2:$A$2000,0)),"")</f>
        <v>0.77739999999999998</v>
      </c>
      <c r="R577" s="257">
        <f>IFERROR(IF(Q577&gt;0,Q577-(TBIcalc!$Q$9),""),"")</f>
        <v>0.62680000000000002</v>
      </c>
      <c r="S577" s="268">
        <f>IFERROR(INDEX('Ashed teabags dry'!$K$2:$K$2000,MATCH(L577,'Ashed teabags dry'!$A$2:$A$2000,0)),"")</f>
        <v>23.004251299007908</v>
      </c>
      <c r="T577" s="268">
        <f t="shared" si="42"/>
        <v>0.48260935285781847</v>
      </c>
      <c r="U577" s="258">
        <f>IF('Dry_Litterbag Placem_Collection'!E138="","",'Dry_Litterbag Placem_Collection'!E138)</f>
        <v>42939</v>
      </c>
      <c r="V577" s="258">
        <f>IF('Dry_Litterbag Placem_Collection'!G138="","",'Dry_Litterbag Placem_Collection'!G138)</f>
        <v>43008</v>
      </c>
      <c r="W577" s="259">
        <f t="shared" si="40"/>
        <v>69</v>
      </c>
      <c r="X577" s="257">
        <f t="shared" si="43"/>
        <v>1.1073999999999999</v>
      </c>
      <c r="Y577" s="257">
        <f t="shared" si="44"/>
        <v>1.1559535807738772</v>
      </c>
      <c r="Z577" s="261">
        <f>IFERROR(INDEX([3]Rainfall_Dry!$O$2:$O$217,MATCH(C577, [3]Rainfall_Dry!$A$2:$A$217,0)),"")</f>
        <v>136.27214243</v>
      </c>
      <c r="AA577" s="250">
        <v>31.214836424255054</v>
      </c>
      <c r="AB577" s="250">
        <v>11.377370285476141</v>
      </c>
      <c r="AC577" s="250">
        <v>57.407793290268799</v>
      </c>
      <c r="AD577" s="251" t="s">
        <v>2651</v>
      </c>
      <c r="AE577" s="250">
        <v>8.7337604731394798</v>
      </c>
      <c r="AF577">
        <f>IF('WetLitterbags placem_collection'!AB138="","",'WetLitterbags placem_collection'!AB138)</f>
        <v>2.2999999999999998</v>
      </c>
      <c r="AG577">
        <f>IF('WetLitterbags placem_collection'!Z138="","",'WetLitterbags placem_collection'!Z138)</f>
        <v>16.3</v>
      </c>
      <c r="AH577" s="236" t="str">
        <f>IF('WetLitterbags placem_collection'!AA138="","",'WetLitterbags placem_collection'!AA138)</f>
        <v>G</v>
      </c>
      <c r="AI577">
        <f>IF('WetLitterbags placem_collection'!AC138="","",'WetLitterbags placem_collection'!AC138)</f>
        <v>1</v>
      </c>
      <c r="AJ577">
        <f>IFERROR(AVERAGE('Dry_Litterbag Placem_Collection'!O138,'Dry_Litterbag Placem_Collection'!R138),"")</f>
        <v>5.9</v>
      </c>
      <c r="AK577" s="261">
        <f>IFERROR(AVERAGE('Dry_Litterbag Placem_Collection'!N138,'Dry_Litterbag Placem_Collection'!Q138),"")</f>
        <v>29.9</v>
      </c>
      <c r="AL577" s="260">
        <f>INDEX([2]Coordinates!$B$2:$B$197,MATCH(I577,[2]Coordinates!$J$2:$J$197,0))</f>
        <v>-2.3502159960000002</v>
      </c>
      <c r="AM577" s="260">
        <f>INDEX([2]Coordinates!$C$2:$C$197,MATCH(I577,[2]Coordinates!$J$2:$J$197,0))</f>
        <v>34.049822020000001</v>
      </c>
      <c r="AN577" s="260" t="str">
        <f>IF(ISNUMBER(SEARCH("C", 'Dry_Litterbag Placem_Collection'!U138)),"YES","NO")</f>
        <v>NO</v>
      </c>
      <c r="AO577" s="260" t="str">
        <f>IF(ISNUMBER(SEARCH("H", 'Dry_Litterbag Placem_Collection'!U138)),"YES","NO")</f>
        <v>NO</v>
      </c>
      <c r="AP577" s="260" t="str">
        <f>IF(ISNUMBER(SEARCH("R", 'Dry_Litterbag Placem_Collection'!U138)),"YES","NO")</f>
        <v>YES</v>
      </c>
    </row>
    <row r="578" spans="1:42" ht="15" customHeight="1">
      <c r="A578" t="s">
        <v>3248</v>
      </c>
      <c r="B578" s="252" t="s">
        <v>2643</v>
      </c>
      <c r="C578" s="253">
        <f>'Dry_Litterbag Placem_Collection'!A139</f>
        <v>137</v>
      </c>
      <c r="D578" s="253" t="str">
        <f>'Dry_Litterbag Placem_Collection'!B139</f>
        <v xml:space="preserve">Mwantimba
</v>
      </c>
      <c r="E578" s="253" t="s">
        <v>2454</v>
      </c>
      <c r="F578" s="253" t="s">
        <v>20</v>
      </c>
      <c r="G578" s="253">
        <v>2</v>
      </c>
      <c r="H578" s="253" t="s">
        <v>3123</v>
      </c>
      <c r="I578" s="254" t="str">
        <f>'Dry_Litterbag Placem_Collection'!C139</f>
        <v>Wet_P2_T1</v>
      </c>
      <c r="J578" s="263" t="s">
        <v>2932</v>
      </c>
      <c r="K578" s="256" t="s">
        <v>1147</v>
      </c>
      <c r="L578" s="253" t="str">
        <f>IF(ISBLANK('Dry_Litterbag Placem_Collection'!L139),"","G"&amp;""&amp;'Dry_Litterbag Placem_Collection'!L139)</f>
        <v>G335</v>
      </c>
      <c r="M578" s="257">
        <f>IFERROR(INDEX('Green_rooibos initial weight'!$C$5:$C$2000,MATCH(L578, 'Green_rooibos initial weight'!$A$5:$A$2000,0)),"")</f>
        <v>1.956</v>
      </c>
      <c r="N578" s="257">
        <f>IFERROR(M578-(TBIcalc!$Q$9+TBIcalc!$Q$10),"")</f>
        <v>1.7061999999999999</v>
      </c>
      <c r="O578" s="378">
        <f>AVERAGE(Ashed_controlls!$K$2:$K$11)</f>
        <v>5.5147656768714146</v>
      </c>
      <c r="P578" s="257">
        <f t="shared" si="41"/>
        <v>1.6121070680212199</v>
      </c>
      <c r="Q578" s="257">
        <f>IFERROR(INDEX('Both teabags AfterDry'!$D$2:$D$2000,MATCH(L578,'Both teabags AfterDry'!$A$2:$A$2000,0)),"")</f>
        <v>0.85829999999999995</v>
      </c>
      <c r="R578" s="257">
        <f>IFERROR(IF(Q578&gt;0,Q578-(TBIcalc!$Q$9),""),"")</f>
        <v>0.7077</v>
      </c>
      <c r="S578" s="268">
        <f>IFERROR(INDEX('Ashed teabags dry'!$K$2:$K$2000,MATCH(L578,'Ashed teabags dry'!$A$2:$A$2000,0)),"")</f>
        <v>28.521997034107514</v>
      </c>
      <c r="T578" s="268">
        <f t="shared" si="42"/>
        <v>0.50584982698962111</v>
      </c>
      <c r="U578" s="258">
        <f>IF('Dry_Litterbag Placem_Collection'!E139="","",'Dry_Litterbag Placem_Collection'!E139)</f>
        <v>42939</v>
      </c>
      <c r="V578" s="258">
        <f>IF('Dry_Litterbag Placem_Collection'!G139="","",'Dry_Litterbag Placem_Collection'!G139)</f>
        <v>43008</v>
      </c>
      <c r="W578" s="259">
        <f t="shared" ref="W578:W641" si="45">IFERROR(V578-U578,"")</f>
        <v>69</v>
      </c>
      <c r="X578" s="257">
        <f t="shared" si="43"/>
        <v>0.99849999999999994</v>
      </c>
      <c r="Y578" s="257">
        <f t="shared" si="44"/>
        <v>1.1062572410315989</v>
      </c>
      <c r="Z578" s="261">
        <f>IFERROR(INDEX([3]Rainfall_Dry!$O$2:$O$217,MATCH(C578, [3]Rainfall_Dry!$A$2:$A$217,0)),"")</f>
        <v>136.27214243</v>
      </c>
      <c r="AA578" s="250">
        <v>33.96</v>
      </c>
      <c r="AB578" s="250">
        <v>8.9200000000000017</v>
      </c>
      <c r="AC578" s="250">
        <v>57.12</v>
      </c>
      <c r="AD578" s="251" t="s">
        <v>2651</v>
      </c>
      <c r="AE578" s="250">
        <v>2.072055199605717</v>
      </c>
      <c r="AF578">
        <f>IF('WetLitterbags placem_collection'!AB139="","",'WetLitterbags placem_collection'!AB139)</f>
        <v>1.2</v>
      </c>
      <c r="AG578">
        <f>IF('WetLitterbags placem_collection'!Z139="","",'WetLitterbags placem_collection'!Z139)</f>
        <v>32.4</v>
      </c>
      <c r="AH578" s="236" t="str">
        <f>IF('WetLitterbags placem_collection'!AA139="","",'WetLitterbags placem_collection'!AA139)</f>
        <v>G</v>
      </c>
      <c r="AI578">
        <f>IF('WetLitterbags placem_collection'!AC139="","",'WetLitterbags placem_collection'!AC139)</f>
        <v>1</v>
      </c>
      <c r="AJ578">
        <f>IFERROR(AVERAGE('Dry_Litterbag Placem_Collection'!O139,'Dry_Litterbag Placem_Collection'!R139),"")</f>
        <v>8.9</v>
      </c>
      <c r="AK578" s="261">
        <f>IFERROR(AVERAGE('Dry_Litterbag Placem_Collection'!N139,'Dry_Litterbag Placem_Collection'!Q139),"")</f>
        <v>27.55</v>
      </c>
      <c r="AL578" s="260">
        <f>INDEX([2]Coordinates!$B$2:$B$197,MATCH(I578,[2]Coordinates!$J$2:$J$197,0))</f>
        <v>-2.348596025</v>
      </c>
      <c r="AM578" s="260">
        <f>INDEX([2]Coordinates!$C$2:$C$197,MATCH(I578,[2]Coordinates!$J$2:$J$197,0))</f>
        <v>34.050070959999999</v>
      </c>
      <c r="AN578" s="260" t="str">
        <f>IF(ISNUMBER(SEARCH("C", 'Dry_Litterbag Placem_Collection'!U139)),"YES","NO")</f>
        <v>NO</v>
      </c>
      <c r="AO578" s="260" t="str">
        <f>IF(ISNUMBER(SEARCH("H", 'Dry_Litterbag Placem_Collection'!U139)),"YES","NO")</f>
        <v>NO</v>
      </c>
      <c r="AP578" s="260" t="str">
        <f>IF(ISNUMBER(SEARCH("R", 'Dry_Litterbag Placem_Collection'!U139)),"YES","NO")</f>
        <v>NO</v>
      </c>
    </row>
    <row r="579" spans="1:42" ht="15" customHeight="1">
      <c r="A579" t="s">
        <v>3248</v>
      </c>
      <c r="B579" s="252" t="s">
        <v>2643</v>
      </c>
      <c r="C579" s="253">
        <f>'Dry_Litterbag Placem_Collection'!A140</f>
        <v>138</v>
      </c>
      <c r="D579" s="253" t="str">
        <f>'Dry_Litterbag Placem_Collection'!B140</f>
        <v xml:space="preserve">Mwantimba
</v>
      </c>
      <c r="E579" s="253" t="s">
        <v>2454</v>
      </c>
      <c r="F579" s="253" t="s">
        <v>20</v>
      </c>
      <c r="G579" s="253">
        <v>2</v>
      </c>
      <c r="H579" s="253" t="s">
        <v>3123</v>
      </c>
      <c r="I579" s="254" t="str">
        <f>'Dry_Litterbag Placem_Collection'!C140</f>
        <v>Wet_P2_T2</v>
      </c>
      <c r="J579" s="263" t="s">
        <v>2932</v>
      </c>
      <c r="K579" s="256" t="s">
        <v>1147</v>
      </c>
      <c r="L579" s="253" t="str">
        <f>IF(ISBLANK('Dry_Litterbag Placem_Collection'!L140),"","G"&amp;""&amp;'Dry_Litterbag Placem_Collection'!L140)</f>
        <v>G484</v>
      </c>
      <c r="M579" s="257">
        <f>IFERROR(INDEX('Green_rooibos initial weight'!$C$5:$C$2000,MATCH(L579, 'Green_rooibos initial weight'!$A$5:$A$2000,0)),"")</f>
        <v>2.0009999999999999</v>
      </c>
      <c r="N579" s="257">
        <f>IFERROR(M579-(TBIcalc!$Q$9+TBIcalc!$Q$10),"")</f>
        <v>1.7511999999999999</v>
      </c>
      <c r="O579" s="378">
        <f>AVERAGE(Ashed_controlls!$K$2:$K$11)</f>
        <v>5.5147656768714146</v>
      </c>
      <c r="P579" s="257">
        <f t="shared" ref="P579:P642" si="46">IFERROR(N579-(O579/100)*N579,"")</f>
        <v>1.6546254234666278</v>
      </c>
      <c r="Q579" s="257">
        <f>IFERROR(INDEX('Both teabags AfterDry'!$D$2:$D$2000,MATCH(L579,'Both teabags AfterDry'!$A$2:$A$2000,0)),"")</f>
        <v>0.66439999999999999</v>
      </c>
      <c r="R579" s="257">
        <f>IFERROR(IF(Q579&gt;0,Q579-(TBIcalc!$Q$9),""),"")</f>
        <v>0.51380000000000003</v>
      </c>
      <c r="S579" s="268">
        <f>IFERROR(INDEX('Ashed teabags dry'!$K$2:$K$2000,MATCH(L579,'Ashed teabags dry'!$A$2:$A$2000,0)),"")</f>
        <v>17.053529133112047</v>
      </c>
      <c r="T579" s="268">
        <f t="shared" ref="T579:T642" si="47">IFERROR(R579-(S579/100)*R579,"")</f>
        <v>0.42617896731407034</v>
      </c>
      <c r="U579" s="258">
        <f>IF('Dry_Litterbag Placem_Collection'!E140="","",'Dry_Litterbag Placem_Collection'!E140)</f>
        <v>42939</v>
      </c>
      <c r="V579" s="258">
        <f>IF('Dry_Litterbag Placem_Collection'!G140="","",'Dry_Litterbag Placem_Collection'!G140)</f>
        <v>43008</v>
      </c>
      <c r="W579" s="259">
        <f t="shared" si="45"/>
        <v>69</v>
      </c>
      <c r="X579" s="257">
        <f t="shared" ref="X579:X642" si="48">IFERROR(N579-R579,"")</f>
        <v>1.2373999999999998</v>
      </c>
      <c r="Y579" s="257">
        <f t="shared" ref="Y579:Y642" si="49">IFERROR(P579-T579,"")</f>
        <v>1.2284464561525574</v>
      </c>
      <c r="Z579" s="261">
        <f>IFERROR(INDEX([3]Rainfall_Dry!$O$2:$O$217,MATCH(C579, [3]Rainfall_Dry!$A$2:$A$217,0)),"")</f>
        <v>136.27214243</v>
      </c>
      <c r="AA579" s="250">
        <v>33.96</v>
      </c>
      <c r="AB579" s="250">
        <v>8.9200000000000017</v>
      </c>
      <c r="AC579" s="250">
        <v>57.12</v>
      </c>
      <c r="AD579" s="251" t="s">
        <v>2651</v>
      </c>
      <c r="AE579" s="250">
        <v>3.0720551996057202</v>
      </c>
      <c r="AF579">
        <f>IF('WetLitterbags placem_collection'!AB140="","",'WetLitterbags placem_collection'!AB140)</f>
        <v>2.8</v>
      </c>
      <c r="AG579">
        <f>IF('WetLitterbags placem_collection'!Z140="","",'WetLitterbags placem_collection'!Z140)</f>
        <v>26.4</v>
      </c>
      <c r="AH579" s="236" t="str">
        <f>IF('WetLitterbags placem_collection'!AA140="","",'WetLitterbags placem_collection'!AA140)</f>
        <v>G</v>
      </c>
      <c r="AI579">
        <f>IF('WetLitterbags placem_collection'!AC140="","",'WetLitterbags placem_collection'!AC140)</f>
        <v>1</v>
      </c>
      <c r="AJ579">
        <f>IFERROR(AVERAGE('Dry_Litterbag Placem_Collection'!O140,'Dry_Litterbag Placem_Collection'!R140),"")</f>
        <v>7.05</v>
      </c>
      <c r="AK579" s="261">
        <f>IFERROR(AVERAGE('Dry_Litterbag Placem_Collection'!N140,'Dry_Litterbag Placem_Collection'!Q140),"")</f>
        <v>28.799999999999997</v>
      </c>
      <c r="AL579" s="260">
        <f>INDEX([2]Coordinates!$B$2:$B$197,MATCH(I579,[2]Coordinates!$J$2:$J$197,0))</f>
        <v>-2.3485449790000001</v>
      </c>
      <c r="AM579" s="260">
        <f>INDEX([2]Coordinates!$C$2:$C$197,MATCH(I579,[2]Coordinates!$J$2:$J$197,0))</f>
        <v>34.050146980000001</v>
      </c>
      <c r="AN579" s="260" t="str">
        <f>IF(ISNUMBER(SEARCH("C", 'Dry_Litterbag Placem_Collection'!U140)),"YES","NO")</f>
        <v>NO</v>
      </c>
      <c r="AO579" s="260" t="str">
        <f>IF(ISNUMBER(SEARCH("H", 'Dry_Litterbag Placem_Collection'!U140)),"YES","NO")</f>
        <v>NO</v>
      </c>
      <c r="AP579" s="260" t="str">
        <f>IF(ISNUMBER(SEARCH("R", 'Dry_Litterbag Placem_Collection'!U140)),"YES","NO")</f>
        <v>NO</v>
      </c>
    </row>
    <row r="580" spans="1:42" ht="15" customHeight="1">
      <c r="A580" t="s">
        <v>3248</v>
      </c>
      <c r="B580" s="252" t="s">
        <v>2643</v>
      </c>
      <c r="C580" s="253">
        <f>'Dry_Litterbag Placem_Collection'!A141</f>
        <v>139</v>
      </c>
      <c r="D580" s="253" t="str">
        <f>'Dry_Litterbag Placem_Collection'!B141</f>
        <v xml:space="preserve">Mwantimba
</v>
      </c>
      <c r="E580" s="253" t="s">
        <v>2454</v>
      </c>
      <c r="F580" s="253" t="s">
        <v>20</v>
      </c>
      <c r="G580" s="253">
        <v>2</v>
      </c>
      <c r="H580" s="253" t="s">
        <v>3123</v>
      </c>
      <c r="I580" s="254" t="str">
        <f>'Dry_Litterbag Placem_Collection'!C141</f>
        <v>Wet_P2_T3</v>
      </c>
      <c r="J580" s="263" t="s">
        <v>2932</v>
      </c>
      <c r="K580" s="256" t="s">
        <v>1147</v>
      </c>
      <c r="L580" s="253" t="str">
        <f>IF(ISBLANK('Dry_Litterbag Placem_Collection'!L141),"","G"&amp;""&amp;'Dry_Litterbag Placem_Collection'!L141)</f>
        <v>G868</v>
      </c>
      <c r="M580" s="257">
        <f>IFERROR(INDEX('Green_rooibos initial weight'!$C$5:$C$2000,MATCH(L580, 'Green_rooibos initial weight'!$A$5:$A$2000,0)),"")</f>
        <v>1.95</v>
      </c>
      <c r="N580" s="257">
        <f>IFERROR(M580-(TBIcalc!$Q$9+TBIcalc!$Q$10),"")</f>
        <v>1.7001999999999999</v>
      </c>
      <c r="O580" s="378">
        <f>AVERAGE(Ashed_controlls!$K$2:$K$11)</f>
        <v>5.5147656768714146</v>
      </c>
      <c r="P580" s="257">
        <f t="shared" si="46"/>
        <v>1.6064379539618321</v>
      </c>
      <c r="Q580" s="257">
        <f>IFERROR(INDEX('Both teabags AfterDry'!$D$2:$D$2000,MATCH(L580,'Both teabags AfterDry'!$A$2:$A$2000,0)),"")</f>
        <v>0.71699999999999997</v>
      </c>
      <c r="R580" s="257">
        <f>IFERROR(IF(Q580&gt;0,Q580-(TBIcalc!$Q$9),""),"")</f>
        <v>0.56640000000000001</v>
      </c>
      <c r="S580" s="268">
        <f>IFERROR(INDEX('Ashed teabags dry'!$K$2:$K$2000,MATCH(L580,'Ashed teabags dry'!$A$2:$A$2000,0)),"")</f>
        <v>21.365853658537009</v>
      </c>
      <c r="T580" s="268">
        <f t="shared" si="47"/>
        <v>0.44538380487804641</v>
      </c>
      <c r="U580" s="258">
        <f>IF('Dry_Litterbag Placem_Collection'!E141="","",'Dry_Litterbag Placem_Collection'!E141)</f>
        <v>42939</v>
      </c>
      <c r="V580" s="258">
        <f>IF('Dry_Litterbag Placem_Collection'!G141="","",'Dry_Litterbag Placem_Collection'!G141)</f>
        <v>43008</v>
      </c>
      <c r="W580" s="259">
        <f t="shared" si="45"/>
        <v>69</v>
      </c>
      <c r="X580" s="257">
        <f t="shared" si="48"/>
        <v>1.1337999999999999</v>
      </c>
      <c r="Y580" s="257">
        <f t="shared" si="49"/>
        <v>1.1610541490837858</v>
      </c>
      <c r="Z580" s="261">
        <f>IFERROR(INDEX([3]Rainfall_Dry!$O$2:$O$217,MATCH(C580, [3]Rainfall_Dry!$A$2:$A$217,0)),"")</f>
        <v>136.27214243</v>
      </c>
      <c r="AA580" s="250">
        <v>33.96</v>
      </c>
      <c r="AB580" s="250">
        <v>8.9200000000000017</v>
      </c>
      <c r="AC580" s="250">
        <v>57.12</v>
      </c>
      <c r="AD580" s="251" t="s">
        <v>2651</v>
      </c>
      <c r="AE580" s="250">
        <v>4.0720551996057202</v>
      </c>
      <c r="AF580">
        <f>IF('WetLitterbags placem_collection'!AB141="","",'WetLitterbags placem_collection'!AB141)</f>
        <v>5.7</v>
      </c>
      <c r="AG580">
        <f>IF('WetLitterbags placem_collection'!Z141="","",'WetLitterbags placem_collection'!Z141)</f>
        <v>19.399999999999999</v>
      </c>
      <c r="AH580" s="236" t="str">
        <f>IF('WetLitterbags placem_collection'!AA141="","",'WetLitterbags placem_collection'!AA141)</f>
        <v>G</v>
      </c>
      <c r="AI580">
        <f>IF('WetLitterbags placem_collection'!AC141="","",'WetLitterbags placem_collection'!AC141)</f>
        <v>1</v>
      </c>
      <c r="AJ580">
        <f>IFERROR(AVERAGE('Dry_Litterbag Placem_Collection'!O141,'Dry_Litterbag Placem_Collection'!R141),"")</f>
        <v>11.200000000000001</v>
      </c>
      <c r="AK580" s="261">
        <f>IFERROR(AVERAGE('Dry_Litterbag Placem_Collection'!N141,'Dry_Litterbag Placem_Collection'!Q141),"")</f>
        <v>28.15</v>
      </c>
      <c r="AL580" s="260">
        <f>INDEX([2]Coordinates!$B$2:$B$197,MATCH(I580,[2]Coordinates!$J$2:$J$197,0))</f>
        <v>-2.3487209990000002</v>
      </c>
      <c r="AM580" s="260">
        <f>INDEX([2]Coordinates!$C$2:$C$197,MATCH(I580,[2]Coordinates!$J$2:$J$197,0))</f>
        <v>34.050128039999997</v>
      </c>
      <c r="AN580" s="260" t="str">
        <f>IF(ISNUMBER(SEARCH("C", 'Dry_Litterbag Placem_Collection'!U141)),"YES","NO")</f>
        <v>NO</v>
      </c>
      <c r="AO580" s="260" t="str">
        <f>IF(ISNUMBER(SEARCH("H", 'Dry_Litterbag Placem_Collection'!U141)),"YES","NO")</f>
        <v>NO</v>
      </c>
      <c r="AP580" s="260" t="str">
        <f>IF(ISNUMBER(SEARCH("R", 'Dry_Litterbag Placem_Collection'!U141)),"YES","NO")</f>
        <v>NO</v>
      </c>
    </row>
    <row r="581" spans="1:42" ht="15" customHeight="1">
      <c r="A581" t="s">
        <v>3248</v>
      </c>
      <c r="B581" s="252" t="s">
        <v>2643</v>
      </c>
      <c r="C581" s="253">
        <f>'Dry_Litterbag Placem_Collection'!A142</f>
        <v>140</v>
      </c>
      <c r="D581" s="253" t="str">
        <f>'Dry_Litterbag Placem_Collection'!B142</f>
        <v xml:space="preserve">Mwantimba
</v>
      </c>
      <c r="E581" s="253" t="s">
        <v>2454</v>
      </c>
      <c r="F581" s="253" t="s">
        <v>20</v>
      </c>
      <c r="G581" s="253">
        <v>2</v>
      </c>
      <c r="H581" s="253" t="s">
        <v>3123</v>
      </c>
      <c r="I581" s="254" t="str">
        <f>'Dry_Litterbag Placem_Collection'!C142</f>
        <v>Wet_P2_T4</v>
      </c>
      <c r="J581" s="263" t="s">
        <v>2932</v>
      </c>
      <c r="K581" s="256" t="s">
        <v>1147</v>
      </c>
      <c r="L581" s="253" t="str">
        <f>IF(ISBLANK('Dry_Litterbag Placem_Collection'!L142),"","G"&amp;""&amp;'Dry_Litterbag Placem_Collection'!L142)</f>
        <v>G792</v>
      </c>
      <c r="M581" s="257">
        <f>IFERROR(INDEX('Green_rooibos initial weight'!$C$5:$C$2000,MATCH(L581, 'Green_rooibos initial weight'!$A$5:$A$2000,0)),"")</f>
        <v>2.0550000000000002</v>
      </c>
      <c r="N581" s="257">
        <f>IFERROR(M581-(TBIcalc!$Q$9+TBIcalc!$Q$10),"")</f>
        <v>1.8052000000000001</v>
      </c>
      <c r="O581" s="378">
        <f>AVERAGE(Ashed_controlls!$K$2:$K$11)</f>
        <v>5.5147656768714146</v>
      </c>
      <c r="P581" s="257">
        <f t="shared" si="46"/>
        <v>1.7056474500011174</v>
      </c>
      <c r="Q581" s="257">
        <f>IFERROR(INDEX('Both teabags AfterDry'!$D$2:$D$2000,MATCH(L581,'Both teabags AfterDry'!$A$2:$A$2000,0)),"")</f>
        <v>0.87409999999999999</v>
      </c>
      <c r="R581" s="257">
        <f>IFERROR(IF(Q581&gt;0,Q581-(TBIcalc!$Q$9),""),"")</f>
        <v>0.72350000000000003</v>
      </c>
      <c r="S581" s="268">
        <f>IFERROR(INDEX('Ashed teabags dry'!$K$2:$K$2000,MATCH(L581,'Ashed teabags dry'!$A$2:$A$2000,0)),"")</f>
        <v>15.89673913043449</v>
      </c>
      <c r="T581" s="268">
        <f t="shared" si="47"/>
        <v>0.60848709239130649</v>
      </c>
      <c r="U581" s="258">
        <f>IF('Dry_Litterbag Placem_Collection'!E142="","",'Dry_Litterbag Placem_Collection'!E142)</f>
        <v>42939</v>
      </c>
      <c r="V581" s="258">
        <f>IF('Dry_Litterbag Placem_Collection'!G142="","",'Dry_Litterbag Placem_Collection'!G142)</f>
        <v>43008</v>
      </c>
      <c r="W581" s="259">
        <f t="shared" si="45"/>
        <v>69</v>
      </c>
      <c r="X581" s="257">
        <f t="shared" si="48"/>
        <v>1.0817000000000001</v>
      </c>
      <c r="Y581" s="257">
        <f t="shared" si="49"/>
        <v>1.0971603576098108</v>
      </c>
      <c r="Z581" s="261">
        <f>IFERROR(INDEX([3]Rainfall_Dry!$O$2:$O$217,MATCH(C581, [3]Rainfall_Dry!$A$2:$A$217,0)),"")</f>
        <v>136.27214243</v>
      </c>
      <c r="AA581" s="250">
        <v>33.96</v>
      </c>
      <c r="AB581" s="250">
        <v>8.9200000000000017</v>
      </c>
      <c r="AC581" s="250">
        <v>57.12</v>
      </c>
      <c r="AD581" s="251" t="s">
        <v>2651</v>
      </c>
      <c r="AE581" s="250">
        <v>5.0720551996057202</v>
      </c>
      <c r="AF581">
        <f>IF('WetLitterbags placem_collection'!AB142="","",'WetLitterbags placem_collection'!AB142)</f>
        <v>1.4</v>
      </c>
      <c r="AG581">
        <f>IF('WetLitterbags placem_collection'!Z142="","",'WetLitterbags placem_collection'!Z142)</f>
        <v>33.4</v>
      </c>
      <c r="AH581" s="236" t="str">
        <f>IF('WetLitterbags placem_collection'!AA142="","",'WetLitterbags placem_collection'!AA142)</f>
        <v>G</v>
      </c>
      <c r="AI581">
        <f>IF('WetLitterbags placem_collection'!AC142="","",'WetLitterbags placem_collection'!AC142)</f>
        <v>1</v>
      </c>
      <c r="AJ581">
        <f>IFERROR(AVERAGE('Dry_Litterbag Placem_Collection'!O142,'Dry_Litterbag Placem_Collection'!R142),"")</f>
        <v>7.3000000000000007</v>
      </c>
      <c r="AK581" s="261">
        <f>IFERROR(AVERAGE('Dry_Litterbag Placem_Collection'!N142,'Dry_Litterbag Placem_Collection'!Q142),"")</f>
        <v>28</v>
      </c>
      <c r="AL581" s="260">
        <f>INDEX([2]Coordinates!$B$2:$B$197,MATCH(I581,[2]Coordinates!$J$2:$J$197,0))</f>
        <v>-2.3486250270000002</v>
      </c>
      <c r="AM581" s="260">
        <f>INDEX([2]Coordinates!$C$2:$C$197,MATCH(I581,[2]Coordinates!$J$2:$J$197,0))</f>
        <v>34.050070959999999</v>
      </c>
      <c r="AN581" s="260" t="str">
        <f>IF(ISNUMBER(SEARCH("C", 'Dry_Litterbag Placem_Collection'!U142)),"YES","NO")</f>
        <v>NO</v>
      </c>
      <c r="AO581" s="260" t="str">
        <f>IF(ISNUMBER(SEARCH("H", 'Dry_Litterbag Placem_Collection'!U142)),"YES","NO")</f>
        <v>NO</v>
      </c>
      <c r="AP581" s="260" t="str">
        <f>IF(ISNUMBER(SEARCH("R", 'Dry_Litterbag Placem_Collection'!U142)),"YES","NO")</f>
        <v>NO</v>
      </c>
    </row>
    <row r="582" spans="1:42" ht="15" customHeight="1">
      <c r="A582" t="s">
        <v>3248</v>
      </c>
      <c r="B582" s="252" t="s">
        <v>2643</v>
      </c>
      <c r="C582" s="253">
        <f>'Dry_Litterbag Placem_Collection'!A143</f>
        <v>141</v>
      </c>
      <c r="D582" s="253" t="str">
        <f>'Dry_Litterbag Placem_Collection'!B143</f>
        <v xml:space="preserve">Mwantimba
</v>
      </c>
      <c r="E582" s="253" t="s">
        <v>2454</v>
      </c>
      <c r="F582" s="253" t="s">
        <v>20</v>
      </c>
      <c r="G582" s="253">
        <v>2</v>
      </c>
      <c r="H582" s="253" t="s">
        <v>3123</v>
      </c>
      <c r="I582" s="254" t="str">
        <f>'Dry_Litterbag Placem_Collection'!C143</f>
        <v>Wet_P2_T5</v>
      </c>
      <c r="J582" s="263" t="s">
        <v>2932</v>
      </c>
      <c r="K582" s="256" t="s">
        <v>1147</v>
      </c>
      <c r="L582" s="253" t="str">
        <f>IF(ISBLANK('Dry_Litterbag Placem_Collection'!L143),"","G"&amp;""&amp;'Dry_Litterbag Placem_Collection'!L143)</f>
        <v/>
      </c>
      <c r="M582" s="257" t="str">
        <f>IFERROR(INDEX('Green_rooibos initial weight'!$C$5:$C$2000,MATCH(L582, 'Green_rooibos initial weight'!$A$5:$A$2000,0)),"")</f>
        <v/>
      </c>
      <c r="N582" s="257" t="str">
        <f>IFERROR(M582-(TBIcalc!$Q$9+TBIcalc!$Q$10),"")</f>
        <v/>
      </c>
      <c r="O582" s="378">
        <f>AVERAGE(Ashed_controlls!$K$2:$K$11)</f>
        <v>5.5147656768714146</v>
      </c>
      <c r="P582" s="257" t="str">
        <f t="shared" si="46"/>
        <v/>
      </c>
      <c r="Q582" s="257" t="str">
        <f>IFERROR(INDEX('Both teabags AfterDry'!$D$2:$D$2000,MATCH(L582,'Both teabags AfterDry'!$A$2:$A$2000,0)),"")</f>
        <v/>
      </c>
      <c r="R582" s="257" t="str">
        <f>IFERROR(IF(Q582&gt;0,Q582-(TBIcalc!$Q$9),""),"")</f>
        <v/>
      </c>
      <c r="S582" s="268" t="str">
        <f>IFERROR(INDEX('Ashed teabags dry'!$K$2:$K$2000,MATCH(L582,'Ashed teabags dry'!$A$2:$A$2000,0)),"")</f>
        <v/>
      </c>
      <c r="T582" s="268" t="str">
        <f t="shared" si="47"/>
        <v/>
      </c>
      <c r="U582" s="258" t="str">
        <f>IF('Dry_Litterbag Placem_Collection'!E143="","",'Dry_Litterbag Placem_Collection'!E143)</f>
        <v/>
      </c>
      <c r="V582" s="258" t="str">
        <f>IF('Dry_Litterbag Placem_Collection'!G143="","",'Dry_Litterbag Placem_Collection'!G143)</f>
        <v/>
      </c>
      <c r="W582" s="259" t="str">
        <f t="shared" si="45"/>
        <v/>
      </c>
      <c r="X582" s="257" t="str">
        <f t="shared" si="48"/>
        <v/>
      </c>
      <c r="Y582" s="257" t="str">
        <f t="shared" si="49"/>
        <v/>
      </c>
      <c r="Z582" s="261" t="str">
        <f>IFERROR(INDEX([3]Rainfall_Dry!$O$2:$O$217,MATCH(C582, [3]Rainfall_Dry!$A$2:$A$217,0)),"")</f>
        <v/>
      </c>
      <c r="AA582" s="250">
        <v>33.96</v>
      </c>
      <c r="AB582" s="250">
        <v>8.9200000000000017</v>
      </c>
      <c r="AC582" s="250">
        <v>57.12</v>
      </c>
      <c r="AD582" s="251" t="s">
        <v>2651</v>
      </c>
      <c r="AE582" s="250">
        <v>6.0720551996057202</v>
      </c>
      <c r="AF582">
        <f>IF('WetLitterbags placem_collection'!AB143="","",'WetLitterbags placem_collection'!AB143)</f>
        <v>1.4</v>
      </c>
      <c r="AG582">
        <f>IF('WetLitterbags placem_collection'!Z143="","",'WetLitterbags placem_collection'!Z143)</f>
        <v>28.4</v>
      </c>
      <c r="AH582" s="236" t="str">
        <f>IF('WetLitterbags placem_collection'!AA143="","",'WetLitterbags placem_collection'!AA143)</f>
        <v>G</v>
      </c>
      <c r="AI582">
        <f>IF('WetLitterbags placem_collection'!AC143="","",'WetLitterbags placem_collection'!AC143)</f>
        <v>1</v>
      </c>
      <c r="AJ582" t="str">
        <f>IFERROR(AVERAGE('Dry_Litterbag Placem_Collection'!O143,'Dry_Litterbag Placem_Collection'!R143),"")</f>
        <v/>
      </c>
      <c r="AK582" s="261" t="str">
        <f>IFERROR(AVERAGE('Dry_Litterbag Placem_Collection'!N143,'Dry_Litterbag Placem_Collection'!Q143),"")</f>
        <v/>
      </c>
      <c r="AL582" s="260">
        <f>INDEX([2]Coordinates!$B$2:$B$197,MATCH(I582,[2]Coordinates!$J$2:$J$197,0))</f>
        <v>-2.3486060000000002</v>
      </c>
      <c r="AM582" s="260">
        <f>INDEX([2]Coordinates!$C$2:$C$197,MATCH(I582,[2]Coordinates!$J$2:$J$197,0))</f>
        <v>34.050010020000002</v>
      </c>
      <c r="AN582" s="260" t="str">
        <f>IF(ISNUMBER(SEARCH("C", 'Dry_Litterbag Placem_Collection'!U143)),"YES","NO")</f>
        <v>NO</v>
      </c>
      <c r="AO582" s="260" t="str">
        <f>IF(ISNUMBER(SEARCH("H", 'Dry_Litterbag Placem_Collection'!U143)),"YES","NO")</f>
        <v>NO</v>
      </c>
      <c r="AP582" s="260" t="str">
        <f>IF(ISNUMBER(SEARCH("R", 'Dry_Litterbag Placem_Collection'!U143)),"YES","NO")</f>
        <v>NO</v>
      </c>
    </row>
    <row r="583" spans="1:42" ht="15" customHeight="1">
      <c r="A583" t="s">
        <v>3248</v>
      </c>
      <c r="B583" s="252" t="s">
        <v>2643</v>
      </c>
      <c r="C583" s="253">
        <f>'Dry_Litterbag Placem_Collection'!A144</f>
        <v>142</v>
      </c>
      <c r="D583" s="253" t="str">
        <f>'Dry_Litterbag Placem_Collection'!B144</f>
        <v xml:space="preserve">Mwantimba
</v>
      </c>
      <c r="E583" s="253" t="s">
        <v>2454</v>
      </c>
      <c r="F583" s="253" t="s">
        <v>20</v>
      </c>
      <c r="G583" s="253">
        <v>2</v>
      </c>
      <c r="H583" s="253" t="s">
        <v>3123</v>
      </c>
      <c r="I583" s="254" t="str">
        <f>'Dry_Litterbag Placem_Collection'!C144</f>
        <v>Wet_P2_T6</v>
      </c>
      <c r="J583" s="263" t="s">
        <v>2932</v>
      </c>
      <c r="K583" s="256" t="s">
        <v>1147</v>
      </c>
      <c r="L583" s="253" t="str">
        <f>IF(ISBLANK('Dry_Litterbag Placem_Collection'!L144),"","G"&amp;""&amp;'Dry_Litterbag Placem_Collection'!L144)</f>
        <v>G711</v>
      </c>
      <c r="M583" s="257">
        <f>IFERROR(INDEX('Green_rooibos initial weight'!$C$5:$C$2000,MATCH(L583, 'Green_rooibos initial weight'!$A$5:$A$2000,0)),"")</f>
        <v>2.1070000000000002</v>
      </c>
      <c r="N583" s="257">
        <f>IFERROR(M583-(TBIcalc!$Q$9+TBIcalc!$Q$10),"")</f>
        <v>1.8572000000000002</v>
      </c>
      <c r="O583" s="378">
        <f>AVERAGE(Ashed_controlls!$K$2:$K$11)</f>
        <v>5.5147656768714146</v>
      </c>
      <c r="P583" s="257">
        <f t="shared" si="46"/>
        <v>1.7547797718491442</v>
      </c>
      <c r="Q583" s="257" t="str">
        <f>IFERROR(INDEX('Both teabags AfterDry'!$D$2:$D$2000,MATCH(L583,'Both teabags AfterDry'!$A$2:$A$2000,0)),"")</f>
        <v/>
      </c>
      <c r="R583" s="257" t="str">
        <f>IFERROR(IF(Q583&gt;0,Q583-(TBIcalc!$Q$9),""),"")</f>
        <v/>
      </c>
      <c r="S583" s="268" t="str">
        <f>IFERROR(INDEX('Ashed teabags dry'!$K$2:$K$2000,MATCH(L583,'Ashed teabags dry'!$A$2:$A$2000,0)),"")</f>
        <v/>
      </c>
      <c r="T583" s="268" t="str">
        <f t="shared" si="47"/>
        <v/>
      </c>
      <c r="U583" s="258">
        <f>IF('Dry_Litterbag Placem_Collection'!E144="","",'Dry_Litterbag Placem_Collection'!E144)</f>
        <v>42939</v>
      </c>
      <c r="V583" s="258">
        <f>IF('Dry_Litterbag Placem_Collection'!G144="","",'Dry_Litterbag Placem_Collection'!G144)</f>
        <v>43008</v>
      </c>
      <c r="W583" s="259">
        <f t="shared" si="45"/>
        <v>69</v>
      </c>
      <c r="X583" s="257" t="str">
        <f t="shared" si="48"/>
        <v/>
      </c>
      <c r="Y583" s="257" t="str">
        <f t="shared" si="49"/>
        <v/>
      </c>
      <c r="Z583" s="261">
        <f>IFERROR(INDEX([3]Rainfall_Dry!$O$2:$O$217,MATCH(C583, [3]Rainfall_Dry!$A$2:$A$217,0)),"")</f>
        <v>136.27214243</v>
      </c>
      <c r="AA583" s="250">
        <v>33.96</v>
      </c>
      <c r="AB583" s="250">
        <v>8.9200000000000017</v>
      </c>
      <c r="AC583" s="250">
        <v>57.12</v>
      </c>
      <c r="AD583" s="251" t="s">
        <v>2651</v>
      </c>
      <c r="AE583" s="250">
        <v>7.0720551996057202</v>
      </c>
      <c r="AF583">
        <f>IF('WetLitterbags placem_collection'!AB144="","",'WetLitterbags placem_collection'!AB144)</f>
        <v>1.7</v>
      </c>
      <c r="AG583">
        <f>IF('WetLitterbags placem_collection'!Z144="","",'WetLitterbags placem_collection'!Z144)</f>
        <v>33.799999999999997</v>
      </c>
      <c r="AH583" s="236" t="str">
        <f>IF('WetLitterbags placem_collection'!AA144="","",'WetLitterbags placem_collection'!AA144)</f>
        <v>G</v>
      </c>
      <c r="AI583">
        <f>IF('WetLitterbags placem_collection'!AC144="","",'WetLitterbags placem_collection'!AC144)</f>
        <v>1</v>
      </c>
      <c r="AJ583">
        <f>IFERROR(AVERAGE('Dry_Litterbag Placem_Collection'!O144,'Dry_Litterbag Placem_Collection'!R144),"")</f>
        <v>8.4499999999999993</v>
      </c>
      <c r="AK583" s="261">
        <f>IFERROR(AVERAGE('Dry_Litterbag Placem_Collection'!N144,'Dry_Litterbag Placem_Collection'!Q144),"")</f>
        <v>28.4</v>
      </c>
      <c r="AL583" s="260">
        <f>INDEX([2]Coordinates!$B$2:$B$197,MATCH(I583,[2]Coordinates!$J$2:$J$197,0))</f>
        <v>-2.348618992</v>
      </c>
      <c r="AM583" s="260">
        <f>INDEX([2]Coordinates!$C$2:$C$197,MATCH(I583,[2]Coordinates!$J$2:$J$197,0))</f>
        <v>34.049996030000003</v>
      </c>
      <c r="AN583" s="260" t="str">
        <f>IF(ISNUMBER(SEARCH("C", 'Dry_Litterbag Placem_Collection'!U144)),"YES","NO")</f>
        <v>NO</v>
      </c>
      <c r="AO583" s="260" t="str">
        <f>IF(ISNUMBER(SEARCH("H", 'Dry_Litterbag Placem_Collection'!U144)),"YES","NO")</f>
        <v>NO</v>
      </c>
      <c r="AP583" s="260" t="str">
        <f>IF(ISNUMBER(SEARCH("R", 'Dry_Litterbag Placem_Collection'!U144)),"YES","NO")</f>
        <v>YES</v>
      </c>
    </row>
    <row r="584" spans="1:42" ht="15" customHeight="1">
      <c r="A584" t="s">
        <v>3248</v>
      </c>
      <c r="B584" s="252" t="s">
        <v>2643</v>
      </c>
      <c r="C584" s="253">
        <f>'Dry_Litterbag Placem_Collection'!A145</f>
        <v>143</v>
      </c>
      <c r="D584" s="253" t="str">
        <f>'Dry_Litterbag Placem_Collection'!B145</f>
        <v xml:space="preserve">Mwantimba
</v>
      </c>
      <c r="E584" s="253" t="s">
        <v>2454</v>
      </c>
      <c r="F584" s="253" t="s">
        <v>20</v>
      </c>
      <c r="G584" s="253">
        <v>2</v>
      </c>
      <c r="H584" s="253" t="s">
        <v>3123</v>
      </c>
      <c r="I584" s="254" t="str">
        <f>'Dry_Litterbag Placem_Collection'!C145</f>
        <v>Wet_P2_T7</v>
      </c>
      <c r="J584" s="263" t="s">
        <v>2932</v>
      </c>
      <c r="K584" s="256" t="s">
        <v>1147</v>
      </c>
      <c r="L584" s="253" t="str">
        <f>IF(ISBLANK('Dry_Litterbag Placem_Collection'!L145),"","G"&amp;""&amp;'Dry_Litterbag Placem_Collection'!L145)</f>
        <v>G205</v>
      </c>
      <c r="M584" s="257">
        <f>IFERROR(INDEX('Green_rooibos initial weight'!$C$5:$C$2000,MATCH(L584, 'Green_rooibos initial weight'!$A$5:$A$2000,0)),"")</f>
        <v>2.1240000000000001</v>
      </c>
      <c r="N584" s="257">
        <f>IFERROR(M584-(TBIcalc!$Q$9+TBIcalc!$Q$10),"")</f>
        <v>1.8742000000000001</v>
      </c>
      <c r="O584" s="378">
        <f>AVERAGE(Ashed_controlls!$K$2:$K$11)</f>
        <v>5.5147656768714146</v>
      </c>
      <c r="P584" s="257">
        <f t="shared" si="46"/>
        <v>1.770842261684076</v>
      </c>
      <c r="Q584" s="257">
        <f>IFERROR(INDEX('Both teabags AfterDry'!$D$2:$D$2000,MATCH(L584,'Both teabags AfterDry'!$A$2:$A$2000,0)),"")</f>
        <v>0.82040000000000002</v>
      </c>
      <c r="R584" s="257">
        <f>IFERROR(IF(Q584&gt;0,Q584-(TBIcalc!$Q$9),""),"")</f>
        <v>0.66979999999999995</v>
      </c>
      <c r="S584" s="268">
        <f>IFERROR(INDEX('Ashed teabags dry'!$K$2:$K$2000,MATCH(L584,'Ashed teabags dry'!$A$2:$A$2000,0)),"")</f>
        <v>18.392504930966592</v>
      </c>
      <c r="T584" s="268">
        <f t="shared" si="47"/>
        <v>0.54660700197238576</v>
      </c>
      <c r="U584" s="258">
        <f>IF('Dry_Litterbag Placem_Collection'!E145="","",'Dry_Litterbag Placem_Collection'!E145)</f>
        <v>42939</v>
      </c>
      <c r="V584" s="258">
        <f>IF('Dry_Litterbag Placem_Collection'!G145="","",'Dry_Litterbag Placem_Collection'!G145)</f>
        <v>43008</v>
      </c>
      <c r="W584" s="259">
        <f t="shared" si="45"/>
        <v>69</v>
      </c>
      <c r="X584" s="257">
        <f t="shared" si="48"/>
        <v>1.2044000000000001</v>
      </c>
      <c r="Y584" s="257">
        <f t="shared" si="49"/>
        <v>1.2242352597116901</v>
      </c>
      <c r="Z584" s="261">
        <f>IFERROR(INDEX([3]Rainfall_Dry!$O$2:$O$217,MATCH(C584, [3]Rainfall_Dry!$A$2:$A$217,0)),"")</f>
        <v>136.27214243</v>
      </c>
      <c r="AA584" s="250">
        <v>33.96</v>
      </c>
      <c r="AB584" s="250">
        <v>8.9200000000000017</v>
      </c>
      <c r="AC584" s="250">
        <v>57.12</v>
      </c>
      <c r="AD584" s="251" t="s">
        <v>2651</v>
      </c>
      <c r="AE584" s="250">
        <v>8.0720551996057193</v>
      </c>
      <c r="AF584">
        <f>IF('WetLitterbags placem_collection'!AB145="","",'WetLitterbags placem_collection'!AB145)</f>
        <v>2</v>
      </c>
      <c r="AG584">
        <f>IF('WetLitterbags placem_collection'!Z145="","",'WetLitterbags placem_collection'!Z145)</f>
        <v>23.4</v>
      </c>
      <c r="AH584" s="236" t="str">
        <f>IF('WetLitterbags placem_collection'!AA145="","",'WetLitterbags placem_collection'!AA145)</f>
        <v>G</v>
      </c>
      <c r="AI584">
        <f>IF('WetLitterbags placem_collection'!AC145="","",'WetLitterbags placem_collection'!AC145)</f>
        <v>1</v>
      </c>
      <c r="AJ584">
        <f>IFERROR(AVERAGE('Dry_Litterbag Placem_Collection'!O145,'Dry_Litterbag Placem_Collection'!R145),"")</f>
        <v>12.5</v>
      </c>
      <c r="AK584" s="261">
        <f>IFERROR(AVERAGE('Dry_Litterbag Placem_Collection'!N145,'Dry_Litterbag Placem_Collection'!Q145),"")</f>
        <v>28</v>
      </c>
      <c r="AL584" s="260">
        <f>INDEX([2]Coordinates!$B$2:$B$197,MATCH(I584,[2]Coordinates!$J$2:$J$197,0))</f>
        <v>-2.3484970349999998</v>
      </c>
      <c r="AM584" s="260">
        <f>INDEX([2]Coordinates!$C$2:$C$197,MATCH(I584,[2]Coordinates!$J$2:$J$197,0))</f>
        <v>34.049979010000001</v>
      </c>
      <c r="AN584" s="260" t="str">
        <f>IF(ISNUMBER(SEARCH("C", 'Dry_Litterbag Placem_Collection'!U145)),"YES","NO")</f>
        <v>NO</v>
      </c>
      <c r="AO584" s="260" t="str">
        <f>IF(ISNUMBER(SEARCH("H", 'Dry_Litterbag Placem_Collection'!U145)),"YES","NO")</f>
        <v>NO</v>
      </c>
      <c r="AP584" s="260" t="str">
        <f>IF(ISNUMBER(SEARCH("R", 'Dry_Litterbag Placem_Collection'!U145)),"YES","NO")</f>
        <v>YES</v>
      </c>
    </row>
    <row r="585" spans="1:42" ht="15" customHeight="1">
      <c r="A585" t="s">
        <v>3248</v>
      </c>
      <c r="B585" s="252" t="s">
        <v>2643</v>
      </c>
      <c r="C585" s="253">
        <f>'Dry_Litterbag Placem_Collection'!A146</f>
        <v>144</v>
      </c>
      <c r="D585" s="253" t="str">
        <f>'Dry_Litterbag Placem_Collection'!B146</f>
        <v xml:space="preserve">Mwantimba
</v>
      </c>
      <c r="E585" s="253" t="s">
        <v>2454</v>
      </c>
      <c r="F585" s="253" t="s">
        <v>20</v>
      </c>
      <c r="G585" s="253">
        <v>2</v>
      </c>
      <c r="H585" s="253" t="s">
        <v>3123</v>
      </c>
      <c r="I585" s="254" t="str">
        <f>'Dry_Litterbag Placem_Collection'!C146</f>
        <v>Wet_P2_T8</v>
      </c>
      <c r="J585" s="263" t="s">
        <v>2932</v>
      </c>
      <c r="K585" s="256" t="s">
        <v>1147</v>
      </c>
      <c r="L585" s="253" t="str">
        <f>IF(ISBLANK('Dry_Litterbag Placem_Collection'!L146),"","G"&amp;""&amp;'Dry_Litterbag Placem_Collection'!L146)</f>
        <v>G384</v>
      </c>
      <c r="M585" s="257">
        <f>IFERROR(INDEX('Green_rooibos initial weight'!$C$5:$C$2000,MATCH(L585, 'Green_rooibos initial weight'!$A$5:$A$2000,0)),"")</f>
        <v>2.0499999999999998</v>
      </c>
      <c r="N585" s="257">
        <f>IFERROR(M585-(TBIcalc!$Q$9+TBIcalc!$Q$10),"")</f>
        <v>1.8001999999999998</v>
      </c>
      <c r="O585" s="378">
        <f>AVERAGE(Ashed_controlls!$K$2:$K$11)</f>
        <v>5.5147656768714146</v>
      </c>
      <c r="P585" s="257">
        <f t="shared" si="46"/>
        <v>1.7009231882849607</v>
      </c>
      <c r="Q585" s="257">
        <f>IFERROR(INDEX('Both teabags AfterDry'!$D$2:$D$2000,MATCH(L585,'Both teabags AfterDry'!$A$2:$A$2000,0)),"")</f>
        <v>0.73660000000000003</v>
      </c>
      <c r="R585" s="257">
        <f>IFERROR(IF(Q585&gt;0,Q585-(TBIcalc!$Q$9),""),"")</f>
        <v>0.58600000000000008</v>
      </c>
      <c r="S585" s="268">
        <f>IFERROR(INDEX('Ashed teabags dry'!$K$2:$K$2000,MATCH(L585,'Ashed teabags dry'!$A$2:$A$2000,0)),"")</f>
        <v>16.379310344827655</v>
      </c>
      <c r="T585" s="268">
        <f t="shared" si="47"/>
        <v>0.49001724137931002</v>
      </c>
      <c r="U585" s="258">
        <f>IF('Dry_Litterbag Placem_Collection'!E146="","",'Dry_Litterbag Placem_Collection'!E146)</f>
        <v>42939</v>
      </c>
      <c r="V585" s="258">
        <f>IF('Dry_Litterbag Placem_Collection'!G146="","",'Dry_Litterbag Placem_Collection'!G146)</f>
        <v>43008</v>
      </c>
      <c r="W585" s="259">
        <f t="shared" si="45"/>
        <v>69</v>
      </c>
      <c r="X585" s="257">
        <f t="shared" si="48"/>
        <v>1.2141999999999997</v>
      </c>
      <c r="Y585" s="257">
        <f t="shared" si="49"/>
        <v>1.2109059469056507</v>
      </c>
      <c r="Z585" s="261">
        <f>IFERROR(INDEX([3]Rainfall_Dry!$O$2:$O$217,MATCH(C585, [3]Rainfall_Dry!$A$2:$A$217,0)),"")</f>
        <v>136.27214243</v>
      </c>
      <c r="AA585" s="250">
        <v>33.96</v>
      </c>
      <c r="AB585" s="250">
        <v>8.9200000000000017</v>
      </c>
      <c r="AC585" s="250">
        <v>57.12</v>
      </c>
      <c r="AD585" s="251" t="s">
        <v>2651</v>
      </c>
      <c r="AE585" s="250">
        <v>9.0720551996057193</v>
      </c>
      <c r="AF585">
        <f>IF('WetLitterbags placem_collection'!AB146="","",'WetLitterbags placem_collection'!AB146)</f>
        <v>2.5</v>
      </c>
      <c r="AG585">
        <f>IF('WetLitterbags placem_collection'!Z146="","",'WetLitterbags placem_collection'!Z146)</f>
        <v>19.8</v>
      </c>
      <c r="AH585" s="236" t="str">
        <f>IF('WetLitterbags placem_collection'!AA146="","",'WetLitterbags placem_collection'!AA146)</f>
        <v>G</v>
      </c>
      <c r="AI585">
        <f>IF('WetLitterbags placem_collection'!AC146="","",'WetLitterbags placem_collection'!AC146)</f>
        <v>1</v>
      </c>
      <c r="AJ585">
        <f>IFERROR(AVERAGE('Dry_Litterbag Placem_Collection'!O146,'Dry_Litterbag Placem_Collection'!R146),"")</f>
        <v>9.4499999999999993</v>
      </c>
      <c r="AK585" s="261">
        <f>IFERROR(AVERAGE('Dry_Litterbag Placem_Collection'!N146,'Dry_Litterbag Placem_Collection'!Q146),"")</f>
        <v>29.15</v>
      </c>
      <c r="AL585" s="260">
        <f>INDEX([2]Coordinates!$B$2:$B$197,MATCH(I585,[2]Coordinates!$J$2:$J$197,0))</f>
        <v>-2.3486560399999998</v>
      </c>
      <c r="AM585" s="260">
        <f>INDEX([2]Coordinates!$C$2:$C$197,MATCH(I585,[2]Coordinates!$J$2:$J$197,0))</f>
        <v>34.049895020000001</v>
      </c>
      <c r="AN585" s="260" t="str">
        <f>IF(ISNUMBER(SEARCH("C", 'Dry_Litterbag Placem_Collection'!U146)),"YES","NO")</f>
        <v>NO</v>
      </c>
      <c r="AO585" s="260" t="str">
        <f>IF(ISNUMBER(SEARCH("H", 'Dry_Litterbag Placem_Collection'!U146)),"YES","NO")</f>
        <v>NO</v>
      </c>
      <c r="AP585" s="260" t="str">
        <f>IF(ISNUMBER(SEARCH("R", 'Dry_Litterbag Placem_Collection'!U146)),"YES","NO")</f>
        <v>NO</v>
      </c>
    </row>
    <row r="586" spans="1:42" ht="15" customHeight="1">
      <c r="A586" t="s">
        <v>3248</v>
      </c>
      <c r="B586" s="252" t="s">
        <v>2643</v>
      </c>
      <c r="C586" s="253">
        <f>'Dry_Litterbag Placem_Collection'!A147</f>
        <v>145</v>
      </c>
      <c r="D586" s="253" t="str">
        <f>'Dry_Litterbag Placem_Collection'!B147</f>
        <v xml:space="preserve">Mwantimba
</v>
      </c>
      <c r="E586" s="253" t="s">
        <v>2454</v>
      </c>
      <c r="F586" s="253" t="s">
        <v>20</v>
      </c>
      <c r="G586" s="253">
        <v>3</v>
      </c>
      <c r="H586" s="253" t="s">
        <v>3124</v>
      </c>
      <c r="I586" s="254" t="str">
        <f>'Dry_Litterbag Placem_Collection'!C147</f>
        <v>Wet_P3_T1</v>
      </c>
      <c r="J586" s="263" t="s">
        <v>2932</v>
      </c>
      <c r="K586" s="256" t="s">
        <v>1147</v>
      </c>
      <c r="L586" s="253" t="str">
        <f>IF(ISBLANK('Dry_Litterbag Placem_Collection'!L147),"","G"&amp;""&amp;'Dry_Litterbag Placem_Collection'!L147)</f>
        <v>G72</v>
      </c>
      <c r="M586" s="257">
        <f>IFERROR(INDEX('Green_rooibos initial weight'!$C$5:$C$2000,MATCH(L586, 'Green_rooibos initial weight'!$A$5:$A$2000,0)),"")</f>
        <v>2.0190000000000001</v>
      </c>
      <c r="N586" s="257">
        <f>IFERROR(M586-(TBIcalc!$Q$9+TBIcalc!$Q$10),"")</f>
        <v>1.7692000000000001</v>
      </c>
      <c r="O586" s="378">
        <f>AVERAGE(Ashed_controlls!$K$2:$K$11)</f>
        <v>5.5147656768714146</v>
      </c>
      <c r="P586" s="257">
        <f t="shared" si="46"/>
        <v>1.6716327656447911</v>
      </c>
      <c r="Q586" s="257">
        <f>IFERROR(INDEX('Both teabags AfterDry'!$D$2:$D$2000,MATCH(L586,'Both teabags AfterDry'!$A$2:$A$2000,0)),"")</f>
        <v>1.7161999999999999</v>
      </c>
      <c r="R586" s="257">
        <f>IFERROR(IF(Q586&gt;0,Q586-(TBIcalc!$Q$9),""),"")</f>
        <v>1.5655999999999999</v>
      </c>
      <c r="S586" s="268">
        <f>IFERROR(INDEX('Ashed teabags dry'!$K$2:$K$2000,MATCH(L586,'Ashed teabags dry'!$A$2:$A$2000,0)),"")</f>
        <v>10.842779694431051</v>
      </c>
      <c r="T586" s="268">
        <f t="shared" si="47"/>
        <v>1.3958454411039873</v>
      </c>
      <c r="U586" s="258">
        <f>IF('Dry_Litterbag Placem_Collection'!E147="","",'Dry_Litterbag Placem_Collection'!E147)</f>
        <v>42939</v>
      </c>
      <c r="V586" s="258">
        <f>IF('Dry_Litterbag Placem_Collection'!G147="","",'Dry_Litterbag Placem_Collection'!G147)</f>
        <v>43010</v>
      </c>
      <c r="W586" s="259">
        <f t="shared" si="45"/>
        <v>71</v>
      </c>
      <c r="X586" s="257">
        <f t="shared" si="48"/>
        <v>0.20360000000000023</v>
      </c>
      <c r="Y586" s="257">
        <f t="shared" si="49"/>
        <v>0.27578732454080379</v>
      </c>
      <c r="Z586" s="261">
        <f>IFERROR(INDEX([3]Rainfall_Dry!$O$2:$O$217,MATCH(C586, [3]Rainfall_Dry!$A$2:$A$217,0)),"")</f>
        <v>137.19979645800001</v>
      </c>
      <c r="AA586" s="250">
        <v>39.96</v>
      </c>
      <c r="AB586" s="250">
        <v>12.920000000000002</v>
      </c>
      <c r="AC586" s="250">
        <v>47.12</v>
      </c>
      <c r="AD586" s="251" t="s">
        <v>2655</v>
      </c>
      <c r="AE586" s="250">
        <v>1.6549531789058647</v>
      </c>
      <c r="AF586">
        <f>IF('WetLitterbags placem_collection'!AB147="","",'WetLitterbags placem_collection'!AB147)</f>
        <v>3.95</v>
      </c>
      <c r="AG586">
        <f>IF('WetLitterbags placem_collection'!Z147="","",'WetLitterbags placem_collection'!Z147)</f>
        <v>13</v>
      </c>
      <c r="AH586" s="236" t="str">
        <f>IF('WetLitterbags placem_collection'!AA147="","",'WetLitterbags placem_collection'!AA147)</f>
        <v>O</v>
      </c>
      <c r="AI586">
        <f>IF('WetLitterbags placem_collection'!AC147="","",'WetLitterbags placem_collection'!AC147)</f>
        <v>0</v>
      </c>
      <c r="AJ586">
        <f>IFERROR(AVERAGE('Dry_Litterbag Placem_Collection'!O147,'Dry_Litterbag Placem_Collection'!R147),"")</f>
        <v>6.35</v>
      </c>
      <c r="AK586" s="261">
        <f>IFERROR(AVERAGE('Dry_Litterbag Placem_Collection'!N147,'Dry_Litterbag Placem_Collection'!Q147),"")</f>
        <v>30</v>
      </c>
      <c r="AL586" s="260">
        <f>INDEX([2]Coordinates!$B$2:$B$197,MATCH(I586,[2]Coordinates!$J$2:$J$197,0))</f>
        <v>-2.3675269729999999</v>
      </c>
      <c r="AM586" s="260">
        <f>INDEX([2]Coordinates!$C$2:$C$197,MATCH(I586,[2]Coordinates!$J$2:$J$197,0))</f>
        <v>34.06035799</v>
      </c>
      <c r="AN586" s="260" t="str">
        <f>IF(ISNUMBER(SEARCH("C", 'Dry_Litterbag Placem_Collection'!U147)),"YES","NO")</f>
        <v>NO</v>
      </c>
      <c r="AO586" s="260" t="str">
        <f>IF(ISNUMBER(SEARCH("H", 'Dry_Litterbag Placem_Collection'!U147)),"YES","NO")</f>
        <v>NO</v>
      </c>
      <c r="AP586" s="260" t="str">
        <f>IF(ISNUMBER(SEARCH("R", 'Dry_Litterbag Placem_Collection'!U147)),"YES","NO")</f>
        <v>NO</v>
      </c>
    </row>
    <row r="587" spans="1:42" ht="15" customHeight="1">
      <c r="A587" t="s">
        <v>3248</v>
      </c>
      <c r="B587" s="252" t="s">
        <v>2643</v>
      </c>
      <c r="C587" s="253">
        <f>'Dry_Litterbag Placem_Collection'!A148</f>
        <v>146</v>
      </c>
      <c r="D587" s="253" t="str">
        <f>'Dry_Litterbag Placem_Collection'!B148</f>
        <v xml:space="preserve">Mwantimba
</v>
      </c>
      <c r="E587" s="253" t="s">
        <v>2454</v>
      </c>
      <c r="F587" s="253" t="s">
        <v>20</v>
      </c>
      <c r="G587" s="253">
        <v>3</v>
      </c>
      <c r="H587" s="253" t="s">
        <v>3124</v>
      </c>
      <c r="I587" s="254" t="str">
        <f>'Dry_Litterbag Placem_Collection'!C148</f>
        <v>Wet_P3_T2</v>
      </c>
      <c r="J587" s="263" t="s">
        <v>2932</v>
      </c>
      <c r="K587" s="256" t="s">
        <v>1147</v>
      </c>
      <c r="L587" s="253" t="str">
        <f>IF(ISBLANK('Dry_Litterbag Placem_Collection'!L148),"","G"&amp;""&amp;'Dry_Litterbag Placem_Collection'!L148)</f>
        <v>G336</v>
      </c>
      <c r="M587" s="257">
        <f>IFERROR(INDEX('Green_rooibos initial weight'!$C$5:$C$2000,MATCH(L587, 'Green_rooibos initial weight'!$A$5:$A$2000,0)),"")</f>
        <v>1.9950000000000001</v>
      </c>
      <c r="N587" s="257">
        <f>IFERROR(M587-(TBIcalc!$Q$9+TBIcalc!$Q$10),"")</f>
        <v>1.7452000000000001</v>
      </c>
      <c r="O587" s="378">
        <f>AVERAGE(Ashed_controlls!$K$2:$K$11)</f>
        <v>5.5147656768714146</v>
      </c>
      <c r="P587" s="257">
        <f t="shared" si="46"/>
        <v>1.6489563094072401</v>
      </c>
      <c r="Q587" s="257">
        <f>IFERROR(INDEX('Both teabags AfterDry'!$D$2:$D$2000,MATCH(L587,'Both teabags AfterDry'!$A$2:$A$2000,0)),"")</f>
        <v>1.6466000000000001</v>
      </c>
      <c r="R587" s="257">
        <f>IFERROR(IF(Q587&gt;0,Q587-(TBIcalc!$Q$9),""),"")</f>
        <v>1.496</v>
      </c>
      <c r="S587" s="268">
        <f>IFERROR(INDEX('Ashed teabags dry'!$K$2:$K$2000,MATCH(L587,'Ashed teabags dry'!$A$2:$A$2000,0)),"")</f>
        <v>9.7110374230223258</v>
      </c>
      <c r="T587" s="268">
        <f t="shared" si="47"/>
        <v>1.350722880151586</v>
      </c>
      <c r="U587" s="258">
        <f>IF('Dry_Litterbag Placem_Collection'!E148="","",'Dry_Litterbag Placem_Collection'!E148)</f>
        <v>42939</v>
      </c>
      <c r="V587" s="258">
        <f>IF('Dry_Litterbag Placem_Collection'!G148="","",'Dry_Litterbag Placem_Collection'!G148)</f>
        <v>43010</v>
      </c>
      <c r="W587" s="259">
        <f t="shared" si="45"/>
        <v>71</v>
      </c>
      <c r="X587" s="257">
        <f t="shared" si="48"/>
        <v>0.24920000000000009</v>
      </c>
      <c r="Y587" s="257">
        <f t="shared" si="49"/>
        <v>0.2982334292556541</v>
      </c>
      <c r="Z587" s="261">
        <f>IFERROR(INDEX([3]Rainfall_Dry!$O$2:$O$217,MATCH(C587, [3]Rainfall_Dry!$A$2:$A$217,0)),"")</f>
        <v>137.19979645800001</v>
      </c>
      <c r="AA587" s="250">
        <v>39.96</v>
      </c>
      <c r="AB587" s="250">
        <v>12.920000000000002</v>
      </c>
      <c r="AC587" s="250">
        <v>47.12</v>
      </c>
      <c r="AD587" s="251" t="s">
        <v>2655</v>
      </c>
      <c r="AE587" s="250">
        <v>2.6549531789058598</v>
      </c>
      <c r="AF587">
        <f>IF('WetLitterbags placem_collection'!AB148="","",'WetLitterbags placem_collection'!AB148)</f>
        <v>2.75</v>
      </c>
      <c r="AG587">
        <f>IF('WetLitterbags placem_collection'!Z148="","",'WetLitterbags placem_collection'!Z148)</f>
        <v>17.7</v>
      </c>
      <c r="AH587" s="236" t="str">
        <f>IF('WetLitterbags placem_collection'!AA148="","",'WetLitterbags placem_collection'!AA148)</f>
        <v>O</v>
      </c>
      <c r="AI587">
        <f>IF('WetLitterbags placem_collection'!AC148="","",'WetLitterbags placem_collection'!AC148)</f>
        <v>1</v>
      </c>
      <c r="AJ587">
        <f>IFERROR(AVERAGE('Dry_Litterbag Placem_Collection'!O148,'Dry_Litterbag Placem_Collection'!R148),"")</f>
        <v>6.1</v>
      </c>
      <c r="AK587" s="261">
        <f>IFERROR(AVERAGE('Dry_Litterbag Placem_Collection'!N148,'Dry_Litterbag Placem_Collection'!Q148),"")</f>
        <v>31</v>
      </c>
      <c r="AL587" s="260">
        <f>INDEX([2]Coordinates!$B$2:$B$197,MATCH(I587,[2]Coordinates!$J$2:$J$197,0))</f>
        <v>-2.3675380370000001</v>
      </c>
      <c r="AM587" s="260">
        <f>INDEX([2]Coordinates!$C$2:$C$197,MATCH(I587,[2]Coordinates!$J$2:$J$197,0))</f>
        <v>34.060381960000001</v>
      </c>
      <c r="AN587" s="260" t="str">
        <f>IF(ISNUMBER(SEARCH("C", 'Dry_Litterbag Placem_Collection'!U148)),"YES","NO")</f>
        <v>NO</v>
      </c>
      <c r="AO587" s="260" t="str">
        <f>IF(ISNUMBER(SEARCH("H", 'Dry_Litterbag Placem_Collection'!U148)),"YES","NO")</f>
        <v>NO</v>
      </c>
      <c r="AP587" s="260" t="str">
        <f>IF(ISNUMBER(SEARCH("R", 'Dry_Litterbag Placem_Collection'!U148)),"YES","NO")</f>
        <v>NO</v>
      </c>
    </row>
    <row r="588" spans="1:42" ht="15" customHeight="1">
      <c r="A588" t="s">
        <v>3248</v>
      </c>
      <c r="B588" s="252" t="s">
        <v>2643</v>
      </c>
      <c r="C588" s="253">
        <f>'Dry_Litterbag Placem_Collection'!A149</f>
        <v>147</v>
      </c>
      <c r="D588" s="253" t="str">
        <f>'Dry_Litterbag Placem_Collection'!B149</f>
        <v xml:space="preserve">Mwantimba
</v>
      </c>
      <c r="E588" s="253" t="s">
        <v>2454</v>
      </c>
      <c r="F588" s="253" t="s">
        <v>20</v>
      </c>
      <c r="G588" s="253">
        <v>3</v>
      </c>
      <c r="H588" s="253" t="s">
        <v>3124</v>
      </c>
      <c r="I588" s="254" t="str">
        <f>'Dry_Litterbag Placem_Collection'!C149</f>
        <v>Wet_P3_T3</v>
      </c>
      <c r="J588" s="263" t="s">
        <v>2932</v>
      </c>
      <c r="K588" s="256" t="s">
        <v>1147</v>
      </c>
      <c r="L588" s="253" t="str">
        <f>IF(ISBLANK('Dry_Litterbag Placem_Collection'!L149),"","G"&amp;""&amp;'Dry_Litterbag Placem_Collection'!L149)</f>
        <v>G303</v>
      </c>
      <c r="M588" s="257">
        <f>IFERROR(INDEX('Green_rooibos initial weight'!$C$5:$C$2000,MATCH(L588, 'Green_rooibos initial weight'!$A$5:$A$2000,0)),"")</f>
        <v>1.9850000000000001</v>
      </c>
      <c r="N588" s="257">
        <f>IFERROR(M588-(TBIcalc!$Q$9+TBIcalc!$Q$10),"")</f>
        <v>1.7352000000000001</v>
      </c>
      <c r="O588" s="378">
        <f>AVERAGE(Ashed_controlls!$K$2:$K$11)</f>
        <v>5.5147656768714146</v>
      </c>
      <c r="P588" s="257">
        <f t="shared" si="46"/>
        <v>1.6395077859749272</v>
      </c>
      <c r="Q588" s="257">
        <f>IFERROR(INDEX('Both teabags AfterDry'!$D$2:$D$2000,MATCH(L588,'Both teabags AfterDry'!$A$2:$A$2000,0)),"")</f>
        <v>1.6654</v>
      </c>
      <c r="R588" s="257">
        <f>IFERROR(IF(Q588&gt;0,Q588-(TBIcalc!$Q$9),""),"")</f>
        <v>1.5147999999999999</v>
      </c>
      <c r="S588" s="268">
        <f>IFERROR(INDEX('Ashed teabags dry'!$K$2:$K$2000,MATCH(L588,'Ashed teabags dry'!$A$2:$A$2000,0)),"")</f>
        <v>8.1562036579344408</v>
      </c>
      <c r="T588" s="268">
        <f t="shared" si="47"/>
        <v>1.391249826989609</v>
      </c>
      <c r="U588" s="258">
        <f>IF('Dry_Litterbag Placem_Collection'!E149="","",'Dry_Litterbag Placem_Collection'!E149)</f>
        <v>42939</v>
      </c>
      <c r="V588" s="258">
        <f>IF('Dry_Litterbag Placem_Collection'!G149="","",'Dry_Litterbag Placem_Collection'!G149)</f>
        <v>43010</v>
      </c>
      <c r="W588" s="259">
        <f t="shared" si="45"/>
        <v>71</v>
      </c>
      <c r="X588" s="257">
        <f t="shared" si="48"/>
        <v>0.22040000000000015</v>
      </c>
      <c r="Y588" s="257">
        <f t="shared" si="49"/>
        <v>0.24825795898531822</v>
      </c>
      <c r="Z588" s="261">
        <f>IFERROR(INDEX([3]Rainfall_Dry!$O$2:$O$217,MATCH(C588, [3]Rainfall_Dry!$A$2:$A$217,0)),"")</f>
        <v>137.19979645800001</v>
      </c>
      <c r="AA588" s="250">
        <v>39.96</v>
      </c>
      <c r="AB588" s="250">
        <v>12.920000000000002</v>
      </c>
      <c r="AC588" s="250">
        <v>47.12</v>
      </c>
      <c r="AD588" s="251" t="s">
        <v>2655</v>
      </c>
      <c r="AE588" s="250">
        <v>3.6549531789058598</v>
      </c>
      <c r="AF588">
        <f>IF('WetLitterbags placem_collection'!AB149="","",'WetLitterbags placem_collection'!AB149)</f>
        <v>3.6</v>
      </c>
      <c r="AG588">
        <f>IF('WetLitterbags placem_collection'!Z149="","",'WetLitterbags placem_collection'!Z149)</f>
        <v>19</v>
      </c>
      <c r="AH588" s="236" t="str">
        <f>IF('WetLitterbags placem_collection'!AA149="","",'WetLitterbags placem_collection'!AA149)</f>
        <v>M</v>
      </c>
      <c r="AI588">
        <f>IF('WetLitterbags placem_collection'!AC149="","",'WetLitterbags placem_collection'!AC149)</f>
        <v>1</v>
      </c>
      <c r="AJ588">
        <f>IFERROR(AVERAGE('Dry_Litterbag Placem_Collection'!O149,'Dry_Litterbag Placem_Collection'!R149),"")</f>
        <v>5.6</v>
      </c>
      <c r="AK588" s="261">
        <f>IFERROR(AVERAGE('Dry_Litterbag Placem_Collection'!N149,'Dry_Litterbag Placem_Collection'!Q149),"")</f>
        <v>29.900000000000002</v>
      </c>
      <c r="AL588" s="260">
        <f>INDEX([2]Coordinates!$B$2:$B$197,MATCH(I588,[2]Coordinates!$J$2:$J$197,0))</f>
        <v>-2.3675780180000001</v>
      </c>
      <c r="AM588" s="260">
        <f>INDEX([2]Coordinates!$C$2:$C$197,MATCH(I588,[2]Coordinates!$J$2:$J$197,0))</f>
        <v>34.060323029999999</v>
      </c>
      <c r="AN588" s="260" t="str">
        <f>IF(ISNUMBER(SEARCH("C", 'Dry_Litterbag Placem_Collection'!U149)),"YES","NO")</f>
        <v>NO</v>
      </c>
      <c r="AO588" s="260" t="str">
        <f>IF(ISNUMBER(SEARCH("H", 'Dry_Litterbag Placem_Collection'!U149)),"YES","NO")</f>
        <v>NO</v>
      </c>
      <c r="AP588" s="260" t="str">
        <f>IF(ISNUMBER(SEARCH("R", 'Dry_Litterbag Placem_Collection'!U149)),"YES","NO")</f>
        <v>NO</v>
      </c>
    </row>
    <row r="589" spans="1:42" ht="15" customHeight="1">
      <c r="A589" t="s">
        <v>3248</v>
      </c>
      <c r="B589" s="252" t="s">
        <v>2643</v>
      </c>
      <c r="C589" s="253">
        <f>'Dry_Litterbag Placem_Collection'!A150</f>
        <v>148</v>
      </c>
      <c r="D589" s="253" t="str">
        <f>'Dry_Litterbag Placem_Collection'!B150</f>
        <v xml:space="preserve">Mwantimba
</v>
      </c>
      <c r="E589" s="253" t="s">
        <v>2454</v>
      </c>
      <c r="F589" s="253" t="s">
        <v>20</v>
      </c>
      <c r="G589" s="253">
        <v>3</v>
      </c>
      <c r="H589" s="253" t="s">
        <v>3124</v>
      </c>
      <c r="I589" s="254" t="str">
        <f>'Dry_Litterbag Placem_Collection'!C150</f>
        <v>Wet_P3_T4</v>
      </c>
      <c r="J589" s="263" t="s">
        <v>2932</v>
      </c>
      <c r="K589" s="256" t="s">
        <v>1147</v>
      </c>
      <c r="L589" s="253" t="str">
        <f>IF(ISBLANK('Dry_Litterbag Placem_Collection'!L150),"","G"&amp;""&amp;'Dry_Litterbag Placem_Collection'!L150)</f>
        <v>G161</v>
      </c>
      <c r="M589" s="257">
        <f>IFERROR(INDEX('Green_rooibos initial weight'!$C$5:$C$2000,MATCH(L589, 'Green_rooibos initial weight'!$A$5:$A$2000,0)),"")</f>
        <v>2.0979999999999999</v>
      </c>
      <c r="N589" s="257">
        <f>IFERROR(M589-(TBIcalc!$Q$9+TBIcalc!$Q$10),"")</f>
        <v>1.8481999999999998</v>
      </c>
      <c r="O589" s="378">
        <f>AVERAGE(Ashed_controlls!$K$2:$K$11)</f>
        <v>5.5147656768714146</v>
      </c>
      <c r="P589" s="257">
        <f t="shared" si="46"/>
        <v>1.7462761007600625</v>
      </c>
      <c r="Q589" s="257">
        <f>IFERROR(INDEX('Both teabags AfterDry'!$D$2:$D$2000,MATCH(L589,'Both teabags AfterDry'!$A$2:$A$2000,0)),"")</f>
        <v>1.7174</v>
      </c>
      <c r="R589" s="257">
        <f>IFERROR(IF(Q589&gt;0,Q589-(TBIcalc!$Q$9),""),"")</f>
        <v>1.5668</v>
      </c>
      <c r="S589" s="268">
        <f>IFERROR(INDEX('Ashed teabags dry'!$K$2:$K$2000,MATCH(L589,'Ashed teabags dry'!$A$2:$A$2000,0)),"")</f>
        <v>9.0731707317073607</v>
      </c>
      <c r="T589" s="268">
        <f t="shared" si="47"/>
        <v>1.4246415609756091</v>
      </c>
      <c r="U589" s="258">
        <f>IF('Dry_Litterbag Placem_Collection'!E150="","",'Dry_Litterbag Placem_Collection'!E150)</f>
        <v>42939</v>
      </c>
      <c r="V589" s="258">
        <f>IF('Dry_Litterbag Placem_Collection'!G150="","",'Dry_Litterbag Placem_Collection'!G150)</f>
        <v>43010</v>
      </c>
      <c r="W589" s="259">
        <f t="shared" si="45"/>
        <v>71</v>
      </c>
      <c r="X589" s="257">
        <f t="shared" si="48"/>
        <v>0.28139999999999987</v>
      </c>
      <c r="Y589" s="257">
        <f t="shared" si="49"/>
        <v>0.32163453978445333</v>
      </c>
      <c r="Z589" s="261">
        <f>IFERROR(INDEX([3]Rainfall_Dry!$O$2:$O$217,MATCH(C589, [3]Rainfall_Dry!$A$2:$A$217,0)),"")</f>
        <v>137.19979645800001</v>
      </c>
      <c r="AA589" s="250">
        <v>39.96</v>
      </c>
      <c r="AB589" s="250">
        <v>12.920000000000002</v>
      </c>
      <c r="AC589" s="250">
        <v>47.12</v>
      </c>
      <c r="AD589" s="251" t="s">
        <v>2655</v>
      </c>
      <c r="AE589" s="250">
        <v>4.6549531789058696</v>
      </c>
      <c r="AF589">
        <f>IF('WetLitterbags placem_collection'!AB150="","",'WetLitterbags placem_collection'!AB150)</f>
        <v>4.9000000000000004</v>
      </c>
      <c r="AG589">
        <f>IF('WetLitterbags placem_collection'!Z150="","",'WetLitterbags placem_collection'!Z150)</f>
        <v>17.489999999999998</v>
      </c>
      <c r="AH589" s="236" t="str">
        <f>IF('WetLitterbags placem_collection'!AA150="","",'WetLitterbags placem_collection'!AA150)</f>
        <v>M</v>
      </c>
      <c r="AI589">
        <f>IF('WetLitterbags placem_collection'!AC150="","",'WetLitterbags placem_collection'!AC150)</f>
        <v>1</v>
      </c>
      <c r="AJ589">
        <f>IFERROR(AVERAGE('Dry_Litterbag Placem_Collection'!O150,'Dry_Litterbag Placem_Collection'!R150),"")</f>
        <v>6.5</v>
      </c>
      <c r="AK589" s="261">
        <f>IFERROR(AVERAGE('Dry_Litterbag Placem_Collection'!N150,'Dry_Litterbag Placem_Collection'!Q150),"")</f>
        <v>31.6</v>
      </c>
      <c r="AL589" s="260">
        <f>INDEX([2]Coordinates!$B$2:$B$197,MATCH(I589,[2]Coordinates!$J$2:$J$197,0))</f>
        <v>-2.3676269689999998</v>
      </c>
      <c r="AM589" s="260">
        <f>INDEX([2]Coordinates!$C$2:$C$197,MATCH(I589,[2]Coordinates!$J$2:$J$197,0))</f>
        <v>34.060310960000002</v>
      </c>
      <c r="AN589" s="260" t="str">
        <f>IF(ISNUMBER(SEARCH("C", 'Dry_Litterbag Placem_Collection'!U150)),"YES","NO")</f>
        <v>YES</v>
      </c>
      <c r="AO589" s="260" t="str">
        <f>IF(ISNUMBER(SEARCH("H", 'Dry_Litterbag Placem_Collection'!U150)),"YES","NO")</f>
        <v>NO</v>
      </c>
      <c r="AP589" s="260" t="str">
        <f>IF(ISNUMBER(SEARCH("R", 'Dry_Litterbag Placem_Collection'!U150)),"YES","NO")</f>
        <v>NO</v>
      </c>
    </row>
    <row r="590" spans="1:42" ht="15" customHeight="1">
      <c r="A590" t="s">
        <v>3248</v>
      </c>
      <c r="B590" s="252" t="s">
        <v>2643</v>
      </c>
      <c r="C590" s="253">
        <f>'Dry_Litterbag Placem_Collection'!A151</f>
        <v>149</v>
      </c>
      <c r="D590" s="253" t="str">
        <f>'Dry_Litterbag Placem_Collection'!B151</f>
        <v xml:space="preserve">Mwantimba
</v>
      </c>
      <c r="E590" s="253" t="s">
        <v>2454</v>
      </c>
      <c r="F590" s="253" t="s">
        <v>20</v>
      </c>
      <c r="G590" s="253">
        <v>3</v>
      </c>
      <c r="H590" s="253" t="s">
        <v>3124</v>
      </c>
      <c r="I590" s="254" t="str">
        <f>'Dry_Litterbag Placem_Collection'!C151</f>
        <v>Wet_P3_T5</v>
      </c>
      <c r="J590" s="263" t="s">
        <v>2932</v>
      </c>
      <c r="K590" s="256" t="s">
        <v>1147</v>
      </c>
      <c r="L590" s="253" t="str">
        <f>IF(ISBLANK('Dry_Litterbag Placem_Collection'!L151),"","G"&amp;""&amp;'Dry_Litterbag Placem_Collection'!L151)</f>
        <v>G464</v>
      </c>
      <c r="M590" s="257">
        <f>IFERROR(INDEX('Green_rooibos initial weight'!$C$5:$C$2000,MATCH(L590, 'Green_rooibos initial weight'!$A$5:$A$2000,0)),"")</f>
        <v>1.964</v>
      </c>
      <c r="N590" s="257">
        <f>IFERROR(M590-(TBIcalc!$Q$9+TBIcalc!$Q$10),"")</f>
        <v>1.7141999999999999</v>
      </c>
      <c r="O590" s="378">
        <f>AVERAGE(Ashed_controlls!$K$2:$K$11)</f>
        <v>5.5147656768714146</v>
      </c>
      <c r="P590" s="257">
        <f t="shared" si="46"/>
        <v>1.6196658867670701</v>
      </c>
      <c r="Q590" s="257">
        <f>IFERROR(INDEX('Both teabags AfterDry'!$D$2:$D$2000,MATCH(L590,'Both teabags AfterDry'!$A$2:$A$2000,0)),"")</f>
        <v>1.571</v>
      </c>
      <c r="R590" s="257">
        <f>IFERROR(IF(Q590&gt;0,Q590-(TBIcalc!$Q$9),""),"")</f>
        <v>1.4203999999999999</v>
      </c>
      <c r="S590" s="268">
        <f>IFERROR(INDEX('Ashed teabags dry'!$K$2:$K$2000,MATCH(L590,'Ashed teabags dry'!$A$2:$A$2000,0)),"")</f>
        <v>7.6546506453042547</v>
      </c>
      <c r="T590" s="268">
        <f t="shared" si="47"/>
        <v>1.3116733422340983</v>
      </c>
      <c r="U590" s="258">
        <f>IF('Dry_Litterbag Placem_Collection'!E151="","",'Dry_Litterbag Placem_Collection'!E151)</f>
        <v>42939</v>
      </c>
      <c r="V590" s="258">
        <f>IF('Dry_Litterbag Placem_Collection'!G151="","",'Dry_Litterbag Placem_Collection'!G151)</f>
        <v>43010</v>
      </c>
      <c r="W590" s="259">
        <f t="shared" si="45"/>
        <v>71</v>
      </c>
      <c r="X590" s="257">
        <f t="shared" si="48"/>
        <v>0.29380000000000006</v>
      </c>
      <c r="Y590" s="257">
        <f t="shared" si="49"/>
        <v>0.30799254453297187</v>
      </c>
      <c r="Z590" s="261">
        <f>IFERROR(INDEX([3]Rainfall_Dry!$O$2:$O$217,MATCH(C590, [3]Rainfall_Dry!$A$2:$A$217,0)),"")</f>
        <v>137.19979645800001</v>
      </c>
      <c r="AA590" s="250">
        <v>39.96</v>
      </c>
      <c r="AB590" s="250">
        <v>12.920000000000002</v>
      </c>
      <c r="AC590" s="250">
        <v>47.12</v>
      </c>
      <c r="AD590" s="251" t="s">
        <v>2655</v>
      </c>
      <c r="AE590" s="250">
        <v>5.6549531789058696</v>
      </c>
      <c r="AF590">
        <f>IF('WetLitterbags placem_collection'!AB151="","",'WetLitterbags placem_collection'!AB151)</f>
        <v>2.8</v>
      </c>
      <c r="AG590">
        <f>IF('WetLitterbags placem_collection'!Z151="","",'WetLitterbags placem_collection'!Z151)</f>
        <v>13</v>
      </c>
      <c r="AH590" s="236" t="str">
        <f>IF('WetLitterbags placem_collection'!AA151="","",'WetLitterbags placem_collection'!AA151)</f>
        <v>M</v>
      </c>
      <c r="AI590">
        <f>IF('WetLitterbags placem_collection'!AC151="","",'WetLitterbags placem_collection'!AC151)</f>
        <v>1</v>
      </c>
      <c r="AJ590">
        <f>IFERROR(AVERAGE('Dry_Litterbag Placem_Collection'!O151,'Dry_Litterbag Placem_Collection'!R151),"")</f>
        <v>6.3000000000000007</v>
      </c>
      <c r="AK590" s="261">
        <f>IFERROR(AVERAGE('Dry_Litterbag Placem_Collection'!N151,'Dry_Litterbag Placem_Collection'!Q151),"")</f>
        <v>31</v>
      </c>
      <c r="AL590" s="260">
        <f>INDEX([2]Coordinates!$B$2:$B$197,MATCH(I590,[2]Coordinates!$J$2:$J$197,0))</f>
        <v>-2.3677179960000001</v>
      </c>
      <c r="AM590" s="260">
        <f>INDEX([2]Coordinates!$C$2:$C$197,MATCH(I590,[2]Coordinates!$J$2:$J$197,0))</f>
        <v>34.060324960000003</v>
      </c>
      <c r="AN590" s="260" t="str">
        <f>IF(ISNUMBER(SEARCH("C", 'Dry_Litterbag Placem_Collection'!U151)),"YES","NO")</f>
        <v>NO</v>
      </c>
      <c r="AO590" s="260" t="str">
        <f>IF(ISNUMBER(SEARCH("H", 'Dry_Litterbag Placem_Collection'!U151)),"YES","NO")</f>
        <v>NO</v>
      </c>
      <c r="AP590" s="260" t="str">
        <f>IF(ISNUMBER(SEARCH("R", 'Dry_Litterbag Placem_Collection'!U151)),"YES","NO")</f>
        <v>NO</v>
      </c>
    </row>
    <row r="591" spans="1:42" ht="15" customHeight="1">
      <c r="A591" t="s">
        <v>3248</v>
      </c>
      <c r="B591" s="252" t="s">
        <v>2643</v>
      </c>
      <c r="C591" s="253">
        <f>'Dry_Litterbag Placem_Collection'!A152</f>
        <v>150</v>
      </c>
      <c r="D591" s="253" t="str">
        <f>'Dry_Litterbag Placem_Collection'!B152</f>
        <v xml:space="preserve">Mwantimba
</v>
      </c>
      <c r="E591" s="253" t="s">
        <v>2454</v>
      </c>
      <c r="F591" s="253" t="s">
        <v>20</v>
      </c>
      <c r="G591" s="253">
        <v>3</v>
      </c>
      <c r="H591" s="253" t="s">
        <v>3124</v>
      </c>
      <c r="I591" s="254" t="str">
        <f>'Dry_Litterbag Placem_Collection'!C152</f>
        <v>Wet_P3_T6</v>
      </c>
      <c r="J591" s="263" t="s">
        <v>2932</v>
      </c>
      <c r="K591" s="256" t="s">
        <v>1147</v>
      </c>
      <c r="L591" s="253" t="str">
        <f>IF(ISBLANK('Dry_Litterbag Placem_Collection'!L152),"","G"&amp;""&amp;'Dry_Litterbag Placem_Collection'!L152)</f>
        <v>G843</v>
      </c>
      <c r="M591" s="257">
        <f>IFERROR(INDEX('Green_rooibos initial weight'!$C$5:$C$2000,MATCH(L591, 'Green_rooibos initial weight'!$A$5:$A$2000,0)),"")</f>
        <v>1.964</v>
      </c>
      <c r="N591" s="257">
        <f>IFERROR(M591-(TBIcalc!$Q$9+TBIcalc!$Q$10),"")</f>
        <v>1.7141999999999999</v>
      </c>
      <c r="O591" s="378">
        <f>AVERAGE(Ashed_controlls!$K$2:$K$11)</f>
        <v>5.5147656768714146</v>
      </c>
      <c r="P591" s="257">
        <f t="shared" si="46"/>
        <v>1.6196658867670701</v>
      </c>
      <c r="Q591" s="257" t="str">
        <f>IFERROR(INDEX('Both teabags AfterDry'!$D$2:$D$2000,MATCH(L591,'Both teabags AfterDry'!$A$2:$A$2000,0)),"")</f>
        <v/>
      </c>
      <c r="R591" s="257" t="str">
        <f>IFERROR(IF(Q591&gt;0,Q591-(TBIcalc!$Q$9),""),"")</f>
        <v/>
      </c>
      <c r="S591" s="268" t="str">
        <f>IFERROR(INDEX('Ashed teabags dry'!$K$2:$K$2000,MATCH(L591,'Ashed teabags dry'!$A$2:$A$2000,0)),"")</f>
        <v/>
      </c>
      <c r="T591" s="268" t="str">
        <f t="shared" si="47"/>
        <v/>
      </c>
      <c r="U591" s="258">
        <f>IF('Dry_Litterbag Placem_Collection'!E152="","",'Dry_Litterbag Placem_Collection'!E152)</f>
        <v>42939</v>
      </c>
      <c r="V591" s="258">
        <f>IF('Dry_Litterbag Placem_Collection'!G152="","",'Dry_Litterbag Placem_Collection'!G152)</f>
        <v>43010</v>
      </c>
      <c r="W591" s="259">
        <f t="shared" si="45"/>
        <v>71</v>
      </c>
      <c r="X591" s="257" t="str">
        <f t="shared" si="48"/>
        <v/>
      </c>
      <c r="Y591" s="257" t="str">
        <f t="shared" si="49"/>
        <v/>
      </c>
      <c r="Z591" s="261">
        <f>IFERROR(INDEX([3]Rainfall_Dry!$O$2:$O$217,MATCH(C591, [3]Rainfall_Dry!$A$2:$A$217,0)),"")</f>
        <v>137.19979645800001</v>
      </c>
      <c r="AA591" s="250">
        <v>39.96</v>
      </c>
      <c r="AB591" s="250">
        <v>12.920000000000002</v>
      </c>
      <c r="AC591" s="250">
        <v>47.12</v>
      </c>
      <c r="AD591" s="251" t="s">
        <v>2655</v>
      </c>
      <c r="AE591" s="250">
        <v>6.6549531789058696</v>
      </c>
      <c r="AF591">
        <f>IF('WetLitterbags placem_collection'!AB152="","",'WetLitterbags placem_collection'!AB152)</f>
        <v>2.75</v>
      </c>
      <c r="AG591">
        <f>IF('WetLitterbags placem_collection'!Z152="","",'WetLitterbags placem_collection'!Z152)</f>
        <v>19</v>
      </c>
      <c r="AH591" s="236" t="str">
        <f>IF('WetLitterbags placem_collection'!AA152="","",'WetLitterbags placem_collection'!AA152)</f>
        <v>O</v>
      </c>
      <c r="AI591">
        <f>IF('WetLitterbags placem_collection'!AC152="","",'WetLitterbags placem_collection'!AC152)</f>
        <v>0</v>
      </c>
      <c r="AJ591">
        <f>IFERROR(AVERAGE('Dry_Litterbag Placem_Collection'!O152,'Dry_Litterbag Placem_Collection'!R152),"")</f>
        <v>6.1999999999999993</v>
      </c>
      <c r="AK591" s="261">
        <f>IFERROR(AVERAGE('Dry_Litterbag Placem_Collection'!N152,'Dry_Litterbag Placem_Collection'!Q152),"")</f>
        <v>30.8</v>
      </c>
      <c r="AL591" s="260">
        <f>INDEX([2]Coordinates!$B$2:$B$197,MATCH(I591,[2]Coordinates!$J$2:$J$197,0))</f>
        <v>-2.3675230329999999</v>
      </c>
      <c r="AM591" s="260">
        <f>INDEX([2]Coordinates!$C$2:$C$197,MATCH(I591,[2]Coordinates!$J$2:$J$197,0))</f>
        <v>34.060512969999998</v>
      </c>
      <c r="AN591" s="260" t="str">
        <f>IF(ISNUMBER(SEARCH("C", 'Dry_Litterbag Placem_Collection'!U152)),"YES","NO")</f>
        <v>NO</v>
      </c>
      <c r="AO591" s="260" t="str">
        <f>IF(ISNUMBER(SEARCH("H", 'Dry_Litterbag Placem_Collection'!U152)),"YES","NO")</f>
        <v>NO</v>
      </c>
      <c r="AP591" s="260" t="str">
        <f>IF(ISNUMBER(SEARCH("R", 'Dry_Litterbag Placem_Collection'!U152)),"YES","NO")</f>
        <v>NO</v>
      </c>
    </row>
    <row r="592" spans="1:42" ht="15" customHeight="1">
      <c r="A592" t="s">
        <v>3248</v>
      </c>
      <c r="B592" s="252" t="s">
        <v>2643</v>
      </c>
      <c r="C592" s="253">
        <f>'Dry_Litterbag Placem_Collection'!A153</f>
        <v>151</v>
      </c>
      <c r="D592" s="253" t="str">
        <f>'Dry_Litterbag Placem_Collection'!B153</f>
        <v xml:space="preserve">Mwantimba
</v>
      </c>
      <c r="E592" s="253" t="s">
        <v>2454</v>
      </c>
      <c r="F592" s="253" t="s">
        <v>20</v>
      </c>
      <c r="G592" s="253">
        <v>3</v>
      </c>
      <c r="H592" s="253" t="s">
        <v>3124</v>
      </c>
      <c r="I592" s="254" t="str">
        <f>'Dry_Litterbag Placem_Collection'!C153</f>
        <v>Wet_P3_T7</v>
      </c>
      <c r="J592" s="263" t="s">
        <v>2932</v>
      </c>
      <c r="K592" s="256" t="s">
        <v>1147</v>
      </c>
      <c r="L592" s="253" t="str">
        <f>IF(ISBLANK('Dry_Litterbag Placem_Collection'!L153),"","G"&amp;""&amp;'Dry_Litterbag Placem_Collection'!L153)</f>
        <v/>
      </c>
      <c r="M592" s="257" t="str">
        <f>IFERROR(INDEX('Green_rooibos initial weight'!$C$5:$C$2000,MATCH(L592, 'Green_rooibos initial weight'!$A$5:$A$2000,0)),"")</f>
        <v/>
      </c>
      <c r="N592" s="257" t="str">
        <f>IFERROR(M592-(TBIcalc!$Q$9+TBIcalc!$Q$10),"")</f>
        <v/>
      </c>
      <c r="O592" s="378">
        <f>AVERAGE(Ashed_controlls!$K$2:$K$11)</f>
        <v>5.5147656768714146</v>
      </c>
      <c r="P592" s="257" t="str">
        <f t="shared" si="46"/>
        <v/>
      </c>
      <c r="Q592" s="257" t="str">
        <f>IFERROR(INDEX('Both teabags AfterDry'!$D$2:$D$2000,MATCH(L592,'Both teabags AfterDry'!$A$2:$A$2000,0)),"")</f>
        <v/>
      </c>
      <c r="R592" s="257" t="str">
        <f>IFERROR(IF(Q592&gt;0,Q592-(TBIcalc!$Q$9),""),"")</f>
        <v/>
      </c>
      <c r="S592" s="268" t="str">
        <f>IFERROR(INDEX('Ashed teabags dry'!$K$2:$K$2000,MATCH(L592,'Ashed teabags dry'!$A$2:$A$2000,0)),"")</f>
        <v/>
      </c>
      <c r="T592" s="268" t="str">
        <f t="shared" si="47"/>
        <v/>
      </c>
      <c r="U592" s="258" t="str">
        <f>IF('Dry_Litterbag Placem_Collection'!E153="","",'Dry_Litterbag Placem_Collection'!E153)</f>
        <v/>
      </c>
      <c r="V592" s="258" t="str">
        <f>IF('Dry_Litterbag Placem_Collection'!G153="","",'Dry_Litterbag Placem_Collection'!G153)</f>
        <v/>
      </c>
      <c r="W592" s="259" t="str">
        <f t="shared" si="45"/>
        <v/>
      </c>
      <c r="X592" s="257" t="str">
        <f t="shared" si="48"/>
        <v/>
      </c>
      <c r="Y592" s="257" t="str">
        <f t="shared" si="49"/>
        <v/>
      </c>
      <c r="Z592" s="261" t="str">
        <f>IFERROR(INDEX([3]Rainfall_Dry!$O$2:$O$217,MATCH(C592, [3]Rainfall_Dry!$A$2:$A$217,0)),"")</f>
        <v/>
      </c>
      <c r="AA592" s="250">
        <v>39.96</v>
      </c>
      <c r="AB592" s="250">
        <v>12.920000000000002</v>
      </c>
      <c r="AC592" s="250">
        <v>47.12</v>
      </c>
      <c r="AD592" s="251" t="s">
        <v>2655</v>
      </c>
      <c r="AE592" s="250">
        <v>7.6549531789058696</v>
      </c>
      <c r="AF592">
        <f>IF('WetLitterbags placem_collection'!AB153="","",'WetLitterbags placem_collection'!AB153)</f>
        <v>1.4</v>
      </c>
      <c r="AG592">
        <f>IF('WetLitterbags placem_collection'!Z153="","",'WetLitterbags placem_collection'!Z153)</f>
        <v>7.9</v>
      </c>
      <c r="AH592" s="236" t="str">
        <f>IF('WetLitterbags placem_collection'!AA153="","",'WetLitterbags placem_collection'!AA153)</f>
        <v>O</v>
      </c>
      <c r="AI592">
        <f>IF('WetLitterbags placem_collection'!AC153="","",'WetLitterbags placem_collection'!AC153)</f>
        <v>1</v>
      </c>
      <c r="AJ592" t="str">
        <f>IFERROR(AVERAGE('Dry_Litterbag Placem_Collection'!O153,'Dry_Litterbag Placem_Collection'!R153),"")</f>
        <v/>
      </c>
      <c r="AK592" s="261" t="str">
        <f>IFERROR(AVERAGE('Dry_Litterbag Placem_Collection'!N153,'Dry_Litterbag Placem_Collection'!Q153),"")</f>
        <v/>
      </c>
      <c r="AL592" s="260">
        <f>INDEX([2]Coordinates!$B$2:$B$197,MATCH(I592,[2]Coordinates!$J$2:$J$197,0))</f>
        <v>-2.3673460070000001</v>
      </c>
      <c r="AM592" s="260">
        <f>INDEX([2]Coordinates!$C$2:$C$197,MATCH(I592,[2]Coordinates!$J$2:$J$197,0))</f>
        <v>34.060310039999997</v>
      </c>
      <c r="AN592" s="260" t="str">
        <f>IF(ISNUMBER(SEARCH("C", 'Dry_Litterbag Placem_Collection'!U153)),"YES","NO")</f>
        <v>NO</v>
      </c>
      <c r="AO592" s="260" t="str">
        <f>IF(ISNUMBER(SEARCH("H", 'Dry_Litterbag Placem_Collection'!U153)),"YES","NO")</f>
        <v>NO</v>
      </c>
      <c r="AP592" s="260" t="str">
        <f>IF(ISNUMBER(SEARCH("R", 'Dry_Litterbag Placem_Collection'!U153)),"YES","NO")</f>
        <v>NO</v>
      </c>
    </row>
    <row r="593" spans="1:42" ht="15" customHeight="1">
      <c r="A593" t="s">
        <v>3248</v>
      </c>
      <c r="B593" s="252" t="s">
        <v>2643</v>
      </c>
      <c r="C593" s="253">
        <f>'Dry_Litterbag Placem_Collection'!A154</f>
        <v>152</v>
      </c>
      <c r="D593" s="253" t="str">
        <f>'Dry_Litterbag Placem_Collection'!B154</f>
        <v xml:space="preserve">Mwantimba
</v>
      </c>
      <c r="E593" s="253" t="s">
        <v>2454</v>
      </c>
      <c r="F593" s="253" t="s">
        <v>20</v>
      </c>
      <c r="G593" s="253">
        <v>3</v>
      </c>
      <c r="H593" s="253" t="s">
        <v>3124</v>
      </c>
      <c r="I593" s="254" t="str">
        <f>'Dry_Litterbag Placem_Collection'!C154</f>
        <v>Wet_P3_T8</v>
      </c>
      <c r="J593" s="263" t="s">
        <v>2932</v>
      </c>
      <c r="K593" s="256" t="s">
        <v>1147</v>
      </c>
      <c r="L593" s="253" t="str">
        <f>IF(ISBLANK('Dry_Litterbag Placem_Collection'!L154),"","G"&amp;""&amp;'Dry_Litterbag Placem_Collection'!L154)</f>
        <v>G617</v>
      </c>
      <c r="M593" s="257">
        <f>IFERROR(INDEX('Green_rooibos initial weight'!$C$5:$C$2000,MATCH(L593, 'Green_rooibos initial weight'!$A$5:$A$2000,0)),"")</f>
        <v>2.0880000000000001</v>
      </c>
      <c r="N593" s="257">
        <f>IFERROR(M593-(TBIcalc!$Q$9+TBIcalc!$Q$10),"")</f>
        <v>1.8382000000000001</v>
      </c>
      <c r="O593" s="378">
        <f>AVERAGE(Ashed_controlls!$K$2:$K$11)</f>
        <v>5.5147656768714146</v>
      </c>
      <c r="P593" s="257">
        <f t="shared" si="46"/>
        <v>1.7368275773277497</v>
      </c>
      <c r="Q593" s="257">
        <f>IFERROR(INDEX('Both teabags AfterDry'!$D$2:$D$2000,MATCH(L593,'Both teabags AfterDry'!$A$2:$A$2000,0)),"")</f>
        <v>1.3632</v>
      </c>
      <c r="R593" s="257">
        <f>IFERROR(IF(Q593&gt;0,Q593-(TBIcalc!$Q$9),""),"")</f>
        <v>1.2125999999999999</v>
      </c>
      <c r="S593" s="268">
        <f>IFERROR(INDEX('Ashed teabags dry'!$K$2:$K$2000,MATCH(L593,'Ashed teabags dry'!$A$2:$A$2000,0)),"")</f>
        <v>7.889033376679512</v>
      </c>
      <c r="T593" s="268">
        <f t="shared" si="47"/>
        <v>1.1169375812743843</v>
      </c>
      <c r="U593" s="258">
        <f>IF('Dry_Litterbag Placem_Collection'!E154="","",'Dry_Litterbag Placem_Collection'!E154)</f>
        <v>42939</v>
      </c>
      <c r="V593" s="258">
        <f>IF('Dry_Litterbag Placem_Collection'!G154="","",'Dry_Litterbag Placem_Collection'!G154)</f>
        <v>43010</v>
      </c>
      <c r="W593" s="259">
        <f t="shared" si="45"/>
        <v>71</v>
      </c>
      <c r="X593" s="257">
        <f t="shared" si="48"/>
        <v>0.62560000000000016</v>
      </c>
      <c r="Y593" s="257">
        <f t="shared" si="49"/>
        <v>0.61988999605336548</v>
      </c>
      <c r="Z593" s="261">
        <f>IFERROR(INDEX([3]Rainfall_Dry!$O$2:$O$217,MATCH(C593, [3]Rainfall_Dry!$A$2:$A$217,0)),"")</f>
        <v>137.19979645800001</v>
      </c>
      <c r="AA593" s="250">
        <v>39.96</v>
      </c>
      <c r="AB593" s="250">
        <v>12.920000000000002</v>
      </c>
      <c r="AC593" s="250">
        <v>47.12</v>
      </c>
      <c r="AD593" s="251" t="s">
        <v>2655</v>
      </c>
      <c r="AE593" s="250">
        <v>8.6549531789058705</v>
      </c>
      <c r="AF593">
        <f>IF('WetLitterbags placem_collection'!AB154="","",'WetLitterbags placem_collection'!AB154)</f>
        <v>2.2000000000000002</v>
      </c>
      <c r="AG593">
        <f>IF('WetLitterbags placem_collection'!Z154="","",'WetLitterbags placem_collection'!Z154)</f>
        <v>15</v>
      </c>
      <c r="AH593" s="236" t="str">
        <f>IF('WetLitterbags placem_collection'!AA154="","",'WetLitterbags placem_collection'!AA154)</f>
        <v>M</v>
      </c>
      <c r="AI593">
        <f>IF('WetLitterbags placem_collection'!AC154="","",'WetLitterbags placem_collection'!AC154)</f>
        <v>0</v>
      </c>
      <c r="AJ593">
        <f>IFERROR(AVERAGE('Dry_Litterbag Placem_Collection'!O154,'Dry_Litterbag Placem_Collection'!R154),"")</f>
        <v>6.4</v>
      </c>
      <c r="AK593" s="261">
        <f>IFERROR(AVERAGE('Dry_Litterbag Placem_Collection'!N154,'Dry_Litterbag Placem_Collection'!Q154),"")</f>
        <v>28.45</v>
      </c>
      <c r="AL593" s="260">
        <f>INDEX([2]Coordinates!$B$2:$B$197,MATCH(I593,[2]Coordinates!$J$2:$J$197,0))</f>
        <v>-2.367543988</v>
      </c>
      <c r="AM593" s="260">
        <f>INDEX([2]Coordinates!$C$2:$C$197,MATCH(I593,[2]Coordinates!$J$2:$J$197,0))</f>
        <v>34.060168969999999</v>
      </c>
      <c r="AN593" s="260" t="str">
        <f>IF(ISNUMBER(SEARCH("C", 'Dry_Litterbag Placem_Collection'!U154)),"YES","NO")</f>
        <v>NO</v>
      </c>
      <c r="AO593" s="260" t="str">
        <f>IF(ISNUMBER(SEARCH("H", 'Dry_Litterbag Placem_Collection'!U154)),"YES","NO")</f>
        <v>NO</v>
      </c>
      <c r="AP593" s="260" t="str">
        <f>IF(ISNUMBER(SEARCH("R", 'Dry_Litterbag Placem_Collection'!U154)),"YES","NO")</f>
        <v>NO</v>
      </c>
    </row>
    <row r="594" spans="1:42" ht="15" customHeight="1">
      <c r="A594" t="s">
        <v>3248</v>
      </c>
      <c r="B594" s="252" t="s">
        <v>2643</v>
      </c>
      <c r="C594" s="253">
        <f>'Dry_Litterbag Placem_Collection'!A155</f>
        <v>153</v>
      </c>
      <c r="D594" s="253" t="str">
        <f>'Dry_Litterbag Placem_Collection'!B155</f>
        <v xml:space="preserve">Mwantimba
</v>
      </c>
      <c r="E594" s="253" t="s">
        <v>2454</v>
      </c>
      <c r="F594" s="253" t="s">
        <v>20</v>
      </c>
      <c r="G594" s="253">
        <v>4</v>
      </c>
      <c r="H594" s="253" t="s">
        <v>3125</v>
      </c>
      <c r="I594" s="254" t="str">
        <f>'Dry_Litterbag Placem_Collection'!C155</f>
        <v>Wet_P4_T1</v>
      </c>
      <c r="J594" s="263" t="s">
        <v>2932</v>
      </c>
      <c r="K594" s="256" t="s">
        <v>1147</v>
      </c>
      <c r="L594" s="253" t="str">
        <f>IF(ISBLANK('Dry_Litterbag Placem_Collection'!L155),"","G"&amp;""&amp;'Dry_Litterbag Placem_Collection'!L155)</f>
        <v>G19</v>
      </c>
      <c r="M594" s="257">
        <f>IFERROR(INDEX('Green_rooibos initial weight'!$C$5:$C$2000,MATCH(L594, 'Green_rooibos initial weight'!$A$5:$A$2000,0)),"")</f>
        <v>2.0659999999999998</v>
      </c>
      <c r="N594" s="257">
        <f>IFERROR(M594-(TBIcalc!$Q$9+TBIcalc!$Q$10),"")</f>
        <v>1.8161999999999998</v>
      </c>
      <c r="O594" s="378">
        <f>AVERAGE(Ashed_controlls!$K$2:$K$11)</f>
        <v>5.5147656768714146</v>
      </c>
      <c r="P594" s="257">
        <f t="shared" si="46"/>
        <v>1.7160408257766613</v>
      </c>
      <c r="Q594" s="257">
        <f>IFERROR(INDEX('Both teabags AfterDry'!$D$2:$D$2000,MATCH(L594,'Both teabags AfterDry'!$A$2:$A$2000,0)),"")</f>
        <v>1.0404</v>
      </c>
      <c r="R594" s="257">
        <f>IFERROR(IF(Q594&gt;0,Q594-(TBIcalc!$Q$9),""),"")</f>
        <v>0.88979999999999992</v>
      </c>
      <c r="S594" s="268">
        <f>IFERROR(INDEX('Ashed teabags dry'!$K$2:$K$2000,MATCH(L594,'Ashed teabags dry'!$A$2:$A$2000,0)),"")</f>
        <v>12.463485881207744</v>
      </c>
      <c r="T594" s="268">
        <f t="shared" si="47"/>
        <v>0.77889990262901343</v>
      </c>
      <c r="U594" s="258">
        <f>IF('Dry_Litterbag Placem_Collection'!E155="","",'Dry_Litterbag Placem_Collection'!E155)</f>
        <v>42939</v>
      </c>
      <c r="V594" s="258">
        <f>IF('Dry_Litterbag Placem_Collection'!G155="","",'Dry_Litterbag Placem_Collection'!G155)</f>
        <v>43010</v>
      </c>
      <c r="W594" s="259">
        <f t="shared" si="45"/>
        <v>71</v>
      </c>
      <c r="X594" s="257">
        <f t="shared" si="48"/>
        <v>0.92639999999999989</v>
      </c>
      <c r="Y594" s="257">
        <f t="shared" si="49"/>
        <v>0.93714092314764785</v>
      </c>
      <c r="Z594" s="261">
        <f>IFERROR(INDEX([3]Rainfall_Dry!$O$2:$O$217,MATCH(C594, [3]Rainfall_Dry!$A$2:$A$217,0)),"")</f>
        <v>137.19979645800001</v>
      </c>
      <c r="AA594" s="250">
        <v>27.96</v>
      </c>
      <c r="AB594" s="250">
        <v>4.9200000000000017</v>
      </c>
      <c r="AC594" s="250">
        <v>67.12</v>
      </c>
      <c r="AD594" s="251" t="s">
        <v>2651</v>
      </c>
      <c r="AE594" s="250">
        <v>1.0437161163134547</v>
      </c>
      <c r="AF594">
        <f>IF('WetLitterbags placem_collection'!AB155="","",'WetLitterbags placem_collection'!AB155)</f>
        <v>2.1</v>
      </c>
      <c r="AG594">
        <f>IF('WetLitterbags placem_collection'!Z155="","",'WetLitterbags placem_collection'!Z155)</f>
        <v>16.399999999999999</v>
      </c>
      <c r="AH594" s="236" t="str">
        <f>IF('WetLitterbags placem_collection'!AA155="","",'WetLitterbags placem_collection'!AA155)</f>
        <v>G</v>
      </c>
      <c r="AI594">
        <f>IF('WetLitterbags placem_collection'!AC155="","",'WetLitterbags placem_collection'!AC155)</f>
        <v>0</v>
      </c>
      <c r="AJ594">
        <f>IFERROR(AVERAGE('Dry_Litterbag Placem_Collection'!O155,'Dry_Litterbag Placem_Collection'!R155),"")</f>
        <v>5.65</v>
      </c>
      <c r="AK594" s="261">
        <f>IFERROR(AVERAGE('Dry_Litterbag Placem_Collection'!N155,'Dry_Litterbag Placem_Collection'!Q155),"")</f>
        <v>31.65</v>
      </c>
      <c r="AL594" s="260">
        <f>INDEX([2]Coordinates!$B$2:$B$197,MATCH(I594,[2]Coordinates!$J$2:$J$197,0))</f>
        <v>-2.3676780150000001</v>
      </c>
      <c r="AM594" s="260">
        <f>INDEX([2]Coordinates!$C$2:$C$197,MATCH(I594,[2]Coordinates!$J$2:$J$197,0))</f>
        <v>34.05937797</v>
      </c>
      <c r="AN594" s="260" t="str">
        <f>IF(ISNUMBER(SEARCH("C", 'Dry_Litterbag Placem_Collection'!U155)),"YES","NO")</f>
        <v>NO</v>
      </c>
      <c r="AO594" s="260" t="str">
        <f>IF(ISNUMBER(SEARCH("H", 'Dry_Litterbag Placem_Collection'!U155)),"YES","NO")</f>
        <v>NO</v>
      </c>
      <c r="AP594" s="260" t="str">
        <f>IF(ISNUMBER(SEARCH("R", 'Dry_Litterbag Placem_Collection'!U155)),"YES","NO")</f>
        <v>NO</v>
      </c>
    </row>
    <row r="595" spans="1:42" ht="15" customHeight="1">
      <c r="A595" t="s">
        <v>3248</v>
      </c>
      <c r="B595" s="252" t="s">
        <v>2643</v>
      </c>
      <c r="C595" s="253">
        <f>'Dry_Litterbag Placem_Collection'!A156</f>
        <v>154</v>
      </c>
      <c r="D595" s="253" t="str">
        <f>'Dry_Litterbag Placem_Collection'!B156</f>
        <v xml:space="preserve">Mwantimba
</v>
      </c>
      <c r="E595" s="253" t="s">
        <v>2454</v>
      </c>
      <c r="F595" s="253" t="s">
        <v>20</v>
      </c>
      <c r="G595" s="253">
        <v>4</v>
      </c>
      <c r="H595" s="253" t="s">
        <v>3125</v>
      </c>
      <c r="I595" s="254" t="str">
        <f>'Dry_Litterbag Placem_Collection'!C156</f>
        <v>Wet_P4_T2</v>
      </c>
      <c r="J595" s="263" t="s">
        <v>2932</v>
      </c>
      <c r="K595" s="256" t="s">
        <v>1147</v>
      </c>
      <c r="L595" s="253" t="str">
        <f>IF(ISBLANK('Dry_Litterbag Placem_Collection'!L156),"","G"&amp;""&amp;'Dry_Litterbag Placem_Collection'!L156)</f>
        <v>G275</v>
      </c>
      <c r="M595" s="257">
        <f>IFERROR(INDEX('Green_rooibos initial weight'!$C$5:$C$2000,MATCH(L595, 'Green_rooibos initial weight'!$A$5:$A$2000,0)),"")</f>
        <v>2.097</v>
      </c>
      <c r="N595" s="257">
        <f>IFERROR(M595-(TBIcalc!$Q$9+TBIcalc!$Q$10),"")</f>
        <v>1.8472</v>
      </c>
      <c r="O595" s="378">
        <f>AVERAGE(Ashed_controlls!$K$2:$K$11)</f>
        <v>5.5147656768714146</v>
      </c>
      <c r="P595" s="257">
        <f t="shared" si="46"/>
        <v>1.7453312484168313</v>
      </c>
      <c r="Q595" s="257">
        <f>IFERROR(INDEX('Both teabags AfterDry'!$D$2:$D$2000,MATCH(L595,'Both teabags AfterDry'!$A$2:$A$2000,0)),"")</f>
        <v>1.2171000000000001</v>
      </c>
      <c r="R595" s="257">
        <f>IFERROR(IF(Q595&gt;0,Q595-(TBIcalc!$Q$9),""),"")</f>
        <v>1.0665</v>
      </c>
      <c r="S595" s="268">
        <f>IFERROR(INDEX('Ashed teabags dry'!$K$2:$K$2000,MATCH(L595,'Ashed teabags dry'!$A$2:$A$2000,0)),"")</f>
        <v>17.669902912621797</v>
      </c>
      <c r="T595" s="268">
        <f t="shared" si="47"/>
        <v>0.87805048543688857</v>
      </c>
      <c r="U595" s="258">
        <f>IF('Dry_Litterbag Placem_Collection'!E156="","",'Dry_Litterbag Placem_Collection'!E156)</f>
        <v>42939</v>
      </c>
      <c r="V595" s="258">
        <f>IF('Dry_Litterbag Placem_Collection'!G156="","",'Dry_Litterbag Placem_Collection'!G156)</f>
        <v>43010</v>
      </c>
      <c r="W595" s="259">
        <f t="shared" si="45"/>
        <v>71</v>
      </c>
      <c r="X595" s="257">
        <f t="shared" si="48"/>
        <v>0.78069999999999995</v>
      </c>
      <c r="Y595" s="257">
        <f t="shared" si="49"/>
        <v>0.86728076297994272</v>
      </c>
      <c r="Z595" s="261">
        <f>IFERROR(INDEX([3]Rainfall_Dry!$O$2:$O$217,MATCH(C595, [3]Rainfall_Dry!$A$2:$A$217,0)),"")</f>
        <v>137.19979645800001</v>
      </c>
      <c r="AA595" s="250">
        <v>27.96</v>
      </c>
      <c r="AB595" s="250">
        <v>4.9200000000000017</v>
      </c>
      <c r="AC595" s="250">
        <v>67.12</v>
      </c>
      <c r="AD595" s="251" t="s">
        <v>2651</v>
      </c>
      <c r="AE595" s="250">
        <v>2.0437161163134498</v>
      </c>
      <c r="AF595">
        <f>IF('WetLitterbags placem_collection'!AB156="","",'WetLitterbags placem_collection'!AB156)</f>
        <v>2.15</v>
      </c>
      <c r="AG595">
        <f>IF('WetLitterbags placem_collection'!Z156="","",'WetLitterbags placem_collection'!Z156)</f>
        <v>9</v>
      </c>
      <c r="AH595" s="236" t="str">
        <f>IF('WetLitterbags placem_collection'!AA156="","",'WetLitterbags placem_collection'!AA156)</f>
        <v>G</v>
      </c>
      <c r="AI595">
        <f>IF('WetLitterbags placem_collection'!AC156="","",'WetLitterbags placem_collection'!AC156)</f>
        <v>0</v>
      </c>
      <c r="AJ595">
        <f>IFERROR(AVERAGE('Dry_Litterbag Placem_Collection'!O156,'Dry_Litterbag Placem_Collection'!R156),"")</f>
        <v>4.05</v>
      </c>
      <c r="AK595" s="261">
        <f>IFERROR(AVERAGE('Dry_Litterbag Placem_Collection'!N156,'Dry_Litterbag Placem_Collection'!Q156),"")</f>
        <v>30.45</v>
      </c>
      <c r="AL595" s="260">
        <f>INDEX([2]Coordinates!$B$2:$B$197,MATCH(I595,[2]Coordinates!$J$2:$J$197,0))</f>
        <v>-2.3677299820000002</v>
      </c>
      <c r="AM595" s="260">
        <f>INDEX([2]Coordinates!$C$2:$C$197,MATCH(I595,[2]Coordinates!$J$2:$J$197,0))</f>
        <v>34.059351990000003</v>
      </c>
      <c r="AN595" s="260" t="str">
        <f>IF(ISNUMBER(SEARCH("C", 'Dry_Litterbag Placem_Collection'!U156)),"YES","NO")</f>
        <v>NO</v>
      </c>
      <c r="AO595" s="260" t="str">
        <f>IF(ISNUMBER(SEARCH("H", 'Dry_Litterbag Placem_Collection'!U156)),"YES","NO")</f>
        <v>NO</v>
      </c>
      <c r="AP595" s="260" t="str">
        <f>IF(ISNUMBER(SEARCH("R", 'Dry_Litterbag Placem_Collection'!U156)),"YES","NO")</f>
        <v>NO</v>
      </c>
    </row>
    <row r="596" spans="1:42" ht="15" customHeight="1">
      <c r="A596" t="s">
        <v>3248</v>
      </c>
      <c r="B596" s="252" t="s">
        <v>2643</v>
      </c>
      <c r="C596" s="253">
        <f>'Dry_Litterbag Placem_Collection'!A157</f>
        <v>155</v>
      </c>
      <c r="D596" s="253" t="str">
        <f>'Dry_Litterbag Placem_Collection'!B157</f>
        <v xml:space="preserve">Mwantimba
</v>
      </c>
      <c r="E596" s="253" t="s">
        <v>2454</v>
      </c>
      <c r="F596" s="253" t="s">
        <v>20</v>
      </c>
      <c r="G596" s="253">
        <v>4</v>
      </c>
      <c r="H596" s="253" t="s">
        <v>3125</v>
      </c>
      <c r="I596" s="254" t="str">
        <f>'Dry_Litterbag Placem_Collection'!C157</f>
        <v>Wet_P4_T3</v>
      </c>
      <c r="J596" s="263" t="s">
        <v>2932</v>
      </c>
      <c r="K596" s="256" t="s">
        <v>1147</v>
      </c>
      <c r="L596" s="253" t="str">
        <f>IF(ISBLANK('Dry_Litterbag Placem_Collection'!L157),"","G"&amp;""&amp;'Dry_Litterbag Placem_Collection'!L157)</f>
        <v>G289</v>
      </c>
      <c r="M596" s="257">
        <f>IFERROR(INDEX('Green_rooibos initial weight'!$C$5:$C$2000,MATCH(L596, 'Green_rooibos initial weight'!$A$5:$A$2000,0)),"")</f>
        <v>2.093</v>
      </c>
      <c r="N596" s="257">
        <f>IFERROR(M596-(TBIcalc!$Q$9+TBIcalc!$Q$10),"")</f>
        <v>1.8431999999999999</v>
      </c>
      <c r="O596" s="378">
        <f>AVERAGE(Ashed_controlls!$K$2:$K$11)</f>
        <v>5.5147656768714146</v>
      </c>
      <c r="P596" s="257">
        <f t="shared" si="46"/>
        <v>1.741551839043906</v>
      </c>
      <c r="Q596" s="257">
        <f>IFERROR(INDEX('Both teabags AfterDry'!$D$2:$D$2000,MATCH(L596,'Both teabags AfterDry'!$A$2:$A$2000,0)),"")</f>
        <v>1.2491000000000001</v>
      </c>
      <c r="R596" s="257">
        <f>IFERROR(IF(Q596&gt;0,Q596-(TBIcalc!$Q$9),""),"")</f>
        <v>1.0985</v>
      </c>
      <c r="S596" s="268">
        <f>IFERROR(INDEX('Ashed teabags dry'!$K$2:$K$2000,MATCH(L596,'Ashed teabags dry'!$A$2:$A$2000,0)),"")</f>
        <v>10.862152946907919</v>
      </c>
      <c r="T596" s="268">
        <f t="shared" si="47"/>
        <v>0.97917924987821658</v>
      </c>
      <c r="U596" s="258">
        <f>IF('Dry_Litterbag Placem_Collection'!E157="","",'Dry_Litterbag Placem_Collection'!E157)</f>
        <v>42939</v>
      </c>
      <c r="V596" s="258">
        <f>IF('Dry_Litterbag Placem_Collection'!G157="","",'Dry_Litterbag Placem_Collection'!G157)</f>
        <v>43010</v>
      </c>
      <c r="W596" s="259">
        <f t="shared" si="45"/>
        <v>71</v>
      </c>
      <c r="X596" s="257">
        <f t="shared" si="48"/>
        <v>0.74469999999999992</v>
      </c>
      <c r="Y596" s="257">
        <f t="shared" si="49"/>
        <v>0.7623725891656894</v>
      </c>
      <c r="Z596" s="261">
        <f>IFERROR(INDEX([3]Rainfall_Dry!$O$2:$O$217,MATCH(C596, [3]Rainfall_Dry!$A$2:$A$217,0)),"")</f>
        <v>137.19979645800001</v>
      </c>
      <c r="AA596" s="250">
        <v>27.96</v>
      </c>
      <c r="AB596" s="250">
        <v>4.9200000000000017</v>
      </c>
      <c r="AC596" s="250">
        <v>67.12</v>
      </c>
      <c r="AD596" s="251" t="s">
        <v>2651</v>
      </c>
      <c r="AE596" s="250">
        <v>3.0437161163134498</v>
      </c>
      <c r="AF596">
        <f>IF('WetLitterbags placem_collection'!AB157="","",'WetLitterbags placem_collection'!AB157)</f>
        <v>1.2</v>
      </c>
      <c r="AG596">
        <f>IF('WetLitterbags placem_collection'!Z157="","",'WetLitterbags placem_collection'!Z157)</f>
        <v>11</v>
      </c>
      <c r="AH596" s="236" t="str">
        <f>IF('WetLitterbags placem_collection'!AA157="","",'WetLitterbags placem_collection'!AA157)</f>
        <v>G</v>
      </c>
      <c r="AI596">
        <f>IF('WetLitterbags placem_collection'!AC157="","",'WetLitterbags placem_collection'!AC157)</f>
        <v>0</v>
      </c>
      <c r="AJ596">
        <f>IFERROR(AVERAGE('Dry_Litterbag Placem_Collection'!O157,'Dry_Litterbag Placem_Collection'!R157),"")</f>
        <v>5.0999999999999996</v>
      </c>
      <c r="AK596" s="261">
        <f>IFERROR(AVERAGE('Dry_Litterbag Placem_Collection'!N157,'Dry_Litterbag Placem_Collection'!Q157),"")</f>
        <v>29.4</v>
      </c>
      <c r="AL596" s="260">
        <f>INDEX([2]Coordinates!$B$2:$B$197,MATCH(I596,[2]Coordinates!$J$2:$J$197,0))</f>
        <v>-2.3677119609999999</v>
      </c>
      <c r="AM596" s="260">
        <f>INDEX([2]Coordinates!$C$2:$C$197,MATCH(I596,[2]Coordinates!$J$2:$J$197,0))</f>
        <v>34.059339000000001</v>
      </c>
      <c r="AN596" s="260" t="str">
        <f>IF(ISNUMBER(SEARCH("C", 'Dry_Litterbag Placem_Collection'!U157)),"YES","NO")</f>
        <v>NO</v>
      </c>
      <c r="AO596" s="260" t="str">
        <f>IF(ISNUMBER(SEARCH("H", 'Dry_Litterbag Placem_Collection'!U157)),"YES","NO")</f>
        <v>NO</v>
      </c>
      <c r="AP596" s="260" t="str">
        <f>IF(ISNUMBER(SEARCH("R", 'Dry_Litterbag Placem_Collection'!U157)),"YES","NO")</f>
        <v>NO</v>
      </c>
    </row>
    <row r="597" spans="1:42" ht="15" customHeight="1">
      <c r="A597" t="s">
        <v>3248</v>
      </c>
      <c r="B597" s="252" t="s">
        <v>2643</v>
      </c>
      <c r="C597" s="253">
        <f>'Dry_Litterbag Placem_Collection'!A158</f>
        <v>156</v>
      </c>
      <c r="D597" s="253" t="str">
        <f>'Dry_Litterbag Placem_Collection'!B158</f>
        <v xml:space="preserve">Mwantimba
</v>
      </c>
      <c r="E597" s="253" t="s">
        <v>2454</v>
      </c>
      <c r="F597" s="253" t="s">
        <v>20</v>
      </c>
      <c r="G597" s="253">
        <v>4</v>
      </c>
      <c r="H597" s="253" t="s">
        <v>3125</v>
      </c>
      <c r="I597" s="254" t="str">
        <f>'Dry_Litterbag Placem_Collection'!C158</f>
        <v>Wet_P4_T4</v>
      </c>
      <c r="J597" s="263" t="s">
        <v>2932</v>
      </c>
      <c r="K597" s="256" t="s">
        <v>1147</v>
      </c>
      <c r="L597" s="253" t="str">
        <f>IF(ISBLANK('Dry_Litterbag Placem_Collection'!L158),"","G"&amp;""&amp;'Dry_Litterbag Placem_Collection'!L158)</f>
        <v>G65</v>
      </c>
      <c r="M597" s="257">
        <f>IFERROR(INDEX('Green_rooibos initial weight'!$C$5:$C$2000,MATCH(L597, 'Green_rooibos initial weight'!$A$5:$A$2000,0)),"")</f>
        <v>2.0750000000000002</v>
      </c>
      <c r="N597" s="257">
        <f>IFERROR(M597-(TBIcalc!$Q$9+TBIcalc!$Q$10),"")</f>
        <v>1.8252000000000002</v>
      </c>
      <c r="O597" s="378">
        <f>AVERAGE(Ashed_controlls!$K$2:$K$11)</f>
        <v>5.5147656768714146</v>
      </c>
      <c r="P597" s="257">
        <f t="shared" si="46"/>
        <v>1.7245444968657431</v>
      </c>
      <c r="Q597" s="257">
        <f>IFERROR(INDEX('Both teabags AfterDry'!$D$2:$D$2000,MATCH(L597,'Both teabags AfterDry'!$A$2:$A$2000,0)),"")</f>
        <v>1.0561</v>
      </c>
      <c r="R597" s="257">
        <f>IFERROR(IF(Q597&gt;0,Q597-(TBIcalc!$Q$9),""),"")</f>
        <v>0.90549999999999997</v>
      </c>
      <c r="S597" s="268">
        <f>IFERROR(INDEX('Ashed teabags dry'!$K$2:$K$2000,MATCH(L597,'Ashed teabags dry'!$A$2:$A$2000,0)),"")</f>
        <v>16.530514175876895</v>
      </c>
      <c r="T597" s="268">
        <f t="shared" si="47"/>
        <v>0.75581619413743473</v>
      </c>
      <c r="U597" s="258">
        <f>IF('Dry_Litterbag Placem_Collection'!E158="","",'Dry_Litterbag Placem_Collection'!E158)</f>
        <v>42939</v>
      </c>
      <c r="V597" s="258">
        <f>IF('Dry_Litterbag Placem_Collection'!G158="","",'Dry_Litterbag Placem_Collection'!G158)</f>
        <v>43010</v>
      </c>
      <c r="W597" s="259">
        <f t="shared" si="45"/>
        <v>71</v>
      </c>
      <c r="X597" s="257">
        <f t="shared" si="48"/>
        <v>0.91970000000000018</v>
      </c>
      <c r="Y597" s="257">
        <f t="shared" si="49"/>
        <v>0.96872830272830834</v>
      </c>
      <c r="Z597" s="261">
        <f>IFERROR(INDEX([3]Rainfall_Dry!$O$2:$O$217,MATCH(C597, [3]Rainfall_Dry!$A$2:$A$217,0)),"")</f>
        <v>137.19979645800001</v>
      </c>
      <c r="AA597" s="250">
        <v>27.96</v>
      </c>
      <c r="AB597" s="250">
        <v>4.9200000000000017</v>
      </c>
      <c r="AC597" s="250">
        <v>67.12</v>
      </c>
      <c r="AD597" s="251" t="s">
        <v>2651</v>
      </c>
      <c r="AE597" s="250">
        <v>4.0437161163134503</v>
      </c>
      <c r="AF597">
        <f>IF('WetLitterbags placem_collection'!AB158="","",'WetLitterbags placem_collection'!AB158)</f>
        <v>1.55</v>
      </c>
      <c r="AG597">
        <f>IF('WetLitterbags placem_collection'!Z158="","",'WetLitterbags placem_collection'!Z158)</f>
        <v>9.1</v>
      </c>
      <c r="AH597" s="236" t="str">
        <f>IF('WetLitterbags placem_collection'!AA158="","",'WetLitterbags placem_collection'!AA158)</f>
        <v>O</v>
      </c>
      <c r="AI597">
        <f>IF('WetLitterbags placem_collection'!AC158="","",'WetLitterbags placem_collection'!AC158)</f>
        <v>0</v>
      </c>
      <c r="AJ597">
        <f>IFERROR(AVERAGE('Dry_Litterbag Placem_Collection'!O158,'Dry_Litterbag Placem_Collection'!R158),"")</f>
        <v>4.5</v>
      </c>
      <c r="AK597" s="261">
        <f>IFERROR(AVERAGE('Dry_Litterbag Placem_Collection'!N158,'Dry_Litterbag Placem_Collection'!Q158),"")</f>
        <v>30.35</v>
      </c>
      <c r="AL597" s="260">
        <f>INDEX([2]Coordinates!$B$2:$B$197,MATCH(I597,[2]Coordinates!$J$2:$J$197,0))</f>
        <v>-2.3676950300000001</v>
      </c>
      <c r="AM597" s="260">
        <f>INDEX([2]Coordinates!$C$2:$C$197,MATCH(I597,[2]Coordinates!$J$2:$J$197,0))</f>
        <v>34.059499010000003</v>
      </c>
      <c r="AN597" s="260" t="str">
        <f>IF(ISNUMBER(SEARCH("C", 'Dry_Litterbag Placem_Collection'!U158)),"YES","NO")</f>
        <v>NO</v>
      </c>
      <c r="AO597" s="260" t="str">
        <f>IF(ISNUMBER(SEARCH("H", 'Dry_Litterbag Placem_Collection'!U158)),"YES","NO")</f>
        <v>NO</v>
      </c>
      <c r="AP597" s="260" t="str">
        <f>IF(ISNUMBER(SEARCH("R", 'Dry_Litterbag Placem_Collection'!U158)),"YES","NO")</f>
        <v>NO</v>
      </c>
    </row>
    <row r="598" spans="1:42" ht="15" customHeight="1">
      <c r="A598" t="s">
        <v>3248</v>
      </c>
      <c r="B598" s="252" t="s">
        <v>2643</v>
      </c>
      <c r="C598" s="253">
        <f>'Dry_Litterbag Placem_Collection'!A159</f>
        <v>157</v>
      </c>
      <c r="D598" s="253" t="str">
        <f>'Dry_Litterbag Placem_Collection'!B159</f>
        <v xml:space="preserve">Mwantimba
</v>
      </c>
      <c r="E598" s="253" t="s">
        <v>2454</v>
      </c>
      <c r="F598" s="253" t="s">
        <v>20</v>
      </c>
      <c r="G598" s="253">
        <v>4</v>
      </c>
      <c r="H598" s="253" t="s">
        <v>3125</v>
      </c>
      <c r="I598" s="254" t="str">
        <f>'Dry_Litterbag Placem_Collection'!C159</f>
        <v>Wet_P4_T5</v>
      </c>
      <c r="J598" s="263" t="s">
        <v>2932</v>
      </c>
      <c r="K598" s="256" t="s">
        <v>1147</v>
      </c>
      <c r="L598" s="253" t="str">
        <f>IF(ISBLANK('Dry_Litterbag Placem_Collection'!L159),"","G"&amp;""&amp;'Dry_Litterbag Placem_Collection'!L159)</f>
        <v>G33</v>
      </c>
      <c r="M598" s="257">
        <f>IFERROR(INDEX('Green_rooibos initial weight'!$C$5:$C$2000,MATCH(L598, 'Green_rooibos initial weight'!$A$5:$A$2000,0)),"")</f>
        <v>2.0579999999999998</v>
      </c>
      <c r="N598" s="257">
        <f>IFERROR(M598-(TBIcalc!$Q$9+TBIcalc!$Q$10),"")</f>
        <v>1.8081999999999998</v>
      </c>
      <c r="O598" s="378">
        <f>AVERAGE(Ashed_controlls!$K$2:$K$11)</f>
        <v>5.5147656768714146</v>
      </c>
      <c r="P598" s="257">
        <f t="shared" si="46"/>
        <v>1.7084820070308109</v>
      </c>
      <c r="Q598" s="257" t="str">
        <f>IFERROR(INDEX('Both teabags AfterDry'!$D$2:$D$2000,MATCH(L598,'Both teabags AfterDry'!$A$2:$A$2000,0)),"")</f>
        <v/>
      </c>
      <c r="R598" s="257" t="str">
        <f>IFERROR(IF(Q598&gt;0,Q598-(TBIcalc!$Q$9),""),"")</f>
        <v/>
      </c>
      <c r="S598" s="268" t="str">
        <f>IFERROR(INDEX('Ashed teabags dry'!$K$2:$K$2000,MATCH(L598,'Ashed teabags dry'!$A$2:$A$2000,0)),"")</f>
        <v/>
      </c>
      <c r="T598" s="268" t="str">
        <f t="shared" si="47"/>
        <v/>
      </c>
      <c r="U598" s="258">
        <f>IF('Dry_Litterbag Placem_Collection'!E159="","",'Dry_Litterbag Placem_Collection'!E159)</f>
        <v>42939</v>
      </c>
      <c r="V598" s="258">
        <f>IF('Dry_Litterbag Placem_Collection'!G159="","",'Dry_Litterbag Placem_Collection'!G159)</f>
        <v>43010</v>
      </c>
      <c r="W598" s="259">
        <f t="shared" si="45"/>
        <v>71</v>
      </c>
      <c r="X598" s="257" t="str">
        <f t="shared" si="48"/>
        <v/>
      </c>
      <c r="Y598" s="257" t="str">
        <f t="shared" si="49"/>
        <v/>
      </c>
      <c r="Z598" s="261">
        <f>IFERROR(INDEX([3]Rainfall_Dry!$O$2:$O$217,MATCH(C598, [3]Rainfall_Dry!$A$2:$A$217,0)),"")</f>
        <v>137.19979645800001</v>
      </c>
      <c r="AA598" s="250">
        <v>27.96</v>
      </c>
      <c r="AB598" s="250">
        <v>4.9200000000000017</v>
      </c>
      <c r="AC598" s="250">
        <v>67.12</v>
      </c>
      <c r="AD598" s="251" t="s">
        <v>2651</v>
      </c>
      <c r="AE598" s="250">
        <v>5.0437161163134503</v>
      </c>
      <c r="AF598">
        <f>IF('WetLitterbags placem_collection'!AB159="","",'WetLitterbags placem_collection'!AB159)</f>
        <v>2.2999999999999998</v>
      </c>
      <c r="AG598">
        <f>IF('WetLitterbags placem_collection'!Z159="","",'WetLitterbags placem_collection'!Z159)</f>
        <v>7.7</v>
      </c>
      <c r="AH598" s="236" t="str">
        <f>IF('WetLitterbags placem_collection'!AA159="","",'WetLitterbags placem_collection'!AA159)</f>
        <v>O</v>
      </c>
      <c r="AI598">
        <f>IF('WetLitterbags placem_collection'!AC159="","",'WetLitterbags placem_collection'!AC159)</f>
        <v>0</v>
      </c>
      <c r="AJ598">
        <f>IFERROR(AVERAGE('Dry_Litterbag Placem_Collection'!O159,'Dry_Litterbag Placem_Collection'!R159),"")</f>
        <v>5.65</v>
      </c>
      <c r="AK598" s="261">
        <f>IFERROR(AVERAGE('Dry_Litterbag Placem_Collection'!N159,'Dry_Litterbag Placem_Collection'!Q159),"")</f>
        <v>29.85</v>
      </c>
      <c r="AL598" s="260">
        <f>INDEX([2]Coordinates!$B$2:$B$197,MATCH(I598,[2]Coordinates!$J$2:$J$197,0))</f>
        <v>-2.3678019830000001</v>
      </c>
      <c r="AM598" s="260">
        <f>INDEX([2]Coordinates!$C$2:$C$197,MATCH(I598,[2]Coordinates!$J$2:$J$197,0))</f>
        <v>34.059521969999999</v>
      </c>
      <c r="AN598" s="260" t="str">
        <f>IF(ISNUMBER(SEARCH("C", 'Dry_Litterbag Placem_Collection'!U159)),"YES","NO")</f>
        <v>NO</v>
      </c>
      <c r="AO598" s="260" t="str">
        <f>IF(ISNUMBER(SEARCH("H", 'Dry_Litterbag Placem_Collection'!U159)),"YES","NO")</f>
        <v>NO</v>
      </c>
      <c r="AP598" s="260" t="str">
        <f>IF(ISNUMBER(SEARCH("R", 'Dry_Litterbag Placem_Collection'!U159)),"YES","NO")</f>
        <v>NO</v>
      </c>
    </row>
    <row r="599" spans="1:42" ht="15" customHeight="1">
      <c r="A599" t="s">
        <v>3248</v>
      </c>
      <c r="B599" s="252" t="s">
        <v>2643</v>
      </c>
      <c r="C599" s="253">
        <f>'Dry_Litterbag Placem_Collection'!A160</f>
        <v>158</v>
      </c>
      <c r="D599" s="253" t="str">
        <f>'Dry_Litterbag Placem_Collection'!B160</f>
        <v xml:space="preserve">Mwantimba
</v>
      </c>
      <c r="E599" s="253" t="s">
        <v>2454</v>
      </c>
      <c r="F599" s="253" t="s">
        <v>20</v>
      </c>
      <c r="G599" s="253">
        <v>4</v>
      </c>
      <c r="H599" s="253" t="s">
        <v>3125</v>
      </c>
      <c r="I599" s="254" t="str">
        <f>'Dry_Litterbag Placem_Collection'!C160</f>
        <v>Wet_P4_T6</v>
      </c>
      <c r="J599" s="263" t="s">
        <v>2932</v>
      </c>
      <c r="K599" s="256" t="s">
        <v>1147</v>
      </c>
      <c r="L599" s="253" t="str">
        <f>IF(ISBLANK('Dry_Litterbag Placem_Collection'!L160),"","G"&amp;""&amp;'Dry_Litterbag Placem_Collection'!L160)</f>
        <v>G153</v>
      </c>
      <c r="M599" s="257">
        <f>IFERROR(INDEX('Green_rooibos initial weight'!$C$5:$C$2000,MATCH(L599, 'Green_rooibos initial weight'!$A$5:$A$2000,0)),"")</f>
        <v>2.0529999999999999</v>
      </c>
      <c r="N599" s="257">
        <f>IFERROR(M599-(TBIcalc!$Q$9+TBIcalc!$Q$10),"")</f>
        <v>1.8031999999999999</v>
      </c>
      <c r="O599" s="378">
        <f>AVERAGE(Ashed_controlls!$K$2:$K$11)</f>
        <v>5.5147656768714146</v>
      </c>
      <c r="P599" s="257">
        <f t="shared" si="46"/>
        <v>1.7037577453146546</v>
      </c>
      <c r="Q599" s="257">
        <f>IFERROR(INDEX('Both teabags AfterDry'!$D$2:$D$2000,MATCH(L599,'Both teabags AfterDry'!$A$2:$A$2000,0)),"")</f>
        <v>0.87609999999999999</v>
      </c>
      <c r="R599" s="257">
        <f>IFERROR(IF(Q599&gt;0,Q599-(TBIcalc!$Q$9),""),"")</f>
        <v>0.72550000000000003</v>
      </c>
      <c r="S599" s="268">
        <f>IFERROR(INDEX('Ashed teabags dry'!$K$2:$K$2000,MATCH(L599,'Ashed teabags dry'!$A$2:$A$2000,0)),"")</f>
        <v>71.165940977261897</v>
      </c>
      <c r="T599" s="268">
        <f t="shared" si="47"/>
        <v>0.20919109820996495</v>
      </c>
      <c r="U599" s="258">
        <f>IF('Dry_Litterbag Placem_Collection'!E160="","",'Dry_Litterbag Placem_Collection'!E160)</f>
        <v>42939</v>
      </c>
      <c r="V599" s="258">
        <f>IF('Dry_Litterbag Placem_Collection'!G160="","",'Dry_Litterbag Placem_Collection'!G160)</f>
        <v>43010</v>
      </c>
      <c r="W599" s="259">
        <f t="shared" si="45"/>
        <v>71</v>
      </c>
      <c r="X599" s="257">
        <f t="shared" si="48"/>
        <v>1.0776999999999999</v>
      </c>
      <c r="Y599" s="257">
        <f t="shared" si="49"/>
        <v>1.4945666471046897</v>
      </c>
      <c r="Z599" s="261">
        <f>IFERROR(INDEX([3]Rainfall_Dry!$O$2:$O$217,MATCH(C599, [3]Rainfall_Dry!$A$2:$A$217,0)),"")</f>
        <v>137.19979645800001</v>
      </c>
      <c r="AA599" s="250">
        <v>27.96</v>
      </c>
      <c r="AB599" s="250">
        <v>4.9200000000000017</v>
      </c>
      <c r="AC599" s="250">
        <v>67.12</v>
      </c>
      <c r="AD599" s="251" t="s">
        <v>2651</v>
      </c>
      <c r="AE599" s="250">
        <v>6.0437161163134503</v>
      </c>
      <c r="AF599">
        <f>IF('WetLitterbags placem_collection'!AB160="","",'WetLitterbags placem_collection'!AB160)</f>
        <v>1.9</v>
      </c>
      <c r="AG599">
        <f>IF('WetLitterbags placem_collection'!Z160="","",'WetLitterbags placem_collection'!Z160)</f>
        <v>4.3</v>
      </c>
      <c r="AH599" s="236" t="str">
        <f>IF('WetLitterbags placem_collection'!AA160="","",'WetLitterbags placem_collection'!AA160)</f>
        <v>O</v>
      </c>
      <c r="AI599">
        <f>IF('WetLitterbags placem_collection'!AC160="","",'WetLitterbags placem_collection'!AC160)</f>
        <v>0</v>
      </c>
      <c r="AJ599">
        <f>IFERROR(AVERAGE('Dry_Litterbag Placem_Collection'!O160,'Dry_Litterbag Placem_Collection'!R160),"")</f>
        <v>5.95</v>
      </c>
      <c r="AK599" s="261">
        <f>IFERROR(AVERAGE('Dry_Litterbag Placem_Collection'!N160,'Dry_Litterbag Placem_Collection'!Q160),"")</f>
        <v>31.8</v>
      </c>
      <c r="AL599" s="260">
        <f>INDEX([2]Coordinates!$B$2:$B$197,MATCH(I599,[2]Coordinates!$J$2:$J$197,0))</f>
        <v>-2.3679270410000002</v>
      </c>
      <c r="AM599" s="260">
        <f>INDEX([2]Coordinates!$C$2:$C$197,MATCH(I599,[2]Coordinates!$J$2:$J$197,0))</f>
        <v>34.059300020000002</v>
      </c>
      <c r="AN599" s="260" t="str">
        <f>IF(ISNUMBER(SEARCH("C", 'Dry_Litterbag Placem_Collection'!U160)),"YES","NO")</f>
        <v>NO</v>
      </c>
      <c r="AO599" s="260" t="str">
        <f>IF(ISNUMBER(SEARCH("H", 'Dry_Litterbag Placem_Collection'!U160)),"YES","NO")</f>
        <v>NO</v>
      </c>
      <c r="AP599" s="260" t="str">
        <f>IF(ISNUMBER(SEARCH("R", 'Dry_Litterbag Placem_Collection'!U160)),"YES","NO")</f>
        <v>NO</v>
      </c>
    </row>
    <row r="600" spans="1:42" ht="15" customHeight="1">
      <c r="A600" t="s">
        <v>3248</v>
      </c>
      <c r="B600" s="252" t="s">
        <v>2643</v>
      </c>
      <c r="C600" s="253">
        <f>'Dry_Litterbag Placem_Collection'!A161</f>
        <v>159</v>
      </c>
      <c r="D600" s="253" t="str">
        <f>'Dry_Litterbag Placem_Collection'!B161</f>
        <v xml:space="preserve">Mwantimba
</v>
      </c>
      <c r="E600" s="253" t="s">
        <v>2454</v>
      </c>
      <c r="F600" s="253" t="s">
        <v>20</v>
      </c>
      <c r="G600" s="253">
        <v>4</v>
      </c>
      <c r="H600" s="253" t="s">
        <v>3125</v>
      </c>
      <c r="I600" s="254" t="str">
        <f>'Dry_Litterbag Placem_Collection'!C161</f>
        <v>Wet_P4_T7</v>
      </c>
      <c r="J600" s="263" t="s">
        <v>2932</v>
      </c>
      <c r="K600" s="256" t="s">
        <v>1147</v>
      </c>
      <c r="L600" s="253" t="str">
        <f>IF(ISBLANK('Dry_Litterbag Placem_Collection'!L161),"","G"&amp;""&amp;'Dry_Litterbag Placem_Collection'!L161)</f>
        <v/>
      </c>
      <c r="M600" s="257" t="str">
        <f>IFERROR(INDEX('Green_rooibos initial weight'!$C$5:$C$2000,MATCH(L600, 'Green_rooibos initial weight'!$A$5:$A$2000,0)),"")</f>
        <v/>
      </c>
      <c r="N600" s="257" t="str">
        <f>IFERROR(M600-(TBIcalc!$Q$9+TBIcalc!$Q$10),"")</f>
        <v/>
      </c>
      <c r="O600" s="378">
        <f>AVERAGE(Ashed_controlls!$K$2:$K$11)</f>
        <v>5.5147656768714146</v>
      </c>
      <c r="P600" s="257" t="str">
        <f t="shared" si="46"/>
        <v/>
      </c>
      <c r="Q600" s="257" t="str">
        <f>IFERROR(INDEX('Both teabags AfterDry'!$D$2:$D$2000,MATCH(L600,'Both teabags AfterDry'!$A$2:$A$2000,0)),"")</f>
        <v/>
      </c>
      <c r="R600" s="257" t="str">
        <f>IFERROR(IF(Q600&gt;0,Q600-(TBIcalc!$Q$9),""),"")</f>
        <v/>
      </c>
      <c r="S600" s="268" t="str">
        <f>IFERROR(INDEX('Ashed teabags dry'!$K$2:$K$2000,MATCH(L600,'Ashed teabags dry'!$A$2:$A$2000,0)),"")</f>
        <v/>
      </c>
      <c r="T600" s="268" t="str">
        <f t="shared" si="47"/>
        <v/>
      </c>
      <c r="U600" s="258" t="str">
        <f>IF('Dry_Litterbag Placem_Collection'!E161="","",'Dry_Litterbag Placem_Collection'!E161)</f>
        <v/>
      </c>
      <c r="V600" s="258" t="str">
        <f>IF('Dry_Litterbag Placem_Collection'!G161="","",'Dry_Litterbag Placem_Collection'!G161)</f>
        <v/>
      </c>
      <c r="W600" s="259" t="str">
        <f t="shared" si="45"/>
        <v/>
      </c>
      <c r="X600" s="257" t="str">
        <f t="shared" si="48"/>
        <v/>
      </c>
      <c r="Y600" s="257" t="str">
        <f t="shared" si="49"/>
        <v/>
      </c>
      <c r="Z600" s="261" t="str">
        <f>IFERROR(INDEX([3]Rainfall_Dry!$O$2:$O$217,MATCH(C600, [3]Rainfall_Dry!$A$2:$A$217,0)),"")</f>
        <v/>
      </c>
      <c r="AA600" s="250">
        <v>27.96</v>
      </c>
      <c r="AB600" s="250">
        <v>4.9200000000000017</v>
      </c>
      <c r="AC600" s="250">
        <v>67.12</v>
      </c>
      <c r="AD600" s="251" t="s">
        <v>2651</v>
      </c>
      <c r="AE600" s="250">
        <v>7.0437161163134503</v>
      </c>
      <c r="AF600">
        <f>IF('WetLitterbags placem_collection'!AB161="","",'WetLitterbags placem_collection'!AB161)</f>
        <v>2.65</v>
      </c>
      <c r="AG600">
        <f>IF('WetLitterbags placem_collection'!Z161="","",'WetLitterbags placem_collection'!Z161)</f>
        <v>0</v>
      </c>
      <c r="AH600" s="236" t="str">
        <f>IF('WetLitterbags placem_collection'!AA161="","",'WetLitterbags placem_collection'!AA161)</f>
        <v>G</v>
      </c>
      <c r="AI600">
        <f>IF('WetLitterbags placem_collection'!AC161="","",'WetLitterbags placem_collection'!AC161)</f>
        <v>1</v>
      </c>
      <c r="AJ600" t="str">
        <f>IFERROR(AVERAGE('Dry_Litterbag Placem_Collection'!O161,'Dry_Litterbag Placem_Collection'!R161),"")</f>
        <v/>
      </c>
      <c r="AK600" s="261" t="str">
        <f>IFERROR(AVERAGE('Dry_Litterbag Placem_Collection'!N161,'Dry_Litterbag Placem_Collection'!Q161),"")</f>
        <v/>
      </c>
      <c r="AL600" s="260">
        <f>INDEX([2]Coordinates!$B$2:$B$197,MATCH(I600,[2]Coordinates!$J$2:$J$197,0))</f>
        <v>-2.3676829599999998</v>
      </c>
      <c r="AM600" s="260">
        <f>INDEX([2]Coordinates!$C$2:$C$197,MATCH(I600,[2]Coordinates!$J$2:$J$197,0))</f>
        <v>34.059236990000002</v>
      </c>
      <c r="AN600" s="260" t="str">
        <f>IF(ISNUMBER(SEARCH("C", 'Dry_Litterbag Placem_Collection'!U161)),"YES","NO")</f>
        <v>NO</v>
      </c>
      <c r="AO600" s="260" t="str">
        <f>IF(ISNUMBER(SEARCH("H", 'Dry_Litterbag Placem_Collection'!U161)),"YES","NO")</f>
        <v>NO</v>
      </c>
      <c r="AP600" s="260" t="str">
        <f>IF(ISNUMBER(SEARCH("R", 'Dry_Litterbag Placem_Collection'!U161)),"YES","NO")</f>
        <v>NO</v>
      </c>
    </row>
    <row r="601" spans="1:42" ht="15" customHeight="1">
      <c r="A601" t="s">
        <v>3248</v>
      </c>
      <c r="B601" s="252" t="s">
        <v>2643</v>
      </c>
      <c r="C601" s="253">
        <f>'Dry_Litterbag Placem_Collection'!A162</f>
        <v>160</v>
      </c>
      <c r="D601" s="253" t="str">
        <f>'Dry_Litterbag Placem_Collection'!B162</f>
        <v xml:space="preserve">Mwantimba
</v>
      </c>
      <c r="E601" s="253" t="s">
        <v>2454</v>
      </c>
      <c r="F601" s="253" t="s">
        <v>20</v>
      </c>
      <c r="G601" s="253">
        <v>4</v>
      </c>
      <c r="H601" s="253" t="s">
        <v>3125</v>
      </c>
      <c r="I601" s="254" t="str">
        <f>'Dry_Litterbag Placem_Collection'!C162</f>
        <v>Wet_P4_T8</v>
      </c>
      <c r="J601" s="263" t="s">
        <v>2932</v>
      </c>
      <c r="K601" s="256" t="s">
        <v>1147</v>
      </c>
      <c r="L601" s="253" t="str">
        <f>IF(ISBLANK('Dry_Litterbag Placem_Collection'!L162),"","G"&amp;""&amp;'Dry_Litterbag Placem_Collection'!L162)</f>
        <v>G175</v>
      </c>
      <c r="M601" s="257">
        <f>IFERROR(INDEX('Green_rooibos initial weight'!$C$5:$C$2000,MATCH(L601, 'Green_rooibos initial weight'!$A$5:$A$2000,0)),"")</f>
        <v>1.9930000000000001</v>
      </c>
      <c r="N601" s="257">
        <f>IFERROR(M601-(TBIcalc!$Q$9+TBIcalc!$Q$10),"")</f>
        <v>1.7432000000000001</v>
      </c>
      <c r="O601" s="378">
        <f>AVERAGE(Ashed_controlls!$K$2:$K$11)</f>
        <v>5.5147656768714146</v>
      </c>
      <c r="P601" s="257">
        <f t="shared" si="46"/>
        <v>1.6470666047207776</v>
      </c>
      <c r="Q601" s="257">
        <f>IFERROR(INDEX('Both teabags AfterDry'!$D$2:$D$2000,MATCH(L601,'Both teabags AfterDry'!$A$2:$A$2000,0)),"")</f>
        <v>1.2042999999999999</v>
      </c>
      <c r="R601" s="257">
        <f>IFERROR(IF(Q601&gt;0,Q601-(TBIcalc!$Q$9),""),"")</f>
        <v>1.0536999999999999</v>
      </c>
      <c r="S601" s="268">
        <f>IFERROR(INDEX('Ashed teabags dry'!$K$2:$K$2000,MATCH(L601,'Ashed teabags dry'!$A$2:$A$2000,0)),"")</f>
        <v>22.557651991613749</v>
      </c>
      <c r="T601" s="268">
        <f t="shared" si="47"/>
        <v>0.81601002096436581</v>
      </c>
      <c r="U601" s="258">
        <f>IF('Dry_Litterbag Placem_Collection'!E162="","",'Dry_Litterbag Placem_Collection'!E162)</f>
        <v>42939</v>
      </c>
      <c r="V601" s="258">
        <f>IF('Dry_Litterbag Placem_Collection'!G162="","",'Dry_Litterbag Placem_Collection'!G162)</f>
        <v>43010</v>
      </c>
      <c r="W601" s="259">
        <f t="shared" si="45"/>
        <v>71</v>
      </c>
      <c r="X601" s="257">
        <f t="shared" si="48"/>
        <v>0.68950000000000022</v>
      </c>
      <c r="Y601" s="257">
        <f t="shared" si="49"/>
        <v>0.83105658375641178</v>
      </c>
      <c r="Z601" s="261">
        <f>IFERROR(INDEX([3]Rainfall_Dry!$O$2:$O$217,MATCH(C601, [3]Rainfall_Dry!$A$2:$A$217,0)),"")</f>
        <v>137.19979645800001</v>
      </c>
      <c r="AA601" s="250">
        <v>27.96</v>
      </c>
      <c r="AB601" s="250">
        <v>4.9200000000000017</v>
      </c>
      <c r="AC601" s="250">
        <v>67.12</v>
      </c>
      <c r="AD601" s="251" t="s">
        <v>2651</v>
      </c>
      <c r="AE601" s="250">
        <v>8.0437161163134494</v>
      </c>
      <c r="AF601">
        <f>IF('WetLitterbags placem_collection'!AB162="","",'WetLitterbags placem_collection'!AB162)</f>
        <v>0.8</v>
      </c>
      <c r="AG601">
        <f>IF('WetLitterbags placem_collection'!Z162="","",'WetLitterbags placem_collection'!Z162)</f>
        <v>10.8</v>
      </c>
      <c r="AH601" s="236" t="str">
        <f>IF('WetLitterbags placem_collection'!AA162="","",'WetLitterbags placem_collection'!AA162)</f>
        <v>O</v>
      </c>
      <c r="AI601">
        <f>IF('WetLitterbags placem_collection'!AC162="","",'WetLitterbags placem_collection'!AC162)</f>
        <v>0</v>
      </c>
      <c r="AJ601">
        <f>IFERROR(AVERAGE('Dry_Litterbag Placem_Collection'!O162,'Dry_Litterbag Placem_Collection'!R162),"")</f>
        <v>6.25</v>
      </c>
      <c r="AK601" s="261">
        <f>IFERROR(AVERAGE('Dry_Litterbag Placem_Collection'!N162,'Dry_Litterbag Placem_Collection'!Q162),"")</f>
        <v>29.200000000000003</v>
      </c>
      <c r="AL601" s="260">
        <f>INDEX([2]Coordinates!$B$2:$B$197,MATCH(I601,[2]Coordinates!$J$2:$J$197,0))</f>
        <v>-2.367547005</v>
      </c>
      <c r="AM601" s="260">
        <f>INDEX([2]Coordinates!$C$2:$C$197,MATCH(I601,[2]Coordinates!$J$2:$J$197,0))</f>
        <v>34.059494989999997</v>
      </c>
      <c r="AN601" s="260" t="str">
        <f>IF(ISNUMBER(SEARCH("C", 'Dry_Litterbag Placem_Collection'!U162)),"YES","NO")</f>
        <v>NO</v>
      </c>
      <c r="AO601" s="260" t="str">
        <f>IF(ISNUMBER(SEARCH("H", 'Dry_Litterbag Placem_Collection'!U162)),"YES","NO")</f>
        <v>NO</v>
      </c>
      <c r="AP601" s="260" t="str">
        <f>IF(ISNUMBER(SEARCH("R", 'Dry_Litterbag Placem_Collection'!U162)),"YES","NO")</f>
        <v>NO</v>
      </c>
    </row>
    <row r="602" spans="1:42" ht="15" customHeight="1">
      <c r="A602" t="s">
        <v>3248</v>
      </c>
      <c r="B602" s="252" t="s">
        <v>2643</v>
      </c>
      <c r="C602" s="253">
        <f>'Dry_Litterbag Placem_Collection'!A163</f>
        <v>161</v>
      </c>
      <c r="D602" s="253" t="str">
        <f>'Dry_Litterbag Placem_Collection'!B163</f>
        <v>Handajega</v>
      </c>
      <c r="E602" s="253" t="s">
        <v>2454</v>
      </c>
      <c r="F602" s="253" t="s">
        <v>2645</v>
      </c>
      <c r="G602" s="253">
        <v>1</v>
      </c>
      <c r="H602" s="253" t="s">
        <v>3126</v>
      </c>
      <c r="I602" s="254" t="str">
        <f>'Dry_Litterbag Placem_Collection'!C163</f>
        <v>Wet_W1_T1</v>
      </c>
      <c r="J602" s="263" t="s">
        <v>2932</v>
      </c>
      <c r="K602" s="256" t="s">
        <v>1147</v>
      </c>
      <c r="L602" s="253" t="str">
        <f>IF(ISBLANK('Dry_Litterbag Placem_Collection'!L163),"","G"&amp;""&amp;'Dry_Litterbag Placem_Collection'!L163)</f>
        <v>G207</v>
      </c>
      <c r="M602" s="257">
        <f>IFERROR(INDEX('Green_rooibos initial weight'!$C$5:$C$2000,MATCH(L602, 'Green_rooibos initial weight'!$A$5:$A$2000,0)),"")</f>
        <v>2.1539999999999999</v>
      </c>
      <c r="N602" s="257">
        <f>IFERROR(M602-(TBIcalc!$Q$9+TBIcalc!$Q$10),"")</f>
        <v>1.9041999999999999</v>
      </c>
      <c r="O602" s="378">
        <f>AVERAGE(Ashed_controlls!$K$2:$K$11)</f>
        <v>5.5147656768714146</v>
      </c>
      <c r="P602" s="257">
        <f t="shared" si="46"/>
        <v>1.7991878319810144</v>
      </c>
      <c r="Q602" s="257">
        <f>IFERROR(INDEX('Both teabags AfterDry'!$D$2:$D$2000,MATCH(L602,'Both teabags AfterDry'!$A$2:$A$2000,0)),"")</f>
        <v>0.76570000000000005</v>
      </c>
      <c r="R602" s="257">
        <f>IFERROR(IF(Q602&gt;0,Q602-(TBIcalc!$Q$9),""),"")</f>
        <v>0.61509999999999998</v>
      </c>
      <c r="S602" s="268">
        <f>IFERROR(INDEX('Ashed teabags dry'!$K$2:$K$2000,MATCH(L602,'Ashed teabags dry'!$A$2:$A$2000,0)),"")</f>
        <v>21.881091617933993</v>
      </c>
      <c r="T602" s="268">
        <f t="shared" si="47"/>
        <v>0.48050940545808796</v>
      </c>
      <c r="U602" s="258">
        <f>IF('Dry_Litterbag Placem_Collection'!E163="","",'Dry_Litterbag Placem_Collection'!E163)</f>
        <v>42940</v>
      </c>
      <c r="V602" s="258">
        <f>IF('Dry_Litterbag Placem_Collection'!G163="","",'Dry_Litterbag Placem_Collection'!G163)</f>
        <v>43009</v>
      </c>
      <c r="W602" s="259">
        <f t="shared" si="45"/>
        <v>69</v>
      </c>
      <c r="X602" s="257">
        <f t="shared" si="48"/>
        <v>1.2890999999999999</v>
      </c>
      <c r="Y602" s="257">
        <f t="shared" si="49"/>
        <v>1.3186784265229266</v>
      </c>
      <c r="Z602" s="261">
        <f>IFERROR(INDEX([3]Rainfall_Dry!$O$2:$O$217,MATCH(C602, [3]Rainfall_Dry!$A$2:$A$217,0)),"")</f>
        <v>162.634207253</v>
      </c>
      <c r="AA602" s="250">
        <v>21.96</v>
      </c>
      <c r="AB602" s="250">
        <v>4.9199999999999982</v>
      </c>
      <c r="AC602" s="250">
        <v>73.12</v>
      </c>
      <c r="AD602" s="251" t="s">
        <v>2651</v>
      </c>
      <c r="AE602" s="250">
        <v>1.2416954164613114</v>
      </c>
      <c r="AF602">
        <f>IF('WetLitterbags placem_collection'!AB163="","",'WetLitterbags placem_collection'!AB163)</f>
        <v>7.6</v>
      </c>
      <c r="AG602">
        <f>IF('WetLitterbags placem_collection'!Z163="","",'WetLitterbags placem_collection'!Z163)</f>
        <v>35.799999999999997</v>
      </c>
      <c r="AH602" s="236" t="str">
        <f>IF('WetLitterbags placem_collection'!AA163="","",'WetLitterbags placem_collection'!AA163)</f>
        <v>M</v>
      </c>
      <c r="AI602">
        <f>IF('WetLitterbags placem_collection'!AC163="","",'WetLitterbags placem_collection'!AC163)</f>
        <v>0</v>
      </c>
      <c r="AJ602">
        <f>IFERROR(AVERAGE('Dry_Litterbag Placem_Collection'!O163,'Dry_Litterbag Placem_Collection'!R163),"")</f>
        <v>5.65</v>
      </c>
      <c r="AK602" s="261">
        <f>IFERROR(AVERAGE('Dry_Litterbag Placem_Collection'!N163,'Dry_Litterbag Placem_Collection'!Q163),"")</f>
        <v>31.7</v>
      </c>
      <c r="AL602" s="260">
        <f>INDEX([2]Coordinates!$B$2:$B$197,MATCH(I602,[2]Coordinates!$J$2:$J$197,0))</f>
        <v>-2.272751033</v>
      </c>
      <c r="AM602" s="260">
        <f>INDEX([2]Coordinates!$C$2:$C$197,MATCH(I602,[2]Coordinates!$J$2:$J$197,0))</f>
        <v>34.023176030000002</v>
      </c>
      <c r="AN602" s="260" t="str">
        <f>IF(ISNUMBER(SEARCH("C", 'Dry_Litterbag Placem_Collection'!U163)),"YES","NO")</f>
        <v>NO</v>
      </c>
      <c r="AO602" s="260" t="str">
        <f>IF(ISNUMBER(SEARCH("H", 'Dry_Litterbag Placem_Collection'!U163)),"YES","NO")</f>
        <v>NO</v>
      </c>
      <c r="AP602" s="260" t="str">
        <f>IF(ISNUMBER(SEARCH("R", 'Dry_Litterbag Placem_Collection'!U163)),"YES","NO")</f>
        <v>NO</v>
      </c>
    </row>
    <row r="603" spans="1:42" ht="15" customHeight="1">
      <c r="A603" t="s">
        <v>3248</v>
      </c>
      <c r="B603" s="252" t="s">
        <v>2643</v>
      </c>
      <c r="C603" s="253">
        <f>'Dry_Litterbag Placem_Collection'!A164</f>
        <v>162</v>
      </c>
      <c r="D603" s="253" t="str">
        <f>'Dry_Litterbag Placem_Collection'!B164</f>
        <v>Handajega</v>
      </c>
      <c r="E603" s="253" t="s">
        <v>2454</v>
      </c>
      <c r="F603" s="253" t="s">
        <v>2645</v>
      </c>
      <c r="G603" s="253">
        <v>1</v>
      </c>
      <c r="H603" s="253" t="s">
        <v>3126</v>
      </c>
      <c r="I603" s="254" t="str">
        <f>'Dry_Litterbag Placem_Collection'!C164</f>
        <v>Wet_W1_T2</v>
      </c>
      <c r="J603" s="263" t="s">
        <v>2932</v>
      </c>
      <c r="K603" s="256" t="s">
        <v>1147</v>
      </c>
      <c r="L603" s="253" t="str">
        <f>IF(ISBLANK('Dry_Litterbag Placem_Collection'!L164),"","G"&amp;""&amp;'Dry_Litterbag Placem_Collection'!L164)</f>
        <v>G580</v>
      </c>
      <c r="M603" s="257">
        <f>IFERROR(INDEX('Green_rooibos initial weight'!$C$5:$C$2000,MATCH(L603, 'Green_rooibos initial weight'!$A$5:$A$2000,0)),"")</f>
        <v>2.1440000000000001</v>
      </c>
      <c r="N603" s="257">
        <f>IFERROR(M603-(TBIcalc!$Q$9+TBIcalc!$Q$10),"")</f>
        <v>1.8942000000000001</v>
      </c>
      <c r="O603" s="378">
        <f>AVERAGE(Ashed_controlls!$K$2:$K$11)</f>
        <v>5.5147656768714146</v>
      </c>
      <c r="P603" s="257">
        <f t="shared" si="46"/>
        <v>1.7897393085487017</v>
      </c>
      <c r="Q603" s="257">
        <f>IFERROR(INDEX('Both teabags AfterDry'!$D$2:$D$2000,MATCH(L603,'Both teabags AfterDry'!$A$2:$A$2000,0)),"")</f>
        <v>0.84409999999999996</v>
      </c>
      <c r="R603" s="257">
        <f>IFERROR(IF(Q603&gt;0,Q603-(TBIcalc!$Q$9),""),"")</f>
        <v>0.69350000000000001</v>
      </c>
      <c r="S603" s="268">
        <f>IFERROR(INDEX('Ashed teabags dry'!$K$2:$K$2000,MATCH(L603,'Ashed teabags dry'!$A$2:$A$2000,0)),"")</f>
        <v>19.492789656887485</v>
      </c>
      <c r="T603" s="268">
        <f t="shared" si="47"/>
        <v>0.5583175037294853</v>
      </c>
      <c r="U603" s="258">
        <f>IF('Dry_Litterbag Placem_Collection'!E164="","",'Dry_Litterbag Placem_Collection'!E164)</f>
        <v>42940</v>
      </c>
      <c r="V603" s="258">
        <f>IF('Dry_Litterbag Placem_Collection'!G164="","",'Dry_Litterbag Placem_Collection'!G164)</f>
        <v>43009</v>
      </c>
      <c r="W603" s="259">
        <f t="shared" si="45"/>
        <v>69</v>
      </c>
      <c r="X603" s="257">
        <f t="shared" si="48"/>
        <v>1.2007000000000001</v>
      </c>
      <c r="Y603" s="257">
        <f t="shared" si="49"/>
        <v>1.2314218048192163</v>
      </c>
      <c r="Z603" s="261">
        <f>IFERROR(INDEX([3]Rainfall_Dry!$O$2:$O$217,MATCH(C603, [3]Rainfall_Dry!$A$2:$A$217,0)),"")</f>
        <v>162.634207253</v>
      </c>
      <c r="AA603" s="250">
        <v>21.96</v>
      </c>
      <c r="AB603" s="250">
        <v>4.9199999999999982</v>
      </c>
      <c r="AC603" s="250">
        <v>73.12</v>
      </c>
      <c r="AD603" s="251" t="s">
        <v>2651</v>
      </c>
      <c r="AE603" s="250">
        <v>2.2416954164613099</v>
      </c>
      <c r="AF603">
        <f>IF('WetLitterbags placem_collection'!AB164="","",'WetLitterbags placem_collection'!AB164)</f>
        <v>4.0999999999999996</v>
      </c>
      <c r="AG603">
        <f>IF('WetLitterbags placem_collection'!Z164="","",'WetLitterbags placem_collection'!Z164)</f>
        <v>31.4</v>
      </c>
      <c r="AH603" s="236" t="str">
        <f>IF('WetLitterbags placem_collection'!AA164="","",'WetLitterbags placem_collection'!AA164)</f>
        <v>M</v>
      </c>
      <c r="AI603">
        <f>IF('WetLitterbags placem_collection'!AC164="","",'WetLitterbags placem_collection'!AC164)</f>
        <v>0</v>
      </c>
      <c r="AJ603">
        <f>IFERROR(AVERAGE('Dry_Litterbag Placem_Collection'!O164,'Dry_Litterbag Placem_Collection'!R164),"")</f>
        <v>4.4499999999999993</v>
      </c>
      <c r="AK603" s="261">
        <f>IFERROR(AVERAGE('Dry_Litterbag Placem_Collection'!N164,'Dry_Litterbag Placem_Collection'!Q164),"")</f>
        <v>31.650000000000002</v>
      </c>
      <c r="AL603" s="260">
        <f>INDEX([2]Coordinates!$B$2:$B$197,MATCH(I603,[2]Coordinates!$J$2:$J$197,0))</f>
        <v>-2.2727060219999999</v>
      </c>
      <c r="AM603" s="260">
        <f>INDEX([2]Coordinates!$C$2:$C$197,MATCH(I603,[2]Coordinates!$J$2:$J$197,0))</f>
        <v>34.023162030000002</v>
      </c>
      <c r="AN603" s="260" t="str">
        <f>IF(ISNUMBER(SEARCH("C", 'Dry_Litterbag Placem_Collection'!U164)),"YES","NO")</f>
        <v>NO</v>
      </c>
      <c r="AO603" s="260" t="str">
        <f>IF(ISNUMBER(SEARCH("H", 'Dry_Litterbag Placem_Collection'!U164)),"YES","NO")</f>
        <v>NO</v>
      </c>
      <c r="AP603" s="260" t="str">
        <f>IF(ISNUMBER(SEARCH("R", 'Dry_Litterbag Placem_Collection'!U164)),"YES","NO")</f>
        <v>NO</v>
      </c>
    </row>
    <row r="604" spans="1:42" ht="15" customHeight="1">
      <c r="A604" t="s">
        <v>3248</v>
      </c>
      <c r="B604" s="252" t="s">
        <v>2643</v>
      </c>
      <c r="C604" s="253">
        <f>'Dry_Litterbag Placem_Collection'!A165</f>
        <v>163</v>
      </c>
      <c r="D604" s="253" t="str">
        <f>'Dry_Litterbag Placem_Collection'!B165</f>
        <v>Handajega</v>
      </c>
      <c r="E604" s="253" t="s">
        <v>2454</v>
      </c>
      <c r="F604" s="253" t="s">
        <v>2645</v>
      </c>
      <c r="G604" s="253">
        <v>1</v>
      </c>
      <c r="H604" s="253" t="s">
        <v>3126</v>
      </c>
      <c r="I604" s="254" t="str">
        <f>'Dry_Litterbag Placem_Collection'!C165</f>
        <v>Wet_W1_T3</v>
      </c>
      <c r="J604" s="263" t="s">
        <v>2932</v>
      </c>
      <c r="K604" s="256" t="s">
        <v>1147</v>
      </c>
      <c r="L604" s="253" t="str">
        <f>IF(ISBLANK('Dry_Litterbag Placem_Collection'!L165),"","G"&amp;""&amp;'Dry_Litterbag Placem_Collection'!L165)</f>
        <v>G722</v>
      </c>
      <c r="M604" s="257">
        <f>IFERROR(INDEX('Green_rooibos initial weight'!$C$5:$C$2000,MATCH(L604, 'Green_rooibos initial weight'!$A$5:$A$2000,0)),"")</f>
        <v>2.0790000000000002</v>
      </c>
      <c r="N604" s="257">
        <f>IFERROR(M604-(TBIcalc!$Q$9+TBIcalc!$Q$10),"")</f>
        <v>1.8292000000000002</v>
      </c>
      <c r="O604" s="378">
        <f>AVERAGE(Ashed_controlls!$K$2:$K$11)</f>
        <v>5.5147656768714146</v>
      </c>
      <c r="P604" s="257">
        <f t="shared" si="46"/>
        <v>1.7283239062386682</v>
      </c>
      <c r="Q604" s="257">
        <f>IFERROR(INDEX('Both teabags AfterDry'!$D$2:$D$2000,MATCH(L604,'Both teabags AfterDry'!$A$2:$A$2000,0)),"")</f>
        <v>0.86109999999999998</v>
      </c>
      <c r="R604" s="257">
        <f>IFERROR(IF(Q604&gt;0,Q604-(TBIcalc!$Q$9),""),"")</f>
        <v>0.71049999999999991</v>
      </c>
      <c r="S604" s="268">
        <f>IFERROR(INDEX('Ashed teabags dry'!$K$2:$K$2000,MATCH(L604,'Ashed teabags dry'!$A$2:$A$2000,0)),"")</f>
        <v>29.172785119922423</v>
      </c>
      <c r="T604" s="268">
        <f t="shared" si="47"/>
        <v>0.50322736172295113</v>
      </c>
      <c r="U604" s="258">
        <f>IF('Dry_Litterbag Placem_Collection'!E165="","",'Dry_Litterbag Placem_Collection'!E165)</f>
        <v>42940</v>
      </c>
      <c r="V604" s="258">
        <f>IF('Dry_Litterbag Placem_Collection'!G165="","",'Dry_Litterbag Placem_Collection'!G165)</f>
        <v>43009</v>
      </c>
      <c r="W604" s="259">
        <f t="shared" si="45"/>
        <v>69</v>
      </c>
      <c r="X604" s="257">
        <f t="shared" si="48"/>
        <v>1.1187000000000002</v>
      </c>
      <c r="Y604" s="257">
        <f t="shared" si="49"/>
        <v>1.2250965445157171</v>
      </c>
      <c r="Z604" s="261">
        <f>IFERROR(INDEX([3]Rainfall_Dry!$O$2:$O$217,MATCH(C604, [3]Rainfall_Dry!$A$2:$A$217,0)),"")</f>
        <v>162.634207253</v>
      </c>
      <c r="AA604" s="250">
        <v>21.96</v>
      </c>
      <c r="AB604" s="250">
        <v>4.9199999999999982</v>
      </c>
      <c r="AC604" s="250">
        <v>73.12</v>
      </c>
      <c r="AD604" s="251" t="s">
        <v>2651</v>
      </c>
      <c r="AE604" s="250">
        <v>3.2416954164613099</v>
      </c>
      <c r="AF604">
        <f>IF('WetLitterbags placem_collection'!AB165="","",'WetLitterbags placem_collection'!AB165)</f>
        <v>7.8</v>
      </c>
      <c r="AG604">
        <f>IF('WetLitterbags placem_collection'!Z165="","",'WetLitterbags placem_collection'!Z165)</f>
        <v>28.8</v>
      </c>
      <c r="AH604" s="236" t="str">
        <f>IF('WetLitterbags placem_collection'!AA165="","",'WetLitterbags placem_collection'!AA165)</f>
        <v>M</v>
      </c>
      <c r="AI604">
        <f>IF('WetLitterbags placem_collection'!AC165="","",'WetLitterbags placem_collection'!AC165)</f>
        <v>0</v>
      </c>
      <c r="AJ604">
        <f>IFERROR(AVERAGE('Dry_Litterbag Placem_Collection'!O165,'Dry_Litterbag Placem_Collection'!R165),"")</f>
        <v>4.45</v>
      </c>
      <c r="AK604" s="261">
        <f>IFERROR(AVERAGE('Dry_Litterbag Placem_Collection'!N165,'Dry_Litterbag Placem_Collection'!Q165),"")</f>
        <v>32.75</v>
      </c>
      <c r="AL604" s="260">
        <f>INDEX([2]Coordinates!$B$2:$B$197,MATCH(I604,[2]Coordinates!$J$2:$J$197,0))</f>
        <v>-2.2726719919999998</v>
      </c>
      <c r="AM604" s="260">
        <f>INDEX([2]Coordinates!$C$2:$C$197,MATCH(I604,[2]Coordinates!$J$2:$J$197,0))</f>
        <v>34.023210980000002</v>
      </c>
      <c r="AN604" s="260" t="str">
        <f>IF(ISNUMBER(SEARCH("C", 'Dry_Litterbag Placem_Collection'!U165)),"YES","NO")</f>
        <v>NO</v>
      </c>
      <c r="AO604" s="260" t="str">
        <f>IF(ISNUMBER(SEARCH("H", 'Dry_Litterbag Placem_Collection'!U165)),"YES","NO")</f>
        <v>NO</v>
      </c>
      <c r="AP604" s="260" t="str">
        <f>IF(ISNUMBER(SEARCH("R", 'Dry_Litterbag Placem_Collection'!U165)),"YES","NO")</f>
        <v>NO</v>
      </c>
    </row>
    <row r="605" spans="1:42" ht="15" customHeight="1">
      <c r="A605" t="s">
        <v>3248</v>
      </c>
      <c r="B605" s="252" t="s">
        <v>2643</v>
      </c>
      <c r="C605" s="253">
        <f>'Dry_Litterbag Placem_Collection'!A166</f>
        <v>164</v>
      </c>
      <c r="D605" s="253" t="str">
        <f>'Dry_Litterbag Placem_Collection'!B166</f>
        <v>Handajega</v>
      </c>
      <c r="E605" s="253" t="s">
        <v>2454</v>
      </c>
      <c r="F605" s="253" t="s">
        <v>2645</v>
      </c>
      <c r="G605" s="253">
        <v>1</v>
      </c>
      <c r="H605" s="253" t="s">
        <v>3126</v>
      </c>
      <c r="I605" s="254" t="str">
        <f>'Dry_Litterbag Placem_Collection'!C166</f>
        <v>Wet_W1_T4</v>
      </c>
      <c r="J605" s="263" t="s">
        <v>2932</v>
      </c>
      <c r="K605" s="256" t="s">
        <v>1147</v>
      </c>
      <c r="L605" s="253" t="str">
        <f>IF(ISBLANK('Dry_Litterbag Placem_Collection'!L166),"","G"&amp;""&amp;'Dry_Litterbag Placem_Collection'!L166)</f>
        <v>G239</v>
      </c>
      <c r="M605" s="257">
        <f>IFERROR(INDEX('Green_rooibos initial weight'!$C$5:$C$2000,MATCH(L605, 'Green_rooibos initial weight'!$A$5:$A$2000,0)),"")</f>
        <v>2.1019999999999999</v>
      </c>
      <c r="N605" s="257">
        <f>IFERROR(M605-(TBIcalc!$Q$9+TBIcalc!$Q$10),"")</f>
        <v>1.8521999999999998</v>
      </c>
      <c r="O605" s="378">
        <f>AVERAGE(Ashed_controlls!$K$2:$K$11)</f>
        <v>5.5147656768714146</v>
      </c>
      <c r="P605" s="257">
        <f t="shared" si="46"/>
        <v>1.7500555101329875</v>
      </c>
      <c r="Q605" s="257">
        <f>IFERROR(INDEX('Both teabags AfterDry'!$D$2:$D$2000,MATCH(L605,'Both teabags AfterDry'!$A$2:$A$2000,0)),"")</f>
        <v>0.73950000000000005</v>
      </c>
      <c r="R605" s="257">
        <f>IFERROR(IF(Q605&gt;0,Q605-(TBIcalc!$Q$9),""),"")</f>
        <v>0.58889999999999998</v>
      </c>
      <c r="S605" s="268">
        <f>IFERROR(INDEX('Ashed teabags dry'!$K$2:$K$2000,MATCH(L605,'Ashed teabags dry'!$A$2:$A$2000,0)),"")</f>
        <v>17.516081147946309</v>
      </c>
      <c r="T605" s="268">
        <f t="shared" si="47"/>
        <v>0.48574779811974417</v>
      </c>
      <c r="U605" s="258">
        <f>IF('Dry_Litterbag Placem_Collection'!E166="","",'Dry_Litterbag Placem_Collection'!E166)</f>
        <v>42940</v>
      </c>
      <c r="V605" s="258">
        <f>IF('Dry_Litterbag Placem_Collection'!G166="","",'Dry_Litterbag Placem_Collection'!G166)</f>
        <v>43009</v>
      </c>
      <c r="W605" s="259">
        <f t="shared" si="45"/>
        <v>69</v>
      </c>
      <c r="X605" s="257">
        <f t="shared" si="48"/>
        <v>1.2632999999999999</v>
      </c>
      <c r="Y605" s="257">
        <f t="shared" si="49"/>
        <v>1.2643077120132433</v>
      </c>
      <c r="Z605" s="261">
        <f>IFERROR(INDEX([3]Rainfall_Dry!$O$2:$O$217,MATCH(C605, [3]Rainfall_Dry!$A$2:$A$217,0)),"")</f>
        <v>162.634207253</v>
      </c>
      <c r="AA605" s="250">
        <v>21.96</v>
      </c>
      <c r="AB605" s="250">
        <v>4.9199999999999982</v>
      </c>
      <c r="AC605" s="250">
        <v>73.12</v>
      </c>
      <c r="AD605" s="251" t="s">
        <v>2651</v>
      </c>
      <c r="AE605" s="250">
        <v>4.2416954164613099</v>
      </c>
      <c r="AF605">
        <f>IF('WetLitterbags placem_collection'!AB166="","",'WetLitterbags placem_collection'!AB166)</f>
        <v>9.5</v>
      </c>
      <c r="AG605">
        <f>IF('WetLitterbags placem_collection'!Z166="","",'WetLitterbags placem_collection'!Z166)</f>
        <v>20.8</v>
      </c>
      <c r="AH605" s="236" t="str">
        <f>IF('WetLitterbags placem_collection'!AA166="","",'WetLitterbags placem_collection'!AA166)</f>
        <v>M</v>
      </c>
      <c r="AI605">
        <f>IF('WetLitterbags placem_collection'!AC166="","",'WetLitterbags placem_collection'!AC166)</f>
        <v>0</v>
      </c>
      <c r="AJ605">
        <f>IFERROR(AVERAGE('Dry_Litterbag Placem_Collection'!O166,'Dry_Litterbag Placem_Collection'!R166),"")</f>
        <v>5.0500000000000007</v>
      </c>
      <c r="AK605" s="261">
        <f>IFERROR(AVERAGE('Dry_Litterbag Placem_Collection'!N166,'Dry_Litterbag Placem_Collection'!Q166),"")</f>
        <v>31.3</v>
      </c>
      <c r="AL605" s="260">
        <f>INDEX([2]Coordinates!$B$2:$B$197,MATCH(I605,[2]Coordinates!$J$2:$J$197,0))</f>
        <v>-2.2726180130000002</v>
      </c>
      <c r="AM605" s="260">
        <f>INDEX([2]Coordinates!$C$2:$C$197,MATCH(I605,[2]Coordinates!$J$2:$J$197,0))</f>
        <v>34.023212999999998</v>
      </c>
      <c r="AN605" s="260" t="str">
        <f>IF(ISNUMBER(SEARCH("C", 'Dry_Litterbag Placem_Collection'!U166)),"YES","NO")</f>
        <v>NO</v>
      </c>
      <c r="AO605" s="260" t="str">
        <f>IF(ISNUMBER(SEARCH("H", 'Dry_Litterbag Placem_Collection'!U166)),"YES","NO")</f>
        <v>NO</v>
      </c>
      <c r="AP605" s="260" t="str">
        <f>IF(ISNUMBER(SEARCH("R", 'Dry_Litterbag Placem_Collection'!U166)),"YES","NO")</f>
        <v>YES</v>
      </c>
    </row>
    <row r="606" spans="1:42" ht="15" customHeight="1">
      <c r="A606" t="s">
        <v>3248</v>
      </c>
      <c r="B606" s="252" t="s">
        <v>2643</v>
      </c>
      <c r="C606" s="253">
        <f>'Dry_Litterbag Placem_Collection'!A167</f>
        <v>165</v>
      </c>
      <c r="D606" s="253" t="str">
        <f>'Dry_Litterbag Placem_Collection'!B167</f>
        <v>Handajega</v>
      </c>
      <c r="E606" s="253" t="s">
        <v>2454</v>
      </c>
      <c r="F606" s="253" t="s">
        <v>2645</v>
      </c>
      <c r="G606" s="253">
        <v>1</v>
      </c>
      <c r="H606" s="253" t="s">
        <v>3126</v>
      </c>
      <c r="I606" s="254" t="str">
        <f>'Dry_Litterbag Placem_Collection'!C167</f>
        <v>Wet_W1_T5</v>
      </c>
      <c r="J606" s="263" t="s">
        <v>2932</v>
      </c>
      <c r="K606" s="256" t="s">
        <v>1147</v>
      </c>
      <c r="L606" s="253" t="str">
        <f>IF(ISBLANK('Dry_Litterbag Placem_Collection'!L167),"","G"&amp;""&amp;'Dry_Litterbag Placem_Collection'!L167)</f>
        <v>G343</v>
      </c>
      <c r="M606" s="257">
        <f>IFERROR(INDEX('Green_rooibos initial weight'!$C$5:$C$2000,MATCH(L606, 'Green_rooibos initial weight'!$A$5:$A$2000,0)),"")</f>
        <v>1.8340000000000001</v>
      </c>
      <c r="N606" s="257">
        <f>IFERROR(M606-(TBIcalc!$Q$9+TBIcalc!$Q$10),"")</f>
        <v>1.5842000000000001</v>
      </c>
      <c r="O606" s="378">
        <f>AVERAGE(Ashed_controlls!$K$2:$K$11)</f>
        <v>5.5147656768714146</v>
      </c>
      <c r="P606" s="257">
        <f t="shared" si="46"/>
        <v>1.4968350821470031</v>
      </c>
      <c r="Q606" s="257">
        <f>IFERROR(INDEX('Both teabags AfterDry'!$D$2:$D$2000,MATCH(L606,'Both teabags AfterDry'!$A$2:$A$2000,0)),"")</f>
        <v>0.68059999999999998</v>
      </c>
      <c r="R606" s="257">
        <f>IFERROR(IF(Q606&gt;0,Q606-(TBIcalc!$Q$9),""),"")</f>
        <v>0.53</v>
      </c>
      <c r="S606" s="268">
        <f>IFERROR(INDEX('Ashed teabags dry'!$K$2:$K$2000,MATCH(L606,'Ashed teabags dry'!$A$2:$A$2000,0)),"")</f>
        <v>16.867469879518342</v>
      </c>
      <c r="T606" s="268">
        <f t="shared" si="47"/>
        <v>0.44060240963855279</v>
      </c>
      <c r="U606" s="258">
        <f>IF('Dry_Litterbag Placem_Collection'!E167="","",'Dry_Litterbag Placem_Collection'!E167)</f>
        <v>42940</v>
      </c>
      <c r="V606" s="258">
        <f>IF('Dry_Litterbag Placem_Collection'!G167="","",'Dry_Litterbag Placem_Collection'!G167)</f>
        <v>43009</v>
      </c>
      <c r="W606" s="259">
        <f t="shared" si="45"/>
        <v>69</v>
      </c>
      <c r="X606" s="257">
        <f t="shared" si="48"/>
        <v>1.0542</v>
      </c>
      <c r="Y606" s="257">
        <f t="shared" si="49"/>
        <v>1.0562326725084503</v>
      </c>
      <c r="Z606" s="261">
        <f>IFERROR(INDEX([3]Rainfall_Dry!$O$2:$O$217,MATCH(C606, [3]Rainfall_Dry!$A$2:$A$217,0)),"")</f>
        <v>162.634207253</v>
      </c>
      <c r="AA606" s="250">
        <v>21.96</v>
      </c>
      <c r="AB606" s="250">
        <v>4.9199999999999982</v>
      </c>
      <c r="AC606" s="250">
        <v>73.12</v>
      </c>
      <c r="AD606" s="251" t="s">
        <v>2651</v>
      </c>
      <c r="AE606" s="250">
        <v>5.2416954164613099</v>
      </c>
      <c r="AF606">
        <f>IF('WetLitterbags placem_collection'!AB167="","",'WetLitterbags placem_collection'!AB167)</f>
        <v>10.4</v>
      </c>
      <c r="AG606">
        <f>IF('WetLitterbags placem_collection'!Z167="","",'WetLitterbags placem_collection'!Z167)</f>
        <v>13.8</v>
      </c>
      <c r="AH606" s="236" t="str">
        <f>IF('WetLitterbags placem_collection'!AA167="","",'WetLitterbags placem_collection'!AA167)</f>
        <v>M</v>
      </c>
      <c r="AI606">
        <f>IF('WetLitterbags placem_collection'!AC167="","",'WetLitterbags placem_collection'!AC167)</f>
        <v>0</v>
      </c>
      <c r="AJ606">
        <f>IFERROR(AVERAGE('Dry_Litterbag Placem_Collection'!O167,'Dry_Litterbag Placem_Collection'!R167),"")</f>
        <v>5.3000000000000007</v>
      </c>
      <c r="AK606" s="261">
        <f>IFERROR(AVERAGE('Dry_Litterbag Placem_Collection'!N167,'Dry_Litterbag Placem_Collection'!Q167),"")</f>
        <v>32.049999999999997</v>
      </c>
      <c r="AL606" s="260">
        <f>INDEX([2]Coordinates!$B$2:$B$197,MATCH(I606,[2]Coordinates!$J$2:$J$197,0))</f>
        <v>-2.2724750170000001</v>
      </c>
      <c r="AM606" s="260">
        <f>INDEX([2]Coordinates!$C$2:$C$197,MATCH(I606,[2]Coordinates!$J$2:$J$197,0))</f>
        <v>34.02334501</v>
      </c>
      <c r="AN606" s="260" t="str">
        <f>IF(ISNUMBER(SEARCH("C", 'Dry_Litterbag Placem_Collection'!U167)),"YES","NO")</f>
        <v>NO</v>
      </c>
      <c r="AO606" s="260" t="str">
        <f>IF(ISNUMBER(SEARCH("H", 'Dry_Litterbag Placem_Collection'!U167)),"YES","NO")</f>
        <v>NO</v>
      </c>
      <c r="AP606" s="260" t="str">
        <f>IF(ISNUMBER(SEARCH("R", 'Dry_Litterbag Placem_Collection'!U167)),"YES","NO")</f>
        <v>NO</v>
      </c>
    </row>
    <row r="607" spans="1:42" ht="15" customHeight="1">
      <c r="A607" t="s">
        <v>3248</v>
      </c>
      <c r="B607" s="252" t="s">
        <v>2643</v>
      </c>
      <c r="C607" s="253">
        <f>'Dry_Litterbag Placem_Collection'!A168</f>
        <v>166</v>
      </c>
      <c r="D607" s="253" t="str">
        <f>'Dry_Litterbag Placem_Collection'!B168</f>
        <v>Handajega</v>
      </c>
      <c r="E607" s="253" t="s">
        <v>2454</v>
      </c>
      <c r="F607" s="253" t="s">
        <v>2645</v>
      </c>
      <c r="G607" s="253">
        <v>1</v>
      </c>
      <c r="H607" s="253" t="s">
        <v>3126</v>
      </c>
      <c r="I607" s="254" t="str">
        <f>'Dry_Litterbag Placem_Collection'!C168</f>
        <v>Wet_W1_T6</v>
      </c>
      <c r="J607" s="263" t="s">
        <v>2932</v>
      </c>
      <c r="K607" s="256" t="s">
        <v>1147</v>
      </c>
      <c r="L607" s="253" t="str">
        <f>IF(ISBLANK('Dry_Litterbag Placem_Collection'!L168),"","G"&amp;""&amp;'Dry_Litterbag Placem_Collection'!L168)</f>
        <v>G409</v>
      </c>
      <c r="M607" s="257">
        <f>IFERROR(INDEX('Green_rooibos initial weight'!$C$5:$C$2000,MATCH(L607, 'Green_rooibos initial weight'!$A$5:$A$2000,0)),"")</f>
        <v>1.968</v>
      </c>
      <c r="N607" s="257">
        <f>IFERROR(M607-(TBIcalc!$Q$9+TBIcalc!$Q$10),"")</f>
        <v>1.7181999999999999</v>
      </c>
      <c r="O607" s="378">
        <f>AVERAGE(Ashed_controlls!$K$2:$K$11)</f>
        <v>5.5147656768714146</v>
      </c>
      <c r="P607" s="257">
        <f t="shared" si="46"/>
        <v>1.6234452961399952</v>
      </c>
      <c r="Q607" s="257">
        <f>IFERROR(INDEX('Both teabags AfterDry'!$D$2:$D$2000,MATCH(L607,'Both teabags AfterDry'!$A$2:$A$2000,0)),"")</f>
        <v>0.77039999999999997</v>
      </c>
      <c r="R607" s="257">
        <f>IFERROR(IF(Q607&gt;0,Q607-(TBIcalc!$Q$9),""),"")</f>
        <v>0.61979999999999991</v>
      </c>
      <c r="S607" s="268">
        <f>IFERROR(INDEX('Ashed teabags dry'!$K$2:$K$2000,MATCH(L607,'Ashed teabags dry'!$A$2:$A$2000,0)),"")</f>
        <v>23.019571295433156</v>
      </c>
      <c r="T607" s="268">
        <f t="shared" si="47"/>
        <v>0.47712469711090522</v>
      </c>
      <c r="U607" s="258">
        <f>IF('Dry_Litterbag Placem_Collection'!E168="","",'Dry_Litterbag Placem_Collection'!E168)</f>
        <v>42940</v>
      </c>
      <c r="V607" s="258">
        <f>IF('Dry_Litterbag Placem_Collection'!G168="","",'Dry_Litterbag Placem_Collection'!G168)</f>
        <v>43009</v>
      </c>
      <c r="W607" s="259">
        <f t="shared" si="45"/>
        <v>69</v>
      </c>
      <c r="X607" s="257">
        <f t="shared" si="48"/>
        <v>1.0984</v>
      </c>
      <c r="Y607" s="257">
        <f t="shared" si="49"/>
        <v>1.1463205990290901</v>
      </c>
      <c r="Z607" s="261">
        <f>IFERROR(INDEX([3]Rainfall_Dry!$O$2:$O$217,MATCH(C607, [3]Rainfall_Dry!$A$2:$A$217,0)),"")</f>
        <v>162.634207253</v>
      </c>
      <c r="AA607" s="250">
        <v>21.96</v>
      </c>
      <c r="AB607" s="250">
        <v>4.9199999999999982</v>
      </c>
      <c r="AC607" s="250">
        <v>73.12</v>
      </c>
      <c r="AD607" s="251" t="s">
        <v>2651</v>
      </c>
      <c r="AE607" s="250">
        <v>6.2416954164613099</v>
      </c>
      <c r="AF607">
        <f>IF('WetLitterbags placem_collection'!AB168="","",'WetLitterbags placem_collection'!AB168)</f>
        <v>2.1</v>
      </c>
      <c r="AG607">
        <f>IF('WetLitterbags placem_collection'!Z168="","",'WetLitterbags placem_collection'!Z168)</f>
        <v>4.7</v>
      </c>
      <c r="AH607" s="236" t="str">
        <f>IF('WetLitterbags placem_collection'!AA168="","",'WetLitterbags placem_collection'!AA168)</f>
        <v>M</v>
      </c>
      <c r="AI607">
        <f>IF('WetLitterbags placem_collection'!AC168="","",'WetLitterbags placem_collection'!AC168)</f>
        <v>0</v>
      </c>
      <c r="AJ607">
        <f>IFERROR(AVERAGE('Dry_Litterbag Placem_Collection'!O168,'Dry_Litterbag Placem_Collection'!R168),"")</f>
        <v>5.15</v>
      </c>
      <c r="AK607" s="261">
        <f>IFERROR(AVERAGE('Dry_Litterbag Placem_Collection'!N168,'Dry_Litterbag Placem_Collection'!Q168),"")</f>
        <v>33.25</v>
      </c>
      <c r="AL607" s="260">
        <f>INDEX([2]Coordinates!$B$2:$B$197,MATCH(I607,[2]Coordinates!$J$2:$J$197,0))</f>
        <v>-2.2725490289999999</v>
      </c>
      <c r="AM607" s="260">
        <f>INDEX([2]Coordinates!$C$2:$C$197,MATCH(I607,[2]Coordinates!$J$2:$J$197,0))</f>
        <v>34.022886020000001</v>
      </c>
      <c r="AN607" s="260" t="str">
        <f>IF(ISNUMBER(SEARCH("C", 'Dry_Litterbag Placem_Collection'!U168)),"YES","NO")</f>
        <v>NO</v>
      </c>
      <c r="AO607" s="260" t="str">
        <f>IF(ISNUMBER(SEARCH("H", 'Dry_Litterbag Placem_Collection'!U168)),"YES","NO")</f>
        <v>NO</v>
      </c>
      <c r="AP607" s="260" t="str">
        <f>IF(ISNUMBER(SEARCH("R", 'Dry_Litterbag Placem_Collection'!U168)),"YES","NO")</f>
        <v>NO</v>
      </c>
    </row>
    <row r="608" spans="1:42" ht="15" customHeight="1">
      <c r="A608" t="s">
        <v>3248</v>
      </c>
      <c r="B608" s="252" t="s">
        <v>2643</v>
      </c>
      <c r="C608" s="253">
        <f>'Dry_Litterbag Placem_Collection'!A169</f>
        <v>167</v>
      </c>
      <c r="D608" s="253" t="str">
        <f>'Dry_Litterbag Placem_Collection'!B169</f>
        <v>Handajega</v>
      </c>
      <c r="E608" s="253" t="s">
        <v>2454</v>
      </c>
      <c r="F608" s="253" t="s">
        <v>2645</v>
      </c>
      <c r="G608" s="253">
        <v>1</v>
      </c>
      <c r="H608" s="253" t="s">
        <v>3126</v>
      </c>
      <c r="I608" s="254" t="str">
        <f>'Dry_Litterbag Placem_Collection'!C169</f>
        <v>Wet_W1_T7</v>
      </c>
      <c r="J608" s="263" t="s">
        <v>2932</v>
      </c>
      <c r="K608" s="256" t="s">
        <v>1147</v>
      </c>
      <c r="L608" s="253" t="str">
        <f>IF(ISBLANK('Dry_Litterbag Placem_Collection'!L169),"","G"&amp;""&amp;'Dry_Litterbag Placem_Collection'!L169)</f>
        <v/>
      </c>
      <c r="M608" s="257" t="str">
        <f>IFERROR(INDEX('Green_rooibos initial weight'!$C$5:$C$2000,MATCH(L608, 'Green_rooibos initial weight'!$A$5:$A$2000,0)),"")</f>
        <v/>
      </c>
      <c r="N608" s="257" t="str">
        <f>IFERROR(M608-(TBIcalc!$Q$9+TBIcalc!$Q$10),"")</f>
        <v/>
      </c>
      <c r="O608" s="378">
        <f>AVERAGE(Ashed_controlls!$K$2:$K$11)</f>
        <v>5.5147656768714146</v>
      </c>
      <c r="P608" s="257" t="str">
        <f t="shared" si="46"/>
        <v/>
      </c>
      <c r="Q608" s="257" t="str">
        <f>IFERROR(INDEX('Both teabags AfterDry'!$D$2:$D$2000,MATCH(L608,'Both teabags AfterDry'!$A$2:$A$2000,0)),"")</f>
        <v/>
      </c>
      <c r="R608" s="257" t="str">
        <f>IFERROR(IF(Q608&gt;0,Q608-(TBIcalc!$Q$9),""),"")</f>
        <v/>
      </c>
      <c r="S608" s="268" t="str">
        <f>IFERROR(INDEX('Ashed teabags dry'!$K$2:$K$2000,MATCH(L608,'Ashed teabags dry'!$A$2:$A$2000,0)),"")</f>
        <v/>
      </c>
      <c r="T608" s="268" t="str">
        <f t="shared" si="47"/>
        <v/>
      </c>
      <c r="U608" s="258" t="str">
        <f>IF('Dry_Litterbag Placem_Collection'!E169="","",'Dry_Litterbag Placem_Collection'!E169)</f>
        <v/>
      </c>
      <c r="V608" s="258" t="str">
        <f>IF('Dry_Litterbag Placem_Collection'!G169="","",'Dry_Litterbag Placem_Collection'!G169)</f>
        <v/>
      </c>
      <c r="W608" s="259" t="str">
        <f t="shared" si="45"/>
        <v/>
      </c>
      <c r="X608" s="257" t="str">
        <f t="shared" si="48"/>
        <v/>
      </c>
      <c r="Y608" s="257" t="str">
        <f t="shared" si="49"/>
        <v/>
      </c>
      <c r="Z608" s="261" t="str">
        <f>IFERROR(INDEX([3]Rainfall_Dry!$O$2:$O$217,MATCH(C608, [3]Rainfall_Dry!$A$2:$A$217,0)),"")</f>
        <v/>
      </c>
      <c r="AA608" s="250">
        <v>21.96</v>
      </c>
      <c r="AB608" s="250">
        <v>4.9199999999999982</v>
      </c>
      <c r="AC608" s="250">
        <v>73.12</v>
      </c>
      <c r="AD608" s="251" t="s">
        <v>2651</v>
      </c>
      <c r="AE608" s="250">
        <v>7.2416954164613099</v>
      </c>
      <c r="AF608">
        <f>IF('WetLitterbags placem_collection'!AB169="","",'WetLitterbags placem_collection'!AB169)</f>
        <v>5.6</v>
      </c>
      <c r="AG608">
        <f>IF('WetLitterbags placem_collection'!Z169="","",'WetLitterbags placem_collection'!Z169)</f>
        <v>4.2</v>
      </c>
      <c r="AH608" s="236" t="str">
        <f>IF('WetLitterbags placem_collection'!AA169="","",'WetLitterbags placem_collection'!AA169)</f>
        <v>M</v>
      </c>
      <c r="AI608">
        <f>IF('WetLitterbags placem_collection'!AC169="","",'WetLitterbags placem_collection'!AC169)</f>
        <v>1</v>
      </c>
      <c r="AJ608" t="str">
        <f>IFERROR(AVERAGE('Dry_Litterbag Placem_Collection'!O169,'Dry_Litterbag Placem_Collection'!R169),"")</f>
        <v/>
      </c>
      <c r="AK608" s="261" t="str">
        <f>IFERROR(AVERAGE('Dry_Litterbag Placem_Collection'!N169,'Dry_Litterbag Placem_Collection'!Q169),"")</f>
        <v/>
      </c>
      <c r="AL608" s="260">
        <f>INDEX([2]Coordinates!$B$2:$B$197,MATCH(I608,[2]Coordinates!$J$2:$J$197,0))</f>
        <v>-2.2729950310000002</v>
      </c>
      <c r="AM608" s="260">
        <f>INDEX([2]Coordinates!$C$2:$C$197,MATCH(I608,[2]Coordinates!$J$2:$J$197,0))</f>
        <v>34.022923990000002</v>
      </c>
      <c r="AN608" s="260" t="str">
        <f>IF(ISNUMBER(SEARCH("C", 'Dry_Litterbag Placem_Collection'!U169)),"YES","NO")</f>
        <v>NO</v>
      </c>
      <c r="AO608" s="260" t="str">
        <f>IF(ISNUMBER(SEARCH("H", 'Dry_Litterbag Placem_Collection'!U169)),"YES","NO")</f>
        <v>NO</v>
      </c>
      <c r="AP608" s="260" t="str">
        <f>IF(ISNUMBER(SEARCH("R", 'Dry_Litterbag Placem_Collection'!U169)),"YES","NO")</f>
        <v>NO</v>
      </c>
    </row>
    <row r="609" spans="1:42" ht="15" customHeight="1">
      <c r="A609" t="s">
        <v>3248</v>
      </c>
      <c r="B609" s="252" t="s">
        <v>2643</v>
      </c>
      <c r="C609" s="253">
        <f>'Dry_Litterbag Placem_Collection'!A170</f>
        <v>168</v>
      </c>
      <c r="D609" s="253" t="str">
        <f>'Dry_Litterbag Placem_Collection'!B170</f>
        <v>Handajega</v>
      </c>
      <c r="E609" s="253" t="s">
        <v>2454</v>
      </c>
      <c r="F609" s="253" t="s">
        <v>2645</v>
      </c>
      <c r="G609" s="253">
        <v>1</v>
      </c>
      <c r="H609" s="253" t="s">
        <v>3126</v>
      </c>
      <c r="I609" s="254" t="str">
        <f>'Dry_Litterbag Placem_Collection'!C170</f>
        <v>Wet_W1_T8</v>
      </c>
      <c r="J609" s="263" t="s">
        <v>2932</v>
      </c>
      <c r="K609" s="256" t="s">
        <v>1147</v>
      </c>
      <c r="L609" s="253" t="str">
        <f>IF(ISBLANK('Dry_Litterbag Placem_Collection'!L170),"","G"&amp;""&amp;'Dry_Litterbag Placem_Collection'!L170)</f>
        <v>G304</v>
      </c>
      <c r="M609" s="257">
        <f>IFERROR(INDEX('Green_rooibos initial weight'!$C$5:$C$2000,MATCH(L609, 'Green_rooibos initial weight'!$A$5:$A$2000,0)),"")</f>
        <v>1.9490000000000001</v>
      </c>
      <c r="N609" s="257">
        <f>IFERROR(M609-(TBIcalc!$Q$9+TBIcalc!$Q$10),"")</f>
        <v>1.6992</v>
      </c>
      <c r="O609" s="378">
        <f>AVERAGE(Ashed_controlls!$K$2:$K$11)</f>
        <v>5.5147656768714146</v>
      </c>
      <c r="P609" s="257">
        <f t="shared" si="46"/>
        <v>1.6054931016186009</v>
      </c>
      <c r="Q609" s="257" t="str">
        <f>IFERROR(INDEX('Both teabags AfterDry'!$D$2:$D$2000,MATCH(L609,'Both teabags AfterDry'!$A$2:$A$2000,0)),"")</f>
        <v/>
      </c>
      <c r="R609" s="257" t="str">
        <f>IFERROR(IF(Q609&gt;0,Q609-(TBIcalc!$Q$9),""),"")</f>
        <v/>
      </c>
      <c r="S609" s="268" t="str">
        <f>IFERROR(INDEX('Ashed teabags dry'!$K$2:$K$2000,MATCH(L609,'Ashed teabags dry'!$A$2:$A$2000,0)),"")</f>
        <v/>
      </c>
      <c r="T609" s="268" t="str">
        <f t="shared" si="47"/>
        <v/>
      </c>
      <c r="U609" s="258">
        <f>IF('Dry_Litterbag Placem_Collection'!E170="","",'Dry_Litterbag Placem_Collection'!E170)</f>
        <v>42940</v>
      </c>
      <c r="V609" s="258">
        <f>IF('Dry_Litterbag Placem_Collection'!G170="","",'Dry_Litterbag Placem_Collection'!G170)</f>
        <v>43009</v>
      </c>
      <c r="W609" s="259">
        <f t="shared" si="45"/>
        <v>69</v>
      </c>
      <c r="X609" s="257" t="str">
        <f t="shared" si="48"/>
        <v/>
      </c>
      <c r="Y609" s="257" t="str">
        <f t="shared" si="49"/>
        <v/>
      </c>
      <c r="Z609" s="261">
        <f>IFERROR(INDEX([3]Rainfall_Dry!$O$2:$O$217,MATCH(C609, [3]Rainfall_Dry!$A$2:$A$217,0)),"")</f>
        <v>162.634207253</v>
      </c>
      <c r="AA609" s="250">
        <v>21.96</v>
      </c>
      <c r="AB609" s="250">
        <v>4.9199999999999982</v>
      </c>
      <c r="AC609" s="250">
        <v>73.12</v>
      </c>
      <c r="AD609" s="251" t="s">
        <v>2651</v>
      </c>
      <c r="AE609" s="250">
        <v>8.2416954164613099</v>
      </c>
      <c r="AF609">
        <f>IF('WetLitterbags placem_collection'!AB170="","",'WetLitterbags placem_collection'!AB170)</f>
        <v>2.4</v>
      </c>
      <c r="AG609">
        <f>IF('WetLitterbags placem_collection'!Z170="","",'WetLitterbags placem_collection'!Z170)</f>
        <v>46</v>
      </c>
      <c r="AH609" s="236" t="str">
        <f>IF('WetLitterbags placem_collection'!AA170="","",'WetLitterbags placem_collection'!AA170)</f>
        <v>M</v>
      </c>
      <c r="AI609">
        <f>IF('WetLitterbags placem_collection'!AC170="","",'WetLitterbags placem_collection'!AC170)</f>
        <v>0</v>
      </c>
      <c r="AJ609">
        <f>IFERROR(AVERAGE('Dry_Litterbag Placem_Collection'!O170,'Dry_Litterbag Placem_Collection'!R170),"")</f>
        <v>4.0999999999999996</v>
      </c>
      <c r="AK609" s="261">
        <f>IFERROR(AVERAGE('Dry_Litterbag Placem_Collection'!N170,'Dry_Litterbag Placem_Collection'!Q170),"")</f>
        <v>30.15</v>
      </c>
      <c r="AL609" s="260">
        <f>INDEX([2]Coordinates!$B$2:$B$197,MATCH(I609,[2]Coordinates!$J$2:$J$197,0))</f>
        <v>-2.2729129719999999</v>
      </c>
      <c r="AM609" s="260">
        <f>INDEX([2]Coordinates!$C$2:$C$197,MATCH(I609,[2]Coordinates!$J$2:$J$197,0))</f>
        <v>34.023350039999997</v>
      </c>
      <c r="AN609" s="260" t="str">
        <f>IF(ISNUMBER(SEARCH("C", 'Dry_Litterbag Placem_Collection'!U170)),"YES","NO")</f>
        <v>NO</v>
      </c>
      <c r="AO609" s="260" t="str">
        <f>IF(ISNUMBER(SEARCH("H", 'Dry_Litterbag Placem_Collection'!U170)),"YES","NO")</f>
        <v>NO</v>
      </c>
      <c r="AP609" s="260" t="str">
        <f>IF(ISNUMBER(SEARCH("R", 'Dry_Litterbag Placem_Collection'!U170)),"YES","NO")</f>
        <v>NO</v>
      </c>
    </row>
    <row r="610" spans="1:42" ht="15" customHeight="1">
      <c r="A610" t="s">
        <v>3248</v>
      </c>
      <c r="B610" s="252" t="s">
        <v>2643</v>
      </c>
      <c r="C610" s="253">
        <f>'Dry_Litterbag Placem_Collection'!A171</f>
        <v>169</v>
      </c>
      <c r="D610" s="253" t="str">
        <f>'Dry_Litterbag Placem_Collection'!B171</f>
        <v>Handajega</v>
      </c>
      <c r="E610" s="253" t="s">
        <v>2454</v>
      </c>
      <c r="F610" s="253" t="s">
        <v>2645</v>
      </c>
      <c r="G610" s="253">
        <v>2</v>
      </c>
      <c r="H610" s="253" t="s">
        <v>3128</v>
      </c>
      <c r="I610" s="254" t="str">
        <f>'Dry_Litterbag Placem_Collection'!C171</f>
        <v>Wet_W2_T1</v>
      </c>
      <c r="J610" s="263" t="s">
        <v>2932</v>
      </c>
      <c r="K610" s="256" t="s">
        <v>1147</v>
      </c>
      <c r="L610" s="253" t="str">
        <f>IF(ISBLANK('Dry_Litterbag Placem_Collection'!L171),"","G"&amp;""&amp;'Dry_Litterbag Placem_Collection'!L171)</f>
        <v>G135</v>
      </c>
      <c r="M610" s="257">
        <f>IFERROR(INDEX('Green_rooibos initial weight'!$C$5:$C$2000,MATCH(L610, 'Green_rooibos initial weight'!$A$5:$A$2000,0)),"")</f>
        <v>2.0049999999999999</v>
      </c>
      <c r="N610" s="257">
        <f>IFERROR(M610-(TBIcalc!$Q$9+TBIcalc!$Q$10),"")</f>
        <v>1.7551999999999999</v>
      </c>
      <c r="O610" s="378">
        <f>AVERAGE(Ashed_controlls!$K$2:$K$11)</f>
        <v>5.5147656768714146</v>
      </c>
      <c r="P610" s="257">
        <f t="shared" si="46"/>
        <v>1.6584048328395529</v>
      </c>
      <c r="Q610" s="257">
        <f>IFERROR(INDEX('Both teabags AfterDry'!$D$2:$D$2000,MATCH(L610,'Both teabags AfterDry'!$A$2:$A$2000,0)),"")</f>
        <v>0.78129999999999999</v>
      </c>
      <c r="R610" s="257">
        <f>IFERROR(IF(Q610&gt;0,Q610-(TBIcalc!$Q$9),""),"")</f>
        <v>0.63070000000000004</v>
      </c>
      <c r="S610" s="268">
        <f>IFERROR(INDEX('Ashed teabags dry'!$K$2:$K$2000,MATCH(L610,'Ashed teabags dry'!$A$2:$A$2000,0)),"")</f>
        <v>21.873514027579272</v>
      </c>
      <c r="T610" s="268">
        <f t="shared" si="47"/>
        <v>0.49274374702805757</v>
      </c>
      <c r="U610" s="258">
        <f>IF('Dry_Litterbag Placem_Collection'!E171="","",'Dry_Litterbag Placem_Collection'!E171)</f>
        <v>42940</v>
      </c>
      <c r="V610" s="258">
        <f>IF('Dry_Litterbag Placem_Collection'!G171="","",'Dry_Litterbag Placem_Collection'!G171)</f>
        <v>43009</v>
      </c>
      <c r="W610" s="259">
        <f t="shared" si="45"/>
        <v>69</v>
      </c>
      <c r="X610" s="257">
        <f t="shared" si="48"/>
        <v>1.1244999999999998</v>
      </c>
      <c r="Y610" s="257">
        <f t="shared" si="49"/>
        <v>1.1656610858114953</v>
      </c>
      <c r="Z610" s="261">
        <f>IFERROR(INDEX([3]Rainfall_Dry!$O$2:$O$217,MATCH(C610, [3]Rainfall_Dry!$A$2:$A$217,0)),"")</f>
        <v>162.634207253</v>
      </c>
      <c r="AA610" s="250">
        <v>23.96</v>
      </c>
      <c r="AB610" s="250">
        <v>4.9199999999999982</v>
      </c>
      <c r="AC610" s="250">
        <v>71.12</v>
      </c>
      <c r="AD610" s="251" t="s">
        <v>2651</v>
      </c>
      <c r="AE610" s="250">
        <v>3.30913750616067</v>
      </c>
      <c r="AF610">
        <f>IF('WetLitterbags placem_collection'!AB171="","",'WetLitterbags placem_collection'!AB171)</f>
        <v>8.1999999999999993</v>
      </c>
      <c r="AG610">
        <f>IF('WetLitterbags placem_collection'!Z171="","",'WetLitterbags placem_collection'!Z171)</f>
        <v>11.4</v>
      </c>
      <c r="AH610" s="236" t="str">
        <f>IF('WetLitterbags placem_collection'!AA171="","",'WetLitterbags placem_collection'!AA171)</f>
        <v>O</v>
      </c>
      <c r="AI610">
        <f>IF('WetLitterbags placem_collection'!AC171="","",'WetLitterbags placem_collection'!AC171)</f>
        <v>1</v>
      </c>
      <c r="AJ610">
        <f>IFERROR(AVERAGE('Dry_Litterbag Placem_Collection'!O171,'Dry_Litterbag Placem_Collection'!R171),"")</f>
        <v>6.65</v>
      </c>
      <c r="AK610" s="261">
        <f>IFERROR(AVERAGE('Dry_Litterbag Placem_Collection'!N171,'Dry_Litterbag Placem_Collection'!Q171),"")</f>
        <v>35.049999999999997</v>
      </c>
      <c r="AL610" s="260">
        <f>INDEX([2]Coordinates!$B$2:$B$197,MATCH(I610,[2]Coordinates!$J$2:$J$197,0))</f>
        <v>-2.2784290180000002</v>
      </c>
      <c r="AM610" s="260">
        <f>INDEX([2]Coordinates!$C$2:$C$197,MATCH(I610,[2]Coordinates!$J$2:$J$197,0))</f>
        <v>34.024240030000001</v>
      </c>
      <c r="AN610" s="260" t="str">
        <f>IF(ISNUMBER(SEARCH("C", 'Dry_Litterbag Placem_Collection'!U171)),"YES","NO")</f>
        <v>NO</v>
      </c>
      <c r="AO610" s="260" t="str">
        <f>IF(ISNUMBER(SEARCH("H", 'Dry_Litterbag Placem_Collection'!U171)),"YES","NO")</f>
        <v>NO</v>
      </c>
      <c r="AP610" s="260" t="str">
        <f>IF(ISNUMBER(SEARCH("R", 'Dry_Litterbag Placem_Collection'!U171)),"YES","NO")</f>
        <v>YES</v>
      </c>
    </row>
    <row r="611" spans="1:42" ht="15" customHeight="1">
      <c r="A611" t="s">
        <v>3248</v>
      </c>
      <c r="B611" s="252" t="s">
        <v>2643</v>
      </c>
      <c r="C611" s="253">
        <f>'Dry_Litterbag Placem_Collection'!A172</f>
        <v>170</v>
      </c>
      <c r="D611" s="253" t="str">
        <f>'Dry_Litterbag Placem_Collection'!B172</f>
        <v>Handajega</v>
      </c>
      <c r="E611" s="253" t="s">
        <v>2454</v>
      </c>
      <c r="F611" s="253" t="s">
        <v>2645</v>
      </c>
      <c r="G611" s="253">
        <v>2</v>
      </c>
      <c r="H611" s="253" t="s">
        <v>3128</v>
      </c>
      <c r="I611" s="254" t="str">
        <f>'Dry_Litterbag Placem_Collection'!C172</f>
        <v>Wet_W2_T2</v>
      </c>
      <c r="J611" s="263" t="s">
        <v>2932</v>
      </c>
      <c r="K611" s="256" t="s">
        <v>1147</v>
      </c>
      <c r="L611" s="253" t="str">
        <f>IF(ISBLANK('Dry_Litterbag Placem_Collection'!L172),"","G"&amp;""&amp;'Dry_Litterbag Placem_Collection'!L172)</f>
        <v>G515</v>
      </c>
      <c r="M611" s="257">
        <f>IFERROR(INDEX('Green_rooibos initial weight'!$C$5:$C$2000,MATCH(L611, 'Green_rooibos initial weight'!$A$5:$A$2000,0)),"")</f>
        <v>1.9890000000000001</v>
      </c>
      <c r="N611" s="257">
        <f>IFERROR(M611-(TBIcalc!$Q$9+TBIcalc!$Q$10),"")</f>
        <v>1.7392000000000001</v>
      </c>
      <c r="O611" s="378">
        <f>AVERAGE(Ashed_controlls!$K$2:$K$11)</f>
        <v>5.5147656768714146</v>
      </c>
      <c r="P611" s="257">
        <f t="shared" si="46"/>
        <v>1.6432871953478525</v>
      </c>
      <c r="Q611" s="257">
        <f>IFERROR(INDEX('Both teabags AfterDry'!$D$2:$D$2000,MATCH(L611,'Both teabags AfterDry'!$A$2:$A$2000,0)),"")</f>
        <v>0.77959999999999996</v>
      </c>
      <c r="R611" s="257">
        <f>IFERROR(IF(Q611&gt;0,Q611-(TBIcalc!$Q$9),""),"")</f>
        <v>0.629</v>
      </c>
      <c r="S611" s="268">
        <f>IFERROR(INDEX('Ashed teabags dry'!$K$2:$K$2000,MATCH(L611,'Ashed teabags dry'!$A$2:$A$2000,0)),"")</f>
        <v>24.595469255663417</v>
      </c>
      <c r="T611" s="268">
        <f t="shared" si="47"/>
        <v>0.47429449838187709</v>
      </c>
      <c r="U611" s="258">
        <f>IF('Dry_Litterbag Placem_Collection'!E172="","",'Dry_Litterbag Placem_Collection'!E172)</f>
        <v>42940</v>
      </c>
      <c r="V611" s="258">
        <f>IF('Dry_Litterbag Placem_Collection'!G172="","",'Dry_Litterbag Placem_Collection'!G172)</f>
        <v>43009</v>
      </c>
      <c r="W611" s="259">
        <f t="shared" si="45"/>
        <v>69</v>
      </c>
      <c r="X611" s="257">
        <f t="shared" si="48"/>
        <v>1.1102000000000001</v>
      </c>
      <c r="Y611" s="257">
        <f t="shared" si="49"/>
        <v>1.1689926969659754</v>
      </c>
      <c r="Z611" s="261">
        <f>IFERROR(INDEX([3]Rainfall_Dry!$O$2:$O$217,MATCH(C611, [3]Rainfall_Dry!$A$2:$A$217,0)),"")</f>
        <v>162.634207253</v>
      </c>
      <c r="AA611" s="250">
        <v>23.96</v>
      </c>
      <c r="AB611" s="250">
        <v>4.9199999999999982</v>
      </c>
      <c r="AC611" s="250">
        <v>71.12</v>
      </c>
      <c r="AD611" s="251" t="s">
        <v>2651</v>
      </c>
      <c r="AE611" s="250">
        <v>4.3091375061606696</v>
      </c>
      <c r="AF611">
        <f>IF('WetLitterbags placem_collection'!AB172="","",'WetLitterbags placem_collection'!AB172)</f>
        <v>7.7</v>
      </c>
      <c r="AG611">
        <f>IF('WetLitterbags placem_collection'!Z172="","",'WetLitterbags placem_collection'!Z172)</f>
        <v>15.8</v>
      </c>
      <c r="AH611" s="236" t="str">
        <f>IF('WetLitterbags placem_collection'!AA172="","",'WetLitterbags placem_collection'!AA172)</f>
        <v>O</v>
      </c>
      <c r="AI611">
        <f>IF('WetLitterbags placem_collection'!AC172="","",'WetLitterbags placem_collection'!AC172)</f>
        <v>1</v>
      </c>
      <c r="AJ611">
        <f>IFERROR(AVERAGE('Dry_Litterbag Placem_Collection'!O172,'Dry_Litterbag Placem_Collection'!R172),"")</f>
        <v>6.1</v>
      </c>
      <c r="AK611" s="261">
        <f>IFERROR(AVERAGE('Dry_Litterbag Placem_Collection'!N172,'Dry_Litterbag Placem_Collection'!Q172),"")</f>
        <v>33.950000000000003</v>
      </c>
      <c r="AL611" s="260">
        <f>INDEX([2]Coordinates!$B$2:$B$197,MATCH(I611,[2]Coordinates!$J$2:$J$197,0))</f>
        <v>-2.2784629650000001</v>
      </c>
      <c r="AM611" s="260">
        <f>INDEX([2]Coordinates!$C$2:$C$197,MATCH(I611,[2]Coordinates!$J$2:$J$197,0))</f>
        <v>34.024177999999999</v>
      </c>
      <c r="AN611" s="260" t="str">
        <f>IF(ISNUMBER(SEARCH("C", 'Dry_Litterbag Placem_Collection'!U172)),"YES","NO")</f>
        <v>NO</v>
      </c>
      <c r="AO611" s="260" t="str">
        <f>IF(ISNUMBER(SEARCH("H", 'Dry_Litterbag Placem_Collection'!U172)),"YES","NO")</f>
        <v>NO</v>
      </c>
      <c r="AP611" s="260" t="str">
        <f>IF(ISNUMBER(SEARCH("R", 'Dry_Litterbag Placem_Collection'!U172)),"YES","NO")</f>
        <v>YES</v>
      </c>
    </row>
    <row r="612" spans="1:42" ht="15" customHeight="1">
      <c r="A612" t="s">
        <v>3248</v>
      </c>
      <c r="B612" s="252" t="s">
        <v>2643</v>
      </c>
      <c r="C612" s="253">
        <f>'Dry_Litterbag Placem_Collection'!A173</f>
        <v>171</v>
      </c>
      <c r="D612" s="253" t="str">
        <f>'Dry_Litterbag Placem_Collection'!B173</f>
        <v>Handajega</v>
      </c>
      <c r="E612" s="253" t="s">
        <v>2454</v>
      </c>
      <c r="F612" s="253" t="s">
        <v>2645</v>
      </c>
      <c r="G612" s="253">
        <v>2</v>
      </c>
      <c r="H612" s="253" t="s">
        <v>3128</v>
      </c>
      <c r="I612" s="254" t="str">
        <f>'Dry_Litterbag Placem_Collection'!C173</f>
        <v>Wet_W2_T3</v>
      </c>
      <c r="J612" s="263" t="s">
        <v>2932</v>
      </c>
      <c r="K612" s="256" t="s">
        <v>1147</v>
      </c>
      <c r="L612" s="253" t="str">
        <f>IF(ISBLANK('Dry_Litterbag Placem_Collection'!L173),"","G"&amp;""&amp;'Dry_Litterbag Placem_Collection'!L173)</f>
        <v>G348</v>
      </c>
      <c r="M612" s="257">
        <f>IFERROR(INDEX('Green_rooibos initial weight'!$C$5:$C$2000,MATCH(L612, 'Green_rooibos initial weight'!$A$5:$A$2000,0)),"")</f>
        <v>2.0139999999999998</v>
      </c>
      <c r="N612" s="257">
        <f>IFERROR(M612-(TBIcalc!$Q$9+TBIcalc!$Q$10),"")</f>
        <v>1.7641999999999998</v>
      </c>
      <c r="O612" s="378">
        <f>AVERAGE(Ashed_controlls!$K$2:$K$11)</f>
        <v>5.5147656768714146</v>
      </c>
      <c r="P612" s="257">
        <f t="shared" si="46"/>
        <v>1.6669085039286342</v>
      </c>
      <c r="Q612" s="257">
        <f>IFERROR(INDEX('Both teabags AfterDry'!$D$2:$D$2000,MATCH(L612,'Both teabags AfterDry'!$A$2:$A$2000,0)),"")</f>
        <v>0.69310000000000005</v>
      </c>
      <c r="R612" s="257">
        <f>IFERROR(IF(Q612&gt;0,Q612-(TBIcalc!$Q$9),""),"")</f>
        <v>0.54249999999999998</v>
      </c>
      <c r="S612" s="268">
        <f>IFERROR(INDEX('Ashed teabags dry'!$K$2:$K$2000,MATCH(L612,'Ashed teabags dry'!$A$2:$A$2000,0)),"")</f>
        <v>19.412878787879041</v>
      </c>
      <c r="T612" s="268">
        <f t="shared" si="47"/>
        <v>0.4371851325757562</v>
      </c>
      <c r="U612" s="258">
        <f>IF('Dry_Litterbag Placem_Collection'!E173="","",'Dry_Litterbag Placem_Collection'!E173)</f>
        <v>42940</v>
      </c>
      <c r="V612" s="258">
        <f>IF('Dry_Litterbag Placem_Collection'!G173="","",'Dry_Litterbag Placem_Collection'!G173)</f>
        <v>43009</v>
      </c>
      <c r="W612" s="259">
        <f t="shared" si="45"/>
        <v>69</v>
      </c>
      <c r="X612" s="257">
        <f t="shared" si="48"/>
        <v>1.2216999999999998</v>
      </c>
      <c r="Y612" s="257">
        <f t="shared" si="49"/>
        <v>1.2297233713528781</v>
      </c>
      <c r="Z612" s="261">
        <f>IFERROR(INDEX([3]Rainfall_Dry!$O$2:$O$217,MATCH(C612, [3]Rainfall_Dry!$A$2:$A$217,0)),"")</f>
        <v>162.634207253</v>
      </c>
      <c r="AA612" s="250">
        <v>23.96</v>
      </c>
      <c r="AB612" s="250">
        <v>4.9199999999999982</v>
      </c>
      <c r="AC612" s="250">
        <v>71.12</v>
      </c>
      <c r="AD612" s="251" t="s">
        <v>2651</v>
      </c>
      <c r="AE612" s="250">
        <v>5.3091375061606696</v>
      </c>
      <c r="AF612">
        <f>IF('WetLitterbags placem_collection'!AB173="","",'WetLitterbags placem_collection'!AB173)</f>
        <v>13.4</v>
      </c>
      <c r="AG612">
        <f>IF('WetLitterbags placem_collection'!Z173="","",'WetLitterbags placem_collection'!Z173)</f>
        <v>7.6</v>
      </c>
      <c r="AH612" s="236" t="str">
        <f>IF('WetLitterbags placem_collection'!AA173="","",'WetLitterbags placem_collection'!AA173)</f>
        <v>O</v>
      </c>
      <c r="AI612">
        <f>IF('WetLitterbags placem_collection'!AC173="","",'WetLitterbags placem_collection'!AC173)</f>
        <v>1</v>
      </c>
      <c r="AJ612">
        <f>IFERROR(AVERAGE('Dry_Litterbag Placem_Collection'!O173,'Dry_Litterbag Placem_Collection'!R173),"")</f>
        <v>5.6</v>
      </c>
      <c r="AK612" s="261">
        <f>IFERROR(AVERAGE('Dry_Litterbag Placem_Collection'!N173,'Dry_Litterbag Placem_Collection'!Q173),"")</f>
        <v>33</v>
      </c>
      <c r="AL612" s="260">
        <f>INDEX([2]Coordinates!$B$2:$B$197,MATCH(I612,[2]Coordinates!$J$2:$J$197,0))</f>
        <v>-2.2785389889999998</v>
      </c>
      <c r="AM612" s="260">
        <f>INDEX([2]Coordinates!$C$2:$C$197,MATCH(I612,[2]Coordinates!$J$2:$J$197,0))</f>
        <v>34.024371039999998</v>
      </c>
      <c r="AN612" s="260" t="str">
        <f>IF(ISNUMBER(SEARCH("C", 'Dry_Litterbag Placem_Collection'!U173)),"YES","NO")</f>
        <v>NO</v>
      </c>
      <c r="AO612" s="260" t="str">
        <f>IF(ISNUMBER(SEARCH("H", 'Dry_Litterbag Placem_Collection'!U173)),"YES","NO")</f>
        <v>NO</v>
      </c>
      <c r="AP612" s="260" t="str">
        <f>IF(ISNUMBER(SEARCH("R", 'Dry_Litterbag Placem_Collection'!U173)),"YES","NO")</f>
        <v>YES</v>
      </c>
    </row>
    <row r="613" spans="1:42" ht="15" customHeight="1">
      <c r="A613" t="s">
        <v>3248</v>
      </c>
      <c r="B613" s="252" t="s">
        <v>2643</v>
      </c>
      <c r="C613" s="253">
        <f>'Dry_Litterbag Placem_Collection'!A174</f>
        <v>172</v>
      </c>
      <c r="D613" s="253" t="str">
        <f>'Dry_Litterbag Placem_Collection'!B174</f>
        <v>Handajega</v>
      </c>
      <c r="E613" s="253" t="s">
        <v>2454</v>
      </c>
      <c r="F613" s="253" t="s">
        <v>2645</v>
      </c>
      <c r="G613" s="253">
        <v>2</v>
      </c>
      <c r="H613" s="253" t="s">
        <v>3128</v>
      </c>
      <c r="I613" s="254" t="str">
        <f>'Dry_Litterbag Placem_Collection'!C174</f>
        <v>Wet_W2_T4</v>
      </c>
      <c r="J613" s="263" t="s">
        <v>2932</v>
      </c>
      <c r="K613" s="256" t="s">
        <v>1147</v>
      </c>
      <c r="L613" s="253" t="str">
        <f>IF(ISBLANK('Dry_Litterbag Placem_Collection'!L174),"","G"&amp;""&amp;'Dry_Litterbag Placem_Collection'!L174)</f>
        <v/>
      </c>
      <c r="M613" s="257" t="str">
        <f>IFERROR(INDEX('Green_rooibos initial weight'!$C$5:$C$2000,MATCH(L613, 'Green_rooibos initial weight'!$A$5:$A$2000,0)),"")</f>
        <v/>
      </c>
      <c r="N613" s="257" t="str">
        <f>IFERROR(M613-(TBIcalc!$Q$9+TBIcalc!$Q$10),"")</f>
        <v/>
      </c>
      <c r="O613" s="378">
        <f>AVERAGE(Ashed_controlls!$K$2:$K$11)</f>
        <v>5.5147656768714146</v>
      </c>
      <c r="P613" s="257" t="str">
        <f t="shared" si="46"/>
        <v/>
      </c>
      <c r="Q613" s="257" t="str">
        <f>IFERROR(INDEX('Both teabags AfterDry'!$D$2:$D$2000,MATCH(L613,'Both teabags AfterDry'!$A$2:$A$2000,0)),"")</f>
        <v/>
      </c>
      <c r="R613" s="257" t="str">
        <f>IFERROR(IF(Q613&gt;0,Q613-(TBIcalc!$Q$9),""),"")</f>
        <v/>
      </c>
      <c r="S613" s="268" t="str">
        <f>IFERROR(INDEX('Ashed teabags dry'!$K$2:$K$2000,MATCH(L613,'Ashed teabags dry'!$A$2:$A$2000,0)),"")</f>
        <v/>
      </c>
      <c r="T613" s="268" t="str">
        <f t="shared" si="47"/>
        <v/>
      </c>
      <c r="U613" s="258" t="str">
        <f>IF('Dry_Litterbag Placem_Collection'!E174="","",'Dry_Litterbag Placem_Collection'!E174)</f>
        <v/>
      </c>
      <c r="V613" s="258" t="str">
        <f>IF('Dry_Litterbag Placem_Collection'!G174="","",'Dry_Litterbag Placem_Collection'!G174)</f>
        <v/>
      </c>
      <c r="W613" s="259" t="str">
        <f t="shared" si="45"/>
        <v/>
      </c>
      <c r="X613" s="257" t="str">
        <f t="shared" si="48"/>
        <v/>
      </c>
      <c r="Y613" s="257" t="str">
        <f t="shared" si="49"/>
        <v/>
      </c>
      <c r="Z613" s="261" t="str">
        <f>IFERROR(INDEX([3]Rainfall_Dry!$O$2:$O$217,MATCH(C613, [3]Rainfall_Dry!$A$2:$A$217,0)),"")</f>
        <v/>
      </c>
      <c r="AA613" s="250">
        <v>23.96</v>
      </c>
      <c r="AB613" s="250">
        <v>4.9199999999999982</v>
      </c>
      <c r="AC613" s="250">
        <v>71.12</v>
      </c>
      <c r="AD613" s="251" t="s">
        <v>2651</v>
      </c>
      <c r="AE613" s="250">
        <v>6.3091375061606696</v>
      </c>
      <c r="AF613">
        <f>IF('WetLitterbags placem_collection'!AB174="","",'WetLitterbags placem_collection'!AB174)</f>
        <v>3.3</v>
      </c>
      <c r="AG613">
        <f>IF('WetLitterbags placem_collection'!Z174="","",'WetLitterbags placem_collection'!Z174)</f>
        <v>28.4</v>
      </c>
      <c r="AH613" s="236" t="str">
        <f>IF('WetLitterbags placem_collection'!AA174="","",'WetLitterbags placem_collection'!AA174)</f>
        <v>G</v>
      </c>
      <c r="AI613">
        <f>IF('WetLitterbags placem_collection'!AC174="","",'WetLitterbags placem_collection'!AC174)</f>
        <v>1</v>
      </c>
      <c r="AJ613" t="str">
        <f>IFERROR(AVERAGE('Dry_Litterbag Placem_Collection'!O174,'Dry_Litterbag Placem_Collection'!R174),"")</f>
        <v/>
      </c>
      <c r="AK613" s="261" t="str">
        <f>IFERROR(AVERAGE('Dry_Litterbag Placem_Collection'!N174,'Dry_Litterbag Placem_Collection'!Q174),"")</f>
        <v/>
      </c>
      <c r="AL613" s="260">
        <f>INDEX([2]Coordinates!$B$2:$B$197,MATCH(I613,[2]Coordinates!$J$2:$J$197,0))</f>
        <v>-2.2781410160000002</v>
      </c>
      <c r="AM613" s="260">
        <f>INDEX([2]Coordinates!$C$2:$C$197,MATCH(I613,[2]Coordinates!$J$2:$J$197,0))</f>
        <v>34.024136009999999</v>
      </c>
      <c r="AN613" s="260" t="str">
        <f>IF(ISNUMBER(SEARCH("C", 'Dry_Litterbag Placem_Collection'!U174)),"YES","NO")</f>
        <v>NO</v>
      </c>
      <c r="AO613" s="260" t="str">
        <f>IF(ISNUMBER(SEARCH("H", 'Dry_Litterbag Placem_Collection'!U174)),"YES","NO")</f>
        <v>NO</v>
      </c>
      <c r="AP613" s="260" t="str">
        <f>IF(ISNUMBER(SEARCH("R", 'Dry_Litterbag Placem_Collection'!U174)),"YES","NO")</f>
        <v>NO</v>
      </c>
    </row>
    <row r="614" spans="1:42" ht="15" customHeight="1">
      <c r="A614" t="s">
        <v>3248</v>
      </c>
      <c r="B614" s="252" t="s">
        <v>2643</v>
      </c>
      <c r="C614" s="253">
        <f>'Dry_Litterbag Placem_Collection'!A175</f>
        <v>173</v>
      </c>
      <c r="D614" s="253" t="str">
        <f>'Dry_Litterbag Placem_Collection'!B175</f>
        <v>Handajega</v>
      </c>
      <c r="E614" s="253" t="s">
        <v>2454</v>
      </c>
      <c r="F614" s="253" t="s">
        <v>2645</v>
      </c>
      <c r="G614" s="253">
        <v>2</v>
      </c>
      <c r="H614" s="253" t="s">
        <v>3128</v>
      </c>
      <c r="I614" s="254" t="str">
        <f>'Dry_Litterbag Placem_Collection'!C175</f>
        <v>Wet_W2_T5</v>
      </c>
      <c r="J614" s="263" t="s">
        <v>2932</v>
      </c>
      <c r="K614" s="256" t="s">
        <v>1147</v>
      </c>
      <c r="L614" s="253" t="str">
        <f>IF(ISBLANK('Dry_Litterbag Placem_Collection'!L175),"","G"&amp;""&amp;'Dry_Litterbag Placem_Collection'!L175)</f>
        <v>G307</v>
      </c>
      <c r="M614" s="257">
        <f>IFERROR(INDEX('Green_rooibos initial weight'!$C$5:$C$2000,MATCH(L614, 'Green_rooibos initial weight'!$A$5:$A$2000,0)),"")</f>
        <v>1.9810000000000001</v>
      </c>
      <c r="N614" s="257">
        <f>IFERROR(M614-(TBIcalc!$Q$9+TBIcalc!$Q$10),"")</f>
        <v>1.7312000000000001</v>
      </c>
      <c r="O614" s="378">
        <f>AVERAGE(Ashed_controlls!$K$2:$K$11)</f>
        <v>5.5147656768714146</v>
      </c>
      <c r="P614" s="257">
        <f t="shared" si="46"/>
        <v>1.6357283766020021</v>
      </c>
      <c r="Q614" s="257" t="str">
        <f>IFERROR(INDEX('Both teabags AfterDry'!$D$2:$D$2000,MATCH(L614,'Both teabags AfterDry'!$A$2:$A$2000,0)),"")</f>
        <v/>
      </c>
      <c r="R614" s="257" t="str">
        <f>IFERROR(IF(Q614&gt;0,Q614-(TBIcalc!$Q$9),""),"")</f>
        <v/>
      </c>
      <c r="S614" s="268" t="str">
        <f>IFERROR(INDEX('Ashed teabags dry'!$K$2:$K$2000,MATCH(L614,'Ashed teabags dry'!$A$2:$A$2000,0)),"")</f>
        <v/>
      </c>
      <c r="T614" s="268" t="str">
        <f t="shared" si="47"/>
        <v/>
      </c>
      <c r="U614" s="258">
        <f>IF('Dry_Litterbag Placem_Collection'!E175="","",'Dry_Litterbag Placem_Collection'!E175)</f>
        <v>42940</v>
      </c>
      <c r="V614" s="258">
        <f>IF('Dry_Litterbag Placem_Collection'!G175="","",'Dry_Litterbag Placem_Collection'!G175)</f>
        <v>43009</v>
      </c>
      <c r="W614" s="259">
        <f t="shared" si="45"/>
        <v>69</v>
      </c>
      <c r="X614" s="257" t="str">
        <f t="shared" si="48"/>
        <v/>
      </c>
      <c r="Y614" s="257" t="str">
        <f t="shared" si="49"/>
        <v/>
      </c>
      <c r="Z614" s="261">
        <f>IFERROR(INDEX([3]Rainfall_Dry!$O$2:$O$217,MATCH(C614, [3]Rainfall_Dry!$A$2:$A$217,0)),"")</f>
        <v>162.634207253</v>
      </c>
      <c r="AA614" s="250">
        <v>23.96</v>
      </c>
      <c r="AB614" s="250">
        <v>4.9199999999999982</v>
      </c>
      <c r="AC614" s="250">
        <v>71.12</v>
      </c>
      <c r="AD614" s="251" t="s">
        <v>2651</v>
      </c>
      <c r="AE614" s="250">
        <v>7.3091375061606696</v>
      </c>
      <c r="AF614">
        <f>IF('WetLitterbags placem_collection'!AB175="","",'WetLitterbags placem_collection'!AB175)</f>
        <v>15.4</v>
      </c>
      <c r="AG614">
        <f>IF('WetLitterbags placem_collection'!Z175="","",'WetLitterbags placem_collection'!Z175)</f>
        <v>12.4</v>
      </c>
      <c r="AH614" s="236" t="str">
        <f>IF('WetLitterbags placem_collection'!AA175="","",'WetLitterbags placem_collection'!AA175)</f>
        <v>O</v>
      </c>
      <c r="AI614">
        <f>IF('WetLitterbags placem_collection'!AC175="","",'WetLitterbags placem_collection'!AC175)</f>
        <v>0</v>
      </c>
      <c r="AJ614">
        <f>IFERROR(AVERAGE('Dry_Litterbag Placem_Collection'!O175,'Dry_Litterbag Placem_Collection'!R175),"")</f>
        <v>6.3</v>
      </c>
      <c r="AK614" s="261">
        <f>IFERROR(AVERAGE('Dry_Litterbag Placem_Collection'!N175,'Dry_Litterbag Placem_Collection'!Q175),"")</f>
        <v>34.049999999999997</v>
      </c>
      <c r="AL614" s="260">
        <f>INDEX([2]Coordinates!$B$2:$B$197,MATCH(I614,[2]Coordinates!$J$2:$J$197,0))</f>
        <v>-2.27856799</v>
      </c>
      <c r="AM614" s="260">
        <f>INDEX([2]Coordinates!$C$2:$C$197,MATCH(I614,[2]Coordinates!$J$2:$J$197,0))</f>
        <v>34.023969970000003</v>
      </c>
      <c r="AN614" s="260" t="str">
        <f>IF(ISNUMBER(SEARCH("C", 'Dry_Litterbag Placem_Collection'!U175)),"YES","NO")</f>
        <v>NO</v>
      </c>
      <c r="AO614" s="260" t="str">
        <f>IF(ISNUMBER(SEARCH("H", 'Dry_Litterbag Placem_Collection'!U175)),"YES","NO")</f>
        <v>NO</v>
      </c>
      <c r="AP614" s="260" t="str">
        <f>IF(ISNUMBER(SEARCH("R", 'Dry_Litterbag Placem_Collection'!U175)),"YES","NO")</f>
        <v>NO</v>
      </c>
    </row>
    <row r="615" spans="1:42" ht="15" customHeight="1">
      <c r="A615" t="s">
        <v>3248</v>
      </c>
      <c r="B615" s="252" t="s">
        <v>2643</v>
      </c>
      <c r="C615" s="253">
        <f>'Dry_Litterbag Placem_Collection'!A176</f>
        <v>174</v>
      </c>
      <c r="D615" s="253" t="str">
        <f>'Dry_Litterbag Placem_Collection'!B176</f>
        <v>Handajega</v>
      </c>
      <c r="E615" s="253" t="s">
        <v>2454</v>
      </c>
      <c r="F615" s="253" t="s">
        <v>2645</v>
      </c>
      <c r="G615" s="253">
        <v>2</v>
      </c>
      <c r="H615" s="253" t="s">
        <v>3128</v>
      </c>
      <c r="I615" s="254" t="str">
        <f>'Dry_Litterbag Placem_Collection'!C176</f>
        <v>Wet_W2_T6</v>
      </c>
      <c r="J615" s="263" t="s">
        <v>2932</v>
      </c>
      <c r="K615" s="256" t="s">
        <v>1147</v>
      </c>
      <c r="L615" s="253" t="str">
        <f>IF(ISBLANK('Dry_Litterbag Placem_Collection'!L176),"","G"&amp;""&amp;'Dry_Litterbag Placem_Collection'!L176)</f>
        <v>G155</v>
      </c>
      <c r="M615" s="257">
        <f>IFERROR(INDEX('Green_rooibos initial weight'!$C$5:$C$2000,MATCH(L615, 'Green_rooibos initial weight'!$A$5:$A$2000,0)),"")</f>
        <v>2.0379999999999998</v>
      </c>
      <c r="N615" s="257">
        <f>IFERROR(M615-(TBIcalc!$Q$9+TBIcalc!$Q$10),"")</f>
        <v>1.7881999999999998</v>
      </c>
      <c r="O615" s="378">
        <f>AVERAGE(Ashed_controlls!$K$2:$K$11)</f>
        <v>5.5147656768714146</v>
      </c>
      <c r="P615" s="257">
        <f t="shared" si="46"/>
        <v>1.6895849601661852</v>
      </c>
      <c r="Q615" s="257">
        <f>IFERROR(INDEX('Both teabags AfterDry'!$D$2:$D$2000,MATCH(L615,'Both teabags AfterDry'!$A$2:$A$2000,0)),"")</f>
        <v>0.78239999999999998</v>
      </c>
      <c r="R615" s="257">
        <f>IFERROR(IF(Q615&gt;0,Q615-(TBIcalc!$Q$9),""),"")</f>
        <v>0.63179999999999992</v>
      </c>
      <c r="S615" s="268">
        <f>IFERROR(INDEX('Ashed teabags dry'!$K$2:$K$2000,MATCH(L615,'Ashed teabags dry'!$A$2:$A$2000,0)),"")</f>
        <v>23.40527577937609</v>
      </c>
      <c r="T615" s="268">
        <f t="shared" si="47"/>
        <v>0.48392546762590183</v>
      </c>
      <c r="U615" s="258">
        <f>IF('Dry_Litterbag Placem_Collection'!E176="","",'Dry_Litterbag Placem_Collection'!E176)</f>
        <v>42940</v>
      </c>
      <c r="V615" s="258">
        <f>IF('Dry_Litterbag Placem_Collection'!G176="","",'Dry_Litterbag Placem_Collection'!G176)</f>
        <v>43009</v>
      </c>
      <c r="W615" s="259">
        <f t="shared" si="45"/>
        <v>69</v>
      </c>
      <c r="X615" s="257">
        <f t="shared" si="48"/>
        <v>1.1563999999999999</v>
      </c>
      <c r="Y615" s="257">
        <f t="shared" si="49"/>
        <v>1.2056594925402835</v>
      </c>
      <c r="Z615" s="261">
        <f>IFERROR(INDEX([3]Rainfall_Dry!$O$2:$O$217,MATCH(C615, [3]Rainfall_Dry!$A$2:$A$217,0)),"")</f>
        <v>162.634207253</v>
      </c>
      <c r="AA615" s="250">
        <v>23.96</v>
      </c>
      <c r="AB615" s="250">
        <v>4.9199999999999982</v>
      </c>
      <c r="AC615" s="250">
        <v>71.12</v>
      </c>
      <c r="AD615" s="251" t="s">
        <v>2651</v>
      </c>
      <c r="AE615" s="250">
        <v>8.3091375061606705</v>
      </c>
      <c r="AF615">
        <f>IF('WetLitterbags placem_collection'!AB176="","",'WetLitterbags placem_collection'!AB176)</f>
        <v>7.4</v>
      </c>
      <c r="AG615">
        <f>IF('WetLitterbags placem_collection'!Z176="","",'WetLitterbags placem_collection'!Z176)</f>
        <v>7.4</v>
      </c>
      <c r="AH615" s="236" t="str">
        <f>IF('WetLitterbags placem_collection'!AA176="","",'WetLitterbags placem_collection'!AA176)</f>
        <v>O</v>
      </c>
      <c r="AI615">
        <f>IF('WetLitterbags placem_collection'!AC176="","",'WetLitterbags placem_collection'!AC176)</f>
        <v>0</v>
      </c>
      <c r="AJ615">
        <f>IFERROR(AVERAGE('Dry_Litterbag Placem_Collection'!O176,'Dry_Litterbag Placem_Collection'!R176),"")</f>
        <v>5.9</v>
      </c>
      <c r="AK615" s="261">
        <f>IFERROR(AVERAGE('Dry_Litterbag Placem_Collection'!N176,'Dry_Litterbag Placem_Collection'!Q176),"")</f>
        <v>33.200000000000003</v>
      </c>
      <c r="AL615" s="260">
        <f>INDEX([2]Coordinates!$B$2:$B$197,MATCH(I615,[2]Coordinates!$J$2:$J$197,0))</f>
        <v>-2.2786809780000001</v>
      </c>
      <c r="AM615" s="260">
        <f>INDEX([2]Coordinates!$C$2:$C$197,MATCH(I615,[2]Coordinates!$J$2:$J$197,0))</f>
        <v>34.02434899</v>
      </c>
      <c r="AN615" s="260" t="str">
        <f>IF(ISNUMBER(SEARCH("C", 'Dry_Litterbag Placem_Collection'!U176)),"YES","NO")</f>
        <v>NO</v>
      </c>
      <c r="AO615" s="260" t="str">
        <f>IF(ISNUMBER(SEARCH("H", 'Dry_Litterbag Placem_Collection'!U176)),"YES","NO")</f>
        <v>NO</v>
      </c>
      <c r="AP615" s="260" t="str">
        <f>IF(ISNUMBER(SEARCH("R", 'Dry_Litterbag Placem_Collection'!U176)),"YES","NO")</f>
        <v>NO</v>
      </c>
    </row>
    <row r="616" spans="1:42" ht="15" customHeight="1">
      <c r="A616" t="s">
        <v>3248</v>
      </c>
      <c r="B616" s="252" t="s">
        <v>2643</v>
      </c>
      <c r="C616" s="253">
        <f>'Dry_Litterbag Placem_Collection'!A177</f>
        <v>175</v>
      </c>
      <c r="D616" s="253" t="str">
        <f>'Dry_Litterbag Placem_Collection'!B177</f>
        <v>Handajega</v>
      </c>
      <c r="E616" s="253" t="s">
        <v>2454</v>
      </c>
      <c r="F616" s="253" t="s">
        <v>2645</v>
      </c>
      <c r="G616" s="253">
        <v>2</v>
      </c>
      <c r="H616" s="253" t="s">
        <v>3128</v>
      </c>
      <c r="I616" s="254" t="str">
        <f>'Dry_Litterbag Placem_Collection'!C177</f>
        <v>Wet_W2_T7</v>
      </c>
      <c r="J616" s="263" t="s">
        <v>2932</v>
      </c>
      <c r="K616" s="256" t="s">
        <v>1147</v>
      </c>
      <c r="L616" s="253" t="str">
        <f>IF(ISBLANK('Dry_Litterbag Placem_Collection'!L177),"","G"&amp;""&amp;'Dry_Litterbag Placem_Collection'!L177)</f>
        <v>G719</v>
      </c>
      <c r="M616" s="257">
        <f>IFERROR(INDEX('Green_rooibos initial weight'!$C$5:$C$2000,MATCH(L616, 'Green_rooibos initial weight'!$A$5:$A$2000,0)),"")</f>
        <v>2.02</v>
      </c>
      <c r="N616" s="257">
        <f>IFERROR(M616-(TBIcalc!$Q$9+TBIcalc!$Q$10),"")</f>
        <v>1.7702</v>
      </c>
      <c r="O616" s="378">
        <f>AVERAGE(Ashed_controlls!$K$2:$K$11)</f>
        <v>5.5147656768714146</v>
      </c>
      <c r="P616" s="257">
        <f t="shared" si="46"/>
        <v>1.6725776179880223</v>
      </c>
      <c r="Q616" s="257">
        <f>IFERROR(INDEX('Both teabags AfterDry'!$D$2:$D$2000,MATCH(L616,'Both teabags AfterDry'!$A$2:$A$2000,0)),"")</f>
        <v>0.80269999999999997</v>
      </c>
      <c r="R616" s="257">
        <f>IFERROR(IF(Q616&gt;0,Q616-(TBIcalc!$Q$9),""),"")</f>
        <v>0.6520999999999999</v>
      </c>
      <c r="S616" s="268">
        <f>IFERROR(INDEX('Ashed teabags dry'!$K$2:$K$2000,MATCH(L616,'Ashed teabags dry'!$A$2:$A$2000,0)),"")</f>
        <v>20.371275036638856</v>
      </c>
      <c r="T616" s="268">
        <f t="shared" si="47"/>
        <v>0.51925891548607794</v>
      </c>
      <c r="U616" s="258">
        <f>IF('Dry_Litterbag Placem_Collection'!E177="","",'Dry_Litterbag Placem_Collection'!E177)</f>
        <v>42940</v>
      </c>
      <c r="V616" s="258">
        <f>IF('Dry_Litterbag Placem_Collection'!G177="","",'Dry_Litterbag Placem_Collection'!G177)</f>
        <v>43009</v>
      </c>
      <c r="W616" s="259">
        <f t="shared" si="45"/>
        <v>69</v>
      </c>
      <c r="X616" s="257">
        <f t="shared" si="48"/>
        <v>1.1181000000000001</v>
      </c>
      <c r="Y616" s="257">
        <f t="shared" si="49"/>
        <v>1.1533187025019442</v>
      </c>
      <c r="Z616" s="261">
        <f>IFERROR(INDEX([3]Rainfall_Dry!$O$2:$O$217,MATCH(C616, [3]Rainfall_Dry!$A$2:$A$217,0)),"")</f>
        <v>162.634207253</v>
      </c>
      <c r="AA616" s="250">
        <v>23.96</v>
      </c>
      <c r="AB616" s="250">
        <v>4.9199999999999982</v>
      </c>
      <c r="AC616" s="250">
        <v>71.12</v>
      </c>
      <c r="AD616" s="251" t="s">
        <v>2651</v>
      </c>
      <c r="AE616" s="250">
        <v>9.3091375061606705</v>
      </c>
      <c r="AF616">
        <f>IF('WetLitterbags placem_collection'!AB177="","",'WetLitterbags placem_collection'!AB177)</f>
        <v>15.4</v>
      </c>
      <c r="AG616">
        <f>IF('WetLitterbags placem_collection'!Z177="","",'WetLitterbags placem_collection'!Z177)</f>
        <v>9.8000000000000007</v>
      </c>
      <c r="AH616" s="236" t="str">
        <f>IF('WetLitterbags placem_collection'!AA177="","",'WetLitterbags placem_collection'!AA177)</f>
        <v>O</v>
      </c>
      <c r="AI616">
        <f>IF('WetLitterbags placem_collection'!AC177="","",'WetLitterbags placem_collection'!AC177)</f>
        <v>1</v>
      </c>
      <c r="AJ616">
        <f>IFERROR(AVERAGE('Dry_Litterbag Placem_Collection'!O177,'Dry_Litterbag Placem_Collection'!R177),"")</f>
        <v>5.9499999999999993</v>
      </c>
      <c r="AK616" s="261">
        <f>IFERROR(AVERAGE('Dry_Litterbag Placem_Collection'!N177,'Dry_Litterbag Placem_Collection'!Q177),"")</f>
        <v>34.049999999999997</v>
      </c>
      <c r="AL616" s="260">
        <f>INDEX([2]Coordinates!$B$2:$B$197,MATCH(I616,[2]Coordinates!$J$2:$J$197,0))</f>
        <v>-2.2784219779999999</v>
      </c>
      <c r="AM616" s="260">
        <f>INDEX([2]Coordinates!$C$2:$C$197,MATCH(I616,[2]Coordinates!$J$2:$J$197,0))</f>
        <v>34.024374979999997</v>
      </c>
      <c r="AN616" s="260" t="str">
        <f>IF(ISNUMBER(SEARCH("C", 'Dry_Litterbag Placem_Collection'!U177)),"YES","NO")</f>
        <v>NO</v>
      </c>
      <c r="AO616" s="260" t="str">
        <f>IF(ISNUMBER(SEARCH("H", 'Dry_Litterbag Placem_Collection'!U177)),"YES","NO")</f>
        <v>NO</v>
      </c>
      <c r="AP616" s="260" t="str">
        <f>IF(ISNUMBER(SEARCH("R", 'Dry_Litterbag Placem_Collection'!U177)),"YES","NO")</f>
        <v>NO</v>
      </c>
    </row>
    <row r="617" spans="1:42" ht="15" customHeight="1">
      <c r="A617" t="s">
        <v>3248</v>
      </c>
      <c r="B617" s="252" t="s">
        <v>2643</v>
      </c>
      <c r="C617" s="253">
        <f>'Dry_Litterbag Placem_Collection'!A178</f>
        <v>176</v>
      </c>
      <c r="D617" s="253" t="str">
        <f>'Dry_Litterbag Placem_Collection'!B178</f>
        <v>Handajega</v>
      </c>
      <c r="E617" s="253" t="s">
        <v>2454</v>
      </c>
      <c r="F617" s="253" t="s">
        <v>2645</v>
      </c>
      <c r="G617" s="253">
        <v>2</v>
      </c>
      <c r="H617" s="253" t="s">
        <v>3128</v>
      </c>
      <c r="I617" s="254" t="str">
        <f>'Dry_Litterbag Placem_Collection'!C178</f>
        <v>Wet_W2_T8</v>
      </c>
      <c r="J617" s="263" t="s">
        <v>2932</v>
      </c>
      <c r="K617" s="256" t="s">
        <v>1147</v>
      </c>
      <c r="L617" s="253" t="str">
        <f>IF(ISBLANK('Dry_Litterbag Placem_Collection'!L178),"","G"&amp;""&amp;'Dry_Litterbag Placem_Collection'!L178)</f>
        <v>G323</v>
      </c>
      <c r="M617" s="257">
        <f>IFERROR(INDEX('Green_rooibos initial weight'!$C$5:$C$2000,MATCH(L617, 'Green_rooibos initial weight'!$A$5:$A$2000,0)),"")</f>
        <v>1.97</v>
      </c>
      <c r="N617" s="257">
        <f>IFERROR(M617-(TBIcalc!$Q$9+TBIcalc!$Q$10),"")</f>
        <v>1.7202</v>
      </c>
      <c r="O617" s="378">
        <f>AVERAGE(Ashed_controlls!$K$2:$K$11)</f>
        <v>5.5147656768714146</v>
      </c>
      <c r="P617" s="257">
        <f t="shared" si="46"/>
        <v>1.6253350008264578</v>
      </c>
      <c r="Q617" s="257">
        <f>IFERROR(INDEX('Both teabags AfterDry'!$D$2:$D$2000,MATCH(L617,'Both teabags AfterDry'!$A$2:$A$2000,0)),"")</f>
        <v>0.74829999999999997</v>
      </c>
      <c r="R617" s="257">
        <f>IFERROR(IF(Q617&gt;0,Q617-(TBIcalc!$Q$9),""),"")</f>
        <v>0.5976999999999999</v>
      </c>
      <c r="S617" s="268">
        <f>IFERROR(INDEX('Ashed teabags dry'!$K$2:$K$2000,MATCH(L617,'Ashed teabags dry'!$A$2:$A$2000,0)),"")</f>
        <v>19.55361475012176</v>
      </c>
      <c r="T617" s="268">
        <f t="shared" si="47"/>
        <v>0.48082804463852213</v>
      </c>
      <c r="U617" s="258">
        <f>IF('Dry_Litterbag Placem_Collection'!E178="","",'Dry_Litterbag Placem_Collection'!E178)</f>
        <v>42940</v>
      </c>
      <c r="V617" s="258">
        <f>IF('Dry_Litterbag Placem_Collection'!G178="","",'Dry_Litterbag Placem_Collection'!G178)</f>
        <v>43009</v>
      </c>
      <c r="W617" s="259">
        <f t="shared" si="45"/>
        <v>69</v>
      </c>
      <c r="X617" s="257">
        <f t="shared" si="48"/>
        <v>1.1225000000000001</v>
      </c>
      <c r="Y617" s="257">
        <f t="shared" si="49"/>
        <v>1.1445069561879357</v>
      </c>
      <c r="Z617" s="261">
        <f>IFERROR(INDEX([3]Rainfall_Dry!$O$2:$O$217,MATCH(C617, [3]Rainfall_Dry!$A$2:$A$217,0)),"")</f>
        <v>162.634207253</v>
      </c>
      <c r="AA617" s="250">
        <v>23.96</v>
      </c>
      <c r="AB617" s="250">
        <v>4.9199999999999982</v>
      </c>
      <c r="AC617" s="250">
        <v>71.12</v>
      </c>
      <c r="AD617" s="251" t="s">
        <v>2651</v>
      </c>
      <c r="AE617" s="250">
        <v>10.309137506160701</v>
      </c>
      <c r="AF617">
        <f>IF('WetLitterbags placem_collection'!AB178="","",'WetLitterbags placem_collection'!AB178)</f>
        <v>6.8</v>
      </c>
      <c r="AG617">
        <f>IF('WetLitterbags placem_collection'!Z178="","",'WetLitterbags placem_collection'!Z178)</f>
        <v>6.9</v>
      </c>
      <c r="AH617" s="236" t="str">
        <f>IF('WetLitterbags placem_collection'!AA178="","",'WetLitterbags placem_collection'!AA178)</f>
        <v>O</v>
      </c>
      <c r="AI617">
        <f>IF('WetLitterbags placem_collection'!AC178="","",'WetLitterbags placem_collection'!AC178)</f>
        <v>0</v>
      </c>
      <c r="AJ617">
        <f>IFERROR(AVERAGE('Dry_Litterbag Placem_Collection'!O178,'Dry_Litterbag Placem_Collection'!R178),"")</f>
        <v>4.5999999999999996</v>
      </c>
      <c r="AK617" s="261">
        <f>IFERROR(AVERAGE('Dry_Litterbag Placem_Collection'!N178,'Dry_Litterbag Placem_Collection'!Q178),"")</f>
        <v>34.5</v>
      </c>
      <c r="AL617" s="260">
        <f>INDEX([2]Coordinates!$B$2:$B$197,MATCH(I617,[2]Coordinates!$J$2:$J$197,0))</f>
        <v>-2.2782909679999999</v>
      </c>
      <c r="AM617" s="260">
        <f>INDEX([2]Coordinates!$C$2:$C$197,MATCH(I617,[2]Coordinates!$J$2:$J$197,0))</f>
        <v>34.024574970000003</v>
      </c>
      <c r="AN617" s="260" t="str">
        <f>IF(ISNUMBER(SEARCH("C", 'Dry_Litterbag Placem_Collection'!U178)),"YES","NO")</f>
        <v>NO</v>
      </c>
      <c r="AO617" s="260" t="str">
        <f>IF(ISNUMBER(SEARCH("H", 'Dry_Litterbag Placem_Collection'!U178)),"YES","NO")</f>
        <v>NO</v>
      </c>
      <c r="AP617" s="260" t="str">
        <f>IF(ISNUMBER(SEARCH("R", 'Dry_Litterbag Placem_Collection'!U178)),"YES","NO")</f>
        <v>YES</v>
      </c>
    </row>
    <row r="618" spans="1:42" ht="15" customHeight="1">
      <c r="A618" t="s">
        <v>3248</v>
      </c>
      <c r="B618" s="252" t="s">
        <v>2643</v>
      </c>
      <c r="C618" s="253">
        <f>'Dry_Litterbag Placem_Collection'!A179</f>
        <v>177</v>
      </c>
      <c r="D618" s="253" t="str">
        <f>'Dry_Litterbag Placem_Collection'!B179</f>
        <v>Handajega</v>
      </c>
      <c r="E618" s="253" t="s">
        <v>2454</v>
      </c>
      <c r="F618" s="253" t="s">
        <v>2645</v>
      </c>
      <c r="G618" s="253">
        <v>3</v>
      </c>
      <c r="H618" s="253" t="s">
        <v>3129</v>
      </c>
      <c r="I618" s="254" t="str">
        <f>'Dry_Litterbag Placem_Collection'!C179</f>
        <v>Wet_W3_T1</v>
      </c>
      <c r="J618" s="263" t="s">
        <v>2932</v>
      </c>
      <c r="K618" s="256" t="s">
        <v>1147</v>
      </c>
      <c r="L618" s="253" t="str">
        <f>IF(ISBLANK('Dry_Litterbag Placem_Collection'!L179),"","G"&amp;""&amp;'Dry_Litterbag Placem_Collection'!L179)</f>
        <v>G14</v>
      </c>
      <c r="M618" s="257">
        <f>IFERROR(INDEX('Green_rooibos initial weight'!$C$5:$C$2000,MATCH(L618, 'Green_rooibos initial weight'!$A$5:$A$2000,0)),"")</f>
        <v>2.0750000000000002</v>
      </c>
      <c r="N618" s="257">
        <f>IFERROR(M618-(TBIcalc!$Q$9+TBIcalc!$Q$10),"")</f>
        <v>1.8252000000000002</v>
      </c>
      <c r="O618" s="378">
        <f>AVERAGE(Ashed_controlls!$K$2:$K$11)</f>
        <v>5.5147656768714146</v>
      </c>
      <c r="P618" s="257">
        <f t="shared" si="46"/>
        <v>1.7245444968657431</v>
      </c>
      <c r="Q618" s="257" t="str">
        <f>IFERROR(INDEX('Both teabags AfterDry'!$D$2:$D$2000,MATCH(L618,'Both teabags AfterDry'!$A$2:$A$2000,0)),"")</f>
        <v/>
      </c>
      <c r="R618" s="257" t="str">
        <f>IFERROR(IF(Q618&gt;0,Q618-(TBIcalc!$Q$9),""),"")</f>
        <v/>
      </c>
      <c r="S618" s="268" t="str">
        <f>IFERROR(INDEX('Ashed teabags dry'!$K$2:$K$2000,MATCH(L618,'Ashed teabags dry'!$A$2:$A$2000,0)),"")</f>
        <v/>
      </c>
      <c r="T618" s="268" t="str">
        <f t="shared" si="47"/>
        <v/>
      </c>
      <c r="U618" s="258">
        <f>IF('Dry_Litterbag Placem_Collection'!E179="","",'Dry_Litterbag Placem_Collection'!E179)</f>
        <v>42940</v>
      </c>
      <c r="V618" s="258">
        <f>IF('Dry_Litterbag Placem_Collection'!G179="","",'Dry_Litterbag Placem_Collection'!G179)</f>
        <v>43009</v>
      </c>
      <c r="W618" s="259">
        <f t="shared" si="45"/>
        <v>69</v>
      </c>
      <c r="X618" s="257" t="str">
        <f t="shared" si="48"/>
        <v/>
      </c>
      <c r="Y618" s="257" t="str">
        <f t="shared" si="49"/>
        <v/>
      </c>
      <c r="Z618" s="261">
        <f>IFERROR(INDEX([3]Rainfall_Dry!$O$2:$O$217,MATCH(C618, [3]Rainfall_Dry!$A$2:$A$217,0)),"")</f>
        <v>162.634207253</v>
      </c>
      <c r="AA618" s="250">
        <v>25.96</v>
      </c>
      <c r="AB618" s="250">
        <v>8.9200000000000017</v>
      </c>
      <c r="AC618" s="250">
        <v>65.12</v>
      </c>
      <c r="AD618" s="251" t="s">
        <v>2651</v>
      </c>
      <c r="AE618" s="250">
        <v>1.614588467225234</v>
      </c>
      <c r="AF618">
        <f>IF('WetLitterbags placem_collection'!AB179="","",'WetLitterbags placem_collection'!AB179)</f>
        <v>17.8</v>
      </c>
      <c r="AG618">
        <f>IF('WetLitterbags placem_collection'!Z179="","",'WetLitterbags placem_collection'!Z179)</f>
        <v>25.8</v>
      </c>
      <c r="AH618" s="236" t="str">
        <f>IF('WetLitterbags placem_collection'!AA179="","",'WetLitterbags placem_collection'!AA179)</f>
        <v>O</v>
      </c>
      <c r="AI618">
        <f>IF('WetLitterbags placem_collection'!AC179="","",'WetLitterbags placem_collection'!AC179)</f>
        <v>0</v>
      </c>
      <c r="AJ618">
        <f>IFERROR(AVERAGE('Dry_Litterbag Placem_Collection'!O179,'Dry_Litterbag Placem_Collection'!R179),"")</f>
        <v>4.6999999999999993</v>
      </c>
      <c r="AK618" s="261">
        <f>IFERROR(AVERAGE('Dry_Litterbag Placem_Collection'!N179,'Dry_Litterbag Placem_Collection'!Q179),"")</f>
        <v>34.150000000000006</v>
      </c>
      <c r="AL618" s="260">
        <f>INDEX([2]Coordinates!$B$2:$B$197,MATCH(I618,[2]Coordinates!$J$2:$J$197,0))</f>
        <v>-2.277740026</v>
      </c>
      <c r="AM618" s="260">
        <f>INDEX([2]Coordinates!$C$2:$C$197,MATCH(I618,[2]Coordinates!$J$2:$J$197,0))</f>
        <v>34.027640990000002</v>
      </c>
      <c r="AN618" s="260" t="str">
        <f>IF(ISNUMBER(SEARCH("C", 'Dry_Litterbag Placem_Collection'!U179)),"YES","NO")</f>
        <v>NO</v>
      </c>
      <c r="AO618" s="260" t="str">
        <f>IF(ISNUMBER(SEARCH("H", 'Dry_Litterbag Placem_Collection'!U179)),"YES","NO")</f>
        <v>NO</v>
      </c>
      <c r="AP618" s="260" t="str">
        <f>IF(ISNUMBER(SEARCH("R", 'Dry_Litterbag Placem_Collection'!U179)),"YES","NO")</f>
        <v>NO</v>
      </c>
    </row>
    <row r="619" spans="1:42" ht="15" customHeight="1">
      <c r="A619" t="s">
        <v>3248</v>
      </c>
      <c r="B619" s="252" t="s">
        <v>2643</v>
      </c>
      <c r="C619" s="253">
        <f>'Dry_Litterbag Placem_Collection'!A180</f>
        <v>178</v>
      </c>
      <c r="D619" s="253" t="str">
        <f>'Dry_Litterbag Placem_Collection'!B180</f>
        <v>Handajega</v>
      </c>
      <c r="E619" s="253" t="s">
        <v>2454</v>
      </c>
      <c r="F619" s="253" t="s">
        <v>2645</v>
      </c>
      <c r="G619" s="253">
        <v>3</v>
      </c>
      <c r="H619" s="253" t="s">
        <v>3129</v>
      </c>
      <c r="I619" s="254" t="str">
        <f>'Dry_Litterbag Placem_Collection'!C180</f>
        <v>Wet_W3_T2</v>
      </c>
      <c r="J619" s="263" t="s">
        <v>2932</v>
      </c>
      <c r="K619" s="256" t="s">
        <v>1147</v>
      </c>
      <c r="L619" s="253" t="str">
        <f>IF(ISBLANK('Dry_Litterbag Placem_Collection'!L180),"","G"&amp;""&amp;'Dry_Litterbag Placem_Collection'!L180)</f>
        <v>G410</v>
      </c>
      <c r="M619" s="257">
        <f>IFERROR(INDEX('Green_rooibos initial weight'!$C$5:$C$2000,MATCH(L619, 'Green_rooibos initial weight'!$A$5:$A$2000,0)),"")</f>
        <v>2.1110000000000002</v>
      </c>
      <c r="N619" s="257">
        <f>IFERROR(M619-(TBIcalc!$Q$9+TBIcalc!$Q$10),"")</f>
        <v>1.8612000000000002</v>
      </c>
      <c r="O619" s="378">
        <f>AVERAGE(Ashed_controlls!$K$2:$K$11)</f>
        <v>5.5147656768714146</v>
      </c>
      <c r="P619" s="257">
        <f t="shared" si="46"/>
        <v>1.7585591812220693</v>
      </c>
      <c r="Q619" s="257">
        <f>IFERROR(INDEX('Both teabags AfterDry'!$D$2:$D$2000,MATCH(L619,'Both teabags AfterDry'!$A$2:$A$2000,0)),"")</f>
        <v>0.71050000000000002</v>
      </c>
      <c r="R619" s="257">
        <f>IFERROR(IF(Q619&gt;0,Q619-(TBIcalc!$Q$9),""),"")</f>
        <v>0.55990000000000006</v>
      </c>
      <c r="S619" s="268">
        <f>IFERROR(INDEX('Ashed teabags dry'!$K$2:$K$2000,MATCH(L619,'Ashed teabags dry'!$A$2:$A$2000,0)),"")</f>
        <v>18.892185954499759</v>
      </c>
      <c r="T619" s="268">
        <f t="shared" si="47"/>
        <v>0.45412265084075587</v>
      </c>
      <c r="U619" s="258">
        <f>IF('Dry_Litterbag Placem_Collection'!E180="","",'Dry_Litterbag Placem_Collection'!E180)</f>
        <v>42940</v>
      </c>
      <c r="V619" s="258">
        <f>IF('Dry_Litterbag Placem_Collection'!G180="","",'Dry_Litterbag Placem_Collection'!G180)</f>
        <v>43009</v>
      </c>
      <c r="W619" s="259">
        <f t="shared" si="45"/>
        <v>69</v>
      </c>
      <c r="X619" s="257">
        <f t="shared" si="48"/>
        <v>1.3013000000000001</v>
      </c>
      <c r="Y619" s="257">
        <f t="shared" si="49"/>
        <v>1.3044365303813135</v>
      </c>
      <c r="Z619" s="261">
        <f>IFERROR(INDEX([3]Rainfall_Dry!$O$2:$O$217,MATCH(C619, [3]Rainfall_Dry!$A$2:$A$217,0)),"")</f>
        <v>162.634207253</v>
      </c>
      <c r="AA619" s="250">
        <v>25.96</v>
      </c>
      <c r="AB619" s="250">
        <v>8.9200000000000017</v>
      </c>
      <c r="AC619" s="250">
        <v>65.12</v>
      </c>
      <c r="AD619" s="251" t="s">
        <v>2651</v>
      </c>
      <c r="AE619" s="250">
        <v>2.61458846722523</v>
      </c>
      <c r="AF619">
        <f>IF('WetLitterbags placem_collection'!AB180="","",'WetLitterbags placem_collection'!AB180)</f>
        <v>15.4</v>
      </c>
      <c r="AG619">
        <f>IF('WetLitterbags placem_collection'!Z180="","",'WetLitterbags placem_collection'!Z180)</f>
        <v>18.8</v>
      </c>
      <c r="AH619" s="236" t="str">
        <f>IF('WetLitterbags placem_collection'!AA180="","",'WetLitterbags placem_collection'!AA180)</f>
        <v>O</v>
      </c>
      <c r="AI619">
        <f>IF('WetLitterbags placem_collection'!AC180="","",'WetLitterbags placem_collection'!AC180)</f>
        <v>1</v>
      </c>
      <c r="AJ619">
        <f>IFERROR(AVERAGE('Dry_Litterbag Placem_Collection'!O180,'Dry_Litterbag Placem_Collection'!R180),"")</f>
        <v>4.5</v>
      </c>
      <c r="AK619" s="261">
        <f>IFERROR(AVERAGE('Dry_Litterbag Placem_Collection'!N180,'Dry_Litterbag Placem_Collection'!Q180),"")</f>
        <v>35.799999999999997</v>
      </c>
      <c r="AL619" s="260">
        <f>INDEX([2]Coordinates!$B$2:$B$197,MATCH(I619,[2]Coordinates!$J$2:$J$197,0))</f>
        <v>-2.2777889760000001</v>
      </c>
      <c r="AM619" s="260">
        <f>INDEX([2]Coordinates!$C$2:$C$197,MATCH(I619,[2]Coordinates!$J$2:$J$197,0))</f>
        <v>34.027664960000003</v>
      </c>
      <c r="AN619" s="260" t="str">
        <f>IF(ISNUMBER(SEARCH("C", 'Dry_Litterbag Placem_Collection'!U180)),"YES","NO")</f>
        <v>NO</v>
      </c>
      <c r="AO619" s="260" t="str">
        <f>IF(ISNUMBER(SEARCH("H", 'Dry_Litterbag Placem_Collection'!U180)),"YES","NO")</f>
        <v>NO</v>
      </c>
      <c r="AP619" s="260" t="str">
        <f>IF(ISNUMBER(SEARCH("R", 'Dry_Litterbag Placem_Collection'!U180)),"YES","NO")</f>
        <v>NO</v>
      </c>
    </row>
    <row r="620" spans="1:42" ht="15" customHeight="1">
      <c r="A620" t="s">
        <v>3248</v>
      </c>
      <c r="B620" s="252" t="s">
        <v>2643</v>
      </c>
      <c r="C620" s="253">
        <f>'Dry_Litterbag Placem_Collection'!A181</f>
        <v>179</v>
      </c>
      <c r="D620" s="253" t="str">
        <f>'Dry_Litterbag Placem_Collection'!B181</f>
        <v>Handajega</v>
      </c>
      <c r="E620" s="253" t="s">
        <v>2454</v>
      </c>
      <c r="F620" s="253" t="s">
        <v>2645</v>
      </c>
      <c r="G620" s="253">
        <v>3</v>
      </c>
      <c r="H620" s="253" t="s">
        <v>3129</v>
      </c>
      <c r="I620" s="254" t="str">
        <f>'Dry_Litterbag Placem_Collection'!C181</f>
        <v>Wet_W3_T3</v>
      </c>
      <c r="J620" s="263" t="s">
        <v>2932</v>
      </c>
      <c r="K620" s="256" t="s">
        <v>1147</v>
      </c>
      <c r="L620" s="253" t="str">
        <f>IF(ISBLANK('Dry_Litterbag Placem_Collection'!L181),"","G"&amp;""&amp;'Dry_Litterbag Placem_Collection'!L181)</f>
        <v>G78</v>
      </c>
      <c r="M620" s="257">
        <f>IFERROR(INDEX('Green_rooibos initial weight'!$C$5:$C$2000,MATCH(L620, 'Green_rooibos initial weight'!$A$5:$A$2000,0)),"")</f>
        <v>2.0379999999999998</v>
      </c>
      <c r="N620" s="257">
        <f>IFERROR(M620-(TBIcalc!$Q$9+TBIcalc!$Q$10),"")</f>
        <v>1.7881999999999998</v>
      </c>
      <c r="O620" s="378">
        <f>AVERAGE(Ashed_controlls!$K$2:$K$11)</f>
        <v>5.5147656768714146</v>
      </c>
      <c r="P620" s="257">
        <f t="shared" si="46"/>
        <v>1.6895849601661852</v>
      </c>
      <c r="Q620" s="257">
        <f>IFERROR(INDEX('Both teabags AfterDry'!$D$2:$D$2000,MATCH(L620,'Both teabags AfterDry'!$A$2:$A$2000,0)),"")</f>
        <v>0.871</v>
      </c>
      <c r="R620" s="257">
        <f>IFERROR(IF(Q620&gt;0,Q620-(TBIcalc!$Q$9),""),"")</f>
        <v>0.72039999999999993</v>
      </c>
      <c r="S620" s="268">
        <f>IFERROR(INDEX('Ashed teabags dry'!$K$2:$K$2000,MATCH(L620,'Ashed teabags dry'!$A$2:$A$2000,0)),"")</f>
        <v>31.412103746397996</v>
      </c>
      <c r="T620" s="268">
        <f t="shared" si="47"/>
        <v>0.49410720461094881</v>
      </c>
      <c r="U620" s="258">
        <f>IF('Dry_Litterbag Placem_Collection'!E181="","",'Dry_Litterbag Placem_Collection'!E181)</f>
        <v>42940</v>
      </c>
      <c r="V620" s="258">
        <f>IF('Dry_Litterbag Placem_Collection'!G181="","",'Dry_Litterbag Placem_Collection'!G181)</f>
        <v>43009</v>
      </c>
      <c r="W620" s="259">
        <f t="shared" si="45"/>
        <v>69</v>
      </c>
      <c r="X620" s="257">
        <f t="shared" si="48"/>
        <v>1.0677999999999999</v>
      </c>
      <c r="Y620" s="257">
        <f t="shared" si="49"/>
        <v>1.1954777555552365</v>
      </c>
      <c r="Z620" s="261">
        <f>IFERROR(INDEX([3]Rainfall_Dry!$O$2:$O$217,MATCH(C620, [3]Rainfall_Dry!$A$2:$A$217,0)),"")</f>
        <v>162.634207253</v>
      </c>
      <c r="AA620" s="250">
        <v>25.96</v>
      </c>
      <c r="AB620" s="250">
        <v>8.9200000000000017</v>
      </c>
      <c r="AC620" s="250">
        <v>65.12</v>
      </c>
      <c r="AD620" s="251" t="s">
        <v>2651</v>
      </c>
      <c r="AE620" s="250">
        <v>3.61458846722523</v>
      </c>
      <c r="AF620">
        <f>IF('WetLitterbags placem_collection'!AB181="","",'WetLitterbags placem_collection'!AB181)</f>
        <v>11.8</v>
      </c>
      <c r="AG620">
        <f>IF('WetLitterbags placem_collection'!Z181="","",'WetLitterbags placem_collection'!Z181)</f>
        <v>15.4</v>
      </c>
      <c r="AH620" s="236" t="str">
        <f>IF('WetLitterbags placem_collection'!AA181="","",'WetLitterbags placem_collection'!AA181)</f>
        <v>O</v>
      </c>
      <c r="AI620">
        <f>IF('WetLitterbags placem_collection'!AC181="","",'WetLitterbags placem_collection'!AC181)</f>
        <v>1</v>
      </c>
      <c r="AJ620">
        <f>IFERROR(AVERAGE('Dry_Litterbag Placem_Collection'!O181,'Dry_Litterbag Placem_Collection'!R181),"")</f>
        <v>5.8</v>
      </c>
      <c r="AK620" s="261">
        <f>IFERROR(AVERAGE('Dry_Litterbag Placem_Collection'!N181,'Dry_Litterbag Placem_Collection'!Q181),"")</f>
        <v>34.75</v>
      </c>
      <c r="AL620" s="260">
        <f>INDEX([2]Coordinates!$B$2:$B$197,MATCH(I620,[2]Coordinates!$J$2:$J$197,0))</f>
        <v>-2.2778579589999999</v>
      </c>
      <c r="AM620" s="260">
        <f>INDEX([2]Coordinates!$C$2:$C$197,MATCH(I620,[2]Coordinates!$J$2:$J$197,0))</f>
        <v>34.027682980000002</v>
      </c>
      <c r="AN620" s="260" t="str">
        <f>IF(ISNUMBER(SEARCH("C", 'Dry_Litterbag Placem_Collection'!U181)),"YES","NO")</f>
        <v>NO</v>
      </c>
      <c r="AO620" s="260" t="str">
        <f>IF(ISNUMBER(SEARCH("H", 'Dry_Litterbag Placem_Collection'!U181)),"YES","NO")</f>
        <v>NO</v>
      </c>
      <c r="AP620" s="260" t="str">
        <f>IF(ISNUMBER(SEARCH("R", 'Dry_Litterbag Placem_Collection'!U181)),"YES","NO")</f>
        <v>YES</v>
      </c>
    </row>
    <row r="621" spans="1:42" ht="15" customHeight="1">
      <c r="A621" t="s">
        <v>3248</v>
      </c>
      <c r="B621" s="252" t="s">
        <v>2643</v>
      </c>
      <c r="C621" s="253">
        <f>'Dry_Litterbag Placem_Collection'!A182</f>
        <v>180</v>
      </c>
      <c r="D621" s="253" t="str">
        <f>'Dry_Litterbag Placem_Collection'!B182</f>
        <v>Handajega</v>
      </c>
      <c r="E621" s="253" t="s">
        <v>2454</v>
      </c>
      <c r="F621" s="253" t="s">
        <v>2645</v>
      </c>
      <c r="G621" s="253">
        <v>3</v>
      </c>
      <c r="H621" s="253" t="s">
        <v>3129</v>
      </c>
      <c r="I621" s="254" t="str">
        <f>'Dry_Litterbag Placem_Collection'!C182</f>
        <v>Wet_W3_T4</v>
      </c>
      <c r="J621" s="263" t="s">
        <v>2932</v>
      </c>
      <c r="K621" s="256" t="s">
        <v>1147</v>
      </c>
      <c r="L621" s="253" t="str">
        <f>IF(ISBLANK('Dry_Litterbag Placem_Collection'!L182),"","G"&amp;""&amp;'Dry_Litterbag Placem_Collection'!L182)</f>
        <v>G422</v>
      </c>
      <c r="M621" s="257">
        <f>IFERROR(INDEX('Green_rooibos initial weight'!$C$5:$C$2000,MATCH(L621, 'Green_rooibos initial weight'!$A$5:$A$2000,0)),"")</f>
        <v>2.0049999999999999</v>
      </c>
      <c r="N621" s="257">
        <f>IFERROR(M621-(TBIcalc!$Q$9+TBIcalc!$Q$10),"")</f>
        <v>1.7551999999999999</v>
      </c>
      <c r="O621" s="378">
        <f>AVERAGE(Ashed_controlls!$K$2:$K$11)</f>
        <v>5.5147656768714146</v>
      </c>
      <c r="P621" s="257">
        <f t="shared" si="46"/>
        <v>1.6584048328395529</v>
      </c>
      <c r="Q621" s="257">
        <f>IFERROR(INDEX('Both teabags AfterDry'!$D$2:$D$2000,MATCH(L621,'Both teabags AfterDry'!$A$2:$A$2000,0)),"")</f>
        <v>0.751</v>
      </c>
      <c r="R621" s="257">
        <f>IFERROR(IF(Q621&gt;0,Q621-(TBIcalc!$Q$9),""),"")</f>
        <v>0.60040000000000004</v>
      </c>
      <c r="S621" s="268">
        <f>IFERROR(INDEX('Ashed teabags dry'!$K$2:$K$2000,MATCH(L621,'Ashed teabags dry'!$A$2:$A$2000,0)),"")</f>
        <v>20.896226415094358</v>
      </c>
      <c r="T621" s="268">
        <f t="shared" si="47"/>
        <v>0.4749390566037735</v>
      </c>
      <c r="U621" s="258">
        <f>IF('Dry_Litterbag Placem_Collection'!E182="","",'Dry_Litterbag Placem_Collection'!E182)</f>
        <v>42940</v>
      </c>
      <c r="V621" s="258">
        <f>IF('Dry_Litterbag Placem_Collection'!G182="","",'Dry_Litterbag Placem_Collection'!G182)</f>
        <v>43009</v>
      </c>
      <c r="W621" s="259">
        <f t="shared" si="45"/>
        <v>69</v>
      </c>
      <c r="X621" s="257">
        <f t="shared" si="48"/>
        <v>1.1547999999999998</v>
      </c>
      <c r="Y621" s="257">
        <f t="shared" si="49"/>
        <v>1.1834657762357794</v>
      </c>
      <c r="Z621" s="261">
        <f>IFERROR(INDEX([3]Rainfall_Dry!$O$2:$O$217,MATCH(C621, [3]Rainfall_Dry!$A$2:$A$217,0)),"")</f>
        <v>162.634207253</v>
      </c>
      <c r="AA621" s="250">
        <v>25.96</v>
      </c>
      <c r="AB621" s="250">
        <v>8.9200000000000017</v>
      </c>
      <c r="AC621" s="250">
        <v>65.12</v>
      </c>
      <c r="AD621" s="251" t="s">
        <v>2651</v>
      </c>
      <c r="AE621" s="250">
        <v>4.6145884672252304</v>
      </c>
      <c r="AF621">
        <f>IF('WetLitterbags placem_collection'!AB182="","",'WetLitterbags placem_collection'!AB182)</f>
        <v>8.3000000000000007</v>
      </c>
      <c r="AG621">
        <f>IF('WetLitterbags placem_collection'!Z182="","",'WetLitterbags placem_collection'!Z182)</f>
        <v>35</v>
      </c>
      <c r="AH621" s="236" t="str">
        <f>IF('WetLitterbags placem_collection'!AA182="","",'WetLitterbags placem_collection'!AA182)</f>
        <v>O</v>
      </c>
      <c r="AI621">
        <f>IF('WetLitterbags placem_collection'!AC182="","",'WetLitterbags placem_collection'!AC182)</f>
        <v>0</v>
      </c>
      <c r="AJ621">
        <f>IFERROR(AVERAGE('Dry_Litterbag Placem_Collection'!O182,'Dry_Litterbag Placem_Collection'!R182),"")</f>
        <v>5.3</v>
      </c>
      <c r="AK621" s="261">
        <f>IFERROR(AVERAGE('Dry_Litterbag Placem_Collection'!N182,'Dry_Litterbag Placem_Collection'!Q182),"")</f>
        <v>31</v>
      </c>
      <c r="AL621" s="260">
        <f>INDEX([2]Coordinates!$B$2:$B$197,MATCH(I621,[2]Coordinates!$J$2:$J$197,0))</f>
        <v>-2.2780199809999999</v>
      </c>
      <c r="AM621" s="260">
        <f>INDEX([2]Coordinates!$C$2:$C$197,MATCH(I621,[2]Coordinates!$J$2:$J$197,0))</f>
        <v>34.027705019999999</v>
      </c>
      <c r="AN621" s="260" t="str">
        <f>IF(ISNUMBER(SEARCH("C", 'Dry_Litterbag Placem_Collection'!U182)),"YES","NO")</f>
        <v>NO</v>
      </c>
      <c r="AO621" s="260" t="str">
        <f>IF(ISNUMBER(SEARCH("H", 'Dry_Litterbag Placem_Collection'!U182)),"YES","NO")</f>
        <v>NO</v>
      </c>
      <c r="AP621" s="260" t="str">
        <f>IF(ISNUMBER(SEARCH("R", 'Dry_Litterbag Placem_Collection'!U182)),"YES","NO")</f>
        <v>YES</v>
      </c>
    </row>
    <row r="622" spans="1:42" ht="15" customHeight="1">
      <c r="A622" t="s">
        <v>3248</v>
      </c>
      <c r="B622" s="252" t="s">
        <v>2643</v>
      </c>
      <c r="C622" s="253">
        <f>'Dry_Litterbag Placem_Collection'!A183</f>
        <v>181</v>
      </c>
      <c r="D622" s="253" t="str">
        <f>'Dry_Litterbag Placem_Collection'!B183</f>
        <v>Handajega</v>
      </c>
      <c r="E622" s="253" t="s">
        <v>2454</v>
      </c>
      <c r="F622" s="253" t="s">
        <v>2645</v>
      </c>
      <c r="G622" s="253">
        <v>3</v>
      </c>
      <c r="H622" s="253" t="s">
        <v>3129</v>
      </c>
      <c r="I622" s="254" t="str">
        <f>'Dry_Litterbag Placem_Collection'!C183</f>
        <v>Wet_W3_T5</v>
      </c>
      <c r="J622" s="263" t="s">
        <v>2932</v>
      </c>
      <c r="K622" s="256" t="s">
        <v>1147</v>
      </c>
      <c r="L622" s="253" t="str">
        <f>IF(ISBLANK('Dry_Litterbag Placem_Collection'!L183),"","G"&amp;""&amp;'Dry_Litterbag Placem_Collection'!L183)</f>
        <v>G870</v>
      </c>
      <c r="M622" s="257">
        <f>IFERROR(INDEX('Green_rooibos initial weight'!$C$5:$C$2000,MATCH(L622, 'Green_rooibos initial weight'!$A$5:$A$2000,0)),"")</f>
        <v>1.972</v>
      </c>
      <c r="N622" s="257">
        <f>IFERROR(M622-(TBIcalc!$Q$9+TBIcalc!$Q$10),"")</f>
        <v>1.7222</v>
      </c>
      <c r="O622" s="378">
        <f>AVERAGE(Ashed_controlls!$K$2:$K$11)</f>
        <v>5.5147656768714146</v>
      </c>
      <c r="P622" s="257">
        <f t="shared" si="46"/>
        <v>1.6272247055129205</v>
      </c>
      <c r="Q622" s="257">
        <f>IFERROR(INDEX('Both teabags AfterDry'!$D$2:$D$2000,MATCH(L622,'Both teabags AfterDry'!$A$2:$A$2000,0)),"")</f>
        <v>0.75219999999999998</v>
      </c>
      <c r="R622" s="257">
        <f>IFERROR(IF(Q622&gt;0,Q622-(TBIcalc!$Q$9),""),"")</f>
        <v>0.60159999999999991</v>
      </c>
      <c r="S622" s="268">
        <f>IFERROR(INDEX('Ashed teabags dry'!$K$2:$K$2000,MATCH(L622,'Ashed teabags dry'!$A$2:$A$2000,0)),"")</f>
        <v>17.470472440944899</v>
      </c>
      <c r="T622" s="268">
        <f t="shared" si="47"/>
        <v>0.49649763779527545</v>
      </c>
      <c r="U622" s="258">
        <f>IF('Dry_Litterbag Placem_Collection'!E183="","",'Dry_Litterbag Placem_Collection'!E183)</f>
        <v>42940</v>
      </c>
      <c r="V622" s="258">
        <f>IF('Dry_Litterbag Placem_Collection'!G183="","",'Dry_Litterbag Placem_Collection'!G183)</f>
        <v>43009</v>
      </c>
      <c r="W622" s="259">
        <f t="shared" si="45"/>
        <v>69</v>
      </c>
      <c r="X622" s="257">
        <f t="shared" si="48"/>
        <v>1.1206</v>
      </c>
      <c r="Y622" s="257">
        <f t="shared" si="49"/>
        <v>1.1307270677176451</v>
      </c>
      <c r="Z622" s="261">
        <f>IFERROR(INDEX([3]Rainfall_Dry!$O$2:$O$217,MATCH(C622, [3]Rainfall_Dry!$A$2:$A$217,0)),"")</f>
        <v>162.634207253</v>
      </c>
      <c r="AA622" s="250">
        <v>25.96</v>
      </c>
      <c r="AB622" s="250">
        <v>8.9200000000000017</v>
      </c>
      <c r="AC622" s="250">
        <v>65.12</v>
      </c>
      <c r="AD622" s="251" t="s">
        <v>2651</v>
      </c>
      <c r="AE622" s="250">
        <v>5.6145884672252304</v>
      </c>
      <c r="AF622">
        <f>IF('WetLitterbags placem_collection'!AB183="","",'WetLitterbags placem_collection'!AB183)</f>
        <v>11.4</v>
      </c>
      <c r="AG622">
        <f>IF('WetLitterbags placem_collection'!Z183="","",'WetLitterbags placem_collection'!Z183)</f>
        <v>15.8</v>
      </c>
      <c r="AH622" s="236" t="str">
        <f>IF('WetLitterbags placem_collection'!AA183="","",'WetLitterbags placem_collection'!AA183)</f>
        <v>O</v>
      </c>
      <c r="AI622">
        <f>IF('WetLitterbags placem_collection'!AC183="","",'WetLitterbags placem_collection'!AC183)</f>
        <v>1</v>
      </c>
      <c r="AJ622">
        <f>IFERROR(AVERAGE('Dry_Litterbag Placem_Collection'!O183,'Dry_Litterbag Placem_Collection'!R183),"")</f>
        <v>4.3000000000000007</v>
      </c>
      <c r="AK622" s="261">
        <f>IFERROR(AVERAGE('Dry_Litterbag Placem_Collection'!N183,'Dry_Litterbag Placem_Collection'!Q183),"")</f>
        <v>35.099999999999994</v>
      </c>
      <c r="AL622" s="260">
        <f>INDEX([2]Coordinates!$B$2:$B$197,MATCH(I622,[2]Coordinates!$J$2:$J$197,0))</f>
        <v>-2.2777329850000001</v>
      </c>
      <c r="AM622" s="260">
        <f>INDEX([2]Coordinates!$C$2:$C$197,MATCH(I622,[2]Coordinates!$J$2:$J$197,0))</f>
        <v>34.027422970000003</v>
      </c>
      <c r="AN622" s="260" t="str">
        <f>IF(ISNUMBER(SEARCH("C", 'Dry_Litterbag Placem_Collection'!U183)),"YES","NO")</f>
        <v>NO</v>
      </c>
      <c r="AO622" s="260" t="str">
        <f>IF(ISNUMBER(SEARCH("H", 'Dry_Litterbag Placem_Collection'!U183)),"YES","NO")</f>
        <v>NO</v>
      </c>
      <c r="AP622" s="260" t="str">
        <f>IF(ISNUMBER(SEARCH("R", 'Dry_Litterbag Placem_Collection'!U183)),"YES","NO")</f>
        <v>NO</v>
      </c>
    </row>
    <row r="623" spans="1:42" ht="15" customHeight="1">
      <c r="A623" t="s">
        <v>3248</v>
      </c>
      <c r="B623" s="252" t="s">
        <v>2643</v>
      </c>
      <c r="C623" s="253">
        <f>'Dry_Litterbag Placem_Collection'!A184</f>
        <v>182</v>
      </c>
      <c r="D623" s="253" t="str">
        <f>'Dry_Litterbag Placem_Collection'!B184</f>
        <v>Handajega</v>
      </c>
      <c r="E623" s="253" t="s">
        <v>2454</v>
      </c>
      <c r="F623" s="253" t="s">
        <v>2645</v>
      </c>
      <c r="G623" s="253">
        <v>3</v>
      </c>
      <c r="H623" s="253" t="s">
        <v>3129</v>
      </c>
      <c r="I623" s="254" t="str">
        <f>'Dry_Litterbag Placem_Collection'!C184</f>
        <v>Wet_W3_T6</v>
      </c>
      <c r="J623" s="263" t="s">
        <v>2932</v>
      </c>
      <c r="K623" s="256" t="s">
        <v>1147</v>
      </c>
      <c r="L623" s="253" t="str">
        <f>IF(ISBLANK('Dry_Litterbag Placem_Collection'!L184),"","G"&amp;""&amp;'Dry_Litterbag Placem_Collection'!L184)</f>
        <v>G136</v>
      </c>
      <c r="M623" s="257">
        <f>IFERROR(INDEX('Green_rooibos initial weight'!$C$5:$C$2000,MATCH(L623, 'Green_rooibos initial weight'!$A$5:$A$2000,0)),"")</f>
        <v>1.9430000000000001</v>
      </c>
      <c r="N623" s="257">
        <f>IFERROR(M623-(TBIcalc!$Q$9+TBIcalc!$Q$10),"")</f>
        <v>1.6932</v>
      </c>
      <c r="O623" s="378">
        <f>AVERAGE(Ashed_controlls!$K$2:$K$11)</f>
        <v>5.5147656768714146</v>
      </c>
      <c r="P623" s="257">
        <f t="shared" si="46"/>
        <v>1.5998239875592133</v>
      </c>
      <c r="Q623" s="257">
        <f>IFERROR(INDEX('Both teabags AfterDry'!$D$2:$D$2000,MATCH(L623,'Both teabags AfterDry'!$A$2:$A$2000,0)),"")</f>
        <v>0.71589999999999998</v>
      </c>
      <c r="R623" s="257">
        <f>IFERROR(IF(Q623&gt;0,Q623-(TBIcalc!$Q$9),""),"")</f>
        <v>0.56529999999999991</v>
      </c>
      <c r="S623" s="268">
        <f>IFERROR(INDEX('Ashed teabags dry'!$K$2:$K$2000,MATCH(L623,'Ashed teabags dry'!$A$2:$A$2000,0)),"")</f>
        <v>16.379734382685722</v>
      </c>
      <c r="T623" s="268">
        <f t="shared" si="47"/>
        <v>0.47270536153467752</v>
      </c>
      <c r="U623" s="258">
        <f>IF('Dry_Litterbag Placem_Collection'!E184="","",'Dry_Litterbag Placem_Collection'!E184)</f>
        <v>42940</v>
      </c>
      <c r="V623" s="258">
        <f>IF('Dry_Litterbag Placem_Collection'!G184="","",'Dry_Litterbag Placem_Collection'!G184)</f>
        <v>43009</v>
      </c>
      <c r="W623" s="259">
        <f t="shared" si="45"/>
        <v>69</v>
      </c>
      <c r="X623" s="257">
        <f t="shared" si="48"/>
        <v>1.1279000000000001</v>
      </c>
      <c r="Y623" s="257">
        <f t="shared" si="49"/>
        <v>1.1271186260245358</v>
      </c>
      <c r="Z623" s="261">
        <f>IFERROR(INDEX([3]Rainfall_Dry!$O$2:$O$217,MATCH(C623, [3]Rainfall_Dry!$A$2:$A$217,0)),"")</f>
        <v>162.634207253</v>
      </c>
      <c r="AA623" s="250">
        <v>25.96</v>
      </c>
      <c r="AB623" s="250">
        <v>8.9200000000000017</v>
      </c>
      <c r="AC623" s="250">
        <v>65.12</v>
      </c>
      <c r="AD623" s="251" t="s">
        <v>2651</v>
      </c>
      <c r="AE623" s="250">
        <v>6.6145884672252304</v>
      </c>
      <c r="AF623">
        <f>IF('WetLitterbags placem_collection'!AB184="","",'WetLitterbags placem_collection'!AB184)</f>
        <v>8.8000000000000007</v>
      </c>
      <c r="AG623">
        <f>IF('WetLitterbags placem_collection'!Z184="","",'WetLitterbags placem_collection'!Z184)</f>
        <v>15.8</v>
      </c>
      <c r="AH623" s="236" t="str">
        <f>IF('WetLitterbags placem_collection'!AA184="","",'WetLitterbags placem_collection'!AA184)</f>
        <v>O</v>
      </c>
      <c r="AI623">
        <f>IF('WetLitterbags placem_collection'!AC184="","",'WetLitterbags placem_collection'!AC184)</f>
        <v>1</v>
      </c>
      <c r="AJ623">
        <f>IFERROR(AVERAGE('Dry_Litterbag Placem_Collection'!O184,'Dry_Litterbag Placem_Collection'!R184),"")</f>
        <v>6.55</v>
      </c>
      <c r="AK623" s="261">
        <f>IFERROR(AVERAGE('Dry_Litterbag Placem_Collection'!N184,'Dry_Litterbag Placem_Collection'!Q184),"")</f>
        <v>36.400000000000006</v>
      </c>
      <c r="AL623" s="260">
        <f>INDEX([2]Coordinates!$B$2:$B$197,MATCH(I623,[2]Coordinates!$J$2:$J$197,0))</f>
        <v>-2.2777009659999998</v>
      </c>
      <c r="AM623" s="260">
        <f>INDEX([2]Coordinates!$C$2:$C$197,MATCH(I623,[2]Coordinates!$J$2:$J$197,0))</f>
        <v>34.027393969999999</v>
      </c>
      <c r="AN623" s="260" t="str">
        <f>IF(ISNUMBER(SEARCH("C", 'Dry_Litterbag Placem_Collection'!U184)),"YES","NO")</f>
        <v>NO</v>
      </c>
      <c r="AO623" s="260" t="str">
        <f>IF(ISNUMBER(SEARCH("H", 'Dry_Litterbag Placem_Collection'!U184)),"YES","NO")</f>
        <v>NO</v>
      </c>
      <c r="AP623" s="260" t="str">
        <f>IF(ISNUMBER(SEARCH("R", 'Dry_Litterbag Placem_Collection'!U184)),"YES","NO")</f>
        <v>YES</v>
      </c>
    </row>
    <row r="624" spans="1:42" ht="15" customHeight="1">
      <c r="A624" t="s">
        <v>3248</v>
      </c>
      <c r="B624" s="252" t="s">
        <v>2643</v>
      </c>
      <c r="C624" s="253">
        <f>'Dry_Litterbag Placem_Collection'!A185</f>
        <v>183</v>
      </c>
      <c r="D624" s="253" t="str">
        <f>'Dry_Litterbag Placem_Collection'!B185</f>
        <v>Handajega</v>
      </c>
      <c r="E624" s="253" t="s">
        <v>2454</v>
      </c>
      <c r="F624" s="253" t="s">
        <v>2645</v>
      </c>
      <c r="G624" s="253">
        <v>3</v>
      </c>
      <c r="H624" s="253" t="s">
        <v>3129</v>
      </c>
      <c r="I624" s="254" t="str">
        <f>'Dry_Litterbag Placem_Collection'!C185</f>
        <v>Wet_W3_T7</v>
      </c>
      <c r="J624" s="263" t="s">
        <v>2932</v>
      </c>
      <c r="K624" s="256" t="s">
        <v>1147</v>
      </c>
      <c r="L624" s="253" t="str">
        <f>IF(ISBLANK('Dry_Litterbag Placem_Collection'!L185),"","G"&amp;""&amp;'Dry_Litterbag Placem_Collection'!L185)</f>
        <v/>
      </c>
      <c r="M624" s="257" t="str">
        <f>IFERROR(INDEX('Green_rooibos initial weight'!$C$5:$C$2000,MATCH(L624, 'Green_rooibos initial weight'!$A$5:$A$2000,0)),"")</f>
        <v/>
      </c>
      <c r="N624" s="257" t="str">
        <f>IFERROR(M624-(TBIcalc!$Q$9+TBIcalc!$Q$10),"")</f>
        <v/>
      </c>
      <c r="O624" s="378">
        <f>AVERAGE(Ashed_controlls!$K$2:$K$11)</f>
        <v>5.5147656768714146</v>
      </c>
      <c r="P624" s="257" t="str">
        <f t="shared" si="46"/>
        <v/>
      </c>
      <c r="Q624" s="257" t="str">
        <f>IFERROR(INDEX('Both teabags AfterDry'!$D$2:$D$2000,MATCH(L624,'Both teabags AfterDry'!$A$2:$A$2000,0)),"")</f>
        <v/>
      </c>
      <c r="R624" s="257" t="str">
        <f>IFERROR(IF(Q624&gt;0,Q624-(TBIcalc!$Q$9),""),"")</f>
        <v/>
      </c>
      <c r="S624" s="268" t="str">
        <f>IFERROR(INDEX('Ashed teabags dry'!$K$2:$K$2000,MATCH(L624,'Ashed teabags dry'!$A$2:$A$2000,0)),"")</f>
        <v/>
      </c>
      <c r="T624" s="268" t="str">
        <f t="shared" si="47"/>
        <v/>
      </c>
      <c r="U624" s="258" t="str">
        <f>IF('Dry_Litterbag Placem_Collection'!E185="","",'Dry_Litterbag Placem_Collection'!E185)</f>
        <v/>
      </c>
      <c r="V624" s="258" t="str">
        <f>IF('Dry_Litterbag Placem_Collection'!G185="","",'Dry_Litterbag Placem_Collection'!G185)</f>
        <v/>
      </c>
      <c r="W624" s="259" t="str">
        <f t="shared" si="45"/>
        <v/>
      </c>
      <c r="X624" s="257" t="str">
        <f t="shared" si="48"/>
        <v/>
      </c>
      <c r="Y624" s="257" t="str">
        <f t="shared" si="49"/>
        <v/>
      </c>
      <c r="Z624" s="261" t="str">
        <f>IFERROR(INDEX([3]Rainfall_Dry!$O$2:$O$217,MATCH(C624, [3]Rainfall_Dry!$A$2:$A$217,0)),"")</f>
        <v/>
      </c>
      <c r="AA624" s="250">
        <v>25.96</v>
      </c>
      <c r="AB624" s="250">
        <v>8.9200000000000017</v>
      </c>
      <c r="AC624" s="250">
        <v>65.12</v>
      </c>
      <c r="AD624" s="251" t="s">
        <v>2651</v>
      </c>
      <c r="AE624" s="250">
        <v>7.6145884672252304</v>
      </c>
      <c r="AF624">
        <f>IF('WetLitterbags placem_collection'!AB185="","",'WetLitterbags placem_collection'!AB185)</f>
        <v>11.4</v>
      </c>
      <c r="AG624">
        <f>IF('WetLitterbags placem_collection'!Z185="","",'WetLitterbags placem_collection'!Z185)</f>
        <v>35.799999999999997</v>
      </c>
      <c r="AH624" s="236" t="str">
        <f>IF('WetLitterbags placem_collection'!AA185="","",'WetLitterbags placem_collection'!AA185)</f>
        <v>G</v>
      </c>
      <c r="AI624">
        <f>IF('WetLitterbags placem_collection'!AC185="","",'WetLitterbags placem_collection'!AC185)</f>
        <v>1</v>
      </c>
      <c r="AJ624" t="str">
        <f>IFERROR(AVERAGE('Dry_Litterbag Placem_Collection'!O185,'Dry_Litterbag Placem_Collection'!R185),"")</f>
        <v/>
      </c>
      <c r="AK624" s="261" t="str">
        <f>IFERROR(AVERAGE('Dry_Litterbag Placem_Collection'!N185,'Dry_Litterbag Placem_Collection'!Q185),"")</f>
        <v/>
      </c>
      <c r="AL624" s="260">
        <f>INDEX([2]Coordinates!$B$2:$B$197,MATCH(I624,[2]Coordinates!$J$2:$J$197,0))</f>
        <v>-2.2777790019999999</v>
      </c>
      <c r="AM624" s="260">
        <f>INDEX([2]Coordinates!$C$2:$C$197,MATCH(I624,[2]Coordinates!$J$2:$J$197,0))</f>
        <v>34.028066029999998</v>
      </c>
      <c r="AN624" s="260" t="str">
        <f>IF(ISNUMBER(SEARCH("C", 'Dry_Litterbag Placem_Collection'!U185)),"YES","NO")</f>
        <v>NO</v>
      </c>
      <c r="AO624" s="260" t="str">
        <f>IF(ISNUMBER(SEARCH("H", 'Dry_Litterbag Placem_Collection'!U185)),"YES","NO")</f>
        <v>NO</v>
      </c>
      <c r="AP624" s="260" t="str">
        <f>IF(ISNUMBER(SEARCH("R", 'Dry_Litterbag Placem_Collection'!U185)),"YES","NO")</f>
        <v>NO</v>
      </c>
    </row>
    <row r="625" spans="1:42" ht="15" customHeight="1">
      <c r="A625" t="s">
        <v>3248</v>
      </c>
      <c r="B625" s="252" t="s">
        <v>2643</v>
      </c>
      <c r="C625" s="253">
        <f>'Dry_Litterbag Placem_Collection'!A186</f>
        <v>184</v>
      </c>
      <c r="D625" s="253" t="str">
        <f>'Dry_Litterbag Placem_Collection'!B186</f>
        <v>Handajega</v>
      </c>
      <c r="E625" s="253" t="s">
        <v>2454</v>
      </c>
      <c r="F625" s="253" t="s">
        <v>2645</v>
      </c>
      <c r="G625" s="253">
        <v>3</v>
      </c>
      <c r="H625" s="253" t="s">
        <v>3129</v>
      </c>
      <c r="I625" s="254" t="str">
        <f>'Dry_Litterbag Placem_Collection'!C186</f>
        <v>Wet_W3_T8</v>
      </c>
      <c r="J625" s="263" t="s">
        <v>2932</v>
      </c>
      <c r="K625" s="256" t="s">
        <v>1147</v>
      </c>
      <c r="L625" s="253" t="str">
        <f>IF(ISBLANK('Dry_Litterbag Placem_Collection'!L186),"","G"&amp;""&amp;'Dry_Litterbag Placem_Collection'!L186)</f>
        <v>G266</v>
      </c>
      <c r="M625" s="257">
        <f>IFERROR(INDEX('Green_rooibos initial weight'!$C$5:$C$2000,MATCH(L625, 'Green_rooibos initial weight'!$A$5:$A$2000,0)),"")</f>
        <v>1.9570000000000001</v>
      </c>
      <c r="N625" s="257">
        <f>IFERROR(M625-(TBIcalc!$Q$9+TBIcalc!$Q$10),"")</f>
        <v>1.7072000000000001</v>
      </c>
      <c r="O625" s="378">
        <f>AVERAGE(Ashed_controlls!$K$2:$K$11)</f>
        <v>5.5147656768714146</v>
      </c>
      <c r="P625" s="257">
        <f t="shared" si="46"/>
        <v>1.6130519203644513</v>
      </c>
      <c r="Q625" s="257">
        <f>IFERROR(INDEX('Both teabags AfterDry'!$D$2:$D$2000,MATCH(L625,'Both teabags AfterDry'!$A$2:$A$2000,0)),"")</f>
        <v>0.69879999999999998</v>
      </c>
      <c r="R625" s="257">
        <f>IFERROR(IF(Q625&gt;0,Q625-(TBIcalc!$Q$9),""),"")</f>
        <v>0.54820000000000002</v>
      </c>
      <c r="S625" s="268">
        <f>IFERROR(INDEX('Ashed teabags dry'!$K$2:$K$2000,MATCH(L625,'Ashed teabags dry'!$A$2:$A$2000,0)),"")</f>
        <v>29.369282619161797</v>
      </c>
      <c r="T625" s="268">
        <f t="shared" si="47"/>
        <v>0.38719759268175502</v>
      </c>
      <c r="U625" s="258">
        <f>IF('Dry_Litterbag Placem_Collection'!E186="","",'Dry_Litterbag Placem_Collection'!E186)</f>
        <v>42940</v>
      </c>
      <c r="V625" s="258">
        <f>IF('Dry_Litterbag Placem_Collection'!G186="","",'Dry_Litterbag Placem_Collection'!G186)</f>
        <v>43009</v>
      </c>
      <c r="W625" s="259">
        <f t="shared" si="45"/>
        <v>69</v>
      </c>
      <c r="X625" s="257">
        <f t="shared" si="48"/>
        <v>1.159</v>
      </c>
      <c r="Y625" s="257">
        <f t="shared" si="49"/>
        <v>1.2258543276826963</v>
      </c>
      <c r="Z625" s="261">
        <f>IFERROR(INDEX([3]Rainfall_Dry!$O$2:$O$217,MATCH(C625, [3]Rainfall_Dry!$A$2:$A$217,0)),"")</f>
        <v>162.634207253</v>
      </c>
      <c r="AA625" s="250">
        <v>25.96</v>
      </c>
      <c r="AB625" s="250">
        <v>8.9200000000000017</v>
      </c>
      <c r="AC625" s="250">
        <v>65.12</v>
      </c>
      <c r="AD625" s="251" t="s">
        <v>2651</v>
      </c>
      <c r="AE625" s="250">
        <v>8.6145884672252304</v>
      </c>
      <c r="AF625">
        <f>IF('WetLitterbags placem_collection'!AB186="","",'WetLitterbags placem_collection'!AB186)</f>
        <v>3.7</v>
      </c>
      <c r="AG625">
        <f>IF('WetLitterbags placem_collection'!Z186="","",'WetLitterbags placem_collection'!Z186)</f>
        <v>16.399999999999999</v>
      </c>
      <c r="AH625" s="236" t="str">
        <f>IF('WetLitterbags placem_collection'!AA186="","",'WetLitterbags placem_collection'!AA186)</f>
        <v>O</v>
      </c>
      <c r="AI625">
        <f>IF('WetLitterbags placem_collection'!AC186="","",'WetLitterbags placem_collection'!AC186)</f>
        <v>0</v>
      </c>
      <c r="AJ625">
        <f>IFERROR(AVERAGE('Dry_Litterbag Placem_Collection'!O186,'Dry_Litterbag Placem_Collection'!R186),"")</f>
        <v>4.3</v>
      </c>
      <c r="AK625" s="261">
        <f>IFERROR(AVERAGE('Dry_Litterbag Placem_Collection'!N186,'Dry_Litterbag Placem_Collection'!Q186),"")</f>
        <v>28.05</v>
      </c>
      <c r="AL625" s="260">
        <f>INDEX([2]Coordinates!$B$2:$B$197,MATCH(I625,[2]Coordinates!$J$2:$J$197,0))</f>
        <v>-2.2775169829999999</v>
      </c>
      <c r="AM625" s="260">
        <f>INDEX([2]Coordinates!$C$2:$C$197,MATCH(I625,[2]Coordinates!$J$2:$J$197,0))</f>
        <v>34.027766970000002</v>
      </c>
      <c r="AN625" s="260" t="str">
        <f>IF(ISNUMBER(SEARCH("C", 'Dry_Litterbag Placem_Collection'!U186)),"YES","NO")</f>
        <v>NO</v>
      </c>
      <c r="AO625" s="260" t="str">
        <f>IF(ISNUMBER(SEARCH("H", 'Dry_Litterbag Placem_Collection'!U186)),"YES","NO")</f>
        <v>NO</v>
      </c>
      <c r="AP625" s="260" t="str">
        <f>IF(ISNUMBER(SEARCH("R", 'Dry_Litterbag Placem_Collection'!U186)),"YES","NO")</f>
        <v>YES</v>
      </c>
    </row>
    <row r="626" spans="1:42" ht="15" customHeight="1">
      <c r="A626" t="s">
        <v>3248</v>
      </c>
      <c r="B626" s="252" t="s">
        <v>2643</v>
      </c>
      <c r="C626" s="253">
        <f>'Dry_Litterbag Placem_Collection'!A187</f>
        <v>185</v>
      </c>
      <c r="D626" s="253" t="str">
        <f>'Dry_Litterbag Placem_Collection'!B187</f>
        <v>Handajega</v>
      </c>
      <c r="E626" s="253" t="s">
        <v>2454</v>
      </c>
      <c r="F626" s="253" t="s">
        <v>2645</v>
      </c>
      <c r="G626" s="253">
        <v>4</v>
      </c>
      <c r="H626" s="253" t="s">
        <v>3130</v>
      </c>
      <c r="I626" s="254" t="str">
        <f>'Dry_Litterbag Placem_Collection'!C187</f>
        <v>Wet_W4_T1</v>
      </c>
      <c r="J626" s="263" t="s">
        <v>2932</v>
      </c>
      <c r="K626" s="256" t="s">
        <v>1147</v>
      </c>
      <c r="L626" s="253" t="str">
        <f>IF(ISBLANK('Dry_Litterbag Placem_Collection'!L187),"","G"&amp;""&amp;'Dry_Litterbag Placem_Collection'!L187)</f>
        <v>G165</v>
      </c>
      <c r="M626" s="257">
        <f>IFERROR(INDEX('Green_rooibos initial weight'!$C$5:$C$2000,MATCH(L626, 'Green_rooibos initial weight'!$A$5:$A$2000,0)),"")</f>
        <v>2.0089999999999999</v>
      </c>
      <c r="N626" s="257">
        <f>IFERROR(M626-(TBIcalc!$Q$9+TBIcalc!$Q$10),"")</f>
        <v>1.7591999999999999</v>
      </c>
      <c r="O626" s="378">
        <f>AVERAGE(Ashed_controlls!$K$2:$K$11)</f>
        <v>5.5147656768714146</v>
      </c>
      <c r="P626" s="257">
        <f t="shared" si="46"/>
        <v>1.662184242212478</v>
      </c>
      <c r="Q626" s="257" t="str">
        <f>IFERROR(INDEX('Both teabags AfterDry'!$D$2:$D$2000,MATCH(L626,'Both teabags AfterDry'!$A$2:$A$2000,0)),"")</f>
        <v/>
      </c>
      <c r="R626" s="257" t="str">
        <f>IFERROR(IF(Q626&gt;0,Q626-(TBIcalc!$Q$9),""),"")</f>
        <v/>
      </c>
      <c r="S626" s="268" t="str">
        <f>IFERROR(INDEX('Ashed teabags dry'!$K$2:$K$2000,MATCH(L626,'Ashed teabags dry'!$A$2:$A$2000,0)),"")</f>
        <v/>
      </c>
      <c r="T626" s="268" t="str">
        <f t="shared" si="47"/>
        <v/>
      </c>
      <c r="U626" s="258">
        <f>IF('Dry_Litterbag Placem_Collection'!E187="","",'Dry_Litterbag Placem_Collection'!E187)</f>
        <v>42940</v>
      </c>
      <c r="V626" s="258">
        <f>IF('Dry_Litterbag Placem_Collection'!G187="","",'Dry_Litterbag Placem_Collection'!G187)</f>
        <v>43009</v>
      </c>
      <c r="W626" s="259">
        <f t="shared" si="45"/>
        <v>69</v>
      </c>
      <c r="X626" s="257" t="str">
        <f t="shared" si="48"/>
        <v/>
      </c>
      <c r="Y626" s="257" t="str">
        <f t="shared" si="49"/>
        <v/>
      </c>
      <c r="Z626" s="261">
        <f>IFERROR(INDEX([3]Rainfall_Dry!$O$2:$O$217,MATCH(C626, [3]Rainfall_Dry!$A$2:$A$217,0)),"")</f>
        <v>162.634207253</v>
      </c>
      <c r="AA626" s="250">
        <v>25.96</v>
      </c>
      <c r="AB626" s="250">
        <v>8.9200000000000017</v>
      </c>
      <c r="AC626" s="250">
        <v>65.12</v>
      </c>
      <c r="AD626" s="251" t="s">
        <v>2651</v>
      </c>
      <c r="AE626" s="250">
        <v>1.6991621488417901</v>
      </c>
      <c r="AF626">
        <f>IF('WetLitterbags placem_collection'!AB187="","",'WetLitterbags placem_collection'!AB187)</f>
        <v>9.8000000000000007</v>
      </c>
      <c r="AG626">
        <f>IF('WetLitterbags placem_collection'!Z187="","",'WetLitterbags placem_collection'!Z187)</f>
        <v>29.4</v>
      </c>
      <c r="AH626" s="236" t="str">
        <f>IF('WetLitterbags placem_collection'!AA187="","",'WetLitterbags placem_collection'!AA187)</f>
        <v>O</v>
      </c>
      <c r="AI626">
        <f>IF('WetLitterbags placem_collection'!AC187="","",'WetLitterbags placem_collection'!AC187)</f>
        <v>0</v>
      </c>
      <c r="AJ626">
        <f>IFERROR(AVERAGE('Dry_Litterbag Placem_Collection'!O187,'Dry_Litterbag Placem_Collection'!R187),"")</f>
        <v>4.9000000000000004</v>
      </c>
      <c r="AK626" s="261">
        <f>IFERROR(AVERAGE('Dry_Litterbag Placem_Collection'!N187,'Dry_Litterbag Placem_Collection'!Q187),"")</f>
        <v>35</v>
      </c>
      <c r="AL626" s="260">
        <f>INDEX([2]Coordinates!$B$2:$B$197,MATCH(I626,[2]Coordinates!$J$2:$J$197,0))</f>
        <v>-2.2787330300000002</v>
      </c>
      <c r="AM626" s="260">
        <f>INDEX([2]Coordinates!$C$2:$C$197,MATCH(I626,[2]Coordinates!$J$2:$J$197,0))</f>
        <v>34.032136029999997</v>
      </c>
      <c r="AN626" s="260" t="str">
        <f>IF(ISNUMBER(SEARCH("C", 'Dry_Litterbag Placem_Collection'!U187)),"YES","NO")</f>
        <v>NO</v>
      </c>
      <c r="AO626" s="260" t="str">
        <f>IF(ISNUMBER(SEARCH("H", 'Dry_Litterbag Placem_Collection'!U187)),"YES","NO")</f>
        <v>NO</v>
      </c>
      <c r="AP626" s="260" t="str">
        <f>IF(ISNUMBER(SEARCH("R", 'Dry_Litterbag Placem_Collection'!U187)),"YES","NO")</f>
        <v>YES</v>
      </c>
    </row>
    <row r="627" spans="1:42" ht="15" customHeight="1">
      <c r="A627" t="s">
        <v>3248</v>
      </c>
      <c r="B627" s="252" t="s">
        <v>2643</v>
      </c>
      <c r="C627" s="253">
        <f>'Dry_Litterbag Placem_Collection'!A188</f>
        <v>186</v>
      </c>
      <c r="D627" s="253" t="str">
        <f>'Dry_Litterbag Placem_Collection'!B188</f>
        <v>Handajega</v>
      </c>
      <c r="E627" s="253" t="s">
        <v>2454</v>
      </c>
      <c r="F627" s="253" t="s">
        <v>2645</v>
      </c>
      <c r="G627" s="253">
        <v>4</v>
      </c>
      <c r="H627" s="253" t="s">
        <v>3130</v>
      </c>
      <c r="I627" s="254" t="str">
        <f>'Dry_Litterbag Placem_Collection'!C188</f>
        <v>Wet_W4_T2</v>
      </c>
      <c r="J627" s="263" t="s">
        <v>2932</v>
      </c>
      <c r="K627" s="256" t="s">
        <v>1147</v>
      </c>
      <c r="L627" s="253" t="str">
        <f>IF(ISBLANK('Dry_Litterbag Placem_Collection'!L188),"","G"&amp;""&amp;'Dry_Litterbag Placem_Collection'!L188)</f>
        <v>G22</v>
      </c>
      <c r="M627" s="257">
        <f>IFERROR(INDEX('Green_rooibos initial weight'!$C$5:$C$2000,MATCH(L627, 'Green_rooibos initial weight'!$A$5:$A$2000,0)),"")</f>
        <v>2.1</v>
      </c>
      <c r="N627" s="257">
        <f>IFERROR(M627-(TBIcalc!$Q$9+TBIcalc!$Q$10),"")</f>
        <v>1.8502000000000001</v>
      </c>
      <c r="O627" s="378">
        <f>AVERAGE(Ashed_controlls!$K$2:$K$11)</f>
        <v>5.5147656768714146</v>
      </c>
      <c r="P627" s="257">
        <f t="shared" si="46"/>
        <v>1.7481658054465252</v>
      </c>
      <c r="Q627" s="257">
        <f>IFERROR(INDEX('Both teabags AfterDry'!$D$2:$D$2000,MATCH(L627,'Both teabags AfterDry'!$A$2:$A$2000,0)),"")</f>
        <v>0.7238</v>
      </c>
      <c r="R627" s="257">
        <f>IFERROR(IF(Q627&gt;0,Q627-(TBIcalc!$Q$9),""),"")</f>
        <v>0.57319999999999993</v>
      </c>
      <c r="S627" s="268">
        <f>IFERROR(INDEX('Ashed teabags dry'!$K$2:$K$2000,MATCH(L627,'Ashed teabags dry'!$A$2:$A$2000,0)),"")</f>
        <v>19.430172816441186</v>
      </c>
      <c r="T627" s="268">
        <f t="shared" si="47"/>
        <v>0.46182624941615907</v>
      </c>
      <c r="U627" s="258">
        <f>IF('Dry_Litterbag Placem_Collection'!E188="","",'Dry_Litterbag Placem_Collection'!E188)</f>
        <v>42940</v>
      </c>
      <c r="V627" s="258">
        <f>IF('Dry_Litterbag Placem_Collection'!G188="","",'Dry_Litterbag Placem_Collection'!G188)</f>
        <v>43009</v>
      </c>
      <c r="W627" s="259">
        <f t="shared" si="45"/>
        <v>69</v>
      </c>
      <c r="X627" s="257">
        <f t="shared" si="48"/>
        <v>1.2770000000000001</v>
      </c>
      <c r="Y627" s="257">
        <f t="shared" si="49"/>
        <v>1.2863395560303661</v>
      </c>
      <c r="Z627" s="261">
        <f>IFERROR(INDEX([3]Rainfall_Dry!$O$2:$O$217,MATCH(C627, [3]Rainfall_Dry!$A$2:$A$217,0)),"")</f>
        <v>162.634207253</v>
      </c>
      <c r="AA627" s="250">
        <v>25.96</v>
      </c>
      <c r="AB627" s="250">
        <v>8.9200000000000017</v>
      </c>
      <c r="AC627" s="250">
        <v>65.12</v>
      </c>
      <c r="AD627" s="251" t="s">
        <v>2651</v>
      </c>
      <c r="AE627" s="250">
        <v>2.6991621488417898</v>
      </c>
      <c r="AF627">
        <f>IF('WetLitterbags placem_collection'!AB188="","",'WetLitterbags placem_collection'!AB188)</f>
        <v>11.4</v>
      </c>
      <c r="AG627">
        <f>IF('WetLitterbags placem_collection'!Z188="","",'WetLitterbags placem_collection'!Z188)</f>
        <v>45.4</v>
      </c>
      <c r="AH627" s="236" t="str">
        <f>IF('WetLitterbags placem_collection'!AA188="","",'WetLitterbags placem_collection'!AA188)</f>
        <v>O</v>
      </c>
      <c r="AI627">
        <f>IF('WetLitterbags placem_collection'!AC188="","",'WetLitterbags placem_collection'!AC188)</f>
        <v>0</v>
      </c>
      <c r="AJ627">
        <f>IFERROR(AVERAGE('Dry_Litterbag Placem_Collection'!O188,'Dry_Litterbag Placem_Collection'!R188),"")</f>
        <v>7.55</v>
      </c>
      <c r="AK627" s="261">
        <f>IFERROR(AVERAGE('Dry_Litterbag Placem_Collection'!N188,'Dry_Litterbag Placem_Collection'!Q188),"")</f>
        <v>35.299999999999997</v>
      </c>
      <c r="AL627" s="260">
        <f>INDEX([2]Coordinates!$B$2:$B$197,MATCH(I627,[2]Coordinates!$J$2:$J$197,0))</f>
        <v>-2.278763037</v>
      </c>
      <c r="AM627" s="260">
        <f>INDEX([2]Coordinates!$C$2:$C$197,MATCH(I627,[2]Coordinates!$J$2:$J$197,0))</f>
        <v>34.031974009999999</v>
      </c>
      <c r="AN627" s="260" t="str">
        <f>IF(ISNUMBER(SEARCH("C", 'Dry_Litterbag Placem_Collection'!U188)),"YES","NO")</f>
        <v>NO</v>
      </c>
      <c r="AO627" s="260" t="str">
        <f>IF(ISNUMBER(SEARCH("H", 'Dry_Litterbag Placem_Collection'!U188)),"YES","NO")</f>
        <v>NO</v>
      </c>
      <c r="AP627" s="260" t="str">
        <f>IF(ISNUMBER(SEARCH("R", 'Dry_Litterbag Placem_Collection'!U188)),"YES","NO")</f>
        <v>NO</v>
      </c>
    </row>
    <row r="628" spans="1:42" ht="15" customHeight="1">
      <c r="A628" t="s">
        <v>3248</v>
      </c>
      <c r="B628" s="252" t="s">
        <v>2643</v>
      </c>
      <c r="C628" s="253">
        <f>'Dry_Litterbag Placem_Collection'!A189</f>
        <v>187</v>
      </c>
      <c r="D628" s="253" t="str">
        <f>'Dry_Litterbag Placem_Collection'!B189</f>
        <v>Handajega</v>
      </c>
      <c r="E628" s="253" t="s">
        <v>2454</v>
      </c>
      <c r="F628" s="253" t="s">
        <v>2645</v>
      </c>
      <c r="G628" s="253">
        <v>4</v>
      </c>
      <c r="H628" s="253" t="s">
        <v>3130</v>
      </c>
      <c r="I628" s="254" t="str">
        <f>'Dry_Litterbag Placem_Collection'!C189</f>
        <v>Wet_W4_T3</v>
      </c>
      <c r="J628" s="263" t="s">
        <v>2932</v>
      </c>
      <c r="K628" s="256" t="s">
        <v>1147</v>
      </c>
      <c r="L628" s="253" t="str">
        <f>IF(ISBLANK('Dry_Litterbag Placem_Collection'!L189),"","G"&amp;""&amp;'Dry_Litterbag Placem_Collection'!L189)</f>
        <v>G371</v>
      </c>
      <c r="M628" s="257">
        <f>IFERROR(INDEX('Green_rooibos initial weight'!$C$5:$C$2000,MATCH(L628, 'Green_rooibos initial weight'!$A$5:$A$2000,0)),"")</f>
        <v>2.06</v>
      </c>
      <c r="N628" s="257">
        <f>IFERROR(M628-(TBIcalc!$Q$9+TBIcalc!$Q$10),"")</f>
        <v>1.8102</v>
      </c>
      <c r="O628" s="378">
        <f>AVERAGE(Ashed_controlls!$K$2:$K$11)</f>
        <v>5.5147656768714146</v>
      </c>
      <c r="P628" s="257">
        <f t="shared" si="46"/>
        <v>1.7103717117172736</v>
      </c>
      <c r="Q628" s="257">
        <f>IFERROR(INDEX('Both teabags AfterDry'!$D$2:$D$2000,MATCH(L628,'Both teabags AfterDry'!$A$2:$A$2000,0)),"")</f>
        <v>0.81369999999999998</v>
      </c>
      <c r="R628" s="257">
        <f>IFERROR(IF(Q628&gt;0,Q628-(TBIcalc!$Q$9),""),"")</f>
        <v>0.66310000000000002</v>
      </c>
      <c r="S628" s="268">
        <f>IFERROR(INDEX('Ashed teabags dry'!$K$2:$K$2000,MATCH(L628,'Ashed teabags dry'!$A$2:$A$2000,0)),"")</f>
        <v>24.951361867703799</v>
      </c>
      <c r="T628" s="268">
        <f t="shared" si="47"/>
        <v>0.49764751945525609</v>
      </c>
      <c r="U628" s="258">
        <f>IF('Dry_Litterbag Placem_Collection'!E189="","",'Dry_Litterbag Placem_Collection'!E189)</f>
        <v>42940</v>
      </c>
      <c r="V628" s="258">
        <f>IF('Dry_Litterbag Placem_Collection'!G189="","",'Dry_Litterbag Placem_Collection'!G189)</f>
        <v>43009</v>
      </c>
      <c r="W628" s="259">
        <f t="shared" si="45"/>
        <v>69</v>
      </c>
      <c r="X628" s="257">
        <f t="shared" si="48"/>
        <v>1.1471</v>
      </c>
      <c r="Y628" s="257">
        <f t="shared" si="49"/>
        <v>1.2127241922620176</v>
      </c>
      <c r="Z628" s="261">
        <f>IFERROR(INDEX([3]Rainfall_Dry!$O$2:$O$217,MATCH(C628, [3]Rainfall_Dry!$A$2:$A$217,0)),"")</f>
        <v>162.634207253</v>
      </c>
      <c r="AA628" s="250">
        <v>25.96</v>
      </c>
      <c r="AB628" s="250">
        <v>8.9200000000000017</v>
      </c>
      <c r="AC628" s="250">
        <v>65.12</v>
      </c>
      <c r="AD628" s="251" t="s">
        <v>2651</v>
      </c>
      <c r="AE628" s="250">
        <v>3.6991621488417898</v>
      </c>
      <c r="AF628">
        <f>IF('WetLitterbags placem_collection'!AB189="","",'WetLitterbags placem_collection'!AB189)</f>
        <v>0.6</v>
      </c>
      <c r="AG628">
        <f>IF('WetLitterbags placem_collection'!Z189="","",'WetLitterbags placem_collection'!Z189)</f>
        <v>39.4</v>
      </c>
      <c r="AH628" s="236" t="str">
        <f>IF('WetLitterbags placem_collection'!AA189="","",'WetLitterbags placem_collection'!AA189)</f>
        <v>O</v>
      </c>
      <c r="AI628">
        <f>IF('WetLitterbags placem_collection'!AC189="","",'WetLitterbags placem_collection'!AC189)</f>
        <v>1</v>
      </c>
      <c r="AJ628">
        <f>IFERROR(AVERAGE('Dry_Litterbag Placem_Collection'!O189,'Dry_Litterbag Placem_Collection'!R189),"")</f>
        <v>5.05</v>
      </c>
      <c r="AK628" s="261">
        <f>IFERROR(AVERAGE('Dry_Litterbag Placem_Collection'!N189,'Dry_Litterbag Placem_Collection'!Q189),"")</f>
        <v>35.150000000000006</v>
      </c>
      <c r="AL628" s="260">
        <f>INDEX([2]Coordinates!$B$2:$B$197,MATCH(I628,[2]Coordinates!$J$2:$J$197,0))</f>
        <v>-2.2785890289999999</v>
      </c>
      <c r="AM628" s="260">
        <f>INDEX([2]Coordinates!$C$2:$C$197,MATCH(I628,[2]Coordinates!$J$2:$J$197,0))</f>
        <v>34.031841999999997</v>
      </c>
      <c r="AN628" s="260" t="str">
        <f>IF(ISNUMBER(SEARCH("C", 'Dry_Litterbag Placem_Collection'!U189)),"YES","NO")</f>
        <v>NO</v>
      </c>
      <c r="AO628" s="260" t="str">
        <f>IF(ISNUMBER(SEARCH("H", 'Dry_Litterbag Placem_Collection'!U189)),"YES","NO")</f>
        <v>NO</v>
      </c>
      <c r="AP628" s="260" t="str">
        <f>IF(ISNUMBER(SEARCH("R", 'Dry_Litterbag Placem_Collection'!U189)),"YES","NO")</f>
        <v>NO</v>
      </c>
    </row>
    <row r="629" spans="1:42" ht="15" customHeight="1">
      <c r="A629" t="s">
        <v>3248</v>
      </c>
      <c r="B629" s="252" t="s">
        <v>2643</v>
      </c>
      <c r="C629" s="253">
        <f>'Dry_Litterbag Placem_Collection'!A190</f>
        <v>188</v>
      </c>
      <c r="D629" s="253" t="str">
        <f>'Dry_Litterbag Placem_Collection'!B190</f>
        <v>Handajega</v>
      </c>
      <c r="E629" s="253" t="s">
        <v>2454</v>
      </c>
      <c r="F629" s="253" t="s">
        <v>2645</v>
      </c>
      <c r="G629" s="253">
        <v>4</v>
      </c>
      <c r="H629" s="253" t="s">
        <v>3130</v>
      </c>
      <c r="I629" s="254" t="str">
        <f>'Dry_Litterbag Placem_Collection'!C190</f>
        <v>Wet_W4_T4</v>
      </c>
      <c r="J629" s="263" t="s">
        <v>2932</v>
      </c>
      <c r="K629" s="256" t="s">
        <v>1147</v>
      </c>
      <c r="L629" s="253" t="str">
        <f>IF(ISBLANK('Dry_Litterbag Placem_Collection'!L190),"","G"&amp;""&amp;'Dry_Litterbag Placem_Collection'!L190)</f>
        <v>G185</v>
      </c>
      <c r="M629" s="257">
        <f>IFERROR(INDEX('Green_rooibos initial weight'!$C$5:$C$2000,MATCH(L629, 'Green_rooibos initial weight'!$A$5:$A$2000,0)),"")</f>
        <v>2.13</v>
      </c>
      <c r="N629" s="257">
        <f>IFERROR(M629-(TBIcalc!$Q$9+TBIcalc!$Q$10),"")</f>
        <v>1.8801999999999999</v>
      </c>
      <c r="O629" s="378">
        <f>AVERAGE(Ashed_controlls!$K$2:$K$11)</f>
        <v>5.5147656768714146</v>
      </c>
      <c r="P629" s="257">
        <f t="shared" si="46"/>
        <v>1.7765113757434636</v>
      </c>
      <c r="Q629" s="257">
        <f>IFERROR(INDEX('Both teabags AfterDry'!$D$2:$D$2000,MATCH(L629,'Both teabags AfterDry'!$A$2:$A$2000,0)),"")</f>
        <v>0.74670000000000003</v>
      </c>
      <c r="R629" s="257">
        <f>IFERROR(IF(Q629&gt;0,Q629-(TBIcalc!$Q$9),""),"")</f>
        <v>0.59610000000000007</v>
      </c>
      <c r="S629" s="268">
        <f>IFERROR(INDEX('Ashed teabags dry'!$K$2:$K$2000,MATCH(L629,'Ashed teabags dry'!$A$2:$A$2000,0)),"")</f>
        <v>22.108345534406503</v>
      </c>
      <c r="T629" s="268">
        <f t="shared" si="47"/>
        <v>0.46431215226940292</v>
      </c>
      <c r="U629" s="258">
        <f>IF('Dry_Litterbag Placem_Collection'!E190="","",'Dry_Litterbag Placem_Collection'!E190)</f>
        <v>42940</v>
      </c>
      <c r="V629" s="258">
        <f>IF('Dry_Litterbag Placem_Collection'!G190="","",'Dry_Litterbag Placem_Collection'!G190)</f>
        <v>43009</v>
      </c>
      <c r="W629" s="259">
        <f t="shared" si="45"/>
        <v>69</v>
      </c>
      <c r="X629" s="257">
        <f t="shared" si="48"/>
        <v>1.2840999999999998</v>
      </c>
      <c r="Y629" s="257">
        <f t="shared" si="49"/>
        <v>1.3121992234740607</v>
      </c>
      <c r="Z629" s="261">
        <f>IFERROR(INDEX([3]Rainfall_Dry!$O$2:$O$217,MATCH(C629, [3]Rainfall_Dry!$A$2:$A$217,0)),"")</f>
        <v>162.634207253</v>
      </c>
      <c r="AA629" s="250">
        <v>25.96</v>
      </c>
      <c r="AB629" s="250">
        <v>8.9200000000000017</v>
      </c>
      <c r="AC629" s="250">
        <v>65.12</v>
      </c>
      <c r="AD629" s="251" t="s">
        <v>2651</v>
      </c>
      <c r="AE629" s="250">
        <v>4.6991621488417898</v>
      </c>
      <c r="AF629">
        <f>IF('WetLitterbags placem_collection'!AB190="","",'WetLitterbags placem_collection'!AB190)</f>
        <v>2.2999999999999998</v>
      </c>
      <c r="AG629">
        <f>IF('WetLitterbags placem_collection'!Z190="","",'WetLitterbags placem_collection'!Z190)</f>
        <v>14.4</v>
      </c>
      <c r="AH629" s="236" t="str">
        <f>IF('WetLitterbags placem_collection'!AA190="","",'WetLitterbags placem_collection'!AA190)</f>
        <v>O</v>
      </c>
      <c r="AI629">
        <f>IF('WetLitterbags placem_collection'!AC190="","",'WetLitterbags placem_collection'!AC190)</f>
        <v>0</v>
      </c>
      <c r="AJ629">
        <f>IFERROR(AVERAGE('Dry_Litterbag Placem_Collection'!O190,'Dry_Litterbag Placem_Collection'!R190),"")</f>
        <v>7.35</v>
      </c>
      <c r="AK629" s="261">
        <f>IFERROR(AVERAGE('Dry_Litterbag Placem_Collection'!N190,'Dry_Litterbag Placem_Collection'!Q190),"")</f>
        <v>34.150000000000006</v>
      </c>
      <c r="AL629" s="260">
        <f>INDEX([2]Coordinates!$B$2:$B$197,MATCH(I629,[2]Coordinates!$J$2:$J$197,0))</f>
        <v>-2.278422983</v>
      </c>
      <c r="AM629" s="260">
        <f>INDEX([2]Coordinates!$C$2:$C$197,MATCH(I629,[2]Coordinates!$J$2:$J$197,0))</f>
        <v>34.032261009999999</v>
      </c>
      <c r="AN629" s="260" t="str">
        <f>IF(ISNUMBER(SEARCH("C", 'Dry_Litterbag Placem_Collection'!U190)),"YES","NO")</f>
        <v>NO</v>
      </c>
      <c r="AO629" s="260" t="str">
        <f>IF(ISNUMBER(SEARCH("H", 'Dry_Litterbag Placem_Collection'!U190)),"YES","NO")</f>
        <v>NO</v>
      </c>
      <c r="AP629" s="260" t="str">
        <f>IF(ISNUMBER(SEARCH("R", 'Dry_Litterbag Placem_Collection'!U190)),"YES","NO")</f>
        <v>NO</v>
      </c>
    </row>
    <row r="630" spans="1:42" ht="15" customHeight="1">
      <c r="A630" t="s">
        <v>3248</v>
      </c>
      <c r="B630" s="252" t="s">
        <v>2643</v>
      </c>
      <c r="C630" s="253">
        <f>'Dry_Litterbag Placem_Collection'!A191</f>
        <v>189</v>
      </c>
      <c r="D630" s="253" t="str">
        <f>'Dry_Litterbag Placem_Collection'!B191</f>
        <v>Handajega</v>
      </c>
      <c r="E630" s="253" t="s">
        <v>2454</v>
      </c>
      <c r="F630" s="253" t="s">
        <v>2645</v>
      </c>
      <c r="G630" s="253">
        <v>4</v>
      </c>
      <c r="H630" s="253" t="s">
        <v>3130</v>
      </c>
      <c r="I630" s="254" t="str">
        <f>'Dry_Litterbag Placem_Collection'!C191</f>
        <v>Wet_W4_T5</v>
      </c>
      <c r="J630" s="263" t="s">
        <v>2932</v>
      </c>
      <c r="K630" s="256" t="s">
        <v>1147</v>
      </c>
      <c r="L630" s="253" t="str">
        <f>IF(ISBLANK('Dry_Litterbag Placem_Collection'!L191),"","G"&amp;""&amp;'Dry_Litterbag Placem_Collection'!L191)</f>
        <v>G301</v>
      </c>
      <c r="M630" s="257">
        <f>IFERROR(INDEX('Green_rooibos initial weight'!$C$5:$C$2000,MATCH(L630, 'Green_rooibos initial weight'!$A$5:$A$2000,0)),"")</f>
        <v>1.9379999999999999</v>
      </c>
      <c r="N630" s="257">
        <f>IFERROR(M630-(TBIcalc!$Q$9+TBIcalc!$Q$10),"")</f>
        <v>1.6881999999999999</v>
      </c>
      <c r="O630" s="378">
        <f>AVERAGE(Ashed_controlls!$K$2:$K$11)</f>
        <v>5.5147656768714146</v>
      </c>
      <c r="P630" s="257">
        <f t="shared" si="46"/>
        <v>1.5950997258430566</v>
      </c>
      <c r="Q630" s="257">
        <f>IFERROR(INDEX('Both teabags AfterDry'!$D$2:$D$2000,MATCH(L630,'Both teabags AfterDry'!$A$2:$A$2000,0)),"")</f>
        <v>0.66849999999999998</v>
      </c>
      <c r="R630" s="257">
        <f>IFERROR(IF(Q630&gt;0,Q630-(TBIcalc!$Q$9),""),"")</f>
        <v>0.51790000000000003</v>
      </c>
      <c r="S630" s="268">
        <f>IFERROR(INDEX('Ashed teabags dry'!$K$2:$K$2000,MATCH(L630,'Ashed teabags dry'!$A$2:$A$2000,0)),"")</f>
        <v>15.626326963906347</v>
      </c>
      <c r="T630" s="268">
        <f t="shared" si="47"/>
        <v>0.43697125265392905</v>
      </c>
      <c r="U630" s="258">
        <f>IF('Dry_Litterbag Placem_Collection'!E191="","",'Dry_Litterbag Placem_Collection'!E191)</f>
        <v>42940</v>
      </c>
      <c r="V630" s="258">
        <f>IF('Dry_Litterbag Placem_Collection'!G191="","",'Dry_Litterbag Placem_Collection'!G191)</f>
        <v>43009</v>
      </c>
      <c r="W630" s="259">
        <f t="shared" si="45"/>
        <v>69</v>
      </c>
      <c r="X630" s="257">
        <f t="shared" si="48"/>
        <v>1.1702999999999999</v>
      </c>
      <c r="Y630" s="257">
        <f t="shared" si="49"/>
        <v>1.1581284731891275</v>
      </c>
      <c r="Z630" s="261">
        <f>IFERROR(INDEX([3]Rainfall_Dry!$O$2:$O$217,MATCH(C630, [3]Rainfall_Dry!$A$2:$A$217,0)),"")</f>
        <v>162.634207253</v>
      </c>
      <c r="AA630" s="250">
        <v>25.96</v>
      </c>
      <c r="AB630" s="250">
        <v>8.9200000000000017</v>
      </c>
      <c r="AC630" s="250">
        <v>65.12</v>
      </c>
      <c r="AD630" s="251" t="s">
        <v>2651</v>
      </c>
      <c r="AE630" s="250">
        <v>5.6991621488417898</v>
      </c>
      <c r="AF630">
        <f>IF('WetLitterbags placem_collection'!AB191="","",'WetLitterbags placem_collection'!AB191)</f>
        <v>0.6</v>
      </c>
      <c r="AG630">
        <f>IF('WetLitterbags placem_collection'!Z191="","",'WetLitterbags placem_collection'!Z191)</f>
        <v>7</v>
      </c>
      <c r="AH630" s="236" t="str">
        <f>IF('WetLitterbags placem_collection'!AA191="","",'WetLitterbags placem_collection'!AA191)</f>
        <v>O</v>
      </c>
      <c r="AI630">
        <f>IF('WetLitterbags placem_collection'!AC191="","",'WetLitterbags placem_collection'!AC191)</f>
        <v>1</v>
      </c>
      <c r="AJ630">
        <f>IFERROR(AVERAGE('Dry_Litterbag Placem_Collection'!O191,'Dry_Litterbag Placem_Collection'!R191),"")</f>
        <v>5.5</v>
      </c>
      <c r="AK630" s="261">
        <f>IFERROR(AVERAGE('Dry_Litterbag Placem_Collection'!N191,'Dry_Litterbag Placem_Collection'!Q191),"")</f>
        <v>33</v>
      </c>
      <c r="AL630" s="260">
        <f>INDEX([2]Coordinates!$B$2:$B$197,MATCH(I630,[2]Coordinates!$J$2:$J$197,0))</f>
        <v>-2.2787580080000001</v>
      </c>
      <c r="AM630" s="260">
        <f>INDEX([2]Coordinates!$C$2:$C$197,MATCH(I630,[2]Coordinates!$J$2:$J$197,0))</f>
        <v>34.032463010000001</v>
      </c>
      <c r="AN630" s="260" t="str">
        <f>IF(ISNUMBER(SEARCH("C", 'Dry_Litterbag Placem_Collection'!U191)),"YES","NO")</f>
        <v>NO</v>
      </c>
      <c r="AO630" s="260" t="str">
        <f>IF(ISNUMBER(SEARCH("H", 'Dry_Litterbag Placem_Collection'!U191)),"YES","NO")</f>
        <v>NO</v>
      </c>
      <c r="AP630" s="260" t="str">
        <f>IF(ISNUMBER(SEARCH("R", 'Dry_Litterbag Placem_Collection'!U191)),"YES","NO")</f>
        <v>YES</v>
      </c>
    </row>
    <row r="631" spans="1:42" ht="15" customHeight="1">
      <c r="A631" t="s">
        <v>3248</v>
      </c>
      <c r="B631" s="252" t="s">
        <v>2643</v>
      </c>
      <c r="C631" s="253">
        <f>'Dry_Litterbag Placem_Collection'!A192</f>
        <v>190</v>
      </c>
      <c r="D631" s="253" t="str">
        <f>'Dry_Litterbag Placem_Collection'!B192</f>
        <v>Handajega</v>
      </c>
      <c r="E631" s="253" t="s">
        <v>2454</v>
      </c>
      <c r="F631" s="253" t="s">
        <v>2645</v>
      </c>
      <c r="G631" s="253">
        <v>4</v>
      </c>
      <c r="H631" s="253" t="s">
        <v>3130</v>
      </c>
      <c r="I631" s="254" t="str">
        <f>'Dry_Litterbag Placem_Collection'!C192</f>
        <v>Wet_W4_T6</v>
      </c>
      <c r="J631" s="263" t="s">
        <v>2932</v>
      </c>
      <c r="K631" s="256" t="s">
        <v>1147</v>
      </c>
      <c r="L631" s="253" t="str">
        <f>IF(ISBLANK('Dry_Litterbag Placem_Collection'!L192),"","G"&amp;""&amp;'Dry_Litterbag Placem_Collection'!L192)</f>
        <v>G466</v>
      </c>
      <c r="M631" s="257">
        <f>IFERROR(INDEX('Green_rooibos initial weight'!$C$5:$C$2000,MATCH(L631, 'Green_rooibos initial weight'!$A$5:$A$2000,0)),"")</f>
        <v>1.9319999999999999</v>
      </c>
      <c r="N631" s="257">
        <f>IFERROR(M631-(TBIcalc!$Q$9+TBIcalc!$Q$10),"")</f>
        <v>1.6821999999999999</v>
      </c>
      <c r="O631" s="378">
        <f>AVERAGE(Ashed_controlls!$K$2:$K$11)</f>
        <v>5.5147656768714146</v>
      </c>
      <c r="P631" s="257">
        <f t="shared" si="46"/>
        <v>1.589430611783669</v>
      </c>
      <c r="Q631" s="257">
        <f>IFERROR(INDEX('Both teabags AfterDry'!$D$2:$D$2000,MATCH(L631,'Both teabags AfterDry'!$A$2:$A$2000,0)),"")</f>
        <v>0.81599999999999995</v>
      </c>
      <c r="R631" s="257">
        <f>IFERROR(IF(Q631&gt;0,Q631-(TBIcalc!$Q$9),""),"")</f>
        <v>0.66539999999999999</v>
      </c>
      <c r="S631" s="268">
        <f>IFERROR(INDEX('Ashed teabags dry'!$K$2:$K$2000,MATCH(L631,'Ashed teabags dry'!$A$2:$A$2000,0)),"")</f>
        <v>24.385447394296765</v>
      </c>
      <c r="T631" s="268">
        <f t="shared" si="47"/>
        <v>0.50313923303834929</v>
      </c>
      <c r="U631" s="258">
        <f>IF('Dry_Litterbag Placem_Collection'!E192="","",'Dry_Litterbag Placem_Collection'!E192)</f>
        <v>42940</v>
      </c>
      <c r="V631" s="258">
        <f>IF('Dry_Litterbag Placem_Collection'!G192="","",'Dry_Litterbag Placem_Collection'!G192)</f>
        <v>43009</v>
      </c>
      <c r="W631" s="259">
        <f t="shared" si="45"/>
        <v>69</v>
      </c>
      <c r="X631" s="257">
        <f t="shared" si="48"/>
        <v>1.0167999999999999</v>
      </c>
      <c r="Y631" s="257">
        <f t="shared" si="49"/>
        <v>1.0862913787453197</v>
      </c>
      <c r="Z631" s="261">
        <f>IFERROR(INDEX([3]Rainfall_Dry!$O$2:$O$217,MATCH(C631, [3]Rainfall_Dry!$A$2:$A$217,0)),"")</f>
        <v>162.634207253</v>
      </c>
      <c r="AA631" s="250">
        <v>25.96</v>
      </c>
      <c r="AB631" s="250">
        <v>8.9200000000000017</v>
      </c>
      <c r="AC631" s="250">
        <v>65.12</v>
      </c>
      <c r="AD631" s="251" t="s">
        <v>2651</v>
      </c>
      <c r="AE631" s="250">
        <v>6.6991621488417898</v>
      </c>
      <c r="AF631">
        <f>IF('WetLitterbags placem_collection'!AB192="","",'WetLitterbags placem_collection'!AB192)</f>
        <v>9.5</v>
      </c>
      <c r="AG631">
        <f>IF('WetLitterbags placem_collection'!Z192="","",'WetLitterbags placem_collection'!Z192)</f>
        <v>17.399999999999999</v>
      </c>
      <c r="AH631" s="236" t="str">
        <f>IF('WetLitterbags placem_collection'!AA192="","",'WetLitterbags placem_collection'!AA192)</f>
        <v>O</v>
      </c>
      <c r="AI631">
        <f>IF('WetLitterbags placem_collection'!AC192="","",'WetLitterbags placem_collection'!AC192)</f>
        <v>0</v>
      </c>
      <c r="AJ631">
        <f>IFERROR(AVERAGE('Dry_Litterbag Placem_Collection'!O192,'Dry_Litterbag Placem_Collection'!R192),"")</f>
        <v>5.0500000000000007</v>
      </c>
      <c r="AK631" s="261">
        <f>IFERROR(AVERAGE('Dry_Litterbag Placem_Collection'!N192,'Dry_Litterbag Placem_Collection'!Q192),"")</f>
        <v>36.049999999999997</v>
      </c>
      <c r="AL631" s="260">
        <f>INDEX([2]Coordinates!$B$2:$B$197,MATCH(I631,[2]Coordinates!$J$2:$J$197,0))</f>
        <v>-2.2787559960000001</v>
      </c>
      <c r="AM631" s="260">
        <f>INDEX([2]Coordinates!$C$2:$C$197,MATCH(I631,[2]Coordinates!$J$2:$J$197,0))</f>
        <v>34.032268969999997</v>
      </c>
      <c r="AN631" s="260" t="str">
        <f>IF(ISNUMBER(SEARCH("C", 'Dry_Litterbag Placem_Collection'!U192)),"YES","NO")</f>
        <v>NO</v>
      </c>
      <c r="AO631" s="260" t="str">
        <f>IF(ISNUMBER(SEARCH("H", 'Dry_Litterbag Placem_Collection'!U192)),"YES","NO")</f>
        <v>NO</v>
      </c>
      <c r="AP631" s="260" t="str">
        <f>IF(ISNUMBER(SEARCH("R", 'Dry_Litterbag Placem_Collection'!U192)),"YES","NO")</f>
        <v>NO</v>
      </c>
    </row>
    <row r="632" spans="1:42" ht="15" customHeight="1">
      <c r="A632" t="s">
        <v>3248</v>
      </c>
      <c r="B632" s="252" t="s">
        <v>2643</v>
      </c>
      <c r="C632" s="253">
        <f>'Dry_Litterbag Placem_Collection'!A193</f>
        <v>191</v>
      </c>
      <c r="D632" s="253" t="str">
        <f>'Dry_Litterbag Placem_Collection'!B193</f>
        <v>Handajega</v>
      </c>
      <c r="E632" s="253" t="s">
        <v>2454</v>
      </c>
      <c r="F632" s="253" t="s">
        <v>2645</v>
      </c>
      <c r="G632" s="253">
        <v>4</v>
      </c>
      <c r="H632" s="253" t="s">
        <v>3130</v>
      </c>
      <c r="I632" s="254" t="str">
        <f>'Dry_Litterbag Placem_Collection'!C193</f>
        <v>Wet_W4_T7</v>
      </c>
      <c r="J632" s="263" t="s">
        <v>2932</v>
      </c>
      <c r="K632" s="256" t="s">
        <v>1147</v>
      </c>
      <c r="L632" s="253" t="str">
        <f>IF(ISBLANK('Dry_Litterbag Placem_Collection'!L193),"","G"&amp;""&amp;'Dry_Litterbag Placem_Collection'!L193)</f>
        <v>G32</v>
      </c>
      <c r="M632" s="257">
        <f>IFERROR(INDEX('Green_rooibos initial weight'!$C$5:$C$2000,MATCH(L632, 'Green_rooibos initial weight'!$A$5:$A$2000,0)),"")</f>
        <v>2.0510000000000002</v>
      </c>
      <c r="N632" s="257">
        <f>IFERROR(M632-(TBIcalc!$Q$9+TBIcalc!$Q$10),"")</f>
        <v>1.8012000000000001</v>
      </c>
      <c r="O632" s="378">
        <f>AVERAGE(Ashed_controlls!$K$2:$K$11)</f>
        <v>5.5147656768714146</v>
      </c>
      <c r="P632" s="257">
        <f t="shared" si="46"/>
        <v>1.7018680406281923</v>
      </c>
      <c r="Q632" s="257">
        <f>IFERROR(INDEX('Both teabags AfterDry'!$D$2:$D$2000,MATCH(L632,'Both teabags AfterDry'!$A$2:$A$2000,0)),"")</f>
        <v>0.77580000000000005</v>
      </c>
      <c r="R632" s="257">
        <f>IFERROR(IF(Q632&gt;0,Q632-(TBIcalc!$Q$9),""),"")</f>
        <v>0.62519999999999998</v>
      </c>
      <c r="S632" s="268">
        <f>IFERROR(INDEX('Ashed teabags dry'!$K$2:$K$2000,MATCH(L632,'Ashed teabags dry'!$A$2:$A$2000,0)),"")</f>
        <v>25.871121718377726</v>
      </c>
      <c r="T632" s="268">
        <f t="shared" si="47"/>
        <v>0.46345374701670244</v>
      </c>
      <c r="U632" s="258">
        <f>IF('Dry_Litterbag Placem_Collection'!E193="","",'Dry_Litterbag Placem_Collection'!E193)</f>
        <v>42940</v>
      </c>
      <c r="V632" s="258">
        <f>IF('Dry_Litterbag Placem_Collection'!G193="","",'Dry_Litterbag Placem_Collection'!G193)</f>
        <v>43009</v>
      </c>
      <c r="W632" s="259">
        <f t="shared" si="45"/>
        <v>69</v>
      </c>
      <c r="X632" s="257">
        <f t="shared" si="48"/>
        <v>1.1760000000000002</v>
      </c>
      <c r="Y632" s="257">
        <f t="shared" si="49"/>
        <v>1.2384142936114899</v>
      </c>
      <c r="Z632" s="261">
        <f>IFERROR(INDEX([3]Rainfall_Dry!$O$2:$O$217,MATCH(C632, [3]Rainfall_Dry!$A$2:$A$217,0)),"")</f>
        <v>162.634207253</v>
      </c>
      <c r="AA632" s="250">
        <v>25.96</v>
      </c>
      <c r="AB632" s="250">
        <v>8.9200000000000017</v>
      </c>
      <c r="AC632" s="250">
        <v>65.12</v>
      </c>
      <c r="AD632" s="251" t="s">
        <v>2651</v>
      </c>
      <c r="AE632" s="250">
        <v>7.6991621488417898</v>
      </c>
      <c r="AF632">
        <f>IF('WetLitterbags placem_collection'!AB193="","",'WetLitterbags placem_collection'!AB193)</f>
        <v>12.4</v>
      </c>
      <c r="AG632">
        <f>IF('WetLitterbags placem_collection'!Z193="","",'WetLitterbags placem_collection'!Z193)</f>
        <v>29.8</v>
      </c>
      <c r="AH632" s="236" t="str">
        <f>IF('WetLitterbags placem_collection'!AA193="","",'WetLitterbags placem_collection'!AA193)</f>
        <v>O</v>
      </c>
      <c r="AI632">
        <f>IF('WetLitterbags placem_collection'!AC193="","",'WetLitterbags placem_collection'!AC193)</f>
        <v>0</v>
      </c>
      <c r="AJ632">
        <f>IFERROR(AVERAGE('Dry_Litterbag Placem_Collection'!O193,'Dry_Litterbag Placem_Collection'!R193),"")</f>
        <v>6.45</v>
      </c>
      <c r="AK632" s="261">
        <f>IFERROR(AVERAGE('Dry_Litterbag Placem_Collection'!N193,'Dry_Litterbag Placem_Collection'!Q193),"")</f>
        <v>36.349999999999994</v>
      </c>
      <c r="AL632" s="260">
        <f>INDEX([2]Coordinates!$B$2:$B$197,MATCH(I632,[2]Coordinates!$J$2:$J$197,0))</f>
        <v>-2.278704029</v>
      </c>
      <c r="AM632" s="260">
        <f>INDEX([2]Coordinates!$C$2:$C$197,MATCH(I632,[2]Coordinates!$J$2:$J$197,0))</f>
        <v>34.032182970000001</v>
      </c>
      <c r="AN632" s="260" t="str">
        <f>IF(ISNUMBER(SEARCH("C", 'Dry_Litterbag Placem_Collection'!U193)),"YES","NO")</f>
        <v>NO</v>
      </c>
      <c r="AO632" s="260" t="str">
        <f>IF(ISNUMBER(SEARCH("H", 'Dry_Litterbag Placem_Collection'!U193)),"YES","NO")</f>
        <v>NO</v>
      </c>
      <c r="AP632" s="260" t="str">
        <f>IF(ISNUMBER(SEARCH("R", 'Dry_Litterbag Placem_Collection'!U193)),"YES","NO")</f>
        <v>NO</v>
      </c>
    </row>
    <row r="633" spans="1:42" ht="15" customHeight="1">
      <c r="A633" t="s">
        <v>3248</v>
      </c>
      <c r="B633" s="252" t="s">
        <v>2643</v>
      </c>
      <c r="C633" s="253">
        <f>'Dry_Litterbag Placem_Collection'!A194</f>
        <v>192</v>
      </c>
      <c r="D633" s="253" t="str">
        <f>'Dry_Litterbag Placem_Collection'!B194</f>
        <v>Handajega</v>
      </c>
      <c r="E633" s="253" t="s">
        <v>2454</v>
      </c>
      <c r="F633" s="253" t="s">
        <v>2645</v>
      </c>
      <c r="G633" s="253">
        <v>4</v>
      </c>
      <c r="H633" s="253" t="s">
        <v>3130</v>
      </c>
      <c r="I633" s="254" t="str">
        <f>'Dry_Litterbag Placem_Collection'!C194</f>
        <v>Wet_W4_T8</v>
      </c>
      <c r="J633" s="263" t="s">
        <v>2932</v>
      </c>
      <c r="K633" s="256" t="s">
        <v>1147</v>
      </c>
      <c r="L633" s="253" t="str">
        <f>IF(ISBLANK('Dry_Litterbag Placem_Collection'!L194),"","G"&amp;""&amp;'Dry_Litterbag Placem_Collection'!L194)</f>
        <v/>
      </c>
      <c r="M633" s="257" t="str">
        <f>IFERROR(INDEX('Green_rooibos initial weight'!$C$5:$C$2000,MATCH(L633, 'Green_rooibos initial weight'!$A$5:$A$2000,0)),"")</f>
        <v/>
      </c>
      <c r="N633" s="257" t="str">
        <f>IFERROR(M633-(TBIcalc!$Q$9+TBIcalc!$Q$10),"")</f>
        <v/>
      </c>
      <c r="O633" s="378">
        <f>AVERAGE(Ashed_controlls!$K$2:$K$11)</f>
        <v>5.5147656768714146</v>
      </c>
      <c r="P633" s="257" t="str">
        <f t="shared" si="46"/>
        <v/>
      </c>
      <c r="Q633" s="257" t="str">
        <f>IFERROR(INDEX('Both teabags AfterDry'!$D$2:$D$2000,MATCH(L633,'Both teabags AfterDry'!$A$2:$A$2000,0)),"")</f>
        <v/>
      </c>
      <c r="R633" s="257" t="str">
        <f>IFERROR(IF(Q633&gt;0,Q633-(TBIcalc!$Q$9),""),"")</f>
        <v/>
      </c>
      <c r="S633" s="268" t="str">
        <f>IFERROR(INDEX('Ashed teabags dry'!$K$2:$K$2000,MATCH(L633,'Ashed teabags dry'!$A$2:$A$2000,0)),"")</f>
        <v/>
      </c>
      <c r="T633" s="268" t="str">
        <f t="shared" si="47"/>
        <v/>
      </c>
      <c r="U633" s="258" t="str">
        <f>IF('Dry_Litterbag Placem_Collection'!E194="","",'Dry_Litterbag Placem_Collection'!E194)</f>
        <v/>
      </c>
      <c r="V633" s="258" t="str">
        <f>IF('Dry_Litterbag Placem_Collection'!G194="","",'Dry_Litterbag Placem_Collection'!G194)</f>
        <v/>
      </c>
      <c r="W633" s="259" t="str">
        <f t="shared" si="45"/>
        <v/>
      </c>
      <c r="X633" s="257" t="str">
        <f t="shared" si="48"/>
        <v/>
      </c>
      <c r="Y633" s="257" t="str">
        <f t="shared" si="49"/>
        <v/>
      </c>
      <c r="Z633" s="261" t="str">
        <f>IFERROR(INDEX([3]Rainfall_Dry!$O$2:$O$217,MATCH(C633, [3]Rainfall_Dry!$A$2:$A$217,0)),"")</f>
        <v/>
      </c>
      <c r="AA633" s="250">
        <v>25.96</v>
      </c>
      <c r="AB633" s="250">
        <v>8.9200000000000017</v>
      </c>
      <c r="AC633" s="250">
        <v>65.12</v>
      </c>
      <c r="AD633" s="251" t="s">
        <v>2651</v>
      </c>
      <c r="AE633" s="250">
        <v>8.6991621488417898</v>
      </c>
      <c r="AF633">
        <f>IF('WetLitterbags placem_collection'!AB194="","",'WetLitterbags placem_collection'!AB194)</f>
        <v>3.6</v>
      </c>
      <c r="AG633">
        <f>IF('WetLitterbags placem_collection'!Z194="","",'WetLitterbags placem_collection'!Z194)</f>
        <v>37.799999999999997</v>
      </c>
      <c r="AH633" s="236" t="str">
        <f>IF('WetLitterbags placem_collection'!AA194="","",'WetLitterbags placem_collection'!AA194)</f>
        <v>O</v>
      </c>
      <c r="AI633">
        <f>IF('WetLitterbags placem_collection'!AC194="","",'WetLitterbags placem_collection'!AC194)</f>
        <v>0</v>
      </c>
      <c r="AJ633" t="str">
        <f>IFERROR(AVERAGE('Dry_Litterbag Placem_Collection'!O194,'Dry_Litterbag Placem_Collection'!R194),"")</f>
        <v/>
      </c>
      <c r="AK633" s="261" t="str">
        <f>IFERROR(AVERAGE('Dry_Litterbag Placem_Collection'!N194,'Dry_Litterbag Placem_Collection'!Q194),"")</f>
        <v/>
      </c>
      <c r="AL633" s="260">
        <f>INDEX([2]Coordinates!$B$2:$B$197,MATCH(I633,[2]Coordinates!$J$2:$J$197,0))</f>
        <v>-2.2789770269999998</v>
      </c>
      <c r="AM633" s="260">
        <f>INDEX([2]Coordinates!$C$2:$C$197,MATCH(I633,[2]Coordinates!$J$2:$J$197,0))</f>
        <v>34.032051039999999</v>
      </c>
      <c r="AN633" s="260" t="str">
        <f>IF(ISNUMBER(SEARCH("C", 'Dry_Litterbag Placem_Collection'!U194)),"YES","NO")</f>
        <v>NO</v>
      </c>
      <c r="AO633" s="260" t="str">
        <f>IF(ISNUMBER(SEARCH("H", 'Dry_Litterbag Placem_Collection'!U194)),"YES","NO")</f>
        <v>NO</v>
      </c>
      <c r="AP633" s="260" t="str">
        <f>IF(ISNUMBER(SEARCH("R", 'Dry_Litterbag Placem_Collection'!U194)),"YES","NO")</f>
        <v>NO</v>
      </c>
    </row>
    <row r="634" spans="1:42" ht="15" customHeight="1">
      <c r="A634" t="s">
        <v>2490</v>
      </c>
      <c r="B634" s="252" t="s">
        <v>2643</v>
      </c>
      <c r="C634" s="253">
        <f>'Dry_Litterbag Placem_Collection'!A195</f>
        <v>193</v>
      </c>
      <c r="D634" s="253" t="str">
        <f>'Dry_Litterbag Placem_Collection'!B195</f>
        <v>Makao</v>
      </c>
      <c r="E634" s="253" t="s">
        <v>2643</v>
      </c>
      <c r="F634" s="253" t="s">
        <v>2644</v>
      </c>
      <c r="G634" s="253">
        <v>4</v>
      </c>
      <c r="H634" s="253" t="s">
        <v>3099</v>
      </c>
      <c r="I634" s="254" t="str">
        <f>'Dry_Litterbag Placem_Collection'!C195</f>
        <v>Dry_Ag1_CG4</v>
      </c>
      <c r="J634" s="263" t="s">
        <v>2932</v>
      </c>
      <c r="K634" s="256" t="s">
        <v>1147</v>
      </c>
      <c r="L634" s="253" t="str">
        <f>IF(ISBLANK('Dry_Litterbag Placem_Collection'!L195),"","G"&amp;""&amp;'Dry_Litterbag Placem_Collection'!L195)</f>
        <v>G45</v>
      </c>
      <c r="M634" s="257">
        <f>IFERROR(INDEX('Green_rooibos initial weight'!$C$5:$C$2000,MATCH(L634, 'Green_rooibos initial weight'!$A$5:$A$2000,0)),"")</f>
        <v>2.0779999999999998</v>
      </c>
      <c r="N634" s="257">
        <f>IFERROR(M634-(TBIcalc!$Q$9+TBIcalc!$Q$10),"")</f>
        <v>1.8281999999999998</v>
      </c>
      <c r="O634" s="378">
        <f>AVERAGE(Ashed_controlls!$K$2:$K$11)</f>
        <v>5.5147656768714146</v>
      </c>
      <c r="P634" s="257">
        <f t="shared" si="46"/>
        <v>1.7273790538954366</v>
      </c>
      <c r="Q634" s="257">
        <f>IFERROR(INDEX('Both teabags AfterDry'!$D$2:$D$2000,MATCH(L634,'Both teabags AfterDry'!$A$2:$A$2000,0)),"")</f>
        <v>0.82699999999999996</v>
      </c>
      <c r="R634" s="257">
        <f>IFERROR(IF(Q634&gt;0,Q634-(TBIcalc!$Q$9),""),"")</f>
        <v>0.67639999999999989</v>
      </c>
      <c r="S634" s="268">
        <f>IFERROR(INDEX('Ashed teabags dry'!$K$2:$K$2000,MATCH(L634,'Ashed teabags dry'!$A$2:$A$2000,0)),"")</f>
        <v>13.455953533397516</v>
      </c>
      <c r="T634" s="268">
        <f t="shared" si="47"/>
        <v>0.58538393030009916</v>
      </c>
      <c r="U634" s="258">
        <f>IF('Dry_Litterbag Placem_Collection'!E195="","",'Dry_Litterbag Placem_Collection'!E195)</f>
        <v>42942</v>
      </c>
      <c r="V634" s="258">
        <f>IF('Dry_Litterbag Placem_Collection'!G195="","",'Dry_Litterbag Placem_Collection'!G195)</f>
        <v>43004</v>
      </c>
      <c r="W634" s="259">
        <f t="shared" si="45"/>
        <v>62</v>
      </c>
      <c r="X634" s="257">
        <f t="shared" si="48"/>
        <v>1.1517999999999999</v>
      </c>
      <c r="Y634" s="257">
        <f t="shared" si="49"/>
        <v>1.1419951235953374</v>
      </c>
      <c r="Z634" s="261">
        <f>IFERROR(INDEX([3]Rainfall_Dry!$O$2:$O$217,MATCH(C634, [3]Rainfall_Dry!$A$2:$A$217,0)),"")</f>
        <v>171.84818423999999</v>
      </c>
      <c r="AA634" s="250">
        <v>12.565665055683967</v>
      </c>
      <c r="AB634" s="250">
        <v>0.9665896196679955</v>
      </c>
      <c r="AC634" s="250">
        <v>86.467745324648035</v>
      </c>
      <c r="AD634" s="251" t="s">
        <v>2653</v>
      </c>
      <c r="AE634" s="250">
        <v>1.0225726959093147</v>
      </c>
      <c r="AF634">
        <f>IF('WetLitterbags placem_collection'!AB195="","",'WetLitterbags placem_collection'!AB195)</f>
        <v>15.2</v>
      </c>
      <c r="AG634">
        <f>IF('WetLitterbags placem_collection'!Z195="","",'WetLitterbags placem_collection'!Z195)</f>
        <v>12.2</v>
      </c>
      <c r="AH634" s="236" t="str">
        <f>IF('WetLitterbags placem_collection'!AA195="","",'WetLitterbags placem_collection'!AA195)</f>
        <v>O</v>
      </c>
      <c r="AI634">
        <f>IF('WetLitterbags placem_collection'!AC195="","",'WetLitterbags placem_collection'!AC195)</f>
        <v>1</v>
      </c>
      <c r="AJ634">
        <f>IFERROR(AVERAGE('Dry_Litterbag Placem_Collection'!O195,'Dry_Litterbag Placem_Collection'!R195),"")</f>
        <v>5.0999999999999996</v>
      </c>
      <c r="AK634" s="261">
        <f>IFERROR(AVERAGE('Dry_Litterbag Placem_Collection'!N195,'Dry_Litterbag Placem_Collection'!Q195),"")</f>
        <v>28.799999999999997</v>
      </c>
      <c r="AL634">
        <v>-2.4396949910000001</v>
      </c>
      <c r="AM634">
        <v>34.838574029999997</v>
      </c>
      <c r="AN634" s="260" t="str">
        <f>IF(ISNUMBER(SEARCH("C", 'Dry_Litterbag Placem_Collection'!U195)),"YES","NO")</f>
        <v>NO</v>
      </c>
      <c r="AO634" s="260" t="str">
        <f>IF(ISNUMBER(SEARCH("H", 'Dry_Litterbag Placem_Collection'!U195)),"YES","NO")</f>
        <v>NO</v>
      </c>
      <c r="AP634" s="260" t="str">
        <f>IF(ISNUMBER(SEARCH("R", 'Dry_Litterbag Placem_Collection'!U195)),"YES","NO")</f>
        <v>YES</v>
      </c>
    </row>
    <row r="635" spans="1:42" ht="15" customHeight="1">
      <c r="A635" t="s">
        <v>2490</v>
      </c>
      <c r="B635" s="252" t="s">
        <v>2643</v>
      </c>
      <c r="C635" s="253">
        <f>'Dry_Litterbag Placem_Collection'!A196</f>
        <v>194</v>
      </c>
      <c r="D635" s="253" t="str">
        <f>'Dry_Litterbag Placem_Collection'!B196</f>
        <v>Makao</v>
      </c>
      <c r="E635" s="253" t="s">
        <v>2643</v>
      </c>
      <c r="F635" s="253" t="s">
        <v>2644</v>
      </c>
      <c r="G635" s="253">
        <v>3</v>
      </c>
      <c r="H635" s="253" t="s">
        <v>3103</v>
      </c>
      <c r="I635" s="254" t="str">
        <f>'Dry_Litterbag Placem_Collection'!C196</f>
        <v>Dry_Ag2_CG3</v>
      </c>
      <c r="J635" s="263" t="s">
        <v>2932</v>
      </c>
      <c r="K635" s="256" t="s">
        <v>1147</v>
      </c>
      <c r="L635" s="253" t="str">
        <f>IF(ISBLANK('Dry_Litterbag Placem_Collection'!L196),"","G"&amp;""&amp;'Dry_Litterbag Placem_Collection'!L196)</f>
        <v>G90</v>
      </c>
      <c r="M635" s="257">
        <f>IFERROR(INDEX('Green_rooibos initial weight'!$C$5:$C$2000,MATCH(L635, 'Green_rooibos initial weight'!$A$5:$A$2000,0)),"")</f>
        <v>2.0409999999999999</v>
      </c>
      <c r="N635" s="257">
        <f>IFERROR(M635-(TBIcalc!$Q$9+TBIcalc!$Q$10),"")</f>
        <v>1.7911999999999999</v>
      </c>
      <c r="O635" s="378">
        <f>AVERAGE(Ashed_controlls!$K$2:$K$11)</f>
        <v>5.5147656768714146</v>
      </c>
      <c r="P635" s="257">
        <f t="shared" si="46"/>
        <v>1.6924195171958791</v>
      </c>
      <c r="Q635" s="257">
        <f>IFERROR(INDEX('Both teabags AfterDry'!$D$2:$D$2000,MATCH(L635,'Both teabags AfterDry'!$A$2:$A$2000,0)),"")</f>
        <v>0.74199999999999999</v>
      </c>
      <c r="R635" s="257">
        <f>IFERROR(IF(Q635&gt;0,Q635-(TBIcalc!$Q$9),""),"")</f>
        <v>0.59139999999999993</v>
      </c>
      <c r="S635" s="268">
        <f>IFERROR(INDEX('Ashed teabags dry'!$K$2:$K$2000,MATCH(L635,'Ashed teabags dry'!$A$2:$A$2000,0)),"")</f>
        <v>15.52150271873475</v>
      </c>
      <c r="T635" s="268">
        <f t="shared" si="47"/>
        <v>0.49960583292140259</v>
      </c>
      <c r="U635" s="258">
        <f>IF('Dry_Litterbag Placem_Collection'!E196="","",'Dry_Litterbag Placem_Collection'!E196)</f>
        <v>42942</v>
      </c>
      <c r="V635" s="258">
        <f>IF('Dry_Litterbag Placem_Collection'!G196="","",'Dry_Litterbag Placem_Collection'!G196)</f>
        <v>43004</v>
      </c>
      <c r="W635" s="259">
        <f t="shared" si="45"/>
        <v>62</v>
      </c>
      <c r="X635" s="257">
        <f t="shared" si="48"/>
        <v>1.1998</v>
      </c>
      <c r="Y635" s="257">
        <f t="shared" si="49"/>
        <v>1.1928136842744765</v>
      </c>
      <c r="Z635" s="261">
        <f>IFERROR(INDEX([3]Rainfall_Dry!$O$2:$O$217,MATCH(C635, [3]Rainfall_Dry!$A$2:$A$217,0)),"")</f>
        <v>171.84818423999999</v>
      </c>
      <c r="AA635" s="250">
        <v>21.13063730679653</v>
      </c>
      <c r="AB635" s="250">
        <v>3.0912555579081076</v>
      </c>
      <c r="AC635" s="250">
        <v>75.778107135295357</v>
      </c>
      <c r="AD635" s="251" t="s">
        <v>2651</v>
      </c>
      <c r="AE635" s="250">
        <v>0.46131099063578063</v>
      </c>
      <c r="AF635">
        <f>IF('WetLitterbags placem_collection'!AB196="","",'WetLitterbags placem_collection'!AB196)</f>
        <v>7.9</v>
      </c>
      <c r="AG635">
        <f>IF('WetLitterbags placem_collection'!Z196="","",'WetLitterbags placem_collection'!Z196)</f>
        <v>7.9</v>
      </c>
      <c r="AH635" s="236" t="str">
        <f>IF('WetLitterbags placem_collection'!AA196="","",'WetLitterbags placem_collection'!AA196)</f>
        <v>O</v>
      </c>
      <c r="AI635">
        <f>IF('WetLitterbags placem_collection'!AC196="","",'WetLitterbags placem_collection'!AC196)</f>
        <v>1</v>
      </c>
      <c r="AJ635">
        <f>IFERROR(AVERAGE('Dry_Litterbag Placem_Collection'!O196,'Dry_Litterbag Placem_Collection'!R196),"")</f>
        <v>5.4</v>
      </c>
      <c r="AK635" s="261">
        <f>IFERROR(AVERAGE('Dry_Litterbag Placem_Collection'!N196,'Dry_Litterbag Placem_Collection'!Q196),"")</f>
        <v>30.849999999999998</v>
      </c>
      <c r="AL635">
        <v>-2.4395990190000001</v>
      </c>
      <c r="AM635">
        <v>34.838418959999998</v>
      </c>
      <c r="AN635" s="260" t="str">
        <f>IF(ISNUMBER(SEARCH("C", 'Dry_Litterbag Placem_Collection'!U196)),"YES","NO")</f>
        <v>NO</v>
      </c>
      <c r="AO635" s="260" t="str">
        <f>IF(ISNUMBER(SEARCH("H", 'Dry_Litterbag Placem_Collection'!U196)),"YES","NO")</f>
        <v>NO</v>
      </c>
      <c r="AP635" s="260" t="str">
        <f>IF(ISNUMBER(SEARCH("R", 'Dry_Litterbag Placem_Collection'!U196)),"YES","NO")</f>
        <v>YES</v>
      </c>
    </row>
    <row r="636" spans="1:42" ht="15" customHeight="1">
      <c r="A636" t="s">
        <v>2490</v>
      </c>
      <c r="B636" s="252" t="s">
        <v>2643</v>
      </c>
      <c r="C636" s="253">
        <f>'Dry_Litterbag Placem_Collection'!A197</f>
        <v>195</v>
      </c>
      <c r="D636" s="253" t="str">
        <f>'Dry_Litterbag Placem_Collection'!B197</f>
        <v>Makao</v>
      </c>
      <c r="E636" s="253" t="s">
        <v>2643</v>
      </c>
      <c r="F636" s="253" t="s">
        <v>2644</v>
      </c>
      <c r="G636" s="253">
        <v>2</v>
      </c>
      <c r="H636" s="253" t="s">
        <v>3104</v>
      </c>
      <c r="I636" s="254" t="str">
        <f>'Dry_Litterbag Placem_Collection'!C197</f>
        <v>Dry_Ag3_CG2</v>
      </c>
      <c r="J636" s="263" t="s">
        <v>2932</v>
      </c>
      <c r="K636" s="256" t="s">
        <v>1147</v>
      </c>
      <c r="L636" s="253" t="str">
        <f>IF(ISBLANK('Dry_Litterbag Placem_Collection'!L197),"","G"&amp;""&amp;'Dry_Litterbag Placem_Collection'!L197)</f>
        <v>G338</v>
      </c>
      <c r="M636" s="257">
        <f>IFERROR(INDEX('Green_rooibos initial weight'!$C$5:$C$2000,MATCH(L636, 'Green_rooibos initial weight'!$A$5:$A$2000,0)),"")</f>
        <v>1.946</v>
      </c>
      <c r="N636" s="257">
        <f>IFERROR(M636-(TBIcalc!$Q$9+TBIcalc!$Q$10),"")</f>
        <v>1.6961999999999999</v>
      </c>
      <c r="O636" s="378">
        <f>AVERAGE(Ashed_controlls!$K$2:$K$11)</f>
        <v>5.5147656768714146</v>
      </c>
      <c r="P636" s="257">
        <f t="shared" si="46"/>
        <v>1.602658544588907</v>
      </c>
      <c r="Q636" s="257">
        <f>IFERROR(INDEX('Both teabags AfterDry'!$D$2:$D$2000,MATCH(L636,'Both teabags AfterDry'!$A$2:$A$2000,0)),"")</f>
        <v>0.83299999999999996</v>
      </c>
      <c r="R636" s="257">
        <f>IFERROR(IF(Q636&gt;0,Q636-(TBIcalc!$Q$9),""),"")</f>
        <v>0.6823999999999999</v>
      </c>
      <c r="S636" s="268">
        <f>IFERROR(INDEX('Ashed teabags dry'!$K$2:$K$2000,MATCH(L636,'Ashed teabags dry'!$A$2:$A$2000,0)),"")</f>
        <v>16.185258964144143</v>
      </c>
      <c r="T636" s="268">
        <f t="shared" si="47"/>
        <v>0.57195179282868025</v>
      </c>
      <c r="U636" s="258">
        <f>IF('Dry_Litterbag Placem_Collection'!E197="","",'Dry_Litterbag Placem_Collection'!E197)</f>
        <v>42942</v>
      </c>
      <c r="V636" s="258">
        <f>IF('Dry_Litterbag Placem_Collection'!G197="","",'Dry_Litterbag Placem_Collection'!G197)</f>
        <v>43004</v>
      </c>
      <c r="W636" s="259">
        <f t="shared" si="45"/>
        <v>62</v>
      </c>
      <c r="X636" s="257">
        <f t="shared" si="48"/>
        <v>1.0138</v>
      </c>
      <c r="Y636" s="257">
        <f t="shared" si="49"/>
        <v>1.0307067517602269</v>
      </c>
      <c r="Z636" s="261">
        <f>IFERROR(INDEX([3]Rainfall_Dry!$O$2:$O$217,MATCH(C636, [3]Rainfall_Dry!$A$2:$A$217,0)),"")</f>
        <v>171.84818423999999</v>
      </c>
      <c r="AA636" s="250">
        <v>54.080969906906262</v>
      </c>
      <c r="AB636" s="250">
        <v>21.264484651351896</v>
      </c>
      <c r="AC636" s="250">
        <v>24.654545441741845</v>
      </c>
      <c r="AD636" s="251" t="s">
        <v>2654</v>
      </c>
      <c r="AE636" s="250">
        <v>1.8433218334154755</v>
      </c>
      <c r="AF636">
        <f>IF('WetLitterbags placem_collection'!AB197="","",'WetLitterbags placem_collection'!AB197)</f>
        <v>5.13</v>
      </c>
      <c r="AG636">
        <f>IF('WetLitterbags placem_collection'!Z197="","",'WetLitterbags placem_collection'!Z197)</f>
        <v>5.13</v>
      </c>
      <c r="AH636" s="236" t="str">
        <f>IF('WetLitterbags placem_collection'!AA197="","",'WetLitterbags placem_collection'!AA197)</f>
        <v>O</v>
      </c>
      <c r="AI636">
        <f>IF('WetLitterbags placem_collection'!AC197="","",'WetLitterbags placem_collection'!AC197)</f>
        <v>1</v>
      </c>
      <c r="AJ636">
        <f>IFERROR(AVERAGE('Dry_Litterbag Placem_Collection'!O197,'Dry_Litterbag Placem_Collection'!R197),"")</f>
        <v>11.4</v>
      </c>
      <c r="AK636" s="261">
        <f>IFERROR(AVERAGE('Dry_Litterbag Placem_Collection'!N197,'Dry_Litterbag Placem_Collection'!Q197),"")</f>
        <v>28.1</v>
      </c>
      <c r="AL636">
        <v>-2.4396450349999999</v>
      </c>
      <c r="AM636">
        <v>34.83836599</v>
      </c>
      <c r="AN636" s="260" t="str">
        <f>IF(ISNUMBER(SEARCH("C", 'Dry_Litterbag Placem_Collection'!U197)),"YES","NO")</f>
        <v>NO</v>
      </c>
      <c r="AO636" s="260" t="str">
        <f>IF(ISNUMBER(SEARCH("H", 'Dry_Litterbag Placem_Collection'!U197)),"YES","NO")</f>
        <v>NO</v>
      </c>
      <c r="AP636" s="260" t="str">
        <f>IF(ISNUMBER(SEARCH("R", 'Dry_Litterbag Placem_Collection'!U197)),"YES","NO")</f>
        <v>YES</v>
      </c>
    </row>
    <row r="637" spans="1:42" ht="15" customHeight="1">
      <c r="A637" t="s">
        <v>2490</v>
      </c>
      <c r="B637" s="252" t="s">
        <v>2643</v>
      </c>
      <c r="C637" s="253">
        <f>'Dry_Litterbag Placem_Collection'!A198</f>
        <v>196</v>
      </c>
      <c r="D637" s="253" t="str">
        <f>'Dry_Litterbag Placem_Collection'!B198</f>
        <v>Makao</v>
      </c>
      <c r="E637" s="253" t="s">
        <v>2643</v>
      </c>
      <c r="F637" s="253" t="s">
        <v>2644</v>
      </c>
      <c r="G637" s="253">
        <v>1</v>
      </c>
      <c r="H637" s="253" t="s">
        <v>3105</v>
      </c>
      <c r="I637" s="254" t="str">
        <f>'Dry_Litterbag Placem_Collection'!C198</f>
        <v>Dry_Ag4_CG1</v>
      </c>
      <c r="J637" s="263" t="s">
        <v>2932</v>
      </c>
      <c r="K637" s="256" t="s">
        <v>1147</v>
      </c>
      <c r="L637" s="253" t="str">
        <f>IF(ISBLANK('Dry_Litterbag Placem_Collection'!L198),"","G"&amp;""&amp;'Dry_Litterbag Placem_Collection'!L198)</f>
        <v>G243</v>
      </c>
      <c r="M637" s="257">
        <f>IFERROR(INDEX('Green_rooibos initial weight'!$C$5:$C$2000,MATCH(L637, 'Green_rooibos initial weight'!$A$5:$A$2000,0)),"")</f>
        <v>2.13</v>
      </c>
      <c r="N637" s="257">
        <f>IFERROR(M637-(TBIcalc!$Q$9+TBIcalc!$Q$10),"")</f>
        <v>1.8801999999999999</v>
      </c>
      <c r="O637" s="378">
        <f>AVERAGE(Ashed_controlls!$K$2:$K$11)</f>
        <v>5.5147656768714146</v>
      </c>
      <c r="P637" s="257">
        <f t="shared" si="46"/>
        <v>1.7765113757434636</v>
      </c>
      <c r="Q637" s="257">
        <f>IFERROR(INDEX('Both teabags AfterDry'!$D$2:$D$2000,MATCH(L637,'Both teabags AfterDry'!$A$2:$A$2000,0)),"")</f>
        <v>1.04</v>
      </c>
      <c r="R637" s="257">
        <f>IFERROR(IF(Q637&gt;0,Q637-(TBIcalc!$Q$9),""),"")</f>
        <v>0.88939999999999997</v>
      </c>
      <c r="S637" s="268">
        <f>IFERROR(INDEX('Ashed teabags dry'!$K$2:$K$2000,MATCH(L637,'Ashed teabags dry'!$A$2:$A$2000,0)),"")</f>
        <v>17.944173681878588</v>
      </c>
      <c r="T637" s="268">
        <f t="shared" si="47"/>
        <v>0.72980451927337175</v>
      </c>
      <c r="U637" s="258">
        <f>IF('Dry_Litterbag Placem_Collection'!E198="","",'Dry_Litterbag Placem_Collection'!E198)</f>
        <v>42942</v>
      </c>
      <c r="V637" s="258">
        <f>IF('Dry_Litterbag Placem_Collection'!G198="","",'Dry_Litterbag Placem_Collection'!G198)</f>
        <v>43004</v>
      </c>
      <c r="W637" s="259">
        <f t="shared" si="45"/>
        <v>62</v>
      </c>
      <c r="X637" s="257">
        <f t="shared" si="48"/>
        <v>0.9907999999999999</v>
      </c>
      <c r="Y637" s="257">
        <f t="shared" si="49"/>
        <v>1.0467068564700919</v>
      </c>
      <c r="Z637" s="261">
        <f>IFERROR(INDEX([3]Rainfall_Dry!$O$2:$O$217,MATCH(C637, [3]Rainfall_Dry!$A$2:$A$217,0)),"")</f>
        <v>171.84818423999999</v>
      </c>
      <c r="AA637" s="250">
        <v>51.960000000000008</v>
      </c>
      <c r="AB637" s="250">
        <v>18.919999999999995</v>
      </c>
      <c r="AC637" s="250">
        <v>29.120000000000005</v>
      </c>
      <c r="AD637" s="251" t="s">
        <v>2654</v>
      </c>
      <c r="AE637" s="250">
        <v>1.85293247905372</v>
      </c>
      <c r="AF637">
        <f>IF('WetLitterbags placem_collection'!AB198="","",'WetLitterbags placem_collection'!AB198)</f>
        <v>13.8</v>
      </c>
      <c r="AG637">
        <f>IF('WetLitterbags placem_collection'!Z198="","",'WetLitterbags placem_collection'!Z198)</f>
        <v>17.399999999999999</v>
      </c>
      <c r="AH637" s="236" t="str">
        <f>IF('WetLitterbags placem_collection'!AA198="","",'WetLitterbags placem_collection'!AA198)</f>
        <v>O</v>
      </c>
      <c r="AI637">
        <f>IF('WetLitterbags placem_collection'!AC198="","",'WetLitterbags placem_collection'!AC198)</f>
        <v>1</v>
      </c>
      <c r="AJ637">
        <f>IFERROR(AVERAGE('Dry_Litterbag Placem_Collection'!O198,'Dry_Litterbag Placem_Collection'!R198),"")</f>
        <v>12.45</v>
      </c>
      <c r="AK637" s="261">
        <f>IFERROR(AVERAGE('Dry_Litterbag Placem_Collection'!N198,'Dry_Litterbag Placem_Collection'!Q198),"")</f>
        <v>26.65</v>
      </c>
      <c r="AL637">
        <v>-2.439403972</v>
      </c>
      <c r="AM637">
        <v>34.838404959999998</v>
      </c>
      <c r="AN637" s="260" t="str">
        <f>IF(ISNUMBER(SEARCH("C", 'Dry_Litterbag Placem_Collection'!U198)),"YES","NO")</f>
        <v>NO</v>
      </c>
      <c r="AO637" s="260" t="str">
        <f>IF(ISNUMBER(SEARCH("H", 'Dry_Litterbag Placem_Collection'!U198)),"YES","NO")</f>
        <v>NO</v>
      </c>
      <c r="AP637" s="260" t="str">
        <f>IF(ISNUMBER(SEARCH("R", 'Dry_Litterbag Placem_Collection'!U198)),"YES","NO")</f>
        <v>YES</v>
      </c>
    </row>
    <row r="638" spans="1:42" ht="15" customHeight="1">
      <c r="A638" t="s">
        <v>2490</v>
      </c>
      <c r="B638" s="252" t="s">
        <v>2643</v>
      </c>
      <c r="C638" s="253">
        <f>'Dry_Litterbag Placem_Collection'!A199</f>
        <v>197</v>
      </c>
      <c r="D638" s="253" t="str">
        <f>'Dry_Litterbag Placem_Collection'!B199</f>
        <v>Makao</v>
      </c>
      <c r="E638" s="253" t="s">
        <v>2643</v>
      </c>
      <c r="F638" s="253" t="s">
        <v>20</v>
      </c>
      <c r="G638" s="253">
        <v>2</v>
      </c>
      <c r="H638" s="253" t="s">
        <v>3106</v>
      </c>
      <c r="I638" s="254" t="str">
        <f>'Dry_Litterbag Placem_Collection'!C199</f>
        <v>Dry_P1_CG2</v>
      </c>
      <c r="J638" s="263" t="s">
        <v>2932</v>
      </c>
      <c r="K638" s="256" t="s">
        <v>1147</v>
      </c>
      <c r="L638" s="253" t="str">
        <f>IF(ISBLANK('Dry_Litterbag Placem_Collection'!L199),"","G"&amp;""&amp;'Dry_Litterbag Placem_Collection'!L199)</f>
        <v>G254</v>
      </c>
      <c r="M638" s="257">
        <f>IFERROR(INDEX('Green_rooibos initial weight'!$C$5:$C$2000,MATCH(L638, 'Green_rooibos initial weight'!$A$5:$A$2000,0)),"")</f>
        <v>1.917</v>
      </c>
      <c r="N638" s="257">
        <f>IFERROR(M638-(TBIcalc!$Q$9+TBIcalc!$Q$10),"")</f>
        <v>1.6672</v>
      </c>
      <c r="O638" s="378">
        <f>AVERAGE(Ashed_controlls!$K$2:$K$11)</f>
        <v>5.5147656768714146</v>
      </c>
      <c r="P638" s="257">
        <f t="shared" si="46"/>
        <v>1.5752578266351998</v>
      </c>
      <c r="Q638" s="257">
        <f>IFERROR(INDEX('Both teabags AfterDry'!$D$2:$D$2000,MATCH(L638,'Both teabags AfterDry'!$A$2:$A$2000,0)),"")</f>
        <v>0.82399999999999995</v>
      </c>
      <c r="R638" s="257">
        <f>IFERROR(IF(Q638&gt;0,Q638-(TBIcalc!$Q$9),""),"")</f>
        <v>0.6734</v>
      </c>
      <c r="S638" s="268">
        <f>IFERROR(INDEX('Ashed teabags dry'!$K$2:$K$2000,MATCH(L638,'Ashed teabags dry'!$A$2:$A$2000,0)),"")</f>
        <v>25.135802469135722</v>
      </c>
      <c r="T638" s="268">
        <f t="shared" si="47"/>
        <v>0.50413550617284009</v>
      </c>
      <c r="U638" s="258">
        <f>IF('Dry_Litterbag Placem_Collection'!E199="","",'Dry_Litterbag Placem_Collection'!E199)</f>
        <v>42942</v>
      </c>
      <c r="V638" s="258">
        <f>IF('Dry_Litterbag Placem_Collection'!G199="","",'Dry_Litterbag Placem_Collection'!G199)</f>
        <v>43004</v>
      </c>
      <c r="W638" s="259">
        <f t="shared" si="45"/>
        <v>62</v>
      </c>
      <c r="X638" s="257">
        <f t="shared" si="48"/>
        <v>0.99380000000000002</v>
      </c>
      <c r="Y638" s="257">
        <f t="shared" si="49"/>
        <v>1.0711223204623597</v>
      </c>
      <c r="Z638" s="261">
        <f>IFERROR(INDEX([3]Rainfall_Dry!$O$2:$O$217,MATCH(C638, [3]Rainfall_Dry!$A$2:$A$217,0)),"")</f>
        <v>171.84818423999999</v>
      </c>
      <c r="AA638" s="250">
        <v>23.96</v>
      </c>
      <c r="AB638" s="250">
        <v>0.91999999999999804</v>
      </c>
      <c r="AC638" s="250">
        <v>75.12</v>
      </c>
      <c r="AD638" s="251" t="s">
        <v>2651</v>
      </c>
      <c r="AE638" s="250">
        <v>1.2493839329719072</v>
      </c>
      <c r="AF638">
        <f>IF('WetLitterbags placem_collection'!AB199="","",'WetLitterbags placem_collection'!AB199)</f>
        <v>5.13</v>
      </c>
      <c r="AG638">
        <f>IF('WetLitterbags placem_collection'!Z199="","",'WetLitterbags placem_collection'!Z199)</f>
        <v>5.13</v>
      </c>
      <c r="AH638" s="236" t="str">
        <f>IF('WetLitterbags placem_collection'!AA199="","",'WetLitterbags placem_collection'!AA199)</f>
        <v>O</v>
      </c>
      <c r="AI638">
        <f>IF('WetLitterbags placem_collection'!AC199="","",'WetLitterbags placem_collection'!AC199)</f>
        <v>1</v>
      </c>
      <c r="AJ638">
        <f>IFERROR(AVERAGE('Dry_Litterbag Placem_Collection'!O199,'Dry_Litterbag Placem_Collection'!R199),"")</f>
        <v>6.3000000000000007</v>
      </c>
      <c r="AK638" s="261">
        <f>IFERROR(AVERAGE('Dry_Litterbag Placem_Collection'!N199,'Dry_Litterbag Placem_Collection'!Q199),"")</f>
        <v>29.05</v>
      </c>
      <c r="AL638">
        <v>-2.4396450349999999</v>
      </c>
      <c r="AM638">
        <v>34.83836599</v>
      </c>
      <c r="AN638" s="260" t="str">
        <f>IF(ISNUMBER(SEARCH("C", 'Dry_Litterbag Placem_Collection'!U199)),"YES","NO")</f>
        <v>NO</v>
      </c>
      <c r="AO638" s="260" t="str">
        <f>IF(ISNUMBER(SEARCH("H", 'Dry_Litterbag Placem_Collection'!U199)),"YES","NO")</f>
        <v>NO</v>
      </c>
      <c r="AP638" s="260" t="str">
        <f>IF(ISNUMBER(SEARCH("R", 'Dry_Litterbag Placem_Collection'!U199)),"YES","NO")</f>
        <v>YES</v>
      </c>
    </row>
    <row r="639" spans="1:42" ht="15" customHeight="1">
      <c r="A639" t="s">
        <v>2490</v>
      </c>
      <c r="B639" s="252" t="s">
        <v>2643</v>
      </c>
      <c r="C639" s="253">
        <f>'Dry_Litterbag Placem_Collection'!A200</f>
        <v>198</v>
      </c>
      <c r="D639" s="253" t="str">
        <f>'Dry_Litterbag Placem_Collection'!B200</f>
        <v>Makao</v>
      </c>
      <c r="E639" s="253" t="s">
        <v>2643</v>
      </c>
      <c r="F639" s="253" t="s">
        <v>20</v>
      </c>
      <c r="G639" s="253">
        <v>3</v>
      </c>
      <c r="H639" s="253" t="s">
        <v>3108</v>
      </c>
      <c r="I639" s="254" t="str">
        <f>'Dry_Litterbag Placem_Collection'!C200</f>
        <v>Dry_P2_CG3</v>
      </c>
      <c r="J639" s="263" t="s">
        <v>2932</v>
      </c>
      <c r="K639" s="256" t="s">
        <v>1147</v>
      </c>
      <c r="L639" s="253" t="str">
        <f>IF(ISBLANK('Dry_Litterbag Placem_Collection'!L200),"","G"&amp;""&amp;'Dry_Litterbag Placem_Collection'!L200)</f>
        <v>G780</v>
      </c>
      <c r="M639" s="257">
        <f>IFERROR(INDEX('Green_rooibos initial weight'!$C$5:$C$2000,MATCH(L639, 'Green_rooibos initial weight'!$A$5:$A$2000,0)),"")</f>
        <v>1.962</v>
      </c>
      <c r="N639" s="257">
        <f>IFERROR(M639-(TBIcalc!$Q$9+TBIcalc!$Q$10),"")</f>
        <v>1.7121999999999999</v>
      </c>
      <c r="O639" s="378">
        <f>AVERAGE(Ashed_controlls!$K$2:$K$11)</f>
        <v>5.5147656768714146</v>
      </c>
      <c r="P639" s="257">
        <f t="shared" si="46"/>
        <v>1.6177761820806076</v>
      </c>
      <c r="Q639" s="257">
        <f>IFERROR(INDEX('Both teabags AfterDry'!$D$2:$D$2000,MATCH(L639,'Both teabags AfterDry'!$A$2:$A$2000,0)),"")</f>
        <v>0.69899999999999995</v>
      </c>
      <c r="R639" s="257">
        <f>IFERROR(IF(Q639&gt;0,Q639-(TBIcalc!$Q$9),""),"")</f>
        <v>0.5484</v>
      </c>
      <c r="S639" s="268">
        <f>IFERROR(INDEX('Ashed teabags dry'!$K$2:$K$2000,MATCH(L639,'Ashed teabags dry'!$A$2:$A$2000,0)),"")</f>
        <v>13.974854932302094</v>
      </c>
      <c r="T639" s="268">
        <f t="shared" si="47"/>
        <v>0.47176189555125531</v>
      </c>
      <c r="U639" s="258">
        <f>IF('Dry_Litterbag Placem_Collection'!E200="","",'Dry_Litterbag Placem_Collection'!E200)</f>
        <v>42942</v>
      </c>
      <c r="V639" s="258">
        <f>IF('Dry_Litterbag Placem_Collection'!G200="","",'Dry_Litterbag Placem_Collection'!G200)</f>
        <v>43004</v>
      </c>
      <c r="W639" s="259">
        <f t="shared" si="45"/>
        <v>62</v>
      </c>
      <c r="X639" s="257">
        <f t="shared" si="48"/>
        <v>1.1637999999999999</v>
      </c>
      <c r="Y639" s="257">
        <f t="shared" si="49"/>
        <v>1.1460142865293523</v>
      </c>
      <c r="Z639" s="261">
        <f>IFERROR(INDEX([3]Rainfall_Dry!$O$2:$O$217,MATCH(C639, [3]Rainfall_Dry!$A$2:$A$217,0)),"")</f>
        <v>171.84818423999999</v>
      </c>
      <c r="AA639" s="250">
        <v>19.96</v>
      </c>
      <c r="AB639" s="250">
        <v>4.9199999999999982</v>
      </c>
      <c r="AC639" s="250">
        <v>75.12</v>
      </c>
      <c r="AD639" s="251" t="s">
        <v>2652</v>
      </c>
      <c r="AE639" s="250">
        <v>1.641498275012321</v>
      </c>
      <c r="AF639">
        <f>IF('WetLitterbags placem_collection'!AB200="","",'WetLitterbags placem_collection'!AB200)</f>
        <v>7.9</v>
      </c>
      <c r="AG639">
        <f>IF('WetLitterbags placem_collection'!Z200="","",'WetLitterbags placem_collection'!Z200)</f>
        <v>7.9</v>
      </c>
      <c r="AH639" s="236" t="str">
        <f>IF('WetLitterbags placem_collection'!AA200="","",'WetLitterbags placem_collection'!AA200)</f>
        <v>O</v>
      </c>
      <c r="AI639">
        <f>IF('WetLitterbags placem_collection'!AC200="","",'WetLitterbags placem_collection'!AC200)</f>
        <v>1</v>
      </c>
      <c r="AJ639">
        <f>IFERROR(AVERAGE('Dry_Litterbag Placem_Collection'!O200,'Dry_Litterbag Placem_Collection'!R200),"")</f>
        <v>4.8499999999999996</v>
      </c>
      <c r="AK639" s="261">
        <f>IFERROR(AVERAGE('Dry_Litterbag Placem_Collection'!N200,'Dry_Litterbag Placem_Collection'!Q200),"")</f>
        <v>30.25</v>
      </c>
      <c r="AL639">
        <v>-2.4395990190000001</v>
      </c>
      <c r="AM639">
        <v>34.838418959999998</v>
      </c>
      <c r="AN639" s="260" t="str">
        <f>IF(ISNUMBER(SEARCH("C", 'Dry_Litterbag Placem_Collection'!U200)),"YES","NO")</f>
        <v>NO</v>
      </c>
      <c r="AO639" s="260" t="str">
        <f>IF(ISNUMBER(SEARCH("H", 'Dry_Litterbag Placem_Collection'!U200)),"YES","NO")</f>
        <v>NO</v>
      </c>
      <c r="AP639" s="260" t="str">
        <f>IF(ISNUMBER(SEARCH("R", 'Dry_Litterbag Placem_Collection'!U200)),"YES","NO")</f>
        <v>YES</v>
      </c>
    </row>
    <row r="640" spans="1:42" ht="15" customHeight="1">
      <c r="A640" t="s">
        <v>2490</v>
      </c>
      <c r="B640" s="252" t="s">
        <v>2643</v>
      </c>
      <c r="C640" s="253">
        <f>'Dry_Litterbag Placem_Collection'!A201</f>
        <v>199</v>
      </c>
      <c r="D640" s="253" t="str">
        <f>'Dry_Litterbag Placem_Collection'!B201</f>
        <v>Makao</v>
      </c>
      <c r="E640" s="253" t="s">
        <v>2643</v>
      </c>
      <c r="F640" s="253" t="s">
        <v>20</v>
      </c>
      <c r="G640" s="253">
        <v>1</v>
      </c>
      <c r="H640" s="253" t="s">
        <v>3109</v>
      </c>
      <c r="I640" s="254" t="str">
        <f>'Dry_Litterbag Placem_Collection'!C201</f>
        <v>Dry_P3_CG1</v>
      </c>
      <c r="J640" s="263" t="s">
        <v>2932</v>
      </c>
      <c r="K640" s="256" t="s">
        <v>1147</v>
      </c>
      <c r="L640" s="253" t="str">
        <f>IF(ISBLANK('Dry_Litterbag Placem_Collection'!L201),"","G"&amp;""&amp;'Dry_Litterbag Placem_Collection'!L201)</f>
        <v>G182</v>
      </c>
      <c r="M640" s="257">
        <f>IFERROR(INDEX('Green_rooibos initial weight'!$C$5:$C$2000,MATCH(L640, 'Green_rooibos initial weight'!$A$5:$A$2000,0)),"")</f>
        <v>1.8919999999999999</v>
      </c>
      <c r="N640" s="257">
        <f>IFERROR(M640-(TBIcalc!$Q$9+TBIcalc!$Q$10),"")</f>
        <v>1.6421999999999999</v>
      </c>
      <c r="O640" s="378">
        <f>AVERAGE(Ashed_controlls!$K$2:$K$11)</f>
        <v>5.5147656768714146</v>
      </c>
      <c r="P640" s="257">
        <f t="shared" si="46"/>
        <v>1.5516365180544176</v>
      </c>
      <c r="Q640" s="257">
        <f>IFERROR(INDEX('Both teabags AfterDry'!$D$2:$D$2000,MATCH(L640,'Both teabags AfterDry'!$A$2:$A$2000,0)),"")</f>
        <v>0.62490000000000001</v>
      </c>
      <c r="R640" s="257">
        <f>IFERROR(IF(Q640&gt;0,Q640-(TBIcalc!$Q$9),""),"")</f>
        <v>0.4743</v>
      </c>
      <c r="S640" s="268">
        <f>IFERROR(INDEX('Ashed teabags dry'!$K$2:$K$2000,MATCH(L640,'Ashed teabags dry'!$A$2:$A$2000,0)),"")</f>
        <v>15.096201282683586</v>
      </c>
      <c r="T640" s="268">
        <f t="shared" si="47"/>
        <v>0.40269871731623175</v>
      </c>
      <c r="U640" s="258">
        <f>IF('Dry_Litterbag Placem_Collection'!E201="","",'Dry_Litterbag Placem_Collection'!E201)</f>
        <v>42942</v>
      </c>
      <c r="V640" s="258">
        <f>IF('Dry_Litterbag Placem_Collection'!G201="","",'Dry_Litterbag Placem_Collection'!G201)</f>
        <v>43004</v>
      </c>
      <c r="W640" s="259">
        <f t="shared" si="45"/>
        <v>62</v>
      </c>
      <c r="X640" s="257">
        <f t="shared" si="48"/>
        <v>1.1678999999999999</v>
      </c>
      <c r="Y640" s="257">
        <f t="shared" si="49"/>
        <v>1.1489378007381859</v>
      </c>
      <c r="Z640" s="261">
        <f>IFERROR(INDEX([3]Rainfall_Dry!$O$2:$O$217,MATCH(C640, [3]Rainfall_Dry!$A$2:$A$217,0)),"")</f>
        <v>171.84818423999999</v>
      </c>
      <c r="AA640" s="250">
        <v>21.96</v>
      </c>
      <c r="AB640" s="250">
        <v>8.9199999999999982</v>
      </c>
      <c r="AC640" s="250">
        <v>69.12</v>
      </c>
      <c r="AD640" s="251" t="s">
        <v>2651</v>
      </c>
      <c r="AE640" s="250">
        <v>1.7491375061606702</v>
      </c>
      <c r="AF640">
        <f>IF('WetLitterbags placem_collection'!AB201="","",'WetLitterbags placem_collection'!AB201)</f>
        <v>13.8</v>
      </c>
      <c r="AG640">
        <f>IF('WetLitterbags placem_collection'!Z201="","",'WetLitterbags placem_collection'!Z201)</f>
        <v>17.399999999999999</v>
      </c>
      <c r="AH640" s="236" t="str">
        <f>IF('WetLitterbags placem_collection'!AA201="","",'WetLitterbags placem_collection'!AA201)</f>
        <v>O</v>
      </c>
      <c r="AI640">
        <f>IF('WetLitterbags placem_collection'!AC201="","",'WetLitterbags placem_collection'!AC201)</f>
        <v>1</v>
      </c>
      <c r="AJ640">
        <f>IFERROR(AVERAGE('Dry_Litterbag Placem_Collection'!O201,'Dry_Litterbag Placem_Collection'!R201),"")</f>
        <v>6.1999999999999993</v>
      </c>
      <c r="AK640" s="261">
        <f>IFERROR(AVERAGE('Dry_Litterbag Placem_Collection'!N201,'Dry_Litterbag Placem_Collection'!Q201),"")</f>
        <v>27.200000000000003</v>
      </c>
      <c r="AL640">
        <v>-2.439403972</v>
      </c>
      <c r="AM640">
        <v>34.838404959999998</v>
      </c>
      <c r="AN640" s="260" t="str">
        <f>IF(ISNUMBER(SEARCH("C", 'Dry_Litterbag Placem_Collection'!U201)),"YES","NO")</f>
        <v>NO</v>
      </c>
      <c r="AO640" s="260" t="str">
        <f>IF(ISNUMBER(SEARCH("H", 'Dry_Litterbag Placem_Collection'!U201)),"YES","NO")</f>
        <v>NO</v>
      </c>
      <c r="AP640" s="260" t="str">
        <f>IF(ISNUMBER(SEARCH("R", 'Dry_Litterbag Placem_Collection'!U201)),"YES","NO")</f>
        <v>YES</v>
      </c>
    </row>
    <row r="641" spans="1:42" ht="15" customHeight="1">
      <c r="A641" t="s">
        <v>2490</v>
      </c>
      <c r="B641" s="252" t="s">
        <v>2643</v>
      </c>
      <c r="C641" s="253">
        <f>'Dry_Litterbag Placem_Collection'!A202</f>
        <v>200</v>
      </c>
      <c r="D641" s="253" t="str">
        <f>'Dry_Litterbag Placem_Collection'!B202</f>
        <v>Makao</v>
      </c>
      <c r="E641" s="253" t="s">
        <v>2643</v>
      </c>
      <c r="F641" s="253" t="s">
        <v>20</v>
      </c>
      <c r="G641" s="253">
        <v>4</v>
      </c>
      <c r="H641" s="253" t="s">
        <v>3110</v>
      </c>
      <c r="I641" s="254" t="str">
        <f>'Dry_Litterbag Placem_Collection'!C202</f>
        <v>Dry_P4_CG4</v>
      </c>
      <c r="J641" s="263" t="s">
        <v>2932</v>
      </c>
      <c r="K641" s="256" t="s">
        <v>1147</v>
      </c>
      <c r="L641" s="253" t="str">
        <f>IF(ISBLANK('Dry_Litterbag Placem_Collection'!L202),"","G"&amp;""&amp;'Dry_Litterbag Placem_Collection'!L202)</f>
        <v>G186</v>
      </c>
      <c r="M641" s="257">
        <f>IFERROR(INDEX('Green_rooibos initial weight'!$C$5:$C$2000,MATCH(L641, 'Green_rooibos initial weight'!$A$5:$A$2000,0)),"")</f>
        <v>2.0419999999999998</v>
      </c>
      <c r="N641" s="257">
        <f>IFERROR(M641-(TBIcalc!$Q$9+TBIcalc!$Q$10),"")</f>
        <v>1.7921999999999998</v>
      </c>
      <c r="O641" s="378">
        <f>AVERAGE(Ashed_controlls!$K$2:$K$11)</f>
        <v>5.5147656768714146</v>
      </c>
      <c r="P641" s="257">
        <f t="shared" si="46"/>
        <v>1.6933643695391103</v>
      </c>
      <c r="Q641" s="257">
        <f>IFERROR(INDEX('Both teabags AfterDry'!$D$2:$D$2000,MATCH(L641,'Both teabags AfterDry'!$A$2:$A$2000,0)),"")</f>
        <v>0.6643</v>
      </c>
      <c r="R641" s="257">
        <f>IFERROR(IF(Q641&gt;0,Q641-(TBIcalc!$Q$9),""),"")</f>
        <v>0.51370000000000005</v>
      </c>
      <c r="S641" s="268">
        <f>IFERROR(INDEX('Ashed teabags dry'!$K$2:$K$2000,MATCH(L641,'Ashed teabags dry'!$A$2:$A$2000,0)),"")</f>
        <v>12.606837606837463</v>
      </c>
      <c r="T641" s="268">
        <f t="shared" si="47"/>
        <v>0.44893867521367603</v>
      </c>
      <c r="U641" s="258">
        <f>IF('Dry_Litterbag Placem_Collection'!E202="","",'Dry_Litterbag Placem_Collection'!E202)</f>
        <v>42942</v>
      </c>
      <c r="V641" s="258">
        <f>IF('Dry_Litterbag Placem_Collection'!G202="","",'Dry_Litterbag Placem_Collection'!G202)</f>
        <v>43004</v>
      </c>
      <c r="W641" s="259">
        <f t="shared" si="45"/>
        <v>62</v>
      </c>
      <c r="X641" s="257">
        <f t="shared" si="48"/>
        <v>1.2784999999999997</v>
      </c>
      <c r="Y641" s="257">
        <f t="shared" si="49"/>
        <v>1.2444256943254342</v>
      </c>
      <c r="Z641" s="261">
        <f>IFERROR(INDEX([3]Rainfall_Dry!$O$2:$O$217,MATCH(C641, [3]Rainfall_Dry!$A$2:$A$217,0)),"")</f>
        <v>171.84818423999999</v>
      </c>
      <c r="AA641" s="250">
        <v>25.96</v>
      </c>
      <c r="AB641" s="250">
        <v>6.9200000000000008</v>
      </c>
      <c r="AC641" s="250">
        <v>67.12</v>
      </c>
      <c r="AD641" s="251" t="s">
        <v>2651</v>
      </c>
      <c r="AE641" s="250">
        <v>1.7568260226712666</v>
      </c>
      <c r="AF641">
        <f>IF('WetLitterbags placem_collection'!AB202="","",'WetLitterbags placem_collection'!AB202)</f>
        <v>15.2</v>
      </c>
      <c r="AG641">
        <f>IF('WetLitterbags placem_collection'!Z202="","",'WetLitterbags placem_collection'!Z202)</f>
        <v>12.2</v>
      </c>
      <c r="AH641" s="236" t="str">
        <f>IF('WetLitterbags placem_collection'!AA202="","",'WetLitterbags placem_collection'!AA202)</f>
        <v>O</v>
      </c>
      <c r="AI641">
        <f>IF('WetLitterbags placem_collection'!AC202="","",'WetLitterbags placem_collection'!AC202)</f>
        <v>1</v>
      </c>
      <c r="AJ641">
        <f>IFERROR(AVERAGE('Dry_Litterbag Placem_Collection'!O202,'Dry_Litterbag Placem_Collection'!R202),"")</f>
        <v>7</v>
      </c>
      <c r="AK641" s="261">
        <f>IFERROR(AVERAGE('Dry_Litterbag Placem_Collection'!N202,'Dry_Litterbag Placem_Collection'!Q202),"")</f>
        <v>32.9</v>
      </c>
      <c r="AL641">
        <v>-2.4396949910000001</v>
      </c>
      <c r="AM641">
        <v>34.838574029999997</v>
      </c>
      <c r="AN641" s="260" t="str">
        <f>IF(ISNUMBER(SEARCH("C", 'Dry_Litterbag Placem_Collection'!U202)),"YES","NO")</f>
        <v>NO</v>
      </c>
      <c r="AO641" s="260" t="str">
        <f>IF(ISNUMBER(SEARCH("H", 'Dry_Litterbag Placem_Collection'!U202)),"YES","NO")</f>
        <v>NO</v>
      </c>
      <c r="AP641" s="260" t="str">
        <f>IF(ISNUMBER(SEARCH("R", 'Dry_Litterbag Placem_Collection'!U202)),"YES","NO")</f>
        <v>YES</v>
      </c>
    </row>
    <row r="642" spans="1:42" ht="15" customHeight="1">
      <c r="A642" t="s">
        <v>2490</v>
      </c>
      <c r="B642" s="252" t="s">
        <v>2643</v>
      </c>
      <c r="C642" s="253">
        <f>'Dry_Litterbag Placem_Collection'!A203</f>
        <v>201</v>
      </c>
      <c r="D642" s="253" t="str">
        <f>'Dry_Litterbag Placem_Collection'!B203</f>
        <v>Maswa</v>
      </c>
      <c r="E642" s="253" t="s">
        <v>2643</v>
      </c>
      <c r="F642" s="253" t="s">
        <v>2645</v>
      </c>
      <c r="G642" s="253">
        <v>4</v>
      </c>
      <c r="H642" s="253" t="s">
        <v>3114</v>
      </c>
      <c r="I642" s="254" t="str">
        <f>'Dry_Litterbag Placem_Collection'!C203</f>
        <v>Dry_W3_CG4</v>
      </c>
      <c r="J642" s="263" t="s">
        <v>2932</v>
      </c>
      <c r="K642" s="256" t="s">
        <v>1147</v>
      </c>
      <c r="L642" s="253" t="str">
        <f>IF(ISBLANK('Dry_Litterbag Placem_Collection'!L203),"","G"&amp;""&amp;'Dry_Litterbag Placem_Collection'!L203)</f>
        <v>G315</v>
      </c>
      <c r="M642" s="257">
        <f>IFERROR(INDEX('Green_rooibos initial weight'!$C$5:$C$2000,MATCH(L642, 'Green_rooibos initial weight'!$A$5:$A$2000,0)),"")</f>
        <v>2.0960000000000001</v>
      </c>
      <c r="N642" s="257">
        <f>IFERROR(M642-(TBIcalc!$Q$9+TBIcalc!$Q$10),"")</f>
        <v>1.8462000000000001</v>
      </c>
      <c r="O642" s="378">
        <f>AVERAGE(Ashed_controlls!$K$2:$K$11)</f>
        <v>5.5147656768714146</v>
      </c>
      <c r="P642" s="257">
        <f t="shared" si="46"/>
        <v>1.7443863960735999</v>
      </c>
      <c r="Q642" s="257">
        <f>IFERROR(INDEX('Both teabags AfterDry'!$D$2:$D$2000,MATCH(L642,'Both teabags AfterDry'!$A$2:$A$2000,0)),"")</f>
        <v>0.84</v>
      </c>
      <c r="R642" s="257">
        <f>IFERROR(IF(Q642&gt;0,Q642-(TBIcalc!$Q$9),""),"")</f>
        <v>0.68940000000000001</v>
      </c>
      <c r="S642" s="268">
        <f>IFERROR(INDEX('Ashed teabags dry'!$K$2:$K$2000,MATCH(L642,'Ashed teabags dry'!$A$2:$A$2000,0)),"")</f>
        <v>16.658642272508086</v>
      </c>
      <c r="T642" s="268">
        <f t="shared" si="47"/>
        <v>0.57455532017332922</v>
      </c>
      <c r="U642" s="258">
        <f>IF('Dry_Litterbag Placem_Collection'!E203="","",'Dry_Litterbag Placem_Collection'!E203)</f>
        <v>42942</v>
      </c>
      <c r="V642" s="258">
        <f>IF('Dry_Litterbag Placem_Collection'!G203="","",'Dry_Litterbag Placem_Collection'!G203)</f>
        <v>43004</v>
      </c>
      <c r="W642" s="259">
        <f t="shared" ref="W642:W705" si="50">IFERROR(V642-U642,"")</f>
        <v>62</v>
      </c>
      <c r="X642" s="257">
        <f t="shared" si="48"/>
        <v>1.1568000000000001</v>
      </c>
      <c r="Y642" s="257">
        <f t="shared" si="49"/>
        <v>1.1698310759002708</v>
      </c>
      <c r="Z642" s="261">
        <f>IFERROR(INDEX([3]Rainfall_Dry!$O$2:$O$217,MATCH(C642, [3]Rainfall_Dry!$A$2:$A$217,0)),"")</f>
        <v>171.84818423999999</v>
      </c>
      <c r="AA642" s="250">
        <v>38.691629007962128</v>
      </c>
      <c r="AB642" s="250">
        <v>26.81299763288143</v>
      </c>
      <c r="AC642" s="250">
        <v>34.495373359156439</v>
      </c>
      <c r="AD642" s="251" t="s">
        <v>2656</v>
      </c>
      <c r="AE642" s="250">
        <v>2.5483587974371611</v>
      </c>
      <c r="AF642">
        <f>IF('WetLitterbags placem_collection'!AB203="","",'WetLitterbags placem_collection'!AB203)</f>
        <v>15.2</v>
      </c>
      <c r="AG642">
        <f>IF('WetLitterbags placem_collection'!Z203="","",'WetLitterbags placem_collection'!Z203)</f>
        <v>12.2</v>
      </c>
      <c r="AH642" s="236" t="str">
        <f>IF('WetLitterbags placem_collection'!AA203="","",'WetLitterbags placem_collection'!AA203)</f>
        <v>O</v>
      </c>
      <c r="AI642">
        <f>IF('WetLitterbags placem_collection'!AC203="","",'WetLitterbags placem_collection'!AC203)</f>
        <v>1</v>
      </c>
      <c r="AJ642">
        <f>IFERROR(AVERAGE('Dry_Litterbag Placem_Collection'!O203,'Dry_Litterbag Placem_Collection'!R203),"")</f>
        <v>8.9</v>
      </c>
      <c r="AK642" s="261">
        <f>IFERROR(AVERAGE('Dry_Litterbag Placem_Collection'!N203,'Dry_Litterbag Placem_Collection'!Q203),"")</f>
        <v>29.15</v>
      </c>
      <c r="AL642">
        <v>-2.4396949910000001</v>
      </c>
      <c r="AM642">
        <v>34.838574029999997</v>
      </c>
      <c r="AN642" s="260" t="str">
        <f>IF(ISNUMBER(SEARCH("C", 'Dry_Litterbag Placem_Collection'!U203)),"YES","NO")</f>
        <v>NO</v>
      </c>
      <c r="AO642" s="260" t="str">
        <f>IF(ISNUMBER(SEARCH("H", 'Dry_Litterbag Placem_Collection'!U203)),"YES","NO")</f>
        <v>NO</v>
      </c>
      <c r="AP642" s="260" t="str">
        <f>IF(ISNUMBER(SEARCH("R", 'Dry_Litterbag Placem_Collection'!U203)),"YES","NO")</f>
        <v>YES</v>
      </c>
    </row>
    <row r="643" spans="1:42" ht="15" customHeight="1">
      <c r="A643" t="s">
        <v>2490</v>
      </c>
      <c r="B643" s="252" t="s">
        <v>2643</v>
      </c>
      <c r="C643" s="253">
        <f>'Dry_Litterbag Placem_Collection'!A204</f>
        <v>202</v>
      </c>
      <c r="D643" s="253" t="str">
        <f>'Dry_Litterbag Placem_Collection'!B204</f>
        <v>Maswa</v>
      </c>
      <c r="E643" s="253" t="s">
        <v>2643</v>
      </c>
      <c r="F643" s="253" t="s">
        <v>2645</v>
      </c>
      <c r="G643" s="253">
        <v>1</v>
      </c>
      <c r="H643" s="253" t="s">
        <v>3113</v>
      </c>
      <c r="I643" s="254" t="str">
        <f>'Dry_Litterbag Placem_Collection'!C204</f>
        <v>Dry_W2_CG1</v>
      </c>
      <c r="J643" s="263" t="s">
        <v>2932</v>
      </c>
      <c r="K643" s="256" t="s">
        <v>1147</v>
      </c>
      <c r="L643" s="253" t="str">
        <f>IF(ISBLANK('Dry_Litterbag Placem_Collection'!L204),"","G"&amp;""&amp;'Dry_Litterbag Placem_Collection'!L204)</f>
        <v>G147</v>
      </c>
      <c r="M643" s="257">
        <f>IFERROR(INDEX('Green_rooibos initial weight'!$C$5:$C$2000,MATCH(L643, 'Green_rooibos initial weight'!$A$5:$A$2000,0)),"")</f>
        <v>2.0369999999999999</v>
      </c>
      <c r="N643" s="257">
        <f>IFERROR(M643-(TBIcalc!$Q$9+TBIcalc!$Q$10),"")</f>
        <v>1.7871999999999999</v>
      </c>
      <c r="O643" s="378">
        <f>AVERAGE(Ashed_controlls!$K$2:$K$11)</f>
        <v>5.5147656768714146</v>
      </c>
      <c r="P643" s="257">
        <f t="shared" ref="P643:P706" si="51">IFERROR(N643-(O643/100)*N643,"")</f>
        <v>1.688640107822954</v>
      </c>
      <c r="Q643" s="257">
        <f>IFERROR(INDEX('Both teabags AfterDry'!$D$2:$D$2000,MATCH(L643,'Both teabags AfterDry'!$A$2:$A$2000,0)),"")</f>
        <v>0.71709999999999996</v>
      </c>
      <c r="R643" s="257">
        <f>IFERROR(IF(Q643&gt;0,Q643-(TBIcalc!$Q$9),""),"")</f>
        <v>0.5665</v>
      </c>
      <c r="S643" s="268">
        <f>IFERROR(INDEX('Ashed teabags dry'!$K$2:$K$2000,MATCH(L643,'Ashed teabags dry'!$A$2:$A$2000,0)),"")</f>
        <v>19.843214110729726</v>
      </c>
      <c r="T643" s="268">
        <f t="shared" ref="T643:T706" si="52">IFERROR(R643-(S643/100)*R643,"")</f>
        <v>0.45408819206271611</v>
      </c>
      <c r="U643" s="258">
        <f>IF('Dry_Litterbag Placem_Collection'!E204="","",'Dry_Litterbag Placem_Collection'!E204)</f>
        <v>42942</v>
      </c>
      <c r="V643" s="258">
        <f>IF('Dry_Litterbag Placem_Collection'!G204="","",'Dry_Litterbag Placem_Collection'!G204)</f>
        <v>43004</v>
      </c>
      <c r="W643" s="259">
        <f t="shared" si="50"/>
        <v>62</v>
      </c>
      <c r="X643" s="257">
        <f t="shared" ref="X643:X706" si="53">IFERROR(N643-R643,"")</f>
        <v>1.2206999999999999</v>
      </c>
      <c r="Y643" s="257">
        <f t="shared" ref="Y643:Y706" si="54">IFERROR(P643-T643,"")</f>
        <v>1.234551915760238</v>
      </c>
      <c r="Z643" s="261">
        <f>IFERROR(INDEX([3]Rainfall_Dry!$O$2:$O$217,MATCH(C643, [3]Rainfall_Dry!$A$2:$A$217,0)),"")</f>
        <v>171.84818423999999</v>
      </c>
      <c r="AA643" s="250">
        <v>45.272914521112256</v>
      </c>
      <c r="AB643" s="250">
        <v>23.604531410916575</v>
      </c>
      <c r="AC643" s="250">
        <v>31.122554067971166</v>
      </c>
      <c r="AD643" s="251" t="s">
        <v>2654</v>
      </c>
      <c r="AE643" s="250">
        <v>2.0547560374568752</v>
      </c>
      <c r="AF643">
        <f>IF('WetLitterbags placem_collection'!AB204="","",'WetLitterbags placem_collection'!AB204)</f>
        <v>13.8</v>
      </c>
      <c r="AG643">
        <f>IF('WetLitterbags placem_collection'!Z204="","",'WetLitterbags placem_collection'!Z204)</f>
        <v>17.399999999999999</v>
      </c>
      <c r="AH643" s="236" t="str">
        <f>IF('WetLitterbags placem_collection'!AA204="","",'WetLitterbags placem_collection'!AA204)</f>
        <v>O</v>
      </c>
      <c r="AI643">
        <f>IF('WetLitterbags placem_collection'!AC204="","",'WetLitterbags placem_collection'!AC204)</f>
        <v>1</v>
      </c>
      <c r="AJ643">
        <f>IFERROR(AVERAGE('Dry_Litterbag Placem_Collection'!O204,'Dry_Litterbag Placem_Collection'!R204),"")</f>
        <v>6.3</v>
      </c>
      <c r="AK643" s="261">
        <f>IFERROR(AVERAGE('Dry_Litterbag Placem_Collection'!N204,'Dry_Litterbag Placem_Collection'!Q204),"")</f>
        <v>28.85</v>
      </c>
      <c r="AL643">
        <v>-2.439403972</v>
      </c>
      <c r="AM643">
        <v>34.838404959999998</v>
      </c>
      <c r="AN643" s="260" t="str">
        <f>IF(ISNUMBER(SEARCH("C", 'Dry_Litterbag Placem_Collection'!U204)),"YES","NO")</f>
        <v>NO</v>
      </c>
      <c r="AO643" s="260" t="str">
        <f>IF(ISNUMBER(SEARCH("H", 'Dry_Litterbag Placem_Collection'!U204)),"YES","NO")</f>
        <v>NO</v>
      </c>
      <c r="AP643" s="260" t="str">
        <f>IF(ISNUMBER(SEARCH("R", 'Dry_Litterbag Placem_Collection'!U204)),"YES","NO")</f>
        <v>YES</v>
      </c>
    </row>
    <row r="644" spans="1:42" ht="15" customHeight="1">
      <c r="A644" t="s">
        <v>2490</v>
      </c>
      <c r="B644" s="252" t="s">
        <v>2643</v>
      </c>
      <c r="C644" s="253">
        <f>'Dry_Litterbag Placem_Collection'!A205</f>
        <v>203</v>
      </c>
      <c r="D644" s="253" t="str">
        <f>'Dry_Litterbag Placem_Collection'!B205</f>
        <v>Maswa</v>
      </c>
      <c r="E644" s="253" t="s">
        <v>2643</v>
      </c>
      <c r="F644" s="253" t="s">
        <v>2645</v>
      </c>
      <c r="G644" s="253">
        <v>2</v>
      </c>
      <c r="H644" s="253" t="s">
        <v>3111</v>
      </c>
      <c r="I644" s="254" t="str">
        <f>'Dry_Litterbag Placem_Collection'!C205</f>
        <v>Dry_W1_CG2</v>
      </c>
      <c r="J644" s="263" t="s">
        <v>2932</v>
      </c>
      <c r="K644" s="256" t="s">
        <v>1147</v>
      </c>
      <c r="L644" s="253" t="str">
        <f>IF(ISBLANK('Dry_Litterbag Placem_Collection'!L205),"","G"&amp;""&amp;'Dry_Litterbag Placem_Collection'!L205)</f>
        <v>G168</v>
      </c>
      <c r="M644" s="257">
        <f>IFERROR(INDEX('Green_rooibos initial weight'!$C$5:$C$2000,MATCH(L644, 'Green_rooibos initial weight'!$A$5:$A$2000,0)),"")</f>
        <v>2.0499999999999998</v>
      </c>
      <c r="N644" s="257">
        <f>IFERROR(M644-(TBIcalc!$Q$9+TBIcalc!$Q$10),"")</f>
        <v>1.8001999999999998</v>
      </c>
      <c r="O644" s="378">
        <f>AVERAGE(Ashed_controlls!$K$2:$K$11)</f>
        <v>5.5147656768714146</v>
      </c>
      <c r="P644" s="257">
        <f t="shared" si="51"/>
        <v>1.7009231882849607</v>
      </c>
      <c r="Q644" s="257">
        <f>IFERROR(INDEX('Both teabags AfterDry'!$D$2:$D$2000,MATCH(L644,'Both teabags AfterDry'!$A$2:$A$2000,0)),"")</f>
        <v>0.72609999999999997</v>
      </c>
      <c r="R644" s="257">
        <f>IFERROR(IF(Q644&gt;0,Q644-(TBIcalc!$Q$9),""),"")</f>
        <v>0.5754999999999999</v>
      </c>
      <c r="S644" s="268">
        <f>IFERROR(INDEX('Ashed teabags dry'!$K$2:$K$2000,MATCH(L644,'Ashed teabags dry'!$A$2:$A$2000,0)),"")</f>
        <v>14.424477901894273</v>
      </c>
      <c r="T644" s="268">
        <f t="shared" si="52"/>
        <v>0.4924871296745984</v>
      </c>
      <c r="U644" s="258">
        <f>IF('Dry_Litterbag Placem_Collection'!E205="","",'Dry_Litterbag Placem_Collection'!E205)</f>
        <v>42942</v>
      </c>
      <c r="V644" s="258">
        <f>IF('Dry_Litterbag Placem_Collection'!G205="","",'Dry_Litterbag Placem_Collection'!G205)</f>
        <v>43004</v>
      </c>
      <c r="W644" s="259">
        <f t="shared" si="50"/>
        <v>62</v>
      </c>
      <c r="X644" s="257">
        <f t="shared" si="53"/>
        <v>1.2246999999999999</v>
      </c>
      <c r="Y644" s="257">
        <f t="shared" si="54"/>
        <v>1.2084360586103622</v>
      </c>
      <c r="Z644" s="261">
        <f>IFERROR(INDEX([3]Rainfall_Dry!$O$2:$O$217,MATCH(C644, [3]Rainfall_Dry!$A$2:$A$217,0)),"")</f>
        <v>171.84818423999999</v>
      </c>
      <c r="AA644" s="250">
        <v>47.96</v>
      </c>
      <c r="AB644" s="250">
        <v>22.919999999999995</v>
      </c>
      <c r="AC644" s="250">
        <v>29.120000000000012</v>
      </c>
      <c r="AD644" s="251" t="s">
        <v>2654</v>
      </c>
      <c r="AE644" s="250">
        <v>2.8831936914736325</v>
      </c>
      <c r="AF644">
        <f>IF('WetLitterbags placem_collection'!AB205="","",'WetLitterbags placem_collection'!AB205)</f>
        <v>5.13</v>
      </c>
      <c r="AG644">
        <f>IF('WetLitterbags placem_collection'!Z205="","",'WetLitterbags placem_collection'!Z205)</f>
        <v>5.13</v>
      </c>
      <c r="AH644" s="236" t="str">
        <f>IF('WetLitterbags placem_collection'!AA205="","",'WetLitterbags placem_collection'!AA205)</f>
        <v>O</v>
      </c>
      <c r="AI644">
        <f>IF('WetLitterbags placem_collection'!AC205="","",'WetLitterbags placem_collection'!AC205)</f>
        <v>1</v>
      </c>
      <c r="AJ644">
        <f>IFERROR(AVERAGE('Dry_Litterbag Placem_Collection'!O205,'Dry_Litterbag Placem_Collection'!R205),"")</f>
        <v>10.100000000000001</v>
      </c>
      <c r="AK644" s="261">
        <f>IFERROR(AVERAGE('Dry_Litterbag Placem_Collection'!N205,'Dry_Litterbag Placem_Collection'!Q205),"")</f>
        <v>28.299999999999997</v>
      </c>
      <c r="AL644">
        <v>-2.4396450349999999</v>
      </c>
      <c r="AM644">
        <v>34.83836599</v>
      </c>
      <c r="AN644" s="260" t="str">
        <f>IF(ISNUMBER(SEARCH("C", 'Dry_Litterbag Placem_Collection'!U205)),"YES","NO")</f>
        <v>NO</v>
      </c>
      <c r="AO644" s="260" t="str">
        <f>IF(ISNUMBER(SEARCH("H", 'Dry_Litterbag Placem_Collection'!U205)),"YES","NO")</f>
        <v>NO</v>
      </c>
      <c r="AP644" s="260" t="str">
        <f>IF(ISNUMBER(SEARCH("R", 'Dry_Litterbag Placem_Collection'!U205)),"YES","NO")</f>
        <v>YES</v>
      </c>
    </row>
    <row r="645" spans="1:42" ht="15" customHeight="1">
      <c r="A645" t="s">
        <v>2490</v>
      </c>
      <c r="B645" s="252" t="s">
        <v>2643</v>
      </c>
      <c r="C645" s="253">
        <f>'Dry_Litterbag Placem_Collection'!A206</f>
        <v>204</v>
      </c>
      <c r="D645" s="253" t="str">
        <f>'Dry_Litterbag Placem_Collection'!B206</f>
        <v>Maswa</v>
      </c>
      <c r="E645" s="253" t="s">
        <v>2643</v>
      </c>
      <c r="F645" s="253" t="s">
        <v>2645</v>
      </c>
      <c r="G645" s="253">
        <v>3</v>
      </c>
      <c r="H645" s="253" t="s">
        <v>3115</v>
      </c>
      <c r="I645" s="254" t="str">
        <f>'Dry_Litterbag Placem_Collection'!C206</f>
        <v>Dry_W4_CG3</v>
      </c>
      <c r="J645" s="263" t="s">
        <v>2932</v>
      </c>
      <c r="K645" s="256" t="s">
        <v>1147</v>
      </c>
      <c r="L645" s="253" t="str">
        <f>IF(ISBLANK('Dry_Litterbag Placem_Collection'!L206),"","G"&amp;""&amp;'Dry_Litterbag Placem_Collection'!L206)</f>
        <v>G672</v>
      </c>
      <c r="M645" s="257">
        <f>IFERROR(INDEX('Green_rooibos initial weight'!$C$5:$C$2000,MATCH(L645, 'Green_rooibos initial weight'!$A$5:$A$2000,0)),"")</f>
        <v>2.0350000000000001</v>
      </c>
      <c r="N645" s="257">
        <f>IFERROR(M645-(TBIcalc!$Q$9+TBIcalc!$Q$10),"")</f>
        <v>1.7852000000000001</v>
      </c>
      <c r="O645" s="378">
        <f>AVERAGE(Ashed_controlls!$K$2:$K$11)</f>
        <v>5.5147656768714146</v>
      </c>
      <c r="P645" s="257">
        <f t="shared" si="51"/>
        <v>1.6867504031364917</v>
      </c>
      <c r="Q645" s="257">
        <f>IFERROR(INDEX('Both teabags AfterDry'!$D$2:$D$2000,MATCH(L645,'Both teabags AfterDry'!$A$2:$A$2000,0)),"")</f>
        <v>0.75690000000000002</v>
      </c>
      <c r="R645" s="257">
        <f>IFERROR(IF(Q645&gt;0,Q645-(TBIcalc!$Q$9),""),"")</f>
        <v>0.60630000000000006</v>
      </c>
      <c r="S645" s="268">
        <f>IFERROR(INDEX('Ashed teabags dry'!$K$2:$K$2000,MATCH(L645,'Ashed teabags dry'!$A$2:$A$2000,0)),"")</f>
        <v>21.599219892735228</v>
      </c>
      <c r="T645" s="268">
        <f t="shared" si="52"/>
        <v>0.47534392979034634</v>
      </c>
      <c r="U645" s="258">
        <f>IF('Dry_Litterbag Placem_Collection'!E206="","",'Dry_Litterbag Placem_Collection'!E206)</f>
        <v>42942</v>
      </c>
      <c r="V645" s="258">
        <f>IF('Dry_Litterbag Placem_Collection'!G206="","",'Dry_Litterbag Placem_Collection'!G206)</f>
        <v>43004</v>
      </c>
      <c r="W645" s="259">
        <f t="shared" si="50"/>
        <v>62</v>
      </c>
      <c r="X645" s="257">
        <f t="shared" si="53"/>
        <v>1.1789000000000001</v>
      </c>
      <c r="Y645" s="257">
        <f t="shared" si="54"/>
        <v>1.2114064733461454</v>
      </c>
      <c r="Z645" s="261">
        <f>IFERROR(INDEX([3]Rainfall_Dry!$O$2:$O$217,MATCH(C645, [3]Rainfall_Dry!$A$2:$A$217,0)),"")</f>
        <v>171.84818423999999</v>
      </c>
      <c r="AA645" s="250">
        <v>28.145762029394</v>
      </c>
      <c r="AB645" s="250">
        <v>25.085564727199518</v>
      </c>
      <c r="AC645" s="250">
        <v>46.768673243406489</v>
      </c>
      <c r="AD645" s="251" t="s">
        <v>2651</v>
      </c>
      <c r="AE645" s="250">
        <v>2.1716214884179394</v>
      </c>
      <c r="AF645">
        <f>IF('WetLitterbags placem_collection'!AB206="","",'WetLitterbags placem_collection'!AB206)</f>
        <v>7.9</v>
      </c>
      <c r="AG645">
        <f>IF('WetLitterbags placem_collection'!Z206="","",'WetLitterbags placem_collection'!Z206)</f>
        <v>7.9</v>
      </c>
      <c r="AH645" s="236" t="str">
        <f>IF('WetLitterbags placem_collection'!AA206="","",'WetLitterbags placem_collection'!AA206)</f>
        <v>O</v>
      </c>
      <c r="AI645">
        <f>IF('WetLitterbags placem_collection'!AC206="","",'WetLitterbags placem_collection'!AC206)</f>
        <v>1</v>
      </c>
      <c r="AJ645">
        <f>IFERROR(AVERAGE('Dry_Litterbag Placem_Collection'!O206,'Dry_Litterbag Placem_Collection'!R206),"")</f>
        <v>8.3500000000000014</v>
      </c>
      <c r="AK645" s="261">
        <f>IFERROR(AVERAGE('Dry_Litterbag Placem_Collection'!N206,'Dry_Litterbag Placem_Collection'!Q206),"")</f>
        <v>27.299999999999997</v>
      </c>
      <c r="AL645">
        <v>-2.4395990190000001</v>
      </c>
      <c r="AM645">
        <v>34.838418959999998</v>
      </c>
      <c r="AN645" s="260" t="str">
        <f>IF(ISNUMBER(SEARCH("C", 'Dry_Litterbag Placem_Collection'!U206)),"YES","NO")</f>
        <v>NO</v>
      </c>
      <c r="AO645" s="260" t="str">
        <f>IF(ISNUMBER(SEARCH("H", 'Dry_Litterbag Placem_Collection'!U206)),"YES","NO")</f>
        <v>NO</v>
      </c>
      <c r="AP645" s="260" t="str">
        <f>IF(ISNUMBER(SEARCH("R", 'Dry_Litterbag Placem_Collection'!U206)),"YES","NO")</f>
        <v>NO</v>
      </c>
    </row>
    <row r="646" spans="1:42" ht="15" customHeight="1">
      <c r="A646" t="s">
        <v>2490</v>
      </c>
      <c r="B646" s="252" t="s">
        <v>2643</v>
      </c>
      <c r="C646" s="253">
        <f>'Dry_Litterbag Placem_Collection'!A207</f>
        <v>205</v>
      </c>
      <c r="D646" s="253" t="str">
        <f>'Dry_Litterbag Placem_Collection'!B207</f>
        <v xml:space="preserve">Mwantimba
</v>
      </c>
      <c r="E646" s="253" t="s">
        <v>2454</v>
      </c>
      <c r="F646" s="253" t="s">
        <v>2644</v>
      </c>
      <c r="G646" s="253">
        <v>2</v>
      </c>
      <c r="H646" s="253" t="s">
        <v>3116</v>
      </c>
      <c r="I646" s="254" t="str">
        <f>'Dry_Litterbag Placem_Collection'!C207</f>
        <v>Wet_Ag1_CG2</v>
      </c>
      <c r="J646" s="263" t="s">
        <v>2932</v>
      </c>
      <c r="K646" s="256" t="s">
        <v>1147</v>
      </c>
      <c r="L646" s="253" t="str">
        <f>IF(ISBLANK('Dry_Litterbag Placem_Collection'!L207),"","G"&amp;""&amp;'Dry_Litterbag Placem_Collection'!L207)</f>
        <v>G173</v>
      </c>
      <c r="M646" s="257">
        <f>IFERROR(INDEX('Green_rooibos initial weight'!$C$5:$C$2000,MATCH(L646, 'Green_rooibos initial weight'!$A$5:$A$2000,0)),"")</f>
        <v>2.1419999999999999</v>
      </c>
      <c r="N646" s="257">
        <f>IFERROR(M646-(TBIcalc!$Q$9+TBIcalc!$Q$10),"")</f>
        <v>1.8921999999999999</v>
      </c>
      <c r="O646" s="378">
        <f>AVERAGE(Ashed_controlls!$K$2:$K$11)</f>
        <v>5.5147656768714146</v>
      </c>
      <c r="P646" s="257">
        <f t="shared" si="51"/>
        <v>1.7878496038622389</v>
      </c>
      <c r="Q646" s="257">
        <f>IFERROR(INDEX('Both teabags AfterDry'!$D$2:$D$2000,MATCH(L646,'Both teabags AfterDry'!$A$2:$A$2000,0)),"")</f>
        <v>0.79190000000000005</v>
      </c>
      <c r="R646" s="257">
        <f>IFERROR(IF(Q646&gt;0,Q646-(TBIcalc!$Q$9),""),"")</f>
        <v>0.64129999999999998</v>
      </c>
      <c r="S646" s="268">
        <f>IFERROR(INDEX('Ashed teabags dry'!$K$2:$K$2000,MATCH(L646,'Ashed teabags dry'!$A$2:$A$2000,0)),"")</f>
        <v>18.018433179723015</v>
      </c>
      <c r="T646" s="268">
        <f t="shared" si="52"/>
        <v>0.52574778801843625</v>
      </c>
      <c r="U646" s="258">
        <f>IF('Dry_Litterbag Placem_Collection'!E207="","",'Dry_Litterbag Placem_Collection'!E207)</f>
        <v>42942</v>
      </c>
      <c r="V646" s="258">
        <f>IF('Dry_Litterbag Placem_Collection'!G207="","",'Dry_Litterbag Placem_Collection'!G207)</f>
        <v>43004</v>
      </c>
      <c r="W646" s="259">
        <f t="shared" si="50"/>
        <v>62</v>
      </c>
      <c r="X646" s="257">
        <f t="shared" si="53"/>
        <v>1.2508999999999999</v>
      </c>
      <c r="Y646" s="257">
        <f t="shared" si="54"/>
        <v>1.2621018158438027</v>
      </c>
      <c r="Z646" s="261">
        <f>IFERROR(INDEX([3]Rainfall_Dry!$O$2:$O$217,MATCH(C646, [3]Rainfall_Dry!$A$2:$A$217,0)),"")</f>
        <v>171.84818423999999</v>
      </c>
      <c r="AA646" s="250">
        <v>45.96</v>
      </c>
      <c r="AB646" s="250">
        <v>14.920000000000003</v>
      </c>
      <c r="AC646" s="250">
        <v>39.119999999999997</v>
      </c>
      <c r="AD646" s="251" t="s">
        <v>2654</v>
      </c>
      <c r="AE646" s="250">
        <v>2.0374568753080333</v>
      </c>
      <c r="AF646">
        <f>IF('WetLitterbags placem_collection'!AB207="","",'WetLitterbags placem_collection'!AB207)</f>
        <v>5.13</v>
      </c>
      <c r="AG646">
        <f>IF('WetLitterbags placem_collection'!Z207="","",'WetLitterbags placem_collection'!Z207)</f>
        <v>5.13</v>
      </c>
      <c r="AH646" s="236" t="str">
        <f>IF('WetLitterbags placem_collection'!AA207="","",'WetLitterbags placem_collection'!AA207)</f>
        <v>O</v>
      </c>
      <c r="AI646">
        <f>IF('WetLitterbags placem_collection'!AC207="","",'WetLitterbags placem_collection'!AC207)</f>
        <v>1</v>
      </c>
      <c r="AJ646">
        <f>IFERROR(AVERAGE('Dry_Litterbag Placem_Collection'!O207,'Dry_Litterbag Placem_Collection'!R207),"")</f>
        <v>7.9499999999999993</v>
      </c>
      <c r="AK646" s="261">
        <f>IFERROR(AVERAGE('Dry_Litterbag Placem_Collection'!N207,'Dry_Litterbag Placem_Collection'!Q207),"")</f>
        <v>29.05</v>
      </c>
      <c r="AL646">
        <v>-2.4396450349999999</v>
      </c>
      <c r="AM646">
        <v>34.83836599</v>
      </c>
      <c r="AN646" s="260" t="str">
        <f>IF(ISNUMBER(SEARCH("C", 'Dry_Litterbag Placem_Collection'!U207)),"YES","NO")</f>
        <v>NO</v>
      </c>
      <c r="AO646" s="260" t="str">
        <f>IF(ISNUMBER(SEARCH("H", 'Dry_Litterbag Placem_Collection'!U207)),"YES","NO")</f>
        <v>NO</v>
      </c>
      <c r="AP646" s="260" t="str">
        <f>IF(ISNUMBER(SEARCH("R", 'Dry_Litterbag Placem_Collection'!U207)),"YES","NO")</f>
        <v>YES</v>
      </c>
    </row>
    <row r="647" spans="1:42" ht="15" customHeight="1">
      <c r="A647" t="s">
        <v>2490</v>
      </c>
      <c r="B647" s="252" t="s">
        <v>2643</v>
      </c>
      <c r="C647" s="253">
        <f>'Dry_Litterbag Placem_Collection'!A208</f>
        <v>206</v>
      </c>
      <c r="D647" s="253" t="str">
        <f>'Dry_Litterbag Placem_Collection'!B208</f>
        <v xml:space="preserve">Mwantimba
</v>
      </c>
      <c r="E647" s="253" t="s">
        <v>2454</v>
      </c>
      <c r="F647" s="253" t="s">
        <v>2644</v>
      </c>
      <c r="G647" s="253">
        <v>1</v>
      </c>
      <c r="H647" s="253" t="s">
        <v>3118</v>
      </c>
      <c r="I647" s="254" t="str">
        <f>'Dry_Litterbag Placem_Collection'!C208</f>
        <v>Wet_Ag2_CG1</v>
      </c>
      <c r="J647" s="263" t="s">
        <v>2932</v>
      </c>
      <c r="K647" s="256" t="s">
        <v>1147</v>
      </c>
      <c r="L647" s="253" t="str">
        <f>IF(ISBLANK('Dry_Litterbag Placem_Collection'!L208),"","G"&amp;""&amp;'Dry_Litterbag Placem_Collection'!L208)</f>
        <v>G262</v>
      </c>
      <c r="M647" s="257">
        <f>IFERROR(INDEX('Green_rooibos initial weight'!$C$5:$C$2000,MATCH(L647, 'Green_rooibos initial weight'!$A$5:$A$2000,0)),"")</f>
        <v>2.012</v>
      </c>
      <c r="N647" s="257">
        <f>IFERROR(M647-(TBIcalc!$Q$9+TBIcalc!$Q$10),"")</f>
        <v>1.7622</v>
      </c>
      <c r="O647" s="378">
        <f>AVERAGE(Ashed_controlls!$K$2:$K$11)</f>
        <v>5.5147656768714146</v>
      </c>
      <c r="P647" s="257">
        <f t="shared" si="51"/>
        <v>1.6650187992421719</v>
      </c>
      <c r="Q647" s="257">
        <f>IFERROR(INDEX('Both teabags AfterDry'!$D$2:$D$2000,MATCH(L647,'Both teabags AfterDry'!$A$2:$A$2000,0)),"")</f>
        <v>0.59640000000000004</v>
      </c>
      <c r="R647" s="257">
        <f>IFERROR(IF(Q647&gt;0,Q647-(TBIcalc!$Q$9),""),"")</f>
        <v>0.44580000000000003</v>
      </c>
      <c r="S647" s="268">
        <f>IFERROR(INDEX('Ashed teabags dry'!$K$2:$K$2000,MATCH(L647,'Ashed teabags dry'!$A$2:$A$2000,0)),"")</f>
        <v>18.61042183622844</v>
      </c>
      <c r="T647" s="268">
        <f t="shared" si="52"/>
        <v>0.36283473945409361</v>
      </c>
      <c r="U647" s="258">
        <f>IF('Dry_Litterbag Placem_Collection'!E208="","",'Dry_Litterbag Placem_Collection'!E208)</f>
        <v>42942</v>
      </c>
      <c r="V647" s="258">
        <f>IF('Dry_Litterbag Placem_Collection'!G208="","",'Dry_Litterbag Placem_Collection'!G208)</f>
        <v>43004</v>
      </c>
      <c r="W647" s="259">
        <f t="shared" si="50"/>
        <v>62</v>
      </c>
      <c r="X647" s="257">
        <f t="shared" si="53"/>
        <v>1.3164</v>
      </c>
      <c r="Y647" s="257">
        <f t="shared" si="54"/>
        <v>1.3021840597880783</v>
      </c>
      <c r="Z647" s="261">
        <f>IFERROR(INDEX([3]Rainfall_Dry!$O$2:$O$217,MATCH(C647, [3]Rainfall_Dry!$A$2:$A$217,0)),"")</f>
        <v>171.84818423999999</v>
      </c>
      <c r="AA647" s="250">
        <v>34.344660194174757</v>
      </c>
      <c r="AB647" s="250">
        <v>19.22727272727273</v>
      </c>
      <c r="AC647" s="250">
        <v>46.428067078552509</v>
      </c>
      <c r="AD647" s="251" t="s">
        <v>2651</v>
      </c>
      <c r="AE647" s="250">
        <v>1.7452932479053718</v>
      </c>
      <c r="AF647">
        <f>IF('WetLitterbags placem_collection'!AB208="","",'WetLitterbags placem_collection'!AB208)</f>
        <v>13.8</v>
      </c>
      <c r="AG647">
        <f>IF('WetLitterbags placem_collection'!Z208="","",'WetLitterbags placem_collection'!Z208)</f>
        <v>17.399999999999999</v>
      </c>
      <c r="AH647" s="236" t="str">
        <f>IF('WetLitterbags placem_collection'!AA208="","",'WetLitterbags placem_collection'!AA208)</f>
        <v>O</v>
      </c>
      <c r="AI647">
        <f>IF('WetLitterbags placem_collection'!AC208="","",'WetLitterbags placem_collection'!AC208)</f>
        <v>1</v>
      </c>
      <c r="AJ647">
        <f>IFERROR(AVERAGE('Dry_Litterbag Placem_Collection'!O208,'Dry_Litterbag Placem_Collection'!R208),"")</f>
        <v>6.4</v>
      </c>
      <c r="AK647" s="261">
        <f>IFERROR(AVERAGE('Dry_Litterbag Placem_Collection'!N208,'Dry_Litterbag Placem_Collection'!Q208),"")</f>
        <v>27.799999999999997</v>
      </c>
      <c r="AL647">
        <v>-2.439403972</v>
      </c>
      <c r="AM647">
        <v>34.838404959999998</v>
      </c>
      <c r="AN647" s="260" t="str">
        <f>IF(ISNUMBER(SEARCH("C", 'Dry_Litterbag Placem_Collection'!U208)),"YES","NO")</f>
        <v>NO</v>
      </c>
      <c r="AO647" s="260" t="str">
        <f>IF(ISNUMBER(SEARCH("H", 'Dry_Litterbag Placem_Collection'!U208)),"YES","NO")</f>
        <v>NO</v>
      </c>
      <c r="AP647" s="260" t="str">
        <f>IF(ISNUMBER(SEARCH("R", 'Dry_Litterbag Placem_Collection'!U208)),"YES","NO")</f>
        <v>YES</v>
      </c>
    </row>
    <row r="648" spans="1:42" ht="15" customHeight="1">
      <c r="A648" t="s">
        <v>2490</v>
      </c>
      <c r="B648" s="252" t="s">
        <v>2643</v>
      </c>
      <c r="C648" s="253">
        <f>'Dry_Litterbag Placem_Collection'!A209</f>
        <v>207</v>
      </c>
      <c r="D648" s="253" t="str">
        <f>'Dry_Litterbag Placem_Collection'!B209</f>
        <v xml:space="preserve">Mwantimba
</v>
      </c>
      <c r="E648" s="253" t="s">
        <v>2454</v>
      </c>
      <c r="F648" s="253" t="s">
        <v>2644</v>
      </c>
      <c r="G648" s="253">
        <v>4</v>
      </c>
      <c r="H648" s="253" t="s">
        <v>3119</v>
      </c>
      <c r="I648" s="254" t="str">
        <f>'Dry_Litterbag Placem_Collection'!C209</f>
        <v>Wet_Ag3_CG4</v>
      </c>
      <c r="J648" s="263" t="s">
        <v>2932</v>
      </c>
      <c r="K648" s="256" t="s">
        <v>1147</v>
      </c>
      <c r="L648" s="253" t="str">
        <f>IF(ISBLANK('Dry_Litterbag Placem_Collection'!L209),"","G"&amp;""&amp;'Dry_Litterbag Placem_Collection'!L209)</f>
        <v>G230</v>
      </c>
      <c r="M648" s="257">
        <f>IFERROR(INDEX('Green_rooibos initial weight'!$C$5:$C$2000,MATCH(L648, 'Green_rooibos initial weight'!$A$5:$A$2000,0)),"")</f>
        <v>2.0030000000000001</v>
      </c>
      <c r="N648" s="257">
        <f>IFERROR(M648-(TBIcalc!$Q$9+TBIcalc!$Q$10),"")</f>
        <v>1.7532000000000001</v>
      </c>
      <c r="O648" s="378">
        <f>AVERAGE(Ashed_controlls!$K$2:$K$11)</f>
        <v>5.5147656768714146</v>
      </c>
      <c r="P648" s="257">
        <f t="shared" si="51"/>
        <v>1.6565151281530905</v>
      </c>
      <c r="Q648" s="257">
        <f>IFERROR(INDEX('Both teabags AfterDry'!$D$2:$D$2000,MATCH(L648,'Both teabags AfterDry'!$A$2:$A$2000,0)),"")</f>
        <v>0.73299999999999998</v>
      </c>
      <c r="R648" s="257">
        <f>IFERROR(IF(Q648&gt;0,Q648-(TBIcalc!$Q$9),""),"")</f>
        <v>0.58240000000000003</v>
      </c>
      <c r="S648" s="268">
        <f>IFERROR(INDEX('Ashed teabags dry'!$K$2:$K$2000,MATCH(L648,'Ashed teabags dry'!$A$2:$A$2000,0)),"")</f>
        <v>20.488997555012073</v>
      </c>
      <c r="T648" s="268">
        <f t="shared" si="52"/>
        <v>0.46307207823960972</v>
      </c>
      <c r="U648" s="258">
        <f>IF('Dry_Litterbag Placem_Collection'!E209="","",'Dry_Litterbag Placem_Collection'!E209)</f>
        <v>42942</v>
      </c>
      <c r="V648" s="258">
        <f>IF('Dry_Litterbag Placem_Collection'!G209="","",'Dry_Litterbag Placem_Collection'!G209)</f>
        <v>43004</v>
      </c>
      <c r="W648" s="259">
        <f t="shared" si="50"/>
        <v>62</v>
      </c>
      <c r="X648" s="257">
        <f t="shared" si="53"/>
        <v>1.1708000000000001</v>
      </c>
      <c r="Y648" s="257">
        <f t="shared" si="54"/>
        <v>1.1934430499134807</v>
      </c>
      <c r="Z648" s="261">
        <f>IFERROR(INDEX([3]Rainfall_Dry!$O$2:$O$217,MATCH(C648, [3]Rainfall_Dry!$A$2:$A$217,0)),"")</f>
        <v>171.84818423999999</v>
      </c>
      <c r="AA648" s="250">
        <v>27.96</v>
      </c>
      <c r="AB648" s="250">
        <v>4.9200000000000017</v>
      </c>
      <c r="AC648" s="250">
        <v>67.12</v>
      </c>
      <c r="AD648" s="251" t="s">
        <v>2651</v>
      </c>
      <c r="AE648" s="250">
        <v>0.88610152784622953</v>
      </c>
      <c r="AF648">
        <f>IF('WetLitterbags placem_collection'!AB209="","",'WetLitterbags placem_collection'!AB209)</f>
        <v>15.2</v>
      </c>
      <c r="AG648">
        <f>IF('WetLitterbags placem_collection'!Z209="","",'WetLitterbags placem_collection'!Z209)</f>
        <v>12.2</v>
      </c>
      <c r="AH648" s="236" t="str">
        <f>IF('WetLitterbags placem_collection'!AA209="","",'WetLitterbags placem_collection'!AA209)</f>
        <v>O</v>
      </c>
      <c r="AI648">
        <f>IF('WetLitterbags placem_collection'!AC209="","",'WetLitterbags placem_collection'!AC209)</f>
        <v>1</v>
      </c>
      <c r="AJ648">
        <f>IFERROR(AVERAGE('Dry_Litterbag Placem_Collection'!O209,'Dry_Litterbag Placem_Collection'!R209),"")</f>
        <v>4.3</v>
      </c>
      <c r="AK648" s="261">
        <f>IFERROR(AVERAGE('Dry_Litterbag Placem_Collection'!N209,'Dry_Litterbag Placem_Collection'!Q209),"")</f>
        <v>29.6</v>
      </c>
      <c r="AL648">
        <v>-2.4396949910000001</v>
      </c>
      <c r="AM648">
        <v>34.838574029999997</v>
      </c>
      <c r="AN648" s="260" t="str">
        <f>IF(ISNUMBER(SEARCH("C", 'Dry_Litterbag Placem_Collection'!U209)),"YES","NO")</f>
        <v>NO</v>
      </c>
      <c r="AO648" s="260" t="str">
        <f>IF(ISNUMBER(SEARCH("H", 'Dry_Litterbag Placem_Collection'!U209)),"YES","NO")</f>
        <v>NO</v>
      </c>
      <c r="AP648" s="260" t="str">
        <f>IF(ISNUMBER(SEARCH("R", 'Dry_Litterbag Placem_Collection'!U209)),"YES","NO")</f>
        <v>NO</v>
      </c>
    </row>
    <row r="649" spans="1:42" ht="15" customHeight="1">
      <c r="A649" t="s">
        <v>2490</v>
      </c>
      <c r="B649" s="252" t="s">
        <v>2643</v>
      </c>
      <c r="C649" s="253">
        <f>'Dry_Litterbag Placem_Collection'!A210</f>
        <v>208</v>
      </c>
      <c r="D649" s="253" t="str">
        <f>'Dry_Litterbag Placem_Collection'!B210</f>
        <v xml:space="preserve">Mwantimba
</v>
      </c>
      <c r="E649" s="253" t="s">
        <v>2454</v>
      </c>
      <c r="F649" s="253" t="s">
        <v>2644</v>
      </c>
      <c r="G649" s="253">
        <v>3</v>
      </c>
      <c r="H649" s="253" t="s">
        <v>3120</v>
      </c>
      <c r="I649" s="254" t="str">
        <f>'Dry_Litterbag Placem_Collection'!C210</f>
        <v>Wet_Ag4_CG3</v>
      </c>
      <c r="J649" s="263" t="s">
        <v>2932</v>
      </c>
      <c r="K649" s="256" t="s">
        <v>1147</v>
      </c>
      <c r="L649" s="253" t="str">
        <f>IF(ISBLANK('Dry_Litterbag Placem_Collection'!L210),"","G"&amp;""&amp;'Dry_Litterbag Placem_Collection'!L210)</f>
        <v>G140</v>
      </c>
      <c r="M649" s="257">
        <f>IFERROR(INDEX('Green_rooibos initial weight'!$C$5:$C$2000,MATCH(L649, 'Green_rooibos initial weight'!$A$5:$A$2000,0)),"")</f>
        <v>2.0590000000000002</v>
      </c>
      <c r="N649" s="257">
        <f>IFERROR(M649-(TBIcalc!$Q$9+TBIcalc!$Q$10),"")</f>
        <v>1.8092000000000001</v>
      </c>
      <c r="O649" s="378">
        <f>AVERAGE(Ashed_controlls!$K$2:$K$11)</f>
        <v>5.5147656768714146</v>
      </c>
      <c r="P649" s="257">
        <f t="shared" si="51"/>
        <v>1.7094268593740425</v>
      </c>
      <c r="Q649" s="257">
        <f>IFERROR(INDEX('Both teabags AfterDry'!$D$2:$D$2000,MATCH(L649,'Both teabags AfterDry'!$A$2:$A$2000,0)),"")</f>
        <v>0.74199999999999999</v>
      </c>
      <c r="R649" s="257">
        <f>IFERROR(IF(Q649&gt;0,Q649-(TBIcalc!$Q$9),""),"")</f>
        <v>0.59139999999999993</v>
      </c>
      <c r="S649" s="268">
        <f>IFERROR(INDEX('Ashed teabags dry'!$K$2:$K$2000,MATCH(L649,'Ashed teabags dry'!$A$2:$A$2000,0)),"")</f>
        <v>20.585365853658182</v>
      </c>
      <c r="T649" s="268">
        <f t="shared" si="52"/>
        <v>0.46965814634146547</v>
      </c>
      <c r="U649" s="258">
        <f>IF('Dry_Litterbag Placem_Collection'!E210="","",'Dry_Litterbag Placem_Collection'!E210)</f>
        <v>42942</v>
      </c>
      <c r="V649" s="258">
        <f>IF('Dry_Litterbag Placem_Collection'!G210="","",'Dry_Litterbag Placem_Collection'!G210)</f>
        <v>43004</v>
      </c>
      <c r="W649" s="259">
        <f t="shared" si="50"/>
        <v>62</v>
      </c>
      <c r="X649" s="257">
        <f t="shared" si="53"/>
        <v>1.2178000000000002</v>
      </c>
      <c r="Y649" s="257">
        <f t="shared" si="54"/>
        <v>1.239768713032577</v>
      </c>
      <c r="Z649" s="261">
        <f>IFERROR(INDEX([3]Rainfall_Dry!$O$2:$O$217,MATCH(C649, [3]Rainfall_Dry!$A$2:$A$217,0)),"")</f>
        <v>171.84818423999999</v>
      </c>
      <c r="AA649" s="250">
        <v>17.96</v>
      </c>
      <c r="AB649" s="250">
        <v>4.9199999999999982</v>
      </c>
      <c r="AC649" s="250">
        <v>77.12</v>
      </c>
      <c r="AD649" s="251" t="s">
        <v>2652</v>
      </c>
      <c r="AE649" s="250">
        <v>2.0220798422868409</v>
      </c>
      <c r="AF649">
        <f>IF('WetLitterbags placem_collection'!AB210="","",'WetLitterbags placem_collection'!AB210)</f>
        <v>7.9</v>
      </c>
      <c r="AG649">
        <f>IF('WetLitterbags placem_collection'!Z210="","",'WetLitterbags placem_collection'!Z210)</f>
        <v>7.9</v>
      </c>
      <c r="AH649" s="236" t="str">
        <f>IF('WetLitterbags placem_collection'!AA210="","",'WetLitterbags placem_collection'!AA210)</f>
        <v>O</v>
      </c>
      <c r="AI649">
        <f>IF('WetLitterbags placem_collection'!AC210="","",'WetLitterbags placem_collection'!AC210)</f>
        <v>1</v>
      </c>
      <c r="AJ649">
        <f>IFERROR(AVERAGE('Dry_Litterbag Placem_Collection'!O210,'Dry_Litterbag Placem_Collection'!R210),"")</f>
        <v>6.2</v>
      </c>
      <c r="AK649" s="261">
        <f>IFERROR(AVERAGE('Dry_Litterbag Placem_Collection'!N210,'Dry_Litterbag Placem_Collection'!Q210),"")</f>
        <v>29.1</v>
      </c>
      <c r="AL649">
        <v>-2.4395990190000001</v>
      </c>
      <c r="AM649">
        <v>34.838418959999998</v>
      </c>
      <c r="AN649" s="260" t="str">
        <f>IF(ISNUMBER(SEARCH("C", 'Dry_Litterbag Placem_Collection'!U210)),"YES","NO")</f>
        <v>NO</v>
      </c>
      <c r="AO649" s="260" t="str">
        <f>IF(ISNUMBER(SEARCH("H", 'Dry_Litterbag Placem_Collection'!U210)),"YES","NO")</f>
        <v>NO</v>
      </c>
      <c r="AP649" s="260" t="str">
        <f>IF(ISNUMBER(SEARCH("R", 'Dry_Litterbag Placem_Collection'!U210)),"YES","NO")</f>
        <v>YES</v>
      </c>
    </row>
    <row r="650" spans="1:42" ht="15" customHeight="1">
      <c r="A650" t="s">
        <v>2490</v>
      </c>
      <c r="B650" s="252" t="s">
        <v>2643</v>
      </c>
      <c r="C650" s="253">
        <f>'Dry_Litterbag Placem_Collection'!A211</f>
        <v>209</v>
      </c>
      <c r="D650" s="253" t="str">
        <f>'Dry_Litterbag Placem_Collection'!B211</f>
        <v xml:space="preserve">Mwantimba
</v>
      </c>
      <c r="E650" s="253" t="s">
        <v>2454</v>
      </c>
      <c r="F650" s="253" t="s">
        <v>20</v>
      </c>
      <c r="G650" s="253">
        <v>2</v>
      </c>
      <c r="H650" s="253" t="s">
        <v>3121</v>
      </c>
      <c r="I650" s="254" t="str">
        <f>'Dry_Litterbag Placem_Collection'!C211</f>
        <v>Wet_P1_CG2</v>
      </c>
      <c r="J650" s="263" t="s">
        <v>2932</v>
      </c>
      <c r="K650" s="256" t="s">
        <v>1147</v>
      </c>
      <c r="L650" s="253" t="str">
        <f>IF(ISBLANK('Dry_Litterbag Placem_Collection'!L211),"","G"&amp;""&amp;'Dry_Litterbag Placem_Collection'!L211)</f>
        <v>G92</v>
      </c>
      <c r="M650" s="257">
        <f>IFERROR(INDEX('Green_rooibos initial weight'!$C$5:$C$2000,MATCH(L650, 'Green_rooibos initial weight'!$A$5:$A$2000,0)),"")</f>
        <v>2.1930000000000001</v>
      </c>
      <c r="N650" s="257">
        <f>IFERROR(M650-(TBIcalc!$Q$9+TBIcalc!$Q$10),"")</f>
        <v>1.9432</v>
      </c>
      <c r="O650" s="378">
        <f>AVERAGE(Ashed_controlls!$K$2:$K$11)</f>
        <v>5.5147656768714146</v>
      </c>
      <c r="P650" s="257">
        <f t="shared" si="51"/>
        <v>1.8360370733670348</v>
      </c>
      <c r="Q650" s="257">
        <f>IFERROR(INDEX('Both teabags AfterDry'!$D$2:$D$2000,MATCH(L650,'Both teabags AfterDry'!$A$2:$A$2000,0)),"")</f>
        <v>0.73619999999999997</v>
      </c>
      <c r="R650" s="257">
        <f>IFERROR(IF(Q650&gt;0,Q650-(TBIcalc!$Q$9),""),"")</f>
        <v>0.5855999999999999</v>
      </c>
      <c r="S650" s="268">
        <f>IFERROR(INDEX('Ashed teabags dry'!$K$2:$K$2000,MATCH(L650,'Ashed teabags dry'!$A$2:$A$2000,0)),"")</f>
        <v>17.387081107333806</v>
      </c>
      <c r="T650" s="268">
        <f t="shared" si="52"/>
        <v>0.48378125303545316</v>
      </c>
      <c r="U650" s="258">
        <f>IF('Dry_Litterbag Placem_Collection'!E211="","",'Dry_Litterbag Placem_Collection'!E211)</f>
        <v>42942</v>
      </c>
      <c r="V650" s="258">
        <f>IF('Dry_Litterbag Placem_Collection'!G211="","",'Dry_Litterbag Placem_Collection'!G211)</f>
        <v>43004</v>
      </c>
      <c r="W650" s="259">
        <f t="shared" si="50"/>
        <v>62</v>
      </c>
      <c r="X650" s="257">
        <f t="shared" si="53"/>
        <v>1.3576000000000001</v>
      </c>
      <c r="Y650" s="257">
        <f t="shared" si="54"/>
        <v>1.3522558203315818</v>
      </c>
      <c r="Z650" s="261">
        <f>IFERROR(INDEX([3]Rainfall_Dry!$O$2:$O$217,MATCH(C650, [3]Rainfall_Dry!$A$2:$A$217,0)),"")</f>
        <v>171.84818423999999</v>
      </c>
      <c r="AA650" s="250">
        <v>31.214836424255054</v>
      </c>
      <c r="AB650" s="250">
        <v>11.377370285476141</v>
      </c>
      <c r="AC650" s="250">
        <v>57.407793290268799</v>
      </c>
      <c r="AD650" s="251" t="s">
        <v>2651</v>
      </c>
      <c r="AE650" s="250">
        <v>1.7337604731394776</v>
      </c>
      <c r="AF650">
        <f>IF('WetLitterbags placem_collection'!AB211="","",'WetLitterbags placem_collection'!AB211)</f>
        <v>5.13</v>
      </c>
      <c r="AG650">
        <f>IF('WetLitterbags placem_collection'!Z211="","",'WetLitterbags placem_collection'!Z211)</f>
        <v>5.13</v>
      </c>
      <c r="AH650" s="236" t="str">
        <f>IF('WetLitterbags placem_collection'!AA211="","",'WetLitterbags placem_collection'!AA211)</f>
        <v>O</v>
      </c>
      <c r="AI650">
        <f>IF('WetLitterbags placem_collection'!AC211="","",'WetLitterbags placem_collection'!AC211)</f>
        <v>1</v>
      </c>
      <c r="AJ650">
        <f>IFERROR(AVERAGE('Dry_Litterbag Placem_Collection'!O211,'Dry_Litterbag Placem_Collection'!R211),"")</f>
        <v>8.6000000000000014</v>
      </c>
      <c r="AK650" s="261">
        <f>IFERROR(AVERAGE('Dry_Litterbag Placem_Collection'!N211,'Dry_Litterbag Placem_Collection'!Q211),"")</f>
        <v>29.6</v>
      </c>
      <c r="AL650">
        <v>-2.4396450349999999</v>
      </c>
      <c r="AM650">
        <v>34.83836599</v>
      </c>
      <c r="AN650" s="260" t="str">
        <f>IF(ISNUMBER(SEARCH("C", 'Dry_Litterbag Placem_Collection'!U211)),"YES","NO")</f>
        <v>NO</v>
      </c>
      <c r="AO650" s="260" t="str">
        <f>IF(ISNUMBER(SEARCH("H", 'Dry_Litterbag Placem_Collection'!U211)),"YES","NO")</f>
        <v>NO</v>
      </c>
      <c r="AP650" s="260" t="str">
        <f>IF(ISNUMBER(SEARCH("R", 'Dry_Litterbag Placem_Collection'!U211)),"YES","NO")</f>
        <v>YES</v>
      </c>
    </row>
    <row r="651" spans="1:42" ht="15" customHeight="1">
      <c r="A651" t="s">
        <v>2490</v>
      </c>
      <c r="B651" s="252" t="s">
        <v>2643</v>
      </c>
      <c r="C651" s="253">
        <f>'Dry_Litterbag Placem_Collection'!A212</f>
        <v>210</v>
      </c>
      <c r="D651" s="253" t="str">
        <f>'Dry_Litterbag Placem_Collection'!B212</f>
        <v xml:space="preserve">Mwantimba
</v>
      </c>
      <c r="E651" s="253" t="s">
        <v>2454</v>
      </c>
      <c r="F651" s="253" t="s">
        <v>20</v>
      </c>
      <c r="G651" s="253">
        <v>4</v>
      </c>
      <c r="H651" s="253" t="s">
        <v>3123</v>
      </c>
      <c r="I651" s="254" t="str">
        <f>'Dry_Litterbag Placem_Collection'!C212</f>
        <v>Wet_P2_CG4</v>
      </c>
      <c r="J651" s="263" t="s">
        <v>2932</v>
      </c>
      <c r="K651" s="256" t="s">
        <v>1147</v>
      </c>
      <c r="L651" s="253" t="str">
        <f>IF(ISBLANK('Dry_Litterbag Placem_Collection'!L212),"","G"&amp;""&amp;'Dry_Litterbag Placem_Collection'!L212)</f>
        <v>G36</v>
      </c>
      <c r="M651" s="257">
        <f>IFERROR(INDEX('Green_rooibos initial weight'!$C$5:$C$2000,MATCH(L651, 'Green_rooibos initial weight'!$A$5:$A$2000,0)),"")</f>
        <v>2.1429999999999998</v>
      </c>
      <c r="N651" s="257">
        <f>IFERROR(M651-(TBIcalc!$Q$9+TBIcalc!$Q$10),"")</f>
        <v>1.8931999999999998</v>
      </c>
      <c r="O651" s="378">
        <f>AVERAGE(Ashed_controlls!$K$2:$K$11)</f>
        <v>5.5147656768714146</v>
      </c>
      <c r="P651" s="257">
        <f t="shared" si="51"/>
        <v>1.7887944562054701</v>
      </c>
      <c r="Q651" s="257">
        <f>IFERROR(INDEX('Both teabags AfterDry'!$D$2:$D$2000,MATCH(L651,'Both teabags AfterDry'!$A$2:$A$2000,0)),"")</f>
        <v>0.84599999999999997</v>
      </c>
      <c r="R651" s="257">
        <f>IFERROR(IF(Q651&gt;0,Q651-(TBIcalc!$Q$9),""),"")</f>
        <v>0.69540000000000002</v>
      </c>
      <c r="S651" s="268">
        <f>IFERROR(INDEX('Ashed teabags dry'!$K$2:$K$2000,MATCH(L651,'Ashed teabags dry'!$A$2:$A$2000,0)),"")</f>
        <v>19.173412867490324</v>
      </c>
      <c r="T651" s="268">
        <f t="shared" si="52"/>
        <v>0.5620680869194723</v>
      </c>
      <c r="U651" s="258">
        <f>IF('Dry_Litterbag Placem_Collection'!E212="","",'Dry_Litterbag Placem_Collection'!E212)</f>
        <v>42942</v>
      </c>
      <c r="V651" s="258">
        <f>IF('Dry_Litterbag Placem_Collection'!G212="","",'Dry_Litterbag Placem_Collection'!G212)</f>
        <v>43004</v>
      </c>
      <c r="W651" s="259">
        <f t="shared" si="50"/>
        <v>62</v>
      </c>
      <c r="X651" s="257">
        <f t="shared" si="53"/>
        <v>1.1977999999999998</v>
      </c>
      <c r="Y651" s="257">
        <f t="shared" si="54"/>
        <v>1.2267263692859978</v>
      </c>
      <c r="Z651" s="261">
        <f>IFERROR(INDEX([3]Rainfall_Dry!$O$2:$O$217,MATCH(C651, [3]Rainfall_Dry!$A$2:$A$217,0)),"")</f>
        <v>171.84818423999999</v>
      </c>
      <c r="AA651" s="250">
        <v>33.96</v>
      </c>
      <c r="AB651" s="250">
        <v>8.9200000000000017</v>
      </c>
      <c r="AC651" s="250">
        <v>57.12</v>
      </c>
      <c r="AD651" s="251" t="s">
        <v>2651</v>
      </c>
      <c r="AE651" s="250">
        <v>2.072055199605717</v>
      </c>
      <c r="AF651">
        <f>IF('WetLitterbags placem_collection'!AB212="","",'WetLitterbags placem_collection'!AB212)</f>
        <v>15.2</v>
      </c>
      <c r="AG651">
        <f>IF('WetLitterbags placem_collection'!Z212="","",'WetLitterbags placem_collection'!Z212)</f>
        <v>12.2</v>
      </c>
      <c r="AH651" s="236" t="str">
        <f>IF('WetLitterbags placem_collection'!AA212="","",'WetLitterbags placem_collection'!AA212)</f>
        <v>O</v>
      </c>
      <c r="AI651">
        <f>IF('WetLitterbags placem_collection'!AC212="","",'WetLitterbags placem_collection'!AC212)</f>
        <v>1</v>
      </c>
      <c r="AJ651">
        <f>IFERROR(AVERAGE('Dry_Litterbag Placem_Collection'!O212,'Dry_Litterbag Placem_Collection'!R212),"")</f>
        <v>6.1</v>
      </c>
      <c r="AK651" s="261">
        <f>IFERROR(AVERAGE('Dry_Litterbag Placem_Collection'!N212,'Dry_Litterbag Placem_Collection'!Q212),"")</f>
        <v>27.5</v>
      </c>
      <c r="AL651">
        <v>-2.4396949910000001</v>
      </c>
      <c r="AM651">
        <v>34.838574029999997</v>
      </c>
      <c r="AN651" s="260" t="str">
        <f>IF(ISNUMBER(SEARCH("C", 'Dry_Litterbag Placem_Collection'!U212)),"YES","NO")</f>
        <v>NO</v>
      </c>
      <c r="AO651" s="260" t="str">
        <f>IF(ISNUMBER(SEARCH("H", 'Dry_Litterbag Placem_Collection'!U212)),"YES","NO")</f>
        <v>NO</v>
      </c>
      <c r="AP651" s="260" t="str">
        <f>IF(ISNUMBER(SEARCH("R", 'Dry_Litterbag Placem_Collection'!U212)),"YES","NO")</f>
        <v>NO</v>
      </c>
    </row>
    <row r="652" spans="1:42" ht="15" customHeight="1">
      <c r="A652" t="s">
        <v>2490</v>
      </c>
      <c r="B652" s="252" t="s">
        <v>2643</v>
      </c>
      <c r="C652" s="253">
        <f>'Dry_Litterbag Placem_Collection'!A213</f>
        <v>211</v>
      </c>
      <c r="D652" s="253" t="str">
        <f>'Dry_Litterbag Placem_Collection'!B213</f>
        <v xml:space="preserve">Mwantimba
</v>
      </c>
      <c r="E652" s="253" t="s">
        <v>2454</v>
      </c>
      <c r="F652" s="253" t="s">
        <v>20</v>
      </c>
      <c r="G652" s="253">
        <v>1</v>
      </c>
      <c r="H652" s="253" t="s">
        <v>3124</v>
      </c>
      <c r="I652" s="254" t="str">
        <f>'Dry_Litterbag Placem_Collection'!C213</f>
        <v>Wet_P3_CG1</v>
      </c>
      <c r="J652" s="263" t="s">
        <v>2932</v>
      </c>
      <c r="K652" s="256" t="s">
        <v>1147</v>
      </c>
      <c r="L652" s="253" t="str">
        <f>IF(ISBLANK('Dry_Litterbag Placem_Collection'!L213),"","G"&amp;""&amp;'Dry_Litterbag Placem_Collection'!L213)</f>
        <v>G434</v>
      </c>
      <c r="M652" s="257">
        <f>IFERROR(INDEX('Green_rooibos initial weight'!$C$5:$C$2000,MATCH(L652, 'Green_rooibos initial weight'!$A$5:$A$2000,0)),"")</f>
        <v>2.0339999999999998</v>
      </c>
      <c r="N652" s="257">
        <f>IFERROR(M652-(TBIcalc!$Q$9+TBIcalc!$Q$10),"")</f>
        <v>1.7841999999999998</v>
      </c>
      <c r="O652" s="378">
        <f>AVERAGE(Ashed_controlls!$K$2:$K$11)</f>
        <v>5.5147656768714146</v>
      </c>
      <c r="P652" s="257">
        <f t="shared" si="51"/>
        <v>1.6858055507932601</v>
      </c>
      <c r="Q652" s="257">
        <f>IFERROR(INDEX('Both teabags AfterDry'!$D$2:$D$2000,MATCH(L652,'Both teabags AfterDry'!$A$2:$A$2000,0)),"")</f>
        <v>0.74099999999999999</v>
      </c>
      <c r="R652" s="257">
        <f>IFERROR(IF(Q652&gt;0,Q652-(TBIcalc!$Q$9),""),"")</f>
        <v>0.59040000000000004</v>
      </c>
      <c r="S652" s="268">
        <f>IFERROR(INDEX('Ashed teabags dry'!$K$2:$K$2000,MATCH(L652,'Ashed teabags dry'!$A$2:$A$2000,0)),"")</f>
        <v>15.012106537530052</v>
      </c>
      <c r="T652" s="268">
        <f t="shared" si="52"/>
        <v>0.50176852300242258</v>
      </c>
      <c r="U652" s="258">
        <f>IF('Dry_Litterbag Placem_Collection'!E213="","",'Dry_Litterbag Placem_Collection'!E213)</f>
        <v>42942</v>
      </c>
      <c r="V652" s="258">
        <f>IF('Dry_Litterbag Placem_Collection'!G213="","",'Dry_Litterbag Placem_Collection'!G213)</f>
        <v>43004</v>
      </c>
      <c r="W652" s="259">
        <f t="shared" si="50"/>
        <v>62</v>
      </c>
      <c r="X652" s="257">
        <f t="shared" si="53"/>
        <v>1.1937999999999998</v>
      </c>
      <c r="Y652" s="257">
        <f t="shared" si="54"/>
        <v>1.1840370277908376</v>
      </c>
      <c r="Z652" s="261">
        <f>IFERROR(INDEX([3]Rainfall_Dry!$O$2:$O$217,MATCH(C652, [3]Rainfall_Dry!$A$2:$A$217,0)),"")</f>
        <v>171.84818423999999</v>
      </c>
      <c r="AA652" s="250">
        <v>39.96</v>
      </c>
      <c r="AB652" s="250">
        <v>12.920000000000002</v>
      </c>
      <c r="AC652" s="250">
        <v>47.12</v>
      </c>
      <c r="AD652" s="251" t="s">
        <v>2655</v>
      </c>
      <c r="AE652" s="250">
        <v>1.6549531789058647</v>
      </c>
      <c r="AF652">
        <f>IF('WetLitterbags placem_collection'!AB213="","",'WetLitterbags placem_collection'!AB213)</f>
        <v>13.8</v>
      </c>
      <c r="AG652">
        <f>IF('WetLitterbags placem_collection'!Z213="","",'WetLitterbags placem_collection'!Z213)</f>
        <v>17.399999999999999</v>
      </c>
      <c r="AH652" s="236" t="str">
        <f>IF('WetLitterbags placem_collection'!AA213="","",'WetLitterbags placem_collection'!AA213)</f>
        <v>O</v>
      </c>
      <c r="AI652">
        <f>IF('WetLitterbags placem_collection'!AC213="","",'WetLitterbags placem_collection'!AC213)</f>
        <v>1</v>
      </c>
      <c r="AJ652">
        <f>IFERROR(AVERAGE('Dry_Litterbag Placem_Collection'!O213,'Dry_Litterbag Placem_Collection'!R213),"")</f>
        <v>7.55</v>
      </c>
      <c r="AK652" s="261">
        <f>IFERROR(AVERAGE('Dry_Litterbag Placem_Collection'!N213,'Dry_Litterbag Placem_Collection'!Q213),"")</f>
        <v>28</v>
      </c>
      <c r="AL652">
        <v>-2.439403972</v>
      </c>
      <c r="AM652">
        <v>34.838404959999998</v>
      </c>
      <c r="AN652" s="260" t="str">
        <f>IF(ISNUMBER(SEARCH("C", 'Dry_Litterbag Placem_Collection'!U213)),"YES","NO")</f>
        <v>NO</v>
      </c>
      <c r="AO652" s="260" t="str">
        <f>IF(ISNUMBER(SEARCH("H", 'Dry_Litterbag Placem_Collection'!U213)),"YES","NO")</f>
        <v>NO</v>
      </c>
      <c r="AP652" s="260" t="str">
        <f>IF(ISNUMBER(SEARCH("R", 'Dry_Litterbag Placem_Collection'!U213)),"YES","NO")</f>
        <v>YES</v>
      </c>
    </row>
    <row r="653" spans="1:42" ht="15" customHeight="1">
      <c r="A653" t="s">
        <v>2490</v>
      </c>
      <c r="B653" s="252" t="s">
        <v>2643</v>
      </c>
      <c r="C653" s="253">
        <f>'Dry_Litterbag Placem_Collection'!A214</f>
        <v>215</v>
      </c>
      <c r="D653" s="253" t="str">
        <f>'Dry_Litterbag Placem_Collection'!B214</f>
        <v xml:space="preserve">Mwantimba
</v>
      </c>
      <c r="E653" s="253" t="s">
        <v>2454</v>
      </c>
      <c r="F653" s="253" t="s">
        <v>2645</v>
      </c>
      <c r="G653" s="253">
        <v>3</v>
      </c>
      <c r="H653" s="253" t="s">
        <v>3129</v>
      </c>
      <c r="I653" s="254" t="str">
        <f>'Dry_Litterbag Placem_Collection'!C214</f>
        <v>Wet_W3_CG1</v>
      </c>
      <c r="J653" s="263" t="s">
        <v>2932</v>
      </c>
      <c r="K653" s="256" t="s">
        <v>1147</v>
      </c>
      <c r="L653" s="253" t="str">
        <f>IF(ISBLANK('Dry_Litterbag Placem_Collection'!L214),"","G"&amp;""&amp;'Dry_Litterbag Placem_Collection'!L214)</f>
        <v>G56</v>
      </c>
      <c r="M653" s="257">
        <f>IFERROR(INDEX('Green_rooibos initial weight'!$C$5:$C$2000,MATCH(L653, 'Green_rooibos initial weight'!$A$5:$A$2000,0)),"")</f>
        <v>2.02</v>
      </c>
      <c r="N653" s="257">
        <f>IFERROR(M653-(TBIcalc!$Q$9+TBIcalc!$Q$10),"")</f>
        <v>1.7702</v>
      </c>
      <c r="O653" s="378">
        <f>AVERAGE(Ashed_controlls!$K$2:$K$11)</f>
        <v>5.5147656768714146</v>
      </c>
      <c r="P653" s="257">
        <f t="shared" si="51"/>
        <v>1.6725776179880223</v>
      </c>
      <c r="Q653" s="257">
        <f>IFERROR(INDEX('Both teabags AfterDry'!$D$2:$D$2000,MATCH(L653,'Both teabags AfterDry'!$A$2:$A$2000,0)),"")</f>
        <v>0.7238</v>
      </c>
      <c r="R653" s="257">
        <f>IFERROR(IF(Q653&gt;0,Q653-(TBIcalc!$Q$9),""),"")</f>
        <v>0.57319999999999993</v>
      </c>
      <c r="S653" s="268">
        <f>IFERROR(INDEX('Ashed teabags dry'!$K$2:$K$2000,MATCH(L653,'Ashed teabags dry'!$A$2:$A$2000,0)),"")</f>
        <v>20.311027332705713</v>
      </c>
      <c r="T653" s="268">
        <f t="shared" si="52"/>
        <v>0.4567771913289308</v>
      </c>
      <c r="U653" s="258">
        <f>IF('Dry_Litterbag Placem_Collection'!E214="","",'Dry_Litterbag Placem_Collection'!E214)</f>
        <v>42942</v>
      </c>
      <c r="V653" s="258">
        <f>IF('Dry_Litterbag Placem_Collection'!G214="","",'Dry_Litterbag Placem_Collection'!G214)</f>
        <v>43004</v>
      </c>
      <c r="W653" s="259">
        <f t="shared" si="50"/>
        <v>62</v>
      </c>
      <c r="X653" s="257">
        <f t="shared" si="53"/>
        <v>1.1970000000000001</v>
      </c>
      <c r="Y653" s="257">
        <f t="shared" si="54"/>
        <v>1.2158004266590914</v>
      </c>
      <c r="Z653" s="261" t="str">
        <f>IFERROR(INDEX([3]Rainfall_Dry!$O$2:$O$217,MATCH(C653, [3]Rainfall_Dry!$A$2:$A$217,0)),"")</f>
        <v/>
      </c>
      <c r="AA653" s="250">
        <v>27.96</v>
      </c>
      <c r="AB653" s="250">
        <v>4.9200000000000017</v>
      </c>
      <c r="AC653" s="250">
        <v>67.12</v>
      </c>
      <c r="AD653" s="251" t="s">
        <v>2651</v>
      </c>
      <c r="AE653" s="250">
        <v>1.0437161163134547</v>
      </c>
      <c r="AF653">
        <f>IF('WetLitterbags placem_collection'!AB214="","",'WetLitterbags placem_collection'!AB214)</f>
        <v>7.9</v>
      </c>
      <c r="AG653">
        <f>IF('WetLitterbags placem_collection'!Z214="","",'WetLitterbags placem_collection'!Z214)</f>
        <v>7.9</v>
      </c>
      <c r="AH653" s="236" t="str">
        <f>IF('WetLitterbags placem_collection'!AA214="","",'WetLitterbags placem_collection'!AA214)</f>
        <v>O</v>
      </c>
      <c r="AI653">
        <f>IF('WetLitterbags placem_collection'!AC214="","",'WetLitterbags placem_collection'!AC214)</f>
        <v>1</v>
      </c>
      <c r="AJ653">
        <f>IFERROR(AVERAGE('Dry_Litterbag Placem_Collection'!O214,'Dry_Litterbag Placem_Collection'!R214),"")</f>
        <v>4.3</v>
      </c>
      <c r="AK653" s="261">
        <f>IFERROR(AVERAGE('Dry_Litterbag Placem_Collection'!N214,'Dry_Litterbag Placem_Collection'!Q214),"")</f>
        <v>28.75</v>
      </c>
      <c r="AL653">
        <v>-2.4395990190000001</v>
      </c>
      <c r="AM653">
        <v>34.838418959999998</v>
      </c>
      <c r="AN653" s="260" t="str">
        <f>IF(ISNUMBER(SEARCH("C", 'Dry_Litterbag Placem_Collection'!U214)),"YES","NO")</f>
        <v>NO</v>
      </c>
      <c r="AO653" s="260" t="str">
        <f>IF(ISNUMBER(SEARCH("H", 'Dry_Litterbag Placem_Collection'!U214)),"YES","NO")</f>
        <v>NO</v>
      </c>
      <c r="AP653" s="260" t="str">
        <f>IF(ISNUMBER(SEARCH("R", 'Dry_Litterbag Placem_Collection'!U214)),"YES","NO")</f>
        <v>YES</v>
      </c>
    </row>
    <row r="654" spans="1:42" ht="15" customHeight="1">
      <c r="A654" t="s">
        <v>2490</v>
      </c>
      <c r="B654" s="252" t="s">
        <v>2643</v>
      </c>
      <c r="C654" s="253">
        <f>'Dry_Litterbag Placem_Collection'!A215</f>
        <v>212</v>
      </c>
      <c r="D654" s="253" t="str">
        <f>'Dry_Litterbag Placem_Collection'!B215</f>
        <v xml:space="preserve">Mwantimba
</v>
      </c>
      <c r="E654" s="253" t="s">
        <v>2454</v>
      </c>
      <c r="F654" s="253" t="s">
        <v>20</v>
      </c>
      <c r="G654" s="253">
        <v>4</v>
      </c>
      <c r="H654" s="253" t="s">
        <v>3125</v>
      </c>
      <c r="I654" s="254" t="str">
        <f>'Dry_Litterbag Placem_Collection'!C215</f>
        <v>Wet_P4_CG3</v>
      </c>
      <c r="J654" s="263" t="s">
        <v>2932</v>
      </c>
      <c r="K654" s="256" t="s">
        <v>1147</v>
      </c>
      <c r="L654" s="253" t="str">
        <f>IF(ISBLANK('Dry_Litterbag Placem_Collection'!L215),"","G"&amp;""&amp;'Dry_Litterbag Placem_Collection'!L215)</f>
        <v>G363</v>
      </c>
      <c r="M654" s="257">
        <f>IFERROR(INDEX('Green_rooibos initial weight'!$C$5:$C$2000,MATCH(L654, 'Green_rooibos initial weight'!$A$5:$A$2000,0)),"")</f>
        <v>2.02</v>
      </c>
      <c r="N654" s="257">
        <f>IFERROR(M654-(TBIcalc!$Q$9+TBIcalc!$Q$10),"")</f>
        <v>1.7702</v>
      </c>
      <c r="O654" s="378">
        <f>AVERAGE(Ashed_controlls!$K$2:$K$11)</f>
        <v>5.5147656768714146</v>
      </c>
      <c r="P654" s="257">
        <f t="shared" si="51"/>
        <v>1.6725776179880223</v>
      </c>
      <c r="Q654" s="257">
        <f>IFERROR(INDEX('Both teabags AfterDry'!$D$2:$D$2000,MATCH(L654,'Both teabags AfterDry'!$A$2:$A$2000,0)),"")</f>
        <v>0.753</v>
      </c>
      <c r="R654" s="257">
        <f>IFERROR(IF(Q654&gt;0,Q654-(TBIcalc!$Q$9),""),"")</f>
        <v>0.60240000000000005</v>
      </c>
      <c r="S654" s="268">
        <f>IFERROR(INDEX('Ashed teabags dry'!$K$2:$K$2000,MATCH(L654,'Ashed teabags dry'!$A$2:$A$2000,0)),"")</f>
        <v>15.347950428979985</v>
      </c>
      <c r="T654" s="268">
        <f t="shared" si="52"/>
        <v>0.50994394661582465</v>
      </c>
      <c r="U654" s="258">
        <f>IF('Dry_Litterbag Placem_Collection'!E215="","",'Dry_Litterbag Placem_Collection'!E215)</f>
        <v>42942</v>
      </c>
      <c r="V654" s="258">
        <f>IF('Dry_Litterbag Placem_Collection'!G215="","",'Dry_Litterbag Placem_Collection'!G215)</f>
        <v>43004</v>
      </c>
      <c r="W654" s="259">
        <f t="shared" si="50"/>
        <v>62</v>
      </c>
      <c r="X654" s="257">
        <f t="shared" si="53"/>
        <v>1.1677999999999999</v>
      </c>
      <c r="Y654" s="257">
        <f t="shared" si="54"/>
        <v>1.1626336713721976</v>
      </c>
      <c r="Z654" s="261">
        <f>IFERROR(INDEX([3]Rainfall_Dry!$O$2:$O$217,MATCH(C654, [3]Rainfall_Dry!$A$2:$A$217,0)),"")</f>
        <v>171.84818423999999</v>
      </c>
      <c r="AA654" s="250">
        <v>21.96</v>
      </c>
      <c r="AB654" s="250">
        <v>4.9199999999999982</v>
      </c>
      <c r="AC654" s="250">
        <v>73.12</v>
      </c>
      <c r="AD654" s="251" t="s">
        <v>2651</v>
      </c>
      <c r="AE654" s="250">
        <v>1.2416954164613114</v>
      </c>
      <c r="AF654">
        <f>IF('WetLitterbags placem_collection'!AB215="","",'WetLitterbags placem_collection'!AB215)</f>
        <v>15.2</v>
      </c>
      <c r="AG654">
        <f>IF('WetLitterbags placem_collection'!Z215="","",'WetLitterbags placem_collection'!Z215)</f>
        <v>12.2</v>
      </c>
      <c r="AH654" s="236" t="str">
        <f>IF('WetLitterbags placem_collection'!AA215="","",'WetLitterbags placem_collection'!AA215)</f>
        <v>O</v>
      </c>
      <c r="AI654">
        <f>IF('WetLitterbags placem_collection'!AC215="","",'WetLitterbags placem_collection'!AC215)</f>
        <v>1</v>
      </c>
      <c r="AJ654">
        <f>IFERROR(AVERAGE('Dry_Litterbag Placem_Collection'!O215,'Dry_Litterbag Placem_Collection'!R215),"")</f>
        <v>8.1499999999999986</v>
      </c>
      <c r="AK654" s="261">
        <f>IFERROR(AVERAGE('Dry_Litterbag Placem_Collection'!N215,'Dry_Litterbag Placem_Collection'!Q215),"")</f>
        <v>28.25</v>
      </c>
      <c r="AL654">
        <v>-2.4396949910000001</v>
      </c>
      <c r="AM654">
        <v>34.838574029999997</v>
      </c>
      <c r="AN654" s="260" t="str">
        <f>IF(ISNUMBER(SEARCH("C", 'Dry_Litterbag Placem_Collection'!U215)),"YES","NO")</f>
        <v>NO</v>
      </c>
      <c r="AO654" s="260" t="str">
        <f>IF(ISNUMBER(SEARCH("H", 'Dry_Litterbag Placem_Collection'!U215)),"YES","NO")</f>
        <v>NO</v>
      </c>
      <c r="AP654" s="260" t="str">
        <f>IF(ISNUMBER(SEARCH("R", 'Dry_Litterbag Placem_Collection'!U215)),"YES","NO")</f>
        <v>YES</v>
      </c>
    </row>
    <row r="655" spans="1:42" ht="15" customHeight="1">
      <c r="A655" t="s">
        <v>2490</v>
      </c>
      <c r="B655" s="252" t="s">
        <v>2643</v>
      </c>
      <c r="C655" s="253">
        <f>'Dry_Litterbag Placem_Collection'!A216</f>
        <v>213</v>
      </c>
      <c r="D655" s="253" t="str">
        <f>'Dry_Litterbag Placem_Collection'!B216</f>
        <v>Handajega</v>
      </c>
      <c r="E655" s="253" t="s">
        <v>2454</v>
      </c>
      <c r="F655" s="253" t="s">
        <v>2645</v>
      </c>
      <c r="G655" s="253">
        <v>3</v>
      </c>
      <c r="H655" s="253" t="s">
        <v>3126</v>
      </c>
      <c r="I655" s="254" t="str">
        <f>'Dry_Litterbag Placem_Collection'!C216</f>
        <v>Wet_W1_CG4</v>
      </c>
      <c r="J655" s="263" t="s">
        <v>2932</v>
      </c>
      <c r="K655" s="256" t="s">
        <v>1147</v>
      </c>
      <c r="L655" s="253" t="str">
        <f>IF(ISBLANK('Dry_Litterbag Placem_Collection'!L216),"","G"&amp;""&amp;'Dry_Litterbag Placem_Collection'!L216)</f>
        <v>G5</v>
      </c>
      <c r="M655" s="257">
        <f>IFERROR(INDEX('Green_rooibos initial weight'!$C$5:$C$2000,MATCH(L655, 'Green_rooibos initial weight'!$A$5:$A$2000,0)),"")</f>
        <v>2.0139999999999998</v>
      </c>
      <c r="N655" s="257">
        <f>IFERROR(M655-(TBIcalc!$Q$9+TBIcalc!$Q$10),"")</f>
        <v>1.7641999999999998</v>
      </c>
      <c r="O655" s="378">
        <f>AVERAGE(Ashed_controlls!$K$2:$K$11)</f>
        <v>5.5147656768714146</v>
      </c>
      <c r="P655" s="257">
        <f t="shared" si="51"/>
        <v>1.6669085039286342</v>
      </c>
      <c r="Q655" s="257">
        <f>IFERROR(INDEX('Both teabags AfterDry'!$D$2:$D$2000,MATCH(L655,'Both teabags AfterDry'!$A$2:$A$2000,0)),"")</f>
        <v>0.67</v>
      </c>
      <c r="R655" s="257">
        <f>IFERROR(IF(Q655&gt;0,Q655-(TBIcalc!$Q$9),""),"")</f>
        <v>0.51940000000000008</v>
      </c>
      <c r="S655" s="268">
        <f>IFERROR(INDEX('Ashed teabags dry'!$K$2:$K$2000,MATCH(L655,'Ashed teabags dry'!$A$2:$A$2000,0)),"")</f>
        <v>14.037698412698299</v>
      </c>
      <c r="T655" s="268">
        <f t="shared" si="52"/>
        <v>0.4464881944444451</v>
      </c>
      <c r="U655" s="258">
        <f>IF('Dry_Litterbag Placem_Collection'!E216="","",'Dry_Litterbag Placem_Collection'!E216)</f>
        <v>42942</v>
      </c>
      <c r="V655" s="258">
        <f>IF('Dry_Litterbag Placem_Collection'!G216="","",'Dry_Litterbag Placem_Collection'!G216)</f>
        <v>43004</v>
      </c>
      <c r="W655" s="259">
        <f t="shared" si="50"/>
        <v>62</v>
      </c>
      <c r="X655" s="257">
        <f t="shared" si="53"/>
        <v>1.2447999999999997</v>
      </c>
      <c r="Y655" s="257">
        <f t="shared" si="54"/>
        <v>1.2204203094841892</v>
      </c>
      <c r="Z655" s="261">
        <f>IFERROR(INDEX([3]Rainfall_Dry!$O$2:$O$217,MATCH(C655, [3]Rainfall_Dry!$A$2:$A$217,0)),"")</f>
        <v>171.84818423999999</v>
      </c>
      <c r="AA655" s="250">
        <v>23.96</v>
      </c>
      <c r="AB655" s="250">
        <v>4.9199999999999982</v>
      </c>
      <c r="AC655" s="250">
        <v>71.12</v>
      </c>
      <c r="AD655" s="251" t="s">
        <v>2651</v>
      </c>
      <c r="AE655" s="250">
        <v>3.30913750616067</v>
      </c>
      <c r="AF655">
        <f>IF('WetLitterbags placem_collection'!AB216="","",'WetLitterbags placem_collection'!AB216)</f>
        <v>7.9</v>
      </c>
      <c r="AG655">
        <f>IF('WetLitterbags placem_collection'!Z216="","",'WetLitterbags placem_collection'!Z216)</f>
        <v>7.9</v>
      </c>
      <c r="AH655" s="236" t="str">
        <f>IF('WetLitterbags placem_collection'!AA216="","",'WetLitterbags placem_collection'!AA216)</f>
        <v>O</v>
      </c>
      <c r="AI655">
        <f>IF('WetLitterbags placem_collection'!AC216="","",'WetLitterbags placem_collection'!AC216)</f>
        <v>1</v>
      </c>
      <c r="AJ655">
        <f>IFERROR(AVERAGE('Dry_Litterbag Placem_Collection'!O216,'Dry_Litterbag Placem_Collection'!R216),"")</f>
        <v>4.3499999999999996</v>
      </c>
      <c r="AK655" s="261">
        <f>IFERROR(AVERAGE('Dry_Litterbag Placem_Collection'!N216,'Dry_Litterbag Placem_Collection'!Q216),"")</f>
        <v>29.1</v>
      </c>
      <c r="AL655">
        <v>-2.4396949910000001</v>
      </c>
      <c r="AM655">
        <v>34.838574029999997</v>
      </c>
      <c r="AN655" s="260" t="str">
        <f>IF(ISNUMBER(SEARCH("C", 'Dry_Litterbag Placem_Collection'!U216)),"YES","NO")</f>
        <v>NO</v>
      </c>
      <c r="AO655" s="260" t="str">
        <f>IF(ISNUMBER(SEARCH("H", 'Dry_Litterbag Placem_Collection'!U216)),"YES","NO")</f>
        <v>NO</v>
      </c>
      <c r="AP655" s="260" t="str">
        <f>IF(ISNUMBER(SEARCH("R", 'Dry_Litterbag Placem_Collection'!U216)),"YES","NO")</f>
        <v>NO</v>
      </c>
    </row>
    <row r="656" spans="1:42" ht="15" customHeight="1">
      <c r="A656" t="s">
        <v>2490</v>
      </c>
      <c r="B656" s="252" t="s">
        <v>2643</v>
      </c>
      <c r="C656" s="253">
        <f>'Dry_Litterbag Placem_Collection'!A217</f>
        <v>214</v>
      </c>
      <c r="D656" s="253" t="str">
        <f>'Dry_Litterbag Placem_Collection'!B217</f>
        <v>Handajega</v>
      </c>
      <c r="E656" s="253" t="s">
        <v>2454</v>
      </c>
      <c r="F656" s="253" t="s">
        <v>2645</v>
      </c>
      <c r="G656" s="253">
        <v>1</v>
      </c>
      <c r="H656" s="253" t="s">
        <v>3128</v>
      </c>
      <c r="I656" s="254" t="str">
        <f>'Dry_Litterbag Placem_Collection'!C217</f>
        <v>Wet_W2_CG3</v>
      </c>
      <c r="J656" s="263" t="s">
        <v>2932</v>
      </c>
      <c r="K656" s="256" t="s">
        <v>1147</v>
      </c>
      <c r="L656" s="253" t="str">
        <f>IF(ISBLANK('Dry_Litterbag Placem_Collection'!L217),"","G"&amp;""&amp;'Dry_Litterbag Placem_Collection'!L217)</f>
        <v>G771</v>
      </c>
      <c r="M656" s="257">
        <f>IFERROR(INDEX('Green_rooibos initial weight'!$C$5:$C$2000,MATCH(L656, 'Green_rooibos initial weight'!$A$5:$A$2000,0)),"")</f>
        <v>1.9910000000000001</v>
      </c>
      <c r="N656" s="257">
        <f>IFERROR(M656-(TBIcalc!$Q$9+TBIcalc!$Q$10),"")</f>
        <v>1.7412000000000001</v>
      </c>
      <c r="O656" s="378">
        <f>AVERAGE(Ashed_controlls!$K$2:$K$11)</f>
        <v>5.5147656768714146</v>
      </c>
      <c r="P656" s="257">
        <f t="shared" si="51"/>
        <v>1.645176900034315</v>
      </c>
      <c r="Q656" s="257">
        <f>IFERROR(INDEX('Both teabags AfterDry'!$D$2:$D$2000,MATCH(L656,'Both teabags AfterDry'!$A$2:$A$2000,0)),"")</f>
        <v>0.65300000000000002</v>
      </c>
      <c r="R656" s="257">
        <f>IFERROR(IF(Q656&gt;0,Q656-(TBIcalc!$Q$9),""),"")</f>
        <v>0.50239999999999996</v>
      </c>
      <c r="S656" s="268">
        <f>IFERROR(INDEX('Ashed teabags dry'!$K$2:$K$2000,MATCH(L656,'Ashed teabags dry'!$A$2:$A$2000,0)),"")</f>
        <v>13.496637848223109</v>
      </c>
      <c r="T656" s="268">
        <f t="shared" si="52"/>
        <v>0.43459289145052704</v>
      </c>
      <c r="U656" s="258">
        <f>IF('Dry_Litterbag Placem_Collection'!E217="","",'Dry_Litterbag Placem_Collection'!E217)</f>
        <v>42942</v>
      </c>
      <c r="V656" s="258">
        <f>IF('Dry_Litterbag Placem_Collection'!G217="","",'Dry_Litterbag Placem_Collection'!G217)</f>
        <v>43004</v>
      </c>
      <c r="W656" s="259">
        <f t="shared" si="50"/>
        <v>62</v>
      </c>
      <c r="X656" s="257">
        <f t="shared" si="53"/>
        <v>1.2388000000000001</v>
      </c>
      <c r="Y656" s="257">
        <f t="shared" si="54"/>
        <v>1.210584008583788</v>
      </c>
      <c r="Z656" s="261">
        <f>IFERROR(INDEX([3]Rainfall_Dry!$O$2:$O$217,MATCH(C656, [3]Rainfall_Dry!$A$2:$A$217,0)),"")</f>
        <v>171.84818423999999</v>
      </c>
      <c r="AA656" s="250">
        <v>25.96</v>
      </c>
      <c r="AB656" s="250">
        <v>8.9200000000000017</v>
      </c>
      <c r="AC656" s="250">
        <v>65.12</v>
      </c>
      <c r="AD656" s="251" t="s">
        <v>2651</v>
      </c>
      <c r="AE656" s="250">
        <v>1.614588467225234</v>
      </c>
      <c r="AF656">
        <f>IF('WetLitterbags placem_collection'!AB217="","",'WetLitterbags placem_collection'!AB217)</f>
        <v>13.8</v>
      </c>
      <c r="AG656">
        <f>IF('WetLitterbags placem_collection'!Z217="","",'WetLitterbags placem_collection'!Z217)</f>
        <v>17.399999999999999</v>
      </c>
      <c r="AH656" s="236" t="str">
        <f>IF('WetLitterbags placem_collection'!AA217="","",'WetLitterbags placem_collection'!AA217)</f>
        <v>O</v>
      </c>
      <c r="AI656">
        <f>IF('WetLitterbags placem_collection'!AC217="","",'WetLitterbags placem_collection'!AC217)</f>
        <v>1</v>
      </c>
      <c r="AJ656">
        <f>IFERROR(AVERAGE('Dry_Litterbag Placem_Collection'!O217,'Dry_Litterbag Placem_Collection'!R217),"")</f>
        <v>6.3</v>
      </c>
      <c r="AK656" s="261">
        <f>IFERROR(AVERAGE('Dry_Litterbag Placem_Collection'!N217,'Dry_Litterbag Placem_Collection'!Q217),"")</f>
        <v>29.8</v>
      </c>
      <c r="AL656">
        <v>-2.439403972</v>
      </c>
      <c r="AM656">
        <v>34.838404959999998</v>
      </c>
      <c r="AN656" s="260" t="str">
        <f>IF(ISNUMBER(SEARCH("C", 'Dry_Litterbag Placem_Collection'!U217)),"YES","NO")</f>
        <v>NO</v>
      </c>
      <c r="AO656" s="260" t="str">
        <f>IF(ISNUMBER(SEARCH("H", 'Dry_Litterbag Placem_Collection'!U217)),"YES","NO")</f>
        <v>NO</v>
      </c>
      <c r="AP656" s="260" t="str">
        <f>IF(ISNUMBER(SEARCH("R", 'Dry_Litterbag Placem_Collection'!U217)),"YES","NO")</f>
        <v>YES</v>
      </c>
    </row>
    <row r="657" spans="1:42" ht="15" customHeight="1">
      <c r="A657" t="s">
        <v>2490</v>
      </c>
      <c r="B657" s="252" t="s">
        <v>2643</v>
      </c>
      <c r="C657" s="253">
        <f>'Dry_Litterbag Placem_Collection'!A218</f>
        <v>216</v>
      </c>
      <c r="D657" s="253" t="str">
        <f>'Dry_Litterbag Placem_Collection'!B218</f>
        <v>Handajega</v>
      </c>
      <c r="E657" s="253" t="s">
        <v>2454</v>
      </c>
      <c r="F657" s="253" t="s">
        <v>2645</v>
      </c>
      <c r="G657" s="253">
        <v>2</v>
      </c>
      <c r="H657" s="253" t="s">
        <v>3130</v>
      </c>
      <c r="I657" s="254" t="str">
        <f>'Dry_Litterbag Placem_Collection'!C218</f>
        <v>Wet_W4_CG2</v>
      </c>
      <c r="J657" s="263" t="s">
        <v>2932</v>
      </c>
      <c r="K657" s="256" t="s">
        <v>1147</v>
      </c>
      <c r="L657" s="253" t="str">
        <f>IF(ISBLANK('Dry_Litterbag Placem_Collection'!L218),"","G"&amp;""&amp;'Dry_Litterbag Placem_Collection'!L218)</f>
        <v>G361</v>
      </c>
      <c r="M657" s="257">
        <f>IFERROR(INDEX('Green_rooibos initial weight'!$C$5:$C$2000,MATCH(L657, 'Green_rooibos initial weight'!$A$5:$A$2000,0)),"")</f>
        <v>2.0590000000000002</v>
      </c>
      <c r="N657" s="257">
        <f>IFERROR(M657-(TBIcalc!$Q$9+TBIcalc!$Q$10),"")</f>
        <v>1.8092000000000001</v>
      </c>
      <c r="O657" s="378">
        <f>AVERAGE(Ashed_controlls!$K$2:$K$11)</f>
        <v>5.5147656768714146</v>
      </c>
      <c r="P657" s="257">
        <f t="shared" si="51"/>
        <v>1.7094268593740425</v>
      </c>
      <c r="Q657" s="257">
        <f>IFERROR(INDEX('Both teabags AfterDry'!$D$2:$D$2000,MATCH(L657,'Both teabags AfterDry'!$A$2:$A$2000,0)),"")</f>
        <v>0.73499999999999999</v>
      </c>
      <c r="R657" s="257">
        <f>IFERROR(IF(Q657&gt;0,Q657-(TBIcalc!$Q$9),""),"")</f>
        <v>0.58440000000000003</v>
      </c>
      <c r="S657" s="268">
        <f>IFERROR(INDEX('Ashed teabags dry'!$K$2:$K$2000,MATCH(L657,'Ashed teabags dry'!$A$2:$A$2000,0)),"")</f>
        <v>12.954939341420824</v>
      </c>
      <c r="T657" s="268">
        <f t="shared" si="52"/>
        <v>0.50869133448873671</v>
      </c>
      <c r="U657" s="258">
        <f>IF('Dry_Litterbag Placem_Collection'!E218="","",'Dry_Litterbag Placem_Collection'!E218)</f>
        <v>42942</v>
      </c>
      <c r="V657" s="258">
        <f>IF('Dry_Litterbag Placem_Collection'!G218="","",'Dry_Litterbag Placem_Collection'!G218)</f>
        <v>43004</v>
      </c>
      <c r="W657" s="259">
        <f t="shared" si="50"/>
        <v>62</v>
      </c>
      <c r="X657" s="257">
        <f t="shared" si="53"/>
        <v>1.2248000000000001</v>
      </c>
      <c r="Y657" s="257">
        <f t="shared" si="54"/>
        <v>1.2007355248853058</v>
      </c>
      <c r="Z657" s="261">
        <f>IFERROR(INDEX([3]Rainfall_Dry!$O$2:$O$217,MATCH(C657, [3]Rainfall_Dry!$A$2:$A$217,0)),"")</f>
        <v>171.84818423999999</v>
      </c>
      <c r="AA657" s="250">
        <v>25.96</v>
      </c>
      <c r="AB657" s="250">
        <v>8.9200000000000017</v>
      </c>
      <c r="AC657" s="250">
        <v>65.12</v>
      </c>
      <c r="AD657" s="251" t="s">
        <v>2651</v>
      </c>
      <c r="AE657" s="250">
        <v>1.6991621488417901</v>
      </c>
      <c r="AF657">
        <f>IF('WetLitterbags placem_collection'!AB218="","",'WetLitterbags placem_collection'!AB218)</f>
        <v>5.13</v>
      </c>
      <c r="AG657">
        <f>IF('WetLitterbags placem_collection'!Z218="","",'WetLitterbags placem_collection'!Z218)</f>
        <v>5.13</v>
      </c>
      <c r="AH657" s="236" t="str">
        <f>IF('WetLitterbags placem_collection'!AA218="","",'WetLitterbags placem_collection'!AA218)</f>
        <v>O</v>
      </c>
      <c r="AI657">
        <f>IF('WetLitterbags placem_collection'!AC218="","",'WetLitterbags placem_collection'!AC218)</f>
        <v>1</v>
      </c>
      <c r="AJ657">
        <f>IFERROR(AVERAGE('Dry_Litterbag Placem_Collection'!O218,'Dry_Litterbag Placem_Collection'!R218),"")</f>
        <v>7.0500000000000007</v>
      </c>
      <c r="AK657" s="261">
        <f>IFERROR(AVERAGE('Dry_Litterbag Placem_Collection'!N218,'Dry_Litterbag Placem_Collection'!Q218),"")</f>
        <v>29.85</v>
      </c>
      <c r="AL657">
        <v>-2.4396450349999999</v>
      </c>
      <c r="AM657">
        <v>34.83836599</v>
      </c>
      <c r="AN657" s="260" t="str">
        <f>IF(ISNUMBER(SEARCH("C", 'Dry_Litterbag Placem_Collection'!U218)),"YES","NO")</f>
        <v>NO</v>
      </c>
      <c r="AO657" s="260" t="str">
        <f>IF(ISNUMBER(SEARCH("H", 'Dry_Litterbag Placem_Collection'!U218)),"YES","NO")</f>
        <v>NO</v>
      </c>
      <c r="AP657" s="260" t="str">
        <f>IF(ISNUMBER(SEARCH("R", 'Dry_Litterbag Placem_Collection'!U218)),"YES","NO")</f>
        <v>NO</v>
      </c>
    </row>
    <row r="658" spans="1:42" ht="15" customHeight="1">
      <c r="A658" t="s">
        <v>2490</v>
      </c>
      <c r="B658" s="252" t="s">
        <v>2643</v>
      </c>
      <c r="C658" s="253">
        <f>'Dry_Litterbag Placem_Collection'!A219</f>
        <v>217</v>
      </c>
      <c r="D658" s="253" t="str">
        <f>'Dry_Litterbag Placem_Collection'!B219</f>
        <v>Seronera</v>
      </c>
      <c r="E658" s="253" t="s">
        <v>3249</v>
      </c>
      <c r="F658" s="253" t="s">
        <v>2423</v>
      </c>
      <c r="G658" s="253">
        <v>1</v>
      </c>
      <c r="H658" s="253" t="s">
        <v>3186</v>
      </c>
      <c r="I658" s="254" t="str">
        <f>'Dry_Litterbag Placem_Collection'!C219</f>
        <v>Local1_CG1</v>
      </c>
      <c r="J658" s="263" t="s">
        <v>2932</v>
      </c>
      <c r="K658" s="256" t="s">
        <v>1147</v>
      </c>
      <c r="L658" s="253" t="str">
        <f>IF(ISBLANK('Dry_Litterbag Placem_Collection'!L219),"","G"&amp;""&amp;'Dry_Litterbag Placem_Collection'!L219)</f>
        <v>G204</v>
      </c>
      <c r="M658" s="257">
        <f>IFERROR(INDEX('Green_rooibos initial weight'!$C$5:$C$2000,MATCH(L658, 'Green_rooibos initial weight'!$A$5:$A$2000,0)),"")</f>
        <v>2.1970000000000001</v>
      </c>
      <c r="N658" s="257">
        <f>IFERROR(M658-(TBIcalc!$Q$9+TBIcalc!$Q$10),"")</f>
        <v>1.9472</v>
      </c>
      <c r="O658" s="378">
        <f>AVERAGE(Ashed_controlls!$K$2:$K$11)</f>
        <v>5.5147656768714146</v>
      </c>
      <c r="P658" s="257">
        <f t="shared" si="51"/>
        <v>1.8398164827399599</v>
      </c>
      <c r="Q658" s="257">
        <f>IFERROR(INDEX('Both teabags AfterDry'!$D$2:$D$2000,MATCH(L658,'Both teabags AfterDry'!$A$2:$A$2000,0)),"")</f>
        <v>0.80579999999999996</v>
      </c>
      <c r="R658" s="257">
        <f>IFERROR(IF(Q658&gt;0,Q658-(TBIcalc!$Q$9),""),"")</f>
        <v>0.6552</v>
      </c>
      <c r="S658" s="268">
        <f>IFERROR(INDEX('Ashed teabags dry'!$K$2:$K$2000,MATCH(L658,'Ashed teabags dry'!$A$2:$A$2000,0)),"")</f>
        <v>19.368932038835744</v>
      </c>
      <c r="T658" s="268">
        <f t="shared" si="52"/>
        <v>0.52829475728154818</v>
      </c>
      <c r="U658" s="258">
        <f>IF('Dry_Litterbag Placem_Collection'!E219="","",'Dry_Litterbag Placem_Collection'!E219)</f>
        <v>42942</v>
      </c>
      <c r="V658" s="258">
        <f>IF('Dry_Litterbag Placem_Collection'!G219="","",'Dry_Litterbag Placem_Collection'!G219)</f>
        <v>43004</v>
      </c>
      <c r="W658" s="259">
        <f t="shared" si="50"/>
        <v>62</v>
      </c>
      <c r="X658" s="257">
        <f t="shared" si="53"/>
        <v>1.292</v>
      </c>
      <c r="Y658" s="257">
        <f t="shared" si="54"/>
        <v>1.3115217254584117</v>
      </c>
      <c r="Z658" s="261">
        <f>IFERROR(INDEX([3]Rainfall_Dry!$O$2:$O$217,MATCH(C658, [3]Rainfall_Dry!$A$2:$A$217,0)),"")</f>
        <v>171.84818423999999</v>
      </c>
      <c r="AA658" s="250">
        <v>29.076539101497506</v>
      </c>
      <c r="AB658" s="250">
        <v>7.1963394342762079</v>
      </c>
      <c r="AC658" s="250">
        <v>63.727121464226286</v>
      </c>
      <c r="AD658" s="250" t="s">
        <v>2651</v>
      </c>
      <c r="AE658" s="250">
        <v>1.0994578610152781</v>
      </c>
      <c r="AF658">
        <f>IF('WetLitterbags placem_collection'!AB219="","",'WetLitterbags placem_collection'!AB219)</f>
        <v>13.8</v>
      </c>
      <c r="AG658">
        <f>IF('WetLitterbags placem_collection'!Z219="","",'WetLitterbags placem_collection'!Z219)</f>
        <v>17.399999999999999</v>
      </c>
      <c r="AH658" s="236" t="str">
        <f>IF('WetLitterbags placem_collection'!AA219="","",'WetLitterbags placem_collection'!AA219)</f>
        <v>O</v>
      </c>
      <c r="AI658">
        <f>IF('WetLitterbags placem_collection'!AC219="","",'WetLitterbags placem_collection'!AC219)</f>
        <v>1</v>
      </c>
      <c r="AJ658">
        <f>IFERROR(AVERAGE('Dry_Litterbag Placem_Collection'!O219,'Dry_Litterbag Placem_Collection'!R219),"")</f>
        <v>7.1999999999999993</v>
      </c>
      <c r="AK658" s="261">
        <f>IFERROR(AVERAGE('Dry_Litterbag Placem_Collection'!N219,'Dry_Litterbag Placem_Collection'!Q219),"")</f>
        <v>31.25</v>
      </c>
      <c r="AL658">
        <v>-2.439403972</v>
      </c>
      <c r="AM658">
        <v>34.838404959999998</v>
      </c>
      <c r="AN658" s="260" t="str">
        <f>IF(ISNUMBER(SEARCH("C", 'Dry_Litterbag Placem_Collection'!U219)),"YES","NO")</f>
        <v>NO</v>
      </c>
      <c r="AO658" s="260" t="str">
        <f>IF(ISNUMBER(SEARCH("H", 'Dry_Litterbag Placem_Collection'!U219)),"YES","NO")</f>
        <v>NO</v>
      </c>
      <c r="AP658" s="260" t="str">
        <f>IF(ISNUMBER(SEARCH("R", 'Dry_Litterbag Placem_Collection'!U219)),"YES","NO")</f>
        <v>YES</v>
      </c>
    </row>
    <row r="659" spans="1:42" ht="15" customHeight="1">
      <c r="A659" t="s">
        <v>2490</v>
      </c>
      <c r="B659" s="252" t="s">
        <v>2643</v>
      </c>
      <c r="C659" s="253">
        <f>'Dry_Litterbag Placem_Collection'!A220</f>
        <v>218</v>
      </c>
      <c r="D659" s="253" t="str">
        <f>'Dry_Litterbag Placem_Collection'!B220</f>
        <v>Seronera</v>
      </c>
      <c r="E659" s="253" t="s">
        <v>3249</v>
      </c>
      <c r="F659" s="253" t="s">
        <v>2423</v>
      </c>
      <c r="G659" s="253">
        <v>2</v>
      </c>
      <c r="H659" s="253" t="s">
        <v>3187</v>
      </c>
      <c r="I659" s="254" t="str">
        <f>'Dry_Litterbag Placem_Collection'!C220</f>
        <v>Local2_CG2</v>
      </c>
      <c r="J659" s="263" t="s">
        <v>2932</v>
      </c>
      <c r="K659" s="256" t="s">
        <v>1147</v>
      </c>
      <c r="L659" s="253" t="str">
        <f>IF(ISBLANK('Dry_Litterbag Placem_Collection'!L220),"","G"&amp;""&amp;'Dry_Litterbag Placem_Collection'!L220)</f>
        <v>G170</v>
      </c>
      <c r="M659" s="257">
        <f>IFERROR(INDEX('Green_rooibos initial weight'!$C$5:$C$2000,MATCH(L659, 'Green_rooibos initial weight'!$A$5:$A$2000,0)),"")</f>
        <v>2.0390000000000001</v>
      </c>
      <c r="N659" s="257">
        <f>IFERROR(M659-(TBIcalc!$Q$9+TBIcalc!$Q$10),"")</f>
        <v>1.7892000000000001</v>
      </c>
      <c r="O659" s="378">
        <f>AVERAGE(Ashed_controlls!$K$2:$K$11)</f>
        <v>5.5147656768714146</v>
      </c>
      <c r="P659" s="257">
        <f t="shared" si="51"/>
        <v>1.6905298125094168</v>
      </c>
      <c r="Q659" s="257">
        <f>IFERROR(INDEX('Both teabags AfterDry'!$D$2:$D$2000,MATCH(L659,'Both teabags AfterDry'!$A$2:$A$2000,0)),"")</f>
        <v>0.66100000000000003</v>
      </c>
      <c r="R659" s="257">
        <f>IFERROR(IF(Q659&gt;0,Q659-(TBIcalc!$Q$9),""),"")</f>
        <v>0.51039999999999996</v>
      </c>
      <c r="S659" s="268">
        <f>IFERROR(INDEX('Ashed teabags dry'!$K$2:$K$2000,MATCH(L659,'Ashed teabags dry'!$A$2:$A$2000,0)),"")</f>
        <v>23.022929340196391</v>
      </c>
      <c r="T659" s="268">
        <f t="shared" si="52"/>
        <v>0.39289096864763762</v>
      </c>
      <c r="U659" s="258">
        <f>IF('Dry_Litterbag Placem_Collection'!E220="","",'Dry_Litterbag Placem_Collection'!E220)</f>
        <v>42942</v>
      </c>
      <c r="V659" s="258">
        <f>IF('Dry_Litterbag Placem_Collection'!G220="","",'Dry_Litterbag Placem_Collection'!G220)</f>
        <v>43004</v>
      </c>
      <c r="W659" s="259">
        <f t="shared" si="50"/>
        <v>62</v>
      </c>
      <c r="X659" s="257">
        <f t="shared" si="53"/>
        <v>1.2788000000000002</v>
      </c>
      <c r="Y659" s="257">
        <f t="shared" si="54"/>
        <v>1.2976388438617792</v>
      </c>
      <c r="Z659" s="261">
        <f>IFERROR(INDEX([3]Rainfall_Dry!$O$2:$O$217,MATCH(C659, [3]Rainfall_Dry!$A$2:$A$217,0)),"")</f>
        <v>171.84818423999999</v>
      </c>
      <c r="AA659" s="250">
        <v>21.072635135135137</v>
      </c>
      <c r="AB659" s="250">
        <v>7.3057432432432412</v>
      </c>
      <c r="AC659" s="250">
        <v>71.621621621621614</v>
      </c>
      <c r="AD659" s="250" t="s">
        <v>2651</v>
      </c>
      <c r="AE659" s="250">
        <v>1.4512074913750617</v>
      </c>
      <c r="AF659">
        <f>IF('WetLitterbags placem_collection'!AB220="","",'WetLitterbags placem_collection'!AB220)</f>
        <v>5.13</v>
      </c>
      <c r="AG659">
        <f>IF('WetLitterbags placem_collection'!Z220="","",'WetLitterbags placem_collection'!Z220)</f>
        <v>5.13</v>
      </c>
      <c r="AH659" s="236" t="str">
        <f>IF('WetLitterbags placem_collection'!AA220="","",'WetLitterbags placem_collection'!AA220)</f>
        <v>O</v>
      </c>
      <c r="AI659">
        <f>IF('WetLitterbags placem_collection'!AC220="","",'WetLitterbags placem_collection'!AC220)</f>
        <v>1</v>
      </c>
      <c r="AJ659">
        <f>IFERROR(AVERAGE('Dry_Litterbag Placem_Collection'!O220,'Dry_Litterbag Placem_Collection'!R220),"")</f>
        <v>6.45</v>
      </c>
      <c r="AK659" s="261">
        <f>IFERROR(AVERAGE('Dry_Litterbag Placem_Collection'!N220,'Dry_Litterbag Placem_Collection'!Q220),"")</f>
        <v>29.15</v>
      </c>
      <c r="AL659">
        <v>-2.4396450349999999</v>
      </c>
      <c r="AM659">
        <v>34.83836599</v>
      </c>
      <c r="AN659" s="260" t="str">
        <f>IF(ISNUMBER(SEARCH("C", 'Dry_Litterbag Placem_Collection'!U220)),"YES","NO")</f>
        <v>NO</v>
      </c>
      <c r="AO659" s="260" t="str">
        <f>IF(ISNUMBER(SEARCH("H", 'Dry_Litterbag Placem_Collection'!U220)),"YES","NO")</f>
        <v>NO</v>
      </c>
      <c r="AP659" s="260" t="str">
        <f>IF(ISNUMBER(SEARCH("R", 'Dry_Litterbag Placem_Collection'!U220)),"YES","NO")</f>
        <v>YES</v>
      </c>
    </row>
    <row r="660" spans="1:42" ht="15" customHeight="1">
      <c r="A660" t="s">
        <v>2490</v>
      </c>
      <c r="B660" s="252" t="s">
        <v>2643</v>
      </c>
      <c r="C660" s="253">
        <f>'Dry_Litterbag Placem_Collection'!A221</f>
        <v>219</v>
      </c>
      <c r="D660" s="253" t="str">
        <f>'Dry_Litterbag Placem_Collection'!B221</f>
        <v>Seronera</v>
      </c>
      <c r="E660" s="253" t="s">
        <v>3249</v>
      </c>
      <c r="F660" s="253" t="s">
        <v>2423</v>
      </c>
      <c r="G660" s="253">
        <v>3</v>
      </c>
      <c r="H660" s="253" t="s">
        <v>3188</v>
      </c>
      <c r="I660" s="254" t="str">
        <f>'Dry_Litterbag Placem_Collection'!C221</f>
        <v>Local3_CG3</v>
      </c>
      <c r="J660" s="263" t="s">
        <v>2932</v>
      </c>
      <c r="K660" s="256" t="s">
        <v>1147</v>
      </c>
      <c r="L660" s="253" t="str">
        <f>IF(ISBLANK('Dry_Litterbag Placem_Collection'!L221),"","G"&amp;""&amp;'Dry_Litterbag Placem_Collection'!L221)</f>
        <v>G123</v>
      </c>
      <c r="M660" s="257">
        <f>IFERROR(INDEX('Green_rooibos initial weight'!$C$5:$C$2000,MATCH(L660, 'Green_rooibos initial weight'!$A$5:$A$2000,0)),"")</f>
        <v>2.133</v>
      </c>
      <c r="N660" s="257">
        <f>IFERROR(M660-(TBIcalc!$Q$9+TBIcalc!$Q$10),"")</f>
        <v>1.8832</v>
      </c>
      <c r="O660" s="378">
        <f>AVERAGE(Ashed_controlls!$K$2:$K$11)</f>
        <v>5.5147656768714146</v>
      </c>
      <c r="P660" s="257">
        <f t="shared" si="51"/>
        <v>1.7793459327731576</v>
      </c>
      <c r="Q660" s="257">
        <f>IFERROR(INDEX('Both teabags AfterDry'!$D$2:$D$2000,MATCH(L660,'Both teabags AfterDry'!$A$2:$A$2000,0)),"")</f>
        <v>0.82250000000000001</v>
      </c>
      <c r="R660" s="257">
        <f>IFERROR(IF(Q660&gt;0,Q660-(TBIcalc!$Q$9),""),"")</f>
        <v>0.67189999999999994</v>
      </c>
      <c r="S660" s="268">
        <f>IFERROR(INDEX('Ashed teabags dry'!$K$2:$K$2000,MATCH(L660,'Ashed teabags dry'!$A$2:$A$2000,0)),"")</f>
        <v>24.6799116997799</v>
      </c>
      <c r="T660" s="268">
        <f t="shared" si="52"/>
        <v>0.5060756732891788</v>
      </c>
      <c r="U660" s="258">
        <f>IF('Dry_Litterbag Placem_Collection'!E221="","",'Dry_Litterbag Placem_Collection'!E221)</f>
        <v>42942</v>
      </c>
      <c r="V660" s="258">
        <f>IF('Dry_Litterbag Placem_Collection'!G221="","",'Dry_Litterbag Placem_Collection'!G221)</f>
        <v>43004</v>
      </c>
      <c r="W660" s="259">
        <f t="shared" si="50"/>
        <v>62</v>
      </c>
      <c r="X660" s="257">
        <f t="shared" si="53"/>
        <v>1.2113</v>
      </c>
      <c r="Y660" s="257">
        <f t="shared" si="54"/>
        <v>1.2732702594839789</v>
      </c>
      <c r="Z660" s="261">
        <f>IFERROR(INDEX([3]Rainfall_Dry!$O$2:$O$217,MATCH(C660, [3]Rainfall_Dry!$A$2:$A$217,0)),"")</f>
        <v>171.84818423999999</v>
      </c>
      <c r="AA660" s="250">
        <v>21.96</v>
      </c>
      <c r="AB660" s="250">
        <v>4.9199999999999982</v>
      </c>
      <c r="AC660" s="250">
        <v>73.12</v>
      </c>
      <c r="AD660" s="250" t="s">
        <v>2651</v>
      </c>
      <c r="AE660" s="250">
        <v>1.4012321340561851</v>
      </c>
      <c r="AF660">
        <f>IF('WetLitterbags placem_collection'!AB221="","",'WetLitterbags placem_collection'!AB221)</f>
        <v>7.9</v>
      </c>
      <c r="AG660">
        <f>IF('WetLitterbags placem_collection'!Z221="","",'WetLitterbags placem_collection'!Z221)</f>
        <v>7.9</v>
      </c>
      <c r="AH660" s="236" t="str">
        <f>IF('WetLitterbags placem_collection'!AA221="","",'WetLitterbags placem_collection'!AA221)</f>
        <v>O</v>
      </c>
      <c r="AI660">
        <f>IF('WetLitterbags placem_collection'!AC221="","",'WetLitterbags placem_collection'!AC221)</f>
        <v>1</v>
      </c>
      <c r="AJ660">
        <f>IFERROR(AVERAGE('Dry_Litterbag Placem_Collection'!O221,'Dry_Litterbag Placem_Collection'!R221),"")</f>
        <v>5.75</v>
      </c>
      <c r="AK660" s="261">
        <f>IFERROR(AVERAGE('Dry_Litterbag Placem_Collection'!N221,'Dry_Litterbag Placem_Collection'!Q221),"")</f>
        <v>32.75</v>
      </c>
      <c r="AL660">
        <v>-2.4395990190000001</v>
      </c>
      <c r="AM660">
        <v>34.838418959999998</v>
      </c>
      <c r="AN660" s="260" t="str">
        <f>IF(ISNUMBER(SEARCH("C", 'Dry_Litterbag Placem_Collection'!U221)),"YES","NO")</f>
        <v>NO</v>
      </c>
      <c r="AO660" s="260" t="str">
        <f>IF(ISNUMBER(SEARCH("H", 'Dry_Litterbag Placem_Collection'!U221)),"YES","NO")</f>
        <v>NO</v>
      </c>
      <c r="AP660" s="260" t="str">
        <f>IF(ISNUMBER(SEARCH("R", 'Dry_Litterbag Placem_Collection'!U221)),"YES","NO")</f>
        <v>YES</v>
      </c>
    </row>
    <row r="661" spans="1:42" ht="15" customHeight="1">
      <c r="A661" t="s">
        <v>2490</v>
      </c>
      <c r="B661" s="252" t="s">
        <v>2643</v>
      </c>
      <c r="C661" s="253">
        <f>'Dry_Litterbag Placem_Collection'!A222</f>
        <v>220</v>
      </c>
      <c r="D661" s="253" t="str">
        <f>'Dry_Litterbag Placem_Collection'!B222</f>
        <v>Seronera</v>
      </c>
      <c r="E661" s="253" t="s">
        <v>3249</v>
      </c>
      <c r="F661" s="253" t="s">
        <v>2423</v>
      </c>
      <c r="G661" s="253">
        <v>4</v>
      </c>
      <c r="H661" s="253" t="s">
        <v>3189</v>
      </c>
      <c r="I661" s="254" t="str">
        <f>'Dry_Litterbag Placem_Collection'!C222</f>
        <v>Local4_CG4</v>
      </c>
      <c r="J661" s="263" t="s">
        <v>2932</v>
      </c>
      <c r="K661" s="256" t="s">
        <v>1147</v>
      </c>
      <c r="L661" s="253" t="str">
        <f>IF(ISBLANK('Dry_Litterbag Placem_Collection'!L222),"","G"&amp;""&amp;'Dry_Litterbag Placem_Collection'!L222)</f>
        <v>G53</v>
      </c>
      <c r="M661" s="257">
        <f>IFERROR(INDEX('Green_rooibos initial weight'!$C$5:$C$2000,MATCH(L661, 'Green_rooibos initial weight'!$A$5:$A$2000,0)),"")</f>
        <v>1.907</v>
      </c>
      <c r="N661" s="257">
        <f>IFERROR(M661-(TBIcalc!$Q$9+TBIcalc!$Q$10),"")</f>
        <v>1.6572</v>
      </c>
      <c r="O661" s="378">
        <f>AVERAGE(Ashed_controlls!$K$2:$K$11)</f>
        <v>5.5147656768714146</v>
      </c>
      <c r="P661" s="257">
        <f t="shared" si="51"/>
        <v>1.565809303202887</v>
      </c>
      <c r="Q661" s="257" t="str">
        <f>IFERROR(INDEX('Both teabags AfterDry'!$D$2:$D$2000,MATCH(L661,'Both teabags AfterDry'!$A$2:$A$2000,0)),"")</f>
        <v/>
      </c>
      <c r="R661" s="257" t="str">
        <f>IFERROR(IF(Q661&gt;0,Q661-(TBIcalc!$Q$9),""),"")</f>
        <v/>
      </c>
      <c r="S661" s="268" t="str">
        <f>IFERROR(INDEX('Ashed teabags dry'!$K$2:$K$2000,MATCH(L661,'Ashed teabags dry'!$A$2:$A$2000,0)),"")</f>
        <v/>
      </c>
      <c r="T661" s="268" t="str">
        <f t="shared" si="52"/>
        <v/>
      </c>
      <c r="U661" s="258">
        <f>IF('Dry_Litterbag Placem_Collection'!E222="","",'Dry_Litterbag Placem_Collection'!E222)</f>
        <v>42942</v>
      </c>
      <c r="V661" s="258">
        <f>IF('Dry_Litterbag Placem_Collection'!G222="","",'Dry_Litterbag Placem_Collection'!G222)</f>
        <v>43004</v>
      </c>
      <c r="W661" s="259">
        <f t="shared" si="50"/>
        <v>62</v>
      </c>
      <c r="X661" s="257" t="str">
        <f t="shared" si="53"/>
        <v/>
      </c>
      <c r="Y661" s="257" t="str">
        <f t="shared" si="54"/>
        <v/>
      </c>
      <c r="Z661" s="261">
        <f>IFERROR(INDEX([3]Rainfall_Dry!$O$2:$O$217,MATCH(C661, [3]Rainfall_Dry!$A$2:$A$217,0)),"")</f>
        <v>171.84818423999999</v>
      </c>
      <c r="AA661" s="250">
        <v>15.960000000000003</v>
      </c>
      <c r="AB661" s="250">
        <v>6.9199999999999982</v>
      </c>
      <c r="AC661" s="250">
        <v>77.11999999999999</v>
      </c>
      <c r="AD661" s="250" t="s">
        <v>2652</v>
      </c>
      <c r="AE661" s="250">
        <v>0.60547067520946207</v>
      </c>
      <c r="AF661">
        <f>IF('WetLitterbags placem_collection'!AB222="","",'WetLitterbags placem_collection'!AB222)</f>
        <v>15.2</v>
      </c>
      <c r="AG661">
        <f>IF('WetLitterbags placem_collection'!Z222="","",'WetLitterbags placem_collection'!Z222)</f>
        <v>12.2</v>
      </c>
      <c r="AH661" s="236" t="str">
        <f>IF('WetLitterbags placem_collection'!AA222="","",'WetLitterbags placem_collection'!AA222)</f>
        <v>O</v>
      </c>
      <c r="AI661">
        <f>IF('WetLitterbags placem_collection'!AC222="","",'WetLitterbags placem_collection'!AC222)</f>
        <v>1</v>
      </c>
      <c r="AJ661">
        <f>IFERROR(AVERAGE('Dry_Litterbag Placem_Collection'!O222,'Dry_Litterbag Placem_Collection'!R222),"")</f>
        <v>5.3</v>
      </c>
      <c r="AK661" s="261">
        <f>IFERROR(AVERAGE('Dry_Litterbag Placem_Collection'!N222,'Dry_Litterbag Placem_Collection'!Q222),"")</f>
        <v>33.65</v>
      </c>
      <c r="AL661">
        <v>-2.4396949910000001</v>
      </c>
      <c r="AM661">
        <v>34.838574029999997</v>
      </c>
      <c r="AN661" s="260" t="str">
        <f>IF(ISNUMBER(SEARCH("C", 'Dry_Litterbag Placem_Collection'!U222)),"YES","NO")</f>
        <v>NO</v>
      </c>
      <c r="AO661" s="260" t="str">
        <f>IF(ISNUMBER(SEARCH("H", 'Dry_Litterbag Placem_Collection'!U222)),"YES","NO")</f>
        <v>NO</v>
      </c>
      <c r="AP661" s="260" t="str">
        <f>IF(ISNUMBER(SEARCH("R", 'Dry_Litterbag Placem_Collection'!U222)),"YES","NO")</f>
        <v>YES</v>
      </c>
    </row>
    <row r="662" spans="1:42" ht="15" customHeight="1">
      <c r="A662" t="s">
        <v>3248</v>
      </c>
      <c r="B662" s="252" t="s">
        <v>2643</v>
      </c>
      <c r="C662" s="253">
        <f>'Dry_Litterbag Placem_Collection'!A3</f>
        <v>1</v>
      </c>
      <c r="D662" s="253" t="str">
        <f>'Dry_Litterbag Placem_Collection'!B3</f>
        <v>Makao</v>
      </c>
      <c r="E662" s="253" t="s">
        <v>2643</v>
      </c>
      <c r="F662" s="253" t="s">
        <v>2644</v>
      </c>
      <c r="G662" s="253">
        <v>1</v>
      </c>
      <c r="H662" s="253" t="s">
        <v>3099</v>
      </c>
      <c r="I662" s="254" t="str">
        <f>'Dry_Litterbag Placem_Collection'!C3</f>
        <v>Dry_Ag1_T1</v>
      </c>
      <c r="J662" s="263" t="s">
        <v>2932</v>
      </c>
      <c r="K662" s="264" t="s">
        <v>298</v>
      </c>
      <c r="L662" s="253" t="str">
        <f>IF(ISBLANK('Dry_Litterbag Placem_Collection'!M3),"","R"&amp;""&amp;'Dry_Litterbag Placem_Collection'!M3)</f>
        <v>R204</v>
      </c>
      <c r="M662" s="257">
        <f>IFERROR(INDEX('Green_rooibos initial weight'!$C$5:$C$2000,MATCH(L662, 'Green_rooibos initial weight'!$A$5:$A$2000,0)),"")</f>
        <v>2.2290000000000001</v>
      </c>
      <c r="N662" s="257">
        <f>IFERROR(M662-(TBIcalc!$Q$9+TBIcalc!$Q$10),"")</f>
        <v>1.9792000000000001</v>
      </c>
      <c r="O662" s="378">
        <f>AVERAGE(Ashed_controlls!$K$12:$K$14)</f>
        <v>2.2816647271287041</v>
      </c>
      <c r="P662" s="257">
        <f t="shared" si="51"/>
        <v>1.9340412917206689</v>
      </c>
      <c r="Q662" s="257">
        <f>IFERROR(INDEX('Both teabags AfterDry'!$D$2:$D$2000,MATCH(L662,'Both teabags AfterDry'!$A$2:$A$2000,0)),"")</f>
        <v>1.8874</v>
      </c>
      <c r="R662" s="257">
        <f>IFERROR(IF(Q662&gt;0,Q662-(TBIcalc!$Q$9),""),"")</f>
        <v>1.7367999999999999</v>
      </c>
      <c r="S662" s="268">
        <f>IFERROR(INDEX('Ashed teabags dry'!$K$2:$K$2000,MATCH(L662,'Ashed teabags dry'!$A$2:$A$2000,0)),"")</f>
        <v>2.3391812865495751</v>
      </c>
      <c r="T662" s="268">
        <f t="shared" si="52"/>
        <v>1.6961730994152069</v>
      </c>
      <c r="U662" s="258">
        <f>IF('Dry_Litterbag Placem_Collection'!E3="","",'Dry_Litterbag Placem_Collection'!E3)</f>
        <v>42938</v>
      </c>
      <c r="V662" s="258">
        <f>IF('Dry_Litterbag Placem_Collection'!G3="","",'Dry_Litterbag Placem_Collection'!G3)</f>
        <v>43007</v>
      </c>
      <c r="W662" s="259">
        <f t="shared" si="50"/>
        <v>69</v>
      </c>
      <c r="X662" s="257">
        <f t="shared" si="53"/>
        <v>0.24240000000000017</v>
      </c>
      <c r="Y662" s="257">
        <f t="shared" si="54"/>
        <v>0.23786819230546197</v>
      </c>
      <c r="Z662" s="261">
        <f>IFERROR(INDEX([3]Rainfall_Dry!$O$2:$O$217,MATCH(C662, [3]Rainfall_Dry!$A$2:$A$217,0)),"")</f>
        <v>6.900000125</v>
      </c>
      <c r="AA662" s="250">
        <v>12.565665055683967</v>
      </c>
      <c r="AB662" s="250">
        <v>0.9665896196679955</v>
      </c>
      <c r="AC662" s="250">
        <v>86.467745324648035</v>
      </c>
      <c r="AD662" s="251" t="s">
        <v>2653</v>
      </c>
      <c r="AE662" s="250">
        <v>1.0225726959093147</v>
      </c>
      <c r="AF662">
        <f>IF('WetLitterbags placem_collection'!AB3="","",'WetLitterbags placem_collection'!AB3)</f>
        <v>26.4</v>
      </c>
      <c r="AG662">
        <f>IF('WetLitterbags placem_collection'!Z3="","",'WetLitterbags placem_collection'!Z3)</f>
        <v>41</v>
      </c>
      <c r="AH662" s="236" t="str">
        <f>IF('WetLitterbags placem_collection'!AA3="","",'WetLitterbags placem_collection'!AA3)</f>
        <v>M</v>
      </c>
      <c r="AI662">
        <f>IF('WetLitterbags placem_collection'!AC3="","",'WetLitterbags placem_collection'!AC3)</f>
        <v>1</v>
      </c>
      <c r="AJ662">
        <f>IFERROR(AVERAGE('Dry_Litterbag Placem_Collection'!O3,'Dry_Litterbag Placem_Collection'!R3),"")</f>
        <v>3.8</v>
      </c>
      <c r="AK662" s="261">
        <f>IFERROR(AVERAGE('Dry_Litterbag Placem_Collection'!N3,'Dry_Litterbag Placem_Collection'!Q3),"")</f>
        <v>26.9</v>
      </c>
      <c r="AL662" s="260">
        <f>INDEX([2]Coordinates!$B$2:$B$197,MATCH(I662,[2]Coordinates!$J$2:$J$197,0))</f>
        <v>-3.3978609999999998</v>
      </c>
      <c r="AM662" s="260">
        <f>INDEX([2]Coordinates!$C$2:$C$197,MATCH(I662,[2]Coordinates!$J$2:$J$197,0))</f>
        <v>34.837608000000003</v>
      </c>
      <c r="AN662" s="260" t="str">
        <f>IF(ISNUMBER(SEARCH("C", 'Dry_Litterbag Placem_Collection'!V3)),"YES","NO")</f>
        <v>NO</v>
      </c>
      <c r="AO662" s="260" t="str">
        <f>IF(ISNUMBER(SEARCH("H", 'Dry_Litterbag Placem_Collection'!V3)),"YES","NO")</f>
        <v>NO</v>
      </c>
      <c r="AP662" s="260" t="str">
        <f>IF(ISNUMBER(SEARCH("R", 'Dry_Litterbag Placem_Collection'!V3)),"YES","NO")</f>
        <v>NO</v>
      </c>
    </row>
    <row r="663" spans="1:42" ht="15" customHeight="1">
      <c r="A663" t="s">
        <v>3248</v>
      </c>
      <c r="B663" s="252" t="s">
        <v>2643</v>
      </c>
      <c r="C663" s="253">
        <f>'Dry_Litterbag Placem_Collection'!A4</f>
        <v>2</v>
      </c>
      <c r="D663" s="253" t="str">
        <f>'Dry_Litterbag Placem_Collection'!B4</f>
        <v>Makao</v>
      </c>
      <c r="E663" s="253" t="s">
        <v>2643</v>
      </c>
      <c r="F663" s="253" t="s">
        <v>2644</v>
      </c>
      <c r="G663" s="253">
        <v>1</v>
      </c>
      <c r="H663" s="253" t="s">
        <v>3099</v>
      </c>
      <c r="I663" s="254" t="str">
        <f>'Dry_Litterbag Placem_Collection'!C4</f>
        <v>Dry_Ag1_T2</v>
      </c>
      <c r="J663" s="263" t="s">
        <v>2932</v>
      </c>
      <c r="K663" s="264" t="s">
        <v>298</v>
      </c>
      <c r="L663" s="253" t="str">
        <f>IF(ISBLANK('Dry_Litterbag Placem_Collection'!M4),"","R"&amp;""&amp;'Dry_Litterbag Placem_Collection'!M4)</f>
        <v/>
      </c>
      <c r="M663" s="257" t="str">
        <f>IFERROR(INDEX('Green_rooibos initial weight'!$C$5:$C$2000,MATCH(L663, 'Green_rooibos initial weight'!$A$5:$A$2000,0)),"")</f>
        <v/>
      </c>
      <c r="N663" s="257" t="str">
        <f>IFERROR(M663-(TBIcalc!$Q$9+TBIcalc!$Q$10),"")</f>
        <v/>
      </c>
      <c r="O663" s="378">
        <f>AVERAGE(Ashed_controlls!$K$12:$K$14)</f>
        <v>2.2816647271287041</v>
      </c>
      <c r="P663" s="257" t="str">
        <f t="shared" si="51"/>
        <v/>
      </c>
      <c r="Q663" s="257" t="str">
        <f>IFERROR(INDEX('Both teabags AfterDry'!$D$2:$D$2000,MATCH(L663,'Both teabags AfterDry'!$A$2:$A$2000,0)),"")</f>
        <v/>
      </c>
      <c r="R663" s="257" t="str">
        <f>IFERROR(IF(Q663&gt;0,Q663-(TBIcalc!$Q$9),""),"")</f>
        <v/>
      </c>
      <c r="S663" s="268" t="str">
        <f>IFERROR(INDEX('Ashed teabags dry'!$K$2:$K$2000,MATCH(L663,'Ashed teabags dry'!$A$2:$A$2000,0)),"")</f>
        <v/>
      </c>
      <c r="T663" s="268" t="str">
        <f t="shared" si="52"/>
        <v/>
      </c>
      <c r="U663" s="258" t="str">
        <f>IF('Dry_Litterbag Placem_Collection'!E4="","",'Dry_Litterbag Placem_Collection'!E4)</f>
        <v/>
      </c>
      <c r="V663" s="258" t="str">
        <f>IF('Dry_Litterbag Placem_Collection'!G4="","",'Dry_Litterbag Placem_Collection'!G4)</f>
        <v/>
      </c>
      <c r="W663" s="259" t="str">
        <f t="shared" si="50"/>
        <v/>
      </c>
      <c r="X663" s="257" t="str">
        <f t="shared" si="53"/>
        <v/>
      </c>
      <c r="Y663" s="257" t="str">
        <f t="shared" si="54"/>
        <v/>
      </c>
      <c r="Z663" s="261" t="str">
        <f>IFERROR(INDEX([3]Rainfall_Dry!$O$2:$O$217,MATCH(C663, [3]Rainfall_Dry!$A$2:$A$217,0)),"")</f>
        <v/>
      </c>
      <c r="AA663" s="250">
        <v>12.565665055683967</v>
      </c>
      <c r="AB663" s="250">
        <v>0.9665896196679955</v>
      </c>
      <c r="AC663" s="250">
        <v>86.467745324648035</v>
      </c>
      <c r="AD663" s="251" t="s">
        <v>2653</v>
      </c>
      <c r="AE663" s="250">
        <v>2.02257269590931</v>
      </c>
      <c r="AF663">
        <f>IF('WetLitterbags placem_collection'!AB4="","",'WetLitterbags placem_collection'!AB4)</f>
        <v>22.4</v>
      </c>
      <c r="AG663">
        <f>IF('WetLitterbags placem_collection'!Z4="","",'WetLitterbags placem_collection'!Z4)</f>
        <v>39.799999999999997</v>
      </c>
      <c r="AH663" s="236" t="str">
        <f>IF('WetLitterbags placem_collection'!AA4="","",'WetLitterbags placem_collection'!AA4)</f>
        <v>M</v>
      </c>
      <c r="AI663">
        <f>IF('WetLitterbags placem_collection'!AC4="","",'WetLitterbags placem_collection'!AC4)</f>
        <v>1</v>
      </c>
      <c r="AJ663" t="str">
        <f>IFERROR(AVERAGE('Dry_Litterbag Placem_Collection'!O4,'Dry_Litterbag Placem_Collection'!R4),"")</f>
        <v/>
      </c>
      <c r="AK663" s="261" t="str">
        <f>IFERROR(AVERAGE('Dry_Litterbag Placem_Collection'!N4,'Dry_Litterbag Placem_Collection'!Q4),"")</f>
        <v/>
      </c>
      <c r="AL663" s="260">
        <f>INDEX([2]Coordinates!$B$2:$B$197,MATCH(I663,[2]Coordinates!$J$2:$J$197,0))</f>
        <v>-3.397879042</v>
      </c>
      <c r="AM663" s="260">
        <f>INDEX([2]Coordinates!$C$2:$C$197,MATCH(I663,[2]Coordinates!$J$2:$J$197,0))</f>
        <v>34.837536010000001</v>
      </c>
      <c r="AN663" s="260" t="str">
        <f>IF(ISNUMBER(SEARCH("C", 'Dry_Litterbag Placem_Collection'!V4)),"YES","NO")</f>
        <v>NO</v>
      </c>
      <c r="AO663" s="260" t="str">
        <f>IF(ISNUMBER(SEARCH("H", 'Dry_Litterbag Placem_Collection'!V4)),"YES","NO")</f>
        <v>NO</v>
      </c>
      <c r="AP663" s="260" t="str">
        <f>IF(ISNUMBER(SEARCH("R", 'Dry_Litterbag Placem_Collection'!V4)),"YES","NO")</f>
        <v>NO</v>
      </c>
    </row>
    <row r="664" spans="1:42" ht="15" customHeight="1">
      <c r="A664" t="s">
        <v>3248</v>
      </c>
      <c r="B664" s="252" t="s">
        <v>2643</v>
      </c>
      <c r="C664" s="253">
        <f>'Dry_Litterbag Placem_Collection'!A5</f>
        <v>3</v>
      </c>
      <c r="D664" s="253" t="str">
        <f>'Dry_Litterbag Placem_Collection'!B5</f>
        <v>Makao</v>
      </c>
      <c r="E664" s="253" t="s">
        <v>2643</v>
      </c>
      <c r="F664" s="253" t="s">
        <v>2644</v>
      </c>
      <c r="G664" s="253">
        <v>1</v>
      </c>
      <c r="H664" s="253" t="s">
        <v>3099</v>
      </c>
      <c r="I664" s="254" t="str">
        <f>'Dry_Litterbag Placem_Collection'!C5</f>
        <v>Dry_Ag1_T3</v>
      </c>
      <c r="J664" s="263" t="s">
        <v>2932</v>
      </c>
      <c r="K664" s="264" t="s">
        <v>298</v>
      </c>
      <c r="L664" s="253" t="str">
        <f>IF(ISBLANK('Dry_Litterbag Placem_Collection'!M5),"","R"&amp;""&amp;'Dry_Litterbag Placem_Collection'!M5)</f>
        <v>R283</v>
      </c>
      <c r="M664" s="257">
        <f>IFERROR(INDEX('Green_rooibos initial weight'!$C$5:$C$2000,MATCH(L664, 'Green_rooibos initial weight'!$A$5:$A$2000,0)),"")</f>
        <v>2.21</v>
      </c>
      <c r="N664" s="257">
        <f>IFERROR(M664-(TBIcalc!$Q$9+TBIcalc!$Q$10),"")</f>
        <v>1.9601999999999999</v>
      </c>
      <c r="O664" s="378">
        <f>AVERAGE(Ashed_controlls!$K$12:$K$14)</f>
        <v>2.2816647271287041</v>
      </c>
      <c r="P664" s="257">
        <f t="shared" si="51"/>
        <v>1.9154748080188231</v>
      </c>
      <c r="Q664" s="257">
        <f>IFERROR(INDEX('Both teabags AfterDry'!$D$2:$D$2000,MATCH(L664,'Both teabags AfterDry'!$A$2:$A$2000,0)),"")</f>
        <v>1.9180999999999999</v>
      </c>
      <c r="R664" s="257">
        <f>IFERROR(IF(Q664&gt;0,Q664-(TBIcalc!$Q$9),""),"")</f>
        <v>1.7674999999999998</v>
      </c>
      <c r="S664" s="268">
        <f>IFERROR(INDEX('Ashed teabags dry'!$K$2:$K$2000,MATCH(L664,'Ashed teabags dry'!$A$2:$A$2000,0)),"")</f>
        <v>2.5675077467904308</v>
      </c>
      <c r="T664" s="268">
        <f t="shared" si="52"/>
        <v>1.7221193005754789</v>
      </c>
      <c r="U664" s="258">
        <f>IF('Dry_Litterbag Placem_Collection'!E5="","",'Dry_Litterbag Placem_Collection'!E5)</f>
        <v>42938</v>
      </c>
      <c r="V664" s="258">
        <f>IF('Dry_Litterbag Placem_Collection'!G5="","",'Dry_Litterbag Placem_Collection'!G5)</f>
        <v>43007</v>
      </c>
      <c r="W664" s="259">
        <f t="shared" si="50"/>
        <v>69</v>
      </c>
      <c r="X664" s="257">
        <f t="shared" si="53"/>
        <v>0.19270000000000009</v>
      </c>
      <c r="Y664" s="257">
        <f t="shared" si="54"/>
        <v>0.19335550744334418</v>
      </c>
      <c r="Z664" s="261">
        <f>IFERROR(INDEX([3]Rainfall_Dry!$O$2:$O$217,MATCH(C664, [3]Rainfall_Dry!$A$2:$A$217,0)),"")</f>
        <v>6.900000125</v>
      </c>
      <c r="AA664" s="250">
        <v>12.565665055683967</v>
      </c>
      <c r="AB664" s="250">
        <v>0.9665896196679955</v>
      </c>
      <c r="AC664" s="250">
        <v>86.467745324648035</v>
      </c>
      <c r="AD664" s="251" t="s">
        <v>2653</v>
      </c>
      <c r="AE664" s="250">
        <v>3.02257269590931</v>
      </c>
      <c r="AF664" t="str">
        <f>IF('WetLitterbags placem_collection'!AB5="","",'WetLitterbags placem_collection'!AB5)</f>
        <v/>
      </c>
      <c r="AG664" t="str">
        <f>IF('WetLitterbags placem_collection'!Z5="","",'WetLitterbags placem_collection'!Z5)</f>
        <v/>
      </c>
      <c r="AH664" s="236" t="str">
        <f>IF('WetLitterbags placem_collection'!AA5="","",'WetLitterbags placem_collection'!AA5)</f>
        <v/>
      </c>
      <c r="AI664" t="str">
        <f>IF('WetLitterbags placem_collection'!AC5="","",'WetLitterbags placem_collection'!AC5)</f>
        <v/>
      </c>
      <c r="AJ664">
        <f>IFERROR(AVERAGE('Dry_Litterbag Placem_Collection'!O5,'Dry_Litterbag Placem_Collection'!R5),"")</f>
        <v>3.3</v>
      </c>
      <c r="AK664" s="261">
        <f>IFERROR(AVERAGE('Dry_Litterbag Placem_Collection'!N5,'Dry_Litterbag Placem_Collection'!Q5),"")</f>
        <v>25</v>
      </c>
      <c r="AL664" s="260">
        <f>INDEX([2]Coordinates!$B$2:$B$197,MATCH(I664,[2]Coordinates!$J$2:$J$197,0))</f>
        <v>-3.3978739999999998</v>
      </c>
      <c r="AM664" s="260">
        <f>INDEX([2]Coordinates!$C$2:$C$197,MATCH(I664,[2]Coordinates!$J$2:$J$197,0))</f>
        <v>34.837578999999998</v>
      </c>
      <c r="AN664" s="260" t="str">
        <f>IF(ISNUMBER(SEARCH("C", 'Dry_Litterbag Placem_Collection'!V5)),"YES","NO")</f>
        <v>NO</v>
      </c>
      <c r="AO664" s="260" t="str">
        <f>IF(ISNUMBER(SEARCH("H", 'Dry_Litterbag Placem_Collection'!V5)),"YES","NO")</f>
        <v>NO</v>
      </c>
      <c r="AP664" s="260" t="str">
        <f>IF(ISNUMBER(SEARCH("R", 'Dry_Litterbag Placem_Collection'!V5)),"YES","NO")</f>
        <v>NO</v>
      </c>
    </row>
    <row r="665" spans="1:42" ht="15" customHeight="1">
      <c r="A665" t="s">
        <v>3248</v>
      </c>
      <c r="B665" s="252" t="s">
        <v>2643</v>
      </c>
      <c r="C665" s="253">
        <f>'Dry_Litterbag Placem_Collection'!A6</f>
        <v>4</v>
      </c>
      <c r="D665" s="253" t="str">
        <f>'Dry_Litterbag Placem_Collection'!B6</f>
        <v>Makao</v>
      </c>
      <c r="E665" s="253" t="s">
        <v>2643</v>
      </c>
      <c r="F665" s="253" t="s">
        <v>2644</v>
      </c>
      <c r="G665" s="253">
        <v>1</v>
      </c>
      <c r="H665" s="253" t="s">
        <v>3099</v>
      </c>
      <c r="I665" s="254" t="str">
        <f>'Dry_Litterbag Placem_Collection'!C6</f>
        <v>Dry_Ag1_T4</v>
      </c>
      <c r="J665" s="263" t="s">
        <v>2932</v>
      </c>
      <c r="K665" s="264" t="s">
        <v>298</v>
      </c>
      <c r="L665" s="253" t="str">
        <f>IF(ISBLANK('Dry_Litterbag Placem_Collection'!M6),"","R"&amp;""&amp;'Dry_Litterbag Placem_Collection'!M6)</f>
        <v>R298</v>
      </c>
      <c r="M665" s="257">
        <f>IFERROR(INDEX('Green_rooibos initial weight'!$C$5:$C$2000,MATCH(L665, 'Green_rooibos initial weight'!$A$5:$A$2000,0)),"")</f>
        <v>2.2229999999999999</v>
      </c>
      <c r="N665" s="257">
        <f>IFERROR(M665-(TBIcalc!$Q$9+TBIcalc!$Q$10),"")</f>
        <v>1.9731999999999998</v>
      </c>
      <c r="O665" s="378">
        <f>AVERAGE(Ashed_controlls!$K$12:$K$14)</f>
        <v>2.2816647271287041</v>
      </c>
      <c r="P665" s="257">
        <f t="shared" si="51"/>
        <v>1.9281781916042962</v>
      </c>
      <c r="Q665" s="257">
        <f>IFERROR(INDEX('Both teabags AfterDry'!$D$2:$D$2000,MATCH(L665,'Both teabags AfterDry'!$A$2:$A$2000,0)),"")</f>
        <v>1.9487000000000001</v>
      </c>
      <c r="R665" s="257">
        <f>IFERROR(IF(Q665&gt;0,Q665-(TBIcalc!$Q$9),""),"")</f>
        <v>1.7981</v>
      </c>
      <c r="S665" s="268">
        <f>IFERROR(INDEX('Ashed teabags dry'!$K$2:$K$2000,MATCH(L665,'Ashed teabags dry'!$A$2:$A$2000,0)),"")</f>
        <v>2.1226415094341604</v>
      </c>
      <c r="T665" s="268">
        <f t="shared" si="52"/>
        <v>1.7599327830188645</v>
      </c>
      <c r="U665" s="258">
        <f>IF('Dry_Litterbag Placem_Collection'!E6="","",'Dry_Litterbag Placem_Collection'!E6)</f>
        <v>42938</v>
      </c>
      <c r="V665" s="258">
        <f>IF('Dry_Litterbag Placem_Collection'!G6="","",'Dry_Litterbag Placem_Collection'!G6)</f>
        <v>43007</v>
      </c>
      <c r="W665" s="259">
        <f t="shared" si="50"/>
        <v>69</v>
      </c>
      <c r="X665" s="257">
        <f t="shared" si="53"/>
        <v>0.17509999999999981</v>
      </c>
      <c r="Y665" s="257">
        <f t="shared" si="54"/>
        <v>0.16824540858543169</v>
      </c>
      <c r="Z665" s="261">
        <f>IFERROR(INDEX([3]Rainfall_Dry!$O$2:$O$217,MATCH(C665, [3]Rainfall_Dry!$A$2:$A$217,0)),"")</f>
        <v>6.900000125</v>
      </c>
      <c r="AA665" s="250">
        <v>12.565665055683967</v>
      </c>
      <c r="AB665" s="250">
        <v>0.9665896196679955</v>
      </c>
      <c r="AC665" s="250">
        <v>86.467745324648035</v>
      </c>
      <c r="AD665" s="251" t="s">
        <v>2653</v>
      </c>
      <c r="AE665" s="250">
        <v>4.02257269590931</v>
      </c>
      <c r="AF665" t="str">
        <f>IF('WetLitterbags placem_collection'!AB6="","",'WetLitterbags placem_collection'!AB6)</f>
        <v/>
      </c>
      <c r="AG665" t="str">
        <f>IF('WetLitterbags placem_collection'!Z6="","",'WetLitterbags placem_collection'!Z6)</f>
        <v/>
      </c>
      <c r="AH665" s="236" t="str">
        <f>IF('WetLitterbags placem_collection'!AA6="","",'WetLitterbags placem_collection'!AA6)</f>
        <v/>
      </c>
      <c r="AI665" t="str">
        <f>IF('WetLitterbags placem_collection'!AC6="","",'WetLitterbags placem_collection'!AC6)</f>
        <v/>
      </c>
      <c r="AJ665">
        <f>IFERROR(AVERAGE('Dry_Litterbag Placem_Collection'!O6,'Dry_Litterbag Placem_Collection'!R6),"")</f>
        <v>2.25</v>
      </c>
      <c r="AK665" s="261">
        <f>IFERROR(AVERAGE('Dry_Litterbag Placem_Collection'!N6,'Dry_Litterbag Placem_Collection'!Q6),"")</f>
        <v>27.35</v>
      </c>
      <c r="AL665" s="260">
        <f>INDEX([2]Coordinates!$B$2:$B$197,MATCH(I665,[2]Coordinates!$J$2:$J$197,0))</f>
        <v>-3.3977780399999999</v>
      </c>
      <c r="AM665" s="260">
        <f>INDEX([2]Coordinates!$C$2:$C$197,MATCH(I665,[2]Coordinates!$J$2:$J$197,0))</f>
        <v>34.83751204</v>
      </c>
      <c r="AN665" s="260" t="str">
        <f>IF(ISNUMBER(SEARCH("C", 'Dry_Litterbag Placem_Collection'!V6)),"YES","NO")</f>
        <v>NO</v>
      </c>
      <c r="AO665" s="260" t="str">
        <f>IF(ISNUMBER(SEARCH("H", 'Dry_Litterbag Placem_Collection'!V6)),"YES","NO")</f>
        <v>NO</v>
      </c>
      <c r="AP665" s="260" t="str">
        <f>IF(ISNUMBER(SEARCH("R", 'Dry_Litterbag Placem_Collection'!V6)),"YES","NO")</f>
        <v>NO</v>
      </c>
    </row>
    <row r="666" spans="1:42" ht="15" customHeight="1">
      <c r="A666" t="s">
        <v>3248</v>
      </c>
      <c r="B666" s="252" t="s">
        <v>2643</v>
      </c>
      <c r="C666" s="253">
        <f>'Dry_Litterbag Placem_Collection'!A7</f>
        <v>5</v>
      </c>
      <c r="D666" s="253" t="str">
        <f>'Dry_Litterbag Placem_Collection'!B7</f>
        <v>Makao</v>
      </c>
      <c r="E666" s="253" t="s">
        <v>2643</v>
      </c>
      <c r="F666" s="253" t="s">
        <v>2644</v>
      </c>
      <c r="G666" s="253">
        <v>1</v>
      </c>
      <c r="H666" s="253" t="s">
        <v>3099</v>
      </c>
      <c r="I666" s="254" t="str">
        <f>'Dry_Litterbag Placem_Collection'!C7</f>
        <v>Dry_Ag1_T5</v>
      </c>
      <c r="J666" s="263" t="s">
        <v>2932</v>
      </c>
      <c r="K666" s="264" t="s">
        <v>298</v>
      </c>
      <c r="L666" s="253" t="str">
        <f>IF(ISBLANK('Dry_Litterbag Placem_Collection'!M7),"","R"&amp;""&amp;'Dry_Litterbag Placem_Collection'!M7)</f>
        <v>R226</v>
      </c>
      <c r="M666" s="257">
        <f>IFERROR(INDEX('Green_rooibos initial weight'!$C$5:$C$2000,MATCH(L666, 'Green_rooibos initial weight'!$A$5:$A$2000,0)),"")</f>
        <v>2.2410000000000001</v>
      </c>
      <c r="N666" s="257">
        <f>IFERROR(M666-(TBIcalc!$Q$9+TBIcalc!$Q$10),"")</f>
        <v>1.9912000000000001</v>
      </c>
      <c r="O666" s="378">
        <f>AVERAGE(Ashed_controlls!$K$12:$K$14)</f>
        <v>2.2816647271287041</v>
      </c>
      <c r="P666" s="257">
        <f t="shared" si="51"/>
        <v>1.9457674919534134</v>
      </c>
      <c r="Q666" s="257" t="str">
        <f>IFERROR(INDEX('Both teabags AfterDry'!$D$2:$D$2000,MATCH(L666,'Both teabags AfterDry'!$A$2:$A$2000,0)),"")</f>
        <v/>
      </c>
      <c r="R666" s="257" t="str">
        <f>IFERROR(IF(Q666&gt;0,Q666-(TBIcalc!$Q$9),""),"")</f>
        <v/>
      </c>
      <c r="S666" s="268" t="str">
        <f>IFERROR(INDEX('Ashed teabags dry'!$K$2:$K$2000,MATCH(L666,'Ashed teabags dry'!$A$2:$A$2000,0)),"")</f>
        <v/>
      </c>
      <c r="T666" s="268" t="str">
        <f t="shared" si="52"/>
        <v/>
      </c>
      <c r="U666" s="258">
        <f>IF('Dry_Litterbag Placem_Collection'!E7="","",'Dry_Litterbag Placem_Collection'!E7)</f>
        <v>42938</v>
      </c>
      <c r="V666" s="258" t="str">
        <f>IF('Dry_Litterbag Placem_Collection'!G7="","",'Dry_Litterbag Placem_Collection'!G7)</f>
        <v/>
      </c>
      <c r="W666" s="259" t="str">
        <f t="shared" si="50"/>
        <v/>
      </c>
      <c r="X666" s="257" t="str">
        <f t="shared" si="53"/>
        <v/>
      </c>
      <c r="Y666" s="257" t="str">
        <f t="shared" si="54"/>
        <v/>
      </c>
      <c r="Z666" s="261" t="str">
        <f>IFERROR(INDEX([3]Rainfall_Dry!$O$2:$O$217,MATCH(C666, [3]Rainfall_Dry!$A$2:$A$217,0)),"")</f>
        <v/>
      </c>
      <c r="AA666" s="250">
        <v>12.565665055683967</v>
      </c>
      <c r="AB666" s="250">
        <v>0.9665896196679955</v>
      </c>
      <c r="AC666" s="250">
        <v>86.467745324648035</v>
      </c>
      <c r="AD666" s="251" t="s">
        <v>2653</v>
      </c>
      <c r="AE666" s="250">
        <v>5.02257269590931</v>
      </c>
      <c r="AF666">
        <f>IF('WetLitterbags placem_collection'!AB7="","",'WetLitterbags placem_collection'!AB7)</f>
        <v>28.4</v>
      </c>
      <c r="AG666">
        <f>IF('WetLitterbags placem_collection'!Z7="","",'WetLitterbags placem_collection'!Z7)</f>
        <v>36.4</v>
      </c>
      <c r="AH666" s="236" t="str">
        <f>IF('WetLitterbags placem_collection'!AA7="","",'WetLitterbags placem_collection'!AA7)</f>
        <v>M</v>
      </c>
      <c r="AI666">
        <f>IF('WetLitterbags placem_collection'!AC7="","",'WetLitterbags placem_collection'!AC7)</f>
        <v>1</v>
      </c>
      <c r="AJ666">
        <f>IFERROR(AVERAGE('Dry_Litterbag Placem_Collection'!O7,'Dry_Litterbag Placem_Collection'!R7),"")</f>
        <v>3.2</v>
      </c>
      <c r="AK666" s="261">
        <f>IFERROR(AVERAGE('Dry_Litterbag Placem_Collection'!N7,'Dry_Litterbag Placem_Collection'!Q7),"")</f>
        <v>26.7</v>
      </c>
      <c r="AL666" s="260">
        <f>INDEX([2]Coordinates!$B$2:$B$197,MATCH(I666,[2]Coordinates!$J$2:$J$197,0))</f>
        <v>-3.3978020120000001</v>
      </c>
      <c r="AM666" s="260">
        <f>INDEX([2]Coordinates!$C$2:$C$197,MATCH(I666,[2]Coordinates!$J$2:$J$197,0))</f>
        <v>34.83751204</v>
      </c>
      <c r="AN666" s="260" t="str">
        <f>IF(ISNUMBER(SEARCH("C", 'Dry_Litterbag Placem_Collection'!V7)),"YES","NO")</f>
        <v>NO</v>
      </c>
      <c r="AO666" s="260" t="str">
        <f>IF(ISNUMBER(SEARCH("H", 'Dry_Litterbag Placem_Collection'!V7)),"YES","NO")</f>
        <v>NO</v>
      </c>
      <c r="AP666" s="260" t="str">
        <f>IF(ISNUMBER(SEARCH("R", 'Dry_Litterbag Placem_Collection'!V7)),"YES","NO")</f>
        <v>NO</v>
      </c>
    </row>
    <row r="667" spans="1:42" ht="15" customHeight="1">
      <c r="A667" t="s">
        <v>3248</v>
      </c>
      <c r="B667" s="252" t="s">
        <v>2643</v>
      </c>
      <c r="C667" s="253">
        <f>'Dry_Litterbag Placem_Collection'!A8</f>
        <v>6</v>
      </c>
      <c r="D667" s="253" t="str">
        <f>'Dry_Litterbag Placem_Collection'!B8</f>
        <v>Makao</v>
      </c>
      <c r="E667" s="253" t="s">
        <v>2643</v>
      </c>
      <c r="F667" s="253" t="s">
        <v>2644</v>
      </c>
      <c r="G667" s="253">
        <v>1</v>
      </c>
      <c r="H667" s="253" t="s">
        <v>3099</v>
      </c>
      <c r="I667" s="254" t="str">
        <f>'Dry_Litterbag Placem_Collection'!C8</f>
        <v>Dry_Ag1_T6</v>
      </c>
      <c r="J667" s="263" t="s">
        <v>2932</v>
      </c>
      <c r="K667" s="264" t="s">
        <v>298</v>
      </c>
      <c r="L667" s="253" t="str">
        <f>IF(ISBLANK('Dry_Litterbag Placem_Collection'!M8),"","R"&amp;""&amp;'Dry_Litterbag Placem_Collection'!M8)</f>
        <v>R286</v>
      </c>
      <c r="M667" s="257">
        <f>IFERROR(INDEX('Green_rooibos initial weight'!$C$5:$C$2000,MATCH(L667, 'Green_rooibos initial weight'!$A$5:$A$2000,0)),"")</f>
        <v>2.2160000000000002</v>
      </c>
      <c r="N667" s="257">
        <f>IFERROR(M667-(TBIcalc!$Q$9+TBIcalc!$Q$10),"")</f>
        <v>1.9662000000000002</v>
      </c>
      <c r="O667" s="378">
        <f>AVERAGE(Ashed_controlls!$K$12:$K$14)</f>
        <v>2.2816647271287041</v>
      </c>
      <c r="P667" s="257">
        <f t="shared" si="51"/>
        <v>1.9213379081351956</v>
      </c>
      <c r="Q667" s="257" t="str">
        <f>IFERROR(INDEX('Both teabags AfterDry'!$D$2:$D$2000,MATCH(L667,'Both teabags AfterDry'!$A$2:$A$2000,0)),"")</f>
        <v/>
      </c>
      <c r="R667" s="257" t="str">
        <f>IFERROR(IF(Q667&gt;0,Q667-(TBIcalc!$Q$9),""),"")</f>
        <v/>
      </c>
      <c r="S667" s="268" t="str">
        <f>IFERROR(INDEX('Ashed teabags dry'!$K$2:$K$2000,MATCH(L667,'Ashed teabags dry'!$A$2:$A$2000,0)),"")</f>
        <v/>
      </c>
      <c r="T667" s="268" t="str">
        <f t="shared" si="52"/>
        <v/>
      </c>
      <c r="U667" s="258">
        <f>IF('Dry_Litterbag Placem_Collection'!E8="","",'Dry_Litterbag Placem_Collection'!E8)</f>
        <v>42938</v>
      </c>
      <c r="V667" s="258">
        <f>IF('Dry_Litterbag Placem_Collection'!G8="","",'Dry_Litterbag Placem_Collection'!G8)</f>
        <v>43007</v>
      </c>
      <c r="W667" s="259">
        <f t="shared" si="50"/>
        <v>69</v>
      </c>
      <c r="X667" s="257" t="str">
        <f t="shared" si="53"/>
        <v/>
      </c>
      <c r="Y667" s="257" t="str">
        <f t="shared" si="54"/>
        <v/>
      </c>
      <c r="Z667" s="261">
        <f>IFERROR(INDEX([3]Rainfall_Dry!$O$2:$O$217,MATCH(C667, [3]Rainfall_Dry!$A$2:$A$217,0)),"")</f>
        <v>6.900000125</v>
      </c>
      <c r="AA667" s="250">
        <v>12.565665055683967</v>
      </c>
      <c r="AB667" s="250">
        <v>0.9665896196679955</v>
      </c>
      <c r="AC667" s="250">
        <v>86.467745324648035</v>
      </c>
      <c r="AD667" s="251" t="s">
        <v>2653</v>
      </c>
      <c r="AE667" s="250">
        <v>6.02257269590931</v>
      </c>
      <c r="AF667">
        <f>IF('WetLitterbags placem_collection'!AB8="","",'WetLitterbags placem_collection'!AB8)</f>
        <v>32.4</v>
      </c>
      <c r="AG667">
        <f>IF('WetLitterbags placem_collection'!Z8="","",'WetLitterbags placem_collection'!Z8)</f>
        <v>31</v>
      </c>
      <c r="AH667" s="236" t="str">
        <f>IF('WetLitterbags placem_collection'!AA8="","",'WetLitterbags placem_collection'!AA8)</f>
        <v>M</v>
      </c>
      <c r="AI667">
        <f>IF('WetLitterbags placem_collection'!AC8="","",'WetLitterbags placem_collection'!AC8)</f>
        <v>1</v>
      </c>
      <c r="AJ667">
        <f>IFERROR(AVERAGE('Dry_Litterbag Placem_Collection'!O8,'Dry_Litterbag Placem_Collection'!R8),"")</f>
        <v>5.35</v>
      </c>
      <c r="AK667" s="261">
        <f>IFERROR(AVERAGE('Dry_Litterbag Placem_Collection'!N8,'Dry_Litterbag Placem_Collection'!Q8),"")</f>
        <v>26.6</v>
      </c>
      <c r="AL667" s="260">
        <f>INDEX([2]Coordinates!$B$2:$B$197,MATCH(I667,[2]Coordinates!$J$2:$J$197,0))</f>
        <v>-3.3977389800000002</v>
      </c>
      <c r="AM667" s="260">
        <f>INDEX([2]Coordinates!$C$2:$C$197,MATCH(I667,[2]Coordinates!$J$2:$J$197,0))</f>
        <v>34.837501979999999</v>
      </c>
      <c r="AN667" s="260" t="str">
        <f>IF(ISNUMBER(SEARCH("C", 'Dry_Litterbag Placem_Collection'!V8)),"YES","NO")</f>
        <v>NO</v>
      </c>
      <c r="AO667" s="260" t="str">
        <f>IF(ISNUMBER(SEARCH("H", 'Dry_Litterbag Placem_Collection'!V8)),"YES","NO")</f>
        <v>NO</v>
      </c>
      <c r="AP667" s="260" t="str">
        <f>IF(ISNUMBER(SEARCH("R", 'Dry_Litterbag Placem_Collection'!V8)),"YES","NO")</f>
        <v>NO</v>
      </c>
    </row>
    <row r="668" spans="1:42" ht="15" customHeight="1">
      <c r="A668" t="s">
        <v>3248</v>
      </c>
      <c r="B668" s="252" t="s">
        <v>2643</v>
      </c>
      <c r="C668" s="253">
        <f>'Dry_Litterbag Placem_Collection'!A9</f>
        <v>7</v>
      </c>
      <c r="D668" s="253" t="str">
        <f>'Dry_Litterbag Placem_Collection'!B9</f>
        <v>Makao</v>
      </c>
      <c r="E668" s="253" t="s">
        <v>2643</v>
      </c>
      <c r="F668" s="253" t="s">
        <v>2644</v>
      </c>
      <c r="G668" s="253">
        <v>1</v>
      </c>
      <c r="H668" s="253" t="s">
        <v>3099</v>
      </c>
      <c r="I668" s="254" t="str">
        <f>'Dry_Litterbag Placem_Collection'!C9</f>
        <v>Dry_Ag1_T7</v>
      </c>
      <c r="J668" s="263" t="s">
        <v>2932</v>
      </c>
      <c r="K668" s="264" t="s">
        <v>298</v>
      </c>
      <c r="L668" s="253" t="str">
        <f>IF(ISBLANK('Dry_Litterbag Placem_Collection'!M9),"","R"&amp;""&amp;'Dry_Litterbag Placem_Collection'!M9)</f>
        <v>R210</v>
      </c>
      <c r="M668" s="257">
        <f>IFERROR(INDEX('Green_rooibos initial weight'!$C$5:$C$2000,MATCH(L668, 'Green_rooibos initial weight'!$A$5:$A$2000,0)),"")</f>
        <v>2.2429999999999999</v>
      </c>
      <c r="N668" s="257">
        <f>IFERROR(M668-(TBIcalc!$Q$9+TBIcalc!$Q$10),"")</f>
        <v>1.9931999999999999</v>
      </c>
      <c r="O668" s="378">
        <f>AVERAGE(Ashed_controlls!$K$12:$K$14)</f>
        <v>2.2816647271287041</v>
      </c>
      <c r="P668" s="257">
        <f t="shared" si="51"/>
        <v>1.9477218586588705</v>
      </c>
      <c r="Q668" s="257">
        <f>IFERROR(INDEX('Both teabags AfterDry'!$D$2:$D$2000,MATCH(L668,'Both teabags AfterDry'!$A$2:$A$2000,0)),"")</f>
        <v>2.0261</v>
      </c>
      <c r="R668" s="257">
        <f>IFERROR(IF(Q668&gt;0,Q668-(TBIcalc!$Q$9),""),"")</f>
        <v>1.8754999999999999</v>
      </c>
      <c r="S668" s="268">
        <f>IFERROR(INDEX('Ashed teabags dry'!$K$2:$K$2000,MATCH(L668,'Ashed teabags dry'!$A$2:$A$2000,0)),"")</f>
        <v>3.0331753554506005</v>
      </c>
      <c r="T668" s="268">
        <f t="shared" si="52"/>
        <v>1.8186127962085239</v>
      </c>
      <c r="U668" s="258">
        <f>IF('Dry_Litterbag Placem_Collection'!E9="","",'Dry_Litterbag Placem_Collection'!E9)</f>
        <v>42938</v>
      </c>
      <c r="V668" s="258">
        <f>IF('Dry_Litterbag Placem_Collection'!G9="","",'Dry_Litterbag Placem_Collection'!G9)</f>
        <v>43007</v>
      </c>
      <c r="W668" s="259">
        <f t="shared" si="50"/>
        <v>69</v>
      </c>
      <c r="X668" s="257">
        <f t="shared" si="53"/>
        <v>0.11769999999999992</v>
      </c>
      <c r="Y668" s="257">
        <f t="shared" si="54"/>
        <v>0.12910906245034659</v>
      </c>
      <c r="Z668" s="261">
        <f>IFERROR(INDEX([3]Rainfall_Dry!$O$2:$O$217,MATCH(C668, [3]Rainfall_Dry!$A$2:$A$217,0)),"")</f>
        <v>6.900000125</v>
      </c>
      <c r="AA668" s="250">
        <v>12.565665055683967</v>
      </c>
      <c r="AB668" s="250">
        <v>0.9665896196679955</v>
      </c>
      <c r="AC668" s="250">
        <v>86.467745324648035</v>
      </c>
      <c r="AD668" s="251" t="s">
        <v>2653</v>
      </c>
      <c r="AE668" s="250">
        <v>7.02257269590931</v>
      </c>
      <c r="AF668">
        <f>IF('WetLitterbags placem_collection'!AB9="","",'WetLitterbags placem_collection'!AB9)</f>
        <v>36</v>
      </c>
      <c r="AG668">
        <f>IF('WetLitterbags placem_collection'!Z9="","",'WetLitterbags placem_collection'!Z9)</f>
        <v>43.4</v>
      </c>
      <c r="AH668" s="236" t="str">
        <f>IF('WetLitterbags placem_collection'!AA9="","",'WetLitterbags placem_collection'!AA9)</f>
        <v>M</v>
      </c>
      <c r="AI668">
        <f>IF('WetLitterbags placem_collection'!AC9="","",'WetLitterbags placem_collection'!AC9)</f>
        <v>1</v>
      </c>
      <c r="AJ668">
        <f>IFERROR(AVERAGE('Dry_Litterbag Placem_Collection'!O9,'Dry_Litterbag Placem_Collection'!R9),"")</f>
        <v>2.95</v>
      </c>
      <c r="AK668" s="261">
        <f>IFERROR(AVERAGE('Dry_Litterbag Placem_Collection'!N9,'Dry_Litterbag Placem_Collection'!Q9),"")</f>
        <v>24.75</v>
      </c>
      <c r="AL668" s="260">
        <f>INDEX([2]Coordinates!$B$2:$B$197,MATCH(I668,[2]Coordinates!$J$2:$J$197,0))</f>
        <v>-3.3977630360000002</v>
      </c>
      <c r="AM668" s="260">
        <f>INDEX([2]Coordinates!$C$2:$C$197,MATCH(I668,[2]Coordinates!$J$2:$J$197,0))</f>
        <v>34.837600969999997</v>
      </c>
      <c r="AN668" s="260" t="str">
        <f>IF(ISNUMBER(SEARCH("C", 'Dry_Litterbag Placem_Collection'!V9)),"YES","NO")</f>
        <v>NO</v>
      </c>
      <c r="AO668" s="260" t="str">
        <f>IF(ISNUMBER(SEARCH("H", 'Dry_Litterbag Placem_Collection'!V9)),"YES","NO")</f>
        <v>NO</v>
      </c>
      <c r="AP668" s="260" t="str">
        <f>IF(ISNUMBER(SEARCH("R", 'Dry_Litterbag Placem_Collection'!V9)),"YES","NO")</f>
        <v>NO</v>
      </c>
    </row>
    <row r="669" spans="1:42" ht="15" customHeight="1">
      <c r="A669" t="s">
        <v>3248</v>
      </c>
      <c r="B669" s="252" t="s">
        <v>2643</v>
      </c>
      <c r="C669" s="253">
        <f>'Dry_Litterbag Placem_Collection'!A10</f>
        <v>8</v>
      </c>
      <c r="D669" s="253" t="str">
        <f>'Dry_Litterbag Placem_Collection'!B10</f>
        <v>Makao</v>
      </c>
      <c r="E669" s="253" t="s">
        <v>2643</v>
      </c>
      <c r="F669" s="253" t="s">
        <v>2644</v>
      </c>
      <c r="G669" s="253">
        <v>1</v>
      </c>
      <c r="H669" s="253" t="s">
        <v>3099</v>
      </c>
      <c r="I669" s="254" t="str">
        <f>'Dry_Litterbag Placem_Collection'!C10</f>
        <v>Dry_Ag1_T8</v>
      </c>
      <c r="J669" s="263" t="s">
        <v>2932</v>
      </c>
      <c r="K669" s="264" t="s">
        <v>298</v>
      </c>
      <c r="L669" s="253" t="str">
        <f>IF(ISBLANK('Dry_Litterbag Placem_Collection'!M10),"","R"&amp;""&amp;'Dry_Litterbag Placem_Collection'!M10)</f>
        <v>R213</v>
      </c>
      <c r="M669" s="257">
        <f>IFERROR(INDEX('Green_rooibos initial weight'!$C$5:$C$2000,MATCH(L669, 'Green_rooibos initial weight'!$A$5:$A$2000,0)),"")</f>
        <v>2.254</v>
      </c>
      <c r="N669" s="257">
        <f>IFERROR(M669-(TBIcalc!$Q$9+TBIcalc!$Q$10),"")</f>
        <v>2.0042</v>
      </c>
      <c r="O669" s="378">
        <f>AVERAGE(Ashed_controlls!$K$12:$K$14)</f>
        <v>2.2816647271287041</v>
      </c>
      <c r="P669" s="257">
        <f t="shared" si="51"/>
        <v>1.9584708755388864</v>
      </c>
      <c r="Q669" s="257">
        <f>IFERROR(INDEX('Both teabags AfterDry'!$D$2:$D$2000,MATCH(L669,'Both teabags AfterDry'!$A$2:$A$2000,0)),"")</f>
        <v>1.7698</v>
      </c>
      <c r="R669" s="257">
        <f>IFERROR(IF(Q669&gt;0,Q669-(TBIcalc!$Q$9),""),"")</f>
        <v>1.6192</v>
      </c>
      <c r="S669" s="268">
        <f>IFERROR(INDEX('Ashed teabags dry'!$K$2:$K$2000,MATCH(L669,'Ashed teabags dry'!$A$2:$A$2000,0)),"")</f>
        <v>2.3334747560458351</v>
      </c>
      <c r="T669" s="268">
        <f t="shared" si="52"/>
        <v>1.5814163767501057</v>
      </c>
      <c r="U669" s="258">
        <f>IF('Dry_Litterbag Placem_Collection'!E10="","",'Dry_Litterbag Placem_Collection'!E10)</f>
        <v>42938</v>
      </c>
      <c r="V669" s="258">
        <f>IF('Dry_Litterbag Placem_Collection'!G10="","",'Dry_Litterbag Placem_Collection'!G10)</f>
        <v>43007</v>
      </c>
      <c r="W669" s="259">
        <f t="shared" si="50"/>
        <v>69</v>
      </c>
      <c r="X669" s="257">
        <f t="shared" si="53"/>
        <v>0.38500000000000001</v>
      </c>
      <c r="Y669" s="257">
        <f t="shared" si="54"/>
        <v>0.37705449878878072</v>
      </c>
      <c r="Z669" s="261">
        <f>IFERROR(INDEX([3]Rainfall_Dry!$O$2:$O$217,MATCH(C669, [3]Rainfall_Dry!$A$2:$A$217,0)),"")</f>
        <v>6.900000125</v>
      </c>
      <c r="AA669" s="250">
        <v>12.565665055683967</v>
      </c>
      <c r="AB669" s="250">
        <v>0.9665896196679955</v>
      </c>
      <c r="AC669" s="250">
        <v>86.467745324648035</v>
      </c>
      <c r="AD669" s="251" t="s">
        <v>2653</v>
      </c>
      <c r="AE669" s="250">
        <v>8.0225726959093109</v>
      </c>
      <c r="AF669">
        <f>IF('WetLitterbags placem_collection'!AB10="","",'WetLitterbags placem_collection'!AB10)</f>
        <v>36</v>
      </c>
      <c r="AG669">
        <f>IF('WetLitterbags placem_collection'!Z10="","",'WetLitterbags placem_collection'!Z10)</f>
        <v>38.4</v>
      </c>
      <c r="AH669" s="236" t="str">
        <f>IF('WetLitterbags placem_collection'!AA10="","",'WetLitterbags placem_collection'!AA10)</f>
        <v>M</v>
      </c>
      <c r="AI669" t="str">
        <f>IF('WetLitterbags placem_collection'!AC10="","",'WetLitterbags placem_collection'!AC10)</f>
        <v/>
      </c>
      <c r="AJ669">
        <f>IFERROR(AVERAGE('Dry_Litterbag Placem_Collection'!O10,'Dry_Litterbag Placem_Collection'!R10),"")</f>
        <v>2.5999999999999996</v>
      </c>
      <c r="AK669" s="261">
        <f>IFERROR(AVERAGE('Dry_Litterbag Placem_Collection'!N10,'Dry_Litterbag Placem_Collection'!Q10),"")</f>
        <v>26</v>
      </c>
      <c r="AL669" s="260">
        <f>INDEX([2]Coordinates!$B$2:$B$197,MATCH(I669,[2]Coordinates!$J$2:$J$197,0))</f>
        <v>-3.3977320230000001</v>
      </c>
      <c r="AM669" s="260">
        <f>INDEX([2]Coordinates!$C$2:$C$197,MATCH(I669,[2]Coordinates!$J$2:$J$197,0))</f>
        <v>34.837561989999998</v>
      </c>
      <c r="AN669" s="260" t="str">
        <f>IF(ISNUMBER(SEARCH("C", 'Dry_Litterbag Placem_Collection'!V10)),"YES","NO")</f>
        <v>NO</v>
      </c>
      <c r="AO669" s="260" t="str">
        <f>IF(ISNUMBER(SEARCH("H", 'Dry_Litterbag Placem_Collection'!V10)),"YES","NO")</f>
        <v>NO</v>
      </c>
      <c r="AP669" s="260" t="str">
        <f>IF(ISNUMBER(SEARCH("R", 'Dry_Litterbag Placem_Collection'!V10)),"YES","NO")</f>
        <v>NO</v>
      </c>
    </row>
    <row r="670" spans="1:42" ht="15" customHeight="1">
      <c r="A670" t="s">
        <v>3248</v>
      </c>
      <c r="B670" s="252" t="s">
        <v>2643</v>
      </c>
      <c r="C670" s="253">
        <f>'Dry_Litterbag Placem_Collection'!A11</f>
        <v>9</v>
      </c>
      <c r="D670" s="253" t="str">
        <f>'Dry_Litterbag Placem_Collection'!B11</f>
        <v>Makao</v>
      </c>
      <c r="E670" s="253" t="s">
        <v>2643</v>
      </c>
      <c r="F670" s="253" t="s">
        <v>2644</v>
      </c>
      <c r="G670" s="253">
        <v>2</v>
      </c>
      <c r="H670" s="253" t="s">
        <v>3103</v>
      </c>
      <c r="I670" s="254" t="str">
        <f>'Dry_Litterbag Placem_Collection'!C11</f>
        <v>Dry_Ag2_T1</v>
      </c>
      <c r="J670" s="263" t="s">
        <v>2932</v>
      </c>
      <c r="K670" s="264" t="s">
        <v>298</v>
      </c>
      <c r="L670" s="253" t="str">
        <f>IF(ISBLANK('Dry_Litterbag Placem_Collection'!M11),"","R"&amp;""&amp;'Dry_Litterbag Placem_Collection'!M11)</f>
        <v>R704</v>
      </c>
      <c r="M670" s="257">
        <f>IFERROR(INDEX('Green_rooibos initial weight'!$C$5:$C$2000,MATCH(L670, 'Green_rooibos initial weight'!$A$5:$A$2000,0)),"")</f>
        <v>2.1480000000000001</v>
      </c>
      <c r="N670" s="257">
        <f>IFERROR(M670-(TBIcalc!$Q$9+TBIcalc!$Q$10),"")</f>
        <v>1.8982000000000001</v>
      </c>
      <c r="O670" s="378">
        <f>AVERAGE(Ashed_controlls!$K$12:$K$14)</f>
        <v>2.2816647271287041</v>
      </c>
      <c r="P670" s="257">
        <f t="shared" si="51"/>
        <v>1.854889440149643</v>
      </c>
      <c r="Q670" s="257">
        <f>IFERROR(INDEX('Both teabags AfterDry'!$D$2:$D$2000,MATCH(L670,'Both teabags AfterDry'!$A$2:$A$2000,0)),"")</f>
        <v>1.9311</v>
      </c>
      <c r="R670" s="257">
        <f>IFERROR(IF(Q670&gt;0,Q670-(TBIcalc!$Q$9),""),"")</f>
        <v>1.7805</v>
      </c>
      <c r="S670" s="268">
        <f>IFERROR(INDEX('Ashed teabags dry'!$K$2:$K$2000,MATCH(L670,'Ashed teabags dry'!$A$2:$A$2000,0)),"")</f>
        <v>2.4847632442568237</v>
      </c>
      <c r="T670" s="268">
        <f t="shared" si="52"/>
        <v>1.7362587904360072</v>
      </c>
      <c r="U670" s="258">
        <f>IF('Dry_Litterbag Placem_Collection'!E11="","",'Dry_Litterbag Placem_Collection'!E11)</f>
        <v>42938</v>
      </c>
      <c r="V670" s="258">
        <f>IF('Dry_Litterbag Placem_Collection'!G11="","",'Dry_Litterbag Placem_Collection'!G11)</f>
        <v>43007</v>
      </c>
      <c r="W670" s="259">
        <f t="shared" si="50"/>
        <v>69</v>
      </c>
      <c r="X670" s="257">
        <f t="shared" si="53"/>
        <v>0.11770000000000014</v>
      </c>
      <c r="Y670" s="257">
        <f t="shared" si="54"/>
        <v>0.11863064971363579</v>
      </c>
      <c r="Z670" s="261">
        <f>IFERROR(INDEX([3]Rainfall_Dry!$O$2:$O$217,MATCH(C670, [3]Rainfall_Dry!$A$2:$A$217,0)),"")</f>
        <v>6.900000125</v>
      </c>
      <c r="AA670" s="250">
        <v>21.13063730679653</v>
      </c>
      <c r="AB670" s="250">
        <v>3.0912555579081076</v>
      </c>
      <c r="AC670" s="250">
        <v>75.778107135295357</v>
      </c>
      <c r="AD670" s="251" t="s">
        <v>2651</v>
      </c>
      <c r="AE670" s="250">
        <v>0.46131099063578063</v>
      </c>
      <c r="AF670">
        <f>IF('WetLitterbags placem_collection'!AB11="","",'WetLitterbags placem_collection'!AB11)</f>
        <v>10.8</v>
      </c>
      <c r="AG670">
        <f>IF('WetLitterbags placem_collection'!Z11="","",'WetLitterbags placem_collection'!Z11)</f>
        <v>28.4</v>
      </c>
      <c r="AH670" s="236" t="str">
        <f>IF('WetLitterbags placem_collection'!AA11="","",'WetLitterbags placem_collection'!AA11)</f>
        <v>M</v>
      </c>
      <c r="AI670">
        <f>IF('WetLitterbags placem_collection'!AC11="","",'WetLitterbags placem_collection'!AC11)</f>
        <v>0</v>
      </c>
      <c r="AJ670">
        <f>IFERROR(AVERAGE('Dry_Litterbag Placem_Collection'!O11,'Dry_Litterbag Placem_Collection'!R11),"")</f>
        <v>3.3</v>
      </c>
      <c r="AK670" s="261">
        <f>IFERROR(AVERAGE('Dry_Litterbag Placem_Collection'!N11,'Dry_Litterbag Placem_Collection'!Q11),"")</f>
        <v>26.15</v>
      </c>
      <c r="AL670" s="260">
        <f>INDEX([2]Coordinates!$B$2:$B$197,MATCH(I670,[2]Coordinates!$J$2:$J$197,0))</f>
        <v>-3.3978290019999999</v>
      </c>
      <c r="AM670" s="260">
        <f>INDEX([2]Coordinates!$C$2:$C$197,MATCH(I670,[2]Coordinates!$J$2:$J$197,0))</f>
        <v>34.837011969999999</v>
      </c>
      <c r="AN670" s="260" t="str">
        <f>IF(ISNUMBER(SEARCH("C", 'Dry_Litterbag Placem_Collection'!V11)),"YES","NO")</f>
        <v>NO</v>
      </c>
      <c r="AO670" s="260" t="str">
        <f>IF(ISNUMBER(SEARCH("H", 'Dry_Litterbag Placem_Collection'!V11)),"YES","NO")</f>
        <v>NO</v>
      </c>
      <c r="AP670" s="260" t="str">
        <f>IF(ISNUMBER(SEARCH("R", 'Dry_Litterbag Placem_Collection'!V11)),"YES","NO")</f>
        <v>NO</v>
      </c>
    </row>
    <row r="671" spans="1:42" ht="15" customHeight="1">
      <c r="A671" t="s">
        <v>3248</v>
      </c>
      <c r="B671" s="252" t="s">
        <v>2643</v>
      </c>
      <c r="C671" s="253">
        <f>'Dry_Litterbag Placem_Collection'!A12</f>
        <v>10</v>
      </c>
      <c r="D671" s="253" t="str">
        <f>'Dry_Litterbag Placem_Collection'!B12</f>
        <v>Makao</v>
      </c>
      <c r="E671" s="253" t="s">
        <v>2643</v>
      </c>
      <c r="F671" s="253" t="s">
        <v>2644</v>
      </c>
      <c r="G671" s="253">
        <v>2</v>
      </c>
      <c r="H671" s="253" t="s">
        <v>3103</v>
      </c>
      <c r="I671" s="254" t="str">
        <f>'Dry_Litterbag Placem_Collection'!C12</f>
        <v>Dry_Ag2_T2</v>
      </c>
      <c r="J671" s="263" t="s">
        <v>2932</v>
      </c>
      <c r="K671" s="264" t="s">
        <v>298</v>
      </c>
      <c r="L671" s="253" t="str">
        <f>IF(ISBLANK('Dry_Litterbag Placem_Collection'!M12),"","R"&amp;""&amp;'Dry_Litterbag Placem_Collection'!M12)</f>
        <v>R355</v>
      </c>
      <c r="M671" s="257">
        <f>IFERROR(INDEX('Green_rooibos initial weight'!$C$5:$C$2000,MATCH(L671, 'Green_rooibos initial weight'!$A$5:$A$2000,0)),"")</f>
        <v>2.1850000000000001</v>
      </c>
      <c r="N671" s="257">
        <f>IFERROR(M671-(TBIcalc!$Q$9+TBIcalc!$Q$10),"")</f>
        <v>1.9352</v>
      </c>
      <c r="O671" s="378">
        <f>AVERAGE(Ashed_controlls!$K$12:$K$14)</f>
        <v>2.2816647271287041</v>
      </c>
      <c r="P671" s="257">
        <f t="shared" si="51"/>
        <v>1.8910452242006053</v>
      </c>
      <c r="Q671" s="257" t="str">
        <f>IFERROR(INDEX('Both teabags AfterDry'!$D$2:$D$2000,MATCH(L671,'Both teabags AfterDry'!$A$2:$A$2000,0)),"")</f>
        <v/>
      </c>
      <c r="R671" s="257" t="str">
        <f>IFERROR(IF(Q671&gt;0,Q671-(TBIcalc!$Q$9),""),"")</f>
        <v/>
      </c>
      <c r="S671" s="268" t="str">
        <f>IFERROR(INDEX('Ashed teabags dry'!$K$2:$K$2000,MATCH(L671,'Ashed teabags dry'!$A$2:$A$2000,0)),"")</f>
        <v/>
      </c>
      <c r="T671" s="268" t="str">
        <f t="shared" si="52"/>
        <v/>
      </c>
      <c r="U671" s="258">
        <f>IF('Dry_Litterbag Placem_Collection'!E12="","",'Dry_Litterbag Placem_Collection'!E12)</f>
        <v>42938</v>
      </c>
      <c r="V671" s="258" t="str">
        <f>IF('Dry_Litterbag Placem_Collection'!G12="","",'Dry_Litterbag Placem_Collection'!G12)</f>
        <v/>
      </c>
      <c r="W671" s="259" t="str">
        <f t="shared" si="50"/>
        <v/>
      </c>
      <c r="X671" s="257" t="str">
        <f t="shared" si="53"/>
        <v/>
      </c>
      <c r="Y671" s="257" t="str">
        <f t="shared" si="54"/>
        <v/>
      </c>
      <c r="Z671" s="261" t="str">
        <f>IFERROR(INDEX([3]Rainfall_Dry!$O$2:$O$217,MATCH(C671, [3]Rainfall_Dry!$A$2:$A$217,0)),"")</f>
        <v/>
      </c>
      <c r="AA671" s="250">
        <v>21.13063730679653</v>
      </c>
      <c r="AB671" s="250">
        <v>3.0912555579081076</v>
      </c>
      <c r="AC671" s="250">
        <v>75.778107135295357</v>
      </c>
      <c r="AD671" s="251" t="s">
        <v>2651</v>
      </c>
      <c r="AE671" s="250">
        <v>1.46131099063578</v>
      </c>
      <c r="AF671">
        <f>IF('WetLitterbags placem_collection'!AB12="","",'WetLitterbags placem_collection'!AB12)</f>
        <v>16.8</v>
      </c>
      <c r="AG671">
        <f>IF('WetLitterbags placem_collection'!Z12="","",'WetLitterbags placem_collection'!Z12)</f>
        <v>30</v>
      </c>
      <c r="AH671" s="236" t="str">
        <f>IF('WetLitterbags placem_collection'!AA12="","",'WetLitterbags placem_collection'!AA12)</f>
        <v>M</v>
      </c>
      <c r="AI671">
        <f>IF('WetLitterbags placem_collection'!AC12="","",'WetLitterbags placem_collection'!AC12)</f>
        <v>0</v>
      </c>
      <c r="AJ671">
        <f>IFERROR(AVERAGE('Dry_Litterbag Placem_Collection'!O12,'Dry_Litterbag Placem_Collection'!R12),"")</f>
        <v>1.5</v>
      </c>
      <c r="AK671" s="261">
        <f>IFERROR(AVERAGE('Dry_Litterbag Placem_Collection'!N12,'Dry_Litterbag Placem_Collection'!Q12),"")</f>
        <v>26.1</v>
      </c>
      <c r="AL671" s="260">
        <f>INDEX([2]Coordinates!$B$2:$B$197,MATCH(I671,[2]Coordinates!$J$2:$J$197,0))</f>
        <v>-3.3978119869999999</v>
      </c>
      <c r="AM671" s="260">
        <f>INDEX([2]Coordinates!$C$2:$C$197,MATCH(I671,[2]Coordinates!$J$2:$J$197,0))</f>
        <v>34.836968980000002</v>
      </c>
      <c r="AN671" s="260" t="str">
        <f>IF(ISNUMBER(SEARCH("C", 'Dry_Litterbag Placem_Collection'!V12)),"YES","NO")</f>
        <v>NO</v>
      </c>
      <c r="AO671" s="260" t="str">
        <f>IF(ISNUMBER(SEARCH("H", 'Dry_Litterbag Placem_Collection'!V12)),"YES","NO")</f>
        <v>NO</v>
      </c>
      <c r="AP671" s="260" t="str">
        <f>IF(ISNUMBER(SEARCH("R", 'Dry_Litterbag Placem_Collection'!V12)),"YES","NO")</f>
        <v>NO</v>
      </c>
    </row>
    <row r="672" spans="1:42" ht="15" customHeight="1">
      <c r="A672" t="s">
        <v>3248</v>
      </c>
      <c r="B672" s="252" t="s">
        <v>2643</v>
      </c>
      <c r="C672" s="253">
        <f>'Dry_Litterbag Placem_Collection'!A13</f>
        <v>11</v>
      </c>
      <c r="D672" s="253" t="str">
        <f>'Dry_Litterbag Placem_Collection'!B13</f>
        <v>Makao</v>
      </c>
      <c r="E672" s="253" t="s">
        <v>2643</v>
      </c>
      <c r="F672" s="253" t="s">
        <v>2644</v>
      </c>
      <c r="G672" s="253">
        <v>2</v>
      </c>
      <c r="H672" s="253" t="s">
        <v>3103</v>
      </c>
      <c r="I672" s="254" t="str">
        <f>'Dry_Litterbag Placem_Collection'!C13</f>
        <v>Dry_Ag2_T3</v>
      </c>
      <c r="J672" s="263" t="s">
        <v>2932</v>
      </c>
      <c r="K672" s="264" t="s">
        <v>298</v>
      </c>
      <c r="L672" s="253" t="str">
        <f>IF(ISBLANK('Dry_Litterbag Placem_Collection'!M13),"","R"&amp;""&amp;'Dry_Litterbag Placem_Collection'!M13)</f>
        <v>R616</v>
      </c>
      <c r="M672" s="257">
        <f>IFERROR(INDEX('Green_rooibos initial weight'!$C$5:$C$2000,MATCH(L672, 'Green_rooibos initial weight'!$A$5:$A$2000,0)),"")</f>
        <v>2.1739999999999999</v>
      </c>
      <c r="N672" s="257">
        <f>IFERROR(M672-(TBIcalc!$Q$9+TBIcalc!$Q$10),"")</f>
        <v>1.9241999999999999</v>
      </c>
      <c r="O672" s="378">
        <f>AVERAGE(Ashed_controlls!$K$12:$K$14)</f>
        <v>2.2816647271287041</v>
      </c>
      <c r="P672" s="257">
        <f t="shared" si="51"/>
        <v>1.8802962073205893</v>
      </c>
      <c r="Q672" s="257">
        <f>IFERROR(INDEX('Both teabags AfterDry'!$D$2:$D$2000,MATCH(L672,'Both teabags AfterDry'!$A$2:$A$2000,0)),"")</f>
        <v>1.9423999999999999</v>
      </c>
      <c r="R672" s="257">
        <f>IFERROR(IF(Q672&gt;0,Q672-(TBIcalc!$Q$9),""),"")</f>
        <v>1.7917999999999998</v>
      </c>
      <c r="S672" s="268">
        <f>IFERROR(INDEX('Ashed teabags dry'!$K$2:$K$2000,MATCH(L672,'Ashed teabags dry'!$A$2:$A$2000,0)),"")</f>
        <v>2.5878906250002163</v>
      </c>
      <c r="T672" s="268">
        <f t="shared" si="52"/>
        <v>1.745430175781246</v>
      </c>
      <c r="U672" s="258">
        <f>IF('Dry_Litterbag Placem_Collection'!E13="","",'Dry_Litterbag Placem_Collection'!E13)</f>
        <v>42938</v>
      </c>
      <c r="V672" s="258">
        <f>IF('Dry_Litterbag Placem_Collection'!G13="","",'Dry_Litterbag Placem_Collection'!G13)</f>
        <v>43007</v>
      </c>
      <c r="W672" s="259">
        <f t="shared" si="50"/>
        <v>69</v>
      </c>
      <c r="X672" s="257">
        <f t="shared" si="53"/>
        <v>0.13240000000000007</v>
      </c>
      <c r="Y672" s="257">
        <f t="shared" si="54"/>
        <v>0.13486603153934329</v>
      </c>
      <c r="Z672" s="261">
        <f>IFERROR(INDEX([3]Rainfall_Dry!$O$2:$O$217,MATCH(C672, [3]Rainfall_Dry!$A$2:$A$217,0)),"")</f>
        <v>6.900000125</v>
      </c>
      <c r="AA672" s="250">
        <v>21.13063730679653</v>
      </c>
      <c r="AB672" s="250">
        <v>3.0912555579081076</v>
      </c>
      <c r="AC672" s="250">
        <v>75.778107135295357</v>
      </c>
      <c r="AD672" s="251" t="s">
        <v>2651</v>
      </c>
      <c r="AE672" s="250">
        <v>2.4613109906357802</v>
      </c>
      <c r="AF672">
        <f>IF('WetLitterbags placem_collection'!AB13="","",'WetLitterbags placem_collection'!AB13)</f>
        <v>11.4</v>
      </c>
      <c r="AG672">
        <f>IF('WetLitterbags placem_collection'!Z13="","",'WetLitterbags placem_collection'!Z13)</f>
        <v>24.4</v>
      </c>
      <c r="AH672" s="236" t="str">
        <f>IF('WetLitterbags placem_collection'!AA13="","",'WetLitterbags placem_collection'!AA13)</f>
        <v>M</v>
      </c>
      <c r="AI672">
        <f>IF('WetLitterbags placem_collection'!AC13="","",'WetLitterbags placem_collection'!AC13)</f>
        <v>0</v>
      </c>
      <c r="AJ672">
        <f>IFERROR(AVERAGE('Dry_Litterbag Placem_Collection'!O13,'Dry_Litterbag Placem_Collection'!R13),"")</f>
        <v>5.3</v>
      </c>
      <c r="AK672" s="261">
        <f>IFERROR(AVERAGE('Dry_Litterbag Placem_Collection'!N13,'Dry_Litterbag Placem_Collection'!Q13),"")</f>
        <v>26.450000000000003</v>
      </c>
      <c r="AL672" s="260">
        <f>INDEX([2]Coordinates!$B$2:$B$197,MATCH(I672,[2]Coordinates!$J$2:$J$197,0))</f>
        <v>-3.3977929599999999</v>
      </c>
      <c r="AM672" s="260">
        <f>INDEX([2]Coordinates!$C$2:$C$197,MATCH(I672,[2]Coordinates!$J$2:$J$197,0))</f>
        <v>34.837102999999999</v>
      </c>
      <c r="AN672" s="260" t="str">
        <f>IF(ISNUMBER(SEARCH("C", 'Dry_Litterbag Placem_Collection'!V13)),"YES","NO")</f>
        <v>NO</v>
      </c>
      <c r="AO672" s="260" t="str">
        <f>IF(ISNUMBER(SEARCH("H", 'Dry_Litterbag Placem_Collection'!V13)),"YES","NO")</f>
        <v>NO</v>
      </c>
      <c r="AP672" s="260" t="str">
        <f>IF(ISNUMBER(SEARCH("R", 'Dry_Litterbag Placem_Collection'!V13)),"YES","NO")</f>
        <v>NO</v>
      </c>
    </row>
    <row r="673" spans="1:42" ht="15" customHeight="1">
      <c r="A673" t="s">
        <v>3248</v>
      </c>
      <c r="B673" s="252" t="s">
        <v>2643</v>
      </c>
      <c r="C673" s="253">
        <f>'Dry_Litterbag Placem_Collection'!A14</f>
        <v>12</v>
      </c>
      <c r="D673" s="253" t="str">
        <f>'Dry_Litterbag Placem_Collection'!B14</f>
        <v>Makao</v>
      </c>
      <c r="E673" s="253" t="s">
        <v>2643</v>
      </c>
      <c r="F673" s="253" t="s">
        <v>2644</v>
      </c>
      <c r="G673" s="253">
        <v>2</v>
      </c>
      <c r="H673" s="253" t="s">
        <v>3103</v>
      </c>
      <c r="I673" s="254" t="str">
        <f>'Dry_Litterbag Placem_Collection'!C14</f>
        <v>Dry_Ag2_T4</v>
      </c>
      <c r="J673" s="263" t="s">
        <v>2932</v>
      </c>
      <c r="K673" s="264" t="s">
        <v>298</v>
      </c>
      <c r="L673" s="253" t="str">
        <f>IF(ISBLANK('Dry_Litterbag Placem_Collection'!M14),"","R"&amp;""&amp;'Dry_Litterbag Placem_Collection'!M14)</f>
        <v/>
      </c>
      <c r="M673" s="257" t="str">
        <f>IFERROR(INDEX('Green_rooibos initial weight'!$C$5:$C$2000,MATCH(L673, 'Green_rooibos initial weight'!$A$5:$A$2000,0)),"")</f>
        <v/>
      </c>
      <c r="N673" s="257" t="str">
        <f>IFERROR(M673-(TBIcalc!$Q$9+TBIcalc!$Q$10),"")</f>
        <v/>
      </c>
      <c r="O673" s="378">
        <f>AVERAGE(Ashed_controlls!$K$12:$K$14)</f>
        <v>2.2816647271287041</v>
      </c>
      <c r="P673" s="257" t="str">
        <f t="shared" si="51"/>
        <v/>
      </c>
      <c r="Q673" s="257" t="str">
        <f>IFERROR(INDEX('Both teabags AfterDry'!$D$2:$D$2000,MATCH(L673,'Both teabags AfterDry'!$A$2:$A$2000,0)),"")</f>
        <v/>
      </c>
      <c r="R673" s="257" t="str">
        <f>IFERROR(IF(Q673&gt;0,Q673-(TBIcalc!$Q$9),""),"")</f>
        <v/>
      </c>
      <c r="S673" s="268" t="str">
        <f>IFERROR(INDEX('Ashed teabags dry'!$K$2:$K$2000,MATCH(L673,'Ashed teabags dry'!$A$2:$A$2000,0)),"")</f>
        <v/>
      </c>
      <c r="T673" s="268" t="str">
        <f t="shared" si="52"/>
        <v/>
      </c>
      <c r="U673" s="258" t="str">
        <f>IF('Dry_Litterbag Placem_Collection'!E14="","",'Dry_Litterbag Placem_Collection'!E14)</f>
        <v/>
      </c>
      <c r="V673" s="258" t="str">
        <f>IF('Dry_Litterbag Placem_Collection'!G14="","",'Dry_Litterbag Placem_Collection'!G14)</f>
        <v/>
      </c>
      <c r="W673" s="259" t="str">
        <f t="shared" si="50"/>
        <v/>
      </c>
      <c r="X673" s="257" t="str">
        <f t="shared" si="53"/>
        <v/>
      </c>
      <c r="Y673" s="257" t="str">
        <f t="shared" si="54"/>
        <v/>
      </c>
      <c r="Z673" s="261" t="str">
        <f>IFERROR(INDEX([3]Rainfall_Dry!$O$2:$O$217,MATCH(C673, [3]Rainfall_Dry!$A$2:$A$217,0)),"")</f>
        <v/>
      </c>
      <c r="AA673" s="250">
        <v>21.13063730679653</v>
      </c>
      <c r="AB673" s="250">
        <v>3.0912555579081076</v>
      </c>
      <c r="AC673" s="250">
        <v>75.778107135295357</v>
      </c>
      <c r="AD673" s="251" t="s">
        <v>2651</v>
      </c>
      <c r="AE673" s="250">
        <v>3.4613109906357802</v>
      </c>
      <c r="AF673" t="str">
        <f>IF('WetLitterbags placem_collection'!AB14="","",'WetLitterbags placem_collection'!AB14)</f>
        <v/>
      </c>
      <c r="AG673" t="str">
        <f>IF('WetLitterbags placem_collection'!Z14="","",'WetLitterbags placem_collection'!Z14)</f>
        <v/>
      </c>
      <c r="AH673" s="236" t="str">
        <f>IF('WetLitterbags placem_collection'!AA14="","",'WetLitterbags placem_collection'!AA14)</f>
        <v/>
      </c>
      <c r="AI673" t="str">
        <f>IF('WetLitterbags placem_collection'!AC14="","",'WetLitterbags placem_collection'!AC14)</f>
        <v/>
      </c>
      <c r="AJ673" t="str">
        <f>IFERROR(AVERAGE('Dry_Litterbag Placem_Collection'!O14,'Dry_Litterbag Placem_Collection'!R14),"")</f>
        <v/>
      </c>
      <c r="AK673" s="261" t="str">
        <f>IFERROR(AVERAGE('Dry_Litterbag Placem_Collection'!N14,'Dry_Litterbag Placem_Collection'!Q14),"")</f>
        <v/>
      </c>
      <c r="AL673" s="260">
        <f>INDEX([2]Coordinates!$B$2:$B$197,MATCH(I673,[2]Coordinates!$J$2:$J$197,0))</f>
        <v>-3.3979050260000001</v>
      </c>
      <c r="AM673" s="260">
        <f>INDEX([2]Coordinates!$C$2:$C$197,MATCH(I673,[2]Coordinates!$J$2:$J$197,0))</f>
        <v>34.837123030000001</v>
      </c>
      <c r="AN673" s="260" t="str">
        <f>IF(ISNUMBER(SEARCH("C", 'Dry_Litterbag Placem_Collection'!V14)),"YES","NO")</f>
        <v>NO</v>
      </c>
      <c r="AO673" s="260" t="str">
        <f>IF(ISNUMBER(SEARCH("H", 'Dry_Litterbag Placem_Collection'!V14)),"YES","NO")</f>
        <v>NO</v>
      </c>
      <c r="AP673" s="260" t="str">
        <f>IF(ISNUMBER(SEARCH("R", 'Dry_Litterbag Placem_Collection'!V14)),"YES","NO")</f>
        <v>NO</v>
      </c>
    </row>
    <row r="674" spans="1:42" ht="15" customHeight="1">
      <c r="A674" t="s">
        <v>3248</v>
      </c>
      <c r="B674" s="252" t="s">
        <v>2643</v>
      </c>
      <c r="C674" s="253">
        <f>'Dry_Litterbag Placem_Collection'!A15</f>
        <v>13</v>
      </c>
      <c r="D674" s="253" t="str">
        <f>'Dry_Litterbag Placem_Collection'!B15</f>
        <v>Makao</v>
      </c>
      <c r="E674" s="253" t="s">
        <v>2643</v>
      </c>
      <c r="F674" s="253" t="s">
        <v>2644</v>
      </c>
      <c r="G674" s="253">
        <v>2</v>
      </c>
      <c r="H674" s="253" t="s">
        <v>3103</v>
      </c>
      <c r="I674" s="254" t="str">
        <f>'Dry_Litterbag Placem_Collection'!C15</f>
        <v>Dry_Ag2_T5</v>
      </c>
      <c r="J674" s="263" t="s">
        <v>2932</v>
      </c>
      <c r="K674" s="264" t="s">
        <v>298</v>
      </c>
      <c r="L674" s="253" t="str">
        <f>IF(ISBLANK('Dry_Litterbag Placem_Collection'!M15),"","R"&amp;""&amp;'Dry_Litterbag Placem_Collection'!M15)</f>
        <v>R603</v>
      </c>
      <c r="M674" s="257">
        <f>IFERROR(INDEX('Green_rooibos initial weight'!$C$5:$C$2000,MATCH(L674, 'Green_rooibos initial weight'!$A$5:$A$2000,0)),"")</f>
        <v>2.1440000000000001</v>
      </c>
      <c r="N674" s="257">
        <f>IFERROR(M674-(TBIcalc!$Q$9+TBIcalc!$Q$10),"")</f>
        <v>1.8942000000000001</v>
      </c>
      <c r="O674" s="378">
        <f>AVERAGE(Ashed_controlls!$K$12:$K$14)</f>
        <v>2.2816647271287041</v>
      </c>
      <c r="P674" s="257">
        <f t="shared" si="51"/>
        <v>1.8509807067387283</v>
      </c>
      <c r="Q674" s="257">
        <f>IFERROR(INDEX('Both teabags AfterDry'!$D$2:$D$2000,MATCH(L674,'Both teabags AfterDry'!$A$2:$A$2000,0)),"")</f>
        <v>1.9094</v>
      </c>
      <c r="R674" s="257">
        <f>IFERROR(IF(Q674&gt;0,Q674-(TBIcalc!$Q$9),""),"")</f>
        <v>1.7587999999999999</v>
      </c>
      <c r="S674" s="268">
        <f>IFERROR(INDEX('Ashed teabags dry'!$K$2:$K$2000,MATCH(L674,'Ashed teabags dry'!$A$2:$A$2000,0)),"")</f>
        <v>3.2763532763534955</v>
      </c>
      <c r="T674" s="268">
        <f t="shared" si="52"/>
        <v>1.7011754985754945</v>
      </c>
      <c r="U674" s="258">
        <f>IF('Dry_Litterbag Placem_Collection'!E15="","",'Dry_Litterbag Placem_Collection'!E15)</f>
        <v>42938</v>
      </c>
      <c r="V674" s="258">
        <f>IF('Dry_Litterbag Placem_Collection'!G15="","",'Dry_Litterbag Placem_Collection'!G15)</f>
        <v>43007</v>
      </c>
      <c r="W674" s="259">
        <f t="shared" si="50"/>
        <v>69</v>
      </c>
      <c r="X674" s="257">
        <f t="shared" si="53"/>
        <v>0.13540000000000019</v>
      </c>
      <c r="Y674" s="257">
        <f t="shared" si="54"/>
        <v>0.14980520816323373</v>
      </c>
      <c r="Z674" s="261">
        <f>IFERROR(INDEX([3]Rainfall_Dry!$O$2:$O$217,MATCH(C674, [3]Rainfall_Dry!$A$2:$A$217,0)),"")</f>
        <v>6.900000125</v>
      </c>
      <c r="AA674" s="250">
        <v>21.13063730679653</v>
      </c>
      <c r="AB674" s="250">
        <v>3.0912555579081076</v>
      </c>
      <c r="AC674" s="250">
        <v>75.778107135295357</v>
      </c>
      <c r="AD674" s="251" t="s">
        <v>2651</v>
      </c>
      <c r="AE674" s="250">
        <v>4.4613109906357797</v>
      </c>
      <c r="AF674">
        <f>IF('WetLitterbags placem_collection'!AB15="","",'WetLitterbags placem_collection'!AB15)</f>
        <v>11.4</v>
      </c>
      <c r="AG674">
        <f>IF('WetLitterbags placem_collection'!Z15="","",'WetLitterbags placem_collection'!Z15)</f>
        <v>31</v>
      </c>
      <c r="AH674" s="236" t="str">
        <f>IF('WetLitterbags placem_collection'!AA15="","",'WetLitterbags placem_collection'!AA15)</f>
        <v>M</v>
      </c>
      <c r="AI674">
        <f>IF('WetLitterbags placem_collection'!AC15="","",'WetLitterbags placem_collection'!AC15)</f>
        <v>0</v>
      </c>
      <c r="AJ674">
        <f>IFERROR(AVERAGE('Dry_Litterbag Placem_Collection'!O15,'Dry_Litterbag Placem_Collection'!R15),"")</f>
        <v>4.8</v>
      </c>
      <c r="AK674" s="261">
        <f>IFERROR(AVERAGE('Dry_Litterbag Placem_Collection'!N15,'Dry_Litterbag Placem_Collection'!Q15),"")</f>
        <v>26.1</v>
      </c>
      <c r="AL674" s="260">
        <f>INDEX([2]Coordinates!$B$2:$B$197,MATCH(I674,[2]Coordinates!$J$2:$J$197,0))</f>
        <v>-3.3979040199999999</v>
      </c>
      <c r="AM674" s="260">
        <f>INDEX([2]Coordinates!$C$2:$C$197,MATCH(I674,[2]Coordinates!$J$2:$J$197,0))</f>
        <v>34.837027980000002</v>
      </c>
      <c r="AN674" s="260" t="str">
        <f>IF(ISNUMBER(SEARCH("C", 'Dry_Litterbag Placem_Collection'!V15)),"YES","NO")</f>
        <v>NO</v>
      </c>
      <c r="AO674" s="260" t="str">
        <f>IF(ISNUMBER(SEARCH("H", 'Dry_Litterbag Placem_Collection'!V15)),"YES","NO")</f>
        <v>NO</v>
      </c>
      <c r="AP674" s="260" t="str">
        <f>IF(ISNUMBER(SEARCH("R", 'Dry_Litterbag Placem_Collection'!V15)),"YES","NO")</f>
        <v>NO</v>
      </c>
    </row>
    <row r="675" spans="1:42" ht="15" customHeight="1">
      <c r="A675" t="s">
        <v>3248</v>
      </c>
      <c r="B675" s="252" t="s">
        <v>2643</v>
      </c>
      <c r="C675" s="253">
        <f>'Dry_Litterbag Placem_Collection'!A16</f>
        <v>14</v>
      </c>
      <c r="D675" s="253" t="str">
        <f>'Dry_Litterbag Placem_Collection'!B16</f>
        <v>Makao</v>
      </c>
      <c r="E675" s="253" t="s">
        <v>2643</v>
      </c>
      <c r="F675" s="253" t="s">
        <v>2644</v>
      </c>
      <c r="G675" s="253">
        <v>2</v>
      </c>
      <c r="H675" s="253" t="s">
        <v>3103</v>
      </c>
      <c r="I675" s="254" t="str">
        <f>'Dry_Litterbag Placem_Collection'!C16</f>
        <v>Dry_Ag2_T6</v>
      </c>
      <c r="J675" s="263" t="s">
        <v>2932</v>
      </c>
      <c r="K675" s="264" t="s">
        <v>298</v>
      </c>
      <c r="L675" s="253" t="str">
        <f>IF(ISBLANK('Dry_Litterbag Placem_Collection'!M16),"","R"&amp;""&amp;'Dry_Litterbag Placem_Collection'!M16)</f>
        <v>R652</v>
      </c>
      <c r="M675" s="257">
        <f>IFERROR(INDEX('Green_rooibos initial weight'!$C$5:$C$2000,MATCH(L675, 'Green_rooibos initial weight'!$A$5:$A$2000,0)),"")</f>
        <v>2.2090000000000001</v>
      </c>
      <c r="N675" s="257">
        <f>IFERROR(M675-(TBIcalc!$Q$9+TBIcalc!$Q$10),"")</f>
        <v>1.9592000000000001</v>
      </c>
      <c r="O675" s="378">
        <f>AVERAGE(Ashed_controlls!$K$12:$K$14)</f>
        <v>2.2816647271287041</v>
      </c>
      <c r="P675" s="257">
        <f t="shared" si="51"/>
        <v>1.9144976246660945</v>
      </c>
      <c r="Q675" s="257">
        <f>IFERROR(INDEX('Both teabags AfterDry'!$D$2:$D$2000,MATCH(L675,'Both teabags AfterDry'!$A$2:$A$2000,0)),"")</f>
        <v>1.9245000000000001</v>
      </c>
      <c r="R675" s="257">
        <f>IFERROR(IF(Q675&gt;0,Q675-(TBIcalc!$Q$9),""),"")</f>
        <v>1.7739</v>
      </c>
      <c r="S675" s="268">
        <f>IFERROR(INDEX('Ashed teabags dry'!$K$2:$K$2000,MATCH(L675,'Ashed teabags dry'!$A$2:$A$2000,0)),"")</f>
        <v>2.5664115263402163</v>
      </c>
      <c r="T675" s="268">
        <f t="shared" si="52"/>
        <v>1.7283744259342508</v>
      </c>
      <c r="U675" s="258">
        <f>IF('Dry_Litterbag Placem_Collection'!E16="","",'Dry_Litterbag Placem_Collection'!E16)</f>
        <v>42938</v>
      </c>
      <c r="V675" s="258">
        <f>IF('Dry_Litterbag Placem_Collection'!G16="","",'Dry_Litterbag Placem_Collection'!G16)</f>
        <v>43007</v>
      </c>
      <c r="W675" s="259">
        <f t="shared" si="50"/>
        <v>69</v>
      </c>
      <c r="X675" s="257">
        <f t="shared" si="53"/>
        <v>0.18530000000000002</v>
      </c>
      <c r="Y675" s="257">
        <f t="shared" si="54"/>
        <v>0.18612319873184369</v>
      </c>
      <c r="Z675" s="261">
        <f>IFERROR(INDEX([3]Rainfall_Dry!$O$2:$O$217,MATCH(C675, [3]Rainfall_Dry!$A$2:$A$217,0)),"")</f>
        <v>6.900000125</v>
      </c>
      <c r="AA675" s="250">
        <v>21.13063730679653</v>
      </c>
      <c r="AB675" s="250">
        <v>3.0912555579081076</v>
      </c>
      <c r="AC675" s="250">
        <v>75.778107135295357</v>
      </c>
      <c r="AD675" s="251" t="s">
        <v>2651</v>
      </c>
      <c r="AE675" s="250">
        <v>5.4613109906357797</v>
      </c>
      <c r="AF675">
        <f>IF('WetLitterbags placem_collection'!AB16="","",'WetLitterbags placem_collection'!AB16)</f>
        <v>28.4</v>
      </c>
      <c r="AG675">
        <f>IF('WetLitterbags placem_collection'!Z16="","",'WetLitterbags placem_collection'!Z16)</f>
        <v>42.4</v>
      </c>
      <c r="AH675" s="236" t="str">
        <f>IF('WetLitterbags placem_collection'!AA16="","",'WetLitterbags placem_collection'!AA16)</f>
        <v>M</v>
      </c>
      <c r="AI675">
        <f>IF('WetLitterbags placem_collection'!AC16="","",'WetLitterbags placem_collection'!AC16)</f>
        <v>0</v>
      </c>
      <c r="AJ675">
        <f>IFERROR(AVERAGE('Dry_Litterbag Placem_Collection'!O16,'Dry_Litterbag Placem_Collection'!R16),"")</f>
        <v>3.4</v>
      </c>
      <c r="AK675" s="261">
        <f>IFERROR(AVERAGE('Dry_Litterbag Placem_Collection'!N16,'Dry_Litterbag Placem_Collection'!Q16),"")</f>
        <v>25.55</v>
      </c>
      <c r="AL675" s="260">
        <f>INDEX([2]Coordinates!$B$2:$B$197,MATCH(I675,[2]Coordinates!$J$2:$J$197,0))</f>
        <v>-3.397854986</v>
      </c>
      <c r="AM675" s="260">
        <f>INDEX([2]Coordinates!$C$2:$C$197,MATCH(I675,[2]Coordinates!$J$2:$J$197,0))</f>
        <v>34.836874010000002</v>
      </c>
      <c r="AN675" s="260" t="str">
        <f>IF(ISNUMBER(SEARCH("C", 'Dry_Litterbag Placem_Collection'!V16)),"YES","NO")</f>
        <v>NO</v>
      </c>
      <c r="AO675" s="260" t="str">
        <f>IF(ISNUMBER(SEARCH("H", 'Dry_Litterbag Placem_Collection'!V16)),"YES","NO")</f>
        <v>NO</v>
      </c>
      <c r="AP675" s="260" t="str">
        <f>IF(ISNUMBER(SEARCH("R", 'Dry_Litterbag Placem_Collection'!V16)),"YES","NO")</f>
        <v>NO</v>
      </c>
    </row>
    <row r="676" spans="1:42" ht="15" customHeight="1">
      <c r="A676" t="s">
        <v>3248</v>
      </c>
      <c r="B676" s="252" t="s">
        <v>2643</v>
      </c>
      <c r="C676" s="253">
        <f>'Dry_Litterbag Placem_Collection'!A17</f>
        <v>15</v>
      </c>
      <c r="D676" s="253" t="str">
        <f>'Dry_Litterbag Placem_Collection'!B17</f>
        <v>Makao</v>
      </c>
      <c r="E676" s="253" t="s">
        <v>2643</v>
      </c>
      <c r="F676" s="253" t="s">
        <v>2644</v>
      </c>
      <c r="G676" s="253">
        <v>2</v>
      </c>
      <c r="H676" s="253" t="s">
        <v>3103</v>
      </c>
      <c r="I676" s="254" t="str">
        <f>'Dry_Litterbag Placem_Collection'!C17</f>
        <v>Dry_Ag2_T7</v>
      </c>
      <c r="J676" s="263" t="s">
        <v>2932</v>
      </c>
      <c r="K676" s="264" t="s">
        <v>298</v>
      </c>
      <c r="L676" s="253" t="str">
        <f>IF(ISBLANK('Dry_Litterbag Placem_Collection'!M17),"","R"&amp;""&amp;'Dry_Litterbag Placem_Collection'!M17)</f>
        <v>R304</v>
      </c>
      <c r="M676" s="257">
        <f>IFERROR(INDEX('Green_rooibos initial weight'!$C$5:$C$2000,MATCH(L676, 'Green_rooibos initial weight'!$A$5:$A$2000,0)),"")</f>
        <v>2.1930000000000001</v>
      </c>
      <c r="N676" s="257">
        <f>IFERROR(M676-(TBIcalc!$Q$9+TBIcalc!$Q$10),"")</f>
        <v>1.9432</v>
      </c>
      <c r="O676" s="378">
        <f>AVERAGE(Ashed_controlls!$K$12:$K$14)</f>
        <v>2.2816647271287041</v>
      </c>
      <c r="P676" s="257">
        <f t="shared" si="51"/>
        <v>1.8988626910224351</v>
      </c>
      <c r="Q676" s="257">
        <f>IFERROR(INDEX('Both teabags AfterDry'!$D$2:$D$2000,MATCH(L676,'Both teabags AfterDry'!$A$2:$A$2000,0)),"")</f>
        <v>1.8989</v>
      </c>
      <c r="R676" s="257">
        <f>IFERROR(IF(Q676&gt;0,Q676-(TBIcalc!$Q$9),""),"")</f>
        <v>1.7483</v>
      </c>
      <c r="S676" s="268">
        <f>IFERROR(INDEX('Ashed teabags dry'!$K$2:$K$2000,MATCH(L676,'Ashed teabags dry'!$A$2:$A$2000,0)),"")</f>
        <v>3.0414746543770974</v>
      </c>
      <c r="T676" s="268">
        <f t="shared" si="52"/>
        <v>1.6951258986175253</v>
      </c>
      <c r="U676" s="258">
        <f>IF('Dry_Litterbag Placem_Collection'!E17="","",'Dry_Litterbag Placem_Collection'!E17)</f>
        <v>42938</v>
      </c>
      <c r="V676" s="258">
        <f>IF('Dry_Litterbag Placem_Collection'!G17="","",'Dry_Litterbag Placem_Collection'!G17)</f>
        <v>43007</v>
      </c>
      <c r="W676" s="259">
        <f t="shared" si="50"/>
        <v>69</v>
      </c>
      <c r="X676" s="257">
        <f t="shared" si="53"/>
        <v>0.19490000000000007</v>
      </c>
      <c r="Y676" s="257">
        <f t="shared" si="54"/>
        <v>0.20373679240490983</v>
      </c>
      <c r="Z676" s="261">
        <f>IFERROR(INDEX([3]Rainfall_Dry!$O$2:$O$217,MATCH(C676, [3]Rainfall_Dry!$A$2:$A$217,0)),"")</f>
        <v>6.900000125</v>
      </c>
      <c r="AA676" s="250">
        <v>21.13063730679653</v>
      </c>
      <c r="AB676" s="250">
        <v>3.0912555579081076</v>
      </c>
      <c r="AC676" s="250">
        <v>75.778107135295357</v>
      </c>
      <c r="AD676" s="251" t="s">
        <v>2651</v>
      </c>
      <c r="AE676" s="250">
        <v>6.4613109906357797</v>
      </c>
      <c r="AF676">
        <f>IF('WetLitterbags placem_collection'!AB17="","",'WetLitterbags placem_collection'!AB17)</f>
        <v>15.8</v>
      </c>
      <c r="AG676">
        <f>IF('WetLitterbags placem_collection'!Z17="","",'WetLitterbags placem_collection'!Z17)</f>
        <v>30.4</v>
      </c>
      <c r="AH676" s="236" t="str">
        <f>IF('WetLitterbags placem_collection'!AA17="","",'WetLitterbags placem_collection'!AA17)</f>
        <v>M</v>
      </c>
      <c r="AI676">
        <f>IF('WetLitterbags placem_collection'!AC17="","",'WetLitterbags placem_collection'!AC17)</f>
        <v>0</v>
      </c>
      <c r="AJ676">
        <f>IFERROR(AVERAGE('Dry_Litterbag Placem_Collection'!O17,'Dry_Litterbag Placem_Collection'!R17),"")</f>
        <v>3.0999999999999996</v>
      </c>
      <c r="AK676" s="261">
        <f>IFERROR(AVERAGE('Dry_Litterbag Placem_Collection'!N17,'Dry_Litterbag Placem_Collection'!Q17),"")</f>
        <v>28</v>
      </c>
      <c r="AL676" s="260">
        <f>INDEX([2]Coordinates!$B$2:$B$197,MATCH(I676,[2]Coordinates!$J$2:$J$197,0))</f>
        <v>-3.3978060349999999</v>
      </c>
      <c r="AM676" s="260">
        <f>INDEX([2]Coordinates!$C$2:$C$197,MATCH(I676,[2]Coordinates!$J$2:$J$197,0))</f>
        <v>34.837023960000003</v>
      </c>
      <c r="AN676" s="260" t="str">
        <f>IF(ISNUMBER(SEARCH("C", 'Dry_Litterbag Placem_Collection'!V17)),"YES","NO")</f>
        <v>NO</v>
      </c>
      <c r="AO676" s="260" t="str">
        <f>IF(ISNUMBER(SEARCH("H", 'Dry_Litterbag Placem_Collection'!V17)),"YES","NO")</f>
        <v>NO</v>
      </c>
      <c r="AP676" s="260" t="str">
        <f>IF(ISNUMBER(SEARCH("R", 'Dry_Litterbag Placem_Collection'!V17)),"YES","NO")</f>
        <v>NO</v>
      </c>
    </row>
    <row r="677" spans="1:42" ht="15" customHeight="1">
      <c r="A677" t="s">
        <v>3248</v>
      </c>
      <c r="B677" s="252" t="s">
        <v>2643</v>
      </c>
      <c r="C677" s="253">
        <f>'Dry_Litterbag Placem_Collection'!A18</f>
        <v>16</v>
      </c>
      <c r="D677" s="253" t="str">
        <f>'Dry_Litterbag Placem_Collection'!B18</f>
        <v>Makao</v>
      </c>
      <c r="E677" s="253" t="s">
        <v>2643</v>
      </c>
      <c r="F677" s="253" t="s">
        <v>2644</v>
      </c>
      <c r="G677" s="253">
        <v>2</v>
      </c>
      <c r="H677" s="253" t="s">
        <v>3103</v>
      </c>
      <c r="I677" s="254" t="str">
        <f>'Dry_Litterbag Placem_Collection'!C18</f>
        <v>Dry_Ag2_T8</v>
      </c>
      <c r="J677" s="263" t="s">
        <v>2932</v>
      </c>
      <c r="K677" s="264" t="s">
        <v>298</v>
      </c>
      <c r="L677" s="253" t="str">
        <f>IF(ISBLANK('Dry_Litterbag Placem_Collection'!M18),"","R"&amp;""&amp;'Dry_Litterbag Placem_Collection'!M18)</f>
        <v>R687</v>
      </c>
      <c r="M677" s="257">
        <f>IFERROR(INDEX('Green_rooibos initial weight'!$C$5:$C$2000,MATCH(L677, 'Green_rooibos initial weight'!$A$5:$A$2000,0)),"")</f>
        <v>2.2029999999999998</v>
      </c>
      <c r="N677" s="257">
        <f>IFERROR(M677-(TBIcalc!$Q$9+TBIcalc!$Q$10),"")</f>
        <v>1.9531999999999998</v>
      </c>
      <c r="O677" s="378">
        <f>AVERAGE(Ashed_controlls!$K$12:$K$14)</f>
        <v>2.2816647271287041</v>
      </c>
      <c r="P677" s="257">
        <f t="shared" si="51"/>
        <v>1.908634524549722</v>
      </c>
      <c r="Q677" s="257" t="str">
        <f>IFERROR(INDEX('Both teabags AfterDry'!$D$2:$D$2000,MATCH(L677,'Both teabags AfterDry'!$A$2:$A$2000,0)),"")</f>
        <v/>
      </c>
      <c r="R677" s="257" t="str">
        <f>IFERROR(IF(Q677&gt;0,Q677-(TBIcalc!$Q$9),""),"")</f>
        <v/>
      </c>
      <c r="S677" s="268" t="str">
        <f>IFERROR(INDEX('Ashed teabags dry'!$K$2:$K$2000,MATCH(L677,'Ashed teabags dry'!$A$2:$A$2000,0)),"")</f>
        <v/>
      </c>
      <c r="T677" s="268" t="str">
        <f t="shared" si="52"/>
        <v/>
      </c>
      <c r="U677" s="258">
        <f>IF('Dry_Litterbag Placem_Collection'!E18="","",'Dry_Litterbag Placem_Collection'!E18)</f>
        <v>42938</v>
      </c>
      <c r="V677" s="258">
        <f>IF('Dry_Litterbag Placem_Collection'!G18="","",'Dry_Litterbag Placem_Collection'!G18)</f>
        <v>43007</v>
      </c>
      <c r="W677" s="259">
        <f t="shared" si="50"/>
        <v>69</v>
      </c>
      <c r="X677" s="257" t="str">
        <f t="shared" si="53"/>
        <v/>
      </c>
      <c r="Y677" s="257" t="str">
        <f t="shared" si="54"/>
        <v/>
      </c>
      <c r="Z677" s="261">
        <f>IFERROR(INDEX([3]Rainfall_Dry!$O$2:$O$217,MATCH(C677, [3]Rainfall_Dry!$A$2:$A$217,0)),"")</f>
        <v>6.900000125</v>
      </c>
      <c r="AA677" s="250">
        <v>21.13063730679653</v>
      </c>
      <c r="AB677" s="250">
        <v>3.0912555579081076</v>
      </c>
      <c r="AC677" s="250">
        <v>75.778107135295357</v>
      </c>
      <c r="AD677" s="251" t="s">
        <v>2651</v>
      </c>
      <c r="AE677" s="250">
        <v>7.4613109906357797</v>
      </c>
      <c r="AF677">
        <f>IF('WetLitterbags placem_collection'!AB18="","",'WetLitterbags placem_collection'!AB18)</f>
        <v>8</v>
      </c>
      <c r="AG677">
        <f>IF('WetLitterbags placem_collection'!Z18="","",'WetLitterbags placem_collection'!Z18)</f>
        <v>12.4</v>
      </c>
      <c r="AH677" s="236" t="str">
        <f>IF('WetLitterbags placem_collection'!AA18="","",'WetLitterbags placem_collection'!AA18)</f>
        <v>M</v>
      </c>
      <c r="AI677">
        <f>IF('WetLitterbags placem_collection'!AC18="","",'WetLitterbags placem_collection'!AC18)</f>
        <v>0</v>
      </c>
      <c r="AJ677">
        <f>IFERROR(AVERAGE('Dry_Litterbag Placem_Collection'!O18,'Dry_Litterbag Placem_Collection'!R18),"")</f>
        <v>9.1999999999999993</v>
      </c>
      <c r="AK677" s="261">
        <f>IFERROR(AVERAGE('Dry_Litterbag Placem_Collection'!N18,'Dry_Litterbag Placem_Collection'!Q18),"")</f>
        <v>27.049999999999997</v>
      </c>
      <c r="AL677" s="260">
        <f>INDEX([2]Coordinates!$B$2:$B$197,MATCH(I677,[2]Coordinates!$J$2:$J$197,0))</f>
        <v>-3.3977669760000002</v>
      </c>
      <c r="AM677" s="260">
        <f>INDEX([2]Coordinates!$C$2:$C$197,MATCH(I677,[2]Coordinates!$J$2:$J$197,0))</f>
        <v>34.837181039999997</v>
      </c>
      <c r="AN677" s="260" t="str">
        <f>IF(ISNUMBER(SEARCH("C", 'Dry_Litterbag Placem_Collection'!V18)),"YES","NO")</f>
        <v>NO</v>
      </c>
      <c r="AO677" s="260" t="str">
        <f>IF(ISNUMBER(SEARCH("H", 'Dry_Litterbag Placem_Collection'!V18)),"YES","NO")</f>
        <v>NO</v>
      </c>
      <c r="AP677" s="260" t="str">
        <f>IF(ISNUMBER(SEARCH("R", 'Dry_Litterbag Placem_Collection'!V18)),"YES","NO")</f>
        <v>NO</v>
      </c>
    </row>
    <row r="678" spans="1:42" ht="15" customHeight="1">
      <c r="A678" t="s">
        <v>3248</v>
      </c>
      <c r="B678" s="252" t="s">
        <v>2643</v>
      </c>
      <c r="C678" s="253">
        <f>'Dry_Litterbag Placem_Collection'!A19</f>
        <v>17</v>
      </c>
      <c r="D678" s="253" t="str">
        <f>'Dry_Litterbag Placem_Collection'!B19</f>
        <v>Makao</v>
      </c>
      <c r="E678" s="253" t="s">
        <v>2643</v>
      </c>
      <c r="F678" s="253" t="s">
        <v>2644</v>
      </c>
      <c r="G678" s="253">
        <v>3</v>
      </c>
      <c r="H678" s="253" t="s">
        <v>3104</v>
      </c>
      <c r="I678" s="254" t="str">
        <f>'Dry_Litterbag Placem_Collection'!C19</f>
        <v>Dry_Ag3_T1</v>
      </c>
      <c r="J678" s="263" t="s">
        <v>2932</v>
      </c>
      <c r="K678" s="264" t="s">
        <v>298</v>
      </c>
      <c r="L678" s="253" t="str">
        <f>IF(ISBLANK('Dry_Litterbag Placem_Collection'!M19),"","R"&amp;""&amp;'Dry_Litterbag Placem_Collection'!M19)</f>
        <v>R407</v>
      </c>
      <c r="M678" s="257">
        <f>IFERROR(INDEX('Green_rooibos initial weight'!$C$5:$C$2000,MATCH(L678, 'Green_rooibos initial weight'!$A$5:$A$2000,0)),"")</f>
        <v>2.1859999999999999</v>
      </c>
      <c r="N678" s="257">
        <f>IFERROR(M678-(TBIcalc!$Q$9+TBIcalc!$Q$10),"")</f>
        <v>1.9361999999999999</v>
      </c>
      <c r="O678" s="378">
        <f>AVERAGE(Ashed_controlls!$K$12:$K$14)</f>
        <v>2.2816647271287041</v>
      </c>
      <c r="P678" s="257">
        <f t="shared" si="51"/>
        <v>1.8920224075533341</v>
      </c>
      <c r="Q678" s="257">
        <f>IFERROR(INDEX('Both teabags AfterDry'!$D$2:$D$2000,MATCH(L678,'Both teabags AfterDry'!$A$2:$A$2000,0)),"")</f>
        <v>2.0062000000000002</v>
      </c>
      <c r="R678" s="257">
        <f>IFERROR(IF(Q678&gt;0,Q678-(TBIcalc!$Q$9),""),"")</f>
        <v>1.8556000000000001</v>
      </c>
      <c r="S678" s="268">
        <f>IFERROR(INDEX('Ashed teabags dry'!$K$2:$K$2000,MATCH(L678,'Ashed teabags dry'!$A$2:$A$2000,0)),"")</f>
        <v>2.9004329004331213</v>
      </c>
      <c r="T678" s="268">
        <f t="shared" si="52"/>
        <v>1.8017795670995631</v>
      </c>
      <c r="U678" s="258">
        <f>IF('Dry_Litterbag Placem_Collection'!E19="","",'Dry_Litterbag Placem_Collection'!E19)</f>
        <v>42936</v>
      </c>
      <c r="V678" s="258">
        <f>IF('Dry_Litterbag Placem_Collection'!G19="","",'Dry_Litterbag Placem_Collection'!G19)</f>
        <v>43007</v>
      </c>
      <c r="W678" s="259">
        <f t="shared" si="50"/>
        <v>71</v>
      </c>
      <c r="X678" s="257">
        <f t="shared" si="53"/>
        <v>8.0599999999999783E-2</v>
      </c>
      <c r="Y678" s="257">
        <f t="shared" si="54"/>
        <v>9.0242840453770956E-2</v>
      </c>
      <c r="Z678" s="261">
        <f>IFERROR(INDEX([3]Rainfall_Dry!$O$2:$O$217,MATCH(C678, [3]Rainfall_Dry!$A$2:$A$217,0)),"")</f>
        <v>6.900000125</v>
      </c>
      <c r="AA678" s="250">
        <v>54.080969906906262</v>
      </c>
      <c r="AB678" s="250">
        <v>21.264484651351896</v>
      </c>
      <c r="AC678" s="250">
        <v>24.654545441741845</v>
      </c>
      <c r="AD678" s="251" t="s">
        <v>2654</v>
      </c>
      <c r="AE678" s="250">
        <v>1.8433218334154755</v>
      </c>
      <c r="AF678" t="str">
        <f>IF('WetLitterbags placem_collection'!AB19="","",'WetLitterbags placem_collection'!AB19)</f>
        <v/>
      </c>
      <c r="AG678" t="str">
        <f>IF('WetLitterbags placem_collection'!Z19="","",'WetLitterbags placem_collection'!Z19)</f>
        <v/>
      </c>
      <c r="AH678" s="236" t="str">
        <f>IF('WetLitterbags placem_collection'!AA19="","",'WetLitterbags placem_collection'!AA19)</f>
        <v/>
      </c>
      <c r="AI678" t="str">
        <f>IF('WetLitterbags placem_collection'!AC19="","",'WetLitterbags placem_collection'!AC19)</f>
        <v/>
      </c>
      <c r="AJ678">
        <f>IFERROR(AVERAGE('Dry_Litterbag Placem_Collection'!O19,'Dry_Litterbag Placem_Collection'!R19),"")</f>
        <v>12.9</v>
      </c>
      <c r="AK678" s="261">
        <f>IFERROR(AVERAGE('Dry_Litterbag Placem_Collection'!N19,'Dry_Litterbag Placem_Collection'!Q19),"")</f>
        <v>26.2</v>
      </c>
      <c r="AL678" s="260">
        <f>INDEX([2]Coordinates!$B$2:$B$197,MATCH(I678,[2]Coordinates!$J$2:$J$197,0))</f>
        <v>-3.3854090330000002</v>
      </c>
      <c r="AM678" s="260">
        <f>INDEX([2]Coordinates!$C$2:$C$197,MATCH(I678,[2]Coordinates!$J$2:$J$197,0))</f>
        <v>34.818901029999999</v>
      </c>
      <c r="AN678" s="260" t="str">
        <f>IF(ISNUMBER(SEARCH("C", 'Dry_Litterbag Placem_Collection'!V19)),"YES","NO")</f>
        <v>NO</v>
      </c>
      <c r="AO678" s="260" t="str">
        <f>IF(ISNUMBER(SEARCH("H", 'Dry_Litterbag Placem_Collection'!V19)),"YES","NO")</f>
        <v>NO</v>
      </c>
      <c r="AP678" s="260" t="str">
        <f>IF(ISNUMBER(SEARCH("R", 'Dry_Litterbag Placem_Collection'!V19)),"YES","NO")</f>
        <v>NO</v>
      </c>
    </row>
    <row r="679" spans="1:42" ht="15" customHeight="1">
      <c r="A679" t="s">
        <v>3248</v>
      </c>
      <c r="B679" s="252" t="s">
        <v>2643</v>
      </c>
      <c r="C679" s="253">
        <f>'Dry_Litterbag Placem_Collection'!A20</f>
        <v>18</v>
      </c>
      <c r="D679" s="253" t="str">
        <f>'Dry_Litterbag Placem_Collection'!B20</f>
        <v>Makao</v>
      </c>
      <c r="E679" s="253" t="s">
        <v>2643</v>
      </c>
      <c r="F679" s="253" t="s">
        <v>2644</v>
      </c>
      <c r="G679" s="253">
        <v>3</v>
      </c>
      <c r="H679" s="253" t="s">
        <v>3104</v>
      </c>
      <c r="I679" s="254" t="str">
        <f>'Dry_Litterbag Placem_Collection'!C20</f>
        <v>Dry_Ag3_T2</v>
      </c>
      <c r="J679" s="263" t="s">
        <v>2932</v>
      </c>
      <c r="K679" s="264" t="s">
        <v>298</v>
      </c>
      <c r="L679" s="253" t="str">
        <f>IF(ISBLANK('Dry_Litterbag Placem_Collection'!M20),"","R"&amp;""&amp;'Dry_Litterbag Placem_Collection'!M20)</f>
        <v>R361</v>
      </c>
      <c r="M679" s="257">
        <f>IFERROR(INDEX('Green_rooibos initial weight'!$C$5:$C$2000,MATCH(L679, 'Green_rooibos initial weight'!$A$5:$A$2000,0)),"")</f>
        <v>2.2210000000000001</v>
      </c>
      <c r="N679" s="257">
        <f>IFERROR(M679-(TBIcalc!$Q$9+TBIcalc!$Q$10),"")</f>
        <v>1.9712000000000001</v>
      </c>
      <c r="O679" s="378">
        <f>AVERAGE(Ashed_controlls!$K$12:$K$14)</f>
        <v>2.2816647271287041</v>
      </c>
      <c r="P679" s="257">
        <f t="shared" si="51"/>
        <v>1.926223824898839</v>
      </c>
      <c r="Q679" s="257">
        <f>IFERROR(INDEX('Both teabags AfterDry'!$D$2:$D$2000,MATCH(L679,'Both teabags AfterDry'!$A$2:$A$2000,0)),"")</f>
        <v>2.0156999999999998</v>
      </c>
      <c r="R679" s="257">
        <f>IFERROR(IF(Q679&gt;0,Q679-(TBIcalc!$Q$9),""),"")</f>
        <v>1.8650999999999998</v>
      </c>
      <c r="S679" s="268">
        <f>IFERROR(INDEX('Ashed teabags dry'!$K$2:$K$2000,MATCH(L679,'Ashed teabags dry'!$A$2:$A$2000,0)),"")</f>
        <v>2.3668639053252516</v>
      </c>
      <c r="T679" s="268">
        <f t="shared" si="52"/>
        <v>1.8209556213017786</v>
      </c>
      <c r="U679" s="258">
        <f>IF('Dry_Litterbag Placem_Collection'!E20="","",'Dry_Litterbag Placem_Collection'!E20)</f>
        <v>42936</v>
      </c>
      <c r="V679" s="258">
        <f>IF('Dry_Litterbag Placem_Collection'!G20="","",'Dry_Litterbag Placem_Collection'!G20)</f>
        <v>43007</v>
      </c>
      <c r="W679" s="259">
        <f t="shared" si="50"/>
        <v>71</v>
      </c>
      <c r="X679" s="257">
        <f t="shared" si="53"/>
        <v>0.10610000000000031</v>
      </c>
      <c r="Y679" s="257">
        <f t="shared" si="54"/>
        <v>0.10526820359706046</v>
      </c>
      <c r="Z679" s="261">
        <f>IFERROR(INDEX([3]Rainfall_Dry!$O$2:$O$217,MATCH(C679, [3]Rainfall_Dry!$A$2:$A$217,0)),"")</f>
        <v>6.900000125</v>
      </c>
      <c r="AA679" s="250">
        <v>54.080969906906262</v>
      </c>
      <c r="AB679" s="250">
        <v>21.264484651351896</v>
      </c>
      <c r="AC679" s="250">
        <v>24.654545441741845</v>
      </c>
      <c r="AD679" s="251" t="s">
        <v>2654</v>
      </c>
      <c r="AE679" s="250">
        <v>2.8433218334154802</v>
      </c>
      <c r="AF679" t="str">
        <f>IF('WetLitterbags placem_collection'!AB20="","",'WetLitterbags placem_collection'!AB20)</f>
        <v/>
      </c>
      <c r="AG679" t="str">
        <f>IF('WetLitterbags placem_collection'!Z20="","",'WetLitterbags placem_collection'!Z20)</f>
        <v/>
      </c>
      <c r="AH679" s="236" t="str">
        <f>IF('WetLitterbags placem_collection'!AA20="","",'WetLitterbags placem_collection'!AA20)</f>
        <v/>
      </c>
      <c r="AI679" t="str">
        <f>IF('WetLitterbags placem_collection'!AC20="","",'WetLitterbags placem_collection'!AC20)</f>
        <v/>
      </c>
      <c r="AJ679">
        <f>IFERROR(AVERAGE('Dry_Litterbag Placem_Collection'!O20,'Dry_Litterbag Placem_Collection'!R20),"")</f>
        <v>11.15</v>
      </c>
      <c r="AK679" s="261">
        <f>IFERROR(AVERAGE('Dry_Litterbag Placem_Collection'!N20,'Dry_Litterbag Placem_Collection'!Q20),"")</f>
        <v>26.1</v>
      </c>
      <c r="AL679" s="260">
        <f>INDEX([2]Coordinates!$B$2:$B$197,MATCH(I679,[2]Coordinates!$J$2:$J$197,0))</f>
        <v>-3.385375002</v>
      </c>
      <c r="AM679" s="260">
        <f>INDEX([2]Coordinates!$C$2:$C$197,MATCH(I679,[2]Coordinates!$J$2:$J$197,0))</f>
        <v>34.818939999999998</v>
      </c>
      <c r="AN679" s="260" t="str">
        <f>IF(ISNUMBER(SEARCH("C", 'Dry_Litterbag Placem_Collection'!V20)),"YES","NO")</f>
        <v>NO</v>
      </c>
      <c r="AO679" s="260" t="str">
        <f>IF(ISNUMBER(SEARCH("H", 'Dry_Litterbag Placem_Collection'!V20)),"YES","NO")</f>
        <v>NO</v>
      </c>
      <c r="AP679" s="260" t="str">
        <f>IF(ISNUMBER(SEARCH("R", 'Dry_Litterbag Placem_Collection'!V20)),"YES","NO")</f>
        <v>NO</v>
      </c>
    </row>
    <row r="680" spans="1:42" ht="15" customHeight="1">
      <c r="A680" t="s">
        <v>3248</v>
      </c>
      <c r="B680" s="252" t="s">
        <v>2643</v>
      </c>
      <c r="C680" s="253">
        <f>'Dry_Litterbag Placem_Collection'!A21</f>
        <v>19</v>
      </c>
      <c r="D680" s="253" t="str">
        <f>'Dry_Litterbag Placem_Collection'!B21</f>
        <v>Makao</v>
      </c>
      <c r="E680" s="253" t="s">
        <v>2643</v>
      </c>
      <c r="F680" s="253" t="s">
        <v>2644</v>
      </c>
      <c r="G680" s="253">
        <v>3</v>
      </c>
      <c r="H680" s="253" t="s">
        <v>3104</v>
      </c>
      <c r="I680" s="254" t="str">
        <f>'Dry_Litterbag Placem_Collection'!C21</f>
        <v>Dry_Ag3_T3</v>
      </c>
      <c r="J680" s="263" t="s">
        <v>2932</v>
      </c>
      <c r="K680" s="264" t="s">
        <v>298</v>
      </c>
      <c r="L680" s="253" t="str">
        <f>IF(ISBLANK('Dry_Litterbag Placem_Collection'!M21),"","R"&amp;""&amp;'Dry_Litterbag Placem_Collection'!M21)</f>
        <v>R280</v>
      </c>
      <c r="M680" s="257">
        <f>IFERROR(INDEX('Green_rooibos initial weight'!$C$5:$C$2000,MATCH(L680, 'Green_rooibos initial weight'!$A$5:$A$2000,0)),"")</f>
        <v>2.11</v>
      </c>
      <c r="N680" s="257">
        <f>IFERROR(M680-(TBIcalc!$Q$9+TBIcalc!$Q$10),"")</f>
        <v>1.8601999999999999</v>
      </c>
      <c r="O680" s="378">
        <f>AVERAGE(Ashed_controlls!$K$12:$K$14)</f>
        <v>2.2816647271287041</v>
      </c>
      <c r="P680" s="257">
        <f t="shared" si="51"/>
        <v>1.8177564727459516</v>
      </c>
      <c r="Q680" s="257">
        <f>IFERROR(INDEX('Both teabags AfterDry'!$D$2:$D$2000,MATCH(L680,'Both teabags AfterDry'!$A$2:$A$2000,0)),"")</f>
        <v>1.9007000000000001</v>
      </c>
      <c r="R680" s="257">
        <f>IFERROR(IF(Q680&gt;0,Q680-(TBIcalc!$Q$9),""),"")</f>
        <v>1.7501</v>
      </c>
      <c r="S680" s="268">
        <f>IFERROR(INDEX('Ashed teabags dry'!$K$2:$K$2000,MATCH(L680,'Ashed teabags dry'!$A$2:$A$2000,0)),"")</f>
        <v>2.6531596719727872</v>
      </c>
      <c r="T680" s="268">
        <f t="shared" si="52"/>
        <v>1.7036670525808042</v>
      </c>
      <c r="U680" s="258">
        <f>IF('Dry_Litterbag Placem_Collection'!E21="","",'Dry_Litterbag Placem_Collection'!E21)</f>
        <v>42936</v>
      </c>
      <c r="V680" s="258">
        <f>IF('Dry_Litterbag Placem_Collection'!G21="","",'Dry_Litterbag Placem_Collection'!G21)</f>
        <v>43007</v>
      </c>
      <c r="W680" s="259">
        <f t="shared" si="50"/>
        <v>71</v>
      </c>
      <c r="X680" s="257">
        <f t="shared" si="53"/>
        <v>0.11009999999999986</v>
      </c>
      <c r="Y680" s="257">
        <f t="shared" si="54"/>
        <v>0.11408942016514745</v>
      </c>
      <c r="Z680" s="261">
        <f>IFERROR(INDEX([3]Rainfall_Dry!$O$2:$O$217,MATCH(C680, [3]Rainfall_Dry!$A$2:$A$217,0)),"")</f>
        <v>6.900000125</v>
      </c>
      <c r="AA680" s="250">
        <v>54.080969906906262</v>
      </c>
      <c r="AB680" s="250">
        <v>21.264484651351896</v>
      </c>
      <c r="AC680" s="250">
        <v>24.654545441741845</v>
      </c>
      <c r="AD680" s="251" t="s">
        <v>2654</v>
      </c>
      <c r="AE680" s="250">
        <v>3.8433218334154802</v>
      </c>
      <c r="AF680" t="str">
        <f>IF('WetLitterbags placem_collection'!AB21="","",'WetLitterbags placem_collection'!AB21)</f>
        <v/>
      </c>
      <c r="AG680" t="str">
        <f>IF('WetLitterbags placem_collection'!Z21="","",'WetLitterbags placem_collection'!Z21)</f>
        <v/>
      </c>
      <c r="AH680" s="236" t="str">
        <f>IF('WetLitterbags placem_collection'!AA21="","",'WetLitterbags placem_collection'!AA21)</f>
        <v/>
      </c>
      <c r="AI680" t="str">
        <f>IF('WetLitterbags placem_collection'!AC21="","",'WetLitterbags placem_collection'!AC21)</f>
        <v/>
      </c>
      <c r="AJ680">
        <f>IFERROR(AVERAGE('Dry_Litterbag Placem_Collection'!O21,'Dry_Litterbag Placem_Collection'!R21),"")</f>
        <v>15.75</v>
      </c>
      <c r="AK680" s="261">
        <f>IFERROR(AVERAGE('Dry_Litterbag Placem_Collection'!N21,'Dry_Litterbag Placem_Collection'!Q21),"")</f>
        <v>25.700000000000003</v>
      </c>
      <c r="AL680" s="260">
        <f>INDEX([2]Coordinates!$B$2:$B$197,MATCH(I680,[2]Coordinates!$J$2:$J$197,0))</f>
        <v>-3.3853589930000001</v>
      </c>
      <c r="AM680" s="260">
        <f>INDEX([2]Coordinates!$C$2:$C$197,MATCH(I680,[2]Coordinates!$J$2:$J$197,0))</f>
        <v>34.818991969999999</v>
      </c>
      <c r="AN680" s="260" t="str">
        <f>IF(ISNUMBER(SEARCH("C", 'Dry_Litterbag Placem_Collection'!V21)),"YES","NO")</f>
        <v>NO</v>
      </c>
      <c r="AO680" s="260" t="str">
        <f>IF(ISNUMBER(SEARCH("H", 'Dry_Litterbag Placem_Collection'!V21)),"YES","NO")</f>
        <v>NO</v>
      </c>
      <c r="AP680" s="260" t="str">
        <f>IF(ISNUMBER(SEARCH("R", 'Dry_Litterbag Placem_Collection'!V21)),"YES","NO")</f>
        <v>NO</v>
      </c>
    </row>
    <row r="681" spans="1:42" ht="15" customHeight="1">
      <c r="A681" t="s">
        <v>3248</v>
      </c>
      <c r="B681" s="252" t="s">
        <v>2643</v>
      </c>
      <c r="C681" s="253">
        <f>'Dry_Litterbag Placem_Collection'!A22</f>
        <v>20</v>
      </c>
      <c r="D681" s="253" t="str">
        <f>'Dry_Litterbag Placem_Collection'!B22</f>
        <v>Makao</v>
      </c>
      <c r="E681" s="253" t="s">
        <v>2643</v>
      </c>
      <c r="F681" s="253" t="s">
        <v>2644</v>
      </c>
      <c r="G681" s="253">
        <v>3</v>
      </c>
      <c r="H681" s="253" t="s">
        <v>3104</v>
      </c>
      <c r="I681" s="254" t="str">
        <f>'Dry_Litterbag Placem_Collection'!C22</f>
        <v>Dry_Ag3_T4</v>
      </c>
      <c r="J681" s="263" t="s">
        <v>2932</v>
      </c>
      <c r="K681" s="264" t="s">
        <v>298</v>
      </c>
      <c r="L681" s="253" t="str">
        <f>IF(ISBLANK('Dry_Litterbag Placem_Collection'!M22),"","R"&amp;""&amp;'Dry_Litterbag Placem_Collection'!M22)</f>
        <v>R320</v>
      </c>
      <c r="M681" s="257">
        <f>IFERROR(INDEX('Green_rooibos initial weight'!$C$5:$C$2000,MATCH(L681, 'Green_rooibos initial weight'!$A$5:$A$2000,0)),"")</f>
        <v>2.1459999999999999</v>
      </c>
      <c r="N681" s="257">
        <f>IFERROR(M681-(TBIcalc!$Q$9+TBIcalc!$Q$10),"")</f>
        <v>1.8961999999999999</v>
      </c>
      <c r="O681" s="378">
        <f>AVERAGE(Ashed_controlls!$K$12:$K$14)</f>
        <v>2.2816647271287041</v>
      </c>
      <c r="P681" s="257">
        <f t="shared" si="51"/>
        <v>1.8529350734441854</v>
      </c>
      <c r="Q681" s="257">
        <f>IFERROR(INDEX('Both teabags AfterDry'!$D$2:$D$2000,MATCH(L681,'Both teabags AfterDry'!$A$2:$A$2000,0)),"")</f>
        <v>1.9332</v>
      </c>
      <c r="R681" s="257">
        <f>IFERROR(IF(Q681&gt;0,Q681-(TBIcalc!$Q$9),""),"")</f>
        <v>1.7826</v>
      </c>
      <c r="S681" s="268">
        <f>IFERROR(INDEX('Ashed teabags dry'!$K$2:$K$2000,MATCH(L681,'Ashed teabags dry'!$A$2:$A$2000,0)),"")</f>
        <v>2.2439024390243194</v>
      </c>
      <c r="T681" s="268">
        <f t="shared" si="52"/>
        <v>1.7426001951219525</v>
      </c>
      <c r="U681" s="258">
        <f>IF('Dry_Litterbag Placem_Collection'!E22="","",'Dry_Litterbag Placem_Collection'!E22)</f>
        <v>42936</v>
      </c>
      <c r="V681" s="258">
        <f>IF('Dry_Litterbag Placem_Collection'!G22="","",'Dry_Litterbag Placem_Collection'!G22)</f>
        <v>43007</v>
      </c>
      <c r="W681" s="259">
        <f t="shared" si="50"/>
        <v>71</v>
      </c>
      <c r="X681" s="257">
        <f t="shared" si="53"/>
        <v>0.11359999999999992</v>
      </c>
      <c r="Y681" s="257">
        <f t="shared" si="54"/>
        <v>0.11033487832223288</v>
      </c>
      <c r="Z681" s="261">
        <f>IFERROR(INDEX([3]Rainfall_Dry!$O$2:$O$217,MATCH(C681, [3]Rainfall_Dry!$A$2:$A$217,0)),"")</f>
        <v>6.900000125</v>
      </c>
      <c r="AA681" s="250">
        <v>54.080969906906262</v>
      </c>
      <c r="AB681" s="250">
        <v>21.264484651351896</v>
      </c>
      <c r="AC681" s="250">
        <v>24.654545441741845</v>
      </c>
      <c r="AD681" s="251" t="s">
        <v>2654</v>
      </c>
      <c r="AE681" s="250">
        <v>4.8433218334154802</v>
      </c>
      <c r="AF681" t="str">
        <f>IF('WetLitterbags placem_collection'!AB22="","",'WetLitterbags placem_collection'!AB22)</f>
        <v/>
      </c>
      <c r="AG681" t="str">
        <f>IF('WetLitterbags placem_collection'!Z22="","",'WetLitterbags placem_collection'!Z22)</f>
        <v/>
      </c>
      <c r="AH681" s="236" t="str">
        <f>IF('WetLitterbags placem_collection'!AA22="","",'WetLitterbags placem_collection'!AA22)</f>
        <v/>
      </c>
      <c r="AI681" t="str">
        <f>IF('WetLitterbags placem_collection'!AC22="","",'WetLitterbags placem_collection'!AC22)</f>
        <v/>
      </c>
      <c r="AJ681">
        <f>IFERROR(AVERAGE('Dry_Litterbag Placem_Collection'!O22,'Dry_Litterbag Placem_Collection'!R22),"")</f>
        <v>16</v>
      </c>
      <c r="AK681" s="261">
        <f>IFERROR(AVERAGE('Dry_Litterbag Placem_Collection'!N22,'Dry_Litterbag Placem_Collection'!Q22),"")</f>
        <v>26.3</v>
      </c>
      <c r="AL681" s="260">
        <f>INDEX([2]Coordinates!$B$2:$B$197,MATCH(I681,[2]Coordinates!$J$2:$J$197,0))</f>
        <v>-3.3853969629999998</v>
      </c>
      <c r="AM681" s="260">
        <f>INDEX([2]Coordinates!$C$2:$C$197,MATCH(I681,[2]Coordinates!$J$2:$J$197,0))</f>
        <v>34.818977969999999</v>
      </c>
      <c r="AN681" s="260" t="str">
        <f>IF(ISNUMBER(SEARCH("C", 'Dry_Litterbag Placem_Collection'!V22)),"YES","NO")</f>
        <v>NO</v>
      </c>
      <c r="AO681" s="260" t="str">
        <f>IF(ISNUMBER(SEARCH("H", 'Dry_Litterbag Placem_Collection'!V22)),"YES","NO")</f>
        <v>NO</v>
      </c>
      <c r="AP681" s="260" t="str">
        <f>IF(ISNUMBER(SEARCH("R", 'Dry_Litterbag Placem_Collection'!V22)),"YES","NO")</f>
        <v>NO</v>
      </c>
    </row>
    <row r="682" spans="1:42" ht="15" customHeight="1">
      <c r="A682" t="s">
        <v>3248</v>
      </c>
      <c r="B682" s="252" t="s">
        <v>2643</v>
      </c>
      <c r="C682" s="253">
        <f>'Dry_Litterbag Placem_Collection'!A23</f>
        <v>21</v>
      </c>
      <c r="D682" s="253" t="str">
        <f>'Dry_Litterbag Placem_Collection'!B23</f>
        <v>Makao</v>
      </c>
      <c r="E682" s="253" t="s">
        <v>2643</v>
      </c>
      <c r="F682" s="253" t="s">
        <v>2644</v>
      </c>
      <c r="G682" s="253">
        <v>3</v>
      </c>
      <c r="H682" s="253" t="s">
        <v>3104</v>
      </c>
      <c r="I682" s="254" t="str">
        <f>'Dry_Litterbag Placem_Collection'!C23</f>
        <v>Dry_Ag3_T5</v>
      </c>
      <c r="J682" s="263" t="s">
        <v>2932</v>
      </c>
      <c r="K682" s="264" t="s">
        <v>298</v>
      </c>
      <c r="L682" s="253" t="str">
        <f>IF(ISBLANK('Dry_Litterbag Placem_Collection'!M23),"","R"&amp;""&amp;'Dry_Litterbag Placem_Collection'!M23)</f>
        <v>R209</v>
      </c>
      <c r="M682" s="257">
        <f>IFERROR(INDEX('Green_rooibos initial weight'!$C$5:$C$2000,MATCH(L682, 'Green_rooibos initial weight'!$A$5:$A$2000,0)),"")</f>
        <v>2.2069999999999999</v>
      </c>
      <c r="N682" s="257">
        <f>IFERROR(M682-(TBIcalc!$Q$9+TBIcalc!$Q$10),"")</f>
        <v>1.9571999999999998</v>
      </c>
      <c r="O682" s="378">
        <f>AVERAGE(Ashed_controlls!$K$12:$K$14)</f>
        <v>2.2816647271287041</v>
      </c>
      <c r="P682" s="257">
        <f t="shared" si="51"/>
        <v>1.9125432579606367</v>
      </c>
      <c r="Q682" s="257" t="str">
        <f>IFERROR(INDEX('Both teabags AfterDry'!$D$2:$D$2000,MATCH(L682,'Both teabags AfterDry'!$A$2:$A$2000,0)),"")</f>
        <v/>
      </c>
      <c r="R682" s="257" t="str">
        <f>IFERROR(IF(Q682&gt;0,Q682-(TBIcalc!$Q$9),""),"")</f>
        <v/>
      </c>
      <c r="S682" s="268" t="str">
        <f>IFERROR(INDEX('Ashed teabags dry'!$K$2:$K$2000,MATCH(L682,'Ashed teabags dry'!$A$2:$A$2000,0)),"")</f>
        <v/>
      </c>
      <c r="T682" s="268" t="str">
        <f t="shared" si="52"/>
        <v/>
      </c>
      <c r="U682" s="258">
        <f>IF('Dry_Litterbag Placem_Collection'!E23="","",'Dry_Litterbag Placem_Collection'!E23)</f>
        <v>42936</v>
      </c>
      <c r="V682" s="258">
        <f>IF('Dry_Litterbag Placem_Collection'!G23="","",'Dry_Litterbag Placem_Collection'!G23)</f>
        <v>43007</v>
      </c>
      <c r="W682" s="259">
        <f t="shared" si="50"/>
        <v>71</v>
      </c>
      <c r="X682" s="257" t="str">
        <f t="shared" si="53"/>
        <v/>
      </c>
      <c r="Y682" s="257" t="str">
        <f t="shared" si="54"/>
        <v/>
      </c>
      <c r="Z682" s="261">
        <f>IFERROR(INDEX([3]Rainfall_Dry!$O$2:$O$217,MATCH(C682, [3]Rainfall_Dry!$A$2:$A$217,0)),"")</f>
        <v>6.900000125</v>
      </c>
      <c r="AA682" s="250">
        <v>54.080969906906262</v>
      </c>
      <c r="AB682" s="250">
        <v>21.264484651351896</v>
      </c>
      <c r="AC682" s="250">
        <v>24.654545441741845</v>
      </c>
      <c r="AD682" s="251" t="s">
        <v>2654</v>
      </c>
      <c r="AE682" s="250">
        <v>5.8433218334154802</v>
      </c>
      <c r="AF682" t="str">
        <f>IF('WetLitterbags placem_collection'!AB23="","",'WetLitterbags placem_collection'!AB23)</f>
        <v/>
      </c>
      <c r="AG682" t="str">
        <f>IF('WetLitterbags placem_collection'!Z23="","",'WetLitterbags placem_collection'!Z23)</f>
        <v/>
      </c>
      <c r="AH682" s="236" t="str">
        <f>IF('WetLitterbags placem_collection'!AA23="","",'WetLitterbags placem_collection'!AA23)</f>
        <v/>
      </c>
      <c r="AI682" t="str">
        <f>IF('WetLitterbags placem_collection'!AC23="","",'WetLitterbags placem_collection'!AC23)</f>
        <v/>
      </c>
      <c r="AJ682">
        <f>IFERROR(AVERAGE('Dry_Litterbag Placem_Collection'!O23,'Dry_Litterbag Placem_Collection'!R23),"")</f>
        <v>13.2</v>
      </c>
      <c r="AK682" s="261">
        <f>IFERROR(AVERAGE('Dry_Litterbag Placem_Collection'!N23,'Dry_Litterbag Placem_Collection'!Q23),"")</f>
        <v>26.1</v>
      </c>
      <c r="AL682" s="260">
        <f>INDEX([2]Coordinates!$B$2:$B$197,MATCH(I682,[2]Coordinates!$J$2:$J$197,0))</f>
        <v>-3.3854019919999998</v>
      </c>
      <c r="AM682" s="260">
        <f>INDEX([2]Coordinates!$C$2:$C$197,MATCH(I682,[2]Coordinates!$J$2:$J$197,0))</f>
        <v>34.81894604</v>
      </c>
      <c r="AN682" s="260" t="str">
        <f>IF(ISNUMBER(SEARCH("C", 'Dry_Litterbag Placem_Collection'!V23)),"YES","NO")</f>
        <v>NO</v>
      </c>
      <c r="AO682" s="260" t="str">
        <f>IF(ISNUMBER(SEARCH("H", 'Dry_Litterbag Placem_Collection'!V23)),"YES","NO")</f>
        <v>NO</v>
      </c>
      <c r="AP682" s="260" t="str">
        <f>IF(ISNUMBER(SEARCH("R", 'Dry_Litterbag Placem_Collection'!V23)),"YES","NO")</f>
        <v>NO</v>
      </c>
    </row>
    <row r="683" spans="1:42" ht="15" customHeight="1">
      <c r="A683" t="s">
        <v>3248</v>
      </c>
      <c r="B683" s="252" t="s">
        <v>2643</v>
      </c>
      <c r="C683" s="253">
        <f>'Dry_Litterbag Placem_Collection'!A24</f>
        <v>22</v>
      </c>
      <c r="D683" s="253" t="str">
        <f>'Dry_Litterbag Placem_Collection'!B24</f>
        <v>Makao</v>
      </c>
      <c r="E683" s="253" t="s">
        <v>2643</v>
      </c>
      <c r="F683" s="253" t="s">
        <v>2644</v>
      </c>
      <c r="G683" s="253">
        <v>3</v>
      </c>
      <c r="H683" s="253" t="s">
        <v>3104</v>
      </c>
      <c r="I683" s="254" t="str">
        <f>'Dry_Litterbag Placem_Collection'!C24</f>
        <v>Dry_Ag3_T6</v>
      </c>
      <c r="J683" s="263" t="s">
        <v>2932</v>
      </c>
      <c r="K683" s="264" t="s">
        <v>298</v>
      </c>
      <c r="L683" s="253" t="str">
        <f>IF(ISBLANK('Dry_Litterbag Placem_Collection'!M24),"","R"&amp;""&amp;'Dry_Litterbag Placem_Collection'!M24)</f>
        <v>R646</v>
      </c>
      <c r="M683" s="257">
        <f>IFERROR(INDEX('Green_rooibos initial weight'!$C$5:$C$2000,MATCH(L683, 'Green_rooibos initial weight'!$A$5:$A$2000,0)),"")</f>
        <v>2.1480000000000001</v>
      </c>
      <c r="N683" s="257">
        <f>IFERROR(M683-(TBIcalc!$Q$9+TBIcalc!$Q$10),"")</f>
        <v>1.8982000000000001</v>
      </c>
      <c r="O683" s="378">
        <f>AVERAGE(Ashed_controlls!$K$12:$K$14)</f>
        <v>2.2816647271287041</v>
      </c>
      <c r="P683" s="257">
        <f t="shared" si="51"/>
        <v>1.854889440149643</v>
      </c>
      <c r="Q683" s="257">
        <f>IFERROR(INDEX('Both teabags AfterDry'!$D$2:$D$2000,MATCH(L683,'Both teabags AfterDry'!$A$2:$A$2000,0)),"")</f>
        <v>1.8704000000000001</v>
      </c>
      <c r="R683" s="257">
        <f>IFERROR(IF(Q683&gt;0,Q683-(TBIcalc!$Q$9),""),"")</f>
        <v>1.7198</v>
      </c>
      <c r="S683" s="268">
        <f>IFERROR(INDEX('Ashed teabags dry'!$K$2:$K$2000,MATCH(L683,'Ashed teabags dry'!$A$2:$A$2000,0)),"")</f>
        <v>2.497502497502583</v>
      </c>
      <c r="T683" s="268">
        <f t="shared" si="52"/>
        <v>1.6768479520479507</v>
      </c>
      <c r="U683" s="258">
        <f>IF('Dry_Litterbag Placem_Collection'!E24="","",'Dry_Litterbag Placem_Collection'!E24)</f>
        <v>42936</v>
      </c>
      <c r="V683" s="258">
        <f>IF('Dry_Litterbag Placem_Collection'!G24="","",'Dry_Litterbag Placem_Collection'!G24)</f>
        <v>43007</v>
      </c>
      <c r="W683" s="259">
        <f t="shared" si="50"/>
        <v>71</v>
      </c>
      <c r="X683" s="257">
        <f t="shared" si="53"/>
        <v>0.17840000000000011</v>
      </c>
      <c r="Y683" s="257">
        <f t="shared" si="54"/>
        <v>0.17804148810169229</v>
      </c>
      <c r="Z683" s="261">
        <f>IFERROR(INDEX([3]Rainfall_Dry!$O$2:$O$217,MATCH(C683, [3]Rainfall_Dry!$A$2:$A$217,0)),"")</f>
        <v>6.900000125</v>
      </c>
      <c r="AA683" s="250">
        <v>54.080969906906262</v>
      </c>
      <c r="AB683" s="250">
        <v>21.264484651351896</v>
      </c>
      <c r="AC683" s="250">
        <v>24.654545441741845</v>
      </c>
      <c r="AD683" s="251" t="s">
        <v>2654</v>
      </c>
      <c r="AE683" s="250">
        <v>6.8433218334154802</v>
      </c>
      <c r="AF683" t="str">
        <f>IF('WetLitterbags placem_collection'!AB24="","",'WetLitterbags placem_collection'!AB24)</f>
        <v/>
      </c>
      <c r="AG683" t="str">
        <f>IF('WetLitterbags placem_collection'!Z24="","",'WetLitterbags placem_collection'!Z24)</f>
        <v/>
      </c>
      <c r="AH683" s="236" t="str">
        <f>IF('WetLitterbags placem_collection'!AA24="","",'WetLitterbags placem_collection'!AA24)</f>
        <v/>
      </c>
      <c r="AI683" t="str">
        <f>IF('WetLitterbags placem_collection'!AC24="","",'WetLitterbags placem_collection'!AC24)</f>
        <v/>
      </c>
      <c r="AJ683">
        <f>IFERROR(AVERAGE('Dry_Litterbag Placem_Collection'!O24,'Dry_Litterbag Placem_Collection'!R24),"")</f>
        <v>19.05</v>
      </c>
      <c r="AK683" s="261">
        <f>IFERROR(AVERAGE('Dry_Litterbag Placem_Collection'!N24,'Dry_Litterbag Placem_Collection'!Q24),"")</f>
        <v>25.75</v>
      </c>
      <c r="AL683" s="260">
        <f>INDEX([2]Coordinates!$B$2:$B$197,MATCH(I683,[2]Coordinates!$J$2:$J$197,0))</f>
        <v>-3.3854470029999999</v>
      </c>
      <c r="AM683" s="260">
        <f>INDEX([2]Coordinates!$C$2:$C$197,MATCH(I683,[2]Coordinates!$J$2:$J$197,0))</f>
        <v>34.818946959999998</v>
      </c>
      <c r="AN683" s="260" t="str">
        <f>IF(ISNUMBER(SEARCH("C", 'Dry_Litterbag Placem_Collection'!V24)),"YES","NO")</f>
        <v>NO</v>
      </c>
      <c r="AO683" s="260" t="str">
        <f>IF(ISNUMBER(SEARCH("H", 'Dry_Litterbag Placem_Collection'!V24)),"YES","NO")</f>
        <v>NO</v>
      </c>
      <c r="AP683" s="260" t="str">
        <f>IF(ISNUMBER(SEARCH("R", 'Dry_Litterbag Placem_Collection'!V24)),"YES","NO")</f>
        <v>NO</v>
      </c>
    </row>
    <row r="684" spans="1:42" ht="15" customHeight="1">
      <c r="A684" t="s">
        <v>3248</v>
      </c>
      <c r="B684" s="252" t="s">
        <v>2643</v>
      </c>
      <c r="C684" s="253">
        <f>'Dry_Litterbag Placem_Collection'!A25</f>
        <v>23</v>
      </c>
      <c r="D684" s="253" t="str">
        <f>'Dry_Litterbag Placem_Collection'!B25</f>
        <v>Makao</v>
      </c>
      <c r="E684" s="253" t="s">
        <v>2643</v>
      </c>
      <c r="F684" s="253" t="s">
        <v>2644</v>
      </c>
      <c r="G684" s="253">
        <v>3</v>
      </c>
      <c r="H684" s="253" t="s">
        <v>3104</v>
      </c>
      <c r="I684" s="254" t="str">
        <f>'Dry_Litterbag Placem_Collection'!C25</f>
        <v>Dry_Ag3_T7</v>
      </c>
      <c r="J684" s="263" t="s">
        <v>2932</v>
      </c>
      <c r="K684" s="264" t="s">
        <v>298</v>
      </c>
      <c r="L684" s="253" t="str">
        <f>IF(ISBLANK('Dry_Litterbag Placem_Collection'!M25),"","R"&amp;""&amp;'Dry_Litterbag Placem_Collection'!M25)</f>
        <v/>
      </c>
      <c r="M684" s="257" t="str">
        <f>IFERROR(INDEX('Green_rooibos initial weight'!$C$5:$C$2000,MATCH(L684, 'Green_rooibos initial weight'!$A$5:$A$2000,0)),"")</f>
        <v/>
      </c>
      <c r="N684" s="257" t="str">
        <f>IFERROR(M684-(TBIcalc!$Q$9+TBIcalc!$Q$10),"")</f>
        <v/>
      </c>
      <c r="O684" s="378">
        <f>AVERAGE(Ashed_controlls!$K$12:$K$14)</f>
        <v>2.2816647271287041</v>
      </c>
      <c r="P684" s="257" t="str">
        <f t="shared" si="51"/>
        <v/>
      </c>
      <c r="Q684" s="257" t="str">
        <f>IFERROR(INDEX('Both teabags AfterDry'!$D$2:$D$2000,MATCH(L684,'Both teabags AfterDry'!$A$2:$A$2000,0)),"")</f>
        <v/>
      </c>
      <c r="R684" s="257" t="str">
        <f>IFERROR(IF(Q684&gt;0,Q684-(TBIcalc!$Q$9),""),"")</f>
        <v/>
      </c>
      <c r="S684" s="268" t="str">
        <f>IFERROR(INDEX('Ashed teabags dry'!$K$2:$K$2000,MATCH(L684,'Ashed teabags dry'!$A$2:$A$2000,0)),"")</f>
        <v/>
      </c>
      <c r="T684" s="268" t="str">
        <f t="shared" si="52"/>
        <v/>
      </c>
      <c r="U684" s="258" t="str">
        <f>IF('Dry_Litterbag Placem_Collection'!E25="","",'Dry_Litterbag Placem_Collection'!E25)</f>
        <v/>
      </c>
      <c r="V684" s="258" t="str">
        <f>IF('Dry_Litterbag Placem_Collection'!G25="","",'Dry_Litterbag Placem_Collection'!G25)</f>
        <v/>
      </c>
      <c r="W684" s="259" t="str">
        <f t="shared" si="50"/>
        <v/>
      </c>
      <c r="X684" s="257" t="str">
        <f t="shared" si="53"/>
        <v/>
      </c>
      <c r="Y684" s="257" t="str">
        <f t="shared" si="54"/>
        <v/>
      </c>
      <c r="Z684" s="261" t="str">
        <f>IFERROR(INDEX([3]Rainfall_Dry!$O$2:$O$217,MATCH(C684, [3]Rainfall_Dry!$A$2:$A$217,0)),"")</f>
        <v/>
      </c>
      <c r="AA684" s="250">
        <v>54.080969906906262</v>
      </c>
      <c r="AB684" s="250">
        <v>21.264484651351896</v>
      </c>
      <c r="AC684" s="250">
        <v>24.654545441741845</v>
      </c>
      <c r="AD684" s="251" t="s">
        <v>2654</v>
      </c>
      <c r="AE684" s="250">
        <v>7.8433218334154802</v>
      </c>
      <c r="AF684" t="str">
        <f>IF('WetLitterbags placem_collection'!AB25="","",'WetLitterbags placem_collection'!AB25)</f>
        <v/>
      </c>
      <c r="AG684" t="str">
        <f>IF('WetLitterbags placem_collection'!Z25="","",'WetLitterbags placem_collection'!Z25)</f>
        <v/>
      </c>
      <c r="AH684" s="236" t="str">
        <f>IF('WetLitterbags placem_collection'!AA25="","",'WetLitterbags placem_collection'!AA25)</f>
        <v/>
      </c>
      <c r="AI684" t="str">
        <f>IF('WetLitterbags placem_collection'!AC25="","",'WetLitterbags placem_collection'!AC25)</f>
        <v/>
      </c>
      <c r="AJ684" t="str">
        <f>IFERROR(AVERAGE('Dry_Litterbag Placem_Collection'!O25,'Dry_Litterbag Placem_Collection'!R25),"")</f>
        <v/>
      </c>
      <c r="AK684" s="261" t="str">
        <f>IFERROR(AVERAGE('Dry_Litterbag Placem_Collection'!N25,'Dry_Litterbag Placem_Collection'!Q25),"")</f>
        <v/>
      </c>
      <c r="AL684" s="260">
        <f>INDEX([2]Coordinates!$B$2:$B$197,MATCH(I684,[2]Coordinates!$J$2:$J$197,0))</f>
        <v>-3.3854200130000001</v>
      </c>
      <c r="AM684" s="260">
        <f>INDEX([2]Coordinates!$C$2:$C$197,MATCH(I684,[2]Coordinates!$J$2:$J$197,0))</f>
        <v>34.818856019999998</v>
      </c>
      <c r="AN684" s="260" t="str">
        <f>IF(ISNUMBER(SEARCH("C", 'Dry_Litterbag Placem_Collection'!V25)),"YES","NO")</f>
        <v>NO</v>
      </c>
      <c r="AO684" s="260" t="str">
        <f>IF(ISNUMBER(SEARCH("H", 'Dry_Litterbag Placem_Collection'!V25)),"YES","NO")</f>
        <v>NO</v>
      </c>
      <c r="AP684" s="260" t="str">
        <f>IF(ISNUMBER(SEARCH("R", 'Dry_Litterbag Placem_Collection'!V25)),"YES","NO")</f>
        <v>NO</v>
      </c>
    </row>
    <row r="685" spans="1:42" ht="15" customHeight="1">
      <c r="A685" t="s">
        <v>3248</v>
      </c>
      <c r="B685" s="252" t="s">
        <v>2643</v>
      </c>
      <c r="C685" s="253">
        <f>'Dry_Litterbag Placem_Collection'!A26</f>
        <v>24</v>
      </c>
      <c r="D685" s="253" t="str">
        <f>'Dry_Litterbag Placem_Collection'!B26</f>
        <v>Makao</v>
      </c>
      <c r="E685" s="253" t="s">
        <v>2643</v>
      </c>
      <c r="F685" s="253" t="s">
        <v>2644</v>
      </c>
      <c r="G685" s="253">
        <v>3</v>
      </c>
      <c r="H685" s="253" t="s">
        <v>3104</v>
      </c>
      <c r="I685" s="254" t="str">
        <f>'Dry_Litterbag Placem_Collection'!C26</f>
        <v>Dry_Ag3_T8</v>
      </c>
      <c r="J685" s="263" t="s">
        <v>2932</v>
      </c>
      <c r="K685" s="264" t="s">
        <v>298</v>
      </c>
      <c r="L685" s="253" t="str">
        <f>IF(ISBLANK('Dry_Litterbag Placem_Collection'!M26),"","R"&amp;""&amp;'Dry_Litterbag Placem_Collection'!M26)</f>
        <v>R650</v>
      </c>
      <c r="M685" s="257">
        <f>IFERROR(INDEX('Green_rooibos initial weight'!$C$5:$C$2000,MATCH(L685, 'Green_rooibos initial weight'!$A$5:$A$2000,0)),"")</f>
        <v>2.169</v>
      </c>
      <c r="N685" s="257">
        <f>IFERROR(M685-(TBIcalc!$Q$9+TBIcalc!$Q$10),"")</f>
        <v>1.9192</v>
      </c>
      <c r="O685" s="378">
        <f>AVERAGE(Ashed_controlls!$K$12:$K$14)</f>
        <v>2.2816647271287041</v>
      </c>
      <c r="P685" s="257">
        <f t="shared" si="51"/>
        <v>1.8754102905569459</v>
      </c>
      <c r="Q685" s="257">
        <f>IFERROR(INDEX('Both teabags AfterDry'!$D$2:$D$2000,MATCH(L685,'Both teabags AfterDry'!$A$2:$A$2000,0)),"")</f>
        <v>1.9756</v>
      </c>
      <c r="R685" s="257">
        <f>IFERROR(IF(Q685&gt;0,Q685-(TBIcalc!$Q$9),""),"")</f>
        <v>1.825</v>
      </c>
      <c r="S685" s="268">
        <f>IFERROR(INDEX('Ashed teabags dry'!$K$2:$K$2000,MATCH(L685,'Ashed teabags dry'!$A$2:$A$2000,0)),"")</f>
        <v>3.4467713787080392</v>
      </c>
      <c r="T685" s="268">
        <f t="shared" si="52"/>
        <v>1.7620964223385782</v>
      </c>
      <c r="U685" s="258">
        <f>IF('Dry_Litterbag Placem_Collection'!E26="","",'Dry_Litterbag Placem_Collection'!E26)</f>
        <v>42936</v>
      </c>
      <c r="V685" s="258">
        <f>IF('Dry_Litterbag Placem_Collection'!G26="","",'Dry_Litterbag Placem_Collection'!G26)</f>
        <v>43007</v>
      </c>
      <c r="W685" s="259">
        <f t="shared" si="50"/>
        <v>71</v>
      </c>
      <c r="X685" s="257">
        <f t="shared" si="53"/>
        <v>9.4200000000000061E-2</v>
      </c>
      <c r="Y685" s="257">
        <f t="shared" si="54"/>
        <v>0.11331386821836764</v>
      </c>
      <c r="Z685" s="261">
        <f>IFERROR(INDEX([3]Rainfall_Dry!$O$2:$O$217,MATCH(C685, [3]Rainfall_Dry!$A$2:$A$217,0)),"")</f>
        <v>6.900000125</v>
      </c>
      <c r="AA685" s="250">
        <v>54.080969906906262</v>
      </c>
      <c r="AB685" s="250">
        <v>21.264484651351896</v>
      </c>
      <c r="AC685" s="250">
        <v>24.654545441741845</v>
      </c>
      <c r="AD685" s="251" t="s">
        <v>2654</v>
      </c>
      <c r="AE685" s="250">
        <v>8.8433218334154695</v>
      </c>
      <c r="AF685" t="str">
        <f>IF('WetLitterbags placem_collection'!AB26="","",'WetLitterbags placem_collection'!AB26)</f>
        <v/>
      </c>
      <c r="AG685" t="str">
        <f>IF('WetLitterbags placem_collection'!Z26="","",'WetLitterbags placem_collection'!Z26)</f>
        <v/>
      </c>
      <c r="AH685" s="236" t="str">
        <f>IF('WetLitterbags placem_collection'!AA26="","",'WetLitterbags placem_collection'!AA26)</f>
        <v/>
      </c>
      <c r="AI685" t="str">
        <f>IF('WetLitterbags placem_collection'!AC26="","",'WetLitterbags placem_collection'!AC26)</f>
        <v/>
      </c>
      <c r="AJ685">
        <f>IFERROR(AVERAGE('Dry_Litterbag Placem_Collection'!O26,'Dry_Litterbag Placem_Collection'!R26),"")</f>
        <v>15.6</v>
      </c>
      <c r="AK685" s="261">
        <f>IFERROR(AVERAGE('Dry_Litterbag Placem_Collection'!N26,'Dry_Litterbag Placem_Collection'!Q26),"")</f>
        <v>25.5</v>
      </c>
      <c r="AL685" s="260">
        <f>INDEX([2]Coordinates!$B$2:$B$197,MATCH(I685,[2]Coordinates!$J$2:$J$197,0))</f>
        <v>-3.3853829649999998</v>
      </c>
      <c r="AM685" s="260">
        <f>INDEX([2]Coordinates!$C$2:$C$197,MATCH(I685,[2]Coordinates!$J$2:$J$197,0))</f>
        <v>34.818877980000003</v>
      </c>
      <c r="AN685" s="260" t="str">
        <f>IF(ISNUMBER(SEARCH("C", 'Dry_Litterbag Placem_Collection'!V26)),"YES","NO")</f>
        <v>NO</v>
      </c>
      <c r="AO685" s="260" t="str">
        <f>IF(ISNUMBER(SEARCH("H", 'Dry_Litterbag Placem_Collection'!V26)),"YES","NO")</f>
        <v>NO</v>
      </c>
      <c r="AP685" s="260" t="str">
        <f>IF(ISNUMBER(SEARCH("R", 'Dry_Litterbag Placem_Collection'!V26)),"YES","NO")</f>
        <v>NO</v>
      </c>
    </row>
    <row r="686" spans="1:42" ht="15" customHeight="1">
      <c r="A686" t="s">
        <v>3248</v>
      </c>
      <c r="B686" s="252" t="s">
        <v>2643</v>
      </c>
      <c r="C686" s="253">
        <f>'Dry_Litterbag Placem_Collection'!A27</f>
        <v>25</v>
      </c>
      <c r="D686" s="253" t="str">
        <f>'Dry_Litterbag Placem_Collection'!B27</f>
        <v>Makao</v>
      </c>
      <c r="E686" s="253" t="s">
        <v>2643</v>
      </c>
      <c r="F686" s="253" t="s">
        <v>2644</v>
      </c>
      <c r="G686" s="253">
        <v>4</v>
      </c>
      <c r="H686" s="253" t="s">
        <v>3105</v>
      </c>
      <c r="I686" s="254" t="str">
        <f>'Dry_Litterbag Placem_Collection'!C27</f>
        <v>Dry_Ag4_T1</v>
      </c>
      <c r="J686" s="263" t="s">
        <v>2932</v>
      </c>
      <c r="K686" s="264" t="s">
        <v>298</v>
      </c>
      <c r="L686" s="253" t="str">
        <f>IF(ISBLANK('Dry_Litterbag Placem_Collection'!M27),"","R"&amp;""&amp;'Dry_Litterbag Placem_Collection'!M27)</f>
        <v>R230</v>
      </c>
      <c r="M686" s="257">
        <f>IFERROR(INDEX('Green_rooibos initial weight'!$C$5:$C$2000,MATCH(L686, 'Green_rooibos initial weight'!$A$5:$A$2000,0)),"")</f>
        <v>2.2589999999999999</v>
      </c>
      <c r="N686" s="257">
        <f>IFERROR(M686-(TBIcalc!$Q$9+TBIcalc!$Q$10),"")</f>
        <v>2.0091999999999999</v>
      </c>
      <c r="O686" s="378">
        <f>AVERAGE(Ashed_controlls!$K$12:$K$14)</f>
        <v>2.2816647271287041</v>
      </c>
      <c r="P686" s="257">
        <f t="shared" si="51"/>
        <v>1.9633567923025299</v>
      </c>
      <c r="Q686" s="257">
        <f>IFERROR(INDEX('Both teabags AfterDry'!$D$2:$D$2000,MATCH(L686,'Both teabags AfterDry'!$A$2:$A$2000,0)),"")</f>
        <v>2.0360999999999998</v>
      </c>
      <c r="R686" s="257">
        <f>IFERROR(IF(Q686&gt;0,Q686-(TBIcalc!$Q$9),""),"")</f>
        <v>1.8854999999999997</v>
      </c>
      <c r="S686" s="268">
        <f>IFERROR(INDEX('Ashed teabags dry'!$K$2:$K$2000,MATCH(L686,'Ashed teabags dry'!$A$2:$A$2000,0)),"")</f>
        <v>3.0508474576268232</v>
      </c>
      <c r="T686" s="268">
        <f t="shared" si="52"/>
        <v>1.827976271186446</v>
      </c>
      <c r="U686" s="258">
        <f>IF('Dry_Litterbag Placem_Collection'!E27="","",'Dry_Litterbag Placem_Collection'!E27)</f>
        <v>42936</v>
      </c>
      <c r="V686" s="258">
        <f>IF('Dry_Litterbag Placem_Collection'!G27="","",'Dry_Litterbag Placem_Collection'!G27)</f>
        <v>43007</v>
      </c>
      <c r="W686" s="259">
        <f t="shared" si="50"/>
        <v>71</v>
      </c>
      <c r="X686" s="257">
        <f t="shared" si="53"/>
        <v>0.12370000000000014</v>
      </c>
      <c r="Y686" s="257">
        <f t="shared" si="54"/>
        <v>0.1353805211160839</v>
      </c>
      <c r="Z686" s="261">
        <f>IFERROR(INDEX([3]Rainfall_Dry!$O$2:$O$217,MATCH(C686, [3]Rainfall_Dry!$A$2:$A$217,0)),"")</f>
        <v>6.900000125</v>
      </c>
      <c r="AA686" s="250">
        <v>51.960000000000008</v>
      </c>
      <c r="AB686" s="250">
        <v>18.919999999999995</v>
      </c>
      <c r="AC686" s="250">
        <v>29.120000000000005</v>
      </c>
      <c r="AD686" s="251" t="s">
        <v>2654</v>
      </c>
      <c r="AE686" s="250">
        <v>1.85293247905372</v>
      </c>
      <c r="AF686" t="str">
        <f>IF('WetLitterbags placem_collection'!AB27="","",'WetLitterbags placem_collection'!AB27)</f>
        <v/>
      </c>
      <c r="AG686" t="str">
        <f>IF('WetLitterbags placem_collection'!Z27="","",'WetLitterbags placem_collection'!Z27)</f>
        <v/>
      </c>
      <c r="AH686" s="236" t="str">
        <f>IF('WetLitterbags placem_collection'!AA27="","",'WetLitterbags placem_collection'!AA27)</f>
        <v/>
      </c>
      <c r="AI686" t="str">
        <f>IF('WetLitterbags placem_collection'!AC27="","",'WetLitterbags placem_collection'!AC27)</f>
        <v/>
      </c>
      <c r="AJ686">
        <f>IFERROR(AVERAGE('Dry_Litterbag Placem_Collection'!O27,'Dry_Litterbag Placem_Collection'!R27),"")</f>
        <v>9.85</v>
      </c>
      <c r="AK686" s="261">
        <f>IFERROR(AVERAGE('Dry_Litterbag Placem_Collection'!N27,'Dry_Litterbag Placem_Collection'!Q27),"")</f>
        <v>25.4</v>
      </c>
      <c r="AL686" s="260">
        <f>INDEX([2]Coordinates!$B$2:$B$197,MATCH(I686,[2]Coordinates!$J$2:$J$197,0))</f>
        <v>-3.3849129919999998</v>
      </c>
      <c r="AM686" s="260">
        <f>INDEX([2]Coordinates!$C$2:$C$197,MATCH(I686,[2]Coordinates!$J$2:$J$197,0))</f>
        <v>34.818899020000003</v>
      </c>
      <c r="AN686" s="260" t="str">
        <f>IF(ISNUMBER(SEARCH("C", 'Dry_Litterbag Placem_Collection'!V27)),"YES","NO")</f>
        <v>NO</v>
      </c>
      <c r="AO686" s="260" t="str">
        <f>IF(ISNUMBER(SEARCH("H", 'Dry_Litterbag Placem_Collection'!V27)),"YES","NO")</f>
        <v>NO</v>
      </c>
      <c r="AP686" s="260" t="str">
        <f>IF(ISNUMBER(SEARCH("R", 'Dry_Litterbag Placem_Collection'!V27)),"YES","NO")</f>
        <v>NO</v>
      </c>
    </row>
    <row r="687" spans="1:42" ht="15" customHeight="1">
      <c r="A687" t="s">
        <v>3248</v>
      </c>
      <c r="B687" s="252" t="s">
        <v>2643</v>
      </c>
      <c r="C687" s="253">
        <f>'Dry_Litterbag Placem_Collection'!A28</f>
        <v>26</v>
      </c>
      <c r="D687" s="253" t="str">
        <f>'Dry_Litterbag Placem_Collection'!B28</f>
        <v>Makao</v>
      </c>
      <c r="E687" s="253" t="s">
        <v>2643</v>
      </c>
      <c r="F687" s="253" t="s">
        <v>2644</v>
      </c>
      <c r="G687" s="253">
        <v>4</v>
      </c>
      <c r="H687" s="253" t="s">
        <v>3105</v>
      </c>
      <c r="I687" s="254" t="str">
        <f>'Dry_Litterbag Placem_Collection'!C28</f>
        <v>Dry_Ag4_T2</v>
      </c>
      <c r="J687" s="263" t="s">
        <v>2932</v>
      </c>
      <c r="K687" s="264" t="s">
        <v>298</v>
      </c>
      <c r="L687" s="253" t="str">
        <f>IF(ISBLANK('Dry_Litterbag Placem_Collection'!M28),"","R"&amp;""&amp;'Dry_Litterbag Placem_Collection'!M28)</f>
        <v>R642</v>
      </c>
      <c r="M687" s="257">
        <f>IFERROR(INDEX('Green_rooibos initial weight'!$C$5:$C$2000,MATCH(L687, 'Green_rooibos initial weight'!$A$5:$A$2000,0)),"")</f>
        <v>2.14</v>
      </c>
      <c r="N687" s="257">
        <f>IFERROR(M687-(TBIcalc!$Q$9+TBIcalc!$Q$10),"")</f>
        <v>1.8902000000000001</v>
      </c>
      <c r="O687" s="378">
        <f>AVERAGE(Ashed_controlls!$K$12:$K$14)</f>
        <v>2.2816647271287041</v>
      </c>
      <c r="P687" s="257">
        <f t="shared" si="51"/>
        <v>1.8470719733278134</v>
      </c>
      <c r="Q687" s="257">
        <f>IFERROR(INDEX('Both teabags AfterDry'!$D$2:$D$2000,MATCH(L687,'Both teabags AfterDry'!$A$2:$A$2000,0)),"")</f>
        <v>1.9686999999999999</v>
      </c>
      <c r="R687" s="257">
        <f>IFERROR(IF(Q687&gt;0,Q687-(TBIcalc!$Q$9),""),"")</f>
        <v>1.8180999999999998</v>
      </c>
      <c r="S687" s="268">
        <f>IFERROR(INDEX('Ashed teabags dry'!$K$2:$K$2000,MATCH(L687,'Ashed teabags dry'!$A$2:$A$2000,0)),"")</f>
        <v>2.1136683889149204</v>
      </c>
      <c r="T687" s="268">
        <f t="shared" si="52"/>
        <v>1.7796713950211376</v>
      </c>
      <c r="U687" s="258">
        <f>IF('Dry_Litterbag Placem_Collection'!E28="","",'Dry_Litterbag Placem_Collection'!E28)</f>
        <v>42936</v>
      </c>
      <c r="V687" s="258">
        <f>IF('Dry_Litterbag Placem_Collection'!G28="","",'Dry_Litterbag Placem_Collection'!G28)</f>
        <v>43007</v>
      </c>
      <c r="W687" s="259">
        <f t="shared" si="50"/>
        <v>71</v>
      </c>
      <c r="X687" s="257">
        <f t="shared" si="53"/>
        <v>7.2100000000000275E-2</v>
      </c>
      <c r="Y687" s="257">
        <f t="shared" si="54"/>
        <v>6.7400578306675785E-2</v>
      </c>
      <c r="Z687" s="261">
        <f>IFERROR(INDEX([3]Rainfall_Dry!$O$2:$O$217,MATCH(C687, [3]Rainfall_Dry!$A$2:$A$217,0)),"")</f>
        <v>6.900000125</v>
      </c>
      <c r="AA687" s="250">
        <v>51.960000000000008</v>
      </c>
      <c r="AB687" s="250">
        <v>18.919999999999995</v>
      </c>
      <c r="AC687" s="250">
        <v>29.120000000000005</v>
      </c>
      <c r="AD687" s="251" t="s">
        <v>2654</v>
      </c>
      <c r="AE687" s="250">
        <v>2.8529324790537198</v>
      </c>
      <c r="AF687" t="str">
        <f>IF('WetLitterbags placem_collection'!AB28="","",'WetLitterbags placem_collection'!AB28)</f>
        <v/>
      </c>
      <c r="AG687" t="str">
        <f>IF('WetLitterbags placem_collection'!Z28="","",'WetLitterbags placem_collection'!Z28)</f>
        <v/>
      </c>
      <c r="AH687" s="236" t="str">
        <f>IF('WetLitterbags placem_collection'!AA28="","",'WetLitterbags placem_collection'!AA28)</f>
        <v/>
      </c>
      <c r="AI687" t="str">
        <f>IF('WetLitterbags placem_collection'!AC28="","",'WetLitterbags placem_collection'!AC28)</f>
        <v/>
      </c>
      <c r="AJ687">
        <f>IFERROR(AVERAGE('Dry_Litterbag Placem_Collection'!O28,'Dry_Litterbag Placem_Collection'!R28),"")</f>
        <v>8.1</v>
      </c>
      <c r="AK687" s="261">
        <f>IFERROR(AVERAGE('Dry_Litterbag Placem_Collection'!N28,'Dry_Litterbag Placem_Collection'!Q28),"")</f>
        <v>25.85</v>
      </c>
      <c r="AL687" s="260">
        <f>INDEX([2]Coordinates!$B$2:$B$197,MATCH(I687,[2]Coordinates!$J$2:$J$197,0))</f>
        <v>-3.3849689999999999</v>
      </c>
      <c r="AM687" s="260">
        <f>INDEX([2]Coordinates!$C$2:$C$197,MATCH(I687,[2]Coordinates!$J$2:$J$197,0))</f>
        <v>34.818908</v>
      </c>
      <c r="AN687" s="260" t="str">
        <f>IF(ISNUMBER(SEARCH("C", 'Dry_Litterbag Placem_Collection'!V28)),"YES","NO")</f>
        <v>NO</v>
      </c>
      <c r="AO687" s="260" t="str">
        <f>IF(ISNUMBER(SEARCH("H", 'Dry_Litterbag Placem_Collection'!V28)),"YES","NO")</f>
        <v>NO</v>
      </c>
      <c r="AP687" s="260" t="str">
        <f>IF(ISNUMBER(SEARCH("R", 'Dry_Litterbag Placem_Collection'!V28)),"YES","NO")</f>
        <v>NO</v>
      </c>
    </row>
    <row r="688" spans="1:42" ht="15" customHeight="1">
      <c r="A688" t="s">
        <v>3248</v>
      </c>
      <c r="B688" s="252" t="s">
        <v>2643</v>
      </c>
      <c r="C688" s="253">
        <f>'Dry_Litterbag Placem_Collection'!A29</f>
        <v>27</v>
      </c>
      <c r="D688" s="253" t="str">
        <f>'Dry_Litterbag Placem_Collection'!B29</f>
        <v>Makao</v>
      </c>
      <c r="E688" s="253" t="s">
        <v>2643</v>
      </c>
      <c r="F688" s="253" t="s">
        <v>2644</v>
      </c>
      <c r="G688" s="253">
        <v>4</v>
      </c>
      <c r="H688" s="253" t="s">
        <v>3105</v>
      </c>
      <c r="I688" s="254" t="str">
        <f>'Dry_Litterbag Placem_Collection'!C29</f>
        <v>Dry_Ag4_T3</v>
      </c>
      <c r="J688" s="263" t="s">
        <v>2932</v>
      </c>
      <c r="K688" s="264" t="s">
        <v>298</v>
      </c>
      <c r="L688" s="253" t="str">
        <f>IF(ISBLANK('Dry_Litterbag Placem_Collection'!M29),"","R"&amp;""&amp;'Dry_Litterbag Placem_Collection'!M29)</f>
        <v>R199</v>
      </c>
      <c r="M688" s="257">
        <f>IFERROR(INDEX('Green_rooibos initial weight'!$C$5:$C$2000,MATCH(L688, 'Green_rooibos initial weight'!$A$5:$A$2000,0)),"")</f>
        <v>2.1850000000000001</v>
      </c>
      <c r="N688" s="257">
        <f>IFERROR(M688-(TBIcalc!$Q$9+TBIcalc!$Q$10),"")</f>
        <v>1.9352</v>
      </c>
      <c r="O688" s="378">
        <f>AVERAGE(Ashed_controlls!$K$12:$K$14)</f>
        <v>2.2816647271287041</v>
      </c>
      <c r="P688" s="257">
        <f t="shared" si="51"/>
        <v>1.8910452242006053</v>
      </c>
      <c r="Q688" s="257" t="str">
        <f>IFERROR(INDEX('Both teabags AfterDry'!$D$2:$D$2000,MATCH(L688,'Both teabags AfterDry'!$A$2:$A$2000,0)),"")</f>
        <v/>
      </c>
      <c r="R688" s="257" t="str">
        <f>IFERROR(IF(Q688&gt;0,Q688-(TBIcalc!$Q$9),""),"")</f>
        <v/>
      </c>
      <c r="S688" s="268" t="str">
        <f>IFERROR(INDEX('Ashed teabags dry'!$K$2:$K$2000,MATCH(L688,'Ashed teabags dry'!$A$2:$A$2000,0)),"")</f>
        <v/>
      </c>
      <c r="T688" s="268" t="str">
        <f t="shared" si="52"/>
        <v/>
      </c>
      <c r="U688" s="258">
        <f>IF('Dry_Litterbag Placem_Collection'!E29="","",'Dry_Litterbag Placem_Collection'!E29)</f>
        <v>42936</v>
      </c>
      <c r="V688" s="258">
        <f>IF('Dry_Litterbag Placem_Collection'!G29="","",'Dry_Litterbag Placem_Collection'!G29)</f>
        <v>43007</v>
      </c>
      <c r="W688" s="259">
        <f t="shared" si="50"/>
        <v>71</v>
      </c>
      <c r="X688" s="257" t="str">
        <f t="shared" si="53"/>
        <v/>
      </c>
      <c r="Y688" s="257" t="str">
        <f t="shared" si="54"/>
        <v/>
      </c>
      <c r="Z688" s="261">
        <f>IFERROR(INDEX([3]Rainfall_Dry!$O$2:$O$217,MATCH(C688, [3]Rainfall_Dry!$A$2:$A$217,0)),"")</f>
        <v>6.900000125</v>
      </c>
      <c r="AA688" s="250">
        <v>51.960000000000008</v>
      </c>
      <c r="AB688" s="250">
        <v>18.919999999999995</v>
      </c>
      <c r="AC688" s="250">
        <v>29.120000000000005</v>
      </c>
      <c r="AD688" s="251" t="s">
        <v>2654</v>
      </c>
      <c r="AE688" s="250">
        <v>3.8529324790537198</v>
      </c>
      <c r="AF688" t="str">
        <f>IF('WetLitterbags placem_collection'!AB29="","",'WetLitterbags placem_collection'!AB29)</f>
        <v/>
      </c>
      <c r="AG688" t="str">
        <f>IF('WetLitterbags placem_collection'!Z29="","",'WetLitterbags placem_collection'!Z29)</f>
        <v/>
      </c>
      <c r="AH688" s="236" t="str">
        <f>IF('WetLitterbags placem_collection'!AA29="","",'WetLitterbags placem_collection'!AA29)</f>
        <v/>
      </c>
      <c r="AI688" t="str">
        <f>IF('WetLitterbags placem_collection'!AC29="","",'WetLitterbags placem_collection'!AC29)</f>
        <v/>
      </c>
      <c r="AJ688">
        <f>IFERROR(AVERAGE('Dry_Litterbag Placem_Collection'!O29,'Dry_Litterbag Placem_Collection'!R29),"")</f>
        <v>14.1</v>
      </c>
      <c r="AK688" s="261">
        <f>IFERROR(AVERAGE('Dry_Litterbag Placem_Collection'!N29,'Dry_Litterbag Placem_Collection'!Q29),"")</f>
        <v>26.15</v>
      </c>
      <c r="AL688" s="260">
        <f>INDEX([2]Coordinates!$B$2:$B$197,MATCH(I688,[2]Coordinates!$J$2:$J$197,0))</f>
        <v>-3.3849350359999999</v>
      </c>
      <c r="AM688" s="260">
        <f>INDEX([2]Coordinates!$C$2:$C$197,MATCH(I688,[2]Coordinates!$J$2:$J$197,0))</f>
        <v>34.818943019999999</v>
      </c>
      <c r="AN688" s="260" t="str">
        <f>IF(ISNUMBER(SEARCH("C", 'Dry_Litterbag Placem_Collection'!V29)),"YES","NO")</f>
        <v>NO</v>
      </c>
      <c r="AO688" s="260" t="str">
        <f>IF(ISNUMBER(SEARCH("H", 'Dry_Litterbag Placem_Collection'!V29)),"YES","NO")</f>
        <v>NO</v>
      </c>
      <c r="AP688" s="260" t="str">
        <f>IF(ISNUMBER(SEARCH("R", 'Dry_Litterbag Placem_Collection'!V29)),"YES","NO")</f>
        <v>NO</v>
      </c>
    </row>
    <row r="689" spans="1:42" ht="15" customHeight="1">
      <c r="A689" t="s">
        <v>3248</v>
      </c>
      <c r="B689" s="252" t="s">
        <v>2643</v>
      </c>
      <c r="C689" s="253">
        <f>'Dry_Litterbag Placem_Collection'!A30</f>
        <v>28</v>
      </c>
      <c r="D689" s="253" t="str">
        <f>'Dry_Litterbag Placem_Collection'!B30</f>
        <v>Makao</v>
      </c>
      <c r="E689" s="253" t="s">
        <v>2643</v>
      </c>
      <c r="F689" s="253" t="s">
        <v>2644</v>
      </c>
      <c r="G689" s="253">
        <v>4</v>
      </c>
      <c r="H689" s="253" t="s">
        <v>3105</v>
      </c>
      <c r="I689" s="254" t="str">
        <f>'Dry_Litterbag Placem_Collection'!C30</f>
        <v>Dry_Ag4_T4</v>
      </c>
      <c r="J689" s="263" t="s">
        <v>2932</v>
      </c>
      <c r="K689" s="264" t="s">
        <v>298</v>
      </c>
      <c r="L689" s="253" t="str">
        <f>IF(ISBLANK('Dry_Litterbag Placem_Collection'!M30),"","R"&amp;""&amp;'Dry_Litterbag Placem_Collection'!M30)</f>
        <v>R162</v>
      </c>
      <c r="M689" s="257">
        <f>IFERROR(INDEX('Green_rooibos initial weight'!$C$5:$C$2000,MATCH(L689, 'Green_rooibos initial weight'!$A$5:$A$2000,0)),"")</f>
        <v>2.242</v>
      </c>
      <c r="N689" s="257">
        <f>IFERROR(M689-(TBIcalc!$Q$9+TBIcalc!$Q$10),"")</f>
        <v>1.9922</v>
      </c>
      <c r="O689" s="378">
        <f>AVERAGE(Ashed_controlls!$K$12:$K$14)</f>
        <v>2.2816647271287041</v>
      </c>
      <c r="P689" s="257">
        <f t="shared" si="51"/>
        <v>1.9467446753061419</v>
      </c>
      <c r="Q689" s="257">
        <f>IFERROR(INDEX('Both teabags AfterDry'!$D$2:$D$2000,MATCH(L689,'Both teabags AfterDry'!$A$2:$A$2000,0)),"")</f>
        <v>1.964</v>
      </c>
      <c r="R689" s="257">
        <f>IFERROR(IF(Q689&gt;0,Q689-(TBIcalc!$Q$9),""),"")</f>
        <v>1.8133999999999999</v>
      </c>
      <c r="S689" s="268">
        <f>IFERROR(INDEX('Ashed teabags dry'!$K$2:$K$2000,MATCH(L689,'Ashed teabags dry'!$A$2:$A$2000,0)),"")</f>
        <v>3.596059113301163</v>
      </c>
      <c r="T689" s="268">
        <f t="shared" si="52"/>
        <v>1.7481890640393967</v>
      </c>
      <c r="U689" s="258">
        <f>IF('Dry_Litterbag Placem_Collection'!E30="","",'Dry_Litterbag Placem_Collection'!E30)</f>
        <v>42936</v>
      </c>
      <c r="V689" s="258">
        <f>IF('Dry_Litterbag Placem_Collection'!G30="","",'Dry_Litterbag Placem_Collection'!G30)</f>
        <v>43007</v>
      </c>
      <c r="W689" s="259">
        <f t="shared" si="50"/>
        <v>71</v>
      </c>
      <c r="X689" s="257">
        <f t="shared" si="53"/>
        <v>0.17880000000000007</v>
      </c>
      <c r="Y689" s="257">
        <f t="shared" si="54"/>
        <v>0.19855561126674526</v>
      </c>
      <c r="Z689" s="261">
        <f>IFERROR(INDEX([3]Rainfall_Dry!$O$2:$O$217,MATCH(C689, [3]Rainfall_Dry!$A$2:$A$217,0)),"")</f>
        <v>6.900000125</v>
      </c>
      <c r="AA689" s="250">
        <v>51.960000000000008</v>
      </c>
      <c r="AB689" s="250">
        <v>18.919999999999995</v>
      </c>
      <c r="AC689" s="250">
        <v>29.120000000000005</v>
      </c>
      <c r="AD689" s="251" t="s">
        <v>2654</v>
      </c>
      <c r="AE689" s="250">
        <v>4.8529324790537203</v>
      </c>
      <c r="AF689" t="str">
        <f>IF('WetLitterbags placem_collection'!AB30="","",'WetLitterbags placem_collection'!AB30)</f>
        <v/>
      </c>
      <c r="AG689" t="str">
        <f>IF('WetLitterbags placem_collection'!Z30="","",'WetLitterbags placem_collection'!Z30)</f>
        <v/>
      </c>
      <c r="AH689" s="236" t="str">
        <f>IF('WetLitterbags placem_collection'!AA30="","",'WetLitterbags placem_collection'!AA30)</f>
        <v/>
      </c>
      <c r="AI689" t="str">
        <f>IF('WetLitterbags placem_collection'!AC30="","",'WetLitterbags placem_collection'!AC30)</f>
        <v/>
      </c>
      <c r="AJ689">
        <f>IFERROR(AVERAGE('Dry_Litterbag Placem_Collection'!O30,'Dry_Litterbag Placem_Collection'!R30),"")</f>
        <v>9.1000000000000014</v>
      </c>
      <c r="AK689" s="261">
        <f>IFERROR(AVERAGE('Dry_Litterbag Placem_Collection'!N30,'Dry_Litterbag Placem_Collection'!Q30),"")</f>
        <v>25.700000000000003</v>
      </c>
      <c r="AL689" s="260">
        <f>INDEX([2]Coordinates!$B$2:$B$197,MATCH(I689,[2]Coordinates!$J$2:$J$197,0))</f>
        <v>-3.3850070369999998</v>
      </c>
      <c r="AM689" s="260">
        <f>INDEX([2]Coordinates!$C$2:$C$197,MATCH(I689,[2]Coordinates!$J$2:$J$197,0))</f>
        <v>34.818888960000002</v>
      </c>
      <c r="AN689" s="260" t="str">
        <f>IF(ISNUMBER(SEARCH("C", 'Dry_Litterbag Placem_Collection'!V30)),"YES","NO")</f>
        <v>NO</v>
      </c>
      <c r="AO689" s="260" t="str">
        <f>IF(ISNUMBER(SEARCH("H", 'Dry_Litterbag Placem_Collection'!V30)),"YES","NO")</f>
        <v>NO</v>
      </c>
      <c r="AP689" s="260" t="str">
        <f>IF(ISNUMBER(SEARCH("R", 'Dry_Litterbag Placem_Collection'!V30)),"YES","NO")</f>
        <v>NO</v>
      </c>
    </row>
    <row r="690" spans="1:42" ht="15" customHeight="1">
      <c r="A690" t="s">
        <v>3248</v>
      </c>
      <c r="B690" s="252" t="s">
        <v>2643</v>
      </c>
      <c r="C690" s="253">
        <f>'Dry_Litterbag Placem_Collection'!A31</f>
        <v>29</v>
      </c>
      <c r="D690" s="253" t="str">
        <f>'Dry_Litterbag Placem_Collection'!B31</f>
        <v>Makao</v>
      </c>
      <c r="E690" s="253" t="s">
        <v>2643</v>
      </c>
      <c r="F690" s="253" t="s">
        <v>2644</v>
      </c>
      <c r="G690" s="253">
        <v>4</v>
      </c>
      <c r="H690" s="253" t="s">
        <v>3105</v>
      </c>
      <c r="I690" s="254" t="str">
        <f>'Dry_Litterbag Placem_Collection'!C31</f>
        <v>Dry_Ag4_T5</v>
      </c>
      <c r="J690" s="263" t="s">
        <v>2932</v>
      </c>
      <c r="K690" s="264" t="s">
        <v>298</v>
      </c>
      <c r="L690" s="253" t="str">
        <f>IF(ISBLANK('Dry_Litterbag Placem_Collection'!M31),"","R"&amp;""&amp;'Dry_Litterbag Placem_Collection'!M31)</f>
        <v>R163</v>
      </c>
      <c r="M690" s="257">
        <f>IFERROR(INDEX('Green_rooibos initial weight'!$C$5:$C$2000,MATCH(L690, 'Green_rooibos initial weight'!$A$5:$A$2000,0)),"")</f>
        <v>2.23</v>
      </c>
      <c r="N690" s="257">
        <f>IFERROR(M690-(TBIcalc!$Q$9+TBIcalc!$Q$10),"")</f>
        <v>1.9802</v>
      </c>
      <c r="O690" s="378">
        <f>AVERAGE(Ashed_controlls!$K$12:$K$14)</f>
        <v>2.2816647271287041</v>
      </c>
      <c r="P690" s="257">
        <f t="shared" si="51"/>
        <v>1.9350184750733974</v>
      </c>
      <c r="Q690" s="257">
        <f>IFERROR(INDEX('Both teabags AfterDry'!$D$2:$D$2000,MATCH(L690,'Both teabags AfterDry'!$A$2:$A$2000,0)),"")</f>
        <v>1.9955000000000001</v>
      </c>
      <c r="R690" s="257">
        <f>IFERROR(IF(Q690&gt;0,Q690-(TBIcalc!$Q$9),""),"")</f>
        <v>1.8449</v>
      </c>
      <c r="S690" s="268">
        <f>IFERROR(INDEX('Ashed teabags dry'!$K$2:$K$2000,MATCH(L690,'Ashed teabags dry'!$A$2:$A$2000,0)),"")</f>
        <v>2.8292682926832247</v>
      </c>
      <c r="T690" s="268">
        <f t="shared" si="52"/>
        <v>1.7927028292682872</v>
      </c>
      <c r="U690" s="258">
        <f>IF('Dry_Litterbag Placem_Collection'!E31="","",'Dry_Litterbag Placem_Collection'!E31)</f>
        <v>42936</v>
      </c>
      <c r="V690" s="258">
        <f>IF('Dry_Litterbag Placem_Collection'!G31="","",'Dry_Litterbag Placem_Collection'!G31)</f>
        <v>43007</v>
      </c>
      <c r="W690" s="259">
        <f t="shared" si="50"/>
        <v>71</v>
      </c>
      <c r="X690" s="257">
        <f t="shared" si="53"/>
        <v>0.13529999999999998</v>
      </c>
      <c r="Y690" s="257">
        <f t="shared" si="54"/>
        <v>0.14231564580511025</v>
      </c>
      <c r="Z690" s="261">
        <f>IFERROR(INDEX([3]Rainfall_Dry!$O$2:$O$217,MATCH(C690, [3]Rainfall_Dry!$A$2:$A$217,0)),"")</f>
        <v>6.900000125</v>
      </c>
      <c r="AA690" s="250">
        <v>51.960000000000008</v>
      </c>
      <c r="AB690" s="250">
        <v>18.919999999999995</v>
      </c>
      <c r="AC690" s="250">
        <v>29.120000000000005</v>
      </c>
      <c r="AD690" s="251" t="s">
        <v>2654</v>
      </c>
      <c r="AE690" s="250">
        <v>5.8529324790537203</v>
      </c>
      <c r="AF690" t="str">
        <f>IF('WetLitterbags placem_collection'!AB31="","",'WetLitterbags placem_collection'!AB31)</f>
        <v/>
      </c>
      <c r="AG690" t="str">
        <f>IF('WetLitterbags placem_collection'!Z31="","",'WetLitterbags placem_collection'!Z31)</f>
        <v/>
      </c>
      <c r="AH690" s="236" t="str">
        <f>IF('WetLitterbags placem_collection'!AA31="","",'WetLitterbags placem_collection'!AA31)</f>
        <v/>
      </c>
      <c r="AI690" t="str">
        <f>IF('WetLitterbags placem_collection'!AC31="","",'WetLitterbags placem_collection'!AC31)</f>
        <v/>
      </c>
      <c r="AJ690">
        <f>IFERROR(AVERAGE('Dry_Litterbag Placem_Collection'!O31,'Dry_Litterbag Placem_Collection'!R31),"")</f>
        <v>15.15</v>
      </c>
      <c r="AK690" s="261">
        <f>IFERROR(AVERAGE('Dry_Litterbag Placem_Collection'!N31,'Dry_Litterbag Placem_Collection'!Q31),"")</f>
        <v>25.65</v>
      </c>
      <c r="AL690" s="260">
        <f>INDEX([2]Coordinates!$B$2:$B$197,MATCH(I690,[2]Coordinates!$J$2:$J$197,0))</f>
        <v>-3.3849480280000002</v>
      </c>
      <c r="AM690" s="260">
        <f>INDEX([2]Coordinates!$C$2:$C$197,MATCH(I690,[2]Coordinates!$J$2:$J$197,0))</f>
        <v>34.818854010000003</v>
      </c>
      <c r="AN690" s="260" t="str">
        <f>IF(ISNUMBER(SEARCH("C", 'Dry_Litterbag Placem_Collection'!V31)),"YES","NO")</f>
        <v>NO</v>
      </c>
      <c r="AO690" s="260" t="str">
        <f>IF(ISNUMBER(SEARCH("H", 'Dry_Litterbag Placem_Collection'!V31)),"YES","NO")</f>
        <v>NO</v>
      </c>
      <c r="AP690" s="260" t="str">
        <f>IF(ISNUMBER(SEARCH("R", 'Dry_Litterbag Placem_Collection'!V31)),"YES","NO")</f>
        <v>NO</v>
      </c>
    </row>
    <row r="691" spans="1:42" ht="15" customHeight="1">
      <c r="A691" t="s">
        <v>3248</v>
      </c>
      <c r="B691" s="252" t="s">
        <v>2643</v>
      </c>
      <c r="C691" s="253">
        <f>'Dry_Litterbag Placem_Collection'!A32</f>
        <v>30</v>
      </c>
      <c r="D691" s="253" t="str">
        <f>'Dry_Litterbag Placem_Collection'!B32</f>
        <v>Makao</v>
      </c>
      <c r="E691" s="253" t="s">
        <v>2643</v>
      </c>
      <c r="F691" s="253" t="s">
        <v>2644</v>
      </c>
      <c r="G691" s="253">
        <v>4</v>
      </c>
      <c r="H691" s="253" t="s">
        <v>3105</v>
      </c>
      <c r="I691" s="254" t="str">
        <f>'Dry_Litterbag Placem_Collection'!C32</f>
        <v>Dry_Ag4_T6</v>
      </c>
      <c r="J691" s="263" t="s">
        <v>2932</v>
      </c>
      <c r="K691" s="264" t="s">
        <v>298</v>
      </c>
      <c r="L691" s="253" t="str">
        <f>IF(ISBLANK('Dry_Litterbag Placem_Collection'!M32),"","R"&amp;""&amp;'Dry_Litterbag Placem_Collection'!M32)</f>
        <v>R345</v>
      </c>
      <c r="M691" s="257">
        <f>IFERROR(INDEX('Green_rooibos initial weight'!$C$5:$C$2000,MATCH(L691, 'Green_rooibos initial weight'!$A$5:$A$2000,0)),"")</f>
        <v>2.2599999999999998</v>
      </c>
      <c r="N691" s="257">
        <f>IFERROR(M691-(TBIcalc!$Q$9+TBIcalc!$Q$10),"")</f>
        <v>2.0101999999999998</v>
      </c>
      <c r="O691" s="378">
        <f>AVERAGE(Ashed_controlls!$K$12:$K$14)</f>
        <v>2.2816647271287041</v>
      </c>
      <c r="P691" s="257">
        <f t="shared" si="51"/>
        <v>1.9643339756552585</v>
      </c>
      <c r="Q691" s="257">
        <f>IFERROR(INDEX('Both teabags AfterDry'!$D$2:$D$2000,MATCH(L691,'Both teabags AfterDry'!$A$2:$A$2000,0)),"")</f>
        <v>2.0409000000000002</v>
      </c>
      <c r="R691" s="257">
        <f>IFERROR(IF(Q691&gt;0,Q691-(TBIcalc!$Q$9),""),"")</f>
        <v>1.8903000000000001</v>
      </c>
      <c r="S691" s="268">
        <f>IFERROR(INDEX('Ashed teabags dry'!$K$2:$K$2000,MATCH(L691,'Ashed teabags dry'!$A$2:$A$2000,0)),"")</f>
        <v>2.2449975597850815</v>
      </c>
      <c r="T691" s="268">
        <f t="shared" si="52"/>
        <v>1.8478628111273827</v>
      </c>
      <c r="U691" s="258">
        <f>IF('Dry_Litterbag Placem_Collection'!E32="","",'Dry_Litterbag Placem_Collection'!E32)</f>
        <v>42936</v>
      </c>
      <c r="V691" s="258">
        <f>IF('Dry_Litterbag Placem_Collection'!G32="","",'Dry_Litterbag Placem_Collection'!G32)</f>
        <v>43007</v>
      </c>
      <c r="W691" s="259">
        <f t="shared" si="50"/>
        <v>71</v>
      </c>
      <c r="X691" s="257">
        <f t="shared" si="53"/>
        <v>0.11989999999999967</v>
      </c>
      <c r="Y691" s="257">
        <f t="shared" si="54"/>
        <v>0.11647116452787576</v>
      </c>
      <c r="Z691" s="261">
        <f>IFERROR(INDEX([3]Rainfall_Dry!$O$2:$O$217,MATCH(C691, [3]Rainfall_Dry!$A$2:$A$217,0)),"")</f>
        <v>6.900000125</v>
      </c>
      <c r="AA691" s="250">
        <v>51.960000000000008</v>
      </c>
      <c r="AB691" s="250">
        <v>18.919999999999995</v>
      </c>
      <c r="AC691" s="250">
        <v>29.120000000000005</v>
      </c>
      <c r="AD691" s="251" t="s">
        <v>2654</v>
      </c>
      <c r="AE691" s="250">
        <v>6.8529324790537203</v>
      </c>
      <c r="AF691" t="str">
        <f>IF('WetLitterbags placem_collection'!AB32="","",'WetLitterbags placem_collection'!AB32)</f>
        <v/>
      </c>
      <c r="AG691" t="str">
        <f>IF('WetLitterbags placem_collection'!Z32="","",'WetLitterbags placem_collection'!Z32)</f>
        <v/>
      </c>
      <c r="AH691" s="236" t="str">
        <f>IF('WetLitterbags placem_collection'!AA32="","",'WetLitterbags placem_collection'!AA32)</f>
        <v/>
      </c>
      <c r="AI691" t="str">
        <f>IF('WetLitterbags placem_collection'!AC32="","",'WetLitterbags placem_collection'!AC32)</f>
        <v/>
      </c>
      <c r="AJ691">
        <f>IFERROR(AVERAGE('Dry_Litterbag Placem_Collection'!O32,'Dry_Litterbag Placem_Collection'!R32),"")</f>
        <v>9.3000000000000007</v>
      </c>
      <c r="AK691" s="261">
        <f>IFERROR(AVERAGE('Dry_Litterbag Placem_Collection'!N32,'Dry_Litterbag Placem_Collection'!Q32),"")</f>
        <v>24</v>
      </c>
      <c r="AL691" s="260">
        <f>INDEX([2]Coordinates!$B$2:$B$197,MATCH(I691,[2]Coordinates!$J$2:$J$197,0))</f>
        <v>-3.38496496</v>
      </c>
      <c r="AM691" s="260">
        <f>INDEX([2]Coordinates!$C$2:$C$197,MATCH(I691,[2]Coordinates!$J$2:$J$197,0))</f>
        <v>34.818790970000002</v>
      </c>
      <c r="AN691" s="260" t="str">
        <f>IF(ISNUMBER(SEARCH("C", 'Dry_Litterbag Placem_Collection'!V32)),"YES","NO")</f>
        <v>NO</v>
      </c>
      <c r="AO691" s="260" t="str">
        <f>IF(ISNUMBER(SEARCH("H", 'Dry_Litterbag Placem_Collection'!V32)),"YES","NO")</f>
        <v>NO</v>
      </c>
      <c r="AP691" s="260" t="str">
        <f>IF(ISNUMBER(SEARCH("R", 'Dry_Litterbag Placem_Collection'!V32)),"YES","NO")</f>
        <v>NO</v>
      </c>
    </row>
    <row r="692" spans="1:42" ht="15" customHeight="1">
      <c r="A692" t="s">
        <v>3248</v>
      </c>
      <c r="B692" s="252" t="s">
        <v>2643</v>
      </c>
      <c r="C692" s="253">
        <f>'Dry_Litterbag Placem_Collection'!A33</f>
        <v>31</v>
      </c>
      <c r="D692" s="253" t="str">
        <f>'Dry_Litterbag Placem_Collection'!B33</f>
        <v>Makao</v>
      </c>
      <c r="E692" s="253" t="s">
        <v>2643</v>
      </c>
      <c r="F692" s="253" t="s">
        <v>2644</v>
      </c>
      <c r="G692" s="253">
        <v>4</v>
      </c>
      <c r="H692" s="253" t="s">
        <v>3105</v>
      </c>
      <c r="I692" s="254" t="str">
        <f>'Dry_Litterbag Placem_Collection'!C33</f>
        <v>Dry_Ag4_T7</v>
      </c>
      <c r="J692" s="263" t="s">
        <v>2932</v>
      </c>
      <c r="K692" s="264" t="s">
        <v>298</v>
      </c>
      <c r="L692" s="253" t="str">
        <f>IF(ISBLANK('Dry_Litterbag Placem_Collection'!M33),"","R"&amp;""&amp;'Dry_Litterbag Placem_Collection'!M33)</f>
        <v/>
      </c>
      <c r="M692" s="257" t="str">
        <f>IFERROR(INDEX('Green_rooibos initial weight'!$C$5:$C$2000,MATCH(L692, 'Green_rooibos initial weight'!$A$5:$A$2000,0)),"")</f>
        <v/>
      </c>
      <c r="N692" s="257" t="str">
        <f>IFERROR(M692-(TBIcalc!$Q$9+TBIcalc!$Q$10),"")</f>
        <v/>
      </c>
      <c r="O692" s="378">
        <f>AVERAGE(Ashed_controlls!$K$12:$K$14)</f>
        <v>2.2816647271287041</v>
      </c>
      <c r="P692" s="257" t="str">
        <f t="shared" si="51"/>
        <v/>
      </c>
      <c r="Q692" s="257" t="str">
        <f>IFERROR(INDEX('Both teabags AfterDry'!$D$2:$D$2000,MATCH(L692,'Both teabags AfterDry'!$A$2:$A$2000,0)),"")</f>
        <v/>
      </c>
      <c r="R692" s="257" t="str">
        <f>IFERROR(IF(Q692&gt;0,Q692-(TBIcalc!$Q$9),""),"")</f>
        <v/>
      </c>
      <c r="S692" s="268" t="str">
        <f>IFERROR(INDEX('Ashed teabags dry'!$K$2:$K$2000,MATCH(L692,'Ashed teabags dry'!$A$2:$A$2000,0)),"")</f>
        <v/>
      </c>
      <c r="T692" s="268" t="str">
        <f t="shared" si="52"/>
        <v/>
      </c>
      <c r="U692" s="258" t="str">
        <f>IF('Dry_Litterbag Placem_Collection'!E33="","",'Dry_Litterbag Placem_Collection'!E33)</f>
        <v/>
      </c>
      <c r="V692" s="258" t="str">
        <f>IF('Dry_Litterbag Placem_Collection'!G33="","",'Dry_Litterbag Placem_Collection'!G33)</f>
        <v/>
      </c>
      <c r="W692" s="259" t="str">
        <f t="shared" si="50"/>
        <v/>
      </c>
      <c r="X692" s="257" t="str">
        <f t="shared" si="53"/>
        <v/>
      </c>
      <c r="Y692" s="257" t="str">
        <f t="shared" si="54"/>
        <v/>
      </c>
      <c r="Z692" s="261" t="str">
        <f>IFERROR(INDEX([3]Rainfall_Dry!$O$2:$O$217,MATCH(C692, [3]Rainfall_Dry!$A$2:$A$217,0)),"")</f>
        <v/>
      </c>
      <c r="AA692" s="250">
        <v>51.960000000000008</v>
      </c>
      <c r="AB692" s="250">
        <v>18.919999999999995</v>
      </c>
      <c r="AC692" s="250">
        <v>29.120000000000005</v>
      </c>
      <c r="AD692" s="251" t="s">
        <v>2654</v>
      </c>
      <c r="AE692" s="250">
        <v>7.8529324790537203</v>
      </c>
      <c r="AF692" t="str">
        <f>IF('WetLitterbags placem_collection'!AB33="","",'WetLitterbags placem_collection'!AB33)</f>
        <v/>
      </c>
      <c r="AG692" t="str">
        <f>IF('WetLitterbags placem_collection'!Z33="","",'WetLitterbags placem_collection'!Z33)</f>
        <v/>
      </c>
      <c r="AH692" s="236" t="str">
        <f>IF('WetLitterbags placem_collection'!AA33="","",'WetLitterbags placem_collection'!AA33)</f>
        <v/>
      </c>
      <c r="AI692" t="str">
        <f>IF('WetLitterbags placem_collection'!AC33="","",'WetLitterbags placem_collection'!AC33)</f>
        <v/>
      </c>
      <c r="AJ692" t="str">
        <f>IFERROR(AVERAGE('Dry_Litterbag Placem_Collection'!O33,'Dry_Litterbag Placem_Collection'!R33),"")</f>
        <v/>
      </c>
      <c r="AK692" s="261" t="str">
        <f>IFERROR(AVERAGE('Dry_Litterbag Placem_Collection'!N33,'Dry_Litterbag Placem_Collection'!Q33),"")</f>
        <v/>
      </c>
      <c r="AL692" s="260">
        <f>INDEX([2]Coordinates!$B$2:$B$197,MATCH(I692,[2]Coordinates!$J$2:$J$197,0))</f>
        <v>-3.3848409909999999</v>
      </c>
      <c r="AM692" s="260">
        <f>INDEX([2]Coordinates!$C$2:$C$197,MATCH(I692,[2]Coordinates!$J$2:$J$197,0))</f>
        <v>34.818838999999997</v>
      </c>
      <c r="AN692" s="260" t="str">
        <f>IF(ISNUMBER(SEARCH("C", 'Dry_Litterbag Placem_Collection'!V33)),"YES","NO")</f>
        <v>NO</v>
      </c>
      <c r="AO692" s="260" t="str">
        <f>IF(ISNUMBER(SEARCH("H", 'Dry_Litterbag Placem_Collection'!V33)),"YES","NO")</f>
        <v>NO</v>
      </c>
      <c r="AP692" s="260" t="str">
        <f>IF(ISNUMBER(SEARCH("R", 'Dry_Litterbag Placem_Collection'!V33)),"YES","NO")</f>
        <v>NO</v>
      </c>
    </row>
    <row r="693" spans="1:42" ht="15" customHeight="1">
      <c r="A693" t="s">
        <v>3248</v>
      </c>
      <c r="B693" s="252" t="s">
        <v>2643</v>
      </c>
      <c r="C693" s="253">
        <f>'Dry_Litterbag Placem_Collection'!A34</f>
        <v>32</v>
      </c>
      <c r="D693" s="253" t="str">
        <f>'Dry_Litterbag Placem_Collection'!B34</f>
        <v>Makao</v>
      </c>
      <c r="E693" s="253" t="s">
        <v>2643</v>
      </c>
      <c r="F693" s="253" t="s">
        <v>2644</v>
      </c>
      <c r="G693" s="253">
        <v>4</v>
      </c>
      <c r="H693" s="253" t="s">
        <v>3105</v>
      </c>
      <c r="I693" s="254" t="str">
        <f>'Dry_Litterbag Placem_Collection'!C34</f>
        <v>Dry_Ag4_T8</v>
      </c>
      <c r="J693" s="263" t="s">
        <v>2932</v>
      </c>
      <c r="K693" s="264" t="s">
        <v>298</v>
      </c>
      <c r="L693" s="253" t="str">
        <f>IF(ISBLANK('Dry_Litterbag Placem_Collection'!M34),"","R"&amp;""&amp;'Dry_Litterbag Placem_Collection'!M34)</f>
        <v>R660</v>
      </c>
      <c r="M693" s="257">
        <f>IFERROR(INDEX('Green_rooibos initial weight'!$C$5:$C$2000,MATCH(L693, 'Green_rooibos initial weight'!$A$5:$A$2000,0)),"")</f>
        <v>2.2080000000000002</v>
      </c>
      <c r="N693" s="257">
        <f>IFERROR(M693-(TBIcalc!$Q$9+TBIcalc!$Q$10),"")</f>
        <v>1.9582000000000002</v>
      </c>
      <c r="O693" s="378">
        <f>AVERAGE(Ashed_controlls!$K$12:$K$14)</f>
        <v>2.2816647271287041</v>
      </c>
      <c r="P693" s="257">
        <f t="shared" si="51"/>
        <v>1.913520441313366</v>
      </c>
      <c r="Q693" s="257">
        <f>IFERROR(INDEX('Both teabags AfterDry'!$D$2:$D$2000,MATCH(L693,'Both teabags AfterDry'!$A$2:$A$2000,0)),"")</f>
        <v>2.0331000000000001</v>
      </c>
      <c r="R693" s="257">
        <f>IFERROR(IF(Q693&gt;0,Q693-(TBIcalc!$Q$9),""),"")</f>
        <v>1.8825000000000001</v>
      </c>
      <c r="S693" s="268">
        <f>IFERROR(INDEX('Ashed teabags dry'!$K$2:$K$2000,MATCH(L693,'Ashed teabags dry'!$A$2:$A$2000,0)),"")</f>
        <v>2.8682547399117464</v>
      </c>
      <c r="T693" s="268">
        <f t="shared" si="52"/>
        <v>1.8285051045211613</v>
      </c>
      <c r="U693" s="258">
        <f>IF('Dry_Litterbag Placem_Collection'!E34="","",'Dry_Litterbag Placem_Collection'!E34)</f>
        <v>42936</v>
      </c>
      <c r="V693" s="258">
        <f>IF('Dry_Litterbag Placem_Collection'!G34="","",'Dry_Litterbag Placem_Collection'!G34)</f>
        <v>43007</v>
      </c>
      <c r="W693" s="259">
        <f t="shared" si="50"/>
        <v>71</v>
      </c>
      <c r="X693" s="257">
        <f t="shared" si="53"/>
        <v>7.5700000000000101E-2</v>
      </c>
      <c r="Y693" s="257">
        <f t="shared" si="54"/>
        <v>8.5015336792204632E-2</v>
      </c>
      <c r="Z693" s="261">
        <f>IFERROR(INDEX([3]Rainfall_Dry!$O$2:$O$217,MATCH(C693, [3]Rainfall_Dry!$A$2:$A$217,0)),"")</f>
        <v>6.900000125</v>
      </c>
      <c r="AA693" s="250">
        <v>51.960000000000008</v>
      </c>
      <c r="AB693" s="250">
        <v>18.919999999999995</v>
      </c>
      <c r="AC693" s="250">
        <v>29.120000000000005</v>
      </c>
      <c r="AD693" s="251" t="s">
        <v>2654</v>
      </c>
      <c r="AE693" s="250">
        <v>8.8529324790537203</v>
      </c>
      <c r="AF693" t="str">
        <f>IF('WetLitterbags placem_collection'!AB34="","",'WetLitterbags placem_collection'!AB34)</f>
        <v/>
      </c>
      <c r="AG693" t="str">
        <f>IF('WetLitterbags placem_collection'!Z34="","",'WetLitterbags placem_collection'!Z34)</f>
        <v/>
      </c>
      <c r="AH693" s="236" t="str">
        <f>IF('WetLitterbags placem_collection'!AA34="","",'WetLitterbags placem_collection'!AA34)</f>
        <v/>
      </c>
      <c r="AI693" t="str">
        <f>IF('WetLitterbags placem_collection'!AC34="","",'WetLitterbags placem_collection'!AC34)</f>
        <v/>
      </c>
      <c r="AJ693">
        <f>IFERROR(AVERAGE('Dry_Litterbag Placem_Collection'!O34,'Dry_Litterbag Placem_Collection'!R34),"")</f>
        <v>11.850000000000001</v>
      </c>
      <c r="AK693" s="261">
        <f>IFERROR(AVERAGE('Dry_Litterbag Placem_Collection'!N34,'Dry_Litterbag Placem_Collection'!Q34),"")</f>
        <v>25.45</v>
      </c>
      <c r="AL693" s="260">
        <f>INDEX([2]Coordinates!$B$2:$B$197,MATCH(I693,[2]Coordinates!$J$2:$J$197,0))</f>
        <v>-3.3849010060000002</v>
      </c>
      <c r="AM693" s="260">
        <f>INDEX([2]Coordinates!$C$2:$C$197,MATCH(I693,[2]Coordinates!$J$2:$J$197,0))</f>
        <v>34.818979990000003</v>
      </c>
      <c r="AN693" s="260" t="str">
        <f>IF(ISNUMBER(SEARCH("C", 'Dry_Litterbag Placem_Collection'!V34)),"YES","NO")</f>
        <v>NO</v>
      </c>
      <c r="AO693" s="260" t="str">
        <f>IF(ISNUMBER(SEARCH("H", 'Dry_Litterbag Placem_Collection'!V34)),"YES","NO")</f>
        <v>NO</v>
      </c>
      <c r="AP693" s="260" t="str">
        <f>IF(ISNUMBER(SEARCH("R", 'Dry_Litterbag Placem_Collection'!V34)),"YES","NO")</f>
        <v>NO</v>
      </c>
    </row>
    <row r="694" spans="1:42" ht="15" customHeight="1">
      <c r="A694" t="s">
        <v>3248</v>
      </c>
      <c r="B694" s="252" t="s">
        <v>2643</v>
      </c>
      <c r="C694" s="253">
        <f>'Dry_Litterbag Placem_Collection'!A35</f>
        <v>33</v>
      </c>
      <c r="D694" s="253" t="str">
        <f>'Dry_Litterbag Placem_Collection'!B35</f>
        <v>Makao</v>
      </c>
      <c r="E694" s="253" t="s">
        <v>2643</v>
      </c>
      <c r="F694" s="253" t="s">
        <v>20</v>
      </c>
      <c r="G694" s="253">
        <v>1</v>
      </c>
      <c r="H694" s="253" t="s">
        <v>3106</v>
      </c>
      <c r="I694" s="254" t="str">
        <f>'Dry_Litterbag Placem_Collection'!C35</f>
        <v>Dry_P1_T1</v>
      </c>
      <c r="J694" s="263" t="s">
        <v>2932</v>
      </c>
      <c r="K694" s="264" t="s">
        <v>298</v>
      </c>
      <c r="L694" s="253" t="str">
        <f>IF(ISBLANK('Dry_Litterbag Placem_Collection'!M35),"","R"&amp;""&amp;'Dry_Litterbag Placem_Collection'!M35)</f>
        <v>R712</v>
      </c>
      <c r="M694" s="257">
        <f>IFERROR(INDEX('Green_rooibos initial weight'!$C$5:$C$2000,MATCH(L694, 'Green_rooibos initial weight'!$A$5:$A$2000,0)),"")</f>
        <v>2.161</v>
      </c>
      <c r="N694" s="257">
        <f>IFERROR(M694-(TBIcalc!$Q$9+TBIcalc!$Q$10),"")</f>
        <v>1.9112</v>
      </c>
      <c r="O694" s="378">
        <f>AVERAGE(Ashed_controlls!$K$12:$K$14)</f>
        <v>2.2816647271287041</v>
      </c>
      <c r="P694" s="257">
        <f t="shared" si="51"/>
        <v>1.8675928237351163</v>
      </c>
      <c r="Q694" s="257">
        <f>IFERROR(INDEX('Both teabags AfterDry'!$D$2:$D$2000,MATCH(L694,'Both teabags AfterDry'!$A$2:$A$2000,0)),"")</f>
        <v>1.9524999999999999</v>
      </c>
      <c r="R694" s="257">
        <f>IFERROR(IF(Q694&gt;0,Q694-(TBIcalc!$Q$9),""),"")</f>
        <v>1.8018999999999998</v>
      </c>
      <c r="S694" s="268">
        <f>IFERROR(INDEX('Ashed teabags dry'!$K$2:$K$2000,MATCH(L694,'Ashed teabags dry'!$A$2:$A$2000,0)),"")</f>
        <v>2.162162162162347</v>
      </c>
      <c r="T694" s="268">
        <f t="shared" si="52"/>
        <v>1.7629399999999964</v>
      </c>
      <c r="U694" s="258">
        <f>IF('Dry_Litterbag Placem_Collection'!E35="","",'Dry_Litterbag Placem_Collection'!E35)</f>
        <v>42938</v>
      </c>
      <c r="V694" s="258">
        <f>IF('Dry_Litterbag Placem_Collection'!G35="","",'Dry_Litterbag Placem_Collection'!G35)</f>
        <v>43005</v>
      </c>
      <c r="W694" s="259">
        <f t="shared" si="50"/>
        <v>67</v>
      </c>
      <c r="X694" s="257">
        <f t="shared" si="53"/>
        <v>0.10930000000000017</v>
      </c>
      <c r="Y694" s="257">
        <f t="shared" si="54"/>
        <v>0.10465282373511986</v>
      </c>
      <c r="Z694" s="261">
        <f>IFERROR(INDEX([3]Rainfall_Dry!$O$2:$O$217,MATCH(C694, [3]Rainfall_Dry!$A$2:$A$217,0)),"")</f>
        <v>6.5250000359999998</v>
      </c>
      <c r="AA694" s="250">
        <v>23.96</v>
      </c>
      <c r="AB694" s="250">
        <v>0.91999999999999804</v>
      </c>
      <c r="AC694" s="250">
        <v>75.12</v>
      </c>
      <c r="AD694" s="251" t="s">
        <v>2651</v>
      </c>
      <c r="AE694" s="250">
        <v>1.2493839329719072</v>
      </c>
      <c r="AF694">
        <f>IF('WetLitterbags placem_collection'!AB35="","",'WetLitterbags placem_collection'!AB35)</f>
        <v>9.5</v>
      </c>
      <c r="AG694">
        <f>IF('WetLitterbags placem_collection'!Z35="","",'WetLitterbags placem_collection'!Z35)</f>
        <v>17.2</v>
      </c>
      <c r="AH694" s="236" t="str">
        <f>IF('WetLitterbags placem_collection'!AA35="","",'WetLitterbags placem_collection'!AA35)</f>
        <v>G</v>
      </c>
      <c r="AI694">
        <f>IF('WetLitterbags placem_collection'!AC35="","",'WetLitterbags placem_collection'!AC35)</f>
        <v>0</v>
      </c>
      <c r="AJ694">
        <f>IFERROR(AVERAGE('Dry_Litterbag Placem_Collection'!O35,'Dry_Litterbag Placem_Collection'!R35),"")</f>
        <v>1.65</v>
      </c>
      <c r="AK694" s="261">
        <f>IFERROR(AVERAGE('Dry_Litterbag Placem_Collection'!N35,'Dry_Litterbag Placem_Collection'!Q35),"")</f>
        <v>26.15</v>
      </c>
      <c r="AL694" s="260">
        <f>INDEX([2]Coordinates!$B$2:$B$197,MATCH(I694,[2]Coordinates!$J$2:$J$197,0))</f>
        <v>-3.4092039989999998</v>
      </c>
      <c r="AM694" s="260">
        <f>INDEX([2]Coordinates!$C$2:$C$197,MATCH(I694,[2]Coordinates!$J$2:$J$197,0))</f>
        <v>34.852751009999999</v>
      </c>
      <c r="AN694" s="260" t="str">
        <f>IF(ISNUMBER(SEARCH("C", 'Dry_Litterbag Placem_Collection'!V35)),"YES","NO")</f>
        <v>NO</v>
      </c>
      <c r="AO694" s="260" t="str">
        <f>IF(ISNUMBER(SEARCH("H", 'Dry_Litterbag Placem_Collection'!V35)),"YES","NO")</f>
        <v>NO</v>
      </c>
      <c r="AP694" s="260" t="str">
        <f>IF(ISNUMBER(SEARCH("R", 'Dry_Litterbag Placem_Collection'!V35)),"YES","NO")</f>
        <v>NO</v>
      </c>
    </row>
    <row r="695" spans="1:42" ht="15" customHeight="1">
      <c r="A695" t="s">
        <v>3248</v>
      </c>
      <c r="B695" s="252" t="s">
        <v>2643</v>
      </c>
      <c r="C695" s="253">
        <f>'Dry_Litterbag Placem_Collection'!A36</f>
        <v>34</v>
      </c>
      <c r="D695" s="253" t="str">
        <f>'Dry_Litterbag Placem_Collection'!B36</f>
        <v>Makao</v>
      </c>
      <c r="E695" s="253" t="s">
        <v>2643</v>
      </c>
      <c r="F695" s="253" t="s">
        <v>20</v>
      </c>
      <c r="G695" s="253">
        <v>1</v>
      </c>
      <c r="H695" s="253" t="s">
        <v>3106</v>
      </c>
      <c r="I695" s="254" t="str">
        <f>'Dry_Litterbag Placem_Collection'!C36</f>
        <v>Dry_P1_T2</v>
      </c>
      <c r="J695" s="263" t="s">
        <v>2932</v>
      </c>
      <c r="K695" s="264" t="s">
        <v>298</v>
      </c>
      <c r="L695" s="253" t="str">
        <f>IF(ISBLANK('Dry_Litterbag Placem_Collection'!M36),"","R"&amp;""&amp;'Dry_Litterbag Placem_Collection'!M36)</f>
        <v>R324</v>
      </c>
      <c r="M695" s="257">
        <f>IFERROR(INDEX('Green_rooibos initial weight'!$C$5:$C$2000,MATCH(L695, 'Green_rooibos initial weight'!$A$5:$A$2000,0)),"")</f>
        <v>2.2410000000000001</v>
      </c>
      <c r="N695" s="257">
        <f>IFERROR(M695-(TBIcalc!$Q$9+TBIcalc!$Q$10),"")</f>
        <v>1.9912000000000001</v>
      </c>
      <c r="O695" s="378">
        <f>AVERAGE(Ashed_controlls!$K$12:$K$14)</f>
        <v>2.2816647271287041</v>
      </c>
      <c r="P695" s="257">
        <f t="shared" si="51"/>
        <v>1.9457674919534134</v>
      </c>
      <c r="Q695" s="257" t="str">
        <f>IFERROR(INDEX('Both teabags AfterDry'!$D$2:$D$2000,MATCH(L695,'Both teabags AfterDry'!$A$2:$A$2000,0)),"")</f>
        <v/>
      </c>
      <c r="R695" s="257" t="str">
        <f>IFERROR(IF(Q695&gt;0,Q695-(TBIcalc!$Q$9),""),"")</f>
        <v/>
      </c>
      <c r="S695" s="268" t="str">
        <f>IFERROR(INDEX('Ashed teabags dry'!$K$2:$K$2000,MATCH(L695,'Ashed teabags dry'!$A$2:$A$2000,0)),"")</f>
        <v/>
      </c>
      <c r="T695" s="268" t="str">
        <f t="shared" si="52"/>
        <v/>
      </c>
      <c r="U695" s="258">
        <f>IF('Dry_Litterbag Placem_Collection'!E36="","",'Dry_Litterbag Placem_Collection'!E36)</f>
        <v>42938</v>
      </c>
      <c r="V695" s="258">
        <f>IF('Dry_Litterbag Placem_Collection'!G36="","",'Dry_Litterbag Placem_Collection'!G36)</f>
        <v>43005</v>
      </c>
      <c r="W695" s="259">
        <f t="shared" si="50"/>
        <v>67</v>
      </c>
      <c r="X695" s="257" t="str">
        <f t="shared" si="53"/>
        <v/>
      </c>
      <c r="Y695" s="257" t="str">
        <f t="shared" si="54"/>
        <v/>
      </c>
      <c r="Z695" s="261">
        <f>IFERROR(INDEX([3]Rainfall_Dry!$O$2:$O$217,MATCH(C695, [3]Rainfall_Dry!$A$2:$A$217,0)),"")</f>
        <v>6.5250000359999998</v>
      </c>
      <c r="AA695" s="250">
        <v>23.96</v>
      </c>
      <c r="AB695" s="250">
        <v>0.91999999999999804</v>
      </c>
      <c r="AC695" s="250">
        <v>75.12</v>
      </c>
      <c r="AD695" s="251" t="s">
        <v>2651</v>
      </c>
      <c r="AE695" s="250">
        <v>1.2493839329719072</v>
      </c>
      <c r="AF695">
        <f>IF('WetLitterbags placem_collection'!AB36="","",'WetLitterbags placem_collection'!AB36)</f>
        <v>6.5</v>
      </c>
      <c r="AG695">
        <f>IF('WetLitterbags placem_collection'!Z36="","",'WetLitterbags placem_collection'!Z36)</f>
        <v>14.2</v>
      </c>
      <c r="AH695" s="236" t="str">
        <f>IF('WetLitterbags placem_collection'!AA36="","",'WetLitterbags placem_collection'!AA36)</f>
        <v>G</v>
      </c>
      <c r="AI695">
        <f>IF('WetLitterbags placem_collection'!AC36="","",'WetLitterbags placem_collection'!AC36)</f>
        <v>0</v>
      </c>
      <c r="AJ695">
        <f>IFERROR(AVERAGE('Dry_Litterbag Placem_Collection'!O36,'Dry_Litterbag Placem_Collection'!R36),"")</f>
        <v>3.25</v>
      </c>
      <c r="AK695" s="261">
        <f>IFERROR(AVERAGE('Dry_Litterbag Placem_Collection'!N36,'Dry_Litterbag Placem_Collection'!Q36),"")</f>
        <v>26.9</v>
      </c>
      <c r="AL695" s="260">
        <f>INDEX([2]Coordinates!$B$2:$B$197,MATCH(I695,[2]Coordinates!$J$2:$J$197,0))</f>
        <v>-3.4092350119999999</v>
      </c>
      <c r="AM695" s="260">
        <f>INDEX([2]Coordinates!$C$2:$C$197,MATCH(I695,[2]Coordinates!$J$2:$J$197,0))</f>
        <v>34.852782019999999</v>
      </c>
      <c r="AN695" s="260" t="str">
        <f>IF(ISNUMBER(SEARCH("C", 'Dry_Litterbag Placem_Collection'!V36)),"YES","NO")</f>
        <v>NO</v>
      </c>
      <c r="AO695" s="260" t="str">
        <f>IF(ISNUMBER(SEARCH("H", 'Dry_Litterbag Placem_Collection'!V36)),"YES","NO")</f>
        <v>NO</v>
      </c>
      <c r="AP695" s="260" t="str">
        <f>IF(ISNUMBER(SEARCH("R", 'Dry_Litterbag Placem_Collection'!V36)),"YES","NO")</f>
        <v>NO</v>
      </c>
    </row>
    <row r="696" spans="1:42" ht="15" customHeight="1">
      <c r="A696" t="s">
        <v>3248</v>
      </c>
      <c r="B696" s="252" t="s">
        <v>2643</v>
      </c>
      <c r="C696" s="253">
        <f>'Dry_Litterbag Placem_Collection'!A37</f>
        <v>35</v>
      </c>
      <c r="D696" s="253" t="str">
        <f>'Dry_Litterbag Placem_Collection'!B37</f>
        <v>Makao</v>
      </c>
      <c r="E696" s="253" t="s">
        <v>2643</v>
      </c>
      <c r="F696" s="253" t="s">
        <v>20</v>
      </c>
      <c r="G696" s="253">
        <v>1</v>
      </c>
      <c r="H696" s="253" t="s">
        <v>3106</v>
      </c>
      <c r="I696" s="254" t="str">
        <f>'Dry_Litterbag Placem_Collection'!C37</f>
        <v>Dry_P1_T3</v>
      </c>
      <c r="J696" s="263" t="s">
        <v>2932</v>
      </c>
      <c r="K696" s="264" t="s">
        <v>298</v>
      </c>
      <c r="L696" s="253" t="str">
        <f>IF(ISBLANK('Dry_Litterbag Placem_Collection'!M37),"","R"&amp;""&amp;'Dry_Litterbag Placem_Collection'!M37)</f>
        <v>R108</v>
      </c>
      <c r="M696" s="257">
        <f>IFERROR(INDEX('Green_rooibos initial weight'!$C$5:$C$2000,MATCH(L696, 'Green_rooibos initial weight'!$A$5:$A$2000,0)),"")</f>
        <v>2.1680000000000001</v>
      </c>
      <c r="N696" s="257">
        <f>IFERROR(M696-(TBIcalc!$Q$9+TBIcalc!$Q$10),"")</f>
        <v>1.9182000000000001</v>
      </c>
      <c r="O696" s="378">
        <f>AVERAGE(Ashed_controlls!$K$12:$K$14)</f>
        <v>2.2816647271287041</v>
      </c>
      <c r="P696" s="257">
        <f t="shared" si="51"/>
        <v>1.8744331072042173</v>
      </c>
      <c r="Q696" s="257">
        <f>IFERROR(INDEX('Both teabags AfterDry'!$D$2:$D$2000,MATCH(L696,'Both teabags AfterDry'!$A$2:$A$2000,0)),"")</f>
        <v>1.9638</v>
      </c>
      <c r="R696" s="257">
        <f>IFERROR(IF(Q696&gt;0,Q696-(TBIcalc!$Q$9),""),"")</f>
        <v>1.8131999999999999</v>
      </c>
      <c r="S696" s="268">
        <f>IFERROR(INDEX('Ashed teabags dry'!$K$2:$K$2000,MATCH(L696,'Ashed teabags dry'!$A$2:$A$2000,0)),"")</f>
        <v>2.5853658536585367</v>
      </c>
      <c r="T696" s="268">
        <f t="shared" si="52"/>
        <v>1.7663221463414633</v>
      </c>
      <c r="U696" s="258">
        <f>IF('Dry_Litterbag Placem_Collection'!E37="","",'Dry_Litterbag Placem_Collection'!E37)</f>
        <v>42938</v>
      </c>
      <c r="V696" s="258">
        <f>IF('Dry_Litterbag Placem_Collection'!G37="","",'Dry_Litterbag Placem_Collection'!G37)</f>
        <v>43005</v>
      </c>
      <c r="W696" s="259">
        <f t="shared" si="50"/>
        <v>67</v>
      </c>
      <c r="X696" s="257">
        <f t="shared" si="53"/>
        <v>0.1050000000000002</v>
      </c>
      <c r="Y696" s="257">
        <f t="shared" si="54"/>
        <v>0.10811096086275396</v>
      </c>
      <c r="Z696" s="261">
        <f>IFERROR(INDEX([3]Rainfall_Dry!$O$2:$O$217,MATCH(C696, [3]Rainfall_Dry!$A$2:$A$217,0)),"")</f>
        <v>6.5250000359999998</v>
      </c>
      <c r="AA696" s="250">
        <v>23.96</v>
      </c>
      <c r="AB696" s="250">
        <v>0.91999999999999804</v>
      </c>
      <c r="AC696" s="250">
        <v>75.12</v>
      </c>
      <c r="AD696" s="251" t="s">
        <v>2651</v>
      </c>
      <c r="AE696" s="250">
        <v>1.2493839329719072</v>
      </c>
      <c r="AF696">
        <f>IF('WetLitterbags placem_collection'!AB37="","",'WetLitterbags placem_collection'!AB37)</f>
        <v>0.7</v>
      </c>
      <c r="AG696">
        <f>IF('WetLitterbags placem_collection'!Z37="","",'WetLitterbags placem_collection'!Z37)</f>
        <v>10.6</v>
      </c>
      <c r="AH696" s="236" t="str">
        <f>IF('WetLitterbags placem_collection'!AA37="","",'WetLitterbags placem_collection'!AA37)</f>
        <v>G</v>
      </c>
      <c r="AI696">
        <f>IF('WetLitterbags placem_collection'!AC37="","",'WetLitterbags placem_collection'!AC37)</f>
        <v>0</v>
      </c>
      <c r="AJ696">
        <f>IFERROR(AVERAGE('Dry_Litterbag Placem_Collection'!O37,'Dry_Litterbag Placem_Collection'!R37),"")</f>
        <v>3.35</v>
      </c>
      <c r="AK696" s="261">
        <f>IFERROR(AVERAGE('Dry_Litterbag Placem_Collection'!N37,'Dry_Litterbag Placem_Collection'!Q37),"")</f>
        <v>26.95</v>
      </c>
      <c r="AL696" s="260">
        <f>INDEX([2]Coordinates!$B$2:$B$197,MATCH(I696,[2]Coordinates!$J$2:$J$197,0))</f>
        <v>-3.409177009</v>
      </c>
      <c r="AM696" s="260">
        <f>INDEX([2]Coordinates!$C$2:$C$197,MATCH(I696,[2]Coordinates!$J$2:$J$197,0))</f>
        <v>34.852818990000003</v>
      </c>
      <c r="AN696" s="260" t="str">
        <f>IF(ISNUMBER(SEARCH("C", 'Dry_Litterbag Placem_Collection'!V37)),"YES","NO")</f>
        <v>NO</v>
      </c>
      <c r="AO696" s="260" t="str">
        <f>IF(ISNUMBER(SEARCH("H", 'Dry_Litterbag Placem_Collection'!V37)),"YES","NO")</f>
        <v>NO</v>
      </c>
      <c r="AP696" s="260" t="str">
        <f>IF(ISNUMBER(SEARCH("R", 'Dry_Litterbag Placem_Collection'!V37)),"YES","NO")</f>
        <v>NO</v>
      </c>
    </row>
    <row r="697" spans="1:42" ht="15" customHeight="1">
      <c r="A697" t="s">
        <v>3248</v>
      </c>
      <c r="B697" s="252" t="s">
        <v>2643</v>
      </c>
      <c r="C697" s="253">
        <f>'Dry_Litterbag Placem_Collection'!A38</f>
        <v>36</v>
      </c>
      <c r="D697" s="253" t="str">
        <f>'Dry_Litterbag Placem_Collection'!B38</f>
        <v>Makao</v>
      </c>
      <c r="E697" s="253" t="s">
        <v>2643</v>
      </c>
      <c r="F697" s="253" t="s">
        <v>20</v>
      </c>
      <c r="G697" s="253">
        <v>1</v>
      </c>
      <c r="H697" s="253" t="s">
        <v>3106</v>
      </c>
      <c r="I697" s="254" t="str">
        <f>'Dry_Litterbag Placem_Collection'!C38</f>
        <v>Dry_P1_T4</v>
      </c>
      <c r="J697" s="263" t="s">
        <v>2932</v>
      </c>
      <c r="K697" s="264" t="s">
        <v>298</v>
      </c>
      <c r="L697" s="253" t="str">
        <f>IF(ISBLANK('Dry_Litterbag Placem_Collection'!M38),"","R"&amp;""&amp;'Dry_Litterbag Placem_Collection'!M38)</f>
        <v>R152</v>
      </c>
      <c r="M697" s="257">
        <f>IFERROR(INDEX('Green_rooibos initial weight'!$C$5:$C$2000,MATCH(L697, 'Green_rooibos initial weight'!$A$5:$A$2000,0)),"")</f>
        <v>2.1800000000000002</v>
      </c>
      <c r="N697" s="257">
        <f>IFERROR(M697-(TBIcalc!$Q$9+TBIcalc!$Q$10),"")</f>
        <v>1.9302000000000001</v>
      </c>
      <c r="O697" s="378">
        <f>AVERAGE(Ashed_controlls!$K$12:$K$14)</f>
        <v>2.2816647271287041</v>
      </c>
      <c r="P697" s="257">
        <f t="shared" si="51"/>
        <v>1.8861593074369618</v>
      </c>
      <c r="Q697" s="257" t="str">
        <f>IFERROR(INDEX('Both teabags AfterDry'!$D$2:$D$2000,MATCH(L697,'Both teabags AfterDry'!$A$2:$A$2000,0)),"")</f>
        <v/>
      </c>
      <c r="R697" s="257" t="str">
        <f>IFERROR(IF(Q697&gt;0,Q697-(TBIcalc!$Q$9),""),"")</f>
        <v/>
      </c>
      <c r="S697" s="268" t="str">
        <f>IFERROR(INDEX('Ashed teabags dry'!$K$2:$K$2000,MATCH(L697,'Ashed teabags dry'!$A$2:$A$2000,0)),"")</f>
        <v/>
      </c>
      <c r="T697" s="268" t="str">
        <f t="shared" si="52"/>
        <v/>
      </c>
      <c r="U697" s="258">
        <f>IF('Dry_Litterbag Placem_Collection'!E38="","",'Dry_Litterbag Placem_Collection'!E38)</f>
        <v>42938</v>
      </c>
      <c r="V697" s="258">
        <f>IF('Dry_Litterbag Placem_Collection'!G38="","",'Dry_Litterbag Placem_Collection'!G38)</f>
        <v>43005</v>
      </c>
      <c r="W697" s="259">
        <f t="shared" si="50"/>
        <v>67</v>
      </c>
      <c r="X697" s="257" t="str">
        <f t="shared" si="53"/>
        <v/>
      </c>
      <c r="Y697" s="257" t="str">
        <f t="shared" si="54"/>
        <v/>
      </c>
      <c r="Z697" s="261">
        <f>IFERROR(INDEX([3]Rainfall_Dry!$O$2:$O$217,MATCH(C697, [3]Rainfall_Dry!$A$2:$A$217,0)),"")</f>
        <v>6.5250000359999998</v>
      </c>
      <c r="AA697" s="250">
        <v>23.96</v>
      </c>
      <c r="AB697" s="250">
        <v>0.91999999999999804</v>
      </c>
      <c r="AC697" s="250">
        <v>75.12</v>
      </c>
      <c r="AD697" s="251" t="s">
        <v>2651</v>
      </c>
      <c r="AE697" s="250">
        <v>1.2493839329719072</v>
      </c>
      <c r="AF697">
        <f>IF('WetLitterbags placem_collection'!AB38="","",'WetLitterbags placem_collection'!AB38)</f>
        <v>3.3</v>
      </c>
      <c r="AG697">
        <f>IF('WetLitterbags placem_collection'!Z38="","",'WetLitterbags placem_collection'!Z38)</f>
        <v>4.9000000000000004</v>
      </c>
      <c r="AH697" s="236" t="str">
        <f>IF('WetLitterbags placem_collection'!AA38="","",'WetLitterbags placem_collection'!AA38)</f>
        <v>G</v>
      </c>
      <c r="AI697">
        <f>IF('WetLitterbags placem_collection'!AC38="","",'WetLitterbags placem_collection'!AC38)</f>
        <v>1</v>
      </c>
      <c r="AJ697">
        <f>IFERROR(AVERAGE('Dry_Litterbag Placem_Collection'!O38,'Dry_Litterbag Placem_Collection'!R38),"")</f>
        <v>3</v>
      </c>
      <c r="AK697" s="261">
        <f>IFERROR(AVERAGE('Dry_Litterbag Placem_Collection'!N38,'Dry_Litterbag Placem_Collection'!Q38),"")</f>
        <v>25.85</v>
      </c>
      <c r="AL697" s="260">
        <f>INDEX([2]Coordinates!$B$2:$B$197,MATCH(I697,[2]Coordinates!$J$2:$J$197,0))</f>
        <v>-3.40917198</v>
      </c>
      <c r="AM697" s="260">
        <f>INDEX([2]Coordinates!$C$2:$C$197,MATCH(I697,[2]Coordinates!$J$2:$J$197,0))</f>
        <v>34.852960979999999</v>
      </c>
      <c r="AN697" s="260" t="str">
        <f>IF(ISNUMBER(SEARCH("C", 'Dry_Litterbag Placem_Collection'!V38)),"YES","NO")</f>
        <v>NO</v>
      </c>
      <c r="AO697" s="260" t="str">
        <f>IF(ISNUMBER(SEARCH("H", 'Dry_Litterbag Placem_Collection'!V38)),"YES","NO")</f>
        <v>NO</v>
      </c>
      <c r="AP697" s="260" t="str">
        <f>IF(ISNUMBER(SEARCH("R", 'Dry_Litterbag Placem_Collection'!V38)),"YES","NO")</f>
        <v>NO</v>
      </c>
    </row>
    <row r="698" spans="1:42" ht="15" customHeight="1">
      <c r="A698" t="s">
        <v>3248</v>
      </c>
      <c r="B698" s="252" t="s">
        <v>2643</v>
      </c>
      <c r="C698" s="253">
        <f>'Dry_Litterbag Placem_Collection'!A39</f>
        <v>37</v>
      </c>
      <c r="D698" s="253" t="str">
        <f>'Dry_Litterbag Placem_Collection'!B39</f>
        <v>Makao</v>
      </c>
      <c r="E698" s="253" t="s">
        <v>2643</v>
      </c>
      <c r="F698" s="253" t="s">
        <v>20</v>
      </c>
      <c r="G698" s="253">
        <v>1</v>
      </c>
      <c r="H698" s="253" t="s">
        <v>3106</v>
      </c>
      <c r="I698" s="254" t="str">
        <f>'Dry_Litterbag Placem_Collection'!C39</f>
        <v>Dry_P1_T5</v>
      </c>
      <c r="J698" s="263" t="s">
        <v>2932</v>
      </c>
      <c r="K698" s="264" t="s">
        <v>298</v>
      </c>
      <c r="L698" s="253" t="str">
        <f>IF(ISBLANK('Dry_Litterbag Placem_Collection'!M39),"","R"&amp;""&amp;'Dry_Litterbag Placem_Collection'!M39)</f>
        <v>R681</v>
      </c>
      <c r="M698" s="257">
        <f>IFERROR(INDEX('Green_rooibos initial weight'!$C$5:$C$2000,MATCH(L698, 'Green_rooibos initial weight'!$A$5:$A$2000,0)),"")</f>
        <v>2.1859999999999999</v>
      </c>
      <c r="N698" s="257">
        <f>IFERROR(M698-(TBIcalc!$Q$9+TBIcalc!$Q$10),"")</f>
        <v>1.9361999999999999</v>
      </c>
      <c r="O698" s="378">
        <f>AVERAGE(Ashed_controlls!$K$12:$K$14)</f>
        <v>2.2816647271287041</v>
      </c>
      <c r="P698" s="257">
        <f t="shared" si="51"/>
        <v>1.8920224075533341</v>
      </c>
      <c r="Q698" s="257">
        <f>IFERROR(INDEX('Both teabags AfterDry'!$D$2:$D$2000,MATCH(L698,'Both teabags AfterDry'!$A$2:$A$2000,0)),"")</f>
        <v>1.9663999999999999</v>
      </c>
      <c r="R698" s="257">
        <f>IFERROR(IF(Q698&gt;0,Q698-(TBIcalc!$Q$9),""),"")</f>
        <v>1.8157999999999999</v>
      </c>
      <c r="S698" s="268">
        <f>IFERROR(INDEX('Ashed teabags dry'!$K$2:$K$2000,MATCH(L698,'Ashed teabags dry'!$A$2:$A$2000,0)),"")</f>
        <v>4.1249999999999165</v>
      </c>
      <c r="T698" s="268">
        <f t="shared" si="52"/>
        <v>1.7408982500000014</v>
      </c>
      <c r="U698" s="258">
        <f>IF('Dry_Litterbag Placem_Collection'!E39="","",'Dry_Litterbag Placem_Collection'!E39)</f>
        <v>42938</v>
      </c>
      <c r="V698" s="258">
        <f>IF('Dry_Litterbag Placem_Collection'!G39="","",'Dry_Litterbag Placem_Collection'!G39)</f>
        <v>43005</v>
      </c>
      <c r="W698" s="259">
        <f t="shared" si="50"/>
        <v>67</v>
      </c>
      <c r="X698" s="257">
        <f t="shared" si="53"/>
        <v>0.12040000000000006</v>
      </c>
      <c r="Y698" s="257">
        <f t="shared" si="54"/>
        <v>0.15112415755333264</v>
      </c>
      <c r="Z698" s="261">
        <f>IFERROR(INDEX([3]Rainfall_Dry!$O$2:$O$217,MATCH(C698, [3]Rainfall_Dry!$A$2:$A$217,0)),"")</f>
        <v>6.5250000359999998</v>
      </c>
      <c r="AA698" s="250">
        <v>23.96</v>
      </c>
      <c r="AB698" s="250">
        <v>0.91999999999999804</v>
      </c>
      <c r="AC698" s="250">
        <v>75.12</v>
      </c>
      <c r="AD698" s="251" t="s">
        <v>2651</v>
      </c>
      <c r="AE698" s="250">
        <v>1.2493839329719072</v>
      </c>
      <c r="AF698">
        <f>IF('WetLitterbags placem_collection'!AB39="","",'WetLitterbags placem_collection'!AB39)</f>
        <v>8.3000000000000007</v>
      </c>
      <c r="AG698">
        <f>IF('WetLitterbags placem_collection'!Z39="","",'WetLitterbags placem_collection'!Z39)</f>
        <v>27.8</v>
      </c>
      <c r="AH698" s="236" t="str">
        <f>IF('WetLitterbags placem_collection'!AA39="","",'WetLitterbags placem_collection'!AA39)</f>
        <v>G</v>
      </c>
      <c r="AI698">
        <f>IF('WetLitterbags placem_collection'!AC39="","",'WetLitterbags placem_collection'!AC39)</f>
        <v>0</v>
      </c>
      <c r="AJ698">
        <f>IFERROR(AVERAGE('Dry_Litterbag Placem_Collection'!O39,'Dry_Litterbag Placem_Collection'!R39),"")</f>
        <v>4.25</v>
      </c>
      <c r="AK698" s="261">
        <f>IFERROR(AVERAGE('Dry_Litterbag Placem_Collection'!N39,'Dry_Litterbag Placem_Collection'!Q39),"")</f>
        <v>26.1</v>
      </c>
      <c r="AL698" s="260">
        <f>INDEX([2]Coordinates!$B$2:$B$197,MATCH(I698,[2]Coordinates!$J$2:$J$197,0))</f>
        <v>-3.4090709779999999</v>
      </c>
      <c r="AM698" s="260">
        <f>INDEX([2]Coordinates!$C$2:$C$197,MATCH(I698,[2]Coordinates!$J$2:$J$197,0))</f>
        <v>34.852712029999999</v>
      </c>
      <c r="AN698" s="260" t="str">
        <f>IF(ISNUMBER(SEARCH("C", 'Dry_Litterbag Placem_Collection'!V39)),"YES","NO")</f>
        <v>NO</v>
      </c>
      <c r="AO698" s="260" t="str">
        <f>IF(ISNUMBER(SEARCH("H", 'Dry_Litterbag Placem_Collection'!V39)),"YES","NO")</f>
        <v>NO</v>
      </c>
      <c r="AP698" s="260" t="str">
        <f>IF(ISNUMBER(SEARCH("R", 'Dry_Litterbag Placem_Collection'!V39)),"YES","NO")</f>
        <v>NO</v>
      </c>
    </row>
    <row r="699" spans="1:42" ht="15" customHeight="1">
      <c r="A699" t="s">
        <v>3248</v>
      </c>
      <c r="B699" s="252" t="s">
        <v>2643</v>
      </c>
      <c r="C699" s="253">
        <f>'Dry_Litterbag Placem_Collection'!A40</f>
        <v>38</v>
      </c>
      <c r="D699" s="253" t="str">
        <f>'Dry_Litterbag Placem_Collection'!B40</f>
        <v>Makao</v>
      </c>
      <c r="E699" s="253" t="s">
        <v>2643</v>
      </c>
      <c r="F699" s="253" t="s">
        <v>20</v>
      </c>
      <c r="G699" s="253">
        <v>1</v>
      </c>
      <c r="H699" s="253" t="s">
        <v>3106</v>
      </c>
      <c r="I699" s="254" t="str">
        <f>'Dry_Litterbag Placem_Collection'!C40</f>
        <v>Dry_P1_T6</v>
      </c>
      <c r="J699" s="263" t="s">
        <v>2932</v>
      </c>
      <c r="K699" s="264" t="s">
        <v>298</v>
      </c>
      <c r="L699" s="253" t="str">
        <f>IF(ISBLANK('Dry_Litterbag Placem_Collection'!M40),"","R"&amp;""&amp;'Dry_Litterbag Placem_Collection'!M40)</f>
        <v>R260</v>
      </c>
      <c r="M699" s="257">
        <f>IFERROR(INDEX('Green_rooibos initial weight'!$C$5:$C$2000,MATCH(L699, 'Green_rooibos initial weight'!$A$5:$A$2000,0)),"")</f>
        <v>2.1779999999999999</v>
      </c>
      <c r="N699" s="257">
        <f>IFERROR(M699-(TBIcalc!$Q$9+TBIcalc!$Q$10),"")</f>
        <v>1.9281999999999999</v>
      </c>
      <c r="O699" s="378">
        <f>AVERAGE(Ashed_controlls!$K$12:$K$14)</f>
        <v>2.2816647271287041</v>
      </c>
      <c r="P699" s="257">
        <f t="shared" si="51"/>
        <v>1.8842049407315042</v>
      </c>
      <c r="Q699" s="257">
        <f>IFERROR(INDEX('Both teabags AfterDry'!$D$2:$D$2000,MATCH(L699,'Both teabags AfterDry'!$A$2:$A$2000,0)),"")</f>
        <v>1.8734</v>
      </c>
      <c r="R699" s="257">
        <f>IFERROR(IF(Q699&gt;0,Q699-(TBIcalc!$Q$9),""),"")</f>
        <v>1.7227999999999999</v>
      </c>
      <c r="S699" s="268">
        <f>IFERROR(INDEX('Ashed teabags dry'!$K$2:$K$2000,MATCH(L699,'Ashed teabags dry'!$A$2:$A$2000,0)),"")</f>
        <v>3.7144036318613898</v>
      </c>
      <c r="T699" s="268">
        <f t="shared" si="52"/>
        <v>1.6588082542302918</v>
      </c>
      <c r="U699" s="258">
        <f>IF('Dry_Litterbag Placem_Collection'!E40="","",'Dry_Litterbag Placem_Collection'!E40)</f>
        <v>42938</v>
      </c>
      <c r="V699" s="258">
        <f>IF('Dry_Litterbag Placem_Collection'!G40="","",'Dry_Litterbag Placem_Collection'!G40)</f>
        <v>43005</v>
      </c>
      <c r="W699" s="259">
        <f t="shared" si="50"/>
        <v>67</v>
      </c>
      <c r="X699" s="257">
        <f t="shared" si="53"/>
        <v>0.20540000000000003</v>
      </c>
      <c r="Y699" s="257">
        <f t="shared" si="54"/>
        <v>0.22539668650121247</v>
      </c>
      <c r="Z699" s="261">
        <f>IFERROR(INDEX([3]Rainfall_Dry!$O$2:$O$217,MATCH(C699, [3]Rainfall_Dry!$A$2:$A$217,0)),"")</f>
        <v>6.5250000359999998</v>
      </c>
      <c r="AA699" s="250">
        <v>23.96</v>
      </c>
      <c r="AB699" s="250">
        <v>0.91999999999999804</v>
      </c>
      <c r="AC699" s="250">
        <v>75.12</v>
      </c>
      <c r="AD699" s="251" t="s">
        <v>2651</v>
      </c>
      <c r="AE699" s="250">
        <v>1.2493839329719072</v>
      </c>
      <c r="AF699">
        <f>IF('WetLitterbags placem_collection'!AB40="","",'WetLitterbags placem_collection'!AB40)</f>
        <v>2</v>
      </c>
      <c r="AG699">
        <f>IF('WetLitterbags placem_collection'!Z40="","",'WetLitterbags placem_collection'!Z40)</f>
        <v>20.399999999999999</v>
      </c>
      <c r="AH699" s="236" t="str">
        <f>IF('WetLitterbags placem_collection'!AA40="","",'WetLitterbags placem_collection'!AA40)</f>
        <v>O</v>
      </c>
      <c r="AI699">
        <f>IF('WetLitterbags placem_collection'!AC40="","",'WetLitterbags placem_collection'!AC40)</f>
        <v>0</v>
      </c>
      <c r="AJ699">
        <f>IFERROR(AVERAGE('Dry_Litterbag Placem_Collection'!O40,'Dry_Litterbag Placem_Collection'!R40),"")</f>
        <v>2.85</v>
      </c>
      <c r="AK699" s="261">
        <f>IFERROR(AVERAGE('Dry_Litterbag Placem_Collection'!N40,'Dry_Litterbag Placem_Collection'!Q40),"")</f>
        <v>26.7</v>
      </c>
      <c r="AL699" s="260">
        <f>INDEX([2]Coordinates!$B$2:$B$197,MATCH(I699,[2]Coordinates!$J$2:$J$197,0))</f>
        <v>-3.409280023</v>
      </c>
      <c r="AM699" s="260">
        <f>INDEX([2]Coordinates!$C$2:$C$197,MATCH(I699,[2]Coordinates!$J$2:$J$197,0))</f>
        <v>34.852612960000002</v>
      </c>
      <c r="AN699" s="260" t="str">
        <f>IF(ISNUMBER(SEARCH("C", 'Dry_Litterbag Placem_Collection'!V40)),"YES","NO")</f>
        <v>NO</v>
      </c>
      <c r="AO699" s="260" t="str">
        <f>IF(ISNUMBER(SEARCH("H", 'Dry_Litterbag Placem_Collection'!V40)),"YES","NO")</f>
        <v>NO</v>
      </c>
      <c r="AP699" s="260" t="str">
        <f>IF(ISNUMBER(SEARCH("R", 'Dry_Litterbag Placem_Collection'!V40)),"YES","NO")</f>
        <v>NO</v>
      </c>
    </row>
    <row r="700" spans="1:42" ht="15" customHeight="1">
      <c r="A700" t="s">
        <v>3248</v>
      </c>
      <c r="B700" s="252" t="s">
        <v>2643</v>
      </c>
      <c r="C700" s="253">
        <f>'Dry_Litterbag Placem_Collection'!A41</f>
        <v>39</v>
      </c>
      <c r="D700" s="253" t="str">
        <f>'Dry_Litterbag Placem_Collection'!B41</f>
        <v>Makao</v>
      </c>
      <c r="E700" s="253" t="s">
        <v>2643</v>
      </c>
      <c r="F700" s="253" t="s">
        <v>20</v>
      </c>
      <c r="G700" s="253">
        <v>1</v>
      </c>
      <c r="H700" s="253" t="s">
        <v>3106</v>
      </c>
      <c r="I700" s="254" t="str">
        <f>'Dry_Litterbag Placem_Collection'!C41</f>
        <v>Dry_P1_T7</v>
      </c>
      <c r="J700" s="263" t="s">
        <v>2932</v>
      </c>
      <c r="K700" s="264" t="s">
        <v>298</v>
      </c>
      <c r="L700" s="253" t="str">
        <f>IF(ISBLANK('Dry_Litterbag Placem_Collection'!M41),"","R"&amp;""&amp;'Dry_Litterbag Placem_Collection'!M41)</f>
        <v/>
      </c>
      <c r="M700" s="257" t="str">
        <f>IFERROR(INDEX('Green_rooibos initial weight'!$C$5:$C$2000,MATCH(L700, 'Green_rooibos initial weight'!$A$5:$A$2000,0)),"")</f>
        <v/>
      </c>
      <c r="N700" s="257" t="str">
        <f>IFERROR(M700-(TBIcalc!$Q$9+TBIcalc!$Q$10),"")</f>
        <v/>
      </c>
      <c r="O700" s="378">
        <f>AVERAGE(Ashed_controlls!$K$12:$K$14)</f>
        <v>2.2816647271287041</v>
      </c>
      <c r="P700" s="257" t="str">
        <f t="shared" si="51"/>
        <v/>
      </c>
      <c r="Q700" s="257" t="str">
        <f>IFERROR(INDEX('Both teabags AfterDry'!$D$2:$D$2000,MATCH(L700,'Both teabags AfterDry'!$A$2:$A$2000,0)),"")</f>
        <v/>
      </c>
      <c r="R700" s="257" t="str">
        <f>IFERROR(IF(Q700&gt;0,Q700-(TBIcalc!$Q$9),""),"")</f>
        <v/>
      </c>
      <c r="S700" s="268" t="str">
        <f>IFERROR(INDEX('Ashed teabags dry'!$K$2:$K$2000,MATCH(L700,'Ashed teabags dry'!$A$2:$A$2000,0)),"")</f>
        <v/>
      </c>
      <c r="T700" s="268" t="str">
        <f t="shared" si="52"/>
        <v/>
      </c>
      <c r="U700" s="258">
        <f>IF('Dry_Litterbag Placem_Collection'!E41="","",'Dry_Litterbag Placem_Collection'!E41)</f>
        <v>42938</v>
      </c>
      <c r="V700" s="258" t="str">
        <f>IF('Dry_Litterbag Placem_Collection'!G41="","",'Dry_Litterbag Placem_Collection'!G41)</f>
        <v/>
      </c>
      <c r="W700" s="259" t="str">
        <f t="shared" si="50"/>
        <v/>
      </c>
      <c r="X700" s="257" t="str">
        <f t="shared" si="53"/>
        <v/>
      </c>
      <c r="Y700" s="257" t="str">
        <f t="shared" si="54"/>
        <v/>
      </c>
      <c r="Z700" s="261" t="str">
        <f>IFERROR(INDEX([3]Rainfall_Dry!$O$2:$O$217,MATCH(C700, [3]Rainfall_Dry!$A$2:$A$217,0)),"")</f>
        <v/>
      </c>
      <c r="AA700" s="250">
        <v>23.96</v>
      </c>
      <c r="AB700" s="250">
        <v>0.91999999999999804</v>
      </c>
      <c r="AC700" s="250">
        <v>75.12</v>
      </c>
      <c r="AD700" s="251" t="s">
        <v>2651</v>
      </c>
      <c r="AE700" s="250">
        <v>1.2493839329719072</v>
      </c>
      <c r="AF700">
        <f>IF('WetLitterbags placem_collection'!AB41="","",'WetLitterbags placem_collection'!AB41)</f>
        <v>2.4</v>
      </c>
      <c r="AG700">
        <f>IF('WetLitterbags placem_collection'!Z41="","",'WetLitterbags placem_collection'!Z41)</f>
        <v>18</v>
      </c>
      <c r="AH700" s="236" t="str">
        <f>IF('WetLitterbags placem_collection'!AA41="","",'WetLitterbags placem_collection'!AA41)</f>
        <v>G</v>
      </c>
      <c r="AI700">
        <f>IF('WetLitterbags placem_collection'!AC41="","",'WetLitterbags placem_collection'!AC41)</f>
        <v>1</v>
      </c>
      <c r="AJ700" t="str">
        <f>IFERROR(AVERAGE('Dry_Litterbag Placem_Collection'!O41,'Dry_Litterbag Placem_Collection'!R41),"")</f>
        <v/>
      </c>
      <c r="AK700" s="261" t="str">
        <f>IFERROR(AVERAGE('Dry_Litterbag Placem_Collection'!N41,'Dry_Litterbag Placem_Collection'!Q41),"")</f>
        <v/>
      </c>
      <c r="AL700" s="260">
        <f>INDEX([2]Coordinates!$B$2:$B$197,MATCH(I700,[2]Coordinates!$J$2:$J$197,0))</f>
        <v>-3.4093859700000002</v>
      </c>
      <c r="AM700" s="260">
        <f>INDEX([2]Coordinates!$C$2:$C$197,MATCH(I700,[2]Coordinates!$J$2:$J$197,0))</f>
        <v>34.852855030000001</v>
      </c>
      <c r="AN700" s="260" t="str">
        <f>IF(ISNUMBER(SEARCH("C", 'Dry_Litterbag Placem_Collection'!V41)),"YES","NO")</f>
        <v>NO</v>
      </c>
      <c r="AO700" s="260" t="str">
        <f>IF(ISNUMBER(SEARCH("H", 'Dry_Litterbag Placem_Collection'!V41)),"YES","NO")</f>
        <v>NO</v>
      </c>
      <c r="AP700" s="260" t="str">
        <f>IF(ISNUMBER(SEARCH("R", 'Dry_Litterbag Placem_Collection'!V41)),"YES","NO")</f>
        <v>NO</v>
      </c>
    </row>
    <row r="701" spans="1:42" ht="15" customHeight="1">
      <c r="A701" t="s">
        <v>3248</v>
      </c>
      <c r="B701" s="252" t="s">
        <v>2643</v>
      </c>
      <c r="C701" s="253">
        <f>'Dry_Litterbag Placem_Collection'!A42</f>
        <v>40</v>
      </c>
      <c r="D701" s="253" t="str">
        <f>'Dry_Litterbag Placem_Collection'!B42</f>
        <v>Makao</v>
      </c>
      <c r="E701" s="253" t="s">
        <v>2643</v>
      </c>
      <c r="F701" s="253" t="s">
        <v>20</v>
      </c>
      <c r="G701" s="253">
        <v>1</v>
      </c>
      <c r="H701" s="253" t="s">
        <v>3106</v>
      </c>
      <c r="I701" s="254" t="str">
        <f>'Dry_Litterbag Placem_Collection'!C42</f>
        <v>Dry_P1_T8</v>
      </c>
      <c r="J701" s="263" t="s">
        <v>2932</v>
      </c>
      <c r="K701" s="264" t="s">
        <v>298</v>
      </c>
      <c r="L701" s="253" t="str">
        <f>IF(ISBLANK('Dry_Litterbag Placem_Collection'!M42),"","R"&amp;""&amp;'Dry_Litterbag Placem_Collection'!M42)</f>
        <v>R402</v>
      </c>
      <c r="M701" s="257">
        <f>IFERROR(INDEX('Green_rooibos initial weight'!$C$5:$C$2000,MATCH(L701, 'Green_rooibos initial weight'!$A$5:$A$2000,0)),"")</f>
        <v>2.1459999999999999</v>
      </c>
      <c r="N701" s="257">
        <f>IFERROR(M701-(TBIcalc!$Q$9+TBIcalc!$Q$10),"")</f>
        <v>1.8961999999999999</v>
      </c>
      <c r="O701" s="378">
        <f>AVERAGE(Ashed_controlls!$K$12:$K$14)</f>
        <v>2.2816647271287041</v>
      </c>
      <c r="P701" s="257">
        <f t="shared" si="51"/>
        <v>1.8529350734441854</v>
      </c>
      <c r="Q701" s="257">
        <f>IFERROR(INDEX('Both teabags AfterDry'!$D$2:$D$2000,MATCH(L701,'Both teabags AfterDry'!$A$2:$A$2000,0)),"")</f>
        <v>1.9192</v>
      </c>
      <c r="R701" s="257">
        <f>IFERROR(IF(Q701&gt;0,Q701-(TBIcalc!$Q$9),""),"")</f>
        <v>1.7685999999999999</v>
      </c>
      <c r="S701" s="268">
        <f>IFERROR(INDEX('Ashed teabags dry'!$K$2:$K$2000,MATCH(L701,'Ashed teabags dry'!$A$2:$A$2000,0)),"")</f>
        <v>3.0697674418608112</v>
      </c>
      <c r="T701" s="268">
        <f t="shared" si="52"/>
        <v>1.7143080930232497</v>
      </c>
      <c r="U701" s="258">
        <f>IF('Dry_Litterbag Placem_Collection'!E42="","",'Dry_Litterbag Placem_Collection'!E42)</f>
        <v>42938</v>
      </c>
      <c r="V701" s="258">
        <f>IF('Dry_Litterbag Placem_Collection'!G42="","",'Dry_Litterbag Placem_Collection'!G42)</f>
        <v>43005</v>
      </c>
      <c r="W701" s="259">
        <f t="shared" si="50"/>
        <v>67</v>
      </c>
      <c r="X701" s="257">
        <f t="shared" si="53"/>
        <v>0.12759999999999994</v>
      </c>
      <c r="Y701" s="257">
        <f t="shared" si="54"/>
        <v>0.13862698042093569</v>
      </c>
      <c r="Z701" s="261">
        <f>IFERROR(INDEX([3]Rainfall_Dry!$O$2:$O$217,MATCH(C701, [3]Rainfall_Dry!$A$2:$A$217,0)),"")</f>
        <v>6.5250000359999998</v>
      </c>
      <c r="AA701" s="250">
        <v>23.96</v>
      </c>
      <c r="AB701" s="250">
        <v>0.91999999999999804</v>
      </c>
      <c r="AC701" s="250">
        <v>75.12</v>
      </c>
      <c r="AD701" s="251" t="s">
        <v>2651</v>
      </c>
      <c r="AE701" s="250">
        <v>1.2493839329719072</v>
      </c>
      <c r="AF701">
        <f>IF('WetLitterbags placem_collection'!AB42="","",'WetLitterbags placem_collection'!AB42)</f>
        <v>8.6999999999999993</v>
      </c>
      <c r="AG701">
        <f>IF('WetLitterbags placem_collection'!Z42="","",'WetLitterbags placem_collection'!Z42)</f>
        <v>19.3</v>
      </c>
      <c r="AH701" s="236" t="str">
        <f>IF('WetLitterbags placem_collection'!AA42="","",'WetLitterbags placem_collection'!AA42)</f>
        <v>G</v>
      </c>
      <c r="AI701">
        <f>IF('WetLitterbags placem_collection'!AC42="","",'WetLitterbags placem_collection'!AC42)</f>
        <v>0</v>
      </c>
      <c r="AJ701">
        <f>IFERROR(AVERAGE('Dry_Litterbag Placem_Collection'!O42,'Dry_Litterbag Placem_Collection'!R42),"")</f>
        <v>4.5999999999999996</v>
      </c>
      <c r="AK701" s="261">
        <f>IFERROR(AVERAGE('Dry_Litterbag Placem_Collection'!N42,'Dry_Litterbag Placem_Collection'!Q42),"")</f>
        <v>26.2</v>
      </c>
      <c r="AL701" s="260">
        <f>INDEX([2]Coordinates!$B$2:$B$197,MATCH(I701,[2]Coordinates!$J$2:$J$197,0))</f>
        <v>-3.4091539590000002</v>
      </c>
      <c r="AM701" s="260">
        <f>INDEX([2]Coordinates!$C$2:$C$197,MATCH(I701,[2]Coordinates!$J$2:$J$197,0))</f>
        <v>34.852755029999997</v>
      </c>
      <c r="AN701" s="260" t="str">
        <f>IF(ISNUMBER(SEARCH("C", 'Dry_Litterbag Placem_Collection'!V42)),"YES","NO")</f>
        <v>NO</v>
      </c>
      <c r="AO701" s="260" t="str">
        <f>IF(ISNUMBER(SEARCH("H", 'Dry_Litterbag Placem_Collection'!V42)),"YES","NO")</f>
        <v>NO</v>
      </c>
      <c r="AP701" s="260" t="str">
        <f>IF(ISNUMBER(SEARCH("R", 'Dry_Litterbag Placem_Collection'!V42)),"YES","NO")</f>
        <v>NO</v>
      </c>
    </row>
    <row r="702" spans="1:42" ht="15" customHeight="1">
      <c r="A702" t="s">
        <v>3248</v>
      </c>
      <c r="B702" s="252" t="s">
        <v>2643</v>
      </c>
      <c r="C702" s="253">
        <f>'Dry_Litterbag Placem_Collection'!A43</f>
        <v>41</v>
      </c>
      <c r="D702" s="253" t="str">
        <f>'Dry_Litterbag Placem_Collection'!B43</f>
        <v>Makao</v>
      </c>
      <c r="E702" s="253" t="s">
        <v>2643</v>
      </c>
      <c r="F702" s="253" t="s">
        <v>20</v>
      </c>
      <c r="G702" s="253">
        <v>2</v>
      </c>
      <c r="H702" s="253" t="s">
        <v>3108</v>
      </c>
      <c r="I702" s="254" t="str">
        <f>'Dry_Litterbag Placem_Collection'!C43</f>
        <v>Dry_P2_T1</v>
      </c>
      <c r="J702" s="263" t="s">
        <v>2932</v>
      </c>
      <c r="K702" s="264" t="s">
        <v>298</v>
      </c>
      <c r="L702" s="253" t="str">
        <f>IF(ISBLANK('Dry_Litterbag Placem_Collection'!M43),"","R"&amp;""&amp;'Dry_Litterbag Placem_Collection'!M43)</f>
        <v>R648</v>
      </c>
      <c r="M702" s="257">
        <f>IFERROR(INDEX('Green_rooibos initial weight'!$C$5:$C$2000,MATCH(L702, 'Green_rooibos initial weight'!$A$5:$A$2000,0)),"")</f>
        <v>2.1920000000000002</v>
      </c>
      <c r="N702" s="257">
        <f>IFERROR(M702-(TBIcalc!$Q$9+TBIcalc!$Q$10),"")</f>
        <v>1.9422000000000001</v>
      </c>
      <c r="O702" s="378">
        <f>AVERAGE(Ashed_controlls!$K$12:$K$14)</f>
        <v>2.2816647271287041</v>
      </c>
      <c r="P702" s="257">
        <f t="shared" si="51"/>
        <v>1.8978855076697065</v>
      </c>
      <c r="Q702" s="257">
        <f>IFERROR(INDEX('Both teabags AfterDry'!$D$2:$D$2000,MATCH(L702,'Both teabags AfterDry'!$A$2:$A$2000,0)),"")</f>
        <v>1.9649000000000001</v>
      </c>
      <c r="R702" s="257">
        <f>IFERROR(IF(Q702&gt;0,Q702-(TBIcalc!$Q$9),""),"")</f>
        <v>1.8143</v>
      </c>
      <c r="S702" s="268">
        <f>IFERROR(INDEX('Ashed teabags dry'!$K$2:$K$2000,MATCH(L702,'Ashed teabags dry'!$A$2:$A$2000,0)),"")</f>
        <v>3.1295137217131312</v>
      </c>
      <c r="T702" s="268">
        <f t="shared" si="52"/>
        <v>1.7575212325469587</v>
      </c>
      <c r="U702" s="258">
        <f>IF('Dry_Litterbag Placem_Collection'!E43="","",'Dry_Litterbag Placem_Collection'!E43)</f>
        <v>42938</v>
      </c>
      <c r="V702" s="258">
        <f>IF('Dry_Litterbag Placem_Collection'!G43="","",'Dry_Litterbag Placem_Collection'!G43)</f>
        <v>43005</v>
      </c>
      <c r="W702" s="259">
        <f t="shared" si="50"/>
        <v>67</v>
      </c>
      <c r="X702" s="257">
        <f t="shared" si="53"/>
        <v>0.12790000000000012</v>
      </c>
      <c r="Y702" s="257">
        <f t="shared" si="54"/>
        <v>0.14036427512274785</v>
      </c>
      <c r="Z702" s="261">
        <f>IFERROR(INDEX([3]Rainfall_Dry!$O$2:$O$217,MATCH(C702, [3]Rainfall_Dry!$A$2:$A$217,0)),"")</f>
        <v>6.5250000359999998</v>
      </c>
      <c r="AA702" s="250">
        <v>19.96</v>
      </c>
      <c r="AB702" s="250">
        <v>4.9199999999999982</v>
      </c>
      <c r="AC702" s="250">
        <v>75.12</v>
      </c>
      <c r="AD702" s="251" t="s">
        <v>2652</v>
      </c>
      <c r="AE702" s="250">
        <v>1.641498275012321</v>
      </c>
      <c r="AF702">
        <f>IF('WetLitterbags placem_collection'!AB43="","",'WetLitterbags placem_collection'!AB43)</f>
        <v>4</v>
      </c>
      <c r="AG702">
        <f>IF('WetLitterbags placem_collection'!Z43="","",'WetLitterbags placem_collection'!Z43)</f>
        <v>19.100000000000001</v>
      </c>
      <c r="AH702" s="236" t="str">
        <f>IF('WetLitterbags placem_collection'!AA43="","",'WetLitterbags placem_collection'!AA43)</f>
        <v>G</v>
      </c>
      <c r="AI702">
        <f>IF('WetLitterbags placem_collection'!AC43="","",'WetLitterbags placem_collection'!AC43)</f>
        <v>0</v>
      </c>
      <c r="AJ702">
        <f>IFERROR(AVERAGE('Dry_Litterbag Placem_Collection'!O43,'Dry_Litterbag Placem_Collection'!R43),"")</f>
        <v>4.6500000000000004</v>
      </c>
      <c r="AK702" s="261">
        <f>IFERROR(AVERAGE('Dry_Litterbag Placem_Collection'!N43,'Dry_Litterbag Placem_Collection'!Q43),"")</f>
        <v>27.85</v>
      </c>
      <c r="AL702" s="260">
        <f>INDEX([2]Coordinates!$B$2:$B$197,MATCH(I702,[2]Coordinates!$J$2:$J$197,0))</f>
        <v>-3.4083420040000001</v>
      </c>
      <c r="AM702" s="260">
        <f>INDEX([2]Coordinates!$C$2:$C$197,MATCH(I702,[2]Coordinates!$J$2:$J$197,0))</f>
        <v>34.850283040000001</v>
      </c>
      <c r="AN702" s="260" t="str">
        <f>IF(ISNUMBER(SEARCH("C", 'Dry_Litterbag Placem_Collection'!V43)),"YES","NO")</f>
        <v>NO</v>
      </c>
      <c r="AO702" s="260" t="str">
        <f>IF(ISNUMBER(SEARCH("H", 'Dry_Litterbag Placem_Collection'!V43)),"YES","NO")</f>
        <v>NO</v>
      </c>
      <c r="AP702" s="260" t="str">
        <f>IF(ISNUMBER(SEARCH("R", 'Dry_Litterbag Placem_Collection'!V43)),"YES","NO")</f>
        <v>NO</v>
      </c>
    </row>
    <row r="703" spans="1:42" ht="15" customHeight="1">
      <c r="A703" t="s">
        <v>3248</v>
      </c>
      <c r="B703" s="252" t="s">
        <v>2643</v>
      </c>
      <c r="C703" s="253">
        <f>'Dry_Litterbag Placem_Collection'!A44</f>
        <v>42</v>
      </c>
      <c r="D703" s="253" t="str">
        <f>'Dry_Litterbag Placem_Collection'!B44</f>
        <v>Makao</v>
      </c>
      <c r="E703" s="253" t="s">
        <v>2643</v>
      </c>
      <c r="F703" s="253" t="s">
        <v>20</v>
      </c>
      <c r="G703" s="253">
        <v>2</v>
      </c>
      <c r="H703" s="253" t="s">
        <v>3108</v>
      </c>
      <c r="I703" s="254" t="str">
        <f>'Dry_Litterbag Placem_Collection'!C44</f>
        <v>Dry_P2_T2</v>
      </c>
      <c r="J703" s="263" t="s">
        <v>2932</v>
      </c>
      <c r="K703" s="264" t="s">
        <v>298</v>
      </c>
      <c r="L703" s="253" t="str">
        <f>IF(ISBLANK('Dry_Litterbag Placem_Collection'!M44),"","R"&amp;""&amp;'Dry_Litterbag Placem_Collection'!M44)</f>
        <v>R257</v>
      </c>
      <c r="M703" s="257">
        <f>IFERROR(INDEX('Green_rooibos initial weight'!$C$5:$C$2000,MATCH(L703, 'Green_rooibos initial weight'!$A$5:$A$2000,0)),"")</f>
        <v>2.222</v>
      </c>
      <c r="N703" s="257">
        <f>IFERROR(M703-(TBIcalc!$Q$9+TBIcalc!$Q$10),"")</f>
        <v>1.9722</v>
      </c>
      <c r="O703" s="378">
        <f>AVERAGE(Ashed_controlls!$K$12:$K$14)</f>
        <v>2.2816647271287041</v>
      </c>
      <c r="P703" s="257">
        <f t="shared" si="51"/>
        <v>1.9272010082515676</v>
      </c>
      <c r="Q703" s="257">
        <f>IFERROR(INDEX('Both teabags AfterDry'!$D$2:$D$2000,MATCH(L703,'Both teabags AfterDry'!$A$2:$A$2000,0)),"")</f>
        <v>1.956</v>
      </c>
      <c r="R703" s="257">
        <f>IFERROR(IF(Q703&gt;0,Q703-(TBIcalc!$Q$9),""),"")</f>
        <v>1.8053999999999999</v>
      </c>
      <c r="S703" s="268">
        <f>IFERROR(INDEX('Ashed teabags dry'!$K$2:$K$2000,MATCH(L703,'Ashed teabags dry'!$A$2:$A$2000,0)),"")</f>
        <v>2.8571428571426241</v>
      </c>
      <c r="T703" s="268">
        <f t="shared" si="52"/>
        <v>1.753817142857147</v>
      </c>
      <c r="U703" s="258">
        <f>IF('Dry_Litterbag Placem_Collection'!E44="","",'Dry_Litterbag Placem_Collection'!E44)</f>
        <v>42938</v>
      </c>
      <c r="V703" s="258">
        <f>IF('Dry_Litterbag Placem_Collection'!G44="","",'Dry_Litterbag Placem_Collection'!G44)</f>
        <v>43005</v>
      </c>
      <c r="W703" s="259">
        <f t="shared" si="50"/>
        <v>67</v>
      </c>
      <c r="X703" s="257">
        <f t="shared" si="53"/>
        <v>0.16680000000000006</v>
      </c>
      <c r="Y703" s="257">
        <f t="shared" si="54"/>
        <v>0.17338386539442063</v>
      </c>
      <c r="Z703" s="261">
        <f>IFERROR(INDEX([3]Rainfall_Dry!$O$2:$O$217,MATCH(C703, [3]Rainfall_Dry!$A$2:$A$217,0)),"")</f>
        <v>6.5250000359999998</v>
      </c>
      <c r="AA703" s="250">
        <v>19.96</v>
      </c>
      <c r="AB703" s="250">
        <v>4.9199999999999982</v>
      </c>
      <c r="AC703" s="250">
        <v>75.12</v>
      </c>
      <c r="AD703" s="251" t="s">
        <v>2652</v>
      </c>
      <c r="AE703" s="250">
        <v>1.641498275012321</v>
      </c>
      <c r="AF703">
        <f>IF('WetLitterbags placem_collection'!AB44="","",'WetLitterbags placem_collection'!AB44)</f>
        <v>5.9</v>
      </c>
      <c r="AG703">
        <f>IF('WetLitterbags placem_collection'!Z44="","",'WetLitterbags placem_collection'!Z44)</f>
        <v>12.7</v>
      </c>
      <c r="AH703" s="236" t="str">
        <f>IF('WetLitterbags placem_collection'!AA44="","",'WetLitterbags placem_collection'!AA44)</f>
        <v>G</v>
      </c>
      <c r="AI703">
        <f>IF('WetLitterbags placem_collection'!AC44="","",'WetLitterbags placem_collection'!AC44)</f>
        <v>0</v>
      </c>
      <c r="AJ703">
        <f>IFERROR(AVERAGE('Dry_Litterbag Placem_Collection'!O44,'Dry_Litterbag Placem_Collection'!R44),"")</f>
        <v>5.1999999999999993</v>
      </c>
      <c r="AK703" s="261">
        <f>IFERROR(AVERAGE('Dry_Litterbag Placem_Collection'!N44,'Dry_Litterbag Placem_Collection'!Q44),"")</f>
        <v>27.15</v>
      </c>
      <c r="AL703" s="260">
        <f>INDEX([2]Coordinates!$B$2:$B$197,MATCH(I703,[2]Coordinates!$J$2:$J$197,0))</f>
        <v>-3.4084079690000002</v>
      </c>
      <c r="AM703" s="260">
        <f>INDEX([2]Coordinates!$C$2:$C$197,MATCH(I703,[2]Coordinates!$J$2:$J$197,0))</f>
        <v>34.850295029999998</v>
      </c>
      <c r="AN703" s="260" t="str">
        <f>IF(ISNUMBER(SEARCH("C", 'Dry_Litterbag Placem_Collection'!V44)),"YES","NO")</f>
        <v>NO</v>
      </c>
      <c r="AO703" s="260" t="str">
        <f>IF(ISNUMBER(SEARCH("H", 'Dry_Litterbag Placem_Collection'!V44)),"YES","NO")</f>
        <v>NO</v>
      </c>
      <c r="AP703" s="260" t="str">
        <f>IF(ISNUMBER(SEARCH("R", 'Dry_Litterbag Placem_Collection'!V44)),"YES","NO")</f>
        <v>NO</v>
      </c>
    </row>
    <row r="704" spans="1:42" ht="15" customHeight="1">
      <c r="A704" t="s">
        <v>3248</v>
      </c>
      <c r="B704" s="252" t="s">
        <v>2643</v>
      </c>
      <c r="C704" s="253">
        <f>'Dry_Litterbag Placem_Collection'!A45</f>
        <v>43</v>
      </c>
      <c r="D704" s="253" t="str">
        <f>'Dry_Litterbag Placem_Collection'!B45</f>
        <v>Makao</v>
      </c>
      <c r="E704" s="253" t="s">
        <v>2643</v>
      </c>
      <c r="F704" s="253" t="s">
        <v>20</v>
      </c>
      <c r="G704" s="253">
        <v>2</v>
      </c>
      <c r="H704" s="253" t="s">
        <v>3108</v>
      </c>
      <c r="I704" s="254" t="str">
        <f>'Dry_Litterbag Placem_Collection'!C45</f>
        <v>Dry_P2_T3</v>
      </c>
      <c r="J704" s="263" t="s">
        <v>2932</v>
      </c>
      <c r="K704" s="264" t="s">
        <v>298</v>
      </c>
      <c r="L704" s="253" t="str">
        <f>IF(ISBLANK('Dry_Litterbag Placem_Collection'!M45),"","R"&amp;""&amp;'Dry_Litterbag Placem_Collection'!M45)</f>
        <v>R691</v>
      </c>
      <c r="M704" s="257">
        <f>IFERROR(INDEX('Green_rooibos initial weight'!$C$5:$C$2000,MATCH(L704, 'Green_rooibos initial weight'!$A$5:$A$2000,0)),"")</f>
        <v>2.1859999999999999</v>
      </c>
      <c r="N704" s="257">
        <f>IFERROR(M704-(TBIcalc!$Q$9+TBIcalc!$Q$10),"")</f>
        <v>1.9361999999999999</v>
      </c>
      <c r="O704" s="378">
        <f>AVERAGE(Ashed_controlls!$K$12:$K$14)</f>
        <v>2.2816647271287041</v>
      </c>
      <c r="P704" s="257">
        <f t="shared" si="51"/>
        <v>1.8920224075533341</v>
      </c>
      <c r="Q704" s="257">
        <f>IFERROR(INDEX('Both teabags AfterDry'!$D$2:$D$2000,MATCH(L704,'Both teabags AfterDry'!$A$2:$A$2000,0)),"")</f>
        <v>1.9609000000000001</v>
      </c>
      <c r="R704" s="257">
        <f>IFERROR(IF(Q704&gt;0,Q704-(TBIcalc!$Q$9),""),"")</f>
        <v>1.8103</v>
      </c>
      <c r="S704" s="268">
        <f>IFERROR(INDEX('Ashed teabags dry'!$K$2:$K$2000,MATCH(L704,'Ashed teabags dry'!$A$2:$A$2000,0)),"")</f>
        <v>3.8599640933580917</v>
      </c>
      <c r="T704" s="268">
        <f t="shared" si="52"/>
        <v>1.7404230700179384</v>
      </c>
      <c r="U704" s="258">
        <f>IF('Dry_Litterbag Placem_Collection'!E45="","",'Dry_Litterbag Placem_Collection'!E45)</f>
        <v>42938</v>
      </c>
      <c r="V704" s="258">
        <f>IF('Dry_Litterbag Placem_Collection'!G45="","",'Dry_Litterbag Placem_Collection'!G45)</f>
        <v>43005</v>
      </c>
      <c r="W704" s="259">
        <f t="shared" si="50"/>
        <v>67</v>
      </c>
      <c r="X704" s="257">
        <f t="shared" si="53"/>
        <v>0.1258999999999999</v>
      </c>
      <c r="Y704" s="257">
        <f t="shared" si="54"/>
        <v>0.15159933753539567</v>
      </c>
      <c r="Z704" s="261">
        <f>IFERROR(INDEX([3]Rainfall_Dry!$O$2:$O$217,MATCH(C704, [3]Rainfall_Dry!$A$2:$A$217,0)),"")</f>
        <v>6.5250000359999998</v>
      </c>
      <c r="AA704" s="250">
        <v>19.96</v>
      </c>
      <c r="AB704" s="250">
        <v>4.9199999999999982</v>
      </c>
      <c r="AC704" s="250">
        <v>75.12</v>
      </c>
      <c r="AD704" s="251" t="s">
        <v>2652</v>
      </c>
      <c r="AE704" s="250">
        <v>1.641498275012321</v>
      </c>
      <c r="AF704">
        <f>IF('WetLitterbags placem_collection'!AB45="","",'WetLitterbags placem_collection'!AB45)</f>
        <v>5</v>
      </c>
      <c r="AG704">
        <f>IF('WetLitterbags placem_collection'!Z45="","",'WetLitterbags placem_collection'!Z45)</f>
        <v>26.3</v>
      </c>
      <c r="AH704" s="236" t="str">
        <f>IF('WetLitterbags placem_collection'!AA45="","",'WetLitterbags placem_collection'!AA45)</f>
        <v>G</v>
      </c>
      <c r="AI704">
        <f>IF('WetLitterbags placem_collection'!AC45="","",'WetLitterbags placem_collection'!AC45)</f>
        <v>0</v>
      </c>
      <c r="AJ704">
        <f>IFERROR(AVERAGE('Dry_Litterbag Placem_Collection'!O45,'Dry_Litterbag Placem_Collection'!R45),"")</f>
        <v>2.4500000000000002</v>
      </c>
      <c r="AK704" s="261">
        <f>IFERROR(AVERAGE('Dry_Litterbag Placem_Collection'!N45,'Dry_Litterbag Placem_Collection'!Q45),"")</f>
        <v>26.1</v>
      </c>
      <c r="AL704" s="260">
        <f>INDEX([2]Coordinates!$B$2:$B$197,MATCH(I704,[2]Coordinates!$J$2:$J$197,0))</f>
        <v>-3.4082369789999998</v>
      </c>
      <c r="AM704" s="260">
        <f>INDEX([2]Coordinates!$C$2:$C$197,MATCH(I704,[2]Coordinates!$J$2:$J$197,0))</f>
        <v>34.850189999999998</v>
      </c>
      <c r="AN704" s="260" t="str">
        <f>IF(ISNUMBER(SEARCH("C", 'Dry_Litterbag Placem_Collection'!V45)),"YES","NO")</f>
        <v>NO</v>
      </c>
      <c r="AO704" s="260" t="str">
        <f>IF(ISNUMBER(SEARCH("H", 'Dry_Litterbag Placem_Collection'!V45)),"YES","NO")</f>
        <v>NO</v>
      </c>
      <c r="AP704" s="260" t="str">
        <f>IF(ISNUMBER(SEARCH("R", 'Dry_Litterbag Placem_Collection'!V45)),"YES","NO")</f>
        <v>NO</v>
      </c>
    </row>
    <row r="705" spans="1:42" ht="15" customHeight="1">
      <c r="A705" t="s">
        <v>3248</v>
      </c>
      <c r="B705" s="252" t="s">
        <v>2643</v>
      </c>
      <c r="C705" s="253">
        <f>'Dry_Litterbag Placem_Collection'!A46</f>
        <v>44</v>
      </c>
      <c r="D705" s="253" t="str">
        <f>'Dry_Litterbag Placem_Collection'!B46</f>
        <v>Makao</v>
      </c>
      <c r="E705" s="253" t="s">
        <v>2643</v>
      </c>
      <c r="F705" s="253" t="s">
        <v>20</v>
      </c>
      <c r="G705" s="253">
        <v>2</v>
      </c>
      <c r="H705" s="253" t="s">
        <v>3108</v>
      </c>
      <c r="I705" s="254" t="str">
        <f>'Dry_Litterbag Placem_Collection'!C46</f>
        <v>Dry_P2_T4</v>
      </c>
      <c r="J705" s="263" t="s">
        <v>2932</v>
      </c>
      <c r="K705" s="264" t="s">
        <v>298</v>
      </c>
      <c r="L705" s="253" t="str">
        <f>IF(ISBLANK('Dry_Litterbag Placem_Collection'!M46),"","R"&amp;""&amp;'Dry_Litterbag Placem_Collection'!M46)</f>
        <v>R716</v>
      </c>
      <c r="M705" s="257">
        <f>IFERROR(INDEX('Green_rooibos initial weight'!$C$5:$C$2000,MATCH(L705, 'Green_rooibos initial weight'!$A$5:$A$2000,0)),"")</f>
        <v>2.2280000000000002</v>
      </c>
      <c r="N705" s="257">
        <f>IFERROR(M705-(TBIcalc!$Q$9+TBIcalc!$Q$10),"")</f>
        <v>1.9782000000000002</v>
      </c>
      <c r="O705" s="378">
        <f>AVERAGE(Ashed_controlls!$K$12:$K$14)</f>
        <v>2.2816647271287041</v>
      </c>
      <c r="P705" s="257">
        <f t="shared" si="51"/>
        <v>1.9330641083679401</v>
      </c>
      <c r="Q705" s="257">
        <f>IFERROR(INDEX('Both teabags AfterDry'!$D$2:$D$2000,MATCH(L705,'Both teabags AfterDry'!$A$2:$A$2000,0)),"")</f>
        <v>1.9879</v>
      </c>
      <c r="R705" s="257">
        <f>IFERROR(IF(Q705&gt;0,Q705-(TBIcalc!$Q$9),""),"")</f>
        <v>1.8372999999999999</v>
      </c>
      <c r="S705" s="268">
        <f>IFERROR(INDEX('Ashed teabags dry'!$K$2:$K$2000,MATCH(L705,'Ashed teabags dry'!$A$2:$A$2000,0)),"")</f>
        <v>2.9353233830845578</v>
      </c>
      <c r="T705" s="268">
        <f t="shared" si="52"/>
        <v>1.7833693034825873</v>
      </c>
      <c r="U705" s="258">
        <f>IF('Dry_Litterbag Placem_Collection'!E46="","",'Dry_Litterbag Placem_Collection'!E46)</f>
        <v>42938</v>
      </c>
      <c r="V705" s="258">
        <f>IF('Dry_Litterbag Placem_Collection'!G46="","",'Dry_Litterbag Placem_Collection'!G46)</f>
        <v>43005</v>
      </c>
      <c r="W705" s="259">
        <f t="shared" si="50"/>
        <v>67</v>
      </c>
      <c r="X705" s="257">
        <f t="shared" si="53"/>
        <v>0.14090000000000025</v>
      </c>
      <c r="Y705" s="257">
        <f t="shared" si="54"/>
        <v>0.14969480488535281</v>
      </c>
      <c r="Z705" s="261">
        <f>IFERROR(INDEX([3]Rainfall_Dry!$O$2:$O$217,MATCH(C705, [3]Rainfall_Dry!$A$2:$A$217,0)),"")</f>
        <v>6.5250000359999998</v>
      </c>
      <c r="AA705" s="250">
        <v>19.96</v>
      </c>
      <c r="AB705" s="250">
        <v>4.9199999999999982</v>
      </c>
      <c r="AC705" s="250">
        <v>75.12</v>
      </c>
      <c r="AD705" s="251" t="s">
        <v>2652</v>
      </c>
      <c r="AE705" s="250">
        <v>1.641498275012321</v>
      </c>
      <c r="AF705">
        <f>IF('WetLitterbags placem_collection'!AB46="","",'WetLitterbags placem_collection'!AB46)</f>
        <v>2.6</v>
      </c>
      <c r="AG705">
        <f>IF('WetLitterbags placem_collection'!Z46="","",'WetLitterbags placem_collection'!Z46)</f>
        <v>39.200000000000003</v>
      </c>
      <c r="AH705" s="236" t="str">
        <f>IF('WetLitterbags placem_collection'!AA46="","",'WetLitterbags placem_collection'!AA46)</f>
        <v>G</v>
      </c>
      <c r="AI705">
        <f>IF('WetLitterbags placem_collection'!AC46="","",'WetLitterbags placem_collection'!AC46)</f>
        <v>0</v>
      </c>
      <c r="AJ705">
        <f>IFERROR(AVERAGE('Dry_Litterbag Placem_Collection'!O46,'Dry_Litterbag Placem_Collection'!R46),"")</f>
        <v>3.8499999999999996</v>
      </c>
      <c r="AK705" s="261">
        <f>IFERROR(AVERAGE('Dry_Litterbag Placem_Collection'!N46,'Dry_Litterbag Placem_Collection'!Q46),"")</f>
        <v>26.5</v>
      </c>
      <c r="AL705" s="260">
        <f>INDEX([2]Coordinates!$B$2:$B$197,MATCH(I705,[2]Coordinates!$J$2:$J$197,0))</f>
        <v>-3.4081529920000002</v>
      </c>
      <c r="AM705" s="260">
        <f>INDEX([2]Coordinates!$C$2:$C$197,MATCH(I705,[2]Coordinates!$J$2:$J$197,0))</f>
        <v>34.850168959999998</v>
      </c>
      <c r="AN705" s="260" t="str">
        <f>IF(ISNUMBER(SEARCH("C", 'Dry_Litterbag Placem_Collection'!V46)),"YES","NO")</f>
        <v>NO</v>
      </c>
      <c r="AO705" s="260" t="str">
        <f>IF(ISNUMBER(SEARCH("H", 'Dry_Litterbag Placem_Collection'!V46)),"YES","NO")</f>
        <v>NO</v>
      </c>
      <c r="AP705" s="260" t="str">
        <f>IF(ISNUMBER(SEARCH("R", 'Dry_Litterbag Placem_Collection'!V46)),"YES","NO")</f>
        <v>NO</v>
      </c>
    </row>
    <row r="706" spans="1:42" ht="15" customHeight="1">
      <c r="A706" t="s">
        <v>3248</v>
      </c>
      <c r="B706" s="252" t="s">
        <v>2643</v>
      </c>
      <c r="C706" s="253">
        <f>'Dry_Litterbag Placem_Collection'!A47</f>
        <v>45</v>
      </c>
      <c r="D706" s="253" t="str">
        <f>'Dry_Litterbag Placem_Collection'!B47</f>
        <v>Makao</v>
      </c>
      <c r="E706" s="253" t="s">
        <v>2643</v>
      </c>
      <c r="F706" s="253" t="s">
        <v>20</v>
      </c>
      <c r="G706" s="253">
        <v>2</v>
      </c>
      <c r="H706" s="253" t="s">
        <v>3108</v>
      </c>
      <c r="I706" s="254" t="str">
        <f>'Dry_Litterbag Placem_Collection'!C47</f>
        <v>Dry_P2_T5</v>
      </c>
      <c r="J706" s="263" t="s">
        <v>2932</v>
      </c>
      <c r="K706" s="264" t="s">
        <v>298</v>
      </c>
      <c r="L706" s="253" t="str">
        <f>IF(ISBLANK('Dry_Litterbag Placem_Collection'!M47),"","R"&amp;""&amp;'Dry_Litterbag Placem_Collection'!M47)</f>
        <v>R631</v>
      </c>
      <c r="M706" s="257">
        <f>IFERROR(INDEX('Green_rooibos initial weight'!$C$5:$C$2000,MATCH(L706, 'Green_rooibos initial weight'!$A$5:$A$2000,0)),"")</f>
        <v>2.133</v>
      </c>
      <c r="N706" s="257">
        <f>IFERROR(M706-(TBIcalc!$Q$9+TBIcalc!$Q$10),"")</f>
        <v>1.8832</v>
      </c>
      <c r="O706" s="378">
        <f>AVERAGE(Ashed_controlls!$K$12:$K$14)</f>
        <v>2.2816647271287041</v>
      </c>
      <c r="P706" s="257">
        <f t="shared" si="51"/>
        <v>1.8402316898587123</v>
      </c>
      <c r="Q706" s="257" t="str">
        <f>IFERROR(INDEX('Both teabags AfterDry'!$D$2:$D$2000,MATCH(L706,'Both teabags AfterDry'!$A$2:$A$2000,0)),"")</f>
        <v/>
      </c>
      <c r="R706" s="257" t="str">
        <f>IFERROR(IF(Q706&gt;0,Q706-(TBIcalc!$Q$9),""),"")</f>
        <v/>
      </c>
      <c r="S706" s="268" t="str">
        <f>IFERROR(INDEX('Ashed teabags dry'!$K$2:$K$2000,MATCH(L706,'Ashed teabags dry'!$A$2:$A$2000,0)),"")</f>
        <v/>
      </c>
      <c r="T706" s="268" t="str">
        <f t="shared" si="52"/>
        <v/>
      </c>
      <c r="U706" s="258">
        <f>IF('Dry_Litterbag Placem_Collection'!E47="","",'Dry_Litterbag Placem_Collection'!E47)</f>
        <v>42938</v>
      </c>
      <c r="V706" s="258">
        <f>IF('Dry_Litterbag Placem_Collection'!G47="","",'Dry_Litterbag Placem_Collection'!G47)</f>
        <v>43005</v>
      </c>
      <c r="W706" s="259">
        <f t="shared" ref="W706:W769" si="55">IFERROR(V706-U706,"")</f>
        <v>67</v>
      </c>
      <c r="X706" s="257" t="str">
        <f t="shared" si="53"/>
        <v/>
      </c>
      <c r="Y706" s="257" t="str">
        <f t="shared" si="54"/>
        <v/>
      </c>
      <c r="Z706" s="261">
        <f>IFERROR(INDEX([3]Rainfall_Dry!$O$2:$O$217,MATCH(C706, [3]Rainfall_Dry!$A$2:$A$217,0)),"")</f>
        <v>6.5250000359999998</v>
      </c>
      <c r="AA706" s="250">
        <v>19.96</v>
      </c>
      <c r="AB706" s="250">
        <v>4.9199999999999982</v>
      </c>
      <c r="AC706" s="250">
        <v>75.12</v>
      </c>
      <c r="AD706" s="251" t="s">
        <v>2652</v>
      </c>
      <c r="AE706" s="250">
        <v>1.641498275012321</v>
      </c>
      <c r="AF706">
        <f>IF('WetLitterbags placem_collection'!AB47="","",'WetLitterbags placem_collection'!AB47)</f>
        <v>2.2999999999999998</v>
      </c>
      <c r="AG706">
        <f>IF('WetLitterbags placem_collection'!Z47="","",'WetLitterbags placem_collection'!Z47)</f>
        <v>9.3000000000000007</v>
      </c>
      <c r="AH706" s="236" t="str">
        <f>IF('WetLitterbags placem_collection'!AA47="","",'WetLitterbags placem_collection'!AA47)</f>
        <v>O</v>
      </c>
      <c r="AI706">
        <f>IF('WetLitterbags placem_collection'!AC47="","",'WetLitterbags placem_collection'!AC47)</f>
        <v>0</v>
      </c>
      <c r="AJ706">
        <f>IFERROR(AVERAGE('Dry_Litterbag Placem_Collection'!O47,'Dry_Litterbag Placem_Collection'!R47),"")</f>
        <v>4.0999999999999996</v>
      </c>
      <c r="AK706" s="261">
        <f>IFERROR(AVERAGE('Dry_Litterbag Placem_Collection'!N47,'Dry_Litterbag Placem_Collection'!Q47),"")</f>
        <v>27.25</v>
      </c>
      <c r="AL706" s="260">
        <f>INDEX([2]Coordinates!$B$2:$B$197,MATCH(I706,[2]Coordinates!$J$2:$J$197,0))</f>
        <v>-3.4081789759999999</v>
      </c>
      <c r="AM706" s="260">
        <f>INDEX([2]Coordinates!$C$2:$C$197,MATCH(I706,[2]Coordinates!$J$2:$J$197,0))</f>
        <v>34.850516980000002</v>
      </c>
      <c r="AN706" s="260" t="str">
        <f>IF(ISNUMBER(SEARCH("C", 'Dry_Litterbag Placem_Collection'!V47)),"YES","NO")</f>
        <v>NO</v>
      </c>
      <c r="AO706" s="260" t="str">
        <f>IF(ISNUMBER(SEARCH("H", 'Dry_Litterbag Placem_Collection'!V47)),"YES","NO")</f>
        <v>NO</v>
      </c>
      <c r="AP706" s="260" t="str">
        <f>IF(ISNUMBER(SEARCH("R", 'Dry_Litterbag Placem_Collection'!V47)),"YES","NO")</f>
        <v>NO</v>
      </c>
    </row>
    <row r="707" spans="1:42" ht="15" customHeight="1">
      <c r="A707" t="s">
        <v>3248</v>
      </c>
      <c r="B707" s="252" t="s">
        <v>2643</v>
      </c>
      <c r="C707" s="253">
        <f>'Dry_Litterbag Placem_Collection'!A48</f>
        <v>46</v>
      </c>
      <c r="D707" s="253" t="str">
        <f>'Dry_Litterbag Placem_Collection'!B48</f>
        <v>Makao</v>
      </c>
      <c r="E707" s="253" t="s">
        <v>2643</v>
      </c>
      <c r="F707" s="253" t="s">
        <v>20</v>
      </c>
      <c r="G707" s="253">
        <v>2</v>
      </c>
      <c r="H707" s="253" t="s">
        <v>3108</v>
      </c>
      <c r="I707" s="254" t="str">
        <f>'Dry_Litterbag Placem_Collection'!C48</f>
        <v>Dry_P2_T6</v>
      </c>
      <c r="J707" s="263" t="s">
        <v>2932</v>
      </c>
      <c r="K707" s="264" t="s">
        <v>298</v>
      </c>
      <c r="L707" s="253" t="str">
        <f>IF(ISBLANK('Dry_Litterbag Placem_Collection'!M48),"","R"&amp;""&amp;'Dry_Litterbag Placem_Collection'!M48)</f>
        <v/>
      </c>
      <c r="M707" s="257" t="str">
        <f>IFERROR(INDEX('Green_rooibos initial weight'!$C$5:$C$2000,MATCH(L707, 'Green_rooibos initial weight'!$A$5:$A$2000,0)),"")</f>
        <v/>
      </c>
      <c r="N707" s="257" t="str">
        <f>IFERROR(M707-(TBIcalc!$Q$9+TBIcalc!$Q$10),"")</f>
        <v/>
      </c>
      <c r="O707" s="378">
        <f>AVERAGE(Ashed_controlls!$K$12:$K$14)</f>
        <v>2.2816647271287041</v>
      </c>
      <c r="P707" s="257" t="str">
        <f t="shared" ref="P707:P770" si="56">IFERROR(N707-(O707/100)*N707,"")</f>
        <v/>
      </c>
      <c r="Q707" s="257" t="str">
        <f>IFERROR(INDEX('Both teabags AfterDry'!$D$2:$D$2000,MATCH(L707,'Both teabags AfterDry'!$A$2:$A$2000,0)),"")</f>
        <v/>
      </c>
      <c r="R707" s="257" t="str">
        <f>IFERROR(IF(Q707&gt;0,Q707-(TBIcalc!$Q$9),""),"")</f>
        <v/>
      </c>
      <c r="S707" s="268" t="str">
        <f>IFERROR(INDEX('Ashed teabags dry'!$K$2:$K$2000,MATCH(L707,'Ashed teabags dry'!$A$2:$A$2000,0)),"")</f>
        <v/>
      </c>
      <c r="T707" s="268" t="str">
        <f t="shared" ref="T707:T770" si="57">IFERROR(R707-(S707/100)*R707,"")</f>
        <v/>
      </c>
      <c r="U707" s="258" t="str">
        <f>IF('Dry_Litterbag Placem_Collection'!E48="","",'Dry_Litterbag Placem_Collection'!E48)</f>
        <v/>
      </c>
      <c r="V707" s="258" t="str">
        <f>IF('Dry_Litterbag Placem_Collection'!G48="","",'Dry_Litterbag Placem_Collection'!G48)</f>
        <v/>
      </c>
      <c r="W707" s="259" t="str">
        <f t="shared" si="55"/>
        <v/>
      </c>
      <c r="X707" s="257" t="str">
        <f t="shared" ref="X707:X770" si="58">IFERROR(N707-R707,"")</f>
        <v/>
      </c>
      <c r="Y707" s="257" t="str">
        <f t="shared" ref="Y707:Y770" si="59">IFERROR(P707-T707,"")</f>
        <v/>
      </c>
      <c r="Z707" s="261" t="str">
        <f>IFERROR(INDEX([3]Rainfall_Dry!$O$2:$O$217,MATCH(C707, [3]Rainfall_Dry!$A$2:$A$217,0)),"")</f>
        <v/>
      </c>
      <c r="AA707" s="250">
        <v>19.96</v>
      </c>
      <c r="AB707" s="250">
        <v>4.9199999999999982</v>
      </c>
      <c r="AC707" s="250">
        <v>75.12</v>
      </c>
      <c r="AD707" s="251" t="s">
        <v>2652</v>
      </c>
      <c r="AE707" s="250">
        <v>1.641498275012321</v>
      </c>
      <c r="AF707" t="str">
        <f>IF('WetLitterbags placem_collection'!AB48="","",'WetLitterbags placem_collection'!AB48)</f>
        <v/>
      </c>
      <c r="AG707" t="str">
        <f>IF('WetLitterbags placem_collection'!Z48="","",'WetLitterbags placem_collection'!Z48)</f>
        <v/>
      </c>
      <c r="AH707" s="236" t="str">
        <f>IF('WetLitterbags placem_collection'!AA48="","",'WetLitterbags placem_collection'!AA48)</f>
        <v/>
      </c>
      <c r="AI707" t="str">
        <f>IF('WetLitterbags placem_collection'!AC48="","",'WetLitterbags placem_collection'!AC48)</f>
        <v/>
      </c>
      <c r="AJ707" t="str">
        <f>IFERROR(AVERAGE('Dry_Litterbag Placem_Collection'!O48,'Dry_Litterbag Placem_Collection'!R48),"")</f>
        <v/>
      </c>
      <c r="AK707" s="261" t="str">
        <f>IFERROR(AVERAGE('Dry_Litterbag Placem_Collection'!N48,'Dry_Litterbag Placem_Collection'!Q48),"")</f>
        <v/>
      </c>
      <c r="AL707" s="260">
        <f>INDEX([2]Coordinates!$B$2:$B$197,MATCH(I707,[2]Coordinates!$J$2:$J$197,0))</f>
        <v>-3.4084730130000001</v>
      </c>
      <c r="AM707" s="260">
        <f>INDEX([2]Coordinates!$C$2:$C$197,MATCH(I707,[2]Coordinates!$J$2:$J$197,0))</f>
        <v>34.850401980000001</v>
      </c>
      <c r="AN707" s="260" t="str">
        <f>IF(ISNUMBER(SEARCH("C", 'Dry_Litterbag Placem_Collection'!V48)),"YES","NO")</f>
        <v>NO</v>
      </c>
      <c r="AO707" s="260" t="str">
        <f>IF(ISNUMBER(SEARCH("H", 'Dry_Litterbag Placem_Collection'!V48)),"YES","NO")</f>
        <v>NO</v>
      </c>
      <c r="AP707" s="260" t="str">
        <f>IF(ISNUMBER(SEARCH("R", 'Dry_Litterbag Placem_Collection'!V48)),"YES","NO")</f>
        <v>NO</v>
      </c>
    </row>
    <row r="708" spans="1:42" ht="15" customHeight="1">
      <c r="A708" t="s">
        <v>3248</v>
      </c>
      <c r="B708" s="252" t="s">
        <v>2643</v>
      </c>
      <c r="C708" s="253">
        <f>'Dry_Litterbag Placem_Collection'!A49</f>
        <v>47</v>
      </c>
      <c r="D708" s="253" t="str">
        <f>'Dry_Litterbag Placem_Collection'!B49</f>
        <v>Makao</v>
      </c>
      <c r="E708" s="253" t="s">
        <v>2643</v>
      </c>
      <c r="F708" s="253" t="s">
        <v>20</v>
      </c>
      <c r="G708" s="253">
        <v>2</v>
      </c>
      <c r="H708" s="253" t="s">
        <v>3108</v>
      </c>
      <c r="I708" s="254" t="str">
        <f>'Dry_Litterbag Placem_Collection'!C49</f>
        <v>Dry_P2_T7</v>
      </c>
      <c r="J708" s="263" t="s">
        <v>2932</v>
      </c>
      <c r="K708" s="264" t="s">
        <v>298</v>
      </c>
      <c r="L708" s="253" t="str">
        <f>IF(ISBLANK('Dry_Litterbag Placem_Collection'!M49),"","R"&amp;""&amp;'Dry_Litterbag Placem_Collection'!M49)</f>
        <v>R606</v>
      </c>
      <c r="M708" s="257">
        <f>IFERROR(INDEX('Green_rooibos initial weight'!$C$5:$C$2000,MATCH(L708, 'Green_rooibos initial weight'!$A$5:$A$2000,0)),"")</f>
        <v>2.15</v>
      </c>
      <c r="N708" s="257">
        <f>IFERROR(M708-(TBIcalc!$Q$9+TBIcalc!$Q$10),"")</f>
        <v>1.9001999999999999</v>
      </c>
      <c r="O708" s="378">
        <f>AVERAGE(Ashed_controlls!$K$12:$K$14)</f>
        <v>2.2816647271287041</v>
      </c>
      <c r="P708" s="257">
        <f t="shared" si="56"/>
        <v>1.8568438068551003</v>
      </c>
      <c r="Q708" s="257">
        <f>IFERROR(INDEX('Both teabags AfterDry'!$D$2:$D$2000,MATCH(L708,'Both teabags AfterDry'!$A$2:$A$2000,0)),"")</f>
        <v>1.9615</v>
      </c>
      <c r="R708" s="257">
        <f>IFERROR(IF(Q708&gt;0,Q708-(TBIcalc!$Q$9),""),"")</f>
        <v>1.8109</v>
      </c>
      <c r="S708" s="268">
        <f>IFERROR(INDEX('Ashed teabags dry'!$K$2:$K$2000,MATCH(L708,'Ashed teabags dry'!$A$2:$A$2000,0)),"")</f>
        <v>1.9589106545621751</v>
      </c>
      <c r="T708" s="268">
        <f t="shared" si="57"/>
        <v>1.7754260869565335</v>
      </c>
      <c r="U708" s="258">
        <f>IF('Dry_Litterbag Placem_Collection'!E49="","",'Dry_Litterbag Placem_Collection'!E49)</f>
        <v>42938</v>
      </c>
      <c r="V708" s="258">
        <f>IF('Dry_Litterbag Placem_Collection'!G49="","",'Dry_Litterbag Placem_Collection'!G49)</f>
        <v>43005</v>
      </c>
      <c r="W708" s="259">
        <f t="shared" si="55"/>
        <v>67</v>
      </c>
      <c r="X708" s="257">
        <f t="shared" si="58"/>
        <v>8.9299999999999935E-2</v>
      </c>
      <c r="Y708" s="257">
        <f t="shared" si="59"/>
        <v>8.1417719898566832E-2</v>
      </c>
      <c r="Z708" s="261">
        <f>IFERROR(INDEX([3]Rainfall_Dry!$O$2:$O$217,MATCH(C708, [3]Rainfall_Dry!$A$2:$A$217,0)),"")</f>
        <v>6.5250000359999998</v>
      </c>
      <c r="AA708" s="250">
        <v>19.96</v>
      </c>
      <c r="AB708" s="250">
        <v>4.9199999999999982</v>
      </c>
      <c r="AC708" s="250">
        <v>75.12</v>
      </c>
      <c r="AD708" s="251" t="s">
        <v>2652</v>
      </c>
      <c r="AE708" s="250">
        <v>1.641498275012321</v>
      </c>
      <c r="AF708">
        <f>IF('WetLitterbags placem_collection'!AB49="","",'WetLitterbags placem_collection'!AB49)</f>
        <v>5.2</v>
      </c>
      <c r="AG708">
        <f>IF('WetLitterbags placem_collection'!Z49="","",'WetLitterbags placem_collection'!Z49)</f>
        <v>5.2</v>
      </c>
      <c r="AH708" s="236" t="str">
        <f>IF('WetLitterbags placem_collection'!AA49="","",'WetLitterbags placem_collection'!AA49)</f>
        <v>G</v>
      </c>
      <c r="AI708">
        <f>IF('WetLitterbags placem_collection'!AC49="","",'WetLitterbags placem_collection'!AC49)</f>
        <v>0</v>
      </c>
      <c r="AJ708">
        <f>IFERROR(AVERAGE('Dry_Litterbag Placem_Collection'!O49,'Dry_Litterbag Placem_Collection'!R49),"")</f>
        <v>5.35</v>
      </c>
      <c r="AK708" s="261">
        <f>IFERROR(AVERAGE('Dry_Litterbag Placem_Collection'!N49,'Dry_Litterbag Placem_Collection'!Q49),"")</f>
        <v>26.4</v>
      </c>
      <c r="AL708" s="260">
        <f>INDEX([2]Coordinates!$B$2:$B$197,MATCH(I708,[2]Coordinates!$J$2:$J$197,0))</f>
        <v>-3.4084819820000001</v>
      </c>
      <c r="AM708" s="260">
        <f>INDEX([2]Coordinates!$C$2:$C$197,MATCH(I708,[2]Coordinates!$J$2:$J$197,0))</f>
        <v>34.850024040000001</v>
      </c>
      <c r="AN708" s="260" t="str">
        <f>IF(ISNUMBER(SEARCH("C", 'Dry_Litterbag Placem_Collection'!V49)),"YES","NO")</f>
        <v>NO</v>
      </c>
      <c r="AO708" s="260" t="str">
        <f>IF(ISNUMBER(SEARCH("H", 'Dry_Litterbag Placem_Collection'!V49)),"YES","NO")</f>
        <v>NO</v>
      </c>
      <c r="AP708" s="260" t="str">
        <f>IF(ISNUMBER(SEARCH("R", 'Dry_Litterbag Placem_Collection'!V49)),"YES","NO")</f>
        <v>NO</v>
      </c>
    </row>
    <row r="709" spans="1:42" ht="15" customHeight="1">
      <c r="A709" t="s">
        <v>3248</v>
      </c>
      <c r="B709" s="252" t="s">
        <v>2643</v>
      </c>
      <c r="C709" s="253">
        <f>'Dry_Litterbag Placem_Collection'!A50</f>
        <v>48</v>
      </c>
      <c r="D709" s="253" t="str">
        <f>'Dry_Litterbag Placem_Collection'!B50</f>
        <v>Makao</v>
      </c>
      <c r="E709" s="253" t="s">
        <v>2643</v>
      </c>
      <c r="F709" s="253" t="s">
        <v>20</v>
      </c>
      <c r="G709" s="253">
        <v>2</v>
      </c>
      <c r="H709" s="253" t="s">
        <v>3108</v>
      </c>
      <c r="I709" s="254" t="str">
        <f>'Dry_Litterbag Placem_Collection'!C50</f>
        <v>Dry_P2_T8</v>
      </c>
      <c r="J709" s="263" t="s">
        <v>2932</v>
      </c>
      <c r="K709" s="264" t="s">
        <v>298</v>
      </c>
      <c r="L709" s="253" t="str">
        <f>IF(ISBLANK('Dry_Litterbag Placem_Collection'!M50),"","R"&amp;""&amp;'Dry_Litterbag Placem_Collection'!M50)</f>
        <v>R221</v>
      </c>
      <c r="M709" s="257">
        <f>IFERROR(INDEX('Green_rooibos initial weight'!$C$5:$C$2000,MATCH(L709, 'Green_rooibos initial weight'!$A$5:$A$2000,0)),"")</f>
        <v>2.2210000000000001</v>
      </c>
      <c r="N709" s="257">
        <f>IFERROR(M709-(TBIcalc!$Q$9+TBIcalc!$Q$10),"")</f>
        <v>1.9712000000000001</v>
      </c>
      <c r="O709" s="378">
        <f>AVERAGE(Ashed_controlls!$K$12:$K$14)</f>
        <v>2.2816647271287041</v>
      </c>
      <c r="P709" s="257">
        <f t="shared" si="56"/>
        <v>1.926223824898839</v>
      </c>
      <c r="Q709" s="257">
        <f>IFERROR(INDEX('Both teabags AfterDry'!$D$2:$D$2000,MATCH(L709,'Both teabags AfterDry'!$A$2:$A$2000,0)),"")</f>
        <v>1.8791</v>
      </c>
      <c r="R709" s="257">
        <f>IFERROR(IF(Q709&gt;0,Q709-(TBIcalc!$Q$9),""),"")</f>
        <v>1.7284999999999999</v>
      </c>
      <c r="S709" s="268">
        <f>IFERROR(INDEX('Ashed teabags dry'!$K$2:$K$2000,MATCH(L709,'Ashed teabags dry'!$A$2:$A$2000,0)),"")</f>
        <v>2.6198934280645174</v>
      </c>
      <c r="T709" s="268">
        <f t="shared" si="57"/>
        <v>1.6832151420959047</v>
      </c>
      <c r="U709" s="258">
        <f>IF('Dry_Litterbag Placem_Collection'!E50="","",'Dry_Litterbag Placem_Collection'!E50)</f>
        <v>42938</v>
      </c>
      <c r="V709" s="258">
        <f>IF('Dry_Litterbag Placem_Collection'!G50="","",'Dry_Litterbag Placem_Collection'!G50)</f>
        <v>43005</v>
      </c>
      <c r="W709" s="259">
        <f t="shared" si="55"/>
        <v>67</v>
      </c>
      <c r="X709" s="257">
        <f t="shared" si="58"/>
        <v>0.24270000000000014</v>
      </c>
      <c r="Y709" s="257">
        <f t="shared" si="59"/>
        <v>0.24300868280293431</v>
      </c>
      <c r="Z709" s="261">
        <f>IFERROR(INDEX([3]Rainfall_Dry!$O$2:$O$217,MATCH(C709, [3]Rainfall_Dry!$A$2:$A$217,0)),"")</f>
        <v>6.5250000359999998</v>
      </c>
      <c r="AA709" s="250">
        <v>19.96</v>
      </c>
      <c r="AB709" s="250">
        <v>4.9199999999999982</v>
      </c>
      <c r="AC709" s="250">
        <v>75.12</v>
      </c>
      <c r="AD709" s="251" t="s">
        <v>2652</v>
      </c>
      <c r="AE709" s="250">
        <v>1.641498275012321</v>
      </c>
      <c r="AF709">
        <f>IF('WetLitterbags placem_collection'!AB50="","",'WetLitterbags placem_collection'!AB50)</f>
        <v>7.3</v>
      </c>
      <c r="AG709">
        <f>IF('WetLitterbags placem_collection'!Z50="","",'WetLitterbags placem_collection'!Z50)</f>
        <v>27.2</v>
      </c>
      <c r="AH709" s="236" t="str">
        <f>IF('WetLitterbags placem_collection'!AA50="","",'WetLitterbags placem_collection'!AA50)</f>
        <v>M</v>
      </c>
      <c r="AI709">
        <f>IF('WetLitterbags placem_collection'!AC50="","",'WetLitterbags placem_collection'!AC50)</f>
        <v>0</v>
      </c>
      <c r="AJ709">
        <f>IFERROR(AVERAGE('Dry_Litterbag Placem_Collection'!O50,'Dry_Litterbag Placem_Collection'!R50),"")</f>
        <v>3.95</v>
      </c>
      <c r="AK709" s="261">
        <f>IFERROR(AVERAGE('Dry_Litterbag Placem_Collection'!N50,'Dry_Litterbag Placem_Collection'!Q50),"")</f>
        <v>25.950000000000003</v>
      </c>
      <c r="AL709" s="260">
        <f>INDEX([2]Coordinates!$B$2:$B$197,MATCH(I709,[2]Coordinates!$J$2:$J$197,0))</f>
        <v>-3.4081990090000001</v>
      </c>
      <c r="AM709" s="260">
        <f>INDEX([2]Coordinates!$C$2:$C$197,MATCH(I709,[2]Coordinates!$J$2:$J$197,0))</f>
        <v>34.850254960000001</v>
      </c>
      <c r="AN709" s="260" t="str">
        <f>IF(ISNUMBER(SEARCH("C", 'Dry_Litterbag Placem_Collection'!V50)),"YES","NO")</f>
        <v>NO</v>
      </c>
      <c r="AO709" s="260" t="str">
        <f>IF(ISNUMBER(SEARCH("H", 'Dry_Litterbag Placem_Collection'!V50)),"YES","NO")</f>
        <v>NO</v>
      </c>
      <c r="AP709" s="260" t="str">
        <f>IF(ISNUMBER(SEARCH("R", 'Dry_Litterbag Placem_Collection'!V50)),"YES","NO")</f>
        <v>NO</v>
      </c>
    </row>
    <row r="710" spans="1:42" ht="15" customHeight="1">
      <c r="A710" t="s">
        <v>3248</v>
      </c>
      <c r="B710" s="252" t="s">
        <v>2643</v>
      </c>
      <c r="C710" s="253">
        <f>'Dry_Litterbag Placem_Collection'!A51</f>
        <v>49</v>
      </c>
      <c r="D710" s="253" t="str">
        <f>'Dry_Litterbag Placem_Collection'!B51</f>
        <v>Makao</v>
      </c>
      <c r="E710" s="253" t="s">
        <v>2643</v>
      </c>
      <c r="F710" s="253" t="s">
        <v>20</v>
      </c>
      <c r="G710" s="253">
        <v>3</v>
      </c>
      <c r="H710" s="253" t="s">
        <v>3109</v>
      </c>
      <c r="I710" s="254" t="str">
        <f>'Dry_Litterbag Placem_Collection'!C51</f>
        <v>Dry_P3_T1</v>
      </c>
      <c r="J710" s="263" t="s">
        <v>2932</v>
      </c>
      <c r="K710" s="264" t="s">
        <v>298</v>
      </c>
      <c r="L710" s="253" t="str">
        <f>IF(ISBLANK('Dry_Litterbag Placem_Collection'!M51),"","R"&amp;""&amp;'Dry_Litterbag Placem_Collection'!M51)</f>
        <v>R308</v>
      </c>
      <c r="M710" s="257">
        <f>IFERROR(INDEX('Green_rooibos initial weight'!$C$5:$C$2000,MATCH(L710, 'Green_rooibos initial weight'!$A$5:$A$2000,0)),"")</f>
        <v>2.173</v>
      </c>
      <c r="N710" s="257">
        <f>IFERROR(M710-(TBIcalc!$Q$9+TBIcalc!$Q$10),"")</f>
        <v>1.9232</v>
      </c>
      <c r="O710" s="378">
        <f>AVERAGE(Ashed_controlls!$K$12:$K$14)</f>
        <v>2.2816647271287041</v>
      </c>
      <c r="P710" s="257">
        <f t="shared" si="56"/>
        <v>1.8793190239678608</v>
      </c>
      <c r="Q710" s="257" t="str">
        <f>IFERROR(INDEX('Both teabags AfterDry'!$D$2:$D$2000,MATCH(L710,'Both teabags AfterDry'!$A$2:$A$2000,0)),"")</f>
        <v/>
      </c>
      <c r="R710" s="257" t="str">
        <f>IFERROR(IF(Q710&gt;0,Q710-(TBIcalc!$Q$9),""),"")</f>
        <v/>
      </c>
      <c r="S710" s="268" t="str">
        <f>IFERROR(INDEX('Ashed teabags dry'!$K$2:$K$2000,MATCH(L710,'Ashed teabags dry'!$A$2:$A$2000,0)),"")</f>
        <v/>
      </c>
      <c r="T710" s="268" t="str">
        <f t="shared" si="57"/>
        <v/>
      </c>
      <c r="U710" s="258">
        <f>IF('Dry_Litterbag Placem_Collection'!E51="","",'Dry_Litterbag Placem_Collection'!E51)</f>
        <v>42938</v>
      </c>
      <c r="V710" s="258">
        <f>IF('Dry_Litterbag Placem_Collection'!G51="","",'Dry_Litterbag Placem_Collection'!G51)</f>
        <v>43005</v>
      </c>
      <c r="W710" s="259">
        <f t="shared" si="55"/>
        <v>67</v>
      </c>
      <c r="X710" s="257" t="str">
        <f t="shared" si="58"/>
        <v/>
      </c>
      <c r="Y710" s="257" t="str">
        <f t="shared" si="59"/>
        <v/>
      </c>
      <c r="Z710" s="261">
        <f>IFERROR(INDEX([3]Rainfall_Dry!$O$2:$O$217,MATCH(C710, [3]Rainfall_Dry!$A$2:$A$217,0)),"")</f>
        <v>6.5250000359999998</v>
      </c>
      <c r="AA710" s="250">
        <v>21.96</v>
      </c>
      <c r="AB710" s="250">
        <v>8.9199999999999982</v>
      </c>
      <c r="AC710" s="250">
        <v>69.12</v>
      </c>
      <c r="AD710" s="251" t="s">
        <v>2651</v>
      </c>
      <c r="AE710" s="250">
        <v>1.7491375061606702</v>
      </c>
      <c r="AF710">
        <f>IF('WetLitterbags placem_collection'!AB51="","",'WetLitterbags placem_collection'!AB51)</f>
        <v>10.4</v>
      </c>
      <c r="AG710">
        <f>IF('WetLitterbags placem_collection'!Z51="","",'WetLitterbags placem_collection'!Z51)</f>
        <v>36</v>
      </c>
      <c r="AH710" s="236" t="str">
        <f>IF('WetLitterbags placem_collection'!AA51="","",'WetLitterbags placem_collection'!AA51)</f>
        <v>M</v>
      </c>
      <c r="AI710">
        <f>IF('WetLitterbags placem_collection'!AC51="","",'WetLitterbags placem_collection'!AC51)</f>
        <v>1</v>
      </c>
      <c r="AJ710">
        <f>IFERROR(AVERAGE('Dry_Litterbag Placem_Collection'!O51,'Dry_Litterbag Placem_Collection'!R51),"")</f>
        <v>7.05</v>
      </c>
      <c r="AK710" s="261">
        <f>IFERROR(AVERAGE('Dry_Litterbag Placem_Collection'!N51,'Dry_Litterbag Placem_Collection'!Q51),"")</f>
        <v>31.5</v>
      </c>
      <c r="AL710" s="260">
        <f>INDEX([2]Coordinates!$B$2:$B$197,MATCH(I710,[2]Coordinates!$J$2:$J$197,0))</f>
        <v>-3.406225992</v>
      </c>
      <c r="AM710" s="260">
        <f>INDEX([2]Coordinates!$C$2:$C$197,MATCH(I710,[2]Coordinates!$J$2:$J$197,0))</f>
        <v>34.85055998</v>
      </c>
      <c r="AN710" s="260" t="str">
        <f>IF(ISNUMBER(SEARCH("C", 'Dry_Litterbag Placem_Collection'!V51)),"YES","NO")</f>
        <v>NO</v>
      </c>
      <c r="AO710" s="260" t="str">
        <f>IF(ISNUMBER(SEARCH("H", 'Dry_Litterbag Placem_Collection'!V51)),"YES","NO")</f>
        <v>NO</v>
      </c>
      <c r="AP710" s="260" t="str">
        <f>IF(ISNUMBER(SEARCH("R", 'Dry_Litterbag Placem_Collection'!V51)),"YES","NO")</f>
        <v>NO</v>
      </c>
    </row>
    <row r="711" spans="1:42" ht="15" customHeight="1">
      <c r="A711" t="s">
        <v>3248</v>
      </c>
      <c r="B711" s="252" t="s">
        <v>2643</v>
      </c>
      <c r="C711" s="253">
        <f>'Dry_Litterbag Placem_Collection'!A52</f>
        <v>50</v>
      </c>
      <c r="D711" s="253" t="str">
        <f>'Dry_Litterbag Placem_Collection'!B52</f>
        <v>Makao</v>
      </c>
      <c r="E711" s="253" t="s">
        <v>2643</v>
      </c>
      <c r="F711" s="253" t="s">
        <v>20</v>
      </c>
      <c r="G711" s="253">
        <v>3</v>
      </c>
      <c r="H711" s="253" t="s">
        <v>3109</v>
      </c>
      <c r="I711" s="254" t="str">
        <f>'Dry_Litterbag Placem_Collection'!C52</f>
        <v>Dry_P3_T2</v>
      </c>
      <c r="J711" s="263" t="s">
        <v>2932</v>
      </c>
      <c r="K711" s="264" t="s">
        <v>298</v>
      </c>
      <c r="L711" s="253" t="str">
        <f>IF(ISBLANK('Dry_Litterbag Placem_Collection'!M52),"","R"&amp;""&amp;'Dry_Litterbag Placem_Collection'!M52)</f>
        <v>R644</v>
      </c>
      <c r="M711" s="257">
        <f>IFERROR(INDEX('Green_rooibos initial weight'!$C$5:$C$2000,MATCH(L711, 'Green_rooibos initial weight'!$A$5:$A$2000,0)),"")</f>
        <v>2.2240000000000002</v>
      </c>
      <c r="N711" s="257">
        <f>IFERROR(M711-(TBIcalc!$Q$9+TBIcalc!$Q$10),"")</f>
        <v>1.9742000000000002</v>
      </c>
      <c r="O711" s="378">
        <f>AVERAGE(Ashed_controlls!$K$12:$K$14)</f>
        <v>2.2816647271287041</v>
      </c>
      <c r="P711" s="257">
        <f t="shared" si="56"/>
        <v>1.9291553749570254</v>
      </c>
      <c r="Q711" s="257" t="str">
        <f>IFERROR(INDEX('Both teabags AfterDry'!$D$2:$D$2000,MATCH(L711,'Both teabags AfterDry'!$A$2:$A$2000,0)),"")</f>
        <v/>
      </c>
      <c r="R711" s="257" t="str">
        <f>IFERROR(IF(Q711&gt;0,Q711-(TBIcalc!$Q$9),""),"")</f>
        <v/>
      </c>
      <c r="S711" s="268" t="str">
        <f>IFERROR(INDEX('Ashed teabags dry'!$K$2:$K$2000,MATCH(L711,'Ashed teabags dry'!$A$2:$A$2000,0)),"")</f>
        <v/>
      </c>
      <c r="T711" s="268" t="str">
        <f t="shared" si="57"/>
        <v/>
      </c>
      <c r="U711" s="258">
        <f>IF('Dry_Litterbag Placem_Collection'!E52="","",'Dry_Litterbag Placem_Collection'!E52)</f>
        <v>42938</v>
      </c>
      <c r="V711" s="258" t="str">
        <f>IF('Dry_Litterbag Placem_Collection'!G52="","",'Dry_Litterbag Placem_Collection'!G52)</f>
        <v/>
      </c>
      <c r="W711" s="259" t="str">
        <f t="shared" si="55"/>
        <v/>
      </c>
      <c r="X711" s="257" t="str">
        <f t="shared" si="58"/>
        <v/>
      </c>
      <c r="Y711" s="257" t="str">
        <f t="shared" si="59"/>
        <v/>
      </c>
      <c r="Z711" s="261" t="str">
        <f>IFERROR(INDEX([3]Rainfall_Dry!$O$2:$O$217,MATCH(C711, [3]Rainfall_Dry!$A$2:$A$217,0)),"")</f>
        <v/>
      </c>
      <c r="AA711" s="250">
        <v>21.96</v>
      </c>
      <c r="AB711" s="250">
        <v>8.9199999999999982</v>
      </c>
      <c r="AC711" s="250">
        <v>69.12</v>
      </c>
      <c r="AD711" s="251" t="s">
        <v>2651</v>
      </c>
      <c r="AE711" s="250">
        <v>1.7491375061606702</v>
      </c>
      <c r="AF711">
        <f>IF('WetLitterbags placem_collection'!AB52="","",'WetLitterbags placem_collection'!AB52)</f>
        <v>10</v>
      </c>
      <c r="AG711">
        <f>IF('WetLitterbags placem_collection'!Z52="","",'WetLitterbags placem_collection'!Z52)</f>
        <v>22.5</v>
      </c>
      <c r="AH711" s="236" t="str">
        <f>IF('WetLitterbags placem_collection'!AA52="","",'WetLitterbags placem_collection'!AA52)</f>
        <v>M</v>
      </c>
      <c r="AI711">
        <f>IF('WetLitterbags placem_collection'!AC52="","",'WetLitterbags placem_collection'!AC52)</f>
        <v>1</v>
      </c>
      <c r="AJ711">
        <f>IFERROR(AVERAGE('Dry_Litterbag Placem_Collection'!O52,'Dry_Litterbag Placem_Collection'!R52),"")</f>
        <v>6.4</v>
      </c>
      <c r="AK711" s="261">
        <f>IFERROR(AVERAGE('Dry_Litterbag Placem_Collection'!N52,'Dry_Litterbag Placem_Collection'!Q52),"")</f>
        <v>27.6</v>
      </c>
      <c r="AL711" s="260">
        <f>INDEX([2]Coordinates!$B$2:$B$197,MATCH(I711,[2]Coordinates!$J$2:$J$197,0))</f>
        <v>-3.4062630399999998</v>
      </c>
      <c r="AM711" s="260">
        <f>INDEX([2]Coordinates!$C$2:$C$197,MATCH(I711,[2]Coordinates!$J$2:$J$197,0))</f>
        <v>34.850566010000001</v>
      </c>
      <c r="AN711" s="260" t="str">
        <f>IF(ISNUMBER(SEARCH("C", 'Dry_Litterbag Placem_Collection'!V52)),"YES","NO")</f>
        <v>NO</v>
      </c>
      <c r="AO711" s="260" t="str">
        <f>IF(ISNUMBER(SEARCH("H", 'Dry_Litterbag Placem_Collection'!V52)),"YES","NO")</f>
        <v>NO</v>
      </c>
      <c r="AP711" s="260" t="str">
        <f>IF(ISNUMBER(SEARCH("R", 'Dry_Litterbag Placem_Collection'!V52)),"YES","NO")</f>
        <v>NO</v>
      </c>
    </row>
    <row r="712" spans="1:42" ht="15" customHeight="1">
      <c r="A712" t="s">
        <v>3248</v>
      </c>
      <c r="B712" s="252" t="s">
        <v>2643</v>
      </c>
      <c r="C712" s="253">
        <f>'Dry_Litterbag Placem_Collection'!A53</f>
        <v>51</v>
      </c>
      <c r="D712" s="253" t="str">
        <f>'Dry_Litterbag Placem_Collection'!B53</f>
        <v>Makao</v>
      </c>
      <c r="E712" s="253" t="s">
        <v>2643</v>
      </c>
      <c r="F712" s="253" t="s">
        <v>20</v>
      </c>
      <c r="G712" s="253">
        <v>3</v>
      </c>
      <c r="H712" s="253" t="s">
        <v>3109</v>
      </c>
      <c r="I712" s="254" t="str">
        <f>'Dry_Litterbag Placem_Collection'!C53</f>
        <v>Dry_P3_T3</v>
      </c>
      <c r="J712" s="263" t="s">
        <v>2932</v>
      </c>
      <c r="K712" s="264" t="s">
        <v>298</v>
      </c>
      <c r="L712" s="253" t="str">
        <f>IF(ISBLANK('Dry_Litterbag Placem_Collection'!M53),"","R"&amp;""&amp;'Dry_Litterbag Placem_Collection'!M53)</f>
        <v>R242</v>
      </c>
      <c r="M712" s="257">
        <f>IFERROR(INDEX('Green_rooibos initial weight'!$C$5:$C$2000,MATCH(L712, 'Green_rooibos initial weight'!$A$5:$A$2000,0)),"")</f>
        <v>2.194</v>
      </c>
      <c r="N712" s="257">
        <f>IFERROR(M712-(TBIcalc!$Q$9+TBIcalc!$Q$10),"")</f>
        <v>1.9441999999999999</v>
      </c>
      <c r="O712" s="378">
        <f>AVERAGE(Ashed_controlls!$K$12:$K$14)</f>
        <v>2.2816647271287041</v>
      </c>
      <c r="P712" s="257">
        <f t="shared" si="56"/>
        <v>1.8998398743751637</v>
      </c>
      <c r="Q712" s="257">
        <f>IFERROR(INDEX('Both teabags AfterDry'!$D$2:$D$2000,MATCH(L712,'Both teabags AfterDry'!$A$2:$A$2000,0)),"")</f>
        <v>1.9262999999999999</v>
      </c>
      <c r="R712" s="257">
        <f>IFERROR(IF(Q712&gt;0,Q712-(TBIcalc!$Q$9),""),"")</f>
        <v>1.7756999999999998</v>
      </c>
      <c r="S712" s="268">
        <f>IFERROR(INDEX('Ashed teabags dry'!$K$2:$K$2000,MATCH(L712,'Ashed teabags dry'!$A$2:$A$2000,0)),"")</f>
        <v>3.7440758293834344</v>
      </c>
      <c r="T712" s="268">
        <f t="shared" si="57"/>
        <v>1.7092164454976382</v>
      </c>
      <c r="U712" s="258">
        <f>IF('Dry_Litterbag Placem_Collection'!E53="","",'Dry_Litterbag Placem_Collection'!E53)</f>
        <v>42938</v>
      </c>
      <c r="V712" s="258">
        <f>IF('Dry_Litterbag Placem_Collection'!G53="","",'Dry_Litterbag Placem_Collection'!G53)</f>
        <v>43005</v>
      </c>
      <c r="W712" s="259">
        <f t="shared" si="55"/>
        <v>67</v>
      </c>
      <c r="X712" s="257">
        <f t="shared" si="58"/>
        <v>0.16850000000000009</v>
      </c>
      <c r="Y712" s="257">
        <f t="shared" si="59"/>
        <v>0.19062342887752548</v>
      </c>
      <c r="Z712" s="261">
        <f>IFERROR(INDEX([3]Rainfall_Dry!$O$2:$O$217,MATCH(C712, [3]Rainfall_Dry!$A$2:$A$217,0)),"")</f>
        <v>6.5250000359999998</v>
      </c>
      <c r="AA712" s="250">
        <v>21.96</v>
      </c>
      <c r="AB712" s="250">
        <v>8.9199999999999982</v>
      </c>
      <c r="AC712" s="250">
        <v>69.12</v>
      </c>
      <c r="AD712" s="251" t="s">
        <v>2651</v>
      </c>
      <c r="AE712" s="250">
        <v>1.7491375061606702</v>
      </c>
      <c r="AF712">
        <f>IF('WetLitterbags placem_collection'!AB53="","",'WetLitterbags placem_collection'!AB53)</f>
        <v>3</v>
      </c>
      <c r="AG712">
        <f>IF('WetLitterbags placem_collection'!Z53="","",'WetLitterbags placem_collection'!Z53)</f>
        <v>18</v>
      </c>
      <c r="AH712" s="236" t="str">
        <f>IF('WetLitterbags placem_collection'!AA53="","",'WetLitterbags placem_collection'!AA53)</f>
        <v>O</v>
      </c>
      <c r="AI712">
        <f>IF('WetLitterbags placem_collection'!AC53="","",'WetLitterbags placem_collection'!AC53)</f>
        <v>0</v>
      </c>
      <c r="AJ712">
        <f>IFERROR(AVERAGE('Dry_Litterbag Placem_Collection'!O53,'Dry_Litterbag Placem_Collection'!R53),"")</f>
        <v>2.4500000000000002</v>
      </c>
      <c r="AK712" s="261">
        <f>IFERROR(AVERAGE('Dry_Litterbag Placem_Collection'!N53,'Dry_Litterbag Placem_Collection'!Q53),"")</f>
        <v>34.450000000000003</v>
      </c>
      <c r="AL712" s="260">
        <f>INDEX([2]Coordinates!$B$2:$B$197,MATCH(I712,[2]Coordinates!$J$2:$J$197,0))</f>
        <v>-3.4063920379999999</v>
      </c>
      <c r="AM712" s="260">
        <f>INDEX([2]Coordinates!$C$2:$C$197,MATCH(I712,[2]Coordinates!$J$2:$J$197,0))</f>
        <v>34.850696020000001</v>
      </c>
      <c r="AN712" s="260" t="str">
        <f>IF(ISNUMBER(SEARCH("C", 'Dry_Litterbag Placem_Collection'!V53)),"YES","NO")</f>
        <v>NO</v>
      </c>
      <c r="AO712" s="260" t="str">
        <f>IF(ISNUMBER(SEARCH("H", 'Dry_Litterbag Placem_Collection'!V53)),"YES","NO")</f>
        <v>NO</v>
      </c>
      <c r="AP712" s="260" t="str">
        <f>IF(ISNUMBER(SEARCH("R", 'Dry_Litterbag Placem_Collection'!V53)),"YES","NO")</f>
        <v>NO</v>
      </c>
    </row>
    <row r="713" spans="1:42" ht="15" customHeight="1">
      <c r="A713" t="s">
        <v>3248</v>
      </c>
      <c r="B713" s="252" t="s">
        <v>2643</v>
      </c>
      <c r="C713" s="253">
        <f>'Dry_Litterbag Placem_Collection'!A54</f>
        <v>52</v>
      </c>
      <c r="D713" s="253" t="str">
        <f>'Dry_Litterbag Placem_Collection'!B54</f>
        <v>Makao</v>
      </c>
      <c r="E713" s="253" t="s">
        <v>2643</v>
      </c>
      <c r="F713" s="253" t="s">
        <v>20</v>
      </c>
      <c r="G713" s="253">
        <v>3</v>
      </c>
      <c r="H713" s="253" t="s">
        <v>3109</v>
      </c>
      <c r="I713" s="254" t="str">
        <f>'Dry_Litterbag Placem_Collection'!C54</f>
        <v>Dry_P3_T4</v>
      </c>
      <c r="J713" s="263" t="s">
        <v>2932</v>
      </c>
      <c r="K713" s="264" t="s">
        <v>298</v>
      </c>
      <c r="L713" s="253" t="str">
        <f>IF(ISBLANK('Dry_Litterbag Placem_Collection'!M54),"","R"&amp;""&amp;'Dry_Litterbag Placem_Collection'!M54)</f>
        <v>R618</v>
      </c>
      <c r="M713" s="257">
        <f>IFERROR(INDEX('Green_rooibos initial weight'!$C$5:$C$2000,MATCH(L713, 'Green_rooibos initial weight'!$A$5:$A$2000,0)),"")</f>
        <v>2.1240000000000001</v>
      </c>
      <c r="N713" s="257">
        <f>IFERROR(M713-(TBIcalc!$Q$9+TBIcalc!$Q$10),"")</f>
        <v>1.8742000000000001</v>
      </c>
      <c r="O713" s="378">
        <f>AVERAGE(Ashed_controlls!$K$12:$K$14)</f>
        <v>2.2816647271287041</v>
      </c>
      <c r="P713" s="257">
        <f t="shared" si="56"/>
        <v>1.8314370396841539</v>
      </c>
      <c r="Q713" s="257">
        <f>IFERROR(INDEX('Both teabags AfterDry'!$D$2:$D$2000,MATCH(L713,'Both teabags AfterDry'!$A$2:$A$2000,0)),"")</f>
        <v>1.9595</v>
      </c>
      <c r="R713" s="257">
        <f>IFERROR(IF(Q713&gt;0,Q713-(TBIcalc!$Q$9),""),"")</f>
        <v>1.8089</v>
      </c>
      <c r="S713" s="268">
        <f>IFERROR(INDEX('Ashed teabags dry'!$K$2:$K$2000,MATCH(L713,'Ashed teabags dry'!$A$2:$A$2000,0)),"")</f>
        <v>5.4091539528428063</v>
      </c>
      <c r="T713" s="268">
        <f t="shared" si="57"/>
        <v>1.7110538141470264</v>
      </c>
      <c r="U713" s="258">
        <f>IF('Dry_Litterbag Placem_Collection'!E54="","",'Dry_Litterbag Placem_Collection'!E54)</f>
        <v>42938</v>
      </c>
      <c r="V713" s="258">
        <f>IF('Dry_Litterbag Placem_Collection'!G54="","",'Dry_Litterbag Placem_Collection'!G54)</f>
        <v>43005</v>
      </c>
      <c r="W713" s="259">
        <f t="shared" si="55"/>
        <v>67</v>
      </c>
      <c r="X713" s="257">
        <f t="shared" si="58"/>
        <v>6.5300000000000136E-2</v>
      </c>
      <c r="Y713" s="257">
        <f t="shared" si="59"/>
        <v>0.12038322553712755</v>
      </c>
      <c r="Z713" s="261">
        <f>IFERROR(INDEX([3]Rainfall_Dry!$O$2:$O$217,MATCH(C713, [3]Rainfall_Dry!$A$2:$A$217,0)),"")</f>
        <v>6.5250000359999998</v>
      </c>
      <c r="AA713" s="250">
        <v>21.96</v>
      </c>
      <c r="AB713" s="250">
        <v>8.9199999999999982</v>
      </c>
      <c r="AC713" s="250">
        <v>69.12</v>
      </c>
      <c r="AD713" s="251" t="s">
        <v>2651</v>
      </c>
      <c r="AE713" s="250">
        <v>1.7491375061606702</v>
      </c>
      <c r="AF713">
        <f>IF('WetLitterbags placem_collection'!AB54="","",'WetLitterbags placem_collection'!AB54)</f>
        <v>13.4</v>
      </c>
      <c r="AG713">
        <f>IF('WetLitterbags placem_collection'!Z54="","",'WetLitterbags placem_collection'!Z54)</f>
        <v>67</v>
      </c>
      <c r="AH713" s="236" t="str">
        <f>IF('WetLitterbags placem_collection'!AA54="","",'WetLitterbags placem_collection'!AA54)</f>
        <v>M</v>
      </c>
      <c r="AI713">
        <f>IF('WetLitterbags placem_collection'!AC54="","",'WetLitterbags placem_collection'!AC54)</f>
        <v>1</v>
      </c>
      <c r="AJ713">
        <f>IFERROR(AVERAGE('Dry_Litterbag Placem_Collection'!O54,'Dry_Litterbag Placem_Collection'!R54),"")</f>
        <v>5.75</v>
      </c>
      <c r="AK713" s="261">
        <f>IFERROR(AVERAGE('Dry_Litterbag Placem_Collection'!N54,'Dry_Litterbag Placem_Collection'!Q54),"")</f>
        <v>30.75</v>
      </c>
      <c r="AL713" s="260">
        <f>INDEX([2]Coordinates!$B$2:$B$197,MATCH(I713,[2]Coordinates!$J$2:$J$197,0))</f>
        <v>-3.4061569999999999</v>
      </c>
      <c r="AM713" s="260">
        <f>INDEX([2]Coordinates!$C$2:$C$197,MATCH(I713,[2]Coordinates!$J$2:$J$197,0))</f>
        <v>34.850738999999997</v>
      </c>
      <c r="AN713" s="260" t="str">
        <f>IF(ISNUMBER(SEARCH("C", 'Dry_Litterbag Placem_Collection'!V54)),"YES","NO")</f>
        <v>NO</v>
      </c>
      <c r="AO713" s="260" t="str">
        <f>IF(ISNUMBER(SEARCH("H", 'Dry_Litterbag Placem_Collection'!V54)),"YES","NO")</f>
        <v>NO</v>
      </c>
      <c r="AP713" s="260" t="str">
        <f>IF(ISNUMBER(SEARCH("R", 'Dry_Litterbag Placem_Collection'!V54)),"YES","NO")</f>
        <v>NO</v>
      </c>
    </row>
    <row r="714" spans="1:42" ht="15" customHeight="1">
      <c r="A714" t="s">
        <v>3248</v>
      </c>
      <c r="B714" s="252" t="s">
        <v>2643</v>
      </c>
      <c r="C714" s="253">
        <f>'Dry_Litterbag Placem_Collection'!A55</f>
        <v>53</v>
      </c>
      <c r="D714" s="253" t="str">
        <f>'Dry_Litterbag Placem_Collection'!B55</f>
        <v>Makao</v>
      </c>
      <c r="E714" s="253" t="s">
        <v>2643</v>
      </c>
      <c r="F714" s="253" t="s">
        <v>20</v>
      </c>
      <c r="G714" s="253">
        <v>3</v>
      </c>
      <c r="H714" s="253" t="s">
        <v>3109</v>
      </c>
      <c r="I714" s="254" t="str">
        <f>'Dry_Litterbag Placem_Collection'!C55</f>
        <v>Dry_P3_T5</v>
      </c>
      <c r="J714" s="263" t="s">
        <v>2932</v>
      </c>
      <c r="K714" s="264" t="s">
        <v>298</v>
      </c>
      <c r="L714" s="253" t="str">
        <f>IF(ISBLANK('Dry_Litterbag Placem_Collection'!M55),"","R"&amp;""&amp;'Dry_Litterbag Placem_Collection'!M55)</f>
        <v>R140</v>
      </c>
      <c r="M714" s="257">
        <f>IFERROR(INDEX('Green_rooibos initial weight'!$C$5:$C$2000,MATCH(L714, 'Green_rooibos initial weight'!$A$5:$A$2000,0)),"")</f>
        <v>2.1930000000000001</v>
      </c>
      <c r="N714" s="257">
        <f>IFERROR(M714-(TBIcalc!$Q$9+TBIcalc!$Q$10),"")</f>
        <v>1.9432</v>
      </c>
      <c r="O714" s="378">
        <f>AVERAGE(Ashed_controlls!$K$12:$K$14)</f>
        <v>2.2816647271287041</v>
      </c>
      <c r="P714" s="257">
        <f t="shared" si="56"/>
        <v>1.8988626910224351</v>
      </c>
      <c r="Q714" s="257">
        <f>IFERROR(INDEX('Both teabags AfterDry'!$D$2:$D$2000,MATCH(L714,'Both teabags AfterDry'!$A$2:$A$2000,0)),"")</f>
        <v>1.9561999999999999</v>
      </c>
      <c r="R714" s="257">
        <f>IFERROR(IF(Q714&gt;0,Q714-(TBIcalc!$Q$9),""),"")</f>
        <v>1.8055999999999999</v>
      </c>
      <c r="S714" s="268">
        <f>IFERROR(INDEX('Ashed teabags dry'!$K$2:$K$2000,MATCH(L714,'Ashed teabags dry'!$A$2:$A$2000,0)),"")</f>
        <v>3.1146767343080963</v>
      </c>
      <c r="T714" s="268">
        <f t="shared" si="57"/>
        <v>1.749361396885333</v>
      </c>
      <c r="U714" s="258">
        <f>IF('Dry_Litterbag Placem_Collection'!E55="","",'Dry_Litterbag Placem_Collection'!E55)</f>
        <v>42938</v>
      </c>
      <c r="V714" s="258">
        <f>IF('Dry_Litterbag Placem_Collection'!G55="","",'Dry_Litterbag Placem_Collection'!G55)</f>
        <v>43005</v>
      </c>
      <c r="W714" s="259">
        <f t="shared" si="55"/>
        <v>67</v>
      </c>
      <c r="X714" s="257">
        <f t="shared" si="58"/>
        <v>0.13760000000000017</v>
      </c>
      <c r="Y714" s="257">
        <f t="shared" si="59"/>
        <v>0.14950129413710211</v>
      </c>
      <c r="Z714" s="261">
        <f>IFERROR(INDEX([3]Rainfall_Dry!$O$2:$O$217,MATCH(C714, [3]Rainfall_Dry!$A$2:$A$217,0)),"")</f>
        <v>6.5250000359999998</v>
      </c>
      <c r="AA714" s="250">
        <v>21.96</v>
      </c>
      <c r="AB714" s="250">
        <v>8.9199999999999982</v>
      </c>
      <c r="AC714" s="250">
        <v>69.12</v>
      </c>
      <c r="AD714" s="251" t="s">
        <v>2651</v>
      </c>
      <c r="AE714" s="250">
        <v>1.7491375061606702</v>
      </c>
      <c r="AF714" t="str">
        <f>IF('WetLitterbags placem_collection'!AB55="","",'WetLitterbags placem_collection'!AB55)</f>
        <v/>
      </c>
      <c r="AG714" t="str">
        <f>IF('WetLitterbags placem_collection'!Z55="","",'WetLitterbags placem_collection'!Z55)</f>
        <v/>
      </c>
      <c r="AH714" s="236" t="str">
        <f>IF('WetLitterbags placem_collection'!AA55="","",'WetLitterbags placem_collection'!AA55)</f>
        <v/>
      </c>
      <c r="AI714" t="str">
        <f>IF('WetLitterbags placem_collection'!AC55="","",'WetLitterbags placem_collection'!AC55)</f>
        <v/>
      </c>
      <c r="AJ714">
        <f>IFERROR(AVERAGE('Dry_Litterbag Placem_Collection'!O55,'Dry_Litterbag Placem_Collection'!R55),"")</f>
        <v>6.5</v>
      </c>
      <c r="AK714" s="261">
        <f>IFERROR(AVERAGE('Dry_Litterbag Placem_Collection'!N55,'Dry_Litterbag Placem_Collection'!Q55),"")</f>
        <v>30.4</v>
      </c>
      <c r="AL714" s="260">
        <f>INDEX([2]Coordinates!$B$2:$B$197,MATCH(I714,[2]Coordinates!$J$2:$J$197,0))</f>
        <v>-3.4061140000000001</v>
      </c>
      <c r="AM714" s="260">
        <f>INDEX([2]Coordinates!$C$2:$C$197,MATCH(I714,[2]Coordinates!$J$2:$J$197,0))</f>
        <v>34.850596000000003</v>
      </c>
      <c r="AN714" s="260" t="str">
        <f>IF(ISNUMBER(SEARCH("C", 'Dry_Litterbag Placem_Collection'!V55)),"YES","NO")</f>
        <v>NO</v>
      </c>
      <c r="AO714" s="260" t="str">
        <f>IF(ISNUMBER(SEARCH("H", 'Dry_Litterbag Placem_Collection'!V55)),"YES","NO")</f>
        <v>NO</v>
      </c>
      <c r="AP714" s="260" t="str">
        <f>IF(ISNUMBER(SEARCH("R", 'Dry_Litterbag Placem_Collection'!V55)),"YES","NO")</f>
        <v>NO</v>
      </c>
    </row>
    <row r="715" spans="1:42" ht="15" customHeight="1">
      <c r="A715" t="s">
        <v>3248</v>
      </c>
      <c r="B715" s="252" t="s">
        <v>2643</v>
      </c>
      <c r="C715" s="253">
        <f>'Dry_Litterbag Placem_Collection'!A56</f>
        <v>54</v>
      </c>
      <c r="D715" s="253" t="str">
        <f>'Dry_Litterbag Placem_Collection'!B56</f>
        <v>Makao</v>
      </c>
      <c r="E715" s="253" t="s">
        <v>2643</v>
      </c>
      <c r="F715" s="253" t="s">
        <v>20</v>
      </c>
      <c r="G715" s="253">
        <v>3</v>
      </c>
      <c r="H715" s="253" t="s">
        <v>3109</v>
      </c>
      <c r="I715" s="254" t="str">
        <f>'Dry_Litterbag Placem_Collection'!C56</f>
        <v>Dry_P3_T6</v>
      </c>
      <c r="J715" s="263" t="s">
        <v>2932</v>
      </c>
      <c r="K715" s="264" t="s">
        <v>298</v>
      </c>
      <c r="L715" s="253" t="str">
        <f>IF(ISBLANK('Dry_Litterbag Placem_Collection'!M56),"","R"&amp;""&amp;'Dry_Litterbag Placem_Collection'!M56)</f>
        <v/>
      </c>
      <c r="M715" s="257" t="str">
        <f>IFERROR(INDEX('Green_rooibos initial weight'!$C$5:$C$2000,MATCH(L715, 'Green_rooibos initial weight'!$A$5:$A$2000,0)),"")</f>
        <v/>
      </c>
      <c r="N715" s="257" t="str">
        <f>IFERROR(M715-(TBIcalc!$Q$9+TBIcalc!$Q$10),"")</f>
        <v/>
      </c>
      <c r="O715" s="378">
        <f>AVERAGE(Ashed_controlls!$K$12:$K$14)</f>
        <v>2.2816647271287041</v>
      </c>
      <c r="P715" s="257" t="str">
        <f t="shared" si="56"/>
        <v/>
      </c>
      <c r="Q715" s="257" t="str">
        <f>IFERROR(INDEX('Both teabags AfterDry'!$D$2:$D$2000,MATCH(L715,'Both teabags AfterDry'!$A$2:$A$2000,0)),"")</f>
        <v/>
      </c>
      <c r="R715" s="257" t="str">
        <f>IFERROR(IF(Q715&gt;0,Q715-(TBIcalc!$Q$9),""),"")</f>
        <v/>
      </c>
      <c r="S715" s="268" t="str">
        <f>IFERROR(INDEX('Ashed teabags dry'!$K$2:$K$2000,MATCH(L715,'Ashed teabags dry'!$A$2:$A$2000,0)),"")</f>
        <v/>
      </c>
      <c r="T715" s="268" t="str">
        <f t="shared" si="57"/>
        <v/>
      </c>
      <c r="U715" s="258" t="str">
        <f>IF('Dry_Litterbag Placem_Collection'!E56="","",'Dry_Litterbag Placem_Collection'!E56)</f>
        <v/>
      </c>
      <c r="V715" s="258" t="str">
        <f>IF('Dry_Litterbag Placem_Collection'!G56="","",'Dry_Litterbag Placem_Collection'!G56)</f>
        <v/>
      </c>
      <c r="W715" s="259" t="str">
        <f t="shared" si="55"/>
        <v/>
      </c>
      <c r="X715" s="257" t="str">
        <f t="shared" si="58"/>
        <v/>
      </c>
      <c r="Y715" s="257" t="str">
        <f t="shared" si="59"/>
        <v/>
      </c>
      <c r="Z715" s="261" t="str">
        <f>IFERROR(INDEX([3]Rainfall_Dry!$O$2:$O$217,MATCH(C715, [3]Rainfall_Dry!$A$2:$A$217,0)),"")</f>
        <v/>
      </c>
      <c r="AA715" s="250">
        <v>21.96</v>
      </c>
      <c r="AB715" s="250">
        <v>8.9199999999999982</v>
      </c>
      <c r="AC715" s="250">
        <v>69.12</v>
      </c>
      <c r="AD715" s="251" t="s">
        <v>2651</v>
      </c>
      <c r="AE715" s="250">
        <v>1.7491375061606702</v>
      </c>
      <c r="AF715" t="str">
        <f>IF('WetLitterbags placem_collection'!AB56="","",'WetLitterbags placem_collection'!AB56)</f>
        <v/>
      </c>
      <c r="AG715" t="str">
        <f>IF('WetLitterbags placem_collection'!Z56="","",'WetLitterbags placem_collection'!Z56)</f>
        <v/>
      </c>
      <c r="AH715" s="236" t="str">
        <f>IF('WetLitterbags placem_collection'!AA56="","",'WetLitterbags placem_collection'!AA56)</f>
        <v/>
      </c>
      <c r="AI715" t="str">
        <f>IF('WetLitterbags placem_collection'!AC56="","",'WetLitterbags placem_collection'!AC56)</f>
        <v/>
      </c>
      <c r="AJ715" t="str">
        <f>IFERROR(AVERAGE('Dry_Litterbag Placem_Collection'!O56,'Dry_Litterbag Placem_Collection'!R56),"")</f>
        <v/>
      </c>
      <c r="AK715" s="261" t="str">
        <f>IFERROR(AVERAGE('Dry_Litterbag Placem_Collection'!N56,'Dry_Litterbag Placem_Collection'!Q56),"")</f>
        <v/>
      </c>
      <c r="AL715" s="260">
        <f>INDEX([2]Coordinates!$B$2:$B$197,MATCH(I715,[2]Coordinates!$J$2:$J$197,0))</f>
        <v>-3.406058019</v>
      </c>
      <c r="AM715" s="260">
        <f>INDEX([2]Coordinates!$C$2:$C$197,MATCH(I715,[2]Coordinates!$J$2:$J$197,0))</f>
        <v>34.850466019999999</v>
      </c>
      <c r="AN715" s="260" t="str">
        <f>IF(ISNUMBER(SEARCH("C", 'Dry_Litterbag Placem_Collection'!V56)),"YES","NO")</f>
        <v>NO</v>
      </c>
      <c r="AO715" s="260" t="str">
        <f>IF(ISNUMBER(SEARCH("H", 'Dry_Litterbag Placem_Collection'!V56)),"YES","NO")</f>
        <v>NO</v>
      </c>
      <c r="AP715" s="260" t="str">
        <f>IF(ISNUMBER(SEARCH("R", 'Dry_Litterbag Placem_Collection'!V56)),"YES","NO")</f>
        <v>NO</v>
      </c>
    </row>
    <row r="716" spans="1:42" ht="15" customHeight="1">
      <c r="A716" t="s">
        <v>3248</v>
      </c>
      <c r="B716" s="252" t="s">
        <v>2643</v>
      </c>
      <c r="C716" s="253">
        <f>'Dry_Litterbag Placem_Collection'!A57</f>
        <v>55</v>
      </c>
      <c r="D716" s="253" t="str">
        <f>'Dry_Litterbag Placem_Collection'!B57</f>
        <v>Makao</v>
      </c>
      <c r="E716" s="253" t="s">
        <v>2643</v>
      </c>
      <c r="F716" s="253" t="s">
        <v>20</v>
      </c>
      <c r="G716" s="253">
        <v>3</v>
      </c>
      <c r="H716" s="253" t="s">
        <v>3109</v>
      </c>
      <c r="I716" s="254" t="str">
        <f>'Dry_Litterbag Placem_Collection'!C57</f>
        <v>Dry_P3_T7</v>
      </c>
      <c r="J716" s="263" t="s">
        <v>2932</v>
      </c>
      <c r="K716" s="264" t="s">
        <v>298</v>
      </c>
      <c r="L716" s="253" t="str">
        <f>IF(ISBLANK('Dry_Litterbag Placem_Collection'!M57),"","R"&amp;""&amp;'Dry_Litterbag Placem_Collection'!M57)</f>
        <v>R192</v>
      </c>
      <c r="M716" s="257">
        <f>IFERROR(INDEX('Green_rooibos initial weight'!$C$5:$C$2000,MATCH(L716, 'Green_rooibos initial weight'!$A$5:$A$2000,0)),"")</f>
        <v>2.1970000000000001</v>
      </c>
      <c r="N716" s="257">
        <f>IFERROR(M716-(TBIcalc!$Q$9+TBIcalc!$Q$10),"")</f>
        <v>1.9472</v>
      </c>
      <c r="O716" s="378">
        <f>AVERAGE(Ashed_controlls!$K$12:$K$14)</f>
        <v>2.2816647271287041</v>
      </c>
      <c r="P716" s="257">
        <f t="shared" si="56"/>
        <v>1.90277142443335</v>
      </c>
      <c r="Q716" s="257">
        <f>IFERROR(INDEX('Both teabags AfterDry'!$D$2:$D$2000,MATCH(L716,'Both teabags AfterDry'!$A$2:$A$2000,0)),"")</f>
        <v>1.9886999999999999</v>
      </c>
      <c r="R716" s="257">
        <f>IFERROR(IF(Q716&gt;0,Q716-(TBIcalc!$Q$9),""),"")</f>
        <v>1.8380999999999998</v>
      </c>
      <c r="S716" s="268">
        <f>IFERROR(INDEX('Ashed teabags dry'!$K$2:$K$2000,MATCH(L716,'Ashed teabags dry'!$A$2:$A$2000,0)),"")</f>
        <v>3.4583536288358885</v>
      </c>
      <c r="T716" s="268">
        <f t="shared" si="57"/>
        <v>1.7745320019483675</v>
      </c>
      <c r="U716" s="258">
        <f>IF('Dry_Litterbag Placem_Collection'!E57="","",'Dry_Litterbag Placem_Collection'!E57)</f>
        <v>42938</v>
      </c>
      <c r="V716" s="258">
        <f>IF('Dry_Litterbag Placem_Collection'!G57="","",'Dry_Litterbag Placem_Collection'!G57)</f>
        <v>43005</v>
      </c>
      <c r="W716" s="259">
        <f t="shared" si="55"/>
        <v>67</v>
      </c>
      <c r="X716" s="257">
        <f t="shared" si="58"/>
        <v>0.1091000000000002</v>
      </c>
      <c r="Y716" s="257">
        <f t="shared" si="59"/>
        <v>0.12823942248498255</v>
      </c>
      <c r="Z716" s="261">
        <f>IFERROR(INDEX([3]Rainfall_Dry!$O$2:$O$217,MATCH(C716, [3]Rainfall_Dry!$A$2:$A$217,0)),"")</f>
        <v>6.5250000359999998</v>
      </c>
      <c r="AA716" s="250">
        <v>21.96</v>
      </c>
      <c r="AB716" s="250">
        <v>8.9199999999999982</v>
      </c>
      <c r="AC716" s="250">
        <v>69.12</v>
      </c>
      <c r="AD716" s="251" t="s">
        <v>2651</v>
      </c>
      <c r="AE716" s="250">
        <v>1.7491375061606702</v>
      </c>
      <c r="AF716">
        <f>IF('WetLitterbags placem_collection'!AB57="","",'WetLitterbags placem_collection'!AB57)</f>
        <v>15.8</v>
      </c>
      <c r="AG716">
        <f>IF('WetLitterbags placem_collection'!Z57="","",'WetLitterbags placem_collection'!Z57)</f>
        <v>45</v>
      </c>
      <c r="AH716" s="236" t="str">
        <f>IF('WetLitterbags placem_collection'!AA57="","",'WetLitterbags placem_collection'!AA57)</f>
        <v>M</v>
      </c>
      <c r="AI716">
        <f>IF('WetLitterbags placem_collection'!AC57="","",'WetLitterbags placem_collection'!AC57)</f>
        <v>1</v>
      </c>
      <c r="AJ716">
        <f>IFERROR(AVERAGE('Dry_Litterbag Placem_Collection'!O57,'Dry_Litterbag Placem_Collection'!R57),"")</f>
        <v>4.8</v>
      </c>
      <c r="AK716" s="261">
        <f>IFERROR(AVERAGE('Dry_Litterbag Placem_Collection'!N57,'Dry_Litterbag Placem_Collection'!Q57),"")</f>
        <v>31.9</v>
      </c>
      <c r="AL716" s="260">
        <f>INDEX([2]Coordinates!$B$2:$B$197,MATCH(I716,[2]Coordinates!$J$2:$J$197,0))</f>
        <v>-3.4061389879999999</v>
      </c>
      <c r="AM716" s="260">
        <f>INDEX([2]Coordinates!$C$2:$C$197,MATCH(I716,[2]Coordinates!$J$2:$J$197,0))</f>
        <v>34.850574979999998</v>
      </c>
      <c r="AN716" s="260" t="str">
        <f>IF(ISNUMBER(SEARCH("C", 'Dry_Litterbag Placem_Collection'!V57)),"YES","NO")</f>
        <v>NO</v>
      </c>
      <c r="AO716" s="260" t="str">
        <f>IF(ISNUMBER(SEARCH("H", 'Dry_Litterbag Placem_Collection'!V57)),"YES","NO")</f>
        <v>NO</v>
      </c>
      <c r="AP716" s="260" t="str">
        <f>IF(ISNUMBER(SEARCH("R", 'Dry_Litterbag Placem_Collection'!V57)),"YES","NO")</f>
        <v>NO</v>
      </c>
    </row>
    <row r="717" spans="1:42" ht="15" customHeight="1">
      <c r="A717" t="s">
        <v>3248</v>
      </c>
      <c r="B717" s="252" t="s">
        <v>2643</v>
      </c>
      <c r="C717" s="253">
        <f>'Dry_Litterbag Placem_Collection'!A58</f>
        <v>56</v>
      </c>
      <c r="D717" s="253" t="str">
        <f>'Dry_Litterbag Placem_Collection'!B58</f>
        <v>Makao</v>
      </c>
      <c r="E717" s="253" t="s">
        <v>2643</v>
      </c>
      <c r="F717" s="253" t="s">
        <v>20</v>
      </c>
      <c r="G717" s="253">
        <v>3</v>
      </c>
      <c r="H717" s="253" t="s">
        <v>3109</v>
      </c>
      <c r="I717" s="254" t="str">
        <f>'Dry_Litterbag Placem_Collection'!C58</f>
        <v>Dry_P3_T8</v>
      </c>
      <c r="J717" s="263" t="s">
        <v>2932</v>
      </c>
      <c r="K717" s="264" t="s">
        <v>298</v>
      </c>
      <c r="L717" s="253" t="str">
        <f>IF(ISBLANK('Dry_Litterbag Placem_Collection'!M58),"","R"&amp;""&amp;'Dry_Litterbag Placem_Collection'!M58)</f>
        <v>R227</v>
      </c>
      <c r="M717" s="257">
        <f>IFERROR(INDEX('Green_rooibos initial weight'!$C$5:$C$2000,MATCH(L717, 'Green_rooibos initial weight'!$A$5:$A$2000,0)),"")</f>
        <v>2.254</v>
      </c>
      <c r="N717" s="257">
        <f>IFERROR(M717-(TBIcalc!$Q$9+TBIcalc!$Q$10),"")</f>
        <v>2.0042</v>
      </c>
      <c r="O717" s="378">
        <f>AVERAGE(Ashed_controlls!$K$12:$K$14)</f>
        <v>2.2816647271287041</v>
      </c>
      <c r="P717" s="257">
        <f t="shared" si="56"/>
        <v>1.9584708755388864</v>
      </c>
      <c r="Q717" s="257">
        <f>IFERROR(INDEX('Both teabags AfterDry'!$D$2:$D$2000,MATCH(L717,'Both teabags AfterDry'!$A$2:$A$2000,0)),"")</f>
        <v>2.0263</v>
      </c>
      <c r="R717" s="257">
        <f>IFERROR(IF(Q717&gt;0,Q717-(TBIcalc!$Q$9),""),"")</f>
        <v>1.8756999999999999</v>
      </c>
      <c r="S717" s="268">
        <f>IFERROR(INDEX('Ashed teabags dry'!$K$2:$K$2000,MATCH(L717,'Ashed teabags dry'!$A$2:$A$2000,0)),"")</f>
        <v>3.7500000000005613</v>
      </c>
      <c r="T717" s="268">
        <f t="shared" si="57"/>
        <v>1.8053612499999894</v>
      </c>
      <c r="U717" s="258">
        <f>IF('Dry_Litterbag Placem_Collection'!E58="","",'Dry_Litterbag Placem_Collection'!E58)</f>
        <v>42938</v>
      </c>
      <c r="V717" s="258">
        <f>IF('Dry_Litterbag Placem_Collection'!G58="","",'Dry_Litterbag Placem_Collection'!G58)</f>
        <v>43005</v>
      </c>
      <c r="W717" s="259">
        <f t="shared" si="55"/>
        <v>67</v>
      </c>
      <c r="X717" s="257">
        <f t="shared" si="58"/>
        <v>0.12850000000000006</v>
      </c>
      <c r="Y717" s="257">
        <f t="shared" si="59"/>
        <v>0.15310962553889707</v>
      </c>
      <c r="Z717" s="261">
        <f>IFERROR(INDEX([3]Rainfall_Dry!$O$2:$O$217,MATCH(C717, [3]Rainfall_Dry!$A$2:$A$217,0)),"")</f>
        <v>6.5250000359999998</v>
      </c>
      <c r="AA717" s="250">
        <v>21.96</v>
      </c>
      <c r="AB717" s="250">
        <v>8.9199999999999982</v>
      </c>
      <c r="AC717" s="250">
        <v>69.12</v>
      </c>
      <c r="AD717" s="251" t="s">
        <v>2651</v>
      </c>
      <c r="AE717" s="250">
        <v>1.7491375061606702</v>
      </c>
      <c r="AF717">
        <f>IF('WetLitterbags placem_collection'!AB58="","",'WetLitterbags placem_collection'!AB58)</f>
        <v>15.4</v>
      </c>
      <c r="AG717">
        <f>IF('WetLitterbags placem_collection'!Z58="","",'WetLitterbags placem_collection'!Z58)</f>
        <v>30.8</v>
      </c>
      <c r="AH717" s="236" t="str">
        <f>IF('WetLitterbags placem_collection'!AA58="","",'WetLitterbags placem_collection'!AA58)</f>
        <v>M</v>
      </c>
      <c r="AI717">
        <f>IF('WetLitterbags placem_collection'!AC58="","",'WetLitterbags placem_collection'!AC58)</f>
        <v>0</v>
      </c>
      <c r="AJ717">
        <f>IFERROR(AVERAGE('Dry_Litterbag Placem_Collection'!O58,'Dry_Litterbag Placem_Collection'!R58),"")</f>
        <v>8.3000000000000007</v>
      </c>
      <c r="AK717" s="261">
        <f>IFERROR(AVERAGE('Dry_Litterbag Placem_Collection'!N58,'Dry_Litterbag Placem_Collection'!Q58),"")</f>
        <v>30.049999999999997</v>
      </c>
      <c r="AL717" s="260">
        <f>INDEX([2]Coordinates!$B$2:$B$197,MATCH(I717,[2]Coordinates!$J$2:$J$197,0))</f>
        <v>-3.4062900300000001</v>
      </c>
      <c r="AM717" s="260">
        <f>INDEX([2]Coordinates!$C$2:$C$197,MATCH(I717,[2]Coordinates!$J$2:$J$197,0))</f>
        <v>34.850441959999998</v>
      </c>
      <c r="AN717" s="260" t="str">
        <f>IF(ISNUMBER(SEARCH("C", 'Dry_Litterbag Placem_Collection'!V58)),"YES","NO")</f>
        <v>NO</v>
      </c>
      <c r="AO717" s="260" t="str">
        <f>IF(ISNUMBER(SEARCH("H", 'Dry_Litterbag Placem_Collection'!V58)),"YES","NO")</f>
        <v>NO</v>
      </c>
      <c r="AP717" s="260" t="str">
        <f>IF(ISNUMBER(SEARCH("R", 'Dry_Litterbag Placem_Collection'!V58)),"YES","NO")</f>
        <v>NO</v>
      </c>
    </row>
    <row r="718" spans="1:42" ht="15" customHeight="1">
      <c r="A718" t="s">
        <v>3248</v>
      </c>
      <c r="B718" s="252" t="s">
        <v>2643</v>
      </c>
      <c r="C718" s="253">
        <f>'Dry_Litterbag Placem_Collection'!A59</f>
        <v>57</v>
      </c>
      <c r="D718" s="253" t="str">
        <f>'Dry_Litterbag Placem_Collection'!B59</f>
        <v>Makao</v>
      </c>
      <c r="E718" s="253" t="s">
        <v>2643</v>
      </c>
      <c r="F718" s="253" t="s">
        <v>20</v>
      </c>
      <c r="G718" s="253">
        <v>4</v>
      </c>
      <c r="H718" s="253" t="s">
        <v>3110</v>
      </c>
      <c r="I718" s="254" t="str">
        <f>'Dry_Litterbag Placem_Collection'!C59</f>
        <v>Dry_P4_T1</v>
      </c>
      <c r="J718" s="263" t="s">
        <v>2932</v>
      </c>
      <c r="K718" s="264" t="s">
        <v>298</v>
      </c>
      <c r="L718" s="253" t="str">
        <f>IF(ISBLANK('Dry_Litterbag Placem_Collection'!M59),"","R"&amp;""&amp;'Dry_Litterbag Placem_Collection'!M59)</f>
        <v>R416</v>
      </c>
      <c r="M718" s="257">
        <f>IFERROR(INDEX('Green_rooibos initial weight'!$C$5:$C$2000,MATCH(L718, 'Green_rooibos initial weight'!$A$5:$A$2000,0)),"")</f>
        <v>2.2469999999999999</v>
      </c>
      <c r="N718" s="257">
        <f>IFERROR(M718-(TBIcalc!$Q$9+TBIcalc!$Q$10),"")</f>
        <v>1.9971999999999999</v>
      </c>
      <c r="O718" s="378">
        <f>AVERAGE(Ashed_controlls!$K$12:$K$14)</f>
        <v>2.2816647271287041</v>
      </c>
      <c r="P718" s="257">
        <f t="shared" si="56"/>
        <v>1.9516305920697854</v>
      </c>
      <c r="Q718" s="257">
        <f>IFERROR(INDEX('Both teabags AfterDry'!$D$2:$D$2000,MATCH(L718,'Both teabags AfterDry'!$A$2:$A$2000,0)),"")</f>
        <v>2.0192999999999999</v>
      </c>
      <c r="R718" s="257">
        <f>IFERROR(IF(Q718&gt;0,Q718-(TBIcalc!$Q$9),""),"")</f>
        <v>1.8686999999999998</v>
      </c>
      <c r="S718" s="268">
        <f>IFERROR(INDEX('Ashed teabags dry'!$K$2:$K$2000,MATCH(L718,'Ashed teabags dry'!$A$2:$A$2000,0)),"")</f>
        <v>1.8527315914489777</v>
      </c>
      <c r="T718" s="268">
        <f t="shared" si="57"/>
        <v>1.8340780047505927</v>
      </c>
      <c r="U718" s="258">
        <f>IF('Dry_Litterbag Placem_Collection'!E59="","",'Dry_Litterbag Placem_Collection'!E59)</f>
        <v>42938</v>
      </c>
      <c r="V718" s="258">
        <f>IF('Dry_Litterbag Placem_Collection'!G59="","",'Dry_Litterbag Placem_Collection'!G59)</f>
        <v>43005</v>
      </c>
      <c r="W718" s="259">
        <f t="shared" si="55"/>
        <v>67</v>
      </c>
      <c r="X718" s="257">
        <f t="shared" si="58"/>
        <v>0.12850000000000006</v>
      </c>
      <c r="Y718" s="257">
        <f t="shared" si="59"/>
        <v>0.11755258731919271</v>
      </c>
      <c r="Z718" s="261">
        <f>IFERROR(INDEX([3]Rainfall_Dry!$O$2:$O$217,MATCH(C718, [3]Rainfall_Dry!$A$2:$A$217,0)),"")</f>
        <v>6.5250000359999998</v>
      </c>
      <c r="AA718" s="250">
        <v>25.96</v>
      </c>
      <c r="AB718" s="250">
        <v>6.9200000000000008</v>
      </c>
      <c r="AC718" s="250">
        <v>67.12</v>
      </c>
      <c r="AD718" s="251" t="s">
        <v>2651</v>
      </c>
      <c r="AE718" s="250">
        <v>1.7568260226712666</v>
      </c>
      <c r="AF718">
        <f>IF('WetLitterbags placem_collection'!AB59="","",'WetLitterbags placem_collection'!AB59)</f>
        <v>3.3</v>
      </c>
      <c r="AG718">
        <f>IF('WetLitterbags placem_collection'!Z59="","",'WetLitterbags placem_collection'!Z59)</f>
        <v>28.4</v>
      </c>
      <c r="AH718" s="236" t="str">
        <f>IF('WetLitterbags placem_collection'!AA59="","",'WetLitterbags placem_collection'!AA59)</f>
        <v>O</v>
      </c>
      <c r="AI718">
        <f>IF('WetLitterbags placem_collection'!AC59="","",'WetLitterbags placem_collection'!AC59)</f>
        <v>1</v>
      </c>
      <c r="AJ718">
        <f>IFERROR(AVERAGE('Dry_Litterbag Placem_Collection'!O59,'Dry_Litterbag Placem_Collection'!R59),"")</f>
        <v>3.95</v>
      </c>
      <c r="AK718" s="261">
        <f>IFERROR(AVERAGE('Dry_Litterbag Placem_Collection'!N59,'Dry_Litterbag Placem_Collection'!Q59),"")</f>
        <v>33.25</v>
      </c>
      <c r="AL718" s="260">
        <f>INDEX([2]Coordinates!$B$2:$B$197,MATCH(I718,[2]Coordinates!$J$2:$J$197,0))</f>
        <v>-3.4064239729999999</v>
      </c>
      <c r="AM718" s="260">
        <f>INDEX([2]Coordinates!$C$2:$C$197,MATCH(I718,[2]Coordinates!$J$2:$J$197,0))</f>
        <v>34.851213010000002</v>
      </c>
      <c r="AN718" s="260" t="str">
        <f>IF(ISNUMBER(SEARCH("C", 'Dry_Litterbag Placem_Collection'!V59)),"YES","NO")</f>
        <v>NO</v>
      </c>
      <c r="AO718" s="260" t="str">
        <f>IF(ISNUMBER(SEARCH("H", 'Dry_Litterbag Placem_Collection'!V59)),"YES","NO")</f>
        <v>NO</v>
      </c>
      <c r="AP718" s="260" t="str">
        <f>IF(ISNUMBER(SEARCH("R", 'Dry_Litterbag Placem_Collection'!V59)),"YES","NO")</f>
        <v>NO</v>
      </c>
    </row>
    <row r="719" spans="1:42" ht="15" customHeight="1">
      <c r="A719" t="s">
        <v>3248</v>
      </c>
      <c r="B719" s="252" t="s">
        <v>2643</v>
      </c>
      <c r="C719" s="253">
        <f>'Dry_Litterbag Placem_Collection'!A60</f>
        <v>58</v>
      </c>
      <c r="D719" s="253" t="str">
        <f>'Dry_Litterbag Placem_Collection'!B60</f>
        <v>Makao</v>
      </c>
      <c r="E719" s="253" t="s">
        <v>2643</v>
      </c>
      <c r="F719" s="253" t="s">
        <v>20</v>
      </c>
      <c r="G719" s="253">
        <v>4</v>
      </c>
      <c r="H719" s="253" t="s">
        <v>3110</v>
      </c>
      <c r="I719" s="254" t="str">
        <f>'Dry_Litterbag Placem_Collection'!C60</f>
        <v>Dry_P4_T2</v>
      </c>
      <c r="J719" s="263" t="s">
        <v>2932</v>
      </c>
      <c r="K719" s="264" t="s">
        <v>298</v>
      </c>
      <c r="L719" s="253" t="str">
        <f>IF(ISBLANK('Dry_Litterbag Placem_Collection'!M60),"","R"&amp;""&amp;'Dry_Litterbag Placem_Collection'!M60)</f>
        <v>R689</v>
      </c>
      <c r="M719" s="257">
        <f>IFERROR(INDEX('Green_rooibos initial weight'!$C$5:$C$2000,MATCH(L719, 'Green_rooibos initial weight'!$A$5:$A$2000,0)),"")</f>
        <v>2.11</v>
      </c>
      <c r="N719" s="257">
        <f>IFERROR(M719-(TBIcalc!$Q$9+TBIcalc!$Q$10),"")</f>
        <v>1.8601999999999999</v>
      </c>
      <c r="O719" s="378">
        <f>AVERAGE(Ashed_controlls!$K$12:$K$14)</f>
        <v>2.2816647271287041</v>
      </c>
      <c r="P719" s="257">
        <f t="shared" si="56"/>
        <v>1.8177564727459516</v>
      </c>
      <c r="Q719" s="257">
        <f>IFERROR(INDEX('Both teabags AfterDry'!$D$2:$D$2000,MATCH(L719,'Both teabags AfterDry'!$A$2:$A$2000,0)),"")</f>
        <v>1.9226000000000001</v>
      </c>
      <c r="R719" s="257">
        <f>IFERROR(IF(Q719&gt;0,Q719-(TBIcalc!$Q$9),""),"")</f>
        <v>1.772</v>
      </c>
      <c r="S719" s="268">
        <f>IFERROR(INDEX('Ashed teabags dry'!$K$2:$K$2000,MATCH(L719,'Ashed teabags dry'!$A$2:$A$2000,0)),"")</f>
        <v>2.075098814229281</v>
      </c>
      <c r="T719" s="268">
        <f t="shared" si="57"/>
        <v>1.7352292490118573</v>
      </c>
      <c r="U719" s="258">
        <f>IF('Dry_Litterbag Placem_Collection'!E60="","",'Dry_Litterbag Placem_Collection'!E60)</f>
        <v>42938</v>
      </c>
      <c r="V719" s="258">
        <f>IF('Dry_Litterbag Placem_Collection'!G60="","",'Dry_Litterbag Placem_Collection'!G60)</f>
        <v>43005</v>
      </c>
      <c r="W719" s="259">
        <f t="shared" si="55"/>
        <v>67</v>
      </c>
      <c r="X719" s="257">
        <f t="shared" si="58"/>
        <v>8.8199999999999834E-2</v>
      </c>
      <c r="Y719" s="257">
        <f t="shared" si="59"/>
        <v>8.2527223734094379E-2</v>
      </c>
      <c r="Z719" s="261">
        <f>IFERROR(INDEX([3]Rainfall_Dry!$O$2:$O$217,MATCH(C719, [3]Rainfall_Dry!$A$2:$A$217,0)),"")</f>
        <v>6.5250000359999998</v>
      </c>
      <c r="AA719" s="250">
        <v>25.96</v>
      </c>
      <c r="AB719" s="250">
        <v>6.9200000000000008</v>
      </c>
      <c r="AC719" s="250">
        <v>67.12</v>
      </c>
      <c r="AD719" s="251" t="s">
        <v>2651</v>
      </c>
      <c r="AE719" s="250">
        <v>1.7568260226712666</v>
      </c>
      <c r="AF719">
        <f>IF('WetLitterbags placem_collection'!AB60="","",'WetLitterbags placem_collection'!AB60)</f>
        <v>1.4</v>
      </c>
      <c r="AG719">
        <f>IF('WetLitterbags placem_collection'!Z60="","",'WetLitterbags placem_collection'!Z60)</f>
        <v>54.4</v>
      </c>
      <c r="AH719" s="236" t="str">
        <f>IF('WetLitterbags placem_collection'!AA60="","",'WetLitterbags placem_collection'!AA60)</f>
        <v>O</v>
      </c>
      <c r="AI719">
        <f>IF('WetLitterbags placem_collection'!AC60="","",'WetLitterbags placem_collection'!AC60)</f>
        <v>0</v>
      </c>
      <c r="AJ719">
        <f>IFERROR(AVERAGE('Dry_Litterbag Placem_Collection'!O60,'Dry_Litterbag Placem_Collection'!R60),"")</f>
        <v>5.7</v>
      </c>
      <c r="AK719" s="261">
        <f>IFERROR(AVERAGE('Dry_Litterbag Placem_Collection'!N60,'Dry_Litterbag Placem_Collection'!Q60),"")</f>
        <v>32.35</v>
      </c>
      <c r="AL719" s="260">
        <f>INDEX([2]Coordinates!$B$2:$B$197,MATCH(I719,[2]Coordinates!$J$2:$J$197,0))</f>
        <v>-3.4065020079999999</v>
      </c>
      <c r="AM719" s="260">
        <f>INDEX([2]Coordinates!$C$2:$C$197,MATCH(I719,[2]Coordinates!$J$2:$J$197,0))</f>
        <v>34.851056020000001</v>
      </c>
      <c r="AN719" s="260" t="str">
        <f>IF(ISNUMBER(SEARCH("C", 'Dry_Litterbag Placem_Collection'!V60)),"YES","NO")</f>
        <v>NO</v>
      </c>
      <c r="AO719" s="260" t="str">
        <f>IF(ISNUMBER(SEARCH("H", 'Dry_Litterbag Placem_Collection'!V60)),"YES","NO")</f>
        <v>NO</v>
      </c>
      <c r="AP719" s="260" t="str">
        <f>IF(ISNUMBER(SEARCH("R", 'Dry_Litterbag Placem_Collection'!V60)),"YES","NO")</f>
        <v>NO</v>
      </c>
    </row>
    <row r="720" spans="1:42" ht="15" customHeight="1">
      <c r="A720" t="s">
        <v>3248</v>
      </c>
      <c r="B720" s="252" t="s">
        <v>2643</v>
      </c>
      <c r="C720" s="253">
        <f>'Dry_Litterbag Placem_Collection'!A61</f>
        <v>59</v>
      </c>
      <c r="D720" s="253" t="str">
        <f>'Dry_Litterbag Placem_Collection'!B61</f>
        <v>Makao</v>
      </c>
      <c r="E720" s="253" t="s">
        <v>2643</v>
      </c>
      <c r="F720" s="253" t="s">
        <v>20</v>
      </c>
      <c r="G720" s="253">
        <v>4</v>
      </c>
      <c r="H720" s="253" t="s">
        <v>3110</v>
      </c>
      <c r="I720" s="254" t="str">
        <f>'Dry_Litterbag Placem_Collection'!C61</f>
        <v>Dry_P4_T3</v>
      </c>
      <c r="J720" s="263" t="s">
        <v>2932</v>
      </c>
      <c r="K720" s="264" t="s">
        <v>298</v>
      </c>
      <c r="L720" s="253" t="str">
        <f>IF(ISBLANK('Dry_Litterbag Placem_Collection'!M61),"","R"&amp;""&amp;'Dry_Litterbag Placem_Collection'!M61)</f>
        <v>R231</v>
      </c>
      <c r="M720" s="257">
        <f>IFERROR(INDEX('Green_rooibos initial weight'!$C$5:$C$2000,MATCH(L720, 'Green_rooibos initial weight'!$A$5:$A$2000,0)),"")</f>
        <v>2.1230000000000002</v>
      </c>
      <c r="N720" s="257">
        <f>IFERROR(M720-(TBIcalc!$Q$9+TBIcalc!$Q$10),"")</f>
        <v>1.8732000000000002</v>
      </c>
      <c r="O720" s="378">
        <f>AVERAGE(Ashed_controlls!$K$12:$K$14)</f>
        <v>2.2816647271287041</v>
      </c>
      <c r="P720" s="257">
        <f t="shared" si="56"/>
        <v>1.8304598563314254</v>
      </c>
      <c r="Q720" s="257">
        <f>IFERROR(INDEX('Both teabags AfterDry'!$D$2:$D$2000,MATCH(L720,'Both teabags AfterDry'!$A$2:$A$2000,0)),"")</f>
        <v>1.8747</v>
      </c>
      <c r="R720" s="257">
        <f>IFERROR(IF(Q720&gt;0,Q720-(TBIcalc!$Q$9),""),"")</f>
        <v>1.7241</v>
      </c>
      <c r="S720" s="268">
        <f>IFERROR(INDEX('Ashed teabags dry'!$K$2:$K$2000,MATCH(L720,'Ashed teabags dry'!$A$2:$A$2000,0)),"")</f>
        <v>2.4205748865354395</v>
      </c>
      <c r="T720" s="268">
        <f t="shared" si="57"/>
        <v>1.6823668683812425</v>
      </c>
      <c r="U720" s="258">
        <f>IF('Dry_Litterbag Placem_Collection'!E61="","",'Dry_Litterbag Placem_Collection'!E61)</f>
        <v>42938</v>
      </c>
      <c r="V720" s="258">
        <f>IF('Dry_Litterbag Placem_Collection'!G61="","",'Dry_Litterbag Placem_Collection'!G61)</f>
        <v>43005</v>
      </c>
      <c r="W720" s="259">
        <f t="shared" si="55"/>
        <v>67</v>
      </c>
      <c r="X720" s="257">
        <f t="shared" si="58"/>
        <v>0.14910000000000023</v>
      </c>
      <c r="Y720" s="257">
        <f t="shared" si="59"/>
        <v>0.14809298795018289</v>
      </c>
      <c r="Z720" s="261">
        <f>IFERROR(INDEX([3]Rainfall_Dry!$O$2:$O$217,MATCH(C720, [3]Rainfall_Dry!$A$2:$A$217,0)),"")</f>
        <v>6.5250000359999998</v>
      </c>
      <c r="AA720" s="250">
        <v>25.96</v>
      </c>
      <c r="AB720" s="250">
        <v>6.9200000000000008</v>
      </c>
      <c r="AC720" s="250">
        <v>67.12</v>
      </c>
      <c r="AD720" s="251" t="s">
        <v>2651</v>
      </c>
      <c r="AE720" s="250">
        <v>1.7568260226712666</v>
      </c>
      <c r="AF720">
        <f>IF('WetLitterbags placem_collection'!AB61="","",'WetLitterbags placem_collection'!AB61)</f>
        <v>3.3</v>
      </c>
      <c r="AG720">
        <f>IF('WetLitterbags placem_collection'!Z61="","",'WetLitterbags placem_collection'!Z61)</f>
        <v>46</v>
      </c>
      <c r="AH720" s="236" t="str">
        <f>IF('WetLitterbags placem_collection'!AA61="","",'WetLitterbags placem_collection'!AA61)</f>
        <v>O</v>
      </c>
      <c r="AI720">
        <f>IF('WetLitterbags placem_collection'!AC61="","",'WetLitterbags placem_collection'!AC61)</f>
        <v>0</v>
      </c>
      <c r="AJ720">
        <f>IFERROR(AVERAGE('Dry_Litterbag Placem_Collection'!O61,'Dry_Litterbag Placem_Collection'!R61),"")</f>
        <v>7.6999999999999993</v>
      </c>
      <c r="AK720" s="261">
        <f>IFERROR(AVERAGE('Dry_Litterbag Placem_Collection'!N61,'Dry_Litterbag Placem_Collection'!Q61),"")</f>
        <v>31.8</v>
      </c>
      <c r="AL720" s="260">
        <f>INDEX([2]Coordinates!$B$2:$B$197,MATCH(I720,[2]Coordinates!$J$2:$J$197,0))</f>
        <v>-3.4062359670000002</v>
      </c>
      <c r="AM720" s="260">
        <f>INDEX([2]Coordinates!$C$2:$C$197,MATCH(I720,[2]Coordinates!$J$2:$J$197,0))</f>
        <v>34.851107990000003</v>
      </c>
      <c r="AN720" s="260" t="str">
        <f>IF(ISNUMBER(SEARCH("C", 'Dry_Litterbag Placem_Collection'!V61)),"YES","NO")</f>
        <v>NO</v>
      </c>
      <c r="AO720" s="260" t="str">
        <f>IF(ISNUMBER(SEARCH("H", 'Dry_Litterbag Placem_Collection'!V61)),"YES","NO")</f>
        <v>NO</v>
      </c>
      <c r="AP720" s="260" t="str">
        <f>IF(ISNUMBER(SEARCH("R", 'Dry_Litterbag Placem_Collection'!V61)),"YES","NO")</f>
        <v>NO</v>
      </c>
    </row>
    <row r="721" spans="1:42" ht="15" customHeight="1">
      <c r="A721" t="s">
        <v>3248</v>
      </c>
      <c r="B721" s="252" t="s">
        <v>2643</v>
      </c>
      <c r="C721" s="253">
        <f>'Dry_Litterbag Placem_Collection'!A62</f>
        <v>60</v>
      </c>
      <c r="D721" s="253" t="str">
        <f>'Dry_Litterbag Placem_Collection'!B62</f>
        <v>Makao</v>
      </c>
      <c r="E721" s="253" t="s">
        <v>2643</v>
      </c>
      <c r="F721" s="253" t="s">
        <v>20</v>
      </c>
      <c r="G721" s="253">
        <v>4</v>
      </c>
      <c r="H721" s="253" t="s">
        <v>3110</v>
      </c>
      <c r="I721" s="254" t="str">
        <f>'Dry_Litterbag Placem_Collection'!C62</f>
        <v>Dry_P4_T4</v>
      </c>
      <c r="J721" s="263" t="s">
        <v>2932</v>
      </c>
      <c r="K721" s="264" t="s">
        <v>298</v>
      </c>
      <c r="L721" s="253" t="str">
        <f>IF(ISBLANK('Dry_Litterbag Placem_Collection'!M62),"","R"&amp;""&amp;'Dry_Litterbag Placem_Collection'!M62)</f>
        <v>R297</v>
      </c>
      <c r="M721" s="257">
        <f>IFERROR(INDEX('Green_rooibos initial weight'!$C$5:$C$2000,MATCH(L721, 'Green_rooibos initial weight'!$A$5:$A$2000,0)),"")</f>
        <v>2.1800000000000002</v>
      </c>
      <c r="N721" s="257">
        <f>IFERROR(M721-(TBIcalc!$Q$9+TBIcalc!$Q$10),"")</f>
        <v>1.9302000000000001</v>
      </c>
      <c r="O721" s="378">
        <f>AVERAGE(Ashed_controlls!$K$12:$K$14)</f>
        <v>2.2816647271287041</v>
      </c>
      <c r="P721" s="257">
        <f t="shared" si="56"/>
        <v>1.8861593074369618</v>
      </c>
      <c r="Q721" s="257">
        <f>IFERROR(INDEX('Both teabags AfterDry'!$D$2:$D$2000,MATCH(L721,'Both teabags AfterDry'!$A$2:$A$2000,0)),"")</f>
        <v>1.9569000000000001</v>
      </c>
      <c r="R721" s="257">
        <f>IFERROR(IF(Q721&gt;0,Q721-(TBIcalc!$Q$9),""),"")</f>
        <v>1.8063</v>
      </c>
      <c r="S721" s="268">
        <f>IFERROR(INDEX('Ashed teabags dry'!$K$2:$K$2000,MATCH(L721,'Ashed teabags dry'!$A$2:$A$2000,0)),"")</f>
        <v>2.1921641791054141</v>
      </c>
      <c r="T721" s="268">
        <f t="shared" si="57"/>
        <v>1.766702938432819</v>
      </c>
      <c r="U721" s="258">
        <f>IF('Dry_Litterbag Placem_Collection'!E62="","",'Dry_Litterbag Placem_Collection'!E62)</f>
        <v>42938</v>
      </c>
      <c r="V721" s="258">
        <f>IF('Dry_Litterbag Placem_Collection'!G62="","",'Dry_Litterbag Placem_Collection'!G62)</f>
        <v>43005</v>
      </c>
      <c r="W721" s="259">
        <f t="shared" si="55"/>
        <v>67</v>
      </c>
      <c r="X721" s="257">
        <f t="shared" si="58"/>
        <v>0.12390000000000012</v>
      </c>
      <c r="Y721" s="257">
        <f t="shared" si="59"/>
        <v>0.1194563690041428</v>
      </c>
      <c r="Z721" s="261">
        <f>IFERROR(INDEX([3]Rainfall_Dry!$O$2:$O$217,MATCH(C721, [3]Rainfall_Dry!$A$2:$A$217,0)),"")</f>
        <v>6.5250000359999998</v>
      </c>
      <c r="AA721" s="250">
        <v>25.96</v>
      </c>
      <c r="AB721" s="250">
        <v>6.9200000000000008</v>
      </c>
      <c r="AC721" s="250">
        <v>67.12</v>
      </c>
      <c r="AD721" s="251" t="s">
        <v>2651</v>
      </c>
      <c r="AE721" s="250">
        <v>1.7568260226712666</v>
      </c>
      <c r="AF721">
        <f>IF('WetLitterbags placem_collection'!AB62="","",'WetLitterbags placem_collection'!AB62)</f>
        <v>2.4</v>
      </c>
      <c r="AG721">
        <f>IF('WetLitterbags placem_collection'!Z62="","",'WetLitterbags placem_collection'!Z62)</f>
        <v>10.199999999999999</v>
      </c>
      <c r="AH721" s="236" t="str">
        <f>IF('WetLitterbags placem_collection'!AA62="","",'WetLitterbags placem_collection'!AA62)</f>
        <v>O</v>
      </c>
      <c r="AI721">
        <f>IF('WetLitterbags placem_collection'!AC62="","",'WetLitterbags placem_collection'!AC62)</f>
        <v>0</v>
      </c>
      <c r="AJ721">
        <f>IFERROR(AVERAGE('Dry_Litterbag Placem_Collection'!O62,'Dry_Litterbag Placem_Collection'!R62),"")</f>
        <v>5.65</v>
      </c>
      <c r="AK721" s="261">
        <f>IFERROR(AVERAGE('Dry_Litterbag Placem_Collection'!N62,'Dry_Litterbag Placem_Collection'!Q62),"")</f>
        <v>32.650000000000006</v>
      </c>
      <c r="AL721" s="260">
        <f>INDEX([2]Coordinates!$B$2:$B$197,MATCH(I721,[2]Coordinates!$J$2:$J$197,0))</f>
        <v>-3.406281983</v>
      </c>
      <c r="AM721" s="260">
        <f>INDEX([2]Coordinates!$C$2:$C$197,MATCH(I721,[2]Coordinates!$J$2:$J$197,0))</f>
        <v>34.85137898</v>
      </c>
      <c r="AN721" s="260" t="str">
        <f>IF(ISNUMBER(SEARCH("C", 'Dry_Litterbag Placem_Collection'!V62)),"YES","NO")</f>
        <v>NO</v>
      </c>
      <c r="AO721" s="260" t="str">
        <f>IF(ISNUMBER(SEARCH("H", 'Dry_Litterbag Placem_Collection'!V62)),"YES","NO")</f>
        <v>NO</v>
      </c>
      <c r="AP721" s="260" t="str">
        <f>IF(ISNUMBER(SEARCH("R", 'Dry_Litterbag Placem_Collection'!V62)),"YES","NO")</f>
        <v>NO</v>
      </c>
    </row>
    <row r="722" spans="1:42" ht="15" customHeight="1">
      <c r="A722" t="s">
        <v>3248</v>
      </c>
      <c r="B722" s="252" t="s">
        <v>2643</v>
      </c>
      <c r="C722" s="253">
        <f>'Dry_Litterbag Placem_Collection'!A63</f>
        <v>61</v>
      </c>
      <c r="D722" s="253" t="str">
        <f>'Dry_Litterbag Placem_Collection'!B63</f>
        <v>Makao</v>
      </c>
      <c r="E722" s="253" t="s">
        <v>2643</v>
      </c>
      <c r="F722" s="253" t="s">
        <v>20</v>
      </c>
      <c r="G722" s="253">
        <v>4</v>
      </c>
      <c r="H722" s="253" t="s">
        <v>3110</v>
      </c>
      <c r="I722" s="254" t="str">
        <f>'Dry_Litterbag Placem_Collection'!C63</f>
        <v>Dry_P4_T5</v>
      </c>
      <c r="J722" s="263" t="s">
        <v>2932</v>
      </c>
      <c r="K722" s="264" t="s">
        <v>298</v>
      </c>
      <c r="L722" s="253" t="str">
        <f>IF(ISBLANK('Dry_Litterbag Placem_Collection'!M63),"","R"&amp;""&amp;'Dry_Litterbag Placem_Collection'!M63)</f>
        <v>R200</v>
      </c>
      <c r="M722" s="257">
        <f>IFERROR(INDEX('Green_rooibos initial weight'!$C$5:$C$2000,MATCH(L722, 'Green_rooibos initial weight'!$A$5:$A$2000,0)),"")</f>
        <v>2.242</v>
      </c>
      <c r="N722" s="257">
        <f>IFERROR(M722-(TBIcalc!$Q$9+TBIcalc!$Q$10),"")</f>
        <v>1.9922</v>
      </c>
      <c r="O722" s="378">
        <f>AVERAGE(Ashed_controlls!$K$12:$K$14)</f>
        <v>2.2816647271287041</v>
      </c>
      <c r="P722" s="257">
        <f t="shared" si="56"/>
        <v>1.9467446753061419</v>
      </c>
      <c r="Q722" s="257" t="str">
        <f>IFERROR(INDEX('Both teabags AfterDry'!$D$2:$D$2000,MATCH(L722,'Both teabags AfterDry'!$A$2:$A$2000,0)),"")</f>
        <v/>
      </c>
      <c r="R722" s="257" t="str">
        <f>IFERROR(IF(Q722&gt;0,Q722-(TBIcalc!$Q$9),""),"")</f>
        <v/>
      </c>
      <c r="S722" s="268" t="str">
        <f>IFERROR(INDEX('Ashed teabags dry'!$K$2:$K$2000,MATCH(L722,'Ashed teabags dry'!$A$2:$A$2000,0)),"")</f>
        <v/>
      </c>
      <c r="T722" s="268" t="str">
        <f t="shared" si="57"/>
        <v/>
      </c>
      <c r="U722" s="258">
        <f>IF('Dry_Litterbag Placem_Collection'!E63="","",'Dry_Litterbag Placem_Collection'!E63)</f>
        <v>42938</v>
      </c>
      <c r="V722" s="258">
        <f>IF('Dry_Litterbag Placem_Collection'!G63="","",'Dry_Litterbag Placem_Collection'!G63)</f>
        <v>43005</v>
      </c>
      <c r="W722" s="259">
        <f t="shared" si="55"/>
        <v>67</v>
      </c>
      <c r="X722" s="257" t="str">
        <f t="shared" si="58"/>
        <v/>
      </c>
      <c r="Y722" s="257" t="str">
        <f t="shared" si="59"/>
        <v/>
      </c>
      <c r="Z722" s="261">
        <f>IFERROR(INDEX([3]Rainfall_Dry!$O$2:$O$217,MATCH(C722, [3]Rainfall_Dry!$A$2:$A$217,0)),"")</f>
        <v>6.5250000359999998</v>
      </c>
      <c r="AA722" s="250">
        <v>25.96</v>
      </c>
      <c r="AB722" s="250">
        <v>6.9200000000000008</v>
      </c>
      <c r="AC722" s="250">
        <v>67.12</v>
      </c>
      <c r="AD722" s="251" t="s">
        <v>2651</v>
      </c>
      <c r="AE722" s="250">
        <v>1.7568260226712666</v>
      </c>
      <c r="AF722">
        <f>IF('WetLitterbags placem_collection'!AB63="","",'WetLitterbags placem_collection'!AB63)</f>
        <v>5.6</v>
      </c>
      <c r="AG722">
        <f>IF('WetLitterbags placem_collection'!Z63="","",'WetLitterbags placem_collection'!Z63)</f>
        <v>34.200000000000003</v>
      </c>
      <c r="AH722" s="236" t="str">
        <f>IF('WetLitterbags placem_collection'!AA63="","",'WetLitterbags placem_collection'!AA63)</f>
        <v>O</v>
      </c>
      <c r="AI722">
        <f>IF('WetLitterbags placem_collection'!AC63="","",'WetLitterbags placem_collection'!AC63)</f>
        <v>0</v>
      </c>
      <c r="AJ722">
        <f>IFERROR(AVERAGE('Dry_Litterbag Placem_Collection'!O63,'Dry_Litterbag Placem_Collection'!R63),"")</f>
        <v>4.5</v>
      </c>
      <c r="AK722" s="261">
        <f>IFERROR(AVERAGE('Dry_Litterbag Placem_Collection'!N63,'Dry_Litterbag Placem_Collection'!Q63),"")</f>
        <v>34</v>
      </c>
      <c r="AL722" s="260">
        <f>INDEX([2]Coordinates!$B$2:$B$197,MATCH(I722,[2]Coordinates!$J$2:$J$197,0))</f>
        <v>-3.406569986</v>
      </c>
      <c r="AM722" s="260">
        <f>INDEX([2]Coordinates!$C$2:$C$197,MATCH(I722,[2]Coordinates!$J$2:$J$197,0))</f>
        <v>34.851323989999997</v>
      </c>
      <c r="AN722" s="260" t="str">
        <f>IF(ISNUMBER(SEARCH("C", 'Dry_Litterbag Placem_Collection'!V63)),"YES","NO")</f>
        <v>NO</v>
      </c>
      <c r="AO722" s="260" t="str">
        <f>IF(ISNUMBER(SEARCH("H", 'Dry_Litterbag Placem_Collection'!V63)),"YES","NO")</f>
        <v>NO</v>
      </c>
      <c r="AP722" s="260" t="str">
        <f>IF(ISNUMBER(SEARCH("R", 'Dry_Litterbag Placem_Collection'!V63)),"YES","NO")</f>
        <v>NO</v>
      </c>
    </row>
    <row r="723" spans="1:42" ht="15" customHeight="1">
      <c r="A723" t="s">
        <v>3248</v>
      </c>
      <c r="B723" s="252" t="s">
        <v>2643</v>
      </c>
      <c r="C723" s="253">
        <f>'Dry_Litterbag Placem_Collection'!A64</f>
        <v>62</v>
      </c>
      <c r="D723" s="253" t="str">
        <f>'Dry_Litterbag Placem_Collection'!B64</f>
        <v>Makao</v>
      </c>
      <c r="E723" s="253" t="s">
        <v>2643</v>
      </c>
      <c r="F723" s="253" t="s">
        <v>20</v>
      </c>
      <c r="G723" s="253">
        <v>4</v>
      </c>
      <c r="H723" s="253" t="s">
        <v>3110</v>
      </c>
      <c r="I723" s="254" t="str">
        <f>'Dry_Litterbag Placem_Collection'!C64</f>
        <v>Dry_P4_T6</v>
      </c>
      <c r="J723" s="263" t="s">
        <v>2932</v>
      </c>
      <c r="K723" s="264" t="s">
        <v>298</v>
      </c>
      <c r="L723" s="253" t="str">
        <f>IF(ISBLANK('Dry_Litterbag Placem_Collection'!M64),"","R"&amp;""&amp;'Dry_Litterbag Placem_Collection'!M64)</f>
        <v/>
      </c>
      <c r="M723" s="257" t="str">
        <f>IFERROR(INDEX('Green_rooibos initial weight'!$C$5:$C$2000,MATCH(L723, 'Green_rooibos initial weight'!$A$5:$A$2000,0)),"")</f>
        <v/>
      </c>
      <c r="N723" s="257" t="str">
        <f>IFERROR(M723-(TBIcalc!$Q$9+TBIcalc!$Q$10),"")</f>
        <v/>
      </c>
      <c r="O723" s="378">
        <f>AVERAGE(Ashed_controlls!$K$12:$K$14)</f>
        <v>2.2816647271287041</v>
      </c>
      <c r="P723" s="257" t="str">
        <f t="shared" si="56"/>
        <v/>
      </c>
      <c r="Q723" s="257" t="str">
        <f>IFERROR(INDEX('Both teabags AfterDry'!$D$2:$D$2000,MATCH(L723,'Both teabags AfterDry'!$A$2:$A$2000,0)),"")</f>
        <v/>
      </c>
      <c r="R723" s="257" t="str">
        <f>IFERROR(IF(Q723&gt;0,Q723-(TBIcalc!$Q$9),""),"")</f>
        <v/>
      </c>
      <c r="S723" s="268" t="str">
        <f>IFERROR(INDEX('Ashed teabags dry'!$K$2:$K$2000,MATCH(L723,'Ashed teabags dry'!$A$2:$A$2000,0)),"")</f>
        <v/>
      </c>
      <c r="T723" s="268" t="str">
        <f t="shared" si="57"/>
        <v/>
      </c>
      <c r="U723" s="258" t="str">
        <f>IF('Dry_Litterbag Placem_Collection'!E64="","",'Dry_Litterbag Placem_Collection'!E64)</f>
        <v/>
      </c>
      <c r="V723" s="258" t="str">
        <f>IF('Dry_Litterbag Placem_Collection'!G64="","",'Dry_Litterbag Placem_Collection'!G64)</f>
        <v/>
      </c>
      <c r="W723" s="259" t="str">
        <f t="shared" si="55"/>
        <v/>
      </c>
      <c r="X723" s="257" t="str">
        <f t="shared" si="58"/>
        <v/>
      </c>
      <c r="Y723" s="257" t="str">
        <f t="shared" si="59"/>
        <v/>
      </c>
      <c r="Z723" s="261" t="str">
        <f>IFERROR(INDEX([3]Rainfall_Dry!$O$2:$O$217,MATCH(C723, [3]Rainfall_Dry!$A$2:$A$217,0)),"")</f>
        <v/>
      </c>
      <c r="AA723" s="250">
        <v>25.96</v>
      </c>
      <c r="AB723" s="250">
        <v>6.9200000000000008</v>
      </c>
      <c r="AC723" s="250">
        <v>67.12</v>
      </c>
      <c r="AD723" s="251" t="s">
        <v>2651</v>
      </c>
      <c r="AE723" s="250">
        <v>1.7568260226712666</v>
      </c>
      <c r="AF723">
        <f>IF('WetLitterbags placem_collection'!AB64="","",'WetLitterbags placem_collection'!AB64)</f>
        <v>4.2</v>
      </c>
      <c r="AG723">
        <f>IF('WetLitterbags placem_collection'!Z64="","",'WetLitterbags placem_collection'!Z64)</f>
        <v>40.4</v>
      </c>
      <c r="AH723" s="236" t="str">
        <f>IF('WetLitterbags placem_collection'!AA64="","",'WetLitterbags placem_collection'!AA64)</f>
        <v>O</v>
      </c>
      <c r="AI723">
        <f>IF('WetLitterbags placem_collection'!AC64="","",'WetLitterbags placem_collection'!AC64)</f>
        <v>0</v>
      </c>
      <c r="AJ723" t="str">
        <f>IFERROR(AVERAGE('Dry_Litterbag Placem_Collection'!O64,'Dry_Litterbag Placem_Collection'!R64),"")</f>
        <v/>
      </c>
      <c r="AK723" s="261" t="str">
        <f>IFERROR(AVERAGE('Dry_Litterbag Placem_Collection'!N64,'Dry_Litterbag Placem_Collection'!Q64),"")</f>
        <v/>
      </c>
      <c r="AL723" s="260">
        <f>INDEX([2]Coordinates!$B$2:$B$197,MATCH(I723,[2]Coordinates!$J$2:$J$197,0))</f>
        <v>-3.4065180179999999</v>
      </c>
      <c r="AM723" s="260">
        <f>INDEX([2]Coordinates!$C$2:$C$197,MATCH(I723,[2]Coordinates!$J$2:$J$197,0))</f>
        <v>34.85121402</v>
      </c>
      <c r="AN723" s="260" t="str">
        <f>IF(ISNUMBER(SEARCH("C", 'Dry_Litterbag Placem_Collection'!V64)),"YES","NO")</f>
        <v>NO</v>
      </c>
      <c r="AO723" s="260" t="str">
        <f>IF(ISNUMBER(SEARCH("H", 'Dry_Litterbag Placem_Collection'!V64)),"YES","NO")</f>
        <v>NO</v>
      </c>
      <c r="AP723" s="260" t="str">
        <f>IF(ISNUMBER(SEARCH("R", 'Dry_Litterbag Placem_Collection'!V64)),"YES","NO")</f>
        <v>NO</v>
      </c>
    </row>
    <row r="724" spans="1:42" ht="15" customHeight="1">
      <c r="A724" t="s">
        <v>3248</v>
      </c>
      <c r="B724" s="252" t="s">
        <v>2643</v>
      </c>
      <c r="C724" s="253">
        <f>'Dry_Litterbag Placem_Collection'!A65</f>
        <v>63</v>
      </c>
      <c r="D724" s="253" t="str">
        <f>'Dry_Litterbag Placem_Collection'!B65</f>
        <v>Makao</v>
      </c>
      <c r="E724" s="253" t="s">
        <v>2643</v>
      </c>
      <c r="F724" s="253" t="s">
        <v>20</v>
      </c>
      <c r="G724" s="253">
        <v>4</v>
      </c>
      <c r="H724" s="253" t="s">
        <v>3110</v>
      </c>
      <c r="I724" s="254" t="str">
        <f>'Dry_Litterbag Placem_Collection'!C65</f>
        <v>Dry_P4_T7</v>
      </c>
      <c r="J724" s="263" t="s">
        <v>2932</v>
      </c>
      <c r="K724" s="264" t="s">
        <v>298</v>
      </c>
      <c r="L724" s="253" t="str">
        <f>IF(ISBLANK('Dry_Litterbag Placem_Collection'!M65),"","R"&amp;""&amp;'Dry_Litterbag Placem_Collection'!M65)</f>
        <v>R713</v>
      </c>
      <c r="M724" s="257">
        <f>IFERROR(INDEX('Green_rooibos initial weight'!$C$5:$C$2000,MATCH(L724, 'Green_rooibos initial weight'!$A$5:$A$2000,0)),"")</f>
        <v>2.1619999999999999</v>
      </c>
      <c r="N724" s="257">
        <f>IFERROR(M724-(TBIcalc!$Q$9+TBIcalc!$Q$10),"")</f>
        <v>1.9121999999999999</v>
      </c>
      <c r="O724" s="378">
        <f>AVERAGE(Ashed_controlls!$K$12:$K$14)</f>
        <v>2.2816647271287041</v>
      </c>
      <c r="P724" s="257">
        <f t="shared" si="56"/>
        <v>1.8685700070878448</v>
      </c>
      <c r="Q724" s="257">
        <f>IFERROR(INDEX('Both teabags AfterDry'!$D$2:$D$2000,MATCH(L724,'Both teabags AfterDry'!$A$2:$A$2000,0)),"")</f>
        <v>1.9921</v>
      </c>
      <c r="R724" s="257">
        <f>IFERROR(IF(Q724&gt;0,Q724-(TBIcalc!$Q$9),""),"")</f>
        <v>1.8414999999999999</v>
      </c>
      <c r="S724" s="268">
        <f>IFERROR(INDEX('Ashed teabags dry'!$K$2:$K$2000,MATCH(L724,'Ashed teabags dry'!$A$2:$A$2000,0)),"")</f>
        <v>2.4745269286755853</v>
      </c>
      <c r="T724" s="268">
        <f t="shared" si="57"/>
        <v>1.7959315866084391</v>
      </c>
      <c r="U724" s="258">
        <f>IF('Dry_Litterbag Placem_Collection'!E65="","",'Dry_Litterbag Placem_Collection'!E65)</f>
        <v>42938</v>
      </c>
      <c r="V724" s="258">
        <f>IF('Dry_Litterbag Placem_Collection'!G65="","",'Dry_Litterbag Placem_Collection'!G65)</f>
        <v>43005</v>
      </c>
      <c r="W724" s="259">
        <f t="shared" si="55"/>
        <v>67</v>
      </c>
      <c r="X724" s="257">
        <f t="shared" si="58"/>
        <v>7.0699999999999985E-2</v>
      </c>
      <c r="Y724" s="257">
        <f t="shared" si="59"/>
        <v>7.2638420479405719E-2</v>
      </c>
      <c r="Z724" s="261">
        <f>IFERROR(INDEX([3]Rainfall_Dry!$O$2:$O$217,MATCH(C724, [3]Rainfall_Dry!$A$2:$A$217,0)),"")</f>
        <v>6.5250000359999998</v>
      </c>
      <c r="AA724" s="250">
        <v>25.96</v>
      </c>
      <c r="AB724" s="250">
        <v>6.9200000000000008</v>
      </c>
      <c r="AC724" s="250">
        <v>67.12</v>
      </c>
      <c r="AD724" s="251" t="s">
        <v>2651</v>
      </c>
      <c r="AE724" s="250">
        <v>1.7568260226712666</v>
      </c>
      <c r="AF724">
        <f>IF('WetLitterbags placem_collection'!AB65="","",'WetLitterbags placem_collection'!AB65)</f>
        <v>4.9000000000000004</v>
      </c>
      <c r="AG724">
        <f>IF('WetLitterbags placem_collection'!Z65="","",'WetLitterbags placem_collection'!Z65)</f>
        <v>45</v>
      </c>
      <c r="AH724" s="236" t="str">
        <f>IF('WetLitterbags placem_collection'!AA65="","",'WetLitterbags placem_collection'!AA65)</f>
        <v>O</v>
      </c>
      <c r="AI724">
        <f>IF('WetLitterbags placem_collection'!AC65="","",'WetLitterbags placem_collection'!AC65)</f>
        <v>0</v>
      </c>
      <c r="AJ724">
        <f>IFERROR(AVERAGE('Dry_Litterbag Placem_Collection'!O65,'Dry_Litterbag Placem_Collection'!R65),"")</f>
        <v>4.75</v>
      </c>
      <c r="AK724" s="261">
        <f>IFERROR(AVERAGE('Dry_Litterbag Placem_Collection'!N65,'Dry_Litterbag Placem_Collection'!Q65),"")</f>
        <v>31.3</v>
      </c>
      <c r="AL724" s="260">
        <f>INDEX([2]Coordinates!$B$2:$B$197,MATCH(I724,[2]Coordinates!$J$2:$J$197,0))</f>
        <v>-3.406334035</v>
      </c>
      <c r="AM724" s="260">
        <f>INDEX([2]Coordinates!$C$2:$C$197,MATCH(I724,[2]Coordinates!$J$2:$J$197,0))</f>
        <v>34.851172030000001</v>
      </c>
      <c r="AN724" s="260" t="str">
        <f>IF(ISNUMBER(SEARCH("C", 'Dry_Litterbag Placem_Collection'!V65)),"YES","NO")</f>
        <v>NO</v>
      </c>
      <c r="AO724" s="260" t="str">
        <f>IF(ISNUMBER(SEARCH("H", 'Dry_Litterbag Placem_Collection'!V65)),"YES","NO")</f>
        <v>NO</v>
      </c>
      <c r="AP724" s="260" t="str">
        <f>IF(ISNUMBER(SEARCH("R", 'Dry_Litterbag Placem_Collection'!V65)),"YES","NO")</f>
        <v>NO</v>
      </c>
    </row>
    <row r="725" spans="1:42" ht="15" customHeight="1">
      <c r="A725" t="s">
        <v>3248</v>
      </c>
      <c r="B725" s="252" t="s">
        <v>2643</v>
      </c>
      <c r="C725" s="253">
        <f>'Dry_Litterbag Placem_Collection'!A66</f>
        <v>64</v>
      </c>
      <c r="D725" s="253" t="str">
        <f>'Dry_Litterbag Placem_Collection'!B66</f>
        <v>Makao</v>
      </c>
      <c r="E725" s="253" t="s">
        <v>2643</v>
      </c>
      <c r="F725" s="253" t="s">
        <v>20</v>
      </c>
      <c r="G725" s="253">
        <v>4</v>
      </c>
      <c r="H725" s="253" t="s">
        <v>3110</v>
      </c>
      <c r="I725" s="254" t="str">
        <f>'Dry_Litterbag Placem_Collection'!C66</f>
        <v>Dry_P4_T8</v>
      </c>
      <c r="J725" s="263" t="s">
        <v>2932</v>
      </c>
      <c r="K725" s="264" t="s">
        <v>298</v>
      </c>
      <c r="L725" s="253" t="str">
        <f>IF(ISBLANK('Dry_Litterbag Placem_Collection'!M66),"","R"&amp;""&amp;'Dry_Litterbag Placem_Collection'!M66)</f>
        <v>R237</v>
      </c>
      <c r="M725" s="257">
        <f>IFERROR(INDEX('Green_rooibos initial weight'!$C$5:$C$2000,MATCH(L725, 'Green_rooibos initial weight'!$A$5:$A$2000,0)),"")</f>
        <v>2.1989999999999998</v>
      </c>
      <c r="N725" s="257">
        <f>IFERROR(M725-(TBIcalc!$Q$9+TBIcalc!$Q$10),"")</f>
        <v>1.9491999999999998</v>
      </c>
      <c r="O725" s="378">
        <f>AVERAGE(Ashed_controlls!$K$12:$K$14)</f>
        <v>2.2816647271287041</v>
      </c>
      <c r="P725" s="257">
        <f t="shared" si="56"/>
        <v>1.9047257911388071</v>
      </c>
      <c r="Q725" s="257">
        <f>IFERROR(INDEX('Both teabags AfterDry'!$D$2:$D$2000,MATCH(L725,'Both teabags AfterDry'!$A$2:$A$2000,0)),"")</f>
        <v>1.9715</v>
      </c>
      <c r="R725" s="257">
        <f>IFERROR(IF(Q725&gt;0,Q725-(TBIcalc!$Q$9),""),"")</f>
        <v>1.8209</v>
      </c>
      <c r="S725" s="268">
        <f>IFERROR(INDEX('Ashed teabags dry'!$K$2:$K$2000,MATCH(L725,'Ashed teabags dry'!$A$2:$A$2000,0)),"")</f>
        <v>2.2650602409639138</v>
      </c>
      <c r="T725" s="268">
        <f t="shared" si="57"/>
        <v>1.7796555180722882</v>
      </c>
      <c r="U725" s="258">
        <f>IF('Dry_Litterbag Placem_Collection'!E66="","",'Dry_Litterbag Placem_Collection'!E66)</f>
        <v>42938</v>
      </c>
      <c r="V725" s="258">
        <f>IF('Dry_Litterbag Placem_Collection'!G66="","",'Dry_Litterbag Placem_Collection'!G66)</f>
        <v>43005</v>
      </c>
      <c r="W725" s="259">
        <f t="shared" si="55"/>
        <v>67</v>
      </c>
      <c r="X725" s="257">
        <f t="shared" si="58"/>
        <v>0.12829999999999986</v>
      </c>
      <c r="Y725" s="257">
        <f t="shared" si="59"/>
        <v>0.12507027306651897</v>
      </c>
      <c r="Z725" s="261">
        <f>IFERROR(INDEX([3]Rainfall_Dry!$O$2:$O$217,MATCH(C725, [3]Rainfall_Dry!$A$2:$A$217,0)),"")</f>
        <v>6.5250000359999998</v>
      </c>
      <c r="AA725" s="250">
        <v>25.96</v>
      </c>
      <c r="AB725" s="250">
        <v>6.9200000000000008</v>
      </c>
      <c r="AC725" s="250">
        <v>67.12</v>
      </c>
      <c r="AD725" s="251" t="s">
        <v>2651</v>
      </c>
      <c r="AE725" s="250">
        <v>1.7568260226712666</v>
      </c>
      <c r="AF725">
        <f>IF('WetLitterbags placem_collection'!AB66="","",'WetLitterbags placem_collection'!AB66)</f>
        <v>3</v>
      </c>
      <c r="AG725">
        <f>IF('WetLitterbags placem_collection'!Z66="","",'WetLitterbags placem_collection'!Z66)</f>
        <v>22.8</v>
      </c>
      <c r="AH725" s="236" t="str">
        <f>IF('WetLitterbags placem_collection'!AA66="","",'WetLitterbags placem_collection'!AA66)</f>
        <v>O</v>
      </c>
      <c r="AI725">
        <f>IF('WetLitterbags placem_collection'!AC66="","",'WetLitterbags placem_collection'!AC66)</f>
        <v>1</v>
      </c>
      <c r="AJ725">
        <f>IFERROR(AVERAGE('Dry_Litterbag Placem_Collection'!O66,'Dry_Litterbag Placem_Collection'!R66),"")</f>
        <v>5.55</v>
      </c>
      <c r="AK725" s="261">
        <f>IFERROR(AVERAGE('Dry_Litterbag Placem_Collection'!N66,'Dry_Litterbag Placem_Collection'!Q66),"")</f>
        <v>31.5</v>
      </c>
      <c r="AL725" s="260">
        <f>INDEX([2]Coordinates!$B$2:$B$197,MATCH(I725,[2]Coordinates!$J$2:$J$197,0))</f>
        <v>-3.4063409920000001</v>
      </c>
      <c r="AM725" s="260">
        <f>INDEX([2]Coordinates!$C$2:$C$197,MATCH(I725,[2]Coordinates!$J$2:$J$197,0))</f>
        <v>34.85126004</v>
      </c>
      <c r="AN725" s="260" t="str">
        <f>IF(ISNUMBER(SEARCH("C", 'Dry_Litterbag Placem_Collection'!V66)),"YES","NO")</f>
        <v>NO</v>
      </c>
      <c r="AO725" s="260" t="str">
        <f>IF(ISNUMBER(SEARCH("H", 'Dry_Litterbag Placem_Collection'!V66)),"YES","NO")</f>
        <v>NO</v>
      </c>
      <c r="AP725" s="260" t="str">
        <f>IF(ISNUMBER(SEARCH("R", 'Dry_Litterbag Placem_Collection'!V66)),"YES","NO")</f>
        <v>NO</v>
      </c>
    </row>
    <row r="726" spans="1:42" ht="15" customHeight="1">
      <c r="A726" t="s">
        <v>3248</v>
      </c>
      <c r="B726" s="252" t="s">
        <v>2643</v>
      </c>
      <c r="C726" s="253">
        <f>'Dry_Litterbag Placem_Collection'!A67</f>
        <v>65</v>
      </c>
      <c r="D726" s="253" t="str">
        <f>'Dry_Litterbag Placem_Collection'!B67</f>
        <v>Maswa</v>
      </c>
      <c r="E726" s="253" t="s">
        <v>2643</v>
      </c>
      <c r="F726" s="253" t="s">
        <v>2645</v>
      </c>
      <c r="G726" s="253">
        <v>1</v>
      </c>
      <c r="H726" s="253" t="s">
        <v>3111</v>
      </c>
      <c r="I726" s="254" t="str">
        <f>'Dry_Litterbag Placem_Collection'!C67</f>
        <v>Dry_W1_T1</v>
      </c>
      <c r="J726" s="263" t="s">
        <v>2932</v>
      </c>
      <c r="K726" s="264" t="s">
        <v>298</v>
      </c>
      <c r="L726" s="253" t="str">
        <f>IF(ISBLANK('Dry_Litterbag Placem_Collection'!M67),"","R"&amp;""&amp;'Dry_Litterbag Placem_Collection'!M67)</f>
        <v>R654</v>
      </c>
      <c r="M726" s="257">
        <f>IFERROR(INDEX('Green_rooibos initial weight'!$C$5:$C$2000,MATCH(L726, 'Green_rooibos initial weight'!$A$5:$A$2000,0)),"")</f>
        <v>2.2040000000000002</v>
      </c>
      <c r="N726" s="257">
        <f>IFERROR(M726-(TBIcalc!$Q$9+TBIcalc!$Q$10),"")</f>
        <v>1.9542000000000002</v>
      </c>
      <c r="O726" s="378">
        <f>AVERAGE(Ashed_controlls!$K$12:$K$14)</f>
        <v>2.2816647271287041</v>
      </c>
      <c r="P726" s="257">
        <f t="shared" si="56"/>
        <v>1.909611707902451</v>
      </c>
      <c r="Q726" s="257" t="str">
        <f>IFERROR(INDEX('Both teabags AfterDry'!$D$2:$D$2000,MATCH(L726,'Both teabags AfterDry'!$A$2:$A$2000,0)),"")</f>
        <v/>
      </c>
      <c r="R726" s="257" t="str">
        <f>IFERROR(IF(Q726&gt;0,Q726-(TBIcalc!$Q$9),""),"")</f>
        <v/>
      </c>
      <c r="S726" s="268" t="str">
        <f>IFERROR(INDEX('Ashed teabags dry'!$K$2:$K$2000,MATCH(L726,'Ashed teabags dry'!$A$2:$A$2000,0)),"")</f>
        <v/>
      </c>
      <c r="T726" s="268" t="str">
        <f t="shared" si="57"/>
        <v/>
      </c>
      <c r="U726" s="258">
        <f>IF('Dry_Litterbag Placem_Collection'!E67="","",'Dry_Litterbag Placem_Collection'!E67)</f>
        <v>42937</v>
      </c>
      <c r="V726" s="258">
        <f>IF('Dry_Litterbag Placem_Collection'!G67="","",'Dry_Litterbag Placem_Collection'!G67)</f>
        <v>43005</v>
      </c>
      <c r="W726" s="259">
        <f t="shared" si="55"/>
        <v>68</v>
      </c>
      <c r="X726" s="257" t="str">
        <f t="shared" si="58"/>
        <v/>
      </c>
      <c r="Y726" s="257" t="str">
        <f t="shared" si="59"/>
        <v/>
      </c>
      <c r="Z726" s="261">
        <f>IFERROR(INDEX([3]Rainfall_Dry!$O$2:$O$217,MATCH(C726, [3]Rainfall_Dry!$A$2:$A$217,0)),"")</f>
        <v>6.900000125</v>
      </c>
      <c r="AA726" s="250">
        <v>47.96</v>
      </c>
      <c r="AB726" s="250">
        <v>22.919999999999995</v>
      </c>
      <c r="AC726" s="250">
        <v>29.120000000000012</v>
      </c>
      <c r="AD726" s="251" t="s">
        <v>2654</v>
      </c>
      <c r="AE726" s="250">
        <v>2.8831936914736325</v>
      </c>
      <c r="AF726">
        <f>IF('WetLitterbags placem_collection'!AB67="","",'WetLitterbags placem_collection'!AB67)</f>
        <v>13.8</v>
      </c>
      <c r="AG726">
        <f>IF('WetLitterbags placem_collection'!Z67="","",'WetLitterbags placem_collection'!Z67)</f>
        <v>13.8</v>
      </c>
      <c r="AH726" s="236" t="str">
        <f>IF('WetLitterbags placem_collection'!AA67="","",'WetLitterbags placem_collection'!AA67)</f>
        <v>O</v>
      </c>
      <c r="AI726">
        <f>IF('WetLitterbags placem_collection'!AC67="","",'WetLitterbags placem_collection'!AC67)</f>
        <v>1</v>
      </c>
      <c r="AJ726">
        <f>IFERROR(AVERAGE('Dry_Litterbag Placem_Collection'!O67,'Dry_Litterbag Placem_Collection'!R67),"")</f>
        <v>10.65</v>
      </c>
      <c r="AK726" s="261">
        <f>IFERROR(AVERAGE('Dry_Litterbag Placem_Collection'!N67,'Dry_Litterbag Placem_Collection'!Q67),"")</f>
        <v>28</v>
      </c>
      <c r="AL726" s="260">
        <f>INDEX([2]Coordinates!$B$2:$B$197,MATCH(I726,[2]Coordinates!$J$2:$J$197,0))</f>
        <v>-3.2993960379999998</v>
      </c>
      <c r="AM726" s="260">
        <f>INDEX([2]Coordinates!$C$2:$C$197,MATCH(I726,[2]Coordinates!$J$2:$J$197,0))</f>
        <v>34.848240959999998</v>
      </c>
      <c r="AN726" s="260" t="str">
        <f>IF(ISNUMBER(SEARCH("C", 'Dry_Litterbag Placem_Collection'!V67)),"YES","NO")</f>
        <v>NO</v>
      </c>
      <c r="AO726" s="260" t="str">
        <f>IF(ISNUMBER(SEARCH("H", 'Dry_Litterbag Placem_Collection'!V67)),"YES","NO")</f>
        <v>NO</v>
      </c>
      <c r="AP726" s="260" t="str">
        <f>IF(ISNUMBER(SEARCH("R", 'Dry_Litterbag Placem_Collection'!V67)),"YES","NO")</f>
        <v>NO</v>
      </c>
    </row>
    <row r="727" spans="1:42" ht="15" customHeight="1">
      <c r="A727" t="s">
        <v>3248</v>
      </c>
      <c r="B727" s="252" t="s">
        <v>2643</v>
      </c>
      <c r="C727" s="253">
        <f>'Dry_Litterbag Placem_Collection'!A68</f>
        <v>66</v>
      </c>
      <c r="D727" s="253" t="str">
        <f>'Dry_Litterbag Placem_Collection'!B68</f>
        <v>Maswa</v>
      </c>
      <c r="E727" s="253" t="s">
        <v>2643</v>
      </c>
      <c r="F727" s="253" t="s">
        <v>2645</v>
      </c>
      <c r="G727" s="253">
        <v>1</v>
      </c>
      <c r="H727" s="253" t="s">
        <v>3111</v>
      </c>
      <c r="I727" s="254" t="str">
        <f>'Dry_Litterbag Placem_Collection'!C68</f>
        <v>Dry_W1_T2</v>
      </c>
      <c r="J727" s="263" t="s">
        <v>2932</v>
      </c>
      <c r="K727" s="264" t="s">
        <v>298</v>
      </c>
      <c r="L727" s="253" t="str">
        <f>IF(ISBLANK('Dry_Litterbag Placem_Collection'!M68),"","R"&amp;""&amp;'Dry_Litterbag Placem_Collection'!M68)</f>
        <v>R634</v>
      </c>
      <c r="M727" s="257">
        <f>IFERROR(INDEX('Green_rooibos initial weight'!$C$5:$C$2000,MATCH(L727, 'Green_rooibos initial weight'!$A$5:$A$2000,0)),"")</f>
        <v>2.0979999999999999</v>
      </c>
      <c r="N727" s="257">
        <f>IFERROR(M727-(TBIcalc!$Q$9+TBIcalc!$Q$10),"")</f>
        <v>1.8481999999999998</v>
      </c>
      <c r="O727" s="378">
        <f>AVERAGE(Ashed_controlls!$K$12:$K$14)</f>
        <v>2.2816647271287041</v>
      </c>
      <c r="P727" s="257">
        <f t="shared" si="56"/>
        <v>1.8060302725132071</v>
      </c>
      <c r="Q727" s="257">
        <f>IFERROR(INDEX('Both teabags AfterDry'!$D$2:$D$2000,MATCH(L727,'Both teabags AfterDry'!$A$2:$A$2000,0)),"")</f>
        <v>1.9177</v>
      </c>
      <c r="R727" s="257">
        <f>IFERROR(IF(Q727&gt;0,Q727-(TBIcalc!$Q$9),""),"")</f>
        <v>1.7670999999999999</v>
      </c>
      <c r="S727" s="268">
        <f>IFERROR(INDEX('Ashed teabags dry'!$K$2:$K$2000,MATCH(L727,'Ashed teabags dry'!$A$2:$A$2000,0)),"")</f>
        <v>2.2058823529412819</v>
      </c>
      <c r="T727" s="268">
        <f t="shared" si="57"/>
        <v>1.7281198529411745</v>
      </c>
      <c r="U727" s="258">
        <f>IF('Dry_Litterbag Placem_Collection'!E68="","",'Dry_Litterbag Placem_Collection'!E68)</f>
        <v>42937</v>
      </c>
      <c r="V727" s="258">
        <f>IF('Dry_Litterbag Placem_Collection'!G68="","",'Dry_Litterbag Placem_Collection'!G68)</f>
        <v>43005</v>
      </c>
      <c r="W727" s="259">
        <f t="shared" si="55"/>
        <v>68</v>
      </c>
      <c r="X727" s="257">
        <f t="shared" si="58"/>
        <v>8.109999999999995E-2</v>
      </c>
      <c r="Y727" s="257">
        <f t="shared" si="59"/>
        <v>7.7910419572032596E-2</v>
      </c>
      <c r="Z727" s="261">
        <f>IFERROR(INDEX([3]Rainfall_Dry!$O$2:$O$217,MATCH(C727, [3]Rainfall_Dry!$A$2:$A$217,0)),"")</f>
        <v>6.900000125</v>
      </c>
      <c r="AA727" s="250">
        <v>47.96</v>
      </c>
      <c r="AB727" s="250">
        <v>22.919999999999995</v>
      </c>
      <c r="AC727" s="250">
        <v>29.120000000000012</v>
      </c>
      <c r="AD727" s="251" t="s">
        <v>2654</v>
      </c>
      <c r="AE727" s="250">
        <v>3.8831936914736298</v>
      </c>
      <c r="AF727">
        <f>IF('WetLitterbags placem_collection'!AB68="","",'WetLitterbags placem_collection'!AB68)</f>
        <v>8</v>
      </c>
      <c r="AG727">
        <f>IF('WetLitterbags placem_collection'!Z68="","",'WetLitterbags placem_collection'!Z68)</f>
        <v>19.8</v>
      </c>
      <c r="AH727" s="236" t="str">
        <f>IF('WetLitterbags placem_collection'!AA68="","",'WetLitterbags placem_collection'!AA68)</f>
        <v>O</v>
      </c>
      <c r="AI727">
        <f>IF('WetLitterbags placem_collection'!AC68="","",'WetLitterbags placem_collection'!AC68)</f>
        <v>1</v>
      </c>
      <c r="AJ727">
        <f>IFERROR(AVERAGE('Dry_Litterbag Placem_Collection'!O68,'Dry_Litterbag Placem_Collection'!R68),"")</f>
        <v>10.100000000000001</v>
      </c>
      <c r="AK727" s="261">
        <f>IFERROR(AVERAGE('Dry_Litterbag Placem_Collection'!N68,'Dry_Litterbag Placem_Collection'!Q68),"")</f>
        <v>23.6</v>
      </c>
      <c r="AL727" s="260">
        <f>INDEX([2]Coordinates!$B$2:$B$197,MATCH(I727,[2]Coordinates!$J$2:$J$197,0))</f>
        <v>-3.2993090340000002</v>
      </c>
      <c r="AM727" s="260">
        <f>INDEX([2]Coordinates!$C$2:$C$197,MATCH(I727,[2]Coordinates!$J$2:$J$197,0))</f>
        <v>34.848404989999999</v>
      </c>
      <c r="AN727" s="260" t="str">
        <f>IF(ISNUMBER(SEARCH("C", 'Dry_Litterbag Placem_Collection'!V68)),"YES","NO")</f>
        <v>NO</v>
      </c>
      <c r="AO727" s="260" t="str">
        <f>IF(ISNUMBER(SEARCH("H", 'Dry_Litterbag Placem_Collection'!V68)),"YES","NO")</f>
        <v>NO</v>
      </c>
      <c r="AP727" s="260" t="str">
        <f>IF(ISNUMBER(SEARCH("R", 'Dry_Litterbag Placem_Collection'!V68)),"YES","NO")</f>
        <v>NO</v>
      </c>
    </row>
    <row r="728" spans="1:42" ht="15" customHeight="1">
      <c r="A728" t="s">
        <v>3248</v>
      </c>
      <c r="B728" s="252" t="s">
        <v>2643</v>
      </c>
      <c r="C728" s="253">
        <f>'Dry_Litterbag Placem_Collection'!A69</f>
        <v>67</v>
      </c>
      <c r="D728" s="253" t="str">
        <f>'Dry_Litterbag Placem_Collection'!B69</f>
        <v>Maswa</v>
      </c>
      <c r="E728" s="253" t="s">
        <v>2643</v>
      </c>
      <c r="F728" s="253" t="s">
        <v>2645</v>
      </c>
      <c r="G728" s="253">
        <v>1</v>
      </c>
      <c r="H728" s="253" t="s">
        <v>3111</v>
      </c>
      <c r="I728" s="254" t="str">
        <f>'Dry_Litterbag Placem_Collection'!C69</f>
        <v>Dry_W1_T3</v>
      </c>
      <c r="J728" s="263" t="s">
        <v>2932</v>
      </c>
      <c r="K728" s="264" t="s">
        <v>298</v>
      </c>
      <c r="L728" s="253" t="str">
        <f>IF(ISBLANK('Dry_Litterbag Placem_Collection'!M69),"","R"&amp;""&amp;'Dry_Litterbag Placem_Collection'!M69)</f>
        <v/>
      </c>
      <c r="M728" s="257" t="str">
        <f>IFERROR(INDEX('Green_rooibos initial weight'!$C$5:$C$2000,MATCH(L728, 'Green_rooibos initial weight'!$A$5:$A$2000,0)),"")</f>
        <v/>
      </c>
      <c r="N728" s="257" t="str">
        <f>IFERROR(M728-(TBIcalc!$Q$9+TBIcalc!$Q$10),"")</f>
        <v/>
      </c>
      <c r="O728" s="378">
        <f>AVERAGE(Ashed_controlls!$K$12:$K$14)</f>
        <v>2.2816647271287041</v>
      </c>
      <c r="P728" s="257" t="str">
        <f t="shared" si="56"/>
        <v/>
      </c>
      <c r="Q728" s="257" t="str">
        <f>IFERROR(INDEX('Both teabags AfterDry'!$D$2:$D$2000,MATCH(L728,'Both teabags AfterDry'!$A$2:$A$2000,0)),"")</f>
        <v/>
      </c>
      <c r="R728" s="257" t="str">
        <f>IFERROR(IF(Q728&gt;0,Q728-(TBIcalc!$Q$9),""),"")</f>
        <v/>
      </c>
      <c r="S728" s="268" t="str">
        <f>IFERROR(INDEX('Ashed teabags dry'!$K$2:$K$2000,MATCH(L728,'Ashed teabags dry'!$A$2:$A$2000,0)),"")</f>
        <v/>
      </c>
      <c r="T728" s="268" t="str">
        <f t="shared" si="57"/>
        <v/>
      </c>
      <c r="U728" s="258" t="str">
        <f>IF('Dry_Litterbag Placem_Collection'!E69="","",'Dry_Litterbag Placem_Collection'!E69)</f>
        <v/>
      </c>
      <c r="V728" s="258" t="str">
        <f>IF('Dry_Litterbag Placem_Collection'!G69="","",'Dry_Litterbag Placem_Collection'!G69)</f>
        <v/>
      </c>
      <c r="W728" s="259" t="str">
        <f t="shared" si="55"/>
        <v/>
      </c>
      <c r="X728" s="257" t="str">
        <f t="shared" si="58"/>
        <v/>
      </c>
      <c r="Y728" s="257" t="str">
        <f t="shared" si="59"/>
        <v/>
      </c>
      <c r="Z728" s="261" t="str">
        <f>IFERROR(INDEX([3]Rainfall_Dry!$O$2:$O$217,MATCH(C728, [3]Rainfall_Dry!$A$2:$A$217,0)),"")</f>
        <v/>
      </c>
      <c r="AA728" s="250">
        <v>47.96</v>
      </c>
      <c r="AB728" s="250">
        <v>22.919999999999995</v>
      </c>
      <c r="AC728" s="250">
        <v>29.120000000000012</v>
      </c>
      <c r="AD728" s="251" t="s">
        <v>2654</v>
      </c>
      <c r="AE728" s="250">
        <v>4.8831936914736298</v>
      </c>
      <c r="AF728">
        <f>IF('WetLitterbags placem_collection'!AB69="","",'WetLitterbags placem_collection'!AB69)</f>
        <v>5.5</v>
      </c>
      <c r="AG728">
        <f>IF('WetLitterbags placem_collection'!Z69="","",'WetLitterbags placem_collection'!Z69)</f>
        <v>5.5</v>
      </c>
      <c r="AH728" s="236" t="str">
        <f>IF('WetLitterbags placem_collection'!AA69="","",'WetLitterbags placem_collection'!AA69)</f>
        <v>O</v>
      </c>
      <c r="AI728">
        <f>IF('WetLitterbags placem_collection'!AC69="","",'WetLitterbags placem_collection'!AC69)</f>
        <v>1</v>
      </c>
      <c r="AJ728" t="str">
        <f>IFERROR(AVERAGE('Dry_Litterbag Placem_Collection'!O69,'Dry_Litterbag Placem_Collection'!R69),"")</f>
        <v/>
      </c>
      <c r="AK728" s="261" t="str">
        <f>IFERROR(AVERAGE('Dry_Litterbag Placem_Collection'!N69,'Dry_Litterbag Placem_Collection'!Q69),"")</f>
        <v/>
      </c>
      <c r="AL728" s="260">
        <f>INDEX([2]Coordinates!$B$2:$B$197,MATCH(I728,[2]Coordinates!$J$2:$J$197,0))</f>
        <v>-3.299434008</v>
      </c>
      <c r="AM728" s="260">
        <f>INDEX([2]Coordinates!$C$2:$C$197,MATCH(I728,[2]Coordinates!$J$2:$J$197,0))</f>
        <v>34.848514960000003</v>
      </c>
      <c r="AN728" s="260" t="str">
        <f>IF(ISNUMBER(SEARCH("C", 'Dry_Litterbag Placem_Collection'!V69)),"YES","NO")</f>
        <v>NO</v>
      </c>
      <c r="AO728" s="260" t="str">
        <f>IF(ISNUMBER(SEARCH("H", 'Dry_Litterbag Placem_Collection'!V69)),"YES","NO")</f>
        <v>NO</v>
      </c>
      <c r="AP728" s="260" t="str">
        <f>IF(ISNUMBER(SEARCH("R", 'Dry_Litterbag Placem_Collection'!V69)),"YES","NO")</f>
        <v>NO</v>
      </c>
    </row>
    <row r="729" spans="1:42" ht="15" customHeight="1">
      <c r="A729" t="s">
        <v>3248</v>
      </c>
      <c r="B729" s="252" t="s">
        <v>2643</v>
      </c>
      <c r="C729" s="253">
        <f>'Dry_Litterbag Placem_Collection'!A70</f>
        <v>68</v>
      </c>
      <c r="D729" s="253" t="str">
        <f>'Dry_Litterbag Placem_Collection'!B70</f>
        <v>Maswa</v>
      </c>
      <c r="E729" s="253" t="s">
        <v>2643</v>
      </c>
      <c r="F729" s="253" t="s">
        <v>2645</v>
      </c>
      <c r="G729" s="253">
        <v>1</v>
      </c>
      <c r="H729" s="253" t="s">
        <v>3111</v>
      </c>
      <c r="I729" s="254" t="str">
        <f>'Dry_Litterbag Placem_Collection'!C70</f>
        <v>Dry_W1_T4</v>
      </c>
      <c r="J729" s="263" t="s">
        <v>2932</v>
      </c>
      <c r="K729" s="264" t="s">
        <v>298</v>
      </c>
      <c r="L729" s="253" t="str">
        <f>IF(ISBLANK('Dry_Litterbag Placem_Collection'!M70),"","R"&amp;""&amp;'Dry_Litterbag Placem_Collection'!M70)</f>
        <v>R201</v>
      </c>
      <c r="M729" s="257">
        <f>IFERROR(INDEX('Green_rooibos initial weight'!$C$5:$C$2000,MATCH(L729, 'Green_rooibos initial weight'!$A$5:$A$2000,0)),"")</f>
        <v>2.2349999999999999</v>
      </c>
      <c r="N729" s="257">
        <f>IFERROR(M729-(TBIcalc!$Q$9+TBIcalc!$Q$10),"")</f>
        <v>1.9851999999999999</v>
      </c>
      <c r="O729" s="378">
        <f>AVERAGE(Ashed_controlls!$K$12:$K$14)</f>
        <v>2.2816647271287041</v>
      </c>
      <c r="P729" s="257">
        <f t="shared" si="56"/>
        <v>1.9399043918370409</v>
      </c>
      <c r="Q729" s="257">
        <f>IFERROR(INDEX('Both teabags AfterDry'!$D$2:$D$2000,MATCH(L729,'Both teabags AfterDry'!$A$2:$A$2000,0)),"")</f>
        <v>2.0015000000000001</v>
      </c>
      <c r="R729" s="257">
        <f>IFERROR(IF(Q729&gt;0,Q729-(TBIcalc!$Q$9),""),"")</f>
        <v>1.8509</v>
      </c>
      <c r="S729" s="268">
        <f>IFERROR(INDEX('Ashed teabags dry'!$K$2:$K$2000,MATCH(L729,'Ashed teabags dry'!$A$2:$A$2000,0)),"")</f>
        <v>3.2690695725061474</v>
      </c>
      <c r="T729" s="268">
        <f t="shared" si="57"/>
        <v>1.7903927912824837</v>
      </c>
      <c r="U729" s="258">
        <f>IF('Dry_Litterbag Placem_Collection'!E70="","",'Dry_Litterbag Placem_Collection'!E70)</f>
        <v>42937</v>
      </c>
      <c r="V729" s="258">
        <f>IF('Dry_Litterbag Placem_Collection'!G70="","",'Dry_Litterbag Placem_Collection'!G70)</f>
        <v>43005</v>
      </c>
      <c r="W729" s="259">
        <f t="shared" si="55"/>
        <v>68</v>
      </c>
      <c r="X729" s="257">
        <f t="shared" si="58"/>
        <v>0.13429999999999986</v>
      </c>
      <c r="Y729" s="257">
        <f t="shared" si="59"/>
        <v>0.14951160055455714</v>
      </c>
      <c r="Z729" s="261">
        <f>IFERROR(INDEX([3]Rainfall_Dry!$O$2:$O$217,MATCH(C729, [3]Rainfall_Dry!$A$2:$A$217,0)),"")</f>
        <v>6.900000125</v>
      </c>
      <c r="AA729" s="250">
        <v>47.96</v>
      </c>
      <c r="AB729" s="250">
        <v>22.919999999999995</v>
      </c>
      <c r="AC729" s="250">
        <v>29.120000000000012</v>
      </c>
      <c r="AD729" s="251" t="s">
        <v>2654</v>
      </c>
      <c r="AE729" s="250">
        <v>5.8831936914736298</v>
      </c>
      <c r="AF729">
        <f>IF('WetLitterbags placem_collection'!AB70="","",'WetLitterbags placem_collection'!AB70)</f>
        <v>9.6999999999999993</v>
      </c>
      <c r="AG729">
        <f>IF('WetLitterbags placem_collection'!Z70="","",'WetLitterbags placem_collection'!Z70)</f>
        <v>23.4</v>
      </c>
      <c r="AH729" s="236" t="str">
        <f>IF('WetLitterbags placem_collection'!AA70="","",'WetLitterbags placem_collection'!AA70)</f>
        <v>O</v>
      </c>
      <c r="AI729">
        <f>IF('WetLitterbags placem_collection'!AC70="","",'WetLitterbags placem_collection'!AC70)</f>
        <v>1</v>
      </c>
      <c r="AJ729">
        <f>IFERROR(AVERAGE('Dry_Litterbag Placem_Collection'!O70,'Dry_Litterbag Placem_Collection'!R70),"")</f>
        <v>7.75</v>
      </c>
      <c r="AK729" s="261">
        <f>IFERROR(AVERAGE('Dry_Litterbag Placem_Collection'!N70,'Dry_Litterbag Placem_Collection'!Q70),"")</f>
        <v>26.85</v>
      </c>
      <c r="AL729" s="260">
        <f>INDEX([2]Coordinates!$B$2:$B$197,MATCH(I729,[2]Coordinates!$J$2:$J$197,0))</f>
        <v>-3.2991180099999999</v>
      </c>
      <c r="AM729" s="260">
        <f>INDEX([2]Coordinates!$C$2:$C$197,MATCH(I729,[2]Coordinates!$J$2:$J$197,0))</f>
        <v>34.84824699</v>
      </c>
      <c r="AN729" s="260" t="str">
        <f>IF(ISNUMBER(SEARCH("C", 'Dry_Litterbag Placem_Collection'!V70)),"YES","NO")</f>
        <v>NO</v>
      </c>
      <c r="AO729" s="260" t="str">
        <f>IF(ISNUMBER(SEARCH("H", 'Dry_Litterbag Placem_Collection'!V70)),"YES","NO")</f>
        <v>NO</v>
      </c>
      <c r="AP729" s="260" t="str">
        <f>IF(ISNUMBER(SEARCH("R", 'Dry_Litterbag Placem_Collection'!V70)),"YES","NO")</f>
        <v>NO</v>
      </c>
    </row>
    <row r="730" spans="1:42" ht="15" customHeight="1">
      <c r="A730" t="s">
        <v>3248</v>
      </c>
      <c r="B730" s="252" t="s">
        <v>2643</v>
      </c>
      <c r="C730" s="253">
        <f>'Dry_Litterbag Placem_Collection'!A71</f>
        <v>69</v>
      </c>
      <c r="D730" s="253" t="str">
        <f>'Dry_Litterbag Placem_Collection'!B71</f>
        <v>Maswa</v>
      </c>
      <c r="E730" s="253" t="s">
        <v>2643</v>
      </c>
      <c r="F730" s="253" t="s">
        <v>2645</v>
      </c>
      <c r="G730" s="253">
        <v>1</v>
      </c>
      <c r="H730" s="253" t="s">
        <v>3111</v>
      </c>
      <c r="I730" s="254" t="str">
        <f>'Dry_Litterbag Placem_Collection'!C71</f>
        <v>Dry_W1_T5</v>
      </c>
      <c r="J730" s="263" t="s">
        <v>2932</v>
      </c>
      <c r="K730" s="264" t="s">
        <v>298</v>
      </c>
      <c r="L730" s="253" t="str">
        <f>IF(ISBLANK('Dry_Litterbag Placem_Collection'!M71),"","R"&amp;""&amp;'Dry_Litterbag Placem_Collection'!M71)</f>
        <v>R174</v>
      </c>
      <c r="M730" s="257">
        <f>IFERROR(INDEX('Green_rooibos initial weight'!$C$5:$C$2000,MATCH(L730, 'Green_rooibos initial weight'!$A$5:$A$2000,0)),"")</f>
        <v>2.2410000000000001</v>
      </c>
      <c r="N730" s="257">
        <f>IFERROR(M730-(TBIcalc!$Q$9+TBIcalc!$Q$10),"")</f>
        <v>1.9912000000000001</v>
      </c>
      <c r="O730" s="378">
        <f>AVERAGE(Ashed_controlls!$K$12:$K$14)</f>
        <v>2.2816647271287041</v>
      </c>
      <c r="P730" s="257">
        <f t="shared" si="56"/>
        <v>1.9457674919534134</v>
      </c>
      <c r="Q730" s="257">
        <f>IFERROR(INDEX('Both teabags AfterDry'!$D$2:$D$2000,MATCH(L730,'Both teabags AfterDry'!$A$2:$A$2000,0)),"")</f>
        <v>1.9946999999999999</v>
      </c>
      <c r="R730" s="257">
        <f>IFERROR(IF(Q730&gt;0,Q730-(TBIcalc!$Q$9),""),"")</f>
        <v>1.8440999999999999</v>
      </c>
      <c r="S730" s="268">
        <f>IFERROR(INDEX('Ashed teabags dry'!$K$2:$K$2000,MATCH(L730,'Ashed teabags dry'!$A$2:$A$2000,0)),"")</f>
        <v>2.7638190954781701</v>
      </c>
      <c r="T730" s="268">
        <f t="shared" si="57"/>
        <v>1.793132412060287</v>
      </c>
      <c r="U730" s="258">
        <f>IF('Dry_Litterbag Placem_Collection'!E71="","",'Dry_Litterbag Placem_Collection'!E71)</f>
        <v>42937</v>
      </c>
      <c r="V730" s="258">
        <f>IF('Dry_Litterbag Placem_Collection'!G71="","",'Dry_Litterbag Placem_Collection'!G71)</f>
        <v>43006</v>
      </c>
      <c r="W730" s="259">
        <f t="shared" si="55"/>
        <v>69</v>
      </c>
      <c r="X730" s="257">
        <f t="shared" si="58"/>
        <v>0.14710000000000023</v>
      </c>
      <c r="Y730" s="257">
        <f t="shared" si="59"/>
        <v>0.15263507989312641</v>
      </c>
      <c r="Z730" s="261">
        <f>IFERROR(INDEX([3]Rainfall_Dry!$O$2:$O$217,MATCH(C730, [3]Rainfall_Dry!$A$2:$A$217,0)),"")</f>
        <v>6.900000125</v>
      </c>
      <c r="AA730" s="250">
        <v>47.96</v>
      </c>
      <c r="AB730" s="250">
        <v>22.919999999999995</v>
      </c>
      <c r="AC730" s="250">
        <v>29.120000000000012</v>
      </c>
      <c r="AD730" s="251" t="s">
        <v>2654</v>
      </c>
      <c r="AE730" s="250">
        <v>6.8831936914736298</v>
      </c>
      <c r="AF730">
        <f>IF('WetLitterbags placem_collection'!AB71="","",'WetLitterbags placem_collection'!AB71)</f>
        <v>14.4</v>
      </c>
      <c r="AG730">
        <f>IF('WetLitterbags placem_collection'!Z71="","",'WetLitterbags placem_collection'!Z71)</f>
        <v>24.4</v>
      </c>
      <c r="AH730" s="236" t="str">
        <f>IF('WetLitterbags placem_collection'!AA71="","",'WetLitterbags placem_collection'!AA71)</f>
        <v>O</v>
      </c>
      <c r="AI730">
        <f>IF('WetLitterbags placem_collection'!AC71="","",'WetLitterbags placem_collection'!AC71)</f>
        <v>1</v>
      </c>
      <c r="AJ730">
        <f>IFERROR(AVERAGE('Dry_Litterbag Placem_Collection'!O71,'Dry_Litterbag Placem_Collection'!R71),"")</f>
        <v>7.95</v>
      </c>
      <c r="AK730" s="261">
        <f>IFERROR(AVERAGE('Dry_Litterbag Placem_Collection'!N71,'Dry_Litterbag Placem_Collection'!Q71),"")</f>
        <v>26.55</v>
      </c>
      <c r="AL730" s="260">
        <f>INDEX([2]Coordinates!$B$2:$B$197,MATCH(I730,[2]Coordinates!$J$2:$J$197,0))</f>
        <v>-3.2993180030000002</v>
      </c>
      <c r="AM730" s="260">
        <f>INDEX([2]Coordinates!$C$2:$C$197,MATCH(I730,[2]Coordinates!$J$2:$J$197,0))</f>
        <v>34.848235010000003</v>
      </c>
      <c r="AN730" s="260" t="str">
        <f>IF(ISNUMBER(SEARCH("C", 'Dry_Litterbag Placem_Collection'!V71)),"YES","NO")</f>
        <v>NO</v>
      </c>
      <c r="AO730" s="260" t="str">
        <f>IF(ISNUMBER(SEARCH("H", 'Dry_Litterbag Placem_Collection'!V71)),"YES","NO")</f>
        <v>NO</v>
      </c>
      <c r="AP730" s="260" t="str">
        <f>IF(ISNUMBER(SEARCH("R", 'Dry_Litterbag Placem_Collection'!V71)),"YES","NO")</f>
        <v>NO</v>
      </c>
    </row>
    <row r="731" spans="1:42" ht="15" customHeight="1">
      <c r="A731" t="s">
        <v>3248</v>
      </c>
      <c r="B731" s="252" t="s">
        <v>2643</v>
      </c>
      <c r="C731" s="253">
        <f>'Dry_Litterbag Placem_Collection'!A72</f>
        <v>70</v>
      </c>
      <c r="D731" s="253" t="str">
        <f>'Dry_Litterbag Placem_Collection'!B72</f>
        <v>Maswa</v>
      </c>
      <c r="E731" s="253" t="s">
        <v>2643</v>
      </c>
      <c r="F731" s="253" t="s">
        <v>2645</v>
      </c>
      <c r="G731" s="253">
        <v>1</v>
      </c>
      <c r="H731" s="253" t="s">
        <v>3111</v>
      </c>
      <c r="I731" s="254" t="str">
        <f>'Dry_Litterbag Placem_Collection'!C72</f>
        <v>Dry_W1_T6</v>
      </c>
      <c r="J731" s="263" t="s">
        <v>2932</v>
      </c>
      <c r="K731" s="264" t="s">
        <v>298</v>
      </c>
      <c r="L731" s="253" t="str">
        <f>IF(ISBLANK('Dry_Litterbag Placem_Collection'!M72),"","R"&amp;""&amp;'Dry_Litterbag Placem_Collection'!M72)</f>
        <v>R261</v>
      </c>
      <c r="M731" s="257">
        <f>IFERROR(INDEX('Green_rooibos initial weight'!$C$5:$C$2000,MATCH(L731, 'Green_rooibos initial weight'!$A$5:$A$2000,0)),"")</f>
        <v>2.2080000000000002</v>
      </c>
      <c r="N731" s="257">
        <f>IFERROR(M731-(TBIcalc!$Q$9+TBIcalc!$Q$10),"")</f>
        <v>1.9582000000000002</v>
      </c>
      <c r="O731" s="378">
        <f>AVERAGE(Ashed_controlls!$K$12:$K$14)</f>
        <v>2.2816647271287041</v>
      </c>
      <c r="P731" s="257">
        <f t="shared" si="56"/>
        <v>1.913520441313366</v>
      </c>
      <c r="Q731" s="257">
        <f>IFERROR(INDEX('Both teabags AfterDry'!$D$2:$D$2000,MATCH(L731,'Both teabags AfterDry'!$A$2:$A$2000,0)),"")</f>
        <v>1.9642999999999999</v>
      </c>
      <c r="R731" s="257">
        <f>IFERROR(IF(Q731&gt;0,Q731-(TBIcalc!$Q$9),""),"")</f>
        <v>1.8136999999999999</v>
      </c>
      <c r="S731" s="268">
        <f>IFERROR(INDEX('Ashed teabags dry'!$K$2:$K$2000,MATCH(L731,'Ashed teabags dry'!$A$2:$A$2000,0)),"")</f>
        <v>3.9428289797936209</v>
      </c>
      <c r="T731" s="268">
        <f t="shared" si="57"/>
        <v>1.7421889107934829</v>
      </c>
      <c r="U731" s="258">
        <f>IF('Dry_Litterbag Placem_Collection'!E72="","",'Dry_Litterbag Placem_Collection'!E72)</f>
        <v>42937</v>
      </c>
      <c r="V731" s="258">
        <f>IF('Dry_Litterbag Placem_Collection'!G72="","",'Dry_Litterbag Placem_Collection'!G72)</f>
        <v>43006</v>
      </c>
      <c r="W731" s="259">
        <f t="shared" si="55"/>
        <v>69</v>
      </c>
      <c r="X731" s="257">
        <f t="shared" si="58"/>
        <v>0.14450000000000029</v>
      </c>
      <c r="Y731" s="257">
        <f t="shared" si="59"/>
        <v>0.17133153051988304</v>
      </c>
      <c r="Z731" s="261">
        <f>IFERROR(INDEX([3]Rainfall_Dry!$O$2:$O$217,MATCH(C731, [3]Rainfall_Dry!$A$2:$A$217,0)),"")</f>
        <v>6.900000125</v>
      </c>
      <c r="AA731" s="250">
        <v>47.96</v>
      </c>
      <c r="AB731" s="250">
        <v>22.919999999999995</v>
      </c>
      <c r="AC731" s="250">
        <v>29.120000000000012</v>
      </c>
      <c r="AD731" s="251" t="s">
        <v>2654</v>
      </c>
      <c r="AE731" s="250">
        <v>7.8831936914736298</v>
      </c>
      <c r="AF731">
        <f>IF('WetLitterbags placem_collection'!AB72="","",'WetLitterbags placem_collection'!AB72)</f>
        <v>15</v>
      </c>
      <c r="AG731">
        <f>IF('WetLitterbags placem_collection'!Z72="","",'WetLitterbags placem_collection'!Z72)</f>
        <v>28</v>
      </c>
      <c r="AH731" s="236" t="str">
        <f>IF('WetLitterbags placem_collection'!AA72="","",'WetLitterbags placem_collection'!AA72)</f>
        <v>O</v>
      </c>
      <c r="AI731">
        <f>IF('WetLitterbags placem_collection'!AC72="","",'WetLitterbags placem_collection'!AC72)</f>
        <v>0</v>
      </c>
      <c r="AJ731">
        <f>IFERROR(AVERAGE('Dry_Litterbag Placem_Collection'!O72,'Dry_Litterbag Placem_Collection'!R72),"")</f>
        <v>8.8000000000000007</v>
      </c>
      <c r="AK731" s="261">
        <f>IFERROR(AVERAGE('Dry_Litterbag Placem_Collection'!N72,'Dry_Litterbag Placem_Collection'!Q72),"")</f>
        <v>27.200000000000003</v>
      </c>
      <c r="AL731" s="260">
        <f>INDEX([2]Coordinates!$B$2:$B$197,MATCH(I731,[2]Coordinates!$J$2:$J$197,0))</f>
        <v>-3.299381034</v>
      </c>
      <c r="AM731" s="260">
        <f>INDEX([2]Coordinates!$C$2:$C$197,MATCH(I731,[2]Coordinates!$J$2:$J$197,0))</f>
        <v>34.848312040000003</v>
      </c>
      <c r="AN731" s="260" t="str">
        <f>IF(ISNUMBER(SEARCH("C", 'Dry_Litterbag Placem_Collection'!V72)),"YES","NO")</f>
        <v>NO</v>
      </c>
      <c r="AO731" s="260" t="str">
        <f>IF(ISNUMBER(SEARCH("H", 'Dry_Litterbag Placem_Collection'!V72)),"YES","NO")</f>
        <v>NO</v>
      </c>
      <c r="AP731" s="260" t="str">
        <f>IF(ISNUMBER(SEARCH("R", 'Dry_Litterbag Placem_Collection'!V72)),"YES","NO")</f>
        <v>NO</v>
      </c>
    </row>
    <row r="732" spans="1:42" ht="15" customHeight="1">
      <c r="A732" t="s">
        <v>3248</v>
      </c>
      <c r="B732" s="252" t="s">
        <v>2643</v>
      </c>
      <c r="C732" s="253">
        <f>'Dry_Litterbag Placem_Collection'!A73</f>
        <v>71</v>
      </c>
      <c r="D732" s="253" t="str">
        <f>'Dry_Litterbag Placem_Collection'!B73</f>
        <v>Maswa</v>
      </c>
      <c r="E732" s="253" t="s">
        <v>2643</v>
      </c>
      <c r="F732" s="253" t="s">
        <v>2645</v>
      </c>
      <c r="G732" s="253">
        <v>1</v>
      </c>
      <c r="H732" s="253" t="s">
        <v>3111</v>
      </c>
      <c r="I732" s="254" t="str">
        <f>'Dry_Litterbag Placem_Collection'!C73</f>
        <v>Dry_W1_T7</v>
      </c>
      <c r="J732" s="263" t="s">
        <v>2932</v>
      </c>
      <c r="K732" s="264" t="s">
        <v>298</v>
      </c>
      <c r="L732" s="253" t="str">
        <f>IF(ISBLANK('Dry_Litterbag Placem_Collection'!M73),"","R"&amp;""&amp;'Dry_Litterbag Placem_Collection'!M73)</f>
        <v>R203</v>
      </c>
      <c r="M732" s="257">
        <f>IFERROR(INDEX('Green_rooibos initial weight'!$C$5:$C$2000,MATCH(L732, 'Green_rooibos initial weight'!$A$5:$A$2000,0)),"")</f>
        <v>2.2839999999999998</v>
      </c>
      <c r="N732" s="257">
        <f>IFERROR(M732-(TBIcalc!$Q$9+TBIcalc!$Q$10),"")</f>
        <v>2.0341999999999998</v>
      </c>
      <c r="O732" s="378">
        <f>AVERAGE(Ashed_controlls!$K$12:$K$14)</f>
        <v>2.2816647271287041</v>
      </c>
      <c r="P732" s="257">
        <f t="shared" si="56"/>
        <v>1.9877863761207477</v>
      </c>
      <c r="Q732" s="257">
        <f>IFERROR(INDEX('Both teabags AfterDry'!$D$2:$D$2000,MATCH(L732,'Both teabags AfterDry'!$A$2:$A$2000,0)),"")</f>
        <v>2.0466000000000002</v>
      </c>
      <c r="R732" s="257">
        <f>IFERROR(IF(Q732&gt;0,Q732-(TBIcalc!$Q$9),""),"")</f>
        <v>1.8960000000000001</v>
      </c>
      <c r="S732" s="268">
        <f>IFERROR(INDEX('Ashed teabags dry'!$K$2:$K$2000,MATCH(L732,'Ashed teabags dry'!$A$2:$A$2000,0)),"")</f>
        <v>3.3625730994153482</v>
      </c>
      <c r="T732" s="268">
        <f t="shared" si="57"/>
        <v>1.8322456140350851</v>
      </c>
      <c r="U732" s="258">
        <f>IF('Dry_Litterbag Placem_Collection'!E73="","",'Dry_Litterbag Placem_Collection'!E73)</f>
        <v>42937</v>
      </c>
      <c r="V732" s="258">
        <f>IF('Dry_Litterbag Placem_Collection'!G73="","",'Dry_Litterbag Placem_Collection'!G73)</f>
        <v>43006</v>
      </c>
      <c r="W732" s="259">
        <f t="shared" si="55"/>
        <v>69</v>
      </c>
      <c r="X732" s="257">
        <f t="shared" si="58"/>
        <v>0.13819999999999966</v>
      </c>
      <c r="Y732" s="257">
        <f t="shared" si="59"/>
        <v>0.15554076208566259</v>
      </c>
      <c r="Z732" s="261">
        <f>IFERROR(INDEX([3]Rainfall_Dry!$O$2:$O$217,MATCH(C732, [3]Rainfall_Dry!$A$2:$A$217,0)),"")</f>
        <v>6.900000125</v>
      </c>
      <c r="AA732" s="250">
        <v>47.96</v>
      </c>
      <c r="AB732" s="250">
        <v>22.919999999999995</v>
      </c>
      <c r="AC732" s="250">
        <v>29.120000000000012</v>
      </c>
      <c r="AD732" s="251" t="s">
        <v>2654</v>
      </c>
      <c r="AE732" s="250">
        <v>8.8831936914736307</v>
      </c>
      <c r="AF732">
        <f>IF('WetLitterbags placem_collection'!AB73="","",'WetLitterbags placem_collection'!AB73)</f>
        <v>15.5</v>
      </c>
      <c r="AG732">
        <f>IF('WetLitterbags placem_collection'!Z73="","",'WetLitterbags placem_collection'!Z73)</f>
        <v>32</v>
      </c>
      <c r="AH732" s="236" t="str">
        <f>IF('WetLitterbags placem_collection'!AA73="","",'WetLitterbags placem_collection'!AA73)</f>
        <v>O</v>
      </c>
      <c r="AI732">
        <f>IF('WetLitterbags placem_collection'!AC73="","",'WetLitterbags placem_collection'!AC73)</f>
        <v>1</v>
      </c>
      <c r="AJ732">
        <f>IFERROR(AVERAGE('Dry_Litterbag Placem_Collection'!O73,'Dry_Litterbag Placem_Collection'!R73),"")</f>
        <v>9.9499999999999993</v>
      </c>
      <c r="AK732" s="261">
        <f>IFERROR(AVERAGE('Dry_Litterbag Placem_Collection'!N73,'Dry_Litterbag Placem_Collection'!Q73),"")</f>
        <v>27.6</v>
      </c>
      <c r="AL732" s="260">
        <f>INDEX([2]Coordinates!$B$2:$B$197,MATCH(I732,[2]Coordinates!$J$2:$J$197,0))</f>
        <v>-3.2992429849999998</v>
      </c>
      <c r="AM732" s="260">
        <f>INDEX([2]Coordinates!$C$2:$C$197,MATCH(I732,[2]Coordinates!$J$2:$J$197,0))</f>
        <v>34.847900989999999</v>
      </c>
      <c r="AN732" s="260" t="str">
        <f>IF(ISNUMBER(SEARCH("C", 'Dry_Litterbag Placem_Collection'!V73)),"YES","NO")</f>
        <v>NO</v>
      </c>
      <c r="AO732" s="260" t="str">
        <f>IF(ISNUMBER(SEARCH("H", 'Dry_Litterbag Placem_Collection'!V73)),"YES","NO")</f>
        <v>NO</v>
      </c>
      <c r="AP732" s="260" t="str">
        <f>IF(ISNUMBER(SEARCH("R", 'Dry_Litterbag Placem_Collection'!V73)),"YES","NO")</f>
        <v>NO</v>
      </c>
    </row>
    <row r="733" spans="1:42" ht="15" customHeight="1">
      <c r="A733" t="s">
        <v>3248</v>
      </c>
      <c r="B733" s="252" t="s">
        <v>2643</v>
      </c>
      <c r="C733" s="253">
        <f>'Dry_Litterbag Placem_Collection'!A74</f>
        <v>72</v>
      </c>
      <c r="D733" s="253" t="str">
        <f>'Dry_Litterbag Placem_Collection'!B74</f>
        <v>Maswa</v>
      </c>
      <c r="E733" s="253" t="s">
        <v>2643</v>
      </c>
      <c r="F733" s="253" t="s">
        <v>2645</v>
      </c>
      <c r="G733" s="253">
        <v>1</v>
      </c>
      <c r="H733" s="253" t="s">
        <v>3111</v>
      </c>
      <c r="I733" s="254" t="str">
        <f>'Dry_Litterbag Placem_Collection'!C74</f>
        <v>Dry_W1_T8</v>
      </c>
      <c r="J733" s="263" t="s">
        <v>2932</v>
      </c>
      <c r="K733" s="264" t="s">
        <v>298</v>
      </c>
      <c r="L733" s="253" t="str">
        <f>IF(ISBLANK('Dry_Litterbag Placem_Collection'!M74),"","R"&amp;""&amp;'Dry_Litterbag Placem_Collection'!M74)</f>
        <v>R191</v>
      </c>
      <c r="M733" s="257">
        <f>IFERROR(INDEX('Green_rooibos initial weight'!$C$5:$C$2000,MATCH(L733, 'Green_rooibos initial weight'!$A$5:$A$2000,0)),"")</f>
        <v>2.1789999999999998</v>
      </c>
      <c r="N733" s="257">
        <f>IFERROR(M733-(TBIcalc!$Q$9+TBIcalc!$Q$10),"")</f>
        <v>1.9291999999999998</v>
      </c>
      <c r="O733" s="378">
        <f>AVERAGE(Ashed_controlls!$K$12:$K$14)</f>
        <v>2.2816647271287041</v>
      </c>
      <c r="P733" s="257">
        <f t="shared" si="56"/>
        <v>1.8851821240842328</v>
      </c>
      <c r="Q733" s="257">
        <f>IFERROR(INDEX('Both teabags AfterDry'!$D$2:$D$2000,MATCH(L733,'Both teabags AfterDry'!$A$2:$A$2000,0)),"")</f>
        <v>1.9675</v>
      </c>
      <c r="R733" s="257">
        <f>IFERROR(IF(Q733&gt;0,Q733-(TBIcalc!$Q$9),""),"")</f>
        <v>1.8169</v>
      </c>
      <c r="S733" s="268">
        <f>IFERROR(INDEX('Ashed teabags dry'!$K$2:$K$2000,MATCH(L733,'Ashed teabags dry'!$A$2:$A$2000,0)),"")</f>
        <v>1.8121125417263937</v>
      </c>
      <c r="T733" s="268">
        <f t="shared" si="57"/>
        <v>1.783975727229373</v>
      </c>
      <c r="U733" s="258">
        <f>IF('Dry_Litterbag Placem_Collection'!E74="","",'Dry_Litterbag Placem_Collection'!E74)</f>
        <v>42937</v>
      </c>
      <c r="V733" s="258">
        <f>IF('Dry_Litterbag Placem_Collection'!G74="","",'Dry_Litterbag Placem_Collection'!G74)</f>
        <v>43006</v>
      </c>
      <c r="W733" s="259">
        <f t="shared" si="55"/>
        <v>69</v>
      </c>
      <c r="X733" s="257">
        <f t="shared" si="58"/>
        <v>0.11229999999999984</v>
      </c>
      <c r="Y733" s="257">
        <f t="shared" si="59"/>
        <v>0.10120639685485977</v>
      </c>
      <c r="Z733" s="261">
        <f>IFERROR(INDEX([3]Rainfall_Dry!$O$2:$O$217,MATCH(C733, [3]Rainfall_Dry!$A$2:$A$217,0)),"")</f>
        <v>6.900000125</v>
      </c>
      <c r="AA733" s="250">
        <v>47.96</v>
      </c>
      <c r="AB733" s="250">
        <v>22.919999999999995</v>
      </c>
      <c r="AC733" s="250">
        <v>29.120000000000012</v>
      </c>
      <c r="AD733" s="251" t="s">
        <v>2654</v>
      </c>
      <c r="AE733" s="250">
        <v>9.8831936914736307</v>
      </c>
      <c r="AF733">
        <f>IF('WetLitterbags placem_collection'!AB74="","",'WetLitterbags placem_collection'!AB74)</f>
        <v>2.6</v>
      </c>
      <c r="AG733">
        <f>IF('WetLitterbags placem_collection'!Z74="","",'WetLitterbags placem_collection'!Z74)</f>
        <v>44</v>
      </c>
      <c r="AH733" s="236" t="str">
        <f>IF('WetLitterbags placem_collection'!AA74="","",'WetLitterbags placem_collection'!AA74)</f>
        <v>O</v>
      </c>
      <c r="AI733">
        <f>IF('WetLitterbags placem_collection'!AC74="","",'WetLitterbags placem_collection'!AC74)</f>
        <v>1</v>
      </c>
      <c r="AJ733">
        <f>IFERROR(AVERAGE('Dry_Litterbag Placem_Collection'!O74,'Dry_Litterbag Placem_Collection'!R74),"")</f>
        <v>9.5</v>
      </c>
      <c r="AK733" s="261">
        <f>IFERROR(AVERAGE('Dry_Litterbag Placem_Collection'!N74,'Dry_Litterbag Placem_Collection'!Q74),"")</f>
        <v>26.35</v>
      </c>
      <c r="AL733" s="260">
        <f>INDEX([2]Coordinates!$B$2:$B$197,MATCH(I733,[2]Coordinates!$J$2:$J$197,0))</f>
        <v>-3.2996540329999999</v>
      </c>
      <c r="AM733" s="260">
        <f>INDEX([2]Coordinates!$C$2:$C$197,MATCH(I733,[2]Coordinates!$J$2:$J$197,0))</f>
        <v>34.848151020000003</v>
      </c>
      <c r="AN733" s="260" t="str">
        <f>IF(ISNUMBER(SEARCH("C", 'Dry_Litterbag Placem_Collection'!V74)),"YES","NO")</f>
        <v>NO</v>
      </c>
      <c r="AO733" s="260" t="str">
        <f>IF(ISNUMBER(SEARCH("H", 'Dry_Litterbag Placem_Collection'!V74)),"YES","NO")</f>
        <v>NO</v>
      </c>
      <c r="AP733" s="260" t="str">
        <f>IF(ISNUMBER(SEARCH("R", 'Dry_Litterbag Placem_Collection'!V74)),"YES","NO")</f>
        <v>NO</v>
      </c>
    </row>
    <row r="734" spans="1:42" ht="15" customHeight="1">
      <c r="A734" t="s">
        <v>3248</v>
      </c>
      <c r="B734" s="252" t="s">
        <v>2643</v>
      </c>
      <c r="C734" s="253">
        <f>'Dry_Litterbag Placem_Collection'!A75</f>
        <v>73</v>
      </c>
      <c r="D734" s="253" t="str">
        <f>'Dry_Litterbag Placem_Collection'!B75</f>
        <v>Maswa</v>
      </c>
      <c r="E734" s="253" t="s">
        <v>2643</v>
      </c>
      <c r="F734" s="253" t="s">
        <v>2645</v>
      </c>
      <c r="G734" s="253">
        <v>2</v>
      </c>
      <c r="H734" s="253" t="s">
        <v>3113</v>
      </c>
      <c r="I734" s="254" t="str">
        <f>'Dry_Litterbag Placem_Collection'!C75</f>
        <v>Dry_W2_T1</v>
      </c>
      <c r="J734" s="263" t="s">
        <v>2932</v>
      </c>
      <c r="K734" s="264" t="s">
        <v>298</v>
      </c>
      <c r="L734" s="253" t="str">
        <f>IF(ISBLANK('Dry_Litterbag Placem_Collection'!M75),"","R"&amp;""&amp;'Dry_Litterbag Placem_Collection'!M75)</f>
        <v>R160</v>
      </c>
      <c r="M734" s="257">
        <f>IFERROR(INDEX('Green_rooibos initial weight'!$C$5:$C$2000,MATCH(L734, 'Green_rooibos initial weight'!$A$5:$A$2000,0)),"")</f>
        <v>2.1880000000000002</v>
      </c>
      <c r="N734" s="257">
        <f>IFERROR(M734-(TBIcalc!$Q$9+TBIcalc!$Q$10),"")</f>
        <v>1.9382000000000001</v>
      </c>
      <c r="O734" s="378">
        <f>AVERAGE(Ashed_controlls!$K$12:$K$14)</f>
        <v>2.2816647271287041</v>
      </c>
      <c r="P734" s="257">
        <f t="shared" si="56"/>
        <v>1.8939767742587916</v>
      </c>
      <c r="Q734" s="257" t="str">
        <f>IFERROR(INDEX('Both teabags AfterDry'!$D$2:$D$2000,MATCH(L734,'Both teabags AfterDry'!$A$2:$A$2000,0)),"")</f>
        <v/>
      </c>
      <c r="R734" s="257" t="str">
        <f>IFERROR(IF(Q734&gt;0,Q734-(TBIcalc!$Q$9),""),"")</f>
        <v/>
      </c>
      <c r="S734" s="268" t="str">
        <f>IFERROR(INDEX('Ashed teabags dry'!$K$2:$K$2000,MATCH(L734,'Ashed teabags dry'!$A$2:$A$2000,0)),"")</f>
        <v/>
      </c>
      <c r="T734" s="268" t="str">
        <f t="shared" si="57"/>
        <v/>
      </c>
      <c r="U734" s="258">
        <f>IF('Dry_Litterbag Placem_Collection'!E75="","",'Dry_Litterbag Placem_Collection'!E75)</f>
        <v>42937</v>
      </c>
      <c r="V734" s="258">
        <f>IF('Dry_Litterbag Placem_Collection'!G75="","",'Dry_Litterbag Placem_Collection'!G75)</f>
        <v>43006</v>
      </c>
      <c r="W734" s="259">
        <f t="shared" si="55"/>
        <v>69</v>
      </c>
      <c r="X734" s="257" t="str">
        <f t="shared" si="58"/>
        <v/>
      </c>
      <c r="Y734" s="257" t="str">
        <f t="shared" si="59"/>
        <v/>
      </c>
      <c r="Z734" s="261">
        <f>IFERROR(INDEX([3]Rainfall_Dry!$O$2:$O$217,MATCH(C734, [3]Rainfall_Dry!$A$2:$A$217,0)),"")</f>
        <v>6.900000125</v>
      </c>
      <c r="AA734" s="250">
        <v>45.272914521112256</v>
      </c>
      <c r="AB734" s="250">
        <v>23.604531410916575</v>
      </c>
      <c r="AC734" s="250">
        <v>31.122554067971166</v>
      </c>
      <c r="AD734" s="251" t="s">
        <v>2654</v>
      </c>
      <c r="AE734" s="250">
        <v>2.0547560374568752</v>
      </c>
      <c r="AF734">
        <f>IF('WetLitterbags placem_collection'!AB75="","",'WetLitterbags placem_collection'!AB75)</f>
        <v>9.1</v>
      </c>
      <c r="AG734">
        <f>IF('WetLitterbags placem_collection'!Z75="","",'WetLitterbags placem_collection'!Z75)</f>
        <v>10</v>
      </c>
      <c r="AH734" s="236" t="str">
        <f>IF('WetLitterbags placem_collection'!AA75="","",'WetLitterbags placem_collection'!AA75)</f>
        <v>M</v>
      </c>
      <c r="AI734">
        <f>IF('WetLitterbags placem_collection'!AC75="","",'WetLitterbags placem_collection'!AC75)</f>
        <v>1</v>
      </c>
      <c r="AJ734">
        <f>IFERROR(AVERAGE('Dry_Litterbag Placem_Collection'!O75,'Dry_Litterbag Placem_Collection'!R75),"")</f>
        <v>9.5500000000000007</v>
      </c>
      <c r="AK734" s="261">
        <f>IFERROR(AVERAGE('Dry_Litterbag Placem_Collection'!N75,'Dry_Litterbag Placem_Collection'!Q75),"")</f>
        <v>28.35</v>
      </c>
      <c r="AL734" s="260">
        <f>INDEX([2]Coordinates!$B$2:$B$197,MATCH(I734,[2]Coordinates!$J$2:$J$197,0))</f>
        <v>-3.3025860229999999</v>
      </c>
      <c r="AM734" s="260">
        <f>INDEX([2]Coordinates!$C$2:$C$197,MATCH(I734,[2]Coordinates!$J$2:$J$197,0))</f>
        <v>34.848048009999999</v>
      </c>
      <c r="AN734" s="260" t="str">
        <f>IF(ISNUMBER(SEARCH("C", 'Dry_Litterbag Placem_Collection'!V75)),"YES","NO")</f>
        <v>NO</v>
      </c>
      <c r="AO734" s="260" t="str">
        <f>IF(ISNUMBER(SEARCH("H", 'Dry_Litterbag Placem_Collection'!V75)),"YES","NO")</f>
        <v>NO</v>
      </c>
      <c r="AP734" s="260" t="str">
        <f>IF(ISNUMBER(SEARCH("R", 'Dry_Litterbag Placem_Collection'!V75)),"YES","NO")</f>
        <v>NO</v>
      </c>
    </row>
    <row r="735" spans="1:42" ht="15" customHeight="1">
      <c r="A735" t="s">
        <v>3248</v>
      </c>
      <c r="B735" s="252" t="s">
        <v>2643</v>
      </c>
      <c r="C735" s="253">
        <f>'Dry_Litterbag Placem_Collection'!A76</f>
        <v>74</v>
      </c>
      <c r="D735" s="253" t="str">
        <f>'Dry_Litterbag Placem_Collection'!B76</f>
        <v>Maswa</v>
      </c>
      <c r="E735" s="253" t="s">
        <v>2643</v>
      </c>
      <c r="F735" s="253" t="s">
        <v>2645</v>
      </c>
      <c r="G735" s="253">
        <v>2</v>
      </c>
      <c r="H735" s="253" t="s">
        <v>3113</v>
      </c>
      <c r="I735" s="254" t="str">
        <f>'Dry_Litterbag Placem_Collection'!C76</f>
        <v>Dry_W2_T2</v>
      </c>
      <c r="J735" s="263" t="s">
        <v>2932</v>
      </c>
      <c r="K735" s="264" t="s">
        <v>298</v>
      </c>
      <c r="L735" s="253" t="str">
        <f>IF(ISBLANK('Dry_Litterbag Placem_Collection'!M76),"","R"&amp;""&amp;'Dry_Litterbag Placem_Collection'!M76)</f>
        <v>R275</v>
      </c>
      <c r="M735" s="257">
        <f>IFERROR(INDEX('Green_rooibos initial weight'!$C$5:$C$2000,MATCH(L735, 'Green_rooibos initial weight'!$A$5:$A$2000,0)),"")</f>
        <v>0.22900000000000001</v>
      </c>
      <c r="N735" s="257">
        <f>IFERROR(M735-(TBIcalc!$Q$9+TBIcalc!$Q$10),"")</f>
        <v>-2.0800000000000013E-2</v>
      </c>
      <c r="O735" s="378">
        <f>AVERAGE(Ashed_controlls!$K$12:$K$14)</f>
        <v>2.2816647271287041</v>
      </c>
      <c r="P735" s="257">
        <f t="shared" si="56"/>
        <v>-2.0325413736757243E-2</v>
      </c>
      <c r="Q735" s="257">
        <f>IFERROR(INDEX('Both teabags AfterDry'!$D$2:$D$2000,MATCH(L735,'Both teabags AfterDry'!$A$2:$A$2000,0)),"")</f>
        <v>1.9981</v>
      </c>
      <c r="R735" s="257">
        <f>IFERROR(IF(Q735&gt;0,Q735-(TBIcalc!$Q$9),""),"")</f>
        <v>1.8474999999999999</v>
      </c>
      <c r="S735" s="268">
        <f>IFERROR(INDEX('Ashed teabags dry'!$K$2:$K$2000,MATCH(L735,'Ashed teabags dry'!$A$2:$A$2000,0)),"")</f>
        <v>2.3587223587229587</v>
      </c>
      <c r="T735" s="268">
        <f t="shared" si="57"/>
        <v>1.8039226044225933</v>
      </c>
      <c r="U735" s="258">
        <f>IF('Dry_Litterbag Placem_Collection'!E76="","",'Dry_Litterbag Placem_Collection'!E76)</f>
        <v>42937</v>
      </c>
      <c r="V735" s="258">
        <f>IF('Dry_Litterbag Placem_Collection'!G76="","",'Dry_Litterbag Placem_Collection'!G76)</f>
        <v>43006</v>
      </c>
      <c r="W735" s="259">
        <f t="shared" si="55"/>
        <v>69</v>
      </c>
      <c r="X735" s="257">
        <f t="shared" si="58"/>
        <v>-1.8682999999999998</v>
      </c>
      <c r="Y735" s="257">
        <f t="shared" si="59"/>
        <v>-1.8242480181593506</v>
      </c>
      <c r="Z735" s="261">
        <f>IFERROR(INDEX([3]Rainfall_Dry!$O$2:$O$217,MATCH(C735, [3]Rainfall_Dry!$A$2:$A$217,0)),"")</f>
        <v>6.900000125</v>
      </c>
      <c r="AA735" s="250">
        <v>45.272914521112256</v>
      </c>
      <c r="AB735" s="250">
        <v>23.604531410916575</v>
      </c>
      <c r="AC735" s="250">
        <v>31.122554067971166</v>
      </c>
      <c r="AD735" s="251" t="s">
        <v>2654</v>
      </c>
      <c r="AE735" s="250">
        <v>3.0547560374568801</v>
      </c>
      <c r="AF735">
        <f>IF('WetLitterbags placem_collection'!AB76="","",'WetLitterbags placem_collection'!AB76)</f>
        <v>7.7</v>
      </c>
      <c r="AG735">
        <f>IF('WetLitterbags placem_collection'!Z76="","",'WetLitterbags placem_collection'!Z76)</f>
        <v>9.4</v>
      </c>
      <c r="AH735" s="236" t="str">
        <f>IF('WetLitterbags placem_collection'!AA76="","",'WetLitterbags placem_collection'!AA76)</f>
        <v>M</v>
      </c>
      <c r="AI735">
        <f>IF('WetLitterbags placem_collection'!AC76="","",'WetLitterbags placem_collection'!AC76)</f>
        <v>1</v>
      </c>
      <c r="AJ735">
        <f>IFERROR(AVERAGE('Dry_Litterbag Placem_Collection'!O76,'Dry_Litterbag Placem_Collection'!R76),"")</f>
        <v>10.8</v>
      </c>
      <c r="AK735" s="261">
        <f>IFERROR(AVERAGE('Dry_Litterbag Placem_Collection'!N76,'Dry_Litterbag Placem_Collection'!Q76),"")</f>
        <v>28.1</v>
      </c>
      <c r="AL735" s="260">
        <f>INDEX([2]Coordinates!$B$2:$B$197,MATCH(I735,[2]Coordinates!$J$2:$J$197,0))</f>
        <v>-3.3025779759999998</v>
      </c>
      <c r="AM735" s="260">
        <f>INDEX([2]Coordinates!$C$2:$C$197,MATCH(I735,[2]Coordinates!$J$2:$J$197,0))</f>
        <v>34.848041969999997</v>
      </c>
      <c r="AN735" s="260" t="str">
        <f>IF(ISNUMBER(SEARCH("C", 'Dry_Litterbag Placem_Collection'!V76)),"YES","NO")</f>
        <v>NO</v>
      </c>
      <c r="AO735" s="260" t="str">
        <f>IF(ISNUMBER(SEARCH("H", 'Dry_Litterbag Placem_Collection'!V76)),"YES","NO")</f>
        <v>NO</v>
      </c>
      <c r="AP735" s="260" t="str">
        <f>IF(ISNUMBER(SEARCH("R", 'Dry_Litterbag Placem_Collection'!V76)),"YES","NO")</f>
        <v>NO</v>
      </c>
    </row>
    <row r="736" spans="1:42" ht="15" customHeight="1">
      <c r="A736" t="s">
        <v>3248</v>
      </c>
      <c r="B736" s="252" t="s">
        <v>2643</v>
      </c>
      <c r="C736" s="253">
        <f>'Dry_Litterbag Placem_Collection'!A77</f>
        <v>75</v>
      </c>
      <c r="D736" s="253" t="str">
        <f>'Dry_Litterbag Placem_Collection'!B77</f>
        <v>Maswa</v>
      </c>
      <c r="E736" s="253" t="s">
        <v>2643</v>
      </c>
      <c r="F736" s="253" t="s">
        <v>2645</v>
      </c>
      <c r="G736" s="253">
        <v>2</v>
      </c>
      <c r="H736" s="253" t="s">
        <v>3113</v>
      </c>
      <c r="I736" s="254" t="str">
        <f>'Dry_Litterbag Placem_Collection'!C77</f>
        <v>Dry_W2_T3</v>
      </c>
      <c r="J736" s="263" t="s">
        <v>2932</v>
      </c>
      <c r="K736" s="264" t="s">
        <v>298</v>
      </c>
      <c r="L736" s="253" t="str">
        <f>IF(ISBLANK('Dry_Litterbag Placem_Collection'!M77),"","R"&amp;""&amp;'Dry_Litterbag Placem_Collection'!M77)</f>
        <v>R657</v>
      </c>
      <c r="M736" s="257">
        <f>IFERROR(INDEX('Green_rooibos initial weight'!$C$5:$C$2000,MATCH(L736, 'Green_rooibos initial weight'!$A$5:$A$2000,0)),"")</f>
        <v>2.2509999999999999</v>
      </c>
      <c r="N736" s="257">
        <f>IFERROR(M736-(TBIcalc!$Q$9+TBIcalc!$Q$10),"")</f>
        <v>2.0011999999999999</v>
      </c>
      <c r="O736" s="378">
        <f>AVERAGE(Ashed_controlls!$K$12:$K$14)</f>
        <v>2.2816647271287041</v>
      </c>
      <c r="P736" s="257">
        <f t="shared" si="56"/>
        <v>1.9555393254807003</v>
      </c>
      <c r="Q736" s="257">
        <f>IFERROR(INDEX('Both teabags AfterDry'!$D$2:$D$2000,MATCH(L736,'Both teabags AfterDry'!$A$2:$A$2000,0)),"")</f>
        <v>2.0581999999999998</v>
      </c>
      <c r="R736" s="257">
        <f>IFERROR(IF(Q736&gt;0,Q736-(TBIcalc!$Q$9),""),"")</f>
        <v>1.9075999999999997</v>
      </c>
      <c r="S736" s="268">
        <f>IFERROR(INDEX('Ashed teabags dry'!$K$2:$K$2000,MATCH(L736,'Ashed teabags dry'!$A$2:$A$2000,0)),"")</f>
        <v>2.5461807289067337</v>
      </c>
      <c r="T736" s="268">
        <f t="shared" si="57"/>
        <v>1.8590290564153749</v>
      </c>
      <c r="U736" s="258">
        <f>IF('Dry_Litterbag Placem_Collection'!E77="","",'Dry_Litterbag Placem_Collection'!E77)</f>
        <v>42937</v>
      </c>
      <c r="V736" s="258">
        <f>IF('Dry_Litterbag Placem_Collection'!G77="","",'Dry_Litterbag Placem_Collection'!G77)</f>
        <v>43006</v>
      </c>
      <c r="W736" s="259">
        <f t="shared" si="55"/>
        <v>69</v>
      </c>
      <c r="X736" s="257">
        <f t="shared" si="58"/>
        <v>9.3600000000000128E-2</v>
      </c>
      <c r="Y736" s="257">
        <f t="shared" si="59"/>
        <v>9.6510269065325449E-2</v>
      </c>
      <c r="Z736" s="261">
        <f>IFERROR(INDEX([3]Rainfall_Dry!$O$2:$O$217,MATCH(C736, [3]Rainfall_Dry!$A$2:$A$217,0)),"")</f>
        <v>6.900000125</v>
      </c>
      <c r="AA736" s="250">
        <v>45.272914521112256</v>
      </c>
      <c r="AB736" s="250">
        <v>23.604531410916575</v>
      </c>
      <c r="AC736" s="250">
        <v>31.122554067971166</v>
      </c>
      <c r="AD736" s="251" t="s">
        <v>2654</v>
      </c>
      <c r="AE736" s="250">
        <v>4.0547560374568796</v>
      </c>
      <c r="AF736">
        <f>IF('WetLitterbags placem_collection'!AB77="","",'WetLitterbags placem_collection'!AB77)</f>
        <v>6.1</v>
      </c>
      <c r="AG736">
        <f>IF('WetLitterbags placem_collection'!Z77="","",'WetLitterbags placem_collection'!Z77)</f>
        <v>13.8</v>
      </c>
      <c r="AH736" s="236" t="str">
        <f>IF('WetLitterbags placem_collection'!AA77="","",'WetLitterbags placem_collection'!AA77)</f>
        <v>O</v>
      </c>
      <c r="AI736">
        <f>IF('WetLitterbags placem_collection'!AC77="","",'WetLitterbags placem_collection'!AC77)</f>
        <v>0</v>
      </c>
      <c r="AJ736">
        <f>IFERROR(AVERAGE('Dry_Litterbag Placem_Collection'!O77,'Dry_Litterbag Placem_Collection'!R77),"")</f>
        <v>12.3</v>
      </c>
      <c r="AK736" s="261">
        <f>IFERROR(AVERAGE('Dry_Litterbag Placem_Collection'!N77,'Dry_Litterbag Placem_Collection'!Q77),"")</f>
        <v>27.200000000000003</v>
      </c>
      <c r="AL736" s="260">
        <f>INDEX([2]Coordinates!$B$2:$B$197,MATCH(I736,[2]Coordinates!$J$2:$J$197,0))</f>
        <v>-3.302687025</v>
      </c>
      <c r="AM736" s="260">
        <f>INDEX([2]Coordinates!$C$2:$C$197,MATCH(I736,[2]Coordinates!$J$2:$J$197,0))</f>
        <v>34.847926970000003</v>
      </c>
      <c r="AN736" s="260" t="str">
        <f>IF(ISNUMBER(SEARCH("C", 'Dry_Litterbag Placem_Collection'!V77)),"YES","NO")</f>
        <v>NO</v>
      </c>
      <c r="AO736" s="260" t="str">
        <f>IF(ISNUMBER(SEARCH("H", 'Dry_Litterbag Placem_Collection'!V77)),"YES","NO")</f>
        <v>NO</v>
      </c>
      <c r="AP736" s="260" t="str">
        <f>IF(ISNUMBER(SEARCH("R", 'Dry_Litterbag Placem_Collection'!V77)),"YES","NO")</f>
        <v>NO</v>
      </c>
    </row>
    <row r="737" spans="1:42" ht="15" customHeight="1">
      <c r="A737" t="s">
        <v>3248</v>
      </c>
      <c r="B737" s="252" t="s">
        <v>2643</v>
      </c>
      <c r="C737" s="253">
        <f>'Dry_Litterbag Placem_Collection'!A78</f>
        <v>76</v>
      </c>
      <c r="D737" s="253" t="str">
        <f>'Dry_Litterbag Placem_Collection'!B78</f>
        <v>Maswa</v>
      </c>
      <c r="E737" s="253" t="s">
        <v>2643</v>
      </c>
      <c r="F737" s="253" t="s">
        <v>2645</v>
      </c>
      <c r="G737" s="253">
        <v>2</v>
      </c>
      <c r="H737" s="253" t="s">
        <v>3113</v>
      </c>
      <c r="I737" s="254" t="str">
        <f>'Dry_Litterbag Placem_Collection'!C78</f>
        <v>Dry_W2_T4</v>
      </c>
      <c r="J737" s="263" t="s">
        <v>2932</v>
      </c>
      <c r="K737" s="264" t="s">
        <v>298</v>
      </c>
      <c r="L737" s="253" t="str">
        <f>IF(ISBLANK('Dry_Litterbag Placem_Collection'!M78),"","R"&amp;""&amp;'Dry_Litterbag Placem_Collection'!M78)</f>
        <v>R306</v>
      </c>
      <c r="M737" s="257">
        <f>IFERROR(INDEX('Green_rooibos initial weight'!$C$5:$C$2000,MATCH(L737, 'Green_rooibos initial weight'!$A$5:$A$2000,0)),"")</f>
        <v>2.2440000000000002</v>
      </c>
      <c r="N737" s="257">
        <f>IFERROR(M737-(TBIcalc!$Q$9+TBIcalc!$Q$10),"")</f>
        <v>1.9942000000000002</v>
      </c>
      <c r="O737" s="378">
        <f>AVERAGE(Ashed_controlls!$K$12:$K$14)</f>
        <v>2.2816647271287041</v>
      </c>
      <c r="P737" s="257">
        <f t="shared" si="56"/>
        <v>1.9486990420115995</v>
      </c>
      <c r="Q737" s="257">
        <f>IFERROR(INDEX('Both teabags AfterDry'!$D$2:$D$2000,MATCH(L737,'Both teabags AfterDry'!$A$2:$A$2000,0)),"")</f>
        <v>2.0337999999999998</v>
      </c>
      <c r="R737" s="257">
        <f>IFERROR(IF(Q737&gt;0,Q737-(TBIcalc!$Q$9),""),"")</f>
        <v>1.8831999999999998</v>
      </c>
      <c r="S737" s="268">
        <f>IFERROR(INDEX('Ashed teabags dry'!$K$2:$K$2000,MATCH(L737,'Ashed teabags dry'!$A$2:$A$2000,0)),"")</f>
        <v>3.2818532818523578</v>
      </c>
      <c r="T737" s="268">
        <f t="shared" si="57"/>
        <v>1.8213961389961562</v>
      </c>
      <c r="U737" s="258">
        <f>IF('Dry_Litterbag Placem_Collection'!E78="","",'Dry_Litterbag Placem_Collection'!E78)</f>
        <v>42937</v>
      </c>
      <c r="V737" s="258">
        <f>IF('Dry_Litterbag Placem_Collection'!G78="","",'Dry_Litterbag Placem_Collection'!G78)</f>
        <v>43006</v>
      </c>
      <c r="W737" s="259">
        <f t="shared" si="55"/>
        <v>69</v>
      </c>
      <c r="X737" s="257">
        <f t="shared" si="58"/>
        <v>0.11100000000000043</v>
      </c>
      <c r="Y737" s="257">
        <f t="shared" si="59"/>
        <v>0.12730290301544334</v>
      </c>
      <c r="Z737" s="261">
        <f>IFERROR(INDEX([3]Rainfall_Dry!$O$2:$O$217,MATCH(C737, [3]Rainfall_Dry!$A$2:$A$217,0)),"")</f>
        <v>6.900000125</v>
      </c>
      <c r="AA737" s="250">
        <v>45.272914521112256</v>
      </c>
      <c r="AB737" s="250">
        <v>23.604531410916575</v>
      </c>
      <c r="AC737" s="250">
        <v>31.122554067971166</v>
      </c>
      <c r="AD737" s="251" t="s">
        <v>2654</v>
      </c>
      <c r="AE737" s="250">
        <v>5.0547560374568796</v>
      </c>
      <c r="AF737">
        <f>IF('WetLitterbags placem_collection'!AB78="","",'WetLitterbags placem_collection'!AB78)</f>
        <v>6.7</v>
      </c>
      <c r="AG737">
        <f>IF('WetLitterbags placem_collection'!Z78="","",'WetLitterbags placem_collection'!Z78)</f>
        <v>19.3</v>
      </c>
      <c r="AH737" s="236" t="str">
        <f>IF('WetLitterbags placem_collection'!AA78="","",'WetLitterbags placem_collection'!AA78)</f>
        <v>M</v>
      </c>
      <c r="AI737">
        <f>IF('WetLitterbags placem_collection'!AC78="","",'WetLitterbags placem_collection'!AC78)</f>
        <v>1</v>
      </c>
      <c r="AJ737">
        <f>IFERROR(AVERAGE('Dry_Litterbag Placem_Collection'!O78,'Dry_Litterbag Placem_Collection'!R78),"")</f>
        <v>11.1</v>
      </c>
      <c r="AK737" s="261">
        <f>IFERROR(AVERAGE('Dry_Litterbag Placem_Collection'!N78,'Dry_Litterbag Placem_Collection'!Q78),"")</f>
        <v>27.75</v>
      </c>
      <c r="AL737" s="260">
        <f>INDEX([2]Coordinates!$B$2:$B$197,MATCH(I737,[2]Coordinates!$J$2:$J$197,0))</f>
        <v>-3.3024560190000001</v>
      </c>
      <c r="AM737" s="260">
        <f>INDEX([2]Coordinates!$C$2:$C$197,MATCH(I737,[2]Coordinates!$J$2:$J$197,0))</f>
        <v>34.847871990000002</v>
      </c>
      <c r="AN737" s="260" t="str">
        <f>IF(ISNUMBER(SEARCH("C", 'Dry_Litterbag Placem_Collection'!V78)),"YES","NO")</f>
        <v>NO</v>
      </c>
      <c r="AO737" s="260" t="str">
        <f>IF(ISNUMBER(SEARCH("H", 'Dry_Litterbag Placem_Collection'!V78)),"YES","NO")</f>
        <v>NO</v>
      </c>
      <c r="AP737" s="260" t="str">
        <f>IF(ISNUMBER(SEARCH("R", 'Dry_Litterbag Placem_Collection'!V78)),"YES","NO")</f>
        <v>NO</v>
      </c>
    </row>
    <row r="738" spans="1:42" ht="15" customHeight="1">
      <c r="A738" t="s">
        <v>3248</v>
      </c>
      <c r="B738" s="252" t="s">
        <v>2643</v>
      </c>
      <c r="C738" s="253">
        <f>'Dry_Litterbag Placem_Collection'!A79</f>
        <v>77</v>
      </c>
      <c r="D738" s="253" t="str">
        <f>'Dry_Litterbag Placem_Collection'!B79</f>
        <v>Maswa</v>
      </c>
      <c r="E738" s="253" t="s">
        <v>2643</v>
      </c>
      <c r="F738" s="253" t="s">
        <v>2645</v>
      </c>
      <c r="G738" s="253">
        <v>2</v>
      </c>
      <c r="H738" s="253" t="s">
        <v>3113</v>
      </c>
      <c r="I738" s="254" t="str">
        <f>'Dry_Litterbag Placem_Collection'!C79</f>
        <v>Dry_W2_T5</v>
      </c>
      <c r="J738" s="263" t="s">
        <v>2932</v>
      </c>
      <c r="K738" s="264" t="s">
        <v>298</v>
      </c>
      <c r="L738" s="253" t="str">
        <f>IF(ISBLANK('Dry_Litterbag Placem_Collection'!M79),"","R"&amp;""&amp;'Dry_Litterbag Placem_Collection'!M79)</f>
        <v/>
      </c>
      <c r="M738" s="257" t="str">
        <f>IFERROR(INDEX('Green_rooibos initial weight'!$C$5:$C$2000,MATCH(L738, 'Green_rooibos initial weight'!$A$5:$A$2000,0)),"")</f>
        <v/>
      </c>
      <c r="N738" s="257" t="str">
        <f>IFERROR(M738-(TBIcalc!$Q$9+TBIcalc!$Q$10),"")</f>
        <v/>
      </c>
      <c r="O738" s="378">
        <f>AVERAGE(Ashed_controlls!$K$12:$K$14)</f>
        <v>2.2816647271287041</v>
      </c>
      <c r="P738" s="257" t="str">
        <f t="shared" si="56"/>
        <v/>
      </c>
      <c r="Q738" s="257" t="str">
        <f>IFERROR(INDEX('Both teabags AfterDry'!$D$2:$D$2000,MATCH(L738,'Both teabags AfterDry'!$A$2:$A$2000,0)),"")</f>
        <v/>
      </c>
      <c r="R738" s="257" t="str">
        <f>IFERROR(IF(Q738&gt;0,Q738-(TBIcalc!$Q$9),""),"")</f>
        <v/>
      </c>
      <c r="S738" s="268" t="str">
        <f>IFERROR(INDEX('Ashed teabags dry'!$K$2:$K$2000,MATCH(L738,'Ashed teabags dry'!$A$2:$A$2000,0)),"")</f>
        <v/>
      </c>
      <c r="T738" s="268" t="str">
        <f t="shared" si="57"/>
        <v/>
      </c>
      <c r="U738" s="258" t="str">
        <f>IF('Dry_Litterbag Placem_Collection'!E79="","",'Dry_Litterbag Placem_Collection'!E79)</f>
        <v/>
      </c>
      <c r="V738" s="258" t="str">
        <f>IF('Dry_Litterbag Placem_Collection'!G79="","",'Dry_Litterbag Placem_Collection'!G79)</f>
        <v/>
      </c>
      <c r="W738" s="259" t="str">
        <f t="shared" si="55"/>
        <v/>
      </c>
      <c r="X738" s="257" t="str">
        <f t="shared" si="58"/>
        <v/>
      </c>
      <c r="Y738" s="257" t="str">
        <f t="shared" si="59"/>
        <v/>
      </c>
      <c r="Z738" s="261" t="str">
        <f>IFERROR(INDEX([3]Rainfall_Dry!$O$2:$O$217,MATCH(C738, [3]Rainfall_Dry!$A$2:$A$217,0)),"")</f>
        <v/>
      </c>
      <c r="AA738" s="250">
        <v>45.272914521112256</v>
      </c>
      <c r="AB738" s="250">
        <v>23.604531410916575</v>
      </c>
      <c r="AC738" s="250">
        <v>31.122554067971166</v>
      </c>
      <c r="AD738" s="251" t="s">
        <v>2654</v>
      </c>
      <c r="AE738" s="250">
        <v>6.0547560374568796</v>
      </c>
      <c r="AF738">
        <f>IF('WetLitterbags placem_collection'!AB79="","",'WetLitterbags placem_collection'!AB79)</f>
        <v>3.1</v>
      </c>
      <c r="AG738">
        <f>IF('WetLitterbags placem_collection'!Z79="","",'WetLitterbags placem_collection'!Z79)</f>
        <v>9.8000000000000007</v>
      </c>
      <c r="AH738" s="236" t="str">
        <f>IF('WetLitterbags placem_collection'!AA79="","",'WetLitterbags placem_collection'!AA79)</f>
        <v>O</v>
      </c>
      <c r="AI738">
        <f>IF('WetLitterbags placem_collection'!AC79="","",'WetLitterbags placem_collection'!AC79)</f>
        <v>1</v>
      </c>
      <c r="AJ738" t="str">
        <f>IFERROR(AVERAGE('Dry_Litterbag Placem_Collection'!O79,'Dry_Litterbag Placem_Collection'!R79),"")</f>
        <v/>
      </c>
      <c r="AK738" s="261" t="str">
        <f>IFERROR(AVERAGE('Dry_Litterbag Placem_Collection'!N79,'Dry_Litterbag Placem_Collection'!Q79),"")</f>
        <v/>
      </c>
      <c r="AL738" s="260">
        <f>INDEX([2]Coordinates!$B$2:$B$197,MATCH(I738,[2]Coordinates!$J$2:$J$197,0))</f>
        <v>-3.3023280279999998</v>
      </c>
      <c r="AM738" s="260">
        <f>INDEX([2]Coordinates!$C$2:$C$197,MATCH(I738,[2]Coordinates!$J$2:$J$197,0))</f>
        <v>34.848223019999999</v>
      </c>
      <c r="AN738" s="260" t="str">
        <f>IF(ISNUMBER(SEARCH("C", 'Dry_Litterbag Placem_Collection'!V79)),"YES","NO")</f>
        <v>NO</v>
      </c>
      <c r="AO738" s="260" t="str">
        <f>IF(ISNUMBER(SEARCH("H", 'Dry_Litterbag Placem_Collection'!V79)),"YES","NO")</f>
        <v>NO</v>
      </c>
      <c r="AP738" s="260" t="str">
        <f>IF(ISNUMBER(SEARCH("R", 'Dry_Litterbag Placem_Collection'!V79)),"YES","NO")</f>
        <v>NO</v>
      </c>
    </row>
    <row r="739" spans="1:42" ht="15" customHeight="1">
      <c r="A739" t="s">
        <v>3248</v>
      </c>
      <c r="B739" s="252" t="s">
        <v>2643</v>
      </c>
      <c r="C739" s="253">
        <f>'Dry_Litterbag Placem_Collection'!A80</f>
        <v>78</v>
      </c>
      <c r="D739" s="253" t="str">
        <f>'Dry_Litterbag Placem_Collection'!B80</f>
        <v>Maswa</v>
      </c>
      <c r="E739" s="253" t="s">
        <v>2643</v>
      </c>
      <c r="F739" s="253" t="s">
        <v>2645</v>
      </c>
      <c r="G739" s="253">
        <v>2</v>
      </c>
      <c r="H739" s="253" t="s">
        <v>3113</v>
      </c>
      <c r="I739" s="254" t="str">
        <f>'Dry_Litterbag Placem_Collection'!C80</f>
        <v>Dry_W2_T6</v>
      </c>
      <c r="J739" s="263" t="s">
        <v>2932</v>
      </c>
      <c r="K739" s="264" t="s">
        <v>298</v>
      </c>
      <c r="L739" s="253" t="str">
        <f>IF(ISBLANK('Dry_Litterbag Placem_Collection'!M80),"","R"&amp;""&amp;'Dry_Litterbag Placem_Collection'!M80)</f>
        <v>R377</v>
      </c>
      <c r="M739" s="257">
        <f>IFERROR(INDEX('Green_rooibos initial weight'!$C$5:$C$2000,MATCH(L739, 'Green_rooibos initial weight'!$A$5:$A$2000,0)),"")</f>
        <v>2.2309999999999999</v>
      </c>
      <c r="N739" s="257">
        <f>IFERROR(M739-(TBIcalc!$Q$9+TBIcalc!$Q$10),"")</f>
        <v>1.9811999999999999</v>
      </c>
      <c r="O739" s="378">
        <f>AVERAGE(Ashed_controlls!$K$12:$K$14)</f>
        <v>2.2816647271287041</v>
      </c>
      <c r="P739" s="257">
        <f t="shared" si="56"/>
        <v>1.935995658426126</v>
      </c>
      <c r="Q739" s="257">
        <f>IFERROR(INDEX('Both teabags AfterDry'!$D$2:$D$2000,MATCH(L739,'Both teabags AfterDry'!$A$2:$A$2000,0)),"")</f>
        <v>1.9925999999999999</v>
      </c>
      <c r="R739" s="257">
        <f>IFERROR(IF(Q739&gt;0,Q739-(TBIcalc!$Q$9),""),"")</f>
        <v>1.8419999999999999</v>
      </c>
      <c r="S739" s="268">
        <f>IFERROR(INDEX('Ashed teabags dry'!$K$2:$K$2000,MATCH(L739,'Ashed teabags dry'!$A$2:$A$2000,0)),"")</f>
        <v>2.2244191794369352</v>
      </c>
      <c r="T739" s="268">
        <f t="shared" si="57"/>
        <v>1.8010261987147715</v>
      </c>
      <c r="U739" s="258">
        <f>IF('Dry_Litterbag Placem_Collection'!E80="","",'Dry_Litterbag Placem_Collection'!E80)</f>
        <v>42937</v>
      </c>
      <c r="V739" s="258">
        <f>IF('Dry_Litterbag Placem_Collection'!G80="","",'Dry_Litterbag Placem_Collection'!G80)</f>
        <v>43006</v>
      </c>
      <c r="W739" s="259">
        <f t="shared" si="55"/>
        <v>69</v>
      </c>
      <c r="X739" s="257">
        <f t="shared" si="58"/>
        <v>0.13919999999999999</v>
      </c>
      <c r="Y739" s="257">
        <f t="shared" si="59"/>
        <v>0.13496945971135443</v>
      </c>
      <c r="Z739" s="261">
        <f>IFERROR(INDEX([3]Rainfall_Dry!$O$2:$O$217,MATCH(C739, [3]Rainfall_Dry!$A$2:$A$217,0)),"")</f>
        <v>6.900000125</v>
      </c>
      <c r="AA739" s="250">
        <v>45.272914521112256</v>
      </c>
      <c r="AB739" s="250">
        <v>23.604531410916575</v>
      </c>
      <c r="AC739" s="250">
        <v>31.122554067971166</v>
      </c>
      <c r="AD739" s="251" t="s">
        <v>2654</v>
      </c>
      <c r="AE739" s="250">
        <v>7.0547560374568796</v>
      </c>
      <c r="AF739">
        <f>IF('WetLitterbags placem_collection'!AB80="","",'WetLitterbags placem_collection'!AB80)</f>
        <v>10.4</v>
      </c>
      <c r="AG739">
        <f>IF('WetLitterbags placem_collection'!Z80="","",'WetLitterbags placem_collection'!Z80)</f>
        <v>15.4</v>
      </c>
      <c r="AH739" s="236" t="str">
        <f>IF('WetLitterbags placem_collection'!AA80="","",'WetLitterbags placem_collection'!AA80)</f>
        <v>M</v>
      </c>
      <c r="AI739">
        <f>IF('WetLitterbags placem_collection'!AC80="","",'WetLitterbags placem_collection'!AC80)</f>
        <v>1</v>
      </c>
      <c r="AJ739">
        <f>IFERROR(AVERAGE('Dry_Litterbag Placem_Collection'!O80,'Dry_Litterbag Placem_Collection'!R80),"")</f>
        <v>11.149999999999999</v>
      </c>
      <c r="AK739" s="261">
        <f>IFERROR(AVERAGE('Dry_Litterbag Placem_Collection'!N80,'Dry_Litterbag Placem_Collection'!Q80),"")</f>
        <v>28.35</v>
      </c>
      <c r="AL739" s="260">
        <f>INDEX([2]Coordinates!$B$2:$B$197,MATCH(I739,[2]Coordinates!$J$2:$J$197,0))</f>
        <v>-3.3025680020000001</v>
      </c>
      <c r="AM739" s="260">
        <f>INDEX([2]Coordinates!$C$2:$C$197,MATCH(I739,[2]Coordinates!$J$2:$J$197,0))</f>
        <v>34.848167029999999</v>
      </c>
      <c r="AN739" s="260" t="str">
        <f>IF(ISNUMBER(SEARCH("C", 'Dry_Litterbag Placem_Collection'!V80)),"YES","NO")</f>
        <v>NO</v>
      </c>
      <c r="AO739" s="260" t="str">
        <f>IF(ISNUMBER(SEARCH("H", 'Dry_Litterbag Placem_Collection'!V80)),"YES","NO")</f>
        <v>NO</v>
      </c>
      <c r="AP739" s="260" t="str">
        <f>IF(ISNUMBER(SEARCH("R", 'Dry_Litterbag Placem_Collection'!V80)),"YES","NO")</f>
        <v>NO</v>
      </c>
    </row>
    <row r="740" spans="1:42" ht="15" customHeight="1">
      <c r="A740" t="s">
        <v>3248</v>
      </c>
      <c r="B740" s="252" t="s">
        <v>2643</v>
      </c>
      <c r="C740" s="253">
        <f>'Dry_Litterbag Placem_Collection'!A81</f>
        <v>79</v>
      </c>
      <c r="D740" s="253" t="str">
        <f>'Dry_Litterbag Placem_Collection'!B81</f>
        <v>Maswa</v>
      </c>
      <c r="E740" s="253" t="s">
        <v>2643</v>
      </c>
      <c r="F740" s="253" t="s">
        <v>2645</v>
      </c>
      <c r="G740" s="253">
        <v>2</v>
      </c>
      <c r="H740" s="253" t="s">
        <v>3113</v>
      </c>
      <c r="I740" s="254" t="str">
        <f>'Dry_Litterbag Placem_Collection'!C81</f>
        <v>Dry_W2_T7</v>
      </c>
      <c r="J740" s="263" t="s">
        <v>2932</v>
      </c>
      <c r="K740" s="264" t="s">
        <v>298</v>
      </c>
      <c r="L740" s="253" t="str">
        <f>IF(ISBLANK('Dry_Litterbag Placem_Collection'!M81),"","R"&amp;""&amp;'Dry_Litterbag Placem_Collection'!M81)</f>
        <v>R61</v>
      </c>
      <c r="M740" s="257">
        <f>IFERROR(INDEX('Green_rooibos initial weight'!$C$5:$C$2000,MATCH(L740, 'Green_rooibos initial weight'!$A$5:$A$2000,0)),"")</f>
        <v>2.2450000000000001</v>
      </c>
      <c r="N740" s="257">
        <f>IFERROR(M740-(TBIcalc!$Q$9+TBIcalc!$Q$10),"")</f>
        <v>1.9952000000000001</v>
      </c>
      <c r="O740" s="378">
        <f>AVERAGE(Ashed_controlls!$K$12:$K$14)</f>
        <v>2.2816647271287041</v>
      </c>
      <c r="P740" s="257">
        <f t="shared" si="56"/>
        <v>1.9496762253643283</v>
      </c>
      <c r="Q740" s="257">
        <f>IFERROR(INDEX('Both teabags AfterDry'!$D$2:$D$2000,MATCH(L740,'Both teabags AfterDry'!$A$2:$A$2000,0)),"")</f>
        <v>1.9782999999999999</v>
      </c>
      <c r="R740" s="257">
        <f>IFERROR(IF(Q740&gt;0,Q740-(TBIcalc!$Q$9),""),"")</f>
        <v>1.8276999999999999</v>
      </c>
      <c r="S740" s="268">
        <f>IFERROR(INDEX('Ashed teabags dry'!$K$2:$K$2000,MATCH(L740,'Ashed teabags dry'!$A$2:$A$2000,0)),"")</f>
        <v>2.8766455387618852</v>
      </c>
      <c r="T740" s="268">
        <f t="shared" si="57"/>
        <v>1.7751235494880488</v>
      </c>
      <c r="U740" s="258">
        <f>IF('Dry_Litterbag Placem_Collection'!E81="","",'Dry_Litterbag Placem_Collection'!E81)</f>
        <v>42937</v>
      </c>
      <c r="V740" s="258">
        <f>IF('Dry_Litterbag Placem_Collection'!G81="","",'Dry_Litterbag Placem_Collection'!G81)</f>
        <v>43006</v>
      </c>
      <c r="W740" s="259">
        <f t="shared" si="55"/>
        <v>69</v>
      </c>
      <c r="X740" s="257">
        <f t="shared" si="58"/>
        <v>0.1675000000000002</v>
      </c>
      <c r="Y740" s="257">
        <f t="shared" si="59"/>
        <v>0.17455267587627943</v>
      </c>
      <c r="Z740" s="261">
        <f>IFERROR(INDEX([3]Rainfall_Dry!$O$2:$O$217,MATCH(C740, [3]Rainfall_Dry!$A$2:$A$217,0)),"")</f>
        <v>6.900000125</v>
      </c>
      <c r="AA740" s="250">
        <v>45.272914521112256</v>
      </c>
      <c r="AB740" s="250">
        <v>23.604531410916575</v>
      </c>
      <c r="AC740" s="250">
        <v>31.122554067971166</v>
      </c>
      <c r="AD740" s="251" t="s">
        <v>2654</v>
      </c>
      <c r="AE740" s="250">
        <v>8.0547560374568796</v>
      </c>
      <c r="AF740">
        <f>IF('WetLitterbags placem_collection'!AB81="","",'WetLitterbags placem_collection'!AB81)</f>
        <v>3</v>
      </c>
      <c r="AG740">
        <f>IF('WetLitterbags placem_collection'!Z81="","",'WetLitterbags placem_collection'!Z81)</f>
        <v>5</v>
      </c>
      <c r="AH740" s="236" t="str">
        <f>IF('WetLitterbags placem_collection'!AA81="","",'WetLitterbags placem_collection'!AA81)</f>
        <v>G</v>
      </c>
      <c r="AI740">
        <f>IF('WetLitterbags placem_collection'!AC81="","",'WetLitterbags placem_collection'!AC81)</f>
        <v>1</v>
      </c>
      <c r="AJ740">
        <f>IFERROR(AVERAGE('Dry_Litterbag Placem_Collection'!O81,'Dry_Litterbag Placem_Collection'!R81),"")</f>
        <v>9.1999999999999993</v>
      </c>
      <c r="AK740" s="261">
        <f>IFERROR(AVERAGE('Dry_Litterbag Placem_Collection'!N81,'Dry_Litterbag Placem_Collection'!Q81),"")</f>
        <v>26.25</v>
      </c>
      <c r="AL740" s="260">
        <f>INDEX([2]Coordinates!$B$2:$B$197,MATCH(I740,[2]Coordinates!$J$2:$J$197,0))</f>
        <v>-3.3026270100000001</v>
      </c>
      <c r="AM740" s="260">
        <f>INDEX([2]Coordinates!$C$2:$C$197,MATCH(I740,[2]Coordinates!$J$2:$J$197,0))</f>
        <v>34.84840801</v>
      </c>
      <c r="AN740" s="260" t="str">
        <f>IF(ISNUMBER(SEARCH("C", 'Dry_Litterbag Placem_Collection'!V81)),"YES","NO")</f>
        <v>NO</v>
      </c>
      <c r="AO740" s="260" t="str">
        <f>IF(ISNUMBER(SEARCH("H", 'Dry_Litterbag Placem_Collection'!V81)),"YES","NO")</f>
        <v>NO</v>
      </c>
      <c r="AP740" s="260" t="str">
        <f>IF(ISNUMBER(SEARCH("R", 'Dry_Litterbag Placem_Collection'!V81)),"YES","NO")</f>
        <v>NO</v>
      </c>
    </row>
    <row r="741" spans="1:42" ht="15" customHeight="1">
      <c r="A741" t="s">
        <v>3248</v>
      </c>
      <c r="B741" s="252" t="s">
        <v>2643</v>
      </c>
      <c r="C741" s="253">
        <f>'Dry_Litterbag Placem_Collection'!A82</f>
        <v>80</v>
      </c>
      <c r="D741" s="253" t="str">
        <f>'Dry_Litterbag Placem_Collection'!B82</f>
        <v>Maswa</v>
      </c>
      <c r="E741" s="253" t="s">
        <v>2643</v>
      </c>
      <c r="F741" s="253" t="s">
        <v>2645</v>
      </c>
      <c r="G741" s="253">
        <v>2</v>
      </c>
      <c r="H741" s="253" t="s">
        <v>3113</v>
      </c>
      <c r="I741" s="254" t="str">
        <f>'Dry_Litterbag Placem_Collection'!C82</f>
        <v>Dry_W2_T8</v>
      </c>
      <c r="J741" s="263" t="s">
        <v>2932</v>
      </c>
      <c r="K741" s="264" t="s">
        <v>298</v>
      </c>
      <c r="L741" s="253" t="str">
        <f>IF(ISBLANK('Dry_Litterbag Placem_Collection'!M82),"","R"&amp;""&amp;'Dry_Litterbag Placem_Collection'!M82)</f>
        <v>R620</v>
      </c>
      <c r="M741" s="257">
        <f>IFERROR(INDEX('Green_rooibos initial weight'!$C$5:$C$2000,MATCH(L741, 'Green_rooibos initial weight'!$A$5:$A$2000,0)),"")</f>
        <v>2.1800000000000002</v>
      </c>
      <c r="N741" s="257">
        <f>IFERROR(M741-(TBIcalc!$Q$9+TBIcalc!$Q$10),"")</f>
        <v>1.9302000000000001</v>
      </c>
      <c r="O741" s="378">
        <f>AVERAGE(Ashed_controlls!$K$12:$K$14)</f>
        <v>2.2816647271287041</v>
      </c>
      <c r="P741" s="257">
        <f t="shared" si="56"/>
        <v>1.8861593074369618</v>
      </c>
      <c r="Q741" s="257">
        <f>IFERROR(INDEX('Both teabags AfterDry'!$D$2:$D$2000,MATCH(L741,'Both teabags AfterDry'!$A$2:$A$2000,0)),"")</f>
        <v>2.0047999999999999</v>
      </c>
      <c r="R741" s="257">
        <f>IFERROR(IF(Q741&gt;0,Q741-(TBIcalc!$Q$9),""),"")</f>
        <v>1.8541999999999998</v>
      </c>
      <c r="S741" s="268">
        <f>IFERROR(INDEX('Ashed teabags dry'!$K$2:$K$2000,MATCH(L741,'Ashed teabags dry'!$A$2:$A$2000,0)),"")</f>
        <v>3.2972440944880175</v>
      </c>
      <c r="T741" s="268">
        <f t="shared" si="57"/>
        <v>1.7930625000000031</v>
      </c>
      <c r="U741" s="258">
        <f>IF('Dry_Litterbag Placem_Collection'!E82="","",'Dry_Litterbag Placem_Collection'!E82)</f>
        <v>42937</v>
      </c>
      <c r="V741" s="258">
        <f>IF('Dry_Litterbag Placem_Collection'!G82="","",'Dry_Litterbag Placem_Collection'!G82)</f>
        <v>43006</v>
      </c>
      <c r="W741" s="259">
        <f t="shared" si="55"/>
        <v>69</v>
      </c>
      <c r="X741" s="257">
        <f t="shared" si="58"/>
        <v>7.600000000000029E-2</v>
      </c>
      <c r="Y741" s="257">
        <f t="shared" si="59"/>
        <v>9.3096807436958695E-2</v>
      </c>
      <c r="Z741" s="261">
        <f>IFERROR(INDEX([3]Rainfall_Dry!$O$2:$O$217,MATCH(C741, [3]Rainfall_Dry!$A$2:$A$217,0)),"")</f>
        <v>6.900000125</v>
      </c>
      <c r="AA741" s="250">
        <v>45.272914521112256</v>
      </c>
      <c r="AB741" s="250">
        <v>23.604531410916575</v>
      </c>
      <c r="AC741" s="250">
        <v>31.122554067971166</v>
      </c>
      <c r="AD741" s="251" t="s">
        <v>2654</v>
      </c>
      <c r="AE741" s="250">
        <v>9.0547560374568796</v>
      </c>
      <c r="AF741">
        <f>IF('WetLitterbags placem_collection'!AB82="","",'WetLitterbags placem_collection'!AB82)</f>
        <v>2.7</v>
      </c>
      <c r="AG741">
        <f>IF('WetLitterbags placem_collection'!Z82="","",'WetLitterbags placem_collection'!Z82)</f>
        <v>12.4</v>
      </c>
      <c r="AH741" s="236" t="str">
        <f>IF('WetLitterbags placem_collection'!AA82="","",'WetLitterbags placem_collection'!AA82)</f>
        <v>O</v>
      </c>
      <c r="AI741">
        <f>IF('WetLitterbags placem_collection'!AC82="","",'WetLitterbags placem_collection'!AC82)</f>
        <v>1</v>
      </c>
      <c r="AJ741">
        <f>IFERROR(AVERAGE('Dry_Litterbag Placem_Collection'!O82,'Dry_Litterbag Placem_Collection'!R82),"")</f>
        <v>11.75</v>
      </c>
      <c r="AK741" s="261">
        <f>IFERROR(AVERAGE('Dry_Litterbag Placem_Collection'!N82,'Dry_Litterbag Placem_Collection'!Q82),"")</f>
        <v>27.7</v>
      </c>
      <c r="AL741" s="260">
        <f>INDEX([2]Coordinates!$B$2:$B$197,MATCH(I741,[2]Coordinates!$J$2:$J$197,0))</f>
        <v>-3.3028539920000002</v>
      </c>
      <c r="AM741" s="260">
        <f>INDEX([2]Coordinates!$C$2:$C$197,MATCH(I741,[2]Coordinates!$J$2:$J$197,0))</f>
        <v>34.847988999999998</v>
      </c>
      <c r="AN741" s="260" t="str">
        <f>IF(ISNUMBER(SEARCH("C", 'Dry_Litterbag Placem_Collection'!V82)),"YES","NO")</f>
        <v>NO</v>
      </c>
      <c r="AO741" s="260" t="str">
        <f>IF(ISNUMBER(SEARCH("H", 'Dry_Litterbag Placem_Collection'!V82)),"YES","NO")</f>
        <v>NO</v>
      </c>
      <c r="AP741" s="260" t="str">
        <f>IF(ISNUMBER(SEARCH("R", 'Dry_Litterbag Placem_Collection'!V82)),"YES","NO")</f>
        <v>NO</v>
      </c>
    </row>
    <row r="742" spans="1:42" ht="15" customHeight="1">
      <c r="A742" t="s">
        <v>3248</v>
      </c>
      <c r="B742" s="252" t="s">
        <v>2643</v>
      </c>
      <c r="C742" s="253">
        <f>'Dry_Litterbag Placem_Collection'!A83</f>
        <v>81</v>
      </c>
      <c r="D742" s="253" t="str">
        <f>'Dry_Litterbag Placem_Collection'!B83</f>
        <v>Maswa</v>
      </c>
      <c r="E742" s="253" t="s">
        <v>2643</v>
      </c>
      <c r="F742" s="253" t="s">
        <v>2645</v>
      </c>
      <c r="G742" s="253">
        <v>3</v>
      </c>
      <c r="H742" s="253" t="s">
        <v>3114</v>
      </c>
      <c r="I742" s="254" t="str">
        <f>'Dry_Litterbag Placem_Collection'!C83</f>
        <v>Dry_W3_T1</v>
      </c>
      <c r="J742" s="263" t="s">
        <v>2932</v>
      </c>
      <c r="K742" s="264" t="s">
        <v>298</v>
      </c>
      <c r="L742" s="253" t="str">
        <f>IF(ISBLANK('Dry_Litterbag Placem_Collection'!M83),"","R"&amp;""&amp;'Dry_Litterbag Placem_Collection'!M83)</f>
        <v>R366</v>
      </c>
      <c r="M742" s="257">
        <f>IFERROR(INDEX('Green_rooibos initial weight'!$C$5:$C$2000,MATCH(L742, 'Green_rooibos initial weight'!$A$5:$A$2000,0)),"")</f>
        <v>2.2330000000000001</v>
      </c>
      <c r="N742" s="257">
        <f>IFERROR(M742-(TBIcalc!$Q$9+TBIcalc!$Q$10),"")</f>
        <v>1.9832000000000001</v>
      </c>
      <c r="O742" s="378">
        <f>AVERAGE(Ashed_controlls!$K$12:$K$14)</f>
        <v>2.2816647271287041</v>
      </c>
      <c r="P742" s="257">
        <f t="shared" si="56"/>
        <v>1.9379500251315835</v>
      </c>
      <c r="Q742" s="257">
        <f>IFERROR(INDEX('Both teabags AfterDry'!$D$2:$D$2000,MATCH(L742,'Both teabags AfterDry'!$A$2:$A$2000,0)),"")</f>
        <v>1.9832000000000001</v>
      </c>
      <c r="R742" s="257">
        <f>IFERROR(IF(Q742&gt;0,Q742-(TBIcalc!$Q$9),""),"")</f>
        <v>1.8326</v>
      </c>
      <c r="S742" s="268">
        <f>IFERROR(INDEX('Ashed teabags dry'!$K$2:$K$2000,MATCH(L742,'Ashed teabags dry'!$A$2:$A$2000,0)),"")</f>
        <v>3.3302497687320054</v>
      </c>
      <c r="T742" s="268">
        <f t="shared" si="57"/>
        <v>1.7715698427382174</v>
      </c>
      <c r="U742" s="258">
        <f>IF('Dry_Litterbag Placem_Collection'!E83="","",'Dry_Litterbag Placem_Collection'!E83)</f>
        <v>42937</v>
      </c>
      <c r="V742" s="258">
        <f>IF('Dry_Litterbag Placem_Collection'!G83="","",'Dry_Litterbag Placem_Collection'!G83)</f>
        <v>43006</v>
      </c>
      <c r="W742" s="259">
        <f t="shared" si="55"/>
        <v>69</v>
      </c>
      <c r="X742" s="257">
        <f t="shared" si="58"/>
        <v>0.15060000000000007</v>
      </c>
      <c r="Y742" s="257">
        <f t="shared" si="59"/>
        <v>0.16638018239336616</v>
      </c>
      <c r="Z742" s="261">
        <f>IFERROR(INDEX([3]Rainfall_Dry!$O$2:$O$217,MATCH(C742, [3]Rainfall_Dry!$A$2:$A$217,0)),"")</f>
        <v>12.563016860999999</v>
      </c>
      <c r="AA742" s="250">
        <v>38.691629007962128</v>
      </c>
      <c r="AB742" s="250">
        <v>26.81299763288143</v>
      </c>
      <c r="AC742" s="250">
        <v>34.495373359156439</v>
      </c>
      <c r="AD742" s="251" t="s">
        <v>2656</v>
      </c>
      <c r="AE742" s="250">
        <v>2.5483587974371611</v>
      </c>
      <c r="AF742">
        <f>IF('WetLitterbags placem_collection'!AB83="","",'WetLitterbags placem_collection'!AB83)</f>
        <v>6.2</v>
      </c>
      <c r="AG742">
        <f>IF('WetLitterbags placem_collection'!Z83="","",'WetLitterbags placem_collection'!Z83)</f>
        <v>13.3</v>
      </c>
      <c r="AH742" s="236" t="str">
        <f>IF('WetLitterbags placem_collection'!AA83="","",'WetLitterbags placem_collection'!AA83)</f>
        <v>O</v>
      </c>
      <c r="AI742">
        <f>IF('WetLitterbags placem_collection'!AC83="","",'WetLitterbags placem_collection'!AC83)</f>
        <v>0</v>
      </c>
      <c r="AJ742">
        <f>IFERROR(AVERAGE('Dry_Litterbag Placem_Collection'!O83,'Dry_Litterbag Placem_Collection'!R83),"")</f>
        <v>11.850000000000001</v>
      </c>
      <c r="AK742" s="261">
        <f>IFERROR(AVERAGE('Dry_Litterbag Placem_Collection'!N83,'Dry_Litterbag Placem_Collection'!Q83),"")</f>
        <v>26.35</v>
      </c>
      <c r="AL742" s="260">
        <f>INDEX([2]Coordinates!$B$2:$B$197,MATCH(I742,[2]Coordinates!$J$2:$J$197,0))</f>
        <v>-3.2957159630000001</v>
      </c>
      <c r="AM742" s="260">
        <f>INDEX([2]Coordinates!$C$2:$C$197,MATCH(I742,[2]Coordinates!$J$2:$J$197,0))</f>
        <v>34.852460999999998</v>
      </c>
      <c r="AN742" s="260" t="str">
        <f>IF(ISNUMBER(SEARCH("C", 'Dry_Litterbag Placem_Collection'!V83)),"YES","NO")</f>
        <v>NO</v>
      </c>
      <c r="AO742" s="260" t="str">
        <f>IF(ISNUMBER(SEARCH("H", 'Dry_Litterbag Placem_Collection'!V83)),"YES","NO")</f>
        <v>NO</v>
      </c>
      <c r="AP742" s="260" t="str">
        <f>IF(ISNUMBER(SEARCH("R", 'Dry_Litterbag Placem_Collection'!V83)),"YES","NO")</f>
        <v>NO</v>
      </c>
    </row>
    <row r="743" spans="1:42" ht="15" customHeight="1">
      <c r="A743" t="s">
        <v>3248</v>
      </c>
      <c r="B743" s="252" t="s">
        <v>2643</v>
      </c>
      <c r="C743" s="253">
        <f>'Dry_Litterbag Placem_Collection'!A84</f>
        <v>82</v>
      </c>
      <c r="D743" s="253" t="str">
        <f>'Dry_Litterbag Placem_Collection'!B84</f>
        <v>Maswa</v>
      </c>
      <c r="E743" s="253" t="s">
        <v>2643</v>
      </c>
      <c r="F743" s="253" t="s">
        <v>2645</v>
      </c>
      <c r="G743" s="253">
        <v>3</v>
      </c>
      <c r="H743" s="253" t="s">
        <v>3114</v>
      </c>
      <c r="I743" s="254" t="str">
        <f>'Dry_Litterbag Placem_Collection'!C84</f>
        <v>Dry_W3_T2</v>
      </c>
      <c r="J743" s="263" t="s">
        <v>2932</v>
      </c>
      <c r="K743" s="264" t="s">
        <v>298</v>
      </c>
      <c r="L743" s="253" t="str">
        <f>IF(ISBLANK('Dry_Litterbag Placem_Collection'!M84),"","R"&amp;""&amp;'Dry_Litterbag Placem_Collection'!M84)</f>
        <v>R610</v>
      </c>
      <c r="M743" s="257">
        <f>IFERROR(INDEX('Green_rooibos initial weight'!$C$5:$C$2000,MATCH(L743, 'Green_rooibos initial weight'!$A$5:$A$2000,0)),"")</f>
        <v>2.1230000000000002</v>
      </c>
      <c r="N743" s="257">
        <f>IFERROR(M743-(TBIcalc!$Q$9+TBIcalc!$Q$10),"")</f>
        <v>1.8732000000000002</v>
      </c>
      <c r="O743" s="378">
        <f>AVERAGE(Ashed_controlls!$K$12:$K$14)</f>
        <v>2.2816647271287041</v>
      </c>
      <c r="P743" s="257">
        <f t="shared" si="56"/>
        <v>1.8304598563314254</v>
      </c>
      <c r="Q743" s="257">
        <f>IFERROR(INDEX('Both teabags AfterDry'!$D$2:$D$2000,MATCH(L743,'Both teabags AfterDry'!$A$2:$A$2000,0)),"")</f>
        <v>1.9097999999999999</v>
      </c>
      <c r="R743" s="257">
        <f>IFERROR(IF(Q743&gt;0,Q743-(TBIcalc!$Q$9),""),"")</f>
        <v>1.7591999999999999</v>
      </c>
      <c r="S743" s="268">
        <f>IFERROR(INDEX('Ashed teabags dry'!$K$2:$K$2000,MATCH(L743,'Ashed teabags dry'!$A$2:$A$2000,0)),"")</f>
        <v>2.8992628992631118</v>
      </c>
      <c r="T743" s="268">
        <f t="shared" si="57"/>
        <v>1.7081961670761632</v>
      </c>
      <c r="U743" s="258">
        <f>IF('Dry_Litterbag Placem_Collection'!E84="","",'Dry_Litterbag Placem_Collection'!E84)</f>
        <v>42937</v>
      </c>
      <c r="V743" s="258">
        <f>IF('Dry_Litterbag Placem_Collection'!G84="","",'Dry_Litterbag Placem_Collection'!G84)</f>
        <v>43006</v>
      </c>
      <c r="W743" s="259">
        <f t="shared" si="55"/>
        <v>69</v>
      </c>
      <c r="X743" s="257">
        <f t="shared" si="58"/>
        <v>0.11400000000000032</v>
      </c>
      <c r="Y743" s="257">
        <f t="shared" si="59"/>
        <v>0.12226368925526221</v>
      </c>
      <c r="Z743" s="261">
        <f>IFERROR(INDEX([3]Rainfall_Dry!$O$2:$O$217,MATCH(C743, [3]Rainfall_Dry!$A$2:$A$217,0)),"")</f>
        <v>12.563016860999999</v>
      </c>
      <c r="AA743" s="250">
        <v>38.691629007962128</v>
      </c>
      <c r="AB743" s="250">
        <v>26.81299763288143</v>
      </c>
      <c r="AC743" s="250">
        <v>34.495373359156439</v>
      </c>
      <c r="AD743" s="251" t="s">
        <v>2656</v>
      </c>
      <c r="AE743" s="250">
        <v>3.5483587974371602</v>
      </c>
      <c r="AF743">
        <f>IF('WetLitterbags placem_collection'!AB84="","",'WetLitterbags placem_collection'!AB84)</f>
        <v>2.4</v>
      </c>
      <c r="AG743">
        <f>IF('WetLitterbags placem_collection'!Z84="","",'WetLitterbags placem_collection'!Z84)</f>
        <v>16.600000000000001</v>
      </c>
      <c r="AH743" s="236" t="str">
        <f>IF('WetLitterbags placem_collection'!AA84="","",'WetLitterbags placem_collection'!AA84)</f>
        <v>O</v>
      </c>
      <c r="AI743" t="str">
        <f>IF('WetLitterbags placem_collection'!AC84="","",'WetLitterbags placem_collection'!AC84)</f>
        <v/>
      </c>
      <c r="AJ743">
        <f>IFERROR(AVERAGE('Dry_Litterbag Placem_Collection'!O84,'Dry_Litterbag Placem_Collection'!R84),"")</f>
        <v>9.9499999999999993</v>
      </c>
      <c r="AK743" s="261">
        <f>IFERROR(AVERAGE('Dry_Litterbag Placem_Collection'!N84,'Dry_Litterbag Placem_Collection'!Q84),"")</f>
        <v>25.5</v>
      </c>
      <c r="AL743" s="260">
        <f>INDEX([2]Coordinates!$B$2:$B$197,MATCH(I743,[2]Coordinates!$J$2:$J$197,0))</f>
        <v>-3.2957230040000001</v>
      </c>
      <c r="AM743" s="260">
        <f>INDEX([2]Coordinates!$C$2:$C$197,MATCH(I743,[2]Coordinates!$J$2:$J$197,0))</f>
        <v>34.852416990000002</v>
      </c>
      <c r="AN743" s="260" t="str">
        <f>IF(ISNUMBER(SEARCH("C", 'Dry_Litterbag Placem_Collection'!V84)),"YES","NO")</f>
        <v>NO</v>
      </c>
      <c r="AO743" s="260" t="str">
        <f>IF(ISNUMBER(SEARCH("H", 'Dry_Litterbag Placem_Collection'!V84)),"YES","NO")</f>
        <v>NO</v>
      </c>
      <c r="AP743" s="260" t="str">
        <f>IF(ISNUMBER(SEARCH("R", 'Dry_Litterbag Placem_Collection'!V84)),"YES","NO")</f>
        <v>NO</v>
      </c>
    </row>
    <row r="744" spans="1:42" ht="15" customHeight="1">
      <c r="A744" t="s">
        <v>3248</v>
      </c>
      <c r="B744" s="252" t="s">
        <v>2643</v>
      </c>
      <c r="C744" s="253">
        <f>'Dry_Litterbag Placem_Collection'!A85</f>
        <v>83</v>
      </c>
      <c r="D744" s="253" t="str">
        <f>'Dry_Litterbag Placem_Collection'!B85</f>
        <v>Maswa</v>
      </c>
      <c r="E744" s="253" t="s">
        <v>2643</v>
      </c>
      <c r="F744" s="253" t="s">
        <v>2645</v>
      </c>
      <c r="G744" s="253">
        <v>3</v>
      </c>
      <c r="H744" s="253" t="s">
        <v>3114</v>
      </c>
      <c r="I744" s="254" t="str">
        <f>'Dry_Litterbag Placem_Collection'!C85</f>
        <v>Dry_W3_T3</v>
      </c>
      <c r="J744" s="263" t="s">
        <v>2932</v>
      </c>
      <c r="K744" s="264" t="s">
        <v>298</v>
      </c>
      <c r="L744" s="253" t="str">
        <f>IF(ISBLANK('Dry_Litterbag Placem_Collection'!M85),"","R"&amp;""&amp;'Dry_Litterbag Placem_Collection'!M85)</f>
        <v>R614</v>
      </c>
      <c r="M744" s="257">
        <f>IFERROR(INDEX('Green_rooibos initial weight'!$C$5:$C$2000,MATCH(L744, 'Green_rooibos initial weight'!$A$5:$A$2000,0)),"")</f>
        <v>2.1459999999999999</v>
      </c>
      <c r="N744" s="257">
        <f>IFERROR(M744-(TBIcalc!$Q$9+TBIcalc!$Q$10),"")</f>
        <v>1.8961999999999999</v>
      </c>
      <c r="O744" s="378">
        <f>AVERAGE(Ashed_controlls!$K$12:$K$14)</f>
        <v>2.2816647271287041</v>
      </c>
      <c r="P744" s="257">
        <f t="shared" si="56"/>
        <v>1.8529350734441854</v>
      </c>
      <c r="Q744" s="257">
        <f>IFERROR(INDEX('Both teabags AfterDry'!$D$2:$D$2000,MATCH(L744,'Both teabags AfterDry'!$A$2:$A$2000,0)),"")</f>
        <v>1.9262999999999999</v>
      </c>
      <c r="R744" s="257">
        <f>IFERROR(IF(Q744&gt;0,Q744-(TBIcalc!$Q$9),""),"")</f>
        <v>1.7756999999999998</v>
      </c>
      <c r="S744" s="268">
        <f>IFERROR(INDEX('Ashed teabags dry'!$K$2:$K$2000,MATCH(L744,'Ashed teabags dry'!$A$2:$A$2000,0)),"")</f>
        <v>2.629063097514555</v>
      </c>
      <c r="T744" s="268">
        <f t="shared" si="57"/>
        <v>1.729015726577434</v>
      </c>
      <c r="U744" s="258">
        <f>IF('Dry_Litterbag Placem_Collection'!E85="","",'Dry_Litterbag Placem_Collection'!E85)</f>
        <v>42937</v>
      </c>
      <c r="V744" s="258">
        <f>IF('Dry_Litterbag Placem_Collection'!G85="","",'Dry_Litterbag Placem_Collection'!G85)</f>
        <v>43006</v>
      </c>
      <c r="W744" s="259">
        <f t="shared" si="55"/>
        <v>69</v>
      </c>
      <c r="X744" s="257">
        <f t="shared" si="58"/>
        <v>0.12050000000000005</v>
      </c>
      <c r="Y744" s="257">
        <f t="shared" si="59"/>
        <v>0.12391934686675143</v>
      </c>
      <c r="Z744" s="261">
        <f>IFERROR(INDEX([3]Rainfall_Dry!$O$2:$O$217,MATCH(C744, [3]Rainfall_Dry!$A$2:$A$217,0)),"")</f>
        <v>12.563016860999999</v>
      </c>
      <c r="AA744" s="250">
        <v>38.691629007962128</v>
      </c>
      <c r="AB744" s="250">
        <v>26.81299763288143</v>
      </c>
      <c r="AC744" s="250">
        <v>34.495373359156439</v>
      </c>
      <c r="AD744" s="251" t="s">
        <v>2656</v>
      </c>
      <c r="AE744" s="250">
        <v>4.5483587974371602</v>
      </c>
      <c r="AF744">
        <f>IF('WetLitterbags placem_collection'!AB85="","",'WetLitterbags placem_collection'!AB85)</f>
        <v>6.4</v>
      </c>
      <c r="AG744">
        <f>IF('WetLitterbags placem_collection'!Z85="","",'WetLitterbags placem_collection'!Z85)</f>
        <v>42</v>
      </c>
      <c r="AH744" s="236" t="str">
        <f>IF('WetLitterbags placem_collection'!AA85="","",'WetLitterbags placem_collection'!AA85)</f>
        <v>M</v>
      </c>
      <c r="AI744">
        <f>IF('WetLitterbags placem_collection'!AC85="","",'WetLitterbags placem_collection'!AC85)</f>
        <v>1</v>
      </c>
      <c r="AJ744">
        <f>IFERROR(AVERAGE('Dry_Litterbag Placem_Collection'!O85,'Dry_Litterbag Placem_Collection'!R85),"")</f>
        <v>10.050000000000001</v>
      </c>
      <c r="AK744" s="261">
        <f>IFERROR(AVERAGE('Dry_Litterbag Placem_Collection'!N85,'Dry_Litterbag Placem_Collection'!Q85),"")</f>
        <v>26.05</v>
      </c>
      <c r="AL744" s="260">
        <f>INDEX([2]Coordinates!$B$2:$B$197,MATCH(I744,[2]Coordinates!$J$2:$J$197,0))</f>
        <v>-3.2957430369999998</v>
      </c>
      <c r="AM744" s="260">
        <f>INDEX([2]Coordinates!$C$2:$C$197,MATCH(I744,[2]Coordinates!$J$2:$J$197,0))</f>
        <v>34.852309030000001</v>
      </c>
      <c r="AN744" s="260" t="str">
        <f>IF(ISNUMBER(SEARCH("C", 'Dry_Litterbag Placem_Collection'!V85)),"YES","NO")</f>
        <v>NO</v>
      </c>
      <c r="AO744" s="260" t="str">
        <f>IF(ISNUMBER(SEARCH("H", 'Dry_Litterbag Placem_Collection'!V85)),"YES","NO")</f>
        <v>NO</v>
      </c>
      <c r="AP744" s="260" t="str">
        <f>IF(ISNUMBER(SEARCH("R", 'Dry_Litterbag Placem_Collection'!V85)),"YES","NO")</f>
        <v>NO</v>
      </c>
    </row>
    <row r="745" spans="1:42" ht="15" customHeight="1">
      <c r="A745" t="s">
        <v>3248</v>
      </c>
      <c r="B745" s="252" t="s">
        <v>2643</v>
      </c>
      <c r="C745" s="253">
        <f>'Dry_Litterbag Placem_Collection'!A86</f>
        <v>84</v>
      </c>
      <c r="D745" s="253" t="str">
        <f>'Dry_Litterbag Placem_Collection'!B86</f>
        <v>Maswa</v>
      </c>
      <c r="E745" s="253" t="s">
        <v>2643</v>
      </c>
      <c r="F745" s="253" t="s">
        <v>2645</v>
      </c>
      <c r="G745" s="253">
        <v>3</v>
      </c>
      <c r="H745" s="253" t="s">
        <v>3114</v>
      </c>
      <c r="I745" s="254" t="str">
        <f>'Dry_Litterbag Placem_Collection'!C86</f>
        <v>Dry_W3_T4</v>
      </c>
      <c r="J745" s="263" t="s">
        <v>2932</v>
      </c>
      <c r="K745" s="264" t="s">
        <v>298</v>
      </c>
      <c r="L745" s="253" t="str">
        <f>IF(ISBLANK('Dry_Litterbag Placem_Collection'!M86),"","R"&amp;""&amp;'Dry_Litterbag Placem_Collection'!M86)</f>
        <v>R720</v>
      </c>
      <c r="M745" s="257">
        <f>IFERROR(INDEX('Green_rooibos initial weight'!$C$5:$C$2000,MATCH(L745, 'Green_rooibos initial weight'!$A$5:$A$2000,0)),"")</f>
        <v>2.2080000000000002</v>
      </c>
      <c r="N745" s="257">
        <f>IFERROR(M745-(TBIcalc!$Q$9+TBIcalc!$Q$10),"")</f>
        <v>1.9582000000000002</v>
      </c>
      <c r="O745" s="378">
        <f>AVERAGE(Ashed_controlls!$K$12:$K$14)</f>
        <v>2.2816647271287041</v>
      </c>
      <c r="P745" s="257">
        <f t="shared" si="56"/>
        <v>1.913520441313366</v>
      </c>
      <c r="Q745" s="257">
        <f>IFERROR(INDEX('Both teabags AfterDry'!$D$2:$D$2000,MATCH(L745,'Both teabags AfterDry'!$A$2:$A$2000,0)),"")</f>
        <v>1.9978</v>
      </c>
      <c r="R745" s="257">
        <f>IFERROR(IF(Q745&gt;0,Q745-(TBIcalc!$Q$9),""),"")</f>
        <v>1.8472</v>
      </c>
      <c r="S745" s="268">
        <f>IFERROR(INDEX('Ashed teabags dry'!$K$2:$K$2000,MATCH(L745,'Ashed teabags dry'!$A$2:$A$2000,0)),"")</f>
        <v>2.5841053144808623</v>
      </c>
      <c r="T745" s="268">
        <f t="shared" si="57"/>
        <v>1.7994664066309094</v>
      </c>
      <c r="U745" s="258">
        <f>IF('Dry_Litterbag Placem_Collection'!E86="","",'Dry_Litterbag Placem_Collection'!E86)</f>
        <v>42937</v>
      </c>
      <c r="V745" s="258">
        <f>IF('Dry_Litterbag Placem_Collection'!G86="","",'Dry_Litterbag Placem_Collection'!G86)</f>
        <v>43006</v>
      </c>
      <c r="W745" s="259">
        <f t="shared" si="55"/>
        <v>69</v>
      </c>
      <c r="X745" s="257">
        <f t="shared" si="58"/>
        <v>0.11100000000000021</v>
      </c>
      <c r="Y745" s="257">
        <f t="shared" si="59"/>
        <v>0.11405403468245656</v>
      </c>
      <c r="Z745" s="261">
        <f>IFERROR(INDEX([3]Rainfall_Dry!$O$2:$O$217,MATCH(C745, [3]Rainfall_Dry!$A$2:$A$217,0)),"")</f>
        <v>12.563016860999999</v>
      </c>
      <c r="AA745" s="250">
        <v>38.691629007962128</v>
      </c>
      <c r="AB745" s="250">
        <v>26.81299763288143</v>
      </c>
      <c r="AC745" s="250">
        <v>34.495373359156439</v>
      </c>
      <c r="AD745" s="251" t="s">
        <v>2656</v>
      </c>
      <c r="AE745" s="250">
        <v>5.5483587974371602</v>
      </c>
      <c r="AF745">
        <f>IF('WetLitterbags placem_collection'!AB86="","",'WetLitterbags placem_collection'!AB86)</f>
        <v>5.5</v>
      </c>
      <c r="AG745">
        <f>IF('WetLitterbags placem_collection'!Z86="","",'WetLitterbags placem_collection'!Z86)</f>
        <v>55.8</v>
      </c>
      <c r="AH745" s="236" t="str">
        <f>IF('WetLitterbags placem_collection'!AA86="","",'WetLitterbags placem_collection'!AA86)</f>
        <v>M</v>
      </c>
      <c r="AI745">
        <f>IF('WetLitterbags placem_collection'!AC86="","",'WetLitterbags placem_collection'!AC86)</f>
        <v>1</v>
      </c>
      <c r="AJ745">
        <f>IFERROR(AVERAGE('Dry_Litterbag Placem_Collection'!O86,'Dry_Litterbag Placem_Collection'!R86),"")</f>
        <v>10.15</v>
      </c>
      <c r="AK745" s="261">
        <f>IFERROR(AVERAGE('Dry_Litterbag Placem_Collection'!N86,'Dry_Litterbag Placem_Collection'!Q86),"")</f>
        <v>26.549999999999997</v>
      </c>
      <c r="AL745" s="260">
        <f>INDEX([2]Coordinates!$B$2:$B$197,MATCH(I745,[2]Coordinates!$J$2:$J$197,0))</f>
        <v>-3.295795005</v>
      </c>
      <c r="AM745" s="260">
        <f>INDEX([2]Coordinates!$C$2:$C$197,MATCH(I745,[2]Coordinates!$J$2:$J$197,0))</f>
        <v>34.85232001</v>
      </c>
      <c r="AN745" s="260" t="str">
        <f>IF(ISNUMBER(SEARCH("C", 'Dry_Litterbag Placem_Collection'!V86)),"YES","NO")</f>
        <v>NO</v>
      </c>
      <c r="AO745" s="260" t="str">
        <f>IF(ISNUMBER(SEARCH("H", 'Dry_Litterbag Placem_Collection'!V86)),"YES","NO")</f>
        <v>NO</v>
      </c>
      <c r="AP745" s="260" t="str">
        <f>IF(ISNUMBER(SEARCH("R", 'Dry_Litterbag Placem_Collection'!V86)),"YES","NO")</f>
        <v>NO</v>
      </c>
    </row>
    <row r="746" spans="1:42" ht="15" customHeight="1">
      <c r="A746" t="s">
        <v>3248</v>
      </c>
      <c r="B746" s="252" t="s">
        <v>2643</v>
      </c>
      <c r="C746" s="253">
        <f>'Dry_Litterbag Placem_Collection'!A87</f>
        <v>85</v>
      </c>
      <c r="D746" s="253" t="str">
        <f>'Dry_Litterbag Placem_Collection'!B87</f>
        <v>Maswa</v>
      </c>
      <c r="E746" s="253" t="s">
        <v>2643</v>
      </c>
      <c r="F746" s="253" t="s">
        <v>2645</v>
      </c>
      <c r="G746" s="253">
        <v>3</v>
      </c>
      <c r="H746" s="253" t="s">
        <v>3114</v>
      </c>
      <c r="I746" s="254" t="str">
        <f>'Dry_Litterbag Placem_Collection'!C87</f>
        <v>Dry_W3_T5</v>
      </c>
      <c r="J746" s="263" t="s">
        <v>2932</v>
      </c>
      <c r="K746" s="264" t="s">
        <v>298</v>
      </c>
      <c r="L746" s="253" t="str">
        <f>IF(ISBLANK('Dry_Litterbag Placem_Collection'!M87),"","R"&amp;""&amp;'Dry_Litterbag Placem_Collection'!M87)</f>
        <v/>
      </c>
      <c r="M746" s="257" t="str">
        <f>IFERROR(INDEX('Green_rooibos initial weight'!$C$5:$C$2000,MATCH(L746, 'Green_rooibos initial weight'!$A$5:$A$2000,0)),"")</f>
        <v/>
      </c>
      <c r="N746" s="257" t="str">
        <f>IFERROR(M746-(TBIcalc!$Q$9+TBIcalc!$Q$10),"")</f>
        <v/>
      </c>
      <c r="O746" s="378">
        <f>AVERAGE(Ashed_controlls!$K$12:$K$14)</f>
        <v>2.2816647271287041</v>
      </c>
      <c r="P746" s="257" t="str">
        <f t="shared" si="56"/>
        <v/>
      </c>
      <c r="Q746" s="257" t="str">
        <f>IFERROR(INDEX('Both teabags AfterDry'!$D$2:$D$2000,MATCH(L746,'Both teabags AfterDry'!$A$2:$A$2000,0)),"")</f>
        <v/>
      </c>
      <c r="R746" s="257" t="str">
        <f>IFERROR(IF(Q746&gt;0,Q746-(TBIcalc!$Q$9),""),"")</f>
        <v/>
      </c>
      <c r="S746" s="268" t="str">
        <f>IFERROR(INDEX('Ashed teabags dry'!$K$2:$K$2000,MATCH(L746,'Ashed teabags dry'!$A$2:$A$2000,0)),"")</f>
        <v/>
      </c>
      <c r="T746" s="268" t="str">
        <f t="shared" si="57"/>
        <v/>
      </c>
      <c r="U746" s="258" t="str">
        <f>IF('Dry_Litterbag Placem_Collection'!E87="","",'Dry_Litterbag Placem_Collection'!E87)</f>
        <v/>
      </c>
      <c r="V746" s="258" t="str">
        <f>IF('Dry_Litterbag Placem_Collection'!G87="","",'Dry_Litterbag Placem_Collection'!G87)</f>
        <v/>
      </c>
      <c r="W746" s="259" t="str">
        <f t="shared" si="55"/>
        <v/>
      </c>
      <c r="X746" s="257" t="str">
        <f t="shared" si="58"/>
        <v/>
      </c>
      <c r="Y746" s="257" t="str">
        <f t="shared" si="59"/>
        <v/>
      </c>
      <c r="Z746" s="261" t="str">
        <f>IFERROR(INDEX([3]Rainfall_Dry!$O$2:$O$217,MATCH(C746, [3]Rainfall_Dry!$A$2:$A$217,0)),"")</f>
        <v/>
      </c>
      <c r="AA746" s="250">
        <v>38.691629007962128</v>
      </c>
      <c r="AB746" s="250">
        <v>26.81299763288143</v>
      </c>
      <c r="AC746" s="250">
        <v>34.495373359156439</v>
      </c>
      <c r="AD746" s="251" t="s">
        <v>2656</v>
      </c>
      <c r="AE746" s="250">
        <v>6.5483587974371602</v>
      </c>
      <c r="AF746">
        <f>IF('WetLitterbags placem_collection'!AB87="","",'WetLitterbags placem_collection'!AB87)</f>
        <v>8.6</v>
      </c>
      <c r="AG746">
        <f>IF('WetLitterbags placem_collection'!Z87="","",'WetLitterbags placem_collection'!Z87)</f>
        <v>3.8</v>
      </c>
      <c r="AH746" s="236" t="str">
        <f>IF('WetLitterbags placem_collection'!AA87="","",'WetLitterbags placem_collection'!AA87)</f>
        <v>O</v>
      </c>
      <c r="AI746">
        <f>IF('WetLitterbags placem_collection'!AC87="","",'WetLitterbags placem_collection'!AC87)</f>
        <v>0</v>
      </c>
      <c r="AJ746" t="str">
        <f>IFERROR(AVERAGE('Dry_Litterbag Placem_Collection'!O87,'Dry_Litterbag Placem_Collection'!R87),"")</f>
        <v/>
      </c>
      <c r="AK746" s="261" t="str">
        <f>IFERROR(AVERAGE('Dry_Litterbag Placem_Collection'!N87,'Dry_Litterbag Placem_Collection'!Q87),"")</f>
        <v/>
      </c>
      <c r="AL746" s="260">
        <f>INDEX([2]Coordinates!$B$2:$B$197,MATCH(I746,[2]Coordinates!$J$2:$J$197,0))</f>
        <v>-3.2957100119999998</v>
      </c>
      <c r="AM746" s="260">
        <f>INDEX([2]Coordinates!$C$2:$C$197,MATCH(I746,[2]Coordinates!$J$2:$J$197,0))</f>
        <v>34.852283970000002</v>
      </c>
      <c r="AN746" s="260" t="str">
        <f>IF(ISNUMBER(SEARCH("C", 'Dry_Litterbag Placem_Collection'!V87)),"YES","NO")</f>
        <v>NO</v>
      </c>
      <c r="AO746" s="260" t="str">
        <f>IF(ISNUMBER(SEARCH("H", 'Dry_Litterbag Placem_Collection'!V87)),"YES","NO")</f>
        <v>NO</v>
      </c>
      <c r="AP746" s="260" t="str">
        <f>IF(ISNUMBER(SEARCH("R", 'Dry_Litterbag Placem_Collection'!V87)),"YES","NO")</f>
        <v>NO</v>
      </c>
    </row>
    <row r="747" spans="1:42" ht="15" customHeight="1">
      <c r="A747" t="s">
        <v>3248</v>
      </c>
      <c r="B747" s="252" t="s">
        <v>2643</v>
      </c>
      <c r="C747" s="253">
        <f>'Dry_Litterbag Placem_Collection'!A88</f>
        <v>86</v>
      </c>
      <c r="D747" s="253" t="str">
        <f>'Dry_Litterbag Placem_Collection'!B88</f>
        <v>Maswa</v>
      </c>
      <c r="E747" s="253" t="s">
        <v>2643</v>
      </c>
      <c r="F747" s="253" t="s">
        <v>2645</v>
      </c>
      <c r="G747" s="253">
        <v>3</v>
      </c>
      <c r="H747" s="253" t="s">
        <v>3114</v>
      </c>
      <c r="I747" s="254" t="str">
        <f>'Dry_Litterbag Placem_Collection'!C88</f>
        <v>Dry_W3_T6</v>
      </c>
      <c r="J747" s="263" t="s">
        <v>2932</v>
      </c>
      <c r="K747" s="264" t="s">
        <v>298</v>
      </c>
      <c r="L747" s="253" t="str">
        <f>IF(ISBLANK('Dry_Litterbag Placem_Collection'!M88),"","R"&amp;""&amp;'Dry_Litterbag Placem_Collection'!M88)</f>
        <v>R643</v>
      </c>
      <c r="M747" s="257">
        <f>IFERROR(INDEX('Green_rooibos initial weight'!$C$5:$C$2000,MATCH(L747, 'Green_rooibos initial weight'!$A$5:$A$2000,0)),"")</f>
        <v>2.1930000000000001</v>
      </c>
      <c r="N747" s="257">
        <f>IFERROR(M747-(TBIcalc!$Q$9+TBIcalc!$Q$10),"")</f>
        <v>1.9432</v>
      </c>
      <c r="O747" s="378">
        <f>AVERAGE(Ashed_controlls!$K$12:$K$14)</f>
        <v>2.2816647271287041</v>
      </c>
      <c r="P747" s="257">
        <f t="shared" si="56"/>
        <v>1.8988626910224351</v>
      </c>
      <c r="Q747" s="257" t="str">
        <f>IFERROR(INDEX('Both teabags AfterDry'!$D$2:$D$2000,MATCH(L747,'Both teabags AfterDry'!$A$2:$A$2000,0)),"")</f>
        <v/>
      </c>
      <c r="R747" s="257" t="str">
        <f>IFERROR(IF(Q747&gt;0,Q747-(TBIcalc!$Q$9),""),"")</f>
        <v/>
      </c>
      <c r="S747" s="268" t="str">
        <f>IFERROR(INDEX('Ashed teabags dry'!$K$2:$K$2000,MATCH(L747,'Ashed teabags dry'!$A$2:$A$2000,0)),"")</f>
        <v/>
      </c>
      <c r="T747" s="268" t="str">
        <f t="shared" si="57"/>
        <v/>
      </c>
      <c r="U747" s="258">
        <f>IF('Dry_Litterbag Placem_Collection'!E88="","",'Dry_Litterbag Placem_Collection'!E88)</f>
        <v>42937</v>
      </c>
      <c r="V747" s="258">
        <f>IF('Dry_Litterbag Placem_Collection'!G88="","",'Dry_Litterbag Placem_Collection'!G88)</f>
        <v>43006</v>
      </c>
      <c r="W747" s="259">
        <f t="shared" si="55"/>
        <v>69</v>
      </c>
      <c r="X747" s="257" t="str">
        <f t="shared" si="58"/>
        <v/>
      </c>
      <c r="Y747" s="257" t="str">
        <f t="shared" si="59"/>
        <v/>
      </c>
      <c r="Z747" s="261">
        <f>IFERROR(INDEX([3]Rainfall_Dry!$O$2:$O$217,MATCH(C747, [3]Rainfall_Dry!$A$2:$A$217,0)),"")</f>
        <v>12.563016860999999</v>
      </c>
      <c r="AA747" s="250">
        <v>38.691629007962128</v>
      </c>
      <c r="AB747" s="250">
        <v>26.81299763288143</v>
      </c>
      <c r="AC747" s="250">
        <v>34.495373359156439</v>
      </c>
      <c r="AD747" s="251" t="s">
        <v>2656</v>
      </c>
      <c r="AE747" s="250">
        <v>7.5483587974371602</v>
      </c>
      <c r="AF747">
        <f>IF('WetLitterbags placem_collection'!AB88="","",'WetLitterbags placem_collection'!AB88)</f>
        <v>3.7</v>
      </c>
      <c r="AG747">
        <f>IF('WetLitterbags placem_collection'!Z88="","",'WetLitterbags placem_collection'!Z88)</f>
        <v>7.5</v>
      </c>
      <c r="AH747" s="236" t="str">
        <f>IF('WetLitterbags placem_collection'!AA88="","",'WetLitterbags placem_collection'!AA88)</f>
        <v>O</v>
      </c>
      <c r="AI747">
        <f>IF('WetLitterbags placem_collection'!AC88="","",'WetLitterbags placem_collection'!AC88)</f>
        <v>0</v>
      </c>
      <c r="AJ747">
        <f>IFERROR(AVERAGE('Dry_Litterbag Placem_Collection'!O88,'Dry_Litterbag Placem_Collection'!R88),"")</f>
        <v>11.75</v>
      </c>
      <c r="AK747" s="261">
        <f>IFERROR(AVERAGE('Dry_Litterbag Placem_Collection'!N88,'Dry_Litterbag Placem_Collection'!Q88),"")</f>
        <v>26.9</v>
      </c>
      <c r="AL747" s="260">
        <f>INDEX([2]Coordinates!$B$2:$B$197,MATCH(I747,[2]Coordinates!$J$2:$J$197,0))</f>
        <v>-3.2956140399999998</v>
      </c>
      <c r="AM747" s="260">
        <f>INDEX([2]Coordinates!$C$2:$C$197,MATCH(I747,[2]Coordinates!$J$2:$J$197,0))</f>
        <v>34.852137030000002</v>
      </c>
      <c r="AN747" s="260" t="str">
        <f>IF(ISNUMBER(SEARCH("C", 'Dry_Litterbag Placem_Collection'!V88)),"YES","NO")</f>
        <v>NO</v>
      </c>
      <c r="AO747" s="260" t="str">
        <f>IF(ISNUMBER(SEARCH("H", 'Dry_Litterbag Placem_Collection'!V88)),"YES","NO")</f>
        <v>NO</v>
      </c>
      <c r="AP747" s="260" t="str">
        <f>IF(ISNUMBER(SEARCH("R", 'Dry_Litterbag Placem_Collection'!V88)),"YES","NO")</f>
        <v>NO</v>
      </c>
    </row>
    <row r="748" spans="1:42" ht="15" customHeight="1">
      <c r="A748" t="s">
        <v>3248</v>
      </c>
      <c r="B748" s="252" t="s">
        <v>2643</v>
      </c>
      <c r="C748" s="253">
        <f>'Dry_Litterbag Placem_Collection'!A89</f>
        <v>87</v>
      </c>
      <c r="D748" s="253" t="str">
        <f>'Dry_Litterbag Placem_Collection'!B89</f>
        <v>Maswa</v>
      </c>
      <c r="E748" s="253" t="s">
        <v>2643</v>
      </c>
      <c r="F748" s="253" t="s">
        <v>2645</v>
      </c>
      <c r="G748" s="253">
        <v>3</v>
      </c>
      <c r="H748" s="253" t="s">
        <v>3114</v>
      </c>
      <c r="I748" s="254" t="str">
        <f>'Dry_Litterbag Placem_Collection'!C89</f>
        <v>Dry_W3_T7</v>
      </c>
      <c r="J748" s="263" t="s">
        <v>2932</v>
      </c>
      <c r="K748" s="264" t="s">
        <v>298</v>
      </c>
      <c r="L748" s="253" t="str">
        <f>IF(ISBLANK('Dry_Litterbag Placem_Collection'!M89),"","R"&amp;""&amp;'Dry_Litterbag Placem_Collection'!M89)</f>
        <v>R277</v>
      </c>
      <c r="M748" s="257">
        <f>IFERROR(INDEX('Green_rooibos initial weight'!$C$5:$C$2000,MATCH(L748, 'Green_rooibos initial weight'!$A$5:$A$2000,0)),"")</f>
        <v>2.1949999999999998</v>
      </c>
      <c r="N748" s="257">
        <f>IFERROR(M748-(TBIcalc!$Q$9+TBIcalc!$Q$10),"")</f>
        <v>1.9451999999999998</v>
      </c>
      <c r="O748" s="378">
        <f>AVERAGE(Ashed_controlls!$K$12:$K$14)</f>
        <v>2.2816647271287041</v>
      </c>
      <c r="P748" s="257">
        <f t="shared" si="56"/>
        <v>1.9008170577278922</v>
      </c>
      <c r="Q748" s="257">
        <f>IFERROR(INDEX('Both teabags AfterDry'!$D$2:$D$2000,MATCH(L748,'Both teabags AfterDry'!$A$2:$A$2000,0)),"")</f>
        <v>1.9473</v>
      </c>
      <c r="R748" s="257">
        <f>IFERROR(IF(Q748&gt;0,Q748-(TBIcalc!$Q$9),""),"")</f>
        <v>1.7967</v>
      </c>
      <c r="S748" s="268">
        <f>IFERROR(INDEX('Ashed teabags dry'!$K$2:$K$2000,MATCH(L748,'Ashed teabags dry'!$A$2:$A$2000,0)),"")</f>
        <v>2.1385402138541729</v>
      </c>
      <c r="T748" s="268">
        <f t="shared" si="57"/>
        <v>1.758276847977682</v>
      </c>
      <c r="U748" s="258">
        <f>IF('Dry_Litterbag Placem_Collection'!E89="","",'Dry_Litterbag Placem_Collection'!E89)</f>
        <v>42937</v>
      </c>
      <c r="V748" s="258">
        <f>IF('Dry_Litterbag Placem_Collection'!G89="","",'Dry_Litterbag Placem_Collection'!G89)</f>
        <v>43006</v>
      </c>
      <c r="W748" s="259">
        <f t="shared" si="55"/>
        <v>69</v>
      </c>
      <c r="X748" s="257">
        <f t="shared" si="58"/>
        <v>0.14849999999999985</v>
      </c>
      <c r="Y748" s="257">
        <f t="shared" si="59"/>
        <v>0.1425402097502102</v>
      </c>
      <c r="Z748" s="261">
        <f>IFERROR(INDEX([3]Rainfall_Dry!$O$2:$O$217,MATCH(C748, [3]Rainfall_Dry!$A$2:$A$217,0)),"")</f>
        <v>12.563016860999999</v>
      </c>
      <c r="AA748" s="250">
        <v>38.691629007962128</v>
      </c>
      <c r="AB748" s="250">
        <v>26.81299763288143</v>
      </c>
      <c r="AC748" s="250">
        <v>34.495373359156439</v>
      </c>
      <c r="AD748" s="251" t="s">
        <v>2656</v>
      </c>
      <c r="AE748" s="250">
        <v>8.5483587974371602</v>
      </c>
      <c r="AF748">
        <f>IF('WetLitterbags placem_collection'!AB89="","",'WetLitterbags placem_collection'!AB89)</f>
        <v>7.5</v>
      </c>
      <c r="AG748">
        <f>IF('WetLitterbags placem_collection'!Z89="","",'WetLitterbags placem_collection'!Z89)</f>
        <v>12.6</v>
      </c>
      <c r="AH748" s="236" t="str">
        <f>IF('WetLitterbags placem_collection'!AA89="","",'WetLitterbags placem_collection'!AA89)</f>
        <v>O</v>
      </c>
      <c r="AI748">
        <f>IF('WetLitterbags placem_collection'!AC89="","",'WetLitterbags placem_collection'!AC89)</f>
        <v>1</v>
      </c>
      <c r="AJ748">
        <f>IFERROR(AVERAGE('Dry_Litterbag Placem_Collection'!O89,'Dry_Litterbag Placem_Collection'!R89),"")</f>
        <v>10.65</v>
      </c>
      <c r="AK748" s="261">
        <f>IFERROR(AVERAGE('Dry_Litterbag Placem_Collection'!N89,'Dry_Litterbag Placem_Collection'!Q89),"")</f>
        <v>24.3</v>
      </c>
      <c r="AL748" s="260">
        <f>INDEX([2]Coordinates!$B$2:$B$197,MATCH(I748,[2]Coordinates!$J$2:$J$197,0))</f>
        <v>-3.295904975</v>
      </c>
      <c r="AM748" s="260">
        <f>INDEX([2]Coordinates!$C$2:$C$197,MATCH(I748,[2]Coordinates!$J$2:$J$197,0))</f>
        <v>34.852136029999997</v>
      </c>
      <c r="AN748" s="260" t="str">
        <f>IF(ISNUMBER(SEARCH("C", 'Dry_Litterbag Placem_Collection'!V89)),"YES","NO")</f>
        <v>NO</v>
      </c>
      <c r="AO748" s="260" t="str">
        <f>IF(ISNUMBER(SEARCH("H", 'Dry_Litterbag Placem_Collection'!V89)),"YES","NO")</f>
        <v>NO</v>
      </c>
      <c r="AP748" s="260" t="str">
        <f>IF(ISNUMBER(SEARCH("R", 'Dry_Litterbag Placem_Collection'!V89)),"YES","NO")</f>
        <v>NO</v>
      </c>
    </row>
    <row r="749" spans="1:42" ht="15" customHeight="1">
      <c r="A749" t="s">
        <v>3248</v>
      </c>
      <c r="B749" s="252" t="s">
        <v>2643</v>
      </c>
      <c r="C749" s="253">
        <f>'Dry_Litterbag Placem_Collection'!A90</f>
        <v>88</v>
      </c>
      <c r="D749" s="253" t="str">
        <f>'Dry_Litterbag Placem_Collection'!B90</f>
        <v>Maswa</v>
      </c>
      <c r="E749" s="253" t="s">
        <v>2643</v>
      </c>
      <c r="F749" s="253" t="s">
        <v>2645</v>
      </c>
      <c r="G749" s="253">
        <v>3</v>
      </c>
      <c r="H749" s="253" t="s">
        <v>3114</v>
      </c>
      <c r="I749" s="254" t="str">
        <f>'Dry_Litterbag Placem_Collection'!C90</f>
        <v>Dry_W3_T8</v>
      </c>
      <c r="J749" s="263" t="s">
        <v>2932</v>
      </c>
      <c r="K749" s="264" t="s">
        <v>298</v>
      </c>
      <c r="L749" s="253" t="str">
        <f>IF(ISBLANK('Dry_Litterbag Placem_Collection'!M90),"","R"&amp;""&amp;'Dry_Litterbag Placem_Collection'!M90)</f>
        <v>R197</v>
      </c>
      <c r="M749" s="257">
        <f>IFERROR(INDEX('Green_rooibos initial weight'!$C$5:$C$2000,MATCH(L749, 'Green_rooibos initial weight'!$A$5:$A$2000,0)),"")</f>
        <v>2.2330000000000001</v>
      </c>
      <c r="N749" s="257">
        <f>IFERROR(M749-(TBIcalc!$Q$9+TBIcalc!$Q$10),"")</f>
        <v>1.9832000000000001</v>
      </c>
      <c r="O749" s="378">
        <f>AVERAGE(Ashed_controlls!$K$12:$K$14)</f>
        <v>2.2816647271287041</v>
      </c>
      <c r="P749" s="257">
        <f t="shared" si="56"/>
        <v>1.9379500251315835</v>
      </c>
      <c r="Q749" s="257">
        <f>IFERROR(INDEX('Both teabags AfterDry'!$D$2:$D$2000,MATCH(L749,'Both teabags AfterDry'!$A$2:$A$2000,0)),"")</f>
        <v>1.9945999999999999</v>
      </c>
      <c r="R749" s="257">
        <f>IFERROR(IF(Q749&gt;0,Q749-(TBIcalc!$Q$9),""),"")</f>
        <v>1.8439999999999999</v>
      </c>
      <c r="S749" s="268">
        <f>IFERROR(INDEX('Ashed teabags dry'!$K$2:$K$2000,MATCH(L749,'Ashed teabags dry'!$A$2:$A$2000,0)),"")</f>
        <v>1.9186843307443828</v>
      </c>
      <c r="T749" s="268">
        <f t="shared" si="57"/>
        <v>1.8086194609410735</v>
      </c>
      <c r="U749" s="258">
        <f>IF('Dry_Litterbag Placem_Collection'!E90="","",'Dry_Litterbag Placem_Collection'!E90)</f>
        <v>42937</v>
      </c>
      <c r="V749" s="258">
        <f>IF('Dry_Litterbag Placem_Collection'!G90="","",'Dry_Litterbag Placem_Collection'!G90)</f>
        <v>43006</v>
      </c>
      <c r="W749" s="259">
        <f t="shared" si="55"/>
        <v>69</v>
      </c>
      <c r="X749" s="257">
        <f t="shared" si="58"/>
        <v>0.13920000000000021</v>
      </c>
      <c r="Y749" s="257">
        <f t="shared" si="59"/>
        <v>0.12933056419051003</v>
      </c>
      <c r="Z749" s="261">
        <f>IFERROR(INDEX([3]Rainfall_Dry!$O$2:$O$217,MATCH(C749, [3]Rainfall_Dry!$A$2:$A$217,0)),"")</f>
        <v>12.563016860999999</v>
      </c>
      <c r="AA749" s="250">
        <v>38.691629007962128</v>
      </c>
      <c r="AB749" s="250">
        <v>26.81299763288143</v>
      </c>
      <c r="AC749" s="250">
        <v>34.495373359156439</v>
      </c>
      <c r="AD749" s="251" t="s">
        <v>2656</v>
      </c>
      <c r="AE749" s="250">
        <v>9.5483587974371602</v>
      </c>
      <c r="AF749" t="str">
        <f>IF('WetLitterbags placem_collection'!AB90="","",'WetLitterbags placem_collection'!AB90)</f>
        <v/>
      </c>
      <c r="AG749" t="str">
        <f>IF('WetLitterbags placem_collection'!Z90="","",'WetLitterbags placem_collection'!Z90)</f>
        <v/>
      </c>
      <c r="AH749" s="236" t="str">
        <f>IF('WetLitterbags placem_collection'!AA90="","",'WetLitterbags placem_collection'!AA90)</f>
        <v/>
      </c>
      <c r="AI749" t="str">
        <f>IF('WetLitterbags placem_collection'!AC90="","",'WetLitterbags placem_collection'!AC90)</f>
        <v/>
      </c>
      <c r="AJ749">
        <f>IFERROR(AVERAGE('Dry_Litterbag Placem_Collection'!O90,'Dry_Litterbag Placem_Collection'!R90),"")</f>
        <v>11.7</v>
      </c>
      <c r="AK749" s="261">
        <f>IFERROR(AVERAGE('Dry_Litterbag Placem_Collection'!N90,'Dry_Litterbag Placem_Collection'!Q90),"")</f>
        <v>26.049999999999997</v>
      </c>
      <c r="AL749" s="260">
        <f>INDEX([2]Coordinates!$B$2:$B$197,MATCH(I749,[2]Coordinates!$J$2:$J$197,0))</f>
        <v>-3.2959530039999998</v>
      </c>
      <c r="AM749" s="260">
        <f>INDEX([2]Coordinates!$C$2:$C$197,MATCH(I749,[2]Coordinates!$J$2:$J$197,0))</f>
        <v>34.85242504</v>
      </c>
      <c r="AN749" s="260" t="str">
        <f>IF(ISNUMBER(SEARCH("C", 'Dry_Litterbag Placem_Collection'!V90)),"YES","NO")</f>
        <v>NO</v>
      </c>
      <c r="AO749" s="260" t="str">
        <f>IF(ISNUMBER(SEARCH("H", 'Dry_Litterbag Placem_Collection'!V90)),"YES","NO")</f>
        <v>NO</v>
      </c>
      <c r="AP749" s="260" t="str">
        <f>IF(ISNUMBER(SEARCH("R", 'Dry_Litterbag Placem_Collection'!V90)),"YES","NO")</f>
        <v>NO</v>
      </c>
    </row>
    <row r="750" spans="1:42" ht="15" customHeight="1">
      <c r="A750" t="s">
        <v>3248</v>
      </c>
      <c r="B750" s="252" t="s">
        <v>2643</v>
      </c>
      <c r="C750" s="253">
        <f>'Dry_Litterbag Placem_Collection'!A91</f>
        <v>89</v>
      </c>
      <c r="D750" s="253" t="str">
        <f>'Dry_Litterbag Placem_Collection'!B91</f>
        <v>Maswa</v>
      </c>
      <c r="E750" s="253" t="s">
        <v>2643</v>
      </c>
      <c r="F750" s="253" t="s">
        <v>2645</v>
      </c>
      <c r="G750" s="253">
        <v>4</v>
      </c>
      <c r="H750" s="253" t="s">
        <v>3115</v>
      </c>
      <c r="I750" s="254" t="str">
        <f>'Dry_Litterbag Placem_Collection'!C91</f>
        <v>Dry_W4_T1</v>
      </c>
      <c r="J750" s="263" t="s">
        <v>2932</v>
      </c>
      <c r="K750" s="264" t="s">
        <v>298</v>
      </c>
      <c r="L750" s="253" t="str">
        <f>IF(ISBLANK('Dry_Litterbag Placem_Collection'!M91),"","R"&amp;""&amp;'Dry_Litterbag Placem_Collection'!M91)</f>
        <v>R841</v>
      </c>
      <c r="M750" s="257">
        <f>IFERROR(INDEX('Green_rooibos initial weight'!$C$5:$C$2000,MATCH(L750, 'Green_rooibos initial weight'!$A$5:$A$2000,0)),"")</f>
        <v>2.13</v>
      </c>
      <c r="N750" s="257">
        <f>IFERROR(M750-(TBIcalc!$Q$9+TBIcalc!$Q$10),"")</f>
        <v>1.8801999999999999</v>
      </c>
      <c r="O750" s="378">
        <f>AVERAGE(Ashed_controlls!$K$12:$K$14)</f>
        <v>2.2816647271287041</v>
      </c>
      <c r="P750" s="257">
        <f t="shared" si="56"/>
        <v>1.837300139800526</v>
      </c>
      <c r="Q750" s="257">
        <f>IFERROR(INDEX('Both teabags AfterDry'!$D$2:$D$2000,MATCH(L750,'Both teabags AfterDry'!$A$2:$A$2000,0)),"")</f>
        <v>1.9592000000000001</v>
      </c>
      <c r="R750" s="257">
        <f>IFERROR(IF(Q750&gt;0,Q750-(TBIcalc!$Q$9),""),"")</f>
        <v>1.8086</v>
      </c>
      <c r="S750" s="268">
        <f>IFERROR(INDEX('Ashed teabags dry'!$K$2:$K$2000,MATCH(L750,'Ashed teabags dry'!$A$2:$A$2000,0)),"")</f>
        <v>1.8271604938270138</v>
      </c>
      <c r="T750" s="268">
        <f t="shared" si="57"/>
        <v>1.7755539753086447</v>
      </c>
      <c r="U750" s="258">
        <f>IF('Dry_Litterbag Placem_Collection'!E91="","",'Dry_Litterbag Placem_Collection'!E91)</f>
        <v>42937</v>
      </c>
      <c r="V750" s="258">
        <f>IF('Dry_Litterbag Placem_Collection'!G91="","",'Dry_Litterbag Placem_Collection'!G91)</f>
        <v>43006</v>
      </c>
      <c r="W750" s="259">
        <f t="shared" si="55"/>
        <v>69</v>
      </c>
      <c r="X750" s="257">
        <f t="shared" si="58"/>
        <v>7.1599999999999886E-2</v>
      </c>
      <c r="Y750" s="257">
        <f t="shared" si="59"/>
        <v>6.1746164491881306E-2</v>
      </c>
      <c r="Z750" s="261">
        <f>IFERROR(INDEX([3]Rainfall_Dry!$O$2:$O$217,MATCH(C750, [3]Rainfall_Dry!$A$2:$A$217,0)),"")</f>
        <v>12.563016860999999</v>
      </c>
      <c r="AA750" s="250">
        <v>28.145762029394</v>
      </c>
      <c r="AB750" s="250">
        <v>25.085564727199518</v>
      </c>
      <c r="AC750" s="250">
        <v>46.768673243406489</v>
      </c>
      <c r="AD750" s="251" t="s">
        <v>2651</v>
      </c>
      <c r="AE750" s="250">
        <v>2.1716214884179394</v>
      </c>
      <c r="AF750">
        <f>IF('WetLitterbags placem_collection'!AB91="","",'WetLitterbags placem_collection'!AB91)</f>
        <v>7.3</v>
      </c>
      <c r="AG750">
        <f>IF('WetLitterbags placem_collection'!Z91="","",'WetLitterbags placem_collection'!Z91)</f>
        <v>35.799999999999997</v>
      </c>
      <c r="AH750" s="236" t="str">
        <f>IF('WetLitterbags placem_collection'!AA91="","",'WetLitterbags placem_collection'!AA91)</f>
        <v>O</v>
      </c>
      <c r="AI750">
        <f>IF('WetLitterbags placem_collection'!AC91="","",'WetLitterbags placem_collection'!AC91)</f>
        <v>0</v>
      </c>
      <c r="AJ750">
        <f>IFERROR(AVERAGE('Dry_Litterbag Placem_Collection'!O91,'Dry_Litterbag Placem_Collection'!R91),"")</f>
        <v>10.5</v>
      </c>
      <c r="AK750" s="261">
        <f>IFERROR(AVERAGE('Dry_Litterbag Placem_Collection'!N91,'Dry_Litterbag Placem_Collection'!Q91),"")</f>
        <v>26.6</v>
      </c>
      <c r="AL750" s="260">
        <f>INDEX([2]Coordinates!$B$2:$B$197,MATCH(I750,[2]Coordinates!$J$2:$J$197,0))</f>
        <v>-3.2966709980000002</v>
      </c>
      <c r="AM750" s="260">
        <f>INDEX([2]Coordinates!$C$2:$C$197,MATCH(I750,[2]Coordinates!$J$2:$J$197,0))</f>
        <v>34.854407019999996</v>
      </c>
      <c r="AN750" s="260" t="str">
        <f>IF(ISNUMBER(SEARCH("C", 'Dry_Litterbag Placem_Collection'!V91)),"YES","NO")</f>
        <v>NO</v>
      </c>
      <c r="AO750" s="260" t="str">
        <f>IF(ISNUMBER(SEARCH("H", 'Dry_Litterbag Placem_Collection'!V91)),"YES","NO")</f>
        <v>NO</v>
      </c>
      <c r="AP750" s="260" t="str">
        <f>IF(ISNUMBER(SEARCH("R", 'Dry_Litterbag Placem_Collection'!V91)),"YES","NO")</f>
        <v>NO</v>
      </c>
    </row>
    <row r="751" spans="1:42" ht="15" customHeight="1">
      <c r="A751" t="s">
        <v>3248</v>
      </c>
      <c r="B751" s="252" t="s">
        <v>2643</v>
      </c>
      <c r="C751" s="253">
        <f>'Dry_Litterbag Placem_Collection'!A92</f>
        <v>90</v>
      </c>
      <c r="D751" s="253" t="str">
        <f>'Dry_Litterbag Placem_Collection'!B92</f>
        <v>Maswa</v>
      </c>
      <c r="E751" s="253" t="s">
        <v>2643</v>
      </c>
      <c r="F751" s="253" t="s">
        <v>2645</v>
      </c>
      <c r="G751" s="253">
        <v>4</v>
      </c>
      <c r="H751" s="253" t="s">
        <v>3115</v>
      </c>
      <c r="I751" s="254" t="str">
        <f>'Dry_Litterbag Placem_Collection'!C92</f>
        <v>Dry_W4_T2</v>
      </c>
      <c r="J751" s="263" t="s">
        <v>2932</v>
      </c>
      <c r="K751" s="264" t="s">
        <v>298</v>
      </c>
      <c r="L751" s="253" t="str">
        <f>IF(ISBLANK('Dry_Litterbag Placem_Collection'!M92),"","R"&amp;""&amp;'Dry_Litterbag Placem_Collection'!M92)</f>
        <v>R220</v>
      </c>
      <c r="M751" s="257">
        <f>IFERROR(INDEX('Green_rooibos initial weight'!$C$5:$C$2000,MATCH(L751, 'Green_rooibos initial weight'!$A$5:$A$2000,0)),"")</f>
        <v>2.2269999999999999</v>
      </c>
      <c r="N751" s="257">
        <f>IFERROR(M751-(TBIcalc!$Q$9+TBIcalc!$Q$10),"")</f>
        <v>1.9771999999999998</v>
      </c>
      <c r="O751" s="378">
        <f>AVERAGE(Ashed_controlls!$K$12:$K$14)</f>
        <v>2.2816647271287041</v>
      </c>
      <c r="P751" s="257">
        <f t="shared" si="56"/>
        <v>1.9320869250152111</v>
      </c>
      <c r="Q751" s="257" t="str">
        <f>IFERROR(INDEX('Both teabags AfterDry'!$D$2:$D$2000,MATCH(L751,'Both teabags AfterDry'!$A$2:$A$2000,0)),"")</f>
        <v/>
      </c>
      <c r="R751" s="257" t="str">
        <f>IFERROR(IF(Q751&gt;0,Q751-(TBIcalc!$Q$9),""),"")</f>
        <v/>
      </c>
      <c r="S751" s="268" t="str">
        <f>IFERROR(INDEX('Ashed teabags dry'!$K$2:$K$2000,MATCH(L751,'Ashed teabags dry'!$A$2:$A$2000,0)),"")</f>
        <v/>
      </c>
      <c r="T751" s="268" t="str">
        <f t="shared" si="57"/>
        <v/>
      </c>
      <c r="U751" s="258">
        <f>IF('Dry_Litterbag Placem_Collection'!E92="","",'Dry_Litterbag Placem_Collection'!E92)</f>
        <v>42937</v>
      </c>
      <c r="V751" s="258">
        <f>IF('Dry_Litterbag Placem_Collection'!G92="","",'Dry_Litterbag Placem_Collection'!G92)</f>
        <v>43006</v>
      </c>
      <c r="W751" s="259">
        <f t="shared" si="55"/>
        <v>69</v>
      </c>
      <c r="X751" s="257" t="str">
        <f t="shared" si="58"/>
        <v/>
      </c>
      <c r="Y751" s="257" t="str">
        <f t="shared" si="59"/>
        <v/>
      </c>
      <c r="Z751" s="261">
        <f>IFERROR(INDEX([3]Rainfall_Dry!$O$2:$O$217,MATCH(C751, [3]Rainfall_Dry!$A$2:$A$217,0)),"")</f>
        <v>12.563016860999999</v>
      </c>
      <c r="AA751" s="250">
        <v>28.145762029394</v>
      </c>
      <c r="AB751" s="250">
        <v>25.085564727199518</v>
      </c>
      <c r="AC751" s="250">
        <v>46.768673243406489</v>
      </c>
      <c r="AD751" s="251" t="s">
        <v>2651</v>
      </c>
      <c r="AE751" s="250">
        <v>3.1716214884179399</v>
      </c>
      <c r="AF751">
        <f>IF('WetLitterbags placem_collection'!AB92="","",'WetLitterbags placem_collection'!AB92)</f>
        <v>7.7</v>
      </c>
      <c r="AG751">
        <f>IF('WetLitterbags placem_collection'!Z92="","",'WetLitterbags placem_collection'!Z92)</f>
        <v>30.4</v>
      </c>
      <c r="AH751" s="236" t="str">
        <f>IF('WetLitterbags placem_collection'!AA92="","",'WetLitterbags placem_collection'!AA92)</f>
        <v>O</v>
      </c>
      <c r="AI751">
        <f>IF('WetLitterbags placem_collection'!AC92="","",'WetLitterbags placem_collection'!AC92)</f>
        <v>0</v>
      </c>
      <c r="AJ751">
        <f>IFERROR(AVERAGE('Dry_Litterbag Placem_Collection'!O92,'Dry_Litterbag Placem_Collection'!R92),"")</f>
        <v>9.85</v>
      </c>
      <c r="AK751" s="261">
        <f>IFERROR(AVERAGE('Dry_Litterbag Placem_Collection'!N92,'Dry_Litterbag Placem_Collection'!Q92),"")</f>
        <v>26.45</v>
      </c>
      <c r="AL751" s="260">
        <f>INDEX([2]Coordinates!$B$2:$B$197,MATCH(I751,[2]Coordinates!$J$2:$J$197,0))</f>
        <v>-3.2966860009999999</v>
      </c>
      <c r="AM751" s="260">
        <f>INDEX([2]Coordinates!$C$2:$C$197,MATCH(I751,[2]Coordinates!$J$2:$J$197,0))</f>
        <v>34.854371989999997</v>
      </c>
      <c r="AN751" s="260" t="str">
        <f>IF(ISNUMBER(SEARCH("C", 'Dry_Litterbag Placem_Collection'!V92)),"YES","NO")</f>
        <v>NO</v>
      </c>
      <c r="AO751" s="260" t="str">
        <f>IF(ISNUMBER(SEARCH("H", 'Dry_Litterbag Placem_Collection'!V92)),"YES","NO")</f>
        <v>NO</v>
      </c>
      <c r="AP751" s="260" t="str">
        <f>IF(ISNUMBER(SEARCH("R", 'Dry_Litterbag Placem_Collection'!V92)),"YES","NO")</f>
        <v>NO</v>
      </c>
    </row>
    <row r="752" spans="1:42" ht="15" customHeight="1">
      <c r="A752" t="s">
        <v>3248</v>
      </c>
      <c r="B752" s="252" t="s">
        <v>2643</v>
      </c>
      <c r="C752" s="253">
        <f>'Dry_Litterbag Placem_Collection'!A93</f>
        <v>91</v>
      </c>
      <c r="D752" s="253" t="str">
        <f>'Dry_Litterbag Placem_Collection'!B93</f>
        <v>Maswa</v>
      </c>
      <c r="E752" s="253" t="s">
        <v>2643</v>
      </c>
      <c r="F752" s="253" t="s">
        <v>2645</v>
      </c>
      <c r="G752" s="253">
        <v>4</v>
      </c>
      <c r="H752" s="253" t="s">
        <v>3115</v>
      </c>
      <c r="I752" s="254" t="str">
        <f>'Dry_Litterbag Placem_Collection'!C93</f>
        <v>Dry_W4_T3</v>
      </c>
      <c r="J752" s="263" t="s">
        <v>2932</v>
      </c>
      <c r="K752" s="264" t="s">
        <v>298</v>
      </c>
      <c r="L752" s="253" t="str">
        <f>IF(ISBLANK('Dry_Litterbag Placem_Collection'!M93),"","R"&amp;""&amp;'Dry_Litterbag Placem_Collection'!M93)</f>
        <v>R659</v>
      </c>
      <c r="M752" s="257">
        <f>IFERROR(INDEX('Green_rooibos initial weight'!$C$5:$C$2000,MATCH(L752, 'Green_rooibos initial weight'!$A$5:$A$2000,0)),"")</f>
        <v>2.2349999999999999</v>
      </c>
      <c r="N752" s="257">
        <f>IFERROR(M752-(TBIcalc!$Q$9+TBIcalc!$Q$10),"")</f>
        <v>1.9851999999999999</v>
      </c>
      <c r="O752" s="378">
        <f>AVERAGE(Ashed_controlls!$K$12:$K$14)</f>
        <v>2.2816647271287041</v>
      </c>
      <c r="P752" s="257">
        <f t="shared" si="56"/>
        <v>1.9399043918370409</v>
      </c>
      <c r="Q752" s="257">
        <f>IFERROR(INDEX('Both teabags AfterDry'!$D$2:$D$2000,MATCH(L752,'Both teabags AfterDry'!$A$2:$A$2000,0)),"")</f>
        <v>2.0495999999999999</v>
      </c>
      <c r="R752" s="257">
        <f>IFERROR(IF(Q752&gt;0,Q752-(TBIcalc!$Q$9),""),"")</f>
        <v>1.8989999999999998</v>
      </c>
      <c r="S752" s="268">
        <f>IFERROR(INDEX('Ashed teabags dry'!$K$2:$K$2000,MATCH(L752,'Ashed teabags dry'!$A$2:$A$2000,0)),"")</f>
        <v>4.1826717883060072</v>
      </c>
      <c r="T752" s="268">
        <f t="shared" si="57"/>
        <v>1.8195710627400687</v>
      </c>
      <c r="U752" s="258">
        <f>IF('Dry_Litterbag Placem_Collection'!E93="","",'Dry_Litterbag Placem_Collection'!E93)</f>
        <v>42937</v>
      </c>
      <c r="V752" s="258">
        <f>IF('Dry_Litterbag Placem_Collection'!G93="","",'Dry_Litterbag Placem_Collection'!G93)</f>
        <v>43006</v>
      </c>
      <c r="W752" s="259">
        <f t="shared" si="55"/>
        <v>69</v>
      </c>
      <c r="X752" s="257">
        <f t="shared" si="58"/>
        <v>8.6200000000000054E-2</v>
      </c>
      <c r="Y752" s="257">
        <f t="shared" si="59"/>
        <v>0.12033332909697214</v>
      </c>
      <c r="Z752" s="261">
        <f>IFERROR(INDEX([3]Rainfall_Dry!$O$2:$O$217,MATCH(C752, [3]Rainfall_Dry!$A$2:$A$217,0)),"")</f>
        <v>12.563016860999999</v>
      </c>
      <c r="AA752" s="250">
        <v>28.145762029394</v>
      </c>
      <c r="AB752" s="250">
        <v>25.085564727199518</v>
      </c>
      <c r="AC752" s="250">
        <v>46.768673243406489</v>
      </c>
      <c r="AD752" s="251" t="s">
        <v>2651</v>
      </c>
      <c r="AE752" s="250">
        <v>4.1716214884179399</v>
      </c>
      <c r="AF752">
        <f>IF('WetLitterbags placem_collection'!AB93="","",'WetLitterbags placem_collection'!AB93)</f>
        <v>6.1</v>
      </c>
      <c r="AG752">
        <f>IF('WetLitterbags placem_collection'!Z93="","",'WetLitterbags placem_collection'!Z93)</f>
        <v>39.4</v>
      </c>
      <c r="AH752" s="236" t="str">
        <f>IF('WetLitterbags placem_collection'!AA93="","",'WetLitterbags placem_collection'!AA93)</f>
        <v>O</v>
      </c>
      <c r="AI752">
        <f>IF('WetLitterbags placem_collection'!AC93="","",'WetLitterbags placem_collection'!AC93)</f>
        <v>1</v>
      </c>
      <c r="AJ752">
        <f>IFERROR(AVERAGE('Dry_Litterbag Placem_Collection'!O93,'Dry_Litterbag Placem_Collection'!R93),"")</f>
        <v>10.95</v>
      </c>
      <c r="AK752" s="261">
        <f>IFERROR(AVERAGE('Dry_Litterbag Placem_Collection'!N93,'Dry_Litterbag Placem_Collection'!Q93),"")</f>
        <v>25.95</v>
      </c>
      <c r="AL752" s="260">
        <f>INDEX([2]Coordinates!$B$2:$B$197,MATCH(I752,[2]Coordinates!$J$2:$J$197,0))</f>
        <v>-3.2966180239999998</v>
      </c>
      <c r="AM752" s="260">
        <f>INDEX([2]Coordinates!$C$2:$C$197,MATCH(I752,[2]Coordinates!$J$2:$J$197,0))</f>
        <v>34.854464020000002</v>
      </c>
      <c r="AN752" s="260" t="str">
        <f>IF(ISNUMBER(SEARCH("C", 'Dry_Litterbag Placem_Collection'!V93)),"YES","NO")</f>
        <v>NO</v>
      </c>
      <c r="AO752" s="260" t="str">
        <f>IF(ISNUMBER(SEARCH("H", 'Dry_Litterbag Placem_Collection'!V93)),"YES","NO")</f>
        <v>NO</v>
      </c>
      <c r="AP752" s="260" t="str">
        <f>IF(ISNUMBER(SEARCH("R", 'Dry_Litterbag Placem_Collection'!V93)),"YES","NO")</f>
        <v>NO</v>
      </c>
    </row>
    <row r="753" spans="1:42" ht="15" customHeight="1">
      <c r="A753" t="s">
        <v>3248</v>
      </c>
      <c r="B753" s="252" t="s">
        <v>2643</v>
      </c>
      <c r="C753" s="253">
        <f>'Dry_Litterbag Placem_Collection'!A94</f>
        <v>92</v>
      </c>
      <c r="D753" s="253" t="str">
        <f>'Dry_Litterbag Placem_Collection'!B94</f>
        <v>Maswa</v>
      </c>
      <c r="E753" s="253" t="s">
        <v>2643</v>
      </c>
      <c r="F753" s="253" t="s">
        <v>2645</v>
      </c>
      <c r="G753" s="253">
        <v>4</v>
      </c>
      <c r="H753" s="253" t="s">
        <v>3115</v>
      </c>
      <c r="I753" s="254" t="str">
        <f>'Dry_Litterbag Placem_Collection'!C94</f>
        <v>Dry_W4_T4</v>
      </c>
      <c r="J753" s="263" t="s">
        <v>2932</v>
      </c>
      <c r="K753" s="264" t="s">
        <v>298</v>
      </c>
      <c r="L753" s="253" t="str">
        <f>IF(ISBLANK('Dry_Litterbag Placem_Collection'!M94),"","R"&amp;""&amp;'Dry_Litterbag Placem_Collection'!M94)</f>
        <v>R619</v>
      </c>
      <c r="M753" s="257">
        <f>IFERROR(INDEX('Green_rooibos initial weight'!$C$5:$C$2000,MATCH(L753, 'Green_rooibos initial weight'!$A$5:$A$2000,0)),"")</f>
        <v>2.1480000000000001</v>
      </c>
      <c r="N753" s="257">
        <f>IFERROR(M753-(TBIcalc!$Q$9+TBIcalc!$Q$10),"")</f>
        <v>1.8982000000000001</v>
      </c>
      <c r="O753" s="378">
        <f>AVERAGE(Ashed_controlls!$K$12:$K$14)</f>
        <v>2.2816647271287041</v>
      </c>
      <c r="P753" s="257">
        <f t="shared" si="56"/>
        <v>1.854889440149643</v>
      </c>
      <c r="Q753" s="257">
        <f>IFERROR(INDEX('Both teabags AfterDry'!$D$2:$D$2000,MATCH(L753,'Both teabags AfterDry'!$A$2:$A$2000,0)),"")</f>
        <v>1.9713000000000001</v>
      </c>
      <c r="R753" s="257">
        <f>IFERROR(IF(Q753&gt;0,Q753-(TBIcalc!$Q$9),""),"")</f>
        <v>1.8207</v>
      </c>
      <c r="S753" s="268">
        <f>IFERROR(INDEX('Ashed teabags dry'!$K$2:$K$2000,MATCH(L753,'Ashed teabags dry'!$A$2:$A$2000,0)),"")</f>
        <v>3.4364261168385459</v>
      </c>
      <c r="T753" s="268">
        <f t="shared" si="57"/>
        <v>1.7581329896907205</v>
      </c>
      <c r="U753" s="258">
        <f>IF('Dry_Litterbag Placem_Collection'!E94="","",'Dry_Litterbag Placem_Collection'!E94)</f>
        <v>42937</v>
      </c>
      <c r="V753" s="258">
        <f>IF('Dry_Litterbag Placem_Collection'!G94="","",'Dry_Litterbag Placem_Collection'!G94)</f>
        <v>43006</v>
      </c>
      <c r="W753" s="259">
        <f t="shared" si="55"/>
        <v>69</v>
      </c>
      <c r="X753" s="257">
        <f t="shared" si="58"/>
        <v>7.7500000000000124E-2</v>
      </c>
      <c r="Y753" s="257">
        <f t="shared" si="59"/>
        <v>9.6756450458922449E-2</v>
      </c>
      <c r="Z753" s="261">
        <f>IFERROR(INDEX([3]Rainfall_Dry!$O$2:$O$217,MATCH(C753, [3]Rainfall_Dry!$A$2:$A$217,0)),"")</f>
        <v>12.563016860999999</v>
      </c>
      <c r="AA753" s="250">
        <v>28.145762029394</v>
      </c>
      <c r="AB753" s="250">
        <v>25.085564727199518</v>
      </c>
      <c r="AC753" s="250">
        <v>46.768673243406489</v>
      </c>
      <c r="AD753" s="251" t="s">
        <v>2651</v>
      </c>
      <c r="AE753" s="250">
        <v>5.1716214884179399</v>
      </c>
      <c r="AF753">
        <f>IF('WetLitterbags placem_collection'!AB94="","",'WetLitterbags placem_collection'!AB94)</f>
        <v>7.7</v>
      </c>
      <c r="AG753">
        <f>IF('WetLitterbags placem_collection'!Z94="","",'WetLitterbags placem_collection'!Z94)</f>
        <v>24.8</v>
      </c>
      <c r="AH753" s="236" t="str">
        <f>IF('WetLitterbags placem_collection'!AA94="","",'WetLitterbags placem_collection'!AA94)</f>
        <v>O</v>
      </c>
      <c r="AI753">
        <f>IF('WetLitterbags placem_collection'!AC94="","",'WetLitterbags placem_collection'!AC94)</f>
        <v>1</v>
      </c>
      <c r="AJ753">
        <f>IFERROR(AVERAGE('Dry_Litterbag Placem_Collection'!O94,'Dry_Litterbag Placem_Collection'!R94),"")</f>
        <v>10.25</v>
      </c>
      <c r="AK753" s="261">
        <f>IFERROR(AVERAGE('Dry_Litterbag Placem_Collection'!N94,'Dry_Litterbag Placem_Collection'!Q94),"")</f>
        <v>26</v>
      </c>
      <c r="AL753" s="260">
        <f>INDEX([2]Coordinates!$B$2:$B$197,MATCH(I753,[2]Coordinates!$J$2:$J$197,0))</f>
        <v>-3.2965539860000002</v>
      </c>
      <c r="AM753" s="260">
        <f>INDEX([2]Coordinates!$C$2:$C$197,MATCH(I753,[2]Coordinates!$J$2:$J$197,0))</f>
        <v>34.854455969999997</v>
      </c>
      <c r="AN753" s="260" t="str">
        <f>IF(ISNUMBER(SEARCH("C", 'Dry_Litterbag Placem_Collection'!V94)),"YES","NO")</f>
        <v>NO</v>
      </c>
      <c r="AO753" s="260" t="str">
        <f>IF(ISNUMBER(SEARCH("H", 'Dry_Litterbag Placem_Collection'!V94)),"YES","NO")</f>
        <v>NO</v>
      </c>
      <c r="AP753" s="260" t="str">
        <f>IF(ISNUMBER(SEARCH("R", 'Dry_Litterbag Placem_Collection'!V94)),"YES","NO")</f>
        <v>NO</v>
      </c>
    </row>
    <row r="754" spans="1:42" ht="15" customHeight="1">
      <c r="A754" t="s">
        <v>3248</v>
      </c>
      <c r="B754" s="252" t="s">
        <v>2643</v>
      </c>
      <c r="C754" s="253">
        <f>'Dry_Litterbag Placem_Collection'!A95</f>
        <v>93</v>
      </c>
      <c r="D754" s="253" t="str">
        <f>'Dry_Litterbag Placem_Collection'!B95</f>
        <v>Maswa</v>
      </c>
      <c r="E754" s="253" t="s">
        <v>2643</v>
      </c>
      <c r="F754" s="253" t="s">
        <v>2645</v>
      </c>
      <c r="G754" s="253">
        <v>4</v>
      </c>
      <c r="H754" s="253" t="s">
        <v>3115</v>
      </c>
      <c r="I754" s="254" t="str">
        <f>'Dry_Litterbag Placem_Collection'!C95</f>
        <v>Dry_W4_T5</v>
      </c>
      <c r="J754" s="263" t="s">
        <v>2932</v>
      </c>
      <c r="K754" s="264" t="s">
        <v>298</v>
      </c>
      <c r="L754" s="253" t="str">
        <f>IF(ISBLANK('Dry_Litterbag Placem_Collection'!M95),"","R"&amp;""&amp;'Dry_Litterbag Placem_Collection'!M95)</f>
        <v>R106</v>
      </c>
      <c r="M754" s="257">
        <f>IFERROR(INDEX('Green_rooibos initial weight'!$C$5:$C$2000,MATCH(L754, 'Green_rooibos initial weight'!$A$5:$A$2000,0)),"")</f>
        <v>2.2330000000000001</v>
      </c>
      <c r="N754" s="257">
        <f>IFERROR(M754-(TBIcalc!$Q$9+TBIcalc!$Q$10),"")</f>
        <v>1.9832000000000001</v>
      </c>
      <c r="O754" s="378">
        <f>AVERAGE(Ashed_controlls!$K$12:$K$14)</f>
        <v>2.2816647271287041</v>
      </c>
      <c r="P754" s="257">
        <f t="shared" si="56"/>
        <v>1.9379500251315835</v>
      </c>
      <c r="Q754" s="257">
        <f>IFERROR(INDEX('Both teabags AfterDry'!$D$2:$D$2000,MATCH(L754,'Both teabags AfterDry'!$A$2:$A$2000,0)),"")</f>
        <v>2.0352999999999999</v>
      </c>
      <c r="R754" s="257">
        <f>IFERROR(IF(Q754&gt;0,Q754-(TBIcalc!$Q$9),""),"")</f>
        <v>1.8846999999999998</v>
      </c>
      <c r="S754" s="268">
        <f>IFERROR(INDEX('Ashed teabags dry'!$K$2:$K$2000,MATCH(L754,'Ashed teabags dry'!$A$2:$A$2000,0)),"")</f>
        <v>2.5896414342635063</v>
      </c>
      <c r="T754" s="268">
        <f t="shared" si="57"/>
        <v>1.8358930278884356</v>
      </c>
      <c r="U754" s="258">
        <f>IF('Dry_Litterbag Placem_Collection'!E95="","",'Dry_Litterbag Placem_Collection'!E95)</f>
        <v>42937</v>
      </c>
      <c r="V754" s="258">
        <f>IF('Dry_Litterbag Placem_Collection'!G95="","",'Dry_Litterbag Placem_Collection'!G95)</f>
        <v>43006</v>
      </c>
      <c r="W754" s="259">
        <f t="shared" si="55"/>
        <v>69</v>
      </c>
      <c r="X754" s="257">
        <f t="shared" si="58"/>
        <v>9.8500000000000254E-2</v>
      </c>
      <c r="Y754" s="257">
        <f t="shared" si="59"/>
        <v>0.10205699724314798</v>
      </c>
      <c r="Z754" s="261">
        <f>IFERROR(INDEX([3]Rainfall_Dry!$O$2:$O$217,MATCH(C754, [3]Rainfall_Dry!$A$2:$A$217,0)),"")</f>
        <v>12.563016860999999</v>
      </c>
      <c r="AA754" s="250">
        <v>28.145762029394</v>
      </c>
      <c r="AB754" s="250">
        <v>25.085564727199518</v>
      </c>
      <c r="AC754" s="250">
        <v>46.768673243406489</v>
      </c>
      <c r="AD754" s="251" t="s">
        <v>2651</v>
      </c>
      <c r="AE754" s="250">
        <v>6.1716214884179399</v>
      </c>
      <c r="AF754">
        <f>IF('WetLitterbags placem_collection'!AB95="","",'WetLitterbags placem_collection'!AB95)</f>
        <v>6.6</v>
      </c>
      <c r="AG754">
        <f>IF('WetLitterbags placem_collection'!Z95="","",'WetLitterbags placem_collection'!Z95)</f>
        <v>40</v>
      </c>
      <c r="AH754" s="236" t="str">
        <f>IF('WetLitterbags placem_collection'!AA95="","",'WetLitterbags placem_collection'!AA95)</f>
        <v>O</v>
      </c>
      <c r="AI754">
        <f>IF('WetLitterbags placem_collection'!AC95="","",'WetLitterbags placem_collection'!AC95)</f>
        <v>1</v>
      </c>
      <c r="AJ754">
        <f>IFERROR(AVERAGE('Dry_Litterbag Placem_Collection'!O95,'Dry_Litterbag Placem_Collection'!R95),"")</f>
        <v>10.45</v>
      </c>
      <c r="AK754" s="261">
        <f>IFERROR(AVERAGE('Dry_Litterbag Placem_Collection'!N95,'Dry_Litterbag Placem_Collection'!Q95),"")</f>
        <v>26.4</v>
      </c>
      <c r="AL754" s="260">
        <f>INDEX([2]Coordinates!$B$2:$B$197,MATCH(I754,[2]Coordinates!$J$2:$J$197,0))</f>
        <v>-3.2964789680000002</v>
      </c>
      <c r="AM754" s="260">
        <f>INDEX([2]Coordinates!$C$2:$C$197,MATCH(I754,[2]Coordinates!$J$2:$J$197,0))</f>
        <v>34.854331000000002</v>
      </c>
      <c r="AN754" s="260" t="str">
        <f>IF(ISNUMBER(SEARCH("C", 'Dry_Litterbag Placem_Collection'!V95)),"YES","NO")</f>
        <v>NO</v>
      </c>
      <c r="AO754" s="260" t="str">
        <f>IF(ISNUMBER(SEARCH("H", 'Dry_Litterbag Placem_Collection'!V95)),"YES","NO")</f>
        <v>NO</v>
      </c>
      <c r="AP754" s="260" t="str">
        <f>IF(ISNUMBER(SEARCH("R", 'Dry_Litterbag Placem_Collection'!V95)),"YES","NO")</f>
        <v>NO</v>
      </c>
    </row>
    <row r="755" spans="1:42" ht="15" customHeight="1">
      <c r="A755" t="s">
        <v>3248</v>
      </c>
      <c r="B755" s="252" t="s">
        <v>2643</v>
      </c>
      <c r="C755" s="253">
        <f>'Dry_Litterbag Placem_Collection'!A96</f>
        <v>94</v>
      </c>
      <c r="D755" s="253" t="str">
        <f>'Dry_Litterbag Placem_Collection'!B96</f>
        <v>Maswa</v>
      </c>
      <c r="E755" s="253" t="s">
        <v>2643</v>
      </c>
      <c r="F755" s="253" t="s">
        <v>2645</v>
      </c>
      <c r="G755" s="253">
        <v>4</v>
      </c>
      <c r="H755" s="253" t="s">
        <v>3115</v>
      </c>
      <c r="I755" s="254" t="str">
        <f>'Dry_Litterbag Placem_Collection'!C96</f>
        <v>Dry_W4_T6</v>
      </c>
      <c r="J755" s="263" t="s">
        <v>2932</v>
      </c>
      <c r="K755" s="264" t="s">
        <v>298</v>
      </c>
      <c r="L755" s="253" t="str">
        <f>IF(ISBLANK('Dry_Litterbag Placem_Collection'!M96),"","R"&amp;""&amp;'Dry_Litterbag Placem_Collection'!M96)</f>
        <v/>
      </c>
      <c r="M755" s="257" t="str">
        <f>IFERROR(INDEX('Green_rooibos initial weight'!$C$5:$C$2000,MATCH(L755, 'Green_rooibos initial weight'!$A$5:$A$2000,0)),"")</f>
        <v/>
      </c>
      <c r="N755" s="257" t="str">
        <f>IFERROR(M755-(TBIcalc!$Q$9+TBIcalc!$Q$10),"")</f>
        <v/>
      </c>
      <c r="O755" s="378">
        <f>AVERAGE(Ashed_controlls!$K$12:$K$14)</f>
        <v>2.2816647271287041</v>
      </c>
      <c r="P755" s="257" t="str">
        <f t="shared" si="56"/>
        <v/>
      </c>
      <c r="Q755" s="257" t="str">
        <f>IFERROR(INDEX('Both teabags AfterDry'!$D$2:$D$2000,MATCH(L755,'Both teabags AfterDry'!$A$2:$A$2000,0)),"")</f>
        <v/>
      </c>
      <c r="R755" s="257" t="str">
        <f>IFERROR(IF(Q755&gt;0,Q755-(TBIcalc!$Q$9),""),"")</f>
        <v/>
      </c>
      <c r="S755" s="268" t="str">
        <f>IFERROR(INDEX('Ashed teabags dry'!$K$2:$K$2000,MATCH(L755,'Ashed teabags dry'!$A$2:$A$2000,0)),"")</f>
        <v/>
      </c>
      <c r="T755" s="268" t="str">
        <f t="shared" si="57"/>
        <v/>
      </c>
      <c r="U755" s="258" t="str">
        <f>IF('Dry_Litterbag Placem_Collection'!E96="","",'Dry_Litterbag Placem_Collection'!E96)</f>
        <v/>
      </c>
      <c r="V755" s="258" t="str">
        <f>IF('Dry_Litterbag Placem_Collection'!G96="","",'Dry_Litterbag Placem_Collection'!G96)</f>
        <v/>
      </c>
      <c r="W755" s="259" t="str">
        <f t="shared" si="55"/>
        <v/>
      </c>
      <c r="X755" s="257" t="str">
        <f t="shared" si="58"/>
        <v/>
      </c>
      <c r="Y755" s="257" t="str">
        <f t="shared" si="59"/>
        <v/>
      </c>
      <c r="Z755" s="261" t="str">
        <f>IFERROR(INDEX([3]Rainfall_Dry!$O$2:$O$217,MATCH(C755, [3]Rainfall_Dry!$A$2:$A$217,0)),"")</f>
        <v/>
      </c>
      <c r="AA755" s="250">
        <v>28.145762029394</v>
      </c>
      <c r="AB755" s="250">
        <v>25.085564727199518</v>
      </c>
      <c r="AC755" s="250">
        <v>46.768673243406489</v>
      </c>
      <c r="AD755" s="251" t="s">
        <v>2651</v>
      </c>
      <c r="AE755" s="250">
        <v>7.1716214884179399</v>
      </c>
      <c r="AF755" t="str">
        <f>IF('WetLitterbags placem_collection'!AB96="","",'WetLitterbags placem_collection'!AB96)</f>
        <v/>
      </c>
      <c r="AG755" t="str">
        <f>IF('WetLitterbags placem_collection'!Z96="","",'WetLitterbags placem_collection'!Z96)</f>
        <v/>
      </c>
      <c r="AH755" s="236" t="str">
        <f>IF('WetLitterbags placem_collection'!AA96="","",'WetLitterbags placem_collection'!AA96)</f>
        <v/>
      </c>
      <c r="AI755" t="str">
        <f>IF('WetLitterbags placem_collection'!AC96="","",'WetLitterbags placem_collection'!AC96)</f>
        <v/>
      </c>
      <c r="AJ755" t="str">
        <f>IFERROR(AVERAGE('Dry_Litterbag Placem_Collection'!O96,'Dry_Litterbag Placem_Collection'!R96),"")</f>
        <v/>
      </c>
      <c r="AK755" s="261" t="str">
        <f>IFERROR(AVERAGE('Dry_Litterbag Placem_Collection'!N96,'Dry_Litterbag Placem_Collection'!Q96),"")</f>
        <v/>
      </c>
      <c r="AL755" s="260">
        <f>INDEX([2]Coordinates!$B$2:$B$197,MATCH(I755,[2]Coordinates!$J$2:$J$197,0))</f>
        <v>-3.2964649700000002</v>
      </c>
      <c r="AM755" s="260">
        <f>INDEX([2]Coordinates!$C$2:$C$197,MATCH(I755,[2]Coordinates!$J$2:$J$197,0))</f>
        <v>34.854340970000003</v>
      </c>
      <c r="AN755" s="260" t="str">
        <f>IF(ISNUMBER(SEARCH("C", 'Dry_Litterbag Placem_Collection'!V96)),"YES","NO")</f>
        <v>NO</v>
      </c>
      <c r="AO755" s="260" t="str">
        <f>IF(ISNUMBER(SEARCH("H", 'Dry_Litterbag Placem_Collection'!V96)),"YES","NO")</f>
        <v>NO</v>
      </c>
      <c r="AP755" s="260" t="str">
        <f>IF(ISNUMBER(SEARCH("R", 'Dry_Litterbag Placem_Collection'!V96)),"YES","NO")</f>
        <v>NO</v>
      </c>
    </row>
    <row r="756" spans="1:42" ht="15" customHeight="1">
      <c r="A756" t="s">
        <v>3248</v>
      </c>
      <c r="B756" s="252" t="s">
        <v>2643</v>
      </c>
      <c r="C756" s="253">
        <f>'Dry_Litterbag Placem_Collection'!A97</f>
        <v>95</v>
      </c>
      <c r="D756" s="253" t="str">
        <f>'Dry_Litterbag Placem_Collection'!B97</f>
        <v>Maswa</v>
      </c>
      <c r="E756" s="253" t="s">
        <v>2643</v>
      </c>
      <c r="F756" s="253" t="s">
        <v>2645</v>
      </c>
      <c r="G756" s="253">
        <v>4</v>
      </c>
      <c r="H756" s="253" t="s">
        <v>3115</v>
      </c>
      <c r="I756" s="254" t="str">
        <f>'Dry_Litterbag Placem_Collection'!C97</f>
        <v>Dry_W4_T7</v>
      </c>
      <c r="J756" s="263" t="s">
        <v>2932</v>
      </c>
      <c r="K756" s="264" t="s">
        <v>298</v>
      </c>
      <c r="L756" s="253" t="str">
        <f>IF(ISBLANK('Dry_Litterbag Placem_Collection'!M97),"","R"&amp;""&amp;'Dry_Litterbag Placem_Collection'!M97)</f>
        <v>R233</v>
      </c>
      <c r="M756" s="257">
        <f>IFERROR(INDEX('Green_rooibos initial weight'!$C$5:$C$2000,MATCH(L756, 'Green_rooibos initial weight'!$A$5:$A$2000,0)),"")</f>
        <v>2.1749999999999998</v>
      </c>
      <c r="N756" s="257">
        <f>IFERROR(M756-(TBIcalc!$Q$9+TBIcalc!$Q$10),"")</f>
        <v>1.9251999999999998</v>
      </c>
      <c r="O756" s="378">
        <f>AVERAGE(Ashed_controlls!$K$12:$K$14)</f>
        <v>2.2816647271287041</v>
      </c>
      <c r="P756" s="257">
        <f t="shared" si="56"/>
        <v>1.8812733906733179</v>
      </c>
      <c r="Q756" s="257">
        <f>IFERROR(INDEX('Both teabags AfterDry'!$D$2:$D$2000,MATCH(L756,'Both teabags AfterDry'!$A$2:$A$2000,0)),"")</f>
        <v>1.9479</v>
      </c>
      <c r="R756" s="257">
        <f>IFERROR(IF(Q756&gt;0,Q756-(TBIcalc!$Q$9),""),"")</f>
        <v>1.7972999999999999</v>
      </c>
      <c r="S756" s="268">
        <f>IFERROR(INDEX('Ashed teabags dry'!$K$2:$K$2000,MATCH(L756,'Ashed teabags dry'!$A$2:$A$2000,0)),"")</f>
        <v>2.2635814889335339</v>
      </c>
      <c r="T756" s="268">
        <f t="shared" si="57"/>
        <v>1.7566166498993976</v>
      </c>
      <c r="U756" s="258">
        <f>IF('Dry_Litterbag Placem_Collection'!E97="","",'Dry_Litterbag Placem_Collection'!E97)</f>
        <v>42937</v>
      </c>
      <c r="V756" s="258">
        <f>IF('Dry_Litterbag Placem_Collection'!G97="","",'Dry_Litterbag Placem_Collection'!G97)</f>
        <v>43006</v>
      </c>
      <c r="W756" s="259">
        <f t="shared" si="55"/>
        <v>69</v>
      </c>
      <c r="X756" s="257">
        <f t="shared" si="58"/>
        <v>0.1278999999999999</v>
      </c>
      <c r="Y756" s="257">
        <f t="shared" si="59"/>
        <v>0.1246567407739203</v>
      </c>
      <c r="Z756" s="261">
        <f>IFERROR(INDEX([3]Rainfall_Dry!$O$2:$O$217,MATCH(C756, [3]Rainfall_Dry!$A$2:$A$217,0)),"")</f>
        <v>12.563016860999999</v>
      </c>
      <c r="AA756" s="250">
        <v>28.145762029394</v>
      </c>
      <c r="AB756" s="250">
        <v>25.085564727199518</v>
      </c>
      <c r="AC756" s="250">
        <v>46.768673243406489</v>
      </c>
      <c r="AD756" s="251" t="s">
        <v>2651</v>
      </c>
      <c r="AE756" s="250">
        <v>8.1716214884179408</v>
      </c>
      <c r="AF756">
        <f>IF('WetLitterbags placem_collection'!AB97="","",'WetLitterbags placem_collection'!AB97)</f>
        <v>5.4</v>
      </c>
      <c r="AG756">
        <f>IF('WetLitterbags placem_collection'!Z97="","",'WetLitterbags placem_collection'!Z97)</f>
        <v>15.2</v>
      </c>
      <c r="AH756" s="236" t="str">
        <f>IF('WetLitterbags placem_collection'!AA97="","",'WetLitterbags placem_collection'!AA97)</f>
        <v>O</v>
      </c>
      <c r="AI756">
        <f>IF('WetLitterbags placem_collection'!AC97="","",'WetLitterbags placem_collection'!AC97)</f>
        <v>0</v>
      </c>
      <c r="AJ756">
        <f>IFERROR(AVERAGE('Dry_Litterbag Placem_Collection'!O97,'Dry_Litterbag Placem_Collection'!R97),"")</f>
        <v>8.75</v>
      </c>
      <c r="AK756" s="261">
        <f>IFERROR(AVERAGE('Dry_Litterbag Placem_Collection'!N97,'Dry_Litterbag Placem_Collection'!Q97),"")</f>
        <v>27.35</v>
      </c>
      <c r="AL756" s="260">
        <f>INDEX([2]Coordinates!$B$2:$B$197,MATCH(I756,[2]Coordinates!$J$2:$J$197,0))</f>
        <v>-3.296725983</v>
      </c>
      <c r="AM756" s="260">
        <f>INDEX([2]Coordinates!$C$2:$C$197,MATCH(I756,[2]Coordinates!$J$2:$J$197,0))</f>
        <v>34.854216000000001</v>
      </c>
      <c r="AN756" s="260" t="str">
        <f>IF(ISNUMBER(SEARCH("C", 'Dry_Litterbag Placem_Collection'!V97)),"YES","NO")</f>
        <v>NO</v>
      </c>
      <c r="AO756" s="260" t="str">
        <f>IF(ISNUMBER(SEARCH("H", 'Dry_Litterbag Placem_Collection'!V97)),"YES","NO")</f>
        <v>NO</v>
      </c>
      <c r="AP756" s="260" t="str">
        <f>IF(ISNUMBER(SEARCH("R", 'Dry_Litterbag Placem_Collection'!V97)),"YES","NO")</f>
        <v>NO</v>
      </c>
    </row>
    <row r="757" spans="1:42" ht="15" customHeight="1">
      <c r="A757" t="s">
        <v>3248</v>
      </c>
      <c r="B757" s="252" t="s">
        <v>2643</v>
      </c>
      <c r="C757" s="253">
        <f>'Dry_Litterbag Placem_Collection'!A98</f>
        <v>96</v>
      </c>
      <c r="D757" s="253" t="str">
        <f>'Dry_Litterbag Placem_Collection'!B98</f>
        <v>Maswa</v>
      </c>
      <c r="E757" s="253" t="s">
        <v>2643</v>
      </c>
      <c r="F757" s="253" t="s">
        <v>2645</v>
      </c>
      <c r="G757" s="253">
        <v>4</v>
      </c>
      <c r="H757" s="253" t="s">
        <v>3115</v>
      </c>
      <c r="I757" s="254" t="str">
        <f>'Dry_Litterbag Placem_Collection'!C98</f>
        <v>Dry_W4_T8</v>
      </c>
      <c r="J757" s="263" t="s">
        <v>2932</v>
      </c>
      <c r="K757" s="264" t="s">
        <v>298</v>
      </c>
      <c r="L757" s="253" t="str">
        <f>IF(ISBLANK('Dry_Litterbag Placem_Collection'!M98),"","R"&amp;""&amp;'Dry_Litterbag Placem_Collection'!M98)</f>
        <v>R698</v>
      </c>
      <c r="M757" s="257">
        <f>IFERROR(INDEX('Green_rooibos initial weight'!$C$5:$C$2000,MATCH(L757, 'Green_rooibos initial weight'!$A$5:$A$2000,0)),"")</f>
        <v>2.1779999999999999</v>
      </c>
      <c r="N757" s="257">
        <f>IFERROR(M757-(TBIcalc!$Q$9+TBIcalc!$Q$10),"")</f>
        <v>1.9281999999999999</v>
      </c>
      <c r="O757" s="378">
        <f>AVERAGE(Ashed_controlls!$K$12:$K$14)</f>
        <v>2.2816647271287041</v>
      </c>
      <c r="P757" s="257">
        <f t="shared" si="56"/>
        <v>1.8842049407315042</v>
      </c>
      <c r="Q757" s="257">
        <f>IFERROR(INDEX('Both teabags AfterDry'!$D$2:$D$2000,MATCH(L757,'Both teabags AfterDry'!$A$2:$A$2000,0)),"")</f>
        <v>2.0065</v>
      </c>
      <c r="R757" s="257">
        <f>IFERROR(IF(Q757&gt;0,Q757-(TBIcalc!$Q$9),""),"")</f>
        <v>1.8558999999999999</v>
      </c>
      <c r="S757" s="268">
        <f>IFERROR(INDEX('Ashed teabags dry'!$K$2:$K$2000,MATCH(L757,'Ashed teabags dry'!$A$2:$A$2000,0)),"")</f>
        <v>3.4017008504250739</v>
      </c>
      <c r="T757" s="268">
        <f t="shared" si="57"/>
        <v>1.792767833916961</v>
      </c>
      <c r="U757" s="258">
        <f>IF('Dry_Litterbag Placem_Collection'!E98="","",'Dry_Litterbag Placem_Collection'!E98)</f>
        <v>42937</v>
      </c>
      <c r="V757" s="258">
        <f>IF('Dry_Litterbag Placem_Collection'!G98="","",'Dry_Litterbag Placem_Collection'!G98)</f>
        <v>43006</v>
      </c>
      <c r="W757" s="259">
        <f t="shared" si="55"/>
        <v>69</v>
      </c>
      <c r="X757" s="257">
        <f t="shared" si="58"/>
        <v>7.2300000000000031E-2</v>
      </c>
      <c r="Y757" s="257">
        <f t="shared" si="59"/>
        <v>9.1437106814543201E-2</v>
      </c>
      <c r="Z757" s="261">
        <f>IFERROR(INDEX([3]Rainfall_Dry!$O$2:$O$217,MATCH(C757, [3]Rainfall_Dry!$A$2:$A$217,0)),"")</f>
        <v>12.563016860999999</v>
      </c>
      <c r="AA757" s="250">
        <v>28.145762029394</v>
      </c>
      <c r="AB757" s="250">
        <v>25.085564727199518</v>
      </c>
      <c r="AC757" s="250">
        <v>46.768673243406489</v>
      </c>
      <c r="AD757" s="251" t="s">
        <v>2651</v>
      </c>
      <c r="AE757" s="250">
        <v>9.1716214884179408</v>
      </c>
      <c r="AF757">
        <f>IF('WetLitterbags placem_collection'!AB98="","",'WetLitterbags placem_collection'!AB98)</f>
        <v>4</v>
      </c>
      <c r="AG757">
        <f>IF('WetLitterbags placem_collection'!Z98="","",'WetLitterbags placem_collection'!Z98)</f>
        <v>34.4</v>
      </c>
      <c r="AH757" s="236" t="str">
        <f>IF('WetLitterbags placem_collection'!AA98="","",'WetLitterbags placem_collection'!AA98)</f>
        <v>O</v>
      </c>
      <c r="AI757">
        <f>IF('WetLitterbags placem_collection'!AC98="","",'WetLitterbags placem_collection'!AC98)</f>
        <v>0</v>
      </c>
      <c r="AJ757">
        <f>IFERROR(AVERAGE('Dry_Litterbag Placem_Collection'!O98,'Dry_Litterbag Placem_Collection'!R98),"")</f>
        <v>5.0999999999999996</v>
      </c>
      <c r="AK757" s="261">
        <f>IFERROR(AVERAGE('Dry_Litterbag Placem_Collection'!N98,'Dry_Litterbag Placem_Collection'!Q98),"")</f>
        <v>25.950000000000003</v>
      </c>
      <c r="AL757" s="260">
        <f>INDEX([2]Coordinates!$B$2:$B$197,MATCH(I757,[2]Coordinates!$J$2:$J$197,0))</f>
        <v>-3.2968360369999998</v>
      </c>
      <c r="AM757" s="260">
        <f>INDEX([2]Coordinates!$C$2:$C$197,MATCH(I757,[2]Coordinates!$J$2:$J$197,0))</f>
        <v>34.854462009999999</v>
      </c>
      <c r="AN757" s="260" t="str">
        <f>IF(ISNUMBER(SEARCH("C", 'Dry_Litterbag Placem_Collection'!V98)),"YES","NO")</f>
        <v>NO</v>
      </c>
      <c r="AO757" s="260" t="str">
        <f>IF(ISNUMBER(SEARCH("H", 'Dry_Litterbag Placem_Collection'!V98)),"YES","NO")</f>
        <v>NO</v>
      </c>
      <c r="AP757" s="260" t="str">
        <f>IF(ISNUMBER(SEARCH("R", 'Dry_Litterbag Placem_Collection'!V98)),"YES","NO")</f>
        <v>NO</v>
      </c>
    </row>
    <row r="758" spans="1:42" ht="15" customHeight="1">
      <c r="A758" t="s">
        <v>3248</v>
      </c>
      <c r="B758" s="252" t="s">
        <v>2643</v>
      </c>
      <c r="C758" s="253">
        <f>'Dry_Litterbag Placem_Collection'!A99</f>
        <v>97</v>
      </c>
      <c r="D758" s="253" t="str">
        <f>'Dry_Litterbag Placem_Collection'!B99</f>
        <v xml:space="preserve">Mwantimba
</v>
      </c>
      <c r="E758" s="253" t="s">
        <v>2454</v>
      </c>
      <c r="F758" s="253" t="s">
        <v>2644</v>
      </c>
      <c r="G758" s="253">
        <v>1</v>
      </c>
      <c r="H758" s="253" t="s">
        <v>3116</v>
      </c>
      <c r="I758" s="254" t="str">
        <f>'Dry_Litterbag Placem_Collection'!C99</f>
        <v>Wet_Ag1_T1</v>
      </c>
      <c r="J758" s="263" t="s">
        <v>2932</v>
      </c>
      <c r="K758" s="264" t="s">
        <v>298</v>
      </c>
      <c r="L758" s="253" t="str">
        <f>IF(ISBLANK('Dry_Litterbag Placem_Collection'!M99),"","R"&amp;""&amp;'Dry_Litterbag Placem_Collection'!M99)</f>
        <v>R47</v>
      </c>
      <c r="M758" s="257">
        <f>IFERROR(INDEX('Green_rooibos initial weight'!$C$5:$C$2000,MATCH(L758, 'Green_rooibos initial weight'!$A$5:$A$2000,0)),"")</f>
        <v>2.1850000000000001</v>
      </c>
      <c r="N758" s="257">
        <f>IFERROR(M758-(TBIcalc!$Q$9+TBIcalc!$Q$10),"")</f>
        <v>1.9352</v>
      </c>
      <c r="O758" s="378">
        <f>AVERAGE(Ashed_controlls!$K$12:$K$14)</f>
        <v>2.2816647271287041</v>
      </c>
      <c r="P758" s="257">
        <f t="shared" si="56"/>
        <v>1.8910452242006053</v>
      </c>
      <c r="Q758" s="257" t="str">
        <f>IFERROR(INDEX('Both teabags AfterDry'!$D$2:$D$2000,MATCH(L758,'Both teabags AfterDry'!$A$2:$A$2000,0)),"")</f>
        <v/>
      </c>
      <c r="R758" s="257" t="str">
        <f>IFERROR(IF(Q758&gt;0,Q758-(TBIcalc!$Q$9),""),"")</f>
        <v/>
      </c>
      <c r="S758" s="268" t="str">
        <f>IFERROR(INDEX('Ashed teabags dry'!$K$2:$K$2000,MATCH(L758,'Ashed teabags dry'!$A$2:$A$2000,0)),"")</f>
        <v/>
      </c>
      <c r="T758" s="268" t="str">
        <f t="shared" si="57"/>
        <v/>
      </c>
      <c r="U758" s="258">
        <f>IF('Dry_Litterbag Placem_Collection'!E99="","",'Dry_Litterbag Placem_Collection'!E99)</f>
        <v>42939</v>
      </c>
      <c r="V758" s="258">
        <f>IF('Dry_Litterbag Placem_Collection'!G99="","",'Dry_Litterbag Placem_Collection'!G99)</f>
        <v>43010</v>
      </c>
      <c r="W758" s="259">
        <f t="shared" si="55"/>
        <v>71</v>
      </c>
      <c r="X758" s="257" t="str">
        <f t="shared" si="58"/>
        <v/>
      </c>
      <c r="Y758" s="257" t="str">
        <f t="shared" si="59"/>
        <v/>
      </c>
      <c r="Z758" s="261">
        <f>IFERROR(INDEX([3]Rainfall_Dry!$O$2:$O$217,MATCH(C758, [3]Rainfall_Dry!$A$2:$A$217,0)),"")</f>
        <v>137.19979645800001</v>
      </c>
      <c r="AA758" s="250">
        <v>45.96</v>
      </c>
      <c r="AB758" s="250">
        <v>14.920000000000003</v>
      </c>
      <c r="AC758" s="250">
        <v>39.119999999999997</v>
      </c>
      <c r="AD758" s="251" t="s">
        <v>2654</v>
      </c>
      <c r="AE758" s="250">
        <v>2.0374568753080333</v>
      </c>
      <c r="AF758">
        <f>IF('WetLitterbags placem_collection'!AB99="","",'WetLitterbags placem_collection'!AB99)</f>
        <v>2.4</v>
      </c>
      <c r="AG758">
        <f>IF('WetLitterbags placem_collection'!Z99="","",'WetLitterbags placem_collection'!Z99)</f>
        <v>8.9</v>
      </c>
      <c r="AH758" s="236" t="str">
        <f>IF('WetLitterbags placem_collection'!AA99="","",'WetLitterbags placem_collection'!AA99)</f>
        <v>G</v>
      </c>
      <c r="AI758">
        <f>IF('WetLitterbags placem_collection'!AC99="","",'WetLitterbags placem_collection'!AC99)</f>
        <v>1</v>
      </c>
      <c r="AJ758">
        <f>IFERROR(AVERAGE('Dry_Litterbag Placem_Collection'!O99,'Dry_Litterbag Placem_Collection'!R99),"")</f>
        <v>6.6</v>
      </c>
      <c r="AK758" s="261">
        <f>IFERROR(AVERAGE('Dry_Litterbag Placem_Collection'!N99,'Dry_Litterbag Placem_Collection'!Q99),"")</f>
        <v>28.5</v>
      </c>
      <c r="AL758" s="260">
        <f>INDEX([2]Coordinates!$B$2:$B$197,MATCH(I758,[2]Coordinates!$J$2:$J$197,0))</f>
        <v>-2.3691620310000001</v>
      </c>
      <c r="AM758" s="260">
        <f>INDEX([2]Coordinates!$C$2:$C$197,MATCH(I758,[2]Coordinates!$J$2:$J$197,0))</f>
        <v>34.06028104</v>
      </c>
      <c r="AN758" s="260" t="str">
        <f>IF(ISNUMBER(SEARCH("C", 'Dry_Litterbag Placem_Collection'!V99)),"YES","NO")</f>
        <v>NO</v>
      </c>
      <c r="AO758" s="260" t="str">
        <f>IF(ISNUMBER(SEARCH("H", 'Dry_Litterbag Placem_Collection'!V99)),"YES","NO")</f>
        <v>NO</v>
      </c>
      <c r="AP758" s="260" t="str">
        <f>IF(ISNUMBER(SEARCH("R", 'Dry_Litterbag Placem_Collection'!V99)),"YES","NO")</f>
        <v>NO</v>
      </c>
    </row>
    <row r="759" spans="1:42" ht="15" customHeight="1">
      <c r="A759" t="s">
        <v>3248</v>
      </c>
      <c r="B759" s="252" t="s">
        <v>2643</v>
      </c>
      <c r="C759" s="253">
        <f>'Dry_Litterbag Placem_Collection'!A100</f>
        <v>98</v>
      </c>
      <c r="D759" s="253" t="str">
        <f>'Dry_Litterbag Placem_Collection'!B100</f>
        <v xml:space="preserve">Mwantimba
</v>
      </c>
      <c r="E759" s="253" t="s">
        <v>2454</v>
      </c>
      <c r="F759" s="253" t="s">
        <v>2644</v>
      </c>
      <c r="G759" s="253">
        <v>1</v>
      </c>
      <c r="H759" s="253" t="s">
        <v>3116</v>
      </c>
      <c r="I759" s="254" t="str">
        <f>'Dry_Litterbag Placem_Collection'!C100</f>
        <v>Wet_Ag1_T2</v>
      </c>
      <c r="J759" s="263" t="s">
        <v>2932</v>
      </c>
      <c r="K759" s="264" t="s">
        <v>298</v>
      </c>
      <c r="L759" s="253" t="str">
        <f>IF(ISBLANK('Dry_Litterbag Placem_Collection'!M100),"","R"&amp;""&amp;'Dry_Litterbag Placem_Collection'!M100)</f>
        <v>R707</v>
      </c>
      <c r="M759" s="257">
        <f>IFERROR(INDEX('Green_rooibos initial weight'!$C$5:$C$2000,MATCH(L759, 'Green_rooibos initial weight'!$A$5:$A$2000,0)),"")</f>
        <v>2.145</v>
      </c>
      <c r="N759" s="257">
        <f>IFERROR(M759-(TBIcalc!$Q$9+TBIcalc!$Q$10),"")</f>
        <v>1.8952</v>
      </c>
      <c r="O759" s="378">
        <f>AVERAGE(Ashed_controlls!$K$12:$K$14)</f>
        <v>2.2816647271287041</v>
      </c>
      <c r="P759" s="257">
        <f t="shared" si="56"/>
        <v>1.8519578900914568</v>
      </c>
      <c r="Q759" s="257">
        <f>IFERROR(INDEX('Both teabags AfterDry'!$D$2:$D$2000,MATCH(L759,'Both teabags AfterDry'!$A$2:$A$2000,0)),"")</f>
        <v>1.8146</v>
      </c>
      <c r="R759" s="257">
        <f>IFERROR(IF(Q759&gt;0,Q759-(TBIcalc!$Q$9),""),"")</f>
        <v>1.6639999999999999</v>
      </c>
      <c r="S759" s="268">
        <f>IFERROR(INDEX('Ashed teabags dry'!$K$2:$K$2000,MATCH(L759,'Ashed teabags dry'!$A$2:$A$2000,0)),"")</f>
        <v>4.2060491493383303</v>
      </c>
      <c r="T759" s="268">
        <f t="shared" si="57"/>
        <v>1.5940113421550102</v>
      </c>
      <c r="U759" s="258">
        <f>IF('Dry_Litterbag Placem_Collection'!E100="","",'Dry_Litterbag Placem_Collection'!E100)</f>
        <v>42939</v>
      </c>
      <c r="V759" s="258">
        <f>IF('Dry_Litterbag Placem_Collection'!G100="","",'Dry_Litterbag Placem_Collection'!G100)</f>
        <v>43010</v>
      </c>
      <c r="W759" s="259">
        <f t="shared" si="55"/>
        <v>71</v>
      </c>
      <c r="X759" s="257">
        <f t="shared" si="58"/>
        <v>0.23120000000000007</v>
      </c>
      <c r="Y759" s="257">
        <f t="shared" si="59"/>
        <v>0.25794654793644667</v>
      </c>
      <c r="Z759" s="261">
        <f>IFERROR(INDEX([3]Rainfall_Dry!$O$2:$O$217,MATCH(C759, [3]Rainfall_Dry!$A$2:$A$217,0)),"")</f>
        <v>137.19979645800001</v>
      </c>
      <c r="AA759" s="250">
        <v>45.96</v>
      </c>
      <c r="AB759" s="250">
        <v>14.920000000000003</v>
      </c>
      <c r="AC759" s="250">
        <v>39.119999999999997</v>
      </c>
      <c r="AD759" s="251" t="s">
        <v>2654</v>
      </c>
      <c r="AE759" s="250">
        <v>3.0374568753080302</v>
      </c>
      <c r="AF759">
        <f>IF('WetLitterbags placem_collection'!AB100="","",'WetLitterbags placem_collection'!AB100)</f>
        <v>7.8</v>
      </c>
      <c r="AG759">
        <f>IF('WetLitterbags placem_collection'!Z100="","",'WetLitterbags placem_collection'!Z100)</f>
        <v>4.45</v>
      </c>
      <c r="AH759" s="236" t="str">
        <f>IF('WetLitterbags placem_collection'!AA100="","",'WetLitterbags placem_collection'!AA100)</f>
        <v>G</v>
      </c>
      <c r="AI759">
        <f>IF('WetLitterbags placem_collection'!AC100="","",'WetLitterbags placem_collection'!AC100)</f>
        <v>1</v>
      </c>
      <c r="AJ759">
        <f>IFERROR(AVERAGE('Dry_Litterbag Placem_Collection'!O100,'Dry_Litterbag Placem_Collection'!R100),"")</f>
        <v>7.25</v>
      </c>
      <c r="AK759" s="261">
        <f>IFERROR(AVERAGE('Dry_Litterbag Placem_Collection'!N100,'Dry_Litterbag Placem_Collection'!Q100),"")</f>
        <v>29.3</v>
      </c>
      <c r="AL759" s="260">
        <f>INDEX([2]Coordinates!$B$2:$B$197,MATCH(I759,[2]Coordinates!$J$2:$J$197,0))</f>
        <v>-2.3692249790000002</v>
      </c>
      <c r="AM759" s="260">
        <f>INDEX([2]Coordinates!$C$2:$C$197,MATCH(I759,[2]Coordinates!$J$2:$J$197,0))</f>
        <v>34.060285989999997</v>
      </c>
      <c r="AN759" s="260" t="str">
        <f>IF(ISNUMBER(SEARCH("C", 'Dry_Litterbag Placem_Collection'!V100)),"YES","NO")</f>
        <v>NO</v>
      </c>
      <c r="AO759" s="260" t="str">
        <f>IF(ISNUMBER(SEARCH("H", 'Dry_Litterbag Placem_Collection'!V100)),"YES","NO")</f>
        <v>NO</v>
      </c>
      <c r="AP759" s="260" t="str">
        <f>IF(ISNUMBER(SEARCH("R", 'Dry_Litterbag Placem_Collection'!V100)),"YES","NO")</f>
        <v>NO</v>
      </c>
    </row>
    <row r="760" spans="1:42" ht="15" customHeight="1">
      <c r="A760" t="s">
        <v>3248</v>
      </c>
      <c r="B760" s="252" t="s">
        <v>2643</v>
      </c>
      <c r="C760" s="253">
        <f>'Dry_Litterbag Placem_Collection'!A101</f>
        <v>99</v>
      </c>
      <c r="D760" s="253" t="str">
        <f>'Dry_Litterbag Placem_Collection'!B101</f>
        <v xml:space="preserve">Mwantimba
</v>
      </c>
      <c r="E760" s="253" t="s">
        <v>2454</v>
      </c>
      <c r="F760" s="253" t="s">
        <v>2644</v>
      </c>
      <c r="G760" s="253">
        <v>1</v>
      </c>
      <c r="H760" s="253" t="s">
        <v>3116</v>
      </c>
      <c r="I760" s="254" t="str">
        <f>'Dry_Litterbag Placem_Collection'!C101</f>
        <v>Wet_Ag1_T3</v>
      </c>
      <c r="J760" s="263" t="s">
        <v>2932</v>
      </c>
      <c r="K760" s="264" t="s">
        <v>298</v>
      </c>
      <c r="L760" s="253" t="str">
        <f>IF(ISBLANK('Dry_Litterbag Placem_Collection'!M101),"","R"&amp;""&amp;'Dry_Litterbag Placem_Collection'!M101)</f>
        <v/>
      </c>
      <c r="M760" s="257" t="str">
        <f>IFERROR(INDEX('Green_rooibos initial weight'!$C$5:$C$2000,MATCH(L760, 'Green_rooibos initial weight'!$A$5:$A$2000,0)),"")</f>
        <v/>
      </c>
      <c r="N760" s="257" t="str">
        <f>IFERROR(M760-(TBIcalc!$Q$9+TBIcalc!$Q$10),"")</f>
        <v/>
      </c>
      <c r="O760" s="378">
        <f>AVERAGE(Ashed_controlls!$K$12:$K$14)</f>
        <v>2.2816647271287041</v>
      </c>
      <c r="P760" s="257" t="str">
        <f t="shared" si="56"/>
        <v/>
      </c>
      <c r="Q760" s="257" t="str">
        <f>IFERROR(INDEX('Both teabags AfterDry'!$D$2:$D$2000,MATCH(L760,'Both teabags AfterDry'!$A$2:$A$2000,0)),"")</f>
        <v/>
      </c>
      <c r="R760" s="257" t="str">
        <f>IFERROR(IF(Q760&gt;0,Q760-(TBIcalc!$Q$9),""),"")</f>
        <v/>
      </c>
      <c r="S760" s="268" t="str">
        <f>IFERROR(INDEX('Ashed teabags dry'!$K$2:$K$2000,MATCH(L760,'Ashed teabags dry'!$A$2:$A$2000,0)),"")</f>
        <v/>
      </c>
      <c r="T760" s="268" t="str">
        <f t="shared" si="57"/>
        <v/>
      </c>
      <c r="U760" s="258" t="str">
        <f>IF('Dry_Litterbag Placem_Collection'!E101="","",'Dry_Litterbag Placem_Collection'!E101)</f>
        <v/>
      </c>
      <c r="V760" s="258" t="str">
        <f>IF('Dry_Litterbag Placem_Collection'!G101="","",'Dry_Litterbag Placem_Collection'!G101)</f>
        <v/>
      </c>
      <c r="W760" s="259" t="str">
        <f t="shared" si="55"/>
        <v/>
      </c>
      <c r="X760" s="257" t="str">
        <f t="shared" si="58"/>
        <v/>
      </c>
      <c r="Y760" s="257" t="str">
        <f t="shared" si="59"/>
        <v/>
      </c>
      <c r="Z760" s="261" t="str">
        <f>IFERROR(INDEX([3]Rainfall_Dry!$O$2:$O$217,MATCH(C760, [3]Rainfall_Dry!$A$2:$A$217,0)),"")</f>
        <v/>
      </c>
      <c r="AA760" s="250">
        <v>45.96</v>
      </c>
      <c r="AB760" s="250">
        <v>14.920000000000003</v>
      </c>
      <c r="AC760" s="250">
        <v>39.119999999999997</v>
      </c>
      <c r="AD760" s="251" t="s">
        <v>2654</v>
      </c>
      <c r="AE760" s="250">
        <v>4.0374568753080302</v>
      </c>
      <c r="AF760">
        <f>IF('WetLitterbags placem_collection'!AB101="","",'WetLitterbags placem_collection'!AB101)</f>
        <v>5.0999999999999996</v>
      </c>
      <c r="AG760">
        <f>IF('WetLitterbags placem_collection'!Z101="","",'WetLitterbags placem_collection'!Z101)</f>
        <v>2.2999999999999998</v>
      </c>
      <c r="AH760" s="236" t="str">
        <f>IF('WetLitterbags placem_collection'!AA101="","",'WetLitterbags placem_collection'!AA101)</f>
        <v>G</v>
      </c>
      <c r="AI760">
        <f>IF('WetLitterbags placem_collection'!AC101="","",'WetLitterbags placem_collection'!AC101)</f>
        <v>0</v>
      </c>
      <c r="AJ760" t="str">
        <f>IFERROR(AVERAGE('Dry_Litterbag Placem_Collection'!O101,'Dry_Litterbag Placem_Collection'!R101),"")</f>
        <v/>
      </c>
      <c r="AK760" s="261" t="str">
        <f>IFERROR(AVERAGE('Dry_Litterbag Placem_Collection'!N101,'Dry_Litterbag Placem_Collection'!Q101),"")</f>
        <v/>
      </c>
      <c r="AL760" s="260">
        <f>INDEX([2]Coordinates!$B$2:$B$197,MATCH(I760,[2]Coordinates!$J$2:$J$197,0))</f>
        <v>-2.369284993</v>
      </c>
      <c r="AM760" s="260">
        <f>INDEX([2]Coordinates!$C$2:$C$197,MATCH(I760,[2]Coordinates!$J$2:$J$197,0))</f>
        <v>34.06028104</v>
      </c>
      <c r="AN760" s="260" t="str">
        <f>IF(ISNUMBER(SEARCH("C", 'Dry_Litterbag Placem_Collection'!V101)),"YES","NO")</f>
        <v>NO</v>
      </c>
      <c r="AO760" s="260" t="str">
        <f>IF(ISNUMBER(SEARCH("H", 'Dry_Litterbag Placem_Collection'!V101)),"YES","NO")</f>
        <v>NO</v>
      </c>
      <c r="AP760" s="260" t="str">
        <f>IF(ISNUMBER(SEARCH("R", 'Dry_Litterbag Placem_Collection'!V101)),"YES","NO")</f>
        <v>NO</v>
      </c>
    </row>
    <row r="761" spans="1:42" ht="15" customHeight="1">
      <c r="A761" t="s">
        <v>3248</v>
      </c>
      <c r="B761" s="252" t="s">
        <v>2643</v>
      </c>
      <c r="C761" s="253">
        <f>'Dry_Litterbag Placem_Collection'!A102</f>
        <v>100</v>
      </c>
      <c r="D761" s="253" t="str">
        <f>'Dry_Litterbag Placem_Collection'!B102</f>
        <v xml:space="preserve">Mwantimba
</v>
      </c>
      <c r="E761" s="253" t="s">
        <v>2454</v>
      </c>
      <c r="F761" s="253" t="s">
        <v>2644</v>
      </c>
      <c r="G761" s="253">
        <v>1</v>
      </c>
      <c r="H761" s="253" t="s">
        <v>3116</v>
      </c>
      <c r="I761" s="254" t="str">
        <f>'Dry_Litterbag Placem_Collection'!C102</f>
        <v>Wet_Ag1_T4</v>
      </c>
      <c r="J761" s="263" t="s">
        <v>2932</v>
      </c>
      <c r="K761" s="264" t="s">
        <v>298</v>
      </c>
      <c r="L761" s="253" t="str">
        <f>IF(ISBLANK('Dry_Litterbag Placem_Collection'!M102),"","R"&amp;""&amp;'Dry_Litterbag Placem_Collection'!M102)</f>
        <v>R641</v>
      </c>
      <c r="M761" s="257">
        <f>IFERROR(INDEX('Green_rooibos initial weight'!$C$5:$C$2000,MATCH(L761, 'Green_rooibos initial weight'!$A$5:$A$2000,0)),"")</f>
        <v>2.1459999999999999</v>
      </c>
      <c r="N761" s="257">
        <f>IFERROR(M761-(TBIcalc!$Q$9+TBIcalc!$Q$10),"")</f>
        <v>1.8961999999999999</v>
      </c>
      <c r="O761" s="378">
        <f>AVERAGE(Ashed_controlls!$K$12:$K$14)</f>
        <v>2.2816647271287041</v>
      </c>
      <c r="P761" s="257">
        <f t="shared" si="56"/>
        <v>1.8529350734441854</v>
      </c>
      <c r="Q761" s="257">
        <f>IFERROR(INDEX('Both teabags AfterDry'!$D$2:$D$2000,MATCH(L761,'Both teabags AfterDry'!$A$2:$A$2000,0)),"")</f>
        <v>1.9777</v>
      </c>
      <c r="R761" s="257">
        <f>IFERROR(IF(Q761&gt;0,Q761-(TBIcalc!$Q$9),""),"")</f>
        <v>1.8270999999999999</v>
      </c>
      <c r="S761" s="268">
        <f>IFERROR(INDEX('Ashed teabags dry'!$K$2:$K$2000,MATCH(L761,'Ashed teabags dry'!$A$2:$A$2000,0)),"")</f>
        <v>3.7708830548921735</v>
      </c>
      <c r="T761" s="268">
        <f t="shared" si="57"/>
        <v>1.758202195704065</v>
      </c>
      <c r="U761" s="258">
        <f>IF('Dry_Litterbag Placem_Collection'!E102="","",'Dry_Litterbag Placem_Collection'!E102)</f>
        <v>42939</v>
      </c>
      <c r="V761" s="258">
        <f>IF('Dry_Litterbag Placem_Collection'!G102="","",'Dry_Litterbag Placem_Collection'!G102)</f>
        <v>43010</v>
      </c>
      <c r="W761" s="259">
        <f t="shared" si="55"/>
        <v>71</v>
      </c>
      <c r="X761" s="257">
        <f t="shared" si="58"/>
        <v>6.9099999999999939E-2</v>
      </c>
      <c r="Y761" s="257">
        <f t="shared" si="59"/>
        <v>9.4732877740120403E-2</v>
      </c>
      <c r="Z761" s="261">
        <f>IFERROR(INDEX([3]Rainfall_Dry!$O$2:$O$217,MATCH(C761, [3]Rainfall_Dry!$A$2:$A$217,0)),"")</f>
        <v>137.19979645800001</v>
      </c>
      <c r="AA761" s="250">
        <v>45.96</v>
      </c>
      <c r="AB761" s="250">
        <v>14.920000000000003</v>
      </c>
      <c r="AC761" s="250">
        <v>39.119999999999997</v>
      </c>
      <c r="AD761" s="251" t="s">
        <v>2654</v>
      </c>
      <c r="AE761" s="250">
        <v>5.0374568753080302</v>
      </c>
      <c r="AF761">
        <f>IF('WetLitterbags placem_collection'!AB102="","",'WetLitterbags placem_collection'!AB102)</f>
        <v>1.6</v>
      </c>
      <c r="AG761">
        <f>IF('WetLitterbags placem_collection'!Z102="","",'WetLitterbags placem_collection'!Z102)</f>
        <v>15</v>
      </c>
      <c r="AH761" s="236" t="str">
        <f>IF('WetLitterbags placem_collection'!AA102="","",'WetLitterbags placem_collection'!AA102)</f>
        <v>G</v>
      </c>
      <c r="AI761">
        <f>IF('WetLitterbags placem_collection'!AC102="","",'WetLitterbags placem_collection'!AC102)</f>
        <v>1</v>
      </c>
      <c r="AJ761">
        <f>IFERROR(AVERAGE('Dry_Litterbag Placem_Collection'!O102,'Dry_Litterbag Placem_Collection'!R102),"")</f>
        <v>6.75</v>
      </c>
      <c r="AK761" s="261">
        <f>IFERROR(AVERAGE('Dry_Litterbag Placem_Collection'!N102,'Dry_Litterbag Placem_Collection'!Q102),"")</f>
        <v>29.1</v>
      </c>
      <c r="AL761" s="260">
        <f>INDEX([2]Coordinates!$B$2:$B$197,MATCH(I761,[2]Coordinates!$J$2:$J$197,0))</f>
        <v>-2.3691989950000001</v>
      </c>
      <c r="AM761" s="260">
        <f>INDEX([2]Coordinates!$C$2:$C$197,MATCH(I761,[2]Coordinates!$J$2:$J$197,0))</f>
        <v>34.060208029999998</v>
      </c>
      <c r="AN761" s="260" t="str">
        <f>IF(ISNUMBER(SEARCH("C", 'Dry_Litterbag Placem_Collection'!V102)),"YES","NO")</f>
        <v>NO</v>
      </c>
      <c r="AO761" s="260" t="str">
        <f>IF(ISNUMBER(SEARCH("H", 'Dry_Litterbag Placem_Collection'!V102)),"YES","NO")</f>
        <v>NO</v>
      </c>
      <c r="AP761" s="260" t="str">
        <f>IF(ISNUMBER(SEARCH("R", 'Dry_Litterbag Placem_Collection'!V102)),"YES","NO")</f>
        <v>NO</v>
      </c>
    </row>
    <row r="762" spans="1:42" ht="15" customHeight="1">
      <c r="A762" t="s">
        <v>3248</v>
      </c>
      <c r="B762" s="252" t="s">
        <v>2643</v>
      </c>
      <c r="C762" s="253">
        <f>'Dry_Litterbag Placem_Collection'!A103</f>
        <v>101</v>
      </c>
      <c r="D762" s="253" t="str">
        <f>'Dry_Litterbag Placem_Collection'!B103</f>
        <v xml:space="preserve">Mwantimba
</v>
      </c>
      <c r="E762" s="253" t="s">
        <v>2454</v>
      </c>
      <c r="F762" s="253" t="s">
        <v>2644</v>
      </c>
      <c r="G762" s="253">
        <v>1</v>
      </c>
      <c r="H762" s="253" t="s">
        <v>3116</v>
      </c>
      <c r="I762" s="254" t="str">
        <f>'Dry_Litterbag Placem_Collection'!C103</f>
        <v>Wet_Ag1_T5</v>
      </c>
      <c r="J762" s="263" t="s">
        <v>2932</v>
      </c>
      <c r="K762" s="264" t="s">
        <v>298</v>
      </c>
      <c r="L762" s="253" t="str">
        <f>IF(ISBLANK('Dry_Litterbag Placem_Collection'!M103),"","R"&amp;""&amp;'Dry_Litterbag Placem_Collection'!M103)</f>
        <v>R245</v>
      </c>
      <c r="M762" s="257">
        <f>IFERROR(INDEX('Green_rooibos initial weight'!$C$5:$C$2000,MATCH(L762, 'Green_rooibos initial weight'!$A$5:$A$2000,0)),"")</f>
        <v>2.258</v>
      </c>
      <c r="N762" s="257">
        <f>IFERROR(M762-(TBIcalc!$Q$9+TBIcalc!$Q$10),"")</f>
        <v>2.0082</v>
      </c>
      <c r="O762" s="378">
        <f>AVERAGE(Ashed_controlls!$K$12:$K$14)</f>
        <v>2.2816647271287041</v>
      </c>
      <c r="P762" s="257">
        <f t="shared" si="56"/>
        <v>1.9623796089498013</v>
      </c>
      <c r="Q762" s="257">
        <f>IFERROR(INDEX('Both teabags AfterDry'!$D$2:$D$2000,MATCH(L762,'Both teabags AfterDry'!$A$2:$A$2000,0)),"")</f>
        <v>1.8418000000000001</v>
      </c>
      <c r="R762" s="257">
        <f>IFERROR(IF(Q762&gt;0,Q762-(TBIcalc!$Q$9),""),"")</f>
        <v>1.6912</v>
      </c>
      <c r="S762" s="268">
        <f>IFERROR(INDEX('Ashed teabags dry'!$K$2:$K$2000,MATCH(L762,'Ashed teabags dry'!$A$2:$A$2000,0)),"")</f>
        <v>3.2786885245898914</v>
      </c>
      <c r="T762" s="268">
        <f t="shared" si="57"/>
        <v>1.6357508196721358</v>
      </c>
      <c r="U762" s="258">
        <f>IF('Dry_Litterbag Placem_Collection'!E103="","",'Dry_Litterbag Placem_Collection'!E103)</f>
        <v>42939</v>
      </c>
      <c r="V762" s="258">
        <f>IF('Dry_Litterbag Placem_Collection'!G103="","",'Dry_Litterbag Placem_Collection'!G103)</f>
        <v>43010</v>
      </c>
      <c r="W762" s="259">
        <f t="shared" si="55"/>
        <v>71</v>
      </c>
      <c r="X762" s="257">
        <f t="shared" si="58"/>
        <v>0.31699999999999995</v>
      </c>
      <c r="Y762" s="257">
        <f t="shared" si="59"/>
        <v>0.32662878927766559</v>
      </c>
      <c r="Z762" s="261">
        <f>IFERROR(INDEX([3]Rainfall_Dry!$O$2:$O$217,MATCH(C762, [3]Rainfall_Dry!$A$2:$A$217,0)),"")</f>
        <v>137.19979645800001</v>
      </c>
      <c r="AA762" s="250">
        <v>45.96</v>
      </c>
      <c r="AB762" s="250">
        <v>14.920000000000003</v>
      </c>
      <c r="AC762" s="250">
        <v>39.119999999999997</v>
      </c>
      <c r="AD762" s="251" t="s">
        <v>2654</v>
      </c>
      <c r="AE762" s="250">
        <v>6.0374568753080302</v>
      </c>
      <c r="AF762">
        <f>IF('WetLitterbags placem_collection'!AB103="","",'WetLitterbags placem_collection'!AB103)</f>
        <v>4.3499999999999996</v>
      </c>
      <c r="AG762">
        <f>IF('WetLitterbags placem_collection'!Z103="","",'WetLitterbags placem_collection'!Z103)</f>
        <v>17</v>
      </c>
      <c r="AH762" s="236" t="str">
        <f>IF('WetLitterbags placem_collection'!AA103="","",'WetLitterbags placem_collection'!AA103)</f>
        <v>G</v>
      </c>
      <c r="AI762">
        <f>IF('WetLitterbags placem_collection'!AC103="","",'WetLitterbags placem_collection'!AC103)</f>
        <v>1</v>
      </c>
      <c r="AJ762">
        <f>IFERROR(AVERAGE('Dry_Litterbag Placem_Collection'!O103,'Dry_Litterbag Placem_Collection'!R103),"")</f>
        <v>7.75</v>
      </c>
      <c r="AK762" s="261">
        <f>IFERROR(AVERAGE('Dry_Litterbag Placem_Collection'!N103,'Dry_Litterbag Placem_Collection'!Q103),"")</f>
        <v>29.549999999999997</v>
      </c>
      <c r="AL762" s="260">
        <f>INDEX([2]Coordinates!$B$2:$B$197,MATCH(I762,[2]Coordinates!$J$2:$J$197,0))</f>
        <v>-2.3691900260000001</v>
      </c>
      <c r="AM762" s="260">
        <f>INDEX([2]Coordinates!$C$2:$C$197,MATCH(I762,[2]Coordinates!$J$2:$J$197,0))</f>
        <v>34.060177019999998</v>
      </c>
      <c r="AN762" s="260" t="str">
        <f>IF(ISNUMBER(SEARCH("C", 'Dry_Litterbag Placem_Collection'!V103)),"YES","NO")</f>
        <v>NO</v>
      </c>
      <c r="AO762" s="260" t="str">
        <f>IF(ISNUMBER(SEARCH("H", 'Dry_Litterbag Placem_Collection'!V103)),"YES","NO")</f>
        <v>NO</v>
      </c>
      <c r="AP762" s="260" t="str">
        <f>IF(ISNUMBER(SEARCH("R", 'Dry_Litterbag Placem_Collection'!V103)),"YES","NO")</f>
        <v>NO</v>
      </c>
    </row>
    <row r="763" spans="1:42" ht="15" customHeight="1">
      <c r="A763" t="s">
        <v>3248</v>
      </c>
      <c r="B763" s="252" t="s">
        <v>2643</v>
      </c>
      <c r="C763" s="253">
        <f>'Dry_Litterbag Placem_Collection'!A104</f>
        <v>102</v>
      </c>
      <c r="D763" s="253" t="str">
        <f>'Dry_Litterbag Placem_Collection'!B104</f>
        <v xml:space="preserve">Mwantimba
</v>
      </c>
      <c r="E763" s="253" t="s">
        <v>2454</v>
      </c>
      <c r="F763" s="253" t="s">
        <v>2644</v>
      </c>
      <c r="G763" s="253">
        <v>1</v>
      </c>
      <c r="H763" s="253" t="s">
        <v>3116</v>
      </c>
      <c r="I763" s="254" t="str">
        <f>'Dry_Litterbag Placem_Collection'!C104</f>
        <v>Wet_Ag1_T6</v>
      </c>
      <c r="J763" s="263" t="s">
        <v>2932</v>
      </c>
      <c r="K763" s="264" t="s">
        <v>298</v>
      </c>
      <c r="L763" s="253" t="str">
        <f>IF(ISBLANK('Dry_Litterbag Placem_Collection'!M104),"","R"&amp;""&amp;'Dry_Litterbag Placem_Collection'!M104)</f>
        <v>R714</v>
      </c>
      <c r="M763" s="257">
        <f>IFERROR(INDEX('Green_rooibos initial weight'!$C$5:$C$2000,MATCH(L763, 'Green_rooibos initial weight'!$A$5:$A$2000,0)),"")</f>
        <v>2.1560000000000001</v>
      </c>
      <c r="N763" s="257">
        <f>IFERROR(M763-(TBIcalc!$Q$9+TBIcalc!$Q$10),"")</f>
        <v>1.9062000000000001</v>
      </c>
      <c r="O763" s="378">
        <f>AVERAGE(Ashed_controlls!$K$12:$K$14)</f>
        <v>2.2816647271287041</v>
      </c>
      <c r="P763" s="257">
        <f t="shared" si="56"/>
        <v>1.8627069069714728</v>
      </c>
      <c r="Q763" s="257">
        <f>IFERROR(INDEX('Both teabags AfterDry'!$D$2:$D$2000,MATCH(L763,'Both teabags AfterDry'!$A$2:$A$2000,0)),"")</f>
        <v>1.8105</v>
      </c>
      <c r="R763" s="257">
        <f>IFERROR(IF(Q763&gt;0,Q763-(TBIcalc!$Q$9),""),"")</f>
        <v>1.6598999999999999</v>
      </c>
      <c r="S763" s="268">
        <f>IFERROR(INDEX('Ashed teabags dry'!$K$2:$K$2000,MATCH(L763,'Ashed teabags dry'!$A$2:$A$2000,0)),"")</f>
        <v>4.3863535666823292</v>
      </c>
      <c r="T763" s="268">
        <f t="shared" si="57"/>
        <v>1.5870909171466399</v>
      </c>
      <c r="U763" s="258">
        <f>IF('Dry_Litterbag Placem_Collection'!E104="","",'Dry_Litterbag Placem_Collection'!E104)</f>
        <v>42939</v>
      </c>
      <c r="V763" s="258">
        <f>IF('Dry_Litterbag Placem_Collection'!G104="","",'Dry_Litterbag Placem_Collection'!G104)</f>
        <v>43010</v>
      </c>
      <c r="W763" s="259">
        <f t="shared" si="55"/>
        <v>71</v>
      </c>
      <c r="X763" s="257">
        <f t="shared" si="58"/>
        <v>0.24630000000000019</v>
      </c>
      <c r="Y763" s="257">
        <f t="shared" si="59"/>
        <v>0.27561598982483293</v>
      </c>
      <c r="Z763" s="261">
        <f>IFERROR(INDEX([3]Rainfall_Dry!$O$2:$O$217,MATCH(C763, [3]Rainfall_Dry!$A$2:$A$217,0)),"")</f>
        <v>137.19979645800001</v>
      </c>
      <c r="AA763" s="250">
        <v>45.96</v>
      </c>
      <c r="AB763" s="250">
        <v>14.920000000000003</v>
      </c>
      <c r="AC763" s="250">
        <v>39.119999999999997</v>
      </c>
      <c r="AD763" s="251" t="s">
        <v>2654</v>
      </c>
      <c r="AE763" s="250">
        <v>7.0374568753080302</v>
      </c>
      <c r="AF763">
        <f>IF('WetLitterbags placem_collection'!AB104="","",'WetLitterbags placem_collection'!AB104)</f>
        <v>7.7</v>
      </c>
      <c r="AG763">
        <f>IF('WetLitterbags placem_collection'!Z104="","",'WetLitterbags placem_collection'!Z104)</f>
        <v>21</v>
      </c>
      <c r="AH763" s="236" t="str">
        <f>IF('WetLitterbags placem_collection'!AA104="","",'WetLitterbags placem_collection'!AA104)</f>
        <v>G</v>
      </c>
      <c r="AI763">
        <f>IF('WetLitterbags placem_collection'!AC104="","",'WetLitterbags placem_collection'!AC104)</f>
        <v>1</v>
      </c>
      <c r="AJ763">
        <f>IFERROR(AVERAGE('Dry_Litterbag Placem_Collection'!O104,'Dry_Litterbag Placem_Collection'!R104),"")</f>
        <v>7.3000000000000007</v>
      </c>
      <c r="AK763" s="261">
        <f>IFERROR(AVERAGE('Dry_Litterbag Placem_Collection'!N104,'Dry_Litterbag Placem_Collection'!Q104),"")</f>
        <v>29.05</v>
      </c>
      <c r="AL763" s="260">
        <f>INDEX([2]Coordinates!$B$2:$B$197,MATCH(I763,[2]Coordinates!$J$2:$J$197,0))</f>
        <v>-2.3691350409999998</v>
      </c>
      <c r="AM763" s="260">
        <f>INDEX([2]Coordinates!$C$2:$C$197,MATCH(I763,[2]Coordinates!$J$2:$J$197,0))</f>
        <v>34.06018297</v>
      </c>
      <c r="AN763" s="260" t="str">
        <f>IF(ISNUMBER(SEARCH("C", 'Dry_Litterbag Placem_Collection'!V104)),"YES","NO")</f>
        <v>NO</v>
      </c>
      <c r="AO763" s="260" t="str">
        <f>IF(ISNUMBER(SEARCH("H", 'Dry_Litterbag Placem_Collection'!V104)),"YES","NO")</f>
        <v>NO</v>
      </c>
      <c r="AP763" s="260" t="str">
        <f>IF(ISNUMBER(SEARCH("R", 'Dry_Litterbag Placem_Collection'!V104)),"YES","NO")</f>
        <v>NO</v>
      </c>
    </row>
    <row r="764" spans="1:42" ht="15" customHeight="1">
      <c r="A764" t="s">
        <v>3248</v>
      </c>
      <c r="B764" s="252" t="s">
        <v>2643</v>
      </c>
      <c r="C764" s="253">
        <f>'Dry_Litterbag Placem_Collection'!A105</f>
        <v>103</v>
      </c>
      <c r="D764" s="253" t="str">
        <f>'Dry_Litterbag Placem_Collection'!B105</f>
        <v xml:space="preserve">Mwantimba
</v>
      </c>
      <c r="E764" s="253" t="s">
        <v>2454</v>
      </c>
      <c r="F764" s="253" t="s">
        <v>2644</v>
      </c>
      <c r="G764" s="253">
        <v>1</v>
      </c>
      <c r="H764" s="253" t="s">
        <v>3116</v>
      </c>
      <c r="I764" s="254" t="str">
        <f>'Dry_Litterbag Placem_Collection'!C105</f>
        <v>Wet_Ag1_T7</v>
      </c>
      <c r="J764" s="263" t="s">
        <v>2932</v>
      </c>
      <c r="K764" s="264" t="s">
        <v>298</v>
      </c>
      <c r="L764" s="253" t="str">
        <f>IF(ISBLANK('Dry_Litterbag Placem_Collection'!M105),"","R"&amp;""&amp;'Dry_Litterbag Placem_Collection'!M105)</f>
        <v>R701</v>
      </c>
      <c r="M764" s="257">
        <f>IFERROR(INDEX('Green_rooibos initial weight'!$C$5:$C$2000,MATCH(L764, 'Green_rooibos initial weight'!$A$5:$A$2000,0)),"")</f>
        <v>2.1549999999999998</v>
      </c>
      <c r="N764" s="257">
        <f>IFERROR(M764-(TBIcalc!$Q$9+TBIcalc!$Q$10),"")</f>
        <v>1.9051999999999998</v>
      </c>
      <c r="O764" s="378">
        <f>AVERAGE(Ashed_controlls!$K$12:$K$14)</f>
        <v>2.2816647271287041</v>
      </c>
      <c r="P764" s="257">
        <f t="shared" si="56"/>
        <v>1.8617297236187438</v>
      </c>
      <c r="Q764" s="257">
        <f>IFERROR(INDEX('Both teabags AfterDry'!$D$2:$D$2000,MATCH(L764,'Both teabags AfterDry'!$A$2:$A$2000,0)),"")</f>
        <v>1.8272999999999999</v>
      </c>
      <c r="R764" s="257">
        <f>IFERROR(IF(Q764&gt;0,Q764-(TBIcalc!$Q$9),""),"")</f>
        <v>1.6766999999999999</v>
      </c>
      <c r="S764" s="268">
        <f>IFERROR(INDEX('Ashed teabags dry'!$K$2:$K$2000,MATCH(L764,'Ashed teabags dry'!$A$2:$A$2000,0)),"")</f>
        <v>4.2152466367706989</v>
      </c>
      <c r="T764" s="268">
        <f t="shared" si="57"/>
        <v>1.6060229596412656</v>
      </c>
      <c r="U764" s="258">
        <f>IF('Dry_Litterbag Placem_Collection'!E105="","",'Dry_Litterbag Placem_Collection'!E105)</f>
        <v>42939</v>
      </c>
      <c r="V764" s="258">
        <f>IF('Dry_Litterbag Placem_Collection'!G105="","",'Dry_Litterbag Placem_Collection'!G105)</f>
        <v>43010</v>
      </c>
      <c r="W764" s="259">
        <f t="shared" si="55"/>
        <v>71</v>
      </c>
      <c r="X764" s="257">
        <f t="shared" si="58"/>
        <v>0.22849999999999993</v>
      </c>
      <c r="Y764" s="257">
        <f t="shared" si="59"/>
        <v>0.25570676397747816</v>
      </c>
      <c r="Z764" s="261">
        <f>IFERROR(INDEX([3]Rainfall_Dry!$O$2:$O$217,MATCH(C764, [3]Rainfall_Dry!$A$2:$A$217,0)),"")</f>
        <v>137.19979645800001</v>
      </c>
      <c r="AA764" s="250">
        <v>45.96</v>
      </c>
      <c r="AB764" s="250">
        <v>14.920000000000003</v>
      </c>
      <c r="AC764" s="250">
        <v>39.119999999999997</v>
      </c>
      <c r="AD764" s="251" t="s">
        <v>2654</v>
      </c>
      <c r="AE764" s="250">
        <v>8.0374568753080293</v>
      </c>
      <c r="AF764">
        <f>IF('WetLitterbags placem_collection'!AB105="","",'WetLitterbags placem_collection'!AB105)</f>
        <v>3.25</v>
      </c>
      <c r="AG764">
        <f>IF('WetLitterbags placem_collection'!Z105="","",'WetLitterbags placem_collection'!Z105)</f>
        <v>16</v>
      </c>
      <c r="AH764" s="236" t="str">
        <f>IF('WetLitterbags placem_collection'!AA105="","",'WetLitterbags placem_collection'!AA105)</f>
        <v>G</v>
      </c>
      <c r="AI764">
        <f>IF('WetLitterbags placem_collection'!AC105="","",'WetLitterbags placem_collection'!AC105)</f>
        <v>1</v>
      </c>
      <c r="AJ764">
        <f>IFERROR(AVERAGE('Dry_Litterbag Placem_Collection'!O105,'Dry_Litterbag Placem_Collection'!R105),"")</f>
        <v>30.9</v>
      </c>
      <c r="AK764" s="261">
        <f>IFERROR(AVERAGE('Dry_Litterbag Placem_Collection'!N105,'Dry_Litterbag Placem_Collection'!Q105),"")</f>
        <v>28.799999999999997</v>
      </c>
      <c r="AL764" s="260">
        <f>INDEX([2]Coordinates!$B$2:$B$197,MATCH(I764,[2]Coordinates!$J$2:$J$197,0))</f>
        <v>-2.3691330289999999</v>
      </c>
      <c r="AM764" s="260">
        <f>INDEX([2]Coordinates!$C$2:$C$197,MATCH(I764,[2]Coordinates!$J$2:$J$197,0))</f>
        <v>34.060233009999997</v>
      </c>
      <c r="AN764" s="260" t="str">
        <f>IF(ISNUMBER(SEARCH("C", 'Dry_Litterbag Placem_Collection'!V105)),"YES","NO")</f>
        <v>NO</v>
      </c>
      <c r="AO764" s="260" t="str">
        <f>IF(ISNUMBER(SEARCH("H", 'Dry_Litterbag Placem_Collection'!V105)),"YES","NO")</f>
        <v>NO</v>
      </c>
      <c r="AP764" s="260" t="str">
        <f>IF(ISNUMBER(SEARCH("R", 'Dry_Litterbag Placem_Collection'!V105)),"YES","NO")</f>
        <v>NO</v>
      </c>
    </row>
    <row r="765" spans="1:42" ht="15" customHeight="1">
      <c r="A765" t="s">
        <v>3248</v>
      </c>
      <c r="B765" s="252" t="s">
        <v>2643</v>
      </c>
      <c r="C765" s="253">
        <f>'Dry_Litterbag Placem_Collection'!A106</f>
        <v>104</v>
      </c>
      <c r="D765" s="253" t="str">
        <f>'Dry_Litterbag Placem_Collection'!B106</f>
        <v xml:space="preserve">Mwantimba
</v>
      </c>
      <c r="E765" s="253" t="s">
        <v>2454</v>
      </c>
      <c r="F765" s="253" t="s">
        <v>2644</v>
      </c>
      <c r="G765" s="253">
        <v>1</v>
      </c>
      <c r="H765" s="253" t="s">
        <v>3116</v>
      </c>
      <c r="I765" s="254" t="str">
        <f>'Dry_Litterbag Placem_Collection'!C106</f>
        <v>Wet_Ag1_T8</v>
      </c>
      <c r="J765" s="263" t="s">
        <v>2932</v>
      </c>
      <c r="K765" s="264" t="s">
        <v>298</v>
      </c>
      <c r="L765" s="253" t="str">
        <f>IF(ISBLANK('Dry_Litterbag Placem_Collection'!M106),"","R"&amp;""&amp;'Dry_Litterbag Placem_Collection'!M106)</f>
        <v>R365</v>
      </c>
      <c r="M765" s="257">
        <f>IFERROR(INDEX('Green_rooibos initial weight'!$C$5:$C$2000,MATCH(L765, 'Green_rooibos initial weight'!$A$5:$A$2000,0)),"")</f>
        <v>2.2130000000000001</v>
      </c>
      <c r="N765" s="257">
        <f>IFERROR(M765-(TBIcalc!$Q$9+TBIcalc!$Q$10),"")</f>
        <v>1.9632000000000001</v>
      </c>
      <c r="O765" s="378">
        <f>AVERAGE(Ashed_controlls!$K$12:$K$14)</f>
        <v>2.2816647271287041</v>
      </c>
      <c r="P765" s="257">
        <f t="shared" si="56"/>
        <v>1.9184063580770094</v>
      </c>
      <c r="Q765" s="257">
        <f>IFERROR(INDEX('Both teabags AfterDry'!$D$2:$D$2000,MATCH(L765,'Both teabags AfterDry'!$A$2:$A$2000,0)),"")</f>
        <v>1.9468000000000001</v>
      </c>
      <c r="R765" s="257">
        <f>IFERROR(IF(Q765&gt;0,Q765-(TBIcalc!$Q$9),""),"")</f>
        <v>1.7962</v>
      </c>
      <c r="S765" s="268">
        <f>IFERROR(INDEX('Ashed teabags dry'!$K$2:$K$2000,MATCH(L765,'Ashed teabags dry'!$A$2:$A$2000,0)),"")</f>
        <v>3.5681186283600224</v>
      </c>
      <c r="T765" s="268">
        <f t="shared" si="57"/>
        <v>1.7321094531973973</v>
      </c>
      <c r="U765" s="258">
        <f>IF('Dry_Litterbag Placem_Collection'!E106="","",'Dry_Litterbag Placem_Collection'!E106)</f>
        <v>42939</v>
      </c>
      <c r="V765" s="258">
        <f>IF('Dry_Litterbag Placem_Collection'!G106="","",'Dry_Litterbag Placem_Collection'!G106)</f>
        <v>43010</v>
      </c>
      <c r="W765" s="259">
        <f t="shared" si="55"/>
        <v>71</v>
      </c>
      <c r="X765" s="257">
        <f t="shared" si="58"/>
        <v>0.16700000000000004</v>
      </c>
      <c r="Y765" s="257">
        <f t="shared" si="59"/>
        <v>0.18629690487961215</v>
      </c>
      <c r="Z765" s="261">
        <f>IFERROR(INDEX([3]Rainfall_Dry!$O$2:$O$217,MATCH(C765, [3]Rainfall_Dry!$A$2:$A$217,0)),"")</f>
        <v>137.19979645800001</v>
      </c>
      <c r="AA765" s="250">
        <v>45.96</v>
      </c>
      <c r="AB765" s="250">
        <v>14.920000000000003</v>
      </c>
      <c r="AC765" s="250">
        <v>39.119999999999997</v>
      </c>
      <c r="AD765" s="251" t="s">
        <v>2654</v>
      </c>
      <c r="AE765" s="250">
        <v>9.0374568753080293</v>
      </c>
      <c r="AF765">
        <f>IF('WetLitterbags placem_collection'!AB106="","",'WetLitterbags placem_collection'!AB106)</f>
        <v>10.5</v>
      </c>
      <c r="AG765">
        <f>IF('WetLitterbags placem_collection'!Z106="","",'WetLitterbags placem_collection'!Z106)</f>
        <v>17</v>
      </c>
      <c r="AH765" s="236" t="str">
        <f>IF('WetLitterbags placem_collection'!AA106="","",'WetLitterbags placem_collection'!AA106)</f>
        <v>G</v>
      </c>
      <c r="AI765">
        <f>IF('WetLitterbags placem_collection'!AC106="","",'WetLitterbags placem_collection'!AC106)</f>
        <v>1</v>
      </c>
      <c r="AJ765">
        <f>IFERROR(AVERAGE('Dry_Litterbag Placem_Collection'!O106,'Dry_Litterbag Placem_Collection'!R106),"")</f>
        <v>9.3000000000000007</v>
      </c>
      <c r="AK765" s="261">
        <f>IFERROR(AVERAGE('Dry_Litterbag Placem_Collection'!N106,'Dry_Litterbag Placem_Collection'!Q106),"")</f>
        <v>28.05</v>
      </c>
      <c r="AL765" s="260">
        <f>INDEX([2]Coordinates!$B$2:$B$197,MATCH(I765,[2]Coordinates!$J$2:$J$197,0))</f>
        <v>-2.3692910280000001</v>
      </c>
      <c r="AM765" s="260">
        <f>INDEX([2]Coordinates!$C$2:$C$197,MATCH(I765,[2]Coordinates!$J$2:$J$197,0))</f>
        <v>34.06016202</v>
      </c>
      <c r="AN765" s="260" t="str">
        <f>IF(ISNUMBER(SEARCH("C", 'Dry_Litterbag Placem_Collection'!V106)),"YES","NO")</f>
        <v>NO</v>
      </c>
      <c r="AO765" s="260" t="str">
        <f>IF(ISNUMBER(SEARCH("H", 'Dry_Litterbag Placem_Collection'!V106)),"YES","NO")</f>
        <v>NO</v>
      </c>
      <c r="AP765" s="260" t="str">
        <f>IF(ISNUMBER(SEARCH("R", 'Dry_Litterbag Placem_Collection'!V106)),"YES","NO")</f>
        <v>NO</v>
      </c>
    </row>
    <row r="766" spans="1:42" ht="15" customHeight="1">
      <c r="A766" t="s">
        <v>3248</v>
      </c>
      <c r="B766" s="252" t="s">
        <v>2643</v>
      </c>
      <c r="C766" s="253">
        <f>'Dry_Litterbag Placem_Collection'!A107</f>
        <v>105</v>
      </c>
      <c r="D766" s="253" t="str">
        <f>'Dry_Litterbag Placem_Collection'!B107</f>
        <v xml:space="preserve">Mwantimba
</v>
      </c>
      <c r="E766" s="253" t="s">
        <v>2454</v>
      </c>
      <c r="F766" s="253" t="s">
        <v>2644</v>
      </c>
      <c r="G766" s="253">
        <v>2</v>
      </c>
      <c r="H766" s="253" t="s">
        <v>3118</v>
      </c>
      <c r="I766" s="254" t="str">
        <f>'Dry_Litterbag Placem_Collection'!C107</f>
        <v>Wet_Ag2_T1</v>
      </c>
      <c r="J766" s="263" t="s">
        <v>2932</v>
      </c>
      <c r="K766" s="264" t="s">
        <v>298</v>
      </c>
      <c r="L766" s="253" t="str">
        <f>IF(ISBLANK('Dry_Litterbag Placem_Collection'!M107),"","R"&amp;""&amp;'Dry_Litterbag Placem_Collection'!M107)</f>
        <v>R212</v>
      </c>
      <c r="M766" s="257">
        <f>IFERROR(INDEX('Green_rooibos initial weight'!$C$5:$C$2000,MATCH(L766, 'Green_rooibos initial weight'!$A$5:$A$2000,0)),"")</f>
        <v>2.2519999999999998</v>
      </c>
      <c r="N766" s="257">
        <f>IFERROR(M766-(TBIcalc!$Q$9+TBIcalc!$Q$10),"")</f>
        <v>2.0021999999999998</v>
      </c>
      <c r="O766" s="378">
        <f>AVERAGE(Ashed_controlls!$K$12:$K$14)</f>
        <v>2.2816647271287041</v>
      </c>
      <c r="P766" s="257">
        <f t="shared" si="56"/>
        <v>1.9565165088334289</v>
      </c>
      <c r="Q766" s="257">
        <f>IFERROR(INDEX('Both teabags AfterDry'!$D$2:$D$2000,MATCH(L766,'Both teabags AfterDry'!$A$2:$A$2000,0)),"")</f>
        <v>1.9135</v>
      </c>
      <c r="R766" s="257">
        <f>IFERROR(IF(Q766&gt;0,Q766-(TBIcalc!$Q$9),""),"")</f>
        <v>1.7628999999999999</v>
      </c>
      <c r="S766" s="268">
        <f>IFERROR(INDEX('Ashed teabags dry'!$K$2:$K$2000,MATCH(L766,'Ashed teabags dry'!$A$2:$A$2000,0)),"")</f>
        <v>7.1020019065774402</v>
      </c>
      <c r="T766" s="268">
        <f t="shared" si="57"/>
        <v>1.6376988083889463</v>
      </c>
      <c r="U766" s="258">
        <f>IF('Dry_Litterbag Placem_Collection'!E107="","",'Dry_Litterbag Placem_Collection'!E107)</f>
        <v>42939</v>
      </c>
      <c r="V766" s="258">
        <f>IF('Dry_Litterbag Placem_Collection'!G107="","",'Dry_Litterbag Placem_Collection'!G107)</f>
        <v>43010</v>
      </c>
      <c r="W766" s="259">
        <f t="shared" si="55"/>
        <v>71</v>
      </c>
      <c r="X766" s="257">
        <f t="shared" si="58"/>
        <v>0.23929999999999985</v>
      </c>
      <c r="Y766" s="257">
        <f t="shared" si="59"/>
        <v>0.31881770044448254</v>
      </c>
      <c r="Z766" s="261">
        <f>IFERROR(INDEX([3]Rainfall_Dry!$O$2:$O$217,MATCH(C766, [3]Rainfall_Dry!$A$2:$A$217,0)),"")</f>
        <v>137.19979645800001</v>
      </c>
      <c r="AA766" s="250">
        <v>34.344660194174757</v>
      </c>
      <c r="AB766" s="250">
        <v>19.22727272727273</v>
      </c>
      <c r="AC766" s="250">
        <v>46.428067078552509</v>
      </c>
      <c r="AD766" s="251" t="s">
        <v>2651</v>
      </c>
      <c r="AE766" s="250">
        <v>1.7452932479053718</v>
      </c>
      <c r="AF766">
        <f>IF('WetLitterbags placem_collection'!AB107="","",'WetLitterbags placem_collection'!AB107)</f>
        <v>5.5</v>
      </c>
      <c r="AG766">
        <f>IF('WetLitterbags placem_collection'!Z107="","",'WetLitterbags placem_collection'!Z107)</f>
        <v>23.5</v>
      </c>
      <c r="AH766" s="236" t="str">
        <f>IF('WetLitterbags placem_collection'!AA107="","",'WetLitterbags placem_collection'!AA107)</f>
        <v>M</v>
      </c>
      <c r="AI766">
        <f>IF('WetLitterbags placem_collection'!AC107="","",'WetLitterbags placem_collection'!AC107)</f>
        <v>0</v>
      </c>
      <c r="AJ766">
        <f>IFERROR(AVERAGE('Dry_Litterbag Placem_Collection'!O107,'Dry_Litterbag Placem_Collection'!R107),"")</f>
        <v>7.5500000000000007</v>
      </c>
      <c r="AK766" s="261">
        <f>IFERROR(AVERAGE('Dry_Litterbag Placem_Collection'!N107,'Dry_Litterbag Placem_Collection'!Q107),"")</f>
        <v>30.549999999999997</v>
      </c>
      <c r="AL766" s="260">
        <f>INDEX([2]Coordinates!$B$2:$B$197,MATCH(I766,[2]Coordinates!$J$2:$J$197,0))</f>
        <v>-2.3698080240000001</v>
      </c>
      <c r="AM766" s="260">
        <f>INDEX([2]Coordinates!$C$2:$C$197,MATCH(I766,[2]Coordinates!$J$2:$J$197,0))</f>
        <v>34.059671010000002</v>
      </c>
      <c r="AN766" s="260" t="str">
        <f>IF(ISNUMBER(SEARCH("C", 'Dry_Litterbag Placem_Collection'!V107)),"YES","NO")</f>
        <v>NO</v>
      </c>
      <c r="AO766" s="260" t="str">
        <f>IF(ISNUMBER(SEARCH("H", 'Dry_Litterbag Placem_Collection'!V107)),"YES","NO")</f>
        <v>NO</v>
      </c>
      <c r="AP766" s="260" t="str">
        <f>IF(ISNUMBER(SEARCH("R", 'Dry_Litterbag Placem_Collection'!V107)),"YES","NO")</f>
        <v>NO</v>
      </c>
    </row>
    <row r="767" spans="1:42" ht="15" customHeight="1">
      <c r="A767" t="s">
        <v>3248</v>
      </c>
      <c r="B767" s="252" t="s">
        <v>2643</v>
      </c>
      <c r="C767" s="253">
        <f>'Dry_Litterbag Placem_Collection'!A108</f>
        <v>106</v>
      </c>
      <c r="D767" s="253" t="str">
        <f>'Dry_Litterbag Placem_Collection'!B108</f>
        <v xml:space="preserve">Mwantimba
</v>
      </c>
      <c r="E767" s="253" t="s">
        <v>2454</v>
      </c>
      <c r="F767" s="253" t="s">
        <v>2644</v>
      </c>
      <c r="G767" s="253">
        <v>2</v>
      </c>
      <c r="H767" s="253" t="s">
        <v>3118</v>
      </c>
      <c r="I767" s="254" t="str">
        <f>'Dry_Litterbag Placem_Collection'!C108</f>
        <v>Wet_Ag2_T2</v>
      </c>
      <c r="J767" s="263" t="s">
        <v>2932</v>
      </c>
      <c r="K767" s="264" t="s">
        <v>298</v>
      </c>
      <c r="L767" s="253" t="str">
        <f>IF(ISBLANK('Dry_Litterbag Placem_Collection'!M108),"","R"&amp;""&amp;'Dry_Litterbag Placem_Collection'!M108)</f>
        <v>R66</v>
      </c>
      <c r="M767" s="257">
        <f>IFERROR(INDEX('Green_rooibos initial weight'!$C$5:$C$2000,MATCH(L767, 'Green_rooibos initial weight'!$A$5:$A$2000,0)),"")</f>
        <v>2.1120000000000001</v>
      </c>
      <c r="N767" s="257">
        <f>IFERROR(M767-(TBIcalc!$Q$9+TBIcalc!$Q$10),"")</f>
        <v>1.8622000000000001</v>
      </c>
      <c r="O767" s="378">
        <f>AVERAGE(Ashed_controlls!$K$12:$K$14)</f>
        <v>2.2816647271287041</v>
      </c>
      <c r="P767" s="257">
        <f t="shared" si="56"/>
        <v>1.8197108394514094</v>
      </c>
      <c r="Q767" s="257">
        <f>IFERROR(INDEX('Both teabags AfterDry'!$D$2:$D$2000,MATCH(L767,'Both teabags AfterDry'!$A$2:$A$2000,0)),"")</f>
        <v>1.7972999999999999</v>
      </c>
      <c r="R767" s="257">
        <f>IFERROR(IF(Q767&gt;0,Q767-(TBIcalc!$Q$9),""),"")</f>
        <v>1.6466999999999998</v>
      </c>
      <c r="S767" s="268">
        <f>IFERROR(INDEX('Ashed teabags dry'!$K$2:$K$2000,MATCH(L767,'Ashed teabags dry'!$A$2:$A$2000,0)),"")</f>
        <v>2.6819923371648411</v>
      </c>
      <c r="T767" s="268">
        <f t="shared" si="57"/>
        <v>1.6025356321839064</v>
      </c>
      <c r="U767" s="258">
        <f>IF('Dry_Litterbag Placem_Collection'!E108="","",'Dry_Litterbag Placem_Collection'!E108)</f>
        <v>42939</v>
      </c>
      <c r="V767" s="258">
        <f>IF('Dry_Litterbag Placem_Collection'!G108="","",'Dry_Litterbag Placem_Collection'!G108)</f>
        <v>43010</v>
      </c>
      <c r="W767" s="259">
        <f t="shared" si="55"/>
        <v>71</v>
      </c>
      <c r="X767" s="257">
        <f t="shared" si="58"/>
        <v>0.21550000000000025</v>
      </c>
      <c r="Y767" s="257">
        <f t="shared" si="59"/>
        <v>0.21717520726750306</v>
      </c>
      <c r="Z767" s="261">
        <f>IFERROR(INDEX([3]Rainfall_Dry!$O$2:$O$217,MATCH(C767, [3]Rainfall_Dry!$A$2:$A$217,0)),"")</f>
        <v>137.19979645800001</v>
      </c>
      <c r="AA767" s="250">
        <v>34.344660194174757</v>
      </c>
      <c r="AB767" s="250">
        <v>19.22727272727273</v>
      </c>
      <c r="AC767" s="250">
        <v>46.428067078552509</v>
      </c>
      <c r="AD767" s="251" t="s">
        <v>2651</v>
      </c>
      <c r="AE767" s="250">
        <v>2.7452932479053702</v>
      </c>
      <c r="AF767">
        <f>IF('WetLitterbags placem_collection'!AB108="","",'WetLitterbags placem_collection'!AB108)</f>
        <v>8.6</v>
      </c>
      <c r="AG767">
        <f>IF('WetLitterbags placem_collection'!Z108="","",'WetLitterbags placem_collection'!Z108)</f>
        <v>17</v>
      </c>
      <c r="AH767" s="236" t="str">
        <f>IF('WetLitterbags placem_collection'!AA108="","",'WetLitterbags placem_collection'!AA108)</f>
        <v>M</v>
      </c>
      <c r="AI767">
        <f>IF('WetLitterbags placem_collection'!AC108="","",'WetLitterbags placem_collection'!AC108)</f>
        <v>0</v>
      </c>
      <c r="AJ767">
        <f>IFERROR(AVERAGE('Dry_Litterbag Placem_Collection'!O108,'Dry_Litterbag Placem_Collection'!R108),"")</f>
        <v>6.1</v>
      </c>
      <c r="AK767" s="261">
        <f>IFERROR(AVERAGE('Dry_Litterbag Placem_Collection'!N108,'Dry_Litterbag Placem_Collection'!Q108),"")</f>
        <v>31.3</v>
      </c>
      <c r="AL767" s="260">
        <f>INDEX([2]Coordinates!$B$2:$B$197,MATCH(I767,[2]Coordinates!$J$2:$J$197,0))</f>
        <v>-2.3697620069999998</v>
      </c>
      <c r="AM767" s="260">
        <f>INDEX([2]Coordinates!$C$2:$C$197,MATCH(I767,[2]Coordinates!$J$2:$J$197,0))</f>
        <v>34.059730010000003</v>
      </c>
      <c r="AN767" s="260" t="str">
        <f>IF(ISNUMBER(SEARCH("C", 'Dry_Litterbag Placem_Collection'!V108)),"YES","NO")</f>
        <v>NO</v>
      </c>
      <c r="AO767" s="260" t="str">
        <f>IF(ISNUMBER(SEARCH("H", 'Dry_Litterbag Placem_Collection'!V108)),"YES","NO")</f>
        <v>NO</v>
      </c>
      <c r="AP767" s="260" t="str">
        <f>IF(ISNUMBER(SEARCH("R", 'Dry_Litterbag Placem_Collection'!V108)),"YES","NO")</f>
        <v>NO</v>
      </c>
    </row>
    <row r="768" spans="1:42" ht="15" customHeight="1">
      <c r="A768" t="s">
        <v>3248</v>
      </c>
      <c r="B768" s="252" t="s">
        <v>2643</v>
      </c>
      <c r="C768" s="253">
        <f>'Dry_Litterbag Placem_Collection'!A109</f>
        <v>107</v>
      </c>
      <c r="D768" s="253" t="str">
        <f>'Dry_Litterbag Placem_Collection'!B109</f>
        <v xml:space="preserve">Mwantimba
</v>
      </c>
      <c r="E768" s="253" t="s">
        <v>2454</v>
      </c>
      <c r="F768" s="253" t="s">
        <v>2644</v>
      </c>
      <c r="G768" s="253">
        <v>2</v>
      </c>
      <c r="H768" s="253" t="s">
        <v>3118</v>
      </c>
      <c r="I768" s="254" t="str">
        <f>'Dry_Litterbag Placem_Collection'!C109</f>
        <v>Wet_Ag2_T3</v>
      </c>
      <c r="J768" s="263" t="s">
        <v>2932</v>
      </c>
      <c r="K768" s="264" t="s">
        <v>298</v>
      </c>
      <c r="L768" s="253" t="str">
        <f>IF(ISBLANK('Dry_Litterbag Placem_Collection'!M109),"","R"&amp;""&amp;'Dry_Litterbag Placem_Collection'!M109)</f>
        <v>R347</v>
      </c>
      <c r="M768" s="257">
        <f>IFERROR(INDEX('Green_rooibos initial weight'!$C$5:$C$2000,MATCH(L768, 'Green_rooibos initial weight'!$A$5:$A$2000,0)),"")</f>
        <v>2.2400000000000002</v>
      </c>
      <c r="N768" s="257">
        <f>IFERROR(M768-(TBIcalc!$Q$9+TBIcalc!$Q$10),"")</f>
        <v>1.9902000000000002</v>
      </c>
      <c r="O768" s="378">
        <f>AVERAGE(Ashed_controlls!$K$12:$K$14)</f>
        <v>2.2816647271287041</v>
      </c>
      <c r="P768" s="257">
        <f t="shared" si="56"/>
        <v>1.9447903086006848</v>
      </c>
      <c r="Q768" s="257" t="str">
        <f>IFERROR(INDEX('Both teabags AfterDry'!$D$2:$D$2000,MATCH(L768,'Both teabags AfterDry'!$A$2:$A$2000,0)),"")</f>
        <v/>
      </c>
      <c r="R768" s="257" t="str">
        <f>IFERROR(IF(Q768&gt;0,Q768-(TBIcalc!$Q$9),""),"")</f>
        <v/>
      </c>
      <c r="S768" s="268" t="str">
        <f>IFERROR(INDEX('Ashed teabags dry'!$K$2:$K$2000,MATCH(L768,'Ashed teabags dry'!$A$2:$A$2000,0)),"")</f>
        <v/>
      </c>
      <c r="T768" s="268" t="str">
        <f t="shared" si="57"/>
        <v/>
      </c>
      <c r="U768" s="258">
        <f>IF('Dry_Litterbag Placem_Collection'!E109="","",'Dry_Litterbag Placem_Collection'!E109)</f>
        <v>42939</v>
      </c>
      <c r="V768" s="258">
        <f>IF('Dry_Litterbag Placem_Collection'!G109="","",'Dry_Litterbag Placem_Collection'!G109)</f>
        <v>43010</v>
      </c>
      <c r="W768" s="259">
        <f t="shared" si="55"/>
        <v>71</v>
      </c>
      <c r="X768" s="257" t="str">
        <f t="shared" si="58"/>
        <v/>
      </c>
      <c r="Y768" s="257" t="str">
        <f t="shared" si="59"/>
        <v/>
      </c>
      <c r="Z768" s="261">
        <f>IFERROR(INDEX([3]Rainfall_Dry!$O$2:$O$217,MATCH(C768, [3]Rainfall_Dry!$A$2:$A$217,0)),"")</f>
        <v>137.19979645800001</v>
      </c>
      <c r="AA768" s="250">
        <v>34.344660194174757</v>
      </c>
      <c r="AB768" s="250">
        <v>19.22727272727273</v>
      </c>
      <c r="AC768" s="250">
        <v>46.428067078552509</v>
      </c>
      <c r="AD768" s="251" t="s">
        <v>2651</v>
      </c>
      <c r="AE768" s="250">
        <v>3.7452932479053702</v>
      </c>
      <c r="AF768">
        <f>IF('WetLitterbags placem_collection'!AB109="","",'WetLitterbags placem_collection'!AB109)</f>
        <v>3.85</v>
      </c>
      <c r="AG768">
        <f>IF('WetLitterbags placem_collection'!Z109="","",'WetLitterbags placem_collection'!Z109)</f>
        <v>15.5</v>
      </c>
      <c r="AH768" s="236" t="str">
        <f>IF('WetLitterbags placem_collection'!AA109="","",'WetLitterbags placem_collection'!AA109)</f>
        <v>M</v>
      </c>
      <c r="AI768">
        <f>IF('WetLitterbags placem_collection'!AC109="","",'WetLitterbags placem_collection'!AC109)</f>
        <v>0</v>
      </c>
      <c r="AJ768">
        <f>IFERROR(AVERAGE('Dry_Litterbag Placem_Collection'!O109,'Dry_Litterbag Placem_Collection'!R109),"")</f>
        <v>5.3</v>
      </c>
      <c r="AK768" s="261">
        <f>IFERROR(AVERAGE('Dry_Litterbag Placem_Collection'!N109,'Dry_Litterbag Placem_Collection'!Q109),"")</f>
        <v>30.200000000000003</v>
      </c>
      <c r="AL768" s="260">
        <f>INDEX([2]Coordinates!$B$2:$B$197,MATCH(I768,[2]Coordinates!$J$2:$J$197,0))</f>
        <v>-2.3698409649999999</v>
      </c>
      <c r="AM768" s="260">
        <f>INDEX([2]Coordinates!$C$2:$C$197,MATCH(I768,[2]Coordinates!$J$2:$J$197,0))</f>
        <v>34.059814000000003</v>
      </c>
      <c r="AN768" s="260" t="str">
        <f>IF(ISNUMBER(SEARCH("C", 'Dry_Litterbag Placem_Collection'!V109)),"YES","NO")</f>
        <v>NO</v>
      </c>
      <c r="AO768" s="260" t="str">
        <f>IF(ISNUMBER(SEARCH("H", 'Dry_Litterbag Placem_Collection'!V109)),"YES","NO")</f>
        <v>NO</v>
      </c>
      <c r="AP768" s="260" t="str">
        <f>IF(ISNUMBER(SEARCH("R", 'Dry_Litterbag Placem_Collection'!V109)),"YES","NO")</f>
        <v>NO</v>
      </c>
    </row>
    <row r="769" spans="1:42" ht="15" customHeight="1">
      <c r="A769" t="s">
        <v>3248</v>
      </c>
      <c r="B769" s="252" t="s">
        <v>2643</v>
      </c>
      <c r="C769" s="253">
        <f>'Dry_Litterbag Placem_Collection'!A110</f>
        <v>108</v>
      </c>
      <c r="D769" s="253" t="str">
        <f>'Dry_Litterbag Placem_Collection'!B110</f>
        <v xml:space="preserve">Mwantimba
</v>
      </c>
      <c r="E769" s="253" t="s">
        <v>2454</v>
      </c>
      <c r="F769" s="253" t="s">
        <v>2644</v>
      </c>
      <c r="G769" s="253">
        <v>2</v>
      </c>
      <c r="H769" s="253" t="s">
        <v>3118</v>
      </c>
      <c r="I769" s="254" t="str">
        <f>'Dry_Litterbag Placem_Collection'!C110</f>
        <v>Wet_Ag2_T4</v>
      </c>
      <c r="J769" s="263" t="s">
        <v>2932</v>
      </c>
      <c r="K769" s="264" t="s">
        <v>298</v>
      </c>
      <c r="L769" s="253" t="str">
        <f>IF(ISBLANK('Dry_Litterbag Placem_Collection'!M110),"","R"&amp;""&amp;'Dry_Litterbag Placem_Collection'!M110)</f>
        <v>R206</v>
      </c>
      <c r="M769" s="257">
        <f>IFERROR(INDEX('Green_rooibos initial weight'!$C$5:$C$2000,MATCH(L769, 'Green_rooibos initial weight'!$A$5:$A$2000,0)),"")</f>
        <v>2.2549999999999999</v>
      </c>
      <c r="N769" s="257">
        <f>IFERROR(M769-(TBIcalc!$Q$9+TBIcalc!$Q$10),"")</f>
        <v>2.0051999999999999</v>
      </c>
      <c r="O769" s="378">
        <f>AVERAGE(Ashed_controlls!$K$12:$K$14)</f>
        <v>2.2816647271287041</v>
      </c>
      <c r="P769" s="257">
        <f t="shared" si="56"/>
        <v>1.959448058891615</v>
      </c>
      <c r="Q769" s="257">
        <f>IFERROR(INDEX('Both teabags AfterDry'!$D$2:$D$2000,MATCH(L769,'Both teabags AfterDry'!$A$2:$A$2000,0)),"")</f>
        <v>1.9655</v>
      </c>
      <c r="R769" s="257">
        <f>IFERROR(IF(Q769&gt;0,Q769-(TBIcalc!$Q$9),""),"")</f>
        <v>1.8149</v>
      </c>
      <c r="S769" s="268">
        <f>IFERROR(INDEX('Ashed teabags dry'!$K$2:$K$2000,MATCH(L769,'Ashed teabags dry'!$A$2:$A$2000,0)),"")</f>
        <v>4.1293532338306944</v>
      </c>
      <c r="T769" s="268">
        <f t="shared" si="57"/>
        <v>1.7399563681592067</v>
      </c>
      <c r="U769" s="258">
        <f>IF('Dry_Litterbag Placem_Collection'!E110="","",'Dry_Litterbag Placem_Collection'!E110)</f>
        <v>42939</v>
      </c>
      <c r="V769" s="258">
        <f>IF('Dry_Litterbag Placem_Collection'!G110="","",'Dry_Litterbag Placem_Collection'!G110)</f>
        <v>43010</v>
      </c>
      <c r="W769" s="259">
        <f t="shared" si="55"/>
        <v>71</v>
      </c>
      <c r="X769" s="257">
        <f t="shared" si="58"/>
        <v>0.19029999999999991</v>
      </c>
      <c r="Y769" s="257">
        <f t="shared" si="59"/>
        <v>0.21949169073240826</v>
      </c>
      <c r="Z769" s="261">
        <f>IFERROR(INDEX([3]Rainfall_Dry!$O$2:$O$217,MATCH(C769, [3]Rainfall_Dry!$A$2:$A$217,0)),"")</f>
        <v>137.19979645800001</v>
      </c>
      <c r="AA769" s="250">
        <v>34.344660194174757</v>
      </c>
      <c r="AB769" s="250">
        <v>19.22727272727273</v>
      </c>
      <c r="AC769" s="250">
        <v>46.428067078552509</v>
      </c>
      <c r="AD769" s="251" t="s">
        <v>2651</v>
      </c>
      <c r="AE769" s="250">
        <v>4.7452932479053702</v>
      </c>
      <c r="AF769">
        <f>IF('WetLitterbags placem_collection'!AB110="","",'WetLitterbags placem_collection'!AB110)</f>
        <v>9.6999999999999993</v>
      </c>
      <c r="AG769">
        <f>IF('WetLitterbags placem_collection'!Z110="","",'WetLitterbags placem_collection'!Z110)</f>
        <v>22.5</v>
      </c>
      <c r="AH769" s="236" t="str">
        <f>IF('WetLitterbags placem_collection'!AA110="","",'WetLitterbags placem_collection'!AA110)</f>
        <v>M</v>
      </c>
      <c r="AI769">
        <f>IF('WetLitterbags placem_collection'!AC110="","",'WetLitterbags placem_collection'!AC110)</f>
        <v>0</v>
      </c>
      <c r="AJ769">
        <f>IFERROR(AVERAGE('Dry_Litterbag Placem_Collection'!O110,'Dry_Litterbag Placem_Collection'!R110),"")</f>
        <v>7.65</v>
      </c>
      <c r="AK769" s="261">
        <f>IFERROR(AVERAGE('Dry_Litterbag Placem_Collection'!N110,'Dry_Litterbag Placem_Collection'!Q110),"")</f>
        <v>31.8</v>
      </c>
      <c r="AL769" s="260">
        <f>INDEX([2]Coordinates!$B$2:$B$197,MATCH(I769,[2]Coordinates!$J$2:$J$197,0))</f>
        <v>-2.3698620030000002</v>
      </c>
      <c r="AM769" s="260">
        <f>INDEX([2]Coordinates!$C$2:$C$197,MATCH(I769,[2]Coordinates!$J$2:$J$197,0))</f>
        <v>34.059759020000001</v>
      </c>
      <c r="AN769" s="260" t="str">
        <f>IF(ISNUMBER(SEARCH("C", 'Dry_Litterbag Placem_Collection'!V110)),"YES","NO")</f>
        <v>NO</v>
      </c>
      <c r="AO769" s="260" t="str">
        <f>IF(ISNUMBER(SEARCH("H", 'Dry_Litterbag Placem_Collection'!V110)),"YES","NO")</f>
        <v>NO</v>
      </c>
      <c r="AP769" s="260" t="str">
        <f>IF(ISNUMBER(SEARCH("R", 'Dry_Litterbag Placem_Collection'!V110)),"YES","NO")</f>
        <v>NO</v>
      </c>
    </row>
    <row r="770" spans="1:42" ht="15" customHeight="1">
      <c r="A770" t="s">
        <v>3248</v>
      </c>
      <c r="B770" s="252" t="s">
        <v>2643</v>
      </c>
      <c r="C770" s="253">
        <f>'Dry_Litterbag Placem_Collection'!A111</f>
        <v>109</v>
      </c>
      <c r="D770" s="253" t="str">
        <f>'Dry_Litterbag Placem_Collection'!B111</f>
        <v xml:space="preserve">Mwantimba
</v>
      </c>
      <c r="E770" s="253" t="s">
        <v>2454</v>
      </c>
      <c r="F770" s="253" t="s">
        <v>2644</v>
      </c>
      <c r="G770" s="253">
        <v>2</v>
      </c>
      <c r="H770" s="253" t="s">
        <v>3118</v>
      </c>
      <c r="I770" s="254" t="str">
        <f>'Dry_Litterbag Placem_Collection'!C111</f>
        <v>Wet_Ag2_T5</v>
      </c>
      <c r="J770" s="263" t="s">
        <v>2932</v>
      </c>
      <c r="K770" s="264" t="s">
        <v>298</v>
      </c>
      <c r="L770" s="253" t="str">
        <f>IF(ISBLANK('Dry_Litterbag Placem_Collection'!M111),"","R"&amp;""&amp;'Dry_Litterbag Placem_Collection'!M111)</f>
        <v>R299</v>
      </c>
      <c r="M770" s="257">
        <f>IFERROR(INDEX('Green_rooibos initial weight'!$C$5:$C$2000,MATCH(L770, 'Green_rooibos initial weight'!$A$5:$A$2000,0)),"")</f>
        <v>2.2919999999999998</v>
      </c>
      <c r="N770" s="257">
        <f>IFERROR(M770-(TBIcalc!$Q$9+TBIcalc!$Q$10),"")</f>
        <v>2.0421999999999998</v>
      </c>
      <c r="O770" s="378">
        <f>AVERAGE(Ashed_controlls!$K$12:$K$14)</f>
        <v>2.2816647271287041</v>
      </c>
      <c r="P770" s="257">
        <f t="shared" si="56"/>
        <v>1.9956038429425773</v>
      </c>
      <c r="Q770" s="257">
        <f>IFERROR(INDEX('Both teabags AfterDry'!$D$2:$D$2000,MATCH(L770,'Both teabags AfterDry'!$A$2:$A$2000,0)),"")</f>
        <v>1.8811</v>
      </c>
      <c r="R770" s="257">
        <f>IFERROR(IF(Q770&gt;0,Q770-(TBIcalc!$Q$9),""),"")</f>
        <v>1.7304999999999999</v>
      </c>
      <c r="S770" s="268">
        <f>IFERROR(INDEX('Ashed teabags dry'!$K$2:$K$2000,MATCH(L770,'Ashed teabags dry'!$A$2:$A$2000,0)),"")</f>
        <v>6.3173359451526663</v>
      </c>
      <c r="T770" s="268">
        <f t="shared" si="57"/>
        <v>1.6211785014691331</v>
      </c>
      <c r="U770" s="258">
        <f>IF('Dry_Litterbag Placem_Collection'!E111="","",'Dry_Litterbag Placem_Collection'!E111)</f>
        <v>42939</v>
      </c>
      <c r="V770" s="258">
        <f>IF('Dry_Litterbag Placem_Collection'!G111="","",'Dry_Litterbag Placem_Collection'!G111)</f>
        <v>43010</v>
      </c>
      <c r="W770" s="259">
        <f t="shared" ref="W770:W833" si="60">IFERROR(V770-U770,"")</f>
        <v>71</v>
      </c>
      <c r="X770" s="257">
        <f t="shared" si="58"/>
        <v>0.31169999999999987</v>
      </c>
      <c r="Y770" s="257">
        <f t="shared" si="59"/>
        <v>0.3744253414734442</v>
      </c>
      <c r="Z770" s="261">
        <f>IFERROR(INDEX([3]Rainfall_Dry!$O$2:$O$217,MATCH(C770, [3]Rainfall_Dry!$A$2:$A$217,0)),"")</f>
        <v>137.19979645800001</v>
      </c>
      <c r="AA770" s="250">
        <v>34.344660194174757</v>
      </c>
      <c r="AB770" s="250">
        <v>19.22727272727273</v>
      </c>
      <c r="AC770" s="250">
        <v>46.428067078552509</v>
      </c>
      <c r="AD770" s="251" t="s">
        <v>2651</v>
      </c>
      <c r="AE770" s="250">
        <v>5.7452932479053702</v>
      </c>
      <c r="AF770">
        <f>IF('WetLitterbags placem_collection'!AB111="","",'WetLitterbags placem_collection'!AB111)</f>
        <v>10.5</v>
      </c>
      <c r="AG770">
        <f>IF('WetLitterbags placem_collection'!Z111="","",'WetLitterbags placem_collection'!Z111)</f>
        <v>22.5</v>
      </c>
      <c r="AH770" s="236" t="str">
        <f>IF('WetLitterbags placem_collection'!AA111="","",'WetLitterbags placem_collection'!AA111)</f>
        <v>M</v>
      </c>
      <c r="AI770">
        <f>IF('WetLitterbags placem_collection'!AC111="","",'WetLitterbags placem_collection'!AC111)</f>
        <v>0</v>
      </c>
      <c r="AJ770">
        <f>IFERROR(AVERAGE('Dry_Litterbag Placem_Collection'!O111,'Dry_Litterbag Placem_Collection'!R111),"")</f>
        <v>7.5</v>
      </c>
      <c r="AK770" s="261">
        <f>IFERROR(AVERAGE('Dry_Litterbag Placem_Collection'!N111,'Dry_Litterbag Placem_Collection'!Q111),"")</f>
        <v>30.65</v>
      </c>
      <c r="AL770" s="260">
        <f>INDEX([2]Coordinates!$B$2:$B$197,MATCH(I770,[2]Coordinates!$J$2:$J$197,0))</f>
        <v>-2.3698390370000002</v>
      </c>
      <c r="AM770" s="260">
        <f>INDEX([2]Coordinates!$C$2:$C$197,MATCH(I770,[2]Coordinates!$J$2:$J$197,0))</f>
        <v>34.059714</v>
      </c>
      <c r="AN770" s="260" t="str">
        <f>IF(ISNUMBER(SEARCH("C", 'Dry_Litterbag Placem_Collection'!V111)),"YES","NO")</f>
        <v>NO</v>
      </c>
      <c r="AO770" s="260" t="str">
        <f>IF(ISNUMBER(SEARCH("H", 'Dry_Litterbag Placem_Collection'!V111)),"YES","NO")</f>
        <v>NO</v>
      </c>
      <c r="AP770" s="260" t="str">
        <f>IF(ISNUMBER(SEARCH("R", 'Dry_Litterbag Placem_Collection'!V111)),"YES","NO")</f>
        <v>NO</v>
      </c>
    </row>
    <row r="771" spans="1:42" ht="15" customHeight="1">
      <c r="A771" t="s">
        <v>3248</v>
      </c>
      <c r="B771" s="252" t="s">
        <v>2643</v>
      </c>
      <c r="C771" s="253">
        <f>'Dry_Litterbag Placem_Collection'!A112</f>
        <v>110</v>
      </c>
      <c r="D771" s="253" t="str">
        <f>'Dry_Litterbag Placem_Collection'!B112</f>
        <v xml:space="preserve">Mwantimba
</v>
      </c>
      <c r="E771" s="253" t="s">
        <v>2454</v>
      </c>
      <c r="F771" s="253" t="s">
        <v>2644</v>
      </c>
      <c r="G771" s="253">
        <v>2</v>
      </c>
      <c r="H771" s="253" t="s">
        <v>3118</v>
      </c>
      <c r="I771" s="254" t="str">
        <f>'Dry_Litterbag Placem_Collection'!C112</f>
        <v>Wet_Ag2_T6</v>
      </c>
      <c r="J771" s="263" t="s">
        <v>2932</v>
      </c>
      <c r="K771" s="264" t="s">
        <v>298</v>
      </c>
      <c r="L771" s="253" t="str">
        <f>IF(ISBLANK('Dry_Litterbag Placem_Collection'!M112),"","R"&amp;""&amp;'Dry_Litterbag Placem_Collection'!M112)</f>
        <v>R636</v>
      </c>
      <c r="M771" s="257">
        <f>IFERROR(INDEX('Green_rooibos initial weight'!$C$5:$C$2000,MATCH(L771, 'Green_rooibos initial weight'!$A$5:$A$2000,0)),"")</f>
        <v>2.1080000000000001</v>
      </c>
      <c r="N771" s="257">
        <f>IFERROR(M771-(TBIcalc!$Q$9+TBIcalc!$Q$10),"")</f>
        <v>1.8582000000000001</v>
      </c>
      <c r="O771" s="378">
        <f>AVERAGE(Ashed_controlls!$K$12:$K$14)</f>
        <v>2.2816647271287041</v>
      </c>
      <c r="P771" s="257">
        <f t="shared" ref="P771:P834" si="61">IFERROR(N771-(O771/100)*N771,"")</f>
        <v>1.8158021060404945</v>
      </c>
      <c r="Q771" s="257">
        <f>IFERROR(INDEX('Both teabags AfterDry'!$D$2:$D$2000,MATCH(L771,'Both teabags AfterDry'!$A$2:$A$2000,0)),"")</f>
        <v>1.8521000000000001</v>
      </c>
      <c r="R771" s="257">
        <f>IFERROR(IF(Q771&gt;0,Q771-(TBIcalc!$Q$9),""),"")</f>
        <v>1.7015</v>
      </c>
      <c r="S771" s="268">
        <f>IFERROR(INDEX('Ashed teabags dry'!$K$2:$K$2000,MATCH(L771,'Ashed teabags dry'!$A$2:$A$2000,0)),"")</f>
        <v>3.9122137404573722</v>
      </c>
      <c r="T771" s="268">
        <f t="shared" ref="T771:T834" si="62">IFERROR(R771-(S771/100)*R771,"")</f>
        <v>1.6349336832061179</v>
      </c>
      <c r="U771" s="258">
        <f>IF('Dry_Litterbag Placem_Collection'!E112="","",'Dry_Litterbag Placem_Collection'!E112)</f>
        <v>42939</v>
      </c>
      <c r="V771" s="258">
        <f>IF('Dry_Litterbag Placem_Collection'!G112="","",'Dry_Litterbag Placem_Collection'!G112)</f>
        <v>43010</v>
      </c>
      <c r="W771" s="259">
        <f t="shared" si="60"/>
        <v>71</v>
      </c>
      <c r="X771" s="257">
        <f t="shared" ref="X771:X834" si="63">IFERROR(N771-R771,"")</f>
        <v>0.15670000000000006</v>
      </c>
      <c r="Y771" s="257">
        <f t="shared" ref="Y771:Y834" si="64">IFERROR(P771-T771,"")</f>
        <v>0.18086842283437665</v>
      </c>
      <c r="Z771" s="261">
        <f>IFERROR(INDEX([3]Rainfall_Dry!$O$2:$O$217,MATCH(C771, [3]Rainfall_Dry!$A$2:$A$217,0)),"")</f>
        <v>137.19979645800001</v>
      </c>
      <c r="AA771" s="250">
        <v>34.344660194174757</v>
      </c>
      <c r="AB771" s="250">
        <v>19.22727272727273</v>
      </c>
      <c r="AC771" s="250">
        <v>46.428067078552509</v>
      </c>
      <c r="AD771" s="251" t="s">
        <v>2651</v>
      </c>
      <c r="AE771" s="250">
        <v>6.7452932479053702</v>
      </c>
      <c r="AF771">
        <f>IF('WetLitterbags placem_collection'!AB112="","",'WetLitterbags placem_collection'!AB112)</f>
        <v>5.75</v>
      </c>
      <c r="AG771">
        <f>IF('WetLitterbags placem_collection'!Z112="","",'WetLitterbags placem_collection'!Z112)</f>
        <v>22.5</v>
      </c>
      <c r="AH771" s="236" t="str">
        <f>IF('WetLitterbags placem_collection'!AA112="","",'WetLitterbags placem_collection'!AA112)</f>
        <v>M</v>
      </c>
      <c r="AI771">
        <f>IF('WetLitterbags placem_collection'!AC112="","",'WetLitterbags placem_collection'!AC112)</f>
        <v>0</v>
      </c>
      <c r="AJ771">
        <f>IFERROR(AVERAGE('Dry_Litterbag Placem_Collection'!O112,'Dry_Litterbag Placem_Collection'!R112),"")</f>
        <v>7.3500000000000005</v>
      </c>
      <c r="AK771" s="261">
        <f>IFERROR(AVERAGE('Dry_Litterbag Placem_Collection'!N112,'Dry_Litterbag Placem_Collection'!Q112),"")</f>
        <v>31.150000000000002</v>
      </c>
      <c r="AL771" s="260">
        <f>INDEX([2]Coordinates!$B$2:$B$197,MATCH(I771,[2]Coordinates!$J$2:$J$197,0))</f>
        <v>-2.3697549659999999</v>
      </c>
      <c r="AM771" s="260">
        <f>INDEX([2]Coordinates!$C$2:$C$197,MATCH(I771,[2]Coordinates!$J$2:$J$197,0))</f>
        <v>34.059668989999999</v>
      </c>
      <c r="AN771" s="260" t="str">
        <f>IF(ISNUMBER(SEARCH("C", 'Dry_Litterbag Placem_Collection'!V112)),"YES","NO")</f>
        <v>NO</v>
      </c>
      <c r="AO771" s="260" t="str">
        <f>IF(ISNUMBER(SEARCH("H", 'Dry_Litterbag Placem_Collection'!V112)),"YES","NO")</f>
        <v>NO</v>
      </c>
      <c r="AP771" s="260" t="str">
        <f>IF(ISNUMBER(SEARCH("R", 'Dry_Litterbag Placem_Collection'!V112)),"YES","NO")</f>
        <v>NO</v>
      </c>
    </row>
    <row r="772" spans="1:42" ht="15" customHeight="1">
      <c r="A772" t="s">
        <v>3248</v>
      </c>
      <c r="B772" s="252" t="s">
        <v>2643</v>
      </c>
      <c r="C772" s="253">
        <f>'Dry_Litterbag Placem_Collection'!A113</f>
        <v>111</v>
      </c>
      <c r="D772" s="253" t="str">
        <f>'Dry_Litterbag Placem_Collection'!B113</f>
        <v xml:space="preserve">Mwantimba
</v>
      </c>
      <c r="E772" s="253" t="s">
        <v>2454</v>
      </c>
      <c r="F772" s="253" t="s">
        <v>2644</v>
      </c>
      <c r="G772" s="253">
        <v>2</v>
      </c>
      <c r="H772" s="253" t="s">
        <v>3118</v>
      </c>
      <c r="I772" s="254" t="str">
        <f>'Dry_Litterbag Placem_Collection'!C113</f>
        <v>Wet_Ag2_T7</v>
      </c>
      <c r="J772" s="263" t="s">
        <v>2932</v>
      </c>
      <c r="K772" s="264" t="s">
        <v>298</v>
      </c>
      <c r="L772" s="253" t="str">
        <f>IF(ISBLANK('Dry_Litterbag Placem_Collection'!M113),"","R"&amp;""&amp;'Dry_Litterbag Placem_Collection'!M113)</f>
        <v>R239</v>
      </c>
      <c r="M772" s="257">
        <f>IFERROR(INDEX('Green_rooibos initial weight'!$C$5:$C$2000,MATCH(L772, 'Green_rooibos initial weight'!$A$5:$A$2000,0)),"")</f>
        <v>2.2189999999999999</v>
      </c>
      <c r="N772" s="257">
        <f>IFERROR(M772-(TBIcalc!$Q$9+TBIcalc!$Q$10),"")</f>
        <v>1.9691999999999998</v>
      </c>
      <c r="O772" s="378">
        <f>AVERAGE(Ashed_controlls!$K$12:$K$14)</f>
        <v>2.2816647271287041</v>
      </c>
      <c r="P772" s="257">
        <f t="shared" si="61"/>
        <v>1.9242694581933815</v>
      </c>
      <c r="Q772" s="257">
        <f>IFERROR(INDEX('Both teabags AfterDry'!$D$2:$D$2000,MATCH(L772,'Both teabags AfterDry'!$A$2:$A$2000,0)),"")</f>
        <v>1.8743000000000001</v>
      </c>
      <c r="R772" s="257">
        <f>IFERROR(IF(Q772&gt;0,Q772-(TBIcalc!$Q$9),""),"")</f>
        <v>1.7237</v>
      </c>
      <c r="S772" s="268">
        <f>IFERROR(INDEX('Ashed teabags dry'!$K$2:$K$2000,MATCH(L772,'Ashed teabags dry'!$A$2:$A$2000,0)),"")</f>
        <v>2.9234338747099509</v>
      </c>
      <c r="T772" s="268">
        <f t="shared" si="62"/>
        <v>1.6733087703016245</v>
      </c>
      <c r="U772" s="258">
        <f>IF('Dry_Litterbag Placem_Collection'!E113="","",'Dry_Litterbag Placem_Collection'!E113)</f>
        <v>42939</v>
      </c>
      <c r="V772" s="258">
        <f>IF('Dry_Litterbag Placem_Collection'!G113="","",'Dry_Litterbag Placem_Collection'!G113)</f>
        <v>43010</v>
      </c>
      <c r="W772" s="259">
        <f t="shared" si="60"/>
        <v>71</v>
      </c>
      <c r="X772" s="257">
        <f t="shared" si="63"/>
        <v>0.24549999999999983</v>
      </c>
      <c r="Y772" s="257">
        <f t="shared" si="64"/>
        <v>0.25096068789175696</v>
      </c>
      <c r="Z772" s="261">
        <f>IFERROR(INDEX([3]Rainfall_Dry!$O$2:$O$217,MATCH(C772, [3]Rainfall_Dry!$A$2:$A$217,0)),"")</f>
        <v>137.19979645800001</v>
      </c>
      <c r="AA772" s="250">
        <v>34.344660194174757</v>
      </c>
      <c r="AB772" s="250">
        <v>19.22727272727273</v>
      </c>
      <c r="AC772" s="250">
        <v>46.428067078552509</v>
      </c>
      <c r="AD772" s="251" t="s">
        <v>2651</v>
      </c>
      <c r="AE772" s="250">
        <v>7.7452932479053702</v>
      </c>
      <c r="AF772">
        <f>IF('WetLitterbags placem_collection'!AB113="","",'WetLitterbags placem_collection'!AB113)</f>
        <v>6.1</v>
      </c>
      <c r="AG772">
        <f>IF('WetLitterbags placem_collection'!Z113="","",'WetLitterbags placem_collection'!Z113)</f>
        <v>26</v>
      </c>
      <c r="AH772" s="236" t="str">
        <f>IF('WetLitterbags placem_collection'!AA113="","",'WetLitterbags placem_collection'!AA113)</f>
        <v>M</v>
      </c>
      <c r="AI772">
        <f>IF('WetLitterbags placem_collection'!AC113="","",'WetLitterbags placem_collection'!AC113)</f>
        <v>0</v>
      </c>
      <c r="AJ772">
        <f>IFERROR(AVERAGE('Dry_Litterbag Placem_Collection'!O113,'Dry_Litterbag Placem_Collection'!R113),"")</f>
        <v>8.3000000000000007</v>
      </c>
      <c r="AK772" s="261">
        <f>IFERROR(AVERAGE('Dry_Litterbag Placem_Collection'!N113,'Dry_Litterbag Placem_Collection'!Q113),"")</f>
        <v>29.549999999999997</v>
      </c>
      <c r="AL772" s="260">
        <f>INDEX([2]Coordinates!$B$2:$B$197,MATCH(I772,[2]Coordinates!$J$2:$J$197,0))</f>
        <v>-2.3697330060000001</v>
      </c>
      <c r="AM772" s="260">
        <f>INDEX([2]Coordinates!$C$2:$C$197,MATCH(I772,[2]Coordinates!$J$2:$J$197,0))</f>
        <v>34.059615010000002</v>
      </c>
      <c r="AN772" s="260" t="str">
        <f>IF(ISNUMBER(SEARCH("C", 'Dry_Litterbag Placem_Collection'!V113)),"YES","NO")</f>
        <v>NO</v>
      </c>
      <c r="AO772" s="260" t="str">
        <f>IF(ISNUMBER(SEARCH("H", 'Dry_Litterbag Placem_Collection'!V113)),"YES","NO")</f>
        <v>NO</v>
      </c>
      <c r="AP772" s="260" t="str">
        <f>IF(ISNUMBER(SEARCH("R", 'Dry_Litterbag Placem_Collection'!V113)),"YES","NO")</f>
        <v>NO</v>
      </c>
    </row>
    <row r="773" spans="1:42" ht="15" customHeight="1">
      <c r="A773" t="s">
        <v>3248</v>
      </c>
      <c r="B773" s="252" t="s">
        <v>2643</v>
      </c>
      <c r="C773" s="253">
        <f>'Dry_Litterbag Placem_Collection'!A114</f>
        <v>112</v>
      </c>
      <c r="D773" s="253" t="str">
        <f>'Dry_Litterbag Placem_Collection'!B114</f>
        <v xml:space="preserve">Mwantimba
</v>
      </c>
      <c r="E773" s="253" t="s">
        <v>2454</v>
      </c>
      <c r="F773" s="253" t="s">
        <v>2644</v>
      </c>
      <c r="G773" s="253">
        <v>2</v>
      </c>
      <c r="H773" s="253" t="s">
        <v>3118</v>
      </c>
      <c r="I773" s="254" t="str">
        <f>'Dry_Litterbag Placem_Collection'!C114</f>
        <v>Wet_Ag2_T8</v>
      </c>
      <c r="J773" s="263" t="s">
        <v>2932</v>
      </c>
      <c r="K773" s="264" t="s">
        <v>298</v>
      </c>
      <c r="L773" s="253" t="str">
        <f>IF(ISBLANK('Dry_Litterbag Placem_Collection'!M114),"","R"&amp;""&amp;'Dry_Litterbag Placem_Collection'!M114)</f>
        <v/>
      </c>
      <c r="M773" s="257" t="str">
        <f>IFERROR(INDEX('Green_rooibos initial weight'!$C$5:$C$2000,MATCH(L773, 'Green_rooibos initial weight'!$A$5:$A$2000,0)),"")</f>
        <v/>
      </c>
      <c r="N773" s="257" t="str">
        <f>IFERROR(M773-(TBIcalc!$Q$9+TBIcalc!$Q$10),"")</f>
        <v/>
      </c>
      <c r="O773" s="378">
        <f>AVERAGE(Ashed_controlls!$K$12:$K$14)</f>
        <v>2.2816647271287041</v>
      </c>
      <c r="P773" s="257" t="str">
        <f t="shared" si="61"/>
        <v/>
      </c>
      <c r="Q773" s="257" t="str">
        <f>IFERROR(INDEX('Both teabags AfterDry'!$D$2:$D$2000,MATCH(L773,'Both teabags AfterDry'!$A$2:$A$2000,0)),"")</f>
        <v/>
      </c>
      <c r="R773" s="257" t="str">
        <f>IFERROR(IF(Q773&gt;0,Q773-(TBIcalc!$Q$9),""),"")</f>
        <v/>
      </c>
      <c r="S773" s="268" t="str">
        <f>IFERROR(INDEX('Ashed teabags dry'!$K$2:$K$2000,MATCH(L773,'Ashed teabags dry'!$A$2:$A$2000,0)),"")</f>
        <v/>
      </c>
      <c r="T773" s="268" t="str">
        <f t="shared" si="62"/>
        <v/>
      </c>
      <c r="U773" s="258" t="str">
        <f>IF('Dry_Litterbag Placem_Collection'!E114="","",'Dry_Litterbag Placem_Collection'!E114)</f>
        <v/>
      </c>
      <c r="V773" s="258" t="str">
        <f>IF('Dry_Litterbag Placem_Collection'!G114="","",'Dry_Litterbag Placem_Collection'!G114)</f>
        <v/>
      </c>
      <c r="W773" s="259" t="str">
        <f t="shared" si="60"/>
        <v/>
      </c>
      <c r="X773" s="257" t="str">
        <f t="shared" si="63"/>
        <v/>
      </c>
      <c r="Y773" s="257" t="str">
        <f t="shared" si="64"/>
        <v/>
      </c>
      <c r="Z773" s="261" t="str">
        <f>IFERROR(INDEX([3]Rainfall_Dry!$O$2:$O$217,MATCH(C773, [3]Rainfall_Dry!$A$2:$A$217,0)),"")</f>
        <v/>
      </c>
      <c r="AA773" s="250">
        <v>34.344660194174757</v>
      </c>
      <c r="AB773" s="250">
        <v>19.22727272727273</v>
      </c>
      <c r="AC773" s="250">
        <v>46.428067078552509</v>
      </c>
      <c r="AD773" s="251" t="s">
        <v>2651</v>
      </c>
      <c r="AE773" s="250">
        <v>8.7452932479053693</v>
      </c>
      <c r="AF773">
        <f>IF('WetLitterbags placem_collection'!AB114="","",'WetLitterbags placem_collection'!AB114)</f>
        <v>11.5</v>
      </c>
      <c r="AG773">
        <f>IF('WetLitterbags placem_collection'!Z114="","",'WetLitterbags placem_collection'!Z114)</f>
        <v>15</v>
      </c>
      <c r="AH773" s="236" t="str">
        <f>IF('WetLitterbags placem_collection'!AA114="","",'WetLitterbags placem_collection'!AA114)</f>
        <v>M</v>
      </c>
      <c r="AI773">
        <f>IF('WetLitterbags placem_collection'!AC114="","",'WetLitterbags placem_collection'!AC114)</f>
        <v>0</v>
      </c>
      <c r="AJ773" t="str">
        <f>IFERROR(AVERAGE('Dry_Litterbag Placem_Collection'!O114,'Dry_Litterbag Placem_Collection'!R114),"")</f>
        <v/>
      </c>
      <c r="AK773" s="261" t="str">
        <f>IFERROR(AVERAGE('Dry_Litterbag Placem_Collection'!N114,'Dry_Litterbag Placem_Collection'!Q114),"")</f>
        <v/>
      </c>
      <c r="AL773" s="260">
        <f>INDEX([2]Coordinates!$B$2:$B$197,MATCH(I773,[2]Coordinates!$J$2:$J$197,0))</f>
        <v>-2.36967098</v>
      </c>
      <c r="AM773" s="260">
        <f>INDEX([2]Coordinates!$C$2:$C$197,MATCH(I773,[2]Coordinates!$J$2:$J$197,0))</f>
        <v>34.059735959999998</v>
      </c>
      <c r="AN773" s="260" t="str">
        <f>IF(ISNUMBER(SEARCH("C", 'Dry_Litterbag Placem_Collection'!V114)),"YES","NO")</f>
        <v>NO</v>
      </c>
      <c r="AO773" s="260" t="str">
        <f>IF(ISNUMBER(SEARCH("H", 'Dry_Litterbag Placem_Collection'!V114)),"YES","NO")</f>
        <v>NO</v>
      </c>
      <c r="AP773" s="260" t="str">
        <f>IF(ISNUMBER(SEARCH("R", 'Dry_Litterbag Placem_Collection'!V114)),"YES","NO")</f>
        <v>NO</v>
      </c>
    </row>
    <row r="774" spans="1:42" ht="15" customHeight="1">
      <c r="A774" t="s">
        <v>3248</v>
      </c>
      <c r="B774" s="252" t="s">
        <v>2643</v>
      </c>
      <c r="C774" s="253">
        <f>'Dry_Litterbag Placem_Collection'!A115</f>
        <v>113</v>
      </c>
      <c r="D774" s="253" t="str">
        <f>'Dry_Litterbag Placem_Collection'!B115</f>
        <v xml:space="preserve">Mwantimba
</v>
      </c>
      <c r="E774" s="253" t="s">
        <v>2454</v>
      </c>
      <c r="F774" s="253" t="s">
        <v>2644</v>
      </c>
      <c r="G774" s="253">
        <v>3</v>
      </c>
      <c r="H774" s="253" t="s">
        <v>3119</v>
      </c>
      <c r="I774" s="254" t="str">
        <f>'Dry_Litterbag Placem_Collection'!C115</f>
        <v>Wet_Ag3_T1</v>
      </c>
      <c r="J774" s="263" t="s">
        <v>2932</v>
      </c>
      <c r="K774" s="264" t="s">
        <v>298</v>
      </c>
      <c r="L774" s="253" t="str">
        <f>IF(ISBLANK('Dry_Litterbag Placem_Collection'!M115),"","R"&amp;""&amp;'Dry_Litterbag Placem_Collection'!M115)</f>
        <v>R313</v>
      </c>
      <c r="M774" s="257">
        <f>IFERROR(INDEX('Green_rooibos initial weight'!$C$5:$C$2000,MATCH(L774, 'Green_rooibos initial weight'!$A$5:$A$2000,0)),"")</f>
        <v>2.2450000000000001</v>
      </c>
      <c r="N774" s="257">
        <f>IFERROR(M774-(TBIcalc!$Q$9+TBIcalc!$Q$10),"")</f>
        <v>1.9952000000000001</v>
      </c>
      <c r="O774" s="378">
        <f>AVERAGE(Ashed_controlls!$K$12:$K$14)</f>
        <v>2.2816647271287041</v>
      </c>
      <c r="P774" s="257">
        <f t="shared" si="61"/>
        <v>1.9496762253643283</v>
      </c>
      <c r="Q774" s="257">
        <f>IFERROR(INDEX('Both teabags AfterDry'!$D$2:$D$2000,MATCH(L774,'Both teabags AfterDry'!$A$2:$A$2000,0)),"")</f>
        <v>1.6048</v>
      </c>
      <c r="R774" s="257">
        <f>IFERROR(IF(Q774&gt;0,Q774-(TBIcalc!$Q$9),""),"")</f>
        <v>1.4541999999999999</v>
      </c>
      <c r="S774" s="268">
        <f>IFERROR(INDEX('Ashed teabags dry'!$K$2:$K$2000,MATCH(L774,'Ashed teabags dry'!$A$2:$A$2000,0)),"")</f>
        <v>8.9047619047618891</v>
      </c>
      <c r="T774" s="268">
        <f t="shared" si="62"/>
        <v>1.3247069523809525</v>
      </c>
      <c r="U774" s="258">
        <f>IF('Dry_Litterbag Placem_Collection'!E115="","",'Dry_Litterbag Placem_Collection'!E115)</f>
        <v>42939</v>
      </c>
      <c r="V774" s="258">
        <f>IF('Dry_Litterbag Placem_Collection'!G115="","",'Dry_Litterbag Placem_Collection'!G115)</f>
        <v>43008</v>
      </c>
      <c r="W774" s="259">
        <f t="shared" si="60"/>
        <v>69</v>
      </c>
      <c r="X774" s="257">
        <f t="shared" si="63"/>
        <v>0.54100000000000015</v>
      </c>
      <c r="Y774" s="257">
        <f t="shared" si="64"/>
        <v>0.62496927298337579</v>
      </c>
      <c r="Z774" s="261">
        <f>IFERROR(INDEX([3]Rainfall_Dry!$O$2:$O$217,MATCH(C774, [3]Rainfall_Dry!$A$2:$A$217,0)),"")</f>
        <v>136.27214243</v>
      </c>
      <c r="AA774" s="250">
        <v>27.96</v>
      </c>
      <c r="AB774" s="250">
        <v>4.9200000000000017</v>
      </c>
      <c r="AC774" s="250">
        <v>67.12</v>
      </c>
      <c r="AD774" s="251" t="s">
        <v>2651</v>
      </c>
      <c r="AE774" s="250">
        <v>0.88610152784622953</v>
      </c>
      <c r="AF774">
        <f>IF('WetLitterbags placem_collection'!AB115="","",'WetLitterbags placem_collection'!AB115)</f>
        <v>26</v>
      </c>
      <c r="AG774">
        <f>IF('WetLitterbags placem_collection'!Z115="","",'WetLitterbags placem_collection'!Z115)</f>
        <v>88.5</v>
      </c>
      <c r="AH774" s="236" t="str">
        <f>IF('WetLitterbags placem_collection'!AA115="","",'WetLitterbags placem_collection'!AA115)</f>
        <v>G</v>
      </c>
      <c r="AI774">
        <f>IF('WetLitterbags placem_collection'!AC115="","",'WetLitterbags placem_collection'!AC115)</f>
        <v>0</v>
      </c>
      <c r="AJ774">
        <f>IFERROR(AVERAGE('Dry_Litterbag Placem_Collection'!O115,'Dry_Litterbag Placem_Collection'!R115),"")</f>
        <v>6.35</v>
      </c>
      <c r="AK774" s="261">
        <f>IFERROR(AVERAGE('Dry_Litterbag Placem_Collection'!N115,'Dry_Litterbag Placem_Collection'!Q115),"")</f>
        <v>28.9</v>
      </c>
      <c r="AL774" s="260">
        <f>INDEX([2]Coordinates!$B$2:$B$197,MATCH(I774,[2]Coordinates!$J$2:$J$197,0))</f>
        <v>-2.3487199940000001</v>
      </c>
      <c r="AM774" s="260">
        <f>INDEX([2]Coordinates!$C$2:$C$197,MATCH(I774,[2]Coordinates!$J$2:$J$197,0))</f>
        <v>34.051391029999998</v>
      </c>
      <c r="AN774" s="260" t="str">
        <f>IF(ISNUMBER(SEARCH("C", 'Dry_Litterbag Placem_Collection'!V115)),"YES","NO")</f>
        <v>NO</v>
      </c>
      <c r="AO774" s="260" t="str">
        <f>IF(ISNUMBER(SEARCH("H", 'Dry_Litterbag Placem_Collection'!V115)),"YES","NO")</f>
        <v>NO</v>
      </c>
      <c r="AP774" s="260" t="str">
        <f>IF(ISNUMBER(SEARCH("R", 'Dry_Litterbag Placem_Collection'!V115)),"YES","NO")</f>
        <v>NO</v>
      </c>
    </row>
    <row r="775" spans="1:42" ht="15" customHeight="1">
      <c r="A775" t="s">
        <v>3248</v>
      </c>
      <c r="B775" s="252" t="s">
        <v>2643</v>
      </c>
      <c r="C775" s="253">
        <f>'Dry_Litterbag Placem_Collection'!A116</f>
        <v>114</v>
      </c>
      <c r="D775" s="253" t="str">
        <f>'Dry_Litterbag Placem_Collection'!B116</f>
        <v xml:space="preserve">Mwantimba
</v>
      </c>
      <c r="E775" s="253" t="s">
        <v>2454</v>
      </c>
      <c r="F775" s="253" t="s">
        <v>2644</v>
      </c>
      <c r="G775" s="253">
        <v>3</v>
      </c>
      <c r="H775" s="253" t="s">
        <v>3119</v>
      </c>
      <c r="I775" s="254" t="str">
        <f>'Dry_Litterbag Placem_Collection'!C116</f>
        <v>Wet_Ag3_T2</v>
      </c>
      <c r="J775" s="263" t="s">
        <v>2932</v>
      </c>
      <c r="K775" s="264" t="s">
        <v>298</v>
      </c>
      <c r="L775" s="253" t="str">
        <f>IF(ISBLANK('Dry_Litterbag Placem_Collection'!M116),"","R"&amp;""&amp;'Dry_Litterbag Placem_Collection'!M116)</f>
        <v>R247</v>
      </c>
      <c r="M775" s="257">
        <f>IFERROR(INDEX('Green_rooibos initial weight'!$C$5:$C$2000,MATCH(L775, 'Green_rooibos initial weight'!$A$5:$A$2000,0)),"")</f>
        <v>2.2330000000000001</v>
      </c>
      <c r="N775" s="257">
        <f>IFERROR(M775-(TBIcalc!$Q$9+TBIcalc!$Q$10),"")</f>
        <v>1.9832000000000001</v>
      </c>
      <c r="O775" s="378">
        <f>AVERAGE(Ashed_controlls!$K$12:$K$14)</f>
        <v>2.2816647271287041</v>
      </c>
      <c r="P775" s="257">
        <f t="shared" si="61"/>
        <v>1.9379500251315835</v>
      </c>
      <c r="Q775" s="257">
        <f>IFERROR(INDEX('Both teabags AfterDry'!$D$2:$D$2000,MATCH(L775,'Both teabags AfterDry'!$A$2:$A$2000,0)),"")</f>
        <v>1.7551000000000001</v>
      </c>
      <c r="R775" s="257">
        <f>IFERROR(IF(Q775&gt;0,Q775-(TBIcalc!$Q$9),""),"")</f>
        <v>1.6045</v>
      </c>
      <c r="S775" s="268">
        <f>IFERROR(INDEX('Ashed teabags dry'!$K$2:$K$2000,MATCH(L775,'Ashed teabags dry'!$A$2:$A$2000,0)),"")</f>
        <v>8.2853345148423898</v>
      </c>
      <c r="T775" s="268">
        <f t="shared" si="62"/>
        <v>1.471561807709354</v>
      </c>
      <c r="U775" s="258">
        <f>IF('Dry_Litterbag Placem_Collection'!E116="","",'Dry_Litterbag Placem_Collection'!E116)</f>
        <v>42939</v>
      </c>
      <c r="V775" s="258">
        <f>IF('Dry_Litterbag Placem_Collection'!G116="","",'Dry_Litterbag Placem_Collection'!G116)</f>
        <v>43008</v>
      </c>
      <c r="W775" s="259">
        <f t="shared" si="60"/>
        <v>69</v>
      </c>
      <c r="X775" s="257">
        <f t="shared" si="63"/>
        <v>0.37870000000000004</v>
      </c>
      <c r="Y775" s="257">
        <f t="shared" si="64"/>
        <v>0.46638821742222958</v>
      </c>
      <c r="Z775" s="261">
        <f>IFERROR(INDEX([3]Rainfall_Dry!$O$2:$O$217,MATCH(C775, [3]Rainfall_Dry!$A$2:$A$217,0)),"")</f>
        <v>136.27214243</v>
      </c>
      <c r="AA775" s="250">
        <v>27.96</v>
      </c>
      <c r="AB775" s="250">
        <v>4.9200000000000017</v>
      </c>
      <c r="AC775" s="250">
        <v>67.12</v>
      </c>
      <c r="AD775" s="251" t="s">
        <v>2651</v>
      </c>
      <c r="AE775" s="250">
        <v>1.8861015278462301</v>
      </c>
      <c r="AF775">
        <f>IF('WetLitterbags placem_collection'!AB116="","",'WetLitterbags placem_collection'!AB116)</f>
        <v>16.5</v>
      </c>
      <c r="AG775">
        <f>IF('WetLitterbags placem_collection'!Z116="","",'WetLitterbags placem_collection'!Z116)</f>
        <v>87.5</v>
      </c>
      <c r="AH775" s="236" t="str">
        <f>IF('WetLitterbags placem_collection'!AA116="","",'WetLitterbags placem_collection'!AA116)</f>
        <v>G</v>
      </c>
      <c r="AI775">
        <f>IF('WetLitterbags placem_collection'!AC116="","",'WetLitterbags placem_collection'!AC116)</f>
        <v>0</v>
      </c>
      <c r="AJ775">
        <f>IFERROR(AVERAGE('Dry_Litterbag Placem_Collection'!O116,'Dry_Litterbag Placem_Collection'!R116),"")</f>
        <v>12.1</v>
      </c>
      <c r="AK775" s="261">
        <f>IFERROR(AVERAGE('Dry_Litterbag Placem_Collection'!N116,'Dry_Litterbag Placem_Collection'!Q116),"")</f>
        <v>28.1</v>
      </c>
      <c r="AL775" s="260">
        <f>INDEX([2]Coordinates!$B$2:$B$197,MATCH(I775,[2]Coordinates!$J$2:$J$197,0))</f>
        <v>-2.348716976</v>
      </c>
      <c r="AM775" s="260">
        <f>INDEX([2]Coordinates!$C$2:$C$197,MATCH(I775,[2]Coordinates!$J$2:$J$197,0))</f>
        <v>34.051484989999999</v>
      </c>
      <c r="AN775" s="260" t="str">
        <f>IF(ISNUMBER(SEARCH("C", 'Dry_Litterbag Placem_Collection'!V116)),"YES","NO")</f>
        <v>NO</v>
      </c>
      <c r="AO775" s="260" t="str">
        <f>IF(ISNUMBER(SEARCH("H", 'Dry_Litterbag Placem_Collection'!V116)),"YES","NO")</f>
        <v>NO</v>
      </c>
      <c r="AP775" s="260" t="str">
        <f>IF(ISNUMBER(SEARCH("R", 'Dry_Litterbag Placem_Collection'!V116)),"YES","NO")</f>
        <v>NO</v>
      </c>
    </row>
    <row r="776" spans="1:42" ht="15" customHeight="1">
      <c r="A776" t="s">
        <v>3248</v>
      </c>
      <c r="B776" s="252" t="s">
        <v>2643</v>
      </c>
      <c r="C776" s="253">
        <f>'Dry_Litterbag Placem_Collection'!A117</f>
        <v>115</v>
      </c>
      <c r="D776" s="253" t="str">
        <f>'Dry_Litterbag Placem_Collection'!B117</f>
        <v xml:space="preserve">Mwantimba
</v>
      </c>
      <c r="E776" s="253" t="s">
        <v>2454</v>
      </c>
      <c r="F776" s="253" t="s">
        <v>2644</v>
      </c>
      <c r="G776" s="253">
        <v>3</v>
      </c>
      <c r="H776" s="253" t="s">
        <v>3119</v>
      </c>
      <c r="I776" s="254" t="str">
        <f>'Dry_Litterbag Placem_Collection'!C117</f>
        <v>Wet_Ag3_T3</v>
      </c>
      <c r="J776" s="263" t="s">
        <v>2932</v>
      </c>
      <c r="K776" s="264" t="s">
        <v>298</v>
      </c>
      <c r="L776" s="253" t="str">
        <f>IF(ISBLANK('Dry_Litterbag Placem_Collection'!M117),"","R"&amp;""&amp;'Dry_Litterbag Placem_Collection'!M117)</f>
        <v>R671</v>
      </c>
      <c r="M776" s="257">
        <f>IFERROR(INDEX('Green_rooibos initial weight'!$C$5:$C$2000,MATCH(L776, 'Green_rooibos initial weight'!$A$5:$A$2000,0)),"")</f>
        <v>2.202</v>
      </c>
      <c r="N776" s="257">
        <f>IFERROR(M776-(TBIcalc!$Q$9+TBIcalc!$Q$10),"")</f>
        <v>1.9521999999999999</v>
      </c>
      <c r="O776" s="378">
        <f>AVERAGE(Ashed_controlls!$K$12:$K$14)</f>
        <v>2.2816647271287041</v>
      </c>
      <c r="P776" s="257">
        <f t="shared" si="61"/>
        <v>1.9076573411969935</v>
      </c>
      <c r="Q776" s="257">
        <f>IFERROR(INDEX('Both teabags AfterDry'!$D$2:$D$2000,MATCH(L776,'Both teabags AfterDry'!$A$2:$A$2000,0)),"")</f>
        <v>1.6099000000000001</v>
      </c>
      <c r="R776" s="257">
        <f>IFERROR(IF(Q776&gt;0,Q776-(TBIcalc!$Q$9),""),"")</f>
        <v>1.4593</v>
      </c>
      <c r="S776" s="268">
        <f>IFERROR(INDEX('Ashed teabags dry'!$K$2:$K$2000,MATCH(L776,'Ashed teabags dry'!$A$2:$A$2000,0)),"")</f>
        <v>9.1992373689235691</v>
      </c>
      <c r="T776" s="268">
        <f t="shared" si="62"/>
        <v>1.3250555290752983</v>
      </c>
      <c r="U776" s="258">
        <f>IF('Dry_Litterbag Placem_Collection'!E117="","",'Dry_Litterbag Placem_Collection'!E117)</f>
        <v>42939</v>
      </c>
      <c r="V776" s="258">
        <f>IF('Dry_Litterbag Placem_Collection'!G117="","",'Dry_Litterbag Placem_Collection'!G117)</f>
        <v>43008</v>
      </c>
      <c r="W776" s="259">
        <f t="shared" si="60"/>
        <v>69</v>
      </c>
      <c r="X776" s="257">
        <f t="shared" si="63"/>
        <v>0.49289999999999989</v>
      </c>
      <c r="Y776" s="257">
        <f t="shared" si="64"/>
        <v>0.58260181212169515</v>
      </c>
      <c r="Z776" s="261">
        <f>IFERROR(INDEX([3]Rainfall_Dry!$O$2:$O$217,MATCH(C776, [3]Rainfall_Dry!$A$2:$A$217,0)),"")</f>
        <v>136.27214243</v>
      </c>
      <c r="AA776" s="250">
        <v>27.96</v>
      </c>
      <c r="AB776" s="250">
        <v>4.9200000000000017</v>
      </c>
      <c r="AC776" s="250">
        <v>67.12</v>
      </c>
      <c r="AD776" s="251" t="s">
        <v>2651</v>
      </c>
      <c r="AE776" s="250">
        <v>2.8861015278462299</v>
      </c>
      <c r="AF776">
        <f>IF('WetLitterbags placem_collection'!AB117="","",'WetLitterbags placem_collection'!AB117)</f>
        <v>19</v>
      </c>
      <c r="AG776">
        <f>IF('WetLitterbags placem_collection'!Z117="","",'WetLitterbags placem_collection'!Z117)</f>
        <v>79.5</v>
      </c>
      <c r="AH776" s="236" t="str">
        <f>IF('WetLitterbags placem_collection'!AA117="","",'WetLitterbags placem_collection'!AA117)</f>
        <v>G</v>
      </c>
      <c r="AI776">
        <f>IF('WetLitterbags placem_collection'!AC117="","",'WetLitterbags placem_collection'!AC117)</f>
        <v>1</v>
      </c>
      <c r="AJ776">
        <f>IFERROR(AVERAGE('Dry_Litterbag Placem_Collection'!O117,'Dry_Litterbag Placem_Collection'!R117),"")</f>
        <v>6.9</v>
      </c>
      <c r="AK776" s="261">
        <f>IFERROR(AVERAGE('Dry_Litterbag Placem_Collection'!N117,'Dry_Litterbag Placem_Collection'!Q117),"")</f>
        <v>28.95</v>
      </c>
      <c r="AL776" s="260">
        <f>INDEX([2]Coordinates!$B$2:$B$197,MATCH(I776,[2]Coordinates!$J$2:$J$197,0))</f>
        <v>-2.3487800079999999</v>
      </c>
      <c r="AM776" s="260">
        <f>INDEX([2]Coordinates!$C$2:$C$197,MATCH(I776,[2]Coordinates!$J$2:$J$197,0))</f>
        <v>34.051495969999998</v>
      </c>
      <c r="AN776" s="260" t="str">
        <f>IF(ISNUMBER(SEARCH("C", 'Dry_Litterbag Placem_Collection'!V117)),"YES","NO")</f>
        <v>NO</v>
      </c>
      <c r="AO776" s="260" t="str">
        <f>IF(ISNUMBER(SEARCH("H", 'Dry_Litterbag Placem_Collection'!V117)),"YES","NO")</f>
        <v>NO</v>
      </c>
      <c r="AP776" s="260" t="str">
        <f>IF(ISNUMBER(SEARCH("R", 'Dry_Litterbag Placem_Collection'!V117)),"YES","NO")</f>
        <v>NO</v>
      </c>
    </row>
    <row r="777" spans="1:42" ht="15" customHeight="1">
      <c r="A777" t="s">
        <v>3248</v>
      </c>
      <c r="B777" s="252" t="s">
        <v>2643</v>
      </c>
      <c r="C777" s="253">
        <f>'Dry_Litterbag Placem_Collection'!A118</f>
        <v>116</v>
      </c>
      <c r="D777" s="253" t="str">
        <f>'Dry_Litterbag Placem_Collection'!B118</f>
        <v xml:space="preserve">Mwantimba
</v>
      </c>
      <c r="E777" s="253" t="s">
        <v>2454</v>
      </c>
      <c r="F777" s="253" t="s">
        <v>2644</v>
      </c>
      <c r="G777" s="253">
        <v>3</v>
      </c>
      <c r="H777" s="253" t="s">
        <v>3119</v>
      </c>
      <c r="I777" s="254" t="str">
        <f>'Dry_Litterbag Placem_Collection'!C118</f>
        <v>Wet_Ag3_T4</v>
      </c>
      <c r="J777" s="263" t="s">
        <v>2932</v>
      </c>
      <c r="K777" s="264" t="s">
        <v>298</v>
      </c>
      <c r="L777" s="253" t="str">
        <f>IF(ISBLANK('Dry_Litterbag Placem_Collection'!M118),"","R"&amp;""&amp;'Dry_Litterbag Placem_Collection'!M118)</f>
        <v>R638</v>
      </c>
      <c r="M777" s="257">
        <f>IFERROR(INDEX('Green_rooibos initial weight'!$C$5:$C$2000,MATCH(L777, 'Green_rooibos initial weight'!$A$5:$A$2000,0)),"")</f>
        <v>2.1659999999999999</v>
      </c>
      <c r="N777" s="257">
        <f>IFERROR(M777-(TBIcalc!$Q$9+TBIcalc!$Q$10),"")</f>
        <v>1.9161999999999999</v>
      </c>
      <c r="O777" s="378">
        <f>AVERAGE(Ashed_controlls!$K$12:$K$14)</f>
        <v>2.2816647271287041</v>
      </c>
      <c r="P777" s="257">
        <f t="shared" si="61"/>
        <v>1.8724787404987597</v>
      </c>
      <c r="Q777" s="257">
        <f>IFERROR(INDEX('Both teabags AfterDry'!$D$2:$D$2000,MATCH(L777,'Both teabags AfterDry'!$A$2:$A$2000,0)),"")</f>
        <v>1.5814999999999999</v>
      </c>
      <c r="R777" s="257">
        <f>IFERROR(IF(Q777&gt;0,Q777-(TBIcalc!$Q$9),""),"")</f>
        <v>1.4308999999999998</v>
      </c>
      <c r="S777" s="268">
        <f>IFERROR(INDEX('Ashed teabags dry'!$K$2:$K$2000,MATCH(L777,'Ashed teabags dry'!$A$2:$A$2000,0)),"")</f>
        <v>7.3855913004079357</v>
      </c>
      <c r="T777" s="268">
        <f t="shared" si="62"/>
        <v>1.3252195740824626</v>
      </c>
      <c r="U777" s="258">
        <f>IF('Dry_Litterbag Placem_Collection'!E118="","",'Dry_Litterbag Placem_Collection'!E118)</f>
        <v>42939</v>
      </c>
      <c r="V777" s="258">
        <f>IF('Dry_Litterbag Placem_Collection'!G118="","",'Dry_Litterbag Placem_Collection'!G118)</f>
        <v>43008</v>
      </c>
      <c r="W777" s="259">
        <f t="shared" si="60"/>
        <v>69</v>
      </c>
      <c r="X777" s="257">
        <f t="shared" si="63"/>
        <v>0.48530000000000006</v>
      </c>
      <c r="Y777" s="257">
        <f t="shared" si="64"/>
        <v>0.54725916641629713</v>
      </c>
      <c r="Z777" s="261">
        <f>IFERROR(INDEX([3]Rainfall_Dry!$O$2:$O$217,MATCH(C777, [3]Rainfall_Dry!$A$2:$A$217,0)),"")</f>
        <v>136.27214243</v>
      </c>
      <c r="AA777" s="250">
        <v>27.96</v>
      </c>
      <c r="AB777" s="250">
        <v>4.9200000000000017</v>
      </c>
      <c r="AC777" s="250">
        <v>67.12</v>
      </c>
      <c r="AD777" s="251" t="s">
        <v>2651</v>
      </c>
      <c r="AE777" s="250">
        <v>3.8861015278462299</v>
      </c>
      <c r="AF777">
        <f>IF('WetLitterbags placem_collection'!AB118="","",'WetLitterbags placem_collection'!AB118)</f>
        <v>22.5</v>
      </c>
      <c r="AG777">
        <f>IF('WetLitterbags placem_collection'!Z118="","",'WetLitterbags placem_collection'!Z118)</f>
        <v>76</v>
      </c>
      <c r="AH777" s="236" t="str">
        <f>IF('WetLitterbags placem_collection'!AA118="","",'WetLitterbags placem_collection'!AA118)</f>
        <v>G</v>
      </c>
      <c r="AI777">
        <f>IF('WetLitterbags placem_collection'!AC118="","",'WetLitterbags placem_collection'!AC118)</f>
        <v>1</v>
      </c>
      <c r="AJ777">
        <f>IFERROR(AVERAGE('Dry_Litterbag Placem_Collection'!O118,'Dry_Litterbag Placem_Collection'!R118),"")</f>
        <v>8.65</v>
      </c>
      <c r="AK777" s="261">
        <f>IFERROR(AVERAGE('Dry_Litterbag Placem_Collection'!N118,'Dry_Litterbag Placem_Collection'!Q118),"")</f>
        <v>29.799999999999997</v>
      </c>
      <c r="AL777" s="260">
        <f>INDEX([2]Coordinates!$B$2:$B$197,MATCH(I777,[2]Coordinates!$J$2:$J$197,0))</f>
        <v>-2.3488120270000001</v>
      </c>
      <c r="AM777" s="260">
        <f>INDEX([2]Coordinates!$C$2:$C$197,MATCH(I777,[2]Coordinates!$J$2:$J$197,0))</f>
        <v>34.05146697</v>
      </c>
      <c r="AN777" s="260" t="str">
        <f>IF(ISNUMBER(SEARCH("C", 'Dry_Litterbag Placem_Collection'!V118)),"YES","NO")</f>
        <v>NO</v>
      </c>
      <c r="AO777" s="260" t="str">
        <f>IF(ISNUMBER(SEARCH("H", 'Dry_Litterbag Placem_Collection'!V118)),"YES","NO")</f>
        <v>NO</v>
      </c>
      <c r="AP777" s="260" t="str">
        <f>IF(ISNUMBER(SEARCH("R", 'Dry_Litterbag Placem_Collection'!V118)),"YES","NO")</f>
        <v>NO</v>
      </c>
    </row>
    <row r="778" spans="1:42" ht="15" customHeight="1">
      <c r="A778" t="s">
        <v>3248</v>
      </c>
      <c r="B778" s="252" t="s">
        <v>2643</v>
      </c>
      <c r="C778" s="253">
        <f>'Dry_Litterbag Placem_Collection'!A119</f>
        <v>117</v>
      </c>
      <c r="D778" s="253" t="str">
        <f>'Dry_Litterbag Placem_Collection'!B119</f>
        <v xml:space="preserve">Mwantimba
</v>
      </c>
      <c r="E778" s="253" t="s">
        <v>2454</v>
      </c>
      <c r="F778" s="253" t="s">
        <v>2644</v>
      </c>
      <c r="G778" s="253">
        <v>3</v>
      </c>
      <c r="H778" s="253" t="s">
        <v>3119</v>
      </c>
      <c r="I778" s="254" t="str">
        <f>'Dry_Litterbag Placem_Collection'!C119</f>
        <v>Wet_Ag3_T5</v>
      </c>
      <c r="J778" s="263" t="s">
        <v>2932</v>
      </c>
      <c r="K778" s="264" t="s">
        <v>298</v>
      </c>
      <c r="L778" s="253" t="str">
        <f>IF(ISBLANK('Dry_Litterbag Placem_Collection'!M119),"","R"&amp;""&amp;'Dry_Litterbag Placem_Collection'!M119)</f>
        <v>R719</v>
      </c>
      <c r="M778" s="257">
        <f>IFERROR(INDEX('Green_rooibos initial weight'!$C$5:$C$2000,MATCH(L778, 'Green_rooibos initial weight'!$A$5:$A$2000,0)),"")</f>
        <v>2.2050000000000001</v>
      </c>
      <c r="N778" s="257">
        <f>IFERROR(M778-(TBIcalc!$Q$9+TBIcalc!$Q$10),"")</f>
        <v>1.9552</v>
      </c>
      <c r="O778" s="378">
        <f>AVERAGE(Ashed_controlls!$K$12:$K$14)</f>
        <v>2.2816647271287041</v>
      </c>
      <c r="P778" s="257">
        <f t="shared" si="61"/>
        <v>1.9105888912551796</v>
      </c>
      <c r="Q778" s="257" t="str">
        <f>IFERROR(INDEX('Both teabags AfterDry'!$D$2:$D$2000,MATCH(L778,'Both teabags AfterDry'!$A$2:$A$2000,0)),"")</f>
        <v/>
      </c>
      <c r="R778" s="257" t="str">
        <f>IFERROR(IF(Q778&gt;0,Q778-(TBIcalc!$Q$9),""),"")</f>
        <v/>
      </c>
      <c r="S778" s="268" t="str">
        <f>IFERROR(INDEX('Ashed teabags dry'!$K$2:$K$2000,MATCH(L778,'Ashed teabags dry'!$A$2:$A$2000,0)),"")</f>
        <v/>
      </c>
      <c r="T778" s="268" t="str">
        <f t="shared" si="62"/>
        <v/>
      </c>
      <c r="U778" s="258">
        <f>IF('Dry_Litterbag Placem_Collection'!E119="","",'Dry_Litterbag Placem_Collection'!E119)</f>
        <v>42939</v>
      </c>
      <c r="V778" s="258">
        <f>IF('Dry_Litterbag Placem_Collection'!G119="","",'Dry_Litterbag Placem_Collection'!G119)</f>
        <v>43008</v>
      </c>
      <c r="W778" s="259">
        <f t="shared" si="60"/>
        <v>69</v>
      </c>
      <c r="X778" s="257" t="str">
        <f t="shared" si="63"/>
        <v/>
      </c>
      <c r="Y778" s="257" t="str">
        <f t="shared" si="64"/>
        <v/>
      </c>
      <c r="Z778" s="261">
        <f>IFERROR(INDEX([3]Rainfall_Dry!$O$2:$O$217,MATCH(C778, [3]Rainfall_Dry!$A$2:$A$217,0)),"")</f>
        <v>136.27214243</v>
      </c>
      <c r="AA778" s="250">
        <v>27.96</v>
      </c>
      <c r="AB778" s="250">
        <v>4.9200000000000017</v>
      </c>
      <c r="AC778" s="250">
        <v>67.12</v>
      </c>
      <c r="AD778" s="251" t="s">
        <v>2651</v>
      </c>
      <c r="AE778" s="250">
        <v>4.8861015278462299</v>
      </c>
      <c r="AF778">
        <f>IF('WetLitterbags placem_collection'!AB119="","",'WetLitterbags placem_collection'!AB119)</f>
        <v>23.5</v>
      </c>
      <c r="AG778">
        <f>IF('WetLitterbags placem_collection'!Z119="","",'WetLitterbags placem_collection'!Z119)</f>
        <v>76</v>
      </c>
      <c r="AH778" s="236" t="str">
        <f>IF('WetLitterbags placem_collection'!AA119="","",'WetLitterbags placem_collection'!AA119)</f>
        <v>G</v>
      </c>
      <c r="AI778">
        <f>IF('WetLitterbags placem_collection'!AC119="","",'WetLitterbags placem_collection'!AC119)</f>
        <v>1</v>
      </c>
      <c r="AJ778">
        <f>IFERROR(AVERAGE('Dry_Litterbag Placem_Collection'!O119,'Dry_Litterbag Placem_Collection'!R119),"")</f>
        <v>10.149999999999999</v>
      </c>
      <c r="AK778" s="261">
        <f>IFERROR(AVERAGE('Dry_Litterbag Placem_Collection'!N119,'Dry_Litterbag Placem_Collection'!Q119),"")</f>
        <v>29.05</v>
      </c>
      <c r="AL778" s="260">
        <f>INDEX([2]Coordinates!$B$2:$B$197,MATCH(I778,[2]Coordinates!$J$2:$J$197,0))</f>
        <v>-2.348814961</v>
      </c>
      <c r="AM778" s="260">
        <f>INDEX([2]Coordinates!$C$2:$C$197,MATCH(I778,[2]Coordinates!$J$2:$J$197,0))</f>
        <v>34.051439979999998</v>
      </c>
      <c r="AN778" s="260" t="str">
        <f>IF(ISNUMBER(SEARCH("C", 'Dry_Litterbag Placem_Collection'!V119)),"YES","NO")</f>
        <v>NO</v>
      </c>
      <c r="AO778" s="260" t="str">
        <f>IF(ISNUMBER(SEARCH("H", 'Dry_Litterbag Placem_Collection'!V119)),"YES","NO")</f>
        <v>NO</v>
      </c>
      <c r="AP778" s="260" t="str">
        <f>IF(ISNUMBER(SEARCH("R", 'Dry_Litterbag Placem_Collection'!V119)),"YES","NO")</f>
        <v>NO</v>
      </c>
    </row>
    <row r="779" spans="1:42" ht="15" customHeight="1">
      <c r="A779" t="s">
        <v>3248</v>
      </c>
      <c r="B779" s="252" t="s">
        <v>2643</v>
      </c>
      <c r="C779" s="253">
        <f>'Dry_Litterbag Placem_Collection'!A120</f>
        <v>118</v>
      </c>
      <c r="D779" s="253" t="str">
        <f>'Dry_Litterbag Placem_Collection'!B120</f>
        <v xml:space="preserve">Mwantimba
</v>
      </c>
      <c r="E779" s="253" t="s">
        <v>2454</v>
      </c>
      <c r="F779" s="253" t="s">
        <v>2644</v>
      </c>
      <c r="G779" s="253">
        <v>3</v>
      </c>
      <c r="H779" s="253" t="s">
        <v>3119</v>
      </c>
      <c r="I779" s="254" t="str">
        <f>'Dry_Litterbag Placem_Collection'!C120</f>
        <v>Wet_Ag3_T6</v>
      </c>
      <c r="J779" s="263" t="s">
        <v>2932</v>
      </c>
      <c r="K779" s="264" t="s">
        <v>298</v>
      </c>
      <c r="L779" s="253" t="str">
        <f>IF(ISBLANK('Dry_Litterbag Placem_Collection'!M120),"","R"&amp;""&amp;'Dry_Litterbag Placem_Collection'!M120)</f>
        <v>R173</v>
      </c>
      <c r="M779" s="257">
        <f>IFERROR(INDEX('Green_rooibos initial weight'!$C$5:$C$2000,MATCH(L779, 'Green_rooibos initial weight'!$A$5:$A$2000,0)),"")</f>
        <v>2.2040000000000002</v>
      </c>
      <c r="N779" s="257">
        <f>IFERROR(M779-(TBIcalc!$Q$9+TBIcalc!$Q$10),"")</f>
        <v>1.9542000000000002</v>
      </c>
      <c r="O779" s="378">
        <f>AVERAGE(Ashed_controlls!$K$12:$K$14)</f>
        <v>2.2816647271287041</v>
      </c>
      <c r="P779" s="257">
        <f t="shared" si="61"/>
        <v>1.909611707902451</v>
      </c>
      <c r="Q779" s="257">
        <f>IFERROR(INDEX('Both teabags AfterDry'!$D$2:$D$2000,MATCH(L779,'Both teabags AfterDry'!$A$2:$A$2000,0)),"")</f>
        <v>1.5261</v>
      </c>
      <c r="R779" s="257">
        <f>IFERROR(IF(Q779&gt;0,Q779-(TBIcalc!$Q$9),""),"")</f>
        <v>1.3754999999999999</v>
      </c>
      <c r="S779" s="268">
        <f>IFERROR(INDEX('Ashed teabags dry'!$K$2:$K$2000,MATCH(L779,'Ashed teabags dry'!$A$2:$A$2000,0)),"")</f>
        <v>8.9977728285078307</v>
      </c>
      <c r="T779" s="268">
        <f t="shared" si="62"/>
        <v>1.2517356347438748</v>
      </c>
      <c r="U779" s="258">
        <f>IF('Dry_Litterbag Placem_Collection'!E120="","",'Dry_Litterbag Placem_Collection'!E120)</f>
        <v>42939</v>
      </c>
      <c r="V779" s="258">
        <f>IF('Dry_Litterbag Placem_Collection'!G120="","",'Dry_Litterbag Placem_Collection'!G120)</f>
        <v>43008</v>
      </c>
      <c r="W779" s="259">
        <f t="shared" si="60"/>
        <v>69</v>
      </c>
      <c r="X779" s="257">
        <f t="shared" si="63"/>
        <v>0.57870000000000021</v>
      </c>
      <c r="Y779" s="257">
        <f t="shared" si="64"/>
        <v>0.65787607315857621</v>
      </c>
      <c r="Z779" s="261">
        <f>IFERROR(INDEX([3]Rainfall_Dry!$O$2:$O$217,MATCH(C779, [3]Rainfall_Dry!$A$2:$A$217,0)),"")</f>
        <v>136.27214243</v>
      </c>
      <c r="AA779" s="250">
        <v>27.96</v>
      </c>
      <c r="AB779" s="250">
        <v>4.9200000000000017</v>
      </c>
      <c r="AC779" s="250">
        <v>67.12</v>
      </c>
      <c r="AD779" s="251" t="s">
        <v>2651</v>
      </c>
      <c r="AE779" s="250">
        <v>5.8861015278462299</v>
      </c>
      <c r="AF779">
        <f>IF('WetLitterbags placem_collection'!AB120="","",'WetLitterbags placem_collection'!AB120)</f>
        <v>17.5</v>
      </c>
      <c r="AG779">
        <f>IF('WetLitterbags placem_collection'!Z120="","",'WetLitterbags placem_collection'!Z120)</f>
        <v>70.5</v>
      </c>
      <c r="AH779" s="236" t="str">
        <f>IF('WetLitterbags placem_collection'!AA120="","",'WetLitterbags placem_collection'!AA120)</f>
        <v>G</v>
      </c>
      <c r="AI779">
        <f>IF('WetLitterbags placem_collection'!AC120="","",'WetLitterbags placem_collection'!AC120)</f>
        <v>1</v>
      </c>
      <c r="AJ779">
        <f>IFERROR(AVERAGE('Dry_Litterbag Placem_Collection'!O120,'Dry_Litterbag Placem_Collection'!R120),"")</f>
        <v>7.8000000000000007</v>
      </c>
      <c r="AK779" s="261">
        <f>IFERROR(AVERAGE('Dry_Litterbag Placem_Collection'!N120,'Dry_Litterbag Placem_Collection'!Q120),"")</f>
        <v>28.25</v>
      </c>
      <c r="AL779" s="260">
        <f>INDEX([2]Coordinates!$B$2:$B$197,MATCH(I779,[2]Coordinates!$J$2:$J$197,0))</f>
        <v>-2.3488729629999998</v>
      </c>
      <c r="AM779" s="260">
        <f>INDEX([2]Coordinates!$C$2:$C$197,MATCH(I779,[2]Coordinates!$J$2:$J$197,0))</f>
        <v>34.051454980000003</v>
      </c>
      <c r="AN779" s="260" t="str">
        <f>IF(ISNUMBER(SEARCH("C", 'Dry_Litterbag Placem_Collection'!V120)),"YES","NO")</f>
        <v>NO</v>
      </c>
      <c r="AO779" s="260" t="str">
        <f>IF(ISNUMBER(SEARCH("H", 'Dry_Litterbag Placem_Collection'!V120)),"YES","NO")</f>
        <v>NO</v>
      </c>
      <c r="AP779" s="260" t="str">
        <f>IF(ISNUMBER(SEARCH("R", 'Dry_Litterbag Placem_Collection'!V120)),"YES","NO")</f>
        <v>NO</v>
      </c>
    </row>
    <row r="780" spans="1:42" ht="15" customHeight="1">
      <c r="A780" t="s">
        <v>3248</v>
      </c>
      <c r="B780" s="252" t="s">
        <v>2643</v>
      </c>
      <c r="C780" s="253">
        <f>'Dry_Litterbag Placem_Collection'!A121</f>
        <v>119</v>
      </c>
      <c r="D780" s="253" t="str">
        <f>'Dry_Litterbag Placem_Collection'!B121</f>
        <v xml:space="preserve">Mwantimba
</v>
      </c>
      <c r="E780" s="253" t="s">
        <v>2454</v>
      </c>
      <c r="F780" s="253" t="s">
        <v>2644</v>
      </c>
      <c r="G780" s="253">
        <v>3</v>
      </c>
      <c r="H780" s="253" t="s">
        <v>3119</v>
      </c>
      <c r="I780" s="254" t="str">
        <f>'Dry_Litterbag Placem_Collection'!C121</f>
        <v>Wet_Ag3_T7</v>
      </c>
      <c r="J780" s="263" t="s">
        <v>2932</v>
      </c>
      <c r="K780" s="264" t="s">
        <v>298</v>
      </c>
      <c r="L780" s="253" t="str">
        <f>IF(ISBLANK('Dry_Litterbag Placem_Collection'!M121),"","R"&amp;""&amp;'Dry_Litterbag Placem_Collection'!M121)</f>
        <v>R373</v>
      </c>
      <c r="M780" s="257">
        <f>IFERROR(INDEX('Green_rooibos initial weight'!$C$5:$C$2000,MATCH(L780, 'Green_rooibos initial weight'!$A$5:$A$2000,0)),"")</f>
        <v>2.226</v>
      </c>
      <c r="N780" s="257">
        <f>IFERROR(M780-(TBIcalc!$Q$9+TBIcalc!$Q$10),"")</f>
        <v>1.9762</v>
      </c>
      <c r="O780" s="378">
        <f>AVERAGE(Ashed_controlls!$K$12:$K$14)</f>
        <v>2.2816647271287041</v>
      </c>
      <c r="P780" s="257">
        <f t="shared" si="61"/>
        <v>1.9311097416624825</v>
      </c>
      <c r="Q780" s="257">
        <f>IFERROR(INDEX('Both teabags AfterDry'!$D$2:$D$2000,MATCH(L780,'Both teabags AfterDry'!$A$2:$A$2000,0)),"")</f>
        <v>1.5419</v>
      </c>
      <c r="R780" s="257">
        <f>IFERROR(IF(Q780&gt;0,Q780-(TBIcalc!$Q$9),""),"")</f>
        <v>1.3913</v>
      </c>
      <c r="S780" s="268">
        <f>IFERROR(INDEX('Ashed teabags dry'!$K$2:$K$2000,MATCH(L780,'Ashed teabags dry'!$A$2:$A$2000,0)),"")</f>
        <v>6.2859884836854203</v>
      </c>
      <c r="T780" s="268">
        <f t="shared" si="62"/>
        <v>1.3038430422264846</v>
      </c>
      <c r="U780" s="258">
        <f>IF('Dry_Litterbag Placem_Collection'!E121="","",'Dry_Litterbag Placem_Collection'!E121)</f>
        <v>42939</v>
      </c>
      <c r="V780" s="258">
        <f>IF('Dry_Litterbag Placem_Collection'!G121="","",'Dry_Litterbag Placem_Collection'!G121)</f>
        <v>43008</v>
      </c>
      <c r="W780" s="259">
        <f t="shared" si="60"/>
        <v>69</v>
      </c>
      <c r="X780" s="257">
        <f t="shared" si="63"/>
        <v>0.58489999999999998</v>
      </c>
      <c r="Y780" s="257">
        <f t="shared" si="64"/>
        <v>0.62726669943599789</v>
      </c>
      <c r="Z780" s="261">
        <f>IFERROR(INDEX([3]Rainfall_Dry!$O$2:$O$217,MATCH(C780, [3]Rainfall_Dry!$A$2:$A$217,0)),"")</f>
        <v>136.27214243</v>
      </c>
      <c r="AA780" s="250">
        <v>27.96</v>
      </c>
      <c r="AB780" s="250">
        <v>4.9200000000000017</v>
      </c>
      <c r="AC780" s="250">
        <v>67.12</v>
      </c>
      <c r="AD780" s="251" t="s">
        <v>2651</v>
      </c>
      <c r="AE780" s="250">
        <v>6.8861015278462299</v>
      </c>
      <c r="AF780">
        <f>IF('WetLitterbags placem_collection'!AB121="","",'WetLitterbags placem_collection'!AB121)</f>
        <v>18.5</v>
      </c>
      <c r="AG780">
        <f>IF('WetLitterbags placem_collection'!Z121="","",'WetLitterbags placem_collection'!Z121)</f>
        <v>74.5</v>
      </c>
      <c r="AH780" s="236" t="str">
        <f>IF('WetLitterbags placem_collection'!AA121="","",'WetLitterbags placem_collection'!AA121)</f>
        <v>G</v>
      </c>
      <c r="AI780">
        <f>IF('WetLitterbags placem_collection'!AC121="","",'WetLitterbags placem_collection'!AC121)</f>
        <v>1</v>
      </c>
      <c r="AJ780">
        <f>IFERROR(AVERAGE('Dry_Litterbag Placem_Collection'!O121,'Dry_Litterbag Placem_Collection'!R121),"")</f>
        <v>10.050000000000001</v>
      </c>
      <c r="AK780" s="261">
        <f>IFERROR(AVERAGE('Dry_Litterbag Placem_Collection'!N121,'Dry_Litterbag Placem_Collection'!Q121),"")</f>
        <v>27.95</v>
      </c>
      <c r="AL780" s="260">
        <f>INDEX([2]Coordinates!$B$2:$B$197,MATCH(I780,[2]Coordinates!$J$2:$J$197,0))</f>
        <v>-2.3488589659999999</v>
      </c>
      <c r="AM780" s="260">
        <f>INDEX([2]Coordinates!$C$2:$C$197,MATCH(I780,[2]Coordinates!$J$2:$J$197,0))</f>
        <v>34.051389010000001</v>
      </c>
      <c r="AN780" s="260" t="str">
        <f>IF(ISNUMBER(SEARCH("C", 'Dry_Litterbag Placem_Collection'!V121)),"YES","NO")</f>
        <v>NO</v>
      </c>
      <c r="AO780" s="260" t="str">
        <f>IF(ISNUMBER(SEARCH("H", 'Dry_Litterbag Placem_Collection'!V121)),"YES","NO")</f>
        <v>NO</v>
      </c>
      <c r="AP780" s="260" t="str">
        <f>IF(ISNUMBER(SEARCH("R", 'Dry_Litterbag Placem_Collection'!V121)),"YES","NO")</f>
        <v>NO</v>
      </c>
    </row>
    <row r="781" spans="1:42" ht="15" customHeight="1">
      <c r="A781" t="s">
        <v>3248</v>
      </c>
      <c r="B781" s="252" t="s">
        <v>2643</v>
      </c>
      <c r="C781" s="253">
        <f>'Dry_Litterbag Placem_Collection'!A122</f>
        <v>120</v>
      </c>
      <c r="D781" s="253" t="str">
        <f>'Dry_Litterbag Placem_Collection'!B122</f>
        <v xml:space="preserve">Mwantimba
</v>
      </c>
      <c r="E781" s="253" t="s">
        <v>2454</v>
      </c>
      <c r="F781" s="253" t="s">
        <v>2644</v>
      </c>
      <c r="G781" s="253">
        <v>3</v>
      </c>
      <c r="H781" s="253" t="s">
        <v>3119</v>
      </c>
      <c r="I781" s="254" t="str">
        <f>'Dry_Litterbag Placem_Collection'!C122</f>
        <v>Wet_Ag3_T8</v>
      </c>
      <c r="J781" s="263" t="s">
        <v>2932</v>
      </c>
      <c r="K781" s="264" t="s">
        <v>298</v>
      </c>
      <c r="L781" s="253" t="str">
        <f>IF(ISBLANK('Dry_Litterbag Placem_Collection'!M122),"","R"&amp;""&amp;'Dry_Litterbag Placem_Collection'!M122)</f>
        <v/>
      </c>
      <c r="M781" s="257" t="str">
        <f>IFERROR(INDEX('Green_rooibos initial weight'!$C$5:$C$2000,MATCH(L781, 'Green_rooibos initial weight'!$A$5:$A$2000,0)),"")</f>
        <v/>
      </c>
      <c r="N781" s="257" t="str">
        <f>IFERROR(M781-(TBIcalc!$Q$9+TBIcalc!$Q$10),"")</f>
        <v/>
      </c>
      <c r="O781" s="378">
        <f>AVERAGE(Ashed_controlls!$K$12:$K$14)</f>
        <v>2.2816647271287041</v>
      </c>
      <c r="P781" s="257" t="str">
        <f t="shared" si="61"/>
        <v/>
      </c>
      <c r="Q781" s="257" t="str">
        <f>IFERROR(INDEX('Both teabags AfterDry'!$D$2:$D$2000,MATCH(L781,'Both teabags AfterDry'!$A$2:$A$2000,0)),"")</f>
        <v/>
      </c>
      <c r="R781" s="257" t="str">
        <f>IFERROR(IF(Q781&gt;0,Q781-(TBIcalc!$Q$9),""),"")</f>
        <v/>
      </c>
      <c r="S781" s="268" t="str">
        <f>IFERROR(INDEX('Ashed teabags dry'!$K$2:$K$2000,MATCH(L781,'Ashed teabags dry'!$A$2:$A$2000,0)),"")</f>
        <v/>
      </c>
      <c r="T781" s="268" t="str">
        <f t="shared" si="62"/>
        <v/>
      </c>
      <c r="U781" s="258" t="str">
        <f>IF('Dry_Litterbag Placem_Collection'!E122="","",'Dry_Litterbag Placem_Collection'!E122)</f>
        <v/>
      </c>
      <c r="V781" s="258" t="str">
        <f>IF('Dry_Litterbag Placem_Collection'!G122="","",'Dry_Litterbag Placem_Collection'!G122)</f>
        <v/>
      </c>
      <c r="W781" s="259" t="str">
        <f t="shared" si="60"/>
        <v/>
      </c>
      <c r="X781" s="257" t="str">
        <f t="shared" si="63"/>
        <v/>
      </c>
      <c r="Y781" s="257" t="str">
        <f t="shared" si="64"/>
        <v/>
      </c>
      <c r="Z781" s="261" t="str">
        <f>IFERROR(INDEX([3]Rainfall_Dry!$O$2:$O$217,MATCH(C781, [3]Rainfall_Dry!$A$2:$A$217,0)),"")</f>
        <v/>
      </c>
      <c r="AA781" s="250">
        <v>27.96</v>
      </c>
      <c r="AB781" s="250">
        <v>4.9200000000000017</v>
      </c>
      <c r="AC781" s="250">
        <v>67.12</v>
      </c>
      <c r="AD781" s="251" t="s">
        <v>2651</v>
      </c>
      <c r="AE781" s="250">
        <v>7.8861015278462299</v>
      </c>
      <c r="AF781">
        <f>IF('WetLitterbags placem_collection'!AB122="","",'WetLitterbags placem_collection'!AB122)</f>
        <v>19</v>
      </c>
      <c r="AG781">
        <f>IF('WetLitterbags placem_collection'!Z122="","",'WetLitterbags placem_collection'!Z122)</f>
        <v>98.5</v>
      </c>
      <c r="AH781" s="236" t="str">
        <f>IF('WetLitterbags placem_collection'!AA122="","",'WetLitterbags placem_collection'!AA122)</f>
        <v>G</v>
      </c>
      <c r="AI781">
        <f>IF('WetLitterbags placem_collection'!AC122="","",'WetLitterbags placem_collection'!AC122)</f>
        <v>0</v>
      </c>
      <c r="AJ781" t="str">
        <f>IFERROR(AVERAGE('Dry_Litterbag Placem_Collection'!O122,'Dry_Litterbag Placem_Collection'!R122),"")</f>
        <v/>
      </c>
      <c r="AK781" s="261" t="str">
        <f>IFERROR(AVERAGE('Dry_Litterbag Placem_Collection'!N122,'Dry_Litterbag Placem_Collection'!Q122),"")</f>
        <v/>
      </c>
      <c r="AL781" s="260">
        <f>INDEX([2]Coordinates!$B$2:$B$197,MATCH(I781,[2]Coordinates!$J$2:$J$197,0))</f>
        <v>-2.3486449760000001</v>
      </c>
      <c r="AM781" s="260">
        <f>INDEX([2]Coordinates!$C$2:$C$197,MATCH(I781,[2]Coordinates!$J$2:$J$197,0))</f>
        <v>34.051495969999998</v>
      </c>
      <c r="AN781" s="260" t="str">
        <f>IF(ISNUMBER(SEARCH("C", 'Dry_Litterbag Placem_Collection'!V122)),"YES","NO")</f>
        <v>NO</v>
      </c>
      <c r="AO781" s="260" t="str">
        <f>IF(ISNUMBER(SEARCH("H", 'Dry_Litterbag Placem_Collection'!V122)),"YES","NO")</f>
        <v>NO</v>
      </c>
      <c r="AP781" s="260" t="str">
        <f>IF(ISNUMBER(SEARCH("R", 'Dry_Litterbag Placem_Collection'!V122)),"YES","NO")</f>
        <v>NO</v>
      </c>
    </row>
    <row r="782" spans="1:42" ht="15" customHeight="1">
      <c r="A782" t="s">
        <v>3248</v>
      </c>
      <c r="B782" s="252" t="s">
        <v>2643</v>
      </c>
      <c r="C782" s="253">
        <f>'Dry_Litterbag Placem_Collection'!A123</f>
        <v>121</v>
      </c>
      <c r="D782" s="253" t="str">
        <f>'Dry_Litterbag Placem_Collection'!B123</f>
        <v xml:space="preserve">Mwantimba
</v>
      </c>
      <c r="E782" s="253" t="s">
        <v>2454</v>
      </c>
      <c r="F782" s="253" t="s">
        <v>2644</v>
      </c>
      <c r="G782" s="253">
        <v>4</v>
      </c>
      <c r="H782" s="253" t="s">
        <v>3120</v>
      </c>
      <c r="I782" s="254" t="str">
        <f>'Dry_Litterbag Placem_Collection'!C123</f>
        <v>Wet_Ag4_T1</v>
      </c>
      <c r="J782" s="263" t="s">
        <v>2932</v>
      </c>
      <c r="K782" s="264" t="s">
        <v>298</v>
      </c>
      <c r="L782" s="253" t="str">
        <f>IF(ISBLANK('Dry_Litterbag Placem_Collection'!M123),"","R"&amp;""&amp;'Dry_Litterbag Placem_Collection'!M123)</f>
        <v>R374</v>
      </c>
      <c r="M782" s="257">
        <f>IFERROR(INDEX('Green_rooibos initial weight'!$C$5:$C$2000,MATCH(L782, 'Green_rooibos initial weight'!$A$5:$A$2000,0)),"")</f>
        <v>2.2090000000000001</v>
      </c>
      <c r="N782" s="257">
        <f>IFERROR(M782-(TBIcalc!$Q$9+TBIcalc!$Q$10),"")</f>
        <v>1.9592000000000001</v>
      </c>
      <c r="O782" s="378">
        <f>AVERAGE(Ashed_controlls!$K$12:$K$14)</f>
        <v>2.2816647271287041</v>
      </c>
      <c r="P782" s="257">
        <f t="shared" si="61"/>
        <v>1.9144976246660945</v>
      </c>
      <c r="Q782" s="257" t="str">
        <f>IFERROR(INDEX('Both teabags AfterDry'!$D$2:$D$2000,MATCH(L782,'Both teabags AfterDry'!$A$2:$A$2000,0)),"")</f>
        <v/>
      </c>
      <c r="R782" s="257" t="str">
        <f>IFERROR(IF(Q782&gt;0,Q782-(TBIcalc!$Q$9),""),"")</f>
        <v/>
      </c>
      <c r="S782" s="268" t="str">
        <f>IFERROR(INDEX('Ashed teabags dry'!$K$2:$K$2000,MATCH(L782,'Ashed teabags dry'!$A$2:$A$2000,0)),"")</f>
        <v/>
      </c>
      <c r="T782" s="268" t="str">
        <f t="shared" si="62"/>
        <v/>
      </c>
      <c r="U782" s="258">
        <f>IF('Dry_Litterbag Placem_Collection'!E123="","",'Dry_Litterbag Placem_Collection'!E123)</f>
        <v>42939</v>
      </c>
      <c r="V782" s="258">
        <f>IF('Dry_Litterbag Placem_Collection'!G123="","",'Dry_Litterbag Placem_Collection'!G123)</f>
        <v>43008</v>
      </c>
      <c r="W782" s="259">
        <f t="shared" si="60"/>
        <v>69</v>
      </c>
      <c r="X782" s="257" t="str">
        <f t="shared" si="63"/>
        <v/>
      </c>
      <c r="Y782" s="257" t="str">
        <f t="shared" si="64"/>
        <v/>
      </c>
      <c r="Z782" s="261">
        <f>IFERROR(INDEX([3]Rainfall_Dry!$O$2:$O$217,MATCH(C782, [3]Rainfall_Dry!$A$2:$A$217,0)),"")</f>
        <v>136.27214243</v>
      </c>
      <c r="AA782" s="250">
        <v>17.96</v>
      </c>
      <c r="AB782" s="250">
        <v>4.9199999999999982</v>
      </c>
      <c r="AC782" s="250">
        <v>77.12</v>
      </c>
      <c r="AD782" s="251" t="s">
        <v>2652</v>
      </c>
      <c r="AE782" s="250">
        <v>2.0220798422868409</v>
      </c>
      <c r="AF782">
        <f>IF('WetLitterbags placem_collection'!AB123="","",'WetLitterbags placem_collection'!AB123)</f>
        <v>9.65</v>
      </c>
      <c r="AG782">
        <f>IF('WetLitterbags placem_collection'!Z123="","",'WetLitterbags placem_collection'!Z123)</f>
        <v>63</v>
      </c>
      <c r="AH782" s="236" t="str">
        <f>IF('WetLitterbags placem_collection'!AA123="","",'WetLitterbags placem_collection'!AA123)</f>
        <v>G</v>
      </c>
      <c r="AI782">
        <f>IF('WetLitterbags placem_collection'!AC123="","",'WetLitterbags placem_collection'!AC123)</f>
        <v>0</v>
      </c>
      <c r="AJ782">
        <f>IFERROR(AVERAGE('Dry_Litterbag Placem_Collection'!O123,'Dry_Litterbag Placem_Collection'!R123),"")</f>
        <v>5.5</v>
      </c>
      <c r="AK782" s="261">
        <f>IFERROR(AVERAGE('Dry_Litterbag Placem_Collection'!N123,'Dry_Litterbag Placem_Collection'!Q123),"")</f>
        <v>29.1</v>
      </c>
      <c r="AL782" s="260">
        <f>INDEX([2]Coordinates!$B$2:$B$197,MATCH(I782,[2]Coordinates!$J$2:$J$197,0))</f>
        <v>-2.3492639789999998</v>
      </c>
      <c r="AM782" s="260">
        <f>INDEX([2]Coordinates!$C$2:$C$197,MATCH(I782,[2]Coordinates!$J$2:$J$197,0))</f>
        <v>34.051464029999998</v>
      </c>
      <c r="AN782" s="260" t="str">
        <f>IF(ISNUMBER(SEARCH("C", 'Dry_Litterbag Placem_Collection'!V123)),"YES","NO")</f>
        <v>NO</v>
      </c>
      <c r="AO782" s="260" t="str">
        <f>IF(ISNUMBER(SEARCH("H", 'Dry_Litterbag Placem_Collection'!V123)),"YES","NO")</f>
        <v>NO</v>
      </c>
      <c r="AP782" s="260" t="str">
        <f>IF(ISNUMBER(SEARCH("R", 'Dry_Litterbag Placem_Collection'!V123)),"YES","NO")</f>
        <v>NO</v>
      </c>
    </row>
    <row r="783" spans="1:42" ht="15" customHeight="1">
      <c r="A783" t="s">
        <v>3248</v>
      </c>
      <c r="B783" s="252" t="s">
        <v>2643</v>
      </c>
      <c r="C783" s="253">
        <f>'Dry_Litterbag Placem_Collection'!A124</f>
        <v>122</v>
      </c>
      <c r="D783" s="253" t="str">
        <f>'Dry_Litterbag Placem_Collection'!B124</f>
        <v xml:space="preserve">Mwantimba
</v>
      </c>
      <c r="E783" s="253" t="s">
        <v>2454</v>
      </c>
      <c r="F783" s="253" t="s">
        <v>2644</v>
      </c>
      <c r="G783" s="253">
        <v>4</v>
      </c>
      <c r="H783" s="253" t="s">
        <v>3120</v>
      </c>
      <c r="I783" s="254" t="str">
        <f>'Dry_Litterbag Placem_Collection'!C124</f>
        <v>Wet_Ag4_T2</v>
      </c>
      <c r="J783" s="263" t="s">
        <v>2932</v>
      </c>
      <c r="K783" s="264" t="s">
        <v>298</v>
      </c>
      <c r="L783" s="253" t="str">
        <f>IF(ISBLANK('Dry_Litterbag Placem_Collection'!M124),"","R"&amp;""&amp;'Dry_Litterbag Placem_Collection'!M124)</f>
        <v>R388</v>
      </c>
      <c r="M783" s="257">
        <f>IFERROR(INDEX('Green_rooibos initial weight'!$C$5:$C$2000,MATCH(L783, 'Green_rooibos initial weight'!$A$5:$A$2000,0)),"")</f>
        <v>2.2349999999999999</v>
      </c>
      <c r="N783" s="257">
        <f>IFERROR(M783-(TBIcalc!$Q$9+TBIcalc!$Q$10),"")</f>
        <v>1.9851999999999999</v>
      </c>
      <c r="O783" s="378">
        <f>AVERAGE(Ashed_controlls!$K$12:$K$14)</f>
        <v>2.2816647271287041</v>
      </c>
      <c r="P783" s="257">
        <f t="shared" si="61"/>
        <v>1.9399043918370409</v>
      </c>
      <c r="Q783" s="257">
        <f>IFERROR(INDEX('Both teabags AfterDry'!$D$2:$D$2000,MATCH(L783,'Both teabags AfterDry'!$A$2:$A$2000,0)),"")</f>
        <v>1.4536</v>
      </c>
      <c r="R783" s="257">
        <f>IFERROR(IF(Q783&gt;0,Q783-(TBIcalc!$Q$9),""),"")</f>
        <v>1.3029999999999999</v>
      </c>
      <c r="S783" s="268">
        <f>IFERROR(INDEX('Ashed teabags dry'!$K$2:$K$2000,MATCH(L783,'Ashed teabags dry'!$A$2:$A$2000,0)),"")</f>
        <v>14.899853444064959</v>
      </c>
      <c r="T783" s="268">
        <f t="shared" si="62"/>
        <v>1.1088549096238336</v>
      </c>
      <c r="U783" s="258">
        <f>IF('Dry_Litterbag Placem_Collection'!E124="","",'Dry_Litterbag Placem_Collection'!E124)</f>
        <v>42939</v>
      </c>
      <c r="V783" s="258">
        <f>IF('Dry_Litterbag Placem_Collection'!G124="","",'Dry_Litterbag Placem_Collection'!G124)</f>
        <v>43008</v>
      </c>
      <c r="W783" s="259">
        <f t="shared" si="60"/>
        <v>69</v>
      </c>
      <c r="X783" s="257">
        <f t="shared" si="63"/>
        <v>0.68219999999999992</v>
      </c>
      <c r="Y783" s="257">
        <f t="shared" si="64"/>
        <v>0.83104948221320729</v>
      </c>
      <c r="Z783" s="261">
        <f>IFERROR(INDEX([3]Rainfall_Dry!$O$2:$O$217,MATCH(C783, [3]Rainfall_Dry!$A$2:$A$217,0)),"")</f>
        <v>136.27214243</v>
      </c>
      <c r="AA783" s="250">
        <v>17.96</v>
      </c>
      <c r="AB783" s="250">
        <v>4.9199999999999982</v>
      </c>
      <c r="AC783" s="250">
        <v>77.12</v>
      </c>
      <c r="AD783" s="251" t="s">
        <v>2652</v>
      </c>
      <c r="AE783" s="250">
        <v>3.02207984228684</v>
      </c>
      <c r="AF783">
        <f>IF('WetLitterbags placem_collection'!AB124="","",'WetLitterbags placem_collection'!AB124)</f>
        <v>3.1</v>
      </c>
      <c r="AG783">
        <f>IF('WetLitterbags placem_collection'!Z124="","",'WetLitterbags placem_collection'!Z124)</f>
        <v>53</v>
      </c>
      <c r="AH783" s="236" t="str">
        <f>IF('WetLitterbags placem_collection'!AA124="","",'WetLitterbags placem_collection'!AA124)</f>
        <v>G</v>
      </c>
      <c r="AI783">
        <f>IF('WetLitterbags placem_collection'!AC124="","",'WetLitterbags placem_collection'!AC124)</f>
        <v>0</v>
      </c>
      <c r="AJ783">
        <f>IFERROR(AVERAGE('Dry_Litterbag Placem_Collection'!O124,'Dry_Litterbag Placem_Collection'!R124),"")</f>
        <v>9.0500000000000007</v>
      </c>
      <c r="AK783" s="261">
        <f>IFERROR(AVERAGE('Dry_Litterbag Placem_Collection'!N124,'Dry_Litterbag Placem_Collection'!Q124),"")</f>
        <v>28.55</v>
      </c>
      <c r="AL783" s="260">
        <f>INDEX([2]Coordinates!$B$2:$B$197,MATCH(I783,[2]Coordinates!$J$2:$J$197,0))</f>
        <v>-2.34923196</v>
      </c>
      <c r="AM783" s="260">
        <f>INDEX([2]Coordinates!$C$2:$C$197,MATCH(I783,[2]Coordinates!$J$2:$J$197,0))</f>
        <v>34.051422039999999</v>
      </c>
      <c r="AN783" s="260" t="str">
        <f>IF(ISNUMBER(SEARCH("C", 'Dry_Litterbag Placem_Collection'!V124)),"YES","NO")</f>
        <v>NO</v>
      </c>
      <c r="AO783" s="260" t="str">
        <f>IF(ISNUMBER(SEARCH("H", 'Dry_Litterbag Placem_Collection'!V124)),"YES","NO")</f>
        <v>NO</v>
      </c>
      <c r="AP783" s="260" t="str">
        <f>IF(ISNUMBER(SEARCH("R", 'Dry_Litterbag Placem_Collection'!V124)),"YES","NO")</f>
        <v>NO</v>
      </c>
    </row>
    <row r="784" spans="1:42" ht="15" customHeight="1">
      <c r="A784" t="s">
        <v>3248</v>
      </c>
      <c r="B784" s="252" t="s">
        <v>2643</v>
      </c>
      <c r="C784" s="253">
        <f>'Dry_Litterbag Placem_Collection'!A125</f>
        <v>123</v>
      </c>
      <c r="D784" s="253" t="str">
        <f>'Dry_Litterbag Placem_Collection'!B125</f>
        <v xml:space="preserve">Mwantimba
</v>
      </c>
      <c r="E784" s="253" t="s">
        <v>2454</v>
      </c>
      <c r="F784" s="253" t="s">
        <v>2644</v>
      </c>
      <c r="G784" s="253">
        <v>4</v>
      </c>
      <c r="H784" s="253" t="s">
        <v>3120</v>
      </c>
      <c r="I784" s="254" t="str">
        <f>'Dry_Litterbag Placem_Collection'!C125</f>
        <v>Wet_Ag4_T3</v>
      </c>
      <c r="J784" s="263" t="s">
        <v>2932</v>
      </c>
      <c r="K784" s="264" t="s">
        <v>298</v>
      </c>
      <c r="L784" s="253" t="str">
        <f>IF(ISBLANK('Dry_Litterbag Placem_Collection'!M125),"","R"&amp;""&amp;'Dry_Litterbag Placem_Collection'!M125)</f>
        <v>R281</v>
      </c>
      <c r="M784" s="257">
        <f>IFERROR(INDEX('Green_rooibos initial weight'!$C$5:$C$2000,MATCH(L784, 'Green_rooibos initial weight'!$A$5:$A$2000,0)),"")</f>
        <v>2.17</v>
      </c>
      <c r="N784" s="257">
        <f>IFERROR(M784-(TBIcalc!$Q$9+TBIcalc!$Q$10),"")</f>
        <v>1.9201999999999999</v>
      </c>
      <c r="O784" s="378">
        <f>AVERAGE(Ashed_controlls!$K$12:$K$14)</f>
        <v>2.2816647271287041</v>
      </c>
      <c r="P784" s="257">
        <f t="shared" si="61"/>
        <v>1.8763874739096746</v>
      </c>
      <c r="Q784" s="257">
        <f>IFERROR(INDEX('Both teabags AfterDry'!$D$2:$D$2000,MATCH(L784,'Both teabags AfterDry'!$A$2:$A$2000,0)),"")</f>
        <v>1.7361</v>
      </c>
      <c r="R784" s="257">
        <f>IFERROR(IF(Q784&gt;0,Q784-(TBIcalc!$Q$9),""),"")</f>
        <v>1.5854999999999999</v>
      </c>
      <c r="S784" s="268">
        <f>IFERROR(INDEX('Ashed teabags dry'!$K$2:$K$2000,MATCH(L784,'Ashed teabags dry'!$A$2:$A$2000,0)),"")</f>
        <v>4.862385321101006</v>
      </c>
      <c r="T784" s="268">
        <f t="shared" si="62"/>
        <v>1.5084068807339435</v>
      </c>
      <c r="U784" s="258">
        <f>IF('Dry_Litterbag Placem_Collection'!E125="","",'Dry_Litterbag Placem_Collection'!E125)</f>
        <v>42939</v>
      </c>
      <c r="V784" s="258">
        <f>IF('Dry_Litterbag Placem_Collection'!G125="","",'Dry_Litterbag Placem_Collection'!G125)</f>
        <v>43008</v>
      </c>
      <c r="W784" s="259">
        <f t="shared" si="60"/>
        <v>69</v>
      </c>
      <c r="X784" s="257">
        <f t="shared" si="63"/>
        <v>0.3347</v>
      </c>
      <c r="Y784" s="257">
        <f t="shared" si="64"/>
        <v>0.36798059317573117</v>
      </c>
      <c r="Z784" s="261">
        <f>IFERROR(INDEX([3]Rainfall_Dry!$O$2:$O$217,MATCH(C784, [3]Rainfall_Dry!$A$2:$A$217,0)),"")</f>
        <v>136.27214243</v>
      </c>
      <c r="AA784" s="250">
        <v>17.96</v>
      </c>
      <c r="AB784" s="250">
        <v>4.9199999999999982</v>
      </c>
      <c r="AC784" s="250">
        <v>77.12</v>
      </c>
      <c r="AD784" s="251" t="s">
        <v>2652</v>
      </c>
      <c r="AE784" s="250">
        <v>4.02207984228684</v>
      </c>
      <c r="AF784">
        <f>IF('WetLitterbags placem_collection'!AB125="","",'WetLitterbags placem_collection'!AB125)</f>
        <v>3.9</v>
      </c>
      <c r="AG784">
        <f>IF('WetLitterbags placem_collection'!Z125="","",'WetLitterbags placem_collection'!Z125)</f>
        <v>51</v>
      </c>
      <c r="AH784" s="236" t="str">
        <f>IF('WetLitterbags placem_collection'!AA125="","",'WetLitterbags placem_collection'!AA125)</f>
        <v>G</v>
      </c>
      <c r="AI784">
        <f>IF('WetLitterbags placem_collection'!AC125="","",'WetLitterbags placem_collection'!AC125)</f>
        <v>1</v>
      </c>
      <c r="AJ784">
        <f>IFERROR(AVERAGE('Dry_Litterbag Placem_Collection'!O125,'Dry_Litterbag Placem_Collection'!R125),"")</f>
        <v>10.7</v>
      </c>
      <c r="AK784" s="261">
        <f>IFERROR(AVERAGE('Dry_Litterbag Placem_Collection'!N125,'Dry_Litterbag Placem_Collection'!Q125),"")</f>
        <v>27.1</v>
      </c>
      <c r="AL784" s="260">
        <f>INDEX([2]Coordinates!$B$2:$B$197,MATCH(I784,[2]Coordinates!$J$2:$J$197,0))</f>
        <v>-2.3492390009999999</v>
      </c>
      <c r="AM784" s="260">
        <f>INDEX([2]Coordinates!$C$2:$C$197,MATCH(I784,[2]Coordinates!$J$2:$J$197,0))</f>
        <v>34.051304020000003</v>
      </c>
      <c r="AN784" s="260" t="str">
        <f>IF(ISNUMBER(SEARCH("C", 'Dry_Litterbag Placem_Collection'!V125)),"YES","NO")</f>
        <v>NO</v>
      </c>
      <c r="AO784" s="260" t="str">
        <f>IF(ISNUMBER(SEARCH("H", 'Dry_Litterbag Placem_Collection'!V125)),"YES","NO")</f>
        <v>NO</v>
      </c>
      <c r="AP784" s="260" t="str">
        <f>IF(ISNUMBER(SEARCH("R", 'Dry_Litterbag Placem_Collection'!V125)),"YES","NO")</f>
        <v>NO</v>
      </c>
    </row>
    <row r="785" spans="1:42" ht="15" customHeight="1">
      <c r="A785" t="s">
        <v>3248</v>
      </c>
      <c r="B785" s="252" t="s">
        <v>2643</v>
      </c>
      <c r="C785" s="253">
        <f>'Dry_Litterbag Placem_Collection'!A126</f>
        <v>124</v>
      </c>
      <c r="D785" s="253" t="str">
        <f>'Dry_Litterbag Placem_Collection'!B126</f>
        <v xml:space="preserve">Mwantimba
</v>
      </c>
      <c r="E785" s="253" t="s">
        <v>2454</v>
      </c>
      <c r="F785" s="253" t="s">
        <v>2644</v>
      </c>
      <c r="G785" s="253">
        <v>4</v>
      </c>
      <c r="H785" s="253" t="s">
        <v>3120</v>
      </c>
      <c r="I785" s="254" t="str">
        <f>'Dry_Litterbag Placem_Collection'!C126</f>
        <v>Wet_Ag4_T4</v>
      </c>
      <c r="J785" s="263" t="s">
        <v>2932</v>
      </c>
      <c r="K785" s="264" t="s">
        <v>298</v>
      </c>
      <c r="L785" s="253" t="str">
        <f>IF(ISBLANK('Dry_Litterbag Placem_Collection'!M126),"","R"&amp;""&amp;'Dry_Litterbag Placem_Collection'!M126)</f>
        <v>R443</v>
      </c>
      <c r="M785" s="257">
        <f>IFERROR(INDEX('Green_rooibos initial weight'!$C$5:$C$2000,MATCH(L785, 'Green_rooibos initial weight'!$A$5:$A$2000,0)),"")</f>
        <v>2.2149999999999999</v>
      </c>
      <c r="N785" s="257">
        <f>IFERROR(M785-(TBIcalc!$Q$9+TBIcalc!$Q$10),"")</f>
        <v>1.9651999999999998</v>
      </c>
      <c r="O785" s="378">
        <f>AVERAGE(Ashed_controlls!$K$12:$K$14)</f>
        <v>2.2816647271287041</v>
      </c>
      <c r="P785" s="257">
        <f t="shared" si="61"/>
        <v>1.9203607247824666</v>
      </c>
      <c r="Q785" s="257">
        <f>IFERROR(INDEX('Both teabags AfterDry'!$D$2:$D$2000,MATCH(L785,'Both teabags AfterDry'!$A$2:$A$2000,0)),"")</f>
        <v>1.5766</v>
      </c>
      <c r="R785" s="257">
        <f>IFERROR(IF(Q785&gt;0,Q785-(TBIcalc!$Q$9),""),"")</f>
        <v>1.4259999999999999</v>
      </c>
      <c r="S785" s="268">
        <f>IFERROR(INDEX('Ashed teabags dry'!$K$2:$K$2000,MATCH(L785,'Ashed teabags dry'!$A$2:$A$2000,0)),"")</f>
        <v>9.9950024987499955</v>
      </c>
      <c r="T785" s="268">
        <f t="shared" si="62"/>
        <v>1.283471264367825</v>
      </c>
      <c r="U785" s="258">
        <f>IF('Dry_Litterbag Placem_Collection'!E126="","",'Dry_Litterbag Placem_Collection'!E126)</f>
        <v>42939</v>
      </c>
      <c r="V785" s="258">
        <f>IF('Dry_Litterbag Placem_Collection'!G126="","",'Dry_Litterbag Placem_Collection'!G126)</f>
        <v>43008</v>
      </c>
      <c r="W785" s="259">
        <f t="shared" si="60"/>
        <v>69</v>
      </c>
      <c r="X785" s="257">
        <f t="shared" si="63"/>
        <v>0.5391999999999999</v>
      </c>
      <c r="Y785" s="257">
        <f t="shared" si="64"/>
        <v>0.63688946041464156</v>
      </c>
      <c r="Z785" s="261">
        <f>IFERROR(INDEX([3]Rainfall_Dry!$O$2:$O$217,MATCH(C785, [3]Rainfall_Dry!$A$2:$A$217,0)),"")</f>
        <v>136.27214243</v>
      </c>
      <c r="AA785" s="250">
        <v>17.96</v>
      </c>
      <c r="AB785" s="250">
        <v>4.9199999999999982</v>
      </c>
      <c r="AC785" s="250">
        <v>77.12</v>
      </c>
      <c r="AD785" s="251" t="s">
        <v>2652</v>
      </c>
      <c r="AE785" s="250">
        <v>5.02207984228684</v>
      </c>
      <c r="AF785">
        <f>IF('WetLitterbags placem_collection'!AB126="","",'WetLitterbags placem_collection'!AB126)</f>
        <v>5.45</v>
      </c>
      <c r="AG785">
        <f>IF('WetLitterbags placem_collection'!Z126="","",'WetLitterbags placem_collection'!Z126)</f>
        <v>47</v>
      </c>
      <c r="AH785" s="236" t="str">
        <f>IF('WetLitterbags placem_collection'!AA126="","",'WetLitterbags placem_collection'!AA126)</f>
        <v>G</v>
      </c>
      <c r="AI785">
        <f>IF('WetLitterbags placem_collection'!AC126="","",'WetLitterbags placem_collection'!AC126)</f>
        <v>1</v>
      </c>
      <c r="AJ785">
        <f>IFERROR(AVERAGE('Dry_Litterbag Placem_Collection'!O126,'Dry_Litterbag Placem_Collection'!R126),"")</f>
        <v>9.15</v>
      </c>
      <c r="AK785" s="261">
        <f>IFERROR(AVERAGE('Dry_Litterbag Placem_Collection'!N126,'Dry_Litterbag Placem_Collection'!Q126),"")</f>
        <v>28.05</v>
      </c>
      <c r="AL785" s="260">
        <f>INDEX([2]Coordinates!$B$2:$B$197,MATCH(I785,[2]Coordinates!$J$2:$J$197,0))</f>
        <v>-2.3492799889999998</v>
      </c>
      <c r="AM785" s="260">
        <f>INDEX([2]Coordinates!$C$2:$C$197,MATCH(I785,[2]Coordinates!$J$2:$J$197,0))</f>
        <v>34.051280970000001</v>
      </c>
      <c r="AN785" s="260" t="str">
        <f>IF(ISNUMBER(SEARCH("C", 'Dry_Litterbag Placem_Collection'!V126)),"YES","NO")</f>
        <v>NO</v>
      </c>
      <c r="AO785" s="260" t="str">
        <f>IF(ISNUMBER(SEARCH("H", 'Dry_Litterbag Placem_Collection'!V126)),"YES","NO")</f>
        <v>NO</v>
      </c>
      <c r="AP785" s="260" t="str">
        <f>IF(ISNUMBER(SEARCH("R", 'Dry_Litterbag Placem_Collection'!V126)),"YES","NO")</f>
        <v>NO</v>
      </c>
    </row>
    <row r="786" spans="1:42" ht="15" customHeight="1">
      <c r="A786" t="s">
        <v>3248</v>
      </c>
      <c r="B786" s="252" t="s">
        <v>2643</v>
      </c>
      <c r="C786" s="253">
        <f>'Dry_Litterbag Placem_Collection'!A127</f>
        <v>125</v>
      </c>
      <c r="D786" s="253" t="str">
        <f>'Dry_Litterbag Placem_Collection'!B127</f>
        <v xml:space="preserve">Mwantimba
</v>
      </c>
      <c r="E786" s="253" t="s">
        <v>2454</v>
      </c>
      <c r="F786" s="253" t="s">
        <v>2644</v>
      </c>
      <c r="G786" s="253">
        <v>4</v>
      </c>
      <c r="H786" s="253" t="s">
        <v>3120</v>
      </c>
      <c r="I786" s="254" t="str">
        <f>'Dry_Litterbag Placem_Collection'!C127</f>
        <v>Wet_Ag4_T5</v>
      </c>
      <c r="J786" s="263" t="s">
        <v>2932</v>
      </c>
      <c r="K786" s="264" t="s">
        <v>298</v>
      </c>
      <c r="L786" s="253" t="str">
        <f>IF(ISBLANK('Dry_Litterbag Placem_Collection'!M127),"","R"&amp;""&amp;'Dry_Litterbag Placem_Collection'!M127)</f>
        <v>R180</v>
      </c>
      <c r="M786" s="257">
        <f>IFERROR(INDEX('Green_rooibos initial weight'!$C$5:$C$2000,MATCH(L786, 'Green_rooibos initial weight'!$A$5:$A$2000,0)),"")</f>
        <v>2.2010000000000001</v>
      </c>
      <c r="N786" s="257">
        <f>IFERROR(M786-(TBIcalc!$Q$9+TBIcalc!$Q$10),"")</f>
        <v>1.9512</v>
      </c>
      <c r="O786" s="378">
        <f>AVERAGE(Ashed_controlls!$K$12:$K$14)</f>
        <v>2.2816647271287041</v>
      </c>
      <c r="P786" s="257">
        <f t="shared" si="61"/>
        <v>1.9066801578442647</v>
      </c>
      <c r="Q786" s="257">
        <f>IFERROR(INDEX('Both teabags AfterDry'!$D$2:$D$2000,MATCH(L786,'Both teabags AfterDry'!$A$2:$A$2000,0)),"")</f>
        <v>1.595</v>
      </c>
      <c r="R786" s="257">
        <f>IFERROR(IF(Q786&gt;0,Q786-(TBIcalc!$Q$9),""),"")</f>
        <v>1.4443999999999999</v>
      </c>
      <c r="S786" s="268">
        <f>IFERROR(INDEX('Ashed teabags dry'!$K$2:$K$2000,MATCH(L786,'Ashed teabags dry'!$A$2:$A$2000,0)),"")</f>
        <v>5.480093676815204</v>
      </c>
      <c r="T786" s="268">
        <f t="shared" si="62"/>
        <v>1.3652455269320811</v>
      </c>
      <c r="U786" s="258">
        <f>IF('Dry_Litterbag Placem_Collection'!E127="","",'Dry_Litterbag Placem_Collection'!E127)</f>
        <v>42939</v>
      </c>
      <c r="V786" s="258">
        <f>IF('Dry_Litterbag Placem_Collection'!G127="","",'Dry_Litterbag Placem_Collection'!G127)</f>
        <v>43008</v>
      </c>
      <c r="W786" s="259">
        <f t="shared" si="60"/>
        <v>69</v>
      </c>
      <c r="X786" s="257">
        <f t="shared" si="63"/>
        <v>0.50680000000000014</v>
      </c>
      <c r="Y786" s="257">
        <f t="shared" si="64"/>
        <v>0.54143463091218358</v>
      </c>
      <c r="Z786" s="261">
        <f>IFERROR(INDEX([3]Rainfall_Dry!$O$2:$O$217,MATCH(C786, [3]Rainfall_Dry!$A$2:$A$217,0)),"")</f>
        <v>136.27214243</v>
      </c>
      <c r="AA786" s="250">
        <v>17.96</v>
      </c>
      <c r="AB786" s="250">
        <v>4.9199999999999982</v>
      </c>
      <c r="AC786" s="250">
        <v>77.12</v>
      </c>
      <c r="AD786" s="251" t="s">
        <v>2652</v>
      </c>
      <c r="AE786" s="250">
        <v>6.02207984228684</v>
      </c>
      <c r="AF786">
        <f>IF('WetLitterbags placem_collection'!AB127="","",'WetLitterbags placem_collection'!AB127)</f>
        <v>9.3000000000000007</v>
      </c>
      <c r="AG786">
        <f>IF('WetLitterbags placem_collection'!Z127="","",'WetLitterbags placem_collection'!Z127)</f>
        <v>43</v>
      </c>
      <c r="AH786" s="236" t="str">
        <f>IF('WetLitterbags placem_collection'!AA127="","",'WetLitterbags placem_collection'!AA127)</f>
        <v>G</v>
      </c>
      <c r="AI786">
        <f>IF('WetLitterbags placem_collection'!AC127="","",'WetLitterbags placem_collection'!AC127)</f>
        <v>1</v>
      </c>
      <c r="AJ786">
        <f>IFERROR(AVERAGE('Dry_Litterbag Placem_Collection'!O127,'Dry_Litterbag Placem_Collection'!R127),"")</f>
        <v>10.85</v>
      </c>
      <c r="AK786" s="261">
        <f>IFERROR(AVERAGE('Dry_Litterbag Placem_Collection'!N127,'Dry_Litterbag Placem_Collection'!Q127),"")</f>
        <v>28.05</v>
      </c>
      <c r="AL786" s="260">
        <f>INDEX([2]Coordinates!$B$2:$B$197,MATCH(I786,[2]Coordinates!$J$2:$J$197,0))</f>
        <v>-2.3493320400000002</v>
      </c>
      <c r="AM786" s="260">
        <f>INDEX([2]Coordinates!$C$2:$C$197,MATCH(I786,[2]Coordinates!$J$2:$J$197,0))</f>
        <v>34.051321960000003</v>
      </c>
      <c r="AN786" s="260" t="str">
        <f>IF(ISNUMBER(SEARCH("C", 'Dry_Litterbag Placem_Collection'!V127)),"YES","NO")</f>
        <v>NO</v>
      </c>
      <c r="AO786" s="260" t="str">
        <f>IF(ISNUMBER(SEARCH("H", 'Dry_Litterbag Placem_Collection'!V127)),"YES","NO")</f>
        <v>NO</v>
      </c>
      <c r="AP786" s="260" t="str">
        <f>IF(ISNUMBER(SEARCH("R", 'Dry_Litterbag Placem_Collection'!V127)),"YES","NO")</f>
        <v>NO</v>
      </c>
    </row>
    <row r="787" spans="1:42" ht="15" customHeight="1">
      <c r="A787" t="s">
        <v>3248</v>
      </c>
      <c r="B787" s="252" t="s">
        <v>2643</v>
      </c>
      <c r="C787" s="253">
        <f>'Dry_Litterbag Placem_Collection'!A128</f>
        <v>126</v>
      </c>
      <c r="D787" s="253" t="str">
        <f>'Dry_Litterbag Placem_Collection'!B128</f>
        <v xml:space="preserve">Mwantimba
</v>
      </c>
      <c r="E787" s="253" t="s">
        <v>2454</v>
      </c>
      <c r="F787" s="253" t="s">
        <v>2644</v>
      </c>
      <c r="G787" s="253">
        <v>4</v>
      </c>
      <c r="H787" s="253" t="s">
        <v>3120</v>
      </c>
      <c r="I787" s="254" t="str">
        <f>'Dry_Litterbag Placem_Collection'!C128</f>
        <v>Wet_Ag4_T6</v>
      </c>
      <c r="J787" s="263" t="s">
        <v>2932</v>
      </c>
      <c r="K787" s="264" t="s">
        <v>298</v>
      </c>
      <c r="L787" s="253" t="str">
        <f>IF(ISBLANK('Dry_Litterbag Placem_Collection'!M128),"","R"&amp;""&amp;'Dry_Litterbag Placem_Collection'!M128)</f>
        <v/>
      </c>
      <c r="M787" s="257" t="str">
        <f>IFERROR(INDEX('Green_rooibos initial weight'!$C$5:$C$2000,MATCH(L787, 'Green_rooibos initial weight'!$A$5:$A$2000,0)),"")</f>
        <v/>
      </c>
      <c r="N787" s="257" t="str">
        <f>IFERROR(M787-(TBIcalc!$Q$9+TBIcalc!$Q$10),"")</f>
        <v/>
      </c>
      <c r="O787" s="378">
        <f>AVERAGE(Ashed_controlls!$K$12:$K$14)</f>
        <v>2.2816647271287041</v>
      </c>
      <c r="P787" s="257" t="str">
        <f t="shared" si="61"/>
        <v/>
      </c>
      <c r="Q787" s="257" t="str">
        <f>IFERROR(INDEX('Both teabags AfterDry'!$D$2:$D$2000,MATCH(L787,'Both teabags AfterDry'!$A$2:$A$2000,0)),"")</f>
        <v/>
      </c>
      <c r="R787" s="257" t="str">
        <f>IFERROR(IF(Q787&gt;0,Q787-(TBIcalc!$Q$9),""),"")</f>
        <v/>
      </c>
      <c r="S787" s="268" t="str">
        <f>IFERROR(INDEX('Ashed teabags dry'!$K$2:$K$2000,MATCH(L787,'Ashed teabags dry'!$A$2:$A$2000,0)),"")</f>
        <v/>
      </c>
      <c r="T787" s="268" t="str">
        <f t="shared" si="62"/>
        <v/>
      </c>
      <c r="U787" s="258" t="str">
        <f>IF('Dry_Litterbag Placem_Collection'!E128="","",'Dry_Litterbag Placem_Collection'!E128)</f>
        <v/>
      </c>
      <c r="V787" s="258" t="str">
        <f>IF('Dry_Litterbag Placem_Collection'!G128="","",'Dry_Litterbag Placem_Collection'!G128)</f>
        <v/>
      </c>
      <c r="W787" s="259" t="str">
        <f t="shared" si="60"/>
        <v/>
      </c>
      <c r="X787" s="257" t="str">
        <f t="shared" si="63"/>
        <v/>
      </c>
      <c r="Y787" s="257" t="str">
        <f t="shared" si="64"/>
        <v/>
      </c>
      <c r="Z787" s="261" t="str">
        <f>IFERROR(INDEX([3]Rainfall_Dry!$O$2:$O$217,MATCH(C787, [3]Rainfall_Dry!$A$2:$A$217,0)),"")</f>
        <v/>
      </c>
      <c r="AA787" s="250">
        <v>17.96</v>
      </c>
      <c r="AB787" s="250">
        <v>4.9199999999999982</v>
      </c>
      <c r="AC787" s="250">
        <v>77.12</v>
      </c>
      <c r="AD787" s="251" t="s">
        <v>2652</v>
      </c>
      <c r="AE787" s="250">
        <v>7.02207984228684</v>
      </c>
      <c r="AF787">
        <f>IF('WetLitterbags placem_collection'!AB128="","",'WetLitterbags placem_collection'!AB128)</f>
        <v>10.85</v>
      </c>
      <c r="AG787">
        <f>IF('WetLitterbags placem_collection'!Z128="","",'WetLitterbags placem_collection'!Z128)</f>
        <v>40</v>
      </c>
      <c r="AH787" s="236" t="str">
        <f>IF('WetLitterbags placem_collection'!AA128="","",'WetLitterbags placem_collection'!AA128)</f>
        <v>G</v>
      </c>
      <c r="AI787">
        <f>IF('WetLitterbags placem_collection'!AC128="","",'WetLitterbags placem_collection'!AC128)</f>
        <v>1</v>
      </c>
      <c r="AJ787" t="str">
        <f>IFERROR(AVERAGE('Dry_Litterbag Placem_Collection'!O128,'Dry_Litterbag Placem_Collection'!R128),"")</f>
        <v/>
      </c>
      <c r="AK787" s="261" t="str">
        <f>IFERROR(AVERAGE('Dry_Litterbag Placem_Collection'!N128,'Dry_Litterbag Placem_Collection'!Q128),"")</f>
        <v/>
      </c>
      <c r="AL787" s="260">
        <f>INDEX([2]Coordinates!$B$2:$B$197,MATCH(I787,[2]Coordinates!$J$2:$J$197,0))</f>
        <v>-2.3493509829999999</v>
      </c>
      <c r="AM787" s="260">
        <f>INDEX([2]Coordinates!$C$2:$C$197,MATCH(I787,[2]Coordinates!$J$2:$J$197,0))</f>
        <v>34.051332019999997</v>
      </c>
      <c r="AN787" s="260" t="str">
        <f>IF(ISNUMBER(SEARCH("C", 'Dry_Litterbag Placem_Collection'!V128)),"YES","NO")</f>
        <v>NO</v>
      </c>
      <c r="AO787" s="260" t="str">
        <f>IF(ISNUMBER(SEARCH("H", 'Dry_Litterbag Placem_Collection'!V128)),"YES","NO")</f>
        <v>NO</v>
      </c>
      <c r="AP787" s="260" t="str">
        <f>IF(ISNUMBER(SEARCH("R", 'Dry_Litterbag Placem_Collection'!V128)),"YES","NO")</f>
        <v>NO</v>
      </c>
    </row>
    <row r="788" spans="1:42" ht="15" customHeight="1">
      <c r="A788" t="s">
        <v>3248</v>
      </c>
      <c r="B788" s="252" t="s">
        <v>2643</v>
      </c>
      <c r="C788" s="253">
        <f>'Dry_Litterbag Placem_Collection'!A129</f>
        <v>127</v>
      </c>
      <c r="D788" s="253" t="str">
        <f>'Dry_Litterbag Placem_Collection'!B129</f>
        <v xml:space="preserve">Mwantimba
</v>
      </c>
      <c r="E788" s="253" t="s">
        <v>2454</v>
      </c>
      <c r="F788" s="253" t="s">
        <v>2644</v>
      </c>
      <c r="G788" s="253">
        <v>4</v>
      </c>
      <c r="H788" s="253" t="s">
        <v>3120</v>
      </c>
      <c r="I788" s="254" t="str">
        <f>'Dry_Litterbag Placem_Collection'!C129</f>
        <v>Wet_Ag4_T7</v>
      </c>
      <c r="J788" s="263" t="s">
        <v>2932</v>
      </c>
      <c r="K788" s="264" t="s">
        <v>298</v>
      </c>
      <c r="L788" s="253" t="str">
        <f>IF(ISBLANK('Dry_Litterbag Placem_Collection'!M129),"","R"&amp;""&amp;'Dry_Litterbag Placem_Collection'!M129)</f>
        <v>R229</v>
      </c>
      <c r="M788" s="257">
        <f>IFERROR(INDEX('Green_rooibos initial weight'!$C$5:$C$2000,MATCH(L788, 'Green_rooibos initial weight'!$A$5:$A$2000,0)),"")</f>
        <v>2.2530000000000001</v>
      </c>
      <c r="N788" s="257">
        <f>IFERROR(M788-(TBIcalc!$Q$9+TBIcalc!$Q$10),"")</f>
        <v>2.0032000000000001</v>
      </c>
      <c r="O788" s="378">
        <f>AVERAGE(Ashed_controlls!$K$12:$K$14)</f>
        <v>2.2816647271287041</v>
      </c>
      <c r="P788" s="257">
        <f t="shared" si="61"/>
        <v>1.9574936921861579</v>
      </c>
      <c r="Q788" s="257">
        <f>IFERROR(INDEX('Both teabags AfterDry'!$D$2:$D$2000,MATCH(L788,'Both teabags AfterDry'!$A$2:$A$2000,0)),"")</f>
        <v>1.5876999999999999</v>
      </c>
      <c r="R788" s="257">
        <f>IFERROR(IF(Q788&gt;0,Q788-(TBIcalc!$Q$9),""),"")</f>
        <v>1.4370999999999998</v>
      </c>
      <c r="S788" s="268">
        <f>IFERROR(INDEX('Ashed teabags dry'!$K$2:$K$2000,MATCH(L788,'Ashed teabags dry'!$A$2:$A$2000,0)),"")</f>
        <v>6.6340160284944094</v>
      </c>
      <c r="T788" s="268">
        <f t="shared" si="62"/>
        <v>1.3417625556545068</v>
      </c>
      <c r="U788" s="258">
        <f>IF('Dry_Litterbag Placem_Collection'!E129="","",'Dry_Litterbag Placem_Collection'!E129)</f>
        <v>42939</v>
      </c>
      <c r="V788" s="258">
        <f>IF('Dry_Litterbag Placem_Collection'!G129="","",'Dry_Litterbag Placem_Collection'!G129)</f>
        <v>43008</v>
      </c>
      <c r="W788" s="259">
        <f t="shared" si="60"/>
        <v>69</v>
      </c>
      <c r="X788" s="257">
        <f t="shared" si="63"/>
        <v>0.56610000000000027</v>
      </c>
      <c r="Y788" s="257">
        <f t="shared" si="64"/>
        <v>0.61573113653165112</v>
      </c>
      <c r="Z788" s="261">
        <f>IFERROR(INDEX([3]Rainfall_Dry!$O$2:$O$217,MATCH(C788, [3]Rainfall_Dry!$A$2:$A$217,0)),"")</f>
        <v>136.27214243</v>
      </c>
      <c r="AA788" s="250">
        <v>17.96</v>
      </c>
      <c r="AB788" s="250">
        <v>4.9199999999999982</v>
      </c>
      <c r="AC788" s="250">
        <v>77.12</v>
      </c>
      <c r="AD788" s="251" t="s">
        <v>2652</v>
      </c>
      <c r="AE788" s="250">
        <v>8.0220798422868391</v>
      </c>
      <c r="AF788">
        <f>IF('WetLitterbags placem_collection'!AB129="","",'WetLitterbags placem_collection'!AB129)</f>
        <v>5.35</v>
      </c>
      <c r="AG788">
        <f>IF('WetLitterbags placem_collection'!Z129="","",'WetLitterbags placem_collection'!Z129)</f>
        <v>58</v>
      </c>
      <c r="AH788" s="236" t="str">
        <f>IF('WetLitterbags placem_collection'!AA129="","",'WetLitterbags placem_collection'!AA129)</f>
        <v>G</v>
      </c>
      <c r="AI788">
        <f>IF('WetLitterbags placem_collection'!AC129="","",'WetLitterbags placem_collection'!AC129)</f>
        <v>1</v>
      </c>
      <c r="AJ788">
        <f>IFERROR(AVERAGE('Dry_Litterbag Placem_Collection'!O129,'Dry_Litterbag Placem_Collection'!R129),"")</f>
        <v>9.6999999999999993</v>
      </c>
      <c r="AK788" s="261">
        <f>IFERROR(AVERAGE('Dry_Litterbag Placem_Collection'!N129,'Dry_Litterbag Placem_Collection'!Q129),"")</f>
        <v>28.1</v>
      </c>
      <c r="AL788" s="260">
        <f>INDEX([2]Coordinates!$B$2:$B$197,MATCH(I788,[2]Coordinates!$J$2:$J$197,0))</f>
        <v>-2.3491850219999999</v>
      </c>
      <c r="AM788" s="260">
        <f>INDEX([2]Coordinates!$C$2:$C$197,MATCH(I788,[2]Coordinates!$J$2:$J$197,0))</f>
        <v>34.051264959999997</v>
      </c>
      <c r="AN788" s="260" t="str">
        <f>IF(ISNUMBER(SEARCH("C", 'Dry_Litterbag Placem_Collection'!V129)),"YES","NO")</f>
        <v>NO</v>
      </c>
      <c r="AO788" s="260" t="str">
        <f>IF(ISNUMBER(SEARCH("H", 'Dry_Litterbag Placem_Collection'!V129)),"YES","NO")</f>
        <v>NO</v>
      </c>
      <c r="AP788" s="260" t="str">
        <f>IF(ISNUMBER(SEARCH("R", 'Dry_Litterbag Placem_Collection'!V129)),"YES","NO")</f>
        <v>NO</v>
      </c>
    </row>
    <row r="789" spans="1:42" ht="15" customHeight="1">
      <c r="A789" t="s">
        <v>3248</v>
      </c>
      <c r="B789" s="252" t="s">
        <v>2643</v>
      </c>
      <c r="C789" s="253">
        <f>'Dry_Litterbag Placem_Collection'!A130</f>
        <v>128</v>
      </c>
      <c r="D789" s="253" t="str">
        <f>'Dry_Litterbag Placem_Collection'!B130</f>
        <v xml:space="preserve">Mwantimba
</v>
      </c>
      <c r="E789" s="253" t="s">
        <v>2454</v>
      </c>
      <c r="F789" s="253" t="s">
        <v>2644</v>
      </c>
      <c r="G789" s="253">
        <v>4</v>
      </c>
      <c r="H789" s="253" t="s">
        <v>3120</v>
      </c>
      <c r="I789" s="254" t="str">
        <f>'Dry_Litterbag Placem_Collection'!C130</f>
        <v>Wet_Ag4_T8</v>
      </c>
      <c r="J789" s="263" t="s">
        <v>2932</v>
      </c>
      <c r="K789" s="264" t="s">
        <v>298</v>
      </c>
      <c r="L789" s="253" t="str">
        <f>IF(ISBLANK('Dry_Litterbag Placem_Collection'!M130),"","R"&amp;""&amp;'Dry_Litterbag Placem_Collection'!M130)</f>
        <v>R272</v>
      </c>
      <c r="M789" s="257">
        <f>IFERROR(INDEX('Green_rooibos initial weight'!$C$5:$C$2000,MATCH(L789, 'Green_rooibos initial weight'!$A$5:$A$2000,0)),"")</f>
        <v>2.2999999999999998</v>
      </c>
      <c r="N789" s="257">
        <f>IFERROR(M789-(TBIcalc!$Q$9+TBIcalc!$Q$10),"")</f>
        <v>2.0501999999999998</v>
      </c>
      <c r="O789" s="378">
        <f>AVERAGE(Ashed_controlls!$K$12:$K$14)</f>
        <v>2.2816647271287041</v>
      </c>
      <c r="P789" s="257">
        <f t="shared" si="61"/>
        <v>2.0034213097644069</v>
      </c>
      <c r="Q789" s="257">
        <f>IFERROR(INDEX('Both teabags AfterDry'!$D$2:$D$2000,MATCH(L789,'Both teabags AfterDry'!$A$2:$A$2000,0)),"")</f>
        <v>1.6163000000000001</v>
      </c>
      <c r="R789" s="257">
        <f>IFERROR(IF(Q789&gt;0,Q789-(TBIcalc!$Q$9),""),"")</f>
        <v>1.4657</v>
      </c>
      <c r="S789" s="268">
        <f>IFERROR(INDEX('Ashed teabags dry'!$K$2:$K$2000,MATCH(L789,'Ashed teabags dry'!$A$2:$A$2000,0)),"")</f>
        <v>8.0924855491328049</v>
      </c>
      <c r="T789" s="268">
        <f t="shared" si="62"/>
        <v>1.3470884393063605</v>
      </c>
      <c r="U789" s="258">
        <f>IF('Dry_Litterbag Placem_Collection'!E130="","",'Dry_Litterbag Placem_Collection'!E130)</f>
        <v>42939</v>
      </c>
      <c r="V789" s="258">
        <f>IF('Dry_Litterbag Placem_Collection'!G130="","",'Dry_Litterbag Placem_Collection'!G130)</f>
        <v>43008</v>
      </c>
      <c r="W789" s="259">
        <f t="shared" si="60"/>
        <v>69</v>
      </c>
      <c r="X789" s="257">
        <f t="shared" si="63"/>
        <v>0.5844999999999998</v>
      </c>
      <c r="Y789" s="257">
        <f t="shared" si="64"/>
        <v>0.65633287045804645</v>
      </c>
      <c r="Z789" s="261">
        <f>IFERROR(INDEX([3]Rainfall_Dry!$O$2:$O$217,MATCH(C789, [3]Rainfall_Dry!$A$2:$A$217,0)),"")</f>
        <v>136.27214243</v>
      </c>
      <c r="AA789" s="250">
        <v>17.96</v>
      </c>
      <c r="AB789" s="250">
        <v>4.9199999999999982</v>
      </c>
      <c r="AC789" s="250">
        <v>77.12</v>
      </c>
      <c r="AD789" s="251" t="s">
        <v>2652</v>
      </c>
      <c r="AE789" s="250">
        <v>9.0220798422868391</v>
      </c>
      <c r="AF789">
        <f>IF('WetLitterbags placem_collection'!AB130="","",'WetLitterbags placem_collection'!AB130)</f>
        <v>10.9</v>
      </c>
      <c r="AG789">
        <f>IF('WetLitterbags placem_collection'!Z130="","",'WetLitterbags placem_collection'!Z130)</f>
        <v>44</v>
      </c>
      <c r="AH789" s="236" t="str">
        <f>IF('WetLitterbags placem_collection'!AA130="","",'WetLitterbags placem_collection'!AA130)</f>
        <v>G</v>
      </c>
      <c r="AI789">
        <f>IF('WetLitterbags placem_collection'!AC130="","",'WetLitterbags placem_collection'!AC130)</f>
        <v>0</v>
      </c>
      <c r="AJ789">
        <f>IFERROR(AVERAGE('Dry_Litterbag Placem_Collection'!O130,'Dry_Litterbag Placem_Collection'!R130),"")</f>
        <v>8.4499999999999993</v>
      </c>
      <c r="AK789" s="261">
        <f>IFERROR(AVERAGE('Dry_Litterbag Placem_Collection'!N130,'Dry_Litterbag Placem_Collection'!Q130),"")</f>
        <v>28.4</v>
      </c>
      <c r="AL789" s="260">
        <f>INDEX([2]Coordinates!$B$2:$B$197,MATCH(I789,[2]Coordinates!$J$2:$J$197,0))</f>
        <v>-2.3493099960000001</v>
      </c>
      <c r="AM789" s="260">
        <f>INDEX([2]Coordinates!$C$2:$C$197,MATCH(I789,[2]Coordinates!$J$2:$J$197,0))</f>
        <v>34.05141802</v>
      </c>
      <c r="AN789" s="260" t="str">
        <f>IF(ISNUMBER(SEARCH("C", 'Dry_Litterbag Placem_Collection'!V130)),"YES","NO")</f>
        <v>NO</v>
      </c>
      <c r="AO789" s="260" t="str">
        <f>IF(ISNUMBER(SEARCH("H", 'Dry_Litterbag Placem_Collection'!V130)),"YES","NO")</f>
        <v>NO</v>
      </c>
      <c r="AP789" s="260" t="str">
        <f>IF(ISNUMBER(SEARCH("R", 'Dry_Litterbag Placem_Collection'!V130)),"YES","NO")</f>
        <v>NO</v>
      </c>
    </row>
    <row r="790" spans="1:42" ht="15" customHeight="1">
      <c r="A790" t="s">
        <v>3248</v>
      </c>
      <c r="B790" s="252" t="s">
        <v>2643</v>
      </c>
      <c r="C790" s="253">
        <f>'Dry_Litterbag Placem_Collection'!A131</f>
        <v>129</v>
      </c>
      <c r="D790" s="253" t="str">
        <f>'Dry_Litterbag Placem_Collection'!B131</f>
        <v xml:space="preserve">Mwantimba
</v>
      </c>
      <c r="E790" s="253" t="s">
        <v>2454</v>
      </c>
      <c r="F790" s="253" t="s">
        <v>20</v>
      </c>
      <c r="G790" s="253">
        <v>1</v>
      </c>
      <c r="H790" s="253" t="s">
        <v>3121</v>
      </c>
      <c r="I790" s="254" t="str">
        <f>'Dry_Litterbag Placem_Collection'!C131</f>
        <v>Wet_P1_T1</v>
      </c>
      <c r="J790" s="263" t="s">
        <v>2932</v>
      </c>
      <c r="K790" s="264" t="s">
        <v>298</v>
      </c>
      <c r="L790" s="253" t="str">
        <f>IF(ISBLANK('Dry_Litterbag Placem_Collection'!M131),"","R"&amp;""&amp;'Dry_Litterbag Placem_Collection'!M131)</f>
        <v>R207</v>
      </c>
      <c r="M790" s="257">
        <f>IFERROR(INDEX('Green_rooibos initial weight'!$C$5:$C$2000,MATCH(L790, 'Green_rooibos initial weight'!$A$5:$A$2000,0)),"")</f>
        <v>2.1800000000000002</v>
      </c>
      <c r="N790" s="257">
        <f>IFERROR(M790-(TBIcalc!$Q$9+TBIcalc!$Q$10),"")</f>
        <v>1.9302000000000001</v>
      </c>
      <c r="O790" s="378">
        <f>AVERAGE(Ashed_controlls!$K$12:$K$14)</f>
        <v>2.2816647271287041</v>
      </c>
      <c r="P790" s="257">
        <f t="shared" si="61"/>
        <v>1.8861593074369618</v>
      </c>
      <c r="Q790" s="257">
        <f>IFERROR(INDEX('Both teabags AfterDry'!$D$2:$D$2000,MATCH(L790,'Both teabags AfterDry'!$A$2:$A$2000,0)),"")</f>
        <v>1.6962999999999999</v>
      </c>
      <c r="R790" s="257">
        <f>IFERROR(IF(Q790&gt;0,Q790-(TBIcalc!$Q$9),""),"")</f>
        <v>1.5456999999999999</v>
      </c>
      <c r="S790" s="268">
        <f>IFERROR(INDEX('Ashed teabags dry'!$K$2:$K$2000,MATCH(L790,'Ashed teabags dry'!$A$2:$A$2000,0)),"")</f>
        <v>6.3134657836639967</v>
      </c>
      <c r="T790" s="268">
        <f t="shared" si="62"/>
        <v>1.4481127593819054</v>
      </c>
      <c r="U790" s="258">
        <f>IF('Dry_Litterbag Placem_Collection'!E131="","",'Dry_Litterbag Placem_Collection'!E131)</f>
        <v>42939</v>
      </c>
      <c r="V790" s="258">
        <f>IF('Dry_Litterbag Placem_Collection'!G131="","",'Dry_Litterbag Placem_Collection'!G131)</f>
        <v>43008</v>
      </c>
      <c r="W790" s="259">
        <f t="shared" si="60"/>
        <v>69</v>
      </c>
      <c r="X790" s="257">
        <f t="shared" si="63"/>
        <v>0.38450000000000029</v>
      </c>
      <c r="Y790" s="257">
        <f t="shared" si="64"/>
        <v>0.43804654805505638</v>
      </c>
      <c r="Z790" s="261">
        <f>IFERROR(INDEX([3]Rainfall_Dry!$O$2:$O$217,MATCH(C790, [3]Rainfall_Dry!$A$2:$A$217,0)),"")</f>
        <v>136.27214243</v>
      </c>
      <c r="AA790" s="250">
        <v>31.214836424255054</v>
      </c>
      <c r="AB790" s="250">
        <v>11.377370285476141</v>
      </c>
      <c r="AC790" s="250">
        <v>57.407793290268799</v>
      </c>
      <c r="AD790" s="251" t="s">
        <v>2651</v>
      </c>
      <c r="AE790" s="250">
        <v>1.7337604731394776</v>
      </c>
      <c r="AF790">
        <f>IF('WetLitterbags placem_collection'!AB131="","",'WetLitterbags placem_collection'!AB131)</f>
        <v>2.4</v>
      </c>
      <c r="AG790">
        <f>IF('WetLitterbags placem_collection'!Z131="","",'WetLitterbags placem_collection'!Z131)</f>
        <v>2.4</v>
      </c>
      <c r="AH790" s="236" t="str">
        <f>IF('WetLitterbags placem_collection'!AA131="","",'WetLitterbags placem_collection'!AA131)</f>
        <v>O</v>
      </c>
      <c r="AI790">
        <f>IF('WetLitterbags placem_collection'!AC131="","",'WetLitterbags placem_collection'!AC131)</f>
        <v>1</v>
      </c>
      <c r="AJ790">
        <f>IFERROR(AVERAGE('Dry_Litterbag Placem_Collection'!O131,'Dry_Litterbag Placem_Collection'!R131),"")</f>
        <v>11.8</v>
      </c>
      <c r="AK790" s="261">
        <f>IFERROR(AVERAGE('Dry_Litterbag Placem_Collection'!N131,'Dry_Litterbag Placem_Collection'!Q131),"")</f>
        <v>29.05</v>
      </c>
      <c r="AL790" s="260">
        <f>INDEX([2]Coordinates!$B$2:$B$197,MATCH(I790,[2]Coordinates!$J$2:$J$197,0))</f>
        <v>-2.3503360249999998</v>
      </c>
      <c r="AM790" s="260">
        <f>INDEX([2]Coordinates!$C$2:$C$197,MATCH(I790,[2]Coordinates!$J$2:$J$197,0))</f>
        <v>34.049662009999999</v>
      </c>
      <c r="AN790" s="260" t="str">
        <f>IF(ISNUMBER(SEARCH("C", 'Dry_Litterbag Placem_Collection'!V131)),"YES","NO")</f>
        <v>NO</v>
      </c>
      <c r="AO790" s="260" t="str">
        <f>IF(ISNUMBER(SEARCH("H", 'Dry_Litterbag Placem_Collection'!V131)),"YES","NO")</f>
        <v>NO</v>
      </c>
      <c r="AP790" s="260" t="str">
        <f>IF(ISNUMBER(SEARCH("R", 'Dry_Litterbag Placem_Collection'!V131)),"YES","NO")</f>
        <v>NO</v>
      </c>
    </row>
    <row r="791" spans="1:42" ht="15" customHeight="1">
      <c r="A791" t="s">
        <v>3248</v>
      </c>
      <c r="B791" s="252" t="s">
        <v>2643</v>
      </c>
      <c r="C791" s="253">
        <f>'Dry_Litterbag Placem_Collection'!A132</f>
        <v>130</v>
      </c>
      <c r="D791" s="253" t="str">
        <f>'Dry_Litterbag Placem_Collection'!B132</f>
        <v xml:space="preserve">Mwantimba
</v>
      </c>
      <c r="E791" s="253" t="s">
        <v>2454</v>
      </c>
      <c r="F791" s="253" t="s">
        <v>20</v>
      </c>
      <c r="G791" s="253">
        <v>1</v>
      </c>
      <c r="H791" s="253" t="s">
        <v>3121</v>
      </c>
      <c r="I791" s="254" t="str">
        <f>'Dry_Litterbag Placem_Collection'!C132</f>
        <v>Wet_P1_T2</v>
      </c>
      <c r="J791" s="263" t="s">
        <v>2932</v>
      </c>
      <c r="K791" s="264" t="s">
        <v>298</v>
      </c>
      <c r="L791" s="253" t="str">
        <f>IF(ISBLANK('Dry_Litterbag Placem_Collection'!M132),"","R"&amp;""&amp;'Dry_Litterbag Placem_Collection'!M132)</f>
        <v>R193</v>
      </c>
      <c r="M791" s="257">
        <f>IFERROR(INDEX('Green_rooibos initial weight'!$C$5:$C$2000,MATCH(L791, 'Green_rooibos initial weight'!$A$5:$A$2000,0)),"")</f>
        <v>2.198</v>
      </c>
      <c r="N791" s="257">
        <f>IFERROR(M791-(TBIcalc!$Q$9+TBIcalc!$Q$10),"")</f>
        <v>1.9481999999999999</v>
      </c>
      <c r="O791" s="378">
        <f>AVERAGE(Ashed_controlls!$K$12:$K$14)</f>
        <v>2.2816647271287041</v>
      </c>
      <c r="P791" s="257">
        <f t="shared" si="61"/>
        <v>1.9037486077860786</v>
      </c>
      <c r="Q791" s="257">
        <f>IFERROR(INDEX('Both teabags AfterDry'!$D$2:$D$2000,MATCH(L791,'Both teabags AfterDry'!$A$2:$A$2000,0)),"")</f>
        <v>1.7978000000000001</v>
      </c>
      <c r="R791" s="257">
        <f>IFERROR(IF(Q791&gt;0,Q791-(TBIcalc!$Q$9),""),"")</f>
        <v>1.6472</v>
      </c>
      <c r="S791" s="268">
        <f>IFERROR(INDEX('Ashed teabags dry'!$K$2:$K$2000,MATCH(L791,'Ashed teabags dry'!$A$2:$A$2000,0)),"")</f>
        <v>7.9980610761027835</v>
      </c>
      <c r="T791" s="268">
        <f t="shared" si="62"/>
        <v>1.515455937954435</v>
      </c>
      <c r="U791" s="258">
        <f>IF('Dry_Litterbag Placem_Collection'!E132="","",'Dry_Litterbag Placem_Collection'!E132)</f>
        <v>42939</v>
      </c>
      <c r="V791" s="258">
        <f>IF('Dry_Litterbag Placem_Collection'!G132="","",'Dry_Litterbag Placem_Collection'!G132)</f>
        <v>43008</v>
      </c>
      <c r="W791" s="259">
        <f t="shared" si="60"/>
        <v>69</v>
      </c>
      <c r="X791" s="257">
        <f t="shared" si="63"/>
        <v>0.30099999999999993</v>
      </c>
      <c r="Y791" s="257">
        <f t="shared" si="64"/>
        <v>0.38829266983164357</v>
      </c>
      <c r="Z791" s="261">
        <f>IFERROR(INDEX([3]Rainfall_Dry!$O$2:$O$217,MATCH(C791, [3]Rainfall_Dry!$A$2:$A$217,0)),"")</f>
        <v>136.27214243</v>
      </c>
      <c r="AA791" s="250">
        <v>31.214836424255054</v>
      </c>
      <c r="AB791" s="250">
        <v>11.377370285476141</v>
      </c>
      <c r="AC791" s="250">
        <v>57.407793290268799</v>
      </c>
      <c r="AD791" s="251" t="s">
        <v>2651</v>
      </c>
      <c r="AE791" s="250">
        <v>2.7337604731394798</v>
      </c>
      <c r="AF791">
        <f>IF('WetLitterbags placem_collection'!AB132="","",'WetLitterbags placem_collection'!AB132)</f>
        <v>2.1</v>
      </c>
      <c r="AG791">
        <f>IF('WetLitterbags placem_collection'!Z132="","",'WetLitterbags placem_collection'!Z132)</f>
        <v>3.5</v>
      </c>
      <c r="AH791" s="236" t="str">
        <f>IF('WetLitterbags placem_collection'!AA132="","",'WetLitterbags placem_collection'!AA132)</f>
        <v>O</v>
      </c>
      <c r="AI791">
        <f>IF('WetLitterbags placem_collection'!AC132="","",'WetLitterbags placem_collection'!AC132)</f>
        <v>0</v>
      </c>
      <c r="AJ791">
        <f>IFERROR(AVERAGE('Dry_Litterbag Placem_Collection'!O132,'Dry_Litterbag Placem_Collection'!R132),"")</f>
        <v>8.9499999999999993</v>
      </c>
      <c r="AK791" s="261">
        <f>IFERROR(AVERAGE('Dry_Litterbag Placem_Collection'!N132,'Dry_Litterbag Placem_Collection'!Q132),"")</f>
        <v>28.55</v>
      </c>
      <c r="AL791" s="260">
        <f>INDEX([2]Coordinates!$B$2:$B$197,MATCH(I791,[2]Coordinates!$J$2:$J$197,0))</f>
        <v>-2.3503729889999998</v>
      </c>
      <c r="AM791" s="260">
        <f>INDEX([2]Coordinates!$C$2:$C$197,MATCH(I791,[2]Coordinates!$J$2:$J$197,0))</f>
        <v>34.049626969999998</v>
      </c>
      <c r="AN791" s="260" t="str">
        <f>IF(ISNUMBER(SEARCH("C", 'Dry_Litterbag Placem_Collection'!V132)),"YES","NO")</f>
        <v>NO</v>
      </c>
      <c r="AO791" s="260" t="str">
        <f>IF(ISNUMBER(SEARCH("H", 'Dry_Litterbag Placem_Collection'!V132)),"YES","NO")</f>
        <v>NO</v>
      </c>
      <c r="AP791" s="260" t="str">
        <f>IF(ISNUMBER(SEARCH("R", 'Dry_Litterbag Placem_Collection'!V132)),"YES","NO")</f>
        <v>NO</v>
      </c>
    </row>
    <row r="792" spans="1:42" ht="15" customHeight="1">
      <c r="A792" t="s">
        <v>3248</v>
      </c>
      <c r="B792" s="252" t="s">
        <v>2643</v>
      </c>
      <c r="C792" s="253">
        <f>'Dry_Litterbag Placem_Collection'!A133</f>
        <v>131</v>
      </c>
      <c r="D792" s="253" t="str">
        <f>'Dry_Litterbag Placem_Collection'!B133</f>
        <v xml:space="preserve">Mwantimba
</v>
      </c>
      <c r="E792" s="253" t="s">
        <v>2454</v>
      </c>
      <c r="F792" s="253" t="s">
        <v>20</v>
      </c>
      <c r="G792" s="253">
        <v>1</v>
      </c>
      <c r="H792" s="253" t="s">
        <v>3121</v>
      </c>
      <c r="I792" s="254" t="str">
        <f>'Dry_Litterbag Placem_Collection'!C133</f>
        <v>Wet_P1_T3</v>
      </c>
      <c r="J792" s="263" t="s">
        <v>2932</v>
      </c>
      <c r="K792" s="264" t="s">
        <v>298</v>
      </c>
      <c r="L792" s="253" t="str">
        <f>IF(ISBLANK('Dry_Litterbag Placem_Collection'!M133),"","R"&amp;""&amp;'Dry_Litterbag Placem_Collection'!M133)</f>
        <v>R188</v>
      </c>
      <c r="M792" s="257">
        <f>IFERROR(INDEX('Green_rooibos initial weight'!$C$5:$C$2000,MATCH(L792, 'Green_rooibos initial weight'!$A$5:$A$2000,0)),"")</f>
        <v>2.2440000000000002</v>
      </c>
      <c r="N792" s="257">
        <f>IFERROR(M792-(TBIcalc!$Q$9+TBIcalc!$Q$10),"")</f>
        <v>1.9942000000000002</v>
      </c>
      <c r="O792" s="378">
        <f>AVERAGE(Ashed_controlls!$K$12:$K$14)</f>
        <v>2.2816647271287041</v>
      </c>
      <c r="P792" s="257">
        <f t="shared" si="61"/>
        <v>1.9486990420115995</v>
      </c>
      <c r="Q792" s="257">
        <f>IFERROR(INDEX('Both teabags AfterDry'!$D$2:$D$2000,MATCH(L792,'Both teabags AfterDry'!$A$2:$A$2000,0)),"")</f>
        <v>1.7876000000000001</v>
      </c>
      <c r="R792" s="257">
        <f>IFERROR(IF(Q792&gt;0,Q792-(TBIcalc!$Q$9),""),"")</f>
        <v>1.637</v>
      </c>
      <c r="S792" s="268">
        <f>IFERROR(INDEX('Ashed teabags dry'!$K$2:$K$2000,MATCH(L792,'Ashed teabags dry'!$A$2:$A$2000,0)),"")</f>
        <v>4.3834296724473862</v>
      </c>
      <c r="T792" s="268">
        <f t="shared" si="62"/>
        <v>1.5652432562620362</v>
      </c>
      <c r="U792" s="258">
        <f>IF('Dry_Litterbag Placem_Collection'!E133="","",'Dry_Litterbag Placem_Collection'!E133)</f>
        <v>42939</v>
      </c>
      <c r="V792" s="258">
        <f>IF('Dry_Litterbag Placem_Collection'!G133="","",'Dry_Litterbag Placem_Collection'!G133)</f>
        <v>43008</v>
      </c>
      <c r="W792" s="259">
        <f t="shared" si="60"/>
        <v>69</v>
      </c>
      <c r="X792" s="257">
        <f t="shared" si="63"/>
        <v>0.35720000000000018</v>
      </c>
      <c r="Y792" s="257">
        <f t="shared" si="64"/>
        <v>0.38345578574956329</v>
      </c>
      <c r="Z792" s="261">
        <f>IFERROR(INDEX([3]Rainfall_Dry!$O$2:$O$217,MATCH(C792, [3]Rainfall_Dry!$A$2:$A$217,0)),"")</f>
        <v>136.27214243</v>
      </c>
      <c r="AA792" s="250">
        <v>31.214836424255054</v>
      </c>
      <c r="AB792" s="250">
        <v>11.377370285476141</v>
      </c>
      <c r="AC792" s="250">
        <v>57.407793290268799</v>
      </c>
      <c r="AD792" s="251" t="s">
        <v>2651</v>
      </c>
      <c r="AE792" s="250">
        <v>3.7337604731394798</v>
      </c>
      <c r="AF792">
        <f>IF('WetLitterbags placem_collection'!AB133="","",'WetLitterbags placem_collection'!AB133)</f>
        <v>4.5</v>
      </c>
      <c r="AG792">
        <f>IF('WetLitterbags placem_collection'!Z133="","",'WetLitterbags placem_collection'!Z133)</f>
        <v>7.5</v>
      </c>
      <c r="AH792" s="236" t="str">
        <f>IF('WetLitterbags placem_collection'!AA133="","",'WetLitterbags placem_collection'!AA133)</f>
        <v>O</v>
      </c>
      <c r="AI792">
        <f>IF('WetLitterbags placem_collection'!AC133="","",'WetLitterbags placem_collection'!AC133)</f>
        <v>0</v>
      </c>
      <c r="AJ792">
        <f>IFERROR(AVERAGE('Dry_Litterbag Placem_Collection'!O133,'Dry_Litterbag Placem_Collection'!R133),"")</f>
        <v>8.9499999999999993</v>
      </c>
      <c r="AK792" s="261">
        <f>IFERROR(AVERAGE('Dry_Litterbag Placem_Collection'!N133,'Dry_Litterbag Placem_Collection'!Q133),"")</f>
        <v>28.6</v>
      </c>
      <c r="AL792" s="260">
        <f>INDEX([2]Coordinates!$B$2:$B$197,MATCH(I792,[2]Coordinates!$J$2:$J$197,0))</f>
        <v>-2.3503259660000002</v>
      </c>
      <c r="AM792" s="260">
        <f>INDEX([2]Coordinates!$C$2:$C$197,MATCH(I792,[2]Coordinates!$J$2:$J$197,0))</f>
        <v>34.049616999999998</v>
      </c>
      <c r="AN792" s="260" t="str">
        <f>IF(ISNUMBER(SEARCH("C", 'Dry_Litterbag Placem_Collection'!V133)),"YES","NO")</f>
        <v>NO</v>
      </c>
      <c r="AO792" s="260" t="str">
        <f>IF(ISNUMBER(SEARCH("H", 'Dry_Litterbag Placem_Collection'!V133)),"YES","NO")</f>
        <v>NO</v>
      </c>
      <c r="AP792" s="260" t="str">
        <f>IF(ISNUMBER(SEARCH("R", 'Dry_Litterbag Placem_Collection'!V133)),"YES","NO")</f>
        <v>YES</v>
      </c>
    </row>
    <row r="793" spans="1:42" ht="15" customHeight="1">
      <c r="A793" t="s">
        <v>3248</v>
      </c>
      <c r="B793" s="252" t="s">
        <v>2643</v>
      </c>
      <c r="C793" s="253">
        <f>'Dry_Litterbag Placem_Collection'!A134</f>
        <v>132</v>
      </c>
      <c r="D793" s="253" t="str">
        <f>'Dry_Litterbag Placem_Collection'!B134</f>
        <v xml:space="preserve">Mwantimba
</v>
      </c>
      <c r="E793" s="253" t="s">
        <v>2454</v>
      </c>
      <c r="F793" s="253" t="s">
        <v>20</v>
      </c>
      <c r="G793" s="253">
        <v>1</v>
      </c>
      <c r="H793" s="253" t="s">
        <v>3121</v>
      </c>
      <c r="I793" s="254" t="str">
        <f>'Dry_Litterbag Placem_Collection'!C134</f>
        <v>Wet_P1_T4</v>
      </c>
      <c r="J793" s="263" t="s">
        <v>2932</v>
      </c>
      <c r="K793" s="264" t="s">
        <v>298</v>
      </c>
      <c r="L793" s="253" t="str">
        <f>IF(ISBLANK('Dry_Litterbag Placem_Collection'!M134),"","R"&amp;""&amp;'Dry_Litterbag Placem_Collection'!M134)</f>
        <v/>
      </c>
      <c r="M793" s="257" t="str">
        <f>IFERROR(INDEX('Green_rooibos initial weight'!$C$5:$C$2000,MATCH(L793, 'Green_rooibos initial weight'!$A$5:$A$2000,0)),"")</f>
        <v/>
      </c>
      <c r="N793" s="257" t="str">
        <f>IFERROR(M793-(TBIcalc!$Q$9+TBIcalc!$Q$10),"")</f>
        <v/>
      </c>
      <c r="O793" s="378">
        <f>AVERAGE(Ashed_controlls!$K$12:$K$14)</f>
        <v>2.2816647271287041</v>
      </c>
      <c r="P793" s="257" t="str">
        <f t="shared" si="61"/>
        <v/>
      </c>
      <c r="Q793" s="257" t="str">
        <f>IFERROR(INDEX('Both teabags AfterDry'!$D$2:$D$2000,MATCH(L793,'Both teabags AfterDry'!$A$2:$A$2000,0)),"")</f>
        <v/>
      </c>
      <c r="R793" s="257" t="str">
        <f>IFERROR(IF(Q793&gt;0,Q793-(TBIcalc!$Q$9),""),"")</f>
        <v/>
      </c>
      <c r="S793" s="268" t="str">
        <f>IFERROR(INDEX('Ashed teabags dry'!$K$2:$K$2000,MATCH(L793,'Ashed teabags dry'!$A$2:$A$2000,0)),"")</f>
        <v/>
      </c>
      <c r="T793" s="268" t="str">
        <f t="shared" si="62"/>
        <v/>
      </c>
      <c r="U793" s="258" t="str">
        <f>IF('Dry_Litterbag Placem_Collection'!E134="","",'Dry_Litterbag Placem_Collection'!E134)</f>
        <v/>
      </c>
      <c r="V793" s="258" t="str">
        <f>IF('Dry_Litterbag Placem_Collection'!G134="","",'Dry_Litterbag Placem_Collection'!G134)</f>
        <v/>
      </c>
      <c r="W793" s="259" t="str">
        <f t="shared" si="60"/>
        <v/>
      </c>
      <c r="X793" s="257" t="str">
        <f t="shared" si="63"/>
        <v/>
      </c>
      <c r="Y793" s="257" t="str">
        <f t="shared" si="64"/>
        <v/>
      </c>
      <c r="Z793" s="261" t="str">
        <f>IFERROR(INDEX([3]Rainfall_Dry!$O$2:$O$217,MATCH(C793, [3]Rainfall_Dry!$A$2:$A$217,0)),"")</f>
        <v/>
      </c>
      <c r="AA793" s="250">
        <v>31.214836424255054</v>
      </c>
      <c r="AB793" s="250">
        <v>11.377370285476141</v>
      </c>
      <c r="AC793" s="250">
        <v>57.407793290268799</v>
      </c>
      <c r="AD793" s="251" t="s">
        <v>2651</v>
      </c>
      <c r="AE793" s="250">
        <v>4.7337604731394798</v>
      </c>
      <c r="AF793">
        <f>IF('WetLitterbags placem_collection'!AB134="","",'WetLitterbags placem_collection'!AB134)</f>
        <v>0.7</v>
      </c>
      <c r="AG793">
        <f>IF('WetLitterbags placem_collection'!Z134="","",'WetLitterbags placem_collection'!Z134)</f>
        <v>9.8000000000000007</v>
      </c>
      <c r="AH793" s="236" t="str">
        <f>IF('WetLitterbags placem_collection'!AA134="","",'WetLitterbags placem_collection'!AA134)</f>
        <v>G</v>
      </c>
      <c r="AI793">
        <f>IF('WetLitterbags placem_collection'!AC134="","",'WetLitterbags placem_collection'!AC134)</f>
        <v>1</v>
      </c>
      <c r="AJ793" t="str">
        <f>IFERROR(AVERAGE('Dry_Litterbag Placem_Collection'!O134,'Dry_Litterbag Placem_Collection'!R134),"")</f>
        <v/>
      </c>
      <c r="AK793" s="261" t="str">
        <f>IFERROR(AVERAGE('Dry_Litterbag Placem_Collection'!N134,'Dry_Litterbag Placem_Collection'!Q134),"")</f>
        <v/>
      </c>
      <c r="AL793" s="260">
        <f>INDEX([2]Coordinates!$B$2:$B$197,MATCH(I793,[2]Coordinates!$J$2:$J$197,0))</f>
        <v>-2.3504800260000001</v>
      </c>
      <c r="AM793" s="260">
        <f>INDEX([2]Coordinates!$C$2:$C$197,MATCH(I793,[2]Coordinates!$J$2:$J$197,0))</f>
        <v>34.049551030000003</v>
      </c>
      <c r="AN793" s="260" t="str">
        <f>IF(ISNUMBER(SEARCH("C", 'Dry_Litterbag Placem_Collection'!V134)),"YES","NO")</f>
        <v>NO</v>
      </c>
      <c r="AO793" s="260" t="str">
        <f>IF(ISNUMBER(SEARCH("H", 'Dry_Litterbag Placem_Collection'!V134)),"YES","NO")</f>
        <v>NO</v>
      </c>
      <c r="AP793" s="260" t="str">
        <f>IF(ISNUMBER(SEARCH("R", 'Dry_Litterbag Placem_Collection'!V134)),"YES","NO")</f>
        <v>NO</v>
      </c>
    </row>
    <row r="794" spans="1:42" ht="15" customHeight="1">
      <c r="A794" t="s">
        <v>3248</v>
      </c>
      <c r="B794" s="252" t="s">
        <v>2643</v>
      </c>
      <c r="C794" s="253">
        <f>'Dry_Litterbag Placem_Collection'!A135</f>
        <v>133</v>
      </c>
      <c r="D794" s="253" t="str">
        <f>'Dry_Litterbag Placem_Collection'!B135</f>
        <v xml:space="preserve">Mwantimba
</v>
      </c>
      <c r="E794" s="253" t="s">
        <v>2454</v>
      </c>
      <c r="F794" s="253" t="s">
        <v>20</v>
      </c>
      <c r="G794" s="253">
        <v>1</v>
      </c>
      <c r="H794" s="253" t="s">
        <v>3121</v>
      </c>
      <c r="I794" s="254" t="str">
        <f>'Dry_Litterbag Placem_Collection'!C135</f>
        <v>Wet_P1_T5</v>
      </c>
      <c r="J794" s="263" t="s">
        <v>2932</v>
      </c>
      <c r="K794" s="264" t="s">
        <v>298</v>
      </c>
      <c r="L794" s="253" t="str">
        <f>IF(ISBLANK('Dry_Litterbag Placem_Collection'!M135),"","R"&amp;""&amp;'Dry_Litterbag Placem_Collection'!M135)</f>
        <v>R683</v>
      </c>
      <c r="M794" s="257">
        <f>IFERROR(INDEX('Green_rooibos initial weight'!$C$5:$C$2000,MATCH(L794, 'Green_rooibos initial weight'!$A$5:$A$2000,0)),"")</f>
        <v>2.141</v>
      </c>
      <c r="N794" s="257">
        <f>IFERROR(M794-(TBIcalc!$Q$9+TBIcalc!$Q$10),"")</f>
        <v>1.8912</v>
      </c>
      <c r="O794" s="378">
        <f>AVERAGE(Ashed_controlls!$K$12:$K$14)</f>
        <v>2.2816647271287041</v>
      </c>
      <c r="P794" s="257">
        <f t="shared" si="61"/>
        <v>1.8480491566805419</v>
      </c>
      <c r="Q794" s="257" t="str">
        <f>IFERROR(INDEX('Both teabags AfterDry'!$D$2:$D$2000,MATCH(L794,'Both teabags AfterDry'!$A$2:$A$2000,0)),"")</f>
        <v/>
      </c>
      <c r="R794" s="257" t="str">
        <f>IFERROR(IF(Q794&gt;0,Q794-(TBIcalc!$Q$9),""),"")</f>
        <v/>
      </c>
      <c r="S794" s="268" t="str">
        <f>IFERROR(INDEX('Ashed teabags dry'!$K$2:$K$2000,MATCH(L794,'Ashed teabags dry'!$A$2:$A$2000,0)),"")</f>
        <v/>
      </c>
      <c r="T794" s="268" t="str">
        <f t="shared" si="62"/>
        <v/>
      </c>
      <c r="U794" s="258">
        <f>IF('Dry_Litterbag Placem_Collection'!E135="","",'Dry_Litterbag Placem_Collection'!E135)</f>
        <v>42939</v>
      </c>
      <c r="V794" s="258">
        <f>IF('Dry_Litterbag Placem_Collection'!G135="","",'Dry_Litterbag Placem_Collection'!G135)</f>
        <v>43008</v>
      </c>
      <c r="W794" s="259">
        <f t="shared" si="60"/>
        <v>69</v>
      </c>
      <c r="X794" s="257" t="str">
        <f t="shared" si="63"/>
        <v/>
      </c>
      <c r="Y794" s="257" t="str">
        <f t="shared" si="64"/>
        <v/>
      </c>
      <c r="Z794" s="261">
        <f>IFERROR(INDEX([3]Rainfall_Dry!$O$2:$O$217,MATCH(C794, [3]Rainfall_Dry!$A$2:$A$217,0)),"")</f>
        <v>136.27214243</v>
      </c>
      <c r="AA794" s="250">
        <v>31.214836424255054</v>
      </c>
      <c r="AB794" s="250">
        <v>11.377370285476141</v>
      </c>
      <c r="AC794" s="250">
        <v>57.407793290268799</v>
      </c>
      <c r="AD794" s="251" t="s">
        <v>2651</v>
      </c>
      <c r="AE794" s="250">
        <v>5.7337604731394798</v>
      </c>
      <c r="AF794">
        <f>IF('WetLitterbags placem_collection'!AB135="","",'WetLitterbags placem_collection'!AB135)</f>
        <v>2.2000000000000002</v>
      </c>
      <c r="AG794">
        <f>IF('WetLitterbags placem_collection'!Z135="","",'WetLitterbags placem_collection'!Z135)</f>
        <v>10</v>
      </c>
      <c r="AH794" s="236" t="str">
        <f>IF('WetLitterbags placem_collection'!AA135="","",'WetLitterbags placem_collection'!AA135)</f>
        <v>O</v>
      </c>
      <c r="AI794">
        <f>IF('WetLitterbags placem_collection'!AC135="","",'WetLitterbags placem_collection'!AC135)</f>
        <v>1</v>
      </c>
      <c r="AJ794">
        <f>IFERROR(AVERAGE('Dry_Litterbag Placem_Collection'!O135,'Dry_Litterbag Placem_Collection'!R135),"")</f>
        <v>8.75</v>
      </c>
      <c r="AK794" s="261">
        <f>IFERROR(AVERAGE('Dry_Litterbag Placem_Collection'!N135,'Dry_Litterbag Placem_Collection'!Q135),"")</f>
        <v>31.3</v>
      </c>
      <c r="AL794" s="260">
        <f>INDEX([2]Coordinates!$B$2:$B$197,MATCH(I794,[2]Coordinates!$J$2:$J$197,0))</f>
        <v>-2.350474996</v>
      </c>
      <c r="AM794" s="260">
        <f>INDEX([2]Coordinates!$C$2:$C$197,MATCH(I794,[2]Coordinates!$J$2:$J$197,0))</f>
        <v>34.049801979999998</v>
      </c>
      <c r="AN794" s="260" t="str">
        <f>IF(ISNUMBER(SEARCH("C", 'Dry_Litterbag Placem_Collection'!V135)),"YES","NO")</f>
        <v>NO</v>
      </c>
      <c r="AO794" s="260" t="str">
        <f>IF(ISNUMBER(SEARCH("H", 'Dry_Litterbag Placem_Collection'!V135)),"YES","NO")</f>
        <v>NO</v>
      </c>
      <c r="AP794" s="260" t="str">
        <f>IF(ISNUMBER(SEARCH("R", 'Dry_Litterbag Placem_Collection'!V135)),"YES","NO")</f>
        <v>NO</v>
      </c>
    </row>
    <row r="795" spans="1:42" ht="15" customHeight="1">
      <c r="A795" t="s">
        <v>3248</v>
      </c>
      <c r="B795" s="252" t="s">
        <v>2643</v>
      </c>
      <c r="C795" s="253">
        <f>'Dry_Litterbag Placem_Collection'!A136</f>
        <v>134</v>
      </c>
      <c r="D795" s="253" t="str">
        <f>'Dry_Litterbag Placem_Collection'!B136</f>
        <v xml:space="preserve">Mwantimba
</v>
      </c>
      <c r="E795" s="253" t="s">
        <v>2454</v>
      </c>
      <c r="F795" s="253" t="s">
        <v>20</v>
      </c>
      <c r="G795" s="253">
        <v>1</v>
      </c>
      <c r="H795" s="253" t="s">
        <v>3121</v>
      </c>
      <c r="I795" s="254" t="str">
        <f>'Dry_Litterbag Placem_Collection'!C136</f>
        <v>Wet_P1_T6</v>
      </c>
      <c r="J795" s="263" t="s">
        <v>2932</v>
      </c>
      <c r="K795" s="264" t="s">
        <v>298</v>
      </c>
      <c r="L795" s="253" t="str">
        <f>IF(ISBLANK('Dry_Litterbag Placem_Collection'!M136),"","R"&amp;""&amp;'Dry_Litterbag Placem_Collection'!M136)</f>
        <v>R649</v>
      </c>
      <c r="M795" s="257">
        <f>IFERROR(INDEX('Green_rooibos initial weight'!$C$5:$C$2000,MATCH(L795, 'Green_rooibos initial weight'!$A$5:$A$2000,0)),"")</f>
        <v>2.161</v>
      </c>
      <c r="N795" s="257">
        <f>IFERROR(M795-(TBIcalc!$Q$9+TBIcalc!$Q$10),"")</f>
        <v>1.9112</v>
      </c>
      <c r="O795" s="378">
        <f>AVERAGE(Ashed_controlls!$K$12:$K$14)</f>
        <v>2.2816647271287041</v>
      </c>
      <c r="P795" s="257">
        <f t="shared" si="61"/>
        <v>1.8675928237351163</v>
      </c>
      <c r="Q795" s="257">
        <f>IFERROR(INDEX('Both teabags AfterDry'!$D$2:$D$2000,MATCH(L795,'Both teabags AfterDry'!$A$2:$A$2000,0)),"")</f>
        <v>1.7554000000000001</v>
      </c>
      <c r="R795" s="257">
        <f>IFERROR(IF(Q795&gt;0,Q795-(TBIcalc!$Q$9),""),"")</f>
        <v>1.6048</v>
      </c>
      <c r="S795" s="268">
        <f>IFERROR(INDEX('Ashed teabags dry'!$K$2:$K$2000,MATCH(L795,'Ashed teabags dry'!$A$2:$A$2000,0)),"")</f>
        <v>5.5740828966174707</v>
      </c>
      <c r="T795" s="268">
        <f t="shared" si="62"/>
        <v>1.5153471176750828</v>
      </c>
      <c r="U795" s="258">
        <f>IF('Dry_Litterbag Placem_Collection'!E136="","",'Dry_Litterbag Placem_Collection'!E136)</f>
        <v>42939</v>
      </c>
      <c r="V795" s="258">
        <f>IF('Dry_Litterbag Placem_Collection'!G136="","",'Dry_Litterbag Placem_Collection'!G136)</f>
        <v>43008</v>
      </c>
      <c r="W795" s="259">
        <f t="shared" si="60"/>
        <v>69</v>
      </c>
      <c r="X795" s="257">
        <f t="shared" si="63"/>
        <v>0.30640000000000001</v>
      </c>
      <c r="Y795" s="257">
        <f t="shared" si="64"/>
        <v>0.35224570606003347</v>
      </c>
      <c r="Z795" s="261">
        <f>IFERROR(INDEX([3]Rainfall_Dry!$O$2:$O$217,MATCH(C795, [3]Rainfall_Dry!$A$2:$A$217,0)),"")</f>
        <v>136.27214243</v>
      </c>
      <c r="AA795" s="250">
        <v>31.214836424255054</v>
      </c>
      <c r="AB795" s="250">
        <v>11.377370285476141</v>
      </c>
      <c r="AC795" s="250">
        <v>57.407793290268799</v>
      </c>
      <c r="AD795" s="251" t="s">
        <v>2651</v>
      </c>
      <c r="AE795" s="250">
        <v>6.7337604731394798</v>
      </c>
      <c r="AF795">
        <f>IF('WetLitterbags placem_collection'!AB136="","",'WetLitterbags placem_collection'!AB136)</f>
        <v>1.1000000000000001</v>
      </c>
      <c r="AG795">
        <f>IF('WetLitterbags placem_collection'!Z136="","",'WetLitterbags placem_collection'!Z136)</f>
        <v>15.4</v>
      </c>
      <c r="AH795" s="236" t="str">
        <f>IF('WetLitterbags placem_collection'!AA136="","",'WetLitterbags placem_collection'!AA136)</f>
        <v>O</v>
      </c>
      <c r="AI795">
        <f>IF('WetLitterbags placem_collection'!AC136="","",'WetLitterbags placem_collection'!AC136)</f>
        <v>1</v>
      </c>
      <c r="AJ795">
        <f>IFERROR(AVERAGE('Dry_Litterbag Placem_Collection'!O136,'Dry_Litterbag Placem_Collection'!R136),"")</f>
        <v>6.65</v>
      </c>
      <c r="AK795" s="261">
        <f>IFERROR(AVERAGE('Dry_Litterbag Placem_Collection'!N136,'Dry_Litterbag Placem_Collection'!Q136),"")</f>
        <v>29.200000000000003</v>
      </c>
      <c r="AL795" s="260">
        <f>INDEX([2]Coordinates!$B$2:$B$197,MATCH(I795,[2]Coordinates!$J$2:$J$197,0))</f>
        <v>-2.3503559730000001</v>
      </c>
      <c r="AM795" s="260">
        <f>INDEX([2]Coordinates!$C$2:$C$197,MATCH(I795,[2]Coordinates!$J$2:$J$197,0))</f>
        <v>34.049800980000001</v>
      </c>
      <c r="AN795" s="260" t="str">
        <f>IF(ISNUMBER(SEARCH("C", 'Dry_Litterbag Placem_Collection'!V136)),"YES","NO")</f>
        <v>NO</v>
      </c>
      <c r="AO795" s="260" t="str">
        <f>IF(ISNUMBER(SEARCH("H", 'Dry_Litterbag Placem_Collection'!V136)),"YES","NO")</f>
        <v>NO</v>
      </c>
      <c r="AP795" s="260" t="str">
        <f>IF(ISNUMBER(SEARCH("R", 'Dry_Litterbag Placem_Collection'!V136)),"YES","NO")</f>
        <v>YES</v>
      </c>
    </row>
    <row r="796" spans="1:42" ht="15" customHeight="1">
      <c r="A796" t="s">
        <v>3248</v>
      </c>
      <c r="B796" s="252" t="s">
        <v>2643</v>
      </c>
      <c r="C796" s="253">
        <f>'Dry_Litterbag Placem_Collection'!A137</f>
        <v>135</v>
      </c>
      <c r="D796" s="253" t="str">
        <f>'Dry_Litterbag Placem_Collection'!B137</f>
        <v xml:space="preserve">Mwantimba
</v>
      </c>
      <c r="E796" s="253" t="s">
        <v>2454</v>
      </c>
      <c r="F796" s="253" t="s">
        <v>20</v>
      </c>
      <c r="G796" s="253">
        <v>1</v>
      </c>
      <c r="H796" s="253" t="s">
        <v>3121</v>
      </c>
      <c r="I796" s="254" t="str">
        <f>'Dry_Litterbag Placem_Collection'!C137</f>
        <v>Wet_P1_T7</v>
      </c>
      <c r="J796" s="263" t="s">
        <v>2932</v>
      </c>
      <c r="K796" s="264" t="s">
        <v>298</v>
      </c>
      <c r="L796" s="253" t="str">
        <f>IF(ISBLANK('Dry_Litterbag Placem_Collection'!M137),"","R"&amp;""&amp;'Dry_Litterbag Placem_Collection'!M137)</f>
        <v>R223</v>
      </c>
      <c r="M796" s="257">
        <f>IFERROR(INDEX('Green_rooibos initial weight'!$C$5:$C$2000,MATCH(L796, 'Green_rooibos initial weight'!$A$5:$A$2000,0)),"")</f>
        <v>2.2170000000000001</v>
      </c>
      <c r="N796" s="257">
        <f>IFERROR(M796-(TBIcalc!$Q$9+TBIcalc!$Q$10),"")</f>
        <v>1.9672000000000001</v>
      </c>
      <c r="O796" s="378">
        <f>AVERAGE(Ashed_controlls!$K$12:$K$14)</f>
        <v>2.2816647271287041</v>
      </c>
      <c r="P796" s="257">
        <f t="shared" si="61"/>
        <v>1.9223150914879241</v>
      </c>
      <c r="Q796" s="257">
        <f>IFERROR(INDEX('Both teabags AfterDry'!$D$2:$D$2000,MATCH(L796,'Both teabags AfterDry'!$A$2:$A$2000,0)),"")</f>
        <v>1.7884</v>
      </c>
      <c r="R796" s="257">
        <f>IFERROR(IF(Q796&gt;0,Q796-(TBIcalc!$Q$9),""),"")</f>
        <v>1.6377999999999999</v>
      </c>
      <c r="S796" s="268">
        <f>IFERROR(INDEX('Ashed teabags dry'!$K$2:$K$2000,MATCH(L796,'Ashed teabags dry'!$A$2:$A$2000,0)),"")</f>
        <v>7.1172784243511256</v>
      </c>
      <c r="T796" s="268">
        <f t="shared" si="62"/>
        <v>1.5212332139659772</v>
      </c>
      <c r="U796" s="258">
        <f>IF('Dry_Litterbag Placem_Collection'!E137="","",'Dry_Litterbag Placem_Collection'!E137)</f>
        <v>42939</v>
      </c>
      <c r="V796" s="258">
        <f>IF('Dry_Litterbag Placem_Collection'!G137="","",'Dry_Litterbag Placem_Collection'!G137)</f>
        <v>43008</v>
      </c>
      <c r="W796" s="259">
        <f t="shared" si="60"/>
        <v>69</v>
      </c>
      <c r="X796" s="257">
        <f t="shared" si="63"/>
        <v>0.32940000000000014</v>
      </c>
      <c r="Y796" s="257">
        <f t="shared" si="64"/>
        <v>0.40108187752194691</v>
      </c>
      <c r="Z796" s="261">
        <f>IFERROR(INDEX([3]Rainfall_Dry!$O$2:$O$217,MATCH(C796, [3]Rainfall_Dry!$A$2:$A$217,0)),"")</f>
        <v>136.27214243</v>
      </c>
      <c r="AA796" s="250">
        <v>31.214836424255054</v>
      </c>
      <c r="AB796" s="250">
        <v>11.377370285476141</v>
      </c>
      <c r="AC796" s="250">
        <v>57.407793290268799</v>
      </c>
      <c r="AD796" s="251" t="s">
        <v>2651</v>
      </c>
      <c r="AE796" s="250">
        <v>7.7337604731394798</v>
      </c>
      <c r="AF796">
        <f>IF('WetLitterbags placem_collection'!AB137="","",'WetLitterbags placem_collection'!AB137)</f>
        <v>2.1</v>
      </c>
      <c r="AG796">
        <f>IF('WetLitterbags placem_collection'!Z137="","",'WetLitterbags placem_collection'!Z137)</f>
        <v>5.6</v>
      </c>
      <c r="AH796" s="236" t="str">
        <f>IF('WetLitterbags placem_collection'!AA137="","",'WetLitterbags placem_collection'!AA137)</f>
        <v>O</v>
      </c>
      <c r="AI796">
        <f>IF('WetLitterbags placem_collection'!AC137="","",'WetLitterbags placem_collection'!AC137)</f>
        <v>1</v>
      </c>
      <c r="AJ796">
        <f>IFERROR(AVERAGE('Dry_Litterbag Placem_Collection'!O137,'Dry_Litterbag Placem_Collection'!R137),"")</f>
        <v>8.5500000000000007</v>
      </c>
      <c r="AK796" s="261">
        <f>IFERROR(AVERAGE('Dry_Litterbag Placem_Collection'!N137,'Dry_Litterbag Placem_Collection'!Q137),"")</f>
        <v>31.35</v>
      </c>
      <c r="AL796" s="260">
        <f>INDEX([2]Coordinates!$B$2:$B$197,MATCH(I796,[2]Coordinates!$J$2:$J$197,0))</f>
        <v>-2.3503589909999998</v>
      </c>
      <c r="AM796" s="260">
        <f>INDEX([2]Coordinates!$C$2:$C$197,MATCH(I796,[2]Coordinates!$J$2:$J$197,0))</f>
        <v>34.049719000000003</v>
      </c>
      <c r="AN796" s="260" t="str">
        <f>IF(ISNUMBER(SEARCH("C", 'Dry_Litterbag Placem_Collection'!V137)),"YES","NO")</f>
        <v>NO</v>
      </c>
      <c r="AO796" s="260" t="str">
        <f>IF(ISNUMBER(SEARCH("H", 'Dry_Litterbag Placem_Collection'!V137)),"YES","NO")</f>
        <v>NO</v>
      </c>
      <c r="AP796" s="260" t="str">
        <f>IF(ISNUMBER(SEARCH("R", 'Dry_Litterbag Placem_Collection'!V137)),"YES","NO")</f>
        <v>NO</v>
      </c>
    </row>
    <row r="797" spans="1:42" ht="15" customHeight="1">
      <c r="A797" t="s">
        <v>3248</v>
      </c>
      <c r="B797" s="252" t="s">
        <v>2643</v>
      </c>
      <c r="C797" s="253">
        <f>'Dry_Litterbag Placem_Collection'!A138</f>
        <v>136</v>
      </c>
      <c r="D797" s="253" t="str">
        <f>'Dry_Litterbag Placem_Collection'!B138</f>
        <v xml:space="preserve">Mwantimba
</v>
      </c>
      <c r="E797" s="253" t="s">
        <v>2454</v>
      </c>
      <c r="F797" s="253" t="s">
        <v>20</v>
      </c>
      <c r="G797" s="253">
        <v>1</v>
      </c>
      <c r="H797" s="253" t="s">
        <v>3121</v>
      </c>
      <c r="I797" s="254" t="str">
        <f>'Dry_Litterbag Placem_Collection'!C138</f>
        <v>Wet_P1_T8</v>
      </c>
      <c r="J797" s="263" t="s">
        <v>2932</v>
      </c>
      <c r="K797" s="264" t="s">
        <v>298</v>
      </c>
      <c r="L797" s="253" t="str">
        <f>IF(ISBLANK('Dry_Litterbag Placem_Collection'!M138),"","R"&amp;""&amp;'Dry_Litterbag Placem_Collection'!M138)</f>
        <v>R214</v>
      </c>
      <c r="M797" s="257">
        <f>IFERROR(INDEX('Green_rooibos initial weight'!$C$5:$C$2000,MATCH(L797, 'Green_rooibos initial weight'!$A$5:$A$2000,0)),"")</f>
        <v>2.1960000000000002</v>
      </c>
      <c r="N797" s="257">
        <f>IFERROR(M797-(TBIcalc!$Q$9+TBIcalc!$Q$10),"")</f>
        <v>1.9462000000000002</v>
      </c>
      <c r="O797" s="378">
        <f>AVERAGE(Ashed_controlls!$K$12:$K$14)</f>
        <v>2.2816647271287041</v>
      </c>
      <c r="P797" s="257">
        <f t="shared" si="61"/>
        <v>1.9017942410806212</v>
      </c>
      <c r="Q797" s="257">
        <f>IFERROR(INDEX('Both teabags AfterDry'!$D$2:$D$2000,MATCH(L797,'Both teabags AfterDry'!$A$2:$A$2000,0)),"")</f>
        <v>1.7265999999999999</v>
      </c>
      <c r="R797" s="257">
        <f>IFERROR(IF(Q797&gt;0,Q797-(TBIcalc!$Q$9),""),"")</f>
        <v>1.5759999999999998</v>
      </c>
      <c r="S797" s="268">
        <f>IFERROR(INDEX('Ashed teabags dry'!$K$2:$K$2000,MATCH(L797,'Ashed teabags dry'!$A$2:$A$2000,0)),"")</f>
        <v>9.4517958412093144</v>
      </c>
      <c r="T797" s="268">
        <f t="shared" si="62"/>
        <v>1.427039697542541</v>
      </c>
      <c r="U797" s="258">
        <f>IF('Dry_Litterbag Placem_Collection'!E138="","",'Dry_Litterbag Placem_Collection'!E138)</f>
        <v>42939</v>
      </c>
      <c r="V797" s="258">
        <f>IF('Dry_Litterbag Placem_Collection'!G138="","",'Dry_Litterbag Placem_Collection'!G138)</f>
        <v>43008</v>
      </c>
      <c r="W797" s="259">
        <f t="shared" si="60"/>
        <v>69</v>
      </c>
      <c r="X797" s="257">
        <f t="shared" si="63"/>
        <v>0.37020000000000031</v>
      </c>
      <c r="Y797" s="257">
        <f t="shared" si="64"/>
        <v>0.47475454353808022</v>
      </c>
      <c r="Z797" s="261">
        <f>IFERROR(INDEX([3]Rainfall_Dry!$O$2:$O$217,MATCH(C797, [3]Rainfall_Dry!$A$2:$A$217,0)),"")</f>
        <v>136.27214243</v>
      </c>
      <c r="AA797" s="250">
        <v>31.214836424255054</v>
      </c>
      <c r="AB797" s="250">
        <v>11.377370285476141</v>
      </c>
      <c r="AC797" s="250">
        <v>57.407793290268799</v>
      </c>
      <c r="AD797" s="251" t="s">
        <v>2651</v>
      </c>
      <c r="AE797" s="250">
        <v>8.7337604731394798</v>
      </c>
      <c r="AF797">
        <f>IF('WetLitterbags placem_collection'!AB138="","",'WetLitterbags placem_collection'!AB138)</f>
        <v>2.2999999999999998</v>
      </c>
      <c r="AG797">
        <f>IF('WetLitterbags placem_collection'!Z138="","",'WetLitterbags placem_collection'!Z138)</f>
        <v>16.3</v>
      </c>
      <c r="AH797" s="236" t="str">
        <f>IF('WetLitterbags placem_collection'!AA138="","",'WetLitterbags placem_collection'!AA138)</f>
        <v>G</v>
      </c>
      <c r="AI797">
        <f>IF('WetLitterbags placem_collection'!AC138="","",'WetLitterbags placem_collection'!AC138)</f>
        <v>1</v>
      </c>
      <c r="AJ797">
        <f>IFERROR(AVERAGE('Dry_Litterbag Placem_Collection'!O138,'Dry_Litterbag Placem_Collection'!R138),"")</f>
        <v>5.9</v>
      </c>
      <c r="AK797" s="261">
        <f>IFERROR(AVERAGE('Dry_Litterbag Placem_Collection'!N138,'Dry_Litterbag Placem_Collection'!Q138),"")</f>
        <v>29.9</v>
      </c>
      <c r="AL797" s="260">
        <f>INDEX([2]Coordinates!$B$2:$B$197,MATCH(I797,[2]Coordinates!$J$2:$J$197,0))</f>
        <v>-2.3502159960000002</v>
      </c>
      <c r="AM797" s="260">
        <f>INDEX([2]Coordinates!$C$2:$C$197,MATCH(I797,[2]Coordinates!$J$2:$J$197,0))</f>
        <v>34.049822020000001</v>
      </c>
      <c r="AN797" s="260" t="str">
        <f>IF(ISNUMBER(SEARCH("C", 'Dry_Litterbag Placem_Collection'!V138)),"YES","NO")</f>
        <v>NO</v>
      </c>
      <c r="AO797" s="260" t="str">
        <f>IF(ISNUMBER(SEARCH("H", 'Dry_Litterbag Placem_Collection'!V138)),"YES","NO")</f>
        <v>NO</v>
      </c>
      <c r="AP797" s="260" t="str">
        <f>IF(ISNUMBER(SEARCH("R", 'Dry_Litterbag Placem_Collection'!V138)),"YES","NO")</f>
        <v>NO</v>
      </c>
    </row>
    <row r="798" spans="1:42" ht="15" customHeight="1">
      <c r="A798" t="s">
        <v>3248</v>
      </c>
      <c r="B798" s="252" t="s">
        <v>2643</v>
      </c>
      <c r="C798" s="253">
        <f>'Dry_Litterbag Placem_Collection'!A139</f>
        <v>137</v>
      </c>
      <c r="D798" s="253" t="str">
        <f>'Dry_Litterbag Placem_Collection'!B139</f>
        <v xml:space="preserve">Mwantimba
</v>
      </c>
      <c r="E798" s="253" t="s">
        <v>2454</v>
      </c>
      <c r="F798" s="253" t="s">
        <v>20</v>
      </c>
      <c r="G798" s="253">
        <v>2</v>
      </c>
      <c r="H798" s="253" t="s">
        <v>3123</v>
      </c>
      <c r="I798" s="254" t="str">
        <f>'Dry_Litterbag Placem_Collection'!C139</f>
        <v>Wet_P2_T1</v>
      </c>
      <c r="J798" s="263" t="s">
        <v>2932</v>
      </c>
      <c r="K798" s="264" t="s">
        <v>298</v>
      </c>
      <c r="L798" s="253" t="str">
        <f>IF(ISBLANK('Dry_Litterbag Placem_Collection'!M139),"","R"&amp;""&amp;'Dry_Litterbag Placem_Collection'!M139)</f>
        <v>R628</v>
      </c>
      <c r="M798" s="257">
        <f>IFERROR(INDEX('Green_rooibos initial weight'!$C$5:$C$2000,MATCH(L798, 'Green_rooibos initial weight'!$A$5:$A$2000,0)),"")</f>
        <v>2.0110000000000001</v>
      </c>
      <c r="N798" s="257">
        <f>IFERROR(M798-(TBIcalc!$Q$9+TBIcalc!$Q$10),"")</f>
        <v>1.7612000000000001</v>
      </c>
      <c r="O798" s="378">
        <f>AVERAGE(Ashed_controlls!$K$12:$K$14)</f>
        <v>2.2816647271287041</v>
      </c>
      <c r="P798" s="257">
        <f t="shared" si="61"/>
        <v>1.7210153208258094</v>
      </c>
      <c r="Q798" s="257">
        <f>IFERROR(INDEX('Both teabags AfterDry'!$D$2:$D$2000,MATCH(L798,'Both teabags AfterDry'!$A$2:$A$2000,0)),"")</f>
        <v>1.7652000000000001</v>
      </c>
      <c r="R798" s="257">
        <f>IFERROR(IF(Q798&gt;0,Q798-(TBIcalc!$Q$9),""),"")</f>
        <v>1.6146</v>
      </c>
      <c r="S798" s="268">
        <f>IFERROR(INDEX('Ashed teabags dry'!$K$2:$K$2000,MATCH(L798,'Ashed teabags dry'!$A$2:$A$2000,0)),"")</f>
        <v>9.0322580645165651</v>
      </c>
      <c r="T798" s="268">
        <f t="shared" si="62"/>
        <v>1.4687651612903156</v>
      </c>
      <c r="U798" s="258">
        <f>IF('Dry_Litterbag Placem_Collection'!E139="","",'Dry_Litterbag Placem_Collection'!E139)</f>
        <v>42939</v>
      </c>
      <c r="V798" s="258">
        <f>IF('Dry_Litterbag Placem_Collection'!G139="","",'Dry_Litterbag Placem_Collection'!G139)</f>
        <v>43008</v>
      </c>
      <c r="W798" s="259">
        <f t="shared" si="60"/>
        <v>69</v>
      </c>
      <c r="X798" s="257">
        <f t="shared" si="63"/>
        <v>0.14660000000000006</v>
      </c>
      <c r="Y798" s="257">
        <f t="shared" si="64"/>
        <v>0.25225015953549379</v>
      </c>
      <c r="Z798" s="261">
        <f>IFERROR(INDEX([3]Rainfall_Dry!$O$2:$O$217,MATCH(C798, [3]Rainfall_Dry!$A$2:$A$217,0)),"")</f>
        <v>136.27214243</v>
      </c>
      <c r="AA798" s="250">
        <v>33.96</v>
      </c>
      <c r="AB798" s="250">
        <v>8.9200000000000017</v>
      </c>
      <c r="AC798" s="250">
        <v>57.12</v>
      </c>
      <c r="AD798" s="251" t="s">
        <v>2651</v>
      </c>
      <c r="AE798" s="250">
        <v>2.072055199605717</v>
      </c>
      <c r="AF798">
        <f>IF('WetLitterbags placem_collection'!AB139="","",'WetLitterbags placem_collection'!AB139)</f>
        <v>1.2</v>
      </c>
      <c r="AG798">
        <f>IF('WetLitterbags placem_collection'!Z139="","",'WetLitterbags placem_collection'!Z139)</f>
        <v>32.4</v>
      </c>
      <c r="AH798" s="236" t="str">
        <f>IF('WetLitterbags placem_collection'!AA139="","",'WetLitterbags placem_collection'!AA139)</f>
        <v>G</v>
      </c>
      <c r="AI798">
        <f>IF('WetLitterbags placem_collection'!AC139="","",'WetLitterbags placem_collection'!AC139)</f>
        <v>1</v>
      </c>
      <c r="AJ798">
        <f>IFERROR(AVERAGE('Dry_Litterbag Placem_Collection'!O139,'Dry_Litterbag Placem_Collection'!R139),"")</f>
        <v>8.9</v>
      </c>
      <c r="AK798" s="261">
        <f>IFERROR(AVERAGE('Dry_Litterbag Placem_Collection'!N139,'Dry_Litterbag Placem_Collection'!Q139),"")</f>
        <v>27.55</v>
      </c>
      <c r="AL798" s="260">
        <f>INDEX([2]Coordinates!$B$2:$B$197,MATCH(I798,[2]Coordinates!$J$2:$J$197,0))</f>
        <v>-2.348596025</v>
      </c>
      <c r="AM798" s="260">
        <f>INDEX([2]Coordinates!$C$2:$C$197,MATCH(I798,[2]Coordinates!$J$2:$J$197,0))</f>
        <v>34.050070959999999</v>
      </c>
      <c r="AN798" s="260" t="str">
        <f>IF(ISNUMBER(SEARCH("C", 'Dry_Litterbag Placem_Collection'!V139)),"YES","NO")</f>
        <v>NO</v>
      </c>
      <c r="AO798" s="260" t="str">
        <f>IF(ISNUMBER(SEARCH("H", 'Dry_Litterbag Placem_Collection'!V139)),"YES","NO")</f>
        <v>NO</v>
      </c>
      <c r="AP798" s="260" t="str">
        <f>IF(ISNUMBER(SEARCH("R", 'Dry_Litterbag Placem_Collection'!V139)),"YES","NO")</f>
        <v>NO</v>
      </c>
    </row>
    <row r="799" spans="1:42" ht="15" customHeight="1">
      <c r="A799" t="s">
        <v>3248</v>
      </c>
      <c r="B799" s="252" t="s">
        <v>2643</v>
      </c>
      <c r="C799" s="253">
        <f>'Dry_Litterbag Placem_Collection'!A140</f>
        <v>138</v>
      </c>
      <c r="D799" s="253" t="str">
        <f>'Dry_Litterbag Placem_Collection'!B140</f>
        <v xml:space="preserve">Mwantimba
</v>
      </c>
      <c r="E799" s="253" t="s">
        <v>2454</v>
      </c>
      <c r="F799" s="253" t="s">
        <v>20</v>
      </c>
      <c r="G799" s="253">
        <v>2</v>
      </c>
      <c r="H799" s="253" t="s">
        <v>3123</v>
      </c>
      <c r="I799" s="254" t="str">
        <f>'Dry_Litterbag Placem_Collection'!C140</f>
        <v>Wet_P2_T2</v>
      </c>
      <c r="J799" s="263" t="s">
        <v>2932</v>
      </c>
      <c r="K799" s="264" t="s">
        <v>298</v>
      </c>
      <c r="L799" s="253" t="str">
        <f>IF(ISBLANK('Dry_Litterbag Placem_Collection'!M140),"","R"&amp;""&amp;'Dry_Litterbag Placem_Collection'!M140)</f>
        <v>R198</v>
      </c>
      <c r="M799" s="257">
        <f>IFERROR(INDEX('Green_rooibos initial weight'!$C$5:$C$2000,MATCH(L799, 'Green_rooibos initial weight'!$A$5:$A$2000,0)),"")</f>
        <v>2.1970000000000001</v>
      </c>
      <c r="N799" s="257">
        <f>IFERROR(M799-(TBIcalc!$Q$9+TBIcalc!$Q$10),"")</f>
        <v>1.9472</v>
      </c>
      <c r="O799" s="378">
        <f>AVERAGE(Ashed_controlls!$K$12:$K$14)</f>
        <v>2.2816647271287041</v>
      </c>
      <c r="P799" s="257">
        <f t="shared" si="61"/>
        <v>1.90277142443335</v>
      </c>
      <c r="Q799" s="257">
        <f>IFERROR(INDEX('Both teabags AfterDry'!$D$2:$D$2000,MATCH(L799,'Both teabags AfterDry'!$A$2:$A$2000,0)),"")</f>
        <v>1.7765</v>
      </c>
      <c r="R799" s="257">
        <f>IFERROR(IF(Q799&gt;0,Q799-(TBIcalc!$Q$9),""),"")</f>
        <v>1.6258999999999999</v>
      </c>
      <c r="S799" s="268">
        <f>IFERROR(INDEX('Ashed teabags dry'!$K$2:$K$2000,MATCH(L799,'Ashed teabags dry'!$A$2:$A$2000,0)),"")</f>
        <v>5.3694581280797298</v>
      </c>
      <c r="T799" s="268">
        <f t="shared" si="62"/>
        <v>1.5385979802955516</v>
      </c>
      <c r="U799" s="258">
        <f>IF('Dry_Litterbag Placem_Collection'!E140="","",'Dry_Litterbag Placem_Collection'!E140)</f>
        <v>42939</v>
      </c>
      <c r="V799" s="258">
        <f>IF('Dry_Litterbag Placem_Collection'!G140="","",'Dry_Litterbag Placem_Collection'!G140)</f>
        <v>43008</v>
      </c>
      <c r="W799" s="259">
        <f t="shared" si="60"/>
        <v>69</v>
      </c>
      <c r="X799" s="257">
        <f t="shared" si="63"/>
        <v>0.32130000000000014</v>
      </c>
      <c r="Y799" s="257">
        <f t="shared" si="64"/>
        <v>0.3641734441377984</v>
      </c>
      <c r="Z799" s="261">
        <f>IFERROR(INDEX([3]Rainfall_Dry!$O$2:$O$217,MATCH(C799, [3]Rainfall_Dry!$A$2:$A$217,0)),"")</f>
        <v>136.27214243</v>
      </c>
      <c r="AA799" s="250">
        <v>33.96</v>
      </c>
      <c r="AB799" s="250">
        <v>8.9200000000000017</v>
      </c>
      <c r="AC799" s="250">
        <v>57.12</v>
      </c>
      <c r="AD799" s="251" t="s">
        <v>2651</v>
      </c>
      <c r="AE799" s="250">
        <v>3.0720551996057202</v>
      </c>
      <c r="AF799">
        <f>IF('WetLitterbags placem_collection'!AB140="","",'WetLitterbags placem_collection'!AB140)</f>
        <v>2.8</v>
      </c>
      <c r="AG799">
        <f>IF('WetLitterbags placem_collection'!Z140="","",'WetLitterbags placem_collection'!Z140)</f>
        <v>26.4</v>
      </c>
      <c r="AH799" s="236" t="str">
        <f>IF('WetLitterbags placem_collection'!AA140="","",'WetLitterbags placem_collection'!AA140)</f>
        <v>G</v>
      </c>
      <c r="AI799">
        <f>IF('WetLitterbags placem_collection'!AC140="","",'WetLitterbags placem_collection'!AC140)</f>
        <v>1</v>
      </c>
      <c r="AJ799">
        <f>IFERROR(AVERAGE('Dry_Litterbag Placem_Collection'!O140,'Dry_Litterbag Placem_Collection'!R140),"")</f>
        <v>7.05</v>
      </c>
      <c r="AK799" s="261">
        <f>IFERROR(AVERAGE('Dry_Litterbag Placem_Collection'!N140,'Dry_Litterbag Placem_Collection'!Q140),"")</f>
        <v>28.799999999999997</v>
      </c>
      <c r="AL799" s="260">
        <f>INDEX([2]Coordinates!$B$2:$B$197,MATCH(I799,[2]Coordinates!$J$2:$J$197,0))</f>
        <v>-2.3485449790000001</v>
      </c>
      <c r="AM799" s="260">
        <f>INDEX([2]Coordinates!$C$2:$C$197,MATCH(I799,[2]Coordinates!$J$2:$J$197,0))</f>
        <v>34.050146980000001</v>
      </c>
      <c r="AN799" s="260" t="str">
        <f>IF(ISNUMBER(SEARCH("C", 'Dry_Litterbag Placem_Collection'!V140)),"YES","NO")</f>
        <v>NO</v>
      </c>
      <c r="AO799" s="260" t="str">
        <f>IF(ISNUMBER(SEARCH("H", 'Dry_Litterbag Placem_Collection'!V140)),"YES","NO")</f>
        <v>NO</v>
      </c>
      <c r="AP799" s="260" t="str">
        <f>IF(ISNUMBER(SEARCH("R", 'Dry_Litterbag Placem_Collection'!V140)),"YES","NO")</f>
        <v>NO</v>
      </c>
    </row>
    <row r="800" spans="1:42" ht="15" customHeight="1">
      <c r="A800" t="s">
        <v>3248</v>
      </c>
      <c r="B800" s="252" t="s">
        <v>2643</v>
      </c>
      <c r="C800" s="253">
        <f>'Dry_Litterbag Placem_Collection'!A141</f>
        <v>139</v>
      </c>
      <c r="D800" s="253" t="str">
        <f>'Dry_Litterbag Placem_Collection'!B141</f>
        <v xml:space="preserve">Mwantimba
</v>
      </c>
      <c r="E800" s="253" t="s">
        <v>2454</v>
      </c>
      <c r="F800" s="253" t="s">
        <v>20</v>
      </c>
      <c r="G800" s="253">
        <v>2</v>
      </c>
      <c r="H800" s="253" t="s">
        <v>3123</v>
      </c>
      <c r="I800" s="254" t="str">
        <f>'Dry_Litterbag Placem_Collection'!C141</f>
        <v>Wet_P2_T3</v>
      </c>
      <c r="J800" s="263" t="s">
        <v>2932</v>
      </c>
      <c r="K800" s="264" t="s">
        <v>298</v>
      </c>
      <c r="L800" s="253" t="str">
        <f>IF(ISBLANK('Dry_Litterbag Placem_Collection'!M141),"","R"&amp;""&amp;'Dry_Litterbag Placem_Collection'!M141)</f>
        <v>R706</v>
      </c>
      <c r="M800" s="257">
        <f>IFERROR(INDEX('Green_rooibos initial weight'!$C$5:$C$2000,MATCH(L800, 'Green_rooibos initial weight'!$A$5:$A$2000,0)),"")</f>
        <v>2.1480000000000001</v>
      </c>
      <c r="N800" s="257">
        <f>IFERROR(M800-(TBIcalc!$Q$9+TBIcalc!$Q$10),"")</f>
        <v>1.8982000000000001</v>
      </c>
      <c r="O800" s="378">
        <f>AVERAGE(Ashed_controlls!$K$12:$K$14)</f>
        <v>2.2816647271287041</v>
      </c>
      <c r="P800" s="257">
        <f t="shared" si="61"/>
        <v>1.854889440149643</v>
      </c>
      <c r="Q800" s="257">
        <f>IFERROR(INDEX('Both teabags AfterDry'!$D$2:$D$2000,MATCH(L800,'Both teabags AfterDry'!$A$2:$A$2000,0)),"")</f>
        <v>1.5846</v>
      </c>
      <c r="R800" s="257">
        <f>IFERROR(IF(Q800&gt;0,Q800-(TBIcalc!$Q$9),""),"")</f>
        <v>1.4339999999999999</v>
      </c>
      <c r="S800" s="268">
        <f>IFERROR(INDEX('Ashed teabags dry'!$K$2:$K$2000,MATCH(L800,'Ashed teabags dry'!$A$2:$A$2000,0)),"")</f>
        <v>7.9318734793180647</v>
      </c>
      <c r="T800" s="268">
        <f t="shared" si="62"/>
        <v>1.3202569343065789</v>
      </c>
      <c r="U800" s="258">
        <f>IF('Dry_Litterbag Placem_Collection'!E141="","",'Dry_Litterbag Placem_Collection'!E141)</f>
        <v>42939</v>
      </c>
      <c r="V800" s="258">
        <f>IF('Dry_Litterbag Placem_Collection'!G141="","",'Dry_Litterbag Placem_Collection'!G141)</f>
        <v>43008</v>
      </c>
      <c r="W800" s="259">
        <f t="shared" si="60"/>
        <v>69</v>
      </c>
      <c r="X800" s="257">
        <f t="shared" si="63"/>
        <v>0.46420000000000017</v>
      </c>
      <c r="Y800" s="257">
        <f t="shared" si="64"/>
        <v>0.5346325058430641</v>
      </c>
      <c r="Z800" s="261">
        <f>IFERROR(INDEX([3]Rainfall_Dry!$O$2:$O$217,MATCH(C800, [3]Rainfall_Dry!$A$2:$A$217,0)),"")</f>
        <v>136.27214243</v>
      </c>
      <c r="AA800" s="250">
        <v>33.96</v>
      </c>
      <c r="AB800" s="250">
        <v>8.9200000000000017</v>
      </c>
      <c r="AC800" s="250">
        <v>57.12</v>
      </c>
      <c r="AD800" s="251" t="s">
        <v>2651</v>
      </c>
      <c r="AE800" s="250">
        <v>4.0720551996057202</v>
      </c>
      <c r="AF800">
        <f>IF('WetLitterbags placem_collection'!AB141="","",'WetLitterbags placem_collection'!AB141)</f>
        <v>5.7</v>
      </c>
      <c r="AG800">
        <f>IF('WetLitterbags placem_collection'!Z141="","",'WetLitterbags placem_collection'!Z141)</f>
        <v>19.399999999999999</v>
      </c>
      <c r="AH800" s="236" t="str">
        <f>IF('WetLitterbags placem_collection'!AA141="","",'WetLitterbags placem_collection'!AA141)</f>
        <v>G</v>
      </c>
      <c r="AI800">
        <f>IF('WetLitterbags placem_collection'!AC141="","",'WetLitterbags placem_collection'!AC141)</f>
        <v>1</v>
      </c>
      <c r="AJ800">
        <f>IFERROR(AVERAGE('Dry_Litterbag Placem_Collection'!O141,'Dry_Litterbag Placem_Collection'!R141),"")</f>
        <v>11.200000000000001</v>
      </c>
      <c r="AK800" s="261">
        <f>IFERROR(AVERAGE('Dry_Litterbag Placem_Collection'!N141,'Dry_Litterbag Placem_Collection'!Q141),"")</f>
        <v>28.15</v>
      </c>
      <c r="AL800" s="260">
        <f>INDEX([2]Coordinates!$B$2:$B$197,MATCH(I800,[2]Coordinates!$J$2:$J$197,0))</f>
        <v>-2.3487209990000002</v>
      </c>
      <c r="AM800" s="260">
        <f>INDEX([2]Coordinates!$C$2:$C$197,MATCH(I800,[2]Coordinates!$J$2:$J$197,0))</f>
        <v>34.050128039999997</v>
      </c>
      <c r="AN800" s="260" t="str">
        <f>IF(ISNUMBER(SEARCH("C", 'Dry_Litterbag Placem_Collection'!V141)),"YES","NO")</f>
        <v>NO</v>
      </c>
      <c r="AO800" s="260" t="str">
        <f>IF(ISNUMBER(SEARCH("H", 'Dry_Litterbag Placem_Collection'!V141)),"YES","NO")</f>
        <v>NO</v>
      </c>
      <c r="AP800" s="260" t="str">
        <f>IF(ISNUMBER(SEARCH("R", 'Dry_Litterbag Placem_Collection'!V141)),"YES","NO")</f>
        <v>NO</v>
      </c>
    </row>
    <row r="801" spans="1:42" ht="15" customHeight="1">
      <c r="A801" t="s">
        <v>3248</v>
      </c>
      <c r="B801" s="252" t="s">
        <v>2643</v>
      </c>
      <c r="C801" s="253">
        <f>'Dry_Litterbag Placem_Collection'!A142</f>
        <v>140</v>
      </c>
      <c r="D801" s="253" t="str">
        <f>'Dry_Litterbag Placem_Collection'!B142</f>
        <v xml:space="preserve">Mwantimba
</v>
      </c>
      <c r="E801" s="253" t="s">
        <v>2454</v>
      </c>
      <c r="F801" s="253" t="s">
        <v>20</v>
      </c>
      <c r="G801" s="253">
        <v>2</v>
      </c>
      <c r="H801" s="253" t="s">
        <v>3123</v>
      </c>
      <c r="I801" s="254" t="str">
        <f>'Dry_Litterbag Placem_Collection'!C142</f>
        <v>Wet_P2_T4</v>
      </c>
      <c r="J801" s="263" t="s">
        <v>2932</v>
      </c>
      <c r="K801" s="264" t="s">
        <v>298</v>
      </c>
      <c r="L801" s="253" t="str">
        <f>IF(ISBLANK('Dry_Litterbag Placem_Collection'!M142),"","R"&amp;""&amp;'Dry_Litterbag Placem_Collection'!M142)</f>
        <v>R710</v>
      </c>
      <c r="M801" s="257">
        <f>IFERROR(INDEX('Green_rooibos initial weight'!$C$5:$C$2000,MATCH(L801, 'Green_rooibos initial weight'!$A$5:$A$2000,0)),"")</f>
        <v>2.1070000000000002</v>
      </c>
      <c r="N801" s="257">
        <f>IFERROR(M801-(TBIcalc!$Q$9+TBIcalc!$Q$10),"")</f>
        <v>1.8572000000000002</v>
      </c>
      <c r="O801" s="378">
        <f>AVERAGE(Ashed_controlls!$K$12:$K$14)</f>
        <v>2.2816647271287041</v>
      </c>
      <c r="P801" s="257">
        <f t="shared" si="61"/>
        <v>1.814824922687766</v>
      </c>
      <c r="Q801" s="257">
        <f>IFERROR(INDEX('Both teabags AfterDry'!$D$2:$D$2000,MATCH(L801,'Both teabags AfterDry'!$A$2:$A$2000,0)),"")</f>
        <v>1.7403999999999999</v>
      </c>
      <c r="R801" s="257">
        <f>IFERROR(IF(Q801&gt;0,Q801-(TBIcalc!$Q$9),""),"")</f>
        <v>1.5897999999999999</v>
      </c>
      <c r="S801" s="268">
        <f>IFERROR(INDEX('Ashed teabags dry'!$K$2:$K$2000,MATCH(L801,'Ashed teabags dry'!$A$2:$A$2000,0)),"")</f>
        <v>14.236453201970816</v>
      </c>
      <c r="T801" s="268">
        <f t="shared" si="62"/>
        <v>1.3634688669950679</v>
      </c>
      <c r="U801" s="258">
        <f>IF('Dry_Litterbag Placem_Collection'!E142="","",'Dry_Litterbag Placem_Collection'!E142)</f>
        <v>42939</v>
      </c>
      <c r="V801" s="258">
        <f>IF('Dry_Litterbag Placem_Collection'!G142="","",'Dry_Litterbag Placem_Collection'!G142)</f>
        <v>43008</v>
      </c>
      <c r="W801" s="259">
        <f t="shared" si="60"/>
        <v>69</v>
      </c>
      <c r="X801" s="257">
        <f t="shared" si="63"/>
        <v>0.2674000000000003</v>
      </c>
      <c r="Y801" s="257">
        <f t="shared" si="64"/>
        <v>0.4513560556926981</v>
      </c>
      <c r="Z801" s="261">
        <f>IFERROR(INDEX([3]Rainfall_Dry!$O$2:$O$217,MATCH(C801, [3]Rainfall_Dry!$A$2:$A$217,0)),"")</f>
        <v>136.27214243</v>
      </c>
      <c r="AA801" s="250">
        <v>33.96</v>
      </c>
      <c r="AB801" s="250">
        <v>8.9200000000000017</v>
      </c>
      <c r="AC801" s="250">
        <v>57.12</v>
      </c>
      <c r="AD801" s="251" t="s">
        <v>2651</v>
      </c>
      <c r="AE801" s="250">
        <v>5.0720551996057202</v>
      </c>
      <c r="AF801">
        <f>IF('WetLitterbags placem_collection'!AB142="","",'WetLitterbags placem_collection'!AB142)</f>
        <v>1.4</v>
      </c>
      <c r="AG801">
        <f>IF('WetLitterbags placem_collection'!Z142="","",'WetLitterbags placem_collection'!Z142)</f>
        <v>33.4</v>
      </c>
      <c r="AH801" s="236" t="str">
        <f>IF('WetLitterbags placem_collection'!AA142="","",'WetLitterbags placem_collection'!AA142)</f>
        <v>G</v>
      </c>
      <c r="AI801">
        <f>IF('WetLitterbags placem_collection'!AC142="","",'WetLitterbags placem_collection'!AC142)</f>
        <v>1</v>
      </c>
      <c r="AJ801">
        <f>IFERROR(AVERAGE('Dry_Litterbag Placem_Collection'!O142,'Dry_Litterbag Placem_Collection'!R142),"")</f>
        <v>7.3000000000000007</v>
      </c>
      <c r="AK801" s="261">
        <f>IFERROR(AVERAGE('Dry_Litterbag Placem_Collection'!N142,'Dry_Litterbag Placem_Collection'!Q142),"")</f>
        <v>28</v>
      </c>
      <c r="AL801" s="260">
        <f>INDEX([2]Coordinates!$B$2:$B$197,MATCH(I801,[2]Coordinates!$J$2:$J$197,0))</f>
        <v>-2.3486250270000002</v>
      </c>
      <c r="AM801" s="260">
        <f>INDEX([2]Coordinates!$C$2:$C$197,MATCH(I801,[2]Coordinates!$J$2:$J$197,0))</f>
        <v>34.050070959999999</v>
      </c>
      <c r="AN801" s="260" t="str">
        <f>IF(ISNUMBER(SEARCH("C", 'Dry_Litterbag Placem_Collection'!V142)),"YES","NO")</f>
        <v>NO</v>
      </c>
      <c r="AO801" s="260" t="str">
        <f>IF(ISNUMBER(SEARCH("H", 'Dry_Litterbag Placem_Collection'!V142)),"YES","NO")</f>
        <v>NO</v>
      </c>
      <c r="AP801" s="260" t="str">
        <f>IF(ISNUMBER(SEARCH("R", 'Dry_Litterbag Placem_Collection'!V142)),"YES","NO")</f>
        <v>NO</v>
      </c>
    </row>
    <row r="802" spans="1:42" ht="15" customHeight="1">
      <c r="A802" t="s">
        <v>3248</v>
      </c>
      <c r="B802" s="252" t="s">
        <v>2643</v>
      </c>
      <c r="C802" s="253">
        <f>'Dry_Litterbag Placem_Collection'!A143</f>
        <v>141</v>
      </c>
      <c r="D802" s="253" t="str">
        <f>'Dry_Litterbag Placem_Collection'!B143</f>
        <v xml:space="preserve">Mwantimba
</v>
      </c>
      <c r="E802" s="253" t="s">
        <v>2454</v>
      </c>
      <c r="F802" s="253" t="s">
        <v>20</v>
      </c>
      <c r="G802" s="253">
        <v>2</v>
      </c>
      <c r="H802" s="253" t="s">
        <v>3123</v>
      </c>
      <c r="I802" s="254" t="str">
        <f>'Dry_Litterbag Placem_Collection'!C143</f>
        <v>Wet_P2_T5</v>
      </c>
      <c r="J802" s="263" t="s">
        <v>2932</v>
      </c>
      <c r="K802" s="264" t="s">
        <v>298</v>
      </c>
      <c r="L802" s="253" t="str">
        <f>IF(ISBLANK('Dry_Litterbag Placem_Collection'!M143),"","R"&amp;""&amp;'Dry_Litterbag Placem_Collection'!M143)</f>
        <v/>
      </c>
      <c r="M802" s="257" t="str">
        <f>IFERROR(INDEX('Green_rooibos initial weight'!$C$5:$C$2000,MATCH(L802, 'Green_rooibos initial weight'!$A$5:$A$2000,0)),"")</f>
        <v/>
      </c>
      <c r="N802" s="257" t="str">
        <f>IFERROR(M802-(TBIcalc!$Q$9+TBIcalc!$Q$10),"")</f>
        <v/>
      </c>
      <c r="O802" s="378">
        <f>AVERAGE(Ashed_controlls!$K$12:$K$14)</f>
        <v>2.2816647271287041</v>
      </c>
      <c r="P802" s="257" t="str">
        <f t="shared" si="61"/>
        <v/>
      </c>
      <c r="Q802" s="257" t="str">
        <f>IFERROR(INDEX('Both teabags AfterDry'!$D$2:$D$2000,MATCH(L802,'Both teabags AfterDry'!$A$2:$A$2000,0)),"")</f>
        <v/>
      </c>
      <c r="R802" s="257" t="str">
        <f>IFERROR(IF(Q802&gt;0,Q802-(TBIcalc!$Q$9),""),"")</f>
        <v/>
      </c>
      <c r="S802" s="268" t="str">
        <f>IFERROR(INDEX('Ashed teabags dry'!$K$2:$K$2000,MATCH(L802,'Ashed teabags dry'!$A$2:$A$2000,0)),"")</f>
        <v/>
      </c>
      <c r="T802" s="268" t="str">
        <f t="shared" si="62"/>
        <v/>
      </c>
      <c r="U802" s="258" t="str">
        <f>IF('Dry_Litterbag Placem_Collection'!E143="","",'Dry_Litterbag Placem_Collection'!E143)</f>
        <v/>
      </c>
      <c r="V802" s="258" t="str">
        <f>IF('Dry_Litterbag Placem_Collection'!G143="","",'Dry_Litterbag Placem_Collection'!G143)</f>
        <v/>
      </c>
      <c r="W802" s="259" t="str">
        <f t="shared" si="60"/>
        <v/>
      </c>
      <c r="X802" s="257" t="str">
        <f t="shared" si="63"/>
        <v/>
      </c>
      <c r="Y802" s="257" t="str">
        <f t="shared" si="64"/>
        <v/>
      </c>
      <c r="Z802" s="261" t="str">
        <f>IFERROR(INDEX([3]Rainfall_Dry!$O$2:$O$217,MATCH(C802, [3]Rainfall_Dry!$A$2:$A$217,0)),"")</f>
        <v/>
      </c>
      <c r="AA802" s="250">
        <v>33.96</v>
      </c>
      <c r="AB802" s="250">
        <v>8.9200000000000017</v>
      </c>
      <c r="AC802" s="250">
        <v>57.12</v>
      </c>
      <c r="AD802" s="251" t="s">
        <v>2651</v>
      </c>
      <c r="AE802" s="250">
        <v>6.0720551996057202</v>
      </c>
      <c r="AF802">
        <f>IF('WetLitterbags placem_collection'!AB143="","",'WetLitterbags placem_collection'!AB143)</f>
        <v>1.4</v>
      </c>
      <c r="AG802">
        <f>IF('WetLitterbags placem_collection'!Z143="","",'WetLitterbags placem_collection'!Z143)</f>
        <v>28.4</v>
      </c>
      <c r="AH802" s="236" t="str">
        <f>IF('WetLitterbags placem_collection'!AA143="","",'WetLitterbags placem_collection'!AA143)</f>
        <v>G</v>
      </c>
      <c r="AI802">
        <f>IF('WetLitterbags placem_collection'!AC143="","",'WetLitterbags placem_collection'!AC143)</f>
        <v>1</v>
      </c>
      <c r="AJ802" t="str">
        <f>IFERROR(AVERAGE('Dry_Litterbag Placem_Collection'!O143,'Dry_Litterbag Placem_Collection'!R143),"")</f>
        <v/>
      </c>
      <c r="AK802" s="261" t="str">
        <f>IFERROR(AVERAGE('Dry_Litterbag Placem_Collection'!N143,'Dry_Litterbag Placem_Collection'!Q143),"")</f>
        <v/>
      </c>
      <c r="AL802" s="260">
        <f>INDEX([2]Coordinates!$B$2:$B$197,MATCH(I802,[2]Coordinates!$J$2:$J$197,0))</f>
        <v>-2.3486060000000002</v>
      </c>
      <c r="AM802" s="260">
        <f>INDEX([2]Coordinates!$C$2:$C$197,MATCH(I802,[2]Coordinates!$J$2:$J$197,0))</f>
        <v>34.050010020000002</v>
      </c>
      <c r="AN802" s="260" t="str">
        <f>IF(ISNUMBER(SEARCH("C", 'Dry_Litterbag Placem_Collection'!V143)),"YES","NO")</f>
        <v>NO</v>
      </c>
      <c r="AO802" s="260" t="str">
        <f>IF(ISNUMBER(SEARCH("H", 'Dry_Litterbag Placem_Collection'!V143)),"YES","NO")</f>
        <v>NO</v>
      </c>
      <c r="AP802" s="260" t="str">
        <f>IF(ISNUMBER(SEARCH("R", 'Dry_Litterbag Placem_Collection'!V143)),"YES","NO")</f>
        <v>NO</v>
      </c>
    </row>
    <row r="803" spans="1:42" ht="15" customHeight="1">
      <c r="A803" t="s">
        <v>3248</v>
      </c>
      <c r="B803" s="252" t="s">
        <v>2643</v>
      </c>
      <c r="C803" s="253">
        <f>'Dry_Litterbag Placem_Collection'!A144</f>
        <v>142</v>
      </c>
      <c r="D803" s="253" t="str">
        <f>'Dry_Litterbag Placem_Collection'!B144</f>
        <v xml:space="preserve">Mwantimba
</v>
      </c>
      <c r="E803" s="253" t="s">
        <v>2454</v>
      </c>
      <c r="F803" s="253" t="s">
        <v>20</v>
      </c>
      <c r="G803" s="253">
        <v>2</v>
      </c>
      <c r="H803" s="253" t="s">
        <v>3123</v>
      </c>
      <c r="I803" s="254" t="str">
        <f>'Dry_Litterbag Placem_Collection'!C144</f>
        <v>Wet_P2_T6</v>
      </c>
      <c r="J803" s="263" t="s">
        <v>2932</v>
      </c>
      <c r="K803" s="264" t="s">
        <v>298</v>
      </c>
      <c r="L803" s="253" t="str">
        <f>IF(ISBLANK('Dry_Litterbag Placem_Collection'!M144),"","R"&amp;""&amp;'Dry_Litterbag Placem_Collection'!M144)</f>
        <v>R626</v>
      </c>
      <c r="M803" s="257">
        <f>IFERROR(INDEX('Green_rooibos initial weight'!$C$5:$C$2000,MATCH(L803, 'Green_rooibos initial weight'!$A$5:$A$2000,0)),"")</f>
        <v>2.0699999999999998</v>
      </c>
      <c r="N803" s="257">
        <f>IFERROR(M803-(TBIcalc!$Q$9+TBIcalc!$Q$10),"")</f>
        <v>1.8201999999999998</v>
      </c>
      <c r="O803" s="378">
        <f>AVERAGE(Ashed_controlls!$K$12:$K$14)</f>
        <v>2.2816647271287041</v>
      </c>
      <c r="P803" s="257">
        <f t="shared" si="61"/>
        <v>1.7786691386368032</v>
      </c>
      <c r="Q803" s="257" t="str">
        <f>IFERROR(INDEX('Both teabags AfterDry'!$D$2:$D$2000,MATCH(L803,'Both teabags AfterDry'!$A$2:$A$2000,0)),"")</f>
        <v/>
      </c>
      <c r="R803" s="257" t="str">
        <f>IFERROR(IF(Q803&gt;0,Q803-(TBIcalc!$Q$9),""),"")</f>
        <v/>
      </c>
      <c r="S803" s="268" t="str">
        <f>IFERROR(INDEX('Ashed teabags dry'!$K$2:$K$2000,MATCH(L803,'Ashed teabags dry'!$A$2:$A$2000,0)),"")</f>
        <v/>
      </c>
      <c r="T803" s="268" t="str">
        <f t="shared" si="62"/>
        <v/>
      </c>
      <c r="U803" s="258">
        <f>IF('Dry_Litterbag Placem_Collection'!E144="","",'Dry_Litterbag Placem_Collection'!E144)</f>
        <v>42939</v>
      </c>
      <c r="V803" s="258">
        <f>IF('Dry_Litterbag Placem_Collection'!G144="","",'Dry_Litterbag Placem_Collection'!G144)</f>
        <v>43008</v>
      </c>
      <c r="W803" s="259">
        <f t="shared" si="60"/>
        <v>69</v>
      </c>
      <c r="X803" s="257" t="str">
        <f t="shared" si="63"/>
        <v/>
      </c>
      <c r="Y803" s="257" t="str">
        <f t="shared" si="64"/>
        <v/>
      </c>
      <c r="Z803" s="261">
        <f>IFERROR(INDEX([3]Rainfall_Dry!$O$2:$O$217,MATCH(C803, [3]Rainfall_Dry!$A$2:$A$217,0)),"")</f>
        <v>136.27214243</v>
      </c>
      <c r="AA803" s="250">
        <v>33.96</v>
      </c>
      <c r="AB803" s="250">
        <v>8.9200000000000017</v>
      </c>
      <c r="AC803" s="250">
        <v>57.12</v>
      </c>
      <c r="AD803" s="251" t="s">
        <v>2651</v>
      </c>
      <c r="AE803" s="250">
        <v>7.0720551996057202</v>
      </c>
      <c r="AF803">
        <f>IF('WetLitterbags placem_collection'!AB144="","",'WetLitterbags placem_collection'!AB144)</f>
        <v>1.7</v>
      </c>
      <c r="AG803">
        <f>IF('WetLitterbags placem_collection'!Z144="","",'WetLitterbags placem_collection'!Z144)</f>
        <v>33.799999999999997</v>
      </c>
      <c r="AH803" s="236" t="str">
        <f>IF('WetLitterbags placem_collection'!AA144="","",'WetLitterbags placem_collection'!AA144)</f>
        <v>G</v>
      </c>
      <c r="AI803">
        <f>IF('WetLitterbags placem_collection'!AC144="","",'WetLitterbags placem_collection'!AC144)</f>
        <v>1</v>
      </c>
      <c r="AJ803">
        <f>IFERROR(AVERAGE('Dry_Litterbag Placem_Collection'!O144,'Dry_Litterbag Placem_Collection'!R144),"")</f>
        <v>8.4499999999999993</v>
      </c>
      <c r="AK803" s="261">
        <f>IFERROR(AVERAGE('Dry_Litterbag Placem_Collection'!N144,'Dry_Litterbag Placem_Collection'!Q144),"")</f>
        <v>28.4</v>
      </c>
      <c r="AL803" s="260">
        <f>INDEX([2]Coordinates!$B$2:$B$197,MATCH(I803,[2]Coordinates!$J$2:$J$197,0))</f>
        <v>-2.348618992</v>
      </c>
      <c r="AM803" s="260">
        <f>INDEX([2]Coordinates!$C$2:$C$197,MATCH(I803,[2]Coordinates!$J$2:$J$197,0))</f>
        <v>34.049996030000003</v>
      </c>
      <c r="AN803" s="260" t="str">
        <f>IF(ISNUMBER(SEARCH("C", 'Dry_Litterbag Placem_Collection'!V144)),"YES","NO")</f>
        <v>NO</v>
      </c>
      <c r="AO803" s="260" t="str">
        <f>IF(ISNUMBER(SEARCH("H", 'Dry_Litterbag Placem_Collection'!V144)),"YES","NO")</f>
        <v>NO</v>
      </c>
      <c r="AP803" s="260" t="str">
        <f>IF(ISNUMBER(SEARCH("R", 'Dry_Litterbag Placem_Collection'!V144)),"YES","NO")</f>
        <v>NO</v>
      </c>
    </row>
    <row r="804" spans="1:42" ht="15" customHeight="1">
      <c r="A804" t="s">
        <v>3248</v>
      </c>
      <c r="B804" s="252" t="s">
        <v>2643</v>
      </c>
      <c r="C804" s="253">
        <f>'Dry_Litterbag Placem_Collection'!A145</f>
        <v>143</v>
      </c>
      <c r="D804" s="253" t="str">
        <f>'Dry_Litterbag Placem_Collection'!B145</f>
        <v xml:space="preserve">Mwantimba
</v>
      </c>
      <c r="E804" s="253" t="s">
        <v>2454</v>
      </c>
      <c r="F804" s="253" t="s">
        <v>20</v>
      </c>
      <c r="G804" s="253">
        <v>2</v>
      </c>
      <c r="H804" s="253" t="s">
        <v>3123</v>
      </c>
      <c r="I804" s="254" t="str">
        <f>'Dry_Litterbag Placem_Collection'!C145</f>
        <v>Wet_P2_T7</v>
      </c>
      <c r="J804" s="263" t="s">
        <v>2932</v>
      </c>
      <c r="K804" s="264" t="s">
        <v>298</v>
      </c>
      <c r="L804" s="253" t="str">
        <f>IF(ISBLANK('Dry_Litterbag Placem_Collection'!M145),"","R"&amp;""&amp;'Dry_Litterbag Placem_Collection'!M145)</f>
        <v>R195</v>
      </c>
      <c r="M804" s="257">
        <f>IFERROR(INDEX('Green_rooibos initial weight'!$C$5:$C$2000,MATCH(L804, 'Green_rooibos initial weight'!$A$5:$A$2000,0)),"")</f>
        <v>2.1640000000000001</v>
      </c>
      <c r="N804" s="257">
        <f>IFERROR(M804-(TBIcalc!$Q$9+TBIcalc!$Q$10),"")</f>
        <v>1.9142000000000001</v>
      </c>
      <c r="O804" s="378">
        <f>AVERAGE(Ashed_controlls!$K$12:$K$14)</f>
        <v>2.2816647271287041</v>
      </c>
      <c r="P804" s="257">
        <f t="shared" si="61"/>
        <v>1.8705243737933024</v>
      </c>
      <c r="Q804" s="257">
        <f>IFERROR(INDEX('Both teabags AfterDry'!$D$2:$D$2000,MATCH(L804,'Both teabags AfterDry'!$A$2:$A$2000,0)),"")</f>
        <v>1.6592</v>
      </c>
      <c r="R804" s="257">
        <f>IFERROR(IF(Q804&gt;0,Q804-(TBIcalc!$Q$9),""),"")</f>
        <v>1.5085999999999999</v>
      </c>
      <c r="S804" s="268">
        <f>IFERROR(INDEX('Ashed teabags dry'!$K$2:$K$2000,MATCH(L804,'Ashed teabags dry'!$A$2:$A$2000,0)),"")</f>
        <v>10.110294117647566</v>
      </c>
      <c r="T804" s="268">
        <f t="shared" si="62"/>
        <v>1.3560761029411688</v>
      </c>
      <c r="U804" s="258">
        <f>IF('Dry_Litterbag Placem_Collection'!E145="","",'Dry_Litterbag Placem_Collection'!E145)</f>
        <v>42939</v>
      </c>
      <c r="V804" s="258">
        <f>IF('Dry_Litterbag Placem_Collection'!G145="","",'Dry_Litterbag Placem_Collection'!G145)</f>
        <v>43008</v>
      </c>
      <c r="W804" s="259">
        <f t="shared" si="60"/>
        <v>69</v>
      </c>
      <c r="X804" s="257">
        <f t="shared" si="63"/>
        <v>0.40560000000000018</v>
      </c>
      <c r="Y804" s="257">
        <f t="shared" si="64"/>
        <v>0.51444827085213363</v>
      </c>
      <c r="Z804" s="261">
        <f>IFERROR(INDEX([3]Rainfall_Dry!$O$2:$O$217,MATCH(C804, [3]Rainfall_Dry!$A$2:$A$217,0)),"")</f>
        <v>136.27214243</v>
      </c>
      <c r="AA804" s="250">
        <v>33.96</v>
      </c>
      <c r="AB804" s="250">
        <v>8.9200000000000017</v>
      </c>
      <c r="AC804" s="250">
        <v>57.12</v>
      </c>
      <c r="AD804" s="251" t="s">
        <v>2651</v>
      </c>
      <c r="AE804" s="250">
        <v>8.0720551996057193</v>
      </c>
      <c r="AF804">
        <f>IF('WetLitterbags placem_collection'!AB145="","",'WetLitterbags placem_collection'!AB145)</f>
        <v>2</v>
      </c>
      <c r="AG804">
        <f>IF('WetLitterbags placem_collection'!Z145="","",'WetLitterbags placem_collection'!Z145)</f>
        <v>23.4</v>
      </c>
      <c r="AH804" s="236" t="str">
        <f>IF('WetLitterbags placem_collection'!AA145="","",'WetLitterbags placem_collection'!AA145)</f>
        <v>G</v>
      </c>
      <c r="AI804">
        <f>IF('WetLitterbags placem_collection'!AC145="","",'WetLitterbags placem_collection'!AC145)</f>
        <v>1</v>
      </c>
      <c r="AJ804">
        <f>IFERROR(AVERAGE('Dry_Litterbag Placem_Collection'!O145,'Dry_Litterbag Placem_Collection'!R145),"")</f>
        <v>12.5</v>
      </c>
      <c r="AK804" s="261">
        <f>IFERROR(AVERAGE('Dry_Litterbag Placem_Collection'!N145,'Dry_Litterbag Placem_Collection'!Q145),"")</f>
        <v>28</v>
      </c>
      <c r="AL804" s="260">
        <f>INDEX([2]Coordinates!$B$2:$B$197,MATCH(I804,[2]Coordinates!$J$2:$J$197,0))</f>
        <v>-2.3484970349999998</v>
      </c>
      <c r="AM804" s="260">
        <f>INDEX([2]Coordinates!$C$2:$C$197,MATCH(I804,[2]Coordinates!$J$2:$J$197,0))</f>
        <v>34.049979010000001</v>
      </c>
      <c r="AN804" s="260" t="str">
        <f>IF(ISNUMBER(SEARCH("C", 'Dry_Litterbag Placem_Collection'!V145)),"YES","NO")</f>
        <v>NO</v>
      </c>
      <c r="AO804" s="260" t="str">
        <f>IF(ISNUMBER(SEARCH("H", 'Dry_Litterbag Placem_Collection'!V145)),"YES","NO")</f>
        <v>NO</v>
      </c>
      <c r="AP804" s="260" t="str">
        <f>IF(ISNUMBER(SEARCH("R", 'Dry_Litterbag Placem_Collection'!V145)),"YES","NO")</f>
        <v>NO</v>
      </c>
    </row>
    <row r="805" spans="1:42" ht="15" customHeight="1">
      <c r="A805" t="s">
        <v>3248</v>
      </c>
      <c r="B805" s="252" t="s">
        <v>2643</v>
      </c>
      <c r="C805" s="253">
        <f>'Dry_Litterbag Placem_Collection'!A146</f>
        <v>144</v>
      </c>
      <c r="D805" s="253" t="str">
        <f>'Dry_Litterbag Placem_Collection'!B146</f>
        <v xml:space="preserve">Mwantimba
</v>
      </c>
      <c r="E805" s="253" t="s">
        <v>2454</v>
      </c>
      <c r="F805" s="253" t="s">
        <v>20</v>
      </c>
      <c r="G805" s="253">
        <v>2</v>
      </c>
      <c r="H805" s="253" t="s">
        <v>3123</v>
      </c>
      <c r="I805" s="254" t="str">
        <f>'Dry_Litterbag Placem_Collection'!C146</f>
        <v>Wet_P2_T8</v>
      </c>
      <c r="J805" s="263" t="s">
        <v>2932</v>
      </c>
      <c r="K805" s="264" t="s">
        <v>298</v>
      </c>
      <c r="L805" s="253" t="str">
        <f>IF(ISBLANK('Dry_Litterbag Placem_Collection'!M146),"","R"&amp;""&amp;'Dry_Litterbag Placem_Collection'!M146)</f>
        <v>R295</v>
      </c>
      <c r="M805" s="257">
        <f>IFERROR(INDEX('Green_rooibos initial weight'!$C$5:$C$2000,MATCH(L805, 'Green_rooibos initial weight'!$A$5:$A$2000,0)),"")</f>
        <v>2.194</v>
      </c>
      <c r="N805" s="257">
        <f>IFERROR(M805-(TBIcalc!$Q$9+TBIcalc!$Q$10),"")</f>
        <v>1.9441999999999999</v>
      </c>
      <c r="O805" s="378">
        <f>AVERAGE(Ashed_controlls!$K$12:$K$14)</f>
        <v>2.2816647271287041</v>
      </c>
      <c r="P805" s="257">
        <f t="shared" si="61"/>
        <v>1.8998398743751637</v>
      </c>
      <c r="Q805" s="257">
        <f>IFERROR(INDEX('Both teabags AfterDry'!$D$2:$D$2000,MATCH(L805,'Both teabags AfterDry'!$A$2:$A$2000,0)),"")</f>
        <v>1.7096</v>
      </c>
      <c r="R805" s="257">
        <f>IFERROR(IF(Q805&gt;0,Q805-(TBIcalc!$Q$9),""),"")</f>
        <v>1.5589999999999999</v>
      </c>
      <c r="S805" s="268">
        <f>IFERROR(INDEX('Ashed teabags dry'!$K$2:$K$2000,MATCH(L805,'Ashed teabags dry'!$A$2:$A$2000,0)),"")</f>
        <v>6.2071917808215078</v>
      </c>
      <c r="T805" s="268">
        <f t="shared" si="62"/>
        <v>1.4622298801369926</v>
      </c>
      <c r="U805" s="258">
        <f>IF('Dry_Litterbag Placem_Collection'!E146="","",'Dry_Litterbag Placem_Collection'!E146)</f>
        <v>42939</v>
      </c>
      <c r="V805" s="258">
        <f>IF('Dry_Litterbag Placem_Collection'!G146="","",'Dry_Litterbag Placem_Collection'!G146)</f>
        <v>43008</v>
      </c>
      <c r="W805" s="259">
        <f t="shared" si="60"/>
        <v>69</v>
      </c>
      <c r="X805" s="257">
        <f t="shared" si="63"/>
        <v>0.38519999999999999</v>
      </c>
      <c r="Y805" s="257">
        <f t="shared" si="64"/>
        <v>0.43760999423817104</v>
      </c>
      <c r="Z805" s="261">
        <f>IFERROR(INDEX([3]Rainfall_Dry!$O$2:$O$217,MATCH(C805, [3]Rainfall_Dry!$A$2:$A$217,0)),"")</f>
        <v>136.27214243</v>
      </c>
      <c r="AA805" s="250">
        <v>33.96</v>
      </c>
      <c r="AB805" s="250">
        <v>8.9200000000000017</v>
      </c>
      <c r="AC805" s="250">
        <v>57.12</v>
      </c>
      <c r="AD805" s="251" t="s">
        <v>2651</v>
      </c>
      <c r="AE805" s="250">
        <v>9.0720551996057193</v>
      </c>
      <c r="AF805">
        <f>IF('WetLitterbags placem_collection'!AB146="","",'WetLitterbags placem_collection'!AB146)</f>
        <v>2.5</v>
      </c>
      <c r="AG805">
        <f>IF('WetLitterbags placem_collection'!Z146="","",'WetLitterbags placem_collection'!Z146)</f>
        <v>19.8</v>
      </c>
      <c r="AH805" s="236" t="str">
        <f>IF('WetLitterbags placem_collection'!AA146="","",'WetLitterbags placem_collection'!AA146)</f>
        <v>G</v>
      </c>
      <c r="AI805">
        <f>IF('WetLitterbags placem_collection'!AC146="","",'WetLitterbags placem_collection'!AC146)</f>
        <v>1</v>
      </c>
      <c r="AJ805">
        <f>IFERROR(AVERAGE('Dry_Litterbag Placem_Collection'!O146,'Dry_Litterbag Placem_Collection'!R146),"")</f>
        <v>9.4499999999999993</v>
      </c>
      <c r="AK805" s="261">
        <f>IFERROR(AVERAGE('Dry_Litterbag Placem_Collection'!N146,'Dry_Litterbag Placem_Collection'!Q146),"")</f>
        <v>29.15</v>
      </c>
      <c r="AL805" s="260">
        <f>INDEX([2]Coordinates!$B$2:$B$197,MATCH(I805,[2]Coordinates!$J$2:$J$197,0))</f>
        <v>-2.3486560399999998</v>
      </c>
      <c r="AM805" s="260">
        <f>INDEX([2]Coordinates!$C$2:$C$197,MATCH(I805,[2]Coordinates!$J$2:$J$197,0))</f>
        <v>34.049895020000001</v>
      </c>
      <c r="AN805" s="260" t="str">
        <f>IF(ISNUMBER(SEARCH("C", 'Dry_Litterbag Placem_Collection'!V146)),"YES","NO")</f>
        <v>NO</v>
      </c>
      <c r="AO805" s="260" t="str">
        <f>IF(ISNUMBER(SEARCH("H", 'Dry_Litterbag Placem_Collection'!V146)),"YES","NO")</f>
        <v>NO</v>
      </c>
      <c r="AP805" s="260" t="str">
        <f>IF(ISNUMBER(SEARCH("R", 'Dry_Litterbag Placem_Collection'!V146)),"YES","NO")</f>
        <v>NO</v>
      </c>
    </row>
    <row r="806" spans="1:42" ht="15" customHeight="1">
      <c r="A806" t="s">
        <v>3248</v>
      </c>
      <c r="B806" s="252" t="s">
        <v>2643</v>
      </c>
      <c r="C806" s="253">
        <f>'Dry_Litterbag Placem_Collection'!A147</f>
        <v>145</v>
      </c>
      <c r="D806" s="253" t="str">
        <f>'Dry_Litterbag Placem_Collection'!B147</f>
        <v xml:space="preserve">Mwantimba
</v>
      </c>
      <c r="E806" s="253" t="s">
        <v>2454</v>
      </c>
      <c r="F806" s="253" t="s">
        <v>20</v>
      </c>
      <c r="G806" s="253">
        <v>3</v>
      </c>
      <c r="H806" s="253" t="s">
        <v>3124</v>
      </c>
      <c r="I806" s="254" t="str">
        <f>'Dry_Litterbag Placem_Collection'!C147</f>
        <v>Wet_P3_T1</v>
      </c>
      <c r="J806" s="263" t="s">
        <v>2932</v>
      </c>
      <c r="K806" s="264" t="s">
        <v>298</v>
      </c>
      <c r="L806" s="253" t="str">
        <f>IF(ISBLANK('Dry_Litterbag Placem_Collection'!M147),"","R"&amp;""&amp;'Dry_Litterbag Placem_Collection'!M147)</f>
        <v>R609</v>
      </c>
      <c r="M806" s="257">
        <f>IFERROR(INDEX('Green_rooibos initial weight'!$C$5:$C$2000,MATCH(L806, 'Green_rooibos initial weight'!$A$5:$A$2000,0)),"")</f>
        <v>2.165</v>
      </c>
      <c r="N806" s="257">
        <f>IFERROR(M806-(TBIcalc!$Q$9+TBIcalc!$Q$10),"")</f>
        <v>1.9152</v>
      </c>
      <c r="O806" s="378">
        <f>AVERAGE(Ashed_controlls!$K$12:$K$14)</f>
        <v>2.2816647271287041</v>
      </c>
      <c r="P806" s="257">
        <f t="shared" si="61"/>
        <v>1.8715015571460312</v>
      </c>
      <c r="Q806" s="257">
        <f>IFERROR(INDEX('Both teabags AfterDry'!$D$2:$D$2000,MATCH(L806,'Both teabags AfterDry'!$A$2:$A$2000,0)),"")</f>
        <v>1.9753000000000001</v>
      </c>
      <c r="R806" s="257">
        <f>IFERROR(IF(Q806&gt;0,Q806-(TBIcalc!$Q$9),""),"")</f>
        <v>1.8247</v>
      </c>
      <c r="S806" s="268">
        <f>IFERROR(INDEX('Ashed teabags dry'!$K$2:$K$2000,MATCH(L806,'Ashed teabags dry'!$A$2:$A$2000,0)),"")</f>
        <v>3.7512339585388541</v>
      </c>
      <c r="T806" s="268">
        <f t="shared" si="62"/>
        <v>1.7562512339585414</v>
      </c>
      <c r="U806" s="258">
        <f>IF('Dry_Litterbag Placem_Collection'!E147="","",'Dry_Litterbag Placem_Collection'!E147)</f>
        <v>42939</v>
      </c>
      <c r="V806" s="258">
        <f>IF('Dry_Litterbag Placem_Collection'!G147="","",'Dry_Litterbag Placem_Collection'!G147)</f>
        <v>43010</v>
      </c>
      <c r="W806" s="259">
        <f t="shared" si="60"/>
        <v>71</v>
      </c>
      <c r="X806" s="257">
        <f t="shared" si="63"/>
        <v>9.0500000000000025E-2</v>
      </c>
      <c r="Y806" s="257">
        <f t="shared" si="64"/>
        <v>0.11525032318748973</v>
      </c>
      <c r="Z806" s="261">
        <f>IFERROR(INDEX([3]Rainfall_Dry!$O$2:$O$217,MATCH(C806, [3]Rainfall_Dry!$A$2:$A$217,0)),"")</f>
        <v>137.19979645800001</v>
      </c>
      <c r="AA806" s="250">
        <v>39.96</v>
      </c>
      <c r="AB806" s="250">
        <v>12.920000000000002</v>
      </c>
      <c r="AC806" s="250">
        <v>47.12</v>
      </c>
      <c r="AD806" s="251" t="s">
        <v>2655</v>
      </c>
      <c r="AE806" s="250">
        <v>1.6549531789058647</v>
      </c>
      <c r="AF806">
        <f>IF('WetLitterbags placem_collection'!AB147="","",'WetLitterbags placem_collection'!AB147)</f>
        <v>3.95</v>
      </c>
      <c r="AG806">
        <f>IF('WetLitterbags placem_collection'!Z147="","",'WetLitterbags placem_collection'!Z147)</f>
        <v>13</v>
      </c>
      <c r="AH806" s="236" t="str">
        <f>IF('WetLitterbags placem_collection'!AA147="","",'WetLitterbags placem_collection'!AA147)</f>
        <v>O</v>
      </c>
      <c r="AI806">
        <f>IF('WetLitterbags placem_collection'!AC147="","",'WetLitterbags placem_collection'!AC147)</f>
        <v>0</v>
      </c>
      <c r="AJ806">
        <f>IFERROR(AVERAGE('Dry_Litterbag Placem_Collection'!O147,'Dry_Litterbag Placem_Collection'!R147),"")</f>
        <v>6.35</v>
      </c>
      <c r="AK806" s="261">
        <f>IFERROR(AVERAGE('Dry_Litterbag Placem_Collection'!N147,'Dry_Litterbag Placem_Collection'!Q147),"")</f>
        <v>30</v>
      </c>
      <c r="AL806" s="260">
        <f>INDEX([2]Coordinates!$B$2:$B$197,MATCH(I806,[2]Coordinates!$J$2:$J$197,0))</f>
        <v>-2.3675269729999999</v>
      </c>
      <c r="AM806" s="260">
        <f>INDEX([2]Coordinates!$C$2:$C$197,MATCH(I806,[2]Coordinates!$J$2:$J$197,0))</f>
        <v>34.06035799</v>
      </c>
      <c r="AN806" s="260" t="str">
        <f>IF(ISNUMBER(SEARCH("C", 'Dry_Litterbag Placem_Collection'!V147)),"YES","NO")</f>
        <v>NO</v>
      </c>
      <c r="AO806" s="260" t="str">
        <f>IF(ISNUMBER(SEARCH("H", 'Dry_Litterbag Placem_Collection'!V147)),"YES","NO")</f>
        <v>NO</v>
      </c>
      <c r="AP806" s="260" t="str">
        <f>IF(ISNUMBER(SEARCH("R", 'Dry_Litterbag Placem_Collection'!V147)),"YES","NO")</f>
        <v>NO</v>
      </c>
    </row>
    <row r="807" spans="1:42" ht="15" customHeight="1">
      <c r="A807" t="s">
        <v>3248</v>
      </c>
      <c r="B807" s="252" t="s">
        <v>2643</v>
      </c>
      <c r="C807" s="253">
        <f>'Dry_Litterbag Placem_Collection'!A148</f>
        <v>146</v>
      </c>
      <c r="D807" s="253" t="str">
        <f>'Dry_Litterbag Placem_Collection'!B148</f>
        <v xml:space="preserve">Mwantimba
</v>
      </c>
      <c r="E807" s="253" t="s">
        <v>2454</v>
      </c>
      <c r="F807" s="253" t="s">
        <v>20</v>
      </c>
      <c r="G807" s="253">
        <v>3</v>
      </c>
      <c r="H807" s="253" t="s">
        <v>3124</v>
      </c>
      <c r="I807" s="254" t="str">
        <f>'Dry_Litterbag Placem_Collection'!C148</f>
        <v>Wet_P3_T2</v>
      </c>
      <c r="J807" s="263" t="s">
        <v>2932</v>
      </c>
      <c r="K807" s="264" t="s">
        <v>298</v>
      </c>
      <c r="L807" s="253" t="str">
        <f>IF(ISBLANK('Dry_Litterbag Placem_Collection'!M148),"","R"&amp;""&amp;'Dry_Litterbag Placem_Collection'!M148)</f>
        <v>R292</v>
      </c>
      <c r="M807" s="257">
        <f>IFERROR(INDEX('Green_rooibos initial weight'!$C$5:$C$2000,MATCH(L807, 'Green_rooibos initial weight'!$A$5:$A$2000,0)),"")</f>
        <v>2.2370000000000001</v>
      </c>
      <c r="N807" s="257">
        <f>IFERROR(M807-(TBIcalc!$Q$9+TBIcalc!$Q$10),"")</f>
        <v>1.9872000000000001</v>
      </c>
      <c r="O807" s="378">
        <f>AVERAGE(Ashed_controlls!$K$12:$K$14)</f>
        <v>2.2816647271287041</v>
      </c>
      <c r="P807" s="257">
        <f t="shared" si="61"/>
        <v>1.9418587585424985</v>
      </c>
      <c r="Q807" s="257">
        <f>IFERROR(INDEX('Both teabags AfterDry'!$D$2:$D$2000,MATCH(L807,'Both teabags AfterDry'!$A$2:$A$2000,0)),"")</f>
        <v>2.0505</v>
      </c>
      <c r="R807" s="257">
        <f>IFERROR(IF(Q807&gt;0,Q807-(TBIcalc!$Q$9),""),"")</f>
        <v>1.8998999999999999</v>
      </c>
      <c r="S807" s="268">
        <f>IFERROR(INDEX('Ashed teabags dry'!$K$2:$K$2000,MATCH(L807,'Ashed teabags dry'!$A$2:$A$2000,0)),"")</f>
        <v>2.5435704192176245</v>
      </c>
      <c r="T807" s="268">
        <f t="shared" si="62"/>
        <v>1.8515747056052843</v>
      </c>
      <c r="U807" s="258">
        <f>IF('Dry_Litterbag Placem_Collection'!E148="","",'Dry_Litterbag Placem_Collection'!E148)</f>
        <v>42939</v>
      </c>
      <c r="V807" s="258">
        <f>IF('Dry_Litterbag Placem_Collection'!G148="","",'Dry_Litterbag Placem_Collection'!G148)</f>
        <v>43010</v>
      </c>
      <c r="W807" s="259">
        <f t="shared" si="60"/>
        <v>71</v>
      </c>
      <c r="X807" s="257">
        <f t="shared" si="63"/>
        <v>8.7300000000000155E-2</v>
      </c>
      <c r="Y807" s="257">
        <f t="shared" si="64"/>
        <v>9.0284052937214199E-2</v>
      </c>
      <c r="Z807" s="261">
        <f>IFERROR(INDEX([3]Rainfall_Dry!$O$2:$O$217,MATCH(C807, [3]Rainfall_Dry!$A$2:$A$217,0)),"")</f>
        <v>137.19979645800001</v>
      </c>
      <c r="AA807" s="250">
        <v>39.96</v>
      </c>
      <c r="AB807" s="250">
        <v>12.920000000000002</v>
      </c>
      <c r="AC807" s="250">
        <v>47.12</v>
      </c>
      <c r="AD807" s="251" t="s">
        <v>2655</v>
      </c>
      <c r="AE807" s="250">
        <v>2.6549531789058598</v>
      </c>
      <c r="AF807">
        <f>IF('WetLitterbags placem_collection'!AB148="","",'WetLitterbags placem_collection'!AB148)</f>
        <v>2.75</v>
      </c>
      <c r="AG807">
        <f>IF('WetLitterbags placem_collection'!Z148="","",'WetLitterbags placem_collection'!Z148)</f>
        <v>17.7</v>
      </c>
      <c r="AH807" s="236" t="str">
        <f>IF('WetLitterbags placem_collection'!AA148="","",'WetLitterbags placem_collection'!AA148)</f>
        <v>O</v>
      </c>
      <c r="AI807">
        <f>IF('WetLitterbags placem_collection'!AC148="","",'WetLitterbags placem_collection'!AC148)</f>
        <v>1</v>
      </c>
      <c r="AJ807">
        <f>IFERROR(AVERAGE('Dry_Litterbag Placem_Collection'!O148,'Dry_Litterbag Placem_Collection'!R148),"")</f>
        <v>6.1</v>
      </c>
      <c r="AK807" s="261">
        <f>IFERROR(AVERAGE('Dry_Litterbag Placem_Collection'!N148,'Dry_Litterbag Placem_Collection'!Q148),"")</f>
        <v>31</v>
      </c>
      <c r="AL807" s="260">
        <f>INDEX([2]Coordinates!$B$2:$B$197,MATCH(I807,[2]Coordinates!$J$2:$J$197,0))</f>
        <v>-2.3675380370000001</v>
      </c>
      <c r="AM807" s="260">
        <f>INDEX([2]Coordinates!$C$2:$C$197,MATCH(I807,[2]Coordinates!$J$2:$J$197,0))</f>
        <v>34.060381960000001</v>
      </c>
      <c r="AN807" s="260" t="str">
        <f>IF(ISNUMBER(SEARCH("C", 'Dry_Litterbag Placem_Collection'!V148)),"YES","NO")</f>
        <v>NO</v>
      </c>
      <c r="AO807" s="260" t="str">
        <f>IF(ISNUMBER(SEARCH("H", 'Dry_Litterbag Placem_Collection'!V148)),"YES","NO")</f>
        <v>NO</v>
      </c>
      <c r="AP807" s="260" t="str">
        <f>IF(ISNUMBER(SEARCH("R", 'Dry_Litterbag Placem_Collection'!V148)),"YES","NO")</f>
        <v>NO</v>
      </c>
    </row>
    <row r="808" spans="1:42" ht="15" customHeight="1">
      <c r="A808" t="s">
        <v>3248</v>
      </c>
      <c r="B808" s="252" t="s">
        <v>2643</v>
      </c>
      <c r="C808" s="253">
        <f>'Dry_Litterbag Placem_Collection'!A149</f>
        <v>147</v>
      </c>
      <c r="D808" s="253" t="str">
        <f>'Dry_Litterbag Placem_Collection'!B149</f>
        <v xml:space="preserve">Mwantimba
</v>
      </c>
      <c r="E808" s="253" t="s">
        <v>2454</v>
      </c>
      <c r="F808" s="253" t="s">
        <v>20</v>
      </c>
      <c r="G808" s="253">
        <v>3</v>
      </c>
      <c r="H808" s="253" t="s">
        <v>3124</v>
      </c>
      <c r="I808" s="254" t="str">
        <f>'Dry_Litterbag Placem_Collection'!C149</f>
        <v>Wet_P3_T3</v>
      </c>
      <c r="J808" s="263" t="s">
        <v>2932</v>
      </c>
      <c r="K808" s="264" t="s">
        <v>298</v>
      </c>
      <c r="L808" s="253" t="str">
        <f>IF(ISBLANK('Dry_Litterbag Placem_Collection'!M149),"","R"&amp;""&amp;'Dry_Litterbag Placem_Collection'!M149)</f>
        <v>R243</v>
      </c>
      <c r="M808" s="257">
        <f>IFERROR(INDEX('Green_rooibos initial weight'!$C$5:$C$2000,MATCH(L808, 'Green_rooibos initial weight'!$A$5:$A$2000,0)),"")</f>
        <v>2.1680000000000001</v>
      </c>
      <c r="N808" s="257">
        <f>IFERROR(M808-(TBIcalc!$Q$9+TBIcalc!$Q$10),"")</f>
        <v>1.9182000000000001</v>
      </c>
      <c r="O808" s="378">
        <f>AVERAGE(Ashed_controlls!$K$12:$K$14)</f>
        <v>2.2816647271287041</v>
      </c>
      <c r="P808" s="257">
        <f t="shared" si="61"/>
        <v>1.8744331072042173</v>
      </c>
      <c r="Q808" s="257">
        <f>IFERROR(INDEX('Both teabags AfterDry'!$D$2:$D$2000,MATCH(L808,'Both teabags AfterDry'!$A$2:$A$2000,0)),"")</f>
        <v>1.9182999999999999</v>
      </c>
      <c r="R808" s="257">
        <f>IFERROR(IF(Q808&gt;0,Q808-(TBIcalc!$Q$9),""),"")</f>
        <v>1.7676999999999998</v>
      </c>
      <c r="S808" s="268">
        <f>IFERROR(INDEX('Ashed teabags dry'!$K$2:$K$2000,MATCH(L808,'Ashed teabags dry'!$A$2:$A$2000,0)),"")</f>
        <v>3.2670454545454892</v>
      </c>
      <c r="T808" s="268">
        <f t="shared" si="62"/>
        <v>1.7099484374999991</v>
      </c>
      <c r="U808" s="258">
        <f>IF('Dry_Litterbag Placem_Collection'!E149="","",'Dry_Litterbag Placem_Collection'!E149)</f>
        <v>42939</v>
      </c>
      <c r="V808" s="258">
        <f>IF('Dry_Litterbag Placem_Collection'!G149="","",'Dry_Litterbag Placem_Collection'!G149)</f>
        <v>43010</v>
      </c>
      <c r="W808" s="259">
        <f t="shared" si="60"/>
        <v>71</v>
      </c>
      <c r="X808" s="257">
        <f t="shared" si="63"/>
        <v>0.1505000000000003</v>
      </c>
      <c r="Y808" s="257">
        <f t="shared" si="64"/>
        <v>0.16448466970421816</v>
      </c>
      <c r="Z808" s="261">
        <f>IFERROR(INDEX([3]Rainfall_Dry!$O$2:$O$217,MATCH(C808, [3]Rainfall_Dry!$A$2:$A$217,0)),"")</f>
        <v>137.19979645800001</v>
      </c>
      <c r="AA808" s="250">
        <v>39.96</v>
      </c>
      <c r="AB808" s="250">
        <v>12.920000000000002</v>
      </c>
      <c r="AC808" s="250">
        <v>47.12</v>
      </c>
      <c r="AD808" s="251" t="s">
        <v>2655</v>
      </c>
      <c r="AE808" s="250">
        <v>3.6549531789058598</v>
      </c>
      <c r="AF808">
        <f>IF('WetLitterbags placem_collection'!AB149="","",'WetLitterbags placem_collection'!AB149)</f>
        <v>3.6</v>
      </c>
      <c r="AG808">
        <f>IF('WetLitterbags placem_collection'!Z149="","",'WetLitterbags placem_collection'!Z149)</f>
        <v>19</v>
      </c>
      <c r="AH808" s="236" t="str">
        <f>IF('WetLitterbags placem_collection'!AA149="","",'WetLitterbags placem_collection'!AA149)</f>
        <v>M</v>
      </c>
      <c r="AI808">
        <f>IF('WetLitterbags placem_collection'!AC149="","",'WetLitterbags placem_collection'!AC149)</f>
        <v>1</v>
      </c>
      <c r="AJ808">
        <f>IFERROR(AVERAGE('Dry_Litterbag Placem_Collection'!O149,'Dry_Litterbag Placem_Collection'!R149),"")</f>
        <v>5.6</v>
      </c>
      <c r="AK808" s="261">
        <f>IFERROR(AVERAGE('Dry_Litterbag Placem_Collection'!N149,'Dry_Litterbag Placem_Collection'!Q149),"")</f>
        <v>29.900000000000002</v>
      </c>
      <c r="AL808" s="260">
        <f>INDEX([2]Coordinates!$B$2:$B$197,MATCH(I808,[2]Coordinates!$J$2:$J$197,0))</f>
        <v>-2.3675780180000001</v>
      </c>
      <c r="AM808" s="260">
        <f>INDEX([2]Coordinates!$C$2:$C$197,MATCH(I808,[2]Coordinates!$J$2:$J$197,0))</f>
        <v>34.060323029999999</v>
      </c>
      <c r="AN808" s="260" t="str">
        <f>IF(ISNUMBER(SEARCH("C", 'Dry_Litterbag Placem_Collection'!V149)),"YES","NO")</f>
        <v>NO</v>
      </c>
      <c r="AO808" s="260" t="str">
        <f>IF(ISNUMBER(SEARCH("H", 'Dry_Litterbag Placem_Collection'!V149)),"YES","NO")</f>
        <v>NO</v>
      </c>
      <c r="AP808" s="260" t="str">
        <f>IF(ISNUMBER(SEARCH("R", 'Dry_Litterbag Placem_Collection'!V149)),"YES","NO")</f>
        <v>NO</v>
      </c>
    </row>
    <row r="809" spans="1:42" ht="15" customHeight="1">
      <c r="A809" t="s">
        <v>3248</v>
      </c>
      <c r="B809" s="252" t="s">
        <v>2643</v>
      </c>
      <c r="C809" s="253">
        <f>'Dry_Litterbag Placem_Collection'!A150</f>
        <v>148</v>
      </c>
      <c r="D809" s="253" t="str">
        <f>'Dry_Litterbag Placem_Collection'!B150</f>
        <v xml:space="preserve">Mwantimba
</v>
      </c>
      <c r="E809" s="253" t="s">
        <v>2454</v>
      </c>
      <c r="F809" s="253" t="s">
        <v>20</v>
      </c>
      <c r="G809" s="253">
        <v>3</v>
      </c>
      <c r="H809" s="253" t="s">
        <v>3124</v>
      </c>
      <c r="I809" s="254" t="str">
        <f>'Dry_Litterbag Placem_Collection'!C150</f>
        <v>Wet_P3_T4</v>
      </c>
      <c r="J809" s="263" t="s">
        <v>2932</v>
      </c>
      <c r="K809" s="264" t="s">
        <v>298</v>
      </c>
      <c r="L809" s="253" t="str">
        <f>IF(ISBLANK('Dry_Litterbag Placem_Collection'!M150),"","R"&amp;""&amp;'Dry_Litterbag Placem_Collection'!M150)</f>
        <v>R422</v>
      </c>
      <c r="M809" s="257">
        <f>IFERROR(INDEX('Green_rooibos initial weight'!$C$5:$C$2000,MATCH(L809, 'Green_rooibos initial weight'!$A$5:$A$2000,0)),"")</f>
        <v>2.1760000000000002</v>
      </c>
      <c r="N809" s="257">
        <f>IFERROR(M809-(TBIcalc!$Q$9+TBIcalc!$Q$10),"")</f>
        <v>1.9262000000000001</v>
      </c>
      <c r="O809" s="378">
        <f>AVERAGE(Ashed_controlls!$K$12:$K$14)</f>
        <v>2.2816647271287041</v>
      </c>
      <c r="P809" s="257">
        <f t="shared" si="61"/>
        <v>1.8822505740260471</v>
      </c>
      <c r="Q809" s="257">
        <f>IFERROR(INDEX('Both teabags AfterDry'!$D$2:$D$2000,MATCH(L809,'Both teabags AfterDry'!$A$2:$A$2000,0)),"")</f>
        <v>1.9601999999999999</v>
      </c>
      <c r="R809" s="257">
        <f>IFERROR(IF(Q809&gt;0,Q809-(TBIcalc!$Q$9),""),"")</f>
        <v>1.8095999999999999</v>
      </c>
      <c r="S809" s="268">
        <f>IFERROR(INDEX('Ashed teabags dry'!$K$2:$K$2000,MATCH(L809,'Ashed teabags dry'!$A$2:$A$2000,0)),"")</f>
        <v>4.0076335877862421</v>
      </c>
      <c r="T809" s="268">
        <f t="shared" si="62"/>
        <v>1.73707786259542</v>
      </c>
      <c r="U809" s="258">
        <f>IF('Dry_Litterbag Placem_Collection'!E150="","",'Dry_Litterbag Placem_Collection'!E150)</f>
        <v>42939</v>
      </c>
      <c r="V809" s="258">
        <f>IF('Dry_Litterbag Placem_Collection'!G150="","",'Dry_Litterbag Placem_Collection'!G150)</f>
        <v>43010</v>
      </c>
      <c r="W809" s="259">
        <f t="shared" si="60"/>
        <v>71</v>
      </c>
      <c r="X809" s="257">
        <f t="shared" si="63"/>
        <v>0.11660000000000026</v>
      </c>
      <c r="Y809" s="257">
        <f t="shared" si="64"/>
        <v>0.14517271143062715</v>
      </c>
      <c r="Z809" s="261">
        <f>IFERROR(INDEX([3]Rainfall_Dry!$O$2:$O$217,MATCH(C809, [3]Rainfall_Dry!$A$2:$A$217,0)),"")</f>
        <v>137.19979645800001</v>
      </c>
      <c r="AA809" s="250">
        <v>39.96</v>
      </c>
      <c r="AB809" s="250">
        <v>12.920000000000002</v>
      </c>
      <c r="AC809" s="250">
        <v>47.12</v>
      </c>
      <c r="AD809" s="251" t="s">
        <v>2655</v>
      </c>
      <c r="AE809" s="250">
        <v>4.6549531789058696</v>
      </c>
      <c r="AF809">
        <f>IF('WetLitterbags placem_collection'!AB150="","",'WetLitterbags placem_collection'!AB150)</f>
        <v>4.9000000000000004</v>
      </c>
      <c r="AG809">
        <f>IF('WetLitterbags placem_collection'!Z150="","",'WetLitterbags placem_collection'!Z150)</f>
        <v>17.489999999999998</v>
      </c>
      <c r="AH809" s="236" t="str">
        <f>IF('WetLitterbags placem_collection'!AA150="","",'WetLitterbags placem_collection'!AA150)</f>
        <v>M</v>
      </c>
      <c r="AI809">
        <f>IF('WetLitterbags placem_collection'!AC150="","",'WetLitterbags placem_collection'!AC150)</f>
        <v>1</v>
      </c>
      <c r="AJ809">
        <f>IFERROR(AVERAGE('Dry_Litterbag Placem_Collection'!O150,'Dry_Litterbag Placem_Collection'!R150),"")</f>
        <v>6.5</v>
      </c>
      <c r="AK809" s="261">
        <f>IFERROR(AVERAGE('Dry_Litterbag Placem_Collection'!N150,'Dry_Litterbag Placem_Collection'!Q150),"")</f>
        <v>31.6</v>
      </c>
      <c r="AL809" s="260">
        <f>INDEX([2]Coordinates!$B$2:$B$197,MATCH(I809,[2]Coordinates!$J$2:$J$197,0))</f>
        <v>-2.3676269689999998</v>
      </c>
      <c r="AM809" s="260">
        <f>INDEX([2]Coordinates!$C$2:$C$197,MATCH(I809,[2]Coordinates!$J$2:$J$197,0))</f>
        <v>34.060310960000002</v>
      </c>
      <c r="AN809" s="260" t="str">
        <f>IF(ISNUMBER(SEARCH("C", 'Dry_Litterbag Placem_Collection'!V150)),"YES","NO")</f>
        <v>NO</v>
      </c>
      <c r="AO809" s="260" t="str">
        <f>IF(ISNUMBER(SEARCH("H", 'Dry_Litterbag Placem_Collection'!V150)),"YES","NO")</f>
        <v>NO</v>
      </c>
      <c r="AP809" s="260" t="str">
        <f>IF(ISNUMBER(SEARCH("R", 'Dry_Litterbag Placem_Collection'!V150)),"YES","NO")</f>
        <v>NO</v>
      </c>
    </row>
    <row r="810" spans="1:42" ht="15" customHeight="1">
      <c r="A810" t="s">
        <v>3248</v>
      </c>
      <c r="B810" s="252" t="s">
        <v>2643</v>
      </c>
      <c r="C810" s="253">
        <f>'Dry_Litterbag Placem_Collection'!A151</f>
        <v>149</v>
      </c>
      <c r="D810" s="253" t="str">
        <f>'Dry_Litterbag Placem_Collection'!B151</f>
        <v xml:space="preserve">Mwantimba
</v>
      </c>
      <c r="E810" s="253" t="s">
        <v>2454</v>
      </c>
      <c r="F810" s="253" t="s">
        <v>20</v>
      </c>
      <c r="G810" s="253">
        <v>3</v>
      </c>
      <c r="H810" s="253" t="s">
        <v>3124</v>
      </c>
      <c r="I810" s="254" t="str">
        <f>'Dry_Litterbag Placem_Collection'!C151</f>
        <v>Wet_P3_T5</v>
      </c>
      <c r="J810" s="263" t="s">
        <v>2932</v>
      </c>
      <c r="K810" s="264" t="s">
        <v>298</v>
      </c>
      <c r="L810" s="253" t="str">
        <f>IF(ISBLANK('Dry_Litterbag Placem_Collection'!M151),"","R"&amp;""&amp;'Dry_Litterbag Placem_Collection'!M151)</f>
        <v>R664</v>
      </c>
      <c r="M810" s="257">
        <f>IFERROR(INDEX('Green_rooibos initial weight'!$C$5:$C$2000,MATCH(L810, 'Green_rooibos initial weight'!$A$5:$A$2000,0)),"")</f>
        <v>2.09</v>
      </c>
      <c r="N810" s="257">
        <f>IFERROR(M810-(TBIcalc!$Q$9+TBIcalc!$Q$10),"")</f>
        <v>1.8401999999999998</v>
      </c>
      <c r="O810" s="378">
        <f>AVERAGE(Ashed_controlls!$K$12:$K$14)</f>
        <v>2.2816647271287041</v>
      </c>
      <c r="P810" s="257">
        <f t="shared" si="61"/>
        <v>1.7982128056913775</v>
      </c>
      <c r="Q810" s="257">
        <f>IFERROR(INDEX('Both teabags AfterDry'!$D$2:$D$2000,MATCH(L810,'Both teabags AfterDry'!$A$2:$A$2000,0)),"")</f>
        <v>1.8895999999999999</v>
      </c>
      <c r="R810" s="257">
        <f>IFERROR(IF(Q810&gt;0,Q810-(TBIcalc!$Q$9),""),"")</f>
        <v>1.7389999999999999</v>
      </c>
      <c r="S810" s="268">
        <f>IFERROR(INDEX('Ashed teabags dry'!$K$2:$K$2000,MATCH(L810,'Ashed teabags dry'!$A$2:$A$2000,0)),"")</f>
        <v>3.7617554858933753</v>
      </c>
      <c r="T810" s="268">
        <f t="shared" si="62"/>
        <v>1.673583072100314</v>
      </c>
      <c r="U810" s="258">
        <f>IF('Dry_Litterbag Placem_Collection'!E151="","",'Dry_Litterbag Placem_Collection'!E151)</f>
        <v>42939</v>
      </c>
      <c r="V810" s="258">
        <f>IF('Dry_Litterbag Placem_Collection'!G151="","",'Dry_Litterbag Placem_Collection'!G151)</f>
        <v>43010</v>
      </c>
      <c r="W810" s="259">
        <f t="shared" si="60"/>
        <v>71</v>
      </c>
      <c r="X810" s="257">
        <f t="shared" si="63"/>
        <v>0.10119999999999996</v>
      </c>
      <c r="Y810" s="257">
        <f t="shared" si="64"/>
        <v>0.12462973359106355</v>
      </c>
      <c r="Z810" s="261">
        <f>IFERROR(INDEX([3]Rainfall_Dry!$O$2:$O$217,MATCH(C810, [3]Rainfall_Dry!$A$2:$A$217,0)),"")</f>
        <v>137.19979645800001</v>
      </c>
      <c r="AA810" s="250">
        <v>39.96</v>
      </c>
      <c r="AB810" s="250">
        <v>12.920000000000002</v>
      </c>
      <c r="AC810" s="250">
        <v>47.12</v>
      </c>
      <c r="AD810" s="251" t="s">
        <v>2655</v>
      </c>
      <c r="AE810" s="250">
        <v>5.6549531789058696</v>
      </c>
      <c r="AF810">
        <f>IF('WetLitterbags placem_collection'!AB151="","",'WetLitterbags placem_collection'!AB151)</f>
        <v>2.8</v>
      </c>
      <c r="AG810">
        <f>IF('WetLitterbags placem_collection'!Z151="","",'WetLitterbags placem_collection'!Z151)</f>
        <v>13</v>
      </c>
      <c r="AH810" s="236" t="str">
        <f>IF('WetLitterbags placem_collection'!AA151="","",'WetLitterbags placem_collection'!AA151)</f>
        <v>M</v>
      </c>
      <c r="AI810">
        <f>IF('WetLitterbags placem_collection'!AC151="","",'WetLitterbags placem_collection'!AC151)</f>
        <v>1</v>
      </c>
      <c r="AJ810">
        <f>IFERROR(AVERAGE('Dry_Litterbag Placem_Collection'!O151,'Dry_Litterbag Placem_Collection'!R151),"")</f>
        <v>6.3000000000000007</v>
      </c>
      <c r="AK810" s="261">
        <f>IFERROR(AVERAGE('Dry_Litterbag Placem_Collection'!N151,'Dry_Litterbag Placem_Collection'!Q151),"")</f>
        <v>31</v>
      </c>
      <c r="AL810" s="260">
        <f>INDEX([2]Coordinates!$B$2:$B$197,MATCH(I810,[2]Coordinates!$J$2:$J$197,0))</f>
        <v>-2.3677179960000001</v>
      </c>
      <c r="AM810" s="260">
        <f>INDEX([2]Coordinates!$C$2:$C$197,MATCH(I810,[2]Coordinates!$J$2:$J$197,0))</f>
        <v>34.060324960000003</v>
      </c>
      <c r="AN810" s="260" t="str">
        <f>IF(ISNUMBER(SEARCH("C", 'Dry_Litterbag Placem_Collection'!V151)),"YES","NO")</f>
        <v>NO</v>
      </c>
      <c r="AO810" s="260" t="str">
        <f>IF(ISNUMBER(SEARCH("H", 'Dry_Litterbag Placem_Collection'!V151)),"YES","NO")</f>
        <v>NO</v>
      </c>
      <c r="AP810" s="260" t="str">
        <f>IF(ISNUMBER(SEARCH("R", 'Dry_Litterbag Placem_Collection'!V151)),"YES","NO")</f>
        <v>NO</v>
      </c>
    </row>
    <row r="811" spans="1:42" ht="15" customHeight="1">
      <c r="A811" t="s">
        <v>3248</v>
      </c>
      <c r="B811" s="252" t="s">
        <v>2643</v>
      </c>
      <c r="C811" s="253">
        <f>'Dry_Litterbag Placem_Collection'!A152</f>
        <v>150</v>
      </c>
      <c r="D811" s="253" t="str">
        <f>'Dry_Litterbag Placem_Collection'!B152</f>
        <v xml:space="preserve">Mwantimba
</v>
      </c>
      <c r="E811" s="253" t="s">
        <v>2454</v>
      </c>
      <c r="F811" s="253" t="s">
        <v>20</v>
      </c>
      <c r="G811" s="253">
        <v>3</v>
      </c>
      <c r="H811" s="253" t="s">
        <v>3124</v>
      </c>
      <c r="I811" s="254" t="str">
        <f>'Dry_Litterbag Placem_Collection'!C152</f>
        <v>Wet_P3_T6</v>
      </c>
      <c r="J811" s="263" t="s">
        <v>2932</v>
      </c>
      <c r="K811" s="264" t="s">
        <v>298</v>
      </c>
      <c r="L811" s="253" t="str">
        <f>IF(ISBLANK('Dry_Litterbag Placem_Collection'!M152),"","R"&amp;""&amp;'Dry_Litterbag Placem_Collection'!M152)</f>
        <v>R316</v>
      </c>
      <c r="M811" s="257">
        <f>IFERROR(INDEX('Green_rooibos initial weight'!$C$5:$C$2000,MATCH(L811, 'Green_rooibos initial weight'!$A$5:$A$2000,0)),"")</f>
        <v>2.1779999999999999</v>
      </c>
      <c r="N811" s="257">
        <f>IFERROR(M811-(TBIcalc!$Q$9+TBIcalc!$Q$10),"")</f>
        <v>1.9281999999999999</v>
      </c>
      <c r="O811" s="378">
        <f>AVERAGE(Ashed_controlls!$K$12:$K$14)</f>
        <v>2.2816647271287041</v>
      </c>
      <c r="P811" s="257">
        <f t="shared" si="61"/>
        <v>1.8842049407315042</v>
      </c>
      <c r="Q811" s="257" t="str">
        <f>IFERROR(INDEX('Both teabags AfterDry'!$D$2:$D$2000,MATCH(L811,'Both teabags AfterDry'!$A$2:$A$2000,0)),"")</f>
        <v/>
      </c>
      <c r="R811" s="257" t="str">
        <f>IFERROR(IF(Q811&gt;0,Q811-(TBIcalc!$Q$9),""),"")</f>
        <v/>
      </c>
      <c r="S811" s="268" t="str">
        <f>IFERROR(INDEX('Ashed teabags dry'!$K$2:$K$2000,MATCH(L811,'Ashed teabags dry'!$A$2:$A$2000,0)),"")</f>
        <v/>
      </c>
      <c r="T811" s="268" t="str">
        <f t="shared" si="62"/>
        <v/>
      </c>
      <c r="U811" s="258">
        <f>IF('Dry_Litterbag Placem_Collection'!E152="","",'Dry_Litterbag Placem_Collection'!E152)</f>
        <v>42939</v>
      </c>
      <c r="V811" s="258">
        <f>IF('Dry_Litterbag Placem_Collection'!G152="","",'Dry_Litterbag Placem_Collection'!G152)</f>
        <v>43010</v>
      </c>
      <c r="W811" s="259">
        <f t="shared" si="60"/>
        <v>71</v>
      </c>
      <c r="X811" s="257" t="str">
        <f t="shared" si="63"/>
        <v/>
      </c>
      <c r="Y811" s="257" t="str">
        <f t="shared" si="64"/>
        <v/>
      </c>
      <c r="Z811" s="261">
        <f>IFERROR(INDEX([3]Rainfall_Dry!$O$2:$O$217,MATCH(C811, [3]Rainfall_Dry!$A$2:$A$217,0)),"")</f>
        <v>137.19979645800001</v>
      </c>
      <c r="AA811" s="250">
        <v>39.96</v>
      </c>
      <c r="AB811" s="250">
        <v>12.920000000000002</v>
      </c>
      <c r="AC811" s="250">
        <v>47.12</v>
      </c>
      <c r="AD811" s="251" t="s">
        <v>2655</v>
      </c>
      <c r="AE811" s="250">
        <v>6.6549531789058696</v>
      </c>
      <c r="AF811">
        <f>IF('WetLitterbags placem_collection'!AB152="","",'WetLitterbags placem_collection'!AB152)</f>
        <v>2.75</v>
      </c>
      <c r="AG811">
        <f>IF('WetLitterbags placem_collection'!Z152="","",'WetLitterbags placem_collection'!Z152)</f>
        <v>19</v>
      </c>
      <c r="AH811" s="236" t="str">
        <f>IF('WetLitterbags placem_collection'!AA152="","",'WetLitterbags placem_collection'!AA152)</f>
        <v>O</v>
      </c>
      <c r="AI811">
        <f>IF('WetLitterbags placem_collection'!AC152="","",'WetLitterbags placem_collection'!AC152)</f>
        <v>0</v>
      </c>
      <c r="AJ811">
        <f>IFERROR(AVERAGE('Dry_Litterbag Placem_Collection'!O152,'Dry_Litterbag Placem_Collection'!R152),"")</f>
        <v>6.1999999999999993</v>
      </c>
      <c r="AK811" s="261">
        <f>IFERROR(AVERAGE('Dry_Litterbag Placem_Collection'!N152,'Dry_Litterbag Placem_Collection'!Q152),"")</f>
        <v>30.8</v>
      </c>
      <c r="AL811" s="260">
        <f>INDEX([2]Coordinates!$B$2:$B$197,MATCH(I811,[2]Coordinates!$J$2:$J$197,0))</f>
        <v>-2.3675230329999999</v>
      </c>
      <c r="AM811" s="260">
        <f>INDEX([2]Coordinates!$C$2:$C$197,MATCH(I811,[2]Coordinates!$J$2:$J$197,0))</f>
        <v>34.060512969999998</v>
      </c>
      <c r="AN811" s="260" t="str">
        <f>IF(ISNUMBER(SEARCH("C", 'Dry_Litterbag Placem_Collection'!V152)),"YES","NO")</f>
        <v>NO</v>
      </c>
      <c r="AO811" s="260" t="str">
        <f>IF(ISNUMBER(SEARCH("H", 'Dry_Litterbag Placem_Collection'!V152)),"YES","NO")</f>
        <v>NO</v>
      </c>
      <c r="AP811" s="260" t="str">
        <f>IF(ISNUMBER(SEARCH("R", 'Dry_Litterbag Placem_Collection'!V152)),"YES","NO")</f>
        <v>NO</v>
      </c>
    </row>
    <row r="812" spans="1:42" ht="15" customHeight="1">
      <c r="A812" t="s">
        <v>3248</v>
      </c>
      <c r="B812" s="252" t="s">
        <v>2643</v>
      </c>
      <c r="C812" s="253">
        <f>'Dry_Litterbag Placem_Collection'!A153</f>
        <v>151</v>
      </c>
      <c r="D812" s="253" t="str">
        <f>'Dry_Litterbag Placem_Collection'!B153</f>
        <v xml:space="preserve">Mwantimba
</v>
      </c>
      <c r="E812" s="253" t="s">
        <v>2454</v>
      </c>
      <c r="F812" s="253" t="s">
        <v>20</v>
      </c>
      <c r="G812" s="253">
        <v>3</v>
      </c>
      <c r="H812" s="253" t="s">
        <v>3124</v>
      </c>
      <c r="I812" s="254" t="str">
        <f>'Dry_Litterbag Placem_Collection'!C153</f>
        <v>Wet_P3_T7</v>
      </c>
      <c r="J812" s="263" t="s">
        <v>2932</v>
      </c>
      <c r="K812" s="264" t="s">
        <v>298</v>
      </c>
      <c r="L812" s="253" t="str">
        <f>IF(ISBLANK('Dry_Litterbag Placem_Collection'!M153),"","R"&amp;""&amp;'Dry_Litterbag Placem_Collection'!M153)</f>
        <v/>
      </c>
      <c r="M812" s="257" t="str">
        <f>IFERROR(INDEX('Green_rooibos initial weight'!$C$5:$C$2000,MATCH(L812, 'Green_rooibos initial weight'!$A$5:$A$2000,0)),"")</f>
        <v/>
      </c>
      <c r="N812" s="257" t="str">
        <f>IFERROR(M812-(TBIcalc!$Q$9+TBIcalc!$Q$10),"")</f>
        <v/>
      </c>
      <c r="O812" s="378">
        <f>AVERAGE(Ashed_controlls!$K$12:$K$14)</f>
        <v>2.2816647271287041</v>
      </c>
      <c r="P812" s="257" t="str">
        <f t="shared" si="61"/>
        <v/>
      </c>
      <c r="Q812" s="257" t="str">
        <f>IFERROR(INDEX('Both teabags AfterDry'!$D$2:$D$2000,MATCH(L812,'Both teabags AfterDry'!$A$2:$A$2000,0)),"")</f>
        <v/>
      </c>
      <c r="R812" s="257" t="str">
        <f>IFERROR(IF(Q812&gt;0,Q812-(TBIcalc!$Q$9),""),"")</f>
        <v/>
      </c>
      <c r="S812" s="268" t="str">
        <f>IFERROR(INDEX('Ashed teabags dry'!$K$2:$K$2000,MATCH(L812,'Ashed teabags dry'!$A$2:$A$2000,0)),"")</f>
        <v/>
      </c>
      <c r="T812" s="268" t="str">
        <f t="shared" si="62"/>
        <v/>
      </c>
      <c r="U812" s="258" t="str">
        <f>IF('Dry_Litterbag Placem_Collection'!E153="","",'Dry_Litterbag Placem_Collection'!E153)</f>
        <v/>
      </c>
      <c r="V812" s="258" t="str">
        <f>IF('Dry_Litterbag Placem_Collection'!G153="","",'Dry_Litterbag Placem_Collection'!G153)</f>
        <v/>
      </c>
      <c r="W812" s="259" t="str">
        <f t="shared" si="60"/>
        <v/>
      </c>
      <c r="X812" s="257" t="str">
        <f t="shared" si="63"/>
        <v/>
      </c>
      <c r="Y812" s="257" t="str">
        <f t="shared" si="64"/>
        <v/>
      </c>
      <c r="Z812" s="261" t="str">
        <f>IFERROR(INDEX([3]Rainfall_Dry!$O$2:$O$217,MATCH(C812, [3]Rainfall_Dry!$A$2:$A$217,0)),"")</f>
        <v/>
      </c>
      <c r="AA812" s="250">
        <v>39.96</v>
      </c>
      <c r="AB812" s="250">
        <v>12.920000000000002</v>
      </c>
      <c r="AC812" s="250">
        <v>47.12</v>
      </c>
      <c r="AD812" s="251" t="s">
        <v>2655</v>
      </c>
      <c r="AE812" s="250">
        <v>7.6549531789058696</v>
      </c>
      <c r="AF812">
        <f>IF('WetLitterbags placem_collection'!AB153="","",'WetLitterbags placem_collection'!AB153)</f>
        <v>1.4</v>
      </c>
      <c r="AG812">
        <f>IF('WetLitterbags placem_collection'!Z153="","",'WetLitterbags placem_collection'!Z153)</f>
        <v>7.9</v>
      </c>
      <c r="AH812" s="236" t="str">
        <f>IF('WetLitterbags placem_collection'!AA153="","",'WetLitterbags placem_collection'!AA153)</f>
        <v>O</v>
      </c>
      <c r="AI812">
        <f>IF('WetLitterbags placem_collection'!AC153="","",'WetLitterbags placem_collection'!AC153)</f>
        <v>1</v>
      </c>
      <c r="AJ812" t="str">
        <f>IFERROR(AVERAGE('Dry_Litterbag Placem_Collection'!O153,'Dry_Litterbag Placem_Collection'!R153),"")</f>
        <v/>
      </c>
      <c r="AK812" s="261" t="str">
        <f>IFERROR(AVERAGE('Dry_Litterbag Placem_Collection'!N153,'Dry_Litterbag Placem_Collection'!Q153),"")</f>
        <v/>
      </c>
      <c r="AL812" s="260">
        <f>INDEX([2]Coordinates!$B$2:$B$197,MATCH(I812,[2]Coordinates!$J$2:$J$197,0))</f>
        <v>-2.3673460070000001</v>
      </c>
      <c r="AM812" s="260">
        <f>INDEX([2]Coordinates!$C$2:$C$197,MATCH(I812,[2]Coordinates!$J$2:$J$197,0))</f>
        <v>34.060310039999997</v>
      </c>
      <c r="AN812" s="260" t="str">
        <f>IF(ISNUMBER(SEARCH("C", 'Dry_Litterbag Placem_Collection'!V153)),"YES","NO")</f>
        <v>NO</v>
      </c>
      <c r="AO812" s="260" t="str">
        <f>IF(ISNUMBER(SEARCH("H", 'Dry_Litterbag Placem_Collection'!V153)),"YES","NO")</f>
        <v>NO</v>
      </c>
      <c r="AP812" s="260" t="str">
        <f>IF(ISNUMBER(SEARCH("R", 'Dry_Litterbag Placem_Collection'!V153)),"YES","NO")</f>
        <v>NO</v>
      </c>
    </row>
    <row r="813" spans="1:42" ht="15" customHeight="1">
      <c r="A813" t="s">
        <v>3248</v>
      </c>
      <c r="B813" s="252" t="s">
        <v>2643</v>
      </c>
      <c r="C813" s="253">
        <f>'Dry_Litterbag Placem_Collection'!A154</f>
        <v>152</v>
      </c>
      <c r="D813" s="253" t="str">
        <f>'Dry_Litterbag Placem_Collection'!B154</f>
        <v xml:space="preserve">Mwantimba
</v>
      </c>
      <c r="E813" s="253" t="s">
        <v>2454</v>
      </c>
      <c r="F813" s="253" t="s">
        <v>20</v>
      </c>
      <c r="G813" s="253">
        <v>3</v>
      </c>
      <c r="H813" s="253" t="s">
        <v>3124</v>
      </c>
      <c r="I813" s="254" t="str">
        <f>'Dry_Litterbag Placem_Collection'!C154</f>
        <v>Wet_P3_T8</v>
      </c>
      <c r="J813" s="263" t="s">
        <v>2932</v>
      </c>
      <c r="K813" s="264" t="s">
        <v>298</v>
      </c>
      <c r="L813" s="253" t="str">
        <f>IF(ISBLANK('Dry_Litterbag Placem_Collection'!M154),"","R"&amp;""&amp;'Dry_Litterbag Placem_Collection'!M154)</f>
        <v>R635</v>
      </c>
      <c r="M813" s="257">
        <f>IFERROR(INDEX('Green_rooibos initial weight'!$C$5:$C$2000,MATCH(L813, 'Green_rooibos initial weight'!$A$5:$A$2000,0)),"")</f>
        <v>2.1320000000000001</v>
      </c>
      <c r="N813" s="257">
        <f>IFERROR(M813-(TBIcalc!$Q$9+TBIcalc!$Q$10),"")</f>
        <v>1.8822000000000001</v>
      </c>
      <c r="O813" s="378">
        <f>AVERAGE(Ashed_controlls!$K$12:$K$14)</f>
        <v>2.2816647271287041</v>
      </c>
      <c r="P813" s="257">
        <f t="shared" si="61"/>
        <v>1.8392545065059835</v>
      </c>
      <c r="Q813" s="257">
        <f>IFERROR(INDEX('Both teabags AfterDry'!$D$2:$D$2000,MATCH(L813,'Both teabags AfterDry'!$A$2:$A$2000,0)),"")</f>
        <v>1.9524999999999999</v>
      </c>
      <c r="R813" s="257">
        <f>IFERROR(IF(Q813&gt;0,Q813-(TBIcalc!$Q$9),""),"")</f>
        <v>1.8018999999999998</v>
      </c>
      <c r="S813" s="268">
        <f>IFERROR(INDEX('Ashed teabags dry'!$K$2:$K$2000,MATCH(L813,'Ashed teabags dry'!$A$2:$A$2000,0)),"")</f>
        <v>3.6981509245371296</v>
      </c>
      <c r="T813" s="268">
        <f t="shared" si="62"/>
        <v>1.7352630184907654</v>
      </c>
      <c r="U813" s="258">
        <f>IF('Dry_Litterbag Placem_Collection'!E154="","",'Dry_Litterbag Placem_Collection'!E154)</f>
        <v>42939</v>
      </c>
      <c r="V813" s="258">
        <f>IF('Dry_Litterbag Placem_Collection'!G154="","",'Dry_Litterbag Placem_Collection'!G154)</f>
        <v>43010</v>
      </c>
      <c r="W813" s="259">
        <f t="shared" si="60"/>
        <v>71</v>
      </c>
      <c r="X813" s="257">
        <f t="shared" si="63"/>
        <v>8.030000000000026E-2</v>
      </c>
      <c r="Y813" s="257">
        <f t="shared" si="64"/>
        <v>0.10399148801521818</v>
      </c>
      <c r="Z813" s="261">
        <f>IFERROR(INDEX([3]Rainfall_Dry!$O$2:$O$217,MATCH(C813, [3]Rainfall_Dry!$A$2:$A$217,0)),"")</f>
        <v>137.19979645800001</v>
      </c>
      <c r="AA813" s="250">
        <v>39.96</v>
      </c>
      <c r="AB813" s="250">
        <v>12.920000000000002</v>
      </c>
      <c r="AC813" s="250">
        <v>47.12</v>
      </c>
      <c r="AD813" s="251" t="s">
        <v>2655</v>
      </c>
      <c r="AE813" s="250">
        <v>8.6549531789058705</v>
      </c>
      <c r="AF813">
        <f>IF('WetLitterbags placem_collection'!AB154="","",'WetLitterbags placem_collection'!AB154)</f>
        <v>2.2000000000000002</v>
      </c>
      <c r="AG813">
        <f>IF('WetLitterbags placem_collection'!Z154="","",'WetLitterbags placem_collection'!Z154)</f>
        <v>15</v>
      </c>
      <c r="AH813" s="236" t="str">
        <f>IF('WetLitterbags placem_collection'!AA154="","",'WetLitterbags placem_collection'!AA154)</f>
        <v>M</v>
      </c>
      <c r="AI813">
        <f>IF('WetLitterbags placem_collection'!AC154="","",'WetLitterbags placem_collection'!AC154)</f>
        <v>0</v>
      </c>
      <c r="AJ813">
        <f>IFERROR(AVERAGE('Dry_Litterbag Placem_Collection'!O154,'Dry_Litterbag Placem_Collection'!R154),"")</f>
        <v>6.4</v>
      </c>
      <c r="AK813" s="261">
        <f>IFERROR(AVERAGE('Dry_Litterbag Placem_Collection'!N154,'Dry_Litterbag Placem_Collection'!Q154),"")</f>
        <v>28.45</v>
      </c>
      <c r="AL813" s="260">
        <f>INDEX([2]Coordinates!$B$2:$B$197,MATCH(I813,[2]Coordinates!$J$2:$J$197,0))</f>
        <v>-2.367543988</v>
      </c>
      <c r="AM813" s="260">
        <f>INDEX([2]Coordinates!$C$2:$C$197,MATCH(I813,[2]Coordinates!$J$2:$J$197,0))</f>
        <v>34.060168969999999</v>
      </c>
      <c r="AN813" s="260" t="str">
        <f>IF(ISNUMBER(SEARCH("C", 'Dry_Litterbag Placem_Collection'!V154)),"YES","NO")</f>
        <v>NO</v>
      </c>
      <c r="AO813" s="260" t="str">
        <f>IF(ISNUMBER(SEARCH("H", 'Dry_Litterbag Placem_Collection'!V154)),"YES","NO")</f>
        <v>NO</v>
      </c>
      <c r="AP813" s="260" t="str">
        <f>IF(ISNUMBER(SEARCH("R", 'Dry_Litterbag Placem_Collection'!V154)),"YES","NO")</f>
        <v>NO</v>
      </c>
    </row>
    <row r="814" spans="1:42" ht="15" customHeight="1">
      <c r="A814" t="s">
        <v>3248</v>
      </c>
      <c r="B814" s="252" t="s">
        <v>2643</v>
      </c>
      <c r="C814" s="253">
        <f>'Dry_Litterbag Placem_Collection'!A155</f>
        <v>153</v>
      </c>
      <c r="D814" s="253" t="str">
        <f>'Dry_Litterbag Placem_Collection'!B155</f>
        <v xml:space="preserve">Mwantimba
</v>
      </c>
      <c r="E814" s="253" t="s">
        <v>2454</v>
      </c>
      <c r="F814" s="253" t="s">
        <v>20</v>
      </c>
      <c r="G814" s="253">
        <v>4</v>
      </c>
      <c r="H814" s="253" t="s">
        <v>3125</v>
      </c>
      <c r="I814" s="254" t="str">
        <f>'Dry_Litterbag Placem_Collection'!C155</f>
        <v>Wet_P4_T1</v>
      </c>
      <c r="J814" s="263" t="s">
        <v>2932</v>
      </c>
      <c r="K814" s="264" t="s">
        <v>298</v>
      </c>
      <c r="L814" s="253" t="str">
        <f>IF(ISBLANK('Dry_Litterbag Placem_Collection'!M155),"","R"&amp;""&amp;'Dry_Litterbag Placem_Collection'!M155)</f>
        <v>R651</v>
      </c>
      <c r="M814" s="257">
        <f>IFERROR(INDEX('Green_rooibos initial weight'!$C$5:$C$2000,MATCH(L814, 'Green_rooibos initial weight'!$A$5:$A$2000,0)),"")</f>
        <v>2.2349999999999999</v>
      </c>
      <c r="N814" s="257">
        <f>IFERROR(M814-(TBIcalc!$Q$9+TBIcalc!$Q$10),"")</f>
        <v>1.9851999999999999</v>
      </c>
      <c r="O814" s="378">
        <f>AVERAGE(Ashed_controlls!$K$12:$K$14)</f>
        <v>2.2816647271287041</v>
      </c>
      <c r="P814" s="257">
        <f t="shared" si="61"/>
        <v>1.9399043918370409</v>
      </c>
      <c r="Q814" s="257">
        <f>IFERROR(INDEX('Both teabags AfterDry'!$D$2:$D$2000,MATCH(L814,'Both teabags AfterDry'!$A$2:$A$2000,0)),"")</f>
        <v>2.0049000000000001</v>
      </c>
      <c r="R814" s="257">
        <f>IFERROR(IF(Q814&gt;0,Q814-(TBIcalc!$Q$9),""),"")</f>
        <v>1.8543000000000001</v>
      </c>
      <c r="S814" s="268">
        <f>IFERROR(INDEX('Ashed teabags dry'!$K$2:$K$2000,MATCH(L814,'Ashed teabags dry'!$A$2:$A$2000,0)),"")</f>
        <v>4.6750818139321764</v>
      </c>
      <c r="T814" s="268">
        <f t="shared" si="62"/>
        <v>1.7676099579242557</v>
      </c>
      <c r="U814" s="258">
        <f>IF('Dry_Litterbag Placem_Collection'!E155="","",'Dry_Litterbag Placem_Collection'!E155)</f>
        <v>42939</v>
      </c>
      <c r="V814" s="258">
        <f>IF('Dry_Litterbag Placem_Collection'!G155="","",'Dry_Litterbag Placem_Collection'!G155)</f>
        <v>43010</v>
      </c>
      <c r="W814" s="259">
        <f t="shared" si="60"/>
        <v>71</v>
      </c>
      <c r="X814" s="257">
        <f t="shared" si="63"/>
        <v>0.13089999999999979</v>
      </c>
      <c r="Y814" s="257">
        <f t="shared" si="64"/>
        <v>0.17229443391278521</v>
      </c>
      <c r="Z814" s="261">
        <f>IFERROR(INDEX([3]Rainfall_Dry!$O$2:$O$217,MATCH(C814, [3]Rainfall_Dry!$A$2:$A$217,0)),"")</f>
        <v>137.19979645800001</v>
      </c>
      <c r="AA814" s="250">
        <v>27.96</v>
      </c>
      <c r="AB814" s="250">
        <v>4.9200000000000017</v>
      </c>
      <c r="AC814" s="250">
        <v>67.12</v>
      </c>
      <c r="AD814" s="251" t="s">
        <v>2651</v>
      </c>
      <c r="AE814" s="250">
        <v>1.0437161163134547</v>
      </c>
      <c r="AF814">
        <f>IF('WetLitterbags placem_collection'!AB155="","",'WetLitterbags placem_collection'!AB155)</f>
        <v>2.1</v>
      </c>
      <c r="AG814">
        <f>IF('WetLitterbags placem_collection'!Z155="","",'WetLitterbags placem_collection'!Z155)</f>
        <v>16.399999999999999</v>
      </c>
      <c r="AH814" s="236" t="str">
        <f>IF('WetLitterbags placem_collection'!AA155="","",'WetLitterbags placem_collection'!AA155)</f>
        <v>G</v>
      </c>
      <c r="AI814">
        <f>IF('WetLitterbags placem_collection'!AC155="","",'WetLitterbags placem_collection'!AC155)</f>
        <v>0</v>
      </c>
      <c r="AJ814">
        <f>IFERROR(AVERAGE('Dry_Litterbag Placem_Collection'!O155,'Dry_Litterbag Placem_Collection'!R155),"")</f>
        <v>5.65</v>
      </c>
      <c r="AK814" s="261">
        <f>IFERROR(AVERAGE('Dry_Litterbag Placem_Collection'!N155,'Dry_Litterbag Placem_Collection'!Q155),"")</f>
        <v>31.65</v>
      </c>
      <c r="AL814" s="260">
        <f>INDEX([2]Coordinates!$B$2:$B$197,MATCH(I814,[2]Coordinates!$J$2:$J$197,0))</f>
        <v>-2.3676780150000001</v>
      </c>
      <c r="AM814" s="260">
        <f>INDEX([2]Coordinates!$C$2:$C$197,MATCH(I814,[2]Coordinates!$J$2:$J$197,0))</f>
        <v>34.05937797</v>
      </c>
      <c r="AN814" s="260" t="str">
        <f>IF(ISNUMBER(SEARCH("C", 'Dry_Litterbag Placem_Collection'!V155)),"YES","NO")</f>
        <v>NO</v>
      </c>
      <c r="AO814" s="260" t="str">
        <f>IF(ISNUMBER(SEARCH("H", 'Dry_Litterbag Placem_Collection'!V155)),"YES","NO")</f>
        <v>NO</v>
      </c>
      <c r="AP814" s="260" t="str">
        <f>IF(ISNUMBER(SEARCH("R", 'Dry_Litterbag Placem_Collection'!V155)),"YES","NO")</f>
        <v>NO</v>
      </c>
    </row>
    <row r="815" spans="1:42" ht="15" customHeight="1">
      <c r="A815" t="s">
        <v>3248</v>
      </c>
      <c r="B815" s="252" t="s">
        <v>2643</v>
      </c>
      <c r="C815" s="253">
        <f>'Dry_Litterbag Placem_Collection'!A156</f>
        <v>154</v>
      </c>
      <c r="D815" s="253" t="str">
        <f>'Dry_Litterbag Placem_Collection'!B156</f>
        <v xml:space="preserve">Mwantimba
</v>
      </c>
      <c r="E815" s="253" t="s">
        <v>2454</v>
      </c>
      <c r="F815" s="253" t="s">
        <v>20</v>
      </c>
      <c r="G815" s="253">
        <v>4</v>
      </c>
      <c r="H815" s="253" t="s">
        <v>3125</v>
      </c>
      <c r="I815" s="254" t="str">
        <f>'Dry_Litterbag Placem_Collection'!C156</f>
        <v>Wet_P4_T2</v>
      </c>
      <c r="J815" s="263" t="s">
        <v>2932</v>
      </c>
      <c r="K815" s="264" t="s">
        <v>298</v>
      </c>
      <c r="L815" s="253" t="str">
        <f>IF(ISBLANK('Dry_Litterbag Placem_Collection'!M156),"","R"&amp;""&amp;'Dry_Litterbag Placem_Collection'!M156)</f>
        <v>R367</v>
      </c>
      <c r="M815" s="257">
        <f>IFERROR(INDEX('Green_rooibos initial weight'!$C$5:$C$2000,MATCH(L815, 'Green_rooibos initial weight'!$A$5:$A$2000,0)),"")</f>
        <v>2.165</v>
      </c>
      <c r="N815" s="257">
        <f>IFERROR(M815-(TBIcalc!$Q$9+TBIcalc!$Q$10),"")</f>
        <v>1.9152</v>
      </c>
      <c r="O815" s="378">
        <f>AVERAGE(Ashed_controlls!$K$12:$K$14)</f>
        <v>2.2816647271287041</v>
      </c>
      <c r="P815" s="257">
        <f t="shared" si="61"/>
        <v>1.8715015571460312</v>
      </c>
      <c r="Q815" s="257">
        <f>IFERROR(INDEX('Both teabags AfterDry'!$D$2:$D$2000,MATCH(L815,'Both teabags AfterDry'!$A$2:$A$2000,0)),"")</f>
        <v>1.8496999999999999</v>
      </c>
      <c r="R815" s="257">
        <f>IFERROR(IF(Q815&gt;0,Q815-(TBIcalc!$Q$9),""),"")</f>
        <v>1.6990999999999998</v>
      </c>
      <c r="S815" s="268">
        <f>IFERROR(INDEX('Ashed teabags dry'!$K$2:$K$2000,MATCH(L815,'Ashed teabags dry'!$A$2:$A$2000,0)),"")</f>
        <v>2.917264466762604</v>
      </c>
      <c r="T815" s="268">
        <f t="shared" si="62"/>
        <v>1.6495327594452365</v>
      </c>
      <c r="U815" s="258">
        <f>IF('Dry_Litterbag Placem_Collection'!E156="","",'Dry_Litterbag Placem_Collection'!E156)</f>
        <v>42939</v>
      </c>
      <c r="V815" s="258">
        <f>IF('Dry_Litterbag Placem_Collection'!G156="","",'Dry_Litterbag Placem_Collection'!G156)</f>
        <v>43010</v>
      </c>
      <c r="W815" s="259">
        <f t="shared" si="60"/>
        <v>71</v>
      </c>
      <c r="X815" s="257">
        <f t="shared" si="63"/>
        <v>0.21610000000000018</v>
      </c>
      <c r="Y815" s="257">
        <f t="shared" si="64"/>
        <v>0.2219687977007947</v>
      </c>
      <c r="Z815" s="261">
        <f>IFERROR(INDEX([3]Rainfall_Dry!$O$2:$O$217,MATCH(C815, [3]Rainfall_Dry!$A$2:$A$217,0)),"")</f>
        <v>137.19979645800001</v>
      </c>
      <c r="AA815" s="250">
        <v>27.96</v>
      </c>
      <c r="AB815" s="250">
        <v>4.9200000000000017</v>
      </c>
      <c r="AC815" s="250">
        <v>67.12</v>
      </c>
      <c r="AD815" s="251" t="s">
        <v>2651</v>
      </c>
      <c r="AE815" s="250">
        <v>2.0437161163134498</v>
      </c>
      <c r="AF815">
        <f>IF('WetLitterbags placem_collection'!AB156="","",'WetLitterbags placem_collection'!AB156)</f>
        <v>2.15</v>
      </c>
      <c r="AG815">
        <f>IF('WetLitterbags placem_collection'!Z156="","",'WetLitterbags placem_collection'!Z156)</f>
        <v>9</v>
      </c>
      <c r="AH815" s="236" t="str">
        <f>IF('WetLitterbags placem_collection'!AA156="","",'WetLitterbags placem_collection'!AA156)</f>
        <v>G</v>
      </c>
      <c r="AI815">
        <f>IF('WetLitterbags placem_collection'!AC156="","",'WetLitterbags placem_collection'!AC156)</f>
        <v>0</v>
      </c>
      <c r="AJ815">
        <f>IFERROR(AVERAGE('Dry_Litterbag Placem_Collection'!O156,'Dry_Litterbag Placem_Collection'!R156),"")</f>
        <v>4.05</v>
      </c>
      <c r="AK815" s="261">
        <f>IFERROR(AVERAGE('Dry_Litterbag Placem_Collection'!N156,'Dry_Litterbag Placem_Collection'!Q156),"")</f>
        <v>30.45</v>
      </c>
      <c r="AL815" s="260">
        <f>INDEX([2]Coordinates!$B$2:$B$197,MATCH(I815,[2]Coordinates!$J$2:$J$197,0))</f>
        <v>-2.3677299820000002</v>
      </c>
      <c r="AM815" s="260">
        <f>INDEX([2]Coordinates!$C$2:$C$197,MATCH(I815,[2]Coordinates!$J$2:$J$197,0))</f>
        <v>34.059351990000003</v>
      </c>
      <c r="AN815" s="260" t="str">
        <f>IF(ISNUMBER(SEARCH("C", 'Dry_Litterbag Placem_Collection'!V156)),"YES","NO")</f>
        <v>NO</v>
      </c>
      <c r="AO815" s="260" t="str">
        <f>IF(ISNUMBER(SEARCH("H", 'Dry_Litterbag Placem_Collection'!V156)),"YES","NO")</f>
        <v>NO</v>
      </c>
      <c r="AP815" s="260" t="str">
        <f>IF(ISNUMBER(SEARCH("R", 'Dry_Litterbag Placem_Collection'!V156)),"YES","NO")</f>
        <v>NO</v>
      </c>
    </row>
    <row r="816" spans="1:42" ht="15" customHeight="1">
      <c r="A816" t="s">
        <v>3248</v>
      </c>
      <c r="B816" s="252" t="s">
        <v>2643</v>
      </c>
      <c r="C816" s="253">
        <f>'Dry_Litterbag Placem_Collection'!A157</f>
        <v>155</v>
      </c>
      <c r="D816" s="253" t="str">
        <f>'Dry_Litterbag Placem_Collection'!B157</f>
        <v xml:space="preserve">Mwantimba
</v>
      </c>
      <c r="E816" s="253" t="s">
        <v>2454</v>
      </c>
      <c r="F816" s="253" t="s">
        <v>20</v>
      </c>
      <c r="G816" s="253">
        <v>4</v>
      </c>
      <c r="H816" s="253" t="s">
        <v>3125</v>
      </c>
      <c r="I816" s="254" t="str">
        <f>'Dry_Litterbag Placem_Collection'!C157</f>
        <v>Wet_P4_T3</v>
      </c>
      <c r="J816" s="263" t="s">
        <v>2932</v>
      </c>
      <c r="K816" s="264" t="s">
        <v>298</v>
      </c>
      <c r="L816" s="253" t="str">
        <f>IF(ISBLANK('Dry_Litterbag Placem_Collection'!M157),"","R"&amp;""&amp;'Dry_Litterbag Placem_Collection'!M157)</f>
        <v>R617</v>
      </c>
      <c r="M816" s="257">
        <f>IFERROR(INDEX('Green_rooibos initial weight'!$C$5:$C$2000,MATCH(L816, 'Green_rooibos initial weight'!$A$5:$A$2000,0)),"")</f>
        <v>2.2010000000000001</v>
      </c>
      <c r="N816" s="257">
        <f>IFERROR(M816-(TBIcalc!$Q$9+TBIcalc!$Q$10),"")</f>
        <v>1.9512</v>
      </c>
      <c r="O816" s="378">
        <f>AVERAGE(Ashed_controlls!$K$12:$K$14)</f>
        <v>2.2816647271287041</v>
      </c>
      <c r="P816" s="257">
        <f t="shared" si="61"/>
        <v>1.9066801578442647</v>
      </c>
      <c r="Q816" s="257">
        <f>IFERROR(INDEX('Both teabags AfterDry'!$D$2:$D$2000,MATCH(L816,'Both teabags AfterDry'!$A$2:$A$2000,0)),"")</f>
        <v>1.8621000000000001</v>
      </c>
      <c r="R816" s="257">
        <f>IFERROR(IF(Q816&gt;0,Q816-(TBIcalc!$Q$9),""),"")</f>
        <v>1.7115</v>
      </c>
      <c r="S816" s="268">
        <f>IFERROR(INDEX('Ashed teabags dry'!$K$2:$K$2000,MATCH(L816,'Ashed teabags dry'!$A$2:$A$2000,0)),"")</f>
        <v>2.5172754195451326</v>
      </c>
      <c r="T816" s="268">
        <f t="shared" si="62"/>
        <v>1.6684168311944851</v>
      </c>
      <c r="U816" s="258">
        <f>IF('Dry_Litterbag Placem_Collection'!E157="","",'Dry_Litterbag Placem_Collection'!E157)</f>
        <v>42939</v>
      </c>
      <c r="V816" s="258">
        <f>IF('Dry_Litterbag Placem_Collection'!G157="","",'Dry_Litterbag Placem_Collection'!G157)</f>
        <v>43010</v>
      </c>
      <c r="W816" s="259">
        <f t="shared" si="60"/>
        <v>71</v>
      </c>
      <c r="X816" s="257">
        <f t="shared" si="63"/>
        <v>0.23970000000000002</v>
      </c>
      <c r="Y816" s="257">
        <f t="shared" si="64"/>
        <v>0.23826332664977956</v>
      </c>
      <c r="Z816" s="261">
        <f>IFERROR(INDEX([3]Rainfall_Dry!$O$2:$O$217,MATCH(C816, [3]Rainfall_Dry!$A$2:$A$217,0)),"")</f>
        <v>137.19979645800001</v>
      </c>
      <c r="AA816" s="250">
        <v>27.96</v>
      </c>
      <c r="AB816" s="250">
        <v>4.9200000000000017</v>
      </c>
      <c r="AC816" s="250">
        <v>67.12</v>
      </c>
      <c r="AD816" s="251" t="s">
        <v>2651</v>
      </c>
      <c r="AE816" s="250">
        <v>3.0437161163134498</v>
      </c>
      <c r="AF816">
        <f>IF('WetLitterbags placem_collection'!AB157="","",'WetLitterbags placem_collection'!AB157)</f>
        <v>1.2</v>
      </c>
      <c r="AG816">
        <f>IF('WetLitterbags placem_collection'!Z157="","",'WetLitterbags placem_collection'!Z157)</f>
        <v>11</v>
      </c>
      <c r="AH816" s="236" t="str">
        <f>IF('WetLitterbags placem_collection'!AA157="","",'WetLitterbags placem_collection'!AA157)</f>
        <v>G</v>
      </c>
      <c r="AI816">
        <f>IF('WetLitterbags placem_collection'!AC157="","",'WetLitterbags placem_collection'!AC157)</f>
        <v>0</v>
      </c>
      <c r="AJ816">
        <f>IFERROR(AVERAGE('Dry_Litterbag Placem_Collection'!O157,'Dry_Litterbag Placem_Collection'!R157),"")</f>
        <v>5.0999999999999996</v>
      </c>
      <c r="AK816" s="261">
        <f>IFERROR(AVERAGE('Dry_Litterbag Placem_Collection'!N157,'Dry_Litterbag Placem_Collection'!Q157),"")</f>
        <v>29.4</v>
      </c>
      <c r="AL816" s="260">
        <f>INDEX([2]Coordinates!$B$2:$B$197,MATCH(I816,[2]Coordinates!$J$2:$J$197,0))</f>
        <v>-2.3677119609999999</v>
      </c>
      <c r="AM816" s="260">
        <f>INDEX([2]Coordinates!$C$2:$C$197,MATCH(I816,[2]Coordinates!$J$2:$J$197,0))</f>
        <v>34.059339000000001</v>
      </c>
      <c r="AN816" s="260" t="str">
        <f>IF(ISNUMBER(SEARCH("C", 'Dry_Litterbag Placem_Collection'!V157)),"YES","NO")</f>
        <v>NO</v>
      </c>
      <c r="AO816" s="260" t="str">
        <f>IF(ISNUMBER(SEARCH("H", 'Dry_Litterbag Placem_Collection'!V157)),"YES","NO")</f>
        <v>NO</v>
      </c>
      <c r="AP816" s="260" t="str">
        <f>IF(ISNUMBER(SEARCH("R", 'Dry_Litterbag Placem_Collection'!V157)),"YES","NO")</f>
        <v>NO</v>
      </c>
    </row>
    <row r="817" spans="1:42" ht="15" customHeight="1">
      <c r="A817" t="s">
        <v>3248</v>
      </c>
      <c r="B817" s="252" t="s">
        <v>2643</v>
      </c>
      <c r="C817" s="253">
        <f>'Dry_Litterbag Placem_Collection'!A158</f>
        <v>156</v>
      </c>
      <c r="D817" s="253" t="str">
        <f>'Dry_Litterbag Placem_Collection'!B158</f>
        <v xml:space="preserve">Mwantimba
</v>
      </c>
      <c r="E817" s="253" t="s">
        <v>2454</v>
      </c>
      <c r="F817" s="253" t="s">
        <v>20</v>
      </c>
      <c r="G817" s="253">
        <v>4</v>
      </c>
      <c r="H817" s="253" t="s">
        <v>3125</v>
      </c>
      <c r="I817" s="254" t="str">
        <f>'Dry_Litterbag Placem_Collection'!C158</f>
        <v>Wet_P4_T4</v>
      </c>
      <c r="J817" s="263" t="s">
        <v>2932</v>
      </c>
      <c r="K817" s="264" t="s">
        <v>298</v>
      </c>
      <c r="L817" s="253" t="str">
        <f>IF(ISBLANK('Dry_Litterbag Placem_Collection'!M158),"","R"&amp;""&amp;'Dry_Litterbag Placem_Collection'!M158)</f>
        <v>R84</v>
      </c>
      <c r="M817" s="257">
        <f>IFERROR(INDEX('Green_rooibos initial weight'!$C$5:$C$2000,MATCH(L817, 'Green_rooibos initial weight'!$A$5:$A$2000,0)),"")</f>
        <v>2.1629999999999998</v>
      </c>
      <c r="N817" s="257">
        <f>IFERROR(M817-(TBIcalc!$Q$9+TBIcalc!$Q$10),"")</f>
        <v>1.9131999999999998</v>
      </c>
      <c r="O817" s="378">
        <f>AVERAGE(Ashed_controlls!$K$12:$K$14)</f>
        <v>2.2816647271287041</v>
      </c>
      <c r="P817" s="257">
        <f t="shared" si="61"/>
        <v>1.8695471904405734</v>
      </c>
      <c r="Q817" s="257">
        <f>IFERROR(INDEX('Both teabags AfterDry'!$D$2:$D$2000,MATCH(L817,'Both teabags AfterDry'!$A$2:$A$2000,0)),"")</f>
        <v>1.8827</v>
      </c>
      <c r="R817" s="257">
        <f>IFERROR(IF(Q817&gt;0,Q817-(TBIcalc!$Q$9),""),"")</f>
        <v>1.7321</v>
      </c>
      <c r="S817" s="268">
        <f>IFERROR(INDEX('Ashed teabags dry'!$K$2:$K$2000,MATCH(L817,'Ashed teabags dry'!$A$2:$A$2000,0)),"")</f>
        <v>7.2855953372191182</v>
      </c>
      <c r="T817" s="268">
        <f t="shared" si="62"/>
        <v>1.6059062031640277</v>
      </c>
      <c r="U817" s="258">
        <f>IF('Dry_Litterbag Placem_Collection'!E158="","",'Dry_Litterbag Placem_Collection'!E158)</f>
        <v>42939</v>
      </c>
      <c r="V817" s="258">
        <f>IF('Dry_Litterbag Placem_Collection'!G158="","",'Dry_Litterbag Placem_Collection'!G158)</f>
        <v>43010</v>
      </c>
      <c r="W817" s="259">
        <f t="shared" si="60"/>
        <v>71</v>
      </c>
      <c r="X817" s="257">
        <f t="shared" si="63"/>
        <v>0.18109999999999982</v>
      </c>
      <c r="Y817" s="257">
        <f t="shared" si="64"/>
        <v>0.26364098727654572</v>
      </c>
      <c r="Z817" s="261">
        <f>IFERROR(INDEX([3]Rainfall_Dry!$O$2:$O$217,MATCH(C817, [3]Rainfall_Dry!$A$2:$A$217,0)),"")</f>
        <v>137.19979645800001</v>
      </c>
      <c r="AA817" s="250">
        <v>27.96</v>
      </c>
      <c r="AB817" s="250">
        <v>4.9200000000000017</v>
      </c>
      <c r="AC817" s="250">
        <v>67.12</v>
      </c>
      <c r="AD817" s="251" t="s">
        <v>2651</v>
      </c>
      <c r="AE817" s="250">
        <v>4.0437161163134503</v>
      </c>
      <c r="AF817">
        <f>IF('WetLitterbags placem_collection'!AB158="","",'WetLitterbags placem_collection'!AB158)</f>
        <v>1.55</v>
      </c>
      <c r="AG817">
        <f>IF('WetLitterbags placem_collection'!Z158="","",'WetLitterbags placem_collection'!Z158)</f>
        <v>9.1</v>
      </c>
      <c r="AH817" s="236" t="str">
        <f>IF('WetLitterbags placem_collection'!AA158="","",'WetLitterbags placem_collection'!AA158)</f>
        <v>O</v>
      </c>
      <c r="AI817">
        <f>IF('WetLitterbags placem_collection'!AC158="","",'WetLitterbags placem_collection'!AC158)</f>
        <v>0</v>
      </c>
      <c r="AJ817">
        <f>IFERROR(AVERAGE('Dry_Litterbag Placem_Collection'!O158,'Dry_Litterbag Placem_Collection'!R158),"")</f>
        <v>4.5</v>
      </c>
      <c r="AK817" s="261">
        <f>IFERROR(AVERAGE('Dry_Litterbag Placem_Collection'!N158,'Dry_Litterbag Placem_Collection'!Q158),"")</f>
        <v>30.35</v>
      </c>
      <c r="AL817" s="260">
        <f>INDEX([2]Coordinates!$B$2:$B$197,MATCH(I817,[2]Coordinates!$J$2:$J$197,0))</f>
        <v>-2.3676950300000001</v>
      </c>
      <c r="AM817" s="260">
        <f>INDEX([2]Coordinates!$C$2:$C$197,MATCH(I817,[2]Coordinates!$J$2:$J$197,0))</f>
        <v>34.059499010000003</v>
      </c>
      <c r="AN817" s="260" t="str">
        <f>IF(ISNUMBER(SEARCH("C", 'Dry_Litterbag Placem_Collection'!V158)),"YES","NO")</f>
        <v>NO</v>
      </c>
      <c r="AO817" s="260" t="str">
        <f>IF(ISNUMBER(SEARCH("H", 'Dry_Litterbag Placem_Collection'!V158)),"YES","NO")</f>
        <v>NO</v>
      </c>
      <c r="AP817" s="260" t="str">
        <f>IF(ISNUMBER(SEARCH("R", 'Dry_Litterbag Placem_Collection'!V158)),"YES","NO")</f>
        <v>NO</v>
      </c>
    </row>
    <row r="818" spans="1:42" ht="15" customHeight="1">
      <c r="A818" t="s">
        <v>3248</v>
      </c>
      <c r="B818" s="252" t="s">
        <v>2643</v>
      </c>
      <c r="C818" s="253">
        <f>'Dry_Litterbag Placem_Collection'!A159</f>
        <v>157</v>
      </c>
      <c r="D818" s="253" t="str">
        <f>'Dry_Litterbag Placem_Collection'!B159</f>
        <v xml:space="preserve">Mwantimba
</v>
      </c>
      <c r="E818" s="253" t="s">
        <v>2454</v>
      </c>
      <c r="F818" s="253" t="s">
        <v>20</v>
      </c>
      <c r="G818" s="253">
        <v>4</v>
      </c>
      <c r="H818" s="253" t="s">
        <v>3125</v>
      </c>
      <c r="I818" s="254" t="str">
        <f>'Dry_Litterbag Placem_Collection'!C159</f>
        <v>Wet_P4_T5</v>
      </c>
      <c r="J818" s="263" t="s">
        <v>2932</v>
      </c>
      <c r="K818" s="264" t="s">
        <v>298</v>
      </c>
      <c r="L818" s="253" t="str">
        <f>IF(ISBLANK('Dry_Litterbag Placem_Collection'!M159),"","R"&amp;""&amp;'Dry_Litterbag Placem_Collection'!M159)</f>
        <v>R248</v>
      </c>
      <c r="M818" s="257">
        <f>IFERROR(INDEX('Green_rooibos initial weight'!$C$5:$C$2000,MATCH(L818, 'Green_rooibos initial weight'!$A$5:$A$2000,0)),"")</f>
        <v>2.1829999999999998</v>
      </c>
      <c r="N818" s="257">
        <f>IFERROR(M818-(TBIcalc!$Q$9+TBIcalc!$Q$10),"")</f>
        <v>1.9331999999999998</v>
      </c>
      <c r="O818" s="378">
        <f>AVERAGE(Ashed_controlls!$K$12:$K$14)</f>
        <v>2.2816647271287041</v>
      </c>
      <c r="P818" s="257">
        <f t="shared" si="61"/>
        <v>1.8890908574951477</v>
      </c>
      <c r="Q818" s="257" t="str">
        <f>IFERROR(INDEX('Both teabags AfterDry'!$D$2:$D$2000,MATCH(L818,'Both teabags AfterDry'!$A$2:$A$2000,0)),"")</f>
        <v/>
      </c>
      <c r="R818" s="257" t="str">
        <f>IFERROR(IF(Q818&gt;0,Q818-(TBIcalc!$Q$9),""),"")</f>
        <v/>
      </c>
      <c r="S818" s="268" t="str">
        <f>IFERROR(INDEX('Ashed teabags dry'!$K$2:$K$2000,MATCH(L818,'Ashed teabags dry'!$A$2:$A$2000,0)),"")</f>
        <v/>
      </c>
      <c r="T818" s="268" t="str">
        <f t="shared" si="62"/>
        <v/>
      </c>
      <c r="U818" s="258">
        <f>IF('Dry_Litterbag Placem_Collection'!E159="","",'Dry_Litterbag Placem_Collection'!E159)</f>
        <v>42939</v>
      </c>
      <c r="V818" s="258">
        <f>IF('Dry_Litterbag Placem_Collection'!G159="","",'Dry_Litterbag Placem_Collection'!G159)</f>
        <v>43010</v>
      </c>
      <c r="W818" s="259">
        <f t="shared" si="60"/>
        <v>71</v>
      </c>
      <c r="X818" s="257" t="str">
        <f t="shared" si="63"/>
        <v/>
      </c>
      <c r="Y818" s="257" t="str">
        <f t="shared" si="64"/>
        <v/>
      </c>
      <c r="Z818" s="261">
        <f>IFERROR(INDEX([3]Rainfall_Dry!$O$2:$O$217,MATCH(C818, [3]Rainfall_Dry!$A$2:$A$217,0)),"")</f>
        <v>137.19979645800001</v>
      </c>
      <c r="AA818" s="250">
        <v>27.96</v>
      </c>
      <c r="AB818" s="250">
        <v>4.9200000000000017</v>
      </c>
      <c r="AC818" s="250">
        <v>67.12</v>
      </c>
      <c r="AD818" s="251" t="s">
        <v>2651</v>
      </c>
      <c r="AE818" s="250">
        <v>5.0437161163134503</v>
      </c>
      <c r="AF818">
        <f>IF('WetLitterbags placem_collection'!AB159="","",'WetLitterbags placem_collection'!AB159)</f>
        <v>2.2999999999999998</v>
      </c>
      <c r="AG818">
        <f>IF('WetLitterbags placem_collection'!Z159="","",'WetLitterbags placem_collection'!Z159)</f>
        <v>7.7</v>
      </c>
      <c r="AH818" s="236" t="str">
        <f>IF('WetLitterbags placem_collection'!AA159="","",'WetLitterbags placem_collection'!AA159)</f>
        <v>O</v>
      </c>
      <c r="AI818">
        <f>IF('WetLitterbags placem_collection'!AC159="","",'WetLitterbags placem_collection'!AC159)</f>
        <v>0</v>
      </c>
      <c r="AJ818">
        <f>IFERROR(AVERAGE('Dry_Litterbag Placem_Collection'!O159,'Dry_Litterbag Placem_Collection'!R159),"")</f>
        <v>5.65</v>
      </c>
      <c r="AK818" s="261">
        <f>IFERROR(AVERAGE('Dry_Litterbag Placem_Collection'!N159,'Dry_Litterbag Placem_Collection'!Q159),"")</f>
        <v>29.85</v>
      </c>
      <c r="AL818" s="260">
        <f>INDEX([2]Coordinates!$B$2:$B$197,MATCH(I818,[2]Coordinates!$J$2:$J$197,0))</f>
        <v>-2.3678019830000001</v>
      </c>
      <c r="AM818" s="260">
        <f>INDEX([2]Coordinates!$C$2:$C$197,MATCH(I818,[2]Coordinates!$J$2:$J$197,0))</f>
        <v>34.059521969999999</v>
      </c>
      <c r="AN818" s="260" t="str">
        <f>IF(ISNUMBER(SEARCH("C", 'Dry_Litterbag Placem_Collection'!V159)),"YES","NO")</f>
        <v>NO</v>
      </c>
      <c r="AO818" s="260" t="str">
        <f>IF(ISNUMBER(SEARCH("H", 'Dry_Litterbag Placem_Collection'!V159)),"YES","NO")</f>
        <v>NO</v>
      </c>
      <c r="AP818" s="260" t="str">
        <f>IF(ISNUMBER(SEARCH("R", 'Dry_Litterbag Placem_Collection'!V159)),"YES","NO")</f>
        <v>NO</v>
      </c>
    </row>
    <row r="819" spans="1:42" ht="15" customHeight="1">
      <c r="A819" t="s">
        <v>3248</v>
      </c>
      <c r="B819" s="252" t="s">
        <v>2643</v>
      </c>
      <c r="C819" s="253">
        <f>'Dry_Litterbag Placem_Collection'!A160</f>
        <v>158</v>
      </c>
      <c r="D819" s="253" t="str">
        <f>'Dry_Litterbag Placem_Collection'!B160</f>
        <v xml:space="preserve">Mwantimba
</v>
      </c>
      <c r="E819" s="253" t="s">
        <v>2454</v>
      </c>
      <c r="F819" s="253" t="s">
        <v>20</v>
      </c>
      <c r="G819" s="253">
        <v>4</v>
      </c>
      <c r="H819" s="253" t="s">
        <v>3125</v>
      </c>
      <c r="I819" s="254" t="str">
        <f>'Dry_Litterbag Placem_Collection'!C160</f>
        <v>Wet_P4_T6</v>
      </c>
      <c r="J819" s="263" t="s">
        <v>2932</v>
      </c>
      <c r="K819" s="264" t="s">
        <v>298</v>
      </c>
      <c r="L819" s="253" t="str">
        <f>IF(ISBLANK('Dry_Litterbag Placem_Collection'!M160),"","R"&amp;""&amp;'Dry_Litterbag Placem_Collection'!M160)</f>
        <v>R238</v>
      </c>
      <c r="M819" s="257">
        <f>IFERROR(INDEX('Green_rooibos initial weight'!$C$5:$C$2000,MATCH(L819, 'Green_rooibos initial weight'!$A$5:$A$2000,0)),"")</f>
        <v>2.2389999999999999</v>
      </c>
      <c r="N819" s="257">
        <f>IFERROR(M819-(TBIcalc!$Q$9+TBIcalc!$Q$10),"")</f>
        <v>1.9891999999999999</v>
      </c>
      <c r="O819" s="378">
        <f>AVERAGE(Ashed_controlls!$K$12:$K$14)</f>
        <v>2.2816647271287041</v>
      </c>
      <c r="P819" s="257">
        <f t="shared" si="61"/>
        <v>1.9438131252479556</v>
      </c>
      <c r="Q819" s="257">
        <f>IFERROR(INDEX('Both teabags AfterDry'!$D$2:$D$2000,MATCH(L819,'Both teabags AfterDry'!$A$2:$A$2000,0)),"")</f>
        <v>1.7898000000000001</v>
      </c>
      <c r="R819" s="257">
        <f>IFERROR(IF(Q819&gt;0,Q819-(TBIcalc!$Q$9),""),"")</f>
        <v>1.6392</v>
      </c>
      <c r="S819" s="268">
        <f>IFERROR(INDEX('Ashed teabags dry'!$K$2:$K$2000,MATCH(L819,'Ashed teabags dry'!$A$2:$A$2000,0)),"")</f>
        <v>4.8905449464368154</v>
      </c>
      <c r="T819" s="268">
        <f t="shared" si="62"/>
        <v>1.5590341872380078</v>
      </c>
      <c r="U819" s="258">
        <f>IF('Dry_Litterbag Placem_Collection'!E160="","",'Dry_Litterbag Placem_Collection'!E160)</f>
        <v>42939</v>
      </c>
      <c r="V819" s="258">
        <f>IF('Dry_Litterbag Placem_Collection'!G160="","",'Dry_Litterbag Placem_Collection'!G160)</f>
        <v>43010</v>
      </c>
      <c r="W819" s="259">
        <f t="shared" si="60"/>
        <v>71</v>
      </c>
      <c r="X819" s="257">
        <f t="shared" si="63"/>
        <v>0.34999999999999987</v>
      </c>
      <c r="Y819" s="257">
        <f t="shared" si="64"/>
        <v>0.38477893800994778</v>
      </c>
      <c r="Z819" s="261">
        <f>IFERROR(INDEX([3]Rainfall_Dry!$O$2:$O$217,MATCH(C819, [3]Rainfall_Dry!$A$2:$A$217,0)),"")</f>
        <v>137.19979645800001</v>
      </c>
      <c r="AA819" s="250">
        <v>27.96</v>
      </c>
      <c r="AB819" s="250">
        <v>4.9200000000000017</v>
      </c>
      <c r="AC819" s="250">
        <v>67.12</v>
      </c>
      <c r="AD819" s="251" t="s">
        <v>2651</v>
      </c>
      <c r="AE819" s="250">
        <v>6.0437161163134503</v>
      </c>
      <c r="AF819">
        <f>IF('WetLitterbags placem_collection'!AB160="","",'WetLitterbags placem_collection'!AB160)</f>
        <v>1.9</v>
      </c>
      <c r="AG819">
        <f>IF('WetLitterbags placem_collection'!Z160="","",'WetLitterbags placem_collection'!Z160)</f>
        <v>4.3</v>
      </c>
      <c r="AH819" s="236" t="str">
        <f>IF('WetLitterbags placem_collection'!AA160="","",'WetLitterbags placem_collection'!AA160)</f>
        <v>O</v>
      </c>
      <c r="AI819">
        <f>IF('WetLitterbags placem_collection'!AC160="","",'WetLitterbags placem_collection'!AC160)</f>
        <v>0</v>
      </c>
      <c r="AJ819">
        <f>IFERROR(AVERAGE('Dry_Litterbag Placem_Collection'!O160,'Dry_Litterbag Placem_Collection'!R160),"")</f>
        <v>5.95</v>
      </c>
      <c r="AK819" s="261">
        <f>IFERROR(AVERAGE('Dry_Litterbag Placem_Collection'!N160,'Dry_Litterbag Placem_Collection'!Q160),"")</f>
        <v>31.8</v>
      </c>
      <c r="AL819" s="260">
        <f>INDEX([2]Coordinates!$B$2:$B$197,MATCH(I819,[2]Coordinates!$J$2:$J$197,0))</f>
        <v>-2.3679270410000002</v>
      </c>
      <c r="AM819" s="260">
        <f>INDEX([2]Coordinates!$C$2:$C$197,MATCH(I819,[2]Coordinates!$J$2:$J$197,0))</f>
        <v>34.059300020000002</v>
      </c>
      <c r="AN819" s="260" t="str">
        <f>IF(ISNUMBER(SEARCH("C", 'Dry_Litterbag Placem_Collection'!V160)),"YES","NO")</f>
        <v>NO</v>
      </c>
      <c r="AO819" s="260" t="str">
        <f>IF(ISNUMBER(SEARCH("H", 'Dry_Litterbag Placem_Collection'!V160)),"YES","NO")</f>
        <v>NO</v>
      </c>
      <c r="AP819" s="260" t="str">
        <f>IF(ISNUMBER(SEARCH("R", 'Dry_Litterbag Placem_Collection'!V160)),"YES","NO")</f>
        <v>NO</v>
      </c>
    </row>
    <row r="820" spans="1:42" ht="15" customHeight="1">
      <c r="A820" t="s">
        <v>3248</v>
      </c>
      <c r="B820" s="252" t="s">
        <v>2643</v>
      </c>
      <c r="C820" s="253">
        <f>'Dry_Litterbag Placem_Collection'!A161</f>
        <v>159</v>
      </c>
      <c r="D820" s="253" t="str">
        <f>'Dry_Litterbag Placem_Collection'!B161</f>
        <v xml:space="preserve">Mwantimba
</v>
      </c>
      <c r="E820" s="253" t="s">
        <v>2454</v>
      </c>
      <c r="F820" s="253" t="s">
        <v>20</v>
      </c>
      <c r="G820" s="253">
        <v>4</v>
      </c>
      <c r="H820" s="253" t="s">
        <v>3125</v>
      </c>
      <c r="I820" s="254" t="str">
        <f>'Dry_Litterbag Placem_Collection'!C161</f>
        <v>Wet_P4_T7</v>
      </c>
      <c r="J820" s="263" t="s">
        <v>2932</v>
      </c>
      <c r="K820" s="264" t="s">
        <v>298</v>
      </c>
      <c r="L820" s="253" t="str">
        <f>IF(ISBLANK('Dry_Litterbag Placem_Collection'!M161),"","R"&amp;""&amp;'Dry_Litterbag Placem_Collection'!M161)</f>
        <v/>
      </c>
      <c r="M820" s="257" t="str">
        <f>IFERROR(INDEX('Green_rooibos initial weight'!$C$5:$C$2000,MATCH(L820, 'Green_rooibos initial weight'!$A$5:$A$2000,0)),"")</f>
        <v/>
      </c>
      <c r="N820" s="257" t="str">
        <f>IFERROR(M820-(TBIcalc!$Q$9+TBIcalc!$Q$10),"")</f>
        <v/>
      </c>
      <c r="O820" s="378">
        <f>AVERAGE(Ashed_controlls!$K$12:$K$14)</f>
        <v>2.2816647271287041</v>
      </c>
      <c r="P820" s="257" t="str">
        <f t="shared" si="61"/>
        <v/>
      </c>
      <c r="Q820" s="257" t="str">
        <f>IFERROR(INDEX('Both teabags AfterDry'!$D$2:$D$2000,MATCH(L820,'Both teabags AfterDry'!$A$2:$A$2000,0)),"")</f>
        <v/>
      </c>
      <c r="R820" s="257" t="str">
        <f>IFERROR(IF(Q820&gt;0,Q820-(TBIcalc!$Q$9),""),"")</f>
        <v/>
      </c>
      <c r="S820" s="268" t="str">
        <f>IFERROR(INDEX('Ashed teabags dry'!$K$2:$K$2000,MATCH(L820,'Ashed teabags dry'!$A$2:$A$2000,0)),"")</f>
        <v/>
      </c>
      <c r="T820" s="268" t="str">
        <f t="shared" si="62"/>
        <v/>
      </c>
      <c r="U820" s="258" t="str">
        <f>IF('Dry_Litterbag Placem_Collection'!E161="","",'Dry_Litterbag Placem_Collection'!E161)</f>
        <v/>
      </c>
      <c r="V820" s="258" t="str">
        <f>IF('Dry_Litterbag Placem_Collection'!G161="","",'Dry_Litterbag Placem_Collection'!G161)</f>
        <v/>
      </c>
      <c r="W820" s="259" t="str">
        <f t="shared" si="60"/>
        <v/>
      </c>
      <c r="X820" s="257" t="str">
        <f t="shared" si="63"/>
        <v/>
      </c>
      <c r="Y820" s="257" t="str">
        <f t="shared" si="64"/>
        <v/>
      </c>
      <c r="Z820" s="261" t="str">
        <f>IFERROR(INDEX([3]Rainfall_Dry!$O$2:$O$217,MATCH(C820, [3]Rainfall_Dry!$A$2:$A$217,0)),"")</f>
        <v/>
      </c>
      <c r="AA820" s="250">
        <v>27.96</v>
      </c>
      <c r="AB820" s="250">
        <v>4.9200000000000017</v>
      </c>
      <c r="AC820" s="250">
        <v>67.12</v>
      </c>
      <c r="AD820" s="251" t="s">
        <v>2651</v>
      </c>
      <c r="AE820" s="250">
        <v>7.0437161163134503</v>
      </c>
      <c r="AF820">
        <f>IF('WetLitterbags placem_collection'!AB161="","",'WetLitterbags placem_collection'!AB161)</f>
        <v>2.65</v>
      </c>
      <c r="AG820">
        <f>IF('WetLitterbags placem_collection'!Z161="","",'WetLitterbags placem_collection'!Z161)</f>
        <v>0</v>
      </c>
      <c r="AH820" s="236" t="str">
        <f>IF('WetLitterbags placem_collection'!AA161="","",'WetLitterbags placem_collection'!AA161)</f>
        <v>G</v>
      </c>
      <c r="AI820">
        <f>IF('WetLitterbags placem_collection'!AC161="","",'WetLitterbags placem_collection'!AC161)</f>
        <v>1</v>
      </c>
      <c r="AJ820" t="str">
        <f>IFERROR(AVERAGE('Dry_Litterbag Placem_Collection'!O161,'Dry_Litterbag Placem_Collection'!R161),"")</f>
        <v/>
      </c>
      <c r="AK820" s="261" t="str">
        <f>IFERROR(AVERAGE('Dry_Litterbag Placem_Collection'!N161,'Dry_Litterbag Placem_Collection'!Q161),"")</f>
        <v/>
      </c>
      <c r="AL820" s="260">
        <f>INDEX([2]Coordinates!$B$2:$B$197,MATCH(I820,[2]Coordinates!$J$2:$J$197,0))</f>
        <v>-2.3676829599999998</v>
      </c>
      <c r="AM820" s="260">
        <f>INDEX([2]Coordinates!$C$2:$C$197,MATCH(I820,[2]Coordinates!$J$2:$J$197,0))</f>
        <v>34.059236990000002</v>
      </c>
      <c r="AN820" s="260" t="str">
        <f>IF(ISNUMBER(SEARCH("C", 'Dry_Litterbag Placem_Collection'!V161)),"YES","NO")</f>
        <v>NO</v>
      </c>
      <c r="AO820" s="260" t="str">
        <f>IF(ISNUMBER(SEARCH("H", 'Dry_Litterbag Placem_Collection'!V161)),"YES","NO")</f>
        <v>NO</v>
      </c>
      <c r="AP820" s="260" t="str">
        <f>IF(ISNUMBER(SEARCH("R", 'Dry_Litterbag Placem_Collection'!V161)),"YES","NO")</f>
        <v>NO</v>
      </c>
    </row>
    <row r="821" spans="1:42" ht="15" customHeight="1">
      <c r="A821" t="s">
        <v>3248</v>
      </c>
      <c r="B821" s="252" t="s">
        <v>2643</v>
      </c>
      <c r="C821" s="253">
        <f>'Dry_Litterbag Placem_Collection'!A162</f>
        <v>160</v>
      </c>
      <c r="D821" s="253" t="str">
        <f>'Dry_Litterbag Placem_Collection'!B162</f>
        <v xml:space="preserve">Mwantimba
</v>
      </c>
      <c r="E821" s="253" t="s">
        <v>2454</v>
      </c>
      <c r="F821" s="253" t="s">
        <v>20</v>
      </c>
      <c r="G821" s="253">
        <v>4</v>
      </c>
      <c r="H821" s="253" t="s">
        <v>3125</v>
      </c>
      <c r="I821" s="254" t="str">
        <f>'Dry_Litterbag Placem_Collection'!C162</f>
        <v>Wet_P4_T8</v>
      </c>
      <c r="J821" s="263" t="s">
        <v>2932</v>
      </c>
      <c r="K821" s="264" t="s">
        <v>298</v>
      </c>
      <c r="L821" s="253" t="str">
        <f>IF(ISBLANK('Dry_Litterbag Placem_Collection'!M162),"","R"&amp;""&amp;'Dry_Litterbag Placem_Collection'!M162)</f>
        <v>R350</v>
      </c>
      <c r="M821" s="257">
        <f>IFERROR(INDEX('Green_rooibos initial weight'!$C$5:$C$2000,MATCH(L821, 'Green_rooibos initial weight'!$A$5:$A$2000,0)),"")</f>
        <v>2.21</v>
      </c>
      <c r="N821" s="257">
        <f>IFERROR(M821-(TBIcalc!$Q$9+TBIcalc!$Q$10),"")</f>
        <v>1.9601999999999999</v>
      </c>
      <c r="O821" s="378">
        <f>AVERAGE(Ashed_controlls!$K$12:$K$14)</f>
        <v>2.2816647271287041</v>
      </c>
      <c r="P821" s="257">
        <f t="shared" si="61"/>
        <v>1.9154748080188231</v>
      </c>
      <c r="Q821" s="257">
        <f>IFERROR(INDEX('Both teabags AfterDry'!$D$2:$D$2000,MATCH(L821,'Both teabags AfterDry'!$A$2:$A$2000,0)),"")</f>
        <v>1.9824999999999999</v>
      </c>
      <c r="R821" s="257">
        <f>IFERROR(IF(Q821&gt;0,Q821-(TBIcalc!$Q$9),""),"")</f>
        <v>1.8318999999999999</v>
      </c>
      <c r="S821" s="268">
        <f>IFERROR(INDEX('Ashed teabags dry'!$K$2:$K$2000,MATCH(L821,'Ashed teabags dry'!$A$2:$A$2000,0)),"")</f>
        <v>4.4153323629310188</v>
      </c>
      <c r="T821" s="268">
        <f t="shared" si="62"/>
        <v>1.7510155264434666</v>
      </c>
      <c r="U821" s="258">
        <f>IF('Dry_Litterbag Placem_Collection'!E162="","",'Dry_Litterbag Placem_Collection'!E162)</f>
        <v>42939</v>
      </c>
      <c r="V821" s="258">
        <f>IF('Dry_Litterbag Placem_Collection'!G162="","",'Dry_Litterbag Placem_Collection'!G162)</f>
        <v>43010</v>
      </c>
      <c r="W821" s="259">
        <f t="shared" si="60"/>
        <v>71</v>
      </c>
      <c r="X821" s="257">
        <f t="shared" si="63"/>
        <v>0.12830000000000008</v>
      </c>
      <c r="Y821" s="257">
        <f t="shared" si="64"/>
        <v>0.1644592815753565</v>
      </c>
      <c r="Z821" s="261">
        <f>IFERROR(INDEX([3]Rainfall_Dry!$O$2:$O$217,MATCH(C821, [3]Rainfall_Dry!$A$2:$A$217,0)),"")</f>
        <v>137.19979645800001</v>
      </c>
      <c r="AA821" s="250">
        <v>27.96</v>
      </c>
      <c r="AB821" s="250">
        <v>4.9200000000000017</v>
      </c>
      <c r="AC821" s="250">
        <v>67.12</v>
      </c>
      <c r="AD821" s="251" t="s">
        <v>2651</v>
      </c>
      <c r="AE821" s="250">
        <v>8.0437161163134494</v>
      </c>
      <c r="AF821">
        <f>IF('WetLitterbags placem_collection'!AB162="","",'WetLitterbags placem_collection'!AB162)</f>
        <v>0.8</v>
      </c>
      <c r="AG821">
        <f>IF('WetLitterbags placem_collection'!Z162="","",'WetLitterbags placem_collection'!Z162)</f>
        <v>10.8</v>
      </c>
      <c r="AH821" s="236" t="str">
        <f>IF('WetLitterbags placem_collection'!AA162="","",'WetLitterbags placem_collection'!AA162)</f>
        <v>O</v>
      </c>
      <c r="AI821">
        <f>IF('WetLitterbags placem_collection'!AC162="","",'WetLitterbags placem_collection'!AC162)</f>
        <v>0</v>
      </c>
      <c r="AJ821">
        <f>IFERROR(AVERAGE('Dry_Litterbag Placem_Collection'!O162,'Dry_Litterbag Placem_Collection'!R162),"")</f>
        <v>6.25</v>
      </c>
      <c r="AK821" s="261">
        <f>IFERROR(AVERAGE('Dry_Litterbag Placem_Collection'!N162,'Dry_Litterbag Placem_Collection'!Q162),"")</f>
        <v>29.200000000000003</v>
      </c>
      <c r="AL821" s="260">
        <f>INDEX([2]Coordinates!$B$2:$B$197,MATCH(I821,[2]Coordinates!$J$2:$J$197,0))</f>
        <v>-2.367547005</v>
      </c>
      <c r="AM821" s="260">
        <f>INDEX([2]Coordinates!$C$2:$C$197,MATCH(I821,[2]Coordinates!$J$2:$J$197,0))</f>
        <v>34.059494989999997</v>
      </c>
      <c r="AN821" s="260" t="str">
        <f>IF(ISNUMBER(SEARCH("C", 'Dry_Litterbag Placem_Collection'!V162)),"YES","NO")</f>
        <v>NO</v>
      </c>
      <c r="AO821" s="260" t="str">
        <f>IF(ISNUMBER(SEARCH("H", 'Dry_Litterbag Placem_Collection'!V162)),"YES","NO")</f>
        <v>NO</v>
      </c>
      <c r="AP821" s="260" t="str">
        <f>IF(ISNUMBER(SEARCH("R", 'Dry_Litterbag Placem_Collection'!V162)),"YES","NO")</f>
        <v>NO</v>
      </c>
    </row>
    <row r="822" spans="1:42" ht="15" customHeight="1">
      <c r="A822" t="s">
        <v>3248</v>
      </c>
      <c r="B822" s="252" t="s">
        <v>2643</v>
      </c>
      <c r="C822" s="253">
        <f>'Dry_Litterbag Placem_Collection'!A163</f>
        <v>161</v>
      </c>
      <c r="D822" s="253" t="str">
        <f>'Dry_Litterbag Placem_Collection'!B163</f>
        <v>Handajega</v>
      </c>
      <c r="E822" s="253" t="s">
        <v>2454</v>
      </c>
      <c r="F822" s="253" t="s">
        <v>2645</v>
      </c>
      <c r="G822" s="253">
        <v>1</v>
      </c>
      <c r="H822" s="253" t="s">
        <v>3126</v>
      </c>
      <c r="I822" s="254" t="str">
        <f>'Dry_Litterbag Placem_Collection'!C163</f>
        <v>Wet_W1_T1</v>
      </c>
      <c r="J822" s="263" t="s">
        <v>2932</v>
      </c>
      <c r="K822" s="264" t="s">
        <v>298</v>
      </c>
      <c r="L822" s="253" t="str">
        <f>IF(ISBLANK('Dry_Litterbag Placem_Collection'!M163),"","R"&amp;""&amp;'Dry_Litterbag Placem_Collection'!M163)</f>
        <v>R314</v>
      </c>
      <c r="M822" s="257">
        <f>IFERROR(INDEX('Green_rooibos initial weight'!$C$5:$C$2000,MATCH(L822, 'Green_rooibos initial weight'!$A$5:$A$2000,0)),"")</f>
        <v>2.17</v>
      </c>
      <c r="N822" s="257">
        <f>IFERROR(M822-(TBIcalc!$Q$9+TBIcalc!$Q$10),"")</f>
        <v>1.9201999999999999</v>
      </c>
      <c r="O822" s="378">
        <f>AVERAGE(Ashed_controlls!$K$12:$K$14)</f>
        <v>2.2816647271287041</v>
      </c>
      <c r="P822" s="257">
        <f t="shared" si="61"/>
        <v>1.8763874739096746</v>
      </c>
      <c r="Q822" s="257">
        <f>IFERROR(INDEX('Both teabags AfterDry'!$D$2:$D$2000,MATCH(L822,'Both teabags AfterDry'!$A$2:$A$2000,0)),"")</f>
        <v>1.7397</v>
      </c>
      <c r="R822" s="257">
        <f>IFERROR(IF(Q822&gt;0,Q822-(TBIcalc!$Q$9),""),"")</f>
        <v>1.5891</v>
      </c>
      <c r="S822" s="268">
        <f>IFERROR(INDEX('Ashed teabags dry'!$K$2:$K$2000,MATCH(L822,'Ashed teabags dry'!$A$2:$A$2000,0)),"")</f>
        <v>4.8425011753644043</v>
      </c>
      <c r="T822" s="268">
        <f t="shared" si="62"/>
        <v>1.5121478138222841</v>
      </c>
      <c r="U822" s="258">
        <f>IF('Dry_Litterbag Placem_Collection'!E163="","",'Dry_Litterbag Placem_Collection'!E163)</f>
        <v>42940</v>
      </c>
      <c r="V822" s="258">
        <f>IF('Dry_Litterbag Placem_Collection'!G163="","",'Dry_Litterbag Placem_Collection'!G163)</f>
        <v>43009</v>
      </c>
      <c r="W822" s="259">
        <f t="shared" si="60"/>
        <v>69</v>
      </c>
      <c r="X822" s="257">
        <f t="shared" si="63"/>
        <v>0.33109999999999995</v>
      </c>
      <c r="Y822" s="257">
        <f t="shared" si="64"/>
        <v>0.3642396600873905</v>
      </c>
      <c r="Z822" s="261">
        <f>IFERROR(INDEX([3]Rainfall_Dry!$O$2:$O$217,MATCH(C822, [3]Rainfall_Dry!$A$2:$A$217,0)),"")</f>
        <v>162.634207253</v>
      </c>
      <c r="AA822" s="250">
        <v>21.96</v>
      </c>
      <c r="AB822" s="250">
        <v>4.9199999999999982</v>
      </c>
      <c r="AC822" s="250">
        <v>73.12</v>
      </c>
      <c r="AD822" s="251" t="s">
        <v>2651</v>
      </c>
      <c r="AE822" s="250">
        <v>1.2416954164613114</v>
      </c>
      <c r="AF822">
        <f>IF('WetLitterbags placem_collection'!AB163="","",'WetLitterbags placem_collection'!AB163)</f>
        <v>7.6</v>
      </c>
      <c r="AG822">
        <f>IF('WetLitterbags placem_collection'!Z163="","",'WetLitterbags placem_collection'!Z163)</f>
        <v>35.799999999999997</v>
      </c>
      <c r="AH822" s="236" t="str">
        <f>IF('WetLitterbags placem_collection'!AA163="","",'WetLitterbags placem_collection'!AA163)</f>
        <v>M</v>
      </c>
      <c r="AI822">
        <f>IF('WetLitterbags placem_collection'!AC163="","",'WetLitterbags placem_collection'!AC163)</f>
        <v>0</v>
      </c>
      <c r="AJ822">
        <f>IFERROR(AVERAGE('Dry_Litterbag Placem_Collection'!O163,'Dry_Litterbag Placem_Collection'!R163),"")</f>
        <v>5.65</v>
      </c>
      <c r="AK822" s="261">
        <f>IFERROR(AVERAGE('Dry_Litterbag Placem_Collection'!N163,'Dry_Litterbag Placem_Collection'!Q163),"")</f>
        <v>31.7</v>
      </c>
      <c r="AL822" s="260">
        <f>INDEX([2]Coordinates!$B$2:$B$197,MATCH(I822,[2]Coordinates!$J$2:$J$197,0))</f>
        <v>-2.272751033</v>
      </c>
      <c r="AM822" s="260">
        <f>INDEX([2]Coordinates!$C$2:$C$197,MATCH(I822,[2]Coordinates!$J$2:$J$197,0))</f>
        <v>34.023176030000002</v>
      </c>
      <c r="AN822" s="260" t="str">
        <f>IF(ISNUMBER(SEARCH("C", 'Dry_Litterbag Placem_Collection'!V163)),"YES","NO")</f>
        <v>NO</v>
      </c>
      <c r="AO822" s="260" t="str">
        <f>IF(ISNUMBER(SEARCH("H", 'Dry_Litterbag Placem_Collection'!V163)),"YES","NO")</f>
        <v>NO</v>
      </c>
      <c r="AP822" s="260" t="str">
        <f>IF(ISNUMBER(SEARCH("R", 'Dry_Litterbag Placem_Collection'!V163)),"YES","NO")</f>
        <v>NO</v>
      </c>
    </row>
    <row r="823" spans="1:42" ht="15" customHeight="1">
      <c r="A823" t="s">
        <v>3248</v>
      </c>
      <c r="B823" s="252" t="s">
        <v>2643</v>
      </c>
      <c r="C823" s="253">
        <f>'Dry_Litterbag Placem_Collection'!A164</f>
        <v>162</v>
      </c>
      <c r="D823" s="253" t="str">
        <f>'Dry_Litterbag Placem_Collection'!B164</f>
        <v>Handajega</v>
      </c>
      <c r="E823" s="253" t="s">
        <v>2454</v>
      </c>
      <c r="F823" s="253" t="s">
        <v>2645</v>
      </c>
      <c r="G823" s="253">
        <v>1</v>
      </c>
      <c r="H823" s="253" t="s">
        <v>3126</v>
      </c>
      <c r="I823" s="254" t="str">
        <f>'Dry_Litterbag Placem_Collection'!C164</f>
        <v>Wet_W1_T2</v>
      </c>
      <c r="J823" s="263" t="s">
        <v>2932</v>
      </c>
      <c r="K823" s="264" t="s">
        <v>298</v>
      </c>
      <c r="L823" s="253" t="str">
        <f>IF(ISBLANK('Dry_Litterbag Placem_Collection'!M164),"","R"&amp;""&amp;'Dry_Litterbag Placem_Collection'!M164)</f>
        <v>R425</v>
      </c>
      <c r="M823" s="257">
        <f>IFERROR(INDEX('Green_rooibos initial weight'!$C$5:$C$2000,MATCH(L823, 'Green_rooibos initial weight'!$A$5:$A$2000,0)),"")</f>
        <v>2.25</v>
      </c>
      <c r="N823" s="257">
        <f>IFERROR(M823-(TBIcalc!$Q$9+TBIcalc!$Q$10),"")</f>
        <v>2.0002</v>
      </c>
      <c r="O823" s="378">
        <f>AVERAGE(Ashed_controlls!$K$12:$K$14)</f>
        <v>2.2816647271287041</v>
      </c>
      <c r="P823" s="257">
        <f t="shared" si="61"/>
        <v>1.9545621421279717</v>
      </c>
      <c r="Q823" s="257">
        <f>IFERROR(INDEX('Both teabags AfterDry'!$D$2:$D$2000,MATCH(L823,'Both teabags AfterDry'!$A$2:$A$2000,0)),"")</f>
        <v>1.8856999999999999</v>
      </c>
      <c r="R823" s="257">
        <f>IFERROR(IF(Q823&gt;0,Q823-(TBIcalc!$Q$9),""),"")</f>
        <v>1.7350999999999999</v>
      </c>
      <c r="S823" s="268">
        <f>IFERROR(INDEX('Ashed teabags dry'!$K$2:$K$2000,MATCH(L823,'Ashed teabags dry'!$A$2:$A$2000,0)),"")</f>
        <v>6.8486590038315791</v>
      </c>
      <c r="T823" s="268">
        <f t="shared" si="62"/>
        <v>1.6162689176245182</v>
      </c>
      <c r="U823" s="258">
        <f>IF('Dry_Litterbag Placem_Collection'!E164="","",'Dry_Litterbag Placem_Collection'!E164)</f>
        <v>42940</v>
      </c>
      <c r="V823" s="258">
        <f>IF('Dry_Litterbag Placem_Collection'!G164="","",'Dry_Litterbag Placem_Collection'!G164)</f>
        <v>43009</v>
      </c>
      <c r="W823" s="259">
        <f t="shared" si="60"/>
        <v>69</v>
      </c>
      <c r="X823" s="257">
        <f t="shared" si="63"/>
        <v>0.26510000000000011</v>
      </c>
      <c r="Y823" s="257">
        <f t="shared" si="64"/>
        <v>0.33829322450345356</v>
      </c>
      <c r="Z823" s="261">
        <f>IFERROR(INDEX([3]Rainfall_Dry!$O$2:$O$217,MATCH(C823, [3]Rainfall_Dry!$A$2:$A$217,0)),"")</f>
        <v>162.634207253</v>
      </c>
      <c r="AA823" s="250">
        <v>21.96</v>
      </c>
      <c r="AB823" s="250">
        <v>4.9199999999999982</v>
      </c>
      <c r="AC823" s="250">
        <v>73.12</v>
      </c>
      <c r="AD823" s="251" t="s">
        <v>2651</v>
      </c>
      <c r="AE823" s="250">
        <v>2.2416954164613099</v>
      </c>
      <c r="AF823">
        <f>IF('WetLitterbags placem_collection'!AB164="","",'WetLitterbags placem_collection'!AB164)</f>
        <v>4.0999999999999996</v>
      </c>
      <c r="AG823">
        <f>IF('WetLitterbags placem_collection'!Z164="","",'WetLitterbags placem_collection'!Z164)</f>
        <v>31.4</v>
      </c>
      <c r="AH823" s="236" t="str">
        <f>IF('WetLitterbags placem_collection'!AA164="","",'WetLitterbags placem_collection'!AA164)</f>
        <v>M</v>
      </c>
      <c r="AI823">
        <f>IF('WetLitterbags placem_collection'!AC164="","",'WetLitterbags placem_collection'!AC164)</f>
        <v>0</v>
      </c>
      <c r="AJ823">
        <f>IFERROR(AVERAGE('Dry_Litterbag Placem_Collection'!O164,'Dry_Litterbag Placem_Collection'!R164),"")</f>
        <v>4.4499999999999993</v>
      </c>
      <c r="AK823" s="261">
        <f>IFERROR(AVERAGE('Dry_Litterbag Placem_Collection'!N164,'Dry_Litterbag Placem_Collection'!Q164),"")</f>
        <v>31.650000000000002</v>
      </c>
      <c r="AL823" s="260">
        <f>INDEX([2]Coordinates!$B$2:$B$197,MATCH(I823,[2]Coordinates!$J$2:$J$197,0))</f>
        <v>-2.2727060219999999</v>
      </c>
      <c r="AM823" s="260">
        <f>INDEX([2]Coordinates!$C$2:$C$197,MATCH(I823,[2]Coordinates!$J$2:$J$197,0))</f>
        <v>34.023162030000002</v>
      </c>
      <c r="AN823" s="260" t="str">
        <f>IF(ISNUMBER(SEARCH("C", 'Dry_Litterbag Placem_Collection'!V164)),"YES","NO")</f>
        <v>NO</v>
      </c>
      <c r="AO823" s="260" t="str">
        <f>IF(ISNUMBER(SEARCH("H", 'Dry_Litterbag Placem_Collection'!V164)),"YES","NO")</f>
        <v>NO</v>
      </c>
      <c r="AP823" s="260" t="str">
        <f>IF(ISNUMBER(SEARCH("R", 'Dry_Litterbag Placem_Collection'!V164)),"YES","NO")</f>
        <v>NO</v>
      </c>
    </row>
    <row r="824" spans="1:42" ht="15" customHeight="1">
      <c r="A824" t="s">
        <v>3248</v>
      </c>
      <c r="B824" s="252" t="s">
        <v>2643</v>
      </c>
      <c r="C824" s="253">
        <f>'Dry_Litterbag Placem_Collection'!A165</f>
        <v>163</v>
      </c>
      <c r="D824" s="253" t="str">
        <f>'Dry_Litterbag Placem_Collection'!B165</f>
        <v>Handajega</v>
      </c>
      <c r="E824" s="253" t="s">
        <v>2454</v>
      </c>
      <c r="F824" s="253" t="s">
        <v>2645</v>
      </c>
      <c r="G824" s="253">
        <v>1</v>
      </c>
      <c r="H824" s="253" t="s">
        <v>3126</v>
      </c>
      <c r="I824" s="254" t="str">
        <f>'Dry_Litterbag Placem_Collection'!C165</f>
        <v>Wet_W1_T3</v>
      </c>
      <c r="J824" s="263" t="s">
        <v>2932</v>
      </c>
      <c r="K824" s="264" t="s">
        <v>298</v>
      </c>
      <c r="L824" s="253" t="str">
        <f>IF(ISBLANK('Dry_Litterbag Placem_Collection'!M165),"","R"&amp;""&amp;'Dry_Litterbag Placem_Collection'!M165)</f>
        <v>R267</v>
      </c>
      <c r="M824" s="257">
        <f>IFERROR(INDEX('Green_rooibos initial weight'!$C$5:$C$2000,MATCH(L824, 'Green_rooibos initial weight'!$A$5:$A$2000,0)),"")</f>
        <v>2.1930000000000001</v>
      </c>
      <c r="N824" s="257">
        <f>IFERROR(M824-(TBIcalc!$Q$9+TBIcalc!$Q$10),"")</f>
        <v>1.9432</v>
      </c>
      <c r="O824" s="378">
        <f>AVERAGE(Ashed_controlls!$K$12:$K$14)</f>
        <v>2.2816647271287041</v>
      </c>
      <c r="P824" s="257">
        <f t="shared" si="61"/>
        <v>1.8988626910224351</v>
      </c>
      <c r="Q824" s="257">
        <f>IFERROR(INDEX('Both teabags AfterDry'!$D$2:$D$2000,MATCH(L824,'Both teabags AfterDry'!$A$2:$A$2000,0)),"")</f>
        <v>1.7754000000000001</v>
      </c>
      <c r="R824" s="257">
        <f>IFERROR(IF(Q824&gt;0,Q824-(TBIcalc!$Q$9),""),"")</f>
        <v>1.6248</v>
      </c>
      <c r="S824" s="268">
        <f>IFERROR(INDEX('Ashed teabags dry'!$K$2:$K$2000,MATCH(L824,'Ashed teabags dry'!$A$2:$A$2000,0)),"")</f>
        <v>9.0049751243772</v>
      </c>
      <c r="T824" s="268">
        <f t="shared" si="62"/>
        <v>1.4784871641791193</v>
      </c>
      <c r="U824" s="258">
        <f>IF('Dry_Litterbag Placem_Collection'!E165="","",'Dry_Litterbag Placem_Collection'!E165)</f>
        <v>42940</v>
      </c>
      <c r="V824" s="258">
        <f>IF('Dry_Litterbag Placem_Collection'!G165="","",'Dry_Litterbag Placem_Collection'!G165)</f>
        <v>43009</v>
      </c>
      <c r="W824" s="259">
        <f t="shared" si="60"/>
        <v>69</v>
      </c>
      <c r="X824" s="257">
        <f t="shared" si="63"/>
        <v>0.31840000000000002</v>
      </c>
      <c r="Y824" s="257">
        <f t="shared" si="64"/>
        <v>0.42037552684331581</v>
      </c>
      <c r="Z824" s="261">
        <f>IFERROR(INDEX([3]Rainfall_Dry!$O$2:$O$217,MATCH(C824, [3]Rainfall_Dry!$A$2:$A$217,0)),"")</f>
        <v>162.634207253</v>
      </c>
      <c r="AA824" s="250">
        <v>21.96</v>
      </c>
      <c r="AB824" s="250">
        <v>4.9199999999999982</v>
      </c>
      <c r="AC824" s="250">
        <v>73.12</v>
      </c>
      <c r="AD824" s="251" t="s">
        <v>2651</v>
      </c>
      <c r="AE824" s="250">
        <v>3.2416954164613099</v>
      </c>
      <c r="AF824">
        <f>IF('WetLitterbags placem_collection'!AB165="","",'WetLitterbags placem_collection'!AB165)</f>
        <v>7.8</v>
      </c>
      <c r="AG824">
        <f>IF('WetLitterbags placem_collection'!Z165="","",'WetLitterbags placem_collection'!Z165)</f>
        <v>28.8</v>
      </c>
      <c r="AH824" s="236" t="str">
        <f>IF('WetLitterbags placem_collection'!AA165="","",'WetLitterbags placem_collection'!AA165)</f>
        <v>M</v>
      </c>
      <c r="AI824">
        <f>IF('WetLitterbags placem_collection'!AC165="","",'WetLitterbags placem_collection'!AC165)</f>
        <v>0</v>
      </c>
      <c r="AJ824">
        <f>IFERROR(AVERAGE('Dry_Litterbag Placem_Collection'!O165,'Dry_Litterbag Placem_Collection'!R165),"")</f>
        <v>4.45</v>
      </c>
      <c r="AK824" s="261">
        <f>IFERROR(AVERAGE('Dry_Litterbag Placem_Collection'!N165,'Dry_Litterbag Placem_Collection'!Q165),"")</f>
        <v>32.75</v>
      </c>
      <c r="AL824" s="260">
        <f>INDEX([2]Coordinates!$B$2:$B$197,MATCH(I824,[2]Coordinates!$J$2:$J$197,0))</f>
        <v>-2.2726719919999998</v>
      </c>
      <c r="AM824" s="260">
        <f>INDEX([2]Coordinates!$C$2:$C$197,MATCH(I824,[2]Coordinates!$J$2:$J$197,0))</f>
        <v>34.023210980000002</v>
      </c>
      <c r="AN824" s="260" t="str">
        <f>IF(ISNUMBER(SEARCH("C", 'Dry_Litterbag Placem_Collection'!V165)),"YES","NO")</f>
        <v>NO</v>
      </c>
      <c r="AO824" s="260" t="str">
        <f>IF(ISNUMBER(SEARCH("H", 'Dry_Litterbag Placem_Collection'!V165)),"YES","NO")</f>
        <v>NO</v>
      </c>
      <c r="AP824" s="260" t="str">
        <f>IF(ISNUMBER(SEARCH("R", 'Dry_Litterbag Placem_Collection'!V165)),"YES","NO")</f>
        <v>NO</v>
      </c>
    </row>
    <row r="825" spans="1:42" ht="15" customHeight="1">
      <c r="A825" t="s">
        <v>3248</v>
      </c>
      <c r="B825" s="252" t="s">
        <v>2643</v>
      </c>
      <c r="C825" s="253">
        <f>'Dry_Litterbag Placem_Collection'!A166</f>
        <v>164</v>
      </c>
      <c r="D825" s="253" t="str">
        <f>'Dry_Litterbag Placem_Collection'!B166</f>
        <v>Handajega</v>
      </c>
      <c r="E825" s="253" t="s">
        <v>2454</v>
      </c>
      <c r="F825" s="253" t="s">
        <v>2645</v>
      </c>
      <c r="G825" s="253">
        <v>1</v>
      </c>
      <c r="H825" s="253" t="s">
        <v>3126</v>
      </c>
      <c r="I825" s="254" t="str">
        <f>'Dry_Litterbag Placem_Collection'!C166</f>
        <v>Wet_W1_T4</v>
      </c>
      <c r="J825" s="263" t="s">
        <v>2932</v>
      </c>
      <c r="K825" s="264" t="s">
        <v>298</v>
      </c>
      <c r="L825" s="253" t="str">
        <f>IF(ISBLANK('Dry_Litterbag Placem_Collection'!M166),"","R"&amp;""&amp;'Dry_Litterbag Placem_Collection'!M166)</f>
        <v>R211</v>
      </c>
      <c r="M825" s="257">
        <f>IFERROR(INDEX('Green_rooibos initial weight'!$C$5:$C$2000,MATCH(L825, 'Green_rooibos initial weight'!$A$5:$A$2000,0)),"")</f>
        <v>2.2389999999999999</v>
      </c>
      <c r="N825" s="257">
        <f>IFERROR(M825-(TBIcalc!$Q$9+TBIcalc!$Q$10),"")</f>
        <v>1.9891999999999999</v>
      </c>
      <c r="O825" s="378">
        <f>AVERAGE(Ashed_controlls!$K$12:$K$14)</f>
        <v>2.2816647271287041</v>
      </c>
      <c r="P825" s="257">
        <f t="shared" si="61"/>
        <v>1.9438131252479556</v>
      </c>
      <c r="Q825" s="257">
        <f>IFERROR(INDEX('Both teabags AfterDry'!$D$2:$D$2000,MATCH(L825,'Both teabags AfterDry'!$A$2:$A$2000,0)),"")</f>
        <v>1.7732000000000001</v>
      </c>
      <c r="R825" s="257">
        <f>IFERROR(IF(Q825&gt;0,Q825-(TBIcalc!$Q$9),""),"")</f>
        <v>1.6226</v>
      </c>
      <c r="S825" s="268">
        <f>IFERROR(INDEX('Ashed teabags dry'!$K$2:$K$2000,MATCH(L825,'Ashed teabags dry'!$A$2:$A$2000,0)),"")</f>
        <v>6.3861386138614789</v>
      </c>
      <c r="T825" s="268">
        <f t="shared" si="62"/>
        <v>1.5189785148514836</v>
      </c>
      <c r="U825" s="258">
        <f>IF('Dry_Litterbag Placem_Collection'!E166="","",'Dry_Litterbag Placem_Collection'!E166)</f>
        <v>42940</v>
      </c>
      <c r="V825" s="258">
        <f>IF('Dry_Litterbag Placem_Collection'!G166="","",'Dry_Litterbag Placem_Collection'!G166)</f>
        <v>43009</v>
      </c>
      <c r="W825" s="259">
        <f t="shared" si="60"/>
        <v>69</v>
      </c>
      <c r="X825" s="257">
        <f t="shared" si="63"/>
        <v>0.36659999999999981</v>
      </c>
      <c r="Y825" s="257">
        <f t="shared" si="64"/>
        <v>0.42483461039647197</v>
      </c>
      <c r="Z825" s="261">
        <f>IFERROR(INDEX([3]Rainfall_Dry!$O$2:$O$217,MATCH(C825, [3]Rainfall_Dry!$A$2:$A$217,0)),"")</f>
        <v>162.634207253</v>
      </c>
      <c r="AA825" s="250">
        <v>21.96</v>
      </c>
      <c r="AB825" s="250">
        <v>4.9199999999999982</v>
      </c>
      <c r="AC825" s="250">
        <v>73.12</v>
      </c>
      <c r="AD825" s="251" t="s">
        <v>2651</v>
      </c>
      <c r="AE825" s="250">
        <v>4.2416954164613099</v>
      </c>
      <c r="AF825">
        <f>IF('WetLitterbags placem_collection'!AB166="","",'WetLitterbags placem_collection'!AB166)</f>
        <v>9.5</v>
      </c>
      <c r="AG825">
        <f>IF('WetLitterbags placem_collection'!Z166="","",'WetLitterbags placem_collection'!Z166)</f>
        <v>20.8</v>
      </c>
      <c r="AH825" s="236" t="str">
        <f>IF('WetLitterbags placem_collection'!AA166="","",'WetLitterbags placem_collection'!AA166)</f>
        <v>M</v>
      </c>
      <c r="AI825">
        <f>IF('WetLitterbags placem_collection'!AC166="","",'WetLitterbags placem_collection'!AC166)</f>
        <v>0</v>
      </c>
      <c r="AJ825">
        <f>IFERROR(AVERAGE('Dry_Litterbag Placem_Collection'!O166,'Dry_Litterbag Placem_Collection'!R166),"")</f>
        <v>5.0500000000000007</v>
      </c>
      <c r="AK825" s="261">
        <f>IFERROR(AVERAGE('Dry_Litterbag Placem_Collection'!N166,'Dry_Litterbag Placem_Collection'!Q166),"")</f>
        <v>31.3</v>
      </c>
      <c r="AL825" s="260">
        <f>INDEX([2]Coordinates!$B$2:$B$197,MATCH(I825,[2]Coordinates!$J$2:$J$197,0))</f>
        <v>-2.2726180130000002</v>
      </c>
      <c r="AM825" s="260">
        <f>INDEX([2]Coordinates!$C$2:$C$197,MATCH(I825,[2]Coordinates!$J$2:$J$197,0))</f>
        <v>34.023212999999998</v>
      </c>
      <c r="AN825" s="260" t="str">
        <f>IF(ISNUMBER(SEARCH("C", 'Dry_Litterbag Placem_Collection'!V166)),"YES","NO")</f>
        <v>NO</v>
      </c>
      <c r="AO825" s="260" t="str">
        <f>IF(ISNUMBER(SEARCH("H", 'Dry_Litterbag Placem_Collection'!V166)),"YES","NO")</f>
        <v>NO</v>
      </c>
      <c r="AP825" s="260" t="str">
        <f>IF(ISNUMBER(SEARCH("R", 'Dry_Litterbag Placem_Collection'!V166)),"YES","NO")</f>
        <v>YES</v>
      </c>
    </row>
    <row r="826" spans="1:42" ht="15" customHeight="1">
      <c r="A826" t="s">
        <v>3248</v>
      </c>
      <c r="B826" s="252" t="s">
        <v>2643</v>
      </c>
      <c r="C826" s="253">
        <f>'Dry_Litterbag Placem_Collection'!A167</f>
        <v>165</v>
      </c>
      <c r="D826" s="253" t="str">
        <f>'Dry_Litterbag Placem_Collection'!B167</f>
        <v>Handajega</v>
      </c>
      <c r="E826" s="253" t="s">
        <v>2454</v>
      </c>
      <c r="F826" s="253" t="s">
        <v>2645</v>
      </c>
      <c r="G826" s="253">
        <v>1</v>
      </c>
      <c r="H826" s="253" t="s">
        <v>3126</v>
      </c>
      <c r="I826" s="254" t="str">
        <f>'Dry_Litterbag Placem_Collection'!C167</f>
        <v>Wet_W1_T5</v>
      </c>
      <c r="J826" s="263" t="s">
        <v>2932</v>
      </c>
      <c r="K826" s="264" t="s">
        <v>298</v>
      </c>
      <c r="L826" s="253" t="str">
        <f>IF(ISBLANK('Dry_Litterbag Placem_Collection'!M167),"","R"&amp;""&amp;'Dry_Litterbag Placem_Collection'!M167)</f>
        <v>R310</v>
      </c>
      <c r="M826" s="257">
        <f>IFERROR(INDEX('Green_rooibos initial weight'!$C$5:$C$2000,MATCH(L826, 'Green_rooibos initial weight'!$A$5:$A$2000,0)),"")</f>
        <v>2.2170000000000001</v>
      </c>
      <c r="N826" s="257">
        <f>IFERROR(M826-(TBIcalc!$Q$9+TBIcalc!$Q$10),"")</f>
        <v>1.9672000000000001</v>
      </c>
      <c r="O826" s="378">
        <f>AVERAGE(Ashed_controlls!$K$12:$K$14)</f>
        <v>2.2816647271287041</v>
      </c>
      <c r="P826" s="257">
        <f t="shared" si="61"/>
        <v>1.9223150914879241</v>
      </c>
      <c r="Q826" s="257">
        <f>IFERROR(INDEX('Both teabags AfterDry'!$D$2:$D$2000,MATCH(L826,'Both teabags AfterDry'!$A$2:$A$2000,0)),"")</f>
        <v>1.7559</v>
      </c>
      <c r="R826" s="257">
        <f>IFERROR(IF(Q826&gt;0,Q826-(TBIcalc!$Q$9),""),"")</f>
        <v>1.6052999999999999</v>
      </c>
      <c r="S826" s="268">
        <f>IFERROR(INDEX('Ashed teabags dry'!$K$2:$K$2000,MATCH(L826,'Ashed teabags dry'!$A$2:$A$2000,0)),"")</f>
        <v>4.4911610129003776</v>
      </c>
      <c r="T826" s="268">
        <f t="shared" si="62"/>
        <v>1.5332033922599102</v>
      </c>
      <c r="U826" s="258">
        <f>IF('Dry_Litterbag Placem_Collection'!E167="","",'Dry_Litterbag Placem_Collection'!E167)</f>
        <v>42940</v>
      </c>
      <c r="V826" s="258">
        <f>IF('Dry_Litterbag Placem_Collection'!G167="","",'Dry_Litterbag Placem_Collection'!G167)</f>
        <v>43009</v>
      </c>
      <c r="W826" s="259">
        <f t="shared" si="60"/>
        <v>69</v>
      </c>
      <c r="X826" s="257">
        <f t="shared" si="63"/>
        <v>0.36190000000000011</v>
      </c>
      <c r="Y826" s="257">
        <f t="shared" si="64"/>
        <v>0.38911169922801392</v>
      </c>
      <c r="Z826" s="261">
        <f>IFERROR(INDEX([3]Rainfall_Dry!$O$2:$O$217,MATCH(C826, [3]Rainfall_Dry!$A$2:$A$217,0)),"")</f>
        <v>162.634207253</v>
      </c>
      <c r="AA826" s="250">
        <v>21.96</v>
      </c>
      <c r="AB826" s="250">
        <v>4.9199999999999982</v>
      </c>
      <c r="AC826" s="250">
        <v>73.12</v>
      </c>
      <c r="AD826" s="251" t="s">
        <v>2651</v>
      </c>
      <c r="AE826" s="250">
        <v>5.2416954164613099</v>
      </c>
      <c r="AF826">
        <f>IF('WetLitterbags placem_collection'!AB167="","",'WetLitterbags placem_collection'!AB167)</f>
        <v>10.4</v>
      </c>
      <c r="AG826">
        <f>IF('WetLitterbags placem_collection'!Z167="","",'WetLitterbags placem_collection'!Z167)</f>
        <v>13.8</v>
      </c>
      <c r="AH826" s="236" t="str">
        <f>IF('WetLitterbags placem_collection'!AA167="","",'WetLitterbags placem_collection'!AA167)</f>
        <v>M</v>
      </c>
      <c r="AI826">
        <f>IF('WetLitterbags placem_collection'!AC167="","",'WetLitterbags placem_collection'!AC167)</f>
        <v>0</v>
      </c>
      <c r="AJ826">
        <f>IFERROR(AVERAGE('Dry_Litterbag Placem_Collection'!O167,'Dry_Litterbag Placem_Collection'!R167),"")</f>
        <v>5.3000000000000007</v>
      </c>
      <c r="AK826" s="261">
        <f>IFERROR(AVERAGE('Dry_Litterbag Placem_Collection'!N167,'Dry_Litterbag Placem_Collection'!Q167),"")</f>
        <v>32.049999999999997</v>
      </c>
      <c r="AL826" s="260">
        <f>INDEX([2]Coordinates!$B$2:$B$197,MATCH(I826,[2]Coordinates!$J$2:$J$197,0))</f>
        <v>-2.2724750170000001</v>
      </c>
      <c r="AM826" s="260">
        <f>INDEX([2]Coordinates!$C$2:$C$197,MATCH(I826,[2]Coordinates!$J$2:$J$197,0))</f>
        <v>34.02334501</v>
      </c>
      <c r="AN826" s="260" t="str">
        <f>IF(ISNUMBER(SEARCH("C", 'Dry_Litterbag Placem_Collection'!V167)),"YES","NO")</f>
        <v>NO</v>
      </c>
      <c r="AO826" s="260" t="str">
        <f>IF(ISNUMBER(SEARCH("H", 'Dry_Litterbag Placem_Collection'!V167)),"YES","NO")</f>
        <v>NO</v>
      </c>
      <c r="AP826" s="260" t="str">
        <f>IF(ISNUMBER(SEARCH("R", 'Dry_Litterbag Placem_Collection'!V167)),"YES","NO")</f>
        <v>NO</v>
      </c>
    </row>
    <row r="827" spans="1:42" ht="15" customHeight="1">
      <c r="A827" t="s">
        <v>3248</v>
      </c>
      <c r="B827" s="252" t="s">
        <v>2643</v>
      </c>
      <c r="C827" s="253">
        <f>'Dry_Litterbag Placem_Collection'!A168</f>
        <v>166</v>
      </c>
      <c r="D827" s="253" t="str">
        <f>'Dry_Litterbag Placem_Collection'!B168</f>
        <v>Handajega</v>
      </c>
      <c r="E827" s="253" t="s">
        <v>2454</v>
      </c>
      <c r="F827" s="253" t="s">
        <v>2645</v>
      </c>
      <c r="G827" s="253">
        <v>1</v>
      </c>
      <c r="H827" s="253" t="s">
        <v>3126</v>
      </c>
      <c r="I827" s="254" t="str">
        <f>'Dry_Litterbag Placem_Collection'!C168</f>
        <v>Wet_W1_T6</v>
      </c>
      <c r="J827" s="263" t="s">
        <v>2932</v>
      </c>
      <c r="K827" s="264" t="s">
        <v>298</v>
      </c>
      <c r="L827" s="253" t="str">
        <f>IF(ISBLANK('Dry_Litterbag Placem_Collection'!M168),"","R"&amp;""&amp;'Dry_Litterbag Placem_Collection'!M168)</f>
        <v>R269</v>
      </c>
      <c r="M827" s="257">
        <f>IFERROR(INDEX('Green_rooibos initial weight'!$C$5:$C$2000,MATCH(L827, 'Green_rooibos initial weight'!$A$5:$A$2000,0)),"")</f>
        <v>2.278</v>
      </c>
      <c r="N827" s="257">
        <f>IFERROR(M827-(TBIcalc!$Q$9+TBIcalc!$Q$10),"")</f>
        <v>2.0282</v>
      </c>
      <c r="O827" s="378">
        <f>AVERAGE(Ashed_controlls!$K$12:$K$14)</f>
        <v>2.2816647271287041</v>
      </c>
      <c r="P827" s="257">
        <f t="shared" si="61"/>
        <v>1.9819232760043757</v>
      </c>
      <c r="Q827" s="257">
        <f>IFERROR(INDEX('Both teabags AfterDry'!$D$2:$D$2000,MATCH(L827,'Both teabags AfterDry'!$A$2:$A$2000,0)),"")</f>
        <v>1.8042</v>
      </c>
      <c r="R827" s="257">
        <f>IFERROR(IF(Q827&gt;0,Q827-(TBIcalc!$Q$9),""),"")</f>
        <v>1.6536</v>
      </c>
      <c r="S827" s="268">
        <f>IFERROR(INDEX('Ashed teabags dry'!$K$2:$K$2000,MATCH(L827,'Ashed teabags dry'!$A$2:$A$2000,0)),"")</f>
        <v>8.1481481481479836</v>
      </c>
      <c r="T827" s="268">
        <f t="shared" si="62"/>
        <v>1.518862222222225</v>
      </c>
      <c r="U827" s="258">
        <f>IF('Dry_Litterbag Placem_Collection'!E168="","",'Dry_Litterbag Placem_Collection'!E168)</f>
        <v>42940</v>
      </c>
      <c r="V827" s="258">
        <f>IF('Dry_Litterbag Placem_Collection'!G168="","",'Dry_Litterbag Placem_Collection'!G168)</f>
        <v>43009</v>
      </c>
      <c r="W827" s="259">
        <f t="shared" si="60"/>
        <v>69</v>
      </c>
      <c r="X827" s="257">
        <f t="shared" si="63"/>
        <v>0.37460000000000004</v>
      </c>
      <c r="Y827" s="257">
        <f t="shared" si="64"/>
        <v>0.46306105378215068</v>
      </c>
      <c r="Z827" s="261">
        <f>IFERROR(INDEX([3]Rainfall_Dry!$O$2:$O$217,MATCH(C827, [3]Rainfall_Dry!$A$2:$A$217,0)),"")</f>
        <v>162.634207253</v>
      </c>
      <c r="AA827" s="250">
        <v>21.96</v>
      </c>
      <c r="AB827" s="250">
        <v>4.9199999999999982</v>
      </c>
      <c r="AC827" s="250">
        <v>73.12</v>
      </c>
      <c r="AD827" s="251" t="s">
        <v>2651</v>
      </c>
      <c r="AE827" s="250">
        <v>6.2416954164613099</v>
      </c>
      <c r="AF827">
        <f>IF('WetLitterbags placem_collection'!AB168="","",'WetLitterbags placem_collection'!AB168)</f>
        <v>2.1</v>
      </c>
      <c r="AG827">
        <f>IF('WetLitterbags placem_collection'!Z168="","",'WetLitterbags placem_collection'!Z168)</f>
        <v>4.7</v>
      </c>
      <c r="AH827" s="236" t="str">
        <f>IF('WetLitterbags placem_collection'!AA168="","",'WetLitterbags placem_collection'!AA168)</f>
        <v>M</v>
      </c>
      <c r="AI827">
        <f>IF('WetLitterbags placem_collection'!AC168="","",'WetLitterbags placem_collection'!AC168)</f>
        <v>0</v>
      </c>
      <c r="AJ827">
        <f>IFERROR(AVERAGE('Dry_Litterbag Placem_Collection'!O168,'Dry_Litterbag Placem_Collection'!R168),"")</f>
        <v>5.15</v>
      </c>
      <c r="AK827" s="261">
        <f>IFERROR(AVERAGE('Dry_Litterbag Placem_Collection'!N168,'Dry_Litterbag Placem_Collection'!Q168),"")</f>
        <v>33.25</v>
      </c>
      <c r="AL827" s="260">
        <f>INDEX([2]Coordinates!$B$2:$B$197,MATCH(I827,[2]Coordinates!$J$2:$J$197,0))</f>
        <v>-2.2725490289999999</v>
      </c>
      <c r="AM827" s="260">
        <f>INDEX([2]Coordinates!$C$2:$C$197,MATCH(I827,[2]Coordinates!$J$2:$J$197,0))</f>
        <v>34.022886020000001</v>
      </c>
      <c r="AN827" s="260" t="str">
        <f>IF(ISNUMBER(SEARCH("C", 'Dry_Litterbag Placem_Collection'!V168)),"YES","NO")</f>
        <v>NO</v>
      </c>
      <c r="AO827" s="260" t="str">
        <f>IF(ISNUMBER(SEARCH("H", 'Dry_Litterbag Placem_Collection'!V168)),"YES","NO")</f>
        <v>NO</v>
      </c>
      <c r="AP827" s="260" t="str">
        <f>IF(ISNUMBER(SEARCH("R", 'Dry_Litterbag Placem_Collection'!V168)),"YES","NO")</f>
        <v>NO</v>
      </c>
    </row>
    <row r="828" spans="1:42" ht="15" customHeight="1">
      <c r="A828" t="s">
        <v>3248</v>
      </c>
      <c r="B828" s="252" t="s">
        <v>2643</v>
      </c>
      <c r="C828" s="253">
        <f>'Dry_Litterbag Placem_Collection'!A169</f>
        <v>167</v>
      </c>
      <c r="D828" s="253" t="str">
        <f>'Dry_Litterbag Placem_Collection'!B169</f>
        <v>Handajega</v>
      </c>
      <c r="E828" s="253" t="s">
        <v>2454</v>
      </c>
      <c r="F828" s="253" t="s">
        <v>2645</v>
      </c>
      <c r="G828" s="253">
        <v>1</v>
      </c>
      <c r="H828" s="253" t="s">
        <v>3126</v>
      </c>
      <c r="I828" s="254" t="str">
        <f>'Dry_Litterbag Placem_Collection'!C169</f>
        <v>Wet_W1_T7</v>
      </c>
      <c r="J828" s="263" t="s">
        <v>2932</v>
      </c>
      <c r="K828" s="264" t="s">
        <v>298</v>
      </c>
      <c r="L828" s="253" t="str">
        <f>IF(ISBLANK('Dry_Litterbag Placem_Collection'!M169),"","R"&amp;""&amp;'Dry_Litterbag Placem_Collection'!M169)</f>
        <v/>
      </c>
      <c r="M828" s="257" t="str">
        <f>IFERROR(INDEX('Green_rooibos initial weight'!$C$5:$C$2000,MATCH(L828, 'Green_rooibos initial weight'!$A$5:$A$2000,0)),"")</f>
        <v/>
      </c>
      <c r="N828" s="257" t="str">
        <f>IFERROR(M828-(TBIcalc!$Q$9+TBIcalc!$Q$10),"")</f>
        <v/>
      </c>
      <c r="O828" s="378">
        <f>AVERAGE(Ashed_controlls!$K$12:$K$14)</f>
        <v>2.2816647271287041</v>
      </c>
      <c r="P828" s="257" t="str">
        <f t="shared" si="61"/>
        <v/>
      </c>
      <c r="Q828" s="257" t="str">
        <f>IFERROR(INDEX('Both teabags AfterDry'!$D$2:$D$2000,MATCH(L828,'Both teabags AfterDry'!$A$2:$A$2000,0)),"")</f>
        <v/>
      </c>
      <c r="R828" s="257" t="str">
        <f>IFERROR(IF(Q828&gt;0,Q828-(TBIcalc!$Q$9),""),"")</f>
        <v/>
      </c>
      <c r="S828" s="268" t="str">
        <f>IFERROR(INDEX('Ashed teabags dry'!$K$2:$K$2000,MATCH(L828,'Ashed teabags dry'!$A$2:$A$2000,0)),"")</f>
        <v/>
      </c>
      <c r="T828" s="268" t="str">
        <f t="shared" si="62"/>
        <v/>
      </c>
      <c r="U828" s="258" t="str">
        <f>IF('Dry_Litterbag Placem_Collection'!E169="","",'Dry_Litterbag Placem_Collection'!E169)</f>
        <v/>
      </c>
      <c r="V828" s="258" t="str">
        <f>IF('Dry_Litterbag Placem_Collection'!G169="","",'Dry_Litterbag Placem_Collection'!G169)</f>
        <v/>
      </c>
      <c r="W828" s="259" t="str">
        <f t="shared" si="60"/>
        <v/>
      </c>
      <c r="X828" s="257" t="str">
        <f t="shared" si="63"/>
        <v/>
      </c>
      <c r="Y828" s="257" t="str">
        <f t="shared" si="64"/>
        <v/>
      </c>
      <c r="Z828" s="261" t="str">
        <f>IFERROR(INDEX([3]Rainfall_Dry!$O$2:$O$217,MATCH(C828, [3]Rainfall_Dry!$A$2:$A$217,0)),"")</f>
        <v/>
      </c>
      <c r="AA828" s="250">
        <v>21.96</v>
      </c>
      <c r="AB828" s="250">
        <v>4.9199999999999982</v>
      </c>
      <c r="AC828" s="250">
        <v>73.12</v>
      </c>
      <c r="AD828" s="251" t="s">
        <v>2651</v>
      </c>
      <c r="AE828" s="250">
        <v>7.2416954164613099</v>
      </c>
      <c r="AF828">
        <f>IF('WetLitterbags placem_collection'!AB169="","",'WetLitterbags placem_collection'!AB169)</f>
        <v>5.6</v>
      </c>
      <c r="AG828">
        <f>IF('WetLitterbags placem_collection'!Z169="","",'WetLitterbags placem_collection'!Z169)</f>
        <v>4.2</v>
      </c>
      <c r="AH828" s="236" t="str">
        <f>IF('WetLitterbags placem_collection'!AA169="","",'WetLitterbags placem_collection'!AA169)</f>
        <v>M</v>
      </c>
      <c r="AI828">
        <f>IF('WetLitterbags placem_collection'!AC169="","",'WetLitterbags placem_collection'!AC169)</f>
        <v>1</v>
      </c>
      <c r="AJ828" t="str">
        <f>IFERROR(AVERAGE('Dry_Litterbag Placem_Collection'!O169,'Dry_Litterbag Placem_Collection'!R169),"")</f>
        <v/>
      </c>
      <c r="AK828" s="261" t="str">
        <f>IFERROR(AVERAGE('Dry_Litterbag Placem_Collection'!N169,'Dry_Litterbag Placem_Collection'!Q169),"")</f>
        <v/>
      </c>
      <c r="AL828" s="260">
        <f>INDEX([2]Coordinates!$B$2:$B$197,MATCH(I828,[2]Coordinates!$J$2:$J$197,0))</f>
        <v>-2.2729950310000002</v>
      </c>
      <c r="AM828" s="260">
        <f>INDEX([2]Coordinates!$C$2:$C$197,MATCH(I828,[2]Coordinates!$J$2:$J$197,0))</f>
        <v>34.022923990000002</v>
      </c>
      <c r="AN828" s="260" t="str">
        <f>IF(ISNUMBER(SEARCH("C", 'Dry_Litterbag Placem_Collection'!V169)),"YES","NO")</f>
        <v>NO</v>
      </c>
      <c r="AO828" s="260" t="str">
        <f>IF(ISNUMBER(SEARCH("H", 'Dry_Litterbag Placem_Collection'!V169)),"YES","NO")</f>
        <v>NO</v>
      </c>
      <c r="AP828" s="260" t="str">
        <f>IF(ISNUMBER(SEARCH("R", 'Dry_Litterbag Placem_Collection'!V169)),"YES","NO")</f>
        <v>NO</v>
      </c>
    </row>
    <row r="829" spans="1:42" ht="15" customHeight="1">
      <c r="A829" t="s">
        <v>3248</v>
      </c>
      <c r="B829" s="252" t="s">
        <v>2643</v>
      </c>
      <c r="C829" s="253">
        <f>'Dry_Litterbag Placem_Collection'!A170</f>
        <v>168</v>
      </c>
      <c r="D829" s="253" t="str">
        <f>'Dry_Litterbag Placem_Collection'!B170</f>
        <v>Handajega</v>
      </c>
      <c r="E829" s="253" t="s">
        <v>2454</v>
      </c>
      <c r="F829" s="253" t="s">
        <v>2645</v>
      </c>
      <c r="G829" s="253">
        <v>1</v>
      </c>
      <c r="H829" s="253" t="s">
        <v>3126</v>
      </c>
      <c r="I829" s="254" t="str">
        <f>'Dry_Litterbag Placem_Collection'!C170</f>
        <v>Wet_W1_T8</v>
      </c>
      <c r="J829" s="263" t="s">
        <v>2932</v>
      </c>
      <c r="K829" s="264" t="s">
        <v>298</v>
      </c>
      <c r="L829" s="253" t="str">
        <f>IF(ISBLANK('Dry_Litterbag Placem_Collection'!M170),"","R"&amp;""&amp;'Dry_Litterbag Placem_Collection'!M170)</f>
        <v>R413</v>
      </c>
      <c r="M829" s="257">
        <f>IFERROR(INDEX('Green_rooibos initial weight'!$C$5:$C$2000,MATCH(L829, 'Green_rooibos initial weight'!$A$5:$A$2000,0)),"")</f>
        <v>2.214</v>
      </c>
      <c r="N829" s="257">
        <f>IFERROR(M829-(TBIcalc!$Q$9+TBIcalc!$Q$10),"")</f>
        <v>1.9641999999999999</v>
      </c>
      <c r="O829" s="378">
        <f>AVERAGE(Ashed_controlls!$K$12:$K$14)</f>
        <v>2.2816647271287041</v>
      </c>
      <c r="P829" s="257">
        <f t="shared" si="61"/>
        <v>1.919383541429738</v>
      </c>
      <c r="Q829" s="257" t="str">
        <f>IFERROR(INDEX('Both teabags AfterDry'!$D$2:$D$2000,MATCH(L829,'Both teabags AfterDry'!$A$2:$A$2000,0)),"")</f>
        <v/>
      </c>
      <c r="R829" s="257" t="str">
        <f>IFERROR(IF(Q829&gt;0,Q829-(TBIcalc!$Q$9),""),"")</f>
        <v/>
      </c>
      <c r="S829" s="268" t="str">
        <f>IFERROR(INDEX('Ashed teabags dry'!$K$2:$K$2000,MATCH(L829,'Ashed teabags dry'!$A$2:$A$2000,0)),"")</f>
        <v/>
      </c>
      <c r="T829" s="268" t="str">
        <f t="shared" si="62"/>
        <v/>
      </c>
      <c r="U829" s="258">
        <f>IF('Dry_Litterbag Placem_Collection'!E170="","",'Dry_Litterbag Placem_Collection'!E170)</f>
        <v>42940</v>
      </c>
      <c r="V829" s="258">
        <f>IF('Dry_Litterbag Placem_Collection'!G170="","",'Dry_Litterbag Placem_Collection'!G170)</f>
        <v>43009</v>
      </c>
      <c r="W829" s="259">
        <f t="shared" si="60"/>
        <v>69</v>
      </c>
      <c r="X829" s="257" t="str">
        <f t="shared" si="63"/>
        <v/>
      </c>
      <c r="Y829" s="257" t="str">
        <f t="shared" si="64"/>
        <v/>
      </c>
      <c r="Z829" s="261">
        <f>IFERROR(INDEX([3]Rainfall_Dry!$O$2:$O$217,MATCH(C829, [3]Rainfall_Dry!$A$2:$A$217,0)),"")</f>
        <v>162.634207253</v>
      </c>
      <c r="AA829" s="250">
        <v>21.96</v>
      </c>
      <c r="AB829" s="250">
        <v>4.9199999999999982</v>
      </c>
      <c r="AC829" s="250">
        <v>73.12</v>
      </c>
      <c r="AD829" s="251" t="s">
        <v>2651</v>
      </c>
      <c r="AE829" s="250">
        <v>8.2416954164613099</v>
      </c>
      <c r="AF829">
        <f>IF('WetLitterbags placem_collection'!AB170="","",'WetLitterbags placem_collection'!AB170)</f>
        <v>2.4</v>
      </c>
      <c r="AG829">
        <f>IF('WetLitterbags placem_collection'!Z170="","",'WetLitterbags placem_collection'!Z170)</f>
        <v>46</v>
      </c>
      <c r="AH829" s="236" t="str">
        <f>IF('WetLitterbags placem_collection'!AA170="","",'WetLitterbags placem_collection'!AA170)</f>
        <v>M</v>
      </c>
      <c r="AI829">
        <f>IF('WetLitterbags placem_collection'!AC170="","",'WetLitterbags placem_collection'!AC170)</f>
        <v>0</v>
      </c>
      <c r="AJ829">
        <f>IFERROR(AVERAGE('Dry_Litterbag Placem_Collection'!O170,'Dry_Litterbag Placem_Collection'!R170),"")</f>
        <v>4.0999999999999996</v>
      </c>
      <c r="AK829" s="261">
        <f>IFERROR(AVERAGE('Dry_Litterbag Placem_Collection'!N170,'Dry_Litterbag Placem_Collection'!Q170),"")</f>
        <v>30.15</v>
      </c>
      <c r="AL829" s="260">
        <f>INDEX([2]Coordinates!$B$2:$B$197,MATCH(I829,[2]Coordinates!$J$2:$J$197,0))</f>
        <v>-2.2729129719999999</v>
      </c>
      <c r="AM829" s="260">
        <f>INDEX([2]Coordinates!$C$2:$C$197,MATCH(I829,[2]Coordinates!$J$2:$J$197,0))</f>
        <v>34.023350039999997</v>
      </c>
      <c r="AN829" s="260" t="str">
        <f>IF(ISNUMBER(SEARCH("C", 'Dry_Litterbag Placem_Collection'!V170)),"YES","NO")</f>
        <v>NO</v>
      </c>
      <c r="AO829" s="260" t="str">
        <f>IF(ISNUMBER(SEARCH("H", 'Dry_Litterbag Placem_Collection'!V170)),"YES","NO")</f>
        <v>NO</v>
      </c>
      <c r="AP829" s="260" t="str">
        <f>IF(ISNUMBER(SEARCH("R", 'Dry_Litterbag Placem_Collection'!V170)),"YES","NO")</f>
        <v>YES</v>
      </c>
    </row>
    <row r="830" spans="1:42" ht="15" customHeight="1">
      <c r="A830" t="s">
        <v>3248</v>
      </c>
      <c r="B830" s="252" t="s">
        <v>2643</v>
      </c>
      <c r="C830" s="253">
        <f>'Dry_Litterbag Placem_Collection'!A171</f>
        <v>169</v>
      </c>
      <c r="D830" s="253" t="str">
        <f>'Dry_Litterbag Placem_Collection'!B171</f>
        <v>Handajega</v>
      </c>
      <c r="E830" s="253" t="s">
        <v>2454</v>
      </c>
      <c r="F830" s="253" t="s">
        <v>2645</v>
      </c>
      <c r="G830" s="253">
        <v>2</v>
      </c>
      <c r="H830" s="253" t="s">
        <v>3128</v>
      </c>
      <c r="I830" s="254" t="str">
        <f>'Dry_Litterbag Placem_Collection'!C171</f>
        <v>Wet_W2_T1</v>
      </c>
      <c r="J830" s="263" t="s">
        <v>2932</v>
      </c>
      <c r="K830" s="264" t="s">
        <v>298</v>
      </c>
      <c r="L830" s="253" t="str">
        <f>IF(ISBLANK('Dry_Litterbag Placem_Collection'!M171),"","R"&amp;""&amp;'Dry_Litterbag Placem_Collection'!M171)</f>
        <v>R80</v>
      </c>
      <c r="M830" s="257">
        <f>IFERROR(INDEX('Green_rooibos initial weight'!$C$5:$C$2000,MATCH(L830, 'Green_rooibos initial weight'!$A$5:$A$2000,0)),"")</f>
        <v>2.177</v>
      </c>
      <c r="N830" s="257">
        <f>IFERROR(M830-(TBIcalc!$Q$9+TBIcalc!$Q$10),"")</f>
        <v>1.9272</v>
      </c>
      <c r="O830" s="378">
        <f>AVERAGE(Ashed_controlls!$K$12:$K$14)</f>
        <v>2.2816647271287041</v>
      </c>
      <c r="P830" s="257">
        <f t="shared" si="61"/>
        <v>1.8832277573787757</v>
      </c>
      <c r="Q830" s="257">
        <f>IFERROR(INDEX('Both teabags AfterDry'!$D$2:$D$2000,MATCH(L830,'Both teabags AfterDry'!$A$2:$A$2000,0)),"")</f>
        <v>1.8815999999999999</v>
      </c>
      <c r="R830" s="257">
        <f>IFERROR(IF(Q830&gt;0,Q830-(TBIcalc!$Q$9),""),"")</f>
        <v>1.7309999999999999</v>
      </c>
      <c r="S830" s="268">
        <f>IFERROR(INDEX('Ashed teabags dry'!$K$2:$K$2000,MATCH(L830,'Ashed teabags dry'!$A$2:$A$2000,0)),"")</f>
        <v>12.458706937234023</v>
      </c>
      <c r="T830" s="268">
        <f t="shared" si="62"/>
        <v>1.515339782916479</v>
      </c>
      <c r="U830" s="258">
        <f>IF('Dry_Litterbag Placem_Collection'!E171="","",'Dry_Litterbag Placem_Collection'!E171)</f>
        <v>42940</v>
      </c>
      <c r="V830" s="258">
        <f>IF('Dry_Litterbag Placem_Collection'!G171="","",'Dry_Litterbag Placem_Collection'!G171)</f>
        <v>43009</v>
      </c>
      <c r="W830" s="259">
        <f t="shared" si="60"/>
        <v>69</v>
      </c>
      <c r="X830" s="257">
        <f t="shared" si="63"/>
        <v>0.19620000000000015</v>
      </c>
      <c r="Y830" s="257">
        <f t="shared" si="64"/>
        <v>0.36788797446229671</v>
      </c>
      <c r="Z830" s="261">
        <f>IFERROR(INDEX([3]Rainfall_Dry!$O$2:$O$217,MATCH(C830, [3]Rainfall_Dry!$A$2:$A$217,0)),"")</f>
        <v>162.634207253</v>
      </c>
      <c r="AA830" s="250">
        <v>23.96</v>
      </c>
      <c r="AB830" s="250">
        <v>4.9199999999999982</v>
      </c>
      <c r="AC830" s="250">
        <v>71.12</v>
      </c>
      <c r="AD830" s="251" t="s">
        <v>2651</v>
      </c>
      <c r="AE830" s="250">
        <v>3.30913750616067</v>
      </c>
      <c r="AF830">
        <f>IF('WetLitterbags placem_collection'!AB171="","",'WetLitterbags placem_collection'!AB171)</f>
        <v>8.1999999999999993</v>
      </c>
      <c r="AG830">
        <f>IF('WetLitterbags placem_collection'!Z171="","",'WetLitterbags placem_collection'!Z171)</f>
        <v>11.4</v>
      </c>
      <c r="AH830" s="236" t="str">
        <f>IF('WetLitterbags placem_collection'!AA171="","",'WetLitterbags placem_collection'!AA171)</f>
        <v>O</v>
      </c>
      <c r="AI830">
        <f>IF('WetLitterbags placem_collection'!AC171="","",'WetLitterbags placem_collection'!AC171)</f>
        <v>1</v>
      </c>
      <c r="AJ830">
        <f>IFERROR(AVERAGE('Dry_Litterbag Placem_Collection'!O171,'Dry_Litterbag Placem_Collection'!R171),"")</f>
        <v>6.65</v>
      </c>
      <c r="AK830" s="261">
        <f>IFERROR(AVERAGE('Dry_Litterbag Placem_Collection'!N171,'Dry_Litterbag Placem_Collection'!Q171),"")</f>
        <v>35.049999999999997</v>
      </c>
      <c r="AL830" s="260">
        <f>INDEX([2]Coordinates!$B$2:$B$197,MATCH(I830,[2]Coordinates!$J$2:$J$197,0))</f>
        <v>-2.2784290180000002</v>
      </c>
      <c r="AM830" s="260">
        <f>INDEX([2]Coordinates!$C$2:$C$197,MATCH(I830,[2]Coordinates!$J$2:$J$197,0))</f>
        <v>34.024240030000001</v>
      </c>
      <c r="AN830" s="260" t="str">
        <f>IF(ISNUMBER(SEARCH("C", 'Dry_Litterbag Placem_Collection'!V171)),"YES","NO")</f>
        <v>NO</v>
      </c>
      <c r="AO830" s="260" t="str">
        <f>IF(ISNUMBER(SEARCH("H", 'Dry_Litterbag Placem_Collection'!V171)),"YES","NO")</f>
        <v>NO</v>
      </c>
      <c r="AP830" s="260" t="str">
        <f>IF(ISNUMBER(SEARCH("R", 'Dry_Litterbag Placem_Collection'!V171)),"YES","NO")</f>
        <v>YES</v>
      </c>
    </row>
    <row r="831" spans="1:42" ht="15" customHeight="1">
      <c r="A831" t="s">
        <v>3248</v>
      </c>
      <c r="B831" s="252" t="s">
        <v>2643</v>
      </c>
      <c r="C831" s="253">
        <f>'Dry_Litterbag Placem_Collection'!A172</f>
        <v>170</v>
      </c>
      <c r="D831" s="253" t="str">
        <f>'Dry_Litterbag Placem_Collection'!B172</f>
        <v>Handajega</v>
      </c>
      <c r="E831" s="253" t="s">
        <v>2454</v>
      </c>
      <c r="F831" s="253" t="s">
        <v>2645</v>
      </c>
      <c r="G831" s="253">
        <v>2</v>
      </c>
      <c r="H831" s="253" t="s">
        <v>3128</v>
      </c>
      <c r="I831" s="254" t="str">
        <f>'Dry_Litterbag Placem_Collection'!C172</f>
        <v>Wet_W2_T2</v>
      </c>
      <c r="J831" s="263" t="s">
        <v>2932</v>
      </c>
      <c r="K831" s="264" t="s">
        <v>298</v>
      </c>
      <c r="L831" s="253" t="str">
        <f>IF(ISBLANK('Dry_Litterbag Placem_Collection'!M172),"","R"&amp;""&amp;'Dry_Litterbag Placem_Collection'!M172)</f>
        <v>R208</v>
      </c>
      <c r="M831" s="257">
        <f>IFERROR(INDEX('Green_rooibos initial weight'!$C$5:$C$2000,MATCH(L831, 'Green_rooibos initial weight'!$A$5:$A$2000,0)),"")</f>
        <v>2.2250000000000001</v>
      </c>
      <c r="N831" s="257">
        <f>IFERROR(M831-(TBIcalc!$Q$9+TBIcalc!$Q$10),"")</f>
        <v>1.9752000000000001</v>
      </c>
      <c r="O831" s="378">
        <f>AVERAGE(Ashed_controlls!$K$12:$K$14)</f>
        <v>2.2816647271287041</v>
      </c>
      <c r="P831" s="257">
        <f t="shared" si="61"/>
        <v>1.9301325583097539</v>
      </c>
      <c r="Q831" s="257">
        <f>IFERROR(INDEX('Both teabags AfterDry'!$D$2:$D$2000,MATCH(L831,'Both teabags AfterDry'!$A$2:$A$2000,0)),"")</f>
        <v>1.8463000000000001</v>
      </c>
      <c r="R831" s="257">
        <f>IFERROR(IF(Q831&gt;0,Q831-(TBIcalc!$Q$9),""),"")</f>
        <v>1.6957</v>
      </c>
      <c r="S831" s="268">
        <f>IFERROR(INDEX('Ashed teabags dry'!$K$2:$K$2000,MATCH(L831,'Ashed teabags dry'!$A$2:$A$2000,0)),"")</f>
        <v>5.3697597739049137</v>
      </c>
      <c r="T831" s="268">
        <f t="shared" si="62"/>
        <v>1.6046449835138943</v>
      </c>
      <c r="U831" s="258">
        <f>IF('Dry_Litterbag Placem_Collection'!E172="","",'Dry_Litterbag Placem_Collection'!E172)</f>
        <v>42940</v>
      </c>
      <c r="V831" s="258">
        <f>IF('Dry_Litterbag Placem_Collection'!G172="","",'Dry_Litterbag Placem_Collection'!G172)</f>
        <v>43009</v>
      </c>
      <c r="W831" s="259">
        <f t="shared" si="60"/>
        <v>69</v>
      </c>
      <c r="X831" s="257">
        <f t="shared" si="63"/>
        <v>0.27950000000000008</v>
      </c>
      <c r="Y831" s="257">
        <f t="shared" si="64"/>
        <v>0.32548757479585966</v>
      </c>
      <c r="Z831" s="261">
        <f>IFERROR(INDEX([3]Rainfall_Dry!$O$2:$O$217,MATCH(C831, [3]Rainfall_Dry!$A$2:$A$217,0)),"")</f>
        <v>162.634207253</v>
      </c>
      <c r="AA831" s="250">
        <v>23.96</v>
      </c>
      <c r="AB831" s="250">
        <v>4.9199999999999982</v>
      </c>
      <c r="AC831" s="250">
        <v>71.12</v>
      </c>
      <c r="AD831" s="251" t="s">
        <v>2651</v>
      </c>
      <c r="AE831" s="250">
        <v>4.3091375061606696</v>
      </c>
      <c r="AF831">
        <f>IF('WetLitterbags placem_collection'!AB172="","",'WetLitterbags placem_collection'!AB172)</f>
        <v>7.7</v>
      </c>
      <c r="AG831">
        <f>IF('WetLitterbags placem_collection'!Z172="","",'WetLitterbags placem_collection'!Z172)</f>
        <v>15.8</v>
      </c>
      <c r="AH831" s="236" t="str">
        <f>IF('WetLitterbags placem_collection'!AA172="","",'WetLitterbags placem_collection'!AA172)</f>
        <v>O</v>
      </c>
      <c r="AI831">
        <f>IF('WetLitterbags placem_collection'!AC172="","",'WetLitterbags placem_collection'!AC172)</f>
        <v>1</v>
      </c>
      <c r="AJ831">
        <f>IFERROR(AVERAGE('Dry_Litterbag Placem_Collection'!O172,'Dry_Litterbag Placem_Collection'!R172),"")</f>
        <v>6.1</v>
      </c>
      <c r="AK831" s="261">
        <f>IFERROR(AVERAGE('Dry_Litterbag Placem_Collection'!N172,'Dry_Litterbag Placem_Collection'!Q172),"")</f>
        <v>33.950000000000003</v>
      </c>
      <c r="AL831" s="260">
        <f>INDEX([2]Coordinates!$B$2:$B$197,MATCH(I831,[2]Coordinates!$J$2:$J$197,0))</f>
        <v>-2.2784629650000001</v>
      </c>
      <c r="AM831" s="260">
        <f>INDEX([2]Coordinates!$C$2:$C$197,MATCH(I831,[2]Coordinates!$J$2:$J$197,0))</f>
        <v>34.024177999999999</v>
      </c>
      <c r="AN831" s="260" t="str">
        <f>IF(ISNUMBER(SEARCH("C", 'Dry_Litterbag Placem_Collection'!V172)),"YES","NO")</f>
        <v>NO</v>
      </c>
      <c r="AO831" s="260" t="str">
        <f>IF(ISNUMBER(SEARCH("H", 'Dry_Litterbag Placem_Collection'!V172)),"YES","NO")</f>
        <v>NO</v>
      </c>
      <c r="AP831" s="260" t="str">
        <f>IF(ISNUMBER(SEARCH("R", 'Dry_Litterbag Placem_Collection'!V172)),"YES","NO")</f>
        <v>NO</v>
      </c>
    </row>
    <row r="832" spans="1:42" ht="15" customHeight="1">
      <c r="A832" t="s">
        <v>3248</v>
      </c>
      <c r="B832" s="252" t="s">
        <v>2643</v>
      </c>
      <c r="C832" s="253">
        <f>'Dry_Litterbag Placem_Collection'!A173</f>
        <v>171</v>
      </c>
      <c r="D832" s="253" t="str">
        <f>'Dry_Litterbag Placem_Collection'!B173</f>
        <v>Handajega</v>
      </c>
      <c r="E832" s="253" t="s">
        <v>2454</v>
      </c>
      <c r="F832" s="253" t="s">
        <v>2645</v>
      </c>
      <c r="G832" s="253">
        <v>2</v>
      </c>
      <c r="H832" s="253" t="s">
        <v>3128</v>
      </c>
      <c r="I832" s="254" t="str">
        <f>'Dry_Litterbag Placem_Collection'!C173</f>
        <v>Wet_W2_T3</v>
      </c>
      <c r="J832" s="263" t="s">
        <v>2932</v>
      </c>
      <c r="K832" s="264" t="s">
        <v>298</v>
      </c>
      <c r="L832" s="253" t="str">
        <f>IF(ISBLANK('Dry_Litterbag Placem_Collection'!M173),"","R"&amp;""&amp;'Dry_Litterbag Placem_Collection'!M173)</f>
        <v>R633</v>
      </c>
      <c r="M832" s="257">
        <f>IFERROR(INDEX('Green_rooibos initial weight'!$C$5:$C$2000,MATCH(L832, 'Green_rooibos initial weight'!$A$5:$A$2000,0)),"")</f>
        <v>2.0760000000000001</v>
      </c>
      <c r="N832" s="257">
        <f>IFERROR(M832-(TBIcalc!$Q$9+TBIcalc!$Q$10),"")</f>
        <v>1.8262</v>
      </c>
      <c r="O832" s="378">
        <f>AVERAGE(Ashed_controlls!$K$12:$K$14)</f>
        <v>2.2816647271287041</v>
      </c>
      <c r="P832" s="257">
        <f t="shared" si="61"/>
        <v>1.7845322387531757</v>
      </c>
      <c r="Q832" s="257">
        <f>IFERROR(INDEX('Both teabags AfterDry'!$D$2:$D$2000,MATCH(L832,'Both teabags AfterDry'!$A$2:$A$2000,0)),"")</f>
        <v>1.6096999999999999</v>
      </c>
      <c r="R832" s="257">
        <f>IFERROR(IF(Q832&gt;0,Q832-(TBIcalc!$Q$9),""),"")</f>
        <v>1.4590999999999998</v>
      </c>
      <c r="S832" s="268">
        <f>IFERROR(INDEX('Ashed teabags dry'!$K$2:$K$2000,MATCH(L832,'Ashed teabags dry'!$A$2:$A$2000,0)),"")</f>
        <v>5.8156727451944334</v>
      </c>
      <c r="T832" s="268">
        <f t="shared" si="62"/>
        <v>1.3742435189748679</v>
      </c>
      <c r="U832" s="258">
        <f>IF('Dry_Litterbag Placem_Collection'!E173="","",'Dry_Litterbag Placem_Collection'!E173)</f>
        <v>42940</v>
      </c>
      <c r="V832" s="258">
        <f>IF('Dry_Litterbag Placem_Collection'!G173="","",'Dry_Litterbag Placem_Collection'!G173)</f>
        <v>43009</v>
      </c>
      <c r="W832" s="259">
        <f t="shared" si="60"/>
        <v>69</v>
      </c>
      <c r="X832" s="257">
        <f t="shared" si="63"/>
        <v>0.3671000000000002</v>
      </c>
      <c r="Y832" s="257">
        <f t="shared" si="64"/>
        <v>0.41028871977830783</v>
      </c>
      <c r="Z832" s="261">
        <f>IFERROR(INDEX([3]Rainfall_Dry!$O$2:$O$217,MATCH(C832, [3]Rainfall_Dry!$A$2:$A$217,0)),"")</f>
        <v>162.634207253</v>
      </c>
      <c r="AA832" s="250">
        <v>23.96</v>
      </c>
      <c r="AB832" s="250">
        <v>4.9199999999999982</v>
      </c>
      <c r="AC832" s="250">
        <v>71.12</v>
      </c>
      <c r="AD832" s="251" t="s">
        <v>2651</v>
      </c>
      <c r="AE832" s="250">
        <v>5.3091375061606696</v>
      </c>
      <c r="AF832">
        <f>IF('WetLitterbags placem_collection'!AB173="","",'WetLitterbags placem_collection'!AB173)</f>
        <v>13.4</v>
      </c>
      <c r="AG832">
        <f>IF('WetLitterbags placem_collection'!Z173="","",'WetLitterbags placem_collection'!Z173)</f>
        <v>7.6</v>
      </c>
      <c r="AH832" s="236" t="str">
        <f>IF('WetLitterbags placem_collection'!AA173="","",'WetLitterbags placem_collection'!AA173)</f>
        <v>O</v>
      </c>
      <c r="AI832">
        <f>IF('WetLitterbags placem_collection'!AC173="","",'WetLitterbags placem_collection'!AC173)</f>
        <v>1</v>
      </c>
      <c r="AJ832">
        <f>IFERROR(AVERAGE('Dry_Litterbag Placem_Collection'!O173,'Dry_Litterbag Placem_Collection'!R173),"")</f>
        <v>5.6</v>
      </c>
      <c r="AK832" s="261">
        <f>IFERROR(AVERAGE('Dry_Litterbag Placem_Collection'!N173,'Dry_Litterbag Placem_Collection'!Q173),"")</f>
        <v>33</v>
      </c>
      <c r="AL832" s="260">
        <f>INDEX([2]Coordinates!$B$2:$B$197,MATCH(I832,[2]Coordinates!$J$2:$J$197,0))</f>
        <v>-2.2785389889999998</v>
      </c>
      <c r="AM832" s="260">
        <f>INDEX([2]Coordinates!$C$2:$C$197,MATCH(I832,[2]Coordinates!$J$2:$J$197,0))</f>
        <v>34.024371039999998</v>
      </c>
      <c r="AN832" s="260" t="str">
        <f>IF(ISNUMBER(SEARCH("C", 'Dry_Litterbag Placem_Collection'!V173)),"YES","NO")</f>
        <v>NO</v>
      </c>
      <c r="AO832" s="260" t="str">
        <f>IF(ISNUMBER(SEARCH("H", 'Dry_Litterbag Placem_Collection'!V173)),"YES","NO")</f>
        <v>NO</v>
      </c>
      <c r="AP832" s="260" t="str">
        <f>IF(ISNUMBER(SEARCH("R", 'Dry_Litterbag Placem_Collection'!V173)),"YES","NO")</f>
        <v>NO</v>
      </c>
    </row>
    <row r="833" spans="1:42" ht="15" customHeight="1">
      <c r="A833" t="s">
        <v>3248</v>
      </c>
      <c r="B833" s="252" t="s">
        <v>2643</v>
      </c>
      <c r="C833" s="253">
        <f>'Dry_Litterbag Placem_Collection'!A174</f>
        <v>172</v>
      </c>
      <c r="D833" s="253" t="str">
        <f>'Dry_Litterbag Placem_Collection'!B174</f>
        <v>Handajega</v>
      </c>
      <c r="E833" s="253" t="s">
        <v>2454</v>
      </c>
      <c r="F833" s="253" t="s">
        <v>2645</v>
      </c>
      <c r="G833" s="253">
        <v>2</v>
      </c>
      <c r="H833" s="253" t="s">
        <v>3128</v>
      </c>
      <c r="I833" s="254" t="str">
        <f>'Dry_Litterbag Placem_Collection'!C174</f>
        <v>Wet_W2_T4</v>
      </c>
      <c r="J833" s="263" t="s">
        <v>2932</v>
      </c>
      <c r="K833" s="264" t="s">
        <v>298</v>
      </c>
      <c r="L833" s="253" t="str">
        <f>IF(ISBLANK('Dry_Litterbag Placem_Collection'!M174),"","R"&amp;""&amp;'Dry_Litterbag Placem_Collection'!M174)</f>
        <v/>
      </c>
      <c r="M833" s="257" t="str">
        <f>IFERROR(INDEX('Green_rooibos initial weight'!$C$5:$C$2000,MATCH(L833, 'Green_rooibos initial weight'!$A$5:$A$2000,0)),"")</f>
        <v/>
      </c>
      <c r="N833" s="257" t="str">
        <f>IFERROR(M833-(TBIcalc!$Q$9+TBIcalc!$Q$10),"")</f>
        <v/>
      </c>
      <c r="O833" s="378">
        <f>AVERAGE(Ashed_controlls!$K$12:$K$14)</f>
        <v>2.2816647271287041</v>
      </c>
      <c r="P833" s="257" t="str">
        <f t="shared" si="61"/>
        <v/>
      </c>
      <c r="Q833" s="257" t="str">
        <f>IFERROR(INDEX('Both teabags AfterDry'!$D$2:$D$2000,MATCH(L833,'Both teabags AfterDry'!$A$2:$A$2000,0)),"")</f>
        <v/>
      </c>
      <c r="R833" s="257" t="str">
        <f>IFERROR(IF(Q833&gt;0,Q833-(TBIcalc!$Q$9),""),"")</f>
        <v/>
      </c>
      <c r="S833" s="268" t="str">
        <f>IFERROR(INDEX('Ashed teabags dry'!$K$2:$K$2000,MATCH(L833,'Ashed teabags dry'!$A$2:$A$2000,0)),"")</f>
        <v/>
      </c>
      <c r="T833" s="268" t="str">
        <f t="shared" si="62"/>
        <v/>
      </c>
      <c r="U833" s="258" t="str">
        <f>IF('Dry_Litterbag Placem_Collection'!E174="","",'Dry_Litterbag Placem_Collection'!E174)</f>
        <v/>
      </c>
      <c r="V833" s="258" t="str">
        <f>IF('Dry_Litterbag Placem_Collection'!G174="","",'Dry_Litterbag Placem_Collection'!G174)</f>
        <v/>
      </c>
      <c r="W833" s="259" t="str">
        <f t="shared" si="60"/>
        <v/>
      </c>
      <c r="X833" s="257" t="str">
        <f t="shared" si="63"/>
        <v/>
      </c>
      <c r="Y833" s="257" t="str">
        <f t="shared" si="64"/>
        <v/>
      </c>
      <c r="Z833" s="261" t="str">
        <f>IFERROR(INDEX([3]Rainfall_Dry!$O$2:$O$217,MATCH(C833, [3]Rainfall_Dry!$A$2:$A$217,0)),"")</f>
        <v/>
      </c>
      <c r="AA833" s="250">
        <v>23.96</v>
      </c>
      <c r="AB833" s="250">
        <v>4.9199999999999982</v>
      </c>
      <c r="AC833" s="250">
        <v>71.12</v>
      </c>
      <c r="AD833" s="251" t="s">
        <v>2651</v>
      </c>
      <c r="AE833" s="250">
        <v>6.3091375061606696</v>
      </c>
      <c r="AF833">
        <f>IF('WetLitterbags placem_collection'!AB174="","",'WetLitterbags placem_collection'!AB174)</f>
        <v>3.3</v>
      </c>
      <c r="AG833">
        <f>IF('WetLitterbags placem_collection'!Z174="","",'WetLitterbags placem_collection'!Z174)</f>
        <v>28.4</v>
      </c>
      <c r="AH833" s="236" t="str">
        <f>IF('WetLitterbags placem_collection'!AA174="","",'WetLitterbags placem_collection'!AA174)</f>
        <v>G</v>
      </c>
      <c r="AI833">
        <f>IF('WetLitterbags placem_collection'!AC174="","",'WetLitterbags placem_collection'!AC174)</f>
        <v>1</v>
      </c>
      <c r="AJ833" t="str">
        <f>IFERROR(AVERAGE('Dry_Litterbag Placem_Collection'!O174,'Dry_Litterbag Placem_Collection'!R174),"")</f>
        <v/>
      </c>
      <c r="AK833" s="261" t="str">
        <f>IFERROR(AVERAGE('Dry_Litterbag Placem_Collection'!N174,'Dry_Litterbag Placem_Collection'!Q174),"")</f>
        <v/>
      </c>
      <c r="AL833" s="260">
        <f>INDEX([2]Coordinates!$B$2:$B$197,MATCH(I833,[2]Coordinates!$J$2:$J$197,0))</f>
        <v>-2.2781410160000002</v>
      </c>
      <c r="AM833" s="260">
        <f>INDEX([2]Coordinates!$C$2:$C$197,MATCH(I833,[2]Coordinates!$J$2:$J$197,0))</f>
        <v>34.024136009999999</v>
      </c>
      <c r="AN833" s="260" t="str">
        <f>IF(ISNUMBER(SEARCH("C", 'Dry_Litterbag Placem_Collection'!V174)),"YES","NO")</f>
        <v>NO</v>
      </c>
      <c r="AO833" s="260" t="str">
        <f>IF(ISNUMBER(SEARCH("H", 'Dry_Litterbag Placem_Collection'!V174)),"YES","NO")</f>
        <v>NO</v>
      </c>
      <c r="AP833" s="260" t="str">
        <f>IF(ISNUMBER(SEARCH("R", 'Dry_Litterbag Placem_Collection'!V174)),"YES","NO")</f>
        <v>NO</v>
      </c>
    </row>
    <row r="834" spans="1:42" ht="15" customHeight="1">
      <c r="A834" t="s">
        <v>3248</v>
      </c>
      <c r="B834" s="252" t="s">
        <v>2643</v>
      </c>
      <c r="C834" s="253">
        <f>'Dry_Litterbag Placem_Collection'!A175</f>
        <v>173</v>
      </c>
      <c r="D834" s="253" t="str">
        <f>'Dry_Litterbag Placem_Collection'!B175</f>
        <v>Handajega</v>
      </c>
      <c r="E834" s="253" t="s">
        <v>2454</v>
      </c>
      <c r="F834" s="253" t="s">
        <v>2645</v>
      </c>
      <c r="G834" s="253">
        <v>2</v>
      </c>
      <c r="H834" s="253" t="s">
        <v>3128</v>
      </c>
      <c r="I834" s="254" t="str">
        <f>'Dry_Litterbag Placem_Collection'!C175</f>
        <v>Wet_W2_T5</v>
      </c>
      <c r="J834" s="263" t="s">
        <v>2932</v>
      </c>
      <c r="K834" s="264" t="s">
        <v>298</v>
      </c>
      <c r="L834" s="253" t="str">
        <f>IF(ISBLANK('Dry_Litterbag Placem_Collection'!M175),"","R"&amp;""&amp;'Dry_Litterbag Placem_Collection'!M175)</f>
        <v>R473</v>
      </c>
      <c r="M834" s="257">
        <f>IFERROR(INDEX('Green_rooibos initial weight'!$C$5:$C$2000,MATCH(L834, 'Green_rooibos initial weight'!$A$5:$A$2000,0)),"")</f>
        <v>2.302</v>
      </c>
      <c r="N834" s="257">
        <f>IFERROR(M834-(TBIcalc!$Q$9+TBIcalc!$Q$10),"")</f>
        <v>2.0522</v>
      </c>
      <c r="O834" s="378">
        <f>AVERAGE(Ashed_controlls!$K$12:$K$14)</f>
        <v>2.2816647271287041</v>
      </c>
      <c r="P834" s="257">
        <f t="shared" si="61"/>
        <v>2.0053756764698649</v>
      </c>
      <c r="Q834" s="257" t="str">
        <f>IFERROR(INDEX('Both teabags AfterDry'!$D$2:$D$2000,MATCH(L834,'Both teabags AfterDry'!$A$2:$A$2000,0)),"")</f>
        <v/>
      </c>
      <c r="R834" s="257" t="str">
        <f>IFERROR(IF(Q834&gt;0,Q834-(TBIcalc!$Q$9),""),"")</f>
        <v/>
      </c>
      <c r="S834" s="268" t="str">
        <f>IFERROR(INDEX('Ashed teabags dry'!$K$2:$K$2000,MATCH(L834,'Ashed teabags dry'!$A$2:$A$2000,0)),"")</f>
        <v/>
      </c>
      <c r="T834" s="268" t="str">
        <f t="shared" si="62"/>
        <v/>
      </c>
      <c r="U834" s="258">
        <f>IF('Dry_Litterbag Placem_Collection'!E175="","",'Dry_Litterbag Placem_Collection'!E175)</f>
        <v>42940</v>
      </c>
      <c r="V834" s="258">
        <f>IF('Dry_Litterbag Placem_Collection'!G175="","",'Dry_Litterbag Placem_Collection'!G175)</f>
        <v>43009</v>
      </c>
      <c r="W834" s="259">
        <f t="shared" ref="W834:W881" si="65">IFERROR(V834-U834,"")</f>
        <v>69</v>
      </c>
      <c r="X834" s="257" t="str">
        <f t="shared" si="63"/>
        <v/>
      </c>
      <c r="Y834" s="257" t="str">
        <f t="shared" si="64"/>
        <v/>
      </c>
      <c r="Z834" s="261">
        <f>IFERROR(INDEX([3]Rainfall_Dry!$O$2:$O$217,MATCH(C834, [3]Rainfall_Dry!$A$2:$A$217,0)),"")</f>
        <v>162.634207253</v>
      </c>
      <c r="AA834" s="250">
        <v>23.96</v>
      </c>
      <c r="AB834" s="250">
        <v>4.9199999999999982</v>
      </c>
      <c r="AC834" s="250">
        <v>71.12</v>
      </c>
      <c r="AD834" s="251" t="s">
        <v>2651</v>
      </c>
      <c r="AE834" s="250">
        <v>7.3091375061606696</v>
      </c>
      <c r="AF834">
        <f>IF('WetLitterbags placem_collection'!AB175="","",'WetLitterbags placem_collection'!AB175)</f>
        <v>15.4</v>
      </c>
      <c r="AG834">
        <f>IF('WetLitterbags placem_collection'!Z175="","",'WetLitterbags placem_collection'!Z175)</f>
        <v>12.4</v>
      </c>
      <c r="AH834" s="236" t="str">
        <f>IF('WetLitterbags placem_collection'!AA175="","",'WetLitterbags placem_collection'!AA175)</f>
        <v>O</v>
      </c>
      <c r="AI834">
        <f>IF('WetLitterbags placem_collection'!AC175="","",'WetLitterbags placem_collection'!AC175)</f>
        <v>0</v>
      </c>
      <c r="AJ834">
        <f>IFERROR(AVERAGE('Dry_Litterbag Placem_Collection'!O175,'Dry_Litterbag Placem_Collection'!R175),"")</f>
        <v>6.3</v>
      </c>
      <c r="AK834" s="261">
        <f>IFERROR(AVERAGE('Dry_Litterbag Placem_Collection'!N175,'Dry_Litterbag Placem_Collection'!Q175),"")</f>
        <v>34.049999999999997</v>
      </c>
      <c r="AL834" s="260">
        <f>INDEX([2]Coordinates!$B$2:$B$197,MATCH(I834,[2]Coordinates!$J$2:$J$197,0))</f>
        <v>-2.27856799</v>
      </c>
      <c r="AM834" s="260">
        <f>INDEX([2]Coordinates!$C$2:$C$197,MATCH(I834,[2]Coordinates!$J$2:$J$197,0))</f>
        <v>34.023969970000003</v>
      </c>
      <c r="AN834" s="260" t="str">
        <f>IF(ISNUMBER(SEARCH("C", 'Dry_Litterbag Placem_Collection'!V175)),"YES","NO")</f>
        <v>NO</v>
      </c>
      <c r="AO834" s="260" t="str">
        <f>IF(ISNUMBER(SEARCH("H", 'Dry_Litterbag Placem_Collection'!V175)),"YES","NO")</f>
        <v>NO</v>
      </c>
      <c r="AP834" s="260" t="str">
        <f>IF(ISNUMBER(SEARCH("R", 'Dry_Litterbag Placem_Collection'!V175)),"YES","NO")</f>
        <v>NO</v>
      </c>
    </row>
    <row r="835" spans="1:42" ht="15" customHeight="1">
      <c r="A835" t="s">
        <v>3248</v>
      </c>
      <c r="B835" s="252" t="s">
        <v>2643</v>
      </c>
      <c r="C835" s="253">
        <f>'Dry_Litterbag Placem_Collection'!A176</f>
        <v>174</v>
      </c>
      <c r="D835" s="253" t="str">
        <f>'Dry_Litterbag Placem_Collection'!B176</f>
        <v>Handajega</v>
      </c>
      <c r="E835" s="253" t="s">
        <v>2454</v>
      </c>
      <c r="F835" s="253" t="s">
        <v>2645</v>
      </c>
      <c r="G835" s="253">
        <v>2</v>
      </c>
      <c r="H835" s="253" t="s">
        <v>3128</v>
      </c>
      <c r="I835" s="254" t="str">
        <f>'Dry_Litterbag Placem_Collection'!C176</f>
        <v>Wet_W2_T6</v>
      </c>
      <c r="J835" s="263" t="s">
        <v>2932</v>
      </c>
      <c r="K835" s="264" t="s">
        <v>298</v>
      </c>
      <c r="L835" s="253" t="str">
        <f>IF(ISBLANK('Dry_Litterbag Placem_Collection'!M176),"","R"&amp;""&amp;'Dry_Litterbag Placem_Collection'!M176)</f>
        <v>R702</v>
      </c>
      <c r="M835" s="257">
        <f>IFERROR(INDEX('Green_rooibos initial weight'!$C$5:$C$2000,MATCH(L835, 'Green_rooibos initial weight'!$A$5:$A$2000,0)),"")</f>
        <v>2.2010000000000001</v>
      </c>
      <c r="N835" s="257">
        <f>IFERROR(M835-(TBIcalc!$Q$9+TBIcalc!$Q$10),"")</f>
        <v>1.9512</v>
      </c>
      <c r="O835" s="378">
        <f>AVERAGE(Ashed_controlls!$K$12:$K$14)</f>
        <v>2.2816647271287041</v>
      </c>
      <c r="P835" s="257">
        <f t="shared" ref="P835:P881" si="66">IFERROR(N835-(O835/100)*N835,"")</f>
        <v>1.9066801578442647</v>
      </c>
      <c r="Q835" s="257">
        <f>IFERROR(INDEX('Both teabags AfterDry'!$D$2:$D$2000,MATCH(L835,'Both teabags AfterDry'!$A$2:$A$2000,0)),"")</f>
        <v>1.7047000000000001</v>
      </c>
      <c r="R835" s="257">
        <f>IFERROR(IF(Q835&gt;0,Q835-(TBIcalc!$Q$9),""),"")</f>
        <v>1.5541</v>
      </c>
      <c r="S835" s="268">
        <f>IFERROR(INDEX('Ashed teabags dry'!$K$2:$K$2000,MATCH(L835,'Ashed teabags dry'!$A$2:$A$2000,0)),"")</f>
        <v>12.547709923664542</v>
      </c>
      <c r="T835" s="268">
        <f t="shared" ref="T835:T881" si="67">IFERROR(R835-(S835/100)*R835,"")</f>
        <v>1.3590960400763294</v>
      </c>
      <c r="U835" s="258">
        <f>IF('Dry_Litterbag Placem_Collection'!E176="","",'Dry_Litterbag Placem_Collection'!E176)</f>
        <v>42940</v>
      </c>
      <c r="V835" s="258">
        <f>IF('Dry_Litterbag Placem_Collection'!G176="","",'Dry_Litterbag Placem_Collection'!G176)</f>
        <v>43009</v>
      </c>
      <c r="W835" s="259">
        <f t="shared" si="65"/>
        <v>69</v>
      </c>
      <c r="X835" s="257">
        <f t="shared" ref="X835:X881" si="68">IFERROR(N835-R835,"")</f>
        <v>0.39710000000000001</v>
      </c>
      <c r="Y835" s="257">
        <f t="shared" ref="Y835:Y881" si="69">IFERROR(P835-T835,"")</f>
        <v>0.54758411776793525</v>
      </c>
      <c r="Z835" s="261">
        <f>IFERROR(INDEX([3]Rainfall_Dry!$O$2:$O$217,MATCH(C835, [3]Rainfall_Dry!$A$2:$A$217,0)),"")</f>
        <v>162.634207253</v>
      </c>
      <c r="AA835" s="250">
        <v>23.96</v>
      </c>
      <c r="AB835" s="250">
        <v>4.9199999999999982</v>
      </c>
      <c r="AC835" s="250">
        <v>71.12</v>
      </c>
      <c r="AD835" s="251" t="s">
        <v>2651</v>
      </c>
      <c r="AE835" s="250">
        <v>8.3091375061606705</v>
      </c>
      <c r="AF835">
        <f>IF('WetLitterbags placem_collection'!AB176="","",'WetLitterbags placem_collection'!AB176)</f>
        <v>7.4</v>
      </c>
      <c r="AG835">
        <f>IF('WetLitterbags placem_collection'!Z176="","",'WetLitterbags placem_collection'!Z176)</f>
        <v>7.4</v>
      </c>
      <c r="AH835" s="236" t="str">
        <f>IF('WetLitterbags placem_collection'!AA176="","",'WetLitterbags placem_collection'!AA176)</f>
        <v>O</v>
      </c>
      <c r="AI835">
        <f>IF('WetLitterbags placem_collection'!AC176="","",'WetLitterbags placem_collection'!AC176)</f>
        <v>0</v>
      </c>
      <c r="AJ835">
        <f>IFERROR(AVERAGE('Dry_Litterbag Placem_Collection'!O176,'Dry_Litterbag Placem_Collection'!R176),"")</f>
        <v>5.9</v>
      </c>
      <c r="AK835" s="261">
        <f>IFERROR(AVERAGE('Dry_Litterbag Placem_Collection'!N176,'Dry_Litterbag Placem_Collection'!Q176),"")</f>
        <v>33.200000000000003</v>
      </c>
      <c r="AL835" s="260">
        <f>INDEX([2]Coordinates!$B$2:$B$197,MATCH(I835,[2]Coordinates!$J$2:$J$197,0))</f>
        <v>-2.2786809780000001</v>
      </c>
      <c r="AM835" s="260">
        <f>INDEX([2]Coordinates!$C$2:$C$197,MATCH(I835,[2]Coordinates!$J$2:$J$197,0))</f>
        <v>34.02434899</v>
      </c>
      <c r="AN835" s="260" t="str">
        <f>IF(ISNUMBER(SEARCH("C", 'Dry_Litterbag Placem_Collection'!V176)),"YES","NO")</f>
        <v>NO</v>
      </c>
      <c r="AO835" s="260" t="str">
        <f>IF(ISNUMBER(SEARCH("H", 'Dry_Litterbag Placem_Collection'!V176)),"YES","NO")</f>
        <v>NO</v>
      </c>
      <c r="AP835" s="260" t="str">
        <f>IF(ISNUMBER(SEARCH("R", 'Dry_Litterbag Placem_Collection'!V176)),"YES","NO")</f>
        <v>NO</v>
      </c>
    </row>
    <row r="836" spans="1:42" ht="15" customHeight="1">
      <c r="A836" t="s">
        <v>3248</v>
      </c>
      <c r="B836" s="252" t="s">
        <v>2643</v>
      </c>
      <c r="C836" s="253">
        <f>'Dry_Litterbag Placem_Collection'!A177</f>
        <v>175</v>
      </c>
      <c r="D836" s="253" t="str">
        <f>'Dry_Litterbag Placem_Collection'!B177</f>
        <v>Handajega</v>
      </c>
      <c r="E836" s="253" t="s">
        <v>2454</v>
      </c>
      <c r="F836" s="253" t="s">
        <v>2645</v>
      </c>
      <c r="G836" s="253">
        <v>2</v>
      </c>
      <c r="H836" s="253" t="s">
        <v>3128</v>
      </c>
      <c r="I836" s="254" t="str">
        <f>'Dry_Litterbag Placem_Collection'!C177</f>
        <v>Wet_W2_T7</v>
      </c>
      <c r="J836" s="263" t="s">
        <v>2932</v>
      </c>
      <c r="K836" s="264" t="s">
        <v>298</v>
      </c>
      <c r="L836" s="253" t="str">
        <f>IF(ISBLANK('Dry_Litterbag Placem_Collection'!M177),"","R"&amp;""&amp;'Dry_Litterbag Placem_Collection'!M177)</f>
        <v>R175</v>
      </c>
      <c r="M836" s="257">
        <f>IFERROR(INDEX('Green_rooibos initial weight'!$C$5:$C$2000,MATCH(L836, 'Green_rooibos initial weight'!$A$5:$A$2000,0)),"")</f>
        <v>2.2330000000000001</v>
      </c>
      <c r="N836" s="257">
        <f>IFERROR(M836-(TBIcalc!$Q$9+TBIcalc!$Q$10),"")</f>
        <v>1.9832000000000001</v>
      </c>
      <c r="O836" s="378">
        <f>AVERAGE(Ashed_controlls!$K$12:$K$14)</f>
        <v>2.2816647271287041</v>
      </c>
      <c r="P836" s="257">
        <f t="shared" si="66"/>
        <v>1.9379500251315835</v>
      </c>
      <c r="Q836" s="257">
        <f>IFERROR(INDEX('Both teabags AfterDry'!$D$2:$D$2000,MATCH(L836,'Both teabags AfterDry'!$A$2:$A$2000,0)),"")</f>
        <v>1.8721000000000001</v>
      </c>
      <c r="R836" s="257">
        <f>IFERROR(IF(Q836&gt;0,Q836-(TBIcalc!$Q$9),""),"")</f>
        <v>1.7215</v>
      </c>
      <c r="S836" s="268">
        <f>IFERROR(INDEX('Ashed teabags dry'!$K$2:$K$2000,MATCH(L836,'Ashed teabags dry'!$A$2:$A$2000,0)),"")</f>
        <v>11.577028258888308</v>
      </c>
      <c r="T836" s="268">
        <f t="shared" si="67"/>
        <v>1.5222014585232377</v>
      </c>
      <c r="U836" s="258">
        <f>IF('Dry_Litterbag Placem_Collection'!E177="","",'Dry_Litterbag Placem_Collection'!E177)</f>
        <v>42940</v>
      </c>
      <c r="V836" s="258">
        <f>IF('Dry_Litterbag Placem_Collection'!G177="","",'Dry_Litterbag Placem_Collection'!G177)</f>
        <v>43009</v>
      </c>
      <c r="W836" s="259">
        <f t="shared" si="65"/>
        <v>69</v>
      </c>
      <c r="X836" s="257">
        <f t="shared" si="68"/>
        <v>0.26170000000000004</v>
      </c>
      <c r="Y836" s="257">
        <f t="shared" si="69"/>
        <v>0.4157485666083458</v>
      </c>
      <c r="Z836" s="261">
        <f>IFERROR(INDEX([3]Rainfall_Dry!$O$2:$O$217,MATCH(C836, [3]Rainfall_Dry!$A$2:$A$217,0)),"")</f>
        <v>162.634207253</v>
      </c>
      <c r="AA836" s="250">
        <v>23.96</v>
      </c>
      <c r="AB836" s="250">
        <v>4.9199999999999982</v>
      </c>
      <c r="AC836" s="250">
        <v>71.12</v>
      </c>
      <c r="AD836" s="251" t="s">
        <v>2651</v>
      </c>
      <c r="AE836" s="250">
        <v>9.3091375061606705</v>
      </c>
      <c r="AF836">
        <f>IF('WetLitterbags placem_collection'!AB177="","",'WetLitterbags placem_collection'!AB177)</f>
        <v>15.4</v>
      </c>
      <c r="AG836">
        <f>IF('WetLitterbags placem_collection'!Z177="","",'WetLitterbags placem_collection'!Z177)</f>
        <v>9.8000000000000007</v>
      </c>
      <c r="AH836" s="236" t="str">
        <f>IF('WetLitterbags placem_collection'!AA177="","",'WetLitterbags placem_collection'!AA177)</f>
        <v>O</v>
      </c>
      <c r="AI836">
        <f>IF('WetLitterbags placem_collection'!AC177="","",'WetLitterbags placem_collection'!AC177)</f>
        <v>1</v>
      </c>
      <c r="AJ836">
        <f>IFERROR(AVERAGE('Dry_Litterbag Placem_Collection'!O177,'Dry_Litterbag Placem_Collection'!R177),"")</f>
        <v>5.9499999999999993</v>
      </c>
      <c r="AK836" s="261">
        <f>IFERROR(AVERAGE('Dry_Litterbag Placem_Collection'!N177,'Dry_Litterbag Placem_Collection'!Q177),"")</f>
        <v>34.049999999999997</v>
      </c>
      <c r="AL836" s="260">
        <f>INDEX([2]Coordinates!$B$2:$B$197,MATCH(I836,[2]Coordinates!$J$2:$J$197,0))</f>
        <v>-2.2784219779999999</v>
      </c>
      <c r="AM836" s="260">
        <f>INDEX([2]Coordinates!$C$2:$C$197,MATCH(I836,[2]Coordinates!$J$2:$J$197,0))</f>
        <v>34.024374979999997</v>
      </c>
      <c r="AN836" s="260" t="str">
        <f>IF(ISNUMBER(SEARCH("C", 'Dry_Litterbag Placem_Collection'!V177)),"YES","NO")</f>
        <v>NO</v>
      </c>
      <c r="AO836" s="260" t="str">
        <f>IF(ISNUMBER(SEARCH("H", 'Dry_Litterbag Placem_Collection'!V177)),"YES","NO")</f>
        <v>NO</v>
      </c>
      <c r="AP836" s="260" t="str">
        <f>IF(ISNUMBER(SEARCH("R", 'Dry_Litterbag Placem_Collection'!V177)),"YES","NO")</f>
        <v>YES</v>
      </c>
    </row>
    <row r="837" spans="1:42" ht="15" customHeight="1">
      <c r="A837" t="s">
        <v>3248</v>
      </c>
      <c r="B837" s="252" t="s">
        <v>2643</v>
      </c>
      <c r="C837" s="253">
        <f>'Dry_Litterbag Placem_Collection'!A178</f>
        <v>176</v>
      </c>
      <c r="D837" s="253" t="str">
        <f>'Dry_Litterbag Placem_Collection'!B178</f>
        <v>Handajega</v>
      </c>
      <c r="E837" s="253" t="s">
        <v>2454</v>
      </c>
      <c r="F837" s="253" t="s">
        <v>2645</v>
      </c>
      <c r="G837" s="253">
        <v>2</v>
      </c>
      <c r="H837" s="253" t="s">
        <v>3128</v>
      </c>
      <c r="I837" s="254" t="str">
        <f>'Dry_Litterbag Placem_Collection'!C178</f>
        <v>Wet_W2_T8</v>
      </c>
      <c r="J837" s="263" t="s">
        <v>2932</v>
      </c>
      <c r="K837" s="264" t="s">
        <v>298</v>
      </c>
      <c r="L837" s="253" t="str">
        <f>IF(ISBLANK('Dry_Litterbag Placem_Collection'!M178),"","R"&amp;""&amp;'Dry_Litterbag Placem_Collection'!M178)</f>
        <v>R332</v>
      </c>
      <c r="M837" s="257">
        <f>IFERROR(INDEX('Green_rooibos initial weight'!$C$5:$C$2000,MATCH(L837, 'Green_rooibos initial weight'!$A$5:$A$2000,0)),"")</f>
        <v>2.1880000000000002</v>
      </c>
      <c r="N837" s="257">
        <f>IFERROR(M837-(TBIcalc!$Q$9+TBIcalc!$Q$10),"")</f>
        <v>1.9382000000000001</v>
      </c>
      <c r="O837" s="378">
        <f>AVERAGE(Ashed_controlls!$K$12:$K$14)</f>
        <v>2.2816647271287041</v>
      </c>
      <c r="P837" s="257">
        <f t="shared" si="66"/>
        <v>1.8939767742587916</v>
      </c>
      <c r="Q837" s="257">
        <f>IFERROR(INDEX('Both teabags AfterDry'!$D$2:$D$2000,MATCH(L837,'Both teabags AfterDry'!$A$2:$A$2000,0)),"")</f>
        <v>1.8720000000000001</v>
      </c>
      <c r="R837" s="257">
        <f>IFERROR(IF(Q837&gt;0,Q837-(TBIcalc!$Q$9),""),"")</f>
        <v>1.7214</v>
      </c>
      <c r="S837" s="268">
        <f>IFERROR(INDEX('Ashed teabags dry'!$K$2:$K$2000,MATCH(L837,'Ashed teabags dry'!$A$2:$A$2000,0)),"")</f>
        <v>6.259314456035395</v>
      </c>
      <c r="T837" s="268">
        <f t="shared" si="67"/>
        <v>1.6136521609538068</v>
      </c>
      <c r="U837" s="258">
        <f>IF('Dry_Litterbag Placem_Collection'!E178="","",'Dry_Litterbag Placem_Collection'!E178)</f>
        <v>42940</v>
      </c>
      <c r="V837" s="258">
        <f>IF('Dry_Litterbag Placem_Collection'!G178="","",'Dry_Litterbag Placem_Collection'!G178)</f>
        <v>43009</v>
      </c>
      <c r="W837" s="259">
        <f t="shared" si="65"/>
        <v>69</v>
      </c>
      <c r="X837" s="257">
        <f t="shared" si="68"/>
        <v>0.2168000000000001</v>
      </c>
      <c r="Y837" s="257">
        <f t="shared" si="69"/>
        <v>0.28032461330498482</v>
      </c>
      <c r="Z837" s="261">
        <f>IFERROR(INDEX([3]Rainfall_Dry!$O$2:$O$217,MATCH(C837, [3]Rainfall_Dry!$A$2:$A$217,0)),"")</f>
        <v>162.634207253</v>
      </c>
      <c r="AA837" s="250">
        <v>23.96</v>
      </c>
      <c r="AB837" s="250">
        <v>4.9199999999999982</v>
      </c>
      <c r="AC837" s="250">
        <v>71.12</v>
      </c>
      <c r="AD837" s="251" t="s">
        <v>2651</v>
      </c>
      <c r="AE837" s="250">
        <v>10.309137506160701</v>
      </c>
      <c r="AF837">
        <f>IF('WetLitterbags placem_collection'!AB178="","",'WetLitterbags placem_collection'!AB178)</f>
        <v>6.8</v>
      </c>
      <c r="AG837">
        <f>IF('WetLitterbags placem_collection'!Z178="","",'WetLitterbags placem_collection'!Z178)</f>
        <v>6.9</v>
      </c>
      <c r="AH837" s="236" t="str">
        <f>IF('WetLitterbags placem_collection'!AA178="","",'WetLitterbags placem_collection'!AA178)</f>
        <v>O</v>
      </c>
      <c r="AI837">
        <f>IF('WetLitterbags placem_collection'!AC178="","",'WetLitterbags placem_collection'!AC178)</f>
        <v>0</v>
      </c>
      <c r="AJ837">
        <f>IFERROR(AVERAGE('Dry_Litterbag Placem_Collection'!O178,'Dry_Litterbag Placem_Collection'!R178),"")</f>
        <v>4.5999999999999996</v>
      </c>
      <c r="AK837" s="261">
        <f>IFERROR(AVERAGE('Dry_Litterbag Placem_Collection'!N178,'Dry_Litterbag Placem_Collection'!Q178),"")</f>
        <v>34.5</v>
      </c>
      <c r="AL837" s="260">
        <f>INDEX([2]Coordinates!$B$2:$B$197,MATCH(I837,[2]Coordinates!$J$2:$J$197,0))</f>
        <v>-2.2782909679999999</v>
      </c>
      <c r="AM837" s="260">
        <f>INDEX([2]Coordinates!$C$2:$C$197,MATCH(I837,[2]Coordinates!$J$2:$J$197,0))</f>
        <v>34.024574970000003</v>
      </c>
      <c r="AN837" s="260" t="str">
        <f>IF(ISNUMBER(SEARCH("C", 'Dry_Litterbag Placem_Collection'!V178)),"YES","NO")</f>
        <v>NO</v>
      </c>
      <c r="AO837" s="260" t="str">
        <f>IF(ISNUMBER(SEARCH("H", 'Dry_Litterbag Placem_Collection'!V178)),"YES","NO")</f>
        <v>NO</v>
      </c>
      <c r="AP837" s="260" t="str">
        <f>IF(ISNUMBER(SEARCH("R", 'Dry_Litterbag Placem_Collection'!V178)),"YES","NO")</f>
        <v>YES</v>
      </c>
    </row>
    <row r="838" spans="1:42" ht="15" customHeight="1">
      <c r="A838" t="s">
        <v>3248</v>
      </c>
      <c r="B838" s="252" t="s">
        <v>2643</v>
      </c>
      <c r="C838" s="253">
        <f>'Dry_Litterbag Placem_Collection'!A179</f>
        <v>177</v>
      </c>
      <c r="D838" s="253" t="str">
        <f>'Dry_Litterbag Placem_Collection'!B179</f>
        <v>Handajega</v>
      </c>
      <c r="E838" s="253" t="s">
        <v>2454</v>
      </c>
      <c r="F838" s="253" t="s">
        <v>2645</v>
      </c>
      <c r="G838" s="253">
        <v>3</v>
      </c>
      <c r="H838" s="253" t="s">
        <v>3129</v>
      </c>
      <c r="I838" s="254" t="str">
        <f>'Dry_Litterbag Placem_Collection'!C179</f>
        <v>Wet_W3_T1</v>
      </c>
      <c r="J838" s="263" t="s">
        <v>2932</v>
      </c>
      <c r="K838" s="264" t="s">
        <v>298</v>
      </c>
      <c r="L838" s="253" t="str">
        <f>IF(ISBLANK('Dry_Litterbag Placem_Collection'!M179),"","R"&amp;""&amp;'Dry_Litterbag Placem_Collection'!M179)</f>
        <v>R70</v>
      </c>
      <c r="M838" s="257">
        <f>IFERROR(INDEX('Green_rooibos initial weight'!$C$5:$C$2000,MATCH(L838, 'Green_rooibos initial weight'!$A$5:$A$2000,0)),"")</f>
        <v>2.23</v>
      </c>
      <c r="N838" s="257">
        <f>IFERROR(M838-(TBIcalc!$Q$9+TBIcalc!$Q$10),"")</f>
        <v>1.9802</v>
      </c>
      <c r="O838" s="378">
        <f>AVERAGE(Ashed_controlls!$K$12:$K$14)</f>
        <v>2.2816647271287041</v>
      </c>
      <c r="P838" s="257">
        <f t="shared" si="66"/>
        <v>1.9350184750733974</v>
      </c>
      <c r="Q838" s="257" t="str">
        <f>IFERROR(INDEX('Both teabags AfterDry'!$D$2:$D$2000,MATCH(L838,'Both teabags AfterDry'!$A$2:$A$2000,0)),"")</f>
        <v/>
      </c>
      <c r="R838" s="257" t="str">
        <f>IFERROR(IF(Q838&gt;0,Q838-(TBIcalc!$Q$9),""),"")</f>
        <v/>
      </c>
      <c r="S838" s="268" t="str">
        <f>IFERROR(INDEX('Ashed teabags dry'!$K$2:$K$2000,MATCH(L838,'Ashed teabags dry'!$A$2:$A$2000,0)),"")</f>
        <v/>
      </c>
      <c r="T838" s="268" t="str">
        <f t="shared" si="67"/>
        <v/>
      </c>
      <c r="U838" s="258">
        <f>IF('Dry_Litterbag Placem_Collection'!E179="","",'Dry_Litterbag Placem_Collection'!E179)</f>
        <v>42940</v>
      </c>
      <c r="V838" s="258">
        <f>IF('Dry_Litterbag Placem_Collection'!G179="","",'Dry_Litterbag Placem_Collection'!G179)</f>
        <v>43009</v>
      </c>
      <c r="W838" s="259">
        <f t="shared" si="65"/>
        <v>69</v>
      </c>
      <c r="X838" s="257" t="str">
        <f t="shared" si="68"/>
        <v/>
      </c>
      <c r="Y838" s="257" t="str">
        <f t="shared" si="69"/>
        <v/>
      </c>
      <c r="Z838" s="261">
        <f>IFERROR(INDEX([3]Rainfall_Dry!$O$2:$O$217,MATCH(C838, [3]Rainfall_Dry!$A$2:$A$217,0)),"")</f>
        <v>162.634207253</v>
      </c>
      <c r="AA838" s="250">
        <v>25.96</v>
      </c>
      <c r="AB838" s="250">
        <v>8.9200000000000017</v>
      </c>
      <c r="AC838" s="250">
        <v>65.12</v>
      </c>
      <c r="AD838" s="251" t="s">
        <v>2651</v>
      </c>
      <c r="AE838" s="250">
        <v>1.614588467225234</v>
      </c>
      <c r="AF838">
        <f>IF('WetLitterbags placem_collection'!AB179="","",'WetLitterbags placem_collection'!AB179)</f>
        <v>17.8</v>
      </c>
      <c r="AG838">
        <f>IF('WetLitterbags placem_collection'!Z179="","",'WetLitterbags placem_collection'!Z179)</f>
        <v>25.8</v>
      </c>
      <c r="AH838" s="236" t="str">
        <f>IF('WetLitterbags placem_collection'!AA179="","",'WetLitterbags placem_collection'!AA179)</f>
        <v>O</v>
      </c>
      <c r="AI838">
        <f>IF('WetLitterbags placem_collection'!AC179="","",'WetLitterbags placem_collection'!AC179)</f>
        <v>0</v>
      </c>
      <c r="AJ838">
        <f>IFERROR(AVERAGE('Dry_Litterbag Placem_Collection'!O179,'Dry_Litterbag Placem_Collection'!R179),"")</f>
        <v>4.6999999999999993</v>
      </c>
      <c r="AK838" s="261">
        <f>IFERROR(AVERAGE('Dry_Litterbag Placem_Collection'!N179,'Dry_Litterbag Placem_Collection'!Q179),"")</f>
        <v>34.150000000000006</v>
      </c>
      <c r="AL838" s="260">
        <f>INDEX([2]Coordinates!$B$2:$B$197,MATCH(I838,[2]Coordinates!$J$2:$J$197,0))</f>
        <v>-2.277740026</v>
      </c>
      <c r="AM838" s="260">
        <f>INDEX([2]Coordinates!$C$2:$C$197,MATCH(I838,[2]Coordinates!$J$2:$J$197,0))</f>
        <v>34.027640990000002</v>
      </c>
      <c r="AN838" s="260" t="str">
        <f>IF(ISNUMBER(SEARCH("C", 'Dry_Litterbag Placem_Collection'!V179)),"YES","NO")</f>
        <v>NO</v>
      </c>
      <c r="AO838" s="260" t="str">
        <f>IF(ISNUMBER(SEARCH("H", 'Dry_Litterbag Placem_Collection'!V179)),"YES","NO")</f>
        <v>NO</v>
      </c>
      <c r="AP838" s="260" t="str">
        <f>IF(ISNUMBER(SEARCH("R", 'Dry_Litterbag Placem_Collection'!V179)),"YES","NO")</f>
        <v>YES</v>
      </c>
    </row>
    <row r="839" spans="1:42" ht="15" customHeight="1">
      <c r="A839" t="s">
        <v>3248</v>
      </c>
      <c r="B839" s="252" t="s">
        <v>2643</v>
      </c>
      <c r="C839" s="253">
        <f>'Dry_Litterbag Placem_Collection'!A180</f>
        <v>178</v>
      </c>
      <c r="D839" s="253" t="str">
        <f>'Dry_Litterbag Placem_Collection'!B180</f>
        <v>Handajega</v>
      </c>
      <c r="E839" s="253" t="s">
        <v>2454</v>
      </c>
      <c r="F839" s="253" t="s">
        <v>2645</v>
      </c>
      <c r="G839" s="253">
        <v>3</v>
      </c>
      <c r="H839" s="253" t="s">
        <v>3129</v>
      </c>
      <c r="I839" s="254" t="str">
        <f>'Dry_Litterbag Placem_Collection'!C180</f>
        <v>Wet_W3_T2</v>
      </c>
      <c r="J839" s="263" t="s">
        <v>2932</v>
      </c>
      <c r="K839" s="264" t="s">
        <v>298</v>
      </c>
      <c r="L839" s="253" t="str">
        <f>IF(ISBLANK('Dry_Litterbag Placem_Collection'!M180),"","R"&amp;""&amp;'Dry_Litterbag Placem_Collection'!M180)</f>
        <v>R718</v>
      </c>
      <c r="M839" s="257">
        <f>IFERROR(INDEX('Green_rooibos initial weight'!$C$5:$C$2000,MATCH(L839, 'Green_rooibos initial weight'!$A$5:$A$2000,0)),"")</f>
        <v>2.2050000000000001</v>
      </c>
      <c r="N839" s="257">
        <f>IFERROR(M839-(TBIcalc!$Q$9+TBIcalc!$Q$10),"")</f>
        <v>1.9552</v>
      </c>
      <c r="O839" s="378">
        <f>AVERAGE(Ashed_controlls!$K$12:$K$14)</f>
        <v>2.2816647271287041</v>
      </c>
      <c r="P839" s="257">
        <f t="shared" si="66"/>
        <v>1.9105888912551796</v>
      </c>
      <c r="Q839" s="257">
        <f>IFERROR(INDEX('Both teabags AfterDry'!$D$2:$D$2000,MATCH(L839,'Both teabags AfterDry'!$A$2:$A$2000,0)),"")</f>
        <v>1.8359000000000001</v>
      </c>
      <c r="R839" s="257">
        <f>IFERROR(IF(Q839&gt;0,Q839-(TBIcalc!$Q$9),""),"")</f>
        <v>1.6853</v>
      </c>
      <c r="S839" s="268">
        <f>IFERROR(INDEX('Ashed teabags dry'!$K$2:$K$2000,MATCH(L839,'Ashed teabags dry'!$A$2:$A$2000,0)),"")</f>
        <v>7.0877531340403506</v>
      </c>
      <c r="T839" s="268">
        <f t="shared" si="67"/>
        <v>1.5658500964320179</v>
      </c>
      <c r="U839" s="258">
        <f>IF('Dry_Litterbag Placem_Collection'!E180="","",'Dry_Litterbag Placem_Collection'!E180)</f>
        <v>42940</v>
      </c>
      <c r="V839" s="258">
        <f>IF('Dry_Litterbag Placem_Collection'!G180="","",'Dry_Litterbag Placem_Collection'!G180)</f>
        <v>43009</v>
      </c>
      <c r="W839" s="259">
        <f t="shared" si="65"/>
        <v>69</v>
      </c>
      <c r="X839" s="257">
        <f t="shared" si="68"/>
        <v>0.26990000000000003</v>
      </c>
      <c r="Y839" s="257">
        <f t="shared" si="69"/>
        <v>0.34473879482316172</v>
      </c>
      <c r="Z839" s="261">
        <f>IFERROR(INDEX([3]Rainfall_Dry!$O$2:$O$217,MATCH(C839, [3]Rainfall_Dry!$A$2:$A$217,0)),"")</f>
        <v>162.634207253</v>
      </c>
      <c r="AA839" s="250">
        <v>25.96</v>
      </c>
      <c r="AB839" s="250">
        <v>8.9200000000000017</v>
      </c>
      <c r="AC839" s="250">
        <v>65.12</v>
      </c>
      <c r="AD839" s="251" t="s">
        <v>2651</v>
      </c>
      <c r="AE839" s="250">
        <v>2.61458846722523</v>
      </c>
      <c r="AF839">
        <f>IF('WetLitterbags placem_collection'!AB180="","",'WetLitterbags placem_collection'!AB180)</f>
        <v>15.4</v>
      </c>
      <c r="AG839">
        <f>IF('WetLitterbags placem_collection'!Z180="","",'WetLitterbags placem_collection'!Z180)</f>
        <v>18.8</v>
      </c>
      <c r="AH839" s="236" t="str">
        <f>IF('WetLitterbags placem_collection'!AA180="","",'WetLitterbags placem_collection'!AA180)</f>
        <v>O</v>
      </c>
      <c r="AI839">
        <f>IF('WetLitterbags placem_collection'!AC180="","",'WetLitterbags placem_collection'!AC180)</f>
        <v>1</v>
      </c>
      <c r="AJ839">
        <f>IFERROR(AVERAGE('Dry_Litterbag Placem_Collection'!O180,'Dry_Litterbag Placem_Collection'!R180),"")</f>
        <v>4.5</v>
      </c>
      <c r="AK839" s="261">
        <f>IFERROR(AVERAGE('Dry_Litterbag Placem_Collection'!N180,'Dry_Litterbag Placem_Collection'!Q180),"")</f>
        <v>35.799999999999997</v>
      </c>
      <c r="AL839" s="260">
        <f>INDEX([2]Coordinates!$B$2:$B$197,MATCH(I839,[2]Coordinates!$J$2:$J$197,0))</f>
        <v>-2.2777889760000001</v>
      </c>
      <c r="AM839" s="260">
        <f>INDEX([2]Coordinates!$C$2:$C$197,MATCH(I839,[2]Coordinates!$J$2:$J$197,0))</f>
        <v>34.027664960000003</v>
      </c>
      <c r="AN839" s="260" t="str">
        <f>IF(ISNUMBER(SEARCH("C", 'Dry_Litterbag Placem_Collection'!V180)),"YES","NO")</f>
        <v>NO</v>
      </c>
      <c r="AO839" s="260" t="str">
        <f>IF(ISNUMBER(SEARCH("H", 'Dry_Litterbag Placem_Collection'!V180)),"YES","NO")</f>
        <v>NO</v>
      </c>
      <c r="AP839" s="260" t="str">
        <f>IF(ISNUMBER(SEARCH("R", 'Dry_Litterbag Placem_Collection'!V180)),"YES","NO")</f>
        <v>NO</v>
      </c>
    </row>
    <row r="840" spans="1:42" ht="15" customHeight="1">
      <c r="A840" t="s">
        <v>3248</v>
      </c>
      <c r="B840" s="252" t="s">
        <v>2643</v>
      </c>
      <c r="C840" s="253">
        <f>'Dry_Litterbag Placem_Collection'!A181</f>
        <v>179</v>
      </c>
      <c r="D840" s="253" t="str">
        <f>'Dry_Litterbag Placem_Collection'!B181</f>
        <v>Handajega</v>
      </c>
      <c r="E840" s="253" t="s">
        <v>2454</v>
      </c>
      <c r="F840" s="253" t="s">
        <v>2645</v>
      </c>
      <c r="G840" s="253">
        <v>3</v>
      </c>
      <c r="H840" s="253" t="s">
        <v>3129</v>
      </c>
      <c r="I840" s="254" t="str">
        <f>'Dry_Litterbag Placem_Collection'!C181</f>
        <v>Wet_W3_T3</v>
      </c>
      <c r="J840" s="263" t="s">
        <v>2932</v>
      </c>
      <c r="K840" s="264" t="s">
        <v>298</v>
      </c>
      <c r="L840" s="253" t="str">
        <f>IF(ISBLANK('Dry_Litterbag Placem_Collection'!M181),"","R"&amp;""&amp;'Dry_Litterbag Placem_Collection'!M181)</f>
        <v>R640</v>
      </c>
      <c r="M840" s="257">
        <f>IFERROR(INDEX('Green_rooibos initial weight'!$C$5:$C$2000,MATCH(L840, 'Green_rooibos initial weight'!$A$5:$A$2000,0)),"")</f>
        <v>2.1019999999999999</v>
      </c>
      <c r="N840" s="257">
        <f>IFERROR(M840-(TBIcalc!$Q$9+TBIcalc!$Q$10),"")</f>
        <v>1.8521999999999998</v>
      </c>
      <c r="O840" s="378">
        <f>AVERAGE(Ashed_controlls!$K$12:$K$14)</f>
        <v>2.2816647271287041</v>
      </c>
      <c r="P840" s="257">
        <f t="shared" si="66"/>
        <v>1.809939005924122</v>
      </c>
      <c r="Q840" s="257">
        <f>IFERROR(INDEX('Both teabags AfterDry'!$D$2:$D$2000,MATCH(L840,'Both teabags AfterDry'!$A$2:$A$2000,0)),"")</f>
        <v>1.6580999999999999</v>
      </c>
      <c r="R840" s="257">
        <f>IFERROR(IF(Q840&gt;0,Q840-(TBIcalc!$Q$9),""),"")</f>
        <v>1.5074999999999998</v>
      </c>
      <c r="S840" s="268">
        <f>IFERROR(INDEX('Ashed teabags dry'!$K$2:$K$2000,MATCH(L840,'Ashed teabags dry'!$A$2:$A$2000,0)),"")</f>
        <v>15.844901866922525</v>
      </c>
      <c r="T840" s="268">
        <f t="shared" si="67"/>
        <v>1.2686381043561428</v>
      </c>
      <c r="U840" s="258">
        <f>IF('Dry_Litterbag Placem_Collection'!E181="","",'Dry_Litterbag Placem_Collection'!E181)</f>
        <v>42940</v>
      </c>
      <c r="V840" s="258">
        <f>IF('Dry_Litterbag Placem_Collection'!G181="","",'Dry_Litterbag Placem_Collection'!G181)</f>
        <v>43009</v>
      </c>
      <c r="W840" s="259">
        <f t="shared" si="65"/>
        <v>69</v>
      </c>
      <c r="X840" s="257">
        <f t="shared" si="68"/>
        <v>0.34470000000000001</v>
      </c>
      <c r="Y840" s="257">
        <f t="shared" si="69"/>
        <v>0.54130090156797928</v>
      </c>
      <c r="Z840" s="261">
        <f>IFERROR(INDEX([3]Rainfall_Dry!$O$2:$O$217,MATCH(C840, [3]Rainfall_Dry!$A$2:$A$217,0)),"")</f>
        <v>162.634207253</v>
      </c>
      <c r="AA840" s="250">
        <v>25.96</v>
      </c>
      <c r="AB840" s="250">
        <v>8.9200000000000017</v>
      </c>
      <c r="AC840" s="250">
        <v>65.12</v>
      </c>
      <c r="AD840" s="251" t="s">
        <v>2651</v>
      </c>
      <c r="AE840" s="250">
        <v>3.61458846722523</v>
      </c>
      <c r="AF840">
        <f>IF('WetLitterbags placem_collection'!AB181="","",'WetLitterbags placem_collection'!AB181)</f>
        <v>11.8</v>
      </c>
      <c r="AG840">
        <f>IF('WetLitterbags placem_collection'!Z181="","",'WetLitterbags placem_collection'!Z181)</f>
        <v>15.4</v>
      </c>
      <c r="AH840" s="236" t="str">
        <f>IF('WetLitterbags placem_collection'!AA181="","",'WetLitterbags placem_collection'!AA181)</f>
        <v>O</v>
      </c>
      <c r="AI840">
        <f>IF('WetLitterbags placem_collection'!AC181="","",'WetLitterbags placem_collection'!AC181)</f>
        <v>1</v>
      </c>
      <c r="AJ840">
        <f>IFERROR(AVERAGE('Dry_Litterbag Placem_Collection'!O181,'Dry_Litterbag Placem_Collection'!R181),"")</f>
        <v>5.8</v>
      </c>
      <c r="AK840" s="261">
        <f>IFERROR(AVERAGE('Dry_Litterbag Placem_Collection'!N181,'Dry_Litterbag Placem_Collection'!Q181),"")</f>
        <v>34.75</v>
      </c>
      <c r="AL840" s="260">
        <f>INDEX([2]Coordinates!$B$2:$B$197,MATCH(I840,[2]Coordinates!$J$2:$J$197,0))</f>
        <v>-2.2778579589999999</v>
      </c>
      <c r="AM840" s="260">
        <f>INDEX([2]Coordinates!$C$2:$C$197,MATCH(I840,[2]Coordinates!$J$2:$J$197,0))</f>
        <v>34.027682980000002</v>
      </c>
      <c r="AN840" s="260" t="str">
        <f>IF(ISNUMBER(SEARCH("C", 'Dry_Litterbag Placem_Collection'!V181)),"YES","NO")</f>
        <v>NO</v>
      </c>
      <c r="AO840" s="260" t="str">
        <f>IF(ISNUMBER(SEARCH("H", 'Dry_Litterbag Placem_Collection'!V181)),"YES","NO")</f>
        <v>NO</v>
      </c>
      <c r="AP840" s="260" t="str">
        <f>IF(ISNUMBER(SEARCH("R", 'Dry_Litterbag Placem_Collection'!V181)),"YES","NO")</f>
        <v>NO</v>
      </c>
    </row>
    <row r="841" spans="1:42" ht="15" customHeight="1">
      <c r="A841" t="s">
        <v>3248</v>
      </c>
      <c r="B841" s="252" t="s">
        <v>2643</v>
      </c>
      <c r="C841" s="253">
        <f>'Dry_Litterbag Placem_Collection'!A182</f>
        <v>180</v>
      </c>
      <c r="D841" s="253" t="str">
        <f>'Dry_Litterbag Placem_Collection'!B182</f>
        <v>Handajega</v>
      </c>
      <c r="E841" s="253" t="s">
        <v>2454</v>
      </c>
      <c r="F841" s="253" t="s">
        <v>2645</v>
      </c>
      <c r="G841" s="253">
        <v>3</v>
      </c>
      <c r="H841" s="253" t="s">
        <v>3129</v>
      </c>
      <c r="I841" s="254" t="str">
        <f>'Dry_Litterbag Placem_Collection'!C182</f>
        <v>Wet_W3_T4</v>
      </c>
      <c r="J841" s="263" t="s">
        <v>2932</v>
      </c>
      <c r="K841" s="264" t="s">
        <v>298</v>
      </c>
      <c r="L841" s="253" t="str">
        <f>IF(ISBLANK('Dry_Litterbag Placem_Collection'!M182),"","R"&amp;""&amp;'Dry_Litterbag Placem_Collection'!M182)</f>
        <v>R669</v>
      </c>
      <c r="M841" s="257">
        <f>IFERROR(INDEX('Green_rooibos initial weight'!$C$5:$C$2000,MATCH(L841, 'Green_rooibos initial weight'!$A$5:$A$2000,0)),"")</f>
        <v>2.1480000000000001</v>
      </c>
      <c r="N841" s="257">
        <f>IFERROR(M841-(TBIcalc!$Q$9+TBIcalc!$Q$10),"")</f>
        <v>1.8982000000000001</v>
      </c>
      <c r="O841" s="378">
        <f>AVERAGE(Ashed_controlls!$K$12:$K$14)</f>
        <v>2.2816647271287041</v>
      </c>
      <c r="P841" s="257">
        <f t="shared" si="66"/>
        <v>1.854889440149643</v>
      </c>
      <c r="Q841" s="257">
        <f>IFERROR(INDEX('Both teabags AfterDry'!$D$2:$D$2000,MATCH(L841,'Both teabags AfterDry'!$A$2:$A$2000,0)),"")</f>
        <v>1.6716</v>
      </c>
      <c r="R841" s="257">
        <f>IFERROR(IF(Q841&gt;0,Q841-(TBIcalc!$Q$9),""),"")</f>
        <v>1.5209999999999999</v>
      </c>
      <c r="S841" s="268">
        <f>IFERROR(INDEX('Ashed teabags dry'!$K$2:$K$2000,MATCH(L841,'Ashed teabags dry'!$A$2:$A$2000,0)),"")</f>
        <v>6.0721062618585453</v>
      </c>
      <c r="T841" s="268">
        <f t="shared" si="67"/>
        <v>1.4286432637571314</v>
      </c>
      <c r="U841" s="258">
        <f>IF('Dry_Litterbag Placem_Collection'!E182="","",'Dry_Litterbag Placem_Collection'!E182)</f>
        <v>42940</v>
      </c>
      <c r="V841" s="258">
        <f>IF('Dry_Litterbag Placem_Collection'!G182="","",'Dry_Litterbag Placem_Collection'!G182)</f>
        <v>43009</v>
      </c>
      <c r="W841" s="259">
        <f t="shared" si="65"/>
        <v>69</v>
      </c>
      <c r="X841" s="257">
        <f t="shared" si="68"/>
        <v>0.3772000000000002</v>
      </c>
      <c r="Y841" s="257">
        <f t="shared" si="69"/>
        <v>0.42624617639251161</v>
      </c>
      <c r="Z841" s="261">
        <f>IFERROR(INDEX([3]Rainfall_Dry!$O$2:$O$217,MATCH(C841, [3]Rainfall_Dry!$A$2:$A$217,0)),"")</f>
        <v>162.634207253</v>
      </c>
      <c r="AA841" s="250">
        <v>25.96</v>
      </c>
      <c r="AB841" s="250">
        <v>8.9200000000000017</v>
      </c>
      <c r="AC841" s="250">
        <v>65.12</v>
      </c>
      <c r="AD841" s="251" t="s">
        <v>2651</v>
      </c>
      <c r="AE841" s="250">
        <v>4.6145884672252304</v>
      </c>
      <c r="AF841">
        <f>IF('WetLitterbags placem_collection'!AB182="","",'WetLitterbags placem_collection'!AB182)</f>
        <v>8.3000000000000007</v>
      </c>
      <c r="AG841">
        <f>IF('WetLitterbags placem_collection'!Z182="","",'WetLitterbags placem_collection'!Z182)</f>
        <v>35</v>
      </c>
      <c r="AH841" s="236" t="str">
        <f>IF('WetLitterbags placem_collection'!AA182="","",'WetLitterbags placem_collection'!AA182)</f>
        <v>O</v>
      </c>
      <c r="AI841">
        <f>IF('WetLitterbags placem_collection'!AC182="","",'WetLitterbags placem_collection'!AC182)</f>
        <v>0</v>
      </c>
      <c r="AJ841">
        <f>IFERROR(AVERAGE('Dry_Litterbag Placem_Collection'!O182,'Dry_Litterbag Placem_Collection'!R182),"")</f>
        <v>5.3</v>
      </c>
      <c r="AK841" s="261">
        <f>IFERROR(AVERAGE('Dry_Litterbag Placem_Collection'!N182,'Dry_Litterbag Placem_Collection'!Q182),"")</f>
        <v>31</v>
      </c>
      <c r="AL841" s="260">
        <f>INDEX([2]Coordinates!$B$2:$B$197,MATCH(I841,[2]Coordinates!$J$2:$J$197,0))</f>
        <v>-2.2780199809999999</v>
      </c>
      <c r="AM841" s="260">
        <f>INDEX([2]Coordinates!$C$2:$C$197,MATCH(I841,[2]Coordinates!$J$2:$J$197,0))</f>
        <v>34.027705019999999</v>
      </c>
      <c r="AN841" s="260" t="str">
        <f>IF(ISNUMBER(SEARCH("C", 'Dry_Litterbag Placem_Collection'!V182)),"YES","NO")</f>
        <v>NO</v>
      </c>
      <c r="AO841" s="260" t="str">
        <f>IF(ISNUMBER(SEARCH("H", 'Dry_Litterbag Placem_Collection'!V182)),"YES","NO")</f>
        <v>NO</v>
      </c>
      <c r="AP841" s="260" t="str">
        <f>IF(ISNUMBER(SEARCH("R", 'Dry_Litterbag Placem_Collection'!V182)),"YES","NO")</f>
        <v>NO</v>
      </c>
    </row>
    <row r="842" spans="1:42" ht="15" customHeight="1">
      <c r="A842" t="s">
        <v>3248</v>
      </c>
      <c r="B842" s="252" t="s">
        <v>2643</v>
      </c>
      <c r="C842" s="253">
        <f>'Dry_Litterbag Placem_Collection'!A183</f>
        <v>181</v>
      </c>
      <c r="D842" s="253" t="str">
        <f>'Dry_Litterbag Placem_Collection'!B183</f>
        <v>Handajega</v>
      </c>
      <c r="E842" s="253" t="s">
        <v>2454</v>
      </c>
      <c r="F842" s="253" t="s">
        <v>2645</v>
      </c>
      <c r="G842" s="253">
        <v>3</v>
      </c>
      <c r="H842" s="253" t="s">
        <v>3129</v>
      </c>
      <c r="I842" s="254" t="str">
        <f>'Dry_Litterbag Placem_Collection'!C183</f>
        <v>Wet_W3_T5</v>
      </c>
      <c r="J842" s="263" t="s">
        <v>2932</v>
      </c>
      <c r="K842" s="264" t="s">
        <v>298</v>
      </c>
      <c r="L842" s="253" t="str">
        <f>IF(ISBLANK('Dry_Litterbag Placem_Collection'!M183),"","R"&amp;""&amp;'Dry_Litterbag Placem_Collection'!M183)</f>
        <v>R170</v>
      </c>
      <c r="M842" s="257">
        <f>IFERROR(INDEX('Green_rooibos initial weight'!$C$5:$C$2000,MATCH(L842, 'Green_rooibos initial weight'!$A$5:$A$2000,0)),"")</f>
        <v>2.1120000000000001</v>
      </c>
      <c r="N842" s="257">
        <f>IFERROR(M842-(TBIcalc!$Q$9+TBIcalc!$Q$10),"")</f>
        <v>1.8622000000000001</v>
      </c>
      <c r="O842" s="378">
        <f>AVERAGE(Ashed_controlls!$K$12:$K$14)</f>
        <v>2.2816647271287041</v>
      </c>
      <c r="P842" s="257">
        <f t="shared" si="66"/>
        <v>1.8197108394514094</v>
      </c>
      <c r="Q842" s="257">
        <f>IFERROR(INDEX('Both teabags AfterDry'!$D$2:$D$2000,MATCH(L842,'Both teabags AfterDry'!$A$2:$A$2000,0)),"")</f>
        <v>1.7410000000000001</v>
      </c>
      <c r="R842" s="257">
        <f>IFERROR(IF(Q842&gt;0,Q842-(TBIcalc!$Q$9),""),"")</f>
        <v>1.5904</v>
      </c>
      <c r="S842" s="268">
        <f>IFERROR(INDEX('Ashed teabags dry'!$K$2:$K$2000,MATCH(L842,'Ashed teabags dry'!$A$2:$A$2000,0)),"")</f>
        <v>7.9387186629519642</v>
      </c>
      <c r="T842" s="268">
        <f t="shared" si="67"/>
        <v>1.464142618384412</v>
      </c>
      <c r="U842" s="258">
        <f>IF('Dry_Litterbag Placem_Collection'!E183="","",'Dry_Litterbag Placem_Collection'!E183)</f>
        <v>42940</v>
      </c>
      <c r="V842" s="258">
        <f>IF('Dry_Litterbag Placem_Collection'!G183="","",'Dry_Litterbag Placem_Collection'!G183)</f>
        <v>43009</v>
      </c>
      <c r="W842" s="259">
        <f t="shared" si="65"/>
        <v>69</v>
      </c>
      <c r="X842" s="257">
        <f t="shared" si="68"/>
        <v>0.27180000000000004</v>
      </c>
      <c r="Y842" s="257">
        <f t="shared" si="69"/>
        <v>0.35556822106699748</v>
      </c>
      <c r="Z842" s="261">
        <f>IFERROR(INDEX([3]Rainfall_Dry!$O$2:$O$217,MATCH(C842, [3]Rainfall_Dry!$A$2:$A$217,0)),"")</f>
        <v>162.634207253</v>
      </c>
      <c r="AA842" s="250">
        <v>25.96</v>
      </c>
      <c r="AB842" s="250">
        <v>8.9200000000000017</v>
      </c>
      <c r="AC842" s="250">
        <v>65.12</v>
      </c>
      <c r="AD842" s="251" t="s">
        <v>2651</v>
      </c>
      <c r="AE842" s="250">
        <v>5.6145884672252304</v>
      </c>
      <c r="AF842">
        <f>IF('WetLitterbags placem_collection'!AB183="","",'WetLitterbags placem_collection'!AB183)</f>
        <v>11.4</v>
      </c>
      <c r="AG842">
        <f>IF('WetLitterbags placem_collection'!Z183="","",'WetLitterbags placem_collection'!Z183)</f>
        <v>15.8</v>
      </c>
      <c r="AH842" s="236" t="str">
        <f>IF('WetLitterbags placem_collection'!AA183="","",'WetLitterbags placem_collection'!AA183)</f>
        <v>O</v>
      </c>
      <c r="AI842">
        <f>IF('WetLitterbags placem_collection'!AC183="","",'WetLitterbags placem_collection'!AC183)</f>
        <v>1</v>
      </c>
      <c r="AJ842">
        <f>IFERROR(AVERAGE('Dry_Litterbag Placem_Collection'!O183,'Dry_Litterbag Placem_Collection'!R183),"")</f>
        <v>4.3000000000000007</v>
      </c>
      <c r="AK842" s="261">
        <f>IFERROR(AVERAGE('Dry_Litterbag Placem_Collection'!N183,'Dry_Litterbag Placem_Collection'!Q183),"")</f>
        <v>35.099999999999994</v>
      </c>
      <c r="AL842" s="260">
        <f>INDEX([2]Coordinates!$B$2:$B$197,MATCH(I842,[2]Coordinates!$J$2:$J$197,0))</f>
        <v>-2.2777329850000001</v>
      </c>
      <c r="AM842" s="260">
        <f>INDEX([2]Coordinates!$C$2:$C$197,MATCH(I842,[2]Coordinates!$J$2:$J$197,0))</f>
        <v>34.027422970000003</v>
      </c>
      <c r="AN842" s="260" t="str">
        <f>IF(ISNUMBER(SEARCH("C", 'Dry_Litterbag Placem_Collection'!V183)),"YES","NO")</f>
        <v>NO</v>
      </c>
      <c r="AO842" s="260" t="str">
        <f>IF(ISNUMBER(SEARCH("H", 'Dry_Litterbag Placem_Collection'!V183)),"YES","NO")</f>
        <v>NO</v>
      </c>
      <c r="AP842" s="260" t="str">
        <f>IF(ISNUMBER(SEARCH("R", 'Dry_Litterbag Placem_Collection'!V183)),"YES","NO")</f>
        <v>NO</v>
      </c>
    </row>
    <row r="843" spans="1:42" ht="15" customHeight="1">
      <c r="A843" t="s">
        <v>3248</v>
      </c>
      <c r="B843" s="252" t="s">
        <v>2643</v>
      </c>
      <c r="C843" s="253">
        <f>'Dry_Litterbag Placem_Collection'!A184</f>
        <v>182</v>
      </c>
      <c r="D843" s="253" t="str">
        <f>'Dry_Litterbag Placem_Collection'!B184</f>
        <v>Handajega</v>
      </c>
      <c r="E843" s="253" t="s">
        <v>2454</v>
      </c>
      <c r="F843" s="253" t="s">
        <v>2645</v>
      </c>
      <c r="G843" s="253">
        <v>3</v>
      </c>
      <c r="H843" s="253" t="s">
        <v>3129</v>
      </c>
      <c r="I843" s="254" t="str">
        <f>'Dry_Litterbag Placem_Collection'!C184</f>
        <v>Wet_W3_T6</v>
      </c>
      <c r="J843" s="263" t="s">
        <v>2932</v>
      </c>
      <c r="K843" s="264" t="s">
        <v>298</v>
      </c>
      <c r="L843" s="253" t="str">
        <f>IF(ISBLANK('Dry_Litterbag Placem_Collection'!M184),"","R"&amp;""&amp;'Dry_Litterbag Placem_Collection'!M184)</f>
        <v>R697</v>
      </c>
      <c r="M843" s="257">
        <f>IFERROR(INDEX('Green_rooibos initial weight'!$C$5:$C$2000,MATCH(L843, 'Green_rooibos initial weight'!$A$5:$A$2000,0)),"")</f>
        <v>2.133</v>
      </c>
      <c r="N843" s="257">
        <f>IFERROR(M843-(TBIcalc!$Q$9+TBIcalc!$Q$10),"")</f>
        <v>1.8832</v>
      </c>
      <c r="O843" s="378">
        <f>AVERAGE(Ashed_controlls!$K$12:$K$14)</f>
        <v>2.2816647271287041</v>
      </c>
      <c r="P843" s="257">
        <f t="shared" si="66"/>
        <v>1.8402316898587123</v>
      </c>
      <c r="Q843" s="257">
        <f>IFERROR(INDEX('Both teabags AfterDry'!$D$2:$D$2000,MATCH(L843,'Both teabags AfterDry'!$A$2:$A$2000,0)),"")</f>
        <v>1.8089</v>
      </c>
      <c r="R843" s="257">
        <f>IFERROR(IF(Q843&gt;0,Q843-(TBIcalc!$Q$9),""),"")</f>
        <v>1.6582999999999999</v>
      </c>
      <c r="S843" s="268">
        <f>IFERROR(INDEX('Ashed teabags dry'!$K$2:$K$2000,MATCH(L843,'Ashed teabags dry'!$A$2:$A$2000,0)),"")</f>
        <v>9.0456806874716023</v>
      </c>
      <c r="T843" s="268">
        <f t="shared" si="67"/>
        <v>1.5082954771596584</v>
      </c>
      <c r="U843" s="258">
        <f>IF('Dry_Litterbag Placem_Collection'!E184="","",'Dry_Litterbag Placem_Collection'!E184)</f>
        <v>42940</v>
      </c>
      <c r="V843" s="258">
        <f>IF('Dry_Litterbag Placem_Collection'!G184="","",'Dry_Litterbag Placem_Collection'!G184)</f>
        <v>43009</v>
      </c>
      <c r="W843" s="259">
        <f t="shared" si="65"/>
        <v>69</v>
      </c>
      <c r="X843" s="257">
        <f t="shared" si="68"/>
        <v>0.2249000000000001</v>
      </c>
      <c r="Y843" s="257">
        <f t="shared" si="69"/>
        <v>0.33193621269905393</v>
      </c>
      <c r="Z843" s="261">
        <f>IFERROR(INDEX([3]Rainfall_Dry!$O$2:$O$217,MATCH(C843, [3]Rainfall_Dry!$A$2:$A$217,0)),"")</f>
        <v>162.634207253</v>
      </c>
      <c r="AA843" s="250">
        <v>25.96</v>
      </c>
      <c r="AB843" s="250">
        <v>8.9200000000000017</v>
      </c>
      <c r="AC843" s="250">
        <v>65.12</v>
      </c>
      <c r="AD843" s="251" t="s">
        <v>2651</v>
      </c>
      <c r="AE843" s="250">
        <v>6.6145884672252304</v>
      </c>
      <c r="AF843">
        <f>IF('WetLitterbags placem_collection'!AB184="","",'WetLitterbags placem_collection'!AB184)</f>
        <v>8.8000000000000007</v>
      </c>
      <c r="AG843">
        <f>IF('WetLitterbags placem_collection'!Z184="","",'WetLitterbags placem_collection'!Z184)</f>
        <v>15.8</v>
      </c>
      <c r="AH843" s="236" t="str">
        <f>IF('WetLitterbags placem_collection'!AA184="","",'WetLitterbags placem_collection'!AA184)</f>
        <v>O</v>
      </c>
      <c r="AI843">
        <f>IF('WetLitterbags placem_collection'!AC184="","",'WetLitterbags placem_collection'!AC184)</f>
        <v>1</v>
      </c>
      <c r="AJ843">
        <f>IFERROR(AVERAGE('Dry_Litterbag Placem_Collection'!O184,'Dry_Litterbag Placem_Collection'!R184),"")</f>
        <v>6.55</v>
      </c>
      <c r="AK843" s="261">
        <f>IFERROR(AVERAGE('Dry_Litterbag Placem_Collection'!N184,'Dry_Litterbag Placem_Collection'!Q184),"")</f>
        <v>36.400000000000006</v>
      </c>
      <c r="AL843" s="260">
        <f>INDEX([2]Coordinates!$B$2:$B$197,MATCH(I843,[2]Coordinates!$J$2:$J$197,0))</f>
        <v>-2.2777009659999998</v>
      </c>
      <c r="AM843" s="260">
        <f>INDEX([2]Coordinates!$C$2:$C$197,MATCH(I843,[2]Coordinates!$J$2:$J$197,0))</f>
        <v>34.027393969999999</v>
      </c>
      <c r="AN843" s="260" t="str">
        <f>IF(ISNUMBER(SEARCH("C", 'Dry_Litterbag Placem_Collection'!V184)),"YES","NO")</f>
        <v>NO</v>
      </c>
      <c r="AO843" s="260" t="str">
        <f>IF(ISNUMBER(SEARCH("H", 'Dry_Litterbag Placem_Collection'!V184)),"YES","NO")</f>
        <v>NO</v>
      </c>
      <c r="AP843" s="260" t="str">
        <f>IF(ISNUMBER(SEARCH("R", 'Dry_Litterbag Placem_Collection'!V184)),"YES","NO")</f>
        <v>NO</v>
      </c>
    </row>
    <row r="844" spans="1:42" ht="15" customHeight="1">
      <c r="A844" t="s">
        <v>3248</v>
      </c>
      <c r="B844" s="252" t="s">
        <v>2643</v>
      </c>
      <c r="C844" s="253">
        <f>'Dry_Litterbag Placem_Collection'!A185</f>
        <v>183</v>
      </c>
      <c r="D844" s="253" t="str">
        <f>'Dry_Litterbag Placem_Collection'!B185</f>
        <v>Handajega</v>
      </c>
      <c r="E844" s="253" t="s">
        <v>2454</v>
      </c>
      <c r="F844" s="253" t="s">
        <v>2645</v>
      </c>
      <c r="G844" s="253">
        <v>3</v>
      </c>
      <c r="H844" s="253" t="s">
        <v>3129</v>
      </c>
      <c r="I844" s="254" t="str">
        <f>'Dry_Litterbag Placem_Collection'!C185</f>
        <v>Wet_W3_T7</v>
      </c>
      <c r="J844" s="263" t="s">
        <v>2932</v>
      </c>
      <c r="K844" s="264" t="s">
        <v>298</v>
      </c>
      <c r="L844" s="253" t="str">
        <f>IF(ISBLANK('Dry_Litterbag Placem_Collection'!M185),"","R"&amp;""&amp;'Dry_Litterbag Placem_Collection'!M185)</f>
        <v/>
      </c>
      <c r="M844" s="257" t="str">
        <f>IFERROR(INDEX('Green_rooibos initial weight'!$C$5:$C$2000,MATCH(L844, 'Green_rooibos initial weight'!$A$5:$A$2000,0)),"")</f>
        <v/>
      </c>
      <c r="N844" s="257" t="str">
        <f>IFERROR(M844-(TBIcalc!$Q$9+TBIcalc!$Q$10),"")</f>
        <v/>
      </c>
      <c r="O844" s="378">
        <f>AVERAGE(Ashed_controlls!$K$12:$K$14)</f>
        <v>2.2816647271287041</v>
      </c>
      <c r="P844" s="257" t="str">
        <f t="shared" si="66"/>
        <v/>
      </c>
      <c r="Q844" s="257" t="str">
        <f>IFERROR(INDEX('Both teabags AfterDry'!$D$2:$D$2000,MATCH(L844,'Both teabags AfterDry'!$A$2:$A$2000,0)),"")</f>
        <v/>
      </c>
      <c r="R844" s="257" t="str">
        <f>IFERROR(IF(Q844&gt;0,Q844-(TBIcalc!$Q$9),""),"")</f>
        <v/>
      </c>
      <c r="S844" s="268" t="str">
        <f>IFERROR(INDEX('Ashed teabags dry'!$K$2:$K$2000,MATCH(L844,'Ashed teabags dry'!$A$2:$A$2000,0)),"")</f>
        <v/>
      </c>
      <c r="T844" s="268" t="str">
        <f t="shared" si="67"/>
        <v/>
      </c>
      <c r="U844" s="258" t="str">
        <f>IF('Dry_Litterbag Placem_Collection'!E185="","",'Dry_Litterbag Placem_Collection'!E185)</f>
        <v/>
      </c>
      <c r="V844" s="258" t="str">
        <f>IF('Dry_Litterbag Placem_Collection'!G185="","",'Dry_Litterbag Placem_Collection'!G185)</f>
        <v/>
      </c>
      <c r="W844" s="259" t="str">
        <f t="shared" si="65"/>
        <v/>
      </c>
      <c r="X844" s="257" t="str">
        <f t="shared" si="68"/>
        <v/>
      </c>
      <c r="Y844" s="257" t="str">
        <f t="shared" si="69"/>
        <v/>
      </c>
      <c r="Z844" s="261" t="str">
        <f>IFERROR(INDEX([3]Rainfall_Dry!$O$2:$O$217,MATCH(C844, [3]Rainfall_Dry!$A$2:$A$217,0)),"")</f>
        <v/>
      </c>
      <c r="AA844" s="250">
        <v>25.96</v>
      </c>
      <c r="AB844" s="250">
        <v>8.9200000000000017</v>
      </c>
      <c r="AC844" s="250">
        <v>65.12</v>
      </c>
      <c r="AD844" s="251" t="s">
        <v>2651</v>
      </c>
      <c r="AE844" s="250">
        <v>7.6145884672252304</v>
      </c>
      <c r="AF844">
        <f>IF('WetLitterbags placem_collection'!AB185="","",'WetLitterbags placem_collection'!AB185)</f>
        <v>11.4</v>
      </c>
      <c r="AG844">
        <f>IF('WetLitterbags placem_collection'!Z185="","",'WetLitterbags placem_collection'!Z185)</f>
        <v>35.799999999999997</v>
      </c>
      <c r="AH844" s="236" t="str">
        <f>IF('WetLitterbags placem_collection'!AA185="","",'WetLitterbags placem_collection'!AA185)</f>
        <v>G</v>
      </c>
      <c r="AI844">
        <f>IF('WetLitterbags placem_collection'!AC185="","",'WetLitterbags placem_collection'!AC185)</f>
        <v>1</v>
      </c>
      <c r="AJ844" t="str">
        <f>IFERROR(AVERAGE('Dry_Litterbag Placem_Collection'!O185,'Dry_Litterbag Placem_Collection'!R185),"")</f>
        <v/>
      </c>
      <c r="AK844" s="261" t="str">
        <f>IFERROR(AVERAGE('Dry_Litterbag Placem_Collection'!N185,'Dry_Litterbag Placem_Collection'!Q185),"")</f>
        <v/>
      </c>
      <c r="AL844" s="260">
        <f>INDEX([2]Coordinates!$B$2:$B$197,MATCH(I844,[2]Coordinates!$J$2:$J$197,0))</f>
        <v>-2.2777790019999999</v>
      </c>
      <c r="AM844" s="260">
        <f>INDEX([2]Coordinates!$C$2:$C$197,MATCH(I844,[2]Coordinates!$J$2:$J$197,0))</f>
        <v>34.028066029999998</v>
      </c>
      <c r="AN844" s="260" t="str">
        <f>IF(ISNUMBER(SEARCH("C", 'Dry_Litterbag Placem_Collection'!V185)),"YES","NO")</f>
        <v>NO</v>
      </c>
      <c r="AO844" s="260" t="str">
        <f>IF(ISNUMBER(SEARCH("H", 'Dry_Litterbag Placem_Collection'!V185)),"YES","NO")</f>
        <v>NO</v>
      </c>
      <c r="AP844" s="260" t="str">
        <f>IF(ISNUMBER(SEARCH("R", 'Dry_Litterbag Placem_Collection'!V185)),"YES","NO")</f>
        <v>NO</v>
      </c>
    </row>
    <row r="845" spans="1:42" ht="15" customHeight="1">
      <c r="A845" t="s">
        <v>3248</v>
      </c>
      <c r="B845" s="252" t="s">
        <v>2643</v>
      </c>
      <c r="C845" s="253">
        <f>'Dry_Litterbag Placem_Collection'!A186</f>
        <v>184</v>
      </c>
      <c r="D845" s="253" t="str">
        <f>'Dry_Litterbag Placem_Collection'!B186</f>
        <v>Handajega</v>
      </c>
      <c r="E845" s="253" t="s">
        <v>2454</v>
      </c>
      <c r="F845" s="253" t="s">
        <v>2645</v>
      </c>
      <c r="G845" s="253">
        <v>3</v>
      </c>
      <c r="H845" s="253" t="s">
        <v>3129</v>
      </c>
      <c r="I845" s="254" t="str">
        <f>'Dry_Litterbag Placem_Collection'!C186</f>
        <v>Wet_W3_T8</v>
      </c>
      <c r="J845" s="263" t="s">
        <v>2932</v>
      </c>
      <c r="K845" s="264" t="s">
        <v>298</v>
      </c>
      <c r="L845" s="253" t="str">
        <f>IF(ISBLANK('Dry_Litterbag Placem_Collection'!M186),"","R"&amp;""&amp;'Dry_Litterbag Placem_Collection'!M186)</f>
        <v>R674</v>
      </c>
      <c r="M845" s="257">
        <f>IFERROR(INDEX('Green_rooibos initial weight'!$C$5:$C$2000,MATCH(L845, 'Green_rooibos initial weight'!$A$5:$A$2000,0)),"")</f>
        <v>2.1629999999999998</v>
      </c>
      <c r="N845" s="257">
        <f>IFERROR(M845-(TBIcalc!$Q$9+TBIcalc!$Q$10),"")</f>
        <v>1.9131999999999998</v>
      </c>
      <c r="O845" s="378">
        <f>AVERAGE(Ashed_controlls!$K$12:$K$14)</f>
        <v>2.2816647271287041</v>
      </c>
      <c r="P845" s="257">
        <f t="shared" si="66"/>
        <v>1.8695471904405734</v>
      </c>
      <c r="Q845" s="257">
        <f>IFERROR(INDEX('Both teabags AfterDry'!$D$2:$D$2000,MATCH(L845,'Both teabags AfterDry'!$A$2:$A$2000,0)),"")</f>
        <v>1.6498999999999999</v>
      </c>
      <c r="R845" s="257">
        <f>IFERROR(IF(Q845&gt;0,Q845-(TBIcalc!$Q$9),""),"")</f>
        <v>1.4992999999999999</v>
      </c>
      <c r="S845" s="268">
        <f>IFERROR(INDEX('Ashed teabags dry'!$K$2:$K$2000,MATCH(L845,'Ashed teabags dry'!$A$2:$A$2000,0)),"")</f>
        <v>8.2802547770705939</v>
      </c>
      <c r="T845" s="268">
        <f t="shared" si="67"/>
        <v>1.3751541401273806</v>
      </c>
      <c r="U845" s="258">
        <f>IF('Dry_Litterbag Placem_Collection'!E186="","",'Dry_Litterbag Placem_Collection'!E186)</f>
        <v>42940</v>
      </c>
      <c r="V845" s="258">
        <f>IF('Dry_Litterbag Placem_Collection'!G186="","",'Dry_Litterbag Placem_Collection'!G186)</f>
        <v>43009</v>
      </c>
      <c r="W845" s="259">
        <f t="shared" si="65"/>
        <v>69</v>
      </c>
      <c r="X845" s="257">
        <f t="shared" si="68"/>
        <v>0.41389999999999993</v>
      </c>
      <c r="Y845" s="257">
        <f t="shared" si="69"/>
        <v>0.49439305031319281</v>
      </c>
      <c r="Z845" s="261">
        <f>IFERROR(INDEX([3]Rainfall_Dry!$O$2:$O$217,MATCH(C845, [3]Rainfall_Dry!$A$2:$A$217,0)),"")</f>
        <v>162.634207253</v>
      </c>
      <c r="AA845" s="250">
        <v>25.96</v>
      </c>
      <c r="AB845" s="250">
        <v>8.9200000000000017</v>
      </c>
      <c r="AC845" s="250">
        <v>65.12</v>
      </c>
      <c r="AD845" s="251" t="s">
        <v>2651</v>
      </c>
      <c r="AE845" s="250">
        <v>8.6145884672252304</v>
      </c>
      <c r="AF845">
        <f>IF('WetLitterbags placem_collection'!AB186="","",'WetLitterbags placem_collection'!AB186)</f>
        <v>3.7</v>
      </c>
      <c r="AG845">
        <f>IF('WetLitterbags placem_collection'!Z186="","",'WetLitterbags placem_collection'!Z186)</f>
        <v>16.399999999999999</v>
      </c>
      <c r="AH845" s="236" t="str">
        <f>IF('WetLitterbags placem_collection'!AA186="","",'WetLitterbags placem_collection'!AA186)</f>
        <v>O</v>
      </c>
      <c r="AI845">
        <f>IF('WetLitterbags placem_collection'!AC186="","",'WetLitterbags placem_collection'!AC186)</f>
        <v>0</v>
      </c>
      <c r="AJ845">
        <f>IFERROR(AVERAGE('Dry_Litterbag Placem_Collection'!O186,'Dry_Litterbag Placem_Collection'!R186),"")</f>
        <v>4.3</v>
      </c>
      <c r="AK845" s="261">
        <f>IFERROR(AVERAGE('Dry_Litterbag Placem_Collection'!N186,'Dry_Litterbag Placem_Collection'!Q186),"")</f>
        <v>28.05</v>
      </c>
      <c r="AL845" s="260">
        <f>INDEX([2]Coordinates!$B$2:$B$197,MATCH(I845,[2]Coordinates!$J$2:$J$197,0))</f>
        <v>-2.2775169829999999</v>
      </c>
      <c r="AM845" s="260">
        <f>INDEX([2]Coordinates!$C$2:$C$197,MATCH(I845,[2]Coordinates!$J$2:$J$197,0))</f>
        <v>34.027766970000002</v>
      </c>
      <c r="AN845" s="260" t="str">
        <f>IF(ISNUMBER(SEARCH("C", 'Dry_Litterbag Placem_Collection'!V186)),"YES","NO")</f>
        <v>NO</v>
      </c>
      <c r="AO845" s="260" t="str">
        <f>IF(ISNUMBER(SEARCH("H", 'Dry_Litterbag Placem_Collection'!V186)),"YES","NO")</f>
        <v>NO</v>
      </c>
      <c r="AP845" s="260" t="str">
        <f>IF(ISNUMBER(SEARCH("R", 'Dry_Litterbag Placem_Collection'!V186)),"YES","NO")</f>
        <v>NO</v>
      </c>
    </row>
    <row r="846" spans="1:42" ht="15" customHeight="1">
      <c r="A846" t="s">
        <v>3248</v>
      </c>
      <c r="B846" s="252" t="s">
        <v>2643</v>
      </c>
      <c r="C846" s="253">
        <f>'Dry_Litterbag Placem_Collection'!A187</f>
        <v>185</v>
      </c>
      <c r="D846" s="253" t="str">
        <f>'Dry_Litterbag Placem_Collection'!B187</f>
        <v>Handajega</v>
      </c>
      <c r="E846" s="253" t="s">
        <v>2454</v>
      </c>
      <c r="F846" s="253" t="s">
        <v>2645</v>
      </c>
      <c r="G846" s="253">
        <v>4</v>
      </c>
      <c r="H846" s="253" t="s">
        <v>3130</v>
      </c>
      <c r="I846" s="254" t="str">
        <f>'Dry_Litterbag Placem_Collection'!C187</f>
        <v>Wet_W4_T1</v>
      </c>
      <c r="J846" s="263" t="s">
        <v>2932</v>
      </c>
      <c r="K846" s="264" t="s">
        <v>298</v>
      </c>
      <c r="L846" s="253" t="str">
        <f>IF(ISBLANK('Dry_Litterbag Placem_Collection'!M187),"","R"&amp;""&amp;'Dry_Litterbag Placem_Collection'!M187)</f>
        <v>R607</v>
      </c>
      <c r="M846" s="257">
        <f>IFERROR(INDEX('Green_rooibos initial weight'!$C$5:$C$2000,MATCH(L846, 'Green_rooibos initial weight'!$A$5:$A$2000,0)),"")</f>
        <v>2.14</v>
      </c>
      <c r="N846" s="257">
        <f>IFERROR(M846-(TBIcalc!$Q$9+TBIcalc!$Q$10),"")</f>
        <v>1.8902000000000001</v>
      </c>
      <c r="O846" s="378">
        <f>AVERAGE(Ashed_controlls!$K$12:$K$14)</f>
        <v>2.2816647271287041</v>
      </c>
      <c r="P846" s="257">
        <f t="shared" si="66"/>
        <v>1.8470719733278134</v>
      </c>
      <c r="Q846" s="257" t="str">
        <f>IFERROR(INDEX('Both teabags AfterDry'!$D$2:$D$2000,MATCH(L846,'Both teabags AfterDry'!$A$2:$A$2000,0)),"")</f>
        <v/>
      </c>
      <c r="R846" s="257" t="str">
        <f>IFERROR(IF(Q846&gt;0,Q846-(TBIcalc!$Q$9),""),"")</f>
        <v/>
      </c>
      <c r="S846" s="268" t="str">
        <f>IFERROR(INDEX('Ashed teabags dry'!$K$2:$K$2000,MATCH(L846,'Ashed teabags dry'!$A$2:$A$2000,0)),"")</f>
        <v/>
      </c>
      <c r="T846" s="268" t="str">
        <f t="shared" si="67"/>
        <v/>
      </c>
      <c r="U846" s="258">
        <f>IF('Dry_Litterbag Placem_Collection'!E187="","",'Dry_Litterbag Placem_Collection'!E187)</f>
        <v>42940</v>
      </c>
      <c r="V846" s="258">
        <f>IF('Dry_Litterbag Placem_Collection'!G187="","",'Dry_Litterbag Placem_Collection'!G187)</f>
        <v>43009</v>
      </c>
      <c r="W846" s="259">
        <f t="shared" si="65"/>
        <v>69</v>
      </c>
      <c r="X846" s="257" t="str">
        <f t="shared" si="68"/>
        <v/>
      </c>
      <c r="Y846" s="257" t="str">
        <f t="shared" si="69"/>
        <v/>
      </c>
      <c r="Z846" s="261">
        <f>IFERROR(INDEX([3]Rainfall_Dry!$O$2:$O$217,MATCH(C846, [3]Rainfall_Dry!$A$2:$A$217,0)),"")</f>
        <v>162.634207253</v>
      </c>
      <c r="AA846" s="250">
        <v>25.96</v>
      </c>
      <c r="AB846" s="250">
        <v>8.9200000000000017</v>
      </c>
      <c r="AC846" s="250">
        <v>65.12</v>
      </c>
      <c r="AD846" s="251" t="s">
        <v>2651</v>
      </c>
      <c r="AE846" s="250">
        <v>1.6991621488417901</v>
      </c>
      <c r="AF846">
        <f>IF('WetLitterbags placem_collection'!AB187="","",'WetLitterbags placem_collection'!AB187)</f>
        <v>9.8000000000000007</v>
      </c>
      <c r="AG846">
        <f>IF('WetLitterbags placem_collection'!Z187="","",'WetLitterbags placem_collection'!Z187)</f>
        <v>29.4</v>
      </c>
      <c r="AH846" s="236" t="str">
        <f>IF('WetLitterbags placem_collection'!AA187="","",'WetLitterbags placem_collection'!AA187)</f>
        <v>O</v>
      </c>
      <c r="AI846">
        <f>IF('WetLitterbags placem_collection'!AC187="","",'WetLitterbags placem_collection'!AC187)</f>
        <v>0</v>
      </c>
      <c r="AJ846">
        <f>IFERROR(AVERAGE('Dry_Litterbag Placem_Collection'!O187,'Dry_Litterbag Placem_Collection'!R187),"")</f>
        <v>4.9000000000000004</v>
      </c>
      <c r="AK846" s="261">
        <f>IFERROR(AVERAGE('Dry_Litterbag Placem_Collection'!N187,'Dry_Litterbag Placem_Collection'!Q187),"")</f>
        <v>35</v>
      </c>
      <c r="AL846" s="260">
        <f>INDEX([2]Coordinates!$B$2:$B$197,MATCH(I846,[2]Coordinates!$J$2:$J$197,0))</f>
        <v>-2.2787330300000002</v>
      </c>
      <c r="AM846" s="260">
        <f>INDEX([2]Coordinates!$C$2:$C$197,MATCH(I846,[2]Coordinates!$J$2:$J$197,0))</f>
        <v>34.032136029999997</v>
      </c>
      <c r="AN846" s="260" t="str">
        <f>IF(ISNUMBER(SEARCH("C", 'Dry_Litterbag Placem_Collection'!V187)),"YES","NO")</f>
        <v>NO</v>
      </c>
      <c r="AO846" s="260" t="str">
        <f>IF(ISNUMBER(SEARCH("H", 'Dry_Litterbag Placem_Collection'!V187)),"YES","NO")</f>
        <v>NO</v>
      </c>
      <c r="AP846" s="260" t="str">
        <f>IF(ISNUMBER(SEARCH("R", 'Dry_Litterbag Placem_Collection'!V187)),"YES","NO")</f>
        <v>NO</v>
      </c>
    </row>
    <row r="847" spans="1:42" ht="15" customHeight="1">
      <c r="A847" t="s">
        <v>3248</v>
      </c>
      <c r="B847" s="252" t="s">
        <v>2643</v>
      </c>
      <c r="C847" s="253">
        <f>'Dry_Litterbag Placem_Collection'!A188</f>
        <v>186</v>
      </c>
      <c r="D847" s="253" t="str">
        <f>'Dry_Litterbag Placem_Collection'!B188</f>
        <v>Handajega</v>
      </c>
      <c r="E847" s="253" t="s">
        <v>2454</v>
      </c>
      <c r="F847" s="253" t="s">
        <v>2645</v>
      </c>
      <c r="G847" s="253">
        <v>4</v>
      </c>
      <c r="H847" s="253" t="s">
        <v>3130</v>
      </c>
      <c r="I847" s="254" t="str">
        <f>'Dry_Litterbag Placem_Collection'!C188</f>
        <v>Wet_W4_T2</v>
      </c>
      <c r="J847" s="263" t="s">
        <v>2932</v>
      </c>
      <c r="K847" s="264" t="s">
        <v>298</v>
      </c>
      <c r="L847" s="253" t="str">
        <f>IF(ISBLANK('Dry_Litterbag Placem_Collection'!M188),"","R"&amp;""&amp;'Dry_Litterbag Placem_Collection'!M188)</f>
        <v>R629</v>
      </c>
      <c r="M847" s="257">
        <f>IFERROR(INDEX('Green_rooibos initial weight'!$C$5:$C$2000,MATCH(L847, 'Green_rooibos initial weight'!$A$5:$A$2000,0)),"")</f>
        <v>2.1669999999999998</v>
      </c>
      <c r="N847" s="257">
        <f>IFERROR(M847-(TBIcalc!$Q$9+TBIcalc!$Q$10),"")</f>
        <v>1.9171999999999998</v>
      </c>
      <c r="O847" s="378">
        <f>AVERAGE(Ashed_controlls!$K$12:$K$14)</f>
        <v>2.2816647271287041</v>
      </c>
      <c r="P847" s="257">
        <f t="shared" si="66"/>
        <v>1.8734559238514883</v>
      </c>
      <c r="Q847" s="257">
        <f>IFERROR(INDEX('Both teabags AfterDry'!$D$2:$D$2000,MATCH(L847,'Both teabags AfterDry'!$A$2:$A$2000,0)),"")</f>
        <v>1.8498000000000001</v>
      </c>
      <c r="R847" s="257">
        <f>IFERROR(IF(Q847&gt;0,Q847-(TBIcalc!$Q$9),""),"")</f>
        <v>1.6992</v>
      </c>
      <c r="S847" s="268">
        <f>IFERROR(INDEX('Ashed teabags dry'!$K$2:$K$2000,MATCH(L847,'Ashed teabags dry'!$A$2:$A$2000,0)),"")</f>
        <v>8.1542968749998188</v>
      </c>
      <c r="T847" s="268">
        <f t="shared" si="67"/>
        <v>1.5606421875000032</v>
      </c>
      <c r="U847" s="258">
        <f>IF('Dry_Litterbag Placem_Collection'!E188="","",'Dry_Litterbag Placem_Collection'!E188)</f>
        <v>42940</v>
      </c>
      <c r="V847" s="258">
        <f>IF('Dry_Litterbag Placem_Collection'!G188="","",'Dry_Litterbag Placem_Collection'!G188)</f>
        <v>43009</v>
      </c>
      <c r="W847" s="259">
        <f t="shared" si="65"/>
        <v>69</v>
      </c>
      <c r="X847" s="257">
        <f t="shared" si="68"/>
        <v>0.21799999999999975</v>
      </c>
      <c r="Y847" s="257">
        <f t="shared" si="69"/>
        <v>0.31281373635148513</v>
      </c>
      <c r="Z847" s="261">
        <f>IFERROR(INDEX([3]Rainfall_Dry!$O$2:$O$217,MATCH(C847, [3]Rainfall_Dry!$A$2:$A$217,0)),"")</f>
        <v>162.634207253</v>
      </c>
      <c r="AA847" s="250">
        <v>25.96</v>
      </c>
      <c r="AB847" s="250">
        <v>8.9200000000000017</v>
      </c>
      <c r="AC847" s="250">
        <v>65.12</v>
      </c>
      <c r="AD847" s="251" t="s">
        <v>2651</v>
      </c>
      <c r="AE847" s="250">
        <v>2.6991621488417898</v>
      </c>
      <c r="AF847">
        <f>IF('WetLitterbags placem_collection'!AB188="","",'WetLitterbags placem_collection'!AB188)</f>
        <v>11.4</v>
      </c>
      <c r="AG847">
        <f>IF('WetLitterbags placem_collection'!Z188="","",'WetLitterbags placem_collection'!Z188)</f>
        <v>45.4</v>
      </c>
      <c r="AH847" s="236" t="str">
        <f>IF('WetLitterbags placem_collection'!AA188="","",'WetLitterbags placem_collection'!AA188)</f>
        <v>O</v>
      </c>
      <c r="AI847">
        <f>IF('WetLitterbags placem_collection'!AC188="","",'WetLitterbags placem_collection'!AC188)</f>
        <v>0</v>
      </c>
      <c r="AJ847">
        <f>IFERROR(AVERAGE('Dry_Litterbag Placem_Collection'!O188,'Dry_Litterbag Placem_Collection'!R188),"")</f>
        <v>7.55</v>
      </c>
      <c r="AK847" s="261">
        <f>IFERROR(AVERAGE('Dry_Litterbag Placem_Collection'!N188,'Dry_Litterbag Placem_Collection'!Q188),"")</f>
        <v>35.299999999999997</v>
      </c>
      <c r="AL847" s="260">
        <f>INDEX([2]Coordinates!$B$2:$B$197,MATCH(I847,[2]Coordinates!$J$2:$J$197,0))</f>
        <v>-2.278763037</v>
      </c>
      <c r="AM847" s="260">
        <f>INDEX([2]Coordinates!$C$2:$C$197,MATCH(I847,[2]Coordinates!$J$2:$J$197,0))</f>
        <v>34.031974009999999</v>
      </c>
      <c r="AN847" s="260" t="str">
        <f>IF(ISNUMBER(SEARCH("C", 'Dry_Litterbag Placem_Collection'!V188)),"YES","NO")</f>
        <v>NO</v>
      </c>
      <c r="AO847" s="260" t="str">
        <f>IF(ISNUMBER(SEARCH("H", 'Dry_Litterbag Placem_Collection'!V188)),"YES","NO")</f>
        <v>NO</v>
      </c>
      <c r="AP847" s="260" t="str">
        <f>IF(ISNUMBER(SEARCH("R", 'Dry_Litterbag Placem_Collection'!V188)),"YES","NO")</f>
        <v>NO</v>
      </c>
    </row>
    <row r="848" spans="1:42" ht="15" customHeight="1">
      <c r="A848" t="s">
        <v>3248</v>
      </c>
      <c r="B848" s="252" t="s">
        <v>2643</v>
      </c>
      <c r="C848" s="253">
        <f>'Dry_Litterbag Placem_Collection'!A189</f>
        <v>187</v>
      </c>
      <c r="D848" s="253" t="str">
        <f>'Dry_Litterbag Placem_Collection'!B189</f>
        <v>Handajega</v>
      </c>
      <c r="E848" s="253" t="s">
        <v>2454</v>
      </c>
      <c r="F848" s="253" t="s">
        <v>2645</v>
      </c>
      <c r="G848" s="253">
        <v>4</v>
      </c>
      <c r="H848" s="253" t="s">
        <v>3130</v>
      </c>
      <c r="I848" s="254" t="str">
        <f>'Dry_Litterbag Placem_Collection'!C189</f>
        <v>Wet_W4_T3</v>
      </c>
      <c r="J848" s="263" t="s">
        <v>2932</v>
      </c>
      <c r="K848" s="264" t="s">
        <v>298</v>
      </c>
      <c r="L848" s="253" t="str">
        <f>IF(ISBLANK('Dry_Litterbag Placem_Collection'!M189),"","R"&amp;""&amp;'Dry_Litterbag Placem_Collection'!M189)</f>
        <v>R679</v>
      </c>
      <c r="M848" s="257">
        <f>IFERROR(INDEX('Green_rooibos initial weight'!$C$5:$C$2000,MATCH(L848, 'Green_rooibos initial weight'!$A$5:$A$2000,0)),"")</f>
        <v>2.149</v>
      </c>
      <c r="N848" s="257">
        <f>IFERROR(M848-(TBIcalc!$Q$9+TBIcalc!$Q$10),"")</f>
        <v>1.8992</v>
      </c>
      <c r="O848" s="378">
        <f>AVERAGE(Ashed_controlls!$K$12:$K$14)</f>
        <v>2.2816647271287041</v>
      </c>
      <c r="P848" s="257">
        <f t="shared" si="66"/>
        <v>1.8558666235023717</v>
      </c>
      <c r="Q848" s="257">
        <f>IFERROR(INDEX('Both teabags AfterDry'!$D$2:$D$2000,MATCH(L848,'Both teabags AfterDry'!$A$2:$A$2000,0)),"")</f>
        <v>1.7021999999999999</v>
      </c>
      <c r="R848" s="257">
        <f>IFERROR(IF(Q848&gt;0,Q848-(TBIcalc!$Q$9),""),"")</f>
        <v>1.5515999999999999</v>
      </c>
      <c r="S848" s="268">
        <f>IFERROR(INDEX('Ashed teabags dry'!$K$2:$K$2000,MATCH(L848,'Ashed teabags dry'!$A$2:$A$2000,0)),"")</f>
        <v>11.726867887184616</v>
      </c>
      <c r="T848" s="268">
        <f t="shared" si="67"/>
        <v>1.3696459178624434</v>
      </c>
      <c r="U848" s="258">
        <f>IF('Dry_Litterbag Placem_Collection'!E189="","",'Dry_Litterbag Placem_Collection'!E189)</f>
        <v>42940</v>
      </c>
      <c r="V848" s="258">
        <f>IF('Dry_Litterbag Placem_Collection'!G189="","",'Dry_Litterbag Placem_Collection'!G189)</f>
        <v>43009</v>
      </c>
      <c r="W848" s="259">
        <f t="shared" si="65"/>
        <v>69</v>
      </c>
      <c r="X848" s="257">
        <f t="shared" si="68"/>
        <v>0.34760000000000013</v>
      </c>
      <c r="Y848" s="257">
        <f t="shared" si="69"/>
        <v>0.48622070563992836</v>
      </c>
      <c r="Z848" s="261">
        <f>IFERROR(INDEX([3]Rainfall_Dry!$O$2:$O$217,MATCH(C848, [3]Rainfall_Dry!$A$2:$A$217,0)),"")</f>
        <v>162.634207253</v>
      </c>
      <c r="AA848" s="250">
        <v>25.96</v>
      </c>
      <c r="AB848" s="250">
        <v>8.9200000000000017</v>
      </c>
      <c r="AC848" s="250">
        <v>65.12</v>
      </c>
      <c r="AD848" s="251" t="s">
        <v>2651</v>
      </c>
      <c r="AE848" s="250">
        <v>3.6991621488417898</v>
      </c>
      <c r="AF848">
        <f>IF('WetLitterbags placem_collection'!AB189="","",'WetLitterbags placem_collection'!AB189)</f>
        <v>0.6</v>
      </c>
      <c r="AG848">
        <f>IF('WetLitterbags placem_collection'!Z189="","",'WetLitterbags placem_collection'!Z189)</f>
        <v>39.4</v>
      </c>
      <c r="AH848" s="236" t="str">
        <f>IF('WetLitterbags placem_collection'!AA189="","",'WetLitterbags placem_collection'!AA189)</f>
        <v>O</v>
      </c>
      <c r="AI848">
        <f>IF('WetLitterbags placem_collection'!AC189="","",'WetLitterbags placem_collection'!AC189)</f>
        <v>1</v>
      </c>
      <c r="AJ848">
        <f>IFERROR(AVERAGE('Dry_Litterbag Placem_Collection'!O189,'Dry_Litterbag Placem_Collection'!R189),"")</f>
        <v>5.05</v>
      </c>
      <c r="AK848" s="261">
        <f>IFERROR(AVERAGE('Dry_Litterbag Placem_Collection'!N189,'Dry_Litterbag Placem_Collection'!Q189),"")</f>
        <v>35.150000000000006</v>
      </c>
      <c r="AL848" s="260">
        <f>INDEX([2]Coordinates!$B$2:$B$197,MATCH(I848,[2]Coordinates!$J$2:$J$197,0))</f>
        <v>-2.2785890289999999</v>
      </c>
      <c r="AM848" s="260">
        <f>INDEX([2]Coordinates!$C$2:$C$197,MATCH(I848,[2]Coordinates!$J$2:$J$197,0))</f>
        <v>34.031841999999997</v>
      </c>
      <c r="AN848" s="260" t="str">
        <f>IF(ISNUMBER(SEARCH("C", 'Dry_Litterbag Placem_Collection'!V189)),"YES","NO")</f>
        <v>NO</v>
      </c>
      <c r="AO848" s="260" t="str">
        <f>IF(ISNUMBER(SEARCH("H", 'Dry_Litterbag Placem_Collection'!V189)),"YES","NO")</f>
        <v>NO</v>
      </c>
      <c r="AP848" s="260" t="str">
        <f>IF(ISNUMBER(SEARCH("R", 'Dry_Litterbag Placem_Collection'!V189)),"YES","NO")</f>
        <v>NO</v>
      </c>
    </row>
    <row r="849" spans="1:42" ht="15" customHeight="1">
      <c r="A849" t="s">
        <v>3248</v>
      </c>
      <c r="B849" s="252" t="s">
        <v>2643</v>
      </c>
      <c r="C849" s="253">
        <f>'Dry_Litterbag Placem_Collection'!A190</f>
        <v>188</v>
      </c>
      <c r="D849" s="253" t="str">
        <f>'Dry_Litterbag Placem_Collection'!B190</f>
        <v>Handajega</v>
      </c>
      <c r="E849" s="253" t="s">
        <v>2454</v>
      </c>
      <c r="F849" s="253" t="s">
        <v>2645</v>
      </c>
      <c r="G849" s="253">
        <v>4</v>
      </c>
      <c r="H849" s="253" t="s">
        <v>3130</v>
      </c>
      <c r="I849" s="254" t="str">
        <f>'Dry_Litterbag Placem_Collection'!C190</f>
        <v>Wet_W4_T4</v>
      </c>
      <c r="J849" s="263" t="s">
        <v>2932</v>
      </c>
      <c r="K849" s="264" t="s">
        <v>298</v>
      </c>
      <c r="L849" s="253" t="str">
        <f>IF(ISBLANK('Dry_Litterbag Placem_Collection'!M190),"","R"&amp;""&amp;'Dry_Litterbag Placem_Collection'!M190)</f>
        <v>R682</v>
      </c>
      <c r="M849" s="257">
        <f>IFERROR(INDEX('Green_rooibos initial weight'!$C$5:$C$2000,MATCH(L849, 'Green_rooibos initial weight'!$A$5:$A$2000,0)),"")</f>
        <v>2.1720000000000002</v>
      </c>
      <c r="N849" s="257">
        <f>IFERROR(M849-(TBIcalc!$Q$9+TBIcalc!$Q$10),"")</f>
        <v>1.9222000000000001</v>
      </c>
      <c r="O849" s="378">
        <f>AVERAGE(Ashed_controlls!$K$12:$K$14)</f>
        <v>2.2816647271287041</v>
      </c>
      <c r="P849" s="257">
        <f t="shared" si="66"/>
        <v>1.8783418406151322</v>
      </c>
      <c r="Q849" s="257">
        <f>IFERROR(INDEX('Both teabags AfterDry'!$D$2:$D$2000,MATCH(L849,'Both teabags AfterDry'!$A$2:$A$2000,0)),"")</f>
        <v>1.7353000000000001</v>
      </c>
      <c r="R849" s="257">
        <f>IFERROR(IF(Q849&gt;0,Q849-(TBIcalc!$Q$9),""),"")</f>
        <v>1.5847</v>
      </c>
      <c r="S849" s="268">
        <f>IFERROR(INDEX('Ashed teabags dry'!$K$2:$K$2000,MATCH(L849,'Ashed teabags dry'!$A$2:$A$2000,0)),"")</f>
        <v>6.766169154228745</v>
      </c>
      <c r="T849" s="268">
        <f t="shared" si="67"/>
        <v>1.4774765174129372</v>
      </c>
      <c r="U849" s="258">
        <f>IF('Dry_Litterbag Placem_Collection'!E190="","",'Dry_Litterbag Placem_Collection'!E190)</f>
        <v>42940</v>
      </c>
      <c r="V849" s="258">
        <f>IF('Dry_Litterbag Placem_Collection'!G190="","",'Dry_Litterbag Placem_Collection'!G190)</f>
        <v>43009</v>
      </c>
      <c r="W849" s="259">
        <f t="shared" si="65"/>
        <v>69</v>
      </c>
      <c r="X849" s="257">
        <f t="shared" si="68"/>
        <v>0.33750000000000013</v>
      </c>
      <c r="Y849" s="257">
        <f t="shared" si="69"/>
        <v>0.40086532320219503</v>
      </c>
      <c r="Z849" s="261">
        <f>IFERROR(INDEX([3]Rainfall_Dry!$O$2:$O$217,MATCH(C849, [3]Rainfall_Dry!$A$2:$A$217,0)),"")</f>
        <v>162.634207253</v>
      </c>
      <c r="AA849" s="250">
        <v>25.96</v>
      </c>
      <c r="AB849" s="250">
        <v>8.9200000000000017</v>
      </c>
      <c r="AC849" s="250">
        <v>65.12</v>
      </c>
      <c r="AD849" s="251" t="s">
        <v>2651</v>
      </c>
      <c r="AE849" s="250">
        <v>4.6991621488417898</v>
      </c>
      <c r="AF849">
        <f>IF('WetLitterbags placem_collection'!AB190="","",'WetLitterbags placem_collection'!AB190)</f>
        <v>2.2999999999999998</v>
      </c>
      <c r="AG849">
        <f>IF('WetLitterbags placem_collection'!Z190="","",'WetLitterbags placem_collection'!Z190)</f>
        <v>14.4</v>
      </c>
      <c r="AH849" s="236" t="str">
        <f>IF('WetLitterbags placem_collection'!AA190="","",'WetLitterbags placem_collection'!AA190)</f>
        <v>O</v>
      </c>
      <c r="AI849">
        <f>IF('WetLitterbags placem_collection'!AC190="","",'WetLitterbags placem_collection'!AC190)</f>
        <v>0</v>
      </c>
      <c r="AJ849">
        <f>IFERROR(AVERAGE('Dry_Litterbag Placem_Collection'!O190,'Dry_Litterbag Placem_Collection'!R190),"")</f>
        <v>7.35</v>
      </c>
      <c r="AK849" s="261">
        <f>IFERROR(AVERAGE('Dry_Litterbag Placem_Collection'!N190,'Dry_Litterbag Placem_Collection'!Q190),"")</f>
        <v>34.150000000000006</v>
      </c>
      <c r="AL849" s="260">
        <f>INDEX([2]Coordinates!$B$2:$B$197,MATCH(I849,[2]Coordinates!$J$2:$J$197,0))</f>
        <v>-2.278422983</v>
      </c>
      <c r="AM849" s="260">
        <f>INDEX([2]Coordinates!$C$2:$C$197,MATCH(I849,[2]Coordinates!$J$2:$J$197,0))</f>
        <v>34.032261009999999</v>
      </c>
      <c r="AN849" s="260" t="str">
        <f>IF(ISNUMBER(SEARCH("C", 'Dry_Litterbag Placem_Collection'!V190)),"YES","NO")</f>
        <v>NO</v>
      </c>
      <c r="AO849" s="260" t="str">
        <f>IF(ISNUMBER(SEARCH("H", 'Dry_Litterbag Placem_Collection'!V190)),"YES","NO")</f>
        <v>NO</v>
      </c>
      <c r="AP849" s="260" t="str">
        <f>IF(ISNUMBER(SEARCH("R", 'Dry_Litterbag Placem_Collection'!V190)),"YES","NO")</f>
        <v>NO</v>
      </c>
    </row>
    <row r="850" spans="1:42" ht="15" customHeight="1">
      <c r="A850" t="s">
        <v>3248</v>
      </c>
      <c r="B850" s="252" t="s">
        <v>2643</v>
      </c>
      <c r="C850" s="253">
        <f>'Dry_Litterbag Placem_Collection'!A191</f>
        <v>189</v>
      </c>
      <c r="D850" s="253" t="str">
        <f>'Dry_Litterbag Placem_Collection'!B191</f>
        <v>Handajega</v>
      </c>
      <c r="E850" s="253" t="s">
        <v>2454</v>
      </c>
      <c r="F850" s="253" t="s">
        <v>2645</v>
      </c>
      <c r="G850" s="253">
        <v>4</v>
      </c>
      <c r="H850" s="253" t="s">
        <v>3130</v>
      </c>
      <c r="I850" s="254" t="str">
        <f>'Dry_Litterbag Placem_Collection'!C191</f>
        <v>Wet_W4_T5</v>
      </c>
      <c r="J850" s="263" t="s">
        <v>2932</v>
      </c>
      <c r="K850" s="264" t="s">
        <v>298</v>
      </c>
      <c r="L850" s="253" t="str">
        <f>IF(ISBLANK('Dry_Litterbag Placem_Collection'!M191),"","R"&amp;""&amp;'Dry_Litterbag Placem_Collection'!M191)</f>
        <v>R693</v>
      </c>
      <c r="M850" s="257">
        <f>IFERROR(INDEX('Green_rooibos initial weight'!$C$5:$C$2000,MATCH(L850, 'Green_rooibos initial weight'!$A$5:$A$2000,0)),"")</f>
        <v>2.1789999999999998</v>
      </c>
      <c r="N850" s="257">
        <f>IFERROR(M850-(TBIcalc!$Q$9+TBIcalc!$Q$10),"")</f>
        <v>1.9291999999999998</v>
      </c>
      <c r="O850" s="378">
        <f>AVERAGE(Ashed_controlls!$K$12:$K$14)</f>
        <v>2.2816647271287041</v>
      </c>
      <c r="P850" s="257">
        <f t="shared" si="66"/>
        <v>1.8851821240842328</v>
      </c>
      <c r="Q850" s="257">
        <f>IFERROR(INDEX('Both teabags AfterDry'!$D$2:$D$2000,MATCH(L850,'Both teabags AfterDry'!$A$2:$A$2000,0)),"")</f>
        <v>1.919</v>
      </c>
      <c r="R850" s="257">
        <f>IFERROR(IF(Q850&gt;0,Q850-(TBIcalc!$Q$9),""),"")</f>
        <v>1.7684</v>
      </c>
      <c r="S850" s="268">
        <f>IFERROR(INDEX('Ashed teabags dry'!$K$2:$K$2000,MATCH(L850,'Ashed teabags dry'!$A$2:$A$2000,0)),"")</f>
        <v>7.2408897302414861</v>
      </c>
      <c r="T850" s="268">
        <f t="shared" si="67"/>
        <v>1.6403521060104096</v>
      </c>
      <c r="U850" s="258">
        <f>IF('Dry_Litterbag Placem_Collection'!E191="","",'Dry_Litterbag Placem_Collection'!E191)</f>
        <v>42940</v>
      </c>
      <c r="V850" s="258">
        <f>IF('Dry_Litterbag Placem_Collection'!G191="","",'Dry_Litterbag Placem_Collection'!G191)</f>
        <v>43009</v>
      </c>
      <c r="W850" s="259">
        <f t="shared" si="65"/>
        <v>69</v>
      </c>
      <c r="X850" s="257">
        <f t="shared" si="68"/>
        <v>0.16079999999999983</v>
      </c>
      <c r="Y850" s="257">
        <f t="shared" si="69"/>
        <v>0.24483001807382321</v>
      </c>
      <c r="Z850" s="261">
        <f>IFERROR(INDEX([3]Rainfall_Dry!$O$2:$O$217,MATCH(C850, [3]Rainfall_Dry!$A$2:$A$217,0)),"")</f>
        <v>162.634207253</v>
      </c>
      <c r="AA850" s="250">
        <v>25.96</v>
      </c>
      <c r="AB850" s="250">
        <v>8.9200000000000017</v>
      </c>
      <c r="AC850" s="250">
        <v>65.12</v>
      </c>
      <c r="AD850" s="251" t="s">
        <v>2651</v>
      </c>
      <c r="AE850" s="250">
        <v>5.6991621488417898</v>
      </c>
      <c r="AF850">
        <f>IF('WetLitterbags placem_collection'!AB191="","",'WetLitterbags placem_collection'!AB191)</f>
        <v>0.6</v>
      </c>
      <c r="AG850">
        <f>IF('WetLitterbags placem_collection'!Z191="","",'WetLitterbags placem_collection'!Z191)</f>
        <v>7</v>
      </c>
      <c r="AH850" s="236" t="str">
        <f>IF('WetLitterbags placem_collection'!AA191="","",'WetLitterbags placem_collection'!AA191)</f>
        <v>O</v>
      </c>
      <c r="AI850">
        <f>IF('WetLitterbags placem_collection'!AC191="","",'WetLitterbags placem_collection'!AC191)</f>
        <v>1</v>
      </c>
      <c r="AJ850">
        <f>IFERROR(AVERAGE('Dry_Litterbag Placem_Collection'!O191,'Dry_Litterbag Placem_Collection'!R191),"")</f>
        <v>5.5</v>
      </c>
      <c r="AK850" s="261">
        <f>IFERROR(AVERAGE('Dry_Litterbag Placem_Collection'!N191,'Dry_Litterbag Placem_Collection'!Q191),"")</f>
        <v>33</v>
      </c>
      <c r="AL850" s="260">
        <f>INDEX([2]Coordinates!$B$2:$B$197,MATCH(I850,[2]Coordinates!$J$2:$J$197,0))</f>
        <v>-2.2787580080000001</v>
      </c>
      <c r="AM850" s="260">
        <f>INDEX([2]Coordinates!$C$2:$C$197,MATCH(I850,[2]Coordinates!$J$2:$J$197,0))</f>
        <v>34.032463010000001</v>
      </c>
      <c r="AN850" s="260" t="str">
        <f>IF(ISNUMBER(SEARCH("C", 'Dry_Litterbag Placem_Collection'!V191)),"YES","NO")</f>
        <v>NO</v>
      </c>
      <c r="AO850" s="260" t="str">
        <f>IF(ISNUMBER(SEARCH("H", 'Dry_Litterbag Placem_Collection'!V191)),"YES","NO")</f>
        <v>NO</v>
      </c>
      <c r="AP850" s="260" t="str">
        <f>IF(ISNUMBER(SEARCH("R", 'Dry_Litterbag Placem_Collection'!V191)),"YES","NO")</f>
        <v>NO</v>
      </c>
    </row>
    <row r="851" spans="1:42" ht="15" customHeight="1">
      <c r="A851" t="s">
        <v>3248</v>
      </c>
      <c r="B851" s="252" t="s">
        <v>2643</v>
      </c>
      <c r="C851" s="253">
        <f>'Dry_Litterbag Placem_Collection'!A192</f>
        <v>190</v>
      </c>
      <c r="D851" s="253" t="str">
        <f>'Dry_Litterbag Placem_Collection'!B192</f>
        <v>Handajega</v>
      </c>
      <c r="E851" s="253" t="s">
        <v>2454</v>
      </c>
      <c r="F851" s="253" t="s">
        <v>2645</v>
      </c>
      <c r="G851" s="253">
        <v>4</v>
      </c>
      <c r="H851" s="253" t="s">
        <v>3130</v>
      </c>
      <c r="I851" s="254" t="str">
        <f>'Dry_Litterbag Placem_Collection'!C192</f>
        <v>Wet_W4_T6</v>
      </c>
      <c r="J851" s="263" t="s">
        <v>2932</v>
      </c>
      <c r="K851" s="264" t="s">
        <v>298</v>
      </c>
      <c r="L851" s="253" t="str">
        <f>IF(ISBLANK('Dry_Litterbag Placem_Collection'!M192),"","R"&amp;""&amp;'Dry_Litterbag Placem_Collection'!M192)</f>
        <v>R605</v>
      </c>
      <c r="M851" s="257">
        <f>IFERROR(INDEX('Green_rooibos initial weight'!$C$5:$C$2000,MATCH(L851, 'Green_rooibos initial weight'!$A$5:$A$2000,0)),"")</f>
        <v>2.165</v>
      </c>
      <c r="N851" s="257">
        <f>IFERROR(M851-(TBIcalc!$Q$9+TBIcalc!$Q$10),"")</f>
        <v>1.9152</v>
      </c>
      <c r="O851" s="378">
        <f>AVERAGE(Ashed_controlls!$K$12:$K$14)</f>
        <v>2.2816647271287041</v>
      </c>
      <c r="P851" s="257">
        <f t="shared" si="66"/>
        <v>1.8715015571460312</v>
      </c>
      <c r="Q851" s="257">
        <f>IFERROR(INDEX('Both teabags AfterDry'!$D$2:$D$2000,MATCH(L851,'Both teabags AfterDry'!$A$2:$A$2000,0)),"")</f>
        <v>1.8051999999999999</v>
      </c>
      <c r="R851" s="257">
        <f>IFERROR(IF(Q851&gt;0,Q851-(TBIcalc!$Q$9),""),"")</f>
        <v>1.6545999999999998</v>
      </c>
      <c r="S851" s="268">
        <f>IFERROR(INDEX('Ashed teabags dry'!$K$2:$K$2000,MATCH(L851,'Ashed teabags dry'!$A$2:$A$2000,0)),"")</f>
        <v>9.224730127576688</v>
      </c>
      <c r="T851" s="268">
        <f t="shared" si="67"/>
        <v>1.5019676153091159</v>
      </c>
      <c r="U851" s="258">
        <f>IF('Dry_Litterbag Placem_Collection'!E192="","",'Dry_Litterbag Placem_Collection'!E192)</f>
        <v>42940</v>
      </c>
      <c r="V851" s="258">
        <f>IF('Dry_Litterbag Placem_Collection'!G192="","",'Dry_Litterbag Placem_Collection'!G192)</f>
        <v>43009</v>
      </c>
      <c r="W851" s="259">
        <f t="shared" si="65"/>
        <v>69</v>
      </c>
      <c r="X851" s="257">
        <f t="shared" si="68"/>
        <v>0.26060000000000016</v>
      </c>
      <c r="Y851" s="257">
        <f t="shared" si="69"/>
        <v>0.36953394183691524</v>
      </c>
      <c r="Z851" s="261">
        <f>IFERROR(INDEX([3]Rainfall_Dry!$O$2:$O$217,MATCH(C851, [3]Rainfall_Dry!$A$2:$A$217,0)),"")</f>
        <v>162.634207253</v>
      </c>
      <c r="AA851" s="250">
        <v>25.96</v>
      </c>
      <c r="AB851" s="250">
        <v>8.9200000000000017</v>
      </c>
      <c r="AC851" s="250">
        <v>65.12</v>
      </c>
      <c r="AD851" s="251" t="s">
        <v>2651</v>
      </c>
      <c r="AE851" s="250">
        <v>6.6991621488417898</v>
      </c>
      <c r="AF851">
        <f>IF('WetLitterbags placem_collection'!AB192="","",'WetLitterbags placem_collection'!AB192)</f>
        <v>9.5</v>
      </c>
      <c r="AG851">
        <f>IF('WetLitterbags placem_collection'!Z192="","",'WetLitterbags placem_collection'!Z192)</f>
        <v>17.399999999999999</v>
      </c>
      <c r="AH851" s="236" t="str">
        <f>IF('WetLitterbags placem_collection'!AA192="","",'WetLitterbags placem_collection'!AA192)</f>
        <v>O</v>
      </c>
      <c r="AI851">
        <f>IF('WetLitterbags placem_collection'!AC192="","",'WetLitterbags placem_collection'!AC192)</f>
        <v>0</v>
      </c>
      <c r="AJ851">
        <f>IFERROR(AVERAGE('Dry_Litterbag Placem_Collection'!O192,'Dry_Litterbag Placem_Collection'!R192),"")</f>
        <v>5.0500000000000007</v>
      </c>
      <c r="AK851" s="261">
        <f>IFERROR(AVERAGE('Dry_Litterbag Placem_Collection'!N192,'Dry_Litterbag Placem_Collection'!Q192),"")</f>
        <v>36.049999999999997</v>
      </c>
      <c r="AL851" s="260">
        <f>INDEX([2]Coordinates!$B$2:$B$197,MATCH(I851,[2]Coordinates!$J$2:$J$197,0))</f>
        <v>-2.2787559960000001</v>
      </c>
      <c r="AM851" s="260">
        <f>INDEX([2]Coordinates!$C$2:$C$197,MATCH(I851,[2]Coordinates!$J$2:$J$197,0))</f>
        <v>34.032268969999997</v>
      </c>
      <c r="AN851" s="260" t="str">
        <f>IF(ISNUMBER(SEARCH("C", 'Dry_Litterbag Placem_Collection'!V192)),"YES","NO")</f>
        <v>NO</v>
      </c>
      <c r="AO851" s="260" t="str">
        <f>IF(ISNUMBER(SEARCH("H", 'Dry_Litterbag Placem_Collection'!V192)),"YES","NO")</f>
        <v>NO</v>
      </c>
      <c r="AP851" s="260" t="str">
        <f>IF(ISNUMBER(SEARCH("R", 'Dry_Litterbag Placem_Collection'!V192)),"YES","NO")</f>
        <v>NO</v>
      </c>
    </row>
    <row r="852" spans="1:42" ht="15" customHeight="1">
      <c r="A852" t="s">
        <v>3248</v>
      </c>
      <c r="B852" s="252" t="s">
        <v>2643</v>
      </c>
      <c r="C852" s="253">
        <f>'Dry_Litterbag Placem_Collection'!A193</f>
        <v>191</v>
      </c>
      <c r="D852" s="253" t="str">
        <f>'Dry_Litterbag Placem_Collection'!B193</f>
        <v>Handajega</v>
      </c>
      <c r="E852" s="253" t="s">
        <v>2454</v>
      </c>
      <c r="F852" s="253" t="s">
        <v>2645</v>
      </c>
      <c r="G852" s="253">
        <v>4</v>
      </c>
      <c r="H852" s="253" t="s">
        <v>3130</v>
      </c>
      <c r="I852" s="254" t="str">
        <f>'Dry_Litterbag Placem_Collection'!C193</f>
        <v>Wet_W4_T7</v>
      </c>
      <c r="J852" s="263" t="s">
        <v>2932</v>
      </c>
      <c r="K852" s="264" t="s">
        <v>298</v>
      </c>
      <c r="L852" s="253" t="str">
        <f>IF(ISBLANK('Dry_Litterbag Placem_Collection'!M193),"","R"&amp;""&amp;'Dry_Litterbag Placem_Collection'!M193)</f>
        <v>R240</v>
      </c>
      <c r="M852" s="257">
        <f>IFERROR(INDEX('Green_rooibos initial weight'!$C$5:$C$2000,MATCH(L852, 'Green_rooibos initial weight'!$A$5:$A$2000,0)),"")</f>
        <v>2.1800000000000002</v>
      </c>
      <c r="N852" s="257">
        <f>IFERROR(M852-(TBIcalc!$Q$9+TBIcalc!$Q$10),"")</f>
        <v>1.9302000000000001</v>
      </c>
      <c r="O852" s="378">
        <f>AVERAGE(Ashed_controlls!$K$12:$K$14)</f>
        <v>2.2816647271287041</v>
      </c>
      <c r="P852" s="257">
        <f t="shared" si="66"/>
        <v>1.8861593074369618</v>
      </c>
      <c r="Q852" s="257">
        <f>IFERROR(INDEX('Both teabags AfterDry'!$D$2:$D$2000,MATCH(L852,'Both teabags AfterDry'!$A$2:$A$2000,0)),"")</f>
        <v>1.7597</v>
      </c>
      <c r="R852" s="257">
        <f>IFERROR(IF(Q852&gt;0,Q852-(TBIcalc!$Q$9),""),"")</f>
        <v>1.6091</v>
      </c>
      <c r="S852" s="268">
        <f>IFERROR(INDEX('Ashed teabags dry'!$K$2:$K$2000,MATCH(L852,'Ashed teabags dry'!$A$2:$A$2000,0)),"")</f>
        <v>6.2347783731121424</v>
      </c>
      <c r="T852" s="268">
        <f t="shared" si="67"/>
        <v>1.5087761811982525</v>
      </c>
      <c r="U852" s="258">
        <f>IF('Dry_Litterbag Placem_Collection'!E193="","",'Dry_Litterbag Placem_Collection'!E193)</f>
        <v>42940</v>
      </c>
      <c r="V852" s="258">
        <f>IF('Dry_Litterbag Placem_Collection'!G193="","",'Dry_Litterbag Placem_Collection'!G193)</f>
        <v>43009</v>
      </c>
      <c r="W852" s="259">
        <f t="shared" si="65"/>
        <v>69</v>
      </c>
      <c r="X852" s="257">
        <f t="shared" si="68"/>
        <v>0.32110000000000016</v>
      </c>
      <c r="Y852" s="257">
        <f t="shared" si="69"/>
        <v>0.37738312623870929</v>
      </c>
      <c r="Z852" s="261">
        <f>IFERROR(INDEX([3]Rainfall_Dry!$O$2:$O$217,MATCH(C852, [3]Rainfall_Dry!$A$2:$A$217,0)),"")</f>
        <v>162.634207253</v>
      </c>
      <c r="AA852" s="250">
        <v>25.96</v>
      </c>
      <c r="AB852" s="250">
        <v>8.9200000000000017</v>
      </c>
      <c r="AC852" s="250">
        <v>65.12</v>
      </c>
      <c r="AD852" s="251" t="s">
        <v>2651</v>
      </c>
      <c r="AE852" s="250">
        <v>7.6991621488417898</v>
      </c>
      <c r="AF852">
        <f>IF('WetLitterbags placem_collection'!AB193="","",'WetLitterbags placem_collection'!AB193)</f>
        <v>12.4</v>
      </c>
      <c r="AG852">
        <f>IF('WetLitterbags placem_collection'!Z193="","",'WetLitterbags placem_collection'!Z193)</f>
        <v>29.8</v>
      </c>
      <c r="AH852" s="236" t="str">
        <f>IF('WetLitterbags placem_collection'!AA193="","",'WetLitterbags placem_collection'!AA193)</f>
        <v>O</v>
      </c>
      <c r="AI852">
        <f>IF('WetLitterbags placem_collection'!AC193="","",'WetLitterbags placem_collection'!AC193)</f>
        <v>0</v>
      </c>
      <c r="AJ852">
        <f>IFERROR(AVERAGE('Dry_Litterbag Placem_Collection'!O193,'Dry_Litterbag Placem_Collection'!R193),"")</f>
        <v>6.45</v>
      </c>
      <c r="AK852" s="261">
        <f>IFERROR(AVERAGE('Dry_Litterbag Placem_Collection'!N193,'Dry_Litterbag Placem_Collection'!Q193),"")</f>
        <v>36.349999999999994</v>
      </c>
      <c r="AL852" s="260">
        <f>INDEX([2]Coordinates!$B$2:$B$197,MATCH(I852,[2]Coordinates!$J$2:$J$197,0))</f>
        <v>-2.278704029</v>
      </c>
      <c r="AM852" s="260">
        <f>INDEX([2]Coordinates!$C$2:$C$197,MATCH(I852,[2]Coordinates!$J$2:$J$197,0))</f>
        <v>34.032182970000001</v>
      </c>
      <c r="AN852" s="260" t="str">
        <f>IF(ISNUMBER(SEARCH("C", 'Dry_Litterbag Placem_Collection'!V193)),"YES","NO")</f>
        <v>NO</v>
      </c>
      <c r="AO852" s="260" t="str">
        <f>IF(ISNUMBER(SEARCH("H", 'Dry_Litterbag Placem_Collection'!V193)),"YES","NO")</f>
        <v>NO</v>
      </c>
      <c r="AP852" s="260" t="str">
        <f>IF(ISNUMBER(SEARCH("R", 'Dry_Litterbag Placem_Collection'!V193)),"YES","NO")</f>
        <v>NO</v>
      </c>
    </row>
    <row r="853" spans="1:42" ht="15" customHeight="1">
      <c r="A853" t="s">
        <v>3248</v>
      </c>
      <c r="B853" s="252" t="s">
        <v>2643</v>
      </c>
      <c r="C853" s="253">
        <f>'Dry_Litterbag Placem_Collection'!A194</f>
        <v>192</v>
      </c>
      <c r="D853" s="253" t="str">
        <f>'Dry_Litterbag Placem_Collection'!B194</f>
        <v>Handajega</v>
      </c>
      <c r="E853" s="253" t="s">
        <v>2454</v>
      </c>
      <c r="F853" s="253" t="s">
        <v>2645</v>
      </c>
      <c r="G853" s="253">
        <v>4</v>
      </c>
      <c r="H853" s="253" t="s">
        <v>3130</v>
      </c>
      <c r="I853" s="254" t="str">
        <f>'Dry_Litterbag Placem_Collection'!C194</f>
        <v>Wet_W4_T8</v>
      </c>
      <c r="J853" s="263" t="s">
        <v>2932</v>
      </c>
      <c r="K853" s="264" t="s">
        <v>298</v>
      </c>
      <c r="L853" s="253" t="str">
        <f>IF(ISBLANK('Dry_Litterbag Placem_Collection'!M194),"","R"&amp;""&amp;'Dry_Litterbag Placem_Collection'!M194)</f>
        <v/>
      </c>
      <c r="M853" s="257" t="str">
        <f>IFERROR(INDEX('Green_rooibos initial weight'!$C$5:$C$2000,MATCH(L853, 'Green_rooibos initial weight'!$A$5:$A$2000,0)),"")</f>
        <v/>
      </c>
      <c r="N853" s="257" t="str">
        <f>IFERROR(M853-(TBIcalc!$Q$9+TBIcalc!$Q$10),"")</f>
        <v/>
      </c>
      <c r="O853" s="378">
        <f>AVERAGE(Ashed_controlls!$K$12:$K$14)</f>
        <v>2.2816647271287041</v>
      </c>
      <c r="P853" s="257" t="str">
        <f t="shared" si="66"/>
        <v/>
      </c>
      <c r="Q853" s="257" t="str">
        <f>IFERROR(INDEX('Both teabags AfterDry'!$D$2:$D$2000,MATCH(L853,'Both teabags AfterDry'!$A$2:$A$2000,0)),"")</f>
        <v/>
      </c>
      <c r="R853" s="257" t="str">
        <f>IFERROR(IF(Q853&gt;0,Q853-(TBIcalc!$Q$9),""),"")</f>
        <v/>
      </c>
      <c r="S853" s="268" t="str">
        <f>IFERROR(INDEX('Ashed teabags dry'!$K$2:$K$2000,MATCH(L853,'Ashed teabags dry'!$A$2:$A$2000,0)),"")</f>
        <v/>
      </c>
      <c r="T853" s="268" t="str">
        <f t="shared" si="67"/>
        <v/>
      </c>
      <c r="U853" s="258" t="str">
        <f>IF('Dry_Litterbag Placem_Collection'!E194="","",'Dry_Litterbag Placem_Collection'!E194)</f>
        <v/>
      </c>
      <c r="V853" s="258" t="str">
        <f>IF('Dry_Litterbag Placem_Collection'!G194="","",'Dry_Litterbag Placem_Collection'!G194)</f>
        <v/>
      </c>
      <c r="W853" s="259" t="str">
        <f t="shared" si="65"/>
        <v/>
      </c>
      <c r="X853" s="257" t="str">
        <f t="shared" si="68"/>
        <v/>
      </c>
      <c r="Y853" s="257" t="str">
        <f t="shared" si="69"/>
        <v/>
      </c>
      <c r="Z853" s="261" t="str">
        <f>IFERROR(INDEX([3]Rainfall_Dry!$O$2:$O$217,MATCH(C853, [3]Rainfall_Dry!$A$2:$A$217,0)),"")</f>
        <v/>
      </c>
      <c r="AA853" s="250">
        <v>25.96</v>
      </c>
      <c r="AB853" s="250">
        <v>8.9200000000000017</v>
      </c>
      <c r="AC853" s="250">
        <v>65.12</v>
      </c>
      <c r="AD853" s="251" t="s">
        <v>2651</v>
      </c>
      <c r="AE853" s="250">
        <v>8.6991621488417898</v>
      </c>
      <c r="AF853">
        <f>IF('WetLitterbags placem_collection'!AB194="","",'WetLitterbags placem_collection'!AB194)</f>
        <v>3.6</v>
      </c>
      <c r="AG853">
        <f>IF('WetLitterbags placem_collection'!Z194="","",'WetLitterbags placem_collection'!Z194)</f>
        <v>37.799999999999997</v>
      </c>
      <c r="AH853" s="236" t="str">
        <f>IF('WetLitterbags placem_collection'!AA194="","",'WetLitterbags placem_collection'!AA194)</f>
        <v>O</v>
      </c>
      <c r="AI853">
        <f>IF('WetLitterbags placem_collection'!AC194="","",'WetLitterbags placem_collection'!AC194)</f>
        <v>0</v>
      </c>
      <c r="AJ853" t="str">
        <f>IFERROR(AVERAGE('Dry_Litterbag Placem_Collection'!O194,'Dry_Litterbag Placem_Collection'!R194),"")</f>
        <v/>
      </c>
      <c r="AK853" s="261" t="str">
        <f>IFERROR(AVERAGE('Dry_Litterbag Placem_Collection'!N194,'Dry_Litterbag Placem_Collection'!Q194),"")</f>
        <v/>
      </c>
      <c r="AL853" s="260">
        <f>INDEX([2]Coordinates!$B$2:$B$197,MATCH(I853,[2]Coordinates!$J$2:$J$197,0))</f>
        <v>-2.2789770269999998</v>
      </c>
      <c r="AM853" s="260">
        <f>INDEX([2]Coordinates!$C$2:$C$197,MATCH(I853,[2]Coordinates!$J$2:$J$197,0))</f>
        <v>34.032051039999999</v>
      </c>
      <c r="AN853" s="260" t="str">
        <f>IF(ISNUMBER(SEARCH("C", 'Dry_Litterbag Placem_Collection'!V194)),"YES","NO")</f>
        <v>NO</v>
      </c>
      <c r="AO853" s="260" t="str">
        <f>IF(ISNUMBER(SEARCH("H", 'Dry_Litterbag Placem_Collection'!V194)),"YES","NO")</f>
        <v>NO</v>
      </c>
      <c r="AP853" s="260" t="str">
        <f>IF(ISNUMBER(SEARCH("R", 'Dry_Litterbag Placem_Collection'!V194)),"YES","NO")</f>
        <v>NO</v>
      </c>
    </row>
    <row r="854" spans="1:42" ht="15" customHeight="1">
      <c r="A854" t="s">
        <v>2490</v>
      </c>
      <c r="B854" s="252" t="s">
        <v>2643</v>
      </c>
      <c r="C854" s="253">
        <f>'Dry_Litterbag Placem_Collection'!A195</f>
        <v>193</v>
      </c>
      <c r="D854" s="253" t="str">
        <f>'Dry_Litterbag Placem_Collection'!B195</f>
        <v>Makao</v>
      </c>
      <c r="E854" s="253" t="s">
        <v>2643</v>
      </c>
      <c r="F854" s="253" t="s">
        <v>2644</v>
      </c>
      <c r="G854" s="253">
        <v>4</v>
      </c>
      <c r="H854" s="253" t="s">
        <v>3099</v>
      </c>
      <c r="I854" s="254" t="str">
        <f>'Dry_Litterbag Placem_Collection'!C195</f>
        <v>Dry_Ag1_CG4</v>
      </c>
      <c r="J854" s="263" t="s">
        <v>2932</v>
      </c>
      <c r="K854" s="264" t="s">
        <v>298</v>
      </c>
      <c r="L854" s="253" t="str">
        <f>IF(ISBLANK('Dry_Litterbag Placem_Collection'!M195),"","R"&amp;""&amp;'Dry_Litterbag Placem_Collection'!M195)</f>
        <v>R623</v>
      </c>
      <c r="M854" s="257">
        <f>IFERROR(INDEX('Green_rooibos initial weight'!$C$5:$C$2000,MATCH(L854, 'Green_rooibos initial weight'!$A$5:$A$2000,0)),"")</f>
        <v>2.056</v>
      </c>
      <c r="N854" s="257">
        <f>IFERROR(M854-(TBIcalc!$Q$9+TBIcalc!$Q$10),"")</f>
        <v>1.8062</v>
      </c>
      <c r="O854" s="378">
        <f>AVERAGE(Ashed_controlls!$K$12:$K$14)</f>
        <v>2.2816647271287041</v>
      </c>
      <c r="P854" s="257">
        <f t="shared" si="66"/>
        <v>1.7649885716986013</v>
      </c>
      <c r="Q854" s="257">
        <f>IFERROR(INDEX('Both teabags AfterDry'!$D$2:$D$2000,MATCH(L854,'Both teabags AfterDry'!$A$2:$A$2000,0)),"")</f>
        <v>1.397</v>
      </c>
      <c r="R854" s="257">
        <f>IFERROR(IF(Q854&gt;0,Q854-(TBIcalc!$Q$9),""),"")</f>
        <v>1.2464</v>
      </c>
      <c r="S854" s="268">
        <f>IFERROR(INDEX('Ashed teabags dry'!$K$2:$K$2000,MATCH(L854,'Ashed teabags dry'!$A$2:$A$2000,0)),"")</f>
        <v>6.0918462980318058</v>
      </c>
      <c r="T854" s="268">
        <f t="shared" si="67"/>
        <v>1.1704712277413316</v>
      </c>
      <c r="U854" s="258">
        <f>IF('Dry_Litterbag Placem_Collection'!E195="","",'Dry_Litterbag Placem_Collection'!E195)</f>
        <v>42942</v>
      </c>
      <c r="V854" s="258">
        <f>IF('Dry_Litterbag Placem_Collection'!G195="","",'Dry_Litterbag Placem_Collection'!G195)</f>
        <v>43004</v>
      </c>
      <c r="W854" s="259">
        <f t="shared" si="65"/>
        <v>62</v>
      </c>
      <c r="X854" s="257">
        <f t="shared" si="68"/>
        <v>0.55980000000000008</v>
      </c>
      <c r="Y854" s="257">
        <f t="shared" si="69"/>
        <v>0.59451734395726974</v>
      </c>
      <c r="Z854" s="261">
        <f>IFERROR(INDEX([3]Rainfall_Dry!$O$2:$O$217,MATCH(C854, [3]Rainfall_Dry!$A$2:$A$217,0)),"")</f>
        <v>171.84818423999999</v>
      </c>
      <c r="AA854" s="250">
        <v>12.565665055683967</v>
      </c>
      <c r="AB854" s="250">
        <v>0.9665896196679955</v>
      </c>
      <c r="AC854" s="250">
        <v>86.467745324648035</v>
      </c>
      <c r="AD854" s="251" t="s">
        <v>2653</v>
      </c>
      <c r="AE854" s="250">
        <v>1.0225726959093147</v>
      </c>
      <c r="AF854">
        <f>IF('WetLitterbags placem_collection'!AB195="","",'WetLitterbags placem_collection'!AB195)</f>
        <v>15.2</v>
      </c>
      <c r="AG854">
        <f>IF('WetLitterbags placem_collection'!Z195="","",'WetLitterbags placem_collection'!Z195)</f>
        <v>12.2</v>
      </c>
      <c r="AH854" s="236" t="str">
        <f>IF('WetLitterbags placem_collection'!AA195="","",'WetLitterbags placem_collection'!AA195)</f>
        <v>O</v>
      </c>
      <c r="AI854">
        <f>IF('WetLitterbags placem_collection'!AC195="","",'WetLitterbags placem_collection'!AC195)</f>
        <v>1</v>
      </c>
      <c r="AJ854">
        <f>IFERROR(AVERAGE('Dry_Litterbag Placem_Collection'!O195,'Dry_Litterbag Placem_Collection'!R195),"")</f>
        <v>5.0999999999999996</v>
      </c>
      <c r="AK854" s="261">
        <f>IFERROR(AVERAGE('Dry_Litterbag Placem_Collection'!N195,'Dry_Litterbag Placem_Collection'!Q195),"")</f>
        <v>28.799999999999997</v>
      </c>
      <c r="AL854">
        <v>-2.4396949910000001</v>
      </c>
      <c r="AM854">
        <v>34.838574029999997</v>
      </c>
      <c r="AN854" s="260" t="str">
        <f>IF(ISNUMBER(SEARCH("C", 'Dry_Litterbag Placem_Collection'!V195)),"YES","NO")</f>
        <v>NO</v>
      </c>
      <c r="AO854" s="260" t="str">
        <f>IF(ISNUMBER(SEARCH("H", 'Dry_Litterbag Placem_Collection'!V195)),"YES","NO")</f>
        <v>NO</v>
      </c>
      <c r="AP854" s="260" t="str">
        <f>IF(ISNUMBER(SEARCH("R", 'Dry_Litterbag Placem_Collection'!V195)),"YES","NO")</f>
        <v>NO</v>
      </c>
    </row>
    <row r="855" spans="1:42" ht="15" customHeight="1">
      <c r="A855" t="s">
        <v>2490</v>
      </c>
      <c r="B855" s="252" t="s">
        <v>2643</v>
      </c>
      <c r="C855" s="253">
        <f>'Dry_Litterbag Placem_Collection'!A196</f>
        <v>194</v>
      </c>
      <c r="D855" s="253" t="str">
        <f>'Dry_Litterbag Placem_Collection'!B196</f>
        <v>Makao</v>
      </c>
      <c r="E855" s="253" t="s">
        <v>2643</v>
      </c>
      <c r="F855" s="253" t="s">
        <v>2644</v>
      </c>
      <c r="G855" s="253">
        <v>3</v>
      </c>
      <c r="H855" s="253" t="s">
        <v>3103</v>
      </c>
      <c r="I855" s="254" t="str">
        <f>'Dry_Litterbag Placem_Collection'!C196</f>
        <v>Dry_Ag2_CG3</v>
      </c>
      <c r="J855" s="263" t="s">
        <v>2932</v>
      </c>
      <c r="K855" s="264" t="s">
        <v>298</v>
      </c>
      <c r="L855" s="253" t="str">
        <f>IF(ISBLANK('Dry_Litterbag Placem_Collection'!M196),"","R"&amp;""&amp;'Dry_Litterbag Placem_Collection'!M196)</f>
        <v>R611</v>
      </c>
      <c r="M855" s="257">
        <f>IFERROR(INDEX('Green_rooibos initial weight'!$C$5:$C$2000,MATCH(L855, 'Green_rooibos initial weight'!$A$5:$A$2000,0)),"")</f>
        <v>2.157</v>
      </c>
      <c r="N855" s="257">
        <f>IFERROR(M855-(TBIcalc!$Q$9+TBIcalc!$Q$10),"")</f>
        <v>1.9072</v>
      </c>
      <c r="O855" s="378">
        <f>AVERAGE(Ashed_controlls!$K$12:$K$14)</f>
        <v>2.2816647271287041</v>
      </c>
      <c r="P855" s="257">
        <f t="shared" si="66"/>
        <v>1.8636840903242013</v>
      </c>
      <c r="Q855" s="257">
        <f>IFERROR(INDEX('Both teabags AfterDry'!$D$2:$D$2000,MATCH(L855,'Both teabags AfterDry'!$A$2:$A$2000,0)),"")</f>
        <v>1.593</v>
      </c>
      <c r="R855" s="257">
        <f>IFERROR(IF(Q855&gt;0,Q855-(TBIcalc!$Q$9),""),"")</f>
        <v>1.4423999999999999</v>
      </c>
      <c r="S855" s="268">
        <f>IFERROR(INDEX('Ashed teabags dry'!$K$2:$K$2000,MATCH(L855,'Ashed teabags dry'!$A$2:$A$2000,0)),"")</f>
        <v>3.3698399326031812</v>
      </c>
      <c r="T855" s="268">
        <f t="shared" si="67"/>
        <v>1.3937934288121316</v>
      </c>
      <c r="U855" s="258">
        <f>IF('Dry_Litterbag Placem_Collection'!E196="","",'Dry_Litterbag Placem_Collection'!E196)</f>
        <v>42942</v>
      </c>
      <c r="V855" s="258">
        <f>IF('Dry_Litterbag Placem_Collection'!G196="","",'Dry_Litterbag Placem_Collection'!G196)</f>
        <v>43004</v>
      </c>
      <c r="W855" s="259">
        <f t="shared" si="65"/>
        <v>62</v>
      </c>
      <c r="X855" s="257">
        <f t="shared" si="68"/>
        <v>0.4648000000000001</v>
      </c>
      <c r="Y855" s="257">
        <f t="shared" si="69"/>
        <v>0.46989066151206971</v>
      </c>
      <c r="Z855" s="261">
        <f>IFERROR(INDEX([3]Rainfall_Dry!$O$2:$O$217,MATCH(C855, [3]Rainfall_Dry!$A$2:$A$217,0)),"")</f>
        <v>171.84818423999999</v>
      </c>
      <c r="AA855" s="250">
        <v>21.13063730679653</v>
      </c>
      <c r="AB855" s="250">
        <v>3.0912555579081076</v>
      </c>
      <c r="AC855" s="250">
        <v>75.778107135295357</v>
      </c>
      <c r="AD855" s="251" t="s">
        <v>2651</v>
      </c>
      <c r="AE855" s="250">
        <v>0.46131099063578063</v>
      </c>
      <c r="AF855">
        <f>IF('WetLitterbags placem_collection'!AB196="","",'WetLitterbags placem_collection'!AB196)</f>
        <v>7.9</v>
      </c>
      <c r="AG855">
        <f>IF('WetLitterbags placem_collection'!Z196="","",'WetLitterbags placem_collection'!Z196)</f>
        <v>7.9</v>
      </c>
      <c r="AH855" s="236" t="str">
        <f>IF('WetLitterbags placem_collection'!AA196="","",'WetLitterbags placem_collection'!AA196)</f>
        <v>O</v>
      </c>
      <c r="AI855">
        <f>IF('WetLitterbags placem_collection'!AC196="","",'WetLitterbags placem_collection'!AC196)</f>
        <v>1</v>
      </c>
      <c r="AJ855">
        <f>IFERROR(AVERAGE('Dry_Litterbag Placem_Collection'!O196,'Dry_Litterbag Placem_Collection'!R196),"")</f>
        <v>5.4</v>
      </c>
      <c r="AK855" s="261">
        <f>IFERROR(AVERAGE('Dry_Litterbag Placem_Collection'!N196,'Dry_Litterbag Placem_Collection'!Q196),"")</f>
        <v>30.849999999999998</v>
      </c>
      <c r="AL855">
        <v>-2.4395990190000001</v>
      </c>
      <c r="AM855">
        <v>34.838418959999998</v>
      </c>
      <c r="AN855" s="260" t="str">
        <f>IF(ISNUMBER(SEARCH("C", 'Dry_Litterbag Placem_Collection'!V196)),"YES","NO")</f>
        <v>NO</v>
      </c>
      <c r="AO855" s="260" t="str">
        <f>IF(ISNUMBER(SEARCH("H", 'Dry_Litterbag Placem_Collection'!V196)),"YES","NO")</f>
        <v>NO</v>
      </c>
      <c r="AP855" s="260" t="str">
        <f>IF(ISNUMBER(SEARCH("R", 'Dry_Litterbag Placem_Collection'!V196)),"YES","NO")</f>
        <v>YES</v>
      </c>
    </row>
    <row r="856" spans="1:42" ht="15" customHeight="1">
      <c r="A856" t="s">
        <v>2490</v>
      </c>
      <c r="B856" s="252" t="s">
        <v>2643</v>
      </c>
      <c r="C856" s="253">
        <f>'Dry_Litterbag Placem_Collection'!A197</f>
        <v>195</v>
      </c>
      <c r="D856" s="253" t="str">
        <f>'Dry_Litterbag Placem_Collection'!B197</f>
        <v>Makao</v>
      </c>
      <c r="E856" s="253" t="s">
        <v>2643</v>
      </c>
      <c r="F856" s="253" t="s">
        <v>2644</v>
      </c>
      <c r="G856" s="253">
        <v>2</v>
      </c>
      <c r="H856" s="253" t="s">
        <v>3104</v>
      </c>
      <c r="I856" s="254" t="str">
        <f>'Dry_Litterbag Placem_Collection'!C197</f>
        <v>Dry_Ag3_CG2</v>
      </c>
      <c r="J856" s="263" t="s">
        <v>2932</v>
      </c>
      <c r="K856" s="264" t="s">
        <v>298</v>
      </c>
      <c r="L856" s="253" t="str">
        <f>IF(ISBLANK('Dry_Litterbag Placem_Collection'!M197),"","R"&amp;""&amp;'Dry_Litterbag Placem_Collection'!M197)</f>
        <v>R645</v>
      </c>
      <c r="M856" s="257">
        <f>IFERROR(INDEX('Green_rooibos initial weight'!$C$5:$C$2000,MATCH(L856, 'Green_rooibos initial weight'!$A$5:$A$2000,0)),"")</f>
        <v>2.2469999999999999</v>
      </c>
      <c r="N856" s="257">
        <f>IFERROR(M856-(TBIcalc!$Q$9+TBIcalc!$Q$10),"")</f>
        <v>1.9971999999999999</v>
      </c>
      <c r="O856" s="378">
        <f>AVERAGE(Ashed_controlls!$K$12:$K$14)</f>
        <v>2.2816647271287041</v>
      </c>
      <c r="P856" s="257">
        <f t="shared" si="66"/>
        <v>1.9516305920697854</v>
      </c>
      <c r="Q856" s="257">
        <f>IFERROR(INDEX('Both teabags AfterDry'!$D$2:$D$2000,MATCH(L856,'Both teabags AfterDry'!$A$2:$A$2000,0)),"")</f>
        <v>1.7509999999999999</v>
      </c>
      <c r="R856" s="257">
        <f>IFERROR(IF(Q856&gt;0,Q856-(TBIcalc!$Q$9),""),"")</f>
        <v>1.6003999999999998</v>
      </c>
      <c r="S856" s="268">
        <f>IFERROR(INDEX('Ashed teabags dry'!$K$2:$K$2000,MATCH(L856,'Ashed teabags dry'!$A$2:$A$2000,0)),"")</f>
        <v>3.5648994515537913</v>
      </c>
      <c r="T856" s="268">
        <f t="shared" si="67"/>
        <v>1.5433473491773329</v>
      </c>
      <c r="U856" s="258">
        <f>IF('Dry_Litterbag Placem_Collection'!E197="","",'Dry_Litterbag Placem_Collection'!E197)</f>
        <v>42942</v>
      </c>
      <c r="V856" s="258">
        <f>IF('Dry_Litterbag Placem_Collection'!G197="","",'Dry_Litterbag Placem_Collection'!G197)</f>
        <v>43004</v>
      </c>
      <c r="W856" s="259">
        <f t="shared" si="65"/>
        <v>62</v>
      </c>
      <c r="X856" s="257">
        <f t="shared" si="68"/>
        <v>0.39680000000000004</v>
      </c>
      <c r="Y856" s="257">
        <f t="shared" si="69"/>
        <v>0.40828324289245255</v>
      </c>
      <c r="Z856" s="261">
        <f>IFERROR(INDEX([3]Rainfall_Dry!$O$2:$O$217,MATCH(C856, [3]Rainfall_Dry!$A$2:$A$217,0)),"")</f>
        <v>171.84818423999999</v>
      </c>
      <c r="AA856" s="250">
        <v>54.080969906906262</v>
      </c>
      <c r="AB856" s="250">
        <v>21.264484651351896</v>
      </c>
      <c r="AC856" s="250">
        <v>24.654545441741845</v>
      </c>
      <c r="AD856" s="251" t="s">
        <v>2654</v>
      </c>
      <c r="AE856" s="250">
        <v>1.8433218334154755</v>
      </c>
      <c r="AF856">
        <f>IF('WetLitterbags placem_collection'!AB197="","",'WetLitterbags placem_collection'!AB197)</f>
        <v>5.13</v>
      </c>
      <c r="AG856">
        <f>IF('WetLitterbags placem_collection'!Z197="","",'WetLitterbags placem_collection'!Z197)</f>
        <v>5.13</v>
      </c>
      <c r="AH856" s="236" t="str">
        <f>IF('WetLitterbags placem_collection'!AA197="","",'WetLitterbags placem_collection'!AA197)</f>
        <v>O</v>
      </c>
      <c r="AI856">
        <f>IF('WetLitterbags placem_collection'!AC197="","",'WetLitterbags placem_collection'!AC197)</f>
        <v>1</v>
      </c>
      <c r="AJ856">
        <f>IFERROR(AVERAGE('Dry_Litterbag Placem_Collection'!O197,'Dry_Litterbag Placem_Collection'!R197),"")</f>
        <v>11.4</v>
      </c>
      <c r="AK856" s="261">
        <f>IFERROR(AVERAGE('Dry_Litterbag Placem_Collection'!N197,'Dry_Litterbag Placem_Collection'!Q197),"")</f>
        <v>28.1</v>
      </c>
      <c r="AL856">
        <v>-2.4396450349999999</v>
      </c>
      <c r="AM856">
        <v>34.83836599</v>
      </c>
      <c r="AN856" s="260" t="str">
        <f>IF(ISNUMBER(SEARCH("C", 'Dry_Litterbag Placem_Collection'!V197)),"YES","NO")</f>
        <v>NO</v>
      </c>
      <c r="AO856" s="260" t="str">
        <f>IF(ISNUMBER(SEARCH("H", 'Dry_Litterbag Placem_Collection'!V197)),"YES","NO")</f>
        <v>NO</v>
      </c>
      <c r="AP856" s="260" t="str">
        <f>IF(ISNUMBER(SEARCH("R", 'Dry_Litterbag Placem_Collection'!V197)),"YES","NO")</f>
        <v>NO</v>
      </c>
    </row>
    <row r="857" spans="1:42" ht="15" customHeight="1">
      <c r="A857" t="s">
        <v>2490</v>
      </c>
      <c r="B857" s="252" t="s">
        <v>2643</v>
      </c>
      <c r="C857" s="253">
        <f>'Dry_Litterbag Placem_Collection'!A198</f>
        <v>196</v>
      </c>
      <c r="D857" s="253" t="str">
        <f>'Dry_Litterbag Placem_Collection'!B198</f>
        <v>Makao</v>
      </c>
      <c r="E857" s="253" t="s">
        <v>2643</v>
      </c>
      <c r="F857" s="253" t="s">
        <v>2644</v>
      </c>
      <c r="G857" s="253">
        <v>1</v>
      </c>
      <c r="H857" s="253" t="s">
        <v>3105</v>
      </c>
      <c r="I857" s="254" t="str">
        <f>'Dry_Litterbag Placem_Collection'!C198</f>
        <v>Dry_Ag4_CG1</v>
      </c>
      <c r="J857" s="263" t="s">
        <v>2932</v>
      </c>
      <c r="K857" s="264" t="s">
        <v>298</v>
      </c>
      <c r="L857" s="253" t="str">
        <f>IF(ISBLANK('Dry_Litterbag Placem_Collection'!M198),"","R"&amp;""&amp;'Dry_Litterbag Placem_Collection'!M198)</f>
        <v>R709</v>
      </c>
      <c r="M857" s="257">
        <f>IFERROR(INDEX('Green_rooibos initial weight'!$C$5:$C$2000,MATCH(L857, 'Green_rooibos initial weight'!$A$5:$A$2000,0)),"")</f>
        <v>2.157</v>
      </c>
      <c r="N857" s="257">
        <f>IFERROR(M857-(TBIcalc!$Q$9+TBIcalc!$Q$10),"")</f>
        <v>1.9072</v>
      </c>
      <c r="O857" s="378">
        <f>AVERAGE(Ashed_controlls!$K$12:$K$14)</f>
        <v>2.2816647271287041</v>
      </c>
      <c r="P857" s="257">
        <f t="shared" si="66"/>
        <v>1.8636840903242013</v>
      </c>
      <c r="Q857" s="257">
        <f>IFERROR(INDEX('Both teabags AfterDry'!$D$2:$D$2000,MATCH(L857,'Both teabags AfterDry'!$A$2:$A$2000,0)),"")</f>
        <v>1.863</v>
      </c>
      <c r="R857" s="257">
        <f>IFERROR(IF(Q857&gt;0,Q857-(TBIcalc!$Q$9),""),"")</f>
        <v>1.7123999999999999</v>
      </c>
      <c r="S857" s="268">
        <f>IFERROR(INDEX('Ashed teabags dry'!$K$2:$K$2000,MATCH(L857,'Ashed teabags dry'!$A$2:$A$2000,0)),"")</f>
        <v>2.5540275049118555</v>
      </c>
      <c r="T857" s="268">
        <f t="shared" si="67"/>
        <v>1.6686648330058893</v>
      </c>
      <c r="U857" s="258">
        <f>IF('Dry_Litterbag Placem_Collection'!E198="","",'Dry_Litterbag Placem_Collection'!E198)</f>
        <v>42942</v>
      </c>
      <c r="V857" s="258">
        <f>IF('Dry_Litterbag Placem_Collection'!G198="","",'Dry_Litterbag Placem_Collection'!G198)</f>
        <v>43004</v>
      </c>
      <c r="W857" s="259">
        <f t="shared" si="65"/>
        <v>62</v>
      </c>
      <c r="X857" s="257">
        <f t="shared" si="68"/>
        <v>0.19480000000000008</v>
      </c>
      <c r="Y857" s="257">
        <f t="shared" si="69"/>
        <v>0.19501925731831204</v>
      </c>
      <c r="Z857" s="261">
        <f>IFERROR(INDEX([3]Rainfall_Dry!$O$2:$O$217,MATCH(C857, [3]Rainfall_Dry!$A$2:$A$217,0)),"")</f>
        <v>171.84818423999999</v>
      </c>
      <c r="AA857" s="250">
        <v>51.960000000000008</v>
      </c>
      <c r="AB857" s="250">
        <v>18.919999999999995</v>
      </c>
      <c r="AC857" s="250">
        <v>29.120000000000005</v>
      </c>
      <c r="AD857" s="251" t="s">
        <v>2654</v>
      </c>
      <c r="AE857" s="250">
        <v>1.85293247905372</v>
      </c>
      <c r="AF857">
        <f>IF('WetLitterbags placem_collection'!AB198="","",'WetLitterbags placem_collection'!AB198)</f>
        <v>13.8</v>
      </c>
      <c r="AG857">
        <f>IF('WetLitterbags placem_collection'!Z198="","",'WetLitterbags placem_collection'!Z198)</f>
        <v>17.399999999999999</v>
      </c>
      <c r="AH857" s="236" t="str">
        <f>IF('WetLitterbags placem_collection'!AA198="","",'WetLitterbags placem_collection'!AA198)</f>
        <v>O</v>
      </c>
      <c r="AI857">
        <f>IF('WetLitterbags placem_collection'!AC198="","",'WetLitterbags placem_collection'!AC198)</f>
        <v>1</v>
      </c>
      <c r="AJ857">
        <f>IFERROR(AVERAGE('Dry_Litterbag Placem_Collection'!O198,'Dry_Litterbag Placem_Collection'!R198),"")</f>
        <v>12.45</v>
      </c>
      <c r="AK857" s="261">
        <f>IFERROR(AVERAGE('Dry_Litterbag Placem_Collection'!N198,'Dry_Litterbag Placem_Collection'!Q198),"")</f>
        <v>26.65</v>
      </c>
      <c r="AL857">
        <v>-2.439403972</v>
      </c>
      <c r="AM857">
        <v>34.838404959999998</v>
      </c>
      <c r="AN857" s="260" t="str">
        <f>IF(ISNUMBER(SEARCH("C", 'Dry_Litterbag Placem_Collection'!V198)),"YES","NO")</f>
        <v>NO</v>
      </c>
      <c r="AO857" s="260" t="str">
        <f>IF(ISNUMBER(SEARCH("H", 'Dry_Litterbag Placem_Collection'!V198)),"YES","NO")</f>
        <v>NO</v>
      </c>
      <c r="AP857" s="260" t="str">
        <f>IF(ISNUMBER(SEARCH("R", 'Dry_Litterbag Placem_Collection'!V198)),"YES","NO")</f>
        <v>NO</v>
      </c>
    </row>
    <row r="858" spans="1:42" ht="15" customHeight="1">
      <c r="A858" t="s">
        <v>2490</v>
      </c>
      <c r="B858" s="252" t="s">
        <v>2643</v>
      </c>
      <c r="C858" s="253">
        <f>'Dry_Litterbag Placem_Collection'!A199</f>
        <v>197</v>
      </c>
      <c r="D858" s="253" t="str">
        <f>'Dry_Litterbag Placem_Collection'!B199</f>
        <v>Makao</v>
      </c>
      <c r="E858" s="253" t="s">
        <v>2643</v>
      </c>
      <c r="F858" s="253" t="s">
        <v>20</v>
      </c>
      <c r="G858" s="253">
        <v>2</v>
      </c>
      <c r="H858" s="253" t="s">
        <v>3106</v>
      </c>
      <c r="I858" s="254" t="str">
        <f>'Dry_Litterbag Placem_Collection'!C199</f>
        <v>Dry_P1_CG2</v>
      </c>
      <c r="J858" s="263" t="s">
        <v>2932</v>
      </c>
      <c r="K858" s="264" t="s">
        <v>298</v>
      </c>
      <c r="L858" s="253" t="str">
        <f>IF(ISBLANK('Dry_Litterbag Placem_Collection'!M199),"","R"&amp;""&amp;'Dry_Litterbag Placem_Collection'!M199)</f>
        <v>R131</v>
      </c>
      <c r="M858" s="257">
        <f>IFERROR(INDEX('Green_rooibos initial weight'!$C$5:$C$2000,MATCH(L858, 'Green_rooibos initial weight'!$A$5:$A$2000,0)),"")</f>
        <v>2.1560000000000001</v>
      </c>
      <c r="N858" s="257">
        <f>IFERROR(M858-(TBIcalc!$Q$9+TBIcalc!$Q$10),"")</f>
        <v>1.9062000000000001</v>
      </c>
      <c r="O858" s="378">
        <f>AVERAGE(Ashed_controlls!$K$12:$K$14)</f>
        <v>2.2816647271287041</v>
      </c>
      <c r="P858" s="257">
        <f t="shared" si="66"/>
        <v>1.8627069069714728</v>
      </c>
      <c r="Q858" s="257">
        <f>IFERROR(INDEX('Both teabags AfterDry'!$D$2:$D$2000,MATCH(L858,'Both teabags AfterDry'!$A$2:$A$2000,0)),"")</f>
        <v>1.577</v>
      </c>
      <c r="R858" s="257">
        <f>IFERROR(IF(Q858&gt;0,Q858-(TBIcalc!$Q$9),""),"")</f>
        <v>1.4263999999999999</v>
      </c>
      <c r="S858" s="268">
        <f>IFERROR(INDEX('Ashed teabags dry'!$K$2:$K$2000,MATCH(L858,'Ashed teabags dry'!$A$2:$A$2000,0)),"")</f>
        <v>8.3446712018141849</v>
      </c>
      <c r="T858" s="268">
        <f t="shared" si="67"/>
        <v>1.3073716099773223</v>
      </c>
      <c r="U858" s="258">
        <f>IF('Dry_Litterbag Placem_Collection'!E199="","",'Dry_Litterbag Placem_Collection'!E199)</f>
        <v>42942</v>
      </c>
      <c r="V858" s="258">
        <f>IF('Dry_Litterbag Placem_Collection'!G199="","",'Dry_Litterbag Placem_Collection'!G199)</f>
        <v>43004</v>
      </c>
      <c r="W858" s="259">
        <f t="shared" si="65"/>
        <v>62</v>
      </c>
      <c r="X858" s="257">
        <f t="shared" si="68"/>
        <v>0.47980000000000023</v>
      </c>
      <c r="Y858" s="257">
        <f t="shared" si="69"/>
        <v>0.55533529699415052</v>
      </c>
      <c r="Z858" s="261">
        <f>IFERROR(INDEX([3]Rainfall_Dry!$O$2:$O$217,MATCH(C858, [3]Rainfall_Dry!$A$2:$A$217,0)),"")</f>
        <v>171.84818423999999</v>
      </c>
      <c r="AA858" s="250">
        <v>23.96</v>
      </c>
      <c r="AB858" s="250">
        <v>0.91999999999999804</v>
      </c>
      <c r="AC858" s="250">
        <v>75.12</v>
      </c>
      <c r="AD858" s="251" t="s">
        <v>2651</v>
      </c>
      <c r="AE858" s="250">
        <v>1.2493839329719072</v>
      </c>
      <c r="AF858">
        <f>IF('WetLitterbags placem_collection'!AB199="","",'WetLitterbags placem_collection'!AB199)</f>
        <v>5.13</v>
      </c>
      <c r="AG858">
        <f>IF('WetLitterbags placem_collection'!Z199="","",'WetLitterbags placem_collection'!Z199)</f>
        <v>5.13</v>
      </c>
      <c r="AH858" s="236" t="str">
        <f>IF('WetLitterbags placem_collection'!AA199="","",'WetLitterbags placem_collection'!AA199)</f>
        <v>O</v>
      </c>
      <c r="AI858">
        <f>IF('WetLitterbags placem_collection'!AC199="","",'WetLitterbags placem_collection'!AC199)</f>
        <v>1</v>
      </c>
      <c r="AJ858">
        <f>IFERROR(AVERAGE('Dry_Litterbag Placem_Collection'!O199,'Dry_Litterbag Placem_Collection'!R199),"")</f>
        <v>6.3000000000000007</v>
      </c>
      <c r="AK858" s="261">
        <f>IFERROR(AVERAGE('Dry_Litterbag Placem_Collection'!N199,'Dry_Litterbag Placem_Collection'!Q199),"")</f>
        <v>29.05</v>
      </c>
      <c r="AL858">
        <v>-2.4396450349999999</v>
      </c>
      <c r="AM858">
        <v>34.83836599</v>
      </c>
      <c r="AN858" s="260" t="str">
        <f>IF(ISNUMBER(SEARCH("C", 'Dry_Litterbag Placem_Collection'!V199)),"YES","NO")</f>
        <v>NO</v>
      </c>
      <c r="AO858" s="260" t="str">
        <f>IF(ISNUMBER(SEARCH("H", 'Dry_Litterbag Placem_Collection'!V199)),"YES","NO")</f>
        <v>NO</v>
      </c>
      <c r="AP858" s="260" t="str">
        <f>IF(ISNUMBER(SEARCH("R", 'Dry_Litterbag Placem_Collection'!V199)),"YES","NO")</f>
        <v>YES</v>
      </c>
    </row>
    <row r="859" spans="1:42" ht="15" customHeight="1">
      <c r="A859" t="s">
        <v>2490</v>
      </c>
      <c r="B859" s="252" t="s">
        <v>2643</v>
      </c>
      <c r="C859" s="253">
        <f>'Dry_Litterbag Placem_Collection'!A200</f>
        <v>198</v>
      </c>
      <c r="D859" s="253" t="str">
        <f>'Dry_Litterbag Placem_Collection'!B200</f>
        <v>Makao</v>
      </c>
      <c r="E859" s="253" t="s">
        <v>2643</v>
      </c>
      <c r="F859" s="253" t="s">
        <v>20</v>
      </c>
      <c r="G859" s="253">
        <v>3</v>
      </c>
      <c r="H859" s="253" t="s">
        <v>3108</v>
      </c>
      <c r="I859" s="254" t="str">
        <f>'Dry_Litterbag Placem_Collection'!C200</f>
        <v>Dry_P2_CG3</v>
      </c>
      <c r="J859" s="263" t="s">
        <v>2932</v>
      </c>
      <c r="K859" s="264" t="s">
        <v>298</v>
      </c>
      <c r="L859" s="253" t="str">
        <f>IF(ISBLANK('Dry_Litterbag Placem_Collection'!M200),"","R"&amp;""&amp;'Dry_Litterbag Placem_Collection'!M200)</f>
        <v>R711</v>
      </c>
      <c r="M859" s="257">
        <f>IFERROR(INDEX('Green_rooibos initial weight'!$C$5:$C$2000,MATCH(L859, 'Green_rooibos initial weight'!$A$5:$A$2000,0)),"")</f>
        <v>2.13</v>
      </c>
      <c r="N859" s="257">
        <f>IFERROR(M859-(TBIcalc!$Q$9+TBIcalc!$Q$10),"")</f>
        <v>1.8801999999999999</v>
      </c>
      <c r="O859" s="378">
        <f>AVERAGE(Ashed_controlls!$K$12:$K$14)</f>
        <v>2.2816647271287041</v>
      </c>
      <c r="P859" s="257">
        <f t="shared" si="66"/>
        <v>1.837300139800526</v>
      </c>
      <c r="Q859" s="257">
        <f>IFERROR(INDEX('Both teabags AfterDry'!$D$2:$D$2000,MATCH(L859,'Both teabags AfterDry'!$A$2:$A$2000,0)),"")</f>
        <v>1.7210000000000001</v>
      </c>
      <c r="R859" s="257">
        <f>IFERROR(IF(Q859&gt;0,Q859-(TBIcalc!$Q$9),""),"")</f>
        <v>1.5704</v>
      </c>
      <c r="S859" s="268">
        <f>IFERROR(INDEX('Ashed teabags dry'!$K$2:$K$2000,MATCH(L859,'Ashed teabags dry'!$A$2:$A$2000,0)),"")</f>
        <v>4.205838693715986</v>
      </c>
      <c r="T859" s="268">
        <f t="shared" si="67"/>
        <v>1.5043515091538842</v>
      </c>
      <c r="U859" s="258">
        <f>IF('Dry_Litterbag Placem_Collection'!E200="","",'Dry_Litterbag Placem_Collection'!E200)</f>
        <v>42942</v>
      </c>
      <c r="V859" s="258">
        <f>IF('Dry_Litterbag Placem_Collection'!G200="","",'Dry_Litterbag Placem_Collection'!G200)</f>
        <v>43004</v>
      </c>
      <c r="W859" s="259">
        <f t="shared" si="65"/>
        <v>62</v>
      </c>
      <c r="X859" s="257">
        <f t="shared" si="68"/>
        <v>0.30979999999999985</v>
      </c>
      <c r="Y859" s="257">
        <f t="shared" si="69"/>
        <v>0.33294863064664182</v>
      </c>
      <c r="Z859" s="261">
        <f>IFERROR(INDEX([3]Rainfall_Dry!$O$2:$O$217,MATCH(C859, [3]Rainfall_Dry!$A$2:$A$217,0)),"")</f>
        <v>171.84818423999999</v>
      </c>
      <c r="AA859" s="250">
        <v>19.96</v>
      </c>
      <c r="AB859" s="250">
        <v>4.9199999999999982</v>
      </c>
      <c r="AC859" s="250">
        <v>75.12</v>
      </c>
      <c r="AD859" s="251" t="s">
        <v>2652</v>
      </c>
      <c r="AE859" s="250">
        <v>1.641498275012321</v>
      </c>
      <c r="AF859">
        <f>IF('WetLitterbags placem_collection'!AB200="","",'WetLitterbags placem_collection'!AB200)</f>
        <v>7.9</v>
      </c>
      <c r="AG859">
        <f>IF('WetLitterbags placem_collection'!Z200="","",'WetLitterbags placem_collection'!Z200)</f>
        <v>7.9</v>
      </c>
      <c r="AH859" s="236" t="str">
        <f>IF('WetLitterbags placem_collection'!AA200="","",'WetLitterbags placem_collection'!AA200)</f>
        <v>O</v>
      </c>
      <c r="AI859">
        <f>IF('WetLitterbags placem_collection'!AC200="","",'WetLitterbags placem_collection'!AC200)</f>
        <v>1</v>
      </c>
      <c r="AJ859">
        <f>IFERROR(AVERAGE('Dry_Litterbag Placem_Collection'!O200,'Dry_Litterbag Placem_Collection'!R200),"")</f>
        <v>4.8499999999999996</v>
      </c>
      <c r="AK859" s="261">
        <f>IFERROR(AVERAGE('Dry_Litterbag Placem_Collection'!N200,'Dry_Litterbag Placem_Collection'!Q200),"")</f>
        <v>30.25</v>
      </c>
      <c r="AL859">
        <v>-2.4395990190000001</v>
      </c>
      <c r="AM859">
        <v>34.838418959999998</v>
      </c>
      <c r="AN859" s="260" t="str">
        <f>IF(ISNUMBER(SEARCH("C", 'Dry_Litterbag Placem_Collection'!V200)),"YES","NO")</f>
        <v>NO</v>
      </c>
      <c r="AO859" s="260" t="str">
        <f>IF(ISNUMBER(SEARCH("H", 'Dry_Litterbag Placem_Collection'!V200)),"YES","NO")</f>
        <v>NO</v>
      </c>
      <c r="AP859" s="260" t="str">
        <f>IF(ISNUMBER(SEARCH("R", 'Dry_Litterbag Placem_Collection'!V200)),"YES","NO")</f>
        <v>YES</v>
      </c>
    </row>
    <row r="860" spans="1:42" ht="15" customHeight="1">
      <c r="A860" t="s">
        <v>2490</v>
      </c>
      <c r="B860" s="252" t="s">
        <v>2643</v>
      </c>
      <c r="C860" s="253">
        <f>'Dry_Litterbag Placem_Collection'!A201</f>
        <v>199</v>
      </c>
      <c r="D860" s="253" t="str">
        <f>'Dry_Litterbag Placem_Collection'!B201</f>
        <v>Makao</v>
      </c>
      <c r="E860" s="253" t="s">
        <v>2643</v>
      </c>
      <c r="F860" s="253" t="s">
        <v>20</v>
      </c>
      <c r="G860" s="253">
        <v>1</v>
      </c>
      <c r="H860" s="253" t="s">
        <v>3109</v>
      </c>
      <c r="I860" s="254" t="str">
        <f>'Dry_Litterbag Placem_Collection'!C201</f>
        <v>Dry_P3_CG1</v>
      </c>
      <c r="J860" s="263" t="s">
        <v>2932</v>
      </c>
      <c r="K860" s="264" t="s">
        <v>298</v>
      </c>
      <c r="L860" s="253" t="str">
        <f>IF(ISBLANK('Dry_Litterbag Placem_Collection'!M201),"","R"&amp;""&amp;'Dry_Litterbag Placem_Collection'!M201)</f>
        <v>R236</v>
      </c>
      <c r="M860" s="257">
        <f>IFERROR(INDEX('Green_rooibos initial weight'!$C$5:$C$2000,MATCH(L860, 'Green_rooibos initial weight'!$A$5:$A$2000,0)),"")</f>
        <v>2.2440000000000002</v>
      </c>
      <c r="N860" s="257">
        <f>IFERROR(M860-(TBIcalc!$Q$9+TBIcalc!$Q$10),"")</f>
        <v>1.9942000000000002</v>
      </c>
      <c r="O860" s="378">
        <f>AVERAGE(Ashed_controlls!$K$12:$K$14)</f>
        <v>2.2816647271287041</v>
      </c>
      <c r="P860" s="257">
        <f t="shared" si="66"/>
        <v>1.9486990420115995</v>
      </c>
      <c r="Q860" s="257">
        <f>IFERROR(INDEX('Both teabags AfterDry'!$D$2:$D$2000,MATCH(L860,'Both teabags AfterDry'!$A$2:$A$2000,0)),"")</f>
        <v>1.62</v>
      </c>
      <c r="R860" s="257">
        <f>IFERROR(IF(Q860&gt;0,Q860-(TBIcalc!$Q$9),""),"")</f>
        <v>1.4694</v>
      </c>
      <c r="S860" s="268">
        <f>IFERROR(INDEX('Ashed teabags dry'!$K$2:$K$2000,MATCH(L860,'Ashed teabags dry'!$A$2:$A$2000,0)),"")</f>
        <v>2.5580293699667425</v>
      </c>
      <c r="T860" s="268">
        <f t="shared" si="67"/>
        <v>1.4318123164377088</v>
      </c>
      <c r="U860" s="258">
        <f>IF('Dry_Litterbag Placem_Collection'!E201="","",'Dry_Litterbag Placem_Collection'!E201)</f>
        <v>42942</v>
      </c>
      <c r="V860" s="258">
        <f>IF('Dry_Litterbag Placem_Collection'!G201="","",'Dry_Litterbag Placem_Collection'!G201)</f>
        <v>43004</v>
      </c>
      <c r="W860" s="259">
        <f t="shared" si="65"/>
        <v>62</v>
      </c>
      <c r="X860" s="257">
        <f t="shared" si="68"/>
        <v>0.52480000000000016</v>
      </c>
      <c r="Y860" s="257">
        <f t="shared" si="69"/>
        <v>0.5168867255738907</v>
      </c>
      <c r="Z860" s="261">
        <f>IFERROR(INDEX([3]Rainfall_Dry!$O$2:$O$217,MATCH(C860, [3]Rainfall_Dry!$A$2:$A$217,0)),"")</f>
        <v>171.84818423999999</v>
      </c>
      <c r="AA860" s="250">
        <v>21.96</v>
      </c>
      <c r="AB860" s="250">
        <v>8.9199999999999982</v>
      </c>
      <c r="AC860" s="250">
        <v>69.12</v>
      </c>
      <c r="AD860" s="251" t="s">
        <v>2651</v>
      </c>
      <c r="AE860" s="250">
        <v>1.7491375061606702</v>
      </c>
      <c r="AF860">
        <f>IF('WetLitterbags placem_collection'!AB201="","",'WetLitterbags placem_collection'!AB201)</f>
        <v>13.8</v>
      </c>
      <c r="AG860">
        <f>IF('WetLitterbags placem_collection'!Z201="","",'WetLitterbags placem_collection'!Z201)</f>
        <v>17.399999999999999</v>
      </c>
      <c r="AH860" s="236" t="str">
        <f>IF('WetLitterbags placem_collection'!AA201="","",'WetLitterbags placem_collection'!AA201)</f>
        <v>O</v>
      </c>
      <c r="AI860">
        <f>IF('WetLitterbags placem_collection'!AC201="","",'WetLitterbags placem_collection'!AC201)</f>
        <v>1</v>
      </c>
      <c r="AJ860">
        <f>IFERROR(AVERAGE('Dry_Litterbag Placem_Collection'!O201,'Dry_Litterbag Placem_Collection'!R201),"")</f>
        <v>6.1999999999999993</v>
      </c>
      <c r="AK860" s="261">
        <f>IFERROR(AVERAGE('Dry_Litterbag Placem_Collection'!N201,'Dry_Litterbag Placem_Collection'!Q201),"")</f>
        <v>27.200000000000003</v>
      </c>
      <c r="AL860">
        <v>-2.439403972</v>
      </c>
      <c r="AM860">
        <v>34.838404959999998</v>
      </c>
      <c r="AN860" s="260" t="str">
        <f>IF(ISNUMBER(SEARCH("C", 'Dry_Litterbag Placem_Collection'!V201)),"YES","NO")</f>
        <v>NO</v>
      </c>
      <c r="AO860" s="260" t="str">
        <f>IF(ISNUMBER(SEARCH("H", 'Dry_Litterbag Placem_Collection'!V201)),"YES","NO")</f>
        <v>NO</v>
      </c>
      <c r="AP860" s="260" t="str">
        <f>IF(ISNUMBER(SEARCH("R", 'Dry_Litterbag Placem_Collection'!V201)),"YES","NO")</f>
        <v>YES</v>
      </c>
    </row>
    <row r="861" spans="1:42" ht="15" customHeight="1">
      <c r="A861" t="s">
        <v>2490</v>
      </c>
      <c r="B861" s="252" t="s">
        <v>2643</v>
      </c>
      <c r="C861" s="253">
        <f>'Dry_Litterbag Placem_Collection'!A202</f>
        <v>200</v>
      </c>
      <c r="D861" s="253" t="str">
        <f>'Dry_Litterbag Placem_Collection'!B202</f>
        <v>Makao</v>
      </c>
      <c r="E861" s="253" t="s">
        <v>2643</v>
      </c>
      <c r="F861" s="253" t="s">
        <v>20</v>
      </c>
      <c r="G861" s="253">
        <v>4</v>
      </c>
      <c r="H861" s="253" t="s">
        <v>3110</v>
      </c>
      <c r="I861" s="254" t="str">
        <f>'Dry_Litterbag Placem_Collection'!C202</f>
        <v>Dry_P4_CG4</v>
      </c>
      <c r="J861" s="263" t="s">
        <v>2932</v>
      </c>
      <c r="K861" s="264" t="s">
        <v>298</v>
      </c>
      <c r="L861" s="253" t="str">
        <f>IF(ISBLANK('Dry_Litterbag Placem_Collection'!M202),"","R"&amp;""&amp;'Dry_Litterbag Placem_Collection'!M202)</f>
        <v>R205</v>
      </c>
      <c r="M861" s="257">
        <f>IFERROR(INDEX('Green_rooibos initial weight'!$C$5:$C$2000,MATCH(L861, 'Green_rooibos initial weight'!$A$5:$A$2000,0)),"")</f>
        <v>2.181</v>
      </c>
      <c r="N861" s="257">
        <f>IFERROR(M861-(TBIcalc!$Q$9+TBIcalc!$Q$10),"")</f>
        <v>1.9312</v>
      </c>
      <c r="O861" s="378">
        <f>AVERAGE(Ashed_controlls!$K$12:$K$14)</f>
        <v>2.2816647271287041</v>
      </c>
      <c r="P861" s="257">
        <f t="shared" si="66"/>
        <v>1.8871364907896906</v>
      </c>
      <c r="Q861" s="257">
        <f>IFERROR(INDEX('Both teabags AfterDry'!$D$2:$D$2000,MATCH(L861,'Both teabags AfterDry'!$A$2:$A$2000,0)),"")</f>
        <v>1.6595</v>
      </c>
      <c r="R861" s="257">
        <f>IFERROR(IF(Q861&gt;0,Q861-(TBIcalc!$Q$9),""),"")</f>
        <v>1.5088999999999999</v>
      </c>
      <c r="S861" s="268">
        <f>IFERROR(INDEX('Ashed teabags dry'!$K$2:$K$2000,MATCH(L861,'Ashed teabags dry'!$A$2:$A$2000,0)),"")</f>
        <v>2.2522522522528168</v>
      </c>
      <c r="T861" s="268">
        <f t="shared" si="67"/>
        <v>1.4749157657657572</v>
      </c>
      <c r="U861" s="258">
        <f>IF('Dry_Litterbag Placem_Collection'!E202="","",'Dry_Litterbag Placem_Collection'!E202)</f>
        <v>42942</v>
      </c>
      <c r="V861" s="258">
        <f>IF('Dry_Litterbag Placem_Collection'!G202="","",'Dry_Litterbag Placem_Collection'!G202)</f>
        <v>43004</v>
      </c>
      <c r="W861" s="259">
        <f t="shared" si="65"/>
        <v>62</v>
      </c>
      <c r="X861" s="257">
        <f t="shared" si="68"/>
        <v>0.42230000000000012</v>
      </c>
      <c r="Y861" s="257">
        <f t="shared" si="69"/>
        <v>0.41222072502393337</v>
      </c>
      <c r="Z861" s="261">
        <f>IFERROR(INDEX([3]Rainfall_Dry!$O$2:$O$217,MATCH(C861, [3]Rainfall_Dry!$A$2:$A$217,0)),"")</f>
        <v>171.84818423999999</v>
      </c>
      <c r="AA861" s="250">
        <v>25.96</v>
      </c>
      <c r="AB861" s="250">
        <v>6.9200000000000008</v>
      </c>
      <c r="AC861" s="250">
        <v>67.12</v>
      </c>
      <c r="AD861" s="251" t="s">
        <v>2651</v>
      </c>
      <c r="AE861" s="250">
        <v>1.7568260226712666</v>
      </c>
      <c r="AF861">
        <f>IF('WetLitterbags placem_collection'!AB202="","",'WetLitterbags placem_collection'!AB202)</f>
        <v>15.2</v>
      </c>
      <c r="AG861">
        <f>IF('WetLitterbags placem_collection'!Z202="","",'WetLitterbags placem_collection'!Z202)</f>
        <v>12.2</v>
      </c>
      <c r="AH861" s="236" t="str">
        <f>IF('WetLitterbags placem_collection'!AA202="","",'WetLitterbags placem_collection'!AA202)</f>
        <v>O</v>
      </c>
      <c r="AI861">
        <f>IF('WetLitterbags placem_collection'!AC202="","",'WetLitterbags placem_collection'!AC202)</f>
        <v>1</v>
      </c>
      <c r="AJ861">
        <f>IFERROR(AVERAGE('Dry_Litterbag Placem_Collection'!O202,'Dry_Litterbag Placem_Collection'!R202),"")</f>
        <v>7</v>
      </c>
      <c r="AK861" s="261">
        <f>IFERROR(AVERAGE('Dry_Litterbag Placem_Collection'!N202,'Dry_Litterbag Placem_Collection'!Q202),"")</f>
        <v>32.9</v>
      </c>
      <c r="AL861">
        <v>-2.4396949910000001</v>
      </c>
      <c r="AM861">
        <v>34.838574029999997</v>
      </c>
      <c r="AN861" s="260" t="str">
        <f>IF(ISNUMBER(SEARCH("C", 'Dry_Litterbag Placem_Collection'!V202)),"YES","NO")</f>
        <v>NO</v>
      </c>
      <c r="AO861" s="260" t="str">
        <f>IF(ISNUMBER(SEARCH("H", 'Dry_Litterbag Placem_Collection'!V202)),"YES","NO")</f>
        <v>NO</v>
      </c>
      <c r="AP861" s="260" t="str">
        <f>IF(ISNUMBER(SEARCH("R", 'Dry_Litterbag Placem_Collection'!V202)),"YES","NO")</f>
        <v>YES</v>
      </c>
    </row>
    <row r="862" spans="1:42" ht="15" customHeight="1">
      <c r="A862" t="s">
        <v>2490</v>
      </c>
      <c r="B862" s="252" t="s">
        <v>2643</v>
      </c>
      <c r="C862" s="253">
        <f>'Dry_Litterbag Placem_Collection'!A203</f>
        <v>201</v>
      </c>
      <c r="D862" s="253" t="str">
        <f>'Dry_Litterbag Placem_Collection'!B203</f>
        <v>Maswa</v>
      </c>
      <c r="E862" s="253" t="s">
        <v>2643</v>
      </c>
      <c r="F862" s="253" t="s">
        <v>2645</v>
      </c>
      <c r="G862" s="253">
        <v>4</v>
      </c>
      <c r="H862" s="253" t="s">
        <v>3114</v>
      </c>
      <c r="I862" s="254" t="str">
        <f>'Dry_Litterbag Placem_Collection'!C203</f>
        <v>Dry_W3_CG4</v>
      </c>
      <c r="J862" s="263" t="s">
        <v>2932</v>
      </c>
      <c r="K862" s="264" t="s">
        <v>298</v>
      </c>
      <c r="L862" s="253" t="str">
        <f>IF(ISBLANK('Dry_Litterbag Placem_Collection'!M203),"","R"&amp;""&amp;'Dry_Litterbag Placem_Collection'!M203)</f>
        <v>R665</v>
      </c>
      <c r="M862" s="257">
        <f>IFERROR(INDEX('Green_rooibos initial weight'!$C$5:$C$2000,MATCH(L862, 'Green_rooibos initial weight'!$A$5:$A$2000,0)),"")</f>
        <v>2.1579999999999999</v>
      </c>
      <c r="N862" s="257">
        <f>IFERROR(M862-(TBIcalc!$Q$9+TBIcalc!$Q$10),"")</f>
        <v>1.9081999999999999</v>
      </c>
      <c r="O862" s="378">
        <f>AVERAGE(Ashed_controlls!$K$12:$K$14)</f>
        <v>2.2816647271287041</v>
      </c>
      <c r="P862" s="257">
        <f t="shared" si="66"/>
        <v>1.8646612736769299</v>
      </c>
      <c r="Q862" s="257">
        <f>IFERROR(INDEX('Both teabags AfterDry'!$D$2:$D$2000,MATCH(L862,'Both teabags AfterDry'!$A$2:$A$2000,0)),"")</f>
        <v>1.7869999999999999</v>
      </c>
      <c r="R862" s="257">
        <f>IFERROR(IF(Q862&gt;0,Q862-(TBIcalc!$Q$9),""),"")</f>
        <v>1.6363999999999999</v>
      </c>
      <c r="S862" s="268">
        <f>IFERROR(INDEX('Ashed teabags dry'!$K$2:$K$2000,MATCH(L862,'Ashed teabags dry'!$A$2:$A$2000,0)),"")</f>
        <v>6.3397721644379263</v>
      </c>
      <c r="T862" s="268">
        <f t="shared" si="67"/>
        <v>1.5326559683011376</v>
      </c>
      <c r="U862" s="258">
        <f>IF('Dry_Litterbag Placem_Collection'!E203="","",'Dry_Litterbag Placem_Collection'!E203)</f>
        <v>42942</v>
      </c>
      <c r="V862" s="258">
        <f>IF('Dry_Litterbag Placem_Collection'!G203="","",'Dry_Litterbag Placem_Collection'!G203)</f>
        <v>43004</v>
      </c>
      <c r="W862" s="259">
        <f t="shared" si="65"/>
        <v>62</v>
      </c>
      <c r="X862" s="257">
        <f t="shared" si="68"/>
        <v>0.27180000000000004</v>
      </c>
      <c r="Y862" s="257">
        <f t="shared" si="69"/>
        <v>0.33200530537579231</v>
      </c>
      <c r="Z862" s="261">
        <f>IFERROR(INDEX([3]Rainfall_Dry!$O$2:$O$217,MATCH(C862, [3]Rainfall_Dry!$A$2:$A$217,0)),"")</f>
        <v>171.84818423999999</v>
      </c>
      <c r="AA862" s="250">
        <v>38.691629007962128</v>
      </c>
      <c r="AB862" s="250">
        <v>26.81299763288143</v>
      </c>
      <c r="AC862" s="250">
        <v>34.495373359156439</v>
      </c>
      <c r="AD862" s="251" t="s">
        <v>2656</v>
      </c>
      <c r="AE862" s="250">
        <v>2.5483587974371611</v>
      </c>
      <c r="AF862">
        <f>IF('WetLitterbags placem_collection'!AB203="","",'WetLitterbags placem_collection'!AB203)</f>
        <v>15.2</v>
      </c>
      <c r="AG862">
        <f>IF('WetLitterbags placem_collection'!Z203="","",'WetLitterbags placem_collection'!Z203)</f>
        <v>12.2</v>
      </c>
      <c r="AH862" s="236" t="str">
        <f>IF('WetLitterbags placem_collection'!AA203="","",'WetLitterbags placem_collection'!AA203)</f>
        <v>O</v>
      </c>
      <c r="AI862">
        <f>IF('WetLitterbags placem_collection'!AC203="","",'WetLitterbags placem_collection'!AC203)</f>
        <v>1</v>
      </c>
      <c r="AJ862">
        <f>IFERROR(AVERAGE('Dry_Litterbag Placem_Collection'!O203,'Dry_Litterbag Placem_Collection'!R203),"")</f>
        <v>8.9</v>
      </c>
      <c r="AK862" s="261">
        <f>IFERROR(AVERAGE('Dry_Litterbag Placem_Collection'!N203,'Dry_Litterbag Placem_Collection'!Q203),"")</f>
        <v>29.15</v>
      </c>
      <c r="AL862">
        <v>-2.4396949910000001</v>
      </c>
      <c r="AM862">
        <v>34.838574029999997</v>
      </c>
      <c r="AN862" s="260" t="str">
        <f>IF(ISNUMBER(SEARCH("C", 'Dry_Litterbag Placem_Collection'!V203)),"YES","NO")</f>
        <v>NO</v>
      </c>
      <c r="AO862" s="260" t="str">
        <f>IF(ISNUMBER(SEARCH("H", 'Dry_Litterbag Placem_Collection'!V203)),"YES","NO")</f>
        <v>NO</v>
      </c>
      <c r="AP862" s="260" t="str">
        <f>IF(ISNUMBER(SEARCH("R", 'Dry_Litterbag Placem_Collection'!V203)),"YES","NO")</f>
        <v>YES</v>
      </c>
    </row>
    <row r="863" spans="1:42" ht="15" customHeight="1">
      <c r="A863" t="s">
        <v>2490</v>
      </c>
      <c r="B863" s="252" t="s">
        <v>2643</v>
      </c>
      <c r="C863" s="253">
        <f>'Dry_Litterbag Placem_Collection'!A204</f>
        <v>202</v>
      </c>
      <c r="D863" s="253" t="str">
        <f>'Dry_Litterbag Placem_Collection'!B204</f>
        <v>Maswa</v>
      </c>
      <c r="E863" s="253" t="s">
        <v>2643</v>
      </c>
      <c r="F863" s="253" t="s">
        <v>2645</v>
      </c>
      <c r="G863" s="253">
        <v>1</v>
      </c>
      <c r="H863" s="253" t="s">
        <v>3113</v>
      </c>
      <c r="I863" s="254" t="str">
        <f>'Dry_Litterbag Placem_Collection'!C204</f>
        <v>Dry_W2_CG1</v>
      </c>
      <c r="J863" s="263" t="s">
        <v>2932</v>
      </c>
      <c r="K863" s="264" t="s">
        <v>298</v>
      </c>
      <c r="L863" s="253" t="str">
        <f>IF(ISBLANK('Dry_Litterbag Placem_Collection'!M204),"","R"&amp;""&amp;'Dry_Litterbag Placem_Collection'!M204)</f>
        <v>R224</v>
      </c>
      <c r="M863" s="257">
        <f>IFERROR(INDEX('Green_rooibos initial weight'!$C$5:$C$2000,MATCH(L863, 'Green_rooibos initial weight'!$A$5:$A$2000,0)),"")</f>
        <v>2.298</v>
      </c>
      <c r="N863" s="257">
        <f>IFERROR(M863-(TBIcalc!$Q$9+TBIcalc!$Q$10),"")</f>
        <v>2.0482</v>
      </c>
      <c r="O863" s="378">
        <f>AVERAGE(Ashed_controlls!$K$12:$K$14)</f>
        <v>2.2816647271287041</v>
      </c>
      <c r="P863" s="257">
        <f t="shared" si="66"/>
        <v>2.0014669430589498</v>
      </c>
      <c r="Q863" s="257">
        <f>IFERROR(INDEX('Both teabags AfterDry'!$D$2:$D$2000,MATCH(L863,'Both teabags AfterDry'!$A$2:$A$2000,0)),"")</f>
        <v>1.8384</v>
      </c>
      <c r="R863" s="257">
        <f>IFERROR(IF(Q863&gt;0,Q863-(TBIcalc!$Q$9),""),"")</f>
        <v>1.6878</v>
      </c>
      <c r="S863" s="268">
        <f>IFERROR(INDEX('Ashed teabags dry'!$K$2:$K$2000,MATCH(L863,'Ashed teabags dry'!$A$2:$A$2000,0)),"")</f>
        <v>11.207685269899079</v>
      </c>
      <c r="T863" s="268">
        <f t="shared" si="67"/>
        <v>1.4986366880146433</v>
      </c>
      <c r="U863" s="258">
        <f>IF('Dry_Litterbag Placem_Collection'!E204="","",'Dry_Litterbag Placem_Collection'!E204)</f>
        <v>42942</v>
      </c>
      <c r="V863" s="258">
        <f>IF('Dry_Litterbag Placem_Collection'!G204="","",'Dry_Litterbag Placem_Collection'!G204)</f>
        <v>43004</v>
      </c>
      <c r="W863" s="259">
        <f t="shared" si="65"/>
        <v>62</v>
      </c>
      <c r="X863" s="257">
        <f t="shared" si="68"/>
        <v>0.36040000000000005</v>
      </c>
      <c r="Y863" s="257">
        <f t="shared" si="69"/>
        <v>0.50283025504430645</v>
      </c>
      <c r="Z863" s="261">
        <f>IFERROR(INDEX([3]Rainfall_Dry!$O$2:$O$217,MATCH(C863, [3]Rainfall_Dry!$A$2:$A$217,0)),"")</f>
        <v>171.84818423999999</v>
      </c>
      <c r="AA863" s="250">
        <v>45.272914521112256</v>
      </c>
      <c r="AB863" s="250">
        <v>23.604531410916575</v>
      </c>
      <c r="AC863" s="250">
        <v>31.122554067971166</v>
      </c>
      <c r="AD863" s="251" t="s">
        <v>2654</v>
      </c>
      <c r="AE863" s="250">
        <v>2.0547560374568752</v>
      </c>
      <c r="AF863">
        <f>IF('WetLitterbags placem_collection'!AB204="","",'WetLitterbags placem_collection'!AB204)</f>
        <v>13.8</v>
      </c>
      <c r="AG863">
        <f>IF('WetLitterbags placem_collection'!Z204="","",'WetLitterbags placem_collection'!Z204)</f>
        <v>17.399999999999999</v>
      </c>
      <c r="AH863" s="236" t="str">
        <f>IF('WetLitterbags placem_collection'!AA204="","",'WetLitterbags placem_collection'!AA204)</f>
        <v>O</v>
      </c>
      <c r="AI863">
        <f>IF('WetLitterbags placem_collection'!AC204="","",'WetLitterbags placem_collection'!AC204)</f>
        <v>1</v>
      </c>
      <c r="AJ863">
        <f>IFERROR(AVERAGE('Dry_Litterbag Placem_Collection'!O204,'Dry_Litterbag Placem_Collection'!R204),"")</f>
        <v>6.3</v>
      </c>
      <c r="AK863" s="261">
        <f>IFERROR(AVERAGE('Dry_Litterbag Placem_Collection'!N204,'Dry_Litterbag Placem_Collection'!Q204),"")</f>
        <v>28.85</v>
      </c>
      <c r="AL863">
        <v>-2.439403972</v>
      </c>
      <c r="AM863">
        <v>34.838404959999998</v>
      </c>
      <c r="AN863" s="260" t="str">
        <f>IF(ISNUMBER(SEARCH("C", 'Dry_Litterbag Placem_Collection'!V204)),"YES","NO")</f>
        <v>NO</v>
      </c>
      <c r="AO863" s="260" t="str">
        <f>IF(ISNUMBER(SEARCH("H", 'Dry_Litterbag Placem_Collection'!V204)),"YES","NO")</f>
        <v>NO</v>
      </c>
      <c r="AP863" s="260" t="str">
        <f>IF(ISNUMBER(SEARCH("R", 'Dry_Litterbag Placem_Collection'!V204)),"YES","NO")</f>
        <v>YES</v>
      </c>
    </row>
    <row r="864" spans="1:42" ht="15" customHeight="1">
      <c r="A864" t="s">
        <v>2490</v>
      </c>
      <c r="B864" s="252" t="s">
        <v>2643</v>
      </c>
      <c r="C864" s="253">
        <f>'Dry_Litterbag Placem_Collection'!A205</f>
        <v>203</v>
      </c>
      <c r="D864" s="253" t="str">
        <f>'Dry_Litterbag Placem_Collection'!B205</f>
        <v>Maswa</v>
      </c>
      <c r="E864" s="253" t="s">
        <v>2643</v>
      </c>
      <c r="F864" s="253" t="s">
        <v>2645</v>
      </c>
      <c r="G864" s="253">
        <v>2</v>
      </c>
      <c r="H864" s="253" t="s">
        <v>3111</v>
      </c>
      <c r="I864" s="254" t="str">
        <f>'Dry_Litterbag Placem_Collection'!C205</f>
        <v>Dry_W1_CG2</v>
      </c>
      <c r="J864" s="263" t="s">
        <v>2932</v>
      </c>
      <c r="K864" s="264" t="s">
        <v>298</v>
      </c>
      <c r="L864" s="253" t="str">
        <f>IF(ISBLANK('Dry_Litterbag Placem_Collection'!M205),"","R"&amp;""&amp;'Dry_Litterbag Placem_Collection'!M205)</f>
        <v>R621</v>
      </c>
      <c r="M864" s="257">
        <f>IFERROR(INDEX('Green_rooibos initial weight'!$C$5:$C$2000,MATCH(L864, 'Green_rooibos initial weight'!$A$5:$A$2000,0)),"")</f>
        <v>2.0459999999999998</v>
      </c>
      <c r="N864" s="257">
        <f>IFERROR(M864-(TBIcalc!$Q$9+TBIcalc!$Q$10),"")</f>
        <v>1.7961999999999998</v>
      </c>
      <c r="O864" s="378">
        <f>AVERAGE(Ashed_controlls!$K$12:$K$14)</f>
        <v>2.2816647271287041</v>
      </c>
      <c r="P864" s="257">
        <f t="shared" si="66"/>
        <v>1.755216738171314</v>
      </c>
      <c r="Q864" s="257">
        <f>IFERROR(INDEX('Both teabags AfterDry'!$D$2:$D$2000,MATCH(L864,'Both teabags AfterDry'!$A$2:$A$2000,0)),"")</f>
        <v>1.6888000000000001</v>
      </c>
      <c r="R864" s="257">
        <f>IFERROR(IF(Q864&gt;0,Q864-(TBIcalc!$Q$9),""),"")</f>
        <v>1.5382</v>
      </c>
      <c r="S864" s="268">
        <f>IFERROR(INDEX('Ashed teabags dry'!$K$2:$K$2000,MATCH(L864,'Ashed teabags dry'!$A$2:$A$2000,0)),"")</f>
        <v>4.0788883908559299</v>
      </c>
      <c r="T864" s="268">
        <f t="shared" si="67"/>
        <v>1.4754585387718542</v>
      </c>
      <c r="U864" s="258">
        <f>IF('Dry_Litterbag Placem_Collection'!E205="","",'Dry_Litterbag Placem_Collection'!E205)</f>
        <v>42942</v>
      </c>
      <c r="V864" s="258">
        <f>IF('Dry_Litterbag Placem_Collection'!G205="","",'Dry_Litterbag Placem_Collection'!G205)</f>
        <v>43004</v>
      </c>
      <c r="W864" s="259">
        <f t="shared" si="65"/>
        <v>62</v>
      </c>
      <c r="X864" s="257">
        <f t="shared" si="68"/>
        <v>0.25799999999999979</v>
      </c>
      <c r="Y864" s="257">
        <f t="shared" si="69"/>
        <v>0.27975819939945978</v>
      </c>
      <c r="Z864" s="261">
        <f>IFERROR(INDEX([3]Rainfall_Dry!$O$2:$O$217,MATCH(C864, [3]Rainfall_Dry!$A$2:$A$217,0)),"")</f>
        <v>171.84818423999999</v>
      </c>
      <c r="AA864" s="250">
        <v>47.96</v>
      </c>
      <c r="AB864" s="250">
        <v>22.919999999999995</v>
      </c>
      <c r="AC864" s="250">
        <v>29.120000000000012</v>
      </c>
      <c r="AD864" s="251" t="s">
        <v>2654</v>
      </c>
      <c r="AE864" s="250">
        <v>2.8831936914736325</v>
      </c>
      <c r="AF864">
        <f>IF('WetLitterbags placem_collection'!AB205="","",'WetLitterbags placem_collection'!AB205)</f>
        <v>5.13</v>
      </c>
      <c r="AG864">
        <f>IF('WetLitterbags placem_collection'!Z205="","",'WetLitterbags placem_collection'!Z205)</f>
        <v>5.13</v>
      </c>
      <c r="AH864" s="236" t="str">
        <f>IF('WetLitterbags placem_collection'!AA205="","",'WetLitterbags placem_collection'!AA205)</f>
        <v>O</v>
      </c>
      <c r="AI864">
        <f>IF('WetLitterbags placem_collection'!AC205="","",'WetLitterbags placem_collection'!AC205)</f>
        <v>1</v>
      </c>
      <c r="AJ864">
        <f>IFERROR(AVERAGE('Dry_Litterbag Placem_Collection'!O205,'Dry_Litterbag Placem_Collection'!R205),"")</f>
        <v>10.100000000000001</v>
      </c>
      <c r="AK864" s="261">
        <f>IFERROR(AVERAGE('Dry_Litterbag Placem_Collection'!N205,'Dry_Litterbag Placem_Collection'!Q205),"")</f>
        <v>28.299999999999997</v>
      </c>
      <c r="AL864">
        <v>-2.4396450349999999</v>
      </c>
      <c r="AM864">
        <v>34.83836599</v>
      </c>
      <c r="AN864" s="260" t="str">
        <f>IF(ISNUMBER(SEARCH("C", 'Dry_Litterbag Placem_Collection'!V205)),"YES","NO")</f>
        <v>NO</v>
      </c>
      <c r="AO864" s="260" t="str">
        <f>IF(ISNUMBER(SEARCH("H", 'Dry_Litterbag Placem_Collection'!V205)),"YES","NO")</f>
        <v>NO</v>
      </c>
      <c r="AP864" s="260" t="str">
        <f>IF(ISNUMBER(SEARCH("R", 'Dry_Litterbag Placem_Collection'!V205)),"YES","NO")</f>
        <v>YES</v>
      </c>
    </row>
    <row r="865" spans="1:42" ht="15" customHeight="1">
      <c r="A865" t="s">
        <v>2490</v>
      </c>
      <c r="B865" s="252" t="s">
        <v>2643</v>
      </c>
      <c r="C865" s="253">
        <f>'Dry_Litterbag Placem_Collection'!A206</f>
        <v>204</v>
      </c>
      <c r="D865" s="253" t="str">
        <f>'Dry_Litterbag Placem_Collection'!B206</f>
        <v>Maswa</v>
      </c>
      <c r="E865" s="253" t="s">
        <v>2643</v>
      </c>
      <c r="F865" s="253" t="s">
        <v>2645</v>
      </c>
      <c r="G865" s="253">
        <v>3</v>
      </c>
      <c r="H865" s="253" t="s">
        <v>3115</v>
      </c>
      <c r="I865" s="254" t="str">
        <f>'Dry_Litterbag Placem_Collection'!C206</f>
        <v>Dry_W4_CG3</v>
      </c>
      <c r="J865" s="263" t="s">
        <v>2932</v>
      </c>
      <c r="K865" s="264" t="s">
        <v>298</v>
      </c>
      <c r="L865" s="253" t="str">
        <f>IF(ISBLANK('Dry_Litterbag Placem_Collection'!M206),"","R"&amp;""&amp;'Dry_Litterbag Placem_Collection'!M206)</f>
        <v>R708</v>
      </c>
      <c r="M865" s="257">
        <f>IFERROR(INDEX('Green_rooibos initial weight'!$C$5:$C$2000,MATCH(L865, 'Green_rooibos initial weight'!$A$5:$A$2000,0)),"")</f>
        <v>2.157</v>
      </c>
      <c r="N865" s="257">
        <f>IFERROR(M865-(TBIcalc!$Q$9+TBIcalc!$Q$10),"")</f>
        <v>1.9072</v>
      </c>
      <c r="O865" s="378">
        <f>AVERAGE(Ashed_controlls!$K$12:$K$14)</f>
        <v>2.2816647271287041</v>
      </c>
      <c r="P865" s="257">
        <f t="shared" si="66"/>
        <v>1.8636840903242013</v>
      </c>
      <c r="Q865" s="257">
        <f>IFERROR(INDEX('Both teabags AfterDry'!$D$2:$D$2000,MATCH(L865,'Both teabags AfterDry'!$A$2:$A$2000,0)),"")</f>
        <v>1.7259</v>
      </c>
      <c r="R865" s="257">
        <f>IFERROR(IF(Q865&gt;0,Q865-(TBIcalc!$Q$9),""),"")</f>
        <v>1.5752999999999999</v>
      </c>
      <c r="S865" s="268">
        <f>IFERROR(INDEX('Ashed teabags dry'!$K$2:$K$2000,MATCH(L865,'Ashed teabags dry'!$A$2:$A$2000,0)),"")</f>
        <v>5.9528907922913135</v>
      </c>
      <c r="T865" s="268">
        <f t="shared" si="67"/>
        <v>1.4815241113490349</v>
      </c>
      <c r="U865" s="258">
        <f>IF('Dry_Litterbag Placem_Collection'!E206="","",'Dry_Litterbag Placem_Collection'!E206)</f>
        <v>42942</v>
      </c>
      <c r="V865" s="258">
        <f>IF('Dry_Litterbag Placem_Collection'!G206="","",'Dry_Litterbag Placem_Collection'!G206)</f>
        <v>43004</v>
      </c>
      <c r="W865" s="259">
        <f t="shared" si="65"/>
        <v>62</v>
      </c>
      <c r="X865" s="257">
        <f t="shared" si="68"/>
        <v>0.33190000000000008</v>
      </c>
      <c r="Y865" s="257">
        <f t="shared" si="69"/>
        <v>0.3821599789751664</v>
      </c>
      <c r="Z865" s="261">
        <f>IFERROR(INDEX([3]Rainfall_Dry!$O$2:$O$217,MATCH(C865, [3]Rainfall_Dry!$A$2:$A$217,0)),"")</f>
        <v>171.84818423999999</v>
      </c>
      <c r="AA865" s="250">
        <v>28.145762029394</v>
      </c>
      <c r="AB865" s="250">
        <v>25.085564727199518</v>
      </c>
      <c r="AC865" s="250">
        <v>46.768673243406489</v>
      </c>
      <c r="AD865" s="251" t="s">
        <v>2651</v>
      </c>
      <c r="AE865" s="250">
        <v>2.1716214884179394</v>
      </c>
      <c r="AF865">
        <f>IF('WetLitterbags placem_collection'!AB206="","",'WetLitterbags placem_collection'!AB206)</f>
        <v>7.9</v>
      </c>
      <c r="AG865">
        <f>IF('WetLitterbags placem_collection'!Z206="","",'WetLitterbags placem_collection'!Z206)</f>
        <v>7.9</v>
      </c>
      <c r="AH865" s="236" t="str">
        <f>IF('WetLitterbags placem_collection'!AA206="","",'WetLitterbags placem_collection'!AA206)</f>
        <v>O</v>
      </c>
      <c r="AI865">
        <f>IF('WetLitterbags placem_collection'!AC206="","",'WetLitterbags placem_collection'!AC206)</f>
        <v>1</v>
      </c>
      <c r="AJ865">
        <f>IFERROR(AVERAGE('Dry_Litterbag Placem_Collection'!O206,'Dry_Litterbag Placem_Collection'!R206),"")</f>
        <v>8.3500000000000014</v>
      </c>
      <c r="AK865" s="261">
        <f>IFERROR(AVERAGE('Dry_Litterbag Placem_Collection'!N206,'Dry_Litterbag Placem_Collection'!Q206),"")</f>
        <v>27.299999999999997</v>
      </c>
      <c r="AL865">
        <v>-2.4395990190000001</v>
      </c>
      <c r="AM865">
        <v>34.838418959999998</v>
      </c>
      <c r="AN865" s="260" t="str">
        <f>IF(ISNUMBER(SEARCH("C", 'Dry_Litterbag Placem_Collection'!V206)),"YES","NO")</f>
        <v>NO</v>
      </c>
      <c r="AO865" s="260" t="str">
        <f>IF(ISNUMBER(SEARCH("H", 'Dry_Litterbag Placem_Collection'!V206)),"YES","NO")</f>
        <v>NO</v>
      </c>
      <c r="AP865" s="260" t="str">
        <f>IF(ISNUMBER(SEARCH("R", 'Dry_Litterbag Placem_Collection'!V206)),"YES","NO")</f>
        <v>NO</v>
      </c>
    </row>
    <row r="866" spans="1:42" ht="15" customHeight="1">
      <c r="A866" t="s">
        <v>2490</v>
      </c>
      <c r="B866" s="252" t="s">
        <v>2643</v>
      </c>
      <c r="C866" s="253">
        <f>'Dry_Litterbag Placem_Collection'!A207</f>
        <v>205</v>
      </c>
      <c r="D866" s="253" t="str">
        <f>'Dry_Litterbag Placem_Collection'!B207</f>
        <v xml:space="preserve">Mwantimba
</v>
      </c>
      <c r="E866" s="253" t="s">
        <v>2454</v>
      </c>
      <c r="F866" s="253" t="s">
        <v>2644</v>
      </c>
      <c r="G866" s="253">
        <v>2</v>
      </c>
      <c r="H866" s="253" t="s">
        <v>3116</v>
      </c>
      <c r="I866" s="254" t="str">
        <f>'Dry_Litterbag Placem_Collection'!C207</f>
        <v>Wet_Ag1_CG2</v>
      </c>
      <c r="J866" s="263" t="s">
        <v>2932</v>
      </c>
      <c r="K866" s="264" t="s">
        <v>298</v>
      </c>
      <c r="L866" s="253" t="str">
        <f>IF(ISBLANK('Dry_Litterbag Placem_Collection'!M207),"","R"&amp;""&amp;'Dry_Litterbag Placem_Collection'!M207)</f>
        <v>R637</v>
      </c>
      <c r="M866" s="257">
        <f>IFERROR(INDEX('Green_rooibos initial weight'!$C$5:$C$2000,MATCH(L866, 'Green_rooibos initial weight'!$A$5:$A$2000,0)),"")</f>
        <v>2.129</v>
      </c>
      <c r="N866" s="257">
        <f>IFERROR(M866-(TBIcalc!$Q$9+TBIcalc!$Q$10),"")</f>
        <v>1.8792</v>
      </c>
      <c r="O866" s="378">
        <f>AVERAGE(Ashed_controlls!$K$12:$K$14)</f>
        <v>2.2816647271287041</v>
      </c>
      <c r="P866" s="257">
        <f t="shared" si="66"/>
        <v>1.8363229564477974</v>
      </c>
      <c r="Q866" s="257">
        <f>IFERROR(INDEX('Both teabags AfterDry'!$D$2:$D$2000,MATCH(L866,'Both teabags AfterDry'!$A$2:$A$2000,0)),"")</f>
        <v>1.6534</v>
      </c>
      <c r="R866" s="257">
        <f>IFERROR(IF(Q866&gt;0,Q866-(TBIcalc!$Q$9),""),"")</f>
        <v>1.5027999999999999</v>
      </c>
      <c r="S866" s="268">
        <f>IFERROR(INDEX('Ashed teabags dry'!$K$2:$K$2000,MATCH(L866,'Ashed teabags dry'!$A$2:$A$2000,0)),"")</f>
        <v>4.9312470365094017</v>
      </c>
      <c r="T866" s="268">
        <f t="shared" si="67"/>
        <v>1.4286932195353366</v>
      </c>
      <c r="U866" s="258">
        <f>IF('Dry_Litterbag Placem_Collection'!E207="","",'Dry_Litterbag Placem_Collection'!E207)</f>
        <v>42942</v>
      </c>
      <c r="V866" s="258">
        <f>IF('Dry_Litterbag Placem_Collection'!G207="","",'Dry_Litterbag Placem_Collection'!G207)</f>
        <v>43004</v>
      </c>
      <c r="W866" s="259">
        <f t="shared" si="65"/>
        <v>62</v>
      </c>
      <c r="X866" s="257">
        <f t="shared" si="68"/>
        <v>0.37640000000000007</v>
      </c>
      <c r="Y866" s="257">
        <f t="shared" si="69"/>
        <v>0.40762973691246085</v>
      </c>
      <c r="Z866" s="261">
        <f>IFERROR(INDEX([3]Rainfall_Dry!$O$2:$O$217,MATCH(C866, [3]Rainfall_Dry!$A$2:$A$217,0)),"")</f>
        <v>171.84818423999999</v>
      </c>
      <c r="AA866" s="250">
        <v>45.96</v>
      </c>
      <c r="AB866" s="250">
        <v>14.920000000000003</v>
      </c>
      <c r="AC866" s="250">
        <v>39.119999999999997</v>
      </c>
      <c r="AD866" s="251" t="s">
        <v>2654</v>
      </c>
      <c r="AE866" s="250">
        <v>2.0374568753080333</v>
      </c>
      <c r="AF866">
        <f>IF('WetLitterbags placem_collection'!AB207="","",'WetLitterbags placem_collection'!AB207)</f>
        <v>5.13</v>
      </c>
      <c r="AG866">
        <f>IF('WetLitterbags placem_collection'!Z207="","",'WetLitterbags placem_collection'!Z207)</f>
        <v>5.13</v>
      </c>
      <c r="AH866" s="236" t="str">
        <f>IF('WetLitterbags placem_collection'!AA207="","",'WetLitterbags placem_collection'!AA207)</f>
        <v>O</v>
      </c>
      <c r="AI866">
        <f>IF('WetLitterbags placem_collection'!AC207="","",'WetLitterbags placem_collection'!AC207)</f>
        <v>1</v>
      </c>
      <c r="AJ866">
        <f>IFERROR(AVERAGE('Dry_Litterbag Placem_Collection'!O207,'Dry_Litterbag Placem_Collection'!R207),"")</f>
        <v>7.9499999999999993</v>
      </c>
      <c r="AK866" s="261">
        <f>IFERROR(AVERAGE('Dry_Litterbag Placem_Collection'!N207,'Dry_Litterbag Placem_Collection'!Q207),"")</f>
        <v>29.05</v>
      </c>
      <c r="AL866">
        <v>-2.4396450349999999</v>
      </c>
      <c r="AM866">
        <v>34.83836599</v>
      </c>
      <c r="AN866" s="260" t="str">
        <f>IF(ISNUMBER(SEARCH("C", 'Dry_Litterbag Placem_Collection'!V207)),"YES","NO")</f>
        <v>NO</v>
      </c>
      <c r="AO866" s="260" t="str">
        <f>IF(ISNUMBER(SEARCH("H", 'Dry_Litterbag Placem_Collection'!V207)),"YES","NO")</f>
        <v>NO</v>
      </c>
      <c r="AP866" s="260" t="str">
        <f>IF(ISNUMBER(SEARCH("R", 'Dry_Litterbag Placem_Collection'!V207)),"YES","NO")</f>
        <v>YES</v>
      </c>
    </row>
    <row r="867" spans="1:42" ht="15" customHeight="1">
      <c r="A867" t="s">
        <v>2490</v>
      </c>
      <c r="B867" s="252" t="s">
        <v>2643</v>
      </c>
      <c r="C867" s="253">
        <f>'Dry_Litterbag Placem_Collection'!A208</f>
        <v>206</v>
      </c>
      <c r="D867" s="253" t="str">
        <f>'Dry_Litterbag Placem_Collection'!B208</f>
        <v xml:space="preserve">Mwantimba
</v>
      </c>
      <c r="E867" s="253" t="s">
        <v>2454</v>
      </c>
      <c r="F867" s="253" t="s">
        <v>2644</v>
      </c>
      <c r="G867" s="253">
        <v>1</v>
      </c>
      <c r="H867" s="253" t="s">
        <v>3118</v>
      </c>
      <c r="I867" s="254" t="str">
        <f>'Dry_Litterbag Placem_Collection'!C208</f>
        <v>Wet_Ag2_CG1</v>
      </c>
      <c r="J867" s="263" t="s">
        <v>2932</v>
      </c>
      <c r="K867" s="264" t="s">
        <v>298</v>
      </c>
      <c r="L867" s="253" t="str">
        <f>IF(ISBLANK('Dry_Litterbag Placem_Collection'!M208),"","R"&amp;""&amp;'Dry_Litterbag Placem_Collection'!M208)</f>
        <v>R284</v>
      </c>
      <c r="M867" s="257">
        <f>IFERROR(INDEX('Green_rooibos initial weight'!$C$5:$C$2000,MATCH(L867, 'Green_rooibos initial weight'!$A$5:$A$2000,0)),"")</f>
        <v>2.2480000000000002</v>
      </c>
      <c r="N867" s="257">
        <f>IFERROR(M867-(TBIcalc!$Q$9+TBIcalc!$Q$10),"")</f>
        <v>1.9982000000000002</v>
      </c>
      <c r="O867" s="378">
        <f>AVERAGE(Ashed_controlls!$K$12:$K$14)</f>
        <v>2.2816647271287041</v>
      </c>
      <c r="P867" s="257">
        <f t="shared" si="66"/>
        <v>1.9526077754225144</v>
      </c>
      <c r="Q867" s="257">
        <f>IFERROR(INDEX('Both teabags AfterDry'!$D$2:$D$2000,MATCH(L867,'Both teabags AfterDry'!$A$2:$A$2000,0)),"")</f>
        <v>1.6192</v>
      </c>
      <c r="R867" s="257">
        <f>IFERROR(IF(Q867&gt;0,Q867-(TBIcalc!$Q$9),""),"")</f>
        <v>1.4685999999999999</v>
      </c>
      <c r="S867" s="268">
        <f>IFERROR(INDEX('Ashed teabags dry'!$K$2:$K$2000,MATCH(L867,'Ashed teabags dry'!$A$2:$A$2000,0)),"")</f>
        <v>10.038797284189567</v>
      </c>
      <c r="T867" s="268">
        <f t="shared" si="67"/>
        <v>1.321170223084392</v>
      </c>
      <c r="U867" s="258">
        <f>IF('Dry_Litterbag Placem_Collection'!E208="","",'Dry_Litterbag Placem_Collection'!E208)</f>
        <v>42942</v>
      </c>
      <c r="V867" s="258">
        <f>IF('Dry_Litterbag Placem_Collection'!G208="","",'Dry_Litterbag Placem_Collection'!G208)</f>
        <v>43004</v>
      </c>
      <c r="W867" s="259">
        <f t="shared" si="65"/>
        <v>62</v>
      </c>
      <c r="X867" s="257">
        <f t="shared" si="68"/>
        <v>0.52960000000000029</v>
      </c>
      <c r="Y867" s="257">
        <f t="shared" si="69"/>
        <v>0.63143755233812238</v>
      </c>
      <c r="Z867" s="261">
        <f>IFERROR(INDEX([3]Rainfall_Dry!$O$2:$O$217,MATCH(C867, [3]Rainfall_Dry!$A$2:$A$217,0)),"")</f>
        <v>171.84818423999999</v>
      </c>
      <c r="AA867" s="250">
        <v>34.344660194174757</v>
      </c>
      <c r="AB867" s="250">
        <v>19.22727272727273</v>
      </c>
      <c r="AC867" s="250">
        <v>46.428067078552509</v>
      </c>
      <c r="AD867" s="251" t="s">
        <v>2651</v>
      </c>
      <c r="AE867" s="250">
        <v>1.7452932479053718</v>
      </c>
      <c r="AF867">
        <f>IF('WetLitterbags placem_collection'!AB208="","",'WetLitterbags placem_collection'!AB208)</f>
        <v>13.8</v>
      </c>
      <c r="AG867">
        <f>IF('WetLitterbags placem_collection'!Z208="","",'WetLitterbags placem_collection'!Z208)</f>
        <v>17.399999999999999</v>
      </c>
      <c r="AH867" s="236" t="str">
        <f>IF('WetLitterbags placem_collection'!AA208="","",'WetLitterbags placem_collection'!AA208)</f>
        <v>O</v>
      </c>
      <c r="AI867">
        <f>IF('WetLitterbags placem_collection'!AC208="","",'WetLitterbags placem_collection'!AC208)</f>
        <v>1</v>
      </c>
      <c r="AJ867">
        <f>IFERROR(AVERAGE('Dry_Litterbag Placem_Collection'!O208,'Dry_Litterbag Placem_Collection'!R208),"")</f>
        <v>6.4</v>
      </c>
      <c r="AK867" s="261">
        <f>IFERROR(AVERAGE('Dry_Litterbag Placem_Collection'!N208,'Dry_Litterbag Placem_Collection'!Q208),"")</f>
        <v>27.799999999999997</v>
      </c>
      <c r="AL867">
        <v>-2.439403972</v>
      </c>
      <c r="AM867">
        <v>34.838404959999998</v>
      </c>
      <c r="AN867" s="260" t="str">
        <f>IF(ISNUMBER(SEARCH("C", 'Dry_Litterbag Placem_Collection'!V208)),"YES","NO")</f>
        <v>NO</v>
      </c>
      <c r="AO867" s="260" t="str">
        <f>IF(ISNUMBER(SEARCH("H", 'Dry_Litterbag Placem_Collection'!V208)),"YES","NO")</f>
        <v>NO</v>
      </c>
      <c r="AP867" s="260" t="str">
        <f>IF(ISNUMBER(SEARCH("R", 'Dry_Litterbag Placem_Collection'!V208)),"YES","NO")</f>
        <v>YES</v>
      </c>
    </row>
    <row r="868" spans="1:42" ht="15" customHeight="1">
      <c r="A868" t="s">
        <v>2490</v>
      </c>
      <c r="B868" s="252" t="s">
        <v>2643</v>
      </c>
      <c r="C868" s="253">
        <f>'Dry_Litterbag Placem_Collection'!A209</f>
        <v>207</v>
      </c>
      <c r="D868" s="253" t="str">
        <f>'Dry_Litterbag Placem_Collection'!B209</f>
        <v xml:space="preserve">Mwantimba
</v>
      </c>
      <c r="E868" s="253" t="s">
        <v>2454</v>
      </c>
      <c r="F868" s="253" t="s">
        <v>2644</v>
      </c>
      <c r="G868" s="253">
        <v>4</v>
      </c>
      <c r="H868" s="253" t="s">
        <v>3119</v>
      </c>
      <c r="I868" s="254" t="str">
        <f>'Dry_Litterbag Placem_Collection'!C209</f>
        <v>Wet_Ag3_CG4</v>
      </c>
      <c r="J868" s="263" t="s">
        <v>2932</v>
      </c>
      <c r="K868" s="264" t="s">
        <v>298</v>
      </c>
      <c r="L868" s="253" t="str">
        <f>IF(ISBLANK('Dry_Litterbag Placem_Collection'!M209),"","R"&amp;""&amp;'Dry_Litterbag Placem_Collection'!M209)</f>
        <v>R604</v>
      </c>
      <c r="M868" s="257">
        <f>IFERROR(INDEX('Green_rooibos initial weight'!$C$5:$C$2000,MATCH(L868, 'Green_rooibos initial weight'!$A$5:$A$2000,0)),"")</f>
        <v>2.1230000000000002</v>
      </c>
      <c r="N868" s="257">
        <f>IFERROR(M868-(TBIcalc!$Q$9+TBIcalc!$Q$10),"")</f>
        <v>1.8732000000000002</v>
      </c>
      <c r="O868" s="378">
        <f>AVERAGE(Ashed_controlls!$K$12:$K$14)</f>
        <v>2.2816647271287041</v>
      </c>
      <c r="P868" s="257">
        <f t="shared" si="66"/>
        <v>1.8304598563314254</v>
      </c>
      <c r="Q868" s="257">
        <f>IFERROR(INDEX('Both teabags AfterDry'!$D$2:$D$2000,MATCH(L868,'Both teabags AfterDry'!$A$2:$A$2000,0)),"")</f>
        <v>1.615</v>
      </c>
      <c r="R868" s="257">
        <f>IFERROR(IF(Q868&gt;0,Q868-(TBIcalc!$Q$9),""),"")</f>
        <v>1.4643999999999999</v>
      </c>
      <c r="S868" s="268">
        <f>IFERROR(INDEX('Ashed teabags dry'!$K$2:$K$2000,MATCH(L868,'Ashed teabags dry'!$A$2:$A$2000,0)),"")</f>
        <v>3.5497431106958826</v>
      </c>
      <c r="T868" s="268">
        <f t="shared" si="67"/>
        <v>1.4124175618869694</v>
      </c>
      <c r="U868" s="258">
        <f>IF('Dry_Litterbag Placem_Collection'!E209="","",'Dry_Litterbag Placem_Collection'!E209)</f>
        <v>42942</v>
      </c>
      <c r="V868" s="258">
        <f>IF('Dry_Litterbag Placem_Collection'!G209="","",'Dry_Litterbag Placem_Collection'!G209)</f>
        <v>43004</v>
      </c>
      <c r="W868" s="259">
        <f t="shared" si="65"/>
        <v>62</v>
      </c>
      <c r="X868" s="257">
        <f t="shared" si="68"/>
        <v>0.40880000000000027</v>
      </c>
      <c r="Y868" s="257">
        <f t="shared" si="69"/>
        <v>0.41804229444445595</v>
      </c>
      <c r="Z868" s="261">
        <f>IFERROR(INDEX([3]Rainfall_Dry!$O$2:$O$217,MATCH(C868, [3]Rainfall_Dry!$A$2:$A$217,0)),"")</f>
        <v>171.84818423999999</v>
      </c>
      <c r="AA868" s="250">
        <v>27.96</v>
      </c>
      <c r="AB868" s="250">
        <v>4.9200000000000017</v>
      </c>
      <c r="AC868" s="250">
        <v>67.12</v>
      </c>
      <c r="AD868" s="251" t="s">
        <v>2651</v>
      </c>
      <c r="AE868" s="250">
        <v>0.88610152784622953</v>
      </c>
      <c r="AF868">
        <f>IF('WetLitterbags placem_collection'!AB209="","",'WetLitterbags placem_collection'!AB209)</f>
        <v>15.2</v>
      </c>
      <c r="AG868">
        <f>IF('WetLitterbags placem_collection'!Z209="","",'WetLitterbags placem_collection'!Z209)</f>
        <v>12.2</v>
      </c>
      <c r="AH868" s="236" t="str">
        <f>IF('WetLitterbags placem_collection'!AA209="","",'WetLitterbags placem_collection'!AA209)</f>
        <v>O</v>
      </c>
      <c r="AI868">
        <f>IF('WetLitterbags placem_collection'!AC209="","",'WetLitterbags placem_collection'!AC209)</f>
        <v>1</v>
      </c>
      <c r="AJ868">
        <f>IFERROR(AVERAGE('Dry_Litterbag Placem_Collection'!O209,'Dry_Litterbag Placem_Collection'!R209),"")</f>
        <v>4.3</v>
      </c>
      <c r="AK868" s="261">
        <f>IFERROR(AVERAGE('Dry_Litterbag Placem_Collection'!N209,'Dry_Litterbag Placem_Collection'!Q209),"")</f>
        <v>29.6</v>
      </c>
      <c r="AL868">
        <v>-2.4396949910000001</v>
      </c>
      <c r="AM868">
        <v>34.838574029999997</v>
      </c>
      <c r="AN868" s="260" t="str">
        <f>IF(ISNUMBER(SEARCH("C", 'Dry_Litterbag Placem_Collection'!V209)),"YES","NO")</f>
        <v>NO</v>
      </c>
      <c r="AO868" s="260" t="str">
        <f>IF(ISNUMBER(SEARCH("H", 'Dry_Litterbag Placem_Collection'!V209)),"YES","NO")</f>
        <v>NO</v>
      </c>
      <c r="AP868" s="260" t="str">
        <f>IF(ISNUMBER(SEARCH("R", 'Dry_Litterbag Placem_Collection'!V209)),"YES","NO")</f>
        <v>YES</v>
      </c>
    </row>
    <row r="869" spans="1:42" ht="15" customHeight="1">
      <c r="A869" t="s">
        <v>2490</v>
      </c>
      <c r="B869" s="252" t="s">
        <v>2643</v>
      </c>
      <c r="C869" s="253">
        <f>'Dry_Litterbag Placem_Collection'!A210</f>
        <v>208</v>
      </c>
      <c r="D869" s="253" t="str">
        <f>'Dry_Litterbag Placem_Collection'!B210</f>
        <v xml:space="preserve">Mwantimba
</v>
      </c>
      <c r="E869" s="253" t="s">
        <v>2454</v>
      </c>
      <c r="F869" s="253" t="s">
        <v>2644</v>
      </c>
      <c r="G869" s="253">
        <v>3</v>
      </c>
      <c r="H869" s="253" t="s">
        <v>3120</v>
      </c>
      <c r="I869" s="254" t="str">
        <f>'Dry_Litterbag Placem_Collection'!C210</f>
        <v>Wet_Ag4_CG3</v>
      </c>
      <c r="J869" s="263" t="s">
        <v>2932</v>
      </c>
      <c r="K869" s="264" t="s">
        <v>298</v>
      </c>
      <c r="L869" s="253" t="str">
        <f>IF(ISBLANK('Dry_Litterbag Placem_Collection'!M210),"","R"&amp;""&amp;'Dry_Litterbag Placem_Collection'!M210)</f>
        <v>R625</v>
      </c>
      <c r="M869" s="257">
        <f>IFERROR(INDEX('Green_rooibos initial weight'!$C$5:$C$2000,MATCH(L869, 'Green_rooibos initial weight'!$A$5:$A$2000,0)),"")</f>
        <v>2.1589999999999998</v>
      </c>
      <c r="N869" s="257">
        <f>IFERROR(M869-(TBIcalc!$Q$9+TBIcalc!$Q$10),"")</f>
        <v>1.9091999999999998</v>
      </c>
      <c r="O869" s="378">
        <f>AVERAGE(Ashed_controlls!$K$12:$K$14)</f>
        <v>2.2816647271287041</v>
      </c>
      <c r="P869" s="257">
        <f t="shared" si="66"/>
        <v>1.8656384570296585</v>
      </c>
      <c r="Q869" s="257">
        <f>IFERROR(INDEX('Both teabags AfterDry'!$D$2:$D$2000,MATCH(L869,'Both teabags AfterDry'!$A$2:$A$2000,0)),"")</f>
        <v>1.6539999999999999</v>
      </c>
      <c r="R869" s="257">
        <f>IFERROR(IF(Q869&gt;0,Q869-(TBIcalc!$Q$9),""),"")</f>
        <v>1.5033999999999998</v>
      </c>
      <c r="S869" s="268">
        <f>IFERROR(INDEX('Ashed teabags dry'!$K$2:$K$2000,MATCH(L869,'Ashed teabags dry'!$A$2:$A$2000,0)),"")</f>
        <v>7.8721374045796031</v>
      </c>
      <c r="T869" s="268">
        <f t="shared" si="67"/>
        <v>1.3850502862595502</v>
      </c>
      <c r="U869" s="258">
        <f>IF('Dry_Litterbag Placem_Collection'!E210="","",'Dry_Litterbag Placem_Collection'!E210)</f>
        <v>42942</v>
      </c>
      <c r="V869" s="258">
        <f>IF('Dry_Litterbag Placem_Collection'!G210="","",'Dry_Litterbag Placem_Collection'!G210)</f>
        <v>43004</v>
      </c>
      <c r="W869" s="259">
        <f t="shared" si="65"/>
        <v>62</v>
      </c>
      <c r="X869" s="257">
        <f t="shared" si="68"/>
        <v>0.40579999999999994</v>
      </c>
      <c r="Y869" s="257">
        <f t="shared" si="69"/>
        <v>0.48058817077010829</v>
      </c>
      <c r="Z869" s="261">
        <f>IFERROR(INDEX([3]Rainfall_Dry!$O$2:$O$217,MATCH(C869, [3]Rainfall_Dry!$A$2:$A$217,0)),"")</f>
        <v>171.84818423999999</v>
      </c>
      <c r="AA869" s="250">
        <v>17.96</v>
      </c>
      <c r="AB869" s="250">
        <v>4.9199999999999982</v>
      </c>
      <c r="AC869" s="250">
        <v>77.12</v>
      </c>
      <c r="AD869" s="251" t="s">
        <v>2652</v>
      </c>
      <c r="AE869" s="250">
        <v>2.0220798422868409</v>
      </c>
      <c r="AF869">
        <f>IF('WetLitterbags placem_collection'!AB210="","",'WetLitterbags placem_collection'!AB210)</f>
        <v>7.9</v>
      </c>
      <c r="AG869">
        <f>IF('WetLitterbags placem_collection'!Z210="","",'WetLitterbags placem_collection'!Z210)</f>
        <v>7.9</v>
      </c>
      <c r="AH869" s="236" t="str">
        <f>IF('WetLitterbags placem_collection'!AA210="","",'WetLitterbags placem_collection'!AA210)</f>
        <v>O</v>
      </c>
      <c r="AI869">
        <f>IF('WetLitterbags placem_collection'!AC210="","",'WetLitterbags placem_collection'!AC210)</f>
        <v>1</v>
      </c>
      <c r="AJ869">
        <f>IFERROR(AVERAGE('Dry_Litterbag Placem_Collection'!O210,'Dry_Litterbag Placem_Collection'!R210),"")</f>
        <v>6.2</v>
      </c>
      <c r="AK869" s="261">
        <f>IFERROR(AVERAGE('Dry_Litterbag Placem_Collection'!N210,'Dry_Litterbag Placem_Collection'!Q210),"")</f>
        <v>29.1</v>
      </c>
      <c r="AL869">
        <v>-2.4395990190000001</v>
      </c>
      <c r="AM869">
        <v>34.838418959999998</v>
      </c>
      <c r="AN869" s="260" t="str">
        <f>IF(ISNUMBER(SEARCH("C", 'Dry_Litterbag Placem_Collection'!V210)),"YES","NO")</f>
        <v>NO</v>
      </c>
      <c r="AO869" s="260" t="str">
        <f>IF(ISNUMBER(SEARCH("H", 'Dry_Litterbag Placem_Collection'!V210)),"YES","NO")</f>
        <v>NO</v>
      </c>
      <c r="AP869" s="260" t="str">
        <f>IF(ISNUMBER(SEARCH("R", 'Dry_Litterbag Placem_Collection'!V210)),"YES","NO")</f>
        <v>YES</v>
      </c>
    </row>
    <row r="870" spans="1:42" ht="15" customHeight="1">
      <c r="A870" t="s">
        <v>2490</v>
      </c>
      <c r="B870" s="252" t="s">
        <v>2643</v>
      </c>
      <c r="C870" s="253">
        <f>'Dry_Litterbag Placem_Collection'!A211</f>
        <v>209</v>
      </c>
      <c r="D870" s="253" t="str">
        <f>'Dry_Litterbag Placem_Collection'!B211</f>
        <v xml:space="preserve">Mwantimba
</v>
      </c>
      <c r="E870" s="253" t="s">
        <v>2454</v>
      </c>
      <c r="F870" s="253" t="s">
        <v>20</v>
      </c>
      <c r="G870" s="253">
        <v>2</v>
      </c>
      <c r="H870" s="253" t="s">
        <v>3121</v>
      </c>
      <c r="I870" s="254" t="str">
        <f>'Dry_Litterbag Placem_Collection'!C211</f>
        <v>Wet_P1_CG2</v>
      </c>
      <c r="J870" s="263" t="s">
        <v>2932</v>
      </c>
      <c r="K870" s="264" t="s">
        <v>298</v>
      </c>
      <c r="L870" s="253" t="str">
        <f>IF(ISBLANK('Dry_Litterbag Placem_Collection'!M211),"","R"&amp;""&amp;'Dry_Litterbag Placem_Collection'!M211)</f>
        <v>R647</v>
      </c>
      <c r="M870" s="257">
        <f>IFERROR(INDEX('Green_rooibos initial weight'!$C$5:$C$2000,MATCH(L870, 'Green_rooibos initial weight'!$A$5:$A$2000,0)),"")</f>
        <v>2.1640000000000001</v>
      </c>
      <c r="N870" s="257">
        <f>IFERROR(M870-(TBIcalc!$Q$9+TBIcalc!$Q$10),"")</f>
        <v>1.9142000000000001</v>
      </c>
      <c r="O870" s="378">
        <f>AVERAGE(Ashed_controlls!$K$12:$K$14)</f>
        <v>2.2816647271287041</v>
      </c>
      <c r="P870" s="257">
        <f t="shared" si="66"/>
        <v>1.8705243737933024</v>
      </c>
      <c r="Q870" s="257">
        <f>IFERROR(INDEX('Both teabags AfterDry'!$D$2:$D$2000,MATCH(L870,'Both teabags AfterDry'!$A$2:$A$2000,0)),"")</f>
        <v>1.6881999999999999</v>
      </c>
      <c r="R870" s="257">
        <f>IFERROR(IF(Q870&gt;0,Q870-(TBIcalc!$Q$9),""),"")</f>
        <v>1.5375999999999999</v>
      </c>
      <c r="S870" s="268">
        <f>IFERROR(INDEX('Ashed teabags dry'!$K$2:$K$2000,MATCH(L870,'Ashed teabags dry'!$A$2:$A$2000,0)),"")</f>
        <v>3.8888888888889466</v>
      </c>
      <c r="T870" s="268">
        <f t="shared" si="67"/>
        <v>1.4778044444444434</v>
      </c>
      <c r="U870" s="258">
        <f>IF('Dry_Litterbag Placem_Collection'!E211="","",'Dry_Litterbag Placem_Collection'!E211)</f>
        <v>42942</v>
      </c>
      <c r="V870" s="258">
        <f>IF('Dry_Litterbag Placem_Collection'!G211="","",'Dry_Litterbag Placem_Collection'!G211)</f>
        <v>43004</v>
      </c>
      <c r="W870" s="259">
        <f t="shared" si="65"/>
        <v>62</v>
      </c>
      <c r="X870" s="257">
        <f t="shared" si="68"/>
        <v>0.37660000000000027</v>
      </c>
      <c r="Y870" s="257">
        <f t="shared" si="69"/>
        <v>0.39271992934885902</v>
      </c>
      <c r="Z870" s="261">
        <f>IFERROR(INDEX([3]Rainfall_Dry!$O$2:$O$217,MATCH(C870, [3]Rainfall_Dry!$A$2:$A$217,0)),"")</f>
        <v>171.84818423999999</v>
      </c>
      <c r="AA870" s="250">
        <v>31.214836424255054</v>
      </c>
      <c r="AB870" s="250">
        <v>11.377370285476141</v>
      </c>
      <c r="AC870" s="250">
        <v>57.407793290268799</v>
      </c>
      <c r="AD870" s="251" t="s">
        <v>2651</v>
      </c>
      <c r="AE870" s="250">
        <v>1.7337604731394776</v>
      </c>
      <c r="AF870">
        <f>IF('WetLitterbags placem_collection'!AB211="","",'WetLitterbags placem_collection'!AB211)</f>
        <v>5.13</v>
      </c>
      <c r="AG870">
        <f>IF('WetLitterbags placem_collection'!Z211="","",'WetLitterbags placem_collection'!Z211)</f>
        <v>5.13</v>
      </c>
      <c r="AH870" s="236" t="str">
        <f>IF('WetLitterbags placem_collection'!AA211="","",'WetLitterbags placem_collection'!AA211)</f>
        <v>O</v>
      </c>
      <c r="AI870">
        <f>IF('WetLitterbags placem_collection'!AC211="","",'WetLitterbags placem_collection'!AC211)</f>
        <v>1</v>
      </c>
      <c r="AJ870">
        <f>IFERROR(AVERAGE('Dry_Litterbag Placem_Collection'!O211,'Dry_Litterbag Placem_Collection'!R211),"")</f>
        <v>8.6000000000000014</v>
      </c>
      <c r="AK870" s="261">
        <f>IFERROR(AVERAGE('Dry_Litterbag Placem_Collection'!N211,'Dry_Litterbag Placem_Collection'!Q211),"")</f>
        <v>29.6</v>
      </c>
      <c r="AL870">
        <v>-2.4396450349999999</v>
      </c>
      <c r="AM870">
        <v>34.83836599</v>
      </c>
      <c r="AN870" s="260" t="str">
        <f>IF(ISNUMBER(SEARCH("C", 'Dry_Litterbag Placem_Collection'!V211)),"YES","NO")</f>
        <v>NO</v>
      </c>
      <c r="AO870" s="260" t="str">
        <f>IF(ISNUMBER(SEARCH("H", 'Dry_Litterbag Placem_Collection'!V211)),"YES","NO")</f>
        <v>NO</v>
      </c>
      <c r="AP870" s="260" t="str">
        <f>IF(ISNUMBER(SEARCH("R", 'Dry_Litterbag Placem_Collection'!V211)),"YES","NO")</f>
        <v>YES</v>
      </c>
    </row>
    <row r="871" spans="1:42" ht="15" customHeight="1">
      <c r="A871" t="s">
        <v>2490</v>
      </c>
      <c r="B871" s="252" t="s">
        <v>2643</v>
      </c>
      <c r="C871" s="253">
        <f>'Dry_Litterbag Placem_Collection'!A212</f>
        <v>210</v>
      </c>
      <c r="D871" s="253" t="str">
        <f>'Dry_Litterbag Placem_Collection'!B212</f>
        <v xml:space="preserve">Mwantimba
</v>
      </c>
      <c r="E871" s="253" t="s">
        <v>2454</v>
      </c>
      <c r="F871" s="253" t="s">
        <v>20</v>
      </c>
      <c r="G871" s="253">
        <v>4</v>
      </c>
      <c r="H871" s="253" t="s">
        <v>3123</v>
      </c>
      <c r="I871" s="254" t="str">
        <f>'Dry_Litterbag Placem_Collection'!C212</f>
        <v>Wet_P2_CG4</v>
      </c>
      <c r="J871" s="263" t="s">
        <v>2932</v>
      </c>
      <c r="K871" s="264" t="s">
        <v>298</v>
      </c>
      <c r="L871" s="253" t="str">
        <f>IF(ISBLANK('Dry_Litterbag Placem_Collection'!M212),"","R"&amp;""&amp;'Dry_Litterbag Placem_Collection'!M212)</f>
        <v>R599</v>
      </c>
      <c r="M871" s="257">
        <f>IFERROR(INDEX('Green_rooibos initial weight'!$C$5:$C$2000,MATCH(L871, 'Green_rooibos initial weight'!$A$5:$A$2000,0)),"")</f>
        <v>2.1760000000000002</v>
      </c>
      <c r="N871" s="257">
        <f>IFERROR(M871-(TBIcalc!$Q$9+TBIcalc!$Q$10),"")</f>
        <v>1.9262000000000001</v>
      </c>
      <c r="O871" s="378">
        <f>AVERAGE(Ashed_controlls!$K$12:$K$14)</f>
        <v>2.2816647271287041</v>
      </c>
      <c r="P871" s="257">
        <f t="shared" si="66"/>
        <v>1.8822505740260471</v>
      </c>
      <c r="Q871" s="257">
        <f>IFERROR(INDEX('Both teabags AfterDry'!$D$2:$D$2000,MATCH(L871,'Both teabags AfterDry'!$A$2:$A$2000,0)),"")</f>
        <v>1.742</v>
      </c>
      <c r="R871" s="257">
        <f>IFERROR(IF(Q871&gt;0,Q871-(TBIcalc!$Q$9),""),"")</f>
        <v>1.5913999999999999</v>
      </c>
      <c r="S871" s="268">
        <f>IFERROR(INDEX('Ashed teabags dry'!$K$2:$K$2000,MATCH(L871,'Ashed teabags dry'!$A$2:$A$2000,0)),"")</f>
        <v>3.5837651122624985</v>
      </c>
      <c r="T871" s="268">
        <f t="shared" si="67"/>
        <v>1.5343679620034545</v>
      </c>
      <c r="U871" s="258">
        <f>IF('Dry_Litterbag Placem_Collection'!E212="","",'Dry_Litterbag Placem_Collection'!E212)</f>
        <v>42942</v>
      </c>
      <c r="V871" s="258">
        <f>IF('Dry_Litterbag Placem_Collection'!G212="","",'Dry_Litterbag Placem_Collection'!G212)</f>
        <v>43004</v>
      </c>
      <c r="W871" s="259">
        <f t="shared" si="65"/>
        <v>62</v>
      </c>
      <c r="X871" s="257">
        <f t="shared" si="68"/>
        <v>0.33480000000000021</v>
      </c>
      <c r="Y871" s="257">
        <f t="shared" si="69"/>
        <v>0.34788261202259263</v>
      </c>
      <c r="Z871" s="261">
        <f>IFERROR(INDEX([3]Rainfall_Dry!$O$2:$O$217,MATCH(C871, [3]Rainfall_Dry!$A$2:$A$217,0)),"")</f>
        <v>171.84818423999999</v>
      </c>
      <c r="AA871" s="250">
        <v>33.96</v>
      </c>
      <c r="AB871" s="250">
        <v>8.9200000000000017</v>
      </c>
      <c r="AC871" s="250">
        <v>57.12</v>
      </c>
      <c r="AD871" s="251" t="s">
        <v>2651</v>
      </c>
      <c r="AE871" s="250">
        <v>2.072055199605717</v>
      </c>
      <c r="AF871">
        <f>IF('WetLitterbags placem_collection'!AB212="","",'WetLitterbags placem_collection'!AB212)</f>
        <v>15.2</v>
      </c>
      <c r="AG871">
        <f>IF('WetLitterbags placem_collection'!Z212="","",'WetLitterbags placem_collection'!Z212)</f>
        <v>12.2</v>
      </c>
      <c r="AH871" s="236" t="str">
        <f>IF('WetLitterbags placem_collection'!AA212="","",'WetLitterbags placem_collection'!AA212)</f>
        <v>O</v>
      </c>
      <c r="AI871">
        <f>IF('WetLitterbags placem_collection'!AC212="","",'WetLitterbags placem_collection'!AC212)</f>
        <v>1</v>
      </c>
      <c r="AJ871">
        <f>IFERROR(AVERAGE('Dry_Litterbag Placem_Collection'!O212,'Dry_Litterbag Placem_Collection'!R212),"")</f>
        <v>6.1</v>
      </c>
      <c r="AK871" s="261">
        <f>IFERROR(AVERAGE('Dry_Litterbag Placem_Collection'!N212,'Dry_Litterbag Placem_Collection'!Q212),"")</f>
        <v>27.5</v>
      </c>
      <c r="AL871">
        <v>-2.4396949910000001</v>
      </c>
      <c r="AM871">
        <v>34.838574029999997</v>
      </c>
      <c r="AN871" s="260" t="str">
        <f>IF(ISNUMBER(SEARCH("C", 'Dry_Litterbag Placem_Collection'!V212)),"YES","NO")</f>
        <v>NO</v>
      </c>
      <c r="AO871" s="260" t="str">
        <f>IF(ISNUMBER(SEARCH("H", 'Dry_Litterbag Placem_Collection'!V212)),"YES","NO")</f>
        <v>NO</v>
      </c>
      <c r="AP871" s="260" t="str">
        <f>IF(ISNUMBER(SEARCH("R", 'Dry_Litterbag Placem_Collection'!V212)),"YES","NO")</f>
        <v>NO</v>
      </c>
    </row>
    <row r="872" spans="1:42" ht="15" customHeight="1">
      <c r="A872" t="s">
        <v>2490</v>
      </c>
      <c r="B872" s="252" t="s">
        <v>2643</v>
      </c>
      <c r="C872" s="253">
        <f>'Dry_Litterbag Placem_Collection'!A213</f>
        <v>211</v>
      </c>
      <c r="D872" s="253" t="str">
        <f>'Dry_Litterbag Placem_Collection'!B213</f>
        <v xml:space="preserve">Mwantimba
</v>
      </c>
      <c r="E872" s="253" t="s">
        <v>2454</v>
      </c>
      <c r="F872" s="253" t="s">
        <v>20</v>
      </c>
      <c r="G872" s="253">
        <v>1</v>
      </c>
      <c r="H872" s="253" t="s">
        <v>3124</v>
      </c>
      <c r="I872" s="254" t="str">
        <f>'Dry_Litterbag Placem_Collection'!C213</f>
        <v>Wet_P3_CG1</v>
      </c>
      <c r="J872" s="263" t="s">
        <v>2932</v>
      </c>
      <c r="K872" s="264" t="s">
        <v>298</v>
      </c>
      <c r="L872" s="253" t="str">
        <f>IF(ISBLANK('Dry_Litterbag Placem_Collection'!M213),"","R"&amp;""&amp;'Dry_Litterbag Placem_Collection'!M213)</f>
        <v>R670</v>
      </c>
      <c r="M872" s="257">
        <f>IFERROR(INDEX('Green_rooibos initial weight'!$C$5:$C$2000,MATCH(L872, 'Green_rooibos initial weight'!$A$5:$A$2000,0)),"")</f>
        <v>2.1059999999999999</v>
      </c>
      <c r="N872" s="257">
        <f>IFERROR(M872-(TBIcalc!$Q$9+TBIcalc!$Q$10),"")</f>
        <v>1.8561999999999999</v>
      </c>
      <c r="O872" s="378">
        <f>AVERAGE(Ashed_controlls!$K$12:$K$14)</f>
        <v>2.2816647271287041</v>
      </c>
      <c r="P872" s="257">
        <f t="shared" si="66"/>
        <v>1.8138477393350367</v>
      </c>
      <c r="Q872" s="257">
        <f>IFERROR(INDEX('Both teabags AfterDry'!$D$2:$D$2000,MATCH(L872,'Both teabags AfterDry'!$A$2:$A$2000,0)),"")</f>
        <v>1.4770000000000001</v>
      </c>
      <c r="R872" s="257">
        <f>IFERROR(IF(Q872&gt;0,Q872-(TBIcalc!$Q$9),""),"")</f>
        <v>1.3264</v>
      </c>
      <c r="S872" s="268">
        <f>IFERROR(INDEX('Ashed teabags dry'!$K$2:$K$2000,MATCH(L872,'Ashed teabags dry'!$A$2:$A$2000,0)),"")</f>
        <v>4.1974169741701504</v>
      </c>
      <c r="T872" s="268">
        <f t="shared" si="67"/>
        <v>1.2707254612546071</v>
      </c>
      <c r="U872" s="258">
        <f>IF('Dry_Litterbag Placem_Collection'!E213="","",'Dry_Litterbag Placem_Collection'!E213)</f>
        <v>42942</v>
      </c>
      <c r="V872" s="258">
        <f>IF('Dry_Litterbag Placem_Collection'!G213="","",'Dry_Litterbag Placem_Collection'!G213)</f>
        <v>43004</v>
      </c>
      <c r="W872" s="259">
        <f t="shared" si="65"/>
        <v>62</v>
      </c>
      <c r="X872" s="257">
        <f t="shared" si="68"/>
        <v>0.52979999999999983</v>
      </c>
      <c r="Y872" s="257">
        <f t="shared" si="69"/>
        <v>0.54312227808042968</v>
      </c>
      <c r="Z872" s="261">
        <f>IFERROR(INDEX([3]Rainfall_Dry!$O$2:$O$217,MATCH(C872, [3]Rainfall_Dry!$A$2:$A$217,0)),"")</f>
        <v>171.84818423999999</v>
      </c>
      <c r="AA872" s="250">
        <v>39.96</v>
      </c>
      <c r="AB872" s="250">
        <v>12.920000000000002</v>
      </c>
      <c r="AC872" s="250">
        <v>47.12</v>
      </c>
      <c r="AD872" s="251" t="s">
        <v>2655</v>
      </c>
      <c r="AE872" s="250">
        <v>1.6549531789058647</v>
      </c>
      <c r="AF872">
        <f>IF('WetLitterbags placem_collection'!AB213="","",'WetLitterbags placem_collection'!AB213)</f>
        <v>13.8</v>
      </c>
      <c r="AG872">
        <f>IF('WetLitterbags placem_collection'!Z213="","",'WetLitterbags placem_collection'!Z213)</f>
        <v>17.399999999999999</v>
      </c>
      <c r="AH872" s="236" t="str">
        <f>IF('WetLitterbags placem_collection'!AA213="","",'WetLitterbags placem_collection'!AA213)</f>
        <v>O</v>
      </c>
      <c r="AI872">
        <f>IF('WetLitterbags placem_collection'!AC213="","",'WetLitterbags placem_collection'!AC213)</f>
        <v>1</v>
      </c>
      <c r="AJ872">
        <f>IFERROR(AVERAGE('Dry_Litterbag Placem_Collection'!O213,'Dry_Litterbag Placem_Collection'!R213),"")</f>
        <v>7.55</v>
      </c>
      <c r="AK872" s="261">
        <f>IFERROR(AVERAGE('Dry_Litterbag Placem_Collection'!N213,'Dry_Litterbag Placem_Collection'!Q213),"")</f>
        <v>28</v>
      </c>
      <c r="AL872">
        <v>-2.439403972</v>
      </c>
      <c r="AM872">
        <v>34.838404959999998</v>
      </c>
      <c r="AN872" s="260" t="str">
        <f>IF(ISNUMBER(SEARCH("C", 'Dry_Litterbag Placem_Collection'!V213)),"YES","NO")</f>
        <v>NO</v>
      </c>
      <c r="AO872" s="260" t="str">
        <f>IF(ISNUMBER(SEARCH("H", 'Dry_Litterbag Placem_Collection'!V213)),"YES","NO")</f>
        <v>NO</v>
      </c>
      <c r="AP872" s="260" t="str">
        <f>IF(ISNUMBER(SEARCH("R", 'Dry_Litterbag Placem_Collection'!V213)),"YES","NO")</f>
        <v>NO</v>
      </c>
    </row>
    <row r="873" spans="1:42" ht="15" customHeight="1">
      <c r="A873" t="s">
        <v>2490</v>
      </c>
      <c r="B873" s="252" t="s">
        <v>2643</v>
      </c>
      <c r="C873" s="253">
        <f>'Dry_Litterbag Placem_Collection'!A214</f>
        <v>215</v>
      </c>
      <c r="D873" s="253" t="str">
        <f>'Dry_Litterbag Placem_Collection'!B214</f>
        <v xml:space="preserve">Mwantimba
</v>
      </c>
      <c r="E873" s="253" t="s">
        <v>2454</v>
      </c>
      <c r="F873" s="253" t="s">
        <v>2645</v>
      </c>
      <c r="G873" s="253">
        <v>3</v>
      </c>
      <c r="H873" s="253" t="s">
        <v>3129</v>
      </c>
      <c r="I873" s="254" t="str">
        <f>'Dry_Litterbag Placem_Collection'!C214</f>
        <v>Wet_W3_CG1</v>
      </c>
      <c r="J873" s="263" t="s">
        <v>2932</v>
      </c>
      <c r="K873" s="264" t="s">
        <v>298</v>
      </c>
      <c r="L873" s="253" t="str">
        <f>IF(ISBLANK('Dry_Litterbag Placem_Collection'!M214),"","R"&amp;""&amp;'Dry_Litterbag Placem_Collection'!M214)</f>
        <v>R256</v>
      </c>
      <c r="M873" s="257">
        <f>IFERROR(INDEX('Green_rooibos initial weight'!$C$5:$C$2000,MATCH(L873, 'Green_rooibos initial weight'!$A$5:$A$2000,0)),"")</f>
        <v>2.2000000000000002</v>
      </c>
      <c r="N873" s="257">
        <f>IFERROR(M873-(TBIcalc!$Q$9+TBIcalc!$Q$10),"")</f>
        <v>1.9502000000000002</v>
      </c>
      <c r="O873" s="378">
        <f>AVERAGE(Ashed_controlls!$K$12:$K$14)</f>
        <v>2.2816647271287041</v>
      </c>
      <c r="P873" s="257">
        <f t="shared" si="66"/>
        <v>1.9057029744915361</v>
      </c>
      <c r="Q873" s="257">
        <f>IFERROR(INDEX('Both teabags AfterDry'!$D$2:$D$2000,MATCH(L873,'Both teabags AfterDry'!$A$2:$A$2000,0)),"")</f>
        <v>1.5882000000000001</v>
      </c>
      <c r="R873" s="257">
        <f>IFERROR(IF(Q873&gt;0,Q873-(TBIcalc!$Q$9),""),"")</f>
        <v>1.4376</v>
      </c>
      <c r="S873" s="268">
        <f>IFERROR(INDEX('Ashed teabags dry'!$K$2:$K$2000,MATCH(L873,'Ashed teabags dry'!$A$2:$A$2000,0)),"")</f>
        <v>7.9981069569333094</v>
      </c>
      <c r="T873" s="268">
        <f t="shared" si="67"/>
        <v>1.3226192143871267</v>
      </c>
      <c r="U873" s="258">
        <f>IF('Dry_Litterbag Placem_Collection'!E214="","",'Dry_Litterbag Placem_Collection'!E214)</f>
        <v>42942</v>
      </c>
      <c r="V873" s="258">
        <f>IF('Dry_Litterbag Placem_Collection'!G214="","",'Dry_Litterbag Placem_Collection'!G214)</f>
        <v>43004</v>
      </c>
      <c r="W873" s="259">
        <f t="shared" si="65"/>
        <v>62</v>
      </c>
      <c r="X873" s="257">
        <f t="shared" si="68"/>
        <v>0.51260000000000017</v>
      </c>
      <c r="Y873" s="257">
        <f t="shared" si="69"/>
        <v>0.58308376010440943</v>
      </c>
      <c r="Z873" s="261" t="str">
        <f>IFERROR(INDEX([3]Rainfall_Dry!$O$2:$O$217,MATCH(C873, [3]Rainfall_Dry!$A$2:$A$217,0)),"")</f>
        <v/>
      </c>
      <c r="AA873" s="250">
        <v>27.96</v>
      </c>
      <c r="AB873" s="250">
        <v>4.9200000000000017</v>
      </c>
      <c r="AC873" s="250">
        <v>67.12</v>
      </c>
      <c r="AD873" s="251" t="s">
        <v>2651</v>
      </c>
      <c r="AE873" s="250">
        <v>1.0437161163134547</v>
      </c>
      <c r="AF873">
        <f>IF('WetLitterbags placem_collection'!AB214="","",'WetLitterbags placem_collection'!AB214)</f>
        <v>7.9</v>
      </c>
      <c r="AG873">
        <f>IF('WetLitterbags placem_collection'!Z214="","",'WetLitterbags placem_collection'!Z214)</f>
        <v>7.9</v>
      </c>
      <c r="AH873" s="236" t="str">
        <f>IF('WetLitterbags placem_collection'!AA214="","",'WetLitterbags placem_collection'!AA214)</f>
        <v>O</v>
      </c>
      <c r="AI873">
        <f>IF('WetLitterbags placem_collection'!AC214="","",'WetLitterbags placem_collection'!AC214)</f>
        <v>1</v>
      </c>
      <c r="AJ873">
        <f>IFERROR(AVERAGE('Dry_Litterbag Placem_Collection'!O214,'Dry_Litterbag Placem_Collection'!R214),"")</f>
        <v>4.3</v>
      </c>
      <c r="AK873" s="261">
        <f>IFERROR(AVERAGE('Dry_Litterbag Placem_Collection'!N214,'Dry_Litterbag Placem_Collection'!Q214),"")</f>
        <v>28.75</v>
      </c>
      <c r="AL873">
        <v>-2.4395990190000001</v>
      </c>
      <c r="AM873">
        <v>34.838418959999998</v>
      </c>
      <c r="AN873" s="260" t="str">
        <f>IF(ISNUMBER(SEARCH("C", 'Dry_Litterbag Placem_Collection'!V214)),"YES","NO")</f>
        <v>NO</v>
      </c>
      <c r="AO873" s="260" t="str">
        <f>IF(ISNUMBER(SEARCH("H", 'Dry_Litterbag Placem_Collection'!V214)),"YES","NO")</f>
        <v>NO</v>
      </c>
      <c r="AP873" s="260" t="str">
        <f>IF(ISNUMBER(SEARCH("R", 'Dry_Litterbag Placem_Collection'!V214)),"YES","NO")</f>
        <v>YES</v>
      </c>
    </row>
    <row r="874" spans="1:42" ht="15" customHeight="1">
      <c r="A874" t="s">
        <v>2490</v>
      </c>
      <c r="B874" s="252" t="s">
        <v>2643</v>
      </c>
      <c r="C874" s="253">
        <f>'Dry_Litterbag Placem_Collection'!A215</f>
        <v>212</v>
      </c>
      <c r="D874" s="253" t="str">
        <f>'Dry_Litterbag Placem_Collection'!B215</f>
        <v xml:space="preserve">Mwantimba
</v>
      </c>
      <c r="E874" s="253" t="s">
        <v>2454</v>
      </c>
      <c r="F874" s="253" t="s">
        <v>20</v>
      </c>
      <c r="G874" s="253">
        <v>4</v>
      </c>
      <c r="H874" s="253" t="s">
        <v>3125</v>
      </c>
      <c r="I874" s="254" t="str">
        <f>'Dry_Litterbag Placem_Collection'!C215</f>
        <v>Wet_P4_CG3</v>
      </c>
      <c r="J874" s="263" t="s">
        <v>2932</v>
      </c>
      <c r="K874" s="264" t="s">
        <v>298</v>
      </c>
      <c r="L874" s="253" t="str">
        <f>IF(ISBLANK('Dry_Litterbag Placem_Collection'!M215),"","R"&amp;""&amp;'Dry_Litterbag Placem_Collection'!M215)</f>
        <v>R658</v>
      </c>
      <c r="M874" s="257">
        <f>IFERROR(INDEX('Green_rooibos initial weight'!$C$5:$C$2000,MATCH(L874, 'Green_rooibos initial weight'!$A$5:$A$2000,0)),"")</f>
        <v>2.2080000000000002</v>
      </c>
      <c r="N874" s="257">
        <f>IFERROR(M874-(TBIcalc!$Q$9+TBIcalc!$Q$10),"")</f>
        <v>1.9582000000000002</v>
      </c>
      <c r="O874" s="378">
        <f>AVERAGE(Ashed_controlls!$K$12:$K$14)</f>
        <v>2.2816647271287041</v>
      </c>
      <c r="P874" s="257">
        <f t="shared" si="66"/>
        <v>1.913520441313366</v>
      </c>
      <c r="Q874" s="257">
        <f>IFERROR(INDEX('Both teabags AfterDry'!$D$2:$D$2000,MATCH(L874,'Both teabags AfterDry'!$A$2:$A$2000,0)),"")</f>
        <v>1.655</v>
      </c>
      <c r="R874" s="257">
        <f>IFERROR(IF(Q874&gt;0,Q874-(TBIcalc!$Q$9),""),"")</f>
        <v>1.5044</v>
      </c>
      <c r="S874" s="268">
        <f>IFERROR(INDEX('Ashed teabags dry'!$K$2:$K$2000,MATCH(L874,'Ashed teabags dry'!$A$2:$A$2000,0)),"")</f>
        <v>3.7141513869305309</v>
      </c>
      <c r="T874" s="268">
        <f t="shared" si="67"/>
        <v>1.4485243065350171</v>
      </c>
      <c r="U874" s="258">
        <f>IF('Dry_Litterbag Placem_Collection'!E215="","",'Dry_Litterbag Placem_Collection'!E215)</f>
        <v>42942</v>
      </c>
      <c r="V874" s="258">
        <f>IF('Dry_Litterbag Placem_Collection'!G215="","",'Dry_Litterbag Placem_Collection'!G215)</f>
        <v>43004</v>
      </c>
      <c r="W874" s="259">
        <f t="shared" si="65"/>
        <v>62</v>
      </c>
      <c r="X874" s="257">
        <f t="shared" si="68"/>
        <v>0.4538000000000002</v>
      </c>
      <c r="Y874" s="257">
        <f t="shared" si="69"/>
        <v>0.46499613477834889</v>
      </c>
      <c r="Z874" s="261">
        <f>IFERROR(INDEX([3]Rainfall_Dry!$O$2:$O$217,MATCH(C874, [3]Rainfall_Dry!$A$2:$A$217,0)),"")</f>
        <v>171.84818423999999</v>
      </c>
      <c r="AA874" s="250">
        <v>21.96</v>
      </c>
      <c r="AB874" s="250">
        <v>4.9199999999999982</v>
      </c>
      <c r="AC874" s="250">
        <v>73.12</v>
      </c>
      <c r="AD874" s="251" t="s">
        <v>2651</v>
      </c>
      <c r="AE874" s="250">
        <v>1.2416954164613114</v>
      </c>
      <c r="AF874">
        <f>IF('WetLitterbags placem_collection'!AB215="","",'WetLitterbags placem_collection'!AB215)</f>
        <v>15.2</v>
      </c>
      <c r="AG874">
        <f>IF('WetLitterbags placem_collection'!Z215="","",'WetLitterbags placem_collection'!Z215)</f>
        <v>12.2</v>
      </c>
      <c r="AH874" s="236" t="str">
        <f>IF('WetLitterbags placem_collection'!AA215="","",'WetLitterbags placem_collection'!AA215)</f>
        <v>O</v>
      </c>
      <c r="AI874">
        <f>IF('WetLitterbags placem_collection'!AC215="","",'WetLitterbags placem_collection'!AC215)</f>
        <v>1</v>
      </c>
      <c r="AJ874">
        <f>IFERROR(AVERAGE('Dry_Litterbag Placem_Collection'!O215,'Dry_Litterbag Placem_Collection'!R215),"")</f>
        <v>8.1499999999999986</v>
      </c>
      <c r="AK874" s="261">
        <f>IFERROR(AVERAGE('Dry_Litterbag Placem_Collection'!N215,'Dry_Litterbag Placem_Collection'!Q215),"")</f>
        <v>28.25</v>
      </c>
      <c r="AL874">
        <v>-2.4396949910000001</v>
      </c>
      <c r="AM874">
        <v>34.838574029999997</v>
      </c>
      <c r="AN874" s="260" t="str">
        <f>IF(ISNUMBER(SEARCH("C", 'Dry_Litterbag Placem_Collection'!V215)),"YES","NO")</f>
        <v>NO</v>
      </c>
      <c r="AO874" s="260" t="str">
        <f>IF(ISNUMBER(SEARCH("H", 'Dry_Litterbag Placem_Collection'!V215)),"YES","NO")</f>
        <v>NO</v>
      </c>
      <c r="AP874" s="260" t="str">
        <f>IF(ISNUMBER(SEARCH("R", 'Dry_Litterbag Placem_Collection'!V215)),"YES","NO")</f>
        <v>YES</v>
      </c>
    </row>
    <row r="875" spans="1:42" ht="15" customHeight="1">
      <c r="A875" t="s">
        <v>2490</v>
      </c>
      <c r="B875" s="252" t="s">
        <v>2643</v>
      </c>
      <c r="C875" s="253">
        <f>'Dry_Litterbag Placem_Collection'!A216</f>
        <v>213</v>
      </c>
      <c r="D875" s="253" t="str">
        <f>'Dry_Litterbag Placem_Collection'!B216</f>
        <v>Handajega</v>
      </c>
      <c r="E875" s="253" t="s">
        <v>2454</v>
      </c>
      <c r="F875" s="253" t="s">
        <v>2645</v>
      </c>
      <c r="G875" s="253">
        <v>3</v>
      </c>
      <c r="H875" s="253" t="s">
        <v>3126</v>
      </c>
      <c r="I875" s="254" t="str">
        <f>'Dry_Litterbag Placem_Collection'!C216</f>
        <v>Wet_W1_CG4</v>
      </c>
      <c r="J875" s="263" t="s">
        <v>2932</v>
      </c>
      <c r="K875" s="264" t="s">
        <v>298</v>
      </c>
      <c r="L875" s="253" t="str">
        <f>IF(ISBLANK('Dry_Litterbag Placem_Collection'!M216),"","R"&amp;""&amp;'Dry_Litterbag Placem_Collection'!M216)</f>
        <v>R699</v>
      </c>
      <c r="M875" s="257">
        <f>IFERROR(INDEX('Green_rooibos initial weight'!$C$5:$C$2000,MATCH(L875, 'Green_rooibos initial weight'!$A$5:$A$2000,0)),"")</f>
        <v>2.157</v>
      </c>
      <c r="N875" s="257">
        <f>IFERROR(M875-(TBIcalc!$Q$9+TBIcalc!$Q$10),"")</f>
        <v>1.9072</v>
      </c>
      <c r="O875" s="378">
        <f>AVERAGE(Ashed_controlls!$K$12:$K$14)</f>
        <v>2.2816647271287041</v>
      </c>
      <c r="P875" s="257">
        <f t="shared" si="66"/>
        <v>1.8636840903242013</v>
      </c>
      <c r="Q875" s="257">
        <f>IFERROR(INDEX('Both teabags AfterDry'!$D$2:$D$2000,MATCH(L875,'Both teabags AfterDry'!$A$2:$A$2000,0)),"")</f>
        <v>1.748</v>
      </c>
      <c r="R875" s="257">
        <f>IFERROR(IF(Q875&gt;0,Q875-(TBIcalc!$Q$9),""),"")</f>
        <v>1.5973999999999999</v>
      </c>
      <c r="S875" s="268">
        <f>IFERROR(INDEX('Ashed teabags dry'!$K$2:$K$2000,MATCH(L875,'Ashed teabags dry'!$A$2:$A$2000,0)),"")</f>
        <v>5.3180914512921857</v>
      </c>
      <c r="T875" s="268">
        <f t="shared" si="67"/>
        <v>1.5124488071570585</v>
      </c>
      <c r="U875" s="258">
        <f>IF('Dry_Litterbag Placem_Collection'!E216="","",'Dry_Litterbag Placem_Collection'!E216)</f>
        <v>42942</v>
      </c>
      <c r="V875" s="258">
        <f>IF('Dry_Litterbag Placem_Collection'!G216="","",'Dry_Litterbag Placem_Collection'!G216)</f>
        <v>43004</v>
      </c>
      <c r="W875" s="259">
        <f t="shared" si="65"/>
        <v>62</v>
      </c>
      <c r="X875" s="257">
        <f t="shared" si="68"/>
        <v>0.30980000000000008</v>
      </c>
      <c r="Y875" s="257">
        <f t="shared" si="69"/>
        <v>0.35123528316714281</v>
      </c>
      <c r="Z875" s="261">
        <f>IFERROR(INDEX([3]Rainfall_Dry!$O$2:$O$217,MATCH(C875, [3]Rainfall_Dry!$A$2:$A$217,0)),"")</f>
        <v>171.84818423999999</v>
      </c>
      <c r="AA875" s="250">
        <v>23.96</v>
      </c>
      <c r="AB875" s="250">
        <v>4.9199999999999982</v>
      </c>
      <c r="AC875" s="250">
        <v>71.12</v>
      </c>
      <c r="AD875" s="251" t="s">
        <v>2651</v>
      </c>
      <c r="AE875" s="250">
        <v>3.30913750616067</v>
      </c>
      <c r="AF875">
        <f>IF('WetLitterbags placem_collection'!AB216="","",'WetLitterbags placem_collection'!AB216)</f>
        <v>7.9</v>
      </c>
      <c r="AG875">
        <f>IF('WetLitterbags placem_collection'!Z216="","",'WetLitterbags placem_collection'!Z216)</f>
        <v>7.9</v>
      </c>
      <c r="AH875" s="236" t="str">
        <f>IF('WetLitterbags placem_collection'!AA216="","",'WetLitterbags placem_collection'!AA216)</f>
        <v>O</v>
      </c>
      <c r="AI875">
        <f>IF('WetLitterbags placem_collection'!AC216="","",'WetLitterbags placem_collection'!AC216)</f>
        <v>1</v>
      </c>
      <c r="AJ875">
        <f>IFERROR(AVERAGE('Dry_Litterbag Placem_Collection'!O216,'Dry_Litterbag Placem_Collection'!R216),"")</f>
        <v>4.3499999999999996</v>
      </c>
      <c r="AK875" s="261">
        <f>IFERROR(AVERAGE('Dry_Litterbag Placem_Collection'!N216,'Dry_Litterbag Placem_Collection'!Q216),"")</f>
        <v>29.1</v>
      </c>
      <c r="AL875">
        <v>-2.4396949910000001</v>
      </c>
      <c r="AM875">
        <v>34.838574029999997</v>
      </c>
      <c r="AN875" s="260" t="str">
        <f>IF(ISNUMBER(SEARCH("C", 'Dry_Litterbag Placem_Collection'!V216)),"YES","NO")</f>
        <v>NO</v>
      </c>
      <c r="AO875" s="260" t="str">
        <f>IF(ISNUMBER(SEARCH("H", 'Dry_Litterbag Placem_Collection'!V216)),"YES","NO")</f>
        <v>NO</v>
      </c>
      <c r="AP875" s="260" t="str">
        <f>IF(ISNUMBER(SEARCH("R", 'Dry_Litterbag Placem_Collection'!V216)),"YES","NO")</f>
        <v>NO</v>
      </c>
    </row>
    <row r="876" spans="1:42" ht="15" customHeight="1">
      <c r="A876" t="s">
        <v>2490</v>
      </c>
      <c r="B876" s="252" t="s">
        <v>2643</v>
      </c>
      <c r="C876" s="253">
        <f>'Dry_Litterbag Placem_Collection'!A217</f>
        <v>214</v>
      </c>
      <c r="D876" s="253" t="str">
        <f>'Dry_Litterbag Placem_Collection'!B217</f>
        <v>Handajega</v>
      </c>
      <c r="E876" s="253" t="s">
        <v>2454</v>
      </c>
      <c r="F876" s="253" t="s">
        <v>2645</v>
      </c>
      <c r="G876" s="253">
        <v>1</v>
      </c>
      <c r="H876" s="253" t="s">
        <v>3128</v>
      </c>
      <c r="I876" s="254" t="str">
        <f>'Dry_Litterbag Placem_Collection'!C217</f>
        <v>Wet_W2_CG3</v>
      </c>
      <c r="J876" s="263" t="s">
        <v>2932</v>
      </c>
      <c r="K876" s="264" t="s">
        <v>298</v>
      </c>
      <c r="L876" s="253" t="str">
        <f>IF(ISBLANK('Dry_Litterbag Placem_Collection'!M217),"","R"&amp;""&amp;'Dry_Litterbag Placem_Collection'!M217)</f>
        <v>R663</v>
      </c>
      <c r="M876" s="257">
        <f>IFERROR(INDEX('Green_rooibos initial weight'!$C$5:$C$2000,MATCH(L876, 'Green_rooibos initial weight'!$A$5:$A$2000,0)),"")</f>
        <v>2.105</v>
      </c>
      <c r="N876" s="257">
        <f>IFERROR(M876-(TBIcalc!$Q$9+TBIcalc!$Q$10),"")</f>
        <v>1.8552</v>
      </c>
      <c r="O876" s="378">
        <f>AVERAGE(Ashed_controlls!$K$12:$K$14)</f>
        <v>2.2816647271287041</v>
      </c>
      <c r="P876" s="257">
        <f t="shared" si="66"/>
        <v>1.8128705559823082</v>
      </c>
      <c r="Q876" s="257">
        <f>IFERROR(INDEX('Both teabags AfterDry'!$D$2:$D$2000,MATCH(L876,'Both teabags AfterDry'!$A$2:$A$2000,0)),"")</f>
        <v>1.6679999999999999</v>
      </c>
      <c r="R876" s="257">
        <f>IFERROR(IF(Q876&gt;0,Q876-(TBIcalc!$Q$9),""),"")</f>
        <v>1.5173999999999999</v>
      </c>
      <c r="S876" s="268">
        <f>IFERROR(INDEX('Ashed teabags dry'!$K$2:$K$2000,MATCH(L876,'Ashed teabags dry'!$A$2:$A$2000,0)),"")</f>
        <v>3.297724105899698</v>
      </c>
      <c r="T876" s="268">
        <f t="shared" si="67"/>
        <v>1.4673603344170778</v>
      </c>
      <c r="U876" s="258">
        <f>IF('Dry_Litterbag Placem_Collection'!E217="","",'Dry_Litterbag Placem_Collection'!E217)</f>
        <v>42942</v>
      </c>
      <c r="V876" s="258">
        <f>IF('Dry_Litterbag Placem_Collection'!G217="","",'Dry_Litterbag Placem_Collection'!G217)</f>
        <v>43004</v>
      </c>
      <c r="W876" s="259">
        <f t="shared" si="65"/>
        <v>62</v>
      </c>
      <c r="X876" s="257">
        <f t="shared" si="68"/>
        <v>0.3378000000000001</v>
      </c>
      <c r="Y876" s="257">
        <f t="shared" si="69"/>
        <v>0.34551022156523037</v>
      </c>
      <c r="Z876" s="261">
        <f>IFERROR(INDEX([3]Rainfall_Dry!$O$2:$O$217,MATCH(C876, [3]Rainfall_Dry!$A$2:$A$217,0)),"")</f>
        <v>171.84818423999999</v>
      </c>
      <c r="AA876" s="250">
        <v>25.96</v>
      </c>
      <c r="AB876" s="250">
        <v>8.9200000000000017</v>
      </c>
      <c r="AC876" s="250">
        <v>65.12</v>
      </c>
      <c r="AD876" s="251" t="s">
        <v>2651</v>
      </c>
      <c r="AE876" s="250">
        <v>1.614588467225234</v>
      </c>
      <c r="AF876">
        <f>IF('WetLitterbags placem_collection'!AB217="","",'WetLitterbags placem_collection'!AB217)</f>
        <v>13.8</v>
      </c>
      <c r="AG876">
        <f>IF('WetLitterbags placem_collection'!Z217="","",'WetLitterbags placem_collection'!Z217)</f>
        <v>17.399999999999999</v>
      </c>
      <c r="AH876" s="236" t="str">
        <f>IF('WetLitterbags placem_collection'!AA217="","",'WetLitterbags placem_collection'!AA217)</f>
        <v>O</v>
      </c>
      <c r="AI876">
        <f>IF('WetLitterbags placem_collection'!AC217="","",'WetLitterbags placem_collection'!AC217)</f>
        <v>1</v>
      </c>
      <c r="AJ876">
        <f>IFERROR(AVERAGE('Dry_Litterbag Placem_Collection'!O217,'Dry_Litterbag Placem_Collection'!R217),"")</f>
        <v>6.3</v>
      </c>
      <c r="AK876" s="261">
        <f>IFERROR(AVERAGE('Dry_Litterbag Placem_Collection'!N217,'Dry_Litterbag Placem_Collection'!Q217),"")</f>
        <v>29.8</v>
      </c>
      <c r="AL876">
        <v>-2.439403972</v>
      </c>
      <c r="AM876">
        <v>34.838404959999998</v>
      </c>
      <c r="AN876" s="260" t="str">
        <f>IF(ISNUMBER(SEARCH("C", 'Dry_Litterbag Placem_Collection'!V217)),"YES","NO")</f>
        <v>NO</v>
      </c>
      <c r="AO876" s="260" t="str">
        <f>IF(ISNUMBER(SEARCH("H", 'Dry_Litterbag Placem_Collection'!V217)),"YES","NO")</f>
        <v>NO</v>
      </c>
      <c r="AP876" s="260" t="str">
        <f>IF(ISNUMBER(SEARCH("R", 'Dry_Litterbag Placem_Collection'!V217)),"YES","NO")</f>
        <v>NO</v>
      </c>
    </row>
    <row r="877" spans="1:42" ht="15" customHeight="1">
      <c r="A877" t="s">
        <v>2490</v>
      </c>
      <c r="B877" s="252" t="s">
        <v>2643</v>
      </c>
      <c r="C877" s="253">
        <f>'Dry_Litterbag Placem_Collection'!A218</f>
        <v>216</v>
      </c>
      <c r="D877" s="253" t="str">
        <f>'Dry_Litterbag Placem_Collection'!B218</f>
        <v>Handajega</v>
      </c>
      <c r="E877" s="253" t="s">
        <v>2454</v>
      </c>
      <c r="F877" s="253" t="s">
        <v>2645</v>
      </c>
      <c r="G877" s="253">
        <v>2</v>
      </c>
      <c r="H877" s="253" t="s">
        <v>3130</v>
      </c>
      <c r="I877" s="254" t="str">
        <f>'Dry_Litterbag Placem_Collection'!C218</f>
        <v>Wet_W4_CG2</v>
      </c>
      <c r="J877" s="263" t="s">
        <v>2932</v>
      </c>
      <c r="K877" s="264" t="s">
        <v>298</v>
      </c>
      <c r="L877" s="253" t="str">
        <f>IF(ISBLANK('Dry_Litterbag Placem_Collection'!M218),"","R"&amp;""&amp;'Dry_Litterbag Placem_Collection'!M218)</f>
        <v>R622</v>
      </c>
      <c r="M877" s="257">
        <f>IFERROR(INDEX('Green_rooibos initial weight'!$C$5:$C$2000,MATCH(L877, 'Green_rooibos initial weight'!$A$5:$A$2000,0)),"")</f>
        <v>2.1640000000000001</v>
      </c>
      <c r="N877" s="257">
        <f>IFERROR(M877-(TBIcalc!$Q$9+TBIcalc!$Q$10),"")</f>
        <v>1.9142000000000001</v>
      </c>
      <c r="O877" s="378">
        <f>AVERAGE(Ashed_controlls!$K$12:$K$14)</f>
        <v>2.2816647271287041</v>
      </c>
      <c r="P877" s="257">
        <f t="shared" si="66"/>
        <v>1.8705243737933024</v>
      </c>
      <c r="Q877" s="257">
        <f>IFERROR(INDEX('Both teabags AfterDry'!$D$2:$D$2000,MATCH(L877,'Both teabags AfterDry'!$A$2:$A$2000,0)),"")</f>
        <v>1.6419999999999999</v>
      </c>
      <c r="R877" s="257">
        <f>IFERROR(IF(Q877&gt;0,Q877-(TBIcalc!$Q$9),""),"")</f>
        <v>1.4913999999999998</v>
      </c>
      <c r="S877" s="268">
        <f>IFERROR(INDEX('Ashed teabags dry'!$K$2:$K$2000,MATCH(L877,'Ashed teabags dry'!$A$2:$A$2000,0)),"")</f>
        <v>4.6979865771810632</v>
      </c>
      <c r="T877" s="268">
        <f t="shared" si="67"/>
        <v>1.4213342281879215</v>
      </c>
      <c r="U877" s="258">
        <f>IF('Dry_Litterbag Placem_Collection'!E218="","",'Dry_Litterbag Placem_Collection'!E218)</f>
        <v>42942</v>
      </c>
      <c r="V877" s="258">
        <f>IF('Dry_Litterbag Placem_Collection'!G218="","",'Dry_Litterbag Placem_Collection'!G218)</f>
        <v>43004</v>
      </c>
      <c r="W877" s="259">
        <f t="shared" si="65"/>
        <v>62</v>
      </c>
      <c r="X877" s="257">
        <f t="shared" si="68"/>
        <v>0.42280000000000029</v>
      </c>
      <c r="Y877" s="257">
        <f t="shared" si="69"/>
        <v>0.44919014560538084</v>
      </c>
      <c r="Z877" s="261">
        <f>IFERROR(INDEX([3]Rainfall_Dry!$O$2:$O$217,MATCH(C877, [3]Rainfall_Dry!$A$2:$A$217,0)),"")</f>
        <v>171.84818423999999</v>
      </c>
      <c r="AA877" s="250">
        <v>25.96</v>
      </c>
      <c r="AB877" s="250">
        <v>8.9200000000000017</v>
      </c>
      <c r="AC877" s="250">
        <v>65.12</v>
      </c>
      <c r="AD877" s="251" t="s">
        <v>2651</v>
      </c>
      <c r="AE877" s="250">
        <v>1.6991621488417901</v>
      </c>
      <c r="AF877">
        <f>IF('WetLitterbags placem_collection'!AB218="","",'WetLitterbags placem_collection'!AB218)</f>
        <v>5.13</v>
      </c>
      <c r="AG877">
        <f>IF('WetLitterbags placem_collection'!Z218="","",'WetLitterbags placem_collection'!Z218)</f>
        <v>5.13</v>
      </c>
      <c r="AH877" s="236" t="str">
        <f>IF('WetLitterbags placem_collection'!AA218="","",'WetLitterbags placem_collection'!AA218)</f>
        <v>O</v>
      </c>
      <c r="AI877">
        <f>IF('WetLitterbags placem_collection'!AC218="","",'WetLitterbags placem_collection'!AC218)</f>
        <v>1</v>
      </c>
      <c r="AJ877">
        <f>IFERROR(AVERAGE('Dry_Litterbag Placem_Collection'!O218,'Dry_Litterbag Placem_Collection'!R218),"")</f>
        <v>7.0500000000000007</v>
      </c>
      <c r="AK877" s="261">
        <f>IFERROR(AVERAGE('Dry_Litterbag Placem_Collection'!N218,'Dry_Litterbag Placem_Collection'!Q218),"")</f>
        <v>29.85</v>
      </c>
      <c r="AL877">
        <v>-2.4396450349999999</v>
      </c>
      <c r="AM877">
        <v>34.83836599</v>
      </c>
      <c r="AN877" s="260" t="str">
        <f>IF(ISNUMBER(SEARCH("C", 'Dry_Litterbag Placem_Collection'!V218)),"YES","NO")</f>
        <v>NO</v>
      </c>
      <c r="AO877" s="260" t="str">
        <f>IF(ISNUMBER(SEARCH("H", 'Dry_Litterbag Placem_Collection'!V218)),"YES","NO")</f>
        <v>NO</v>
      </c>
      <c r="AP877" s="260" t="str">
        <f>IF(ISNUMBER(SEARCH("R", 'Dry_Litterbag Placem_Collection'!V218)),"YES","NO")</f>
        <v>NO</v>
      </c>
    </row>
    <row r="878" spans="1:42" ht="15" customHeight="1">
      <c r="A878" t="s">
        <v>2490</v>
      </c>
      <c r="B878" s="252" t="s">
        <v>2643</v>
      </c>
      <c r="C878" s="253">
        <f>'Dry_Litterbag Placem_Collection'!A219</f>
        <v>217</v>
      </c>
      <c r="D878" s="253" t="str">
        <f>'Dry_Litterbag Placem_Collection'!B219</f>
        <v>Seronera</v>
      </c>
      <c r="E878" s="253" t="s">
        <v>3249</v>
      </c>
      <c r="F878" s="253" t="s">
        <v>2423</v>
      </c>
      <c r="G878" s="253">
        <v>1</v>
      </c>
      <c r="H878" s="253" t="s">
        <v>3186</v>
      </c>
      <c r="I878" s="254" t="str">
        <f>'Dry_Litterbag Placem_Collection'!C219</f>
        <v>Local1_CG1</v>
      </c>
      <c r="J878" s="263" t="s">
        <v>2932</v>
      </c>
      <c r="K878" s="264" t="s">
        <v>298</v>
      </c>
      <c r="L878" s="253" t="str">
        <f>IF(ISBLANK('Dry_Litterbag Placem_Collection'!M219),"","R"&amp;""&amp;'Dry_Litterbag Placem_Collection'!M219)</f>
        <v>R608</v>
      </c>
      <c r="M878" s="257">
        <f>IFERROR(INDEX('Green_rooibos initial weight'!$C$5:$C$2000,MATCH(L878, 'Green_rooibos initial weight'!$A$5:$A$2000,0)),"")</f>
        <v>2.1440000000000001</v>
      </c>
      <c r="N878" s="257">
        <f>IFERROR(M878-(TBIcalc!$Q$9+TBIcalc!$Q$10),"")</f>
        <v>1.8942000000000001</v>
      </c>
      <c r="O878" s="378">
        <f>AVERAGE(Ashed_controlls!$K$12:$K$14)</f>
        <v>2.2816647271287041</v>
      </c>
      <c r="P878" s="257">
        <f t="shared" si="66"/>
        <v>1.8509807067387283</v>
      </c>
      <c r="Q878" s="257">
        <f>IFERROR(INDEX('Both teabags AfterDry'!$D$2:$D$2000,MATCH(L878,'Both teabags AfterDry'!$A$2:$A$2000,0)),"")</f>
        <v>1.6455</v>
      </c>
      <c r="R878" s="257">
        <f>IFERROR(IF(Q878&gt;0,Q878-(TBIcalc!$Q$9),""),"")</f>
        <v>1.4948999999999999</v>
      </c>
      <c r="S878" s="268">
        <f>IFERROR(INDEX('Ashed teabags dry'!$K$2:$K$2000,MATCH(L878,'Ashed teabags dry'!$A$2:$A$2000,0)),"")</f>
        <v>3.468950749465225</v>
      </c>
      <c r="T878" s="268">
        <f t="shared" si="67"/>
        <v>1.4430426552462443</v>
      </c>
      <c r="U878" s="258">
        <f>IF('Dry_Litterbag Placem_Collection'!E219="","",'Dry_Litterbag Placem_Collection'!E219)</f>
        <v>42942</v>
      </c>
      <c r="V878" s="258">
        <f>IF('Dry_Litterbag Placem_Collection'!G219="","",'Dry_Litterbag Placem_Collection'!G219)</f>
        <v>43004</v>
      </c>
      <c r="W878" s="259">
        <f t="shared" si="65"/>
        <v>62</v>
      </c>
      <c r="X878" s="257">
        <f t="shared" si="68"/>
        <v>0.39930000000000021</v>
      </c>
      <c r="Y878" s="257">
        <f t="shared" si="69"/>
        <v>0.40793805149248397</v>
      </c>
      <c r="Z878" s="261">
        <f>IFERROR(INDEX([3]Rainfall_Dry!$O$2:$O$217,MATCH(C878, [3]Rainfall_Dry!$A$2:$A$217,0)),"")</f>
        <v>171.84818423999999</v>
      </c>
      <c r="AA878" s="250">
        <v>29.076539101497506</v>
      </c>
      <c r="AB878" s="250">
        <v>7.1963394342762079</v>
      </c>
      <c r="AC878" s="250">
        <v>63.727121464226286</v>
      </c>
      <c r="AD878" s="250" t="s">
        <v>2651</v>
      </c>
      <c r="AE878" s="250">
        <v>1.0994578610152781</v>
      </c>
      <c r="AF878">
        <f>IF('WetLitterbags placem_collection'!AB219="","",'WetLitterbags placem_collection'!AB219)</f>
        <v>13.8</v>
      </c>
      <c r="AG878">
        <f>IF('WetLitterbags placem_collection'!Z219="","",'WetLitterbags placem_collection'!Z219)</f>
        <v>17.399999999999999</v>
      </c>
      <c r="AH878" s="236" t="str">
        <f>IF('WetLitterbags placem_collection'!AA219="","",'WetLitterbags placem_collection'!AA219)</f>
        <v>O</v>
      </c>
      <c r="AI878">
        <f>IF('WetLitterbags placem_collection'!AC219="","",'WetLitterbags placem_collection'!AC219)</f>
        <v>1</v>
      </c>
      <c r="AJ878">
        <f>IFERROR(AVERAGE('Dry_Litterbag Placem_Collection'!O219,'Dry_Litterbag Placem_Collection'!R219),"")</f>
        <v>7.1999999999999993</v>
      </c>
      <c r="AK878" s="261">
        <f>IFERROR(AVERAGE('Dry_Litterbag Placem_Collection'!N219,'Dry_Litterbag Placem_Collection'!Q219),"")</f>
        <v>31.25</v>
      </c>
      <c r="AL878">
        <v>-2.439403972</v>
      </c>
      <c r="AM878">
        <v>34.838404959999998</v>
      </c>
      <c r="AN878" s="260" t="str">
        <f>IF(ISNUMBER(SEARCH("C", 'Dry_Litterbag Placem_Collection'!V219)),"YES","NO")</f>
        <v>NO</v>
      </c>
      <c r="AO878" s="260" t="str">
        <f>IF(ISNUMBER(SEARCH("H", 'Dry_Litterbag Placem_Collection'!V219)),"YES","NO")</f>
        <v>NO</v>
      </c>
      <c r="AP878" s="260" t="str">
        <f>IF(ISNUMBER(SEARCH("R", 'Dry_Litterbag Placem_Collection'!V219)),"YES","NO")</f>
        <v>NO</v>
      </c>
    </row>
    <row r="879" spans="1:42" ht="15" customHeight="1">
      <c r="A879" t="s">
        <v>2490</v>
      </c>
      <c r="B879" s="252" t="s">
        <v>2643</v>
      </c>
      <c r="C879" s="253">
        <f>'Dry_Litterbag Placem_Collection'!A220</f>
        <v>218</v>
      </c>
      <c r="D879" s="253" t="str">
        <f>'Dry_Litterbag Placem_Collection'!B220</f>
        <v>Seronera</v>
      </c>
      <c r="E879" s="253" t="s">
        <v>3249</v>
      </c>
      <c r="F879" s="253" t="s">
        <v>2423</v>
      </c>
      <c r="G879" s="253">
        <v>2</v>
      </c>
      <c r="H879" s="253" t="s">
        <v>3187</v>
      </c>
      <c r="I879" s="254" t="str">
        <f>'Dry_Litterbag Placem_Collection'!C220</f>
        <v>Local2_CG2</v>
      </c>
      <c r="J879" s="263" t="s">
        <v>2932</v>
      </c>
      <c r="K879" s="264" t="s">
        <v>298</v>
      </c>
      <c r="L879" s="253" t="str">
        <f>IF(ISBLANK('Dry_Litterbag Placem_Collection'!M220),"","R"&amp;""&amp;'Dry_Litterbag Placem_Collection'!M220)</f>
        <v>R639</v>
      </c>
      <c r="M879" s="257">
        <f>IFERROR(INDEX('Green_rooibos initial weight'!$C$5:$C$2000,MATCH(L879, 'Green_rooibos initial weight'!$A$5:$A$2000,0)),"")</f>
        <v>2.0840000000000001</v>
      </c>
      <c r="N879" s="257">
        <f>IFERROR(M879-(TBIcalc!$Q$9+TBIcalc!$Q$10),"")</f>
        <v>1.8342000000000001</v>
      </c>
      <c r="O879" s="378">
        <f>AVERAGE(Ashed_controlls!$K$12:$K$14)</f>
        <v>2.2816647271287041</v>
      </c>
      <c r="P879" s="257">
        <f t="shared" si="66"/>
        <v>1.7923497055750053</v>
      </c>
      <c r="Q879" s="257">
        <f>IFERROR(INDEX('Both teabags AfterDry'!$D$2:$D$2000,MATCH(L879,'Both teabags AfterDry'!$A$2:$A$2000,0)),"")</f>
        <v>1.6519999999999999</v>
      </c>
      <c r="R879" s="257">
        <f>IFERROR(IF(Q879&gt;0,Q879-(TBIcalc!$Q$9),""),"")</f>
        <v>1.5013999999999998</v>
      </c>
      <c r="S879" s="268">
        <f>IFERROR(INDEX('Ashed teabags dry'!$K$2:$K$2000,MATCH(L879,'Ashed teabags dry'!$A$2:$A$2000,0)),"")</f>
        <v>4.9473202015572753</v>
      </c>
      <c r="T879" s="268">
        <f t="shared" si="67"/>
        <v>1.4271209344938189</v>
      </c>
      <c r="U879" s="258">
        <f>IF('Dry_Litterbag Placem_Collection'!E220="","",'Dry_Litterbag Placem_Collection'!E220)</f>
        <v>42942</v>
      </c>
      <c r="V879" s="258">
        <f>IF('Dry_Litterbag Placem_Collection'!G220="","",'Dry_Litterbag Placem_Collection'!G220)</f>
        <v>43004</v>
      </c>
      <c r="W879" s="259">
        <f t="shared" si="65"/>
        <v>62</v>
      </c>
      <c r="X879" s="257">
        <f t="shared" si="68"/>
        <v>0.33280000000000021</v>
      </c>
      <c r="Y879" s="257">
        <f t="shared" si="69"/>
        <v>0.36522877108118634</v>
      </c>
      <c r="Z879" s="261">
        <f>IFERROR(INDEX([3]Rainfall_Dry!$O$2:$O$217,MATCH(C879, [3]Rainfall_Dry!$A$2:$A$217,0)),"")</f>
        <v>171.84818423999999</v>
      </c>
      <c r="AA879" s="250">
        <v>21.072635135135137</v>
      </c>
      <c r="AB879" s="250">
        <v>7.3057432432432412</v>
      </c>
      <c r="AC879" s="250">
        <v>71.621621621621614</v>
      </c>
      <c r="AD879" s="250" t="s">
        <v>2651</v>
      </c>
      <c r="AE879" s="250">
        <v>1.4512074913750617</v>
      </c>
      <c r="AF879">
        <f>IF('WetLitterbags placem_collection'!AB220="","",'WetLitterbags placem_collection'!AB220)</f>
        <v>5.13</v>
      </c>
      <c r="AG879">
        <f>IF('WetLitterbags placem_collection'!Z220="","",'WetLitterbags placem_collection'!Z220)</f>
        <v>5.13</v>
      </c>
      <c r="AH879" s="236" t="str">
        <f>IF('WetLitterbags placem_collection'!AA220="","",'WetLitterbags placem_collection'!AA220)</f>
        <v>O</v>
      </c>
      <c r="AI879">
        <f>IF('WetLitterbags placem_collection'!AC220="","",'WetLitterbags placem_collection'!AC220)</f>
        <v>1</v>
      </c>
      <c r="AJ879">
        <f>IFERROR(AVERAGE('Dry_Litterbag Placem_Collection'!O220,'Dry_Litterbag Placem_Collection'!R220),"")</f>
        <v>6.45</v>
      </c>
      <c r="AK879" s="261">
        <f>IFERROR(AVERAGE('Dry_Litterbag Placem_Collection'!N220,'Dry_Litterbag Placem_Collection'!Q220),"")</f>
        <v>29.15</v>
      </c>
      <c r="AL879">
        <v>-2.4396450349999999</v>
      </c>
      <c r="AM879">
        <v>34.83836599</v>
      </c>
      <c r="AN879" s="260" t="str">
        <f>IF(ISNUMBER(SEARCH("C", 'Dry_Litterbag Placem_Collection'!V220)),"YES","NO")</f>
        <v>NO</v>
      </c>
      <c r="AO879" s="260" t="str">
        <f>IF(ISNUMBER(SEARCH("H", 'Dry_Litterbag Placem_Collection'!V220)),"YES","NO")</f>
        <v>NO</v>
      </c>
      <c r="AP879" s="260" t="str">
        <f>IF(ISNUMBER(SEARCH("R", 'Dry_Litterbag Placem_Collection'!V220)),"YES","NO")</f>
        <v>YES</v>
      </c>
    </row>
    <row r="880" spans="1:42" ht="15" customHeight="1">
      <c r="A880" t="s">
        <v>2490</v>
      </c>
      <c r="B880" s="252" t="s">
        <v>2643</v>
      </c>
      <c r="C880" s="253">
        <f>'Dry_Litterbag Placem_Collection'!A221</f>
        <v>219</v>
      </c>
      <c r="D880" s="253" t="str">
        <f>'Dry_Litterbag Placem_Collection'!B221</f>
        <v>Seronera</v>
      </c>
      <c r="E880" s="253" t="s">
        <v>3249</v>
      </c>
      <c r="F880" s="253" t="s">
        <v>2423</v>
      </c>
      <c r="G880" s="253">
        <v>3</v>
      </c>
      <c r="H880" s="253" t="s">
        <v>3188</v>
      </c>
      <c r="I880" s="254" t="str">
        <f>'Dry_Litterbag Placem_Collection'!C221</f>
        <v>Local3_CG3</v>
      </c>
      <c r="J880" s="263" t="s">
        <v>2932</v>
      </c>
      <c r="K880" s="264" t="s">
        <v>298</v>
      </c>
      <c r="L880" s="253" t="str">
        <f>IF(ISBLANK('Dry_Litterbag Placem_Collection'!M221),"","R"&amp;""&amp;'Dry_Litterbag Placem_Collection'!M221)</f>
        <v>R246</v>
      </c>
      <c r="M880" s="257">
        <f>IFERROR(INDEX('Green_rooibos initial weight'!$C$5:$C$2000,MATCH(L880, 'Green_rooibos initial weight'!$A$5:$A$2000,0)),"")</f>
        <v>2.2170000000000001</v>
      </c>
      <c r="N880" s="257">
        <f>IFERROR(M880-(TBIcalc!$Q$9+TBIcalc!$Q$10),"")</f>
        <v>1.9672000000000001</v>
      </c>
      <c r="O880" s="378">
        <f>AVERAGE(Ashed_controlls!$K$12:$K$14)</f>
        <v>2.2816647271287041</v>
      </c>
      <c r="P880" s="257">
        <f t="shared" si="66"/>
        <v>1.9223150914879241</v>
      </c>
      <c r="Q880" s="257">
        <f>IFERROR(INDEX('Both teabags AfterDry'!$D$2:$D$2000,MATCH(L880,'Both teabags AfterDry'!$A$2:$A$2000,0)),"")</f>
        <v>1.639</v>
      </c>
      <c r="R880" s="257">
        <f>IFERROR(IF(Q880&gt;0,Q880-(TBIcalc!$Q$9),""),"")</f>
        <v>1.4883999999999999</v>
      </c>
      <c r="S880" s="268">
        <f>IFERROR(INDEX('Ashed teabags dry'!$K$2:$K$2000,MATCH(L880,'Ashed teabags dry'!$A$2:$A$2000,0)),"")</f>
        <v>7.5489727663639679</v>
      </c>
      <c r="T880" s="268">
        <f t="shared" si="67"/>
        <v>1.3760410893454387</v>
      </c>
      <c r="U880" s="258">
        <f>IF('Dry_Litterbag Placem_Collection'!E221="","",'Dry_Litterbag Placem_Collection'!E221)</f>
        <v>42942</v>
      </c>
      <c r="V880" s="258">
        <f>IF('Dry_Litterbag Placem_Collection'!G221="","",'Dry_Litterbag Placem_Collection'!G221)</f>
        <v>43004</v>
      </c>
      <c r="W880" s="259">
        <f t="shared" si="65"/>
        <v>62</v>
      </c>
      <c r="X880" s="257">
        <f t="shared" si="68"/>
        <v>0.47880000000000011</v>
      </c>
      <c r="Y880" s="257">
        <f t="shared" si="69"/>
        <v>0.54627400214248545</v>
      </c>
      <c r="Z880" s="261">
        <f>IFERROR(INDEX([3]Rainfall_Dry!$O$2:$O$217,MATCH(C880, [3]Rainfall_Dry!$A$2:$A$217,0)),"")</f>
        <v>171.84818423999999</v>
      </c>
      <c r="AA880" s="250">
        <v>21.96</v>
      </c>
      <c r="AB880" s="250">
        <v>4.9199999999999982</v>
      </c>
      <c r="AC880" s="250">
        <v>73.12</v>
      </c>
      <c r="AD880" s="250" t="s">
        <v>2651</v>
      </c>
      <c r="AE880" s="250">
        <v>1.4012321340561851</v>
      </c>
      <c r="AF880">
        <f>IF('WetLitterbags placem_collection'!AB221="","",'WetLitterbags placem_collection'!AB221)</f>
        <v>7.9</v>
      </c>
      <c r="AG880">
        <f>IF('WetLitterbags placem_collection'!Z221="","",'WetLitterbags placem_collection'!Z221)</f>
        <v>7.9</v>
      </c>
      <c r="AH880" s="236" t="str">
        <f>IF('WetLitterbags placem_collection'!AA221="","",'WetLitterbags placem_collection'!AA221)</f>
        <v>O</v>
      </c>
      <c r="AI880">
        <f>IF('WetLitterbags placem_collection'!AC221="","",'WetLitterbags placem_collection'!AC221)</f>
        <v>1</v>
      </c>
      <c r="AJ880">
        <f>IFERROR(AVERAGE('Dry_Litterbag Placem_Collection'!O221,'Dry_Litterbag Placem_Collection'!R221),"")</f>
        <v>5.75</v>
      </c>
      <c r="AK880" s="261">
        <f>IFERROR(AVERAGE('Dry_Litterbag Placem_Collection'!N221,'Dry_Litterbag Placem_Collection'!Q221),"")</f>
        <v>32.75</v>
      </c>
      <c r="AL880">
        <v>-2.4395990190000001</v>
      </c>
      <c r="AM880">
        <v>34.838418959999998</v>
      </c>
      <c r="AN880" s="260" t="str">
        <f>IF(ISNUMBER(SEARCH("C", 'Dry_Litterbag Placem_Collection'!V221)),"YES","NO")</f>
        <v>NO</v>
      </c>
      <c r="AO880" s="260" t="str">
        <f>IF(ISNUMBER(SEARCH("H", 'Dry_Litterbag Placem_Collection'!V221)),"YES","NO")</f>
        <v>NO</v>
      </c>
      <c r="AP880" s="260" t="str">
        <f>IF(ISNUMBER(SEARCH("R", 'Dry_Litterbag Placem_Collection'!V221)),"YES","NO")</f>
        <v>NO</v>
      </c>
    </row>
    <row r="881" spans="1:42" ht="15" customHeight="1">
      <c r="A881" t="s">
        <v>2490</v>
      </c>
      <c r="B881" s="252" t="s">
        <v>2643</v>
      </c>
      <c r="C881" s="253">
        <f>'Dry_Litterbag Placem_Collection'!A222</f>
        <v>220</v>
      </c>
      <c r="D881" s="253" t="str">
        <f>'Dry_Litterbag Placem_Collection'!B222</f>
        <v>Seronera</v>
      </c>
      <c r="E881" s="253" t="s">
        <v>3249</v>
      </c>
      <c r="F881" s="253" t="s">
        <v>2423</v>
      </c>
      <c r="G881" s="253">
        <v>4</v>
      </c>
      <c r="H881" s="253" t="s">
        <v>3189</v>
      </c>
      <c r="I881" s="254" t="str">
        <f>'Dry_Litterbag Placem_Collection'!C222</f>
        <v>Local4_CG4</v>
      </c>
      <c r="J881" s="263" t="s">
        <v>2932</v>
      </c>
      <c r="K881" s="264" t="s">
        <v>298</v>
      </c>
      <c r="L881" s="253" t="str">
        <f>IF(ISBLANK('Dry_Litterbag Placem_Collection'!M222),"","R"&amp;""&amp;'Dry_Litterbag Placem_Collection'!M222)</f>
        <v>R672</v>
      </c>
      <c r="M881" s="257">
        <f>IFERROR(INDEX('Green_rooibos initial weight'!$C$5:$C$2000,MATCH(L881, 'Green_rooibos initial weight'!$A$5:$A$2000,0)),"")</f>
        <v>2.161</v>
      </c>
      <c r="N881" s="257">
        <f>IFERROR(M881-(TBIcalc!$Q$9+TBIcalc!$Q$10),"")</f>
        <v>1.9112</v>
      </c>
      <c r="O881" s="378">
        <f>AVERAGE(Ashed_controlls!$K$12:$K$14)</f>
        <v>2.2816647271287041</v>
      </c>
      <c r="P881" s="257">
        <f t="shared" si="66"/>
        <v>1.8675928237351163</v>
      </c>
      <c r="Q881" s="257" t="str">
        <f>IFERROR(INDEX('Both teabags AfterDry'!$D$2:$D$2000,MATCH(L881,'Both teabags AfterDry'!$A$2:$A$2000,0)),"")</f>
        <v/>
      </c>
      <c r="R881" s="257" t="str">
        <f>IFERROR(IF(Q881&gt;0,Q881-(TBIcalc!$Q$9),""),"")</f>
        <v/>
      </c>
      <c r="S881" s="268" t="str">
        <f>IFERROR(INDEX('Ashed teabags dry'!$K$2:$K$2000,MATCH(L881,'Ashed teabags dry'!$A$2:$A$2000,0)),"")</f>
        <v/>
      </c>
      <c r="T881" s="268" t="str">
        <f t="shared" si="67"/>
        <v/>
      </c>
      <c r="U881" s="258">
        <f>IF('Dry_Litterbag Placem_Collection'!E222="","",'Dry_Litterbag Placem_Collection'!E222)</f>
        <v>42942</v>
      </c>
      <c r="V881" s="258">
        <f>IF('Dry_Litterbag Placem_Collection'!G222="","",'Dry_Litterbag Placem_Collection'!G222)</f>
        <v>43004</v>
      </c>
      <c r="W881" s="259">
        <f t="shared" si="65"/>
        <v>62</v>
      </c>
      <c r="X881" s="257" t="str">
        <f t="shared" si="68"/>
        <v/>
      </c>
      <c r="Y881" s="257" t="str">
        <f t="shared" si="69"/>
        <v/>
      </c>
      <c r="Z881" s="261">
        <f>IFERROR(INDEX([3]Rainfall_Dry!$O$2:$O$217,MATCH(C881, [3]Rainfall_Dry!$A$2:$A$217,0)),"")</f>
        <v>171.84818423999999</v>
      </c>
      <c r="AA881" s="250">
        <v>15.960000000000003</v>
      </c>
      <c r="AB881" s="250">
        <v>6.9199999999999982</v>
      </c>
      <c r="AC881" s="250">
        <v>77.11999999999999</v>
      </c>
      <c r="AD881" s="250" t="s">
        <v>2652</v>
      </c>
      <c r="AE881" s="250">
        <v>0.60547067520946207</v>
      </c>
      <c r="AF881">
        <f>IF('WetLitterbags placem_collection'!AB222="","",'WetLitterbags placem_collection'!AB222)</f>
        <v>15.2</v>
      </c>
      <c r="AG881">
        <f>IF('WetLitterbags placem_collection'!Z222="","",'WetLitterbags placem_collection'!Z222)</f>
        <v>12.2</v>
      </c>
      <c r="AH881" s="236" t="str">
        <f>IF('WetLitterbags placem_collection'!AA222="","",'WetLitterbags placem_collection'!AA222)</f>
        <v>O</v>
      </c>
      <c r="AI881">
        <f>IF('WetLitterbags placem_collection'!AC222="","",'WetLitterbags placem_collection'!AC222)</f>
        <v>1</v>
      </c>
      <c r="AJ881">
        <f>IFERROR(AVERAGE('Dry_Litterbag Placem_Collection'!O222,'Dry_Litterbag Placem_Collection'!R222),"")</f>
        <v>5.3</v>
      </c>
      <c r="AK881" s="261">
        <f>IFERROR(AVERAGE('Dry_Litterbag Placem_Collection'!N222,'Dry_Litterbag Placem_Collection'!Q222),"")</f>
        <v>33.65</v>
      </c>
      <c r="AL881">
        <v>-2.4396949910000001</v>
      </c>
      <c r="AM881">
        <v>34.838574029999997</v>
      </c>
      <c r="AN881" s="260" t="str">
        <f>IF(ISNUMBER(SEARCH("C", 'Dry_Litterbag Placem_Collection'!V222)),"YES","NO")</f>
        <v>NO</v>
      </c>
      <c r="AO881" s="260" t="str">
        <f>IF(ISNUMBER(SEARCH("H", 'Dry_Litterbag Placem_Collection'!V222)),"YES","NO")</f>
        <v>NO</v>
      </c>
      <c r="AP881" s="260" t="str">
        <f>IF(ISNUMBER(SEARCH("R", 'Dry_Litterbag Placem_Collection'!V222)),"YES","NO")</f>
        <v>NO</v>
      </c>
    </row>
  </sheetData>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CACD77-239C-469E-8A41-3B5E02AB6DED}">
  <dimension ref="B4:R12"/>
  <sheetViews>
    <sheetView topLeftCell="D1" zoomScale="115" zoomScaleNormal="115" workbookViewId="0">
      <selection activeCell="L17" sqref="L17"/>
    </sheetView>
  </sheetViews>
  <sheetFormatPr baseColWidth="10" defaultRowHeight="14.4"/>
  <sheetData>
    <row r="4" spans="2:18">
      <c r="H4" t="s">
        <v>2801</v>
      </c>
      <c r="I4" t="s">
        <v>2802</v>
      </c>
      <c r="Q4" t="s">
        <v>2801</v>
      </c>
      <c r="R4" t="s">
        <v>2802</v>
      </c>
    </row>
    <row r="5" spans="2:18">
      <c r="B5" s="195" t="s">
        <v>2523</v>
      </c>
      <c r="C5" s="179"/>
      <c r="D5" s="179"/>
      <c r="E5" s="179"/>
      <c r="F5" s="179"/>
      <c r="G5" s="179"/>
      <c r="H5" s="179">
        <v>0.84199999999999997</v>
      </c>
      <c r="I5">
        <v>0.93300000000000005</v>
      </c>
      <c r="K5" s="195" t="s">
        <v>2523</v>
      </c>
      <c r="L5" s="179"/>
      <c r="M5" s="179"/>
      <c r="N5" s="179"/>
      <c r="O5" s="179"/>
      <c r="P5" s="179"/>
      <c r="Q5" s="179">
        <v>0.84199999999999997</v>
      </c>
      <c r="R5">
        <v>0.93300000000000005</v>
      </c>
    </row>
    <row r="6" spans="2:18">
      <c r="B6" s="195" t="s">
        <v>2524</v>
      </c>
      <c r="C6" s="179"/>
      <c r="D6" s="179"/>
      <c r="E6" s="179"/>
      <c r="F6" s="179"/>
      <c r="G6" s="179"/>
      <c r="H6" s="179">
        <v>0.55200000000000005</v>
      </c>
      <c r="I6">
        <v>0.67600000000000005</v>
      </c>
      <c r="K6" s="195" t="s">
        <v>2524</v>
      </c>
      <c r="L6" s="179"/>
      <c r="M6" s="179"/>
      <c r="N6" s="179"/>
      <c r="O6" s="179"/>
      <c r="P6" s="179"/>
      <c r="Q6" s="179">
        <v>0.55200000000000005</v>
      </c>
      <c r="R6">
        <v>0.67600000000000005</v>
      </c>
    </row>
    <row r="7" spans="2:18">
      <c r="B7" s="195" t="s">
        <v>10</v>
      </c>
      <c r="C7" s="179"/>
      <c r="D7" s="179"/>
      <c r="E7" s="179"/>
      <c r="F7" s="179"/>
      <c r="G7" s="179"/>
      <c r="H7" s="179">
        <v>0.12180000000000001</v>
      </c>
      <c r="K7" s="195" t="s">
        <v>10</v>
      </c>
      <c r="L7" s="179"/>
      <c r="M7" s="179"/>
      <c r="N7" s="179"/>
      <c r="O7" s="179"/>
      <c r="P7" s="179"/>
      <c r="Q7" s="179">
        <v>0.12180000000000001</v>
      </c>
    </row>
    <row r="8" spans="2:18">
      <c r="B8" s="195" t="s">
        <v>11</v>
      </c>
      <c r="C8" s="179"/>
      <c r="D8" s="179"/>
      <c r="E8" s="179"/>
      <c r="F8" s="179"/>
      <c r="G8" s="179"/>
      <c r="H8" s="179">
        <v>2.8799999999999999E-2</v>
      </c>
      <c r="K8" s="195" t="s">
        <v>11</v>
      </c>
      <c r="L8" s="179"/>
      <c r="M8" s="179"/>
      <c r="N8" s="179"/>
      <c r="O8" s="179"/>
      <c r="P8" s="179"/>
      <c r="Q8" s="179">
        <v>2.8799999999999999E-2</v>
      </c>
    </row>
    <row r="9" spans="2:18">
      <c r="B9" s="195" t="s">
        <v>12</v>
      </c>
      <c r="C9" s="179"/>
      <c r="D9" s="179"/>
      <c r="E9" s="179"/>
      <c r="F9" s="179"/>
      <c r="G9" s="179"/>
      <c r="H9" s="179">
        <f>H7+H8</f>
        <v>0.15060000000000001</v>
      </c>
      <c r="K9" s="195" t="s">
        <v>12</v>
      </c>
      <c r="L9" s="179"/>
      <c r="M9" s="179"/>
      <c r="N9" s="179"/>
      <c r="O9" s="179"/>
      <c r="P9" s="179"/>
      <c r="Q9" s="179">
        <f>Q7+Q8</f>
        <v>0.15060000000000001</v>
      </c>
    </row>
    <row r="10" spans="2:18">
      <c r="B10" s="195" t="s">
        <v>13</v>
      </c>
      <c r="C10" s="179"/>
      <c r="D10" s="179"/>
      <c r="E10" s="179"/>
      <c r="F10" s="179"/>
      <c r="G10" s="179"/>
      <c r="H10" s="179">
        <v>9.9199999999999997E-2</v>
      </c>
      <c r="K10" s="195" t="s">
        <v>13</v>
      </c>
      <c r="L10" s="179"/>
      <c r="M10" s="179"/>
      <c r="N10" s="179"/>
      <c r="O10" s="179"/>
      <c r="P10" s="179"/>
      <c r="Q10" s="179">
        <v>9.9199999999999997E-2</v>
      </c>
    </row>
    <row r="11" spans="2:18">
      <c r="B11" s="195" t="s">
        <v>14</v>
      </c>
      <c r="C11" s="179"/>
      <c r="D11" s="179"/>
      <c r="E11" s="179"/>
      <c r="F11" s="179"/>
      <c r="G11" s="179"/>
      <c r="H11" s="179">
        <v>1</v>
      </c>
      <c r="K11" s="195" t="s">
        <v>14</v>
      </c>
      <c r="L11" s="179"/>
      <c r="M11" s="179"/>
      <c r="N11" s="179"/>
      <c r="O11" s="179"/>
      <c r="P11" s="179"/>
      <c r="Q11" s="179">
        <v>1</v>
      </c>
    </row>
    <row r="12" spans="2:18">
      <c r="B12" s="195" t="s">
        <v>15</v>
      </c>
      <c r="C12" s="179"/>
      <c r="D12" s="179"/>
      <c r="E12" s="179"/>
      <c r="F12" s="179"/>
      <c r="G12" s="179"/>
      <c r="H12" s="179">
        <v>1</v>
      </c>
      <c r="K12" s="195" t="s">
        <v>15</v>
      </c>
      <c r="L12" s="179"/>
      <c r="M12" s="179"/>
      <c r="N12" s="179"/>
      <c r="O12" s="179"/>
      <c r="P12" s="179"/>
      <c r="Q12" s="179">
        <v>1</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EBD4632-64FE-4536-9FC0-6BF392B30D61}">
  <dimension ref="A1:G221"/>
  <sheetViews>
    <sheetView topLeftCell="A3" zoomScaleNormal="100" workbookViewId="0">
      <selection activeCell="C26" sqref="C26"/>
    </sheetView>
  </sheetViews>
  <sheetFormatPr baseColWidth="10" defaultColWidth="11.44140625" defaultRowHeight="14.4"/>
  <cols>
    <col min="1" max="8" width="11.44140625" style="196"/>
    <col min="9" max="9" width="23.33203125" style="196" customWidth="1"/>
    <col min="10" max="16384" width="11.44140625" style="196"/>
  </cols>
  <sheetData>
    <row r="1" spans="1:7">
      <c r="A1" s="199" t="s">
        <v>2471</v>
      </c>
      <c r="B1" s="196" t="s">
        <v>2477</v>
      </c>
      <c r="C1" s="196" t="s">
        <v>2478</v>
      </c>
      <c r="D1" s="196" t="s">
        <v>2479</v>
      </c>
      <c r="E1" s="196" t="s">
        <v>2480</v>
      </c>
      <c r="F1" s="196" t="s">
        <v>2472</v>
      </c>
      <c r="G1" s="196" t="s">
        <v>2143</v>
      </c>
    </row>
    <row r="2" spans="1:7">
      <c r="A2" s="197">
        <v>1</v>
      </c>
      <c r="B2" s="196" t="s">
        <v>1008</v>
      </c>
      <c r="C2" s="196" t="s">
        <v>1124</v>
      </c>
      <c r="D2" s="196" t="s">
        <v>1298</v>
      </c>
      <c r="E2" s="196" t="s">
        <v>1614</v>
      </c>
      <c r="F2" s="196" t="s">
        <v>2172</v>
      </c>
    </row>
    <row r="3" spans="1:7">
      <c r="A3" s="197">
        <v>2</v>
      </c>
      <c r="B3" s="196" t="s">
        <v>614</v>
      </c>
      <c r="C3" s="196" t="s">
        <v>1020</v>
      </c>
      <c r="D3" s="196" t="s">
        <v>1313</v>
      </c>
      <c r="E3" s="196" t="s">
        <v>1482</v>
      </c>
      <c r="F3" s="196" t="s">
        <v>2178</v>
      </c>
    </row>
    <row r="4" spans="1:7">
      <c r="A4" s="197">
        <v>3</v>
      </c>
      <c r="B4" s="196" t="s">
        <v>643</v>
      </c>
      <c r="C4" s="196" t="s">
        <v>983</v>
      </c>
      <c r="D4" s="196" t="s">
        <v>1389</v>
      </c>
      <c r="E4" s="196" t="s">
        <v>1419</v>
      </c>
      <c r="F4" s="196" t="s">
        <v>2179</v>
      </c>
      <c r="G4" s="196" t="s">
        <v>2473</v>
      </c>
    </row>
    <row r="5" spans="1:7">
      <c r="A5" s="197">
        <v>4</v>
      </c>
      <c r="B5" s="196" t="s">
        <v>633</v>
      </c>
      <c r="C5" s="196" t="s">
        <v>1026</v>
      </c>
      <c r="D5" s="196" t="s">
        <v>1518</v>
      </c>
      <c r="E5" s="196" t="s">
        <v>1398</v>
      </c>
      <c r="F5" s="196" t="s">
        <v>2181</v>
      </c>
    </row>
    <row r="6" spans="1:7">
      <c r="A6" s="197">
        <v>5</v>
      </c>
      <c r="B6" s="196" t="s">
        <v>1103</v>
      </c>
      <c r="C6" s="196" t="s">
        <v>639</v>
      </c>
      <c r="D6" s="196" t="s">
        <v>1473</v>
      </c>
      <c r="E6" s="196" t="s">
        <v>1553</v>
      </c>
      <c r="F6" s="196" t="s">
        <v>2184</v>
      </c>
    </row>
    <row r="7" spans="1:7">
      <c r="A7" s="197">
        <v>6</v>
      </c>
      <c r="B7" s="196" t="s">
        <v>1082</v>
      </c>
      <c r="C7" s="196" t="s">
        <v>964</v>
      </c>
      <c r="D7" s="196" t="s">
        <v>1416</v>
      </c>
      <c r="E7" s="196" t="s">
        <v>1603</v>
      </c>
      <c r="F7" s="196" t="s">
        <v>2185</v>
      </c>
    </row>
    <row r="8" spans="1:7">
      <c r="A8" s="197">
        <v>7</v>
      </c>
      <c r="B8" s="196" t="s">
        <v>743</v>
      </c>
      <c r="C8" s="196" t="s">
        <v>610</v>
      </c>
      <c r="D8" s="196" t="s">
        <v>1385</v>
      </c>
      <c r="E8" s="196" t="s">
        <v>1598</v>
      </c>
      <c r="F8" s="196" t="s">
        <v>2186</v>
      </c>
    </row>
    <row r="9" spans="1:7">
      <c r="A9" s="197">
        <v>8</v>
      </c>
      <c r="B9" s="196" t="s">
        <v>629</v>
      </c>
      <c r="C9" s="196" t="s">
        <v>735</v>
      </c>
      <c r="D9" s="196" t="s">
        <v>1349</v>
      </c>
      <c r="E9" s="196" t="s">
        <v>1661</v>
      </c>
      <c r="F9" s="196" t="s">
        <v>2187</v>
      </c>
    </row>
    <row r="10" spans="1:7">
      <c r="A10" s="197">
        <v>9</v>
      </c>
      <c r="B10" s="196" t="s">
        <v>1040</v>
      </c>
      <c r="C10" s="196" t="s">
        <v>972</v>
      </c>
      <c r="D10" s="196" t="s">
        <v>1574</v>
      </c>
      <c r="E10" s="196" t="s">
        <v>1536</v>
      </c>
      <c r="F10" s="196" t="s">
        <v>2188</v>
      </c>
    </row>
    <row r="11" spans="1:7">
      <c r="A11" s="197">
        <v>10</v>
      </c>
      <c r="B11" s="196" t="s">
        <v>626</v>
      </c>
      <c r="C11" s="196" t="s">
        <v>1050</v>
      </c>
      <c r="D11" s="196" t="s">
        <v>1444</v>
      </c>
      <c r="E11" s="196" t="s">
        <v>1764</v>
      </c>
      <c r="F11" s="196" t="s">
        <v>2191</v>
      </c>
    </row>
    <row r="12" spans="1:7">
      <c r="A12" s="197">
        <v>11</v>
      </c>
      <c r="B12" s="196" t="s">
        <v>1139</v>
      </c>
      <c r="C12" s="196" t="s">
        <v>695</v>
      </c>
      <c r="D12" s="196" t="s">
        <v>1527</v>
      </c>
      <c r="E12" s="196" t="s">
        <v>1507</v>
      </c>
      <c r="F12" s="196" t="s">
        <v>2192</v>
      </c>
    </row>
    <row r="13" spans="1:7">
      <c r="A13" s="197">
        <v>12</v>
      </c>
      <c r="B13" s="196" t="s">
        <v>1018</v>
      </c>
      <c r="C13" s="196" t="s">
        <v>732</v>
      </c>
      <c r="D13" s="196" t="s">
        <v>1560</v>
      </c>
      <c r="E13" s="196" t="s">
        <v>1460</v>
      </c>
      <c r="F13" s="196" t="s">
        <v>2193</v>
      </c>
      <c r="G13" s="196" t="s">
        <v>2473</v>
      </c>
    </row>
    <row r="14" spans="1:7">
      <c r="A14" s="197">
        <v>13</v>
      </c>
      <c r="B14" s="196" t="s">
        <v>1138</v>
      </c>
      <c r="C14" s="196" t="s">
        <v>691</v>
      </c>
      <c r="D14" s="196" t="s">
        <v>1809</v>
      </c>
      <c r="E14" s="196" t="s">
        <v>1455</v>
      </c>
      <c r="F14" s="196" t="s">
        <v>2194</v>
      </c>
    </row>
    <row r="15" spans="1:7">
      <c r="A15" s="197">
        <v>14</v>
      </c>
      <c r="B15" s="196" t="s">
        <v>859</v>
      </c>
      <c r="C15" s="196" t="s">
        <v>759</v>
      </c>
      <c r="D15" s="196" t="s">
        <v>1547</v>
      </c>
      <c r="E15" s="196" t="s">
        <v>1441</v>
      </c>
      <c r="F15" s="196" t="s">
        <v>2196</v>
      </c>
    </row>
    <row r="16" spans="1:7">
      <c r="A16" s="197">
        <v>15</v>
      </c>
      <c r="B16" s="196" t="s">
        <v>1042</v>
      </c>
      <c r="C16" s="196" t="s">
        <v>726</v>
      </c>
      <c r="D16" s="196" t="s">
        <v>1365</v>
      </c>
      <c r="E16" s="196" t="s">
        <v>1828</v>
      </c>
      <c r="F16" s="196" t="s">
        <v>2197</v>
      </c>
    </row>
    <row r="17" spans="1:7">
      <c r="A17" s="197">
        <v>16</v>
      </c>
      <c r="B17" s="196" t="s">
        <v>987</v>
      </c>
      <c r="C17" s="196" t="s">
        <v>622</v>
      </c>
      <c r="D17" s="196" t="s">
        <v>1406</v>
      </c>
      <c r="E17" s="196" t="s">
        <v>1645</v>
      </c>
      <c r="F17" s="196" t="s">
        <v>2200</v>
      </c>
    </row>
    <row r="18" spans="1:7">
      <c r="A18" s="197">
        <v>17</v>
      </c>
      <c r="B18" s="196" t="s">
        <v>761</v>
      </c>
      <c r="C18" s="196" t="s">
        <v>599</v>
      </c>
      <c r="D18" s="196" t="s">
        <v>1402</v>
      </c>
      <c r="E18" s="196" t="s">
        <v>1479</v>
      </c>
      <c r="F18" s="196" t="s">
        <v>2202</v>
      </c>
    </row>
    <row r="19" spans="1:7">
      <c r="A19" s="197">
        <v>18</v>
      </c>
      <c r="B19" s="196" t="s">
        <v>867</v>
      </c>
      <c r="C19" s="196" t="s">
        <v>1013</v>
      </c>
      <c r="D19" s="196" t="s">
        <v>1477</v>
      </c>
      <c r="E19" s="196" t="s">
        <v>1631</v>
      </c>
      <c r="F19" s="196" t="s">
        <v>2205</v>
      </c>
    </row>
    <row r="20" spans="1:7">
      <c r="A20" s="197">
        <v>19</v>
      </c>
      <c r="B20" s="196" t="s">
        <v>575</v>
      </c>
      <c r="C20" s="196" t="s">
        <v>1059</v>
      </c>
      <c r="D20" s="196" t="s">
        <v>1411</v>
      </c>
      <c r="E20" s="196" t="s">
        <v>1810</v>
      </c>
      <c r="F20" s="196" t="s">
        <v>2206</v>
      </c>
    </row>
    <row r="21" spans="1:7">
      <c r="A21" s="197">
        <v>20</v>
      </c>
      <c r="B21" s="196" t="s">
        <v>1031</v>
      </c>
      <c r="C21" s="196" t="s">
        <v>1091</v>
      </c>
      <c r="D21" s="196" t="s">
        <v>1545</v>
      </c>
      <c r="E21" s="196" t="s">
        <v>1526</v>
      </c>
      <c r="F21" s="196" t="s">
        <v>2207</v>
      </c>
    </row>
    <row r="22" spans="1:7">
      <c r="A22" s="197">
        <v>21</v>
      </c>
      <c r="B22" s="196" t="s">
        <v>2486</v>
      </c>
      <c r="C22" s="196" t="s">
        <v>612</v>
      </c>
      <c r="D22" s="196" t="s">
        <v>1329</v>
      </c>
      <c r="E22" s="196" t="s">
        <v>1351</v>
      </c>
      <c r="F22" s="196" t="s">
        <v>2208</v>
      </c>
      <c r="G22" s="196" t="s">
        <v>2474</v>
      </c>
    </row>
    <row r="23" spans="1:7">
      <c r="A23" s="197">
        <v>22</v>
      </c>
      <c r="B23" s="196" t="s">
        <v>1096</v>
      </c>
      <c r="C23" s="196" t="s">
        <v>778</v>
      </c>
      <c r="D23" s="196" t="s">
        <v>1498</v>
      </c>
      <c r="E23" s="196" t="s">
        <v>1475</v>
      </c>
      <c r="F23" s="196" t="s">
        <v>2209</v>
      </c>
    </row>
    <row r="24" spans="1:7">
      <c r="A24" s="197">
        <v>23</v>
      </c>
      <c r="B24" s="196" t="s">
        <v>1009</v>
      </c>
      <c r="C24" s="196" t="s">
        <v>951</v>
      </c>
      <c r="D24" s="196" t="s">
        <v>1594</v>
      </c>
      <c r="E24" s="196" t="s">
        <v>1558</v>
      </c>
      <c r="F24" s="196" t="s">
        <v>2210</v>
      </c>
    </row>
    <row r="25" spans="1:7">
      <c r="A25" s="197">
        <v>24</v>
      </c>
      <c r="B25" s="196" t="s">
        <v>1070</v>
      </c>
      <c r="C25" s="196" t="s">
        <v>997</v>
      </c>
      <c r="D25" s="196" t="s">
        <v>1629</v>
      </c>
      <c r="E25" s="196" t="s">
        <v>1237</v>
      </c>
      <c r="F25" s="196" t="s">
        <v>2211</v>
      </c>
    </row>
    <row r="26" spans="1:7">
      <c r="A26" s="197">
        <v>25</v>
      </c>
      <c r="B26" s="196" t="s">
        <v>1037</v>
      </c>
      <c r="C26" s="196" t="s">
        <v>862</v>
      </c>
      <c r="D26" s="196" t="s">
        <v>1186</v>
      </c>
      <c r="E26" s="196" t="s">
        <v>1644</v>
      </c>
      <c r="F26" s="196" t="s">
        <v>2212</v>
      </c>
    </row>
    <row r="27" spans="1:7">
      <c r="A27" s="197">
        <v>26</v>
      </c>
      <c r="B27" s="196" t="s">
        <v>952</v>
      </c>
      <c r="C27" s="196" t="s">
        <v>993</v>
      </c>
      <c r="D27" s="196" t="s">
        <v>1544</v>
      </c>
      <c r="E27" s="196" t="s">
        <v>1399</v>
      </c>
      <c r="F27" s="196" t="s">
        <v>2214</v>
      </c>
    </row>
    <row r="28" spans="1:7">
      <c r="A28" s="197">
        <v>27</v>
      </c>
      <c r="B28" s="196" t="s">
        <v>924</v>
      </c>
      <c r="C28" s="196" t="s">
        <v>1029</v>
      </c>
      <c r="D28" s="196" t="s">
        <v>1601</v>
      </c>
      <c r="E28" s="196" t="s">
        <v>1467</v>
      </c>
      <c r="F28" s="196" t="s">
        <v>2215</v>
      </c>
    </row>
    <row r="29" spans="1:7">
      <c r="A29" s="197">
        <v>28</v>
      </c>
      <c r="B29" s="196" t="s">
        <v>969</v>
      </c>
      <c r="C29" s="196" t="s">
        <v>705</v>
      </c>
      <c r="D29" s="196" t="s">
        <v>1548</v>
      </c>
      <c r="E29" s="196" t="s">
        <v>1348</v>
      </c>
      <c r="F29" s="196" t="s">
        <v>2216</v>
      </c>
    </row>
    <row r="30" spans="1:7">
      <c r="A30" s="197">
        <v>29</v>
      </c>
      <c r="B30" s="196" t="s">
        <v>792</v>
      </c>
      <c r="C30" s="196" t="s">
        <v>755</v>
      </c>
      <c r="D30" s="196" t="s">
        <v>1705</v>
      </c>
      <c r="E30" s="196" t="s">
        <v>1212</v>
      </c>
      <c r="F30" s="196" t="s">
        <v>2217</v>
      </c>
    </row>
    <row r="31" spans="1:7">
      <c r="A31" s="197">
        <v>30</v>
      </c>
      <c r="B31" s="196" t="s">
        <v>845</v>
      </c>
      <c r="C31" s="196" t="s">
        <v>634</v>
      </c>
      <c r="D31" s="196" t="s">
        <v>1550</v>
      </c>
      <c r="E31" s="196" t="s">
        <v>1532</v>
      </c>
      <c r="F31" s="196" t="s">
        <v>2218</v>
      </c>
    </row>
    <row r="32" spans="1:7">
      <c r="A32" s="197">
        <v>31</v>
      </c>
      <c r="B32" s="196" t="s">
        <v>818</v>
      </c>
      <c r="C32" s="196" t="s">
        <v>1000</v>
      </c>
      <c r="D32" s="196" t="s">
        <v>1529</v>
      </c>
      <c r="E32" s="196" t="s">
        <v>1646</v>
      </c>
      <c r="F32" s="196" t="s">
        <v>2219</v>
      </c>
    </row>
    <row r="33" spans="1:7">
      <c r="A33" s="197">
        <v>32</v>
      </c>
      <c r="B33" s="196" t="s">
        <v>985</v>
      </c>
      <c r="C33" s="196" t="s">
        <v>745</v>
      </c>
      <c r="D33" s="196" t="s">
        <v>1849</v>
      </c>
      <c r="E33" s="196" t="s">
        <v>1523</v>
      </c>
      <c r="F33" s="196" t="s">
        <v>2220</v>
      </c>
    </row>
    <row r="34" spans="1:7">
      <c r="A34" s="197">
        <v>33</v>
      </c>
      <c r="B34" s="196" t="s">
        <v>689</v>
      </c>
      <c r="C34" s="196" t="s">
        <v>1032</v>
      </c>
      <c r="D34" s="196" t="s">
        <v>1494</v>
      </c>
      <c r="E34" s="196" t="s">
        <v>1684</v>
      </c>
      <c r="F34" s="196" t="s">
        <v>2221</v>
      </c>
    </row>
    <row r="35" spans="1:7">
      <c r="A35" s="197">
        <v>34</v>
      </c>
      <c r="B35" s="196" t="s">
        <v>1117</v>
      </c>
      <c r="C35" s="196" t="s">
        <v>988</v>
      </c>
      <c r="D35" s="196" t="s">
        <v>1401</v>
      </c>
      <c r="E35" s="196" t="s">
        <v>1534</v>
      </c>
      <c r="F35" s="196" t="s">
        <v>2224</v>
      </c>
    </row>
    <row r="36" spans="1:7">
      <c r="A36" s="197">
        <v>35</v>
      </c>
      <c r="B36" s="196" t="s">
        <v>1072</v>
      </c>
      <c r="C36" s="196" t="s">
        <v>1077</v>
      </c>
      <c r="D36" s="196" t="s">
        <v>1318</v>
      </c>
      <c r="E36" s="196" t="s">
        <v>1380</v>
      </c>
      <c r="F36" s="196" t="s">
        <v>2227</v>
      </c>
    </row>
    <row r="37" spans="1:7">
      <c r="A37" s="197">
        <v>36</v>
      </c>
      <c r="B37" s="196" t="s">
        <v>1044</v>
      </c>
      <c r="C37" s="196" t="s">
        <v>1015</v>
      </c>
      <c r="D37" s="196" t="s">
        <v>1500</v>
      </c>
      <c r="E37" s="196" t="s">
        <v>1543</v>
      </c>
      <c r="F37" s="196" t="s">
        <v>2228</v>
      </c>
    </row>
    <row r="38" spans="1:7">
      <c r="A38" s="197">
        <v>37</v>
      </c>
      <c r="B38" s="196" t="s">
        <v>1052</v>
      </c>
      <c r="C38" s="196" t="s">
        <v>1078</v>
      </c>
      <c r="D38" s="196" t="s">
        <v>1522</v>
      </c>
      <c r="E38" s="196" t="s">
        <v>1691</v>
      </c>
      <c r="F38" s="196" t="s">
        <v>2230</v>
      </c>
    </row>
    <row r="39" spans="1:7">
      <c r="A39" s="197">
        <v>38</v>
      </c>
      <c r="B39" s="196" t="s">
        <v>994</v>
      </c>
      <c r="C39" s="196" t="s">
        <v>1054</v>
      </c>
      <c r="D39" s="196" t="s">
        <v>1347</v>
      </c>
      <c r="E39" s="196" t="s">
        <v>1551</v>
      </c>
      <c r="F39" s="196" t="s">
        <v>2232</v>
      </c>
    </row>
    <row r="40" spans="1:7">
      <c r="A40" s="197">
        <v>39</v>
      </c>
      <c r="B40" s="196" t="s">
        <v>1076</v>
      </c>
      <c r="C40" s="196" t="s">
        <v>704</v>
      </c>
      <c r="D40" s="196" t="s">
        <v>1484</v>
      </c>
      <c r="E40" s="196" t="s">
        <v>1836</v>
      </c>
      <c r="F40" s="196" t="s">
        <v>2234</v>
      </c>
    </row>
    <row r="41" spans="1:7">
      <c r="A41" s="197">
        <v>40</v>
      </c>
      <c r="B41" s="196" t="s">
        <v>721</v>
      </c>
      <c r="C41" s="196" t="s">
        <v>1027</v>
      </c>
      <c r="D41" s="196" t="s">
        <v>1431</v>
      </c>
      <c r="E41" s="196" t="s">
        <v>1468</v>
      </c>
      <c r="F41" s="196" t="s">
        <v>2236</v>
      </c>
    </row>
    <row r="42" spans="1:7">
      <c r="A42" s="197">
        <v>41</v>
      </c>
      <c r="B42" s="196" t="s">
        <v>1064</v>
      </c>
      <c r="C42" s="196" t="s">
        <v>620</v>
      </c>
      <c r="D42" s="196" t="s">
        <v>1424</v>
      </c>
      <c r="E42" s="196" t="s">
        <v>1597</v>
      </c>
      <c r="F42" s="196" t="s">
        <v>2238</v>
      </c>
    </row>
    <row r="43" spans="1:7">
      <c r="A43" s="197">
        <v>42</v>
      </c>
      <c r="B43" s="196" t="s">
        <v>1060</v>
      </c>
      <c r="C43" s="196" t="s">
        <v>770</v>
      </c>
      <c r="D43" s="196" t="s">
        <v>1613</v>
      </c>
      <c r="E43" s="196" t="s">
        <v>1286</v>
      </c>
      <c r="F43" s="196" t="s">
        <v>2240</v>
      </c>
    </row>
    <row r="44" spans="1:7">
      <c r="A44" s="197">
        <v>43</v>
      </c>
      <c r="B44" s="196" t="s">
        <v>1024</v>
      </c>
      <c r="C44" s="196" t="s">
        <v>765</v>
      </c>
      <c r="D44" s="196" t="s">
        <v>1407</v>
      </c>
      <c r="E44" s="196" t="s">
        <v>1360</v>
      </c>
      <c r="F44" s="196" t="s">
        <v>2242</v>
      </c>
    </row>
    <row r="45" spans="1:7">
      <c r="A45" s="197">
        <v>44</v>
      </c>
      <c r="B45" s="196" t="s">
        <v>1135</v>
      </c>
      <c r="C45" s="196" t="s">
        <v>975</v>
      </c>
      <c r="D45" s="196" t="s">
        <v>1767</v>
      </c>
      <c r="E45" s="196" t="s">
        <v>1276</v>
      </c>
      <c r="F45" s="196" t="s">
        <v>2243</v>
      </c>
    </row>
    <row r="46" spans="1:7">
      <c r="A46" s="197">
        <v>45</v>
      </c>
      <c r="B46" s="196" t="s">
        <v>1067</v>
      </c>
      <c r="C46" s="196" t="s">
        <v>672</v>
      </c>
      <c r="D46" s="196" t="s">
        <v>1448</v>
      </c>
      <c r="E46" s="196" t="s">
        <v>1531</v>
      </c>
      <c r="F46" s="196" t="s">
        <v>2244</v>
      </c>
    </row>
    <row r="47" spans="1:7">
      <c r="A47" s="197">
        <v>46</v>
      </c>
      <c r="B47" s="196" t="s">
        <v>1039</v>
      </c>
      <c r="C47" s="196" t="s">
        <v>1055</v>
      </c>
      <c r="D47" s="196" t="s">
        <v>1623</v>
      </c>
      <c r="E47" s="196" t="s">
        <v>1415</v>
      </c>
      <c r="F47" s="196" t="s">
        <v>2246</v>
      </c>
      <c r="G47" s="196" t="s">
        <v>2473</v>
      </c>
    </row>
    <row r="48" spans="1:7">
      <c r="A48" s="197">
        <v>47</v>
      </c>
      <c r="B48" s="196" t="s">
        <v>1065</v>
      </c>
      <c r="C48" s="196" t="s">
        <v>995</v>
      </c>
      <c r="D48" s="196" t="s">
        <v>1538</v>
      </c>
      <c r="E48" s="196" t="s">
        <v>1511</v>
      </c>
      <c r="F48" s="196" t="s">
        <v>2247</v>
      </c>
    </row>
    <row r="49" spans="1:7">
      <c r="A49" s="197">
        <v>48</v>
      </c>
      <c r="B49" s="196" t="s">
        <v>1034</v>
      </c>
      <c r="C49" s="196" t="s">
        <v>1069</v>
      </c>
      <c r="D49" s="196" t="s">
        <v>1751</v>
      </c>
      <c r="E49" s="196" t="s">
        <v>1371</v>
      </c>
      <c r="F49" s="196" t="s">
        <v>2249</v>
      </c>
    </row>
    <row r="50" spans="1:7">
      <c r="A50" s="197">
        <v>49</v>
      </c>
      <c r="B50" s="196" t="s">
        <v>986</v>
      </c>
      <c r="C50" s="196" t="s">
        <v>1113</v>
      </c>
      <c r="D50" s="196" t="s">
        <v>1311</v>
      </c>
      <c r="E50" s="196" t="s">
        <v>1704</v>
      </c>
      <c r="F50" s="196" t="s">
        <v>2250</v>
      </c>
    </row>
    <row r="51" spans="1:7">
      <c r="A51" s="197">
        <v>50</v>
      </c>
      <c r="B51" s="196" t="s">
        <v>1043</v>
      </c>
      <c r="C51" s="196" t="s">
        <v>1136</v>
      </c>
      <c r="D51" s="196" t="s">
        <v>1491</v>
      </c>
      <c r="E51" s="196" t="s">
        <v>1632</v>
      </c>
      <c r="F51" s="196" t="s">
        <v>2252</v>
      </c>
    </row>
    <row r="52" spans="1:7">
      <c r="A52" s="197">
        <v>51</v>
      </c>
      <c r="B52" s="196" t="s">
        <v>1112</v>
      </c>
      <c r="C52" s="196" t="s">
        <v>1056</v>
      </c>
      <c r="D52" s="196" t="s">
        <v>1194</v>
      </c>
      <c r="E52" s="196" t="s">
        <v>1502</v>
      </c>
      <c r="F52" s="196" t="s">
        <v>2253</v>
      </c>
    </row>
    <row r="53" spans="1:7">
      <c r="A53" s="197">
        <v>52</v>
      </c>
      <c r="B53" s="196" t="s">
        <v>829</v>
      </c>
      <c r="C53" s="196" t="s">
        <v>628</v>
      </c>
      <c r="D53" s="196" t="s">
        <v>1451</v>
      </c>
      <c r="E53" s="196" t="s">
        <v>1412</v>
      </c>
      <c r="F53" s="196" t="s">
        <v>2254</v>
      </c>
    </row>
    <row r="54" spans="1:7">
      <c r="A54" s="197">
        <v>53</v>
      </c>
      <c r="B54" s="196" t="s">
        <v>1028</v>
      </c>
      <c r="C54" s="196" t="s">
        <v>742</v>
      </c>
      <c r="D54" s="196" t="s">
        <v>1367</v>
      </c>
      <c r="E54" s="196" t="s">
        <v>1624</v>
      </c>
      <c r="F54" s="196" t="s">
        <v>2255</v>
      </c>
      <c r="G54" s="196" t="s">
        <v>2473</v>
      </c>
    </row>
    <row r="55" spans="1:7">
      <c r="A55" s="197">
        <v>54</v>
      </c>
      <c r="B55" s="196" t="s">
        <v>700</v>
      </c>
      <c r="C55" s="196" t="s">
        <v>741</v>
      </c>
      <c r="D55" s="196" t="s">
        <v>1762</v>
      </c>
      <c r="E55" s="196" t="s">
        <v>1461</v>
      </c>
      <c r="F55" s="196" t="s">
        <v>2256</v>
      </c>
      <c r="G55" s="196" t="s">
        <v>2473</v>
      </c>
    </row>
    <row r="56" spans="1:7">
      <c r="A56" s="197">
        <v>55</v>
      </c>
      <c r="B56" s="113" t="s">
        <v>2482</v>
      </c>
      <c r="C56" s="113" t="s">
        <v>1122</v>
      </c>
      <c r="D56" s="196" t="s">
        <v>1434</v>
      </c>
      <c r="E56" s="196" t="s">
        <v>1428</v>
      </c>
      <c r="F56" s="196" t="s">
        <v>2257</v>
      </c>
      <c r="G56" s="196" t="s">
        <v>2487</v>
      </c>
    </row>
    <row r="57" spans="1:7">
      <c r="A57" s="197">
        <v>56</v>
      </c>
      <c r="B57" s="196" t="s">
        <v>1083</v>
      </c>
      <c r="C57" s="196" t="s">
        <v>1081</v>
      </c>
      <c r="D57" s="196" t="s">
        <v>1493</v>
      </c>
      <c r="E57" s="196" t="s">
        <v>1512</v>
      </c>
      <c r="F57" s="196" t="s">
        <v>2258</v>
      </c>
    </row>
    <row r="58" spans="1:7">
      <c r="A58" s="197">
        <v>57</v>
      </c>
      <c r="B58" s="196" t="s">
        <v>706</v>
      </c>
      <c r="C58" s="196" t="s">
        <v>980</v>
      </c>
      <c r="D58" s="196" t="s">
        <v>1432</v>
      </c>
      <c r="E58" s="196" t="s">
        <v>1510</v>
      </c>
      <c r="F58" s="196" t="s">
        <v>2259</v>
      </c>
    </row>
    <row r="59" spans="1:7">
      <c r="A59" s="197">
        <v>58</v>
      </c>
      <c r="B59" s="196" t="s">
        <v>1110</v>
      </c>
      <c r="C59" s="196" t="s">
        <v>1093</v>
      </c>
      <c r="D59" s="196" t="s">
        <v>1457</v>
      </c>
      <c r="E59" s="196" t="s">
        <v>1537</v>
      </c>
      <c r="F59" s="196" t="s">
        <v>2262</v>
      </c>
    </row>
    <row r="60" spans="1:7">
      <c r="A60" s="197">
        <v>59</v>
      </c>
      <c r="B60" s="196" t="s">
        <v>1021</v>
      </c>
      <c r="C60" s="196" t="s">
        <v>1118</v>
      </c>
      <c r="D60" s="196" t="s">
        <v>1450</v>
      </c>
      <c r="E60" s="196" t="s">
        <v>1561</v>
      </c>
      <c r="F60" s="196" t="s">
        <v>2263</v>
      </c>
    </row>
    <row r="61" spans="1:7">
      <c r="A61" s="197">
        <v>60</v>
      </c>
      <c r="B61" s="196" t="s">
        <v>751</v>
      </c>
      <c r="C61" s="196" t="s">
        <v>1063</v>
      </c>
      <c r="D61" s="196" t="s">
        <v>1515</v>
      </c>
      <c r="E61" s="196" t="s">
        <v>1417</v>
      </c>
      <c r="F61" s="196" t="s">
        <v>2264</v>
      </c>
    </row>
    <row r="62" spans="1:7">
      <c r="A62" s="197">
        <v>61</v>
      </c>
      <c r="B62" s="196" t="s">
        <v>998</v>
      </c>
      <c r="C62" s="196" t="s">
        <v>1099</v>
      </c>
      <c r="D62" s="196" t="s">
        <v>1659</v>
      </c>
      <c r="E62" s="196" t="s">
        <v>1509</v>
      </c>
      <c r="F62" s="196" t="s">
        <v>2266</v>
      </c>
    </row>
    <row r="63" spans="1:7">
      <c r="A63" s="197">
        <v>62</v>
      </c>
      <c r="B63" s="196" t="s">
        <v>693</v>
      </c>
      <c r="C63" s="196" t="s">
        <v>1022</v>
      </c>
      <c r="D63" s="196" t="s">
        <v>1605</v>
      </c>
      <c r="E63" s="196" t="s">
        <v>1485</v>
      </c>
      <c r="F63" s="196" t="s">
        <v>2267</v>
      </c>
    </row>
    <row r="64" spans="1:7">
      <c r="A64" s="197">
        <v>63</v>
      </c>
      <c r="B64" s="196" t="s">
        <v>718</v>
      </c>
      <c r="C64" s="196" t="s">
        <v>956</v>
      </c>
      <c r="D64" s="196" t="s">
        <v>1610</v>
      </c>
      <c r="E64" s="196" t="s">
        <v>1663</v>
      </c>
      <c r="F64" s="196" t="s">
        <v>2269</v>
      </c>
    </row>
    <row r="65" spans="1:7">
      <c r="A65" s="197">
        <v>64</v>
      </c>
      <c r="B65" s="196" t="s">
        <v>591</v>
      </c>
      <c r="C65" s="196" t="s">
        <v>982</v>
      </c>
      <c r="D65" s="196" t="s">
        <v>1377</v>
      </c>
      <c r="E65" s="196" t="s">
        <v>1496</v>
      </c>
      <c r="F65" s="196" t="s">
        <v>2270</v>
      </c>
    </row>
    <row r="66" spans="1:7">
      <c r="A66" s="197">
        <v>65</v>
      </c>
      <c r="B66" s="196" t="s">
        <v>808</v>
      </c>
      <c r="C66" s="196" t="s">
        <v>616</v>
      </c>
      <c r="D66" s="196" t="s">
        <v>1350</v>
      </c>
      <c r="E66" s="196" t="s">
        <v>1436</v>
      </c>
      <c r="F66" s="196" t="s">
        <v>2272</v>
      </c>
    </row>
    <row r="67" spans="1:7">
      <c r="A67" s="197">
        <v>66</v>
      </c>
      <c r="B67" s="196" t="s">
        <v>889</v>
      </c>
      <c r="C67" s="196" t="s">
        <v>991</v>
      </c>
      <c r="D67" s="196" t="s">
        <v>1290</v>
      </c>
      <c r="E67" s="196" t="s">
        <v>1768</v>
      </c>
      <c r="F67" s="196" t="s">
        <v>2274</v>
      </c>
    </row>
    <row r="68" spans="1:7">
      <c r="A68" s="197">
        <v>67</v>
      </c>
      <c r="B68" s="196" t="s">
        <v>1097</v>
      </c>
      <c r="C68" s="196" t="s">
        <v>976</v>
      </c>
      <c r="D68" s="196" t="s">
        <v>1390</v>
      </c>
      <c r="E68" s="196" t="s">
        <v>1600</v>
      </c>
      <c r="F68" s="196" t="s">
        <v>2275</v>
      </c>
    </row>
    <row r="69" spans="1:7">
      <c r="A69" s="197">
        <v>68</v>
      </c>
      <c r="B69" s="196" t="s">
        <v>1132</v>
      </c>
      <c r="C69" s="196" t="s">
        <v>1012</v>
      </c>
      <c r="D69" s="196" t="s">
        <v>1573</v>
      </c>
      <c r="E69" s="196" t="s">
        <v>1781</v>
      </c>
      <c r="F69" s="196" t="s">
        <v>2276</v>
      </c>
    </row>
    <row r="70" spans="1:7">
      <c r="A70" s="197">
        <v>69</v>
      </c>
      <c r="B70" s="196" t="s">
        <v>890</v>
      </c>
      <c r="C70" s="196" t="s">
        <v>727</v>
      </c>
      <c r="D70" s="196" t="s">
        <v>1664</v>
      </c>
      <c r="E70" s="196" t="s">
        <v>1602</v>
      </c>
      <c r="F70" s="196" t="s">
        <v>2277</v>
      </c>
      <c r="G70" s="196" t="s">
        <v>2475</v>
      </c>
    </row>
    <row r="71" spans="1:7">
      <c r="A71" s="197">
        <v>70</v>
      </c>
      <c r="B71" s="196" t="s">
        <v>875</v>
      </c>
      <c r="C71" s="196" t="s">
        <v>990</v>
      </c>
      <c r="D71" s="196" t="s">
        <v>1636</v>
      </c>
      <c r="E71" s="196" t="s">
        <v>1692</v>
      </c>
      <c r="F71" s="196" t="s">
        <v>2278</v>
      </c>
    </row>
    <row r="72" spans="1:7">
      <c r="A72" s="197">
        <v>71</v>
      </c>
      <c r="B72" s="196" t="s">
        <v>613</v>
      </c>
      <c r="C72" s="196" t="s">
        <v>1046</v>
      </c>
      <c r="D72" s="196" t="s">
        <v>1591</v>
      </c>
      <c r="E72" s="196" t="s">
        <v>1539</v>
      </c>
      <c r="F72" s="196" t="s">
        <v>2279</v>
      </c>
    </row>
    <row r="73" spans="1:7">
      <c r="A73" s="197">
        <v>72</v>
      </c>
      <c r="B73" s="196" t="s">
        <v>1127</v>
      </c>
      <c r="C73" s="196" t="s">
        <v>595</v>
      </c>
      <c r="D73" s="196" t="s">
        <v>1423</v>
      </c>
      <c r="E73" s="196" t="s">
        <v>1667</v>
      </c>
      <c r="F73" s="196" t="s">
        <v>2280</v>
      </c>
    </row>
    <row r="74" spans="1:7">
      <c r="A74" s="197">
        <v>73</v>
      </c>
      <c r="B74" s="196" t="s">
        <v>748</v>
      </c>
      <c r="C74" s="196" t="s">
        <v>703</v>
      </c>
      <c r="D74" s="196" t="s">
        <v>1552</v>
      </c>
      <c r="E74" s="196" t="s">
        <v>1501</v>
      </c>
      <c r="F74" s="196" t="s">
        <v>2281</v>
      </c>
    </row>
    <row r="75" spans="1:7">
      <c r="A75" s="197">
        <v>74</v>
      </c>
      <c r="B75" s="196" t="s">
        <v>1003</v>
      </c>
      <c r="C75" s="196" t="s">
        <v>1019</v>
      </c>
      <c r="D75" s="196" t="s">
        <v>1471</v>
      </c>
      <c r="E75" s="196" t="s">
        <v>1445</v>
      </c>
      <c r="F75" s="196" t="s">
        <v>2283</v>
      </c>
    </row>
    <row r="76" spans="1:7">
      <c r="A76" s="197">
        <v>75</v>
      </c>
      <c r="B76" s="196" t="s">
        <v>830</v>
      </c>
      <c r="C76" s="196" t="s">
        <v>737</v>
      </c>
      <c r="D76" s="196" t="s">
        <v>1677</v>
      </c>
      <c r="E76" s="196" t="s">
        <v>1642</v>
      </c>
      <c r="F76" s="196" t="s">
        <v>2284</v>
      </c>
    </row>
    <row r="77" spans="1:7">
      <c r="A77" s="197">
        <v>76</v>
      </c>
      <c r="B77" s="196" t="s">
        <v>958</v>
      </c>
      <c r="C77" s="196" t="s">
        <v>640</v>
      </c>
      <c r="D77" s="196" t="s">
        <v>1447</v>
      </c>
      <c r="E77" s="196" t="s">
        <v>1634</v>
      </c>
      <c r="F77" s="196" t="s">
        <v>2285</v>
      </c>
    </row>
    <row r="78" spans="1:7">
      <c r="A78" s="197">
        <v>77</v>
      </c>
      <c r="B78" s="196" t="s">
        <v>913</v>
      </c>
      <c r="C78" s="196" t="s">
        <v>1004</v>
      </c>
      <c r="D78" s="196" t="s">
        <v>1541</v>
      </c>
      <c r="E78" s="196" t="s">
        <v>1456</v>
      </c>
      <c r="F78" s="196" t="s">
        <v>2286</v>
      </c>
    </row>
    <row r="79" spans="1:7">
      <c r="A79" s="197">
        <v>78</v>
      </c>
      <c r="B79" s="196" t="s">
        <v>1041</v>
      </c>
      <c r="C79" s="196" t="s">
        <v>863</v>
      </c>
      <c r="D79" s="196" t="s">
        <v>1604</v>
      </c>
      <c r="E79" s="196" t="s">
        <v>1590</v>
      </c>
      <c r="F79" s="196" t="s">
        <v>2287</v>
      </c>
    </row>
    <row r="80" spans="1:7">
      <c r="A80" s="197">
        <v>79</v>
      </c>
      <c r="B80" s="196" t="s">
        <v>1085</v>
      </c>
      <c r="C80" s="196" t="s">
        <v>906</v>
      </c>
      <c r="D80" s="196" t="s">
        <v>1801</v>
      </c>
      <c r="E80" s="196" t="s">
        <v>1833</v>
      </c>
      <c r="F80" s="196" t="s">
        <v>2288</v>
      </c>
    </row>
    <row r="81" spans="1:7">
      <c r="A81" s="197">
        <v>80</v>
      </c>
      <c r="B81" s="196" t="s">
        <v>1073</v>
      </c>
      <c r="C81" s="196" t="s">
        <v>960</v>
      </c>
      <c r="D81" s="196" t="s">
        <v>1576</v>
      </c>
      <c r="E81" s="196" t="s">
        <v>1443</v>
      </c>
      <c r="F81" s="196" t="s">
        <v>2289</v>
      </c>
    </row>
    <row r="82" spans="1:7">
      <c r="A82" s="197">
        <v>81</v>
      </c>
      <c r="B82" s="196" t="s">
        <v>848</v>
      </c>
      <c r="C82" s="196" t="s">
        <v>954</v>
      </c>
      <c r="D82" s="196" t="s">
        <v>1575</v>
      </c>
      <c r="E82" s="196" t="s">
        <v>1508</v>
      </c>
      <c r="F82" s="196" t="s">
        <v>2290</v>
      </c>
    </row>
    <row r="83" spans="1:7">
      <c r="A83" s="197">
        <v>82</v>
      </c>
      <c r="B83" s="196" t="s">
        <v>773</v>
      </c>
      <c r="C83" s="196" t="s">
        <v>1058</v>
      </c>
      <c r="D83" s="196" t="s">
        <v>1210</v>
      </c>
      <c r="E83" s="196" t="s">
        <v>1514</v>
      </c>
      <c r="F83" s="196" t="s">
        <v>2293</v>
      </c>
    </row>
    <row r="84" spans="1:7">
      <c r="A84" s="197">
        <v>83</v>
      </c>
      <c r="B84" s="196" t="s">
        <v>1119</v>
      </c>
      <c r="C84" s="196" t="s">
        <v>1007</v>
      </c>
      <c r="D84" s="196" t="s">
        <v>1752</v>
      </c>
      <c r="E84" s="196" t="s">
        <v>1556</v>
      </c>
      <c r="F84" s="196" t="s">
        <v>2294</v>
      </c>
    </row>
    <row r="85" spans="1:7">
      <c r="A85" s="197">
        <v>84</v>
      </c>
      <c r="B85" s="196" t="s">
        <v>724</v>
      </c>
      <c r="C85" s="196" t="s">
        <v>1092</v>
      </c>
      <c r="D85" s="196" t="s">
        <v>1530</v>
      </c>
      <c r="E85" s="196" t="s">
        <v>1759</v>
      </c>
      <c r="F85" s="196" t="s">
        <v>2295</v>
      </c>
    </row>
    <row r="86" spans="1:7">
      <c r="A86" s="197">
        <v>85</v>
      </c>
      <c r="B86" s="196" t="s">
        <v>750</v>
      </c>
      <c r="C86" s="196" t="s">
        <v>826</v>
      </c>
      <c r="D86" s="196" t="s">
        <v>1609</v>
      </c>
      <c r="E86" s="196" t="s">
        <v>1742</v>
      </c>
      <c r="F86" s="196" t="s">
        <v>2296</v>
      </c>
    </row>
    <row r="87" spans="1:7">
      <c r="A87" s="197">
        <v>86</v>
      </c>
      <c r="B87" s="196" t="s">
        <v>1079</v>
      </c>
      <c r="C87" s="196" t="s">
        <v>1140</v>
      </c>
      <c r="D87" s="196" t="s">
        <v>1489</v>
      </c>
      <c r="E87" s="196" t="s">
        <v>1327</v>
      </c>
      <c r="F87" s="196" t="s">
        <v>2297</v>
      </c>
    </row>
    <row r="88" spans="1:7">
      <c r="A88" s="197">
        <v>87</v>
      </c>
      <c r="B88" s="196" t="s">
        <v>812</v>
      </c>
      <c r="C88" s="196" t="s">
        <v>733</v>
      </c>
      <c r="D88" s="196" t="s">
        <v>1418</v>
      </c>
      <c r="E88" s="196" t="s">
        <v>1422</v>
      </c>
      <c r="F88" s="196" t="s">
        <v>2298</v>
      </c>
    </row>
    <row r="89" spans="1:7">
      <c r="A89" s="197">
        <v>88</v>
      </c>
      <c r="B89" s="196" t="s">
        <v>853</v>
      </c>
      <c r="C89" s="196" t="s">
        <v>756</v>
      </c>
      <c r="D89" s="196" t="s">
        <v>1439</v>
      </c>
      <c r="E89" s="196" t="s">
        <v>1481</v>
      </c>
      <c r="F89" s="196" t="s">
        <v>2299</v>
      </c>
      <c r="G89" s="196" t="s">
        <v>2473</v>
      </c>
    </row>
    <row r="90" spans="1:7">
      <c r="A90" s="197">
        <v>89</v>
      </c>
      <c r="B90" s="196" t="s">
        <v>970</v>
      </c>
      <c r="C90" s="196" t="s">
        <v>945</v>
      </c>
      <c r="D90" s="196" t="s">
        <v>1581</v>
      </c>
      <c r="E90" s="196" t="s">
        <v>1711</v>
      </c>
      <c r="F90" s="196" t="s">
        <v>2300</v>
      </c>
      <c r="G90" s="196" t="s">
        <v>2476</v>
      </c>
    </row>
    <row r="91" spans="1:7">
      <c r="A91" s="197">
        <v>90</v>
      </c>
      <c r="B91" s="196" t="s">
        <v>624</v>
      </c>
      <c r="C91" s="196" t="s">
        <v>1047</v>
      </c>
      <c r="D91" s="196" t="s">
        <v>1695</v>
      </c>
      <c r="E91" s="196" t="s">
        <v>1458</v>
      </c>
      <c r="F91" s="196" t="s">
        <v>2302</v>
      </c>
    </row>
    <row r="92" spans="1:7">
      <c r="A92" s="197">
        <v>91</v>
      </c>
      <c r="B92" s="196" t="s">
        <v>1068</v>
      </c>
      <c r="C92" s="196" t="s">
        <v>798</v>
      </c>
      <c r="D92" s="196" t="s">
        <v>1503</v>
      </c>
      <c r="E92" s="196" t="s">
        <v>1578</v>
      </c>
      <c r="F92" s="196" t="s">
        <v>2303</v>
      </c>
    </row>
    <row r="93" spans="1:7">
      <c r="A93" s="197">
        <v>92</v>
      </c>
      <c r="B93" s="196" t="s">
        <v>1137</v>
      </c>
      <c r="C93" s="196" t="s">
        <v>696</v>
      </c>
      <c r="D93" s="196" t="s">
        <v>1287</v>
      </c>
      <c r="E93" s="196" t="s">
        <v>1521</v>
      </c>
      <c r="F93" s="196" t="s">
        <v>2304</v>
      </c>
    </row>
    <row r="94" spans="1:7">
      <c r="A94" s="197">
        <v>93</v>
      </c>
      <c r="B94" s="196" t="s">
        <v>1005</v>
      </c>
      <c r="C94" s="196" t="s">
        <v>1129</v>
      </c>
      <c r="D94" s="196" t="s">
        <v>1626</v>
      </c>
      <c r="E94" s="196" t="s">
        <v>1414</v>
      </c>
      <c r="F94" s="196" t="s">
        <v>2305</v>
      </c>
    </row>
    <row r="95" spans="1:7">
      <c r="A95" s="197">
        <v>94</v>
      </c>
      <c r="B95" s="196" t="s">
        <v>783</v>
      </c>
      <c r="C95" s="196" t="s">
        <v>897</v>
      </c>
      <c r="D95" s="196" t="s">
        <v>1462</v>
      </c>
      <c r="E95" s="196" t="s">
        <v>1516</v>
      </c>
      <c r="F95" s="196" t="s">
        <v>2306</v>
      </c>
      <c r="G95" s="196" t="s">
        <v>2473</v>
      </c>
    </row>
    <row r="96" spans="1:7">
      <c r="A96" s="197">
        <v>95</v>
      </c>
      <c r="B96" s="196" t="s">
        <v>594</v>
      </c>
      <c r="C96" s="196" t="s">
        <v>781</v>
      </c>
      <c r="D96" s="196" t="s">
        <v>1564</v>
      </c>
      <c r="E96" s="196" t="s">
        <v>1409</v>
      </c>
      <c r="F96" s="196" t="s">
        <v>2307</v>
      </c>
    </row>
    <row r="97" spans="1:7">
      <c r="A97" s="197">
        <v>96</v>
      </c>
      <c r="B97" s="196" t="s">
        <v>553</v>
      </c>
      <c r="C97" s="196" t="s">
        <v>823</v>
      </c>
      <c r="D97" s="196" t="s">
        <v>1505</v>
      </c>
      <c r="E97" s="196" t="s">
        <v>1571</v>
      </c>
      <c r="F97" s="196" t="s">
        <v>2308</v>
      </c>
    </row>
    <row r="98" spans="1:7">
      <c r="A98" s="197">
        <v>97</v>
      </c>
      <c r="B98" s="196" t="s">
        <v>565</v>
      </c>
      <c r="C98" s="196" t="s">
        <v>623</v>
      </c>
      <c r="D98" s="196" t="s">
        <v>1203</v>
      </c>
      <c r="E98" s="196" t="s">
        <v>1309</v>
      </c>
      <c r="F98" s="196" t="s">
        <v>2310</v>
      </c>
    </row>
    <row r="99" spans="1:7">
      <c r="A99" s="197">
        <v>98</v>
      </c>
      <c r="B99" s="196" t="s">
        <v>580</v>
      </c>
      <c r="C99" s="196" t="s">
        <v>652</v>
      </c>
      <c r="D99" s="196" t="s">
        <v>1320</v>
      </c>
      <c r="E99" s="196" t="s">
        <v>1440</v>
      </c>
      <c r="F99" s="196" t="s">
        <v>2311</v>
      </c>
    </row>
    <row r="100" spans="1:7">
      <c r="A100" s="197">
        <v>99</v>
      </c>
      <c r="B100" s="196" t="s">
        <v>645</v>
      </c>
      <c r="C100" s="196" t="s">
        <v>592</v>
      </c>
      <c r="D100" s="196" t="s">
        <v>1359</v>
      </c>
      <c r="E100" s="196" t="s">
        <v>1285</v>
      </c>
      <c r="F100" s="196" t="s">
        <v>2312</v>
      </c>
    </row>
    <row r="101" spans="1:7">
      <c r="A101" s="197">
        <v>100</v>
      </c>
      <c r="B101" s="196" t="s">
        <v>644</v>
      </c>
      <c r="C101" s="196" t="s">
        <v>641</v>
      </c>
      <c r="D101" s="196" t="s">
        <v>1222</v>
      </c>
      <c r="E101" s="196" t="s">
        <v>1322</v>
      </c>
      <c r="F101" s="196" t="s">
        <v>2313</v>
      </c>
    </row>
    <row r="102" spans="1:7">
      <c r="A102" s="197">
        <v>101</v>
      </c>
      <c r="B102" s="196" t="s">
        <v>1131</v>
      </c>
      <c r="C102" s="196" t="s">
        <v>659</v>
      </c>
      <c r="D102" s="196" t="s">
        <v>1175</v>
      </c>
      <c r="E102" s="196" t="s">
        <v>1242</v>
      </c>
      <c r="F102" s="196" t="s">
        <v>2315</v>
      </c>
    </row>
    <row r="103" spans="1:7">
      <c r="A103" s="197">
        <v>102</v>
      </c>
      <c r="B103" s="196" t="s">
        <v>1115</v>
      </c>
      <c r="C103" s="196" t="s">
        <v>572</v>
      </c>
      <c r="D103" s="196" t="s">
        <v>1226</v>
      </c>
      <c r="E103" s="196" t="s">
        <v>1158</v>
      </c>
      <c r="F103" s="196" t="s">
        <v>2316</v>
      </c>
    </row>
    <row r="104" spans="1:7">
      <c r="A104" s="197">
        <v>103</v>
      </c>
      <c r="B104" s="196" t="s">
        <v>647</v>
      </c>
      <c r="C104" s="196" t="s">
        <v>711</v>
      </c>
      <c r="D104" s="196" t="s">
        <v>1358</v>
      </c>
      <c r="E104" s="196" t="s">
        <v>1181</v>
      </c>
      <c r="F104" s="196" t="s">
        <v>2317</v>
      </c>
    </row>
    <row r="105" spans="1:7">
      <c r="A105" s="197">
        <v>104</v>
      </c>
      <c r="B105" s="196" t="s">
        <v>666</v>
      </c>
      <c r="C105" s="196" t="s">
        <v>564</v>
      </c>
      <c r="D105" s="196" t="s">
        <v>1244</v>
      </c>
      <c r="E105" s="196" t="s">
        <v>1169</v>
      </c>
      <c r="F105" s="196" t="s">
        <v>2318</v>
      </c>
    </row>
    <row r="106" spans="1:7">
      <c r="A106" s="197">
        <v>105</v>
      </c>
      <c r="B106" s="196" t="s">
        <v>601</v>
      </c>
      <c r="C106" s="196" t="s">
        <v>593</v>
      </c>
      <c r="D106" s="196" t="s">
        <v>1189</v>
      </c>
      <c r="E106" s="196" t="s">
        <v>1321</v>
      </c>
      <c r="F106" s="196" t="s">
        <v>2319</v>
      </c>
    </row>
    <row r="107" spans="1:7">
      <c r="A107" s="197">
        <v>106</v>
      </c>
      <c r="B107" s="196" t="s">
        <v>548</v>
      </c>
      <c r="C107" s="196" t="s">
        <v>551</v>
      </c>
      <c r="D107" s="196" t="s">
        <v>1312</v>
      </c>
      <c r="E107" s="196" t="s">
        <v>1213</v>
      </c>
      <c r="F107" s="196" t="s">
        <v>2320</v>
      </c>
    </row>
    <row r="108" spans="1:7">
      <c r="A108" s="197">
        <v>107</v>
      </c>
      <c r="B108" s="196" t="s">
        <v>631</v>
      </c>
      <c r="C108" s="196" t="s">
        <v>567</v>
      </c>
      <c r="D108" s="196" t="s">
        <v>1374</v>
      </c>
      <c r="E108" s="196" t="s">
        <v>1362</v>
      </c>
      <c r="F108" s="196" t="s">
        <v>2321</v>
      </c>
    </row>
    <row r="109" spans="1:7">
      <c r="A109" s="197">
        <v>108</v>
      </c>
      <c r="B109" s="196" t="s">
        <v>632</v>
      </c>
      <c r="C109" s="196" t="s">
        <v>1133</v>
      </c>
      <c r="D109" s="196" t="s">
        <v>1205</v>
      </c>
      <c r="E109" s="196" t="s">
        <v>1167</v>
      </c>
      <c r="F109" s="196" t="s">
        <v>2322</v>
      </c>
    </row>
    <row r="110" spans="1:7">
      <c r="A110" s="197">
        <v>109</v>
      </c>
      <c r="B110" s="113" t="s">
        <v>1108</v>
      </c>
      <c r="C110" s="113" t="s">
        <v>589</v>
      </c>
      <c r="D110" s="113" t="s">
        <v>1163</v>
      </c>
      <c r="E110" s="113" t="s">
        <v>1346</v>
      </c>
      <c r="F110" s="196" t="s">
        <v>2324</v>
      </c>
      <c r="G110" s="196" t="s">
        <v>2528</v>
      </c>
    </row>
    <row r="111" spans="1:7">
      <c r="A111" s="197">
        <v>110</v>
      </c>
      <c r="B111" s="113" t="s">
        <v>2481</v>
      </c>
      <c r="C111" s="196" t="s">
        <v>679</v>
      </c>
      <c r="D111" s="196" t="s">
        <v>1168</v>
      </c>
      <c r="E111" s="196" t="s">
        <v>1308</v>
      </c>
      <c r="F111" s="196" t="s">
        <v>2325</v>
      </c>
    </row>
    <row r="112" spans="1:7">
      <c r="A112" s="197">
        <v>111</v>
      </c>
      <c r="B112" s="196" t="s">
        <v>654</v>
      </c>
      <c r="C112" s="196" t="s">
        <v>636</v>
      </c>
      <c r="D112" s="196" t="s">
        <v>1355</v>
      </c>
      <c r="E112" s="196" t="s">
        <v>1219</v>
      </c>
      <c r="F112" s="196" t="s">
        <v>2326</v>
      </c>
    </row>
    <row r="113" spans="1:7">
      <c r="A113" s="197">
        <v>112</v>
      </c>
      <c r="B113" s="196" t="s">
        <v>611</v>
      </c>
      <c r="C113" s="196" t="s">
        <v>1100</v>
      </c>
      <c r="D113" s="196" t="s">
        <v>1198</v>
      </c>
      <c r="E113" s="196" t="s">
        <v>1151</v>
      </c>
      <c r="F113" s="196" t="s">
        <v>2327</v>
      </c>
    </row>
    <row r="114" spans="1:7">
      <c r="A114" s="197">
        <v>113</v>
      </c>
      <c r="B114" s="196" t="s">
        <v>563</v>
      </c>
      <c r="C114" s="196" t="s">
        <v>713</v>
      </c>
      <c r="D114" s="196" t="s">
        <v>1281</v>
      </c>
      <c r="E114" s="196" t="s">
        <v>1326</v>
      </c>
      <c r="F114" s="196" t="s">
        <v>2328</v>
      </c>
    </row>
    <row r="115" spans="1:7">
      <c r="A115" s="197">
        <v>114</v>
      </c>
      <c r="B115" s="196" t="s">
        <v>1104</v>
      </c>
      <c r="C115" s="196" t="s">
        <v>539</v>
      </c>
      <c r="D115" s="196" t="s">
        <v>1161</v>
      </c>
      <c r="E115" s="196" t="s">
        <v>1247</v>
      </c>
      <c r="F115" s="196" t="s">
        <v>2329</v>
      </c>
    </row>
    <row r="116" spans="1:7">
      <c r="A116" s="197">
        <v>115</v>
      </c>
      <c r="B116" s="196" t="s">
        <v>619</v>
      </c>
      <c r="C116" s="196" t="s">
        <v>588</v>
      </c>
      <c r="D116" s="196" t="s">
        <v>1272</v>
      </c>
      <c r="E116" s="196" t="s">
        <v>1357</v>
      </c>
      <c r="F116" s="196" t="s">
        <v>2330</v>
      </c>
    </row>
    <row r="117" spans="1:7">
      <c r="A117" s="197">
        <v>116</v>
      </c>
      <c r="B117" s="196" t="s">
        <v>661</v>
      </c>
      <c r="C117" s="196" t="s">
        <v>682</v>
      </c>
      <c r="D117" s="196" t="s">
        <v>1487</v>
      </c>
      <c r="E117" s="196" t="s">
        <v>1153</v>
      </c>
      <c r="F117" s="196" t="s">
        <v>2331</v>
      </c>
    </row>
    <row r="118" spans="1:7">
      <c r="A118" s="197">
        <v>117</v>
      </c>
      <c r="B118" s="196" t="s">
        <v>576</v>
      </c>
      <c r="C118" s="196" t="s">
        <v>630</v>
      </c>
      <c r="D118" s="196" t="s">
        <v>1149</v>
      </c>
      <c r="E118" s="196" t="s">
        <v>1261</v>
      </c>
      <c r="F118" s="196" t="s">
        <v>2332</v>
      </c>
    </row>
    <row r="119" spans="1:7">
      <c r="A119" s="197">
        <v>118</v>
      </c>
      <c r="B119" s="196" t="s">
        <v>597</v>
      </c>
      <c r="C119" s="196" t="s">
        <v>646</v>
      </c>
      <c r="D119" s="196" t="s">
        <v>1259</v>
      </c>
      <c r="E119" s="196" t="s">
        <v>1369</v>
      </c>
      <c r="F119" s="196" t="s">
        <v>2333</v>
      </c>
    </row>
    <row r="120" spans="1:7">
      <c r="A120" s="197">
        <v>119</v>
      </c>
      <c r="B120" s="196" t="s">
        <v>615</v>
      </c>
      <c r="C120" s="196" t="s">
        <v>557</v>
      </c>
      <c r="D120" s="196" t="s">
        <v>1248</v>
      </c>
      <c r="E120" s="196" t="s">
        <v>1393</v>
      </c>
      <c r="F120" s="196" t="s">
        <v>2334</v>
      </c>
    </row>
    <row r="121" spans="1:7">
      <c r="A121" s="197">
        <v>120</v>
      </c>
      <c r="B121" s="196" t="s">
        <v>547</v>
      </c>
      <c r="C121" s="196" t="s">
        <v>687</v>
      </c>
      <c r="D121" s="196" t="s">
        <v>1352</v>
      </c>
      <c r="E121" s="196" t="s">
        <v>1292</v>
      </c>
      <c r="F121" s="196" t="s">
        <v>2335</v>
      </c>
    </row>
    <row r="122" spans="1:7">
      <c r="A122" s="197">
        <v>121</v>
      </c>
      <c r="B122" s="196" t="s">
        <v>577</v>
      </c>
      <c r="C122" s="196" t="s">
        <v>609</v>
      </c>
      <c r="D122" s="196" t="s">
        <v>1225</v>
      </c>
      <c r="E122" s="196" t="s">
        <v>1384</v>
      </c>
      <c r="F122" s="196" t="s">
        <v>2336</v>
      </c>
    </row>
    <row r="123" spans="1:7">
      <c r="A123" s="197">
        <v>122</v>
      </c>
      <c r="B123" s="196" t="s">
        <v>712</v>
      </c>
      <c r="C123" s="196" t="s">
        <v>1130</v>
      </c>
      <c r="D123" s="196" t="s">
        <v>1211</v>
      </c>
      <c r="E123" s="196" t="s">
        <v>1190</v>
      </c>
      <c r="F123" s="196" t="s">
        <v>2337</v>
      </c>
    </row>
    <row r="124" spans="1:7">
      <c r="A124" s="197">
        <v>123</v>
      </c>
      <c r="B124" s="196" t="s">
        <v>675</v>
      </c>
      <c r="C124" s="196" t="s">
        <v>566</v>
      </c>
      <c r="D124" s="196" t="s">
        <v>1155</v>
      </c>
      <c r="E124" s="196" t="s">
        <v>1356</v>
      </c>
      <c r="F124" s="196" t="s">
        <v>2338</v>
      </c>
    </row>
    <row r="125" spans="1:7">
      <c r="A125" s="197">
        <v>124</v>
      </c>
      <c r="B125" s="196" t="s">
        <v>670</v>
      </c>
      <c r="C125" s="196" t="s">
        <v>1102</v>
      </c>
      <c r="D125" s="196" t="s">
        <v>1368</v>
      </c>
      <c r="E125" s="196" t="s">
        <v>1183</v>
      </c>
      <c r="F125" s="196" t="s">
        <v>2340</v>
      </c>
    </row>
    <row r="126" spans="1:7">
      <c r="A126" s="197">
        <v>125</v>
      </c>
      <c r="B126" s="196" t="s">
        <v>655</v>
      </c>
      <c r="C126" s="196" t="s">
        <v>581</v>
      </c>
      <c r="D126" s="196" t="s">
        <v>1310</v>
      </c>
      <c r="E126" s="196" t="s">
        <v>1257</v>
      </c>
      <c r="F126" s="196" t="s">
        <v>2341</v>
      </c>
    </row>
    <row r="127" spans="1:7">
      <c r="A127" s="197">
        <v>126</v>
      </c>
      <c r="B127" s="196" t="s">
        <v>1086</v>
      </c>
      <c r="C127" s="196" t="s">
        <v>579</v>
      </c>
      <c r="D127" s="196" t="s">
        <v>1209</v>
      </c>
      <c r="E127" s="196" t="s">
        <v>1301</v>
      </c>
      <c r="F127" s="196" t="s">
        <v>2342</v>
      </c>
      <c r="G127" s="196" t="s">
        <v>2488</v>
      </c>
    </row>
    <row r="128" spans="1:7">
      <c r="A128" s="197">
        <v>127</v>
      </c>
      <c r="B128" s="196" t="s">
        <v>717</v>
      </c>
      <c r="C128" s="196" t="s">
        <v>635</v>
      </c>
      <c r="D128" s="196" t="s">
        <v>1363</v>
      </c>
      <c r="E128" s="196" t="s">
        <v>1152</v>
      </c>
      <c r="F128" s="196" t="s">
        <v>2343</v>
      </c>
    </row>
    <row r="129" spans="1:7">
      <c r="A129" s="197">
        <v>128</v>
      </c>
      <c r="B129" s="196" t="s">
        <v>723</v>
      </c>
      <c r="C129" s="196" t="s">
        <v>587</v>
      </c>
      <c r="D129" s="196" t="s">
        <v>1217</v>
      </c>
      <c r="E129" s="196" t="s">
        <v>1216</v>
      </c>
      <c r="F129" s="196" t="s">
        <v>2344</v>
      </c>
    </row>
    <row r="130" spans="1:7">
      <c r="A130" s="197">
        <v>129</v>
      </c>
      <c r="B130" s="196" t="s">
        <v>621</v>
      </c>
      <c r="C130" s="196" t="s">
        <v>1095</v>
      </c>
      <c r="D130" s="196" t="s">
        <v>1162</v>
      </c>
      <c r="E130" s="196" t="s">
        <v>1231</v>
      </c>
      <c r="F130" s="196" t="s">
        <v>2345</v>
      </c>
    </row>
    <row r="131" spans="1:7">
      <c r="A131" s="197">
        <v>130</v>
      </c>
      <c r="B131" s="196" t="s">
        <v>708</v>
      </c>
      <c r="C131" s="196" t="s">
        <v>556</v>
      </c>
      <c r="D131" s="196" t="s">
        <v>1342</v>
      </c>
      <c r="E131" s="196" t="s">
        <v>1220</v>
      </c>
      <c r="F131" s="196" t="s">
        <v>2346</v>
      </c>
    </row>
    <row r="132" spans="1:7">
      <c r="A132" s="197">
        <v>131</v>
      </c>
      <c r="B132" s="196" t="s">
        <v>549</v>
      </c>
      <c r="C132" s="196" t="s">
        <v>665</v>
      </c>
      <c r="D132" s="196" t="s">
        <v>1282</v>
      </c>
      <c r="E132" s="196" t="s">
        <v>1304</v>
      </c>
      <c r="F132" s="196" t="s">
        <v>2347</v>
      </c>
    </row>
    <row r="133" spans="1:7">
      <c r="A133" s="197">
        <v>132</v>
      </c>
      <c r="B133" s="196" t="s">
        <v>664</v>
      </c>
      <c r="C133" s="196" t="s">
        <v>605</v>
      </c>
      <c r="D133" s="196" t="s">
        <v>1271</v>
      </c>
      <c r="E133" s="196" t="s">
        <v>1325</v>
      </c>
      <c r="F133" s="196" t="s">
        <v>2348</v>
      </c>
    </row>
    <row r="134" spans="1:7">
      <c r="A134" s="197">
        <v>133</v>
      </c>
      <c r="B134" s="196" t="s">
        <v>544</v>
      </c>
      <c r="C134" s="196" t="s">
        <v>617</v>
      </c>
      <c r="D134" s="196" t="s">
        <v>1251</v>
      </c>
      <c r="E134" s="196" t="s">
        <v>1204</v>
      </c>
      <c r="F134" s="196" t="s">
        <v>2349</v>
      </c>
    </row>
    <row r="135" spans="1:7">
      <c r="A135" s="197">
        <v>134</v>
      </c>
      <c r="B135" s="196" t="s">
        <v>674</v>
      </c>
      <c r="C135" s="196" t="s">
        <v>541</v>
      </c>
      <c r="D135" s="196" t="s">
        <v>1230</v>
      </c>
      <c r="E135" s="196" t="s">
        <v>1294</v>
      </c>
      <c r="F135" s="196" t="s">
        <v>2350</v>
      </c>
    </row>
    <row r="136" spans="1:7">
      <c r="A136" s="197">
        <v>135</v>
      </c>
      <c r="B136" s="196" t="s">
        <v>545</v>
      </c>
      <c r="C136" s="196" t="s">
        <v>709</v>
      </c>
      <c r="D136" s="196" t="s">
        <v>1208</v>
      </c>
      <c r="E136" s="196" t="s">
        <v>1305</v>
      </c>
      <c r="F136" s="196" t="s">
        <v>2351</v>
      </c>
    </row>
    <row r="137" spans="1:7">
      <c r="A137" s="197">
        <v>136</v>
      </c>
      <c r="B137" s="196" t="s">
        <v>598</v>
      </c>
      <c r="C137" s="196" t="s">
        <v>667</v>
      </c>
      <c r="D137" s="196" t="s">
        <v>1303</v>
      </c>
      <c r="E137" s="196" t="s">
        <v>1218</v>
      </c>
      <c r="F137" s="196" t="s">
        <v>2352</v>
      </c>
    </row>
    <row r="138" spans="1:7">
      <c r="A138" s="197">
        <v>137</v>
      </c>
      <c r="B138" s="196" t="s">
        <v>658</v>
      </c>
      <c r="C138" s="196" t="s">
        <v>1107</v>
      </c>
      <c r="D138" s="196" t="s">
        <v>1193</v>
      </c>
      <c r="E138" s="196" t="s">
        <v>1245</v>
      </c>
      <c r="F138" s="196" t="s">
        <v>2353</v>
      </c>
    </row>
    <row r="139" spans="1:7">
      <c r="A139" s="197">
        <v>138</v>
      </c>
      <c r="B139" s="196" t="s">
        <v>1120</v>
      </c>
      <c r="C139" s="196" t="s">
        <v>715</v>
      </c>
      <c r="D139" s="196" t="s">
        <v>1427</v>
      </c>
      <c r="E139" s="196" t="s">
        <v>1235</v>
      </c>
      <c r="F139" s="196" t="s">
        <v>2354</v>
      </c>
    </row>
    <row r="140" spans="1:7">
      <c r="A140" s="197">
        <v>139</v>
      </c>
      <c r="B140" s="196" t="s">
        <v>603</v>
      </c>
      <c r="C140" s="196" t="s">
        <v>578</v>
      </c>
      <c r="D140" s="196" t="s">
        <v>1170</v>
      </c>
      <c r="E140" s="196" t="s">
        <v>1252</v>
      </c>
      <c r="F140" s="196" t="s">
        <v>2355</v>
      </c>
    </row>
    <row r="141" spans="1:7">
      <c r="A141" s="197">
        <v>140</v>
      </c>
      <c r="B141" s="196" t="s">
        <v>582</v>
      </c>
      <c r="C141" s="196" t="s">
        <v>606</v>
      </c>
      <c r="D141" s="196" t="s">
        <v>1344</v>
      </c>
      <c r="E141" s="196" t="s">
        <v>1263</v>
      </c>
      <c r="F141" s="196" t="s">
        <v>2357</v>
      </c>
    </row>
    <row r="142" spans="1:7">
      <c r="A142" s="197">
        <v>141</v>
      </c>
      <c r="B142" s="196" t="s">
        <v>676</v>
      </c>
      <c r="C142" s="196" t="s">
        <v>560</v>
      </c>
      <c r="D142" s="196" t="s">
        <v>1275</v>
      </c>
      <c r="E142" s="196" t="s">
        <v>1150</v>
      </c>
      <c r="F142" s="196" t="s">
        <v>2358</v>
      </c>
    </row>
    <row r="143" spans="1:7">
      <c r="A143" s="197">
        <v>142</v>
      </c>
      <c r="B143" s="196" t="s">
        <v>638</v>
      </c>
      <c r="C143" s="196" t="s">
        <v>681</v>
      </c>
      <c r="D143" s="196" t="s">
        <v>1200</v>
      </c>
      <c r="E143" s="196" t="s">
        <v>1233</v>
      </c>
      <c r="F143" s="196" t="s">
        <v>2359</v>
      </c>
      <c r="G143" s="196" t="s">
        <v>2527</v>
      </c>
    </row>
    <row r="144" spans="1:7">
      <c r="A144" s="197">
        <v>143</v>
      </c>
      <c r="B144" s="196" t="s">
        <v>574</v>
      </c>
      <c r="C144" s="196" t="s">
        <v>685</v>
      </c>
      <c r="D144" s="196" t="s">
        <v>1353</v>
      </c>
      <c r="E144" s="196" t="s">
        <v>1214</v>
      </c>
      <c r="F144" s="196" t="s">
        <v>2360</v>
      </c>
    </row>
    <row r="145" spans="1:7">
      <c r="A145" s="197">
        <v>144</v>
      </c>
      <c r="B145" s="196" t="s">
        <v>1126</v>
      </c>
      <c r="C145" s="196" t="s">
        <v>570</v>
      </c>
      <c r="D145" s="196" t="s">
        <v>1156</v>
      </c>
      <c r="E145" s="196" t="s">
        <v>1266</v>
      </c>
      <c r="F145" s="196" t="s">
        <v>2361</v>
      </c>
    </row>
    <row r="146" spans="1:7">
      <c r="A146" s="197">
        <v>145</v>
      </c>
      <c r="B146" s="196" t="s">
        <v>1101</v>
      </c>
      <c r="C146" s="196" t="s">
        <v>1114</v>
      </c>
      <c r="D146" s="196" t="s">
        <v>1397</v>
      </c>
      <c r="E146" s="196" t="s">
        <v>1148</v>
      </c>
      <c r="F146" s="196" t="s">
        <v>2362</v>
      </c>
    </row>
    <row r="147" spans="1:7">
      <c r="A147" s="197">
        <v>146</v>
      </c>
      <c r="B147" s="196" t="s">
        <v>673</v>
      </c>
      <c r="C147" s="196" t="s">
        <v>649</v>
      </c>
      <c r="D147" s="196" t="s">
        <v>1288</v>
      </c>
      <c r="E147" s="196" t="s">
        <v>1361</v>
      </c>
      <c r="F147" s="196" t="s">
        <v>2363</v>
      </c>
    </row>
    <row r="148" spans="1:7">
      <c r="A148" s="197">
        <v>147</v>
      </c>
      <c r="B148" s="196" t="s">
        <v>559</v>
      </c>
      <c r="C148" s="196" t="s">
        <v>568</v>
      </c>
      <c r="D148" s="196" t="s">
        <v>1172</v>
      </c>
      <c r="E148" s="196" t="s">
        <v>1372</v>
      </c>
      <c r="F148" s="196" t="s">
        <v>2364</v>
      </c>
    </row>
    <row r="149" spans="1:7">
      <c r="A149" s="197">
        <v>148</v>
      </c>
      <c r="B149" s="196" t="s">
        <v>1121</v>
      </c>
      <c r="C149" s="196" t="s">
        <v>669</v>
      </c>
      <c r="D149" s="196" t="s">
        <v>1243</v>
      </c>
      <c r="E149" s="196" t="s">
        <v>1215</v>
      </c>
      <c r="F149" s="196" t="s">
        <v>2365</v>
      </c>
    </row>
    <row r="150" spans="1:7">
      <c r="A150" s="197">
        <v>149</v>
      </c>
      <c r="B150" s="196" t="s">
        <v>608</v>
      </c>
      <c r="C150" s="196" t="s">
        <v>596</v>
      </c>
      <c r="D150" s="196" t="s">
        <v>1354</v>
      </c>
      <c r="E150" s="196" t="s">
        <v>1317</v>
      </c>
      <c r="F150" s="196" t="s">
        <v>2366</v>
      </c>
    </row>
    <row r="151" spans="1:7">
      <c r="A151" s="197">
        <v>150</v>
      </c>
      <c r="B151" s="196" t="s">
        <v>569</v>
      </c>
      <c r="C151" s="196" t="s">
        <v>1134</v>
      </c>
      <c r="D151" s="196" t="s">
        <v>1249</v>
      </c>
      <c r="E151" s="196" t="s">
        <v>1392</v>
      </c>
      <c r="F151" s="196" t="s">
        <v>2367</v>
      </c>
    </row>
    <row r="152" spans="1:7">
      <c r="A152" s="197">
        <v>151</v>
      </c>
      <c r="B152" s="196" t="s">
        <v>637</v>
      </c>
      <c r="C152" s="196" t="s">
        <v>694</v>
      </c>
      <c r="D152" s="196" t="s">
        <v>1403</v>
      </c>
      <c r="E152" s="196" t="s">
        <v>1483</v>
      </c>
      <c r="F152" s="196" t="s">
        <v>2368</v>
      </c>
    </row>
    <row r="153" spans="1:7">
      <c r="A153" s="197">
        <v>152</v>
      </c>
      <c r="B153" s="196" t="s">
        <v>562</v>
      </c>
      <c r="C153" s="196" t="s">
        <v>550</v>
      </c>
      <c r="D153" s="196" t="s">
        <v>1306</v>
      </c>
      <c r="E153" s="196" t="s">
        <v>1197</v>
      </c>
      <c r="F153" s="196" t="s">
        <v>2369</v>
      </c>
    </row>
    <row r="154" spans="1:7">
      <c r="A154" s="197">
        <v>153</v>
      </c>
      <c r="B154" s="196" t="s">
        <v>701</v>
      </c>
      <c r="C154" s="196" t="s">
        <v>662</v>
      </c>
      <c r="D154" s="196" t="s">
        <v>1165</v>
      </c>
      <c r="E154" s="196" t="s">
        <v>1250</v>
      </c>
      <c r="F154" s="196" t="s">
        <v>2371</v>
      </c>
    </row>
    <row r="155" spans="1:7">
      <c r="A155" s="197">
        <v>154</v>
      </c>
      <c r="B155" s="196" t="s">
        <v>656</v>
      </c>
      <c r="C155" s="196" t="s">
        <v>648</v>
      </c>
      <c r="D155" s="196" t="s">
        <v>1366</v>
      </c>
      <c r="E155" s="196" t="s">
        <v>1375</v>
      </c>
      <c r="F155" s="196" t="s">
        <v>2372</v>
      </c>
    </row>
    <row r="156" spans="1:7">
      <c r="A156" s="197">
        <v>155</v>
      </c>
      <c r="B156" s="196" t="s">
        <v>585</v>
      </c>
      <c r="C156" s="196" t="s">
        <v>657</v>
      </c>
      <c r="D156" s="196" t="s">
        <v>1223</v>
      </c>
      <c r="E156" s="196" t="s">
        <v>1191</v>
      </c>
      <c r="F156" s="196" t="s">
        <v>2373</v>
      </c>
    </row>
    <row r="157" spans="1:7">
      <c r="A157" s="197">
        <v>156</v>
      </c>
      <c r="B157" s="196" t="s">
        <v>677</v>
      </c>
      <c r="C157" s="196" t="s">
        <v>543</v>
      </c>
      <c r="D157" s="196" t="s">
        <v>1383</v>
      </c>
      <c r="E157" s="196" t="s">
        <v>1396</v>
      </c>
      <c r="F157" s="196" t="s">
        <v>2374</v>
      </c>
    </row>
    <row r="158" spans="1:7">
      <c r="A158" s="197">
        <v>157</v>
      </c>
      <c r="B158" s="196" t="s">
        <v>1106</v>
      </c>
      <c r="C158" s="196" t="s">
        <v>1111</v>
      </c>
      <c r="D158" s="196" t="s">
        <v>1273</v>
      </c>
      <c r="E158" s="196" t="s">
        <v>1160</v>
      </c>
      <c r="F158" s="196" t="s">
        <v>2376</v>
      </c>
    </row>
    <row r="159" spans="1:7">
      <c r="A159" s="197">
        <v>158</v>
      </c>
      <c r="B159" s="196" t="s">
        <v>571</v>
      </c>
      <c r="C159" s="196" t="s">
        <v>1125</v>
      </c>
      <c r="D159" s="196" t="s">
        <v>1166</v>
      </c>
      <c r="E159" s="196" t="s">
        <v>1474</v>
      </c>
      <c r="F159" s="196" t="s">
        <v>2377</v>
      </c>
    </row>
    <row r="160" spans="1:7">
      <c r="A160" s="197">
        <v>159</v>
      </c>
      <c r="B160" s="196" t="s">
        <v>702</v>
      </c>
      <c r="C160" s="196" t="s">
        <v>642</v>
      </c>
      <c r="D160" s="196" t="s">
        <v>1319</v>
      </c>
      <c r="E160" s="196" t="s">
        <v>1221</v>
      </c>
      <c r="F160" s="196" t="s">
        <v>2378</v>
      </c>
      <c r="G160" s="196" t="s">
        <v>2473</v>
      </c>
    </row>
    <row r="161" spans="1:7">
      <c r="A161" s="197">
        <v>160</v>
      </c>
      <c r="B161" s="196" t="s">
        <v>680</v>
      </c>
      <c r="C161" s="196" t="s">
        <v>720</v>
      </c>
      <c r="D161" s="196" t="s">
        <v>1174</v>
      </c>
      <c r="E161" s="196" t="s">
        <v>1241</v>
      </c>
      <c r="F161" s="196" t="s">
        <v>2379</v>
      </c>
    </row>
    <row r="162" spans="1:7">
      <c r="A162" s="197">
        <v>161</v>
      </c>
      <c r="B162" s="196" t="s">
        <v>888</v>
      </c>
      <c r="C162" s="196" t="s">
        <v>1017</v>
      </c>
      <c r="D162" s="196" t="s">
        <v>1699</v>
      </c>
      <c r="E162" s="196" t="s">
        <v>1798</v>
      </c>
      <c r="F162" s="196" t="s">
        <v>2381</v>
      </c>
      <c r="G162" s="196" t="s">
        <v>2526</v>
      </c>
    </row>
    <row r="163" spans="1:7">
      <c r="A163" s="197">
        <v>162</v>
      </c>
      <c r="B163" s="196" t="s">
        <v>856</v>
      </c>
      <c r="C163" s="196" t="s">
        <v>939</v>
      </c>
      <c r="D163" s="196" t="s">
        <v>1608</v>
      </c>
      <c r="E163" s="198" t="s">
        <v>1665</v>
      </c>
      <c r="F163" s="196" t="s">
        <v>2382</v>
      </c>
    </row>
    <row r="164" spans="1:7">
      <c r="A164" s="197">
        <v>163</v>
      </c>
      <c r="B164" s="196" t="s">
        <v>800</v>
      </c>
      <c r="C164" s="196" t="s">
        <v>1045</v>
      </c>
      <c r="D164" s="196" t="s">
        <v>1307</v>
      </c>
      <c r="E164" s="196" t="s">
        <v>1848</v>
      </c>
      <c r="F164" s="196" t="s">
        <v>2383</v>
      </c>
    </row>
    <row r="165" spans="1:7">
      <c r="A165" s="197">
        <v>164</v>
      </c>
      <c r="B165" s="196" t="s">
        <v>877</v>
      </c>
      <c r="C165" s="196" t="s">
        <v>824</v>
      </c>
      <c r="D165" s="196" t="s">
        <v>1660</v>
      </c>
      <c r="E165" s="196" t="s">
        <v>1364</v>
      </c>
      <c r="F165" s="196" t="s">
        <v>2384</v>
      </c>
    </row>
    <row r="166" spans="1:7">
      <c r="A166" s="197">
        <v>165</v>
      </c>
      <c r="B166" s="196" t="s">
        <v>730</v>
      </c>
      <c r="C166" s="196" t="s">
        <v>810</v>
      </c>
      <c r="D166" s="196" t="s">
        <v>1240</v>
      </c>
      <c r="E166" s="196" t="s">
        <v>1682</v>
      </c>
      <c r="F166" s="196" t="s">
        <v>2385</v>
      </c>
    </row>
    <row r="167" spans="1:7">
      <c r="A167" s="197">
        <v>166</v>
      </c>
      <c r="B167" s="196" t="s">
        <v>882</v>
      </c>
      <c r="C167" s="196" t="s">
        <v>854</v>
      </c>
      <c r="D167" s="196" t="s">
        <v>1763</v>
      </c>
      <c r="E167" s="196" t="s">
        <v>1716</v>
      </c>
      <c r="F167" s="196" t="s">
        <v>2386</v>
      </c>
    </row>
    <row r="168" spans="1:7">
      <c r="A168" s="197">
        <v>167</v>
      </c>
      <c r="B168" s="196" t="s">
        <v>926</v>
      </c>
      <c r="C168" s="196" t="s">
        <v>886</v>
      </c>
      <c r="D168" s="196" t="s">
        <v>1607</v>
      </c>
      <c r="E168" s="196" t="s">
        <v>1621</v>
      </c>
      <c r="F168" s="196" t="s">
        <v>2388</v>
      </c>
    </row>
    <row r="169" spans="1:7">
      <c r="A169" s="197">
        <v>168</v>
      </c>
      <c r="B169" s="196" t="s">
        <v>819</v>
      </c>
      <c r="C169" s="196" t="s">
        <v>607</v>
      </c>
      <c r="D169" s="196" t="s">
        <v>1370</v>
      </c>
      <c r="E169" s="196" t="s">
        <v>1589</v>
      </c>
      <c r="F169" s="196" t="s">
        <v>2389</v>
      </c>
    </row>
    <row r="170" spans="1:7">
      <c r="A170" s="197">
        <v>169</v>
      </c>
      <c r="B170" s="196" t="s">
        <v>738</v>
      </c>
      <c r="C170" s="196" t="s">
        <v>688</v>
      </c>
      <c r="D170" s="196" t="s">
        <v>1554</v>
      </c>
      <c r="E170" s="196" t="s">
        <v>1625</v>
      </c>
      <c r="F170" s="196" t="s">
        <v>2390</v>
      </c>
    </row>
    <row r="171" spans="1:7">
      <c r="A171" s="197">
        <v>170</v>
      </c>
      <c r="B171" s="196" t="s">
        <v>558</v>
      </c>
      <c r="C171" s="196" t="s">
        <v>811</v>
      </c>
      <c r="D171" s="196" t="s">
        <v>1376</v>
      </c>
      <c r="E171" s="196" t="s">
        <v>1617</v>
      </c>
      <c r="F171" s="196" t="s">
        <v>2391</v>
      </c>
    </row>
    <row r="172" spans="1:7">
      <c r="A172" s="197">
        <v>171</v>
      </c>
      <c r="B172" s="196" t="s">
        <v>690</v>
      </c>
      <c r="C172" s="196" t="s">
        <v>583</v>
      </c>
      <c r="D172" s="196" t="s">
        <v>1546</v>
      </c>
      <c r="E172" s="196" t="s">
        <v>1394</v>
      </c>
      <c r="F172" s="196" t="s">
        <v>2392</v>
      </c>
    </row>
    <row r="173" spans="1:7">
      <c r="A173" s="197">
        <v>172</v>
      </c>
      <c r="B173" s="196" t="s">
        <v>788</v>
      </c>
      <c r="C173" s="196" t="s">
        <v>984</v>
      </c>
      <c r="D173" s="196" t="s">
        <v>1611</v>
      </c>
      <c r="E173" s="196" t="s">
        <v>1769</v>
      </c>
      <c r="F173" s="196" t="s">
        <v>2393</v>
      </c>
    </row>
    <row r="174" spans="1:7">
      <c r="A174" s="197">
        <v>173</v>
      </c>
      <c r="B174" s="196" t="s">
        <v>1036</v>
      </c>
      <c r="C174" s="196" t="s">
        <v>1084</v>
      </c>
      <c r="D174" s="196" t="s">
        <v>1185</v>
      </c>
      <c r="E174" s="196" t="s">
        <v>1834</v>
      </c>
      <c r="F174" s="196" t="s">
        <v>2394</v>
      </c>
    </row>
    <row r="175" spans="1:7">
      <c r="A175" s="197">
        <v>174</v>
      </c>
      <c r="B175" s="196" t="s">
        <v>757</v>
      </c>
      <c r="C175" s="196" t="s">
        <v>834</v>
      </c>
      <c r="D175" s="196" t="s">
        <v>1314</v>
      </c>
      <c r="E175" s="196" t="s">
        <v>1395</v>
      </c>
      <c r="F175" s="196" t="s">
        <v>2395</v>
      </c>
    </row>
    <row r="176" spans="1:7">
      <c r="A176" s="197">
        <v>175</v>
      </c>
      <c r="B176" s="196" t="s">
        <v>660</v>
      </c>
      <c r="C176" s="196" t="s">
        <v>683</v>
      </c>
      <c r="D176" s="196" t="s">
        <v>1258</v>
      </c>
      <c r="E176" s="196" t="s">
        <v>1593</v>
      </c>
      <c r="F176" s="196" t="s">
        <v>2396</v>
      </c>
    </row>
    <row r="177" spans="1:6">
      <c r="A177" s="197">
        <v>176</v>
      </c>
      <c r="B177" s="196" t="s">
        <v>651</v>
      </c>
      <c r="C177" s="196" t="s">
        <v>815</v>
      </c>
      <c r="D177" s="196" t="s">
        <v>1580</v>
      </c>
      <c r="E177" s="196" t="s">
        <v>1596</v>
      </c>
      <c r="F177" s="196" t="s">
        <v>2397</v>
      </c>
    </row>
    <row r="178" spans="1:6">
      <c r="A178" s="197">
        <v>177</v>
      </c>
      <c r="B178" s="196" t="s">
        <v>671</v>
      </c>
      <c r="C178" s="196" t="s">
        <v>879</v>
      </c>
      <c r="D178" s="196" t="s">
        <v>1567</v>
      </c>
      <c r="E178" s="196" t="s">
        <v>1688</v>
      </c>
      <c r="F178" s="196" t="s">
        <v>2398</v>
      </c>
    </row>
    <row r="179" spans="1:6">
      <c r="A179" s="197">
        <v>178</v>
      </c>
      <c r="B179" s="196" t="s">
        <v>653</v>
      </c>
      <c r="C179" s="196" t="s">
        <v>832</v>
      </c>
      <c r="D179" s="196" t="s">
        <v>1157</v>
      </c>
      <c r="E179" s="196" t="s">
        <v>1269</v>
      </c>
      <c r="F179" s="196" t="s">
        <v>2399</v>
      </c>
    </row>
    <row r="180" spans="1:6">
      <c r="A180" s="197">
        <v>179</v>
      </c>
      <c r="B180" s="196" t="s">
        <v>868</v>
      </c>
      <c r="C180" s="196" t="s">
        <v>1109</v>
      </c>
      <c r="D180" s="196" t="s">
        <v>1224</v>
      </c>
      <c r="E180" s="196" t="s">
        <v>1599</v>
      </c>
      <c r="F180" s="196" t="s">
        <v>2400</v>
      </c>
    </row>
    <row r="181" spans="1:6">
      <c r="A181" s="197">
        <v>180</v>
      </c>
      <c r="B181" s="196" t="s">
        <v>840</v>
      </c>
      <c r="C181" s="196" t="s">
        <v>873</v>
      </c>
      <c r="D181" s="196" t="s">
        <v>1267</v>
      </c>
      <c r="E181" s="196" t="s">
        <v>1690</v>
      </c>
      <c r="F181" s="196" t="s">
        <v>2401</v>
      </c>
    </row>
    <row r="182" spans="1:6">
      <c r="A182" s="197">
        <v>181</v>
      </c>
      <c r="B182" s="196" t="s">
        <v>850</v>
      </c>
      <c r="C182" s="196" t="s">
        <v>554</v>
      </c>
      <c r="D182" s="196" t="s">
        <v>1499</v>
      </c>
      <c r="E182" s="196" t="s">
        <v>1592</v>
      </c>
      <c r="F182" s="196" t="s">
        <v>2402</v>
      </c>
    </row>
    <row r="183" spans="1:6">
      <c r="A183" s="197">
        <v>182</v>
      </c>
      <c r="B183" s="196" t="s">
        <v>604</v>
      </c>
      <c r="C183" s="196" t="s">
        <v>697</v>
      </c>
      <c r="D183" s="196" t="s">
        <v>1232</v>
      </c>
      <c r="E183" s="196" t="s">
        <v>1647</v>
      </c>
      <c r="F183" s="196" t="s">
        <v>2403</v>
      </c>
    </row>
    <row r="184" spans="1:6">
      <c r="A184" s="197">
        <v>183</v>
      </c>
      <c r="B184" s="196" t="s">
        <v>851</v>
      </c>
      <c r="C184" s="196" t="s">
        <v>573</v>
      </c>
      <c r="D184" s="196" t="s">
        <v>1154</v>
      </c>
      <c r="E184" s="196" t="s">
        <v>1465</v>
      </c>
      <c r="F184" s="196" t="s">
        <v>2404</v>
      </c>
    </row>
    <row r="185" spans="1:6">
      <c r="A185" s="197">
        <v>184</v>
      </c>
      <c r="B185" s="196" t="s">
        <v>586</v>
      </c>
      <c r="C185" s="196" t="s">
        <v>600</v>
      </c>
      <c r="D185" s="196" t="s">
        <v>1713</v>
      </c>
      <c r="E185" s="196" t="s">
        <v>1381</v>
      </c>
      <c r="F185" s="196" t="s">
        <v>2405</v>
      </c>
    </row>
    <row r="186" spans="1:6">
      <c r="A186" s="197">
        <v>185</v>
      </c>
      <c r="B186" s="196" t="s">
        <v>602</v>
      </c>
      <c r="C186" s="196" t="s">
        <v>1090</v>
      </c>
      <c r="D186" s="196" t="s">
        <v>1486</v>
      </c>
      <c r="E186" s="196" t="s">
        <v>1627</v>
      </c>
      <c r="F186" s="196" t="s">
        <v>2407</v>
      </c>
    </row>
    <row r="187" spans="1:6">
      <c r="A187" s="197">
        <v>186</v>
      </c>
      <c r="B187" s="113" t="s">
        <v>961</v>
      </c>
      <c r="C187" s="196" t="s">
        <v>584</v>
      </c>
      <c r="D187" s="196" t="s">
        <v>1442</v>
      </c>
      <c r="E187" s="196" t="s">
        <v>1506</v>
      </c>
      <c r="F187" s="196" t="s">
        <v>2408</v>
      </c>
    </row>
    <row r="188" spans="1:6">
      <c r="A188" s="197">
        <v>187</v>
      </c>
      <c r="B188" s="196" t="s">
        <v>561</v>
      </c>
      <c r="C188" s="196" t="s">
        <v>714</v>
      </c>
      <c r="D188" s="196" t="s">
        <v>1685</v>
      </c>
      <c r="E188" s="196" t="s">
        <v>1430</v>
      </c>
      <c r="F188" s="196" t="s">
        <v>2409</v>
      </c>
    </row>
    <row r="189" spans="1:6">
      <c r="A189" s="197">
        <v>188</v>
      </c>
      <c r="B189" s="196" t="s">
        <v>919</v>
      </c>
      <c r="C189" s="196" t="s">
        <v>918</v>
      </c>
      <c r="D189" s="196" t="s">
        <v>1675</v>
      </c>
      <c r="E189" s="196" t="s">
        <v>1630</v>
      </c>
      <c r="F189" s="196" t="s">
        <v>2410</v>
      </c>
    </row>
    <row r="190" spans="1:6">
      <c r="A190" s="197">
        <v>189</v>
      </c>
      <c r="B190" s="196" t="s">
        <v>925</v>
      </c>
      <c r="C190" s="196" t="s">
        <v>787</v>
      </c>
      <c r="D190" s="196" t="s">
        <v>1513</v>
      </c>
      <c r="E190" s="196" t="s">
        <v>1683</v>
      </c>
      <c r="F190" s="196" t="s">
        <v>2412</v>
      </c>
    </row>
    <row r="191" spans="1:6">
      <c r="A191" s="197">
        <v>190</v>
      </c>
      <c r="B191" s="196" t="s">
        <v>909</v>
      </c>
      <c r="C191" s="196" t="s">
        <v>977</v>
      </c>
      <c r="D191" s="196" t="s">
        <v>1657</v>
      </c>
      <c r="E191" s="196" t="s">
        <v>1524</v>
      </c>
      <c r="F191" s="196" t="s">
        <v>2413</v>
      </c>
    </row>
    <row r="192" spans="1:6">
      <c r="A192" s="197">
        <v>191</v>
      </c>
      <c r="B192" s="196" t="s">
        <v>754</v>
      </c>
      <c r="C192" s="196" t="s">
        <v>805</v>
      </c>
      <c r="D192" s="196" t="s">
        <v>1633</v>
      </c>
      <c r="E192" s="196" t="s">
        <v>1528</v>
      </c>
      <c r="F192" s="196" t="s">
        <v>2414</v>
      </c>
    </row>
    <row r="193" spans="1:6">
      <c r="A193" s="197">
        <v>192</v>
      </c>
      <c r="B193" s="196" t="s">
        <v>795</v>
      </c>
      <c r="C193" s="196" t="s">
        <v>878</v>
      </c>
      <c r="D193" s="196" t="s">
        <v>1753</v>
      </c>
      <c r="E193" s="196" t="s">
        <v>1459</v>
      </c>
      <c r="F193" s="196" t="s">
        <v>2415</v>
      </c>
    </row>
    <row r="194" spans="1:6">
      <c r="A194" s="197">
        <v>193</v>
      </c>
      <c r="B194" s="196" t="s">
        <v>777</v>
      </c>
      <c r="C194" s="196" t="s">
        <v>1016</v>
      </c>
      <c r="D194" s="196" t="s">
        <v>1466</v>
      </c>
      <c r="E194" s="196" t="s">
        <v>1187</v>
      </c>
      <c r="F194" s="196" t="s">
        <v>2440</v>
      </c>
    </row>
    <row r="195" spans="1:6">
      <c r="A195" s="197">
        <v>194</v>
      </c>
      <c r="B195" s="196" t="s">
        <v>974</v>
      </c>
      <c r="C195" s="196" t="s">
        <v>852</v>
      </c>
      <c r="D195" s="196" t="s">
        <v>1337</v>
      </c>
      <c r="E195" s="196" t="s">
        <v>1435</v>
      </c>
      <c r="F195" s="196" t="s">
        <v>2433</v>
      </c>
    </row>
    <row r="196" spans="1:6">
      <c r="A196" s="197">
        <v>195</v>
      </c>
      <c r="B196" s="196" t="s">
        <v>1116</v>
      </c>
      <c r="C196" s="196" t="s">
        <v>763</v>
      </c>
      <c r="D196" s="196" t="s">
        <v>1525</v>
      </c>
      <c r="E196" s="196" t="s">
        <v>1229</v>
      </c>
      <c r="F196" s="196" t="s">
        <v>2425</v>
      </c>
    </row>
    <row r="197" spans="1:6">
      <c r="A197" s="197">
        <v>196</v>
      </c>
      <c r="B197" s="196" t="s">
        <v>779</v>
      </c>
      <c r="C197" s="196" t="s">
        <v>766</v>
      </c>
      <c r="D197" s="196" t="s">
        <v>1164</v>
      </c>
      <c r="E197" s="196" t="s">
        <v>1296</v>
      </c>
      <c r="F197" s="196" t="s">
        <v>2416</v>
      </c>
    </row>
    <row r="198" spans="1:6">
      <c r="A198" s="197">
        <v>197</v>
      </c>
      <c r="B198" s="196" t="s">
        <v>771</v>
      </c>
      <c r="C198" s="196" t="s">
        <v>922</v>
      </c>
      <c r="D198" s="196" t="s">
        <v>1662</v>
      </c>
      <c r="E198" s="196" t="s">
        <v>1335</v>
      </c>
      <c r="F198" s="196" t="s">
        <v>2426</v>
      </c>
    </row>
    <row r="199" spans="1:6">
      <c r="A199" s="197">
        <v>198</v>
      </c>
      <c r="B199" s="196" t="s">
        <v>973</v>
      </c>
      <c r="C199" s="196" t="s">
        <v>678</v>
      </c>
      <c r="D199" s="196" t="s">
        <v>1588</v>
      </c>
      <c r="E199" s="196" t="s">
        <v>1265</v>
      </c>
      <c r="F199" s="196" t="s">
        <v>2434</v>
      </c>
    </row>
    <row r="200" spans="1:6">
      <c r="A200" s="197">
        <v>199</v>
      </c>
      <c r="B200" s="196" t="s">
        <v>872</v>
      </c>
      <c r="C200" s="196" t="s">
        <v>802</v>
      </c>
      <c r="D200" s="196" t="s">
        <v>1338</v>
      </c>
      <c r="E200" s="196" t="s">
        <v>1173</v>
      </c>
      <c r="F200" s="196" t="s">
        <v>2418</v>
      </c>
    </row>
    <row r="201" spans="1:6">
      <c r="A201" s="197">
        <v>200</v>
      </c>
      <c r="B201" s="196" t="s">
        <v>782</v>
      </c>
      <c r="C201" s="196" t="s">
        <v>838</v>
      </c>
      <c r="D201" s="196" t="s">
        <v>1341</v>
      </c>
      <c r="E201" s="196" t="s">
        <v>1234</v>
      </c>
      <c r="F201" s="196" t="s">
        <v>2441</v>
      </c>
    </row>
    <row r="202" spans="1:6">
      <c r="A202" s="197">
        <v>201</v>
      </c>
      <c r="B202" s="196" t="s">
        <v>746</v>
      </c>
      <c r="C202" s="196" t="s">
        <v>923</v>
      </c>
      <c r="D202" s="196" t="s">
        <v>1343</v>
      </c>
      <c r="E202" s="196" t="s">
        <v>1239</v>
      </c>
      <c r="F202" s="196" t="s">
        <v>2442</v>
      </c>
    </row>
    <row r="203" spans="1:6">
      <c r="A203" s="197">
        <v>202</v>
      </c>
      <c r="B203" s="196" t="s">
        <v>959</v>
      </c>
      <c r="C203" s="196" t="s">
        <v>1006</v>
      </c>
      <c r="D203" s="196" t="s">
        <v>1280</v>
      </c>
      <c r="E203" s="196" t="s">
        <v>1277</v>
      </c>
      <c r="F203" s="196" t="s">
        <v>2419</v>
      </c>
    </row>
    <row r="204" spans="1:6">
      <c r="A204" s="197">
        <v>203</v>
      </c>
      <c r="B204" s="196" t="s">
        <v>799</v>
      </c>
      <c r="C204" s="196" t="s">
        <v>769</v>
      </c>
      <c r="D204" s="196" t="s">
        <v>1297</v>
      </c>
      <c r="E204" s="196" t="s">
        <v>1405</v>
      </c>
      <c r="F204" s="196" t="s">
        <v>2428</v>
      </c>
    </row>
    <row r="205" spans="1:6">
      <c r="A205" s="197">
        <v>204</v>
      </c>
      <c r="B205" s="196" t="s">
        <v>1002</v>
      </c>
      <c r="C205" s="196" t="s">
        <v>807</v>
      </c>
      <c r="D205" s="196" t="s">
        <v>1410</v>
      </c>
      <c r="E205" s="196" t="s">
        <v>1236</v>
      </c>
      <c r="F205" s="196" t="s">
        <v>2435</v>
      </c>
    </row>
    <row r="206" spans="1:6">
      <c r="A206" s="197">
        <v>205</v>
      </c>
      <c r="B206" s="196" t="s">
        <v>1049</v>
      </c>
      <c r="C206" s="196" t="s">
        <v>876</v>
      </c>
      <c r="D206" s="196" t="s">
        <v>1382</v>
      </c>
      <c r="E206" s="196" t="s">
        <v>1429</v>
      </c>
      <c r="F206" s="196" t="s">
        <v>2429</v>
      </c>
    </row>
    <row r="207" spans="1:6">
      <c r="A207" s="197">
        <v>206</v>
      </c>
      <c r="B207" s="196" t="s">
        <v>813</v>
      </c>
      <c r="C207" s="196" t="s">
        <v>907</v>
      </c>
      <c r="D207" s="196" t="s">
        <v>1159</v>
      </c>
      <c r="E207" s="196" t="s">
        <v>1373</v>
      </c>
      <c r="F207" s="196" t="s">
        <v>2420</v>
      </c>
    </row>
    <row r="208" spans="1:6">
      <c r="A208" s="197">
        <v>207</v>
      </c>
      <c r="B208" s="196" t="s">
        <v>992</v>
      </c>
      <c r="C208" s="196" t="s">
        <v>883</v>
      </c>
      <c r="D208" s="196" t="s">
        <v>1510</v>
      </c>
      <c r="E208" s="196" t="s">
        <v>1476</v>
      </c>
      <c r="F208" s="196" t="s">
        <v>2443</v>
      </c>
    </row>
    <row r="209" spans="1:6">
      <c r="A209" s="197">
        <v>208</v>
      </c>
      <c r="B209" s="196" t="s">
        <v>692</v>
      </c>
      <c r="C209" s="196" t="s">
        <v>797</v>
      </c>
      <c r="D209" s="196" t="s">
        <v>1542</v>
      </c>
      <c r="E209" s="196" t="s">
        <v>1340</v>
      </c>
      <c r="F209" s="196" t="s">
        <v>2436</v>
      </c>
    </row>
    <row r="210" spans="1:6">
      <c r="A210" s="197">
        <v>209</v>
      </c>
      <c r="B210" s="196" t="s">
        <v>999</v>
      </c>
      <c r="C210" s="196" t="s">
        <v>870</v>
      </c>
      <c r="D210" s="196" t="s">
        <v>1413</v>
      </c>
      <c r="E210" s="196" t="s">
        <v>1446</v>
      </c>
      <c r="F210" s="196" t="s">
        <v>2430</v>
      </c>
    </row>
    <row r="211" spans="1:6">
      <c r="A211" s="197">
        <v>210</v>
      </c>
      <c r="B211" s="196" t="s">
        <v>749</v>
      </c>
      <c r="C211" s="196" t="s">
        <v>801</v>
      </c>
      <c r="D211" s="196" t="s">
        <v>1330</v>
      </c>
      <c r="E211" s="196" t="s">
        <v>1179</v>
      </c>
      <c r="F211" s="196" t="s">
        <v>2444</v>
      </c>
    </row>
    <row r="212" spans="1:6">
      <c r="A212" s="197">
        <v>211</v>
      </c>
      <c r="B212" s="196" t="s">
        <v>552</v>
      </c>
      <c r="C212" s="196" t="s">
        <v>760</v>
      </c>
      <c r="D212" s="196" t="s">
        <v>1254</v>
      </c>
      <c r="E212" s="196" t="s">
        <v>1228</v>
      </c>
      <c r="F212" s="196" t="s">
        <v>2421</v>
      </c>
    </row>
    <row r="213" spans="1:6">
      <c r="A213" s="197">
        <v>212</v>
      </c>
      <c r="B213" s="196" t="s">
        <v>1011</v>
      </c>
      <c r="C213" s="196" t="s">
        <v>1048</v>
      </c>
      <c r="D213" s="196" t="s">
        <v>1490</v>
      </c>
      <c r="E213" s="196" t="s">
        <v>1264</v>
      </c>
      <c r="F213" s="196" t="s">
        <v>2437</v>
      </c>
    </row>
    <row r="214" spans="1:6">
      <c r="A214" s="197">
        <v>213</v>
      </c>
      <c r="B214" s="196" t="s">
        <v>1030</v>
      </c>
      <c r="C214" s="196" t="s">
        <v>1053</v>
      </c>
      <c r="D214" s="196" t="s">
        <v>1334</v>
      </c>
      <c r="E214" s="196" t="s">
        <v>1478</v>
      </c>
      <c r="F214" s="196" t="s">
        <v>2445</v>
      </c>
    </row>
    <row r="215" spans="1:6">
      <c r="A215" s="197">
        <v>214</v>
      </c>
      <c r="B215" s="196" t="s">
        <v>729</v>
      </c>
      <c r="C215" s="196" t="s">
        <v>758</v>
      </c>
      <c r="D215" s="196" t="s">
        <v>1469</v>
      </c>
      <c r="E215" s="196" t="s">
        <v>1289</v>
      </c>
      <c r="F215" s="196" t="s">
        <v>2438</v>
      </c>
    </row>
    <row r="216" spans="1:6">
      <c r="A216" s="197">
        <v>215</v>
      </c>
      <c r="B216" s="196" t="s">
        <v>707</v>
      </c>
      <c r="C216" s="196" t="s">
        <v>996</v>
      </c>
      <c r="D216" s="196" t="s">
        <v>1332</v>
      </c>
      <c r="E216" s="196" t="s">
        <v>1192</v>
      </c>
      <c r="F216" s="196" t="s">
        <v>2422</v>
      </c>
    </row>
    <row r="217" spans="1:6">
      <c r="A217" s="197">
        <v>216</v>
      </c>
      <c r="B217" s="196" t="s">
        <v>684</v>
      </c>
      <c r="C217" s="196" t="s">
        <v>900</v>
      </c>
      <c r="D217" s="196" t="s">
        <v>1437</v>
      </c>
      <c r="E217" s="196" t="s">
        <v>1295</v>
      </c>
      <c r="F217" s="196" t="s">
        <v>2431</v>
      </c>
    </row>
    <row r="218" spans="1:6">
      <c r="A218" s="197">
        <v>217</v>
      </c>
      <c r="B218" s="196" t="s">
        <v>731</v>
      </c>
      <c r="C218" s="196" t="s">
        <v>839</v>
      </c>
      <c r="D218" s="196" t="s">
        <v>1246</v>
      </c>
      <c r="E218" s="196" t="s">
        <v>1255</v>
      </c>
      <c r="F218" s="196" t="s">
        <v>2424</v>
      </c>
    </row>
    <row r="219" spans="1:6">
      <c r="A219" s="197">
        <v>218</v>
      </c>
      <c r="B219" s="196" t="s">
        <v>1038</v>
      </c>
      <c r="C219" s="196" t="s">
        <v>699</v>
      </c>
      <c r="D219" s="196" t="s">
        <v>1463</v>
      </c>
      <c r="E219" s="196" t="s">
        <v>1799</v>
      </c>
      <c r="F219" s="196" t="s">
        <v>2432</v>
      </c>
    </row>
    <row r="220" spans="1:6">
      <c r="A220" s="197">
        <v>219</v>
      </c>
      <c r="B220" s="196" t="s">
        <v>785</v>
      </c>
      <c r="C220" s="196" t="s">
        <v>965</v>
      </c>
      <c r="D220" s="196" t="s">
        <v>1559</v>
      </c>
      <c r="E220" s="196" t="s">
        <v>1323</v>
      </c>
      <c r="F220" s="196" t="s">
        <v>2439</v>
      </c>
    </row>
    <row r="221" spans="1:6">
      <c r="A221" s="197">
        <v>220</v>
      </c>
      <c r="B221" s="196" t="s">
        <v>822</v>
      </c>
      <c r="C221" s="196" t="s">
        <v>891</v>
      </c>
      <c r="D221" s="196" t="s">
        <v>1201</v>
      </c>
      <c r="E221" s="196" t="s">
        <v>1268</v>
      </c>
      <c r="F221" s="196" t="s">
        <v>2446</v>
      </c>
    </row>
  </sheetData>
  <pageMargins left="0.7" right="0.7" top="0.75" bottom="0.75" header="0.3" footer="0.3"/>
  <legacyDrawing r:id="rId1"/>
  <tableParts count="1">
    <tablePart r:id="rId2"/>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917528-F0D1-4C74-BBE1-77BF50B191FB}">
  <dimension ref="A1:P14"/>
  <sheetViews>
    <sheetView zoomScale="115" zoomScaleNormal="115" workbookViewId="0">
      <selection activeCell="K15" sqref="K15"/>
    </sheetView>
  </sheetViews>
  <sheetFormatPr baseColWidth="10" defaultRowHeight="14.4"/>
  <sheetData>
    <row r="1" spans="1:16" ht="100.8">
      <c r="A1" s="210" t="s">
        <v>2593</v>
      </c>
      <c r="B1" s="165" t="s">
        <v>2471</v>
      </c>
      <c r="C1" s="210" t="s">
        <v>2594</v>
      </c>
      <c r="D1" s="210" t="s">
        <v>2573</v>
      </c>
      <c r="E1" s="210" t="s">
        <v>2592</v>
      </c>
      <c r="F1" s="210" t="s">
        <v>2591</v>
      </c>
      <c r="G1" s="210" t="s">
        <v>2590</v>
      </c>
      <c r="H1" s="210" t="s">
        <v>2589</v>
      </c>
      <c r="I1" s="209" t="s">
        <v>2628</v>
      </c>
      <c r="J1" s="209" t="s">
        <v>2629</v>
      </c>
      <c r="K1" s="209" t="s">
        <v>2630</v>
      </c>
      <c r="L1" s="209" t="s">
        <v>2588</v>
      </c>
      <c r="M1" s="209" t="s">
        <v>2587</v>
      </c>
      <c r="N1" s="209" t="s">
        <v>2586</v>
      </c>
      <c r="O1" s="209" t="s">
        <v>2585</v>
      </c>
      <c r="P1" s="209" t="s">
        <v>2143</v>
      </c>
    </row>
    <row r="2" spans="1:16">
      <c r="A2" s="200" t="s">
        <v>2468</v>
      </c>
      <c r="C2" s="200" t="s">
        <v>2517</v>
      </c>
      <c r="D2" s="200">
        <v>1.7141999999999999</v>
      </c>
      <c r="E2" s="201">
        <v>10.565200000000001</v>
      </c>
      <c r="F2" s="201">
        <v>0.20119999999999999</v>
      </c>
      <c r="G2" s="200">
        <f t="shared" ref="G2:G8" si="0">E2+F2</f>
        <v>10.766400000000001</v>
      </c>
      <c r="H2" s="200">
        <v>10.575100000000001</v>
      </c>
      <c r="I2" s="200">
        <f t="shared" ref="I2:I8" si="1">(G2-H2)</f>
        <v>0.19130000000000003</v>
      </c>
      <c r="J2" s="200">
        <f t="shared" ref="J2:J14" si="2">F2-I2</f>
        <v>9.8999999999999644E-3</v>
      </c>
      <c r="K2" s="270">
        <f t="shared" ref="K2:K14" si="3">(J2/F2)*100</f>
        <v>4.9204771371769205</v>
      </c>
      <c r="L2" s="200">
        <v>1</v>
      </c>
      <c r="M2" s="202">
        <v>43178.395833333336</v>
      </c>
      <c r="N2" s="202">
        <v>43178.5625</v>
      </c>
      <c r="O2" s="196" t="s">
        <v>2534</v>
      </c>
      <c r="P2" s="200" t="s">
        <v>2535</v>
      </c>
    </row>
    <row r="3" spans="1:16">
      <c r="A3" s="200" t="s">
        <v>1969</v>
      </c>
      <c r="C3" s="200" t="s">
        <v>2517</v>
      </c>
      <c r="D3" s="201">
        <v>1.7512000000000001</v>
      </c>
      <c r="E3" s="201">
        <v>9.6748999999999992</v>
      </c>
      <c r="F3" s="201">
        <v>0.20449999999999999</v>
      </c>
      <c r="G3" s="200">
        <f t="shared" si="0"/>
        <v>9.8793999999999986</v>
      </c>
      <c r="H3" s="200">
        <v>9.6892999999999994</v>
      </c>
      <c r="I3" s="200">
        <f t="shared" si="1"/>
        <v>0.19009999999999927</v>
      </c>
      <c r="J3" s="200">
        <f t="shared" si="2"/>
        <v>1.4400000000000718E-2</v>
      </c>
      <c r="K3" s="270">
        <f t="shared" si="3"/>
        <v>7.0415647921763895</v>
      </c>
      <c r="L3" s="200">
        <v>6</v>
      </c>
      <c r="M3" s="202">
        <v>43178.395833333336</v>
      </c>
      <c r="N3" s="202">
        <v>43178.5625</v>
      </c>
      <c r="O3" s="196" t="s">
        <v>2534</v>
      </c>
      <c r="P3" s="200"/>
    </row>
    <row r="4" spans="1:16">
      <c r="A4" s="200" t="s">
        <v>2470</v>
      </c>
      <c r="C4" s="200" t="s">
        <v>2517</v>
      </c>
      <c r="D4" s="201">
        <v>1.8006</v>
      </c>
      <c r="E4" s="201">
        <v>9.1958000000000002</v>
      </c>
      <c r="F4" s="201">
        <v>0.20749999999999999</v>
      </c>
      <c r="G4" s="200">
        <f t="shared" si="0"/>
        <v>9.4032999999999998</v>
      </c>
      <c r="H4" s="200">
        <v>9.2073</v>
      </c>
      <c r="I4" s="200">
        <f t="shared" si="1"/>
        <v>0.19599999999999973</v>
      </c>
      <c r="J4" s="200">
        <f t="shared" si="2"/>
        <v>1.150000000000026E-2</v>
      </c>
      <c r="K4" s="270">
        <f t="shared" si="3"/>
        <v>5.5421686746989201</v>
      </c>
      <c r="L4" s="200">
        <v>7</v>
      </c>
      <c r="M4" s="202">
        <v>43178.395833333336</v>
      </c>
      <c r="N4" s="202">
        <v>43178.5625</v>
      </c>
      <c r="O4" s="196" t="s">
        <v>2534</v>
      </c>
      <c r="P4" s="200"/>
    </row>
    <row r="5" spans="1:16">
      <c r="A5" s="200" t="s">
        <v>1938</v>
      </c>
      <c r="C5" s="200" t="s">
        <v>2517</v>
      </c>
      <c r="D5" s="200">
        <v>1.7291000000000001</v>
      </c>
      <c r="E5" s="201">
        <v>7.0926999999999998</v>
      </c>
      <c r="F5" s="201">
        <v>0.20349999999999999</v>
      </c>
      <c r="G5" s="200">
        <f t="shared" si="0"/>
        <v>7.2961999999999998</v>
      </c>
      <c r="H5" s="200">
        <v>7.1036000000000001</v>
      </c>
      <c r="I5" s="200">
        <f t="shared" si="1"/>
        <v>0.19259999999999966</v>
      </c>
      <c r="J5" s="200">
        <f t="shared" si="2"/>
        <v>1.0900000000000326E-2</v>
      </c>
      <c r="K5" s="270">
        <f t="shared" si="3"/>
        <v>5.3562653562655171</v>
      </c>
      <c r="L5" s="200">
        <v>8</v>
      </c>
      <c r="M5" s="202">
        <v>43178.395833333336</v>
      </c>
      <c r="N5" s="202">
        <v>43178.5625</v>
      </c>
      <c r="O5" s="196" t="s">
        <v>2534</v>
      </c>
      <c r="P5" s="200"/>
    </row>
    <row r="6" spans="1:16">
      <c r="A6" s="200" t="s">
        <v>1977</v>
      </c>
      <c r="C6" s="200" t="s">
        <v>2517</v>
      </c>
      <c r="D6" s="200">
        <v>1.7074</v>
      </c>
      <c r="E6" s="201">
        <v>8.0459999999999994</v>
      </c>
      <c r="F6" s="201">
        <v>0.20069999999999999</v>
      </c>
      <c r="G6" s="200">
        <f t="shared" si="0"/>
        <v>8.2466999999999988</v>
      </c>
      <c r="H6" s="200">
        <v>8.0563000000000002</v>
      </c>
      <c r="I6" s="200">
        <f t="shared" si="1"/>
        <v>0.19039999999999857</v>
      </c>
      <c r="J6" s="200">
        <f t="shared" si="2"/>
        <v>1.0300000000001419E-2</v>
      </c>
      <c r="K6" s="270">
        <f t="shared" si="3"/>
        <v>5.1320378674645841</v>
      </c>
      <c r="L6" s="200">
        <v>9</v>
      </c>
      <c r="M6" s="202">
        <v>43178.395833333336</v>
      </c>
      <c r="N6" s="202">
        <v>43178.5625</v>
      </c>
      <c r="O6" s="196" t="s">
        <v>2534</v>
      </c>
      <c r="P6" s="200"/>
    </row>
    <row r="7" spans="1:16">
      <c r="A7" s="196" t="s">
        <v>2518</v>
      </c>
      <c r="C7" s="200" t="s">
        <v>2517</v>
      </c>
      <c r="D7" s="196">
        <v>1.7144999999999999</v>
      </c>
      <c r="E7" s="196">
        <v>9.1545000000000005</v>
      </c>
      <c r="F7" s="196">
        <v>0.20910000000000001</v>
      </c>
      <c r="G7" s="200">
        <f t="shared" si="0"/>
        <v>9.3635999999999999</v>
      </c>
      <c r="H7" s="200">
        <v>9.1666000000000007</v>
      </c>
      <c r="I7" s="200">
        <f t="shared" si="1"/>
        <v>0.19699999999999918</v>
      </c>
      <c r="J7" s="200">
        <f t="shared" si="2"/>
        <v>1.2100000000000832E-2</v>
      </c>
      <c r="K7" s="270">
        <f t="shared" si="3"/>
        <v>5.7867049258731855</v>
      </c>
      <c r="L7" s="200">
        <v>22</v>
      </c>
      <c r="M7" s="196"/>
      <c r="N7" s="196"/>
      <c r="O7" s="196"/>
      <c r="P7" s="196" t="s">
        <v>2533</v>
      </c>
    </row>
    <row r="8" spans="1:16">
      <c r="A8" s="196" t="s">
        <v>2519</v>
      </c>
      <c r="C8" s="196" t="s">
        <v>2517</v>
      </c>
      <c r="D8" s="196">
        <v>1.7393000000000001</v>
      </c>
      <c r="E8" s="196">
        <v>10.1534</v>
      </c>
      <c r="F8" s="196">
        <v>0.20530000000000001</v>
      </c>
      <c r="G8" s="200">
        <f t="shared" si="0"/>
        <v>10.358699999999999</v>
      </c>
      <c r="H8" s="200">
        <v>10.1647</v>
      </c>
      <c r="I8" s="200">
        <f t="shared" si="1"/>
        <v>0.19399999999999906</v>
      </c>
      <c r="J8" s="200">
        <f t="shared" si="2"/>
        <v>1.1300000000000948E-2</v>
      </c>
      <c r="K8" s="270">
        <f t="shared" si="3"/>
        <v>5.5041402825138563</v>
      </c>
      <c r="L8" s="200">
        <v>23</v>
      </c>
      <c r="M8" s="196"/>
      <c r="N8" s="196"/>
      <c r="O8" s="196"/>
      <c r="P8" s="196" t="s">
        <v>2532</v>
      </c>
    </row>
    <row r="9" spans="1:16">
      <c r="A9" t="s">
        <v>2520</v>
      </c>
      <c r="C9" t="s">
        <v>2517</v>
      </c>
      <c r="D9">
        <v>1.7766</v>
      </c>
      <c r="E9">
        <v>10.1249</v>
      </c>
      <c r="F9">
        <v>0.22650000000000001</v>
      </c>
      <c r="G9">
        <v>10.3514</v>
      </c>
      <c r="H9">
        <v>10.137499999999999</v>
      </c>
      <c r="I9">
        <v>0.21390000000000065</v>
      </c>
      <c r="J9">
        <f t="shared" si="2"/>
        <v>1.2599999999999362E-2</v>
      </c>
      <c r="K9" s="270">
        <f t="shared" si="3"/>
        <v>5.5629139072844866</v>
      </c>
      <c r="L9">
        <v>24</v>
      </c>
      <c r="M9" s="196"/>
      <c r="N9" s="196"/>
      <c r="O9" s="196"/>
      <c r="P9" s="196" t="s">
        <v>2531</v>
      </c>
    </row>
    <row r="10" spans="1:16">
      <c r="A10" s="196" t="s">
        <v>2521</v>
      </c>
      <c r="C10" s="200" t="s">
        <v>2517</v>
      </c>
      <c r="D10" s="196">
        <v>1.7238</v>
      </c>
      <c r="E10" s="196">
        <v>9.3217999999999996</v>
      </c>
      <c r="F10" s="196">
        <v>0.20369999999999999</v>
      </c>
      <c r="G10" s="200">
        <f>E10+F10</f>
        <v>9.5254999999999992</v>
      </c>
      <c r="H10" s="200">
        <v>9.3321000000000005</v>
      </c>
      <c r="I10" s="200">
        <f>(G10-H10)</f>
        <v>0.19339999999999868</v>
      </c>
      <c r="J10" s="200">
        <f t="shared" si="2"/>
        <v>1.0300000000001308E-2</v>
      </c>
      <c r="K10" s="270">
        <f t="shared" si="3"/>
        <v>5.0564555719201323</v>
      </c>
      <c r="L10" s="200">
        <v>25</v>
      </c>
      <c r="M10" s="196"/>
      <c r="N10" s="196"/>
      <c r="O10" s="196"/>
      <c r="P10" s="196" t="s">
        <v>2530</v>
      </c>
    </row>
    <row r="11" spans="1:16">
      <c r="A11" s="196" t="s">
        <v>2522</v>
      </c>
      <c r="C11" s="200" t="s">
        <v>2517</v>
      </c>
      <c r="D11" s="196">
        <v>1.7256</v>
      </c>
      <c r="E11" s="196">
        <v>11.8629</v>
      </c>
      <c r="F11" s="196">
        <v>0.2021</v>
      </c>
      <c r="G11" s="200">
        <f>E11+F11</f>
        <v>12.065</v>
      </c>
      <c r="H11" s="200">
        <v>11.8735</v>
      </c>
      <c r="I11" s="200">
        <f>(G11-H11)</f>
        <v>0.19149999999999956</v>
      </c>
      <c r="J11" s="200">
        <f t="shared" si="2"/>
        <v>1.0600000000000442E-2</v>
      </c>
      <c r="K11" s="270">
        <f t="shared" si="3"/>
        <v>5.2449282533401496</v>
      </c>
      <c r="L11" s="200">
        <v>26</v>
      </c>
      <c r="M11" s="196"/>
      <c r="N11" s="196"/>
      <c r="O11" s="196"/>
      <c r="P11" s="196" t="s">
        <v>2529</v>
      </c>
    </row>
    <row r="12" spans="1:16">
      <c r="A12" s="200" t="s">
        <v>477</v>
      </c>
      <c r="C12" s="200" t="s">
        <v>2517</v>
      </c>
      <c r="D12" s="200">
        <v>1.7670999999999999</v>
      </c>
      <c r="E12" s="201">
        <v>10.502700000000001</v>
      </c>
      <c r="F12" s="201">
        <v>0.20019999999999999</v>
      </c>
      <c r="G12" s="200">
        <f>E12+F12</f>
        <v>10.702900000000001</v>
      </c>
      <c r="H12" s="200">
        <v>10.507400000000001</v>
      </c>
      <c r="I12" s="200">
        <f>(G12-H12)</f>
        <v>0.1955000000000009</v>
      </c>
      <c r="J12" s="200">
        <f t="shared" si="2"/>
        <v>4.6999999999990938E-3</v>
      </c>
      <c r="K12" s="270">
        <f t="shared" si="3"/>
        <v>2.3476523476518953</v>
      </c>
      <c r="L12" s="200">
        <v>10</v>
      </c>
      <c r="M12" s="202">
        <v>43178.395833333336</v>
      </c>
      <c r="N12" s="202">
        <v>43178.5625</v>
      </c>
      <c r="O12" s="196" t="s">
        <v>2534</v>
      </c>
      <c r="P12" s="200"/>
    </row>
    <row r="13" spans="1:16">
      <c r="A13" s="200" t="s">
        <v>483</v>
      </c>
      <c r="C13" s="200" t="s">
        <v>2517</v>
      </c>
      <c r="D13" s="200">
        <v>1.8496999999999999</v>
      </c>
      <c r="E13" s="201">
        <v>7.4794999999999998</v>
      </c>
      <c r="F13" s="201">
        <v>0.20230000000000001</v>
      </c>
      <c r="G13" s="200">
        <f>E13+F13</f>
        <v>7.6818</v>
      </c>
      <c r="H13" s="200">
        <v>7.4847999999999999</v>
      </c>
      <c r="I13" s="200">
        <f>(G13-H13)</f>
        <v>0.19700000000000006</v>
      </c>
      <c r="J13" s="200">
        <f t="shared" si="2"/>
        <v>5.2999999999999436E-3</v>
      </c>
      <c r="K13" s="270">
        <f t="shared" si="3"/>
        <v>2.619871478002938</v>
      </c>
      <c r="L13" s="200">
        <v>11</v>
      </c>
      <c r="M13" s="202">
        <v>43178.395833333336</v>
      </c>
      <c r="N13" s="202">
        <v>43178.5625</v>
      </c>
      <c r="O13" s="196" t="s">
        <v>2534</v>
      </c>
      <c r="P13" s="200"/>
    </row>
    <row r="14" spans="1:16">
      <c r="A14" s="200" t="s">
        <v>439</v>
      </c>
      <c r="C14" s="200" t="s">
        <v>2517</v>
      </c>
      <c r="D14" s="200">
        <v>1.8443000000000001</v>
      </c>
      <c r="E14" s="201">
        <v>7.3543000000000003</v>
      </c>
      <c r="F14" s="201">
        <v>0.2024</v>
      </c>
      <c r="G14" s="200">
        <f>E14+F14</f>
        <v>7.5567000000000002</v>
      </c>
      <c r="H14" s="200">
        <v>7.3581000000000003</v>
      </c>
      <c r="I14" s="200">
        <f>(G14-H14)</f>
        <v>0.19859999999999989</v>
      </c>
      <c r="J14" s="200">
        <f t="shared" si="2"/>
        <v>3.8000000000001088E-3</v>
      </c>
      <c r="K14" s="270">
        <f t="shared" si="3"/>
        <v>1.8774703557312791</v>
      </c>
      <c r="L14" s="200">
        <v>12</v>
      </c>
      <c r="M14" s="202">
        <v>43178.395833333336</v>
      </c>
      <c r="N14" s="202">
        <v>43178.5625</v>
      </c>
      <c r="O14" s="196" t="s">
        <v>2534</v>
      </c>
      <c r="P14" s="200"/>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C9600B3-6421-4823-A011-388362270A45}">
  <dimension ref="A1:DK907"/>
  <sheetViews>
    <sheetView topLeftCell="CE1" zoomScale="70" zoomScaleNormal="70" workbookViewId="0">
      <pane ySplit="1" topLeftCell="A2" activePane="bottomLeft" state="frozen"/>
      <selection activeCell="AS1" sqref="AS1"/>
      <selection pane="bottomLeft" activeCell="CX25" sqref="CX25"/>
    </sheetView>
  </sheetViews>
  <sheetFormatPr baseColWidth="10" defaultRowHeight="12" customHeight="1"/>
  <cols>
    <col min="1" max="1" width="5.21875" style="380" customWidth="1"/>
    <col min="6" max="6" width="5.21875" style="380" customWidth="1"/>
    <col min="10" max="10" width="21.77734375" customWidth="1"/>
    <col min="11" max="11" width="5.21875" style="380" customWidth="1"/>
    <col min="15" max="15" width="21" customWidth="1"/>
    <col min="16" max="16" width="5.21875" style="380" customWidth="1"/>
    <col min="17" max="18" width="21" customWidth="1"/>
    <col min="19" max="19" width="5.21875" style="380" customWidth="1"/>
    <col min="23" max="23" width="21.21875" customWidth="1"/>
    <col min="24" max="24" width="5.21875" style="380" customWidth="1"/>
    <col min="30" max="30" width="5.21875" style="380" customWidth="1"/>
    <col min="35" max="35" width="5.21875" style="380" customWidth="1"/>
    <col min="36" max="36" width="12.44140625" customWidth="1"/>
    <col min="37" max="37" width="15.44140625" customWidth="1"/>
    <col min="38" max="38" width="5.21875" style="380" customWidth="1"/>
    <col min="44" max="44" width="5.21875" style="380" customWidth="1"/>
    <col min="49" max="49" width="5.21875" style="380" customWidth="1"/>
    <col min="50" max="51" width="21" customWidth="1"/>
    <col min="52" max="52" width="5.21875" style="380" customWidth="1"/>
    <col min="57" max="57" width="5.21875" style="380" customWidth="1"/>
    <col min="60" max="60" width="15.21875" customWidth="1"/>
    <col min="62" max="62" width="13.44140625" customWidth="1"/>
    <col min="69" max="70" width="13.21875" customWidth="1"/>
    <col min="74" max="75" width="21.88671875" customWidth="1"/>
    <col min="76" max="76" width="5.21875" style="380" customWidth="1"/>
    <col min="84" max="84" width="5.21875" style="380" customWidth="1"/>
    <col min="89" max="89" width="11.33203125" customWidth="1"/>
    <col min="105" max="105" width="5.21875" style="380" customWidth="1"/>
    <col min="113" max="113" width="5.21875" style="380" customWidth="1"/>
  </cols>
  <sheetData>
    <row r="1" spans="2:115" ht="12" customHeight="1">
      <c r="B1" s="431" t="s">
        <v>3169</v>
      </c>
      <c r="C1" s="431"/>
      <c r="D1" s="165" t="s">
        <v>3181</v>
      </c>
      <c r="E1" s="165" t="s">
        <v>3175</v>
      </c>
      <c r="G1" s="430" t="s">
        <v>3168</v>
      </c>
      <c r="H1" s="430"/>
      <c r="I1" s="165" t="s">
        <v>3178</v>
      </c>
      <c r="J1" s="165" t="s">
        <v>3175</v>
      </c>
      <c r="L1" s="165" t="s">
        <v>3170</v>
      </c>
      <c r="N1" s="165" t="s">
        <v>3177</v>
      </c>
      <c r="O1" s="165" t="s">
        <v>3175</v>
      </c>
      <c r="Q1" s="179" t="s">
        <v>3184</v>
      </c>
      <c r="R1" s="179"/>
      <c r="T1" s="165" t="s">
        <v>3171</v>
      </c>
      <c r="V1" s="165" t="s">
        <v>3176</v>
      </c>
      <c r="W1" s="165" t="s">
        <v>3175</v>
      </c>
      <c r="Y1" s="165" t="s">
        <v>3172</v>
      </c>
      <c r="AB1" s="165" t="s">
        <v>3174</v>
      </c>
      <c r="AC1" s="165" t="s">
        <v>3190</v>
      </c>
      <c r="AE1" s="165" t="s">
        <v>3179</v>
      </c>
      <c r="AH1" s="179" t="s">
        <v>3241</v>
      </c>
      <c r="AJ1" s="165" t="s">
        <v>3184</v>
      </c>
      <c r="AK1" s="165"/>
      <c r="AM1" s="165" t="s">
        <v>3180</v>
      </c>
      <c r="AP1" s="179" t="s">
        <v>3241</v>
      </c>
      <c r="AQ1" s="179"/>
      <c r="AS1" s="165" t="s">
        <v>3182</v>
      </c>
      <c r="AU1" s="179"/>
      <c r="AV1" s="179" t="s">
        <v>3241</v>
      </c>
      <c r="AX1" s="179" t="s">
        <v>3184</v>
      </c>
      <c r="AY1" s="179"/>
      <c r="BA1" s="165" t="s">
        <v>3183</v>
      </c>
      <c r="BC1" s="179"/>
      <c r="BD1" s="179" t="s">
        <v>3181</v>
      </c>
      <c r="BF1" s="165" t="s">
        <v>3191</v>
      </c>
      <c r="BG1" s="165"/>
      <c r="BH1" s="165"/>
      <c r="BI1" s="165"/>
      <c r="BV1" s="165" t="s">
        <v>3229</v>
      </c>
      <c r="CG1" s="165" t="s">
        <v>3216</v>
      </c>
      <c r="CH1" s="165"/>
      <c r="CI1" s="165"/>
      <c r="CJ1" s="165"/>
      <c r="CK1" s="165"/>
      <c r="CL1" s="165"/>
      <c r="CM1" s="165"/>
      <c r="CW1" s="406" t="s">
        <v>3228</v>
      </c>
      <c r="CX1" s="393"/>
      <c r="CY1" s="393"/>
      <c r="CZ1" s="393"/>
    </row>
    <row r="2" spans="2:115" ht="12" customHeight="1">
      <c r="B2" s="165" t="s">
        <v>2158</v>
      </c>
      <c r="D2" s="379" t="s">
        <v>3167</v>
      </c>
      <c r="E2" s="379" t="s">
        <v>3164</v>
      </c>
      <c r="G2" s="165" t="s">
        <v>2158</v>
      </c>
      <c r="I2" s="379" t="s">
        <v>3167</v>
      </c>
      <c r="J2" s="379" t="s">
        <v>3164</v>
      </c>
      <c r="L2" s="165" t="s">
        <v>2158</v>
      </c>
      <c r="N2" s="379" t="s">
        <v>3167</v>
      </c>
      <c r="O2" s="379" t="s">
        <v>3164</v>
      </c>
      <c r="Q2" s="379" t="s">
        <v>1147</v>
      </c>
      <c r="R2" s="379" t="s">
        <v>3166</v>
      </c>
      <c r="T2" s="165" t="s">
        <v>2158</v>
      </c>
      <c r="V2" s="379" t="s">
        <v>3167</v>
      </c>
      <c r="W2" s="379" t="s">
        <v>3164</v>
      </c>
      <c r="Y2" s="165" t="s">
        <v>2158</v>
      </c>
      <c r="AA2" s="418" t="s">
        <v>3167</v>
      </c>
      <c r="AB2" s="418" t="s">
        <v>3164</v>
      </c>
      <c r="AC2" s="179"/>
      <c r="AE2" s="165" t="s">
        <v>2158</v>
      </c>
      <c r="AG2" s="379" t="s">
        <v>3167</v>
      </c>
      <c r="AH2" s="379" t="s">
        <v>3164</v>
      </c>
      <c r="AJ2" s="379" t="s">
        <v>1147</v>
      </c>
      <c r="AK2" s="379" t="s">
        <v>3166</v>
      </c>
      <c r="AM2" s="165" t="s">
        <v>2158</v>
      </c>
      <c r="AO2" s="379" t="s">
        <v>3167</v>
      </c>
      <c r="AP2" s="379" t="s">
        <v>3164</v>
      </c>
      <c r="AS2" s="165" t="s">
        <v>2158</v>
      </c>
      <c r="AU2" s="418" t="s">
        <v>3167</v>
      </c>
      <c r="AV2" s="418" t="s">
        <v>3164</v>
      </c>
      <c r="AX2" s="418" t="s">
        <v>1147</v>
      </c>
      <c r="AY2" s="418" t="s">
        <v>3166</v>
      </c>
      <c r="BA2" s="165" t="s">
        <v>2158</v>
      </c>
      <c r="BC2" s="418" t="s">
        <v>3167</v>
      </c>
      <c r="BD2" s="418" t="s">
        <v>3164</v>
      </c>
      <c r="BF2" s="179"/>
      <c r="BG2" s="179"/>
      <c r="BH2" s="179"/>
      <c r="BI2" s="179"/>
      <c r="BJ2" s="179"/>
      <c r="BK2" s="179"/>
      <c r="BL2" s="179"/>
      <c r="BM2" s="179"/>
      <c r="BN2" s="179"/>
      <c r="BO2" s="179"/>
      <c r="BP2" s="179" t="s">
        <v>3196</v>
      </c>
      <c r="BQ2" s="179"/>
      <c r="BR2" s="179"/>
      <c r="BS2" s="179"/>
      <c r="BT2" s="179"/>
      <c r="BU2" s="179"/>
      <c r="BV2" s="180" t="s">
        <v>3243</v>
      </c>
      <c r="BW2" s="419" t="s">
        <v>3244</v>
      </c>
      <c r="BZ2" t="s">
        <v>3202</v>
      </c>
      <c r="CG2" s="180" t="s">
        <v>3226</v>
      </c>
      <c r="CH2" s="180"/>
      <c r="CI2" s="180"/>
      <c r="CJ2" s="180" t="s">
        <v>3227</v>
      </c>
      <c r="CK2" s="180"/>
      <c r="CL2" s="180"/>
      <c r="CM2" s="180"/>
      <c r="CN2" s="180"/>
      <c r="CW2" s="394" t="s">
        <v>3214</v>
      </c>
      <c r="CX2" s="393"/>
      <c r="CY2" s="393" t="s">
        <v>3218</v>
      </c>
      <c r="CZ2" s="393"/>
    </row>
    <row r="3" spans="2:115" ht="12" customHeight="1">
      <c r="B3" s="165" t="s">
        <v>3165</v>
      </c>
      <c r="C3" s="165" t="s">
        <v>3166</v>
      </c>
      <c r="D3" s="379" t="s">
        <v>3165</v>
      </c>
      <c r="E3" s="165" t="s">
        <v>3166</v>
      </c>
      <c r="G3" s="165" t="s">
        <v>3165</v>
      </c>
      <c r="H3" s="165" t="s">
        <v>3166</v>
      </c>
      <c r="I3" s="379" t="s">
        <v>3165</v>
      </c>
      <c r="J3" s="165" t="s">
        <v>3166</v>
      </c>
      <c r="L3" s="165" t="s">
        <v>3165</v>
      </c>
      <c r="M3" s="165" t="s">
        <v>3166</v>
      </c>
      <c r="N3" s="379" t="s">
        <v>3165</v>
      </c>
      <c r="O3" s="165" t="s">
        <v>3166</v>
      </c>
      <c r="T3" s="165" t="s">
        <v>3165</v>
      </c>
      <c r="U3" s="165" t="s">
        <v>3166</v>
      </c>
      <c r="V3" s="379" t="s">
        <v>3165</v>
      </c>
      <c r="W3" s="165" t="s">
        <v>3166</v>
      </c>
      <c r="Y3" s="165" t="s">
        <v>3165</v>
      </c>
      <c r="Z3" s="165" t="s">
        <v>3166</v>
      </c>
      <c r="AA3" s="379" t="s">
        <v>3165</v>
      </c>
      <c r="AB3" s="165" t="s">
        <v>3166</v>
      </c>
      <c r="AE3" s="165" t="s">
        <v>3165</v>
      </c>
      <c r="AF3" s="165" t="s">
        <v>3166</v>
      </c>
      <c r="AG3" s="418" t="s">
        <v>3165</v>
      </c>
      <c r="AH3" s="179" t="s">
        <v>3166</v>
      </c>
      <c r="AJ3" s="179" t="s">
        <v>3196</v>
      </c>
      <c r="AK3" s="179" t="s">
        <v>3196</v>
      </c>
      <c r="AM3" s="165" t="s">
        <v>3165</v>
      </c>
      <c r="AN3" s="165" t="s">
        <v>3166</v>
      </c>
      <c r="AO3" s="418" t="s">
        <v>3165</v>
      </c>
      <c r="AP3" s="179" t="s">
        <v>3166</v>
      </c>
      <c r="AS3" s="165" t="s">
        <v>3165</v>
      </c>
      <c r="AT3" s="165" t="s">
        <v>3166</v>
      </c>
      <c r="AU3" s="418" t="s">
        <v>3165</v>
      </c>
      <c r="AV3" s="179" t="s">
        <v>3166</v>
      </c>
      <c r="AX3" s="179" t="s">
        <v>3196</v>
      </c>
      <c r="AY3" s="179" t="s">
        <v>3196</v>
      </c>
      <c r="BA3" s="165" t="s">
        <v>3165</v>
      </c>
      <c r="BB3" s="165" t="s">
        <v>3166</v>
      </c>
      <c r="BC3" s="418" t="s">
        <v>3165</v>
      </c>
      <c r="BD3" s="179" t="s">
        <v>3166</v>
      </c>
      <c r="BF3" s="179" t="s">
        <v>2158</v>
      </c>
      <c r="BG3" s="179"/>
      <c r="BH3" s="179"/>
      <c r="BI3" s="179"/>
      <c r="BJ3" s="179"/>
      <c r="BK3" s="179"/>
      <c r="BL3" s="179"/>
      <c r="BM3" s="179"/>
      <c r="BN3" s="179"/>
      <c r="BO3" s="179"/>
      <c r="BP3" s="179"/>
      <c r="BQ3" s="179"/>
      <c r="BR3" s="179"/>
      <c r="BS3" s="179"/>
      <c r="BT3" s="179"/>
      <c r="BU3" s="179"/>
      <c r="BV3" s="392"/>
      <c r="BW3" s="392"/>
      <c r="BY3" s="379"/>
      <c r="CG3" s="165" t="s">
        <v>2158</v>
      </c>
      <c r="CH3" s="179"/>
      <c r="CI3" s="179"/>
      <c r="CJ3" s="179"/>
      <c r="CK3" s="404" t="s">
        <v>3221</v>
      </c>
      <c r="CL3" s="179"/>
      <c r="CM3" s="179"/>
      <c r="CN3" s="179"/>
      <c r="CO3" s="179"/>
      <c r="CP3" s="179"/>
      <c r="CQ3" s="179"/>
      <c r="CR3" s="179"/>
      <c r="CS3" s="404" t="s">
        <v>3221</v>
      </c>
      <c r="CT3" s="179"/>
      <c r="CU3" s="179"/>
      <c r="CV3" s="179"/>
      <c r="CW3" s="393" t="s">
        <v>3211</v>
      </c>
      <c r="CX3" s="393"/>
      <c r="CY3" s="393"/>
      <c r="CZ3" s="393"/>
    </row>
    <row r="4" spans="2:115" ht="12" customHeight="1">
      <c r="B4" t="str">
        <f>TBIDry!H76</f>
        <v>G407</v>
      </c>
      <c r="C4" t="str">
        <f>TBIDry!I76</f>
        <v>R811</v>
      </c>
      <c r="D4" t="b">
        <f>COUNTIF($B$4:$B$2000, B4)&gt;1</f>
        <v>0</v>
      </c>
      <c r="E4" t="b">
        <f>COUNTIF($C$4:$C$2000, C4)&gt;1</f>
        <v>0</v>
      </c>
      <c r="G4" t="str">
        <f>TBIWet!H76</f>
        <v>G436</v>
      </c>
      <c r="H4" t="str">
        <f>TBIWet!I76</f>
        <v>R17</v>
      </c>
      <c r="I4" t="b">
        <f>COUNTIF($G$4:$G$2000, G4)&gt;1</f>
        <v>0</v>
      </c>
      <c r="J4" t="b">
        <f>COUNTIF($H$4:$H$2000, H4)&gt;1</f>
        <v>0</v>
      </c>
      <c r="L4" t="str">
        <f>'Both teabags AfterWet'!A2</f>
        <v>G201</v>
      </c>
      <c r="M4" t="str">
        <f>'Both teabags AfterWet'!A422</f>
        <v>R1</v>
      </c>
      <c r="N4" t="b">
        <f>COUNTIF($L$4:$L$2000, L4)&gt;1</f>
        <v>0</v>
      </c>
      <c r="O4" t="b">
        <f xml:space="preserve"> COUNTIF($M$4:$M$2000,#REF!)&gt;1</f>
        <v>0</v>
      </c>
      <c r="Q4" s="388" t="b">
        <f>COUNTIF($T$4:$T$2000, L4)=1</f>
        <v>0</v>
      </c>
      <c r="R4" s="388" t="b">
        <f xml:space="preserve"> COUNTIF($U$4:$U$2000,M4)=1</f>
        <v>0</v>
      </c>
      <c r="T4" t="str">
        <f>'Both teabags AfterDry'!A2</f>
        <v>G1</v>
      </c>
      <c r="U4" t="str">
        <f>'Both teabags AfterDry'!A337</f>
        <v>R106</v>
      </c>
      <c r="V4" t="b">
        <f>COUNTIF($T$4:$T$2000, T4)&gt;1</f>
        <v>0</v>
      </c>
      <c r="W4" t="b">
        <f xml:space="preserve"> COUNTIF($U$4:$U$2000,#REF!)&gt;1</f>
        <v>0</v>
      </c>
      <c r="Y4" t="str">
        <f>'Green_rooibos initial weight'!A5</f>
        <v>G1</v>
      </c>
      <c r="Z4" t="str">
        <f>'Green_rooibos initial weight'!A909</f>
        <v>R1</v>
      </c>
      <c r="AA4" t="b">
        <f>COUNTIF($Y$4:$Y$2000, Y4)&gt;1</f>
        <v>0</v>
      </c>
      <c r="AB4" t="b">
        <f>COUNTIF($Z$4:$Z$2000, Z4)&gt;1</f>
        <v>0</v>
      </c>
      <c r="AE4" t="str">
        <f>'WetLitterbags placem_collection'!K3</f>
        <v>G436</v>
      </c>
      <c r="AF4" t="str">
        <f>'WetLitterbags placem_collection'!M3</f>
        <v>R17</v>
      </c>
      <c r="AG4" t="b">
        <f>COUNTIF($AE$4:$AE$2000, AE4)&gt;1</f>
        <v>0</v>
      </c>
      <c r="AH4" t="b">
        <f>COUNTIF($AF$4:$AF$2000, AF4)&gt;1</f>
        <v>0</v>
      </c>
      <c r="AJ4" t="b">
        <f>COUNTIF($AM$4:$AM$2000, AE4)=1</f>
        <v>0</v>
      </c>
      <c r="AK4" t="b">
        <f>COUNTIF($AN$4:$AN$2000, AF4)=1</f>
        <v>0</v>
      </c>
      <c r="AM4" t="str">
        <f>IF(ISBLANK('Dry_Litterbag Placem_Collection'!J3),"","G"&amp;""&amp;'Dry_Litterbag Placem_Collection'!J3)</f>
        <v>G407</v>
      </c>
      <c r="AN4" t="str">
        <f>IF(ISBLANK('Dry_Litterbag Placem_Collection'!K3),"","R"&amp;""&amp;'Dry_Litterbag Placem_Collection'!K3)</f>
        <v>R811</v>
      </c>
      <c r="AO4" t="b">
        <f>IF(ISBLANK(AM4),"USANN",COUNTIF($AM$4:$AM$2000, AM4)&gt;1)</f>
        <v>0</v>
      </c>
      <c r="AP4" t="b">
        <f>COUNTIF($AN$4:$AN$2000, AN4)&gt;1</f>
        <v>0</v>
      </c>
      <c r="AS4" t="str">
        <f>'Ashed teabags dry'!A2</f>
        <v>G1</v>
      </c>
      <c r="AT4" t="str">
        <f>'Ashed teabags dry'!A337</f>
        <v>R106</v>
      </c>
      <c r="AU4" t="b">
        <f>COUNTIF($AS$4:$AS$2000, AS4)&gt;1</f>
        <v>0</v>
      </c>
      <c r="AV4" t="b">
        <f xml:space="preserve"> COUNTIF($AT$4:$AT$2000,#REF!)&gt;1</f>
        <v>0</v>
      </c>
      <c r="AX4" s="388" t="b">
        <f>COUNTIF($BA$4:$BA$2000, AS4)=1</f>
        <v>0</v>
      </c>
      <c r="AY4" s="388" t="b">
        <f>COUNTIF($BB$4:$BB$2000, AT4)=1</f>
        <v>0</v>
      </c>
      <c r="BA4" t="str">
        <f>'Ashed teabags wet'!A2</f>
        <v>G201</v>
      </c>
      <c r="BB4" t="str">
        <f>'Ashed teabags wet'!A422</f>
        <v>R1</v>
      </c>
      <c r="BC4" t="b">
        <f>COUNTIF($BA$4:$BA$2000, BA4)&gt;1</f>
        <v>0</v>
      </c>
      <c r="BD4" t="b">
        <f t="shared" ref="BD4:BD67" si="0">COUNTIF($BB$4:$BB$2000, BB4)&gt;1</f>
        <v>0</v>
      </c>
      <c r="BF4" s="165" t="s">
        <v>3192</v>
      </c>
      <c r="BG4" s="165" t="s">
        <v>3230</v>
      </c>
      <c r="BH4" s="165" t="s">
        <v>3193</v>
      </c>
      <c r="BI4" s="165" t="s">
        <v>3200</v>
      </c>
      <c r="BJ4" s="165" t="s">
        <v>3203</v>
      </c>
      <c r="BK4" s="165" t="s">
        <v>3204</v>
      </c>
      <c r="BL4" s="165" t="s">
        <v>3231</v>
      </c>
      <c r="BM4" s="165" t="s">
        <v>3242</v>
      </c>
      <c r="BN4" s="165" t="s">
        <v>3194</v>
      </c>
      <c r="BO4" s="165" t="s">
        <v>3232</v>
      </c>
      <c r="BP4" s="165" t="s">
        <v>3195</v>
      </c>
      <c r="BQ4" s="165" t="s">
        <v>3201</v>
      </c>
      <c r="BR4" s="165" t="s">
        <v>3205</v>
      </c>
      <c r="BS4" s="165" t="s">
        <v>3206</v>
      </c>
      <c r="BT4" s="165" t="s">
        <v>3233</v>
      </c>
      <c r="BU4" s="165" t="s">
        <v>3208</v>
      </c>
      <c r="BV4" s="392" t="s">
        <v>1147</v>
      </c>
      <c r="BW4" s="392" t="s">
        <v>2800</v>
      </c>
      <c r="BZ4" s="165" t="s">
        <v>3209</v>
      </c>
      <c r="CA4" s="165" t="s">
        <v>3210</v>
      </c>
      <c r="CB4" s="165" t="s">
        <v>3237</v>
      </c>
      <c r="CE4" s="165" t="s">
        <v>3238</v>
      </c>
      <c r="CG4" s="165" t="s">
        <v>3192</v>
      </c>
      <c r="CH4" s="165" t="s">
        <v>3219</v>
      </c>
      <c r="CI4" s="165" t="s">
        <v>3193</v>
      </c>
      <c r="CJ4" s="165" t="s">
        <v>3200</v>
      </c>
      <c r="CK4" s="165" t="s">
        <v>3203</v>
      </c>
      <c r="CL4" s="165" t="s">
        <v>3204</v>
      </c>
      <c r="CM4" s="165" t="s">
        <v>3220</v>
      </c>
      <c r="CN4" s="165" t="s">
        <v>3207</v>
      </c>
      <c r="CO4" s="165" t="s">
        <v>3194</v>
      </c>
      <c r="CP4" s="165" t="s">
        <v>3217</v>
      </c>
      <c r="CQ4" s="165" t="s">
        <v>3195</v>
      </c>
      <c r="CR4" s="165" t="s">
        <v>3201</v>
      </c>
      <c r="CS4" s="165" t="s">
        <v>3205</v>
      </c>
      <c r="CT4" s="165" t="s">
        <v>3206</v>
      </c>
      <c r="CU4" s="165" t="s">
        <v>3222</v>
      </c>
      <c r="CV4" s="165" t="s">
        <v>3208</v>
      </c>
      <c r="CW4" s="165" t="s">
        <v>1147</v>
      </c>
      <c r="CX4" s="165" t="s">
        <v>3198</v>
      </c>
      <c r="CY4" s="165" t="s">
        <v>2800</v>
      </c>
      <c r="CZ4" s="165" t="s">
        <v>3199</v>
      </c>
      <c r="DC4" s="165" t="s">
        <v>3209</v>
      </c>
      <c r="DD4" s="165" t="s">
        <v>3213</v>
      </c>
      <c r="DE4" s="165" t="s">
        <v>3224</v>
      </c>
      <c r="DF4" s="165" t="s">
        <v>3212</v>
      </c>
      <c r="DG4" s="165" t="s">
        <v>3213</v>
      </c>
      <c r="DH4" s="165" t="s">
        <v>3223</v>
      </c>
      <c r="DJ4" s="165"/>
      <c r="DK4" s="165"/>
    </row>
    <row r="5" spans="2:115" ht="12" customHeight="1">
      <c r="B5" t="str">
        <f>TBIDry!H77</f>
        <v/>
      </c>
      <c r="C5" t="str">
        <f>TBIDry!I77</f>
        <v/>
      </c>
      <c r="D5" t="b">
        <f t="shared" ref="D5:D68" si="1">COUNTIF($B$4:$B$2000, B5)&gt;1</f>
        <v>1</v>
      </c>
      <c r="E5" t="b">
        <f t="shared" ref="E5:E68" si="2">COUNTIF($C$4:$C$2000, C5)&gt;1</f>
        <v>1</v>
      </c>
      <c r="G5" t="str">
        <f>TBIWet!H77</f>
        <v>G568</v>
      </c>
      <c r="H5" t="str">
        <f>TBIWet!I77</f>
        <v>R121</v>
      </c>
      <c r="I5" t="b">
        <f t="shared" ref="I5:I68" si="3">COUNTIF($G$4:$G$2000, G5)&gt;1</f>
        <v>0</v>
      </c>
      <c r="J5" t="b">
        <f>COUNTIF($H$4:$H$2000, H5)&gt;1</f>
        <v>0</v>
      </c>
      <c r="L5" t="str">
        <f>'Both teabags AfterWet'!A3</f>
        <v>G202</v>
      </c>
      <c r="M5" t="str">
        <f>'Both teabags AfterWet'!A423</f>
        <v>R10</v>
      </c>
      <c r="N5" t="b">
        <f t="shared" ref="N5:N68" si="4">COUNTIF($L$4:$L$2000, L5)&gt;1</f>
        <v>0</v>
      </c>
      <c r="O5" t="b">
        <f>COUNTIF($M$4:$M$2000, M5)&gt;1</f>
        <v>0</v>
      </c>
      <c r="Q5" s="388" t="b">
        <f t="shared" ref="Q5:Q68" si="5">COUNTIF($T$4:$T$2000, L5)=1</f>
        <v>0</v>
      </c>
      <c r="R5" s="388" t="b">
        <f t="shared" ref="R5:R68" si="6" xml:space="preserve"> COUNTIF($U$4:$U$2000,M5)=1</f>
        <v>0</v>
      </c>
      <c r="T5" t="str">
        <f>'Both teabags AfterDry'!A3</f>
        <v>G10</v>
      </c>
      <c r="U5" t="str">
        <f>'Both teabags AfterDry'!A338</f>
        <v>R108</v>
      </c>
      <c r="V5" t="b">
        <f t="shared" ref="V5:V68" si="7">COUNTIF($T$4:$T$2000, T5)&gt;1</f>
        <v>0</v>
      </c>
      <c r="W5" t="b">
        <f xml:space="preserve"> COUNTIF($U$4:$U$2000,#REF!)&gt;1</f>
        <v>0</v>
      </c>
      <c r="Y5" t="str">
        <f>'Green_rooibos initial weight'!A6</f>
        <v>G2</v>
      </c>
      <c r="Z5" t="str">
        <f>'Green_rooibos initial weight'!A910</f>
        <v>R2</v>
      </c>
      <c r="AA5" t="b">
        <f t="shared" ref="AA5:AA68" si="8">COUNTIF($Y$4:$Y$2000, Y5)&gt;1</f>
        <v>0</v>
      </c>
      <c r="AB5" t="b">
        <f t="shared" ref="AB5:AB68" si="9">COUNTIF($Z$4:$Z$2000, Z5)&gt;1</f>
        <v>0</v>
      </c>
      <c r="AE5" t="str">
        <f>'WetLitterbags placem_collection'!K4</f>
        <v>G568</v>
      </c>
      <c r="AF5" t="str">
        <f>'WetLitterbags placem_collection'!M4</f>
        <v>R121</v>
      </c>
      <c r="AG5" t="b">
        <f t="shared" ref="AG5:AG68" si="10">COUNTIF($AE$4:$AE$2000, AE5)&gt;1</f>
        <v>0</v>
      </c>
      <c r="AH5" t="b">
        <f t="shared" ref="AH5:AH68" si="11">COUNTIF($AF$4:$AF$2000, AF5)&gt;1</f>
        <v>0</v>
      </c>
      <c r="AJ5" t="b">
        <f t="shared" ref="AJ5:AJ68" si="12">COUNTIF($AM$4:$AM$2000, AE5)=1</f>
        <v>0</v>
      </c>
      <c r="AK5" t="b">
        <f t="shared" ref="AK5:AK68" si="13">COUNTIF($AN$4:$AN$2000, AF5)=1</f>
        <v>0</v>
      </c>
      <c r="AM5" t="str">
        <f>IF(ISBLANK('Dry_Litterbag Placem_Collection'!J4),"","G"&amp;""&amp;'Dry_Litterbag Placem_Collection'!J4)</f>
        <v/>
      </c>
      <c r="AN5" t="str">
        <f>IF(ISBLANK('Dry_Litterbag Placem_Collection'!K4),"","R"&amp;""&amp;'Dry_Litterbag Placem_Collection'!K4)</f>
        <v/>
      </c>
      <c r="AO5" t="b">
        <f t="shared" ref="AO5:AO7" si="14">IF(ISBLANK(AM5),"USANN",COUNTIF($AM$4:$AM$2000, AM5)&gt;1)</f>
        <v>1</v>
      </c>
      <c r="AP5" t="b">
        <f t="shared" ref="AP5:AP68" si="15">COUNTIF($AN$4:$AN$2000, AN5)&gt;1</f>
        <v>1</v>
      </c>
      <c r="AS5" t="str">
        <f>'Ashed teabags dry'!A3</f>
        <v>G10</v>
      </c>
      <c r="AT5" t="str">
        <f>'Ashed teabags dry'!A338</f>
        <v>R108</v>
      </c>
      <c r="AU5" t="b">
        <f t="shared" ref="AU5:AU68" si="16">COUNTIF($AS$4:$AS$2000, AS5)&gt;1</f>
        <v>0</v>
      </c>
      <c r="AV5" t="b">
        <f xml:space="preserve"> COUNTIF($AT$4:$AT$2000,#REF!)&gt;1</f>
        <v>0</v>
      </c>
      <c r="AX5" s="388" t="b">
        <f t="shared" ref="AX5:AX68" si="17">COUNTIF($BA$4:$BA$2000, AS5)=1</f>
        <v>0</v>
      </c>
      <c r="AY5" s="388" t="b">
        <f t="shared" ref="AY5:AY68" si="18">COUNTIF($BB$4:$BB$2000, AT5)=1</f>
        <v>0</v>
      </c>
      <c r="BA5" t="str">
        <f>'Ashed teabags wet'!A3</f>
        <v>G202</v>
      </c>
      <c r="BB5" t="str">
        <f>'Ashed teabags wet'!A423</f>
        <v>R10</v>
      </c>
      <c r="BC5" t="b">
        <f t="shared" ref="BC5:BC68" si="19">COUNTIF($BA$4:$BA$2000, BA5)&gt;1</f>
        <v>0</v>
      </c>
      <c r="BD5" t="b">
        <f t="shared" si="0"/>
        <v>0</v>
      </c>
      <c r="BF5" t="str">
        <f t="shared" ref="BF5:BF68" si="20">AS4</f>
        <v>G1</v>
      </c>
      <c r="BG5" t="str">
        <f t="shared" ref="BG5:BG68" si="21">T4</f>
        <v>G1</v>
      </c>
      <c r="BH5" t="str">
        <f t="shared" ref="BH5:BH68" si="22">B4</f>
        <v>G407</v>
      </c>
      <c r="BI5" t="str">
        <f>CB5</f>
        <v>G407</v>
      </c>
      <c r="BJ5" t="s">
        <v>2049</v>
      </c>
      <c r="BK5" t="s">
        <v>2049</v>
      </c>
      <c r="BL5" t="s">
        <v>2049</v>
      </c>
      <c r="BM5" t="b">
        <f xml:space="preserve"> COUNTIF($BJ$5:$BL$2000,BK5)=3</f>
        <v>1</v>
      </c>
      <c r="BN5" t="str">
        <f t="shared" ref="BN5:BN68" si="23">AT4</f>
        <v>R106</v>
      </c>
      <c r="BO5" t="str">
        <f t="shared" ref="BO5:BO68" si="24">U4</f>
        <v>R106</v>
      </c>
      <c r="BP5" t="str">
        <f t="shared" ref="BP5:BP68" si="25">C4</f>
        <v>R811</v>
      </c>
      <c r="BQ5" t="str">
        <f t="shared" ref="BQ5:BQ68" si="26">CE5</f>
        <v>R811</v>
      </c>
      <c r="BR5" t="s">
        <v>1035</v>
      </c>
      <c r="BS5" t="s">
        <v>1035</v>
      </c>
      <c r="BT5" t="s">
        <v>1035</v>
      </c>
      <c r="BU5" t="b">
        <f xml:space="preserve"> COUNTIF($BR$5:$BT$2000,BS5)=3</f>
        <v>1</v>
      </c>
      <c r="BV5" s="180" t="s">
        <v>1572</v>
      </c>
      <c r="BW5" s="180" t="s">
        <v>451</v>
      </c>
      <c r="BZ5" t="str">
        <f t="shared" ref="BZ5:BZ68" si="27">BH5</f>
        <v>G407</v>
      </c>
      <c r="CA5" t="b">
        <f t="shared" ref="CA5:CA68" si="28">COUNTIF($BV$5:$BV$2000, BZ5)=1</f>
        <v>0</v>
      </c>
      <c r="CB5" t="str">
        <f>IF(ISNUMBER(SEARCH("USANN",CA5)),BZ5,"")</f>
        <v>G407</v>
      </c>
      <c r="CC5" t="str">
        <f t="shared" ref="CC5:CC68" si="29">BP5</f>
        <v>R811</v>
      </c>
      <c r="CD5" t="b">
        <f>COUNTIF($BW$5:$BW$2000, CC5)=1</f>
        <v>0</v>
      </c>
      <c r="CE5" t="str">
        <f>IF(ISNUMBER(SEARCH("USANN",CD5)),CC5,"")</f>
        <v>R811</v>
      </c>
      <c r="CG5" t="str">
        <f t="shared" ref="CG5:CG68" si="30">BA4</f>
        <v>G201</v>
      </c>
      <c r="CH5" t="str">
        <f>L4</f>
        <v>G201</v>
      </c>
      <c r="CI5" t="str">
        <f t="shared" ref="CI5:CI68" si="31">AE4</f>
        <v>G436</v>
      </c>
      <c r="CJ5" t="str">
        <f t="shared" ref="CJ5:CJ68" si="32">DE5</f>
        <v>G436</v>
      </c>
      <c r="CK5" t="s">
        <v>1849</v>
      </c>
      <c r="CL5" t="s">
        <v>1849</v>
      </c>
      <c r="CM5" t="s">
        <v>1849</v>
      </c>
      <c r="CN5" t="b">
        <f xml:space="preserve"> COUNTIF($CK$5:$CM$2000,CL5)=3</f>
        <v>1</v>
      </c>
      <c r="CO5" t="str">
        <f t="shared" ref="CO5:CO68" si="33">BB4</f>
        <v>R1</v>
      </c>
      <c r="CP5" t="str">
        <f>M4</f>
        <v>R1</v>
      </c>
      <c r="CQ5" t="str">
        <f t="shared" ref="CQ5:CQ68" si="34">AF4</f>
        <v>R17</v>
      </c>
      <c r="CR5" t="str">
        <f t="shared" ref="CR5:CR68" si="35">DH5</f>
        <v>R17</v>
      </c>
      <c r="CS5" t="s">
        <v>1140</v>
      </c>
      <c r="CT5" t="s">
        <v>1140</v>
      </c>
      <c r="CU5" t="s">
        <v>1140</v>
      </c>
      <c r="CV5" t="b">
        <f xml:space="preserve"> COUNTIF($CS$5:$CU$2000,CT5)=3</f>
        <v>1</v>
      </c>
      <c r="CW5" s="393" t="s">
        <v>1419</v>
      </c>
      <c r="CX5" s="393" t="b">
        <f>COUNTIF($CG$5:$CG$2000, CW5)&gt;1</f>
        <v>0</v>
      </c>
      <c r="CY5" s="393" t="s">
        <v>983</v>
      </c>
      <c r="CZ5" s="393" t="b">
        <f>COUNTIF(CO:CO, CY5)&gt;1</f>
        <v>0</v>
      </c>
      <c r="DC5" t="str">
        <f t="shared" ref="DC5:DC68" si="36">CI5</f>
        <v>G436</v>
      </c>
      <c r="DD5" t="b">
        <f>COUNTIF($CW$5:$CW$2000, DC5)=1</f>
        <v>0</v>
      </c>
      <c r="DE5" t="str">
        <f>IF(ISNUMBER(SEARCH("USANN",DD5)),DC5,"")</f>
        <v>G436</v>
      </c>
      <c r="DF5" t="str">
        <f t="shared" ref="DF5:DF68" si="37">CQ5</f>
        <v>R17</v>
      </c>
      <c r="DG5" t="b">
        <f>COUNTIF($CY$5:$CY$2000, DF5)=1</f>
        <v>0</v>
      </c>
      <c r="DH5" t="str">
        <f>IF(ISNUMBER(SEARCH("USANN",DG5)),DF5,"")</f>
        <v>R17</v>
      </c>
    </row>
    <row r="6" spans="2:115" ht="12" customHeight="1">
      <c r="B6" t="str">
        <f>TBIDry!H78</f>
        <v>G259</v>
      </c>
      <c r="C6" t="str">
        <f>TBIDry!I78</f>
        <v>R742</v>
      </c>
      <c r="D6" t="b">
        <f t="shared" si="1"/>
        <v>0</v>
      </c>
      <c r="E6" t="b">
        <f t="shared" si="2"/>
        <v>0</v>
      </c>
      <c r="G6" t="str">
        <f>TBIWet!H78</f>
        <v>G631</v>
      </c>
      <c r="H6" t="str">
        <f>TBIWet!I78</f>
        <v>R158</v>
      </c>
      <c r="I6" t="b">
        <f t="shared" si="3"/>
        <v>0</v>
      </c>
      <c r="J6" t="b">
        <f t="shared" ref="J6:J68" si="38">COUNTIF($H$4:$H$2000, H6)&gt;1</f>
        <v>0</v>
      </c>
      <c r="L6" t="str">
        <f>'Both teabags AfterWet'!A4</f>
        <v>G214</v>
      </c>
      <c r="M6" t="str">
        <f>'Both teabags AfterWet'!A424</f>
        <v>R100</v>
      </c>
      <c r="N6" t="b">
        <f t="shared" si="4"/>
        <v>0</v>
      </c>
      <c r="O6" t="b">
        <f>COUNTIF($M$4:$M$2000, M4)&gt;1</f>
        <v>0</v>
      </c>
      <c r="Q6" s="388" t="b">
        <f t="shared" si="5"/>
        <v>0</v>
      </c>
      <c r="R6" s="388" t="b">
        <f t="shared" si="6"/>
        <v>0</v>
      </c>
      <c r="T6" t="str">
        <f>'Both teabags AfterDry'!A4</f>
        <v>G101</v>
      </c>
      <c r="U6" t="str">
        <f>'Both teabags AfterDry'!A339</f>
        <v>R116</v>
      </c>
      <c r="V6" t="b">
        <f t="shared" si="7"/>
        <v>0</v>
      </c>
      <c r="W6" t="b">
        <f t="shared" ref="W6:W69" si="39">COUNTIF($U$4:$U$2000, U6)&gt;1</f>
        <v>0</v>
      </c>
      <c r="Y6" t="str">
        <f>'Green_rooibos initial weight'!A7</f>
        <v>G3</v>
      </c>
      <c r="Z6" t="str">
        <f>'Green_rooibos initial weight'!A911</f>
        <v>R3</v>
      </c>
      <c r="AA6" t="b">
        <f t="shared" si="8"/>
        <v>0</v>
      </c>
      <c r="AB6" t="b">
        <f t="shared" si="9"/>
        <v>0</v>
      </c>
      <c r="AE6" t="str">
        <f>'WetLitterbags placem_collection'!K5</f>
        <v>G631</v>
      </c>
      <c r="AF6" t="str">
        <f>'WetLitterbags placem_collection'!M5</f>
        <v>R158</v>
      </c>
      <c r="AG6" t="b">
        <f t="shared" si="10"/>
        <v>0</v>
      </c>
      <c r="AH6" t="b">
        <f t="shared" si="11"/>
        <v>0</v>
      </c>
      <c r="AJ6" t="b">
        <f t="shared" si="12"/>
        <v>0</v>
      </c>
      <c r="AK6" t="b">
        <f t="shared" si="13"/>
        <v>0</v>
      </c>
      <c r="AM6" t="str">
        <f>IF(ISBLANK('Dry_Litterbag Placem_Collection'!J5),"","G"&amp;""&amp;'Dry_Litterbag Placem_Collection'!J5)</f>
        <v>G259</v>
      </c>
      <c r="AN6" t="str">
        <f>IF(ISBLANK('Dry_Litterbag Placem_Collection'!K5),"","R"&amp;""&amp;'Dry_Litterbag Placem_Collection'!K5)</f>
        <v>R742</v>
      </c>
      <c r="AO6" t="b">
        <f t="shared" si="14"/>
        <v>0</v>
      </c>
      <c r="AP6" t="b">
        <f t="shared" si="15"/>
        <v>0</v>
      </c>
      <c r="AS6" t="str">
        <f>'Ashed teabags dry'!A4</f>
        <v>G101</v>
      </c>
      <c r="AT6" t="str">
        <f>'Ashed teabags dry'!A339</f>
        <v>R116</v>
      </c>
      <c r="AU6" t="b">
        <f t="shared" si="16"/>
        <v>0</v>
      </c>
      <c r="AV6" t="b">
        <f t="shared" ref="AV6:AV69" si="40">COUNTIF($AT$4:$AT$2000, AT6)&gt;1</f>
        <v>0</v>
      </c>
      <c r="AX6" s="388" t="b">
        <f t="shared" si="17"/>
        <v>0</v>
      </c>
      <c r="AY6" s="388" t="b">
        <f t="shared" si="18"/>
        <v>0</v>
      </c>
      <c r="BA6" t="str">
        <f>'Ashed teabags wet'!A4</f>
        <v>G214</v>
      </c>
      <c r="BB6" t="str">
        <f>'Ashed teabags wet'!A424</f>
        <v>R100</v>
      </c>
      <c r="BC6" t="b">
        <f t="shared" si="19"/>
        <v>0</v>
      </c>
      <c r="BD6" t="b">
        <f t="shared" si="0"/>
        <v>0</v>
      </c>
      <c r="BF6" t="str">
        <f t="shared" si="20"/>
        <v>G10</v>
      </c>
      <c r="BG6" t="str">
        <f t="shared" si="21"/>
        <v>G10</v>
      </c>
      <c r="BH6" t="str">
        <f t="shared" si="22"/>
        <v/>
      </c>
      <c r="BI6" t="str">
        <f t="shared" ref="BI6:BI69" si="41">CB6</f>
        <v/>
      </c>
      <c r="BJ6" t="s">
        <v>2040</v>
      </c>
      <c r="BK6" t="s">
        <v>2040</v>
      </c>
      <c r="BL6" t="s">
        <v>2040</v>
      </c>
      <c r="BM6" t="b">
        <f t="shared" ref="BM6:BM69" si="42" xml:space="preserve"> COUNTIF($BJ$5:$BL$2000,BK6)=3</f>
        <v>1</v>
      </c>
      <c r="BN6" t="str">
        <f t="shared" si="23"/>
        <v>R108</v>
      </c>
      <c r="BO6" t="str">
        <f t="shared" si="24"/>
        <v>R108</v>
      </c>
      <c r="BP6" t="str">
        <f t="shared" si="25"/>
        <v/>
      </c>
      <c r="BQ6" t="str">
        <f t="shared" si="26"/>
        <v/>
      </c>
      <c r="BR6" t="s">
        <v>1033</v>
      </c>
      <c r="BS6" t="s">
        <v>1033</v>
      </c>
      <c r="BT6" t="s">
        <v>1033</v>
      </c>
      <c r="BU6" t="b">
        <f t="shared" ref="BU6:BU69" si="43" xml:space="preserve"> COUNTIF($BR$5:$BT$2000,BS6)=3</f>
        <v>1</v>
      </c>
      <c r="BV6" s="180" t="s">
        <v>1674</v>
      </c>
      <c r="BW6" s="180" t="s">
        <v>384</v>
      </c>
      <c r="BZ6" t="str">
        <f t="shared" si="27"/>
        <v/>
      </c>
      <c r="CA6" t="b">
        <f t="shared" si="28"/>
        <v>0</v>
      </c>
      <c r="CB6" t="str">
        <f t="shared" ref="CB6:CB69" si="44">IF(ISNUMBER(SEARCH("USANN",CA6)),BZ6,"")</f>
        <v/>
      </c>
      <c r="CC6" t="str">
        <f t="shared" si="29"/>
        <v/>
      </c>
      <c r="CD6" t="b">
        <f t="shared" ref="CD6:CD69" si="45">COUNTIF($BW$5:$BW$2000, CC6)=1</f>
        <v>0</v>
      </c>
      <c r="CE6" t="str">
        <f t="shared" ref="CE6:CE69" si="46">IF(ISNUMBER(SEARCH("USANN",CD6)),CC6,"")</f>
        <v/>
      </c>
      <c r="CG6" t="str">
        <f t="shared" si="30"/>
        <v>G202</v>
      </c>
      <c r="CH6" t="str">
        <f t="shared" ref="CH6:CH69" si="47">L5</f>
        <v>G202</v>
      </c>
      <c r="CI6" t="str">
        <f t="shared" si="31"/>
        <v>G568</v>
      </c>
      <c r="CJ6" t="str">
        <f t="shared" si="32"/>
        <v>G568</v>
      </c>
      <c r="CK6" t="s">
        <v>1848</v>
      </c>
      <c r="CL6" t="s">
        <v>1848</v>
      </c>
      <c r="CM6" t="s">
        <v>1848</v>
      </c>
      <c r="CN6" t="b">
        <f t="shared" ref="CN6:CN69" si="48" xml:space="preserve"> COUNTIF($CK$5:$CM$2000,CL6)=3</f>
        <v>1</v>
      </c>
      <c r="CO6" t="str">
        <f t="shared" si="33"/>
        <v>R10</v>
      </c>
      <c r="CP6" t="str">
        <f t="shared" ref="CP6:CP69" si="49">M5</f>
        <v>R10</v>
      </c>
      <c r="CQ6" t="str">
        <f t="shared" si="34"/>
        <v>R121</v>
      </c>
      <c r="CR6" t="str">
        <f t="shared" si="35"/>
        <v>R121</v>
      </c>
      <c r="CS6" t="s">
        <v>1131</v>
      </c>
      <c r="CT6" t="s">
        <v>1131</v>
      </c>
      <c r="CU6" t="s">
        <v>1131</v>
      </c>
      <c r="CV6" t="b">
        <f t="shared" ref="CV6:CV69" si="50" xml:space="preserve"> COUNTIF($CS$5:$CU$2000,CT6)=3</f>
        <v>1</v>
      </c>
      <c r="CW6" s="393" t="s">
        <v>1460</v>
      </c>
      <c r="CX6" s="393" t="b">
        <f>COUNTIF($CG$5:$CG$2000, CW6)&gt;1</f>
        <v>0</v>
      </c>
      <c r="CY6" s="393" t="s">
        <v>732</v>
      </c>
      <c r="CZ6" s="393" t="b">
        <f t="shared" ref="CZ6:CZ17" si="51">COUNTIF(CO:CO, CY6)&gt;1</f>
        <v>0</v>
      </c>
      <c r="DC6" t="str">
        <f t="shared" si="36"/>
        <v>G568</v>
      </c>
      <c r="DD6" t="b">
        <f t="shared" ref="DD6:DD69" si="52">COUNTIF($CW$5:$CW$2000, DC6)=1</f>
        <v>0</v>
      </c>
      <c r="DE6" t="str">
        <f t="shared" ref="DE6:DE69" si="53">IF(ISNUMBER(SEARCH("USANN",DD6)),DC6,"")</f>
        <v>G568</v>
      </c>
      <c r="DF6" t="str">
        <f t="shared" si="37"/>
        <v>R121</v>
      </c>
      <c r="DG6" t="b">
        <f t="shared" ref="DG6:DG69" si="54">COUNTIF($CY$5:$CY$2000, DF6)=1</f>
        <v>0</v>
      </c>
      <c r="DH6" t="str">
        <f t="shared" ref="DH6:DH69" si="55">IF(ISNUMBER(SEARCH("USANN",DG6)),DF6,"")</f>
        <v>R121</v>
      </c>
    </row>
    <row r="7" spans="2:115" ht="12" customHeight="1">
      <c r="B7" t="str">
        <f>TBIDry!H79</f>
        <v>G255</v>
      </c>
      <c r="C7" t="str">
        <f>TBIDry!I79</f>
        <v>R661</v>
      </c>
      <c r="D7" t="b">
        <f t="shared" si="1"/>
        <v>0</v>
      </c>
      <c r="E7" t="b">
        <f t="shared" si="2"/>
        <v>0</v>
      </c>
      <c r="G7" t="str">
        <f>TBIWet!H79</f>
        <v>G652</v>
      </c>
      <c r="H7" t="str">
        <f>TBIWet!I79</f>
        <v>R115</v>
      </c>
      <c r="I7" t="b">
        <f t="shared" si="3"/>
        <v>0</v>
      </c>
      <c r="J7" t="b">
        <f t="shared" si="38"/>
        <v>0</v>
      </c>
      <c r="L7" t="str">
        <f>'Both teabags AfterWet'!A5</f>
        <v>G216</v>
      </c>
      <c r="M7" t="str">
        <f>'Both teabags AfterWet'!A425</f>
        <v>R101</v>
      </c>
      <c r="N7" t="b">
        <f t="shared" si="4"/>
        <v>0</v>
      </c>
      <c r="O7" t="b">
        <f t="shared" ref="O7:O70" si="56">COUNTIF($M$4:$M$2000, M7)&gt;1</f>
        <v>0</v>
      </c>
      <c r="Q7" s="388" t="b">
        <f t="shared" si="5"/>
        <v>0</v>
      </c>
      <c r="R7" s="388" t="b">
        <f t="shared" si="6"/>
        <v>0</v>
      </c>
      <c r="T7" t="str">
        <f>'Both teabags AfterDry'!A5</f>
        <v>G102</v>
      </c>
      <c r="U7" t="str">
        <f>'Both teabags AfterDry'!A340</f>
        <v>R118</v>
      </c>
      <c r="V7" t="b">
        <f t="shared" si="7"/>
        <v>0</v>
      </c>
      <c r="W7" t="b">
        <f t="shared" si="39"/>
        <v>0</v>
      </c>
      <c r="Y7" t="str">
        <f>'Green_rooibos initial weight'!A8</f>
        <v>G4</v>
      </c>
      <c r="Z7" t="str">
        <f>'Green_rooibos initial weight'!A912</f>
        <v>R4</v>
      </c>
      <c r="AA7" t="b">
        <f t="shared" si="8"/>
        <v>0</v>
      </c>
      <c r="AB7" t="b">
        <f t="shared" si="9"/>
        <v>0</v>
      </c>
      <c r="AE7" t="str">
        <f>'WetLitterbags placem_collection'!K6</f>
        <v>G652</v>
      </c>
      <c r="AF7" t="str">
        <f>'WetLitterbags placem_collection'!M6</f>
        <v>R115</v>
      </c>
      <c r="AG7" t="b">
        <f t="shared" si="10"/>
        <v>0</v>
      </c>
      <c r="AH7" t="b">
        <f t="shared" si="11"/>
        <v>0</v>
      </c>
      <c r="AJ7" t="b">
        <f t="shared" si="12"/>
        <v>0</v>
      </c>
      <c r="AK7" t="b">
        <f t="shared" si="13"/>
        <v>0</v>
      </c>
      <c r="AM7" t="str">
        <f>IF(ISBLANK('Dry_Litterbag Placem_Collection'!J6),"","G"&amp;""&amp;'Dry_Litterbag Placem_Collection'!J6)</f>
        <v>G255</v>
      </c>
      <c r="AN7" t="str">
        <f>IF(ISBLANK('Dry_Litterbag Placem_Collection'!K6),"","R"&amp;""&amp;'Dry_Litterbag Placem_Collection'!K6)</f>
        <v>R661</v>
      </c>
      <c r="AO7" t="b">
        <f t="shared" si="14"/>
        <v>0</v>
      </c>
      <c r="AP7" t="b">
        <f t="shared" si="15"/>
        <v>0</v>
      </c>
      <c r="AS7" t="str">
        <f>'Ashed teabags dry'!A5</f>
        <v>G102</v>
      </c>
      <c r="AT7" t="str">
        <f>'Ashed teabags dry'!A340</f>
        <v>R118</v>
      </c>
      <c r="AU7" t="b">
        <f t="shared" si="16"/>
        <v>0</v>
      </c>
      <c r="AV7" t="b">
        <f t="shared" si="40"/>
        <v>0</v>
      </c>
      <c r="AX7" s="388" t="b">
        <f t="shared" si="17"/>
        <v>0</v>
      </c>
      <c r="AY7" s="388" t="b">
        <f t="shared" si="18"/>
        <v>0</v>
      </c>
      <c r="BA7" t="str">
        <f>'Ashed teabags wet'!A5</f>
        <v>G216</v>
      </c>
      <c r="BB7" t="str">
        <f>'Ashed teabags wet'!A425</f>
        <v>R101</v>
      </c>
      <c r="BC7" t="b">
        <f t="shared" si="19"/>
        <v>0</v>
      </c>
      <c r="BD7" t="b">
        <f t="shared" si="0"/>
        <v>0</v>
      </c>
      <c r="BF7" t="str">
        <f t="shared" si="20"/>
        <v>G101</v>
      </c>
      <c r="BG7" t="str">
        <f t="shared" si="21"/>
        <v>G101</v>
      </c>
      <c r="BH7" t="str">
        <f t="shared" si="22"/>
        <v>G259</v>
      </c>
      <c r="BI7" t="str">
        <f t="shared" si="41"/>
        <v>G259</v>
      </c>
      <c r="BJ7" t="s">
        <v>1949</v>
      </c>
      <c r="BK7" t="s">
        <v>1949</v>
      </c>
      <c r="BL7" t="s">
        <v>1949</v>
      </c>
      <c r="BM7" t="b">
        <f t="shared" si="42"/>
        <v>1</v>
      </c>
      <c r="BN7" t="str">
        <f t="shared" si="23"/>
        <v>R116</v>
      </c>
      <c r="BO7" t="str">
        <f t="shared" si="24"/>
        <v>R116</v>
      </c>
      <c r="BP7" t="str">
        <f t="shared" si="25"/>
        <v>R742</v>
      </c>
      <c r="BQ7" t="str">
        <f t="shared" si="26"/>
        <v>R742</v>
      </c>
      <c r="BR7" t="s">
        <v>1025</v>
      </c>
      <c r="BS7" t="s">
        <v>1025</v>
      </c>
      <c r="BT7" t="s">
        <v>1025</v>
      </c>
      <c r="BU7" t="b">
        <f t="shared" si="43"/>
        <v>1</v>
      </c>
      <c r="BV7" s="180" t="s">
        <v>1710</v>
      </c>
      <c r="BW7" s="180" t="s">
        <v>473</v>
      </c>
      <c r="BZ7" t="str">
        <f t="shared" si="27"/>
        <v>G259</v>
      </c>
      <c r="CA7" t="b">
        <f t="shared" si="28"/>
        <v>0</v>
      </c>
      <c r="CB7" t="str">
        <f t="shared" si="44"/>
        <v>G259</v>
      </c>
      <c r="CC7" t="str">
        <f t="shared" si="29"/>
        <v>R742</v>
      </c>
      <c r="CD7" t="b">
        <f t="shared" si="45"/>
        <v>0</v>
      </c>
      <c r="CE7" t="str">
        <f t="shared" si="46"/>
        <v>R742</v>
      </c>
      <c r="CG7" t="str">
        <f t="shared" si="30"/>
        <v>G214</v>
      </c>
      <c r="CH7" t="str">
        <f t="shared" si="47"/>
        <v>G214</v>
      </c>
      <c r="CI7" t="str">
        <f t="shared" si="31"/>
        <v>G631</v>
      </c>
      <c r="CJ7" t="str">
        <f t="shared" si="32"/>
        <v/>
      </c>
      <c r="CK7" t="s">
        <v>1836</v>
      </c>
      <c r="CL7" t="s">
        <v>1836</v>
      </c>
      <c r="CM7" t="s">
        <v>1836</v>
      </c>
      <c r="CN7" t="b">
        <f t="shared" si="48"/>
        <v>1</v>
      </c>
      <c r="CO7" t="str">
        <f t="shared" si="33"/>
        <v>R100</v>
      </c>
      <c r="CP7" t="str">
        <f t="shared" si="49"/>
        <v>R100</v>
      </c>
      <c r="CQ7" t="str">
        <f t="shared" si="34"/>
        <v>R158</v>
      </c>
      <c r="CR7" t="str">
        <f t="shared" si="35"/>
        <v/>
      </c>
      <c r="CS7" t="s">
        <v>1041</v>
      </c>
      <c r="CT7" t="s">
        <v>1041</v>
      </c>
      <c r="CU7" t="s">
        <v>1041</v>
      </c>
      <c r="CV7" t="b">
        <f t="shared" si="50"/>
        <v>1</v>
      </c>
      <c r="CW7" s="393" t="s">
        <v>1415</v>
      </c>
      <c r="CX7" s="393" t="b">
        <f t="shared" ref="CX7:CX9" si="57">COUNTIF($CG$5:$CG$2000, CW7)&gt;1</f>
        <v>0</v>
      </c>
      <c r="CY7" s="393" t="s">
        <v>1055</v>
      </c>
      <c r="CZ7" s="393" t="b">
        <f t="shared" si="51"/>
        <v>0</v>
      </c>
      <c r="DC7" t="str">
        <f t="shared" si="36"/>
        <v>G631</v>
      </c>
      <c r="DD7" t="b">
        <f t="shared" si="52"/>
        <v>1</v>
      </c>
      <c r="DE7" t="str">
        <f t="shared" si="53"/>
        <v/>
      </c>
      <c r="DF7" t="str">
        <f t="shared" si="37"/>
        <v>R158</v>
      </c>
      <c r="DG7" t="b">
        <f t="shared" si="54"/>
        <v>1</v>
      </c>
      <c r="DH7" t="str">
        <f t="shared" si="55"/>
        <v/>
      </c>
    </row>
    <row r="8" spans="2:115" ht="12" customHeight="1">
      <c r="B8" t="str">
        <f>TBIDry!H80</f>
        <v>G122</v>
      </c>
      <c r="C8" t="str">
        <f>TBIDry!I80</f>
        <v>R724</v>
      </c>
      <c r="D8" t="b">
        <f t="shared" si="1"/>
        <v>0</v>
      </c>
      <c r="E8" t="b">
        <f t="shared" si="2"/>
        <v>0</v>
      </c>
      <c r="G8" t="str">
        <f>TBIWet!H80</f>
        <v>G497</v>
      </c>
      <c r="H8" t="str">
        <f>TBIWet!I80</f>
        <v>R502</v>
      </c>
      <c r="I8" t="b">
        <f t="shared" si="3"/>
        <v>0</v>
      </c>
      <c r="J8" t="b">
        <f t="shared" si="38"/>
        <v>0</v>
      </c>
      <c r="L8" t="str">
        <f>'Both teabags AfterWet'!A6</f>
        <v>G217</v>
      </c>
      <c r="M8" t="str">
        <f>'Both teabags AfterWet'!A426</f>
        <v>R103</v>
      </c>
      <c r="N8" t="b">
        <f t="shared" si="4"/>
        <v>0</v>
      </c>
      <c r="O8" t="b">
        <f t="shared" si="56"/>
        <v>0</v>
      </c>
      <c r="Q8" s="388" t="b">
        <f t="shared" si="5"/>
        <v>0</v>
      </c>
      <c r="R8" s="388" t="b">
        <f t="shared" si="6"/>
        <v>0</v>
      </c>
      <c r="T8" t="str">
        <f>'Both teabags AfterDry'!A6</f>
        <v>G105</v>
      </c>
      <c r="U8" t="str">
        <f>'Both teabags AfterDry'!A341</f>
        <v>R127</v>
      </c>
      <c r="V8" t="b">
        <f t="shared" si="7"/>
        <v>0</v>
      </c>
      <c r="W8" t="b">
        <f t="shared" si="39"/>
        <v>0</v>
      </c>
      <c r="Y8" t="str">
        <f>'Green_rooibos initial weight'!A9</f>
        <v>G5</v>
      </c>
      <c r="Z8" t="str">
        <f>'Green_rooibos initial weight'!A913</f>
        <v>R5</v>
      </c>
      <c r="AA8" t="b">
        <f t="shared" si="8"/>
        <v>0</v>
      </c>
      <c r="AB8" t="b">
        <f t="shared" si="9"/>
        <v>0</v>
      </c>
      <c r="AE8" t="str">
        <f>'WetLitterbags placem_collection'!K7</f>
        <v>G497</v>
      </c>
      <c r="AF8" t="str">
        <f>'WetLitterbags placem_collection'!M7</f>
        <v>R502</v>
      </c>
      <c r="AG8" t="b">
        <f t="shared" si="10"/>
        <v>0</v>
      </c>
      <c r="AH8" t="b">
        <f t="shared" si="11"/>
        <v>0</v>
      </c>
      <c r="AJ8" t="b">
        <f t="shared" si="12"/>
        <v>0</v>
      </c>
      <c r="AK8" t="b">
        <f t="shared" si="13"/>
        <v>0</v>
      </c>
      <c r="AM8" t="str">
        <f>IF(ISBLANK('Dry_Litterbag Placem_Collection'!J7),"","G"&amp;""&amp;'Dry_Litterbag Placem_Collection'!J7)</f>
        <v>G122</v>
      </c>
      <c r="AN8" t="str">
        <f>IF(ISBLANK('Dry_Litterbag Placem_Collection'!K7),"","R"&amp;""&amp;'Dry_Litterbag Placem_Collection'!K7)</f>
        <v>R724</v>
      </c>
      <c r="AO8" t="b">
        <f t="shared" ref="AO8:AO68" si="58">COUNTIF($AM$4:$AM$2000, AM8)&gt;1</f>
        <v>0</v>
      </c>
      <c r="AP8" t="b">
        <f t="shared" si="15"/>
        <v>0</v>
      </c>
      <c r="AS8" t="str">
        <f>'Ashed teabags dry'!A6</f>
        <v>G105</v>
      </c>
      <c r="AT8" t="str">
        <f>'Ashed teabags dry'!A341</f>
        <v>R127</v>
      </c>
      <c r="AU8" t="b">
        <f t="shared" si="16"/>
        <v>0</v>
      </c>
      <c r="AV8" t="b">
        <f t="shared" si="40"/>
        <v>0</v>
      </c>
      <c r="AX8" s="388" t="b">
        <f t="shared" si="17"/>
        <v>0</v>
      </c>
      <c r="AY8" s="388" t="b">
        <f t="shared" si="18"/>
        <v>0</v>
      </c>
      <c r="BA8" t="str">
        <f>'Ashed teabags wet'!A6</f>
        <v>G217</v>
      </c>
      <c r="BB8" t="str">
        <f>'Ashed teabags wet'!A426</f>
        <v>R103</v>
      </c>
      <c r="BC8" t="b">
        <f t="shared" si="19"/>
        <v>0</v>
      </c>
      <c r="BD8" t="b">
        <f t="shared" si="0"/>
        <v>0</v>
      </c>
      <c r="BF8" t="str">
        <f t="shared" si="20"/>
        <v>G102</v>
      </c>
      <c r="BG8" t="str">
        <f t="shared" si="21"/>
        <v>G102</v>
      </c>
      <c r="BH8" t="str">
        <f t="shared" si="22"/>
        <v>G255</v>
      </c>
      <c r="BI8" t="str">
        <f t="shared" si="41"/>
        <v>G255</v>
      </c>
      <c r="BJ8" t="s">
        <v>1948</v>
      </c>
      <c r="BK8" t="s">
        <v>1948</v>
      </c>
      <c r="BL8" t="s">
        <v>1948</v>
      </c>
      <c r="BM8" t="b">
        <f t="shared" si="42"/>
        <v>1</v>
      </c>
      <c r="BN8" t="str">
        <f t="shared" si="23"/>
        <v>R118</v>
      </c>
      <c r="BO8" t="str">
        <f t="shared" si="24"/>
        <v>R118</v>
      </c>
      <c r="BP8" t="str">
        <f t="shared" si="25"/>
        <v>R661</v>
      </c>
      <c r="BQ8" t="str">
        <f t="shared" si="26"/>
        <v>R661</v>
      </c>
      <c r="BR8" t="s">
        <v>1023</v>
      </c>
      <c r="BS8" t="s">
        <v>1023</v>
      </c>
      <c r="BT8" t="s">
        <v>1023</v>
      </c>
      <c r="BU8" t="b">
        <f t="shared" si="43"/>
        <v>1</v>
      </c>
      <c r="BV8" s="180" t="s">
        <v>1946</v>
      </c>
      <c r="BW8" s="180" t="s">
        <v>386</v>
      </c>
      <c r="BZ8" t="str">
        <f t="shared" si="27"/>
        <v>G255</v>
      </c>
      <c r="CA8" t="b">
        <f t="shared" si="28"/>
        <v>0</v>
      </c>
      <c r="CB8" t="str">
        <f t="shared" si="44"/>
        <v>G255</v>
      </c>
      <c r="CC8" t="str">
        <f t="shared" si="29"/>
        <v>R661</v>
      </c>
      <c r="CD8" t="b">
        <f t="shared" si="45"/>
        <v>0</v>
      </c>
      <c r="CE8" t="str">
        <f t="shared" si="46"/>
        <v>R661</v>
      </c>
      <c r="CG8" t="str">
        <f t="shared" si="30"/>
        <v>G216</v>
      </c>
      <c r="CH8" t="str">
        <f t="shared" si="47"/>
        <v>G216</v>
      </c>
      <c r="CI8" t="str">
        <f t="shared" si="31"/>
        <v>G652</v>
      </c>
      <c r="CJ8" t="str">
        <f t="shared" si="32"/>
        <v/>
      </c>
      <c r="CK8" t="s">
        <v>1834</v>
      </c>
      <c r="CL8" t="s">
        <v>1834</v>
      </c>
      <c r="CM8" t="s">
        <v>1834</v>
      </c>
      <c r="CN8" t="b">
        <f t="shared" si="48"/>
        <v>1</v>
      </c>
      <c r="CO8" t="str">
        <f t="shared" si="33"/>
        <v>R101</v>
      </c>
      <c r="CP8" t="str">
        <f t="shared" si="49"/>
        <v>R101</v>
      </c>
      <c r="CQ8" t="str">
        <f t="shared" si="34"/>
        <v>R115</v>
      </c>
      <c r="CR8" t="str">
        <f t="shared" si="35"/>
        <v>R115</v>
      </c>
      <c r="CS8" t="s">
        <v>1040</v>
      </c>
      <c r="CT8" t="s">
        <v>1040</v>
      </c>
      <c r="CU8" t="s">
        <v>1040</v>
      </c>
      <c r="CV8" t="b">
        <f t="shared" si="50"/>
        <v>1</v>
      </c>
      <c r="CW8" s="393" t="s">
        <v>1624</v>
      </c>
      <c r="CX8" s="393" t="b">
        <f t="shared" si="57"/>
        <v>0</v>
      </c>
      <c r="CY8" s="393" t="s">
        <v>742</v>
      </c>
      <c r="CZ8" s="393" t="b">
        <f t="shared" si="51"/>
        <v>0</v>
      </c>
      <c r="DC8" t="str">
        <f t="shared" si="36"/>
        <v>G652</v>
      </c>
      <c r="DD8" t="b">
        <f t="shared" si="52"/>
        <v>1</v>
      </c>
      <c r="DE8" t="str">
        <f t="shared" si="53"/>
        <v/>
      </c>
      <c r="DF8" t="str">
        <f t="shared" si="37"/>
        <v>R115</v>
      </c>
      <c r="DG8" t="b">
        <f t="shared" si="54"/>
        <v>0</v>
      </c>
      <c r="DH8" t="str">
        <f t="shared" si="55"/>
        <v>R115</v>
      </c>
    </row>
    <row r="9" spans="2:115" ht="12" customHeight="1">
      <c r="B9" t="str">
        <f>TBIDry!H81</f>
        <v>G478</v>
      </c>
      <c r="C9" t="str">
        <f>TBIDry!I81</f>
        <v>R688</v>
      </c>
      <c r="D9" t="b">
        <f t="shared" si="1"/>
        <v>0</v>
      </c>
      <c r="E9" t="b">
        <f t="shared" si="2"/>
        <v>0</v>
      </c>
      <c r="G9" t="str">
        <f>TBIWet!H81</f>
        <v>G447</v>
      </c>
      <c r="H9" t="str">
        <f>TBIWet!I81</f>
        <v>R177</v>
      </c>
      <c r="I9" t="b">
        <f t="shared" si="3"/>
        <v>0</v>
      </c>
      <c r="J9" t="b">
        <f t="shared" si="38"/>
        <v>0</v>
      </c>
      <c r="L9" t="str">
        <f>'Both teabags AfterWet'!A7</f>
        <v>G222</v>
      </c>
      <c r="M9" t="str">
        <f>'Both teabags AfterWet'!A427</f>
        <v>R104</v>
      </c>
      <c r="N9" t="b">
        <f t="shared" si="4"/>
        <v>0</v>
      </c>
      <c r="O9" t="b">
        <f t="shared" si="56"/>
        <v>0</v>
      </c>
      <c r="Q9" s="388" t="b">
        <f t="shared" si="5"/>
        <v>0</v>
      </c>
      <c r="R9" s="388" t="b">
        <f t="shared" si="6"/>
        <v>0</v>
      </c>
      <c r="T9" t="str">
        <f>'Both teabags AfterDry'!A7</f>
        <v>G106</v>
      </c>
      <c r="U9" t="str">
        <f>'Both teabags AfterDry'!A342</f>
        <v>R13</v>
      </c>
      <c r="V9" t="b">
        <f t="shared" si="7"/>
        <v>0</v>
      </c>
      <c r="W9" t="b">
        <f t="shared" si="39"/>
        <v>0</v>
      </c>
      <c r="Y9" t="str">
        <f>'Green_rooibos initial weight'!A10</f>
        <v>G6</v>
      </c>
      <c r="Z9" t="str">
        <f>'Green_rooibos initial weight'!A914</f>
        <v>R6</v>
      </c>
      <c r="AA9" t="b">
        <f t="shared" si="8"/>
        <v>0</v>
      </c>
      <c r="AB9" t="b">
        <f t="shared" si="9"/>
        <v>0</v>
      </c>
      <c r="AE9" t="str">
        <f>'WetLitterbags placem_collection'!K8</f>
        <v>G447</v>
      </c>
      <c r="AF9" t="str">
        <f>'WetLitterbags placem_collection'!M8</f>
        <v>R177</v>
      </c>
      <c r="AG9" t="b">
        <f t="shared" si="10"/>
        <v>0</v>
      </c>
      <c r="AH9" t="b">
        <f t="shared" si="11"/>
        <v>0</v>
      </c>
      <c r="AJ9" t="b">
        <f t="shared" si="12"/>
        <v>0</v>
      </c>
      <c r="AK9" t="b">
        <f t="shared" si="13"/>
        <v>0</v>
      </c>
      <c r="AM9" t="str">
        <f>IF(ISBLANK('Dry_Litterbag Placem_Collection'!J8),"","G"&amp;""&amp;'Dry_Litterbag Placem_Collection'!J8)</f>
        <v>G478</v>
      </c>
      <c r="AN9" t="str">
        <f>IF(ISBLANK('Dry_Litterbag Placem_Collection'!K8),"","R"&amp;""&amp;'Dry_Litterbag Placem_Collection'!K8)</f>
        <v>R688</v>
      </c>
      <c r="AO9" t="b">
        <f t="shared" si="58"/>
        <v>0</v>
      </c>
      <c r="AP9" t="b">
        <f t="shared" si="15"/>
        <v>0</v>
      </c>
      <c r="AS9" t="str">
        <f>'Ashed teabags dry'!A7</f>
        <v>G106</v>
      </c>
      <c r="AT9" t="str">
        <f>'Ashed teabags dry'!A342</f>
        <v>R13</v>
      </c>
      <c r="AU9" t="b">
        <f t="shared" si="16"/>
        <v>0</v>
      </c>
      <c r="AV9" t="b">
        <f t="shared" si="40"/>
        <v>0</v>
      </c>
      <c r="AX9" s="388" t="b">
        <f t="shared" si="17"/>
        <v>0</v>
      </c>
      <c r="AY9" s="388" t="b">
        <f t="shared" si="18"/>
        <v>0</v>
      </c>
      <c r="BA9" t="str">
        <f>'Ashed teabags wet'!A7</f>
        <v>G222</v>
      </c>
      <c r="BB9" t="str">
        <f>'Ashed teabags wet'!A427</f>
        <v>R104</v>
      </c>
      <c r="BC9" t="b">
        <f t="shared" si="19"/>
        <v>0</v>
      </c>
      <c r="BD9" t="b">
        <f t="shared" si="0"/>
        <v>0</v>
      </c>
      <c r="BF9" t="str">
        <f t="shared" si="20"/>
        <v>G105</v>
      </c>
      <c r="BG9" t="str">
        <f t="shared" si="21"/>
        <v>G105</v>
      </c>
      <c r="BH9" t="str">
        <f t="shared" si="22"/>
        <v>G122</v>
      </c>
      <c r="BI9" t="str">
        <f t="shared" si="41"/>
        <v/>
      </c>
      <c r="BJ9" t="s">
        <v>1945</v>
      </c>
      <c r="BK9" t="s">
        <v>1945</v>
      </c>
      <c r="BL9" t="s">
        <v>1945</v>
      </c>
      <c r="BM9" t="b">
        <f t="shared" si="42"/>
        <v>1</v>
      </c>
      <c r="BN9" t="str">
        <f t="shared" si="23"/>
        <v>R127</v>
      </c>
      <c r="BO9" t="str">
        <f t="shared" si="24"/>
        <v>R127</v>
      </c>
      <c r="BP9" t="str">
        <f t="shared" si="25"/>
        <v>R724</v>
      </c>
      <c r="BQ9" t="str">
        <f t="shared" si="26"/>
        <v/>
      </c>
      <c r="BR9" t="s">
        <v>1014</v>
      </c>
      <c r="BS9" t="s">
        <v>1014</v>
      </c>
      <c r="BT9" t="s">
        <v>1014</v>
      </c>
      <c r="BU9" t="b">
        <f t="shared" si="43"/>
        <v>1</v>
      </c>
      <c r="BV9" s="180" t="s">
        <v>1570</v>
      </c>
      <c r="BW9" s="180" t="s">
        <v>312</v>
      </c>
      <c r="BZ9" t="str">
        <f t="shared" si="27"/>
        <v>G122</v>
      </c>
      <c r="CA9" t="b">
        <f t="shared" si="28"/>
        <v>1</v>
      </c>
      <c r="CB9" t="str">
        <f t="shared" si="44"/>
        <v/>
      </c>
      <c r="CC9" t="str">
        <f t="shared" si="29"/>
        <v>R724</v>
      </c>
      <c r="CD9" t="b">
        <f t="shared" si="45"/>
        <v>1</v>
      </c>
      <c r="CE9" t="str">
        <f t="shared" si="46"/>
        <v/>
      </c>
      <c r="CG9" t="str">
        <f t="shared" si="30"/>
        <v>G217</v>
      </c>
      <c r="CH9" t="str">
        <f t="shared" si="47"/>
        <v>G217</v>
      </c>
      <c r="CI9" t="str">
        <f t="shared" si="31"/>
        <v>G497</v>
      </c>
      <c r="CJ9" t="str">
        <f t="shared" si="32"/>
        <v>G497</v>
      </c>
      <c r="CK9" t="s">
        <v>1833</v>
      </c>
      <c r="CL9" t="s">
        <v>1833</v>
      </c>
      <c r="CM9" t="s">
        <v>1833</v>
      </c>
      <c r="CN9" t="b">
        <f t="shared" si="48"/>
        <v>1</v>
      </c>
      <c r="CO9" t="str">
        <f t="shared" si="33"/>
        <v>R103</v>
      </c>
      <c r="CP9" t="str">
        <f t="shared" si="49"/>
        <v>R103</v>
      </c>
      <c r="CQ9" t="str">
        <f t="shared" si="34"/>
        <v>R502</v>
      </c>
      <c r="CR9" t="str">
        <f t="shared" si="35"/>
        <v>R502</v>
      </c>
      <c r="CS9" t="s">
        <v>1038</v>
      </c>
      <c r="CT9" t="s">
        <v>1038</v>
      </c>
      <c r="CU9" t="s">
        <v>1038</v>
      </c>
      <c r="CV9" t="b">
        <f t="shared" si="50"/>
        <v>1</v>
      </c>
      <c r="CW9" s="393" t="s">
        <v>1461</v>
      </c>
      <c r="CX9" s="393" t="b">
        <f t="shared" si="57"/>
        <v>0</v>
      </c>
      <c r="CY9" s="393" t="s">
        <v>741</v>
      </c>
      <c r="CZ9" s="393" t="b">
        <f t="shared" si="51"/>
        <v>0</v>
      </c>
      <c r="DC9" t="str">
        <f t="shared" si="36"/>
        <v>G497</v>
      </c>
      <c r="DD9" t="b">
        <f t="shared" si="52"/>
        <v>0</v>
      </c>
      <c r="DE9" t="str">
        <f t="shared" si="53"/>
        <v>G497</v>
      </c>
      <c r="DF9" t="str">
        <f t="shared" si="37"/>
        <v>R502</v>
      </c>
      <c r="DG9" t="b">
        <f t="shared" si="54"/>
        <v>0</v>
      </c>
      <c r="DH9" t="str">
        <f t="shared" si="55"/>
        <v>R502</v>
      </c>
    </row>
    <row r="10" spans="2:115" ht="12" customHeight="1">
      <c r="B10" t="str">
        <f>TBIDry!H82</f>
        <v>G106</v>
      </c>
      <c r="C10" t="str">
        <f>TBIDry!I82</f>
        <v>R762</v>
      </c>
      <c r="D10" t="b">
        <f t="shared" si="1"/>
        <v>0</v>
      </c>
      <c r="E10" t="b">
        <f t="shared" si="2"/>
        <v>0</v>
      </c>
      <c r="G10" t="str">
        <f>TBIWet!H82</f>
        <v>G452</v>
      </c>
      <c r="H10" t="str">
        <f>TBIWet!I82</f>
        <v>R531</v>
      </c>
      <c r="I10" t="b">
        <f t="shared" si="3"/>
        <v>0</v>
      </c>
      <c r="J10" t="b">
        <f t="shared" si="38"/>
        <v>0</v>
      </c>
      <c r="L10" t="str">
        <f>'Both teabags AfterWet'!A8</f>
        <v>G240</v>
      </c>
      <c r="M10" t="str">
        <f>'Both teabags AfterWet'!A428</f>
        <v>R105</v>
      </c>
      <c r="N10" t="b">
        <f t="shared" si="4"/>
        <v>0</v>
      </c>
      <c r="O10" t="b">
        <f t="shared" si="56"/>
        <v>0</v>
      </c>
      <c r="Q10" s="388" t="b">
        <f t="shared" si="5"/>
        <v>0</v>
      </c>
      <c r="R10" s="388" t="b">
        <f t="shared" si="6"/>
        <v>0</v>
      </c>
      <c r="T10" t="str">
        <f>'Both teabags AfterDry'!A8</f>
        <v>G107</v>
      </c>
      <c r="U10" t="str">
        <f>'Both teabags AfterDry'!A343</f>
        <v>R131</v>
      </c>
      <c r="V10" t="b">
        <f t="shared" si="7"/>
        <v>0</v>
      </c>
      <c r="W10" t="b">
        <f t="shared" si="39"/>
        <v>0</v>
      </c>
      <c r="Y10" t="str">
        <f>'Green_rooibos initial weight'!A11</f>
        <v>G7</v>
      </c>
      <c r="Z10" t="str">
        <f>'Green_rooibos initial weight'!A915</f>
        <v>R7</v>
      </c>
      <c r="AA10" t="b">
        <f t="shared" si="8"/>
        <v>0</v>
      </c>
      <c r="AB10" t="b">
        <f t="shared" si="9"/>
        <v>0</v>
      </c>
      <c r="AE10" t="str">
        <f>'WetLitterbags placem_collection'!K9</f>
        <v>G452</v>
      </c>
      <c r="AF10" t="str">
        <f>'WetLitterbags placem_collection'!M9</f>
        <v>R531</v>
      </c>
      <c r="AG10" t="b">
        <f t="shared" si="10"/>
        <v>0</v>
      </c>
      <c r="AH10" t="b">
        <f t="shared" si="11"/>
        <v>0</v>
      </c>
      <c r="AJ10" t="b">
        <f t="shared" si="12"/>
        <v>0</v>
      </c>
      <c r="AK10" t="b">
        <f t="shared" si="13"/>
        <v>0</v>
      </c>
      <c r="AM10" t="str">
        <f>IF(ISBLANK('Dry_Litterbag Placem_Collection'!J9),"","G"&amp;""&amp;'Dry_Litterbag Placem_Collection'!J9)</f>
        <v>G106</v>
      </c>
      <c r="AN10" t="str">
        <f>IF(ISBLANK('Dry_Litterbag Placem_Collection'!K9),"","R"&amp;""&amp;'Dry_Litterbag Placem_Collection'!K9)</f>
        <v>R762</v>
      </c>
      <c r="AO10" t="b">
        <f t="shared" si="58"/>
        <v>0</v>
      </c>
      <c r="AP10" t="b">
        <f t="shared" si="15"/>
        <v>0</v>
      </c>
      <c r="AS10" t="str">
        <f>'Ashed teabags dry'!A8</f>
        <v>G107</v>
      </c>
      <c r="AT10" t="str">
        <f>'Ashed teabags dry'!A343</f>
        <v>R131</v>
      </c>
      <c r="AU10" t="b">
        <f t="shared" si="16"/>
        <v>0</v>
      </c>
      <c r="AV10" t="b">
        <f t="shared" si="40"/>
        <v>0</v>
      </c>
      <c r="AX10" s="388" t="b">
        <f t="shared" si="17"/>
        <v>0</v>
      </c>
      <c r="AY10" s="388" t="b">
        <f t="shared" si="18"/>
        <v>0</v>
      </c>
      <c r="BA10" t="str">
        <f>'Ashed teabags wet'!A8</f>
        <v>G240</v>
      </c>
      <c r="BB10" t="str">
        <f>'Ashed teabags wet'!A428</f>
        <v>R105</v>
      </c>
      <c r="BC10" t="b">
        <f t="shared" si="19"/>
        <v>0</v>
      </c>
      <c r="BD10" t="b">
        <f t="shared" si="0"/>
        <v>0</v>
      </c>
      <c r="BF10" t="str">
        <f t="shared" si="20"/>
        <v>G106</v>
      </c>
      <c r="BG10" t="str">
        <f t="shared" si="21"/>
        <v>G106</v>
      </c>
      <c r="BH10" t="str">
        <f t="shared" si="22"/>
        <v>G478</v>
      </c>
      <c r="BI10" t="str">
        <f t="shared" si="41"/>
        <v/>
      </c>
      <c r="BJ10" t="s">
        <v>1944</v>
      </c>
      <c r="BK10" t="s">
        <v>1944</v>
      </c>
      <c r="BL10" t="s">
        <v>1944</v>
      </c>
      <c r="BM10" t="b">
        <f t="shared" si="42"/>
        <v>1</v>
      </c>
      <c r="BN10" t="str">
        <f t="shared" si="23"/>
        <v>R13</v>
      </c>
      <c r="BO10" t="str">
        <f t="shared" si="24"/>
        <v>R13</v>
      </c>
      <c r="BP10" t="str">
        <f t="shared" si="25"/>
        <v>R688</v>
      </c>
      <c r="BQ10" t="str">
        <f t="shared" si="26"/>
        <v/>
      </c>
      <c r="BR10" t="s">
        <v>1128</v>
      </c>
      <c r="BS10" t="s">
        <v>1128</v>
      </c>
      <c r="BT10" t="s">
        <v>1128</v>
      </c>
      <c r="BU10" t="b">
        <f t="shared" si="43"/>
        <v>1</v>
      </c>
      <c r="BV10" s="180" t="s">
        <v>1555</v>
      </c>
      <c r="BW10" s="180" t="s">
        <v>408</v>
      </c>
      <c r="BZ10" t="str">
        <f t="shared" si="27"/>
        <v>G478</v>
      </c>
      <c r="CA10" t="b">
        <f t="shared" si="28"/>
        <v>1</v>
      </c>
      <c r="CB10" t="str">
        <f t="shared" si="44"/>
        <v/>
      </c>
      <c r="CC10" t="str">
        <f t="shared" si="29"/>
        <v>R688</v>
      </c>
      <c r="CD10" t="b">
        <f t="shared" si="45"/>
        <v>1</v>
      </c>
      <c r="CE10" t="str">
        <f t="shared" si="46"/>
        <v/>
      </c>
      <c r="CG10" t="str">
        <f t="shared" si="30"/>
        <v>G222</v>
      </c>
      <c r="CH10" t="str">
        <f t="shared" si="47"/>
        <v>G222</v>
      </c>
      <c r="CI10" t="str">
        <f t="shared" si="31"/>
        <v>G447</v>
      </c>
      <c r="CJ10" t="str">
        <f t="shared" si="32"/>
        <v>G447</v>
      </c>
      <c r="CK10" t="s">
        <v>1828</v>
      </c>
      <c r="CL10" t="s">
        <v>1828</v>
      </c>
      <c r="CM10" t="s">
        <v>1828</v>
      </c>
      <c r="CN10" t="b">
        <f t="shared" si="48"/>
        <v>1</v>
      </c>
      <c r="CO10" t="str">
        <f t="shared" si="33"/>
        <v>R104</v>
      </c>
      <c r="CP10" t="str">
        <f t="shared" si="49"/>
        <v>R104</v>
      </c>
      <c r="CQ10" t="str">
        <f t="shared" si="34"/>
        <v>R177</v>
      </c>
      <c r="CR10" t="str">
        <f t="shared" si="35"/>
        <v>R177</v>
      </c>
      <c r="CS10" t="s">
        <v>1037</v>
      </c>
      <c r="CT10" t="s">
        <v>1037</v>
      </c>
      <c r="CU10" t="s">
        <v>1037</v>
      </c>
      <c r="CV10" t="b">
        <f t="shared" si="50"/>
        <v>1</v>
      </c>
      <c r="CW10" s="393" t="s">
        <v>1516</v>
      </c>
      <c r="CX10" s="393" t="b">
        <f xml:space="preserve"> COUNTIF($CG$5:$CG$2000,#REF!)&gt;1</f>
        <v>0</v>
      </c>
      <c r="CY10" s="393" t="s">
        <v>756</v>
      </c>
      <c r="CZ10" s="393" t="b">
        <f t="shared" si="51"/>
        <v>0</v>
      </c>
      <c r="DC10" t="str">
        <f t="shared" si="36"/>
        <v>G447</v>
      </c>
      <c r="DD10" t="b">
        <f t="shared" si="52"/>
        <v>0</v>
      </c>
      <c r="DE10" t="str">
        <f t="shared" si="53"/>
        <v>G447</v>
      </c>
      <c r="DF10" t="str">
        <f t="shared" si="37"/>
        <v>R177</v>
      </c>
      <c r="DG10" t="b">
        <f t="shared" si="54"/>
        <v>0</v>
      </c>
      <c r="DH10" t="str">
        <f t="shared" si="55"/>
        <v>R177</v>
      </c>
    </row>
    <row r="11" spans="2:115" ht="12" customHeight="1">
      <c r="B11" t="str">
        <f>TBIDry!H83</f>
        <v>G228</v>
      </c>
      <c r="C11" t="str">
        <f>TBIDry!I83</f>
        <v>R727</v>
      </c>
      <c r="D11" t="b">
        <f t="shared" si="1"/>
        <v>0</v>
      </c>
      <c r="E11" t="b">
        <f t="shared" si="2"/>
        <v>0</v>
      </c>
      <c r="G11" t="str">
        <f>TBIWet!H83</f>
        <v>G389</v>
      </c>
      <c r="H11" t="str">
        <f>TBIWet!I83</f>
        <v>R406</v>
      </c>
      <c r="I11" t="b">
        <f t="shared" si="3"/>
        <v>0</v>
      </c>
      <c r="J11" t="b">
        <f t="shared" si="38"/>
        <v>0</v>
      </c>
      <c r="L11" t="str">
        <f>'Both teabags AfterWet'!A9</f>
        <v>G241</v>
      </c>
      <c r="M11" t="str">
        <f>'Both teabags AfterWet'!A429</f>
        <v>R107</v>
      </c>
      <c r="N11" t="b">
        <f t="shared" si="4"/>
        <v>0</v>
      </c>
      <c r="O11" t="b">
        <f t="shared" si="56"/>
        <v>0</v>
      </c>
      <c r="Q11" s="388" t="b">
        <f t="shared" si="5"/>
        <v>0</v>
      </c>
      <c r="R11" s="388" t="b">
        <f t="shared" si="6"/>
        <v>0</v>
      </c>
      <c r="T11" t="str">
        <f>'Both teabags AfterDry'!A9</f>
        <v>G109</v>
      </c>
      <c r="U11" t="str">
        <f>'Both teabags AfterDry'!A344</f>
        <v>R140</v>
      </c>
      <c r="V11" t="b">
        <f t="shared" si="7"/>
        <v>0</v>
      </c>
      <c r="W11" t="b">
        <f t="shared" si="39"/>
        <v>0</v>
      </c>
      <c r="Y11" t="str">
        <f>'Green_rooibos initial weight'!A12</f>
        <v>G8</v>
      </c>
      <c r="Z11" t="str">
        <f>'Green_rooibos initial weight'!A916</f>
        <v>R8</v>
      </c>
      <c r="AA11" t="b">
        <f t="shared" si="8"/>
        <v>0</v>
      </c>
      <c r="AB11" t="b">
        <f t="shared" si="9"/>
        <v>0</v>
      </c>
      <c r="AE11" t="str">
        <f>'WetLitterbags placem_collection'!K10</f>
        <v>G389</v>
      </c>
      <c r="AF11" t="str">
        <f>'WetLitterbags placem_collection'!M10</f>
        <v>R406</v>
      </c>
      <c r="AG11" t="b">
        <f t="shared" si="10"/>
        <v>0</v>
      </c>
      <c r="AH11" t="b">
        <f t="shared" si="11"/>
        <v>0</v>
      </c>
      <c r="AJ11" t="b">
        <f t="shared" si="12"/>
        <v>0</v>
      </c>
      <c r="AK11" t="b">
        <f t="shared" si="13"/>
        <v>0</v>
      </c>
      <c r="AM11" t="str">
        <f>IF(ISBLANK('Dry_Litterbag Placem_Collection'!J10),"","G"&amp;""&amp;'Dry_Litterbag Placem_Collection'!J10)</f>
        <v>G228</v>
      </c>
      <c r="AN11" t="str">
        <f>IF(ISBLANK('Dry_Litterbag Placem_Collection'!K10),"","R"&amp;""&amp;'Dry_Litterbag Placem_Collection'!K10)</f>
        <v>R727</v>
      </c>
      <c r="AO11" t="b">
        <f t="shared" si="58"/>
        <v>0</v>
      </c>
      <c r="AP11" t="b">
        <f t="shared" si="15"/>
        <v>0</v>
      </c>
      <c r="AS11" t="str">
        <f>'Ashed teabags dry'!A9</f>
        <v>G109</v>
      </c>
      <c r="AT11" t="str">
        <f>'Ashed teabags dry'!A344</f>
        <v>R140</v>
      </c>
      <c r="AU11" t="b">
        <f t="shared" si="16"/>
        <v>0</v>
      </c>
      <c r="AV11" t="b">
        <f t="shared" si="40"/>
        <v>0</v>
      </c>
      <c r="AX11" s="388" t="b">
        <f t="shared" si="17"/>
        <v>0</v>
      </c>
      <c r="AY11" s="388" t="b">
        <f t="shared" si="18"/>
        <v>0</v>
      </c>
      <c r="BA11" t="str">
        <f>'Ashed teabags wet'!A9</f>
        <v>G241</v>
      </c>
      <c r="BB11" t="str">
        <f>'Ashed teabags wet'!A429</f>
        <v>R107</v>
      </c>
      <c r="BC11" t="b">
        <f t="shared" si="19"/>
        <v>0</v>
      </c>
      <c r="BD11" t="b">
        <f t="shared" si="0"/>
        <v>0</v>
      </c>
      <c r="BF11" t="str">
        <f t="shared" si="20"/>
        <v>G107</v>
      </c>
      <c r="BG11" t="str">
        <f t="shared" si="21"/>
        <v>G107</v>
      </c>
      <c r="BH11" t="str">
        <f t="shared" si="22"/>
        <v>G106</v>
      </c>
      <c r="BI11" t="str">
        <f t="shared" si="41"/>
        <v>G106</v>
      </c>
      <c r="BJ11" t="s">
        <v>1943</v>
      </c>
      <c r="BK11" t="s">
        <v>1943</v>
      </c>
      <c r="BL11" t="s">
        <v>1943</v>
      </c>
      <c r="BM11" t="b">
        <f t="shared" si="42"/>
        <v>1</v>
      </c>
      <c r="BN11" t="str">
        <f t="shared" si="23"/>
        <v>R131</v>
      </c>
      <c r="BO11" t="str">
        <f t="shared" si="24"/>
        <v>R131</v>
      </c>
      <c r="BP11" t="str">
        <f t="shared" si="25"/>
        <v>R762</v>
      </c>
      <c r="BQ11" t="str">
        <f t="shared" si="26"/>
        <v>R762</v>
      </c>
      <c r="BR11" t="s">
        <v>1010</v>
      </c>
      <c r="BS11" t="s">
        <v>1010</v>
      </c>
      <c r="BT11" t="s">
        <v>1010</v>
      </c>
      <c r="BU11" t="b">
        <f t="shared" si="43"/>
        <v>1</v>
      </c>
      <c r="BV11" s="180" t="s">
        <v>1729</v>
      </c>
      <c r="BW11" s="180" t="s">
        <v>409</v>
      </c>
      <c r="BZ11" t="str">
        <f t="shared" si="27"/>
        <v>G106</v>
      </c>
      <c r="CA11" t="b">
        <f t="shared" si="28"/>
        <v>0</v>
      </c>
      <c r="CB11" t="str">
        <f t="shared" si="44"/>
        <v>G106</v>
      </c>
      <c r="CC11" t="str">
        <f t="shared" si="29"/>
        <v>R762</v>
      </c>
      <c r="CD11" t="b">
        <f t="shared" si="45"/>
        <v>0</v>
      </c>
      <c r="CE11" t="str">
        <f t="shared" si="46"/>
        <v>R762</v>
      </c>
      <c r="CG11" t="str">
        <f t="shared" si="30"/>
        <v>G240</v>
      </c>
      <c r="CH11" t="str">
        <f t="shared" si="47"/>
        <v>G240</v>
      </c>
      <c r="CI11" t="str">
        <f t="shared" si="31"/>
        <v>G452</v>
      </c>
      <c r="CJ11" t="str">
        <f t="shared" si="32"/>
        <v>G452</v>
      </c>
      <c r="CK11" t="s">
        <v>1810</v>
      </c>
      <c r="CL11" t="s">
        <v>1810</v>
      </c>
      <c r="CM11" t="s">
        <v>1810</v>
      </c>
      <c r="CN11" t="b">
        <f t="shared" si="48"/>
        <v>1</v>
      </c>
      <c r="CO11" t="str">
        <f t="shared" si="33"/>
        <v>R105</v>
      </c>
      <c r="CP11" t="str">
        <f t="shared" si="49"/>
        <v>R105</v>
      </c>
      <c r="CQ11" t="str">
        <f t="shared" si="34"/>
        <v>R531</v>
      </c>
      <c r="CR11" t="str">
        <f t="shared" si="35"/>
        <v>R531</v>
      </c>
      <c r="CS11" t="s">
        <v>1036</v>
      </c>
      <c r="CT11" t="s">
        <v>1036</v>
      </c>
      <c r="CU11" t="s">
        <v>1036</v>
      </c>
      <c r="CV11" t="b">
        <f t="shared" si="50"/>
        <v>1</v>
      </c>
      <c r="CW11" s="393" t="s">
        <v>1221</v>
      </c>
      <c r="CX11" s="393" t="b">
        <f t="shared" ref="CX11:CX17" si="59">COUNTIF($CG$5:$CG$2000, CW10)&gt;1</f>
        <v>0</v>
      </c>
      <c r="CY11" s="393" t="s">
        <v>897</v>
      </c>
      <c r="CZ11" s="393" t="b">
        <f t="shared" si="51"/>
        <v>0</v>
      </c>
      <c r="DC11" t="str">
        <f t="shared" si="36"/>
        <v>G452</v>
      </c>
      <c r="DD11" t="b">
        <f t="shared" si="52"/>
        <v>0</v>
      </c>
      <c r="DE11" t="str">
        <f t="shared" si="53"/>
        <v>G452</v>
      </c>
      <c r="DF11" t="str">
        <f t="shared" si="37"/>
        <v>R531</v>
      </c>
      <c r="DG11" t="b">
        <f t="shared" si="54"/>
        <v>0</v>
      </c>
      <c r="DH11" t="str">
        <f t="shared" si="55"/>
        <v>R531</v>
      </c>
    </row>
    <row r="12" spans="2:115" ht="12" customHeight="1">
      <c r="B12" t="str">
        <f>TBIDry!H84</f>
        <v>G277</v>
      </c>
      <c r="C12" t="str">
        <f>TBIDry!I84</f>
        <v>R785</v>
      </c>
      <c r="D12" t="b">
        <f t="shared" si="1"/>
        <v>0</v>
      </c>
      <c r="E12" t="b">
        <f t="shared" si="2"/>
        <v>0</v>
      </c>
      <c r="G12" t="str">
        <f>TBIWet!H84</f>
        <v>G514</v>
      </c>
      <c r="H12" t="str">
        <f>TBIWet!I84</f>
        <v>R169</v>
      </c>
      <c r="I12" t="b">
        <f t="shared" si="3"/>
        <v>0</v>
      </c>
      <c r="J12" t="b">
        <f t="shared" si="38"/>
        <v>0</v>
      </c>
      <c r="L12" t="str">
        <f>'Both teabags AfterWet'!A10</f>
        <v>G249</v>
      </c>
      <c r="M12" t="str">
        <f>'Both teabags AfterWet'!A430</f>
        <v>R109</v>
      </c>
      <c r="N12" t="b">
        <f t="shared" si="4"/>
        <v>0</v>
      </c>
      <c r="O12" t="b">
        <f t="shared" si="56"/>
        <v>0</v>
      </c>
      <c r="Q12" s="388" t="b">
        <f t="shared" si="5"/>
        <v>0</v>
      </c>
      <c r="R12" s="388" t="b">
        <f t="shared" si="6"/>
        <v>0</v>
      </c>
      <c r="T12" t="str">
        <f>'Both teabags AfterDry'!A10</f>
        <v>G11</v>
      </c>
      <c r="U12" t="str">
        <f>'Both teabags AfterDry'!A345</f>
        <v>R162</v>
      </c>
      <c r="V12" t="b">
        <f t="shared" si="7"/>
        <v>0</v>
      </c>
      <c r="W12" t="b">
        <f t="shared" si="39"/>
        <v>0</v>
      </c>
      <c r="Y12" t="str">
        <f>'Green_rooibos initial weight'!A13</f>
        <v>G9</v>
      </c>
      <c r="Z12" t="str">
        <f>'Green_rooibos initial weight'!A917</f>
        <v>R9</v>
      </c>
      <c r="AA12" t="b">
        <f t="shared" si="8"/>
        <v>0</v>
      </c>
      <c r="AB12" t="b">
        <f t="shared" si="9"/>
        <v>0</v>
      </c>
      <c r="AE12" t="str">
        <f>'WetLitterbags placem_collection'!K11</f>
        <v>G514</v>
      </c>
      <c r="AF12" t="str">
        <f>'WetLitterbags placem_collection'!M11</f>
        <v>R169</v>
      </c>
      <c r="AG12" t="b">
        <f t="shared" si="10"/>
        <v>0</v>
      </c>
      <c r="AH12" t="b">
        <f t="shared" si="11"/>
        <v>0</v>
      </c>
      <c r="AJ12" t="b">
        <f t="shared" si="12"/>
        <v>0</v>
      </c>
      <c r="AK12" t="b">
        <f t="shared" si="13"/>
        <v>0</v>
      </c>
      <c r="AM12" t="str">
        <f>IF(ISBLANK('Dry_Litterbag Placem_Collection'!J11),"","G"&amp;""&amp;'Dry_Litterbag Placem_Collection'!J11)</f>
        <v>G277</v>
      </c>
      <c r="AN12" t="str">
        <f>IF(ISBLANK('Dry_Litterbag Placem_Collection'!K11),"","R"&amp;""&amp;'Dry_Litterbag Placem_Collection'!K11)</f>
        <v>R785</v>
      </c>
      <c r="AO12" t="b">
        <f t="shared" si="58"/>
        <v>0</v>
      </c>
      <c r="AP12" t="b">
        <f t="shared" si="15"/>
        <v>0</v>
      </c>
      <c r="AS12" t="str">
        <f>'Ashed teabags dry'!A10</f>
        <v>G11</v>
      </c>
      <c r="AT12" t="str">
        <f>'Ashed teabags dry'!A345</f>
        <v>R162</v>
      </c>
      <c r="AU12" t="b">
        <f t="shared" si="16"/>
        <v>0</v>
      </c>
      <c r="AV12" t="b">
        <f t="shared" si="40"/>
        <v>0</v>
      </c>
      <c r="AX12" s="388" t="b">
        <f t="shared" si="17"/>
        <v>0</v>
      </c>
      <c r="AY12" s="388" t="b">
        <f t="shared" si="18"/>
        <v>0</v>
      </c>
      <c r="BA12" t="str">
        <f>'Ashed teabags wet'!A10</f>
        <v>G249</v>
      </c>
      <c r="BB12" t="str">
        <f>'Ashed teabags wet'!A430</f>
        <v>R109</v>
      </c>
      <c r="BC12" t="b">
        <f t="shared" si="19"/>
        <v>0</v>
      </c>
      <c r="BD12" t="b">
        <f t="shared" si="0"/>
        <v>0</v>
      </c>
      <c r="BF12" t="str">
        <f t="shared" si="20"/>
        <v>G109</v>
      </c>
      <c r="BG12" t="str">
        <f t="shared" si="21"/>
        <v>G109</v>
      </c>
      <c r="BH12" t="str">
        <f t="shared" si="22"/>
        <v>G228</v>
      </c>
      <c r="BI12" t="str">
        <f t="shared" si="41"/>
        <v>G228</v>
      </c>
      <c r="BJ12" t="s">
        <v>1941</v>
      </c>
      <c r="BK12" t="s">
        <v>1941</v>
      </c>
      <c r="BL12" t="s">
        <v>1941</v>
      </c>
      <c r="BM12" t="b">
        <f t="shared" si="42"/>
        <v>1</v>
      </c>
      <c r="BN12" t="str">
        <f t="shared" si="23"/>
        <v>R140</v>
      </c>
      <c r="BO12" t="str">
        <f t="shared" si="24"/>
        <v>R140</v>
      </c>
      <c r="BP12" t="str">
        <f t="shared" si="25"/>
        <v>R727</v>
      </c>
      <c r="BQ12" t="str">
        <f t="shared" si="26"/>
        <v>R727</v>
      </c>
      <c r="BR12" t="s">
        <v>1001</v>
      </c>
      <c r="BS12" t="s">
        <v>1001</v>
      </c>
      <c r="BT12" t="s">
        <v>1001</v>
      </c>
      <c r="BU12" t="b">
        <f t="shared" si="43"/>
        <v>1</v>
      </c>
      <c r="BV12" s="180" t="s">
        <v>2019</v>
      </c>
      <c r="BW12" s="180" t="s">
        <v>401</v>
      </c>
      <c r="BZ12" t="str">
        <f t="shared" si="27"/>
        <v>G228</v>
      </c>
      <c r="CA12" t="b">
        <f t="shared" si="28"/>
        <v>0</v>
      </c>
      <c r="CB12" t="str">
        <f t="shared" si="44"/>
        <v>G228</v>
      </c>
      <c r="CC12" t="str">
        <f t="shared" si="29"/>
        <v>R727</v>
      </c>
      <c r="CD12" t="b">
        <f t="shared" si="45"/>
        <v>0</v>
      </c>
      <c r="CE12" t="str">
        <f t="shared" si="46"/>
        <v>R727</v>
      </c>
      <c r="CG12" t="str">
        <f t="shared" si="30"/>
        <v>G241</v>
      </c>
      <c r="CH12" t="str">
        <f t="shared" si="47"/>
        <v>G241</v>
      </c>
      <c r="CI12" t="str">
        <f t="shared" si="31"/>
        <v>G389</v>
      </c>
      <c r="CJ12" t="str">
        <f t="shared" si="32"/>
        <v>G389</v>
      </c>
      <c r="CK12" t="s">
        <v>1809</v>
      </c>
      <c r="CL12" t="s">
        <v>1809</v>
      </c>
      <c r="CM12" t="s">
        <v>1809</v>
      </c>
      <c r="CN12" t="b">
        <f t="shared" si="48"/>
        <v>1</v>
      </c>
      <c r="CO12" t="str">
        <f t="shared" si="33"/>
        <v>R107</v>
      </c>
      <c r="CP12" t="str">
        <f t="shared" si="49"/>
        <v>R107</v>
      </c>
      <c r="CQ12" t="str">
        <f t="shared" si="34"/>
        <v>R406</v>
      </c>
      <c r="CR12" t="str">
        <f t="shared" si="35"/>
        <v>R406</v>
      </c>
      <c r="CS12" t="s">
        <v>1034</v>
      </c>
      <c r="CT12" t="s">
        <v>1034</v>
      </c>
      <c r="CU12" t="s">
        <v>1034</v>
      </c>
      <c r="CV12" t="b">
        <f t="shared" si="50"/>
        <v>1</v>
      </c>
      <c r="CW12" s="393" t="s">
        <v>1389</v>
      </c>
      <c r="CX12" s="393" t="b">
        <f t="shared" si="59"/>
        <v>0</v>
      </c>
      <c r="CY12" s="393" t="s">
        <v>642</v>
      </c>
      <c r="CZ12" s="393" t="b">
        <f t="shared" si="51"/>
        <v>0</v>
      </c>
      <c r="DC12" t="str">
        <f t="shared" si="36"/>
        <v>G389</v>
      </c>
      <c r="DD12" t="b">
        <f t="shared" si="52"/>
        <v>0</v>
      </c>
      <c r="DE12" t="str">
        <f t="shared" si="53"/>
        <v>G389</v>
      </c>
      <c r="DF12" t="str">
        <f t="shared" si="37"/>
        <v>R406</v>
      </c>
      <c r="DG12" t="b">
        <f t="shared" si="54"/>
        <v>0</v>
      </c>
      <c r="DH12" t="str">
        <f t="shared" si="55"/>
        <v>R406</v>
      </c>
    </row>
    <row r="13" spans="2:115" ht="12" customHeight="1">
      <c r="B13" t="str">
        <f>TBIDry!H85</f>
        <v>G310</v>
      </c>
      <c r="C13" t="str">
        <f>TBIDry!I85</f>
        <v>R747</v>
      </c>
      <c r="D13" t="b">
        <f t="shared" si="1"/>
        <v>0</v>
      </c>
      <c r="E13" t="b">
        <f t="shared" si="2"/>
        <v>0</v>
      </c>
      <c r="G13" t="str">
        <f>TBIWet!H85</f>
        <v>G286</v>
      </c>
      <c r="H13" t="str">
        <f>TBIWet!I85</f>
        <v>R91</v>
      </c>
      <c r="I13" t="b">
        <f t="shared" si="3"/>
        <v>0</v>
      </c>
      <c r="J13" t="b">
        <f t="shared" si="38"/>
        <v>0</v>
      </c>
      <c r="L13" t="str">
        <f>'Both teabags AfterWet'!A11</f>
        <v>G251</v>
      </c>
      <c r="M13" t="str">
        <f>'Both teabags AfterWet'!A431</f>
        <v>R11</v>
      </c>
      <c r="N13" t="b">
        <f t="shared" si="4"/>
        <v>0</v>
      </c>
      <c r="O13" t="b">
        <f t="shared" si="56"/>
        <v>0</v>
      </c>
      <c r="Q13" s="388" t="b">
        <f t="shared" si="5"/>
        <v>0</v>
      </c>
      <c r="R13" s="388" t="b">
        <f t="shared" si="6"/>
        <v>0</v>
      </c>
      <c r="T13" t="str">
        <f>'Both teabags AfterDry'!A11</f>
        <v>G110</v>
      </c>
      <c r="U13" t="str">
        <f>'Both teabags AfterDry'!A346</f>
        <v>R163</v>
      </c>
      <c r="V13" t="b">
        <f t="shared" si="7"/>
        <v>0</v>
      </c>
      <c r="W13" t="b">
        <f t="shared" si="39"/>
        <v>0</v>
      </c>
      <c r="Y13" t="str">
        <f>'Green_rooibos initial weight'!A14</f>
        <v>G10</v>
      </c>
      <c r="Z13" t="str">
        <f>'Green_rooibos initial weight'!A918</f>
        <v>R10</v>
      </c>
      <c r="AA13" t="b">
        <f t="shared" si="8"/>
        <v>0</v>
      </c>
      <c r="AB13" t="b">
        <f t="shared" si="9"/>
        <v>0</v>
      </c>
      <c r="AE13" t="str">
        <f>'WetLitterbags placem_collection'!K12</f>
        <v>G286</v>
      </c>
      <c r="AF13" t="str">
        <f>'WetLitterbags placem_collection'!M12</f>
        <v>R91</v>
      </c>
      <c r="AG13" t="b">
        <f t="shared" si="10"/>
        <v>0</v>
      </c>
      <c r="AH13" t="b">
        <f t="shared" si="11"/>
        <v>0</v>
      </c>
      <c r="AJ13" t="b">
        <f t="shared" si="12"/>
        <v>0</v>
      </c>
      <c r="AK13" t="b">
        <f t="shared" si="13"/>
        <v>0</v>
      </c>
      <c r="AM13" t="str">
        <f>IF(ISBLANK('Dry_Litterbag Placem_Collection'!J12),"","G"&amp;""&amp;'Dry_Litterbag Placem_Collection'!J12)</f>
        <v>G310</v>
      </c>
      <c r="AN13" t="str">
        <f>IF(ISBLANK('Dry_Litterbag Placem_Collection'!K12),"","R"&amp;""&amp;'Dry_Litterbag Placem_Collection'!K12)</f>
        <v>R747</v>
      </c>
      <c r="AO13" t="b">
        <f t="shared" si="58"/>
        <v>0</v>
      </c>
      <c r="AP13" t="b">
        <f t="shared" si="15"/>
        <v>0</v>
      </c>
      <c r="AS13" t="str">
        <f>'Ashed teabags dry'!A11</f>
        <v>G110</v>
      </c>
      <c r="AT13" t="str">
        <f>'Ashed teabags dry'!A346</f>
        <v>R163</v>
      </c>
      <c r="AU13" t="b">
        <f t="shared" si="16"/>
        <v>0</v>
      </c>
      <c r="AV13" t="b">
        <f t="shared" si="40"/>
        <v>0</v>
      </c>
      <c r="AX13" s="388" t="b">
        <f t="shared" si="17"/>
        <v>0</v>
      </c>
      <c r="AY13" s="388" t="b">
        <f t="shared" si="18"/>
        <v>0</v>
      </c>
      <c r="BA13" t="str">
        <f>'Ashed teabags wet'!A11</f>
        <v>G251</v>
      </c>
      <c r="BB13" t="str">
        <f>'Ashed teabags wet'!A431</f>
        <v>R11</v>
      </c>
      <c r="BC13" t="b">
        <f t="shared" si="19"/>
        <v>0</v>
      </c>
      <c r="BD13" t="b">
        <f t="shared" si="0"/>
        <v>0</v>
      </c>
      <c r="BF13" t="str">
        <f t="shared" si="20"/>
        <v>G11</v>
      </c>
      <c r="BG13" t="str">
        <f t="shared" si="21"/>
        <v>G11</v>
      </c>
      <c r="BH13" t="str">
        <f t="shared" si="22"/>
        <v>G277</v>
      </c>
      <c r="BI13" t="str">
        <f t="shared" si="41"/>
        <v>G277</v>
      </c>
      <c r="BJ13" t="s">
        <v>2039</v>
      </c>
      <c r="BK13" t="s">
        <v>2039</v>
      </c>
      <c r="BL13" t="s">
        <v>2039</v>
      </c>
      <c r="BM13" t="b">
        <f t="shared" si="42"/>
        <v>1</v>
      </c>
      <c r="BN13" t="str">
        <f t="shared" si="23"/>
        <v>R162</v>
      </c>
      <c r="BO13" t="str">
        <f t="shared" si="24"/>
        <v>R162</v>
      </c>
      <c r="BP13" t="str">
        <f t="shared" si="25"/>
        <v>R785</v>
      </c>
      <c r="BQ13" t="str">
        <f t="shared" si="26"/>
        <v>R785</v>
      </c>
      <c r="BR13" t="s">
        <v>979</v>
      </c>
      <c r="BS13" t="s">
        <v>979</v>
      </c>
      <c r="BT13" t="s">
        <v>979</v>
      </c>
      <c r="BU13" t="b">
        <f t="shared" si="43"/>
        <v>1</v>
      </c>
      <c r="BV13" s="180" t="s">
        <v>1786</v>
      </c>
      <c r="BW13" s="180" t="s">
        <v>372</v>
      </c>
      <c r="BZ13" t="str">
        <f t="shared" si="27"/>
        <v>G277</v>
      </c>
      <c r="CA13" t="b">
        <f t="shared" si="28"/>
        <v>0</v>
      </c>
      <c r="CB13" t="str">
        <f t="shared" si="44"/>
        <v>G277</v>
      </c>
      <c r="CC13" t="str">
        <f t="shared" si="29"/>
        <v>R785</v>
      </c>
      <c r="CD13" t="b">
        <f t="shared" si="45"/>
        <v>0</v>
      </c>
      <c r="CE13" t="str">
        <f t="shared" si="46"/>
        <v>R785</v>
      </c>
      <c r="CG13" t="str">
        <f t="shared" si="30"/>
        <v>G249</v>
      </c>
      <c r="CH13" t="str">
        <f t="shared" si="47"/>
        <v>G249</v>
      </c>
      <c r="CI13" t="str">
        <f t="shared" si="31"/>
        <v>G514</v>
      </c>
      <c r="CJ13" t="str">
        <f t="shared" si="32"/>
        <v>G514</v>
      </c>
      <c r="CK13" t="s">
        <v>1801</v>
      </c>
      <c r="CL13" t="s">
        <v>1801</v>
      </c>
      <c r="CM13" t="s">
        <v>1801</v>
      </c>
      <c r="CN13" t="b">
        <f t="shared" si="48"/>
        <v>1</v>
      </c>
      <c r="CO13" t="str">
        <f t="shared" si="33"/>
        <v>R109</v>
      </c>
      <c r="CP13" t="str">
        <f t="shared" si="49"/>
        <v>R109</v>
      </c>
      <c r="CQ13" t="str">
        <f t="shared" si="34"/>
        <v>R169</v>
      </c>
      <c r="CR13" t="str">
        <f t="shared" si="35"/>
        <v>R169</v>
      </c>
      <c r="CS13" t="s">
        <v>1032</v>
      </c>
      <c r="CT13" t="s">
        <v>1032</v>
      </c>
      <c r="CU13" t="s">
        <v>1032</v>
      </c>
      <c r="CV13" t="b">
        <f t="shared" si="50"/>
        <v>1</v>
      </c>
      <c r="CW13" s="417" t="s">
        <v>1540</v>
      </c>
      <c r="CX13" s="393" t="b">
        <f t="shared" si="59"/>
        <v>0</v>
      </c>
      <c r="CY13" s="393" t="s">
        <v>643</v>
      </c>
      <c r="CZ13" s="393" t="b">
        <f t="shared" si="51"/>
        <v>0</v>
      </c>
      <c r="DC13" t="str">
        <f t="shared" si="36"/>
        <v>G514</v>
      </c>
      <c r="DD13" t="b">
        <f t="shared" si="52"/>
        <v>0</v>
      </c>
      <c r="DE13" t="str">
        <f t="shared" si="53"/>
        <v>G514</v>
      </c>
      <c r="DF13" t="str">
        <f t="shared" si="37"/>
        <v>R169</v>
      </c>
      <c r="DG13" t="b">
        <f t="shared" si="54"/>
        <v>0</v>
      </c>
      <c r="DH13" t="str">
        <f t="shared" si="55"/>
        <v>R169</v>
      </c>
    </row>
    <row r="14" spans="2:115" ht="12" customHeight="1">
      <c r="B14" t="str">
        <f>TBIDry!H86</f>
        <v>G435</v>
      </c>
      <c r="C14" t="str">
        <f>TBIDry!I86</f>
        <v>R748</v>
      </c>
      <c r="D14" t="b">
        <f t="shared" si="1"/>
        <v>0</v>
      </c>
      <c r="E14" t="b">
        <f t="shared" si="2"/>
        <v>0</v>
      </c>
      <c r="G14" t="str">
        <f>TBIWet!H86</f>
        <v>G543</v>
      </c>
      <c r="H14" t="str">
        <f>TBIWet!I86</f>
        <v>R446</v>
      </c>
      <c r="I14" t="b">
        <f t="shared" si="3"/>
        <v>0</v>
      </c>
      <c r="J14" t="b">
        <f t="shared" si="38"/>
        <v>0</v>
      </c>
      <c r="L14" t="str">
        <f>'Both teabags AfterWet'!A12</f>
        <v>G269</v>
      </c>
      <c r="M14" t="str">
        <f>'Both teabags AfterWet'!A432</f>
        <v>R110</v>
      </c>
      <c r="N14" t="b">
        <f t="shared" si="4"/>
        <v>0</v>
      </c>
      <c r="O14" t="b">
        <f t="shared" si="56"/>
        <v>0</v>
      </c>
      <c r="Q14" s="388" t="b">
        <f t="shared" si="5"/>
        <v>0</v>
      </c>
      <c r="R14" s="388" t="b">
        <f t="shared" si="6"/>
        <v>0</v>
      </c>
      <c r="T14" t="str">
        <f>'Both teabags AfterDry'!A12</f>
        <v>G111</v>
      </c>
      <c r="U14" t="str">
        <f>'Both teabags AfterDry'!A347</f>
        <v>R170</v>
      </c>
      <c r="V14" t="b">
        <f t="shared" si="7"/>
        <v>0</v>
      </c>
      <c r="W14" t="b">
        <f t="shared" si="39"/>
        <v>0</v>
      </c>
      <c r="Y14" t="str">
        <f>'Green_rooibos initial weight'!A15</f>
        <v>G11</v>
      </c>
      <c r="Z14" t="str">
        <f>'Green_rooibos initial weight'!A919</f>
        <v>R11</v>
      </c>
      <c r="AA14" t="b">
        <f t="shared" si="8"/>
        <v>0</v>
      </c>
      <c r="AB14" t="b">
        <f t="shared" si="9"/>
        <v>0</v>
      </c>
      <c r="AE14" t="str">
        <f>'WetLitterbags placem_collection'!K13</f>
        <v>G543</v>
      </c>
      <c r="AF14" t="str">
        <f>'WetLitterbags placem_collection'!M13</f>
        <v>R446</v>
      </c>
      <c r="AG14" t="b">
        <f t="shared" si="10"/>
        <v>0</v>
      </c>
      <c r="AH14" t="b">
        <f t="shared" si="11"/>
        <v>0</v>
      </c>
      <c r="AJ14" t="b">
        <f t="shared" si="12"/>
        <v>0</v>
      </c>
      <c r="AK14" t="b">
        <f t="shared" si="13"/>
        <v>0</v>
      </c>
      <c r="AM14" t="str">
        <f>IF(ISBLANK('Dry_Litterbag Placem_Collection'!J13),"","G"&amp;""&amp;'Dry_Litterbag Placem_Collection'!J13)</f>
        <v>G435</v>
      </c>
      <c r="AN14" t="str">
        <f>IF(ISBLANK('Dry_Litterbag Placem_Collection'!K13),"","R"&amp;""&amp;'Dry_Litterbag Placem_Collection'!K13)</f>
        <v>R748</v>
      </c>
      <c r="AO14" t="b">
        <f t="shared" si="58"/>
        <v>0</v>
      </c>
      <c r="AP14" t="b">
        <f t="shared" si="15"/>
        <v>0</v>
      </c>
      <c r="AS14" t="str">
        <f>'Ashed teabags dry'!A12</f>
        <v>G111</v>
      </c>
      <c r="AT14" t="str">
        <f>'Ashed teabags dry'!A347</f>
        <v>R170</v>
      </c>
      <c r="AU14" t="b">
        <f t="shared" si="16"/>
        <v>0</v>
      </c>
      <c r="AV14" t="b">
        <f t="shared" si="40"/>
        <v>0</v>
      </c>
      <c r="AX14" s="388" t="b">
        <f t="shared" si="17"/>
        <v>0</v>
      </c>
      <c r="AY14" s="388" t="b">
        <f t="shared" si="18"/>
        <v>0</v>
      </c>
      <c r="BA14" t="str">
        <f>'Ashed teabags wet'!A12</f>
        <v>G269</v>
      </c>
      <c r="BB14" t="str">
        <f>'Ashed teabags wet'!A432</f>
        <v>R110</v>
      </c>
      <c r="BC14" t="b">
        <f t="shared" si="19"/>
        <v>0</v>
      </c>
      <c r="BD14" t="b">
        <f t="shared" si="0"/>
        <v>0</v>
      </c>
      <c r="BF14" t="str">
        <f t="shared" si="20"/>
        <v>G110</v>
      </c>
      <c r="BG14" t="str">
        <f t="shared" si="21"/>
        <v>G110</v>
      </c>
      <c r="BH14" t="str">
        <f t="shared" si="22"/>
        <v>G310</v>
      </c>
      <c r="BI14" t="str">
        <f t="shared" si="41"/>
        <v/>
      </c>
      <c r="BJ14" t="s">
        <v>1940</v>
      </c>
      <c r="BK14" t="s">
        <v>1940</v>
      </c>
      <c r="BL14" t="s">
        <v>1940</v>
      </c>
      <c r="BM14" t="b">
        <f t="shared" si="42"/>
        <v>1</v>
      </c>
      <c r="BN14" t="str">
        <f t="shared" si="23"/>
        <v>R163</v>
      </c>
      <c r="BO14" t="str">
        <f t="shared" si="24"/>
        <v>R163</v>
      </c>
      <c r="BP14" t="str">
        <f t="shared" si="25"/>
        <v>R747</v>
      </c>
      <c r="BQ14" t="str">
        <f t="shared" si="26"/>
        <v/>
      </c>
      <c r="BR14" t="s">
        <v>978</v>
      </c>
      <c r="BS14" t="s">
        <v>978</v>
      </c>
      <c r="BT14" t="s">
        <v>978</v>
      </c>
      <c r="BU14" t="b">
        <f t="shared" si="43"/>
        <v>1</v>
      </c>
      <c r="BV14" s="180" t="s">
        <v>1517</v>
      </c>
      <c r="BW14" s="180" t="s">
        <v>394</v>
      </c>
      <c r="BZ14" t="str">
        <f t="shared" si="27"/>
        <v>G310</v>
      </c>
      <c r="CA14" t="b">
        <f t="shared" si="28"/>
        <v>1</v>
      </c>
      <c r="CB14" t="str">
        <f t="shared" si="44"/>
        <v/>
      </c>
      <c r="CC14" t="str">
        <f t="shared" si="29"/>
        <v>R747</v>
      </c>
      <c r="CD14" t="b">
        <f t="shared" si="45"/>
        <v>1</v>
      </c>
      <c r="CE14" t="str">
        <f t="shared" si="46"/>
        <v/>
      </c>
      <c r="CG14" t="str">
        <f t="shared" si="30"/>
        <v>G251</v>
      </c>
      <c r="CH14" t="str">
        <f t="shared" si="47"/>
        <v>G251</v>
      </c>
      <c r="CI14" t="str">
        <f t="shared" si="31"/>
        <v>G286</v>
      </c>
      <c r="CJ14" t="str">
        <f t="shared" si="32"/>
        <v>G286</v>
      </c>
      <c r="CK14" t="s">
        <v>1799</v>
      </c>
      <c r="CL14" t="s">
        <v>1799</v>
      </c>
      <c r="CM14" t="s">
        <v>1799</v>
      </c>
      <c r="CN14" t="b">
        <f t="shared" si="48"/>
        <v>1</v>
      </c>
      <c r="CO14" t="str">
        <f t="shared" si="33"/>
        <v>R11</v>
      </c>
      <c r="CP14" t="str">
        <f t="shared" si="49"/>
        <v>R11</v>
      </c>
      <c r="CQ14" t="str">
        <f t="shared" si="34"/>
        <v>R91</v>
      </c>
      <c r="CR14" t="str">
        <f t="shared" si="35"/>
        <v>R91</v>
      </c>
      <c r="CS14" t="s">
        <v>1130</v>
      </c>
      <c r="CT14" t="s">
        <v>1130</v>
      </c>
      <c r="CU14" t="s">
        <v>1130</v>
      </c>
      <c r="CV14" t="b">
        <f t="shared" si="50"/>
        <v>1</v>
      </c>
      <c r="CW14" s="393" t="s">
        <v>1623</v>
      </c>
      <c r="CX14" s="393" t="b">
        <f t="shared" si="59"/>
        <v>0</v>
      </c>
      <c r="CY14" s="393" t="s">
        <v>1018</v>
      </c>
      <c r="CZ14" s="393" t="b">
        <f t="shared" si="51"/>
        <v>0</v>
      </c>
      <c r="DC14" t="str">
        <f t="shared" si="36"/>
        <v>G286</v>
      </c>
      <c r="DD14" t="b">
        <f t="shared" si="52"/>
        <v>0</v>
      </c>
      <c r="DE14" t="str">
        <f t="shared" si="53"/>
        <v>G286</v>
      </c>
      <c r="DF14" t="str">
        <f t="shared" si="37"/>
        <v>R91</v>
      </c>
      <c r="DG14" t="b">
        <f t="shared" si="54"/>
        <v>0</v>
      </c>
      <c r="DH14" t="str">
        <f t="shared" si="55"/>
        <v>R91</v>
      </c>
    </row>
    <row r="15" spans="2:115" ht="12" customHeight="1">
      <c r="B15" t="str">
        <f>TBIDry!H87</f>
        <v/>
      </c>
      <c r="C15" t="str">
        <f>TBIDry!I87</f>
        <v/>
      </c>
      <c r="D15" t="b">
        <f t="shared" si="1"/>
        <v>1</v>
      </c>
      <c r="E15" t="b">
        <f t="shared" si="2"/>
        <v>1</v>
      </c>
      <c r="G15" t="str">
        <f>TBIWet!H87</f>
        <v>G590</v>
      </c>
      <c r="H15" t="str">
        <f>TBIWet!I87</f>
        <v>R409</v>
      </c>
      <c r="I15" t="b">
        <f t="shared" si="3"/>
        <v>0</v>
      </c>
      <c r="J15" t="b">
        <f t="shared" si="38"/>
        <v>0</v>
      </c>
      <c r="L15" t="str">
        <f>'Both teabags AfterWet'!A13</f>
        <v>G281</v>
      </c>
      <c r="M15" t="str">
        <f>'Both teabags AfterWet'!A433</f>
        <v>R111</v>
      </c>
      <c r="N15" t="b">
        <f t="shared" si="4"/>
        <v>0</v>
      </c>
      <c r="O15" t="b">
        <f t="shared" si="56"/>
        <v>0</v>
      </c>
      <c r="Q15" s="388" t="b">
        <f t="shared" si="5"/>
        <v>0</v>
      </c>
      <c r="R15" s="388" t="b">
        <f t="shared" si="6"/>
        <v>0</v>
      </c>
      <c r="T15" t="str">
        <f>'Both teabags AfterDry'!A13</f>
        <v>G113</v>
      </c>
      <c r="U15" t="str">
        <f>'Both teabags AfterDry'!A348</f>
        <v>R173</v>
      </c>
      <c r="V15" t="b">
        <f t="shared" si="7"/>
        <v>0</v>
      </c>
      <c r="W15" t="b">
        <f t="shared" si="39"/>
        <v>0</v>
      </c>
      <c r="Y15" t="str">
        <f>'Green_rooibos initial weight'!A16</f>
        <v>G12</v>
      </c>
      <c r="Z15" t="str">
        <f>'Green_rooibos initial weight'!A920</f>
        <v>R12</v>
      </c>
      <c r="AA15" t="b">
        <f t="shared" si="8"/>
        <v>0</v>
      </c>
      <c r="AB15" t="b">
        <f t="shared" si="9"/>
        <v>0</v>
      </c>
      <c r="AE15" t="str">
        <f>'WetLitterbags placem_collection'!K14</f>
        <v>G590</v>
      </c>
      <c r="AF15" t="str">
        <f>'WetLitterbags placem_collection'!M14</f>
        <v>R409</v>
      </c>
      <c r="AG15" t="b">
        <f t="shared" si="10"/>
        <v>0</v>
      </c>
      <c r="AH15" t="b">
        <f t="shared" si="11"/>
        <v>0</v>
      </c>
      <c r="AJ15" t="b">
        <f t="shared" si="12"/>
        <v>0</v>
      </c>
      <c r="AK15" t="b">
        <f t="shared" si="13"/>
        <v>0</v>
      </c>
      <c r="AM15" t="str">
        <f>IF(ISBLANK('Dry_Litterbag Placem_Collection'!J14),"","G"&amp;""&amp;'Dry_Litterbag Placem_Collection'!J14)</f>
        <v/>
      </c>
      <c r="AN15" t="str">
        <f>IF(ISBLANK('Dry_Litterbag Placem_Collection'!K14),"","R"&amp;""&amp;'Dry_Litterbag Placem_Collection'!K14)</f>
        <v/>
      </c>
      <c r="AO15" t="b">
        <f t="shared" si="58"/>
        <v>1</v>
      </c>
      <c r="AP15" t="b">
        <f t="shared" si="15"/>
        <v>1</v>
      </c>
      <c r="AS15" t="str">
        <f>'Ashed teabags dry'!A13</f>
        <v>G113</v>
      </c>
      <c r="AT15" t="str">
        <f>'Ashed teabags dry'!A348</f>
        <v>R173</v>
      </c>
      <c r="AU15" t="b">
        <f t="shared" si="16"/>
        <v>0</v>
      </c>
      <c r="AV15" t="b">
        <f t="shared" si="40"/>
        <v>0</v>
      </c>
      <c r="AX15" s="388" t="b">
        <f t="shared" si="17"/>
        <v>0</v>
      </c>
      <c r="AY15" s="388" t="b">
        <f t="shared" si="18"/>
        <v>0</v>
      </c>
      <c r="BA15" t="str">
        <f>'Ashed teabags wet'!A13</f>
        <v>G281</v>
      </c>
      <c r="BB15" t="str">
        <f>'Ashed teabags wet'!A433</f>
        <v>R111</v>
      </c>
      <c r="BC15" t="b">
        <f t="shared" si="19"/>
        <v>0</v>
      </c>
      <c r="BD15" t="b">
        <f t="shared" si="0"/>
        <v>0</v>
      </c>
      <c r="BF15" t="str">
        <f t="shared" si="20"/>
        <v>G111</v>
      </c>
      <c r="BG15" t="str">
        <f t="shared" si="21"/>
        <v>G111</v>
      </c>
      <c r="BH15" t="str">
        <f t="shared" si="22"/>
        <v>G435</v>
      </c>
      <c r="BI15" t="str">
        <f t="shared" si="41"/>
        <v>G435</v>
      </c>
      <c r="BJ15" t="s">
        <v>1939</v>
      </c>
      <c r="BK15" t="s">
        <v>1939</v>
      </c>
      <c r="BL15" t="s">
        <v>1939</v>
      </c>
      <c r="BM15" t="b">
        <f t="shared" si="42"/>
        <v>1</v>
      </c>
      <c r="BN15" t="str">
        <f t="shared" si="23"/>
        <v>R170</v>
      </c>
      <c r="BO15" t="str">
        <f t="shared" si="24"/>
        <v>R170</v>
      </c>
      <c r="BP15" t="str">
        <f t="shared" si="25"/>
        <v>R748</v>
      </c>
      <c r="BQ15" t="str">
        <f t="shared" si="26"/>
        <v>R748</v>
      </c>
      <c r="BR15" t="s">
        <v>971</v>
      </c>
      <c r="BS15" t="s">
        <v>971</v>
      </c>
      <c r="BT15" t="s">
        <v>971</v>
      </c>
      <c r="BU15" t="b">
        <f t="shared" si="43"/>
        <v>1</v>
      </c>
      <c r="BV15" s="180" t="s">
        <v>1770</v>
      </c>
      <c r="BW15" s="180" t="s">
        <v>317</v>
      </c>
      <c r="BZ15" t="str">
        <f t="shared" si="27"/>
        <v>G435</v>
      </c>
      <c r="CA15" t="b">
        <f t="shared" si="28"/>
        <v>0</v>
      </c>
      <c r="CB15" t="str">
        <f t="shared" si="44"/>
        <v>G435</v>
      </c>
      <c r="CC15" t="str">
        <f t="shared" si="29"/>
        <v>R748</v>
      </c>
      <c r="CD15" t="b">
        <f t="shared" si="45"/>
        <v>0</v>
      </c>
      <c r="CE15" t="str">
        <f t="shared" si="46"/>
        <v>R748</v>
      </c>
      <c r="CG15" t="str">
        <f t="shared" si="30"/>
        <v>G269</v>
      </c>
      <c r="CH15" t="str">
        <f t="shared" si="47"/>
        <v>G269</v>
      </c>
      <c r="CI15" t="str">
        <f t="shared" si="31"/>
        <v>G543</v>
      </c>
      <c r="CJ15" t="str">
        <f t="shared" si="32"/>
        <v>G543</v>
      </c>
      <c r="CK15" t="s">
        <v>1781</v>
      </c>
      <c r="CL15" t="s">
        <v>1781</v>
      </c>
      <c r="CM15" t="s">
        <v>1781</v>
      </c>
      <c r="CN15" t="b">
        <f t="shared" si="48"/>
        <v>1</v>
      </c>
      <c r="CO15" t="str">
        <f t="shared" si="33"/>
        <v>R110</v>
      </c>
      <c r="CP15" t="str">
        <f t="shared" si="49"/>
        <v>R110</v>
      </c>
      <c r="CQ15" t="str">
        <f t="shared" si="34"/>
        <v>R446</v>
      </c>
      <c r="CR15" t="str">
        <f t="shared" si="35"/>
        <v>R446</v>
      </c>
      <c r="CS15" t="s">
        <v>1031</v>
      </c>
      <c r="CT15" t="s">
        <v>1031</v>
      </c>
      <c r="CU15" t="s">
        <v>1031</v>
      </c>
      <c r="CV15" t="b">
        <f t="shared" si="50"/>
        <v>1</v>
      </c>
      <c r="CW15" s="393" t="s">
        <v>1367</v>
      </c>
      <c r="CX15" s="393" t="b">
        <f t="shared" si="59"/>
        <v>0</v>
      </c>
      <c r="CY15" s="393" t="s">
        <v>1039</v>
      </c>
      <c r="CZ15" s="393" t="b">
        <f t="shared" si="51"/>
        <v>0</v>
      </c>
      <c r="DC15" t="str">
        <f t="shared" si="36"/>
        <v>G543</v>
      </c>
      <c r="DD15" t="b">
        <f t="shared" si="52"/>
        <v>0</v>
      </c>
      <c r="DE15" t="str">
        <f t="shared" si="53"/>
        <v>G543</v>
      </c>
      <c r="DF15" t="str">
        <f t="shared" si="37"/>
        <v>R446</v>
      </c>
      <c r="DG15" t="b">
        <f t="shared" si="54"/>
        <v>0</v>
      </c>
      <c r="DH15" t="str">
        <f t="shared" si="55"/>
        <v>R446</v>
      </c>
    </row>
    <row r="16" spans="2:115" ht="12" customHeight="1">
      <c r="B16" t="str">
        <f>TBIDry!H88</f>
        <v>G2</v>
      </c>
      <c r="C16" t="str">
        <f>TBIDry!I88</f>
        <v>R784</v>
      </c>
      <c r="D16" t="b">
        <f t="shared" si="1"/>
        <v>0</v>
      </c>
      <c r="E16" t="b">
        <f t="shared" si="2"/>
        <v>0</v>
      </c>
      <c r="G16" t="str">
        <f>TBIWet!H88</f>
        <v>G595</v>
      </c>
      <c r="H16" t="str">
        <f>TBIWet!I88</f>
        <v>R450</v>
      </c>
      <c r="I16" t="b">
        <f t="shared" si="3"/>
        <v>0</v>
      </c>
      <c r="J16" t="b">
        <f t="shared" si="38"/>
        <v>0</v>
      </c>
      <c r="L16" t="str">
        <f>'Both teabags AfterWet'!A14</f>
        <v>G282</v>
      </c>
      <c r="M16" t="str">
        <f>'Both teabags AfterWet'!A434</f>
        <v>R112</v>
      </c>
      <c r="N16" t="b">
        <f t="shared" si="4"/>
        <v>0</v>
      </c>
      <c r="O16" t="b">
        <f t="shared" si="56"/>
        <v>0</v>
      </c>
      <c r="Q16" s="388" t="b">
        <f t="shared" si="5"/>
        <v>0</v>
      </c>
      <c r="R16" s="388" t="b">
        <f t="shared" si="6"/>
        <v>0</v>
      </c>
      <c r="T16" t="str">
        <f>'Both teabags AfterDry'!A14</f>
        <v>G115</v>
      </c>
      <c r="U16" t="str">
        <f>'Both teabags AfterDry'!A349</f>
        <v>R174</v>
      </c>
      <c r="V16" t="b">
        <f t="shared" si="7"/>
        <v>0</v>
      </c>
      <c r="W16" t="b">
        <f t="shared" si="39"/>
        <v>0</v>
      </c>
      <c r="Y16" t="str">
        <f>'Green_rooibos initial weight'!A17</f>
        <v>G13</v>
      </c>
      <c r="Z16" t="str">
        <f>'Green_rooibos initial weight'!A921</f>
        <v>R13</v>
      </c>
      <c r="AA16" t="b">
        <f t="shared" si="8"/>
        <v>0</v>
      </c>
      <c r="AB16" t="b">
        <f t="shared" si="9"/>
        <v>0</v>
      </c>
      <c r="AE16" t="str">
        <f>'WetLitterbags placem_collection'!K15</f>
        <v>G595</v>
      </c>
      <c r="AF16" t="str">
        <f>'WetLitterbags placem_collection'!M15</f>
        <v>R450</v>
      </c>
      <c r="AG16" t="b">
        <f t="shared" si="10"/>
        <v>0</v>
      </c>
      <c r="AH16" t="b">
        <f t="shared" si="11"/>
        <v>0</v>
      </c>
      <c r="AJ16" t="b">
        <f t="shared" si="12"/>
        <v>0</v>
      </c>
      <c r="AK16" t="b">
        <f t="shared" si="13"/>
        <v>0</v>
      </c>
      <c r="AM16" t="str">
        <f>IF(ISBLANK('Dry_Litterbag Placem_Collection'!J15),"","G"&amp;""&amp;'Dry_Litterbag Placem_Collection'!J15)</f>
        <v>G2</v>
      </c>
      <c r="AN16" t="str">
        <f>IF(ISBLANK('Dry_Litterbag Placem_Collection'!K15),"","R"&amp;""&amp;'Dry_Litterbag Placem_Collection'!K15)</f>
        <v>R784</v>
      </c>
      <c r="AO16" t="b">
        <f t="shared" si="58"/>
        <v>0</v>
      </c>
      <c r="AP16" t="b">
        <f t="shared" si="15"/>
        <v>0</v>
      </c>
      <c r="AS16" t="str">
        <f>'Ashed teabags dry'!A14</f>
        <v>G115</v>
      </c>
      <c r="AT16" t="str">
        <f>'Ashed teabags dry'!A349</f>
        <v>R174</v>
      </c>
      <c r="AU16" t="b">
        <f t="shared" si="16"/>
        <v>0</v>
      </c>
      <c r="AV16" t="b">
        <f t="shared" si="40"/>
        <v>0</v>
      </c>
      <c r="AX16" s="388" t="b">
        <f t="shared" si="17"/>
        <v>0</v>
      </c>
      <c r="AY16" s="388" t="b">
        <f t="shared" si="18"/>
        <v>0</v>
      </c>
      <c r="BA16" t="str">
        <f>'Ashed teabags wet'!A14</f>
        <v>G282</v>
      </c>
      <c r="BB16" t="str">
        <f>'Ashed teabags wet'!A434</f>
        <v>R112</v>
      </c>
      <c r="BC16" t="b">
        <f t="shared" si="19"/>
        <v>0</v>
      </c>
      <c r="BD16" t="b">
        <f t="shared" si="0"/>
        <v>0</v>
      </c>
      <c r="BF16" t="str">
        <f t="shared" si="20"/>
        <v>G113</v>
      </c>
      <c r="BG16" t="str">
        <f t="shared" si="21"/>
        <v>G113</v>
      </c>
      <c r="BH16" t="str">
        <f t="shared" si="22"/>
        <v/>
      </c>
      <c r="BI16" t="str">
        <f t="shared" si="41"/>
        <v/>
      </c>
      <c r="BJ16" t="s">
        <v>1937</v>
      </c>
      <c r="BK16" t="s">
        <v>1937</v>
      </c>
      <c r="BL16" t="s">
        <v>1937</v>
      </c>
      <c r="BM16" t="b">
        <f t="shared" si="42"/>
        <v>1</v>
      </c>
      <c r="BN16" t="str">
        <f t="shared" si="23"/>
        <v>R173</v>
      </c>
      <c r="BO16" t="str">
        <f t="shared" si="24"/>
        <v>R173</v>
      </c>
      <c r="BP16" t="str">
        <f t="shared" si="25"/>
        <v/>
      </c>
      <c r="BQ16" t="str">
        <f t="shared" si="26"/>
        <v/>
      </c>
      <c r="BR16" t="s">
        <v>968</v>
      </c>
      <c r="BS16" t="s">
        <v>968</v>
      </c>
      <c r="BT16" t="s">
        <v>968</v>
      </c>
      <c r="BU16" t="b">
        <f t="shared" si="43"/>
        <v>1</v>
      </c>
      <c r="BV16" s="180" t="s">
        <v>1780</v>
      </c>
      <c r="BW16" s="180" t="s">
        <v>322</v>
      </c>
      <c r="BZ16" t="str">
        <f t="shared" si="27"/>
        <v/>
      </c>
      <c r="CA16" t="b">
        <f t="shared" si="28"/>
        <v>0</v>
      </c>
      <c r="CB16" t="str">
        <f t="shared" si="44"/>
        <v/>
      </c>
      <c r="CC16" t="str">
        <f t="shared" si="29"/>
        <v/>
      </c>
      <c r="CD16" t="b">
        <f t="shared" si="45"/>
        <v>0</v>
      </c>
      <c r="CE16" t="str">
        <f t="shared" si="46"/>
        <v/>
      </c>
      <c r="CG16" t="str">
        <f t="shared" si="30"/>
        <v>G281</v>
      </c>
      <c r="CH16" t="str">
        <f t="shared" si="47"/>
        <v>G281</v>
      </c>
      <c r="CI16" t="str">
        <f t="shared" si="31"/>
        <v>G590</v>
      </c>
      <c r="CJ16" t="str">
        <f t="shared" si="32"/>
        <v/>
      </c>
      <c r="CK16" t="s">
        <v>1769</v>
      </c>
      <c r="CL16" t="s">
        <v>1769</v>
      </c>
      <c r="CM16" t="s">
        <v>1769</v>
      </c>
      <c r="CN16" t="b">
        <f t="shared" si="48"/>
        <v>1</v>
      </c>
      <c r="CO16" t="str">
        <f t="shared" si="33"/>
        <v>R111</v>
      </c>
      <c r="CP16" t="str">
        <f t="shared" si="49"/>
        <v>R111</v>
      </c>
      <c r="CQ16" t="str">
        <f t="shared" si="34"/>
        <v>R409</v>
      </c>
      <c r="CR16" t="str">
        <f t="shared" si="35"/>
        <v/>
      </c>
      <c r="CS16" t="s">
        <v>1030</v>
      </c>
      <c r="CT16" t="s">
        <v>1030</v>
      </c>
      <c r="CU16" t="s">
        <v>1030</v>
      </c>
      <c r="CV16" t="b">
        <f t="shared" si="50"/>
        <v>1</v>
      </c>
      <c r="CW16" s="393" t="s">
        <v>1762</v>
      </c>
      <c r="CX16" s="393" t="b">
        <f t="shared" si="59"/>
        <v>0</v>
      </c>
      <c r="CY16" s="393" t="s">
        <v>1028</v>
      </c>
      <c r="CZ16" s="393" t="b">
        <f t="shared" si="51"/>
        <v>0</v>
      </c>
      <c r="DC16" t="str">
        <f t="shared" si="36"/>
        <v>G590</v>
      </c>
      <c r="DD16" t="b">
        <f t="shared" si="52"/>
        <v>1</v>
      </c>
      <c r="DE16" t="str">
        <f t="shared" si="53"/>
        <v/>
      </c>
      <c r="DF16" t="str">
        <f t="shared" si="37"/>
        <v>R409</v>
      </c>
      <c r="DG16" t="b">
        <f t="shared" si="54"/>
        <v>1</v>
      </c>
      <c r="DH16" t="str">
        <f t="shared" si="55"/>
        <v/>
      </c>
    </row>
    <row r="17" spans="2:112" ht="12" customHeight="1">
      <c r="B17" t="str">
        <f>TBIDry!H89</f>
        <v>G225</v>
      </c>
      <c r="C17" t="str">
        <f>TBIDry!I89</f>
        <v>R838</v>
      </c>
      <c r="D17" t="b">
        <f t="shared" si="1"/>
        <v>0</v>
      </c>
      <c r="E17" t="b">
        <f t="shared" si="2"/>
        <v>0</v>
      </c>
      <c r="G17" t="str">
        <f>TBIWet!H89</f>
        <v>G609</v>
      </c>
      <c r="H17" t="str">
        <f>TBIWet!I89</f>
        <v>R382</v>
      </c>
      <c r="I17" t="b">
        <f t="shared" si="3"/>
        <v>0</v>
      </c>
      <c r="J17" t="b">
        <f t="shared" si="38"/>
        <v>0</v>
      </c>
      <c r="L17" t="str">
        <f>'Both teabags AfterWet'!A15</f>
        <v>G283</v>
      </c>
      <c r="M17" t="str">
        <f>'Both teabags AfterWet'!A435</f>
        <v>R114</v>
      </c>
      <c r="N17" t="b">
        <f t="shared" si="4"/>
        <v>0</v>
      </c>
      <c r="O17" t="b">
        <f t="shared" si="56"/>
        <v>0</v>
      </c>
      <c r="Q17" s="388" t="b">
        <f t="shared" si="5"/>
        <v>0</v>
      </c>
      <c r="R17" s="388" t="b">
        <f t="shared" si="6"/>
        <v>0</v>
      </c>
      <c r="T17" t="str">
        <f>'Both teabags AfterDry'!A15</f>
        <v>G116</v>
      </c>
      <c r="U17" t="str">
        <f>'Both teabags AfterDry'!A350</f>
        <v>R175</v>
      </c>
      <c r="V17" t="b">
        <f t="shared" si="7"/>
        <v>0</v>
      </c>
      <c r="W17" t="b">
        <f t="shared" si="39"/>
        <v>0</v>
      </c>
      <c r="Y17" t="str">
        <f>'Green_rooibos initial weight'!A18</f>
        <v>G14</v>
      </c>
      <c r="Z17" t="str">
        <f>'Green_rooibos initial weight'!A922</f>
        <v>R14</v>
      </c>
      <c r="AA17" t="b">
        <f t="shared" si="8"/>
        <v>0</v>
      </c>
      <c r="AB17" t="b">
        <f t="shared" si="9"/>
        <v>0</v>
      </c>
      <c r="AE17" t="str">
        <f>'WetLitterbags placem_collection'!K16</f>
        <v>G609</v>
      </c>
      <c r="AF17" t="str">
        <f>'WetLitterbags placem_collection'!M16</f>
        <v>R382</v>
      </c>
      <c r="AG17" t="b">
        <f t="shared" si="10"/>
        <v>0</v>
      </c>
      <c r="AH17" t="b">
        <f t="shared" si="11"/>
        <v>0</v>
      </c>
      <c r="AJ17" t="b">
        <f t="shared" si="12"/>
        <v>0</v>
      </c>
      <c r="AK17" t="b">
        <f t="shared" si="13"/>
        <v>0</v>
      </c>
      <c r="AM17" t="str">
        <f>IF(ISBLANK('Dry_Litterbag Placem_Collection'!J16),"","G"&amp;""&amp;'Dry_Litterbag Placem_Collection'!J16)</f>
        <v>G225</v>
      </c>
      <c r="AN17" t="str">
        <f>IF(ISBLANK('Dry_Litterbag Placem_Collection'!K16),"","R"&amp;""&amp;'Dry_Litterbag Placem_Collection'!K16)</f>
        <v>R838</v>
      </c>
      <c r="AO17" t="b">
        <f t="shared" si="58"/>
        <v>0</v>
      </c>
      <c r="AP17" t="b">
        <f t="shared" si="15"/>
        <v>0</v>
      </c>
      <c r="AS17" t="str">
        <f>'Ashed teabags dry'!A15</f>
        <v>G116</v>
      </c>
      <c r="AT17" t="str">
        <f>'Ashed teabags dry'!A350</f>
        <v>R175</v>
      </c>
      <c r="AU17" t="b">
        <f t="shared" si="16"/>
        <v>0</v>
      </c>
      <c r="AV17" t="b">
        <f t="shared" si="40"/>
        <v>0</v>
      </c>
      <c r="AX17" s="388" t="b">
        <f t="shared" si="17"/>
        <v>0</v>
      </c>
      <c r="AY17" s="388" t="b">
        <f t="shared" si="18"/>
        <v>0</v>
      </c>
      <c r="BA17" t="str">
        <f>'Ashed teabags wet'!A15</f>
        <v>G283</v>
      </c>
      <c r="BB17" t="str">
        <f>'Ashed teabags wet'!A435</f>
        <v>R114</v>
      </c>
      <c r="BC17" t="b">
        <f t="shared" si="19"/>
        <v>0</v>
      </c>
      <c r="BD17" t="b">
        <f t="shared" si="0"/>
        <v>0</v>
      </c>
      <c r="BF17" t="str">
        <f t="shared" si="20"/>
        <v>G115</v>
      </c>
      <c r="BG17" t="str">
        <f t="shared" si="21"/>
        <v>G115</v>
      </c>
      <c r="BH17" t="str">
        <f t="shared" si="22"/>
        <v>G2</v>
      </c>
      <c r="BI17" t="str">
        <f t="shared" si="41"/>
        <v>G2</v>
      </c>
      <c r="BJ17" t="s">
        <v>1935</v>
      </c>
      <c r="BK17" t="s">
        <v>1935</v>
      </c>
      <c r="BL17" t="s">
        <v>1935</v>
      </c>
      <c r="BM17" t="b">
        <f t="shared" si="42"/>
        <v>1</v>
      </c>
      <c r="BN17" t="str">
        <f t="shared" si="23"/>
        <v>R174</v>
      </c>
      <c r="BO17" t="str">
        <f t="shared" si="24"/>
        <v>R174</v>
      </c>
      <c r="BP17" t="str">
        <f t="shared" si="25"/>
        <v>R784</v>
      </c>
      <c r="BQ17" t="str">
        <f t="shared" si="26"/>
        <v>R784</v>
      </c>
      <c r="BR17" t="s">
        <v>967</v>
      </c>
      <c r="BS17" t="s">
        <v>967</v>
      </c>
      <c r="BT17" t="s">
        <v>967</v>
      </c>
      <c r="BU17" t="b">
        <f t="shared" si="43"/>
        <v>1</v>
      </c>
      <c r="BV17" s="180" t="s">
        <v>1963</v>
      </c>
      <c r="BW17" s="180" t="s">
        <v>305</v>
      </c>
      <c r="BZ17" t="str">
        <f t="shared" si="27"/>
        <v>G2</v>
      </c>
      <c r="CA17" t="b">
        <f t="shared" si="28"/>
        <v>0</v>
      </c>
      <c r="CB17" t="str">
        <f t="shared" si="44"/>
        <v>G2</v>
      </c>
      <c r="CC17" t="str">
        <f t="shared" si="29"/>
        <v>R784</v>
      </c>
      <c r="CD17" t="b">
        <f t="shared" si="45"/>
        <v>0</v>
      </c>
      <c r="CE17" t="str">
        <f t="shared" si="46"/>
        <v>R784</v>
      </c>
      <c r="CG17" t="str">
        <f t="shared" si="30"/>
        <v>G282</v>
      </c>
      <c r="CH17" t="str">
        <f t="shared" si="47"/>
        <v>G282</v>
      </c>
      <c r="CI17" t="str">
        <f t="shared" si="31"/>
        <v>G595</v>
      </c>
      <c r="CJ17" t="str">
        <f t="shared" si="32"/>
        <v>G595</v>
      </c>
      <c r="CK17" t="s">
        <v>1768</v>
      </c>
      <c r="CL17" t="s">
        <v>1768</v>
      </c>
      <c r="CM17" t="s">
        <v>1768</v>
      </c>
      <c r="CN17" t="b">
        <f t="shared" si="48"/>
        <v>1</v>
      </c>
      <c r="CO17" t="str">
        <f t="shared" si="33"/>
        <v>R112</v>
      </c>
      <c r="CP17" t="str">
        <f t="shared" si="49"/>
        <v>R112</v>
      </c>
      <c r="CQ17" t="str">
        <f t="shared" si="34"/>
        <v>R450</v>
      </c>
      <c r="CR17" t="str">
        <f t="shared" si="35"/>
        <v>R450</v>
      </c>
      <c r="CS17" t="s">
        <v>1029</v>
      </c>
      <c r="CT17" t="s">
        <v>1029</v>
      </c>
      <c r="CU17" t="s">
        <v>1029</v>
      </c>
      <c r="CV17" t="b">
        <f t="shared" si="50"/>
        <v>1</v>
      </c>
      <c r="CW17" s="393" t="s">
        <v>1462</v>
      </c>
      <c r="CX17" s="393" t="b">
        <f t="shared" si="59"/>
        <v>0</v>
      </c>
      <c r="CY17" s="393" t="s">
        <v>700</v>
      </c>
      <c r="CZ17" s="393" t="b">
        <f t="shared" si="51"/>
        <v>0</v>
      </c>
      <c r="DC17" t="str">
        <f t="shared" si="36"/>
        <v>G595</v>
      </c>
      <c r="DD17" t="b">
        <f t="shared" si="52"/>
        <v>0</v>
      </c>
      <c r="DE17" t="str">
        <f t="shared" si="53"/>
        <v>G595</v>
      </c>
      <c r="DF17" t="str">
        <f t="shared" si="37"/>
        <v>R450</v>
      </c>
      <c r="DG17" t="b">
        <f t="shared" si="54"/>
        <v>0</v>
      </c>
      <c r="DH17" t="str">
        <f t="shared" si="55"/>
        <v>R450</v>
      </c>
    </row>
    <row r="18" spans="2:112" ht="12" customHeight="1">
      <c r="B18" t="str">
        <f>TBIDry!H90</f>
        <v>G444</v>
      </c>
      <c r="C18" t="str">
        <f>TBIDry!I90</f>
        <v>R793</v>
      </c>
      <c r="D18" t="b">
        <f t="shared" si="1"/>
        <v>0</v>
      </c>
      <c r="E18" t="b">
        <f t="shared" si="2"/>
        <v>0</v>
      </c>
      <c r="G18" t="str">
        <f>TBIWet!H90</f>
        <v>G222</v>
      </c>
      <c r="H18" t="str">
        <f>TBIWet!I90</f>
        <v>R415</v>
      </c>
      <c r="I18" t="b">
        <f t="shared" si="3"/>
        <v>0</v>
      </c>
      <c r="J18" t="b">
        <f t="shared" si="38"/>
        <v>0</v>
      </c>
      <c r="L18" t="str">
        <f>'Both teabags AfterWet'!A16</f>
        <v>G286</v>
      </c>
      <c r="M18" t="str">
        <f>'Both teabags AfterWet'!A436</f>
        <v>R115</v>
      </c>
      <c r="N18" t="b">
        <f t="shared" si="4"/>
        <v>0</v>
      </c>
      <c r="O18" t="b">
        <f t="shared" si="56"/>
        <v>0</v>
      </c>
      <c r="Q18" s="388" t="b">
        <f t="shared" si="5"/>
        <v>0</v>
      </c>
      <c r="R18" s="388" t="b">
        <f t="shared" si="6"/>
        <v>0</v>
      </c>
      <c r="T18" t="str">
        <f>'Both teabags AfterDry'!A16</f>
        <v>G118</v>
      </c>
      <c r="U18" t="str">
        <f>'Both teabags AfterDry'!A351</f>
        <v>R178</v>
      </c>
      <c r="V18" t="b">
        <f t="shared" si="7"/>
        <v>0</v>
      </c>
      <c r="W18" t="b">
        <f t="shared" si="39"/>
        <v>0</v>
      </c>
      <c r="Y18" t="str">
        <f>'Green_rooibos initial weight'!A19</f>
        <v>G15</v>
      </c>
      <c r="Z18" t="str">
        <f>'Green_rooibos initial weight'!A923</f>
        <v>R15</v>
      </c>
      <c r="AA18" t="b">
        <f t="shared" si="8"/>
        <v>0</v>
      </c>
      <c r="AB18" t="b">
        <f t="shared" si="9"/>
        <v>0</v>
      </c>
      <c r="AE18" t="str">
        <f>'WetLitterbags placem_collection'!K17</f>
        <v>G222</v>
      </c>
      <c r="AF18" t="str">
        <f>'WetLitterbags placem_collection'!M17</f>
        <v>R415</v>
      </c>
      <c r="AG18" t="b">
        <f t="shared" si="10"/>
        <v>0</v>
      </c>
      <c r="AH18" t="b">
        <f t="shared" si="11"/>
        <v>0</v>
      </c>
      <c r="AJ18" t="b">
        <f t="shared" si="12"/>
        <v>0</v>
      </c>
      <c r="AK18" t="b">
        <f t="shared" si="13"/>
        <v>0</v>
      </c>
      <c r="AM18" t="str">
        <f>IF(ISBLANK('Dry_Litterbag Placem_Collection'!J17),"","G"&amp;""&amp;'Dry_Litterbag Placem_Collection'!J17)</f>
        <v>G444</v>
      </c>
      <c r="AN18" t="str">
        <f>IF(ISBLANK('Dry_Litterbag Placem_Collection'!K17),"","R"&amp;""&amp;'Dry_Litterbag Placem_Collection'!K17)</f>
        <v>R793</v>
      </c>
      <c r="AO18" t="b">
        <f t="shared" si="58"/>
        <v>0</v>
      </c>
      <c r="AP18" t="b">
        <f t="shared" si="15"/>
        <v>0</v>
      </c>
      <c r="AS18" t="str">
        <f>'Ashed teabags dry'!A16</f>
        <v>G118</v>
      </c>
      <c r="AT18" t="str">
        <f>'Ashed teabags dry'!A351</f>
        <v>R178</v>
      </c>
      <c r="AU18" t="b">
        <f t="shared" si="16"/>
        <v>0</v>
      </c>
      <c r="AV18" t="b">
        <f t="shared" si="40"/>
        <v>0</v>
      </c>
      <c r="AX18" s="388" t="b">
        <f t="shared" si="17"/>
        <v>0</v>
      </c>
      <c r="AY18" s="388" t="b">
        <f t="shared" si="18"/>
        <v>0</v>
      </c>
      <c r="BA18" t="str">
        <f>'Ashed teabags wet'!A16</f>
        <v>G286</v>
      </c>
      <c r="BB18" t="str">
        <f>'Ashed teabags wet'!A436</f>
        <v>R115</v>
      </c>
      <c r="BC18" t="b">
        <f t="shared" si="19"/>
        <v>0</v>
      </c>
      <c r="BD18" t="b">
        <f t="shared" si="0"/>
        <v>0</v>
      </c>
      <c r="BF18" t="str">
        <f t="shared" si="20"/>
        <v>G116</v>
      </c>
      <c r="BG18" t="str">
        <f t="shared" si="21"/>
        <v>G116</v>
      </c>
      <c r="BH18" t="str">
        <f t="shared" si="22"/>
        <v>G225</v>
      </c>
      <c r="BI18" t="str">
        <f t="shared" si="41"/>
        <v>G225</v>
      </c>
      <c r="BJ18" t="s">
        <v>1934</v>
      </c>
      <c r="BK18" t="s">
        <v>1934</v>
      </c>
      <c r="BL18" t="s">
        <v>1934</v>
      </c>
      <c r="BM18" t="b">
        <f t="shared" si="42"/>
        <v>1</v>
      </c>
      <c r="BN18" t="str">
        <f t="shared" si="23"/>
        <v>R175</v>
      </c>
      <c r="BO18" t="str">
        <f t="shared" si="24"/>
        <v>R175</v>
      </c>
      <c r="BP18" t="str">
        <f t="shared" si="25"/>
        <v>R838</v>
      </c>
      <c r="BQ18" t="str">
        <f t="shared" si="26"/>
        <v>R838</v>
      </c>
      <c r="BR18" t="s">
        <v>966</v>
      </c>
      <c r="BS18" t="s">
        <v>966</v>
      </c>
      <c r="BT18" t="s">
        <v>966</v>
      </c>
      <c r="BU18" t="b">
        <f t="shared" si="43"/>
        <v>1</v>
      </c>
      <c r="BV18" s="180" t="s">
        <v>1778</v>
      </c>
      <c r="BW18" s="180" t="s">
        <v>471</v>
      </c>
      <c r="BZ18" t="str">
        <f t="shared" si="27"/>
        <v>G225</v>
      </c>
      <c r="CA18" t="b">
        <f t="shared" si="28"/>
        <v>0</v>
      </c>
      <c r="CB18" t="str">
        <f t="shared" si="44"/>
        <v>G225</v>
      </c>
      <c r="CC18" t="str">
        <f t="shared" si="29"/>
        <v>R838</v>
      </c>
      <c r="CD18" t="b">
        <f t="shared" si="45"/>
        <v>0</v>
      </c>
      <c r="CE18" t="str">
        <f t="shared" si="46"/>
        <v>R838</v>
      </c>
      <c r="CG18" t="str">
        <f t="shared" si="30"/>
        <v>G283</v>
      </c>
      <c r="CH18" t="str">
        <f t="shared" si="47"/>
        <v>G283</v>
      </c>
      <c r="CI18" t="str">
        <f t="shared" si="31"/>
        <v>G609</v>
      </c>
      <c r="CJ18" t="str">
        <f t="shared" si="32"/>
        <v>G609</v>
      </c>
      <c r="CK18" t="s">
        <v>1767</v>
      </c>
      <c r="CL18" t="s">
        <v>1767</v>
      </c>
      <c r="CM18" t="s">
        <v>1767</v>
      </c>
      <c r="CN18" t="b">
        <f t="shared" si="48"/>
        <v>1</v>
      </c>
      <c r="CO18" t="str">
        <f t="shared" si="33"/>
        <v>R114</v>
      </c>
      <c r="CP18" t="str">
        <f t="shared" si="49"/>
        <v>R114</v>
      </c>
      <c r="CQ18" t="str">
        <f t="shared" si="34"/>
        <v>R382</v>
      </c>
      <c r="CR18" t="str">
        <f t="shared" si="35"/>
        <v>R382</v>
      </c>
      <c r="CS18" t="s">
        <v>1027</v>
      </c>
      <c r="CT18" t="s">
        <v>1027</v>
      </c>
      <c r="CU18" t="s">
        <v>1027</v>
      </c>
      <c r="CV18" t="b">
        <f t="shared" si="50"/>
        <v>1</v>
      </c>
      <c r="CW18" s="393" t="s">
        <v>1319</v>
      </c>
      <c r="CX18" s="393" t="b">
        <f xml:space="preserve"> COUNTIF($CG$5:$CG$2000,#REF!)&gt;1</f>
        <v>0</v>
      </c>
      <c r="CY18" s="393" t="s">
        <v>783</v>
      </c>
      <c r="CZ18" s="393" t="b">
        <f>COUNTIF(CO:CO, CY18)&gt;1</f>
        <v>0</v>
      </c>
      <c r="DC18" t="str">
        <f t="shared" si="36"/>
        <v>G609</v>
      </c>
      <c r="DD18" t="b">
        <f t="shared" si="52"/>
        <v>0</v>
      </c>
      <c r="DE18" t="str">
        <f t="shared" si="53"/>
        <v>G609</v>
      </c>
      <c r="DF18" t="str">
        <f t="shared" si="37"/>
        <v>R382</v>
      </c>
      <c r="DG18" t="b">
        <f t="shared" si="54"/>
        <v>0</v>
      </c>
      <c r="DH18" t="str">
        <f t="shared" si="55"/>
        <v>R382</v>
      </c>
    </row>
    <row r="19" spans="2:112" ht="12" customHeight="1">
      <c r="B19" t="str">
        <f>TBIDry!H91</f>
        <v>G376</v>
      </c>
      <c r="C19" t="str">
        <f>TBIDry!I91</f>
        <v>R755</v>
      </c>
      <c r="D19" t="b">
        <f t="shared" si="1"/>
        <v>0</v>
      </c>
      <c r="E19" t="b">
        <f t="shared" si="2"/>
        <v>0</v>
      </c>
      <c r="G19" t="str">
        <f>TBIWet!H91</f>
        <v>G405</v>
      </c>
      <c r="H19" t="str">
        <f>TBIWet!I91</f>
        <v>R519</v>
      </c>
      <c r="I19" t="b">
        <f t="shared" si="3"/>
        <v>0</v>
      </c>
      <c r="J19" t="b">
        <f t="shared" si="38"/>
        <v>0</v>
      </c>
      <c r="L19" t="str">
        <f>'Both teabags AfterWet'!A17</f>
        <v>G287</v>
      </c>
      <c r="M19" t="str">
        <f>'Both teabags AfterWet'!A437</f>
        <v>R117</v>
      </c>
      <c r="N19" t="b">
        <f t="shared" si="4"/>
        <v>0</v>
      </c>
      <c r="O19" t="b">
        <f t="shared" si="56"/>
        <v>0</v>
      </c>
      <c r="Q19" s="388" t="b">
        <f t="shared" si="5"/>
        <v>0</v>
      </c>
      <c r="R19" s="388" t="b">
        <f t="shared" si="6"/>
        <v>0</v>
      </c>
      <c r="T19" t="str">
        <f>'Both teabags AfterDry'!A17</f>
        <v>G12</v>
      </c>
      <c r="U19" t="str">
        <f>'Both teabags AfterDry'!A352</f>
        <v>R179</v>
      </c>
      <c r="V19" t="b">
        <f t="shared" si="7"/>
        <v>0</v>
      </c>
      <c r="W19" t="b">
        <f t="shared" si="39"/>
        <v>0</v>
      </c>
      <c r="Y19" t="str">
        <f>'Green_rooibos initial weight'!A20</f>
        <v>G16</v>
      </c>
      <c r="Z19" t="str">
        <f>'Green_rooibos initial weight'!A924</f>
        <v>R16</v>
      </c>
      <c r="AA19" t="b">
        <f t="shared" si="8"/>
        <v>0</v>
      </c>
      <c r="AB19" t="b">
        <f t="shared" si="9"/>
        <v>0</v>
      </c>
      <c r="AE19" t="str">
        <f>'WetLitterbags placem_collection'!K18</f>
        <v>G405</v>
      </c>
      <c r="AF19" t="str">
        <f>'WetLitterbags placem_collection'!M18</f>
        <v>R519</v>
      </c>
      <c r="AG19" t="b">
        <f t="shared" si="10"/>
        <v>0</v>
      </c>
      <c r="AH19" t="b">
        <f t="shared" si="11"/>
        <v>0</v>
      </c>
      <c r="AJ19" t="b">
        <f t="shared" si="12"/>
        <v>0</v>
      </c>
      <c r="AK19" t="b">
        <f t="shared" si="13"/>
        <v>0</v>
      </c>
      <c r="AM19" t="str">
        <f>IF(ISBLANK('Dry_Litterbag Placem_Collection'!J18),"","G"&amp;""&amp;'Dry_Litterbag Placem_Collection'!J18)</f>
        <v>G376</v>
      </c>
      <c r="AN19" t="str">
        <f>IF(ISBLANK('Dry_Litterbag Placem_Collection'!K18),"","R"&amp;""&amp;'Dry_Litterbag Placem_Collection'!K18)</f>
        <v>R755</v>
      </c>
      <c r="AO19" t="b">
        <f t="shared" si="58"/>
        <v>0</v>
      </c>
      <c r="AP19" t="b">
        <f t="shared" si="15"/>
        <v>0</v>
      </c>
      <c r="AS19" t="str">
        <f>'Ashed teabags dry'!A17</f>
        <v>G12</v>
      </c>
      <c r="AT19" t="str">
        <f>'Ashed teabags dry'!A352</f>
        <v>R179</v>
      </c>
      <c r="AU19" t="b">
        <f t="shared" si="16"/>
        <v>0</v>
      </c>
      <c r="AV19" t="b">
        <f t="shared" si="40"/>
        <v>0</v>
      </c>
      <c r="AX19" s="388" t="b">
        <f t="shared" si="17"/>
        <v>0</v>
      </c>
      <c r="AY19" s="388" t="b">
        <f t="shared" si="18"/>
        <v>0</v>
      </c>
      <c r="BA19" t="str">
        <f>'Ashed teabags wet'!A17</f>
        <v>G287</v>
      </c>
      <c r="BB19" t="str">
        <f>'Ashed teabags wet'!A437</f>
        <v>R117</v>
      </c>
      <c r="BC19" t="b">
        <f t="shared" si="19"/>
        <v>0</v>
      </c>
      <c r="BD19" t="b">
        <f t="shared" si="0"/>
        <v>0</v>
      </c>
      <c r="BF19" t="str">
        <f t="shared" si="20"/>
        <v>G118</v>
      </c>
      <c r="BG19" t="str">
        <f t="shared" si="21"/>
        <v>G118</v>
      </c>
      <c r="BH19" t="str">
        <f t="shared" si="22"/>
        <v>G444</v>
      </c>
      <c r="BI19" t="str">
        <f t="shared" si="41"/>
        <v>G444</v>
      </c>
      <c r="BJ19" t="s">
        <v>1932</v>
      </c>
      <c r="BK19" t="s">
        <v>1932</v>
      </c>
      <c r="BL19" t="s">
        <v>1932</v>
      </c>
      <c r="BM19" t="b">
        <f t="shared" si="42"/>
        <v>1</v>
      </c>
      <c r="BN19" t="str">
        <f t="shared" si="23"/>
        <v>R178</v>
      </c>
      <c r="BO19" t="str">
        <f t="shared" si="24"/>
        <v>R178</v>
      </c>
      <c r="BP19" t="str">
        <f t="shared" si="25"/>
        <v>R793</v>
      </c>
      <c r="BQ19" t="str">
        <f t="shared" si="26"/>
        <v>R793</v>
      </c>
      <c r="BR19" t="s">
        <v>963</v>
      </c>
      <c r="BS19" t="s">
        <v>963</v>
      </c>
      <c r="BT19" t="s">
        <v>963</v>
      </c>
      <c r="BU19" t="b">
        <f t="shared" si="43"/>
        <v>1</v>
      </c>
      <c r="BV19" s="180" t="s">
        <v>1722</v>
      </c>
      <c r="BW19" s="180" t="s">
        <v>663</v>
      </c>
      <c r="BZ19" t="str">
        <f t="shared" si="27"/>
        <v>G444</v>
      </c>
      <c r="CA19" t="b">
        <f t="shared" si="28"/>
        <v>0</v>
      </c>
      <c r="CB19" t="str">
        <f t="shared" si="44"/>
        <v>G444</v>
      </c>
      <c r="CC19" t="str">
        <f t="shared" si="29"/>
        <v>R793</v>
      </c>
      <c r="CD19" t="b">
        <f t="shared" si="45"/>
        <v>0</v>
      </c>
      <c r="CE19" t="str">
        <f t="shared" si="46"/>
        <v>R793</v>
      </c>
      <c r="CG19" t="str">
        <f t="shared" si="30"/>
        <v>G286</v>
      </c>
      <c r="CH19" t="str">
        <f t="shared" si="47"/>
        <v>G286</v>
      </c>
      <c r="CI19" t="str">
        <f t="shared" si="31"/>
        <v>G222</v>
      </c>
      <c r="CJ19" t="str">
        <f t="shared" si="32"/>
        <v>G222</v>
      </c>
      <c r="CK19" t="s">
        <v>1764</v>
      </c>
      <c r="CL19" t="s">
        <v>1764</v>
      </c>
      <c r="CM19" t="s">
        <v>1764</v>
      </c>
      <c r="CN19" t="b">
        <f t="shared" si="48"/>
        <v>1</v>
      </c>
      <c r="CO19" t="str">
        <f t="shared" si="33"/>
        <v>R115</v>
      </c>
      <c r="CP19" t="str">
        <f t="shared" si="49"/>
        <v>R115</v>
      </c>
      <c r="CQ19" t="str">
        <f t="shared" si="34"/>
        <v>R415</v>
      </c>
      <c r="CR19" t="str">
        <f t="shared" si="35"/>
        <v>R415</v>
      </c>
      <c r="CS19" t="s">
        <v>1026</v>
      </c>
      <c r="CT19" t="s">
        <v>1026</v>
      </c>
      <c r="CU19" t="s">
        <v>1026</v>
      </c>
      <c r="CV19" t="b">
        <f t="shared" si="50"/>
        <v>1</v>
      </c>
      <c r="CW19" s="393" t="s">
        <v>1632</v>
      </c>
      <c r="CX19" s="393" t="b">
        <f>COUNTIF($CG$5:$CG$2000, CW17)&gt;1</f>
        <v>0</v>
      </c>
      <c r="CY19" s="393" t="s">
        <v>702</v>
      </c>
      <c r="CZ19" s="393" t="b">
        <f>COUNTIF(CO:CO, CY19)&gt;1</f>
        <v>0</v>
      </c>
      <c r="DC19" t="str">
        <f t="shared" si="36"/>
        <v>G222</v>
      </c>
      <c r="DD19" t="b">
        <f t="shared" si="52"/>
        <v>0</v>
      </c>
      <c r="DE19" t="str">
        <f t="shared" si="53"/>
        <v>G222</v>
      </c>
      <c r="DF19" t="str">
        <f t="shared" si="37"/>
        <v>R415</v>
      </c>
      <c r="DG19" t="b">
        <f t="shared" si="54"/>
        <v>0</v>
      </c>
      <c r="DH19" t="str">
        <f t="shared" si="55"/>
        <v>R415</v>
      </c>
    </row>
    <row r="20" spans="2:112" ht="12" customHeight="1">
      <c r="B20" t="str">
        <f>TBIDry!H92</f>
        <v>G209</v>
      </c>
      <c r="C20" t="str">
        <f>TBIDry!I92</f>
        <v>R826</v>
      </c>
      <c r="D20" t="b">
        <f t="shared" si="1"/>
        <v>0</v>
      </c>
      <c r="E20" t="b">
        <f t="shared" si="2"/>
        <v>0</v>
      </c>
      <c r="G20" t="str">
        <f>TBIWet!H92</f>
        <v>G571</v>
      </c>
      <c r="H20" t="str">
        <f>TBIWet!I92</f>
        <v>R542</v>
      </c>
      <c r="I20" t="b">
        <f t="shared" si="3"/>
        <v>0</v>
      </c>
      <c r="J20" t="b">
        <f t="shared" si="38"/>
        <v>0</v>
      </c>
      <c r="L20" t="str">
        <f>'Both teabags AfterWet'!A18</f>
        <v>G291</v>
      </c>
      <c r="M20" t="str">
        <f>'Both teabags AfterWet'!A438</f>
        <v>R119</v>
      </c>
      <c r="N20" t="b">
        <f t="shared" si="4"/>
        <v>0</v>
      </c>
      <c r="O20" t="b">
        <f t="shared" si="56"/>
        <v>0</v>
      </c>
      <c r="Q20" s="388" t="b">
        <f t="shared" si="5"/>
        <v>0</v>
      </c>
      <c r="R20" s="388" t="b">
        <f t="shared" si="6"/>
        <v>0</v>
      </c>
      <c r="T20" t="str">
        <f>'Both teabags AfterDry'!A18</f>
        <v>G120</v>
      </c>
      <c r="U20" t="str">
        <f>'Both teabags AfterDry'!A353</f>
        <v>R18</v>
      </c>
      <c r="V20" t="b">
        <f t="shared" si="7"/>
        <v>0</v>
      </c>
      <c r="W20" t="b">
        <f t="shared" si="39"/>
        <v>0</v>
      </c>
      <c r="Y20" t="str">
        <f>'Green_rooibos initial weight'!A21</f>
        <v>G17</v>
      </c>
      <c r="Z20" t="str">
        <f>'Green_rooibos initial weight'!A925</f>
        <v>R17</v>
      </c>
      <c r="AA20" t="b">
        <f t="shared" si="8"/>
        <v>0</v>
      </c>
      <c r="AB20" t="b">
        <f t="shared" si="9"/>
        <v>0</v>
      </c>
      <c r="AE20" t="str">
        <f>'WetLitterbags placem_collection'!K19</f>
        <v>G571</v>
      </c>
      <c r="AF20" t="str">
        <f>'WetLitterbags placem_collection'!M19</f>
        <v>R542</v>
      </c>
      <c r="AG20" t="b">
        <f t="shared" si="10"/>
        <v>0</v>
      </c>
      <c r="AH20" t="b">
        <f t="shared" si="11"/>
        <v>0</v>
      </c>
      <c r="AJ20" t="b">
        <f t="shared" si="12"/>
        <v>0</v>
      </c>
      <c r="AK20" t="b">
        <f t="shared" si="13"/>
        <v>0</v>
      </c>
      <c r="AM20" t="str">
        <f>IF(ISBLANK('Dry_Litterbag Placem_Collection'!J19),"","G"&amp;""&amp;'Dry_Litterbag Placem_Collection'!J19)</f>
        <v>G209</v>
      </c>
      <c r="AN20" t="str">
        <f>IF(ISBLANK('Dry_Litterbag Placem_Collection'!K19),"","R"&amp;""&amp;'Dry_Litterbag Placem_Collection'!K19)</f>
        <v>R826</v>
      </c>
      <c r="AO20" t="b">
        <f t="shared" si="58"/>
        <v>0</v>
      </c>
      <c r="AP20" t="b">
        <f t="shared" si="15"/>
        <v>0</v>
      </c>
      <c r="AS20" t="str">
        <f>'Ashed teabags dry'!A18</f>
        <v>G120</v>
      </c>
      <c r="AT20" t="str">
        <f>'Ashed teabags dry'!A353</f>
        <v>R18</v>
      </c>
      <c r="AU20" t="b">
        <f t="shared" si="16"/>
        <v>0</v>
      </c>
      <c r="AV20" t="b">
        <f t="shared" si="40"/>
        <v>0</v>
      </c>
      <c r="AX20" s="388" t="b">
        <f t="shared" si="17"/>
        <v>0</v>
      </c>
      <c r="AY20" s="388" t="b">
        <f t="shared" si="18"/>
        <v>0</v>
      </c>
      <c r="BA20" t="str">
        <f>'Ashed teabags wet'!A18</f>
        <v>G291</v>
      </c>
      <c r="BB20" t="str">
        <f>'Ashed teabags wet'!A438</f>
        <v>R119</v>
      </c>
      <c r="BC20" t="b">
        <f t="shared" si="19"/>
        <v>0</v>
      </c>
      <c r="BD20" t="b">
        <f t="shared" si="0"/>
        <v>0</v>
      </c>
      <c r="BF20" t="str">
        <f t="shared" si="20"/>
        <v>G12</v>
      </c>
      <c r="BG20" t="str">
        <f t="shared" si="21"/>
        <v>G12</v>
      </c>
      <c r="BH20" t="str">
        <f t="shared" si="22"/>
        <v>G376</v>
      </c>
      <c r="BI20" t="str">
        <f t="shared" si="41"/>
        <v/>
      </c>
      <c r="BJ20" t="s">
        <v>2038</v>
      </c>
      <c r="BK20" t="s">
        <v>2038</v>
      </c>
      <c r="BL20" t="s">
        <v>2038</v>
      </c>
      <c r="BM20" t="b">
        <f t="shared" si="42"/>
        <v>1</v>
      </c>
      <c r="BN20" t="str">
        <f t="shared" si="23"/>
        <v>R179</v>
      </c>
      <c r="BO20" t="str">
        <f t="shared" si="24"/>
        <v>R179</v>
      </c>
      <c r="BP20" t="str">
        <f t="shared" si="25"/>
        <v>R755</v>
      </c>
      <c r="BQ20" t="str">
        <f t="shared" si="26"/>
        <v/>
      </c>
      <c r="BR20" t="s">
        <v>962</v>
      </c>
      <c r="BS20" t="s">
        <v>962</v>
      </c>
      <c r="BT20" t="s">
        <v>962</v>
      </c>
      <c r="BU20" t="b">
        <f t="shared" si="43"/>
        <v>1</v>
      </c>
      <c r="BV20" s="180" t="s">
        <v>1980</v>
      </c>
      <c r="BW20" s="180" t="s">
        <v>449</v>
      </c>
      <c r="BZ20" t="str">
        <f t="shared" si="27"/>
        <v>G376</v>
      </c>
      <c r="CA20" t="b">
        <f t="shared" si="28"/>
        <v>1</v>
      </c>
      <c r="CB20" t="str">
        <f t="shared" si="44"/>
        <v/>
      </c>
      <c r="CC20" t="str">
        <f t="shared" si="29"/>
        <v>R755</v>
      </c>
      <c r="CD20" t="b">
        <f t="shared" si="45"/>
        <v>1</v>
      </c>
      <c r="CE20" t="str">
        <f t="shared" si="46"/>
        <v/>
      </c>
      <c r="CG20" t="str">
        <f t="shared" si="30"/>
        <v>G287</v>
      </c>
      <c r="CH20" t="str">
        <f t="shared" si="47"/>
        <v>G287</v>
      </c>
      <c r="CI20" t="str">
        <f t="shared" si="31"/>
        <v>G405</v>
      </c>
      <c r="CJ20" t="str">
        <f t="shared" si="32"/>
        <v>G405</v>
      </c>
      <c r="CK20" t="s">
        <v>1763</v>
      </c>
      <c r="CL20" t="s">
        <v>1763</v>
      </c>
      <c r="CM20" t="s">
        <v>1763</v>
      </c>
      <c r="CN20" t="b">
        <f t="shared" si="48"/>
        <v>1</v>
      </c>
      <c r="CO20" t="str">
        <f t="shared" si="33"/>
        <v>R117</v>
      </c>
      <c r="CP20" t="str">
        <f t="shared" si="49"/>
        <v>R117</v>
      </c>
      <c r="CQ20" t="str">
        <f t="shared" si="34"/>
        <v>R519</v>
      </c>
      <c r="CR20" t="str">
        <f t="shared" si="35"/>
        <v>R519</v>
      </c>
      <c r="CS20" t="s">
        <v>1024</v>
      </c>
      <c r="CT20" t="s">
        <v>1024</v>
      </c>
      <c r="CU20" t="s">
        <v>1024</v>
      </c>
      <c r="CV20" t="b">
        <f t="shared" si="50"/>
        <v>1</v>
      </c>
      <c r="CW20" s="393" t="s">
        <v>1491</v>
      </c>
      <c r="CX20" s="393" t="b">
        <f>COUNTIF($CG$5:$CG$2000, CW18)&gt;1</f>
        <v>0</v>
      </c>
      <c r="CY20" s="393" t="s">
        <v>1043</v>
      </c>
      <c r="CZ20" s="393" t="b">
        <f>COUNTIF(CO:CO, CY20)&gt;1</f>
        <v>0</v>
      </c>
      <c r="DC20" t="str">
        <f t="shared" si="36"/>
        <v>G405</v>
      </c>
      <c r="DD20" t="b">
        <f t="shared" si="52"/>
        <v>0</v>
      </c>
      <c r="DE20" t="str">
        <f t="shared" si="53"/>
        <v>G405</v>
      </c>
      <c r="DF20" t="str">
        <f t="shared" si="37"/>
        <v>R519</v>
      </c>
      <c r="DG20" t="b">
        <f t="shared" si="54"/>
        <v>0</v>
      </c>
      <c r="DH20" t="str">
        <f t="shared" si="55"/>
        <v>R519</v>
      </c>
    </row>
    <row r="21" spans="2:112" ht="12" customHeight="1">
      <c r="B21" t="str">
        <f>TBIDry!H93</f>
        <v>G10</v>
      </c>
      <c r="C21" t="str">
        <f>TBIDry!I93</f>
        <v>R732</v>
      </c>
      <c r="D21" t="b">
        <f t="shared" si="1"/>
        <v>0</v>
      </c>
      <c r="E21" t="b">
        <f t="shared" si="2"/>
        <v>0</v>
      </c>
      <c r="G21" t="str">
        <f>TBIWet!H93</f>
        <v>G419</v>
      </c>
      <c r="H21" t="str">
        <f>TBIWet!I93</f>
        <v>R128</v>
      </c>
      <c r="I21" t="b">
        <f t="shared" si="3"/>
        <v>0</v>
      </c>
      <c r="J21" t="b">
        <f t="shared" si="38"/>
        <v>0</v>
      </c>
      <c r="L21" t="str">
        <f>'Both teabags AfterWet'!A19</f>
        <v>G297</v>
      </c>
      <c r="M21" t="str">
        <f>'Both teabags AfterWet'!A439</f>
        <v>R12</v>
      </c>
      <c r="N21" t="b">
        <f t="shared" si="4"/>
        <v>0</v>
      </c>
      <c r="O21" t="b">
        <f t="shared" si="56"/>
        <v>0</v>
      </c>
      <c r="Q21" s="388" t="b">
        <f t="shared" si="5"/>
        <v>0</v>
      </c>
      <c r="R21" s="388" t="b">
        <f t="shared" si="6"/>
        <v>0</v>
      </c>
      <c r="T21" t="str">
        <f>'Both teabags AfterDry'!A19</f>
        <v>G123</v>
      </c>
      <c r="U21" t="str">
        <f>'Both teabags AfterDry'!A354</f>
        <v>R180</v>
      </c>
      <c r="V21" t="b">
        <f t="shared" si="7"/>
        <v>0</v>
      </c>
      <c r="W21" t="b">
        <f t="shared" si="39"/>
        <v>0</v>
      </c>
      <c r="Y21" t="str">
        <f>'Green_rooibos initial weight'!A22</f>
        <v>G18</v>
      </c>
      <c r="Z21" t="str">
        <f>'Green_rooibos initial weight'!A926</f>
        <v>R18</v>
      </c>
      <c r="AA21" t="b">
        <f t="shared" si="8"/>
        <v>0</v>
      </c>
      <c r="AB21" t="b">
        <f t="shared" si="9"/>
        <v>0</v>
      </c>
      <c r="AE21" t="str">
        <f>'WetLitterbags placem_collection'!K20</f>
        <v>G419</v>
      </c>
      <c r="AF21" t="str">
        <f>'WetLitterbags placem_collection'!M20</f>
        <v>R128</v>
      </c>
      <c r="AG21" t="b">
        <f t="shared" si="10"/>
        <v>0</v>
      </c>
      <c r="AH21" t="b">
        <f t="shared" si="11"/>
        <v>0</v>
      </c>
      <c r="AJ21" t="b">
        <f t="shared" si="12"/>
        <v>0</v>
      </c>
      <c r="AK21" t="b">
        <f t="shared" si="13"/>
        <v>0</v>
      </c>
      <c r="AM21" t="str">
        <f>IF(ISBLANK('Dry_Litterbag Placem_Collection'!J20),"","G"&amp;""&amp;'Dry_Litterbag Placem_Collection'!J20)</f>
        <v>G10</v>
      </c>
      <c r="AN21" t="str">
        <f>IF(ISBLANK('Dry_Litterbag Placem_Collection'!K20),"","R"&amp;""&amp;'Dry_Litterbag Placem_Collection'!K20)</f>
        <v>R732</v>
      </c>
      <c r="AO21" t="b">
        <f t="shared" si="58"/>
        <v>0</v>
      </c>
      <c r="AP21" t="b">
        <f t="shared" si="15"/>
        <v>0</v>
      </c>
      <c r="AS21" t="str">
        <f>'Ashed teabags dry'!A19</f>
        <v>G123</v>
      </c>
      <c r="AT21" t="str">
        <f>'Ashed teabags dry'!A354</f>
        <v>R180</v>
      </c>
      <c r="AU21" t="b">
        <f t="shared" si="16"/>
        <v>0</v>
      </c>
      <c r="AV21" t="b">
        <f t="shared" si="40"/>
        <v>0</v>
      </c>
      <c r="AX21" s="388" t="b">
        <f t="shared" si="17"/>
        <v>0</v>
      </c>
      <c r="AY21" s="388" t="b">
        <f t="shared" si="18"/>
        <v>0</v>
      </c>
      <c r="BA21" t="str">
        <f>'Ashed teabags wet'!A19</f>
        <v>G297</v>
      </c>
      <c r="BB21" t="str">
        <f>'Ashed teabags wet'!A439</f>
        <v>R12</v>
      </c>
      <c r="BC21" t="b">
        <f t="shared" si="19"/>
        <v>0</v>
      </c>
      <c r="BD21" t="b">
        <f t="shared" si="0"/>
        <v>0</v>
      </c>
      <c r="BF21" t="str">
        <f t="shared" si="20"/>
        <v>G120</v>
      </c>
      <c r="BG21" t="str">
        <f t="shared" si="21"/>
        <v>G120</v>
      </c>
      <c r="BH21" t="str">
        <f t="shared" si="22"/>
        <v>G209</v>
      </c>
      <c r="BI21" t="str">
        <f t="shared" si="41"/>
        <v>G209</v>
      </c>
      <c r="BJ21" t="s">
        <v>1930</v>
      </c>
      <c r="BK21" t="s">
        <v>1930</v>
      </c>
      <c r="BL21" t="s">
        <v>1930</v>
      </c>
      <c r="BM21" t="b">
        <f t="shared" si="42"/>
        <v>1</v>
      </c>
      <c r="BN21" t="str">
        <f t="shared" si="23"/>
        <v>R18</v>
      </c>
      <c r="BO21" t="str">
        <f t="shared" si="24"/>
        <v>R18</v>
      </c>
      <c r="BP21" t="str">
        <f t="shared" si="25"/>
        <v>R826</v>
      </c>
      <c r="BQ21" t="str">
        <f t="shared" si="26"/>
        <v>R826</v>
      </c>
      <c r="BR21" t="s">
        <v>1123</v>
      </c>
      <c r="BS21" t="s">
        <v>1123</v>
      </c>
      <c r="BT21" t="s">
        <v>1123</v>
      </c>
      <c r="BU21" t="b">
        <f t="shared" si="43"/>
        <v>1</v>
      </c>
      <c r="BV21" s="180" t="s">
        <v>1453</v>
      </c>
      <c r="BW21" s="180" t="s">
        <v>736</v>
      </c>
      <c r="BZ21" t="str">
        <f t="shared" si="27"/>
        <v>G209</v>
      </c>
      <c r="CA21" t="b">
        <f t="shared" si="28"/>
        <v>0</v>
      </c>
      <c r="CB21" t="str">
        <f t="shared" si="44"/>
        <v>G209</v>
      </c>
      <c r="CC21" t="str">
        <f t="shared" si="29"/>
        <v>R826</v>
      </c>
      <c r="CD21" t="b">
        <f t="shared" si="45"/>
        <v>0</v>
      </c>
      <c r="CE21" t="str">
        <f t="shared" si="46"/>
        <v>R826</v>
      </c>
      <c r="CG21" t="str">
        <f t="shared" si="30"/>
        <v>G291</v>
      </c>
      <c r="CH21" t="str">
        <f t="shared" si="47"/>
        <v>G291</v>
      </c>
      <c r="CI21" t="str">
        <f t="shared" si="31"/>
        <v>G571</v>
      </c>
      <c r="CJ21" t="str">
        <f t="shared" si="32"/>
        <v>G571</v>
      </c>
      <c r="CK21" t="s">
        <v>1759</v>
      </c>
      <c r="CL21" t="s">
        <v>1759</v>
      </c>
      <c r="CM21" t="s">
        <v>1759</v>
      </c>
      <c r="CN21" t="b">
        <f t="shared" si="48"/>
        <v>1</v>
      </c>
      <c r="CO21" t="str">
        <f t="shared" si="33"/>
        <v>R119</v>
      </c>
      <c r="CP21" t="str">
        <f t="shared" si="49"/>
        <v>R119</v>
      </c>
      <c r="CQ21" t="str">
        <f t="shared" si="34"/>
        <v>R542</v>
      </c>
      <c r="CR21" t="str">
        <f t="shared" si="35"/>
        <v>R542</v>
      </c>
      <c r="CS21" t="s">
        <v>1022</v>
      </c>
      <c r="CT21" t="s">
        <v>1022</v>
      </c>
      <c r="CU21" t="s">
        <v>1022</v>
      </c>
      <c r="CV21" t="b">
        <f t="shared" si="50"/>
        <v>1</v>
      </c>
      <c r="CW21" s="393" t="s">
        <v>1428</v>
      </c>
      <c r="CX21" s="393" t="b">
        <f xml:space="preserve"> COUNTIF($CG$5:$CG$2000,#REF!)&gt;1</f>
        <v>0</v>
      </c>
      <c r="CY21" s="393"/>
      <c r="CZ21" s="393"/>
      <c r="DC21" t="str">
        <f t="shared" si="36"/>
        <v>G571</v>
      </c>
      <c r="DD21" t="b">
        <f t="shared" si="52"/>
        <v>0</v>
      </c>
      <c r="DE21" t="str">
        <f t="shared" si="53"/>
        <v>G571</v>
      </c>
      <c r="DF21" t="str">
        <f t="shared" si="37"/>
        <v>R542</v>
      </c>
      <c r="DG21" t="b">
        <f t="shared" si="54"/>
        <v>0</v>
      </c>
      <c r="DH21" t="str">
        <f t="shared" si="55"/>
        <v>R542</v>
      </c>
    </row>
    <row r="22" spans="2:112" ht="12" customHeight="1">
      <c r="B22" t="str">
        <f>TBIDry!H94</f>
        <v>G190</v>
      </c>
      <c r="C22" t="str">
        <f>TBIDry!I94</f>
        <v>R749</v>
      </c>
      <c r="D22" t="b">
        <f t="shared" si="1"/>
        <v>0</v>
      </c>
      <c r="E22" t="b">
        <f t="shared" si="2"/>
        <v>0</v>
      </c>
      <c r="G22" t="str">
        <f>TBIWet!H94</f>
        <v>G240</v>
      </c>
      <c r="H22" t="str">
        <f>TBIWet!I94</f>
        <v>R82</v>
      </c>
      <c r="I22" t="b">
        <f t="shared" si="3"/>
        <v>0</v>
      </c>
      <c r="J22" t="b">
        <f t="shared" si="38"/>
        <v>0</v>
      </c>
      <c r="L22" t="str">
        <f>'Both teabags AfterWet'!A20</f>
        <v>G298</v>
      </c>
      <c r="M22" t="str">
        <f>'Both teabags AfterWet'!A440</f>
        <v>R120</v>
      </c>
      <c r="N22" t="b">
        <f t="shared" si="4"/>
        <v>0</v>
      </c>
      <c r="O22" t="b">
        <f t="shared" si="56"/>
        <v>0</v>
      </c>
      <c r="Q22" s="388" t="b">
        <f t="shared" si="5"/>
        <v>0</v>
      </c>
      <c r="R22" s="388" t="b">
        <f t="shared" si="6"/>
        <v>0</v>
      </c>
      <c r="T22" t="str">
        <f>'Both teabags AfterDry'!A20</f>
        <v>G124</v>
      </c>
      <c r="U22" t="str">
        <f>'Both teabags AfterDry'!A355</f>
        <v>R184</v>
      </c>
      <c r="V22" t="b">
        <f t="shared" si="7"/>
        <v>0</v>
      </c>
      <c r="W22" t="b">
        <f t="shared" si="39"/>
        <v>0</v>
      </c>
      <c r="Y22" t="str">
        <f>'Green_rooibos initial weight'!A23</f>
        <v>G19</v>
      </c>
      <c r="Z22" t="str">
        <f>'Green_rooibos initial weight'!A927</f>
        <v>R19</v>
      </c>
      <c r="AA22" t="b">
        <f t="shared" si="8"/>
        <v>0</v>
      </c>
      <c r="AB22" t="b">
        <f t="shared" si="9"/>
        <v>0</v>
      </c>
      <c r="AE22" t="str">
        <f>'WetLitterbags placem_collection'!K21</f>
        <v>G240</v>
      </c>
      <c r="AF22" t="str">
        <f>'WetLitterbags placem_collection'!M21</f>
        <v>R82</v>
      </c>
      <c r="AG22" t="b">
        <f t="shared" si="10"/>
        <v>0</v>
      </c>
      <c r="AH22" t="b">
        <f t="shared" si="11"/>
        <v>0</v>
      </c>
      <c r="AJ22" t="b">
        <f t="shared" si="12"/>
        <v>0</v>
      </c>
      <c r="AK22" t="b">
        <f t="shared" si="13"/>
        <v>0</v>
      </c>
      <c r="AM22" t="str">
        <f>IF(ISBLANK('Dry_Litterbag Placem_Collection'!J21),"","G"&amp;""&amp;'Dry_Litterbag Placem_Collection'!J21)</f>
        <v>G190</v>
      </c>
      <c r="AN22" t="str">
        <f>IF(ISBLANK('Dry_Litterbag Placem_Collection'!K21),"","R"&amp;""&amp;'Dry_Litterbag Placem_Collection'!K21)</f>
        <v>R749</v>
      </c>
      <c r="AO22" t="b">
        <f t="shared" si="58"/>
        <v>0</v>
      </c>
      <c r="AP22" t="b">
        <f t="shared" si="15"/>
        <v>0</v>
      </c>
      <c r="AS22" t="str">
        <f>'Ashed teabags dry'!A20</f>
        <v>G124</v>
      </c>
      <c r="AT22" t="str">
        <f>'Ashed teabags dry'!A355</f>
        <v>R184</v>
      </c>
      <c r="AU22" t="b">
        <f t="shared" si="16"/>
        <v>0</v>
      </c>
      <c r="AV22" t="b">
        <f t="shared" si="40"/>
        <v>0</v>
      </c>
      <c r="AX22" s="388" t="b">
        <f t="shared" si="17"/>
        <v>0</v>
      </c>
      <c r="AY22" s="388" t="b">
        <f t="shared" si="18"/>
        <v>0</v>
      </c>
      <c r="BA22" t="str">
        <f>'Ashed teabags wet'!A20</f>
        <v>G298</v>
      </c>
      <c r="BB22" t="str">
        <f>'Ashed teabags wet'!A440</f>
        <v>R120</v>
      </c>
      <c r="BC22" t="b">
        <f t="shared" si="19"/>
        <v>0</v>
      </c>
      <c r="BD22" t="b">
        <f t="shared" si="0"/>
        <v>0</v>
      </c>
      <c r="BF22" t="str">
        <f t="shared" si="20"/>
        <v>G123</v>
      </c>
      <c r="BG22" t="str">
        <f t="shared" si="21"/>
        <v>G123</v>
      </c>
      <c r="BH22" t="str">
        <f t="shared" si="22"/>
        <v>G10</v>
      </c>
      <c r="BI22" t="str">
        <f t="shared" si="41"/>
        <v>G10</v>
      </c>
      <c r="BJ22" t="s">
        <v>1927</v>
      </c>
      <c r="BK22" t="s">
        <v>1927</v>
      </c>
      <c r="BL22" t="s">
        <v>1927</v>
      </c>
      <c r="BM22" t="b">
        <f t="shared" si="42"/>
        <v>1</v>
      </c>
      <c r="BN22" t="str">
        <f t="shared" si="23"/>
        <v>R180</v>
      </c>
      <c r="BO22" t="str">
        <f t="shared" si="24"/>
        <v>R180</v>
      </c>
      <c r="BP22" t="str">
        <f t="shared" si="25"/>
        <v>R732</v>
      </c>
      <c r="BQ22" t="str">
        <f t="shared" si="26"/>
        <v>R732</v>
      </c>
      <c r="BR22" t="s">
        <v>961</v>
      </c>
      <c r="BS22" t="s">
        <v>961</v>
      </c>
      <c r="BT22" t="s">
        <v>961</v>
      </c>
      <c r="BU22" t="b">
        <f t="shared" si="43"/>
        <v>1</v>
      </c>
      <c r="BV22" s="180" t="s">
        <v>1952</v>
      </c>
      <c r="BW22" s="180" t="s">
        <v>389</v>
      </c>
      <c r="BZ22" t="str">
        <f t="shared" si="27"/>
        <v>G10</v>
      </c>
      <c r="CA22" t="b">
        <f t="shared" si="28"/>
        <v>0</v>
      </c>
      <c r="CB22" t="str">
        <f t="shared" si="44"/>
        <v>G10</v>
      </c>
      <c r="CC22" t="str">
        <f t="shared" si="29"/>
        <v>R732</v>
      </c>
      <c r="CD22" t="b">
        <f t="shared" si="45"/>
        <v>0</v>
      </c>
      <c r="CE22" t="str">
        <f t="shared" si="46"/>
        <v>R732</v>
      </c>
      <c r="CG22" t="str">
        <f t="shared" si="30"/>
        <v>G297</v>
      </c>
      <c r="CH22" t="str">
        <f t="shared" si="47"/>
        <v>G297</v>
      </c>
      <c r="CI22" t="str">
        <f t="shared" si="31"/>
        <v>G419</v>
      </c>
      <c r="CJ22" t="str">
        <f t="shared" si="32"/>
        <v>G419</v>
      </c>
      <c r="CK22" t="s">
        <v>1753</v>
      </c>
      <c r="CL22" t="s">
        <v>1753</v>
      </c>
      <c r="CM22" t="s">
        <v>1753</v>
      </c>
      <c r="CN22" t="b">
        <f t="shared" si="48"/>
        <v>1</v>
      </c>
      <c r="CO22" t="str">
        <f t="shared" si="33"/>
        <v>R12</v>
      </c>
      <c r="CP22" t="str">
        <f t="shared" si="49"/>
        <v>R12</v>
      </c>
      <c r="CQ22" t="str">
        <f t="shared" si="34"/>
        <v>R128</v>
      </c>
      <c r="CR22" t="str">
        <f t="shared" si="35"/>
        <v>R128</v>
      </c>
      <c r="CS22" t="s">
        <v>1129</v>
      </c>
      <c r="CT22" t="s">
        <v>1129</v>
      </c>
      <c r="CU22" t="s">
        <v>1129</v>
      </c>
      <c r="CV22" t="b">
        <f t="shared" si="50"/>
        <v>1</v>
      </c>
      <c r="CW22" s="393" t="s">
        <v>1602</v>
      </c>
      <c r="CX22" s="393" t="b">
        <f>COUNTIF($CG$5:$CG$2000, CW19)&gt;1</f>
        <v>0</v>
      </c>
      <c r="CY22" s="393"/>
      <c r="CZ22" s="393"/>
      <c r="DC22" t="str">
        <f t="shared" si="36"/>
        <v>G419</v>
      </c>
      <c r="DD22" t="b">
        <f t="shared" si="52"/>
        <v>0</v>
      </c>
      <c r="DE22" t="str">
        <f t="shared" si="53"/>
        <v>G419</v>
      </c>
      <c r="DF22" t="str">
        <f t="shared" si="37"/>
        <v>R128</v>
      </c>
      <c r="DG22" t="b">
        <f t="shared" si="54"/>
        <v>0</v>
      </c>
      <c r="DH22" t="str">
        <f t="shared" si="55"/>
        <v>R128</v>
      </c>
    </row>
    <row r="23" spans="2:112" ht="12" customHeight="1">
      <c r="B23" t="str">
        <f>TBIDry!H95</f>
        <v>G38</v>
      </c>
      <c r="C23" t="str">
        <f>TBIDry!I95</f>
        <v>R632</v>
      </c>
      <c r="D23" t="b">
        <f t="shared" si="1"/>
        <v>0</v>
      </c>
      <c r="E23" t="b">
        <f t="shared" si="2"/>
        <v>0</v>
      </c>
      <c r="G23" t="str">
        <f>TBIWet!H95</f>
        <v>G524</v>
      </c>
      <c r="H23" t="str">
        <f>TBIWet!I95</f>
        <v>R50</v>
      </c>
      <c r="I23" t="b">
        <f t="shared" si="3"/>
        <v>0</v>
      </c>
      <c r="J23" t="b">
        <f t="shared" si="38"/>
        <v>0</v>
      </c>
      <c r="L23" t="str">
        <f>'Both teabags AfterWet'!A21</f>
        <v>G299</v>
      </c>
      <c r="M23" t="str">
        <f>'Both teabags AfterWet'!A441</f>
        <v>R121</v>
      </c>
      <c r="N23" t="b">
        <f t="shared" si="4"/>
        <v>0</v>
      </c>
      <c r="O23" t="b">
        <f t="shared" si="56"/>
        <v>0</v>
      </c>
      <c r="Q23" s="388" t="b">
        <f t="shared" si="5"/>
        <v>0</v>
      </c>
      <c r="R23" s="388" t="b">
        <f t="shared" si="6"/>
        <v>0</v>
      </c>
      <c r="T23" t="str">
        <f>'Both teabags AfterDry'!A21</f>
        <v>G125</v>
      </c>
      <c r="U23" t="str">
        <f>'Both teabags AfterDry'!A356</f>
        <v>R188</v>
      </c>
      <c r="V23" t="b">
        <f t="shared" si="7"/>
        <v>0</v>
      </c>
      <c r="W23" t="b">
        <f t="shared" si="39"/>
        <v>0</v>
      </c>
      <c r="Y23" t="str">
        <f>'Green_rooibos initial weight'!A24</f>
        <v>G20</v>
      </c>
      <c r="Z23" t="str">
        <f>'Green_rooibos initial weight'!A928</f>
        <v>R20</v>
      </c>
      <c r="AA23" t="b">
        <f t="shared" si="8"/>
        <v>0</v>
      </c>
      <c r="AB23" t="b">
        <f t="shared" si="9"/>
        <v>0</v>
      </c>
      <c r="AE23" t="str">
        <f>'WetLitterbags placem_collection'!K22</f>
        <v>G524</v>
      </c>
      <c r="AF23" t="str">
        <f>'WetLitterbags placem_collection'!M22</f>
        <v>R50</v>
      </c>
      <c r="AG23" t="b">
        <f t="shared" si="10"/>
        <v>0</v>
      </c>
      <c r="AH23" t="b">
        <f t="shared" si="11"/>
        <v>0</v>
      </c>
      <c r="AJ23" t="b">
        <f t="shared" si="12"/>
        <v>0</v>
      </c>
      <c r="AK23" t="b">
        <f t="shared" si="13"/>
        <v>0</v>
      </c>
      <c r="AM23" t="str">
        <f>IF(ISBLANK('Dry_Litterbag Placem_Collection'!J22),"","G"&amp;""&amp;'Dry_Litterbag Placem_Collection'!J22)</f>
        <v>G38</v>
      </c>
      <c r="AN23" t="str">
        <f>IF(ISBLANK('Dry_Litterbag Placem_Collection'!K22),"","R"&amp;""&amp;'Dry_Litterbag Placem_Collection'!K22)</f>
        <v>R632</v>
      </c>
      <c r="AO23" t="b">
        <f t="shared" si="58"/>
        <v>0</v>
      </c>
      <c r="AP23" t="b">
        <f t="shared" si="15"/>
        <v>0</v>
      </c>
      <c r="AS23" t="str">
        <f>'Ashed teabags dry'!A21</f>
        <v>G125</v>
      </c>
      <c r="AT23" t="str">
        <f>'Ashed teabags dry'!A356</f>
        <v>R188</v>
      </c>
      <c r="AU23" t="b">
        <f t="shared" si="16"/>
        <v>0</v>
      </c>
      <c r="AV23" t="b">
        <f t="shared" si="40"/>
        <v>0</v>
      </c>
      <c r="AX23" s="388" t="b">
        <f t="shared" si="17"/>
        <v>0</v>
      </c>
      <c r="AY23" s="388" t="b">
        <f t="shared" si="18"/>
        <v>0</v>
      </c>
      <c r="BA23" t="str">
        <f>'Ashed teabags wet'!A21</f>
        <v>G299</v>
      </c>
      <c r="BB23" t="str">
        <f>'Ashed teabags wet'!A441</f>
        <v>R121</v>
      </c>
      <c r="BC23" t="b">
        <f t="shared" si="19"/>
        <v>0</v>
      </c>
      <c r="BD23" t="b">
        <f t="shared" si="0"/>
        <v>0</v>
      </c>
      <c r="BF23" t="str">
        <f t="shared" si="20"/>
        <v>G124</v>
      </c>
      <c r="BG23" t="str">
        <f t="shared" si="21"/>
        <v>G124</v>
      </c>
      <c r="BH23" t="str">
        <f t="shared" si="22"/>
        <v>G190</v>
      </c>
      <c r="BI23" t="str">
        <f t="shared" si="41"/>
        <v>G190</v>
      </c>
      <c r="BJ23" t="s">
        <v>1926</v>
      </c>
      <c r="BK23" t="s">
        <v>1926</v>
      </c>
      <c r="BL23" t="s">
        <v>1926</v>
      </c>
      <c r="BM23" t="b">
        <f t="shared" si="42"/>
        <v>1</v>
      </c>
      <c r="BN23" t="str">
        <f t="shared" si="23"/>
        <v>R184</v>
      </c>
      <c r="BO23" t="str">
        <f t="shared" si="24"/>
        <v>R184</v>
      </c>
      <c r="BP23" t="str">
        <f t="shared" si="25"/>
        <v>R749</v>
      </c>
      <c r="BQ23" t="str">
        <f t="shared" si="26"/>
        <v>R749</v>
      </c>
      <c r="BR23" t="s">
        <v>957</v>
      </c>
      <c r="BS23" t="s">
        <v>957</v>
      </c>
      <c r="BT23" t="s">
        <v>957</v>
      </c>
      <c r="BU23" t="b">
        <f t="shared" si="43"/>
        <v>1</v>
      </c>
      <c r="BV23" s="180" t="s">
        <v>1681</v>
      </c>
      <c r="BW23" s="180" t="s">
        <v>841</v>
      </c>
      <c r="BZ23" t="str">
        <f t="shared" si="27"/>
        <v>G190</v>
      </c>
      <c r="CA23" t="b">
        <f t="shared" si="28"/>
        <v>0</v>
      </c>
      <c r="CB23" t="str">
        <f t="shared" si="44"/>
        <v>G190</v>
      </c>
      <c r="CC23" t="str">
        <f t="shared" si="29"/>
        <v>R749</v>
      </c>
      <c r="CD23" t="b">
        <f t="shared" si="45"/>
        <v>0</v>
      </c>
      <c r="CE23" t="str">
        <f t="shared" si="46"/>
        <v>R749</v>
      </c>
      <c r="CG23" t="str">
        <f t="shared" si="30"/>
        <v>G298</v>
      </c>
      <c r="CH23" t="str">
        <f t="shared" si="47"/>
        <v>G298</v>
      </c>
      <c r="CI23" t="str">
        <f t="shared" si="31"/>
        <v>G240</v>
      </c>
      <c r="CJ23" t="str">
        <f t="shared" si="32"/>
        <v>G240</v>
      </c>
      <c r="CK23" t="s">
        <v>1752</v>
      </c>
      <c r="CL23" t="s">
        <v>1752</v>
      </c>
      <c r="CM23" t="s">
        <v>1752</v>
      </c>
      <c r="CN23" t="b">
        <f t="shared" si="48"/>
        <v>1</v>
      </c>
      <c r="CO23" t="str">
        <f t="shared" si="33"/>
        <v>R120</v>
      </c>
      <c r="CP23" t="str">
        <f t="shared" si="49"/>
        <v>R120</v>
      </c>
      <c r="CQ23" t="str">
        <f t="shared" si="34"/>
        <v>R82</v>
      </c>
      <c r="CR23" t="str">
        <f t="shared" si="35"/>
        <v>R82</v>
      </c>
      <c r="CS23" t="s">
        <v>1021</v>
      </c>
      <c r="CT23" t="s">
        <v>1021</v>
      </c>
      <c r="CU23" t="s">
        <v>1021</v>
      </c>
      <c r="CV23" t="b">
        <f t="shared" si="50"/>
        <v>1</v>
      </c>
      <c r="CW23" s="403" t="s">
        <v>1711</v>
      </c>
      <c r="CX23" s="393" t="b">
        <f>COUNTIF($CG$5:$CG$2000, CW20)&gt;1</f>
        <v>0</v>
      </c>
      <c r="CY23" s="393"/>
      <c r="CZ23" s="393"/>
      <c r="DC23" t="str">
        <f t="shared" si="36"/>
        <v>G240</v>
      </c>
      <c r="DD23" t="b">
        <f t="shared" si="52"/>
        <v>0</v>
      </c>
      <c r="DE23" t="str">
        <f t="shared" si="53"/>
        <v>G240</v>
      </c>
      <c r="DF23" t="str">
        <f t="shared" si="37"/>
        <v>R82</v>
      </c>
      <c r="DG23" t="b">
        <f t="shared" si="54"/>
        <v>0</v>
      </c>
      <c r="DH23" t="str">
        <f t="shared" si="55"/>
        <v>R82</v>
      </c>
    </row>
    <row r="24" spans="2:112" ht="12" customHeight="1">
      <c r="B24" t="str">
        <f>TBIDry!H96</f>
        <v>G468</v>
      </c>
      <c r="C24" t="str">
        <f>TBIDry!I96</f>
        <v>R630</v>
      </c>
      <c r="D24" t="b">
        <f t="shared" si="1"/>
        <v>0</v>
      </c>
      <c r="E24" t="b">
        <f t="shared" si="2"/>
        <v>0</v>
      </c>
      <c r="G24" t="str">
        <f>TBIWet!H96</f>
        <v>G699</v>
      </c>
      <c r="H24" t="str">
        <f>TBIWet!I96</f>
        <v>R529</v>
      </c>
      <c r="I24" t="b">
        <f t="shared" si="3"/>
        <v>0</v>
      </c>
      <c r="J24" t="b">
        <f t="shared" si="38"/>
        <v>0</v>
      </c>
      <c r="L24" t="str">
        <f>'Both teabags AfterWet'!A22</f>
        <v>G308</v>
      </c>
      <c r="M24" t="str">
        <f>'Both teabags AfterWet'!A442</f>
        <v>R122</v>
      </c>
      <c r="N24" t="b">
        <f t="shared" si="4"/>
        <v>0</v>
      </c>
      <c r="O24" t="b">
        <f t="shared" si="56"/>
        <v>0</v>
      </c>
      <c r="Q24" s="388" t="b">
        <f t="shared" si="5"/>
        <v>0</v>
      </c>
      <c r="R24" s="388" t="b">
        <f t="shared" si="6"/>
        <v>0</v>
      </c>
      <c r="T24" t="str">
        <f>'Both teabags AfterDry'!A22</f>
        <v>G126</v>
      </c>
      <c r="U24" t="str">
        <f>'Both teabags AfterDry'!A357</f>
        <v>R191</v>
      </c>
      <c r="V24" t="b">
        <f t="shared" si="7"/>
        <v>0</v>
      </c>
      <c r="W24" t="b">
        <f t="shared" si="39"/>
        <v>0</v>
      </c>
      <c r="Y24" t="str">
        <f>'Green_rooibos initial weight'!A25</f>
        <v>G21</v>
      </c>
      <c r="Z24" t="str">
        <f>'Green_rooibos initial weight'!A929</f>
        <v>R21</v>
      </c>
      <c r="AA24" t="b">
        <f t="shared" si="8"/>
        <v>0</v>
      </c>
      <c r="AB24" t="b">
        <f t="shared" si="9"/>
        <v>0</v>
      </c>
      <c r="AE24" t="str">
        <f>'WetLitterbags placem_collection'!K23</f>
        <v>G699</v>
      </c>
      <c r="AF24" t="str">
        <f>'WetLitterbags placem_collection'!M23</f>
        <v>R529</v>
      </c>
      <c r="AG24" t="b">
        <f t="shared" si="10"/>
        <v>0</v>
      </c>
      <c r="AH24" t="b">
        <f t="shared" si="11"/>
        <v>0</v>
      </c>
      <c r="AJ24" t="b">
        <f t="shared" si="12"/>
        <v>0</v>
      </c>
      <c r="AK24" t="b">
        <f t="shared" si="13"/>
        <v>0</v>
      </c>
      <c r="AM24" t="str">
        <f>IF(ISBLANK('Dry_Litterbag Placem_Collection'!J23),"","G"&amp;""&amp;'Dry_Litterbag Placem_Collection'!J23)</f>
        <v>G468</v>
      </c>
      <c r="AN24" t="str">
        <f>IF(ISBLANK('Dry_Litterbag Placem_Collection'!K23),"","R"&amp;""&amp;'Dry_Litterbag Placem_Collection'!K23)</f>
        <v>R630</v>
      </c>
      <c r="AO24" t="b">
        <f t="shared" si="58"/>
        <v>0</v>
      </c>
      <c r="AP24" t="b">
        <f t="shared" si="15"/>
        <v>0</v>
      </c>
      <c r="AS24" t="str">
        <f>'Ashed teabags dry'!A22</f>
        <v>G126</v>
      </c>
      <c r="AT24" t="str">
        <f>'Ashed teabags dry'!A357</f>
        <v>R191</v>
      </c>
      <c r="AU24" t="b">
        <f t="shared" si="16"/>
        <v>0</v>
      </c>
      <c r="AV24" t="b">
        <f t="shared" si="40"/>
        <v>0</v>
      </c>
      <c r="AX24" s="388" t="b">
        <f t="shared" si="17"/>
        <v>0</v>
      </c>
      <c r="AY24" s="388" t="b">
        <f t="shared" si="18"/>
        <v>0</v>
      </c>
      <c r="BA24" t="str">
        <f>'Ashed teabags wet'!A22</f>
        <v>G308</v>
      </c>
      <c r="BB24" t="str">
        <f>'Ashed teabags wet'!A442</f>
        <v>R122</v>
      </c>
      <c r="BC24" t="b">
        <f t="shared" si="19"/>
        <v>0</v>
      </c>
      <c r="BD24" t="b">
        <f t="shared" si="0"/>
        <v>0</v>
      </c>
      <c r="BF24" t="str">
        <f t="shared" si="20"/>
        <v>G125</v>
      </c>
      <c r="BG24" t="str">
        <f t="shared" si="21"/>
        <v>G125</v>
      </c>
      <c r="BH24" t="str">
        <f t="shared" si="22"/>
        <v>G38</v>
      </c>
      <c r="BI24" t="str">
        <f t="shared" si="41"/>
        <v>G38</v>
      </c>
      <c r="BJ24" t="s">
        <v>1925</v>
      </c>
      <c r="BK24" t="s">
        <v>1925</v>
      </c>
      <c r="BL24" t="s">
        <v>1925</v>
      </c>
      <c r="BM24" t="b">
        <f t="shared" si="42"/>
        <v>1</v>
      </c>
      <c r="BN24" t="str">
        <f t="shared" si="23"/>
        <v>R188</v>
      </c>
      <c r="BO24" t="str">
        <f t="shared" si="24"/>
        <v>R188</v>
      </c>
      <c r="BP24" t="str">
        <f t="shared" si="25"/>
        <v>R632</v>
      </c>
      <c r="BQ24" t="str">
        <f t="shared" si="26"/>
        <v>R632</v>
      </c>
      <c r="BR24" t="s">
        <v>953</v>
      </c>
      <c r="BS24" t="s">
        <v>953</v>
      </c>
      <c r="BT24" t="s">
        <v>953</v>
      </c>
      <c r="BU24" t="b">
        <f t="shared" si="43"/>
        <v>1</v>
      </c>
      <c r="BV24" s="180" t="s">
        <v>2011</v>
      </c>
      <c r="BW24" s="180" t="s">
        <v>947</v>
      </c>
      <c r="BZ24" t="str">
        <f t="shared" si="27"/>
        <v>G38</v>
      </c>
      <c r="CA24" t="b">
        <f t="shared" si="28"/>
        <v>0</v>
      </c>
      <c r="CB24" t="str">
        <f t="shared" si="44"/>
        <v>G38</v>
      </c>
      <c r="CC24" t="str">
        <f t="shared" si="29"/>
        <v>R632</v>
      </c>
      <c r="CD24" t="b">
        <f t="shared" si="45"/>
        <v>0</v>
      </c>
      <c r="CE24" t="str">
        <f t="shared" si="46"/>
        <v>R632</v>
      </c>
      <c r="CG24" t="str">
        <f t="shared" si="30"/>
        <v>G299</v>
      </c>
      <c r="CH24" t="str">
        <f t="shared" si="47"/>
        <v>G299</v>
      </c>
      <c r="CI24" t="str">
        <f t="shared" si="31"/>
        <v>G524</v>
      </c>
      <c r="CJ24" t="str">
        <f t="shared" si="32"/>
        <v>G524</v>
      </c>
      <c r="CK24" t="s">
        <v>1751</v>
      </c>
      <c r="CL24" t="s">
        <v>1751</v>
      </c>
      <c r="CM24" t="s">
        <v>1751</v>
      </c>
      <c r="CN24" t="b">
        <f t="shared" si="48"/>
        <v>1</v>
      </c>
      <c r="CO24" t="str">
        <f t="shared" si="33"/>
        <v>R121</v>
      </c>
      <c r="CP24" t="str">
        <f t="shared" si="49"/>
        <v>R121</v>
      </c>
      <c r="CQ24" t="str">
        <f t="shared" si="34"/>
        <v>R50</v>
      </c>
      <c r="CR24" t="str">
        <f t="shared" si="35"/>
        <v>R50</v>
      </c>
      <c r="CS24" t="s">
        <v>1020</v>
      </c>
      <c r="CT24" t="s">
        <v>1020</v>
      </c>
      <c r="CU24" t="s">
        <v>1020</v>
      </c>
      <c r="CV24" t="b">
        <f t="shared" si="50"/>
        <v>1</v>
      </c>
      <c r="CW24" s="403" t="s">
        <v>1398</v>
      </c>
      <c r="CX24" s="393" t="b">
        <f>COUNTIF($CG$5:$CG$2000, CW21)&gt;1</f>
        <v>0</v>
      </c>
      <c r="CY24" s="393"/>
      <c r="CZ24" s="393"/>
      <c r="DC24" t="str">
        <f t="shared" si="36"/>
        <v>G524</v>
      </c>
      <c r="DD24" t="b">
        <f t="shared" si="52"/>
        <v>0</v>
      </c>
      <c r="DE24" t="str">
        <f t="shared" si="53"/>
        <v>G524</v>
      </c>
      <c r="DF24" t="str">
        <f t="shared" si="37"/>
        <v>R50</v>
      </c>
      <c r="DG24" t="b">
        <f t="shared" si="54"/>
        <v>0</v>
      </c>
      <c r="DH24" t="str">
        <f t="shared" si="55"/>
        <v>R50</v>
      </c>
    </row>
    <row r="25" spans="2:112" ht="12" customHeight="1">
      <c r="B25" t="str">
        <f>TBIDry!H97</f>
        <v>G8</v>
      </c>
      <c r="C25" t="str">
        <f>TBIDry!I97</f>
        <v>R723</v>
      </c>
      <c r="D25" t="b">
        <f t="shared" si="1"/>
        <v>0</v>
      </c>
      <c r="E25" t="b">
        <f t="shared" si="2"/>
        <v>0</v>
      </c>
      <c r="G25" t="str">
        <f>TBIWet!H97</f>
        <v>G575</v>
      </c>
      <c r="H25" t="str">
        <f>TBIWet!I97</f>
        <v>R363</v>
      </c>
      <c r="I25" t="b">
        <f t="shared" si="3"/>
        <v>0</v>
      </c>
      <c r="J25" t="b">
        <f t="shared" si="38"/>
        <v>0</v>
      </c>
      <c r="L25" t="str">
        <f>'Both teabags AfterWet'!A23</f>
        <v>G334</v>
      </c>
      <c r="M25" t="str">
        <f>'Both teabags AfterWet'!A443</f>
        <v>R124</v>
      </c>
      <c r="N25" t="b">
        <f t="shared" si="4"/>
        <v>0</v>
      </c>
      <c r="O25" t="b">
        <f t="shared" si="56"/>
        <v>0</v>
      </c>
      <c r="Q25" s="388" t="b">
        <f t="shared" si="5"/>
        <v>0</v>
      </c>
      <c r="R25" s="388" t="b">
        <f t="shared" si="6"/>
        <v>0</v>
      </c>
      <c r="T25" t="str">
        <f>'Both teabags AfterDry'!A23</f>
        <v>G127</v>
      </c>
      <c r="U25" t="str">
        <f>'Both teabags AfterDry'!A358</f>
        <v>R192</v>
      </c>
      <c r="V25" t="b">
        <f t="shared" si="7"/>
        <v>0</v>
      </c>
      <c r="W25" t="b">
        <f t="shared" si="39"/>
        <v>0</v>
      </c>
      <c r="Y25" t="str">
        <f>'Green_rooibos initial weight'!A26</f>
        <v>G22</v>
      </c>
      <c r="Z25" t="str">
        <f>'Green_rooibos initial weight'!A930</f>
        <v>R22</v>
      </c>
      <c r="AA25" t="b">
        <f t="shared" si="8"/>
        <v>0</v>
      </c>
      <c r="AB25" t="b">
        <f t="shared" si="9"/>
        <v>0</v>
      </c>
      <c r="AE25" t="str">
        <f>'WetLitterbags placem_collection'!K24</f>
        <v>G575</v>
      </c>
      <c r="AF25" t="str">
        <f>'WetLitterbags placem_collection'!M24</f>
        <v>R363</v>
      </c>
      <c r="AG25" t="b">
        <f t="shared" si="10"/>
        <v>0</v>
      </c>
      <c r="AH25" t="b">
        <f t="shared" si="11"/>
        <v>0</v>
      </c>
      <c r="AJ25" t="b">
        <f t="shared" si="12"/>
        <v>0</v>
      </c>
      <c r="AK25" t="b">
        <f t="shared" si="13"/>
        <v>0</v>
      </c>
      <c r="AM25" t="str">
        <f>IF(ISBLANK('Dry_Litterbag Placem_Collection'!J24),"","G"&amp;""&amp;'Dry_Litterbag Placem_Collection'!J24)</f>
        <v>G8</v>
      </c>
      <c r="AN25" t="str">
        <f>IF(ISBLANK('Dry_Litterbag Placem_Collection'!K24),"","R"&amp;""&amp;'Dry_Litterbag Placem_Collection'!K24)</f>
        <v>R723</v>
      </c>
      <c r="AO25" t="b">
        <f t="shared" si="58"/>
        <v>0</v>
      </c>
      <c r="AP25" t="b">
        <f t="shared" si="15"/>
        <v>0</v>
      </c>
      <c r="AS25" t="str">
        <f>'Ashed teabags dry'!A23</f>
        <v>G127</v>
      </c>
      <c r="AT25" t="str">
        <f>'Ashed teabags dry'!A358</f>
        <v>R192</v>
      </c>
      <c r="AU25" t="b">
        <f t="shared" si="16"/>
        <v>0</v>
      </c>
      <c r="AV25" t="b">
        <f t="shared" si="40"/>
        <v>0</v>
      </c>
      <c r="AX25" s="388" t="b">
        <f t="shared" si="17"/>
        <v>0</v>
      </c>
      <c r="AY25" s="388" t="b">
        <f t="shared" si="18"/>
        <v>0</v>
      </c>
      <c r="BA25" t="str">
        <f>'Ashed teabags wet'!A23</f>
        <v>G334</v>
      </c>
      <c r="BB25" t="str">
        <f>'Ashed teabags wet'!A443</f>
        <v>R124</v>
      </c>
      <c r="BC25" t="b">
        <f t="shared" si="19"/>
        <v>0</v>
      </c>
      <c r="BD25" t="b">
        <f t="shared" si="0"/>
        <v>0</v>
      </c>
      <c r="BF25" t="str">
        <f t="shared" si="20"/>
        <v>G126</v>
      </c>
      <c r="BG25" t="str">
        <f t="shared" si="21"/>
        <v>G126</v>
      </c>
      <c r="BH25" t="str">
        <f t="shared" si="22"/>
        <v>G468</v>
      </c>
      <c r="BI25" t="str">
        <f t="shared" si="41"/>
        <v/>
      </c>
      <c r="BJ25" t="s">
        <v>1924</v>
      </c>
      <c r="BK25" t="s">
        <v>1924</v>
      </c>
      <c r="BL25" t="s">
        <v>1924</v>
      </c>
      <c r="BM25" t="b">
        <f t="shared" si="42"/>
        <v>1</v>
      </c>
      <c r="BN25" t="str">
        <f t="shared" si="23"/>
        <v>R191</v>
      </c>
      <c r="BO25" t="str">
        <f t="shared" si="24"/>
        <v>R191</v>
      </c>
      <c r="BP25" t="str">
        <f t="shared" si="25"/>
        <v>R630</v>
      </c>
      <c r="BQ25" t="str">
        <f t="shared" si="26"/>
        <v/>
      </c>
      <c r="BR25" t="s">
        <v>950</v>
      </c>
      <c r="BS25" t="s">
        <v>950</v>
      </c>
      <c r="BT25" t="s">
        <v>950</v>
      </c>
      <c r="BU25" t="b">
        <f t="shared" si="43"/>
        <v>1</v>
      </c>
      <c r="BV25" s="180" t="s">
        <v>1582</v>
      </c>
      <c r="BW25" s="180" t="s">
        <v>509</v>
      </c>
      <c r="BZ25" t="str">
        <f t="shared" si="27"/>
        <v>G468</v>
      </c>
      <c r="CA25" t="b">
        <f t="shared" si="28"/>
        <v>1</v>
      </c>
      <c r="CB25" t="str">
        <f t="shared" si="44"/>
        <v/>
      </c>
      <c r="CC25" t="str">
        <f t="shared" si="29"/>
        <v>R630</v>
      </c>
      <c r="CD25" t="b">
        <f t="shared" si="45"/>
        <v>1</v>
      </c>
      <c r="CE25" t="str">
        <f t="shared" si="46"/>
        <v/>
      </c>
      <c r="CG25" t="str">
        <f t="shared" si="30"/>
        <v>G308</v>
      </c>
      <c r="CH25" t="str">
        <f t="shared" si="47"/>
        <v>G308</v>
      </c>
      <c r="CI25" t="str">
        <f t="shared" si="31"/>
        <v>G699</v>
      </c>
      <c r="CJ25" t="str">
        <f t="shared" si="32"/>
        <v>G699</v>
      </c>
      <c r="CK25" t="s">
        <v>1742</v>
      </c>
      <c r="CL25" t="s">
        <v>1742</v>
      </c>
      <c r="CM25" t="s">
        <v>1742</v>
      </c>
      <c r="CN25" t="b">
        <f t="shared" si="48"/>
        <v>1</v>
      </c>
      <c r="CO25" t="str">
        <f t="shared" si="33"/>
        <v>R122</v>
      </c>
      <c r="CP25" t="str">
        <f t="shared" si="49"/>
        <v>R122</v>
      </c>
      <c r="CQ25" t="str">
        <f t="shared" si="34"/>
        <v>R529</v>
      </c>
      <c r="CR25" t="str">
        <f t="shared" si="35"/>
        <v>R529</v>
      </c>
      <c r="CS25" t="s">
        <v>1019</v>
      </c>
      <c r="CT25" t="s">
        <v>1019</v>
      </c>
      <c r="CU25" t="s">
        <v>1019</v>
      </c>
      <c r="CV25" t="b">
        <f t="shared" si="50"/>
        <v>1</v>
      </c>
      <c r="CW25" s="419" t="s">
        <v>1233</v>
      </c>
      <c r="CX25" s="393"/>
      <c r="DC25" t="str">
        <f t="shared" si="36"/>
        <v>G699</v>
      </c>
      <c r="DD25" t="b">
        <f t="shared" si="52"/>
        <v>0</v>
      </c>
      <c r="DE25" t="str">
        <f t="shared" si="53"/>
        <v>G699</v>
      </c>
      <c r="DF25" t="str">
        <f t="shared" si="37"/>
        <v>R529</v>
      </c>
      <c r="DG25" t="b">
        <f t="shared" si="54"/>
        <v>0</v>
      </c>
      <c r="DH25" t="str">
        <f t="shared" si="55"/>
        <v>R529</v>
      </c>
    </row>
    <row r="26" spans="2:112" ht="12" customHeight="1">
      <c r="B26" t="str">
        <f>TBIDry!H98</f>
        <v/>
      </c>
      <c r="C26" t="str">
        <f>TBIDry!I98</f>
        <v/>
      </c>
      <c r="D26" t="b">
        <f t="shared" si="1"/>
        <v>1</v>
      </c>
      <c r="E26" t="b">
        <f t="shared" si="2"/>
        <v>1</v>
      </c>
      <c r="G26" t="str">
        <f>TBIWet!H98</f>
        <v>G492</v>
      </c>
      <c r="H26" t="str">
        <f>TBIWet!I98</f>
        <v>R190</v>
      </c>
      <c r="I26" t="b">
        <f t="shared" si="3"/>
        <v>0</v>
      </c>
      <c r="J26" t="b">
        <f t="shared" si="38"/>
        <v>0</v>
      </c>
      <c r="L26" t="str">
        <f>'Both teabags AfterWet'!A24</f>
        <v>G337</v>
      </c>
      <c r="M26" t="str">
        <f>'Both teabags AfterWet'!A444</f>
        <v>R125</v>
      </c>
      <c r="N26" t="b">
        <f t="shared" si="4"/>
        <v>0</v>
      </c>
      <c r="O26" t="b">
        <f t="shared" si="56"/>
        <v>0</v>
      </c>
      <c r="Q26" s="388" t="b">
        <f t="shared" si="5"/>
        <v>0</v>
      </c>
      <c r="R26" s="388" t="b">
        <f t="shared" si="6"/>
        <v>0</v>
      </c>
      <c r="T26" t="str">
        <f>'Both teabags AfterDry'!A24</f>
        <v>G128</v>
      </c>
      <c r="U26" t="str">
        <f>'Both teabags AfterDry'!A359</f>
        <v>R193</v>
      </c>
      <c r="V26" t="b">
        <f t="shared" si="7"/>
        <v>0</v>
      </c>
      <c r="W26" t="b">
        <f t="shared" si="39"/>
        <v>0</v>
      </c>
      <c r="Y26" t="str">
        <f>'Green_rooibos initial weight'!A27</f>
        <v>G23</v>
      </c>
      <c r="Z26" t="str">
        <f>'Green_rooibos initial weight'!A931</f>
        <v>R23</v>
      </c>
      <c r="AA26" t="b">
        <f t="shared" si="8"/>
        <v>0</v>
      </c>
      <c r="AB26" t="b">
        <f t="shared" si="9"/>
        <v>0</v>
      </c>
      <c r="AE26" t="str">
        <f>'WetLitterbags placem_collection'!K25</f>
        <v>G492</v>
      </c>
      <c r="AF26" t="str">
        <f>'WetLitterbags placem_collection'!M25</f>
        <v>R190</v>
      </c>
      <c r="AG26" t="b">
        <f t="shared" si="10"/>
        <v>0</v>
      </c>
      <c r="AH26" t="b">
        <f t="shared" si="11"/>
        <v>0</v>
      </c>
      <c r="AJ26" t="b">
        <f t="shared" si="12"/>
        <v>0</v>
      </c>
      <c r="AK26" t="b">
        <f t="shared" si="13"/>
        <v>0</v>
      </c>
      <c r="AM26" t="str">
        <f>IF(ISBLANK('Dry_Litterbag Placem_Collection'!J25),"","G"&amp;""&amp;'Dry_Litterbag Placem_Collection'!J25)</f>
        <v/>
      </c>
      <c r="AN26" t="str">
        <f>IF(ISBLANK('Dry_Litterbag Placem_Collection'!K25),"","R"&amp;""&amp;'Dry_Litterbag Placem_Collection'!K25)</f>
        <v/>
      </c>
      <c r="AO26" t="b">
        <f t="shared" si="58"/>
        <v>1</v>
      </c>
      <c r="AP26" t="b">
        <f t="shared" si="15"/>
        <v>1</v>
      </c>
      <c r="AS26" t="str">
        <f>'Ashed teabags dry'!A24</f>
        <v>G128</v>
      </c>
      <c r="AT26" t="str">
        <f>'Ashed teabags dry'!A359</f>
        <v>R193</v>
      </c>
      <c r="AU26" t="b">
        <f t="shared" si="16"/>
        <v>0</v>
      </c>
      <c r="AV26" t="b">
        <f t="shared" si="40"/>
        <v>0</v>
      </c>
      <c r="AX26" s="388" t="b">
        <f t="shared" si="17"/>
        <v>0</v>
      </c>
      <c r="AY26" s="388" t="b">
        <f t="shared" si="18"/>
        <v>0</v>
      </c>
      <c r="BA26" t="str">
        <f>'Ashed teabags wet'!A24</f>
        <v>G337</v>
      </c>
      <c r="BB26" t="str">
        <f>'Ashed teabags wet'!A444</f>
        <v>R125</v>
      </c>
      <c r="BC26" t="b">
        <f t="shared" si="19"/>
        <v>0</v>
      </c>
      <c r="BD26" t="b">
        <f t="shared" si="0"/>
        <v>0</v>
      </c>
      <c r="BF26" t="str">
        <f t="shared" si="20"/>
        <v>G127</v>
      </c>
      <c r="BG26" t="str">
        <f t="shared" si="21"/>
        <v>G127</v>
      </c>
      <c r="BH26" t="str">
        <f t="shared" si="22"/>
        <v>G8</v>
      </c>
      <c r="BI26" t="str">
        <f t="shared" si="41"/>
        <v>G8</v>
      </c>
      <c r="BJ26" t="s">
        <v>1923</v>
      </c>
      <c r="BK26" t="s">
        <v>1923</v>
      </c>
      <c r="BL26" t="s">
        <v>1923</v>
      </c>
      <c r="BM26" t="b">
        <f t="shared" si="42"/>
        <v>1</v>
      </c>
      <c r="BN26" t="str">
        <f t="shared" si="23"/>
        <v>R192</v>
      </c>
      <c r="BO26" t="str">
        <f t="shared" si="24"/>
        <v>R192</v>
      </c>
      <c r="BP26" t="str">
        <f t="shared" si="25"/>
        <v>R723</v>
      </c>
      <c r="BQ26" t="str">
        <f t="shared" si="26"/>
        <v>R723</v>
      </c>
      <c r="BR26" t="s">
        <v>949</v>
      </c>
      <c r="BS26" t="s">
        <v>949</v>
      </c>
      <c r="BT26" t="s">
        <v>949</v>
      </c>
      <c r="BU26" t="b">
        <f t="shared" si="43"/>
        <v>1</v>
      </c>
      <c r="BV26" s="180" t="s">
        <v>1996</v>
      </c>
      <c r="BW26" s="180" t="s">
        <v>334</v>
      </c>
      <c r="BZ26" t="str">
        <f t="shared" si="27"/>
        <v>G8</v>
      </c>
      <c r="CA26" t="b">
        <f t="shared" si="28"/>
        <v>0</v>
      </c>
      <c r="CB26" t="str">
        <f t="shared" si="44"/>
        <v>G8</v>
      </c>
      <c r="CC26" t="str">
        <f t="shared" si="29"/>
        <v>R723</v>
      </c>
      <c r="CD26" t="b">
        <f t="shared" si="45"/>
        <v>0</v>
      </c>
      <c r="CE26" t="str">
        <f t="shared" si="46"/>
        <v>R723</v>
      </c>
      <c r="CG26" t="str">
        <f t="shared" si="30"/>
        <v>G334</v>
      </c>
      <c r="CH26" t="str">
        <f t="shared" si="47"/>
        <v>G334</v>
      </c>
      <c r="CI26" t="str">
        <f t="shared" si="31"/>
        <v>G575</v>
      </c>
      <c r="CJ26" t="str">
        <f t="shared" si="32"/>
        <v>G575</v>
      </c>
      <c r="CK26" t="s">
        <v>1716</v>
      </c>
      <c r="CL26" t="s">
        <v>1716</v>
      </c>
      <c r="CM26" t="s">
        <v>1716</v>
      </c>
      <c r="CN26" t="b">
        <f t="shared" si="48"/>
        <v>1</v>
      </c>
      <c r="CO26" t="str">
        <f t="shared" si="33"/>
        <v>R124</v>
      </c>
      <c r="CP26" t="str">
        <f t="shared" si="49"/>
        <v>R124</v>
      </c>
      <c r="CQ26" t="str">
        <f t="shared" si="34"/>
        <v>R363</v>
      </c>
      <c r="CR26" t="str">
        <f t="shared" si="35"/>
        <v>R363</v>
      </c>
      <c r="CS26" t="s">
        <v>1017</v>
      </c>
      <c r="CT26" t="s">
        <v>1017</v>
      </c>
      <c r="CU26" t="s">
        <v>1017</v>
      </c>
      <c r="CV26" t="b">
        <f t="shared" si="50"/>
        <v>1</v>
      </c>
      <c r="DC26" t="str">
        <f t="shared" si="36"/>
        <v>G575</v>
      </c>
      <c r="DD26" t="b">
        <f t="shared" si="52"/>
        <v>0</v>
      </c>
      <c r="DE26" t="str">
        <f t="shared" si="53"/>
        <v>G575</v>
      </c>
      <c r="DF26" t="str">
        <f t="shared" si="37"/>
        <v>R363</v>
      </c>
      <c r="DG26" t="b">
        <f t="shared" si="54"/>
        <v>0</v>
      </c>
      <c r="DH26" t="str">
        <f t="shared" si="55"/>
        <v>R363</v>
      </c>
    </row>
    <row r="27" spans="2:112" ht="12" customHeight="1">
      <c r="B27" t="str">
        <f>TBIDry!H99</f>
        <v>G320</v>
      </c>
      <c r="C27" t="str">
        <f>TBIDry!I99</f>
        <v>R225</v>
      </c>
      <c r="D27" t="b">
        <f t="shared" si="1"/>
        <v>0</v>
      </c>
      <c r="E27" t="b">
        <f t="shared" si="2"/>
        <v>0</v>
      </c>
      <c r="G27" t="str">
        <f>TBIWet!H99</f>
        <v>G813</v>
      </c>
      <c r="H27" t="str">
        <f>TBIWet!I99</f>
        <v>R144</v>
      </c>
      <c r="I27" t="b">
        <f t="shared" si="3"/>
        <v>0</v>
      </c>
      <c r="J27" t="b">
        <f t="shared" si="38"/>
        <v>0</v>
      </c>
      <c r="L27" t="str">
        <f>'Both teabags AfterWet'!A25</f>
        <v>G345</v>
      </c>
      <c r="M27" t="str">
        <f>'Both teabags AfterWet'!A445</f>
        <v>R126</v>
      </c>
      <c r="N27" t="b">
        <f t="shared" si="4"/>
        <v>0</v>
      </c>
      <c r="O27" t="b">
        <f t="shared" si="56"/>
        <v>0</v>
      </c>
      <c r="Q27" s="388" t="b">
        <f t="shared" si="5"/>
        <v>0</v>
      </c>
      <c r="R27" s="388" t="b">
        <f t="shared" si="6"/>
        <v>0</v>
      </c>
      <c r="T27" t="str">
        <f>'Both teabags AfterDry'!A25</f>
        <v>G13</v>
      </c>
      <c r="U27" t="str">
        <f>'Both teabags AfterDry'!A360</f>
        <v>R195</v>
      </c>
      <c r="V27" t="b">
        <f t="shared" si="7"/>
        <v>0</v>
      </c>
      <c r="W27" t="b">
        <f t="shared" si="39"/>
        <v>0</v>
      </c>
      <c r="Y27" t="str">
        <f>'Green_rooibos initial weight'!A28</f>
        <v>G24</v>
      </c>
      <c r="Z27" t="str">
        <f>'Green_rooibos initial weight'!A932</f>
        <v>R24</v>
      </c>
      <c r="AA27" t="b">
        <f t="shared" si="8"/>
        <v>0</v>
      </c>
      <c r="AB27" t="b">
        <f t="shared" si="9"/>
        <v>0</v>
      </c>
      <c r="AE27" t="str">
        <f>'WetLitterbags placem_collection'!K26</f>
        <v>G813</v>
      </c>
      <c r="AF27" t="str">
        <f>'WetLitterbags placem_collection'!M26</f>
        <v>R144</v>
      </c>
      <c r="AG27" t="b">
        <f t="shared" si="10"/>
        <v>0</v>
      </c>
      <c r="AH27" t="b">
        <f t="shared" si="11"/>
        <v>0</v>
      </c>
      <c r="AJ27" t="b">
        <f t="shared" si="12"/>
        <v>0</v>
      </c>
      <c r="AK27" t="b">
        <f t="shared" si="13"/>
        <v>0</v>
      </c>
      <c r="AM27" t="str">
        <f>IF(ISBLANK('Dry_Litterbag Placem_Collection'!J26),"","G"&amp;""&amp;'Dry_Litterbag Placem_Collection'!J26)</f>
        <v>G320</v>
      </c>
      <c r="AN27" t="str">
        <f>IF(ISBLANK('Dry_Litterbag Placem_Collection'!K26),"","R"&amp;""&amp;'Dry_Litterbag Placem_Collection'!K26)</f>
        <v>R225</v>
      </c>
      <c r="AO27" t="b">
        <f t="shared" si="58"/>
        <v>0</v>
      </c>
      <c r="AP27" t="b">
        <f t="shared" si="15"/>
        <v>0</v>
      </c>
      <c r="AS27" t="str">
        <f>'Ashed teabags dry'!A25</f>
        <v>G13</v>
      </c>
      <c r="AT27" t="str">
        <f>'Ashed teabags dry'!A360</f>
        <v>R195</v>
      </c>
      <c r="AU27" t="b">
        <f t="shared" si="16"/>
        <v>0</v>
      </c>
      <c r="AV27" t="b">
        <f t="shared" si="40"/>
        <v>0</v>
      </c>
      <c r="AX27" s="388" t="b">
        <f t="shared" si="17"/>
        <v>0</v>
      </c>
      <c r="AY27" s="388" t="b">
        <f t="shared" si="18"/>
        <v>0</v>
      </c>
      <c r="BA27" t="str">
        <f>'Ashed teabags wet'!A25</f>
        <v>G345</v>
      </c>
      <c r="BB27" t="str">
        <f>'Ashed teabags wet'!A445</f>
        <v>R126</v>
      </c>
      <c r="BC27" t="b">
        <f t="shared" si="19"/>
        <v>0</v>
      </c>
      <c r="BD27" t="b">
        <f t="shared" si="0"/>
        <v>0</v>
      </c>
      <c r="BF27" t="str">
        <f t="shared" si="20"/>
        <v>G128</v>
      </c>
      <c r="BG27" t="str">
        <f t="shared" si="21"/>
        <v>G128</v>
      </c>
      <c r="BH27" t="str">
        <f t="shared" si="22"/>
        <v/>
      </c>
      <c r="BI27" t="str">
        <f t="shared" si="41"/>
        <v/>
      </c>
      <c r="BJ27" t="s">
        <v>1922</v>
      </c>
      <c r="BK27" t="s">
        <v>1922</v>
      </c>
      <c r="BL27" t="s">
        <v>1922</v>
      </c>
      <c r="BM27" t="b">
        <f t="shared" si="42"/>
        <v>1</v>
      </c>
      <c r="BN27" t="str">
        <f t="shared" si="23"/>
        <v>R193</v>
      </c>
      <c r="BO27" t="str">
        <f t="shared" si="24"/>
        <v>R193</v>
      </c>
      <c r="BP27" t="str">
        <f t="shared" si="25"/>
        <v/>
      </c>
      <c r="BQ27" t="str">
        <f t="shared" si="26"/>
        <v/>
      </c>
      <c r="BR27" t="s">
        <v>948</v>
      </c>
      <c r="BS27" t="s">
        <v>948</v>
      </c>
      <c r="BT27" t="s">
        <v>948</v>
      </c>
      <c r="BU27" t="b">
        <f t="shared" si="43"/>
        <v>1</v>
      </c>
      <c r="BV27" s="180" t="s">
        <v>1859</v>
      </c>
      <c r="BW27" s="180" t="s">
        <v>364</v>
      </c>
      <c r="BZ27" t="str">
        <f t="shared" si="27"/>
        <v/>
      </c>
      <c r="CA27" t="b">
        <f t="shared" si="28"/>
        <v>0</v>
      </c>
      <c r="CB27" t="str">
        <f t="shared" si="44"/>
        <v/>
      </c>
      <c r="CC27" t="str">
        <f t="shared" si="29"/>
        <v/>
      </c>
      <c r="CD27" t="b">
        <f t="shared" si="45"/>
        <v>0</v>
      </c>
      <c r="CE27" t="str">
        <f t="shared" si="46"/>
        <v/>
      </c>
      <c r="CG27" t="str">
        <f t="shared" si="30"/>
        <v>G337</v>
      </c>
      <c r="CH27" t="str">
        <f t="shared" si="47"/>
        <v>G337</v>
      </c>
      <c r="CI27" t="str">
        <f t="shared" si="31"/>
        <v>G492</v>
      </c>
      <c r="CJ27" t="str">
        <f t="shared" si="32"/>
        <v>G492</v>
      </c>
      <c r="CK27" t="s">
        <v>1713</v>
      </c>
      <c r="CL27" t="s">
        <v>1713</v>
      </c>
      <c r="CM27" t="s">
        <v>1713</v>
      </c>
      <c r="CN27" t="b">
        <f t="shared" si="48"/>
        <v>1</v>
      </c>
      <c r="CO27" t="str">
        <f t="shared" si="33"/>
        <v>R125</v>
      </c>
      <c r="CP27" t="str">
        <f t="shared" si="49"/>
        <v>R125</v>
      </c>
      <c r="CQ27" t="str">
        <f t="shared" si="34"/>
        <v>R190</v>
      </c>
      <c r="CR27" t="str">
        <f t="shared" si="35"/>
        <v>R190</v>
      </c>
      <c r="CS27" t="s">
        <v>1016</v>
      </c>
      <c r="CT27" t="s">
        <v>1016</v>
      </c>
      <c r="CU27" t="s">
        <v>1016</v>
      </c>
      <c r="CV27" t="b">
        <f t="shared" si="50"/>
        <v>1</v>
      </c>
      <c r="DC27" t="str">
        <f t="shared" si="36"/>
        <v>G492</v>
      </c>
      <c r="DD27" t="b">
        <f t="shared" si="52"/>
        <v>0</v>
      </c>
      <c r="DE27" t="str">
        <f t="shared" si="53"/>
        <v>G492</v>
      </c>
      <c r="DF27" t="str">
        <f t="shared" si="37"/>
        <v>R190</v>
      </c>
      <c r="DG27" t="b">
        <f t="shared" si="54"/>
        <v>0</v>
      </c>
      <c r="DH27" t="str">
        <f t="shared" si="55"/>
        <v>R190</v>
      </c>
    </row>
    <row r="28" spans="2:112" ht="12" customHeight="1">
      <c r="B28" t="str">
        <f>TBIDry!H100</f>
        <v>G322</v>
      </c>
      <c r="C28" t="str">
        <f>TBIDry!I100</f>
        <v>R43</v>
      </c>
      <c r="D28" t="b">
        <f t="shared" si="1"/>
        <v>0</v>
      </c>
      <c r="E28" t="b">
        <f t="shared" si="2"/>
        <v>0</v>
      </c>
      <c r="G28" t="str">
        <f>TBIWet!H100</f>
        <v>G406</v>
      </c>
      <c r="H28" t="str">
        <f>TBIWet!I100</f>
        <v>R279</v>
      </c>
      <c r="I28" t="b">
        <f t="shared" si="3"/>
        <v>0</v>
      </c>
      <c r="J28" t="b">
        <f t="shared" si="38"/>
        <v>0</v>
      </c>
      <c r="L28" t="str">
        <f>'Both teabags AfterWet'!A26</f>
        <v>G346</v>
      </c>
      <c r="M28" t="str">
        <f>'Both teabags AfterWet'!A446</f>
        <v>R128</v>
      </c>
      <c r="N28" t="b">
        <f t="shared" si="4"/>
        <v>0</v>
      </c>
      <c r="O28" t="b">
        <f t="shared" si="56"/>
        <v>0</v>
      </c>
      <c r="Q28" s="388" t="b">
        <f t="shared" si="5"/>
        <v>0</v>
      </c>
      <c r="R28" s="388" t="b">
        <f t="shared" si="6"/>
        <v>0</v>
      </c>
      <c r="T28" t="str">
        <f>'Both teabags AfterDry'!A26</f>
        <v>G130</v>
      </c>
      <c r="U28" t="str">
        <f>'Both teabags AfterDry'!A361</f>
        <v>R197</v>
      </c>
      <c r="V28" t="b">
        <f t="shared" si="7"/>
        <v>0</v>
      </c>
      <c r="W28" t="b">
        <f t="shared" si="39"/>
        <v>0</v>
      </c>
      <c r="Y28" t="str">
        <f>'Green_rooibos initial weight'!A29</f>
        <v>G25</v>
      </c>
      <c r="Z28" t="str">
        <f>'Green_rooibos initial weight'!A933</f>
        <v>R25</v>
      </c>
      <c r="AA28" t="b">
        <f t="shared" si="8"/>
        <v>0</v>
      </c>
      <c r="AB28" t="b">
        <f t="shared" si="9"/>
        <v>0</v>
      </c>
      <c r="AE28" t="str">
        <f>'WetLitterbags placem_collection'!K27</f>
        <v>G406</v>
      </c>
      <c r="AF28" t="str">
        <f>'WetLitterbags placem_collection'!M27</f>
        <v>R279</v>
      </c>
      <c r="AG28" t="b">
        <f t="shared" si="10"/>
        <v>0</v>
      </c>
      <c r="AH28" t="b">
        <f t="shared" si="11"/>
        <v>0</v>
      </c>
      <c r="AJ28" t="b">
        <f t="shared" si="12"/>
        <v>0</v>
      </c>
      <c r="AK28" t="b">
        <f t="shared" si="13"/>
        <v>0</v>
      </c>
      <c r="AM28" t="str">
        <f>IF(ISBLANK('Dry_Litterbag Placem_Collection'!J27),"","G"&amp;""&amp;'Dry_Litterbag Placem_Collection'!J27)</f>
        <v>G322</v>
      </c>
      <c r="AN28" t="str">
        <f>IF(ISBLANK('Dry_Litterbag Placem_Collection'!K27),"","R"&amp;""&amp;'Dry_Litterbag Placem_Collection'!K27)</f>
        <v>R43</v>
      </c>
      <c r="AO28" t="b">
        <f t="shared" si="58"/>
        <v>0</v>
      </c>
      <c r="AP28" t="b">
        <f t="shared" si="15"/>
        <v>0</v>
      </c>
      <c r="AS28" t="str">
        <f>'Ashed teabags dry'!A26</f>
        <v>G130</v>
      </c>
      <c r="AT28" t="str">
        <f>'Ashed teabags dry'!A361</f>
        <v>R197</v>
      </c>
      <c r="AU28" t="b">
        <f t="shared" si="16"/>
        <v>0</v>
      </c>
      <c r="AV28" t="b">
        <f t="shared" si="40"/>
        <v>0</v>
      </c>
      <c r="AX28" s="388" t="b">
        <f t="shared" si="17"/>
        <v>0</v>
      </c>
      <c r="AY28" s="388" t="b">
        <f t="shared" si="18"/>
        <v>0</v>
      </c>
      <c r="BA28" t="str">
        <f>'Ashed teabags wet'!A26</f>
        <v>G346</v>
      </c>
      <c r="BB28" t="str">
        <f>'Ashed teabags wet'!A446</f>
        <v>R128</v>
      </c>
      <c r="BC28" t="b">
        <f t="shared" si="19"/>
        <v>0</v>
      </c>
      <c r="BD28" t="b">
        <f t="shared" si="0"/>
        <v>0</v>
      </c>
      <c r="BF28" t="str">
        <f t="shared" si="20"/>
        <v>G13</v>
      </c>
      <c r="BG28" t="str">
        <f t="shared" si="21"/>
        <v>G13</v>
      </c>
      <c r="BH28" t="str">
        <f t="shared" si="22"/>
        <v>G320</v>
      </c>
      <c r="BI28" t="str">
        <f t="shared" si="41"/>
        <v>G320</v>
      </c>
      <c r="BJ28" t="s">
        <v>2037</v>
      </c>
      <c r="BK28" t="s">
        <v>2037</v>
      </c>
      <c r="BL28" t="s">
        <v>2037</v>
      </c>
      <c r="BM28" t="b">
        <f t="shared" si="42"/>
        <v>1</v>
      </c>
      <c r="BN28" t="str">
        <f t="shared" si="23"/>
        <v>R195</v>
      </c>
      <c r="BO28" t="str">
        <f t="shared" si="24"/>
        <v>R195</v>
      </c>
      <c r="BP28" t="str">
        <f t="shared" si="25"/>
        <v>R225</v>
      </c>
      <c r="BQ28" t="str">
        <f t="shared" si="26"/>
        <v>R225</v>
      </c>
      <c r="BR28" t="s">
        <v>946</v>
      </c>
      <c r="BS28" t="s">
        <v>946</v>
      </c>
      <c r="BT28" t="s">
        <v>946</v>
      </c>
      <c r="BU28" t="b">
        <f t="shared" si="43"/>
        <v>1</v>
      </c>
      <c r="BV28" s="180" t="s">
        <v>1618</v>
      </c>
      <c r="BW28" s="180" t="s">
        <v>338</v>
      </c>
      <c r="BZ28" t="str">
        <f t="shared" si="27"/>
        <v>G320</v>
      </c>
      <c r="CA28" t="b">
        <f t="shared" si="28"/>
        <v>0</v>
      </c>
      <c r="CB28" t="str">
        <f t="shared" si="44"/>
        <v>G320</v>
      </c>
      <c r="CC28" t="str">
        <f t="shared" si="29"/>
        <v>R225</v>
      </c>
      <c r="CD28" t="b">
        <f t="shared" si="45"/>
        <v>0</v>
      </c>
      <c r="CE28" t="str">
        <f t="shared" si="46"/>
        <v>R225</v>
      </c>
      <c r="CG28" t="str">
        <f t="shared" si="30"/>
        <v>G345</v>
      </c>
      <c r="CH28" t="str">
        <f t="shared" si="47"/>
        <v>G345</v>
      </c>
      <c r="CI28" t="str">
        <f t="shared" si="31"/>
        <v>G813</v>
      </c>
      <c r="CJ28" t="str">
        <f t="shared" si="32"/>
        <v>G813</v>
      </c>
      <c r="CK28" t="s">
        <v>1705</v>
      </c>
      <c r="CL28" t="s">
        <v>1705</v>
      </c>
      <c r="CM28" t="s">
        <v>1705</v>
      </c>
      <c r="CN28" t="b">
        <f t="shared" si="48"/>
        <v>1</v>
      </c>
      <c r="CO28" t="str">
        <f t="shared" si="33"/>
        <v>R126</v>
      </c>
      <c r="CP28" t="str">
        <f t="shared" si="49"/>
        <v>R126</v>
      </c>
      <c r="CQ28" t="str">
        <f t="shared" si="34"/>
        <v>R144</v>
      </c>
      <c r="CR28" t="str">
        <f t="shared" si="35"/>
        <v>R144</v>
      </c>
      <c r="CS28" t="s">
        <v>1015</v>
      </c>
      <c r="CT28" t="s">
        <v>1015</v>
      </c>
      <c r="CU28" t="s">
        <v>1015</v>
      </c>
      <c r="CV28" t="b">
        <f t="shared" si="50"/>
        <v>1</v>
      </c>
      <c r="DC28" t="str">
        <f t="shared" si="36"/>
        <v>G813</v>
      </c>
      <c r="DD28" t="b">
        <f t="shared" si="52"/>
        <v>0</v>
      </c>
      <c r="DE28" t="str">
        <f t="shared" si="53"/>
        <v>G813</v>
      </c>
      <c r="DF28" t="str">
        <f t="shared" si="37"/>
        <v>R144</v>
      </c>
      <c r="DG28" t="b">
        <f t="shared" si="54"/>
        <v>0</v>
      </c>
      <c r="DH28" t="str">
        <f t="shared" si="55"/>
        <v>R144</v>
      </c>
    </row>
    <row r="29" spans="2:112" ht="12" customHeight="1">
      <c r="B29" t="str">
        <f>TBIDry!H101</f>
        <v>G58</v>
      </c>
      <c r="C29" t="str">
        <f>TBIDry!I101</f>
        <v>R602</v>
      </c>
      <c r="D29" t="b">
        <f t="shared" si="1"/>
        <v>0</v>
      </c>
      <c r="E29" t="b">
        <f t="shared" si="2"/>
        <v>0</v>
      </c>
      <c r="G29" t="str">
        <f>TBIWet!H101</f>
        <v>G651</v>
      </c>
      <c r="H29" t="str">
        <f>TBIWet!I101</f>
        <v>R148</v>
      </c>
      <c r="I29" t="b">
        <f t="shared" si="3"/>
        <v>0</v>
      </c>
      <c r="J29" t="b">
        <f t="shared" si="38"/>
        <v>0</v>
      </c>
      <c r="L29" t="str">
        <f>'Both teabags AfterWet'!A27</f>
        <v>G351</v>
      </c>
      <c r="M29" t="str">
        <f>'Both teabags AfterWet'!A447</f>
        <v>R129</v>
      </c>
      <c r="N29" t="b">
        <f t="shared" si="4"/>
        <v>0</v>
      </c>
      <c r="O29" t="b">
        <f t="shared" si="56"/>
        <v>0</v>
      </c>
      <c r="Q29" s="388" t="b">
        <f t="shared" si="5"/>
        <v>0</v>
      </c>
      <c r="R29" s="388" t="b">
        <f t="shared" si="6"/>
        <v>0</v>
      </c>
      <c r="T29" t="str">
        <f>'Both teabags AfterDry'!A27</f>
        <v>G131</v>
      </c>
      <c r="U29" t="str">
        <f>'Both teabags AfterDry'!A362</f>
        <v>R198</v>
      </c>
      <c r="V29" t="b">
        <f t="shared" si="7"/>
        <v>0</v>
      </c>
      <c r="W29" t="b">
        <f t="shared" si="39"/>
        <v>0</v>
      </c>
      <c r="Y29" t="str">
        <f>'Green_rooibos initial weight'!A30</f>
        <v>G26</v>
      </c>
      <c r="Z29" t="str">
        <f>'Green_rooibos initial weight'!A934</f>
        <v>R26</v>
      </c>
      <c r="AA29" t="b">
        <f t="shared" si="8"/>
        <v>0</v>
      </c>
      <c r="AB29" t="b">
        <f t="shared" si="9"/>
        <v>0</v>
      </c>
      <c r="AE29" t="str">
        <f>'WetLitterbags placem_collection'!K28</f>
        <v>G651</v>
      </c>
      <c r="AF29" t="str">
        <f>'WetLitterbags placem_collection'!M28</f>
        <v>R148</v>
      </c>
      <c r="AG29" t="b">
        <f t="shared" si="10"/>
        <v>0</v>
      </c>
      <c r="AH29" t="b">
        <f t="shared" si="11"/>
        <v>0</v>
      </c>
      <c r="AJ29" t="b">
        <f t="shared" si="12"/>
        <v>0</v>
      </c>
      <c r="AK29" t="b">
        <f t="shared" si="13"/>
        <v>0</v>
      </c>
      <c r="AM29" t="str">
        <f>IF(ISBLANK('Dry_Litterbag Placem_Collection'!J28),"","G"&amp;""&amp;'Dry_Litterbag Placem_Collection'!J28)</f>
        <v>G58</v>
      </c>
      <c r="AN29" t="str">
        <f>IF(ISBLANK('Dry_Litterbag Placem_Collection'!K28),"","R"&amp;""&amp;'Dry_Litterbag Placem_Collection'!K28)</f>
        <v>R602</v>
      </c>
      <c r="AO29" t="b">
        <f t="shared" si="58"/>
        <v>0</v>
      </c>
      <c r="AP29" t="b">
        <f t="shared" si="15"/>
        <v>0</v>
      </c>
      <c r="AS29" t="str">
        <f>'Ashed teabags dry'!A27</f>
        <v>G131</v>
      </c>
      <c r="AT29" t="str">
        <f>'Ashed teabags dry'!A362</f>
        <v>R198</v>
      </c>
      <c r="AU29" t="b">
        <f t="shared" si="16"/>
        <v>0</v>
      </c>
      <c r="AV29" t="b">
        <f t="shared" si="40"/>
        <v>0</v>
      </c>
      <c r="AX29" s="388" t="b">
        <f t="shared" si="17"/>
        <v>0</v>
      </c>
      <c r="AY29" s="388" t="b">
        <f t="shared" si="18"/>
        <v>0</v>
      </c>
      <c r="BA29" t="str">
        <f>'Ashed teabags wet'!A27</f>
        <v>G351</v>
      </c>
      <c r="BB29" t="str">
        <f>'Ashed teabags wet'!A447</f>
        <v>R129</v>
      </c>
      <c r="BC29" t="b">
        <f t="shared" si="19"/>
        <v>0</v>
      </c>
      <c r="BD29" t="b">
        <f t="shared" si="0"/>
        <v>0</v>
      </c>
      <c r="BF29" t="str">
        <f t="shared" si="20"/>
        <v>G130</v>
      </c>
      <c r="BG29" t="str">
        <f t="shared" si="21"/>
        <v>G130</v>
      </c>
      <c r="BH29" t="str">
        <f t="shared" si="22"/>
        <v>G322</v>
      </c>
      <c r="BI29" t="str">
        <f t="shared" si="41"/>
        <v>G322</v>
      </c>
      <c r="BJ29" t="s">
        <v>1920</v>
      </c>
      <c r="BK29" t="s">
        <v>1920</v>
      </c>
      <c r="BL29" t="s">
        <v>1920</v>
      </c>
      <c r="BM29" t="b">
        <f t="shared" si="42"/>
        <v>1</v>
      </c>
      <c r="BN29" t="str">
        <f t="shared" si="23"/>
        <v>R197</v>
      </c>
      <c r="BO29" t="str">
        <f t="shared" si="24"/>
        <v>R197</v>
      </c>
      <c r="BP29" t="str">
        <f t="shared" si="25"/>
        <v>R43</v>
      </c>
      <c r="BQ29" t="str">
        <f t="shared" si="26"/>
        <v>R43</v>
      </c>
      <c r="BR29" t="s">
        <v>944</v>
      </c>
      <c r="BS29" t="s">
        <v>944</v>
      </c>
      <c r="BT29" t="s">
        <v>944</v>
      </c>
      <c r="BU29" t="b">
        <f t="shared" si="43"/>
        <v>1</v>
      </c>
      <c r="BV29" s="180" t="s">
        <v>1921</v>
      </c>
      <c r="BW29" s="180" t="s">
        <v>330</v>
      </c>
      <c r="BZ29" t="str">
        <f t="shared" si="27"/>
        <v>G322</v>
      </c>
      <c r="CA29" t="b">
        <f t="shared" si="28"/>
        <v>0</v>
      </c>
      <c r="CB29" t="str">
        <f t="shared" si="44"/>
        <v>G322</v>
      </c>
      <c r="CC29" t="str">
        <f t="shared" si="29"/>
        <v>R43</v>
      </c>
      <c r="CD29" t="b">
        <f t="shared" si="45"/>
        <v>0</v>
      </c>
      <c r="CE29" t="str">
        <f t="shared" si="46"/>
        <v>R43</v>
      </c>
      <c r="CG29" t="str">
        <f t="shared" si="30"/>
        <v>G346</v>
      </c>
      <c r="CH29" t="str">
        <f t="shared" si="47"/>
        <v>G346</v>
      </c>
      <c r="CI29" t="str">
        <f t="shared" si="31"/>
        <v>G406</v>
      </c>
      <c r="CJ29" t="str">
        <f t="shared" si="32"/>
        <v>G406</v>
      </c>
      <c r="CK29" t="s">
        <v>1704</v>
      </c>
      <c r="CL29" t="s">
        <v>1704</v>
      </c>
      <c r="CM29" t="s">
        <v>1704</v>
      </c>
      <c r="CN29" t="b">
        <f t="shared" si="48"/>
        <v>1</v>
      </c>
      <c r="CO29" t="str">
        <f t="shared" si="33"/>
        <v>R128</v>
      </c>
      <c r="CP29" t="str">
        <f t="shared" si="49"/>
        <v>R128</v>
      </c>
      <c r="CQ29" t="str">
        <f t="shared" si="34"/>
        <v>R279</v>
      </c>
      <c r="CR29" t="str">
        <f t="shared" si="35"/>
        <v>R279</v>
      </c>
      <c r="CS29" t="s">
        <v>1013</v>
      </c>
      <c r="CT29" t="s">
        <v>1013</v>
      </c>
      <c r="CU29" t="s">
        <v>1013</v>
      </c>
      <c r="CV29" t="b">
        <f t="shared" si="50"/>
        <v>1</v>
      </c>
      <c r="DC29" t="str">
        <f t="shared" si="36"/>
        <v>G406</v>
      </c>
      <c r="DD29" t="b">
        <f t="shared" si="52"/>
        <v>0</v>
      </c>
      <c r="DE29" t="str">
        <f t="shared" si="53"/>
        <v>G406</v>
      </c>
      <c r="DF29" t="str">
        <f t="shared" si="37"/>
        <v>R279</v>
      </c>
      <c r="DG29" t="b">
        <f t="shared" si="54"/>
        <v>0</v>
      </c>
      <c r="DH29" t="str">
        <f t="shared" si="55"/>
        <v>R279</v>
      </c>
    </row>
    <row r="30" spans="2:112" ht="12" customHeight="1">
      <c r="B30" t="str">
        <f>TBIDry!H102</f>
        <v>G340</v>
      </c>
      <c r="C30" t="str">
        <f>TBIDry!I102</f>
        <v>R666</v>
      </c>
      <c r="D30" t="b">
        <f t="shared" si="1"/>
        <v>0</v>
      </c>
      <c r="E30" t="b">
        <f t="shared" si="2"/>
        <v>0</v>
      </c>
      <c r="G30" t="str">
        <f>TBIWet!H102</f>
        <v>G583</v>
      </c>
      <c r="H30" t="str">
        <f>TBIWet!I102</f>
        <v>R112</v>
      </c>
      <c r="I30" t="b">
        <f t="shared" si="3"/>
        <v>0</v>
      </c>
      <c r="J30" t="b">
        <f t="shared" si="38"/>
        <v>0</v>
      </c>
      <c r="L30" t="str">
        <f>'Both teabags AfterWet'!A28</f>
        <v>G352</v>
      </c>
      <c r="M30" t="str">
        <f>'Both teabags AfterWet'!A448</f>
        <v>R130</v>
      </c>
      <c r="N30" t="b">
        <f t="shared" si="4"/>
        <v>0</v>
      </c>
      <c r="O30" t="b">
        <f t="shared" si="56"/>
        <v>0</v>
      </c>
      <c r="Q30" s="388" t="b">
        <f t="shared" si="5"/>
        <v>0</v>
      </c>
      <c r="R30" s="388" t="b">
        <f t="shared" si="6"/>
        <v>0</v>
      </c>
      <c r="T30" t="str">
        <f>'Both teabags AfterDry'!A28</f>
        <v>G134</v>
      </c>
      <c r="U30" t="str">
        <f>'Both teabags AfterDry'!A363</f>
        <v>R201</v>
      </c>
      <c r="V30" t="b">
        <f t="shared" si="7"/>
        <v>0</v>
      </c>
      <c r="W30" t="b">
        <f t="shared" si="39"/>
        <v>0</v>
      </c>
      <c r="Y30" t="str">
        <f>'Green_rooibos initial weight'!A31</f>
        <v>G27</v>
      </c>
      <c r="Z30" t="str">
        <f>'Green_rooibos initial weight'!A935</f>
        <v>R27</v>
      </c>
      <c r="AA30" t="b">
        <f t="shared" si="8"/>
        <v>0</v>
      </c>
      <c r="AB30" t="b">
        <f t="shared" si="9"/>
        <v>0</v>
      </c>
      <c r="AE30" t="str">
        <f>'WetLitterbags placem_collection'!K29</f>
        <v>G583</v>
      </c>
      <c r="AF30" t="str">
        <f>'WetLitterbags placem_collection'!M29</f>
        <v>R112</v>
      </c>
      <c r="AG30" t="b">
        <f t="shared" si="10"/>
        <v>0</v>
      </c>
      <c r="AH30" t="b">
        <f t="shared" si="11"/>
        <v>0</v>
      </c>
      <c r="AJ30" t="b">
        <f t="shared" si="12"/>
        <v>0</v>
      </c>
      <c r="AK30" t="b">
        <f t="shared" si="13"/>
        <v>0</v>
      </c>
      <c r="AM30" t="str">
        <f>IF(ISBLANK('Dry_Litterbag Placem_Collection'!J29),"","G"&amp;""&amp;'Dry_Litterbag Placem_Collection'!J29)</f>
        <v>G340</v>
      </c>
      <c r="AN30" t="str">
        <f>IF(ISBLANK('Dry_Litterbag Placem_Collection'!K29),"","R"&amp;""&amp;'Dry_Litterbag Placem_Collection'!K29)</f>
        <v>R666</v>
      </c>
      <c r="AO30" t="b">
        <f t="shared" si="58"/>
        <v>0</v>
      </c>
      <c r="AP30" t="b">
        <f t="shared" si="15"/>
        <v>0</v>
      </c>
      <c r="AS30" t="str">
        <f>'Ashed teabags dry'!A28</f>
        <v>G134</v>
      </c>
      <c r="AT30" t="str">
        <f>'Ashed teabags dry'!A363</f>
        <v>R201</v>
      </c>
      <c r="AU30" t="b">
        <f t="shared" si="16"/>
        <v>0</v>
      </c>
      <c r="AV30" t="b">
        <f t="shared" si="40"/>
        <v>0</v>
      </c>
      <c r="AX30" s="388" t="b">
        <f t="shared" si="17"/>
        <v>0</v>
      </c>
      <c r="AY30" s="388" t="b">
        <f t="shared" si="18"/>
        <v>0</v>
      </c>
      <c r="BA30" t="str">
        <f>'Ashed teabags wet'!A28</f>
        <v>G352</v>
      </c>
      <c r="BB30" t="str">
        <f>'Ashed teabags wet'!A448</f>
        <v>R130</v>
      </c>
      <c r="BC30" t="b">
        <f t="shared" si="19"/>
        <v>0</v>
      </c>
      <c r="BD30" t="b">
        <f t="shared" si="0"/>
        <v>0</v>
      </c>
      <c r="BF30" t="str">
        <f t="shared" si="20"/>
        <v>G131</v>
      </c>
      <c r="BG30" t="str">
        <f t="shared" si="21"/>
        <v>G131</v>
      </c>
      <c r="BH30" t="str">
        <f t="shared" si="22"/>
        <v>G58</v>
      </c>
      <c r="BI30" t="str">
        <f t="shared" si="41"/>
        <v>G58</v>
      </c>
      <c r="BJ30" t="s">
        <v>1919</v>
      </c>
      <c r="BK30" t="s">
        <v>1919</v>
      </c>
      <c r="BL30" t="s">
        <v>1919</v>
      </c>
      <c r="BM30" t="b">
        <f t="shared" si="42"/>
        <v>1</v>
      </c>
      <c r="BN30" t="str">
        <f t="shared" si="23"/>
        <v>R198</v>
      </c>
      <c r="BO30" t="str">
        <f t="shared" si="24"/>
        <v>R198</v>
      </c>
      <c r="BP30" t="str">
        <f t="shared" si="25"/>
        <v>R602</v>
      </c>
      <c r="BQ30" t="str">
        <f t="shared" si="26"/>
        <v>R602</v>
      </c>
      <c r="BR30" t="s">
        <v>943</v>
      </c>
      <c r="BS30" t="s">
        <v>943</v>
      </c>
      <c r="BT30" t="s">
        <v>943</v>
      </c>
      <c r="BU30" t="b">
        <f t="shared" si="43"/>
        <v>1</v>
      </c>
      <c r="BV30" s="180" t="s">
        <v>1886</v>
      </c>
      <c r="BW30" s="180" t="s">
        <v>855</v>
      </c>
      <c r="BZ30" t="str">
        <f t="shared" si="27"/>
        <v>G58</v>
      </c>
      <c r="CA30" t="b">
        <f t="shared" si="28"/>
        <v>0</v>
      </c>
      <c r="CB30" t="str">
        <f t="shared" si="44"/>
        <v>G58</v>
      </c>
      <c r="CC30" t="str">
        <f t="shared" si="29"/>
        <v>R602</v>
      </c>
      <c r="CD30" t="b">
        <f t="shared" si="45"/>
        <v>0</v>
      </c>
      <c r="CE30" t="str">
        <f t="shared" si="46"/>
        <v>R602</v>
      </c>
      <c r="CG30" t="str">
        <f t="shared" si="30"/>
        <v>G351</v>
      </c>
      <c r="CH30" t="str">
        <f t="shared" si="47"/>
        <v>G351</v>
      </c>
      <c r="CI30" t="str">
        <f t="shared" si="31"/>
        <v>G651</v>
      </c>
      <c r="CJ30" t="str">
        <f t="shared" si="32"/>
        <v>G651</v>
      </c>
      <c r="CK30" t="s">
        <v>1699</v>
      </c>
      <c r="CL30" t="s">
        <v>1699</v>
      </c>
      <c r="CM30" t="s">
        <v>1699</v>
      </c>
      <c r="CN30" t="b">
        <f t="shared" si="48"/>
        <v>1</v>
      </c>
      <c r="CO30" t="str">
        <f t="shared" si="33"/>
        <v>R129</v>
      </c>
      <c r="CP30" t="str">
        <f t="shared" si="49"/>
        <v>R129</v>
      </c>
      <c r="CQ30" t="str">
        <f t="shared" si="34"/>
        <v>R148</v>
      </c>
      <c r="CR30" t="str">
        <f t="shared" si="35"/>
        <v>R148</v>
      </c>
      <c r="CS30" t="s">
        <v>1012</v>
      </c>
      <c r="CT30" t="s">
        <v>1012</v>
      </c>
      <c r="CU30" t="s">
        <v>1012</v>
      </c>
      <c r="CV30" t="b">
        <f t="shared" si="50"/>
        <v>1</v>
      </c>
      <c r="DC30" t="str">
        <f t="shared" si="36"/>
        <v>G651</v>
      </c>
      <c r="DD30" t="b">
        <f t="shared" si="52"/>
        <v>0</v>
      </c>
      <c r="DE30" t="str">
        <f t="shared" si="53"/>
        <v>G651</v>
      </c>
      <c r="DF30" t="str">
        <f t="shared" si="37"/>
        <v>R148</v>
      </c>
      <c r="DG30" t="b">
        <f t="shared" si="54"/>
        <v>0</v>
      </c>
      <c r="DH30" t="str">
        <f t="shared" si="55"/>
        <v>R148</v>
      </c>
    </row>
    <row r="31" spans="2:112" ht="12" customHeight="1">
      <c r="B31" t="str">
        <f>TBIDry!H103</f>
        <v>G61</v>
      </c>
      <c r="C31" t="str">
        <f>TBIDry!I103</f>
        <v>R705</v>
      </c>
      <c r="D31" t="b">
        <f t="shared" si="1"/>
        <v>0</v>
      </c>
      <c r="E31" t="b">
        <f t="shared" si="2"/>
        <v>0</v>
      </c>
      <c r="G31" t="str">
        <f>TBIWet!H103</f>
        <v>G702</v>
      </c>
      <c r="H31" t="str">
        <f>TBIWet!I103</f>
        <v>R436</v>
      </c>
      <c r="I31" t="b">
        <f t="shared" si="3"/>
        <v>0</v>
      </c>
      <c r="J31" t="b">
        <f t="shared" si="38"/>
        <v>0</v>
      </c>
      <c r="L31" t="str">
        <f>'Both teabags AfterWet'!A29</f>
        <v>G355</v>
      </c>
      <c r="M31" t="str">
        <f>'Both teabags AfterWet'!A449</f>
        <v>R132</v>
      </c>
      <c r="N31" t="b">
        <f t="shared" si="4"/>
        <v>0</v>
      </c>
      <c r="O31" t="b">
        <f t="shared" si="56"/>
        <v>0</v>
      </c>
      <c r="Q31" s="388" t="b">
        <f t="shared" si="5"/>
        <v>0</v>
      </c>
      <c r="R31" s="388" t="b">
        <f t="shared" si="6"/>
        <v>0</v>
      </c>
      <c r="T31" t="str">
        <f>'Both teabags AfterDry'!A29</f>
        <v>G135</v>
      </c>
      <c r="U31" t="str">
        <f>'Both teabags AfterDry'!A364</f>
        <v>R203</v>
      </c>
      <c r="V31" t="b">
        <f t="shared" si="7"/>
        <v>0</v>
      </c>
      <c r="W31" t="b">
        <f t="shared" si="39"/>
        <v>0</v>
      </c>
      <c r="Y31" t="str">
        <f>'Green_rooibos initial weight'!A32</f>
        <v>G28</v>
      </c>
      <c r="Z31" t="str">
        <f>'Green_rooibos initial weight'!A936</f>
        <v>R28</v>
      </c>
      <c r="AA31" t="b">
        <f t="shared" si="8"/>
        <v>0</v>
      </c>
      <c r="AB31" t="b">
        <f t="shared" si="9"/>
        <v>0</v>
      </c>
      <c r="AE31" t="str">
        <f>'WetLitterbags placem_collection'!K30</f>
        <v>G702</v>
      </c>
      <c r="AF31" t="str">
        <f>'WetLitterbags placem_collection'!M30</f>
        <v>R436</v>
      </c>
      <c r="AG31" t="b">
        <f t="shared" si="10"/>
        <v>0</v>
      </c>
      <c r="AH31" t="b">
        <f t="shared" si="11"/>
        <v>0</v>
      </c>
      <c r="AJ31" t="b">
        <f t="shared" si="12"/>
        <v>0</v>
      </c>
      <c r="AK31" t="b">
        <f t="shared" si="13"/>
        <v>0</v>
      </c>
      <c r="AM31" t="str">
        <f>IF(ISBLANK('Dry_Litterbag Placem_Collection'!J30),"","G"&amp;""&amp;'Dry_Litterbag Placem_Collection'!J30)</f>
        <v>G61</v>
      </c>
      <c r="AN31" t="str">
        <f>IF(ISBLANK('Dry_Litterbag Placem_Collection'!K30),"","R"&amp;""&amp;'Dry_Litterbag Placem_Collection'!K30)</f>
        <v>R705</v>
      </c>
      <c r="AO31" t="b">
        <f t="shared" si="58"/>
        <v>0</v>
      </c>
      <c r="AP31" t="b">
        <f t="shared" si="15"/>
        <v>0</v>
      </c>
      <c r="AS31" t="str">
        <f>'Ashed teabags dry'!A29</f>
        <v>G135</v>
      </c>
      <c r="AT31" t="str">
        <f>'Ashed teabags dry'!A364</f>
        <v>R203</v>
      </c>
      <c r="AU31" t="b">
        <f t="shared" si="16"/>
        <v>0</v>
      </c>
      <c r="AV31" t="b">
        <f t="shared" si="40"/>
        <v>0</v>
      </c>
      <c r="AX31" s="388" t="b">
        <f t="shared" si="17"/>
        <v>0</v>
      </c>
      <c r="AY31" s="388" t="b">
        <f t="shared" si="18"/>
        <v>0</v>
      </c>
      <c r="BA31" t="str">
        <f>'Ashed teabags wet'!A29</f>
        <v>G355</v>
      </c>
      <c r="BB31" t="str">
        <f>'Ashed teabags wet'!A449</f>
        <v>R132</v>
      </c>
      <c r="BC31" t="b">
        <f t="shared" si="19"/>
        <v>0</v>
      </c>
      <c r="BD31" t="b">
        <f t="shared" si="0"/>
        <v>0</v>
      </c>
      <c r="BF31" t="str">
        <f t="shared" si="20"/>
        <v>G134</v>
      </c>
      <c r="BG31" t="str">
        <f t="shared" si="21"/>
        <v>G134</v>
      </c>
      <c r="BH31" t="str">
        <f t="shared" si="22"/>
        <v>G340</v>
      </c>
      <c r="BI31" t="str">
        <f t="shared" si="41"/>
        <v/>
      </c>
      <c r="BJ31" t="s">
        <v>1916</v>
      </c>
      <c r="BK31" t="s">
        <v>1916</v>
      </c>
      <c r="BL31" t="s">
        <v>1916</v>
      </c>
      <c r="BM31" t="b">
        <f t="shared" si="42"/>
        <v>1</v>
      </c>
      <c r="BN31" t="str">
        <f t="shared" si="23"/>
        <v>R201</v>
      </c>
      <c r="BO31" t="str">
        <f t="shared" si="24"/>
        <v>R201</v>
      </c>
      <c r="BP31" t="str">
        <f t="shared" si="25"/>
        <v>R666</v>
      </c>
      <c r="BQ31" t="str">
        <f t="shared" si="26"/>
        <v/>
      </c>
      <c r="BR31" t="s">
        <v>940</v>
      </c>
      <c r="BS31" t="s">
        <v>940</v>
      </c>
      <c r="BT31" t="s">
        <v>940</v>
      </c>
      <c r="BU31" t="b">
        <f t="shared" si="43"/>
        <v>1</v>
      </c>
      <c r="BV31" s="180" t="s">
        <v>1388</v>
      </c>
      <c r="BW31" s="180" t="s">
        <v>452</v>
      </c>
      <c r="BZ31" t="str">
        <f t="shared" si="27"/>
        <v>G340</v>
      </c>
      <c r="CA31" t="b">
        <f t="shared" si="28"/>
        <v>1</v>
      </c>
      <c r="CB31" t="str">
        <f t="shared" si="44"/>
        <v/>
      </c>
      <c r="CC31" t="str">
        <f t="shared" si="29"/>
        <v>R666</v>
      </c>
      <c r="CD31" t="b">
        <f t="shared" si="45"/>
        <v>1</v>
      </c>
      <c r="CE31" t="str">
        <f t="shared" si="46"/>
        <v/>
      </c>
      <c r="CG31" t="str">
        <f t="shared" si="30"/>
        <v>G352</v>
      </c>
      <c r="CH31" t="str">
        <f t="shared" si="47"/>
        <v>G352</v>
      </c>
      <c r="CI31" t="str">
        <f t="shared" si="31"/>
        <v>G583</v>
      </c>
      <c r="CJ31" t="str">
        <f t="shared" si="32"/>
        <v>G583</v>
      </c>
      <c r="CK31" t="s">
        <v>1698</v>
      </c>
      <c r="CL31" t="s">
        <v>1698</v>
      </c>
      <c r="CM31" t="s">
        <v>1698</v>
      </c>
      <c r="CN31" t="b">
        <f t="shared" si="48"/>
        <v>1</v>
      </c>
      <c r="CO31" t="str">
        <f t="shared" si="33"/>
        <v>R130</v>
      </c>
      <c r="CP31" t="str">
        <f t="shared" si="49"/>
        <v>R130</v>
      </c>
      <c r="CQ31" t="str">
        <f t="shared" si="34"/>
        <v>R112</v>
      </c>
      <c r="CR31" t="str">
        <f t="shared" si="35"/>
        <v>R112</v>
      </c>
      <c r="CS31" t="s">
        <v>1011</v>
      </c>
      <c r="CT31" t="s">
        <v>1011</v>
      </c>
      <c r="CU31" t="s">
        <v>1011</v>
      </c>
      <c r="CV31" t="b">
        <f t="shared" si="50"/>
        <v>1</v>
      </c>
      <c r="DC31" t="str">
        <f t="shared" si="36"/>
        <v>G583</v>
      </c>
      <c r="DD31" t="b">
        <f t="shared" si="52"/>
        <v>0</v>
      </c>
      <c r="DE31" t="str">
        <f t="shared" si="53"/>
        <v>G583</v>
      </c>
      <c r="DF31" t="str">
        <f t="shared" si="37"/>
        <v>R112</v>
      </c>
      <c r="DG31" t="b">
        <f t="shared" si="54"/>
        <v>0</v>
      </c>
      <c r="DH31" t="str">
        <f t="shared" si="55"/>
        <v>R112</v>
      </c>
    </row>
    <row r="32" spans="2:112" ht="12" customHeight="1">
      <c r="B32" t="str">
        <f>TBIDry!H104</f>
        <v>G319</v>
      </c>
      <c r="C32" t="str">
        <f>TBIDry!I104</f>
        <v>R305</v>
      </c>
      <c r="D32" t="b">
        <f t="shared" si="1"/>
        <v>0</v>
      </c>
      <c r="E32" t="b">
        <f t="shared" si="2"/>
        <v>0</v>
      </c>
      <c r="G32" t="str">
        <f>TBIWet!H104</f>
        <v>G838</v>
      </c>
      <c r="H32" t="str">
        <f>TBIWet!I104</f>
        <v>R386</v>
      </c>
      <c r="I32" t="b">
        <f t="shared" si="3"/>
        <v>0</v>
      </c>
      <c r="J32" t="b">
        <f t="shared" si="38"/>
        <v>0</v>
      </c>
      <c r="L32" t="str">
        <f>'Both teabags AfterWet'!A30</f>
        <v>G358</v>
      </c>
      <c r="M32" t="str">
        <f>'Both teabags AfterWet'!A450</f>
        <v>R133</v>
      </c>
      <c r="N32" t="b">
        <f t="shared" si="4"/>
        <v>0</v>
      </c>
      <c r="O32" t="b">
        <f t="shared" si="56"/>
        <v>0</v>
      </c>
      <c r="Q32" s="388" t="b">
        <f t="shared" si="5"/>
        <v>0</v>
      </c>
      <c r="R32" s="388" t="b">
        <f t="shared" si="6"/>
        <v>0</v>
      </c>
      <c r="T32" t="str">
        <f>'Both teabags AfterDry'!A30</f>
        <v>G136</v>
      </c>
      <c r="U32" t="str">
        <f>'Both teabags AfterDry'!A365</f>
        <v>R204</v>
      </c>
      <c r="V32" t="b">
        <f t="shared" si="7"/>
        <v>0</v>
      </c>
      <c r="W32" t="b">
        <f t="shared" si="39"/>
        <v>0</v>
      </c>
      <c r="Y32" t="str">
        <f>'Green_rooibos initial weight'!A33</f>
        <v>G29</v>
      </c>
      <c r="Z32" t="str">
        <f>'Green_rooibos initial weight'!A937</f>
        <v>R29</v>
      </c>
      <c r="AA32" t="b">
        <f t="shared" si="8"/>
        <v>0</v>
      </c>
      <c r="AB32" t="b">
        <f t="shared" si="9"/>
        <v>0</v>
      </c>
      <c r="AE32" t="str">
        <f>'WetLitterbags placem_collection'!K31</f>
        <v>G838</v>
      </c>
      <c r="AF32" t="str">
        <f>'WetLitterbags placem_collection'!M31</f>
        <v>R386</v>
      </c>
      <c r="AG32" t="b">
        <f t="shared" si="10"/>
        <v>0</v>
      </c>
      <c r="AH32" t="b">
        <f t="shared" si="11"/>
        <v>0</v>
      </c>
      <c r="AJ32" t="b">
        <f t="shared" si="12"/>
        <v>0</v>
      </c>
      <c r="AK32" t="b">
        <f t="shared" si="13"/>
        <v>0</v>
      </c>
      <c r="AM32" t="str">
        <f>IF(ISBLANK('Dry_Litterbag Placem_Collection'!J31),"","G"&amp;""&amp;'Dry_Litterbag Placem_Collection'!J31)</f>
        <v>G319</v>
      </c>
      <c r="AN32" t="str">
        <f>IF(ISBLANK('Dry_Litterbag Placem_Collection'!K31),"","R"&amp;""&amp;'Dry_Litterbag Placem_Collection'!K31)</f>
        <v>R305</v>
      </c>
      <c r="AO32" t="b">
        <f t="shared" si="58"/>
        <v>0</v>
      </c>
      <c r="AP32" t="b">
        <f t="shared" si="15"/>
        <v>0</v>
      </c>
      <c r="AS32" t="str">
        <f>'Ashed teabags dry'!A30</f>
        <v>G136</v>
      </c>
      <c r="AT32" t="str">
        <f>'Ashed teabags dry'!A365</f>
        <v>R204</v>
      </c>
      <c r="AU32" t="b">
        <f t="shared" si="16"/>
        <v>0</v>
      </c>
      <c r="AV32" t="b">
        <f t="shared" si="40"/>
        <v>0</v>
      </c>
      <c r="AX32" s="388" t="b">
        <f t="shared" si="17"/>
        <v>0</v>
      </c>
      <c r="AY32" s="388" t="b">
        <f t="shared" si="18"/>
        <v>0</v>
      </c>
      <c r="BA32" t="str">
        <f>'Ashed teabags wet'!A30</f>
        <v>G358</v>
      </c>
      <c r="BB32" t="str">
        <f>'Ashed teabags wet'!A450</f>
        <v>R133</v>
      </c>
      <c r="BC32" t="b">
        <f t="shared" si="19"/>
        <v>0</v>
      </c>
      <c r="BD32" t="b">
        <f t="shared" si="0"/>
        <v>0</v>
      </c>
      <c r="BF32" t="str">
        <f t="shared" si="20"/>
        <v>G135</v>
      </c>
      <c r="BG32" t="str">
        <f t="shared" si="21"/>
        <v>G135</v>
      </c>
      <c r="BH32" t="str">
        <f t="shared" si="22"/>
        <v>G61</v>
      </c>
      <c r="BI32" t="str">
        <f t="shared" si="41"/>
        <v>G61</v>
      </c>
      <c r="BJ32" t="s">
        <v>1915</v>
      </c>
      <c r="BK32" t="s">
        <v>1915</v>
      </c>
      <c r="BL32" t="s">
        <v>1915</v>
      </c>
      <c r="BM32" t="b">
        <f t="shared" si="42"/>
        <v>1</v>
      </c>
      <c r="BN32" t="str">
        <f t="shared" si="23"/>
        <v>R203</v>
      </c>
      <c r="BO32" t="str">
        <f t="shared" si="24"/>
        <v>R203</v>
      </c>
      <c r="BP32" t="str">
        <f t="shared" si="25"/>
        <v>R705</v>
      </c>
      <c r="BQ32" t="str">
        <f t="shared" si="26"/>
        <v>R705</v>
      </c>
      <c r="BR32" t="s">
        <v>938</v>
      </c>
      <c r="BS32" t="s">
        <v>938</v>
      </c>
      <c r="BT32" t="s">
        <v>938</v>
      </c>
      <c r="BU32" t="b">
        <f t="shared" si="43"/>
        <v>1</v>
      </c>
      <c r="BV32" s="180" t="s">
        <v>1672</v>
      </c>
      <c r="BW32" s="180" t="s">
        <v>942</v>
      </c>
      <c r="BZ32" t="str">
        <f t="shared" si="27"/>
        <v>G61</v>
      </c>
      <c r="CA32" t="b">
        <f t="shared" si="28"/>
        <v>0</v>
      </c>
      <c r="CB32" t="str">
        <f t="shared" si="44"/>
        <v>G61</v>
      </c>
      <c r="CC32" t="str">
        <f t="shared" si="29"/>
        <v>R705</v>
      </c>
      <c r="CD32" t="b">
        <f t="shared" si="45"/>
        <v>0</v>
      </c>
      <c r="CE32" t="str">
        <f t="shared" si="46"/>
        <v>R705</v>
      </c>
      <c r="CG32" t="str">
        <f t="shared" si="30"/>
        <v>G355</v>
      </c>
      <c r="CH32" t="str">
        <f t="shared" si="47"/>
        <v>G355</v>
      </c>
      <c r="CI32" t="str">
        <f t="shared" si="31"/>
        <v>G702</v>
      </c>
      <c r="CJ32" t="str">
        <f t="shared" si="32"/>
        <v>G702</v>
      </c>
      <c r="CK32" t="s">
        <v>1695</v>
      </c>
      <c r="CL32" t="s">
        <v>1695</v>
      </c>
      <c r="CM32" t="s">
        <v>1695</v>
      </c>
      <c r="CN32" t="b">
        <f t="shared" si="48"/>
        <v>1</v>
      </c>
      <c r="CO32" t="str">
        <f t="shared" si="33"/>
        <v>R132</v>
      </c>
      <c r="CP32" t="str">
        <f t="shared" si="49"/>
        <v>R132</v>
      </c>
      <c r="CQ32" t="str">
        <f t="shared" si="34"/>
        <v>R436</v>
      </c>
      <c r="CR32" t="str">
        <f t="shared" si="35"/>
        <v>R436</v>
      </c>
      <c r="CS32" t="s">
        <v>1009</v>
      </c>
      <c r="CT32" t="s">
        <v>1009</v>
      </c>
      <c r="CU32" t="s">
        <v>1009</v>
      </c>
      <c r="CV32" t="b">
        <f t="shared" si="50"/>
        <v>1</v>
      </c>
      <c r="DC32" t="str">
        <f t="shared" si="36"/>
        <v>G702</v>
      </c>
      <c r="DD32" t="b">
        <f t="shared" si="52"/>
        <v>0</v>
      </c>
      <c r="DE32" t="str">
        <f t="shared" si="53"/>
        <v>G702</v>
      </c>
      <c r="DF32" t="str">
        <f t="shared" si="37"/>
        <v>R436</v>
      </c>
      <c r="DG32" t="b">
        <f t="shared" si="54"/>
        <v>0</v>
      </c>
      <c r="DH32" t="str">
        <f t="shared" si="55"/>
        <v>R436</v>
      </c>
    </row>
    <row r="33" spans="2:112" ht="12" customHeight="1">
      <c r="B33" t="str">
        <f>TBIDry!H105</f>
        <v>G273</v>
      </c>
      <c r="C33" t="str">
        <f>TBIDry!I105</f>
        <v>R667</v>
      </c>
      <c r="D33" t="b">
        <f t="shared" si="1"/>
        <v>0</v>
      </c>
      <c r="E33" t="b">
        <f t="shared" si="2"/>
        <v>0</v>
      </c>
      <c r="G33" t="str">
        <f>TBIWet!H105</f>
        <v>G518</v>
      </c>
      <c r="H33" t="str">
        <f>TBIWet!I105</f>
        <v>R507</v>
      </c>
      <c r="I33" t="b">
        <f t="shared" si="3"/>
        <v>0</v>
      </c>
      <c r="J33" t="b">
        <f t="shared" si="38"/>
        <v>0</v>
      </c>
      <c r="L33" t="str">
        <f>'Both teabags AfterWet'!A31</f>
        <v>G359</v>
      </c>
      <c r="M33" t="str">
        <f>'Both teabags AfterWet'!A451</f>
        <v>R134</v>
      </c>
      <c r="N33" t="b">
        <f t="shared" si="4"/>
        <v>0</v>
      </c>
      <c r="O33" t="b">
        <f t="shared" si="56"/>
        <v>0</v>
      </c>
      <c r="Q33" s="388" t="b">
        <f t="shared" si="5"/>
        <v>0</v>
      </c>
      <c r="R33" s="388" t="b">
        <f t="shared" si="6"/>
        <v>0</v>
      </c>
      <c r="T33" t="str">
        <f>'Both teabags AfterDry'!A31</f>
        <v>G138</v>
      </c>
      <c r="U33" t="str">
        <f>'Both teabags AfterDry'!A366</f>
        <v>R205</v>
      </c>
      <c r="V33" t="b">
        <f t="shared" si="7"/>
        <v>0</v>
      </c>
      <c r="W33" t="b">
        <f t="shared" si="39"/>
        <v>0</v>
      </c>
      <c r="Y33" t="str">
        <f>'Green_rooibos initial weight'!A34</f>
        <v>G30</v>
      </c>
      <c r="Z33" t="str">
        <f>'Green_rooibos initial weight'!A938</f>
        <v>R30</v>
      </c>
      <c r="AA33" t="b">
        <f t="shared" si="8"/>
        <v>0</v>
      </c>
      <c r="AB33" t="b">
        <f t="shared" si="9"/>
        <v>0</v>
      </c>
      <c r="AE33" t="str">
        <f>'WetLitterbags placem_collection'!K32</f>
        <v>G518</v>
      </c>
      <c r="AF33" t="str">
        <f>'WetLitterbags placem_collection'!M32</f>
        <v>R507</v>
      </c>
      <c r="AG33" t="b">
        <f t="shared" si="10"/>
        <v>0</v>
      </c>
      <c r="AH33" t="b">
        <f t="shared" si="11"/>
        <v>0</v>
      </c>
      <c r="AJ33" t="b">
        <f t="shared" si="12"/>
        <v>0</v>
      </c>
      <c r="AK33" t="b">
        <f t="shared" si="13"/>
        <v>0</v>
      </c>
      <c r="AM33" t="str">
        <f>IF(ISBLANK('Dry_Litterbag Placem_Collection'!J32),"","G"&amp;""&amp;'Dry_Litterbag Placem_Collection'!J32)</f>
        <v>G273</v>
      </c>
      <c r="AN33" t="str">
        <f>IF(ISBLANK('Dry_Litterbag Placem_Collection'!K32),"","R"&amp;""&amp;'Dry_Litterbag Placem_Collection'!K32)</f>
        <v>R667</v>
      </c>
      <c r="AO33" t="b">
        <f t="shared" si="58"/>
        <v>0</v>
      </c>
      <c r="AP33" t="b">
        <f t="shared" si="15"/>
        <v>0</v>
      </c>
      <c r="AS33" t="str">
        <f>'Ashed teabags dry'!A31</f>
        <v>G138</v>
      </c>
      <c r="AT33" t="str">
        <f>'Ashed teabags dry'!A366</f>
        <v>R205</v>
      </c>
      <c r="AU33" t="b">
        <f t="shared" si="16"/>
        <v>0</v>
      </c>
      <c r="AV33" t="b">
        <f t="shared" si="40"/>
        <v>0</v>
      </c>
      <c r="AX33" s="388" t="b">
        <f t="shared" si="17"/>
        <v>0</v>
      </c>
      <c r="AY33" s="388" t="b">
        <f t="shared" si="18"/>
        <v>0</v>
      </c>
      <c r="BA33" t="str">
        <f>'Ashed teabags wet'!A31</f>
        <v>G359</v>
      </c>
      <c r="BB33" t="str">
        <f>'Ashed teabags wet'!A451</f>
        <v>R134</v>
      </c>
      <c r="BC33" t="b">
        <f t="shared" si="19"/>
        <v>0</v>
      </c>
      <c r="BD33" t="b">
        <f t="shared" si="0"/>
        <v>0</v>
      </c>
      <c r="BF33" t="str">
        <f t="shared" si="20"/>
        <v>G136</v>
      </c>
      <c r="BG33" t="str">
        <f t="shared" si="21"/>
        <v>G136</v>
      </c>
      <c r="BH33" t="str">
        <f t="shared" si="22"/>
        <v>G319</v>
      </c>
      <c r="BI33" t="str">
        <f t="shared" si="41"/>
        <v>G319</v>
      </c>
      <c r="BJ33" t="s">
        <v>1914</v>
      </c>
      <c r="BK33" t="s">
        <v>1914</v>
      </c>
      <c r="BL33" t="s">
        <v>1914</v>
      </c>
      <c r="BM33" t="b">
        <f t="shared" si="42"/>
        <v>1</v>
      </c>
      <c r="BN33" t="str">
        <f t="shared" si="23"/>
        <v>R204</v>
      </c>
      <c r="BO33" t="str">
        <f t="shared" si="24"/>
        <v>R204</v>
      </c>
      <c r="BP33" t="str">
        <f t="shared" si="25"/>
        <v>R305</v>
      </c>
      <c r="BQ33" t="str">
        <f t="shared" si="26"/>
        <v>R305</v>
      </c>
      <c r="BR33" t="s">
        <v>937</v>
      </c>
      <c r="BS33" t="s">
        <v>937</v>
      </c>
      <c r="BT33" t="s">
        <v>937</v>
      </c>
      <c r="BU33" t="b">
        <f t="shared" si="43"/>
        <v>1</v>
      </c>
      <c r="BV33" s="180" t="s">
        <v>1563</v>
      </c>
      <c r="BW33" s="180" t="s">
        <v>817</v>
      </c>
      <c r="BZ33" t="str">
        <f t="shared" si="27"/>
        <v>G319</v>
      </c>
      <c r="CA33" t="b">
        <f t="shared" si="28"/>
        <v>0</v>
      </c>
      <c r="CB33" t="str">
        <f t="shared" si="44"/>
        <v>G319</v>
      </c>
      <c r="CC33" t="str">
        <f t="shared" si="29"/>
        <v>R305</v>
      </c>
      <c r="CD33" t="b">
        <f t="shared" si="45"/>
        <v>0</v>
      </c>
      <c r="CE33" t="str">
        <f t="shared" si="46"/>
        <v>R305</v>
      </c>
      <c r="CG33" t="str">
        <f t="shared" si="30"/>
        <v>G358</v>
      </c>
      <c r="CH33" t="str">
        <f t="shared" si="47"/>
        <v>G358</v>
      </c>
      <c r="CI33" t="str">
        <f t="shared" si="31"/>
        <v>G838</v>
      </c>
      <c r="CJ33" t="str">
        <f t="shared" si="32"/>
        <v>G838</v>
      </c>
      <c r="CK33" t="s">
        <v>1692</v>
      </c>
      <c r="CL33" t="s">
        <v>1692</v>
      </c>
      <c r="CM33" t="s">
        <v>1692</v>
      </c>
      <c r="CN33" t="b">
        <f t="shared" si="48"/>
        <v>1</v>
      </c>
      <c r="CO33" t="str">
        <f t="shared" si="33"/>
        <v>R133</v>
      </c>
      <c r="CP33" t="str">
        <f t="shared" si="49"/>
        <v>R133</v>
      </c>
      <c r="CQ33" t="str">
        <f t="shared" si="34"/>
        <v>R386</v>
      </c>
      <c r="CR33" t="str">
        <f t="shared" si="35"/>
        <v>R386</v>
      </c>
      <c r="CS33" t="s">
        <v>1008</v>
      </c>
      <c r="CT33" t="s">
        <v>1008</v>
      </c>
      <c r="CU33" t="s">
        <v>1008</v>
      </c>
      <c r="CV33" t="b">
        <f t="shared" si="50"/>
        <v>1</v>
      </c>
      <c r="DC33" t="str">
        <f t="shared" si="36"/>
        <v>G838</v>
      </c>
      <c r="DD33" t="b">
        <f t="shared" si="52"/>
        <v>0</v>
      </c>
      <c r="DE33" t="str">
        <f t="shared" si="53"/>
        <v>G838</v>
      </c>
      <c r="DF33" t="str">
        <f t="shared" si="37"/>
        <v>R386</v>
      </c>
      <c r="DG33" t="b">
        <f t="shared" si="54"/>
        <v>0</v>
      </c>
      <c r="DH33" t="str">
        <f t="shared" si="55"/>
        <v>R386</v>
      </c>
    </row>
    <row r="34" spans="2:112" ht="12" customHeight="1">
      <c r="B34" t="str">
        <f>TBIDry!H106</f>
        <v/>
      </c>
      <c r="C34" t="str">
        <f>TBIDry!I106</f>
        <v/>
      </c>
      <c r="D34" t="b">
        <f t="shared" si="1"/>
        <v>1</v>
      </c>
      <c r="E34" t="b">
        <f t="shared" si="2"/>
        <v>1</v>
      </c>
      <c r="G34" t="str">
        <f>TBIWet!H106</f>
        <v>G404</v>
      </c>
      <c r="H34" t="str">
        <f>TBIWet!I106</f>
        <v>R141</v>
      </c>
      <c r="I34" t="b">
        <f t="shared" si="3"/>
        <v>0</v>
      </c>
      <c r="J34" t="b">
        <f t="shared" si="38"/>
        <v>0</v>
      </c>
      <c r="L34" t="str">
        <f>'Both teabags AfterWet'!A32</f>
        <v>G360</v>
      </c>
      <c r="M34" t="str">
        <f>'Both teabags AfterWet'!A452</f>
        <v>R135</v>
      </c>
      <c r="N34" t="b">
        <f t="shared" si="4"/>
        <v>0</v>
      </c>
      <c r="O34" t="b">
        <f t="shared" si="56"/>
        <v>0</v>
      </c>
      <c r="Q34" s="388" t="b">
        <f t="shared" si="5"/>
        <v>0</v>
      </c>
      <c r="R34" s="388" t="b">
        <f t="shared" si="6"/>
        <v>0</v>
      </c>
      <c r="T34" t="str">
        <f>'Both teabags AfterDry'!A32</f>
        <v>G139</v>
      </c>
      <c r="U34" t="str">
        <f>'Both teabags AfterDry'!A367</f>
        <v>R206</v>
      </c>
      <c r="V34" t="b">
        <f t="shared" si="7"/>
        <v>0</v>
      </c>
      <c r="W34" t="b">
        <f t="shared" si="39"/>
        <v>0</v>
      </c>
      <c r="Y34" t="str">
        <f>'Green_rooibos initial weight'!A35</f>
        <v>G31</v>
      </c>
      <c r="Z34" t="str">
        <f>'Green_rooibos initial weight'!A939</f>
        <v>R31</v>
      </c>
      <c r="AA34" t="b">
        <f t="shared" si="8"/>
        <v>0</v>
      </c>
      <c r="AB34" t="b">
        <f t="shared" si="9"/>
        <v>0</v>
      </c>
      <c r="AE34" t="str">
        <f>'WetLitterbags placem_collection'!K33</f>
        <v>G404</v>
      </c>
      <c r="AF34" t="str">
        <f>'WetLitterbags placem_collection'!M33</f>
        <v>R141</v>
      </c>
      <c r="AG34" t="b">
        <f t="shared" si="10"/>
        <v>0</v>
      </c>
      <c r="AH34" t="b">
        <f t="shared" si="11"/>
        <v>0</v>
      </c>
      <c r="AJ34" t="b">
        <f t="shared" si="12"/>
        <v>0</v>
      </c>
      <c r="AK34" t="b">
        <f t="shared" si="13"/>
        <v>0</v>
      </c>
      <c r="AM34" t="str">
        <f>IF(ISBLANK('Dry_Litterbag Placem_Collection'!J33),"","G"&amp;""&amp;'Dry_Litterbag Placem_Collection'!J33)</f>
        <v/>
      </c>
      <c r="AN34" t="str">
        <f>IF(ISBLANK('Dry_Litterbag Placem_Collection'!K33),"","R"&amp;""&amp;'Dry_Litterbag Placem_Collection'!K33)</f>
        <v/>
      </c>
      <c r="AO34" t="b">
        <f t="shared" si="58"/>
        <v>1</v>
      </c>
      <c r="AP34" t="b">
        <f t="shared" si="15"/>
        <v>1</v>
      </c>
      <c r="AS34" t="str">
        <f>'Ashed teabags dry'!A32</f>
        <v>G139</v>
      </c>
      <c r="AT34" t="str">
        <f>'Ashed teabags dry'!A367</f>
        <v>R206</v>
      </c>
      <c r="AU34" t="b">
        <f t="shared" si="16"/>
        <v>0</v>
      </c>
      <c r="AV34" t="b">
        <f t="shared" si="40"/>
        <v>0</v>
      </c>
      <c r="AX34" s="388" t="b">
        <f t="shared" si="17"/>
        <v>0</v>
      </c>
      <c r="AY34" s="388" t="b">
        <f t="shared" si="18"/>
        <v>0</v>
      </c>
      <c r="BA34" t="str">
        <f>'Ashed teabags wet'!A32</f>
        <v>G360</v>
      </c>
      <c r="BB34" t="str">
        <f>'Ashed teabags wet'!A452</f>
        <v>R135</v>
      </c>
      <c r="BC34" t="b">
        <f t="shared" si="19"/>
        <v>0</v>
      </c>
      <c r="BD34" t="b">
        <f t="shared" si="0"/>
        <v>0</v>
      </c>
      <c r="BF34" t="str">
        <f t="shared" si="20"/>
        <v>G138</v>
      </c>
      <c r="BG34" t="str">
        <f t="shared" si="21"/>
        <v>G138</v>
      </c>
      <c r="BH34" t="str">
        <f t="shared" si="22"/>
        <v>G273</v>
      </c>
      <c r="BI34" t="str">
        <f t="shared" si="41"/>
        <v>G273</v>
      </c>
      <c r="BJ34" t="s">
        <v>1912</v>
      </c>
      <c r="BK34" t="s">
        <v>1912</v>
      </c>
      <c r="BL34" t="s">
        <v>1912</v>
      </c>
      <c r="BM34" t="b">
        <f t="shared" si="42"/>
        <v>1</v>
      </c>
      <c r="BN34" t="str">
        <f t="shared" si="23"/>
        <v>R205</v>
      </c>
      <c r="BO34" t="str">
        <f t="shared" si="24"/>
        <v>R205</v>
      </c>
      <c r="BP34" t="str">
        <f t="shared" si="25"/>
        <v>R667</v>
      </c>
      <c r="BQ34" t="str">
        <f t="shared" si="26"/>
        <v>R667</v>
      </c>
      <c r="BR34" t="s">
        <v>936</v>
      </c>
      <c r="BS34" t="s">
        <v>936</v>
      </c>
      <c r="BT34" t="s">
        <v>936</v>
      </c>
      <c r="BU34" t="b">
        <f t="shared" si="43"/>
        <v>1</v>
      </c>
      <c r="BV34" s="180" t="s">
        <v>1696</v>
      </c>
      <c r="BW34" s="180" t="s">
        <v>508</v>
      </c>
      <c r="BZ34" t="str">
        <f t="shared" si="27"/>
        <v>G273</v>
      </c>
      <c r="CA34" t="b">
        <f t="shared" si="28"/>
        <v>0</v>
      </c>
      <c r="CB34" t="str">
        <f t="shared" si="44"/>
        <v>G273</v>
      </c>
      <c r="CC34" t="str">
        <f t="shared" si="29"/>
        <v>R667</v>
      </c>
      <c r="CD34" t="b">
        <f t="shared" si="45"/>
        <v>0</v>
      </c>
      <c r="CE34" t="str">
        <f t="shared" si="46"/>
        <v>R667</v>
      </c>
      <c r="CG34" t="str">
        <f t="shared" si="30"/>
        <v>G359</v>
      </c>
      <c r="CH34" t="str">
        <f t="shared" si="47"/>
        <v>G359</v>
      </c>
      <c r="CI34" t="str">
        <f t="shared" si="31"/>
        <v>G518</v>
      </c>
      <c r="CJ34" t="str">
        <f t="shared" si="32"/>
        <v>G518</v>
      </c>
      <c r="CK34" t="s">
        <v>1691</v>
      </c>
      <c r="CL34" t="s">
        <v>1691</v>
      </c>
      <c r="CM34" t="s">
        <v>1691</v>
      </c>
      <c r="CN34" t="b">
        <f t="shared" si="48"/>
        <v>1</v>
      </c>
      <c r="CO34" t="str">
        <f t="shared" si="33"/>
        <v>R134</v>
      </c>
      <c r="CP34" t="str">
        <f t="shared" si="49"/>
        <v>R134</v>
      </c>
      <c r="CQ34" t="str">
        <f t="shared" si="34"/>
        <v>R507</v>
      </c>
      <c r="CR34" t="str">
        <f t="shared" si="35"/>
        <v>R507</v>
      </c>
      <c r="CS34" t="s">
        <v>1007</v>
      </c>
      <c r="CT34" t="s">
        <v>1007</v>
      </c>
      <c r="CU34" t="s">
        <v>1007</v>
      </c>
      <c r="CV34" t="b">
        <f t="shared" si="50"/>
        <v>1</v>
      </c>
      <c r="DC34" t="str">
        <f t="shared" si="36"/>
        <v>G518</v>
      </c>
      <c r="DD34" t="b">
        <f t="shared" si="52"/>
        <v>0</v>
      </c>
      <c r="DE34" t="str">
        <f t="shared" si="53"/>
        <v>G518</v>
      </c>
      <c r="DF34" t="str">
        <f t="shared" si="37"/>
        <v>R507</v>
      </c>
      <c r="DG34" t="b">
        <f t="shared" si="54"/>
        <v>0</v>
      </c>
      <c r="DH34" t="str">
        <f t="shared" si="55"/>
        <v>R507</v>
      </c>
    </row>
    <row r="35" spans="2:112" ht="12" customHeight="1">
      <c r="B35" t="str">
        <f>TBIDry!H107</f>
        <v>G193</v>
      </c>
      <c r="C35" t="str">
        <f>TBIDry!I107</f>
        <v>R743</v>
      </c>
      <c r="D35" t="b">
        <f t="shared" si="1"/>
        <v>0</v>
      </c>
      <c r="E35" t="b">
        <f t="shared" si="2"/>
        <v>0</v>
      </c>
      <c r="G35" t="str">
        <f>TBIWet!H107</f>
        <v>G527</v>
      </c>
      <c r="H35" t="str">
        <f>TBIWet!I107</f>
        <v>R396</v>
      </c>
      <c r="I35" t="b">
        <f t="shared" si="3"/>
        <v>0</v>
      </c>
      <c r="J35" t="b">
        <f t="shared" si="38"/>
        <v>0</v>
      </c>
      <c r="L35" t="str">
        <f>'Both teabags AfterWet'!A33</f>
        <v>G362</v>
      </c>
      <c r="M35" t="str">
        <f>'Both teabags AfterWet'!A453</f>
        <v>R136</v>
      </c>
      <c r="N35" t="b">
        <f t="shared" si="4"/>
        <v>0</v>
      </c>
      <c r="O35" t="b">
        <f t="shared" si="56"/>
        <v>0</v>
      </c>
      <c r="Q35" s="388" t="b">
        <f t="shared" si="5"/>
        <v>0</v>
      </c>
      <c r="R35" s="388" t="b">
        <f t="shared" si="6"/>
        <v>0</v>
      </c>
      <c r="T35" t="str">
        <f>'Both teabags AfterDry'!A33</f>
        <v>G140</v>
      </c>
      <c r="U35" t="str">
        <f>'Both teabags AfterDry'!A368</f>
        <v>R207</v>
      </c>
      <c r="V35" t="b">
        <f t="shared" si="7"/>
        <v>0</v>
      </c>
      <c r="W35" t="b">
        <f t="shared" si="39"/>
        <v>0</v>
      </c>
      <c r="Y35" t="str">
        <f>'Green_rooibos initial weight'!A36</f>
        <v>G32</v>
      </c>
      <c r="Z35" t="str">
        <f>'Green_rooibos initial weight'!A940</f>
        <v>R32</v>
      </c>
      <c r="AA35" t="b">
        <f t="shared" si="8"/>
        <v>0</v>
      </c>
      <c r="AB35" t="b">
        <f t="shared" si="9"/>
        <v>0</v>
      </c>
      <c r="AE35" t="str">
        <f>'WetLitterbags placem_collection'!K34</f>
        <v>G527</v>
      </c>
      <c r="AF35" t="str">
        <f>'WetLitterbags placem_collection'!M34</f>
        <v>R396</v>
      </c>
      <c r="AG35" t="b">
        <f t="shared" si="10"/>
        <v>0</v>
      </c>
      <c r="AH35" t="b">
        <f t="shared" si="11"/>
        <v>0</v>
      </c>
      <c r="AJ35" t="b">
        <f t="shared" si="12"/>
        <v>0</v>
      </c>
      <c r="AK35" t="b">
        <f t="shared" si="13"/>
        <v>0</v>
      </c>
      <c r="AM35" t="str">
        <f>IF(ISBLANK('Dry_Litterbag Placem_Collection'!J34),"","G"&amp;""&amp;'Dry_Litterbag Placem_Collection'!J34)</f>
        <v>G193</v>
      </c>
      <c r="AN35" t="str">
        <f>IF(ISBLANK('Dry_Litterbag Placem_Collection'!K34),"","R"&amp;""&amp;'Dry_Litterbag Placem_Collection'!K34)</f>
        <v>R743</v>
      </c>
      <c r="AO35" t="b">
        <f t="shared" si="58"/>
        <v>0</v>
      </c>
      <c r="AP35" t="b">
        <f t="shared" si="15"/>
        <v>0</v>
      </c>
      <c r="AS35" t="str">
        <f>'Ashed teabags dry'!A33</f>
        <v>G140</v>
      </c>
      <c r="AT35" t="str">
        <f>'Ashed teabags dry'!A368</f>
        <v>R207</v>
      </c>
      <c r="AU35" t="b">
        <f t="shared" si="16"/>
        <v>0</v>
      </c>
      <c r="AV35" t="b">
        <f t="shared" si="40"/>
        <v>0</v>
      </c>
      <c r="AX35" s="388" t="b">
        <f t="shared" si="17"/>
        <v>0</v>
      </c>
      <c r="AY35" s="388" t="b">
        <f t="shared" si="18"/>
        <v>0</v>
      </c>
      <c r="BA35" t="str">
        <f>'Ashed teabags wet'!A33</f>
        <v>G362</v>
      </c>
      <c r="BB35" t="str">
        <f>'Ashed teabags wet'!A453</f>
        <v>R136</v>
      </c>
      <c r="BC35" t="b">
        <f t="shared" si="19"/>
        <v>0</v>
      </c>
      <c r="BD35" t="b">
        <f t="shared" si="0"/>
        <v>0</v>
      </c>
      <c r="BF35" t="str">
        <f t="shared" si="20"/>
        <v>G139</v>
      </c>
      <c r="BG35" t="str">
        <f t="shared" si="21"/>
        <v>G139</v>
      </c>
      <c r="BH35" t="str">
        <f t="shared" si="22"/>
        <v/>
      </c>
      <c r="BI35" t="str">
        <f t="shared" si="41"/>
        <v/>
      </c>
      <c r="BJ35" t="s">
        <v>1911</v>
      </c>
      <c r="BK35" t="s">
        <v>1911</v>
      </c>
      <c r="BL35" t="s">
        <v>1911</v>
      </c>
      <c r="BM35" t="b">
        <f t="shared" si="42"/>
        <v>1</v>
      </c>
      <c r="BN35" t="str">
        <f t="shared" si="23"/>
        <v>R206</v>
      </c>
      <c r="BO35" t="str">
        <f t="shared" si="24"/>
        <v>R206</v>
      </c>
      <c r="BP35" t="str">
        <f t="shared" si="25"/>
        <v/>
      </c>
      <c r="BQ35" t="str">
        <f t="shared" si="26"/>
        <v/>
      </c>
      <c r="BR35" t="s">
        <v>935</v>
      </c>
      <c r="BS35" t="s">
        <v>935</v>
      </c>
      <c r="BT35" t="s">
        <v>935</v>
      </c>
      <c r="BU35" t="b">
        <f t="shared" si="43"/>
        <v>1</v>
      </c>
      <c r="BV35" s="180" t="s">
        <v>1464</v>
      </c>
      <c r="BW35" s="180" t="s">
        <v>485</v>
      </c>
      <c r="BZ35" t="str">
        <f t="shared" si="27"/>
        <v/>
      </c>
      <c r="CA35" t="b">
        <f t="shared" si="28"/>
        <v>0</v>
      </c>
      <c r="CB35" t="str">
        <f t="shared" si="44"/>
        <v/>
      </c>
      <c r="CC35" t="str">
        <f t="shared" si="29"/>
        <v/>
      </c>
      <c r="CD35" t="b">
        <f t="shared" si="45"/>
        <v>0</v>
      </c>
      <c r="CE35" t="str">
        <f t="shared" si="46"/>
        <v/>
      </c>
      <c r="CG35" t="str">
        <f t="shared" si="30"/>
        <v>G360</v>
      </c>
      <c r="CH35" t="str">
        <f t="shared" si="47"/>
        <v>G360</v>
      </c>
      <c r="CI35" t="str">
        <f t="shared" si="31"/>
        <v>G404</v>
      </c>
      <c r="CJ35" t="str">
        <f t="shared" si="32"/>
        <v>G404</v>
      </c>
      <c r="CK35" t="s">
        <v>1690</v>
      </c>
      <c r="CL35" t="s">
        <v>1690</v>
      </c>
      <c r="CM35" t="s">
        <v>1690</v>
      </c>
      <c r="CN35" t="b">
        <f t="shared" si="48"/>
        <v>1</v>
      </c>
      <c r="CO35" t="str">
        <f t="shared" si="33"/>
        <v>R135</v>
      </c>
      <c r="CP35" t="str">
        <f t="shared" si="49"/>
        <v>R135</v>
      </c>
      <c r="CQ35" t="str">
        <f t="shared" si="34"/>
        <v>R141</v>
      </c>
      <c r="CR35" t="str">
        <f t="shared" si="35"/>
        <v>R141</v>
      </c>
      <c r="CS35" t="s">
        <v>1006</v>
      </c>
      <c r="CT35" t="s">
        <v>1006</v>
      </c>
      <c r="CU35" t="s">
        <v>1006</v>
      </c>
      <c r="CV35" t="b">
        <f t="shared" si="50"/>
        <v>1</v>
      </c>
      <c r="DC35" t="str">
        <f t="shared" si="36"/>
        <v>G404</v>
      </c>
      <c r="DD35" t="b">
        <f t="shared" si="52"/>
        <v>0</v>
      </c>
      <c r="DE35" t="str">
        <f t="shared" si="53"/>
        <v>G404</v>
      </c>
      <c r="DF35" t="str">
        <f t="shared" si="37"/>
        <v>R141</v>
      </c>
      <c r="DG35" t="b">
        <f t="shared" si="54"/>
        <v>0</v>
      </c>
      <c r="DH35" t="str">
        <f t="shared" si="55"/>
        <v>R141</v>
      </c>
    </row>
    <row r="36" spans="2:112" ht="12" customHeight="1">
      <c r="B36" t="str">
        <f>TBIDry!H108</f>
        <v>G218</v>
      </c>
      <c r="C36" t="str">
        <f>TBIDry!I108</f>
        <v>R769</v>
      </c>
      <c r="D36" t="b">
        <f t="shared" si="1"/>
        <v>0</v>
      </c>
      <c r="E36" t="b">
        <f t="shared" si="2"/>
        <v>0</v>
      </c>
      <c r="G36" t="str">
        <f>TBIWet!H108</f>
        <v>G366</v>
      </c>
      <c r="H36" t="str">
        <f>TBIWet!I108</f>
        <v>R109</v>
      </c>
      <c r="I36" t="b">
        <f t="shared" si="3"/>
        <v>0</v>
      </c>
      <c r="J36" t="b">
        <f t="shared" si="38"/>
        <v>0</v>
      </c>
      <c r="L36" t="str">
        <f>'Both teabags AfterWet'!A34</f>
        <v>G365</v>
      </c>
      <c r="M36" t="str">
        <f>'Both teabags AfterWet'!A454</f>
        <v>R137</v>
      </c>
      <c r="N36" t="b">
        <f t="shared" si="4"/>
        <v>0</v>
      </c>
      <c r="O36" t="b">
        <f t="shared" si="56"/>
        <v>0</v>
      </c>
      <c r="Q36" s="388" t="b">
        <f t="shared" si="5"/>
        <v>0</v>
      </c>
      <c r="R36" s="388" t="b">
        <f t="shared" si="6"/>
        <v>0</v>
      </c>
      <c r="T36" t="str">
        <f>'Both teabags AfterDry'!A34</f>
        <v>G141</v>
      </c>
      <c r="U36" t="str">
        <f>'Both teabags AfterDry'!A369</f>
        <v>R208</v>
      </c>
      <c r="V36" t="b">
        <f t="shared" si="7"/>
        <v>0</v>
      </c>
      <c r="W36" t="b">
        <f t="shared" si="39"/>
        <v>0</v>
      </c>
      <c r="Y36" t="str">
        <f>'Green_rooibos initial weight'!A37</f>
        <v>G33</v>
      </c>
      <c r="Z36" t="str">
        <f>'Green_rooibos initial weight'!A941</f>
        <v>R33</v>
      </c>
      <c r="AA36" t="b">
        <f t="shared" si="8"/>
        <v>0</v>
      </c>
      <c r="AB36" t="b">
        <f t="shared" si="9"/>
        <v>0</v>
      </c>
      <c r="AE36" t="str">
        <f>'WetLitterbags placem_collection'!K35</f>
        <v>G366</v>
      </c>
      <c r="AF36" t="str">
        <f>'WetLitterbags placem_collection'!M35</f>
        <v>R109</v>
      </c>
      <c r="AG36" t="b">
        <f t="shared" si="10"/>
        <v>0</v>
      </c>
      <c r="AH36" t="b">
        <f t="shared" si="11"/>
        <v>0</v>
      </c>
      <c r="AJ36" t="b">
        <f t="shared" si="12"/>
        <v>0</v>
      </c>
      <c r="AK36" t="b">
        <f t="shared" si="13"/>
        <v>0</v>
      </c>
      <c r="AM36" t="str">
        <f>IF(ISBLANK('Dry_Litterbag Placem_Collection'!J35),"","G"&amp;""&amp;'Dry_Litterbag Placem_Collection'!J35)</f>
        <v>G218</v>
      </c>
      <c r="AN36" t="str">
        <f>IF(ISBLANK('Dry_Litterbag Placem_Collection'!K35),"","R"&amp;""&amp;'Dry_Litterbag Placem_Collection'!K35)</f>
        <v>R769</v>
      </c>
      <c r="AO36" t="b">
        <f t="shared" si="58"/>
        <v>0</v>
      </c>
      <c r="AP36" t="b">
        <f t="shared" si="15"/>
        <v>0</v>
      </c>
      <c r="AS36" t="str">
        <f>'Ashed teabags dry'!A34</f>
        <v>G141</v>
      </c>
      <c r="AT36" t="str">
        <f>'Ashed teabags dry'!A369</f>
        <v>R208</v>
      </c>
      <c r="AU36" t="b">
        <f t="shared" si="16"/>
        <v>0</v>
      </c>
      <c r="AV36" t="b">
        <f t="shared" si="40"/>
        <v>0</v>
      </c>
      <c r="AX36" s="388" t="b">
        <f t="shared" si="17"/>
        <v>0</v>
      </c>
      <c r="AY36" s="388" t="b">
        <f t="shared" si="18"/>
        <v>0</v>
      </c>
      <c r="BA36" t="str">
        <f>'Ashed teabags wet'!A34</f>
        <v>G365</v>
      </c>
      <c r="BB36" t="str">
        <f>'Ashed teabags wet'!A454</f>
        <v>R137</v>
      </c>
      <c r="BC36" t="b">
        <f t="shared" si="19"/>
        <v>0</v>
      </c>
      <c r="BD36" t="b">
        <f t="shared" si="0"/>
        <v>0</v>
      </c>
      <c r="BF36" t="str">
        <f t="shared" si="20"/>
        <v>G140</v>
      </c>
      <c r="BG36" t="str">
        <f t="shared" si="21"/>
        <v>G140</v>
      </c>
      <c r="BH36" t="str">
        <f t="shared" si="22"/>
        <v>G193</v>
      </c>
      <c r="BI36" t="str">
        <f t="shared" si="41"/>
        <v>G193</v>
      </c>
      <c r="BJ36" t="s">
        <v>1910</v>
      </c>
      <c r="BK36" t="s">
        <v>1910</v>
      </c>
      <c r="BL36" t="s">
        <v>1910</v>
      </c>
      <c r="BM36" t="b">
        <f t="shared" si="42"/>
        <v>1</v>
      </c>
      <c r="BN36" t="str">
        <f t="shared" si="23"/>
        <v>R207</v>
      </c>
      <c r="BO36" t="str">
        <f t="shared" si="24"/>
        <v>R207</v>
      </c>
      <c r="BP36" t="str">
        <f t="shared" si="25"/>
        <v>R743</v>
      </c>
      <c r="BQ36" t="str">
        <f t="shared" si="26"/>
        <v>R743</v>
      </c>
      <c r="BR36" t="s">
        <v>934</v>
      </c>
      <c r="BS36" t="s">
        <v>934</v>
      </c>
      <c r="BT36" t="s">
        <v>934</v>
      </c>
      <c r="BU36" t="b">
        <f t="shared" si="43"/>
        <v>1</v>
      </c>
      <c r="BV36" s="180" t="s">
        <v>1324</v>
      </c>
      <c r="BW36" s="180" t="s">
        <v>981</v>
      </c>
      <c r="BZ36" t="str">
        <f t="shared" si="27"/>
        <v>G193</v>
      </c>
      <c r="CA36" t="b">
        <f t="shared" si="28"/>
        <v>0</v>
      </c>
      <c r="CB36" t="str">
        <f t="shared" si="44"/>
        <v>G193</v>
      </c>
      <c r="CC36" t="str">
        <f t="shared" si="29"/>
        <v>R743</v>
      </c>
      <c r="CD36" t="b">
        <f t="shared" si="45"/>
        <v>0</v>
      </c>
      <c r="CE36" t="str">
        <f t="shared" si="46"/>
        <v>R743</v>
      </c>
      <c r="CG36" t="str">
        <f t="shared" si="30"/>
        <v>G362</v>
      </c>
      <c r="CH36" t="str">
        <f t="shared" si="47"/>
        <v>G362</v>
      </c>
      <c r="CI36" t="str">
        <f t="shared" si="31"/>
        <v>G527</v>
      </c>
      <c r="CJ36" t="str">
        <f t="shared" si="32"/>
        <v>G527</v>
      </c>
      <c r="CK36" t="s">
        <v>1688</v>
      </c>
      <c r="CL36" t="s">
        <v>1688</v>
      </c>
      <c r="CM36" t="s">
        <v>1688</v>
      </c>
      <c r="CN36" t="b">
        <f t="shared" si="48"/>
        <v>1</v>
      </c>
      <c r="CO36" t="str">
        <f t="shared" si="33"/>
        <v>R136</v>
      </c>
      <c r="CP36" t="str">
        <f t="shared" si="49"/>
        <v>R136</v>
      </c>
      <c r="CQ36" t="str">
        <f t="shared" si="34"/>
        <v>R396</v>
      </c>
      <c r="CR36" t="str">
        <f t="shared" si="35"/>
        <v>R396</v>
      </c>
      <c r="CS36" t="s">
        <v>1005</v>
      </c>
      <c r="CT36" t="s">
        <v>1005</v>
      </c>
      <c r="CU36" t="s">
        <v>1005</v>
      </c>
      <c r="CV36" t="b">
        <f t="shared" si="50"/>
        <v>1</v>
      </c>
      <c r="DC36" t="str">
        <f t="shared" si="36"/>
        <v>G527</v>
      </c>
      <c r="DD36" t="b">
        <f t="shared" si="52"/>
        <v>0</v>
      </c>
      <c r="DE36" t="str">
        <f t="shared" si="53"/>
        <v>G527</v>
      </c>
      <c r="DF36" t="str">
        <f t="shared" si="37"/>
        <v>R396</v>
      </c>
      <c r="DG36" t="b">
        <f t="shared" si="54"/>
        <v>0</v>
      </c>
      <c r="DH36" t="str">
        <f t="shared" si="55"/>
        <v>R396</v>
      </c>
    </row>
    <row r="37" spans="2:112" ht="12" customHeight="1">
      <c r="B37" t="str">
        <f>TBIDry!H109</f>
        <v>G104</v>
      </c>
      <c r="C37" t="str">
        <f>TBIDry!I109</f>
        <v>R753</v>
      </c>
      <c r="D37" t="b">
        <f t="shared" si="1"/>
        <v>0</v>
      </c>
      <c r="E37" t="b">
        <f t="shared" si="2"/>
        <v>0</v>
      </c>
      <c r="G37" t="str">
        <f>TBIWet!H109</f>
        <v>G516</v>
      </c>
      <c r="H37" t="str">
        <f>TBIWet!I109</f>
        <v>R153</v>
      </c>
      <c r="I37" t="b">
        <f t="shared" si="3"/>
        <v>0</v>
      </c>
      <c r="J37" t="b">
        <f t="shared" si="38"/>
        <v>0</v>
      </c>
      <c r="L37" t="str">
        <f>'Both teabags AfterWet'!A35</f>
        <v>G366</v>
      </c>
      <c r="M37" t="str">
        <f>'Both teabags AfterWet'!A455</f>
        <v>R138</v>
      </c>
      <c r="N37" t="b">
        <f t="shared" si="4"/>
        <v>0</v>
      </c>
      <c r="O37" t="b">
        <f t="shared" si="56"/>
        <v>0</v>
      </c>
      <c r="Q37" s="388" t="b">
        <f t="shared" si="5"/>
        <v>0</v>
      </c>
      <c r="R37" s="388" t="b">
        <f t="shared" si="6"/>
        <v>0</v>
      </c>
      <c r="T37" t="str">
        <f>'Both teabags AfterDry'!A35</f>
        <v>G143</v>
      </c>
      <c r="U37" t="str">
        <f>'Both teabags AfterDry'!A370</f>
        <v>R210</v>
      </c>
      <c r="V37" t="b">
        <f t="shared" si="7"/>
        <v>0</v>
      </c>
      <c r="W37" t="b">
        <f t="shared" si="39"/>
        <v>0</v>
      </c>
      <c r="Y37" t="str">
        <f>'Green_rooibos initial weight'!A38</f>
        <v>G34</v>
      </c>
      <c r="Z37" t="str">
        <f>'Green_rooibos initial weight'!A942</f>
        <v>R34</v>
      </c>
      <c r="AA37" t="b">
        <f t="shared" si="8"/>
        <v>0</v>
      </c>
      <c r="AB37" t="b">
        <f t="shared" si="9"/>
        <v>0</v>
      </c>
      <c r="AE37" t="str">
        <f>'WetLitterbags placem_collection'!K36</f>
        <v>G516</v>
      </c>
      <c r="AF37" t="str">
        <f>'WetLitterbags placem_collection'!M36</f>
        <v>R153</v>
      </c>
      <c r="AG37" t="b">
        <f t="shared" si="10"/>
        <v>0</v>
      </c>
      <c r="AH37" t="b">
        <f t="shared" si="11"/>
        <v>0</v>
      </c>
      <c r="AJ37" t="b">
        <f t="shared" si="12"/>
        <v>0</v>
      </c>
      <c r="AK37" t="b">
        <f t="shared" si="13"/>
        <v>0</v>
      </c>
      <c r="AM37" t="str">
        <f>IF(ISBLANK('Dry_Litterbag Placem_Collection'!J36),"","G"&amp;""&amp;'Dry_Litterbag Placem_Collection'!J36)</f>
        <v>G104</v>
      </c>
      <c r="AN37" t="str">
        <f>IF(ISBLANK('Dry_Litterbag Placem_Collection'!K36),"","R"&amp;""&amp;'Dry_Litterbag Placem_Collection'!K36)</f>
        <v>R753</v>
      </c>
      <c r="AO37" t="b">
        <f t="shared" si="58"/>
        <v>0</v>
      </c>
      <c r="AP37" t="b">
        <f t="shared" si="15"/>
        <v>0</v>
      </c>
      <c r="AS37" t="str">
        <f>'Ashed teabags dry'!A35</f>
        <v>G143</v>
      </c>
      <c r="AT37" t="str">
        <f>'Ashed teabags dry'!A370</f>
        <v>R210</v>
      </c>
      <c r="AU37" t="b">
        <f t="shared" si="16"/>
        <v>0</v>
      </c>
      <c r="AV37" t="b">
        <f t="shared" si="40"/>
        <v>0</v>
      </c>
      <c r="AX37" s="388" t="b">
        <f t="shared" si="17"/>
        <v>0</v>
      </c>
      <c r="AY37" s="388" t="b">
        <f t="shared" si="18"/>
        <v>0</v>
      </c>
      <c r="BA37" t="str">
        <f>'Ashed teabags wet'!A35</f>
        <v>G366</v>
      </c>
      <c r="BB37" t="str">
        <f>'Ashed teabags wet'!A455</f>
        <v>R138</v>
      </c>
      <c r="BC37" t="b">
        <f t="shared" si="19"/>
        <v>0</v>
      </c>
      <c r="BD37" t="b">
        <f t="shared" si="0"/>
        <v>0</v>
      </c>
      <c r="BF37" t="str">
        <f t="shared" si="20"/>
        <v>G141</v>
      </c>
      <c r="BG37" t="str">
        <f t="shared" si="21"/>
        <v>G141</v>
      </c>
      <c r="BH37" t="str">
        <f t="shared" si="22"/>
        <v>G218</v>
      </c>
      <c r="BI37" t="str">
        <f t="shared" si="41"/>
        <v>G218</v>
      </c>
      <c r="BJ37" t="s">
        <v>1909</v>
      </c>
      <c r="BK37" t="s">
        <v>1909</v>
      </c>
      <c r="BL37" t="s">
        <v>1909</v>
      </c>
      <c r="BM37" t="b">
        <f t="shared" si="42"/>
        <v>1</v>
      </c>
      <c r="BN37" t="str">
        <f t="shared" si="23"/>
        <v>R208</v>
      </c>
      <c r="BO37" t="str">
        <f t="shared" si="24"/>
        <v>R208</v>
      </c>
      <c r="BP37" t="str">
        <f t="shared" si="25"/>
        <v>R769</v>
      </c>
      <c r="BQ37" t="str">
        <f t="shared" si="26"/>
        <v>R769</v>
      </c>
      <c r="BR37" t="s">
        <v>933</v>
      </c>
      <c r="BS37" t="s">
        <v>933</v>
      </c>
      <c r="BT37" t="s">
        <v>933</v>
      </c>
      <c r="BU37" t="b">
        <f t="shared" si="43"/>
        <v>1</v>
      </c>
      <c r="BV37" s="180" t="s">
        <v>1262</v>
      </c>
      <c r="BW37" s="180" t="s">
        <v>496</v>
      </c>
      <c r="BZ37" t="str">
        <f t="shared" si="27"/>
        <v>G218</v>
      </c>
      <c r="CA37" t="b">
        <f t="shared" si="28"/>
        <v>0</v>
      </c>
      <c r="CB37" t="str">
        <f t="shared" si="44"/>
        <v>G218</v>
      </c>
      <c r="CC37" t="str">
        <f t="shared" si="29"/>
        <v>R769</v>
      </c>
      <c r="CD37" t="b">
        <f t="shared" si="45"/>
        <v>0</v>
      </c>
      <c r="CE37" t="str">
        <f t="shared" si="46"/>
        <v>R769</v>
      </c>
      <c r="CG37" t="str">
        <f t="shared" si="30"/>
        <v>G365</v>
      </c>
      <c r="CH37" t="str">
        <f t="shared" si="47"/>
        <v>G365</v>
      </c>
      <c r="CI37" t="str">
        <f t="shared" si="31"/>
        <v>G366</v>
      </c>
      <c r="CJ37" t="str">
        <f t="shared" si="32"/>
        <v>G366</v>
      </c>
      <c r="CK37" t="s">
        <v>1685</v>
      </c>
      <c r="CL37" t="s">
        <v>1685</v>
      </c>
      <c r="CM37" t="s">
        <v>1685</v>
      </c>
      <c r="CN37" t="b">
        <f t="shared" si="48"/>
        <v>1</v>
      </c>
      <c r="CO37" t="str">
        <f t="shared" si="33"/>
        <v>R137</v>
      </c>
      <c r="CP37" t="str">
        <f t="shared" si="49"/>
        <v>R137</v>
      </c>
      <c r="CQ37" t="str">
        <f t="shared" si="34"/>
        <v>R109</v>
      </c>
      <c r="CR37" t="str">
        <f t="shared" si="35"/>
        <v>R109</v>
      </c>
      <c r="CS37" t="s">
        <v>1004</v>
      </c>
      <c r="CT37" t="s">
        <v>1004</v>
      </c>
      <c r="CU37" t="s">
        <v>1004</v>
      </c>
      <c r="CV37" t="b">
        <f t="shared" si="50"/>
        <v>1</v>
      </c>
      <c r="DC37" t="str">
        <f t="shared" si="36"/>
        <v>G366</v>
      </c>
      <c r="DD37" t="b">
        <f t="shared" si="52"/>
        <v>0</v>
      </c>
      <c r="DE37" t="str">
        <f t="shared" si="53"/>
        <v>G366</v>
      </c>
      <c r="DF37" t="str">
        <f t="shared" si="37"/>
        <v>R109</v>
      </c>
      <c r="DG37" t="b">
        <f t="shared" si="54"/>
        <v>0</v>
      </c>
      <c r="DH37" t="str">
        <f t="shared" si="55"/>
        <v>R109</v>
      </c>
    </row>
    <row r="38" spans="2:112" ht="12" customHeight="1">
      <c r="B38" t="str">
        <f>TBIDry!H110</f>
        <v>G188</v>
      </c>
      <c r="C38" t="str">
        <f>TBIDry!I110</f>
        <v>R776</v>
      </c>
      <c r="D38" t="b">
        <f t="shared" si="1"/>
        <v>0</v>
      </c>
      <c r="E38" t="b">
        <f t="shared" si="2"/>
        <v>0</v>
      </c>
      <c r="G38" t="str">
        <f>TBIWet!H110</f>
        <v>G670</v>
      </c>
      <c r="H38" t="str">
        <f>TBIWet!I110</f>
        <v>R64</v>
      </c>
      <c r="I38" t="b">
        <f t="shared" si="3"/>
        <v>0</v>
      </c>
      <c r="J38" t="b">
        <f t="shared" si="38"/>
        <v>0</v>
      </c>
      <c r="L38" t="str">
        <f>'Both teabags AfterWet'!A36</f>
        <v>G367</v>
      </c>
      <c r="M38" t="str">
        <f>'Both teabags AfterWet'!A456</f>
        <v>R139</v>
      </c>
      <c r="N38" t="b">
        <f t="shared" si="4"/>
        <v>0</v>
      </c>
      <c r="O38" t="b">
        <f t="shared" si="56"/>
        <v>0</v>
      </c>
      <c r="Q38" s="388" t="b">
        <f t="shared" si="5"/>
        <v>0</v>
      </c>
      <c r="R38" s="388" t="b">
        <f t="shared" si="6"/>
        <v>0</v>
      </c>
      <c r="T38" t="str">
        <f>'Both teabags AfterDry'!A36</f>
        <v>G144</v>
      </c>
      <c r="U38" t="str">
        <f>'Both teabags AfterDry'!A371</f>
        <v>R211</v>
      </c>
      <c r="V38" t="b">
        <f t="shared" si="7"/>
        <v>0</v>
      </c>
      <c r="W38" t="b">
        <f t="shared" si="39"/>
        <v>0</v>
      </c>
      <c r="Y38" t="str">
        <f>'Green_rooibos initial weight'!A39</f>
        <v>G35</v>
      </c>
      <c r="Z38" t="str">
        <f>'Green_rooibos initial weight'!A943</f>
        <v>R35</v>
      </c>
      <c r="AA38" t="b">
        <f t="shared" si="8"/>
        <v>0</v>
      </c>
      <c r="AB38" t="b">
        <f t="shared" si="9"/>
        <v>0</v>
      </c>
      <c r="AE38" t="str">
        <f>'WetLitterbags placem_collection'!K37</f>
        <v>G670</v>
      </c>
      <c r="AF38" t="str">
        <f>'WetLitterbags placem_collection'!M37</f>
        <v>R64</v>
      </c>
      <c r="AG38" t="b">
        <f t="shared" si="10"/>
        <v>0</v>
      </c>
      <c r="AH38" t="b">
        <f t="shared" si="11"/>
        <v>0</v>
      </c>
      <c r="AJ38" t="b">
        <f t="shared" si="12"/>
        <v>0</v>
      </c>
      <c r="AK38" t="b">
        <f t="shared" si="13"/>
        <v>0</v>
      </c>
      <c r="AM38" t="str">
        <f>IF(ISBLANK('Dry_Litterbag Placem_Collection'!J37),"","G"&amp;""&amp;'Dry_Litterbag Placem_Collection'!J37)</f>
        <v>G188</v>
      </c>
      <c r="AN38" t="str">
        <f>IF(ISBLANK('Dry_Litterbag Placem_Collection'!K37),"","R"&amp;""&amp;'Dry_Litterbag Placem_Collection'!K37)</f>
        <v>R776</v>
      </c>
      <c r="AO38" t="b">
        <f t="shared" si="58"/>
        <v>0</v>
      </c>
      <c r="AP38" t="b">
        <f t="shared" si="15"/>
        <v>0</v>
      </c>
      <c r="AS38" t="str">
        <f>'Ashed teabags dry'!A36</f>
        <v>G144</v>
      </c>
      <c r="AT38" t="str">
        <f>'Ashed teabags dry'!A371</f>
        <v>R211</v>
      </c>
      <c r="AU38" t="b">
        <f t="shared" si="16"/>
        <v>0</v>
      </c>
      <c r="AV38" t="b">
        <f t="shared" si="40"/>
        <v>0</v>
      </c>
      <c r="AX38" s="388" t="b">
        <f t="shared" si="17"/>
        <v>0</v>
      </c>
      <c r="AY38" s="388" t="b">
        <f t="shared" si="18"/>
        <v>0</v>
      </c>
      <c r="BA38" t="str">
        <f>'Ashed teabags wet'!A36</f>
        <v>G367</v>
      </c>
      <c r="BB38" t="str">
        <f>'Ashed teabags wet'!A456</f>
        <v>R139</v>
      </c>
      <c r="BC38" t="b">
        <f t="shared" si="19"/>
        <v>0</v>
      </c>
      <c r="BD38" t="b">
        <f t="shared" si="0"/>
        <v>0</v>
      </c>
      <c r="BF38" t="str">
        <f t="shared" si="20"/>
        <v>G143</v>
      </c>
      <c r="BG38" t="str">
        <f t="shared" si="21"/>
        <v>G143</v>
      </c>
      <c r="BH38" t="str">
        <f t="shared" si="22"/>
        <v>G104</v>
      </c>
      <c r="BI38" t="str">
        <f t="shared" si="41"/>
        <v/>
      </c>
      <c r="BJ38" t="s">
        <v>1907</v>
      </c>
      <c r="BK38" t="s">
        <v>1907</v>
      </c>
      <c r="BL38" t="s">
        <v>1907</v>
      </c>
      <c r="BM38" t="b">
        <f t="shared" si="42"/>
        <v>1</v>
      </c>
      <c r="BN38" t="str">
        <f t="shared" si="23"/>
        <v>R210</v>
      </c>
      <c r="BO38" t="str">
        <f t="shared" si="24"/>
        <v>R210</v>
      </c>
      <c r="BP38" t="str">
        <f t="shared" si="25"/>
        <v>R753</v>
      </c>
      <c r="BQ38" t="str">
        <f t="shared" si="26"/>
        <v/>
      </c>
      <c r="BR38" t="s">
        <v>931</v>
      </c>
      <c r="BS38" t="s">
        <v>931</v>
      </c>
      <c r="BT38" t="s">
        <v>931</v>
      </c>
      <c r="BU38" t="b">
        <f t="shared" si="43"/>
        <v>1</v>
      </c>
      <c r="BV38" s="180" t="s">
        <v>1720</v>
      </c>
      <c r="BW38" s="180" t="s">
        <v>921</v>
      </c>
      <c r="BZ38" t="str">
        <f t="shared" si="27"/>
        <v>G104</v>
      </c>
      <c r="CA38" t="b">
        <f t="shared" si="28"/>
        <v>1</v>
      </c>
      <c r="CB38" t="str">
        <f t="shared" si="44"/>
        <v/>
      </c>
      <c r="CC38" t="str">
        <f t="shared" si="29"/>
        <v>R753</v>
      </c>
      <c r="CD38" t="b">
        <f t="shared" si="45"/>
        <v>1</v>
      </c>
      <c r="CE38" t="str">
        <f t="shared" si="46"/>
        <v/>
      </c>
      <c r="CG38" t="str">
        <f t="shared" si="30"/>
        <v>G366</v>
      </c>
      <c r="CH38" t="str">
        <f t="shared" si="47"/>
        <v>G366</v>
      </c>
      <c r="CI38" t="str">
        <f t="shared" si="31"/>
        <v>G516</v>
      </c>
      <c r="CJ38" t="str">
        <f t="shared" si="32"/>
        <v>G516</v>
      </c>
      <c r="CK38" t="s">
        <v>1684</v>
      </c>
      <c r="CL38" t="s">
        <v>1684</v>
      </c>
      <c r="CM38" t="s">
        <v>1684</v>
      </c>
      <c r="CN38" t="b">
        <f t="shared" si="48"/>
        <v>1</v>
      </c>
      <c r="CO38" t="str">
        <f t="shared" si="33"/>
        <v>R138</v>
      </c>
      <c r="CP38" t="str">
        <f t="shared" si="49"/>
        <v>R138</v>
      </c>
      <c r="CQ38" t="str">
        <f t="shared" si="34"/>
        <v>R153</v>
      </c>
      <c r="CR38" t="str">
        <f t="shared" si="35"/>
        <v>R153</v>
      </c>
      <c r="CS38" t="s">
        <v>1003</v>
      </c>
      <c r="CT38" t="s">
        <v>1003</v>
      </c>
      <c r="CU38" t="s">
        <v>1003</v>
      </c>
      <c r="CV38" t="b">
        <f t="shared" si="50"/>
        <v>1</v>
      </c>
      <c r="DC38" t="str">
        <f t="shared" si="36"/>
        <v>G516</v>
      </c>
      <c r="DD38" t="b">
        <f t="shared" si="52"/>
        <v>0</v>
      </c>
      <c r="DE38" t="str">
        <f t="shared" si="53"/>
        <v>G516</v>
      </c>
      <c r="DF38" t="str">
        <f t="shared" si="37"/>
        <v>R153</v>
      </c>
      <c r="DG38" t="b">
        <f t="shared" si="54"/>
        <v>0</v>
      </c>
      <c r="DH38" t="str">
        <f t="shared" si="55"/>
        <v>R153</v>
      </c>
    </row>
    <row r="39" spans="2:112" ht="12" customHeight="1">
      <c r="B39" t="str">
        <f>TBIDry!H111</f>
        <v>G379</v>
      </c>
      <c r="C39" t="str">
        <f>TBIDry!I111</f>
        <v>R799</v>
      </c>
      <c r="D39" t="b">
        <f t="shared" si="1"/>
        <v>0</v>
      </c>
      <c r="E39" t="b">
        <f t="shared" si="2"/>
        <v>0</v>
      </c>
      <c r="G39" t="str">
        <f>TBIWet!H111</f>
        <v>G507</v>
      </c>
      <c r="H39" t="str">
        <f>TBIWet!I111</f>
        <v>R126</v>
      </c>
      <c r="I39" t="b">
        <f t="shared" si="3"/>
        <v>0</v>
      </c>
      <c r="J39" t="b">
        <f t="shared" si="38"/>
        <v>0</v>
      </c>
      <c r="L39" t="str">
        <f>'Both teabags AfterWet'!A37</f>
        <v>G368</v>
      </c>
      <c r="M39" t="str">
        <f>'Both teabags AfterWet'!A457</f>
        <v>R14</v>
      </c>
      <c r="N39" t="b">
        <f t="shared" si="4"/>
        <v>0</v>
      </c>
      <c r="O39" t="b">
        <f t="shared" si="56"/>
        <v>0</v>
      </c>
      <c r="Q39" s="388" t="b">
        <f t="shared" si="5"/>
        <v>0</v>
      </c>
      <c r="R39" s="388" t="b">
        <f t="shared" si="6"/>
        <v>0</v>
      </c>
      <c r="T39" t="str">
        <f>'Both teabags AfterDry'!A37</f>
        <v>G145</v>
      </c>
      <c r="U39" t="str">
        <f>'Both teabags AfterDry'!A372</f>
        <v>R212</v>
      </c>
      <c r="V39" t="b">
        <f t="shared" si="7"/>
        <v>0</v>
      </c>
      <c r="W39" t="b">
        <f t="shared" si="39"/>
        <v>0</v>
      </c>
      <c r="Y39" t="str">
        <f>'Green_rooibos initial weight'!A40</f>
        <v>G36</v>
      </c>
      <c r="Z39" t="str">
        <f>'Green_rooibos initial weight'!A944</f>
        <v>R36</v>
      </c>
      <c r="AA39" t="b">
        <f t="shared" si="8"/>
        <v>0</v>
      </c>
      <c r="AB39" t="b">
        <f t="shared" si="9"/>
        <v>0</v>
      </c>
      <c r="AE39" t="str">
        <f>'WetLitterbags placem_collection'!K38</f>
        <v>G507</v>
      </c>
      <c r="AF39" t="str">
        <f>'WetLitterbags placem_collection'!M38</f>
        <v>R126</v>
      </c>
      <c r="AG39" t="b">
        <f t="shared" si="10"/>
        <v>0</v>
      </c>
      <c r="AH39" t="b">
        <f t="shared" si="11"/>
        <v>0</v>
      </c>
      <c r="AJ39" t="b">
        <f t="shared" si="12"/>
        <v>0</v>
      </c>
      <c r="AK39" t="b">
        <f t="shared" si="13"/>
        <v>0</v>
      </c>
      <c r="AM39" t="str">
        <f>IF(ISBLANK('Dry_Litterbag Placem_Collection'!J38),"","G"&amp;""&amp;'Dry_Litterbag Placem_Collection'!J38)</f>
        <v>G379</v>
      </c>
      <c r="AN39" t="str">
        <f>IF(ISBLANK('Dry_Litterbag Placem_Collection'!K38),"","R"&amp;""&amp;'Dry_Litterbag Placem_Collection'!K38)</f>
        <v>R799</v>
      </c>
      <c r="AO39" t="b">
        <f t="shared" si="58"/>
        <v>0</v>
      </c>
      <c r="AP39" t="b">
        <f t="shared" si="15"/>
        <v>0</v>
      </c>
      <c r="AS39" t="str">
        <f>'Ashed teabags dry'!A37</f>
        <v>G145</v>
      </c>
      <c r="AT39" t="str">
        <f>'Ashed teabags dry'!A372</f>
        <v>R212</v>
      </c>
      <c r="AU39" t="b">
        <f t="shared" si="16"/>
        <v>0</v>
      </c>
      <c r="AV39" t="b">
        <f t="shared" si="40"/>
        <v>0</v>
      </c>
      <c r="AX39" s="388" t="b">
        <f t="shared" si="17"/>
        <v>0</v>
      </c>
      <c r="AY39" s="388" t="b">
        <f t="shared" si="18"/>
        <v>0</v>
      </c>
      <c r="BA39" t="str">
        <f>'Ashed teabags wet'!A37</f>
        <v>G368</v>
      </c>
      <c r="BB39" t="str">
        <f>'Ashed teabags wet'!A457</f>
        <v>R14</v>
      </c>
      <c r="BC39" t="b">
        <f t="shared" si="19"/>
        <v>0</v>
      </c>
      <c r="BD39" t="b">
        <f t="shared" si="0"/>
        <v>0</v>
      </c>
      <c r="BF39" t="str">
        <f t="shared" si="20"/>
        <v>G144</v>
      </c>
      <c r="BG39" t="str">
        <f t="shared" si="21"/>
        <v>G144</v>
      </c>
      <c r="BH39" t="str">
        <f t="shared" si="22"/>
        <v>G188</v>
      </c>
      <c r="BI39" t="str">
        <f t="shared" si="41"/>
        <v>G188</v>
      </c>
      <c r="BJ39" t="s">
        <v>1906</v>
      </c>
      <c r="BK39" t="s">
        <v>1906</v>
      </c>
      <c r="BL39" t="s">
        <v>1906</v>
      </c>
      <c r="BM39" t="b">
        <f t="shared" si="42"/>
        <v>1</v>
      </c>
      <c r="BN39" t="str">
        <f t="shared" si="23"/>
        <v>R211</v>
      </c>
      <c r="BO39" t="str">
        <f t="shared" si="24"/>
        <v>R211</v>
      </c>
      <c r="BP39" t="str">
        <f t="shared" si="25"/>
        <v>R776</v>
      </c>
      <c r="BQ39" t="str">
        <f t="shared" si="26"/>
        <v>R776</v>
      </c>
      <c r="BR39" t="s">
        <v>930</v>
      </c>
      <c r="BS39" t="s">
        <v>930</v>
      </c>
      <c r="BT39" t="s">
        <v>930</v>
      </c>
      <c r="BU39" t="b">
        <f t="shared" si="43"/>
        <v>1</v>
      </c>
      <c r="BV39" s="180" t="s">
        <v>1887</v>
      </c>
      <c r="BW39" s="180" t="s">
        <v>420</v>
      </c>
      <c r="BZ39" t="str">
        <f t="shared" si="27"/>
        <v>G188</v>
      </c>
      <c r="CA39" t="b">
        <f t="shared" si="28"/>
        <v>0</v>
      </c>
      <c r="CB39" t="str">
        <f t="shared" si="44"/>
        <v>G188</v>
      </c>
      <c r="CC39" t="str">
        <f t="shared" si="29"/>
        <v>R776</v>
      </c>
      <c r="CD39" t="b">
        <f t="shared" si="45"/>
        <v>0</v>
      </c>
      <c r="CE39" t="str">
        <f t="shared" si="46"/>
        <v>R776</v>
      </c>
      <c r="CG39" t="str">
        <f t="shared" si="30"/>
        <v>G367</v>
      </c>
      <c r="CH39" t="str">
        <f t="shared" si="47"/>
        <v>G367</v>
      </c>
      <c r="CI39" t="str">
        <f t="shared" si="31"/>
        <v>G670</v>
      </c>
      <c r="CJ39" t="str">
        <f t="shared" si="32"/>
        <v>G670</v>
      </c>
      <c r="CK39" t="s">
        <v>1683</v>
      </c>
      <c r="CL39" t="s">
        <v>1683</v>
      </c>
      <c r="CM39" t="s">
        <v>1683</v>
      </c>
      <c r="CN39" t="b">
        <f t="shared" si="48"/>
        <v>1</v>
      </c>
      <c r="CO39" t="str">
        <f t="shared" si="33"/>
        <v>R139</v>
      </c>
      <c r="CP39" t="str">
        <f t="shared" si="49"/>
        <v>R139</v>
      </c>
      <c r="CQ39" t="str">
        <f t="shared" si="34"/>
        <v>R64</v>
      </c>
      <c r="CR39" t="str">
        <f t="shared" si="35"/>
        <v>R64</v>
      </c>
      <c r="CS39" t="s">
        <v>1002</v>
      </c>
      <c r="CT39" t="s">
        <v>1002</v>
      </c>
      <c r="CU39" t="s">
        <v>1002</v>
      </c>
      <c r="CV39" t="b">
        <f t="shared" si="50"/>
        <v>1</v>
      </c>
      <c r="DC39" t="str">
        <f t="shared" si="36"/>
        <v>G670</v>
      </c>
      <c r="DD39" t="b">
        <f t="shared" si="52"/>
        <v>0</v>
      </c>
      <c r="DE39" t="str">
        <f t="shared" si="53"/>
        <v>G670</v>
      </c>
      <c r="DF39" t="str">
        <f t="shared" si="37"/>
        <v>R64</v>
      </c>
      <c r="DG39" t="b">
        <f t="shared" si="54"/>
        <v>0</v>
      </c>
      <c r="DH39" t="str">
        <f t="shared" si="55"/>
        <v>R64</v>
      </c>
    </row>
    <row r="40" spans="2:112" ht="12" customHeight="1">
      <c r="B40" t="str">
        <f>TBIDry!H112</f>
        <v>G66</v>
      </c>
      <c r="C40" t="str">
        <f>TBIDry!I112</f>
        <v>R722</v>
      </c>
      <c r="D40" t="b">
        <f t="shared" si="1"/>
        <v>0</v>
      </c>
      <c r="E40" t="b">
        <f t="shared" si="2"/>
        <v>0</v>
      </c>
      <c r="G40" t="str">
        <f>TBIWet!H112</f>
        <v>G359</v>
      </c>
      <c r="H40" t="str">
        <f>TBIWet!I112</f>
        <v>R63</v>
      </c>
      <c r="I40" t="b">
        <f t="shared" si="3"/>
        <v>0</v>
      </c>
      <c r="J40" t="b">
        <f t="shared" si="38"/>
        <v>0</v>
      </c>
      <c r="L40" t="str">
        <f>'Both teabags AfterWet'!A38</f>
        <v>G373</v>
      </c>
      <c r="M40" t="str">
        <f>'Both teabags AfterWet'!A458</f>
        <v>R141</v>
      </c>
      <c r="N40" t="b">
        <f t="shared" si="4"/>
        <v>0</v>
      </c>
      <c r="O40" t="b">
        <f t="shared" si="56"/>
        <v>0</v>
      </c>
      <c r="Q40" s="388" t="b">
        <f t="shared" si="5"/>
        <v>0</v>
      </c>
      <c r="R40" s="388" t="b">
        <f t="shared" si="6"/>
        <v>0</v>
      </c>
      <c r="T40" t="str">
        <f>'Both teabags AfterDry'!A38</f>
        <v>G146</v>
      </c>
      <c r="U40" t="str">
        <f>'Both teabags AfterDry'!A373</f>
        <v>R213</v>
      </c>
      <c r="V40" t="b">
        <f t="shared" si="7"/>
        <v>0</v>
      </c>
      <c r="W40" t="b">
        <f t="shared" si="39"/>
        <v>0</v>
      </c>
      <c r="Y40" t="str">
        <f>'Green_rooibos initial weight'!A41</f>
        <v>G37</v>
      </c>
      <c r="Z40" t="str">
        <f>'Green_rooibos initial weight'!A945</f>
        <v>R37</v>
      </c>
      <c r="AA40" t="b">
        <f t="shared" si="8"/>
        <v>0</v>
      </c>
      <c r="AB40" t="b">
        <f t="shared" si="9"/>
        <v>0</v>
      </c>
      <c r="AE40" t="str">
        <f>'WetLitterbags placem_collection'!K39</f>
        <v>G359</v>
      </c>
      <c r="AF40" t="str">
        <f>'WetLitterbags placem_collection'!M39</f>
        <v>R63</v>
      </c>
      <c r="AG40" t="b">
        <f t="shared" si="10"/>
        <v>0</v>
      </c>
      <c r="AH40" t="b">
        <f t="shared" si="11"/>
        <v>0</v>
      </c>
      <c r="AJ40" t="b">
        <f t="shared" si="12"/>
        <v>0</v>
      </c>
      <c r="AK40" t="b">
        <f t="shared" si="13"/>
        <v>0</v>
      </c>
      <c r="AM40" t="str">
        <f>IF(ISBLANK('Dry_Litterbag Placem_Collection'!J39),"","G"&amp;""&amp;'Dry_Litterbag Placem_Collection'!J39)</f>
        <v>G66</v>
      </c>
      <c r="AN40" t="str">
        <f>IF(ISBLANK('Dry_Litterbag Placem_Collection'!K39),"","R"&amp;""&amp;'Dry_Litterbag Placem_Collection'!K39)</f>
        <v>R722</v>
      </c>
      <c r="AO40" t="b">
        <f t="shared" si="58"/>
        <v>0</v>
      </c>
      <c r="AP40" t="b">
        <f t="shared" si="15"/>
        <v>0</v>
      </c>
      <c r="AS40" t="str">
        <f>'Ashed teabags dry'!A38</f>
        <v>G146</v>
      </c>
      <c r="AT40" t="str">
        <f>'Ashed teabags dry'!A373</f>
        <v>R213</v>
      </c>
      <c r="AU40" t="b">
        <f t="shared" si="16"/>
        <v>0</v>
      </c>
      <c r="AV40" t="b">
        <f t="shared" si="40"/>
        <v>0</v>
      </c>
      <c r="AX40" s="388" t="b">
        <f t="shared" si="17"/>
        <v>0</v>
      </c>
      <c r="AY40" s="388" t="b">
        <f t="shared" si="18"/>
        <v>0</v>
      </c>
      <c r="BA40" t="str">
        <f>'Ashed teabags wet'!A38</f>
        <v>G373</v>
      </c>
      <c r="BB40" t="str">
        <f>'Ashed teabags wet'!A458</f>
        <v>R141</v>
      </c>
      <c r="BC40" t="b">
        <f t="shared" si="19"/>
        <v>0</v>
      </c>
      <c r="BD40" t="b">
        <f t="shared" si="0"/>
        <v>0</v>
      </c>
      <c r="BF40" t="str">
        <f t="shared" si="20"/>
        <v>G145</v>
      </c>
      <c r="BG40" t="str">
        <f t="shared" si="21"/>
        <v>G145</v>
      </c>
      <c r="BH40" t="str">
        <f t="shared" si="22"/>
        <v>G379</v>
      </c>
      <c r="BI40" t="str">
        <f t="shared" si="41"/>
        <v>G379</v>
      </c>
      <c r="BJ40" t="s">
        <v>1905</v>
      </c>
      <c r="BK40" t="s">
        <v>1905</v>
      </c>
      <c r="BL40" t="s">
        <v>1905</v>
      </c>
      <c r="BM40" t="b">
        <f t="shared" si="42"/>
        <v>1</v>
      </c>
      <c r="BN40" t="str">
        <f t="shared" si="23"/>
        <v>R212</v>
      </c>
      <c r="BO40" t="str">
        <f t="shared" si="24"/>
        <v>R212</v>
      </c>
      <c r="BP40" t="str">
        <f t="shared" si="25"/>
        <v>R799</v>
      </c>
      <c r="BQ40" t="str">
        <f t="shared" si="26"/>
        <v>R799</v>
      </c>
      <c r="BR40" t="s">
        <v>929</v>
      </c>
      <c r="BS40" t="s">
        <v>929</v>
      </c>
      <c r="BT40" t="s">
        <v>929</v>
      </c>
      <c r="BU40" t="b">
        <f t="shared" si="43"/>
        <v>1</v>
      </c>
      <c r="BV40" s="180" t="s">
        <v>2034</v>
      </c>
      <c r="BW40" s="180" t="s">
        <v>767</v>
      </c>
      <c r="BZ40" t="str">
        <f t="shared" si="27"/>
        <v>G379</v>
      </c>
      <c r="CA40" t="b">
        <f t="shared" si="28"/>
        <v>0</v>
      </c>
      <c r="CB40" t="str">
        <f t="shared" si="44"/>
        <v>G379</v>
      </c>
      <c r="CC40" t="str">
        <f t="shared" si="29"/>
        <v>R799</v>
      </c>
      <c r="CD40" t="b">
        <f t="shared" si="45"/>
        <v>0</v>
      </c>
      <c r="CE40" t="str">
        <f t="shared" si="46"/>
        <v>R799</v>
      </c>
      <c r="CG40" t="str">
        <f t="shared" si="30"/>
        <v>G368</v>
      </c>
      <c r="CH40" t="str">
        <f t="shared" si="47"/>
        <v>G368</v>
      </c>
      <c r="CI40" t="str">
        <f t="shared" si="31"/>
        <v>G507</v>
      </c>
      <c r="CJ40" t="str">
        <f t="shared" si="32"/>
        <v>G507</v>
      </c>
      <c r="CK40" t="s">
        <v>1682</v>
      </c>
      <c r="CL40" t="s">
        <v>1682</v>
      </c>
      <c r="CM40" t="s">
        <v>1682</v>
      </c>
      <c r="CN40" t="b">
        <f t="shared" si="48"/>
        <v>1</v>
      </c>
      <c r="CO40" t="str">
        <f t="shared" si="33"/>
        <v>R14</v>
      </c>
      <c r="CP40" t="str">
        <f t="shared" si="49"/>
        <v>R14</v>
      </c>
      <c r="CQ40" t="str">
        <f t="shared" si="34"/>
        <v>R126</v>
      </c>
      <c r="CR40" t="str">
        <f t="shared" si="35"/>
        <v>R126</v>
      </c>
      <c r="CS40" t="s">
        <v>1127</v>
      </c>
      <c r="CT40" t="s">
        <v>1127</v>
      </c>
      <c r="CU40" t="s">
        <v>1127</v>
      </c>
      <c r="CV40" t="b">
        <f t="shared" si="50"/>
        <v>1</v>
      </c>
      <c r="DC40" t="str">
        <f t="shared" si="36"/>
        <v>G507</v>
      </c>
      <c r="DD40" t="b">
        <f t="shared" si="52"/>
        <v>0</v>
      </c>
      <c r="DE40" t="str">
        <f t="shared" si="53"/>
        <v>G507</v>
      </c>
      <c r="DF40" t="str">
        <f t="shared" si="37"/>
        <v>R126</v>
      </c>
      <c r="DG40" t="b">
        <f t="shared" si="54"/>
        <v>0</v>
      </c>
      <c r="DH40" t="str">
        <f t="shared" si="55"/>
        <v>R126</v>
      </c>
    </row>
    <row r="41" spans="2:112" ht="12" customHeight="1">
      <c r="B41" t="str">
        <f>TBIDry!H113</f>
        <v>G625</v>
      </c>
      <c r="C41" t="str">
        <f>TBIDry!I113</f>
        <v>R796</v>
      </c>
      <c r="D41" t="b">
        <f t="shared" si="1"/>
        <v>0</v>
      </c>
      <c r="E41" t="b">
        <f t="shared" si="2"/>
        <v>0</v>
      </c>
      <c r="G41" t="str">
        <f>TBIWet!H113</f>
        <v>G499</v>
      </c>
      <c r="H41" t="str">
        <f>TBIWet!I113</f>
        <v>R87</v>
      </c>
      <c r="I41" t="b">
        <f t="shared" si="3"/>
        <v>0</v>
      </c>
      <c r="J41" t="b">
        <f t="shared" si="38"/>
        <v>0</v>
      </c>
      <c r="L41" t="str">
        <f>'Both teabags AfterWet'!A39</f>
        <v>G375</v>
      </c>
      <c r="M41" t="str">
        <f>'Both teabags AfterWet'!A459</f>
        <v>R142</v>
      </c>
      <c r="N41" t="b">
        <f t="shared" si="4"/>
        <v>0</v>
      </c>
      <c r="O41" t="b">
        <f t="shared" si="56"/>
        <v>0</v>
      </c>
      <c r="Q41" s="388" t="b">
        <f t="shared" si="5"/>
        <v>0</v>
      </c>
      <c r="R41" s="388" t="b">
        <f t="shared" si="6"/>
        <v>0</v>
      </c>
      <c r="T41" t="str">
        <f>'Both teabags AfterDry'!A39</f>
        <v>G147</v>
      </c>
      <c r="U41" t="str">
        <f>'Both teabags AfterDry'!A374</f>
        <v>R214</v>
      </c>
      <c r="V41" t="b">
        <f t="shared" si="7"/>
        <v>0</v>
      </c>
      <c r="W41" t="b">
        <f t="shared" si="39"/>
        <v>0</v>
      </c>
      <c r="Y41" t="str">
        <f>'Green_rooibos initial weight'!A42</f>
        <v>G38</v>
      </c>
      <c r="Z41" t="str">
        <f>'Green_rooibos initial weight'!A946</f>
        <v>R38</v>
      </c>
      <c r="AA41" t="b">
        <f t="shared" si="8"/>
        <v>0</v>
      </c>
      <c r="AB41" t="b">
        <f t="shared" si="9"/>
        <v>0</v>
      </c>
      <c r="AE41" t="str">
        <f>'WetLitterbags placem_collection'!K40</f>
        <v>G499</v>
      </c>
      <c r="AF41" t="str">
        <f>'WetLitterbags placem_collection'!M40</f>
        <v>R87</v>
      </c>
      <c r="AG41" t="b">
        <f t="shared" si="10"/>
        <v>0</v>
      </c>
      <c r="AH41" t="b">
        <f t="shared" si="11"/>
        <v>0</v>
      </c>
      <c r="AJ41" t="b">
        <f t="shared" si="12"/>
        <v>0</v>
      </c>
      <c r="AK41" t="b">
        <f t="shared" si="13"/>
        <v>0</v>
      </c>
      <c r="AM41" t="str">
        <f>IF(ISBLANK('Dry_Litterbag Placem_Collection'!J40),"","G"&amp;""&amp;'Dry_Litterbag Placem_Collection'!J40)</f>
        <v>G625</v>
      </c>
      <c r="AN41" t="str">
        <f>IF(ISBLANK('Dry_Litterbag Placem_Collection'!K40),"","R"&amp;""&amp;'Dry_Litterbag Placem_Collection'!K40)</f>
        <v>R796</v>
      </c>
      <c r="AO41" t="b">
        <f t="shared" si="58"/>
        <v>0</v>
      </c>
      <c r="AP41" t="b">
        <f t="shared" si="15"/>
        <v>0</v>
      </c>
      <c r="AS41" t="str">
        <f>'Ashed teabags dry'!A39</f>
        <v>G147</v>
      </c>
      <c r="AT41" t="str">
        <f>'Ashed teabags dry'!A374</f>
        <v>R214</v>
      </c>
      <c r="AU41" t="b">
        <f t="shared" si="16"/>
        <v>0</v>
      </c>
      <c r="AV41" t="b">
        <f t="shared" si="40"/>
        <v>0</v>
      </c>
      <c r="AX41" s="388" t="b">
        <f t="shared" si="17"/>
        <v>0</v>
      </c>
      <c r="AY41" s="388" t="b">
        <f t="shared" si="18"/>
        <v>0</v>
      </c>
      <c r="BA41" t="str">
        <f>'Ashed teabags wet'!A39</f>
        <v>G375</v>
      </c>
      <c r="BB41" t="str">
        <f>'Ashed teabags wet'!A459</f>
        <v>R142</v>
      </c>
      <c r="BC41" t="b">
        <f t="shared" si="19"/>
        <v>0</v>
      </c>
      <c r="BD41" t="b">
        <f t="shared" si="0"/>
        <v>0</v>
      </c>
      <c r="BF41" t="str">
        <f t="shared" si="20"/>
        <v>G146</v>
      </c>
      <c r="BG41" t="str">
        <f t="shared" si="21"/>
        <v>G146</v>
      </c>
      <c r="BH41" t="str">
        <f t="shared" si="22"/>
        <v>G66</v>
      </c>
      <c r="BI41" t="str">
        <f t="shared" si="41"/>
        <v>G66</v>
      </c>
      <c r="BJ41" t="s">
        <v>1904</v>
      </c>
      <c r="BK41" t="s">
        <v>1904</v>
      </c>
      <c r="BL41" t="s">
        <v>1904</v>
      </c>
      <c r="BM41" t="b">
        <f t="shared" si="42"/>
        <v>1</v>
      </c>
      <c r="BN41" t="str">
        <f t="shared" si="23"/>
        <v>R213</v>
      </c>
      <c r="BO41" t="str">
        <f t="shared" si="24"/>
        <v>R213</v>
      </c>
      <c r="BP41" t="str">
        <f t="shared" si="25"/>
        <v>R722</v>
      </c>
      <c r="BQ41" t="str">
        <f t="shared" si="26"/>
        <v>R722</v>
      </c>
      <c r="BR41" t="s">
        <v>928</v>
      </c>
      <c r="BS41" t="s">
        <v>928</v>
      </c>
      <c r="BT41" t="s">
        <v>928</v>
      </c>
      <c r="BU41" t="b">
        <f t="shared" si="43"/>
        <v>1</v>
      </c>
      <c r="BV41" s="180" t="s">
        <v>1840</v>
      </c>
      <c r="BW41" s="180" t="s">
        <v>456</v>
      </c>
      <c r="BZ41" t="str">
        <f t="shared" si="27"/>
        <v>G66</v>
      </c>
      <c r="CA41" t="b">
        <f t="shared" si="28"/>
        <v>0</v>
      </c>
      <c r="CB41" t="str">
        <f t="shared" si="44"/>
        <v>G66</v>
      </c>
      <c r="CC41" t="str">
        <f t="shared" si="29"/>
        <v>R722</v>
      </c>
      <c r="CD41" t="b">
        <f t="shared" si="45"/>
        <v>0</v>
      </c>
      <c r="CE41" t="str">
        <f t="shared" si="46"/>
        <v>R722</v>
      </c>
      <c r="CG41" t="str">
        <f t="shared" si="30"/>
        <v>G373</v>
      </c>
      <c r="CH41" t="str">
        <f t="shared" si="47"/>
        <v>G373</v>
      </c>
      <c r="CI41" t="str">
        <f t="shared" si="31"/>
        <v>G359</v>
      </c>
      <c r="CJ41" t="str">
        <f t="shared" si="32"/>
        <v>G359</v>
      </c>
      <c r="CK41" t="s">
        <v>1677</v>
      </c>
      <c r="CL41" t="s">
        <v>1677</v>
      </c>
      <c r="CM41" t="s">
        <v>1677</v>
      </c>
      <c r="CN41" t="b">
        <f t="shared" si="48"/>
        <v>1</v>
      </c>
      <c r="CO41" t="str">
        <f t="shared" si="33"/>
        <v>R141</v>
      </c>
      <c r="CP41" t="str">
        <f t="shared" si="49"/>
        <v>R141</v>
      </c>
      <c r="CQ41" t="str">
        <f t="shared" si="34"/>
        <v>R63</v>
      </c>
      <c r="CR41" t="str">
        <f t="shared" si="35"/>
        <v>R63</v>
      </c>
      <c r="CS41" t="s">
        <v>1000</v>
      </c>
      <c r="CT41" t="s">
        <v>1000</v>
      </c>
      <c r="CU41" t="s">
        <v>1000</v>
      </c>
      <c r="CV41" t="b">
        <f t="shared" si="50"/>
        <v>1</v>
      </c>
      <c r="DC41" t="str">
        <f t="shared" si="36"/>
        <v>G359</v>
      </c>
      <c r="DD41" t="b">
        <f t="shared" si="52"/>
        <v>0</v>
      </c>
      <c r="DE41" t="str">
        <f t="shared" si="53"/>
        <v>G359</v>
      </c>
      <c r="DF41" t="str">
        <f t="shared" si="37"/>
        <v>R63</v>
      </c>
      <c r="DG41" t="b">
        <f t="shared" si="54"/>
        <v>0</v>
      </c>
      <c r="DH41" t="str">
        <f t="shared" si="55"/>
        <v>R63</v>
      </c>
    </row>
    <row r="42" spans="2:112" ht="12" customHeight="1">
      <c r="B42" t="str">
        <f>TBIDry!H114</f>
        <v/>
      </c>
      <c r="C42" t="str">
        <f>TBIDry!I114</f>
        <v/>
      </c>
      <c r="D42" t="b">
        <f t="shared" si="1"/>
        <v>1</v>
      </c>
      <c r="E42" t="b">
        <f t="shared" si="2"/>
        <v>1</v>
      </c>
      <c r="G42" t="str">
        <f>TBIWet!H114</f>
        <v>G214</v>
      </c>
      <c r="H42" t="str">
        <f>TBIWet!I114</f>
        <v>R437</v>
      </c>
      <c r="I42" t="b">
        <f t="shared" si="3"/>
        <v>0</v>
      </c>
      <c r="J42" t="b">
        <f t="shared" si="38"/>
        <v>0</v>
      </c>
      <c r="L42" t="str">
        <f>'Both teabags AfterWet'!A40</f>
        <v>G383</v>
      </c>
      <c r="M42" t="str">
        <f>'Both teabags AfterWet'!A460</f>
        <v>R143</v>
      </c>
      <c r="N42" t="b">
        <f t="shared" si="4"/>
        <v>0</v>
      </c>
      <c r="O42" t="b">
        <f t="shared" si="56"/>
        <v>0</v>
      </c>
      <c r="Q42" s="388" t="b">
        <f t="shared" si="5"/>
        <v>0</v>
      </c>
      <c r="R42" s="388" t="b">
        <f t="shared" si="6"/>
        <v>0</v>
      </c>
      <c r="T42" t="str">
        <f>'Both teabags AfterDry'!A40</f>
        <v>G148</v>
      </c>
      <c r="U42" t="str">
        <f>'Both teabags AfterDry'!A375</f>
        <v>R221</v>
      </c>
      <c r="V42" t="b">
        <f t="shared" si="7"/>
        <v>0</v>
      </c>
      <c r="W42" t="b">
        <f t="shared" si="39"/>
        <v>0</v>
      </c>
      <c r="Y42" t="str">
        <f>'Green_rooibos initial weight'!A43</f>
        <v>G39</v>
      </c>
      <c r="Z42" t="str">
        <f>'Green_rooibos initial weight'!A947</f>
        <v>R39</v>
      </c>
      <c r="AA42" t="b">
        <f t="shared" si="8"/>
        <v>0</v>
      </c>
      <c r="AB42" t="b">
        <f t="shared" si="9"/>
        <v>0</v>
      </c>
      <c r="AE42" t="str">
        <f>'WetLitterbags placem_collection'!K41</f>
        <v>G214</v>
      </c>
      <c r="AF42" t="str">
        <f>'WetLitterbags placem_collection'!M41</f>
        <v>R437</v>
      </c>
      <c r="AG42" t="b">
        <f t="shared" si="10"/>
        <v>0</v>
      </c>
      <c r="AH42" t="b">
        <f t="shared" si="11"/>
        <v>0</v>
      </c>
      <c r="AJ42" t="b">
        <f t="shared" si="12"/>
        <v>0</v>
      </c>
      <c r="AK42" t="b">
        <f t="shared" si="13"/>
        <v>0</v>
      </c>
      <c r="AM42" t="str">
        <f>IF(ISBLANK('Dry_Litterbag Placem_Collection'!J41),"","G"&amp;""&amp;'Dry_Litterbag Placem_Collection'!J41)</f>
        <v/>
      </c>
      <c r="AN42" t="str">
        <f>IF(ISBLANK('Dry_Litterbag Placem_Collection'!K41),"","R"&amp;""&amp;'Dry_Litterbag Placem_Collection'!K41)</f>
        <v/>
      </c>
      <c r="AO42" t="b">
        <f t="shared" si="58"/>
        <v>1</v>
      </c>
      <c r="AP42" t="b">
        <f t="shared" si="15"/>
        <v>1</v>
      </c>
      <c r="AS42" t="str">
        <f>'Ashed teabags dry'!A40</f>
        <v>G148</v>
      </c>
      <c r="AT42" t="str">
        <f>'Ashed teabags dry'!A375</f>
        <v>R221</v>
      </c>
      <c r="AU42" t="b">
        <f t="shared" si="16"/>
        <v>0</v>
      </c>
      <c r="AV42" t="b">
        <f t="shared" si="40"/>
        <v>0</v>
      </c>
      <c r="AX42" s="388" t="b">
        <f t="shared" si="17"/>
        <v>0</v>
      </c>
      <c r="AY42" s="388" t="b">
        <f t="shared" si="18"/>
        <v>0</v>
      </c>
      <c r="BA42" t="str">
        <f>'Ashed teabags wet'!A40</f>
        <v>G383</v>
      </c>
      <c r="BB42" t="str">
        <f>'Ashed teabags wet'!A460</f>
        <v>R143</v>
      </c>
      <c r="BC42" t="b">
        <f t="shared" si="19"/>
        <v>0</v>
      </c>
      <c r="BD42" t="b">
        <f t="shared" si="0"/>
        <v>0</v>
      </c>
      <c r="BF42" t="str">
        <f t="shared" si="20"/>
        <v>G147</v>
      </c>
      <c r="BG42" t="str">
        <f t="shared" si="21"/>
        <v>G147</v>
      </c>
      <c r="BH42" t="str">
        <f t="shared" si="22"/>
        <v>G625</v>
      </c>
      <c r="BI42" t="str">
        <f t="shared" si="41"/>
        <v>G625</v>
      </c>
      <c r="BJ42" t="s">
        <v>1903</v>
      </c>
      <c r="BK42" t="s">
        <v>1903</v>
      </c>
      <c r="BL42" t="s">
        <v>1903</v>
      </c>
      <c r="BM42" t="b">
        <f t="shared" si="42"/>
        <v>1</v>
      </c>
      <c r="BN42" t="str">
        <f t="shared" si="23"/>
        <v>R214</v>
      </c>
      <c r="BO42" t="str">
        <f t="shared" si="24"/>
        <v>R214</v>
      </c>
      <c r="BP42" t="str">
        <f t="shared" si="25"/>
        <v>R796</v>
      </c>
      <c r="BQ42" t="str">
        <f t="shared" si="26"/>
        <v>R796</v>
      </c>
      <c r="BR42" t="s">
        <v>927</v>
      </c>
      <c r="BS42" t="s">
        <v>927</v>
      </c>
      <c r="BT42" t="s">
        <v>927</v>
      </c>
      <c r="BU42" t="b">
        <f t="shared" si="43"/>
        <v>1</v>
      </c>
      <c r="BV42" s="180" t="s">
        <v>1339</v>
      </c>
      <c r="BW42" s="180" t="s">
        <v>513</v>
      </c>
      <c r="BZ42" t="str">
        <f t="shared" si="27"/>
        <v>G625</v>
      </c>
      <c r="CA42" t="b">
        <f t="shared" si="28"/>
        <v>0</v>
      </c>
      <c r="CB42" t="str">
        <f t="shared" si="44"/>
        <v>G625</v>
      </c>
      <c r="CC42" t="str">
        <f t="shared" si="29"/>
        <v>R796</v>
      </c>
      <c r="CD42" t="b">
        <f t="shared" si="45"/>
        <v>0</v>
      </c>
      <c r="CE42" t="str">
        <f t="shared" si="46"/>
        <v>R796</v>
      </c>
      <c r="CG42" t="str">
        <f t="shared" si="30"/>
        <v>G375</v>
      </c>
      <c r="CH42" t="str">
        <f t="shared" si="47"/>
        <v>G375</v>
      </c>
      <c r="CI42" t="str">
        <f t="shared" si="31"/>
        <v>G499</v>
      </c>
      <c r="CJ42" t="str">
        <f t="shared" si="32"/>
        <v>G499</v>
      </c>
      <c r="CK42" t="s">
        <v>1675</v>
      </c>
      <c r="CL42" t="s">
        <v>1675</v>
      </c>
      <c r="CM42" t="s">
        <v>1675</v>
      </c>
      <c r="CN42" t="b">
        <f t="shared" si="48"/>
        <v>1</v>
      </c>
      <c r="CO42" t="str">
        <f t="shared" si="33"/>
        <v>R142</v>
      </c>
      <c r="CP42" t="str">
        <f t="shared" si="49"/>
        <v>R142</v>
      </c>
      <c r="CQ42" t="str">
        <f t="shared" si="34"/>
        <v>R87</v>
      </c>
      <c r="CR42" t="str">
        <f t="shared" si="35"/>
        <v>R87</v>
      </c>
      <c r="CS42" t="s">
        <v>999</v>
      </c>
      <c r="CT42" t="s">
        <v>999</v>
      </c>
      <c r="CU42" t="s">
        <v>999</v>
      </c>
      <c r="CV42" t="b">
        <f t="shared" si="50"/>
        <v>1</v>
      </c>
      <c r="DC42" t="str">
        <f t="shared" si="36"/>
        <v>G499</v>
      </c>
      <c r="DD42" t="b">
        <f t="shared" si="52"/>
        <v>0</v>
      </c>
      <c r="DE42" t="str">
        <f t="shared" si="53"/>
        <v>G499</v>
      </c>
      <c r="DF42" t="str">
        <f t="shared" si="37"/>
        <v>R87</v>
      </c>
      <c r="DG42" t="b">
        <f t="shared" si="54"/>
        <v>0</v>
      </c>
      <c r="DH42" t="str">
        <f t="shared" si="55"/>
        <v>R87</v>
      </c>
    </row>
    <row r="43" spans="2:112" ht="12" customHeight="1">
      <c r="B43" t="str">
        <f>TBIDry!H115</f>
        <v>G88</v>
      </c>
      <c r="C43" t="str">
        <f>TBIDry!I115</f>
        <v>R782</v>
      </c>
      <c r="D43" t="b">
        <f t="shared" si="1"/>
        <v>0</v>
      </c>
      <c r="E43" t="b">
        <f t="shared" si="2"/>
        <v>0</v>
      </c>
      <c r="G43" t="str">
        <f>TBIWet!H115</f>
        <v>G582</v>
      </c>
      <c r="H43" t="str">
        <f>TBIWet!I115</f>
        <v>R114</v>
      </c>
      <c r="I43" t="b">
        <f t="shared" si="3"/>
        <v>0</v>
      </c>
      <c r="J43" t="b">
        <f t="shared" si="38"/>
        <v>0</v>
      </c>
      <c r="L43" t="str">
        <f>'Both teabags AfterWet'!A41</f>
        <v>G385</v>
      </c>
      <c r="M43" t="str">
        <f>'Both teabags AfterWet'!A461</f>
        <v>R144</v>
      </c>
      <c r="N43" t="b">
        <f t="shared" si="4"/>
        <v>0</v>
      </c>
      <c r="O43" t="b">
        <f t="shared" si="56"/>
        <v>0</v>
      </c>
      <c r="Q43" s="388" t="b">
        <f t="shared" si="5"/>
        <v>0</v>
      </c>
      <c r="R43" s="388" t="b">
        <f t="shared" si="6"/>
        <v>0</v>
      </c>
      <c r="T43" t="str">
        <f>'Both teabags AfterDry'!A41</f>
        <v>G149</v>
      </c>
      <c r="U43" t="str">
        <f>'Both teabags AfterDry'!A376</f>
        <v>R223</v>
      </c>
      <c r="V43" t="b">
        <f t="shared" si="7"/>
        <v>0</v>
      </c>
      <c r="W43" t="b">
        <f t="shared" si="39"/>
        <v>0</v>
      </c>
      <c r="Y43" t="str">
        <f>'Green_rooibos initial weight'!A44</f>
        <v>G40</v>
      </c>
      <c r="Z43" t="str">
        <f>'Green_rooibos initial weight'!A948</f>
        <v>R40</v>
      </c>
      <c r="AA43" t="b">
        <f t="shared" si="8"/>
        <v>0</v>
      </c>
      <c r="AB43" t="b">
        <f t="shared" si="9"/>
        <v>0</v>
      </c>
      <c r="AE43" t="str">
        <f>'WetLitterbags placem_collection'!K42</f>
        <v>G582</v>
      </c>
      <c r="AF43" t="str">
        <f>'WetLitterbags placem_collection'!M42</f>
        <v>R114</v>
      </c>
      <c r="AG43" t="b">
        <f t="shared" si="10"/>
        <v>0</v>
      </c>
      <c r="AH43" t="b">
        <f t="shared" si="11"/>
        <v>0</v>
      </c>
      <c r="AJ43" t="b">
        <f t="shared" si="12"/>
        <v>0</v>
      </c>
      <c r="AK43" t="b">
        <f t="shared" si="13"/>
        <v>0</v>
      </c>
      <c r="AM43" t="str">
        <f>IF(ISBLANK('Dry_Litterbag Placem_Collection'!J42),"","G"&amp;""&amp;'Dry_Litterbag Placem_Collection'!J42)</f>
        <v>G88</v>
      </c>
      <c r="AN43" t="str">
        <f>IF(ISBLANK('Dry_Litterbag Placem_Collection'!K42),"","R"&amp;""&amp;'Dry_Litterbag Placem_Collection'!K42)</f>
        <v>R782</v>
      </c>
      <c r="AO43" t="b">
        <f t="shared" si="58"/>
        <v>0</v>
      </c>
      <c r="AP43" t="b">
        <f t="shared" si="15"/>
        <v>0</v>
      </c>
      <c r="AS43" t="str">
        <f>'Ashed teabags dry'!A41</f>
        <v>G149</v>
      </c>
      <c r="AT43" t="str">
        <f>'Ashed teabags dry'!A376</f>
        <v>R223</v>
      </c>
      <c r="AU43" t="b">
        <f t="shared" si="16"/>
        <v>0</v>
      </c>
      <c r="AV43" t="b">
        <f t="shared" si="40"/>
        <v>0</v>
      </c>
      <c r="AX43" s="388" t="b">
        <f t="shared" si="17"/>
        <v>0</v>
      </c>
      <c r="AY43" s="388" t="b">
        <f t="shared" si="18"/>
        <v>0</v>
      </c>
      <c r="BA43" t="str">
        <f>'Ashed teabags wet'!A41</f>
        <v>G385</v>
      </c>
      <c r="BB43" t="str">
        <f>'Ashed teabags wet'!A461</f>
        <v>R144</v>
      </c>
      <c r="BC43" t="b">
        <f t="shared" si="19"/>
        <v>0</v>
      </c>
      <c r="BD43" t="b">
        <f t="shared" si="0"/>
        <v>0</v>
      </c>
      <c r="BF43" t="str">
        <f t="shared" si="20"/>
        <v>G148</v>
      </c>
      <c r="BG43" t="str">
        <f t="shared" si="21"/>
        <v>G148</v>
      </c>
      <c r="BH43" t="str">
        <f t="shared" si="22"/>
        <v/>
      </c>
      <c r="BI43" t="str">
        <f t="shared" si="41"/>
        <v/>
      </c>
      <c r="BJ43" t="s">
        <v>1902</v>
      </c>
      <c r="BK43" t="s">
        <v>1902</v>
      </c>
      <c r="BL43" t="s">
        <v>1902</v>
      </c>
      <c r="BM43" t="b">
        <f t="shared" si="42"/>
        <v>1</v>
      </c>
      <c r="BN43" t="str">
        <f t="shared" si="23"/>
        <v>R221</v>
      </c>
      <c r="BO43" t="str">
        <f t="shared" si="24"/>
        <v>R221</v>
      </c>
      <c r="BP43" t="str">
        <f t="shared" si="25"/>
        <v/>
      </c>
      <c r="BQ43" t="str">
        <f t="shared" si="26"/>
        <v/>
      </c>
      <c r="BR43" t="s">
        <v>920</v>
      </c>
      <c r="BS43" t="s">
        <v>920</v>
      </c>
      <c r="BT43" t="s">
        <v>920</v>
      </c>
      <c r="BU43" t="b">
        <f t="shared" si="43"/>
        <v>1</v>
      </c>
      <c r="BV43" s="180" t="s">
        <v>1207</v>
      </c>
      <c r="BW43" s="180" t="s">
        <v>825</v>
      </c>
      <c r="BZ43" t="str">
        <f t="shared" si="27"/>
        <v/>
      </c>
      <c r="CA43" t="b">
        <f t="shared" si="28"/>
        <v>0</v>
      </c>
      <c r="CB43" t="str">
        <f t="shared" si="44"/>
        <v/>
      </c>
      <c r="CC43" t="str">
        <f t="shared" si="29"/>
        <v/>
      </c>
      <c r="CD43" t="b">
        <f t="shared" si="45"/>
        <v>0</v>
      </c>
      <c r="CE43" t="str">
        <f t="shared" si="46"/>
        <v/>
      </c>
      <c r="CG43" t="str">
        <f t="shared" si="30"/>
        <v>G383</v>
      </c>
      <c r="CH43" t="str">
        <f t="shared" si="47"/>
        <v>G383</v>
      </c>
      <c r="CI43" t="str">
        <f t="shared" si="31"/>
        <v>G214</v>
      </c>
      <c r="CJ43" t="str">
        <f t="shared" si="32"/>
        <v>G214</v>
      </c>
      <c r="CK43" t="s">
        <v>1667</v>
      </c>
      <c r="CL43" t="s">
        <v>1667</v>
      </c>
      <c r="CM43" t="s">
        <v>1667</v>
      </c>
      <c r="CN43" t="b">
        <f t="shared" si="48"/>
        <v>1</v>
      </c>
      <c r="CO43" t="str">
        <f t="shared" si="33"/>
        <v>R143</v>
      </c>
      <c r="CP43" t="str">
        <f t="shared" si="49"/>
        <v>R143</v>
      </c>
      <c r="CQ43" t="str">
        <f t="shared" si="34"/>
        <v>R437</v>
      </c>
      <c r="CR43" t="str">
        <f t="shared" si="35"/>
        <v>R437</v>
      </c>
      <c r="CS43" t="s">
        <v>998</v>
      </c>
      <c r="CT43" t="s">
        <v>998</v>
      </c>
      <c r="CU43" t="s">
        <v>998</v>
      </c>
      <c r="CV43" t="b">
        <f t="shared" si="50"/>
        <v>1</v>
      </c>
      <c r="DC43" t="str">
        <f t="shared" si="36"/>
        <v>G214</v>
      </c>
      <c r="DD43" t="b">
        <f t="shared" si="52"/>
        <v>0</v>
      </c>
      <c r="DE43" t="str">
        <f t="shared" si="53"/>
        <v>G214</v>
      </c>
      <c r="DF43" t="str">
        <f t="shared" si="37"/>
        <v>R437</v>
      </c>
      <c r="DG43" t="b">
        <f t="shared" si="54"/>
        <v>0</v>
      </c>
      <c r="DH43" t="str">
        <f t="shared" si="55"/>
        <v>R437</v>
      </c>
    </row>
    <row r="44" spans="2:112" ht="12" customHeight="1">
      <c r="B44" t="str">
        <f>TBIDry!H116</f>
        <v>G256</v>
      </c>
      <c r="C44" t="str">
        <f>TBIDry!I116</f>
        <v>R820</v>
      </c>
      <c r="D44" t="b">
        <f t="shared" si="1"/>
        <v>0</v>
      </c>
      <c r="E44" t="b">
        <f t="shared" si="2"/>
        <v>0</v>
      </c>
      <c r="G44" t="str">
        <f>TBIWet!H116</f>
        <v>G453</v>
      </c>
      <c r="H44" t="str">
        <f>TBIWet!I116</f>
        <v>R521</v>
      </c>
      <c r="I44" t="b">
        <f t="shared" si="3"/>
        <v>0</v>
      </c>
      <c r="J44" t="b">
        <f t="shared" si="38"/>
        <v>0</v>
      </c>
      <c r="L44" t="str">
        <f>'Both teabags AfterWet'!A42</f>
        <v>G386</v>
      </c>
      <c r="M44" t="str">
        <f>'Both teabags AfterWet'!A462</f>
        <v>R145</v>
      </c>
      <c r="N44" t="b">
        <f t="shared" si="4"/>
        <v>0</v>
      </c>
      <c r="O44" t="b">
        <f t="shared" si="56"/>
        <v>0</v>
      </c>
      <c r="Q44" s="388" t="b">
        <f t="shared" si="5"/>
        <v>0</v>
      </c>
      <c r="R44" s="388" t="b">
        <f t="shared" si="6"/>
        <v>0</v>
      </c>
      <c r="T44" t="str">
        <f>'Both teabags AfterDry'!A42</f>
        <v>G15</v>
      </c>
      <c r="U44" t="str">
        <f>'Both teabags AfterDry'!A377</f>
        <v>R224</v>
      </c>
      <c r="V44" t="b">
        <f t="shared" si="7"/>
        <v>0</v>
      </c>
      <c r="W44" t="b">
        <f t="shared" si="39"/>
        <v>0</v>
      </c>
      <c r="Y44" t="str">
        <f>'Green_rooibos initial weight'!A45</f>
        <v>G41</v>
      </c>
      <c r="Z44" t="str">
        <f>'Green_rooibos initial weight'!A949</f>
        <v>R41</v>
      </c>
      <c r="AA44" t="b">
        <f t="shared" si="8"/>
        <v>0</v>
      </c>
      <c r="AB44" t="b">
        <f t="shared" si="9"/>
        <v>0</v>
      </c>
      <c r="AE44" t="str">
        <f>'WetLitterbags placem_collection'!K43</f>
        <v>G453</v>
      </c>
      <c r="AF44" t="str">
        <f>'WetLitterbags placem_collection'!M43</f>
        <v>R521</v>
      </c>
      <c r="AG44" t="b">
        <f t="shared" si="10"/>
        <v>0</v>
      </c>
      <c r="AH44" t="b">
        <f t="shared" si="11"/>
        <v>0</v>
      </c>
      <c r="AJ44" t="b">
        <f t="shared" si="12"/>
        <v>0</v>
      </c>
      <c r="AK44" t="b">
        <f t="shared" si="13"/>
        <v>0</v>
      </c>
      <c r="AM44" t="str">
        <f>IF(ISBLANK('Dry_Litterbag Placem_Collection'!J43),"","G"&amp;""&amp;'Dry_Litterbag Placem_Collection'!J43)</f>
        <v>G256</v>
      </c>
      <c r="AN44" t="str">
        <f>IF(ISBLANK('Dry_Litterbag Placem_Collection'!K43),"","R"&amp;""&amp;'Dry_Litterbag Placem_Collection'!K43)</f>
        <v>R820</v>
      </c>
      <c r="AO44" t="b">
        <f t="shared" si="58"/>
        <v>0</v>
      </c>
      <c r="AP44" t="b">
        <f t="shared" si="15"/>
        <v>0</v>
      </c>
      <c r="AS44" t="str">
        <f>'Ashed teabags dry'!A42</f>
        <v>G15</v>
      </c>
      <c r="AT44" t="str">
        <f>'Ashed teabags dry'!A377</f>
        <v>R224</v>
      </c>
      <c r="AU44" t="b">
        <f t="shared" si="16"/>
        <v>0</v>
      </c>
      <c r="AV44" t="b">
        <f t="shared" si="40"/>
        <v>0</v>
      </c>
      <c r="AX44" s="388" t="b">
        <f t="shared" si="17"/>
        <v>0</v>
      </c>
      <c r="AY44" s="388" t="b">
        <f t="shared" si="18"/>
        <v>0</v>
      </c>
      <c r="BA44" t="str">
        <f>'Ashed teabags wet'!A42</f>
        <v>G386</v>
      </c>
      <c r="BB44" t="str">
        <f>'Ashed teabags wet'!A462</f>
        <v>R145</v>
      </c>
      <c r="BC44" t="b">
        <f t="shared" si="19"/>
        <v>0</v>
      </c>
      <c r="BD44" t="b">
        <f t="shared" si="0"/>
        <v>0</v>
      </c>
      <c r="BF44" t="str">
        <f t="shared" si="20"/>
        <v>G149</v>
      </c>
      <c r="BG44" t="str">
        <f t="shared" si="21"/>
        <v>G149</v>
      </c>
      <c r="BH44" t="str">
        <f t="shared" si="22"/>
        <v>G88</v>
      </c>
      <c r="BI44" t="str">
        <f t="shared" si="41"/>
        <v>G88</v>
      </c>
      <c r="BJ44" t="s">
        <v>1901</v>
      </c>
      <c r="BK44" t="s">
        <v>1901</v>
      </c>
      <c r="BL44" t="s">
        <v>1901</v>
      </c>
      <c r="BM44" t="b">
        <f t="shared" si="42"/>
        <v>1</v>
      </c>
      <c r="BN44" t="str">
        <f t="shared" si="23"/>
        <v>R223</v>
      </c>
      <c r="BO44" t="str">
        <f t="shared" si="24"/>
        <v>R223</v>
      </c>
      <c r="BP44" t="str">
        <f t="shared" si="25"/>
        <v>R782</v>
      </c>
      <c r="BQ44" t="str">
        <f t="shared" si="26"/>
        <v>R782</v>
      </c>
      <c r="BR44" t="s">
        <v>918</v>
      </c>
      <c r="BS44" t="s">
        <v>918</v>
      </c>
      <c r="BT44" t="s">
        <v>918</v>
      </c>
      <c r="BU44" t="b">
        <f t="shared" si="43"/>
        <v>1</v>
      </c>
      <c r="BV44" s="180" t="s">
        <v>2017</v>
      </c>
      <c r="BW44" s="180" t="s">
        <v>893</v>
      </c>
      <c r="BZ44" t="str">
        <f t="shared" si="27"/>
        <v>G88</v>
      </c>
      <c r="CA44" t="b">
        <f t="shared" si="28"/>
        <v>0</v>
      </c>
      <c r="CB44" t="str">
        <f t="shared" si="44"/>
        <v>G88</v>
      </c>
      <c r="CC44" t="str">
        <f t="shared" si="29"/>
        <v>R782</v>
      </c>
      <c r="CD44" t="b">
        <f t="shared" si="45"/>
        <v>0</v>
      </c>
      <c r="CE44" t="str">
        <f t="shared" si="46"/>
        <v>R782</v>
      </c>
      <c r="CG44" t="str">
        <f t="shared" si="30"/>
        <v>G385</v>
      </c>
      <c r="CH44" t="str">
        <f t="shared" si="47"/>
        <v>G385</v>
      </c>
      <c r="CI44" t="str">
        <f t="shared" si="31"/>
        <v>G582</v>
      </c>
      <c r="CJ44" t="str">
        <f t="shared" si="32"/>
        <v>G582</v>
      </c>
      <c r="CK44" t="s">
        <v>1665</v>
      </c>
      <c r="CL44" t="s">
        <v>1665</v>
      </c>
      <c r="CM44" t="s">
        <v>1665</v>
      </c>
      <c r="CN44" t="b">
        <f t="shared" si="48"/>
        <v>1</v>
      </c>
      <c r="CO44" t="str">
        <f t="shared" si="33"/>
        <v>R144</v>
      </c>
      <c r="CP44" t="str">
        <f t="shared" si="49"/>
        <v>R144</v>
      </c>
      <c r="CQ44" t="str">
        <f t="shared" si="34"/>
        <v>R114</v>
      </c>
      <c r="CR44" t="str">
        <f t="shared" si="35"/>
        <v>R114</v>
      </c>
      <c r="CS44" t="s">
        <v>997</v>
      </c>
      <c r="CT44" t="s">
        <v>997</v>
      </c>
      <c r="CU44" t="s">
        <v>997</v>
      </c>
      <c r="CV44" t="b">
        <f t="shared" si="50"/>
        <v>1</v>
      </c>
      <c r="DC44" t="str">
        <f t="shared" si="36"/>
        <v>G582</v>
      </c>
      <c r="DD44" t="b">
        <f t="shared" si="52"/>
        <v>0</v>
      </c>
      <c r="DE44" t="str">
        <f t="shared" si="53"/>
        <v>G582</v>
      </c>
      <c r="DF44" t="str">
        <f t="shared" si="37"/>
        <v>R114</v>
      </c>
      <c r="DG44" t="b">
        <f t="shared" si="54"/>
        <v>0</v>
      </c>
      <c r="DH44" t="str">
        <f t="shared" si="55"/>
        <v>R114</v>
      </c>
    </row>
    <row r="45" spans="2:112" ht="12" customHeight="1">
      <c r="B45" t="str">
        <f>TBIDry!H117</f>
        <v>G341</v>
      </c>
      <c r="C45" t="str">
        <f>TBIDry!I117</f>
        <v>R806</v>
      </c>
      <c r="D45" t="b">
        <f t="shared" si="1"/>
        <v>0</v>
      </c>
      <c r="E45" t="b">
        <f t="shared" si="2"/>
        <v>0</v>
      </c>
      <c r="G45" t="str">
        <f>TBIWet!H117</f>
        <v>G764</v>
      </c>
      <c r="H45" t="str">
        <f>TBIWet!I117</f>
        <v>R371</v>
      </c>
      <c r="I45" t="b">
        <f t="shared" si="3"/>
        <v>0</v>
      </c>
      <c r="J45" t="b">
        <f t="shared" si="38"/>
        <v>0</v>
      </c>
      <c r="L45" t="str">
        <f>'Both teabags AfterWet'!A43</f>
        <v>G387</v>
      </c>
      <c r="M45" t="str">
        <f>'Both teabags AfterWet'!A463</f>
        <v>R146</v>
      </c>
      <c r="N45" t="b">
        <f t="shared" si="4"/>
        <v>0</v>
      </c>
      <c r="O45" t="b">
        <f t="shared" si="56"/>
        <v>0</v>
      </c>
      <c r="Q45" s="388" t="b">
        <f t="shared" si="5"/>
        <v>0</v>
      </c>
      <c r="R45" s="388" t="b">
        <f t="shared" si="6"/>
        <v>0</v>
      </c>
      <c r="T45" t="str">
        <f>'Both teabags AfterDry'!A43</f>
        <v>G152</v>
      </c>
      <c r="U45" t="str">
        <f>'Both teabags AfterDry'!A378</f>
        <v>R225</v>
      </c>
      <c r="V45" t="b">
        <f t="shared" si="7"/>
        <v>0</v>
      </c>
      <c r="W45" t="b">
        <f t="shared" si="39"/>
        <v>0</v>
      </c>
      <c r="Y45" t="str">
        <f>'Green_rooibos initial weight'!A46</f>
        <v>G42</v>
      </c>
      <c r="Z45" t="str">
        <f>'Green_rooibos initial weight'!A950</f>
        <v>R42</v>
      </c>
      <c r="AA45" t="b">
        <f t="shared" si="8"/>
        <v>0</v>
      </c>
      <c r="AB45" t="b">
        <f t="shared" si="9"/>
        <v>0</v>
      </c>
      <c r="AE45" t="str">
        <f>'WetLitterbags placem_collection'!K44</f>
        <v>G764</v>
      </c>
      <c r="AF45" t="str">
        <f>'WetLitterbags placem_collection'!M44</f>
        <v>R371</v>
      </c>
      <c r="AG45" t="b">
        <f t="shared" si="10"/>
        <v>0</v>
      </c>
      <c r="AH45" t="b">
        <f t="shared" si="11"/>
        <v>0</v>
      </c>
      <c r="AJ45" t="b">
        <f t="shared" si="12"/>
        <v>0</v>
      </c>
      <c r="AK45" t="b">
        <f t="shared" si="13"/>
        <v>0</v>
      </c>
      <c r="AM45" t="str">
        <f>IF(ISBLANK('Dry_Litterbag Placem_Collection'!J44),"","G"&amp;""&amp;'Dry_Litterbag Placem_Collection'!J44)</f>
        <v>G341</v>
      </c>
      <c r="AN45" t="str">
        <f>IF(ISBLANK('Dry_Litterbag Placem_Collection'!K44),"","R"&amp;""&amp;'Dry_Litterbag Placem_Collection'!K44)</f>
        <v>R806</v>
      </c>
      <c r="AO45" t="b">
        <f t="shared" si="58"/>
        <v>0</v>
      </c>
      <c r="AP45" t="b">
        <f t="shared" si="15"/>
        <v>0</v>
      </c>
      <c r="AS45" t="str">
        <f>'Ashed teabags dry'!A43</f>
        <v>G152</v>
      </c>
      <c r="AT45" t="str">
        <f>'Ashed teabags dry'!A378</f>
        <v>R225</v>
      </c>
      <c r="AU45" t="b">
        <f t="shared" si="16"/>
        <v>0</v>
      </c>
      <c r="AV45" t="b">
        <f t="shared" si="40"/>
        <v>0</v>
      </c>
      <c r="AX45" s="388" t="b">
        <f t="shared" si="17"/>
        <v>0</v>
      </c>
      <c r="AY45" s="388" t="b">
        <f t="shared" si="18"/>
        <v>0</v>
      </c>
      <c r="BA45" t="str">
        <f>'Ashed teabags wet'!A43</f>
        <v>G387</v>
      </c>
      <c r="BB45" t="str">
        <f>'Ashed teabags wet'!A463</f>
        <v>R146</v>
      </c>
      <c r="BC45" t="b">
        <f t="shared" si="19"/>
        <v>0</v>
      </c>
      <c r="BD45" t="b">
        <f t="shared" si="0"/>
        <v>0</v>
      </c>
      <c r="BF45" t="str">
        <f t="shared" si="20"/>
        <v>G15</v>
      </c>
      <c r="BG45" t="str">
        <f t="shared" si="21"/>
        <v>G15</v>
      </c>
      <c r="BH45" t="str">
        <f t="shared" si="22"/>
        <v>G256</v>
      </c>
      <c r="BI45" t="str">
        <f t="shared" si="41"/>
        <v>G256</v>
      </c>
      <c r="BJ45" t="s">
        <v>2035</v>
      </c>
      <c r="BK45" t="s">
        <v>2035</v>
      </c>
      <c r="BL45" t="s">
        <v>2035</v>
      </c>
      <c r="BM45" t="b">
        <f t="shared" si="42"/>
        <v>1</v>
      </c>
      <c r="BN45" t="str">
        <f t="shared" si="23"/>
        <v>R224</v>
      </c>
      <c r="BO45" t="str">
        <f t="shared" si="24"/>
        <v>R224</v>
      </c>
      <c r="BP45" t="str">
        <f t="shared" si="25"/>
        <v>R820</v>
      </c>
      <c r="BQ45" t="str">
        <f t="shared" si="26"/>
        <v>R820</v>
      </c>
      <c r="BR45" t="s">
        <v>917</v>
      </c>
      <c r="BS45" t="s">
        <v>917</v>
      </c>
      <c r="BT45" t="s">
        <v>917</v>
      </c>
      <c r="BU45" t="b">
        <f t="shared" si="43"/>
        <v>1</v>
      </c>
      <c r="BV45" s="180" t="s">
        <v>1746</v>
      </c>
      <c r="BW45" s="180" t="s">
        <v>728</v>
      </c>
      <c r="BZ45" t="str">
        <f t="shared" si="27"/>
        <v>G256</v>
      </c>
      <c r="CA45" t="b">
        <f t="shared" si="28"/>
        <v>0</v>
      </c>
      <c r="CB45" t="str">
        <f t="shared" si="44"/>
        <v>G256</v>
      </c>
      <c r="CC45" t="str">
        <f t="shared" si="29"/>
        <v>R820</v>
      </c>
      <c r="CD45" t="b">
        <f t="shared" si="45"/>
        <v>0</v>
      </c>
      <c r="CE45" t="str">
        <f t="shared" si="46"/>
        <v>R820</v>
      </c>
      <c r="CG45" t="str">
        <f t="shared" si="30"/>
        <v>G386</v>
      </c>
      <c r="CH45" t="str">
        <f t="shared" si="47"/>
        <v>G386</v>
      </c>
      <c r="CI45" t="str">
        <f t="shared" si="31"/>
        <v>G453</v>
      </c>
      <c r="CJ45" t="str">
        <f t="shared" si="32"/>
        <v>G453</v>
      </c>
      <c r="CK45" t="s">
        <v>1664</v>
      </c>
      <c r="CL45" t="s">
        <v>1664</v>
      </c>
      <c r="CM45" t="s">
        <v>1664</v>
      </c>
      <c r="CN45" t="b">
        <f t="shared" si="48"/>
        <v>1</v>
      </c>
      <c r="CO45" t="str">
        <f t="shared" si="33"/>
        <v>R145</v>
      </c>
      <c r="CP45" t="str">
        <f t="shared" si="49"/>
        <v>R145</v>
      </c>
      <c r="CQ45" t="str">
        <f t="shared" si="34"/>
        <v>R521</v>
      </c>
      <c r="CR45" t="str">
        <f t="shared" si="35"/>
        <v>R521</v>
      </c>
      <c r="CS45" t="s">
        <v>996</v>
      </c>
      <c r="CT45" t="s">
        <v>996</v>
      </c>
      <c r="CU45" t="s">
        <v>996</v>
      </c>
      <c r="CV45" t="b">
        <f t="shared" si="50"/>
        <v>1</v>
      </c>
      <c r="DC45" t="str">
        <f t="shared" si="36"/>
        <v>G453</v>
      </c>
      <c r="DD45" t="b">
        <f t="shared" si="52"/>
        <v>0</v>
      </c>
      <c r="DE45" t="str">
        <f t="shared" si="53"/>
        <v>G453</v>
      </c>
      <c r="DF45" t="str">
        <f t="shared" si="37"/>
        <v>R521</v>
      </c>
      <c r="DG45" t="b">
        <f t="shared" si="54"/>
        <v>0</v>
      </c>
      <c r="DH45" t="str">
        <f t="shared" si="55"/>
        <v>R521</v>
      </c>
    </row>
    <row r="46" spans="2:112" ht="12" customHeight="1">
      <c r="B46" t="str">
        <f>TBIDry!H118</f>
        <v>G246</v>
      </c>
      <c r="C46" t="str">
        <f>TBIDry!I118</f>
        <v>R758</v>
      </c>
      <c r="D46" t="b">
        <f t="shared" si="1"/>
        <v>0</v>
      </c>
      <c r="E46" t="b">
        <f t="shared" si="2"/>
        <v>0</v>
      </c>
      <c r="G46" t="str">
        <f>TBIWet!H118</f>
        <v>G690</v>
      </c>
      <c r="H46" t="str">
        <f>TBIWet!I118</f>
        <v>R376</v>
      </c>
      <c r="I46" t="b">
        <f t="shared" si="3"/>
        <v>0</v>
      </c>
      <c r="J46" t="b">
        <f t="shared" si="38"/>
        <v>0</v>
      </c>
      <c r="L46" t="str">
        <f>'Both teabags AfterWet'!A44</f>
        <v>G388</v>
      </c>
      <c r="M46" t="str">
        <f>'Both teabags AfterWet'!A464</f>
        <v>R147</v>
      </c>
      <c r="N46" t="b">
        <f t="shared" si="4"/>
        <v>0</v>
      </c>
      <c r="O46" t="b">
        <f t="shared" si="56"/>
        <v>0</v>
      </c>
      <c r="Q46" s="388" t="b">
        <f t="shared" si="5"/>
        <v>0</v>
      </c>
      <c r="R46" s="388" t="b">
        <f t="shared" si="6"/>
        <v>0</v>
      </c>
      <c r="T46" t="str">
        <f>'Both teabags AfterDry'!A44</f>
        <v>G153</v>
      </c>
      <c r="U46" t="str">
        <f>'Both teabags AfterDry'!A379</f>
        <v>R227</v>
      </c>
      <c r="V46" t="b">
        <f t="shared" si="7"/>
        <v>0</v>
      </c>
      <c r="W46" t="b">
        <f t="shared" si="39"/>
        <v>0</v>
      </c>
      <c r="Y46" t="str">
        <f>'Green_rooibos initial weight'!A47</f>
        <v>G43</v>
      </c>
      <c r="Z46" t="str">
        <f>'Green_rooibos initial weight'!A951</f>
        <v>R43</v>
      </c>
      <c r="AA46" t="b">
        <f t="shared" si="8"/>
        <v>0</v>
      </c>
      <c r="AB46" t="b">
        <f t="shared" si="9"/>
        <v>0</v>
      </c>
      <c r="AE46" t="str">
        <f>'WetLitterbags placem_collection'!K45</f>
        <v>G690</v>
      </c>
      <c r="AF46" t="str">
        <f>'WetLitterbags placem_collection'!M45</f>
        <v>R376</v>
      </c>
      <c r="AG46" t="b">
        <f t="shared" si="10"/>
        <v>0</v>
      </c>
      <c r="AH46" t="b">
        <f t="shared" si="11"/>
        <v>0</v>
      </c>
      <c r="AJ46" t="b">
        <f t="shared" si="12"/>
        <v>0</v>
      </c>
      <c r="AK46" t="b">
        <f t="shared" si="13"/>
        <v>0</v>
      </c>
      <c r="AM46" t="str">
        <f>IF(ISBLANK('Dry_Litterbag Placem_Collection'!J45),"","G"&amp;""&amp;'Dry_Litterbag Placem_Collection'!J45)</f>
        <v>G246</v>
      </c>
      <c r="AN46" t="str">
        <f>IF(ISBLANK('Dry_Litterbag Placem_Collection'!K45),"","R"&amp;""&amp;'Dry_Litterbag Placem_Collection'!K45)</f>
        <v>R758</v>
      </c>
      <c r="AO46" t="b">
        <f t="shared" si="58"/>
        <v>0</v>
      </c>
      <c r="AP46" t="b">
        <f t="shared" si="15"/>
        <v>0</v>
      </c>
      <c r="AS46" t="str">
        <f>'Ashed teabags dry'!A44</f>
        <v>G153</v>
      </c>
      <c r="AT46" t="str">
        <f>'Ashed teabags dry'!A379</f>
        <v>R227</v>
      </c>
      <c r="AU46" t="b">
        <f t="shared" si="16"/>
        <v>0</v>
      </c>
      <c r="AV46" t="b">
        <f t="shared" si="40"/>
        <v>0</v>
      </c>
      <c r="AX46" s="388" t="b">
        <f t="shared" si="17"/>
        <v>0</v>
      </c>
      <c r="AY46" s="388" t="b">
        <f t="shared" si="18"/>
        <v>0</v>
      </c>
      <c r="BA46" t="str">
        <f>'Ashed teabags wet'!A44</f>
        <v>G388</v>
      </c>
      <c r="BB46" t="str">
        <f>'Ashed teabags wet'!A464</f>
        <v>R147</v>
      </c>
      <c r="BC46" t="b">
        <f t="shared" si="19"/>
        <v>0</v>
      </c>
      <c r="BD46" t="b">
        <f t="shared" si="0"/>
        <v>0</v>
      </c>
      <c r="BF46" t="str">
        <f t="shared" si="20"/>
        <v>G152</v>
      </c>
      <c r="BG46" t="str">
        <f t="shared" si="21"/>
        <v>G152</v>
      </c>
      <c r="BH46" t="str">
        <f t="shared" si="22"/>
        <v>G341</v>
      </c>
      <c r="BI46" t="str">
        <f t="shared" si="41"/>
        <v>G341</v>
      </c>
      <c r="BJ46" t="s">
        <v>1898</v>
      </c>
      <c r="BK46" t="s">
        <v>1898</v>
      </c>
      <c r="BL46" t="s">
        <v>1898</v>
      </c>
      <c r="BM46" t="b">
        <f t="shared" si="42"/>
        <v>1</v>
      </c>
      <c r="BN46" t="str">
        <f t="shared" si="23"/>
        <v>R225</v>
      </c>
      <c r="BO46" t="str">
        <f t="shared" si="24"/>
        <v>R225</v>
      </c>
      <c r="BP46" t="str">
        <f t="shared" si="25"/>
        <v>R806</v>
      </c>
      <c r="BQ46" t="str">
        <f t="shared" si="26"/>
        <v>R806</v>
      </c>
      <c r="BR46" t="s">
        <v>916</v>
      </c>
      <c r="BS46" t="s">
        <v>916</v>
      </c>
      <c r="BT46" t="s">
        <v>916</v>
      </c>
      <c r="BU46" t="b">
        <f t="shared" si="43"/>
        <v>1</v>
      </c>
      <c r="BV46" s="180" t="s">
        <v>1743</v>
      </c>
      <c r="BW46" s="180" t="s">
        <v>668</v>
      </c>
      <c r="BZ46" t="str">
        <f t="shared" si="27"/>
        <v>G341</v>
      </c>
      <c r="CA46" t="b">
        <f t="shared" si="28"/>
        <v>0</v>
      </c>
      <c r="CB46" t="str">
        <f t="shared" si="44"/>
        <v>G341</v>
      </c>
      <c r="CC46" t="str">
        <f t="shared" si="29"/>
        <v>R806</v>
      </c>
      <c r="CD46" t="b">
        <f t="shared" si="45"/>
        <v>0</v>
      </c>
      <c r="CE46" t="str">
        <f t="shared" si="46"/>
        <v>R806</v>
      </c>
      <c r="CG46" t="str">
        <f t="shared" si="30"/>
        <v>G387</v>
      </c>
      <c r="CH46" t="str">
        <f t="shared" si="47"/>
        <v>G387</v>
      </c>
      <c r="CI46" t="str">
        <f t="shared" si="31"/>
        <v>G764</v>
      </c>
      <c r="CJ46" t="str">
        <f t="shared" si="32"/>
        <v>G764</v>
      </c>
      <c r="CK46" t="s">
        <v>1663</v>
      </c>
      <c r="CL46" t="s">
        <v>1663</v>
      </c>
      <c r="CM46" t="s">
        <v>1663</v>
      </c>
      <c r="CN46" t="b">
        <f t="shared" si="48"/>
        <v>1</v>
      </c>
      <c r="CO46" t="str">
        <f t="shared" si="33"/>
        <v>R146</v>
      </c>
      <c r="CP46" t="str">
        <f t="shared" si="49"/>
        <v>R146</v>
      </c>
      <c r="CQ46" t="str">
        <f t="shared" si="34"/>
        <v>R371</v>
      </c>
      <c r="CR46" t="str">
        <f t="shared" si="35"/>
        <v>R371</v>
      </c>
      <c r="CS46" t="s">
        <v>995</v>
      </c>
      <c r="CT46" t="s">
        <v>995</v>
      </c>
      <c r="CU46" t="s">
        <v>995</v>
      </c>
      <c r="CV46" t="b">
        <f t="shared" si="50"/>
        <v>1</v>
      </c>
      <c r="DC46" t="str">
        <f t="shared" si="36"/>
        <v>G764</v>
      </c>
      <c r="DD46" t="b">
        <f t="shared" si="52"/>
        <v>0</v>
      </c>
      <c r="DE46" t="str">
        <f t="shared" si="53"/>
        <v>G764</v>
      </c>
      <c r="DF46" t="str">
        <f t="shared" si="37"/>
        <v>R371</v>
      </c>
      <c r="DG46" t="b">
        <f t="shared" si="54"/>
        <v>0</v>
      </c>
      <c r="DH46" t="str">
        <f t="shared" si="55"/>
        <v>R371</v>
      </c>
    </row>
    <row r="47" spans="2:112" ht="12" customHeight="1">
      <c r="B47" t="str">
        <f>TBIDry!H119</f>
        <v>G115</v>
      </c>
      <c r="C47" t="str">
        <f>TBIDry!I119</f>
        <v>R783</v>
      </c>
      <c r="D47" t="b">
        <f t="shared" si="1"/>
        <v>0</v>
      </c>
      <c r="E47" t="b">
        <f t="shared" si="2"/>
        <v>0</v>
      </c>
      <c r="G47" t="str">
        <f>TBIWet!H119</f>
        <v>G774</v>
      </c>
      <c r="H47" t="str">
        <f>TBIWet!I119</f>
        <v>R166</v>
      </c>
      <c r="I47" t="b">
        <f t="shared" si="3"/>
        <v>0</v>
      </c>
      <c r="J47" t="b">
        <f t="shared" si="38"/>
        <v>0</v>
      </c>
      <c r="L47" t="str">
        <f>'Both teabags AfterWet'!A45</f>
        <v>G389</v>
      </c>
      <c r="M47" t="str">
        <f>'Both teabags AfterWet'!A465</f>
        <v>R148</v>
      </c>
      <c r="N47" t="b">
        <f t="shared" si="4"/>
        <v>0</v>
      </c>
      <c r="O47" t="b">
        <f t="shared" si="56"/>
        <v>0</v>
      </c>
      <c r="Q47" s="388" t="b">
        <f t="shared" si="5"/>
        <v>0</v>
      </c>
      <c r="R47" s="388" t="b">
        <f t="shared" si="6"/>
        <v>0</v>
      </c>
      <c r="T47" t="str">
        <f>'Both teabags AfterDry'!A45</f>
        <v>G155</v>
      </c>
      <c r="U47" t="str">
        <f>'Both teabags AfterDry'!A380</f>
        <v>R229</v>
      </c>
      <c r="V47" t="b">
        <f t="shared" si="7"/>
        <v>0</v>
      </c>
      <c r="W47" t="b">
        <f t="shared" si="39"/>
        <v>0</v>
      </c>
      <c r="Y47" t="str">
        <f>'Green_rooibos initial weight'!A48</f>
        <v>G44</v>
      </c>
      <c r="Z47" t="str">
        <f>'Green_rooibos initial weight'!A952</f>
        <v>R44</v>
      </c>
      <c r="AA47" t="b">
        <f t="shared" si="8"/>
        <v>0</v>
      </c>
      <c r="AB47" t="b">
        <f t="shared" si="9"/>
        <v>0</v>
      </c>
      <c r="AE47" t="str">
        <f>'WetLitterbags placem_collection'!K46</f>
        <v>G774</v>
      </c>
      <c r="AF47" t="str">
        <f>'WetLitterbags placem_collection'!M46</f>
        <v>R166</v>
      </c>
      <c r="AG47" t="b">
        <f t="shared" si="10"/>
        <v>0</v>
      </c>
      <c r="AH47" t="b">
        <f t="shared" si="11"/>
        <v>0</v>
      </c>
      <c r="AJ47" t="b">
        <f t="shared" si="12"/>
        <v>0</v>
      </c>
      <c r="AK47" t="b">
        <f t="shared" si="13"/>
        <v>0</v>
      </c>
      <c r="AM47" t="str">
        <f>IF(ISBLANK('Dry_Litterbag Placem_Collection'!J46),"","G"&amp;""&amp;'Dry_Litterbag Placem_Collection'!J46)</f>
        <v>G115</v>
      </c>
      <c r="AN47" t="str">
        <f>IF(ISBLANK('Dry_Litterbag Placem_Collection'!K46),"","R"&amp;""&amp;'Dry_Litterbag Placem_Collection'!K46)</f>
        <v>R783</v>
      </c>
      <c r="AO47" t="b">
        <f t="shared" si="58"/>
        <v>0</v>
      </c>
      <c r="AP47" t="b">
        <f t="shared" si="15"/>
        <v>0</v>
      </c>
      <c r="AS47" t="str">
        <f>'Ashed teabags dry'!A45</f>
        <v>G155</v>
      </c>
      <c r="AT47" t="str">
        <f>'Ashed teabags dry'!A380</f>
        <v>R229</v>
      </c>
      <c r="AU47" t="b">
        <f t="shared" si="16"/>
        <v>0</v>
      </c>
      <c r="AV47" t="b">
        <f t="shared" si="40"/>
        <v>0</v>
      </c>
      <c r="AX47" s="388" t="b">
        <f t="shared" si="17"/>
        <v>0</v>
      </c>
      <c r="AY47" s="388" t="b">
        <f t="shared" si="18"/>
        <v>0</v>
      </c>
      <c r="BA47" t="str">
        <f>'Ashed teabags wet'!A45</f>
        <v>G389</v>
      </c>
      <c r="BB47" t="str">
        <f>'Ashed teabags wet'!A465</f>
        <v>R148</v>
      </c>
      <c r="BC47" t="b">
        <f t="shared" si="19"/>
        <v>0</v>
      </c>
      <c r="BD47" t="b">
        <f t="shared" si="0"/>
        <v>0</v>
      </c>
      <c r="BF47" t="str">
        <f t="shared" si="20"/>
        <v>G153</v>
      </c>
      <c r="BG47" t="str">
        <f t="shared" si="21"/>
        <v>G153</v>
      </c>
      <c r="BH47" t="str">
        <f t="shared" si="22"/>
        <v>G246</v>
      </c>
      <c r="BI47" t="str">
        <f t="shared" si="41"/>
        <v>G246</v>
      </c>
      <c r="BJ47" t="s">
        <v>1897</v>
      </c>
      <c r="BK47" t="s">
        <v>1897</v>
      </c>
      <c r="BL47" t="s">
        <v>1897</v>
      </c>
      <c r="BM47" t="b">
        <f t="shared" si="42"/>
        <v>1</v>
      </c>
      <c r="BN47" t="str">
        <f t="shared" si="23"/>
        <v>R227</v>
      </c>
      <c r="BO47" t="str">
        <f t="shared" si="24"/>
        <v>R227</v>
      </c>
      <c r="BP47" t="str">
        <f t="shared" si="25"/>
        <v>R758</v>
      </c>
      <c r="BQ47" t="str">
        <f t="shared" si="26"/>
        <v>R758</v>
      </c>
      <c r="BR47" t="s">
        <v>914</v>
      </c>
      <c r="BS47" t="s">
        <v>914</v>
      </c>
      <c r="BT47" t="s">
        <v>914</v>
      </c>
      <c r="BU47" t="b">
        <f t="shared" si="43"/>
        <v>1</v>
      </c>
      <c r="BV47" s="180" t="s">
        <v>2036</v>
      </c>
      <c r="BW47" s="180" t="s">
        <v>1071</v>
      </c>
      <c r="BZ47" t="str">
        <f t="shared" si="27"/>
        <v>G246</v>
      </c>
      <c r="CA47" t="b">
        <f t="shared" si="28"/>
        <v>0</v>
      </c>
      <c r="CB47" t="str">
        <f t="shared" si="44"/>
        <v>G246</v>
      </c>
      <c r="CC47" t="str">
        <f t="shared" si="29"/>
        <v>R758</v>
      </c>
      <c r="CD47" t="b">
        <f t="shared" si="45"/>
        <v>0</v>
      </c>
      <c r="CE47" t="str">
        <f t="shared" si="46"/>
        <v>R758</v>
      </c>
      <c r="CG47" t="str">
        <f t="shared" si="30"/>
        <v>G388</v>
      </c>
      <c r="CH47" t="str">
        <f t="shared" si="47"/>
        <v>G388</v>
      </c>
      <c r="CI47" t="str">
        <f t="shared" si="31"/>
        <v>G690</v>
      </c>
      <c r="CJ47" t="str">
        <f t="shared" si="32"/>
        <v>G690</v>
      </c>
      <c r="CK47" t="s">
        <v>1662</v>
      </c>
      <c r="CL47" t="s">
        <v>1662</v>
      </c>
      <c r="CM47" t="s">
        <v>1662</v>
      </c>
      <c r="CN47" t="b">
        <f t="shared" si="48"/>
        <v>1</v>
      </c>
      <c r="CO47" t="str">
        <f t="shared" si="33"/>
        <v>R147</v>
      </c>
      <c r="CP47" t="str">
        <f t="shared" si="49"/>
        <v>R147</v>
      </c>
      <c r="CQ47" t="str">
        <f t="shared" si="34"/>
        <v>R376</v>
      </c>
      <c r="CR47" t="str">
        <f t="shared" si="35"/>
        <v>R376</v>
      </c>
      <c r="CS47" t="s">
        <v>994</v>
      </c>
      <c r="CT47" t="s">
        <v>994</v>
      </c>
      <c r="CU47" t="s">
        <v>994</v>
      </c>
      <c r="CV47" t="b">
        <f t="shared" si="50"/>
        <v>1</v>
      </c>
      <c r="DC47" t="str">
        <f t="shared" si="36"/>
        <v>G690</v>
      </c>
      <c r="DD47" t="b">
        <f t="shared" si="52"/>
        <v>0</v>
      </c>
      <c r="DE47" t="str">
        <f t="shared" si="53"/>
        <v>G690</v>
      </c>
      <c r="DF47" t="str">
        <f t="shared" si="37"/>
        <v>R376</v>
      </c>
      <c r="DG47" t="b">
        <f t="shared" si="54"/>
        <v>0</v>
      </c>
      <c r="DH47" t="str">
        <f t="shared" si="55"/>
        <v>R376</v>
      </c>
    </row>
    <row r="48" spans="2:112" ht="12" customHeight="1">
      <c r="B48" t="str">
        <f>TBIDry!H120</f>
        <v>G480</v>
      </c>
      <c r="C48" t="str">
        <f>TBIDry!I120</f>
        <v>R827</v>
      </c>
      <c r="D48" t="b">
        <f t="shared" si="1"/>
        <v>0</v>
      </c>
      <c r="E48" t="b">
        <f t="shared" si="2"/>
        <v>0</v>
      </c>
      <c r="G48" t="str">
        <f>TBIWet!H120</f>
        <v>G519</v>
      </c>
      <c r="H48" t="str">
        <f>TBIWet!I120</f>
        <v>R469</v>
      </c>
      <c r="I48" t="b">
        <f t="shared" si="3"/>
        <v>0</v>
      </c>
      <c r="J48" t="b">
        <f t="shared" si="38"/>
        <v>0</v>
      </c>
      <c r="L48" t="str">
        <f>'Both teabags AfterWet'!A46</f>
        <v>G390</v>
      </c>
      <c r="M48" t="str">
        <f>'Both teabags AfterWet'!A466</f>
        <v>R149</v>
      </c>
      <c r="N48" t="b">
        <f t="shared" si="4"/>
        <v>0</v>
      </c>
      <c r="O48" t="b">
        <f t="shared" si="56"/>
        <v>0</v>
      </c>
      <c r="Q48" s="388" t="b">
        <f t="shared" si="5"/>
        <v>0</v>
      </c>
      <c r="R48" s="388" t="b">
        <f t="shared" si="6"/>
        <v>0</v>
      </c>
      <c r="T48" t="str">
        <f>'Both teabags AfterDry'!A46</f>
        <v>G156</v>
      </c>
      <c r="U48" t="str">
        <f>'Both teabags AfterDry'!A381</f>
        <v>R230</v>
      </c>
      <c r="V48" t="b">
        <f t="shared" si="7"/>
        <v>0</v>
      </c>
      <c r="W48" t="b">
        <f t="shared" si="39"/>
        <v>0</v>
      </c>
      <c r="Y48" t="str">
        <f>'Green_rooibos initial weight'!A49</f>
        <v>G45</v>
      </c>
      <c r="Z48" t="str">
        <f>'Green_rooibos initial weight'!A953</f>
        <v>R45</v>
      </c>
      <c r="AA48" t="b">
        <f t="shared" si="8"/>
        <v>0</v>
      </c>
      <c r="AB48" t="b">
        <f t="shared" si="9"/>
        <v>0</v>
      </c>
      <c r="AE48" t="str">
        <f>'WetLitterbags placem_collection'!K47</f>
        <v>G519</v>
      </c>
      <c r="AF48" t="str">
        <f>'WetLitterbags placem_collection'!M47</f>
        <v>R469</v>
      </c>
      <c r="AG48" t="b">
        <f t="shared" si="10"/>
        <v>0</v>
      </c>
      <c r="AH48" t="b">
        <f t="shared" si="11"/>
        <v>0</v>
      </c>
      <c r="AJ48" t="b">
        <f t="shared" si="12"/>
        <v>0</v>
      </c>
      <c r="AK48" t="b">
        <f t="shared" si="13"/>
        <v>0</v>
      </c>
      <c r="AM48" t="str">
        <f>IF(ISBLANK('Dry_Litterbag Placem_Collection'!J47),"","G"&amp;""&amp;'Dry_Litterbag Placem_Collection'!J47)</f>
        <v>G480</v>
      </c>
      <c r="AN48" t="str">
        <f>IF(ISBLANK('Dry_Litterbag Placem_Collection'!K47),"","R"&amp;""&amp;'Dry_Litterbag Placem_Collection'!K47)</f>
        <v>R827</v>
      </c>
      <c r="AO48" t="b">
        <f t="shared" si="58"/>
        <v>0</v>
      </c>
      <c r="AP48" t="b">
        <f t="shared" si="15"/>
        <v>0</v>
      </c>
      <c r="AS48" t="str">
        <f>'Ashed teabags dry'!A46</f>
        <v>G156</v>
      </c>
      <c r="AT48" t="str">
        <f>'Ashed teabags dry'!A381</f>
        <v>R230</v>
      </c>
      <c r="AU48" t="b">
        <f t="shared" si="16"/>
        <v>0</v>
      </c>
      <c r="AV48" t="b">
        <f t="shared" si="40"/>
        <v>0</v>
      </c>
      <c r="AX48" s="388" t="b">
        <f t="shared" si="17"/>
        <v>0</v>
      </c>
      <c r="AY48" s="388" t="b">
        <f t="shared" si="18"/>
        <v>0</v>
      </c>
      <c r="BA48" t="str">
        <f>'Ashed teabags wet'!A46</f>
        <v>G390</v>
      </c>
      <c r="BB48" t="str">
        <f>'Ashed teabags wet'!A466</f>
        <v>R149</v>
      </c>
      <c r="BC48" t="b">
        <f t="shared" si="19"/>
        <v>0</v>
      </c>
      <c r="BD48" t="b">
        <f t="shared" si="0"/>
        <v>0</v>
      </c>
      <c r="BF48" t="str">
        <f t="shared" si="20"/>
        <v>G155</v>
      </c>
      <c r="BG48" t="str">
        <f t="shared" si="21"/>
        <v>G155</v>
      </c>
      <c r="BH48" t="str">
        <f t="shared" si="22"/>
        <v>G115</v>
      </c>
      <c r="BI48" t="str">
        <f t="shared" si="41"/>
        <v>G115</v>
      </c>
      <c r="BJ48" t="s">
        <v>1895</v>
      </c>
      <c r="BK48" t="s">
        <v>1895</v>
      </c>
      <c r="BL48" t="s">
        <v>1895</v>
      </c>
      <c r="BM48" t="b">
        <f t="shared" si="42"/>
        <v>1</v>
      </c>
      <c r="BN48" t="str">
        <f t="shared" si="23"/>
        <v>R229</v>
      </c>
      <c r="BO48" t="str">
        <f t="shared" si="24"/>
        <v>R229</v>
      </c>
      <c r="BP48" t="str">
        <f t="shared" si="25"/>
        <v>R783</v>
      </c>
      <c r="BQ48" t="str">
        <f t="shared" si="26"/>
        <v>R783</v>
      </c>
      <c r="BR48" t="s">
        <v>912</v>
      </c>
      <c r="BS48" t="s">
        <v>912</v>
      </c>
      <c r="BT48" t="s">
        <v>912</v>
      </c>
      <c r="BU48" t="b">
        <f t="shared" si="43"/>
        <v>1</v>
      </c>
      <c r="BV48" s="180" t="s">
        <v>1885</v>
      </c>
      <c r="BW48" s="180" t="s">
        <v>532</v>
      </c>
      <c r="BZ48" t="str">
        <f t="shared" si="27"/>
        <v>G115</v>
      </c>
      <c r="CA48" t="b">
        <f t="shared" si="28"/>
        <v>0</v>
      </c>
      <c r="CB48" t="str">
        <f t="shared" si="44"/>
        <v>G115</v>
      </c>
      <c r="CC48" t="str">
        <f t="shared" si="29"/>
        <v>R783</v>
      </c>
      <c r="CD48" t="b">
        <f t="shared" si="45"/>
        <v>0</v>
      </c>
      <c r="CE48" t="str">
        <f t="shared" si="46"/>
        <v>R783</v>
      </c>
      <c r="CG48" t="str">
        <f t="shared" si="30"/>
        <v>G389</v>
      </c>
      <c r="CH48" t="str">
        <f t="shared" si="47"/>
        <v>G389</v>
      </c>
      <c r="CI48" t="str">
        <f t="shared" si="31"/>
        <v>G774</v>
      </c>
      <c r="CJ48" t="str">
        <f t="shared" si="32"/>
        <v>G774</v>
      </c>
      <c r="CK48" t="s">
        <v>1661</v>
      </c>
      <c r="CL48" t="s">
        <v>1661</v>
      </c>
      <c r="CM48" t="s">
        <v>1661</v>
      </c>
      <c r="CN48" t="b">
        <f t="shared" si="48"/>
        <v>1</v>
      </c>
      <c r="CO48" t="str">
        <f t="shared" si="33"/>
        <v>R148</v>
      </c>
      <c r="CP48" t="str">
        <f t="shared" si="49"/>
        <v>R148</v>
      </c>
      <c r="CQ48" t="str">
        <f t="shared" si="34"/>
        <v>R166</v>
      </c>
      <c r="CR48" t="str">
        <f t="shared" si="35"/>
        <v>R166</v>
      </c>
      <c r="CS48" t="s">
        <v>993</v>
      </c>
      <c r="CT48" t="s">
        <v>993</v>
      </c>
      <c r="CU48" t="s">
        <v>993</v>
      </c>
      <c r="CV48" t="b">
        <f t="shared" si="50"/>
        <v>1</v>
      </c>
      <c r="DC48" t="str">
        <f t="shared" si="36"/>
        <v>G774</v>
      </c>
      <c r="DD48" t="b">
        <f t="shared" si="52"/>
        <v>0</v>
      </c>
      <c r="DE48" t="str">
        <f t="shared" si="53"/>
        <v>G774</v>
      </c>
      <c r="DF48" t="str">
        <f t="shared" si="37"/>
        <v>R166</v>
      </c>
      <c r="DG48" t="b">
        <f t="shared" si="54"/>
        <v>0</v>
      </c>
      <c r="DH48" t="str">
        <f t="shared" si="55"/>
        <v>R166</v>
      </c>
    </row>
    <row r="49" spans="2:112" ht="12" customHeight="1">
      <c r="B49" t="str">
        <f>TBIDry!H121</f>
        <v/>
      </c>
      <c r="C49" t="str">
        <f>TBIDry!I121</f>
        <v/>
      </c>
      <c r="D49" t="b">
        <f t="shared" si="1"/>
        <v>1</v>
      </c>
      <c r="E49" t="b">
        <f t="shared" si="2"/>
        <v>1</v>
      </c>
      <c r="G49" t="str">
        <f>TBIWet!H121</f>
        <v>G635</v>
      </c>
      <c r="H49" t="str">
        <f>TBIWet!I121</f>
        <v>R86</v>
      </c>
      <c r="I49" t="b">
        <f t="shared" si="3"/>
        <v>0</v>
      </c>
      <c r="J49" t="b">
        <f t="shared" si="38"/>
        <v>0</v>
      </c>
      <c r="L49" t="str">
        <f>'Both teabags AfterWet'!A47</f>
        <v>G391</v>
      </c>
      <c r="M49" t="str">
        <f>'Both teabags AfterWet'!A467</f>
        <v>R15</v>
      </c>
      <c r="N49" t="b">
        <f t="shared" si="4"/>
        <v>0</v>
      </c>
      <c r="O49" t="b">
        <f t="shared" si="56"/>
        <v>0</v>
      </c>
      <c r="Q49" s="388" t="b">
        <f t="shared" si="5"/>
        <v>0</v>
      </c>
      <c r="R49" s="388" t="b">
        <f t="shared" si="6"/>
        <v>0</v>
      </c>
      <c r="T49" t="str">
        <f>'Both teabags AfterDry'!A47</f>
        <v>G157</v>
      </c>
      <c r="U49" t="str">
        <f>'Both teabags AfterDry'!A382</f>
        <v>R231</v>
      </c>
      <c r="V49" t="b">
        <f t="shared" si="7"/>
        <v>0</v>
      </c>
      <c r="W49" t="b">
        <f t="shared" si="39"/>
        <v>0</v>
      </c>
      <c r="Y49" t="str">
        <f>'Green_rooibos initial weight'!A50</f>
        <v>G46</v>
      </c>
      <c r="Z49" t="str">
        <f>'Green_rooibos initial weight'!A954</f>
        <v>R46</v>
      </c>
      <c r="AA49" t="b">
        <f t="shared" si="8"/>
        <v>0</v>
      </c>
      <c r="AB49" t="b">
        <f t="shared" si="9"/>
        <v>0</v>
      </c>
      <c r="AE49" t="str">
        <f>'WetLitterbags placem_collection'!K48</f>
        <v>G635</v>
      </c>
      <c r="AF49" t="str">
        <f>'WetLitterbags placem_collection'!M48</f>
        <v>R86</v>
      </c>
      <c r="AG49" t="b">
        <f t="shared" si="10"/>
        <v>0</v>
      </c>
      <c r="AH49" t="b">
        <f t="shared" si="11"/>
        <v>0</v>
      </c>
      <c r="AJ49" t="b">
        <f t="shared" si="12"/>
        <v>0</v>
      </c>
      <c r="AK49" t="b">
        <f t="shared" si="13"/>
        <v>0</v>
      </c>
      <c r="AM49" t="str">
        <f>IF(ISBLANK('Dry_Litterbag Placem_Collection'!J48),"","G"&amp;""&amp;'Dry_Litterbag Placem_Collection'!J48)</f>
        <v/>
      </c>
      <c r="AN49" t="str">
        <f>IF(ISBLANK('Dry_Litterbag Placem_Collection'!K48),"","R"&amp;""&amp;'Dry_Litterbag Placem_Collection'!K48)</f>
        <v/>
      </c>
      <c r="AO49" t="b">
        <f t="shared" si="58"/>
        <v>1</v>
      </c>
      <c r="AP49" t="b">
        <f t="shared" si="15"/>
        <v>1</v>
      </c>
      <c r="AS49" t="str">
        <f>'Ashed teabags dry'!A47</f>
        <v>G157</v>
      </c>
      <c r="AT49" t="str">
        <f>'Ashed teabags dry'!A382</f>
        <v>R231</v>
      </c>
      <c r="AU49" t="b">
        <f t="shared" si="16"/>
        <v>0</v>
      </c>
      <c r="AV49" t="b">
        <f t="shared" si="40"/>
        <v>0</v>
      </c>
      <c r="AX49" s="388" t="b">
        <f t="shared" si="17"/>
        <v>0</v>
      </c>
      <c r="AY49" s="388" t="b">
        <f t="shared" si="18"/>
        <v>0</v>
      </c>
      <c r="BA49" t="str">
        <f>'Ashed teabags wet'!A47</f>
        <v>G391</v>
      </c>
      <c r="BB49" t="str">
        <f>'Ashed teabags wet'!A467</f>
        <v>R15</v>
      </c>
      <c r="BC49" t="b">
        <f t="shared" si="19"/>
        <v>0</v>
      </c>
      <c r="BD49" t="b">
        <f t="shared" si="0"/>
        <v>0</v>
      </c>
      <c r="BF49" t="str">
        <f t="shared" si="20"/>
        <v>G156</v>
      </c>
      <c r="BG49" t="str">
        <f t="shared" si="21"/>
        <v>G156</v>
      </c>
      <c r="BH49" t="str">
        <f t="shared" si="22"/>
        <v>G480</v>
      </c>
      <c r="BI49" t="str">
        <f t="shared" si="41"/>
        <v/>
      </c>
      <c r="BJ49" t="s">
        <v>1894</v>
      </c>
      <c r="BK49" t="s">
        <v>1894</v>
      </c>
      <c r="BL49" t="s">
        <v>1894</v>
      </c>
      <c r="BM49" t="b">
        <f t="shared" si="42"/>
        <v>1</v>
      </c>
      <c r="BN49" t="str">
        <f t="shared" si="23"/>
        <v>R230</v>
      </c>
      <c r="BO49" t="str">
        <f t="shared" si="24"/>
        <v>R230</v>
      </c>
      <c r="BP49" t="str">
        <f t="shared" si="25"/>
        <v>R827</v>
      </c>
      <c r="BQ49" t="str">
        <f t="shared" si="26"/>
        <v/>
      </c>
      <c r="BR49" t="s">
        <v>911</v>
      </c>
      <c r="BS49" t="s">
        <v>911</v>
      </c>
      <c r="BT49" t="s">
        <v>911</v>
      </c>
      <c r="BU49" t="b">
        <f t="shared" si="43"/>
        <v>1</v>
      </c>
      <c r="BV49" s="180" t="s">
        <v>1997</v>
      </c>
      <c r="BW49" s="180" t="s">
        <v>467</v>
      </c>
      <c r="BZ49" t="str">
        <f t="shared" si="27"/>
        <v>G480</v>
      </c>
      <c r="CA49" t="b">
        <f t="shared" si="28"/>
        <v>1</v>
      </c>
      <c r="CB49" t="str">
        <f t="shared" si="44"/>
        <v/>
      </c>
      <c r="CC49" t="str">
        <f t="shared" si="29"/>
        <v>R827</v>
      </c>
      <c r="CD49" t="b">
        <f t="shared" si="45"/>
        <v>1</v>
      </c>
      <c r="CE49" t="str">
        <f t="shared" si="46"/>
        <v/>
      </c>
      <c r="CG49" t="str">
        <f t="shared" si="30"/>
        <v>G390</v>
      </c>
      <c r="CH49" t="str">
        <f t="shared" si="47"/>
        <v>G390</v>
      </c>
      <c r="CI49" t="str">
        <f t="shared" si="31"/>
        <v>G519</v>
      </c>
      <c r="CJ49" t="str">
        <f t="shared" si="32"/>
        <v>G519</v>
      </c>
      <c r="CK49" t="s">
        <v>1660</v>
      </c>
      <c r="CL49" t="s">
        <v>1660</v>
      </c>
      <c r="CM49" t="s">
        <v>1660</v>
      </c>
      <c r="CN49" t="b">
        <f t="shared" si="48"/>
        <v>1</v>
      </c>
      <c r="CO49" t="str">
        <f t="shared" si="33"/>
        <v>R149</v>
      </c>
      <c r="CP49" t="str">
        <f t="shared" si="49"/>
        <v>R149</v>
      </c>
      <c r="CQ49" t="str">
        <f t="shared" si="34"/>
        <v>R469</v>
      </c>
      <c r="CR49" t="str">
        <f t="shared" si="35"/>
        <v>R469</v>
      </c>
      <c r="CS49" t="s">
        <v>992</v>
      </c>
      <c r="CT49" t="s">
        <v>992</v>
      </c>
      <c r="CU49" t="s">
        <v>992</v>
      </c>
      <c r="CV49" t="b">
        <f t="shared" si="50"/>
        <v>1</v>
      </c>
      <c r="DC49" t="str">
        <f t="shared" si="36"/>
        <v>G519</v>
      </c>
      <c r="DD49" t="b">
        <f t="shared" si="52"/>
        <v>0</v>
      </c>
      <c r="DE49" t="str">
        <f t="shared" si="53"/>
        <v>G519</v>
      </c>
      <c r="DF49" t="str">
        <f t="shared" si="37"/>
        <v>R469</v>
      </c>
      <c r="DG49" t="b">
        <f t="shared" si="54"/>
        <v>0</v>
      </c>
      <c r="DH49" t="str">
        <f t="shared" si="55"/>
        <v>R469</v>
      </c>
    </row>
    <row r="50" spans="2:112" ht="12" customHeight="1">
      <c r="B50" t="str">
        <f>TBIDry!H122</f>
        <v>G110</v>
      </c>
      <c r="C50" t="str">
        <f>TBIDry!I122</f>
        <v>R831</v>
      </c>
      <c r="D50" t="b">
        <f t="shared" si="1"/>
        <v>0</v>
      </c>
      <c r="E50" t="b">
        <f t="shared" si="2"/>
        <v>0</v>
      </c>
      <c r="G50" t="str">
        <f>TBIWet!H122</f>
        <v>G539</v>
      </c>
      <c r="H50" t="str">
        <f>TBIWet!I122</f>
        <v>R146</v>
      </c>
      <c r="I50" t="b">
        <f t="shared" si="3"/>
        <v>0</v>
      </c>
      <c r="J50" t="b">
        <f t="shared" si="38"/>
        <v>0</v>
      </c>
      <c r="L50" t="str">
        <f>'Both teabags AfterWet'!A48</f>
        <v>G393</v>
      </c>
      <c r="M50" t="str">
        <f>'Both teabags AfterWet'!A468</f>
        <v>R150</v>
      </c>
      <c r="N50" t="b">
        <f t="shared" si="4"/>
        <v>0</v>
      </c>
      <c r="O50" t="b">
        <f t="shared" si="56"/>
        <v>0</v>
      </c>
      <c r="Q50" s="388" t="b">
        <f t="shared" si="5"/>
        <v>0</v>
      </c>
      <c r="R50" s="388" t="b">
        <f t="shared" si="6"/>
        <v>0</v>
      </c>
      <c r="T50" t="str">
        <f>'Both teabags AfterDry'!A48</f>
        <v>G158</v>
      </c>
      <c r="U50" t="str">
        <f>'Both teabags AfterDry'!A383</f>
        <v>R233</v>
      </c>
      <c r="V50" t="b">
        <f t="shared" si="7"/>
        <v>0</v>
      </c>
      <c r="W50" t="b">
        <f t="shared" si="39"/>
        <v>0</v>
      </c>
      <c r="Y50" t="str">
        <f>'Green_rooibos initial weight'!A51</f>
        <v>G47</v>
      </c>
      <c r="Z50" t="str">
        <f>'Green_rooibos initial weight'!A955</f>
        <v>R47</v>
      </c>
      <c r="AA50" t="b">
        <f t="shared" si="8"/>
        <v>0</v>
      </c>
      <c r="AB50" t="b">
        <f t="shared" si="9"/>
        <v>0</v>
      </c>
      <c r="AE50" t="str">
        <f>'WetLitterbags placem_collection'!K49</f>
        <v>G539</v>
      </c>
      <c r="AF50" t="str">
        <f>'WetLitterbags placem_collection'!M49</f>
        <v>R146</v>
      </c>
      <c r="AG50" t="b">
        <f t="shared" si="10"/>
        <v>0</v>
      </c>
      <c r="AH50" t="b">
        <f t="shared" si="11"/>
        <v>0</v>
      </c>
      <c r="AJ50" t="b">
        <f t="shared" si="12"/>
        <v>0</v>
      </c>
      <c r="AK50" t="b">
        <f t="shared" si="13"/>
        <v>0</v>
      </c>
      <c r="AM50" t="str">
        <f>IF(ISBLANK('Dry_Litterbag Placem_Collection'!J49),"","G"&amp;""&amp;'Dry_Litterbag Placem_Collection'!J49)</f>
        <v>G110</v>
      </c>
      <c r="AN50" t="str">
        <f>IF(ISBLANK('Dry_Litterbag Placem_Collection'!K49),"","R"&amp;""&amp;'Dry_Litterbag Placem_Collection'!K49)</f>
        <v>R831</v>
      </c>
      <c r="AO50" t="b">
        <f t="shared" si="58"/>
        <v>0</v>
      </c>
      <c r="AP50" t="b">
        <f t="shared" si="15"/>
        <v>0</v>
      </c>
      <c r="AS50" t="str">
        <f>'Ashed teabags dry'!A48</f>
        <v>G158</v>
      </c>
      <c r="AT50" t="str">
        <f>'Ashed teabags dry'!A383</f>
        <v>R233</v>
      </c>
      <c r="AU50" t="b">
        <f t="shared" si="16"/>
        <v>0</v>
      </c>
      <c r="AV50" t="b">
        <f t="shared" si="40"/>
        <v>0</v>
      </c>
      <c r="AX50" s="388" t="b">
        <f t="shared" si="17"/>
        <v>0</v>
      </c>
      <c r="AY50" s="388" t="b">
        <f t="shared" si="18"/>
        <v>0</v>
      </c>
      <c r="BA50" t="str">
        <f>'Ashed teabags wet'!A48</f>
        <v>G393</v>
      </c>
      <c r="BB50" t="str">
        <f>'Ashed teabags wet'!A468</f>
        <v>R150</v>
      </c>
      <c r="BC50" t="b">
        <f t="shared" si="19"/>
        <v>0</v>
      </c>
      <c r="BD50" t="b">
        <f t="shared" si="0"/>
        <v>0</v>
      </c>
      <c r="BF50" t="str">
        <f t="shared" si="20"/>
        <v>G157</v>
      </c>
      <c r="BG50" t="str">
        <f t="shared" si="21"/>
        <v>G157</v>
      </c>
      <c r="BH50" t="str">
        <f t="shared" si="22"/>
        <v/>
      </c>
      <c r="BI50" t="str">
        <f t="shared" si="41"/>
        <v/>
      </c>
      <c r="BJ50" t="s">
        <v>1893</v>
      </c>
      <c r="BK50" t="s">
        <v>1893</v>
      </c>
      <c r="BL50" t="s">
        <v>1893</v>
      </c>
      <c r="BM50" t="b">
        <f t="shared" si="42"/>
        <v>1</v>
      </c>
      <c r="BN50" t="str">
        <f t="shared" si="23"/>
        <v>R231</v>
      </c>
      <c r="BO50" t="str">
        <f t="shared" si="24"/>
        <v>R231</v>
      </c>
      <c r="BP50" t="str">
        <f t="shared" si="25"/>
        <v/>
      </c>
      <c r="BQ50" t="str">
        <f t="shared" si="26"/>
        <v/>
      </c>
      <c r="BR50" t="s">
        <v>910</v>
      </c>
      <c r="BS50" t="s">
        <v>910</v>
      </c>
      <c r="BT50" t="s">
        <v>910</v>
      </c>
      <c r="BU50" t="b">
        <f t="shared" si="43"/>
        <v>1</v>
      </c>
      <c r="BV50" s="180" t="s">
        <v>1562</v>
      </c>
      <c r="BW50" s="180" t="s">
        <v>932</v>
      </c>
      <c r="BZ50" t="str">
        <f t="shared" si="27"/>
        <v/>
      </c>
      <c r="CA50" t="b">
        <f t="shared" si="28"/>
        <v>0</v>
      </c>
      <c r="CB50" t="str">
        <f t="shared" si="44"/>
        <v/>
      </c>
      <c r="CC50" t="str">
        <f t="shared" si="29"/>
        <v/>
      </c>
      <c r="CD50" t="b">
        <f t="shared" si="45"/>
        <v>0</v>
      </c>
      <c r="CE50" t="str">
        <f t="shared" si="46"/>
        <v/>
      </c>
      <c r="CG50" t="str">
        <f t="shared" si="30"/>
        <v>G391</v>
      </c>
      <c r="CH50" t="str">
        <f t="shared" si="47"/>
        <v>G391</v>
      </c>
      <c r="CI50" t="str">
        <f t="shared" si="31"/>
        <v>G635</v>
      </c>
      <c r="CJ50" t="str">
        <f t="shared" si="32"/>
        <v/>
      </c>
      <c r="CK50" t="s">
        <v>1659</v>
      </c>
      <c r="CL50" t="s">
        <v>1659</v>
      </c>
      <c r="CM50" t="s">
        <v>1659</v>
      </c>
      <c r="CN50" t="b">
        <f t="shared" si="48"/>
        <v>1</v>
      </c>
      <c r="CO50" t="str">
        <f t="shared" si="33"/>
        <v>R15</v>
      </c>
      <c r="CP50" t="str">
        <f t="shared" si="49"/>
        <v>R15</v>
      </c>
      <c r="CQ50" t="str">
        <f t="shared" si="34"/>
        <v>R86</v>
      </c>
      <c r="CR50" t="str">
        <f t="shared" si="35"/>
        <v/>
      </c>
      <c r="CS50" t="s">
        <v>1126</v>
      </c>
      <c r="CT50" t="s">
        <v>1126</v>
      </c>
      <c r="CU50" t="s">
        <v>1126</v>
      </c>
      <c r="CV50" t="b">
        <f t="shared" si="50"/>
        <v>1</v>
      </c>
      <c r="DC50" t="str">
        <f t="shared" si="36"/>
        <v>G635</v>
      </c>
      <c r="DD50" t="b">
        <f t="shared" si="52"/>
        <v>1</v>
      </c>
      <c r="DE50" t="str">
        <f t="shared" si="53"/>
        <v/>
      </c>
      <c r="DF50" t="str">
        <f t="shared" si="37"/>
        <v>R86</v>
      </c>
      <c r="DG50" t="b">
        <f t="shared" si="54"/>
        <v>1</v>
      </c>
      <c r="DH50" t="str">
        <f t="shared" si="55"/>
        <v/>
      </c>
    </row>
    <row r="51" spans="2:112" ht="12" customHeight="1">
      <c r="B51" t="str">
        <f>TBIDry!H123</f>
        <v>G233</v>
      </c>
      <c r="C51" t="str">
        <f>TBIDry!I123</f>
        <v>R828</v>
      </c>
      <c r="D51" t="b">
        <f t="shared" si="1"/>
        <v>0</v>
      </c>
      <c r="E51" t="b">
        <f t="shared" si="2"/>
        <v>0</v>
      </c>
      <c r="G51" t="str">
        <f>TBIWet!H123</f>
        <v>G679</v>
      </c>
      <c r="H51" t="str">
        <f>TBIWet!I123</f>
        <v>R72</v>
      </c>
      <c r="I51" t="b">
        <f t="shared" si="3"/>
        <v>0</v>
      </c>
      <c r="J51" t="b">
        <f t="shared" si="38"/>
        <v>0</v>
      </c>
      <c r="L51" t="str">
        <f>'Both teabags AfterWet'!A49</f>
        <v>G403</v>
      </c>
      <c r="M51" t="str">
        <f>'Both teabags AfterWet'!A469</f>
        <v>R151</v>
      </c>
      <c r="N51" t="b">
        <f t="shared" si="4"/>
        <v>0</v>
      </c>
      <c r="O51" t="b">
        <f t="shared" si="56"/>
        <v>0</v>
      </c>
      <c r="Q51" s="388" t="b">
        <f t="shared" si="5"/>
        <v>0</v>
      </c>
      <c r="R51" s="388" t="b">
        <f t="shared" si="6"/>
        <v>0</v>
      </c>
      <c r="T51" t="str">
        <f>'Both teabags AfterDry'!A49</f>
        <v>G159</v>
      </c>
      <c r="U51" t="str">
        <f>'Both teabags AfterDry'!A384</f>
        <v>R236</v>
      </c>
      <c r="V51" t="b">
        <f t="shared" si="7"/>
        <v>0</v>
      </c>
      <c r="W51" t="b">
        <f t="shared" si="39"/>
        <v>0</v>
      </c>
      <c r="Y51" t="str">
        <f>'Green_rooibos initial weight'!A52</f>
        <v>G48</v>
      </c>
      <c r="Z51" t="str">
        <f>'Green_rooibos initial weight'!A956</f>
        <v>R48</v>
      </c>
      <c r="AA51" t="b">
        <f t="shared" si="8"/>
        <v>0</v>
      </c>
      <c r="AB51" t="b">
        <f t="shared" si="9"/>
        <v>0</v>
      </c>
      <c r="AE51" t="str">
        <f>'WetLitterbags placem_collection'!K50</f>
        <v>G679</v>
      </c>
      <c r="AF51" t="str">
        <f>'WetLitterbags placem_collection'!M50</f>
        <v>R72</v>
      </c>
      <c r="AG51" t="b">
        <f t="shared" si="10"/>
        <v>0</v>
      </c>
      <c r="AH51" t="b">
        <f t="shared" si="11"/>
        <v>0</v>
      </c>
      <c r="AJ51" t="b">
        <f t="shared" si="12"/>
        <v>0</v>
      </c>
      <c r="AK51" t="b">
        <f t="shared" si="13"/>
        <v>0</v>
      </c>
      <c r="AM51" t="str">
        <f>IF(ISBLANK('Dry_Litterbag Placem_Collection'!J50),"","G"&amp;""&amp;'Dry_Litterbag Placem_Collection'!J50)</f>
        <v>G233</v>
      </c>
      <c r="AN51" t="str">
        <f>IF(ISBLANK('Dry_Litterbag Placem_Collection'!K50),"","R"&amp;""&amp;'Dry_Litterbag Placem_Collection'!K50)</f>
        <v>R828</v>
      </c>
      <c r="AO51" t="b">
        <f t="shared" si="58"/>
        <v>0</v>
      </c>
      <c r="AP51" t="b">
        <f t="shared" si="15"/>
        <v>0</v>
      </c>
      <c r="AS51" t="str">
        <f>'Ashed teabags dry'!A49</f>
        <v>G159</v>
      </c>
      <c r="AT51" t="str">
        <f>'Ashed teabags dry'!A384</f>
        <v>R236</v>
      </c>
      <c r="AU51" t="b">
        <f t="shared" si="16"/>
        <v>0</v>
      </c>
      <c r="AV51" t="b">
        <f t="shared" si="40"/>
        <v>0</v>
      </c>
      <c r="AX51" s="388" t="b">
        <f t="shared" si="17"/>
        <v>0</v>
      </c>
      <c r="AY51" s="388" t="b">
        <f t="shared" si="18"/>
        <v>0</v>
      </c>
      <c r="BA51" t="str">
        <f>'Ashed teabags wet'!A49</f>
        <v>G403</v>
      </c>
      <c r="BB51" t="str">
        <f>'Ashed teabags wet'!A469</f>
        <v>R151</v>
      </c>
      <c r="BC51" t="b">
        <f t="shared" si="19"/>
        <v>0</v>
      </c>
      <c r="BD51" t="b">
        <f t="shared" si="0"/>
        <v>0</v>
      </c>
      <c r="BF51" t="str">
        <f t="shared" si="20"/>
        <v>G158</v>
      </c>
      <c r="BG51" t="str">
        <f t="shared" si="21"/>
        <v>G158</v>
      </c>
      <c r="BH51" t="str">
        <f t="shared" si="22"/>
        <v>G110</v>
      </c>
      <c r="BI51" t="str">
        <f t="shared" si="41"/>
        <v>G110</v>
      </c>
      <c r="BJ51" t="s">
        <v>1892</v>
      </c>
      <c r="BK51" t="s">
        <v>1892</v>
      </c>
      <c r="BL51" t="s">
        <v>1892</v>
      </c>
      <c r="BM51" t="b">
        <f t="shared" si="42"/>
        <v>1</v>
      </c>
      <c r="BN51" t="str">
        <f t="shared" si="23"/>
        <v>R233</v>
      </c>
      <c r="BO51" t="str">
        <f t="shared" si="24"/>
        <v>R233</v>
      </c>
      <c r="BP51" t="str">
        <f t="shared" si="25"/>
        <v>R831</v>
      </c>
      <c r="BQ51" t="str">
        <f t="shared" si="26"/>
        <v>R831</v>
      </c>
      <c r="BR51" t="s">
        <v>908</v>
      </c>
      <c r="BS51" t="s">
        <v>908</v>
      </c>
      <c r="BT51" t="s">
        <v>908</v>
      </c>
      <c r="BU51" t="b">
        <f t="shared" si="43"/>
        <v>1</v>
      </c>
      <c r="BV51" s="180" t="s">
        <v>1238</v>
      </c>
      <c r="BW51" s="180" t="s">
        <v>833</v>
      </c>
      <c r="BZ51" t="str">
        <f t="shared" si="27"/>
        <v>G110</v>
      </c>
      <c r="CA51" t="b">
        <f t="shared" si="28"/>
        <v>0</v>
      </c>
      <c r="CB51" t="str">
        <f t="shared" si="44"/>
        <v>G110</v>
      </c>
      <c r="CC51" t="str">
        <f t="shared" si="29"/>
        <v>R831</v>
      </c>
      <c r="CD51" t="b">
        <f t="shared" si="45"/>
        <v>0</v>
      </c>
      <c r="CE51" t="str">
        <f t="shared" si="46"/>
        <v>R831</v>
      </c>
      <c r="CG51" t="str">
        <f t="shared" si="30"/>
        <v>G393</v>
      </c>
      <c r="CH51" t="str">
        <f t="shared" si="47"/>
        <v>G393</v>
      </c>
      <c r="CI51" t="str">
        <f t="shared" si="31"/>
        <v>G539</v>
      </c>
      <c r="CJ51" t="str">
        <f t="shared" si="32"/>
        <v>G539</v>
      </c>
      <c r="CK51" t="s">
        <v>1657</v>
      </c>
      <c r="CL51" t="s">
        <v>1657</v>
      </c>
      <c r="CM51" t="s">
        <v>1657</v>
      </c>
      <c r="CN51" t="b">
        <f t="shared" si="48"/>
        <v>1</v>
      </c>
      <c r="CO51" t="str">
        <f t="shared" si="33"/>
        <v>R150</v>
      </c>
      <c r="CP51" t="str">
        <f t="shared" si="49"/>
        <v>R150</v>
      </c>
      <c r="CQ51" t="str">
        <f t="shared" si="34"/>
        <v>R146</v>
      </c>
      <c r="CR51" t="str">
        <f t="shared" si="35"/>
        <v>R146</v>
      </c>
      <c r="CS51" t="s">
        <v>991</v>
      </c>
      <c r="CT51" t="s">
        <v>991</v>
      </c>
      <c r="CU51" t="s">
        <v>991</v>
      </c>
      <c r="CV51" t="b">
        <f t="shared" si="50"/>
        <v>1</v>
      </c>
      <c r="DC51" t="str">
        <f t="shared" si="36"/>
        <v>G539</v>
      </c>
      <c r="DD51" t="b">
        <f t="shared" si="52"/>
        <v>0</v>
      </c>
      <c r="DE51" t="str">
        <f t="shared" si="53"/>
        <v>G539</v>
      </c>
      <c r="DF51" t="str">
        <f t="shared" si="37"/>
        <v>R146</v>
      </c>
      <c r="DG51" t="b">
        <f t="shared" si="54"/>
        <v>0</v>
      </c>
      <c r="DH51" t="str">
        <f t="shared" si="55"/>
        <v>R146</v>
      </c>
    </row>
    <row r="52" spans="2:112" ht="12" customHeight="1">
      <c r="B52" t="str">
        <f>TBIDry!H124</f>
        <v>G54</v>
      </c>
      <c r="C52" t="str">
        <f>TBIDry!I124</f>
        <v>R805</v>
      </c>
      <c r="D52" t="b">
        <f t="shared" si="1"/>
        <v>0</v>
      </c>
      <c r="E52" t="b">
        <f t="shared" si="2"/>
        <v>0</v>
      </c>
      <c r="G52" t="str">
        <f>TBIWet!H124</f>
        <v>G346</v>
      </c>
      <c r="H52" t="str">
        <f>TBIWet!I124</f>
        <v>R28</v>
      </c>
      <c r="I52" t="b">
        <f t="shared" si="3"/>
        <v>0</v>
      </c>
      <c r="J52" t="b">
        <f t="shared" si="38"/>
        <v>0</v>
      </c>
      <c r="L52" t="str">
        <f>'Both teabags AfterWet'!A50</f>
        <v>G404</v>
      </c>
      <c r="M52" t="str">
        <f>'Both teabags AfterWet'!A470</f>
        <v>R153</v>
      </c>
      <c r="N52" t="b">
        <f t="shared" si="4"/>
        <v>0</v>
      </c>
      <c r="O52" t="b">
        <f t="shared" si="56"/>
        <v>0</v>
      </c>
      <c r="Q52" s="388" t="b">
        <f t="shared" si="5"/>
        <v>0</v>
      </c>
      <c r="R52" s="388" t="b">
        <f t="shared" si="6"/>
        <v>0</v>
      </c>
      <c r="T52" t="str">
        <f>'Both teabags AfterDry'!A50</f>
        <v>G161</v>
      </c>
      <c r="U52" t="str">
        <f>'Both teabags AfterDry'!A385</f>
        <v>R237</v>
      </c>
      <c r="V52" t="b">
        <f t="shared" si="7"/>
        <v>0</v>
      </c>
      <c r="W52" t="b">
        <f t="shared" si="39"/>
        <v>0</v>
      </c>
      <c r="Y52" t="str">
        <f>'Green_rooibos initial weight'!A53</f>
        <v>G49</v>
      </c>
      <c r="Z52" t="str">
        <f>'Green_rooibos initial weight'!A957</f>
        <v>R49</v>
      </c>
      <c r="AA52" t="b">
        <f t="shared" si="8"/>
        <v>0</v>
      </c>
      <c r="AB52" t="b">
        <f t="shared" si="9"/>
        <v>0</v>
      </c>
      <c r="AE52" t="str">
        <f>'WetLitterbags placem_collection'!K51</f>
        <v>G346</v>
      </c>
      <c r="AF52" t="str">
        <f>'WetLitterbags placem_collection'!M51</f>
        <v>R28</v>
      </c>
      <c r="AG52" t="b">
        <f t="shared" si="10"/>
        <v>0</v>
      </c>
      <c r="AH52" t="b">
        <f t="shared" si="11"/>
        <v>0</v>
      </c>
      <c r="AJ52" t="b">
        <f t="shared" si="12"/>
        <v>0</v>
      </c>
      <c r="AK52" t="b">
        <f t="shared" si="13"/>
        <v>0</v>
      </c>
      <c r="AM52" t="str">
        <f>IF(ISBLANK('Dry_Litterbag Placem_Collection'!J51),"","G"&amp;""&amp;'Dry_Litterbag Placem_Collection'!J51)</f>
        <v>G54</v>
      </c>
      <c r="AN52" t="str">
        <f>IF(ISBLANK('Dry_Litterbag Placem_Collection'!K51),"","R"&amp;""&amp;'Dry_Litterbag Placem_Collection'!K51)</f>
        <v>R805</v>
      </c>
      <c r="AO52" t="b">
        <f t="shared" si="58"/>
        <v>0</v>
      </c>
      <c r="AP52" t="b">
        <f t="shared" si="15"/>
        <v>0</v>
      </c>
      <c r="AS52" t="str">
        <f>'Ashed teabags dry'!A50</f>
        <v>G161</v>
      </c>
      <c r="AT52" t="str">
        <f>'Ashed teabags dry'!A385</f>
        <v>R237</v>
      </c>
      <c r="AU52" t="b">
        <f t="shared" si="16"/>
        <v>0</v>
      </c>
      <c r="AV52" t="b">
        <f t="shared" si="40"/>
        <v>0</v>
      </c>
      <c r="AX52" s="388" t="b">
        <f t="shared" si="17"/>
        <v>0</v>
      </c>
      <c r="AY52" s="388" t="b">
        <f t="shared" si="18"/>
        <v>0</v>
      </c>
      <c r="BA52" t="str">
        <f>'Ashed teabags wet'!A50</f>
        <v>G404</v>
      </c>
      <c r="BB52" t="str">
        <f>'Ashed teabags wet'!A470</f>
        <v>R153</v>
      </c>
      <c r="BC52" t="b">
        <f t="shared" si="19"/>
        <v>0</v>
      </c>
      <c r="BD52" t="b">
        <f t="shared" si="0"/>
        <v>0</v>
      </c>
      <c r="BF52" t="str">
        <f t="shared" si="20"/>
        <v>G159</v>
      </c>
      <c r="BG52" t="str">
        <f t="shared" si="21"/>
        <v>G159</v>
      </c>
      <c r="BH52" t="str">
        <f t="shared" si="22"/>
        <v>G233</v>
      </c>
      <c r="BI52" t="str">
        <f t="shared" si="41"/>
        <v>G233</v>
      </c>
      <c r="BJ52" t="s">
        <v>1891</v>
      </c>
      <c r="BK52" t="s">
        <v>1891</v>
      </c>
      <c r="BL52" t="s">
        <v>1891</v>
      </c>
      <c r="BM52" t="b">
        <f t="shared" si="42"/>
        <v>1</v>
      </c>
      <c r="BN52" t="str">
        <f t="shared" si="23"/>
        <v>R236</v>
      </c>
      <c r="BO52" t="str">
        <f t="shared" si="24"/>
        <v>R236</v>
      </c>
      <c r="BP52" t="str">
        <f t="shared" si="25"/>
        <v>R828</v>
      </c>
      <c r="BQ52" t="str">
        <f t="shared" si="26"/>
        <v>R828</v>
      </c>
      <c r="BR52" t="s">
        <v>905</v>
      </c>
      <c r="BS52" t="s">
        <v>905</v>
      </c>
      <c r="BT52" t="s">
        <v>905</v>
      </c>
      <c r="BU52" t="b">
        <f t="shared" si="43"/>
        <v>1</v>
      </c>
      <c r="BV52" s="180" t="s">
        <v>1302</v>
      </c>
      <c r="BW52" s="180" t="s">
        <v>941</v>
      </c>
      <c r="BZ52" t="str">
        <f t="shared" si="27"/>
        <v>G233</v>
      </c>
      <c r="CA52" t="b">
        <f t="shared" si="28"/>
        <v>0</v>
      </c>
      <c r="CB52" t="str">
        <f t="shared" si="44"/>
        <v>G233</v>
      </c>
      <c r="CC52" t="str">
        <f t="shared" si="29"/>
        <v>R828</v>
      </c>
      <c r="CD52" t="b">
        <f t="shared" si="45"/>
        <v>0</v>
      </c>
      <c r="CE52" t="str">
        <f t="shared" si="46"/>
        <v>R828</v>
      </c>
      <c r="CG52" t="str">
        <f t="shared" si="30"/>
        <v>G403</v>
      </c>
      <c r="CH52" t="str">
        <f t="shared" si="47"/>
        <v>G403</v>
      </c>
      <c r="CI52" t="str">
        <f t="shared" si="31"/>
        <v>G679</v>
      </c>
      <c r="CJ52" t="str">
        <f t="shared" si="32"/>
        <v>G679</v>
      </c>
      <c r="CK52" t="s">
        <v>1647</v>
      </c>
      <c r="CL52" t="s">
        <v>1647</v>
      </c>
      <c r="CM52" t="s">
        <v>1647</v>
      </c>
      <c r="CN52" t="b">
        <f t="shared" si="48"/>
        <v>1</v>
      </c>
      <c r="CO52" t="str">
        <f t="shared" si="33"/>
        <v>R151</v>
      </c>
      <c r="CP52" t="str">
        <f t="shared" si="49"/>
        <v>R151</v>
      </c>
      <c r="CQ52" t="str">
        <f t="shared" si="34"/>
        <v>R72</v>
      </c>
      <c r="CR52" t="str">
        <f t="shared" si="35"/>
        <v>R72</v>
      </c>
      <c r="CS52" t="s">
        <v>990</v>
      </c>
      <c r="CT52" t="s">
        <v>990</v>
      </c>
      <c r="CU52" t="s">
        <v>990</v>
      </c>
      <c r="CV52" t="b">
        <f t="shared" si="50"/>
        <v>1</v>
      </c>
      <c r="DC52" t="str">
        <f t="shared" si="36"/>
        <v>G679</v>
      </c>
      <c r="DD52" t="b">
        <f t="shared" si="52"/>
        <v>0</v>
      </c>
      <c r="DE52" t="str">
        <f t="shared" si="53"/>
        <v>G679</v>
      </c>
      <c r="DF52" t="str">
        <f t="shared" si="37"/>
        <v>R72</v>
      </c>
      <c r="DG52" t="b">
        <f t="shared" si="54"/>
        <v>0</v>
      </c>
      <c r="DH52" t="str">
        <f t="shared" si="55"/>
        <v>R72</v>
      </c>
    </row>
    <row r="53" spans="2:112" ht="12" customHeight="1">
      <c r="B53" t="str">
        <f>TBIDry!H125</f>
        <v>G276</v>
      </c>
      <c r="C53" t="str">
        <f>TBIDry!I125</f>
        <v>R754</v>
      </c>
      <c r="D53" t="b">
        <f t="shared" si="1"/>
        <v>0</v>
      </c>
      <c r="E53" t="b">
        <f t="shared" si="2"/>
        <v>0</v>
      </c>
      <c r="G53" t="str">
        <f>TBIWet!H125</f>
        <v>G418</v>
      </c>
      <c r="H53" t="str">
        <f>TBIWet!I125</f>
        <v>R5</v>
      </c>
      <c r="I53" t="b">
        <f t="shared" si="3"/>
        <v>0</v>
      </c>
      <c r="J53" t="b">
        <f t="shared" si="38"/>
        <v>0</v>
      </c>
      <c r="L53" t="str">
        <f>'Both teabags AfterWet'!A51</f>
        <v>G405</v>
      </c>
      <c r="M53" t="str">
        <f>'Both teabags AfterWet'!A471</f>
        <v>R154</v>
      </c>
      <c r="N53" t="b">
        <f t="shared" si="4"/>
        <v>0</v>
      </c>
      <c r="O53" t="b">
        <f t="shared" si="56"/>
        <v>0</v>
      </c>
      <c r="Q53" s="388" t="b">
        <f t="shared" si="5"/>
        <v>0</v>
      </c>
      <c r="R53" s="388" t="b">
        <f t="shared" si="6"/>
        <v>0</v>
      </c>
      <c r="T53" t="str">
        <f>'Both teabags AfterDry'!A51</f>
        <v>G162</v>
      </c>
      <c r="U53" t="str">
        <f>'Both teabags AfterDry'!A386</f>
        <v>R238</v>
      </c>
      <c r="V53" t="b">
        <f t="shared" si="7"/>
        <v>0</v>
      </c>
      <c r="W53" t="b">
        <f t="shared" si="39"/>
        <v>0</v>
      </c>
      <c r="Y53" t="str">
        <f>'Green_rooibos initial weight'!A54</f>
        <v>G50</v>
      </c>
      <c r="Z53" t="str">
        <f>'Green_rooibos initial weight'!A958</f>
        <v>R50</v>
      </c>
      <c r="AA53" t="b">
        <f t="shared" si="8"/>
        <v>0</v>
      </c>
      <c r="AB53" t="b">
        <f t="shared" si="9"/>
        <v>0</v>
      </c>
      <c r="AE53" t="str">
        <f>'WetLitterbags placem_collection'!K52</f>
        <v>G418</v>
      </c>
      <c r="AF53" t="str">
        <f>'WetLitterbags placem_collection'!M52</f>
        <v>R5</v>
      </c>
      <c r="AG53" t="b">
        <f t="shared" si="10"/>
        <v>0</v>
      </c>
      <c r="AH53" t="b">
        <f t="shared" si="11"/>
        <v>0</v>
      </c>
      <c r="AJ53" t="b">
        <f t="shared" si="12"/>
        <v>0</v>
      </c>
      <c r="AK53" t="b">
        <f t="shared" si="13"/>
        <v>0</v>
      </c>
      <c r="AM53" t="str">
        <f>IF(ISBLANK('Dry_Litterbag Placem_Collection'!J52),"","G"&amp;""&amp;'Dry_Litterbag Placem_Collection'!J52)</f>
        <v>G276</v>
      </c>
      <c r="AN53" t="str">
        <f>IF(ISBLANK('Dry_Litterbag Placem_Collection'!K52),"","R"&amp;""&amp;'Dry_Litterbag Placem_Collection'!K52)</f>
        <v>R754</v>
      </c>
      <c r="AO53" t="b">
        <f t="shared" si="58"/>
        <v>0</v>
      </c>
      <c r="AP53" t="b">
        <f t="shared" si="15"/>
        <v>0</v>
      </c>
      <c r="AS53" t="str">
        <f>'Ashed teabags dry'!A51</f>
        <v>G162</v>
      </c>
      <c r="AT53" t="str">
        <f>'Ashed teabags dry'!A386</f>
        <v>R238</v>
      </c>
      <c r="AU53" t="b">
        <f t="shared" si="16"/>
        <v>0</v>
      </c>
      <c r="AV53" t="b">
        <f t="shared" si="40"/>
        <v>0</v>
      </c>
      <c r="AX53" s="388" t="b">
        <f t="shared" si="17"/>
        <v>0</v>
      </c>
      <c r="AY53" s="388" t="b">
        <f t="shared" si="18"/>
        <v>0</v>
      </c>
      <c r="BA53" t="str">
        <f>'Ashed teabags wet'!A51</f>
        <v>G405</v>
      </c>
      <c r="BB53" t="str">
        <f>'Ashed teabags wet'!A471</f>
        <v>R154</v>
      </c>
      <c r="BC53" t="b">
        <f t="shared" si="19"/>
        <v>0</v>
      </c>
      <c r="BD53" t="b">
        <f t="shared" si="0"/>
        <v>0</v>
      </c>
      <c r="BF53" t="str">
        <f t="shared" si="20"/>
        <v>G161</v>
      </c>
      <c r="BG53" t="str">
        <f t="shared" si="21"/>
        <v>G161</v>
      </c>
      <c r="BH53" t="str">
        <f t="shared" si="22"/>
        <v>G54</v>
      </c>
      <c r="BI53" t="str">
        <f t="shared" si="41"/>
        <v/>
      </c>
      <c r="BJ53" t="s">
        <v>1889</v>
      </c>
      <c r="BK53" t="s">
        <v>1889</v>
      </c>
      <c r="BL53" t="s">
        <v>1889</v>
      </c>
      <c r="BM53" t="b">
        <f t="shared" si="42"/>
        <v>1</v>
      </c>
      <c r="BN53" t="str">
        <f t="shared" si="23"/>
        <v>R237</v>
      </c>
      <c r="BO53" t="str">
        <f t="shared" si="24"/>
        <v>R237</v>
      </c>
      <c r="BP53" t="str">
        <f t="shared" si="25"/>
        <v>R805</v>
      </c>
      <c r="BQ53" t="str">
        <f t="shared" si="26"/>
        <v/>
      </c>
      <c r="BR53" t="s">
        <v>904</v>
      </c>
      <c r="BS53" t="s">
        <v>904</v>
      </c>
      <c r="BT53" t="s">
        <v>904</v>
      </c>
      <c r="BU53" t="b">
        <f t="shared" si="43"/>
        <v>1</v>
      </c>
      <c r="BV53" s="180" t="s">
        <v>2047</v>
      </c>
      <c r="BW53" s="180" t="s">
        <v>1094</v>
      </c>
      <c r="BZ53" t="str">
        <f t="shared" si="27"/>
        <v>G54</v>
      </c>
      <c r="CA53" t="b">
        <f t="shared" si="28"/>
        <v>1</v>
      </c>
      <c r="CB53" t="str">
        <f t="shared" si="44"/>
        <v/>
      </c>
      <c r="CC53" t="str">
        <f t="shared" si="29"/>
        <v>R805</v>
      </c>
      <c r="CD53" t="b">
        <f t="shared" si="45"/>
        <v>1</v>
      </c>
      <c r="CE53" t="str">
        <f t="shared" si="46"/>
        <v/>
      </c>
      <c r="CG53" t="str">
        <f t="shared" si="30"/>
        <v>G404</v>
      </c>
      <c r="CH53" t="str">
        <f t="shared" si="47"/>
        <v>G404</v>
      </c>
      <c r="CI53" t="str">
        <f t="shared" si="31"/>
        <v>G346</v>
      </c>
      <c r="CJ53" t="str">
        <f t="shared" si="32"/>
        <v>G346</v>
      </c>
      <c r="CK53" t="s">
        <v>1646</v>
      </c>
      <c r="CL53" t="s">
        <v>1646</v>
      </c>
      <c r="CM53" t="s">
        <v>1646</v>
      </c>
      <c r="CN53" t="b">
        <f t="shared" si="48"/>
        <v>1</v>
      </c>
      <c r="CO53" t="str">
        <f t="shared" si="33"/>
        <v>R153</v>
      </c>
      <c r="CP53" t="str">
        <f t="shared" si="49"/>
        <v>R153</v>
      </c>
      <c r="CQ53" t="str">
        <f t="shared" si="34"/>
        <v>R28</v>
      </c>
      <c r="CR53" t="str">
        <f t="shared" si="35"/>
        <v>R28</v>
      </c>
      <c r="CS53" t="s">
        <v>988</v>
      </c>
      <c r="CT53" t="s">
        <v>988</v>
      </c>
      <c r="CU53" t="s">
        <v>988</v>
      </c>
      <c r="CV53" t="b">
        <f t="shared" si="50"/>
        <v>1</v>
      </c>
      <c r="DC53" t="str">
        <f t="shared" si="36"/>
        <v>G346</v>
      </c>
      <c r="DD53" t="b">
        <f t="shared" si="52"/>
        <v>0</v>
      </c>
      <c r="DE53" t="str">
        <f t="shared" si="53"/>
        <v>G346</v>
      </c>
      <c r="DF53" t="str">
        <f t="shared" si="37"/>
        <v>R28</v>
      </c>
      <c r="DG53" t="b">
        <f t="shared" si="54"/>
        <v>0</v>
      </c>
      <c r="DH53" t="str">
        <f t="shared" si="55"/>
        <v>R28</v>
      </c>
    </row>
    <row r="54" spans="2:112" ht="12" customHeight="1">
      <c r="B54" t="str">
        <f>TBIDry!H126</f>
        <v>G227</v>
      </c>
      <c r="C54" t="str">
        <f>TBIDry!I126</f>
        <v>R798</v>
      </c>
      <c r="D54" t="b">
        <f t="shared" si="1"/>
        <v>0</v>
      </c>
      <c r="E54" t="b">
        <f t="shared" si="2"/>
        <v>0</v>
      </c>
      <c r="G54" t="str">
        <f>TBIWet!H126</f>
        <v>G548</v>
      </c>
      <c r="H54" t="str">
        <f>TBIWet!I126</f>
        <v>R85</v>
      </c>
      <c r="I54" t="b">
        <f t="shared" si="3"/>
        <v>0</v>
      </c>
      <c r="J54" t="b">
        <f t="shared" si="38"/>
        <v>0</v>
      </c>
      <c r="L54" t="str">
        <f>'Both teabags AfterWet'!A52</f>
        <v>G406</v>
      </c>
      <c r="M54" t="str">
        <f>'Both teabags AfterWet'!A472</f>
        <v>R155</v>
      </c>
      <c r="N54" t="b">
        <f t="shared" si="4"/>
        <v>0</v>
      </c>
      <c r="O54" t="b">
        <f t="shared" si="56"/>
        <v>0</v>
      </c>
      <c r="Q54" s="388" t="b">
        <f t="shared" si="5"/>
        <v>0</v>
      </c>
      <c r="R54" s="388" t="b">
        <f t="shared" si="6"/>
        <v>0</v>
      </c>
      <c r="T54" t="str">
        <f>'Both teabags AfterDry'!A52</f>
        <v>G166</v>
      </c>
      <c r="U54" t="str">
        <f>'Both teabags AfterDry'!A387</f>
        <v>R239</v>
      </c>
      <c r="V54" t="b">
        <f t="shared" si="7"/>
        <v>0</v>
      </c>
      <c r="W54" t="b">
        <f t="shared" si="39"/>
        <v>0</v>
      </c>
      <c r="Y54" t="str">
        <f>'Green_rooibos initial weight'!A55</f>
        <v>G51</v>
      </c>
      <c r="Z54" t="str">
        <f>'Green_rooibos initial weight'!A959</f>
        <v>R51</v>
      </c>
      <c r="AA54" t="b">
        <f t="shared" si="8"/>
        <v>0</v>
      </c>
      <c r="AB54" t="b">
        <f t="shared" si="9"/>
        <v>0</v>
      </c>
      <c r="AE54" t="str">
        <f>'WetLitterbags placem_collection'!K53</f>
        <v>G548</v>
      </c>
      <c r="AF54" t="str">
        <f>'WetLitterbags placem_collection'!M53</f>
        <v>R85</v>
      </c>
      <c r="AG54" t="b">
        <f t="shared" si="10"/>
        <v>0</v>
      </c>
      <c r="AH54" t="b">
        <f t="shared" si="11"/>
        <v>0</v>
      </c>
      <c r="AJ54" t="b">
        <f t="shared" si="12"/>
        <v>0</v>
      </c>
      <c r="AK54" t="b">
        <f t="shared" si="13"/>
        <v>0</v>
      </c>
      <c r="AM54" t="str">
        <f>IF(ISBLANK('Dry_Litterbag Placem_Collection'!J53),"","G"&amp;""&amp;'Dry_Litterbag Placem_Collection'!J53)</f>
        <v>G227</v>
      </c>
      <c r="AN54" t="str">
        <f>IF(ISBLANK('Dry_Litterbag Placem_Collection'!K53),"","R"&amp;""&amp;'Dry_Litterbag Placem_Collection'!K53)</f>
        <v>R798</v>
      </c>
      <c r="AO54" t="b">
        <f t="shared" si="58"/>
        <v>0</v>
      </c>
      <c r="AP54" t="b">
        <f t="shared" si="15"/>
        <v>0</v>
      </c>
      <c r="AS54" t="str">
        <f>'Ashed teabags dry'!A52</f>
        <v>G166</v>
      </c>
      <c r="AT54" t="str">
        <f>'Ashed teabags dry'!A387</f>
        <v>R239</v>
      </c>
      <c r="AU54" t="b">
        <f t="shared" si="16"/>
        <v>0</v>
      </c>
      <c r="AV54" t="b">
        <f t="shared" si="40"/>
        <v>0</v>
      </c>
      <c r="AX54" s="388" t="b">
        <f t="shared" si="17"/>
        <v>0</v>
      </c>
      <c r="AY54" s="388" t="b">
        <f t="shared" si="18"/>
        <v>0</v>
      </c>
      <c r="BA54" t="str">
        <f>'Ashed teabags wet'!A52</f>
        <v>G406</v>
      </c>
      <c r="BB54" t="str">
        <f>'Ashed teabags wet'!A472</f>
        <v>R155</v>
      </c>
      <c r="BC54" t="b">
        <f t="shared" si="19"/>
        <v>0</v>
      </c>
      <c r="BD54" t="b">
        <f t="shared" si="0"/>
        <v>0</v>
      </c>
      <c r="BF54" t="str">
        <f t="shared" si="20"/>
        <v>G162</v>
      </c>
      <c r="BG54" t="str">
        <f t="shared" si="21"/>
        <v>G162</v>
      </c>
      <c r="BH54" t="str">
        <f t="shared" si="22"/>
        <v>G276</v>
      </c>
      <c r="BI54" t="str">
        <f t="shared" si="41"/>
        <v/>
      </c>
      <c r="BJ54" t="s">
        <v>1888</v>
      </c>
      <c r="BK54" t="s">
        <v>1888</v>
      </c>
      <c r="BL54" t="s">
        <v>1888</v>
      </c>
      <c r="BM54" t="b">
        <f t="shared" si="42"/>
        <v>1</v>
      </c>
      <c r="BN54" t="str">
        <f t="shared" si="23"/>
        <v>R238</v>
      </c>
      <c r="BO54" t="str">
        <f t="shared" si="24"/>
        <v>R238</v>
      </c>
      <c r="BP54" t="str">
        <f t="shared" si="25"/>
        <v>R754</v>
      </c>
      <c r="BQ54" t="str">
        <f t="shared" si="26"/>
        <v/>
      </c>
      <c r="BR54" t="s">
        <v>903</v>
      </c>
      <c r="BS54" t="s">
        <v>903</v>
      </c>
      <c r="BT54" t="s">
        <v>903</v>
      </c>
      <c r="BU54" t="b">
        <f t="shared" si="43"/>
        <v>1</v>
      </c>
      <c r="BV54" s="180" t="s">
        <v>1842</v>
      </c>
      <c r="BW54" s="180" t="s">
        <v>794</v>
      </c>
      <c r="BZ54" t="str">
        <f t="shared" si="27"/>
        <v>G276</v>
      </c>
      <c r="CA54" t="b">
        <f t="shared" si="28"/>
        <v>1</v>
      </c>
      <c r="CB54" t="str">
        <f t="shared" si="44"/>
        <v/>
      </c>
      <c r="CC54" t="str">
        <f t="shared" si="29"/>
        <v>R754</v>
      </c>
      <c r="CD54" t="b">
        <f t="shared" si="45"/>
        <v>1</v>
      </c>
      <c r="CE54" t="str">
        <f t="shared" si="46"/>
        <v/>
      </c>
      <c r="CG54" t="str">
        <f t="shared" si="30"/>
        <v>G405</v>
      </c>
      <c r="CH54" t="str">
        <f t="shared" si="47"/>
        <v>G405</v>
      </c>
      <c r="CI54" t="str">
        <f t="shared" si="31"/>
        <v>G418</v>
      </c>
      <c r="CJ54" t="str">
        <f t="shared" si="32"/>
        <v/>
      </c>
      <c r="CK54" t="s">
        <v>1645</v>
      </c>
      <c r="CL54" t="s">
        <v>1645</v>
      </c>
      <c r="CM54" t="s">
        <v>1645</v>
      </c>
      <c r="CN54" t="b">
        <f t="shared" si="48"/>
        <v>1</v>
      </c>
      <c r="CO54" t="str">
        <f t="shared" si="33"/>
        <v>R154</v>
      </c>
      <c r="CP54" t="str">
        <f t="shared" si="49"/>
        <v>R154</v>
      </c>
      <c r="CQ54" t="str">
        <f t="shared" si="34"/>
        <v>R5</v>
      </c>
      <c r="CR54" t="str">
        <f t="shared" si="35"/>
        <v>R5</v>
      </c>
      <c r="CS54" t="s">
        <v>987</v>
      </c>
      <c r="CT54" t="s">
        <v>987</v>
      </c>
      <c r="CU54" t="s">
        <v>987</v>
      </c>
      <c r="CV54" t="b">
        <f t="shared" si="50"/>
        <v>1</v>
      </c>
      <c r="DC54" t="str">
        <f t="shared" si="36"/>
        <v>G418</v>
      </c>
      <c r="DD54" t="b">
        <f t="shared" si="52"/>
        <v>1</v>
      </c>
      <c r="DE54" t="str">
        <f t="shared" si="53"/>
        <v/>
      </c>
      <c r="DF54" t="str">
        <f t="shared" si="37"/>
        <v>R5</v>
      </c>
      <c r="DG54" t="b">
        <f t="shared" si="54"/>
        <v>0</v>
      </c>
      <c r="DH54" t="str">
        <f t="shared" si="55"/>
        <v>R5</v>
      </c>
    </row>
    <row r="55" spans="2:112" ht="12" customHeight="1">
      <c r="B55" t="str">
        <f>TBIDry!H127</f>
        <v>G237</v>
      </c>
      <c r="C55" t="str">
        <f>TBIDry!I127</f>
        <v>R833</v>
      </c>
      <c r="D55" t="b">
        <f t="shared" si="1"/>
        <v>0</v>
      </c>
      <c r="E55" t="b">
        <f t="shared" si="2"/>
        <v>0</v>
      </c>
      <c r="G55" t="str">
        <f>TBIWet!H127</f>
        <v>G638</v>
      </c>
      <c r="H55" t="str">
        <f>TBIWet!I127</f>
        <v>R513</v>
      </c>
      <c r="I55" t="b">
        <f t="shared" si="3"/>
        <v>0</v>
      </c>
      <c r="J55" t="b">
        <f t="shared" si="38"/>
        <v>0</v>
      </c>
      <c r="L55" t="str">
        <f>'Both teabags AfterWet'!A53</f>
        <v>G408</v>
      </c>
      <c r="M55" t="str">
        <f>'Both teabags AfterWet'!A473</f>
        <v>R156</v>
      </c>
      <c r="N55" t="b">
        <f t="shared" si="4"/>
        <v>0</v>
      </c>
      <c r="O55" t="b">
        <f t="shared" si="56"/>
        <v>0</v>
      </c>
      <c r="Q55" s="388" t="b">
        <f t="shared" si="5"/>
        <v>0</v>
      </c>
      <c r="R55" s="388" t="b">
        <f t="shared" si="6"/>
        <v>0</v>
      </c>
      <c r="T55" t="str">
        <f>'Both teabags AfterDry'!A53</f>
        <v>G167</v>
      </c>
      <c r="U55" t="str">
        <f>'Both teabags AfterDry'!A388</f>
        <v>R240</v>
      </c>
      <c r="V55" t="b">
        <f t="shared" si="7"/>
        <v>0</v>
      </c>
      <c r="W55" t="b">
        <f t="shared" si="39"/>
        <v>0</v>
      </c>
      <c r="Y55" t="str">
        <f>'Green_rooibos initial weight'!A56</f>
        <v>G52</v>
      </c>
      <c r="Z55" t="str">
        <f>'Green_rooibos initial weight'!A960</f>
        <v>R52</v>
      </c>
      <c r="AA55" t="b">
        <f t="shared" si="8"/>
        <v>0</v>
      </c>
      <c r="AB55" t="b">
        <f t="shared" si="9"/>
        <v>0</v>
      </c>
      <c r="AE55" t="str">
        <f>'WetLitterbags placem_collection'!K54</f>
        <v>G638</v>
      </c>
      <c r="AF55" t="str">
        <f>'WetLitterbags placem_collection'!M54</f>
        <v>R513</v>
      </c>
      <c r="AG55" t="b">
        <f t="shared" si="10"/>
        <v>0</v>
      </c>
      <c r="AH55" t="b">
        <f t="shared" si="11"/>
        <v>0</v>
      </c>
      <c r="AJ55" t="b">
        <f t="shared" si="12"/>
        <v>0</v>
      </c>
      <c r="AK55" t="b">
        <f t="shared" si="13"/>
        <v>0</v>
      </c>
      <c r="AM55" t="str">
        <f>IF(ISBLANK('Dry_Litterbag Placem_Collection'!J54),"","G"&amp;""&amp;'Dry_Litterbag Placem_Collection'!J54)</f>
        <v>G237</v>
      </c>
      <c r="AN55" t="str">
        <f>IF(ISBLANK('Dry_Litterbag Placem_Collection'!K54),"","R"&amp;""&amp;'Dry_Litterbag Placem_Collection'!K54)</f>
        <v>R833</v>
      </c>
      <c r="AO55" t="b">
        <f t="shared" si="58"/>
        <v>0</v>
      </c>
      <c r="AP55" t="b">
        <f t="shared" si="15"/>
        <v>0</v>
      </c>
      <c r="AS55" t="str">
        <f>'Ashed teabags dry'!A53</f>
        <v>G167</v>
      </c>
      <c r="AT55" t="str">
        <f>'Ashed teabags dry'!A388</f>
        <v>R240</v>
      </c>
      <c r="AU55" t="b">
        <f t="shared" si="16"/>
        <v>0</v>
      </c>
      <c r="AV55" t="b">
        <f t="shared" si="40"/>
        <v>0</v>
      </c>
      <c r="AX55" s="388" t="b">
        <f t="shared" si="17"/>
        <v>0</v>
      </c>
      <c r="AY55" s="388" t="b">
        <f t="shared" si="18"/>
        <v>0</v>
      </c>
      <c r="BA55" t="str">
        <f>'Ashed teabags wet'!A53</f>
        <v>G408</v>
      </c>
      <c r="BB55" t="str">
        <f>'Ashed teabags wet'!A473</f>
        <v>R156</v>
      </c>
      <c r="BC55" t="b">
        <f t="shared" si="19"/>
        <v>0</v>
      </c>
      <c r="BD55" t="b">
        <f t="shared" si="0"/>
        <v>0</v>
      </c>
      <c r="BF55" t="str">
        <f t="shared" si="20"/>
        <v>G166</v>
      </c>
      <c r="BG55" t="str">
        <f t="shared" si="21"/>
        <v>G166</v>
      </c>
      <c r="BH55" t="str">
        <f t="shared" si="22"/>
        <v>G227</v>
      </c>
      <c r="BI55" t="str">
        <f t="shared" si="41"/>
        <v>G227</v>
      </c>
      <c r="BJ55" t="s">
        <v>1884</v>
      </c>
      <c r="BK55" t="s">
        <v>1884</v>
      </c>
      <c r="BL55" t="s">
        <v>1884</v>
      </c>
      <c r="BM55" t="b">
        <f t="shared" si="42"/>
        <v>1</v>
      </c>
      <c r="BN55" t="str">
        <f t="shared" si="23"/>
        <v>R239</v>
      </c>
      <c r="BO55" t="str">
        <f t="shared" si="24"/>
        <v>R239</v>
      </c>
      <c r="BP55" t="str">
        <f t="shared" si="25"/>
        <v>R798</v>
      </c>
      <c r="BQ55" t="str">
        <f t="shared" si="26"/>
        <v>R798</v>
      </c>
      <c r="BR55" t="s">
        <v>902</v>
      </c>
      <c r="BS55" t="s">
        <v>902</v>
      </c>
      <c r="BT55" t="s">
        <v>902</v>
      </c>
      <c r="BU55" t="b">
        <f t="shared" si="43"/>
        <v>1</v>
      </c>
      <c r="BV55" s="393" t="s">
        <v>1740</v>
      </c>
      <c r="BW55" s="393" t="s">
        <v>392</v>
      </c>
      <c r="BZ55" t="str">
        <f t="shared" si="27"/>
        <v>G227</v>
      </c>
      <c r="CA55" t="b">
        <f t="shared" si="28"/>
        <v>0</v>
      </c>
      <c r="CB55" t="str">
        <f t="shared" si="44"/>
        <v>G227</v>
      </c>
      <c r="CC55" t="str">
        <f t="shared" si="29"/>
        <v>R798</v>
      </c>
      <c r="CD55" t="b">
        <f t="shared" si="45"/>
        <v>0</v>
      </c>
      <c r="CE55" t="str">
        <f t="shared" si="46"/>
        <v>R798</v>
      </c>
      <c r="CG55" t="str">
        <f t="shared" si="30"/>
        <v>G406</v>
      </c>
      <c r="CH55" t="str">
        <f t="shared" si="47"/>
        <v>G406</v>
      </c>
      <c r="CI55" t="str">
        <f t="shared" si="31"/>
        <v>G548</v>
      </c>
      <c r="CJ55" t="str">
        <f t="shared" si="32"/>
        <v>G548</v>
      </c>
      <c r="CK55" t="s">
        <v>1644</v>
      </c>
      <c r="CL55" t="s">
        <v>1644</v>
      </c>
      <c r="CM55" t="s">
        <v>1644</v>
      </c>
      <c r="CN55" t="b">
        <f t="shared" si="48"/>
        <v>1</v>
      </c>
      <c r="CO55" t="str">
        <f t="shared" si="33"/>
        <v>R155</v>
      </c>
      <c r="CP55" t="str">
        <f t="shared" si="49"/>
        <v>R155</v>
      </c>
      <c r="CQ55" t="str">
        <f t="shared" si="34"/>
        <v>R85</v>
      </c>
      <c r="CR55" t="str">
        <f t="shared" si="35"/>
        <v>R85</v>
      </c>
      <c r="CS55" t="s">
        <v>986</v>
      </c>
      <c r="CT55" t="s">
        <v>986</v>
      </c>
      <c r="CU55" t="s">
        <v>986</v>
      </c>
      <c r="CV55" t="b">
        <f t="shared" si="50"/>
        <v>1</v>
      </c>
      <c r="DC55" t="str">
        <f t="shared" si="36"/>
        <v>G548</v>
      </c>
      <c r="DD55" t="b">
        <f t="shared" si="52"/>
        <v>0</v>
      </c>
      <c r="DE55" t="str">
        <f t="shared" si="53"/>
        <v>G548</v>
      </c>
      <c r="DF55" t="str">
        <f t="shared" si="37"/>
        <v>R85</v>
      </c>
      <c r="DG55" t="b">
        <f t="shared" si="54"/>
        <v>0</v>
      </c>
      <c r="DH55" t="str">
        <f t="shared" si="55"/>
        <v>R85</v>
      </c>
    </row>
    <row r="56" spans="2:112" ht="12" customHeight="1">
      <c r="B56" t="str">
        <f>TBIDry!H128</f>
        <v>G172</v>
      </c>
      <c r="C56" t="str">
        <f>TBIDry!I128</f>
        <v>R734</v>
      </c>
      <c r="D56" t="b">
        <f t="shared" si="1"/>
        <v>0</v>
      </c>
      <c r="E56" t="b">
        <f t="shared" si="2"/>
        <v>0</v>
      </c>
      <c r="G56" t="str">
        <f>TBIWet!H128</f>
        <v>G426</v>
      </c>
      <c r="H56" t="str">
        <f>TBIWet!I128</f>
        <v>R399</v>
      </c>
      <c r="I56" t="b">
        <f t="shared" si="3"/>
        <v>0</v>
      </c>
      <c r="J56" t="b">
        <f t="shared" si="38"/>
        <v>0</v>
      </c>
      <c r="L56" t="str">
        <f>'Both teabags AfterWet'!A54</f>
        <v>G414</v>
      </c>
      <c r="M56" t="str">
        <f>'Both teabags AfterWet'!A474</f>
        <v>R157</v>
      </c>
      <c r="N56" t="b">
        <f t="shared" si="4"/>
        <v>0</v>
      </c>
      <c r="O56" t="b">
        <f t="shared" si="56"/>
        <v>0</v>
      </c>
      <c r="Q56" s="388" t="b">
        <f t="shared" si="5"/>
        <v>0</v>
      </c>
      <c r="R56" s="388" t="b">
        <f t="shared" si="6"/>
        <v>0</v>
      </c>
      <c r="T56" t="str">
        <f>'Both teabags AfterDry'!A54</f>
        <v>G168</v>
      </c>
      <c r="U56" t="str">
        <f>'Both teabags AfterDry'!A389</f>
        <v>R242</v>
      </c>
      <c r="V56" t="b">
        <f t="shared" si="7"/>
        <v>0</v>
      </c>
      <c r="W56" t="b">
        <f t="shared" si="39"/>
        <v>0</v>
      </c>
      <c r="Y56" t="str">
        <f>'Green_rooibos initial weight'!A57</f>
        <v>G53</v>
      </c>
      <c r="Z56" t="str">
        <f>'Green_rooibos initial weight'!A961</f>
        <v>R53</v>
      </c>
      <c r="AA56" t="b">
        <f t="shared" si="8"/>
        <v>0</v>
      </c>
      <c r="AB56" t="b">
        <f t="shared" si="9"/>
        <v>0</v>
      </c>
      <c r="AE56" t="str">
        <f>'WetLitterbags placem_collection'!K55</f>
        <v>G426</v>
      </c>
      <c r="AF56" t="str">
        <f>'WetLitterbags placem_collection'!M55</f>
        <v>R399</v>
      </c>
      <c r="AG56" t="b">
        <f t="shared" si="10"/>
        <v>0</v>
      </c>
      <c r="AH56" t="b">
        <f t="shared" si="11"/>
        <v>0</v>
      </c>
      <c r="AJ56" t="b">
        <f t="shared" si="12"/>
        <v>0</v>
      </c>
      <c r="AK56" t="b">
        <f t="shared" si="13"/>
        <v>0</v>
      </c>
      <c r="AM56" t="str">
        <f>IF(ISBLANK('Dry_Litterbag Placem_Collection'!J55),"","G"&amp;""&amp;'Dry_Litterbag Placem_Collection'!J55)</f>
        <v>G172</v>
      </c>
      <c r="AN56" t="str">
        <f>IF(ISBLANK('Dry_Litterbag Placem_Collection'!K55),"","R"&amp;""&amp;'Dry_Litterbag Placem_Collection'!K55)</f>
        <v>R734</v>
      </c>
      <c r="AO56" t="b">
        <f t="shared" si="58"/>
        <v>0</v>
      </c>
      <c r="AP56" t="b">
        <f t="shared" si="15"/>
        <v>0</v>
      </c>
      <c r="AS56" t="str">
        <f>'Ashed teabags dry'!A54</f>
        <v>G168</v>
      </c>
      <c r="AT56" t="str">
        <f>'Ashed teabags dry'!A389</f>
        <v>R242</v>
      </c>
      <c r="AU56" t="b">
        <f t="shared" si="16"/>
        <v>0</v>
      </c>
      <c r="AV56" t="b">
        <f t="shared" si="40"/>
        <v>0</v>
      </c>
      <c r="AX56" s="388" t="b">
        <f t="shared" si="17"/>
        <v>0</v>
      </c>
      <c r="AY56" s="388" t="b">
        <f t="shared" si="18"/>
        <v>0</v>
      </c>
      <c r="BA56" t="str">
        <f>'Ashed teabags wet'!A54</f>
        <v>G414</v>
      </c>
      <c r="BB56" t="str">
        <f>'Ashed teabags wet'!A474</f>
        <v>R157</v>
      </c>
      <c r="BC56" t="b">
        <f t="shared" si="19"/>
        <v>0</v>
      </c>
      <c r="BD56" t="b">
        <f t="shared" si="0"/>
        <v>0</v>
      </c>
      <c r="BF56" t="str">
        <f t="shared" si="20"/>
        <v>G167</v>
      </c>
      <c r="BG56" t="str">
        <f t="shared" si="21"/>
        <v>G167</v>
      </c>
      <c r="BH56" t="str">
        <f t="shared" si="22"/>
        <v>G237</v>
      </c>
      <c r="BI56" t="str">
        <f t="shared" si="41"/>
        <v>G237</v>
      </c>
      <c r="BJ56" t="s">
        <v>1883</v>
      </c>
      <c r="BK56" t="s">
        <v>1883</v>
      </c>
      <c r="BL56" t="s">
        <v>1883</v>
      </c>
      <c r="BM56" t="b">
        <f t="shared" si="42"/>
        <v>1</v>
      </c>
      <c r="BN56" t="str">
        <f t="shared" si="23"/>
        <v>R240</v>
      </c>
      <c r="BO56" t="str">
        <f t="shared" si="24"/>
        <v>R240</v>
      </c>
      <c r="BP56" t="str">
        <f t="shared" si="25"/>
        <v>R833</v>
      </c>
      <c r="BQ56" t="str">
        <f t="shared" si="26"/>
        <v>R833</v>
      </c>
      <c r="BR56" t="s">
        <v>901</v>
      </c>
      <c r="BS56" t="s">
        <v>901</v>
      </c>
      <c r="BT56" t="s">
        <v>901</v>
      </c>
      <c r="BU56" t="b">
        <f t="shared" si="43"/>
        <v>1</v>
      </c>
      <c r="BV56" s="393" t="s">
        <v>1774</v>
      </c>
      <c r="BW56" s="393" t="s">
        <v>385</v>
      </c>
      <c r="BZ56" t="str">
        <f t="shared" si="27"/>
        <v>G237</v>
      </c>
      <c r="CA56" t="b">
        <f t="shared" si="28"/>
        <v>0</v>
      </c>
      <c r="CB56" t="str">
        <f t="shared" si="44"/>
        <v>G237</v>
      </c>
      <c r="CC56" t="str">
        <f t="shared" si="29"/>
        <v>R833</v>
      </c>
      <c r="CD56" t="b">
        <f t="shared" si="45"/>
        <v>0</v>
      </c>
      <c r="CE56" t="str">
        <f t="shared" si="46"/>
        <v>R833</v>
      </c>
      <c r="CG56" t="str">
        <f t="shared" si="30"/>
        <v>G408</v>
      </c>
      <c r="CH56" t="str">
        <f t="shared" si="47"/>
        <v>G408</v>
      </c>
      <c r="CI56" t="str">
        <f t="shared" si="31"/>
        <v>G638</v>
      </c>
      <c r="CJ56" t="str">
        <f t="shared" si="32"/>
        <v>G638</v>
      </c>
      <c r="CK56" t="s">
        <v>1642</v>
      </c>
      <c r="CL56" t="s">
        <v>1642</v>
      </c>
      <c r="CM56" t="s">
        <v>1642</v>
      </c>
      <c r="CN56" t="b">
        <f t="shared" si="48"/>
        <v>1</v>
      </c>
      <c r="CO56" t="str">
        <f t="shared" si="33"/>
        <v>R156</v>
      </c>
      <c r="CP56" t="str">
        <f t="shared" si="49"/>
        <v>R156</v>
      </c>
      <c r="CQ56" t="str">
        <f t="shared" si="34"/>
        <v>R513</v>
      </c>
      <c r="CR56" t="str">
        <f t="shared" si="35"/>
        <v>R513</v>
      </c>
      <c r="CS56" t="s">
        <v>985</v>
      </c>
      <c r="CT56" t="s">
        <v>985</v>
      </c>
      <c r="CU56" t="s">
        <v>985</v>
      </c>
      <c r="CV56" t="b">
        <f t="shared" si="50"/>
        <v>1</v>
      </c>
      <c r="DC56" t="str">
        <f t="shared" si="36"/>
        <v>G638</v>
      </c>
      <c r="DD56" t="b">
        <f t="shared" si="52"/>
        <v>0</v>
      </c>
      <c r="DE56" t="str">
        <f t="shared" si="53"/>
        <v>G638</v>
      </c>
      <c r="DF56" t="str">
        <f t="shared" si="37"/>
        <v>R513</v>
      </c>
      <c r="DG56" t="b">
        <f t="shared" si="54"/>
        <v>0</v>
      </c>
      <c r="DH56" t="str">
        <f t="shared" si="55"/>
        <v>R513</v>
      </c>
    </row>
    <row r="57" spans="2:112" ht="12" customHeight="1">
      <c r="B57" t="str">
        <f>TBIDry!H129</f>
        <v/>
      </c>
      <c r="C57" t="str">
        <f>TBIDry!I129</f>
        <v/>
      </c>
      <c r="D57" t="b">
        <f t="shared" si="1"/>
        <v>1</v>
      </c>
      <c r="E57" t="b">
        <f t="shared" si="2"/>
        <v>1</v>
      </c>
      <c r="G57" t="str">
        <f>TBIWet!H129</f>
        <v>G589</v>
      </c>
      <c r="H57" t="str">
        <f>TBIWet!I129</f>
        <v>R400</v>
      </c>
      <c r="I57" t="b">
        <f t="shared" si="3"/>
        <v>0</v>
      </c>
      <c r="J57" t="b">
        <f t="shared" si="38"/>
        <v>0</v>
      </c>
      <c r="L57" t="str">
        <f>'Both teabags AfterWet'!A55</f>
        <v>G416</v>
      </c>
      <c r="M57" t="str">
        <f>'Both teabags AfterWet'!A475</f>
        <v>R159</v>
      </c>
      <c r="N57" t="b">
        <f t="shared" si="4"/>
        <v>0</v>
      </c>
      <c r="O57" t="b">
        <f t="shared" si="56"/>
        <v>0</v>
      </c>
      <c r="Q57" s="388" t="b">
        <f t="shared" si="5"/>
        <v>0</v>
      </c>
      <c r="R57" s="388" t="b">
        <f t="shared" si="6"/>
        <v>0</v>
      </c>
      <c r="T57" t="str">
        <f>'Both teabags AfterDry'!A55</f>
        <v>G169</v>
      </c>
      <c r="U57" t="str">
        <f>'Both teabags AfterDry'!A390</f>
        <v>R243</v>
      </c>
      <c r="V57" t="b">
        <f t="shared" si="7"/>
        <v>0</v>
      </c>
      <c r="W57" t="b">
        <f t="shared" si="39"/>
        <v>0</v>
      </c>
      <c r="Y57" t="str">
        <f>'Green_rooibos initial weight'!A58</f>
        <v>G54</v>
      </c>
      <c r="Z57" t="str">
        <f>'Green_rooibos initial weight'!A962</f>
        <v>R54</v>
      </c>
      <c r="AA57" t="b">
        <f t="shared" si="8"/>
        <v>0</v>
      </c>
      <c r="AB57" t="b">
        <f t="shared" si="9"/>
        <v>0</v>
      </c>
      <c r="AE57" t="str">
        <f>'WetLitterbags placem_collection'!K56</f>
        <v>G589</v>
      </c>
      <c r="AF57" t="str">
        <f>'WetLitterbags placem_collection'!M56</f>
        <v>R400</v>
      </c>
      <c r="AG57" t="b">
        <f t="shared" si="10"/>
        <v>0</v>
      </c>
      <c r="AH57" t="b">
        <f t="shared" si="11"/>
        <v>0</v>
      </c>
      <c r="AJ57" t="b">
        <f t="shared" si="12"/>
        <v>0</v>
      </c>
      <c r="AK57" t="b">
        <f t="shared" si="13"/>
        <v>0</v>
      </c>
      <c r="AM57" t="str">
        <f>IF(ISBLANK('Dry_Litterbag Placem_Collection'!J56),"","G"&amp;""&amp;'Dry_Litterbag Placem_Collection'!J56)</f>
        <v/>
      </c>
      <c r="AN57" t="str">
        <f>IF(ISBLANK('Dry_Litterbag Placem_Collection'!K56),"","R"&amp;""&amp;'Dry_Litterbag Placem_Collection'!K56)</f>
        <v/>
      </c>
      <c r="AO57" t="b">
        <f t="shared" si="58"/>
        <v>1</v>
      </c>
      <c r="AP57" t="b">
        <f t="shared" si="15"/>
        <v>1</v>
      </c>
      <c r="AS57" t="str">
        <f>'Ashed teabags dry'!A55</f>
        <v>G169</v>
      </c>
      <c r="AT57" t="str">
        <f>'Ashed teabags dry'!A390</f>
        <v>R243</v>
      </c>
      <c r="AU57" t="b">
        <f t="shared" si="16"/>
        <v>0</v>
      </c>
      <c r="AV57" t="b">
        <f t="shared" si="40"/>
        <v>0</v>
      </c>
      <c r="AX57" s="388" t="b">
        <f t="shared" si="17"/>
        <v>0</v>
      </c>
      <c r="AY57" s="388" t="b">
        <f t="shared" si="18"/>
        <v>0</v>
      </c>
      <c r="BA57" t="str">
        <f>'Ashed teabags wet'!A55</f>
        <v>G416</v>
      </c>
      <c r="BB57" t="str">
        <f>'Ashed teabags wet'!A475</f>
        <v>R159</v>
      </c>
      <c r="BC57" t="b">
        <f t="shared" si="19"/>
        <v>0</v>
      </c>
      <c r="BD57" t="b">
        <f t="shared" si="0"/>
        <v>0</v>
      </c>
      <c r="BF57" t="str">
        <f t="shared" si="20"/>
        <v>G168</v>
      </c>
      <c r="BG57" t="str">
        <f t="shared" si="21"/>
        <v>G168</v>
      </c>
      <c r="BH57" t="str">
        <f t="shared" si="22"/>
        <v>G172</v>
      </c>
      <c r="BI57" t="str">
        <f t="shared" si="41"/>
        <v>G172</v>
      </c>
      <c r="BJ57" t="s">
        <v>1882</v>
      </c>
      <c r="BK57" t="s">
        <v>1882</v>
      </c>
      <c r="BL57" t="s">
        <v>1882</v>
      </c>
      <c r="BM57" t="b">
        <f t="shared" si="42"/>
        <v>1</v>
      </c>
      <c r="BN57" t="str">
        <f t="shared" si="23"/>
        <v>R242</v>
      </c>
      <c r="BO57" t="str">
        <f t="shared" si="24"/>
        <v>R242</v>
      </c>
      <c r="BP57" t="str">
        <f t="shared" si="25"/>
        <v>R734</v>
      </c>
      <c r="BQ57" t="str">
        <f t="shared" si="26"/>
        <v>R734</v>
      </c>
      <c r="BR57" t="s">
        <v>899</v>
      </c>
      <c r="BS57" t="s">
        <v>899</v>
      </c>
      <c r="BT57" t="s">
        <v>899</v>
      </c>
      <c r="BU57" t="b">
        <f t="shared" si="43"/>
        <v>1</v>
      </c>
      <c r="BV57" s="393" t="s">
        <v>1408</v>
      </c>
      <c r="BW57" s="393" t="s">
        <v>786</v>
      </c>
      <c r="BZ57" t="str">
        <f t="shared" si="27"/>
        <v>G172</v>
      </c>
      <c r="CA57" t="b">
        <f t="shared" si="28"/>
        <v>0</v>
      </c>
      <c r="CB57" t="str">
        <f t="shared" si="44"/>
        <v>G172</v>
      </c>
      <c r="CC57" t="str">
        <f t="shared" si="29"/>
        <v>R734</v>
      </c>
      <c r="CD57" t="b">
        <f t="shared" si="45"/>
        <v>0</v>
      </c>
      <c r="CE57" t="str">
        <f t="shared" si="46"/>
        <v>R734</v>
      </c>
      <c r="CG57" t="str">
        <f t="shared" si="30"/>
        <v>G414</v>
      </c>
      <c r="CH57" t="str">
        <f t="shared" si="47"/>
        <v>G414</v>
      </c>
      <c r="CI57" t="str">
        <f t="shared" si="31"/>
        <v>G426</v>
      </c>
      <c r="CJ57" t="str">
        <f t="shared" si="32"/>
        <v/>
      </c>
      <c r="CK57" t="s">
        <v>1636</v>
      </c>
      <c r="CL57" t="s">
        <v>1636</v>
      </c>
      <c r="CM57" t="s">
        <v>1636</v>
      </c>
      <c r="CN57" t="b">
        <f t="shared" si="48"/>
        <v>1</v>
      </c>
      <c r="CO57" t="str">
        <f t="shared" si="33"/>
        <v>R157</v>
      </c>
      <c r="CP57" t="str">
        <f t="shared" si="49"/>
        <v>R157</v>
      </c>
      <c r="CQ57" t="str">
        <f t="shared" si="34"/>
        <v>R399</v>
      </c>
      <c r="CR57" t="str">
        <f t="shared" si="35"/>
        <v/>
      </c>
      <c r="CS57" t="s">
        <v>984</v>
      </c>
      <c r="CT57" t="s">
        <v>984</v>
      </c>
      <c r="CU57" t="s">
        <v>984</v>
      </c>
      <c r="CV57" t="b">
        <f t="shared" si="50"/>
        <v>1</v>
      </c>
      <c r="DC57" t="str">
        <f t="shared" si="36"/>
        <v>G426</v>
      </c>
      <c r="DD57" t="b">
        <f t="shared" si="52"/>
        <v>1</v>
      </c>
      <c r="DE57" t="str">
        <f t="shared" si="53"/>
        <v/>
      </c>
      <c r="DF57" t="str">
        <f t="shared" si="37"/>
        <v>R399</v>
      </c>
      <c r="DG57" t="b">
        <f t="shared" si="54"/>
        <v>1</v>
      </c>
      <c r="DH57" t="str">
        <f t="shared" si="55"/>
        <v/>
      </c>
    </row>
    <row r="58" spans="2:112" ht="12" customHeight="1">
      <c r="B58" t="str">
        <f>TBIDry!H130</f>
        <v>G86</v>
      </c>
      <c r="C58" t="str">
        <f>TBIDry!I130</f>
        <v>R839</v>
      </c>
      <c r="D58" t="b">
        <f t="shared" si="1"/>
        <v>0</v>
      </c>
      <c r="E58" t="b">
        <f t="shared" si="2"/>
        <v>0</v>
      </c>
      <c r="G58" t="str">
        <f>TBIWet!H130</f>
        <v>G622</v>
      </c>
      <c r="H58" t="str">
        <f>TBIWet!I130</f>
        <v>R19</v>
      </c>
      <c r="I58" t="b">
        <f t="shared" si="3"/>
        <v>0</v>
      </c>
      <c r="J58" t="b">
        <f t="shared" si="38"/>
        <v>0</v>
      </c>
      <c r="L58" t="str">
        <f>'Both teabags AfterWet'!A56</f>
        <v>G417</v>
      </c>
      <c r="M58" t="str">
        <f>'Both teabags AfterWet'!A476</f>
        <v>R16</v>
      </c>
      <c r="N58" t="b">
        <f t="shared" si="4"/>
        <v>0</v>
      </c>
      <c r="O58" t="b">
        <f t="shared" si="56"/>
        <v>0</v>
      </c>
      <c r="Q58" s="388" t="b">
        <f t="shared" si="5"/>
        <v>0</v>
      </c>
      <c r="R58" s="388" t="b">
        <f t="shared" si="6"/>
        <v>0</v>
      </c>
      <c r="T58" t="str">
        <f>'Both teabags AfterDry'!A56</f>
        <v>G17</v>
      </c>
      <c r="U58" t="str">
        <f>'Both teabags AfterDry'!A391</f>
        <v>R245</v>
      </c>
      <c r="V58" t="b">
        <f t="shared" si="7"/>
        <v>0</v>
      </c>
      <c r="W58" t="b">
        <f t="shared" si="39"/>
        <v>0</v>
      </c>
      <c r="Y58" t="str">
        <f>'Green_rooibos initial weight'!A59</f>
        <v>G55</v>
      </c>
      <c r="Z58" t="str">
        <f>'Green_rooibos initial weight'!A963</f>
        <v>R55</v>
      </c>
      <c r="AA58" t="b">
        <f t="shared" si="8"/>
        <v>0</v>
      </c>
      <c r="AB58" t="b">
        <f t="shared" si="9"/>
        <v>0</v>
      </c>
      <c r="AE58" t="str">
        <f>'WetLitterbags placem_collection'!K57</f>
        <v>G622</v>
      </c>
      <c r="AF58" t="str">
        <f>'WetLitterbags placem_collection'!M57</f>
        <v>R19</v>
      </c>
      <c r="AG58" t="b">
        <f t="shared" si="10"/>
        <v>0</v>
      </c>
      <c r="AH58" t="b">
        <f t="shared" si="11"/>
        <v>0</v>
      </c>
      <c r="AJ58" t="b">
        <f t="shared" si="12"/>
        <v>0</v>
      </c>
      <c r="AK58" t="b">
        <f t="shared" si="13"/>
        <v>0</v>
      </c>
      <c r="AM58" t="str">
        <f>IF(ISBLANK('Dry_Litterbag Placem_Collection'!J57),"","G"&amp;""&amp;'Dry_Litterbag Placem_Collection'!J57)</f>
        <v>G86</v>
      </c>
      <c r="AN58" t="str">
        <f>IF(ISBLANK('Dry_Litterbag Placem_Collection'!K57),"","R"&amp;""&amp;'Dry_Litterbag Placem_Collection'!K57)</f>
        <v>R839</v>
      </c>
      <c r="AO58" t="b">
        <f t="shared" si="58"/>
        <v>0</v>
      </c>
      <c r="AP58" t="b">
        <f t="shared" si="15"/>
        <v>0</v>
      </c>
      <c r="AS58" t="str">
        <f>'Ashed teabags dry'!A56</f>
        <v>G17</v>
      </c>
      <c r="AT58" t="str">
        <f>'Ashed teabags dry'!A391</f>
        <v>R245</v>
      </c>
      <c r="AU58" t="b">
        <f t="shared" si="16"/>
        <v>0</v>
      </c>
      <c r="AV58" t="b">
        <f t="shared" si="40"/>
        <v>0</v>
      </c>
      <c r="AX58" s="388" t="b">
        <f t="shared" si="17"/>
        <v>0</v>
      </c>
      <c r="AY58" s="388" t="b">
        <f t="shared" si="18"/>
        <v>0</v>
      </c>
      <c r="BA58" t="str">
        <f>'Ashed teabags wet'!A56</f>
        <v>G417</v>
      </c>
      <c r="BB58" t="str">
        <f>'Ashed teabags wet'!A476</f>
        <v>R16</v>
      </c>
      <c r="BC58" t="b">
        <f t="shared" si="19"/>
        <v>0</v>
      </c>
      <c r="BD58" t="b">
        <f t="shared" si="0"/>
        <v>0</v>
      </c>
      <c r="BF58" t="str">
        <f t="shared" si="20"/>
        <v>G169</v>
      </c>
      <c r="BG58" t="str">
        <f t="shared" si="21"/>
        <v>G169</v>
      </c>
      <c r="BH58" t="str">
        <f t="shared" si="22"/>
        <v/>
      </c>
      <c r="BI58" t="str">
        <f t="shared" si="41"/>
        <v/>
      </c>
      <c r="BJ58" t="s">
        <v>1881</v>
      </c>
      <c r="BK58" t="s">
        <v>1881</v>
      </c>
      <c r="BL58" t="s">
        <v>1881</v>
      </c>
      <c r="BM58" t="b">
        <f t="shared" si="42"/>
        <v>1</v>
      </c>
      <c r="BN58" t="str">
        <f t="shared" si="23"/>
        <v>R243</v>
      </c>
      <c r="BO58" t="str">
        <f t="shared" si="24"/>
        <v>R243</v>
      </c>
      <c r="BP58" t="str">
        <f t="shared" si="25"/>
        <v/>
      </c>
      <c r="BQ58" t="str">
        <f t="shared" si="26"/>
        <v/>
      </c>
      <c r="BR58" t="s">
        <v>898</v>
      </c>
      <c r="BS58" t="s">
        <v>898</v>
      </c>
      <c r="BT58" t="s">
        <v>898</v>
      </c>
      <c r="BU58" t="b">
        <f t="shared" si="43"/>
        <v>1</v>
      </c>
      <c r="BV58" s="393" t="s">
        <v>1838</v>
      </c>
      <c r="BW58" s="393" t="s">
        <v>495</v>
      </c>
      <c r="BZ58" t="str">
        <f t="shared" si="27"/>
        <v/>
      </c>
      <c r="CA58" t="b">
        <f t="shared" si="28"/>
        <v>0</v>
      </c>
      <c r="CB58" t="str">
        <f t="shared" si="44"/>
        <v/>
      </c>
      <c r="CC58" t="str">
        <f t="shared" si="29"/>
        <v/>
      </c>
      <c r="CD58" t="b">
        <f t="shared" si="45"/>
        <v>0</v>
      </c>
      <c r="CE58" t="str">
        <f t="shared" si="46"/>
        <v/>
      </c>
      <c r="CG58" t="str">
        <f t="shared" si="30"/>
        <v>G416</v>
      </c>
      <c r="CH58" t="str">
        <f t="shared" si="47"/>
        <v>G416</v>
      </c>
      <c r="CI58" t="str">
        <f t="shared" si="31"/>
        <v>G589</v>
      </c>
      <c r="CJ58" t="str">
        <f t="shared" si="32"/>
        <v/>
      </c>
      <c r="CK58" t="s">
        <v>1634</v>
      </c>
      <c r="CL58" t="s">
        <v>1634</v>
      </c>
      <c r="CM58" t="s">
        <v>1634</v>
      </c>
      <c r="CN58" t="b">
        <f t="shared" si="48"/>
        <v>1</v>
      </c>
      <c r="CO58" t="str">
        <f t="shared" si="33"/>
        <v>R159</v>
      </c>
      <c r="CP58" t="str">
        <f t="shared" si="49"/>
        <v>R159</v>
      </c>
      <c r="CQ58" t="str">
        <f t="shared" si="34"/>
        <v>R400</v>
      </c>
      <c r="CR58" t="str">
        <f t="shared" si="35"/>
        <v/>
      </c>
      <c r="CS58" t="s">
        <v>982</v>
      </c>
      <c r="CT58" t="s">
        <v>982</v>
      </c>
      <c r="CU58" t="s">
        <v>982</v>
      </c>
      <c r="CV58" t="b">
        <f t="shared" si="50"/>
        <v>1</v>
      </c>
      <c r="DC58" t="str">
        <f t="shared" si="36"/>
        <v>G589</v>
      </c>
      <c r="DD58" t="b">
        <f t="shared" si="52"/>
        <v>1</v>
      </c>
      <c r="DE58" t="str">
        <f t="shared" si="53"/>
        <v/>
      </c>
      <c r="DF58" t="str">
        <f t="shared" si="37"/>
        <v>R400</v>
      </c>
      <c r="DG58" t="b">
        <f t="shared" si="54"/>
        <v>1</v>
      </c>
      <c r="DH58" t="str">
        <f t="shared" si="55"/>
        <v/>
      </c>
    </row>
    <row r="59" spans="2:112" ht="12" customHeight="1">
      <c r="B59" t="str">
        <f>TBIDry!H131</f>
        <v>G107</v>
      </c>
      <c r="C59" t="str">
        <f>TBIDry!I131</f>
        <v>R760</v>
      </c>
      <c r="D59" t="b">
        <f t="shared" si="1"/>
        <v>0</v>
      </c>
      <c r="E59" t="b">
        <f t="shared" si="2"/>
        <v>0</v>
      </c>
      <c r="G59" t="str">
        <f>TBIWet!H131</f>
        <v>G538</v>
      </c>
      <c r="H59" t="str">
        <f>TBIWet!I131</f>
        <v>R60</v>
      </c>
      <c r="I59" t="b">
        <f t="shared" si="3"/>
        <v>0</v>
      </c>
      <c r="J59" t="b">
        <f t="shared" si="38"/>
        <v>0</v>
      </c>
      <c r="L59" t="str">
        <f>'Both teabags AfterWet'!A57</f>
        <v>G419</v>
      </c>
      <c r="M59" t="str">
        <f>'Both teabags AfterWet'!A477</f>
        <v>R161</v>
      </c>
      <c r="N59" t="b">
        <f t="shared" si="4"/>
        <v>0</v>
      </c>
      <c r="O59" t="b">
        <f t="shared" si="56"/>
        <v>0</v>
      </c>
      <c r="Q59" s="388" t="b">
        <f t="shared" si="5"/>
        <v>0</v>
      </c>
      <c r="R59" s="388" t="b">
        <f t="shared" si="6"/>
        <v>0</v>
      </c>
      <c r="T59" t="str">
        <f>'Both teabags AfterDry'!A57</f>
        <v>G170</v>
      </c>
      <c r="U59" t="str">
        <f>'Both teabags AfterDry'!A392</f>
        <v>R246</v>
      </c>
      <c r="V59" t="b">
        <f t="shared" si="7"/>
        <v>0</v>
      </c>
      <c r="W59" t="b">
        <f t="shared" si="39"/>
        <v>0</v>
      </c>
      <c r="Y59" t="str">
        <f>'Green_rooibos initial weight'!A60</f>
        <v>G56</v>
      </c>
      <c r="Z59" t="str">
        <f>'Green_rooibos initial weight'!A964</f>
        <v>R56</v>
      </c>
      <c r="AA59" t="b">
        <f t="shared" si="8"/>
        <v>0</v>
      </c>
      <c r="AB59" t="b">
        <f t="shared" si="9"/>
        <v>0</v>
      </c>
      <c r="AE59" t="str">
        <f>'WetLitterbags placem_collection'!K58</f>
        <v>G538</v>
      </c>
      <c r="AF59" t="str">
        <f>'WetLitterbags placem_collection'!M58</f>
        <v>R60</v>
      </c>
      <c r="AG59" t="b">
        <f t="shared" si="10"/>
        <v>0</v>
      </c>
      <c r="AH59" t="b">
        <f t="shared" si="11"/>
        <v>0</v>
      </c>
      <c r="AJ59" t="b">
        <f t="shared" si="12"/>
        <v>0</v>
      </c>
      <c r="AK59" t="b">
        <f t="shared" si="13"/>
        <v>0</v>
      </c>
      <c r="AM59" t="str">
        <f>IF(ISBLANK('Dry_Litterbag Placem_Collection'!J58),"","G"&amp;""&amp;'Dry_Litterbag Placem_Collection'!J58)</f>
        <v>G107</v>
      </c>
      <c r="AN59" t="str">
        <f>IF(ISBLANK('Dry_Litterbag Placem_Collection'!K58),"","R"&amp;""&amp;'Dry_Litterbag Placem_Collection'!K58)</f>
        <v>R760</v>
      </c>
      <c r="AO59" t="b">
        <f t="shared" si="58"/>
        <v>0</v>
      </c>
      <c r="AP59" t="b">
        <f t="shared" si="15"/>
        <v>0</v>
      </c>
      <c r="AS59" t="str">
        <f>'Ashed teabags dry'!A57</f>
        <v>G170</v>
      </c>
      <c r="AT59" t="str">
        <f>'Ashed teabags dry'!A392</f>
        <v>R246</v>
      </c>
      <c r="AU59" t="b">
        <f t="shared" si="16"/>
        <v>0</v>
      </c>
      <c r="AV59" t="b">
        <f t="shared" si="40"/>
        <v>0</v>
      </c>
      <c r="AX59" s="388" t="b">
        <f t="shared" si="17"/>
        <v>0</v>
      </c>
      <c r="AY59" s="388" t="b">
        <f t="shared" si="18"/>
        <v>0</v>
      </c>
      <c r="BA59" t="str">
        <f>'Ashed teabags wet'!A57</f>
        <v>G419</v>
      </c>
      <c r="BB59" t="str">
        <f>'Ashed teabags wet'!A477</f>
        <v>R161</v>
      </c>
      <c r="BC59" t="b">
        <f t="shared" si="19"/>
        <v>0</v>
      </c>
      <c r="BD59" t="b">
        <f t="shared" si="0"/>
        <v>0</v>
      </c>
      <c r="BF59" t="str">
        <f t="shared" si="20"/>
        <v>G17</v>
      </c>
      <c r="BG59" t="str">
        <f t="shared" si="21"/>
        <v>G17</v>
      </c>
      <c r="BH59" t="str">
        <f t="shared" si="22"/>
        <v>G86</v>
      </c>
      <c r="BI59" t="str">
        <f t="shared" si="41"/>
        <v>G86</v>
      </c>
      <c r="BJ59" t="s">
        <v>2033</v>
      </c>
      <c r="BK59" t="s">
        <v>2033</v>
      </c>
      <c r="BL59" t="s">
        <v>2033</v>
      </c>
      <c r="BM59" t="b">
        <f t="shared" si="42"/>
        <v>1</v>
      </c>
      <c r="BN59" t="str">
        <f t="shared" si="23"/>
        <v>R245</v>
      </c>
      <c r="BO59" t="str">
        <f t="shared" si="24"/>
        <v>R245</v>
      </c>
      <c r="BP59" t="str">
        <f t="shared" si="25"/>
        <v>R839</v>
      </c>
      <c r="BQ59" t="str">
        <f t="shared" si="26"/>
        <v>R839</v>
      </c>
      <c r="BR59" t="s">
        <v>896</v>
      </c>
      <c r="BS59" t="s">
        <v>896</v>
      </c>
      <c r="BT59" t="s">
        <v>896</v>
      </c>
      <c r="BU59" t="b">
        <f t="shared" si="43"/>
        <v>1</v>
      </c>
      <c r="BV59" s="393" t="s">
        <v>1928</v>
      </c>
      <c r="BW59" s="393" t="s">
        <v>415</v>
      </c>
      <c r="BZ59" t="str">
        <f t="shared" si="27"/>
        <v>G86</v>
      </c>
      <c r="CA59" t="b">
        <f t="shared" si="28"/>
        <v>0</v>
      </c>
      <c r="CB59" t="str">
        <f t="shared" si="44"/>
        <v>G86</v>
      </c>
      <c r="CC59" t="str">
        <f t="shared" si="29"/>
        <v>R839</v>
      </c>
      <c r="CD59" t="b">
        <f t="shared" si="45"/>
        <v>0</v>
      </c>
      <c r="CE59" t="str">
        <f t="shared" si="46"/>
        <v>R839</v>
      </c>
      <c r="CG59" t="str">
        <f t="shared" si="30"/>
        <v>G417</v>
      </c>
      <c r="CH59" t="str">
        <f t="shared" si="47"/>
        <v>G417</v>
      </c>
      <c r="CI59" t="str">
        <f t="shared" si="31"/>
        <v>G622</v>
      </c>
      <c r="CJ59" t="str">
        <f t="shared" si="32"/>
        <v/>
      </c>
      <c r="CK59" t="s">
        <v>1633</v>
      </c>
      <c r="CL59" t="s">
        <v>1633</v>
      </c>
      <c r="CM59" t="s">
        <v>1633</v>
      </c>
      <c r="CN59" t="b">
        <f t="shared" si="48"/>
        <v>1</v>
      </c>
      <c r="CO59" t="str">
        <f t="shared" si="33"/>
        <v>R16</v>
      </c>
      <c r="CP59" t="str">
        <f t="shared" si="49"/>
        <v>R16</v>
      </c>
      <c r="CQ59" t="str">
        <f t="shared" si="34"/>
        <v>R19</v>
      </c>
      <c r="CR59" t="str">
        <f t="shared" si="35"/>
        <v>R19</v>
      </c>
      <c r="CS59" t="s">
        <v>1125</v>
      </c>
      <c r="CT59" t="s">
        <v>1125</v>
      </c>
      <c r="CU59" t="s">
        <v>1125</v>
      </c>
      <c r="CV59" t="b">
        <f t="shared" si="50"/>
        <v>1</v>
      </c>
      <c r="DC59" t="str">
        <f t="shared" si="36"/>
        <v>G622</v>
      </c>
      <c r="DD59" t="b">
        <f t="shared" si="52"/>
        <v>1</v>
      </c>
      <c r="DE59" t="str">
        <f t="shared" si="53"/>
        <v/>
      </c>
      <c r="DF59" t="str">
        <f t="shared" si="37"/>
        <v>R19</v>
      </c>
      <c r="DG59" t="b">
        <f t="shared" si="54"/>
        <v>0</v>
      </c>
      <c r="DH59" t="str">
        <f t="shared" si="55"/>
        <v>R19</v>
      </c>
    </row>
    <row r="60" spans="2:112" ht="12" customHeight="1">
      <c r="B60" t="str">
        <f>TBIDry!H132</f>
        <v>G41</v>
      </c>
      <c r="C60" t="str">
        <f>TBIDry!I132</f>
        <v>R830</v>
      </c>
      <c r="D60" t="b">
        <f t="shared" si="1"/>
        <v>0</v>
      </c>
      <c r="E60" t="b">
        <f t="shared" si="2"/>
        <v>0</v>
      </c>
      <c r="G60" t="str">
        <f>TBIWet!H132</f>
        <v>G546</v>
      </c>
      <c r="H60" t="str">
        <f>TBIWet!I132</f>
        <v>R161</v>
      </c>
      <c r="I60" s="113" t="b">
        <f t="shared" si="3"/>
        <v>0</v>
      </c>
      <c r="J60" t="b">
        <f t="shared" si="38"/>
        <v>0</v>
      </c>
      <c r="L60" t="str">
        <f>'Both teabags AfterWet'!A58</f>
        <v>G420</v>
      </c>
      <c r="M60" t="str">
        <f>'Both teabags AfterWet'!A478</f>
        <v>R164</v>
      </c>
      <c r="N60" t="b">
        <f t="shared" si="4"/>
        <v>0</v>
      </c>
      <c r="O60" t="b">
        <f t="shared" si="56"/>
        <v>0</v>
      </c>
      <c r="Q60" s="388" t="b">
        <f t="shared" si="5"/>
        <v>0</v>
      </c>
      <c r="R60" s="388" t="b">
        <f t="shared" si="6"/>
        <v>0</v>
      </c>
      <c r="T60" t="str">
        <f>'Both teabags AfterDry'!A58</f>
        <v>G171</v>
      </c>
      <c r="U60" t="str">
        <f>'Both teabags AfterDry'!A393</f>
        <v>R247</v>
      </c>
      <c r="V60" t="b">
        <f t="shared" si="7"/>
        <v>0</v>
      </c>
      <c r="W60" t="b">
        <f t="shared" si="39"/>
        <v>0</v>
      </c>
      <c r="Y60" t="str">
        <f>'Green_rooibos initial weight'!A61</f>
        <v>G57</v>
      </c>
      <c r="Z60" t="str">
        <f>'Green_rooibos initial weight'!A965</f>
        <v>R57</v>
      </c>
      <c r="AA60" t="b">
        <f t="shared" si="8"/>
        <v>0</v>
      </c>
      <c r="AB60" t="b">
        <f t="shared" si="9"/>
        <v>0</v>
      </c>
      <c r="AE60" t="str">
        <f>'WetLitterbags placem_collection'!K59</f>
        <v>G546</v>
      </c>
      <c r="AF60" t="str">
        <f>'WetLitterbags placem_collection'!M59</f>
        <v>R161</v>
      </c>
      <c r="AG60" s="113" t="b">
        <f t="shared" si="10"/>
        <v>0</v>
      </c>
      <c r="AH60" t="b">
        <f t="shared" si="11"/>
        <v>0</v>
      </c>
      <c r="AJ60" t="b">
        <f t="shared" si="12"/>
        <v>0</v>
      </c>
      <c r="AK60" t="b">
        <f t="shared" si="13"/>
        <v>0</v>
      </c>
      <c r="AM60" t="str">
        <f>IF(ISBLANK('Dry_Litterbag Placem_Collection'!J59),"","G"&amp;""&amp;'Dry_Litterbag Placem_Collection'!J59)</f>
        <v>G41</v>
      </c>
      <c r="AN60" t="str">
        <f>IF(ISBLANK('Dry_Litterbag Placem_Collection'!K59),"","R"&amp;""&amp;'Dry_Litterbag Placem_Collection'!K59)</f>
        <v>R830</v>
      </c>
      <c r="AO60" t="b">
        <f t="shared" si="58"/>
        <v>0</v>
      </c>
      <c r="AP60" t="b">
        <f t="shared" si="15"/>
        <v>0</v>
      </c>
      <c r="AS60" t="str">
        <f>'Ashed teabags dry'!A58</f>
        <v>G171</v>
      </c>
      <c r="AT60" t="str">
        <f>'Ashed teabags dry'!A393</f>
        <v>R247</v>
      </c>
      <c r="AU60" t="b">
        <f t="shared" si="16"/>
        <v>0</v>
      </c>
      <c r="AV60" t="b">
        <f t="shared" si="40"/>
        <v>0</v>
      </c>
      <c r="AX60" s="388" t="b">
        <f t="shared" si="17"/>
        <v>0</v>
      </c>
      <c r="AY60" s="388" t="b">
        <f t="shared" si="18"/>
        <v>0</v>
      </c>
      <c r="BA60" t="str">
        <f>'Ashed teabags wet'!A58</f>
        <v>G420</v>
      </c>
      <c r="BB60" t="str">
        <f>'Ashed teabags wet'!A478</f>
        <v>R164</v>
      </c>
      <c r="BC60" t="b">
        <f t="shared" si="19"/>
        <v>0</v>
      </c>
      <c r="BD60" t="b">
        <f t="shared" si="0"/>
        <v>0</v>
      </c>
      <c r="BF60" t="str">
        <f t="shared" si="20"/>
        <v>G170</v>
      </c>
      <c r="BG60" t="str">
        <f t="shared" si="21"/>
        <v>G170</v>
      </c>
      <c r="BH60" t="str">
        <f t="shared" si="22"/>
        <v>G107</v>
      </c>
      <c r="BI60" t="str">
        <f t="shared" si="41"/>
        <v>G107</v>
      </c>
      <c r="BJ60" t="s">
        <v>1880</v>
      </c>
      <c r="BK60" t="s">
        <v>1880</v>
      </c>
      <c r="BL60" t="s">
        <v>1880</v>
      </c>
      <c r="BM60" t="b">
        <f t="shared" si="42"/>
        <v>1</v>
      </c>
      <c r="BN60" t="str">
        <f t="shared" si="23"/>
        <v>R246</v>
      </c>
      <c r="BO60" t="str">
        <f t="shared" si="24"/>
        <v>R246</v>
      </c>
      <c r="BP60" t="str">
        <f t="shared" si="25"/>
        <v>R760</v>
      </c>
      <c r="BQ60" t="str">
        <f t="shared" si="26"/>
        <v>R760</v>
      </c>
      <c r="BR60" t="s">
        <v>895</v>
      </c>
      <c r="BS60" t="s">
        <v>895</v>
      </c>
      <c r="BT60" t="s">
        <v>895</v>
      </c>
      <c r="BU60" t="b">
        <f t="shared" si="43"/>
        <v>1</v>
      </c>
      <c r="BV60" s="393" t="s">
        <v>1316</v>
      </c>
      <c r="BW60" s="393" t="s">
        <v>915</v>
      </c>
      <c r="BZ60" t="str">
        <f t="shared" si="27"/>
        <v>G107</v>
      </c>
      <c r="CA60" t="b">
        <f t="shared" si="28"/>
        <v>0</v>
      </c>
      <c r="CB60" t="str">
        <f t="shared" si="44"/>
        <v>G107</v>
      </c>
      <c r="CC60" t="str">
        <f t="shared" si="29"/>
        <v>R760</v>
      </c>
      <c r="CD60" t="b">
        <f t="shared" si="45"/>
        <v>0</v>
      </c>
      <c r="CE60" t="str">
        <f t="shared" si="46"/>
        <v>R760</v>
      </c>
      <c r="CG60" t="str">
        <f t="shared" si="30"/>
        <v>G419</v>
      </c>
      <c r="CH60" t="str">
        <f t="shared" si="47"/>
        <v>G419</v>
      </c>
      <c r="CI60" t="str">
        <f t="shared" si="31"/>
        <v>G538</v>
      </c>
      <c r="CJ60" t="str">
        <f t="shared" si="32"/>
        <v>G538</v>
      </c>
      <c r="CK60" t="s">
        <v>1631</v>
      </c>
      <c r="CL60" t="s">
        <v>1631</v>
      </c>
      <c r="CM60" t="s">
        <v>1631</v>
      </c>
      <c r="CN60" t="b">
        <f t="shared" si="48"/>
        <v>1</v>
      </c>
      <c r="CO60" t="str">
        <f t="shared" si="33"/>
        <v>R161</v>
      </c>
      <c r="CP60" t="str">
        <f t="shared" si="49"/>
        <v>R161</v>
      </c>
      <c r="CQ60" t="str">
        <f t="shared" si="34"/>
        <v>R60</v>
      </c>
      <c r="CR60" t="str">
        <f t="shared" si="35"/>
        <v>R60</v>
      </c>
      <c r="CS60" t="s">
        <v>980</v>
      </c>
      <c r="CT60" t="s">
        <v>980</v>
      </c>
      <c r="CU60" t="s">
        <v>980</v>
      </c>
      <c r="CV60" t="b">
        <f t="shared" si="50"/>
        <v>1</v>
      </c>
      <c r="DC60" t="str">
        <f t="shared" si="36"/>
        <v>G538</v>
      </c>
      <c r="DD60" t="b">
        <f t="shared" si="52"/>
        <v>0</v>
      </c>
      <c r="DE60" t="str">
        <f t="shared" si="53"/>
        <v>G538</v>
      </c>
      <c r="DF60" t="str">
        <f t="shared" si="37"/>
        <v>R60</v>
      </c>
      <c r="DG60" t="b">
        <f t="shared" si="54"/>
        <v>0</v>
      </c>
      <c r="DH60" t="str">
        <f t="shared" si="55"/>
        <v>R60</v>
      </c>
    </row>
    <row r="61" spans="2:112" ht="12" customHeight="1">
      <c r="B61" t="str">
        <f>TBIDry!H133</f>
        <v>G481</v>
      </c>
      <c r="C61" t="str">
        <f>TBIDry!I133</f>
        <v>R725</v>
      </c>
      <c r="D61" t="b">
        <f t="shared" si="1"/>
        <v>0</v>
      </c>
      <c r="E61" t="b">
        <f t="shared" si="2"/>
        <v>0</v>
      </c>
      <c r="G61" t="str">
        <f>TBIWet!H133</f>
        <v>G513</v>
      </c>
      <c r="H61" t="str">
        <f>TBIWet!I133</f>
        <v>R48</v>
      </c>
      <c r="I61" t="b">
        <f t="shared" si="3"/>
        <v>0</v>
      </c>
      <c r="J61" t="b">
        <f t="shared" si="38"/>
        <v>0</v>
      </c>
      <c r="L61" t="str">
        <f>'Both teabags AfterWet'!A59</f>
        <v>G421</v>
      </c>
      <c r="M61" t="str">
        <f>'Both teabags AfterWet'!A479</f>
        <v>R165</v>
      </c>
      <c r="N61" t="b">
        <f t="shared" si="4"/>
        <v>0</v>
      </c>
      <c r="O61" t="b">
        <f t="shared" si="56"/>
        <v>0</v>
      </c>
      <c r="Q61" s="388" t="b">
        <f t="shared" si="5"/>
        <v>0</v>
      </c>
      <c r="R61" s="388" t="b">
        <f t="shared" si="6"/>
        <v>0</v>
      </c>
      <c r="T61" t="str">
        <f>'Both teabags AfterDry'!A59</f>
        <v>G172</v>
      </c>
      <c r="U61" t="str">
        <f>'Both teabags AfterDry'!A394</f>
        <v>R249</v>
      </c>
      <c r="V61" t="b">
        <f t="shared" si="7"/>
        <v>0</v>
      </c>
      <c r="W61" t="b">
        <f t="shared" si="39"/>
        <v>0</v>
      </c>
      <c r="Y61" t="str">
        <f>'Green_rooibos initial weight'!A62</f>
        <v>G58</v>
      </c>
      <c r="Z61" t="str">
        <f>'Green_rooibos initial weight'!A966</f>
        <v>R58</v>
      </c>
      <c r="AA61" t="b">
        <f t="shared" si="8"/>
        <v>0</v>
      </c>
      <c r="AB61" t="b">
        <f t="shared" si="9"/>
        <v>0</v>
      </c>
      <c r="AE61" t="str">
        <f>'WetLitterbags placem_collection'!K60</f>
        <v>G513</v>
      </c>
      <c r="AF61" t="str">
        <f>'WetLitterbags placem_collection'!M60</f>
        <v>R48</v>
      </c>
      <c r="AG61" t="b">
        <f t="shared" si="10"/>
        <v>0</v>
      </c>
      <c r="AH61" t="b">
        <f t="shared" si="11"/>
        <v>0</v>
      </c>
      <c r="AJ61" t="b">
        <f t="shared" si="12"/>
        <v>0</v>
      </c>
      <c r="AK61" t="b">
        <f t="shared" si="13"/>
        <v>0</v>
      </c>
      <c r="AM61" t="str">
        <f>IF(ISBLANK('Dry_Litterbag Placem_Collection'!J60),"","G"&amp;""&amp;'Dry_Litterbag Placem_Collection'!J60)</f>
        <v>G481</v>
      </c>
      <c r="AN61" t="str">
        <f>IF(ISBLANK('Dry_Litterbag Placem_Collection'!K60),"","R"&amp;""&amp;'Dry_Litterbag Placem_Collection'!K60)</f>
        <v>R725</v>
      </c>
      <c r="AO61" t="b">
        <f t="shared" si="58"/>
        <v>0</v>
      </c>
      <c r="AP61" t="b">
        <f t="shared" si="15"/>
        <v>0</v>
      </c>
      <c r="AS61" t="str">
        <f>'Ashed teabags dry'!A59</f>
        <v>G172</v>
      </c>
      <c r="AT61" t="str">
        <f>'Ashed teabags dry'!A394</f>
        <v>R249</v>
      </c>
      <c r="AU61" t="b">
        <f t="shared" si="16"/>
        <v>0</v>
      </c>
      <c r="AV61" t="b">
        <f t="shared" si="40"/>
        <v>0</v>
      </c>
      <c r="AX61" s="388" t="b">
        <f t="shared" si="17"/>
        <v>0</v>
      </c>
      <c r="AY61" s="388" t="b">
        <f t="shared" si="18"/>
        <v>0</v>
      </c>
      <c r="BA61" t="str">
        <f>'Ashed teabags wet'!A59</f>
        <v>G421</v>
      </c>
      <c r="BB61" t="str">
        <f>'Ashed teabags wet'!A479</f>
        <v>R165</v>
      </c>
      <c r="BC61" t="b">
        <f t="shared" si="19"/>
        <v>0</v>
      </c>
      <c r="BD61" t="b">
        <f t="shared" si="0"/>
        <v>0</v>
      </c>
      <c r="BF61" t="str">
        <f t="shared" si="20"/>
        <v>G171</v>
      </c>
      <c r="BG61" t="str">
        <f t="shared" si="21"/>
        <v>G171</v>
      </c>
      <c r="BH61" t="str">
        <f t="shared" si="22"/>
        <v>G41</v>
      </c>
      <c r="BI61" t="str">
        <f t="shared" si="41"/>
        <v>G41</v>
      </c>
      <c r="BJ61" t="s">
        <v>1879</v>
      </c>
      <c r="BK61" t="s">
        <v>1879</v>
      </c>
      <c r="BL61" t="s">
        <v>1879</v>
      </c>
      <c r="BM61" t="b">
        <f t="shared" si="42"/>
        <v>1</v>
      </c>
      <c r="BN61" t="str">
        <f t="shared" si="23"/>
        <v>R247</v>
      </c>
      <c r="BO61" t="str">
        <f t="shared" si="24"/>
        <v>R247</v>
      </c>
      <c r="BP61" t="str">
        <f t="shared" si="25"/>
        <v>R830</v>
      </c>
      <c r="BQ61" t="str">
        <f t="shared" si="26"/>
        <v>R830</v>
      </c>
      <c r="BR61" t="s">
        <v>894</v>
      </c>
      <c r="BS61" t="s">
        <v>894</v>
      </c>
      <c r="BT61" t="s">
        <v>894</v>
      </c>
      <c r="BU61" t="b">
        <f t="shared" si="43"/>
        <v>1</v>
      </c>
      <c r="BV61" s="408" t="s">
        <v>1299</v>
      </c>
      <c r="BW61" s="393" t="s">
        <v>989</v>
      </c>
      <c r="BZ61" t="str">
        <f t="shared" si="27"/>
        <v>G41</v>
      </c>
      <c r="CA61" t="b">
        <f t="shared" si="28"/>
        <v>0</v>
      </c>
      <c r="CB61" t="str">
        <f t="shared" si="44"/>
        <v>G41</v>
      </c>
      <c r="CC61" t="str">
        <f t="shared" si="29"/>
        <v>R830</v>
      </c>
      <c r="CD61" t="b">
        <f t="shared" si="45"/>
        <v>0</v>
      </c>
      <c r="CE61" t="str">
        <f t="shared" si="46"/>
        <v>R830</v>
      </c>
      <c r="CG61" t="str">
        <f t="shared" si="30"/>
        <v>G420</v>
      </c>
      <c r="CH61" t="str">
        <f t="shared" si="47"/>
        <v>G420</v>
      </c>
      <c r="CI61" t="str">
        <f t="shared" si="31"/>
        <v>G546</v>
      </c>
      <c r="CJ61" t="str">
        <f t="shared" si="32"/>
        <v>G546</v>
      </c>
      <c r="CK61" t="s">
        <v>1630</v>
      </c>
      <c r="CL61" t="s">
        <v>1630</v>
      </c>
      <c r="CM61" t="s">
        <v>1630</v>
      </c>
      <c r="CN61" t="b">
        <f t="shared" si="48"/>
        <v>1</v>
      </c>
      <c r="CO61" t="str">
        <f t="shared" si="33"/>
        <v>R164</v>
      </c>
      <c r="CP61" t="str">
        <f t="shared" si="49"/>
        <v>R164</v>
      </c>
      <c r="CQ61" t="str">
        <f t="shared" si="34"/>
        <v>R161</v>
      </c>
      <c r="CR61" t="str">
        <f t="shared" si="35"/>
        <v>R161</v>
      </c>
      <c r="CS61" t="s">
        <v>977</v>
      </c>
      <c r="CT61" t="s">
        <v>977</v>
      </c>
      <c r="CU61" t="s">
        <v>977</v>
      </c>
      <c r="CV61" t="b">
        <f t="shared" si="50"/>
        <v>1</v>
      </c>
      <c r="DC61" t="str">
        <f t="shared" si="36"/>
        <v>G546</v>
      </c>
      <c r="DD61" t="b">
        <f t="shared" si="52"/>
        <v>0</v>
      </c>
      <c r="DE61" t="str">
        <f t="shared" si="53"/>
        <v>G546</v>
      </c>
      <c r="DF61" t="str">
        <f t="shared" si="37"/>
        <v>R161</v>
      </c>
      <c r="DG61" t="b">
        <f t="shared" si="54"/>
        <v>0</v>
      </c>
      <c r="DH61" t="str">
        <f t="shared" si="55"/>
        <v>R161</v>
      </c>
    </row>
    <row r="62" spans="2:112" ht="12" customHeight="1">
      <c r="B62" t="str">
        <f>TBIDry!H134</f>
        <v>G261</v>
      </c>
      <c r="C62" t="str">
        <f>TBIDry!I134</f>
        <v>R721</v>
      </c>
      <c r="D62" t="b">
        <f t="shared" si="1"/>
        <v>0</v>
      </c>
      <c r="E62" t="b">
        <f t="shared" si="2"/>
        <v>0</v>
      </c>
      <c r="G62" t="str">
        <f>TBIWet!H134</f>
        <v>G489</v>
      </c>
      <c r="H62" t="str">
        <f>TBIWet!I134</f>
        <v>R23</v>
      </c>
      <c r="I62" t="b">
        <f t="shared" si="3"/>
        <v>0</v>
      </c>
      <c r="J62" t="b">
        <f t="shared" si="38"/>
        <v>0</v>
      </c>
      <c r="L62" t="str">
        <f>'Both teabags AfterWet'!A60</f>
        <v>G423</v>
      </c>
      <c r="M62" t="str">
        <f>'Both teabags AfterWet'!A480</f>
        <v>R166</v>
      </c>
      <c r="N62" t="b">
        <f t="shared" si="4"/>
        <v>0</v>
      </c>
      <c r="O62" t="b">
        <f t="shared" si="56"/>
        <v>0</v>
      </c>
      <c r="Q62" s="388" t="b">
        <f t="shared" si="5"/>
        <v>0</v>
      </c>
      <c r="R62" s="388" t="b">
        <f t="shared" si="6"/>
        <v>0</v>
      </c>
      <c r="T62" t="str">
        <f>'Both teabags AfterDry'!A60</f>
        <v>G173</v>
      </c>
      <c r="U62" t="str">
        <f>'Both teabags AfterDry'!A395</f>
        <v>R254</v>
      </c>
      <c r="V62" t="b">
        <f t="shared" si="7"/>
        <v>0</v>
      </c>
      <c r="W62" t="b">
        <f t="shared" si="39"/>
        <v>0</v>
      </c>
      <c r="Y62" t="str">
        <f>'Green_rooibos initial weight'!A63</f>
        <v>G59</v>
      </c>
      <c r="Z62" t="str">
        <f>'Green_rooibos initial weight'!A967</f>
        <v>R59</v>
      </c>
      <c r="AA62" t="b">
        <f t="shared" si="8"/>
        <v>0</v>
      </c>
      <c r="AB62" t="b">
        <f t="shared" si="9"/>
        <v>0</v>
      </c>
      <c r="AE62" t="str">
        <f>'WetLitterbags placem_collection'!K61</f>
        <v>G489</v>
      </c>
      <c r="AF62" t="str">
        <f>'WetLitterbags placem_collection'!M61</f>
        <v>R23</v>
      </c>
      <c r="AG62" t="b">
        <f t="shared" si="10"/>
        <v>0</v>
      </c>
      <c r="AH62" t="b">
        <f t="shared" si="11"/>
        <v>0</v>
      </c>
      <c r="AJ62" t="b">
        <f t="shared" si="12"/>
        <v>0</v>
      </c>
      <c r="AK62" t="b">
        <f t="shared" si="13"/>
        <v>0</v>
      </c>
      <c r="AM62" t="str">
        <f>IF(ISBLANK('Dry_Litterbag Placem_Collection'!J61),"","G"&amp;""&amp;'Dry_Litterbag Placem_Collection'!J61)</f>
        <v>G261</v>
      </c>
      <c r="AN62" t="str">
        <f>IF(ISBLANK('Dry_Litterbag Placem_Collection'!K61),"","R"&amp;""&amp;'Dry_Litterbag Placem_Collection'!K61)</f>
        <v>R721</v>
      </c>
      <c r="AO62" t="b">
        <f t="shared" si="58"/>
        <v>0</v>
      </c>
      <c r="AP62" t="b">
        <f t="shared" si="15"/>
        <v>0</v>
      </c>
      <c r="AS62" t="str">
        <f>'Ashed teabags dry'!A60</f>
        <v>G173</v>
      </c>
      <c r="AT62" t="str">
        <f>'Ashed teabags dry'!A395</f>
        <v>R254</v>
      </c>
      <c r="AU62" t="b">
        <f t="shared" si="16"/>
        <v>0</v>
      </c>
      <c r="AV62" t="b">
        <f t="shared" si="40"/>
        <v>0</v>
      </c>
      <c r="AX62" s="388" t="b">
        <f t="shared" si="17"/>
        <v>0</v>
      </c>
      <c r="AY62" s="388" t="b">
        <f t="shared" si="18"/>
        <v>0</v>
      </c>
      <c r="BA62" t="str">
        <f>'Ashed teabags wet'!A60</f>
        <v>G423</v>
      </c>
      <c r="BB62" t="str">
        <f>'Ashed teabags wet'!A480</f>
        <v>R166</v>
      </c>
      <c r="BC62" t="b">
        <f t="shared" si="19"/>
        <v>0</v>
      </c>
      <c r="BD62" t="b">
        <f t="shared" si="0"/>
        <v>0</v>
      </c>
      <c r="BF62" t="str">
        <f t="shared" si="20"/>
        <v>G172</v>
      </c>
      <c r="BG62" t="str">
        <f t="shared" si="21"/>
        <v>G172</v>
      </c>
      <c r="BH62" t="str">
        <f t="shared" si="22"/>
        <v>G481</v>
      </c>
      <c r="BI62" t="str">
        <f t="shared" si="41"/>
        <v>G481</v>
      </c>
      <c r="BJ62" t="s">
        <v>1878</v>
      </c>
      <c r="BK62" t="s">
        <v>1878</v>
      </c>
      <c r="BL62" t="s">
        <v>1878</v>
      </c>
      <c r="BM62" t="b">
        <f t="shared" si="42"/>
        <v>1</v>
      </c>
      <c r="BN62" t="str">
        <f t="shared" si="23"/>
        <v>R249</v>
      </c>
      <c r="BO62" t="str">
        <f t="shared" si="24"/>
        <v>R249</v>
      </c>
      <c r="BP62" t="str">
        <f t="shared" si="25"/>
        <v>R725</v>
      </c>
      <c r="BQ62" t="str">
        <f t="shared" si="26"/>
        <v>R725</v>
      </c>
      <c r="BR62" t="s">
        <v>892</v>
      </c>
      <c r="BS62" t="s">
        <v>892</v>
      </c>
      <c r="BT62" t="s">
        <v>892</v>
      </c>
      <c r="BU62" t="b">
        <f t="shared" si="43"/>
        <v>1</v>
      </c>
      <c r="BV62" s="180"/>
      <c r="BW62" s="180"/>
      <c r="BZ62" t="str">
        <f t="shared" si="27"/>
        <v>G481</v>
      </c>
      <c r="CA62" t="b">
        <f t="shared" si="28"/>
        <v>0</v>
      </c>
      <c r="CB62" t="str">
        <f t="shared" si="44"/>
        <v>G481</v>
      </c>
      <c r="CC62" t="str">
        <f t="shared" si="29"/>
        <v>R725</v>
      </c>
      <c r="CD62" t="b">
        <f t="shared" si="45"/>
        <v>0</v>
      </c>
      <c r="CE62" t="str">
        <f t="shared" si="46"/>
        <v>R725</v>
      </c>
      <c r="CG62" t="str">
        <f t="shared" si="30"/>
        <v>G421</v>
      </c>
      <c r="CH62" t="str">
        <f t="shared" si="47"/>
        <v>G421</v>
      </c>
      <c r="CI62" t="str">
        <f t="shared" si="31"/>
        <v>G513</v>
      </c>
      <c r="CJ62" t="str">
        <f t="shared" si="32"/>
        <v>G513</v>
      </c>
      <c r="CK62" t="s">
        <v>1629</v>
      </c>
      <c r="CL62" t="s">
        <v>1629</v>
      </c>
      <c r="CM62" t="s">
        <v>1629</v>
      </c>
      <c r="CN62" t="b">
        <f t="shared" si="48"/>
        <v>1</v>
      </c>
      <c r="CO62" t="str">
        <f t="shared" si="33"/>
        <v>R165</v>
      </c>
      <c r="CP62" t="str">
        <f t="shared" si="49"/>
        <v>R165</v>
      </c>
      <c r="CQ62" t="str">
        <f t="shared" si="34"/>
        <v>R48</v>
      </c>
      <c r="CR62" t="str">
        <f t="shared" si="35"/>
        <v>R48</v>
      </c>
      <c r="CS62" t="s">
        <v>976</v>
      </c>
      <c r="CT62" t="s">
        <v>976</v>
      </c>
      <c r="CU62" t="s">
        <v>976</v>
      </c>
      <c r="CV62" t="b">
        <f t="shared" si="50"/>
        <v>1</v>
      </c>
      <c r="DC62" t="str">
        <f t="shared" si="36"/>
        <v>G513</v>
      </c>
      <c r="DD62" t="b">
        <f t="shared" si="52"/>
        <v>0</v>
      </c>
      <c r="DE62" t="str">
        <f t="shared" si="53"/>
        <v>G513</v>
      </c>
      <c r="DF62" t="str">
        <f t="shared" si="37"/>
        <v>R48</v>
      </c>
      <c r="DG62" t="b">
        <f t="shared" si="54"/>
        <v>0</v>
      </c>
      <c r="DH62" t="str">
        <f t="shared" si="55"/>
        <v>R48</v>
      </c>
    </row>
    <row r="63" spans="2:112" ht="12" customHeight="1">
      <c r="B63" t="str">
        <f>TBIDry!H135</f>
        <v>G152</v>
      </c>
      <c r="C63" t="str">
        <f>TBIDry!I135</f>
        <v>R763</v>
      </c>
      <c r="D63" t="b">
        <f t="shared" si="1"/>
        <v>0</v>
      </c>
      <c r="E63" t="b">
        <f t="shared" si="2"/>
        <v>0</v>
      </c>
      <c r="G63" t="str">
        <f>TBIWet!H135</f>
        <v>G633</v>
      </c>
      <c r="H63" t="str">
        <f>TBIWet!I135</f>
        <v>R78</v>
      </c>
      <c r="I63" t="b">
        <f t="shared" si="3"/>
        <v>0</v>
      </c>
      <c r="J63" t="b">
        <f t="shared" si="38"/>
        <v>0</v>
      </c>
      <c r="L63" t="str">
        <f>'Both teabags AfterWet'!A61</f>
        <v>G424</v>
      </c>
      <c r="M63" t="str">
        <f>'Both teabags AfterWet'!A481</f>
        <v>R167</v>
      </c>
      <c r="N63" t="b">
        <f t="shared" si="4"/>
        <v>0</v>
      </c>
      <c r="O63" t="b">
        <f t="shared" si="56"/>
        <v>0</v>
      </c>
      <c r="Q63" s="388" t="b">
        <f t="shared" si="5"/>
        <v>0</v>
      </c>
      <c r="R63" s="388" t="b">
        <f t="shared" si="6"/>
        <v>0</v>
      </c>
      <c r="T63" t="str">
        <f>'Both teabags AfterDry'!A61</f>
        <v>G174</v>
      </c>
      <c r="U63" t="str">
        <f>'Both teabags AfterDry'!A396</f>
        <v>R256</v>
      </c>
      <c r="V63" t="b">
        <f t="shared" si="7"/>
        <v>0</v>
      </c>
      <c r="W63" t="b">
        <f t="shared" si="39"/>
        <v>0</v>
      </c>
      <c r="Y63" t="str">
        <f>'Green_rooibos initial weight'!A64</f>
        <v>G60</v>
      </c>
      <c r="Z63" t="str">
        <f>'Green_rooibos initial weight'!A968</f>
        <v>R60</v>
      </c>
      <c r="AA63" t="b">
        <f t="shared" si="8"/>
        <v>0</v>
      </c>
      <c r="AB63" t="b">
        <f t="shared" si="9"/>
        <v>0</v>
      </c>
      <c r="AE63" t="str">
        <f>'WetLitterbags placem_collection'!K62</f>
        <v>G633</v>
      </c>
      <c r="AF63" t="str">
        <f>'WetLitterbags placem_collection'!M62</f>
        <v>R78</v>
      </c>
      <c r="AG63" t="b">
        <f t="shared" si="10"/>
        <v>0</v>
      </c>
      <c r="AH63" t="b">
        <f t="shared" si="11"/>
        <v>0</v>
      </c>
      <c r="AJ63" t="b">
        <f t="shared" si="12"/>
        <v>0</v>
      </c>
      <c r="AK63" t="b">
        <f t="shared" si="13"/>
        <v>0</v>
      </c>
      <c r="AM63" t="str">
        <f>IF(ISBLANK('Dry_Litterbag Placem_Collection'!J62),"","G"&amp;""&amp;'Dry_Litterbag Placem_Collection'!J62)</f>
        <v>G152</v>
      </c>
      <c r="AN63" t="str">
        <f>IF(ISBLANK('Dry_Litterbag Placem_Collection'!K62),"","R"&amp;""&amp;'Dry_Litterbag Placem_Collection'!K62)</f>
        <v>R763</v>
      </c>
      <c r="AO63" t="b">
        <f t="shared" si="58"/>
        <v>0</v>
      </c>
      <c r="AP63" t="b">
        <f t="shared" si="15"/>
        <v>0</v>
      </c>
      <c r="AS63" t="str">
        <f>'Ashed teabags dry'!A61</f>
        <v>G174</v>
      </c>
      <c r="AT63" t="str">
        <f>'Ashed teabags dry'!A396</f>
        <v>R256</v>
      </c>
      <c r="AU63" t="b">
        <f t="shared" si="16"/>
        <v>0</v>
      </c>
      <c r="AV63" t="b">
        <f t="shared" si="40"/>
        <v>0</v>
      </c>
      <c r="AX63" s="388" t="b">
        <f t="shared" si="17"/>
        <v>0</v>
      </c>
      <c r="AY63" s="388" t="b">
        <f t="shared" si="18"/>
        <v>0</v>
      </c>
      <c r="BA63" t="str">
        <f>'Ashed teabags wet'!A61</f>
        <v>G424</v>
      </c>
      <c r="BB63" t="str">
        <f>'Ashed teabags wet'!A481</f>
        <v>R167</v>
      </c>
      <c r="BC63" t="b">
        <f t="shared" si="19"/>
        <v>0</v>
      </c>
      <c r="BD63" t="b">
        <f t="shared" si="0"/>
        <v>0</v>
      </c>
      <c r="BF63" t="str">
        <f t="shared" si="20"/>
        <v>G173</v>
      </c>
      <c r="BG63" t="str">
        <f t="shared" si="21"/>
        <v>G173</v>
      </c>
      <c r="BH63" t="str">
        <f t="shared" si="22"/>
        <v>G261</v>
      </c>
      <c r="BI63" t="str">
        <f t="shared" si="41"/>
        <v>G261</v>
      </c>
      <c r="BJ63" t="s">
        <v>1877</v>
      </c>
      <c r="BK63" t="s">
        <v>1877</v>
      </c>
      <c r="BL63" t="s">
        <v>1877</v>
      </c>
      <c r="BM63" t="b">
        <f t="shared" si="42"/>
        <v>1</v>
      </c>
      <c r="BN63" t="str">
        <f t="shared" si="23"/>
        <v>R254</v>
      </c>
      <c r="BO63" t="str">
        <f t="shared" si="24"/>
        <v>R254</v>
      </c>
      <c r="BP63" t="str">
        <f t="shared" si="25"/>
        <v>R721</v>
      </c>
      <c r="BQ63" t="str">
        <f t="shared" si="26"/>
        <v>R721</v>
      </c>
      <c r="BR63" t="s">
        <v>887</v>
      </c>
      <c r="BS63" t="s">
        <v>887</v>
      </c>
      <c r="BT63" t="s">
        <v>887</v>
      </c>
      <c r="BU63" t="b">
        <f t="shared" si="43"/>
        <v>1</v>
      </c>
      <c r="BV63" s="180"/>
      <c r="BW63" s="180"/>
      <c r="BZ63" t="str">
        <f t="shared" si="27"/>
        <v>G261</v>
      </c>
      <c r="CA63" t="b">
        <f t="shared" si="28"/>
        <v>0</v>
      </c>
      <c r="CB63" t="str">
        <f t="shared" si="44"/>
        <v>G261</v>
      </c>
      <c r="CC63" t="str">
        <f t="shared" si="29"/>
        <v>R721</v>
      </c>
      <c r="CD63" t="b">
        <f t="shared" si="45"/>
        <v>0</v>
      </c>
      <c r="CE63" t="str">
        <f t="shared" si="46"/>
        <v>R721</v>
      </c>
      <c r="CG63" t="str">
        <f t="shared" si="30"/>
        <v>G423</v>
      </c>
      <c r="CH63" t="str">
        <f t="shared" si="47"/>
        <v>G423</v>
      </c>
      <c r="CI63" t="str">
        <f t="shared" si="31"/>
        <v>G489</v>
      </c>
      <c r="CJ63" t="str">
        <f t="shared" si="32"/>
        <v>G489</v>
      </c>
      <c r="CK63" t="s">
        <v>1627</v>
      </c>
      <c r="CL63" t="s">
        <v>1627</v>
      </c>
      <c r="CM63" t="s">
        <v>1627</v>
      </c>
      <c r="CN63" t="b">
        <f t="shared" si="48"/>
        <v>1</v>
      </c>
      <c r="CO63" t="str">
        <f t="shared" si="33"/>
        <v>R166</v>
      </c>
      <c r="CP63" t="str">
        <f t="shared" si="49"/>
        <v>R166</v>
      </c>
      <c r="CQ63" t="str">
        <f t="shared" si="34"/>
        <v>R23</v>
      </c>
      <c r="CR63" t="str">
        <f t="shared" si="35"/>
        <v>R23</v>
      </c>
      <c r="CS63" t="s">
        <v>975</v>
      </c>
      <c r="CT63" t="s">
        <v>975</v>
      </c>
      <c r="CU63" t="s">
        <v>975</v>
      </c>
      <c r="CV63" t="b">
        <f t="shared" si="50"/>
        <v>1</v>
      </c>
      <c r="DC63" t="str">
        <f t="shared" si="36"/>
        <v>G489</v>
      </c>
      <c r="DD63" t="b">
        <f t="shared" si="52"/>
        <v>0</v>
      </c>
      <c r="DE63" t="str">
        <f t="shared" si="53"/>
        <v>G489</v>
      </c>
      <c r="DF63" t="str">
        <f t="shared" si="37"/>
        <v>R23</v>
      </c>
      <c r="DG63" t="b">
        <f t="shared" si="54"/>
        <v>0</v>
      </c>
      <c r="DH63" t="str">
        <f t="shared" si="55"/>
        <v>R23</v>
      </c>
    </row>
    <row r="64" spans="2:112" ht="12" customHeight="1">
      <c r="B64" t="str">
        <f>TBIDry!H136</f>
        <v>G191</v>
      </c>
      <c r="C64" t="str">
        <f>TBIDry!I136</f>
        <v>R775</v>
      </c>
      <c r="D64" t="b">
        <f t="shared" si="1"/>
        <v>0</v>
      </c>
      <c r="E64" t="b">
        <f t="shared" si="2"/>
        <v>0</v>
      </c>
      <c r="G64" t="str">
        <f>TBIWet!H136</f>
        <v>G541</v>
      </c>
      <c r="H64" t="str">
        <f>TBIWet!I136</f>
        <v>R42</v>
      </c>
      <c r="I64" t="b">
        <f t="shared" si="3"/>
        <v>0</v>
      </c>
      <c r="J64" t="b">
        <f t="shared" si="38"/>
        <v>0</v>
      </c>
      <c r="L64" t="str">
        <f>'Both teabags AfterWet'!A62</f>
        <v>G425</v>
      </c>
      <c r="M64" t="str">
        <f>'Both teabags AfterWet'!A482</f>
        <v>R168</v>
      </c>
      <c r="N64" t="b">
        <f t="shared" si="4"/>
        <v>0</v>
      </c>
      <c r="O64" t="b">
        <f t="shared" si="56"/>
        <v>0</v>
      </c>
      <c r="Q64" s="388" t="b">
        <f t="shared" si="5"/>
        <v>0</v>
      </c>
      <c r="R64" s="388" t="b">
        <f t="shared" si="6"/>
        <v>0</v>
      </c>
      <c r="T64" t="str">
        <f>'Both teabags AfterDry'!A62</f>
        <v>G175</v>
      </c>
      <c r="U64" t="str">
        <f>'Both teabags AfterDry'!A397</f>
        <v>R257</v>
      </c>
      <c r="V64" t="b">
        <f t="shared" si="7"/>
        <v>0</v>
      </c>
      <c r="W64" t="b">
        <f t="shared" si="39"/>
        <v>0</v>
      </c>
      <c r="Y64" t="str">
        <f>'Green_rooibos initial weight'!A65</f>
        <v>G61</v>
      </c>
      <c r="Z64" t="str">
        <f>'Green_rooibos initial weight'!A969</f>
        <v>R61</v>
      </c>
      <c r="AA64" t="b">
        <f t="shared" si="8"/>
        <v>0</v>
      </c>
      <c r="AB64" t="b">
        <f t="shared" si="9"/>
        <v>0</v>
      </c>
      <c r="AE64" t="str">
        <f>'WetLitterbags placem_collection'!K63</f>
        <v>G541</v>
      </c>
      <c r="AF64" t="str">
        <f>'WetLitterbags placem_collection'!M63</f>
        <v>R42</v>
      </c>
      <c r="AG64" t="b">
        <f t="shared" si="10"/>
        <v>0</v>
      </c>
      <c r="AH64" t="b">
        <f t="shared" si="11"/>
        <v>0</v>
      </c>
      <c r="AJ64" t="b">
        <f t="shared" si="12"/>
        <v>0</v>
      </c>
      <c r="AK64" t="b">
        <f t="shared" si="13"/>
        <v>0</v>
      </c>
      <c r="AM64" t="str">
        <f>IF(ISBLANK('Dry_Litterbag Placem_Collection'!J63),"","G"&amp;""&amp;'Dry_Litterbag Placem_Collection'!J63)</f>
        <v>G191</v>
      </c>
      <c r="AN64" t="str">
        <f>IF(ISBLANK('Dry_Litterbag Placem_Collection'!K63),"","R"&amp;""&amp;'Dry_Litterbag Placem_Collection'!K63)</f>
        <v>R775</v>
      </c>
      <c r="AO64" t="b">
        <f t="shared" si="58"/>
        <v>0</v>
      </c>
      <c r="AP64" t="b">
        <f t="shared" si="15"/>
        <v>0</v>
      </c>
      <c r="AS64" t="str">
        <f>'Ashed teabags dry'!A62</f>
        <v>G175</v>
      </c>
      <c r="AT64" t="str">
        <f>'Ashed teabags dry'!A397</f>
        <v>R257</v>
      </c>
      <c r="AU64" t="b">
        <f t="shared" si="16"/>
        <v>0</v>
      </c>
      <c r="AV64" t="b">
        <f t="shared" si="40"/>
        <v>0</v>
      </c>
      <c r="AX64" s="388" t="b">
        <f t="shared" si="17"/>
        <v>0</v>
      </c>
      <c r="AY64" s="388" t="b">
        <f t="shared" si="18"/>
        <v>0</v>
      </c>
      <c r="BA64" t="str">
        <f>'Ashed teabags wet'!A62</f>
        <v>G425</v>
      </c>
      <c r="BB64" t="str">
        <f>'Ashed teabags wet'!A482</f>
        <v>R168</v>
      </c>
      <c r="BC64" t="b">
        <f t="shared" si="19"/>
        <v>0</v>
      </c>
      <c r="BD64" t="b">
        <f t="shared" si="0"/>
        <v>0</v>
      </c>
      <c r="BF64" t="str">
        <f t="shared" si="20"/>
        <v>G174</v>
      </c>
      <c r="BG64" t="str">
        <f t="shared" si="21"/>
        <v>G174</v>
      </c>
      <c r="BH64" t="str">
        <f t="shared" si="22"/>
        <v>G152</v>
      </c>
      <c r="BI64" t="str">
        <f t="shared" si="41"/>
        <v>G152</v>
      </c>
      <c r="BJ64" t="s">
        <v>1876</v>
      </c>
      <c r="BK64" t="s">
        <v>1876</v>
      </c>
      <c r="BL64" t="s">
        <v>1876</v>
      </c>
      <c r="BM64" t="b">
        <f t="shared" si="42"/>
        <v>1</v>
      </c>
      <c r="BN64" t="str">
        <f t="shared" si="23"/>
        <v>R256</v>
      </c>
      <c r="BO64" t="str">
        <f t="shared" si="24"/>
        <v>R256</v>
      </c>
      <c r="BP64" t="str">
        <f t="shared" si="25"/>
        <v>R763</v>
      </c>
      <c r="BQ64" t="str">
        <f t="shared" si="26"/>
        <v>R763</v>
      </c>
      <c r="BR64" t="s">
        <v>885</v>
      </c>
      <c r="BS64" t="s">
        <v>885</v>
      </c>
      <c r="BT64" t="s">
        <v>885</v>
      </c>
      <c r="BU64" t="b">
        <f t="shared" si="43"/>
        <v>1</v>
      </c>
      <c r="BV64" s="180"/>
      <c r="BW64" s="180"/>
      <c r="BZ64" t="str">
        <f t="shared" si="27"/>
        <v>G152</v>
      </c>
      <c r="CA64" t="b">
        <f t="shared" si="28"/>
        <v>0</v>
      </c>
      <c r="CB64" t="str">
        <f t="shared" si="44"/>
        <v>G152</v>
      </c>
      <c r="CC64" t="str">
        <f t="shared" si="29"/>
        <v>R763</v>
      </c>
      <c r="CD64" t="b">
        <f t="shared" si="45"/>
        <v>0</v>
      </c>
      <c r="CE64" t="str">
        <f t="shared" si="46"/>
        <v>R763</v>
      </c>
      <c r="CG64" t="str">
        <f t="shared" si="30"/>
        <v>G424</v>
      </c>
      <c r="CH64" t="str">
        <f t="shared" si="47"/>
        <v>G424</v>
      </c>
      <c r="CI64" t="str">
        <f t="shared" si="31"/>
        <v>G633</v>
      </c>
      <c r="CJ64" t="str">
        <f t="shared" si="32"/>
        <v>G633</v>
      </c>
      <c r="CK64" t="s">
        <v>1626</v>
      </c>
      <c r="CL64" t="s">
        <v>1626</v>
      </c>
      <c r="CM64" t="s">
        <v>1626</v>
      </c>
      <c r="CN64" t="b">
        <f t="shared" si="48"/>
        <v>1</v>
      </c>
      <c r="CO64" t="str">
        <f t="shared" si="33"/>
        <v>R167</v>
      </c>
      <c r="CP64" t="str">
        <f t="shared" si="49"/>
        <v>R167</v>
      </c>
      <c r="CQ64" t="str">
        <f t="shared" si="34"/>
        <v>R78</v>
      </c>
      <c r="CR64" t="str">
        <f t="shared" si="35"/>
        <v>R78</v>
      </c>
      <c r="CS64" t="s">
        <v>974</v>
      </c>
      <c r="CT64" t="s">
        <v>974</v>
      </c>
      <c r="CU64" s="180" t="s">
        <v>974</v>
      </c>
      <c r="CV64" t="b">
        <f t="shared" si="50"/>
        <v>1</v>
      </c>
      <c r="DC64" t="str">
        <f t="shared" si="36"/>
        <v>G633</v>
      </c>
      <c r="DD64" t="b">
        <f t="shared" si="52"/>
        <v>0</v>
      </c>
      <c r="DE64" t="str">
        <f t="shared" si="53"/>
        <v>G633</v>
      </c>
      <c r="DF64" t="str">
        <f t="shared" si="37"/>
        <v>R78</v>
      </c>
      <c r="DG64" t="b">
        <f t="shared" si="54"/>
        <v>0</v>
      </c>
      <c r="DH64" t="str">
        <f t="shared" si="55"/>
        <v>R78</v>
      </c>
    </row>
    <row r="65" spans="2:112" ht="12" customHeight="1">
      <c r="B65" t="str">
        <f>TBIDry!H137</f>
        <v/>
      </c>
      <c r="C65" t="str">
        <f>TBIDry!I137</f>
        <v/>
      </c>
      <c r="D65" t="b">
        <f t="shared" si="1"/>
        <v>1</v>
      </c>
      <c r="E65" t="b">
        <f t="shared" si="2"/>
        <v>1</v>
      </c>
      <c r="G65" t="str">
        <f>TBIWet!H137</f>
        <v>G565</v>
      </c>
      <c r="H65" t="str">
        <f>TBIWet!I137</f>
        <v>R119</v>
      </c>
      <c r="I65" t="b">
        <f t="shared" si="3"/>
        <v>0</v>
      </c>
      <c r="J65" t="b">
        <f t="shared" si="38"/>
        <v>0</v>
      </c>
      <c r="L65" t="str">
        <f>'Both teabags AfterWet'!A63</f>
        <v>G429</v>
      </c>
      <c r="M65" t="str">
        <f>'Both teabags AfterWet'!A483</f>
        <v>R169</v>
      </c>
      <c r="N65" t="b">
        <f t="shared" si="4"/>
        <v>0</v>
      </c>
      <c r="O65" t="b">
        <f t="shared" si="56"/>
        <v>0</v>
      </c>
      <c r="Q65" s="388" t="b">
        <f t="shared" si="5"/>
        <v>0</v>
      </c>
      <c r="R65" s="388" t="b">
        <f t="shared" si="6"/>
        <v>0</v>
      </c>
      <c r="T65" t="str">
        <f>'Both teabags AfterDry'!A63</f>
        <v>G176</v>
      </c>
      <c r="U65" t="str">
        <f>'Both teabags AfterDry'!A398</f>
        <v>R260</v>
      </c>
      <c r="V65" t="b">
        <f t="shared" si="7"/>
        <v>0</v>
      </c>
      <c r="W65" t="b">
        <f t="shared" si="39"/>
        <v>0</v>
      </c>
      <c r="Y65" t="str">
        <f>'Green_rooibos initial weight'!A66</f>
        <v>G62</v>
      </c>
      <c r="Z65" t="str">
        <f>'Green_rooibos initial weight'!A970</f>
        <v>R62</v>
      </c>
      <c r="AA65" t="b">
        <f t="shared" si="8"/>
        <v>0</v>
      </c>
      <c r="AB65" t="b">
        <f t="shared" si="9"/>
        <v>0</v>
      </c>
      <c r="AE65" t="str">
        <f>'WetLitterbags placem_collection'!K64</f>
        <v>G565</v>
      </c>
      <c r="AF65" t="str">
        <f>'WetLitterbags placem_collection'!M64</f>
        <v>R119</v>
      </c>
      <c r="AG65" t="b">
        <f t="shared" si="10"/>
        <v>0</v>
      </c>
      <c r="AH65" t="b">
        <f t="shared" si="11"/>
        <v>0</v>
      </c>
      <c r="AJ65" t="b">
        <f t="shared" si="12"/>
        <v>0</v>
      </c>
      <c r="AK65" t="b">
        <f t="shared" si="13"/>
        <v>0</v>
      </c>
      <c r="AM65" t="str">
        <f>IF(ISBLANK('Dry_Litterbag Placem_Collection'!J64),"","G"&amp;""&amp;'Dry_Litterbag Placem_Collection'!J64)</f>
        <v/>
      </c>
      <c r="AN65" t="str">
        <f>IF(ISBLANK('Dry_Litterbag Placem_Collection'!K64),"","R"&amp;""&amp;'Dry_Litterbag Placem_Collection'!K64)</f>
        <v/>
      </c>
      <c r="AO65" t="b">
        <f t="shared" si="58"/>
        <v>1</v>
      </c>
      <c r="AP65" t="b">
        <f t="shared" si="15"/>
        <v>1</v>
      </c>
      <c r="AS65" t="str">
        <f>'Ashed teabags dry'!A63</f>
        <v>G176</v>
      </c>
      <c r="AT65" t="str">
        <f>'Ashed teabags dry'!A398</f>
        <v>R260</v>
      </c>
      <c r="AU65" t="b">
        <f t="shared" si="16"/>
        <v>0</v>
      </c>
      <c r="AV65" t="b">
        <f t="shared" si="40"/>
        <v>0</v>
      </c>
      <c r="AX65" s="388" t="b">
        <f t="shared" si="17"/>
        <v>0</v>
      </c>
      <c r="AY65" s="388" t="b">
        <f t="shared" si="18"/>
        <v>0</v>
      </c>
      <c r="BA65" t="str">
        <f>'Ashed teabags wet'!A63</f>
        <v>G429</v>
      </c>
      <c r="BB65" t="str">
        <f>'Ashed teabags wet'!A483</f>
        <v>R169</v>
      </c>
      <c r="BC65" t="b">
        <f t="shared" si="19"/>
        <v>0</v>
      </c>
      <c r="BD65" t="b">
        <f t="shared" si="0"/>
        <v>0</v>
      </c>
      <c r="BF65" t="str">
        <f t="shared" si="20"/>
        <v>G175</v>
      </c>
      <c r="BG65" t="str">
        <f t="shared" si="21"/>
        <v>G175</v>
      </c>
      <c r="BH65" t="str">
        <f t="shared" si="22"/>
        <v>G191</v>
      </c>
      <c r="BI65" t="str">
        <f t="shared" si="41"/>
        <v/>
      </c>
      <c r="BJ65" t="s">
        <v>1875</v>
      </c>
      <c r="BK65" t="s">
        <v>1875</v>
      </c>
      <c r="BL65" t="s">
        <v>1875</v>
      </c>
      <c r="BM65" t="b">
        <f t="shared" si="42"/>
        <v>1</v>
      </c>
      <c r="BN65" t="str">
        <f t="shared" si="23"/>
        <v>R257</v>
      </c>
      <c r="BO65" t="str">
        <f t="shared" si="24"/>
        <v>R257</v>
      </c>
      <c r="BP65" t="str">
        <f t="shared" si="25"/>
        <v>R775</v>
      </c>
      <c r="BQ65" t="str">
        <f t="shared" si="26"/>
        <v/>
      </c>
      <c r="BR65" t="s">
        <v>884</v>
      </c>
      <c r="BS65" t="s">
        <v>884</v>
      </c>
      <c r="BT65" t="s">
        <v>884</v>
      </c>
      <c r="BU65" t="b">
        <f t="shared" si="43"/>
        <v>1</v>
      </c>
      <c r="BV65" s="180"/>
      <c r="BW65" s="180"/>
      <c r="BZ65" t="str">
        <f t="shared" si="27"/>
        <v>G191</v>
      </c>
      <c r="CA65" t="b">
        <f t="shared" si="28"/>
        <v>1</v>
      </c>
      <c r="CB65" t="str">
        <f t="shared" si="44"/>
        <v/>
      </c>
      <c r="CC65" t="str">
        <f t="shared" si="29"/>
        <v>R775</v>
      </c>
      <c r="CD65" t="b">
        <f t="shared" si="45"/>
        <v>1</v>
      </c>
      <c r="CE65" t="str">
        <f t="shared" si="46"/>
        <v/>
      </c>
      <c r="CG65" t="str">
        <f t="shared" si="30"/>
        <v>G425</v>
      </c>
      <c r="CH65" t="str">
        <f t="shared" si="47"/>
        <v>G425</v>
      </c>
      <c r="CI65" t="str">
        <f t="shared" si="31"/>
        <v>G541</v>
      </c>
      <c r="CJ65" t="str">
        <f t="shared" si="32"/>
        <v>G541</v>
      </c>
      <c r="CK65" t="s">
        <v>1625</v>
      </c>
      <c r="CL65" t="s">
        <v>1625</v>
      </c>
      <c r="CM65" t="s">
        <v>1625</v>
      </c>
      <c r="CN65" t="b">
        <f t="shared" si="48"/>
        <v>1</v>
      </c>
      <c r="CO65" t="str">
        <f t="shared" si="33"/>
        <v>R168</v>
      </c>
      <c r="CP65" t="str">
        <f t="shared" si="49"/>
        <v>R168</v>
      </c>
      <c r="CQ65" t="str">
        <f t="shared" si="34"/>
        <v>R42</v>
      </c>
      <c r="CR65" t="str">
        <f t="shared" si="35"/>
        <v>R42</v>
      </c>
      <c r="CS65" t="s">
        <v>973</v>
      </c>
      <c r="CT65" t="s">
        <v>973</v>
      </c>
      <c r="CU65" t="s">
        <v>973</v>
      </c>
      <c r="CV65" t="b">
        <f t="shared" si="50"/>
        <v>1</v>
      </c>
      <c r="DC65" t="str">
        <f t="shared" si="36"/>
        <v>G541</v>
      </c>
      <c r="DD65" t="b">
        <f t="shared" si="52"/>
        <v>0</v>
      </c>
      <c r="DE65" t="str">
        <f t="shared" si="53"/>
        <v>G541</v>
      </c>
      <c r="DF65" t="str">
        <f t="shared" si="37"/>
        <v>R42</v>
      </c>
      <c r="DG65" t="b">
        <f t="shared" si="54"/>
        <v>0</v>
      </c>
      <c r="DH65" t="str">
        <f t="shared" si="55"/>
        <v>R42</v>
      </c>
    </row>
    <row r="66" spans="2:112" ht="12" customHeight="1">
      <c r="B66" t="str">
        <f>TBIDry!H138</f>
        <v>G49</v>
      </c>
      <c r="C66" t="str">
        <f>TBIDry!I138</f>
        <v>R733</v>
      </c>
      <c r="D66" t="b">
        <f t="shared" si="1"/>
        <v>0</v>
      </c>
      <c r="E66" t="b">
        <f t="shared" si="2"/>
        <v>0</v>
      </c>
      <c r="G66" t="str">
        <f>TBIWet!H138</f>
        <v>G387</v>
      </c>
      <c r="H66" t="str">
        <f>TBIWet!I138</f>
        <v>R185</v>
      </c>
      <c r="I66" t="b">
        <f t="shared" si="3"/>
        <v>0</v>
      </c>
      <c r="J66" t="b">
        <f t="shared" si="38"/>
        <v>0</v>
      </c>
      <c r="L66" t="str">
        <f>'Both teabags AfterWet'!A64</f>
        <v>G433</v>
      </c>
      <c r="M66" t="str">
        <f>'Both teabags AfterWet'!A484</f>
        <v>R17</v>
      </c>
      <c r="N66" t="b">
        <f t="shared" si="4"/>
        <v>0</v>
      </c>
      <c r="O66" t="b">
        <f t="shared" si="56"/>
        <v>0</v>
      </c>
      <c r="Q66" s="388" t="b">
        <f t="shared" si="5"/>
        <v>0</v>
      </c>
      <c r="R66" s="388" t="b">
        <f t="shared" si="6"/>
        <v>0</v>
      </c>
      <c r="T66" t="str">
        <f>'Both teabags AfterDry'!A64</f>
        <v>G179</v>
      </c>
      <c r="U66" t="str">
        <f>'Both teabags AfterDry'!A399</f>
        <v>R261</v>
      </c>
      <c r="V66" t="b">
        <f t="shared" si="7"/>
        <v>0</v>
      </c>
      <c r="W66" t="b">
        <f t="shared" si="39"/>
        <v>0</v>
      </c>
      <c r="Y66" t="str">
        <f>'Green_rooibos initial weight'!A67</f>
        <v>G63</v>
      </c>
      <c r="Z66" t="str">
        <f>'Green_rooibos initial weight'!A971</f>
        <v>R63</v>
      </c>
      <c r="AA66" t="b">
        <f t="shared" si="8"/>
        <v>0</v>
      </c>
      <c r="AB66" t="b">
        <f t="shared" si="9"/>
        <v>0</v>
      </c>
      <c r="AE66" t="str">
        <f>'WetLitterbags placem_collection'!K65</f>
        <v>G387</v>
      </c>
      <c r="AF66" t="str">
        <f>'WetLitterbags placem_collection'!M65</f>
        <v>R185</v>
      </c>
      <c r="AG66" t="b">
        <f t="shared" si="10"/>
        <v>0</v>
      </c>
      <c r="AH66" t="b">
        <f t="shared" si="11"/>
        <v>0</v>
      </c>
      <c r="AJ66" t="b">
        <f t="shared" si="12"/>
        <v>0</v>
      </c>
      <c r="AK66" t="b">
        <f t="shared" si="13"/>
        <v>0</v>
      </c>
      <c r="AM66" t="str">
        <f>IF(ISBLANK('Dry_Litterbag Placem_Collection'!J65),"","G"&amp;""&amp;'Dry_Litterbag Placem_Collection'!J65)</f>
        <v>G49</v>
      </c>
      <c r="AN66" t="str">
        <f>IF(ISBLANK('Dry_Litterbag Placem_Collection'!K65),"","R"&amp;""&amp;'Dry_Litterbag Placem_Collection'!K65)</f>
        <v>R733</v>
      </c>
      <c r="AO66" t="b">
        <f t="shared" si="58"/>
        <v>0</v>
      </c>
      <c r="AP66" t="b">
        <f t="shared" si="15"/>
        <v>0</v>
      </c>
      <c r="AS66" t="str">
        <f>'Ashed teabags dry'!A64</f>
        <v>G179</v>
      </c>
      <c r="AT66" t="str">
        <f>'Ashed teabags dry'!A399</f>
        <v>R261</v>
      </c>
      <c r="AU66" t="b">
        <f t="shared" si="16"/>
        <v>0</v>
      </c>
      <c r="AV66" t="b">
        <f t="shared" si="40"/>
        <v>0</v>
      </c>
      <c r="AX66" s="388" t="b">
        <f t="shared" si="17"/>
        <v>0</v>
      </c>
      <c r="AY66" s="388" t="b">
        <f t="shared" si="18"/>
        <v>0</v>
      </c>
      <c r="BA66" t="str">
        <f>'Ashed teabags wet'!A64</f>
        <v>G433</v>
      </c>
      <c r="BB66" t="str">
        <f>'Ashed teabags wet'!A484</f>
        <v>R17</v>
      </c>
      <c r="BC66" t="b">
        <f t="shared" si="19"/>
        <v>0</v>
      </c>
      <c r="BD66" t="b">
        <f t="shared" si="0"/>
        <v>0</v>
      </c>
      <c r="BF66" t="str">
        <f t="shared" si="20"/>
        <v>G176</v>
      </c>
      <c r="BG66" t="str">
        <f t="shared" si="21"/>
        <v>G176</v>
      </c>
      <c r="BH66" t="str">
        <f t="shared" si="22"/>
        <v/>
      </c>
      <c r="BI66" t="str">
        <f t="shared" si="41"/>
        <v/>
      </c>
      <c r="BJ66" t="s">
        <v>1874</v>
      </c>
      <c r="BK66" t="s">
        <v>1874</v>
      </c>
      <c r="BL66" t="s">
        <v>1874</v>
      </c>
      <c r="BM66" t="b">
        <f t="shared" si="42"/>
        <v>1</v>
      </c>
      <c r="BN66" t="str">
        <f t="shared" si="23"/>
        <v>R260</v>
      </c>
      <c r="BO66" t="str">
        <f t="shared" si="24"/>
        <v>R260</v>
      </c>
      <c r="BP66" t="str">
        <f t="shared" si="25"/>
        <v/>
      </c>
      <c r="BQ66" t="str">
        <f t="shared" si="26"/>
        <v/>
      </c>
      <c r="BR66" t="s">
        <v>881</v>
      </c>
      <c r="BS66" t="s">
        <v>881</v>
      </c>
      <c r="BT66" t="s">
        <v>881</v>
      </c>
      <c r="BU66" t="b">
        <f t="shared" si="43"/>
        <v>1</v>
      </c>
      <c r="BV66" s="180"/>
      <c r="BW66" s="180"/>
      <c r="BZ66" t="str">
        <f t="shared" si="27"/>
        <v/>
      </c>
      <c r="CA66" t="b">
        <f t="shared" si="28"/>
        <v>0</v>
      </c>
      <c r="CB66" t="str">
        <f t="shared" si="44"/>
        <v/>
      </c>
      <c r="CC66" t="str">
        <f t="shared" si="29"/>
        <v/>
      </c>
      <c r="CD66" t="b">
        <f t="shared" si="45"/>
        <v>0</v>
      </c>
      <c r="CE66" t="str">
        <f t="shared" si="46"/>
        <v/>
      </c>
      <c r="CG66" t="str">
        <f t="shared" si="30"/>
        <v>G429</v>
      </c>
      <c r="CH66" t="str">
        <f t="shared" si="47"/>
        <v>G429</v>
      </c>
      <c r="CI66" t="str">
        <f t="shared" si="31"/>
        <v>G565</v>
      </c>
      <c r="CJ66" t="str">
        <f t="shared" si="32"/>
        <v>G565</v>
      </c>
      <c r="CK66" t="s">
        <v>1621</v>
      </c>
      <c r="CL66" t="s">
        <v>1621</v>
      </c>
      <c r="CM66" t="s">
        <v>1621</v>
      </c>
      <c r="CN66" t="b">
        <f t="shared" si="48"/>
        <v>1</v>
      </c>
      <c r="CO66" t="str">
        <f t="shared" si="33"/>
        <v>R169</v>
      </c>
      <c r="CP66" t="str">
        <f t="shared" si="49"/>
        <v>R169</v>
      </c>
      <c r="CQ66" t="str">
        <f t="shared" si="34"/>
        <v>R119</v>
      </c>
      <c r="CR66" t="str">
        <f t="shared" si="35"/>
        <v>R119</v>
      </c>
      <c r="CS66" t="s">
        <v>972</v>
      </c>
      <c r="CT66" t="s">
        <v>972</v>
      </c>
      <c r="CU66" s="180" t="s">
        <v>972</v>
      </c>
      <c r="CV66" t="b">
        <f t="shared" si="50"/>
        <v>1</v>
      </c>
      <c r="DC66" t="str">
        <f t="shared" si="36"/>
        <v>G565</v>
      </c>
      <c r="DD66" t="b">
        <f t="shared" si="52"/>
        <v>0</v>
      </c>
      <c r="DE66" t="str">
        <f t="shared" si="53"/>
        <v>G565</v>
      </c>
      <c r="DF66" t="str">
        <f t="shared" si="37"/>
        <v>R119</v>
      </c>
      <c r="DG66" t="b">
        <f t="shared" si="54"/>
        <v>0</v>
      </c>
      <c r="DH66" t="str">
        <f t="shared" si="55"/>
        <v>R119</v>
      </c>
    </row>
    <row r="67" spans="2:112" ht="12" customHeight="1">
      <c r="B67" t="str">
        <f>TBIDry!H139</f>
        <v>G347</v>
      </c>
      <c r="C67" t="str">
        <f>TBIDry!I139</f>
        <v>R765</v>
      </c>
      <c r="D67" t="b">
        <f t="shared" si="1"/>
        <v>0</v>
      </c>
      <c r="E67" t="b">
        <f t="shared" si="2"/>
        <v>0</v>
      </c>
      <c r="G67" t="str">
        <f>TBIWet!H139</f>
        <v>G554</v>
      </c>
      <c r="H67" t="str">
        <f>TBIWet!I139</f>
        <v>R159</v>
      </c>
      <c r="I67" t="b">
        <f t="shared" si="3"/>
        <v>0</v>
      </c>
      <c r="J67" t="b">
        <f t="shared" si="38"/>
        <v>0</v>
      </c>
      <c r="L67" t="str">
        <f>'Both teabags AfterWet'!A65</f>
        <v>G436</v>
      </c>
      <c r="M67" t="str">
        <f>'Both teabags AfterWet'!A485</f>
        <v>R171</v>
      </c>
      <c r="N67" t="b">
        <f t="shared" si="4"/>
        <v>0</v>
      </c>
      <c r="O67" t="b">
        <f t="shared" si="56"/>
        <v>0</v>
      </c>
      <c r="Q67" s="388" t="b">
        <f t="shared" si="5"/>
        <v>0</v>
      </c>
      <c r="R67" s="388" t="b">
        <f t="shared" si="6"/>
        <v>0</v>
      </c>
      <c r="T67" t="str">
        <f>'Both teabags AfterDry'!A65</f>
        <v>G181</v>
      </c>
      <c r="U67" t="str">
        <f>'Both teabags AfterDry'!A400</f>
        <v>R267</v>
      </c>
      <c r="V67" t="b">
        <f t="shared" si="7"/>
        <v>0</v>
      </c>
      <c r="W67" t="b">
        <f t="shared" si="39"/>
        <v>0</v>
      </c>
      <c r="Y67" t="str">
        <f>'Green_rooibos initial weight'!A68</f>
        <v>G64</v>
      </c>
      <c r="Z67" t="str">
        <f>'Green_rooibos initial weight'!A972</f>
        <v>R64</v>
      </c>
      <c r="AA67" t="b">
        <f t="shared" si="8"/>
        <v>0</v>
      </c>
      <c r="AB67" t="b">
        <f t="shared" si="9"/>
        <v>0</v>
      </c>
      <c r="AE67" t="str">
        <f>'WetLitterbags placem_collection'!K66</f>
        <v>G554</v>
      </c>
      <c r="AF67" t="str">
        <f>'WetLitterbags placem_collection'!M66</f>
        <v>R159</v>
      </c>
      <c r="AG67" t="b">
        <f t="shared" si="10"/>
        <v>0</v>
      </c>
      <c r="AH67" t="b">
        <f t="shared" si="11"/>
        <v>0</v>
      </c>
      <c r="AJ67" t="b">
        <f t="shared" si="12"/>
        <v>0</v>
      </c>
      <c r="AK67" t="b">
        <f t="shared" si="13"/>
        <v>0</v>
      </c>
      <c r="AM67" t="str">
        <f>IF(ISBLANK('Dry_Litterbag Placem_Collection'!J66),"","G"&amp;""&amp;'Dry_Litterbag Placem_Collection'!J66)</f>
        <v>G347</v>
      </c>
      <c r="AN67" t="str">
        <f>IF(ISBLANK('Dry_Litterbag Placem_Collection'!K66),"","R"&amp;""&amp;'Dry_Litterbag Placem_Collection'!K66)</f>
        <v>R765</v>
      </c>
      <c r="AO67" t="b">
        <f t="shared" si="58"/>
        <v>0</v>
      </c>
      <c r="AP67" t="b">
        <f t="shared" si="15"/>
        <v>0</v>
      </c>
      <c r="AS67" t="str">
        <f>'Ashed teabags dry'!A65</f>
        <v>G181</v>
      </c>
      <c r="AT67" t="str">
        <f>'Ashed teabags dry'!A400</f>
        <v>R267</v>
      </c>
      <c r="AU67" t="b">
        <f t="shared" si="16"/>
        <v>0</v>
      </c>
      <c r="AV67" t="b">
        <f t="shared" si="40"/>
        <v>0</v>
      </c>
      <c r="AX67" s="388" t="b">
        <f t="shared" si="17"/>
        <v>0</v>
      </c>
      <c r="AY67" s="388" t="b">
        <f t="shared" si="18"/>
        <v>0</v>
      </c>
      <c r="BA67" t="str">
        <f>'Ashed teabags wet'!A65</f>
        <v>G436</v>
      </c>
      <c r="BB67" t="str">
        <f>'Ashed teabags wet'!A485</f>
        <v>R171</v>
      </c>
      <c r="BC67" t="b">
        <f t="shared" si="19"/>
        <v>0</v>
      </c>
      <c r="BD67" t="b">
        <f t="shared" si="0"/>
        <v>0</v>
      </c>
      <c r="BF67" t="str">
        <f t="shared" si="20"/>
        <v>G179</v>
      </c>
      <c r="BG67" t="str">
        <f t="shared" si="21"/>
        <v>G179</v>
      </c>
      <c r="BH67" t="str">
        <f t="shared" si="22"/>
        <v>G49</v>
      </c>
      <c r="BI67" t="str">
        <f t="shared" si="41"/>
        <v>G49</v>
      </c>
      <c r="BJ67" t="s">
        <v>1871</v>
      </c>
      <c r="BK67" t="s">
        <v>1871</v>
      </c>
      <c r="BL67" t="s">
        <v>1871</v>
      </c>
      <c r="BM67" t="b">
        <f t="shared" si="42"/>
        <v>1</v>
      </c>
      <c r="BN67" t="str">
        <f t="shared" si="23"/>
        <v>R261</v>
      </c>
      <c r="BO67" t="str">
        <f t="shared" si="24"/>
        <v>R261</v>
      </c>
      <c r="BP67" t="str">
        <f t="shared" si="25"/>
        <v>R733</v>
      </c>
      <c r="BQ67" t="str">
        <f t="shared" si="26"/>
        <v>R733</v>
      </c>
      <c r="BR67" t="s">
        <v>880</v>
      </c>
      <c r="BS67" t="s">
        <v>880</v>
      </c>
      <c r="BT67" t="s">
        <v>880</v>
      </c>
      <c r="BU67" t="b">
        <f t="shared" si="43"/>
        <v>1</v>
      </c>
      <c r="BV67" s="180"/>
      <c r="BW67" s="180"/>
      <c r="BZ67" t="str">
        <f t="shared" si="27"/>
        <v>G49</v>
      </c>
      <c r="CA67" t="b">
        <f t="shared" si="28"/>
        <v>0</v>
      </c>
      <c r="CB67" t="str">
        <f t="shared" si="44"/>
        <v>G49</v>
      </c>
      <c r="CC67" t="str">
        <f t="shared" si="29"/>
        <v>R733</v>
      </c>
      <c r="CD67" t="b">
        <f t="shared" si="45"/>
        <v>0</v>
      </c>
      <c r="CE67" t="str">
        <f t="shared" si="46"/>
        <v>R733</v>
      </c>
      <c r="CG67" t="str">
        <f t="shared" si="30"/>
        <v>G433</v>
      </c>
      <c r="CH67" t="str">
        <f t="shared" si="47"/>
        <v>G433</v>
      </c>
      <c r="CI67" t="str">
        <f t="shared" si="31"/>
        <v>G387</v>
      </c>
      <c r="CJ67" t="str">
        <f t="shared" si="32"/>
        <v>G387</v>
      </c>
      <c r="CK67" t="s">
        <v>1617</v>
      </c>
      <c r="CL67" t="s">
        <v>1617</v>
      </c>
      <c r="CM67" t="s">
        <v>1617</v>
      </c>
      <c r="CN67" t="b">
        <f t="shared" si="48"/>
        <v>1</v>
      </c>
      <c r="CO67" t="str">
        <f t="shared" si="33"/>
        <v>R17</v>
      </c>
      <c r="CP67" t="str">
        <f t="shared" si="49"/>
        <v>R17</v>
      </c>
      <c r="CQ67" t="str">
        <f t="shared" si="34"/>
        <v>R185</v>
      </c>
      <c r="CR67" t="str">
        <f t="shared" si="35"/>
        <v>R185</v>
      </c>
      <c r="CS67" t="s">
        <v>1124</v>
      </c>
      <c r="CT67" t="s">
        <v>1124</v>
      </c>
      <c r="CU67" s="180" t="s">
        <v>1124</v>
      </c>
      <c r="CV67" t="b">
        <f t="shared" si="50"/>
        <v>1</v>
      </c>
      <c r="DC67" t="str">
        <f t="shared" si="36"/>
        <v>G387</v>
      </c>
      <c r="DD67" t="b">
        <f t="shared" si="52"/>
        <v>0</v>
      </c>
      <c r="DE67" t="str">
        <f t="shared" si="53"/>
        <v>G387</v>
      </c>
      <c r="DF67" t="str">
        <f t="shared" si="37"/>
        <v>R185</v>
      </c>
      <c r="DG67" t="b">
        <f t="shared" si="54"/>
        <v>0</v>
      </c>
      <c r="DH67" t="str">
        <f t="shared" si="55"/>
        <v>R185</v>
      </c>
    </row>
    <row r="68" spans="2:112" ht="12" customHeight="1">
      <c r="B68" t="str">
        <f>TBIDry!H140</f>
        <v>G495</v>
      </c>
      <c r="C68" t="str">
        <f>TBIDry!I140</f>
        <v>R731</v>
      </c>
      <c r="D68" t="b">
        <f t="shared" si="1"/>
        <v>0</v>
      </c>
      <c r="E68" t="b">
        <f t="shared" si="2"/>
        <v>0</v>
      </c>
      <c r="G68" t="str">
        <f>TBIWet!H140</f>
        <v>G614</v>
      </c>
      <c r="H68" t="str">
        <f>TBIWet!I140</f>
        <v>R525</v>
      </c>
      <c r="I68" t="b">
        <f t="shared" si="3"/>
        <v>0</v>
      </c>
      <c r="J68" t="b">
        <f t="shared" si="38"/>
        <v>0</v>
      </c>
      <c r="L68" t="str">
        <f>'Both teabags AfterWet'!A66</f>
        <v>G437</v>
      </c>
      <c r="M68" t="str">
        <f>'Both teabags AfterWet'!A486</f>
        <v>R172</v>
      </c>
      <c r="N68" t="b">
        <f t="shared" si="4"/>
        <v>0</v>
      </c>
      <c r="O68" t="b">
        <f t="shared" si="56"/>
        <v>0</v>
      </c>
      <c r="Q68" s="388" t="b">
        <f t="shared" si="5"/>
        <v>0</v>
      </c>
      <c r="R68" s="388" t="b">
        <f t="shared" si="6"/>
        <v>0</v>
      </c>
      <c r="T68" t="str">
        <f>'Both teabags AfterDry'!A66</f>
        <v>G182</v>
      </c>
      <c r="U68" t="str">
        <f>'Both teabags AfterDry'!A401</f>
        <v>R269</v>
      </c>
      <c r="V68" t="b">
        <f t="shared" si="7"/>
        <v>0</v>
      </c>
      <c r="W68" t="b">
        <f t="shared" si="39"/>
        <v>0</v>
      </c>
      <c r="Y68" t="str">
        <f>'Green_rooibos initial weight'!A69</f>
        <v>G65</v>
      </c>
      <c r="Z68" t="str">
        <f>'Green_rooibos initial weight'!A973</f>
        <v>R65</v>
      </c>
      <c r="AA68" t="b">
        <f t="shared" si="8"/>
        <v>0</v>
      </c>
      <c r="AB68" t="b">
        <f t="shared" si="9"/>
        <v>0</v>
      </c>
      <c r="AE68" t="str">
        <f>'WetLitterbags placem_collection'!K67</f>
        <v>G614</v>
      </c>
      <c r="AF68" t="str">
        <f>'WetLitterbags placem_collection'!M67</f>
        <v>R525</v>
      </c>
      <c r="AG68" t="b">
        <f t="shared" si="10"/>
        <v>0</v>
      </c>
      <c r="AH68" t="b">
        <f t="shared" si="11"/>
        <v>0</v>
      </c>
      <c r="AJ68" t="b">
        <f t="shared" si="12"/>
        <v>0</v>
      </c>
      <c r="AK68" t="b">
        <f t="shared" si="13"/>
        <v>0</v>
      </c>
      <c r="AM68" t="str">
        <f>IF(ISBLANK('Dry_Litterbag Placem_Collection'!J67),"","G"&amp;""&amp;'Dry_Litterbag Placem_Collection'!J67)</f>
        <v>G495</v>
      </c>
      <c r="AN68" t="str">
        <f>IF(ISBLANK('Dry_Litterbag Placem_Collection'!K67),"","R"&amp;""&amp;'Dry_Litterbag Placem_Collection'!K67)</f>
        <v>R731</v>
      </c>
      <c r="AO68" t="b">
        <f t="shared" si="58"/>
        <v>0</v>
      </c>
      <c r="AP68" t="b">
        <f t="shared" si="15"/>
        <v>0</v>
      </c>
      <c r="AS68" t="str">
        <f>'Ashed teabags dry'!A66</f>
        <v>G182</v>
      </c>
      <c r="AT68" t="str">
        <f>'Ashed teabags dry'!A401</f>
        <v>R269</v>
      </c>
      <c r="AU68" t="b">
        <f t="shared" si="16"/>
        <v>0</v>
      </c>
      <c r="AV68" t="b">
        <f t="shared" si="40"/>
        <v>0</v>
      </c>
      <c r="AX68" s="388" t="b">
        <f t="shared" si="17"/>
        <v>0</v>
      </c>
      <c r="AY68" s="388" t="b">
        <f t="shared" si="18"/>
        <v>0</v>
      </c>
      <c r="BA68" t="str">
        <f>'Ashed teabags wet'!A66</f>
        <v>G437</v>
      </c>
      <c r="BB68" t="str">
        <f>'Ashed teabags wet'!A486</f>
        <v>R172</v>
      </c>
      <c r="BC68" t="b">
        <f t="shared" si="19"/>
        <v>0</v>
      </c>
      <c r="BD68" t="b">
        <f t="shared" ref="BD68:BD131" si="60">COUNTIF($BB$4:$BB$2000, BB68)&gt;1</f>
        <v>0</v>
      </c>
      <c r="BF68" t="str">
        <f t="shared" si="20"/>
        <v>G181</v>
      </c>
      <c r="BG68" t="str">
        <f t="shared" si="21"/>
        <v>G181</v>
      </c>
      <c r="BH68" t="str">
        <f t="shared" si="22"/>
        <v>G347</v>
      </c>
      <c r="BI68" t="str">
        <f t="shared" si="41"/>
        <v>G347</v>
      </c>
      <c r="BJ68" t="s">
        <v>1869</v>
      </c>
      <c r="BK68" t="s">
        <v>1869</v>
      </c>
      <c r="BL68" t="s">
        <v>1869</v>
      </c>
      <c r="BM68" t="b">
        <f t="shared" si="42"/>
        <v>1</v>
      </c>
      <c r="BN68" t="str">
        <f t="shared" si="23"/>
        <v>R267</v>
      </c>
      <c r="BO68" t="str">
        <f t="shared" si="24"/>
        <v>R267</v>
      </c>
      <c r="BP68" t="str">
        <f t="shared" si="25"/>
        <v>R765</v>
      </c>
      <c r="BQ68" t="str">
        <f t="shared" si="26"/>
        <v>R765</v>
      </c>
      <c r="BR68" t="s">
        <v>874</v>
      </c>
      <c r="BS68" t="s">
        <v>874</v>
      </c>
      <c r="BT68" t="s">
        <v>874</v>
      </c>
      <c r="BU68" t="b">
        <f t="shared" si="43"/>
        <v>1</v>
      </c>
      <c r="BV68" s="180"/>
      <c r="BW68" s="180"/>
      <c r="BZ68" t="str">
        <f t="shared" si="27"/>
        <v>G347</v>
      </c>
      <c r="CA68" t="b">
        <f t="shared" si="28"/>
        <v>0</v>
      </c>
      <c r="CB68" t="str">
        <f t="shared" si="44"/>
        <v>G347</v>
      </c>
      <c r="CC68" t="str">
        <f t="shared" si="29"/>
        <v>R765</v>
      </c>
      <c r="CD68" t="b">
        <f t="shared" si="45"/>
        <v>0</v>
      </c>
      <c r="CE68" t="str">
        <f t="shared" si="46"/>
        <v>R765</v>
      </c>
      <c r="CG68" t="str">
        <f t="shared" si="30"/>
        <v>G436</v>
      </c>
      <c r="CH68" t="str">
        <f t="shared" si="47"/>
        <v>G436</v>
      </c>
      <c r="CI68" t="str">
        <f t="shared" si="31"/>
        <v>G554</v>
      </c>
      <c r="CJ68" t="str">
        <f t="shared" si="32"/>
        <v>G554</v>
      </c>
      <c r="CK68" t="s">
        <v>1614</v>
      </c>
      <c r="CL68" t="s">
        <v>1614</v>
      </c>
      <c r="CM68" t="s">
        <v>1614</v>
      </c>
      <c r="CN68" t="b">
        <f t="shared" si="48"/>
        <v>1</v>
      </c>
      <c r="CO68" t="str">
        <f t="shared" si="33"/>
        <v>R171</v>
      </c>
      <c r="CP68" t="str">
        <f t="shared" si="49"/>
        <v>R171</v>
      </c>
      <c r="CQ68" t="str">
        <f t="shared" si="34"/>
        <v>R159</v>
      </c>
      <c r="CR68" t="str">
        <f t="shared" si="35"/>
        <v>R159</v>
      </c>
      <c r="CS68" t="s">
        <v>970</v>
      </c>
      <c r="CT68" t="s">
        <v>970</v>
      </c>
      <c r="CU68" t="s">
        <v>970</v>
      </c>
      <c r="CV68" t="b">
        <f t="shared" si="50"/>
        <v>1</v>
      </c>
      <c r="DC68" t="str">
        <f t="shared" si="36"/>
        <v>G554</v>
      </c>
      <c r="DD68" t="b">
        <f t="shared" si="52"/>
        <v>0</v>
      </c>
      <c r="DE68" t="str">
        <f t="shared" si="53"/>
        <v>G554</v>
      </c>
      <c r="DF68" t="str">
        <f t="shared" si="37"/>
        <v>R159</v>
      </c>
      <c r="DG68" t="b">
        <f t="shared" si="54"/>
        <v>0</v>
      </c>
      <c r="DH68" t="str">
        <f t="shared" si="55"/>
        <v>R159</v>
      </c>
    </row>
    <row r="69" spans="2:112" ht="12" customHeight="1">
      <c r="B69" t="str">
        <f>TBIDry!H141</f>
        <v>G247</v>
      </c>
      <c r="C69" t="str">
        <f>TBIDry!I141</f>
        <v>R816</v>
      </c>
      <c r="D69" t="b">
        <f t="shared" ref="D69:D132" si="61">COUNTIF($B$4:$B$2000, B69)&gt;1</f>
        <v>0</v>
      </c>
      <c r="E69" t="b">
        <f t="shared" ref="E69:E132" si="62">COUNTIF($C$4:$C$2000, C69)&gt;1</f>
        <v>0</v>
      </c>
      <c r="G69" t="str">
        <f>TBIWet!H141</f>
        <v>G282</v>
      </c>
      <c r="H69" t="str">
        <f>TBIWet!I141</f>
        <v>R150</v>
      </c>
      <c r="I69" t="b">
        <f t="shared" ref="I69:I132" si="63">COUNTIF($G$4:$G$2000, G69)&gt;1</f>
        <v>0</v>
      </c>
      <c r="J69" t="b">
        <f t="shared" ref="J69:J132" si="64">COUNTIF($H$4:$H$2000, H69)&gt;1</f>
        <v>0</v>
      </c>
      <c r="L69" t="str">
        <f>'Both teabags AfterWet'!A67</f>
        <v>G439</v>
      </c>
      <c r="M69" t="str">
        <f>'Both teabags AfterWet'!A487</f>
        <v>R176</v>
      </c>
      <c r="N69" t="b">
        <f t="shared" ref="N69:N132" si="65">COUNTIF($L$4:$L$2000, L69)&gt;1</f>
        <v>0</v>
      </c>
      <c r="O69" t="b">
        <f t="shared" si="56"/>
        <v>0</v>
      </c>
      <c r="Q69" s="388" t="b">
        <f t="shared" ref="Q69:Q132" si="66">COUNTIF($T$4:$T$2000, L69)=1</f>
        <v>0</v>
      </c>
      <c r="R69" s="388" t="b">
        <f t="shared" ref="R69:R132" si="67" xml:space="preserve"> COUNTIF($U$4:$U$2000,M69)=1</f>
        <v>0</v>
      </c>
      <c r="T69" t="str">
        <f>'Both teabags AfterDry'!A67</f>
        <v>G183</v>
      </c>
      <c r="U69" t="str">
        <f>'Both teabags AfterDry'!A402</f>
        <v>R270</v>
      </c>
      <c r="V69" t="b">
        <f t="shared" ref="V69:V132" si="68">COUNTIF($T$4:$T$2000, T69)&gt;1</f>
        <v>0</v>
      </c>
      <c r="W69" t="b">
        <f t="shared" si="39"/>
        <v>0</v>
      </c>
      <c r="Y69" t="str">
        <f>'Green_rooibos initial weight'!A70</f>
        <v>G66</v>
      </c>
      <c r="Z69" t="str">
        <f>'Green_rooibos initial weight'!A974</f>
        <v>R66</v>
      </c>
      <c r="AA69" t="b">
        <f t="shared" ref="AA69:AA132" si="69">COUNTIF($Y$4:$Y$2000, Y69)&gt;1</f>
        <v>0</v>
      </c>
      <c r="AB69" t="b">
        <f t="shared" ref="AB69:AB132" si="70">COUNTIF($Z$4:$Z$2000, Z69)&gt;1</f>
        <v>0</v>
      </c>
      <c r="AE69" t="str">
        <f>'WetLitterbags placem_collection'!K68</f>
        <v>G282</v>
      </c>
      <c r="AF69" t="str">
        <f>'WetLitterbags placem_collection'!M68</f>
        <v>R150</v>
      </c>
      <c r="AG69" t="b">
        <f t="shared" ref="AG69:AG132" si="71">COUNTIF($AE$4:$AE$2000, AE69)&gt;1</f>
        <v>0</v>
      </c>
      <c r="AH69" t="b">
        <f t="shared" ref="AH69:AH132" si="72">COUNTIF($AF$4:$AF$2000, AF69)&gt;1</f>
        <v>0</v>
      </c>
      <c r="AJ69" t="b">
        <f t="shared" ref="AJ69:AJ132" si="73">COUNTIF($AM$4:$AM$2000, AE69)=1</f>
        <v>0</v>
      </c>
      <c r="AK69" t="b">
        <f t="shared" ref="AK69:AK132" si="74">COUNTIF($AN$4:$AN$2000, AF69)=1</f>
        <v>0</v>
      </c>
      <c r="AM69" t="str">
        <f>IF(ISBLANK('Dry_Litterbag Placem_Collection'!J68),"","G"&amp;""&amp;'Dry_Litterbag Placem_Collection'!J68)</f>
        <v>G247</v>
      </c>
      <c r="AN69" t="str">
        <f>IF(ISBLANK('Dry_Litterbag Placem_Collection'!K68),"","R"&amp;""&amp;'Dry_Litterbag Placem_Collection'!K68)</f>
        <v>R816</v>
      </c>
      <c r="AO69" t="b">
        <f t="shared" ref="AO69:AO132" si="75">COUNTIF($AM$4:$AM$2000, AM69)&gt;1</f>
        <v>0</v>
      </c>
      <c r="AP69" t="b">
        <f t="shared" ref="AP69:AP132" si="76">COUNTIF($AN$4:$AN$2000, AN69)&gt;1</f>
        <v>0</v>
      </c>
      <c r="AS69" t="str">
        <f>'Ashed teabags dry'!A67</f>
        <v>G183</v>
      </c>
      <c r="AT69" t="str">
        <f>'Ashed teabags dry'!A402</f>
        <v>R270</v>
      </c>
      <c r="AU69" t="b">
        <f t="shared" ref="AU69:AU132" si="77">COUNTIF($AS$4:$AS$2000, AS69)&gt;1</f>
        <v>0</v>
      </c>
      <c r="AV69" t="b">
        <f t="shared" si="40"/>
        <v>0</v>
      </c>
      <c r="AX69" s="388" t="b">
        <f t="shared" ref="AX69:AX132" si="78">COUNTIF($BA$4:$BA$2000, AS69)=1</f>
        <v>0</v>
      </c>
      <c r="AY69" s="388" t="b">
        <f t="shared" ref="AY69:AY132" si="79">COUNTIF($BB$4:$BB$2000, AT69)=1</f>
        <v>0</v>
      </c>
      <c r="BA69" t="str">
        <f>'Ashed teabags wet'!A67</f>
        <v>G439</v>
      </c>
      <c r="BB69" t="str">
        <f>'Ashed teabags wet'!A487</f>
        <v>R176</v>
      </c>
      <c r="BC69" t="b">
        <f t="shared" ref="BC69:BC132" si="80">COUNTIF($BA$4:$BA$2000, BA69)&gt;1</f>
        <v>0</v>
      </c>
      <c r="BD69" t="b">
        <f t="shared" si="60"/>
        <v>0</v>
      </c>
      <c r="BF69" t="str">
        <f t="shared" ref="BF69:BF132" si="81">AS68</f>
        <v>G182</v>
      </c>
      <c r="BG69" t="str">
        <f t="shared" ref="BG69:BG132" si="82">T68</f>
        <v>G182</v>
      </c>
      <c r="BH69" t="str">
        <f t="shared" ref="BH69:BH132" si="83">B68</f>
        <v>G495</v>
      </c>
      <c r="BI69" t="str">
        <f t="shared" si="41"/>
        <v/>
      </c>
      <c r="BJ69" t="s">
        <v>1868</v>
      </c>
      <c r="BK69" t="s">
        <v>1868</v>
      </c>
      <c r="BL69" t="s">
        <v>1868</v>
      </c>
      <c r="BM69" t="b">
        <f t="shared" si="42"/>
        <v>1</v>
      </c>
      <c r="BN69" t="str">
        <f t="shared" ref="BN69:BN132" si="84">AT68</f>
        <v>R269</v>
      </c>
      <c r="BO69" t="str">
        <f t="shared" ref="BO69:BO132" si="85">U68</f>
        <v>R269</v>
      </c>
      <c r="BP69" t="str">
        <f t="shared" ref="BP69:BP132" si="86">C68</f>
        <v>R731</v>
      </c>
      <c r="BQ69" t="str">
        <f t="shared" ref="BQ69:BQ132" si="87">CE69</f>
        <v/>
      </c>
      <c r="BR69" t="s">
        <v>872</v>
      </c>
      <c r="BS69" t="s">
        <v>872</v>
      </c>
      <c r="BT69" t="s">
        <v>872</v>
      </c>
      <c r="BU69" t="b">
        <f t="shared" si="43"/>
        <v>1</v>
      </c>
      <c r="BZ69" t="str">
        <f t="shared" ref="BZ69:BZ132" si="88">BH69</f>
        <v>G495</v>
      </c>
      <c r="CA69" t="b">
        <f t="shared" ref="CA69:CA132" si="89">COUNTIF($BV$5:$BV$2000, BZ69)=1</f>
        <v>1</v>
      </c>
      <c r="CB69" t="str">
        <f t="shared" si="44"/>
        <v/>
      </c>
      <c r="CC69" t="str">
        <f t="shared" ref="CC69:CC132" si="90">BP69</f>
        <v>R731</v>
      </c>
      <c r="CD69" t="b">
        <f t="shared" si="45"/>
        <v>1</v>
      </c>
      <c r="CE69" t="str">
        <f t="shared" si="46"/>
        <v/>
      </c>
      <c r="CG69" t="str">
        <f t="shared" ref="CG69:CG132" si="91">BA68</f>
        <v>G437</v>
      </c>
      <c r="CH69" t="str">
        <f t="shared" si="47"/>
        <v>G437</v>
      </c>
      <c r="CI69" t="str">
        <f t="shared" ref="CI69:CI132" si="92">AE68</f>
        <v>G614</v>
      </c>
      <c r="CJ69" t="str">
        <f t="shared" ref="CJ69:CJ132" si="93">DE69</f>
        <v>G614</v>
      </c>
      <c r="CK69" t="s">
        <v>1613</v>
      </c>
      <c r="CL69" t="s">
        <v>1613</v>
      </c>
      <c r="CM69" t="s">
        <v>1613</v>
      </c>
      <c r="CN69" t="b">
        <f t="shared" si="48"/>
        <v>1</v>
      </c>
      <c r="CO69" t="str">
        <f t="shared" ref="CO69:CO132" si="94">BB68</f>
        <v>R172</v>
      </c>
      <c r="CP69" t="str">
        <f t="shared" si="49"/>
        <v>R172</v>
      </c>
      <c r="CQ69" t="str">
        <f t="shared" ref="CQ69:CQ132" si="95">AF68</f>
        <v>R525</v>
      </c>
      <c r="CR69" t="str">
        <f t="shared" ref="CR69:CR132" si="96">DH69</f>
        <v>R525</v>
      </c>
      <c r="CS69" t="s">
        <v>969</v>
      </c>
      <c r="CT69" t="s">
        <v>969</v>
      </c>
      <c r="CU69" t="s">
        <v>969</v>
      </c>
      <c r="CV69" t="b">
        <f t="shared" si="50"/>
        <v>1</v>
      </c>
      <c r="DC69" t="str">
        <f t="shared" ref="DC69:DC132" si="97">CI69</f>
        <v>G614</v>
      </c>
      <c r="DD69" t="b">
        <f t="shared" si="52"/>
        <v>0</v>
      </c>
      <c r="DE69" t="str">
        <f t="shared" si="53"/>
        <v>G614</v>
      </c>
      <c r="DF69" t="str">
        <f t="shared" ref="DF69:DF132" si="98">CQ69</f>
        <v>R525</v>
      </c>
      <c r="DG69" t="b">
        <f t="shared" si="54"/>
        <v>0</v>
      </c>
      <c r="DH69" t="str">
        <f t="shared" si="55"/>
        <v>R525</v>
      </c>
    </row>
    <row r="70" spans="2:112" ht="12" customHeight="1">
      <c r="B70" t="str">
        <f>TBIDry!H142</f>
        <v/>
      </c>
      <c r="C70" t="str">
        <f>TBIDry!I142</f>
        <v/>
      </c>
      <c r="D70" t="b">
        <f t="shared" si="61"/>
        <v>1</v>
      </c>
      <c r="E70" t="b">
        <f t="shared" si="62"/>
        <v>1</v>
      </c>
      <c r="G70" t="str">
        <f>TBIWet!H142</f>
        <v>G450</v>
      </c>
      <c r="H70" t="str">
        <f>TBIWet!I142</f>
        <v>R165</v>
      </c>
      <c r="I70" t="b">
        <f t="shared" si="63"/>
        <v>0</v>
      </c>
      <c r="J70" t="b">
        <f t="shared" si="64"/>
        <v>0</v>
      </c>
      <c r="L70" t="str">
        <f>'Both teabags AfterWet'!A68</f>
        <v>G440</v>
      </c>
      <c r="M70" t="str">
        <f>'Both teabags AfterWet'!A488</f>
        <v>R177</v>
      </c>
      <c r="N70" t="b">
        <f t="shared" si="65"/>
        <v>0</v>
      </c>
      <c r="O70" t="b">
        <f t="shared" si="56"/>
        <v>0</v>
      </c>
      <c r="Q70" s="388" t="b">
        <f t="shared" si="66"/>
        <v>0</v>
      </c>
      <c r="R70" s="388" t="b">
        <f t="shared" si="67"/>
        <v>0</v>
      </c>
      <c r="T70" t="str">
        <f>'Both teabags AfterDry'!A68</f>
        <v>G184</v>
      </c>
      <c r="U70" t="str">
        <f>'Both teabags AfterDry'!A403</f>
        <v>R272</v>
      </c>
      <c r="V70" t="b">
        <f t="shared" si="68"/>
        <v>0</v>
      </c>
      <c r="W70" t="b">
        <f t="shared" ref="W70:W133" si="99">COUNTIF($U$4:$U$2000, U70)&gt;1</f>
        <v>0</v>
      </c>
      <c r="Y70" t="str">
        <f>'Green_rooibos initial weight'!A71</f>
        <v>G67</v>
      </c>
      <c r="Z70" t="str">
        <f>'Green_rooibos initial weight'!A975</f>
        <v>R67</v>
      </c>
      <c r="AA70" t="b">
        <f t="shared" si="69"/>
        <v>0</v>
      </c>
      <c r="AB70" t="b">
        <f t="shared" si="70"/>
        <v>0</v>
      </c>
      <c r="AE70" t="str">
        <f>'WetLitterbags placem_collection'!K69</f>
        <v>G450</v>
      </c>
      <c r="AF70" t="str">
        <f>'WetLitterbags placem_collection'!M69</f>
        <v>R165</v>
      </c>
      <c r="AG70" t="b">
        <f t="shared" si="71"/>
        <v>0</v>
      </c>
      <c r="AH70" t="b">
        <f t="shared" si="72"/>
        <v>0</v>
      </c>
      <c r="AJ70" t="b">
        <f t="shared" si="73"/>
        <v>0</v>
      </c>
      <c r="AK70" t="b">
        <f t="shared" si="74"/>
        <v>0</v>
      </c>
      <c r="AM70" t="str">
        <f>IF(ISBLANK('Dry_Litterbag Placem_Collection'!J69),"","G"&amp;""&amp;'Dry_Litterbag Placem_Collection'!J69)</f>
        <v/>
      </c>
      <c r="AN70" t="str">
        <f>IF(ISBLANK('Dry_Litterbag Placem_Collection'!K69),"","R"&amp;""&amp;'Dry_Litterbag Placem_Collection'!K69)</f>
        <v/>
      </c>
      <c r="AO70" t="b">
        <f t="shared" si="75"/>
        <v>1</v>
      </c>
      <c r="AP70" t="b">
        <f t="shared" si="76"/>
        <v>1</v>
      </c>
      <c r="AS70" t="str">
        <f>'Ashed teabags dry'!A68</f>
        <v>G184</v>
      </c>
      <c r="AT70" t="str">
        <f>'Ashed teabags dry'!A403</f>
        <v>R272</v>
      </c>
      <c r="AU70" t="b">
        <f t="shared" si="77"/>
        <v>0</v>
      </c>
      <c r="AV70" t="b">
        <f t="shared" ref="AV70:AV133" si="100">COUNTIF($AT$4:$AT$2000, AT70)&gt;1</f>
        <v>0</v>
      </c>
      <c r="AX70" s="388" t="b">
        <f t="shared" si="78"/>
        <v>0</v>
      </c>
      <c r="AY70" s="388" t="b">
        <f t="shared" si="79"/>
        <v>0</v>
      </c>
      <c r="BA70" t="str">
        <f>'Ashed teabags wet'!A68</f>
        <v>G440</v>
      </c>
      <c r="BB70" t="str">
        <f>'Ashed teabags wet'!A488</f>
        <v>R177</v>
      </c>
      <c r="BC70" t="b">
        <f t="shared" si="80"/>
        <v>0</v>
      </c>
      <c r="BD70" t="b">
        <f t="shared" si="60"/>
        <v>0</v>
      </c>
      <c r="BF70" t="str">
        <f t="shared" si="81"/>
        <v>G183</v>
      </c>
      <c r="BG70" t="str">
        <f t="shared" si="82"/>
        <v>G183</v>
      </c>
      <c r="BH70" t="str">
        <f t="shared" si="83"/>
        <v>G247</v>
      </c>
      <c r="BI70" t="str">
        <f t="shared" ref="BI70:BI133" si="101">CB70</f>
        <v>G247</v>
      </c>
      <c r="BJ70" t="s">
        <v>1867</v>
      </c>
      <c r="BK70" t="s">
        <v>1867</v>
      </c>
      <c r="BL70" t="s">
        <v>1867</v>
      </c>
      <c r="BM70" t="b">
        <f t="shared" ref="BM70:BM133" si="102" xml:space="preserve"> COUNTIF($BJ$5:$BL$2000,BK70)=3</f>
        <v>1</v>
      </c>
      <c r="BN70" t="str">
        <f t="shared" si="84"/>
        <v>R270</v>
      </c>
      <c r="BO70" t="str">
        <f t="shared" si="85"/>
        <v>R270</v>
      </c>
      <c r="BP70" t="str">
        <f t="shared" si="86"/>
        <v>R816</v>
      </c>
      <c r="BQ70" t="str">
        <f t="shared" si="87"/>
        <v>R816</v>
      </c>
      <c r="BR70" t="s">
        <v>871</v>
      </c>
      <c r="BS70" t="s">
        <v>871</v>
      </c>
      <c r="BT70" t="s">
        <v>871</v>
      </c>
      <c r="BU70" t="b">
        <f t="shared" ref="BU70:BU133" si="103" xml:space="preserve"> COUNTIF($BR$5:$BT$2000,BS70)=3</f>
        <v>1</v>
      </c>
      <c r="BZ70" t="str">
        <f t="shared" si="88"/>
        <v>G247</v>
      </c>
      <c r="CA70" t="b">
        <f t="shared" si="89"/>
        <v>0</v>
      </c>
      <c r="CB70" t="str">
        <f t="shared" ref="CB70:CB133" si="104">IF(ISNUMBER(SEARCH("USANN",CA70)),BZ70,"")</f>
        <v>G247</v>
      </c>
      <c r="CC70" t="str">
        <f t="shared" si="90"/>
        <v>R816</v>
      </c>
      <c r="CD70" t="b">
        <f t="shared" ref="CD70:CD133" si="105">COUNTIF($BW$5:$BW$2000, CC70)=1</f>
        <v>0</v>
      </c>
      <c r="CE70" t="str">
        <f t="shared" ref="CE70:CE133" si="106">IF(ISNUMBER(SEARCH("USANN",CD70)),CC70,"")</f>
        <v>R816</v>
      </c>
      <c r="CG70" t="str">
        <f t="shared" si="91"/>
        <v>G439</v>
      </c>
      <c r="CH70" t="str">
        <f t="shared" ref="CH70:CH133" si="107">L69</f>
        <v>G439</v>
      </c>
      <c r="CI70" t="str">
        <f t="shared" si="92"/>
        <v>G282</v>
      </c>
      <c r="CJ70" t="str">
        <f t="shared" si="93"/>
        <v>G282</v>
      </c>
      <c r="CK70" t="s">
        <v>1611</v>
      </c>
      <c r="CL70" t="s">
        <v>1611</v>
      </c>
      <c r="CM70" t="s">
        <v>1611</v>
      </c>
      <c r="CN70" t="b">
        <f t="shared" ref="CN70:CN133" si="108" xml:space="preserve"> COUNTIF($CK$5:$CM$2000,CL70)=3</f>
        <v>1</v>
      </c>
      <c r="CO70" t="str">
        <f t="shared" si="94"/>
        <v>R176</v>
      </c>
      <c r="CP70" t="str">
        <f t="shared" ref="CP70:CP133" si="109">M69</f>
        <v>R176</v>
      </c>
      <c r="CQ70" t="str">
        <f t="shared" si="95"/>
        <v>R150</v>
      </c>
      <c r="CR70" t="str">
        <f t="shared" si="96"/>
        <v>R150</v>
      </c>
      <c r="CS70" t="s">
        <v>965</v>
      </c>
      <c r="CT70" t="s">
        <v>965</v>
      </c>
      <c r="CU70" t="s">
        <v>965</v>
      </c>
      <c r="CV70" t="b">
        <f t="shared" ref="CV70:CV133" si="110" xml:space="preserve"> COUNTIF($CS$5:$CU$2000,CT70)=3</f>
        <v>1</v>
      </c>
      <c r="DC70" t="str">
        <f t="shared" si="97"/>
        <v>G282</v>
      </c>
      <c r="DD70" t="b">
        <f t="shared" ref="DD70:DD133" si="111">COUNTIF($CW$5:$CW$2000, DC70)=1</f>
        <v>0</v>
      </c>
      <c r="DE70" t="str">
        <f t="shared" ref="DE70:DE133" si="112">IF(ISNUMBER(SEARCH("USANN",DD70)),DC70,"")</f>
        <v>G282</v>
      </c>
      <c r="DF70" t="str">
        <f t="shared" si="98"/>
        <v>R150</v>
      </c>
      <c r="DG70" t="b">
        <f t="shared" ref="DG70:DG133" si="113">COUNTIF($CY$5:$CY$2000, DF70)=1</f>
        <v>0</v>
      </c>
      <c r="DH70" t="str">
        <f t="shared" ref="DH70:DH133" si="114">IF(ISNUMBER(SEARCH("USANN",DG70)),DF70,"")</f>
        <v>R150</v>
      </c>
    </row>
    <row r="71" spans="2:112" ht="12" customHeight="1">
      <c r="B71" t="str">
        <f>TBIDry!H143</f>
        <v>G63</v>
      </c>
      <c r="C71" t="str">
        <f>TBIDry!I143</f>
        <v>R815</v>
      </c>
      <c r="D71" t="b">
        <f t="shared" si="61"/>
        <v>0</v>
      </c>
      <c r="E71" t="b">
        <f t="shared" si="62"/>
        <v>0</v>
      </c>
      <c r="G71" t="str">
        <f>TBIWet!H143</f>
        <v>G269</v>
      </c>
      <c r="H71" t="str">
        <f>TBIWet!I143</f>
        <v>R129</v>
      </c>
      <c r="I71" t="b">
        <f t="shared" si="63"/>
        <v>0</v>
      </c>
      <c r="J71" t="b">
        <f t="shared" si="64"/>
        <v>0</v>
      </c>
      <c r="L71" t="str">
        <f>'Both teabags AfterWet'!A69</f>
        <v>G441</v>
      </c>
      <c r="M71" t="str">
        <f>'Both teabags AfterWet'!A489</f>
        <v>R181</v>
      </c>
      <c r="N71" t="b">
        <f t="shared" si="65"/>
        <v>0</v>
      </c>
      <c r="O71" t="b">
        <f t="shared" ref="O71:O134" si="115">COUNTIF($M$4:$M$2000, M71)&gt;1</f>
        <v>0</v>
      </c>
      <c r="Q71" s="388" t="b">
        <f t="shared" si="66"/>
        <v>0</v>
      </c>
      <c r="R71" s="388" t="b">
        <f t="shared" si="67"/>
        <v>0</v>
      </c>
      <c r="T71" t="str">
        <f>'Both teabags AfterDry'!A69</f>
        <v>G185</v>
      </c>
      <c r="U71" t="str">
        <f>'Both teabags AfterDry'!A404</f>
        <v>R275</v>
      </c>
      <c r="V71" t="b">
        <f t="shared" si="68"/>
        <v>0</v>
      </c>
      <c r="W71" t="b">
        <f t="shared" si="99"/>
        <v>0</v>
      </c>
      <c r="Y71" t="str">
        <f>'Green_rooibos initial weight'!A72</f>
        <v>G68</v>
      </c>
      <c r="Z71" t="str">
        <f>'Green_rooibos initial weight'!A976</f>
        <v>R68</v>
      </c>
      <c r="AA71" t="b">
        <f t="shared" si="69"/>
        <v>0</v>
      </c>
      <c r="AB71" t="b">
        <f t="shared" si="70"/>
        <v>0</v>
      </c>
      <c r="AE71" t="str">
        <f>'WetLitterbags placem_collection'!K70</f>
        <v>G269</v>
      </c>
      <c r="AF71" t="str">
        <f>'WetLitterbags placem_collection'!M70</f>
        <v>R129</v>
      </c>
      <c r="AG71" t="b">
        <f t="shared" si="71"/>
        <v>0</v>
      </c>
      <c r="AH71" t="b">
        <f t="shared" si="72"/>
        <v>0</v>
      </c>
      <c r="AJ71" t="b">
        <f t="shared" si="73"/>
        <v>0</v>
      </c>
      <c r="AK71" t="b">
        <f t="shared" si="74"/>
        <v>0</v>
      </c>
      <c r="AM71" t="str">
        <f>IF(ISBLANK('Dry_Litterbag Placem_Collection'!J70),"","G"&amp;""&amp;'Dry_Litterbag Placem_Collection'!J70)</f>
        <v>G63</v>
      </c>
      <c r="AN71" t="str">
        <f>IF(ISBLANK('Dry_Litterbag Placem_Collection'!K70),"","R"&amp;""&amp;'Dry_Litterbag Placem_Collection'!K70)</f>
        <v>R815</v>
      </c>
      <c r="AO71" t="b">
        <f t="shared" si="75"/>
        <v>0</v>
      </c>
      <c r="AP71" t="b">
        <f t="shared" si="76"/>
        <v>0</v>
      </c>
      <c r="AS71" t="str">
        <f>'Ashed teabags dry'!A69</f>
        <v>G185</v>
      </c>
      <c r="AT71" t="str">
        <f>'Ashed teabags dry'!A404</f>
        <v>R275</v>
      </c>
      <c r="AU71" t="b">
        <f t="shared" si="77"/>
        <v>0</v>
      </c>
      <c r="AV71" t="b">
        <f t="shared" si="100"/>
        <v>0</v>
      </c>
      <c r="AX71" s="388" t="b">
        <f t="shared" si="78"/>
        <v>0</v>
      </c>
      <c r="AY71" s="388" t="b">
        <f t="shared" si="79"/>
        <v>0</v>
      </c>
      <c r="BA71" t="str">
        <f>'Ashed teabags wet'!A69</f>
        <v>G441</v>
      </c>
      <c r="BB71" t="str">
        <f>'Ashed teabags wet'!A489</f>
        <v>R181</v>
      </c>
      <c r="BC71" t="b">
        <f t="shared" si="80"/>
        <v>0</v>
      </c>
      <c r="BD71" t="b">
        <f t="shared" si="60"/>
        <v>0</v>
      </c>
      <c r="BF71" t="str">
        <f t="shared" si="81"/>
        <v>G184</v>
      </c>
      <c r="BG71" t="str">
        <f t="shared" si="82"/>
        <v>G184</v>
      </c>
      <c r="BH71" t="str">
        <f t="shared" si="83"/>
        <v/>
      </c>
      <c r="BI71" t="str">
        <f t="shared" si="101"/>
        <v/>
      </c>
      <c r="BJ71" t="s">
        <v>1866</v>
      </c>
      <c r="BK71" t="s">
        <v>1866</v>
      </c>
      <c r="BL71" t="s">
        <v>1866</v>
      </c>
      <c r="BM71" t="b">
        <f t="shared" si="102"/>
        <v>1</v>
      </c>
      <c r="BN71" t="str">
        <f t="shared" si="84"/>
        <v>R272</v>
      </c>
      <c r="BO71" t="str">
        <f t="shared" si="85"/>
        <v>R272</v>
      </c>
      <c r="BP71" t="str">
        <f t="shared" si="86"/>
        <v/>
      </c>
      <c r="BQ71" t="str">
        <f t="shared" si="87"/>
        <v/>
      </c>
      <c r="BR71" t="s">
        <v>869</v>
      </c>
      <c r="BS71" t="s">
        <v>869</v>
      </c>
      <c r="BT71" t="s">
        <v>869</v>
      </c>
      <c r="BU71" t="b">
        <f t="shared" si="103"/>
        <v>1</v>
      </c>
      <c r="BZ71" t="str">
        <f t="shared" si="88"/>
        <v/>
      </c>
      <c r="CA71" t="b">
        <f t="shared" si="89"/>
        <v>0</v>
      </c>
      <c r="CB71" t="str">
        <f t="shared" si="104"/>
        <v/>
      </c>
      <c r="CC71" t="str">
        <f t="shared" si="90"/>
        <v/>
      </c>
      <c r="CD71" t="b">
        <f t="shared" si="105"/>
        <v>0</v>
      </c>
      <c r="CE71" t="str">
        <f t="shared" si="106"/>
        <v/>
      </c>
      <c r="CG71" t="str">
        <f t="shared" si="91"/>
        <v>G440</v>
      </c>
      <c r="CH71" t="str">
        <f t="shared" si="107"/>
        <v>G440</v>
      </c>
      <c r="CI71" t="str">
        <f t="shared" si="92"/>
        <v>G450</v>
      </c>
      <c r="CJ71" t="str">
        <f t="shared" si="93"/>
        <v>G450</v>
      </c>
      <c r="CK71" t="s">
        <v>1610</v>
      </c>
      <c r="CL71" t="s">
        <v>1610</v>
      </c>
      <c r="CM71" t="s">
        <v>1610</v>
      </c>
      <c r="CN71" t="b">
        <f t="shared" si="108"/>
        <v>1</v>
      </c>
      <c r="CO71" t="str">
        <f t="shared" si="94"/>
        <v>R177</v>
      </c>
      <c r="CP71" t="str">
        <f t="shared" si="109"/>
        <v>R177</v>
      </c>
      <c r="CQ71" t="str">
        <f t="shared" si="95"/>
        <v>R165</v>
      </c>
      <c r="CR71" t="str">
        <f t="shared" si="96"/>
        <v>R165</v>
      </c>
      <c r="CS71" t="s">
        <v>964</v>
      </c>
      <c r="CT71" t="s">
        <v>964</v>
      </c>
      <c r="CU71" t="s">
        <v>964</v>
      </c>
      <c r="CV71" t="b">
        <f t="shared" si="110"/>
        <v>1</v>
      </c>
      <c r="DC71" t="str">
        <f t="shared" si="97"/>
        <v>G450</v>
      </c>
      <c r="DD71" t="b">
        <f t="shared" si="111"/>
        <v>0</v>
      </c>
      <c r="DE71" t="str">
        <f t="shared" si="112"/>
        <v>G450</v>
      </c>
      <c r="DF71" t="str">
        <f t="shared" si="98"/>
        <v>R165</v>
      </c>
      <c r="DG71" t="b">
        <f t="shared" si="113"/>
        <v>0</v>
      </c>
      <c r="DH71" t="str">
        <f t="shared" si="114"/>
        <v>R165</v>
      </c>
    </row>
    <row r="72" spans="2:112" ht="12" customHeight="1">
      <c r="B72" t="str">
        <f>TBIDry!H144</f>
        <v>G382</v>
      </c>
      <c r="C72" t="str">
        <f>TBIDry!I144</f>
        <v>R741</v>
      </c>
      <c r="D72" t="b">
        <f t="shared" si="61"/>
        <v>0</v>
      </c>
      <c r="E72" t="b">
        <f t="shared" si="62"/>
        <v>0</v>
      </c>
      <c r="G72" t="str">
        <f>TBIWet!H144</f>
        <v>G448</v>
      </c>
      <c r="H72" t="str">
        <f>TBIWet!I144</f>
        <v>R414</v>
      </c>
      <c r="I72" t="b">
        <f t="shared" si="63"/>
        <v>0</v>
      </c>
      <c r="J72" t="b">
        <f t="shared" si="64"/>
        <v>0</v>
      </c>
      <c r="L72" t="str">
        <f>'Both teabags AfterWet'!A70</f>
        <v>G442</v>
      </c>
      <c r="M72" t="str">
        <f>'Both teabags AfterWet'!A490</f>
        <v>R182</v>
      </c>
      <c r="N72" t="b">
        <f t="shared" si="65"/>
        <v>0</v>
      </c>
      <c r="O72" t="b">
        <f t="shared" si="115"/>
        <v>0</v>
      </c>
      <c r="Q72" s="388" t="b">
        <f t="shared" si="66"/>
        <v>0</v>
      </c>
      <c r="R72" s="388" t="b">
        <f t="shared" si="67"/>
        <v>0</v>
      </c>
      <c r="T72" t="str">
        <f>'Both teabags AfterDry'!A70</f>
        <v>G186</v>
      </c>
      <c r="U72" t="str">
        <f>'Both teabags AfterDry'!A405</f>
        <v>R276</v>
      </c>
      <c r="V72" t="b">
        <f t="shared" si="68"/>
        <v>0</v>
      </c>
      <c r="W72" t="b">
        <f t="shared" si="99"/>
        <v>0</v>
      </c>
      <c r="Y72" t="str">
        <f>'Green_rooibos initial weight'!A73</f>
        <v>G69</v>
      </c>
      <c r="Z72" t="str">
        <f>'Green_rooibos initial weight'!A977</f>
        <v>R69</v>
      </c>
      <c r="AA72" t="b">
        <f t="shared" si="69"/>
        <v>0</v>
      </c>
      <c r="AB72" t="b">
        <f t="shared" si="70"/>
        <v>0</v>
      </c>
      <c r="AE72" t="str">
        <f>'WetLitterbags placem_collection'!K71</f>
        <v>G448</v>
      </c>
      <c r="AF72" t="str">
        <f>'WetLitterbags placem_collection'!M71</f>
        <v>R414</v>
      </c>
      <c r="AG72" t="b">
        <f t="shared" si="71"/>
        <v>0</v>
      </c>
      <c r="AH72" t="b">
        <f t="shared" si="72"/>
        <v>0</v>
      </c>
      <c r="AJ72" t="b">
        <f t="shared" si="73"/>
        <v>0</v>
      </c>
      <c r="AK72" t="b">
        <f t="shared" si="74"/>
        <v>0</v>
      </c>
      <c r="AM72" t="str">
        <f>IF(ISBLANK('Dry_Litterbag Placem_Collection'!J71),"","G"&amp;""&amp;'Dry_Litterbag Placem_Collection'!J71)</f>
        <v>G382</v>
      </c>
      <c r="AN72" t="str">
        <f>IF(ISBLANK('Dry_Litterbag Placem_Collection'!K71),"","R"&amp;""&amp;'Dry_Litterbag Placem_Collection'!K71)</f>
        <v>R741</v>
      </c>
      <c r="AO72" t="b">
        <f t="shared" si="75"/>
        <v>0</v>
      </c>
      <c r="AP72" t="b">
        <f t="shared" si="76"/>
        <v>0</v>
      </c>
      <c r="AS72" t="str">
        <f>'Ashed teabags dry'!A70</f>
        <v>G186</v>
      </c>
      <c r="AT72" t="str">
        <f>'Ashed teabags dry'!A405</f>
        <v>R276</v>
      </c>
      <c r="AU72" t="b">
        <f t="shared" si="77"/>
        <v>0</v>
      </c>
      <c r="AV72" t="b">
        <f t="shared" si="100"/>
        <v>0</v>
      </c>
      <c r="AX72" s="388" t="b">
        <f t="shared" si="78"/>
        <v>0</v>
      </c>
      <c r="AY72" s="388" t="b">
        <f t="shared" si="79"/>
        <v>0</v>
      </c>
      <c r="BA72" t="str">
        <f>'Ashed teabags wet'!A70</f>
        <v>G442</v>
      </c>
      <c r="BB72" t="str">
        <f>'Ashed teabags wet'!A490</f>
        <v>R182</v>
      </c>
      <c r="BC72" t="b">
        <f t="shared" si="80"/>
        <v>0</v>
      </c>
      <c r="BD72" t="b">
        <f t="shared" si="60"/>
        <v>0</v>
      </c>
      <c r="BF72" t="str">
        <f t="shared" si="81"/>
        <v>G185</v>
      </c>
      <c r="BG72" t="str">
        <f t="shared" si="82"/>
        <v>G185</v>
      </c>
      <c r="BH72" t="str">
        <f t="shared" si="83"/>
        <v>G63</v>
      </c>
      <c r="BI72" t="str">
        <f t="shared" si="101"/>
        <v>G63</v>
      </c>
      <c r="BJ72" t="s">
        <v>1865</v>
      </c>
      <c r="BK72" t="s">
        <v>1865</v>
      </c>
      <c r="BL72" t="s">
        <v>1865</v>
      </c>
      <c r="BM72" t="b">
        <f t="shared" si="102"/>
        <v>1</v>
      </c>
      <c r="BN72" t="str">
        <f t="shared" si="84"/>
        <v>R275</v>
      </c>
      <c r="BO72" t="str">
        <f t="shared" si="85"/>
        <v>R275</v>
      </c>
      <c r="BP72" t="str">
        <f t="shared" si="86"/>
        <v>R815</v>
      </c>
      <c r="BQ72" t="str">
        <f t="shared" si="87"/>
        <v>R815</v>
      </c>
      <c r="BR72" t="s">
        <v>866</v>
      </c>
      <c r="BS72" t="s">
        <v>866</v>
      </c>
      <c r="BT72" t="s">
        <v>866</v>
      </c>
      <c r="BU72" t="b">
        <f t="shared" si="103"/>
        <v>1</v>
      </c>
      <c r="BZ72" t="str">
        <f t="shared" si="88"/>
        <v>G63</v>
      </c>
      <c r="CA72" t="b">
        <f t="shared" si="89"/>
        <v>0</v>
      </c>
      <c r="CB72" t="str">
        <f t="shared" si="104"/>
        <v>G63</v>
      </c>
      <c r="CC72" t="str">
        <f t="shared" si="90"/>
        <v>R815</v>
      </c>
      <c r="CD72" t="b">
        <f t="shared" si="105"/>
        <v>0</v>
      </c>
      <c r="CE72" t="str">
        <f t="shared" si="106"/>
        <v>R815</v>
      </c>
      <c r="CG72" t="str">
        <f t="shared" si="91"/>
        <v>G441</v>
      </c>
      <c r="CH72" t="str">
        <f t="shared" si="107"/>
        <v>G441</v>
      </c>
      <c r="CI72" t="str">
        <f t="shared" si="92"/>
        <v>G269</v>
      </c>
      <c r="CJ72" t="str">
        <f t="shared" si="93"/>
        <v>G269</v>
      </c>
      <c r="CK72" t="s">
        <v>1609</v>
      </c>
      <c r="CL72" t="s">
        <v>1609</v>
      </c>
      <c r="CM72" t="s">
        <v>1609</v>
      </c>
      <c r="CN72" t="b">
        <f t="shared" si="108"/>
        <v>1</v>
      </c>
      <c r="CO72" t="str">
        <f t="shared" si="94"/>
        <v>R181</v>
      </c>
      <c r="CP72" t="str">
        <f t="shared" si="109"/>
        <v>R181</v>
      </c>
      <c r="CQ72" t="str">
        <f t="shared" si="95"/>
        <v>R129</v>
      </c>
      <c r="CR72" t="str">
        <f t="shared" si="96"/>
        <v>R129</v>
      </c>
      <c r="CS72" t="s">
        <v>960</v>
      </c>
      <c r="CT72" t="s">
        <v>960</v>
      </c>
      <c r="CU72" t="s">
        <v>960</v>
      </c>
      <c r="CV72" t="b">
        <f t="shared" si="110"/>
        <v>1</v>
      </c>
      <c r="DC72" t="str">
        <f t="shared" si="97"/>
        <v>G269</v>
      </c>
      <c r="DD72" t="b">
        <f t="shared" si="111"/>
        <v>0</v>
      </c>
      <c r="DE72" t="str">
        <f t="shared" si="112"/>
        <v>G269</v>
      </c>
      <c r="DF72" t="str">
        <f t="shared" si="98"/>
        <v>R129</v>
      </c>
      <c r="DG72" t="b">
        <f t="shared" si="113"/>
        <v>0</v>
      </c>
      <c r="DH72" t="str">
        <f t="shared" si="114"/>
        <v>R129</v>
      </c>
    </row>
    <row r="73" spans="2:112" ht="12" customHeight="1">
      <c r="B73" t="str">
        <f>TBIDry!H145</f>
        <v>G278</v>
      </c>
      <c r="C73" t="str">
        <f>TBIDry!I145</f>
        <v>R294</v>
      </c>
      <c r="D73" t="b">
        <f t="shared" si="61"/>
        <v>0</v>
      </c>
      <c r="E73" t="b">
        <f t="shared" si="62"/>
        <v>0</v>
      </c>
      <c r="G73" t="str">
        <f>TBIWet!H145</f>
        <v>G358</v>
      </c>
      <c r="H73" t="str">
        <f>TBIWet!I145</f>
        <v>R151</v>
      </c>
      <c r="I73" t="b">
        <f t="shared" si="63"/>
        <v>0</v>
      </c>
      <c r="J73" t="b">
        <f t="shared" si="64"/>
        <v>0</v>
      </c>
      <c r="L73" t="str">
        <f>'Both teabags AfterWet'!A71</f>
        <v>G443</v>
      </c>
      <c r="M73" t="str">
        <f>'Both teabags AfterWet'!A491</f>
        <v>R183</v>
      </c>
      <c r="N73" t="b">
        <f t="shared" si="65"/>
        <v>0</v>
      </c>
      <c r="O73" t="b">
        <f t="shared" si="115"/>
        <v>0</v>
      </c>
      <c r="Q73" s="388" t="b">
        <f t="shared" si="66"/>
        <v>0</v>
      </c>
      <c r="R73" s="388" t="b">
        <f t="shared" si="67"/>
        <v>0</v>
      </c>
      <c r="T73" t="str">
        <f>'Both teabags AfterDry'!A71</f>
        <v>G187</v>
      </c>
      <c r="U73" t="str">
        <f>'Both teabags AfterDry'!A406</f>
        <v>R277</v>
      </c>
      <c r="V73" t="b">
        <f t="shared" si="68"/>
        <v>0</v>
      </c>
      <c r="W73" t="b">
        <f t="shared" si="99"/>
        <v>0</v>
      </c>
      <c r="Y73" t="str">
        <f>'Green_rooibos initial weight'!A74</f>
        <v>G70</v>
      </c>
      <c r="Z73" t="str">
        <f>'Green_rooibos initial weight'!A978</f>
        <v>R70</v>
      </c>
      <c r="AA73" t="b">
        <f t="shared" si="69"/>
        <v>0</v>
      </c>
      <c r="AB73" t="b">
        <f t="shared" si="70"/>
        <v>0</v>
      </c>
      <c r="AE73" t="str">
        <f>'WetLitterbags placem_collection'!K72</f>
        <v>G358</v>
      </c>
      <c r="AF73" t="str">
        <f>'WetLitterbags placem_collection'!M72</f>
        <v>R151</v>
      </c>
      <c r="AG73" t="b">
        <f t="shared" si="71"/>
        <v>0</v>
      </c>
      <c r="AH73" t="b">
        <f t="shared" si="72"/>
        <v>0</v>
      </c>
      <c r="AJ73" t="b">
        <f t="shared" si="73"/>
        <v>0</v>
      </c>
      <c r="AK73" t="b">
        <f t="shared" si="74"/>
        <v>0</v>
      </c>
      <c r="AM73" t="str">
        <f>IF(ISBLANK('Dry_Litterbag Placem_Collection'!J72),"","G"&amp;""&amp;'Dry_Litterbag Placem_Collection'!J72)</f>
        <v>G278</v>
      </c>
      <c r="AN73" t="str">
        <f>IF(ISBLANK('Dry_Litterbag Placem_Collection'!K72),"","R"&amp;""&amp;'Dry_Litterbag Placem_Collection'!K72)</f>
        <v>R294</v>
      </c>
      <c r="AO73" t="b">
        <f t="shared" si="75"/>
        <v>0</v>
      </c>
      <c r="AP73" t="b">
        <f t="shared" si="76"/>
        <v>0</v>
      </c>
      <c r="AS73" t="str">
        <f>'Ashed teabags dry'!A71</f>
        <v>G187</v>
      </c>
      <c r="AT73" t="str">
        <f>'Ashed teabags dry'!A406</f>
        <v>R277</v>
      </c>
      <c r="AU73" t="b">
        <f t="shared" si="77"/>
        <v>0</v>
      </c>
      <c r="AV73" t="b">
        <f t="shared" si="100"/>
        <v>0</v>
      </c>
      <c r="AX73" s="388" t="b">
        <f t="shared" si="78"/>
        <v>0</v>
      </c>
      <c r="AY73" s="388" t="b">
        <f t="shared" si="79"/>
        <v>0</v>
      </c>
      <c r="BA73" t="str">
        <f>'Ashed teabags wet'!A71</f>
        <v>G443</v>
      </c>
      <c r="BB73" t="str">
        <f>'Ashed teabags wet'!A491</f>
        <v>R183</v>
      </c>
      <c r="BC73" t="b">
        <f t="shared" si="80"/>
        <v>0</v>
      </c>
      <c r="BD73" t="b">
        <f t="shared" si="60"/>
        <v>0</v>
      </c>
      <c r="BF73" t="str">
        <f t="shared" si="81"/>
        <v>G186</v>
      </c>
      <c r="BG73" t="str">
        <f t="shared" si="82"/>
        <v>G186</v>
      </c>
      <c r="BH73" t="str">
        <f t="shared" si="83"/>
        <v>G382</v>
      </c>
      <c r="BI73" t="str">
        <f t="shared" si="101"/>
        <v>G382</v>
      </c>
      <c r="BJ73" t="s">
        <v>1864</v>
      </c>
      <c r="BK73" t="s">
        <v>1864</v>
      </c>
      <c r="BL73" t="s">
        <v>1864</v>
      </c>
      <c r="BM73" t="b">
        <f t="shared" si="102"/>
        <v>1</v>
      </c>
      <c r="BN73" t="str">
        <f t="shared" si="84"/>
        <v>R276</v>
      </c>
      <c r="BO73" t="str">
        <f t="shared" si="85"/>
        <v>R276</v>
      </c>
      <c r="BP73" t="str">
        <f t="shared" si="86"/>
        <v>R741</v>
      </c>
      <c r="BQ73" t="str">
        <f t="shared" si="87"/>
        <v>R741</v>
      </c>
      <c r="BR73" t="s">
        <v>865</v>
      </c>
      <c r="BS73" t="s">
        <v>865</v>
      </c>
      <c r="BT73" t="s">
        <v>865</v>
      </c>
      <c r="BU73" t="b">
        <f t="shared" si="103"/>
        <v>1</v>
      </c>
      <c r="BZ73" t="str">
        <f t="shared" si="88"/>
        <v>G382</v>
      </c>
      <c r="CA73" t="b">
        <f t="shared" si="89"/>
        <v>0</v>
      </c>
      <c r="CB73" t="str">
        <f t="shared" si="104"/>
        <v>G382</v>
      </c>
      <c r="CC73" t="str">
        <f t="shared" si="90"/>
        <v>R741</v>
      </c>
      <c r="CD73" t="b">
        <f t="shared" si="105"/>
        <v>0</v>
      </c>
      <c r="CE73" t="str">
        <f t="shared" si="106"/>
        <v>R741</v>
      </c>
      <c r="CG73" t="str">
        <f t="shared" si="91"/>
        <v>G442</v>
      </c>
      <c r="CH73" t="str">
        <f t="shared" si="107"/>
        <v>G442</v>
      </c>
      <c r="CI73" t="str">
        <f t="shared" si="92"/>
        <v>G448</v>
      </c>
      <c r="CJ73" t="str">
        <f t="shared" si="93"/>
        <v/>
      </c>
      <c r="CK73" t="s">
        <v>1608</v>
      </c>
      <c r="CL73" t="s">
        <v>1608</v>
      </c>
      <c r="CM73" t="s">
        <v>1608</v>
      </c>
      <c r="CN73" t="b">
        <f t="shared" si="108"/>
        <v>1</v>
      </c>
      <c r="CO73" t="str">
        <f t="shared" si="94"/>
        <v>R182</v>
      </c>
      <c r="CP73" t="str">
        <f t="shared" si="109"/>
        <v>R182</v>
      </c>
      <c r="CQ73" t="str">
        <f t="shared" si="95"/>
        <v>R414</v>
      </c>
      <c r="CR73" t="str">
        <f t="shared" si="96"/>
        <v>R414</v>
      </c>
      <c r="CS73" t="s">
        <v>959</v>
      </c>
      <c r="CT73" t="s">
        <v>959</v>
      </c>
      <c r="CU73" t="s">
        <v>959</v>
      </c>
      <c r="CV73" t="b">
        <f t="shared" si="110"/>
        <v>1</v>
      </c>
      <c r="DC73" t="str">
        <f t="shared" si="97"/>
        <v>G448</v>
      </c>
      <c r="DD73" t="b">
        <f t="shared" si="111"/>
        <v>1</v>
      </c>
      <c r="DE73" t="str">
        <f t="shared" si="112"/>
        <v/>
      </c>
      <c r="DF73" t="str">
        <f t="shared" si="98"/>
        <v>R414</v>
      </c>
      <c r="DG73" t="b">
        <f t="shared" si="113"/>
        <v>0</v>
      </c>
      <c r="DH73" t="str">
        <f t="shared" si="114"/>
        <v>R414</v>
      </c>
    </row>
    <row r="74" spans="2:112" ht="12" customHeight="1">
      <c r="B74" t="str">
        <f>TBIDry!H146</f>
        <v>G138</v>
      </c>
      <c r="C74" t="str">
        <f>TBIDry!I146</f>
        <v>R761</v>
      </c>
      <c r="D74" t="b">
        <f t="shared" si="61"/>
        <v>0</v>
      </c>
      <c r="E74" t="b">
        <f t="shared" si="62"/>
        <v>0</v>
      </c>
      <c r="G74" t="str">
        <f>TBIWet!H146</f>
        <v>G511</v>
      </c>
      <c r="H74" t="str">
        <f>TBIWet!I146</f>
        <v>R95</v>
      </c>
      <c r="I74" t="b">
        <f t="shared" si="63"/>
        <v>0</v>
      </c>
      <c r="J74" t="b">
        <f t="shared" si="64"/>
        <v>0</v>
      </c>
      <c r="L74" t="str">
        <f>'Both teabags AfterWet'!A72</f>
        <v>G445</v>
      </c>
      <c r="M74" t="str">
        <f>'Both teabags AfterWet'!A492</f>
        <v>R185</v>
      </c>
      <c r="N74" t="b">
        <f t="shared" si="65"/>
        <v>0</v>
      </c>
      <c r="O74" t="b">
        <f t="shared" si="115"/>
        <v>0</v>
      </c>
      <c r="Q74" s="388" t="b">
        <f t="shared" si="66"/>
        <v>0</v>
      </c>
      <c r="R74" s="388" t="b">
        <f t="shared" si="67"/>
        <v>0</v>
      </c>
      <c r="T74" t="str">
        <f>'Both teabags AfterDry'!A72</f>
        <v>G188</v>
      </c>
      <c r="U74" t="str">
        <f>'Both teabags AfterDry'!A407</f>
        <v>R280</v>
      </c>
      <c r="V74" t="b">
        <f t="shared" si="68"/>
        <v>0</v>
      </c>
      <c r="W74" t="b">
        <f t="shared" si="99"/>
        <v>0</v>
      </c>
      <c r="Y74" t="str">
        <f>'Green_rooibos initial weight'!A75</f>
        <v>G71</v>
      </c>
      <c r="Z74" t="str">
        <f>'Green_rooibos initial weight'!A979</f>
        <v>R71</v>
      </c>
      <c r="AA74" t="b">
        <f t="shared" si="69"/>
        <v>0</v>
      </c>
      <c r="AB74" t="b">
        <f t="shared" si="70"/>
        <v>0</v>
      </c>
      <c r="AE74" t="str">
        <f>'WetLitterbags placem_collection'!K73</f>
        <v>G511</v>
      </c>
      <c r="AF74" t="str">
        <f>'WetLitterbags placem_collection'!M73</f>
        <v>R95</v>
      </c>
      <c r="AG74" t="b">
        <f t="shared" si="71"/>
        <v>0</v>
      </c>
      <c r="AH74" t="b">
        <f t="shared" si="72"/>
        <v>0</v>
      </c>
      <c r="AJ74" t="b">
        <f t="shared" si="73"/>
        <v>0</v>
      </c>
      <c r="AK74" t="b">
        <f t="shared" si="74"/>
        <v>0</v>
      </c>
      <c r="AM74" t="str">
        <f>IF(ISBLANK('Dry_Litterbag Placem_Collection'!J73),"","G"&amp;""&amp;'Dry_Litterbag Placem_Collection'!J73)</f>
        <v>G138</v>
      </c>
      <c r="AN74" t="str">
        <f>IF(ISBLANK('Dry_Litterbag Placem_Collection'!K73),"","R"&amp;""&amp;'Dry_Litterbag Placem_Collection'!K73)</f>
        <v>R761</v>
      </c>
      <c r="AO74" t="b">
        <f t="shared" si="75"/>
        <v>0</v>
      </c>
      <c r="AP74" t="b">
        <f t="shared" si="76"/>
        <v>0</v>
      </c>
      <c r="AS74" t="str">
        <f>'Ashed teabags dry'!A72</f>
        <v>G188</v>
      </c>
      <c r="AT74" t="str">
        <f>'Ashed teabags dry'!A407</f>
        <v>R280</v>
      </c>
      <c r="AU74" t="b">
        <f t="shared" si="77"/>
        <v>0</v>
      </c>
      <c r="AV74" t="b">
        <f t="shared" si="100"/>
        <v>0</v>
      </c>
      <c r="AX74" s="388" t="b">
        <f t="shared" si="78"/>
        <v>0</v>
      </c>
      <c r="AY74" s="388" t="b">
        <f t="shared" si="79"/>
        <v>0</v>
      </c>
      <c r="BA74" t="str">
        <f>'Ashed teabags wet'!A72</f>
        <v>G445</v>
      </c>
      <c r="BB74" t="str">
        <f>'Ashed teabags wet'!A492</f>
        <v>R185</v>
      </c>
      <c r="BC74" t="b">
        <f t="shared" si="80"/>
        <v>0</v>
      </c>
      <c r="BD74" t="b">
        <f t="shared" si="60"/>
        <v>0</v>
      </c>
      <c r="BF74" t="str">
        <f t="shared" si="81"/>
        <v>G187</v>
      </c>
      <c r="BG74" t="str">
        <f t="shared" si="82"/>
        <v>G187</v>
      </c>
      <c r="BH74" t="str">
        <f t="shared" si="83"/>
        <v>G278</v>
      </c>
      <c r="BI74" t="str">
        <f t="shared" si="101"/>
        <v>G278</v>
      </c>
      <c r="BJ74" t="s">
        <v>1863</v>
      </c>
      <c r="BK74" t="s">
        <v>1863</v>
      </c>
      <c r="BL74" t="s">
        <v>1863</v>
      </c>
      <c r="BM74" t="b">
        <f t="shared" si="102"/>
        <v>1</v>
      </c>
      <c r="BN74" t="str">
        <f t="shared" si="84"/>
        <v>R277</v>
      </c>
      <c r="BO74" t="str">
        <f t="shared" si="85"/>
        <v>R277</v>
      </c>
      <c r="BP74" t="str">
        <f t="shared" si="86"/>
        <v>R294</v>
      </c>
      <c r="BQ74" t="str">
        <f t="shared" si="87"/>
        <v>R294</v>
      </c>
      <c r="BR74" t="s">
        <v>864</v>
      </c>
      <c r="BS74" t="s">
        <v>864</v>
      </c>
      <c r="BT74" t="s">
        <v>864</v>
      </c>
      <c r="BU74" t="b">
        <f t="shared" si="103"/>
        <v>1</v>
      </c>
      <c r="BZ74" t="str">
        <f t="shared" si="88"/>
        <v>G278</v>
      </c>
      <c r="CA74" t="b">
        <f t="shared" si="89"/>
        <v>0</v>
      </c>
      <c r="CB74" t="str">
        <f t="shared" si="104"/>
        <v>G278</v>
      </c>
      <c r="CC74" t="str">
        <f t="shared" si="90"/>
        <v>R294</v>
      </c>
      <c r="CD74" t="b">
        <f t="shared" si="105"/>
        <v>0</v>
      </c>
      <c r="CE74" t="str">
        <f t="shared" si="106"/>
        <v>R294</v>
      </c>
      <c r="CG74" t="str">
        <f t="shared" si="91"/>
        <v>G443</v>
      </c>
      <c r="CH74" t="str">
        <f t="shared" si="107"/>
        <v>G443</v>
      </c>
      <c r="CI74" t="str">
        <f t="shared" si="92"/>
        <v>G358</v>
      </c>
      <c r="CJ74" t="str">
        <f t="shared" si="93"/>
        <v>G358</v>
      </c>
      <c r="CK74" t="s">
        <v>1607</v>
      </c>
      <c r="CL74" t="s">
        <v>1607</v>
      </c>
      <c r="CM74" t="s">
        <v>1607</v>
      </c>
      <c r="CN74" t="b">
        <f t="shared" si="108"/>
        <v>1</v>
      </c>
      <c r="CO74" t="str">
        <f t="shared" si="94"/>
        <v>R183</v>
      </c>
      <c r="CP74" t="str">
        <f t="shared" si="109"/>
        <v>R183</v>
      </c>
      <c r="CQ74" t="str">
        <f t="shared" si="95"/>
        <v>R151</v>
      </c>
      <c r="CR74" t="str">
        <f t="shared" si="96"/>
        <v>R151</v>
      </c>
      <c r="CS74" t="s">
        <v>958</v>
      </c>
      <c r="CT74" t="s">
        <v>958</v>
      </c>
      <c r="CU74" t="s">
        <v>958</v>
      </c>
      <c r="CV74" t="b">
        <f t="shared" si="110"/>
        <v>1</v>
      </c>
      <c r="DC74" t="str">
        <f t="shared" si="97"/>
        <v>G358</v>
      </c>
      <c r="DD74" t="b">
        <f t="shared" si="111"/>
        <v>0</v>
      </c>
      <c r="DE74" t="str">
        <f t="shared" si="112"/>
        <v>G358</v>
      </c>
      <c r="DF74" t="str">
        <f t="shared" si="98"/>
        <v>R151</v>
      </c>
      <c r="DG74" t="b">
        <f t="shared" si="113"/>
        <v>0</v>
      </c>
      <c r="DH74" t="str">
        <f t="shared" si="114"/>
        <v>R151</v>
      </c>
    </row>
    <row r="75" spans="2:112" ht="12" customHeight="1">
      <c r="B75" t="str">
        <f>TBIDry!H147</f>
        <v>G431</v>
      </c>
      <c r="C75" t="str">
        <f>TBIDry!I147</f>
        <v>R780</v>
      </c>
      <c r="D75" t="b">
        <f t="shared" si="61"/>
        <v>0</v>
      </c>
      <c r="E75" t="b">
        <f t="shared" si="62"/>
        <v>0</v>
      </c>
      <c r="G75" t="str">
        <f>TBIWet!H147</f>
        <v>G383</v>
      </c>
      <c r="H75" t="str">
        <f>TBIWet!I147</f>
        <v>R546</v>
      </c>
      <c r="I75" t="b">
        <f t="shared" si="63"/>
        <v>0</v>
      </c>
      <c r="J75" t="b">
        <f t="shared" si="64"/>
        <v>0</v>
      </c>
      <c r="L75" t="str">
        <f>'Both teabags AfterWet'!A73</f>
        <v>G446</v>
      </c>
      <c r="M75" t="str">
        <f>'Both teabags AfterWet'!A493</f>
        <v>R186</v>
      </c>
      <c r="N75" t="b">
        <f t="shared" si="65"/>
        <v>0</v>
      </c>
      <c r="O75" t="b">
        <f t="shared" si="115"/>
        <v>0</v>
      </c>
      <c r="Q75" s="388" t="b">
        <f t="shared" si="66"/>
        <v>0</v>
      </c>
      <c r="R75" s="388" t="b">
        <f t="shared" si="67"/>
        <v>0</v>
      </c>
      <c r="T75" t="str">
        <f>'Both teabags AfterDry'!A73</f>
        <v>G189</v>
      </c>
      <c r="U75" t="str">
        <f>'Both teabags AfterDry'!A408</f>
        <v>R281</v>
      </c>
      <c r="V75" t="b">
        <f t="shared" si="68"/>
        <v>0</v>
      </c>
      <c r="W75" t="b">
        <f t="shared" si="99"/>
        <v>0</v>
      </c>
      <c r="Y75" t="str">
        <f>'Green_rooibos initial weight'!A76</f>
        <v>G72</v>
      </c>
      <c r="Z75" t="str">
        <f>'Green_rooibos initial weight'!A980</f>
        <v>R72</v>
      </c>
      <c r="AA75" t="b">
        <f t="shared" si="69"/>
        <v>0</v>
      </c>
      <c r="AB75" t="b">
        <f t="shared" si="70"/>
        <v>0</v>
      </c>
      <c r="AE75" t="str">
        <f>'WetLitterbags placem_collection'!K74</f>
        <v>G383</v>
      </c>
      <c r="AF75" t="str">
        <f>'WetLitterbags placem_collection'!M74</f>
        <v>R546</v>
      </c>
      <c r="AG75" t="b">
        <f t="shared" si="71"/>
        <v>0</v>
      </c>
      <c r="AH75" t="b">
        <f t="shared" si="72"/>
        <v>0</v>
      </c>
      <c r="AJ75" t="b">
        <f t="shared" si="73"/>
        <v>0</v>
      </c>
      <c r="AK75" t="b">
        <f t="shared" si="74"/>
        <v>0</v>
      </c>
      <c r="AM75" t="str">
        <f>IF(ISBLANK('Dry_Litterbag Placem_Collection'!J74),"","G"&amp;""&amp;'Dry_Litterbag Placem_Collection'!J74)</f>
        <v>G431</v>
      </c>
      <c r="AN75" t="str">
        <f>IF(ISBLANK('Dry_Litterbag Placem_Collection'!K74),"","R"&amp;""&amp;'Dry_Litterbag Placem_Collection'!K74)</f>
        <v>R780</v>
      </c>
      <c r="AO75" t="b">
        <f t="shared" si="75"/>
        <v>0</v>
      </c>
      <c r="AP75" t="b">
        <f t="shared" si="76"/>
        <v>0</v>
      </c>
      <c r="AS75" t="str">
        <f>'Ashed teabags dry'!A73</f>
        <v>G189</v>
      </c>
      <c r="AT75" t="str">
        <f>'Ashed teabags dry'!A408</f>
        <v>R281</v>
      </c>
      <c r="AU75" t="b">
        <f t="shared" si="77"/>
        <v>0</v>
      </c>
      <c r="AV75" t="b">
        <f t="shared" si="100"/>
        <v>0</v>
      </c>
      <c r="AX75" s="388" t="b">
        <f t="shared" si="78"/>
        <v>0</v>
      </c>
      <c r="AY75" s="388" t="b">
        <f t="shared" si="79"/>
        <v>0</v>
      </c>
      <c r="BA75" t="str">
        <f>'Ashed teabags wet'!A73</f>
        <v>G446</v>
      </c>
      <c r="BB75" t="str">
        <f>'Ashed teabags wet'!A493</f>
        <v>R186</v>
      </c>
      <c r="BC75" t="b">
        <f t="shared" si="80"/>
        <v>0</v>
      </c>
      <c r="BD75" t="b">
        <f t="shared" si="60"/>
        <v>0</v>
      </c>
      <c r="BF75" t="str">
        <f t="shared" si="81"/>
        <v>G188</v>
      </c>
      <c r="BG75" t="str">
        <f t="shared" si="82"/>
        <v>G188</v>
      </c>
      <c r="BH75" t="str">
        <f t="shared" si="83"/>
        <v>G138</v>
      </c>
      <c r="BI75" t="str">
        <f t="shared" si="101"/>
        <v>G138</v>
      </c>
      <c r="BJ75" t="s">
        <v>1862</v>
      </c>
      <c r="BK75" t="s">
        <v>1862</v>
      </c>
      <c r="BL75" t="s">
        <v>1862</v>
      </c>
      <c r="BM75" t="b">
        <f t="shared" si="102"/>
        <v>1</v>
      </c>
      <c r="BN75" t="str">
        <f t="shared" si="84"/>
        <v>R280</v>
      </c>
      <c r="BO75" t="str">
        <f t="shared" si="85"/>
        <v>R280</v>
      </c>
      <c r="BP75" t="str">
        <f t="shared" si="86"/>
        <v>R761</v>
      </c>
      <c r="BQ75" t="str">
        <f t="shared" si="87"/>
        <v>R761</v>
      </c>
      <c r="BR75" t="s">
        <v>861</v>
      </c>
      <c r="BS75" t="s">
        <v>861</v>
      </c>
      <c r="BT75" t="s">
        <v>861</v>
      </c>
      <c r="BU75" t="b">
        <f t="shared" si="103"/>
        <v>1</v>
      </c>
      <c r="BZ75" t="str">
        <f t="shared" si="88"/>
        <v>G138</v>
      </c>
      <c r="CA75" t="b">
        <f t="shared" si="89"/>
        <v>0</v>
      </c>
      <c r="CB75" t="str">
        <f t="shared" si="104"/>
        <v>G138</v>
      </c>
      <c r="CC75" t="str">
        <f t="shared" si="90"/>
        <v>R761</v>
      </c>
      <c r="CD75" t="b">
        <f t="shared" si="105"/>
        <v>0</v>
      </c>
      <c r="CE75" t="str">
        <f t="shared" si="106"/>
        <v>R761</v>
      </c>
      <c r="CG75" t="str">
        <f t="shared" si="91"/>
        <v>G445</v>
      </c>
      <c r="CH75" t="str">
        <f t="shared" si="107"/>
        <v>G445</v>
      </c>
      <c r="CI75" t="str">
        <f t="shared" si="92"/>
        <v>G511</v>
      </c>
      <c r="CJ75" t="str">
        <f t="shared" si="93"/>
        <v>G511</v>
      </c>
      <c r="CK75" t="s">
        <v>1605</v>
      </c>
      <c r="CL75" t="s">
        <v>1605</v>
      </c>
      <c r="CM75" t="s">
        <v>1605</v>
      </c>
      <c r="CN75" t="b">
        <f t="shared" si="108"/>
        <v>1</v>
      </c>
      <c r="CO75" t="str">
        <f t="shared" si="94"/>
        <v>R185</v>
      </c>
      <c r="CP75" t="str">
        <f t="shared" si="109"/>
        <v>R185</v>
      </c>
      <c r="CQ75" t="str">
        <f t="shared" si="95"/>
        <v>R95</v>
      </c>
      <c r="CR75" t="str">
        <f t="shared" si="96"/>
        <v>R95</v>
      </c>
      <c r="CS75" t="s">
        <v>956</v>
      </c>
      <c r="CT75" t="s">
        <v>956</v>
      </c>
      <c r="CU75" t="s">
        <v>956</v>
      </c>
      <c r="CV75" t="b">
        <f t="shared" si="110"/>
        <v>1</v>
      </c>
      <c r="DC75" t="str">
        <f t="shared" si="97"/>
        <v>G511</v>
      </c>
      <c r="DD75" t="b">
        <f t="shared" si="111"/>
        <v>0</v>
      </c>
      <c r="DE75" t="str">
        <f t="shared" si="112"/>
        <v>G511</v>
      </c>
      <c r="DF75" t="str">
        <f t="shared" si="98"/>
        <v>R95</v>
      </c>
      <c r="DG75" t="b">
        <f t="shared" si="113"/>
        <v>0</v>
      </c>
      <c r="DH75" t="str">
        <f t="shared" si="114"/>
        <v>R95</v>
      </c>
    </row>
    <row r="76" spans="2:112" ht="12" customHeight="1">
      <c r="B76" t="str">
        <f>TBIDry!H148</f>
        <v>G321</v>
      </c>
      <c r="C76" t="str">
        <f>TBIDry!I148</f>
        <v>R730</v>
      </c>
      <c r="D76" t="b">
        <f t="shared" si="61"/>
        <v>0</v>
      </c>
      <c r="E76" t="b">
        <f t="shared" si="62"/>
        <v>0</v>
      </c>
      <c r="G76" t="str">
        <f>TBIWet!H148</f>
        <v>G549</v>
      </c>
      <c r="H76" t="str">
        <f>TBIWet!I148</f>
        <v>R438</v>
      </c>
      <c r="I76" t="b">
        <f t="shared" si="63"/>
        <v>0</v>
      </c>
      <c r="J76" t="b">
        <f t="shared" si="64"/>
        <v>0</v>
      </c>
      <c r="L76" t="str">
        <f>'Both teabags AfterWet'!A74</f>
        <v>G447</v>
      </c>
      <c r="M76" t="str">
        <f>'Both teabags AfterWet'!A494</f>
        <v>R187</v>
      </c>
      <c r="N76" t="b">
        <f t="shared" si="65"/>
        <v>0</v>
      </c>
      <c r="O76" t="b">
        <f t="shared" si="115"/>
        <v>0</v>
      </c>
      <c r="Q76" s="388" t="b">
        <f t="shared" si="66"/>
        <v>0</v>
      </c>
      <c r="R76" s="388" t="b">
        <f t="shared" si="67"/>
        <v>0</v>
      </c>
      <c r="T76" t="str">
        <f>'Both teabags AfterDry'!A74</f>
        <v>G19</v>
      </c>
      <c r="U76" t="str">
        <f>'Both teabags AfterDry'!A409</f>
        <v>R283</v>
      </c>
      <c r="V76" t="b">
        <f t="shared" si="68"/>
        <v>0</v>
      </c>
      <c r="W76" t="b">
        <f t="shared" si="99"/>
        <v>0</v>
      </c>
      <c r="Y76" t="str">
        <f>'Green_rooibos initial weight'!A77</f>
        <v>G73</v>
      </c>
      <c r="Z76" t="str">
        <f>'Green_rooibos initial weight'!A981</f>
        <v>R73</v>
      </c>
      <c r="AA76" t="b">
        <f t="shared" si="69"/>
        <v>0</v>
      </c>
      <c r="AB76" t="b">
        <f t="shared" si="70"/>
        <v>0</v>
      </c>
      <c r="AE76" t="str">
        <f>'WetLitterbags placem_collection'!K75</f>
        <v>G549</v>
      </c>
      <c r="AF76" t="str">
        <f>'WetLitterbags placem_collection'!M75</f>
        <v>R438</v>
      </c>
      <c r="AG76" t="b">
        <f t="shared" si="71"/>
        <v>0</v>
      </c>
      <c r="AH76" t="b">
        <f t="shared" si="72"/>
        <v>0</v>
      </c>
      <c r="AJ76" t="b">
        <f t="shared" si="73"/>
        <v>0</v>
      </c>
      <c r="AK76" t="b">
        <f t="shared" si="74"/>
        <v>0</v>
      </c>
      <c r="AM76" t="str">
        <f>IF(ISBLANK('Dry_Litterbag Placem_Collection'!J75),"","G"&amp;""&amp;'Dry_Litterbag Placem_Collection'!J75)</f>
        <v>G321</v>
      </c>
      <c r="AN76" t="str">
        <f>IF(ISBLANK('Dry_Litterbag Placem_Collection'!K75),"","R"&amp;""&amp;'Dry_Litterbag Placem_Collection'!K75)</f>
        <v>R730</v>
      </c>
      <c r="AO76" t="b">
        <f t="shared" si="75"/>
        <v>0</v>
      </c>
      <c r="AP76" t="b">
        <f t="shared" si="76"/>
        <v>0</v>
      </c>
      <c r="AS76" t="str">
        <f>'Ashed teabags dry'!A74</f>
        <v>G19</v>
      </c>
      <c r="AT76" t="str">
        <f>'Ashed teabags dry'!A409</f>
        <v>R283</v>
      </c>
      <c r="AU76" t="b">
        <f t="shared" si="77"/>
        <v>0</v>
      </c>
      <c r="AV76" t="b">
        <f t="shared" si="100"/>
        <v>0</v>
      </c>
      <c r="AX76" s="388" t="b">
        <f t="shared" si="78"/>
        <v>0</v>
      </c>
      <c r="AY76" s="388" t="b">
        <f t="shared" si="79"/>
        <v>0</v>
      </c>
      <c r="BA76" t="str">
        <f>'Ashed teabags wet'!A74</f>
        <v>G447</v>
      </c>
      <c r="BB76" t="str">
        <f>'Ashed teabags wet'!A494</f>
        <v>R187</v>
      </c>
      <c r="BC76" t="b">
        <f t="shared" si="80"/>
        <v>0</v>
      </c>
      <c r="BD76" t="b">
        <f t="shared" si="60"/>
        <v>0</v>
      </c>
      <c r="BF76" t="str">
        <f t="shared" si="81"/>
        <v>G189</v>
      </c>
      <c r="BG76" t="str">
        <f t="shared" si="82"/>
        <v>G189</v>
      </c>
      <c r="BH76" t="str">
        <f t="shared" si="83"/>
        <v>G431</v>
      </c>
      <c r="BI76" t="str">
        <f t="shared" si="101"/>
        <v>G431</v>
      </c>
      <c r="BJ76" t="s">
        <v>1861</v>
      </c>
      <c r="BK76" t="s">
        <v>1861</v>
      </c>
      <c r="BL76" t="s">
        <v>1861</v>
      </c>
      <c r="BM76" t="b">
        <f t="shared" si="102"/>
        <v>1</v>
      </c>
      <c r="BN76" t="str">
        <f t="shared" si="84"/>
        <v>R281</v>
      </c>
      <c r="BO76" t="str">
        <f t="shared" si="85"/>
        <v>R281</v>
      </c>
      <c r="BP76" t="str">
        <f t="shared" si="86"/>
        <v>R780</v>
      </c>
      <c r="BQ76" t="str">
        <f t="shared" si="87"/>
        <v>R780</v>
      </c>
      <c r="BR76" t="s">
        <v>860</v>
      </c>
      <c r="BS76" t="s">
        <v>860</v>
      </c>
      <c r="BT76" t="s">
        <v>860</v>
      </c>
      <c r="BU76" t="b">
        <f t="shared" si="103"/>
        <v>1</v>
      </c>
      <c r="BZ76" t="str">
        <f t="shared" si="88"/>
        <v>G431</v>
      </c>
      <c r="CA76" t="b">
        <f t="shared" si="89"/>
        <v>0</v>
      </c>
      <c r="CB76" t="str">
        <f t="shared" si="104"/>
        <v>G431</v>
      </c>
      <c r="CC76" t="str">
        <f t="shared" si="90"/>
        <v>R780</v>
      </c>
      <c r="CD76" t="b">
        <f t="shared" si="105"/>
        <v>0</v>
      </c>
      <c r="CE76" t="str">
        <f t="shared" si="106"/>
        <v>R780</v>
      </c>
      <c r="CG76" t="str">
        <f t="shared" si="91"/>
        <v>G446</v>
      </c>
      <c r="CH76" t="str">
        <f t="shared" si="107"/>
        <v>G446</v>
      </c>
      <c r="CI76" t="str">
        <f t="shared" si="92"/>
        <v>G383</v>
      </c>
      <c r="CJ76" t="str">
        <f t="shared" si="93"/>
        <v>G383</v>
      </c>
      <c r="CK76" t="s">
        <v>1604</v>
      </c>
      <c r="CL76" t="s">
        <v>1604</v>
      </c>
      <c r="CM76" t="s">
        <v>1604</v>
      </c>
      <c r="CN76" t="b">
        <f t="shared" si="108"/>
        <v>1</v>
      </c>
      <c r="CO76" t="str">
        <f t="shared" si="94"/>
        <v>R186</v>
      </c>
      <c r="CP76" t="str">
        <f t="shared" si="109"/>
        <v>R186</v>
      </c>
      <c r="CQ76" t="str">
        <f t="shared" si="95"/>
        <v>R546</v>
      </c>
      <c r="CR76" t="str">
        <f t="shared" si="96"/>
        <v>R546</v>
      </c>
      <c r="CS76" t="s">
        <v>955</v>
      </c>
      <c r="CT76" t="s">
        <v>955</v>
      </c>
      <c r="CU76" t="s">
        <v>955</v>
      </c>
      <c r="CV76" t="b">
        <f t="shared" si="110"/>
        <v>1</v>
      </c>
      <c r="DC76" t="str">
        <f t="shared" si="97"/>
        <v>G383</v>
      </c>
      <c r="DD76" t="b">
        <f t="shared" si="111"/>
        <v>0</v>
      </c>
      <c r="DE76" t="str">
        <f t="shared" si="112"/>
        <v>G383</v>
      </c>
      <c r="DF76" t="str">
        <f t="shared" si="98"/>
        <v>R546</v>
      </c>
      <c r="DG76" t="b">
        <f t="shared" si="113"/>
        <v>0</v>
      </c>
      <c r="DH76" t="str">
        <f t="shared" si="114"/>
        <v>R546</v>
      </c>
    </row>
    <row r="77" spans="2:112" ht="12" customHeight="1">
      <c r="B77" t="str">
        <f>TBIDry!H149</f>
        <v>G329</v>
      </c>
      <c r="C77" t="str">
        <f>TBIDry!I149</f>
        <v>R825</v>
      </c>
      <c r="D77" t="b">
        <f t="shared" si="61"/>
        <v>0</v>
      </c>
      <c r="E77" t="b">
        <f t="shared" si="62"/>
        <v>0</v>
      </c>
      <c r="G77" t="str">
        <f>TBIWet!H149</f>
        <v>G605</v>
      </c>
      <c r="H77" t="str">
        <f>TBIWet!I149</f>
        <v>R122</v>
      </c>
      <c r="I77" t="b">
        <f t="shared" si="63"/>
        <v>0</v>
      </c>
      <c r="J77" t="b">
        <f t="shared" si="64"/>
        <v>0</v>
      </c>
      <c r="L77" t="str">
        <f>'Both teabags AfterWet'!A75</f>
        <v>G449</v>
      </c>
      <c r="M77" t="str">
        <f>'Both teabags AfterWet'!A495</f>
        <v>R189</v>
      </c>
      <c r="N77" t="b">
        <f t="shared" si="65"/>
        <v>0</v>
      </c>
      <c r="O77" t="b">
        <f t="shared" si="115"/>
        <v>0</v>
      </c>
      <c r="Q77" s="388" t="b">
        <f t="shared" si="66"/>
        <v>0</v>
      </c>
      <c r="R77" s="388" t="b">
        <f t="shared" si="67"/>
        <v>0</v>
      </c>
      <c r="T77" t="str">
        <f>'Both teabags AfterDry'!A75</f>
        <v>G190</v>
      </c>
      <c r="U77" t="str">
        <f>'Both teabags AfterDry'!A410</f>
        <v>R284</v>
      </c>
      <c r="V77" t="b">
        <f t="shared" si="68"/>
        <v>0</v>
      </c>
      <c r="W77" t="b">
        <f t="shared" si="99"/>
        <v>0</v>
      </c>
      <c r="Y77" t="str">
        <f>'Green_rooibos initial weight'!A78</f>
        <v>G74</v>
      </c>
      <c r="Z77" t="str">
        <f>'Green_rooibos initial weight'!A982</f>
        <v>R74</v>
      </c>
      <c r="AA77" t="b">
        <f t="shared" si="69"/>
        <v>0</v>
      </c>
      <c r="AB77" t="b">
        <f t="shared" si="70"/>
        <v>0</v>
      </c>
      <c r="AE77" t="str">
        <f>'WetLitterbags placem_collection'!K76</f>
        <v>G605</v>
      </c>
      <c r="AF77" t="str">
        <f>'WetLitterbags placem_collection'!M76</f>
        <v>R122</v>
      </c>
      <c r="AG77" t="b">
        <f t="shared" si="71"/>
        <v>0</v>
      </c>
      <c r="AH77" t="b">
        <f t="shared" si="72"/>
        <v>0</v>
      </c>
      <c r="AJ77" t="b">
        <f t="shared" si="73"/>
        <v>0</v>
      </c>
      <c r="AK77" t="b">
        <f t="shared" si="74"/>
        <v>0</v>
      </c>
      <c r="AM77" t="str">
        <f>IF(ISBLANK('Dry_Litterbag Placem_Collection'!J76),"","G"&amp;""&amp;'Dry_Litterbag Placem_Collection'!J76)</f>
        <v>G329</v>
      </c>
      <c r="AN77" t="str">
        <f>IF(ISBLANK('Dry_Litterbag Placem_Collection'!K76),"","R"&amp;""&amp;'Dry_Litterbag Placem_Collection'!K76)</f>
        <v>R825</v>
      </c>
      <c r="AO77" t="b">
        <f t="shared" si="75"/>
        <v>0</v>
      </c>
      <c r="AP77" t="b">
        <f t="shared" si="76"/>
        <v>0</v>
      </c>
      <c r="AS77" t="str">
        <f>'Ashed teabags dry'!A75</f>
        <v>G190</v>
      </c>
      <c r="AT77" t="str">
        <f>'Ashed teabags dry'!A410</f>
        <v>R284</v>
      </c>
      <c r="AU77" t="b">
        <f t="shared" si="77"/>
        <v>0</v>
      </c>
      <c r="AV77" t="b">
        <f t="shared" si="100"/>
        <v>0</v>
      </c>
      <c r="AX77" s="388" t="b">
        <f t="shared" si="78"/>
        <v>0</v>
      </c>
      <c r="AY77" s="388" t="b">
        <f t="shared" si="79"/>
        <v>0</v>
      </c>
      <c r="BA77" t="str">
        <f>'Ashed teabags wet'!A75</f>
        <v>G449</v>
      </c>
      <c r="BB77" t="str">
        <f>'Ashed teabags wet'!A495</f>
        <v>R189</v>
      </c>
      <c r="BC77" t="b">
        <f t="shared" si="80"/>
        <v>0</v>
      </c>
      <c r="BD77" t="b">
        <f t="shared" si="60"/>
        <v>0</v>
      </c>
      <c r="BF77" t="str">
        <f t="shared" si="81"/>
        <v>G19</v>
      </c>
      <c r="BG77" t="str">
        <f t="shared" si="82"/>
        <v>G19</v>
      </c>
      <c r="BH77" t="str">
        <f t="shared" si="83"/>
        <v>G321</v>
      </c>
      <c r="BI77" t="str">
        <f t="shared" si="101"/>
        <v/>
      </c>
      <c r="BJ77" t="s">
        <v>2031</v>
      </c>
      <c r="BK77" t="s">
        <v>2031</v>
      </c>
      <c r="BL77" t="s">
        <v>2031</v>
      </c>
      <c r="BM77" t="b">
        <f t="shared" si="102"/>
        <v>1</v>
      </c>
      <c r="BN77" t="str">
        <f t="shared" si="84"/>
        <v>R283</v>
      </c>
      <c r="BO77" t="str">
        <f t="shared" si="85"/>
        <v>R283</v>
      </c>
      <c r="BP77" t="str">
        <f t="shared" si="86"/>
        <v>R730</v>
      </c>
      <c r="BQ77" t="str">
        <f t="shared" si="87"/>
        <v/>
      </c>
      <c r="BR77" t="s">
        <v>858</v>
      </c>
      <c r="BS77" t="s">
        <v>858</v>
      </c>
      <c r="BT77" t="s">
        <v>858</v>
      </c>
      <c r="BU77" t="b">
        <f t="shared" si="103"/>
        <v>1</v>
      </c>
      <c r="BZ77" t="str">
        <f t="shared" si="88"/>
        <v>G321</v>
      </c>
      <c r="CA77" t="b">
        <f t="shared" si="89"/>
        <v>1</v>
      </c>
      <c r="CB77" t="str">
        <f t="shared" si="104"/>
        <v/>
      </c>
      <c r="CC77" t="str">
        <f t="shared" si="90"/>
        <v>R730</v>
      </c>
      <c r="CD77" t="b">
        <f t="shared" si="105"/>
        <v>1</v>
      </c>
      <c r="CE77" t="str">
        <f t="shared" si="106"/>
        <v/>
      </c>
      <c r="CG77" t="str">
        <f t="shared" si="91"/>
        <v>G447</v>
      </c>
      <c r="CH77" t="str">
        <f t="shared" si="107"/>
        <v>G447</v>
      </c>
      <c r="CI77" t="str">
        <f t="shared" si="92"/>
        <v>G549</v>
      </c>
      <c r="CJ77" t="str">
        <f t="shared" si="93"/>
        <v>G549</v>
      </c>
      <c r="CK77" t="s">
        <v>1603</v>
      </c>
      <c r="CL77" t="s">
        <v>1603</v>
      </c>
      <c r="CM77" t="s">
        <v>1603</v>
      </c>
      <c r="CN77" t="b">
        <f t="shared" si="108"/>
        <v>1</v>
      </c>
      <c r="CO77" t="str">
        <f t="shared" si="94"/>
        <v>R187</v>
      </c>
      <c r="CP77" t="str">
        <f t="shared" si="109"/>
        <v>R187</v>
      </c>
      <c r="CQ77" t="str">
        <f t="shared" si="95"/>
        <v>R438</v>
      </c>
      <c r="CR77" t="str">
        <f t="shared" si="96"/>
        <v>R438</v>
      </c>
      <c r="CS77" t="s">
        <v>954</v>
      </c>
      <c r="CT77" t="s">
        <v>954</v>
      </c>
      <c r="CU77" t="s">
        <v>954</v>
      </c>
      <c r="CV77" t="b">
        <f t="shared" si="110"/>
        <v>1</v>
      </c>
      <c r="DC77" t="str">
        <f t="shared" si="97"/>
        <v>G549</v>
      </c>
      <c r="DD77" t="b">
        <f t="shared" si="111"/>
        <v>0</v>
      </c>
      <c r="DE77" t="str">
        <f t="shared" si="112"/>
        <v>G549</v>
      </c>
      <c r="DF77" t="str">
        <f t="shared" si="98"/>
        <v>R438</v>
      </c>
      <c r="DG77" t="b">
        <f t="shared" si="113"/>
        <v>0</v>
      </c>
      <c r="DH77" t="str">
        <f t="shared" si="114"/>
        <v>R438</v>
      </c>
    </row>
    <row r="78" spans="2:112" ht="12" customHeight="1">
      <c r="B78" t="str">
        <f>TBIDry!H150</f>
        <v>G215</v>
      </c>
      <c r="C78" t="str">
        <f>TBIDry!I150</f>
        <v>R840</v>
      </c>
      <c r="D78" t="b">
        <f t="shared" si="61"/>
        <v>0</v>
      </c>
      <c r="E78" t="b">
        <f t="shared" si="62"/>
        <v>0</v>
      </c>
      <c r="G78" t="str">
        <f>TBIWet!H150</f>
        <v>G408</v>
      </c>
      <c r="H78" t="str">
        <f>TBIWet!I150</f>
        <v>R404</v>
      </c>
      <c r="I78" t="b">
        <f t="shared" si="63"/>
        <v>0</v>
      </c>
      <c r="J78" t="b">
        <f t="shared" si="64"/>
        <v>0</v>
      </c>
      <c r="L78" t="str">
        <f>'Both teabags AfterWet'!A76</f>
        <v>G450</v>
      </c>
      <c r="M78" t="str">
        <f>'Both teabags AfterWet'!A496</f>
        <v>R19</v>
      </c>
      <c r="N78" t="b">
        <f t="shared" si="65"/>
        <v>0</v>
      </c>
      <c r="O78" t="b">
        <f t="shared" si="115"/>
        <v>0</v>
      </c>
      <c r="Q78" s="388" t="b">
        <f t="shared" si="66"/>
        <v>0</v>
      </c>
      <c r="R78" s="388" t="b">
        <f t="shared" si="67"/>
        <v>0</v>
      </c>
      <c r="T78" t="str">
        <f>'Both teabags AfterDry'!A76</f>
        <v>G193</v>
      </c>
      <c r="U78" t="str">
        <f>'Both teabags AfterDry'!A411</f>
        <v>R292</v>
      </c>
      <c r="V78" t="b">
        <f t="shared" si="68"/>
        <v>0</v>
      </c>
      <c r="W78" t="b">
        <f t="shared" si="99"/>
        <v>0</v>
      </c>
      <c r="Y78" t="str">
        <f>'Green_rooibos initial weight'!A79</f>
        <v>G75</v>
      </c>
      <c r="Z78" t="str">
        <f>'Green_rooibos initial weight'!A983</f>
        <v>R75</v>
      </c>
      <c r="AA78" t="b">
        <f t="shared" si="69"/>
        <v>0</v>
      </c>
      <c r="AB78" t="b">
        <f t="shared" si="70"/>
        <v>0</v>
      </c>
      <c r="AE78" t="str">
        <f>'WetLitterbags placem_collection'!K77</f>
        <v>G408</v>
      </c>
      <c r="AF78" t="str">
        <f>'WetLitterbags placem_collection'!M77</f>
        <v>R404</v>
      </c>
      <c r="AG78" t="b">
        <f t="shared" si="71"/>
        <v>0</v>
      </c>
      <c r="AH78" t="b">
        <f t="shared" si="72"/>
        <v>0</v>
      </c>
      <c r="AJ78" t="b">
        <f t="shared" si="73"/>
        <v>0</v>
      </c>
      <c r="AK78" t="b">
        <f t="shared" si="74"/>
        <v>0</v>
      </c>
      <c r="AM78" t="str">
        <f>IF(ISBLANK('Dry_Litterbag Placem_Collection'!J77),"","G"&amp;""&amp;'Dry_Litterbag Placem_Collection'!J77)</f>
        <v>G215</v>
      </c>
      <c r="AN78" t="str">
        <f>IF(ISBLANK('Dry_Litterbag Placem_Collection'!K77),"","R"&amp;""&amp;'Dry_Litterbag Placem_Collection'!K77)</f>
        <v>R840</v>
      </c>
      <c r="AO78" t="b">
        <f t="shared" si="75"/>
        <v>0</v>
      </c>
      <c r="AP78" t="b">
        <f t="shared" si="76"/>
        <v>0</v>
      </c>
      <c r="AS78" t="str">
        <f>'Ashed teabags dry'!A76</f>
        <v>G193</v>
      </c>
      <c r="AT78" t="str">
        <f>'Ashed teabags dry'!A411</f>
        <v>R292</v>
      </c>
      <c r="AU78" t="b">
        <f t="shared" si="77"/>
        <v>0</v>
      </c>
      <c r="AV78" t="b">
        <f t="shared" si="100"/>
        <v>0</v>
      </c>
      <c r="AX78" s="388" t="b">
        <f t="shared" si="78"/>
        <v>0</v>
      </c>
      <c r="AY78" s="388" t="b">
        <f t="shared" si="79"/>
        <v>0</v>
      </c>
      <c r="BA78" t="str">
        <f>'Ashed teabags wet'!A76</f>
        <v>G450</v>
      </c>
      <c r="BB78" t="str">
        <f>'Ashed teabags wet'!A496</f>
        <v>R19</v>
      </c>
      <c r="BC78" t="b">
        <f t="shared" si="80"/>
        <v>0</v>
      </c>
      <c r="BD78" t="b">
        <f t="shared" si="60"/>
        <v>0</v>
      </c>
      <c r="BF78" t="str">
        <f t="shared" si="81"/>
        <v>G190</v>
      </c>
      <c r="BG78" t="str">
        <f t="shared" si="82"/>
        <v>G190</v>
      </c>
      <c r="BH78" t="str">
        <f t="shared" si="83"/>
        <v>G329</v>
      </c>
      <c r="BI78" t="str">
        <f t="shared" si="101"/>
        <v>G329</v>
      </c>
      <c r="BJ78" t="s">
        <v>1860</v>
      </c>
      <c r="BK78" t="s">
        <v>1860</v>
      </c>
      <c r="BL78" t="s">
        <v>1860</v>
      </c>
      <c r="BM78" t="b">
        <f t="shared" si="102"/>
        <v>1</v>
      </c>
      <c r="BN78" t="str">
        <f t="shared" si="84"/>
        <v>R284</v>
      </c>
      <c r="BO78" t="str">
        <f t="shared" si="85"/>
        <v>R284</v>
      </c>
      <c r="BP78" t="str">
        <f t="shared" si="86"/>
        <v>R825</v>
      </c>
      <c r="BQ78" t="str">
        <f t="shared" si="87"/>
        <v>R825</v>
      </c>
      <c r="BR78" t="s">
        <v>857</v>
      </c>
      <c r="BS78" t="s">
        <v>857</v>
      </c>
      <c r="BT78" t="s">
        <v>857</v>
      </c>
      <c r="BU78" t="b">
        <f t="shared" si="103"/>
        <v>1</v>
      </c>
      <c r="BZ78" t="str">
        <f t="shared" si="88"/>
        <v>G329</v>
      </c>
      <c r="CA78" t="b">
        <f t="shared" si="89"/>
        <v>0</v>
      </c>
      <c r="CB78" t="str">
        <f t="shared" si="104"/>
        <v>G329</v>
      </c>
      <c r="CC78" t="str">
        <f t="shared" si="90"/>
        <v>R825</v>
      </c>
      <c r="CD78" t="b">
        <f t="shared" si="105"/>
        <v>0</v>
      </c>
      <c r="CE78" t="str">
        <f t="shared" si="106"/>
        <v>R825</v>
      </c>
      <c r="CG78" t="str">
        <f t="shared" si="91"/>
        <v>G449</v>
      </c>
      <c r="CH78" t="str">
        <f t="shared" si="107"/>
        <v>G449</v>
      </c>
      <c r="CI78" t="str">
        <f t="shared" si="92"/>
        <v>G605</v>
      </c>
      <c r="CJ78" t="str">
        <f t="shared" si="93"/>
        <v>G605</v>
      </c>
      <c r="CK78" t="s">
        <v>1601</v>
      </c>
      <c r="CL78" t="s">
        <v>1601</v>
      </c>
      <c r="CM78" t="s">
        <v>1601</v>
      </c>
      <c r="CN78" t="b">
        <f t="shared" si="108"/>
        <v>1</v>
      </c>
      <c r="CO78" t="str">
        <f t="shared" si="94"/>
        <v>R189</v>
      </c>
      <c r="CP78" t="str">
        <f t="shared" si="109"/>
        <v>R189</v>
      </c>
      <c r="CQ78" t="str">
        <f t="shared" si="95"/>
        <v>R122</v>
      </c>
      <c r="CR78" t="str">
        <f t="shared" si="96"/>
        <v>R122</v>
      </c>
      <c r="CS78" t="s">
        <v>952</v>
      </c>
      <c r="CT78" t="s">
        <v>952</v>
      </c>
      <c r="CU78" t="s">
        <v>952</v>
      </c>
      <c r="CV78" t="b">
        <f t="shared" si="110"/>
        <v>1</v>
      </c>
      <c r="DC78" t="str">
        <f t="shared" si="97"/>
        <v>G605</v>
      </c>
      <c r="DD78" t="b">
        <f t="shared" si="111"/>
        <v>0</v>
      </c>
      <c r="DE78" t="str">
        <f t="shared" si="112"/>
        <v>G605</v>
      </c>
      <c r="DF78" t="str">
        <f t="shared" si="98"/>
        <v>R122</v>
      </c>
      <c r="DG78" t="b">
        <f t="shared" si="113"/>
        <v>0</v>
      </c>
      <c r="DH78" t="str">
        <f t="shared" si="114"/>
        <v>R122</v>
      </c>
    </row>
    <row r="79" spans="2:112" ht="12" customHeight="1">
      <c r="B79" t="str">
        <f>TBIDry!H151</f>
        <v>G60</v>
      </c>
      <c r="C79" t="str">
        <f>TBIDry!I151</f>
        <v>R770</v>
      </c>
      <c r="D79" t="b">
        <f t="shared" si="61"/>
        <v>0</v>
      </c>
      <c r="E79" t="b">
        <f t="shared" si="62"/>
        <v>0</v>
      </c>
      <c r="G79" t="str">
        <f>TBIWet!H151</f>
        <v>G416</v>
      </c>
      <c r="H79" t="str">
        <f>TBIWet!I151</f>
        <v>R501</v>
      </c>
      <c r="I79" t="b">
        <f t="shared" si="63"/>
        <v>0</v>
      </c>
      <c r="J79" t="b">
        <f t="shared" si="64"/>
        <v>0</v>
      </c>
      <c r="L79" t="str">
        <f>'Both teabags AfterWet'!A77</f>
        <v>G451</v>
      </c>
      <c r="M79" t="str">
        <f>'Both teabags AfterWet'!A497</f>
        <v>R190</v>
      </c>
      <c r="N79" t="b">
        <f t="shared" si="65"/>
        <v>0</v>
      </c>
      <c r="O79" t="b">
        <f t="shared" si="115"/>
        <v>0</v>
      </c>
      <c r="Q79" s="388" t="b">
        <f t="shared" si="66"/>
        <v>0</v>
      </c>
      <c r="R79" s="388" t="b">
        <f t="shared" si="67"/>
        <v>0</v>
      </c>
      <c r="T79" t="str">
        <f>'Both teabags AfterDry'!A77</f>
        <v>G194</v>
      </c>
      <c r="U79" t="str">
        <f>'Both teabags AfterDry'!A412</f>
        <v>R294</v>
      </c>
      <c r="V79" t="b">
        <f t="shared" si="68"/>
        <v>0</v>
      </c>
      <c r="W79" t="b">
        <f t="shared" si="99"/>
        <v>0</v>
      </c>
      <c r="Y79" t="str">
        <f>'Green_rooibos initial weight'!A80</f>
        <v>G76</v>
      </c>
      <c r="Z79" t="str">
        <f>'Green_rooibos initial weight'!A984</f>
        <v>R76</v>
      </c>
      <c r="AA79" t="b">
        <f t="shared" si="69"/>
        <v>0</v>
      </c>
      <c r="AB79" t="b">
        <f t="shared" si="70"/>
        <v>0</v>
      </c>
      <c r="AE79" t="str">
        <f>'WetLitterbags placem_collection'!K78</f>
        <v>G416</v>
      </c>
      <c r="AF79" t="str">
        <f>'WetLitterbags placem_collection'!M78</f>
        <v>R501</v>
      </c>
      <c r="AG79" t="b">
        <f t="shared" si="71"/>
        <v>0</v>
      </c>
      <c r="AH79" t="b">
        <f t="shared" si="72"/>
        <v>0</v>
      </c>
      <c r="AJ79" t="b">
        <f t="shared" si="73"/>
        <v>0</v>
      </c>
      <c r="AK79" t="b">
        <f t="shared" si="74"/>
        <v>0</v>
      </c>
      <c r="AM79" t="str">
        <f>IF(ISBLANK('Dry_Litterbag Placem_Collection'!J78),"","G"&amp;""&amp;'Dry_Litterbag Placem_Collection'!J78)</f>
        <v>G60</v>
      </c>
      <c r="AN79" t="str">
        <f>IF(ISBLANK('Dry_Litterbag Placem_Collection'!K78),"","R"&amp;""&amp;'Dry_Litterbag Placem_Collection'!K78)</f>
        <v>R770</v>
      </c>
      <c r="AO79" t="b">
        <f t="shared" si="75"/>
        <v>0</v>
      </c>
      <c r="AP79" t="b">
        <f t="shared" si="76"/>
        <v>0</v>
      </c>
      <c r="AS79" t="str">
        <f>'Ashed teabags dry'!A77</f>
        <v>G194</v>
      </c>
      <c r="AT79" t="str">
        <f>'Ashed teabags dry'!A412</f>
        <v>R294</v>
      </c>
      <c r="AU79" t="b">
        <f t="shared" si="77"/>
        <v>0</v>
      </c>
      <c r="AV79" t="b">
        <f t="shared" si="100"/>
        <v>0</v>
      </c>
      <c r="AX79" s="388" t="b">
        <f t="shared" si="78"/>
        <v>0</v>
      </c>
      <c r="AY79" s="388" t="b">
        <f t="shared" si="79"/>
        <v>0</v>
      </c>
      <c r="BA79" t="str">
        <f>'Ashed teabags wet'!A77</f>
        <v>G451</v>
      </c>
      <c r="BB79" t="str">
        <f>'Ashed teabags wet'!A497</f>
        <v>R190</v>
      </c>
      <c r="BC79" t="b">
        <f t="shared" si="80"/>
        <v>0</v>
      </c>
      <c r="BD79" t="b">
        <f t="shared" si="60"/>
        <v>0</v>
      </c>
      <c r="BF79" t="str">
        <f t="shared" si="81"/>
        <v>G193</v>
      </c>
      <c r="BG79" t="str">
        <f t="shared" si="82"/>
        <v>G193</v>
      </c>
      <c r="BH79" t="str">
        <f t="shared" si="83"/>
        <v>G215</v>
      </c>
      <c r="BI79" t="str">
        <f t="shared" si="101"/>
        <v>G215</v>
      </c>
      <c r="BJ79" t="s">
        <v>1857</v>
      </c>
      <c r="BK79" t="s">
        <v>1857</v>
      </c>
      <c r="BL79" t="s">
        <v>1857</v>
      </c>
      <c r="BM79" t="b">
        <f t="shared" si="102"/>
        <v>1</v>
      </c>
      <c r="BN79" t="str">
        <f t="shared" si="84"/>
        <v>R292</v>
      </c>
      <c r="BO79" t="str">
        <f t="shared" si="85"/>
        <v>R292</v>
      </c>
      <c r="BP79" t="str">
        <f t="shared" si="86"/>
        <v>R840</v>
      </c>
      <c r="BQ79" t="str">
        <f t="shared" si="87"/>
        <v>R840</v>
      </c>
      <c r="BR79" t="s">
        <v>849</v>
      </c>
      <c r="BS79" t="s">
        <v>849</v>
      </c>
      <c r="BT79" t="s">
        <v>849</v>
      </c>
      <c r="BU79" t="b">
        <f t="shared" si="103"/>
        <v>1</v>
      </c>
      <c r="BZ79" t="str">
        <f t="shared" si="88"/>
        <v>G215</v>
      </c>
      <c r="CA79" t="b">
        <f t="shared" si="89"/>
        <v>0</v>
      </c>
      <c r="CB79" t="str">
        <f t="shared" si="104"/>
        <v>G215</v>
      </c>
      <c r="CC79" t="str">
        <f t="shared" si="90"/>
        <v>R840</v>
      </c>
      <c r="CD79" t="b">
        <f t="shared" si="105"/>
        <v>0</v>
      </c>
      <c r="CE79" t="str">
        <f t="shared" si="106"/>
        <v>R840</v>
      </c>
      <c r="CG79" t="str">
        <f t="shared" si="91"/>
        <v>G450</v>
      </c>
      <c r="CH79" t="str">
        <f t="shared" si="107"/>
        <v>G450</v>
      </c>
      <c r="CI79" t="str">
        <f t="shared" si="92"/>
        <v>G408</v>
      </c>
      <c r="CJ79" t="str">
        <f t="shared" si="93"/>
        <v>G408</v>
      </c>
      <c r="CK79" t="s">
        <v>1600</v>
      </c>
      <c r="CL79" t="s">
        <v>1600</v>
      </c>
      <c r="CM79" t="s">
        <v>1600</v>
      </c>
      <c r="CN79" t="b">
        <f t="shared" si="108"/>
        <v>1</v>
      </c>
      <c r="CO79" t="str">
        <f t="shared" si="94"/>
        <v>R19</v>
      </c>
      <c r="CP79" t="str">
        <f t="shared" si="109"/>
        <v>R19</v>
      </c>
      <c r="CQ79" t="str">
        <f t="shared" si="95"/>
        <v>R404</v>
      </c>
      <c r="CR79" t="str">
        <f t="shared" si="96"/>
        <v>R404</v>
      </c>
      <c r="CS79" t="s">
        <v>1122</v>
      </c>
      <c r="CT79" t="s">
        <v>1122</v>
      </c>
      <c r="CU79" t="s">
        <v>1122</v>
      </c>
      <c r="CV79" t="b">
        <f t="shared" si="110"/>
        <v>1</v>
      </c>
      <c r="DC79" t="str">
        <f t="shared" si="97"/>
        <v>G408</v>
      </c>
      <c r="DD79" t="b">
        <f t="shared" si="111"/>
        <v>0</v>
      </c>
      <c r="DE79" t="str">
        <f t="shared" si="112"/>
        <v>G408</v>
      </c>
      <c r="DF79" t="str">
        <f t="shared" si="98"/>
        <v>R404</v>
      </c>
      <c r="DG79" t="b">
        <f t="shared" si="113"/>
        <v>0</v>
      </c>
      <c r="DH79" t="str">
        <f t="shared" si="114"/>
        <v>R404</v>
      </c>
    </row>
    <row r="80" spans="2:112" ht="12" customHeight="1">
      <c r="B80" t="str">
        <f>TBIDry!H152</f>
        <v/>
      </c>
      <c r="C80" t="str">
        <f>TBIDry!I152</f>
        <v/>
      </c>
      <c r="D80" t="b">
        <f t="shared" si="61"/>
        <v>1</v>
      </c>
      <c r="E80" t="b">
        <f t="shared" si="62"/>
        <v>1</v>
      </c>
      <c r="G80" t="str">
        <f>TBIWet!H152</f>
        <v>G594</v>
      </c>
      <c r="H80" t="str">
        <f>TBIWet!I152</f>
        <v>R137</v>
      </c>
      <c r="I80" t="b">
        <f t="shared" si="63"/>
        <v>0</v>
      </c>
      <c r="J80" t="b">
        <f t="shared" si="64"/>
        <v>0</v>
      </c>
      <c r="L80" t="str">
        <f>'Both teabags AfterWet'!A78</f>
        <v>G452</v>
      </c>
      <c r="M80" t="str">
        <f>'Both teabags AfterWet'!A498</f>
        <v>R196</v>
      </c>
      <c r="N80" t="b">
        <f t="shared" si="65"/>
        <v>0</v>
      </c>
      <c r="O80" t="b">
        <f t="shared" si="115"/>
        <v>0</v>
      </c>
      <c r="Q80" s="388" t="b">
        <f t="shared" si="66"/>
        <v>0</v>
      </c>
      <c r="R80" s="388" t="b">
        <f t="shared" si="67"/>
        <v>0</v>
      </c>
      <c r="T80" t="str">
        <f>'Both teabags AfterDry'!A78</f>
        <v>G196</v>
      </c>
      <c r="U80" t="str">
        <f>'Both teabags AfterDry'!A413</f>
        <v>R295</v>
      </c>
      <c r="V80" t="b">
        <f t="shared" si="68"/>
        <v>0</v>
      </c>
      <c r="W80" t="b">
        <f t="shared" si="99"/>
        <v>0</v>
      </c>
      <c r="Y80" t="str">
        <f>'Green_rooibos initial weight'!A81</f>
        <v>G77</v>
      </c>
      <c r="Z80" t="str">
        <f>'Green_rooibos initial weight'!A985</f>
        <v>R77</v>
      </c>
      <c r="AA80" t="b">
        <f t="shared" si="69"/>
        <v>0</v>
      </c>
      <c r="AB80" t="b">
        <f t="shared" si="70"/>
        <v>0</v>
      </c>
      <c r="AE80" t="str">
        <f>'WetLitterbags placem_collection'!K79</f>
        <v>G594</v>
      </c>
      <c r="AF80" t="str">
        <f>'WetLitterbags placem_collection'!M79</f>
        <v>R137</v>
      </c>
      <c r="AG80" t="b">
        <f t="shared" si="71"/>
        <v>0</v>
      </c>
      <c r="AH80" t="b">
        <f t="shared" si="72"/>
        <v>0</v>
      </c>
      <c r="AJ80" t="b">
        <f t="shared" si="73"/>
        <v>0</v>
      </c>
      <c r="AK80" t="b">
        <f t="shared" si="74"/>
        <v>0</v>
      </c>
      <c r="AM80" t="str">
        <f>IF(ISBLANK('Dry_Litterbag Placem_Collection'!J79),"","G"&amp;""&amp;'Dry_Litterbag Placem_Collection'!J79)</f>
        <v/>
      </c>
      <c r="AN80" t="str">
        <f>IF(ISBLANK('Dry_Litterbag Placem_Collection'!K79),"","R"&amp;""&amp;'Dry_Litterbag Placem_Collection'!K79)</f>
        <v/>
      </c>
      <c r="AO80" t="b">
        <f t="shared" si="75"/>
        <v>1</v>
      </c>
      <c r="AP80" t="b">
        <f t="shared" si="76"/>
        <v>1</v>
      </c>
      <c r="AS80" t="str">
        <f>'Ashed teabags dry'!A78</f>
        <v>G196</v>
      </c>
      <c r="AT80" t="str">
        <f>'Ashed teabags dry'!A413</f>
        <v>R295</v>
      </c>
      <c r="AU80" t="b">
        <f t="shared" si="77"/>
        <v>0</v>
      </c>
      <c r="AV80" t="b">
        <f t="shared" si="100"/>
        <v>0</v>
      </c>
      <c r="AX80" s="388" t="b">
        <f t="shared" si="78"/>
        <v>0</v>
      </c>
      <c r="AY80" s="388" t="b">
        <f t="shared" si="79"/>
        <v>0</v>
      </c>
      <c r="BA80" t="str">
        <f>'Ashed teabags wet'!A78</f>
        <v>G452</v>
      </c>
      <c r="BB80" t="str">
        <f>'Ashed teabags wet'!A498</f>
        <v>R196</v>
      </c>
      <c r="BC80" t="b">
        <f t="shared" si="80"/>
        <v>0</v>
      </c>
      <c r="BD80" t="b">
        <f t="shared" si="60"/>
        <v>0</v>
      </c>
      <c r="BF80" t="str">
        <f t="shared" si="81"/>
        <v>G194</v>
      </c>
      <c r="BG80" t="str">
        <f t="shared" si="82"/>
        <v>G194</v>
      </c>
      <c r="BH80" t="str">
        <f t="shared" si="83"/>
        <v>G60</v>
      </c>
      <c r="BI80" t="str">
        <f t="shared" si="101"/>
        <v>G60</v>
      </c>
      <c r="BJ80" t="s">
        <v>1856</v>
      </c>
      <c r="BK80" t="s">
        <v>1856</v>
      </c>
      <c r="BL80" t="s">
        <v>1856</v>
      </c>
      <c r="BM80" t="b">
        <f t="shared" si="102"/>
        <v>1</v>
      </c>
      <c r="BN80" t="str">
        <f t="shared" si="84"/>
        <v>R294</v>
      </c>
      <c r="BO80" t="str">
        <f t="shared" si="85"/>
        <v>R294</v>
      </c>
      <c r="BP80" t="str">
        <f t="shared" si="86"/>
        <v>R770</v>
      </c>
      <c r="BQ80" t="str">
        <f t="shared" si="87"/>
        <v>R770</v>
      </c>
      <c r="BR80" t="s">
        <v>847</v>
      </c>
      <c r="BS80" t="s">
        <v>847</v>
      </c>
      <c r="BT80" t="s">
        <v>847</v>
      </c>
      <c r="BU80" t="b">
        <f t="shared" si="103"/>
        <v>1</v>
      </c>
      <c r="BV80" s="113"/>
      <c r="BW80" s="113"/>
      <c r="BZ80" t="str">
        <f t="shared" si="88"/>
        <v>G60</v>
      </c>
      <c r="CA80" t="b">
        <f t="shared" si="89"/>
        <v>0</v>
      </c>
      <c r="CB80" t="str">
        <f t="shared" si="104"/>
        <v>G60</v>
      </c>
      <c r="CC80" t="str">
        <f t="shared" si="90"/>
        <v>R770</v>
      </c>
      <c r="CD80" t="b">
        <f t="shared" si="105"/>
        <v>0</v>
      </c>
      <c r="CE80" t="str">
        <f t="shared" si="106"/>
        <v>R770</v>
      </c>
      <c r="CG80" t="str">
        <f t="shared" si="91"/>
        <v>G451</v>
      </c>
      <c r="CH80" t="str">
        <f t="shared" si="107"/>
        <v>G451</v>
      </c>
      <c r="CI80" t="str">
        <f t="shared" si="92"/>
        <v>G416</v>
      </c>
      <c r="CJ80" t="str">
        <f t="shared" si="93"/>
        <v>G416</v>
      </c>
      <c r="CK80" t="s">
        <v>1599</v>
      </c>
      <c r="CL80" t="s">
        <v>1599</v>
      </c>
      <c r="CM80" t="s">
        <v>1599</v>
      </c>
      <c r="CN80" t="b">
        <f t="shared" si="108"/>
        <v>1</v>
      </c>
      <c r="CO80" t="str">
        <f t="shared" si="94"/>
        <v>R190</v>
      </c>
      <c r="CP80" t="str">
        <f t="shared" si="109"/>
        <v>R190</v>
      </c>
      <c r="CQ80" t="str">
        <f t="shared" si="95"/>
        <v>R501</v>
      </c>
      <c r="CR80" t="str">
        <f t="shared" si="96"/>
        <v>R501</v>
      </c>
      <c r="CS80" t="s">
        <v>951</v>
      </c>
      <c r="CT80" t="s">
        <v>951</v>
      </c>
      <c r="CU80" t="s">
        <v>951</v>
      </c>
      <c r="CV80" t="b">
        <f t="shared" si="110"/>
        <v>1</v>
      </c>
      <c r="DC80" t="str">
        <f t="shared" si="97"/>
        <v>G416</v>
      </c>
      <c r="DD80" t="b">
        <f t="shared" si="111"/>
        <v>0</v>
      </c>
      <c r="DE80" t="str">
        <f t="shared" si="112"/>
        <v>G416</v>
      </c>
      <c r="DF80" t="str">
        <f t="shared" si="98"/>
        <v>R501</v>
      </c>
      <c r="DG80" t="b">
        <f t="shared" si="113"/>
        <v>0</v>
      </c>
      <c r="DH80" t="str">
        <f t="shared" si="114"/>
        <v>R501</v>
      </c>
    </row>
    <row r="81" spans="2:112" ht="12" customHeight="1">
      <c r="B81" t="str">
        <f>TBIDry!H153</f>
        <v>G97</v>
      </c>
      <c r="C81" t="str">
        <f>TBIDry!I153</f>
        <v>R696</v>
      </c>
      <c r="D81" t="b">
        <f t="shared" si="61"/>
        <v>0</v>
      </c>
      <c r="E81" t="b">
        <f t="shared" si="62"/>
        <v>0</v>
      </c>
      <c r="G81" t="str">
        <f>TBIWet!H153</f>
        <v>G460</v>
      </c>
      <c r="H81" t="str">
        <f>TBIWet!I153</f>
        <v>R278</v>
      </c>
      <c r="I81" t="b">
        <f t="shared" si="63"/>
        <v>0</v>
      </c>
      <c r="J81" t="b">
        <f t="shared" si="64"/>
        <v>0</v>
      </c>
      <c r="L81" t="str">
        <f>'Both teabags AfterWet'!A79</f>
        <v>G453</v>
      </c>
      <c r="M81" t="str">
        <f>'Both teabags AfterWet'!A499</f>
        <v>R2</v>
      </c>
      <c r="N81" t="b">
        <f t="shared" si="65"/>
        <v>0</v>
      </c>
      <c r="O81" t="b">
        <f t="shared" si="115"/>
        <v>0</v>
      </c>
      <c r="Q81" s="388" t="b">
        <f t="shared" si="66"/>
        <v>0</v>
      </c>
      <c r="R81" s="388" t="b">
        <f t="shared" si="67"/>
        <v>0</v>
      </c>
      <c r="T81" t="str">
        <f>'Both teabags AfterDry'!A79</f>
        <v>G197</v>
      </c>
      <c r="U81" t="str">
        <f>'Both teabags AfterDry'!A414</f>
        <v>R297</v>
      </c>
      <c r="V81" t="b">
        <f t="shared" si="68"/>
        <v>0</v>
      </c>
      <c r="W81" t="b">
        <f t="shared" si="99"/>
        <v>0</v>
      </c>
      <c r="Y81" t="str">
        <f>'Green_rooibos initial weight'!A82</f>
        <v>G78</v>
      </c>
      <c r="Z81" t="str">
        <f>'Green_rooibos initial weight'!A986</f>
        <v>R78</v>
      </c>
      <c r="AA81" t="b">
        <f t="shared" si="69"/>
        <v>0</v>
      </c>
      <c r="AB81" t="b">
        <f t="shared" si="70"/>
        <v>0</v>
      </c>
      <c r="AE81" t="str">
        <f>'WetLitterbags placem_collection'!K80</f>
        <v>G460</v>
      </c>
      <c r="AF81" t="str">
        <f>'WetLitterbags placem_collection'!M80</f>
        <v>R278</v>
      </c>
      <c r="AG81" t="b">
        <f t="shared" si="71"/>
        <v>0</v>
      </c>
      <c r="AH81" t="b">
        <f t="shared" si="72"/>
        <v>0</v>
      </c>
      <c r="AJ81" t="b">
        <f t="shared" si="73"/>
        <v>0</v>
      </c>
      <c r="AK81" t="b">
        <f t="shared" si="74"/>
        <v>0</v>
      </c>
      <c r="AM81" t="str">
        <f>IF(ISBLANK('Dry_Litterbag Placem_Collection'!J80),"","G"&amp;""&amp;'Dry_Litterbag Placem_Collection'!J80)</f>
        <v>G97</v>
      </c>
      <c r="AN81" t="str">
        <f>IF(ISBLANK('Dry_Litterbag Placem_Collection'!K80),"","R"&amp;""&amp;'Dry_Litterbag Placem_Collection'!K80)</f>
        <v>R696</v>
      </c>
      <c r="AO81" t="b">
        <f t="shared" si="75"/>
        <v>0</v>
      </c>
      <c r="AP81" t="b">
        <f t="shared" si="76"/>
        <v>0</v>
      </c>
      <c r="AS81" t="str">
        <f>'Ashed teabags dry'!A79</f>
        <v>G197</v>
      </c>
      <c r="AT81" t="str">
        <f>'Ashed teabags dry'!A414</f>
        <v>R297</v>
      </c>
      <c r="AU81" t="b">
        <f t="shared" si="77"/>
        <v>0</v>
      </c>
      <c r="AV81" t="b">
        <f t="shared" si="100"/>
        <v>0</v>
      </c>
      <c r="AX81" s="388" t="b">
        <f t="shared" si="78"/>
        <v>0</v>
      </c>
      <c r="AY81" s="388" t="b">
        <f t="shared" si="79"/>
        <v>0</v>
      </c>
      <c r="BA81" t="str">
        <f>'Ashed teabags wet'!A79</f>
        <v>G453</v>
      </c>
      <c r="BB81" t="str">
        <f>'Ashed teabags wet'!A499</f>
        <v>R2</v>
      </c>
      <c r="BC81" t="b">
        <f t="shared" si="80"/>
        <v>0</v>
      </c>
      <c r="BD81" t="b">
        <f t="shared" si="60"/>
        <v>0</v>
      </c>
      <c r="BF81" t="str">
        <f t="shared" si="81"/>
        <v>G196</v>
      </c>
      <c r="BG81" t="str">
        <f t="shared" si="82"/>
        <v>G196</v>
      </c>
      <c r="BH81" t="str">
        <f t="shared" si="83"/>
        <v/>
      </c>
      <c r="BI81" t="str">
        <f t="shared" si="101"/>
        <v/>
      </c>
      <c r="BJ81" t="s">
        <v>1854</v>
      </c>
      <c r="BK81" t="s">
        <v>1854</v>
      </c>
      <c r="BL81" t="s">
        <v>1854</v>
      </c>
      <c r="BM81" t="b">
        <f t="shared" si="102"/>
        <v>1</v>
      </c>
      <c r="BN81" t="str">
        <f t="shared" si="84"/>
        <v>R295</v>
      </c>
      <c r="BO81" t="str">
        <f t="shared" si="85"/>
        <v>R295</v>
      </c>
      <c r="BP81" t="str">
        <f t="shared" si="86"/>
        <v/>
      </c>
      <c r="BQ81" t="str">
        <f t="shared" si="87"/>
        <v/>
      </c>
      <c r="BR81" t="s">
        <v>846</v>
      </c>
      <c r="BS81" t="s">
        <v>846</v>
      </c>
      <c r="BT81" t="s">
        <v>846</v>
      </c>
      <c r="BU81" t="b">
        <f t="shared" si="103"/>
        <v>1</v>
      </c>
      <c r="BZ81" t="str">
        <f t="shared" si="88"/>
        <v/>
      </c>
      <c r="CA81" t="b">
        <f t="shared" si="89"/>
        <v>0</v>
      </c>
      <c r="CB81" t="str">
        <f t="shared" si="104"/>
        <v/>
      </c>
      <c r="CC81" t="str">
        <f t="shared" si="90"/>
        <v/>
      </c>
      <c r="CD81" t="b">
        <f t="shared" si="105"/>
        <v>0</v>
      </c>
      <c r="CE81" t="str">
        <f t="shared" si="106"/>
        <v/>
      </c>
      <c r="CG81" t="str">
        <f t="shared" si="91"/>
        <v>G452</v>
      </c>
      <c r="CH81" t="str">
        <f t="shared" si="107"/>
        <v>G452</v>
      </c>
      <c r="CI81" t="str">
        <f t="shared" si="92"/>
        <v>G594</v>
      </c>
      <c r="CJ81" t="str">
        <f t="shared" si="93"/>
        <v>G594</v>
      </c>
      <c r="CK81" t="s">
        <v>1598</v>
      </c>
      <c r="CL81" t="s">
        <v>1598</v>
      </c>
      <c r="CM81" t="s">
        <v>1598</v>
      </c>
      <c r="CN81" t="b">
        <f t="shared" si="108"/>
        <v>1</v>
      </c>
      <c r="CO81" t="str">
        <f t="shared" si="94"/>
        <v>R196</v>
      </c>
      <c r="CP81" t="str">
        <f t="shared" si="109"/>
        <v>R196</v>
      </c>
      <c r="CQ81" t="str">
        <f t="shared" si="95"/>
        <v>R137</v>
      </c>
      <c r="CR81" t="str">
        <f t="shared" si="96"/>
        <v>R137</v>
      </c>
      <c r="CS81" t="s">
        <v>945</v>
      </c>
      <c r="CT81" t="s">
        <v>945</v>
      </c>
      <c r="CU81" t="s">
        <v>945</v>
      </c>
      <c r="CV81" t="b">
        <f t="shared" si="110"/>
        <v>1</v>
      </c>
      <c r="DC81" t="str">
        <f t="shared" si="97"/>
        <v>G594</v>
      </c>
      <c r="DD81" t="b">
        <f t="shared" si="111"/>
        <v>0</v>
      </c>
      <c r="DE81" t="str">
        <f t="shared" si="112"/>
        <v>G594</v>
      </c>
      <c r="DF81" t="str">
        <f t="shared" si="98"/>
        <v>R137</v>
      </c>
      <c r="DG81" t="b">
        <f t="shared" si="113"/>
        <v>0</v>
      </c>
      <c r="DH81" t="str">
        <f t="shared" si="114"/>
        <v>R137</v>
      </c>
    </row>
    <row r="82" spans="2:112" ht="12" customHeight="1">
      <c r="B82" t="str">
        <f>TBIDry!H154</f>
        <v>G130</v>
      </c>
      <c r="C82" t="str">
        <f>TBIDry!I154</f>
        <v>R270</v>
      </c>
      <c r="D82" s="113" t="b">
        <f t="shared" si="61"/>
        <v>0</v>
      </c>
      <c r="E82" t="b">
        <f t="shared" si="62"/>
        <v>0</v>
      </c>
      <c r="G82" t="str">
        <f>TBIWet!H154</f>
        <v>G217</v>
      </c>
      <c r="H82" t="str">
        <f>TBIWet!I154</f>
        <v>R235</v>
      </c>
      <c r="I82" t="b">
        <f t="shared" si="63"/>
        <v>0</v>
      </c>
      <c r="J82" t="b">
        <f t="shared" si="64"/>
        <v>0</v>
      </c>
      <c r="L82" t="str">
        <f>'Both teabags AfterWet'!A80</f>
        <v>G454</v>
      </c>
      <c r="M82" t="str">
        <f>'Both teabags AfterWet'!A500</f>
        <v>R20</v>
      </c>
      <c r="N82" t="b">
        <f t="shared" si="65"/>
        <v>0</v>
      </c>
      <c r="O82" t="b">
        <f t="shared" si="115"/>
        <v>0</v>
      </c>
      <c r="Q82" s="388" t="b">
        <f t="shared" si="66"/>
        <v>0</v>
      </c>
      <c r="R82" s="388" t="b">
        <f t="shared" si="67"/>
        <v>0</v>
      </c>
      <c r="T82" t="str">
        <f>'Both teabags AfterDry'!A80</f>
        <v>G198</v>
      </c>
      <c r="U82" t="str">
        <f>'Both teabags AfterDry'!A415</f>
        <v>R298</v>
      </c>
      <c r="V82" t="b">
        <f t="shared" si="68"/>
        <v>0</v>
      </c>
      <c r="W82" t="b">
        <f t="shared" si="99"/>
        <v>0</v>
      </c>
      <c r="Y82" t="str">
        <f>'Green_rooibos initial weight'!A83</f>
        <v>G79</v>
      </c>
      <c r="Z82" t="str">
        <f>'Green_rooibos initial weight'!A987</f>
        <v>R79</v>
      </c>
      <c r="AA82" t="b">
        <f t="shared" si="69"/>
        <v>0</v>
      </c>
      <c r="AB82" t="b">
        <f t="shared" si="70"/>
        <v>0</v>
      </c>
      <c r="AE82" t="str">
        <f>'WetLitterbags placem_collection'!K81</f>
        <v>G217</v>
      </c>
      <c r="AF82" t="str">
        <f>'WetLitterbags placem_collection'!M81</f>
        <v>R235</v>
      </c>
      <c r="AG82" t="b">
        <f t="shared" si="71"/>
        <v>0</v>
      </c>
      <c r="AH82" t="b">
        <f t="shared" si="72"/>
        <v>0</v>
      </c>
      <c r="AJ82" t="b">
        <f t="shared" si="73"/>
        <v>0</v>
      </c>
      <c r="AK82" t="b">
        <f t="shared" si="74"/>
        <v>0</v>
      </c>
      <c r="AM82" t="str">
        <f>IF(ISBLANK('Dry_Litterbag Placem_Collection'!J81),"","G"&amp;""&amp;'Dry_Litterbag Placem_Collection'!J81)</f>
        <v>G130</v>
      </c>
      <c r="AN82" t="str">
        <f>IF(ISBLANK('Dry_Litterbag Placem_Collection'!K81),"","R"&amp;""&amp;'Dry_Litterbag Placem_Collection'!K81)</f>
        <v>R270</v>
      </c>
      <c r="AO82" t="b">
        <f t="shared" si="75"/>
        <v>0</v>
      </c>
      <c r="AP82" t="b">
        <f t="shared" si="76"/>
        <v>0</v>
      </c>
      <c r="AS82" t="str">
        <f>'Ashed teabags dry'!A80</f>
        <v>G198</v>
      </c>
      <c r="AT82" t="str">
        <f>'Ashed teabags dry'!A415</f>
        <v>R298</v>
      </c>
      <c r="AU82" t="b">
        <f t="shared" si="77"/>
        <v>0</v>
      </c>
      <c r="AV82" t="b">
        <f t="shared" si="100"/>
        <v>0</v>
      </c>
      <c r="AX82" s="388" t="b">
        <f t="shared" si="78"/>
        <v>0</v>
      </c>
      <c r="AY82" s="388" t="b">
        <f t="shared" si="79"/>
        <v>0</v>
      </c>
      <c r="BA82" t="str">
        <f>'Ashed teabags wet'!A80</f>
        <v>G454</v>
      </c>
      <c r="BB82" t="str">
        <f>'Ashed teabags wet'!A500</f>
        <v>R20</v>
      </c>
      <c r="BC82" t="b">
        <f t="shared" si="80"/>
        <v>0</v>
      </c>
      <c r="BD82" t="b">
        <f t="shared" si="60"/>
        <v>0</v>
      </c>
      <c r="BF82" t="str">
        <f t="shared" si="81"/>
        <v>G197</v>
      </c>
      <c r="BG82" t="str">
        <f t="shared" si="82"/>
        <v>G197</v>
      </c>
      <c r="BH82" t="str">
        <f t="shared" si="83"/>
        <v>G97</v>
      </c>
      <c r="BI82" t="str">
        <f t="shared" si="101"/>
        <v>G97</v>
      </c>
      <c r="BJ82" t="s">
        <v>1853</v>
      </c>
      <c r="BK82" t="s">
        <v>1853</v>
      </c>
      <c r="BL82" t="s">
        <v>1853</v>
      </c>
      <c r="BM82" t="b">
        <f t="shared" si="102"/>
        <v>1</v>
      </c>
      <c r="BN82" t="str">
        <f t="shared" si="84"/>
        <v>R297</v>
      </c>
      <c r="BO82" t="str">
        <f t="shared" si="85"/>
        <v>R297</v>
      </c>
      <c r="BP82" t="str">
        <f t="shared" si="86"/>
        <v>R696</v>
      </c>
      <c r="BQ82" t="str">
        <f t="shared" si="87"/>
        <v>R696</v>
      </c>
      <c r="BR82" t="s">
        <v>844</v>
      </c>
      <c r="BS82" t="s">
        <v>844</v>
      </c>
      <c r="BT82" t="s">
        <v>844</v>
      </c>
      <c r="BU82" t="b">
        <f t="shared" si="103"/>
        <v>1</v>
      </c>
      <c r="BZ82" t="str">
        <f t="shared" si="88"/>
        <v>G97</v>
      </c>
      <c r="CA82" t="b">
        <f t="shared" si="89"/>
        <v>0</v>
      </c>
      <c r="CB82" t="str">
        <f t="shared" si="104"/>
        <v>G97</v>
      </c>
      <c r="CC82" t="str">
        <f t="shared" si="90"/>
        <v>R696</v>
      </c>
      <c r="CD82" t="b">
        <f t="shared" si="105"/>
        <v>0</v>
      </c>
      <c r="CE82" t="str">
        <f t="shared" si="106"/>
        <v>R696</v>
      </c>
      <c r="CG82" t="str">
        <f t="shared" si="91"/>
        <v>G453</v>
      </c>
      <c r="CH82" t="str">
        <f t="shared" si="107"/>
        <v>G453</v>
      </c>
      <c r="CI82" t="str">
        <f t="shared" si="92"/>
        <v>G460</v>
      </c>
      <c r="CJ82" t="str">
        <f t="shared" si="93"/>
        <v>G460</v>
      </c>
      <c r="CK82" t="s">
        <v>1597</v>
      </c>
      <c r="CL82" t="s">
        <v>1597</v>
      </c>
      <c r="CM82" t="s">
        <v>1597</v>
      </c>
      <c r="CN82" t="b">
        <f t="shared" si="108"/>
        <v>1</v>
      </c>
      <c r="CO82" t="str">
        <f t="shared" si="94"/>
        <v>R2</v>
      </c>
      <c r="CP82" t="str">
        <f t="shared" si="109"/>
        <v>R2</v>
      </c>
      <c r="CQ82" t="str">
        <f t="shared" si="95"/>
        <v>R278</v>
      </c>
      <c r="CR82" t="str">
        <f t="shared" si="96"/>
        <v>R278</v>
      </c>
      <c r="CS82" t="s">
        <v>1139</v>
      </c>
      <c r="CT82" t="s">
        <v>1139</v>
      </c>
      <c r="CU82" t="s">
        <v>1139</v>
      </c>
      <c r="CV82" t="b">
        <f t="shared" si="110"/>
        <v>1</v>
      </c>
      <c r="DC82" t="str">
        <f t="shared" si="97"/>
        <v>G460</v>
      </c>
      <c r="DD82" t="b">
        <f t="shared" si="111"/>
        <v>0</v>
      </c>
      <c r="DE82" t="str">
        <f t="shared" si="112"/>
        <v>G460</v>
      </c>
      <c r="DF82" t="str">
        <f t="shared" si="98"/>
        <v>R278</v>
      </c>
      <c r="DG82" t="b">
        <f t="shared" si="113"/>
        <v>0</v>
      </c>
      <c r="DH82" t="str">
        <f t="shared" si="114"/>
        <v>R278</v>
      </c>
    </row>
    <row r="83" spans="2:112" ht="12" customHeight="1">
      <c r="B83" t="str">
        <f>TBIDry!H155</f>
        <v>G24</v>
      </c>
      <c r="C83" t="str">
        <f>TBIDry!I155</f>
        <v>R726</v>
      </c>
      <c r="D83" t="b">
        <f t="shared" si="61"/>
        <v>0</v>
      </c>
      <c r="E83" t="b">
        <f t="shared" si="62"/>
        <v>0</v>
      </c>
      <c r="G83" t="str">
        <f>TBIWet!H155</f>
        <v>G607</v>
      </c>
      <c r="H83" t="str">
        <f>TBIWet!I155</f>
        <v>R181</v>
      </c>
      <c r="I83" t="b">
        <f t="shared" si="63"/>
        <v>0</v>
      </c>
      <c r="J83" t="b">
        <f t="shared" si="64"/>
        <v>0</v>
      </c>
      <c r="L83" t="str">
        <f>'Both teabags AfterWet'!A81</f>
        <v>G456</v>
      </c>
      <c r="M83" t="str">
        <f>'Both teabags AfterWet'!A501</f>
        <v>R202</v>
      </c>
      <c r="N83" t="b">
        <f t="shared" si="65"/>
        <v>0</v>
      </c>
      <c r="O83" t="b">
        <f t="shared" si="115"/>
        <v>0</v>
      </c>
      <c r="Q83" s="388" t="b">
        <f t="shared" si="66"/>
        <v>0</v>
      </c>
      <c r="R83" s="388" t="b">
        <f t="shared" si="67"/>
        <v>0</v>
      </c>
      <c r="T83" t="str">
        <f>'Both teabags AfterDry'!A81</f>
        <v>G2</v>
      </c>
      <c r="U83" t="str">
        <f>'Both teabags AfterDry'!A416</f>
        <v>R299</v>
      </c>
      <c r="V83" t="b">
        <f t="shared" si="68"/>
        <v>0</v>
      </c>
      <c r="W83" t="b">
        <f t="shared" si="99"/>
        <v>0</v>
      </c>
      <c r="Y83" t="str">
        <f>'Green_rooibos initial weight'!A84</f>
        <v>G80</v>
      </c>
      <c r="Z83" t="str">
        <f>'Green_rooibos initial weight'!A988</f>
        <v>R80</v>
      </c>
      <c r="AA83" t="b">
        <f t="shared" si="69"/>
        <v>0</v>
      </c>
      <c r="AB83" t="b">
        <f t="shared" si="70"/>
        <v>0</v>
      </c>
      <c r="AE83" t="str">
        <f>'WetLitterbags placem_collection'!K82</f>
        <v>G607</v>
      </c>
      <c r="AF83" t="str">
        <f>'WetLitterbags placem_collection'!M82</f>
        <v>R181</v>
      </c>
      <c r="AG83" t="b">
        <f t="shared" si="71"/>
        <v>0</v>
      </c>
      <c r="AH83" t="b">
        <f t="shared" si="72"/>
        <v>0</v>
      </c>
      <c r="AJ83" t="b">
        <f t="shared" si="73"/>
        <v>0</v>
      </c>
      <c r="AK83" t="b">
        <f t="shared" si="74"/>
        <v>0</v>
      </c>
      <c r="AM83" t="str">
        <f>IF(ISBLANK('Dry_Litterbag Placem_Collection'!J82),"","G"&amp;""&amp;'Dry_Litterbag Placem_Collection'!J82)</f>
        <v>G24</v>
      </c>
      <c r="AN83" t="str">
        <f>IF(ISBLANK('Dry_Litterbag Placem_Collection'!K82),"","R"&amp;""&amp;'Dry_Litterbag Placem_Collection'!K82)</f>
        <v>R726</v>
      </c>
      <c r="AO83" t="b">
        <f t="shared" si="75"/>
        <v>0</v>
      </c>
      <c r="AP83" t="b">
        <f t="shared" si="76"/>
        <v>0</v>
      </c>
      <c r="AS83" t="str">
        <f>'Ashed teabags dry'!A81</f>
        <v>G2</v>
      </c>
      <c r="AT83" t="str">
        <f>'Ashed teabags dry'!A416</f>
        <v>R299</v>
      </c>
      <c r="AU83" t="b">
        <f t="shared" si="77"/>
        <v>0</v>
      </c>
      <c r="AV83" t="b">
        <f t="shared" si="100"/>
        <v>0</v>
      </c>
      <c r="AX83" s="388" t="b">
        <f t="shared" si="78"/>
        <v>0</v>
      </c>
      <c r="AY83" s="388" t="b">
        <f t="shared" si="79"/>
        <v>0</v>
      </c>
      <c r="BA83" t="str">
        <f>'Ashed teabags wet'!A81</f>
        <v>G456</v>
      </c>
      <c r="BB83" t="str">
        <f>'Ashed teabags wet'!A501</f>
        <v>R202</v>
      </c>
      <c r="BC83" t="b">
        <f t="shared" si="80"/>
        <v>0</v>
      </c>
      <c r="BD83" t="b">
        <f t="shared" si="60"/>
        <v>0</v>
      </c>
      <c r="BF83" t="str">
        <f t="shared" si="81"/>
        <v>G198</v>
      </c>
      <c r="BG83" t="str">
        <f t="shared" si="82"/>
        <v>G198</v>
      </c>
      <c r="BH83" t="str">
        <f t="shared" si="83"/>
        <v>G130</v>
      </c>
      <c r="BI83" t="str">
        <f t="shared" si="101"/>
        <v>G130</v>
      </c>
      <c r="BJ83" t="s">
        <v>1852</v>
      </c>
      <c r="BK83" t="s">
        <v>1852</v>
      </c>
      <c r="BL83" t="s">
        <v>1852</v>
      </c>
      <c r="BM83" t="b">
        <f t="shared" si="102"/>
        <v>1</v>
      </c>
      <c r="BN83" t="str">
        <f t="shared" si="84"/>
        <v>R298</v>
      </c>
      <c r="BO83" t="str">
        <f t="shared" si="85"/>
        <v>R298</v>
      </c>
      <c r="BP83" t="str">
        <f t="shared" si="86"/>
        <v>R270</v>
      </c>
      <c r="BQ83" t="str">
        <f t="shared" si="87"/>
        <v>R270</v>
      </c>
      <c r="BR83" t="s">
        <v>843</v>
      </c>
      <c r="BS83" t="s">
        <v>843</v>
      </c>
      <c r="BT83" t="s">
        <v>843</v>
      </c>
      <c r="BU83" t="b">
        <f t="shared" si="103"/>
        <v>1</v>
      </c>
      <c r="BZ83" t="str">
        <f t="shared" si="88"/>
        <v>G130</v>
      </c>
      <c r="CA83" t="b">
        <f t="shared" si="89"/>
        <v>0</v>
      </c>
      <c r="CB83" t="str">
        <f t="shared" si="104"/>
        <v>G130</v>
      </c>
      <c r="CC83" t="str">
        <f t="shared" si="90"/>
        <v>R270</v>
      </c>
      <c r="CD83" t="b">
        <f t="shared" si="105"/>
        <v>0</v>
      </c>
      <c r="CE83" t="str">
        <f t="shared" si="106"/>
        <v>R270</v>
      </c>
      <c r="CG83" t="str">
        <f t="shared" si="91"/>
        <v>G454</v>
      </c>
      <c r="CH83" t="str">
        <f t="shared" si="107"/>
        <v>G454</v>
      </c>
      <c r="CI83" t="str">
        <f t="shared" si="92"/>
        <v>G217</v>
      </c>
      <c r="CJ83" t="str">
        <f t="shared" si="93"/>
        <v>G217</v>
      </c>
      <c r="CK83" t="s">
        <v>1596</v>
      </c>
      <c r="CL83" t="s">
        <v>1596</v>
      </c>
      <c r="CM83" t="s">
        <v>1596</v>
      </c>
      <c r="CN83" t="b">
        <f t="shared" si="108"/>
        <v>1</v>
      </c>
      <c r="CO83" t="str">
        <f t="shared" si="94"/>
        <v>R20</v>
      </c>
      <c r="CP83" t="str">
        <f t="shared" si="109"/>
        <v>R20</v>
      </c>
      <c r="CQ83" t="str">
        <f t="shared" si="95"/>
        <v>R235</v>
      </c>
      <c r="CR83" t="str">
        <f t="shared" si="96"/>
        <v>R235</v>
      </c>
      <c r="CS83" t="s">
        <v>1121</v>
      </c>
      <c r="CT83" t="s">
        <v>1121</v>
      </c>
      <c r="CU83" t="s">
        <v>1121</v>
      </c>
      <c r="CV83" t="b">
        <f t="shared" si="110"/>
        <v>1</v>
      </c>
      <c r="DC83" t="str">
        <f t="shared" si="97"/>
        <v>G217</v>
      </c>
      <c r="DD83" t="b">
        <f t="shared" si="111"/>
        <v>0</v>
      </c>
      <c r="DE83" t="str">
        <f t="shared" si="112"/>
        <v>G217</v>
      </c>
      <c r="DF83" t="str">
        <f t="shared" si="98"/>
        <v>R235</v>
      </c>
      <c r="DG83" t="b">
        <f t="shared" si="113"/>
        <v>0</v>
      </c>
      <c r="DH83" t="str">
        <f t="shared" si="114"/>
        <v>R235</v>
      </c>
    </row>
    <row r="84" spans="2:112" ht="12" customHeight="1">
      <c r="B84" t="str">
        <f>TBIDry!H156</f>
        <v>G312</v>
      </c>
      <c r="C84" t="str">
        <f>TBIDry!I156</f>
        <v>R739</v>
      </c>
      <c r="D84" t="b">
        <f t="shared" si="61"/>
        <v>0</v>
      </c>
      <c r="E84" t="b">
        <f t="shared" si="62"/>
        <v>0</v>
      </c>
      <c r="G84" t="str">
        <f>TBIWet!H156</f>
        <v>G542</v>
      </c>
      <c r="H84" t="str">
        <f>TBIWet!I156</f>
        <v>R187</v>
      </c>
      <c r="I84" t="b">
        <f t="shared" si="63"/>
        <v>0</v>
      </c>
      <c r="J84" t="b">
        <f t="shared" si="64"/>
        <v>0</v>
      </c>
      <c r="L84" t="str">
        <f>'Both teabags AfterWet'!A82</f>
        <v>G457</v>
      </c>
      <c r="M84" t="str">
        <f>'Both teabags AfterWet'!A502</f>
        <v>R21</v>
      </c>
      <c r="N84" t="b">
        <f t="shared" si="65"/>
        <v>0</v>
      </c>
      <c r="O84" t="b">
        <f t="shared" si="115"/>
        <v>0</v>
      </c>
      <c r="Q84" s="388" t="b">
        <f t="shared" si="66"/>
        <v>0</v>
      </c>
      <c r="R84" s="388" t="b">
        <f t="shared" si="67"/>
        <v>0</v>
      </c>
      <c r="T84" t="str">
        <f>'Both teabags AfterDry'!A82</f>
        <v>G20</v>
      </c>
      <c r="U84" t="str">
        <f>'Both teabags AfterDry'!A417</f>
        <v>R304</v>
      </c>
      <c r="V84" t="b">
        <f t="shared" si="68"/>
        <v>0</v>
      </c>
      <c r="W84" t="b">
        <f t="shared" si="99"/>
        <v>0</v>
      </c>
      <c r="Y84" t="str">
        <f>'Green_rooibos initial weight'!A85</f>
        <v>G81</v>
      </c>
      <c r="Z84" t="str">
        <f>'Green_rooibos initial weight'!A989</f>
        <v>R81</v>
      </c>
      <c r="AA84" t="b">
        <f t="shared" si="69"/>
        <v>0</v>
      </c>
      <c r="AB84" t="b">
        <f t="shared" si="70"/>
        <v>0</v>
      </c>
      <c r="AE84" t="str">
        <f>'WetLitterbags placem_collection'!K83</f>
        <v>G542</v>
      </c>
      <c r="AF84" t="str">
        <f>'WetLitterbags placem_collection'!M83</f>
        <v>R187</v>
      </c>
      <c r="AG84" t="b">
        <f t="shared" si="71"/>
        <v>0</v>
      </c>
      <c r="AH84" t="b">
        <f t="shared" si="72"/>
        <v>0</v>
      </c>
      <c r="AJ84" t="b">
        <f t="shared" si="73"/>
        <v>0</v>
      </c>
      <c r="AK84" t="b">
        <f t="shared" si="74"/>
        <v>0</v>
      </c>
      <c r="AM84" t="str">
        <f>IF(ISBLANK('Dry_Litterbag Placem_Collection'!J83),"","G"&amp;""&amp;'Dry_Litterbag Placem_Collection'!J83)</f>
        <v>G312</v>
      </c>
      <c r="AN84" t="str">
        <f>IF(ISBLANK('Dry_Litterbag Placem_Collection'!K83),"","R"&amp;""&amp;'Dry_Litterbag Placem_Collection'!K83)</f>
        <v>R739</v>
      </c>
      <c r="AO84" t="b">
        <f t="shared" si="75"/>
        <v>0</v>
      </c>
      <c r="AP84" t="b">
        <f t="shared" si="76"/>
        <v>0</v>
      </c>
      <c r="AS84" t="str">
        <f>'Ashed teabags dry'!A82</f>
        <v>G20</v>
      </c>
      <c r="AT84" t="str">
        <f>'Ashed teabags dry'!A417</f>
        <v>R304</v>
      </c>
      <c r="AU84" t="b">
        <f t="shared" si="77"/>
        <v>0</v>
      </c>
      <c r="AV84" t="b">
        <f t="shared" si="100"/>
        <v>0</v>
      </c>
      <c r="AX84" s="388" t="b">
        <f t="shared" si="78"/>
        <v>0</v>
      </c>
      <c r="AY84" s="388" t="b">
        <f t="shared" si="79"/>
        <v>0</v>
      </c>
      <c r="BA84" t="str">
        <f>'Ashed teabags wet'!A82</f>
        <v>G457</v>
      </c>
      <c r="BB84" t="str">
        <f>'Ashed teabags wet'!A502</f>
        <v>R21</v>
      </c>
      <c r="BC84" t="b">
        <f t="shared" si="80"/>
        <v>0</v>
      </c>
      <c r="BD84" t="b">
        <f t="shared" si="60"/>
        <v>0</v>
      </c>
      <c r="BF84" t="str">
        <f t="shared" si="81"/>
        <v>G2</v>
      </c>
      <c r="BG84" t="str">
        <f t="shared" si="82"/>
        <v>G2</v>
      </c>
      <c r="BH84" t="str">
        <f t="shared" si="83"/>
        <v>G24</v>
      </c>
      <c r="BI84" t="str">
        <f t="shared" si="101"/>
        <v>G24</v>
      </c>
      <c r="BJ84" t="s">
        <v>2048</v>
      </c>
      <c r="BK84" t="s">
        <v>2048</v>
      </c>
      <c r="BL84" t="s">
        <v>2048</v>
      </c>
      <c r="BM84" t="b">
        <f t="shared" si="102"/>
        <v>1</v>
      </c>
      <c r="BN84" t="str">
        <f t="shared" si="84"/>
        <v>R299</v>
      </c>
      <c r="BO84" t="str">
        <f t="shared" si="85"/>
        <v>R299</v>
      </c>
      <c r="BP84" t="str">
        <f t="shared" si="86"/>
        <v>R726</v>
      </c>
      <c r="BQ84" t="str">
        <f t="shared" si="87"/>
        <v>R726</v>
      </c>
      <c r="BR84" t="s">
        <v>842</v>
      </c>
      <c r="BS84" t="s">
        <v>842</v>
      </c>
      <c r="BT84" t="s">
        <v>842</v>
      </c>
      <c r="BU84" t="b">
        <f t="shared" si="103"/>
        <v>1</v>
      </c>
      <c r="BZ84" t="str">
        <f t="shared" si="88"/>
        <v>G24</v>
      </c>
      <c r="CA84" t="b">
        <f t="shared" si="89"/>
        <v>0</v>
      </c>
      <c r="CB84" t="str">
        <f t="shared" si="104"/>
        <v>G24</v>
      </c>
      <c r="CC84" t="str">
        <f t="shared" si="90"/>
        <v>R726</v>
      </c>
      <c r="CD84" t="b">
        <f t="shared" si="105"/>
        <v>0</v>
      </c>
      <c r="CE84" t="str">
        <f t="shared" si="106"/>
        <v>R726</v>
      </c>
      <c r="CG84" t="str">
        <f t="shared" si="91"/>
        <v>G456</v>
      </c>
      <c r="CH84" t="str">
        <f t="shared" si="107"/>
        <v>G456</v>
      </c>
      <c r="CI84" t="str">
        <f t="shared" si="92"/>
        <v>G607</v>
      </c>
      <c r="CJ84" t="str">
        <f t="shared" si="93"/>
        <v>G607</v>
      </c>
      <c r="CK84" t="s">
        <v>1594</v>
      </c>
      <c r="CL84" t="s">
        <v>1594</v>
      </c>
      <c r="CM84" t="s">
        <v>1594</v>
      </c>
      <c r="CN84" t="b">
        <f t="shared" si="108"/>
        <v>1</v>
      </c>
      <c r="CO84" t="str">
        <f t="shared" si="94"/>
        <v>R202</v>
      </c>
      <c r="CP84" t="str">
        <f t="shared" si="109"/>
        <v>R202</v>
      </c>
      <c r="CQ84" t="str">
        <f t="shared" si="95"/>
        <v>R181</v>
      </c>
      <c r="CR84" t="str">
        <f t="shared" si="96"/>
        <v>R181</v>
      </c>
      <c r="CS84" t="s">
        <v>939</v>
      </c>
      <c r="CT84" t="s">
        <v>939</v>
      </c>
      <c r="CU84" t="s">
        <v>939</v>
      </c>
      <c r="CV84" t="b">
        <f t="shared" si="110"/>
        <v>1</v>
      </c>
      <c r="DC84" t="str">
        <f t="shared" si="97"/>
        <v>G607</v>
      </c>
      <c r="DD84" t="b">
        <f t="shared" si="111"/>
        <v>0</v>
      </c>
      <c r="DE84" t="str">
        <f t="shared" si="112"/>
        <v>G607</v>
      </c>
      <c r="DF84" t="str">
        <f t="shared" si="98"/>
        <v>R181</v>
      </c>
      <c r="DG84" t="b">
        <f t="shared" si="113"/>
        <v>0</v>
      </c>
      <c r="DH84" t="str">
        <f t="shared" si="114"/>
        <v>R181</v>
      </c>
    </row>
    <row r="85" spans="2:112" ht="12" customHeight="1">
      <c r="B85" t="str">
        <f>TBIDry!H157</f>
        <v>G356</v>
      </c>
      <c r="C85" t="str">
        <f>TBIDry!I157</f>
        <v>R800</v>
      </c>
      <c r="D85" t="b">
        <f t="shared" si="61"/>
        <v>0</v>
      </c>
      <c r="E85" t="b">
        <f t="shared" si="62"/>
        <v>0</v>
      </c>
      <c r="G85" t="str">
        <f>TBIWet!H157</f>
        <v>G536</v>
      </c>
      <c r="H85" t="str">
        <f>TBIWet!I157</f>
        <v>R83</v>
      </c>
      <c r="I85" t="b">
        <f t="shared" si="63"/>
        <v>0</v>
      </c>
      <c r="J85" t="b">
        <f t="shared" si="64"/>
        <v>0</v>
      </c>
      <c r="L85" t="str">
        <f>'Both teabags AfterWet'!A83</f>
        <v>G458</v>
      </c>
      <c r="M85" t="str">
        <f>'Both teabags AfterWet'!A503</f>
        <v>R215</v>
      </c>
      <c r="N85" t="b">
        <f t="shared" si="65"/>
        <v>0</v>
      </c>
      <c r="O85" t="b">
        <f t="shared" si="115"/>
        <v>0</v>
      </c>
      <c r="Q85" s="388" t="b">
        <f t="shared" si="66"/>
        <v>0</v>
      </c>
      <c r="R85" s="388" t="b">
        <f t="shared" si="67"/>
        <v>0</v>
      </c>
      <c r="T85" t="str">
        <f>'Both teabags AfterDry'!A83</f>
        <v>G200</v>
      </c>
      <c r="U85" t="str">
        <f>'Both teabags AfterDry'!A418</f>
        <v>R305</v>
      </c>
      <c r="V85" t="b">
        <f t="shared" si="68"/>
        <v>0</v>
      </c>
      <c r="W85" t="b">
        <f t="shared" si="99"/>
        <v>0</v>
      </c>
      <c r="Y85" t="str">
        <f>'Green_rooibos initial weight'!A86</f>
        <v>G82</v>
      </c>
      <c r="Z85" t="str">
        <f>'Green_rooibos initial weight'!A990</f>
        <v>R82</v>
      </c>
      <c r="AA85" t="b">
        <f t="shared" si="69"/>
        <v>0</v>
      </c>
      <c r="AB85" t="b">
        <f t="shared" si="70"/>
        <v>0</v>
      </c>
      <c r="AE85" t="str">
        <f>'WetLitterbags placem_collection'!K84</f>
        <v>G536</v>
      </c>
      <c r="AF85" t="str">
        <f>'WetLitterbags placem_collection'!M84</f>
        <v>R83</v>
      </c>
      <c r="AG85" t="b">
        <f t="shared" si="71"/>
        <v>0</v>
      </c>
      <c r="AH85" t="b">
        <f t="shared" si="72"/>
        <v>0</v>
      </c>
      <c r="AJ85" t="b">
        <f t="shared" si="73"/>
        <v>0</v>
      </c>
      <c r="AK85" t="b">
        <f t="shared" si="74"/>
        <v>0</v>
      </c>
      <c r="AM85" t="str">
        <f>IF(ISBLANK('Dry_Litterbag Placem_Collection'!J84),"","G"&amp;""&amp;'Dry_Litterbag Placem_Collection'!J84)</f>
        <v>G356</v>
      </c>
      <c r="AN85" t="str">
        <f>IF(ISBLANK('Dry_Litterbag Placem_Collection'!K84),"","R"&amp;""&amp;'Dry_Litterbag Placem_Collection'!K84)</f>
        <v>R800</v>
      </c>
      <c r="AO85" t="b">
        <f t="shared" si="75"/>
        <v>0</v>
      </c>
      <c r="AP85" t="b">
        <f t="shared" si="76"/>
        <v>0</v>
      </c>
      <c r="AS85" t="str">
        <f>'Ashed teabags dry'!A83</f>
        <v>G200</v>
      </c>
      <c r="AT85" t="str">
        <f>'Ashed teabags dry'!A418</f>
        <v>R305</v>
      </c>
      <c r="AU85" t="b">
        <f t="shared" si="77"/>
        <v>0</v>
      </c>
      <c r="AV85" t="b">
        <f t="shared" si="100"/>
        <v>0</v>
      </c>
      <c r="AX85" s="388" t="b">
        <f t="shared" si="78"/>
        <v>0</v>
      </c>
      <c r="AY85" s="388" t="b">
        <f t="shared" si="79"/>
        <v>0</v>
      </c>
      <c r="BA85" t="str">
        <f>'Ashed teabags wet'!A83</f>
        <v>G458</v>
      </c>
      <c r="BB85" t="str">
        <f>'Ashed teabags wet'!A503</f>
        <v>R215</v>
      </c>
      <c r="BC85" t="b">
        <f t="shared" si="80"/>
        <v>0</v>
      </c>
      <c r="BD85" t="b">
        <f t="shared" si="60"/>
        <v>0</v>
      </c>
      <c r="BF85" t="str">
        <f t="shared" si="81"/>
        <v>G20</v>
      </c>
      <c r="BG85" t="str">
        <f t="shared" si="82"/>
        <v>G20</v>
      </c>
      <c r="BH85" t="str">
        <f t="shared" si="83"/>
        <v>G312</v>
      </c>
      <c r="BI85" t="str">
        <f t="shared" si="101"/>
        <v>G312</v>
      </c>
      <c r="BJ85" t="s">
        <v>2030</v>
      </c>
      <c r="BK85" t="s">
        <v>2030</v>
      </c>
      <c r="BL85" t="s">
        <v>2030</v>
      </c>
      <c r="BM85" t="b">
        <f t="shared" si="102"/>
        <v>1</v>
      </c>
      <c r="BN85" t="str">
        <f t="shared" si="84"/>
        <v>R304</v>
      </c>
      <c r="BO85" t="str">
        <f t="shared" si="85"/>
        <v>R304</v>
      </c>
      <c r="BP85" t="str">
        <f t="shared" si="86"/>
        <v>R739</v>
      </c>
      <c r="BQ85" t="str">
        <f t="shared" si="87"/>
        <v>R739</v>
      </c>
      <c r="BR85" t="s">
        <v>837</v>
      </c>
      <c r="BS85" t="s">
        <v>837</v>
      </c>
      <c r="BT85" t="s">
        <v>837</v>
      </c>
      <c r="BU85" t="b">
        <f t="shared" si="103"/>
        <v>1</v>
      </c>
      <c r="BZ85" t="str">
        <f t="shared" si="88"/>
        <v>G312</v>
      </c>
      <c r="CA85" t="b">
        <f t="shared" si="89"/>
        <v>0</v>
      </c>
      <c r="CB85" t="str">
        <f t="shared" si="104"/>
        <v>G312</v>
      </c>
      <c r="CC85" t="str">
        <f t="shared" si="90"/>
        <v>R739</v>
      </c>
      <c r="CD85" t="b">
        <f t="shared" si="105"/>
        <v>0</v>
      </c>
      <c r="CE85" t="str">
        <f t="shared" si="106"/>
        <v>R739</v>
      </c>
      <c r="CG85" t="str">
        <f t="shared" si="91"/>
        <v>G457</v>
      </c>
      <c r="CH85" t="str">
        <f t="shared" si="107"/>
        <v>G457</v>
      </c>
      <c r="CI85" t="str">
        <f t="shared" si="92"/>
        <v>G542</v>
      </c>
      <c r="CJ85" t="str">
        <f t="shared" si="93"/>
        <v>G542</v>
      </c>
      <c r="CK85" t="s">
        <v>1593</v>
      </c>
      <c r="CL85" t="s">
        <v>1593</v>
      </c>
      <c r="CM85" t="s">
        <v>1593</v>
      </c>
      <c r="CN85" t="b">
        <f t="shared" si="108"/>
        <v>1</v>
      </c>
      <c r="CO85" t="str">
        <f t="shared" si="94"/>
        <v>R21</v>
      </c>
      <c r="CP85" t="str">
        <f t="shared" si="109"/>
        <v>R21</v>
      </c>
      <c r="CQ85" t="str">
        <f t="shared" si="95"/>
        <v>R187</v>
      </c>
      <c r="CR85" t="str">
        <f t="shared" si="96"/>
        <v>R187</v>
      </c>
      <c r="CS85" t="s">
        <v>1120</v>
      </c>
      <c r="CT85" t="s">
        <v>1120</v>
      </c>
      <c r="CU85" t="s">
        <v>1120</v>
      </c>
      <c r="CV85" t="b">
        <f t="shared" si="110"/>
        <v>1</v>
      </c>
      <c r="DC85" t="str">
        <f t="shared" si="97"/>
        <v>G542</v>
      </c>
      <c r="DD85" t="b">
        <f t="shared" si="111"/>
        <v>0</v>
      </c>
      <c r="DE85" t="str">
        <f t="shared" si="112"/>
        <v>G542</v>
      </c>
      <c r="DF85" t="str">
        <f t="shared" si="98"/>
        <v>R187</v>
      </c>
      <c r="DG85" t="b">
        <f t="shared" si="113"/>
        <v>0</v>
      </c>
      <c r="DH85" t="str">
        <f t="shared" si="114"/>
        <v>R187</v>
      </c>
    </row>
    <row r="86" spans="2:112" ht="12" customHeight="1">
      <c r="B86" t="str">
        <f>TBIDry!H158</f>
        <v>G331</v>
      </c>
      <c r="C86" t="str">
        <f>TBIDry!I158</f>
        <v>R764</v>
      </c>
      <c r="D86" t="b">
        <f t="shared" si="61"/>
        <v>0</v>
      </c>
      <c r="E86" t="b">
        <f t="shared" si="62"/>
        <v>0</v>
      </c>
      <c r="G86" t="str">
        <f>TBIWet!H158</f>
        <v>G494</v>
      </c>
      <c r="H86" t="str">
        <f>TBIWet!I158</f>
        <v>R134</v>
      </c>
      <c r="I86" t="b">
        <f t="shared" si="63"/>
        <v>0</v>
      </c>
      <c r="J86" t="b">
        <f t="shared" si="64"/>
        <v>0</v>
      </c>
      <c r="L86" t="str">
        <f>'Both teabags AfterWet'!A84</f>
        <v>G459</v>
      </c>
      <c r="M86" t="str">
        <f>'Both teabags AfterWet'!A504</f>
        <v>R216</v>
      </c>
      <c r="N86" t="b">
        <f t="shared" si="65"/>
        <v>0</v>
      </c>
      <c r="O86" t="b">
        <f t="shared" si="115"/>
        <v>0</v>
      </c>
      <c r="Q86" s="388" t="b">
        <f t="shared" si="66"/>
        <v>0</v>
      </c>
      <c r="R86" s="388" t="b">
        <f t="shared" si="67"/>
        <v>0</v>
      </c>
      <c r="T86" t="str">
        <f>'Both teabags AfterDry'!A84</f>
        <v>G204</v>
      </c>
      <c r="U86" t="str">
        <f>'Both teabags AfterDry'!A419</f>
        <v>R306</v>
      </c>
      <c r="V86" t="b">
        <f t="shared" si="68"/>
        <v>0</v>
      </c>
      <c r="W86" t="b">
        <f t="shared" si="99"/>
        <v>0</v>
      </c>
      <c r="Y86" t="str">
        <f>'Green_rooibos initial weight'!A87</f>
        <v>G83</v>
      </c>
      <c r="Z86" t="str">
        <f>'Green_rooibos initial weight'!A991</f>
        <v>R83</v>
      </c>
      <c r="AA86" t="b">
        <f t="shared" si="69"/>
        <v>0</v>
      </c>
      <c r="AB86" t="b">
        <f t="shared" si="70"/>
        <v>0</v>
      </c>
      <c r="AE86" t="str">
        <f>'WetLitterbags placem_collection'!K85</f>
        <v>G494</v>
      </c>
      <c r="AF86" t="str">
        <f>'WetLitterbags placem_collection'!M85</f>
        <v>R134</v>
      </c>
      <c r="AG86" t="b">
        <f t="shared" si="71"/>
        <v>0</v>
      </c>
      <c r="AH86" t="b">
        <f t="shared" si="72"/>
        <v>0</v>
      </c>
      <c r="AJ86" t="b">
        <f t="shared" si="73"/>
        <v>0</v>
      </c>
      <c r="AK86" t="b">
        <f t="shared" si="74"/>
        <v>0</v>
      </c>
      <c r="AM86" t="str">
        <f>IF(ISBLANK('Dry_Litterbag Placem_Collection'!J85),"","G"&amp;""&amp;'Dry_Litterbag Placem_Collection'!J85)</f>
        <v>G331</v>
      </c>
      <c r="AN86" t="str">
        <f>IF(ISBLANK('Dry_Litterbag Placem_Collection'!K85),"","R"&amp;""&amp;'Dry_Litterbag Placem_Collection'!K85)</f>
        <v>R764</v>
      </c>
      <c r="AO86" t="b">
        <f t="shared" si="75"/>
        <v>0</v>
      </c>
      <c r="AP86" t="b">
        <f t="shared" si="76"/>
        <v>0</v>
      </c>
      <c r="AS86" t="str">
        <f>'Ashed teabags dry'!A84</f>
        <v>G204</v>
      </c>
      <c r="AT86" t="str">
        <f>'Ashed teabags dry'!A419</f>
        <v>R306</v>
      </c>
      <c r="AU86" t="b">
        <f t="shared" si="77"/>
        <v>0</v>
      </c>
      <c r="AV86" t="b">
        <f t="shared" si="100"/>
        <v>0</v>
      </c>
      <c r="AX86" s="388" t="b">
        <f t="shared" si="78"/>
        <v>0</v>
      </c>
      <c r="AY86" s="388" t="b">
        <f t="shared" si="79"/>
        <v>0</v>
      </c>
      <c r="BA86" t="str">
        <f>'Ashed teabags wet'!A84</f>
        <v>G459</v>
      </c>
      <c r="BB86" t="str">
        <f>'Ashed teabags wet'!A504</f>
        <v>R216</v>
      </c>
      <c r="BC86" t="b">
        <f t="shared" si="80"/>
        <v>0</v>
      </c>
      <c r="BD86" t="b">
        <f t="shared" si="60"/>
        <v>0</v>
      </c>
      <c r="BF86" t="str">
        <f t="shared" si="81"/>
        <v>G200</v>
      </c>
      <c r="BG86" t="str">
        <f t="shared" si="82"/>
        <v>G200</v>
      </c>
      <c r="BH86" t="str">
        <f t="shared" si="83"/>
        <v>G356</v>
      </c>
      <c r="BI86" t="str">
        <f t="shared" si="101"/>
        <v>G356</v>
      </c>
      <c r="BJ86" t="s">
        <v>1850</v>
      </c>
      <c r="BK86" t="s">
        <v>1850</v>
      </c>
      <c r="BL86" t="s">
        <v>1850</v>
      </c>
      <c r="BM86" t="b">
        <f t="shared" si="102"/>
        <v>1</v>
      </c>
      <c r="BN86" t="str">
        <f t="shared" si="84"/>
        <v>R305</v>
      </c>
      <c r="BO86" t="str">
        <f t="shared" si="85"/>
        <v>R305</v>
      </c>
      <c r="BP86" t="str">
        <f t="shared" si="86"/>
        <v>R800</v>
      </c>
      <c r="BQ86" t="str">
        <f t="shared" si="87"/>
        <v>R800</v>
      </c>
      <c r="BR86" t="s">
        <v>836</v>
      </c>
      <c r="BS86" t="s">
        <v>836</v>
      </c>
      <c r="BT86" t="s">
        <v>836</v>
      </c>
      <c r="BU86" t="b">
        <f t="shared" si="103"/>
        <v>1</v>
      </c>
      <c r="BZ86" t="str">
        <f t="shared" si="88"/>
        <v>G356</v>
      </c>
      <c r="CA86" t="b">
        <f t="shared" si="89"/>
        <v>0</v>
      </c>
      <c r="CB86" t="str">
        <f t="shared" si="104"/>
        <v>G356</v>
      </c>
      <c r="CC86" t="str">
        <f t="shared" si="90"/>
        <v>R800</v>
      </c>
      <c r="CD86" t="b">
        <f t="shared" si="105"/>
        <v>0</v>
      </c>
      <c r="CE86" t="str">
        <f t="shared" si="106"/>
        <v>R800</v>
      </c>
      <c r="CG86" t="str">
        <f t="shared" si="91"/>
        <v>G458</v>
      </c>
      <c r="CH86" t="str">
        <f t="shared" si="107"/>
        <v>G458</v>
      </c>
      <c r="CI86" t="str">
        <f t="shared" si="92"/>
        <v>G536</v>
      </c>
      <c r="CJ86" t="str">
        <f t="shared" si="93"/>
        <v>G536</v>
      </c>
      <c r="CK86" t="s">
        <v>1592</v>
      </c>
      <c r="CL86" t="s">
        <v>1592</v>
      </c>
      <c r="CM86" t="s">
        <v>1592</v>
      </c>
      <c r="CN86" t="b">
        <f t="shared" si="108"/>
        <v>1</v>
      </c>
      <c r="CO86" t="str">
        <f t="shared" si="94"/>
        <v>R215</v>
      </c>
      <c r="CP86" t="str">
        <f t="shared" si="109"/>
        <v>R215</v>
      </c>
      <c r="CQ86" t="str">
        <f t="shared" si="95"/>
        <v>R83</v>
      </c>
      <c r="CR86" t="str">
        <f t="shared" si="96"/>
        <v>R83</v>
      </c>
      <c r="CS86" t="s">
        <v>926</v>
      </c>
      <c r="CT86" t="s">
        <v>926</v>
      </c>
      <c r="CU86" t="s">
        <v>926</v>
      </c>
      <c r="CV86" t="b">
        <f t="shared" si="110"/>
        <v>1</v>
      </c>
      <c r="DC86" t="str">
        <f t="shared" si="97"/>
        <v>G536</v>
      </c>
      <c r="DD86" t="b">
        <f t="shared" si="111"/>
        <v>0</v>
      </c>
      <c r="DE86" t="str">
        <f t="shared" si="112"/>
        <v>G536</v>
      </c>
      <c r="DF86" t="str">
        <f t="shared" si="98"/>
        <v>R83</v>
      </c>
      <c r="DG86" t="b">
        <f t="shared" si="113"/>
        <v>0</v>
      </c>
      <c r="DH86" t="str">
        <f t="shared" si="114"/>
        <v>R83</v>
      </c>
    </row>
    <row r="87" spans="2:112" ht="12" customHeight="1">
      <c r="B87" t="str">
        <f>TBIDry!H159</f>
        <v>G101</v>
      </c>
      <c r="C87" t="str">
        <f>TBIDry!I159</f>
        <v>R778</v>
      </c>
      <c r="D87" t="b">
        <f t="shared" si="61"/>
        <v>0</v>
      </c>
      <c r="E87" t="b">
        <f t="shared" si="62"/>
        <v>0</v>
      </c>
      <c r="G87" t="str">
        <f>TBIWet!H159</f>
        <v>G291</v>
      </c>
      <c r="H87" t="str">
        <f>TBIWet!I159</f>
        <v>R49</v>
      </c>
      <c r="I87" t="b">
        <f t="shared" si="63"/>
        <v>0</v>
      </c>
      <c r="J87" t="b">
        <f t="shared" si="64"/>
        <v>0</v>
      </c>
      <c r="L87" t="str">
        <f>'Both teabags AfterWet'!A85</f>
        <v>G460</v>
      </c>
      <c r="M87" t="str">
        <f>'Both teabags AfterWet'!A505</f>
        <v>R217</v>
      </c>
      <c r="N87" t="b">
        <f t="shared" si="65"/>
        <v>0</v>
      </c>
      <c r="O87" t="b">
        <f t="shared" si="115"/>
        <v>0</v>
      </c>
      <c r="Q87" s="388" t="b">
        <f t="shared" si="66"/>
        <v>0</v>
      </c>
      <c r="R87" s="388" t="b">
        <f t="shared" si="67"/>
        <v>0</v>
      </c>
      <c r="T87" t="str">
        <f>'Both teabags AfterDry'!A85</f>
        <v>G205</v>
      </c>
      <c r="U87" t="str">
        <f>'Both teabags AfterDry'!A420</f>
        <v>R310</v>
      </c>
      <c r="V87" t="b">
        <f t="shared" si="68"/>
        <v>0</v>
      </c>
      <c r="W87" t="b">
        <f t="shared" si="99"/>
        <v>0</v>
      </c>
      <c r="Y87" t="str">
        <f>'Green_rooibos initial weight'!A88</f>
        <v>G84</v>
      </c>
      <c r="Z87" t="str">
        <f>'Green_rooibos initial weight'!A992</f>
        <v>R84</v>
      </c>
      <c r="AA87" t="b">
        <f t="shared" si="69"/>
        <v>0</v>
      </c>
      <c r="AB87" t="b">
        <f t="shared" si="70"/>
        <v>0</v>
      </c>
      <c r="AE87" t="str">
        <f>'WetLitterbags placem_collection'!K86</f>
        <v>G291</v>
      </c>
      <c r="AF87" t="str">
        <f>'WetLitterbags placem_collection'!M86</f>
        <v>R49</v>
      </c>
      <c r="AG87" t="b">
        <f t="shared" si="71"/>
        <v>0</v>
      </c>
      <c r="AH87" t="b">
        <f t="shared" si="72"/>
        <v>0</v>
      </c>
      <c r="AJ87" t="b">
        <f t="shared" si="73"/>
        <v>0</v>
      </c>
      <c r="AK87" t="b">
        <f t="shared" si="74"/>
        <v>0</v>
      </c>
      <c r="AM87" t="str">
        <f>IF(ISBLANK('Dry_Litterbag Placem_Collection'!J86),"","G"&amp;""&amp;'Dry_Litterbag Placem_Collection'!J86)</f>
        <v>G101</v>
      </c>
      <c r="AN87" t="str">
        <f>IF(ISBLANK('Dry_Litterbag Placem_Collection'!K86),"","R"&amp;""&amp;'Dry_Litterbag Placem_Collection'!K86)</f>
        <v>R778</v>
      </c>
      <c r="AO87" t="b">
        <f t="shared" si="75"/>
        <v>0</v>
      </c>
      <c r="AP87" t="b">
        <f t="shared" si="76"/>
        <v>0</v>
      </c>
      <c r="AS87" t="str">
        <f>'Ashed teabags dry'!A85</f>
        <v>G205</v>
      </c>
      <c r="AT87" t="str">
        <f>'Ashed teabags dry'!A420</f>
        <v>R310</v>
      </c>
      <c r="AU87" t="b">
        <f t="shared" si="77"/>
        <v>0</v>
      </c>
      <c r="AV87" t="b">
        <f t="shared" si="100"/>
        <v>0</v>
      </c>
      <c r="AX87" s="388" t="b">
        <f t="shared" si="78"/>
        <v>0</v>
      </c>
      <c r="AY87" s="388" t="b">
        <f t="shared" si="79"/>
        <v>0</v>
      </c>
      <c r="BA87" t="str">
        <f>'Ashed teabags wet'!A85</f>
        <v>G460</v>
      </c>
      <c r="BB87" t="str">
        <f>'Ashed teabags wet'!A505</f>
        <v>R217</v>
      </c>
      <c r="BC87" t="b">
        <f t="shared" si="80"/>
        <v>0</v>
      </c>
      <c r="BD87" t="b">
        <f t="shared" si="60"/>
        <v>0</v>
      </c>
      <c r="BF87" t="str">
        <f t="shared" si="81"/>
        <v>G204</v>
      </c>
      <c r="BG87" t="str">
        <f t="shared" si="82"/>
        <v>G204</v>
      </c>
      <c r="BH87" t="str">
        <f t="shared" si="83"/>
        <v>G331</v>
      </c>
      <c r="BI87" t="str">
        <f t="shared" si="101"/>
        <v>G331</v>
      </c>
      <c r="BJ87" t="s">
        <v>1846</v>
      </c>
      <c r="BK87" t="s">
        <v>1846</v>
      </c>
      <c r="BL87" t="s">
        <v>1846</v>
      </c>
      <c r="BM87" t="b">
        <f t="shared" si="102"/>
        <v>1</v>
      </c>
      <c r="BN87" t="str">
        <f t="shared" si="84"/>
        <v>R306</v>
      </c>
      <c r="BO87" t="str">
        <f t="shared" si="85"/>
        <v>R306</v>
      </c>
      <c r="BP87" t="str">
        <f t="shared" si="86"/>
        <v>R764</v>
      </c>
      <c r="BQ87" t="str">
        <f t="shared" si="87"/>
        <v>R764</v>
      </c>
      <c r="BR87" t="s">
        <v>835</v>
      </c>
      <c r="BS87" t="s">
        <v>835</v>
      </c>
      <c r="BT87" t="s">
        <v>835</v>
      </c>
      <c r="BU87" t="b">
        <f t="shared" si="103"/>
        <v>1</v>
      </c>
      <c r="BZ87" t="str">
        <f t="shared" si="88"/>
        <v>G331</v>
      </c>
      <c r="CA87" t="b">
        <f t="shared" si="89"/>
        <v>0</v>
      </c>
      <c r="CB87" t="str">
        <f t="shared" si="104"/>
        <v>G331</v>
      </c>
      <c r="CC87" t="str">
        <f t="shared" si="90"/>
        <v>R764</v>
      </c>
      <c r="CD87" t="b">
        <f t="shared" si="105"/>
        <v>0</v>
      </c>
      <c r="CE87" t="str">
        <f t="shared" si="106"/>
        <v>R764</v>
      </c>
      <c r="CG87" t="str">
        <f t="shared" si="91"/>
        <v>G459</v>
      </c>
      <c r="CH87" t="str">
        <f t="shared" si="107"/>
        <v>G459</v>
      </c>
      <c r="CI87" t="str">
        <f t="shared" si="92"/>
        <v>G494</v>
      </c>
      <c r="CJ87" t="str">
        <f t="shared" si="93"/>
        <v>G494</v>
      </c>
      <c r="CK87" t="s">
        <v>1591</v>
      </c>
      <c r="CL87" t="s">
        <v>1591</v>
      </c>
      <c r="CM87" t="s">
        <v>1591</v>
      </c>
      <c r="CN87" t="b">
        <f t="shared" si="108"/>
        <v>1</v>
      </c>
      <c r="CO87" t="str">
        <f t="shared" si="94"/>
        <v>R216</v>
      </c>
      <c r="CP87" t="str">
        <f t="shared" si="109"/>
        <v>R216</v>
      </c>
      <c r="CQ87" t="str">
        <f t="shared" si="95"/>
        <v>R134</v>
      </c>
      <c r="CR87" t="str">
        <f t="shared" si="96"/>
        <v>R134</v>
      </c>
      <c r="CS87" t="s">
        <v>925</v>
      </c>
      <c r="CT87" t="s">
        <v>925</v>
      </c>
      <c r="CU87" t="s">
        <v>925</v>
      </c>
      <c r="CV87" t="b">
        <f t="shared" si="110"/>
        <v>1</v>
      </c>
      <c r="DC87" t="str">
        <f t="shared" si="97"/>
        <v>G494</v>
      </c>
      <c r="DD87" t="b">
        <f t="shared" si="111"/>
        <v>0</v>
      </c>
      <c r="DE87" t="str">
        <f t="shared" si="112"/>
        <v>G494</v>
      </c>
      <c r="DF87" t="str">
        <f t="shared" si="98"/>
        <v>R134</v>
      </c>
      <c r="DG87" t="b">
        <f t="shared" si="113"/>
        <v>0</v>
      </c>
      <c r="DH87" t="str">
        <f t="shared" si="114"/>
        <v>R134</v>
      </c>
    </row>
    <row r="88" spans="2:112" ht="12" customHeight="1">
      <c r="B88" t="str">
        <f>TBIDry!H160</f>
        <v/>
      </c>
      <c r="C88" t="str">
        <f>TBIDry!I160</f>
        <v/>
      </c>
      <c r="D88" t="b">
        <f t="shared" si="61"/>
        <v>1</v>
      </c>
      <c r="E88" t="b">
        <f t="shared" si="62"/>
        <v>1</v>
      </c>
      <c r="G88" t="str">
        <f>TBIWet!H160</f>
        <v>G308</v>
      </c>
      <c r="H88" t="str">
        <f>TBIWet!I160</f>
        <v>R315</v>
      </c>
      <c r="I88" t="b">
        <f t="shared" si="63"/>
        <v>0</v>
      </c>
      <c r="J88" t="b">
        <f t="shared" si="64"/>
        <v>0</v>
      </c>
      <c r="L88" t="str">
        <f>'Both teabags AfterWet'!A86</f>
        <v>G461</v>
      </c>
      <c r="M88" t="str">
        <f>'Both teabags AfterWet'!A506</f>
        <v>R218</v>
      </c>
      <c r="N88" t="b">
        <f t="shared" si="65"/>
        <v>0</v>
      </c>
      <c r="O88" t="b">
        <f t="shared" si="115"/>
        <v>0</v>
      </c>
      <c r="Q88" s="388" t="b">
        <f t="shared" si="66"/>
        <v>0</v>
      </c>
      <c r="R88" s="388" t="b">
        <f t="shared" si="67"/>
        <v>0</v>
      </c>
      <c r="T88" t="str">
        <f>'Both teabags AfterDry'!A86</f>
        <v>G206</v>
      </c>
      <c r="U88" t="str">
        <f>'Both teabags AfterDry'!A421</f>
        <v>R313</v>
      </c>
      <c r="V88" t="b">
        <f t="shared" si="68"/>
        <v>0</v>
      </c>
      <c r="W88" t="b">
        <f t="shared" si="99"/>
        <v>0</v>
      </c>
      <c r="Y88" t="str">
        <f>'Green_rooibos initial weight'!A89</f>
        <v>G85</v>
      </c>
      <c r="Z88" t="str">
        <f>'Green_rooibos initial weight'!A993</f>
        <v>R85</v>
      </c>
      <c r="AA88" t="b">
        <f t="shared" si="69"/>
        <v>0</v>
      </c>
      <c r="AB88" t="b">
        <f t="shared" si="70"/>
        <v>0</v>
      </c>
      <c r="AE88" t="str">
        <f>'WetLitterbags placem_collection'!K87</f>
        <v>G308</v>
      </c>
      <c r="AF88" t="str">
        <f>'WetLitterbags placem_collection'!M87</f>
        <v>R315</v>
      </c>
      <c r="AG88" t="b">
        <f t="shared" si="71"/>
        <v>0</v>
      </c>
      <c r="AH88" t="b">
        <f t="shared" si="72"/>
        <v>0</v>
      </c>
      <c r="AJ88" t="b">
        <f t="shared" si="73"/>
        <v>0</v>
      </c>
      <c r="AK88" t="b">
        <f t="shared" si="74"/>
        <v>0</v>
      </c>
      <c r="AM88" t="str">
        <f>IF(ISBLANK('Dry_Litterbag Placem_Collection'!J87),"","G"&amp;""&amp;'Dry_Litterbag Placem_Collection'!J87)</f>
        <v/>
      </c>
      <c r="AN88" t="str">
        <f>IF(ISBLANK('Dry_Litterbag Placem_Collection'!K87),"","R"&amp;""&amp;'Dry_Litterbag Placem_Collection'!K87)</f>
        <v/>
      </c>
      <c r="AO88" t="b">
        <f t="shared" si="75"/>
        <v>1</v>
      </c>
      <c r="AP88" t="b">
        <f t="shared" si="76"/>
        <v>1</v>
      </c>
      <c r="AS88" t="str">
        <f>'Ashed teabags dry'!A86</f>
        <v>G206</v>
      </c>
      <c r="AT88" t="str">
        <f>'Ashed teabags dry'!A421</f>
        <v>R313</v>
      </c>
      <c r="AU88" t="b">
        <f t="shared" si="77"/>
        <v>0</v>
      </c>
      <c r="AV88" t="b">
        <f t="shared" si="100"/>
        <v>0</v>
      </c>
      <c r="AX88" s="388" t="b">
        <f t="shared" si="78"/>
        <v>0</v>
      </c>
      <c r="AY88" s="388" t="b">
        <f t="shared" si="79"/>
        <v>0</v>
      </c>
      <c r="BA88" t="str">
        <f>'Ashed teabags wet'!A86</f>
        <v>G461</v>
      </c>
      <c r="BB88" t="str">
        <f>'Ashed teabags wet'!A506</f>
        <v>R218</v>
      </c>
      <c r="BC88" t="b">
        <f t="shared" si="80"/>
        <v>0</v>
      </c>
      <c r="BD88" t="b">
        <f t="shared" si="60"/>
        <v>0</v>
      </c>
      <c r="BF88" t="str">
        <f t="shared" si="81"/>
        <v>G205</v>
      </c>
      <c r="BG88" t="str">
        <f t="shared" si="82"/>
        <v>G205</v>
      </c>
      <c r="BH88" t="str">
        <f t="shared" si="83"/>
        <v>G101</v>
      </c>
      <c r="BI88" t="str">
        <f t="shared" si="101"/>
        <v>G101</v>
      </c>
      <c r="BJ88" t="s">
        <v>1845</v>
      </c>
      <c r="BK88" t="s">
        <v>1845</v>
      </c>
      <c r="BL88" t="s">
        <v>1845</v>
      </c>
      <c r="BM88" t="b">
        <f t="shared" si="102"/>
        <v>1</v>
      </c>
      <c r="BN88" t="str">
        <f t="shared" si="84"/>
        <v>R310</v>
      </c>
      <c r="BO88" t="str">
        <f t="shared" si="85"/>
        <v>R310</v>
      </c>
      <c r="BP88" t="str">
        <f t="shared" si="86"/>
        <v>R778</v>
      </c>
      <c r="BQ88" t="str">
        <f t="shared" si="87"/>
        <v>R778</v>
      </c>
      <c r="BR88" t="s">
        <v>831</v>
      </c>
      <c r="BS88" t="s">
        <v>831</v>
      </c>
      <c r="BT88" t="s">
        <v>831</v>
      </c>
      <c r="BU88" t="b">
        <f t="shared" si="103"/>
        <v>1</v>
      </c>
      <c r="BZ88" t="str">
        <f t="shared" si="88"/>
        <v>G101</v>
      </c>
      <c r="CA88" t="b">
        <f t="shared" si="89"/>
        <v>0</v>
      </c>
      <c r="CB88" t="str">
        <f t="shared" si="104"/>
        <v>G101</v>
      </c>
      <c r="CC88" t="str">
        <f t="shared" si="90"/>
        <v>R778</v>
      </c>
      <c r="CD88" t="b">
        <f t="shared" si="105"/>
        <v>0</v>
      </c>
      <c r="CE88" t="str">
        <f t="shared" si="106"/>
        <v>R778</v>
      </c>
      <c r="CG88" t="str">
        <f t="shared" si="91"/>
        <v>G460</v>
      </c>
      <c r="CH88" t="str">
        <f t="shared" si="107"/>
        <v>G460</v>
      </c>
      <c r="CI88" t="str">
        <f t="shared" si="92"/>
        <v>G291</v>
      </c>
      <c r="CJ88" t="str">
        <f t="shared" si="93"/>
        <v>G291</v>
      </c>
      <c r="CK88" t="s">
        <v>1590</v>
      </c>
      <c r="CL88" t="s">
        <v>1590</v>
      </c>
      <c r="CM88" t="s">
        <v>1590</v>
      </c>
      <c r="CN88" t="b">
        <f t="shared" si="108"/>
        <v>1</v>
      </c>
      <c r="CO88" t="str">
        <f t="shared" si="94"/>
        <v>R217</v>
      </c>
      <c r="CP88" t="str">
        <f t="shared" si="109"/>
        <v>R217</v>
      </c>
      <c r="CQ88" t="str">
        <f t="shared" si="95"/>
        <v>R49</v>
      </c>
      <c r="CR88" t="str">
        <f t="shared" si="96"/>
        <v>R49</v>
      </c>
      <c r="CS88" t="s">
        <v>924</v>
      </c>
      <c r="CT88" t="s">
        <v>924</v>
      </c>
      <c r="CU88" t="s">
        <v>924</v>
      </c>
      <c r="CV88" t="b">
        <f t="shared" si="110"/>
        <v>1</v>
      </c>
      <c r="DC88" t="str">
        <f t="shared" si="97"/>
        <v>G291</v>
      </c>
      <c r="DD88" t="b">
        <f t="shared" si="111"/>
        <v>0</v>
      </c>
      <c r="DE88" t="str">
        <f t="shared" si="112"/>
        <v>G291</v>
      </c>
      <c r="DF88" t="str">
        <f t="shared" si="98"/>
        <v>R49</v>
      </c>
      <c r="DG88" t="b">
        <f t="shared" si="113"/>
        <v>0</v>
      </c>
      <c r="DH88" t="str">
        <f t="shared" si="114"/>
        <v>R49</v>
      </c>
    </row>
    <row r="89" spans="2:112" ht="12" customHeight="1">
      <c r="B89" t="str">
        <f>TBIDry!H161</f>
        <v>G31</v>
      </c>
      <c r="C89" t="str">
        <f>TBIDry!I161</f>
        <v>R738</v>
      </c>
      <c r="D89" t="b">
        <f t="shared" si="61"/>
        <v>0</v>
      </c>
      <c r="E89" t="b">
        <f t="shared" si="62"/>
        <v>0</v>
      </c>
      <c r="G89" t="str">
        <f>TBIWet!H161</f>
        <v>G723</v>
      </c>
      <c r="H89" t="str">
        <f>TBIWet!I161</f>
        <v>R1</v>
      </c>
      <c r="I89" t="b">
        <f t="shared" si="63"/>
        <v>0</v>
      </c>
      <c r="J89" t="b">
        <f t="shared" si="64"/>
        <v>0</v>
      </c>
      <c r="L89" t="str">
        <f>'Both teabags AfterWet'!A87</f>
        <v>G462</v>
      </c>
      <c r="M89" t="str">
        <f>'Both teabags AfterWet'!A507</f>
        <v>R219</v>
      </c>
      <c r="N89" t="b">
        <f t="shared" si="65"/>
        <v>0</v>
      </c>
      <c r="O89" t="b">
        <f t="shared" si="115"/>
        <v>0</v>
      </c>
      <c r="Q89" s="388" t="b">
        <f t="shared" si="66"/>
        <v>0</v>
      </c>
      <c r="R89" s="388" t="b">
        <f t="shared" si="67"/>
        <v>0</v>
      </c>
      <c r="T89" t="str">
        <f>'Both teabags AfterDry'!A87</f>
        <v>G207</v>
      </c>
      <c r="U89" t="str">
        <f>'Both teabags AfterDry'!A422</f>
        <v>R314</v>
      </c>
      <c r="V89" t="b">
        <f t="shared" si="68"/>
        <v>0</v>
      </c>
      <c r="W89" t="b">
        <f t="shared" si="99"/>
        <v>0</v>
      </c>
      <c r="Y89" t="str">
        <f>'Green_rooibos initial weight'!A90</f>
        <v>G86</v>
      </c>
      <c r="Z89" t="str">
        <f>'Green_rooibos initial weight'!A994</f>
        <v>R86</v>
      </c>
      <c r="AA89" t="b">
        <f t="shared" si="69"/>
        <v>0</v>
      </c>
      <c r="AB89" t="b">
        <f t="shared" si="70"/>
        <v>0</v>
      </c>
      <c r="AE89" t="str">
        <f>'WetLitterbags placem_collection'!K88</f>
        <v>G723</v>
      </c>
      <c r="AF89" t="str">
        <f>'WetLitterbags placem_collection'!M88</f>
        <v>R1</v>
      </c>
      <c r="AG89" t="b">
        <f t="shared" si="71"/>
        <v>0</v>
      </c>
      <c r="AH89" t="b">
        <f t="shared" si="72"/>
        <v>0</v>
      </c>
      <c r="AJ89" t="b">
        <f t="shared" si="73"/>
        <v>0</v>
      </c>
      <c r="AK89" t="b">
        <f t="shared" si="74"/>
        <v>0</v>
      </c>
      <c r="AM89" t="str">
        <f>IF(ISBLANK('Dry_Litterbag Placem_Collection'!J88),"","G"&amp;""&amp;'Dry_Litterbag Placem_Collection'!J88)</f>
        <v>G31</v>
      </c>
      <c r="AN89" t="str">
        <f>IF(ISBLANK('Dry_Litterbag Placem_Collection'!K88),"","R"&amp;""&amp;'Dry_Litterbag Placem_Collection'!K88)</f>
        <v>R738</v>
      </c>
      <c r="AO89" t="b">
        <f t="shared" si="75"/>
        <v>0</v>
      </c>
      <c r="AP89" t="b">
        <f t="shared" si="76"/>
        <v>0</v>
      </c>
      <c r="AS89" t="str">
        <f>'Ashed teabags dry'!A87</f>
        <v>G207</v>
      </c>
      <c r="AT89" t="str">
        <f>'Ashed teabags dry'!A422</f>
        <v>R314</v>
      </c>
      <c r="AU89" t="b">
        <f t="shared" si="77"/>
        <v>0</v>
      </c>
      <c r="AV89" t="b">
        <f t="shared" si="100"/>
        <v>0</v>
      </c>
      <c r="AX89" s="388" t="b">
        <f t="shared" si="78"/>
        <v>0</v>
      </c>
      <c r="AY89" s="388" t="b">
        <f t="shared" si="79"/>
        <v>0</v>
      </c>
      <c r="BA89" t="str">
        <f>'Ashed teabags wet'!A87</f>
        <v>G462</v>
      </c>
      <c r="BB89" t="str">
        <f>'Ashed teabags wet'!A507</f>
        <v>R219</v>
      </c>
      <c r="BC89" t="b">
        <f t="shared" si="80"/>
        <v>0</v>
      </c>
      <c r="BD89" t="b">
        <f t="shared" si="60"/>
        <v>0</v>
      </c>
      <c r="BF89" t="str">
        <f t="shared" si="81"/>
        <v>G206</v>
      </c>
      <c r="BG89" t="str">
        <f t="shared" si="82"/>
        <v>G206</v>
      </c>
      <c r="BH89" t="str">
        <f t="shared" si="83"/>
        <v/>
      </c>
      <c r="BI89" t="str">
        <f t="shared" si="101"/>
        <v/>
      </c>
      <c r="BJ89" t="s">
        <v>1844</v>
      </c>
      <c r="BK89" t="s">
        <v>1844</v>
      </c>
      <c r="BL89" t="s">
        <v>1844</v>
      </c>
      <c r="BM89" t="b">
        <f t="shared" si="102"/>
        <v>1</v>
      </c>
      <c r="BN89" t="str">
        <f t="shared" si="84"/>
        <v>R313</v>
      </c>
      <c r="BO89" t="str">
        <f t="shared" si="85"/>
        <v>R313</v>
      </c>
      <c r="BP89" t="str">
        <f t="shared" si="86"/>
        <v/>
      </c>
      <c r="BQ89" t="str">
        <f t="shared" si="87"/>
        <v/>
      </c>
      <c r="BR89" t="s">
        <v>828</v>
      </c>
      <c r="BS89" t="s">
        <v>828</v>
      </c>
      <c r="BT89" t="s">
        <v>828</v>
      </c>
      <c r="BU89" t="b">
        <f t="shared" si="103"/>
        <v>1</v>
      </c>
      <c r="BZ89" t="str">
        <f t="shared" si="88"/>
        <v/>
      </c>
      <c r="CA89" t="b">
        <f t="shared" si="89"/>
        <v>0</v>
      </c>
      <c r="CB89" t="str">
        <f t="shared" si="104"/>
        <v/>
      </c>
      <c r="CC89" t="str">
        <f t="shared" si="90"/>
        <v/>
      </c>
      <c r="CD89" t="b">
        <f t="shared" si="105"/>
        <v>0</v>
      </c>
      <c r="CE89" t="str">
        <f t="shared" si="106"/>
        <v/>
      </c>
      <c r="CG89" t="str">
        <f t="shared" si="91"/>
        <v>G461</v>
      </c>
      <c r="CH89" t="str">
        <f t="shared" si="107"/>
        <v>G461</v>
      </c>
      <c r="CI89" t="str">
        <f t="shared" si="92"/>
        <v>G308</v>
      </c>
      <c r="CJ89" t="str">
        <f t="shared" si="93"/>
        <v>G308</v>
      </c>
      <c r="CK89" t="s">
        <v>1589</v>
      </c>
      <c r="CL89" t="s">
        <v>1589</v>
      </c>
      <c r="CM89" t="s">
        <v>1589</v>
      </c>
      <c r="CN89" t="b">
        <f t="shared" si="108"/>
        <v>1</v>
      </c>
      <c r="CO89" t="str">
        <f t="shared" si="94"/>
        <v>R218</v>
      </c>
      <c r="CP89" t="str">
        <f t="shared" si="109"/>
        <v>R218</v>
      </c>
      <c r="CQ89" t="str">
        <f t="shared" si="95"/>
        <v>R315</v>
      </c>
      <c r="CR89" t="str">
        <f t="shared" si="96"/>
        <v>R315</v>
      </c>
      <c r="CS89" t="s">
        <v>923</v>
      </c>
      <c r="CT89" t="s">
        <v>923</v>
      </c>
      <c r="CU89" t="s">
        <v>923</v>
      </c>
      <c r="CV89" t="b">
        <f t="shared" si="110"/>
        <v>1</v>
      </c>
      <c r="DC89" t="str">
        <f t="shared" si="97"/>
        <v>G308</v>
      </c>
      <c r="DD89" t="b">
        <f t="shared" si="111"/>
        <v>0</v>
      </c>
      <c r="DE89" t="str">
        <f t="shared" si="112"/>
        <v>G308</v>
      </c>
      <c r="DF89" t="str">
        <f t="shared" si="98"/>
        <v>R315</v>
      </c>
      <c r="DG89" t="b">
        <f t="shared" si="113"/>
        <v>0</v>
      </c>
      <c r="DH89" t="str">
        <f t="shared" si="114"/>
        <v>R315</v>
      </c>
    </row>
    <row r="90" spans="2:112" ht="12" customHeight="1">
      <c r="B90" t="str">
        <f>TBIDry!H162</f>
        <v>G220</v>
      </c>
      <c r="C90" t="str">
        <f>TBIDry!I162</f>
        <v>R394</v>
      </c>
      <c r="D90" t="b">
        <f t="shared" si="61"/>
        <v>0</v>
      </c>
      <c r="E90" t="b">
        <f t="shared" si="62"/>
        <v>0</v>
      </c>
      <c r="G90" t="str">
        <f>TBIWet!H162</f>
        <v>G628</v>
      </c>
      <c r="H90" t="str">
        <f>TBIWet!I162</f>
        <v>R408</v>
      </c>
      <c r="I90" t="b">
        <f t="shared" si="63"/>
        <v>0</v>
      </c>
      <c r="J90" t="b">
        <f t="shared" si="64"/>
        <v>0</v>
      </c>
      <c r="L90" t="str">
        <f>'Both teabags AfterWet'!A88</f>
        <v>G469</v>
      </c>
      <c r="M90" t="str">
        <f>'Both teabags AfterWet'!A508</f>
        <v>R22</v>
      </c>
      <c r="N90" t="b">
        <f t="shared" si="65"/>
        <v>0</v>
      </c>
      <c r="O90" t="b">
        <f t="shared" si="115"/>
        <v>0</v>
      </c>
      <c r="Q90" s="388" t="b">
        <f t="shared" si="66"/>
        <v>0</v>
      </c>
      <c r="R90" s="388" t="b">
        <f t="shared" si="67"/>
        <v>0</v>
      </c>
      <c r="T90" t="str">
        <f>'Both teabags AfterDry'!A88</f>
        <v>G209</v>
      </c>
      <c r="U90" t="str">
        <f>'Both teabags AfterDry'!A423</f>
        <v>R320</v>
      </c>
      <c r="V90" t="b">
        <f t="shared" si="68"/>
        <v>0</v>
      </c>
      <c r="W90" t="b">
        <f t="shared" si="99"/>
        <v>0</v>
      </c>
      <c r="Y90" t="str">
        <f>'Green_rooibos initial weight'!A91</f>
        <v>G87</v>
      </c>
      <c r="Z90" t="str">
        <f>'Green_rooibos initial weight'!A995</f>
        <v>R87</v>
      </c>
      <c r="AA90" t="b">
        <f t="shared" si="69"/>
        <v>0</v>
      </c>
      <c r="AB90" t="b">
        <f t="shared" si="70"/>
        <v>0</v>
      </c>
      <c r="AE90" t="str">
        <f>'WetLitterbags placem_collection'!K89</f>
        <v>G628</v>
      </c>
      <c r="AF90" t="str">
        <f>'WetLitterbags placem_collection'!M89</f>
        <v>R408</v>
      </c>
      <c r="AG90" t="b">
        <f t="shared" si="71"/>
        <v>0</v>
      </c>
      <c r="AH90" t="b">
        <f t="shared" si="72"/>
        <v>0</v>
      </c>
      <c r="AJ90" t="b">
        <f t="shared" si="73"/>
        <v>0</v>
      </c>
      <c r="AK90" t="b">
        <f t="shared" si="74"/>
        <v>0</v>
      </c>
      <c r="AM90" t="str">
        <f>IF(ISBLANK('Dry_Litterbag Placem_Collection'!J89),"","G"&amp;""&amp;'Dry_Litterbag Placem_Collection'!J89)</f>
        <v>G220</v>
      </c>
      <c r="AN90" t="str">
        <f>IF(ISBLANK('Dry_Litterbag Placem_Collection'!K89),"","R"&amp;""&amp;'Dry_Litterbag Placem_Collection'!K89)</f>
        <v>R394</v>
      </c>
      <c r="AO90" t="b">
        <f t="shared" si="75"/>
        <v>0</v>
      </c>
      <c r="AP90" t="b">
        <f t="shared" si="76"/>
        <v>0</v>
      </c>
      <c r="AS90" t="str">
        <f>'Ashed teabags dry'!A88</f>
        <v>G209</v>
      </c>
      <c r="AT90" t="str">
        <f>'Ashed teabags dry'!A423</f>
        <v>R320</v>
      </c>
      <c r="AU90" t="b">
        <f t="shared" si="77"/>
        <v>0</v>
      </c>
      <c r="AV90" t="b">
        <f t="shared" si="100"/>
        <v>0</v>
      </c>
      <c r="AX90" s="388" t="b">
        <f t="shared" si="78"/>
        <v>0</v>
      </c>
      <c r="AY90" s="388" t="b">
        <f t="shared" si="79"/>
        <v>0</v>
      </c>
      <c r="BA90" t="str">
        <f>'Ashed teabags wet'!A88</f>
        <v>G469</v>
      </c>
      <c r="BB90" t="str">
        <f>'Ashed teabags wet'!A508</f>
        <v>R22</v>
      </c>
      <c r="BC90" t="b">
        <f t="shared" si="80"/>
        <v>0</v>
      </c>
      <c r="BD90" t="b">
        <f t="shared" si="60"/>
        <v>0</v>
      </c>
      <c r="BF90" t="str">
        <f t="shared" si="81"/>
        <v>G207</v>
      </c>
      <c r="BG90" t="str">
        <f t="shared" si="82"/>
        <v>G207</v>
      </c>
      <c r="BH90" t="str">
        <f t="shared" si="83"/>
        <v>G31</v>
      </c>
      <c r="BI90" t="str">
        <f t="shared" si="101"/>
        <v/>
      </c>
      <c r="BJ90" t="s">
        <v>1843</v>
      </c>
      <c r="BK90" t="s">
        <v>1843</v>
      </c>
      <c r="BL90" t="s">
        <v>1843</v>
      </c>
      <c r="BM90" t="b">
        <f t="shared" si="102"/>
        <v>1</v>
      </c>
      <c r="BN90" t="str">
        <f t="shared" si="84"/>
        <v>R314</v>
      </c>
      <c r="BO90" t="str">
        <f t="shared" si="85"/>
        <v>R314</v>
      </c>
      <c r="BP90" t="str">
        <f t="shared" si="86"/>
        <v>R738</v>
      </c>
      <c r="BQ90" t="str">
        <f t="shared" si="87"/>
        <v/>
      </c>
      <c r="BR90" t="s">
        <v>827</v>
      </c>
      <c r="BS90" t="s">
        <v>827</v>
      </c>
      <c r="BT90" t="s">
        <v>827</v>
      </c>
      <c r="BU90" t="b">
        <f t="shared" si="103"/>
        <v>1</v>
      </c>
      <c r="BZ90" t="str">
        <f t="shared" si="88"/>
        <v>G31</v>
      </c>
      <c r="CA90" t="b">
        <f t="shared" si="89"/>
        <v>1</v>
      </c>
      <c r="CB90" t="str">
        <f t="shared" si="104"/>
        <v/>
      </c>
      <c r="CC90" t="str">
        <f t="shared" si="90"/>
        <v>R738</v>
      </c>
      <c r="CD90" t="b">
        <f t="shared" si="105"/>
        <v>1</v>
      </c>
      <c r="CE90" t="str">
        <f t="shared" si="106"/>
        <v/>
      </c>
      <c r="CG90" t="str">
        <f t="shared" si="91"/>
        <v>G462</v>
      </c>
      <c r="CH90" t="str">
        <f t="shared" si="107"/>
        <v>G462</v>
      </c>
      <c r="CI90" t="str">
        <f t="shared" si="92"/>
        <v>G723</v>
      </c>
      <c r="CJ90" t="str">
        <f t="shared" si="93"/>
        <v>G723</v>
      </c>
      <c r="CK90" t="s">
        <v>1588</v>
      </c>
      <c r="CL90" t="s">
        <v>1588</v>
      </c>
      <c r="CM90" t="s">
        <v>1588</v>
      </c>
      <c r="CN90" t="b">
        <f t="shared" si="108"/>
        <v>1</v>
      </c>
      <c r="CO90" t="str">
        <f t="shared" si="94"/>
        <v>R219</v>
      </c>
      <c r="CP90" t="str">
        <f t="shared" si="109"/>
        <v>R219</v>
      </c>
      <c r="CQ90" t="str">
        <f t="shared" si="95"/>
        <v>R1</v>
      </c>
      <c r="CR90" t="str">
        <f t="shared" si="96"/>
        <v>R1</v>
      </c>
      <c r="CS90" t="s">
        <v>922</v>
      </c>
      <c r="CT90" t="s">
        <v>922</v>
      </c>
      <c r="CU90" t="s">
        <v>922</v>
      </c>
      <c r="CV90" t="b">
        <f t="shared" si="110"/>
        <v>1</v>
      </c>
      <c r="DC90" t="str">
        <f t="shared" si="97"/>
        <v>G723</v>
      </c>
      <c r="DD90" t="b">
        <f t="shared" si="111"/>
        <v>0</v>
      </c>
      <c r="DE90" t="str">
        <f t="shared" si="112"/>
        <v>G723</v>
      </c>
      <c r="DF90" t="str">
        <f t="shared" si="98"/>
        <v>R1</v>
      </c>
      <c r="DG90" t="b">
        <f t="shared" si="113"/>
        <v>0</v>
      </c>
      <c r="DH90" t="str">
        <f t="shared" si="114"/>
        <v>R1</v>
      </c>
    </row>
    <row r="91" spans="2:112" ht="12" customHeight="1">
      <c r="B91" t="str">
        <f>TBIDry!H163</f>
        <v>G531</v>
      </c>
      <c r="C91" t="str">
        <f>TBIDry!I163</f>
        <v>R810</v>
      </c>
      <c r="D91" t="b">
        <f t="shared" si="61"/>
        <v>0</v>
      </c>
      <c r="E91" s="113" t="b">
        <f t="shared" si="62"/>
        <v>0</v>
      </c>
      <c r="G91" t="str">
        <f>TBIWet!H163</f>
        <v>G569</v>
      </c>
      <c r="H91" t="str">
        <f>TBIWet!I163</f>
        <v>R385</v>
      </c>
      <c r="I91" t="b">
        <f t="shared" si="63"/>
        <v>0</v>
      </c>
      <c r="J91" t="b">
        <f t="shared" si="64"/>
        <v>0</v>
      </c>
      <c r="L91" t="str">
        <f>'Both teabags AfterWet'!A89</f>
        <v>G470</v>
      </c>
      <c r="M91" t="str">
        <f>'Both teabags AfterWet'!A509</f>
        <v>R222</v>
      </c>
      <c r="N91" t="b">
        <f t="shared" si="65"/>
        <v>0</v>
      </c>
      <c r="O91" t="b">
        <f t="shared" si="115"/>
        <v>0</v>
      </c>
      <c r="Q91" s="388" t="b">
        <f t="shared" si="66"/>
        <v>0</v>
      </c>
      <c r="R91" s="388" t="b">
        <f t="shared" si="67"/>
        <v>0</v>
      </c>
      <c r="T91" t="str">
        <f>'Both teabags AfterDry'!A89</f>
        <v>G21</v>
      </c>
      <c r="U91" t="str">
        <f>'Both teabags AfterDry'!A424</f>
        <v>R321</v>
      </c>
      <c r="V91" t="b">
        <f t="shared" si="68"/>
        <v>0</v>
      </c>
      <c r="W91" t="b">
        <f t="shared" si="99"/>
        <v>0</v>
      </c>
      <c r="Y91" t="str">
        <f>'Green_rooibos initial weight'!A92</f>
        <v>G88</v>
      </c>
      <c r="Z91" t="str">
        <f>'Green_rooibos initial weight'!A996</f>
        <v>R88</v>
      </c>
      <c r="AA91" t="b">
        <f t="shared" si="69"/>
        <v>0</v>
      </c>
      <c r="AB91" t="b">
        <f t="shared" si="70"/>
        <v>0</v>
      </c>
      <c r="AE91" t="str">
        <f>'WetLitterbags placem_collection'!K90</f>
        <v>G569</v>
      </c>
      <c r="AF91" t="str">
        <f>'WetLitterbags placem_collection'!M90</f>
        <v>R385</v>
      </c>
      <c r="AG91" t="b">
        <f t="shared" si="71"/>
        <v>0</v>
      </c>
      <c r="AH91" t="b">
        <f t="shared" si="72"/>
        <v>0</v>
      </c>
      <c r="AJ91" t="b">
        <f t="shared" si="73"/>
        <v>0</v>
      </c>
      <c r="AK91" t="b">
        <f t="shared" si="74"/>
        <v>0</v>
      </c>
      <c r="AM91" t="str">
        <f>IF(ISBLANK('Dry_Litterbag Placem_Collection'!J90),"","G"&amp;""&amp;'Dry_Litterbag Placem_Collection'!J90)</f>
        <v>G531</v>
      </c>
      <c r="AN91" t="str">
        <f>IF(ISBLANK('Dry_Litterbag Placem_Collection'!K90),"","R"&amp;""&amp;'Dry_Litterbag Placem_Collection'!K90)</f>
        <v>R810</v>
      </c>
      <c r="AO91" t="b">
        <f t="shared" si="75"/>
        <v>0</v>
      </c>
      <c r="AP91" t="b">
        <f t="shared" si="76"/>
        <v>0</v>
      </c>
      <c r="AS91" t="str">
        <f>'Ashed teabags dry'!A89</f>
        <v>G21</v>
      </c>
      <c r="AT91" t="str">
        <f>'Ashed teabags dry'!A424</f>
        <v>R321</v>
      </c>
      <c r="AU91" t="b">
        <f t="shared" si="77"/>
        <v>0</v>
      </c>
      <c r="AV91" t="b">
        <f t="shared" si="100"/>
        <v>0</v>
      </c>
      <c r="AX91" s="388" t="b">
        <f t="shared" si="78"/>
        <v>0</v>
      </c>
      <c r="AY91" s="388" t="b">
        <f t="shared" si="79"/>
        <v>0</v>
      </c>
      <c r="BA91" t="str">
        <f>'Ashed teabags wet'!A89</f>
        <v>G470</v>
      </c>
      <c r="BB91" t="str">
        <f>'Ashed teabags wet'!A509</f>
        <v>R222</v>
      </c>
      <c r="BC91" t="b">
        <f t="shared" si="80"/>
        <v>0</v>
      </c>
      <c r="BD91" t="b">
        <f t="shared" si="60"/>
        <v>0</v>
      </c>
      <c r="BF91" t="str">
        <f t="shared" si="81"/>
        <v>G209</v>
      </c>
      <c r="BG91" t="str">
        <f t="shared" si="82"/>
        <v>G209</v>
      </c>
      <c r="BH91" t="str">
        <f t="shared" si="83"/>
        <v>G220</v>
      </c>
      <c r="BI91" t="str">
        <f t="shared" si="101"/>
        <v>G220</v>
      </c>
      <c r="BJ91" t="s">
        <v>1841</v>
      </c>
      <c r="BK91" t="s">
        <v>1841</v>
      </c>
      <c r="BL91" t="s">
        <v>1841</v>
      </c>
      <c r="BM91" t="b">
        <f t="shared" si="102"/>
        <v>1</v>
      </c>
      <c r="BN91" t="str">
        <f t="shared" si="84"/>
        <v>R320</v>
      </c>
      <c r="BO91" t="str">
        <f t="shared" si="85"/>
        <v>R320</v>
      </c>
      <c r="BP91" t="str">
        <f t="shared" si="86"/>
        <v>R394</v>
      </c>
      <c r="BQ91" t="str">
        <f t="shared" si="87"/>
        <v>R394</v>
      </c>
      <c r="BR91" t="s">
        <v>821</v>
      </c>
      <c r="BS91" t="s">
        <v>821</v>
      </c>
      <c r="BT91" t="s">
        <v>821</v>
      </c>
      <c r="BU91" t="b">
        <f t="shared" si="103"/>
        <v>1</v>
      </c>
      <c r="BZ91" t="str">
        <f t="shared" si="88"/>
        <v>G220</v>
      </c>
      <c r="CA91" t="b">
        <f t="shared" si="89"/>
        <v>0</v>
      </c>
      <c r="CB91" t="str">
        <f t="shared" si="104"/>
        <v>G220</v>
      </c>
      <c r="CC91" t="str">
        <f t="shared" si="90"/>
        <v>R394</v>
      </c>
      <c r="CD91" t="b">
        <f t="shared" si="105"/>
        <v>0</v>
      </c>
      <c r="CE91" t="str">
        <f t="shared" si="106"/>
        <v>R394</v>
      </c>
      <c r="CG91" t="str">
        <f t="shared" si="91"/>
        <v>G469</v>
      </c>
      <c r="CH91" t="str">
        <f t="shared" si="107"/>
        <v>G469</v>
      </c>
      <c r="CI91" t="str">
        <f t="shared" si="92"/>
        <v>G628</v>
      </c>
      <c r="CJ91" t="str">
        <f t="shared" si="93"/>
        <v>G628</v>
      </c>
      <c r="CK91" t="s">
        <v>1581</v>
      </c>
      <c r="CL91" t="s">
        <v>1581</v>
      </c>
      <c r="CM91" t="s">
        <v>1581</v>
      </c>
      <c r="CN91" t="b">
        <f t="shared" si="108"/>
        <v>1</v>
      </c>
      <c r="CO91" t="str">
        <f t="shared" si="94"/>
        <v>R22</v>
      </c>
      <c r="CP91" t="str">
        <f t="shared" si="109"/>
        <v>R22</v>
      </c>
      <c r="CQ91" t="str">
        <f t="shared" si="95"/>
        <v>R408</v>
      </c>
      <c r="CR91" t="str">
        <f t="shared" si="96"/>
        <v>R408</v>
      </c>
      <c r="CS91" t="s">
        <v>1119</v>
      </c>
      <c r="CT91" t="s">
        <v>1119</v>
      </c>
      <c r="CU91" t="s">
        <v>1119</v>
      </c>
      <c r="CV91" t="b">
        <f t="shared" si="110"/>
        <v>1</v>
      </c>
      <c r="DC91" t="str">
        <f t="shared" si="97"/>
        <v>G628</v>
      </c>
      <c r="DD91" t="b">
        <f t="shared" si="111"/>
        <v>0</v>
      </c>
      <c r="DE91" t="str">
        <f t="shared" si="112"/>
        <v>G628</v>
      </c>
      <c r="DF91" t="str">
        <f t="shared" si="98"/>
        <v>R408</v>
      </c>
      <c r="DG91" t="b">
        <f t="shared" si="113"/>
        <v>0</v>
      </c>
      <c r="DH91" t="str">
        <f t="shared" si="114"/>
        <v>R408</v>
      </c>
    </row>
    <row r="92" spans="2:112" ht="12" customHeight="1">
      <c r="B92" t="str">
        <f>TBIDry!H164</f>
        <v>G35</v>
      </c>
      <c r="C92" t="str">
        <f>TBIDry!I164</f>
        <v>R818</v>
      </c>
      <c r="D92" t="b">
        <f t="shared" si="61"/>
        <v>0</v>
      </c>
      <c r="E92" t="b">
        <f t="shared" si="62"/>
        <v>0</v>
      </c>
      <c r="G92" t="str">
        <f>TBIWet!H164</f>
        <v>G339</v>
      </c>
      <c r="H92" t="str">
        <f>TBIWet!I164</f>
        <v>R196</v>
      </c>
      <c r="I92" t="b">
        <f t="shared" si="63"/>
        <v>0</v>
      </c>
      <c r="J92" t="b">
        <f t="shared" si="64"/>
        <v>0</v>
      </c>
      <c r="L92" t="str">
        <f>'Both teabags AfterWet'!A90</f>
        <v>G472</v>
      </c>
      <c r="M92" t="str">
        <f>'Both teabags AfterWet'!A510</f>
        <v>R228</v>
      </c>
      <c r="N92" t="b">
        <f t="shared" si="65"/>
        <v>0</v>
      </c>
      <c r="O92" t="b">
        <f t="shared" si="115"/>
        <v>0</v>
      </c>
      <c r="Q92" s="388" t="b">
        <f t="shared" si="66"/>
        <v>0</v>
      </c>
      <c r="R92" s="388" t="b">
        <f t="shared" si="67"/>
        <v>0</v>
      </c>
      <c r="T92" t="str">
        <f>'Both teabags AfterDry'!A90</f>
        <v>G211</v>
      </c>
      <c r="U92" t="str">
        <f>'Both teabags AfterDry'!A425</f>
        <v>R325</v>
      </c>
      <c r="V92" t="b">
        <f t="shared" si="68"/>
        <v>0</v>
      </c>
      <c r="W92" t="b">
        <f t="shared" si="99"/>
        <v>0</v>
      </c>
      <c r="Y92" t="str">
        <f>'Green_rooibos initial weight'!A93</f>
        <v>G89</v>
      </c>
      <c r="Z92" t="str">
        <f>'Green_rooibos initial weight'!A997</f>
        <v>R89</v>
      </c>
      <c r="AA92" t="b">
        <f t="shared" si="69"/>
        <v>0</v>
      </c>
      <c r="AB92" t="b">
        <f t="shared" si="70"/>
        <v>0</v>
      </c>
      <c r="AE92" t="str">
        <f>'WetLitterbags placem_collection'!K91</f>
        <v>G339</v>
      </c>
      <c r="AF92" t="str">
        <f>'WetLitterbags placem_collection'!M91</f>
        <v>R196</v>
      </c>
      <c r="AG92" t="b">
        <f t="shared" si="71"/>
        <v>0</v>
      </c>
      <c r="AH92" t="b">
        <f t="shared" si="72"/>
        <v>0</v>
      </c>
      <c r="AJ92" t="b">
        <f t="shared" si="73"/>
        <v>0</v>
      </c>
      <c r="AK92" t="b">
        <f t="shared" si="74"/>
        <v>0</v>
      </c>
      <c r="AM92" t="str">
        <f>IF(ISBLANK('Dry_Litterbag Placem_Collection'!J91),"","G"&amp;""&amp;'Dry_Litterbag Placem_Collection'!J91)</f>
        <v>G35</v>
      </c>
      <c r="AN92" t="str">
        <f>IF(ISBLANK('Dry_Litterbag Placem_Collection'!K91),"","R"&amp;""&amp;'Dry_Litterbag Placem_Collection'!K91)</f>
        <v>R818</v>
      </c>
      <c r="AO92" t="b">
        <f t="shared" si="75"/>
        <v>0</v>
      </c>
      <c r="AP92" t="b">
        <f t="shared" si="76"/>
        <v>0</v>
      </c>
      <c r="AS92" t="str">
        <f>'Ashed teabags dry'!A90</f>
        <v>G211</v>
      </c>
      <c r="AT92" t="str">
        <f>'Ashed teabags dry'!A425</f>
        <v>R325</v>
      </c>
      <c r="AU92" t="b">
        <f t="shared" si="77"/>
        <v>0</v>
      </c>
      <c r="AV92" t="b">
        <f t="shared" si="100"/>
        <v>0</v>
      </c>
      <c r="AX92" s="388" t="b">
        <f t="shared" si="78"/>
        <v>0</v>
      </c>
      <c r="AY92" s="388" t="b">
        <f t="shared" si="79"/>
        <v>0</v>
      </c>
      <c r="BA92" t="str">
        <f>'Ashed teabags wet'!A90</f>
        <v>G472</v>
      </c>
      <c r="BB92" t="str">
        <f>'Ashed teabags wet'!A510</f>
        <v>R228</v>
      </c>
      <c r="BC92" t="b">
        <f t="shared" si="80"/>
        <v>0</v>
      </c>
      <c r="BD92" t="b">
        <f t="shared" si="60"/>
        <v>0</v>
      </c>
      <c r="BF92" t="str">
        <f t="shared" si="81"/>
        <v>G21</v>
      </c>
      <c r="BG92" t="str">
        <f t="shared" si="82"/>
        <v>G21</v>
      </c>
      <c r="BH92" t="str">
        <f t="shared" si="83"/>
        <v>G531</v>
      </c>
      <c r="BI92" t="str">
        <f t="shared" si="101"/>
        <v>G531</v>
      </c>
      <c r="BJ92" t="s">
        <v>2029</v>
      </c>
      <c r="BK92" t="s">
        <v>2029</v>
      </c>
      <c r="BL92" t="s">
        <v>2029</v>
      </c>
      <c r="BM92" t="b">
        <f t="shared" si="102"/>
        <v>1</v>
      </c>
      <c r="BN92" t="str">
        <f t="shared" si="84"/>
        <v>R321</v>
      </c>
      <c r="BO92" t="str">
        <f t="shared" si="85"/>
        <v>R321</v>
      </c>
      <c r="BP92" t="str">
        <f t="shared" si="86"/>
        <v>R810</v>
      </c>
      <c r="BQ92" t="str">
        <f t="shared" si="87"/>
        <v>R810</v>
      </c>
      <c r="BR92" t="s">
        <v>820</v>
      </c>
      <c r="BS92" t="s">
        <v>820</v>
      </c>
      <c r="BT92" t="s">
        <v>820</v>
      </c>
      <c r="BU92" t="b">
        <f t="shared" si="103"/>
        <v>1</v>
      </c>
      <c r="BZ92" t="str">
        <f t="shared" si="88"/>
        <v>G531</v>
      </c>
      <c r="CA92" t="b">
        <f t="shared" si="89"/>
        <v>0</v>
      </c>
      <c r="CB92" t="str">
        <f t="shared" si="104"/>
        <v>G531</v>
      </c>
      <c r="CC92" t="str">
        <f t="shared" si="90"/>
        <v>R810</v>
      </c>
      <c r="CD92" t="b">
        <f t="shared" si="105"/>
        <v>0</v>
      </c>
      <c r="CE92" t="str">
        <f t="shared" si="106"/>
        <v>R810</v>
      </c>
      <c r="CG92" t="str">
        <f t="shared" si="91"/>
        <v>G470</v>
      </c>
      <c r="CH92" t="str">
        <f t="shared" si="107"/>
        <v>G470</v>
      </c>
      <c r="CI92" t="str">
        <f t="shared" si="92"/>
        <v>G569</v>
      </c>
      <c r="CJ92" t="str">
        <f t="shared" si="93"/>
        <v>G569</v>
      </c>
      <c r="CK92" t="s">
        <v>1580</v>
      </c>
      <c r="CL92" t="s">
        <v>1580</v>
      </c>
      <c r="CM92" t="s">
        <v>1580</v>
      </c>
      <c r="CN92" t="b">
        <f t="shared" si="108"/>
        <v>1</v>
      </c>
      <c r="CO92" t="str">
        <f t="shared" si="94"/>
        <v>R222</v>
      </c>
      <c r="CP92" t="str">
        <f t="shared" si="109"/>
        <v>R222</v>
      </c>
      <c r="CQ92" t="str">
        <f t="shared" si="95"/>
        <v>R385</v>
      </c>
      <c r="CR92" t="str">
        <f t="shared" si="96"/>
        <v/>
      </c>
      <c r="CS92" t="s">
        <v>919</v>
      </c>
      <c r="CT92" t="s">
        <v>919</v>
      </c>
      <c r="CU92" t="s">
        <v>919</v>
      </c>
      <c r="CV92" t="b">
        <f t="shared" si="110"/>
        <v>1</v>
      </c>
      <c r="DC92" t="str">
        <f t="shared" si="97"/>
        <v>G569</v>
      </c>
      <c r="DD92" t="b">
        <f t="shared" si="111"/>
        <v>0</v>
      </c>
      <c r="DE92" t="str">
        <f t="shared" si="112"/>
        <v>G569</v>
      </c>
      <c r="DF92" t="str">
        <f t="shared" si="98"/>
        <v>R385</v>
      </c>
      <c r="DG92" t="b">
        <f t="shared" si="113"/>
        <v>1</v>
      </c>
      <c r="DH92" t="str">
        <f t="shared" si="114"/>
        <v/>
      </c>
    </row>
    <row r="93" spans="2:112" ht="12" customHeight="1">
      <c r="B93" t="str">
        <f>TBIDry!H165</f>
        <v>G264</v>
      </c>
      <c r="C93" t="str">
        <f>TBIDry!I165</f>
        <v>R767</v>
      </c>
      <c r="D93" t="b">
        <f t="shared" si="61"/>
        <v>0</v>
      </c>
      <c r="E93" t="b">
        <f t="shared" si="62"/>
        <v>0</v>
      </c>
      <c r="G93" t="str">
        <f>TBIWet!H165</f>
        <v>G592</v>
      </c>
      <c r="H93" t="str">
        <f>TBIWet!I165</f>
        <v>R94</v>
      </c>
      <c r="I93" t="b">
        <f t="shared" si="63"/>
        <v>0</v>
      </c>
      <c r="J93" t="b">
        <f t="shared" si="64"/>
        <v>0</v>
      </c>
      <c r="L93" t="str">
        <f>'Both teabags AfterWet'!A91</f>
        <v>G474</v>
      </c>
      <c r="M93" t="str">
        <f>'Both teabags AfterWet'!A511</f>
        <v>R23</v>
      </c>
      <c r="N93" t="b">
        <f t="shared" si="65"/>
        <v>0</v>
      </c>
      <c r="O93" t="b">
        <f t="shared" si="115"/>
        <v>0</v>
      </c>
      <c r="Q93" s="388" t="b">
        <f t="shared" si="66"/>
        <v>0</v>
      </c>
      <c r="R93" s="388" t="b">
        <f t="shared" si="67"/>
        <v>0</v>
      </c>
      <c r="T93" t="str">
        <f>'Both teabags AfterDry'!A91</f>
        <v>G213</v>
      </c>
      <c r="U93" t="str">
        <f>'Both teabags AfterDry'!A426</f>
        <v>R327</v>
      </c>
      <c r="V93" t="b">
        <f t="shared" si="68"/>
        <v>0</v>
      </c>
      <c r="W93" t="b">
        <f t="shared" si="99"/>
        <v>0</v>
      </c>
      <c r="Y93" t="str">
        <f>'Green_rooibos initial weight'!A94</f>
        <v>G90</v>
      </c>
      <c r="Z93" t="str">
        <f>'Green_rooibos initial weight'!A998</f>
        <v>R90</v>
      </c>
      <c r="AA93" t="b">
        <f t="shared" si="69"/>
        <v>0</v>
      </c>
      <c r="AB93" t="b">
        <f t="shared" si="70"/>
        <v>0</v>
      </c>
      <c r="AE93" t="str">
        <f>'WetLitterbags placem_collection'!K92</f>
        <v>G592</v>
      </c>
      <c r="AF93" t="str">
        <f>'WetLitterbags placem_collection'!M92</f>
        <v>R94</v>
      </c>
      <c r="AG93" t="b">
        <f t="shared" si="71"/>
        <v>0</v>
      </c>
      <c r="AH93" t="b">
        <f t="shared" si="72"/>
        <v>0</v>
      </c>
      <c r="AJ93" t="b">
        <f t="shared" si="73"/>
        <v>0</v>
      </c>
      <c r="AK93" t="b">
        <f t="shared" si="74"/>
        <v>0</v>
      </c>
      <c r="AM93" t="str">
        <f>IF(ISBLANK('Dry_Litterbag Placem_Collection'!J92),"","G"&amp;""&amp;'Dry_Litterbag Placem_Collection'!J92)</f>
        <v>G264</v>
      </c>
      <c r="AN93" t="str">
        <f>IF(ISBLANK('Dry_Litterbag Placem_Collection'!K92),"","R"&amp;""&amp;'Dry_Litterbag Placem_Collection'!K92)</f>
        <v>R767</v>
      </c>
      <c r="AO93" t="b">
        <f t="shared" si="75"/>
        <v>0</v>
      </c>
      <c r="AP93" t="b">
        <f t="shared" si="76"/>
        <v>0</v>
      </c>
      <c r="AS93" t="str">
        <f>'Ashed teabags dry'!A91</f>
        <v>G213</v>
      </c>
      <c r="AT93" t="str">
        <f>'Ashed teabags dry'!A426</f>
        <v>R327</v>
      </c>
      <c r="AU93" t="b">
        <f t="shared" si="77"/>
        <v>0</v>
      </c>
      <c r="AV93" t="b">
        <f t="shared" si="100"/>
        <v>0</v>
      </c>
      <c r="AX93" s="388" t="b">
        <f t="shared" si="78"/>
        <v>0</v>
      </c>
      <c r="AY93" s="388" t="b">
        <f t="shared" si="79"/>
        <v>0</v>
      </c>
      <c r="BA93" t="str">
        <f>'Ashed teabags wet'!A91</f>
        <v>G474</v>
      </c>
      <c r="BB93" t="str">
        <f>'Ashed teabags wet'!A511</f>
        <v>R23</v>
      </c>
      <c r="BC93" t="b">
        <f t="shared" si="80"/>
        <v>0</v>
      </c>
      <c r="BD93" t="b">
        <f t="shared" si="60"/>
        <v>0</v>
      </c>
      <c r="BF93" t="str">
        <f t="shared" si="81"/>
        <v>G211</v>
      </c>
      <c r="BG93" t="str">
        <f t="shared" si="82"/>
        <v>G211</v>
      </c>
      <c r="BH93" t="str">
        <f t="shared" si="83"/>
        <v>G35</v>
      </c>
      <c r="BI93" t="str">
        <f t="shared" si="101"/>
        <v>G35</v>
      </c>
      <c r="BJ93" t="s">
        <v>1839</v>
      </c>
      <c r="BK93" t="s">
        <v>1839</v>
      </c>
      <c r="BL93" t="s">
        <v>1839</v>
      </c>
      <c r="BM93" t="b">
        <f t="shared" si="102"/>
        <v>1</v>
      </c>
      <c r="BN93" t="str">
        <f t="shared" si="84"/>
        <v>R325</v>
      </c>
      <c r="BO93" t="str">
        <f t="shared" si="85"/>
        <v>R325</v>
      </c>
      <c r="BP93" t="str">
        <f t="shared" si="86"/>
        <v>R818</v>
      </c>
      <c r="BQ93" t="str">
        <f t="shared" si="87"/>
        <v>R818</v>
      </c>
      <c r="BR93" t="s">
        <v>816</v>
      </c>
      <c r="BS93" t="s">
        <v>816</v>
      </c>
      <c r="BT93" t="s">
        <v>816</v>
      </c>
      <c r="BU93" t="b">
        <f t="shared" si="103"/>
        <v>1</v>
      </c>
      <c r="BZ93" t="str">
        <f t="shared" si="88"/>
        <v>G35</v>
      </c>
      <c r="CA93" t="b">
        <f t="shared" si="89"/>
        <v>0</v>
      </c>
      <c r="CB93" t="str">
        <f t="shared" si="104"/>
        <v>G35</v>
      </c>
      <c r="CC93" t="str">
        <f t="shared" si="90"/>
        <v>R818</v>
      </c>
      <c r="CD93" t="b">
        <f t="shared" si="105"/>
        <v>0</v>
      </c>
      <c r="CE93" t="str">
        <f t="shared" si="106"/>
        <v>R818</v>
      </c>
      <c r="CG93" t="str">
        <f t="shared" si="91"/>
        <v>G472</v>
      </c>
      <c r="CH93" t="str">
        <f t="shared" si="107"/>
        <v>G472</v>
      </c>
      <c r="CI93" t="str">
        <f t="shared" si="92"/>
        <v>G339</v>
      </c>
      <c r="CJ93" t="str">
        <f t="shared" si="93"/>
        <v/>
      </c>
      <c r="CK93" t="s">
        <v>1578</v>
      </c>
      <c r="CL93" t="s">
        <v>1578</v>
      </c>
      <c r="CM93" t="s">
        <v>1578</v>
      </c>
      <c r="CN93" t="b">
        <f t="shared" si="108"/>
        <v>1</v>
      </c>
      <c r="CO93" t="str">
        <f t="shared" si="94"/>
        <v>R228</v>
      </c>
      <c r="CP93" t="str">
        <f t="shared" si="109"/>
        <v>R228</v>
      </c>
      <c r="CQ93" t="str">
        <f t="shared" si="95"/>
        <v>R196</v>
      </c>
      <c r="CR93" t="str">
        <f t="shared" si="96"/>
        <v>R196</v>
      </c>
      <c r="CS93" t="s">
        <v>913</v>
      </c>
      <c r="CT93" t="s">
        <v>913</v>
      </c>
      <c r="CU93" t="s">
        <v>913</v>
      </c>
      <c r="CV93" t="b">
        <f t="shared" si="110"/>
        <v>1</v>
      </c>
      <c r="DC93" t="str">
        <f t="shared" si="97"/>
        <v>G339</v>
      </c>
      <c r="DD93" t="b">
        <f t="shared" si="111"/>
        <v>1</v>
      </c>
      <c r="DE93" t="str">
        <f t="shared" si="112"/>
        <v/>
      </c>
      <c r="DF93" t="str">
        <f t="shared" si="98"/>
        <v>R196</v>
      </c>
      <c r="DG93" t="b">
        <f t="shared" si="113"/>
        <v>0</v>
      </c>
      <c r="DH93" t="str">
        <f t="shared" si="114"/>
        <v>R196</v>
      </c>
    </row>
    <row r="94" spans="2:112" ht="12" customHeight="1">
      <c r="B94" t="str">
        <f>TBIDry!H166</f>
        <v>G13</v>
      </c>
      <c r="C94" t="str">
        <f>TBIDry!I166</f>
        <v>R787</v>
      </c>
      <c r="D94" t="b">
        <f t="shared" si="61"/>
        <v>0</v>
      </c>
      <c r="E94" t="b">
        <f t="shared" si="62"/>
        <v>0</v>
      </c>
      <c r="G94" t="str">
        <f>TBIWet!H166</f>
        <v>G472</v>
      </c>
      <c r="H94" t="str">
        <f>TBIWet!I166</f>
        <v>R343</v>
      </c>
      <c r="I94" t="b">
        <f t="shared" si="63"/>
        <v>0</v>
      </c>
      <c r="J94" t="b">
        <f t="shared" si="64"/>
        <v>0</v>
      </c>
      <c r="L94" t="str">
        <f>'Both teabags AfterWet'!A92</f>
        <v>G475</v>
      </c>
      <c r="M94" t="str">
        <f>'Both teabags AfterWet'!A512</f>
        <v>R232</v>
      </c>
      <c r="N94" t="b">
        <f t="shared" si="65"/>
        <v>0</v>
      </c>
      <c r="O94" t="b">
        <f t="shared" si="115"/>
        <v>0</v>
      </c>
      <c r="Q94" s="388" t="b">
        <f t="shared" si="66"/>
        <v>0</v>
      </c>
      <c r="R94" s="388" t="b">
        <f t="shared" si="67"/>
        <v>0</v>
      </c>
      <c r="T94" t="str">
        <f>'Both teabags AfterDry'!A92</f>
        <v>G215</v>
      </c>
      <c r="U94" t="str">
        <f>'Both teabags AfterDry'!A427</f>
        <v>R332</v>
      </c>
      <c r="V94" t="b">
        <f t="shared" si="68"/>
        <v>0</v>
      </c>
      <c r="W94" t="b">
        <f t="shared" si="99"/>
        <v>0</v>
      </c>
      <c r="Y94" t="str">
        <f>'Green_rooibos initial weight'!A95</f>
        <v>G91</v>
      </c>
      <c r="Z94" t="str">
        <f>'Green_rooibos initial weight'!A999</f>
        <v>R91</v>
      </c>
      <c r="AA94" t="b">
        <f t="shared" si="69"/>
        <v>0</v>
      </c>
      <c r="AB94" t="b">
        <f t="shared" si="70"/>
        <v>0</v>
      </c>
      <c r="AE94" t="str">
        <f>'WetLitterbags placem_collection'!K93</f>
        <v>G472</v>
      </c>
      <c r="AF94" t="str">
        <f>'WetLitterbags placem_collection'!M93</f>
        <v>R343</v>
      </c>
      <c r="AG94" t="b">
        <f t="shared" si="71"/>
        <v>0</v>
      </c>
      <c r="AH94" t="b">
        <f t="shared" si="72"/>
        <v>0</v>
      </c>
      <c r="AJ94" t="b">
        <f t="shared" si="73"/>
        <v>0</v>
      </c>
      <c r="AK94" t="b">
        <f t="shared" si="74"/>
        <v>0</v>
      </c>
      <c r="AM94" t="str">
        <f>IF(ISBLANK('Dry_Litterbag Placem_Collection'!J93),"","G"&amp;""&amp;'Dry_Litterbag Placem_Collection'!J93)</f>
        <v>G13</v>
      </c>
      <c r="AN94" t="str">
        <f>IF(ISBLANK('Dry_Litterbag Placem_Collection'!K93),"","R"&amp;""&amp;'Dry_Litterbag Placem_Collection'!K93)</f>
        <v>R787</v>
      </c>
      <c r="AO94" t="b">
        <f t="shared" si="75"/>
        <v>0</v>
      </c>
      <c r="AP94" t="b">
        <f t="shared" si="76"/>
        <v>0</v>
      </c>
      <c r="AS94" t="str">
        <f>'Ashed teabags dry'!A92</f>
        <v>G215</v>
      </c>
      <c r="AT94" t="str">
        <f>'Ashed teabags dry'!A427</f>
        <v>R332</v>
      </c>
      <c r="AU94" t="b">
        <f t="shared" si="77"/>
        <v>0</v>
      </c>
      <c r="AV94" t="b">
        <f t="shared" si="100"/>
        <v>0</v>
      </c>
      <c r="AX94" s="388" t="b">
        <f t="shared" si="78"/>
        <v>0</v>
      </c>
      <c r="AY94" s="388" t="b">
        <f t="shared" si="79"/>
        <v>0</v>
      </c>
      <c r="BA94" t="str">
        <f>'Ashed teabags wet'!A92</f>
        <v>G475</v>
      </c>
      <c r="BB94" t="str">
        <f>'Ashed teabags wet'!A512</f>
        <v>R232</v>
      </c>
      <c r="BC94" t="b">
        <f t="shared" si="80"/>
        <v>0</v>
      </c>
      <c r="BD94" t="b">
        <f t="shared" si="60"/>
        <v>0</v>
      </c>
      <c r="BF94" t="str">
        <f t="shared" si="81"/>
        <v>G213</v>
      </c>
      <c r="BG94" t="str">
        <f t="shared" si="82"/>
        <v>G213</v>
      </c>
      <c r="BH94" t="str">
        <f t="shared" si="83"/>
        <v>G264</v>
      </c>
      <c r="BI94" t="str">
        <f t="shared" si="101"/>
        <v/>
      </c>
      <c r="BJ94" t="s">
        <v>1837</v>
      </c>
      <c r="BK94" t="s">
        <v>1837</v>
      </c>
      <c r="BL94" t="s">
        <v>1837</v>
      </c>
      <c r="BM94" t="b">
        <f t="shared" si="102"/>
        <v>1</v>
      </c>
      <c r="BN94" t="str">
        <f t="shared" si="84"/>
        <v>R327</v>
      </c>
      <c r="BO94" t="str">
        <f t="shared" si="85"/>
        <v>R327</v>
      </c>
      <c r="BP94" t="str">
        <f t="shared" si="86"/>
        <v>R767</v>
      </c>
      <c r="BQ94" t="str">
        <f t="shared" si="87"/>
        <v/>
      </c>
      <c r="BR94" t="s">
        <v>814</v>
      </c>
      <c r="BS94" t="s">
        <v>814</v>
      </c>
      <c r="BT94" t="s">
        <v>814</v>
      </c>
      <c r="BU94" t="b">
        <f t="shared" si="103"/>
        <v>1</v>
      </c>
      <c r="BZ94" t="str">
        <f t="shared" si="88"/>
        <v>G264</v>
      </c>
      <c r="CA94" t="b">
        <f t="shared" si="89"/>
        <v>1</v>
      </c>
      <c r="CB94" t="str">
        <f t="shared" si="104"/>
        <v/>
      </c>
      <c r="CC94" t="str">
        <f t="shared" si="90"/>
        <v>R767</v>
      </c>
      <c r="CD94" t="b">
        <f t="shared" si="105"/>
        <v>1</v>
      </c>
      <c r="CE94" t="str">
        <f t="shared" si="106"/>
        <v/>
      </c>
      <c r="CG94" t="str">
        <f t="shared" si="91"/>
        <v>G474</v>
      </c>
      <c r="CH94" t="str">
        <f t="shared" si="107"/>
        <v>G474</v>
      </c>
      <c r="CI94" t="str">
        <f t="shared" si="92"/>
        <v>G592</v>
      </c>
      <c r="CJ94" t="str">
        <f t="shared" si="93"/>
        <v>G592</v>
      </c>
      <c r="CK94" t="s">
        <v>1576</v>
      </c>
      <c r="CL94" t="s">
        <v>1576</v>
      </c>
      <c r="CM94" t="s">
        <v>1576</v>
      </c>
      <c r="CN94" t="b">
        <f t="shared" si="108"/>
        <v>1</v>
      </c>
      <c r="CO94" t="str">
        <f t="shared" si="94"/>
        <v>R23</v>
      </c>
      <c r="CP94" t="str">
        <f t="shared" si="109"/>
        <v>R23</v>
      </c>
      <c r="CQ94" t="str">
        <f t="shared" si="95"/>
        <v>R94</v>
      </c>
      <c r="CR94" t="str">
        <f t="shared" si="96"/>
        <v>R94</v>
      </c>
      <c r="CS94" t="s">
        <v>1118</v>
      </c>
      <c r="CT94" t="s">
        <v>1118</v>
      </c>
      <c r="CU94" t="s">
        <v>1118</v>
      </c>
      <c r="CV94" t="b">
        <f t="shared" si="110"/>
        <v>1</v>
      </c>
      <c r="DC94" t="str">
        <f t="shared" si="97"/>
        <v>G592</v>
      </c>
      <c r="DD94" t="b">
        <f t="shared" si="111"/>
        <v>0</v>
      </c>
      <c r="DE94" t="str">
        <f t="shared" si="112"/>
        <v>G592</v>
      </c>
      <c r="DF94" t="str">
        <f t="shared" si="98"/>
        <v>R94</v>
      </c>
      <c r="DG94" t="b">
        <f t="shared" si="113"/>
        <v>0</v>
      </c>
      <c r="DH94" t="str">
        <f t="shared" si="114"/>
        <v>R94</v>
      </c>
    </row>
    <row r="95" spans="2:112" ht="12" customHeight="1">
      <c r="B95" t="str">
        <f>TBIDry!H167</f>
        <v>G324</v>
      </c>
      <c r="C95" t="str">
        <f>TBIDry!I167</f>
        <v>R812</v>
      </c>
      <c r="D95" t="b">
        <f t="shared" si="61"/>
        <v>0</v>
      </c>
      <c r="E95" t="b">
        <f t="shared" si="62"/>
        <v>0</v>
      </c>
      <c r="G95" t="str">
        <f>TBIWet!H167</f>
        <v>G529</v>
      </c>
      <c r="H95" t="str">
        <f>TBIWet!I167</f>
        <v>R445</v>
      </c>
      <c r="I95" t="b">
        <f t="shared" si="63"/>
        <v>0</v>
      </c>
      <c r="J95" t="b">
        <f t="shared" si="64"/>
        <v>0</v>
      </c>
      <c r="L95" t="str">
        <f>'Both teabags AfterWet'!A93</f>
        <v>G476</v>
      </c>
      <c r="M95" t="str">
        <f>'Both teabags AfterWet'!A513</f>
        <v>R234</v>
      </c>
      <c r="N95" t="b">
        <f t="shared" si="65"/>
        <v>0</v>
      </c>
      <c r="O95" t="b">
        <f t="shared" si="115"/>
        <v>0</v>
      </c>
      <c r="Q95" s="388" t="b">
        <f t="shared" si="66"/>
        <v>0</v>
      </c>
      <c r="R95" s="388" t="b">
        <f t="shared" si="67"/>
        <v>0</v>
      </c>
      <c r="T95" t="str">
        <f>'Both teabags AfterDry'!A93</f>
        <v>G218</v>
      </c>
      <c r="U95" t="str">
        <f>'Both teabags AfterDry'!A428</f>
        <v>R335</v>
      </c>
      <c r="V95" t="b">
        <f t="shared" si="68"/>
        <v>0</v>
      </c>
      <c r="W95" t="b">
        <f t="shared" si="99"/>
        <v>0</v>
      </c>
      <c r="Y95" t="str">
        <f>'Green_rooibos initial weight'!A96</f>
        <v>G92</v>
      </c>
      <c r="Z95" t="str">
        <f>'Green_rooibos initial weight'!A1000</f>
        <v>R92</v>
      </c>
      <c r="AA95" t="b">
        <f t="shared" si="69"/>
        <v>0</v>
      </c>
      <c r="AB95" t="b">
        <f t="shared" si="70"/>
        <v>0</v>
      </c>
      <c r="AE95" t="str">
        <f>'WetLitterbags placem_collection'!K94</f>
        <v>G529</v>
      </c>
      <c r="AF95" t="str">
        <f>'WetLitterbags placem_collection'!M94</f>
        <v>R445</v>
      </c>
      <c r="AG95" t="b">
        <f t="shared" si="71"/>
        <v>0</v>
      </c>
      <c r="AH95" t="b">
        <f t="shared" si="72"/>
        <v>0</v>
      </c>
      <c r="AJ95" t="b">
        <f t="shared" si="73"/>
        <v>0</v>
      </c>
      <c r="AK95" t="b">
        <f t="shared" si="74"/>
        <v>0</v>
      </c>
      <c r="AM95" t="str">
        <f>IF(ISBLANK('Dry_Litterbag Placem_Collection'!J94),"","G"&amp;""&amp;'Dry_Litterbag Placem_Collection'!J94)</f>
        <v>G324</v>
      </c>
      <c r="AN95" t="str">
        <f>IF(ISBLANK('Dry_Litterbag Placem_Collection'!K94),"","R"&amp;""&amp;'Dry_Litterbag Placem_Collection'!K94)</f>
        <v>R812</v>
      </c>
      <c r="AO95" t="b">
        <f t="shared" si="75"/>
        <v>0</v>
      </c>
      <c r="AP95" t="b">
        <f t="shared" si="76"/>
        <v>0</v>
      </c>
      <c r="AS95" t="str">
        <f>'Ashed teabags dry'!A93</f>
        <v>G218</v>
      </c>
      <c r="AT95" t="str">
        <f>'Ashed teabags dry'!A428</f>
        <v>R335</v>
      </c>
      <c r="AU95" t="b">
        <f t="shared" si="77"/>
        <v>0</v>
      </c>
      <c r="AV95" t="b">
        <f t="shared" si="100"/>
        <v>0</v>
      </c>
      <c r="AX95" s="388" t="b">
        <f t="shared" si="78"/>
        <v>0</v>
      </c>
      <c r="AY95" s="388" t="b">
        <f t="shared" si="79"/>
        <v>0</v>
      </c>
      <c r="BA95" t="str">
        <f>'Ashed teabags wet'!A93</f>
        <v>G476</v>
      </c>
      <c r="BB95" t="str">
        <f>'Ashed teabags wet'!A513</f>
        <v>R234</v>
      </c>
      <c r="BC95" t="b">
        <f t="shared" si="80"/>
        <v>0</v>
      </c>
      <c r="BD95" t="b">
        <f t="shared" si="60"/>
        <v>0</v>
      </c>
      <c r="BF95" t="str">
        <f t="shared" si="81"/>
        <v>G215</v>
      </c>
      <c r="BG95" t="str">
        <f t="shared" si="82"/>
        <v>G215</v>
      </c>
      <c r="BH95" t="str">
        <f t="shared" si="83"/>
        <v>G13</v>
      </c>
      <c r="BI95" t="str">
        <f t="shared" si="101"/>
        <v>G13</v>
      </c>
      <c r="BJ95" t="s">
        <v>1835</v>
      </c>
      <c r="BK95" t="s">
        <v>1835</v>
      </c>
      <c r="BL95" t="s">
        <v>1835</v>
      </c>
      <c r="BM95" t="b">
        <f t="shared" si="102"/>
        <v>1</v>
      </c>
      <c r="BN95" t="str">
        <f t="shared" si="84"/>
        <v>R332</v>
      </c>
      <c r="BO95" t="str">
        <f t="shared" si="85"/>
        <v>R332</v>
      </c>
      <c r="BP95" t="str">
        <f t="shared" si="86"/>
        <v>R787</v>
      </c>
      <c r="BQ95" t="str">
        <f t="shared" si="87"/>
        <v>R787</v>
      </c>
      <c r="BR95" t="s">
        <v>809</v>
      </c>
      <c r="BS95" t="s">
        <v>809</v>
      </c>
      <c r="BT95" t="s">
        <v>809</v>
      </c>
      <c r="BU95" t="b">
        <f t="shared" si="103"/>
        <v>1</v>
      </c>
      <c r="BZ95" t="str">
        <f t="shared" si="88"/>
        <v>G13</v>
      </c>
      <c r="CA95" t="b">
        <f t="shared" si="89"/>
        <v>0</v>
      </c>
      <c r="CB95" t="str">
        <f t="shared" si="104"/>
        <v>G13</v>
      </c>
      <c r="CC95" t="str">
        <f t="shared" si="90"/>
        <v>R787</v>
      </c>
      <c r="CD95" t="b">
        <f t="shared" si="105"/>
        <v>0</v>
      </c>
      <c r="CE95" t="str">
        <f t="shared" si="106"/>
        <v>R787</v>
      </c>
      <c r="CG95" t="str">
        <f t="shared" si="91"/>
        <v>G475</v>
      </c>
      <c r="CH95" t="str">
        <f t="shared" si="107"/>
        <v>G475</v>
      </c>
      <c r="CI95" t="str">
        <f t="shared" si="92"/>
        <v>G472</v>
      </c>
      <c r="CJ95" t="str">
        <f t="shared" si="93"/>
        <v>G472</v>
      </c>
      <c r="CK95" t="s">
        <v>1575</v>
      </c>
      <c r="CL95" t="s">
        <v>1575</v>
      </c>
      <c r="CM95" t="s">
        <v>1575</v>
      </c>
      <c r="CN95" t="b">
        <f t="shared" si="108"/>
        <v>1</v>
      </c>
      <c r="CO95" t="str">
        <f t="shared" si="94"/>
        <v>R232</v>
      </c>
      <c r="CP95" t="str">
        <f t="shared" si="109"/>
        <v>R232</v>
      </c>
      <c r="CQ95" t="str">
        <f t="shared" si="95"/>
        <v>R343</v>
      </c>
      <c r="CR95" t="str">
        <f t="shared" si="96"/>
        <v>R343</v>
      </c>
      <c r="CS95" t="s">
        <v>909</v>
      </c>
      <c r="CT95" t="s">
        <v>909</v>
      </c>
      <c r="CU95" t="s">
        <v>909</v>
      </c>
      <c r="CV95" t="b">
        <f t="shared" si="110"/>
        <v>1</v>
      </c>
      <c r="DC95" t="str">
        <f t="shared" si="97"/>
        <v>G472</v>
      </c>
      <c r="DD95" t="b">
        <f t="shared" si="111"/>
        <v>0</v>
      </c>
      <c r="DE95" t="str">
        <f t="shared" si="112"/>
        <v>G472</v>
      </c>
      <c r="DF95" t="str">
        <f t="shared" si="98"/>
        <v>R343</v>
      </c>
      <c r="DG95" t="b">
        <f t="shared" si="113"/>
        <v>0</v>
      </c>
      <c r="DH95" t="str">
        <f t="shared" si="114"/>
        <v>R343</v>
      </c>
    </row>
    <row r="96" spans="2:112" ht="12" customHeight="1">
      <c r="B96" t="str">
        <f>TBIDry!H168</f>
        <v>G99</v>
      </c>
      <c r="C96" t="str">
        <f>TBIDry!I168</f>
        <v>R675</v>
      </c>
      <c r="D96" t="b">
        <f t="shared" si="61"/>
        <v>0</v>
      </c>
      <c r="E96" t="b">
        <f t="shared" si="62"/>
        <v>0</v>
      </c>
      <c r="G96" t="str">
        <f>TBIWet!H168</f>
        <v>G636</v>
      </c>
      <c r="H96" t="str">
        <f>TBIWet!I168</f>
        <v>R12</v>
      </c>
      <c r="I96" t="b">
        <f t="shared" si="63"/>
        <v>0</v>
      </c>
      <c r="J96" t="b">
        <f t="shared" si="64"/>
        <v>0</v>
      </c>
      <c r="L96" t="str">
        <f>'Both teabags AfterWet'!A94</f>
        <v>G477</v>
      </c>
      <c r="M96" t="str">
        <f>'Both teabags AfterWet'!A514</f>
        <v>R235</v>
      </c>
      <c r="N96" t="b">
        <f t="shared" si="65"/>
        <v>0</v>
      </c>
      <c r="O96" t="b">
        <f t="shared" si="115"/>
        <v>0</v>
      </c>
      <c r="Q96" s="388" t="b">
        <f t="shared" si="66"/>
        <v>0</v>
      </c>
      <c r="R96" s="388" t="b">
        <f t="shared" si="67"/>
        <v>0</v>
      </c>
      <c r="T96" t="str">
        <f>'Both teabags AfterDry'!A94</f>
        <v>G219</v>
      </c>
      <c r="U96" t="str">
        <f>'Both teabags AfterDry'!A429</f>
        <v>R337</v>
      </c>
      <c r="V96" t="b">
        <f t="shared" si="68"/>
        <v>0</v>
      </c>
      <c r="W96" t="b">
        <f t="shared" si="99"/>
        <v>0</v>
      </c>
      <c r="Y96" t="str">
        <f>'Green_rooibos initial weight'!A97</f>
        <v>G93</v>
      </c>
      <c r="Z96" t="str">
        <f>'Green_rooibos initial weight'!A1001</f>
        <v>R93</v>
      </c>
      <c r="AA96" t="b">
        <f t="shared" si="69"/>
        <v>0</v>
      </c>
      <c r="AB96" t="b">
        <f t="shared" si="70"/>
        <v>0</v>
      </c>
      <c r="AE96" t="str">
        <f>'WetLitterbags placem_collection'!K95</f>
        <v>G636</v>
      </c>
      <c r="AF96" t="str">
        <f>'WetLitterbags placem_collection'!M95</f>
        <v>R12</v>
      </c>
      <c r="AG96" t="b">
        <f t="shared" si="71"/>
        <v>0</v>
      </c>
      <c r="AH96" t="b">
        <f t="shared" si="72"/>
        <v>0</v>
      </c>
      <c r="AJ96" t="b">
        <f t="shared" si="73"/>
        <v>0</v>
      </c>
      <c r="AK96" t="b">
        <f t="shared" si="74"/>
        <v>0</v>
      </c>
      <c r="AM96" t="str">
        <f>IF(ISBLANK('Dry_Litterbag Placem_Collection'!J95),"","G"&amp;""&amp;'Dry_Litterbag Placem_Collection'!J95)</f>
        <v>G99</v>
      </c>
      <c r="AN96" t="str">
        <f>IF(ISBLANK('Dry_Litterbag Placem_Collection'!K95),"","R"&amp;""&amp;'Dry_Litterbag Placem_Collection'!K95)</f>
        <v>R675</v>
      </c>
      <c r="AO96" t="b">
        <f t="shared" si="75"/>
        <v>0</v>
      </c>
      <c r="AP96" t="b">
        <f t="shared" si="76"/>
        <v>0</v>
      </c>
      <c r="AS96" t="str">
        <f>'Ashed teabags dry'!A94</f>
        <v>G219</v>
      </c>
      <c r="AT96" t="str">
        <f>'Ashed teabags dry'!A429</f>
        <v>R337</v>
      </c>
      <c r="AU96" t="b">
        <f t="shared" si="77"/>
        <v>0</v>
      </c>
      <c r="AV96" t="b">
        <f t="shared" si="100"/>
        <v>0</v>
      </c>
      <c r="AX96" s="388" t="b">
        <f t="shared" si="78"/>
        <v>0</v>
      </c>
      <c r="AY96" s="388" t="b">
        <f t="shared" si="79"/>
        <v>0</v>
      </c>
      <c r="BA96" t="str">
        <f>'Ashed teabags wet'!A94</f>
        <v>G477</v>
      </c>
      <c r="BB96" t="str">
        <f>'Ashed teabags wet'!A514</f>
        <v>R235</v>
      </c>
      <c r="BC96" t="b">
        <f t="shared" si="80"/>
        <v>0</v>
      </c>
      <c r="BD96" t="b">
        <f t="shared" si="60"/>
        <v>0</v>
      </c>
      <c r="BF96" t="str">
        <f t="shared" si="81"/>
        <v>G218</v>
      </c>
      <c r="BG96" t="str">
        <f t="shared" si="82"/>
        <v>G218</v>
      </c>
      <c r="BH96" t="str">
        <f t="shared" si="83"/>
        <v>G324</v>
      </c>
      <c r="BI96" t="str">
        <f t="shared" si="101"/>
        <v>G324</v>
      </c>
      <c r="BJ96" t="s">
        <v>1832</v>
      </c>
      <c r="BK96" t="s">
        <v>1832</v>
      </c>
      <c r="BL96" t="s">
        <v>1832</v>
      </c>
      <c r="BM96" t="b">
        <f t="shared" si="102"/>
        <v>1</v>
      </c>
      <c r="BN96" t="str">
        <f t="shared" si="84"/>
        <v>R335</v>
      </c>
      <c r="BO96" t="str">
        <f t="shared" si="85"/>
        <v>R335</v>
      </c>
      <c r="BP96" t="str">
        <f t="shared" si="86"/>
        <v>R812</v>
      </c>
      <c r="BQ96" t="str">
        <f t="shared" si="87"/>
        <v>R812</v>
      </c>
      <c r="BR96" t="s">
        <v>806</v>
      </c>
      <c r="BS96" t="s">
        <v>806</v>
      </c>
      <c r="BT96" t="s">
        <v>806</v>
      </c>
      <c r="BU96" t="b">
        <f t="shared" si="103"/>
        <v>1</v>
      </c>
      <c r="BZ96" t="str">
        <f t="shared" si="88"/>
        <v>G324</v>
      </c>
      <c r="CA96" t="b">
        <f t="shared" si="89"/>
        <v>0</v>
      </c>
      <c r="CB96" t="str">
        <f t="shared" si="104"/>
        <v>G324</v>
      </c>
      <c r="CC96" t="str">
        <f t="shared" si="90"/>
        <v>R812</v>
      </c>
      <c r="CD96" t="b">
        <f t="shared" si="105"/>
        <v>0</v>
      </c>
      <c r="CE96" t="str">
        <f t="shared" si="106"/>
        <v>R812</v>
      </c>
      <c r="CG96" t="str">
        <f t="shared" si="91"/>
        <v>G476</v>
      </c>
      <c r="CH96" t="str">
        <f t="shared" si="107"/>
        <v>G476</v>
      </c>
      <c r="CI96" t="str">
        <f t="shared" si="92"/>
        <v>G529</v>
      </c>
      <c r="CJ96" t="str">
        <f t="shared" si="93"/>
        <v>G529</v>
      </c>
      <c r="CK96" t="s">
        <v>1574</v>
      </c>
      <c r="CL96" t="s">
        <v>1574</v>
      </c>
      <c r="CM96" t="s">
        <v>1574</v>
      </c>
      <c r="CN96" t="b">
        <f t="shared" si="108"/>
        <v>1</v>
      </c>
      <c r="CO96" t="str">
        <f t="shared" si="94"/>
        <v>R234</v>
      </c>
      <c r="CP96" t="str">
        <f t="shared" si="109"/>
        <v>R234</v>
      </c>
      <c r="CQ96" t="str">
        <f t="shared" si="95"/>
        <v>R445</v>
      </c>
      <c r="CR96" t="str">
        <f t="shared" si="96"/>
        <v>R445</v>
      </c>
      <c r="CS96" t="s">
        <v>907</v>
      </c>
      <c r="CT96" t="s">
        <v>907</v>
      </c>
      <c r="CU96" t="s">
        <v>907</v>
      </c>
      <c r="CV96" t="b">
        <f t="shared" si="110"/>
        <v>1</v>
      </c>
      <c r="DC96" t="str">
        <f t="shared" si="97"/>
        <v>G529</v>
      </c>
      <c r="DD96" t="b">
        <f t="shared" si="111"/>
        <v>0</v>
      </c>
      <c r="DE96" t="str">
        <f t="shared" si="112"/>
        <v>G529</v>
      </c>
      <c r="DF96" t="str">
        <f t="shared" si="98"/>
        <v>R445</v>
      </c>
      <c r="DG96" t="b">
        <f t="shared" si="113"/>
        <v>0</v>
      </c>
      <c r="DH96" t="str">
        <f t="shared" si="114"/>
        <v>R445</v>
      </c>
    </row>
    <row r="97" spans="2:112" ht="12" customHeight="1">
      <c r="B97" t="str">
        <f>TBIDry!H169</f>
        <v/>
      </c>
      <c r="C97" t="str">
        <f>TBIDry!I169</f>
        <v/>
      </c>
      <c r="D97" t="b">
        <f t="shared" si="61"/>
        <v>1</v>
      </c>
      <c r="E97" t="b">
        <f t="shared" si="62"/>
        <v>1</v>
      </c>
      <c r="G97" t="str">
        <f>TBIWet!H169</f>
        <v>G534</v>
      </c>
      <c r="H97" t="str">
        <f>TBIWet!I169</f>
        <v>R244</v>
      </c>
      <c r="I97" t="b">
        <f t="shared" si="63"/>
        <v>0</v>
      </c>
      <c r="J97" t="b">
        <f t="shared" si="64"/>
        <v>0</v>
      </c>
      <c r="L97" t="str">
        <f>'Both teabags AfterWet'!A95</f>
        <v>G479</v>
      </c>
      <c r="M97" t="str">
        <f>'Both teabags AfterWet'!A515</f>
        <v>R24</v>
      </c>
      <c r="N97" t="b">
        <f t="shared" si="65"/>
        <v>0</v>
      </c>
      <c r="O97" t="b">
        <f t="shared" si="115"/>
        <v>0</v>
      </c>
      <c r="Q97" s="388" t="b">
        <f t="shared" si="66"/>
        <v>0</v>
      </c>
      <c r="R97" s="388" t="b">
        <f t="shared" si="67"/>
        <v>0</v>
      </c>
      <c r="T97" t="str">
        <f>'Both teabags AfterDry'!A95</f>
        <v>G22</v>
      </c>
      <c r="U97" t="str">
        <f>'Both teabags AfterDry'!A430</f>
        <v>R338</v>
      </c>
      <c r="V97" t="b">
        <f t="shared" si="68"/>
        <v>0</v>
      </c>
      <c r="W97" t="b">
        <f t="shared" si="99"/>
        <v>0</v>
      </c>
      <c r="Y97" t="str">
        <f>'Green_rooibos initial weight'!A98</f>
        <v>G94</v>
      </c>
      <c r="Z97" t="str">
        <f>'Green_rooibos initial weight'!A1002</f>
        <v>R94</v>
      </c>
      <c r="AA97" t="b">
        <f t="shared" si="69"/>
        <v>0</v>
      </c>
      <c r="AB97" t="b">
        <f t="shared" si="70"/>
        <v>0</v>
      </c>
      <c r="AE97" t="str">
        <f>'WetLitterbags placem_collection'!K96</f>
        <v>G534</v>
      </c>
      <c r="AF97" t="str">
        <f>'WetLitterbags placem_collection'!M96</f>
        <v>R244</v>
      </c>
      <c r="AG97" t="b">
        <f t="shared" si="71"/>
        <v>0</v>
      </c>
      <c r="AH97" t="b">
        <f t="shared" si="72"/>
        <v>0</v>
      </c>
      <c r="AJ97" t="b">
        <f t="shared" si="73"/>
        <v>0</v>
      </c>
      <c r="AK97" t="b">
        <f t="shared" si="74"/>
        <v>0</v>
      </c>
      <c r="AM97" t="str">
        <f>IF(ISBLANK('Dry_Litterbag Placem_Collection'!J96),"","G"&amp;""&amp;'Dry_Litterbag Placem_Collection'!J96)</f>
        <v/>
      </c>
      <c r="AN97" t="str">
        <f>IF(ISBLANK('Dry_Litterbag Placem_Collection'!K96),"","R"&amp;""&amp;'Dry_Litterbag Placem_Collection'!K96)</f>
        <v/>
      </c>
      <c r="AO97" t="b">
        <f t="shared" si="75"/>
        <v>1</v>
      </c>
      <c r="AP97" t="b">
        <f t="shared" si="76"/>
        <v>1</v>
      </c>
      <c r="AS97" t="str">
        <f>'Ashed teabags dry'!A95</f>
        <v>G22</v>
      </c>
      <c r="AT97" t="str">
        <f>'Ashed teabags dry'!A430</f>
        <v>R338</v>
      </c>
      <c r="AU97" t="b">
        <f t="shared" si="77"/>
        <v>0</v>
      </c>
      <c r="AV97" t="b">
        <f t="shared" si="100"/>
        <v>0</v>
      </c>
      <c r="AX97" s="388" t="b">
        <f t="shared" si="78"/>
        <v>0</v>
      </c>
      <c r="AY97" s="388" t="b">
        <f t="shared" si="79"/>
        <v>0</v>
      </c>
      <c r="BA97" t="str">
        <f>'Ashed teabags wet'!A95</f>
        <v>G479</v>
      </c>
      <c r="BB97" t="str">
        <f>'Ashed teabags wet'!A515</f>
        <v>R24</v>
      </c>
      <c r="BC97" t="b">
        <f t="shared" si="80"/>
        <v>0</v>
      </c>
      <c r="BD97" t="b">
        <f t="shared" si="60"/>
        <v>0</v>
      </c>
      <c r="BF97" t="str">
        <f t="shared" si="81"/>
        <v>G219</v>
      </c>
      <c r="BG97" t="str">
        <f t="shared" si="82"/>
        <v>G219</v>
      </c>
      <c r="BH97" t="str">
        <f t="shared" si="83"/>
        <v>G99</v>
      </c>
      <c r="BI97" t="str">
        <f t="shared" si="101"/>
        <v>G99</v>
      </c>
      <c r="BJ97" t="s">
        <v>1831</v>
      </c>
      <c r="BK97" t="s">
        <v>1831</v>
      </c>
      <c r="BL97" t="s">
        <v>1831</v>
      </c>
      <c r="BM97" t="b">
        <f t="shared" si="102"/>
        <v>1</v>
      </c>
      <c r="BN97" t="str">
        <f t="shared" si="84"/>
        <v>R337</v>
      </c>
      <c r="BO97" t="str">
        <f t="shared" si="85"/>
        <v>R337</v>
      </c>
      <c r="BP97" t="str">
        <f t="shared" si="86"/>
        <v>R675</v>
      </c>
      <c r="BQ97" t="str">
        <f t="shared" si="87"/>
        <v>R675</v>
      </c>
      <c r="BR97" t="s">
        <v>804</v>
      </c>
      <c r="BS97" t="s">
        <v>804</v>
      </c>
      <c r="BT97" t="s">
        <v>804</v>
      </c>
      <c r="BU97" t="b">
        <f t="shared" si="103"/>
        <v>1</v>
      </c>
      <c r="BZ97" t="str">
        <f t="shared" si="88"/>
        <v>G99</v>
      </c>
      <c r="CA97" t="b">
        <f t="shared" si="89"/>
        <v>0</v>
      </c>
      <c r="CB97" t="str">
        <f t="shared" si="104"/>
        <v>G99</v>
      </c>
      <c r="CC97" t="str">
        <f t="shared" si="90"/>
        <v>R675</v>
      </c>
      <c r="CD97" t="b">
        <f t="shared" si="105"/>
        <v>0</v>
      </c>
      <c r="CE97" t="str">
        <f t="shared" si="106"/>
        <v>R675</v>
      </c>
      <c r="CG97" t="str">
        <f t="shared" si="91"/>
        <v>G477</v>
      </c>
      <c r="CH97" t="str">
        <f t="shared" si="107"/>
        <v>G477</v>
      </c>
      <c r="CI97" t="str">
        <f t="shared" si="92"/>
        <v>G636</v>
      </c>
      <c r="CJ97" t="str">
        <f t="shared" si="93"/>
        <v>G636</v>
      </c>
      <c r="CK97" t="s">
        <v>1573</v>
      </c>
      <c r="CL97" t="s">
        <v>1573</v>
      </c>
      <c r="CM97" t="s">
        <v>1573</v>
      </c>
      <c r="CN97" t="b">
        <f t="shared" si="108"/>
        <v>1</v>
      </c>
      <c r="CO97" t="str">
        <f t="shared" si="94"/>
        <v>R235</v>
      </c>
      <c r="CP97" t="str">
        <f t="shared" si="109"/>
        <v>R235</v>
      </c>
      <c r="CQ97" t="str">
        <f t="shared" si="95"/>
        <v>R12</v>
      </c>
      <c r="CR97" t="str">
        <f t="shared" si="96"/>
        <v>R12</v>
      </c>
      <c r="CS97" t="s">
        <v>906</v>
      </c>
      <c r="CT97" t="s">
        <v>906</v>
      </c>
      <c r="CU97" t="s">
        <v>906</v>
      </c>
      <c r="CV97" t="b">
        <f t="shared" si="110"/>
        <v>1</v>
      </c>
      <c r="DC97" t="str">
        <f t="shared" si="97"/>
        <v>G636</v>
      </c>
      <c r="DD97" t="b">
        <f t="shared" si="111"/>
        <v>0</v>
      </c>
      <c r="DE97" t="str">
        <f t="shared" si="112"/>
        <v>G636</v>
      </c>
      <c r="DF97" t="str">
        <f t="shared" si="98"/>
        <v>R12</v>
      </c>
      <c r="DG97" t="b">
        <f t="shared" si="113"/>
        <v>0</v>
      </c>
      <c r="DH97" t="str">
        <f t="shared" si="114"/>
        <v>R12</v>
      </c>
    </row>
    <row r="98" spans="2:112" ht="12" customHeight="1">
      <c r="B98" t="str">
        <f>TBIDry!H170</f>
        <v>G126</v>
      </c>
      <c r="C98" t="str">
        <f>TBIDry!I170</f>
        <v>R794</v>
      </c>
      <c r="D98" t="b">
        <f t="shared" si="61"/>
        <v>0</v>
      </c>
      <c r="E98" t="b">
        <f t="shared" si="62"/>
        <v>0</v>
      </c>
      <c r="G98" t="str">
        <f>TBIWet!H170</f>
        <v>G641</v>
      </c>
      <c r="H98" t="str">
        <f>TBIWet!I170</f>
        <v>R360</v>
      </c>
      <c r="I98" t="b">
        <f t="shared" si="63"/>
        <v>0</v>
      </c>
      <c r="J98" t="b">
        <f t="shared" si="64"/>
        <v>0</v>
      </c>
      <c r="L98" t="str">
        <f>'Both teabags AfterWet'!A96</f>
        <v>G483</v>
      </c>
      <c r="M98" t="str">
        <f>'Both teabags AfterWet'!A516</f>
        <v>R241</v>
      </c>
      <c r="N98" t="b">
        <f t="shared" si="65"/>
        <v>0</v>
      </c>
      <c r="O98" t="b">
        <f t="shared" si="115"/>
        <v>0</v>
      </c>
      <c r="Q98" s="388" t="b">
        <f t="shared" si="66"/>
        <v>0</v>
      </c>
      <c r="R98" s="388" t="b">
        <f t="shared" si="67"/>
        <v>0</v>
      </c>
      <c r="T98" t="str">
        <f>'Both teabags AfterDry'!A96</f>
        <v>G220</v>
      </c>
      <c r="U98" t="str">
        <f>'Both teabags AfterDry'!A431</f>
        <v>R345</v>
      </c>
      <c r="V98" t="b">
        <f t="shared" si="68"/>
        <v>0</v>
      </c>
      <c r="W98" t="b">
        <f t="shared" si="99"/>
        <v>0</v>
      </c>
      <c r="Y98" t="str">
        <f>'Green_rooibos initial weight'!A99</f>
        <v>G95</v>
      </c>
      <c r="Z98" t="str">
        <f>'Green_rooibos initial weight'!A1003</f>
        <v>R95</v>
      </c>
      <c r="AA98" t="b">
        <f t="shared" si="69"/>
        <v>0</v>
      </c>
      <c r="AB98" t="b">
        <f t="shared" si="70"/>
        <v>0</v>
      </c>
      <c r="AE98" t="str">
        <f>'WetLitterbags placem_collection'!K97</f>
        <v>G641</v>
      </c>
      <c r="AF98" t="str">
        <f>'WetLitterbags placem_collection'!M97</f>
        <v>R360</v>
      </c>
      <c r="AG98" t="b">
        <f t="shared" si="71"/>
        <v>0</v>
      </c>
      <c r="AH98" t="b">
        <f t="shared" si="72"/>
        <v>0</v>
      </c>
      <c r="AJ98" t="b">
        <f t="shared" si="73"/>
        <v>0</v>
      </c>
      <c r="AK98" t="b">
        <f t="shared" si="74"/>
        <v>0</v>
      </c>
      <c r="AM98" t="str">
        <f>IF(ISBLANK('Dry_Litterbag Placem_Collection'!J97),"","G"&amp;""&amp;'Dry_Litterbag Placem_Collection'!J97)</f>
        <v>G126</v>
      </c>
      <c r="AN98" t="str">
        <f>IF(ISBLANK('Dry_Litterbag Placem_Collection'!K97),"","R"&amp;""&amp;'Dry_Litterbag Placem_Collection'!K97)</f>
        <v>R794</v>
      </c>
      <c r="AO98" t="b">
        <f t="shared" si="75"/>
        <v>0</v>
      </c>
      <c r="AP98" t="b">
        <f t="shared" si="76"/>
        <v>0</v>
      </c>
      <c r="AS98" t="str">
        <f>'Ashed teabags dry'!A96</f>
        <v>G220</v>
      </c>
      <c r="AT98" t="str">
        <f>'Ashed teabags dry'!A431</f>
        <v>R345</v>
      </c>
      <c r="AU98" t="b">
        <f t="shared" si="77"/>
        <v>0</v>
      </c>
      <c r="AV98" t="b">
        <f t="shared" si="100"/>
        <v>0</v>
      </c>
      <c r="AX98" s="388" t="b">
        <f t="shared" si="78"/>
        <v>0</v>
      </c>
      <c r="AY98" s="388" t="b">
        <f t="shared" si="79"/>
        <v>0</v>
      </c>
      <c r="BA98" t="str">
        <f>'Ashed teabags wet'!A96</f>
        <v>G483</v>
      </c>
      <c r="BB98" t="str">
        <f>'Ashed teabags wet'!A516</f>
        <v>R241</v>
      </c>
      <c r="BC98" t="b">
        <f t="shared" si="80"/>
        <v>0</v>
      </c>
      <c r="BD98" t="b">
        <f t="shared" si="60"/>
        <v>0</v>
      </c>
      <c r="BF98" t="str">
        <f t="shared" si="81"/>
        <v>G22</v>
      </c>
      <c r="BG98" t="str">
        <f t="shared" si="82"/>
        <v>G22</v>
      </c>
      <c r="BH98" t="str">
        <f t="shared" si="83"/>
        <v/>
      </c>
      <c r="BI98" t="str">
        <f t="shared" si="101"/>
        <v/>
      </c>
      <c r="BJ98" t="s">
        <v>2028</v>
      </c>
      <c r="BK98" t="s">
        <v>2028</v>
      </c>
      <c r="BL98" t="s">
        <v>2028</v>
      </c>
      <c r="BM98" t="b">
        <f t="shared" si="102"/>
        <v>1</v>
      </c>
      <c r="BN98" t="str">
        <f t="shared" si="84"/>
        <v>R338</v>
      </c>
      <c r="BO98" t="str">
        <f t="shared" si="85"/>
        <v>R338</v>
      </c>
      <c r="BP98" t="str">
        <f t="shared" si="86"/>
        <v/>
      </c>
      <c r="BQ98" t="str">
        <f t="shared" si="87"/>
        <v/>
      </c>
      <c r="BR98" t="s">
        <v>803</v>
      </c>
      <c r="BS98" t="s">
        <v>803</v>
      </c>
      <c r="BT98" t="s">
        <v>803</v>
      </c>
      <c r="BU98" t="b">
        <f t="shared" si="103"/>
        <v>1</v>
      </c>
      <c r="BZ98" t="str">
        <f t="shared" si="88"/>
        <v/>
      </c>
      <c r="CA98" t="b">
        <f t="shared" si="89"/>
        <v>0</v>
      </c>
      <c r="CB98" t="str">
        <f t="shared" si="104"/>
        <v/>
      </c>
      <c r="CC98" t="str">
        <f t="shared" si="90"/>
        <v/>
      </c>
      <c r="CD98" t="b">
        <f t="shared" si="105"/>
        <v>0</v>
      </c>
      <c r="CE98" t="str">
        <f t="shared" si="106"/>
        <v/>
      </c>
      <c r="CG98" t="str">
        <f t="shared" si="91"/>
        <v>G479</v>
      </c>
      <c r="CH98" t="str">
        <f t="shared" si="107"/>
        <v>G479</v>
      </c>
      <c r="CI98" t="str">
        <f t="shared" si="92"/>
        <v>G534</v>
      </c>
      <c r="CJ98" t="str">
        <f t="shared" si="93"/>
        <v/>
      </c>
      <c r="CK98" t="s">
        <v>1571</v>
      </c>
      <c r="CL98" t="s">
        <v>1571</v>
      </c>
      <c r="CM98" t="s">
        <v>1571</v>
      </c>
      <c r="CN98" t="b">
        <f t="shared" si="108"/>
        <v>1</v>
      </c>
      <c r="CO98" t="str">
        <f t="shared" si="94"/>
        <v>R24</v>
      </c>
      <c r="CP98" t="str">
        <f t="shared" si="109"/>
        <v>R24</v>
      </c>
      <c r="CQ98" t="str">
        <f t="shared" si="95"/>
        <v>R244</v>
      </c>
      <c r="CR98" t="str">
        <f t="shared" si="96"/>
        <v/>
      </c>
      <c r="CS98" t="s">
        <v>1117</v>
      </c>
      <c r="CT98" t="s">
        <v>1117</v>
      </c>
      <c r="CU98" t="s">
        <v>1117</v>
      </c>
      <c r="CV98" t="b">
        <f t="shared" si="110"/>
        <v>1</v>
      </c>
      <c r="DC98" t="str">
        <f t="shared" si="97"/>
        <v>G534</v>
      </c>
      <c r="DD98" t="b">
        <f t="shared" si="111"/>
        <v>1</v>
      </c>
      <c r="DE98" t="str">
        <f t="shared" si="112"/>
        <v/>
      </c>
      <c r="DF98" t="str">
        <f t="shared" si="98"/>
        <v>R244</v>
      </c>
      <c r="DG98" t="b">
        <f t="shared" si="113"/>
        <v>1</v>
      </c>
      <c r="DH98" t="str">
        <f t="shared" si="114"/>
        <v/>
      </c>
    </row>
    <row r="99" spans="2:112" ht="12" customHeight="1">
      <c r="B99" t="str">
        <f>TBIDry!H171</f>
        <v>G244</v>
      </c>
      <c r="C99" t="str">
        <f>TBIDry!I171</f>
        <v>R737</v>
      </c>
      <c r="D99" t="b">
        <f t="shared" si="61"/>
        <v>0</v>
      </c>
      <c r="E99" t="b">
        <f t="shared" si="62"/>
        <v>0</v>
      </c>
      <c r="G99" t="str">
        <f>TBIWet!H171</f>
        <v>G479</v>
      </c>
      <c r="H99" t="str">
        <f>TBIWet!I171</f>
        <v>R318</v>
      </c>
      <c r="I99" t="b">
        <f t="shared" si="63"/>
        <v>0</v>
      </c>
      <c r="J99" t="b">
        <f t="shared" si="64"/>
        <v>0</v>
      </c>
      <c r="L99" t="str">
        <f>'Both teabags AfterWet'!A97</f>
        <v>G486</v>
      </c>
      <c r="M99" t="str">
        <f>'Both teabags AfterWet'!A517</f>
        <v>R25</v>
      </c>
      <c r="N99" t="b">
        <f t="shared" si="65"/>
        <v>0</v>
      </c>
      <c r="O99" t="b">
        <f t="shared" si="115"/>
        <v>0</v>
      </c>
      <c r="Q99" s="388" t="b">
        <f t="shared" si="66"/>
        <v>0</v>
      </c>
      <c r="R99" s="388" t="b">
        <f t="shared" si="67"/>
        <v>0</v>
      </c>
      <c r="T99" t="str">
        <f>'Both teabags AfterDry'!A97</f>
        <v>G221</v>
      </c>
      <c r="U99" t="str">
        <f>'Both teabags AfterDry'!A432</f>
        <v>R348</v>
      </c>
      <c r="V99" t="b">
        <f t="shared" si="68"/>
        <v>0</v>
      </c>
      <c r="W99" t="b">
        <f t="shared" si="99"/>
        <v>0</v>
      </c>
      <c r="Y99" t="str">
        <f>'Green_rooibos initial weight'!A100</f>
        <v>G96</v>
      </c>
      <c r="Z99" t="str">
        <f>'Green_rooibos initial weight'!A1004</f>
        <v>R96</v>
      </c>
      <c r="AA99" t="b">
        <f t="shared" si="69"/>
        <v>0</v>
      </c>
      <c r="AB99" t="b">
        <f t="shared" si="70"/>
        <v>0</v>
      </c>
      <c r="AE99" t="str">
        <f>'WetLitterbags placem_collection'!K98</f>
        <v>G479</v>
      </c>
      <c r="AF99" t="str">
        <f>'WetLitterbags placem_collection'!M98</f>
        <v>R318</v>
      </c>
      <c r="AG99" t="b">
        <f t="shared" si="71"/>
        <v>0</v>
      </c>
      <c r="AH99" t="b">
        <f t="shared" si="72"/>
        <v>0</v>
      </c>
      <c r="AJ99" t="b">
        <f t="shared" si="73"/>
        <v>0</v>
      </c>
      <c r="AK99" t="b">
        <f t="shared" si="74"/>
        <v>0</v>
      </c>
      <c r="AM99" t="str">
        <f>IF(ISBLANK('Dry_Litterbag Placem_Collection'!J98),"","G"&amp;""&amp;'Dry_Litterbag Placem_Collection'!J98)</f>
        <v>G244</v>
      </c>
      <c r="AN99" t="str">
        <f>IF(ISBLANK('Dry_Litterbag Placem_Collection'!K98),"","R"&amp;""&amp;'Dry_Litterbag Placem_Collection'!K98)</f>
        <v>R737</v>
      </c>
      <c r="AO99" t="b">
        <f t="shared" si="75"/>
        <v>0</v>
      </c>
      <c r="AP99" t="b">
        <f t="shared" si="76"/>
        <v>0</v>
      </c>
      <c r="AS99" t="str">
        <f>'Ashed teabags dry'!A97</f>
        <v>G221</v>
      </c>
      <c r="AT99" t="str">
        <f>'Ashed teabags dry'!A432</f>
        <v>R348</v>
      </c>
      <c r="AU99" t="b">
        <f t="shared" si="77"/>
        <v>0</v>
      </c>
      <c r="AV99" t="b">
        <f t="shared" si="100"/>
        <v>0</v>
      </c>
      <c r="AX99" s="388" t="b">
        <f t="shared" si="78"/>
        <v>0</v>
      </c>
      <c r="AY99" s="388" t="b">
        <f t="shared" si="79"/>
        <v>0</v>
      </c>
      <c r="BA99" t="str">
        <f>'Ashed teabags wet'!A97</f>
        <v>G486</v>
      </c>
      <c r="BB99" t="str">
        <f>'Ashed teabags wet'!A517</f>
        <v>R25</v>
      </c>
      <c r="BC99" t="b">
        <f t="shared" si="80"/>
        <v>0</v>
      </c>
      <c r="BD99" t="b">
        <f t="shared" si="60"/>
        <v>0</v>
      </c>
      <c r="BF99" t="str">
        <f t="shared" si="81"/>
        <v>G220</v>
      </c>
      <c r="BG99" t="str">
        <f t="shared" si="82"/>
        <v>G220</v>
      </c>
      <c r="BH99" t="str">
        <f t="shared" si="83"/>
        <v>G126</v>
      </c>
      <c r="BI99" t="str">
        <f t="shared" si="101"/>
        <v>G126</v>
      </c>
      <c r="BJ99" t="s">
        <v>1830</v>
      </c>
      <c r="BK99" t="s">
        <v>1830</v>
      </c>
      <c r="BL99" t="s">
        <v>1830</v>
      </c>
      <c r="BM99" t="b">
        <f t="shared" si="102"/>
        <v>1</v>
      </c>
      <c r="BN99" t="str">
        <f t="shared" si="84"/>
        <v>R345</v>
      </c>
      <c r="BO99" t="str">
        <f t="shared" si="85"/>
        <v>R345</v>
      </c>
      <c r="BP99" t="str">
        <f t="shared" si="86"/>
        <v>R794</v>
      </c>
      <c r="BQ99" t="str">
        <f t="shared" si="87"/>
        <v>R794</v>
      </c>
      <c r="BR99" t="s">
        <v>796</v>
      </c>
      <c r="BS99" t="s">
        <v>796</v>
      </c>
      <c r="BT99" t="s">
        <v>796</v>
      </c>
      <c r="BU99" t="b">
        <f t="shared" si="103"/>
        <v>1</v>
      </c>
      <c r="BZ99" t="str">
        <f t="shared" si="88"/>
        <v>G126</v>
      </c>
      <c r="CA99" t="b">
        <f t="shared" si="89"/>
        <v>0</v>
      </c>
      <c r="CB99" t="str">
        <f t="shared" si="104"/>
        <v>G126</v>
      </c>
      <c r="CC99" t="str">
        <f t="shared" si="90"/>
        <v>R794</v>
      </c>
      <c r="CD99" t="b">
        <f t="shared" si="105"/>
        <v>0</v>
      </c>
      <c r="CE99" t="str">
        <f t="shared" si="106"/>
        <v>R794</v>
      </c>
      <c r="CG99" t="str">
        <f t="shared" si="91"/>
        <v>G483</v>
      </c>
      <c r="CH99" t="str">
        <f t="shared" si="107"/>
        <v>G483</v>
      </c>
      <c r="CI99" t="str">
        <f t="shared" si="92"/>
        <v>G641</v>
      </c>
      <c r="CJ99" t="str">
        <f t="shared" si="93"/>
        <v>G641</v>
      </c>
      <c r="CK99" t="s">
        <v>1567</v>
      </c>
      <c r="CL99" t="s">
        <v>1567</v>
      </c>
      <c r="CM99" t="s">
        <v>1567</v>
      </c>
      <c r="CN99" t="b">
        <f t="shared" si="108"/>
        <v>1</v>
      </c>
      <c r="CO99" t="str">
        <f t="shared" si="94"/>
        <v>R241</v>
      </c>
      <c r="CP99" t="str">
        <f t="shared" si="109"/>
        <v>R241</v>
      </c>
      <c r="CQ99" t="str">
        <f t="shared" si="95"/>
        <v>R360</v>
      </c>
      <c r="CR99" t="str">
        <f t="shared" si="96"/>
        <v>R360</v>
      </c>
      <c r="CS99" t="s">
        <v>900</v>
      </c>
      <c r="CT99" t="s">
        <v>900</v>
      </c>
      <c r="CU99" t="s">
        <v>900</v>
      </c>
      <c r="CV99" t="b">
        <f t="shared" si="110"/>
        <v>1</v>
      </c>
      <c r="DC99" t="str">
        <f t="shared" si="97"/>
        <v>G641</v>
      </c>
      <c r="DD99" t="b">
        <f t="shared" si="111"/>
        <v>0</v>
      </c>
      <c r="DE99" t="str">
        <f t="shared" si="112"/>
        <v>G641</v>
      </c>
      <c r="DF99" t="str">
        <f t="shared" si="98"/>
        <v>R360</v>
      </c>
      <c r="DG99" t="b">
        <f t="shared" si="113"/>
        <v>0</v>
      </c>
      <c r="DH99" t="str">
        <f t="shared" si="114"/>
        <v>R360</v>
      </c>
    </row>
    <row r="100" spans="2:112" ht="12" customHeight="1">
      <c r="B100" t="str">
        <f>TBIDry!H172</f>
        <v>G432</v>
      </c>
      <c r="C100" t="str">
        <f>TBIDry!I172</f>
        <v>R801</v>
      </c>
      <c r="D100" t="b">
        <f t="shared" si="61"/>
        <v>0</v>
      </c>
      <c r="E100" t="b">
        <f t="shared" si="62"/>
        <v>0</v>
      </c>
      <c r="G100" t="str">
        <f>TBIWet!H172</f>
        <v>G741</v>
      </c>
      <c r="H100" t="str">
        <f>TBIWet!I172</f>
        <v>R518</v>
      </c>
      <c r="I100" t="b">
        <f t="shared" si="63"/>
        <v>0</v>
      </c>
      <c r="J100" t="b">
        <f t="shared" si="64"/>
        <v>0</v>
      </c>
      <c r="L100" t="str">
        <f>'Both teabags AfterWet'!A98</f>
        <v>G489</v>
      </c>
      <c r="M100" t="str">
        <f>'Both teabags AfterWet'!A518</f>
        <v>R250</v>
      </c>
      <c r="N100" t="b">
        <f t="shared" si="65"/>
        <v>0</v>
      </c>
      <c r="O100" t="b">
        <f t="shared" si="115"/>
        <v>0</v>
      </c>
      <c r="Q100" s="388" t="b">
        <f t="shared" si="66"/>
        <v>0</v>
      </c>
      <c r="R100" s="388" t="b">
        <f t="shared" si="67"/>
        <v>0</v>
      </c>
      <c r="T100" t="str">
        <f>'Both teabags AfterDry'!A98</f>
        <v>G224</v>
      </c>
      <c r="U100" t="str">
        <f>'Both teabags AfterDry'!A433</f>
        <v>R350</v>
      </c>
      <c r="V100" t="b">
        <f t="shared" si="68"/>
        <v>0</v>
      </c>
      <c r="W100" t="b">
        <f t="shared" si="99"/>
        <v>0</v>
      </c>
      <c r="Y100" t="str">
        <f>'Green_rooibos initial weight'!A101</f>
        <v>G97</v>
      </c>
      <c r="Z100" t="str">
        <f>'Green_rooibos initial weight'!A1005</f>
        <v>R97</v>
      </c>
      <c r="AA100" t="b">
        <f t="shared" si="69"/>
        <v>0</v>
      </c>
      <c r="AB100" t="b">
        <f t="shared" si="70"/>
        <v>0</v>
      </c>
      <c r="AE100" t="str">
        <f>'WetLitterbags placem_collection'!K99</f>
        <v>G741</v>
      </c>
      <c r="AF100" t="str">
        <f>'WetLitterbags placem_collection'!M99</f>
        <v>R518</v>
      </c>
      <c r="AG100" t="b">
        <f t="shared" si="71"/>
        <v>0</v>
      </c>
      <c r="AH100" t="b">
        <f t="shared" si="72"/>
        <v>0</v>
      </c>
      <c r="AJ100" t="b">
        <f t="shared" si="73"/>
        <v>0</v>
      </c>
      <c r="AK100" t="b">
        <f t="shared" si="74"/>
        <v>0</v>
      </c>
      <c r="AM100" t="str">
        <f>IF(ISBLANK('Dry_Litterbag Placem_Collection'!J99),"","G"&amp;""&amp;'Dry_Litterbag Placem_Collection'!J99)</f>
        <v>G432</v>
      </c>
      <c r="AN100" t="str">
        <f>IF(ISBLANK('Dry_Litterbag Placem_Collection'!K99),"","R"&amp;""&amp;'Dry_Litterbag Placem_Collection'!K99)</f>
        <v>R801</v>
      </c>
      <c r="AO100" t="b">
        <f t="shared" si="75"/>
        <v>0</v>
      </c>
      <c r="AP100" t="b">
        <f t="shared" si="76"/>
        <v>0</v>
      </c>
      <c r="AS100" t="str">
        <f>'Ashed teabags dry'!A98</f>
        <v>G224</v>
      </c>
      <c r="AT100" t="str">
        <f>'Ashed teabags dry'!A433</f>
        <v>R350</v>
      </c>
      <c r="AU100" t="b">
        <f t="shared" si="77"/>
        <v>0</v>
      </c>
      <c r="AV100" t="b">
        <f t="shared" si="100"/>
        <v>0</v>
      </c>
      <c r="AX100" s="388" t="b">
        <f t="shared" si="78"/>
        <v>0</v>
      </c>
      <c r="AY100" s="388" t="b">
        <f t="shared" si="79"/>
        <v>0</v>
      </c>
      <c r="BA100" t="str">
        <f>'Ashed teabags wet'!A98</f>
        <v>G489</v>
      </c>
      <c r="BB100" t="str">
        <f>'Ashed teabags wet'!A518</f>
        <v>R250</v>
      </c>
      <c r="BC100" t="b">
        <f t="shared" si="80"/>
        <v>0</v>
      </c>
      <c r="BD100" t="b">
        <f t="shared" si="60"/>
        <v>0</v>
      </c>
      <c r="BF100" t="str">
        <f t="shared" si="81"/>
        <v>G221</v>
      </c>
      <c r="BG100" t="str">
        <f t="shared" si="82"/>
        <v>G221</v>
      </c>
      <c r="BH100" t="str">
        <f t="shared" si="83"/>
        <v>G244</v>
      </c>
      <c r="BI100" t="str">
        <f t="shared" si="101"/>
        <v>G244</v>
      </c>
      <c r="BJ100" t="s">
        <v>1829</v>
      </c>
      <c r="BK100" t="s">
        <v>1829</v>
      </c>
      <c r="BL100" t="s">
        <v>1829</v>
      </c>
      <c r="BM100" t="b">
        <f t="shared" si="102"/>
        <v>1</v>
      </c>
      <c r="BN100" t="str">
        <f t="shared" si="84"/>
        <v>R348</v>
      </c>
      <c r="BO100" t="str">
        <f t="shared" si="85"/>
        <v>R348</v>
      </c>
      <c r="BP100" t="str">
        <f t="shared" si="86"/>
        <v>R737</v>
      </c>
      <c r="BQ100" t="str">
        <f t="shared" si="87"/>
        <v>R737</v>
      </c>
      <c r="BR100" t="s">
        <v>793</v>
      </c>
      <c r="BS100" t="s">
        <v>793</v>
      </c>
      <c r="BT100" t="s">
        <v>793</v>
      </c>
      <c r="BU100" t="b">
        <f t="shared" si="103"/>
        <v>1</v>
      </c>
      <c r="BZ100" t="str">
        <f t="shared" si="88"/>
        <v>G244</v>
      </c>
      <c r="CA100" t="b">
        <f t="shared" si="89"/>
        <v>0</v>
      </c>
      <c r="CB100" t="str">
        <f t="shared" si="104"/>
        <v>G244</v>
      </c>
      <c r="CC100" t="str">
        <f t="shared" si="90"/>
        <v>R737</v>
      </c>
      <c r="CD100" t="b">
        <f t="shared" si="105"/>
        <v>0</v>
      </c>
      <c r="CE100" t="str">
        <f t="shared" si="106"/>
        <v>R737</v>
      </c>
      <c r="CG100" t="str">
        <f t="shared" si="91"/>
        <v>G486</v>
      </c>
      <c r="CH100" t="str">
        <f t="shared" si="107"/>
        <v>G486</v>
      </c>
      <c r="CI100" t="str">
        <f t="shared" si="92"/>
        <v>G479</v>
      </c>
      <c r="CJ100" t="str">
        <f t="shared" si="93"/>
        <v>G479</v>
      </c>
      <c r="CK100" t="s">
        <v>1564</v>
      </c>
      <c r="CL100" t="s">
        <v>1564</v>
      </c>
      <c r="CM100" t="s">
        <v>1564</v>
      </c>
      <c r="CN100" t="b">
        <f t="shared" si="108"/>
        <v>1</v>
      </c>
      <c r="CO100" t="str">
        <f t="shared" si="94"/>
        <v>R25</v>
      </c>
      <c r="CP100" t="str">
        <f t="shared" si="109"/>
        <v>R25</v>
      </c>
      <c r="CQ100" t="str">
        <f t="shared" si="95"/>
        <v>R318</v>
      </c>
      <c r="CR100" t="str">
        <f t="shared" si="96"/>
        <v>R318</v>
      </c>
      <c r="CS100" t="s">
        <v>1116</v>
      </c>
      <c r="CT100" t="s">
        <v>1116</v>
      </c>
      <c r="CU100" t="s">
        <v>1116</v>
      </c>
      <c r="CV100" t="b">
        <f t="shared" si="110"/>
        <v>1</v>
      </c>
      <c r="DC100" t="str">
        <f t="shared" si="97"/>
        <v>G479</v>
      </c>
      <c r="DD100" t="b">
        <f t="shared" si="111"/>
        <v>0</v>
      </c>
      <c r="DE100" t="str">
        <f t="shared" si="112"/>
        <v>G479</v>
      </c>
      <c r="DF100" t="str">
        <f t="shared" si="98"/>
        <v>R318</v>
      </c>
      <c r="DG100" t="b">
        <f t="shared" si="113"/>
        <v>0</v>
      </c>
      <c r="DH100" t="str">
        <f t="shared" si="114"/>
        <v>R318</v>
      </c>
    </row>
    <row r="101" spans="2:112" ht="12" customHeight="1">
      <c r="B101" t="str">
        <f>TBIDry!H173</f>
        <v>G184</v>
      </c>
      <c r="C101" t="str">
        <f>TBIDry!I173</f>
        <v>R808</v>
      </c>
      <c r="D101" t="b">
        <f t="shared" si="61"/>
        <v>0</v>
      </c>
      <c r="E101" t="b">
        <f t="shared" si="62"/>
        <v>0</v>
      </c>
      <c r="G101" t="str">
        <f>TBIWet!H173</f>
        <v>G610</v>
      </c>
      <c r="H101" t="str">
        <f>TBIWet!I173</f>
        <v>R489</v>
      </c>
      <c r="I101" t="b">
        <f t="shared" si="63"/>
        <v>0</v>
      </c>
      <c r="J101" t="b">
        <f t="shared" si="64"/>
        <v>0</v>
      </c>
      <c r="L101" t="str">
        <f>'Both teabags AfterWet'!A99</f>
        <v>G491</v>
      </c>
      <c r="M101" t="str">
        <f>'Both teabags AfterWet'!A519</f>
        <v>R251</v>
      </c>
      <c r="N101" t="b">
        <f t="shared" si="65"/>
        <v>0</v>
      </c>
      <c r="O101" t="b">
        <f t="shared" si="115"/>
        <v>0</v>
      </c>
      <c r="Q101" s="388" t="b">
        <f t="shared" si="66"/>
        <v>0</v>
      </c>
      <c r="R101" s="388" t="b">
        <f t="shared" si="67"/>
        <v>0</v>
      </c>
      <c r="T101" t="str">
        <f>'Both teabags AfterDry'!A99</f>
        <v>G225</v>
      </c>
      <c r="U101" t="str">
        <f>'Both teabags AfterDry'!A434</f>
        <v>R352</v>
      </c>
      <c r="V101" t="b">
        <f t="shared" si="68"/>
        <v>0</v>
      </c>
      <c r="W101" t="b">
        <f t="shared" si="99"/>
        <v>0</v>
      </c>
      <c r="Y101" t="str">
        <f>'Green_rooibos initial weight'!A102</f>
        <v>G98</v>
      </c>
      <c r="Z101" t="str">
        <f>'Green_rooibos initial weight'!A1006</f>
        <v>R98</v>
      </c>
      <c r="AA101" t="b">
        <f t="shared" si="69"/>
        <v>0</v>
      </c>
      <c r="AB101" t="b">
        <f t="shared" si="70"/>
        <v>0</v>
      </c>
      <c r="AE101" t="str">
        <f>'WetLitterbags placem_collection'!K100</f>
        <v>G610</v>
      </c>
      <c r="AF101" t="str">
        <f>'WetLitterbags placem_collection'!M100</f>
        <v>R489</v>
      </c>
      <c r="AG101" t="b">
        <f t="shared" si="71"/>
        <v>0</v>
      </c>
      <c r="AH101" t="b">
        <f t="shared" si="72"/>
        <v>0</v>
      </c>
      <c r="AJ101" t="b">
        <f t="shared" si="73"/>
        <v>0</v>
      </c>
      <c r="AK101" t="b">
        <f t="shared" si="74"/>
        <v>0</v>
      </c>
      <c r="AM101" t="str">
        <f>IF(ISBLANK('Dry_Litterbag Placem_Collection'!J100),"","G"&amp;""&amp;'Dry_Litterbag Placem_Collection'!J100)</f>
        <v>G184</v>
      </c>
      <c r="AN101" t="str">
        <f>IF(ISBLANK('Dry_Litterbag Placem_Collection'!K100),"","R"&amp;""&amp;'Dry_Litterbag Placem_Collection'!K100)</f>
        <v>R808</v>
      </c>
      <c r="AO101" t="b">
        <f t="shared" si="75"/>
        <v>0</v>
      </c>
      <c r="AP101" t="b">
        <f t="shared" si="76"/>
        <v>0</v>
      </c>
      <c r="AS101" t="str">
        <f>'Ashed teabags dry'!A99</f>
        <v>G225</v>
      </c>
      <c r="AT101" t="str">
        <f>'Ashed teabags dry'!A434</f>
        <v>R352</v>
      </c>
      <c r="AU101" t="b">
        <f t="shared" si="77"/>
        <v>0</v>
      </c>
      <c r="AV101" t="b">
        <f t="shared" si="100"/>
        <v>0</v>
      </c>
      <c r="AX101" s="388" t="b">
        <f t="shared" si="78"/>
        <v>0</v>
      </c>
      <c r="AY101" s="388" t="b">
        <f t="shared" si="79"/>
        <v>0</v>
      </c>
      <c r="BA101" t="str">
        <f>'Ashed teabags wet'!A99</f>
        <v>G491</v>
      </c>
      <c r="BB101" t="str">
        <f>'Ashed teabags wet'!A519</f>
        <v>R251</v>
      </c>
      <c r="BC101" t="b">
        <f t="shared" si="80"/>
        <v>0</v>
      </c>
      <c r="BD101" t="b">
        <f t="shared" si="60"/>
        <v>0</v>
      </c>
      <c r="BF101" t="str">
        <f t="shared" si="81"/>
        <v>G224</v>
      </c>
      <c r="BG101" t="str">
        <f t="shared" si="82"/>
        <v>G224</v>
      </c>
      <c r="BH101" t="str">
        <f t="shared" si="83"/>
        <v>G432</v>
      </c>
      <c r="BI101" t="str">
        <f t="shared" si="101"/>
        <v/>
      </c>
      <c r="BJ101" t="s">
        <v>1826</v>
      </c>
      <c r="BK101" t="s">
        <v>1826</v>
      </c>
      <c r="BL101" t="s">
        <v>1826</v>
      </c>
      <c r="BM101" t="b">
        <f t="shared" si="102"/>
        <v>1</v>
      </c>
      <c r="BN101" t="str">
        <f t="shared" si="84"/>
        <v>R350</v>
      </c>
      <c r="BO101" t="str">
        <f t="shared" si="85"/>
        <v>R350</v>
      </c>
      <c r="BP101" t="str">
        <f t="shared" si="86"/>
        <v>R801</v>
      </c>
      <c r="BQ101" t="str">
        <f t="shared" si="87"/>
        <v/>
      </c>
      <c r="BR101" t="s">
        <v>791</v>
      </c>
      <c r="BS101" t="s">
        <v>791</v>
      </c>
      <c r="BT101" t="s">
        <v>791</v>
      </c>
      <c r="BU101" t="b">
        <f t="shared" si="103"/>
        <v>1</v>
      </c>
      <c r="BZ101" t="str">
        <f t="shared" si="88"/>
        <v>G432</v>
      </c>
      <c r="CA101" t="b">
        <f t="shared" si="89"/>
        <v>1</v>
      </c>
      <c r="CB101" t="str">
        <f t="shared" si="104"/>
        <v/>
      </c>
      <c r="CC101" t="str">
        <f t="shared" si="90"/>
        <v>R801</v>
      </c>
      <c r="CD101" t="b">
        <f t="shared" si="105"/>
        <v>1</v>
      </c>
      <c r="CE101" t="str">
        <f t="shared" si="106"/>
        <v/>
      </c>
      <c r="CG101" t="str">
        <f t="shared" si="91"/>
        <v>G489</v>
      </c>
      <c r="CH101" t="str">
        <f t="shared" si="107"/>
        <v>G489</v>
      </c>
      <c r="CI101" t="str">
        <f t="shared" si="92"/>
        <v>G741</v>
      </c>
      <c r="CJ101" t="str">
        <f t="shared" si="93"/>
        <v>G741</v>
      </c>
      <c r="CK101" t="s">
        <v>1561</v>
      </c>
      <c r="CL101" t="s">
        <v>1561</v>
      </c>
      <c r="CM101" t="s">
        <v>1561</v>
      </c>
      <c r="CN101" t="b">
        <f t="shared" si="108"/>
        <v>1</v>
      </c>
      <c r="CO101" t="str">
        <f t="shared" si="94"/>
        <v>R250</v>
      </c>
      <c r="CP101" t="str">
        <f t="shared" si="109"/>
        <v>R250</v>
      </c>
      <c r="CQ101" t="str">
        <f t="shared" si="95"/>
        <v>R518</v>
      </c>
      <c r="CR101" t="str">
        <f t="shared" si="96"/>
        <v>R518</v>
      </c>
      <c r="CS101" t="s">
        <v>891</v>
      </c>
      <c r="CT101" t="s">
        <v>891</v>
      </c>
      <c r="CU101" t="s">
        <v>891</v>
      </c>
      <c r="CV101" t="b">
        <f t="shared" si="110"/>
        <v>1</v>
      </c>
      <c r="DC101" t="str">
        <f t="shared" si="97"/>
        <v>G741</v>
      </c>
      <c r="DD101" t="b">
        <f t="shared" si="111"/>
        <v>0</v>
      </c>
      <c r="DE101" t="str">
        <f t="shared" si="112"/>
        <v>G741</v>
      </c>
      <c r="DF101" t="str">
        <f t="shared" si="98"/>
        <v>R518</v>
      </c>
      <c r="DG101" t="b">
        <f t="shared" si="113"/>
        <v>0</v>
      </c>
      <c r="DH101" t="str">
        <f t="shared" si="114"/>
        <v>R518</v>
      </c>
    </row>
    <row r="102" spans="2:112" ht="12" customHeight="1">
      <c r="B102" t="str">
        <f>TBIDry!H174</f>
        <v/>
      </c>
      <c r="C102" t="str">
        <f>TBIDry!I174</f>
        <v/>
      </c>
      <c r="D102" t="b">
        <f t="shared" si="61"/>
        <v>1</v>
      </c>
      <c r="E102" t="b">
        <f t="shared" si="62"/>
        <v>1</v>
      </c>
      <c r="G102" t="str">
        <f>TBIWet!H174</f>
        <v>G765</v>
      </c>
      <c r="H102" t="str">
        <f>TBIWet!I174</f>
        <v>R549</v>
      </c>
      <c r="I102" t="b">
        <f t="shared" si="63"/>
        <v>0</v>
      </c>
      <c r="J102" t="b">
        <f t="shared" si="64"/>
        <v>0</v>
      </c>
      <c r="L102" t="str">
        <f>'Both teabags AfterWet'!A100</f>
        <v>G492</v>
      </c>
      <c r="M102" t="str">
        <f>'Both teabags AfterWet'!A520</f>
        <v>R252</v>
      </c>
      <c r="N102" t="b">
        <f t="shared" si="65"/>
        <v>0</v>
      </c>
      <c r="O102" t="b">
        <f t="shared" si="115"/>
        <v>0</v>
      </c>
      <c r="Q102" s="388" t="b">
        <f t="shared" si="66"/>
        <v>0</v>
      </c>
      <c r="R102" s="388" t="b">
        <f t="shared" si="67"/>
        <v>0</v>
      </c>
      <c r="T102" t="str">
        <f>'Both teabags AfterDry'!A100</f>
        <v>G226</v>
      </c>
      <c r="U102" t="str">
        <f>'Both teabags AfterDry'!A435</f>
        <v>R357</v>
      </c>
      <c r="V102" t="b">
        <f t="shared" si="68"/>
        <v>0</v>
      </c>
      <c r="W102" t="b">
        <f t="shared" si="99"/>
        <v>0</v>
      </c>
      <c r="Y102" t="str">
        <f>'Green_rooibos initial weight'!A103</f>
        <v>G99</v>
      </c>
      <c r="Z102" t="str">
        <f>'Green_rooibos initial weight'!A1007</f>
        <v>R99</v>
      </c>
      <c r="AA102" t="b">
        <f t="shared" si="69"/>
        <v>0</v>
      </c>
      <c r="AB102" t="b">
        <f t="shared" si="70"/>
        <v>0</v>
      </c>
      <c r="AE102" t="str">
        <f>'WetLitterbags placem_collection'!K101</f>
        <v>G765</v>
      </c>
      <c r="AF102" t="str">
        <f>'WetLitterbags placem_collection'!M101</f>
        <v>R549</v>
      </c>
      <c r="AG102" t="b">
        <f t="shared" si="71"/>
        <v>0</v>
      </c>
      <c r="AH102" t="b">
        <f t="shared" si="72"/>
        <v>0</v>
      </c>
      <c r="AJ102" t="b">
        <f t="shared" si="73"/>
        <v>0</v>
      </c>
      <c r="AK102" t="b">
        <f t="shared" si="74"/>
        <v>0</v>
      </c>
      <c r="AM102" t="str">
        <f>IF(ISBLANK('Dry_Litterbag Placem_Collection'!J101),"","G"&amp;""&amp;'Dry_Litterbag Placem_Collection'!J101)</f>
        <v/>
      </c>
      <c r="AN102" t="str">
        <f>IF(ISBLANK('Dry_Litterbag Placem_Collection'!K101),"","R"&amp;""&amp;'Dry_Litterbag Placem_Collection'!K101)</f>
        <v/>
      </c>
      <c r="AO102" t="b">
        <f t="shared" si="75"/>
        <v>1</v>
      </c>
      <c r="AP102" t="b">
        <f t="shared" si="76"/>
        <v>1</v>
      </c>
      <c r="AS102" t="str">
        <f>'Ashed teabags dry'!A100</f>
        <v>G226</v>
      </c>
      <c r="AT102" t="str">
        <f>'Ashed teabags dry'!A435</f>
        <v>R357</v>
      </c>
      <c r="AU102" t="b">
        <f t="shared" si="77"/>
        <v>0</v>
      </c>
      <c r="AV102" t="b">
        <f t="shared" si="100"/>
        <v>0</v>
      </c>
      <c r="AX102" s="388" t="b">
        <f t="shared" si="78"/>
        <v>0</v>
      </c>
      <c r="AY102" s="388" t="b">
        <f t="shared" si="79"/>
        <v>0</v>
      </c>
      <c r="BA102" t="str">
        <f>'Ashed teabags wet'!A100</f>
        <v>G492</v>
      </c>
      <c r="BB102" t="str">
        <f>'Ashed teabags wet'!A520</f>
        <v>R252</v>
      </c>
      <c r="BC102" t="b">
        <f t="shared" si="80"/>
        <v>0</v>
      </c>
      <c r="BD102" t="b">
        <f t="shared" si="60"/>
        <v>0</v>
      </c>
      <c r="BF102" t="str">
        <f t="shared" si="81"/>
        <v>G225</v>
      </c>
      <c r="BG102" t="str">
        <f t="shared" si="82"/>
        <v>G225</v>
      </c>
      <c r="BH102" t="str">
        <f t="shared" si="83"/>
        <v>G184</v>
      </c>
      <c r="BI102" t="str">
        <f t="shared" si="101"/>
        <v>G184</v>
      </c>
      <c r="BJ102" t="s">
        <v>1825</v>
      </c>
      <c r="BK102" t="s">
        <v>1825</v>
      </c>
      <c r="BL102" t="s">
        <v>1825</v>
      </c>
      <c r="BM102" t="b">
        <f t="shared" si="102"/>
        <v>1</v>
      </c>
      <c r="BN102" t="str">
        <f t="shared" si="84"/>
        <v>R352</v>
      </c>
      <c r="BO102" t="str">
        <f t="shared" si="85"/>
        <v>R352</v>
      </c>
      <c r="BP102" t="str">
        <f t="shared" si="86"/>
        <v>R808</v>
      </c>
      <c r="BQ102" t="str">
        <f t="shared" si="87"/>
        <v>R808</v>
      </c>
      <c r="BR102" t="s">
        <v>789</v>
      </c>
      <c r="BS102" t="s">
        <v>789</v>
      </c>
      <c r="BT102" t="s">
        <v>789</v>
      </c>
      <c r="BU102" t="b">
        <f t="shared" si="103"/>
        <v>1</v>
      </c>
      <c r="BZ102" t="str">
        <f t="shared" si="88"/>
        <v>G184</v>
      </c>
      <c r="CA102" t="b">
        <f t="shared" si="89"/>
        <v>0</v>
      </c>
      <c r="CB102" t="str">
        <f t="shared" si="104"/>
        <v>G184</v>
      </c>
      <c r="CC102" t="str">
        <f t="shared" si="90"/>
        <v>R808</v>
      </c>
      <c r="CD102" t="b">
        <f t="shared" si="105"/>
        <v>0</v>
      </c>
      <c r="CE102" t="str">
        <f t="shared" si="106"/>
        <v>R808</v>
      </c>
      <c r="CG102" t="str">
        <f t="shared" si="91"/>
        <v>G491</v>
      </c>
      <c r="CH102" t="str">
        <f t="shared" si="107"/>
        <v>G491</v>
      </c>
      <c r="CI102" t="str">
        <f t="shared" si="92"/>
        <v>G610</v>
      </c>
      <c r="CJ102" t="str">
        <f t="shared" si="93"/>
        <v>G610</v>
      </c>
      <c r="CK102" t="s">
        <v>1559</v>
      </c>
      <c r="CL102" t="s">
        <v>1559</v>
      </c>
      <c r="CM102" t="s">
        <v>1559</v>
      </c>
      <c r="CN102" t="b">
        <f t="shared" si="108"/>
        <v>1</v>
      </c>
      <c r="CO102" t="str">
        <f t="shared" si="94"/>
        <v>R251</v>
      </c>
      <c r="CP102" t="str">
        <f t="shared" si="109"/>
        <v>R251</v>
      </c>
      <c r="CQ102" t="str">
        <f t="shared" si="95"/>
        <v>R489</v>
      </c>
      <c r="CR102" t="str">
        <f t="shared" si="96"/>
        <v>R489</v>
      </c>
      <c r="CS102" t="s">
        <v>890</v>
      </c>
      <c r="CT102" t="s">
        <v>890</v>
      </c>
      <c r="CU102" t="s">
        <v>890</v>
      </c>
      <c r="CV102" t="b">
        <f t="shared" si="110"/>
        <v>1</v>
      </c>
      <c r="DC102" t="str">
        <f t="shared" si="97"/>
        <v>G610</v>
      </c>
      <c r="DD102" t="b">
        <f t="shared" si="111"/>
        <v>0</v>
      </c>
      <c r="DE102" t="str">
        <f t="shared" si="112"/>
        <v>G610</v>
      </c>
      <c r="DF102" t="str">
        <f t="shared" si="98"/>
        <v>R489</v>
      </c>
      <c r="DG102" t="b">
        <f t="shared" si="113"/>
        <v>0</v>
      </c>
      <c r="DH102" t="str">
        <f t="shared" si="114"/>
        <v>R489</v>
      </c>
    </row>
    <row r="103" spans="2:112" ht="12" customHeight="1">
      <c r="B103" t="str">
        <f>TBIDry!H175</f>
        <v>G176</v>
      </c>
      <c r="C103" t="str">
        <f>TBIDry!I175</f>
        <v>R276</v>
      </c>
      <c r="D103" t="b">
        <f t="shared" si="61"/>
        <v>0</v>
      </c>
      <c r="E103" t="b">
        <f t="shared" si="62"/>
        <v>0</v>
      </c>
      <c r="G103" t="str">
        <f>TBIWet!H175</f>
        <v>G728</v>
      </c>
      <c r="H103" t="str">
        <f>TBIWet!I175</f>
        <v>R500</v>
      </c>
      <c r="I103" t="b">
        <f t="shared" si="63"/>
        <v>0</v>
      </c>
      <c r="J103" t="b">
        <f t="shared" si="64"/>
        <v>0</v>
      </c>
      <c r="L103" t="str">
        <f>'Both teabags AfterWet'!A101</f>
        <v>G494</v>
      </c>
      <c r="M103" t="str">
        <f>'Both teabags AfterWet'!A521</f>
        <v>R253</v>
      </c>
      <c r="N103" t="b">
        <f t="shared" si="65"/>
        <v>0</v>
      </c>
      <c r="O103" t="b">
        <f t="shared" si="115"/>
        <v>0</v>
      </c>
      <c r="Q103" s="388" t="b">
        <f t="shared" si="66"/>
        <v>0</v>
      </c>
      <c r="R103" s="388" t="b">
        <f t="shared" si="67"/>
        <v>0</v>
      </c>
      <c r="T103" t="str">
        <f>'Both teabags AfterDry'!A101</f>
        <v>G227</v>
      </c>
      <c r="U103" t="str">
        <f>'Both teabags AfterDry'!A436</f>
        <v>R36</v>
      </c>
      <c r="V103" t="b">
        <f t="shared" si="68"/>
        <v>0</v>
      </c>
      <c r="W103" t="b">
        <f t="shared" si="99"/>
        <v>0</v>
      </c>
      <c r="Y103" t="str">
        <f>'Green_rooibos initial weight'!A104</f>
        <v>G100</v>
      </c>
      <c r="Z103" t="str">
        <f>'Green_rooibos initial weight'!A1008</f>
        <v>R100</v>
      </c>
      <c r="AA103" t="b">
        <f t="shared" si="69"/>
        <v>0</v>
      </c>
      <c r="AB103" t="b">
        <f t="shared" si="70"/>
        <v>0</v>
      </c>
      <c r="AE103" t="str">
        <f>'WetLitterbags placem_collection'!K102</f>
        <v>G728</v>
      </c>
      <c r="AF103" t="str">
        <f>'WetLitterbags placem_collection'!M102</f>
        <v>R500</v>
      </c>
      <c r="AG103" t="b">
        <f t="shared" si="71"/>
        <v>0</v>
      </c>
      <c r="AH103" t="b">
        <f t="shared" si="72"/>
        <v>0</v>
      </c>
      <c r="AJ103" t="b">
        <f t="shared" si="73"/>
        <v>0</v>
      </c>
      <c r="AK103" t="b">
        <f t="shared" si="74"/>
        <v>0</v>
      </c>
      <c r="AM103" t="str">
        <f>IF(ISBLANK('Dry_Litterbag Placem_Collection'!J102),"","G"&amp;""&amp;'Dry_Litterbag Placem_Collection'!J102)</f>
        <v>G176</v>
      </c>
      <c r="AN103" t="str">
        <f>IF(ISBLANK('Dry_Litterbag Placem_Collection'!K102),"","R"&amp;""&amp;'Dry_Litterbag Placem_Collection'!K102)</f>
        <v>R276</v>
      </c>
      <c r="AO103" t="b">
        <f t="shared" si="75"/>
        <v>0</v>
      </c>
      <c r="AP103" t="b">
        <f t="shared" si="76"/>
        <v>0</v>
      </c>
      <c r="AS103" t="str">
        <f>'Ashed teabags dry'!A101</f>
        <v>G227</v>
      </c>
      <c r="AT103" t="str">
        <f>'Ashed teabags dry'!A436</f>
        <v>R36</v>
      </c>
      <c r="AU103" t="b">
        <f t="shared" si="77"/>
        <v>0</v>
      </c>
      <c r="AV103" t="b">
        <f t="shared" si="100"/>
        <v>0</v>
      </c>
      <c r="AX103" s="388" t="b">
        <f t="shared" si="78"/>
        <v>0</v>
      </c>
      <c r="AY103" s="388" t="b">
        <f t="shared" si="79"/>
        <v>0</v>
      </c>
      <c r="BA103" t="str">
        <f>'Ashed teabags wet'!A101</f>
        <v>G494</v>
      </c>
      <c r="BB103" t="str">
        <f>'Ashed teabags wet'!A521</f>
        <v>R253</v>
      </c>
      <c r="BC103" t="b">
        <f t="shared" si="80"/>
        <v>0</v>
      </c>
      <c r="BD103" t="b">
        <f t="shared" si="60"/>
        <v>0</v>
      </c>
      <c r="BF103" t="str">
        <f t="shared" si="81"/>
        <v>G226</v>
      </c>
      <c r="BG103" t="str">
        <f t="shared" si="82"/>
        <v>G226</v>
      </c>
      <c r="BH103" t="str">
        <f t="shared" si="83"/>
        <v/>
      </c>
      <c r="BI103" t="str">
        <f t="shared" si="101"/>
        <v/>
      </c>
      <c r="BJ103" t="s">
        <v>1824</v>
      </c>
      <c r="BK103" t="s">
        <v>1824</v>
      </c>
      <c r="BL103" t="s">
        <v>1824</v>
      </c>
      <c r="BM103" t="b">
        <f t="shared" si="102"/>
        <v>1</v>
      </c>
      <c r="BN103" t="str">
        <f t="shared" si="84"/>
        <v>R357</v>
      </c>
      <c r="BO103" t="str">
        <f t="shared" si="85"/>
        <v>R357</v>
      </c>
      <c r="BP103" t="str">
        <f t="shared" si="86"/>
        <v/>
      </c>
      <c r="BQ103" t="str">
        <f t="shared" si="87"/>
        <v/>
      </c>
      <c r="BR103" t="s">
        <v>784</v>
      </c>
      <c r="BS103" t="s">
        <v>784</v>
      </c>
      <c r="BT103" t="s">
        <v>784</v>
      </c>
      <c r="BU103" t="b">
        <f t="shared" si="103"/>
        <v>1</v>
      </c>
      <c r="BZ103" t="str">
        <f t="shared" si="88"/>
        <v/>
      </c>
      <c r="CA103" t="b">
        <f t="shared" si="89"/>
        <v>0</v>
      </c>
      <c r="CB103" t="str">
        <f t="shared" si="104"/>
        <v/>
      </c>
      <c r="CC103" t="str">
        <f t="shared" si="90"/>
        <v/>
      </c>
      <c r="CD103" t="b">
        <f t="shared" si="105"/>
        <v>0</v>
      </c>
      <c r="CE103" t="str">
        <f t="shared" si="106"/>
        <v/>
      </c>
      <c r="CG103" t="str">
        <f t="shared" si="91"/>
        <v>G492</v>
      </c>
      <c r="CH103" t="str">
        <f t="shared" si="107"/>
        <v>G492</v>
      </c>
      <c r="CI103" t="str">
        <f t="shared" si="92"/>
        <v>G765</v>
      </c>
      <c r="CJ103" t="str">
        <f t="shared" si="93"/>
        <v>G765</v>
      </c>
      <c r="CK103" t="s">
        <v>1558</v>
      </c>
      <c r="CL103" t="s">
        <v>1558</v>
      </c>
      <c r="CM103" t="s">
        <v>1558</v>
      </c>
      <c r="CN103" t="b">
        <f t="shared" si="108"/>
        <v>1</v>
      </c>
      <c r="CO103" t="str">
        <f t="shared" si="94"/>
        <v>R252</v>
      </c>
      <c r="CP103" t="str">
        <f t="shared" si="109"/>
        <v>R252</v>
      </c>
      <c r="CQ103" t="str">
        <f t="shared" si="95"/>
        <v>R549</v>
      </c>
      <c r="CR103" t="str">
        <f t="shared" si="96"/>
        <v>R549</v>
      </c>
      <c r="CS103" t="s">
        <v>889</v>
      </c>
      <c r="CT103" t="s">
        <v>889</v>
      </c>
      <c r="CU103" t="s">
        <v>889</v>
      </c>
      <c r="CV103" t="b">
        <f t="shared" si="110"/>
        <v>1</v>
      </c>
      <c r="DC103" t="str">
        <f t="shared" si="97"/>
        <v>G765</v>
      </c>
      <c r="DD103" t="b">
        <f t="shared" si="111"/>
        <v>0</v>
      </c>
      <c r="DE103" t="str">
        <f t="shared" si="112"/>
        <v>G765</v>
      </c>
      <c r="DF103" t="str">
        <f t="shared" si="98"/>
        <v>R549</v>
      </c>
      <c r="DG103" t="b">
        <f t="shared" si="113"/>
        <v>0</v>
      </c>
      <c r="DH103" t="str">
        <f t="shared" si="114"/>
        <v>R549</v>
      </c>
    </row>
    <row r="104" spans="2:112" ht="12" customHeight="1">
      <c r="B104" t="str">
        <f>TBIDry!H176</f>
        <v>G11</v>
      </c>
      <c r="C104" t="str">
        <f>TBIDry!I176</f>
        <v>R624</v>
      </c>
      <c r="D104" t="b">
        <f t="shared" si="61"/>
        <v>0</v>
      </c>
      <c r="E104" t="b">
        <f t="shared" si="62"/>
        <v>0</v>
      </c>
      <c r="G104" t="str">
        <f>TBIWet!H176</f>
        <v>G808</v>
      </c>
      <c r="H104" t="str">
        <f>TBIWet!I176</f>
        <v>R482</v>
      </c>
      <c r="I104" t="b">
        <f t="shared" si="63"/>
        <v>0</v>
      </c>
      <c r="J104" t="b">
        <f t="shared" si="64"/>
        <v>0</v>
      </c>
      <c r="L104" t="str">
        <f>'Both teabags AfterWet'!A102</f>
        <v>G496</v>
      </c>
      <c r="M104" t="str">
        <f>'Both teabags AfterWet'!A522</f>
        <v>R255</v>
      </c>
      <c r="N104" t="b">
        <f t="shared" si="65"/>
        <v>0</v>
      </c>
      <c r="O104" t="b">
        <f t="shared" si="115"/>
        <v>0</v>
      </c>
      <c r="Q104" s="388" t="b">
        <f t="shared" si="66"/>
        <v>0</v>
      </c>
      <c r="R104" s="388" t="b">
        <f t="shared" si="67"/>
        <v>0</v>
      </c>
      <c r="T104" t="str">
        <f>'Both teabags AfterDry'!A102</f>
        <v>G228</v>
      </c>
      <c r="U104" t="str">
        <f>'Both teabags AfterDry'!A437</f>
        <v>R361</v>
      </c>
      <c r="V104" t="b">
        <f t="shared" si="68"/>
        <v>0</v>
      </c>
      <c r="W104" t="b">
        <f t="shared" si="99"/>
        <v>0</v>
      </c>
      <c r="Y104" t="str">
        <f>'Green_rooibos initial weight'!A105</f>
        <v>G101</v>
      </c>
      <c r="Z104" t="str">
        <f>'Green_rooibos initial weight'!A1009</f>
        <v>R101</v>
      </c>
      <c r="AA104" t="b">
        <f t="shared" si="69"/>
        <v>0</v>
      </c>
      <c r="AB104" t="b">
        <f t="shared" si="70"/>
        <v>0</v>
      </c>
      <c r="AE104" t="str">
        <f>'WetLitterbags placem_collection'!K103</f>
        <v>G808</v>
      </c>
      <c r="AF104" t="str">
        <f>'WetLitterbags placem_collection'!M103</f>
        <v>R482</v>
      </c>
      <c r="AG104" t="b">
        <f t="shared" si="71"/>
        <v>0</v>
      </c>
      <c r="AH104" t="b">
        <f t="shared" si="72"/>
        <v>0</v>
      </c>
      <c r="AJ104" t="b">
        <f t="shared" si="73"/>
        <v>0</v>
      </c>
      <c r="AK104" t="b">
        <f t="shared" si="74"/>
        <v>0</v>
      </c>
      <c r="AM104" t="str">
        <f>IF(ISBLANK('Dry_Litterbag Placem_Collection'!J103),"","G"&amp;""&amp;'Dry_Litterbag Placem_Collection'!J103)</f>
        <v>G11</v>
      </c>
      <c r="AN104" t="str">
        <f>IF(ISBLANK('Dry_Litterbag Placem_Collection'!K103),"","R"&amp;""&amp;'Dry_Litterbag Placem_Collection'!K103)</f>
        <v>R624</v>
      </c>
      <c r="AO104" t="b">
        <f t="shared" si="75"/>
        <v>0</v>
      </c>
      <c r="AP104" t="b">
        <f t="shared" si="76"/>
        <v>0</v>
      </c>
      <c r="AS104" t="str">
        <f>'Ashed teabags dry'!A102</f>
        <v>G228</v>
      </c>
      <c r="AT104" t="str">
        <f>'Ashed teabags dry'!A437</f>
        <v>R361</v>
      </c>
      <c r="AU104" t="b">
        <f t="shared" si="77"/>
        <v>0</v>
      </c>
      <c r="AV104" t="b">
        <f t="shared" si="100"/>
        <v>0</v>
      </c>
      <c r="AX104" s="388" t="b">
        <f t="shared" si="78"/>
        <v>0</v>
      </c>
      <c r="AY104" s="388" t="b">
        <f t="shared" si="79"/>
        <v>0</v>
      </c>
      <c r="BA104" t="str">
        <f>'Ashed teabags wet'!A102</f>
        <v>G496</v>
      </c>
      <c r="BB104" t="str">
        <f>'Ashed teabags wet'!A522</f>
        <v>R255</v>
      </c>
      <c r="BC104" t="b">
        <f t="shared" si="80"/>
        <v>0</v>
      </c>
      <c r="BD104" t="b">
        <f t="shared" si="60"/>
        <v>0</v>
      </c>
      <c r="BF104" t="str">
        <f t="shared" si="81"/>
        <v>G227</v>
      </c>
      <c r="BG104" t="str">
        <f t="shared" si="82"/>
        <v>G227</v>
      </c>
      <c r="BH104" t="str">
        <f t="shared" si="83"/>
        <v>G176</v>
      </c>
      <c r="BI104" t="str">
        <f t="shared" si="101"/>
        <v>G176</v>
      </c>
      <c r="BJ104" t="s">
        <v>1823</v>
      </c>
      <c r="BK104" t="s">
        <v>1823</v>
      </c>
      <c r="BL104" t="s">
        <v>1823</v>
      </c>
      <c r="BM104" t="b">
        <f t="shared" si="102"/>
        <v>1</v>
      </c>
      <c r="BN104" t="str">
        <f t="shared" si="84"/>
        <v>R36</v>
      </c>
      <c r="BO104" t="str">
        <f t="shared" si="85"/>
        <v>R36</v>
      </c>
      <c r="BP104" t="str">
        <f t="shared" si="86"/>
        <v>R276</v>
      </c>
      <c r="BQ104" t="str">
        <f t="shared" si="87"/>
        <v>R276</v>
      </c>
      <c r="BR104" t="s">
        <v>1105</v>
      </c>
      <c r="BS104" t="s">
        <v>1105</v>
      </c>
      <c r="BT104" t="s">
        <v>1105</v>
      </c>
      <c r="BU104" t="b">
        <f t="shared" si="103"/>
        <v>1</v>
      </c>
      <c r="BZ104" t="str">
        <f t="shared" si="88"/>
        <v>G176</v>
      </c>
      <c r="CA104" t="b">
        <f t="shared" si="89"/>
        <v>0</v>
      </c>
      <c r="CB104" t="str">
        <f t="shared" si="104"/>
        <v>G176</v>
      </c>
      <c r="CC104" t="str">
        <f t="shared" si="90"/>
        <v>R276</v>
      </c>
      <c r="CD104" t="b">
        <f t="shared" si="105"/>
        <v>0</v>
      </c>
      <c r="CE104" t="str">
        <f t="shared" si="106"/>
        <v>R276</v>
      </c>
      <c r="CG104" t="str">
        <f t="shared" si="91"/>
        <v>G494</v>
      </c>
      <c r="CH104" t="str">
        <f t="shared" si="107"/>
        <v>G494</v>
      </c>
      <c r="CI104" t="str">
        <f t="shared" si="92"/>
        <v>G728</v>
      </c>
      <c r="CJ104" t="str">
        <f t="shared" si="93"/>
        <v>G728</v>
      </c>
      <c r="CK104" t="s">
        <v>1556</v>
      </c>
      <c r="CL104" t="s">
        <v>1556</v>
      </c>
      <c r="CM104" t="s">
        <v>1556</v>
      </c>
      <c r="CN104" t="b">
        <f t="shared" si="108"/>
        <v>1</v>
      </c>
      <c r="CO104" t="str">
        <f t="shared" si="94"/>
        <v>R253</v>
      </c>
      <c r="CP104" t="str">
        <f t="shared" si="109"/>
        <v>R253</v>
      </c>
      <c r="CQ104" t="str">
        <f t="shared" si="95"/>
        <v>R500</v>
      </c>
      <c r="CR104" t="str">
        <f t="shared" si="96"/>
        <v>R500</v>
      </c>
      <c r="CS104" t="s">
        <v>888</v>
      </c>
      <c r="CT104" t="s">
        <v>888</v>
      </c>
      <c r="CU104" t="s">
        <v>888</v>
      </c>
      <c r="CV104" t="b">
        <f t="shared" si="110"/>
        <v>1</v>
      </c>
      <c r="DC104" t="str">
        <f t="shared" si="97"/>
        <v>G728</v>
      </c>
      <c r="DD104" t="b">
        <f t="shared" si="111"/>
        <v>0</v>
      </c>
      <c r="DE104" t="str">
        <f t="shared" si="112"/>
        <v>G728</v>
      </c>
      <c r="DF104" t="str">
        <f t="shared" si="98"/>
        <v>R500</v>
      </c>
      <c r="DG104" t="b">
        <f t="shared" si="113"/>
        <v>0</v>
      </c>
      <c r="DH104" t="str">
        <f t="shared" si="114"/>
        <v>R500</v>
      </c>
    </row>
    <row r="105" spans="2:112" ht="12" customHeight="1">
      <c r="B105" t="str">
        <f>TBIDry!H177</f>
        <v>G284</v>
      </c>
      <c r="C105" t="str">
        <f>TBIDry!I177</f>
        <v>R781</v>
      </c>
      <c r="D105" t="b">
        <f t="shared" si="61"/>
        <v>0</v>
      </c>
      <c r="E105" t="b">
        <f t="shared" si="62"/>
        <v>0</v>
      </c>
      <c r="G105" t="str">
        <f>TBIWet!H177</f>
        <v>G892</v>
      </c>
      <c r="H105" t="str">
        <f>TBIWet!I177</f>
        <v>R569</v>
      </c>
      <c r="I105" t="b">
        <f t="shared" si="63"/>
        <v>0</v>
      </c>
      <c r="J105" t="b">
        <f t="shared" si="64"/>
        <v>0</v>
      </c>
      <c r="L105" t="str">
        <f>'Both teabags AfterWet'!A103</f>
        <v>G497</v>
      </c>
      <c r="M105" t="str">
        <f>'Both teabags AfterWet'!A523</f>
        <v>R258</v>
      </c>
      <c r="N105" t="b">
        <f t="shared" si="65"/>
        <v>0</v>
      </c>
      <c r="O105" t="b">
        <f t="shared" si="115"/>
        <v>0</v>
      </c>
      <c r="Q105" s="388" t="b">
        <f t="shared" si="66"/>
        <v>0</v>
      </c>
      <c r="R105" s="388" t="b">
        <f t="shared" si="67"/>
        <v>0</v>
      </c>
      <c r="T105" t="str">
        <f>'Both teabags AfterDry'!A103</f>
        <v>G23</v>
      </c>
      <c r="U105" t="str">
        <f>'Both teabags AfterDry'!A438</f>
        <v>R365</v>
      </c>
      <c r="V105" t="b">
        <f t="shared" si="68"/>
        <v>0</v>
      </c>
      <c r="W105" t="b">
        <f t="shared" si="99"/>
        <v>0</v>
      </c>
      <c r="Y105" t="str">
        <f>'Green_rooibos initial weight'!A106</f>
        <v>G102</v>
      </c>
      <c r="Z105" t="str">
        <f>'Green_rooibos initial weight'!A1010</f>
        <v>R102</v>
      </c>
      <c r="AA105" t="b">
        <f t="shared" si="69"/>
        <v>0</v>
      </c>
      <c r="AB105" t="b">
        <f t="shared" si="70"/>
        <v>0</v>
      </c>
      <c r="AE105" t="str">
        <f>'WetLitterbags placem_collection'!K104</f>
        <v>G892</v>
      </c>
      <c r="AF105" t="str">
        <f>'WetLitterbags placem_collection'!M104</f>
        <v>R569</v>
      </c>
      <c r="AG105" t="b">
        <f t="shared" si="71"/>
        <v>0</v>
      </c>
      <c r="AH105" t="b">
        <f t="shared" si="72"/>
        <v>0</v>
      </c>
      <c r="AJ105" t="b">
        <f t="shared" si="73"/>
        <v>0</v>
      </c>
      <c r="AK105" t="b">
        <f t="shared" si="74"/>
        <v>0</v>
      </c>
      <c r="AM105" t="str">
        <f>IF(ISBLANK('Dry_Litterbag Placem_Collection'!J104),"","G"&amp;""&amp;'Dry_Litterbag Placem_Collection'!J104)</f>
        <v>G284</v>
      </c>
      <c r="AN105" t="str">
        <f>IF(ISBLANK('Dry_Litterbag Placem_Collection'!K104),"","R"&amp;""&amp;'Dry_Litterbag Placem_Collection'!K104)</f>
        <v>R781</v>
      </c>
      <c r="AO105" t="b">
        <f t="shared" si="75"/>
        <v>0</v>
      </c>
      <c r="AP105" t="b">
        <f t="shared" si="76"/>
        <v>0</v>
      </c>
      <c r="AS105" t="str">
        <f>'Ashed teabags dry'!A103</f>
        <v>G23</v>
      </c>
      <c r="AT105" t="str">
        <f>'Ashed teabags dry'!A438</f>
        <v>R365</v>
      </c>
      <c r="AU105" t="b">
        <f t="shared" si="77"/>
        <v>0</v>
      </c>
      <c r="AV105" t="b">
        <f t="shared" si="100"/>
        <v>0</v>
      </c>
      <c r="AX105" s="388" t="b">
        <f t="shared" si="78"/>
        <v>0</v>
      </c>
      <c r="AY105" s="388" t="b">
        <f t="shared" si="79"/>
        <v>0</v>
      </c>
      <c r="BA105" t="str">
        <f>'Ashed teabags wet'!A103</f>
        <v>G497</v>
      </c>
      <c r="BB105" t="str">
        <f>'Ashed teabags wet'!A523</f>
        <v>R258</v>
      </c>
      <c r="BC105" t="b">
        <f t="shared" si="80"/>
        <v>0</v>
      </c>
      <c r="BD105" t="b">
        <f t="shared" si="60"/>
        <v>0</v>
      </c>
      <c r="BF105" t="str">
        <f t="shared" si="81"/>
        <v>G228</v>
      </c>
      <c r="BG105" t="str">
        <f t="shared" si="82"/>
        <v>G228</v>
      </c>
      <c r="BH105" t="str">
        <f t="shared" si="83"/>
        <v>G11</v>
      </c>
      <c r="BI105" t="str">
        <f t="shared" si="101"/>
        <v>G11</v>
      </c>
      <c r="BJ105" t="s">
        <v>1822</v>
      </c>
      <c r="BK105" t="s">
        <v>1822</v>
      </c>
      <c r="BL105" t="s">
        <v>1822</v>
      </c>
      <c r="BM105" t="b">
        <f t="shared" si="102"/>
        <v>1</v>
      </c>
      <c r="BN105" t="str">
        <f t="shared" si="84"/>
        <v>R361</v>
      </c>
      <c r="BO105" t="str">
        <f t="shared" si="85"/>
        <v>R361</v>
      </c>
      <c r="BP105" t="str">
        <f t="shared" si="86"/>
        <v>R624</v>
      </c>
      <c r="BQ105" t="str">
        <f t="shared" si="87"/>
        <v>R624</v>
      </c>
      <c r="BR105" t="s">
        <v>780</v>
      </c>
      <c r="BS105" t="s">
        <v>780</v>
      </c>
      <c r="BT105" t="s">
        <v>780</v>
      </c>
      <c r="BU105" t="b">
        <f t="shared" si="103"/>
        <v>1</v>
      </c>
      <c r="BZ105" t="str">
        <f t="shared" si="88"/>
        <v>G11</v>
      </c>
      <c r="CA105" t="b">
        <f t="shared" si="89"/>
        <v>0</v>
      </c>
      <c r="CB105" t="str">
        <f t="shared" si="104"/>
        <v>G11</v>
      </c>
      <c r="CC105" t="str">
        <f t="shared" si="90"/>
        <v>R624</v>
      </c>
      <c r="CD105" t="b">
        <f t="shared" si="105"/>
        <v>0</v>
      </c>
      <c r="CE105" t="str">
        <f t="shared" si="106"/>
        <v>R624</v>
      </c>
      <c r="CG105" t="str">
        <f t="shared" si="91"/>
        <v>G496</v>
      </c>
      <c r="CH105" t="str">
        <f t="shared" si="107"/>
        <v>G496</v>
      </c>
      <c r="CI105" t="str">
        <f t="shared" si="92"/>
        <v>G808</v>
      </c>
      <c r="CJ105" t="str">
        <f t="shared" si="93"/>
        <v>G808</v>
      </c>
      <c r="CK105" t="s">
        <v>1554</v>
      </c>
      <c r="CL105" t="s">
        <v>1554</v>
      </c>
      <c r="CM105" t="s">
        <v>1554</v>
      </c>
      <c r="CN105" t="b">
        <f t="shared" si="108"/>
        <v>1</v>
      </c>
      <c r="CO105" t="str">
        <f t="shared" si="94"/>
        <v>R255</v>
      </c>
      <c r="CP105" t="str">
        <f t="shared" si="109"/>
        <v>R255</v>
      </c>
      <c r="CQ105" t="str">
        <f t="shared" si="95"/>
        <v>R482</v>
      </c>
      <c r="CR105" t="str">
        <f t="shared" si="96"/>
        <v>R482</v>
      </c>
      <c r="CS105" t="s">
        <v>886</v>
      </c>
      <c r="CT105" t="s">
        <v>886</v>
      </c>
      <c r="CU105" t="s">
        <v>886</v>
      </c>
      <c r="CV105" t="b">
        <f t="shared" si="110"/>
        <v>1</v>
      </c>
      <c r="DC105" t="str">
        <f t="shared" si="97"/>
        <v>G808</v>
      </c>
      <c r="DD105" t="b">
        <f t="shared" si="111"/>
        <v>0</v>
      </c>
      <c r="DE105" t="str">
        <f t="shared" si="112"/>
        <v>G808</v>
      </c>
      <c r="DF105" t="str">
        <f t="shared" si="98"/>
        <v>R482</v>
      </c>
      <c r="DG105" t="b">
        <f t="shared" si="113"/>
        <v>0</v>
      </c>
      <c r="DH105" t="str">
        <f t="shared" si="114"/>
        <v>R482</v>
      </c>
    </row>
    <row r="106" spans="2:112" ht="12" customHeight="1">
      <c r="B106" t="str">
        <f>TBIDry!H178</f>
        <v>G326</v>
      </c>
      <c r="C106" t="str">
        <f>TBIDry!I178</f>
        <v>R772</v>
      </c>
      <c r="D106" t="b">
        <f t="shared" si="61"/>
        <v>0</v>
      </c>
      <c r="E106" t="b">
        <f t="shared" si="62"/>
        <v>0</v>
      </c>
      <c r="G106" t="str">
        <f>TBIWet!H178</f>
        <v>G869</v>
      </c>
      <c r="H106" t="str">
        <f>TBIWet!I178</f>
        <v>R430</v>
      </c>
      <c r="I106" t="b">
        <f t="shared" si="63"/>
        <v>0</v>
      </c>
      <c r="J106" t="b">
        <f t="shared" si="64"/>
        <v>0</v>
      </c>
      <c r="L106" t="str">
        <f>'Both teabags AfterWet'!A104</f>
        <v>G498</v>
      </c>
      <c r="M106" t="str">
        <f>'Both teabags AfterWet'!A524</f>
        <v>R259</v>
      </c>
      <c r="N106" t="b">
        <f t="shared" si="65"/>
        <v>0</v>
      </c>
      <c r="O106" t="b">
        <f t="shared" si="115"/>
        <v>0</v>
      </c>
      <c r="Q106" s="388" t="b">
        <f t="shared" si="66"/>
        <v>0</v>
      </c>
      <c r="R106" s="388" t="b">
        <f t="shared" si="67"/>
        <v>0</v>
      </c>
      <c r="T106" t="str">
        <f>'Both teabags AfterDry'!A104</f>
        <v>G230</v>
      </c>
      <c r="U106" t="str">
        <f>'Both teabags AfterDry'!A439</f>
        <v>R366</v>
      </c>
      <c r="V106" t="b">
        <f t="shared" si="68"/>
        <v>0</v>
      </c>
      <c r="W106" t="b">
        <f t="shared" si="99"/>
        <v>0</v>
      </c>
      <c r="Y106" t="str">
        <f>'Green_rooibos initial weight'!A107</f>
        <v>G103</v>
      </c>
      <c r="Z106" t="str">
        <f>'Green_rooibos initial weight'!A1011</f>
        <v>R103</v>
      </c>
      <c r="AA106" t="b">
        <f t="shared" si="69"/>
        <v>0</v>
      </c>
      <c r="AB106" t="b">
        <f t="shared" si="70"/>
        <v>0</v>
      </c>
      <c r="AE106" t="str">
        <f>'WetLitterbags placem_collection'!K105</f>
        <v>G869</v>
      </c>
      <c r="AF106" t="str">
        <f>'WetLitterbags placem_collection'!M105</f>
        <v>R430</v>
      </c>
      <c r="AG106" t="b">
        <f t="shared" si="71"/>
        <v>0</v>
      </c>
      <c r="AH106" t="b">
        <f t="shared" si="72"/>
        <v>0</v>
      </c>
      <c r="AJ106" t="b">
        <f t="shared" si="73"/>
        <v>0</v>
      </c>
      <c r="AK106" t="b">
        <f t="shared" si="74"/>
        <v>0</v>
      </c>
      <c r="AM106" t="str">
        <f>IF(ISBLANK('Dry_Litterbag Placem_Collection'!J105),"","G"&amp;""&amp;'Dry_Litterbag Placem_Collection'!J105)</f>
        <v>G326</v>
      </c>
      <c r="AN106" t="str">
        <f>IF(ISBLANK('Dry_Litterbag Placem_Collection'!K105),"","R"&amp;""&amp;'Dry_Litterbag Placem_Collection'!K105)</f>
        <v>R772</v>
      </c>
      <c r="AO106" t="b">
        <f t="shared" si="75"/>
        <v>0</v>
      </c>
      <c r="AP106" t="b">
        <f t="shared" si="76"/>
        <v>0</v>
      </c>
      <c r="AS106" t="str">
        <f>'Ashed teabags dry'!A104</f>
        <v>G230</v>
      </c>
      <c r="AT106" t="str">
        <f>'Ashed teabags dry'!A439</f>
        <v>R366</v>
      </c>
      <c r="AU106" t="b">
        <f t="shared" si="77"/>
        <v>0</v>
      </c>
      <c r="AV106" t="b">
        <f t="shared" si="100"/>
        <v>0</v>
      </c>
      <c r="AX106" s="388" t="b">
        <f t="shared" si="78"/>
        <v>0</v>
      </c>
      <c r="AY106" s="388" t="b">
        <f t="shared" si="79"/>
        <v>0</v>
      </c>
      <c r="BA106" t="str">
        <f>'Ashed teabags wet'!A104</f>
        <v>G498</v>
      </c>
      <c r="BB106" t="str">
        <f>'Ashed teabags wet'!A524</f>
        <v>R259</v>
      </c>
      <c r="BC106" t="b">
        <f t="shared" si="80"/>
        <v>0</v>
      </c>
      <c r="BD106" t="b">
        <f t="shared" si="60"/>
        <v>0</v>
      </c>
      <c r="BF106" t="str">
        <f t="shared" si="81"/>
        <v>G23</v>
      </c>
      <c r="BG106" t="str">
        <f t="shared" si="82"/>
        <v>G23</v>
      </c>
      <c r="BH106" t="str">
        <f t="shared" si="83"/>
        <v>G284</v>
      </c>
      <c r="BI106" t="str">
        <f t="shared" si="101"/>
        <v>G284</v>
      </c>
      <c r="BJ106" t="s">
        <v>2027</v>
      </c>
      <c r="BK106" t="s">
        <v>2027</v>
      </c>
      <c r="BL106" t="s">
        <v>2027</v>
      </c>
      <c r="BM106" t="b">
        <f t="shared" si="102"/>
        <v>1</v>
      </c>
      <c r="BN106" t="str">
        <f t="shared" si="84"/>
        <v>R365</v>
      </c>
      <c r="BO106" t="str">
        <f t="shared" si="85"/>
        <v>R365</v>
      </c>
      <c r="BP106" t="str">
        <f t="shared" si="86"/>
        <v>R781</v>
      </c>
      <c r="BQ106" t="str">
        <f t="shared" si="87"/>
        <v>R781</v>
      </c>
      <c r="BR106" t="s">
        <v>776</v>
      </c>
      <c r="BS106" t="s">
        <v>776</v>
      </c>
      <c r="BT106" t="s">
        <v>776</v>
      </c>
      <c r="BU106" t="b">
        <f t="shared" si="103"/>
        <v>1</v>
      </c>
      <c r="BZ106" t="str">
        <f t="shared" si="88"/>
        <v>G284</v>
      </c>
      <c r="CA106" t="b">
        <f t="shared" si="89"/>
        <v>0</v>
      </c>
      <c r="CB106" t="str">
        <f t="shared" si="104"/>
        <v>G284</v>
      </c>
      <c r="CC106" t="str">
        <f t="shared" si="90"/>
        <v>R781</v>
      </c>
      <c r="CD106" t="b">
        <f t="shared" si="105"/>
        <v>0</v>
      </c>
      <c r="CE106" t="str">
        <f t="shared" si="106"/>
        <v>R781</v>
      </c>
      <c r="CG106" t="str">
        <f t="shared" si="91"/>
        <v>G497</v>
      </c>
      <c r="CH106" t="str">
        <f t="shared" si="107"/>
        <v>G497</v>
      </c>
      <c r="CI106" t="str">
        <f t="shared" si="92"/>
        <v>G892</v>
      </c>
      <c r="CJ106" t="str">
        <f t="shared" si="93"/>
        <v>G892</v>
      </c>
      <c r="CK106" t="s">
        <v>1553</v>
      </c>
      <c r="CL106" t="s">
        <v>1553</v>
      </c>
      <c r="CM106" t="s">
        <v>1553</v>
      </c>
      <c r="CN106" t="b">
        <f t="shared" si="108"/>
        <v>1</v>
      </c>
      <c r="CO106" t="str">
        <f t="shared" si="94"/>
        <v>R258</v>
      </c>
      <c r="CP106" t="str">
        <f t="shared" si="109"/>
        <v>R258</v>
      </c>
      <c r="CQ106" t="str">
        <f t="shared" si="95"/>
        <v>R569</v>
      </c>
      <c r="CR106" t="str">
        <f t="shared" si="96"/>
        <v>R569</v>
      </c>
      <c r="CS106" t="s">
        <v>883</v>
      </c>
      <c r="CT106" t="s">
        <v>883</v>
      </c>
      <c r="CU106" t="s">
        <v>883</v>
      </c>
      <c r="CV106" t="b">
        <f t="shared" si="110"/>
        <v>1</v>
      </c>
      <c r="DC106" t="str">
        <f t="shared" si="97"/>
        <v>G892</v>
      </c>
      <c r="DD106" t="b">
        <f t="shared" si="111"/>
        <v>0</v>
      </c>
      <c r="DE106" t="str">
        <f t="shared" si="112"/>
        <v>G892</v>
      </c>
      <c r="DF106" t="str">
        <f t="shared" si="98"/>
        <v>R569</v>
      </c>
      <c r="DG106" t="b">
        <f t="shared" si="113"/>
        <v>0</v>
      </c>
      <c r="DH106" t="str">
        <f t="shared" si="114"/>
        <v>R569</v>
      </c>
    </row>
    <row r="107" spans="2:112" ht="12" customHeight="1">
      <c r="B107" t="str">
        <f>TBIDry!H179</f>
        <v>G162</v>
      </c>
      <c r="C107" t="str">
        <f>TBIDry!I179</f>
        <v>R744</v>
      </c>
      <c r="D107" t="b">
        <f t="shared" si="61"/>
        <v>0</v>
      </c>
      <c r="E107" t="b">
        <f t="shared" si="62"/>
        <v>0</v>
      </c>
      <c r="G107" t="str">
        <f>TBIWet!H179</f>
        <v>G881</v>
      </c>
      <c r="H107" t="str">
        <f>TBIWet!I179</f>
        <v>R577</v>
      </c>
      <c r="I107" t="b">
        <f t="shared" si="63"/>
        <v>0</v>
      </c>
      <c r="J107" t="b">
        <f t="shared" si="64"/>
        <v>0</v>
      </c>
      <c r="L107" t="str">
        <f>'Both teabags AfterWet'!A105</f>
        <v>G499</v>
      </c>
      <c r="M107" t="str">
        <f>'Both teabags AfterWet'!A525</f>
        <v>R26</v>
      </c>
      <c r="N107" t="b">
        <f t="shared" si="65"/>
        <v>0</v>
      </c>
      <c r="O107" t="b">
        <f t="shared" si="115"/>
        <v>0</v>
      </c>
      <c r="Q107" s="388" t="b">
        <f t="shared" si="66"/>
        <v>0</v>
      </c>
      <c r="R107" s="388" t="b">
        <f t="shared" si="67"/>
        <v>0</v>
      </c>
      <c r="T107" t="str">
        <f>'Both teabags AfterDry'!A105</f>
        <v>G231</v>
      </c>
      <c r="U107" t="str">
        <f>'Both teabags AfterDry'!A440</f>
        <v>R367</v>
      </c>
      <c r="V107" t="b">
        <f t="shared" si="68"/>
        <v>0</v>
      </c>
      <c r="W107" t="b">
        <f t="shared" si="99"/>
        <v>0</v>
      </c>
      <c r="Y107" t="str">
        <f>'Green_rooibos initial weight'!A108</f>
        <v>G104</v>
      </c>
      <c r="Z107" t="str">
        <f>'Green_rooibos initial weight'!A1012</f>
        <v>R104</v>
      </c>
      <c r="AA107" t="b">
        <f t="shared" si="69"/>
        <v>0</v>
      </c>
      <c r="AB107" t="b">
        <f t="shared" si="70"/>
        <v>0</v>
      </c>
      <c r="AE107" t="str">
        <f>'WetLitterbags placem_collection'!K106</f>
        <v>G881</v>
      </c>
      <c r="AF107" t="str">
        <f>'WetLitterbags placem_collection'!M106</f>
        <v>R577</v>
      </c>
      <c r="AG107" t="b">
        <f t="shared" si="71"/>
        <v>0</v>
      </c>
      <c r="AH107" t="b">
        <f t="shared" si="72"/>
        <v>0</v>
      </c>
      <c r="AJ107" t="b">
        <f t="shared" si="73"/>
        <v>0</v>
      </c>
      <c r="AK107" t="b">
        <f t="shared" si="74"/>
        <v>0</v>
      </c>
      <c r="AM107" t="str">
        <f>IF(ISBLANK('Dry_Litterbag Placem_Collection'!J106),"","G"&amp;""&amp;'Dry_Litterbag Placem_Collection'!J106)</f>
        <v>G162</v>
      </c>
      <c r="AN107" t="str">
        <f>IF(ISBLANK('Dry_Litterbag Placem_Collection'!K106),"","R"&amp;""&amp;'Dry_Litterbag Placem_Collection'!K106)</f>
        <v>R744</v>
      </c>
      <c r="AO107" t="b">
        <f t="shared" si="75"/>
        <v>0</v>
      </c>
      <c r="AP107" t="b">
        <f t="shared" si="76"/>
        <v>0</v>
      </c>
      <c r="AS107" t="str">
        <f>'Ashed teabags dry'!A105</f>
        <v>G231</v>
      </c>
      <c r="AT107" t="str">
        <f>'Ashed teabags dry'!A440</f>
        <v>R367</v>
      </c>
      <c r="AU107" t="b">
        <f t="shared" si="77"/>
        <v>0</v>
      </c>
      <c r="AV107" t="b">
        <f t="shared" si="100"/>
        <v>0</v>
      </c>
      <c r="AX107" s="388" t="b">
        <f t="shared" si="78"/>
        <v>0</v>
      </c>
      <c r="AY107" s="388" t="b">
        <f t="shared" si="79"/>
        <v>0</v>
      </c>
      <c r="BA107" t="str">
        <f>'Ashed teabags wet'!A105</f>
        <v>G499</v>
      </c>
      <c r="BB107" t="str">
        <f>'Ashed teabags wet'!A525</f>
        <v>R26</v>
      </c>
      <c r="BC107" t="b">
        <f t="shared" si="80"/>
        <v>0</v>
      </c>
      <c r="BD107" t="b">
        <f t="shared" si="60"/>
        <v>0</v>
      </c>
      <c r="BF107" t="str">
        <f t="shared" si="81"/>
        <v>G230</v>
      </c>
      <c r="BG107" t="str">
        <f t="shared" si="82"/>
        <v>G230</v>
      </c>
      <c r="BH107" t="str">
        <f t="shared" si="83"/>
        <v>G326</v>
      </c>
      <c r="BI107" t="str">
        <f t="shared" si="101"/>
        <v>G326</v>
      </c>
      <c r="BJ107" t="s">
        <v>1820</v>
      </c>
      <c r="BK107" t="s">
        <v>1820</v>
      </c>
      <c r="BL107" t="s">
        <v>1820</v>
      </c>
      <c r="BM107" t="b">
        <f t="shared" si="102"/>
        <v>1</v>
      </c>
      <c r="BN107" t="str">
        <f t="shared" si="84"/>
        <v>R366</v>
      </c>
      <c r="BO107" t="str">
        <f t="shared" si="85"/>
        <v>R366</v>
      </c>
      <c r="BP107" t="str">
        <f t="shared" si="86"/>
        <v>R772</v>
      </c>
      <c r="BQ107" t="str">
        <f t="shared" si="87"/>
        <v>R772</v>
      </c>
      <c r="BR107" t="s">
        <v>775</v>
      </c>
      <c r="BS107" t="s">
        <v>775</v>
      </c>
      <c r="BT107" t="s">
        <v>775</v>
      </c>
      <c r="BU107" t="b">
        <f t="shared" si="103"/>
        <v>1</v>
      </c>
      <c r="BZ107" t="str">
        <f t="shared" si="88"/>
        <v>G326</v>
      </c>
      <c r="CA107" t="b">
        <f t="shared" si="89"/>
        <v>0</v>
      </c>
      <c r="CB107" t="str">
        <f t="shared" si="104"/>
        <v>G326</v>
      </c>
      <c r="CC107" t="str">
        <f t="shared" si="90"/>
        <v>R772</v>
      </c>
      <c r="CD107" t="b">
        <f t="shared" si="105"/>
        <v>0</v>
      </c>
      <c r="CE107" t="str">
        <f t="shared" si="106"/>
        <v>R772</v>
      </c>
      <c r="CG107" t="str">
        <f t="shared" si="91"/>
        <v>G498</v>
      </c>
      <c r="CH107" t="str">
        <f t="shared" si="107"/>
        <v>G498</v>
      </c>
      <c r="CI107" t="str">
        <f t="shared" si="92"/>
        <v>G869</v>
      </c>
      <c r="CJ107" t="str">
        <f t="shared" si="93"/>
        <v>G869</v>
      </c>
      <c r="CK107" t="s">
        <v>1552</v>
      </c>
      <c r="CL107" t="s">
        <v>1552</v>
      </c>
      <c r="CM107" t="s">
        <v>1552</v>
      </c>
      <c r="CN107" t="b">
        <f t="shared" si="108"/>
        <v>1</v>
      </c>
      <c r="CO107" t="str">
        <f t="shared" si="94"/>
        <v>R259</v>
      </c>
      <c r="CP107" t="str">
        <f t="shared" si="109"/>
        <v>R259</v>
      </c>
      <c r="CQ107" t="str">
        <f t="shared" si="95"/>
        <v>R430</v>
      </c>
      <c r="CR107" t="str">
        <f t="shared" si="96"/>
        <v>R430</v>
      </c>
      <c r="CS107" t="s">
        <v>882</v>
      </c>
      <c r="CT107" t="s">
        <v>882</v>
      </c>
      <c r="CU107" t="s">
        <v>882</v>
      </c>
      <c r="CV107" t="b">
        <f t="shared" si="110"/>
        <v>1</v>
      </c>
      <c r="DC107" t="str">
        <f t="shared" si="97"/>
        <v>G869</v>
      </c>
      <c r="DD107" t="b">
        <f t="shared" si="111"/>
        <v>0</v>
      </c>
      <c r="DE107" t="str">
        <f t="shared" si="112"/>
        <v>G869</v>
      </c>
      <c r="DF107" t="str">
        <f t="shared" si="98"/>
        <v>R430</v>
      </c>
      <c r="DG107" t="b">
        <f t="shared" si="113"/>
        <v>0</v>
      </c>
      <c r="DH107" t="str">
        <f t="shared" si="114"/>
        <v>R430</v>
      </c>
    </row>
    <row r="108" spans="2:112" ht="12" customHeight="1">
      <c r="B108" t="str">
        <f>TBIDry!H180</f>
        <v>G6</v>
      </c>
      <c r="C108" t="str">
        <f>TBIDry!I180</f>
        <v>R824</v>
      </c>
      <c r="D108" t="b">
        <f t="shared" si="61"/>
        <v>0</v>
      </c>
      <c r="E108" t="b">
        <f t="shared" si="62"/>
        <v>0</v>
      </c>
      <c r="G108" t="str">
        <f>TBIWet!H180</f>
        <v>G729</v>
      </c>
      <c r="H108" t="str">
        <f>TBIWet!I180</f>
        <v>R548</v>
      </c>
      <c r="I108" t="b">
        <f t="shared" si="63"/>
        <v>0</v>
      </c>
      <c r="J108" t="b">
        <f t="shared" si="64"/>
        <v>0</v>
      </c>
      <c r="L108" t="str">
        <f>'Both teabags AfterWet'!A106</f>
        <v>G500</v>
      </c>
      <c r="M108" t="str">
        <f>'Both teabags AfterWet'!A526</f>
        <v>R262</v>
      </c>
      <c r="N108" t="b">
        <f t="shared" si="65"/>
        <v>0</v>
      </c>
      <c r="O108" t="b">
        <f t="shared" si="115"/>
        <v>0</v>
      </c>
      <c r="Q108" s="388" t="b">
        <f t="shared" si="66"/>
        <v>0</v>
      </c>
      <c r="R108" s="388" t="b">
        <f t="shared" si="67"/>
        <v>0</v>
      </c>
      <c r="T108" t="str">
        <f>'Both teabags AfterDry'!A106</f>
        <v>G232</v>
      </c>
      <c r="U108" t="str">
        <f>'Both teabags AfterDry'!A441</f>
        <v>R373</v>
      </c>
      <c r="V108" s="113" t="b">
        <f t="shared" si="68"/>
        <v>0</v>
      </c>
      <c r="W108" t="b">
        <f t="shared" si="99"/>
        <v>0</v>
      </c>
      <c r="Y108" t="str">
        <f>'Green_rooibos initial weight'!A109</f>
        <v>G105</v>
      </c>
      <c r="Z108" t="str">
        <f>'Green_rooibos initial weight'!A1013</f>
        <v>R105</v>
      </c>
      <c r="AA108" t="b">
        <f t="shared" si="69"/>
        <v>0</v>
      </c>
      <c r="AB108" t="b">
        <f t="shared" si="70"/>
        <v>0</v>
      </c>
      <c r="AE108" t="str">
        <f>'WetLitterbags placem_collection'!K107</f>
        <v>G729</v>
      </c>
      <c r="AF108" t="str">
        <f>'WetLitterbags placem_collection'!M107</f>
        <v>R548</v>
      </c>
      <c r="AG108" t="b">
        <f t="shared" si="71"/>
        <v>0</v>
      </c>
      <c r="AH108" t="b">
        <f t="shared" si="72"/>
        <v>0</v>
      </c>
      <c r="AJ108" t="b">
        <f t="shared" si="73"/>
        <v>0</v>
      </c>
      <c r="AK108" t="b">
        <f t="shared" si="74"/>
        <v>0</v>
      </c>
      <c r="AM108" t="str">
        <f>IF(ISBLANK('Dry_Litterbag Placem_Collection'!J107),"","G"&amp;""&amp;'Dry_Litterbag Placem_Collection'!J107)</f>
        <v>G6</v>
      </c>
      <c r="AN108" t="str">
        <f>IF(ISBLANK('Dry_Litterbag Placem_Collection'!K107),"","R"&amp;""&amp;'Dry_Litterbag Placem_Collection'!K107)</f>
        <v>R824</v>
      </c>
      <c r="AO108" t="b">
        <f t="shared" si="75"/>
        <v>0</v>
      </c>
      <c r="AP108" t="b">
        <f t="shared" si="76"/>
        <v>0</v>
      </c>
      <c r="AS108" t="str">
        <f>'Ashed teabags dry'!A106</f>
        <v>G232</v>
      </c>
      <c r="AT108" t="str">
        <f>'Ashed teabags dry'!A441</f>
        <v>R373</v>
      </c>
      <c r="AU108" t="b">
        <f t="shared" si="77"/>
        <v>0</v>
      </c>
      <c r="AV108" t="b">
        <f t="shared" si="100"/>
        <v>0</v>
      </c>
      <c r="AX108" s="388" t="b">
        <f t="shared" si="78"/>
        <v>0</v>
      </c>
      <c r="AY108" s="388" t="b">
        <f t="shared" si="79"/>
        <v>0</v>
      </c>
      <c r="BA108" t="str">
        <f>'Ashed teabags wet'!A106</f>
        <v>G500</v>
      </c>
      <c r="BB108" t="str">
        <f>'Ashed teabags wet'!A526</f>
        <v>R262</v>
      </c>
      <c r="BC108" t="b">
        <f t="shared" si="80"/>
        <v>0</v>
      </c>
      <c r="BD108" t="b">
        <f t="shared" si="60"/>
        <v>0</v>
      </c>
      <c r="BF108" t="str">
        <f t="shared" si="81"/>
        <v>G231</v>
      </c>
      <c r="BG108" t="str">
        <f t="shared" si="82"/>
        <v>G231</v>
      </c>
      <c r="BH108" t="str">
        <f t="shared" si="83"/>
        <v>G162</v>
      </c>
      <c r="BI108" t="str">
        <f t="shared" si="101"/>
        <v>G162</v>
      </c>
      <c r="BJ108" t="s">
        <v>1819</v>
      </c>
      <c r="BK108" t="s">
        <v>1819</v>
      </c>
      <c r="BL108" t="s">
        <v>1819</v>
      </c>
      <c r="BM108" t="b">
        <f t="shared" si="102"/>
        <v>1</v>
      </c>
      <c r="BN108" t="str">
        <f t="shared" si="84"/>
        <v>R367</v>
      </c>
      <c r="BO108" t="str">
        <f t="shared" si="85"/>
        <v>R367</v>
      </c>
      <c r="BP108" t="str">
        <f t="shared" si="86"/>
        <v>R744</v>
      </c>
      <c r="BQ108" t="str">
        <f t="shared" si="87"/>
        <v>R744</v>
      </c>
      <c r="BR108" t="s">
        <v>774</v>
      </c>
      <c r="BS108" t="s">
        <v>774</v>
      </c>
      <c r="BT108" t="s">
        <v>774</v>
      </c>
      <c r="BU108" t="b">
        <f t="shared" si="103"/>
        <v>1</v>
      </c>
      <c r="BZ108" t="str">
        <f t="shared" si="88"/>
        <v>G162</v>
      </c>
      <c r="CA108" t="b">
        <f t="shared" si="89"/>
        <v>0</v>
      </c>
      <c r="CB108" t="str">
        <f t="shared" si="104"/>
        <v>G162</v>
      </c>
      <c r="CC108" t="str">
        <f t="shared" si="90"/>
        <v>R744</v>
      </c>
      <c r="CD108" t="b">
        <f t="shared" si="105"/>
        <v>0</v>
      </c>
      <c r="CE108" t="str">
        <f t="shared" si="106"/>
        <v>R744</v>
      </c>
      <c r="CG108" t="str">
        <f t="shared" si="91"/>
        <v>G499</v>
      </c>
      <c r="CH108" t="str">
        <f t="shared" si="107"/>
        <v>G499</v>
      </c>
      <c r="CI108" t="str">
        <f t="shared" si="92"/>
        <v>G881</v>
      </c>
      <c r="CJ108" t="str">
        <f t="shared" si="93"/>
        <v>G881</v>
      </c>
      <c r="CK108" t="s">
        <v>1551</v>
      </c>
      <c r="CL108" t="s">
        <v>1551</v>
      </c>
      <c r="CM108" t="s">
        <v>1551</v>
      </c>
      <c r="CN108" t="b">
        <f t="shared" si="108"/>
        <v>1</v>
      </c>
      <c r="CO108" t="str">
        <f t="shared" si="94"/>
        <v>R26</v>
      </c>
      <c r="CP108" t="str">
        <f t="shared" si="109"/>
        <v>R26</v>
      </c>
      <c r="CQ108" t="str">
        <f t="shared" si="95"/>
        <v>R577</v>
      </c>
      <c r="CR108" t="str">
        <f t="shared" si="96"/>
        <v>R577</v>
      </c>
      <c r="CS108" t="s">
        <v>1115</v>
      </c>
      <c r="CT108" t="s">
        <v>1115</v>
      </c>
      <c r="CU108" t="s">
        <v>1115</v>
      </c>
      <c r="CV108" t="b">
        <f t="shared" si="110"/>
        <v>1</v>
      </c>
      <c r="DC108" t="str">
        <f t="shared" si="97"/>
        <v>G881</v>
      </c>
      <c r="DD108" t="b">
        <f t="shared" si="111"/>
        <v>0</v>
      </c>
      <c r="DE108" t="str">
        <f t="shared" si="112"/>
        <v>G881</v>
      </c>
      <c r="DF108" t="str">
        <f t="shared" si="98"/>
        <v>R577</v>
      </c>
      <c r="DG108" t="b">
        <f t="shared" si="113"/>
        <v>0</v>
      </c>
      <c r="DH108" t="str">
        <f t="shared" si="114"/>
        <v>R577</v>
      </c>
    </row>
    <row r="109" spans="2:112" ht="12" customHeight="1">
      <c r="B109" t="str">
        <f>TBIDry!H181</f>
        <v>G20</v>
      </c>
      <c r="C109" t="str">
        <f>TBIDry!I181</f>
        <v>R790</v>
      </c>
      <c r="D109" t="b">
        <f t="shared" si="61"/>
        <v>0</v>
      </c>
      <c r="E109" t="b">
        <f t="shared" si="62"/>
        <v>0</v>
      </c>
      <c r="G109" t="str">
        <f>TBIWet!H181</f>
        <v>G837</v>
      </c>
      <c r="H109" t="str">
        <f>TBIWet!I181</f>
        <v>R590</v>
      </c>
      <c r="I109" t="b">
        <f t="shared" si="63"/>
        <v>0</v>
      </c>
      <c r="J109" t="b">
        <f t="shared" si="64"/>
        <v>0</v>
      </c>
      <c r="L109" t="str">
        <f>'Both teabags AfterWet'!A107</f>
        <v>G502</v>
      </c>
      <c r="M109" t="str">
        <f>'Both teabags AfterWet'!A527</f>
        <v>R263</v>
      </c>
      <c r="N109" t="b">
        <f t="shared" si="65"/>
        <v>0</v>
      </c>
      <c r="O109" t="b">
        <f t="shared" si="115"/>
        <v>0</v>
      </c>
      <c r="Q109" s="388" t="b">
        <f t="shared" si="66"/>
        <v>0</v>
      </c>
      <c r="R109" s="388" t="b">
        <f t="shared" si="67"/>
        <v>0</v>
      </c>
      <c r="T109" t="str">
        <f>'Both teabags AfterDry'!A107</f>
        <v>G233</v>
      </c>
      <c r="U109" t="str">
        <f>'Both teabags AfterDry'!A442</f>
        <v>R377</v>
      </c>
      <c r="V109" s="113" t="b">
        <f t="shared" si="68"/>
        <v>0</v>
      </c>
      <c r="W109" t="b">
        <f t="shared" si="99"/>
        <v>0</v>
      </c>
      <c r="Y109" t="str">
        <f>'Green_rooibos initial weight'!A110</f>
        <v>G106</v>
      </c>
      <c r="Z109" t="str">
        <f>'Green_rooibos initial weight'!A1014</f>
        <v>R106</v>
      </c>
      <c r="AA109" t="b">
        <f t="shared" si="69"/>
        <v>0</v>
      </c>
      <c r="AB109" t="b">
        <f t="shared" si="70"/>
        <v>0</v>
      </c>
      <c r="AE109" t="str">
        <f>'WetLitterbags placem_collection'!K108</f>
        <v>G837</v>
      </c>
      <c r="AF109" t="str">
        <f>'WetLitterbags placem_collection'!M108</f>
        <v>R590</v>
      </c>
      <c r="AG109" t="b">
        <f t="shared" si="71"/>
        <v>0</v>
      </c>
      <c r="AH109" t="b">
        <f t="shared" si="72"/>
        <v>0</v>
      </c>
      <c r="AJ109" t="b">
        <f t="shared" si="73"/>
        <v>0</v>
      </c>
      <c r="AK109" t="b">
        <f t="shared" si="74"/>
        <v>0</v>
      </c>
      <c r="AM109" t="str">
        <f>IF(ISBLANK('Dry_Litterbag Placem_Collection'!J108),"","G"&amp;""&amp;'Dry_Litterbag Placem_Collection'!J108)</f>
        <v>G20</v>
      </c>
      <c r="AN109" t="str">
        <f>IF(ISBLANK('Dry_Litterbag Placem_Collection'!K108),"","R"&amp;""&amp;'Dry_Litterbag Placem_Collection'!K108)</f>
        <v>R790</v>
      </c>
      <c r="AO109" t="b">
        <f t="shared" si="75"/>
        <v>0</v>
      </c>
      <c r="AP109" t="b">
        <f t="shared" si="76"/>
        <v>0</v>
      </c>
      <c r="AS109" t="str">
        <f>'Ashed teabags dry'!A107</f>
        <v>G233</v>
      </c>
      <c r="AT109" t="str">
        <f>'Ashed teabags dry'!A442</f>
        <v>R377</v>
      </c>
      <c r="AU109" t="b">
        <f t="shared" si="77"/>
        <v>0</v>
      </c>
      <c r="AV109" t="b">
        <f t="shared" si="100"/>
        <v>0</v>
      </c>
      <c r="AX109" s="388" t="b">
        <f t="shared" si="78"/>
        <v>0</v>
      </c>
      <c r="AY109" s="388" t="b">
        <f t="shared" si="79"/>
        <v>0</v>
      </c>
      <c r="BA109" t="str">
        <f>'Ashed teabags wet'!A107</f>
        <v>G502</v>
      </c>
      <c r="BB109" t="str">
        <f>'Ashed teabags wet'!A527</f>
        <v>R263</v>
      </c>
      <c r="BC109" t="b">
        <f t="shared" si="80"/>
        <v>0</v>
      </c>
      <c r="BD109" t="b">
        <f t="shared" si="60"/>
        <v>0</v>
      </c>
      <c r="BF109" t="str">
        <f t="shared" si="81"/>
        <v>G232</v>
      </c>
      <c r="BG109" t="str">
        <f t="shared" si="82"/>
        <v>G232</v>
      </c>
      <c r="BH109" t="str">
        <f t="shared" si="83"/>
        <v>G6</v>
      </c>
      <c r="BI109" t="str">
        <f t="shared" si="101"/>
        <v>G6</v>
      </c>
      <c r="BJ109" t="s">
        <v>1818</v>
      </c>
      <c r="BK109" t="s">
        <v>1818</v>
      </c>
      <c r="BL109" t="s">
        <v>1818</v>
      </c>
      <c r="BM109" t="b">
        <f t="shared" si="102"/>
        <v>1</v>
      </c>
      <c r="BN109" t="str">
        <f t="shared" si="84"/>
        <v>R373</v>
      </c>
      <c r="BO109" t="str">
        <f t="shared" si="85"/>
        <v>R373</v>
      </c>
      <c r="BP109" t="str">
        <f t="shared" si="86"/>
        <v>R824</v>
      </c>
      <c r="BQ109" t="str">
        <f t="shared" si="87"/>
        <v>R824</v>
      </c>
      <c r="BR109" t="s">
        <v>768</v>
      </c>
      <c r="BS109" t="s">
        <v>768</v>
      </c>
      <c r="BT109" t="s">
        <v>768</v>
      </c>
      <c r="BU109" t="b">
        <f t="shared" si="103"/>
        <v>1</v>
      </c>
      <c r="BZ109" t="str">
        <f t="shared" si="88"/>
        <v>G6</v>
      </c>
      <c r="CA109" t="b">
        <f t="shared" si="89"/>
        <v>0</v>
      </c>
      <c r="CB109" t="str">
        <f t="shared" si="104"/>
        <v>G6</v>
      </c>
      <c r="CC109" t="str">
        <f t="shared" si="90"/>
        <v>R824</v>
      </c>
      <c r="CD109" t="b">
        <f t="shared" si="105"/>
        <v>0</v>
      </c>
      <c r="CE109" t="str">
        <f t="shared" si="106"/>
        <v>R824</v>
      </c>
      <c r="CG109" t="str">
        <f t="shared" si="91"/>
        <v>G500</v>
      </c>
      <c r="CH109" t="str">
        <f t="shared" si="107"/>
        <v>G500</v>
      </c>
      <c r="CI109" t="str">
        <f t="shared" si="92"/>
        <v>G729</v>
      </c>
      <c r="CJ109" t="str">
        <f t="shared" si="93"/>
        <v>G729</v>
      </c>
      <c r="CK109" t="s">
        <v>1550</v>
      </c>
      <c r="CL109" t="s">
        <v>1550</v>
      </c>
      <c r="CM109" t="s">
        <v>1550</v>
      </c>
      <c r="CN109" t="b">
        <f t="shared" si="108"/>
        <v>1</v>
      </c>
      <c r="CO109" t="str">
        <f t="shared" si="94"/>
        <v>R262</v>
      </c>
      <c r="CP109" t="str">
        <f t="shared" si="109"/>
        <v>R262</v>
      </c>
      <c r="CQ109" t="str">
        <f t="shared" si="95"/>
        <v>R548</v>
      </c>
      <c r="CR109" t="str">
        <f t="shared" si="96"/>
        <v>R548</v>
      </c>
      <c r="CS109" t="s">
        <v>879</v>
      </c>
      <c r="CT109" t="s">
        <v>879</v>
      </c>
      <c r="CU109" t="s">
        <v>879</v>
      </c>
      <c r="CV109" t="b">
        <f t="shared" si="110"/>
        <v>1</v>
      </c>
      <c r="DC109" t="str">
        <f t="shared" si="97"/>
        <v>G729</v>
      </c>
      <c r="DD109" t="b">
        <f t="shared" si="111"/>
        <v>0</v>
      </c>
      <c r="DE109" t="str">
        <f t="shared" si="112"/>
        <v>G729</v>
      </c>
      <c r="DF109" t="str">
        <f t="shared" si="98"/>
        <v>R548</v>
      </c>
      <c r="DG109" t="b">
        <f t="shared" si="113"/>
        <v>0</v>
      </c>
      <c r="DH109" t="str">
        <f t="shared" si="114"/>
        <v>R548</v>
      </c>
    </row>
    <row r="110" spans="2:112" ht="12" customHeight="1">
      <c r="B110" t="str">
        <f>TBIDry!H182</f>
        <v>G129</v>
      </c>
      <c r="C110" t="str">
        <f>TBIDry!I182</f>
        <v>R809</v>
      </c>
      <c r="D110" t="b">
        <f t="shared" si="61"/>
        <v>0</v>
      </c>
      <c r="E110" t="b">
        <f t="shared" si="62"/>
        <v>0</v>
      </c>
      <c r="G110" t="str">
        <f>TBIWet!H182</f>
        <v>G688</v>
      </c>
      <c r="H110" t="str">
        <f>TBIWet!I182</f>
        <v>R574</v>
      </c>
      <c r="I110" t="b">
        <f t="shared" si="63"/>
        <v>0</v>
      </c>
      <c r="J110" t="b">
        <f t="shared" si="64"/>
        <v>0</v>
      </c>
      <c r="L110" t="str">
        <f>'Both teabags AfterWet'!A108</f>
        <v>G503</v>
      </c>
      <c r="M110" t="str">
        <f>'Both teabags AfterWet'!A528</f>
        <v>R264</v>
      </c>
      <c r="N110" t="b">
        <f t="shared" si="65"/>
        <v>0</v>
      </c>
      <c r="O110" t="b">
        <f t="shared" si="115"/>
        <v>0</v>
      </c>
      <c r="Q110" s="388" t="b">
        <f t="shared" si="66"/>
        <v>0</v>
      </c>
      <c r="R110" s="388" t="b">
        <f t="shared" si="67"/>
        <v>0</v>
      </c>
      <c r="T110" t="str">
        <f>'Both teabags AfterDry'!A108</f>
        <v>G234</v>
      </c>
      <c r="U110" t="str">
        <f>'Both teabags AfterDry'!A443</f>
        <v>R379</v>
      </c>
      <c r="V110" t="b">
        <f t="shared" si="68"/>
        <v>0</v>
      </c>
      <c r="W110" t="b">
        <f t="shared" si="99"/>
        <v>0</v>
      </c>
      <c r="Y110" t="str">
        <f>'Green_rooibos initial weight'!A111</f>
        <v>G107</v>
      </c>
      <c r="Z110" t="str">
        <f>'Green_rooibos initial weight'!A1015</f>
        <v>R107</v>
      </c>
      <c r="AA110" t="b">
        <f t="shared" si="69"/>
        <v>0</v>
      </c>
      <c r="AB110" t="b">
        <f t="shared" si="70"/>
        <v>0</v>
      </c>
      <c r="AE110" t="str">
        <f>'WetLitterbags placem_collection'!K109</f>
        <v>G688</v>
      </c>
      <c r="AF110" t="str">
        <f>'WetLitterbags placem_collection'!M109</f>
        <v>R574</v>
      </c>
      <c r="AG110" t="b">
        <f t="shared" si="71"/>
        <v>0</v>
      </c>
      <c r="AH110" t="b">
        <f t="shared" si="72"/>
        <v>0</v>
      </c>
      <c r="AJ110" t="b">
        <f t="shared" si="73"/>
        <v>0</v>
      </c>
      <c r="AK110" t="b">
        <f t="shared" si="74"/>
        <v>0</v>
      </c>
      <c r="AM110" t="str">
        <f>IF(ISBLANK('Dry_Litterbag Placem_Collection'!J109),"","G"&amp;""&amp;'Dry_Litterbag Placem_Collection'!J109)</f>
        <v>G129</v>
      </c>
      <c r="AN110" t="str">
        <f>IF(ISBLANK('Dry_Litterbag Placem_Collection'!K109),"","R"&amp;""&amp;'Dry_Litterbag Placem_Collection'!K109)</f>
        <v>R809</v>
      </c>
      <c r="AO110" t="b">
        <f t="shared" si="75"/>
        <v>0</v>
      </c>
      <c r="AP110" t="b">
        <f t="shared" si="76"/>
        <v>0</v>
      </c>
      <c r="AS110" t="str">
        <f>'Ashed teabags dry'!A108</f>
        <v>G234</v>
      </c>
      <c r="AT110" t="str">
        <f>'Ashed teabags dry'!A443</f>
        <v>R379</v>
      </c>
      <c r="AU110" t="b">
        <f t="shared" si="77"/>
        <v>0</v>
      </c>
      <c r="AV110" t="b">
        <f t="shared" si="100"/>
        <v>0</v>
      </c>
      <c r="AX110" s="388" t="b">
        <f t="shared" si="78"/>
        <v>0</v>
      </c>
      <c r="AY110" s="388" t="b">
        <f t="shared" si="79"/>
        <v>0</v>
      </c>
      <c r="BA110" t="str">
        <f>'Ashed teabags wet'!A108</f>
        <v>G503</v>
      </c>
      <c r="BB110" t="str">
        <f>'Ashed teabags wet'!A528</f>
        <v>R264</v>
      </c>
      <c r="BC110" t="b">
        <f t="shared" si="80"/>
        <v>0</v>
      </c>
      <c r="BD110" t="b">
        <f t="shared" si="60"/>
        <v>0</v>
      </c>
      <c r="BF110" t="str">
        <f t="shared" si="81"/>
        <v>G233</v>
      </c>
      <c r="BG110" t="str">
        <f t="shared" si="82"/>
        <v>G233</v>
      </c>
      <c r="BH110" t="str">
        <f t="shared" si="83"/>
        <v>G20</v>
      </c>
      <c r="BI110" t="str">
        <f t="shared" si="101"/>
        <v>G20</v>
      </c>
      <c r="BJ110" t="s">
        <v>1817</v>
      </c>
      <c r="BK110" t="s">
        <v>1817</v>
      </c>
      <c r="BL110" t="s">
        <v>1817</v>
      </c>
      <c r="BM110" t="b">
        <f t="shared" si="102"/>
        <v>1</v>
      </c>
      <c r="BN110" t="str">
        <f t="shared" si="84"/>
        <v>R377</v>
      </c>
      <c r="BO110" t="str">
        <f t="shared" si="85"/>
        <v>R377</v>
      </c>
      <c r="BP110" t="str">
        <f t="shared" si="86"/>
        <v>R790</v>
      </c>
      <c r="BQ110" t="str">
        <f t="shared" si="87"/>
        <v>R790</v>
      </c>
      <c r="BR110" t="s">
        <v>764</v>
      </c>
      <c r="BS110" t="s">
        <v>764</v>
      </c>
      <c r="BT110" t="s">
        <v>764</v>
      </c>
      <c r="BU110" t="b">
        <f t="shared" si="103"/>
        <v>1</v>
      </c>
      <c r="BZ110" t="str">
        <f t="shared" si="88"/>
        <v>G20</v>
      </c>
      <c r="CA110" t="b">
        <f t="shared" si="89"/>
        <v>0</v>
      </c>
      <c r="CB110" t="str">
        <f t="shared" si="104"/>
        <v>G20</v>
      </c>
      <c r="CC110" t="str">
        <f t="shared" si="90"/>
        <v>R790</v>
      </c>
      <c r="CD110" t="b">
        <f t="shared" si="105"/>
        <v>0</v>
      </c>
      <c r="CE110" t="str">
        <f t="shared" si="106"/>
        <v>R790</v>
      </c>
      <c r="CG110" t="str">
        <f t="shared" si="91"/>
        <v>G502</v>
      </c>
      <c r="CH110" t="str">
        <f t="shared" si="107"/>
        <v>G502</v>
      </c>
      <c r="CI110" t="str">
        <f t="shared" si="92"/>
        <v>G837</v>
      </c>
      <c r="CJ110" t="str">
        <f t="shared" si="93"/>
        <v>G837</v>
      </c>
      <c r="CK110" t="s">
        <v>1548</v>
      </c>
      <c r="CL110" t="s">
        <v>1548</v>
      </c>
      <c r="CM110" t="s">
        <v>1548</v>
      </c>
      <c r="CN110" t="b">
        <f t="shared" si="108"/>
        <v>1</v>
      </c>
      <c r="CO110" t="str">
        <f t="shared" si="94"/>
        <v>R263</v>
      </c>
      <c r="CP110" t="str">
        <f t="shared" si="109"/>
        <v>R263</v>
      </c>
      <c r="CQ110" t="str">
        <f t="shared" si="95"/>
        <v>R590</v>
      </c>
      <c r="CR110" t="str">
        <f t="shared" si="96"/>
        <v>R590</v>
      </c>
      <c r="CS110" t="s">
        <v>878</v>
      </c>
      <c r="CT110" t="s">
        <v>878</v>
      </c>
      <c r="CU110" t="s">
        <v>878</v>
      </c>
      <c r="CV110" t="b">
        <f t="shared" si="110"/>
        <v>1</v>
      </c>
      <c r="DC110" t="str">
        <f t="shared" si="97"/>
        <v>G837</v>
      </c>
      <c r="DD110" t="b">
        <f t="shared" si="111"/>
        <v>0</v>
      </c>
      <c r="DE110" t="str">
        <f t="shared" si="112"/>
        <v>G837</v>
      </c>
      <c r="DF110" t="str">
        <f t="shared" si="98"/>
        <v>R590</v>
      </c>
      <c r="DG110" t="b">
        <f t="shared" si="113"/>
        <v>0</v>
      </c>
      <c r="DH110" t="str">
        <f t="shared" si="114"/>
        <v>R590</v>
      </c>
    </row>
    <row r="111" spans="2:112" ht="12" customHeight="1">
      <c r="B111" t="str">
        <f>TBIDry!H183</f>
        <v>G258</v>
      </c>
      <c r="C111" t="str">
        <f>TBIDry!I183</f>
        <v>R777</v>
      </c>
      <c r="D111" t="b">
        <f t="shared" si="61"/>
        <v>0</v>
      </c>
      <c r="E111" t="b">
        <f t="shared" si="62"/>
        <v>0</v>
      </c>
      <c r="G111" t="str">
        <f>TBIWet!H183</f>
        <v>G883</v>
      </c>
      <c r="H111" t="str">
        <f>TBIWet!I183</f>
        <v>R8</v>
      </c>
      <c r="I111" t="b">
        <f t="shared" si="63"/>
        <v>0</v>
      </c>
      <c r="J111" t="b">
        <f t="shared" si="64"/>
        <v>0</v>
      </c>
      <c r="L111" t="str">
        <f>'Both teabags AfterWet'!A109</f>
        <v>G504</v>
      </c>
      <c r="M111" t="str">
        <f>'Both teabags AfterWet'!A529</f>
        <v>R265</v>
      </c>
      <c r="N111" t="b">
        <f t="shared" si="65"/>
        <v>0</v>
      </c>
      <c r="O111" t="b">
        <f t="shared" si="115"/>
        <v>0</v>
      </c>
      <c r="Q111" s="388" t="b">
        <f t="shared" si="66"/>
        <v>0</v>
      </c>
      <c r="R111" s="388" t="b">
        <f t="shared" si="67"/>
        <v>0</v>
      </c>
      <c r="T111" t="str">
        <f>'Both teabags AfterDry'!A109</f>
        <v>G235</v>
      </c>
      <c r="U111" t="str">
        <f>'Both teabags AfterDry'!A444</f>
        <v>R388</v>
      </c>
      <c r="V111" t="b">
        <f t="shared" si="68"/>
        <v>0</v>
      </c>
      <c r="W111" t="b">
        <f t="shared" si="99"/>
        <v>0</v>
      </c>
      <c r="Y111" t="str">
        <f>'Green_rooibos initial weight'!A112</f>
        <v>G108</v>
      </c>
      <c r="Z111" t="str">
        <f>'Green_rooibos initial weight'!A1016</f>
        <v>R108</v>
      </c>
      <c r="AA111" t="b">
        <f t="shared" si="69"/>
        <v>0</v>
      </c>
      <c r="AB111" t="b">
        <f t="shared" si="70"/>
        <v>0</v>
      </c>
      <c r="AE111" t="str">
        <f>'WetLitterbags placem_collection'!K110</f>
        <v>G883</v>
      </c>
      <c r="AF111" t="str">
        <f>'WetLitterbags placem_collection'!M110</f>
        <v>R8</v>
      </c>
      <c r="AG111" t="b">
        <f t="shared" si="71"/>
        <v>0</v>
      </c>
      <c r="AH111" t="b">
        <f t="shared" si="72"/>
        <v>0</v>
      </c>
      <c r="AJ111" t="b">
        <f t="shared" si="73"/>
        <v>0</v>
      </c>
      <c r="AK111" t="b">
        <f t="shared" si="74"/>
        <v>0</v>
      </c>
      <c r="AM111" t="str">
        <f>IF(ISBLANK('Dry_Litterbag Placem_Collection'!J110),"","G"&amp;""&amp;'Dry_Litterbag Placem_Collection'!J110)</f>
        <v>G258</v>
      </c>
      <c r="AN111" t="str">
        <f>IF(ISBLANK('Dry_Litterbag Placem_Collection'!K110),"","R"&amp;""&amp;'Dry_Litterbag Placem_Collection'!K110)</f>
        <v>R777</v>
      </c>
      <c r="AO111" t="b">
        <f t="shared" si="75"/>
        <v>0</v>
      </c>
      <c r="AP111" t="b">
        <f t="shared" si="76"/>
        <v>0</v>
      </c>
      <c r="AS111" t="str">
        <f>'Ashed teabags dry'!A109</f>
        <v>G235</v>
      </c>
      <c r="AT111" t="str">
        <f>'Ashed teabags dry'!A444</f>
        <v>R388</v>
      </c>
      <c r="AU111" t="b">
        <f t="shared" si="77"/>
        <v>0</v>
      </c>
      <c r="AV111" t="b">
        <f t="shared" si="100"/>
        <v>0</v>
      </c>
      <c r="AX111" s="388" t="b">
        <f t="shared" si="78"/>
        <v>0</v>
      </c>
      <c r="AY111" s="388" t="b">
        <f t="shared" si="79"/>
        <v>0</v>
      </c>
      <c r="BA111" t="str">
        <f>'Ashed teabags wet'!A109</f>
        <v>G504</v>
      </c>
      <c r="BB111" t="str">
        <f>'Ashed teabags wet'!A529</f>
        <v>R265</v>
      </c>
      <c r="BC111" t="b">
        <f t="shared" si="80"/>
        <v>0</v>
      </c>
      <c r="BD111" t="b">
        <f t="shared" si="60"/>
        <v>0</v>
      </c>
      <c r="BF111" t="str">
        <f t="shared" si="81"/>
        <v>G234</v>
      </c>
      <c r="BG111" t="str">
        <f t="shared" si="82"/>
        <v>G234</v>
      </c>
      <c r="BH111" t="str">
        <f t="shared" si="83"/>
        <v>G129</v>
      </c>
      <c r="BI111" t="str">
        <f t="shared" si="101"/>
        <v/>
      </c>
      <c r="BJ111" t="s">
        <v>1816</v>
      </c>
      <c r="BK111" t="s">
        <v>1816</v>
      </c>
      <c r="BL111" t="s">
        <v>1816</v>
      </c>
      <c r="BM111" t="b">
        <f t="shared" si="102"/>
        <v>1</v>
      </c>
      <c r="BN111" t="str">
        <f t="shared" si="84"/>
        <v>R379</v>
      </c>
      <c r="BO111" t="str">
        <f t="shared" si="85"/>
        <v>R379</v>
      </c>
      <c r="BP111" t="str">
        <f t="shared" si="86"/>
        <v>R809</v>
      </c>
      <c r="BQ111" t="str">
        <f t="shared" si="87"/>
        <v/>
      </c>
      <c r="BR111" t="s">
        <v>762</v>
      </c>
      <c r="BS111" t="s">
        <v>762</v>
      </c>
      <c r="BT111" t="s">
        <v>762</v>
      </c>
      <c r="BU111" t="b">
        <f t="shared" si="103"/>
        <v>1</v>
      </c>
      <c r="BZ111" t="str">
        <f t="shared" si="88"/>
        <v>G129</v>
      </c>
      <c r="CA111" t="b">
        <f t="shared" si="89"/>
        <v>1</v>
      </c>
      <c r="CB111" t="str">
        <f t="shared" si="104"/>
        <v/>
      </c>
      <c r="CC111" t="str">
        <f t="shared" si="90"/>
        <v>R809</v>
      </c>
      <c r="CD111" t="b">
        <f t="shared" si="105"/>
        <v>1</v>
      </c>
      <c r="CE111" t="str">
        <f t="shared" si="106"/>
        <v/>
      </c>
      <c r="CG111" t="str">
        <f t="shared" si="91"/>
        <v>G503</v>
      </c>
      <c r="CH111" t="str">
        <f t="shared" si="107"/>
        <v>G503</v>
      </c>
      <c r="CI111" t="str">
        <f t="shared" si="92"/>
        <v>G688</v>
      </c>
      <c r="CJ111" t="str">
        <f t="shared" si="93"/>
        <v>G688</v>
      </c>
      <c r="CK111" t="s">
        <v>1547</v>
      </c>
      <c r="CL111" t="s">
        <v>1547</v>
      </c>
      <c r="CM111" t="s">
        <v>1547</v>
      </c>
      <c r="CN111" t="b">
        <f t="shared" si="108"/>
        <v>1</v>
      </c>
      <c r="CO111" t="str">
        <f t="shared" si="94"/>
        <v>R264</v>
      </c>
      <c r="CP111" t="str">
        <f t="shared" si="109"/>
        <v>R264</v>
      </c>
      <c r="CQ111" t="str">
        <f t="shared" si="95"/>
        <v>R574</v>
      </c>
      <c r="CR111" t="str">
        <f t="shared" si="96"/>
        <v>R574</v>
      </c>
      <c r="CS111" t="s">
        <v>877</v>
      </c>
      <c r="CT111" t="s">
        <v>877</v>
      </c>
      <c r="CU111" t="s">
        <v>877</v>
      </c>
      <c r="CV111" t="b">
        <f t="shared" si="110"/>
        <v>1</v>
      </c>
      <c r="DC111" t="str">
        <f t="shared" si="97"/>
        <v>G688</v>
      </c>
      <c r="DD111" t="b">
        <f t="shared" si="111"/>
        <v>0</v>
      </c>
      <c r="DE111" t="str">
        <f t="shared" si="112"/>
        <v>G688</v>
      </c>
      <c r="DF111" t="str">
        <f t="shared" si="98"/>
        <v>R574</v>
      </c>
      <c r="DG111" t="b">
        <f t="shared" si="113"/>
        <v>0</v>
      </c>
      <c r="DH111" t="str">
        <f t="shared" si="114"/>
        <v>R574</v>
      </c>
    </row>
    <row r="112" spans="2:112" ht="12" customHeight="1">
      <c r="B112" t="str">
        <f>TBIDry!H184</f>
        <v>G294</v>
      </c>
      <c r="C112" t="str">
        <f>TBIDry!I184</f>
        <v>R804</v>
      </c>
      <c r="D112" t="b">
        <f t="shared" si="61"/>
        <v>0</v>
      </c>
      <c r="E112" t="b">
        <f t="shared" si="62"/>
        <v>0</v>
      </c>
      <c r="G112" t="str">
        <f>TBIWet!H184</f>
        <v>G704</v>
      </c>
      <c r="H112" t="str">
        <f>TBIWet!I184</f>
        <v>R552</v>
      </c>
      <c r="I112" t="b">
        <f t="shared" si="63"/>
        <v>0</v>
      </c>
      <c r="J112" t="b">
        <f t="shared" si="64"/>
        <v>0</v>
      </c>
      <c r="L112" t="str">
        <f>'Both teabags AfterWet'!A110</f>
        <v>G505</v>
      </c>
      <c r="M112" t="str">
        <f>'Both teabags AfterWet'!A530</f>
        <v>R266</v>
      </c>
      <c r="N112" t="b">
        <f t="shared" si="65"/>
        <v>0</v>
      </c>
      <c r="O112" t="b">
        <f t="shared" si="115"/>
        <v>0</v>
      </c>
      <c r="Q112" s="388" t="b">
        <f t="shared" si="66"/>
        <v>0</v>
      </c>
      <c r="R112" s="388" t="b">
        <f t="shared" si="67"/>
        <v>0</v>
      </c>
      <c r="T112" t="str">
        <f>'Both teabags AfterDry'!A110</f>
        <v>G236</v>
      </c>
      <c r="U112" t="str">
        <f>'Both teabags AfterDry'!A445</f>
        <v>R389</v>
      </c>
      <c r="V112" t="b">
        <f t="shared" si="68"/>
        <v>0</v>
      </c>
      <c r="W112" t="b">
        <f t="shared" si="99"/>
        <v>0</v>
      </c>
      <c r="Y112" t="str">
        <f>'Green_rooibos initial weight'!A113</f>
        <v>G109</v>
      </c>
      <c r="Z112" t="str">
        <f>'Green_rooibos initial weight'!A1017</f>
        <v>R109</v>
      </c>
      <c r="AA112" t="b">
        <f t="shared" si="69"/>
        <v>0</v>
      </c>
      <c r="AB112" t="b">
        <f t="shared" si="70"/>
        <v>0</v>
      </c>
      <c r="AE112" t="str">
        <f>'WetLitterbags placem_collection'!K111</f>
        <v>G704</v>
      </c>
      <c r="AF112" t="str">
        <f>'WetLitterbags placem_collection'!M111</f>
        <v>R552</v>
      </c>
      <c r="AG112" t="b">
        <f t="shared" si="71"/>
        <v>0</v>
      </c>
      <c r="AH112" t="b">
        <f t="shared" si="72"/>
        <v>0</v>
      </c>
      <c r="AJ112" t="b">
        <f t="shared" si="73"/>
        <v>0</v>
      </c>
      <c r="AK112" t="b">
        <f t="shared" si="74"/>
        <v>0</v>
      </c>
      <c r="AM112" t="str">
        <f>IF(ISBLANK('Dry_Litterbag Placem_Collection'!J111),"","G"&amp;""&amp;'Dry_Litterbag Placem_Collection'!J111)</f>
        <v>G294</v>
      </c>
      <c r="AN112" t="str">
        <f>IF(ISBLANK('Dry_Litterbag Placem_Collection'!K111),"","R"&amp;""&amp;'Dry_Litterbag Placem_Collection'!K111)</f>
        <v>R804</v>
      </c>
      <c r="AO112" t="b">
        <f t="shared" si="75"/>
        <v>0</v>
      </c>
      <c r="AP112" t="b">
        <f t="shared" si="76"/>
        <v>0</v>
      </c>
      <c r="AS112" t="str">
        <f>'Ashed teabags dry'!A110</f>
        <v>G236</v>
      </c>
      <c r="AT112" t="str">
        <f>'Ashed teabags dry'!A445</f>
        <v>R389</v>
      </c>
      <c r="AU112" t="b">
        <f t="shared" si="77"/>
        <v>0</v>
      </c>
      <c r="AV112" t="b">
        <f t="shared" si="100"/>
        <v>0</v>
      </c>
      <c r="AX112" s="388" t="b">
        <f t="shared" si="78"/>
        <v>0</v>
      </c>
      <c r="AY112" s="388" t="b">
        <f t="shared" si="79"/>
        <v>0</v>
      </c>
      <c r="BA112" t="str">
        <f>'Ashed teabags wet'!A110</f>
        <v>G505</v>
      </c>
      <c r="BB112" t="str">
        <f>'Ashed teabags wet'!A530</f>
        <v>R266</v>
      </c>
      <c r="BC112" t="b">
        <f t="shared" si="80"/>
        <v>0</v>
      </c>
      <c r="BD112" t="b">
        <f t="shared" si="60"/>
        <v>0</v>
      </c>
      <c r="BF112" t="str">
        <f t="shared" si="81"/>
        <v>G235</v>
      </c>
      <c r="BG112" t="str">
        <f t="shared" si="82"/>
        <v>G235</v>
      </c>
      <c r="BH112" t="str">
        <f t="shared" si="83"/>
        <v>G258</v>
      </c>
      <c r="BI112" t="str">
        <f t="shared" si="101"/>
        <v>G258</v>
      </c>
      <c r="BJ112" t="s">
        <v>1815</v>
      </c>
      <c r="BK112" t="s">
        <v>1815</v>
      </c>
      <c r="BL112" t="s">
        <v>1815</v>
      </c>
      <c r="BM112" t="b">
        <f t="shared" si="102"/>
        <v>1</v>
      </c>
      <c r="BN112" t="str">
        <f t="shared" si="84"/>
        <v>R388</v>
      </c>
      <c r="BO112" t="str">
        <f t="shared" si="85"/>
        <v>R388</v>
      </c>
      <c r="BP112" t="str">
        <f t="shared" si="86"/>
        <v>R777</v>
      </c>
      <c r="BQ112" t="str">
        <f t="shared" si="87"/>
        <v>R777</v>
      </c>
      <c r="BR112" t="s">
        <v>753</v>
      </c>
      <c r="BS112" t="s">
        <v>753</v>
      </c>
      <c r="BT112" t="s">
        <v>753</v>
      </c>
      <c r="BU112" t="b">
        <f t="shared" si="103"/>
        <v>1</v>
      </c>
      <c r="BZ112" t="str">
        <f t="shared" si="88"/>
        <v>G258</v>
      </c>
      <c r="CA112" t="b">
        <f t="shared" si="89"/>
        <v>0</v>
      </c>
      <c r="CB112" t="str">
        <f t="shared" si="104"/>
        <v>G258</v>
      </c>
      <c r="CC112" t="str">
        <f t="shared" si="90"/>
        <v>R777</v>
      </c>
      <c r="CD112" t="b">
        <f t="shared" si="105"/>
        <v>0</v>
      </c>
      <c r="CE112" t="str">
        <f t="shared" si="106"/>
        <v>R777</v>
      </c>
      <c r="CG112" t="str">
        <f t="shared" si="91"/>
        <v>G504</v>
      </c>
      <c r="CH112" t="str">
        <f t="shared" si="107"/>
        <v>G504</v>
      </c>
      <c r="CI112" t="str">
        <f t="shared" si="92"/>
        <v>G883</v>
      </c>
      <c r="CJ112" t="str">
        <f t="shared" si="93"/>
        <v>G883</v>
      </c>
      <c r="CK112" t="s">
        <v>1546</v>
      </c>
      <c r="CL112" t="s">
        <v>1546</v>
      </c>
      <c r="CM112" t="s">
        <v>1546</v>
      </c>
      <c r="CN112" t="b">
        <f t="shared" si="108"/>
        <v>1</v>
      </c>
      <c r="CO112" t="str">
        <f t="shared" si="94"/>
        <v>R265</v>
      </c>
      <c r="CP112" t="str">
        <f t="shared" si="109"/>
        <v>R265</v>
      </c>
      <c r="CQ112" t="str">
        <f t="shared" si="95"/>
        <v>R8</v>
      </c>
      <c r="CR112" t="str">
        <f t="shared" si="96"/>
        <v>R8</v>
      </c>
      <c r="CS112" t="s">
        <v>876</v>
      </c>
      <c r="CT112" t="s">
        <v>876</v>
      </c>
      <c r="CU112" t="s">
        <v>876</v>
      </c>
      <c r="CV112" t="b">
        <f t="shared" si="110"/>
        <v>1</v>
      </c>
      <c r="DC112" t="str">
        <f t="shared" si="97"/>
        <v>G883</v>
      </c>
      <c r="DD112" t="b">
        <f t="shared" si="111"/>
        <v>0</v>
      </c>
      <c r="DE112" t="str">
        <f t="shared" si="112"/>
        <v>G883</v>
      </c>
      <c r="DF112" t="str">
        <f t="shared" si="98"/>
        <v>R8</v>
      </c>
      <c r="DG112" t="b">
        <f t="shared" si="113"/>
        <v>0</v>
      </c>
      <c r="DH112" t="str">
        <f t="shared" si="114"/>
        <v>R8</v>
      </c>
    </row>
    <row r="113" spans="2:112" ht="12" customHeight="1">
      <c r="B113" t="str">
        <f>TBIDry!H185</f>
        <v>G350</v>
      </c>
      <c r="C113" t="str">
        <f>TBIDry!I185</f>
        <v>R786</v>
      </c>
      <c r="D113" t="b">
        <f t="shared" si="61"/>
        <v>0</v>
      </c>
      <c r="E113" t="b">
        <f t="shared" si="62"/>
        <v>0</v>
      </c>
      <c r="G113" t="str">
        <f>TBIWet!H185</f>
        <v>G742</v>
      </c>
      <c r="H113" t="str">
        <f>TBIWet!I185</f>
        <v>R462</v>
      </c>
      <c r="I113" t="b">
        <f t="shared" si="63"/>
        <v>0</v>
      </c>
      <c r="J113" t="b">
        <f t="shared" si="64"/>
        <v>0</v>
      </c>
      <c r="L113" t="str">
        <f>'Both teabags AfterWet'!A111</f>
        <v>G506</v>
      </c>
      <c r="M113" t="str">
        <f>'Both teabags AfterWet'!A531</f>
        <v>R268</v>
      </c>
      <c r="N113" t="b">
        <f t="shared" si="65"/>
        <v>0</v>
      </c>
      <c r="O113" t="b">
        <f t="shared" si="115"/>
        <v>0</v>
      </c>
      <c r="Q113" s="388" t="b">
        <f t="shared" si="66"/>
        <v>0</v>
      </c>
      <c r="R113" s="388" t="b">
        <f t="shared" si="67"/>
        <v>0</v>
      </c>
      <c r="T113" t="str">
        <f>'Both teabags AfterDry'!A111</f>
        <v>G237</v>
      </c>
      <c r="U113" t="str">
        <f>'Both teabags AfterDry'!A446</f>
        <v>R394</v>
      </c>
      <c r="V113" t="b">
        <f t="shared" si="68"/>
        <v>0</v>
      </c>
      <c r="W113" t="b">
        <f t="shared" si="99"/>
        <v>0</v>
      </c>
      <c r="Y113" t="str">
        <f>'Green_rooibos initial weight'!A114</f>
        <v>G110</v>
      </c>
      <c r="Z113" t="str">
        <f>'Green_rooibos initial weight'!A1018</f>
        <v>R110</v>
      </c>
      <c r="AA113" t="b">
        <f t="shared" si="69"/>
        <v>0</v>
      </c>
      <c r="AB113" t="b">
        <f t="shared" si="70"/>
        <v>0</v>
      </c>
      <c r="AE113" t="str">
        <f>'WetLitterbags placem_collection'!K112</f>
        <v>G742</v>
      </c>
      <c r="AF113" t="str">
        <f>'WetLitterbags placem_collection'!M112</f>
        <v>R462</v>
      </c>
      <c r="AG113" t="b">
        <f t="shared" si="71"/>
        <v>0</v>
      </c>
      <c r="AH113" t="b">
        <f t="shared" si="72"/>
        <v>0</v>
      </c>
      <c r="AJ113" t="b">
        <f t="shared" si="73"/>
        <v>0</v>
      </c>
      <c r="AK113" t="b">
        <f t="shared" si="74"/>
        <v>0</v>
      </c>
      <c r="AM113" t="str">
        <f>IF(ISBLANK('Dry_Litterbag Placem_Collection'!J112),"","G"&amp;""&amp;'Dry_Litterbag Placem_Collection'!J112)</f>
        <v>G350</v>
      </c>
      <c r="AN113" t="str">
        <f>IF(ISBLANK('Dry_Litterbag Placem_Collection'!K112),"","R"&amp;""&amp;'Dry_Litterbag Placem_Collection'!K112)</f>
        <v>R786</v>
      </c>
      <c r="AO113" t="b">
        <f t="shared" si="75"/>
        <v>0</v>
      </c>
      <c r="AP113" t="b">
        <f t="shared" si="76"/>
        <v>0</v>
      </c>
      <c r="AS113" t="str">
        <f>'Ashed teabags dry'!A111</f>
        <v>G237</v>
      </c>
      <c r="AT113" t="str">
        <f>'Ashed teabags dry'!A446</f>
        <v>R394</v>
      </c>
      <c r="AU113" t="b">
        <f t="shared" si="77"/>
        <v>0</v>
      </c>
      <c r="AV113" t="b">
        <f t="shared" si="100"/>
        <v>0</v>
      </c>
      <c r="AX113" s="388" t="b">
        <f t="shared" si="78"/>
        <v>0</v>
      </c>
      <c r="AY113" s="388" t="b">
        <f t="shared" si="79"/>
        <v>0</v>
      </c>
      <c r="BA113" t="str">
        <f>'Ashed teabags wet'!A111</f>
        <v>G506</v>
      </c>
      <c r="BB113" t="str">
        <f>'Ashed teabags wet'!A531</f>
        <v>R268</v>
      </c>
      <c r="BC113" t="b">
        <f t="shared" si="80"/>
        <v>0</v>
      </c>
      <c r="BD113" t="b">
        <f t="shared" si="60"/>
        <v>0</v>
      </c>
      <c r="BF113" t="str">
        <f t="shared" si="81"/>
        <v>G236</v>
      </c>
      <c r="BG113" t="str">
        <f t="shared" si="82"/>
        <v>G236</v>
      </c>
      <c r="BH113" t="str">
        <f t="shared" si="83"/>
        <v>G294</v>
      </c>
      <c r="BI113" t="str">
        <f t="shared" si="101"/>
        <v>G294</v>
      </c>
      <c r="BJ113" t="s">
        <v>1814</v>
      </c>
      <c r="BK113" t="s">
        <v>1814</v>
      </c>
      <c r="BL113" t="s">
        <v>1814</v>
      </c>
      <c r="BM113" t="b">
        <f t="shared" si="102"/>
        <v>1</v>
      </c>
      <c r="BN113" t="str">
        <f t="shared" si="84"/>
        <v>R389</v>
      </c>
      <c r="BO113" t="str">
        <f t="shared" si="85"/>
        <v>R389</v>
      </c>
      <c r="BP113" t="str">
        <f t="shared" si="86"/>
        <v>R804</v>
      </c>
      <c r="BQ113" t="str">
        <f t="shared" si="87"/>
        <v>R804</v>
      </c>
      <c r="BR113" t="s">
        <v>752</v>
      </c>
      <c r="BS113" t="s">
        <v>752</v>
      </c>
      <c r="BT113" t="s">
        <v>752</v>
      </c>
      <c r="BU113" t="b">
        <f t="shared" si="103"/>
        <v>1</v>
      </c>
      <c r="BZ113" t="str">
        <f t="shared" si="88"/>
        <v>G294</v>
      </c>
      <c r="CA113" t="b">
        <f t="shared" si="89"/>
        <v>0</v>
      </c>
      <c r="CB113" t="str">
        <f t="shared" si="104"/>
        <v>G294</v>
      </c>
      <c r="CC113" t="str">
        <f t="shared" si="90"/>
        <v>R804</v>
      </c>
      <c r="CD113" t="b">
        <f t="shared" si="105"/>
        <v>0</v>
      </c>
      <c r="CE113" t="str">
        <f t="shared" si="106"/>
        <v>R804</v>
      </c>
      <c r="CG113" t="str">
        <f t="shared" si="91"/>
        <v>G505</v>
      </c>
      <c r="CH113" t="str">
        <f t="shared" si="107"/>
        <v>G505</v>
      </c>
      <c r="CI113" t="str">
        <f t="shared" si="92"/>
        <v>G704</v>
      </c>
      <c r="CJ113" t="str">
        <f t="shared" si="93"/>
        <v>G704</v>
      </c>
      <c r="CK113" t="s">
        <v>1545</v>
      </c>
      <c r="CL113" t="s">
        <v>1545</v>
      </c>
      <c r="CM113" t="s">
        <v>1545</v>
      </c>
      <c r="CN113" t="b">
        <f t="shared" si="108"/>
        <v>1</v>
      </c>
      <c r="CO113" t="str">
        <f t="shared" si="94"/>
        <v>R266</v>
      </c>
      <c r="CP113" t="str">
        <f t="shared" si="109"/>
        <v>R266</v>
      </c>
      <c r="CQ113" t="str">
        <f t="shared" si="95"/>
        <v>R552</v>
      </c>
      <c r="CR113" t="str">
        <f t="shared" si="96"/>
        <v>R552</v>
      </c>
      <c r="CS113" t="s">
        <v>875</v>
      </c>
      <c r="CT113" t="s">
        <v>875</v>
      </c>
      <c r="CU113" t="s">
        <v>875</v>
      </c>
      <c r="CV113" t="b">
        <f t="shared" si="110"/>
        <v>1</v>
      </c>
      <c r="DC113" t="str">
        <f t="shared" si="97"/>
        <v>G704</v>
      </c>
      <c r="DD113" t="b">
        <f t="shared" si="111"/>
        <v>0</v>
      </c>
      <c r="DE113" t="str">
        <f t="shared" si="112"/>
        <v>G704</v>
      </c>
      <c r="DF113" t="str">
        <f t="shared" si="98"/>
        <v>R552</v>
      </c>
      <c r="DG113" t="b">
        <f t="shared" si="113"/>
        <v>0</v>
      </c>
      <c r="DH113" t="str">
        <f t="shared" si="114"/>
        <v>R552</v>
      </c>
    </row>
    <row r="114" spans="2:112" ht="12" customHeight="1">
      <c r="B114" t="str">
        <f>TBIDry!H186</f>
        <v>G274</v>
      </c>
      <c r="C114" t="str">
        <f>TBIDry!I186</f>
        <v>R835</v>
      </c>
      <c r="D114" t="b">
        <f t="shared" si="61"/>
        <v>0</v>
      </c>
      <c r="E114" t="b">
        <f t="shared" si="62"/>
        <v>0</v>
      </c>
      <c r="G114" t="str">
        <f>TBIWet!H186</f>
        <v>G831</v>
      </c>
      <c r="H114" t="str">
        <f>TBIWet!I186</f>
        <v>R505</v>
      </c>
      <c r="I114" t="b">
        <f t="shared" si="63"/>
        <v>0</v>
      </c>
      <c r="J114" t="b">
        <f t="shared" si="64"/>
        <v>0</v>
      </c>
      <c r="L114" t="str">
        <f>'Both teabags AfterWet'!A112</f>
        <v>G507</v>
      </c>
      <c r="M114" t="str">
        <f>'Both teabags AfterWet'!A532</f>
        <v>R27</v>
      </c>
      <c r="N114" t="b">
        <f t="shared" si="65"/>
        <v>0</v>
      </c>
      <c r="O114" t="b">
        <f t="shared" si="115"/>
        <v>0</v>
      </c>
      <c r="Q114" s="388" t="b">
        <f t="shared" si="66"/>
        <v>0</v>
      </c>
      <c r="R114" s="388" t="b">
        <f t="shared" si="67"/>
        <v>0</v>
      </c>
      <c r="T114" t="str">
        <f>'Both teabags AfterDry'!A112</f>
        <v>G238</v>
      </c>
      <c r="U114" t="str">
        <f>'Both teabags AfterDry'!A447</f>
        <v>R397</v>
      </c>
      <c r="V114" t="b">
        <f t="shared" si="68"/>
        <v>0</v>
      </c>
      <c r="W114" t="b">
        <f t="shared" si="99"/>
        <v>0</v>
      </c>
      <c r="Y114" t="str">
        <f>'Green_rooibos initial weight'!A115</f>
        <v>G111</v>
      </c>
      <c r="Z114" t="str">
        <f>'Green_rooibos initial weight'!A1019</f>
        <v>R111</v>
      </c>
      <c r="AA114" t="b">
        <f t="shared" si="69"/>
        <v>0</v>
      </c>
      <c r="AB114" t="b">
        <f t="shared" si="70"/>
        <v>0</v>
      </c>
      <c r="AE114" t="str">
        <f>'WetLitterbags placem_collection'!K113</f>
        <v>G831</v>
      </c>
      <c r="AF114" t="str">
        <f>'WetLitterbags placem_collection'!M113</f>
        <v>R505</v>
      </c>
      <c r="AG114" t="b">
        <f t="shared" si="71"/>
        <v>0</v>
      </c>
      <c r="AH114" t="b">
        <f t="shared" si="72"/>
        <v>0</v>
      </c>
      <c r="AJ114" t="b">
        <f t="shared" si="73"/>
        <v>0</v>
      </c>
      <c r="AK114" t="b">
        <f t="shared" si="74"/>
        <v>0</v>
      </c>
      <c r="AM114" t="str">
        <f>IF(ISBLANK('Dry_Litterbag Placem_Collection'!J113),"","G"&amp;""&amp;'Dry_Litterbag Placem_Collection'!J113)</f>
        <v>G274</v>
      </c>
      <c r="AN114" t="str">
        <f>IF(ISBLANK('Dry_Litterbag Placem_Collection'!K113),"","R"&amp;""&amp;'Dry_Litterbag Placem_Collection'!K113)</f>
        <v>R835</v>
      </c>
      <c r="AO114" t="b">
        <f t="shared" si="75"/>
        <v>0</v>
      </c>
      <c r="AP114" t="b">
        <f t="shared" si="76"/>
        <v>0</v>
      </c>
      <c r="AS114" t="str">
        <f>'Ashed teabags dry'!A112</f>
        <v>G238</v>
      </c>
      <c r="AT114" t="str">
        <f>'Ashed teabags dry'!A447</f>
        <v>R397</v>
      </c>
      <c r="AU114" t="b">
        <f t="shared" si="77"/>
        <v>0</v>
      </c>
      <c r="AV114" t="b">
        <f t="shared" si="100"/>
        <v>0</v>
      </c>
      <c r="AX114" s="388" t="b">
        <f t="shared" si="78"/>
        <v>0</v>
      </c>
      <c r="AY114" s="388" t="b">
        <f t="shared" si="79"/>
        <v>0</v>
      </c>
      <c r="BA114" t="str">
        <f>'Ashed teabags wet'!A112</f>
        <v>G507</v>
      </c>
      <c r="BB114" t="str">
        <f>'Ashed teabags wet'!A532</f>
        <v>R27</v>
      </c>
      <c r="BC114" t="b">
        <f t="shared" si="80"/>
        <v>0</v>
      </c>
      <c r="BD114" t="b">
        <f t="shared" si="60"/>
        <v>0</v>
      </c>
      <c r="BF114" t="str">
        <f t="shared" si="81"/>
        <v>G237</v>
      </c>
      <c r="BG114" t="str">
        <f t="shared" si="82"/>
        <v>G237</v>
      </c>
      <c r="BH114" t="str">
        <f t="shared" si="83"/>
        <v>G350</v>
      </c>
      <c r="BI114" t="str">
        <f t="shared" si="101"/>
        <v>G350</v>
      </c>
      <c r="BJ114" t="s">
        <v>1813</v>
      </c>
      <c r="BK114" t="s">
        <v>1813</v>
      </c>
      <c r="BL114" t="s">
        <v>1813</v>
      </c>
      <c r="BM114" t="b">
        <f t="shared" si="102"/>
        <v>1</v>
      </c>
      <c r="BN114" t="str">
        <f t="shared" si="84"/>
        <v>R394</v>
      </c>
      <c r="BO114" t="str">
        <f t="shared" si="85"/>
        <v>R394</v>
      </c>
      <c r="BP114" t="str">
        <f t="shared" si="86"/>
        <v>R786</v>
      </c>
      <c r="BQ114" t="str">
        <f t="shared" si="87"/>
        <v>R786</v>
      </c>
      <c r="BR114" t="s">
        <v>747</v>
      </c>
      <c r="BS114" t="s">
        <v>747</v>
      </c>
      <c r="BT114" t="s">
        <v>747</v>
      </c>
      <c r="BU114" t="b">
        <f t="shared" si="103"/>
        <v>1</v>
      </c>
      <c r="BZ114" t="str">
        <f t="shared" si="88"/>
        <v>G350</v>
      </c>
      <c r="CA114" t="b">
        <f t="shared" si="89"/>
        <v>0</v>
      </c>
      <c r="CB114" t="str">
        <f t="shared" si="104"/>
        <v>G350</v>
      </c>
      <c r="CC114" t="str">
        <f t="shared" si="90"/>
        <v>R786</v>
      </c>
      <c r="CD114" t="b">
        <f t="shared" si="105"/>
        <v>0</v>
      </c>
      <c r="CE114" t="str">
        <f t="shared" si="106"/>
        <v>R786</v>
      </c>
      <c r="CG114" t="str">
        <f t="shared" si="91"/>
        <v>G506</v>
      </c>
      <c r="CH114" t="str">
        <f t="shared" si="107"/>
        <v>G506</v>
      </c>
      <c r="CI114" t="str">
        <f t="shared" si="92"/>
        <v>G742</v>
      </c>
      <c r="CJ114" t="str">
        <f t="shared" si="93"/>
        <v>G742</v>
      </c>
      <c r="CK114" t="s">
        <v>1544</v>
      </c>
      <c r="CL114" t="s">
        <v>1544</v>
      </c>
      <c r="CM114" t="s">
        <v>1544</v>
      </c>
      <c r="CN114" t="b">
        <f t="shared" si="108"/>
        <v>1</v>
      </c>
      <c r="CO114" t="str">
        <f t="shared" si="94"/>
        <v>R268</v>
      </c>
      <c r="CP114" t="str">
        <f t="shared" si="109"/>
        <v>R268</v>
      </c>
      <c r="CQ114" t="str">
        <f t="shared" si="95"/>
        <v>R462</v>
      </c>
      <c r="CR114" t="str">
        <f t="shared" si="96"/>
        <v>R462</v>
      </c>
      <c r="CS114" t="s">
        <v>873</v>
      </c>
      <c r="CT114" t="s">
        <v>873</v>
      </c>
      <c r="CU114" t="s">
        <v>873</v>
      </c>
      <c r="CV114" t="b">
        <f t="shared" si="110"/>
        <v>1</v>
      </c>
      <c r="DC114" t="str">
        <f t="shared" si="97"/>
        <v>G742</v>
      </c>
      <c r="DD114" t="b">
        <f t="shared" si="111"/>
        <v>0</v>
      </c>
      <c r="DE114" t="str">
        <f t="shared" si="112"/>
        <v>G742</v>
      </c>
      <c r="DF114" t="str">
        <f t="shared" si="98"/>
        <v>R462</v>
      </c>
      <c r="DG114" t="b">
        <f t="shared" si="113"/>
        <v>0</v>
      </c>
      <c r="DH114" t="str">
        <f t="shared" si="114"/>
        <v>R462</v>
      </c>
    </row>
    <row r="115" spans="2:112" ht="12" customHeight="1">
      <c r="B115" t="str">
        <f>TBIDry!H187</f>
        <v/>
      </c>
      <c r="C115" t="str">
        <f>TBIDry!I187</f>
        <v/>
      </c>
      <c r="D115" t="b">
        <f t="shared" si="61"/>
        <v>1</v>
      </c>
      <c r="E115" t="b">
        <f t="shared" si="62"/>
        <v>1</v>
      </c>
      <c r="G115" t="str">
        <f>TBIWet!H187</f>
        <v>G899</v>
      </c>
      <c r="H115" t="str">
        <f>TBIWet!I187</f>
        <v>R41</v>
      </c>
      <c r="I115" t="b">
        <f t="shared" si="63"/>
        <v>0</v>
      </c>
      <c r="J115" t="b">
        <f t="shared" si="64"/>
        <v>0</v>
      </c>
      <c r="L115" t="str">
        <f>'Both teabags AfterWet'!A113</f>
        <v>G508</v>
      </c>
      <c r="M115" t="str">
        <f>'Both teabags AfterWet'!A533</f>
        <v>R271</v>
      </c>
      <c r="N115" t="b">
        <f t="shared" si="65"/>
        <v>0</v>
      </c>
      <c r="O115" t="b">
        <f t="shared" si="115"/>
        <v>0</v>
      </c>
      <c r="Q115" s="388" t="b">
        <f t="shared" si="66"/>
        <v>0</v>
      </c>
      <c r="R115" s="388" t="b">
        <f t="shared" si="67"/>
        <v>0</v>
      </c>
      <c r="T115" t="str">
        <f>'Both teabags AfterDry'!A113</f>
        <v>G239</v>
      </c>
      <c r="U115" t="str">
        <f>'Both teabags AfterDry'!A448</f>
        <v>R401</v>
      </c>
      <c r="V115" t="b">
        <f t="shared" si="68"/>
        <v>0</v>
      </c>
      <c r="W115" t="b">
        <f t="shared" si="99"/>
        <v>0</v>
      </c>
      <c r="Y115" t="str">
        <f>'Green_rooibos initial weight'!A116</f>
        <v>G112</v>
      </c>
      <c r="Z115" t="str">
        <f>'Green_rooibos initial weight'!A1020</f>
        <v>R112</v>
      </c>
      <c r="AA115" t="b">
        <f t="shared" si="69"/>
        <v>0</v>
      </c>
      <c r="AB115" t="b">
        <f t="shared" si="70"/>
        <v>0</v>
      </c>
      <c r="AE115" t="str">
        <f>'WetLitterbags placem_collection'!K114</f>
        <v>G899</v>
      </c>
      <c r="AF115" t="str">
        <f>'WetLitterbags placem_collection'!M114</f>
        <v>R41</v>
      </c>
      <c r="AG115" t="b">
        <f t="shared" si="71"/>
        <v>0</v>
      </c>
      <c r="AH115" t="b">
        <f t="shared" si="72"/>
        <v>0</v>
      </c>
      <c r="AJ115" t="b">
        <f t="shared" si="73"/>
        <v>0</v>
      </c>
      <c r="AK115" t="b">
        <f t="shared" si="74"/>
        <v>0</v>
      </c>
      <c r="AM115" t="str">
        <f>IF(ISBLANK('Dry_Litterbag Placem_Collection'!J114),"","G"&amp;""&amp;'Dry_Litterbag Placem_Collection'!J114)</f>
        <v/>
      </c>
      <c r="AN115" t="str">
        <f>IF(ISBLANK('Dry_Litterbag Placem_Collection'!K114),"","R"&amp;""&amp;'Dry_Litterbag Placem_Collection'!K114)</f>
        <v/>
      </c>
      <c r="AO115" t="b">
        <f t="shared" si="75"/>
        <v>1</v>
      </c>
      <c r="AP115" t="b">
        <f t="shared" si="76"/>
        <v>1</v>
      </c>
      <c r="AS115" t="str">
        <f>'Ashed teabags dry'!A113</f>
        <v>G239</v>
      </c>
      <c r="AT115" t="str">
        <f>'Ashed teabags dry'!A448</f>
        <v>R401</v>
      </c>
      <c r="AU115" t="b">
        <f t="shared" si="77"/>
        <v>0</v>
      </c>
      <c r="AV115" t="b">
        <f t="shared" si="100"/>
        <v>0</v>
      </c>
      <c r="AX115" s="388" t="b">
        <f t="shared" si="78"/>
        <v>0</v>
      </c>
      <c r="AY115" s="388" t="b">
        <f t="shared" si="79"/>
        <v>0</v>
      </c>
      <c r="BA115" t="str">
        <f>'Ashed teabags wet'!A113</f>
        <v>G508</v>
      </c>
      <c r="BB115" t="str">
        <f>'Ashed teabags wet'!A533</f>
        <v>R271</v>
      </c>
      <c r="BC115" t="b">
        <f t="shared" si="80"/>
        <v>0</v>
      </c>
      <c r="BD115" t="b">
        <f t="shared" si="60"/>
        <v>0</v>
      </c>
      <c r="BF115" t="str">
        <f t="shared" si="81"/>
        <v>G238</v>
      </c>
      <c r="BG115" t="str">
        <f t="shared" si="82"/>
        <v>G238</v>
      </c>
      <c r="BH115" t="str">
        <f t="shared" si="83"/>
        <v>G274</v>
      </c>
      <c r="BI115" t="str">
        <f t="shared" si="101"/>
        <v>G274</v>
      </c>
      <c r="BJ115" t="s">
        <v>1812</v>
      </c>
      <c r="BK115" t="s">
        <v>1812</v>
      </c>
      <c r="BL115" t="s">
        <v>1812</v>
      </c>
      <c r="BM115" t="b">
        <f t="shared" si="102"/>
        <v>1</v>
      </c>
      <c r="BN115" t="str">
        <f t="shared" si="84"/>
        <v>R397</v>
      </c>
      <c r="BO115" t="str">
        <f t="shared" si="85"/>
        <v>R397</v>
      </c>
      <c r="BP115" t="str">
        <f t="shared" si="86"/>
        <v>R835</v>
      </c>
      <c r="BQ115" t="str">
        <f t="shared" si="87"/>
        <v>R835</v>
      </c>
      <c r="BR115" t="s">
        <v>744</v>
      </c>
      <c r="BS115" t="s">
        <v>744</v>
      </c>
      <c r="BT115" t="s">
        <v>744</v>
      </c>
      <c r="BU115" t="b">
        <f t="shared" si="103"/>
        <v>1</v>
      </c>
      <c r="BZ115" t="str">
        <f t="shared" si="88"/>
        <v>G274</v>
      </c>
      <c r="CA115" t="b">
        <f t="shared" si="89"/>
        <v>0</v>
      </c>
      <c r="CB115" t="str">
        <f t="shared" si="104"/>
        <v>G274</v>
      </c>
      <c r="CC115" t="str">
        <f t="shared" si="90"/>
        <v>R835</v>
      </c>
      <c r="CD115" t="b">
        <f t="shared" si="105"/>
        <v>0</v>
      </c>
      <c r="CE115" t="str">
        <f t="shared" si="106"/>
        <v>R835</v>
      </c>
      <c r="CG115" t="str">
        <f t="shared" si="91"/>
        <v>G507</v>
      </c>
      <c r="CH115" t="str">
        <f t="shared" si="107"/>
        <v>G507</v>
      </c>
      <c r="CI115" t="str">
        <f t="shared" si="92"/>
        <v>G831</v>
      </c>
      <c r="CJ115" t="str">
        <f t="shared" si="93"/>
        <v>G831</v>
      </c>
      <c r="CK115" t="s">
        <v>1543</v>
      </c>
      <c r="CL115" t="s">
        <v>1543</v>
      </c>
      <c r="CM115" t="s">
        <v>1543</v>
      </c>
      <c r="CN115" t="b">
        <f t="shared" si="108"/>
        <v>1</v>
      </c>
      <c r="CO115" t="str">
        <f t="shared" si="94"/>
        <v>R27</v>
      </c>
      <c r="CP115" t="str">
        <f t="shared" si="109"/>
        <v>R27</v>
      </c>
      <c r="CQ115" t="str">
        <f t="shared" si="95"/>
        <v>R505</v>
      </c>
      <c r="CR115" t="str">
        <f t="shared" si="96"/>
        <v>R505</v>
      </c>
      <c r="CS115" t="s">
        <v>1114</v>
      </c>
      <c r="CT115" t="s">
        <v>1114</v>
      </c>
      <c r="CU115" t="s">
        <v>1114</v>
      </c>
      <c r="CV115" t="b">
        <f t="shared" si="110"/>
        <v>1</v>
      </c>
      <c r="DC115" t="str">
        <f t="shared" si="97"/>
        <v>G831</v>
      </c>
      <c r="DD115" t="b">
        <f t="shared" si="111"/>
        <v>0</v>
      </c>
      <c r="DE115" t="str">
        <f t="shared" si="112"/>
        <v>G831</v>
      </c>
      <c r="DF115" t="str">
        <f t="shared" si="98"/>
        <v>R505</v>
      </c>
      <c r="DG115" t="b">
        <f t="shared" si="113"/>
        <v>0</v>
      </c>
      <c r="DH115" t="str">
        <f t="shared" si="114"/>
        <v>R505</v>
      </c>
    </row>
    <row r="116" spans="2:112" ht="12" customHeight="1">
      <c r="B116" t="str">
        <f>TBIDry!H188</f>
        <v>G314</v>
      </c>
      <c r="C116" t="str">
        <f>TBIDry!I188</f>
        <v>R807</v>
      </c>
      <c r="D116" t="b">
        <f t="shared" si="61"/>
        <v>0</v>
      </c>
      <c r="E116" t="b">
        <f t="shared" si="62"/>
        <v>0</v>
      </c>
      <c r="G116" t="str">
        <f>TBIWet!H188</f>
        <v>G724</v>
      </c>
      <c r="H116" t="str">
        <f>TBIWet!I188</f>
        <v>R428</v>
      </c>
      <c r="I116" t="b">
        <f t="shared" si="63"/>
        <v>0</v>
      </c>
      <c r="J116" t="b">
        <f t="shared" si="64"/>
        <v>0</v>
      </c>
      <c r="L116" t="str">
        <f>'Both teabags AfterWet'!A114</f>
        <v>G509</v>
      </c>
      <c r="M116" t="str">
        <f>'Both teabags AfterWet'!A534</f>
        <v>R273</v>
      </c>
      <c r="N116" t="b">
        <f t="shared" si="65"/>
        <v>0</v>
      </c>
      <c r="O116" t="b">
        <f t="shared" si="115"/>
        <v>0</v>
      </c>
      <c r="Q116" s="388" t="b">
        <f t="shared" si="66"/>
        <v>0</v>
      </c>
      <c r="R116" s="388" t="b">
        <f t="shared" si="67"/>
        <v>0</v>
      </c>
      <c r="T116" t="str">
        <f>'Both teabags AfterDry'!A114</f>
        <v>G24</v>
      </c>
      <c r="U116" t="str">
        <f>'Both teabags AfterDry'!A449</f>
        <v>R402</v>
      </c>
      <c r="V116" t="b">
        <f t="shared" si="68"/>
        <v>0</v>
      </c>
      <c r="W116" t="b">
        <f t="shared" si="99"/>
        <v>0</v>
      </c>
      <c r="Y116" t="str">
        <f>'Green_rooibos initial weight'!A117</f>
        <v>G113</v>
      </c>
      <c r="Z116" t="str">
        <f>'Green_rooibos initial weight'!A1021</f>
        <v>R113</v>
      </c>
      <c r="AA116" t="b">
        <f t="shared" si="69"/>
        <v>0</v>
      </c>
      <c r="AB116" t="b">
        <f t="shared" si="70"/>
        <v>0</v>
      </c>
      <c r="AE116" t="str">
        <f>'WetLitterbags placem_collection'!K115</f>
        <v>G724</v>
      </c>
      <c r="AF116" t="str">
        <f>'WetLitterbags placem_collection'!M115</f>
        <v>R428</v>
      </c>
      <c r="AG116" t="b">
        <f t="shared" si="71"/>
        <v>0</v>
      </c>
      <c r="AH116" t="b">
        <f t="shared" si="72"/>
        <v>0</v>
      </c>
      <c r="AJ116" t="b">
        <f t="shared" si="73"/>
        <v>0</v>
      </c>
      <c r="AK116" t="b">
        <f t="shared" si="74"/>
        <v>0</v>
      </c>
      <c r="AM116" t="str">
        <f>IF(ISBLANK('Dry_Litterbag Placem_Collection'!J115),"","G"&amp;""&amp;'Dry_Litterbag Placem_Collection'!J115)</f>
        <v>G314</v>
      </c>
      <c r="AN116" t="str">
        <f>IF(ISBLANK('Dry_Litterbag Placem_Collection'!K115),"","R"&amp;""&amp;'Dry_Litterbag Placem_Collection'!K115)</f>
        <v>R807</v>
      </c>
      <c r="AO116" t="b">
        <f t="shared" si="75"/>
        <v>0</v>
      </c>
      <c r="AP116" t="b">
        <f t="shared" si="76"/>
        <v>0</v>
      </c>
      <c r="AS116" t="str">
        <f>'Ashed teabags dry'!A114</f>
        <v>G24</v>
      </c>
      <c r="AT116" t="str">
        <f>'Ashed teabags dry'!A449</f>
        <v>R402</v>
      </c>
      <c r="AU116" t="b">
        <f t="shared" si="77"/>
        <v>0</v>
      </c>
      <c r="AV116" t="b">
        <f t="shared" si="100"/>
        <v>0</v>
      </c>
      <c r="AX116" s="388" t="b">
        <f t="shared" si="78"/>
        <v>0</v>
      </c>
      <c r="AY116" s="388" t="b">
        <f t="shared" si="79"/>
        <v>0</v>
      </c>
      <c r="BA116" t="str">
        <f>'Ashed teabags wet'!A114</f>
        <v>G509</v>
      </c>
      <c r="BB116" t="str">
        <f>'Ashed teabags wet'!A534</f>
        <v>R273</v>
      </c>
      <c r="BC116" t="b">
        <f t="shared" si="80"/>
        <v>0</v>
      </c>
      <c r="BD116" t="b">
        <f t="shared" si="60"/>
        <v>0</v>
      </c>
      <c r="BF116" t="str">
        <f t="shared" si="81"/>
        <v>G239</v>
      </c>
      <c r="BG116" t="str">
        <f t="shared" si="82"/>
        <v>G239</v>
      </c>
      <c r="BH116" t="str">
        <f t="shared" si="83"/>
        <v/>
      </c>
      <c r="BI116" t="str">
        <f t="shared" si="101"/>
        <v/>
      </c>
      <c r="BJ116" t="s">
        <v>1811</v>
      </c>
      <c r="BK116" t="s">
        <v>1811</v>
      </c>
      <c r="BL116" t="s">
        <v>1811</v>
      </c>
      <c r="BM116" t="b">
        <f t="shared" si="102"/>
        <v>1</v>
      </c>
      <c r="BN116" t="str">
        <f t="shared" si="84"/>
        <v>R401</v>
      </c>
      <c r="BO116" t="str">
        <f t="shared" si="85"/>
        <v>R401</v>
      </c>
      <c r="BP116" t="str">
        <f t="shared" si="86"/>
        <v/>
      </c>
      <c r="BQ116" t="str">
        <f t="shared" si="87"/>
        <v/>
      </c>
      <c r="BR116" t="s">
        <v>740</v>
      </c>
      <c r="BS116" t="s">
        <v>740</v>
      </c>
      <c r="BT116" t="s">
        <v>740</v>
      </c>
      <c r="BU116" t="b">
        <f t="shared" si="103"/>
        <v>1</v>
      </c>
      <c r="BZ116" t="str">
        <f t="shared" si="88"/>
        <v/>
      </c>
      <c r="CA116" t="b">
        <f t="shared" si="89"/>
        <v>0</v>
      </c>
      <c r="CB116" t="str">
        <f t="shared" si="104"/>
        <v/>
      </c>
      <c r="CC116" t="str">
        <f t="shared" si="90"/>
        <v/>
      </c>
      <c r="CD116" t="b">
        <f t="shared" si="105"/>
        <v>0</v>
      </c>
      <c r="CE116" t="str">
        <f t="shared" si="106"/>
        <v/>
      </c>
      <c r="CG116" t="str">
        <f t="shared" si="91"/>
        <v>G508</v>
      </c>
      <c r="CH116" t="str">
        <f t="shared" si="107"/>
        <v>G508</v>
      </c>
      <c r="CI116" t="str">
        <f t="shared" si="92"/>
        <v>G899</v>
      </c>
      <c r="CJ116" t="str">
        <f t="shared" si="93"/>
        <v>G899</v>
      </c>
      <c r="CK116" t="s">
        <v>1542</v>
      </c>
      <c r="CL116" t="s">
        <v>1542</v>
      </c>
      <c r="CM116" t="s">
        <v>1542</v>
      </c>
      <c r="CN116" t="b">
        <f t="shared" si="108"/>
        <v>1</v>
      </c>
      <c r="CO116" t="str">
        <f t="shared" si="94"/>
        <v>R271</v>
      </c>
      <c r="CP116" t="str">
        <f t="shared" si="109"/>
        <v>R271</v>
      </c>
      <c r="CQ116" t="str">
        <f t="shared" si="95"/>
        <v>R41</v>
      </c>
      <c r="CR116" t="str">
        <f t="shared" si="96"/>
        <v>R41</v>
      </c>
      <c r="CS116" t="s">
        <v>870</v>
      </c>
      <c r="CT116" t="s">
        <v>870</v>
      </c>
      <c r="CU116" t="s">
        <v>870</v>
      </c>
      <c r="CV116" t="b">
        <f t="shared" si="110"/>
        <v>1</v>
      </c>
      <c r="DC116" t="str">
        <f t="shared" si="97"/>
        <v>G899</v>
      </c>
      <c r="DD116" t="b">
        <f t="shared" si="111"/>
        <v>0</v>
      </c>
      <c r="DE116" t="str">
        <f t="shared" si="112"/>
        <v>G899</v>
      </c>
      <c r="DF116" t="str">
        <f t="shared" si="98"/>
        <v>R41</v>
      </c>
      <c r="DG116" t="b">
        <f t="shared" si="113"/>
        <v>0</v>
      </c>
      <c r="DH116" t="str">
        <f t="shared" si="114"/>
        <v>R41</v>
      </c>
    </row>
    <row r="117" spans="2:112" ht="12" customHeight="1">
      <c r="B117" t="str">
        <f>TBIDry!H189</f>
        <v>G263</v>
      </c>
      <c r="C117" t="str">
        <f>TBIDry!I189</f>
        <v>R829</v>
      </c>
      <c r="D117" t="b">
        <f t="shared" si="61"/>
        <v>0</v>
      </c>
      <c r="E117" t="b">
        <f t="shared" si="62"/>
        <v>0</v>
      </c>
      <c r="G117" t="str">
        <f>TBIWet!H189</f>
        <v>G803</v>
      </c>
      <c r="H117" t="str">
        <f>TBIWet!I189</f>
        <v>R601</v>
      </c>
      <c r="I117" t="b">
        <f t="shared" si="63"/>
        <v>0</v>
      </c>
      <c r="J117" t="b">
        <f t="shared" si="64"/>
        <v>0</v>
      </c>
      <c r="L117" t="str">
        <f>'Both teabags AfterWet'!A115</f>
        <v>G511</v>
      </c>
      <c r="M117" t="str">
        <f>'Both teabags AfterWet'!A535</f>
        <v>R274</v>
      </c>
      <c r="N117" t="b">
        <f t="shared" si="65"/>
        <v>0</v>
      </c>
      <c r="O117" t="b">
        <f t="shared" si="115"/>
        <v>0</v>
      </c>
      <c r="Q117" s="388" t="b">
        <f t="shared" si="66"/>
        <v>0</v>
      </c>
      <c r="R117" s="388" t="b">
        <f t="shared" si="67"/>
        <v>0</v>
      </c>
      <c r="T117" t="str">
        <f>'Both teabags AfterDry'!A115</f>
        <v>G242</v>
      </c>
      <c r="U117" t="str">
        <f>'Both teabags AfterDry'!A450</f>
        <v>R407</v>
      </c>
      <c r="V117" t="b">
        <f t="shared" si="68"/>
        <v>0</v>
      </c>
      <c r="W117" t="b">
        <f t="shared" si="99"/>
        <v>0</v>
      </c>
      <c r="Y117" t="str">
        <f>'Green_rooibos initial weight'!A118</f>
        <v>G114</v>
      </c>
      <c r="Z117" t="str">
        <f>'Green_rooibos initial weight'!A1022</f>
        <v>R114</v>
      </c>
      <c r="AA117" t="b">
        <f t="shared" si="69"/>
        <v>0</v>
      </c>
      <c r="AB117" t="b">
        <f t="shared" si="70"/>
        <v>0</v>
      </c>
      <c r="AE117" t="str">
        <f>'WetLitterbags placem_collection'!K116</f>
        <v>G803</v>
      </c>
      <c r="AF117" t="str">
        <f>'WetLitterbags placem_collection'!M116</f>
        <v>R601</v>
      </c>
      <c r="AG117" t="b">
        <f t="shared" si="71"/>
        <v>0</v>
      </c>
      <c r="AH117" t="b">
        <f t="shared" si="72"/>
        <v>0</v>
      </c>
      <c r="AJ117" t="b">
        <f t="shared" si="73"/>
        <v>0</v>
      </c>
      <c r="AK117" t="b">
        <f t="shared" si="74"/>
        <v>0</v>
      </c>
      <c r="AM117" t="str">
        <f>IF(ISBLANK('Dry_Litterbag Placem_Collection'!J116),"","G"&amp;""&amp;'Dry_Litterbag Placem_Collection'!J116)</f>
        <v>G263</v>
      </c>
      <c r="AN117" t="str">
        <f>IF(ISBLANK('Dry_Litterbag Placem_Collection'!K116),"","R"&amp;""&amp;'Dry_Litterbag Placem_Collection'!K116)</f>
        <v>R829</v>
      </c>
      <c r="AO117" t="b">
        <f t="shared" si="75"/>
        <v>0</v>
      </c>
      <c r="AP117" t="b">
        <f t="shared" si="76"/>
        <v>0</v>
      </c>
      <c r="AS117" t="str">
        <f>'Ashed teabags dry'!A115</f>
        <v>G242</v>
      </c>
      <c r="AT117" t="str">
        <f>'Ashed teabags dry'!A450</f>
        <v>R407</v>
      </c>
      <c r="AU117" t="b">
        <f t="shared" si="77"/>
        <v>0</v>
      </c>
      <c r="AV117" t="b">
        <f t="shared" si="100"/>
        <v>0</v>
      </c>
      <c r="AX117" s="388" t="b">
        <f t="shared" si="78"/>
        <v>0</v>
      </c>
      <c r="AY117" s="388" t="b">
        <f t="shared" si="79"/>
        <v>0</v>
      </c>
      <c r="BA117" t="str">
        <f>'Ashed teabags wet'!A115</f>
        <v>G511</v>
      </c>
      <c r="BB117" t="str">
        <f>'Ashed teabags wet'!A535</f>
        <v>R274</v>
      </c>
      <c r="BC117" t="b">
        <f t="shared" si="80"/>
        <v>0</v>
      </c>
      <c r="BD117" t="b">
        <f t="shared" si="60"/>
        <v>0</v>
      </c>
      <c r="BF117" t="str">
        <f t="shared" si="81"/>
        <v>G24</v>
      </c>
      <c r="BG117" t="str">
        <f t="shared" si="82"/>
        <v>G24</v>
      </c>
      <c r="BH117" t="str">
        <f t="shared" si="83"/>
        <v>G314</v>
      </c>
      <c r="BI117" t="str">
        <f t="shared" si="101"/>
        <v>G314</v>
      </c>
      <c r="BJ117" t="s">
        <v>2026</v>
      </c>
      <c r="BK117" t="s">
        <v>2026</v>
      </c>
      <c r="BL117" t="s">
        <v>2026</v>
      </c>
      <c r="BM117" t="b">
        <f t="shared" si="102"/>
        <v>1</v>
      </c>
      <c r="BN117" t="str">
        <f t="shared" si="84"/>
        <v>R402</v>
      </c>
      <c r="BO117" t="str">
        <f t="shared" si="85"/>
        <v>R402</v>
      </c>
      <c r="BP117" t="str">
        <f t="shared" si="86"/>
        <v>R807</v>
      </c>
      <c r="BQ117" t="str">
        <f t="shared" si="87"/>
        <v>R807</v>
      </c>
      <c r="BR117" t="s">
        <v>739</v>
      </c>
      <c r="BS117" t="s">
        <v>739</v>
      </c>
      <c r="BT117" t="s">
        <v>739</v>
      </c>
      <c r="BU117" t="b">
        <f t="shared" si="103"/>
        <v>1</v>
      </c>
      <c r="BZ117" t="str">
        <f t="shared" si="88"/>
        <v>G314</v>
      </c>
      <c r="CA117" t="b">
        <f t="shared" si="89"/>
        <v>0</v>
      </c>
      <c r="CB117" t="str">
        <f t="shared" si="104"/>
        <v>G314</v>
      </c>
      <c r="CC117" t="str">
        <f t="shared" si="90"/>
        <v>R807</v>
      </c>
      <c r="CD117" t="b">
        <f t="shared" si="105"/>
        <v>0</v>
      </c>
      <c r="CE117" t="str">
        <f t="shared" si="106"/>
        <v>R807</v>
      </c>
      <c r="CG117" t="str">
        <f t="shared" si="91"/>
        <v>G509</v>
      </c>
      <c r="CH117" t="str">
        <f t="shared" si="107"/>
        <v>G509</v>
      </c>
      <c r="CI117" t="str">
        <f t="shared" si="92"/>
        <v>G724</v>
      </c>
      <c r="CJ117" t="str">
        <f t="shared" si="93"/>
        <v>G724</v>
      </c>
      <c r="CK117" t="s">
        <v>1541</v>
      </c>
      <c r="CL117" t="s">
        <v>1541</v>
      </c>
      <c r="CM117" t="s">
        <v>1541</v>
      </c>
      <c r="CN117" t="b">
        <f t="shared" si="108"/>
        <v>1</v>
      </c>
      <c r="CO117" t="str">
        <f t="shared" si="94"/>
        <v>R273</v>
      </c>
      <c r="CP117" t="str">
        <f t="shared" si="109"/>
        <v>R273</v>
      </c>
      <c r="CQ117" t="str">
        <f t="shared" si="95"/>
        <v>R428</v>
      </c>
      <c r="CR117" t="str">
        <f t="shared" si="96"/>
        <v>R428</v>
      </c>
      <c r="CS117" t="s">
        <v>868</v>
      </c>
      <c r="CT117" t="s">
        <v>868</v>
      </c>
      <c r="CU117" t="s">
        <v>868</v>
      </c>
      <c r="CV117" t="b">
        <f t="shared" si="110"/>
        <v>1</v>
      </c>
      <c r="DC117" t="str">
        <f t="shared" si="97"/>
        <v>G724</v>
      </c>
      <c r="DD117" t="b">
        <f t="shared" si="111"/>
        <v>0</v>
      </c>
      <c r="DE117" t="str">
        <f t="shared" si="112"/>
        <v>G724</v>
      </c>
      <c r="DF117" t="str">
        <f t="shared" si="98"/>
        <v>R428</v>
      </c>
      <c r="DG117" t="b">
        <f t="shared" si="113"/>
        <v>0</v>
      </c>
      <c r="DH117" t="str">
        <f t="shared" si="114"/>
        <v>R428</v>
      </c>
    </row>
    <row r="118" spans="2:112" ht="12" customHeight="1">
      <c r="B118" t="str">
        <f>TBIDry!H190</f>
        <v>G125</v>
      </c>
      <c r="C118" t="str">
        <f>TBIDry!I190</f>
        <v>R766</v>
      </c>
      <c r="D118" t="b">
        <f t="shared" si="61"/>
        <v>0</v>
      </c>
      <c r="E118" t="b">
        <f t="shared" si="62"/>
        <v>0</v>
      </c>
      <c r="G118" t="str">
        <f>TBIWet!H190</f>
        <v>G693</v>
      </c>
      <c r="H118" t="str">
        <f>TBIWet!I190</f>
        <v>R553</v>
      </c>
      <c r="I118" t="b">
        <f t="shared" si="63"/>
        <v>0</v>
      </c>
      <c r="J118" t="b">
        <f t="shared" si="64"/>
        <v>0</v>
      </c>
      <c r="L118" t="str">
        <f>'Both teabags AfterWet'!A116</f>
        <v>G512</v>
      </c>
      <c r="M118" t="str">
        <f>'Both teabags AfterWet'!A536</f>
        <v>R278</v>
      </c>
      <c r="N118" t="b">
        <f t="shared" si="65"/>
        <v>0</v>
      </c>
      <c r="O118" t="b">
        <f t="shared" si="115"/>
        <v>0</v>
      </c>
      <c r="Q118" s="388" t="b">
        <f t="shared" si="66"/>
        <v>0</v>
      </c>
      <c r="R118" s="388" t="b">
        <f t="shared" si="67"/>
        <v>0</v>
      </c>
      <c r="T118" t="str">
        <f>'Both teabags AfterDry'!A116</f>
        <v>G243</v>
      </c>
      <c r="U118" t="str">
        <f>'Both teabags AfterDry'!A451</f>
        <v>R416</v>
      </c>
      <c r="V118" t="b">
        <f t="shared" si="68"/>
        <v>0</v>
      </c>
      <c r="W118" t="b">
        <f t="shared" si="99"/>
        <v>0</v>
      </c>
      <c r="Y118" t="str">
        <f>'Green_rooibos initial weight'!A119</f>
        <v>G115</v>
      </c>
      <c r="Z118" t="str">
        <f>'Green_rooibos initial weight'!A1023</f>
        <v>R115</v>
      </c>
      <c r="AA118" t="b">
        <f t="shared" si="69"/>
        <v>0</v>
      </c>
      <c r="AB118" t="b">
        <f t="shared" si="70"/>
        <v>0</v>
      </c>
      <c r="AE118" t="str">
        <f>'WetLitterbags placem_collection'!K117</f>
        <v>G693</v>
      </c>
      <c r="AF118" t="str">
        <f>'WetLitterbags placem_collection'!M117</f>
        <v>R553</v>
      </c>
      <c r="AG118" t="b">
        <f t="shared" si="71"/>
        <v>0</v>
      </c>
      <c r="AH118" t="b">
        <f t="shared" si="72"/>
        <v>0</v>
      </c>
      <c r="AJ118" t="b">
        <f t="shared" si="73"/>
        <v>0</v>
      </c>
      <c r="AK118" t="b">
        <f t="shared" si="74"/>
        <v>0</v>
      </c>
      <c r="AM118" t="str">
        <f>IF(ISBLANK('Dry_Litterbag Placem_Collection'!J117),"","G"&amp;""&amp;'Dry_Litterbag Placem_Collection'!J117)</f>
        <v>G125</v>
      </c>
      <c r="AN118" t="str">
        <f>IF(ISBLANK('Dry_Litterbag Placem_Collection'!K117),"","R"&amp;""&amp;'Dry_Litterbag Placem_Collection'!K117)</f>
        <v>R766</v>
      </c>
      <c r="AO118" t="b">
        <f t="shared" si="75"/>
        <v>0</v>
      </c>
      <c r="AP118" t="b">
        <f t="shared" si="76"/>
        <v>0</v>
      </c>
      <c r="AS118" t="str">
        <f>'Ashed teabags dry'!A116</f>
        <v>G243</v>
      </c>
      <c r="AT118" t="str">
        <f>'Ashed teabags dry'!A451</f>
        <v>R416</v>
      </c>
      <c r="AU118" t="b">
        <f t="shared" si="77"/>
        <v>0</v>
      </c>
      <c r="AV118" t="b">
        <f t="shared" si="100"/>
        <v>0</v>
      </c>
      <c r="AX118" s="388" t="b">
        <f t="shared" si="78"/>
        <v>0</v>
      </c>
      <c r="AY118" s="388" t="b">
        <f t="shared" si="79"/>
        <v>0</v>
      </c>
      <c r="BA118" t="str">
        <f>'Ashed teabags wet'!A116</f>
        <v>G512</v>
      </c>
      <c r="BB118" t="str">
        <f>'Ashed teabags wet'!A536</f>
        <v>R278</v>
      </c>
      <c r="BC118" t="b">
        <f t="shared" si="80"/>
        <v>0</v>
      </c>
      <c r="BD118" t="b">
        <f t="shared" si="60"/>
        <v>0</v>
      </c>
      <c r="BF118" t="str">
        <f t="shared" si="81"/>
        <v>G242</v>
      </c>
      <c r="BG118" t="str">
        <f t="shared" si="82"/>
        <v>G242</v>
      </c>
      <c r="BH118" t="str">
        <f t="shared" si="83"/>
        <v>G263</v>
      </c>
      <c r="BI118" t="str">
        <f t="shared" si="101"/>
        <v>G263</v>
      </c>
      <c r="BJ118" t="s">
        <v>1808</v>
      </c>
      <c r="BK118" t="s">
        <v>1808</v>
      </c>
      <c r="BL118" t="s">
        <v>1808</v>
      </c>
      <c r="BM118" t="b">
        <f t="shared" si="102"/>
        <v>1</v>
      </c>
      <c r="BN118" t="str">
        <f t="shared" si="84"/>
        <v>R407</v>
      </c>
      <c r="BO118" t="str">
        <f t="shared" si="85"/>
        <v>R407</v>
      </c>
      <c r="BP118" t="str">
        <f t="shared" si="86"/>
        <v>R829</v>
      </c>
      <c r="BQ118" t="str">
        <f t="shared" si="87"/>
        <v>R829</v>
      </c>
      <c r="BR118" t="s">
        <v>734</v>
      </c>
      <c r="BS118" t="s">
        <v>734</v>
      </c>
      <c r="BT118" t="s">
        <v>734</v>
      </c>
      <c r="BU118" t="b">
        <f t="shared" si="103"/>
        <v>1</v>
      </c>
      <c r="BZ118" t="str">
        <f t="shared" si="88"/>
        <v>G263</v>
      </c>
      <c r="CA118" t="b">
        <f t="shared" si="89"/>
        <v>0</v>
      </c>
      <c r="CB118" t="str">
        <f t="shared" si="104"/>
        <v>G263</v>
      </c>
      <c r="CC118" t="str">
        <f t="shared" si="90"/>
        <v>R829</v>
      </c>
      <c r="CD118" t="b">
        <f t="shared" si="105"/>
        <v>0</v>
      </c>
      <c r="CE118" t="str">
        <f t="shared" si="106"/>
        <v>R829</v>
      </c>
      <c r="CG118" t="str">
        <f t="shared" si="91"/>
        <v>G511</v>
      </c>
      <c r="CH118" t="str">
        <f t="shared" si="107"/>
        <v>G511</v>
      </c>
      <c r="CI118" t="str">
        <f t="shared" si="92"/>
        <v>G803</v>
      </c>
      <c r="CJ118" t="str">
        <f t="shared" si="93"/>
        <v>G803</v>
      </c>
      <c r="CK118" t="s">
        <v>1539</v>
      </c>
      <c r="CL118" t="s">
        <v>1539</v>
      </c>
      <c r="CM118" t="s">
        <v>1539</v>
      </c>
      <c r="CN118" t="b">
        <f t="shared" si="108"/>
        <v>1</v>
      </c>
      <c r="CO118" t="str">
        <f t="shared" si="94"/>
        <v>R274</v>
      </c>
      <c r="CP118" t="str">
        <f t="shared" si="109"/>
        <v>R274</v>
      </c>
      <c r="CQ118" t="str">
        <f t="shared" si="95"/>
        <v>R601</v>
      </c>
      <c r="CR118" t="str">
        <f t="shared" si="96"/>
        <v>R601</v>
      </c>
      <c r="CS118" t="s">
        <v>867</v>
      </c>
      <c r="CT118" t="s">
        <v>867</v>
      </c>
      <c r="CU118" t="s">
        <v>867</v>
      </c>
      <c r="CV118" t="b">
        <f t="shared" si="110"/>
        <v>1</v>
      </c>
      <c r="DC118" t="str">
        <f t="shared" si="97"/>
        <v>G803</v>
      </c>
      <c r="DD118" t="b">
        <f t="shared" si="111"/>
        <v>0</v>
      </c>
      <c r="DE118" t="str">
        <f t="shared" si="112"/>
        <v>G803</v>
      </c>
      <c r="DF118" t="str">
        <f t="shared" si="98"/>
        <v>R601</v>
      </c>
      <c r="DG118" t="b">
        <f t="shared" si="113"/>
        <v>0</v>
      </c>
      <c r="DH118" t="str">
        <f t="shared" si="114"/>
        <v>R601</v>
      </c>
    </row>
    <row r="119" spans="2:112" ht="12" customHeight="1">
      <c r="B119" t="str">
        <f>TBIDry!H191</f>
        <v>G189</v>
      </c>
      <c r="C119" t="str">
        <f>TBIDry!I191</f>
        <v>R757</v>
      </c>
      <c r="D119" t="b">
        <f t="shared" si="61"/>
        <v>0</v>
      </c>
      <c r="E119" t="b">
        <f t="shared" si="62"/>
        <v>0</v>
      </c>
      <c r="G119" t="str">
        <f>TBIWet!H191</f>
        <v>G897</v>
      </c>
      <c r="H119" t="str">
        <f>TBIWet!I191</f>
        <v>R459</v>
      </c>
      <c r="I119" t="b">
        <f t="shared" si="63"/>
        <v>0</v>
      </c>
      <c r="J119" t="b">
        <f t="shared" si="64"/>
        <v>0</v>
      </c>
      <c r="L119" t="str">
        <f>'Both teabags AfterWet'!A117</f>
        <v>G513</v>
      </c>
      <c r="M119" t="str">
        <f>'Both teabags AfterWet'!A537</f>
        <v>R279</v>
      </c>
      <c r="N119" t="b">
        <f t="shared" si="65"/>
        <v>0</v>
      </c>
      <c r="O119" t="b">
        <f t="shared" si="115"/>
        <v>0</v>
      </c>
      <c r="Q119" s="388" t="b">
        <f t="shared" si="66"/>
        <v>0</v>
      </c>
      <c r="R119" s="388" t="b">
        <f t="shared" si="67"/>
        <v>0</v>
      </c>
      <c r="T119" t="str">
        <f>'Both teabags AfterDry'!A117</f>
        <v>G244</v>
      </c>
      <c r="U119" t="str">
        <f>'Both teabags AfterDry'!A452</f>
        <v>R422</v>
      </c>
      <c r="V119" t="b">
        <f t="shared" si="68"/>
        <v>0</v>
      </c>
      <c r="W119" t="b">
        <f t="shared" si="99"/>
        <v>0</v>
      </c>
      <c r="Y119" t="str">
        <f>'Green_rooibos initial weight'!A120</f>
        <v>G116</v>
      </c>
      <c r="Z119" t="str">
        <f>'Green_rooibos initial weight'!A1024</f>
        <v>R116</v>
      </c>
      <c r="AA119" t="b">
        <f t="shared" si="69"/>
        <v>0</v>
      </c>
      <c r="AB119" t="b">
        <f t="shared" si="70"/>
        <v>0</v>
      </c>
      <c r="AE119" t="str">
        <f>'WetLitterbags placem_collection'!K118</f>
        <v>G897</v>
      </c>
      <c r="AF119" t="str">
        <f>'WetLitterbags placem_collection'!M118</f>
        <v>R459</v>
      </c>
      <c r="AG119" t="b">
        <f t="shared" si="71"/>
        <v>0</v>
      </c>
      <c r="AH119" t="b">
        <f t="shared" si="72"/>
        <v>0</v>
      </c>
      <c r="AJ119" t="b">
        <f t="shared" si="73"/>
        <v>0</v>
      </c>
      <c r="AK119" t="b">
        <f t="shared" si="74"/>
        <v>0</v>
      </c>
      <c r="AM119" t="str">
        <f>IF(ISBLANK('Dry_Litterbag Placem_Collection'!J118),"","G"&amp;""&amp;'Dry_Litterbag Placem_Collection'!J118)</f>
        <v>G189</v>
      </c>
      <c r="AN119" t="str">
        <f>IF(ISBLANK('Dry_Litterbag Placem_Collection'!K118),"","R"&amp;""&amp;'Dry_Litterbag Placem_Collection'!K118)</f>
        <v>R757</v>
      </c>
      <c r="AO119" t="b">
        <f t="shared" si="75"/>
        <v>0</v>
      </c>
      <c r="AP119" t="b">
        <f t="shared" si="76"/>
        <v>0</v>
      </c>
      <c r="AS119" t="str">
        <f>'Ashed teabags dry'!A117</f>
        <v>G244</v>
      </c>
      <c r="AT119" t="str">
        <f>'Ashed teabags dry'!A452</f>
        <v>R422</v>
      </c>
      <c r="AU119" t="b">
        <f t="shared" si="77"/>
        <v>0</v>
      </c>
      <c r="AV119" t="b">
        <f t="shared" si="100"/>
        <v>0</v>
      </c>
      <c r="AX119" s="388" t="b">
        <f t="shared" si="78"/>
        <v>0</v>
      </c>
      <c r="AY119" s="388" t="b">
        <f t="shared" si="79"/>
        <v>0</v>
      </c>
      <c r="BA119" t="str">
        <f>'Ashed teabags wet'!A117</f>
        <v>G513</v>
      </c>
      <c r="BB119" t="str">
        <f>'Ashed teabags wet'!A537</f>
        <v>R279</v>
      </c>
      <c r="BC119" t="b">
        <f t="shared" si="80"/>
        <v>0</v>
      </c>
      <c r="BD119" t="b">
        <f t="shared" si="60"/>
        <v>0</v>
      </c>
      <c r="BF119" t="str">
        <f t="shared" si="81"/>
        <v>G243</v>
      </c>
      <c r="BG119" t="str">
        <f t="shared" si="82"/>
        <v>G243</v>
      </c>
      <c r="BH119" t="str">
        <f t="shared" si="83"/>
        <v>G125</v>
      </c>
      <c r="BI119" t="str">
        <f t="shared" si="101"/>
        <v>G125</v>
      </c>
      <c r="BJ119" t="s">
        <v>1807</v>
      </c>
      <c r="BK119" t="s">
        <v>1807</v>
      </c>
      <c r="BL119" t="s">
        <v>1807</v>
      </c>
      <c r="BM119" t="b">
        <f t="shared" si="102"/>
        <v>1</v>
      </c>
      <c r="BN119" t="str">
        <f t="shared" si="84"/>
        <v>R416</v>
      </c>
      <c r="BO119" t="str">
        <f t="shared" si="85"/>
        <v>R416</v>
      </c>
      <c r="BP119" t="str">
        <f t="shared" si="86"/>
        <v>R766</v>
      </c>
      <c r="BQ119" t="str">
        <f t="shared" si="87"/>
        <v>R766</v>
      </c>
      <c r="BR119" t="s">
        <v>725</v>
      </c>
      <c r="BS119" t="s">
        <v>725</v>
      </c>
      <c r="BT119" t="s">
        <v>725</v>
      </c>
      <c r="BU119" t="b">
        <f t="shared" si="103"/>
        <v>1</v>
      </c>
      <c r="BZ119" t="str">
        <f t="shared" si="88"/>
        <v>G125</v>
      </c>
      <c r="CA119" t="b">
        <f t="shared" si="89"/>
        <v>0</v>
      </c>
      <c r="CB119" t="str">
        <f t="shared" si="104"/>
        <v>G125</v>
      </c>
      <c r="CC119" t="str">
        <f t="shared" si="90"/>
        <v>R766</v>
      </c>
      <c r="CD119" t="b">
        <f t="shared" si="105"/>
        <v>0</v>
      </c>
      <c r="CE119" t="str">
        <f t="shared" si="106"/>
        <v>R766</v>
      </c>
      <c r="CG119" t="str">
        <f t="shared" si="91"/>
        <v>G512</v>
      </c>
      <c r="CH119" t="str">
        <f t="shared" si="107"/>
        <v>G512</v>
      </c>
      <c r="CI119" t="str">
        <f t="shared" si="92"/>
        <v>G693</v>
      </c>
      <c r="CJ119" t="str">
        <f t="shared" si="93"/>
        <v>G693</v>
      </c>
      <c r="CK119" t="s">
        <v>1538</v>
      </c>
      <c r="CL119" t="s">
        <v>1538</v>
      </c>
      <c r="CM119" t="s">
        <v>1538</v>
      </c>
      <c r="CN119" t="b">
        <f t="shared" si="108"/>
        <v>1</v>
      </c>
      <c r="CO119" t="str">
        <f t="shared" si="94"/>
        <v>R278</v>
      </c>
      <c r="CP119" t="str">
        <f t="shared" si="109"/>
        <v>R278</v>
      </c>
      <c r="CQ119" t="str">
        <f t="shared" si="95"/>
        <v>R553</v>
      </c>
      <c r="CR119" t="str">
        <f t="shared" si="96"/>
        <v>R553</v>
      </c>
      <c r="CS119" t="s">
        <v>863</v>
      </c>
      <c r="CT119" t="s">
        <v>863</v>
      </c>
      <c r="CU119" t="s">
        <v>863</v>
      </c>
      <c r="CV119" t="b">
        <f t="shared" si="110"/>
        <v>1</v>
      </c>
      <c r="DC119" t="str">
        <f t="shared" si="97"/>
        <v>G693</v>
      </c>
      <c r="DD119" t="b">
        <f t="shared" si="111"/>
        <v>0</v>
      </c>
      <c r="DE119" t="str">
        <f t="shared" si="112"/>
        <v>G693</v>
      </c>
      <c r="DF119" t="str">
        <f t="shared" si="98"/>
        <v>R553</v>
      </c>
      <c r="DG119" t="b">
        <f t="shared" si="113"/>
        <v>0</v>
      </c>
      <c r="DH119" t="str">
        <f t="shared" si="114"/>
        <v>R553</v>
      </c>
    </row>
    <row r="120" spans="2:112" ht="12" customHeight="1">
      <c r="B120" t="str">
        <f>TBIDry!H192</f>
        <v>G533</v>
      </c>
      <c r="C120" t="str">
        <f>TBIDry!I192</f>
        <v>R745</v>
      </c>
      <c r="D120" t="b">
        <f t="shared" si="61"/>
        <v>0</v>
      </c>
      <c r="E120" t="b">
        <f t="shared" si="62"/>
        <v>0</v>
      </c>
      <c r="G120" t="str">
        <f>TBIWet!H192</f>
        <v>G789</v>
      </c>
      <c r="H120" t="str">
        <f>TBIWet!I192</f>
        <v>R511</v>
      </c>
      <c r="I120" t="b">
        <f t="shared" si="63"/>
        <v>0</v>
      </c>
      <c r="J120" t="b">
        <f t="shared" si="64"/>
        <v>0</v>
      </c>
      <c r="L120" t="str">
        <f>'Both teabags AfterWet'!A118</f>
        <v>G514</v>
      </c>
      <c r="M120" t="str">
        <f>'Both teabags AfterWet'!A538</f>
        <v>R28</v>
      </c>
      <c r="N120" t="b">
        <f t="shared" si="65"/>
        <v>0</v>
      </c>
      <c r="O120" t="b">
        <f t="shared" si="115"/>
        <v>0</v>
      </c>
      <c r="Q120" s="388" t="b">
        <f t="shared" si="66"/>
        <v>0</v>
      </c>
      <c r="R120" s="388" t="b">
        <f t="shared" si="67"/>
        <v>0</v>
      </c>
      <c r="T120" t="str">
        <f>'Both teabags AfterDry'!A118</f>
        <v>G245</v>
      </c>
      <c r="U120" t="str">
        <f>'Both teabags AfterDry'!A453</f>
        <v>R425</v>
      </c>
      <c r="V120" t="b">
        <f t="shared" si="68"/>
        <v>0</v>
      </c>
      <c r="W120" t="b">
        <f t="shared" si="99"/>
        <v>0</v>
      </c>
      <c r="Y120" t="str">
        <f>'Green_rooibos initial weight'!A121</f>
        <v>G117</v>
      </c>
      <c r="Z120" t="str">
        <f>'Green_rooibos initial weight'!A1025</f>
        <v>R117</v>
      </c>
      <c r="AA120" t="b">
        <f t="shared" si="69"/>
        <v>0</v>
      </c>
      <c r="AB120" t="b">
        <f t="shared" si="70"/>
        <v>0</v>
      </c>
      <c r="AE120" t="str">
        <f>'WetLitterbags placem_collection'!K119</f>
        <v>G789</v>
      </c>
      <c r="AF120" t="str">
        <f>'WetLitterbags placem_collection'!M119</f>
        <v>R511</v>
      </c>
      <c r="AG120" t="b">
        <f t="shared" si="71"/>
        <v>0</v>
      </c>
      <c r="AH120" t="b">
        <f t="shared" si="72"/>
        <v>0</v>
      </c>
      <c r="AJ120" t="b">
        <f t="shared" si="73"/>
        <v>0</v>
      </c>
      <c r="AK120" t="b">
        <f t="shared" si="74"/>
        <v>0</v>
      </c>
      <c r="AM120" t="str">
        <f>IF(ISBLANK('Dry_Litterbag Placem_Collection'!J119),"","G"&amp;""&amp;'Dry_Litterbag Placem_Collection'!J119)</f>
        <v>G533</v>
      </c>
      <c r="AN120" t="str">
        <f>IF(ISBLANK('Dry_Litterbag Placem_Collection'!K119),"","R"&amp;""&amp;'Dry_Litterbag Placem_Collection'!K119)</f>
        <v>R745</v>
      </c>
      <c r="AO120" t="b">
        <f t="shared" si="75"/>
        <v>0</v>
      </c>
      <c r="AP120" t="b">
        <f t="shared" si="76"/>
        <v>0</v>
      </c>
      <c r="AS120" t="str">
        <f>'Ashed teabags dry'!A118</f>
        <v>G245</v>
      </c>
      <c r="AT120" t="str">
        <f>'Ashed teabags dry'!A453</f>
        <v>R425</v>
      </c>
      <c r="AU120" t="b">
        <f t="shared" si="77"/>
        <v>0</v>
      </c>
      <c r="AV120" t="b">
        <f t="shared" si="100"/>
        <v>0</v>
      </c>
      <c r="AX120" s="388" t="b">
        <f t="shared" si="78"/>
        <v>0</v>
      </c>
      <c r="AY120" s="388" t="b">
        <f t="shared" si="79"/>
        <v>0</v>
      </c>
      <c r="BA120" t="str">
        <f>'Ashed teabags wet'!A118</f>
        <v>G514</v>
      </c>
      <c r="BB120" t="str">
        <f>'Ashed teabags wet'!A538</f>
        <v>R28</v>
      </c>
      <c r="BC120" t="b">
        <f t="shared" si="80"/>
        <v>0</v>
      </c>
      <c r="BD120" t="b">
        <f t="shared" si="60"/>
        <v>0</v>
      </c>
      <c r="BF120" t="str">
        <f t="shared" si="81"/>
        <v>G244</v>
      </c>
      <c r="BG120" t="str">
        <f t="shared" si="82"/>
        <v>G244</v>
      </c>
      <c r="BH120" t="str">
        <f t="shared" si="83"/>
        <v>G189</v>
      </c>
      <c r="BI120" t="str">
        <f t="shared" si="101"/>
        <v>G189</v>
      </c>
      <c r="BJ120" t="s">
        <v>1806</v>
      </c>
      <c r="BK120" t="s">
        <v>1806</v>
      </c>
      <c r="BL120" t="s">
        <v>1806</v>
      </c>
      <c r="BM120" t="b">
        <f t="shared" si="102"/>
        <v>1</v>
      </c>
      <c r="BN120" t="str">
        <f t="shared" si="84"/>
        <v>R422</v>
      </c>
      <c r="BO120" t="str">
        <f t="shared" si="85"/>
        <v>R422</v>
      </c>
      <c r="BP120" t="str">
        <f t="shared" si="86"/>
        <v>R757</v>
      </c>
      <c r="BQ120" t="str">
        <f t="shared" si="87"/>
        <v>R757</v>
      </c>
      <c r="BR120" t="s">
        <v>719</v>
      </c>
      <c r="BS120" t="s">
        <v>719</v>
      </c>
      <c r="BT120" t="s">
        <v>719</v>
      </c>
      <c r="BU120" t="b">
        <f t="shared" si="103"/>
        <v>1</v>
      </c>
      <c r="BZ120" t="str">
        <f t="shared" si="88"/>
        <v>G189</v>
      </c>
      <c r="CA120" t="b">
        <f t="shared" si="89"/>
        <v>0</v>
      </c>
      <c r="CB120" t="str">
        <f t="shared" si="104"/>
        <v>G189</v>
      </c>
      <c r="CC120" t="str">
        <f t="shared" si="90"/>
        <v>R757</v>
      </c>
      <c r="CD120" t="b">
        <f t="shared" si="105"/>
        <v>0</v>
      </c>
      <c r="CE120" t="str">
        <f t="shared" si="106"/>
        <v>R757</v>
      </c>
      <c r="CG120" t="str">
        <f t="shared" si="91"/>
        <v>G513</v>
      </c>
      <c r="CH120" t="str">
        <f t="shared" si="107"/>
        <v>G513</v>
      </c>
      <c r="CI120" t="str">
        <f t="shared" si="92"/>
        <v>G897</v>
      </c>
      <c r="CJ120" t="str">
        <f t="shared" si="93"/>
        <v>G897</v>
      </c>
      <c r="CK120" t="s">
        <v>1537</v>
      </c>
      <c r="CL120" t="s">
        <v>1537</v>
      </c>
      <c r="CM120" t="s">
        <v>1537</v>
      </c>
      <c r="CN120" t="b">
        <f t="shared" si="108"/>
        <v>1</v>
      </c>
      <c r="CO120" t="str">
        <f t="shared" si="94"/>
        <v>R279</v>
      </c>
      <c r="CP120" t="str">
        <f t="shared" si="109"/>
        <v>R279</v>
      </c>
      <c r="CQ120" t="str">
        <f t="shared" si="95"/>
        <v>R459</v>
      </c>
      <c r="CR120" t="str">
        <f t="shared" si="96"/>
        <v>R459</v>
      </c>
      <c r="CS120" t="s">
        <v>862</v>
      </c>
      <c r="CT120" t="s">
        <v>862</v>
      </c>
      <c r="CU120" t="s">
        <v>862</v>
      </c>
      <c r="CV120" t="b">
        <f t="shared" si="110"/>
        <v>1</v>
      </c>
      <c r="DC120" t="str">
        <f t="shared" si="97"/>
        <v>G897</v>
      </c>
      <c r="DD120" t="b">
        <f t="shared" si="111"/>
        <v>0</v>
      </c>
      <c r="DE120" t="str">
        <f t="shared" si="112"/>
        <v>G897</v>
      </c>
      <c r="DF120" t="str">
        <f t="shared" si="98"/>
        <v>R459</v>
      </c>
      <c r="DG120" t="b">
        <f t="shared" si="113"/>
        <v>0</v>
      </c>
      <c r="DH120" t="str">
        <f t="shared" si="114"/>
        <v>R459</v>
      </c>
    </row>
    <row r="121" spans="2:112" ht="12" customHeight="1">
      <c r="B121" t="str">
        <f>TBIDry!H193</f>
        <v>G200</v>
      </c>
      <c r="C121" t="str">
        <f>TBIDry!I193</f>
        <v>R791</v>
      </c>
      <c r="D121" t="b">
        <f t="shared" si="61"/>
        <v>0</v>
      </c>
      <c r="E121" t="b">
        <f t="shared" si="62"/>
        <v>0</v>
      </c>
      <c r="G121" t="str">
        <f>TBIWet!H193</f>
        <v>G681</v>
      </c>
      <c r="H121" t="str">
        <f>TBIWet!I193</f>
        <v>R495</v>
      </c>
      <c r="I121" t="b">
        <f t="shared" si="63"/>
        <v>0</v>
      </c>
      <c r="J121" t="b">
        <f t="shared" si="64"/>
        <v>0</v>
      </c>
      <c r="L121" t="str">
        <f>'Both teabags AfterWet'!A119</f>
        <v>G516</v>
      </c>
      <c r="M121" t="str">
        <f>'Both teabags AfterWet'!A539</f>
        <v>R282</v>
      </c>
      <c r="N121" t="b">
        <f t="shared" si="65"/>
        <v>0</v>
      </c>
      <c r="O121" t="b">
        <f t="shared" si="115"/>
        <v>0</v>
      </c>
      <c r="Q121" s="388" t="b">
        <f t="shared" si="66"/>
        <v>0</v>
      </c>
      <c r="R121" s="388" t="b">
        <f t="shared" si="67"/>
        <v>0</v>
      </c>
      <c r="T121" t="str">
        <f>'Both teabags AfterDry'!A119</f>
        <v>G246</v>
      </c>
      <c r="U121" t="str">
        <f>'Both teabags AfterDry'!A454</f>
        <v>R43</v>
      </c>
      <c r="V121" t="b">
        <f t="shared" si="68"/>
        <v>0</v>
      </c>
      <c r="W121" t="b">
        <f t="shared" si="99"/>
        <v>0</v>
      </c>
      <c r="Y121" t="str">
        <f>'Green_rooibos initial weight'!A122</f>
        <v>G118</v>
      </c>
      <c r="Z121" t="str">
        <f>'Green_rooibos initial weight'!A1026</f>
        <v>R118</v>
      </c>
      <c r="AA121" t="b">
        <f t="shared" si="69"/>
        <v>0</v>
      </c>
      <c r="AB121" t="b">
        <f t="shared" si="70"/>
        <v>0</v>
      </c>
      <c r="AE121" t="str">
        <f>'WetLitterbags placem_collection'!K120</f>
        <v>G681</v>
      </c>
      <c r="AF121" t="str">
        <f>'WetLitterbags placem_collection'!M120</f>
        <v>R495</v>
      </c>
      <c r="AG121" t="b">
        <f t="shared" si="71"/>
        <v>0</v>
      </c>
      <c r="AH121" t="b">
        <f t="shared" si="72"/>
        <v>0</v>
      </c>
      <c r="AJ121" t="b">
        <f t="shared" si="73"/>
        <v>0</v>
      </c>
      <c r="AK121" t="b">
        <f t="shared" si="74"/>
        <v>0</v>
      </c>
      <c r="AM121" t="str">
        <f>IF(ISBLANK('Dry_Litterbag Placem_Collection'!J120),"","G"&amp;""&amp;'Dry_Litterbag Placem_Collection'!J120)</f>
        <v>G200</v>
      </c>
      <c r="AN121" t="str">
        <f>IF(ISBLANK('Dry_Litterbag Placem_Collection'!K120),"","R"&amp;""&amp;'Dry_Litterbag Placem_Collection'!K120)</f>
        <v>R791</v>
      </c>
      <c r="AO121" t="b">
        <f t="shared" si="75"/>
        <v>0</v>
      </c>
      <c r="AP121" t="b">
        <f t="shared" si="76"/>
        <v>0</v>
      </c>
      <c r="AS121" t="str">
        <f>'Ashed teabags dry'!A119</f>
        <v>G246</v>
      </c>
      <c r="AT121" t="str">
        <f>'Ashed teabags dry'!A454</f>
        <v>R43</v>
      </c>
      <c r="AU121" t="b">
        <f t="shared" si="77"/>
        <v>0</v>
      </c>
      <c r="AV121" t="b">
        <f t="shared" si="100"/>
        <v>0</v>
      </c>
      <c r="AX121" s="388" t="b">
        <f t="shared" si="78"/>
        <v>0</v>
      </c>
      <c r="AY121" s="388" t="b">
        <f t="shared" si="79"/>
        <v>0</v>
      </c>
      <c r="BA121" t="str">
        <f>'Ashed teabags wet'!A119</f>
        <v>G516</v>
      </c>
      <c r="BB121" t="str">
        <f>'Ashed teabags wet'!A539</f>
        <v>R282</v>
      </c>
      <c r="BC121" t="b">
        <f t="shared" si="80"/>
        <v>0</v>
      </c>
      <c r="BD121" t="b">
        <f t="shared" si="60"/>
        <v>0</v>
      </c>
      <c r="BF121" t="str">
        <f t="shared" si="81"/>
        <v>G245</v>
      </c>
      <c r="BG121" t="str">
        <f t="shared" si="82"/>
        <v>G245</v>
      </c>
      <c r="BH121" t="str">
        <f t="shared" si="83"/>
        <v>G533</v>
      </c>
      <c r="BI121" t="str">
        <f t="shared" si="101"/>
        <v/>
      </c>
      <c r="BJ121" t="s">
        <v>1805</v>
      </c>
      <c r="BK121" t="s">
        <v>1805</v>
      </c>
      <c r="BL121" t="s">
        <v>1805</v>
      </c>
      <c r="BM121" t="b">
        <f t="shared" si="102"/>
        <v>1</v>
      </c>
      <c r="BN121" t="str">
        <f t="shared" si="84"/>
        <v>R425</v>
      </c>
      <c r="BO121" t="str">
        <f t="shared" si="85"/>
        <v>R425</v>
      </c>
      <c r="BP121" t="str">
        <f t="shared" si="86"/>
        <v>R745</v>
      </c>
      <c r="BQ121" t="str">
        <f t="shared" si="87"/>
        <v/>
      </c>
      <c r="BR121" t="s">
        <v>716</v>
      </c>
      <c r="BS121" t="s">
        <v>716</v>
      </c>
      <c r="BT121" t="s">
        <v>716</v>
      </c>
      <c r="BU121" t="b">
        <f t="shared" si="103"/>
        <v>1</v>
      </c>
      <c r="BZ121" t="str">
        <f t="shared" si="88"/>
        <v>G533</v>
      </c>
      <c r="CA121" t="b">
        <f t="shared" si="89"/>
        <v>1</v>
      </c>
      <c r="CB121" t="str">
        <f t="shared" si="104"/>
        <v/>
      </c>
      <c r="CC121" t="str">
        <f t="shared" si="90"/>
        <v>R745</v>
      </c>
      <c r="CD121" t="b">
        <f t="shared" si="105"/>
        <v>1</v>
      </c>
      <c r="CE121" t="str">
        <f t="shared" si="106"/>
        <v/>
      </c>
      <c r="CG121" t="str">
        <f t="shared" si="91"/>
        <v>G514</v>
      </c>
      <c r="CH121" t="str">
        <f t="shared" si="107"/>
        <v>G514</v>
      </c>
      <c r="CI121" t="str">
        <f t="shared" si="92"/>
        <v>G789</v>
      </c>
      <c r="CJ121" t="str">
        <f t="shared" si="93"/>
        <v>G789</v>
      </c>
      <c r="CK121" t="s">
        <v>1536</v>
      </c>
      <c r="CL121" t="s">
        <v>1536</v>
      </c>
      <c r="CM121" t="s">
        <v>1536</v>
      </c>
      <c r="CN121" t="b">
        <f t="shared" si="108"/>
        <v>1</v>
      </c>
      <c r="CO121" t="str">
        <f t="shared" si="94"/>
        <v>R28</v>
      </c>
      <c r="CP121" t="str">
        <f t="shared" si="109"/>
        <v>R28</v>
      </c>
      <c r="CQ121" t="str">
        <f t="shared" si="95"/>
        <v>R511</v>
      </c>
      <c r="CR121" t="str">
        <f t="shared" si="96"/>
        <v>R511</v>
      </c>
      <c r="CS121" t="s">
        <v>1113</v>
      </c>
      <c r="CT121" t="s">
        <v>1113</v>
      </c>
      <c r="CU121" t="s">
        <v>1113</v>
      </c>
      <c r="CV121" t="b">
        <f t="shared" si="110"/>
        <v>1</v>
      </c>
      <c r="DC121" t="str">
        <f t="shared" si="97"/>
        <v>G789</v>
      </c>
      <c r="DD121" t="b">
        <f t="shared" si="111"/>
        <v>0</v>
      </c>
      <c r="DE121" t="str">
        <f t="shared" si="112"/>
        <v>G789</v>
      </c>
      <c r="DF121" t="str">
        <f t="shared" si="98"/>
        <v>R511</v>
      </c>
      <c r="DG121" t="b">
        <f t="shared" si="113"/>
        <v>0</v>
      </c>
      <c r="DH121" t="str">
        <f t="shared" si="114"/>
        <v>R511</v>
      </c>
    </row>
    <row r="122" spans="2:112" ht="12" customHeight="1">
      <c r="B122" t="str">
        <f>TBIDry!H194</f>
        <v>G236</v>
      </c>
      <c r="C122" t="str">
        <f>TBIDry!I194</f>
        <v>R802</v>
      </c>
      <c r="D122" t="b">
        <f t="shared" si="61"/>
        <v>0</v>
      </c>
      <c r="E122" t="b">
        <f t="shared" si="62"/>
        <v>0</v>
      </c>
      <c r="G122" t="str">
        <f>TBIWet!H194</f>
        <v>G657</v>
      </c>
      <c r="H122" t="str">
        <f>TBIWet!I194</f>
        <v>R584</v>
      </c>
      <c r="I122" t="b">
        <f t="shared" si="63"/>
        <v>0</v>
      </c>
      <c r="J122" t="b">
        <f t="shared" si="64"/>
        <v>0</v>
      </c>
      <c r="L122" t="str">
        <f>'Both teabags AfterWet'!A120</f>
        <v>G518</v>
      </c>
      <c r="M122" t="str">
        <f>'Both teabags AfterWet'!A540</f>
        <v>R285</v>
      </c>
      <c r="N122" t="b">
        <f t="shared" si="65"/>
        <v>0</v>
      </c>
      <c r="O122" t="b">
        <f t="shared" si="115"/>
        <v>0</v>
      </c>
      <c r="Q122" s="388" t="b">
        <f t="shared" si="66"/>
        <v>0</v>
      </c>
      <c r="R122" s="388" t="b">
        <f t="shared" si="67"/>
        <v>0</v>
      </c>
      <c r="T122" t="str">
        <f>'Both teabags AfterDry'!A120</f>
        <v>G247</v>
      </c>
      <c r="U122" t="str">
        <f>'Both teabags AfterDry'!A455</f>
        <v>R443</v>
      </c>
      <c r="V122" t="b">
        <f t="shared" si="68"/>
        <v>0</v>
      </c>
      <c r="W122" t="b">
        <f t="shared" si="99"/>
        <v>0</v>
      </c>
      <c r="Y122" t="str">
        <f>'Green_rooibos initial weight'!A123</f>
        <v>G119</v>
      </c>
      <c r="Z122" t="str">
        <f>'Green_rooibos initial weight'!A1027</f>
        <v>R119</v>
      </c>
      <c r="AA122" t="b">
        <f t="shared" si="69"/>
        <v>0</v>
      </c>
      <c r="AB122" t="b">
        <f t="shared" si="70"/>
        <v>0</v>
      </c>
      <c r="AE122" t="str">
        <f>'WetLitterbags placem_collection'!K121</f>
        <v>G657</v>
      </c>
      <c r="AF122" t="str">
        <f>'WetLitterbags placem_collection'!M121</f>
        <v>R584</v>
      </c>
      <c r="AG122" t="b">
        <f t="shared" si="71"/>
        <v>0</v>
      </c>
      <c r="AH122" t="b">
        <f t="shared" si="72"/>
        <v>0</v>
      </c>
      <c r="AJ122" t="b">
        <f t="shared" si="73"/>
        <v>0</v>
      </c>
      <c r="AK122" t="b">
        <f t="shared" si="74"/>
        <v>0</v>
      </c>
      <c r="AM122" t="str">
        <f>IF(ISBLANK('Dry_Litterbag Placem_Collection'!J121),"","G"&amp;""&amp;'Dry_Litterbag Placem_Collection'!J121)</f>
        <v>G236</v>
      </c>
      <c r="AN122" t="str">
        <f>IF(ISBLANK('Dry_Litterbag Placem_Collection'!K121),"","R"&amp;""&amp;'Dry_Litterbag Placem_Collection'!K121)</f>
        <v>R802</v>
      </c>
      <c r="AO122" t="b">
        <f t="shared" si="75"/>
        <v>0</v>
      </c>
      <c r="AP122" t="b">
        <f t="shared" si="76"/>
        <v>0</v>
      </c>
      <c r="AS122" t="str">
        <f>'Ashed teabags dry'!A120</f>
        <v>G247</v>
      </c>
      <c r="AT122" t="str">
        <f>'Ashed teabags dry'!A455</f>
        <v>R443</v>
      </c>
      <c r="AU122" t="b">
        <f t="shared" si="77"/>
        <v>0</v>
      </c>
      <c r="AV122" t="b">
        <f t="shared" si="100"/>
        <v>0</v>
      </c>
      <c r="AX122" s="388" t="b">
        <f t="shared" si="78"/>
        <v>0</v>
      </c>
      <c r="AY122" s="388" t="b">
        <f t="shared" si="79"/>
        <v>0</v>
      </c>
      <c r="BA122" t="str">
        <f>'Ashed teabags wet'!A120</f>
        <v>G518</v>
      </c>
      <c r="BB122" t="str">
        <f>'Ashed teabags wet'!A540</f>
        <v>R285</v>
      </c>
      <c r="BC122" t="b">
        <f t="shared" si="80"/>
        <v>0</v>
      </c>
      <c r="BD122" t="b">
        <f t="shared" si="60"/>
        <v>0</v>
      </c>
      <c r="BF122" t="str">
        <f t="shared" si="81"/>
        <v>G246</v>
      </c>
      <c r="BG122" t="str">
        <f t="shared" si="82"/>
        <v>G246</v>
      </c>
      <c r="BH122" t="str">
        <f t="shared" si="83"/>
        <v>G200</v>
      </c>
      <c r="BI122" t="str">
        <f t="shared" si="101"/>
        <v>G200</v>
      </c>
      <c r="BJ122" t="s">
        <v>1804</v>
      </c>
      <c r="BK122" t="s">
        <v>1804</v>
      </c>
      <c r="BL122" t="s">
        <v>1804</v>
      </c>
      <c r="BM122" t="b">
        <f t="shared" si="102"/>
        <v>1</v>
      </c>
      <c r="BN122" t="str">
        <f t="shared" si="84"/>
        <v>R43</v>
      </c>
      <c r="BO122" t="str">
        <f t="shared" si="85"/>
        <v>R43</v>
      </c>
      <c r="BP122" t="str">
        <f t="shared" si="86"/>
        <v>R791</v>
      </c>
      <c r="BQ122" t="str">
        <f t="shared" si="87"/>
        <v>R791</v>
      </c>
      <c r="BR122" t="s">
        <v>1098</v>
      </c>
      <c r="BS122" t="s">
        <v>1098</v>
      </c>
      <c r="BT122" t="s">
        <v>1098</v>
      </c>
      <c r="BU122" t="b">
        <f t="shared" si="103"/>
        <v>1</v>
      </c>
      <c r="BZ122" t="str">
        <f t="shared" si="88"/>
        <v>G200</v>
      </c>
      <c r="CA122" t="b">
        <f t="shared" si="89"/>
        <v>0</v>
      </c>
      <c r="CB122" t="str">
        <f t="shared" si="104"/>
        <v>G200</v>
      </c>
      <c r="CC122" t="str">
        <f t="shared" si="90"/>
        <v>R791</v>
      </c>
      <c r="CD122" t="b">
        <f t="shared" si="105"/>
        <v>0</v>
      </c>
      <c r="CE122" t="str">
        <f t="shared" si="106"/>
        <v>R791</v>
      </c>
      <c r="CG122" t="str">
        <f t="shared" si="91"/>
        <v>G516</v>
      </c>
      <c r="CH122" t="str">
        <f t="shared" si="107"/>
        <v>G516</v>
      </c>
      <c r="CI122" t="str">
        <f t="shared" si="92"/>
        <v>G681</v>
      </c>
      <c r="CJ122" t="str">
        <f t="shared" si="93"/>
        <v>G681</v>
      </c>
      <c r="CK122" t="s">
        <v>1534</v>
      </c>
      <c r="CL122" t="s">
        <v>1534</v>
      </c>
      <c r="CM122" t="s">
        <v>1534</v>
      </c>
      <c r="CN122" t="b">
        <f t="shared" si="108"/>
        <v>1</v>
      </c>
      <c r="CO122" t="str">
        <f t="shared" si="94"/>
        <v>R282</v>
      </c>
      <c r="CP122" t="str">
        <f t="shared" si="109"/>
        <v>R282</v>
      </c>
      <c r="CQ122" t="str">
        <f t="shared" si="95"/>
        <v>R495</v>
      </c>
      <c r="CR122" t="str">
        <f t="shared" si="96"/>
        <v>R495</v>
      </c>
      <c r="CS122" t="s">
        <v>859</v>
      </c>
      <c r="CT122" t="s">
        <v>859</v>
      </c>
      <c r="CU122" t="s">
        <v>859</v>
      </c>
      <c r="CV122" t="b">
        <f t="shared" si="110"/>
        <v>1</v>
      </c>
      <c r="DC122" t="str">
        <f t="shared" si="97"/>
        <v>G681</v>
      </c>
      <c r="DD122" t="b">
        <f t="shared" si="111"/>
        <v>0</v>
      </c>
      <c r="DE122" t="str">
        <f t="shared" si="112"/>
        <v>G681</v>
      </c>
      <c r="DF122" t="str">
        <f t="shared" si="98"/>
        <v>R495</v>
      </c>
      <c r="DG122" t="b">
        <f t="shared" si="113"/>
        <v>0</v>
      </c>
      <c r="DH122" t="str">
        <f t="shared" si="114"/>
        <v>R495</v>
      </c>
    </row>
    <row r="123" spans="2:112" ht="12" customHeight="1">
      <c r="B123" t="str">
        <f>TBIDry!H195</f>
        <v/>
      </c>
      <c r="C123" t="str">
        <f>TBIDry!I195</f>
        <v/>
      </c>
      <c r="D123" t="b">
        <f t="shared" si="61"/>
        <v>1</v>
      </c>
      <c r="E123" t="b">
        <f t="shared" si="62"/>
        <v>1</v>
      </c>
      <c r="G123" t="str">
        <f>TBIWet!H195</f>
        <v>G758</v>
      </c>
      <c r="H123" t="str">
        <f>TBIWet!I195</f>
        <v>R454</v>
      </c>
      <c r="I123" t="b">
        <f t="shared" si="63"/>
        <v>0</v>
      </c>
      <c r="J123" t="b">
        <f t="shared" si="64"/>
        <v>0</v>
      </c>
      <c r="L123" t="str">
        <f>'Both teabags AfterWet'!A121</f>
        <v>G519</v>
      </c>
      <c r="M123" t="str">
        <f>'Both teabags AfterWet'!A541</f>
        <v>R287</v>
      </c>
      <c r="N123" t="b">
        <f t="shared" si="65"/>
        <v>0</v>
      </c>
      <c r="O123" t="b">
        <f t="shared" si="115"/>
        <v>0</v>
      </c>
      <c r="Q123" s="388" t="b">
        <f t="shared" si="66"/>
        <v>0</v>
      </c>
      <c r="R123" s="388" t="b">
        <f t="shared" si="67"/>
        <v>0</v>
      </c>
      <c r="T123" t="str">
        <f>'Both teabags AfterDry'!A121</f>
        <v>G248</v>
      </c>
      <c r="U123" t="str">
        <f>'Both teabags AfterDry'!A456</f>
        <v>R455</v>
      </c>
      <c r="V123" t="b">
        <f t="shared" si="68"/>
        <v>0</v>
      </c>
      <c r="W123" t="b">
        <f t="shared" si="99"/>
        <v>0</v>
      </c>
      <c r="Y123" t="str">
        <f>'Green_rooibos initial weight'!A124</f>
        <v>G120</v>
      </c>
      <c r="Z123" t="str">
        <f>'Green_rooibos initial weight'!A1028</f>
        <v>R120</v>
      </c>
      <c r="AA123" t="b">
        <f t="shared" si="69"/>
        <v>0</v>
      </c>
      <c r="AB123" t="b">
        <f t="shared" si="70"/>
        <v>0</v>
      </c>
      <c r="AE123" t="str">
        <f>'WetLitterbags placem_collection'!K122</f>
        <v>G758</v>
      </c>
      <c r="AF123" t="str">
        <f>'WetLitterbags placem_collection'!M122</f>
        <v>R454</v>
      </c>
      <c r="AG123" t="b">
        <f t="shared" si="71"/>
        <v>0</v>
      </c>
      <c r="AH123" t="b">
        <f t="shared" si="72"/>
        <v>0</v>
      </c>
      <c r="AJ123" t="b">
        <f t="shared" si="73"/>
        <v>0</v>
      </c>
      <c r="AK123" t="b">
        <f t="shared" si="74"/>
        <v>0</v>
      </c>
      <c r="AM123" t="str">
        <f>IF(ISBLANK('Dry_Litterbag Placem_Collection'!J122),"","G"&amp;""&amp;'Dry_Litterbag Placem_Collection'!J122)</f>
        <v/>
      </c>
      <c r="AN123" t="str">
        <f>IF(ISBLANK('Dry_Litterbag Placem_Collection'!K122),"","R"&amp;""&amp;'Dry_Litterbag Placem_Collection'!K122)</f>
        <v/>
      </c>
      <c r="AO123" t="b">
        <f t="shared" si="75"/>
        <v>1</v>
      </c>
      <c r="AP123" t="b">
        <f t="shared" si="76"/>
        <v>1</v>
      </c>
      <c r="AS123" t="str">
        <f>'Ashed teabags dry'!A121</f>
        <v>G248</v>
      </c>
      <c r="AT123" t="str">
        <f>'Ashed teabags dry'!A456</f>
        <v>R455</v>
      </c>
      <c r="AU123" t="b">
        <f t="shared" si="77"/>
        <v>0</v>
      </c>
      <c r="AV123" t="b">
        <f t="shared" si="100"/>
        <v>0</v>
      </c>
      <c r="AX123" s="388" t="b">
        <f t="shared" si="78"/>
        <v>0</v>
      </c>
      <c r="AY123" s="388" t="b">
        <f t="shared" si="79"/>
        <v>0</v>
      </c>
      <c r="BA123" t="str">
        <f>'Ashed teabags wet'!A121</f>
        <v>G519</v>
      </c>
      <c r="BB123" t="str">
        <f>'Ashed teabags wet'!A541</f>
        <v>R287</v>
      </c>
      <c r="BC123" t="b">
        <f t="shared" si="80"/>
        <v>0</v>
      </c>
      <c r="BD123" t="b">
        <f t="shared" si="60"/>
        <v>0</v>
      </c>
      <c r="BF123" t="str">
        <f t="shared" si="81"/>
        <v>G247</v>
      </c>
      <c r="BG123" t="str">
        <f t="shared" si="82"/>
        <v>G247</v>
      </c>
      <c r="BH123" t="str">
        <f t="shared" si="83"/>
        <v>G236</v>
      </c>
      <c r="BI123" t="str">
        <f t="shared" si="101"/>
        <v>G236</v>
      </c>
      <c r="BJ123" t="s">
        <v>1803</v>
      </c>
      <c r="BK123" t="s">
        <v>1803</v>
      </c>
      <c r="BL123" t="s">
        <v>1803</v>
      </c>
      <c r="BM123" t="b">
        <f t="shared" si="102"/>
        <v>1</v>
      </c>
      <c r="BN123" t="str">
        <f t="shared" si="84"/>
        <v>R443</v>
      </c>
      <c r="BO123" t="str">
        <f t="shared" si="85"/>
        <v>R443</v>
      </c>
      <c r="BP123" t="str">
        <f t="shared" si="86"/>
        <v>R802</v>
      </c>
      <c r="BQ123" t="str">
        <f t="shared" si="87"/>
        <v>R802</v>
      </c>
      <c r="BR123" t="s">
        <v>698</v>
      </c>
      <c r="BS123" t="s">
        <v>698</v>
      </c>
      <c r="BT123" t="s">
        <v>698</v>
      </c>
      <c r="BU123" t="b">
        <f t="shared" si="103"/>
        <v>1</v>
      </c>
      <c r="BZ123" t="str">
        <f t="shared" si="88"/>
        <v>G236</v>
      </c>
      <c r="CA123" t="b">
        <f t="shared" si="89"/>
        <v>0</v>
      </c>
      <c r="CB123" t="str">
        <f t="shared" si="104"/>
        <v>G236</v>
      </c>
      <c r="CC123" t="str">
        <f t="shared" si="90"/>
        <v>R802</v>
      </c>
      <c r="CD123" t="b">
        <f t="shared" si="105"/>
        <v>0</v>
      </c>
      <c r="CE123" t="str">
        <f t="shared" si="106"/>
        <v>R802</v>
      </c>
      <c r="CG123" t="str">
        <f t="shared" si="91"/>
        <v>G518</v>
      </c>
      <c r="CH123" t="str">
        <f t="shared" si="107"/>
        <v>G518</v>
      </c>
      <c r="CI123" t="str">
        <f t="shared" si="92"/>
        <v>G657</v>
      </c>
      <c r="CJ123" t="str">
        <f t="shared" si="93"/>
        <v>G657</v>
      </c>
      <c r="CK123" t="s">
        <v>1532</v>
      </c>
      <c r="CL123" t="s">
        <v>1532</v>
      </c>
      <c r="CM123" t="s">
        <v>1532</v>
      </c>
      <c r="CN123" t="b">
        <f t="shared" si="108"/>
        <v>1</v>
      </c>
      <c r="CO123" t="str">
        <f t="shared" si="94"/>
        <v>R285</v>
      </c>
      <c r="CP123" t="str">
        <f t="shared" si="109"/>
        <v>R285</v>
      </c>
      <c r="CQ123" t="str">
        <f t="shared" si="95"/>
        <v>R584</v>
      </c>
      <c r="CR123" t="str">
        <f t="shared" si="96"/>
        <v>R584</v>
      </c>
      <c r="CS123" t="s">
        <v>856</v>
      </c>
      <c r="CT123" t="s">
        <v>856</v>
      </c>
      <c r="CU123" t="s">
        <v>856</v>
      </c>
      <c r="CV123" t="b">
        <f t="shared" si="110"/>
        <v>1</v>
      </c>
      <c r="DC123" t="str">
        <f t="shared" si="97"/>
        <v>G657</v>
      </c>
      <c r="DD123" t="b">
        <f t="shared" si="111"/>
        <v>0</v>
      </c>
      <c r="DE123" t="str">
        <f t="shared" si="112"/>
        <v>G657</v>
      </c>
      <c r="DF123" t="str">
        <f t="shared" si="98"/>
        <v>R584</v>
      </c>
      <c r="DG123" t="b">
        <f t="shared" si="113"/>
        <v>0</v>
      </c>
      <c r="DH123" t="str">
        <f t="shared" si="114"/>
        <v>R584</v>
      </c>
    </row>
    <row r="124" spans="2:112" ht="12" customHeight="1">
      <c r="B124" t="str">
        <f>TBIDry!H196</f>
        <v>G280</v>
      </c>
      <c r="C124" t="str">
        <f>TBIDry!I196</f>
        <v>R822</v>
      </c>
      <c r="D124" t="b">
        <f t="shared" si="61"/>
        <v>0</v>
      </c>
      <c r="E124" t="b">
        <f t="shared" si="62"/>
        <v>0</v>
      </c>
      <c r="G124" t="str">
        <f>TBIWet!H196</f>
        <v>G666</v>
      </c>
      <c r="H124" t="str">
        <f>TBIWet!I196</f>
        <v>R532</v>
      </c>
      <c r="I124" t="b">
        <f t="shared" si="63"/>
        <v>0</v>
      </c>
      <c r="J124" t="b">
        <f t="shared" si="64"/>
        <v>0</v>
      </c>
      <c r="L124" t="str">
        <f>'Both teabags AfterWet'!A122</f>
        <v>G520</v>
      </c>
      <c r="M124" t="str">
        <f>'Both teabags AfterWet'!A542</f>
        <v>R288</v>
      </c>
      <c r="N124" t="b">
        <f t="shared" si="65"/>
        <v>0</v>
      </c>
      <c r="O124" t="b">
        <f t="shared" si="115"/>
        <v>0</v>
      </c>
      <c r="Q124" s="388" t="b">
        <f t="shared" si="66"/>
        <v>0</v>
      </c>
      <c r="R124" s="388" t="b">
        <f t="shared" si="67"/>
        <v>0</v>
      </c>
      <c r="T124" t="str">
        <f>'Both teabags AfterDry'!A122</f>
        <v>G25</v>
      </c>
      <c r="U124" t="str">
        <f>'Both teabags AfterDry'!A457</f>
        <v>R491</v>
      </c>
      <c r="V124" t="b">
        <f t="shared" si="68"/>
        <v>0</v>
      </c>
      <c r="W124" t="b">
        <f t="shared" si="99"/>
        <v>0</v>
      </c>
      <c r="Y124" t="str">
        <f>'Green_rooibos initial weight'!A125</f>
        <v>G121</v>
      </c>
      <c r="Z124" t="str">
        <f>'Green_rooibos initial weight'!A1029</f>
        <v>R121</v>
      </c>
      <c r="AA124" t="b">
        <f t="shared" si="69"/>
        <v>0</v>
      </c>
      <c r="AB124" t="b">
        <f t="shared" si="70"/>
        <v>0</v>
      </c>
      <c r="AE124" t="str">
        <f>'WetLitterbags placem_collection'!K123</f>
        <v>G666</v>
      </c>
      <c r="AF124" t="str">
        <f>'WetLitterbags placem_collection'!M123</f>
        <v>R532</v>
      </c>
      <c r="AG124" t="b">
        <f t="shared" si="71"/>
        <v>0</v>
      </c>
      <c r="AH124" t="b">
        <f t="shared" si="72"/>
        <v>0</v>
      </c>
      <c r="AJ124" t="b">
        <f t="shared" si="73"/>
        <v>0</v>
      </c>
      <c r="AK124" t="b">
        <f t="shared" si="74"/>
        <v>0</v>
      </c>
      <c r="AM124" t="str">
        <f>IF(ISBLANK('Dry_Litterbag Placem_Collection'!J123),"","G"&amp;""&amp;'Dry_Litterbag Placem_Collection'!J123)</f>
        <v>G280</v>
      </c>
      <c r="AN124" t="str">
        <f>IF(ISBLANK('Dry_Litterbag Placem_Collection'!K123),"","R"&amp;""&amp;'Dry_Litterbag Placem_Collection'!K123)</f>
        <v>R822</v>
      </c>
      <c r="AO124" t="b">
        <f t="shared" si="75"/>
        <v>0</v>
      </c>
      <c r="AP124" t="b">
        <f t="shared" si="76"/>
        <v>0</v>
      </c>
      <c r="AS124" t="str">
        <f>'Ashed teabags dry'!A122</f>
        <v>G25</v>
      </c>
      <c r="AT124" t="str">
        <f>'Ashed teabags dry'!A457</f>
        <v>R491</v>
      </c>
      <c r="AU124" t="b">
        <f t="shared" si="77"/>
        <v>0</v>
      </c>
      <c r="AV124" t="b">
        <f t="shared" si="100"/>
        <v>0</v>
      </c>
      <c r="AX124" s="388" t="b">
        <f t="shared" si="78"/>
        <v>0</v>
      </c>
      <c r="AY124" s="388" t="b">
        <f t="shared" si="79"/>
        <v>0</v>
      </c>
      <c r="BA124" t="str">
        <f>'Ashed teabags wet'!A122</f>
        <v>G520</v>
      </c>
      <c r="BB124" t="str">
        <f>'Ashed teabags wet'!A542</f>
        <v>R288</v>
      </c>
      <c r="BC124" t="b">
        <f t="shared" si="80"/>
        <v>0</v>
      </c>
      <c r="BD124" t="b">
        <f t="shared" si="60"/>
        <v>0</v>
      </c>
      <c r="BF124" t="str">
        <f t="shared" si="81"/>
        <v>G248</v>
      </c>
      <c r="BG124" t="str">
        <f t="shared" si="82"/>
        <v>G248</v>
      </c>
      <c r="BH124" t="str">
        <f t="shared" si="83"/>
        <v/>
      </c>
      <c r="BI124" t="str">
        <f t="shared" si="101"/>
        <v/>
      </c>
      <c r="BJ124" t="s">
        <v>1802</v>
      </c>
      <c r="BK124" t="s">
        <v>1802</v>
      </c>
      <c r="BL124" t="s">
        <v>1802</v>
      </c>
      <c r="BM124" t="b">
        <f t="shared" si="102"/>
        <v>1</v>
      </c>
      <c r="BN124" t="str">
        <f t="shared" si="84"/>
        <v>R455</v>
      </c>
      <c r="BO124" t="str">
        <f t="shared" si="85"/>
        <v>R455</v>
      </c>
      <c r="BP124" t="str">
        <f t="shared" si="86"/>
        <v/>
      </c>
      <c r="BQ124" t="str">
        <f t="shared" si="87"/>
        <v/>
      </c>
      <c r="BR124" t="s">
        <v>686</v>
      </c>
      <c r="BS124" t="s">
        <v>686</v>
      </c>
      <c r="BT124" t="s">
        <v>686</v>
      </c>
      <c r="BU124" t="b">
        <f t="shared" si="103"/>
        <v>1</v>
      </c>
      <c r="BZ124" t="str">
        <f t="shared" si="88"/>
        <v/>
      </c>
      <c r="CA124" t="b">
        <f t="shared" si="89"/>
        <v>0</v>
      </c>
      <c r="CB124" t="str">
        <f t="shared" si="104"/>
        <v/>
      </c>
      <c r="CC124" t="str">
        <f t="shared" si="90"/>
        <v/>
      </c>
      <c r="CD124" t="b">
        <f t="shared" si="105"/>
        <v>0</v>
      </c>
      <c r="CE124" t="str">
        <f t="shared" si="106"/>
        <v/>
      </c>
      <c r="CG124" t="str">
        <f t="shared" si="91"/>
        <v>G519</v>
      </c>
      <c r="CH124" t="str">
        <f t="shared" si="107"/>
        <v>G519</v>
      </c>
      <c r="CI124" t="str">
        <f t="shared" si="92"/>
        <v>G758</v>
      </c>
      <c r="CJ124" t="str">
        <f t="shared" si="93"/>
        <v>G758</v>
      </c>
      <c r="CK124" t="s">
        <v>1531</v>
      </c>
      <c r="CL124" t="s">
        <v>1531</v>
      </c>
      <c r="CM124" t="s">
        <v>1531</v>
      </c>
      <c r="CN124" t="b">
        <f t="shared" si="108"/>
        <v>1</v>
      </c>
      <c r="CO124" t="str">
        <f t="shared" si="94"/>
        <v>R287</v>
      </c>
      <c r="CP124" t="str">
        <f t="shared" si="109"/>
        <v>R287</v>
      </c>
      <c r="CQ124" t="str">
        <f t="shared" si="95"/>
        <v>R454</v>
      </c>
      <c r="CR124" t="str">
        <f t="shared" si="96"/>
        <v>R454</v>
      </c>
      <c r="CS124" t="s">
        <v>854</v>
      </c>
      <c r="CT124" t="s">
        <v>854</v>
      </c>
      <c r="CU124" t="s">
        <v>854</v>
      </c>
      <c r="CV124" t="b">
        <f t="shared" si="110"/>
        <v>1</v>
      </c>
      <c r="DC124" t="str">
        <f t="shared" si="97"/>
        <v>G758</v>
      </c>
      <c r="DD124" t="b">
        <f t="shared" si="111"/>
        <v>0</v>
      </c>
      <c r="DE124" t="str">
        <f t="shared" si="112"/>
        <v>G758</v>
      </c>
      <c r="DF124" t="str">
        <f t="shared" si="98"/>
        <v>R454</v>
      </c>
      <c r="DG124" t="b">
        <f t="shared" si="113"/>
        <v>0</v>
      </c>
      <c r="DH124" t="str">
        <f t="shared" si="114"/>
        <v>R454</v>
      </c>
    </row>
    <row r="125" spans="2:112" ht="12" customHeight="1">
      <c r="B125" t="str">
        <f>TBIDry!H197</f>
        <v>G231</v>
      </c>
      <c r="C125" t="str">
        <f>TBIDry!I197</f>
        <v>R792</v>
      </c>
      <c r="D125" t="b">
        <f t="shared" si="61"/>
        <v>0</v>
      </c>
      <c r="E125" t="b">
        <f t="shared" si="62"/>
        <v>0</v>
      </c>
      <c r="G125" t="str">
        <f>TBIWet!H197</f>
        <v>G860</v>
      </c>
      <c r="H125" t="str">
        <f>TBIWet!I197</f>
        <v>R11</v>
      </c>
      <c r="I125" t="b">
        <f t="shared" si="63"/>
        <v>0</v>
      </c>
      <c r="J125" t="b">
        <f t="shared" si="64"/>
        <v>0</v>
      </c>
      <c r="L125" t="str">
        <f>'Both teabags AfterWet'!A123</f>
        <v>G521</v>
      </c>
      <c r="M125" t="str">
        <f>'Both teabags AfterWet'!A543</f>
        <v>R289</v>
      </c>
      <c r="N125" t="b">
        <f t="shared" si="65"/>
        <v>0</v>
      </c>
      <c r="O125" t="b">
        <f t="shared" si="115"/>
        <v>0</v>
      </c>
      <c r="Q125" s="388" t="b">
        <f t="shared" si="66"/>
        <v>0</v>
      </c>
      <c r="R125" s="388" t="b">
        <f t="shared" si="67"/>
        <v>0</v>
      </c>
      <c r="T125" t="str">
        <f>'Both teabags AfterDry'!A123</f>
        <v>G250</v>
      </c>
      <c r="U125" t="str">
        <f>'Both teabags AfterDry'!A458</f>
        <v>R514</v>
      </c>
      <c r="V125" t="b">
        <f t="shared" si="68"/>
        <v>0</v>
      </c>
      <c r="W125" t="b">
        <f t="shared" si="99"/>
        <v>0</v>
      </c>
      <c r="Y125" t="str">
        <f>'Green_rooibos initial weight'!A126</f>
        <v>G122</v>
      </c>
      <c r="Z125" t="str">
        <f>'Green_rooibos initial weight'!A1030</f>
        <v>R122</v>
      </c>
      <c r="AA125" t="b">
        <f t="shared" si="69"/>
        <v>0</v>
      </c>
      <c r="AB125" t="b">
        <f t="shared" si="70"/>
        <v>0</v>
      </c>
      <c r="AE125" t="str">
        <f>'WetLitterbags placem_collection'!K124</f>
        <v>G860</v>
      </c>
      <c r="AF125" t="str">
        <f>'WetLitterbags placem_collection'!M124</f>
        <v>R11</v>
      </c>
      <c r="AG125" t="b">
        <f t="shared" si="71"/>
        <v>0</v>
      </c>
      <c r="AH125" t="b">
        <f t="shared" si="72"/>
        <v>0</v>
      </c>
      <c r="AJ125" t="b">
        <f t="shared" si="73"/>
        <v>0</v>
      </c>
      <c r="AK125" t="b">
        <f t="shared" si="74"/>
        <v>0</v>
      </c>
      <c r="AM125" t="str">
        <f>IF(ISBLANK('Dry_Litterbag Placem_Collection'!J124),"","G"&amp;""&amp;'Dry_Litterbag Placem_Collection'!J124)</f>
        <v>G231</v>
      </c>
      <c r="AN125" t="str">
        <f>IF(ISBLANK('Dry_Litterbag Placem_Collection'!K124),"","R"&amp;""&amp;'Dry_Litterbag Placem_Collection'!K124)</f>
        <v>R792</v>
      </c>
      <c r="AO125" t="b">
        <f t="shared" si="75"/>
        <v>0</v>
      </c>
      <c r="AP125" t="b">
        <f t="shared" si="76"/>
        <v>0</v>
      </c>
      <c r="AS125" t="str">
        <f>'Ashed teabags dry'!A123</f>
        <v>G250</v>
      </c>
      <c r="AT125" t="str">
        <f>'Ashed teabags dry'!A458</f>
        <v>R514</v>
      </c>
      <c r="AU125" t="b">
        <f t="shared" si="77"/>
        <v>0</v>
      </c>
      <c r="AV125" t="b">
        <f t="shared" si="100"/>
        <v>0</v>
      </c>
      <c r="AX125" s="388" t="b">
        <f t="shared" si="78"/>
        <v>0</v>
      </c>
      <c r="AY125" s="388" t="b">
        <f t="shared" si="79"/>
        <v>0</v>
      </c>
      <c r="BA125" t="str">
        <f>'Ashed teabags wet'!A123</f>
        <v>G521</v>
      </c>
      <c r="BB125" t="str">
        <f>'Ashed teabags wet'!A543</f>
        <v>R289</v>
      </c>
      <c r="BC125" t="b">
        <f t="shared" si="80"/>
        <v>0</v>
      </c>
      <c r="BD125" t="b">
        <f t="shared" si="60"/>
        <v>0</v>
      </c>
      <c r="BF125" t="str">
        <f t="shared" si="81"/>
        <v>G25</v>
      </c>
      <c r="BG125" t="str">
        <f t="shared" si="82"/>
        <v>G25</v>
      </c>
      <c r="BH125" t="str">
        <f t="shared" si="83"/>
        <v>G280</v>
      </c>
      <c r="BI125" t="str">
        <f t="shared" si="101"/>
        <v/>
      </c>
      <c r="BJ125" t="s">
        <v>2025</v>
      </c>
      <c r="BK125" t="s">
        <v>2025</v>
      </c>
      <c r="BL125" t="s">
        <v>2025</v>
      </c>
      <c r="BM125" t="b">
        <f t="shared" si="102"/>
        <v>1</v>
      </c>
      <c r="BN125" t="str">
        <f t="shared" si="84"/>
        <v>R491</v>
      </c>
      <c r="BO125" t="str">
        <f t="shared" si="85"/>
        <v>R491</v>
      </c>
      <c r="BP125" t="str">
        <f t="shared" si="86"/>
        <v>R822</v>
      </c>
      <c r="BQ125" t="str">
        <f t="shared" si="87"/>
        <v/>
      </c>
      <c r="BR125" t="s">
        <v>650</v>
      </c>
      <c r="BS125" t="s">
        <v>650</v>
      </c>
      <c r="BT125" t="s">
        <v>650</v>
      </c>
      <c r="BU125" t="b">
        <f t="shared" si="103"/>
        <v>1</v>
      </c>
      <c r="BZ125" t="str">
        <f t="shared" si="88"/>
        <v>G280</v>
      </c>
      <c r="CA125" t="b">
        <f t="shared" si="89"/>
        <v>1</v>
      </c>
      <c r="CB125" t="str">
        <f t="shared" si="104"/>
        <v/>
      </c>
      <c r="CC125" t="str">
        <f t="shared" si="90"/>
        <v>R822</v>
      </c>
      <c r="CD125" t="b">
        <f t="shared" si="105"/>
        <v>1</v>
      </c>
      <c r="CE125" t="str">
        <f t="shared" si="106"/>
        <v/>
      </c>
      <c r="CG125" t="str">
        <f t="shared" si="91"/>
        <v>G520</v>
      </c>
      <c r="CH125" t="str">
        <f t="shared" si="107"/>
        <v>G520</v>
      </c>
      <c r="CI125" t="str">
        <f t="shared" si="92"/>
        <v>G666</v>
      </c>
      <c r="CJ125" t="str">
        <f t="shared" si="93"/>
        <v>G666</v>
      </c>
      <c r="CK125" t="s">
        <v>1530</v>
      </c>
      <c r="CL125" t="s">
        <v>1530</v>
      </c>
      <c r="CM125" t="s">
        <v>1530</v>
      </c>
      <c r="CN125" t="b">
        <f t="shared" si="108"/>
        <v>1</v>
      </c>
      <c r="CO125" t="str">
        <f t="shared" si="94"/>
        <v>R288</v>
      </c>
      <c r="CP125" t="str">
        <f t="shared" si="109"/>
        <v>R288</v>
      </c>
      <c r="CQ125" t="str">
        <f t="shared" si="95"/>
        <v>R532</v>
      </c>
      <c r="CR125" t="str">
        <f t="shared" si="96"/>
        <v>R532</v>
      </c>
      <c r="CS125" t="s">
        <v>853</v>
      </c>
      <c r="CT125" t="s">
        <v>853</v>
      </c>
      <c r="CU125" t="s">
        <v>853</v>
      </c>
      <c r="CV125" t="b">
        <f t="shared" si="110"/>
        <v>1</v>
      </c>
      <c r="DC125" t="str">
        <f t="shared" si="97"/>
        <v>G666</v>
      </c>
      <c r="DD125" t="b">
        <f t="shared" si="111"/>
        <v>0</v>
      </c>
      <c r="DE125" t="str">
        <f t="shared" si="112"/>
        <v>G666</v>
      </c>
      <c r="DF125" t="str">
        <f t="shared" si="98"/>
        <v>R532</v>
      </c>
      <c r="DG125" t="b">
        <f t="shared" si="113"/>
        <v>0</v>
      </c>
      <c r="DH125" t="str">
        <f t="shared" si="114"/>
        <v>R532</v>
      </c>
    </row>
    <row r="126" spans="2:112" ht="12" customHeight="1">
      <c r="B126" t="str">
        <f>TBIDry!H198</f>
        <v>G292</v>
      </c>
      <c r="C126" t="str">
        <f>TBIDry!I198</f>
        <v>R740</v>
      </c>
      <c r="D126" t="b">
        <f t="shared" si="61"/>
        <v>0</v>
      </c>
      <c r="E126" t="b">
        <f t="shared" si="62"/>
        <v>0</v>
      </c>
      <c r="G126" t="str">
        <f>TBIWet!H198</f>
        <v>G694</v>
      </c>
      <c r="H126" t="str">
        <f>TBIWet!I198</f>
        <v>R575</v>
      </c>
      <c r="I126" t="b">
        <f t="shared" si="63"/>
        <v>0</v>
      </c>
      <c r="J126" t="b">
        <f t="shared" si="64"/>
        <v>0</v>
      </c>
      <c r="L126" t="str">
        <f>'Both teabags AfterWet'!A124</f>
        <v>G522</v>
      </c>
      <c r="M126" t="str">
        <f>'Both teabags AfterWet'!A544</f>
        <v>R29</v>
      </c>
      <c r="N126" t="b">
        <f t="shared" si="65"/>
        <v>0</v>
      </c>
      <c r="O126" t="b">
        <f t="shared" si="115"/>
        <v>0</v>
      </c>
      <c r="Q126" s="388" t="b">
        <f t="shared" si="66"/>
        <v>0</v>
      </c>
      <c r="R126" s="388" t="b">
        <f t="shared" si="67"/>
        <v>0</v>
      </c>
      <c r="T126" t="str">
        <f>'Both teabags AfterDry'!A124</f>
        <v>G253</v>
      </c>
      <c r="U126" t="str">
        <f>'Both teabags AfterDry'!A459</f>
        <v>R516</v>
      </c>
      <c r="V126" t="b">
        <f t="shared" si="68"/>
        <v>0</v>
      </c>
      <c r="W126" t="b">
        <f t="shared" si="99"/>
        <v>0</v>
      </c>
      <c r="Y126" t="str">
        <f>'Green_rooibos initial weight'!A127</f>
        <v>G123</v>
      </c>
      <c r="Z126" t="str">
        <f>'Green_rooibos initial weight'!A1031</f>
        <v>R123</v>
      </c>
      <c r="AA126" t="b">
        <f t="shared" si="69"/>
        <v>0</v>
      </c>
      <c r="AB126" t="b">
        <f t="shared" si="70"/>
        <v>0</v>
      </c>
      <c r="AE126" t="str">
        <f>'WetLitterbags placem_collection'!K125</f>
        <v>G694</v>
      </c>
      <c r="AF126" t="str">
        <f>'WetLitterbags placem_collection'!M125</f>
        <v>R575</v>
      </c>
      <c r="AG126" t="b">
        <f t="shared" si="71"/>
        <v>0</v>
      </c>
      <c r="AH126" t="b">
        <f t="shared" si="72"/>
        <v>0</v>
      </c>
      <c r="AJ126" t="b">
        <f t="shared" si="73"/>
        <v>0</v>
      </c>
      <c r="AK126" t="b">
        <f t="shared" si="74"/>
        <v>0</v>
      </c>
      <c r="AM126" t="str">
        <f>IF(ISBLANK('Dry_Litterbag Placem_Collection'!J125),"","G"&amp;""&amp;'Dry_Litterbag Placem_Collection'!J125)</f>
        <v>G292</v>
      </c>
      <c r="AN126" t="str">
        <f>IF(ISBLANK('Dry_Litterbag Placem_Collection'!K125),"","R"&amp;""&amp;'Dry_Litterbag Placem_Collection'!K125)</f>
        <v>R740</v>
      </c>
      <c r="AO126" t="b">
        <f t="shared" si="75"/>
        <v>0</v>
      </c>
      <c r="AP126" t="b">
        <f t="shared" si="76"/>
        <v>0</v>
      </c>
      <c r="AS126" t="str">
        <f>'Ashed teabags dry'!A124</f>
        <v>G253</v>
      </c>
      <c r="AT126" t="str">
        <f>'Ashed teabags dry'!A459</f>
        <v>R516</v>
      </c>
      <c r="AU126" t="b">
        <f t="shared" si="77"/>
        <v>0</v>
      </c>
      <c r="AV126" t="b">
        <f t="shared" si="100"/>
        <v>0</v>
      </c>
      <c r="AX126" s="388" t="b">
        <f t="shared" si="78"/>
        <v>0</v>
      </c>
      <c r="AY126" s="388" t="b">
        <f t="shared" si="79"/>
        <v>0</v>
      </c>
      <c r="BA126" t="str">
        <f>'Ashed teabags wet'!A124</f>
        <v>G522</v>
      </c>
      <c r="BB126" t="str">
        <f>'Ashed teabags wet'!A544</f>
        <v>R29</v>
      </c>
      <c r="BC126" t="b">
        <f t="shared" si="80"/>
        <v>0</v>
      </c>
      <c r="BD126" t="b">
        <f t="shared" si="60"/>
        <v>0</v>
      </c>
      <c r="BF126" t="str">
        <f t="shared" si="81"/>
        <v>G250</v>
      </c>
      <c r="BG126" t="str">
        <f t="shared" si="82"/>
        <v>G250</v>
      </c>
      <c r="BH126" t="str">
        <f t="shared" si="83"/>
        <v>G231</v>
      </c>
      <c r="BI126" t="str">
        <f t="shared" si="101"/>
        <v>G231</v>
      </c>
      <c r="BJ126" t="s">
        <v>1800</v>
      </c>
      <c r="BK126" t="s">
        <v>1800</v>
      </c>
      <c r="BL126" t="s">
        <v>1800</v>
      </c>
      <c r="BM126" t="b">
        <f t="shared" si="102"/>
        <v>1</v>
      </c>
      <c r="BN126" t="str">
        <f t="shared" si="84"/>
        <v>R514</v>
      </c>
      <c r="BO126" t="str">
        <f t="shared" si="85"/>
        <v>R514</v>
      </c>
      <c r="BP126" t="str">
        <f t="shared" si="86"/>
        <v>R792</v>
      </c>
      <c r="BQ126" t="str">
        <f t="shared" si="87"/>
        <v>R792</v>
      </c>
      <c r="BR126" t="s">
        <v>627</v>
      </c>
      <c r="BS126" t="s">
        <v>627</v>
      </c>
      <c r="BT126" t="s">
        <v>627</v>
      </c>
      <c r="BU126" t="b">
        <f t="shared" si="103"/>
        <v>1</v>
      </c>
      <c r="BZ126" t="str">
        <f t="shared" si="88"/>
        <v>G231</v>
      </c>
      <c r="CA126" t="b">
        <f t="shared" si="89"/>
        <v>0</v>
      </c>
      <c r="CB126" t="str">
        <f t="shared" si="104"/>
        <v>G231</v>
      </c>
      <c r="CC126" t="str">
        <f t="shared" si="90"/>
        <v>R792</v>
      </c>
      <c r="CD126" t="b">
        <f t="shared" si="105"/>
        <v>0</v>
      </c>
      <c r="CE126" t="str">
        <f t="shared" si="106"/>
        <v>R792</v>
      </c>
      <c r="CG126" t="str">
        <f t="shared" si="91"/>
        <v>G521</v>
      </c>
      <c r="CH126" t="str">
        <f t="shared" si="107"/>
        <v>G521</v>
      </c>
      <c r="CI126" t="str">
        <f t="shared" si="92"/>
        <v>G860</v>
      </c>
      <c r="CJ126" t="str">
        <f t="shared" si="93"/>
        <v>G860</v>
      </c>
      <c r="CK126" t="s">
        <v>1529</v>
      </c>
      <c r="CL126" t="s">
        <v>1529</v>
      </c>
      <c r="CM126" t="s">
        <v>1529</v>
      </c>
      <c r="CN126" t="b">
        <f t="shared" si="108"/>
        <v>1</v>
      </c>
      <c r="CO126" t="str">
        <f t="shared" si="94"/>
        <v>R289</v>
      </c>
      <c r="CP126" t="str">
        <f t="shared" si="109"/>
        <v>R289</v>
      </c>
      <c r="CQ126" t="str">
        <f t="shared" si="95"/>
        <v>R11</v>
      </c>
      <c r="CR126" t="str">
        <f t="shared" si="96"/>
        <v>R11</v>
      </c>
      <c r="CS126" t="s">
        <v>852</v>
      </c>
      <c r="CT126" t="s">
        <v>852</v>
      </c>
      <c r="CU126" t="s">
        <v>852</v>
      </c>
      <c r="CV126" t="b">
        <f t="shared" si="110"/>
        <v>1</v>
      </c>
      <c r="DC126" t="str">
        <f t="shared" si="97"/>
        <v>G860</v>
      </c>
      <c r="DD126" t="b">
        <f t="shared" si="111"/>
        <v>0</v>
      </c>
      <c r="DE126" t="str">
        <f t="shared" si="112"/>
        <v>G860</v>
      </c>
      <c r="DF126" t="str">
        <f t="shared" si="98"/>
        <v>R11</v>
      </c>
      <c r="DG126" t="b">
        <f t="shared" si="113"/>
        <v>0</v>
      </c>
      <c r="DH126" t="str">
        <f t="shared" si="114"/>
        <v>R11</v>
      </c>
    </row>
    <row r="127" spans="2:112" ht="12" customHeight="1">
      <c r="B127" t="str">
        <f>TBIDry!H199</f>
        <v>G116</v>
      </c>
      <c r="C127" t="str">
        <f>TBIDry!I199</f>
        <v>R797</v>
      </c>
      <c r="D127" t="b">
        <f t="shared" si="61"/>
        <v>0</v>
      </c>
      <c r="E127" t="b">
        <f t="shared" si="62"/>
        <v>0</v>
      </c>
      <c r="G127" t="str">
        <f>TBIWet!H199</f>
        <v>G867</v>
      </c>
      <c r="H127" t="str">
        <f>TBIWet!I199</f>
        <v>R39</v>
      </c>
      <c r="I127" t="b">
        <f t="shared" si="63"/>
        <v>0</v>
      </c>
      <c r="J127" t="b">
        <f t="shared" si="64"/>
        <v>0</v>
      </c>
      <c r="L127" t="str">
        <f>'Both teabags AfterWet'!A125</f>
        <v>G523</v>
      </c>
      <c r="M127" t="str">
        <f>'Both teabags AfterWet'!A545</f>
        <v>R290</v>
      </c>
      <c r="N127" t="b">
        <f t="shared" si="65"/>
        <v>0</v>
      </c>
      <c r="O127" t="b">
        <f t="shared" si="115"/>
        <v>0</v>
      </c>
      <c r="Q127" s="388" t="b">
        <f t="shared" si="66"/>
        <v>0</v>
      </c>
      <c r="R127" s="388" t="b">
        <f t="shared" si="67"/>
        <v>0</v>
      </c>
      <c r="T127" t="str">
        <f>'Both teabags AfterDry'!A125</f>
        <v>G254</v>
      </c>
      <c r="U127" t="str">
        <f>'Both teabags AfterDry'!A460</f>
        <v>R52</v>
      </c>
      <c r="V127" t="b">
        <f t="shared" si="68"/>
        <v>0</v>
      </c>
      <c r="W127" t="b">
        <f t="shared" si="99"/>
        <v>0</v>
      </c>
      <c r="Y127" t="str">
        <f>'Green_rooibos initial weight'!A128</f>
        <v>G124</v>
      </c>
      <c r="Z127" t="str">
        <f>'Green_rooibos initial weight'!A1032</f>
        <v>R124</v>
      </c>
      <c r="AA127" t="b">
        <f t="shared" si="69"/>
        <v>0</v>
      </c>
      <c r="AB127" t="b">
        <f t="shared" si="70"/>
        <v>0</v>
      </c>
      <c r="AE127" t="str">
        <f>'WetLitterbags placem_collection'!K126</f>
        <v>G867</v>
      </c>
      <c r="AF127" t="str">
        <f>'WetLitterbags placem_collection'!M126</f>
        <v>R39</v>
      </c>
      <c r="AG127" t="b">
        <f t="shared" si="71"/>
        <v>0</v>
      </c>
      <c r="AH127" t="b">
        <f t="shared" si="72"/>
        <v>0</v>
      </c>
      <c r="AJ127" t="b">
        <f t="shared" si="73"/>
        <v>0</v>
      </c>
      <c r="AK127" t="b">
        <f t="shared" si="74"/>
        <v>0</v>
      </c>
      <c r="AM127" t="str">
        <f>IF(ISBLANK('Dry_Litterbag Placem_Collection'!J126),"","G"&amp;""&amp;'Dry_Litterbag Placem_Collection'!J126)</f>
        <v>G116</v>
      </c>
      <c r="AN127" t="str">
        <f>IF(ISBLANK('Dry_Litterbag Placem_Collection'!K126),"","R"&amp;""&amp;'Dry_Litterbag Placem_Collection'!K126)</f>
        <v>R797</v>
      </c>
      <c r="AO127" t="b">
        <f t="shared" si="75"/>
        <v>0</v>
      </c>
      <c r="AP127" t="b">
        <f t="shared" si="76"/>
        <v>0</v>
      </c>
      <c r="AS127" t="str">
        <f>'Ashed teabags dry'!A125</f>
        <v>G254</v>
      </c>
      <c r="AT127" t="str">
        <f>'Ashed teabags dry'!A460</f>
        <v>R52</v>
      </c>
      <c r="AU127" t="b">
        <f t="shared" si="77"/>
        <v>0</v>
      </c>
      <c r="AV127" t="b">
        <f t="shared" si="100"/>
        <v>0</v>
      </c>
      <c r="AX127" s="388" t="b">
        <f t="shared" si="78"/>
        <v>0</v>
      </c>
      <c r="AY127" s="388" t="b">
        <f t="shared" si="79"/>
        <v>0</v>
      </c>
      <c r="BA127" t="str">
        <f>'Ashed teabags wet'!A125</f>
        <v>G523</v>
      </c>
      <c r="BB127" t="str">
        <f>'Ashed teabags wet'!A545</f>
        <v>R290</v>
      </c>
      <c r="BC127" t="b">
        <f t="shared" si="80"/>
        <v>0</v>
      </c>
      <c r="BD127" t="b">
        <f t="shared" si="60"/>
        <v>0</v>
      </c>
      <c r="BF127" t="str">
        <f t="shared" si="81"/>
        <v>G253</v>
      </c>
      <c r="BG127" t="str">
        <f t="shared" si="82"/>
        <v>G253</v>
      </c>
      <c r="BH127" t="str">
        <f t="shared" si="83"/>
        <v>G292</v>
      </c>
      <c r="BI127" t="str">
        <f t="shared" si="101"/>
        <v>G292</v>
      </c>
      <c r="BJ127" t="s">
        <v>1797</v>
      </c>
      <c r="BK127" t="s">
        <v>1797</v>
      </c>
      <c r="BL127" t="s">
        <v>1797</v>
      </c>
      <c r="BM127" t="b">
        <f t="shared" si="102"/>
        <v>1</v>
      </c>
      <c r="BN127" t="str">
        <f t="shared" si="84"/>
        <v>R516</v>
      </c>
      <c r="BO127" t="str">
        <f t="shared" si="85"/>
        <v>R516</v>
      </c>
      <c r="BP127" t="str">
        <f t="shared" si="86"/>
        <v>R740</v>
      </c>
      <c r="BQ127" t="str">
        <f t="shared" si="87"/>
        <v>R740</v>
      </c>
      <c r="BR127" t="s">
        <v>625</v>
      </c>
      <c r="BS127" t="s">
        <v>625</v>
      </c>
      <c r="BT127" t="s">
        <v>625</v>
      </c>
      <c r="BU127" t="b">
        <f t="shared" si="103"/>
        <v>1</v>
      </c>
      <c r="BZ127" t="str">
        <f t="shared" si="88"/>
        <v>G292</v>
      </c>
      <c r="CA127" t="b">
        <f t="shared" si="89"/>
        <v>0</v>
      </c>
      <c r="CB127" t="str">
        <f t="shared" si="104"/>
        <v>G292</v>
      </c>
      <c r="CC127" t="str">
        <f t="shared" si="90"/>
        <v>R740</v>
      </c>
      <c r="CD127" t="b">
        <f t="shared" si="105"/>
        <v>0</v>
      </c>
      <c r="CE127" t="str">
        <f t="shared" si="106"/>
        <v>R740</v>
      </c>
      <c r="CG127" t="str">
        <f t="shared" si="91"/>
        <v>G522</v>
      </c>
      <c r="CH127" t="str">
        <f t="shared" si="107"/>
        <v>G522</v>
      </c>
      <c r="CI127" t="str">
        <f t="shared" si="92"/>
        <v>G694</v>
      </c>
      <c r="CJ127" t="str">
        <f t="shared" si="93"/>
        <v>G694</v>
      </c>
      <c r="CK127" t="s">
        <v>1528</v>
      </c>
      <c r="CL127" t="s">
        <v>1528</v>
      </c>
      <c r="CM127" t="s">
        <v>1528</v>
      </c>
      <c r="CN127" t="b">
        <f t="shared" si="108"/>
        <v>1</v>
      </c>
      <c r="CO127" t="str">
        <f t="shared" si="94"/>
        <v>R29</v>
      </c>
      <c r="CP127" t="str">
        <f t="shared" si="109"/>
        <v>R29</v>
      </c>
      <c r="CQ127" t="str">
        <f t="shared" si="95"/>
        <v>R575</v>
      </c>
      <c r="CR127" t="str">
        <f t="shared" si="96"/>
        <v>R575</v>
      </c>
      <c r="CS127" t="s">
        <v>1112</v>
      </c>
      <c r="CT127" t="s">
        <v>1112</v>
      </c>
      <c r="CU127" t="s">
        <v>1112</v>
      </c>
      <c r="CV127" t="b">
        <f t="shared" si="110"/>
        <v>1</v>
      </c>
      <c r="DC127" t="str">
        <f t="shared" si="97"/>
        <v>G694</v>
      </c>
      <c r="DD127" t="b">
        <f t="shared" si="111"/>
        <v>0</v>
      </c>
      <c r="DE127" t="str">
        <f t="shared" si="112"/>
        <v>G694</v>
      </c>
      <c r="DF127" t="str">
        <f t="shared" si="98"/>
        <v>R575</v>
      </c>
      <c r="DG127" t="b">
        <f t="shared" si="113"/>
        <v>0</v>
      </c>
      <c r="DH127" t="str">
        <f t="shared" si="114"/>
        <v>R575</v>
      </c>
    </row>
    <row r="128" spans="2:112" ht="12" customHeight="1">
      <c r="B128" t="str">
        <f>TBIDry!H200</f>
        <v>G50</v>
      </c>
      <c r="C128" t="str">
        <f>TBIDry!I200</f>
        <v>R795</v>
      </c>
      <c r="D128" t="b">
        <f t="shared" si="61"/>
        <v>0</v>
      </c>
      <c r="E128" t="b">
        <f t="shared" si="62"/>
        <v>0</v>
      </c>
      <c r="G128" t="str">
        <f>TBIWet!H200</f>
        <v>G793</v>
      </c>
      <c r="H128" t="str">
        <f>TBIWet!I200</f>
        <v>R560</v>
      </c>
      <c r="I128" t="b">
        <f t="shared" si="63"/>
        <v>0</v>
      </c>
      <c r="J128" t="b">
        <f t="shared" si="64"/>
        <v>0</v>
      </c>
      <c r="L128" t="str">
        <f>'Both teabags AfterWet'!A126</f>
        <v>G524</v>
      </c>
      <c r="M128" t="str">
        <f>'Both teabags AfterWet'!A546</f>
        <v>R291</v>
      </c>
      <c r="N128" t="b">
        <f t="shared" si="65"/>
        <v>0</v>
      </c>
      <c r="O128" t="b">
        <f t="shared" si="115"/>
        <v>0</v>
      </c>
      <c r="Q128" s="388" t="b">
        <f t="shared" si="66"/>
        <v>0</v>
      </c>
      <c r="R128" s="388" t="b">
        <f t="shared" si="67"/>
        <v>0</v>
      </c>
      <c r="T128" t="str">
        <f>'Both teabags AfterDry'!A126</f>
        <v>G255</v>
      </c>
      <c r="U128" t="str">
        <f>'Both teabags AfterDry'!A461</f>
        <v>R551</v>
      </c>
      <c r="V128" t="b">
        <f t="shared" si="68"/>
        <v>0</v>
      </c>
      <c r="W128" t="b">
        <f t="shared" si="99"/>
        <v>0</v>
      </c>
      <c r="Y128" t="str">
        <f>'Green_rooibos initial weight'!A129</f>
        <v>G125</v>
      </c>
      <c r="Z128" t="str">
        <f>'Green_rooibos initial weight'!A1033</f>
        <v>R125</v>
      </c>
      <c r="AA128" t="b">
        <f t="shared" si="69"/>
        <v>0</v>
      </c>
      <c r="AB128" t="b">
        <f t="shared" si="70"/>
        <v>0</v>
      </c>
      <c r="AE128" t="str">
        <f>'WetLitterbags placem_collection'!K127</f>
        <v>G793</v>
      </c>
      <c r="AF128" t="str">
        <f>'WetLitterbags placem_collection'!M127</f>
        <v>R560</v>
      </c>
      <c r="AG128" t="b">
        <f t="shared" si="71"/>
        <v>0</v>
      </c>
      <c r="AH128" t="b">
        <f t="shared" si="72"/>
        <v>0</v>
      </c>
      <c r="AJ128" t="b">
        <f t="shared" si="73"/>
        <v>0</v>
      </c>
      <c r="AK128" t="b">
        <f t="shared" si="74"/>
        <v>0</v>
      </c>
      <c r="AM128" t="str">
        <f>IF(ISBLANK('Dry_Litterbag Placem_Collection'!J127),"","G"&amp;""&amp;'Dry_Litterbag Placem_Collection'!J127)</f>
        <v>G50</v>
      </c>
      <c r="AN128" t="str">
        <f>IF(ISBLANK('Dry_Litterbag Placem_Collection'!K127),"","R"&amp;""&amp;'Dry_Litterbag Placem_Collection'!K127)</f>
        <v>R795</v>
      </c>
      <c r="AO128" t="b">
        <f t="shared" si="75"/>
        <v>0</v>
      </c>
      <c r="AP128" t="b">
        <f t="shared" si="76"/>
        <v>0</v>
      </c>
      <c r="AS128" t="str">
        <f>'Ashed teabags dry'!A126</f>
        <v>G255</v>
      </c>
      <c r="AT128" t="str">
        <f>'Ashed teabags dry'!A461</f>
        <v>R551</v>
      </c>
      <c r="AU128" t="b">
        <f t="shared" si="77"/>
        <v>0</v>
      </c>
      <c r="AV128" t="b">
        <f t="shared" si="100"/>
        <v>0</v>
      </c>
      <c r="AX128" s="388" t="b">
        <f t="shared" si="78"/>
        <v>0</v>
      </c>
      <c r="AY128" s="388" t="b">
        <f t="shared" si="79"/>
        <v>0</v>
      </c>
      <c r="BA128" t="str">
        <f>'Ashed teabags wet'!A126</f>
        <v>G524</v>
      </c>
      <c r="BB128" t="str">
        <f>'Ashed teabags wet'!A546</f>
        <v>R291</v>
      </c>
      <c r="BC128" t="b">
        <f t="shared" si="80"/>
        <v>0</v>
      </c>
      <c r="BD128" t="b">
        <f t="shared" si="60"/>
        <v>0</v>
      </c>
      <c r="BF128" t="str">
        <f t="shared" si="81"/>
        <v>G254</v>
      </c>
      <c r="BG128" t="str">
        <f t="shared" si="82"/>
        <v>G254</v>
      </c>
      <c r="BH128" t="str">
        <f t="shared" si="83"/>
        <v>G116</v>
      </c>
      <c r="BI128" t="str">
        <f t="shared" si="101"/>
        <v>G116</v>
      </c>
      <c r="BJ128" t="s">
        <v>1796</v>
      </c>
      <c r="BK128" t="s">
        <v>1796</v>
      </c>
      <c r="BL128" t="s">
        <v>1796</v>
      </c>
      <c r="BM128" t="b">
        <f t="shared" si="102"/>
        <v>1</v>
      </c>
      <c r="BN128" t="str">
        <f t="shared" si="84"/>
        <v>R52</v>
      </c>
      <c r="BO128" t="str">
        <f t="shared" si="85"/>
        <v>R52</v>
      </c>
      <c r="BP128" t="str">
        <f t="shared" si="86"/>
        <v>R797</v>
      </c>
      <c r="BQ128" t="str">
        <f t="shared" si="87"/>
        <v>R797</v>
      </c>
      <c r="BR128" t="s">
        <v>1089</v>
      </c>
      <c r="BS128" t="s">
        <v>1089</v>
      </c>
      <c r="BT128" t="s">
        <v>1089</v>
      </c>
      <c r="BU128" t="b">
        <f t="shared" si="103"/>
        <v>1</v>
      </c>
      <c r="BV128" s="113"/>
      <c r="BW128" s="113"/>
      <c r="BZ128" t="str">
        <f t="shared" si="88"/>
        <v>G116</v>
      </c>
      <c r="CA128" t="b">
        <f t="shared" si="89"/>
        <v>0</v>
      </c>
      <c r="CB128" t="str">
        <f t="shared" si="104"/>
        <v>G116</v>
      </c>
      <c r="CC128" t="str">
        <f t="shared" si="90"/>
        <v>R797</v>
      </c>
      <c r="CD128" t="b">
        <f t="shared" si="105"/>
        <v>0</v>
      </c>
      <c r="CE128" t="str">
        <f t="shared" si="106"/>
        <v>R797</v>
      </c>
      <c r="CG128" t="str">
        <f t="shared" si="91"/>
        <v>G523</v>
      </c>
      <c r="CH128" t="str">
        <f t="shared" si="107"/>
        <v>G523</v>
      </c>
      <c r="CI128" t="str">
        <f t="shared" si="92"/>
        <v>G867</v>
      </c>
      <c r="CJ128" t="str">
        <f t="shared" si="93"/>
        <v>G867</v>
      </c>
      <c r="CK128" t="s">
        <v>1527</v>
      </c>
      <c r="CL128" t="s">
        <v>1527</v>
      </c>
      <c r="CM128" t="s">
        <v>1527</v>
      </c>
      <c r="CN128" t="b">
        <f t="shared" si="108"/>
        <v>1</v>
      </c>
      <c r="CO128" t="str">
        <f t="shared" si="94"/>
        <v>R290</v>
      </c>
      <c r="CP128" t="str">
        <f t="shared" si="109"/>
        <v>R290</v>
      </c>
      <c r="CQ128" t="str">
        <f t="shared" si="95"/>
        <v>R39</v>
      </c>
      <c r="CR128" t="str">
        <f t="shared" si="96"/>
        <v>R39</v>
      </c>
      <c r="CS128" t="s">
        <v>851</v>
      </c>
      <c r="CT128" t="s">
        <v>851</v>
      </c>
      <c r="CU128" t="s">
        <v>851</v>
      </c>
      <c r="CV128" t="b">
        <f t="shared" si="110"/>
        <v>1</v>
      </c>
      <c r="DC128" t="str">
        <f t="shared" si="97"/>
        <v>G867</v>
      </c>
      <c r="DD128" t="b">
        <f t="shared" si="111"/>
        <v>0</v>
      </c>
      <c r="DE128" t="str">
        <f t="shared" si="112"/>
        <v>G867</v>
      </c>
      <c r="DF128" t="str">
        <f t="shared" si="98"/>
        <v>R39</v>
      </c>
      <c r="DG128" t="b">
        <f t="shared" si="113"/>
        <v>0</v>
      </c>
      <c r="DH128" t="str">
        <f t="shared" si="114"/>
        <v>R39</v>
      </c>
    </row>
    <row r="129" spans="2:112" ht="12" customHeight="1">
      <c r="B129" t="str">
        <f>TBIDry!H201</f>
        <v/>
      </c>
      <c r="C129" t="str">
        <f>TBIDry!I201</f>
        <v/>
      </c>
      <c r="D129" t="b">
        <f t="shared" si="61"/>
        <v>1</v>
      </c>
      <c r="E129" t="b">
        <f t="shared" si="62"/>
        <v>1</v>
      </c>
      <c r="G129" t="str">
        <f>TBIWet!H201</f>
        <v>G749</v>
      </c>
      <c r="H129" t="str">
        <f>TBIWet!I201</f>
        <v>R562</v>
      </c>
      <c r="I129" t="b">
        <f t="shared" si="63"/>
        <v>0</v>
      </c>
      <c r="J129" t="b">
        <f t="shared" si="64"/>
        <v>0</v>
      </c>
      <c r="L129" t="str">
        <f>'Both teabags AfterWet'!A127</f>
        <v>G525</v>
      </c>
      <c r="M129" t="str">
        <f>'Both teabags AfterWet'!A547</f>
        <v>R293</v>
      </c>
      <c r="N129" t="b">
        <f t="shared" si="65"/>
        <v>0</v>
      </c>
      <c r="O129" t="b">
        <f t="shared" si="115"/>
        <v>0</v>
      </c>
      <c r="Q129" s="388" t="b">
        <f t="shared" si="66"/>
        <v>0</v>
      </c>
      <c r="R129" s="388" t="b">
        <f t="shared" si="67"/>
        <v>0</v>
      </c>
      <c r="T129" t="str">
        <f>'Both teabags AfterDry'!A127</f>
        <v>G256</v>
      </c>
      <c r="U129" t="str">
        <f>'Both teabags AfterDry'!A462</f>
        <v>R586</v>
      </c>
      <c r="V129" t="b">
        <f t="shared" si="68"/>
        <v>0</v>
      </c>
      <c r="W129" t="b">
        <f t="shared" si="99"/>
        <v>0</v>
      </c>
      <c r="Y129" t="str">
        <f>'Green_rooibos initial weight'!A130</f>
        <v>G126</v>
      </c>
      <c r="Z129" t="str">
        <f>'Green_rooibos initial weight'!A1034</f>
        <v>R126</v>
      </c>
      <c r="AA129" t="b">
        <f t="shared" si="69"/>
        <v>0</v>
      </c>
      <c r="AB129" t="b">
        <f t="shared" si="70"/>
        <v>0</v>
      </c>
      <c r="AE129" t="str">
        <f>'WetLitterbags placem_collection'!K128</f>
        <v>G749</v>
      </c>
      <c r="AF129" t="str">
        <f>'WetLitterbags placem_collection'!M128</f>
        <v>R562</v>
      </c>
      <c r="AG129" t="b">
        <f t="shared" si="71"/>
        <v>0</v>
      </c>
      <c r="AH129" t="b">
        <f t="shared" si="72"/>
        <v>0</v>
      </c>
      <c r="AJ129" t="b">
        <f t="shared" si="73"/>
        <v>0</v>
      </c>
      <c r="AK129" t="b">
        <f t="shared" si="74"/>
        <v>0</v>
      </c>
      <c r="AM129" t="str">
        <f>IF(ISBLANK('Dry_Litterbag Placem_Collection'!J128),"","G"&amp;""&amp;'Dry_Litterbag Placem_Collection'!J128)</f>
        <v/>
      </c>
      <c r="AN129" t="str">
        <f>IF(ISBLANK('Dry_Litterbag Placem_Collection'!K128),"","R"&amp;""&amp;'Dry_Litterbag Placem_Collection'!K128)</f>
        <v/>
      </c>
      <c r="AO129" t="b">
        <f t="shared" si="75"/>
        <v>1</v>
      </c>
      <c r="AP129" t="b">
        <f t="shared" si="76"/>
        <v>1</v>
      </c>
      <c r="AS129" t="str">
        <f>'Ashed teabags dry'!A127</f>
        <v>G256</v>
      </c>
      <c r="AT129" t="str">
        <f>'Ashed teabags dry'!A462</f>
        <v>R586</v>
      </c>
      <c r="AU129" t="b">
        <f t="shared" si="77"/>
        <v>0</v>
      </c>
      <c r="AV129" t="b">
        <f t="shared" si="100"/>
        <v>0</v>
      </c>
      <c r="AX129" s="388" t="b">
        <f t="shared" si="78"/>
        <v>0</v>
      </c>
      <c r="AY129" s="388" t="b">
        <f t="shared" si="79"/>
        <v>0</v>
      </c>
      <c r="BA129" t="str">
        <f>'Ashed teabags wet'!A127</f>
        <v>G525</v>
      </c>
      <c r="BB129" t="str">
        <f>'Ashed teabags wet'!A547</f>
        <v>R293</v>
      </c>
      <c r="BC129" t="b">
        <f t="shared" si="80"/>
        <v>0</v>
      </c>
      <c r="BD129" t="b">
        <f t="shared" si="60"/>
        <v>0</v>
      </c>
      <c r="BF129" t="str">
        <f t="shared" si="81"/>
        <v>G255</v>
      </c>
      <c r="BG129" t="str">
        <f t="shared" si="82"/>
        <v>G255</v>
      </c>
      <c r="BH129" t="str">
        <f t="shared" si="83"/>
        <v>G50</v>
      </c>
      <c r="BI129" t="str">
        <f t="shared" si="101"/>
        <v>G50</v>
      </c>
      <c r="BJ129" t="s">
        <v>1795</v>
      </c>
      <c r="BK129" t="s">
        <v>1795</v>
      </c>
      <c r="BL129" t="s">
        <v>1795</v>
      </c>
      <c r="BM129" t="b">
        <f t="shared" si="102"/>
        <v>1</v>
      </c>
      <c r="BN129" t="str">
        <f t="shared" si="84"/>
        <v>R551</v>
      </c>
      <c r="BO129" t="str">
        <f t="shared" si="85"/>
        <v>R551</v>
      </c>
      <c r="BP129" t="str">
        <f t="shared" si="86"/>
        <v>R795</v>
      </c>
      <c r="BQ129" t="str">
        <f t="shared" si="87"/>
        <v>R795</v>
      </c>
      <c r="BR129" t="s">
        <v>590</v>
      </c>
      <c r="BS129" t="s">
        <v>590</v>
      </c>
      <c r="BT129" t="s">
        <v>590</v>
      </c>
      <c r="BU129" t="b">
        <f t="shared" si="103"/>
        <v>1</v>
      </c>
      <c r="BZ129" t="str">
        <f t="shared" si="88"/>
        <v>G50</v>
      </c>
      <c r="CA129" t="b">
        <f t="shared" si="89"/>
        <v>0</v>
      </c>
      <c r="CB129" t="str">
        <f t="shared" si="104"/>
        <v>G50</v>
      </c>
      <c r="CC129" t="str">
        <f t="shared" si="90"/>
        <v>R795</v>
      </c>
      <c r="CD129" t="b">
        <f t="shared" si="105"/>
        <v>0</v>
      </c>
      <c r="CE129" t="str">
        <f t="shared" si="106"/>
        <v>R795</v>
      </c>
      <c r="CG129" t="str">
        <f t="shared" si="91"/>
        <v>G524</v>
      </c>
      <c r="CH129" t="str">
        <f t="shared" si="107"/>
        <v>G524</v>
      </c>
      <c r="CI129" t="str">
        <f t="shared" si="92"/>
        <v>G793</v>
      </c>
      <c r="CJ129" t="str">
        <f t="shared" si="93"/>
        <v>G793</v>
      </c>
      <c r="CK129" t="s">
        <v>1526</v>
      </c>
      <c r="CL129" t="s">
        <v>1526</v>
      </c>
      <c r="CM129" t="s">
        <v>1526</v>
      </c>
      <c r="CN129" t="b">
        <f t="shared" si="108"/>
        <v>1</v>
      </c>
      <c r="CO129" t="str">
        <f t="shared" si="94"/>
        <v>R291</v>
      </c>
      <c r="CP129" t="str">
        <f t="shared" si="109"/>
        <v>R291</v>
      </c>
      <c r="CQ129" t="str">
        <f t="shared" si="95"/>
        <v>R560</v>
      </c>
      <c r="CR129" t="str">
        <f t="shared" si="96"/>
        <v>R560</v>
      </c>
      <c r="CS129" t="s">
        <v>850</v>
      </c>
      <c r="CT129" t="s">
        <v>850</v>
      </c>
      <c r="CU129" t="s">
        <v>850</v>
      </c>
      <c r="CV129" t="b">
        <f t="shared" si="110"/>
        <v>1</v>
      </c>
      <c r="DC129" t="str">
        <f t="shared" si="97"/>
        <v>G793</v>
      </c>
      <c r="DD129" t="b">
        <f t="shared" si="111"/>
        <v>0</v>
      </c>
      <c r="DE129" t="str">
        <f t="shared" si="112"/>
        <v>G793</v>
      </c>
      <c r="DF129" t="str">
        <f t="shared" si="98"/>
        <v>R560</v>
      </c>
      <c r="DG129" t="b">
        <f t="shared" si="113"/>
        <v>0</v>
      </c>
      <c r="DH129" t="str">
        <f t="shared" si="114"/>
        <v>R560</v>
      </c>
    </row>
    <row r="130" spans="2:112" ht="12" customHeight="1">
      <c r="B130" t="str">
        <f>TBIDry!H202</f>
        <v>G318</v>
      </c>
      <c r="C130" t="str">
        <f>TBIDry!I202</f>
        <v>R751</v>
      </c>
      <c r="D130" t="b">
        <f t="shared" si="61"/>
        <v>0</v>
      </c>
      <c r="E130" t="b">
        <f t="shared" si="62"/>
        <v>0</v>
      </c>
      <c r="G130" t="str">
        <f>TBIWet!H202</f>
        <v>G898</v>
      </c>
      <c r="H130" t="str">
        <f>TBIWet!I202</f>
        <v>R506</v>
      </c>
      <c r="I130" t="b">
        <f t="shared" si="63"/>
        <v>0</v>
      </c>
      <c r="J130" t="b">
        <f t="shared" si="64"/>
        <v>0</v>
      </c>
      <c r="L130" t="str">
        <f>'Both teabags AfterWet'!A128</f>
        <v>G526</v>
      </c>
      <c r="M130" t="str">
        <f>'Both teabags AfterWet'!A548</f>
        <v>R296</v>
      </c>
      <c r="N130" t="b">
        <f t="shared" si="65"/>
        <v>0</v>
      </c>
      <c r="O130" t="b">
        <f t="shared" si="115"/>
        <v>0</v>
      </c>
      <c r="Q130" s="388" t="b">
        <f t="shared" si="66"/>
        <v>0</v>
      </c>
      <c r="R130" s="388" t="b">
        <f t="shared" si="67"/>
        <v>0</v>
      </c>
      <c r="T130" t="str">
        <f>'Both teabags AfterDry'!A128</f>
        <v>G257</v>
      </c>
      <c r="U130" t="str">
        <f>'Both teabags AfterDry'!A463</f>
        <v>R599</v>
      </c>
      <c r="V130" t="b">
        <f t="shared" si="68"/>
        <v>0</v>
      </c>
      <c r="W130" t="b">
        <f t="shared" si="99"/>
        <v>0</v>
      </c>
      <c r="Y130" t="str">
        <f>'Green_rooibos initial weight'!A131</f>
        <v>G127</v>
      </c>
      <c r="Z130" t="str">
        <f>'Green_rooibos initial weight'!A1035</f>
        <v>R127</v>
      </c>
      <c r="AA130" t="b">
        <f t="shared" si="69"/>
        <v>0</v>
      </c>
      <c r="AB130" t="b">
        <f t="shared" si="70"/>
        <v>0</v>
      </c>
      <c r="AE130" t="str">
        <f>'WetLitterbags placem_collection'!K129</f>
        <v>G898</v>
      </c>
      <c r="AF130" t="str">
        <f>'WetLitterbags placem_collection'!M129</f>
        <v>R506</v>
      </c>
      <c r="AG130" t="b">
        <f t="shared" si="71"/>
        <v>0</v>
      </c>
      <c r="AH130" t="b">
        <f t="shared" si="72"/>
        <v>0</v>
      </c>
      <c r="AJ130" t="b">
        <f t="shared" si="73"/>
        <v>0</v>
      </c>
      <c r="AK130" t="b">
        <f t="shared" si="74"/>
        <v>0</v>
      </c>
      <c r="AM130" t="str">
        <f>IF(ISBLANK('Dry_Litterbag Placem_Collection'!J129),"","G"&amp;""&amp;'Dry_Litterbag Placem_Collection'!J129)</f>
        <v>G318</v>
      </c>
      <c r="AN130" t="str">
        <f>IF(ISBLANK('Dry_Litterbag Placem_Collection'!K129),"","R"&amp;""&amp;'Dry_Litterbag Placem_Collection'!K129)</f>
        <v>R751</v>
      </c>
      <c r="AO130" t="b">
        <f t="shared" si="75"/>
        <v>0</v>
      </c>
      <c r="AP130" t="b">
        <f t="shared" si="76"/>
        <v>0</v>
      </c>
      <c r="AS130" t="str">
        <f>'Ashed teabags dry'!A128</f>
        <v>G257</v>
      </c>
      <c r="AT130" t="str">
        <f>'Ashed teabags dry'!A463</f>
        <v>R599</v>
      </c>
      <c r="AU130" t="b">
        <f t="shared" si="77"/>
        <v>0</v>
      </c>
      <c r="AV130" t="b">
        <f t="shared" si="100"/>
        <v>0</v>
      </c>
      <c r="AX130" s="388" t="b">
        <f t="shared" si="78"/>
        <v>0</v>
      </c>
      <c r="AY130" s="388" t="b">
        <f t="shared" si="79"/>
        <v>0</v>
      </c>
      <c r="BA130" t="str">
        <f>'Ashed teabags wet'!A128</f>
        <v>G526</v>
      </c>
      <c r="BB130" t="str">
        <f>'Ashed teabags wet'!A548</f>
        <v>R296</v>
      </c>
      <c r="BC130" t="b">
        <f t="shared" si="80"/>
        <v>0</v>
      </c>
      <c r="BD130" t="b">
        <f t="shared" si="60"/>
        <v>0</v>
      </c>
      <c r="BF130" t="str">
        <f t="shared" si="81"/>
        <v>G256</v>
      </c>
      <c r="BG130" t="str">
        <f t="shared" si="82"/>
        <v>G256</v>
      </c>
      <c r="BH130" t="str">
        <f t="shared" si="83"/>
        <v/>
      </c>
      <c r="BI130" t="str">
        <f t="shared" si="101"/>
        <v/>
      </c>
      <c r="BJ130" t="s">
        <v>1794</v>
      </c>
      <c r="BK130" t="s">
        <v>1794</v>
      </c>
      <c r="BL130" t="s">
        <v>1794</v>
      </c>
      <c r="BM130" t="b">
        <f t="shared" si="102"/>
        <v>1</v>
      </c>
      <c r="BN130" t="str">
        <f t="shared" si="84"/>
        <v>R586</v>
      </c>
      <c r="BO130" t="str">
        <f t="shared" si="85"/>
        <v>R586</v>
      </c>
      <c r="BP130" t="str">
        <f t="shared" si="86"/>
        <v/>
      </c>
      <c r="BQ130" t="str">
        <f t="shared" si="87"/>
        <v/>
      </c>
      <c r="BR130" t="s">
        <v>555</v>
      </c>
      <c r="BS130" t="s">
        <v>555</v>
      </c>
      <c r="BT130" t="s">
        <v>555</v>
      </c>
      <c r="BU130" t="b">
        <f t="shared" si="103"/>
        <v>1</v>
      </c>
      <c r="BZ130" t="str">
        <f t="shared" si="88"/>
        <v/>
      </c>
      <c r="CA130" t="b">
        <f t="shared" si="89"/>
        <v>0</v>
      </c>
      <c r="CB130" t="str">
        <f t="shared" si="104"/>
        <v/>
      </c>
      <c r="CC130" t="str">
        <f t="shared" si="90"/>
        <v/>
      </c>
      <c r="CD130" t="b">
        <f t="shared" si="105"/>
        <v>0</v>
      </c>
      <c r="CE130" t="str">
        <f t="shared" si="106"/>
        <v/>
      </c>
      <c r="CG130" t="str">
        <f t="shared" si="91"/>
        <v>G525</v>
      </c>
      <c r="CH130" t="str">
        <f t="shared" si="107"/>
        <v>G525</v>
      </c>
      <c r="CI130" t="str">
        <f t="shared" si="92"/>
        <v>G749</v>
      </c>
      <c r="CJ130" t="str">
        <f t="shared" si="93"/>
        <v>G749</v>
      </c>
      <c r="CK130" t="s">
        <v>1525</v>
      </c>
      <c r="CL130" t="s">
        <v>1525</v>
      </c>
      <c r="CM130" t="s">
        <v>1525</v>
      </c>
      <c r="CN130" t="b">
        <f t="shared" si="108"/>
        <v>1</v>
      </c>
      <c r="CO130" t="str">
        <f t="shared" si="94"/>
        <v>R293</v>
      </c>
      <c r="CP130" t="str">
        <f t="shared" si="109"/>
        <v>R293</v>
      </c>
      <c r="CQ130" t="str">
        <f t="shared" si="95"/>
        <v>R562</v>
      </c>
      <c r="CR130" t="str">
        <f t="shared" si="96"/>
        <v>R562</v>
      </c>
      <c r="CS130" t="s">
        <v>848</v>
      </c>
      <c r="CT130" t="s">
        <v>848</v>
      </c>
      <c r="CU130" t="s">
        <v>848</v>
      </c>
      <c r="CV130" t="b">
        <f t="shared" si="110"/>
        <v>1</v>
      </c>
      <c r="DC130" t="str">
        <f t="shared" si="97"/>
        <v>G749</v>
      </c>
      <c r="DD130" t="b">
        <f t="shared" si="111"/>
        <v>0</v>
      </c>
      <c r="DE130" t="str">
        <f t="shared" si="112"/>
        <v>G749</v>
      </c>
      <c r="DF130" t="str">
        <f t="shared" si="98"/>
        <v>R562</v>
      </c>
      <c r="DG130" t="b">
        <f t="shared" si="113"/>
        <v>0</v>
      </c>
      <c r="DH130" t="str">
        <f t="shared" si="114"/>
        <v>R562</v>
      </c>
    </row>
    <row r="131" spans="2:112" ht="12" customHeight="1">
      <c r="B131" t="str">
        <f>TBIDry!H203</f>
        <v>G34</v>
      </c>
      <c r="C131" t="str">
        <f>TBIDry!I203</f>
        <v>R819</v>
      </c>
      <c r="D131" t="b">
        <f t="shared" si="61"/>
        <v>0</v>
      </c>
      <c r="E131" s="113" t="b">
        <f t="shared" si="62"/>
        <v>0</v>
      </c>
      <c r="G131" t="str">
        <f>TBIWet!H203</f>
        <v>G834</v>
      </c>
      <c r="H131" t="str">
        <f>TBIWet!I203</f>
        <v>R554</v>
      </c>
      <c r="I131" t="b">
        <f t="shared" si="63"/>
        <v>0</v>
      </c>
      <c r="J131" t="b">
        <f t="shared" si="64"/>
        <v>0</v>
      </c>
      <c r="L131" t="str">
        <f>'Both teabags AfterWet'!A129</f>
        <v>G527</v>
      </c>
      <c r="M131" t="str">
        <f>'Both teabags AfterWet'!A549</f>
        <v>R3</v>
      </c>
      <c r="N131" t="b">
        <f t="shared" si="65"/>
        <v>0</v>
      </c>
      <c r="O131" t="b">
        <f t="shared" si="115"/>
        <v>0</v>
      </c>
      <c r="Q131" s="388" t="b">
        <f t="shared" si="66"/>
        <v>0</v>
      </c>
      <c r="R131" s="388" t="b">
        <f t="shared" si="67"/>
        <v>0</v>
      </c>
      <c r="T131" t="str">
        <f>'Both teabags AfterDry'!A129</f>
        <v>G258</v>
      </c>
      <c r="U131" t="str">
        <f>'Both teabags AfterDry'!A464</f>
        <v>R841</v>
      </c>
      <c r="V131" t="b">
        <f t="shared" si="68"/>
        <v>0</v>
      </c>
      <c r="W131" t="b">
        <f t="shared" si="99"/>
        <v>0</v>
      </c>
      <c r="Y131" t="str">
        <f>'Green_rooibos initial weight'!A132</f>
        <v>G128</v>
      </c>
      <c r="Z131" t="str">
        <f>'Green_rooibos initial weight'!A1036</f>
        <v>R128</v>
      </c>
      <c r="AA131" t="b">
        <f t="shared" si="69"/>
        <v>0</v>
      </c>
      <c r="AB131" t="b">
        <f t="shared" si="70"/>
        <v>0</v>
      </c>
      <c r="AE131" t="str">
        <f>'WetLitterbags placem_collection'!K130</f>
        <v>G834</v>
      </c>
      <c r="AF131" t="str">
        <f>'WetLitterbags placem_collection'!M130</f>
        <v>R554</v>
      </c>
      <c r="AG131" t="b">
        <f t="shared" si="71"/>
        <v>0</v>
      </c>
      <c r="AH131" t="b">
        <f t="shared" si="72"/>
        <v>0</v>
      </c>
      <c r="AJ131" t="b">
        <f t="shared" si="73"/>
        <v>0</v>
      </c>
      <c r="AK131" t="b">
        <f t="shared" si="74"/>
        <v>0</v>
      </c>
      <c r="AM131" t="str">
        <f>IF(ISBLANK('Dry_Litterbag Placem_Collection'!J130),"","G"&amp;""&amp;'Dry_Litterbag Placem_Collection'!J130)</f>
        <v>G34</v>
      </c>
      <c r="AN131" t="str">
        <f>IF(ISBLANK('Dry_Litterbag Placem_Collection'!K130),"","R"&amp;""&amp;'Dry_Litterbag Placem_Collection'!K130)</f>
        <v>R819</v>
      </c>
      <c r="AO131" t="b">
        <f t="shared" si="75"/>
        <v>0</v>
      </c>
      <c r="AP131" t="b">
        <f t="shared" si="76"/>
        <v>0</v>
      </c>
      <c r="AS131" t="str">
        <f>'Ashed teabags dry'!A129</f>
        <v>G258</v>
      </c>
      <c r="AT131" t="str">
        <f>'Ashed teabags dry'!A464</f>
        <v>R841</v>
      </c>
      <c r="AU131" t="b">
        <f t="shared" si="77"/>
        <v>0</v>
      </c>
      <c r="AV131" t="b">
        <f t="shared" si="100"/>
        <v>0</v>
      </c>
      <c r="AX131" s="388" t="b">
        <f t="shared" si="78"/>
        <v>0</v>
      </c>
      <c r="AY131" s="388" t="b">
        <f t="shared" si="79"/>
        <v>0</v>
      </c>
      <c r="BA131" t="str">
        <f>'Ashed teabags wet'!A129</f>
        <v>G527</v>
      </c>
      <c r="BB131" t="str">
        <f>'Ashed teabags wet'!A549</f>
        <v>R3</v>
      </c>
      <c r="BC131" t="b">
        <f t="shared" si="80"/>
        <v>0</v>
      </c>
      <c r="BD131" t="b">
        <f t="shared" si="60"/>
        <v>0</v>
      </c>
      <c r="BF131" t="str">
        <f t="shared" si="81"/>
        <v>G257</v>
      </c>
      <c r="BG131" t="str">
        <f t="shared" si="82"/>
        <v>G257</v>
      </c>
      <c r="BH131" t="str">
        <f t="shared" si="83"/>
        <v>G318</v>
      </c>
      <c r="BI131" t="str">
        <f t="shared" si="101"/>
        <v>G318</v>
      </c>
      <c r="BJ131" t="s">
        <v>1793</v>
      </c>
      <c r="BK131" t="s">
        <v>1793</v>
      </c>
      <c r="BL131" t="s">
        <v>1793</v>
      </c>
      <c r="BM131" t="b">
        <f t="shared" si="102"/>
        <v>1</v>
      </c>
      <c r="BN131" t="str">
        <f t="shared" si="84"/>
        <v>R599</v>
      </c>
      <c r="BO131" t="str">
        <f t="shared" si="85"/>
        <v>R599</v>
      </c>
      <c r="BP131" t="str">
        <f t="shared" si="86"/>
        <v>R751</v>
      </c>
      <c r="BQ131" t="str">
        <f t="shared" si="87"/>
        <v>R751</v>
      </c>
      <c r="BR131" t="s">
        <v>542</v>
      </c>
      <c r="BS131" t="s">
        <v>542</v>
      </c>
      <c r="BT131" t="s">
        <v>542</v>
      </c>
      <c r="BU131" t="b">
        <f t="shared" si="103"/>
        <v>1</v>
      </c>
      <c r="BZ131" t="str">
        <f t="shared" si="88"/>
        <v>G318</v>
      </c>
      <c r="CA131" t="b">
        <f t="shared" si="89"/>
        <v>0</v>
      </c>
      <c r="CB131" t="str">
        <f t="shared" si="104"/>
        <v>G318</v>
      </c>
      <c r="CC131" t="str">
        <f t="shared" si="90"/>
        <v>R751</v>
      </c>
      <c r="CD131" t="b">
        <f t="shared" si="105"/>
        <v>0</v>
      </c>
      <c r="CE131" t="str">
        <f t="shared" si="106"/>
        <v>R751</v>
      </c>
      <c r="CG131" t="str">
        <f t="shared" si="91"/>
        <v>G526</v>
      </c>
      <c r="CH131" t="str">
        <f t="shared" si="107"/>
        <v>G526</v>
      </c>
      <c r="CI131" t="str">
        <f t="shared" si="92"/>
        <v>G898</v>
      </c>
      <c r="CJ131" t="str">
        <f t="shared" si="93"/>
        <v>G898</v>
      </c>
      <c r="CK131" t="s">
        <v>1524</v>
      </c>
      <c r="CL131" t="s">
        <v>1524</v>
      </c>
      <c r="CM131" t="s">
        <v>1524</v>
      </c>
      <c r="CN131" t="b">
        <f t="shared" si="108"/>
        <v>1</v>
      </c>
      <c r="CO131" t="str">
        <f t="shared" si="94"/>
        <v>R296</v>
      </c>
      <c r="CP131" t="str">
        <f t="shared" si="109"/>
        <v>R296</v>
      </c>
      <c r="CQ131" t="str">
        <f t="shared" si="95"/>
        <v>R506</v>
      </c>
      <c r="CR131" t="str">
        <f t="shared" si="96"/>
        <v>R506</v>
      </c>
      <c r="CS131" t="s">
        <v>845</v>
      </c>
      <c r="CT131" t="s">
        <v>845</v>
      </c>
      <c r="CU131" t="s">
        <v>845</v>
      </c>
      <c r="CV131" t="b">
        <f t="shared" si="110"/>
        <v>1</v>
      </c>
      <c r="DC131" t="str">
        <f t="shared" si="97"/>
        <v>G898</v>
      </c>
      <c r="DD131" t="b">
        <f t="shared" si="111"/>
        <v>0</v>
      </c>
      <c r="DE131" t="str">
        <f t="shared" si="112"/>
        <v>G898</v>
      </c>
      <c r="DF131" t="str">
        <f t="shared" si="98"/>
        <v>R506</v>
      </c>
      <c r="DG131" t="b">
        <f t="shared" si="113"/>
        <v>0</v>
      </c>
      <c r="DH131" t="str">
        <f t="shared" si="114"/>
        <v>R506</v>
      </c>
    </row>
    <row r="132" spans="2:112" ht="12" customHeight="1">
      <c r="B132" t="str">
        <f>TBIDry!H204</f>
        <v>G80</v>
      </c>
      <c r="C132" t="str">
        <f>TBIDry!I204</f>
        <v>R768</v>
      </c>
      <c r="D132" t="b">
        <f t="shared" si="61"/>
        <v>0</v>
      </c>
      <c r="E132" t="b">
        <f t="shared" si="62"/>
        <v>0</v>
      </c>
      <c r="G132" t="str">
        <f>TBIWet!H204</f>
        <v>G819</v>
      </c>
      <c r="H132" t="str">
        <f>TBIWet!I204</f>
        <v>R46</v>
      </c>
      <c r="I132" t="b">
        <f t="shared" si="63"/>
        <v>0</v>
      </c>
      <c r="J132" t="b">
        <f t="shared" si="64"/>
        <v>0</v>
      </c>
      <c r="L132" t="str">
        <f>'Both teabags AfterWet'!A130</f>
        <v>G528</v>
      </c>
      <c r="M132" t="str">
        <f>'Both teabags AfterWet'!A550</f>
        <v>R30</v>
      </c>
      <c r="N132" t="b">
        <f t="shared" si="65"/>
        <v>0</v>
      </c>
      <c r="O132" t="b">
        <f t="shared" si="115"/>
        <v>0</v>
      </c>
      <c r="Q132" s="388" t="b">
        <f t="shared" si="66"/>
        <v>0</v>
      </c>
      <c r="R132" s="388" t="b">
        <f t="shared" si="67"/>
        <v>0</v>
      </c>
      <c r="T132" t="str">
        <f>'Both teabags AfterDry'!A130</f>
        <v>G259</v>
      </c>
      <c r="U132" t="str">
        <f>'Both teabags AfterDry'!A465</f>
        <v>R602</v>
      </c>
      <c r="V132" t="b">
        <f t="shared" si="68"/>
        <v>0</v>
      </c>
      <c r="W132" t="b">
        <f t="shared" si="99"/>
        <v>0</v>
      </c>
      <c r="Y132" t="str">
        <f>'Green_rooibos initial weight'!A133</f>
        <v>G129</v>
      </c>
      <c r="Z132" t="str">
        <f>'Green_rooibos initial weight'!A1037</f>
        <v>R129</v>
      </c>
      <c r="AA132" t="b">
        <f t="shared" si="69"/>
        <v>0</v>
      </c>
      <c r="AB132" t="b">
        <f t="shared" si="70"/>
        <v>0</v>
      </c>
      <c r="AE132" t="str">
        <f>'WetLitterbags placem_collection'!K131</f>
        <v>G819</v>
      </c>
      <c r="AF132" t="str">
        <f>'WetLitterbags placem_collection'!M131</f>
        <v>R46</v>
      </c>
      <c r="AG132" t="b">
        <f t="shared" si="71"/>
        <v>0</v>
      </c>
      <c r="AH132" t="b">
        <f t="shared" si="72"/>
        <v>0</v>
      </c>
      <c r="AJ132" t="b">
        <f t="shared" si="73"/>
        <v>0</v>
      </c>
      <c r="AK132" t="b">
        <f t="shared" si="74"/>
        <v>0</v>
      </c>
      <c r="AM132" t="str">
        <f>IF(ISBLANK('Dry_Litterbag Placem_Collection'!J131),"","G"&amp;""&amp;'Dry_Litterbag Placem_Collection'!J131)</f>
        <v>G80</v>
      </c>
      <c r="AN132" t="str">
        <f>IF(ISBLANK('Dry_Litterbag Placem_Collection'!K131),"","R"&amp;""&amp;'Dry_Litterbag Placem_Collection'!K131)</f>
        <v>R768</v>
      </c>
      <c r="AO132" t="b">
        <f t="shared" si="75"/>
        <v>0</v>
      </c>
      <c r="AP132" t="b">
        <f t="shared" si="76"/>
        <v>0</v>
      </c>
      <c r="AS132" t="str">
        <f>'Ashed teabags dry'!A130</f>
        <v>G259</v>
      </c>
      <c r="AT132" t="str">
        <f>'Ashed teabags dry'!A465</f>
        <v>R602</v>
      </c>
      <c r="AU132" t="b">
        <f t="shared" si="77"/>
        <v>0</v>
      </c>
      <c r="AV132" t="b">
        <f t="shared" si="100"/>
        <v>0</v>
      </c>
      <c r="AX132" s="388" t="b">
        <f t="shared" si="78"/>
        <v>0</v>
      </c>
      <c r="AY132" s="388" t="b">
        <f t="shared" si="79"/>
        <v>0</v>
      </c>
      <c r="BA132" t="str">
        <f>'Ashed teabags wet'!A130</f>
        <v>G528</v>
      </c>
      <c r="BB132" t="str">
        <f>'Ashed teabags wet'!A550</f>
        <v>R30</v>
      </c>
      <c r="BC132" t="b">
        <f t="shared" si="80"/>
        <v>0</v>
      </c>
      <c r="BD132" t="b">
        <f t="shared" ref="BD132:BD195" si="116">COUNTIF($BB$4:$BB$2000, BB132)&gt;1</f>
        <v>0</v>
      </c>
      <c r="BF132" t="str">
        <f t="shared" si="81"/>
        <v>G258</v>
      </c>
      <c r="BG132" t="str">
        <f t="shared" si="82"/>
        <v>G258</v>
      </c>
      <c r="BH132" t="str">
        <f t="shared" si="83"/>
        <v>G34</v>
      </c>
      <c r="BI132" t="str">
        <f t="shared" si="101"/>
        <v>G34</v>
      </c>
      <c r="BJ132" t="s">
        <v>1792</v>
      </c>
      <c r="BK132" t="s">
        <v>1792</v>
      </c>
      <c r="BL132" t="s">
        <v>1792</v>
      </c>
      <c r="BM132" t="b">
        <f t="shared" si="102"/>
        <v>1</v>
      </c>
      <c r="BN132" t="str">
        <f t="shared" si="84"/>
        <v>R841</v>
      </c>
      <c r="BO132" t="str">
        <f t="shared" si="85"/>
        <v>R841</v>
      </c>
      <c r="BP132" t="str">
        <f t="shared" si="86"/>
        <v>R819</v>
      </c>
      <c r="BQ132" t="str">
        <f t="shared" si="87"/>
        <v>R819</v>
      </c>
      <c r="BR132" t="s">
        <v>3173</v>
      </c>
      <c r="BS132" t="s">
        <v>537</v>
      </c>
      <c r="BT132" t="s">
        <v>3173</v>
      </c>
      <c r="BU132" t="b">
        <f t="shared" si="103"/>
        <v>1</v>
      </c>
      <c r="BZ132" t="str">
        <f t="shared" si="88"/>
        <v>G34</v>
      </c>
      <c r="CA132" t="b">
        <f t="shared" si="89"/>
        <v>0</v>
      </c>
      <c r="CB132" t="str">
        <f t="shared" si="104"/>
        <v>G34</v>
      </c>
      <c r="CC132" t="str">
        <f t="shared" si="90"/>
        <v>R819</v>
      </c>
      <c r="CD132" t="b">
        <f t="shared" si="105"/>
        <v>0</v>
      </c>
      <c r="CE132" t="str">
        <f t="shared" si="106"/>
        <v>R819</v>
      </c>
      <c r="CG132" t="str">
        <f t="shared" si="91"/>
        <v>G527</v>
      </c>
      <c r="CH132" t="str">
        <f t="shared" si="107"/>
        <v>G527</v>
      </c>
      <c r="CI132" t="str">
        <f t="shared" si="92"/>
        <v>G834</v>
      </c>
      <c r="CJ132" t="str">
        <f t="shared" si="93"/>
        <v>G834</v>
      </c>
      <c r="CK132" t="s">
        <v>1523</v>
      </c>
      <c r="CL132" t="s">
        <v>1523</v>
      </c>
      <c r="CM132" t="s">
        <v>1523</v>
      </c>
      <c r="CN132" t="b">
        <f t="shared" si="108"/>
        <v>1</v>
      </c>
      <c r="CO132" t="str">
        <f t="shared" si="94"/>
        <v>R3</v>
      </c>
      <c r="CP132" t="str">
        <f t="shared" si="109"/>
        <v>R3</v>
      </c>
      <c r="CQ132" t="str">
        <f t="shared" si="95"/>
        <v>R554</v>
      </c>
      <c r="CR132" t="str">
        <f t="shared" si="96"/>
        <v>R554</v>
      </c>
      <c r="CS132" t="s">
        <v>1138</v>
      </c>
      <c r="CT132" t="s">
        <v>1138</v>
      </c>
      <c r="CU132" t="s">
        <v>1138</v>
      </c>
      <c r="CV132" t="b">
        <f t="shared" si="110"/>
        <v>1</v>
      </c>
      <c r="DC132" t="str">
        <f t="shared" si="97"/>
        <v>G834</v>
      </c>
      <c r="DD132" t="b">
        <f t="shared" si="111"/>
        <v>0</v>
      </c>
      <c r="DE132" t="str">
        <f t="shared" si="112"/>
        <v>G834</v>
      </c>
      <c r="DF132" t="str">
        <f t="shared" si="98"/>
        <v>R554</v>
      </c>
      <c r="DG132" t="b">
        <f t="shared" si="113"/>
        <v>0</v>
      </c>
      <c r="DH132" t="str">
        <f t="shared" si="114"/>
        <v>R554</v>
      </c>
    </row>
    <row r="133" spans="2:112" ht="12" customHeight="1">
      <c r="B133" t="str">
        <f>TBIDry!H205</f>
        <v>G64</v>
      </c>
      <c r="C133" t="str">
        <f>TBIDry!I205</f>
        <v>R789</v>
      </c>
      <c r="D133" t="b">
        <f t="shared" ref="D133:D196" si="117">COUNTIF($B$4:$B$2000, B133)&gt;1</f>
        <v>0</v>
      </c>
      <c r="E133" t="b">
        <f t="shared" ref="E133:E196" si="118">COUNTIF($C$4:$C$2000, C133)&gt;1</f>
        <v>0</v>
      </c>
      <c r="G133" t="str">
        <f>TBIWet!H205</f>
        <v>G830</v>
      </c>
      <c r="H133" t="str">
        <f>TBIWet!I205</f>
        <v>R585</v>
      </c>
      <c r="I133" t="b">
        <f t="shared" ref="I133:I196" si="119">COUNTIF($G$4:$G$2000, G133)&gt;1</f>
        <v>0</v>
      </c>
      <c r="J133" t="b">
        <f t="shared" ref="J133:J196" si="120">COUNTIF($H$4:$H$2000, H133)&gt;1</f>
        <v>0</v>
      </c>
      <c r="L133" t="str">
        <f>'Both teabags AfterWet'!A131</f>
        <v>G529</v>
      </c>
      <c r="M133" t="str">
        <f>'Both teabags AfterWet'!A551</f>
        <v>R301</v>
      </c>
      <c r="N133" t="b">
        <f t="shared" ref="N133:N196" si="121">COUNTIF($L$4:$L$2000, L133)&gt;1</f>
        <v>0</v>
      </c>
      <c r="O133" t="b">
        <f t="shared" si="115"/>
        <v>0</v>
      </c>
      <c r="Q133" s="388" t="b">
        <f t="shared" ref="Q133:Q196" si="122">COUNTIF($T$4:$T$2000, L133)=1</f>
        <v>0</v>
      </c>
      <c r="R133" s="388" t="b">
        <f t="shared" ref="R133:R196" si="123" xml:space="preserve"> COUNTIF($U$4:$U$2000,M133)=1</f>
        <v>0</v>
      </c>
      <c r="T133" t="str">
        <f>'Both teabags AfterDry'!A131</f>
        <v>G26</v>
      </c>
      <c r="U133" t="str">
        <f>'Both teabags AfterDry'!A466</f>
        <v>R603</v>
      </c>
      <c r="V133" t="b">
        <f t="shared" ref="V133:V196" si="124">COUNTIF($T$4:$T$2000, T133)&gt;1</f>
        <v>0</v>
      </c>
      <c r="W133" t="b">
        <f t="shared" si="99"/>
        <v>0</v>
      </c>
      <c r="Y133" t="str">
        <f>'Green_rooibos initial weight'!A134</f>
        <v>G130</v>
      </c>
      <c r="Z133" t="str">
        <f>'Green_rooibos initial weight'!A1038</f>
        <v>R130</v>
      </c>
      <c r="AA133" t="b">
        <f t="shared" ref="AA133:AA196" si="125">COUNTIF($Y$4:$Y$2000, Y133)&gt;1</f>
        <v>0</v>
      </c>
      <c r="AB133" t="b">
        <f t="shared" ref="AB133:AB196" si="126">COUNTIF($Z$4:$Z$2000, Z133)&gt;1</f>
        <v>0</v>
      </c>
      <c r="AE133" t="str">
        <f>'WetLitterbags placem_collection'!K132</f>
        <v>G830</v>
      </c>
      <c r="AF133" t="str">
        <f>'WetLitterbags placem_collection'!M132</f>
        <v>R585</v>
      </c>
      <c r="AG133" t="b">
        <f t="shared" ref="AG133:AG196" si="127">COUNTIF($AE$4:$AE$2000, AE133)&gt;1</f>
        <v>0</v>
      </c>
      <c r="AH133" t="b">
        <f t="shared" ref="AH133:AH196" si="128">COUNTIF($AF$4:$AF$2000, AF133)&gt;1</f>
        <v>0</v>
      </c>
      <c r="AJ133" t="b">
        <f t="shared" ref="AJ133:AJ196" si="129">COUNTIF($AM$4:$AM$2000, AE133)=1</f>
        <v>0</v>
      </c>
      <c r="AK133" t="b">
        <f t="shared" ref="AK133:AK196" si="130">COUNTIF($AN$4:$AN$2000, AF133)=1</f>
        <v>0</v>
      </c>
      <c r="AM133" t="str">
        <f>IF(ISBLANK('Dry_Litterbag Placem_Collection'!J132),"","G"&amp;""&amp;'Dry_Litterbag Placem_Collection'!J132)</f>
        <v>G64</v>
      </c>
      <c r="AN133" t="str">
        <f>IF(ISBLANK('Dry_Litterbag Placem_Collection'!K132),"","R"&amp;""&amp;'Dry_Litterbag Placem_Collection'!K132)</f>
        <v>R789</v>
      </c>
      <c r="AO133" t="b">
        <f t="shared" ref="AO133:AO196" si="131">COUNTIF($AM$4:$AM$2000, AM133)&gt;1</f>
        <v>0</v>
      </c>
      <c r="AP133" t="b">
        <f t="shared" ref="AP133:AP196" si="132">COUNTIF($AN$4:$AN$2000, AN133)&gt;1</f>
        <v>0</v>
      </c>
      <c r="AS133" t="str">
        <f>'Ashed teabags dry'!A131</f>
        <v>G26</v>
      </c>
      <c r="AT133" t="str">
        <f>'Ashed teabags dry'!A466</f>
        <v>R603</v>
      </c>
      <c r="AU133" t="b">
        <f t="shared" ref="AU133:AU196" si="133">COUNTIF($AS$4:$AS$2000, AS133)&gt;1</f>
        <v>0</v>
      </c>
      <c r="AV133" t="b">
        <f t="shared" si="100"/>
        <v>0</v>
      </c>
      <c r="AX133" s="388" t="b">
        <f t="shared" ref="AX133:AX196" si="134">COUNTIF($BA$4:$BA$2000, AS133)=1</f>
        <v>0</v>
      </c>
      <c r="AY133" s="388" t="b">
        <f t="shared" ref="AY133:AY196" si="135">COUNTIF($BB$4:$BB$2000, AT133)=1</f>
        <v>0</v>
      </c>
      <c r="BA133" t="str">
        <f>'Ashed teabags wet'!A131</f>
        <v>G529</v>
      </c>
      <c r="BB133" t="str">
        <f>'Ashed teabags wet'!A551</f>
        <v>R301</v>
      </c>
      <c r="BC133" t="b">
        <f t="shared" ref="BC133:BC196" si="136">COUNTIF($BA$4:$BA$2000, BA133)&gt;1</f>
        <v>0</v>
      </c>
      <c r="BD133" t="b">
        <f t="shared" si="116"/>
        <v>0</v>
      </c>
      <c r="BF133" t="str">
        <f t="shared" ref="BF133:BF196" si="137">AS132</f>
        <v>G259</v>
      </c>
      <c r="BG133" t="str">
        <f t="shared" ref="BG133:BG196" si="138">T132</f>
        <v>G259</v>
      </c>
      <c r="BH133" t="str">
        <f t="shared" ref="BH133:BH196" si="139">B132</f>
        <v>G80</v>
      </c>
      <c r="BI133" t="str">
        <f t="shared" si="101"/>
        <v>G80</v>
      </c>
      <c r="BJ133" t="s">
        <v>1791</v>
      </c>
      <c r="BK133" t="s">
        <v>1791</v>
      </c>
      <c r="BL133" t="s">
        <v>1791</v>
      </c>
      <c r="BM133" t="b">
        <f t="shared" si="102"/>
        <v>1</v>
      </c>
      <c r="BN133" t="str">
        <f t="shared" ref="BN133:BN196" si="140">AT132</f>
        <v>R602</v>
      </c>
      <c r="BO133" t="str">
        <f t="shared" ref="BO133:BO196" si="141">U132</f>
        <v>R602</v>
      </c>
      <c r="BP133" t="str">
        <f t="shared" ref="BP133:BP196" si="142">C132</f>
        <v>R768</v>
      </c>
      <c r="BQ133" t="str">
        <f t="shared" ref="BQ133:BQ196" si="143">CE133</f>
        <v>R768</v>
      </c>
      <c r="BR133" t="s">
        <v>537</v>
      </c>
      <c r="BS133" t="s">
        <v>536</v>
      </c>
      <c r="BT133" t="s">
        <v>537</v>
      </c>
      <c r="BU133" t="b">
        <f t="shared" si="103"/>
        <v>1</v>
      </c>
      <c r="BZ133" t="str">
        <f t="shared" ref="BZ133:BZ196" si="144">BH133</f>
        <v>G80</v>
      </c>
      <c r="CA133" t="b">
        <f t="shared" ref="CA133:CA196" si="145">COUNTIF($BV$5:$BV$2000, BZ133)=1</f>
        <v>0</v>
      </c>
      <c r="CB133" t="str">
        <f t="shared" si="104"/>
        <v>G80</v>
      </c>
      <c r="CC133" t="str">
        <f t="shared" ref="CC133:CC196" si="146">BP133</f>
        <v>R768</v>
      </c>
      <c r="CD133" t="b">
        <f t="shared" si="105"/>
        <v>0</v>
      </c>
      <c r="CE133" t="str">
        <f t="shared" si="106"/>
        <v>R768</v>
      </c>
      <c r="CG133" t="str">
        <f t="shared" ref="CG133:CG196" si="147">BA132</f>
        <v>G528</v>
      </c>
      <c r="CH133" t="str">
        <f t="shared" si="107"/>
        <v>G528</v>
      </c>
      <c r="CI133" t="str">
        <f t="shared" ref="CI133:CI196" si="148">AE132</f>
        <v>G819</v>
      </c>
      <c r="CJ133" t="str">
        <f t="shared" ref="CJ133:CJ196" si="149">DE133</f>
        <v>G819</v>
      </c>
      <c r="CK133" t="s">
        <v>1522</v>
      </c>
      <c r="CL133" t="s">
        <v>1522</v>
      </c>
      <c r="CM133" t="s">
        <v>1522</v>
      </c>
      <c r="CN133" t="b">
        <f t="shared" si="108"/>
        <v>1</v>
      </c>
      <c r="CO133" t="str">
        <f t="shared" ref="CO133:CO196" si="150">BB132</f>
        <v>R30</v>
      </c>
      <c r="CP133" t="str">
        <f t="shared" si="109"/>
        <v>R30</v>
      </c>
      <c r="CQ133" t="str">
        <f t="shared" ref="CQ133:CQ196" si="151">AF132</f>
        <v>R46</v>
      </c>
      <c r="CR133" t="str">
        <f t="shared" ref="CR133:CR196" si="152">DH133</f>
        <v>R46</v>
      </c>
      <c r="CS133" t="s">
        <v>1111</v>
      </c>
      <c r="CT133" t="s">
        <v>1111</v>
      </c>
      <c r="CU133" t="s">
        <v>1111</v>
      </c>
      <c r="CV133" t="b">
        <f t="shared" si="110"/>
        <v>1</v>
      </c>
      <c r="DC133" t="str">
        <f t="shared" ref="DC133:DC196" si="153">CI133</f>
        <v>G819</v>
      </c>
      <c r="DD133" t="b">
        <f t="shared" si="111"/>
        <v>0</v>
      </c>
      <c r="DE133" t="str">
        <f t="shared" si="112"/>
        <v>G819</v>
      </c>
      <c r="DF133" t="str">
        <f t="shared" ref="DF133:DF196" si="154">CQ133</f>
        <v>R46</v>
      </c>
      <c r="DG133" t="b">
        <f t="shared" si="113"/>
        <v>0</v>
      </c>
      <c r="DH133" t="str">
        <f t="shared" si="114"/>
        <v>R46</v>
      </c>
    </row>
    <row r="134" spans="2:112" ht="12" customHeight="1">
      <c r="B134" t="str">
        <f>TBIDry!H206</f>
        <v>G118</v>
      </c>
      <c r="C134" t="str">
        <f>TBIDry!I206</f>
        <v>R586</v>
      </c>
      <c r="D134" t="b">
        <f t="shared" si="117"/>
        <v>0</v>
      </c>
      <c r="E134" t="b">
        <f t="shared" si="118"/>
        <v>0</v>
      </c>
      <c r="G134" t="str">
        <f>TBIWet!H206</f>
        <v>G746</v>
      </c>
      <c r="H134" t="str">
        <f>TBIWet!I206</f>
        <v>R476</v>
      </c>
      <c r="I134" t="b">
        <f t="shared" si="119"/>
        <v>0</v>
      </c>
      <c r="J134" t="b">
        <f t="shared" si="120"/>
        <v>0</v>
      </c>
      <c r="L134" t="str">
        <f>'Both teabags AfterWet'!A132</f>
        <v>G532</v>
      </c>
      <c r="M134" t="str">
        <f>'Both teabags AfterWet'!A552</f>
        <v>R302</v>
      </c>
      <c r="N134" t="b">
        <f t="shared" si="121"/>
        <v>0</v>
      </c>
      <c r="O134" t="b">
        <f t="shared" si="115"/>
        <v>0</v>
      </c>
      <c r="Q134" s="388" t="b">
        <f t="shared" si="122"/>
        <v>0</v>
      </c>
      <c r="R134" s="388" t="b">
        <f t="shared" si="123"/>
        <v>0</v>
      </c>
      <c r="T134" t="str">
        <f>'Both teabags AfterDry'!A132</f>
        <v>G260</v>
      </c>
      <c r="U134" t="str">
        <f>'Both teabags AfterDry'!A467</f>
        <v>R604</v>
      </c>
      <c r="V134" t="b">
        <f t="shared" si="124"/>
        <v>0</v>
      </c>
      <c r="W134" t="b">
        <f t="shared" ref="W134:W197" si="155">COUNTIF($U$4:$U$2000, U134)&gt;1</f>
        <v>0</v>
      </c>
      <c r="Y134" t="str">
        <f>'Green_rooibos initial weight'!A135</f>
        <v>G131</v>
      </c>
      <c r="Z134" t="str">
        <f>'Green_rooibos initial weight'!A1039</f>
        <v>R131</v>
      </c>
      <c r="AA134" t="b">
        <f t="shared" si="125"/>
        <v>0</v>
      </c>
      <c r="AB134" t="b">
        <f t="shared" si="126"/>
        <v>0</v>
      </c>
      <c r="AE134" t="str">
        <f>'WetLitterbags placem_collection'!K133</f>
        <v>G746</v>
      </c>
      <c r="AF134" t="str">
        <f>'WetLitterbags placem_collection'!M133</f>
        <v>R476</v>
      </c>
      <c r="AG134" t="b">
        <f t="shared" si="127"/>
        <v>0</v>
      </c>
      <c r="AH134" t="b">
        <f t="shared" si="128"/>
        <v>0</v>
      </c>
      <c r="AJ134" t="b">
        <f t="shared" si="129"/>
        <v>0</v>
      </c>
      <c r="AK134" t="b">
        <f t="shared" si="130"/>
        <v>0</v>
      </c>
      <c r="AM134" t="str">
        <f>IF(ISBLANK('Dry_Litterbag Placem_Collection'!J133),"","G"&amp;""&amp;'Dry_Litterbag Placem_Collection'!J133)</f>
        <v>G118</v>
      </c>
      <c r="AN134" t="str">
        <f>IF(ISBLANK('Dry_Litterbag Placem_Collection'!K133),"","R"&amp;""&amp;'Dry_Litterbag Placem_Collection'!K133)</f>
        <v>R586</v>
      </c>
      <c r="AO134" t="b">
        <f t="shared" si="131"/>
        <v>0</v>
      </c>
      <c r="AP134" t="b">
        <f t="shared" si="132"/>
        <v>0</v>
      </c>
      <c r="AS134" t="str">
        <f>'Ashed teabags dry'!A132</f>
        <v>G260</v>
      </c>
      <c r="AT134" t="str">
        <f>'Ashed teabags dry'!A467</f>
        <v>R604</v>
      </c>
      <c r="AU134" t="b">
        <f t="shared" si="133"/>
        <v>0</v>
      </c>
      <c r="AV134" t="b">
        <f t="shared" ref="AV134:AV197" si="156">COUNTIF($AT$4:$AT$2000, AT134)&gt;1</f>
        <v>0</v>
      </c>
      <c r="AX134" s="388" t="b">
        <f t="shared" si="134"/>
        <v>0</v>
      </c>
      <c r="AY134" s="388" t="b">
        <f t="shared" si="135"/>
        <v>0</v>
      </c>
      <c r="BA134" t="str">
        <f>'Ashed teabags wet'!A132</f>
        <v>G532</v>
      </c>
      <c r="BB134" t="str">
        <f>'Ashed teabags wet'!A552</f>
        <v>R302</v>
      </c>
      <c r="BC134" t="b">
        <f t="shared" si="136"/>
        <v>0</v>
      </c>
      <c r="BD134" t="b">
        <f t="shared" si="116"/>
        <v>0</v>
      </c>
      <c r="BF134" t="str">
        <f t="shared" si="137"/>
        <v>G26</v>
      </c>
      <c r="BG134" t="str">
        <f t="shared" si="138"/>
        <v>G26</v>
      </c>
      <c r="BH134" t="str">
        <f t="shared" si="139"/>
        <v>G64</v>
      </c>
      <c r="BI134" t="str">
        <f t="shared" ref="BI134:BI197" si="157">CB134</f>
        <v>G64</v>
      </c>
      <c r="BJ134" t="s">
        <v>2024</v>
      </c>
      <c r="BK134" t="s">
        <v>2024</v>
      </c>
      <c r="BL134" t="s">
        <v>2024</v>
      </c>
      <c r="BM134" t="b">
        <f t="shared" ref="BM134:BM197" si="158" xml:space="preserve"> COUNTIF($BJ$5:$BL$2000,BK134)=3</f>
        <v>1</v>
      </c>
      <c r="BN134" t="str">
        <f t="shared" si="140"/>
        <v>R603</v>
      </c>
      <c r="BO134" t="str">
        <f t="shared" si="141"/>
        <v>R603</v>
      </c>
      <c r="BP134" t="str">
        <f t="shared" si="142"/>
        <v>R789</v>
      </c>
      <c r="BQ134" t="str">
        <f t="shared" si="143"/>
        <v>R789</v>
      </c>
      <c r="BR134" t="s">
        <v>536</v>
      </c>
      <c r="BS134" t="s">
        <v>535</v>
      </c>
      <c r="BT134" t="s">
        <v>536</v>
      </c>
      <c r="BU134" t="b">
        <f t="shared" ref="BU134:BU197" si="159" xml:space="preserve"> COUNTIF($BR$5:$BT$2000,BS134)=3</f>
        <v>1</v>
      </c>
      <c r="BZ134" t="str">
        <f t="shared" si="144"/>
        <v>G64</v>
      </c>
      <c r="CA134" t="b">
        <f t="shared" si="145"/>
        <v>0</v>
      </c>
      <c r="CB134" t="str">
        <f t="shared" ref="CB134:CB197" si="160">IF(ISNUMBER(SEARCH("USANN",CA134)),BZ134,"")</f>
        <v>G64</v>
      </c>
      <c r="CC134" t="str">
        <f t="shared" si="146"/>
        <v>R789</v>
      </c>
      <c r="CD134" t="b">
        <f t="shared" ref="CD134:CD197" si="161">COUNTIF($BW$5:$BW$2000, CC134)=1</f>
        <v>0</v>
      </c>
      <c r="CE134" t="str">
        <f t="shared" ref="CE134:CE197" si="162">IF(ISNUMBER(SEARCH("USANN",CD134)),CC134,"")</f>
        <v>R789</v>
      </c>
      <c r="CG134" t="str">
        <f t="shared" si="147"/>
        <v>G529</v>
      </c>
      <c r="CH134" t="str">
        <f t="shared" ref="CH134:CH197" si="163">L133</f>
        <v>G529</v>
      </c>
      <c r="CI134" t="str">
        <f t="shared" si="148"/>
        <v>G830</v>
      </c>
      <c r="CJ134" t="str">
        <f t="shared" si="149"/>
        <v>G830</v>
      </c>
      <c r="CK134" t="s">
        <v>1521</v>
      </c>
      <c r="CL134" t="s">
        <v>1521</v>
      </c>
      <c r="CM134" t="s">
        <v>1521</v>
      </c>
      <c r="CN134" t="b">
        <f t="shared" ref="CN134:CN197" si="164" xml:space="preserve"> COUNTIF($CK$5:$CM$2000,CL134)=3</f>
        <v>1</v>
      </c>
      <c r="CO134" t="str">
        <f t="shared" si="150"/>
        <v>R301</v>
      </c>
      <c r="CP134" t="str">
        <f t="shared" ref="CP134:CP197" si="165">M133</f>
        <v>R301</v>
      </c>
      <c r="CQ134" t="str">
        <f t="shared" si="151"/>
        <v>R585</v>
      </c>
      <c r="CR134" t="str">
        <f t="shared" si="152"/>
        <v>R585</v>
      </c>
      <c r="CS134" t="s">
        <v>840</v>
      </c>
      <c r="CT134" t="s">
        <v>840</v>
      </c>
      <c r="CU134" t="s">
        <v>840</v>
      </c>
      <c r="CV134" t="b">
        <f t="shared" ref="CV134:CV197" si="166" xml:space="preserve"> COUNTIF($CS$5:$CU$2000,CT134)=3</f>
        <v>1</v>
      </c>
      <c r="DC134" t="str">
        <f t="shared" si="153"/>
        <v>G830</v>
      </c>
      <c r="DD134" t="b">
        <f t="shared" ref="DD134:DD197" si="167">COUNTIF($CW$5:$CW$2000, DC134)=1</f>
        <v>0</v>
      </c>
      <c r="DE134" t="str">
        <f t="shared" ref="DE134:DE197" si="168">IF(ISNUMBER(SEARCH("USANN",DD134)),DC134,"")</f>
        <v>G830</v>
      </c>
      <c r="DF134" t="str">
        <f t="shared" si="154"/>
        <v>R585</v>
      </c>
      <c r="DG134" t="b">
        <f t="shared" ref="DG134:DG197" si="169">COUNTIF($CY$5:$CY$2000, DF134)=1</f>
        <v>0</v>
      </c>
      <c r="DH134" t="str">
        <f t="shared" ref="DH134:DH197" si="170">IF(ISNUMBER(SEARCH("USANN",DG134)),DF134,"")</f>
        <v>R585</v>
      </c>
    </row>
    <row r="135" spans="2:112" ht="12" customHeight="1">
      <c r="B135" t="str">
        <f>TBIDry!H207</f>
        <v/>
      </c>
      <c r="C135" t="str">
        <f>TBIDry!I207</f>
        <v/>
      </c>
      <c r="D135" t="b">
        <f t="shared" si="117"/>
        <v>1</v>
      </c>
      <c r="E135" t="b">
        <f t="shared" si="118"/>
        <v>1</v>
      </c>
      <c r="G135" t="str">
        <f>TBIWet!H207</f>
        <v>G725</v>
      </c>
      <c r="H135" t="str">
        <f>TBIWet!I207</f>
        <v>R536</v>
      </c>
      <c r="I135" t="b">
        <f t="shared" si="119"/>
        <v>0</v>
      </c>
      <c r="J135" t="b">
        <f t="shared" si="120"/>
        <v>0</v>
      </c>
      <c r="L135" t="str">
        <f>'Both teabags AfterWet'!A133</f>
        <v>G535</v>
      </c>
      <c r="M135" t="str">
        <f>'Both teabags AfterWet'!A553</f>
        <v>R303</v>
      </c>
      <c r="N135" t="b">
        <f t="shared" si="121"/>
        <v>0</v>
      </c>
      <c r="O135" t="b">
        <f t="shared" ref="O135:O198" si="171">COUNTIF($M$4:$M$2000, M135)&gt;1</f>
        <v>0</v>
      </c>
      <c r="Q135" s="388" t="b">
        <f t="shared" si="122"/>
        <v>0</v>
      </c>
      <c r="R135" s="388" t="b">
        <f t="shared" si="123"/>
        <v>0</v>
      </c>
      <c r="T135" t="str">
        <f>'Both teabags AfterDry'!A133</f>
        <v>G261</v>
      </c>
      <c r="U135" t="str">
        <f>'Both teabags AfterDry'!A468</f>
        <v>R605</v>
      </c>
      <c r="V135" t="b">
        <f t="shared" si="124"/>
        <v>0</v>
      </c>
      <c r="W135" t="b">
        <f t="shared" si="155"/>
        <v>0</v>
      </c>
      <c r="Y135" t="str">
        <f>'Green_rooibos initial weight'!A136</f>
        <v>G132</v>
      </c>
      <c r="Z135" t="str">
        <f>'Green_rooibos initial weight'!A1040</f>
        <v>R132</v>
      </c>
      <c r="AA135" t="b">
        <f t="shared" si="125"/>
        <v>0</v>
      </c>
      <c r="AB135" t="b">
        <f t="shared" si="126"/>
        <v>0</v>
      </c>
      <c r="AE135" t="str">
        <f>'WetLitterbags placem_collection'!K134</f>
        <v>G725</v>
      </c>
      <c r="AF135" t="str">
        <f>'WetLitterbags placem_collection'!M134</f>
        <v>R536</v>
      </c>
      <c r="AG135" t="b">
        <f t="shared" si="127"/>
        <v>0</v>
      </c>
      <c r="AH135" t="b">
        <f t="shared" si="128"/>
        <v>0</v>
      </c>
      <c r="AJ135" t="b">
        <f t="shared" si="129"/>
        <v>0</v>
      </c>
      <c r="AK135" t="b">
        <f t="shared" si="130"/>
        <v>0</v>
      </c>
      <c r="AM135" t="str">
        <f>IF(ISBLANK('Dry_Litterbag Placem_Collection'!J134),"","G"&amp;""&amp;'Dry_Litterbag Placem_Collection'!J134)</f>
        <v/>
      </c>
      <c r="AN135" t="str">
        <f>IF(ISBLANK('Dry_Litterbag Placem_Collection'!K134),"","R"&amp;""&amp;'Dry_Litterbag Placem_Collection'!K134)</f>
        <v/>
      </c>
      <c r="AO135" t="b">
        <f t="shared" si="131"/>
        <v>1</v>
      </c>
      <c r="AP135" t="b">
        <f t="shared" si="132"/>
        <v>1</v>
      </c>
      <c r="AS135" t="str">
        <f>'Ashed teabags dry'!A133</f>
        <v>G261</v>
      </c>
      <c r="AT135" t="str">
        <f>'Ashed teabags dry'!A468</f>
        <v>R605</v>
      </c>
      <c r="AU135" t="b">
        <f t="shared" si="133"/>
        <v>0</v>
      </c>
      <c r="AV135" t="b">
        <f t="shared" si="156"/>
        <v>0</v>
      </c>
      <c r="AX135" s="388" t="b">
        <f t="shared" si="134"/>
        <v>0</v>
      </c>
      <c r="AY135" s="388" t="b">
        <f t="shared" si="135"/>
        <v>0</v>
      </c>
      <c r="BA135" t="str">
        <f>'Ashed teabags wet'!A133</f>
        <v>G535</v>
      </c>
      <c r="BB135" t="str">
        <f>'Ashed teabags wet'!A553</f>
        <v>R303</v>
      </c>
      <c r="BC135" t="b">
        <f t="shared" si="136"/>
        <v>0</v>
      </c>
      <c r="BD135" t="b">
        <f t="shared" si="116"/>
        <v>0</v>
      </c>
      <c r="BF135" t="str">
        <f t="shared" si="137"/>
        <v>G260</v>
      </c>
      <c r="BG135" t="str">
        <f t="shared" si="138"/>
        <v>G260</v>
      </c>
      <c r="BH135" t="str">
        <f t="shared" si="139"/>
        <v>G118</v>
      </c>
      <c r="BI135" t="str">
        <f t="shared" si="157"/>
        <v>G118</v>
      </c>
      <c r="BJ135" t="s">
        <v>1790</v>
      </c>
      <c r="BK135" t="s">
        <v>1790</v>
      </c>
      <c r="BL135" t="s">
        <v>1790</v>
      </c>
      <c r="BM135" t="b">
        <f t="shared" si="158"/>
        <v>1</v>
      </c>
      <c r="BN135" t="str">
        <f t="shared" si="140"/>
        <v>R604</v>
      </c>
      <c r="BO135" t="str">
        <f t="shared" si="141"/>
        <v>R604</v>
      </c>
      <c r="BP135" t="str">
        <f t="shared" si="142"/>
        <v>R586</v>
      </c>
      <c r="BQ135" t="str">
        <f t="shared" si="143"/>
        <v>R586</v>
      </c>
      <c r="BR135" t="s">
        <v>535</v>
      </c>
      <c r="BS135" t="s">
        <v>534</v>
      </c>
      <c r="BT135" t="s">
        <v>535</v>
      </c>
      <c r="BU135" t="b">
        <f t="shared" si="159"/>
        <v>1</v>
      </c>
      <c r="BV135" s="113"/>
      <c r="BW135" s="113"/>
      <c r="BZ135" t="str">
        <f t="shared" si="144"/>
        <v>G118</v>
      </c>
      <c r="CA135" t="b">
        <f t="shared" si="145"/>
        <v>0</v>
      </c>
      <c r="CB135" t="str">
        <f t="shared" si="160"/>
        <v>G118</v>
      </c>
      <c r="CC135" t="str">
        <f t="shared" si="146"/>
        <v>R586</v>
      </c>
      <c r="CD135" t="b">
        <f t="shared" si="161"/>
        <v>0</v>
      </c>
      <c r="CE135" t="str">
        <f t="shared" si="162"/>
        <v>R586</v>
      </c>
      <c r="CG135" t="str">
        <f t="shared" si="147"/>
        <v>G532</v>
      </c>
      <c r="CH135" t="str">
        <f t="shared" si="163"/>
        <v>G532</v>
      </c>
      <c r="CI135" t="str">
        <f t="shared" si="148"/>
        <v>G746</v>
      </c>
      <c r="CJ135" t="str">
        <f t="shared" si="149"/>
        <v>G746</v>
      </c>
      <c r="CK135" t="s">
        <v>1518</v>
      </c>
      <c r="CL135" t="s">
        <v>1518</v>
      </c>
      <c r="CM135" t="s">
        <v>1518</v>
      </c>
      <c r="CN135" t="b">
        <f t="shared" si="164"/>
        <v>1</v>
      </c>
      <c r="CO135" t="str">
        <f t="shared" si="150"/>
        <v>R302</v>
      </c>
      <c r="CP135" t="str">
        <f t="shared" si="165"/>
        <v>R302</v>
      </c>
      <c r="CQ135" t="str">
        <f t="shared" si="151"/>
        <v>R476</v>
      </c>
      <c r="CR135" t="str">
        <f t="shared" si="152"/>
        <v>R476</v>
      </c>
      <c r="CS135" t="s">
        <v>839</v>
      </c>
      <c r="CT135" t="s">
        <v>839</v>
      </c>
      <c r="CU135" t="s">
        <v>839</v>
      </c>
      <c r="CV135" t="b">
        <f t="shared" si="166"/>
        <v>1</v>
      </c>
      <c r="DC135" t="str">
        <f t="shared" si="153"/>
        <v>G746</v>
      </c>
      <c r="DD135" t="b">
        <f t="shared" si="167"/>
        <v>0</v>
      </c>
      <c r="DE135" t="str">
        <f t="shared" si="168"/>
        <v>G746</v>
      </c>
      <c r="DF135" t="str">
        <f t="shared" si="154"/>
        <v>R476</v>
      </c>
      <c r="DG135" t="b">
        <f t="shared" si="169"/>
        <v>0</v>
      </c>
      <c r="DH135" t="str">
        <f t="shared" si="170"/>
        <v>R476</v>
      </c>
    </row>
    <row r="136" spans="2:112" ht="12" customHeight="1">
      <c r="B136" t="str">
        <f>TBIDry!H208</f>
        <v>G270</v>
      </c>
      <c r="C136" t="str">
        <f>TBIDry!I208</f>
        <v>R817</v>
      </c>
      <c r="D136" t="b">
        <f t="shared" si="117"/>
        <v>0</v>
      </c>
      <c r="E136" t="b">
        <f t="shared" si="118"/>
        <v>0</v>
      </c>
      <c r="G136" t="str">
        <f>TBIWet!H208</f>
        <v>G846</v>
      </c>
      <c r="H136" t="str">
        <f>TBIWet!I208</f>
        <v>R524</v>
      </c>
      <c r="I136" t="b">
        <f t="shared" si="119"/>
        <v>0</v>
      </c>
      <c r="J136" t="b">
        <f t="shared" si="120"/>
        <v>0</v>
      </c>
      <c r="L136" t="str">
        <f>'Both teabags AfterWet'!A134</f>
        <v>G536</v>
      </c>
      <c r="M136" t="str">
        <f>'Both teabags AfterWet'!A554</f>
        <v>R307</v>
      </c>
      <c r="N136" t="b">
        <f t="shared" si="121"/>
        <v>0</v>
      </c>
      <c r="O136" t="b">
        <f t="shared" si="171"/>
        <v>0</v>
      </c>
      <c r="Q136" s="388" t="b">
        <f t="shared" si="122"/>
        <v>0</v>
      </c>
      <c r="R136" s="388" t="b">
        <f t="shared" si="123"/>
        <v>0</v>
      </c>
      <c r="T136" t="str">
        <f>'Both teabags AfterDry'!A134</f>
        <v>G262</v>
      </c>
      <c r="U136" t="str">
        <f>'Both teabags AfterDry'!A469</f>
        <v>R606</v>
      </c>
      <c r="V136" t="b">
        <f t="shared" si="124"/>
        <v>0</v>
      </c>
      <c r="W136" t="b">
        <f t="shared" si="155"/>
        <v>0</v>
      </c>
      <c r="Y136" t="str">
        <f>'Green_rooibos initial weight'!A137</f>
        <v>G133</v>
      </c>
      <c r="Z136" t="str">
        <f>'Green_rooibos initial weight'!A1041</f>
        <v>R133</v>
      </c>
      <c r="AA136" t="b">
        <f t="shared" si="125"/>
        <v>0</v>
      </c>
      <c r="AB136" t="b">
        <f t="shared" si="126"/>
        <v>0</v>
      </c>
      <c r="AE136" t="str">
        <f>'WetLitterbags placem_collection'!K135</f>
        <v>G846</v>
      </c>
      <c r="AF136" t="str">
        <f>'WetLitterbags placem_collection'!M135</f>
        <v>R524</v>
      </c>
      <c r="AG136" t="b">
        <f t="shared" si="127"/>
        <v>0</v>
      </c>
      <c r="AH136" t="b">
        <f t="shared" si="128"/>
        <v>0</v>
      </c>
      <c r="AJ136" t="b">
        <f t="shared" si="129"/>
        <v>0</v>
      </c>
      <c r="AK136" t="b">
        <f t="shared" si="130"/>
        <v>0</v>
      </c>
      <c r="AM136" t="str">
        <f>IF(ISBLANK('Dry_Litterbag Placem_Collection'!J135),"","G"&amp;""&amp;'Dry_Litterbag Placem_Collection'!J135)</f>
        <v>G270</v>
      </c>
      <c r="AN136" t="str">
        <f>IF(ISBLANK('Dry_Litterbag Placem_Collection'!K135),"","R"&amp;""&amp;'Dry_Litterbag Placem_Collection'!K135)</f>
        <v>R817</v>
      </c>
      <c r="AO136" t="b">
        <f t="shared" si="131"/>
        <v>0</v>
      </c>
      <c r="AP136" t="b">
        <f t="shared" si="132"/>
        <v>0</v>
      </c>
      <c r="AS136" t="str">
        <f>'Ashed teabags dry'!A134</f>
        <v>G262</v>
      </c>
      <c r="AT136" t="str">
        <f>'Ashed teabags dry'!A469</f>
        <v>R606</v>
      </c>
      <c r="AU136" t="b">
        <f t="shared" si="133"/>
        <v>0</v>
      </c>
      <c r="AV136" t="b">
        <f t="shared" si="156"/>
        <v>0</v>
      </c>
      <c r="AX136" s="388" t="b">
        <f t="shared" si="134"/>
        <v>0</v>
      </c>
      <c r="AY136" s="388" t="b">
        <f t="shared" si="135"/>
        <v>0</v>
      </c>
      <c r="BA136" t="str">
        <f>'Ashed teabags wet'!A134</f>
        <v>G536</v>
      </c>
      <c r="BB136" t="str">
        <f>'Ashed teabags wet'!A554</f>
        <v>R307</v>
      </c>
      <c r="BC136" t="b">
        <f t="shared" si="136"/>
        <v>0</v>
      </c>
      <c r="BD136" t="b">
        <f t="shared" si="116"/>
        <v>0</v>
      </c>
      <c r="BF136" t="str">
        <f t="shared" si="137"/>
        <v>G261</v>
      </c>
      <c r="BG136" t="str">
        <f t="shared" si="138"/>
        <v>G261</v>
      </c>
      <c r="BH136" t="str">
        <f t="shared" si="139"/>
        <v/>
      </c>
      <c r="BI136" t="str">
        <f t="shared" si="157"/>
        <v/>
      </c>
      <c r="BJ136" t="s">
        <v>1789</v>
      </c>
      <c r="BK136" t="s">
        <v>1789</v>
      </c>
      <c r="BL136" t="s">
        <v>1789</v>
      </c>
      <c r="BM136" t="b">
        <f t="shared" si="158"/>
        <v>1</v>
      </c>
      <c r="BN136" t="str">
        <f t="shared" si="140"/>
        <v>R605</v>
      </c>
      <c r="BO136" t="str">
        <f t="shared" si="141"/>
        <v>R605</v>
      </c>
      <c r="BP136" t="str">
        <f t="shared" si="142"/>
        <v/>
      </c>
      <c r="BQ136" t="str">
        <f t="shared" si="143"/>
        <v/>
      </c>
      <c r="BR136" t="s">
        <v>534</v>
      </c>
      <c r="BS136" t="s">
        <v>533</v>
      </c>
      <c r="BT136" t="s">
        <v>534</v>
      </c>
      <c r="BU136" t="b">
        <f t="shared" si="159"/>
        <v>1</v>
      </c>
      <c r="BZ136" t="str">
        <f t="shared" si="144"/>
        <v/>
      </c>
      <c r="CA136" t="b">
        <f t="shared" si="145"/>
        <v>0</v>
      </c>
      <c r="CB136" t="str">
        <f t="shared" si="160"/>
        <v/>
      </c>
      <c r="CC136" t="str">
        <f t="shared" si="146"/>
        <v/>
      </c>
      <c r="CD136" t="b">
        <f t="shared" si="161"/>
        <v>0</v>
      </c>
      <c r="CE136" t="str">
        <f t="shared" si="162"/>
        <v/>
      </c>
      <c r="CG136" t="str">
        <f t="shared" si="147"/>
        <v>G535</v>
      </c>
      <c r="CH136" t="str">
        <f t="shared" si="163"/>
        <v>G535</v>
      </c>
      <c r="CI136" t="str">
        <f t="shared" si="148"/>
        <v>G725</v>
      </c>
      <c r="CJ136" t="str">
        <f t="shared" si="149"/>
        <v>G725</v>
      </c>
      <c r="CK136" t="s">
        <v>1515</v>
      </c>
      <c r="CL136" t="s">
        <v>1515</v>
      </c>
      <c r="CM136" t="s">
        <v>1515</v>
      </c>
      <c r="CN136" t="b">
        <f t="shared" si="164"/>
        <v>1</v>
      </c>
      <c r="CO136" t="str">
        <f t="shared" si="150"/>
        <v>R303</v>
      </c>
      <c r="CP136" t="str">
        <f t="shared" si="165"/>
        <v>R303</v>
      </c>
      <c r="CQ136" t="str">
        <f t="shared" si="151"/>
        <v>R536</v>
      </c>
      <c r="CR136" t="str">
        <f t="shared" si="152"/>
        <v>R536</v>
      </c>
      <c r="CS136" t="s">
        <v>838</v>
      </c>
      <c r="CT136" t="s">
        <v>838</v>
      </c>
      <c r="CU136" t="s">
        <v>838</v>
      </c>
      <c r="CV136" t="b">
        <f t="shared" si="166"/>
        <v>1</v>
      </c>
      <c r="DC136" t="str">
        <f t="shared" si="153"/>
        <v>G725</v>
      </c>
      <c r="DD136" t="b">
        <f t="shared" si="167"/>
        <v>0</v>
      </c>
      <c r="DE136" t="str">
        <f t="shared" si="168"/>
        <v>G725</v>
      </c>
      <c r="DF136" t="str">
        <f t="shared" si="154"/>
        <v>R536</v>
      </c>
      <c r="DG136" t="b">
        <f t="shared" si="169"/>
        <v>0</v>
      </c>
      <c r="DH136" t="str">
        <f t="shared" si="170"/>
        <v>R536</v>
      </c>
    </row>
    <row r="137" spans="2:112" ht="12" customHeight="1">
      <c r="B137" t="str">
        <f>TBIDry!H209</f>
        <v>G316</v>
      </c>
      <c r="C137" t="str">
        <f>TBIDry!I209</f>
        <v>R837</v>
      </c>
      <c r="D137" t="b">
        <f t="shared" si="117"/>
        <v>0</v>
      </c>
      <c r="E137" t="b">
        <f t="shared" si="118"/>
        <v>0</v>
      </c>
      <c r="G137" t="str">
        <f>TBIWet!H209</f>
        <v>G756</v>
      </c>
      <c r="H137" t="str">
        <f>TBIWet!I209</f>
        <v>R600</v>
      </c>
      <c r="I137" t="b">
        <f t="shared" si="119"/>
        <v>0</v>
      </c>
      <c r="J137" t="b">
        <f t="shared" si="120"/>
        <v>0</v>
      </c>
      <c r="L137" t="str">
        <f>'Both teabags AfterWet'!A135</f>
        <v>G537</v>
      </c>
      <c r="M137" t="str">
        <f>'Both teabags AfterWet'!A555</f>
        <v>R309</v>
      </c>
      <c r="N137" t="b">
        <f t="shared" si="121"/>
        <v>0</v>
      </c>
      <c r="O137" t="b">
        <f t="shared" si="171"/>
        <v>0</v>
      </c>
      <c r="Q137" s="388" t="b">
        <f t="shared" si="122"/>
        <v>0</v>
      </c>
      <c r="R137" s="388" t="b">
        <f t="shared" si="123"/>
        <v>0</v>
      </c>
      <c r="T137" t="str">
        <f>'Both teabags AfterDry'!A135</f>
        <v>G263</v>
      </c>
      <c r="U137" t="str">
        <f>'Both teabags AfterDry'!A470</f>
        <v>R608</v>
      </c>
      <c r="V137" t="b">
        <f t="shared" si="124"/>
        <v>0</v>
      </c>
      <c r="W137" t="b">
        <f t="shared" si="155"/>
        <v>0</v>
      </c>
      <c r="Y137" t="str">
        <f>'Green_rooibos initial weight'!A138</f>
        <v>G134</v>
      </c>
      <c r="Z137" t="str">
        <f>'Green_rooibos initial weight'!A1042</f>
        <v>R134</v>
      </c>
      <c r="AA137" t="b">
        <f t="shared" si="125"/>
        <v>0</v>
      </c>
      <c r="AB137" t="b">
        <f t="shared" si="126"/>
        <v>0</v>
      </c>
      <c r="AE137" t="str">
        <f>'WetLitterbags placem_collection'!K136</f>
        <v>G756</v>
      </c>
      <c r="AF137" t="str">
        <f>'WetLitterbags placem_collection'!M136</f>
        <v>R600</v>
      </c>
      <c r="AG137" t="b">
        <f t="shared" si="127"/>
        <v>0</v>
      </c>
      <c r="AH137" t="b">
        <f t="shared" si="128"/>
        <v>0</v>
      </c>
      <c r="AJ137" t="b">
        <f t="shared" si="129"/>
        <v>0</v>
      </c>
      <c r="AK137" t="b">
        <f t="shared" si="130"/>
        <v>0</v>
      </c>
      <c r="AM137" t="str">
        <f>IF(ISBLANK('Dry_Litterbag Placem_Collection'!J136),"","G"&amp;""&amp;'Dry_Litterbag Placem_Collection'!J136)</f>
        <v>G316</v>
      </c>
      <c r="AN137" t="str">
        <f>IF(ISBLANK('Dry_Litterbag Placem_Collection'!K136),"","R"&amp;""&amp;'Dry_Litterbag Placem_Collection'!K136)</f>
        <v>R837</v>
      </c>
      <c r="AO137" t="b">
        <f t="shared" si="131"/>
        <v>0</v>
      </c>
      <c r="AP137" t="b">
        <f t="shared" si="132"/>
        <v>0</v>
      </c>
      <c r="AS137" t="str">
        <f>'Ashed teabags dry'!A135</f>
        <v>G263</v>
      </c>
      <c r="AT137" t="str">
        <f>'Ashed teabags dry'!A470</f>
        <v>R608</v>
      </c>
      <c r="AU137" t="b">
        <f t="shared" si="133"/>
        <v>0</v>
      </c>
      <c r="AV137" t="b">
        <f t="shared" si="156"/>
        <v>0</v>
      </c>
      <c r="AX137" s="388" t="b">
        <f t="shared" si="134"/>
        <v>0</v>
      </c>
      <c r="AY137" s="388" t="b">
        <f t="shared" si="135"/>
        <v>0</v>
      </c>
      <c r="BA137" t="str">
        <f>'Ashed teabags wet'!A135</f>
        <v>G537</v>
      </c>
      <c r="BB137" t="str">
        <f>'Ashed teabags wet'!A555</f>
        <v>R309</v>
      </c>
      <c r="BC137" t="b">
        <f t="shared" si="136"/>
        <v>0</v>
      </c>
      <c r="BD137" t="b">
        <f t="shared" si="116"/>
        <v>0</v>
      </c>
      <c r="BF137" t="str">
        <f t="shared" si="137"/>
        <v>G262</v>
      </c>
      <c r="BG137" t="str">
        <f t="shared" si="138"/>
        <v>G262</v>
      </c>
      <c r="BH137" t="str">
        <f t="shared" si="139"/>
        <v>G270</v>
      </c>
      <c r="BI137" t="str">
        <f t="shared" si="157"/>
        <v/>
      </c>
      <c r="BJ137" t="s">
        <v>1788</v>
      </c>
      <c r="BK137" t="s">
        <v>1788</v>
      </c>
      <c r="BL137" t="s">
        <v>1788</v>
      </c>
      <c r="BM137" t="b">
        <f t="shared" si="158"/>
        <v>1</v>
      </c>
      <c r="BN137" t="str">
        <f t="shared" si="140"/>
        <v>R606</v>
      </c>
      <c r="BO137" t="str">
        <f t="shared" si="141"/>
        <v>R606</v>
      </c>
      <c r="BP137" t="str">
        <f t="shared" si="142"/>
        <v>R817</v>
      </c>
      <c r="BQ137" t="str">
        <f t="shared" si="143"/>
        <v/>
      </c>
      <c r="BR137" t="s">
        <v>533</v>
      </c>
      <c r="BS137" t="s">
        <v>531</v>
      </c>
      <c r="BT137" t="s">
        <v>533</v>
      </c>
      <c r="BU137" t="b">
        <f t="shared" si="159"/>
        <v>1</v>
      </c>
      <c r="BZ137" t="str">
        <f t="shared" si="144"/>
        <v>G270</v>
      </c>
      <c r="CA137" t="b">
        <f t="shared" si="145"/>
        <v>1</v>
      </c>
      <c r="CB137" t="str">
        <f t="shared" si="160"/>
        <v/>
      </c>
      <c r="CC137" t="str">
        <f t="shared" si="146"/>
        <v>R817</v>
      </c>
      <c r="CD137" t="b">
        <f t="shared" si="161"/>
        <v>1</v>
      </c>
      <c r="CE137" t="str">
        <f t="shared" si="162"/>
        <v/>
      </c>
      <c r="CG137" t="str">
        <f t="shared" si="147"/>
        <v>G536</v>
      </c>
      <c r="CH137" t="str">
        <f t="shared" si="163"/>
        <v>G536</v>
      </c>
      <c r="CI137" t="str">
        <f t="shared" si="148"/>
        <v>G846</v>
      </c>
      <c r="CJ137" t="str">
        <f t="shared" si="149"/>
        <v>G846</v>
      </c>
      <c r="CK137" t="s">
        <v>1514</v>
      </c>
      <c r="CL137" t="s">
        <v>1514</v>
      </c>
      <c r="CM137" t="s">
        <v>1514</v>
      </c>
      <c r="CN137" t="b">
        <f t="shared" si="164"/>
        <v>1</v>
      </c>
      <c r="CO137" t="str">
        <f t="shared" si="150"/>
        <v>R307</v>
      </c>
      <c r="CP137" t="str">
        <f t="shared" si="165"/>
        <v>R307</v>
      </c>
      <c r="CQ137" t="str">
        <f t="shared" si="151"/>
        <v>R524</v>
      </c>
      <c r="CR137" t="str">
        <f t="shared" si="152"/>
        <v>R524</v>
      </c>
      <c r="CS137" t="s">
        <v>834</v>
      </c>
      <c r="CT137" t="s">
        <v>834</v>
      </c>
      <c r="CU137" t="s">
        <v>834</v>
      </c>
      <c r="CV137" t="b">
        <f t="shared" si="166"/>
        <v>1</v>
      </c>
      <c r="DC137" t="str">
        <f t="shared" si="153"/>
        <v>G846</v>
      </c>
      <c r="DD137" t="b">
        <f t="shared" si="167"/>
        <v>0</v>
      </c>
      <c r="DE137" t="str">
        <f t="shared" si="168"/>
        <v>G846</v>
      </c>
      <c r="DF137" t="str">
        <f t="shared" si="154"/>
        <v>R524</v>
      </c>
      <c r="DG137" t="b">
        <f t="shared" si="169"/>
        <v>0</v>
      </c>
      <c r="DH137" t="str">
        <f t="shared" si="170"/>
        <v>R524</v>
      </c>
    </row>
    <row r="138" spans="2:112" ht="12" customHeight="1">
      <c r="B138" t="str">
        <f>TBIDry!H210</f>
        <v>G77</v>
      </c>
      <c r="C138" t="str">
        <f>TBIDry!I210</f>
        <v>R756</v>
      </c>
      <c r="D138" t="b">
        <f t="shared" si="117"/>
        <v>0</v>
      </c>
      <c r="E138" t="b">
        <f t="shared" si="118"/>
        <v>0</v>
      </c>
      <c r="G138" t="str">
        <f>TBIWet!H210</f>
        <v>G745</v>
      </c>
      <c r="H138" t="str">
        <f>TBIWet!I210</f>
        <v>R432</v>
      </c>
      <c r="I138" t="b">
        <f t="shared" si="119"/>
        <v>0</v>
      </c>
      <c r="J138" t="b">
        <f t="shared" si="120"/>
        <v>0</v>
      </c>
      <c r="L138" t="str">
        <f>'Both teabags AfterWet'!A136</f>
        <v>G538</v>
      </c>
      <c r="M138" t="str">
        <f>'Both teabags AfterWet'!A556</f>
        <v>R31</v>
      </c>
      <c r="N138" t="b">
        <f t="shared" si="121"/>
        <v>0</v>
      </c>
      <c r="O138" t="b">
        <f t="shared" si="171"/>
        <v>0</v>
      </c>
      <c r="Q138" s="388" t="b">
        <f t="shared" si="122"/>
        <v>0</v>
      </c>
      <c r="R138" s="388" t="b">
        <f t="shared" si="123"/>
        <v>0</v>
      </c>
      <c r="T138" t="str">
        <f>'Both teabags AfterDry'!A136</f>
        <v>G265</v>
      </c>
      <c r="U138" t="str">
        <f>'Both teabags AfterDry'!A471</f>
        <v>R609</v>
      </c>
      <c r="V138" t="b">
        <f t="shared" si="124"/>
        <v>0</v>
      </c>
      <c r="W138" t="b">
        <f t="shared" si="155"/>
        <v>0</v>
      </c>
      <c r="Y138" t="str">
        <f>'Green_rooibos initial weight'!A139</f>
        <v>G135</v>
      </c>
      <c r="Z138" t="str">
        <f>'Green_rooibos initial weight'!A1043</f>
        <v>R135</v>
      </c>
      <c r="AA138" t="b">
        <f t="shared" si="125"/>
        <v>0</v>
      </c>
      <c r="AB138" t="b">
        <f t="shared" si="126"/>
        <v>0</v>
      </c>
      <c r="AE138" t="str">
        <f>'WetLitterbags placem_collection'!K137</f>
        <v>G745</v>
      </c>
      <c r="AF138" t="str">
        <f>'WetLitterbags placem_collection'!M137</f>
        <v>R432</v>
      </c>
      <c r="AG138" t="b">
        <f t="shared" si="127"/>
        <v>0</v>
      </c>
      <c r="AH138" t="b">
        <f t="shared" si="128"/>
        <v>0</v>
      </c>
      <c r="AJ138" t="b">
        <f t="shared" si="129"/>
        <v>0</v>
      </c>
      <c r="AK138" t="b">
        <f t="shared" si="130"/>
        <v>0</v>
      </c>
      <c r="AM138" t="str">
        <f>IF(ISBLANK('Dry_Litterbag Placem_Collection'!J137),"","G"&amp;""&amp;'Dry_Litterbag Placem_Collection'!J137)</f>
        <v>G77</v>
      </c>
      <c r="AN138" t="str">
        <f>IF(ISBLANK('Dry_Litterbag Placem_Collection'!K137),"","R"&amp;""&amp;'Dry_Litterbag Placem_Collection'!K137)</f>
        <v>R756</v>
      </c>
      <c r="AO138" t="b">
        <f t="shared" si="131"/>
        <v>0</v>
      </c>
      <c r="AP138" t="b">
        <f t="shared" si="132"/>
        <v>0</v>
      </c>
      <c r="AS138" t="str">
        <f>'Ashed teabags dry'!A136</f>
        <v>G265</v>
      </c>
      <c r="AT138" t="str">
        <f>'Ashed teabags dry'!A471</f>
        <v>R609</v>
      </c>
      <c r="AU138" t="b">
        <f t="shared" si="133"/>
        <v>0</v>
      </c>
      <c r="AV138" t="b">
        <f t="shared" si="156"/>
        <v>0</v>
      </c>
      <c r="AX138" s="388" t="b">
        <f t="shared" si="134"/>
        <v>0</v>
      </c>
      <c r="AY138" s="388" t="b">
        <f t="shared" si="135"/>
        <v>0</v>
      </c>
      <c r="BA138" t="str">
        <f>'Ashed teabags wet'!A136</f>
        <v>G538</v>
      </c>
      <c r="BB138" t="str">
        <f>'Ashed teabags wet'!A556</f>
        <v>R31</v>
      </c>
      <c r="BC138" t="b">
        <f t="shared" si="136"/>
        <v>0</v>
      </c>
      <c r="BD138" t="b">
        <f t="shared" si="116"/>
        <v>0</v>
      </c>
      <c r="BF138" t="str">
        <f t="shared" si="137"/>
        <v>G263</v>
      </c>
      <c r="BG138" t="str">
        <f t="shared" si="138"/>
        <v>G263</v>
      </c>
      <c r="BH138" t="str">
        <f t="shared" si="139"/>
        <v>G316</v>
      </c>
      <c r="BI138" t="str">
        <f t="shared" si="157"/>
        <v>G316</v>
      </c>
      <c r="BJ138" t="s">
        <v>1787</v>
      </c>
      <c r="BK138" t="s">
        <v>1787</v>
      </c>
      <c r="BL138" t="s">
        <v>1787</v>
      </c>
      <c r="BM138" t="b">
        <f t="shared" si="158"/>
        <v>1</v>
      </c>
      <c r="BN138" t="str">
        <f t="shared" si="140"/>
        <v>R608</v>
      </c>
      <c r="BO138" t="str">
        <f t="shared" si="141"/>
        <v>R608</v>
      </c>
      <c r="BP138" t="str">
        <f t="shared" si="142"/>
        <v>R837</v>
      </c>
      <c r="BQ138" t="str">
        <f t="shared" si="143"/>
        <v>R837</v>
      </c>
      <c r="BR138" t="s">
        <v>531</v>
      </c>
      <c r="BS138" t="s">
        <v>530</v>
      </c>
      <c r="BT138" t="s">
        <v>531</v>
      </c>
      <c r="BU138" t="b">
        <f t="shared" si="159"/>
        <v>1</v>
      </c>
      <c r="BZ138" t="str">
        <f t="shared" si="144"/>
        <v>G316</v>
      </c>
      <c r="CA138" t="b">
        <f t="shared" si="145"/>
        <v>0</v>
      </c>
      <c r="CB138" t="str">
        <f t="shared" si="160"/>
        <v>G316</v>
      </c>
      <c r="CC138" t="str">
        <f t="shared" si="146"/>
        <v>R837</v>
      </c>
      <c r="CD138" t="b">
        <f t="shared" si="161"/>
        <v>0</v>
      </c>
      <c r="CE138" t="str">
        <f t="shared" si="162"/>
        <v>R837</v>
      </c>
      <c r="CG138" t="str">
        <f t="shared" si="147"/>
        <v>G537</v>
      </c>
      <c r="CH138" t="str">
        <f t="shared" si="163"/>
        <v>G537</v>
      </c>
      <c r="CI138" t="str">
        <f t="shared" si="148"/>
        <v>G756</v>
      </c>
      <c r="CJ138" t="str">
        <f t="shared" si="149"/>
        <v>G756</v>
      </c>
      <c r="CK138" t="s">
        <v>1513</v>
      </c>
      <c r="CL138" t="s">
        <v>1513</v>
      </c>
      <c r="CM138" t="s">
        <v>1513</v>
      </c>
      <c r="CN138" t="b">
        <f t="shared" si="164"/>
        <v>1</v>
      </c>
      <c r="CO138" t="str">
        <f t="shared" si="150"/>
        <v>R309</v>
      </c>
      <c r="CP138" t="str">
        <f t="shared" si="165"/>
        <v>R309</v>
      </c>
      <c r="CQ138" t="str">
        <f t="shared" si="151"/>
        <v>R600</v>
      </c>
      <c r="CR138" t="str">
        <f t="shared" si="152"/>
        <v>R600</v>
      </c>
      <c r="CS138" t="s">
        <v>832</v>
      </c>
      <c r="CT138" t="s">
        <v>832</v>
      </c>
      <c r="CU138" t="s">
        <v>832</v>
      </c>
      <c r="CV138" t="b">
        <f t="shared" si="166"/>
        <v>1</v>
      </c>
      <c r="DC138" t="str">
        <f t="shared" si="153"/>
        <v>G756</v>
      </c>
      <c r="DD138" t="b">
        <f t="shared" si="167"/>
        <v>0</v>
      </c>
      <c r="DE138" t="str">
        <f t="shared" si="168"/>
        <v>G756</v>
      </c>
      <c r="DF138" t="str">
        <f t="shared" si="154"/>
        <v>R600</v>
      </c>
      <c r="DG138" t="b">
        <f t="shared" si="169"/>
        <v>0</v>
      </c>
      <c r="DH138" t="str">
        <f t="shared" si="170"/>
        <v>R600</v>
      </c>
    </row>
    <row r="139" spans="2:112" ht="12" customHeight="1">
      <c r="B139" t="str">
        <f>TBIDry!H211</f>
        <v>G332</v>
      </c>
      <c r="C139" t="str">
        <f>TBIDry!I211</f>
        <v>R184</v>
      </c>
      <c r="D139" t="b">
        <f t="shared" si="117"/>
        <v>0</v>
      </c>
      <c r="E139" t="b">
        <f t="shared" si="118"/>
        <v>0</v>
      </c>
      <c r="G139" t="str">
        <f>TBIWet!H211</f>
        <v>G832</v>
      </c>
      <c r="H139" t="str">
        <f>TBIWet!I211</f>
        <v>R474</v>
      </c>
      <c r="I139" t="b">
        <f t="shared" si="119"/>
        <v>0</v>
      </c>
      <c r="J139" t="b">
        <f t="shared" si="120"/>
        <v>0</v>
      </c>
      <c r="L139" t="str">
        <f>'Both teabags AfterWet'!A137</f>
        <v>G539</v>
      </c>
      <c r="M139" t="str">
        <f>'Both teabags AfterWet'!A557</f>
        <v>R311</v>
      </c>
      <c r="N139" t="b">
        <f t="shared" si="121"/>
        <v>0</v>
      </c>
      <c r="O139" t="b">
        <f t="shared" si="171"/>
        <v>0</v>
      </c>
      <c r="Q139" s="388" t="b">
        <f t="shared" si="122"/>
        <v>0</v>
      </c>
      <c r="R139" s="388" t="b">
        <f t="shared" si="123"/>
        <v>0</v>
      </c>
      <c r="T139" t="str">
        <f>'Both teabags AfterDry'!A137</f>
        <v>G266</v>
      </c>
      <c r="U139" t="str">
        <f>'Both teabags AfterDry'!A472</f>
        <v>R61</v>
      </c>
      <c r="V139" t="b">
        <f t="shared" si="124"/>
        <v>0</v>
      </c>
      <c r="W139" t="b">
        <f t="shared" si="155"/>
        <v>0</v>
      </c>
      <c r="Y139" t="str">
        <f>'Green_rooibos initial weight'!A140</f>
        <v>G136</v>
      </c>
      <c r="Z139" t="str">
        <f>'Green_rooibos initial weight'!A1044</f>
        <v>R136</v>
      </c>
      <c r="AA139" t="b">
        <f t="shared" si="125"/>
        <v>0</v>
      </c>
      <c r="AB139" t="b">
        <f t="shared" si="126"/>
        <v>0</v>
      </c>
      <c r="AE139" t="str">
        <f>'WetLitterbags placem_collection'!K138</f>
        <v>G832</v>
      </c>
      <c r="AF139" t="str">
        <f>'WetLitterbags placem_collection'!M138</f>
        <v>R474</v>
      </c>
      <c r="AG139" t="b">
        <f t="shared" si="127"/>
        <v>0</v>
      </c>
      <c r="AH139" t="b">
        <f t="shared" si="128"/>
        <v>0</v>
      </c>
      <c r="AJ139" t="b">
        <f t="shared" si="129"/>
        <v>0</v>
      </c>
      <c r="AK139" t="b">
        <f t="shared" si="130"/>
        <v>0</v>
      </c>
      <c r="AM139" t="str">
        <f>IF(ISBLANK('Dry_Litterbag Placem_Collection'!J138),"","G"&amp;""&amp;'Dry_Litterbag Placem_Collection'!J138)</f>
        <v>G332</v>
      </c>
      <c r="AN139" t="str">
        <f>IF(ISBLANK('Dry_Litterbag Placem_Collection'!K138),"","R"&amp;""&amp;'Dry_Litterbag Placem_Collection'!K138)</f>
        <v>R184</v>
      </c>
      <c r="AO139" t="b">
        <f t="shared" si="131"/>
        <v>0</v>
      </c>
      <c r="AP139" t="b">
        <f t="shared" si="132"/>
        <v>0</v>
      </c>
      <c r="AS139" t="str">
        <f>'Ashed teabags dry'!A137</f>
        <v>G266</v>
      </c>
      <c r="AT139" t="str">
        <f>'Ashed teabags dry'!A472</f>
        <v>R61</v>
      </c>
      <c r="AU139" t="b">
        <f t="shared" si="133"/>
        <v>0</v>
      </c>
      <c r="AV139" t="b">
        <f t="shared" si="156"/>
        <v>0</v>
      </c>
      <c r="AX139" s="388" t="b">
        <f t="shared" si="134"/>
        <v>0</v>
      </c>
      <c r="AY139" s="388" t="b">
        <f t="shared" si="135"/>
        <v>0</v>
      </c>
      <c r="BA139" t="str">
        <f>'Ashed teabags wet'!A137</f>
        <v>G539</v>
      </c>
      <c r="BB139" t="str">
        <f>'Ashed teabags wet'!A557</f>
        <v>R311</v>
      </c>
      <c r="BC139" t="b">
        <f t="shared" si="136"/>
        <v>0</v>
      </c>
      <c r="BD139" t="b">
        <f t="shared" si="116"/>
        <v>0</v>
      </c>
      <c r="BF139" t="str">
        <f t="shared" si="137"/>
        <v>G265</v>
      </c>
      <c r="BG139" t="str">
        <f t="shared" si="138"/>
        <v>G265</v>
      </c>
      <c r="BH139" t="str">
        <f t="shared" si="139"/>
        <v>G77</v>
      </c>
      <c r="BI139" t="str">
        <f t="shared" si="157"/>
        <v>G77</v>
      </c>
      <c r="BJ139" t="s">
        <v>1785</v>
      </c>
      <c r="BK139" t="s">
        <v>1785</v>
      </c>
      <c r="BL139" t="s">
        <v>1785</v>
      </c>
      <c r="BM139" t="b">
        <f t="shared" si="158"/>
        <v>1</v>
      </c>
      <c r="BN139" t="str">
        <f t="shared" si="140"/>
        <v>R609</v>
      </c>
      <c r="BO139" t="str">
        <f t="shared" si="141"/>
        <v>R609</v>
      </c>
      <c r="BP139" t="str">
        <f t="shared" si="142"/>
        <v>R756</v>
      </c>
      <c r="BQ139" t="str">
        <f t="shared" si="143"/>
        <v>R756</v>
      </c>
      <c r="BR139" t="s">
        <v>530</v>
      </c>
      <c r="BS139" t="s">
        <v>1080</v>
      </c>
      <c r="BT139" t="s">
        <v>530</v>
      </c>
      <c r="BU139" t="b">
        <f t="shared" si="159"/>
        <v>1</v>
      </c>
      <c r="BZ139" t="str">
        <f t="shared" si="144"/>
        <v>G77</v>
      </c>
      <c r="CA139" t="b">
        <f t="shared" si="145"/>
        <v>0</v>
      </c>
      <c r="CB139" t="str">
        <f t="shared" si="160"/>
        <v>G77</v>
      </c>
      <c r="CC139" t="str">
        <f t="shared" si="146"/>
        <v>R756</v>
      </c>
      <c r="CD139" t="b">
        <f t="shared" si="161"/>
        <v>0</v>
      </c>
      <c r="CE139" t="str">
        <f t="shared" si="162"/>
        <v>R756</v>
      </c>
      <c r="CG139" t="str">
        <f t="shared" si="147"/>
        <v>G538</v>
      </c>
      <c r="CH139" t="str">
        <f t="shared" si="163"/>
        <v>G538</v>
      </c>
      <c r="CI139" t="str">
        <f t="shared" si="148"/>
        <v>G745</v>
      </c>
      <c r="CJ139" t="str">
        <f t="shared" si="149"/>
        <v>G745</v>
      </c>
      <c r="CK139" t="s">
        <v>1512</v>
      </c>
      <c r="CL139" t="s">
        <v>1512</v>
      </c>
      <c r="CM139" t="s">
        <v>1512</v>
      </c>
      <c r="CN139" t="b">
        <f t="shared" si="164"/>
        <v>1</v>
      </c>
      <c r="CO139" t="str">
        <f t="shared" si="150"/>
        <v>R31</v>
      </c>
      <c r="CP139" t="str">
        <f t="shared" si="165"/>
        <v>R31</v>
      </c>
      <c r="CQ139" t="str">
        <f t="shared" si="151"/>
        <v>R432</v>
      </c>
      <c r="CR139" t="str">
        <f t="shared" si="152"/>
        <v>R432</v>
      </c>
      <c r="CS139" t="s">
        <v>1110</v>
      </c>
      <c r="CT139" t="s">
        <v>1110</v>
      </c>
      <c r="CU139" t="s">
        <v>1110</v>
      </c>
      <c r="CV139" t="b">
        <f t="shared" si="166"/>
        <v>1</v>
      </c>
      <c r="DC139" t="str">
        <f t="shared" si="153"/>
        <v>G745</v>
      </c>
      <c r="DD139" t="b">
        <f t="shared" si="167"/>
        <v>0</v>
      </c>
      <c r="DE139" t="str">
        <f t="shared" si="168"/>
        <v>G745</v>
      </c>
      <c r="DF139" t="str">
        <f t="shared" si="154"/>
        <v>R432</v>
      </c>
      <c r="DG139" t="b">
        <f t="shared" si="169"/>
        <v>0</v>
      </c>
      <c r="DH139" t="str">
        <f t="shared" si="170"/>
        <v>R432</v>
      </c>
    </row>
    <row r="140" spans="2:112" ht="12" customHeight="1">
      <c r="B140" t="str">
        <f>TBIDry!H212</f>
        <v>G30</v>
      </c>
      <c r="C140" t="str">
        <f>TBIDry!I212</f>
        <v>R746</v>
      </c>
      <c r="D140" t="b">
        <f t="shared" si="117"/>
        <v>0</v>
      </c>
      <c r="E140" t="b">
        <f t="shared" si="118"/>
        <v>0</v>
      </c>
      <c r="G140" t="str">
        <f>TBIWet!H212</f>
        <v>G805</v>
      </c>
      <c r="H140" t="str">
        <f>TBIWet!I212</f>
        <v>R34</v>
      </c>
      <c r="I140" t="b">
        <f t="shared" si="119"/>
        <v>0</v>
      </c>
      <c r="J140" t="b">
        <f t="shared" si="120"/>
        <v>0</v>
      </c>
      <c r="L140" t="str">
        <f>'Both teabags AfterWet'!A138</f>
        <v>G540</v>
      </c>
      <c r="M140" t="str">
        <f>'Both teabags AfterWet'!A558</f>
        <v>R312</v>
      </c>
      <c r="N140" t="b">
        <f t="shared" si="121"/>
        <v>0</v>
      </c>
      <c r="O140" t="b">
        <f t="shared" si="171"/>
        <v>0</v>
      </c>
      <c r="Q140" s="388" t="b">
        <f t="shared" si="122"/>
        <v>0</v>
      </c>
      <c r="R140" s="388" t="b">
        <f t="shared" si="123"/>
        <v>0</v>
      </c>
      <c r="T140" t="str">
        <f>'Both teabags AfterDry'!A138</f>
        <v>G267</v>
      </c>
      <c r="U140" t="str">
        <f>'Both teabags AfterDry'!A473</f>
        <v>R610</v>
      </c>
      <c r="V140" t="b">
        <f t="shared" si="124"/>
        <v>0</v>
      </c>
      <c r="W140" t="b">
        <f t="shared" si="155"/>
        <v>0</v>
      </c>
      <c r="Y140" t="str">
        <f>'Green_rooibos initial weight'!A141</f>
        <v>G137</v>
      </c>
      <c r="Z140" t="str">
        <f>'Green_rooibos initial weight'!A1045</f>
        <v>R137</v>
      </c>
      <c r="AA140" t="b">
        <f t="shared" si="125"/>
        <v>0</v>
      </c>
      <c r="AB140" t="b">
        <f t="shared" si="126"/>
        <v>0</v>
      </c>
      <c r="AE140" t="str">
        <f>'WetLitterbags placem_collection'!K139</f>
        <v>G805</v>
      </c>
      <c r="AF140" t="str">
        <f>'WetLitterbags placem_collection'!M139</f>
        <v>R34</v>
      </c>
      <c r="AG140" t="b">
        <f t="shared" si="127"/>
        <v>0</v>
      </c>
      <c r="AH140" t="b">
        <f t="shared" si="128"/>
        <v>0</v>
      </c>
      <c r="AJ140" t="b">
        <f t="shared" si="129"/>
        <v>0</v>
      </c>
      <c r="AK140" t="b">
        <f t="shared" si="130"/>
        <v>0</v>
      </c>
      <c r="AM140" t="str">
        <f>IF(ISBLANK('Dry_Litterbag Placem_Collection'!J139),"","G"&amp;""&amp;'Dry_Litterbag Placem_Collection'!J139)</f>
        <v>G30</v>
      </c>
      <c r="AN140" t="str">
        <f>IF(ISBLANK('Dry_Litterbag Placem_Collection'!K139),"","R"&amp;""&amp;'Dry_Litterbag Placem_Collection'!K139)</f>
        <v>R746</v>
      </c>
      <c r="AO140" t="b">
        <f t="shared" si="131"/>
        <v>0</v>
      </c>
      <c r="AP140" t="b">
        <f t="shared" si="132"/>
        <v>0</v>
      </c>
      <c r="AS140" t="str">
        <f>'Ashed teabags dry'!A138</f>
        <v>G267</v>
      </c>
      <c r="AT140" t="str">
        <f>'Ashed teabags dry'!A473</f>
        <v>R610</v>
      </c>
      <c r="AU140" t="b">
        <f t="shared" si="133"/>
        <v>0</v>
      </c>
      <c r="AV140" t="b">
        <f t="shared" si="156"/>
        <v>0</v>
      </c>
      <c r="AX140" s="388" t="b">
        <f t="shared" si="134"/>
        <v>0</v>
      </c>
      <c r="AY140" s="388" t="b">
        <f t="shared" si="135"/>
        <v>0</v>
      </c>
      <c r="BA140" t="str">
        <f>'Ashed teabags wet'!A138</f>
        <v>G540</v>
      </c>
      <c r="BB140" t="str">
        <f>'Ashed teabags wet'!A558</f>
        <v>R312</v>
      </c>
      <c r="BC140" t="b">
        <f t="shared" si="136"/>
        <v>0</v>
      </c>
      <c r="BD140" t="b">
        <f t="shared" si="116"/>
        <v>0</v>
      </c>
      <c r="BF140" t="str">
        <f t="shared" si="137"/>
        <v>G266</v>
      </c>
      <c r="BG140" t="str">
        <f t="shared" si="138"/>
        <v>G266</v>
      </c>
      <c r="BH140" t="str">
        <f t="shared" si="139"/>
        <v>G332</v>
      </c>
      <c r="BI140" t="str">
        <f t="shared" si="157"/>
        <v>G332</v>
      </c>
      <c r="BJ140" t="s">
        <v>1784</v>
      </c>
      <c r="BK140" t="s">
        <v>1784</v>
      </c>
      <c r="BL140" t="s">
        <v>1784</v>
      </c>
      <c r="BM140" t="b">
        <f t="shared" si="158"/>
        <v>1</v>
      </c>
      <c r="BN140" t="str">
        <f t="shared" si="140"/>
        <v>R61</v>
      </c>
      <c r="BO140" t="str">
        <f t="shared" si="141"/>
        <v>R61</v>
      </c>
      <c r="BP140" t="str">
        <f t="shared" si="142"/>
        <v>R184</v>
      </c>
      <c r="BQ140" t="str">
        <f t="shared" si="143"/>
        <v>R184</v>
      </c>
      <c r="BR140" t="s">
        <v>1080</v>
      </c>
      <c r="BS140" t="s">
        <v>529</v>
      </c>
      <c r="BT140" t="s">
        <v>1080</v>
      </c>
      <c r="BU140" t="b">
        <f t="shared" si="159"/>
        <v>1</v>
      </c>
      <c r="BZ140" t="str">
        <f t="shared" si="144"/>
        <v>G332</v>
      </c>
      <c r="CA140" t="b">
        <f t="shared" si="145"/>
        <v>0</v>
      </c>
      <c r="CB140" t="str">
        <f t="shared" si="160"/>
        <v>G332</v>
      </c>
      <c r="CC140" t="str">
        <f t="shared" si="146"/>
        <v>R184</v>
      </c>
      <c r="CD140" t="b">
        <f t="shared" si="161"/>
        <v>0</v>
      </c>
      <c r="CE140" t="str">
        <f t="shared" si="162"/>
        <v>R184</v>
      </c>
      <c r="CG140" t="str">
        <f t="shared" si="147"/>
        <v>G539</v>
      </c>
      <c r="CH140" t="str">
        <f t="shared" si="163"/>
        <v>G539</v>
      </c>
      <c r="CI140" t="str">
        <f t="shared" si="148"/>
        <v>G832</v>
      </c>
      <c r="CJ140" t="str">
        <f t="shared" si="149"/>
        <v>G832</v>
      </c>
      <c r="CK140" t="s">
        <v>1511</v>
      </c>
      <c r="CL140" t="s">
        <v>1511</v>
      </c>
      <c r="CM140" t="s">
        <v>1511</v>
      </c>
      <c r="CN140" t="b">
        <f t="shared" si="164"/>
        <v>1</v>
      </c>
      <c r="CO140" t="str">
        <f t="shared" si="150"/>
        <v>R311</v>
      </c>
      <c r="CP140" t="str">
        <f t="shared" si="165"/>
        <v>R311</v>
      </c>
      <c r="CQ140" t="str">
        <f t="shared" si="151"/>
        <v>R474</v>
      </c>
      <c r="CR140" t="str">
        <f t="shared" si="152"/>
        <v>R474</v>
      </c>
      <c r="CS140" t="s">
        <v>830</v>
      </c>
      <c r="CT140" t="s">
        <v>830</v>
      </c>
      <c r="CU140" t="s">
        <v>830</v>
      </c>
      <c r="CV140" t="b">
        <f t="shared" si="166"/>
        <v>1</v>
      </c>
      <c r="DC140" t="str">
        <f t="shared" si="153"/>
        <v>G832</v>
      </c>
      <c r="DD140" t="b">
        <f t="shared" si="167"/>
        <v>0</v>
      </c>
      <c r="DE140" t="str">
        <f t="shared" si="168"/>
        <v>G832</v>
      </c>
      <c r="DF140" t="str">
        <f t="shared" si="154"/>
        <v>R474</v>
      </c>
      <c r="DG140" t="b">
        <f t="shared" si="169"/>
        <v>0</v>
      </c>
      <c r="DH140" t="str">
        <f t="shared" si="170"/>
        <v>R474</v>
      </c>
    </row>
    <row r="141" spans="2:112" ht="12" customHeight="1">
      <c r="B141" t="str">
        <f>TBIDry!H213</f>
        <v>G213</v>
      </c>
      <c r="C141" t="str">
        <f>TBIDry!I213</f>
        <v>R821</v>
      </c>
      <c r="D141" t="b">
        <f t="shared" si="117"/>
        <v>0</v>
      </c>
      <c r="E141" t="b">
        <f t="shared" si="118"/>
        <v>0</v>
      </c>
      <c r="G141" t="str">
        <f>TBIWet!H213</f>
        <v>G815</v>
      </c>
      <c r="H141" t="str">
        <f>TBIWet!I213</f>
        <v>R426</v>
      </c>
      <c r="I141" t="b">
        <f t="shared" si="119"/>
        <v>0</v>
      </c>
      <c r="J141" t="b">
        <f t="shared" si="120"/>
        <v>0</v>
      </c>
      <c r="L141" t="str">
        <f>'Both teabags AfterWet'!A139</f>
        <v>G541</v>
      </c>
      <c r="M141" t="str">
        <f>'Both teabags AfterWet'!A559</f>
        <v>R315</v>
      </c>
      <c r="N141" t="b">
        <f t="shared" si="121"/>
        <v>0</v>
      </c>
      <c r="O141" t="b">
        <f t="shared" si="171"/>
        <v>0</v>
      </c>
      <c r="Q141" s="388" t="b">
        <f t="shared" si="122"/>
        <v>0</v>
      </c>
      <c r="R141" s="388" t="b">
        <f t="shared" si="123"/>
        <v>0</v>
      </c>
      <c r="T141" t="str">
        <f>'Both teabags AfterDry'!A139</f>
        <v>G268</v>
      </c>
      <c r="U141" t="str">
        <f>'Both teabags AfterDry'!A474</f>
        <v>R611</v>
      </c>
      <c r="V141" t="b">
        <f t="shared" si="124"/>
        <v>0</v>
      </c>
      <c r="W141" t="b">
        <f t="shared" si="155"/>
        <v>0</v>
      </c>
      <c r="Y141" t="str">
        <f>'Green_rooibos initial weight'!A142</f>
        <v>G138</v>
      </c>
      <c r="Z141" t="str">
        <f>'Green_rooibos initial weight'!A1046</f>
        <v>R138</v>
      </c>
      <c r="AA141" t="b">
        <f t="shared" si="125"/>
        <v>0</v>
      </c>
      <c r="AB141" t="b">
        <f t="shared" si="126"/>
        <v>0</v>
      </c>
      <c r="AE141" t="str">
        <f>'WetLitterbags placem_collection'!K140</f>
        <v>G815</v>
      </c>
      <c r="AF141" t="str">
        <f>'WetLitterbags placem_collection'!M140</f>
        <v>R426</v>
      </c>
      <c r="AG141" t="b">
        <f t="shared" si="127"/>
        <v>0</v>
      </c>
      <c r="AH141" t="b">
        <f t="shared" si="128"/>
        <v>0</v>
      </c>
      <c r="AJ141" t="b">
        <f t="shared" si="129"/>
        <v>0</v>
      </c>
      <c r="AK141" t="b">
        <f t="shared" si="130"/>
        <v>0</v>
      </c>
      <c r="AM141" t="str">
        <f>IF(ISBLANK('Dry_Litterbag Placem_Collection'!J140),"","G"&amp;""&amp;'Dry_Litterbag Placem_Collection'!J140)</f>
        <v>G213</v>
      </c>
      <c r="AN141" t="str">
        <f>IF(ISBLANK('Dry_Litterbag Placem_Collection'!K140),"","R"&amp;""&amp;'Dry_Litterbag Placem_Collection'!K140)</f>
        <v>R821</v>
      </c>
      <c r="AO141" t="b">
        <f t="shared" si="131"/>
        <v>0</v>
      </c>
      <c r="AP141" t="b">
        <f t="shared" si="132"/>
        <v>0</v>
      </c>
      <c r="AS141" t="str">
        <f>'Ashed teabags dry'!A139</f>
        <v>G268</v>
      </c>
      <c r="AT141" t="str">
        <f>'Ashed teabags dry'!A474</f>
        <v>R611</v>
      </c>
      <c r="AU141" t="b">
        <f t="shared" si="133"/>
        <v>0</v>
      </c>
      <c r="AV141" t="b">
        <f t="shared" si="156"/>
        <v>0</v>
      </c>
      <c r="AX141" s="388" t="b">
        <f t="shared" si="134"/>
        <v>0</v>
      </c>
      <c r="AY141" s="388" t="b">
        <f t="shared" si="135"/>
        <v>0</v>
      </c>
      <c r="BA141" t="str">
        <f>'Ashed teabags wet'!A139</f>
        <v>G541</v>
      </c>
      <c r="BB141" t="str">
        <f>'Ashed teabags wet'!A559</f>
        <v>R315</v>
      </c>
      <c r="BC141" t="b">
        <f t="shared" si="136"/>
        <v>0</v>
      </c>
      <c r="BD141" t="b">
        <f t="shared" si="116"/>
        <v>0</v>
      </c>
      <c r="BF141" t="str">
        <f t="shared" si="137"/>
        <v>G267</v>
      </c>
      <c r="BG141" t="str">
        <f t="shared" si="138"/>
        <v>G267</v>
      </c>
      <c r="BH141" t="str">
        <f t="shared" si="139"/>
        <v>G30</v>
      </c>
      <c r="BI141" t="str">
        <f t="shared" si="157"/>
        <v>G30</v>
      </c>
      <c r="BJ141" t="s">
        <v>1783</v>
      </c>
      <c r="BK141" t="s">
        <v>1783</v>
      </c>
      <c r="BL141" t="s">
        <v>1783</v>
      </c>
      <c r="BM141" t="b">
        <f t="shared" si="158"/>
        <v>1</v>
      </c>
      <c r="BN141" t="str">
        <f t="shared" si="140"/>
        <v>R610</v>
      </c>
      <c r="BO141" t="str">
        <f t="shared" si="141"/>
        <v>R610</v>
      </c>
      <c r="BP141" t="str">
        <f t="shared" si="142"/>
        <v>R746</v>
      </c>
      <c r="BQ141" t="str">
        <f t="shared" si="143"/>
        <v>R746</v>
      </c>
      <c r="BR141" t="s">
        <v>529</v>
      </c>
      <c r="BS141" t="s">
        <v>528</v>
      </c>
      <c r="BT141" t="s">
        <v>529</v>
      </c>
      <c r="BU141" t="b">
        <f t="shared" si="159"/>
        <v>1</v>
      </c>
      <c r="BZ141" t="str">
        <f t="shared" si="144"/>
        <v>G30</v>
      </c>
      <c r="CA141" t="b">
        <f t="shared" si="145"/>
        <v>0</v>
      </c>
      <c r="CB141" t="str">
        <f t="shared" si="160"/>
        <v>G30</v>
      </c>
      <c r="CC141" t="str">
        <f t="shared" si="146"/>
        <v>R746</v>
      </c>
      <c r="CD141" t="b">
        <f t="shared" si="161"/>
        <v>0</v>
      </c>
      <c r="CE141" t="str">
        <f t="shared" si="162"/>
        <v>R746</v>
      </c>
      <c r="CG141" t="str">
        <f t="shared" si="147"/>
        <v>G540</v>
      </c>
      <c r="CH141" t="str">
        <f t="shared" si="163"/>
        <v>G540</v>
      </c>
      <c r="CI141" t="str">
        <f t="shared" si="148"/>
        <v>G805</v>
      </c>
      <c r="CJ141" t="str">
        <f t="shared" si="149"/>
        <v>G805</v>
      </c>
      <c r="CK141" t="s">
        <v>1510</v>
      </c>
      <c r="CL141" t="s">
        <v>1510</v>
      </c>
      <c r="CM141" t="s">
        <v>1510</v>
      </c>
      <c r="CN141" t="b">
        <f t="shared" si="164"/>
        <v>1</v>
      </c>
      <c r="CO141" t="str">
        <f t="shared" si="150"/>
        <v>R312</v>
      </c>
      <c r="CP141" t="str">
        <f t="shared" si="165"/>
        <v>R312</v>
      </c>
      <c r="CQ141" t="str">
        <f t="shared" si="151"/>
        <v>R34</v>
      </c>
      <c r="CR141" t="str">
        <f t="shared" si="152"/>
        <v>R34</v>
      </c>
      <c r="CS141" t="s">
        <v>829</v>
      </c>
      <c r="CT141" t="s">
        <v>829</v>
      </c>
      <c r="CU141" t="s">
        <v>829</v>
      </c>
      <c r="CV141" t="b">
        <f t="shared" si="166"/>
        <v>1</v>
      </c>
      <c r="DC141" t="str">
        <f t="shared" si="153"/>
        <v>G805</v>
      </c>
      <c r="DD141" t="b">
        <f t="shared" si="167"/>
        <v>0</v>
      </c>
      <c r="DE141" t="str">
        <f t="shared" si="168"/>
        <v>G805</v>
      </c>
      <c r="DF141" t="str">
        <f t="shared" si="154"/>
        <v>R34</v>
      </c>
      <c r="DG141" t="b">
        <f t="shared" si="169"/>
        <v>0</v>
      </c>
      <c r="DH141" t="str">
        <f t="shared" si="170"/>
        <v>R34</v>
      </c>
    </row>
    <row r="142" spans="2:112" ht="12" customHeight="1">
      <c r="B142" t="str">
        <f>TBIDry!H214</f>
        <v>G17</v>
      </c>
      <c r="C142" t="str">
        <f>TBIDry!I214</f>
        <v>R813</v>
      </c>
      <c r="D142" s="113" t="b">
        <f t="shared" si="117"/>
        <v>0</v>
      </c>
      <c r="E142" t="b">
        <f t="shared" si="118"/>
        <v>0</v>
      </c>
      <c r="G142" t="str">
        <f>TBIWet!H214</f>
        <v>G798</v>
      </c>
      <c r="H142" t="str">
        <f>TBIWet!I214</f>
        <v>R563</v>
      </c>
      <c r="I142" t="b">
        <f t="shared" si="119"/>
        <v>0</v>
      </c>
      <c r="J142" t="b">
        <f t="shared" si="120"/>
        <v>0</v>
      </c>
      <c r="L142" t="str">
        <f>'Both teabags AfterWet'!A140</f>
        <v>G542</v>
      </c>
      <c r="M142" t="str">
        <f>'Both teabags AfterWet'!A560</f>
        <v>R317</v>
      </c>
      <c r="N142" t="b">
        <f t="shared" si="121"/>
        <v>0</v>
      </c>
      <c r="O142" t="b">
        <f t="shared" si="171"/>
        <v>0</v>
      </c>
      <c r="Q142" s="388" t="b">
        <f t="shared" si="122"/>
        <v>0</v>
      </c>
      <c r="R142" s="388" t="b">
        <f t="shared" si="123"/>
        <v>0</v>
      </c>
      <c r="T142" t="str">
        <f>'Both teabags AfterDry'!A140</f>
        <v>G27</v>
      </c>
      <c r="U142" t="str">
        <f>'Both teabags AfterDry'!A475</f>
        <v>R612</v>
      </c>
      <c r="V142" t="b">
        <f t="shared" si="124"/>
        <v>0</v>
      </c>
      <c r="W142" t="b">
        <f t="shared" si="155"/>
        <v>0</v>
      </c>
      <c r="Y142" t="str">
        <f>'Green_rooibos initial weight'!A143</f>
        <v>G139</v>
      </c>
      <c r="Z142" t="str">
        <f>'Green_rooibos initial weight'!A1047</f>
        <v>R139</v>
      </c>
      <c r="AA142" t="b">
        <f t="shared" si="125"/>
        <v>0</v>
      </c>
      <c r="AB142" t="b">
        <f t="shared" si="126"/>
        <v>0</v>
      </c>
      <c r="AE142" t="str">
        <f>'WetLitterbags placem_collection'!K141</f>
        <v>G798</v>
      </c>
      <c r="AF142" t="str">
        <f>'WetLitterbags placem_collection'!M141</f>
        <v>R563</v>
      </c>
      <c r="AG142" t="b">
        <f t="shared" si="127"/>
        <v>0</v>
      </c>
      <c r="AH142" t="b">
        <f t="shared" si="128"/>
        <v>0</v>
      </c>
      <c r="AJ142" t="b">
        <f t="shared" si="129"/>
        <v>0</v>
      </c>
      <c r="AK142" t="b">
        <f t="shared" si="130"/>
        <v>0</v>
      </c>
      <c r="AM142" t="str">
        <f>IF(ISBLANK('Dry_Litterbag Placem_Collection'!J141),"","G"&amp;""&amp;'Dry_Litterbag Placem_Collection'!J141)</f>
        <v>G17</v>
      </c>
      <c r="AN142" t="str">
        <f>IF(ISBLANK('Dry_Litterbag Placem_Collection'!K141),"","R"&amp;""&amp;'Dry_Litterbag Placem_Collection'!K141)</f>
        <v>R813</v>
      </c>
      <c r="AO142" t="b">
        <f t="shared" si="131"/>
        <v>0</v>
      </c>
      <c r="AP142" t="b">
        <f t="shared" si="132"/>
        <v>0</v>
      </c>
      <c r="AS142" t="str">
        <f>'Ashed teabags dry'!A140</f>
        <v>G27</v>
      </c>
      <c r="AT142" t="str">
        <f>'Ashed teabags dry'!A475</f>
        <v>R612</v>
      </c>
      <c r="AU142" t="b">
        <f t="shared" si="133"/>
        <v>0</v>
      </c>
      <c r="AV142" t="b">
        <f t="shared" si="156"/>
        <v>0</v>
      </c>
      <c r="AX142" s="388" t="b">
        <f t="shared" si="134"/>
        <v>0</v>
      </c>
      <c r="AY142" s="388" t="b">
        <f t="shared" si="135"/>
        <v>0</v>
      </c>
      <c r="BA142" t="str">
        <f>'Ashed teabags wet'!A140</f>
        <v>G542</v>
      </c>
      <c r="BB142" t="str">
        <f>'Ashed teabags wet'!A560</f>
        <v>R317</v>
      </c>
      <c r="BC142" t="b">
        <f t="shared" si="136"/>
        <v>0</v>
      </c>
      <c r="BD142" t="b">
        <f t="shared" si="116"/>
        <v>0</v>
      </c>
      <c r="BF142" t="str">
        <f t="shared" si="137"/>
        <v>G268</v>
      </c>
      <c r="BG142" t="str">
        <f t="shared" si="138"/>
        <v>G268</v>
      </c>
      <c r="BH142" t="str">
        <f t="shared" si="139"/>
        <v>G213</v>
      </c>
      <c r="BI142" t="str">
        <f t="shared" si="157"/>
        <v>G213</v>
      </c>
      <c r="BJ142" t="s">
        <v>1782</v>
      </c>
      <c r="BK142" t="s">
        <v>1782</v>
      </c>
      <c r="BL142" t="s">
        <v>1782</v>
      </c>
      <c r="BM142" t="b">
        <f t="shared" si="158"/>
        <v>1</v>
      </c>
      <c r="BN142" t="str">
        <f t="shared" si="140"/>
        <v>R611</v>
      </c>
      <c r="BO142" t="str">
        <f t="shared" si="141"/>
        <v>R611</v>
      </c>
      <c r="BP142" t="str">
        <f t="shared" si="142"/>
        <v>R821</v>
      </c>
      <c r="BQ142" t="str">
        <f t="shared" si="143"/>
        <v>R821</v>
      </c>
      <c r="BR142" t="s">
        <v>528</v>
      </c>
      <c r="BS142" t="s">
        <v>527</v>
      </c>
      <c r="BT142" t="s">
        <v>528</v>
      </c>
      <c r="BU142" t="b">
        <f t="shared" si="159"/>
        <v>1</v>
      </c>
      <c r="BZ142" t="str">
        <f t="shared" si="144"/>
        <v>G213</v>
      </c>
      <c r="CA142" t="b">
        <f t="shared" si="145"/>
        <v>0</v>
      </c>
      <c r="CB142" t="str">
        <f t="shared" si="160"/>
        <v>G213</v>
      </c>
      <c r="CC142" t="str">
        <f t="shared" si="146"/>
        <v>R821</v>
      </c>
      <c r="CD142" t="b">
        <f t="shared" si="161"/>
        <v>0</v>
      </c>
      <c r="CE142" t="str">
        <f t="shared" si="162"/>
        <v>R821</v>
      </c>
      <c r="CG142" t="str">
        <f t="shared" si="147"/>
        <v>G541</v>
      </c>
      <c r="CH142" t="str">
        <f t="shared" si="163"/>
        <v>G541</v>
      </c>
      <c r="CI142" t="str">
        <f t="shared" si="148"/>
        <v>G815</v>
      </c>
      <c r="CJ142" t="str">
        <f t="shared" si="149"/>
        <v>G815</v>
      </c>
      <c r="CK142" t="s">
        <v>1509</v>
      </c>
      <c r="CL142" t="s">
        <v>1509</v>
      </c>
      <c r="CM142" t="s">
        <v>1509</v>
      </c>
      <c r="CN142" t="b">
        <f t="shared" si="164"/>
        <v>1</v>
      </c>
      <c r="CO142" t="str">
        <f t="shared" si="150"/>
        <v>R315</v>
      </c>
      <c r="CP142" t="str">
        <f t="shared" si="165"/>
        <v>R315</v>
      </c>
      <c r="CQ142" t="str">
        <f t="shared" si="151"/>
        <v>R426</v>
      </c>
      <c r="CR142" t="str">
        <f t="shared" si="152"/>
        <v>R426</v>
      </c>
      <c r="CS142" t="s">
        <v>826</v>
      </c>
      <c r="CT142" t="s">
        <v>826</v>
      </c>
      <c r="CU142" t="s">
        <v>826</v>
      </c>
      <c r="CV142" t="b">
        <f t="shared" si="166"/>
        <v>1</v>
      </c>
      <c r="DC142" t="str">
        <f t="shared" si="153"/>
        <v>G815</v>
      </c>
      <c r="DD142" t="b">
        <f t="shared" si="167"/>
        <v>0</v>
      </c>
      <c r="DE142" t="str">
        <f t="shared" si="168"/>
        <v>G815</v>
      </c>
      <c r="DF142" t="str">
        <f t="shared" si="154"/>
        <v>R426</v>
      </c>
      <c r="DG142" t="b">
        <f t="shared" si="169"/>
        <v>0</v>
      </c>
      <c r="DH142" t="str">
        <f t="shared" si="170"/>
        <v>R426</v>
      </c>
    </row>
    <row r="143" spans="2:112" ht="12" customHeight="1">
      <c r="B143" t="str">
        <f>TBIDry!H215</f>
        <v>G401</v>
      </c>
      <c r="C143" t="str">
        <f>TBIDry!I215</f>
        <v>R729</v>
      </c>
      <c r="D143" t="b">
        <f t="shared" si="117"/>
        <v>0</v>
      </c>
      <c r="E143" t="b">
        <f t="shared" si="118"/>
        <v>0</v>
      </c>
      <c r="G143" t="str">
        <f>TBIWet!H215</f>
        <v>G787</v>
      </c>
      <c r="H143" t="str">
        <f>TBIWet!I215</f>
        <v>R535</v>
      </c>
      <c r="I143" t="b">
        <f t="shared" si="119"/>
        <v>0</v>
      </c>
      <c r="J143" t="b">
        <f t="shared" si="120"/>
        <v>0</v>
      </c>
      <c r="L143" t="str">
        <f>'Both teabags AfterWet'!A141</f>
        <v>G543</v>
      </c>
      <c r="M143" t="str">
        <f>'Both teabags AfterWet'!A561</f>
        <v>R318</v>
      </c>
      <c r="N143" t="b">
        <f t="shared" si="121"/>
        <v>0</v>
      </c>
      <c r="O143" t="b">
        <f t="shared" si="171"/>
        <v>0</v>
      </c>
      <c r="Q143" s="388" t="b">
        <f t="shared" si="122"/>
        <v>0</v>
      </c>
      <c r="R143" s="388" t="b">
        <f t="shared" si="123"/>
        <v>0</v>
      </c>
      <c r="T143" t="str">
        <f>'Both teabags AfterDry'!A141</f>
        <v>G273</v>
      </c>
      <c r="U143" t="str">
        <f>'Both teabags AfterDry'!A476</f>
        <v>R613</v>
      </c>
      <c r="V143" t="b">
        <f t="shared" si="124"/>
        <v>0</v>
      </c>
      <c r="W143" t="b">
        <f t="shared" si="155"/>
        <v>0</v>
      </c>
      <c r="Y143" t="str">
        <f>'Green_rooibos initial weight'!A144</f>
        <v>G140</v>
      </c>
      <c r="Z143" t="str">
        <f>'Green_rooibos initial weight'!A1048</f>
        <v>R140</v>
      </c>
      <c r="AA143" t="b">
        <f t="shared" si="125"/>
        <v>0</v>
      </c>
      <c r="AB143" t="b">
        <f t="shared" si="126"/>
        <v>0</v>
      </c>
      <c r="AE143" t="str">
        <f>'WetLitterbags placem_collection'!K142</f>
        <v>G787</v>
      </c>
      <c r="AF143" t="str">
        <f>'WetLitterbags placem_collection'!M142</f>
        <v>R535</v>
      </c>
      <c r="AG143" t="b">
        <f t="shared" si="127"/>
        <v>0</v>
      </c>
      <c r="AH143" t="b">
        <f t="shared" si="128"/>
        <v>0</v>
      </c>
      <c r="AJ143" t="b">
        <f t="shared" si="129"/>
        <v>0</v>
      </c>
      <c r="AK143" t="b">
        <f t="shared" si="130"/>
        <v>0</v>
      </c>
      <c r="AM143" t="str">
        <f>IF(ISBLANK('Dry_Litterbag Placem_Collection'!J142),"","G"&amp;""&amp;'Dry_Litterbag Placem_Collection'!J142)</f>
        <v>G401</v>
      </c>
      <c r="AN143" t="str">
        <f>IF(ISBLANK('Dry_Litterbag Placem_Collection'!K142),"","R"&amp;""&amp;'Dry_Litterbag Placem_Collection'!K142)</f>
        <v>R729</v>
      </c>
      <c r="AO143" t="b">
        <f t="shared" si="131"/>
        <v>0</v>
      </c>
      <c r="AP143" t="b">
        <f t="shared" si="132"/>
        <v>0</v>
      </c>
      <c r="AS143" t="str">
        <f>'Ashed teabags dry'!A141</f>
        <v>G273</v>
      </c>
      <c r="AT143" t="str">
        <f>'Ashed teabags dry'!A476</f>
        <v>R613</v>
      </c>
      <c r="AU143" t="b">
        <f t="shared" si="133"/>
        <v>0</v>
      </c>
      <c r="AV143" t="b">
        <f t="shared" si="156"/>
        <v>0</v>
      </c>
      <c r="AX143" s="388" t="b">
        <f t="shared" si="134"/>
        <v>0</v>
      </c>
      <c r="AY143" s="388" t="b">
        <f t="shared" si="135"/>
        <v>0</v>
      </c>
      <c r="BA143" t="str">
        <f>'Ashed teabags wet'!A141</f>
        <v>G543</v>
      </c>
      <c r="BB143" t="str">
        <f>'Ashed teabags wet'!A561</f>
        <v>R318</v>
      </c>
      <c r="BC143" t="b">
        <f t="shared" si="136"/>
        <v>0</v>
      </c>
      <c r="BD143" t="b">
        <f t="shared" si="116"/>
        <v>0</v>
      </c>
      <c r="BF143" t="str">
        <f t="shared" si="137"/>
        <v>G27</v>
      </c>
      <c r="BG143" t="str">
        <f t="shared" si="138"/>
        <v>G27</v>
      </c>
      <c r="BH143" t="str">
        <f t="shared" si="139"/>
        <v>G17</v>
      </c>
      <c r="BI143" t="str">
        <f t="shared" si="157"/>
        <v>G17</v>
      </c>
      <c r="BJ143" t="s">
        <v>2023</v>
      </c>
      <c r="BK143" t="s">
        <v>2023</v>
      </c>
      <c r="BL143" t="s">
        <v>2023</v>
      </c>
      <c r="BM143" t="b">
        <f t="shared" si="158"/>
        <v>1</v>
      </c>
      <c r="BN143" t="str">
        <f t="shared" si="140"/>
        <v>R612</v>
      </c>
      <c r="BO143" t="str">
        <f t="shared" si="141"/>
        <v>R612</v>
      </c>
      <c r="BP143" t="str">
        <f t="shared" si="142"/>
        <v>R813</v>
      </c>
      <c r="BQ143" t="str">
        <f t="shared" si="143"/>
        <v>R813</v>
      </c>
      <c r="BR143" t="s">
        <v>527</v>
      </c>
      <c r="BS143" t="s">
        <v>526</v>
      </c>
      <c r="BT143" t="s">
        <v>527</v>
      </c>
      <c r="BU143" t="b">
        <f t="shared" si="159"/>
        <v>1</v>
      </c>
      <c r="BZ143" t="str">
        <f t="shared" si="144"/>
        <v>G17</v>
      </c>
      <c r="CA143" t="b">
        <f t="shared" si="145"/>
        <v>0</v>
      </c>
      <c r="CB143" t="str">
        <f t="shared" si="160"/>
        <v>G17</v>
      </c>
      <c r="CC143" t="str">
        <f t="shared" si="146"/>
        <v>R813</v>
      </c>
      <c r="CD143" t="b">
        <f t="shared" si="161"/>
        <v>0</v>
      </c>
      <c r="CE143" t="str">
        <f t="shared" si="162"/>
        <v>R813</v>
      </c>
      <c r="CG143" t="str">
        <f t="shared" si="147"/>
        <v>G542</v>
      </c>
      <c r="CH143" t="str">
        <f t="shared" si="163"/>
        <v>G542</v>
      </c>
      <c r="CI143" t="str">
        <f t="shared" si="148"/>
        <v>G798</v>
      </c>
      <c r="CJ143" t="str">
        <f t="shared" si="149"/>
        <v>G798</v>
      </c>
      <c r="CK143" t="s">
        <v>1508</v>
      </c>
      <c r="CL143" t="s">
        <v>1508</v>
      </c>
      <c r="CM143" t="s">
        <v>1508</v>
      </c>
      <c r="CN143" t="b">
        <f t="shared" si="164"/>
        <v>1</v>
      </c>
      <c r="CO143" t="str">
        <f t="shared" si="150"/>
        <v>R317</v>
      </c>
      <c r="CP143" t="str">
        <f t="shared" si="165"/>
        <v>R317</v>
      </c>
      <c r="CQ143" t="str">
        <f t="shared" si="151"/>
        <v>R563</v>
      </c>
      <c r="CR143" t="str">
        <f t="shared" si="152"/>
        <v>R563</v>
      </c>
      <c r="CS143" t="s">
        <v>824</v>
      </c>
      <c r="CT143" t="s">
        <v>824</v>
      </c>
      <c r="CU143" t="s">
        <v>824</v>
      </c>
      <c r="CV143" t="b">
        <f t="shared" si="166"/>
        <v>1</v>
      </c>
      <c r="DC143" t="str">
        <f t="shared" si="153"/>
        <v>G798</v>
      </c>
      <c r="DD143" t="b">
        <f t="shared" si="167"/>
        <v>0</v>
      </c>
      <c r="DE143" t="str">
        <f t="shared" si="168"/>
        <v>G798</v>
      </c>
      <c r="DF143" t="str">
        <f t="shared" si="154"/>
        <v>R563</v>
      </c>
      <c r="DG143" t="b">
        <f t="shared" si="169"/>
        <v>0</v>
      </c>
      <c r="DH143" t="str">
        <f t="shared" si="170"/>
        <v>R563</v>
      </c>
    </row>
    <row r="144" spans="2:112" ht="12" customHeight="1">
      <c r="B144" t="str">
        <f>TBIDry!H216</f>
        <v/>
      </c>
      <c r="C144" t="str">
        <f>TBIDry!I216</f>
        <v/>
      </c>
      <c r="D144" t="b">
        <f t="shared" si="117"/>
        <v>1</v>
      </c>
      <c r="E144" t="b">
        <f t="shared" si="118"/>
        <v>1</v>
      </c>
      <c r="G144" t="str">
        <f>TBIWet!H216</f>
        <v>G900</v>
      </c>
      <c r="H144" t="str">
        <f>TBIWet!I216</f>
        <v>R581</v>
      </c>
      <c r="I144" t="b">
        <f t="shared" si="119"/>
        <v>0</v>
      </c>
      <c r="J144" t="b">
        <f t="shared" si="120"/>
        <v>0</v>
      </c>
      <c r="L144" t="str">
        <f>'Both teabags AfterWet'!A142</f>
        <v>G544</v>
      </c>
      <c r="M144" t="str">
        <f>'Both teabags AfterWet'!A562</f>
        <v>R319</v>
      </c>
      <c r="N144" t="b">
        <f t="shared" si="121"/>
        <v>0</v>
      </c>
      <c r="O144" t="b">
        <f t="shared" si="171"/>
        <v>0</v>
      </c>
      <c r="Q144" s="388" t="b">
        <f t="shared" si="122"/>
        <v>0</v>
      </c>
      <c r="R144" s="388" t="b">
        <f t="shared" si="123"/>
        <v>0</v>
      </c>
      <c r="T144" t="str">
        <f>'Both teabags AfterDry'!A142</f>
        <v>G274</v>
      </c>
      <c r="U144" t="str">
        <f>'Both teabags AfterDry'!A477</f>
        <v>R614</v>
      </c>
      <c r="V144" t="b">
        <f t="shared" si="124"/>
        <v>0</v>
      </c>
      <c r="W144" t="b">
        <f t="shared" si="155"/>
        <v>0</v>
      </c>
      <c r="Y144" t="str">
        <f>'Green_rooibos initial weight'!A145</f>
        <v>G141</v>
      </c>
      <c r="Z144" t="str">
        <f>'Green_rooibos initial weight'!A1049</f>
        <v>R141</v>
      </c>
      <c r="AA144" t="b">
        <f t="shared" si="125"/>
        <v>0</v>
      </c>
      <c r="AB144" t="b">
        <f t="shared" si="126"/>
        <v>0</v>
      </c>
      <c r="AE144" t="str">
        <f>'WetLitterbags placem_collection'!K143</f>
        <v>G900</v>
      </c>
      <c r="AF144" t="str">
        <f>'WetLitterbags placem_collection'!M143</f>
        <v>R581</v>
      </c>
      <c r="AG144" t="b">
        <f t="shared" si="127"/>
        <v>0</v>
      </c>
      <c r="AH144" t="b">
        <f t="shared" si="128"/>
        <v>0</v>
      </c>
      <c r="AJ144" t="b">
        <f t="shared" si="129"/>
        <v>0</v>
      </c>
      <c r="AK144" t="b">
        <f t="shared" si="130"/>
        <v>0</v>
      </c>
      <c r="AM144" t="str">
        <f>IF(ISBLANK('Dry_Litterbag Placem_Collection'!J143),"","G"&amp;""&amp;'Dry_Litterbag Placem_Collection'!J143)</f>
        <v/>
      </c>
      <c r="AN144" t="str">
        <f>IF(ISBLANK('Dry_Litterbag Placem_Collection'!K143),"","R"&amp;""&amp;'Dry_Litterbag Placem_Collection'!K143)</f>
        <v/>
      </c>
      <c r="AO144" t="b">
        <f t="shared" si="131"/>
        <v>1</v>
      </c>
      <c r="AP144" t="b">
        <f t="shared" si="132"/>
        <v>1</v>
      </c>
      <c r="AS144" t="str">
        <f>'Ashed teabags dry'!A142</f>
        <v>G274</v>
      </c>
      <c r="AT144" t="str">
        <f>'Ashed teabags dry'!A477</f>
        <v>R614</v>
      </c>
      <c r="AU144" t="b">
        <f t="shared" si="133"/>
        <v>0</v>
      </c>
      <c r="AV144" t="b">
        <f t="shared" si="156"/>
        <v>0</v>
      </c>
      <c r="AX144" s="388" t="b">
        <f t="shared" si="134"/>
        <v>0</v>
      </c>
      <c r="AY144" s="388" t="b">
        <f t="shared" si="135"/>
        <v>0</v>
      </c>
      <c r="BA144" t="str">
        <f>'Ashed teabags wet'!A142</f>
        <v>G544</v>
      </c>
      <c r="BB144" t="str">
        <f>'Ashed teabags wet'!A562</f>
        <v>R319</v>
      </c>
      <c r="BC144" t="b">
        <f t="shared" si="136"/>
        <v>0</v>
      </c>
      <c r="BD144" t="b">
        <f t="shared" si="116"/>
        <v>0</v>
      </c>
      <c r="BF144" t="str">
        <f t="shared" si="137"/>
        <v>G273</v>
      </c>
      <c r="BG144" t="str">
        <f t="shared" si="138"/>
        <v>G273</v>
      </c>
      <c r="BH144" t="str">
        <f t="shared" si="139"/>
        <v>G401</v>
      </c>
      <c r="BI144" t="str">
        <f t="shared" si="157"/>
        <v>G401</v>
      </c>
      <c r="BJ144" t="s">
        <v>1777</v>
      </c>
      <c r="BK144" t="s">
        <v>1777</v>
      </c>
      <c r="BL144" t="s">
        <v>1777</v>
      </c>
      <c r="BM144" t="b">
        <f t="shared" si="158"/>
        <v>1</v>
      </c>
      <c r="BN144" t="str">
        <f t="shared" si="140"/>
        <v>R613</v>
      </c>
      <c r="BO144" t="str">
        <f t="shared" si="141"/>
        <v>R613</v>
      </c>
      <c r="BP144" t="str">
        <f t="shared" si="142"/>
        <v>R729</v>
      </c>
      <c r="BQ144" t="str">
        <f t="shared" si="143"/>
        <v>R729</v>
      </c>
      <c r="BR144" t="s">
        <v>526</v>
      </c>
      <c r="BS144" t="s">
        <v>525</v>
      </c>
      <c r="BT144" t="s">
        <v>526</v>
      </c>
      <c r="BU144" t="b">
        <f t="shared" si="159"/>
        <v>1</v>
      </c>
      <c r="BZ144" t="str">
        <f t="shared" si="144"/>
        <v>G401</v>
      </c>
      <c r="CA144" t="b">
        <f t="shared" si="145"/>
        <v>0</v>
      </c>
      <c r="CB144" t="str">
        <f t="shared" si="160"/>
        <v>G401</v>
      </c>
      <c r="CC144" t="str">
        <f t="shared" si="146"/>
        <v>R729</v>
      </c>
      <c r="CD144" t="b">
        <f t="shared" si="161"/>
        <v>0</v>
      </c>
      <c r="CE144" t="str">
        <f t="shared" si="162"/>
        <v>R729</v>
      </c>
      <c r="CG144" t="str">
        <f t="shared" si="147"/>
        <v>G543</v>
      </c>
      <c r="CH144" t="str">
        <f t="shared" si="163"/>
        <v>G543</v>
      </c>
      <c r="CI144" t="str">
        <f t="shared" si="148"/>
        <v>G787</v>
      </c>
      <c r="CJ144" t="str">
        <f t="shared" si="149"/>
        <v>G787</v>
      </c>
      <c r="CK144" t="s">
        <v>1507</v>
      </c>
      <c r="CL144" t="s">
        <v>1507</v>
      </c>
      <c r="CM144" t="s">
        <v>1507</v>
      </c>
      <c r="CN144" t="b">
        <f t="shared" si="164"/>
        <v>1</v>
      </c>
      <c r="CO144" t="str">
        <f t="shared" si="150"/>
        <v>R318</v>
      </c>
      <c r="CP144" t="str">
        <f t="shared" si="165"/>
        <v>R318</v>
      </c>
      <c r="CQ144" t="str">
        <f t="shared" si="151"/>
        <v>R535</v>
      </c>
      <c r="CR144" t="str">
        <f t="shared" si="152"/>
        <v>R535</v>
      </c>
      <c r="CS144" t="s">
        <v>823</v>
      </c>
      <c r="CT144" t="s">
        <v>823</v>
      </c>
      <c r="CU144" t="s">
        <v>823</v>
      </c>
      <c r="CV144" t="b">
        <f t="shared" si="166"/>
        <v>1</v>
      </c>
      <c r="DC144" t="str">
        <f t="shared" si="153"/>
        <v>G787</v>
      </c>
      <c r="DD144" t="b">
        <f t="shared" si="167"/>
        <v>0</v>
      </c>
      <c r="DE144" t="str">
        <f t="shared" si="168"/>
        <v>G787</v>
      </c>
      <c r="DF144" t="str">
        <f t="shared" si="154"/>
        <v>R535</v>
      </c>
      <c r="DG144" t="b">
        <f t="shared" si="169"/>
        <v>0</v>
      </c>
      <c r="DH144" t="str">
        <f t="shared" si="170"/>
        <v>R535</v>
      </c>
    </row>
    <row r="145" spans="2:112" ht="12" customHeight="1">
      <c r="B145" t="str">
        <f>TBIDry!H217</f>
        <v>G87</v>
      </c>
      <c r="C145" t="str">
        <f>TBIDry!I217</f>
        <v>R834</v>
      </c>
      <c r="D145" t="b">
        <f t="shared" si="117"/>
        <v>0</v>
      </c>
      <c r="E145" t="b">
        <f t="shared" si="118"/>
        <v>0</v>
      </c>
      <c r="G145" t="str">
        <f>TBIWet!H217</f>
        <v>G817</v>
      </c>
      <c r="H145" t="str">
        <f>TBIWet!I217</f>
        <v>R460</v>
      </c>
      <c r="I145" t="b">
        <f t="shared" si="119"/>
        <v>0</v>
      </c>
      <c r="J145" t="b">
        <f t="shared" si="120"/>
        <v>0</v>
      </c>
      <c r="L145" t="str">
        <f>'Both teabags AfterWet'!A143</f>
        <v>G545</v>
      </c>
      <c r="M145" t="str">
        <f>'Both teabags AfterWet'!A563</f>
        <v>R32</v>
      </c>
      <c r="N145" t="b">
        <f t="shared" si="121"/>
        <v>0</v>
      </c>
      <c r="O145" t="b">
        <f t="shared" si="171"/>
        <v>0</v>
      </c>
      <c r="Q145" s="388" t="b">
        <f t="shared" si="122"/>
        <v>0</v>
      </c>
      <c r="R145" s="388" t="b">
        <f t="shared" si="123"/>
        <v>0</v>
      </c>
      <c r="T145" t="str">
        <f>'Both teabags AfterDry'!A143</f>
        <v>G275</v>
      </c>
      <c r="U145" t="str">
        <f>'Both teabags AfterDry'!A478</f>
        <v>R615</v>
      </c>
      <c r="V145" t="b">
        <f t="shared" si="124"/>
        <v>0</v>
      </c>
      <c r="W145" t="b">
        <f t="shared" si="155"/>
        <v>0</v>
      </c>
      <c r="Y145" t="str">
        <f>'Green_rooibos initial weight'!A146</f>
        <v>G142</v>
      </c>
      <c r="Z145" t="str">
        <f>'Green_rooibos initial weight'!A1050</f>
        <v>R142</v>
      </c>
      <c r="AA145" t="b">
        <f t="shared" si="125"/>
        <v>0</v>
      </c>
      <c r="AB145" t="b">
        <f t="shared" si="126"/>
        <v>0</v>
      </c>
      <c r="AE145" t="str">
        <f>'WetLitterbags placem_collection'!K144</f>
        <v>G817</v>
      </c>
      <c r="AF145" t="str">
        <f>'WetLitterbags placem_collection'!M144</f>
        <v>R460</v>
      </c>
      <c r="AG145" t="b">
        <f t="shared" si="127"/>
        <v>0</v>
      </c>
      <c r="AH145" t="b">
        <f t="shared" si="128"/>
        <v>0</v>
      </c>
      <c r="AJ145" t="b">
        <f t="shared" si="129"/>
        <v>0</v>
      </c>
      <c r="AK145" t="b">
        <f t="shared" si="130"/>
        <v>0</v>
      </c>
      <c r="AM145" t="str">
        <f>IF(ISBLANK('Dry_Litterbag Placem_Collection'!J144),"","G"&amp;""&amp;'Dry_Litterbag Placem_Collection'!J144)</f>
        <v>G87</v>
      </c>
      <c r="AN145" t="str">
        <f>IF(ISBLANK('Dry_Litterbag Placem_Collection'!K144),"","R"&amp;""&amp;'Dry_Litterbag Placem_Collection'!K144)</f>
        <v>R834</v>
      </c>
      <c r="AO145" t="b">
        <f t="shared" si="131"/>
        <v>0</v>
      </c>
      <c r="AP145" t="b">
        <f t="shared" si="132"/>
        <v>0</v>
      </c>
      <c r="AS145" t="str">
        <f>'Ashed teabags dry'!A143</f>
        <v>G275</v>
      </c>
      <c r="AT145" t="str">
        <f>'Ashed teabags dry'!A478</f>
        <v>R615</v>
      </c>
      <c r="AU145" t="b">
        <f t="shared" si="133"/>
        <v>0</v>
      </c>
      <c r="AV145" t="b">
        <f t="shared" si="156"/>
        <v>0</v>
      </c>
      <c r="AX145" s="388" t="b">
        <f t="shared" si="134"/>
        <v>0</v>
      </c>
      <c r="AY145" s="388" t="b">
        <f t="shared" si="135"/>
        <v>0</v>
      </c>
      <c r="BA145" t="str">
        <f>'Ashed teabags wet'!A143</f>
        <v>G545</v>
      </c>
      <c r="BB145" t="str">
        <f>'Ashed teabags wet'!A563</f>
        <v>R32</v>
      </c>
      <c r="BC145" t="b">
        <f t="shared" si="136"/>
        <v>0</v>
      </c>
      <c r="BD145" t="b">
        <f t="shared" si="116"/>
        <v>0</v>
      </c>
      <c r="BF145" t="str">
        <f t="shared" si="137"/>
        <v>G274</v>
      </c>
      <c r="BG145" t="str">
        <f t="shared" si="138"/>
        <v>G274</v>
      </c>
      <c r="BH145" t="str">
        <f t="shared" si="139"/>
        <v/>
      </c>
      <c r="BI145" t="str">
        <f t="shared" si="157"/>
        <v/>
      </c>
      <c r="BJ145" t="s">
        <v>1776</v>
      </c>
      <c r="BK145" t="s">
        <v>1776</v>
      </c>
      <c r="BL145" t="s">
        <v>1776</v>
      </c>
      <c r="BM145" t="b">
        <f t="shared" si="158"/>
        <v>1</v>
      </c>
      <c r="BN145" t="str">
        <f t="shared" si="140"/>
        <v>R614</v>
      </c>
      <c r="BO145" t="str">
        <f t="shared" si="141"/>
        <v>R614</v>
      </c>
      <c r="BP145" t="str">
        <f t="shared" si="142"/>
        <v/>
      </c>
      <c r="BQ145" t="str">
        <f t="shared" si="143"/>
        <v/>
      </c>
      <c r="BR145" t="s">
        <v>525</v>
      </c>
      <c r="BS145" t="s">
        <v>524</v>
      </c>
      <c r="BT145" t="s">
        <v>525</v>
      </c>
      <c r="BU145" t="b">
        <f t="shared" si="159"/>
        <v>1</v>
      </c>
      <c r="BZ145" t="str">
        <f t="shared" si="144"/>
        <v/>
      </c>
      <c r="CA145" t="b">
        <f t="shared" si="145"/>
        <v>0</v>
      </c>
      <c r="CB145" t="str">
        <f t="shared" si="160"/>
        <v/>
      </c>
      <c r="CC145" t="str">
        <f t="shared" si="146"/>
        <v/>
      </c>
      <c r="CD145" t="b">
        <f t="shared" si="161"/>
        <v>0</v>
      </c>
      <c r="CE145" t="str">
        <f t="shared" si="162"/>
        <v/>
      </c>
      <c r="CG145" t="str">
        <f t="shared" si="147"/>
        <v>G544</v>
      </c>
      <c r="CH145" t="str">
        <f t="shared" si="163"/>
        <v>G544</v>
      </c>
      <c r="CI145" t="str">
        <f t="shared" si="148"/>
        <v>G900</v>
      </c>
      <c r="CJ145" t="str">
        <f t="shared" si="149"/>
        <v>G900</v>
      </c>
      <c r="CK145" t="s">
        <v>1506</v>
      </c>
      <c r="CL145" t="s">
        <v>1506</v>
      </c>
      <c r="CM145" t="s">
        <v>1506</v>
      </c>
      <c r="CN145" t="b">
        <f t="shared" si="164"/>
        <v>1</v>
      </c>
      <c r="CO145" t="str">
        <f t="shared" si="150"/>
        <v>R319</v>
      </c>
      <c r="CP145" t="str">
        <f t="shared" si="165"/>
        <v>R319</v>
      </c>
      <c r="CQ145" t="str">
        <f t="shared" si="151"/>
        <v>R581</v>
      </c>
      <c r="CR145" t="str">
        <f t="shared" si="152"/>
        <v>R581</v>
      </c>
      <c r="CS145" t="s">
        <v>822</v>
      </c>
      <c r="CT145" t="s">
        <v>822</v>
      </c>
      <c r="CU145" t="s">
        <v>822</v>
      </c>
      <c r="CV145" t="b">
        <f t="shared" si="166"/>
        <v>1</v>
      </c>
      <c r="DC145" t="str">
        <f t="shared" si="153"/>
        <v>G900</v>
      </c>
      <c r="DD145" t="b">
        <f t="shared" si="167"/>
        <v>0</v>
      </c>
      <c r="DE145" t="str">
        <f t="shared" si="168"/>
        <v>G900</v>
      </c>
      <c r="DF145" t="str">
        <f t="shared" si="154"/>
        <v>R581</v>
      </c>
      <c r="DG145" t="b">
        <f t="shared" si="169"/>
        <v>0</v>
      </c>
      <c r="DH145" t="str">
        <f t="shared" si="170"/>
        <v>R581</v>
      </c>
    </row>
    <row r="146" spans="2:112" ht="12" customHeight="1">
      <c r="B146" t="str">
        <f>TBIDry!H218</f>
        <v>G501</v>
      </c>
      <c r="C146" t="str">
        <f>TBIDry!I218</f>
        <v>R774</v>
      </c>
      <c r="D146" t="b">
        <f t="shared" si="117"/>
        <v>0</v>
      </c>
      <c r="E146" t="b">
        <f t="shared" si="118"/>
        <v>0</v>
      </c>
      <c r="G146" t="str">
        <f>TBIWet!H218</f>
        <v>G836</v>
      </c>
      <c r="H146" t="str">
        <f>TBIWet!I218</f>
        <v>R456</v>
      </c>
      <c r="I146" t="b">
        <f t="shared" si="119"/>
        <v>0</v>
      </c>
      <c r="J146" t="b">
        <f t="shared" si="120"/>
        <v>0</v>
      </c>
      <c r="L146" t="str">
        <f>'Both teabags AfterWet'!A144</f>
        <v>G546</v>
      </c>
      <c r="M146" t="str">
        <f>'Both teabags AfterWet'!A564</f>
        <v>R322</v>
      </c>
      <c r="N146" t="b">
        <f t="shared" si="121"/>
        <v>0</v>
      </c>
      <c r="O146" t="b">
        <f t="shared" si="171"/>
        <v>0</v>
      </c>
      <c r="Q146" s="388" t="b">
        <f t="shared" si="122"/>
        <v>0</v>
      </c>
      <c r="R146" s="388" t="b">
        <f t="shared" si="123"/>
        <v>0</v>
      </c>
      <c r="T146" t="str">
        <f>'Both teabags AfterDry'!A144</f>
        <v>G277</v>
      </c>
      <c r="U146" t="str">
        <f>'Both teabags AfterDry'!A479</f>
        <v>R616</v>
      </c>
      <c r="V146" t="b">
        <f t="shared" si="124"/>
        <v>0</v>
      </c>
      <c r="W146" t="b">
        <f t="shared" si="155"/>
        <v>0</v>
      </c>
      <c r="Y146" t="str">
        <f>'Green_rooibos initial weight'!A147</f>
        <v>G143</v>
      </c>
      <c r="Z146" t="str">
        <f>'Green_rooibos initial weight'!A1051</f>
        <v>R143</v>
      </c>
      <c r="AA146" t="b">
        <f t="shared" si="125"/>
        <v>0</v>
      </c>
      <c r="AB146" t="b">
        <f t="shared" si="126"/>
        <v>0</v>
      </c>
      <c r="AE146" t="str">
        <f>'WetLitterbags placem_collection'!K145</f>
        <v>G836</v>
      </c>
      <c r="AF146" t="str">
        <f>'WetLitterbags placem_collection'!M145</f>
        <v>R456</v>
      </c>
      <c r="AG146" t="b">
        <f t="shared" si="127"/>
        <v>0</v>
      </c>
      <c r="AH146" t="b">
        <f t="shared" si="128"/>
        <v>0</v>
      </c>
      <c r="AJ146" t="b">
        <f t="shared" si="129"/>
        <v>0</v>
      </c>
      <c r="AK146" t="b">
        <f t="shared" si="130"/>
        <v>0</v>
      </c>
      <c r="AM146" t="str">
        <f>IF(ISBLANK('Dry_Litterbag Placem_Collection'!J145),"","G"&amp;""&amp;'Dry_Litterbag Placem_Collection'!J145)</f>
        <v>G501</v>
      </c>
      <c r="AN146" t="str">
        <f>IF(ISBLANK('Dry_Litterbag Placem_Collection'!K145),"","R"&amp;""&amp;'Dry_Litterbag Placem_Collection'!K145)</f>
        <v>R774</v>
      </c>
      <c r="AO146" t="b">
        <f t="shared" si="131"/>
        <v>0</v>
      </c>
      <c r="AP146" t="b">
        <f t="shared" si="132"/>
        <v>0</v>
      </c>
      <c r="AS146" t="str">
        <f>'Ashed teabags dry'!A144</f>
        <v>G277</v>
      </c>
      <c r="AT146" t="str">
        <f>'Ashed teabags dry'!A479</f>
        <v>R616</v>
      </c>
      <c r="AU146" t="b">
        <f t="shared" si="133"/>
        <v>0</v>
      </c>
      <c r="AV146" t="b">
        <f t="shared" si="156"/>
        <v>0</v>
      </c>
      <c r="AX146" s="388" t="b">
        <f t="shared" si="134"/>
        <v>0</v>
      </c>
      <c r="AY146" s="388" t="b">
        <f t="shared" si="135"/>
        <v>0</v>
      </c>
      <c r="BA146" t="str">
        <f>'Ashed teabags wet'!A144</f>
        <v>G546</v>
      </c>
      <c r="BB146" t="str">
        <f>'Ashed teabags wet'!A564</f>
        <v>R322</v>
      </c>
      <c r="BC146" t="b">
        <f t="shared" si="136"/>
        <v>0</v>
      </c>
      <c r="BD146" t="b">
        <f t="shared" si="116"/>
        <v>0</v>
      </c>
      <c r="BF146" t="str">
        <f t="shared" si="137"/>
        <v>G275</v>
      </c>
      <c r="BG146" t="str">
        <f t="shared" si="138"/>
        <v>G275</v>
      </c>
      <c r="BH146" t="str">
        <f t="shared" si="139"/>
        <v>G87</v>
      </c>
      <c r="BI146" t="str">
        <f t="shared" si="157"/>
        <v/>
      </c>
      <c r="BJ146" t="s">
        <v>1775</v>
      </c>
      <c r="BK146" t="s">
        <v>1775</v>
      </c>
      <c r="BL146" t="s">
        <v>1775</v>
      </c>
      <c r="BM146" t="b">
        <f t="shared" si="158"/>
        <v>1</v>
      </c>
      <c r="BN146" t="str">
        <f t="shared" si="140"/>
        <v>R615</v>
      </c>
      <c r="BO146" t="str">
        <f t="shared" si="141"/>
        <v>R615</v>
      </c>
      <c r="BP146" t="str">
        <f t="shared" si="142"/>
        <v>R834</v>
      </c>
      <c r="BQ146" t="str">
        <f t="shared" si="143"/>
        <v/>
      </c>
      <c r="BR146" t="s">
        <v>524</v>
      </c>
      <c r="BS146" t="s">
        <v>523</v>
      </c>
      <c r="BT146" t="s">
        <v>524</v>
      </c>
      <c r="BU146" t="b">
        <f t="shared" si="159"/>
        <v>1</v>
      </c>
      <c r="BZ146" t="str">
        <f t="shared" si="144"/>
        <v>G87</v>
      </c>
      <c r="CA146" t="b">
        <f t="shared" si="145"/>
        <v>1</v>
      </c>
      <c r="CB146" t="str">
        <f t="shared" si="160"/>
        <v/>
      </c>
      <c r="CC146" t="str">
        <f t="shared" si="146"/>
        <v>R834</v>
      </c>
      <c r="CD146" t="b">
        <f t="shared" si="161"/>
        <v>1</v>
      </c>
      <c r="CE146" t="str">
        <f t="shared" si="162"/>
        <v/>
      </c>
      <c r="CG146" t="str">
        <f t="shared" si="147"/>
        <v>G545</v>
      </c>
      <c r="CH146" t="str">
        <f t="shared" si="163"/>
        <v>G545</v>
      </c>
      <c r="CI146" t="str">
        <f t="shared" si="148"/>
        <v>G817</v>
      </c>
      <c r="CJ146" t="str">
        <f t="shared" si="149"/>
        <v/>
      </c>
      <c r="CK146" t="s">
        <v>1505</v>
      </c>
      <c r="CL146" t="s">
        <v>1505</v>
      </c>
      <c r="CM146" t="s">
        <v>1505</v>
      </c>
      <c r="CN146" t="b">
        <f t="shared" si="164"/>
        <v>1</v>
      </c>
      <c r="CO146" t="str">
        <f t="shared" si="150"/>
        <v>R32</v>
      </c>
      <c r="CP146" t="str">
        <f t="shared" si="165"/>
        <v>R32</v>
      </c>
      <c r="CQ146" t="str">
        <f t="shared" si="151"/>
        <v>R460</v>
      </c>
      <c r="CR146" t="str">
        <f t="shared" si="152"/>
        <v>R460</v>
      </c>
      <c r="CS146" t="s">
        <v>1109</v>
      </c>
      <c r="CT146" t="s">
        <v>1109</v>
      </c>
      <c r="CU146" t="s">
        <v>1109</v>
      </c>
      <c r="CV146" t="b">
        <f t="shared" si="166"/>
        <v>1</v>
      </c>
      <c r="DC146" t="str">
        <f t="shared" si="153"/>
        <v>G817</v>
      </c>
      <c r="DD146" t="b">
        <f t="shared" si="167"/>
        <v>1</v>
      </c>
      <c r="DE146" t="str">
        <f t="shared" si="168"/>
        <v/>
      </c>
      <c r="DF146" t="str">
        <f t="shared" si="154"/>
        <v>R460</v>
      </c>
      <c r="DG146" t="b">
        <f t="shared" si="169"/>
        <v>0</v>
      </c>
      <c r="DH146" t="str">
        <f t="shared" si="170"/>
        <v>R460</v>
      </c>
    </row>
    <row r="147" spans="2:112" ht="12" customHeight="1">
      <c r="B147" t="str">
        <f>TBIDry!H219</f>
        <v>G141</v>
      </c>
      <c r="C147" t="str">
        <f>TBIDry!I219</f>
        <v>R779</v>
      </c>
      <c r="D147" t="b">
        <f t="shared" si="117"/>
        <v>0</v>
      </c>
      <c r="E147" t="b">
        <f t="shared" si="118"/>
        <v>0</v>
      </c>
      <c r="G147" t="str">
        <f>TBIWet!H219</f>
        <v>G784</v>
      </c>
      <c r="H147" t="str">
        <f>TBIWet!I219</f>
        <v>R571</v>
      </c>
      <c r="I147" t="b">
        <f t="shared" si="119"/>
        <v>0</v>
      </c>
      <c r="J147" t="b">
        <f t="shared" si="120"/>
        <v>0</v>
      </c>
      <c r="L147" t="str">
        <f>'Both teabags AfterWet'!A145</f>
        <v>G547</v>
      </c>
      <c r="M147" t="str">
        <f>'Both teabags AfterWet'!A565</f>
        <v>R323</v>
      </c>
      <c r="N147" t="b">
        <f t="shared" si="121"/>
        <v>0</v>
      </c>
      <c r="O147" t="b">
        <f t="shared" si="171"/>
        <v>0</v>
      </c>
      <c r="Q147" s="388" t="b">
        <f t="shared" si="122"/>
        <v>0</v>
      </c>
      <c r="R147" s="388" t="b">
        <f t="shared" si="123"/>
        <v>0</v>
      </c>
      <c r="T147" t="str">
        <f>'Both teabags AfterDry'!A145</f>
        <v>G278</v>
      </c>
      <c r="U147" t="str">
        <f>'Both teabags AfterDry'!A480</f>
        <v>R617</v>
      </c>
      <c r="V147" t="b">
        <f t="shared" si="124"/>
        <v>0</v>
      </c>
      <c r="W147" t="b">
        <f t="shared" si="155"/>
        <v>0</v>
      </c>
      <c r="Y147" t="str">
        <f>'Green_rooibos initial weight'!A148</f>
        <v>G144</v>
      </c>
      <c r="Z147" t="str">
        <f>'Green_rooibos initial weight'!A1052</f>
        <v>R144</v>
      </c>
      <c r="AA147" t="b">
        <f t="shared" si="125"/>
        <v>0</v>
      </c>
      <c r="AB147" t="b">
        <f t="shared" si="126"/>
        <v>0</v>
      </c>
      <c r="AE147" t="str">
        <f>'WetLitterbags placem_collection'!K146</f>
        <v>G784</v>
      </c>
      <c r="AF147" t="str">
        <f>'WetLitterbags placem_collection'!M146</f>
        <v>R571</v>
      </c>
      <c r="AG147" t="b">
        <f t="shared" si="127"/>
        <v>0</v>
      </c>
      <c r="AH147" t="b">
        <f t="shared" si="128"/>
        <v>0</v>
      </c>
      <c r="AJ147" t="b">
        <f t="shared" si="129"/>
        <v>0</v>
      </c>
      <c r="AK147" t="b">
        <f t="shared" si="130"/>
        <v>0</v>
      </c>
      <c r="AM147" t="str">
        <f>IF(ISBLANK('Dry_Litterbag Placem_Collection'!J146),"","G"&amp;""&amp;'Dry_Litterbag Placem_Collection'!J146)</f>
        <v>G141</v>
      </c>
      <c r="AN147" t="str">
        <f>IF(ISBLANK('Dry_Litterbag Placem_Collection'!K146),"","R"&amp;""&amp;'Dry_Litterbag Placem_Collection'!K146)</f>
        <v>R779</v>
      </c>
      <c r="AO147" t="b">
        <f t="shared" si="131"/>
        <v>0</v>
      </c>
      <c r="AP147" t="b">
        <f t="shared" si="132"/>
        <v>0</v>
      </c>
      <c r="AS147" t="str">
        <f>'Ashed teabags dry'!A145</f>
        <v>G278</v>
      </c>
      <c r="AT147" t="str">
        <f>'Ashed teabags dry'!A480</f>
        <v>R617</v>
      </c>
      <c r="AU147" t="b">
        <f t="shared" si="133"/>
        <v>0</v>
      </c>
      <c r="AV147" t="b">
        <f t="shared" si="156"/>
        <v>0</v>
      </c>
      <c r="AX147" s="388" t="b">
        <f t="shared" si="134"/>
        <v>0</v>
      </c>
      <c r="AY147" s="388" t="b">
        <f t="shared" si="135"/>
        <v>0</v>
      </c>
      <c r="BA147" t="str">
        <f>'Ashed teabags wet'!A145</f>
        <v>G547</v>
      </c>
      <c r="BB147" t="str">
        <f>'Ashed teabags wet'!A565</f>
        <v>R323</v>
      </c>
      <c r="BC147" t="b">
        <f t="shared" si="136"/>
        <v>0</v>
      </c>
      <c r="BD147" t="b">
        <f t="shared" si="116"/>
        <v>0</v>
      </c>
      <c r="BF147" t="str">
        <f t="shared" si="137"/>
        <v>G277</v>
      </c>
      <c r="BG147" t="str">
        <f t="shared" si="138"/>
        <v>G277</v>
      </c>
      <c r="BH147" t="str">
        <f t="shared" si="139"/>
        <v>G501</v>
      </c>
      <c r="BI147" t="str">
        <f t="shared" si="157"/>
        <v>G501</v>
      </c>
      <c r="BJ147" t="s">
        <v>1773</v>
      </c>
      <c r="BK147" t="s">
        <v>1773</v>
      </c>
      <c r="BL147" t="s">
        <v>1773</v>
      </c>
      <c r="BM147" t="b">
        <f t="shared" si="158"/>
        <v>1</v>
      </c>
      <c r="BN147" t="str">
        <f t="shared" si="140"/>
        <v>R616</v>
      </c>
      <c r="BO147" t="str">
        <f t="shared" si="141"/>
        <v>R616</v>
      </c>
      <c r="BP147" t="str">
        <f t="shared" si="142"/>
        <v>R774</v>
      </c>
      <c r="BQ147" t="str">
        <f t="shared" si="143"/>
        <v>R774</v>
      </c>
      <c r="BR147" t="s">
        <v>523</v>
      </c>
      <c r="BS147" t="s">
        <v>522</v>
      </c>
      <c r="BT147" t="s">
        <v>523</v>
      </c>
      <c r="BU147" t="b">
        <f t="shared" si="159"/>
        <v>1</v>
      </c>
      <c r="BZ147" t="str">
        <f t="shared" si="144"/>
        <v>G501</v>
      </c>
      <c r="CA147" t="b">
        <f t="shared" si="145"/>
        <v>0</v>
      </c>
      <c r="CB147" t="str">
        <f t="shared" si="160"/>
        <v>G501</v>
      </c>
      <c r="CC147" t="str">
        <f t="shared" si="146"/>
        <v>R774</v>
      </c>
      <c r="CD147" t="b">
        <f t="shared" si="161"/>
        <v>0</v>
      </c>
      <c r="CE147" t="str">
        <f t="shared" si="162"/>
        <v>R774</v>
      </c>
      <c r="CG147" t="str">
        <f t="shared" si="147"/>
        <v>G546</v>
      </c>
      <c r="CH147" t="str">
        <f t="shared" si="163"/>
        <v>G546</v>
      </c>
      <c r="CI147" t="str">
        <f t="shared" si="148"/>
        <v>G836</v>
      </c>
      <c r="CJ147" t="str">
        <f t="shared" si="149"/>
        <v>G836</v>
      </c>
      <c r="CK147" t="s">
        <v>1504</v>
      </c>
      <c r="CL147" t="s">
        <v>1504</v>
      </c>
      <c r="CM147" t="s">
        <v>1504</v>
      </c>
      <c r="CN147" t="b">
        <f t="shared" si="164"/>
        <v>1</v>
      </c>
      <c r="CO147" t="str">
        <f t="shared" si="150"/>
        <v>R322</v>
      </c>
      <c r="CP147" t="str">
        <f t="shared" si="165"/>
        <v>R322</v>
      </c>
      <c r="CQ147" t="str">
        <f t="shared" si="151"/>
        <v>R456</v>
      </c>
      <c r="CR147" t="str">
        <f t="shared" si="152"/>
        <v>R456</v>
      </c>
      <c r="CS147" t="s">
        <v>819</v>
      </c>
      <c r="CT147" t="s">
        <v>819</v>
      </c>
      <c r="CU147" t="s">
        <v>819</v>
      </c>
      <c r="CV147" t="b">
        <f t="shared" si="166"/>
        <v>1</v>
      </c>
      <c r="DC147" t="str">
        <f t="shared" si="153"/>
        <v>G836</v>
      </c>
      <c r="DD147" t="b">
        <f t="shared" si="167"/>
        <v>0</v>
      </c>
      <c r="DE147" t="str">
        <f t="shared" si="168"/>
        <v>G836</v>
      </c>
      <c r="DF147" t="str">
        <f t="shared" si="154"/>
        <v>R456</v>
      </c>
      <c r="DG147" t="b">
        <f t="shared" si="169"/>
        <v>0</v>
      </c>
      <c r="DH147" t="str">
        <f t="shared" si="170"/>
        <v>R456</v>
      </c>
    </row>
    <row r="148" spans="2:112" ht="12" customHeight="1">
      <c r="B148" t="str">
        <f>TBIDry!H220</f>
        <v>G131</v>
      </c>
      <c r="C148" t="str">
        <f>TBIDry!I220</f>
        <v>R728</v>
      </c>
      <c r="D148" t="b">
        <f t="shared" si="117"/>
        <v>0</v>
      </c>
      <c r="E148" t="b">
        <f t="shared" si="118"/>
        <v>0</v>
      </c>
      <c r="G148" t="str">
        <f>TBIWet!H220</f>
        <v>G902</v>
      </c>
      <c r="H148" t="str">
        <f>TBIWet!I220</f>
        <v>R27</v>
      </c>
      <c r="I148" t="b">
        <f t="shared" si="119"/>
        <v>0</v>
      </c>
      <c r="J148" t="b">
        <f t="shared" si="120"/>
        <v>0</v>
      </c>
      <c r="L148" t="str">
        <f>'Both teabags AfterWet'!A146</f>
        <v>G548</v>
      </c>
      <c r="M148" t="str">
        <f>'Both teabags AfterWet'!A566</f>
        <v>R326</v>
      </c>
      <c r="N148" t="b">
        <f t="shared" si="121"/>
        <v>0</v>
      </c>
      <c r="O148" t="b">
        <f t="shared" si="171"/>
        <v>0</v>
      </c>
      <c r="Q148" s="388" t="b">
        <f t="shared" si="122"/>
        <v>0</v>
      </c>
      <c r="R148" s="388" t="b">
        <f t="shared" si="123"/>
        <v>0</v>
      </c>
      <c r="T148" t="str">
        <f>'Both teabags AfterDry'!A146</f>
        <v>G284</v>
      </c>
      <c r="U148" t="str">
        <f>'Both teabags AfterDry'!A481</f>
        <v>R618</v>
      </c>
      <c r="V148" t="b">
        <f t="shared" si="124"/>
        <v>0</v>
      </c>
      <c r="W148" t="b">
        <f t="shared" si="155"/>
        <v>0</v>
      </c>
      <c r="Y148" t="str">
        <f>'Green_rooibos initial weight'!A149</f>
        <v>G145</v>
      </c>
      <c r="Z148" t="str">
        <f>'Green_rooibos initial weight'!A1053</f>
        <v>R145</v>
      </c>
      <c r="AA148" t="b">
        <f t="shared" si="125"/>
        <v>0</v>
      </c>
      <c r="AB148" t="b">
        <f t="shared" si="126"/>
        <v>0</v>
      </c>
      <c r="AE148" t="str">
        <f>'WetLitterbags placem_collection'!K147</f>
        <v>G902</v>
      </c>
      <c r="AF148" t="str">
        <f>'WetLitterbags placem_collection'!M147</f>
        <v>R27</v>
      </c>
      <c r="AG148" t="b">
        <f t="shared" si="127"/>
        <v>0</v>
      </c>
      <c r="AH148" t="b">
        <f t="shared" si="128"/>
        <v>0</v>
      </c>
      <c r="AJ148" t="b">
        <f t="shared" si="129"/>
        <v>0</v>
      </c>
      <c r="AK148" t="b">
        <f t="shared" si="130"/>
        <v>0</v>
      </c>
      <c r="AM148" t="str">
        <f>IF(ISBLANK('Dry_Litterbag Placem_Collection'!J147),"","G"&amp;""&amp;'Dry_Litterbag Placem_Collection'!J147)</f>
        <v>G131</v>
      </c>
      <c r="AN148" t="str">
        <f>IF(ISBLANK('Dry_Litterbag Placem_Collection'!K147),"","R"&amp;""&amp;'Dry_Litterbag Placem_Collection'!K147)</f>
        <v>R728</v>
      </c>
      <c r="AO148" t="b">
        <f t="shared" si="131"/>
        <v>0</v>
      </c>
      <c r="AP148" t="b">
        <f t="shared" si="132"/>
        <v>0</v>
      </c>
      <c r="AS148" t="str">
        <f>'Ashed teabags dry'!A146</f>
        <v>G284</v>
      </c>
      <c r="AT148" t="str">
        <f>'Ashed teabags dry'!A481</f>
        <v>R618</v>
      </c>
      <c r="AU148" t="b">
        <f t="shared" si="133"/>
        <v>0</v>
      </c>
      <c r="AV148" t="b">
        <f t="shared" si="156"/>
        <v>0</v>
      </c>
      <c r="AX148" s="388" t="b">
        <f t="shared" si="134"/>
        <v>0</v>
      </c>
      <c r="AY148" s="388" t="b">
        <f t="shared" si="135"/>
        <v>0</v>
      </c>
      <c r="BA148" t="str">
        <f>'Ashed teabags wet'!A146</f>
        <v>G548</v>
      </c>
      <c r="BB148" t="str">
        <f>'Ashed teabags wet'!A566</f>
        <v>R326</v>
      </c>
      <c r="BC148" t="b">
        <f t="shared" si="136"/>
        <v>0</v>
      </c>
      <c r="BD148" t="b">
        <f t="shared" si="116"/>
        <v>0</v>
      </c>
      <c r="BF148" t="str">
        <f t="shared" si="137"/>
        <v>G278</v>
      </c>
      <c r="BG148" t="str">
        <f t="shared" si="138"/>
        <v>G278</v>
      </c>
      <c r="BH148" t="str">
        <f t="shared" si="139"/>
        <v>G141</v>
      </c>
      <c r="BI148" t="str">
        <f t="shared" si="157"/>
        <v>G141</v>
      </c>
      <c r="BJ148" t="s">
        <v>1772</v>
      </c>
      <c r="BK148" t="s">
        <v>1772</v>
      </c>
      <c r="BL148" t="s">
        <v>1772</v>
      </c>
      <c r="BM148" t="b">
        <f t="shared" si="158"/>
        <v>1</v>
      </c>
      <c r="BN148" t="str">
        <f t="shared" si="140"/>
        <v>R617</v>
      </c>
      <c r="BO148" t="str">
        <f t="shared" si="141"/>
        <v>R617</v>
      </c>
      <c r="BP148" t="str">
        <f t="shared" si="142"/>
        <v>R779</v>
      </c>
      <c r="BQ148" t="str">
        <f t="shared" si="143"/>
        <v>R779</v>
      </c>
      <c r="BR148" t="s">
        <v>522</v>
      </c>
      <c r="BS148" t="s">
        <v>521</v>
      </c>
      <c r="BT148" t="s">
        <v>522</v>
      </c>
      <c r="BU148" t="b">
        <f t="shared" si="159"/>
        <v>1</v>
      </c>
      <c r="BZ148" t="str">
        <f t="shared" si="144"/>
        <v>G141</v>
      </c>
      <c r="CA148" t="b">
        <f t="shared" si="145"/>
        <v>0</v>
      </c>
      <c r="CB148" t="str">
        <f t="shared" si="160"/>
        <v>G141</v>
      </c>
      <c r="CC148" t="str">
        <f t="shared" si="146"/>
        <v>R779</v>
      </c>
      <c r="CD148" t="b">
        <f t="shared" si="161"/>
        <v>0</v>
      </c>
      <c r="CE148" t="str">
        <f t="shared" si="162"/>
        <v>R779</v>
      </c>
      <c r="CG148" t="str">
        <f t="shared" si="147"/>
        <v>G547</v>
      </c>
      <c r="CH148" t="str">
        <f t="shared" si="163"/>
        <v>G547</v>
      </c>
      <c r="CI148" t="str">
        <f t="shared" si="148"/>
        <v>G784</v>
      </c>
      <c r="CJ148" t="str">
        <f t="shared" si="149"/>
        <v>G784</v>
      </c>
      <c r="CK148" t="s">
        <v>1503</v>
      </c>
      <c r="CL148" t="s">
        <v>1503</v>
      </c>
      <c r="CM148" t="s">
        <v>1503</v>
      </c>
      <c r="CN148" t="b">
        <f t="shared" si="164"/>
        <v>1</v>
      </c>
      <c r="CO148" t="str">
        <f t="shared" si="150"/>
        <v>R323</v>
      </c>
      <c r="CP148" t="str">
        <f t="shared" si="165"/>
        <v>R323</v>
      </c>
      <c r="CQ148" t="str">
        <f t="shared" si="151"/>
        <v>R571</v>
      </c>
      <c r="CR148" t="str">
        <f t="shared" si="152"/>
        <v>R571</v>
      </c>
      <c r="CS148" t="s">
        <v>818</v>
      </c>
      <c r="CT148" t="s">
        <v>818</v>
      </c>
      <c r="CU148" t="s">
        <v>818</v>
      </c>
      <c r="CV148" t="b">
        <f t="shared" si="166"/>
        <v>1</v>
      </c>
      <c r="DC148" t="str">
        <f t="shared" si="153"/>
        <v>G784</v>
      </c>
      <c r="DD148" t="b">
        <f t="shared" si="167"/>
        <v>0</v>
      </c>
      <c r="DE148" t="str">
        <f t="shared" si="168"/>
        <v>G784</v>
      </c>
      <c r="DF148" t="str">
        <f t="shared" si="154"/>
        <v>R571</v>
      </c>
      <c r="DG148" t="b">
        <f t="shared" si="169"/>
        <v>0</v>
      </c>
      <c r="DH148" t="str">
        <f t="shared" si="170"/>
        <v>R571</v>
      </c>
    </row>
    <row r="149" spans="2:112" ht="12" customHeight="1">
      <c r="B149" t="str">
        <f>TBIDry!H221</f>
        <v>G465</v>
      </c>
      <c r="C149" t="str">
        <f>TBIDry!I221</f>
        <v>R13</v>
      </c>
      <c r="D149" t="b">
        <f t="shared" si="117"/>
        <v>0</v>
      </c>
      <c r="E149" t="b">
        <f t="shared" si="118"/>
        <v>0</v>
      </c>
      <c r="G149" t="str">
        <f>TBIWet!H221</f>
        <v>G689</v>
      </c>
      <c r="H149" t="str">
        <f>TBIWet!I221</f>
        <v>R492</v>
      </c>
      <c r="I149" t="b">
        <f t="shared" si="119"/>
        <v>0</v>
      </c>
      <c r="J149" t="b">
        <f t="shared" si="120"/>
        <v>0</v>
      </c>
      <c r="L149" t="str">
        <f>'Both teabags AfterWet'!A147</f>
        <v>G549</v>
      </c>
      <c r="M149" t="str">
        <f>'Both teabags AfterWet'!A567</f>
        <v>R328</v>
      </c>
      <c r="N149" t="b">
        <f t="shared" si="121"/>
        <v>0</v>
      </c>
      <c r="O149" t="b">
        <f t="shared" si="171"/>
        <v>0</v>
      </c>
      <c r="Q149" s="388" t="b">
        <f t="shared" si="122"/>
        <v>0</v>
      </c>
      <c r="R149" s="388" t="b">
        <f t="shared" si="123"/>
        <v>0</v>
      </c>
      <c r="T149" t="str">
        <f>'Both teabags AfterDry'!A147</f>
        <v>G289</v>
      </c>
      <c r="U149" t="str">
        <f>'Both teabags AfterDry'!A482</f>
        <v>R619</v>
      </c>
      <c r="V149" t="b">
        <f t="shared" si="124"/>
        <v>0</v>
      </c>
      <c r="W149" t="b">
        <f t="shared" si="155"/>
        <v>0</v>
      </c>
      <c r="Y149" t="str">
        <f>'Green_rooibos initial weight'!A150</f>
        <v>G146</v>
      </c>
      <c r="Z149" t="str">
        <f>'Green_rooibos initial weight'!A1054</f>
        <v>R146</v>
      </c>
      <c r="AA149" t="b">
        <f t="shared" si="125"/>
        <v>0</v>
      </c>
      <c r="AB149" t="b">
        <f t="shared" si="126"/>
        <v>0</v>
      </c>
      <c r="AE149" t="str">
        <f>'WetLitterbags placem_collection'!K148</f>
        <v>G689</v>
      </c>
      <c r="AF149" t="str">
        <f>'WetLitterbags placem_collection'!M148</f>
        <v>R492</v>
      </c>
      <c r="AG149" t="b">
        <f t="shared" si="127"/>
        <v>0</v>
      </c>
      <c r="AH149" t="b">
        <f t="shared" si="128"/>
        <v>0</v>
      </c>
      <c r="AJ149" t="b">
        <f t="shared" si="129"/>
        <v>0</v>
      </c>
      <c r="AK149" t="b">
        <f t="shared" si="130"/>
        <v>0</v>
      </c>
      <c r="AM149" t="str">
        <f>IF(ISBLANK('Dry_Litterbag Placem_Collection'!J148),"","G"&amp;""&amp;'Dry_Litterbag Placem_Collection'!J148)</f>
        <v>G465</v>
      </c>
      <c r="AN149" t="str">
        <f>IF(ISBLANK('Dry_Litterbag Placem_Collection'!K148),"","R"&amp;""&amp;'Dry_Litterbag Placem_Collection'!K148)</f>
        <v>R13</v>
      </c>
      <c r="AO149" t="b">
        <f t="shared" si="131"/>
        <v>0</v>
      </c>
      <c r="AP149" t="b">
        <f t="shared" si="132"/>
        <v>0</v>
      </c>
      <c r="AS149" t="str">
        <f>'Ashed teabags dry'!A147</f>
        <v>G289</v>
      </c>
      <c r="AT149" t="str">
        <f>'Ashed teabags dry'!A482</f>
        <v>R619</v>
      </c>
      <c r="AU149" t="b">
        <f t="shared" si="133"/>
        <v>0</v>
      </c>
      <c r="AV149" t="b">
        <f t="shared" si="156"/>
        <v>0</v>
      </c>
      <c r="AX149" s="388" t="b">
        <f t="shared" si="134"/>
        <v>0</v>
      </c>
      <c r="AY149" s="388" t="b">
        <f t="shared" si="135"/>
        <v>0</v>
      </c>
      <c r="BA149" t="str">
        <f>'Ashed teabags wet'!A147</f>
        <v>G549</v>
      </c>
      <c r="BB149" t="str">
        <f>'Ashed teabags wet'!A567</f>
        <v>R328</v>
      </c>
      <c r="BC149" t="b">
        <f t="shared" si="136"/>
        <v>0</v>
      </c>
      <c r="BD149" t="b">
        <f t="shared" si="116"/>
        <v>0</v>
      </c>
      <c r="BF149" t="str">
        <f t="shared" si="137"/>
        <v>G284</v>
      </c>
      <c r="BG149" t="str">
        <f t="shared" si="138"/>
        <v>G284</v>
      </c>
      <c r="BH149" t="str">
        <f t="shared" si="139"/>
        <v>G131</v>
      </c>
      <c r="BI149" t="str">
        <f t="shared" si="157"/>
        <v>G131</v>
      </c>
      <c r="BJ149" t="s">
        <v>1766</v>
      </c>
      <c r="BK149" t="s">
        <v>1766</v>
      </c>
      <c r="BL149" t="s">
        <v>1766</v>
      </c>
      <c r="BM149" t="b">
        <f t="shared" si="158"/>
        <v>1</v>
      </c>
      <c r="BN149" t="str">
        <f t="shared" si="140"/>
        <v>R618</v>
      </c>
      <c r="BO149" t="str">
        <f t="shared" si="141"/>
        <v>R618</v>
      </c>
      <c r="BP149" t="str">
        <f t="shared" si="142"/>
        <v>R728</v>
      </c>
      <c r="BQ149" t="str">
        <f t="shared" si="143"/>
        <v>R728</v>
      </c>
      <c r="BR149" t="s">
        <v>521</v>
      </c>
      <c r="BS149" t="s">
        <v>520</v>
      </c>
      <c r="BT149" t="s">
        <v>521</v>
      </c>
      <c r="BU149" t="b">
        <f t="shared" si="159"/>
        <v>1</v>
      </c>
      <c r="BZ149" t="str">
        <f t="shared" si="144"/>
        <v>G131</v>
      </c>
      <c r="CA149" t="b">
        <f t="shared" si="145"/>
        <v>0</v>
      </c>
      <c r="CB149" t="str">
        <f t="shared" si="160"/>
        <v>G131</v>
      </c>
      <c r="CC149" t="str">
        <f t="shared" si="146"/>
        <v>R728</v>
      </c>
      <c r="CD149" t="b">
        <f t="shared" si="161"/>
        <v>0</v>
      </c>
      <c r="CE149" t="str">
        <f t="shared" si="162"/>
        <v>R728</v>
      </c>
      <c r="CG149" t="str">
        <f t="shared" si="147"/>
        <v>G548</v>
      </c>
      <c r="CH149" t="str">
        <f t="shared" si="163"/>
        <v>G548</v>
      </c>
      <c r="CI149" t="str">
        <f t="shared" si="148"/>
        <v>G902</v>
      </c>
      <c r="CJ149" t="str">
        <f t="shared" si="149"/>
        <v>G902</v>
      </c>
      <c r="CK149" t="s">
        <v>1502</v>
      </c>
      <c r="CL149" t="s">
        <v>1502</v>
      </c>
      <c r="CM149" t="s">
        <v>1502</v>
      </c>
      <c r="CN149" t="b">
        <f t="shared" si="164"/>
        <v>1</v>
      </c>
      <c r="CO149" t="str">
        <f t="shared" si="150"/>
        <v>R326</v>
      </c>
      <c r="CP149" t="str">
        <f t="shared" si="165"/>
        <v>R326</v>
      </c>
      <c r="CQ149" t="str">
        <f t="shared" si="151"/>
        <v>R27</v>
      </c>
      <c r="CR149" t="str">
        <f t="shared" si="152"/>
        <v>R27</v>
      </c>
      <c r="CS149" t="s">
        <v>815</v>
      </c>
      <c r="CT149" t="s">
        <v>815</v>
      </c>
      <c r="CU149" t="s">
        <v>815</v>
      </c>
      <c r="CV149" t="b">
        <f t="shared" si="166"/>
        <v>1</v>
      </c>
      <c r="DC149" t="str">
        <f t="shared" si="153"/>
        <v>G902</v>
      </c>
      <c r="DD149" t="b">
        <f t="shared" si="167"/>
        <v>0</v>
      </c>
      <c r="DE149" t="str">
        <f t="shared" si="168"/>
        <v>G902</v>
      </c>
      <c r="DF149" t="str">
        <f t="shared" si="154"/>
        <v>R27</v>
      </c>
      <c r="DG149" t="b">
        <f t="shared" si="169"/>
        <v>0</v>
      </c>
      <c r="DH149" t="str">
        <f t="shared" si="170"/>
        <v>R27</v>
      </c>
    </row>
    <row r="150" spans="2:112" ht="12" customHeight="1">
      <c r="B150" t="str">
        <f>TBIDry!H222</f>
        <v>G15</v>
      </c>
      <c r="C150" t="str">
        <f>TBIDry!I222</f>
        <v>R832</v>
      </c>
      <c r="D150" t="b">
        <f t="shared" si="117"/>
        <v>0</v>
      </c>
      <c r="E150" t="b">
        <f t="shared" si="118"/>
        <v>0</v>
      </c>
      <c r="G150" t="str">
        <f>TBIWet!H222</f>
        <v>G678</v>
      </c>
      <c r="H150" t="str">
        <f>TBIWet!I222</f>
        <v>R573</v>
      </c>
      <c r="I150" t="b">
        <f t="shared" si="119"/>
        <v>0</v>
      </c>
      <c r="J150" t="b">
        <f t="shared" si="120"/>
        <v>0</v>
      </c>
      <c r="L150" t="str">
        <f>'Both teabags AfterWet'!A148</f>
        <v>G550</v>
      </c>
      <c r="M150" t="str">
        <f>'Both teabags AfterWet'!A568</f>
        <v>R329</v>
      </c>
      <c r="N150" t="b">
        <f t="shared" si="121"/>
        <v>0</v>
      </c>
      <c r="O150" t="b">
        <f t="shared" si="171"/>
        <v>0</v>
      </c>
      <c r="Q150" s="388" t="b">
        <f t="shared" si="122"/>
        <v>0</v>
      </c>
      <c r="R150" s="388" t="b">
        <f t="shared" si="123"/>
        <v>0</v>
      </c>
      <c r="T150" t="str">
        <f>'Both teabags AfterDry'!A148</f>
        <v>G290</v>
      </c>
      <c r="U150" t="str">
        <f>'Both teabags AfterDry'!A483</f>
        <v>R620</v>
      </c>
      <c r="V150" t="b">
        <f t="shared" si="124"/>
        <v>0</v>
      </c>
      <c r="W150" t="b">
        <f t="shared" si="155"/>
        <v>0</v>
      </c>
      <c r="Y150" t="str">
        <f>'Green_rooibos initial weight'!A151</f>
        <v>G147</v>
      </c>
      <c r="Z150" t="str">
        <f>'Green_rooibos initial weight'!A1055</f>
        <v>R147</v>
      </c>
      <c r="AA150" t="b">
        <f t="shared" si="125"/>
        <v>0</v>
      </c>
      <c r="AB150" t="b">
        <f t="shared" si="126"/>
        <v>0</v>
      </c>
      <c r="AE150" t="str">
        <f>'WetLitterbags placem_collection'!K149</f>
        <v>G678</v>
      </c>
      <c r="AF150" t="str">
        <f>'WetLitterbags placem_collection'!M149</f>
        <v>R573</v>
      </c>
      <c r="AG150" t="b">
        <f t="shared" si="127"/>
        <v>0</v>
      </c>
      <c r="AH150" t="b">
        <f t="shared" si="128"/>
        <v>0</v>
      </c>
      <c r="AJ150" t="b">
        <f t="shared" si="129"/>
        <v>0</v>
      </c>
      <c r="AK150" t="b">
        <f t="shared" si="130"/>
        <v>0</v>
      </c>
      <c r="AM150" t="str">
        <f>IF(ISBLANK('Dry_Litterbag Placem_Collection'!J149),"","G"&amp;""&amp;'Dry_Litterbag Placem_Collection'!J149)</f>
        <v>G15</v>
      </c>
      <c r="AN150" t="str">
        <f>IF(ISBLANK('Dry_Litterbag Placem_Collection'!K149),"","R"&amp;""&amp;'Dry_Litterbag Placem_Collection'!K149)</f>
        <v>R832</v>
      </c>
      <c r="AO150" t="b">
        <f t="shared" si="131"/>
        <v>0</v>
      </c>
      <c r="AP150" t="b">
        <f t="shared" si="132"/>
        <v>0</v>
      </c>
      <c r="AS150" t="str">
        <f>'Ashed teabags dry'!A148</f>
        <v>G290</v>
      </c>
      <c r="AT150" t="str">
        <f>'Ashed teabags dry'!A483</f>
        <v>R620</v>
      </c>
      <c r="AU150" t="b">
        <f t="shared" si="133"/>
        <v>0</v>
      </c>
      <c r="AV150" t="b">
        <f t="shared" si="156"/>
        <v>0</v>
      </c>
      <c r="AX150" s="388" t="b">
        <f t="shared" si="134"/>
        <v>0</v>
      </c>
      <c r="AY150" s="388" t="b">
        <f t="shared" si="135"/>
        <v>0</v>
      </c>
      <c r="BA150" t="str">
        <f>'Ashed teabags wet'!A148</f>
        <v>G550</v>
      </c>
      <c r="BB150" t="str">
        <f>'Ashed teabags wet'!A568</f>
        <v>R329</v>
      </c>
      <c r="BC150" t="b">
        <f t="shared" si="136"/>
        <v>0</v>
      </c>
      <c r="BD150" t="b">
        <f t="shared" si="116"/>
        <v>0</v>
      </c>
      <c r="BF150" t="str">
        <f t="shared" si="137"/>
        <v>G289</v>
      </c>
      <c r="BG150" t="str">
        <f t="shared" si="138"/>
        <v>G289</v>
      </c>
      <c r="BH150" t="str">
        <f t="shared" si="139"/>
        <v>G465</v>
      </c>
      <c r="BI150" t="str">
        <f t="shared" si="157"/>
        <v>G465</v>
      </c>
      <c r="BJ150" t="s">
        <v>1761</v>
      </c>
      <c r="BK150" t="s">
        <v>1761</v>
      </c>
      <c r="BL150" t="s">
        <v>1761</v>
      </c>
      <c r="BM150" t="b">
        <f t="shared" si="158"/>
        <v>1</v>
      </c>
      <c r="BN150" t="str">
        <f t="shared" si="140"/>
        <v>R619</v>
      </c>
      <c r="BO150" t="str">
        <f t="shared" si="141"/>
        <v>R619</v>
      </c>
      <c r="BP150" t="str">
        <f t="shared" si="142"/>
        <v>R13</v>
      </c>
      <c r="BQ150" t="str">
        <f t="shared" si="143"/>
        <v>R13</v>
      </c>
      <c r="BR150" t="s">
        <v>520</v>
      </c>
      <c r="BS150" t="s">
        <v>519</v>
      </c>
      <c r="BT150" t="s">
        <v>520</v>
      </c>
      <c r="BU150" t="b">
        <f t="shared" si="159"/>
        <v>1</v>
      </c>
      <c r="BZ150" t="str">
        <f t="shared" si="144"/>
        <v>G465</v>
      </c>
      <c r="CA150" t="b">
        <f t="shared" si="145"/>
        <v>0</v>
      </c>
      <c r="CB150" t="str">
        <f t="shared" si="160"/>
        <v>G465</v>
      </c>
      <c r="CC150" t="str">
        <f t="shared" si="146"/>
        <v>R13</v>
      </c>
      <c r="CD150" t="b">
        <f t="shared" si="161"/>
        <v>0</v>
      </c>
      <c r="CE150" t="str">
        <f t="shared" si="162"/>
        <v>R13</v>
      </c>
      <c r="CG150" t="str">
        <f t="shared" si="147"/>
        <v>G549</v>
      </c>
      <c r="CH150" t="str">
        <f t="shared" si="163"/>
        <v>G549</v>
      </c>
      <c r="CI150" t="str">
        <f t="shared" si="148"/>
        <v>G689</v>
      </c>
      <c r="CJ150" t="str">
        <f t="shared" si="149"/>
        <v>G689</v>
      </c>
      <c r="CK150" t="s">
        <v>1501</v>
      </c>
      <c r="CL150" t="s">
        <v>1501</v>
      </c>
      <c r="CM150" t="s">
        <v>1501</v>
      </c>
      <c r="CN150" t="b">
        <f t="shared" si="164"/>
        <v>1</v>
      </c>
      <c r="CO150" t="str">
        <f t="shared" si="150"/>
        <v>R328</v>
      </c>
      <c r="CP150" t="str">
        <f t="shared" si="165"/>
        <v>R328</v>
      </c>
      <c r="CQ150" t="str">
        <f t="shared" si="151"/>
        <v>R492</v>
      </c>
      <c r="CR150" t="str">
        <f t="shared" si="152"/>
        <v>R492</v>
      </c>
      <c r="CS150" t="s">
        <v>813</v>
      </c>
      <c r="CT150" t="s">
        <v>813</v>
      </c>
      <c r="CU150" t="s">
        <v>813</v>
      </c>
      <c r="CV150" t="b">
        <f t="shared" si="166"/>
        <v>1</v>
      </c>
      <c r="DC150" t="str">
        <f t="shared" si="153"/>
        <v>G689</v>
      </c>
      <c r="DD150" t="b">
        <f t="shared" si="167"/>
        <v>0</v>
      </c>
      <c r="DE150" t="str">
        <f t="shared" si="168"/>
        <v>G689</v>
      </c>
      <c r="DF150" t="str">
        <f t="shared" si="154"/>
        <v>R492</v>
      </c>
      <c r="DG150" t="b">
        <f t="shared" si="169"/>
        <v>0</v>
      </c>
      <c r="DH150" t="str">
        <f t="shared" si="170"/>
        <v>R492</v>
      </c>
    </row>
    <row r="151" spans="2:112" ht="12" customHeight="1">
      <c r="B151" t="str">
        <f>TBIDry!H223</f>
        <v>G290</v>
      </c>
      <c r="C151" t="str">
        <f>TBIDry!I223</f>
        <v>R823</v>
      </c>
      <c r="D151" t="b">
        <f t="shared" si="117"/>
        <v>0</v>
      </c>
      <c r="E151" t="b">
        <f t="shared" si="118"/>
        <v>0</v>
      </c>
      <c r="G151" t="str">
        <f>TBIWet!H223</f>
        <v>G835</v>
      </c>
      <c r="H151" t="str">
        <f>TBIWet!I223</f>
        <v>R472</v>
      </c>
      <c r="I151" t="b">
        <f t="shared" si="119"/>
        <v>0</v>
      </c>
      <c r="J151" t="b">
        <f t="shared" si="120"/>
        <v>0</v>
      </c>
      <c r="L151" t="str">
        <f>'Both teabags AfterWet'!A149</f>
        <v>G551</v>
      </c>
      <c r="M151" t="str">
        <f>'Both teabags AfterWet'!A569</f>
        <v>R33</v>
      </c>
      <c r="N151" t="b">
        <f t="shared" si="121"/>
        <v>0</v>
      </c>
      <c r="O151" t="b">
        <f t="shared" si="171"/>
        <v>0</v>
      </c>
      <c r="Q151" s="388" t="b">
        <f t="shared" si="122"/>
        <v>0</v>
      </c>
      <c r="R151" s="388" t="b">
        <f t="shared" si="123"/>
        <v>0</v>
      </c>
      <c r="T151" t="str">
        <f>'Both teabags AfterDry'!A149</f>
        <v>G292</v>
      </c>
      <c r="U151" t="str">
        <f>'Both teabags AfterDry'!A484</f>
        <v>R621</v>
      </c>
      <c r="V151" t="b">
        <f t="shared" si="124"/>
        <v>0</v>
      </c>
      <c r="W151" t="b">
        <f t="shared" si="155"/>
        <v>0</v>
      </c>
      <c r="Y151" t="str">
        <f>'Green_rooibos initial weight'!A152</f>
        <v>G148</v>
      </c>
      <c r="Z151" t="str">
        <f>'Green_rooibos initial weight'!A1056</f>
        <v>R148</v>
      </c>
      <c r="AA151" t="b">
        <f t="shared" si="125"/>
        <v>0</v>
      </c>
      <c r="AB151" t="b">
        <f t="shared" si="126"/>
        <v>0</v>
      </c>
      <c r="AE151" t="str">
        <f>'WetLitterbags placem_collection'!K150</f>
        <v>G835</v>
      </c>
      <c r="AF151" t="str">
        <f>'WetLitterbags placem_collection'!M150</f>
        <v>R472</v>
      </c>
      <c r="AG151" t="b">
        <f t="shared" si="127"/>
        <v>0</v>
      </c>
      <c r="AH151" t="b">
        <f t="shared" si="128"/>
        <v>0</v>
      </c>
      <c r="AJ151" t="b">
        <f t="shared" si="129"/>
        <v>0</v>
      </c>
      <c r="AK151" t="b">
        <f t="shared" si="130"/>
        <v>0</v>
      </c>
      <c r="AM151" t="str">
        <f>IF(ISBLANK('Dry_Litterbag Placem_Collection'!J150),"","G"&amp;""&amp;'Dry_Litterbag Placem_Collection'!J150)</f>
        <v>G290</v>
      </c>
      <c r="AN151" t="str">
        <f>IF(ISBLANK('Dry_Litterbag Placem_Collection'!K150),"","R"&amp;""&amp;'Dry_Litterbag Placem_Collection'!K150)</f>
        <v>R823</v>
      </c>
      <c r="AO151" t="b">
        <f t="shared" si="131"/>
        <v>0</v>
      </c>
      <c r="AP151" t="b">
        <f t="shared" si="132"/>
        <v>0</v>
      </c>
      <c r="AS151" t="str">
        <f>'Ashed teabags dry'!A149</f>
        <v>G292</v>
      </c>
      <c r="AT151" t="str">
        <f>'Ashed teabags dry'!A484</f>
        <v>R621</v>
      </c>
      <c r="AU151" t="b">
        <f t="shared" si="133"/>
        <v>0</v>
      </c>
      <c r="AV151" t="b">
        <f t="shared" si="156"/>
        <v>0</v>
      </c>
      <c r="AX151" s="388" t="b">
        <f t="shared" si="134"/>
        <v>0</v>
      </c>
      <c r="AY151" s="388" t="b">
        <f t="shared" si="135"/>
        <v>0</v>
      </c>
      <c r="BA151" t="str">
        <f>'Ashed teabags wet'!A149</f>
        <v>G551</v>
      </c>
      <c r="BB151" t="str">
        <f>'Ashed teabags wet'!A569</f>
        <v>R33</v>
      </c>
      <c r="BC151" t="b">
        <f t="shared" si="136"/>
        <v>0</v>
      </c>
      <c r="BD151" t="b">
        <f t="shared" si="116"/>
        <v>0</v>
      </c>
      <c r="BF151" t="str">
        <f t="shared" si="137"/>
        <v>G290</v>
      </c>
      <c r="BG151" t="str">
        <f t="shared" si="138"/>
        <v>G290</v>
      </c>
      <c r="BH151" t="str">
        <f t="shared" si="139"/>
        <v>G15</v>
      </c>
      <c r="BI151" t="str">
        <f t="shared" si="157"/>
        <v>G15</v>
      </c>
      <c r="BJ151" t="s">
        <v>1760</v>
      </c>
      <c r="BK151" t="s">
        <v>1760</v>
      </c>
      <c r="BL151" t="s">
        <v>1760</v>
      </c>
      <c r="BM151" t="b">
        <f t="shared" si="158"/>
        <v>1</v>
      </c>
      <c r="BN151" t="str">
        <f t="shared" si="140"/>
        <v>R620</v>
      </c>
      <c r="BO151" t="str">
        <f t="shared" si="141"/>
        <v>R620</v>
      </c>
      <c r="BP151" t="str">
        <f t="shared" si="142"/>
        <v>R832</v>
      </c>
      <c r="BQ151" t="str">
        <f t="shared" si="143"/>
        <v>R832</v>
      </c>
      <c r="BR151" t="s">
        <v>519</v>
      </c>
      <c r="BS151" t="s">
        <v>518</v>
      </c>
      <c r="BT151" t="s">
        <v>519</v>
      </c>
      <c r="BU151" t="b">
        <f t="shared" si="159"/>
        <v>1</v>
      </c>
      <c r="BZ151" t="str">
        <f t="shared" si="144"/>
        <v>G15</v>
      </c>
      <c r="CA151" t="b">
        <f t="shared" si="145"/>
        <v>0</v>
      </c>
      <c r="CB151" t="str">
        <f t="shared" si="160"/>
        <v>G15</v>
      </c>
      <c r="CC151" t="str">
        <f t="shared" si="146"/>
        <v>R832</v>
      </c>
      <c r="CD151" t="b">
        <f t="shared" si="161"/>
        <v>0</v>
      </c>
      <c r="CE151" t="str">
        <f t="shared" si="162"/>
        <v>R832</v>
      </c>
      <c r="CG151" t="str">
        <f t="shared" si="147"/>
        <v>G550</v>
      </c>
      <c r="CH151" t="str">
        <f t="shared" si="163"/>
        <v>G550</v>
      </c>
      <c r="CI151" t="str">
        <f t="shared" si="148"/>
        <v>G678</v>
      </c>
      <c r="CJ151" t="str">
        <f t="shared" si="149"/>
        <v>G678</v>
      </c>
      <c r="CK151" t="s">
        <v>1500</v>
      </c>
      <c r="CL151" t="s">
        <v>1500</v>
      </c>
      <c r="CM151" t="s">
        <v>1500</v>
      </c>
      <c r="CN151" t="b">
        <f t="shared" si="164"/>
        <v>1</v>
      </c>
      <c r="CO151" t="str">
        <f t="shared" si="150"/>
        <v>R329</v>
      </c>
      <c r="CP151" t="str">
        <f t="shared" si="165"/>
        <v>R329</v>
      </c>
      <c r="CQ151" t="str">
        <f t="shared" si="151"/>
        <v>R573</v>
      </c>
      <c r="CR151" t="str">
        <f t="shared" si="152"/>
        <v>R573</v>
      </c>
      <c r="CS151" t="s">
        <v>812</v>
      </c>
      <c r="CT151" t="s">
        <v>812</v>
      </c>
      <c r="CU151" t="s">
        <v>812</v>
      </c>
      <c r="CV151" t="b">
        <f t="shared" si="166"/>
        <v>1</v>
      </c>
      <c r="DC151" t="str">
        <f t="shared" si="153"/>
        <v>G678</v>
      </c>
      <c r="DD151" t="b">
        <f t="shared" si="167"/>
        <v>0</v>
      </c>
      <c r="DE151" t="str">
        <f t="shared" si="168"/>
        <v>G678</v>
      </c>
      <c r="DF151" t="str">
        <f t="shared" si="154"/>
        <v>R573</v>
      </c>
      <c r="DG151" t="b">
        <f t="shared" si="169"/>
        <v>0</v>
      </c>
      <c r="DH151" t="str">
        <f t="shared" si="170"/>
        <v>R573</v>
      </c>
    </row>
    <row r="152" spans="2:112" ht="12" customHeight="1">
      <c r="B152" t="str">
        <f>TBIDry!H224</f>
        <v>G194</v>
      </c>
      <c r="C152" t="str">
        <f>TBIDry!I224</f>
        <v>R703</v>
      </c>
      <c r="D152" t="b">
        <f t="shared" si="117"/>
        <v>0</v>
      </c>
      <c r="E152" t="b">
        <f t="shared" si="118"/>
        <v>0</v>
      </c>
      <c r="G152" t="str">
        <f>TBIWet!H224</f>
        <v>G733</v>
      </c>
      <c r="H152" t="str">
        <f>TBIWet!I224</f>
        <v>R545</v>
      </c>
      <c r="I152" t="b">
        <f t="shared" si="119"/>
        <v>0</v>
      </c>
      <c r="J152" t="b">
        <f t="shared" si="120"/>
        <v>0</v>
      </c>
      <c r="L152" t="str">
        <f>'Both teabags AfterWet'!A150</f>
        <v>G552</v>
      </c>
      <c r="M152" t="str">
        <f>'Both teabags AfterWet'!A570</f>
        <v>R330</v>
      </c>
      <c r="N152" t="b">
        <f t="shared" si="121"/>
        <v>0</v>
      </c>
      <c r="O152" t="b">
        <f t="shared" si="171"/>
        <v>0</v>
      </c>
      <c r="Q152" s="388" t="b">
        <f t="shared" si="122"/>
        <v>0</v>
      </c>
      <c r="R152" s="388" t="b">
        <f t="shared" si="123"/>
        <v>0</v>
      </c>
      <c r="T152" t="str">
        <f>'Both teabags AfterDry'!A150</f>
        <v>G293</v>
      </c>
      <c r="U152" t="str">
        <f>'Both teabags AfterDry'!A485</f>
        <v>R622</v>
      </c>
      <c r="V152" t="b">
        <f t="shared" si="124"/>
        <v>0</v>
      </c>
      <c r="W152" t="b">
        <f t="shared" si="155"/>
        <v>0</v>
      </c>
      <c r="Y152" t="str">
        <f>'Green_rooibos initial weight'!A153</f>
        <v>G149</v>
      </c>
      <c r="Z152" t="str">
        <f>'Green_rooibos initial weight'!A1057</f>
        <v>R149</v>
      </c>
      <c r="AA152" t="b">
        <f t="shared" si="125"/>
        <v>0</v>
      </c>
      <c r="AB152" t="b">
        <f t="shared" si="126"/>
        <v>0</v>
      </c>
      <c r="AE152" t="str">
        <f>'WetLitterbags placem_collection'!K151</f>
        <v>G733</v>
      </c>
      <c r="AF152" t="str">
        <f>'WetLitterbags placem_collection'!M151</f>
        <v>R545</v>
      </c>
      <c r="AG152" t="b">
        <f t="shared" si="127"/>
        <v>0</v>
      </c>
      <c r="AH152" t="b">
        <f t="shared" si="128"/>
        <v>0</v>
      </c>
      <c r="AJ152" t="b">
        <f t="shared" si="129"/>
        <v>0</v>
      </c>
      <c r="AK152" t="b">
        <f t="shared" si="130"/>
        <v>0</v>
      </c>
      <c r="AM152" t="str">
        <f>IF(ISBLANK('Dry_Litterbag Placem_Collection'!J151),"","G"&amp;""&amp;'Dry_Litterbag Placem_Collection'!J151)</f>
        <v>G194</v>
      </c>
      <c r="AN152" t="str">
        <f>IF(ISBLANK('Dry_Litterbag Placem_Collection'!K151),"","R"&amp;""&amp;'Dry_Litterbag Placem_Collection'!K151)</f>
        <v>R703</v>
      </c>
      <c r="AO152" t="b">
        <f t="shared" si="131"/>
        <v>0</v>
      </c>
      <c r="AP152" t="b">
        <f t="shared" si="132"/>
        <v>0</v>
      </c>
      <c r="AS152" t="str">
        <f>'Ashed teabags dry'!A150</f>
        <v>G293</v>
      </c>
      <c r="AT152" t="str">
        <f>'Ashed teabags dry'!A485</f>
        <v>R622</v>
      </c>
      <c r="AU152" t="b">
        <f t="shared" si="133"/>
        <v>0</v>
      </c>
      <c r="AV152" t="b">
        <f t="shared" si="156"/>
        <v>0</v>
      </c>
      <c r="AX152" s="388" t="b">
        <f t="shared" si="134"/>
        <v>0</v>
      </c>
      <c r="AY152" s="388" t="b">
        <f t="shared" si="135"/>
        <v>0</v>
      </c>
      <c r="BA152" t="str">
        <f>'Ashed teabags wet'!A150</f>
        <v>G552</v>
      </c>
      <c r="BB152" t="str">
        <f>'Ashed teabags wet'!A570</f>
        <v>R330</v>
      </c>
      <c r="BC152" t="b">
        <f t="shared" si="136"/>
        <v>0</v>
      </c>
      <c r="BD152" t="b">
        <f t="shared" si="116"/>
        <v>0</v>
      </c>
      <c r="BF152" t="str">
        <f t="shared" si="137"/>
        <v>G292</v>
      </c>
      <c r="BG152" t="str">
        <f t="shared" si="138"/>
        <v>G292</v>
      </c>
      <c r="BH152" t="str">
        <f t="shared" si="139"/>
        <v>G290</v>
      </c>
      <c r="BI152" t="str">
        <f t="shared" si="157"/>
        <v>G290</v>
      </c>
      <c r="BJ152" t="s">
        <v>1758</v>
      </c>
      <c r="BK152" t="s">
        <v>1758</v>
      </c>
      <c r="BL152" t="s">
        <v>1758</v>
      </c>
      <c r="BM152" t="b">
        <f t="shared" si="158"/>
        <v>1</v>
      </c>
      <c r="BN152" t="str">
        <f t="shared" si="140"/>
        <v>R621</v>
      </c>
      <c r="BO152" t="str">
        <f t="shared" si="141"/>
        <v>R621</v>
      </c>
      <c r="BP152" t="str">
        <f t="shared" si="142"/>
        <v>R823</v>
      </c>
      <c r="BQ152" t="str">
        <f t="shared" si="143"/>
        <v>R823</v>
      </c>
      <c r="BR152" t="s">
        <v>518</v>
      </c>
      <c r="BS152" t="s">
        <v>517</v>
      </c>
      <c r="BT152" t="s">
        <v>518</v>
      </c>
      <c r="BU152" t="b">
        <f t="shared" si="159"/>
        <v>1</v>
      </c>
      <c r="BV152" s="113"/>
      <c r="BW152" s="113"/>
      <c r="BZ152" t="str">
        <f t="shared" si="144"/>
        <v>G290</v>
      </c>
      <c r="CA152" t="b">
        <f t="shared" si="145"/>
        <v>0</v>
      </c>
      <c r="CB152" t="str">
        <f t="shared" si="160"/>
        <v>G290</v>
      </c>
      <c r="CC152" t="str">
        <f t="shared" si="146"/>
        <v>R823</v>
      </c>
      <c r="CD152" t="b">
        <f t="shared" si="161"/>
        <v>0</v>
      </c>
      <c r="CE152" t="str">
        <f t="shared" si="162"/>
        <v>R823</v>
      </c>
      <c r="CG152" t="str">
        <f t="shared" si="147"/>
        <v>G551</v>
      </c>
      <c r="CH152" t="str">
        <f t="shared" si="163"/>
        <v>G551</v>
      </c>
      <c r="CI152" t="str">
        <f t="shared" si="148"/>
        <v>G835</v>
      </c>
      <c r="CJ152" t="str">
        <f t="shared" si="149"/>
        <v>G835</v>
      </c>
      <c r="CK152" t="s">
        <v>1499</v>
      </c>
      <c r="CL152" t="s">
        <v>1499</v>
      </c>
      <c r="CM152" t="s">
        <v>1499</v>
      </c>
      <c r="CN152" t="b">
        <f t="shared" si="164"/>
        <v>1</v>
      </c>
      <c r="CO152" t="str">
        <f t="shared" si="150"/>
        <v>R33</v>
      </c>
      <c r="CP152" t="str">
        <f t="shared" si="165"/>
        <v>R33</v>
      </c>
      <c r="CQ152" t="str">
        <f t="shared" si="151"/>
        <v>R472</v>
      </c>
      <c r="CR152" t="str">
        <f t="shared" si="152"/>
        <v>R472</v>
      </c>
      <c r="CS152" t="s">
        <v>1108</v>
      </c>
      <c r="CT152" t="s">
        <v>1108</v>
      </c>
      <c r="CU152" t="s">
        <v>1108</v>
      </c>
      <c r="CV152" t="b">
        <f t="shared" si="166"/>
        <v>1</v>
      </c>
      <c r="DC152" t="str">
        <f t="shared" si="153"/>
        <v>G835</v>
      </c>
      <c r="DD152" t="b">
        <f t="shared" si="167"/>
        <v>0</v>
      </c>
      <c r="DE152" t="str">
        <f t="shared" si="168"/>
        <v>G835</v>
      </c>
      <c r="DF152" t="str">
        <f t="shared" si="154"/>
        <v>R472</v>
      </c>
      <c r="DG152" t="b">
        <f t="shared" si="169"/>
        <v>0</v>
      </c>
      <c r="DH152" t="str">
        <f t="shared" si="170"/>
        <v>R472</v>
      </c>
    </row>
    <row r="153" spans="2:112" ht="12" customHeight="1">
      <c r="B153" t="str">
        <f>TBIDry!H225</f>
        <v>G272</v>
      </c>
      <c r="C153" t="str">
        <f>TBIDry!I225</f>
        <v>R668</v>
      </c>
      <c r="D153" t="b">
        <f t="shared" si="117"/>
        <v>0</v>
      </c>
      <c r="E153" t="b">
        <f t="shared" si="118"/>
        <v>0</v>
      </c>
      <c r="G153" t="str">
        <f>TBIWet!H225</f>
        <v>G658</v>
      </c>
      <c r="H153" t="str">
        <f>TBIWet!I225</f>
        <v>R7</v>
      </c>
      <c r="I153" t="b">
        <f t="shared" si="119"/>
        <v>0</v>
      </c>
      <c r="J153" t="b">
        <f t="shared" si="120"/>
        <v>0</v>
      </c>
      <c r="L153" t="str">
        <f>'Both teabags AfterWet'!A151</f>
        <v>G554</v>
      </c>
      <c r="M153" t="str">
        <f>'Both teabags AfterWet'!A571</f>
        <v>R331</v>
      </c>
      <c r="N153" t="b">
        <f t="shared" si="121"/>
        <v>0</v>
      </c>
      <c r="O153" t="b">
        <f t="shared" si="171"/>
        <v>0</v>
      </c>
      <c r="Q153" s="388" t="b">
        <f t="shared" si="122"/>
        <v>0</v>
      </c>
      <c r="R153" s="388" t="b">
        <f t="shared" si="123"/>
        <v>0</v>
      </c>
      <c r="T153" t="str">
        <f>'Both teabags AfterDry'!A151</f>
        <v>G294</v>
      </c>
      <c r="U153" t="str">
        <f>'Both teabags AfterDry'!A486</f>
        <v>R623</v>
      </c>
      <c r="V153" t="b">
        <f t="shared" si="124"/>
        <v>0</v>
      </c>
      <c r="W153" t="b">
        <f t="shared" si="155"/>
        <v>0</v>
      </c>
      <c r="Y153" t="str">
        <f>'Green_rooibos initial weight'!A154</f>
        <v>G150</v>
      </c>
      <c r="Z153" t="str">
        <f>'Green_rooibos initial weight'!A1058</f>
        <v>R150</v>
      </c>
      <c r="AA153" t="b">
        <f t="shared" si="125"/>
        <v>0</v>
      </c>
      <c r="AB153" t="b">
        <f t="shared" si="126"/>
        <v>0</v>
      </c>
      <c r="AE153" t="str">
        <f>'WetLitterbags placem_collection'!K152</f>
        <v>G658</v>
      </c>
      <c r="AF153" t="str">
        <f>'WetLitterbags placem_collection'!M152</f>
        <v>R7</v>
      </c>
      <c r="AG153" t="b">
        <f t="shared" si="127"/>
        <v>0</v>
      </c>
      <c r="AH153" t="b">
        <f t="shared" si="128"/>
        <v>0</v>
      </c>
      <c r="AJ153" t="b">
        <f t="shared" si="129"/>
        <v>0</v>
      </c>
      <c r="AK153" t="b">
        <f t="shared" si="130"/>
        <v>0</v>
      </c>
      <c r="AM153" t="str">
        <f>IF(ISBLANK('Dry_Litterbag Placem_Collection'!J152),"","G"&amp;""&amp;'Dry_Litterbag Placem_Collection'!J152)</f>
        <v>G272</v>
      </c>
      <c r="AN153" t="str">
        <f>IF(ISBLANK('Dry_Litterbag Placem_Collection'!K152),"","R"&amp;""&amp;'Dry_Litterbag Placem_Collection'!K152)</f>
        <v>R668</v>
      </c>
      <c r="AO153" t="b">
        <f t="shared" si="131"/>
        <v>0</v>
      </c>
      <c r="AP153" t="b">
        <f t="shared" si="132"/>
        <v>0</v>
      </c>
      <c r="AS153" t="str">
        <f>'Ashed teabags dry'!A151</f>
        <v>G294</v>
      </c>
      <c r="AT153" t="str">
        <f>'Ashed teabags dry'!A486</f>
        <v>R623</v>
      </c>
      <c r="AU153" t="b">
        <f t="shared" si="133"/>
        <v>0</v>
      </c>
      <c r="AV153" t="b">
        <f t="shared" si="156"/>
        <v>0</v>
      </c>
      <c r="AX153" s="388" t="b">
        <f t="shared" si="134"/>
        <v>0</v>
      </c>
      <c r="AY153" s="388" t="b">
        <f t="shared" si="135"/>
        <v>0</v>
      </c>
      <c r="BA153" t="str">
        <f>'Ashed teabags wet'!A151</f>
        <v>G554</v>
      </c>
      <c r="BB153" t="str">
        <f>'Ashed teabags wet'!A571</f>
        <v>R331</v>
      </c>
      <c r="BC153" t="b">
        <f t="shared" si="136"/>
        <v>0</v>
      </c>
      <c r="BD153" t="b">
        <f t="shared" si="116"/>
        <v>0</v>
      </c>
      <c r="BF153" t="str">
        <f t="shared" si="137"/>
        <v>G293</v>
      </c>
      <c r="BG153" t="str">
        <f t="shared" si="138"/>
        <v>G293</v>
      </c>
      <c r="BH153" t="str">
        <f t="shared" si="139"/>
        <v>G194</v>
      </c>
      <c r="BI153" t="str">
        <f t="shared" si="157"/>
        <v>G194</v>
      </c>
      <c r="BJ153" t="s">
        <v>1757</v>
      </c>
      <c r="BK153" t="s">
        <v>1757</v>
      </c>
      <c r="BL153" t="s">
        <v>1757</v>
      </c>
      <c r="BM153" t="b">
        <f t="shared" si="158"/>
        <v>1</v>
      </c>
      <c r="BN153" t="str">
        <f t="shared" si="140"/>
        <v>R622</v>
      </c>
      <c r="BO153" t="str">
        <f t="shared" si="141"/>
        <v>R622</v>
      </c>
      <c r="BP153" t="str">
        <f t="shared" si="142"/>
        <v>R703</v>
      </c>
      <c r="BQ153" t="str">
        <f t="shared" si="143"/>
        <v>R703</v>
      </c>
      <c r="BR153" t="s">
        <v>517</v>
      </c>
      <c r="BS153" t="s">
        <v>516</v>
      </c>
      <c r="BT153" t="s">
        <v>517</v>
      </c>
      <c r="BU153" t="b">
        <f t="shared" si="159"/>
        <v>1</v>
      </c>
      <c r="BZ153" t="str">
        <f t="shared" si="144"/>
        <v>G194</v>
      </c>
      <c r="CA153" t="b">
        <f t="shared" si="145"/>
        <v>0</v>
      </c>
      <c r="CB153" t="str">
        <f t="shared" si="160"/>
        <v>G194</v>
      </c>
      <c r="CC153" t="str">
        <f t="shared" si="146"/>
        <v>R703</v>
      </c>
      <c r="CD153" t="b">
        <f t="shared" si="161"/>
        <v>0</v>
      </c>
      <c r="CE153" t="str">
        <f t="shared" si="162"/>
        <v>R703</v>
      </c>
      <c r="CG153" t="str">
        <f t="shared" si="147"/>
        <v>G552</v>
      </c>
      <c r="CH153" t="str">
        <f t="shared" si="163"/>
        <v>G552</v>
      </c>
      <c r="CI153" t="str">
        <f t="shared" si="148"/>
        <v>G733</v>
      </c>
      <c r="CJ153" t="str">
        <f t="shared" si="149"/>
        <v>G733</v>
      </c>
      <c r="CK153" t="s">
        <v>1498</v>
      </c>
      <c r="CL153" t="s">
        <v>1498</v>
      </c>
      <c r="CM153" t="s">
        <v>1498</v>
      </c>
      <c r="CN153" t="b">
        <f t="shared" si="164"/>
        <v>1</v>
      </c>
      <c r="CO153" t="str">
        <f t="shared" si="150"/>
        <v>R330</v>
      </c>
      <c r="CP153" t="str">
        <f t="shared" si="165"/>
        <v>R330</v>
      </c>
      <c r="CQ153" t="str">
        <f t="shared" si="151"/>
        <v>R545</v>
      </c>
      <c r="CR153" t="str">
        <f t="shared" si="152"/>
        <v>R545</v>
      </c>
      <c r="CS153" t="s">
        <v>811</v>
      </c>
      <c r="CT153" t="s">
        <v>811</v>
      </c>
      <c r="CU153" t="s">
        <v>811</v>
      </c>
      <c r="CV153" t="b">
        <f t="shared" si="166"/>
        <v>1</v>
      </c>
      <c r="DC153" t="str">
        <f t="shared" si="153"/>
        <v>G733</v>
      </c>
      <c r="DD153" t="b">
        <f t="shared" si="167"/>
        <v>0</v>
      </c>
      <c r="DE153" t="str">
        <f t="shared" si="168"/>
        <v>G733</v>
      </c>
      <c r="DF153" t="str">
        <f t="shared" si="154"/>
        <v>R545</v>
      </c>
      <c r="DG153" t="b">
        <f t="shared" si="169"/>
        <v>0</v>
      </c>
      <c r="DH153" t="str">
        <f t="shared" si="170"/>
        <v>R545</v>
      </c>
    </row>
    <row r="154" spans="2:112" ht="12" customHeight="1">
      <c r="B154" t="str">
        <f>TBIDry!H226</f>
        <v/>
      </c>
      <c r="C154" t="str">
        <f>TBIDry!I226</f>
        <v/>
      </c>
      <c r="D154" t="b">
        <f t="shared" si="117"/>
        <v>1</v>
      </c>
      <c r="E154" t="b">
        <f t="shared" si="118"/>
        <v>1</v>
      </c>
      <c r="G154" t="str">
        <f>TBIWet!H226</f>
        <v>G567</v>
      </c>
      <c r="H154" t="str">
        <f>TBIWet!I226</f>
        <v>R447</v>
      </c>
      <c r="I154" t="b">
        <f t="shared" si="119"/>
        <v>0</v>
      </c>
      <c r="J154" t="b">
        <f t="shared" si="120"/>
        <v>0</v>
      </c>
      <c r="L154" t="str">
        <f>'Both teabags AfterWet'!A152</f>
        <v>G556</v>
      </c>
      <c r="M154" t="str">
        <f>'Both teabags AfterWet'!A572</f>
        <v>R333</v>
      </c>
      <c r="N154" t="b">
        <f t="shared" si="121"/>
        <v>0</v>
      </c>
      <c r="O154" t="b">
        <f t="shared" si="171"/>
        <v>0</v>
      </c>
      <c r="Q154" s="388" t="b">
        <f t="shared" si="122"/>
        <v>0</v>
      </c>
      <c r="R154" s="388" t="b">
        <f t="shared" si="123"/>
        <v>0</v>
      </c>
      <c r="T154" t="str">
        <f>'Both teabags AfterDry'!A152</f>
        <v>G295</v>
      </c>
      <c r="U154" t="str">
        <f>'Both teabags AfterDry'!A487</f>
        <v>R624</v>
      </c>
      <c r="V154" t="b">
        <f t="shared" si="124"/>
        <v>0</v>
      </c>
      <c r="W154" t="b">
        <f t="shared" si="155"/>
        <v>0</v>
      </c>
      <c r="Y154" t="str">
        <f>'Green_rooibos initial weight'!A155</f>
        <v>G151</v>
      </c>
      <c r="Z154" t="str">
        <f>'Green_rooibos initial weight'!A1059</f>
        <v>R151</v>
      </c>
      <c r="AA154" t="b">
        <f t="shared" si="125"/>
        <v>0</v>
      </c>
      <c r="AB154" t="b">
        <f t="shared" si="126"/>
        <v>0</v>
      </c>
      <c r="AE154" t="str">
        <f>'WetLitterbags placem_collection'!K153</f>
        <v>G567</v>
      </c>
      <c r="AF154" t="str">
        <f>'WetLitterbags placem_collection'!M153</f>
        <v>R447</v>
      </c>
      <c r="AG154" t="b">
        <f t="shared" si="127"/>
        <v>0</v>
      </c>
      <c r="AH154" t="b">
        <f t="shared" si="128"/>
        <v>0</v>
      </c>
      <c r="AJ154" t="b">
        <f t="shared" si="129"/>
        <v>0</v>
      </c>
      <c r="AK154" t="b">
        <f t="shared" si="130"/>
        <v>0</v>
      </c>
      <c r="AM154" t="str">
        <f>IF(ISBLANK('Dry_Litterbag Placem_Collection'!J153),"","G"&amp;""&amp;'Dry_Litterbag Placem_Collection'!J153)</f>
        <v/>
      </c>
      <c r="AN154" t="str">
        <f>IF(ISBLANK('Dry_Litterbag Placem_Collection'!K153),"","R"&amp;""&amp;'Dry_Litterbag Placem_Collection'!K153)</f>
        <v/>
      </c>
      <c r="AO154" t="b">
        <f t="shared" si="131"/>
        <v>1</v>
      </c>
      <c r="AP154" t="b">
        <f t="shared" si="132"/>
        <v>1</v>
      </c>
      <c r="AS154" t="str">
        <f>'Ashed teabags dry'!A152</f>
        <v>G295</v>
      </c>
      <c r="AT154" t="str">
        <f>'Ashed teabags dry'!A487</f>
        <v>R624</v>
      </c>
      <c r="AU154" t="b">
        <f t="shared" si="133"/>
        <v>0</v>
      </c>
      <c r="AV154" t="b">
        <f t="shared" si="156"/>
        <v>0</v>
      </c>
      <c r="AX154" s="388" t="b">
        <f t="shared" si="134"/>
        <v>0</v>
      </c>
      <c r="AY154" s="388" t="b">
        <f t="shared" si="135"/>
        <v>0</v>
      </c>
      <c r="BA154" t="str">
        <f>'Ashed teabags wet'!A152</f>
        <v>G556</v>
      </c>
      <c r="BB154" t="str">
        <f>'Ashed teabags wet'!A572</f>
        <v>R333</v>
      </c>
      <c r="BC154" t="b">
        <f t="shared" si="136"/>
        <v>0</v>
      </c>
      <c r="BD154" t="b">
        <f t="shared" si="116"/>
        <v>0</v>
      </c>
      <c r="BF154" t="str">
        <f t="shared" si="137"/>
        <v>G294</v>
      </c>
      <c r="BG154" t="str">
        <f t="shared" si="138"/>
        <v>G294</v>
      </c>
      <c r="BH154" t="str">
        <f t="shared" si="139"/>
        <v>G272</v>
      </c>
      <c r="BI154" t="str">
        <f t="shared" si="157"/>
        <v/>
      </c>
      <c r="BJ154" t="s">
        <v>1756</v>
      </c>
      <c r="BK154" t="s">
        <v>1756</v>
      </c>
      <c r="BL154" t="s">
        <v>1756</v>
      </c>
      <c r="BM154" t="b">
        <f t="shared" si="158"/>
        <v>1</v>
      </c>
      <c r="BN154" t="str">
        <f t="shared" si="140"/>
        <v>R623</v>
      </c>
      <c r="BO154" t="str">
        <f t="shared" si="141"/>
        <v>R623</v>
      </c>
      <c r="BP154" t="str">
        <f t="shared" si="142"/>
        <v>R668</v>
      </c>
      <c r="BQ154" t="str">
        <f t="shared" si="143"/>
        <v/>
      </c>
      <c r="BR154" t="s">
        <v>516</v>
      </c>
      <c r="BS154" t="s">
        <v>515</v>
      </c>
      <c r="BT154" t="s">
        <v>516</v>
      </c>
      <c r="BU154" t="b">
        <f t="shared" si="159"/>
        <v>1</v>
      </c>
      <c r="BZ154" t="str">
        <f t="shared" si="144"/>
        <v>G272</v>
      </c>
      <c r="CA154" t="b">
        <f t="shared" si="145"/>
        <v>1</v>
      </c>
      <c r="CB154" t="str">
        <f t="shared" si="160"/>
        <v/>
      </c>
      <c r="CC154" t="str">
        <f t="shared" si="146"/>
        <v>R668</v>
      </c>
      <c r="CD154" t="b">
        <f t="shared" si="161"/>
        <v>1</v>
      </c>
      <c r="CE154" t="str">
        <f t="shared" si="162"/>
        <v/>
      </c>
      <c r="CG154" t="str">
        <f t="shared" si="147"/>
        <v>G554</v>
      </c>
      <c r="CH154" t="str">
        <f t="shared" si="163"/>
        <v>G554</v>
      </c>
      <c r="CI154" t="str">
        <f t="shared" si="148"/>
        <v>G658</v>
      </c>
      <c r="CJ154" t="str">
        <f t="shared" si="149"/>
        <v>G658</v>
      </c>
      <c r="CK154" t="s">
        <v>1496</v>
      </c>
      <c r="CL154" t="s">
        <v>1496</v>
      </c>
      <c r="CM154" t="s">
        <v>1496</v>
      </c>
      <c r="CN154" t="b">
        <f t="shared" si="164"/>
        <v>1</v>
      </c>
      <c r="CO154" t="str">
        <f t="shared" si="150"/>
        <v>R331</v>
      </c>
      <c r="CP154" t="str">
        <f t="shared" si="165"/>
        <v>R331</v>
      </c>
      <c r="CQ154" t="str">
        <f t="shared" si="151"/>
        <v>R7</v>
      </c>
      <c r="CR154" t="str">
        <f t="shared" si="152"/>
        <v>R7</v>
      </c>
      <c r="CS154" t="s">
        <v>810</v>
      </c>
      <c r="CT154" t="s">
        <v>810</v>
      </c>
      <c r="CU154" t="s">
        <v>810</v>
      </c>
      <c r="CV154" t="b">
        <f t="shared" si="166"/>
        <v>1</v>
      </c>
      <c r="DC154" t="str">
        <f t="shared" si="153"/>
        <v>G658</v>
      </c>
      <c r="DD154" t="b">
        <f t="shared" si="167"/>
        <v>0</v>
      </c>
      <c r="DE154" t="str">
        <f t="shared" si="168"/>
        <v>G658</v>
      </c>
      <c r="DF154" t="str">
        <f t="shared" si="154"/>
        <v>R7</v>
      </c>
      <c r="DG154" t="b">
        <f t="shared" si="169"/>
        <v>0</v>
      </c>
      <c r="DH154" t="str">
        <f t="shared" si="170"/>
        <v>R7</v>
      </c>
    </row>
    <row r="155" spans="2:112" ht="12" customHeight="1">
      <c r="B155" t="str">
        <f>TBIDry!H227</f>
        <v>G198</v>
      </c>
      <c r="C155" t="str">
        <f>TBIDry!I227</f>
        <v>R788</v>
      </c>
      <c r="D155" t="b">
        <f t="shared" si="117"/>
        <v>0</v>
      </c>
      <c r="E155" t="b">
        <f t="shared" si="118"/>
        <v>0</v>
      </c>
      <c r="G155" t="str">
        <f>TBIWet!H227</f>
        <v>G853</v>
      </c>
      <c r="H155" t="str">
        <f>TBIWet!I227</f>
        <v>R591</v>
      </c>
      <c r="I155" t="b">
        <f t="shared" si="119"/>
        <v>0</v>
      </c>
      <c r="J155" t="b">
        <f t="shared" si="120"/>
        <v>0</v>
      </c>
      <c r="L155" t="str">
        <f>'Both teabags AfterWet'!A153</f>
        <v>G557</v>
      </c>
      <c r="M155" t="str">
        <f>'Both teabags AfterWet'!A573</f>
        <v>R334</v>
      </c>
      <c r="N155" t="b">
        <f t="shared" si="121"/>
        <v>0</v>
      </c>
      <c r="O155" t="b">
        <f t="shared" si="171"/>
        <v>0</v>
      </c>
      <c r="Q155" s="388" t="b">
        <f t="shared" si="122"/>
        <v>0</v>
      </c>
      <c r="R155" s="388" t="b">
        <f t="shared" si="123"/>
        <v>0</v>
      </c>
      <c r="T155" t="str">
        <f>'Both teabags AfterDry'!A153</f>
        <v>G30</v>
      </c>
      <c r="U155" t="str">
        <f>'Both teabags AfterDry'!A488</f>
        <v>R625</v>
      </c>
      <c r="V155" t="b">
        <f t="shared" si="124"/>
        <v>0</v>
      </c>
      <c r="W155" t="b">
        <f t="shared" si="155"/>
        <v>0</v>
      </c>
      <c r="Y155" t="str">
        <f>'Green_rooibos initial weight'!A156</f>
        <v>G152</v>
      </c>
      <c r="Z155" t="str">
        <f>'Green_rooibos initial weight'!A1060</f>
        <v>R152</v>
      </c>
      <c r="AA155" t="b">
        <f t="shared" si="125"/>
        <v>0</v>
      </c>
      <c r="AB155" t="b">
        <f t="shared" si="126"/>
        <v>0</v>
      </c>
      <c r="AE155" t="str">
        <f>'WetLitterbags placem_collection'!K154</f>
        <v>G853</v>
      </c>
      <c r="AF155" t="str">
        <f>'WetLitterbags placem_collection'!M154</f>
        <v>R591</v>
      </c>
      <c r="AG155" t="b">
        <f t="shared" si="127"/>
        <v>0</v>
      </c>
      <c r="AH155" t="b">
        <f t="shared" si="128"/>
        <v>0</v>
      </c>
      <c r="AJ155" t="b">
        <f t="shared" si="129"/>
        <v>0</v>
      </c>
      <c r="AK155" t="b">
        <f t="shared" si="130"/>
        <v>0</v>
      </c>
      <c r="AM155" t="str">
        <f>IF(ISBLANK('Dry_Litterbag Placem_Collection'!J154),"","G"&amp;""&amp;'Dry_Litterbag Placem_Collection'!J154)</f>
        <v>G198</v>
      </c>
      <c r="AN155" t="str">
        <f>IF(ISBLANK('Dry_Litterbag Placem_Collection'!K154),"","R"&amp;""&amp;'Dry_Litterbag Placem_Collection'!K154)</f>
        <v>R788</v>
      </c>
      <c r="AO155" t="b">
        <f t="shared" si="131"/>
        <v>0</v>
      </c>
      <c r="AP155" t="b">
        <f t="shared" si="132"/>
        <v>0</v>
      </c>
      <c r="AS155" t="str">
        <f>'Ashed teabags dry'!A153</f>
        <v>G30</v>
      </c>
      <c r="AT155" t="str">
        <f>'Ashed teabags dry'!A488</f>
        <v>R625</v>
      </c>
      <c r="AU155" t="b">
        <f t="shared" si="133"/>
        <v>0</v>
      </c>
      <c r="AV155" t="b">
        <f t="shared" si="156"/>
        <v>0</v>
      </c>
      <c r="AX155" s="388" t="b">
        <f t="shared" si="134"/>
        <v>0</v>
      </c>
      <c r="AY155" s="388" t="b">
        <f t="shared" si="135"/>
        <v>0</v>
      </c>
      <c r="BA155" t="str">
        <f>'Ashed teabags wet'!A153</f>
        <v>G557</v>
      </c>
      <c r="BB155" t="str">
        <f>'Ashed teabags wet'!A573</f>
        <v>R334</v>
      </c>
      <c r="BC155" t="b">
        <f t="shared" si="136"/>
        <v>0</v>
      </c>
      <c r="BD155" t="b">
        <f t="shared" si="116"/>
        <v>0</v>
      </c>
      <c r="BF155" t="str">
        <f t="shared" si="137"/>
        <v>G295</v>
      </c>
      <c r="BG155" t="str">
        <f t="shared" si="138"/>
        <v>G295</v>
      </c>
      <c r="BH155" t="str">
        <f t="shared" si="139"/>
        <v/>
      </c>
      <c r="BI155" t="str">
        <f t="shared" si="157"/>
        <v/>
      </c>
      <c r="BJ155" t="s">
        <v>1755</v>
      </c>
      <c r="BK155" t="s">
        <v>1755</v>
      </c>
      <c r="BL155" t="s">
        <v>1755</v>
      </c>
      <c r="BM155" t="b">
        <f t="shared" si="158"/>
        <v>1</v>
      </c>
      <c r="BN155" t="str">
        <f t="shared" si="140"/>
        <v>R624</v>
      </c>
      <c r="BO155" t="str">
        <f t="shared" si="141"/>
        <v>R624</v>
      </c>
      <c r="BP155" t="str">
        <f t="shared" si="142"/>
        <v/>
      </c>
      <c r="BQ155" t="str">
        <f t="shared" si="143"/>
        <v/>
      </c>
      <c r="BR155" t="s">
        <v>515</v>
      </c>
      <c r="BS155" t="s">
        <v>514</v>
      </c>
      <c r="BT155" t="s">
        <v>515</v>
      </c>
      <c r="BU155" t="b">
        <f t="shared" si="159"/>
        <v>1</v>
      </c>
      <c r="BZ155" t="str">
        <f t="shared" si="144"/>
        <v/>
      </c>
      <c r="CA155" t="b">
        <f t="shared" si="145"/>
        <v>0</v>
      </c>
      <c r="CB155" t="str">
        <f t="shared" si="160"/>
        <v/>
      </c>
      <c r="CC155" t="str">
        <f t="shared" si="146"/>
        <v/>
      </c>
      <c r="CD155" t="b">
        <f t="shared" si="161"/>
        <v>0</v>
      </c>
      <c r="CE155" t="str">
        <f t="shared" si="162"/>
        <v/>
      </c>
      <c r="CG155" t="str">
        <f t="shared" si="147"/>
        <v>G556</v>
      </c>
      <c r="CH155" t="str">
        <f t="shared" si="163"/>
        <v>G556</v>
      </c>
      <c r="CI155" t="str">
        <f t="shared" si="148"/>
        <v>G567</v>
      </c>
      <c r="CJ155" t="str">
        <f t="shared" si="149"/>
        <v>G567</v>
      </c>
      <c r="CK155" t="s">
        <v>1494</v>
      </c>
      <c r="CL155" t="s">
        <v>1494</v>
      </c>
      <c r="CM155" t="s">
        <v>1494</v>
      </c>
      <c r="CN155" t="b">
        <f t="shared" si="164"/>
        <v>1</v>
      </c>
      <c r="CO155" t="str">
        <f t="shared" si="150"/>
        <v>R333</v>
      </c>
      <c r="CP155" t="str">
        <f t="shared" si="165"/>
        <v>R333</v>
      </c>
      <c r="CQ155" t="str">
        <f t="shared" si="151"/>
        <v>R447</v>
      </c>
      <c r="CR155" t="str">
        <f t="shared" si="152"/>
        <v>R447</v>
      </c>
      <c r="CS155" t="s">
        <v>808</v>
      </c>
      <c r="CT155" t="s">
        <v>808</v>
      </c>
      <c r="CU155" t="s">
        <v>808</v>
      </c>
      <c r="CV155" t="b">
        <f t="shared" si="166"/>
        <v>1</v>
      </c>
      <c r="DC155" t="str">
        <f t="shared" si="153"/>
        <v>G567</v>
      </c>
      <c r="DD155" t="b">
        <f t="shared" si="167"/>
        <v>0</v>
      </c>
      <c r="DE155" t="str">
        <f t="shared" si="168"/>
        <v>G567</v>
      </c>
      <c r="DF155" t="str">
        <f t="shared" si="154"/>
        <v>R447</v>
      </c>
      <c r="DG155" t="b">
        <f t="shared" si="169"/>
        <v>0</v>
      </c>
      <c r="DH155" t="str">
        <f t="shared" si="170"/>
        <v>R447</v>
      </c>
    </row>
    <row r="156" spans="2:112" ht="12" customHeight="1">
      <c r="B156" t="str">
        <f>TBIDry!H228</f>
        <v>G197</v>
      </c>
      <c r="C156" t="str">
        <f>TBIDry!I228</f>
        <v>R735</v>
      </c>
      <c r="D156" t="b">
        <f t="shared" si="117"/>
        <v>0</v>
      </c>
      <c r="E156" t="b">
        <f t="shared" si="118"/>
        <v>0</v>
      </c>
      <c r="G156" t="str">
        <f>TBIWet!H228</f>
        <v>G800</v>
      </c>
      <c r="H156" t="str">
        <f>TBIWet!I228</f>
        <v>R479</v>
      </c>
      <c r="I156" t="b">
        <f t="shared" si="119"/>
        <v>0</v>
      </c>
      <c r="J156" t="b">
        <f t="shared" si="120"/>
        <v>0</v>
      </c>
      <c r="L156" t="str">
        <f>'Both teabags AfterWet'!A154</f>
        <v>G560</v>
      </c>
      <c r="M156" t="str">
        <f>'Both teabags AfterWet'!A574</f>
        <v>R336</v>
      </c>
      <c r="N156" t="b">
        <f t="shared" si="121"/>
        <v>0</v>
      </c>
      <c r="O156" t="b">
        <f t="shared" si="171"/>
        <v>0</v>
      </c>
      <c r="Q156" s="388" t="b">
        <f t="shared" si="122"/>
        <v>0</v>
      </c>
      <c r="R156" s="388" t="b">
        <f t="shared" si="123"/>
        <v>0</v>
      </c>
      <c r="T156" t="str">
        <f>'Both teabags AfterDry'!A154</f>
        <v>G300</v>
      </c>
      <c r="U156" t="str">
        <f>'Both teabags AfterDry'!A489</f>
        <v>R627</v>
      </c>
      <c r="V156" t="b">
        <f t="shared" si="124"/>
        <v>0</v>
      </c>
      <c r="W156" t="b">
        <f t="shared" si="155"/>
        <v>0</v>
      </c>
      <c r="Y156" t="str">
        <f>'Green_rooibos initial weight'!A157</f>
        <v>G153</v>
      </c>
      <c r="Z156" t="str">
        <f>'Green_rooibos initial weight'!A1061</f>
        <v>R153</v>
      </c>
      <c r="AA156" t="b">
        <f t="shared" si="125"/>
        <v>0</v>
      </c>
      <c r="AB156" t="b">
        <f t="shared" si="126"/>
        <v>0</v>
      </c>
      <c r="AE156" t="str">
        <f>'WetLitterbags placem_collection'!K155</f>
        <v>G800</v>
      </c>
      <c r="AF156" t="str">
        <f>'WetLitterbags placem_collection'!M155</f>
        <v>R479</v>
      </c>
      <c r="AG156" t="b">
        <f t="shared" si="127"/>
        <v>0</v>
      </c>
      <c r="AH156" t="b">
        <f t="shared" si="128"/>
        <v>0</v>
      </c>
      <c r="AJ156" t="b">
        <f t="shared" si="129"/>
        <v>0</v>
      </c>
      <c r="AK156" t="b">
        <f t="shared" si="130"/>
        <v>0</v>
      </c>
      <c r="AM156" t="str">
        <f>IF(ISBLANK('Dry_Litterbag Placem_Collection'!J155),"","G"&amp;""&amp;'Dry_Litterbag Placem_Collection'!J155)</f>
        <v>G197</v>
      </c>
      <c r="AN156" t="str">
        <f>IF(ISBLANK('Dry_Litterbag Placem_Collection'!K155),"","R"&amp;""&amp;'Dry_Litterbag Placem_Collection'!K155)</f>
        <v>R735</v>
      </c>
      <c r="AO156" t="b">
        <f t="shared" si="131"/>
        <v>0</v>
      </c>
      <c r="AP156" t="b">
        <f t="shared" si="132"/>
        <v>0</v>
      </c>
      <c r="AS156" t="str">
        <f>'Ashed teabags dry'!A154</f>
        <v>G300</v>
      </c>
      <c r="AT156" t="str">
        <f>'Ashed teabags dry'!A489</f>
        <v>R627</v>
      </c>
      <c r="AU156" t="b">
        <f t="shared" si="133"/>
        <v>0</v>
      </c>
      <c r="AV156" t="b">
        <f t="shared" si="156"/>
        <v>0</v>
      </c>
      <c r="AX156" s="388" t="b">
        <f t="shared" si="134"/>
        <v>0</v>
      </c>
      <c r="AY156" s="388" t="b">
        <f t="shared" si="135"/>
        <v>0</v>
      </c>
      <c r="BA156" t="str">
        <f>'Ashed teabags wet'!A154</f>
        <v>G560</v>
      </c>
      <c r="BB156" t="str">
        <f>'Ashed teabags wet'!A574</f>
        <v>R336</v>
      </c>
      <c r="BC156" t="b">
        <f t="shared" si="136"/>
        <v>0</v>
      </c>
      <c r="BD156" t="b">
        <f t="shared" si="116"/>
        <v>0</v>
      </c>
      <c r="BF156" t="str">
        <f t="shared" si="137"/>
        <v>G30</v>
      </c>
      <c r="BG156" t="str">
        <f t="shared" si="138"/>
        <v>G30</v>
      </c>
      <c r="BH156" t="str">
        <f t="shared" si="139"/>
        <v>G198</v>
      </c>
      <c r="BI156" t="str">
        <f t="shared" si="157"/>
        <v>G198</v>
      </c>
      <c r="BJ156" t="s">
        <v>2020</v>
      </c>
      <c r="BK156" t="s">
        <v>2020</v>
      </c>
      <c r="BL156" t="s">
        <v>2020</v>
      </c>
      <c r="BM156" t="b">
        <f t="shared" si="158"/>
        <v>1</v>
      </c>
      <c r="BN156" t="str">
        <f t="shared" si="140"/>
        <v>R625</v>
      </c>
      <c r="BO156" t="str">
        <f t="shared" si="141"/>
        <v>R625</v>
      </c>
      <c r="BP156" t="str">
        <f t="shared" si="142"/>
        <v>R788</v>
      </c>
      <c r="BQ156" t="str">
        <f t="shared" si="143"/>
        <v>R788</v>
      </c>
      <c r="BR156" t="s">
        <v>514</v>
      </c>
      <c r="BS156" t="s">
        <v>512</v>
      </c>
      <c r="BT156" t="s">
        <v>514</v>
      </c>
      <c r="BU156" t="b">
        <f t="shared" si="159"/>
        <v>1</v>
      </c>
      <c r="BZ156" t="str">
        <f t="shared" si="144"/>
        <v>G198</v>
      </c>
      <c r="CA156" t="b">
        <f t="shared" si="145"/>
        <v>0</v>
      </c>
      <c r="CB156" t="str">
        <f t="shared" si="160"/>
        <v>G198</v>
      </c>
      <c r="CC156" t="str">
        <f t="shared" si="146"/>
        <v>R788</v>
      </c>
      <c r="CD156" t="b">
        <f t="shared" si="161"/>
        <v>0</v>
      </c>
      <c r="CE156" t="str">
        <f t="shared" si="162"/>
        <v>R788</v>
      </c>
      <c r="CG156" t="str">
        <f t="shared" si="147"/>
        <v>G557</v>
      </c>
      <c r="CH156" t="str">
        <f t="shared" si="163"/>
        <v>G557</v>
      </c>
      <c r="CI156" t="str">
        <f t="shared" si="148"/>
        <v>G853</v>
      </c>
      <c r="CJ156" t="str">
        <f t="shared" si="149"/>
        <v>G853</v>
      </c>
      <c r="CK156" t="s">
        <v>1493</v>
      </c>
      <c r="CL156" t="s">
        <v>1493</v>
      </c>
      <c r="CM156" t="s">
        <v>1493</v>
      </c>
      <c r="CN156" t="b">
        <f t="shared" si="164"/>
        <v>1</v>
      </c>
      <c r="CO156" t="str">
        <f t="shared" si="150"/>
        <v>R334</v>
      </c>
      <c r="CP156" t="str">
        <f t="shared" si="165"/>
        <v>R334</v>
      </c>
      <c r="CQ156" t="str">
        <f t="shared" si="151"/>
        <v>R591</v>
      </c>
      <c r="CR156" t="str">
        <f t="shared" si="152"/>
        <v>R591</v>
      </c>
      <c r="CS156" t="s">
        <v>807</v>
      </c>
      <c r="CT156" t="s">
        <v>807</v>
      </c>
      <c r="CU156" t="s">
        <v>807</v>
      </c>
      <c r="CV156" t="b">
        <f t="shared" si="166"/>
        <v>1</v>
      </c>
      <c r="DC156" t="str">
        <f t="shared" si="153"/>
        <v>G853</v>
      </c>
      <c r="DD156" t="b">
        <f t="shared" si="167"/>
        <v>0</v>
      </c>
      <c r="DE156" t="str">
        <f t="shared" si="168"/>
        <v>G853</v>
      </c>
      <c r="DF156" t="str">
        <f t="shared" si="154"/>
        <v>R591</v>
      </c>
      <c r="DG156" t="b">
        <f t="shared" si="169"/>
        <v>0</v>
      </c>
      <c r="DH156" t="str">
        <f t="shared" si="170"/>
        <v>R591</v>
      </c>
    </row>
    <row r="157" spans="2:112" ht="12" customHeight="1">
      <c r="B157" t="str">
        <f>TBIDry!H229</f>
        <v>G127</v>
      </c>
      <c r="C157" t="str">
        <f>TBIDry!I229</f>
        <v>R836</v>
      </c>
      <c r="D157" t="b">
        <f t="shared" si="117"/>
        <v>0</v>
      </c>
      <c r="E157" t="b">
        <f t="shared" si="118"/>
        <v>0</v>
      </c>
      <c r="G157" t="str">
        <f>TBIWet!H229</f>
        <v>G675</v>
      </c>
      <c r="H157" t="str">
        <f>TBIWet!I229</f>
        <v>R493</v>
      </c>
      <c r="I157" t="b">
        <f t="shared" si="119"/>
        <v>0</v>
      </c>
      <c r="J157" t="b">
        <f t="shared" si="120"/>
        <v>0</v>
      </c>
      <c r="L157" t="str">
        <f>'Both teabags AfterWet'!A155</f>
        <v>G561</v>
      </c>
      <c r="M157" t="str">
        <f>'Both teabags AfterWet'!A575</f>
        <v>R339</v>
      </c>
      <c r="N157" t="b">
        <f t="shared" si="121"/>
        <v>0</v>
      </c>
      <c r="O157" t="b">
        <f t="shared" si="171"/>
        <v>0</v>
      </c>
      <c r="Q157" s="388" t="b">
        <f t="shared" si="122"/>
        <v>0</v>
      </c>
      <c r="R157" s="388" t="b">
        <f t="shared" si="123"/>
        <v>0</v>
      </c>
      <c r="T157" t="str">
        <f>'Both teabags AfterDry'!A155</f>
        <v>G301</v>
      </c>
      <c r="U157" t="str">
        <f>'Both teabags AfterDry'!A490</f>
        <v>R628</v>
      </c>
      <c r="V157" t="b">
        <f t="shared" si="124"/>
        <v>0</v>
      </c>
      <c r="W157" t="b">
        <f t="shared" si="155"/>
        <v>0</v>
      </c>
      <c r="Y157" t="str">
        <f>'Green_rooibos initial weight'!A158</f>
        <v>G154</v>
      </c>
      <c r="Z157" t="str">
        <f>'Green_rooibos initial weight'!A1062</f>
        <v>R154</v>
      </c>
      <c r="AA157" t="b">
        <f t="shared" si="125"/>
        <v>0</v>
      </c>
      <c r="AB157" t="b">
        <f t="shared" si="126"/>
        <v>0</v>
      </c>
      <c r="AE157" t="str">
        <f>'WetLitterbags placem_collection'!K156</f>
        <v>G675</v>
      </c>
      <c r="AF157" t="str">
        <f>'WetLitterbags placem_collection'!M156</f>
        <v>R493</v>
      </c>
      <c r="AG157" t="b">
        <f t="shared" si="127"/>
        <v>0</v>
      </c>
      <c r="AH157" t="b">
        <f t="shared" si="128"/>
        <v>0</v>
      </c>
      <c r="AJ157" t="b">
        <f t="shared" si="129"/>
        <v>0</v>
      </c>
      <c r="AK157" t="b">
        <f t="shared" si="130"/>
        <v>0</v>
      </c>
      <c r="AM157" t="str">
        <f>IF(ISBLANK('Dry_Litterbag Placem_Collection'!J156),"","G"&amp;""&amp;'Dry_Litterbag Placem_Collection'!J156)</f>
        <v>G127</v>
      </c>
      <c r="AN157" t="str">
        <f>IF(ISBLANK('Dry_Litterbag Placem_Collection'!K156),"","R"&amp;""&amp;'Dry_Litterbag Placem_Collection'!K156)</f>
        <v>R836</v>
      </c>
      <c r="AO157" t="b">
        <f t="shared" si="131"/>
        <v>0</v>
      </c>
      <c r="AP157" t="b">
        <f t="shared" si="132"/>
        <v>0</v>
      </c>
      <c r="AS157" t="str">
        <f>'Ashed teabags dry'!A155</f>
        <v>G301</v>
      </c>
      <c r="AT157" t="str">
        <f>'Ashed teabags dry'!A490</f>
        <v>R628</v>
      </c>
      <c r="AU157" t="b">
        <f t="shared" si="133"/>
        <v>0</v>
      </c>
      <c r="AV157" t="b">
        <f t="shared" si="156"/>
        <v>0</v>
      </c>
      <c r="AX157" s="388" t="b">
        <f t="shared" si="134"/>
        <v>0</v>
      </c>
      <c r="AY157" s="388" t="b">
        <f t="shared" si="135"/>
        <v>0</v>
      </c>
      <c r="BA157" t="str">
        <f>'Ashed teabags wet'!A155</f>
        <v>G561</v>
      </c>
      <c r="BB157" t="str">
        <f>'Ashed teabags wet'!A575</f>
        <v>R339</v>
      </c>
      <c r="BC157" t="b">
        <f t="shared" si="136"/>
        <v>0</v>
      </c>
      <c r="BD157" t="b">
        <f t="shared" si="116"/>
        <v>0</v>
      </c>
      <c r="BF157" t="str">
        <f t="shared" si="137"/>
        <v>G300</v>
      </c>
      <c r="BG157" t="str">
        <f t="shared" si="138"/>
        <v>G300</v>
      </c>
      <c r="BH157" t="str">
        <f t="shared" si="139"/>
        <v>G197</v>
      </c>
      <c r="BI157" t="str">
        <f t="shared" si="157"/>
        <v>G197</v>
      </c>
      <c r="BJ157" t="s">
        <v>1750</v>
      </c>
      <c r="BK157" t="s">
        <v>1750</v>
      </c>
      <c r="BL157" t="s">
        <v>1750</v>
      </c>
      <c r="BM157" t="b">
        <f t="shared" si="158"/>
        <v>1</v>
      </c>
      <c r="BN157" t="str">
        <f t="shared" si="140"/>
        <v>R627</v>
      </c>
      <c r="BO157" t="str">
        <f t="shared" si="141"/>
        <v>R627</v>
      </c>
      <c r="BP157" t="str">
        <f t="shared" si="142"/>
        <v>R735</v>
      </c>
      <c r="BQ157" t="str">
        <f t="shared" si="143"/>
        <v>R735</v>
      </c>
      <c r="BR157" t="s">
        <v>512</v>
      </c>
      <c r="BS157" t="s">
        <v>511</v>
      </c>
      <c r="BT157" t="s">
        <v>512</v>
      </c>
      <c r="BU157" t="b">
        <f t="shared" si="159"/>
        <v>1</v>
      </c>
      <c r="BZ157" t="str">
        <f t="shared" si="144"/>
        <v>G197</v>
      </c>
      <c r="CA157" t="b">
        <f t="shared" si="145"/>
        <v>0</v>
      </c>
      <c r="CB157" t="str">
        <f t="shared" si="160"/>
        <v>G197</v>
      </c>
      <c r="CC157" t="str">
        <f t="shared" si="146"/>
        <v>R735</v>
      </c>
      <c r="CD157" t="b">
        <f t="shared" si="161"/>
        <v>0</v>
      </c>
      <c r="CE157" t="str">
        <f t="shared" si="162"/>
        <v>R735</v>
      </c>
      <c r="CG157" t="str">
        <f t="shared" si="147"/>
        <v>G560</v>
      </c>
      <c r="CH157" t="str">
        <f t="shared" si="163"/>
        <v>G560</v>
      </c>
      <c r="CI157" t="str">
        <f t="shared" si="148"/>
        <v>G800</v>
      </c>
      <c r="CJ157" t="str">
        <f t="shared" si="149"/>
        <v>G800</v>
      </c>
      <c r="CK157" t="s">
        <v>1490</v>
      </c>
      <c r="CL157" t="s">
        <v>1490</v>
      </c>
      <c r="CM157" t="s">
        <v>1490</v>
      </c>
      <c r="CN157" t="b">
        <f t="shared" si="164"/>
        <v>1</v>
      </c>
      <c r="CO157" t="str">
        <f t="shared" si="150"/>
        <v>R336</v>
      </c>
      <c r="CP157" t="str">
        <f t="shared" si="165"/>
        <v>R336</v>
      </c>
      <c r="CQ157" t="str">
        <f t="shared" si="151"/>
        <v>R479</v>
      </c>
      <c r="CR157" t="str">
        <f t="shared" si="152"/>
        <v>R479</v>
      </c>
      <c r="CS157" t="s">
        <v>805</v>
      </c>
      <c r="CT157" t="s">
        <v>805</v>
      </c>
      <c r="CU157" t="s">
        <v>805</v>
      </c>
      <c r="CV157" t="b">
        <f t="shared" si="166"/>
        <v>1</v>
      </c>
      <c r="DC157" t="str">
        <f t="shared" si="153"/>
        <v>G800</v>
      </c>
      <c r="DD157" t="b">
        <f t="shared" si="167"/>
        <v>0</v>
      </c>
      <c r="DE157" t="str">
        <f t="shared" si="168"/>
        <v>G800</v>
      </c>
      <c r="DF157" t="str">
        <f t="shared" si="154"/>
        <v>R479</v>
      </c>
      <c r="DG157" t="b">
        <f t="shared" si="169"/>
        <v>0</v>
      </c>
      <c r="DH157" t="str">
        <f t="shared" si="170"/>
        <v>R479</v>
      </c>
    </row>
    <row r="158" spans="2:112" ht="12" customHeight="1">
      <c r="B158" t="str">
        <f>TBIDry!H230</f>
        <v>G253</v>
      </c>
      <c r="C158" t="str">
        <f>TBIDry!I230</f>
        <v>R337</v>
      </c>
      <c r="D158" t="b">
        <f t="shared" si="117"/>
        <v>0</v>
      </c>
      <c r="E158" t="b">
        <f t="shared" si="118"/>
        <v>0</v>
      </c>
      <c r="G158" t="str">
        <f>TBIWet!H230</f>
        <v>G859</v>
      </c>
      <c r="H158" t="str">
        <f>TBIWet!I230</f>
        <v>R484</v>
      </c>
      <c r="I158" t="b">
        <f t="shared" si="119"/>
        <v>0</v>
      </c>
      <c r="J158" t="b">
        <f t="shared" si="120"/>
        <v>0</v>
      </c>
      <c r="L158" t="str">
        <f>'Both teabags AfterWet'!A156</f>
        <v>G563</v>
      </c>
      <c r="M158" t="str">
        <f>'Both teabags AfterWet'!A576</f>
        <v>R34</v>
      </c>
      <c r="N158" t="b">
        <f t="shared" si="121"/>
        <v>0</v>
      </c>
      <c r="O158" t="b">
        <f t="shared" si="171"/>
        <v>0</v>
      </c>
      <c r="Q158" s="388" t="b">
        <f t="shared" si="122"/>
        <v>0</v>
      </c>
      <c r="R158" s="388" t="b">
        <f t="shared" si="123"/>
        <v>0</v>
      </c>
      <c r="T158" t="str">
        <f>'Both teabags AfterDry'!A156</f>
        <v>G303</v>
      </c>
      <c r="U158" t="str">
        <f>'Both teabags AfterDry'!A491</f>
        <v>R629</v>
      </c>
      <c r="V158" t="b">
        <f t="shared" si="124"/>
        <v>0</v>
      </c>
      <c r="W158" t="b">
        <f t="shared" si="155"/>
        <v>0</v>
      </c>
      <c r="Y158" t="str">
        <f>'Green_rooibos initial weight'!A159</f>
        <v>G155</v>
      </c>
      <c r="Z158" t="str">
        <f>'Green_rooibos initial weight'!A1063</f>
        <v>R155</v>
      </c>
      <c r="AA158" t="b">
        <f t="shared" si="125"/>
        <v>0</v>
      </c>
      <c r="AB158" t="b">
        <f t="shared" si="126"/>
        <v>0</v>
      </c>
      <c r="AE158" t="str">
        <f>'WetLitterbags placem_collection'!K157</f>
        <v>G859</v>
      </c>
      <c r="AF158" t="str">
        <f>'WetLitterbags placem_collection'!M157</f>
        <v>R484</v>
      </c>
      <c r="AG158" t="b">
        <f t="shared" si="127"/>
        <v>0</v>
      </c>
      <c r="AH158" t="b">
        <f t="shared" si="128"/>
        <v>0</v>
      </c>
      <c r="AJ158" t="b">
        <f t="shared" si="129"/>
        <v>0</v>
      </c>
      <c r="AK158" t="b">
        <f t="shared" si="130"/>
        <v>0</v>
      </c>
      <c r="AM158" t="str">
        <f>IF(ISBLANK('Dry_Litterbag Placem_Collection'!J157),"","G"&amp;""&amp;'Dry_Litterbag Placem_Collection'!J157)</f>
        <v>G253</v>
      </c>
      <c r="AN158" t="str">
        <f>IF(ISBLANK('Dry_Litterbag Placem_Collection'!K157),"","R"&amp;""&amp;'Dry_Litterbag Placem_Collection'!K157)</f>
        <v>R337</v>
      </c>
      <c r="AO158" t="b">
        <f t="shared" si="131"/>
        <v>0</v>
      </c>
      <c r="AP158" t="b">
        <f t="shared" si="132"/>
        <v>0</v>
      </c>
      <c r="AS158" t="str">
        <f>'Ashed teabags dry'!A156</f>
        <v>G303</v>
      </c>
      <c r="AT158" t="str">
        <f>'Ashed teabags dry'!A491</f>
        <v>R629</v>
      </c>
      <c r="AU158" t="b">
        <f t="shared" si="133"/>
        <v>0</v>
      </c>
      <c r="AV158" t="b">
        <f t="shared" si="156"/>
        <v>0</v>
      </c>
      <c r="AX158" s="388" t="b">
        <f t="shared" si="134"/>
        <v>0</v>
      </c>
      <c r="AY158" s="388" t="b">
        <f t="shared" si="135"/>
        <v>0</v>
      </c>
      <c r="BA158" t="str">
        <f>'Ashed teabags wet'!A156</f>
        <v>G563</v>
      </c>
      <c r="BB158" t="str">
        <f>'Ashed teabags wet'!A576</f>
        <v>R34</v>
      </c>
      <c r="BC158" t="b">
        <f t="shared" si="136"/>
        <v>0</v>
      </c>
      <c r="BD158" t="b">
        <f t="shared" si="116"/>
        <v>0</v>
      </c>
      <c r="BF158" t="str">
        <f t="shared" si="137"/>
        <v>G301</v>
      </c>
      <c r="BG158" t="str">
        <f t="shared" si="138"/>
        <v>G301</v>
      </c>
      <c r="BH158" t="str">
        <f t="shared" si="139"/>
        <v>G127</v>
      </c>
      <c r="BI158" t="str">
        <f t="shared" si="157"/>
        <v>G127</v>
      </c>
      <c r="BJ158" t="s">
        <v>1749</v>
      </c>
      <c r="BK158" t="s">
        <v>1749</v>
      </c>
      <c r="BL158" t="s">
        <v>1749</v>
      </c>
      <c r="BM158" t="b">
        <f t="shared" si="158"/>
        <v>1</v>
      </c>
      <c r="BN158" t="str">
        <f t="shared" si="140"/>
        <v>R628</v>
      </c>
      <c r="BO158" t="str">
        <f t="shared" si="141"/>
        <v>R628</v>
      </c>
      <c r="BP158" t="str">
        <f t="shared" si="142"/>
        <v>R836</v>
      </c>
      <c r="BQ158" t="str">
        <f t="shared" si="143"/>
        <v>R836</v>
      </c>
      <c r="BR158" t="s">
        <v>511</v>
      </c>
      <c r="BS158" t="s">
        <v>510</v>
      </c>
      <c r="BT158" t="s">
        <v>511</v>
      </c>
      <c r="BU158" t="b">
        <f t="shared" si="159"/>
        <v>1</v>
      </c>
      <c r="BZ158" t="str">
        <f t="shared" si="144"/>
        <v>G127</v>
      </c>
      <c r="CA158" t="b">
        <f t="shared" si="145"/>
        <v>0</v>
      </c>
      <c r="CB158" t="str">
        <f t="shared" si="160"/>
        <v>G127</v>
      </c>
      <c r="CC158" t="str">
        <f t="shared" si="146"/>
        <v>R836</v>
      </c>
      <c r="CD158" t="b">
        <f t="shared" si="161"/>
        <v>0</v>
      </c>
      <c r="CE158" t="str">
        <f t="shared" si="162"/>
        <v>R836</v>
      </c>
      <c r="CG158" t="str">
        <f t="shared" si="147"/>
        <v>G561</v>
      </c>
      <c r="CH158" t="str">
        <f t="shared" si="163"/>
        <v>G561</v>
      </c>
      <c r="CI158" t="str">
        <f t="shared" si="148"/>
        <v>G675</v>
      </c>
      <c r="CJ158" t="str">
        <f t="shared" si="149"/>
        <v>G675</v>
      </c>
      <c r="CK158" t="s">
        <v>1489</v>
      </c>
      <c r="CL158" t="s">
        <v>1489</v>
      </c>
      <c r="CM158" t="s">
        <v>1489</v>
      </c>
      <c r="CN158" t="b">
        <f t="shared" si="164"/>
        <v>1</v>
      </c>
      <c r="CO158" t="str">
        <f t="shared" si="150"/>
        <v>R339</v>
      </c>
      <c r="CP158" t="str">
        <f t="shared" si="165"/>
        <v>R339</v>
      </c>
      <c r="CQ158" t="str">
        <f t="shared" si="151"/>
        <v>R493</v>
      </c>
      <c r="CR158" t="str">
        <f t="shared" si="152"/>
        <v>R493</v>
      </c>
      <c r="CS158" t="s">
        <v>802</v>
      </c>
      <c r="CT158" t="s">
        <v>802</v>
      </c>
      <c r="CU158" t="s">
        <v>802</v>
      </c>
      <c r="CV158" t="b">
        <f t="shared" si="166"/>
        <v>1</v>
      </c>
      <c r="DC158" t="str">
        <f t="shared" si="153"/>
        <v>G675</v>
      </c>
      <c r="DD158" t="b">
        <f t="shared" si="167"/>
        <v>0</v>
      </c>
      <c r="DE158" t="str">
        <f t="shared" si="168"/>
        <v>G675</v>
      </c>
      <c r="DF158" t="str">
        <f t="shared" si="154"/>
        <v>R493</v>
      </c>
      <c r="DG158" t="b">
        <f t="shared" si="169"/>
        <v>0</v>
      </c>
      <c r="DH158" t="str">
        <f t="shared" si="170"/>
        <v>R493</v>
      </c>
    </row>
    <row r="159" spans="2:112" ht="12" customHeight="1">
      <c r="B159" t="str">
        <f>TBIDry!H231</f>
        <v>G47</v>
      </c>
      <c r="C159" t="str">
        <f>TBIDry!I231</f>
        <v>R118</v>
      </c>
      <c r="D159" t="b">
        <f t="shared" si="117"/>
        <v>0</v>
      </c>
      <c r="E159" t="b">
        <f t="shared" si="118"/>
        <v>0</v>
      </c>
      <c r="G159" t="str">
        <f>TBIWet!H231</f>
        <v>G654</v>
      </c>
      <c r="H159" t="str">
        <f>TBIWet!I231</f>
        <v>R598</v>
      </c>
      <c r="I159" t="b">
        <f t="shared" si="119"/>
        <v>0</v>
      </c>
      <c r="J159" t="b">
        <f t="shared" si="120"/>
        <v>0</v>
      </c>
      <c r="L159" t="str">
        <f>'Both teabags AfterWet'!A157</f>
        <v>G564</v>
      </c>
      <c r="M159" t="str">
        <f>'Both teabags AfterWet'!A577</f>
        <v>R340</v>
      </c>
      <c r="N159" t="b">
        <f t="shared" si="121"/>
        <v>0</v>
      </c>
      <c r="O159" t="b">
        <f t="shared" si="171"/>
        <v>0</v>
      </c>
      <c r="Q159" s="388" t="b">
        <f t="shared" si="122"/>
        <v>0</v>
      </c>
      <c r="R159" s="388" t="b">
        <f t="shared" si="123"/>
        <v>0</v>
      </c>
      <c r="T159" t="str">
        <f>'Both teabags AfterDry'!A157</f>
        <v>G309</v>
      </c>
      <c r="U159" t="str">
        <f>'Both teabags AfterDry'!A492</f>
        <v>R632</v>
      </c>
      <c r="V159" t="b">
        <f t="shared" si="124"/>
        <v>0</v>
      </c>
      <c r="W159" t="b">
        <f t="shared" si="155"/>
        <v>0</v>
      </c>
      <c r="Y159" t="str">
        <f>'Green_rooibos initial weight'!A160</f>
        <v>G156</v>
      </c>
      <c r="Z159" t="str">
        <f>'Green_rooibos initial weight'!A1064</f>
        <v>R156</v>
      </c>
      <c r="AA159" t="b">
        <f t="shared" si="125"/>
        <v>0</v>
      </c>
      <c r="AB159" t="b">
        <f t="shared" si="126"/>
        <v>0</v>
      </c>
      <c r="AE159" t="str">
        <f>'WetLitterbags placem_collection'!K158</f>
        <v>G654</v>
      </c>
      <c r="AF159" t="str">
        <f>'WetLitterbags placem_collection'!M158</f>
        <v>R598</v>
      </c>
      <c r="AG159" t="b">
        <f t="shared" si="127"/>
        <v>0</v>
      </c>
      <c r="AH159" t="b">
        <f t="shared" si="128"/>
        <v>0</v>
      </c>
      <c r="AJ159" t="b">
        <f t="shared" si="129"/>
        <v>0</v>
      </c>
      <c r="AK159" t="b">
        <f t="shared" si="130"/>
        <v>0</v>
      </c>
      <c r="AM159" t="str">
        <f>IF(ISBLANK('Dry_Litterbag Placem_Collection'!J158),"","G"&amp;""&amp;'Dry_Litterbag Placem_Collection'!J158)</f>
        <v>G47</v>
      </c>
      <c r="AN159" t="str">
        <f>IF(ISBLANK('Dry_Litterbag Placem_Collection'!K158),"","R"&amp;""&amp;'Dry_Litterbag Placem_Collection'!K158)</f>
        <v>R118</v>
      </c>
      <c r="AO159" t="b">
        <f t="shared" si="131"/>
        <v>0</v>
      </c>
      <c r="AP159" t="b">
        <f t="shared" si="132"/>
        <v>0</v>
      </c>
      <c r="AS159" t="str">
        <f>'Ashed teabags dry'!A157</f>
        <v>G309</v>
      </c>
      <c r="AT159" t="str">
        <f>'Ashed teabags dry'!A492</f>
        <v>R632</v>
      </c>
      <c r="AU159" t="b">
        <f t="shared" si="133"/>
        <v>0</v>
      </c>
      <c r="AV159" t="b">
        <f t="shared" si="156"/>
        <v>0</v>
      </c>
      <c r="AX159" s="388" t="b">
        <f t="shared" si="134"/>
        <v>0</v>
      </c>
      <c r="AY159" s="388" t="b">
        <f t="shared" si="135"/>
        <v>0</v>
      </c>
      <c r="BA159" t="str">
        <f>'Ashed teabags wet'!A157</f>
        <v>G564</v>
      </c>
      <c r="BB159" t="str">
        <f>'Ashed teabags wet'!A577</f>
        <v>R340</v>
      </c>
      <c r="BC159" t="b">
        <f t="shared" si="136"/>
        <v>0</v>
      </c>
      <c r="BD159" t="b">
        <f t="shared" si="116"/>
        <v>0</v>
      </c>
      <c r="BF159" t="str">
        <f t="shared" si="137"/>
        <v>G303</v>
      </c>
      <c r="BG159" t="str">
        <f t="shared" si="138"/>
        <v>G303</v>
      </c>
      <c r="BH159" t="str">
        <f t="shared" si="139"/>
        <v>G253</v>
      </c>
      <c r="BI159" t="str">
        <f t="shared" si="157"/>
        <v>G253</v>
      </c>
      <c r="BJ159" t="s">
        <v>1747</v>
      </c>
      <c r="BK159" t="s">
        <v>1747</v>
      </c>
      <c r="BL159" t="s">
        <v>1747</v>
      </c>
      <c r="BM159" t="b">
        <f t="shared" si="158"/>
        <v>1</v>
      </c>
      <c r="BN159" t="str">
        <f t="shared" si="140"/>
        <v>R629</v>
      </c>
      <c r="BO159" t="str">
        <f t="shared" si="141"/>
        <v>R629</v>
      </c>
      <c r="BP159" t="str">
        <f t="shared" si="142"/>
        <v>R337</v>
      </c>
      <c r="BQ159" t="str">
        <f t="shared" si="143"/>
        <v>R337</v>
      </c>
      <c r="BR159" t="s">
        <v>510</v>
      </c>
      <c r="BS159" t="s">
        <v>507</v>
      </c>
      <c r="BT159" t="s">
        <v>510</v>
      </c>
      <c r="BU159" t="b">
        <f t="shared" si="159"/>
        <v>1</v>
      </c>
      <c r="BZ159" t="str">
        <f t="shared" si="144"/>
        <v>G253</v>
      </c>
      <c r="CA159" t="b">
        <f t="shared" si="145"/>
        <v>0</v>
      </c>
      <c r="CB159" t="str">
        <f t="shared" si="160"/>
        <v>G253</v>
      </c>
      <c r="CC159" t="str">
        <f t="shared" si="146"/>
        <v>R337</v>
      </c>
      <c r="CD159" t="b">
        <f t="shared" si="161"/>
        <v>0</v>
      </c>
      <c r="CE159" t="str">
        <f t="shared" si="162"/>
        <v>R337</v>
      </c>
      <c r="CG159" t="str">
        <f t="shared" si="147"/>
        <v>G563</v>
      </c>
      <c r="CH159" t="str">
        <f t="shared" si="163"/>
        <v>G563</v>
      </c>
      <c r="CI159" t="str">
        <f t="shared" si="148"/>
        <v>G859</v>
      </c>
      <c r="CJ159" t="str">
        <f t="shared" si="149"/>
        <v>G859</v>
      </c>
      <c r="CK159" t="s">
        <v>1487</v>
      </c>
      <c r="CL159" t="s">
        <v>1487</v>
      </c>
      <c r="CM159" t="s">
        <v>1487</v>
      </c>
      <c r="CN159" t="b">
        <f t="shared" si="164"/>
        <v>1</v>
      </c>
      <c r="CO159" t="str">
        <f t="shared" si="150"/>
        <v>R34</v>
      </c>
      <c r="CP159" t="str">
        <f t="shared" si="165"/>
        <v>R34</v>
      </c>
      <c r="CQ159" t="str">
        <f t="shared" si="151"/>
        <v>R484</v>
      </c>
      <c r="CR159" t="str">
        <f t="shared" si="152"/>
        <v>R484</v>
      </c>
      <c r="CS159" t="s">
        <v>1107</v>
      </c>
      <c r="CT159" t="s">
        <v>1107</v>
      </c>
      <c r="CU159" t="s">
        <v>1107</v>
      </c>
      <c r="CV159" t="b">
        <f t="shared" si="166"/>
        <v>1</v>
      </c>
      <c r="DC159" t="str">
        <f t="shared" si="153"/>
        <v>G859</v>
      </c>
      <c r="DD159" t="b">
        <f t="shared" si="167"/>
        <v>0</v>
      </c>
      <c r="DE159" t="str">
        <f t="shared" si="168"/>
        <v>G859</v>
      </c>
      <c r="DF159" t="str">
        <f t="shared" si="154"/>
        <v>R484</v>
      </c>
      <c r="DG159" t="b">
        <f t="shared" si="169"/>
        <v>0</v>
      </c>
      <c r="DH159" t="str">
        <f t="shared" si="170"/>
        <v>R484</v>
      </c>
    </row>
    <row r="160" spans="2:112" ht="12" customHeight="1">
      <c r="B160" t="str">
        <f>TBIDry!H232</f>
        <v>G328</v>
      </c>
      <c r="C160" t="str">
        <f>TBIDry!I232</f>
        <v>R478</v>
      </c>
      <c r="D160" t="b">
        <f t="shared" si="117"/>
        <v>0</v>
      </c>
      <c r="E160" t="b">
        <f t="shared" si="118"/>
        <v>0</v>
      </c>
      <c r="G160" t="str">
        <f>TBIWet!H232</f>
        <v>G890</v>
      </c>
      <c r="H160" t="str">
        <f>TBIWet!I232</f>
        <v>R30</v>
      </c>
      <c r="I160" t="b">
        <f t="shared" si="119"/>
        <v>0</v>
      </c>
      <c r="J160" t="b">
        <f t="shared" si="120"/>
        <v>0</v>
      </c>
      <c r="L160" t="str">
        <f>'Both teabags AfterWet'!A158</f>
        <v>G565</v>
      </c>
      <c r="M160" t="str">
        <f>'Both teabags AfterWet'!A578</f>
        <v>R341</v>
      </c>
      <c r="N160" t="b">
        <f t="shared" si="121"/>
        <v>0</v>
      </c>
      <c r="O160" t="b">
        <f t="shared" si="171"/>
        <v>0</v>
      </c>
      <c r="Q160" s="388" t="b">
        <f t="shared" si="122"/>
        <v>0</v>
      </c>
      <c r="R160" s="388" t="b">
        <f t="shared" si="123"/>
        <v>0</v>
      </c>
      <c r="T160" t="str">
        <f>'Both teabags AfterDry'!A158</f>
        <v>G312</v>
      </c>
      <c r="U160" t="str">
        <f>'Both teabags AfterDry'!A493</f>
        <v>R633</v>
      </c>
      <c r="V160" t="b">
        <f t="shared" si="124"/>
        <v>0</v>
      </c>
      <c r="W160" t="b">
        <f t="shared" si="155"/>
        <v>0</v>
      </c>
      <c r="Y160" t="str">
        <f>'Green_rooibos initial weight'!A161</f>
        <v>G157</v>
      </c>
      <c r="Z160" t="str">
        <f>'Green_rooibos initial weight'!A1065</f>
        <v>R157</v>
      </c>
      <c r="AA160" t="b">
        <f t="shared" si="125"/>
        <v>0</v>
      </c>
      <c r="AB160" t="b">
        <f t="shared" si="126"/>
        <v>0</v>
      </c>
      <c r="AE160" t="str">
        <f>'WetLitterbags placem_collection'!K159</f>
        <v>G890</v>
      </c>
      <c r="AF160" t="str">
        <f>'WetLitterbags placem_collection'!M159</f>
        <v>R30</v>
      </c>
      <c r="AG160" t="b">
        <f t="shared" si="127"/>
        <v>0</v>
      </c>
      <c r="AH160" t="b">
        <f t="shared" si="128"/>
        <v>0</v>
      </c>
      <c r="AJ160" t="b">
        <f t="shared" si="129"/>
        <v>0</v>
      </c>
      <c r="AK160" t="b">
        <f t="shared" si="130"/>
        <v>0</v>
      </c>
      <c r="AM160" t="str">
        <f>IF(ISBLANK('Dry_Litterbag Placem_Collection'!J159),"","G"&amp;""&amp;'Dry_Litterbag Placem_Collection'!J159)</f>
        <v>G328</v>
      </c>
      <c r="AN160" t="str">
        <f>IF(ISBLANK('Dry_Litterbag Placem_Collection'!K159),"","R"&amp;""&amp;'Dry_Litterbag Placem_Collection'!K159)</f>
        <v>R478</v>
      </c>
      <c r="AO160" t="b">
        <f t="shared" si="131"/>
        <v>0</v>
      </c>
      <c r="AP160" t="b">
        <f t="shared" si="132"/>
        <v>0</v>
      </c>
      <c r="AS160" t="str">
        <f>'Ashed teabags dry'!A158</f>
        <v>G312</v>
      </c>
      <c r="AT160" t="str">
        <f>'Ashed teabags dry'!A493</f>
        <v>R633</v>
      </c>
      <c r="AU160" t="b">
        <f t="shared" si="133"/>
        <v>0</v>
      </c>
      <c r="AV160" t="b">
        <f t="shared" si="156"/>
        <v>0</v>
      </c>
      <c r="AX160" s="388" t="b">
        <f t="shared" si="134"/>
        <v>0</v>
      </c>
      <c r="AY160" s="388" t="b">
        <f t="shared" si="135"/>
        <v>0</v>
      </c>
      <c r="BA160" t="str">
        <f>'Ashed teabags wet'!A158</f>
        <v>G565</v>
      </c>
      <c r="BB160" t="str">
        <f>'Ashed teabags wet'!A578</f>
        <v>R341</v>
      </c>
      <c r="BC160" t="b">
        <f t="shared" si="136"/>
        <v>0</v>
      </c>
      <c r="BD160" t="b">
        <f t="shared" si="116"/>
        <v>0</v>
      </c>
      <c r="BF160" t="str">
        <f t="shared" si="137"/>
        <v>G309</v>
      </c>
      <c r="BG160" t="str">
        <f t="shared" si="138"/>
        <v>G309</v>
      </c>
      <c r="BH160" t="str">
        <f t="shared" si="139"/>
        <v>G47</v>
      </c>
      <c r="BI160" t="str">
        <f t="shared" si="157"/>
        <v>G47</v>
      </c>
      <c r="BJ160" t="s">
        <v>1741</v>
      </c>
      <c r="BK160" t="s">
        <v>1741</v>
      </c>
      <c r="BL160" t="s">
        <v>1741</v>
      </c>
      <c r="BM160" t="b">
        <f t="shared" si="158"/>
        <v>1</v>
      </c>
      <c r="BN160" t="str">
        <f t="shared" si="140"/>
        <v>R632</v>
      </c>
      <c r="BO160" t="str">
        <f t="shared" si="141"/>
        <v>R632</v>
      </c>
      <c r="BP160" t="str">
        <f t="shared" si="142"/>
        <v>R118</v>
      </c>
      <c r="BQ160" t="str">
        <f t="shared" si="143"/>
        <v>R118</v>
      </c>
      <c r="BR160" t="s">
        <v>507</v>
      </c>
      <c r="BS160" t="s">
        <v>506</v>
      </c>
      <c r="BT160" t="s">
        <v>507</v>
      </c>
      <c r="BU160" t="b">
        <f t="shared" si="159"/>
        <v>1</v>
      </c>
      <c r="BZ160" t="str">
        <f t="shared" si="144"/>
        <v>G47</v>
      </c>
      <c r="CA160" t="b">
        <f t="shared" si="145"/>
        <v>0</v>
      </c>
      <c r="CB160" t="str">
        <f t="shared" si="160"/>
        <v>G47</v>
      </c>
      <c r="CC160" t="str">
        <f t="shared" si="146"/>
        <v>R118</v>
      </c>
      <c r="CD160" t="b">
        <f t="shared" si="161"/>
        <v>0</v>
      </c>
      <c r="CE160" t="str">
        <f t="shared" si="162"/>
        <v>R118</v>
      </c>
      <c r="CG160" t="str">
        <f t="shared" si="147"/>
        <v>G564</v>
      </c>
      <c r="CH160" t="str">
        <f t="shared" si="163"/>
        <v>G564</v>
      </c>
      <c r="CI160" t="str">
        <f t="shared" si="148"/>
        <v>G654</v>
      </c>
      <c r="CJ160" t="str">
        <f t="shared" si="149"/>
        <v>G654</v>
      </c>
      <c r="CK160" t="s">
        <v>1486</v>
      </c>
      <c r="CL160" t="s">
        <v>1486</v>
      </c>
      <c r="CM160" t="s">
        <v>1486</v>
      </c>
      <c r="CN160" t="b">
        <f t="shared" si="164"/>
        <v>1</v>
      </c>
      <c r="CO160" t="str">
        <f t="shared" si="150"/>
        <v>R340</v>
      </c>
      <c r="CP160" t="str">
        <f t="shared" si="165"/>
        <v>R340</v>
      </c>
      <c r="CQ160" t="str">
        <f t="shared" si="151"/>
        <v>R598</v>
      </c>
      <c r="CR160" t="str">
        <f t="shared" si="152"/>
        <v>R598</v>
      </c>
      <c r="CS160" t="s">
        <v>801</v>
      </c>
      <c r="CT160" t="s">
        <v>801</v>
      </c>
      <c r="CU160" t="s">
        <v>801</v>
      </c>
      <c r="CV160" t="b">
        <f t="shared" si="166"/>
        <v>1</v>
      </c>
      <c r="DC160" t="str">
        <f t="shared" si="153"/>
        <v>G654</v>
      </c>
      <c r="DD160" t="b">
        <f t="shared" si="167"/>
        <v>0</v>
      </c>
      <c r="DE160" t="str">
        <f t="shared" si="168"/>
        <v>G654</v>
      </c>
      <c r="DF160" t="str">
        <f t="shared" si="154"/>
        <v>R598</v>
      </c>
      <c r="DG160" t="b">
        <f t="shared" si="169"/>
        <v>0</v>
      </c>
      <c r="DH160" t="str">
        <f t="shared" si="170"/>
        <v>R598</v>
      </c>
    </row>
    <row r="161" spans="2:112" ht="12" customHeight="1">
      <c r="B161" t="str">
        <f>TBIDry!H233</f>
        <v>G21</v>
      </c>
      <c r="C161" t="str">
        <f>TBIDry!I233</f>
        <v>R773</v>
      </c>
      <c r="D161" t="b">
        <f t="shared" si="117"/>
        <v>0</v>
      </c>
      <c r="E161" t="b">
        <f t="shared" si="118"/>
        <v>0</v>
      </c>
      <c r="G161" t="str">
        <f>TBIWet!H233</f>
        <v>G576</v>
      </c>
      <c r="H161" t="str">
        <f>TBIWet!I233</f>
        <v>R16</v>
      </c>
      <c r="I161" t="b">
        <f t="shared" si="119"/>
        <v>0</v>
      </c>
      <c r="J161" t="b">
        <f t="shared" si="120"/>
        <v>0</v>
      </c>
      <c r="L161" t="str">
        <f>'Both teabags AfterWet'!A159</f>
        <v>G566</v>
      </c>
      <c r="M161" t="str">
        <f>'Both teabags AfterWet'!A579</f>
        <v>R342</v>
      </c>
      <c r="N161" t="b">
        <f t="shared" si="121"/>
        <v>0</v>
      </c>
      <c r="O161" t="b">
        <f t="shared" si="171"/>
        <v>0</v>
      </c>
      <c r="Q161" s="388" t="b">
        <f t="shared" si="122"/>
        <v>0</v>
      </c>
      <c r="R161" s="388" t="b">
        <f t="shared" si="123"/>
        <v>0</v>
      </c>
      <c r="T161" t="str">
        <f>'Both teabags AfterDry'!A159</f>
        <v>G313</v>
      </c>
      <c r="U161" t="str">
        <f>'Both teabags AfterDry'!A494</f>
        <v>R634</v>
      </c>
      <c r="V161" t="b">
        <f t="shared" si="124"/>
        <v>0</v>
      </c>
      <c r="W161" t="b">
        <f t="shared" si="155"/>
        <v>0</v>
      </c>
      <c r="Y161" t="str">
        <f>'Green_rooibos initial weight'!A162</f>
        <v>G158</v>
      </c>
      <c r="Z161" t="str">
        <f>'Green_rooibos initial weight'!A1066</f>
        <v>R158</v>
      </c>
      <c r="AA161" t="b">
        <f t="shared" si="125"/>
        <v>0</v>
      </c>
      <c r="AB161" t="b">
        <f t="shared" si="126"/>
        <v>0</v>
      </c>
      <c r="AE161" t="str">
        <f>'WetLitterbags placem_collection'!K160</f>
        <v>G576</v>
      </c>
      <c r="AF161" t="str">
        <f>'WetLitterbags placem_collection'!M160</f>
        <v>R16</v>
      </c>
      <c r="AG161" t="b">
        <f t="shared" si="127"/>
        <v>0</v>
      </c>
      <c r="AH161" t="b">
        <f t="shared" si="128"/>
        <v>0</v>
      </c>
      <c r="AJ161" t="b">
        <f t="shared" si="129"/>
        <v>0</v>
      </c>
      <c r="AK161" t="b">
        <f t="shared" si="130"/>
        <v>0</v>
      </c>
      <c r="AM161" t="str">
        <f>IF(ISBLANK('Dry_Litterbag Placem_Collection'!J160),"","G"&amp;""&amp;'Dry_Litterbag Placem_Collection'!J160)</f>
        <v>G21</v>
      </c>
      <c r="AN161" t="str">
        <f>IF(ISBLANK('Dry_Litterbag Placem_Collection'!K160),"","R"&amp;""&amp;'Dry_Litterbag Placem_Collection'!K160)</f>
        <v>R773</v>
      </c>
      <c r="AO161" t="b">
        <f t="shared" si="131"/>
        <v>0</v>
      </c>
      <c r="AP161" t="b">
        <f t="shared" si="132"/>
        <v>0</v>
      </c>
      <c r="AS161" t="str">
        <f>'Ashed teabags dry'!A159</f>
        <v>G313</v>
      </c>
      <c r="AT161" t="str">
        <f>'Ashed teabags dry'!A494</f>
        <v>R634</v>
      </c>
      <c r="AU161" t="b">
        <f t="shared" si="133"/>
        <v>0</v>
      </c>
      <c r="AV161" t="b">
        <f t="shared" si="156"/>
        <v>0</v>
      </c>
      <c r="AX161" s="388" t="b">
        <f t="shared" si="134"/>
        <v>0</v>
      </c>
      <c r="AY161" s="388" t="b">
        <f t="shared" si="135"/>
        <v>0</v>
      </c>
      <c r="BA161" t="str">
        <f>'Ashed teabags wet'!A159</f>
        <v>G566</v>
      </c>
      <c r="BB161" t="str">
        <f>'Ashed teabags wet'!A579</f>
        <v>R342</v>
      </c>
      <c r="BC161" t="b">
        <f t="shared" si="136"/>
        <v>0</v>
      </c>
      <c r="BD161" t="b">
        <f t="shared" si="116"/>
        <v>0</v>
      </c>
      <c r="BF161" t="str">
        <f t="shared" si="137"/>
        <v>G312</v>
      </c>
      <c r="BG161" t="str">
        <f t="shared" si="138"/>
        <v>G312</v>
      </c>
      <c r="BH161" t="str">
        <f t="shared" si="139"/>
        <v>G328</v>
      </c>
      <c r="BI161" t="str">
        <f t="shared" si="157"/>
        <v/>
      </c>
      <c r="BJ161" t="s">
        <v>1738</v>
      </c>
      <c r="BK161" t="s">
        <v>1738</v>
      </c>
      <c r="BL161" t="s">
        <v>1738</v>
      </c>
      <c r="BM161" t="b">
        <f t="shared" si="158"/>
        <v>1</v>
      </c>
      <c r="BN161" t="str">
        <f t="shared" si="140"/>
        <v>R633</v>
      </c>
      <c r="BO161" t="str">
        <f t="shared" si="141"/>
        <v>R633</v>
      </c>
      <c r="BP161" t="str">
        <f t="shared" si="142"/>
        <v>R478</v>
      </c>
      <c r="BQ161" t="str">
        <f t="shared" si="143"/>
        <v/>
      </c>
      <c r="BR161" t="s">
        <v>506</v>
      </c>
      <c r="BS161" t="s">
        <v>505</v>
      </c>
      <c r="BT161" t="s">
        <v>506</v>
      </c>
      <c r="BU161" t="b">
        <f t="shared" si="159"/>
        <v>1</v>
      </c>
      <c r="BZ161" t="str">
        <f t="shared" si="144"/>
        <v>G328</v>
      </c>
      <c r="CA161" t="b">
        <f t="shared" si="145"/>
        <v>1</v>
      </c>
      <c r="CB161" t="str">
        <f t="shared" si="160"/>
        <v/>
      </c>
      <c r="CC161" t="str">
        <f t="shared" si="146"/>
        <v>R478</v>
      </c>
      <c r="CD161" t="b">
        <f t="shared" si="161"/>
        <v>1</v>
      </c>
      <c r="CE161" t="str">
        <f t="shared" si="162"/>
        <v/>
      </c>
      <c r="CG161" t="str">
        <f t="shared" si="147"/>
        <v>G565</v>
      </c>
      <c r="CH161" t="str">
        <f t="shared" si="163"/>
        <v>G565</v>
      </c>
      <c r="CI161" t="str">
        <f t="shared" si="148"/>
        <v>G890</v>
      </c>
      <c r="CJ161" t="str">
        <f t="shared" si="149"/>
        <v>G890</v>
      </c>
      <c r="CK161" t="s">
        <v>1485</v>
      </c>
      <c r="CL161" t="s">
        <v>1485</v>
      </c>
      <c r="CM161" t="s">
        <v>1485</v>
      </c>
      <c r="CN161" t="b">
        <f t="shared" si="164"/>
        <v>1</v>
      </c>
      <c r="CO161" t="str">
        <f t="shared" si="150"/>
        <v>R341</v>
      </c>
      <c r="CP161" t="str">
        <f t="shared" si="165"/>
        <v>R341</v>
      </c>
      <c r="CQ161" t="str">
        <f t="shared" si="151"/>
        <v>R30</v>
      </c>
      <c r="CR161" t="str">
        <f t="shared" si="152"/>
        <v>R30</v>
      </c>
      <c r="CS161" t="s">
        <v>800</v>
      </c>
      <c r="CT161" t="s">
        <v>800</v>
      </c>
      <c r="CU161" t="s">
        <v>800</v>
      </c>
      <c r="CV161" t="b">
        <f t="shared" si="166"/>
        <v>1</v>
      </c>
      <c r="DC161" t="str">
        <f t="shared" si="153"/>
        <v>G890</v>
      </c>
      <c r="DD161" t="b">
        <f t="shared" si="167"/>
        <v>0</v>
      </c>
      <c r="DE161" t="str">
        <f t="shared" si="168"/>
        <v>G890</v>
      </c>
      <c r="DF161" t="str">
        <f t="shared" si="154"/>
        <v>R30</v>
      </c>
      <c r="DG161" t="b">
        <f t="shared" si="169"/>
        <v>0</v>
      </c>
      <c r="DH161" t="str">
        <f t="shared" si="170"/>
        <v>R30</v>
      </c>
    </row>
    <row r="162" spans="2:112" ht="12" customHeight="1">
      <c r="B162" t="str">
        <f>TBIDry!H234</f>
        <v/>
      </c>
      <c r="C162" t="str">
        <f>TBIDry!I234</f>
        <v/>
      </c>
      <c r="D162" t="b">
        <f t="shared" si="117"/>
        <v>1</v>
      </c>
      <c r="E162" t="b">
        <f t="shared" si="118"/>
        <v>1</v>
      </c>
      <c r="G162" t="str">
        <f>TBIWet!H234</f>
        <v>G829</v>
      </c>
      <c r="H162" t="str">
        <f>TBIWet!I234</f>
        <v>R499</v>
      </c>
      <c r="I162" t="b">
        <f t="shared" si="119"/>
        <v>0</v>
      </c>
      <c r="J162" t="b">
        <f t="shared" si="120"/>
        <v>0</v>
      </c>
      <c r="L162" t="str">
        <f>'Both teabags AfterWet'!A160</f>
        <v>G567</v>
      </c>
      <c r="M162" t="str">
        <f>'Both teabags AfterWet'!A580</f>
        <v>R343</v>
      </c>
      <c r="N162" t="b">
        <f t="shared" si="121"/>
        <v>0</v>
      </c>
      <c r="O162" t="b">
        <f t="shared" si="171"/>
        <v>0</v>
      </c>
      <c r="Q162" s="388" t="b">
        <f t="shared" si="122"/>
        <v>0</v>
      </c>
      <c r="R162" s="388" t="b">
        <f t="shared" si="123"/>
        <v>0</v>
      </c>
      <c r="T162" t="str">
        <f>'Both teabags AfterDry'!A160</f>
        <v>G314</v>
      </c>
      <c r="U162" t="str">
        <f>'Both teabags AfterDry'!A495</f>
        <v>R635</v>
      </c>
      <c r="V162" t="b">
        <f t="shared" si="124"/>
        <v>0</v>
      </c>
      <c r="W162" t="b">
        <f t="shared" si="155"/>
        <v>0</v>
      </c>
      <c r="Y162" t="str">
        <f>'Green_rooibos initial weight'!A163</f>
        <v>G159</v>
      </c>
      <c r="Z162" t="str">
        <f>'Green_rooibos initial weight'!A1067</f>
        <v>R159</v>
      </c>
      <c r="AA162" t="b">
        <f t="shared" si="125"/>
        <v>0</v>
      </c>
      <c r="AB162" t="b">
        <f t="shared" si="126"/>
        <v>0</v>
      </c>
      <c r="AE162" t="str">
        <f>'WetLitterbags placem_collection'!K161</f>
        <v>G829</v>
      </c>
      <c r="AF162" t="str">
        <f>'WetLitterbags placem_collection'!M161</f>
        <v>R499</v>
      </c>
      <c r="AG162" t="b">
        <f t="shared" si="127"/>
        <v>0</v>
      </c>
      <c r="AH162" t="b">
        <f t="shared" si="128"/>
        <v>0</v>
      </c>
      <c r="AJ162" t="b">
        <f t="shared" si="129"/>
        <v>0</v>
      </c>
      <c r="AK162" t="b">
        <f t="shared" si="130"/>
        <v>0</v>
      </c>
      <c r="AM162" t="str">
        <f>IF(ISBLANK('Dry_Litterbag Placem_Collection'!J161),"","G"&amp;""&amp;'Dry_Litterbag Placem_Collection'!J161)</f>
        <v/>
      </c>
      <c r="AN162" t="str">
        <f>IF(ISBLANK('Dry_Litterbag Placem_Collection'!K161),"","R"&amp;""&amp;'Dry_Litterbag Placem_Collection'!K161)</f>
        <v/>
      </c>
      <c r="AO162" t="b">
        <f t="shared" si="131"/>
        <v>1</v>
      </c>
      <c r="AP162" t="b">
        <f t="shared" si="132"/>
        <v>1</v>
      </c>
      <c r="AS162" t="str">
        <f>'Ashed teabags dry'!A160</f>
        <v>G314</v>
      </c>
      <c r="AT162" t="str">
        <f>'Ashed teabags dry'!A495</f>
        <v>R635</v>
      </c>
      <c r="AU162" t="b">
        <f t="shared" si="133"/>
        <v>0</v>
      </c>
      <c r="AV162" t="b">
        <f t="shared" si="156"/>
        <v>0</v>
      </c>
      <c r="AX162" s="388" t="b">
        <f t="shared" si="134"/>
        <v>0</v>
      </c>
      <c r="AY162" s="388" t="b">
        <f t="shared" si="135"/>
        <v>0</v>
      </c>
      <c r="BA162" t="str">
        <f>'Ashed teabags wet'!A160</f>
        <v>G567</v>
      </c>
      <c r="BB162" t="str">
        <f>'Ashed teabags wet'!A580</f>
        <v>R343</v>
      </c>
      <c r="BC162" t="b">
        <f t="shared" si="136"/>
        <v>0</v>
      </c>
      <c r="BD162" t="b">
        <f t="shared" si="116"/>
        <v>0</v>
      </c>
      <c r="BF162" t="str">
        <f t="shared" si="137"/>
        <v>G313</v>
      </c>
      <c r="BG162" t="str">
        <f t="shared" si="138"/>
        <v>G313</v>
      </c>
      <c r="BH162" t="str">
        <f t="shared" si="139"/>
        <v>G21</v>
      </c>
      <c r="BI162" t="str">
        <f t="shared" si="157"/>
        <v>G21</v>
      </c>
      <c r="BJ162" t="s">
        <v>1737</v>
      </c>
      <c r="BK162" t="s">
        <v>1737</v>
      </c>
      <c r="BL162" t="s">
        <v>1737</v>
      </c>
      <c r="BM162" t="b">
        <f t="shared" si="158"/>
        <v>1</v>
      </c>
      <c r="BN162" t="str">
        <f t="shared" si="140"/>
        <v>R634</v>
      </c>
      <c r="BO162" t="str">
        <f t="shared" si="141"/>
        <v>R634</v>
      </c>
      <c r="BP162" t="str">
        <f t="shared" si="142"/>
        <v>R773</v>
      </c>
      <c r="BQ162" t="str">
        <f t="shared" si="143"/>
        <v>R773</v>
      </c>
      <c r="BR162" t="s">
        <v>505</v>
      </c>
      <c r="BS162" t="s">
        <v>504</v>
      </c>
      <c r="BT162" t="s">
        <v>505</v>
      </c>
      <c r="BU162" t="b">
        <f t="shared" si="159"/>
        <v>1</v>
      </c>
      <c r="BZ162" t="str">
        <f t="shared" si="144"/>
        <v>G21</v>
      </c>
      <c r="CA162" t="b">
        <f t="shared" si="145"/>
        <v>0</v>
      </c>
      <c r="CB162" t="str">
        <f t="shared" si="160"/>
        <v>G21</v>
      </c>
      <c r="CC162" t="str">
        <f t="shared" si="146"/>
        <v>R773</v>
      </c>
      <c r="CD162" t="b">
        <f t="shared" si="161"/>
        <v>0</v>
      </c>
      <c r="CE162" t="str">
        <f t="shared" si="162"/>
        <v>R773</v>
      </c>
      <c r="CG162" t="str">
        <f t="shared" si="147"/>
        <v>G566</v>
      </c>
      <c r="CH162" t="str">
        <f t="shared" si="163"/>
        <v>G566</v>
      </c>
      <c r="CI162" t="str">
        <f t="shared" si="148"/>
        <v>G576</v>
      </c>
      <c r="CJ162" t="str">
        <f t="shared" si="149"/>
        <v>G576</v>
      </c>
      <c r="CK162" t="s">
        <v>1484</v>
      </c>
      <c r="CL162" t="s">
        <v>1484</v>
      </c>
      <c r="CM162" t="s">
        <v>1484</v>
      </c>
      <c r="CN162" t="b">
        <f t="shared" si="164"/>
        <v>1</v>
      </c>
      <c r="CO162" t="str">
        <f t="shared" si="150"/>
        <v>R342</v>
      </c>
      <c r="CP162" t="str">
        <f t="shared" si="165"/>
        <v>R342</v>
      </c>
      <c r="CQ162" t="str">
        <f t="shared" si="151"/>
        <v>R16</v>
      </c>
      <c r="CR162" t="str">
        <f t="shared" si="152"/>
        <v>R16</v>
      </c>
      <c r="CS162" t="s">
        <v>799</v>
      </c>
      <c r="CT162" t="s">
        <v>799</v>
      </c>
      <c r="CU162" t="s">
        <v>799</v>
      </c>
      <c r="CV162" t="b">
        <f t="shared" si="166"/>
        <v>1</v>
      </c>
      <c r="DC162" t="str">
        <f t="shared" si="153"/>
        <v>G576</v>
      </c>
      <c r="DD162" t="b">
        <f t="shared" si="167"/>
        <v>0</v>
      </c>
      <c r="DE162" t="str">
        <f t="shared" si="168"/>
        <v>G576</v>
      </c>
      <c r="DF162" t="str">
        <f t="shared" si="154"/>
        <v>R16</v>
      </c>
      <c r="DG162" t="b">
        <f t="shared" si="169"/>
        <v>0</v>
      </c>
      <c r="DH162" t="str">
        <f t="shared" si="170"/>
        <v>R16</v>
      </c>
    </row>
    <row r="163" spans="2:112" ht="12" customHeight="1">
      <c r="B163" t="str">
        <f>TBIDry!H235</f>
        <v>G482</v>
      </c>
      <c r="C163" t="str">
        <f>TBIDry!I235</f>
        <v>R401</v>
      </c>
      <c r="D163" t="b">
        <f t="shared" si="117"/>
        <v>0</v>
      </c>
      <c r="E163" t="b">
        <f t="shared" si="118"/>
        <v>0</v>
      </c>
      <c r="G163" t="str">
        <f>TBIWet!H235</f>
        <v>G809</v>
      </c>
      <c r="H163" t="str">
        <f>TBIWet!I235</f>
        <v>R421</v>
      </c>
      <c r="I163" t="b">
        <f t="shared" si="119"/>
        <v>0</v>
      </c>
      <c r="J163" t="b">
        <f t="shared" si="120"/>
        <v>0</v>
      </c>
      <c r="L163" t="str">
        <f>'Both teabags AfterWet'!A161</f>
        <v>G568</v>
      </c>
      <c r="M163" t="str">
        <f>'Both teabags AfterWet'!A581</f>
        <v>R344</v>
      </c>
      <c r="N163" t="b">
        <f t="shared" si="121"/>
        <v>0</v>
      </c>
      <c r="O163" t="b">
        <f t="shared" si="171"/>
        <v>0</v>
      </c>
      <c r="Q163" s="388" t="b">
        <f t="shared" si="122"/>
        <v>0</v>
      </c>
      <c r="R163" s="388" t="b">
        <f t="shared" si="123"/>
        <v>0</v>
      </c>
      <c r="T163" t="str">
        <f>'Both teabags AfterDry'!A161</f>
        <v>G315</v>
      </c>
      <c r="U163" t="str">
        <f>'Both teabags AfterDry'!A496</f>
        <v>R636</v>
      </c>
      <c r="V163" t="b">
        <f t="shared" si="124"/>
        <v>0</v>
      </c>
      <c r="W163" t="b">
        <f t="shared" si="155"/>
        <v>0</v>
      </c>
      <c r="Y163" t="str">
        <f>'Green_rooibos initial weight'!A164</f>
        <v>G160</v>
      </c>
      <c r="Z163" t="str">
        <f>'Green_rooibos initial weight'!A1068</f>
        <v>R160</v>
      </c>
      <c r="AA163" t="b">
        <f t="shared" si="125"/>
        <v>0</v>
      </c>
      <c r="AB163" t="b">
        <f t="shared" si="126"/>
        <v>0</v>
      </c>
      <c r="AE163" t="str">
        <f>'WetLitterbags placem_collection'!K162</f>
        <v>G809</v>
      </c>
      <c r="AF163" t="str">
        <f>'WetLitterbags placem_collection'!M162</f>
        <v>R421</v>
      </c>
      <c r="AG163" t="b">
        <f t="shared" si="127"/>
        <v>0</v>
      </c>
      <c r="AH163" t="b">
        <f t="shared" si="128"/>
        <v>0</v>
      </c>
      <c r="AJ163" t="b">
        <f t="shared" si="129"/>
        <v>0</v>
      </c>
      <c r="AK163" t="b">
        <f t="shared" si="130"/>
        <v>0</v>
      </c>
      <c r="AM163" t="str">
        <f>IF(ISBLANK('Dry_Litterbag Placem_Collection'!J162),"","G"&amp;""&amp;'Dry_Litterbag Placem_Collection'!J162)</f>
        <v>G482</v>
      </c>
      <c r="AN163" t="str">
        <f>IF(ISBLANK('Dry_Litterbag Placem_Collection'!K162),"","R"&amp;""&amp;'Dry_Litterbag Placem_Collection'!K162)</f>
        <v>R401</v>
      </c>
      <c r="AO163" t="b">
        <f t="shared" si="131"/>
        <v>0</v>
      </c>
      <c r="AP163" t="b">
        <f t="shared" si="132"/>
        <v>0</v>
      </c>
      <c r="AS163" t="str">
        <f>'Ashed teabags dry'!A161</f>
        <v>G315</v>
      </c>
      <c r="AT163" t="str">
        <f>'Ashed teabags dry'!A496</f>
        <v>R636</v>
      </c>
      <c r="AU163" t="b">
        <f t="shared" si="133"/>
        <v>0</v>
      </c>
      <c r="AV163" t="b">
        <f t="shared" si="156"/>
        <v>0</v>
      </c>
      <c r="AX163" s="388" t="b">
        <f t="shared" si="134"/>
        <v>0</v>
      </c>
      <c r="AY163" s="388" t="b">
        <f t="shared" si="135"/>
        <v>0</v>
      </c>
      <c r="BA163" t="str">
        <f>'Ashed teabags wet'!A161</f>
        <v>G568</v>
      </c>
      <c r="BB163" t="str">
        <f>'Ashed teabags wet'!A581</f>
        <v>R344</v>
      </c>
      <c r="BC163" t="b">
        <f t="shared" si="136"/>
        <v>0</v>
      </c>
      <c r="BD163" t="b">
        <f t="shared" si="116"/>
        <v>0</v>
      </c>
      <c r="BF163" t="str">
        <f t="shared" si="137"/>
        <v>G314</v>
      </c>
      <c r="BG163" t="str">
        <f t="shared" si="138"/>
        <v>G314</v>
      </c>
      <c r="BH163" t="str">
        <f t="shared" si="139"/>
        <v/>
      </c>
      <c r="BI163" t="str">
        <f t="shared" si="157"/>
        <v/>
      </c>
      <c r="BJ163" t="s">
        <v>1736</v>
      </c>
      <c r="BK163" t="s">
        <v>1736</v>
      </c>
      <c r="BL163" t="s">
        <v>1736</v>
      </c>
      <c r="BM163" t="b">
        <f t="shared" si="158"/>
        <v>1</v>
      </c>
      <c r="BN163" t="str">
        <f t="shared" si="140"/>
        <v>R635</v>
      </c>
      <c r="BO163" t="str">
        <f t="shared" si="141"/>
        <v>R635</v>
      </c>
      <c r="BP163" t="str">
        <f t="shared" si="142"/>
        <v/>
      </c>
      <c r="BQ163" t="str">
        <f t="shared" si="143"/>
        <v/>
      </c>
      <c r="BR163" t="s">
        <v>504</v>
      </c>
      <c r="BS163" t="s">
        <v>503</v>
      </c>
      <c r="BT163" t="s">
        <v>504</v>
      </c>
      <c r="BU163" t="b">
        <f t="shared" si="159"/>
        <v>1</v>
      </c>
      <c r="BZ163" t="str">
        <f t="shared" si="144"/>
        <v/>
      </c>
      <c r="CA163" t="b">
        <f t="shared" si="145"/>
        <v>0</v>
      </c>
      <c r="CB163" t="str">
        <f t="shared" si="160"/>
        <v/>
      </c>
      <c r="CC163" t="str">
        <f t="shared" si="146"/>
        <v/>
      </c>
      <c r="CD163" t="b">
        <f t="shared" si="161"/>
        <v>0</v>
      </c>
      <c r="CE163" t="str">
        <f t="shared" si="162"/>
        <v/>
      </c>
      <c r="CG163" t="str">
        <f t="shared" si="147"/>
        <v>G567</v>
      </c>
      <c r="CH163" t="str">
        <f t="shared" si="163"/>
        <v>G567</v>
      </c>
      <c r="CI163" t="str">
        <f t="shared" si="148"/>
        <v>G829</v>
      </c>
      <c r="CJ163" t="str">
        <f t="shared" si="149"/>
        <v/>
      </c>
      <c r="CK163" t="s">
        <v>1483</v>
      </c>
      <c r="CL163" t="s">
        <v>1483</v>
      </c>
      <c r="CM163" t="s">
        <v>1483</v>
      </c>
      <c r="CN163" t="b">
        <f t="shared" si="164"/>
        <v>1</v>
      </c>
      <c r="CO163" t="str">
        <f t="shared" si="150"/>
        <v>R343</v>
      </c>
      <c r="CP163" t="str">
        <f t="shared" si="165"/>
        <v>R343</v>
      </c>
      <c r="CQ163" t="str">
        <f t="shared" si="151"/>
        <v>R499</v>
      </c>
      <c r="CR163" t="str">
        <f t="shared" si="152"/>
        <v/>
      </c>
      <c r="CS163" t="s">
        <v>798</v>
      </c>
      <c r="CT163" t="s">
        <v>798</v>
      </c>
      <c r="CU163" t="s">
        <v>798</v>
      </c>
      <c r="CV163" t="b">
        <f t="shared" si="166"/>
        <v>1</v>
      </c>
      <c r="DC163" t="str">
        <f t="shared" si="153"/>
        <v>G829</v>
      </c>
      <c r="DD163" t="b">
        <f t="shared" si="167"/>
        <v>1</v>
      </c>
      <c r="DE163" t="str">
        <f t="shared" si="168"/>
        <v/>
      </c>
      <c r="DF163" t="str">
        <f t="shared" si="154"/>
        <v>R499</v>
      </c>
      <c r="DG163" t="b">
        <f t="shared" si="169"/>
        <v>1</v>
      </c>
      <c r="DH163" t="str">
        <f t="shared" si="170"/>
        <v/>
      </c>
    </row>
    <row r="164" spans="2:112" ht="12" customHeight="1">
      <c r="B164" t="str">
        <f>TBIDry!H236</f>
        <v>G51</v>
      </c>
      <c r="C164" t="str">
        <f>TBIDry!I236</f>
        <v>R673</v>
      </c>
      <c r="D164" t="b">
        <f t="shared" si="117"/>
        <v>0</v>
      </c>
      <c r="E164" t="b">
        <f t="shared" si="118"/>
        <v>0</v>
      </c>
      <c r="G164" t="str">
        <f>TBIWet!H236</f>
        <v>G352</v>
      </c>
      <c r="H164" t="str">
        <f>TBIWet!I236</f>
        <v>R124</v>
      </c>
      <c r="I164" t="b">
        <f t="shared" si="119"/>
        <v>0</v>
      </c>
      <c r="J164" t="b">
        <f t="shared" si="120"/>
        <v>0</v>
      </c>
      <c r="L164" t="str">
        <f>'Both teabags AfterWet'!A162</f>
        <v>G569</v>
      </c>
      <c r="M164" t="str">
        <f>'Both teabags AfterWet'!A582</f>
        <v>R346</v>
      </c>
      <c r="N164" t="b">
        <f t="shared" si="121"/>
        <v>0</v>
      </c>
      <c r="O164" t="b">
        <f t="shared" si="171"/>
        <v>0</v>
      </c>
      <c r="Q164" s="388" t="b">
        <f t="shared" si="122"/>
        <v>0</v>
      </c>
      <c r="R164" s="388" t="b">
        <f t="shared" si="123"/>
        <v>0</v>
      </c>
      <c r="T164" t="str">
        <f>'Both teabags AfterDry'!A162</f>
        <v>G316</v>
      </c>
      <c r="U164" t="str">
        <f>'Both teabags AfterDry'!A497</f>
        <v>R637</v>
      </c>
      <c r="V164" t="b">
        <f t="shared" si="124"/>
        <v>0</v>
      </c>
      <c r="W164" t="b">
        <f t="shared" si="155"/>
        <v>0</v>
      </c>
      <c r="Y164" t="str">
        <f>'Green_rooibos initial weight'!A165</f>
        <v>G161</v>
      </c>
      <c r="Z164" t="str">
        <f>'Green_rooibos initial weight'!A1069</f>
        <v>R161</v>
      </c>
      <c r="AA164" t="b">
        <f t="shared" si="125"/>
        <v>0</v>
      </c>
      <c r="AB164" t="b">
        <f t="shared" si="126"/>
        <v>0</v>
      </c>
      <c r="AE164" t="str">
        <f>'WetLitterbags placem_collection'!K163</f>
        <v>G352</v>
      </c>
      <c r="AF164" t="str">
        <f>'WetLitterbags placem_collection'!M163</f>
        <v>R124</v>
      </c>
      <c r="AG164" t="b">
        <f t="shared" si="127"/>
        <v>0</v>
      </c>
      <c r="AH164" t="b">
        <f t="shared" si="128"/>
        <v>0</v>
      </c>
      <c r="AJ164" t="b">
        <f t="shared" si="129"/>
        <v>0</v>
      </c>
      <c r="AK164" t="b">
        <f t="shared" si="130"/>
        <v>0</v>
      </c>
      <c r="AM164" t="str">
        <f>IF(ISBLANK('Dry_Litterbag Placem_Collection'!J163),"","G"&amp;""&amp;'Dry_Litterbag Placem_Collection'!J163)</f>
        <v>G51</v>
      </c>
      <c r="AN164" t="str">
        <f>IF(ISBLANK('Dry_Litterbag Placem_Collection'!K163),"","R"&amp;""&amp;'Dry_Litterbag Placem_Collection'!K163)</f>
        <v>R673</v>
      </c>
      <c r="AO164" t="b">
        <f t="shared" si="131"/>
        <v>0</v>
      </c>
      <c r="AP164" t="b">
        <f t="shared" si="132"/>
        <v>0</v>
      </c>
      <c r="AS164" t="str">
        <f>'Ashed teabags dry'!A162</f>
        <v>G316</v>
      </c>
      <c r="AT164" t="str">
        <f>'Ashed teabags dry'!A497</f>
        <v>R637</v>
      </c>
      <c r="AU164" t="b">
        <f t="shared" si="133"/>
        <v>0</v>
      </c>
      <c r="AV164" t="b">
        <f t="shared" si="156"/>
        <v>0</v>
      </c>
      <c r="AX164" s="388" t="b">
        <f t="shared" si="134"/>
        <v>0</v>
      </c>
      <c r="AY164" s="388" t="b">
        <f t="shared" si="135"/>
        <v>0</v>
      </c>
      <c r="BA164" t="str">
        <f>'Ashed teabags wet'!A162</f>
        <v>G569</v>
      </c>
      <c r="BB164" t="str">
        <f>'Ashed teabags wet'!A582</f>
        <v>R346</v>
      </c>
      <c r="BC164" t="b">
        <f t="shared" si="136"/>
        <v>0</v>
      </c>
      <c r="BD164" t="b">
        <f t="shared" si="116"/>
        <v>0</v>
      </c>
      <c r="BF164" t="str">
        <f t="shared" si="137"/>
        <v>G315</v>
      </c>
      <c r="BG164" t="str">
        <f t="shared" si="138"/>
        <v>G315</v>
      </c>
      <c r="BH164" t="str">
        <f t="shared" si="139"/>
        <v>G482</v>
      </c>
      <c r="BI164" t="str">
        <f t="shared" si="157"/>
        <v>G482</v>
      </c>
      <c r="BJ164" t="s">
        <v>1735</v>
      </c>
      <c r="BK164" t="s">
        <v>1735</v>
      </c>
      <c r="BL164" t="s">
        <v>1735</v>
      </c>
      <c r="BM164" t="b">
        <f t="shared" si="158"/>
        <v>1</v>
      </c>
      <c r="BN164" t="str">
        <f t="shared" si="140"/>
        <v>R636</v>
      </c>
      <c r="BO164" t="str">
        <f t="shared" si="141"/>
        <v>R636</v>
      </c>
      <c r="BP164" t="str">
        <f t="shared" si="142"/>
        <v>R401</v>
      </c>
      <c r="BQ164" t="str">
        <f t="shared" si="143"/>
        <v>R401</v>
      </c>
      <c r="BR164" t="s">
        <v>503</v>
      </c>
      <c r="BS164" t="s">
        <v>502</v>
      </c>
      <c r="BT164" t="s">
        <v>503</v>
      </c>
      <c r="BU164" t="b">
        <f t="shared" si="159"/>
        <v>1</v>
      </c>
      <c r="BZ164" t="str">
        <f t="shared" si="144"/>
        <v>G482</v>
      </c>
      <c r="CA164" t="b">
        <f t="shared" si="145"/>
        <v>0</v>
      </c>
      <c r="CB164" t="str">
        <f t="shared" si="160"/>
        <v>G482</v>
      </c>
      <c r="CC164" t="str">
        <f t="shared" si="146"/>
        <v>R401</v>
      </c>
      <c r="CD164" t="b">
        <f t="shared" si="161"/>
        <v>0</v>
      </c>
      <c r="CE164" t="str">
        <f t="shared" si="162"/>
        <v>R401</v>
      </c>
      <c r="CG164" t="str">
        <f t="shared" si="147"/>
        <v>G568</v>
      </c>
      <c r="CH164" t="str">
        <f t="shared" si="163"/>
        <v>G568</v>
      </c>
      <c r="CI164" t="str">
        <f t="shared" si="148"/>
        <v>G809</v>
      </c>
      <c r="CJ164" t="str">
        <f t="shared" si="149"/>
        <v>G809</v>
      </c>
      <c r="CK164" t="s">
        <v>1482</v>
      </c>
      <c r="CL164" t="s">
        <v>1482</v>
      </c>
      <c r="CM164" t="s">
        <v>1482</v>
      </c>
      <c r="CN164" t="b">
        <f t="shared" si="164"/>
        <v>1</v>
      </c>
      <c r="CO164" t="str">
        <f t="shared" si="150"/>
        <v>R344</v>
      </c>
      <c r="CP164" t="str">
        <f t="shared" si="165"/>
        <v>R344</v>
      </c>
      <c r="CQ164" t="str">
        <f t="shared" si="151"/>
        <v>R421</v>
      </c>
      <c r="CR164" t="str">
        <f t="shared" si="152"/>
        <v>R421</v>
      </c>
      <c r="CS164" t="s">
        <v>797</v>
      </c>
      <c r="CT164" t="s">
        <v>797</v>
      </c>
      <c r="CU164" t="s">
        <v>797</v>
      </c>
      <c r="CV164" t="b">
        <f t="shared" si="166"/>
        <v>1</v>
      </c>
      <c r="DC164" t="str">
        <f t="shared" si="153"/>
        <v>G809</v>
      </c>
      <c r="DD164" t="b">
        <f t="shared" si="167"/>
        <v>0</v>
      </c>
      <c r="DE164" t="str">
        <f t="shared" si="168"/>
        <v>G809</v>
      </c>
      <c r="DF164" t="str">
        <f t="shared" si="154"/>
        <v>R421</v>
      </c>
      <c r="DG164" t="b">
        <f t="shared" si="169"/>
        <v>0</v>
      </c>
      <c r="DH164" t="str">
        <f t="shared" si="170"/>
        <v>R421</v>
      </c>
    </row>
    <row r="165" spans="2:112" ht="12" customHeight="1">
      <c r="B165" t="str">
        <f>TBIDry!H237</f>
        <v>G238</v>
      </c>
      <c r="C165" t="str">
        <f>TBIDry!I237</f>
        <v>R814</v>
      </c>
      <c r="D165" t="b">
        <f t="shared" si="117"/>
        <v>0</v>
      </c>
      <c r="E165" t="b">
        <f t="shared" si="118"/>
        <v>0</v>
      </c>
      <c r="G165" t="str">
        <f>TBIWet!H237</f>
        <v>G385</v>
      </c>
      <c r="H165" t="str">
        <f>TBIWet!I237</f>
        <v>R202</v>
      </c>
      <c r="I165" t="b">
        <f t="shared" si="119"/>
        <v>0</v>
      </c>
      <c r="J165" t="b">
        <f t="shared" si="120"/>
        <v>0</v>
      </c>
      <c r="L165" t="str">
        <f>'Both teabags AfterWet'!A163</f>
        <v>G571</v>
      </c>
      <c r="M165" t="str">
        <f>'Both teabags AfterWet'!A583</f>
        <v>R349</v>
      </c>
      <c r="N165" t="b">
        <f t="shared" si="121"/>
        <v>0</v>
      </c>
      <c r="O165" t="b">
        <f t="shared" si="171"/>
        <v>0</v>
      </c>
      <c r="Q165" s="388" t="b">
        <f t="shared" si="122"/>
        <v>0</v>
      </c>
      <c r="R165" s="388" t="b">
        <f t="shared" si="123"/>
        <v>0</v>
      </c>
      <c r="T165" t="str">
        <f>'Both teabags AfterDry'!A163</f>
        <v>G318</v>
      </c>
      <c r="U165" t="str">
        <f>'Both teabags AfterDry'!A498</f>
        <v>R638</v>
      </c>
      <c r="V165" t="b">
        <f t="shared" si="124"/>
        <v>0</v>
      </c>
      <c r="W165" t="b">
        <f t="shared" si="155"/>
        <v>0</v>
      </c>
      <c r="Y165" t="str">
        <f>'Green_rooibos initial weight'!A166</f>
        <v>G162</v>
      </c>
      <c r="Z165" t="str">
        <f>'Green_rooibos initial weight'!A1070</f>
        <v>R162</v>
      </c>
      <c r="AA165" t="b">
        <f t="shared" si="125"/>
        <v>0</v>
      </c>
      <c r="AB165" t="b">
        <f t="shared" si="126"/>
        <v>0</v>
      </c>
      <c r="AE165" t="str">
        <f>'WetLitterbags placem_collection'!K164</f>
        <v>G385</v>
      </c>
      <c r="AF165" t="str">
        <f>'WetLitterbags placem_collection'!M164</f>
        <v>R202</v>
      </c>
      <c r="AG165" t="b">
        <f t="shared" si="127"/>
        <v>0</v>
      </c>
      <c r="AH165" t="b">
        <f t="shared" si="128"/>
        <v>0</v>
      </c>
      <c r="AJ165" t="b">
        <f t="shared" si="129"/>
        <v>0</v>
      </c>
      <c r="AK165" t="b">
        <f t="shared" si="130"/>
        <v>0</v>
      </c>
      <c r="AM165" t="str">
        <f>IF(ISBLANK('Dry_Litterbag Placem_Collection'!J164),"","G"&amp;""&amp;'Dry_Litterbag Placem_Collection'!J164)</f>
        <v>G238</v>
      </c>
      <c r="AN165" t="str">
        <f>IF(ISBLANK('Dry_Litterbag Placem_Collection'!K164),"","R"&amp;""&amp;'Dry_Litterbag Placem_Collection'!K164)</f>
        <v>R814</v>
      </c>
      <c r="AO165" t="b">
        <f t="shared" si="131"/>
        <v>0</v>
      </c>
      <c r="AP165" t="b">
        <f t="shared" si="132"/>
        <v>0</v>
      </c>
      <c r="AS165" t="str">
        <f>'Ashed teabags dry'!A163</f>
        <v>G318</v>
      </c>
      <c r="AT165" t="str">
        <f>'Ashed teabags dry'!A498</f>
        <v>R638</v>
      </c>
      <c r="AU165" t="b">
        <f t="shared" si="133"/>
        <v>0</v>
      </c>
      <c r="AV165" t="b">
        <f t="shared" si="156"/>
        <v>0</v>
      </c>
      <c r="AX165" s="388" t="b">
        <f t="shared" si="134"/>
        <v>0</v>
      </c>
      <c r="AY165" s="388" t="b">
        <f t="shared" si="135"/>
        <v>0</v>
      </c>
      <c r="BA165" t="str">
        <f>'Ashed teabags wet'!A163</f>
        <v>G571</v>
      </c>
      <c r="BB165" t="str">
        <f>'Ashed teabags wet'!A583</f>
        <v>R349</v>
      </c>
      <c r="BC165" t="b">
        <f t="shared" si="136"/>
        <v>0</v>
      </c>
      <c r="BD165" t="b">
        <f t="shared" si="116"/>
        <v>0</v>
      </c>
      <c r="BF165" t="str">
        <f t="shared" si="137"/>
        <v>G316</v>
      </c>
      <c r="BG165" t="str">
        <f t="shared" si="138"/>
        <v>G316</v>
      </c>
      <c r="BH165" t="str">
        <f t="shared" si="139"/>
        <v>G51</v>
      </c>
      <c r="BI165" t="str">
        <f t="shared" si="157"/>
        <v>G51</v>
      </c>
      <c r="BJ165" t="s">
        <v>1734</v>
      </c>
      <c r="BK165" t="s">
        <v>1734</v>
      </c>
      <c r="BL165" t="s">
        <v>1734</v>
      </c>
      <c r="BM165" t="b">
        <f t="shared" si="158"/>
        <v>1</v>
      </c>
      <c r="BN165" t="str">
        <f t="shared" si="140"/>
        <v>R637</v>
      </c>
      <c r="BO165" t="str">
        <f t="shared" si="141"/>
        <v>R637</v>
      </c>
      <c r="BP165" t="str">
        <f t="shared" si="142"/>
        <v>R673</v>
      </c>
      <c r="BQ165" t="str">
        <f t="shared" si="143"/>
        <v>R673</v>
      </c>
      <c r="BR165" t="s">
        <v>502</v>
      </c>
      <c r="BS165" t="s">
        <v>501</v>
      </c>
      <c r="BT165" t="s">
        <v>502</v>
      </c>
      <c r="BU165" t="b">
        <f t="shared" si="159"/>
        <v>1</v>
      </c>
      <c r="BZ165" t="str">
        <f t="shared" si="144"/>
        <v>G51</v>
      </c>
      <c r="CA165" t="b">
        <f t="shared" si="145"/>
        <v>0</v>
      </c>
      <c r="CB165" t="str">
        <f t="shared" si="160"/>
        <v>G51</v>
      </c>
      <c r="CC165" t="str">
        <f t="shared" si="146"/>
        <v>R673</v>
      </c>
      <c r="CD165" t="b">
        <f t="shared" si="161"/>
        <v>0</v>
      </c>
      <c r="CE165" t="str">
        <f t="shared" si="162"/>
        <v>R673</v>
      </c>
      <c r="CG165" t="str">
        <f t="shared" si="147"/>
        <v>G569</v>
      </c>
      <c r="CH165" t="str">
        <f t="shared" si="163"/>
        <v>G569</v>
      </c>
      <c r="CI165" t="str">
        <f t="shared" si="148"/>
        <v>G352</v>
      </c>
      <c r="CJ165" t="str">
        <f t="shared" si="149"/>
        <v>G352</v>
      </c>
      <c r="CK165" t="s">
        <v>1481</v>
      </c>
      <c r="CL165" t="s">
        <v>1481</v>
      </c>
      <c r="CM165" t="s">
        <v>1481</v>
      </c>
      <c r="CN165" t="b">
        <f t="shared" si="164"/>
        <v>1</v>
      </c>
      <c r="CO165" t="str">
        <f t="shared" si="150"/>
        <v>R346</v>
      </c>
      <c r="CP165" t="str">
        <f t="shared" si="165"/>
        <v>R346</v>
      </c>
      <c r="CQ165" t="str">
        <f t="shared" si="151"/>
        <v>R124</v>
      </c>
      <c r="CR165" t="str">
        <f t="shared" si="152"/>
        <v>R124</v>
      </c>
      <c r="CS165" t="s">
        <v>795</v>
      </c>
      <c r="CT165" t="s">
        <v>795</v>
      </c>
      <c r="CU165" t="s">
        <v>795</v>
      </c>
      <c r="CV165" t="b">
        <f t="shared" si="166"/>
        <v>1</v>
      </c>
      <c r="DC165" t="str">
        <f t="shared" si="153"/>
        <v>G352</v>
      </c>
      <c r="DD165" t="b">
        <f t="shared" si="167"/>
        <v>0</v>
      </c>
      <c r="DE165" t="str">
        <f t="shared" si="168"/>
        <v>G352</v>
      </c>
      <c r="DF165" t="str">
        <f t="shared" si="154"/>
        <v>R124</v>
      </c>
      <c r="DG165" t="b">
        <f t="shared" si="169"/>
        <v>0</v>
      </c>
      <c r="DH165" t="str">
        <f t="shared" si="170"/>
        <v>R124</v>
      </c>
    </row>
    <row r="166" spans="2:112" ht="12" customHeight="1">
      <c r="B166" t="str">
        <f>TBIDry!H238</f>
        <v>G59</v>
      </c>
      <c r="C166" t="str">
        <f>TBIDry!I238</f>
        <v>R615</v>
      </c>
      <c r="D166" t="b">
        <f t="shared" si="117"/>
        <v>0</v>
      </c>
      <c r="E166" t="b">
        <f t="shared" si="118"/>
        <v>0</v>
      </c>
      <c r="G166" t="str">
        <f>TBIWet!H238</f>
        <v>G202</v>
      </c>
      <c r="H166" t="str">
        <f>TBIWet!I238</f>
        <v>R96</v>
      </c>
      <c r="I166" t="b">
        <f t="shared" si="119"/>
        <v>0</v>
      </c>
      <c r="J166" t="b">
        <f t="shared" si="120"/>
        <v>0</v>
      </c>
      <c r="L166" t="str">
        <f>'Both teabags AfterWet'!A164</f>
        <v>G572</v>
      </c>
      <c r="M166" t="str">
        <f>'Both teabags AfterWet'!A584</f>
        <v>R35</v>
      </c>
      <c r="N166" t="b">
        <f t="shared" si="121"/>
        <v>0</v>
      </c>
      <c r="O166" t="b">
        <f t="shared" si="171"/>
        <v>0</v>
      </c>
      <c r="Q166" s="388" t="b">
        <f t="shared" si="122"/>
        <v>0</v>
      </c>
      <c r="R166" s="388" t="b">
        <f t="shared" si="123"/>
        <v>0</v>
      </c>
      <c r="T166" t="str">
        <f>'Both teabags AfterDry'!A164</f>
        <v>G319</v>
      </c>
      <c r="U166" t="str">
        <f>'Both teabags AfterDry'!A499</f>
        <v>R639</v>
      </c>
      <c r="V166" t="b">
        <f t="shared" si="124"/>
        <v>0</v>
      </c>
      <c r="W166" t="b">
        <f t="shared" si="155"/>
        <v>0</v>
      </c>
      <c r="Y166" t="str">
        <f>'Green_rooibos initial weight'!A167</f>
        <v>G163</v>
      </c>
      <c r="Z166" t="str">
        <f>'Green_rooibos initial weight'!A1071</f>
        <v>R163</v>
      </c>
      <c r="AA166" t="b">
        <f t="shared" si="125"/>
        <v>0</v>
      </c>
      <c r="AB166" t="b">
        <f t="shared" si="126"/>
        <v>0</v>
      </c>
      <c r="AE166" t="str">
        <f>'WetLitterbags placem_collection'!K165</f>
        <v>G202</v>
      </c>
      <c r="AF166" t="str">
        <f>'WetLitterbags placem_collection'!M165</f>
        <v>R96</v>
      </c>
      <c r="AG166" t="b">
        <f t="shared" si="127"/>
        <v>0</v>
      </c>
      <c r="AH166" t="b">
        <f t="shared" si="128"/>
        <v>0</v>
      </c>
      <c r="AJ166" t="b">
        <f t="shared" si="129"/>
        <v>0</v>
      </c>
      <c r="AK166" t="b">
        <f t="shared" si="130"/>
        <v>0</v>
      </c>
      <c r="AM166" t="str">
        <f>IF(ISBLANK('Dry_Litterbag Placem_Collection'!J165),"","G"&amp;""&amp;'Dry_Litterbag Placem_Collection'!J165)</f>
        <v>G59</v>
      </c>
      <c r="AN166" t="str">
        <f>IF(ISBLANK('Dry_Litterbag Placem_Collection'!K165),"","R"&amp;""&amp;'Dry_Litterbag Placem_Collection'!K165)</f>
        <v>R615</v>
      </c>
      <c r="AO166" t="b">
        <f t="shared" si="131"/>
        <v>0</v>
      </c>
      <c r="AP166" t="b">
        <f t="shared" si="132"/>
        <v>0</v>
      </c>
      <c r="AS166" t="str">
        <f>'Ashed teabags dry'!A164</f>
        <v>G319</v>
      </c>
      <c r="AT166" t="str">
        <f>'Ashed teabags dry'!A499</f>
        <v>R639</v>
      </c>
      <c r="AU166" t="b">
        <f t="shared" si="133"/>
        <v>0</v>
      </c>
      <c r="AV166" t="b">
        <f t="shared" si="156"/>
        <v>0</v>
      </c>
      <c r="AX166" s="388" t="b">
        <f t="shared" si="134"/>
        <v>0</v>
      </c>
      <c r="AY166" s="388" t="b">
        <f t="shared" si="135"/>
        <v>0</v>
      </c>
      <c r="BA166" t="str">
        <f>'Ashed teabags wet'!A164</f>
        <v>G572</v>
      </c>
      <c r="BB166" t="str">
        <f>'Ashed teabags wet'!A584</f>
        <v>R35</v>
      </c>
      <c r="BC166" t="b">
        <f t="shared" si="136"/>
        <v>0</v>
      </c>
      <c r="BD166" t="b">
        <f t="shared" si="116"/>
        <v>0</v>
      </c>
      <c r="BF166" t="str">
        <f t="shared" si="137"/>
        <v>G318</v>
      </c>
      <c r="BG166" t="str">
        <f t="shared" si="138"/>
        <v>G318</v>
      </c>
      <c r="BH166" t="str">
        <f t="shared" si="139"/>
        <v>G238</v>
      </c>
      <c r="BI166" t="str">
        <f t="shared" si="157"/>
        <v>G238</v>
      </c>
      <c r="BJ166" t="s">
        <v>1732</v>
      </c>
      <c r="BK166" t="s">
        <v>1732</v>
      </c>
      <c r="BL166" t="s">
        <v>1732</v>
      </c>
      <c r="BM166" t="b">
        <f t="shared" si="158"/>
        <v>1</v>
      </c>
      <c r="BN166" t="str">
        <f t="shared" si="140"/>
        <v>R638</v>
      </c>
      <c r="BO166" t="str">
        <f t="shared" si="141"/>
        <v>R638</v>
      </c>
      <c r="BP166" t="str">
        <f t="shared" si="142"/>
        <v>R814</v>
      </c>
      <c r="BQ166" t="str">
        <f t="shared" si="143"/>
        <v>R814</v>
      </c>
      <c r="BR166" t="s">
        <v>501</v>
      </c>
      <c r="BS166" t="s">
        <v>500</v>
      </c>
      <c r="BT166" t="s">
        <v>501</v>
      </c>
      <c r="BU166" t="b">
        <f t="shared" si="159"/>
        <v>1</v>
      </c>
      <c r="BZ166" t="str">
        <f t="shared" si="144"/>
        <v>G238</v>
      </c>
      <c r="CA166" t="b">
        <f t="shared" si="145"/>
        <v>0</v>
      </c>
      <c r="CB166" t="str">
        <f t="shared" si="160"/>
        <v>G238</v>
      </c>
      <c r="CC166" t="str">
        <f t="shared" si="146"/>
        <v>R814</v>
      </c>
      <c r="CD166" t="b">
        <f t="shared" si="161"/>
        <v>0</v>
      </c>
      <c r="CE166" t="str">
        <f t="shared" si="162"/>
        <v>R814</v>
      </c>
      <c r="CG166" t="str">
        <f t="shared" si="147"/>
        <v>G571</v>
      </c>
      <c r="CH166" t="str">
        <f t="shared" si="163"/>
        <v>G571</v>
      </c>
      <c r="CI166" t="str">
        <f t="shared" si="148"/>
        <v>G385</v>
      </c>
      <c r="CJ166" t="str">
        <f t="shared" si="149"/>
        <v>G385</v>
      </c>
      <c r="CK166" t="s">
        <v>1479</v>
      </c>
      <c r="CL166" t="s">
        <v>1479</v>
      </c>
      <c r="CM166" t="s">
        <v>1479</v>
      </c>
      <c r="CN166" t="b">
        <f t="shared" si="164"/>
        <v>1</v>
      </c>
      <c r="CO166" t="str">
        <f t="shared" si="150"/>
        <v>R349</v>
      </c>
      <c r="CP166" t="str">
        <f t="shared" si="165"/>
        <v>R349</v>
      </c>
      <c r="CQ166" t="str">
        <f t="shared" si="151"/>
        <v>R202</v>
      </c>
      <c r="CR166" t="str">
        <f t="shared" si="152"/>
        <v>R202</v>
      </c>
      <c r="CS166" t="s">
        <v>792</v>
      </c>
      <c r="CT166" t="s">
        <v>792</v>
      </c>
      <c r="CU166" t="s">
        <v>792</v>
      </c>
      <c r="CV166" t="b">
        <f t="shared" si="166"/>
        <v>1</v>
      </c>
      <c r="DC166" t="str">
        <f t="shared" si="153"/>
        <v>G385</v>
      </c>
      <c r="DD166" t="b">
        <f t="shared" si="167"/>
        <v>0</v>
      </c>
      <c r="DE166" t="str">
        <f t="shared" si="168"/>
        <v>G385</v>
      </c>
      <c r="DF166" t="str">
        <f t="shared" si="154"/>
        <v>R202</v>
      </c>
      <c r="DG166" t="b">
        <f t="shared" si="169"/>
        <v>0</v>
      </c>
      <c r="DH166" t="str">
        <f t="shared" si="170"/>
        <v>R202</v>
      </c>
    </row>
    <row r="167" spans="2:112" ht="12" customHeight="1">
      <c r="B167" t="str">
        <f>TBIDry!H239</f>
        <v>G7</v>
      </c>
      <c r="C167" t="str">
        <f>TBIDry!I239</f>
        <v>R514</v>
      </c>
      <c r="D167" t="b">
        <f t="shared" si="117"/>
        <v>0</v>
      </c>
      <c r="E167" t="b">
        <f t="shared" si="118"/>
        <v>0</v>
      </c>
      <c r="G167" t="str">
        <f>TBIWet!H239</f>
        <v>G686</v>
      </c>
      <c r="H167" t="str">
        <f>TBIWet!I239</f>
        <v>R317</v>
      </c>
      <c r="I167" t="b">
        <f t="shared" si="119"/>
        <v>0</v>
      </c>
      <c r="J167" t="b">
        <f t="shared" si="120"/>
        <v>0</v>
      </c>
      <c r="L167" t="str">
        <f>'Both teabags AfterWet'!A165</f>
        <v>G573</v>
      </c>
      <c r="M167" t="str">
        <f>'Both teabags AfterWet'!A585</f>
        <v>R353</v>
      </c>
      <c r="N167" t="b">
        <f t="shared" si="121"/>
        <v>0</v>
      </c>
      <c r="O167" t="b">
        <f t="shared" si="171"/>
        <v>0</v>
      </c>
      <c r="Q167" s="388" t="b">
        <f t="shared" si="122"/>
        <v>0</v>
      </c>
      <c r="R167" s="388" t="b">
        <f t="shared" si="123"/>
        <v>0</v>
      </c>
      <c r="T167" t="str">
        <f>'Both teabags AfterDry'!A165</f>
        <v>G32</v>
      </c>
      <c r="U167" t="str">
        <f>'Both teabags AfterDry'!A500</f>
        <v>R640</v>
      </c>
      <c r="V167" t="b">
        <f t="shared" si="124"/>
        <v>0</v>
      </c>
      <c r="W167" t="b">
        <f t="shared" si="155"/>
        <v>0</v>
      </c>
      <c r="Y167" t="str">
        <f>'Green_rooibos initial weight'!A168</f>
        <v>G164</v>
      </c>
      <c r="Z167" t="str">
        <f>'Green_rooibos initial weight'!A1072</f>
        <v>R164</v>
      </c>
      <c r="AA167" t="b">
        <f t="shared" si="125"/>
        <v>0</v>
      </c>
      <c r="AB167" t="b">
        <f t="shared" si="126"/>
        <v>0</v>
      </c>
      <c r="AE167" t="str">
        <f>'WetLitterbags placem_collection'!K166</f>
        <v>G686</v>
      </c>
      <c r="AF167" t="str">
        <f>'WetLitterbags placem_collection'!M166</f>
        <v>R317</v>
      </c>
      <c r="AG167" t="b">
        <f t="shared" si="127"/>
        <v>0</v>
      </c>
      <c r="AH167" t="b">
        <f t="shared" si="128"/>
        <v>0</v>
      </c>
      <c r="AJ167" t="b">
        <f t="shared" si="129"/>
        <v>0</v>
      </c>
      <c r="AK167" t="b">
        <f t="shared" si="130"/>
        <v>0</v>
      </c>
      <c r="AM167" t="str">
        <f>IF(ISBLANK('Dry_Litterbag Placem_Collection'!J166),"","G"&amp;""&amp;'Dry_Litterbag Placem_Collection'!J166)</f>
        <v>G7</v>
      </c>
      <c r="AN167" t="str">
        <f>IF(ISBLANK('Dry_Litterbag Placem_Collection'!K166),"","R"&amp;""&amp;'Dry_Litterbag Placem_Collection'!K166)</f>
        <v>R514</v>
      </c>
      <c r="AO167" t="b">
        <f t="shared" si="131"/>
        <v>0</v>
      </c>
      <c r="AP167" t="b">
        <f t="shared" si="132"/>
        <v>0</v>
      </c>
      <c r="AS167" t="str">
        <f>'Ashed teabags dry'!A165</f>
        <v>G32</v>
      </c>
      <c r="AT167" t="str">
        <f>'Ashed teabags dry'!A500</f>
        <v>R640</v>
      </c>
      <c r="AU167" t="b">
        <f t="shared" si="133"/>
        <v>0</v>
      </c>
      <c r="AV167" t="b">
        <f t="shared" si="156"/>
        <v>0</v>
      </c>
      <c r="AX167" s="388" t="b">
        <f t="shared" si="134"/>
        <v>0</v>
      </c>
      <c r="AY167" s="388" t="b">
        <f t="shared" si="135"/>
        <v>0</v>
      </c>
      <c r="BA167" t="str">
        <f>'Ashed teabags wet'!A165</f>
        <v>G573</v>
      </c>
      <c r="BB167" t="str">
        <f>'Ashed teabags wet'!A585</f>
        <v>R353</v>
      </c>
      <c r="BC167" t="b">
        <f t="shared" si="136"/>
        <v>0</v>
      </c>
      <c r="BD167" t="b">
        <f t="shared" si="116"/>
        <v>0</v>
      </c>
      <c r="BF167" t="str">
        <f t="shared" si="137"/>
        <v>G319</v>
      </c>
      <c r="BG167" t="str">
        <f t="shared" si="138"/>
        <v>G319</v>
      </c>
      <c r="BH167" t="str">
        <f t="shared" si="139"/>
        <v>G59</v>
      </c>
      <c r="BI167" t="str">
        <f t="shared" si="157"/>
        <v>G59</v>
      </c>
      <c r="BJ167" t="s">
        <v>1731</v>
      </c>
      <c r="BK167" t="s">
        <v>1731</v>
      </c>
      <c r="BL167" t="s">
        <v>1731</v>
      </c>
      <c r="BM167" t="b">
        <f t="shared" si="158"/>
        <v>1</v>
      </c>
      <c r="BN167" t="str">
        <f t="shared" si="140"/>
        <v>R639</v>
      </c>
      <c r="BO167" t="str">
        <f t="shared" si="141"/>
        <v>R639</v>
      </c>
      <c r="BP167" t="str">
        <f t="shared" si="142"/>
        <v>R615</v>
      </c>
      <c r="BQ167" t="str">
        <f t="shared" si="143"/>
        <v>R615</v>
      </c>
      <c r="BR167" t="s">
        <v>500</v>
      </c>
      <c r="BS167" t="s">
        <v>499</v>
      </c>
      <c r="BT167" t="s">
        <v>500</v>
      </c>
      <c r="BU167" t="b">
        <f t="shared" si="159"/>
        <v>1</v>
      </c>
      <c r="BZ167" t="str">
        <f t="shared" si="144"/>
        <v>G59</v>
      </c>
      <c r="CA167" t="b">
        <f t="shared" si="145"/>
        <v>0</v>
      </c>
      <c r="CB167" t="str">
        <f t="shared" si="160"/>
        <v>G59</v>
      </c>
      <c r="CC167" t="str">
        <f t="shared" si="146"/>
        <v>R615</v>
      </c>
      <c r="CD167" t="b">
        <f t="shared" si="161"/>
        <v>0</v>
      </c>
      <c r="CE167" t="str">
        <f t="shared" si="162"/>
        <v>R615</v>
      </c>
      <c r="CG167" t="str">
        <f t="shared" si="147"/>
        <v>G572</v>
      </c>
      <c r="CH167" t="str">
        <f t="shared" si="163"/>
        <v>G572</v>
      </c>
      <c r="CI167" t="str">
        <f t="shared" si="148"/>
        <v>G202</v>
      </c>
      <c r="CJ167" t="str">
        <f t="shared" si="149"/>
        <v>G202</v>
      </c>
      <c r="CK167" t="s">
        <v>1478</v>
      </c>
      <c r="CL167" t="s">
        <v>1478</v>
      </c>
      <c r="CM167" t="s">
        <v>1478</v>
      </c>
      <c r="CN167" t="b">
        <f t="shared" si="164"/>
        <v>1</v>
      </c>
      <c r="CO167" t="str">
        <f t="shared" si="150"/>
        <v>R35</v>
      </c>
      <c r="CP167" t="str">
        <f t="shared" si="165"/>
        <v>R35</v>
      </c>
      <c r="CQ167" t="str">
        <f t="shared" si="151"/>
        <v>R96</v>
      </c>
      <c r="CR167" t="str">
        <f t="shared" si="152"/>
        <v>R96</v>
      </c>
      <c r="CS167" t="s">
        <v>1106</v>
      </c>
      <c r="CT167" t="s">
        <v>1106</v>
      </c>
      <c r="CU167" t="s">
        <v>1106</v>
      </c>
      <c r="CV167" t="b">
        <f t="shared" si="166"/>
        <v>1</v>
      </c>
      <c r="DC167" t="str">
        <f t="shared" si="153"/>
        <v>G202</v>
      </c>
      <c r="DD167" t="b">
        <f t="shared" si="167"/>
        <v>0</v>
      </c>
      <c r="DE167" t="str">
        <f t="shared" si="168"/>
        <v>G202</v>
      </c>
      <c r="DF167" t="str">
        <f t="shared" si="154"/>
        <v>R96</v>
      </c>
      <c r="DG167" t="b">
        <f t="shared" si="169"/>
        <v>0</v>
      </c>
      <c r="DH167" t="str">
        <f t="shared" si="170"/>
        <v>R96</v>
      </c>
    </row>
    <row r="168" spans="2:112" ht="12" customHeight="1">
      <c r="B168" t="str">
        <f>TBIDry!H240</f>
        <v>G85</v>
      </c>
      <c r="C168" t="str">
        <f>TBIDry!I240</f>
        <v>R127</v>
      </c>
      <c r="D168" t="b">
        <f t="shared" si="117"/>
        <v>0</v>
      </c>
      <c r="E168" t="b">
        <f t="shared" si="118"/>
        <v>0</v>
      </c>
      <c r="G168" t="str">
        <f>TBIWet!H240</f>
        <v>G368</v>
      </c>
      <c r="H168" t="str">
        <f>TBIWet!I240</f>
        <v>R331</v>
      </c>
      <c r="I168" t="b">
        <f t="shared" si="119"/>
        <v>0</v>
      </c>
      <c r="J168" t="b">
        <f t="shared" si="120"/>
        <v>0</v>
      </c>
      <c r="L168" t="str">
        <f>'Both teabags AfterWet'!A166</f>
        <v>G574</v>
      </c>
      <c r="M168" t="str">
        <f>'Both teabags AfterWet'!A586</f>
        <v>R354</v>
      </c>
      <c r="N168" t="b">
        <f t="shared" si="121"/>
        <v>0</v>
      </c>
      <c r="O168" t="b">
        <f t="shared" si="171"/>
        <v>0</v>
      </c>
      <c r="Q168" s="388" t="b">
        <f t="shared" si="122"/>
        <v>0</v>
      </c>
      <c r="R168" s="388" t="b">
        <f t="shared" si="123"/>
        <v>0</v>
      </c>
      <c r="T168" t="str">
        <f>'Both teabags AfterDry'!A166</f>
        <v>G320</v>
      </c>
      <c r="U168" t="str">
        <f>'Both teabags AfterDry'!A501</f>
        <v>R641</v>
      </c>
      <c r="V168" t="b">
        <f t="shared" si="124"/>
        <v>0</v>
      </c>
      <c r="W168" t="b">
        <f t="shared" si="155"/>
        <v>0</v>
      </c>
      <c r="Y168" t="str">
        <f>'Green_rooibos initial weight'!A169</f>
        <v>G165</v>
      </c>
      <c r="Z168" t="str">
        <f>'Green_rooibos initial weight'!A1073</f>
        <v>R165</v>
      </c>
      <c r="AA168" t="b">
        <f t="shared" si="125"/>
        <v>0</v>
      </c>
      <c r="AB168" t="b">
        <f t="shared" si="126"/>
        <v>0</v>
      </c>
      <c r="AE168" t="str">
        <f>'WetLitterbags placem_collection'!K167</f>
        <v>G368</v>
      </c>
      <c r="AF168" t="str">
        <f>'WetLitterbags placem_collection'!M167</f>
        <v>R331</v>
      </c>
      <c r="AG168" t="b">
        <f t="shared" si="127"/>
        <v>0</v>
      </c>
      <c r="AH168" t="b">
        <f t="shared" si="128"/>
        <v>0</v>
      </c>
      <c r="AJ168" t="b">
        <f t="shared" si="129"/>
        <v>0</v>
      </c>
      <c r="AK168" t="b">
        <f t="shared" si="130"/>
        <v>0</v>
      </c>
      <c r="AM168" t="str">
        <f>IF(ISBLANK('Dry_Litterbag Placem_Collection'!J167),"","G"&amp;""&amp;'Dry_Litterbag Placem_Collection'!J167)</f>
        <v>G85</v>
      </c>
      <c r="AN168" t="str">
        <f>IF(ISBLANK('Dry_Litterbag Placem_Collection'!K167),"","R"&amp;""&amp;'Dry_Litterbag Placem_Collection'!K167)</f>
        <v>R127</v>
      </c>
      <c r="AO168" t="b">
        <f t="shared" si="131"/>
        <v>0</v>
      </c>
      <c r="AP168" t="b">
        <f t="shared" si="132"/>
        <v>0</v>
      </c>
      <c r="AS168" t="str">
        <f>'Ashed teabags dry'!A166</f>
        <v>G320</v>
      </c>
      <c r="AT168" t="str">
        <f>'Ashed teabags dry'!A501</f>
        <v>R641</v>
      </c>
      <c r="AU168" t="b">
        <f t="shared" si="133"/>
        <v>0</v>
      </c>
      <c r="AV168" t="b">
        <f t="shared" si="156"/>
        <v>0</v>
      </c>
      <c r="AX168" s="388" t="b">
        <f t="shared" si="134"/>
        <v>0</v>
      </c>
      <c r="AY168" s="388" t="b">
        <f t="shared" si="135"/>
        <v>0</v>
      </c>
      <c r="BA168" t="str">
        <f>'Ashed teabags wet'!A166</f>
        <v>G574</v>
      </c>
      <c r="BB168" t="str">
        <f>'Ashed teabags wet'!A586</f>
        <v>R354</v>
      </c>
      <c r="BC168" t="b">
        <f t="shared" si="136"/>
        <v>0</v>
      </c>
      <c r="BD168" t="b">
        <f t="shared" si="116"/>
        <v>0</v>
      </c>
      <c r="BF168" t="str">
        <f t="shared" si="137"/>
        <v>G32</v>
      </c>
      <c r="BG168" t="str">
        <f t="shared" si="138"/>
        <v>G32</v>
      </c>
      <c r="BH168" t="str">
        <f t="shared" si="139"/>
        <v>G7</v>
      </c>
      <c r="BI168" t="str">
        <f t="shared" si="157"/>
        <v>G7</v>
      </c>
      <c r="BJ168" t="s">
        <v>2018</v>
      </c>
      <c r="BK168" t="s">
        <v>2018</v>
      </c>
      <c r="BL168" t="s">
        <v>2018</v>
      </c>
      <c r="BM168" t="b">
        <f t="shared" si="158"/>
        <v>1</v>
      </c>
      <c r="BN168" t="str">
        <f t="shared" si="140"/>
        <v>R640</v>
      </c>
      <c r="BO168" t="str">
        <f t="shared" si="141"/>
        <v>R640</v>
      </c>
      <c r="BP168" t="str">
        <f t="shared" si="142"/>
        <v>R514</v>
      </c>
      <c r="BQ168" t="str">
        <f t="shared" si="143"/>
        <v>R514</v>
      </c>
      <c r="BR168" t="s">
        <v>499</v>
      </c>
      <c r="BS168" t="s">
        <v>498</v>
      </c>
      <c r="BT168" t="s">
        <v>499</v>
      </c>
      <c r="BU168" t="b">
        <f t="shared" si="159"/>
        <v>1</v>
      </c>
      <c r="BZ168" t="str">
        <f t="shared" si="144"/>
        <v>G7</v>
      </c>
      <c r="CA168" t="b">
        <f t="shared" si="145"/>
        <v>0</v>
      </c>
      <c r="CB168" t="str">
        <f t="shared" si="160"/>
        <v>G7</v>
      </c>
      <c r="CC168" t="str">
        <f t="shared" si="146"/>
        <v>R514</v>
      </c>
      <c r="CD168" t="b">
        <f t="shared" si="161"/>
        <v>0</v>
      </c>
      <c r="CE168" t="str">
        <f t="shared" si="162"/>
        <v>R514</v>
      </c>
      <c r="CG168" t="str">
        <f t="shared" si="147"/>
        <v>G573</v>
      </c>
      <c r="CH168" t="str">
        <f t="shared" si="163"/>
        <v>G573</v>
      </c>
      <c r="CI168" t="str">
        <f t="shared" si="148"/>
        <v>G686</v>
      </c>
      <c r="CJ168" t="str">
        <f t="shared" si="149"/>
        <v>G686</v>
      </c>
      <c r="CK168" t="s">
        <v>1477</v>
      </c>
      <c r="CL168" t="s">
        <v>1477</v>
      </c>
      <c r="CM168" t="s">
        <v>1477</v>
      </c>
      <c r="CN168" t="b">
        <f t="shared" si="164"/>
        <v>1</v>
      </c>
      <c r="CO168" t="str">
        <f t="shared" si="150"/>
        <v>R353</v>
      </c>
      <c r="CP168" t="str">
        <f t="shared" si="165"/>
        <v>R353</v>
      </c>
      <c r="CQ168" t="str">
        <f t="shared" si="151"/>
        <v>R317</v>
      </c>
      <c r="CR168" t="str">
        <f t="shared" si="152"/>
        <v>R317</v>
      </c>
      <c r="CS168" t="s">
        <v>788</v>
      </c>
      <c r="CT168" t="s">
        <v>788</v>
      </c>
      <c r="CU168" t="s">
        <v>788</v>
      </c>
      <c r="CV168" t="b">
        <f t="shared" si="166"/>
        <v>1</v>
      </c>
      <c r="DC168" t="str">
        <f t="shared" si="153"/>
        <v>G686</v>
      </c>
      <c r="DD168" t="b">
        <f t="shared" si="167"/>
        <v>0</v>
      </c>
      <c r="DE168" t="str">
        <f t="shared" si="168"/>
        <v>G686</v>
      </c>
      <c r="DF168" t="str">
        <f t="shared" si="154"/>
        <v>R317</v>
      </c>
      <c r="DG168" t="b">
        <f t="shared" si="169"/>
        <v>0</v>
      </c>
      <c r="DH168" t="str">
        <f t="shared" si="170"/>
        <v>R317</v>
      </c>
    </row>
    <row r="169" spans="2:112" ht="12" customHeight="1">
      <c r="B169" t="str">
        <f>TBIDry!H241</f>
        <v>G1</v>
      </c>
      <c r="C169" t="str">
        <f>TBIDry!I241</f>
        <v>R752</v>
      </c>
      <c r="D169" t="b">
        <f t="shared" si="117"/>
        <v>0</v>
      </c>
      <c r="E169" t="b">
        <f t="shared" si="118"/>
        <v>0</v>
      </c>
      <c r="G169" t="str">
        <f>TBIWet!H241</f>
        <v>G334</v>
      </c>
      <c r="H169" t="str">
        <f>TBIWet!I241</f>
        <v>R287</v>
      </c>
      <c r="I169" t="b">
        <f t="shared" si="119"/>
        <v>0</v>
      </c>
      <c r="J169" t="b">
        <f t="shared" si="120"/>
        <v>0</v>
      </c>
      <c r="L169" t="str">
        <f>'Both teabags AfterWet'!A167</f>
        <v>G575</v>
      </c>
      <c r="M169" t="str">
        <f>'Both teabags AfterWet'!A587</f>
        <v>R356</v>
      </c>
      <c r="N169" t="b">
        <f t="shared" si="121"/>
        <v>0</v>
      </c>
      <c r="O169" t="b">
        <f t="shared" si="171"/>
        <v>0</v>
      </c>
      <c r="Q169" s="388" t="b">
        <f t="shared" si="122"/>
        <v>0</v>
      </c>
      <c r="R169" s="388" t="b">
        <f t="shared" si="123"/>
        <v>0</v>
      </c>
      <c r="T169" t="str">
        <f>'Both teabags AfterDry'!A167</f>
        <v>G322</v>
      </c>
      <c r="U169" t="str">
        <f>'Both teabags AfterDry'!A502</f>
        <v>R642</v>
      </c>
      <c r="V169" t="b">
        <f t="shared" si="124"/>
        <v>0</v>
      </c>
      <c r="W169" t="b">
        <f t="shared" si="155"/>
        <v>0</v>
      </c>
      <c r="Y169" t="str">
        <f>'Green_rooibos initial weight'!A170</f>
        <v>G166</v>
      </c>
      <c r="Z169" t="str">
        <f>'Green_rooibos initial weight'!A1074</f>
        <v>R166</v>
      </c>
      <c r="AA169" t="b">
        <f t="shared" si="125"/>
        <v>0</v>
      </c>
      <c r="AB169" t="b">
        <f t="shared" si="126"/>
        <v>0</v>
      </c>
      <c r="AE169" t="str">
        <f>'WetLitterbags placem_collection'!K168</f>
        <v>G334</v>
      </c>
      <c r="AF169" t="str">
        <f>'WetLitterbags placem_collection'!M168</f>
        <v>R287</v>
      </c>
      <c r="AG169" t="b">
        <f t="shared" si="127"/>
        <v>0</v>
      </c>
      <c r="AH169" t="b">
        <f t="shared" si="128"/>
        <v>0</v>
      </c>
      <c r="AJ169" t="b">
        <f t="shared" si="129"/>
        <v>0</v>
      </c>
      <c r="AK169" t="b">
        <f t="shared" si="130"/>
        <v>0</v>
      </c>
      <c r="AM169" t="str">
        <f>IF(ISBLANK('Dry_Litterbag Placem_Collection'!J168),"","G"&amp;""&amp;'Dry_Litterbag Placem_Collection'!J168)</f>
        <v>G1</v>
      </c>
      <c r="AN169" t="str">
        <f>IF(ISBLANK('Dry_Litterbag Placem_Collection'!K168),"","R"&amp;""&amp;'Dry_Litterbag Placem_Collection'!K168)</f>
        <v>R752</v>
      </c>
      <c r="AO169" t="b">
        <f t="shared" si="131"/>
        <v>0</v>
      </c>
      <c r="AP169" t="b">
        <f t="shared" si="132"/>
        <v>0</v>
      </c>
      <c r="AS169" t="str">
        <f>'Ashed teabags dry'!A167</f>
        <v>G322</v>
      </c>
      <c r="AT169" t="str">
        <f>'Ashed teabags dry'!A502</f>
        <v>R642</v>
      </c>
      <c r="AU169" t="b">
        <f t="shared" si="133"/>
        <v>0</v>
      </c>
      <c r="AV169" t="b">
        <f t="shared" si="156"/>
        <v>0</v>
      </c>
      <c r="AX169" s="388" t="b">
        <f t="shared" si="134"/>
        <v>0</v>
      </c>
      <c r="AY169" s="388" t="b">
        <f t="shared" si="135"/>
        <v>0</v>
      </c>
      <c r="BA169" t="str">
        <f>'Ashed teabags wet'!A167</f>
        <v>G575</v>
      </c>
      <c r="BB169" t="str">
        <f>'Ashed teabags wet'!A587</f>
        <v>R356</v>
      </c>
      <c r="BC169" t="b">
        <f t="shared" si="136"/>
        <v>0</v>
      </c>
      <c r="BD169" t="b">
        <f t="shared" si="116"/>
        <v>0</v>
      </c>
      <c r="BF169" t="str">
        <f t="shared" si="137"/>
        <v>G320</v>
      </c>
      <c r="BG169" t="str">
        <f t="shared" si="138"/>
        <v>G320</v>
      </c>
      <c r="BH169" t="str">
        <f t="shared" si="139"/>
        <v>G85</v>
      </c>
      <c r="BI169" t="str">
        <f t="shared" si="157"/>
        <v>G85</v>
      </c>
      <c r="BJ169" t="s">
        <v>1730</v>
      </c>
      <c r="BK169" t="s">
        <v>1730</v>
      </c>
      <c r="BL169" t="s">
        <v>1730</v>
      </c>
      <c r="BM169" t="b">
        <f t="shared" si="158"/>
        <v>1</v>
      </c>
      <c r="BN169" t="str">
        <f t="shared" si="140"/>
        <v>R641</v>
      </c>
      <c r="BO169" t="str">
        <f t="shared" si="141"/>
        <v>R641</v>
      </c>
      <c r="BP169" t="str">
        <f t="shared" si="142"/>
        <v>R127</v>
      </c>
      <c r="BQ169" t="str">
        <f t="shared" si="143"/>
        <v>R127</v>
      </c>
      <c r="BR169" t="s">
        <v>498</v>
      </c>
      <c r="BS169" t="s">
        <v>497</v>
      </c>
      <c r="BT169" t="s">
        <v>498</v>
      </c>
      <c r="BU169" t="b">
        <f t="shared" si="159"/>
        <v>1</v>
      </c>
      <c r="BZ169" t="str">
        <f t="shared" si="144"/>
        <v>G85</v>
      </c>
      <c r="CA169" t="b">
        <f t="shared" si="145"/>
        <v>0</v>
      </c>
      <c r="CB169" t="str">
        <f t="shared" si="160"/>
        <v>G85</v>
      </c>
      <c r="CC169" t="str">
        <f t="shared" si="146"/>
        <v>R127</v>
      </c>
      <c r="CD169" t="b">
        <f t="shared" si="161"/>
        <v>0</v>
      </c>
      <c r="CE169" t="str">
        <f t="shared" si="162"/>
        <v>R127</v>
      </c>
      <c r="CG169" t="str">
        <f t="shared" si="147"/>
        <v>G574</v>
      </c>
      <c r="CH169" t="str">
        <f t="shared" si="163"/>
        <v>G574</v>
      </c>
      <c r="CI169" t="str">
        <f t="shared" si="148"/>
        <v>G368</v>
      </c>
      <c r="CJ169" t="str">
        <f t="shared" si="149"/>
        <v>G368</v>
      </c>
      <c r="CK169" t="s">
        <v>1476</v>
      </c>
      <c r="CL169" t="s">
        <v>1476</v>
      </c>
      <c r="CM169" t="s">
        <v>1476</v>
      </c>
      <c r="CN169" t="b">
        <f t="shared" si="164"/>
        <v>1</v>
      </c>
      <c r="CO169" t="str">
        <f t="shared" si="150"/>
        <v>R354</v>
      </c>
      <c r="CP169" t="str">
        <f t="shared" si="165"/>
        <v>R354</v>
      </c>
      <c r="CQ169" t="str">
        <f t="shared" si="151"/>
        <v>R331</v>
      </c>
      <c r="CR169" t="str">
        <f t="shared" si="152"/>
        <v>R331</v>
      </c>
      <c r="CS169" t="s">
        <v>787</v>
      </c>
      <c r="CT169" t="s">
        <v>787</v>
      </c>
      <c r="CU169" t="s">
        <v>787</v>
      </c>
      <c r="CV169" t="b">
        <f t="shared" si="166"/>
        <v>1</v>
      </c>
      <c r="DC169" t="str">
        <f t="shared" si="153"/>
        <v>G368</v>
      </c>
      <c r="DD169" t="b">
        <f t="shared" si="167"/>
        <v>0</v>
      </c>
      <c r="DE169" t="str">
        <f t="shared" si="168"/>
        <v>G368</v>
      </c>
      <c r="DF169" t="str">
        <f t="shared" si="154"/>
        <v>R331</v>
      </c>
      <c r="DG169" t="b">
        <f t="shared" si="169"/>
        <v>0</v>
      </c>
      <c r="DH169" t="str">
        <f t="shared" si="170"/>
        <v>R331</v>
      </c>
    </row>
    <row r="170" spans="2:112" ht="12" customHeight="1">
      <c r="B170" t="str">
        <f>TBIDry!H242</f>
        <v/>
      </c>
      <c r="C170" t="str">
        <f>TBIDry!I242</f>
        <v/>
      </c>
      <c r="D170" t="b">
        <f t="shared" si="117"/>
        <v>1</v>
      </c>
      <c r="E170" t="b">
        <f t="shared" si="118"/>
        <v>1</v>
      </c>
      <c r="G170" t="str">
        <f>TBIWet!H242</f>
        <v>G429</v>
      </c>
      <c r="H170" t="str">
        <f>TBIWet!I242</f>
        <v>R255</v>
      </c>
      <c r="I170" t="b">
        <f t="shared" si="119"/>
        <v>0</v>
      </c>
      <c r="J170" t="b">
        <f t="shared" si="120"/>
        <v>0</v>
      </c>
      <c r="L170" t="str">
        <f>'Both teabags AfterWet'!A168</f>
        <v>G576</v>
      </c>
      <c r="M170" t="str">
        <f>'Both teabags AfterWet'!A588</f>
        <v>R359</v>
      </c>
      <c r="N170" t="b">
        <f t="shared" si="121"/>
        <v>0</v>
      </c>
      <c r="O170" t="b">
        <f t="shared" si="171"/>
        <v>0</v>
      </c>
      <c r="Q170" s="388" t="b">
        <f t="shared" si="122"/>
        <v>0</v>
      </c>
      <c r="R170" s="388" t="b">
        <f t="shared" si="123"/>
        <v>0</v>
      </c>
      <c r="T170" t="str">
        <f>'Both teabags AfterDry'!A168</f>
        <v>G323</v>
      </c>
      <c r="U170" t="str">
        <f>'Both teabags AfterDry'!A503</f>
        <v>R645</v>
      </c>
      <c r="V170" t="b">
        <f t="shared" si="124"/>
        <v>0</v>
      </c>
      <c r="W170" t="b">
        <f t="shared" si="155"/>
        <v>0</v>
      </c>
      <c r="Y170" t="str">
        <f>'Green_rooibos initial weight'!A171</f>
        <v>G167</v>
      </c>
      <c r="Z170" t="str">
        <f>'Green_rooibos initial weight'!A1075</f>
        <v>R167</v>
      </c>
      <c r="AA170" t="b">
        <f t="shared" si="125"/>
        <v>0</v>
      </c>
      <c r="AB170" t="b">
        <f t="shared" si="126"/>
        <v>0</v>
      </c>
      <c r="AE170" t="str">
        <f>'WetLitterbags placem_collection'!K169</f>
        <v>G429</v>
      </c>
      <c r="AF170" t="str">
        <f>'WetLitterbags placem_collection'!M169</f>
        <v>R255</v>
      </c>
      <c r="AG170" t="b">
        <f t="shared" si="127"/>
        <v>0</v>
      </c>
      <c r="AH170" t="b">
        <f t="shared" si="128"/>
        <v>0</v>
      </c>
      <c r="AJ170" t="b">
        <f t="shared" si="129"/>
        <v>0</v>
      </c>
      <c r="AK170" t="b">
        <f t="shared" si="130"/>
        <v>0</v>
      </c>
      <c r="AM170" t="str">
        <f>IF(ISBLANK('Dry_Litterbag Placem_Collection'!J169),"","G"&amp;""&amp;'Dry_Litterbag Placem_Collection'!J169)</f>
        <v/>
      </c>
      <c r="AN170" t="str">
        <f>IF(ISBLANK('Dry_Litterbag Placem_Collection'!K169),"","R"&amp;""&amp;'Dry_Litterbag Placem_Collection'!K169)</f>
        <v/>
      </c>
      <c r="AO170" t="b">
        <f t="shared" si="131"/>
        <v>1</v>
      </c>
      <c r="AP170" t="b">
        <f t="shared" si="132"/>
        <v>1</v>
      </c>
      <c r="AS170" t="str">
        <f>'Ashed teabags dry'!A168</f>
        <v>G323</v>
      </c>
      <c r="AT170" t="str">
        <f>'Ashed teabags dry'!A503</f>
        <v>R645</v>
      </c>
      <c r="AU170" t="b">
        <f t="shared" si="133"/>
        <v>0</v>
      </c>
      <c r="AV170" t="b">
        <f t="shared" si="156"/>
        <v>0</v>
      </c>
      <c r="AX170" s="388" t="b">
        <f t="shared" si="134"/>
        <v>0</v>
      </c>
      <c r="AY170" s="388" t="b">
        <f t="shared" si="135"/>
        <v>0</v>
      </c>
      <c r="BA170" t="str">
        <f>'Ashed teabags wet'!A168</f>
        <v>G576</v>
      </c>
      <c r="BB170" t="str">
        <f>'Ashed teabags wet'!A588</f>
        <v>R359</v>
      </c>
      <c r="BC170" t="b">
        <f t="shared" si="136"/>
        <v>0</v>
      </c>
      <c r="BD170" t="b">
        <f t="shared" si="116"/>
        <v>0</v>
      </c>
      <c r="BF170" t="str">
        <f t="shared" si="137"/>
        <v>G322</v>
      </c>
      <c r="BG170" t="str">
        <f t="shared" si="138"/>
        <v>G322</v>
      </c>
      <c r="BH170" t="str">
        <f t="shared" si="139"/>
        <v>G1</v>
      </c>
      <c r="BI170" t="str">
        <f t="shared" si="157"/>
        <v>G1</v>
      </c>
      <c r="BJ170" t="s">
        <v>1728</v>
      </c>
      <c r="BK170" t="s">
        <v>1728</v>
      </c>
      <c r="BL170" t="s">
        <v>1728</v>
      </c>
      <c r="BM170" t="b">
        <f t="shared" si="158"/>
        <v>1</v>
      </c>
      <c r="BN170" t="str">
        <f t="shared" si="140"/>
        <v>R642</v>
      </c>
      <c r="BO170" t="str">
        <f t="shared" si="141"/>
        <v>R642</v>
      </c>
      <c r="BP170" t="str">
        <f t="shared" si="142"/>
        <v>R752</v>
      </c>
      <c r="BQ170" t="str">
        <f t="shared" si="143"/>
        <v>R752</v>
      </c>
      <c r="BR170" t="s">
        <v>497</v>
      </c>
      <c r="BS170" t="s">
        <v>494</v>
      </c>
      <c r="BT170" t="s">
        <v>497</v>
      </c>
      <c r="BU170" t="b">
        <f t="shared" si="159"/>
        <v>1</v>
      </c>
      <c r="BZ170" t="str">
        <f t="shared" si="144"/>
        <v>G1</v>
      </c>
      <c r="CA170" t="b">
        <f t="shared" si="145"/>
        <v>0</v>
      </c>
      <c r="CB170" t="str">
        <f t="shared" si="160"/>
        <v>G1</v>
      </c>
      <c r="CC170" t="str">
        <f t="shared" si="146"/>
        <v>R752</v>
      </c>
      <c r="CD170" t="b">
        <f t="shared" si="161"/>
        <v>0</v>
      </c>
      <c r="CE170" t="str">
        <f t="shared" si="162"/>
        <v>R752</v>
      </c>
      <c r="CG170" t="str">
        <f t="shared" si="147"/>
        <v>G575</v>
      </c>
      <c r="CH170" t="str">
        <f t="shared" si="163"/>
        <v>G575</v>
      </c>
      <c r="CI170" t="str">
        <f t="shared" si="148"/>
        <v>G334</v>
      </c>
      <c r="CJ170" t="str">
        <f t="shared" si="149"/>
        <v>G334</v>
      </c>
      <c r="CK170" t="s">
        <v>1475</v>
      </c>
      <c r="CL170" t="s">
        <v>1475</v>
      </c>
      <c r="CM170" t="s">
        <v>1475</v>
      </c>
      <c r="CN170" t="b">
        <f t="shared" si="164"/>
        <v>1</v>
      </c>
      <c r="CO170" t="str">
        <f t="shared" si="150"/>
        <v>R356</v>
      </c>
      <c r="CP170" t="str">
        <f t="shared" si="165"/>
        <v>R356</v>
      </c>
      <c r="CQ170" t="str">
        <f t="shared" si="151"/>
        <v>R287</v>
      </c>
      <c r="CR170" t="str">
        <f t="shared" si="152"/>
        <v>R287</v>
      </c>
      <c r="CS170" t="s">
        <v>785</v>
      </c>
      <c r="CT170" t="s">
        <v>785</v>
      </c>
      <c r="CU170" t="s">
        <v>785</v>
      </c>
      <c r="CV170" t="b">
        <f t="shared" si="166"/>
        <v>1</v>
      </c>
      <c r="DC170" t="str">
        <f t="shared" si="153"/>
        <v>G334</v>
      </c>
      <c r="DD170" t="b">
        <f t="shared" si="167"/>
        <v>0</v>
      </c>
      <c r="DE170" t="str">
        <f t="shared" si="168"/>
        <v>G334</v>
      </c>
      <c r="DF170" t="str">
        <f t="shared" si="154"/>
        <v>R287</v>
      </c>
      <c r="DG170" t="b">
        <f t="shared" si="169"/>
        <v>0</v>
      </c>
      <c r="DH170" t="str">
        <f t="shared" si="170"/>
        <v>R287</v>
      </c>
    </row>
    <row r="171" spans="2:112" ht="12" customHeight="1">
      <c r="B171" t="str">
        <f>TBIDry!H243</f>
        <v>G70</v>
      </c>
      <c r="C171" t="str">
        <f>TBIDry!I243</f>
        <v>R690</v>
      </c>
      <c r="D171" t="b">
        <f t="shared" si="117"/>
        <v>0</v>
      </c>
      <c r="E171" t="b">
        <f t="shared" si="118"/>
        <v>0</v>
      </c>
      <c r="G171" t="str">
        <f>TBIWet!H243</f>
        <v>G461</v>
      </c>
      <c r="H171" t="str">
        <f>TBIWet!I243</f>
        <v>R534</v>
      </c>
      <c r="I171" t="b">
        <f t="shared" si="119"/>
        <v>0</v>
      </c>
      <c r="J171" t="b">
        <f t="shared" si="120"/>
        <v>0</v>
      </c>
      <c r="L171" t="str">
        <f>'Both teabags AfterWet'!A169</f>
        <v>G577</v>
      </c>
      <c r="M171" t="str">
        <f>'Both teabags AfterWet'!A589</f>
        <v>R360</v>
      </c>
      <c r="N171" t="b">
        <f t="shared" si="121"/>
        <v>0</v>
      </c>
      <c r="O171" t="b">
        <f t="shared" si="171"/>
        <v>0</v>
      </c>
      <c r="Q171" s="388" t="b">
        <f t="shared" si="122"/>
        <v>0</v>
      </c>
      <c r="R171" s="388" t="b">
        <f t="shared" si="123"/>
        <v>0</v>
      </c>
      <c r="T171" t="str">
        <f>'Both teabags AfterDry'!A169</f>
        <v>G324</v>
      </c>
      <c r="U171" t="str">
        <f>'Both teabags AfterDry'!A504</f>
        <v>R646</v>
      </c>
      <c r="V171" t="b">
        <f t="shared" si="124"/>
        <v>0</v>
      </c>
      <c r="W171" t="b">
        <f t="shared" si="155"/>
        <v>0</v>
      </c>
      <c r="Y171" t="str">
        <f>'Green_rooibos initial weight'!A172</f>
        <v>G168</v>
      </c>
      <c r="Z171" t="str">
        <f>'Green_rooibos initial weight'!A1076</f>
        <v>R168</v>
      </c>
      <c r="AA171" t="b">
        <f t="shared" si="125"/>
        <v>0</v>
      </c>
      <c r="AB171" t="b">
        <f t="shared" si="126"/>
        <v>0</v>
      </c>
      <c r="AE171" t="str">
        <f>'WetLitterbags placem_collection'!K170</f>
        <v>G461</v>
      </c>
      <c r="AF171" t="str">
        <f>'WetLitterbags placem_collection'!M170</f>
        <v>R534</v>
      </c>
      <c r="AG171" t="b">
        <f t="shared" si="127"/>
        <v>0</v>
      </c>
      <c r="AH171" t="b">
        <f t="shared" si="128"/>
        <v>0</v>
      </c>
      <c r="AJ171" t="b">
        <f t="shared" si="129"/>
        <v>0</v>
      </c>
      <c r="AK171" t="b">
        <f t="shared" si="130"/>
        <v>0</v>
      </c>
      <c r="AM171" t="str">
        <f>IF(ISBLANK('Dry_Litterbag Placem_Collection'!J170),"","G"&amp;""&amp;'Dry_Litterbag Placem_Collection'!J170)</f>
        <v>G70</v>
      </c>
      <c r="AN171" t="str">
        <f>IF(ISBLANK('Dry_Litterbag Placem_Collection'!K170),"","R"&amp;""&amp;'Dry_Litterbag Placem_Collection'!K170)</f>
        <v>R690</v>
      </c>
      <c r="AO171" t="b">
        <f t="shared" si="131"/>
        <v>0</v>
      </c>
      <c r="AP171" t="b">
        <f t="shared" si="132"/>
        <v>0</v>
      </c>
      <c r="AS171" t="str">
        <f>'Ashed teabags dry'!A169</f>
        <v>G324</v>
      </c>
      <c r="AT171" t="str">
        <f>'Ashed teabags dry'!A504</f>
        <v>R646</v>
      </c>
      <c r="AU171" t="b">
        <f t="shared" si="133"/>
        <v>0</v>
      </c>
      <c r="AV171" t="b">
        <f t="shared" si="156"/>
        <v>0</v>
      </c>
      <c r="AX171" s="388" t="b">
        <f t="shared" si="134"/>
        <v>0</v>
      </c>
      <c r="AY171" s="388" t="b">
        <f t="shared" si="135"/>
        <v>0</v>
      </c>
      <c r="BA171" t="str">
        <f>'Ashed teabags wet'!A169</f>
        <v>G577</v>
      </c>
      <c r="BB171" t="str">
        <f>'Ashed teabags wet'!A589</f>
        <v>R360</v>
      </c>
      <c r="BC171" t="b">
        <f t="shared" si="136"/>
        <v>0</v>
      </c>
      <c r="BD171" t="b">
        <f t="shared" si="116"/>
        <v>0</v>
      </c>
      <c r="BF171" t="str">
        <f t="shared" si="137"/>
        <v>G323</v>
      </c>
      <c r="BG171" t="str">
        <f t="shared" si="138"/>
        <v>G323</v>
      </c>
      <c r="BH171" t="str">
        <f t="shared" si="139"/>
        <v/>
      </c>
      <c r="BI171" t="str">
        <f t="shared" si="157"/>
        <v/>
      </c>
      <c r="BJ171" t="s">
        <v>1727</v>
      </c>
      <c r="BK171" t="s">
        <v>1727</v>
      </c>
      <c r="BL171" t="s">
        <v>1727</v>
      </c>
      <c r="BM171" t="b">
        <f t="shared" si="158"/>
        <v>1</v>
      </c>
      <c r="BN171" t="str">
        <f t="shared" si="140"/>
        <v>R645</v>
      </c>
      <c r="BO171" t="str">
        <f t="shared" si="141"/>
        <v>R645</v>
      </c>
      <c r="BP171" t="str">
        <f t="shared" si="142"/>
        <v/>
      </c>
      <c r="BQ171" t="str">
        <f t="shared" si="143"/>
        <v/>
      </c>
      <c r="BR171" t="s">
        <v>494</v>
      </c>
      <c r="BS171" t="s">
        <v>493</v>
      </c>
      <c r="BT171" t="s">
        <v>494</v>
      </c>
      <c r="BU171" t="b">
        <f t="shared" si="159"/>
        <v>1</v>
      </c>
      <c r="BZ171" t="str">
        <f t="shared" si="144"/>
        <v/>
      </c>
      <c r="CA171" t="b">
        <f t="shared" si="145"/>
        <v>0</v>
      </c>
      <c r="CB171" t="str">
        <f t="shared" si="160"/>
        <v/>
      </c>
      <c r="CC171" t="str">
        <f t="shared" si="146"/>
        <v/>
      </c>
      <c r="CD171" t="b">
        <f t="shared" si="161"/>
        <v>0</v>
      </c>
      <c r="CE171" t="str">
        <f t="shared" si="162"/>
        <v/>
      </c>
      <c r="CG171" t="str">
        <f t="shared" si="147"/>
        <v>G576</v>
      </c>
      <c r="CH171" t="str">
        <f t="shared" si="163"/>
        <v>G576</v>
      </c>
      <c r="CI171" t="str">
        <f t="shared" si="148"/>
        <v>G429</v>
      </c>
      <c r="CJ171" t="str">
        <f t="shared" si="149"/>
        <v>G429</v>
      </c>
      <c r="CK171" t="s">
        <v>1474</v>
      </c>
      <c r="CL171" t="s">
        <v>1474</v>
      </c>
      <c r="CM171" t="s">
        <v>1474</v>
      </c>
      <c r="CN171" t="b">
        <f t="shared" si="164"/>
        <v>1</v>
      </c>
      <c r="CO171" t="str">
        <f t="shared" si="150"/>
        <v>R359</v>
      </c>
      <c r="CP171" t="str">
        <f t="shared" si="165"/>
        <v>R359</v>
      </c>
      <c r="CQ171" t="str">
        <f t="shared" si="151"/>
        <v>R255</v>
      </c>
      <c r="CR171" t="str">
        <f t="shared" si="152"/>
        <v>R255</v>
      </c>
      <c r="CS171" t="s">
        <v>782</v>
      </c>
      <c r="CT171" t="s">
        <v>782</v>
      </c>
      <c r="CU171" t="s">
        <v>782</v>
      </c>
      <c r="CV171" t="b">
        <f t="shared" si="166"/>
        <v>1</v>
      </c>
      <c r="DC171" t="str">
        <f t="shared" si="153"/>
        <v>G429</v>
      </c>
      <c r="DD171" t="b">
        <f t="shared" si="167"/>
        <v>0</v>
      </c>
      <c r="DE171" t="str">
        <f t="shared" si="168"/>
        <v>G429</v>
      </c>
      <c r="DF171" t="str">
        <f t="shared" si="154"/>
        <v>R255</v>
      </c>
      <c r="DG171" t="b">
        <f t="shared" si="169"/>
        <v>0</v>
      </c>
      <c r="DH171" t="str">
        <f t="shared" si="170"/>
        <v>R255</v>
      </c>
    </row>
    <row r="172" spans="2:112" ht="12" customHeight="1">
      <c r="B172" t="str">
        <f>TBIDry!H244</f>
        <v>G250</v>
      </c>
      <c r="C172" t="str">
        <f>TBIDry!I244</f>
        <v>R684</v>
      </c>
      <c r="D172" s="113" t="b">
        <f t="shared" si="117"/>
        <v>0</v>
      </c>
      <c r="E172" t="b">
        <f t="shared" si="118"/>
        <v>0</v>
      </c>
      <c r="G172" t="str">
        <f>TBIWet!H244</f>
        <v>G425</v>
      </c>
      <c r="H172" t="str">
        <f>TBIWet!I244</f>
        <v>R453</v>
      </c>
      <c r="I172" t="b">
        <f t="shared" si="119"/>
        <v>0</v>
      </c>
      <c r="J172" t="b">
        <f t="shared" si="120"/>
        <v>0</v>
      </c>
      <c r="L172" t="str">
        <f>'Both teabags AfterWet'!A170</f>
        <v>G579</v>
      </c>
      <c r="M172" t="str">
        <f>'Both teabags AfterWet'!A590</f>
        <v>R362</v>
      </c>
      <c r="N172" t="b">
        <f t="shared" si="121"/>
        <v>0</v>
      </c>
      <c r="O172" t="b">
        <f t="shared" si="171"/>
        <v>0</v>
      </c>
      <c r="Q172" s="388" t="b">
        <f t="shared" si="122"/>
        <v>0</v>
      </c>
      <c r="R172" s="388" t="b">
        <f t="shared" si="123"/>
        <v>0</v>
      </c>
      <c r="T172" t="str">
        <f>'Both teabags AfterDry'!A170</f>
        <v>G326</v>
      </c>
      <c r="U172" t="str">
        <f>'Both teabags AfterDry'!A505</f>
        <v>R647</v>
      </c>
      <c r="V172" t="b">
        <f t="shared" si="124"/>
        <v>0</v>
      </c>
      <c r="W172" t="b">
        <f t="shared" si="155"/>
        <v>0</v>
      </c>
      <c r="Y172" t="str">
        <f>'Green_rooibos initial weight'!A173</f>
        <v>G169</v>
      </c>
      <c r="Z172" t="str">
        <f>'Green_rooibos initial weight'!A1077</f>
        <v>R169</v>
      </c>
      <c r="AA172" t="b">
        <f t="shared" si="125"/>
        <v>0</v>
      </c>
      <c r="AB172" t="b">
        <f t="shared" si="126"/>
        <v>0</v>
      </c>
      <c r="AE172" t="str">
        <f>'WetLitterbags placem_collection'!K171</f>
        <v>G425</v>
      </c>
      <c r="AF172" t="str">
        <f>'WetLitterbags placem_collection'!M171</f>
        <v>R453</v>
      </c>
      <c r="AG172" t="b">
        <f t="shared" si="127"/>
        <v>0</v>
      </c>
      <c r="AH172" t="b">
        <f t="shared" si="128"/>
        <v>0</v>
      </c>
      <c r="AJ172" t="b">
        <f t="shared" si="129"/>
        <v>0</v>
      </c>
      <c r="AK172" t="b">
        <f t="shared" si="130"/>
        <v>0</v>
      </c>
      <c r="AM172" t="str">
        <f>IF(ISBLANK('Dry_Litterbag Placem_Collection'!J171),"","G"&amp;""&amp;'Dry_Litterbag Placem_Collection'!J171)</f>
        <v>G250</v>
      </c>
      <c r="AN172" t="str">
        <f>IF(ISBLANK('Dry_Litterbag Placem_Collection'!K171),"","R"&amp;""&amp;'Dry_Litterbag Placem_Collection'!K171)</f>
        <v>R684</v>
      </c>
      <c r="AO172" t="b">
        <f t="shared" si="131"/>
        <v>0</v>
      </c>
      <c r="AP172" t="b">
        <f t="shared" si="132"/>
        <v>0</v>
      </c>
      <c r="AS172" t="str">
        <f>'Ashed teabags dry'!A170</f>
        <v>G326</v>
      </c>
      <c r="AT172" t="str">
        <f>'Ashed teabags dry'!A505</f>
        <v>R647</v>
      </c>
      <c r="AU172" t="b">
        <f t="shared" si="133"/>
        <v>0</v>
      </c>
      <c r="AV172" t="b">
        <f t="shared" si="156"/>
        <v>0</v>
      </c>
      <c r="AX172" s="388" t="b">
        <f t="shared" si="134"/>
        <v>0</v>
      </c>
      <c r="AY172" s="388" t="b">
        <f t="shared" si="135"/>
        <v>0</v>
      </c>
      <c r="BA172" t="str">
        <f>'Ashed teabags wet'!A170</f>
        <v>G579</v>
      </c>
      <c r="BB172" t="str">
        <f>'Ashed teabags wet'!A590</f>
        <v>R362</v>
      </c>
      <c r="BC172" t="b">
        <f t="shared" si="136"/>
        <v>0</v>
      </c>
      <c r="BD172" t="b">
        <f t="shared" si="116"/>
        <v>0</v>
      </c>
      <c r="BF172" t="str">
        <f t="shared" si="137"/>
        <v>G324</v>
      </c>
      <c r="BG172" t="str">
        <f t="shared" si="138"/>
        <v>G324</v>
      </c>
      <c r="BH172" t="str">
        <f t="shared" si="139"/>
        <v>G70</v>
      </c>
      <c r="BI172" t="str">
        <f t="shared" si="157"/>
        <v/>
      </c>
      <c r="BJ172" t="s">
        <v>1726</v>
      </c>
      <c r="BK172" t="s">
        <v>1726</v>
      </c>
      <c r="BL172" t="s">
        <v>1726</v>
      </c>
      <c r="BM172" t="b">
        <f t="shared" si="158"/>
        <v>1</v>
      </c>
      <c r="BN172" t="str">
        <f t="shared" si="140"/>
        <v>R646</v>
      </c>
      <c r="BO172" t="str">
        <f t="shared" si="141"/>
        <v>R646</v>
      </c>
      <c r="BP172" t="str">
        <f t="shared" si="142"/>
        <v>R690</v>
      </c>
      <c r="BQ172" t="str">
        <f t="shared" si="143"/>
        <v/>
      </c>
      <c r="BR172" t="s">
        <v>493</v>
      </c>
      <c r="BS172" t="s">
        <v>492</v>
      </c>
      <c r="BT172" t="s">
        <v>493</v>
      </c>
      <c r="BU172" t="b">
        <f t="shared" si="159"/>
        <v>1</v>
      </c>
      <c r="BZ172" t="str">
        <f t="shared" si="144"/>
        <v>G70</v>
      </c>
      <c r="CA172" t="b">
        <f t="shared" si="145"/>
        <v>1</v>
      </c>
      <c r="CB172" t="str">
        <f t="shared" si="160"/>
        <v/>
      </c>
      <c r="CC172" t="str">
        <f t="shared" si="146"/>
        <v>R690</v>
      </c>
      <c r="CD172" t="b">
        <f t="shared" si="161"/>
        <v>1</v>
      </c>
      <c r="CE172" t="str">
        <f t="shared" si="162"/>
        <v/>
      </c>
      <c r="CG172" t="str">
        <f t="shared" si="147"/>
        <v>G577</v>
      </c>
      <c r="CH172" t="str">
        <f t="shared" si="163"/>
        <v>G577</v>
      </c>
      <c r="CI172" t="str">
        <f t="shared" si="148"/>
        <v>G461</v>
      </c>
      <c r="CJ172" t="str">
        <f t="shared" si="149"/>
        <v>G461</v>
      </c>
      <c r="CK172" t="s">
        <v>1473</v>
      </c>
      <c r="CL172" t="s">
        <v>1473</v>
      </c>
      <c r="CM172" t="s">
        <v>1473</v>
      </c>
      <c r="CN172" t="b">
        <f t="shared" si="164"/>
        <v>1</v>
      </c>
      <c r="CO172" t="str">
        <f t="shared" si="150"/>
        <v>R360</v>
      </c>
      <c r="CP172" t="str">
        <f t="shared" si="165"/>
        <v>R360</v>
      </c>
      <c r="CQ172" t="str">
        <f t="shared" si="151"/>
        <v>R534</v>
      </c>
      <c r="CR172" t="str">
        <f t="shared" si="152"/>
        <v>R534</v>
      </c>
      <c r="CS172" t="s">
        <v>781</v>
      </c>
      <c r="CT172" t="s">
        <v>781</v>
      </c>
      <c r="CU172" t="s">
        <v>781</v>
      </c>
      <c r="CV172" t="b">
        <f t="shared" si="166"/>
        <v>1</v>
      </c>
      <c r="DC172" t="str">
        <f t="shared" si="153"/>
        <v>G461</v>
      </c>
      <c r="DD172" t="b">
        <f t="shared" si="167"/>
        <v>0</v>
      </c>
      <c r="DE172" t="str">
        <f t="shared" si="168"/>
        <v>G461</v>
      </c>
      <c r="DF172" t="str">
        <f t="shared" si="154"/>
        <v>R534</v>
      </c>
      <c r="DG172" t="b">
        <f t="shared" si="169"/>
        <v>0</v>
      </c>
      <c r="DH172" t="str">
        <f t="shared" si="170"/>
        <v>R534</v>
      </c>
    </row>
    <row r="173" spans="2:112" ht="12" customHeight="1">
      <c r="B173" t="str">
        <f>TBIDry!H245</f>
        <v>G624</v>
      </c>
      <c r="C173" t="str">
        <f>TBIDry!I245</f>
        <v>R694</v>
      </c>
      <c r="D173" t="b">
        <f t="shared" si="117"/>
        <v>0</v>
      </c>
      <c r="E173" t="b">
        <f t="shared" si="118"/>
        <v>0</v>
      </c>
      <c r="G173" t="str">
        <f>TBIWet!H245</f>
        <v>G433</v>
      </c>
      <c r="H173" t="str">
        <f>TBIWet!I245</f>
        <v>R330</v>
      </c>
      <c r="I173" t="b">
        <f t="shared" si="119"/>
        <v>0</v>
      </c>
      <c r="J173" t="b">
        <f t="shared" si="120"/>
        <v>0</v>
      </c>
      <c r="L173" t="str">
        <f>'Both teabags AfterWet'!A171</f>
        <v>G581</v>
      </c>
      <c r="M173" t="str">
        <f>'Both teabags AfterWet'!A591</f>
        <v>R363</v>
      </c>
      <c r="N173" t="b">
        <f t="shared" si="121"/>
        <v>0</v>
      </c>
      <c r="O173" t="b">
        <f t="shared" si="171"/>
        <v>0</v>
      </c>
      <c r="Q173" s="388" t="b">
        <f t="shared" si="122"/>
        <v>0</v>
      </c>
      <c r="R173" s="388" t="b">
        <f t="shared" si="123"/>
        <v>0</v>
      </c>
      <c r="T173" t="str">
        <f>'Both teabags AfterDry'!A171</f>
        <v>G329</v>
      </c>
      <c r="U173" t="str">
        <f>'Both teabags AfterDry'!A506</f>
        <v>R648</v>
      </c>
      <c r="V173" t="b">
        <f t="shared" si="124"/>
        <v>0</v>
      </c>
      <c r="W173" t="b">
        <f t="shared" si="155"/>
        <v>0</v>
      </c>
      <c r="Y173" t="str">
        <f>'Green_rooibos initial weight'!A174</f>
        <v>G170</v>
      </c>
      <c r="Z173" t="str">
        <f>'Green_rooibos initial weight'!A1078</f>
        <v>R170</v>
      </c>
      <c r="AA173" t="b">
        <f t="shared" si="125"/>
        <v>0</v>
      </c>
      <c r="AB173" t="b">
        <f t="shared" si="126"/>
        <v>0</v>
      </c>
      <c r="AE173" t="str">
        <f>'WetLitterbags placem_collection'!K172</f>
        <v>G433</v>
      </c>
      <c r="AF173" t="str">
        <f>'WetLitterbags placem_collection'!M172</f>
        <v>R330</v>
      </c>
      <c r="AG173" t="b">
        <f t="shared" si="127"/>
        <v>0</v>
      </c>
      <c r="AH173" t="b">
        <f t="shared" si="128"/>
        <v>0</v>
      </c>
      <c r="AJ173" t="b">
        <f t="shared" si="129"/>
        <v>0</v>
      </c>
      <c r="AK173" t="b">
        <f t="shared" si="130"/>
        <v>0</v>
      </c>
      <c r="AM173" t="str">
        <f>IF(ISBLANK('Dry_Litterbag Placem_Collection'!J172),"","G"&amp;""&amp;'Dry_Litterbag Placem_Collection'!J172)</f>
        <v>G624</v>
      </c>
      <c r="AN173" t="str">
        <f>IF(ISBLANK('Dry_Litterbag Placem_Collection'!K172),"","R"&amp;""&amp;'Dry_Litterbag Placem_Collection'!K172)</f>
        <v>R694</v>
      </c>
      <c r="AO173" t="b">
        <f t="shared" si="131"/>
        <v>0</v>
      </c>
      <c r="AP173" t="b">
        <f t="shared" si="132"/>
        <v>0</v>
      </c>
      <c r="AS173" t="str">
        <f>'Ashed teabags dry'!A171</f>
        <v>G329</v>
      </c>
      <c r="AT173" t="str">
        <f>'Ashed teabags dry'!A506</f>
        <v>R648</v>
      </c>
      <c r="AU173" t="b">
        <f t="shared" si="133"/>
        <v>0</v>
      </c>
      <c r="AV173" t="b">
        <f t="shared" si="156"/>
        <v>0</v>
      </c>
      <c r="AX173" s="388" t="b">
        <f t="shared" si="134"/>
        <v>0</v>
      </c>
      <c r="AY173" s="388" t="b">
        <f t="shared" si="135"/>
        <v>0</v>
      </c>
      <c r="BA173" t="str">
        <f>'Ashed teabags wet'!A171</f>
        <v>G581</v>
      </c>
      <c r="BB173" t="str">
        <f>'Ashed teabags wet'!A591</f>
        <v>R363</v>
      </c>
      <c r="BC173" t="b">
        <f t="shared" si="136"/>
        <v>0</v>
      </c>
      <c r="BD173" t="b">
        <f t="shared" si="116"/>
        <v>0</v>
      </c>
      <c r="BF173" t="str">
        <f t="shared" si="137"/>
        <v>G326</v>
      </c>
      <c r="BG173" t="str">
        <f t="shared" si="138"/>
        <v>G326</v>
      </c>
      <c r="BH173" t="str">
        <f t="shared" si="139"/>
        <v>G250</v>
      </c>
      <c r="BI173" t="str">
        <f t="shared" si="157"/>
        <v>G250</v>
      </c>
      <c r="BJ173" t="s">
        <v>1724</v>
      </c>
      <c r="BK173" t="s">
        <v>1724</v>
      </c>
      <c r="BL173" t="s">
        <v>1724</v>
      </c>
      <c r="BM173" t="b">
        <f t="shared" si="158"/>
        <v>1</v>
      </c>
      <c r="BN173" t="str">
        <f t="shared" si="140"/>
        <v>R647</v>
      </c>
      <c r="BO173" t="str">
        <f t="shared" si="141"/>
        <v>R647</v>
      </c>
      <c r="BP173" t="str">
        <f t="shared" si="142"/>
        <v>R684</v>
      </c>
      <c r="BQ173" t="str">
        <f t="shared" si="143"/>
        <v>R684</v>
      </c>
      <c r="BR173" t="s">
        <v>492</v>
      </c>
      <c r="BS173" t="s">
        <v>491</v>
      </c>
      <c r="BT173" t="s">
        <v>492</v>
      </c>
      <c r="BU173" t="b">
        <f t="shared" si="159"/>
        <v>1</v>
      </c>
      <c r="BZ173" t="str">
        <f t="shared" si="144"/>
        <v>G250</v>
      </c>
      <c r="CA173" t="b">
        <f t="shared" si="145"/>
        <v>0</v>
      </c>
      <c r="CB173" t="str">
        <f t="shared" si="160"/>
        <v>G250</v>
      </c>
      <c r="CC173" t="str">
        <f t="shared" si="146"/>
        <v>R684</v>
      </c>
      <c r="CD173" t="b">
        <f t="shared" si="161"/>
        <v>0</v>
      </c>
      <c r="CE173" t="str">
        <f t="shared" si="162"/>
        <v>R684</v>
      </c>
      <c r="CG173" t="str">
        <f t="shared" si="147"/>
        <v>G579</v>
      </c>
      <c r="CH173" t="str">
        <f t="shared" si="163"/>
        <v>G579</v>
      </c>
      <c r="CI173" t="str">
        <f t="shared" si="148"/>
        <v>G425</v>
      </c>
      <c r="CJ173" t="str">
        <f t="shared" si="149"/>
        <v>G425</v>
      </c>
      <c r="CK173" t="s">
        <v>1471</v>
      </c>
      <c r="CL173" t="s">
        <v>1471</v>
      </c>
      <c r="CM173" t="s">
        <v>1471</v>
      </c>
      <c r="CN173" t="b">
        <f t="shared" si="164"/>
        <v>1</v>
      </c>
      <c r="CO173" t="str">
        <f t="shared" si="150"/>
        <v>R362</v>
      </c>
      <c r="CP173" t="str">
        <f t="shared" si="165"/>
        <v>R362</v>
      </c>
      <c r="CQ173" t="str">
        <f t="shared" si="151"/>
        <v>R453</v>
      </c>
      <c r="CR173" t="str">
        <f t="shared" si="152"/>
        <v>R453</v>
      </c>
      <c r="CS173" t="s">
        <v>779</v>
      </c>
      <c r="CT173" t="s">
        <v>779</v>
      </c>
      <c r="CU173" t="s">
        <v>779</v>
      </c>
      <c r="CV173" t="b">
        <f t="shared" si="166"/>
        <v>1</v>
      </c>
      <c r="DC173" t="str">
        <f t="shared" si="153"/>
        <v>G425</v>
      </c>
      <c r="DD173" t="b">
        <f t="shared" si="167"/>
        <v>0</v>
      </c>
      <c r="DE173" t="str">
        <f t="shared" si="168"/>
        <v>G425</v>
      </c>
      <c r="DF173" t="str">
        <f t="shared" si="154"/>
        <v>R453</v>
      </c>
      <c r="DG173" t="b">
        <f t="shared" si="169"/>
        <v>0</v>
      </c>
      <c r="DH173" t="str">
        <f t="shared" si="170"/>
        <v>R453</v>
      </c>
    </row>
    <row r="174" spans="2:112" ht="12" customHeight="1">
      <c r="B174" t="str">
        <f>TBIDry!H246</f>
        <v>G149</v>
      </c>
      <c r="C174" t="str">
        <f>TBIDry!I246</f>
        <v>R655</v>
      </c>
      <c r="D174" t="b">
        <f t="shared" si="117"/>
        <v>0</v>
      </c>
      <c r="E174" t="b">
        <f t="shared" si="118"/>
        <v>0</v>
      </c>
      <c r="G174" t="str">
        <f>TBIWet!H246</f>
        <v>G656</v>
      </c>
      <c r="H174" t="str">
        <f>TBIWet!I246</f>
        <v>R558</v>
      </c>
      <c r="I174" t="b">
        <f t="shared" si="119"/>
        <v>0</v>
      </c>
      <c r="J174" t="b">
        <f t="shared" si="120"/>
        <v>0</v>
      </c>
      <c r="L174" t="str">
        <f>'Both teabags AfterWet'!A172</f>
        <v>G582</v>
      </c>
      <c r="M174" t="str">
        <f>'Both teabags AfterWet'!A592</f>
        <v>R364</v>
      </c>
      <c r="N174" t="b">
        <f t="shared" si="121"/>
        <v>0</v>
      </c>
      <c r="O174" t="b">
        <f t="shared" si="171"/>
        <v>0</v>
      </c>
      <c r="Q174" s="388" t="b">
        <f t="shared" si="122"/>
        <v>0</v>
      </c>
      <c r="R174" s="388" t="b">
        <f t="shared" si="123"/>
        <v>0</v>
      </c>
      <c r="T174" t="str">
        <f>'Both teabags AfterDry'!A172</f>
        <v>G331</v>
      </c>
      <c r="U174" t="str">
        <f>'Both teabags AfterDry'!A507</f>
        <v>R649</v>
      </c>
      <c r="V174" t="b">
        <f t="shared" si="124"/>
        <v>0</v>
      </c>
      <c r="W174" t="b">
        <f t="shared" si="155"/>
        <v>0</v>
      </c>
      <c r="Y174" t="str">
        <f>'Green_rooibos initial weight'!A175</f>
        <v>G171</v>
      </c>
      <c r="Z174" t="str">
        <f>'Green_rooibos initial weight'!A1079</f>
        <v>R171</v>
      </c>
      <c r="AA174" t="b">
        <f t="shared" si="125"/>
        <v>0</v>
      </c>
      <c r="AB174" t="b">
        <f t="shared" si="126"/>
        <v>0</v>
      </c>
      <c r="AE174" t="str">
        <f>'WetLitterbags placem_collection'!K173</f>
        <v>G656</v>
      </c>
      <c r="AF174" t="str">
        <f>'WetLitterbags placem_collection'!M173</f>
        <v>R558</v>
      </c>
      <c r="AG174" t="b">
        <f t="shared" si="127"/>
        <v>0</v>
      </c>
      <c r="AH174" t="b">
        <f t="shared" si="128"/>
        <v>0</v>
      </c>
      <c r="AJ174" t="b">
        <f t="shared" si="129"/>
        <v>0</v>
      </c>
      <c r="AK174" t="b">
        <f t="shared" si="130"/>
        <v>0</v>
      </c>
      <c r="AM174" t="str">
        <f>IF(ISBLANK('Dry_Litterbag Placem_Collection'!J173),"","G"&amp;""&amp;'Dry_Litterbag Placem_Collection'!J173)</f>
        <v>G149</v>
      </c>
      <c r="AN174" t="str">
        <f>IF(ISBLANK('Dry_Litterbag Placem_Collection'!K173),"","R"&amp;""&amp;'Dry_Litterbag Placem_Collection'!K173)</f>
        <v>R655</v>
      </c>
      <c r="AO174" t="b">
        <f t="shared" si="131"/>
        <v>0</v>
      </c>
      <c r="AP174" t="b">
        <f t="shared" si="132"/>
        <v>0</v>
      </c>
      <c r="AS174" t="str">
        <f>'Ashed teabags dry'!A172</f>
        <v>G331</v>
      </c>
      <c r="AT174" t="str">
        <f>'Ashed teabags dry'!A507</f>
        <v>R649</v>
      </c>
      <c r="AU174" t="b">
        <f t="shared" si="133"/>
        <v>0</v>
      </c>
      <c r="AV174" t="b">
        <f t="shared" si="156"/>
        <v>0</v>
      </c>
      <c r="AX174" s="388" t="b">
        <f t="shared" si="134"/>
        <v>0</v>
      </c>
      <c r="AY174" s="388" t="b">
        <f t="shared" si="135"/>
        <v>0</v>
      </c>
      <c r="BA174" t="str">
        <f>'Ashed teabags wet'!A172</f>
        <v>G582</v>
      </c>
      <c r="BB174" t="str">
        <f>'Ashed teabags wet'!A592</f>
        <v>R364</v>
      </c>
      <c r="BC174" t="b">
        <f t="shared" si="136"/>
        <v>0</v>
      </c>
      <c r="BD174" t="b">
        <f t="shared" si="116"/>
        <v>0</v>
      </c>
      <c r="BF174" t="str">
        <f t="shared" si="137"/>
        <v>G329</v>
      </c>
      <c r="BG174" t="str">
        <f t="shared" si="138"/>
        <v>G329</v>
      </c>
      <c r="BH174" t="str">
        <f t="shared" si="139"/>
        <v>G624</v>
      </c>
      <c r="BI174" t="str">
        <f t="shared" si="157"/>
        <v>G624</v>
      </c>
      <c r="BJ174" t="s">
        <v>1721</v>
      </c>
      <c r="BK174" t="s">
        <v>1721</v>
      </c>
      <c r="BL174" t="s">
        <v>1721</v>
      </c>
      <c r="BM174" t="b">
        <f t="shared" si="158"/>
        <v>1</v>
      </c>
      <c r="BN174" t="str">
        <f t="shared" si="140"/>
        <v>R648</v>
      </c>
      <c r="BO174" t="str">
        <f t="shared" si="141"/>
        <v>R648</v>
      </c>
      <c r="BP174" t="str">
        <f t="shared" si="142"/>
        <v>R694</v>
      </c>
      <c r="BQ174" t="str">
        <f t="shared" si="143"/>
        <v>R694</v>
      </c>
      <c r="BR174" t="s">
        <v>491</v>
      </c>
      <c r="BS174" t="s">
        <v>490</v>
      </c>
      <c r="BT174" t="s">
        <v>491</v>
      </c>
      <c r="BU174" t="b">
        <f t="shared" si="159"/>
        <v>1</v>
      </c>
      <c r="BZ174" t="str">
        <f t="shared" si="144"/>
        <v>G624</v>
      </c>
      <c r="CA174" t="b">
        <f t="shared" si="145"/>
        <v>0</v>
      </c>
      <c r="CB174" t="str">
        <f t="shared" si="160"/>
        <v>G624</v>
      </c>
      <c r="CC174" t="str">
        <f t="shared" si="146"/>
        <v>R694</v>
      </c>
      <c r="CD174" t="b">
        <f t="shared" si="161"/>
        <v>0</v>
      </c>
      <c r="CE174" t="str">
        <f t="shared" si="162"/>
        <v>R694</v>
      </c>
      <c r="CG174" t="str">
        <f t="shared" si="147"/>
        <v>G581</v>
      </c>
      <c r="CH174" t="str">
        <f t="shared" si="163"/>
        <v>G581</v>
      </c>
      <c r="CI174" t="str">
        <f t="shared" si="148"/>
        <v>G433</v>
      </c>
      <c r="CJ174" t="str">
        <f t="shared" si="149"/>
        <v>G433</v>
      </c>
      <c r="CK174" t="s">
        <v>1469</v>
      </c>
      <c r="CL174" t="s">
        <v>1469</v>
      </c>
      <c r="CM174" t="s">
        <v>1469</v>
      </c>
      <c r="CN174" t="b">
        <f t="shared" si="164"/>
        <v>1</v>
      </c>
      <c r="CO174" t="str">
        <f t="shared" si="150"/>
        <v>R363</v>
      </c>
      <c r="CP174" t="str">
        <f t="shared" si="165"/>
        <v>R363</v>
      </c>
      <c r="CQ174" t="str">
        <f t="shared" si="151"/>
        <v>R330</v>
      </c>
      <c r="CR174" t="str">
        <f t="shared" si="152"/>
        <v>R330</v>
      </c>
      <c r="CS174" t="s">
        <v>778</v>
      </c>
      <c r="CT174" t="s">
        <v>778</v>
      </c>
      <c r="CU174" t="s">
        <v>778</v>
      </c>
      <c r="CV174" t="b">
        <f t="shared" si="166"/>
        <v>1</v>
      </c>
      <c r="DC174" t="str">
        <f t="shared" si="153"/>
        <v>G433</v>
      </c>
      <c r="DD174" t="b">
        <f t="shared" si="167"/>
        <v>0</v>
      </c>
      <c r="DE174" t="str">
        <f t="shared" si="168"/>
        <v>G433</v>
      </c>
      <c r="DF174" t="str">
        <f t="shared" si="154"/>
        <v>R330</v>
      </c>
      <c r="DG174" t="b">
        <f t="shared" si="169"/>
        <v>0</v>
      </c>
      <c r="DH174" t="str">
        <f t="shared" si="170"/>
        <v>R330</v>
      </c>
    </row>
    <row r="175" spans="2:112" ht="12" customHeight="1">
      <c r="B175" t="str">
        <f>TBIDry!H247</f>
        <v/>
      </c>
      <c r="C175" t="str">
        <f>TBIDry!I247</f>
        <v/>
      </c>
      <c r="D175" t="b">
        <f t="shared" si="117"/>
        <v>1</v>
      </c>
      <c r="E175" t="b">
        <f t="shared" si="118"/>
        <v>1</v>
      </c>
      <c r="G175" t="str">
        <f>TBIWet!H247</f>
        <v>G281</v>
      </c>
      <c r="H175" t="str">
        <f>TBIWet!I247</f>
        <v>R157</v>
      </c>
      <c r="I175" t="b">
        <f t="shared" si="119"/>
        <v>0</v>
      </c>
      <c r="J175" t="b">
        <f t="shared" si="120"/>
        <v>0</v>
      </c>
      <c r="L175" t="str">
        <f>'Both teabags AfterWet'!A173</f>
        <v>G583</v>
      </c>
      <c r="M175" t="str">
        <f>'Both teabags AfterWet'!A593</f>
        <v>R368</v>
      </c>
      <c r="N175" t="b">
        <f t="shared" si="121"/>
        <v>0</v>
      </c>
      <c r="O175" t="b">
        <f t="shared" si="171"/>
        <v>0</v>
      </c>
      <c r="Q175" s="388" t="b">
        <f t="shared" si="122"/>
        <v>0</v>
      </c>
      <c r="R175" s="388" t="b">
        <f t="shared" si="123"/>
        <v>0</v>
      </c>
      <c r="T175" t="str">
        <f>'Both teabags AfterDry'!A173</f>
        <v>G332</v>
      </c>
      <c r="U175" t="str">
        <f>'Both teabags AfterDry'!A508</f>
        <v>R650</v>
      </c>
      <c r="V175" t="b">
        <f t="shared" si="124"/>
        <v>0</v>
      </c>
      <c r="W175" t="b">
        <f t="shared" si="155"/>
        <v>0</v>
      </c>
      <c r="Y175" t="str">
        <f>'Green_rooibos initial weight'!A176</f>
        <v>G172</v>
      </c>
      <c r="Z175" t="str">
        <f>'Green_rooibos initial weight'!A1080</f>
        <v>R172</v>
      </c>
      <c r="AA175" t="b">
        <f t="shared" si="125"/>
        <v>0</v>
      </c>
      <c r="AB175" t="b">
        <f t="shared" si="126"/>
        <v>0</v>
      </c>
      <c r="AE175" t="str">
        <f>'WetLitterbags placem_collection'!K174</f>
        <v>G281</v>
      </c>
      <c r="AF175" t="str">
        <f>'WetLitterbags placem_collection'!M174</f>
        <v>R157</v>
      </c>
      <c r="AG175" t="b">
        <f t="shared" si="127"/>
        <v>0</v>
      </c>
      <c r="AH175" t="b">
        <f t="shared" si="128"/>
        <v>0</v>
      </c>
      <c r="AJ175" t="b">
        <f t="shared" si="129"/>
        <v>0</v>
      </c>
      <c r="AK175" t="b">
        <f t="shared" si="130"/>
        <v>0</v>
      </c>
      <c r="AM175" t="str">
        <f>IF(ISBLANK('Dry_Litterbag Placem_Collection'!J174),"","G"&amp;""&amp;'Dry_Litterbag Placem_Collection'!J174)</f>
        <v/>
      </c>
      <c r="AN175" t="str">
        <f>IF(ISBLANK('Dry_Litterbag Placem_Collection'!K174),"","R"&amp;""&amp;'Dry_Litterbag Placem_Collection'!K174)</f>
        <v/>
      </c>
      <c r="AO175" t="b">
        <f t="shared" si="131"/>
        <v>1</v>
      </c>
      <c r="AP175" t="b">
        <f t="shared" si="132"/>
        <v>1</v>
      </c>
      <c r="AS175" t="str">
        <f>'Ashed teabags dry'!A173</f>
        <v>G332</v>
      </c>
      <c r="AT175" t="str">
        <f>'Ashed teabags dry'!A508</f>
        <v>R650</v>
      </c>
      <c r="AU175" t="b">
        <f t="shared" si="133"/>
        <v>0</v>
      </c>
      <c r="AV175" t="b">
        <f t="shared" si="156"/>
        <v>0</v>
      </c>
      <c r="AX175" s="388" t="b">
        <f t="shared" si="134"/>
        <v>0</v>
      </c>
      <c r="AY175" s="388" t="b">
        <f t="shared" si="135"/>
        <v>0</v>
      </c>
      <c r="BA175" t="str">
        <f>'Ashed teabags wet'!A173</f>
        <v>G583</v>
      </c>
      <c r="BB175" t="str">
        <f>'Ashed teabags wet'!A593</f>
        <v>R368</v>
      </c>
      <c r="BC175" t="b">
        <f t="shared" si="136"/>
        <v>0</v>
      </c>
      <c r="BD175" t="b">
        <f t="shared" si="116"/>
        <v>0</v>
      </c>
      <c r="BF175" t="str">
        <f t="shared" si="137"/>
        <v>G331</v>
      </c>
      <c r="BG175" t="str">
        <f t="shared" si="138"/>
        <v>G331</v>
      </c>
      <c r="BH175" t="str">
        <f t="shared" si="139"/>
        <v>G149</v>
      </c>
      <c r="BI175" t="str">
        <f t="shared" si="157"/>
        <v>G149</v>
      </c>
      <c r="BJ175" t="s">
        <v>1719</v>
      </c>
      <c r="BK175" t="s">
        <v>1719</v>
      </c>
      <c r="BL175" t="s">
        <v>1719</v>
      </c>
      <c r="BM175" t="b">
        <f t="shared" si="158"/>
        <v>1</v>
      </c>
      <c r="BN175" t="str">
        <f t="shared" si="140"/>
        <v>R649</v>
      </c>
      <c r="BO175" t="str">
        <f t="shared" si="141"/>
        <v>R649</v>
      </c>
      <c r="BP175" t="str">
        <f t="shared" si="142"/>
        <v>R655</v>
      </c>
      <c r="BQ175" t="str">
        <f t="shared" si="143"/>
        <v>R655</v>
      </c>
      <c r="BR175" t="s">
        <v>490</v>
      </c>
      <c r="BS175" t="s">
        <v>489</v>
      </c>
      <c r="BT175" t="s">
        <v>490</v>
      </c>
      <c r="BU175" t="b">
        <f t="shared" si="159"/>
        <v>1</v>
      </c>
      <c r="BZ175" t="str">
        <f t="shared" si="144"/>
        <v>G149</v>
      </c>
      <c r="CA175" t="b">
        <f t="shared" si="145"/>
        <v>0</v>
      </c>
      <c r="CB175" t="str">
        <f t="shared" si="160"/>
        <v>G149</v>
      </c>
      <c r="CC175" t="str">
        <f t="shared" si="146"/>
        <v>R655</v>
      </c>
      <c r="CD175" t="b">
        <f t="shared" si="161"/>
        <v>0</v>
      </c>
      <c r="CE175" t="str">
        <f t="shared" si="162"/>
        <v>R655</v>
      </c>
      <c r="CG175" t="str">
        <f t="shared" si="147"/>
        <v>G582</v>
      </c>
      <c r="CH175" t="str">
        <f t="shared" si="163"/>
        <v>G582</v>
      </c>
      <c r="CI175" t="str">
        <f t="shared" si="148"/>
        <v>G656</v>
      </c>
      <c r="CJ175" t="str">
        <f t="shared" si="149"/>
        <v>G656</v>
      </c>
      <c r="CK175" t="s">
        <v>1468</v>
      </c>
      <c r="CL175" t="s">
        <v>1468</v>
      </c>
      <c r="CM175" t="s">
        <v>1468</v>
      </c>
      <c r="CN175" t="b">
        <f t="shared" si="164"/>
        <v>1</v>
      </c>
      <c r="CO175" t="str">
        <f t="shared" si="150"/>
        <v>R364</v>
      </c>
      <c r="CP175" t="str">
        <f t="shared" si="165"/>
        <v>R364</v>
      </c>
      <c r="CQ175" t="str">
        <f t="shared" si="151"/>
        <v>R558</v>
      </c>
      <c r="CR175" t="str">
        <f t="shared" si="152"/>
        <v>R558</v>
      </c>
      <c r="CS175" t="s">
        <v>777</v>
      </c>
      <c r="CT175" t="s">
        <v>777</v>
      </c>
      <c r="CU175" t="s">
        <v>777</v>
      </c>
      <c r="CV175" t="b">
        <f t="shared" si="166"/>
        <v>1</v>
      </c>
      <c r="DC175" t="str">
        <f t="shared" si="153"/>
        <v>G656</v>
      </c>
      <c r="DD175" t="b">
        <f t="shared" si="167"/>
        <v>0</v>
      </c>
      <c r="DE175" t="str">
        <f t="shared" si="168"/>
        <v>G656</v>
      </c>
      <c r="DF175" t="str">
        <f t="shared" si="154"/>
        <v>R558</v>
      </c>
      <c r="DG175" t="b">
        <f t="shared" si="169"/>
        <v>0</v>
      </c>
      <c r="DH175" t="str">
        <f t="shared" si="170"/>
        <v>R558</v>
      </c>
    </row>
    <row r="176" spans="2:112" ht="12" customHeight="1">
      <c r="B176" t="str">
        <f>TBIDry!H248</f>
        <v>G597</v>
      </c>
      <c r="C176" t="str">
        <f>TBIDry!I248</f>
        <v>R405</v>
      </c>
      <c r="D176" t="b">
        <f t="shared" si="117"/>
        <v>0</v>
      </c>
      <c r="E176" t="b">
        <f t="shared" si="118"/>
        <v>0</v>
      </c>
      <c r="G176" t="str">
        <f>TBIWet!H248</f>
        <v>G216</v>
      </c>
      <c r="H176" t="str">
        <f>TBIWet!I248</f>
        <v>R57</v>
      </c>
      <c r="I176" t="b">
        <f t="shared" si="119"/>
        <v>0</v>
      </c>
      <c r="J176" t="b">
        <f t="shared" si="120"/>
        <v>0</v>
      </c>
      <c r="L176" t="str">
        <f>'Both teabags AfterWet'!A174</f>
        <v>G584</v>
      </c>
      <c r="M176" t="str">
        <f>'Both teabags AfterWet'!A594</f>
        <v>R369</v>
      </c>
      <c r="N176" t="b">
        <f t="shared" si="121"/>
        <v>0</v>
      </c>
      <c r="O176" t="b">
        <f t="shared" si="171"/>
        <v>0</v>
      </c>
      <c r="Q176" s="388" t="b">
        <f t="shared" si="122"/>
        <v>0</v>
      </c>
      <c r="R176" s="388" t="b">
        <f t="shared" si="123"/>
        <v>0</v>
      </c>
      <c r="T176" t="str">
        <f>'Both teabags AfterDry'!A174</f>
        <v>G335</v>
      </c>
      <c r="U176" t="str">
        <f>'Both teabags AfterDry'!A509</f>
        <v>R651</v>
      </c>
      <c r="V176" t="b">
        <f t="shared" si="124"/>
        <v>0</v>
      </c>
      <c r="W176" t="b">
        <f t="shared" si="155"/>
        <v>0</v>
      </c>
      <c r="Y176" t="str">
        <f>'Green_rooibos initial weight'!A177</f>
        <v>G173</v>
      </c>
      <c r="Z176" t="str">
        <f>'Green_rooibos initial weight'!A1081</f>
        <v>R173</v>
      </c>
      <c r="AA176" t="b">
        <f t="shared" si="125"/>
        <v>0</v>
      </c>
      <c r="AB176" t="b">
        <f t="shared" si="126"/>
        <v>0</v>
      </c>
      <c r="AE176" t="str">
        <f>'WetLitterbags placem_collection'!K175</f>
        <v>G216</v>
      </c>
      <c r="AF176" t="str">
        <f>'WetLitterbags placem_collection'!M175</f>
        <v>R57</v>
      </c>
      <c r="AG176" t="b">
        <f t="shared" si="127"/>
        <v>0</v>
      </c>
      <c r="AH176" t="b">
        <f t="shared" si="128"/>
        <v>0</v>
      </c>
      <c r="AJ176" t="b">
        <f t="shared" si="129"/>
        <v>0</v>
      </c>
      <c r="AK176" t="b">
        <f t="shared" si="130"/>
        <v>0</v>
      </c>
      <c r="AM176" t="str">
        <f>IF(ISBLANK('Dry_Litterbag Placem_Collection'!J175),"","G"&amp;""&amp;'Dry_Litterbag Placem_Collection'!J175)</f>
        <v>G597</v>
      </c>
      <c r="AN176" t="str">
        <f>IF(ISBLANK('Dry_Litterbag Placem_Collection'!K175),"","R"&amp;""&amp;'Dry_Litterbag Placem_Collection'!K175)</f>
        <v>R405</v>
      </c>
      <c r="AO176" t="b">
        <f t="shared" si="131"/>
        <v>0</v>
      </c>
      <c r="AP176" t="b">
        <f t="shared" si="132"/>
        <v>0</v>
      </c>
      <c r="AS176" t="str">
        <f>'Ashed teabags dry'!A174</f>
        <v>G335</v>
      </c>
      <c r="AT176" t="str">
        <f>'Ashed teabags dry'!A509</f>
        <v>R651</v>
      </c>
      <c r="AU176" t="b">
        <f t="shared" si="133"/>
        <v>0</v>
      </c>
      <c r="AV176" t="b">
        <f t="shared" si="156"/>
        <v>0</v>
      </c>
      <c r="AX176" s="388" t="b">
        <f t="shared" si="134"/>
        <v>0</v>
      </c>
      <c r="AY176" s="388" t="b">
        <f t="shared" si="135"/>
        <v>0</v>
      </c>
      <c r="BA176" t="str">
        <f>'Ashed teabags wet'!A174</f>
        <v>G584</v>
      </c>
      <c r="BB176" t="str">
        <f>'Ashed teabags wet'!A594</f>
        <v>R369</v>
      </c>
      <c r="BC176" t="b">
        <f t="shared" si="136"/>
        <v>0</v>
      </c>
      <c r="BD176" t="b">
        <f t="shared" si="116"/>
        <v>0</v>
      </c>
      <c r="BF176" t="str">
        <f t="shared" si="137"/>
        <v>G332</v>
      </c>
      <c r="BG176" t="str">
        <f t="shared" si="138"/>
        <v>G332</v>
      </c>
      <c r="BH176" t="str">
        <f t="shared" si="139"/>
        <v/>
      </c>
      <c r="BI176" t="str">
        <f t="shared" si="157"/>
        <v/>
      </c>
      <c r="BJ176" t="s">
        <v>1718</v>
      </c>
      <c r="BK176" t="s">
        <v>1718</v>
      </c>
      <c r="BL176" t="s">
        <v>1718</v>
      </c>
      <c r="BM176" t="b">
        <f t="shared" si="158"/>
        <v>1</v>
      </c>
      <c r="BN176" t="str">
        <f t="shared" si="140"/>
        <v>R650</v>
      </c>
      <c r="BO176" t="str">
        <f t="shared" si="141"/>
        <v>R650</v>
      </c>
      <c r="BP176" t="str">
        <f t="shared" si="142"/>
        <v/>
      </c>
      <c r="BQ176" t="str">
        <f t="shared" si="143"/>
        <v/>
      </c>
      <c r="BR176" t="s">
        <v>489</v>
      </c>
      <c r="BS176" t="s">
        <v>488</v>
      </c>
      <c r="BT176" t="s">
        <v>489</v>
      </c>
      <c r="BU176" t="b">
        <f t="shared" si="159"/>
        <v>1</v>
      </c>
      <c r="BZ176" t="str">
        <f t="shared" si="144"/>
        <v/>
      </c>
      <c r="CA176" t="b">
        <f t="shared" si="145"/>
        <v>0</v>
      </c>
      <c r="CB176" t="str">
        <f t="shared" si="160"/>
        <v/>
      </c>
      <c r="CC176" t="str">
        <f t="shared" si="146"/>
        <v/>
      </c>
      <c r="CD176" t="b">
        <f t="shared" si="161"/>
        <v>0</v>
      </c>
      <c r="CE176" t="str">
        <f t="shared" si="162"/>
        <v/>
      </c>
      <c r="CG176" t="str">
        <f t="shared" si="147"/>
        <v>G583</v>
      </c>
      <c r="CH176" t="str">
        <f t="shared" si="163"/>
        <v>G583</v>
      </c>
      <c r="CI176" t="str">
        <f t="shared" si="148"/>
        <v>G281</v>
      </c>
      <c r="CJ176" t="str">
        <f t="shared" si="149"/>
        <v>G281</v>
      </c>
      <c r="CK176" t="s">
        <v>1467</v>
      </c>
      <c r="CL176" t="s">
        <v>1467</v>
      </c>
      <c r="CM176" t="s">
        <v>1467</v>
      </c>
      <c r="CN176" t="b">
        <f t="shared" si="164"/>
        <v>1</v>
      </c>
      <c r="CO176" t="str">
        <f t="shared" si="150"/>
        <v>R368</v>
      </c>
      <c r="CP176" t="str">
        <f t="shared" si="165"/>
        <v>R368</v>
      </c>
      <c r="CQ176" t="str">
        <f t="shared" si="151"/>
        <v>R157</v>
      </c>
      <c r="CR176" t="str">
        <f t="shared" si="152"/>
        <v>R157</v>
      </c>
      <c r="CS176" t="s">
        <v>773</v>
      </c>
      <c r="CT176" t="s">
        <v>773</v>
      </c>
      <c r="CU176" t="s">
        <v>773</v>
      </c>
      <c r="CV176" t="b">
        <f t="shared" si="166"/>
        <v>1</v>
      </c>
      <c r="DC176" t="str">
        <f t="shared" si="153"/>
        <v>G281</v>
      </c>
      <c r="DD176" t="b">
        <f t="shared" si="167"/>
        <v>0</v>
      </c>
      <c r="DE176" t="str">
        <f t="shared" si="168"/>
        <v>G281</v>
      </c>
      <c r="DF176" t="str">
        <f t="shared" si="154"/>
        <v>R157</v>
      </c>
      <c r="DG176" t="b">
        <f t="shared" si="169"/>
        <v>0</v>
      </c>
      <c r="DH176" t="str">
        <f t="shared" si="170"/>
        <v>R157</v>
      </c>
    </row>
    <row r="177" spans="2:112" ht="12" customHeight="1">
      <c r="B177" t="str">
        <f>TBIDry!H249</f>
        <v>G396</v>
      </c>
      <c r="C177" t="str">
        <f>TBIDry!I249</f>
        <v>R736</v>
      </c>
      <c r="D177" t="b">
        <f t="shared" si="117"/>
        <v>0</v>
      </c>
      <c r="E177" t="b">
        <f t="shared" si="118"/>
        <v>0</v>
      </c>
      <c r="G177" t="str">
        <f>TBIWet!H249</f>
        <v>G655</v>
      </c>
      <c r="H177" t="str">
        <f>TBIWet!I249</f>
        <v>R307</v>
      </c>
      <c r="I177" t="b">
        <f t="shared" si="119"/>
        <v>0</v>
      </c>
      <c r="J177" t="b">
        <f t="shared" si="120"/>
        <v>0</v>
      </c>
      <c r="L177" t="str">
        <f>'Both teabags AfterWet'!A175</f>
        <v>G585</v>
      </c>
      <c r="M177" t="str">
        <f>'Both teabags AfterWet'!A595</f>
        <v>R37</v>
      </c>
      <c r="N177" t="b">
        <f t="shared" si="121"/>
        <v>0</v>
      </c>
      <c r="O177" t="b">
        <f t="shared" si="171"/>
        <v>0</v>
      </c>
      <c r="Q177" s="388" t="b">
        <f t="shared" si="122"/>
        <v>0</v>
      </c>
      <c r="R177" s="388" t="b">
        <f t="shared" si="123"/>
        <v>0</v>
      </c>
      <c r="T177" t="str">
        <f>'Both teabags AfterDry'!A175</f>
        <v>G336</v>
      </c>
      <c r="U177" t="str">
        <f>'Both teabags AfterDry'!A510</f>
        <v>R652</v>
      </c>
      <c r="V177" t="b">
        <f t="shared" si="124"/>
        <v>0</v>
      </c>
      <c r="W177" t="b">
        <f t="shared" si="155"/>
        <v>0</v>
      </c>
      <c r="Y177" t="str">
        <f>'Green_rooibos initial weight'!A178</f>
        <v>G174</v>
      </c>
      <c r="Z177" t="str">
        <f>'Green_rooibos initial weight'!A1082</f>
        <v>R174</v>
      </c>
      <c r="AA177" t="b">
        <f t="shared" si="125"/>
        <v>0</v>
      </c>
      <c r="AB177" t="b">
        <f t="shared" si="126"/>
        <v>0</v>
      </c>
      <c r="AE177" t="str">
        <f>'WetLitterbags placem_collection'!K176</f>
        <v>G655</v>
      </c>
      <c r="AF177" t="str">
        <f>'WetLitterbags placem_collection'!M176</f>
        <v>R307</v>
      </c>
      <c r="AG177" t="b">
        <f t="shared" si="127"/>
        <v>0</v>
      </c>
      <c r="AH177" t="b">
        <f t="shared" si="128"/>
        <v>0</v>
      </c>
      <c r="AJ177" t="b">
        <f t="shared" si="129"/>
        <v>0</v>
      </c>
      <c r="AK177" t="b">
        <f t="shared" si="130"/>
        <v>0</v>
      </c>
      <c r="AM177" t="str">
        <f>IF(ISBLANK('Dry_Litterbag Placem_Collection'!J176),"","G"&amp;""&amp;'Dry_Litterbag Placem_Collection'!J176)</f>
        <v>G396</v>
      </c>
      <c r="AN177" t="str">
        <f>IF(ISBLANK('Dry_Litterbag Placem_Collection'!K176),"","R"&amp;""&amp;'Dry_Litterbag Placem_Collection'!K176)</f>
        <v>R736</v>
      </c>
      <c r="AO177" t="b">
        <f t="shared" si="131"/>
        <v>0</v>
      </c>
      <c r="AP177" t="b">
        <f t="shared" si="132"/>
        <v>0</v>
      </c>
      <c r="AS177" t="str">
        <f>'Ashed teabags dry'!A175</f>
        <v>G336</v>
      </c>
      <c r="AT177" t="str">
        <f>'Ashed teabags dry'!A510</f>
        <v>R652</v>
      </c>
      <c r="AU177" t="b">
        <f t="shared" si="133"/>
        <v>0</v>
      </c>
      <c r="AV177" t="b">
        <f t="shared" si="156"/>
        <v>0</v>
      </c>
      <c r="AX177" s="388" t="b">
        <f t="shared" si="134"/>
        <v>0</v>
      </c>
      <c r="AY177" s="388" t="b">
        <f t="shared" si="135"/>
        <v>0</v>
      </c>
      <c r="BA177" t="str">
        <f>'Ashed teabags wet'!A175</f>
        <v>G585</v>
      </c>
      <c r="BB177" t="str">
        <f>'Ashed teabags wet'!A595</f>
        <v>R37</v>
      </c>
      <c r="BC177" t="b">
        <f t="shared" si="136"/>
        <v>0</v>
      </c>
      <c r="BD177" t="b">
        <f t="shared" si="116"/>
        <v>0</v>
      </c>
      <c r="BF177" t="str">
        <f t="shared" si="137"/>
        <v>G335</v>
      </c>
      <c r="BG177" t="str">
        <f t="shared" si="138"/>
        <v>G335</v>
      </c>
      <c r="BH177" t="str">
        <f t="shared" si="139"/>
        <v>G597</v>
      </c>
      <c r="BI177" t="str">
        <f t="shared" si="157"/>
        <v/>
      </c>
      <c r="BJ177" t="s">
        <v>1715</v>
      </c>
      <c r="BK177" t="s">
        <v>1715</v>
      </c>
      <c r="BL177" t="s">
        <v>1715</v>
      </c>
      <c r="BM177" t="b">
        <f t="shared" si="158"/>
        <v>1</v>
      </c>
      <c r="BN177" t="str">
        <f t="shared" si="140"/>
        <v>R651</v>
      </c>
      <c r="BO177" t="str">
        <f t="shared" si="141"/>
        <v>R651</v>
      </c>
      <c r="BP177" t="str">
        <f t="shared" si="142"/>
        <v>R405</v>
      </c>
      <c r="BQ177" t="str">
        <f t="shared" si="143"/>
        <v/>
      </c>
      <c r="BR177" t="s">
        <v>488</v>
      </c>
      <c r="BS177" t="s">
        <v>487</v>
      </c>
      <c r="BT177" t="s">
        <v>488</v>
      </c>
      <c r="BU177" t="b">
        <f t="shared" si="159"/>
        <v>1</v>
      </c>
      <c r="BZ177" t="str">
        <f t="shared" si="144"/>
        <v>G597</v>
      </c>
      <c r="CA177" t="b">
        <f t="shared" si="145"/>
        <v>1</v>
      </c>
      <c r="CB177" t="str">
        <f t="shared" si="160"/>
        <v/>
      </c>
      <c r="CC177" t="str">
        <f t="shared" si="146"/>
        <v>R405</v>
      </c>
      <c r="CD177" t="b">
        <f t="shared" si="161"/>
        <v>1</v>
      </c>
      <c r="CE177" t="str">
        <f t="shared" si="162"/>
        <v/>
      </c>
      <c r="CG177" t="str">
        <f t="shared" si="147"/>
        <v>G584</v>
      </c>
      <c r="CH177" t="str">
        <f t="shared" si="163"/>
        <v>G584</v>
      </c>
      <c r="CI177" t="str">
        <f t="shared" si="148"/>
        <v>G216</v>
      </c>
      <c r="CJ177" t="str">
        <f t="shared" si="149"/>
        <v>G216</v>
      </c>
      <c r="CK177" t="s">
        <v>1466</v>
      </c>
      <c r="CL177" t="s">
        <v>1466</v>
      </c>
      <c r="CM177" t="s">
        <v>1466</v>
      </c>
      <c r="CN177" t="b">
        <f t="shared" si="164"/>
        <v>1</v>
      </c>
      <c r="CO177" t="str">
        <f t="shared" si="150"/>
        <v>R369</v>
      </c>
      <c r="CP177" t="str">
        <f t="shared" si="165"/>
        <v>R369</v>
      </c>
      <c r="CQ177" t="str">
        <f t="shared" si="151"/>
        <v>R57</v>
      </c>
      <c r="CR177" t="str">
        <f t="shared" si="152"/>
        <v>R57</v>
      </c>
      <c r="CS177" t="s">
        <v>772</v>
      </c>
      <c r="CT177" t="s">
        <v>772</v>
      </c>
      <c r="CU177" t="s">
        <v>772</v>
      </c>
      <c r="CV177" t="b">
        <f t="shared" si="166"/>
        <v>1</v>
      </c>
      <c r="DC177" t="str">
        <f t="shared" si="153"/>
        <v>G216</v>
      </c>
      <c r="DD177" t="b">
        <f t="shared" si="167"/>
        <v>0</v>
      </c>
      <c r="DE177" t="str">
        <f t="shared" si="168"/>
        <v>G216</v>
      </c>
      <c r="DF177" t="str">
        <f t="shared" si="154"/>
        <v>R57</v>
      </c>
      <c r="DG177" t="b">
        <f t="shared" si="169"/>
        <v>0</v>
      </c>
      <c r="DH177" t="str">
        <f t="shared" si="170"/>
        <v>R57</v>
      </c>
    </row>
    <row r="178" spans="2:112" ht="12" customHeight="1">
      <c r="B178" t="str">
        <f>TBIDry!H250</f>
        <v>G612</v>
      </c>
      <c r="C178" t="str">
        <f>TBIDry!I250</f>
        <v>R338</v>
      </c>
      <c r="D178" t="b">
        <f t="shared" si="117"/>
        <v>0</v>
      </c>
      <c r="E178" t="b">
        <f t="shared" si="118"/>
        <v>0</v>
      </c>
      <c r="G178" t="str">
        <f>TBIWet!H250</f>
        <v>G457</v>
      </c>
      <c r="H178" t="str">
        <f>TBIWet!I250</f>
        <v>R458</v>
      </c>
      <c r="I178" t="b">
        <f t="shared" si="119"/>
        <v>0</v>
      </c>
      <c r="J178" t="b">
        <f t="shared" si="120"/>
        <v>0</v>
      </c>
      <c r="L178" t="str">
        <f>'Both teabags AfterWet'!A176</f>
        <v>G587</v>
      </c>
      <c r="M178" t="str">
        <f>'Both teabags AfterWet'!A596</f>
        <v>R370</v>
      </c>
      <c r="N178" t="b">
        <f t="shared" si="121"/>
        <v>0</v>
      </c>
      <c r="O178" t="b">
        <f t="shared" si="171"/>
        <v>0</v>
      </c>
      <c r="Q178" s="388" t="b">
        <f t="shared" si="122"/>
        <v>0</v>
      </c>
      <c r="R178" s="388" t="b">
        <f t="shared" si="123"/>
        <v>0</v>
      </c>
      <c r="T178" t="str">
        <f>'Both teabags AfterDry'!A176</f>
        <v>G338</v>
      </c>
      <c r="U178" t="str">
        <f>'Both teabags AfterDry'!A511</f>
        <v>R653</v>
      </c>
      <c r="V178" t="b">
        <f t="shared" si="124"/>
        <v>0</v>
      </c>
      <c r="W178" t="b">
        <f t="shared" si="155"/>
        <v>0</v>
      </c>
      <c r="Y178" t="str">
        <f>'Green_rooibos initial weight'!A179</f>
        <v>G175</v>
      </c>
      <c r="Z178" t="str">
        <f>'Green_rooibos initial weight'!A1083</f>
        <v>R175</v>
      </c>
      <c r="AA178" t="b">
        <f t="shared" si="125"/>
        <v>0</v>
      </c>
      <c r="AB178" t="b">
        <f t="shared" si="126"/>
        <v>0</v>
      </c>
      <c r="AE178" t="str">
        <f>'WetLitterbags placem_collection'!K177</f>
        <v>G457</v>
      </c>
      <c r="AF178" t="str">
        <f>'WetLitterbags placem_collection'!M177</f>
        <v>R458</v>
      </c>
      <c r="AG178" t="b">
        <f t="shared" si="127"/>
        <v>0</v>
      </c>
      <c r="AH178" t="b">
        <f t="shared" si="128"/>
        <v>0</v>
      </c>
      <c r="AJ178" t="b">
        <f t="shared" si="129"/>
        <v>0</v>
      </c>
      <c r="AK178" t="b">
        <f t="shared" si="130"/>
        <v>0</v>
      </c>
      <c r="AM178" t="str">
        <f>IF(ISBLANK('Dry_Litterbag Placem_Collection'!J177),"","G"&amp;""&amp;'Dry_Litterbag Placem_Collection'!J177)</f>
        <v>G612</v>
      </c>
      <c r="AN178" t="str">
        <f>IF(ISBLANK('Dry_Litterbag Placem_Collection'!K177),"","R"&amp;""&amp;'Dry_Litterbag Placem_Collection'!K177)</f>
        <v>R338</v>
      </c>
      <c r="AO178" t="b">
        <f t="shared" si="131"/>
        <v>0</v>
      </c>
      <c r="AP178" t="b">
        <f t="shared" si="132"/>
        <v>0</v>
      </c>
      <c r="AS178" t="str">
        <f>'Ashed teabags dry'!A176</f>
        <v>G338</v>
      </c>
      <c r="AT178" t="str">
        <f>'Ashed teabags dry'!A511</f>
        <v>R653</v>
      </c>
      <c r="AU178" t="b">
        <f t="shared" si="133"/>
        <v>0</v>
      </c>
      <c r="AV178" t="b">
        <f t="shared" si="156"/>
        <v>0</v>
      </c>
      <c r="AX178" s="388" t="b">
        <f t="shared" si="134"/>
        <v>0</v>
      </c>
      <c r="AY178" s="388" t="b">
        <f t="shared" si="135"/>
        <v>0</v>
      </c>
      <c r="BA178" t="str">
        <f>'Ashed teabags wet'!A176</f>
        <v>G587</v>
      </c>
      <c r="BB178" t="str">
        <f>'Ashed teabags wet'!A596</f>
        <v>R370</v>
      </c>
      <c r="BC178" t="b">
        <f t="shared" si="136"/>
        <v>0</v>
      </c>
      <c r="BD178" t="b">
        <f t="shared" si="116"/>
        <v>0</v>
      </c>
      <c r="BF178" t="str">
        <f t="shared" si="137"/>
        <v>G336</v>
      </c>
      <c r="BG178" t="str">
        <f t="shared" si="138"/>
        <v>G336</v>
      </c>
      <c r="BH178" t="str">
        <f t="shared" si="139"/>
        <v>G396</v>
      </c>
      <c r="BI178" t="str">
        <f t="shared" si="157"/>
        <v>G396</v>
      </c>
      <c r="BJ178" t="s">
        <v>1714</v>
      </c>
      <c r="BK178" t="s">
        <v>1714</v>
      </c>
      <c r="BL178" t="s">
        <v>1714</v>
      </c>
      <c r="BM178" t="b">
        <f t="shared" si="158"/>
        <v>1</v>
      </c>
      <c r="BN178" t="str">
        <f t="shared" si="140"/>
        <v>R652</v>
      </c>
      <c r="BO178" t="str">
        <f t="shared" si="141"/>
        <v>R652</v>
      </c>
      <c r="BP178" t="str">
        <f t="shared" si="142"/>
        <v>R736</v>
      </c>
      <c r="BQ178" t="str">
        <f t="shared" si="143"/>
        <v>R736</v>
      </c>
      <c r="BR178" t="s">
        <v>487</v>
      </c>
      <c r="BS178" t="s">
        <v>486</v>
      </c>
      <c r="BT178" t="s">
        <v>487</v>
      </c>
      <c r="BU178" t="b">
        <f t="shared" si="159"/>
        <v>1</v>
      </c>
      <c r="BZ178" t="str">
        <f t="shared" si="144"/>
        <v>G396</v>
      </c>
      <c r="CA178" t="b">
        <f t="shared" si="145"/>
        <v>0</v>
      </c>
      <c r="CB178" t="str">
        <f t="shared" si="160"/>
        <v>G396</v>
      </c>
      <c r="CC178" t="str">
        <f t="shared" si="146"/>
        <v>R736</v>
      </c>
      <c r="CD178" t="b">
        <f t="shared" si="161"/>
        <v>0</v>
      </c>
      <c r="CE178" t="str">
        <f t="shared" si="162"/>
        <v>R736</v>
      </c>
      <c r="CG178" t="str">
        <f t="shared" si="147"/>
        <v>G585</v>
      </c>
      <c r="CH178" t="str">
        <f t="shared" si="163"/>
        <v>G585</v>
      </c>
      <c r="CI178" t="str">
        <f t="shared" si="148"/>
        <v>G655</v>
      </c>
      <c r="CJ178" t="str">
        <f t="shared" si="149"/>
        <v>G655</v>
      </c>
      <c r="CK178" t="s">
        <v>1465</v>
      </c>
      <c r="CL178" t="s">
        <v>1465</v>
      </c>
      <c r="CM178" t="s">
        <v>1465</v>
      </c>
      <c r="CN178" t="b">
        <f t="shared" si="164"/>
        <v>1</v>
      </c>
      <c r="CO178" t="str">
        <f t="shared" si="150"/>
        <v>R37</v>
      </c>
      <c r="CP178" t="str">
        <f t="shared" si="165"/>
        <v>R37</v>
      </c>
      <c r="CQ178" t="str">
        <f t="shared" si="151"/>
        <v>R307</v>
      </c>
      <c r="CR178" t="str">
        <f t="shared" si="152"/>
        <v>R307</v>
      </c>
      <c r="CS178" t="s">
        <v>1104</v>
      </c>
      <c r="CT178" t="s">
        <v>1104</v>
      </c>
      <c r="CU178" t="s">
        <v>1104</v>
      </c>
      <c r="CV178" t="b">
        <f t="shared" si="166"/>
        <v>1</v>
      </c>
      <c r="DC178" t="str">
        <f t="shared" si="153"/>
        <v>G655</v>
      </c>
      <c r="DD178" t="b">
        <f t="shared" si="167"/>
        <v>0</v>
      </c>
      <c r="DE178" t="str">
        <f t="shared" si="168"/>
        <v>G655</v>
      </c>
      <c r="DF178" t="str">
        <f t="shared" si="154"/>
        <v>R307</v>
      </c>
      <c r="DG178" t="b">
        <f t="shared" si="169"/>
        <v>0</v>
      </c>
      <c r="DH178" t="str">
        <f t="shared" si="170"/>
        <v>R307</v>
      </c>
    </row>
    <row r="179" spans="2:112" ht="12" customHeight="1">
      <c r="B179" t="str">
        <f>TBIDry!H251</f>
        <v>G183</v>
      </c>
      <c r="C179" t="str">
        <f>TBIDry!I251</f>
        <v>R52</v>
      </c>
      <c r="D179" t="b">
        <f t="shared" si="117"/>
        <v>0</v>
      </c>
      <c r="E179" t="b">
        <f t="shared" si="118"/>
        <v>0</v>
      </c>
      <c r="G179" t="str">
        <f>TBIWet!H251</f>
        <v>G454</v>
      </c>
      <c r="H179" t="str">
        <f>TBIWet!I251</f>
        <v>R326</v>
      </c>
      <c r="I179" t="b">
        <f t="shared" si="119"/>
        <v>0</v>
      </c>
      <c r="J179" t="b">
        <f t="shared" si="120"/>
        <v>0</v>
      </c>
      <c r="L179" t="str">
        <f>'Both teabags AfterWet'!A177</f>
        <v>G591</v>
      </c>
      <c r="M179" t="str">
        <f>'Both teabags AfterWet'!A597</f>
        <v>R371</v>
      </c>
      <c r="N179" t="b">
        <f t="shared" si="121"/>
        <v>0</v>
      </c>
      <c r="O179" t="b">
        <f t="shared" si="171"/>
        <v>0</v>
      </c>
      <c r="Q179" s="388" t="b">
        <f t="shared" si="122"/>
        <v>0</v>
      </c>
      <c r="R179" s="388" t="b">
        <f t="shared" si="123"/>
        <v>0</v>
      </c>
      <c r="T179" t="str">
        <f>'Both teabags AfterDry'!A177</f>
        <v>G34</v>
      </c>
      <c r="U179" t="str">
        <f>'Both teabags AfterDry'!A512</f>
        <v>R655</v>
      </c>
      <c r="V179" t="b">
        <f t="shared" si="124"/>
        <v>0</v>
      </c>
      <c r="W179" t="b">
        <f t="shared" si="155"/>
        <v>0</v>
      </c>
      <c r="Y179" t="str">
        <f>'Green_rooibos initial weight'!A180</f>
        <v>G176</v>
      </c>
      <c r="Z179" t="str">
        <f>'Green_rooibos initial weight'!A1084</f>
        <v>R176</v>
      </c>
      <c r="AA179" t="b">
        <f t="shared" si="125"/>
        <v>0</v>
      </c>
      <c r="AB179" t="b">
        <f t="shared" si="126"/>
        <v>0</v>
      </c>
      <c r="AE179" t="str">
        <f>'WetLitterbags placem_collection'!K178</f>
        <v>G454</v>
      </c>
      <c r="AF179" t="str">
        <f>'WetLitterbags placem_collection'!M178</f>
        <v>R326</v>
      </c>
      <c r="AG179" t="b">
        <f t="shared" si="127"/>
        <v>0</v>
      </c>
      <c r="AH179" t="b">
        <f t="shared" si="128"/>
        <v>0</v>
      </c>
      <c r="AJ179" t="b">
        <f t="shared" si="129"/>
        <v>0</v>
      </c>
      <c r="AK179" t="b">
        <f t="shared" si="130"/>
        <v>0</v>
      </c>
      <c r="AM179" t="str">
        <f>IF(ISBLANK('Dry_Litterbag Placem_Collection'!J178),"","G"&amp;""&amp;'Dry_Litterbag Placem_Collection'!J178)</f>
        <v>G183</v>
      </c>
      <c r="AN179" t="str">
        <f>IF(ISBLANK('Dry_Litterbag Placem_Collection'!K178),"","R"&amp;""&amp;'Dry_Litterbag Placem_Collection'!K178)</f>
        <v>R52</v>
      </c>
      <c r="AO179" t="b">
        <f t="shared" si="131"/>
        <v>0</v>
      </c>
      <c r="AP179" t="b">
        <f t="shared" si="132"/>
        <v>0</v>
      </c>
      <c r="AS179" t="str">
        <f>'Ashed teabags dry'!A177</f>
        <v>G34</v>
      </c>
      <c r="AT179" t="str">
        <f>'Ashed teabags dry'!A512</f>
        <v>R655</v>
      </c>
      <c r="AU179" t="b">
        <f t="shared" si="133"/>
        <v>0</v>
      </c>
      <c r="AV179" t="b">
        <f t="shared" si="156"/>
        <v>0</v>
      </c>
      <c r="AX179" s="388" t="b">
        <f t="shared" si="134"/>
        <v>0</v>
      </c>
      <c r="AY179" s="388" t="b">
        <f t="shared" si="135"/>
        <v>0</v>
      </c>
      <c r="BA179" t="str">
        <f>'Ashed teabags wet'!A177</f>
        <v>G591</v>
      </c>
      <c r="BB179" t="str">
        <f>'Ashed teabags wet'!A597</f>
        <v>R371</v>
      </c>
      <c r="BC179" t="b">
        <f t="shared" si="136"/>
        <v>0</v>
      </c>
      <c r="BD179" t="b">
        <f t="shared" si="116"/>
        <v>0</v>
      </c>
      <c r="BF179" t="str">
        <f t="shared" si="137"/>
        <v>G338</v>
      </c>
      <c r="BG179" t="str">
        <f t="shared" si="138"/>
        <v>G338</v>
      </c>
      <c r="BH179" t="str">
        <f t="shared" si="139"/>
        <v>G612</v>
      </c>
      <c r="BI179" t="str">
        <f t="shared" si="157"/>
        <v>G612</v>
      </c>
      <c r="BJ179" t="s">
        <v>1712</v>
      </c>
      <c r="BK179" t="s">
        <v>1712</v>
      </c>
      <c r="BL179" t="s">
        <v>1712</v>
      </c>
      <c r="BM179" t="b">
        <f t="shared" si="158"/>
        <v>1</v>
      </c>
      <c r="BN179" t="str">
        <f t="shared" si="140"/>
        <v>R653</v>
      </c>
      <c r="BO179" t="str">
        <f t="shared" si="141"/>
        <v>R653</v>
      </c>
      <c r="BP179" t="str">
        <f t="shared" si="142"/>
        <v>R338</v>
      </c>
      <c r="BQ179" t="str">
        <f t="shared" si="143"/>
        <v>R338</v>
      </c>
      <c r="BR179" t="s">
        <v>486</v>
      </c>
      <c r="BS179" t="s">
        <v>484</v>
      </c>
      <c r="BT179" t="s">
        <v>486</v>
      </c>
      <c r="BU179" t="b">
        <f t="shared" si="159"/>
        <v>1</v>
      </c>
      <c r="BZ179" t="str">
        <f t="shared" si="144"/>
        <v>G612</v>
      </c>
      <c r="CA179" t="b">
        <f t="shared" si="145"/>
        <v>0</v>
      </c>
      <c r="CB179" t="str">
        <f t="shared" si="160"/>
        <v>G612</v>
      </c>
      <c r="CC179" t="str">
        <f t="shared" si="146"/>
        <v>R338</v>
      </c>
      <c r="CD179" t="b">
        <f t="shared" si="161"/>
        <v>0</v>
      </c>
      <c r="CE179" t="str">
        <f t="shared" si="162"/>
        <v>R338</v>
      </c>
      <c r="CG179" t="str">
        <f t="shared" si="147"/>
        <v>G587</v>
      </c>
      <c r="CH179" t="str">
        <f t="shared" si="163"/>
        <v>G587</v>
      </c>
      <c r="CI179" t="str">
        <f t="shared" si="148"/>
        <v>G457</v>
      </c>
      <c r="CJ179" t="str">
        <f t="shared" si="149"/>
        <v>G457</v>
      </c>
      <c r="CK179" t="s">
        <v>1463</v>
      </c>
      <c r="CL179" t="s">
        <v>1463</v>
      </c>
      <c r="CM179" t="s">
        <v>1463</v>
      </c>
      <c r="CN179" t="b">
        <f t="shared" si="164"/>
        <v>1</v>
      </c>
      <c r="CO179" t="str">
        <f t="shared" si="150"/>
        <v>R370</v>
      </c>
      <c r="CP179" t="str">
        <f t="shared" si="165"/>
        <v>R370</v>
      </c>
      <c r="CQ179" t="str">
        <f t="shared" si="151"/>
        <v>R458</v>
      </c>
      <c r="CR179" t="str">
        <f t="shared" si="152"/>
        <v>R458</v>
      </c>
      <c r="CS179" t="s">
        <v>771</v>
      </c>
      <c r="CT179" t="s">
        <v>771</v>
      </c>
      <c r="CU179" t="s">
        <v>771</v>
      </c>
      <c r="CV179" t="b">
        <f t="shared" si="166"/>
        <v>1</v>
      </c>
      <c r="DC179" t="str">
        <f t="shared" si="153"/>
        <v>G457</v>
      </c>
      <c r="DD179" t="b">
        <f t="shared" si="167"/>
        <v>0</v>
      </c>
      <c r="DE179" t="str">
        <f t="shared" si="168"/>
        <v>G457</v>
      </c>
      <c r="DF179" t="str">
        <f t="shared" si="154"/>
        <v>R458</v>
      </c>
      <c r="DG179" t="b">
        <f t="shared" si="169"/>
        <v>0</v>
      </c>
      <c r="DH179" t="str">
        <f t="shared" si="170"/>
        <v>R458</v>
      </c>
    </row>
    <row r="180" spans="2:112" ht="12" customHeight="1">
      <c r="B180" t="str">
        <f>TBIDry!H252</f>
        <v>G98</v>
      </c>
      <c r="C180" t="str">
        <f>TBIDry!I252</f>
        <v>R750</v>
      </c>
      <c r="D180" t="b">
        <f t="shared" si="117"/>
        <v>0</v>
      </c>
      <c r="E180" t="b">
        <f t="shared" si="118"/>
        <v>0</v>
      </c>
      <c r="G180" t="str">
        <f>TBIWet!H252</f>
        <v>G362</v>
      </c>
      <c r="H180" t="str">
        <f>TBIWet!I252</f>
        <v>R262</v>
      </c>
      <c r="I180" t="b">
        <f t="shared" si="119"/>
        <v>0</v>
      </c>
      <c r="J180" t="b">
        <f t="shared" si="120"/>
        <v>0</v>
      </c>
      <c r="L180" t="str">
        <f>'Both teabags AfterWet'!A178</f>
        <v>G592</v>
      </c>
      <c r="M180" t="str">
        <f>'Both teabags AfterWet'!A598</f>
        <v>R372</v>
      </c>
      <c r="N180" t="b">
        <f t="shared" si="121"/>
        <v>0</v>
      </c>
      <c r="O180" t="b">
        <f t="shared" si="171"/>
        <v>0</v>
      </c>
      <c r="Q180" s="388" t="b">
        <f t="shared" si="122"/>
        <v>0</v>
      </c>
      <c r="R180" s="388" t="b">
        <f t="shared" si="123"/>
        <v>0</v>
      </c>
      <c r="T180" t="str">
        <f>'Both teabags AfterDry'!A178</f>
        <v>G341</v>
      </c>
      <c r="U180" t="str">
        <f>'Both teabags AfterDry'!A513</f>
        <v>R657</v>
      </c>
      <c r="V180" t="b">
        <f t="shared" si="124"/>
        <v>0</v>
      </c>
      <c r="W180" t="b">
        <f t="shared" si="155"/>
        <v>0</v>
      </c>
      <c r="Y180" t="str">
        <f>'Green_rooibos initial weight'!A181</f>
        <v>G177</v>
      </c>
      <c r="Z180" t="str">
        <f>'Green_rooibos initial weight'!A1085</f>
        <v>R177</v>
      </c>
      <c r="AA180" t="b">
        <f t="shared" si="125"/>
        <v>0</v>
      </c>
      <c r="AB180" t="b">
        <f t="shared" si="126"/>
        <v>0</v>
      </c>
      <c r="AE180" t="str">
        <f>'WetLitterbags placem_collection'!K179</f>
        <v>G362</v>
      </c>
      <c r="AF180" t="str">
        <f>'WetLitterbags placem_collection'!M179</f>
        <v>R262</v>
      </c>
      <c r="AG180" t="b">
        <f t="shared" si="127"/>
        <v>0</v>
      </c>
      <c r="AH180" t="b">
        <f t="shared" si="128"/>
        <v>0</v>
      </c>
      <c r="AJ180" t="b">
        <f t="shared" si="129"/>
        <v>0</v>
      </c>
      <c r="AK180" t="b">
        <f t="shared" si="130"/>
        <v>0</v>
      </c>
      <c r="AM180" t="str">
        <f>IF(ISBLANK('Dry_Litterbag Placem_Collection'!J179),"","G"&amp;""&amp;'Dry_Litterbag Placem_Collection'!J179)</f>
        <v>G98</v>
      </c>
      <c r="AN180" t="str">
        <f>IF(ISBLANK('Dry_Litterbag Placem_Collection'!K179),"","R"&amp;""&amp;'Dry_Litterbag Placem_Collection'!K179)</f>
        <v>R750</v>
      </c>
      <c r="AO180" t="b">
        <f t="shared" si="131"/>
        <v>0</v>
      </c>
      <c r="AP180" t="b">
        <f t="shared" si="132"/>
        <v>0</v>
      </c>
      <c r="AS180" t="str">
        <f>'Ashed teabags dry'!A178</f>
        <v>G341</v>
      </c>
      <c r="AT180" t="str">
        <f>'Ashed teabags dry'!A513</f>
        <v>R657</v>
      </c>
      <c r="AU180" t="b">
        <f t="shared" si="133"/>
        <v>0</v>
      </c>
      <c r="AV180" t="b">
        <f t="shared" si="156"/>
        <v>0</v>
      </c>
      <c r="AX180" s="388" t="b">
        <f t="shared" si="134"/>
        <v>0</v>
      </c>
      <c r="AY180" s="388" t="b">
        <f t="shared" si="135"/>
        <v>0</v>
      </c>
      <c r="BA180" t="str">
        <f>'Ashed teabags wet'!A178</f>
        <v>G592</v>
      </c>
      <c r="BB180" t="str">
        <f>'Ashed teabags wet'!A598</f>
        <v>R372</v>
      </c>
      <c r="BC180" t="b">
        <f t="shared" si="136"/>
        <v>0</v>
      </c>
      <c r="BD180" t="b">
        <f t="shared" si="116"/>
        <v>0</v>
      </c>
      <c r="BF180" t="str">
        <f t="shared" si="137"/>
        <v>G34</v>
      </c>
      <c r="BG180" t="str">
        <f t="shared" si="138"/>
        <v>G34</v>
      </c>
      <c r="BH180" t="str">
        <f t="shared" si="139"/>
        <v>G183</v>
      </c>
      <c r="BI180" t="str">
        <f t="shared" si="157"/>
        <v>G183</v>
      </c>
      <c r="BJ180" t="s">
        <v>2016</v>
      </c>
      <c r="BK180" t="s">
        <v>2016</v>
      </c>
      <c r="BL180" t="s">
        <v>2016</v>
      </c>
      <c r="BM180" t="b">
        <f t="shared" si="158"/>
        <v>1</v>
      </c>
      <c r="BN180" t="str">
        <f t="shared" si="140"/>
        <v>R655</v>
      </c>
      <c r="BO180" t="str">
        <f t="shared" si="141"/>
        <v>R655</v>
      </c>
      <c r="BP180" t="str">
        <f t="shared" si="142"/>
        <v>R52</v>
      </c>
      <c r="BQ180" t="str">
        <f t="shared" si="143"/>
        <v>R52</v>
      </c>
      <c r="BR180" t="s">
        <v>484</v>
      </c>
      <c r="BS180" t="s">
        <v>482</v>
      </c>
      <c r="BT180" t="s">
        <v>484</v>
      </c>
      <c r="BU180" t="b">
        <f t="shared" si="159"/>
        <v>1</v>
      </c>
      <c r="BZ180" t="str">
        <f t="shared" si="144"/>
        <v>G183</v>
      </c>
      <c r="CA180" t="b">
        <f t="shared" si="145"/>
        <v>0</v>
      </c>
      <c r="CB180" t="str">
        <f t="shared" si="160"/>
        <v>G183</v>
      </c>
      <c r="CC180" t="str">
        <f t="shared" si="146"/>
        <v>R52</v>
      </c>
      <c r="CD180" t="b">
        <f t="shared" si="161"/>
        <v>0</v>
      </c>
      <c r="CE180" t="str">
        <f t="shared" si="162"/>
        <v>R52</v>
      </c>
      <c r="CG180" t="str">
        <f t="shared" si="147"/>
        <v>G591</v>
      </c>
      <c r="CH180" t="str">
        <f t="shared" si="163"/>
        <v>G591</v>
      </c>
      <c r="CI180" t="str">
        <f t="shared" si="148"/>
        <v>G454</v>
      </c>
      <c r="CJ180" t="str">
        <f t="shared" si="149"/>
        <v>G454</v>
      </c>
      <c r="CK180" t="s">
        <v>1459</v>
      </c>
      <c r="CL180" t="s">
        <v>1459</v>
      </c>
      <c r="CM180" t="s">
        <v>1459</v>
      </c>
      <c r="CN180" t="b">
        <f t="shared" si="164"/>
        <v>1</v>
      </c>
      <c r="CO180" t="str">
        <f t="shared" si="150"/>
        <v>R371</v>
      </c>
      <c r="CP180" t="str">
        <f t="shared" si="165"/>
        <v>R371</v>
      </c>
      <c r="CQ180" t="str">
        <f t="shared" si="151"/>
        <v>R326</v>
      </c>
      <c r="CR180" t="str">
        <f t="shared" si="152"/>
        <v>R326</v>
      </c>
      <c r="CS180" t="s">
        <v>770</v>
      </c>
      <c r="CT180" t="s">
        <v>770</v>
      </c>
      <c r="CU180" t="s">
        <v>770</v>
      </c>
      <c r="CV180" t="b">
        <f t="shared" si="166"/>
        <v>1</v>
      </c>
      <c r="DC180" t="str">
        <f t="shared" si="153"/>
        <v>G454</v>
      </c>
      <c r="DD180" t="b">
        <f t="shared" si="167"/>
        <v>0</v>
      </c>
      <c r="DE180" t="str">
        <f t="shared" si="168"/>
        <v>G454</v>
      </c>
      <c r="DF180" t="str">
        <f t="shared" si="154"/>
        <v>R326</v>
      </c>
      <c r="DG180" t="b">
        <f t="shared" si="169"/>
        <v>0</v>
      </c>
      <c r="DH180" t="str">
        <f t="shared" si="170"/>
        <v>R326</v>
      </c>
    </row>
    <row r="181" spans="2:112" ht="12" customHeight="1">
      <c r="B181" t="str">
        <f>TBIDry!H253</f>
        <v>G353</v>
      </c>
      <c r="C181" t="str">
        <f>TBIDry!I253</f>
        <v>R612</v>
      </c>
      <c r="D181" t="b">
        <f t="shared" si="117"/>
        <v>0</v>
      </c>
      <c r="E181" t="b">
        <f t="shared" si="118"/>
        <v>0</v>
      </c>
      <c r="G181" t="str">
        <f>TBIWet!H253</f>
        <v>G781</v>
      </c>
      <c r="H181" t="str">
        <f>TBIWet!I253</f>
        <v>R309</v>
      </c>
      <c r="I181" t="b">
        <f t="shared" si="119"/>
        <v>0</v>
      </c>
      <c r="J181" t="b">
        <f t="shared" si="120"/>
        <v>0</v>
      </c>
      <c r="L181" t="str">
        <f>'Both teabags AfterWet'!A179</f>
        <v>G593</v>
      </c>
      <c r="M181" t="str">
        <f>'Both teabags AfterWet'!A599</f>
        <v>R375</v>
      </c>
      <c r="N181" t="b">
        <f t="shared" si="121"/>
        <v>0</v>
      </c>
      <c r="O181" t="b">
        <f t="shared" si="171"/>
        <v>0</v>
      </c>
      <c r="Q181" s="388" t="b">
        <f t="shared" si="122"/>
        <v>0</v>
      </c>
      <c r="R181" s="388" t="b">
        <f t="shared" si="123"/>
        <v>0</v>
      </c>
      <c r="T181" t="str">
        <f>'Both teabags AfterDry'!A179</f>
        <v>G342</v>
      </c>
      <c r="U181" t="str">
        <f>'Both teabags AfterDry'!A514</f>
        <v>R658</v>
      </c>
      <c r="V181" t="b">
        <f t="shared" si="124"/>
        <v>0</v>
      </c>
      <c r="W181" t="b">
        <f t="shared" si="155"/>
        <v>0</v>
      </c>
      <c r="Y181" t="str">
        <f>'Green_rooibos initial weight'!A182</f>
        <v>G178</v>
      </c>
      <c r="Z181" t="str">
        <f>'Green_rooibos initial weight'!A1086</f>
        <v>R178</v>
      </c>
      <c r="AA181" t="b">
        <f t="shared" si="125"/>
        <v>0</v>
      </c>
      <c r="AB181" t="b">
        <f t="shared" si="126"/>
        <v>0</v>
      </c>
      <c r="AE181" t="str">
        <f>'WetLitterbags placem_collection'!K180</f>
        <v>G781</v>
      </c>
      <c r="AF181" t="str">
        <f>'WetLitterbags placem_collection'!M180</f>
        <v>R309</v>
      </c>
      <c r="AG181" t="b">
        <f t="shared" si="127"/>
        <v>0</v>
      </c>
      <c r="AH181" t="b">
        <f t="shared" si="128"/>
        <v>0</v>
      </c>
      <c r="AJ181" t="b">
        <f t="shared" si="129"/>
        <v>0</v>
      </c>
      <c r="AK181" t="b">
        <f t="shared" si="130"/>
        <v>0</v>
      </c>
      <c r="AM181" t="str">
        <f>IF(ISBLANK('Dry_Litterbag Placem_Collection'!J180),"","G"&amp;""&amp;'Dry_Litterbag Placem_Collection'!J180)</f>
        <v>G353</v>
      </c>
      <c r="AN181" t="str">
        <f>IF(ISBLANK('Dry_Litterbag Placem_Collection'!K180),"","R"&amp;""&amp;'Dry_Litterbag Placem_Collection'!K180)</f>
        <v>R612</v>
      </c>
      <c r="AO181" t="b">
        <f t="shared" si="131"/>
        <v>0</v>
      </c>
      <c r="AP181" t="b">
        <f t="shared" si="132"/>
        <v>0</v>
      </c>
      <c r="AS181" t="str">
        <f>'Ashed teabags dry'!A179</f>
        <v>G342</v>
      </c>
      <c r="AT181" t="str">
        <f>'Ashed teabags dry'!A514</f>
        <v>R658</v>
      </c>
      <c r="AU181" t="b">
        <f t="shared" si="133"/>
        <v>0</v>
      </c>
      <c r="AV181" t="b">
        <f t="shared" si="156"/>
        <v>0</v>
      </c>
      <c r="AX181" s="388" t="b">
        <f t="shared" si="134"/>
        <v>0</v>
      </c>
      <c r="AY181" s="388" t="b">
        <f t="shared" si="135"/>
        <v>0</v>
      </c>
      <c r="BA181" t="str">
        <f>'Ashed teabags wet'!A179</f>
        <v>G593</v>
      </c>
      <c r="BB181" t="str">
        <f>'Ashed teabags wet'!A599</f>
        <v>R375</v>
      </c>
      <c r="BC181" t="b">
        <f t="shared" si="136"/>
        <v>0</v>
      </c>
      <c r="BD181" t="b">
        <f t="shared" si="116"/>
        <v>0</v>
      </c>
      <c r="BF181" t="str">
        <f t="shared" si="137"/>
        <v>G341</v>
      </c>
      <c r="BG181" t="str">
        <f t="shared" si="138"/>
        <v>G341</v>
      </c>
      <c r="BH181" t="str">
        <f t="shared" si="139"/>
        <v>G98</v>
      </c>
      <c r="BI181" t="str">
        <f t="shared" si="157"/>
        <v/>
      </c>
      <c r="BJ181" t="s">
        <v>1709</v>
      </c>
      <c r="BK181" t="s">
        <v>1709</v>
      </c>
      <c r="BL181" t="s">
        <v>1709</v>
      </c>
      <c r="BM181" t="b">
        <f t="shared" si="158"/>
        <v>1</v>
      </c>
      <c r="BN181" t="str">
        <f t="shared" si="140"/>
        <v>R657</v>
      </c>
      <c r="BO181" t="str">
        <f t="shared" si="141"/>
        <v>R657</v>
      </c>
      <c r="BP181" t="str">
        <f t="shared" si="142"/>
        <v>R750</v>
      </c>
      <c r="BQ181" t="str">
        <f t="shared" si="143"/>
        <v/>
      </c>
      <c r="BR181" t="s">
        <v>482</v>
      </c>
      <c r="BS181" t="s">
        <v>481</v>
      </c>
      <c r="BT181" t="s">
        <v>482</v>
      </c>
      <c r="BU181" t="b">
        <f t="shared" si="159"/>
        <v>1</v>
      </c>
      <c r="BZ181" t="str">
        <f t="shared" si="144"/>
        <v>G98</v>
      </c>
      <c r="CA181" t="b">
        <f t="shared" si="145"/>
        <v>1</v>
      </c>
      <c r="CB181" t="str">
        <f t="shared" si="160"/>
        <v/>
      </c>
      <c r="CC181" t="str">
        <f t="shared" si="146"/>
        <v>R750</v>
      </c>
      <c r="CD181" t="b">
        <f t="shared" si="161"/>
        <v>1</v>
      </c>
      <c r="CE181" t="str">
        <f t="shared" si="162"/>
        <v/>
      </c>
      <c r="CG181" t="str">
        <f t="shared" si="147"/>
        <v>G592</v>
      </c>
      <c r="CH181" t="str">
        <f t="shared" si="163"/>
        <v>G592</v>
      </c>
      <c r="CI181" t="str">
        <f t="shared" si="148"/>
        <v>G362</v>
      </c>
      <c r="CJ181" t="str">
        <f t="shared" si="149"/>
        <v>G362</v>
      </c>
      <c r="CK181" t="s">
        <v>1458</v>
      </c>
      <c r="CL181" t="s">
        <v>1458</v>
      </c>
      <c r="CM181" t="s">
        <v>1458</v>
      </c>
      <c r="CN181" t="b">
        <f t="shared" si="164"/>
        <v>1</v>
      </c>
      <c r="CO181" t="str">
        <f t="shared" si="150"/>
        <v>R372</v>
      </c>
      <c r="CP181" t="str">
        <f t="shared" si="165"/>
        <v>R372</v>
      </c>
      <c r="CQ181" t="str">
        <f t="shared" si="151"/>
        <v>R262</v>
      </c>
      <c r="CR181" t="str">
        <f t="shared" si="152"/>
        <v>R262</v>
      </c>
      <c r="CS181" t="s">
        <v>769</v>
      </c>
      <c r="CT181" t="s">
        <v>769</v>
      </c>
      <c r="CU181" t="s">
        <v>769</v>
      </c>
      <c r="CV181" t="b">
        <f t="shared" si="166"/>
        <v>1</v>
      </c>
      <c r="DC181" t="str">
        <f t="shared" si="153"/>
        <v>G362</v>
      </c>
      <c r="DD181" t="b">
        <f t="shared" si="167"/>
        <v>0</v>
      </c>
      <c r="DE181" t="str">
        <f t="shared" si="168"/>
        <v>G362</v>
      </c>
      <c r="DF181" t="str">
        <f t="shared" si="154"/>
        <v>R262</v>
      </c>
      <c r="DG181" t="b">
        <f t="shared" si="169"/>
        <v>0</v>
      </c>
      <c r="DH181" t="str">
        <f t="shared" si="170"/>
        <v>R262</v>
      </c>
    </row>
    <row r="182" spans="2:112" ht="12" customHeight="1">
      <c r="B182" t="str">
        <f>TBIDry!H254</f>
        <v>G42</v>
      </c>
      <c r="C182" t="str">
        <f>TBIDry!I254</f>
        <v>R491</v>
      </c>
      <c r="D182" t="b">
        <f t="shared" si="117"/>
        <v>0</v>
      </c>
      <c r="E182" t="b">
        <f t="shared" si="118"/>
        <v>0</v>
      </c>
      <c r="G182" t="str">
        <f>TBIWet!H254</f>
        <v>G451</v>
      </c>
      <c r="H182" t="str">
        <f>TBIWet!I254</f>
        <v>R32</v>
      </c>
      <c r="I182" t="b">
        <f t="shared" si="119"/>
        <v>0</v>
      </c>
      <c r="J182" t="b">
        <f t="shared" si="120"/>
        <v>0</v>
      </c>
      <c r="L182" t="str">
        <f>'Both teabags AfterWet'!A180</f>
        <v>G594</v>
      </c>
      <c r="M182" t="str">
        <f>'Both teabags AfterWet'!A600</f>
        <v>R376</v>
      </c>
      <c r="N182" t="b">
        <f t="shared" si="121"/>
        <v>0</v>
      </c>
      <c r="O182" t="b">
        <f t="shared" si="171"/>
        <v>0</v>
      </c>
      <c r="Q182" s="388" t="b">
        <f t="shared" si="122"/>
        <v>0</v>
      </c>
      <c r="R182" s="388" t="b">
        <f t="shared" si="123"/>
        <v>0</v>
      </c>
      <c r="T182" t="str">
        <f>'Both teabags AfterDry'!A180</f>
        <v>G343</v>
      </c>
      <c r="U182" t="str">
        <f>'Both teabags AfterDry'!A515</f>
        <v>R659</v>
      </c>
      <c r="V182" t="b">
        <f t="shared" si="124"/>
        <v>0</v>
      </c>
      <c r="W182" t="b">
        <f t="shared" si="155"/>
        <v>0</v>
      </c>
      <c r="Y182" t="str">
        <f>'Green_rooibos initial weight'!A183</f>
        <v>G179</v>
      </c>
      <c r="Z182" t="str">
        <f>'Green_rooibos initial weight'!A1087</f>
        <v>R179</v>
      </c>
      <c r="AA182" t="b">
        <f t="shared" si="125"/>
        <v>0</v>
      </c>
      <c r="AB182" t="b">
        <f t="shared" si="126"/>
        <v>0</v>
      </c>
      <c r="AE182" t="str">
        <f>'WetLitterbags placem_collection'!K181</f>
        <v>G451</v>
      </c>
      <c r="AF182" t="str">
        <f>'WetLitterbags placem_collection'!M181</f>
        <v>R32</v>
      </c>
      <c r="AG182" t="b">
        <f t="shared" si="127"/>
        <v>0</v>
      </c>
      <c r="AH182" t="b">
        <f t="shared" si="128"/>
        <v>0</v>
      </c>
      <c r="AJ182" t="b">
        <f t="shared" si="129"/>
        <v>0</v>
      </c>
      <c r="AK182" t="b">
        <f t="shared" si="130"/>
        <v>0</v>
      </c>
      <c r="AM182" t="str">
        <f>IF(ISBLANK('Dry_Litterbag Placem_Collection'!J181),"","G"&amp;""&amp;'Dry_Litterbag Placem_Collection'!J181)</f>
        <v>G42</v>
      </c>
      <c r="AN182" t="str">
        <f>IF(ISBLANK('Dry_Litterbag Placem_Collection'!K181),"","R"&amp;""&amp;'Dry_Litterbag Placem_Collection'!K181)</f>
        <v>R491</v>
      </c>
      <c r="AO182" t="b">
        <f t="shared" si="131"/>
        <v>0</v>
      </c>
      <c r="AP182" t="b">
        <f t="shared" si="132"/>
        <v>0</v>
      </c>
      <c r="AS182" t="str">
        <f>'Ashed teabags dry'!A180</f>
        <v>G343</v>
      </c>
      <c r="AT182" t="str">
        <f>'Ashed teabags dry'!A515</f>
        <v>R659</v>
      </c>
      <c r="AU182" t="b">
        <f t="shared" si="133"/>
        <v>0</v>
      </c>
      <c r="AV182" t="b">
        <f t="shared" si="156"/>
        <v>0</v>
      </c>
      <c r="AX182" s="388" t="b">
        <f t="shared" si="134"/>
        <v>0</v>
      </c>
      <c r="AY182" s="388" t="b">
        <f t="shared" si="135"/>
        <v>0</v>
      </c>
      <c r="BA182" t="str">
        <f>'Ashed teabags wet'!A180</f>
        <v>G594</v>
      </c>
      <c r="BB182" t="str">
        <f>'Ashed teabags wet'!A600</f>
        <v>R376</v>
      </c>
      <c r="BC182" t="b">
        <f t="shared" si="136"/>
        <v>0</v>
      </c>
      <c r="BD182" t="b">
        <f t="shared" si="116"/>
        <v>0</v>
      </c>
      <c r="BF182" t="str">
        <f t="shared" si="137"/>
        <v>G342</v>
      </c>
      <c r="BG182" t="str">
        <f t="shared" si="138"/>
        <v>G342</v>
      </c>
      <c r="BH182" t="str">
        <f t="shared" si="139"/>
        <v>G353</v>
      </c>
      <c r="BI182" t="str">
        <f t="shared" si="157"/>
        <v>G353</v>
      </c>
      <c r="BJ182" t="s">
        <v>1708</v>
      </c>
      <c r="BK182" t="s">
        <v>1708</v>
      </c>
      <c r="BL182" t="s">
        <v>1708</v>
      </c>
      <c r="BM182" t="b">
        <f t="shared" si="158"/>
        <v>1</v>
      </c>
      <c r="BN182" t="str">
        <f t="shared" si="140"/>
        <v>R658</v>
      </c>
      <c r="BO182" t="str">
        <f t="shared" si="141"/>
        <v>R658</v>
      </c>
      <c r="BP182" t="str">
        <f t="shared" si="142"/>
        <v>R612</v>
      </c>
      <c r="BQ182" t="str">
        <f t="shared" si="143"/>
        <v>R612</v>
      </c>
      <c r="BR182" t="s">
        <v>481</v>
      </c>
      <c r="BS182" t="s">
        <v>480</v>
      </c>
      <c r="BT182" t="s">
        <v>481</v>
      </c>
      <c r="BU182" t="b">
        <f t="shared" si="159"/>
        <v>1</v>
      </c>
      <c r="BZ182" t="str">
        <f t="shared" si="144"/>
        <v>G353</v>
      </c>
      <c r="CA182" t="b">
        <f t="shared" si="145"/>
        <v>0</v>
      </c>
      <c r="CB182" t="str">
        <f t="shared" si="160"/>
        <v>G353</v>
      </c>
      <c r="CC182" t="str">
        <f t="shared" si="146"/>
        <v>R612</v>
      </c>
      <c r="CD182" t="b">
        <f t="shared" si="161"/>
        <v>0</v>
      </c>
      <c r="CE182" t="str">
        <f t="shared" si="162"/>
        <v>R612</v>
      </c>
      <c r="CG182" t="str">
        <f t="shared" si="147"/>
        <v>G593</v>
      </c>
      <c r="CH182" t="str">
        <f t="shared" si="163"/>
        <v>G593</v>
      </c>
      <c r="CI182" t="str">
        <f t="shared" si="148"/>
        <v>G781</v>
      </c>
      <c r="CJ182" t="str">
        <f t="shared" si="149"/>
        <v>G781</v>
      </c>
      <c r="CK182" t="s">
        <v>1457</v>
      </c>
      <c r="CL182" t="s">
        <v>1457</v>
      </c>
      <c r="CM182" t="s">
        <v>1457</v>
      </c>
      <c r="CN182" t="b">
        <f t="shared" si="164"/>
        <v>1</v>
      </c>
      <c r="CO182" t="str">
        <f t="shared" si="150"/>
        <v>R375</v>
      </c>
      <c r="CP182" t="str">
        <f t="shared" si="165"/>
        <v>R375</v>
      </c>
      <c r="CQ182" t="str">
        <f t="shared" si="151"/>
        <v>R309</v>
      </c>
      <c r="CR182" t="str">
        <f t="shared" si="152"/>
        <v>R309</v>
      </c>
      <c r="CS182" t="s">
        <v>766</v>
      </c>
      <c r="CT182" t="s">
        <v>766</v>
      </c>
      <c r="CU182" t="s">
        <v>766</v>
      </c>
      <c r="CV182" t="b">
        <f t="shared" si="166"/>
        <v>1</v>
      </c>
      <c r="DC182" t="str">
        <f t="shared" si="153"/>
        <v>G781</v>
      </c>
      <c r="DD182" t="b">
        <f t="shared" si="167"/>
        <v>0</v>
      </c>
      <c r="DE182" t="str">
        <f t="shared" si="168"/>
        <v>G781</v>
      </c>
      <c r="DF182" t="str">
        <f t="shared" si="154"/>
        <v>R309</v>
      </c>
      <c r="DG182" t="b">
        <f t="shared" si="169"/>
        <v>0</v>
      </c>
      <c r="DH182" t="str">
        <f t="shared" si="170"/>
        <v>R309</v>
      </c>
    </row>
    <row r="183" spans="2:112" ht="12" customHeight="1">
      <c r="B183" t="str">
        <f>TBIDry!H255</f>
        <v>G245</v>
      </c>
      <c r="C183" t="str">
        <f>TBIDry!I255</f>
        <v>R325</v>
      </c>
      <c r="D183" t="b">
        <f t="shared" si="117"/>
        <v>0</v>
      </c>
      <c r="E183" t="b">
        <f t="shared" si="118"/>
        <v>0</v>
      </c>
      <c r="G183" t="str">
        <f>TBIWet!H255</f>
        <v>G360</v>
      </c>
      <c r="H183" t="str">
        <f>TBIWet!I255</f>
        <v>R268</v>
      </c>
      <c r="I183" t="b">
        <f t="shared" si="119"/>
        <v>0</v>
      </c>
      <c r="J183" t="b">
        <f t="shared" si="120"/>
        <v>0</v>
      </c>
      <c r="L183" t="str">
        <f>'Both teabags AfterWet'!A181</f>
        <v>G595</v>
      </c>
      <c r="M183" t="str">
        <f>'Both teabags AfterWet'!A601</f>
        <v>R378</v>
      </c>
      <c r="N183" t="b">
        <f t="shared" si="121"/>
        <v>0</v>
      </c>
      <c r="O183" t="b">
        <f t="shared" si="171"/>
        <v>0</v>
      </c>
      <c r="Q183" s="388" t="b">
        <f t="shared" si="122"/>
        <v>0</v>
      </c>
      <c r="R183" s="388" t="b">
        <f t="shared" si="123"/>
        <v>0</v>
      </c>
      <c r="T183" t="str">
        <f>'Both teabags AfterDry'!A181</f>
        <v>G344</v>
      </c>
      <c r="U183" t="str">
        <f>'Both teabags AfterDry'!A516</f>
        <v>R66</v>
      </c>
      <c r="V183" t="b">
        <f t="shared" si="124"/>
        <v>0</v>
      </c>
      <c r="W183" t="b">
        <f t="shared" si="155"/>
        <v>0</v>
      </c>
      <c r="Y183" t="str">
        <f>'Green_rooibos initial weight'!A184</f>
        <v>G180</v>
      </c>
      <c r="Z183" t="str">
        <f>'Green_rooibos initial weight'!A1088</f>
        <v>R180</v>
      </c>
      <c r="AA183" t="b">
        <f t="shared" si="125"/>
        <v>0</v>
      </c>
      <c r="AB183" t="b">
        <f t="shared" si="126"/>
        <v>0</v>
      </c>
      <c r="AE183" t="str">
        <f>'WetLitterbags placem_collection'!K182</f>
        <v>G360</v>
      </c>
      <c r="AF183" t="str">
        <f>'WetLitterbags placem_collection'!M182</f>
        <v>R268</v>
      </c>
      <c r="AG183" t="b">
        <f t="shared" si="127"/>
        <v>0</v>
      </c>
      <c r="AH183" t="b">
        <f t="shared" si="128"/>
        <v>0</v>
      </c>
      <c r="AJ183" t="b">
        <f t="shared" si="129"/>
        <v>0</v>
      </c>
      <c r="AK183" t="b">
        <f t="shared" si="130"/>
        <v>0</v>
      </c>
      <c r="AM183" t="str">
        <f>IF(ISBLANK('Dry_Litterbag Placem_Collection'!J182),"","G"&amp;""&amp;'Dry_Litterbag Placem_Collection'!J182)</f>
        <v>G245</v>
      </c>
      <c r="AN183" t="str">
        <f>IF(ISBLANK('Dry_Litterbag Placem_Collection'!K182),"","R"&amp;""&amp;'Dry_Litterbag Placem_Collection'!K182)</f>
        <v>R325</v>
      </c>
      <c r="AO183" t="b">
        <f t="shared" si="131"/>
        <v>0</v>
      </c>
      <c r="AP183" t="b">
        <f t="shared" si="132"/>
        <v>0</v>
      </c>
      <c r="AS183" t="str">
        <f>'Ashed teabags dry'!A181</f>
        <v>G344</v>
      </c>
      <c r="AT183" t="str">
        <f>'Ashed teabags dry'!A516</f>
        <v>R66</v>
      </c>
      <c r="AU183" t="b">
        <f t="shared" si="133"/>
        <v>0</v>
      </c>
      <c r="AV183" t="b">
        <f t="shared" si="156"/>
        <v>0</v>
      </c>
      <c r="AX183" s="388" t="b">
        <f t="shared" si="134"/>
        <v>0</v>
      </c>
      <c r="AY183" s="388" t="b">
        <f t="shared" si="135"/>
        <v>0</v>
      </c>
      <c r="BA183" t="str">
        <f>'Ashed teabags wet'!A181</f>
        <v>G595</v>
      </c>
      <c r="BB183" t="str">
        <f>'Ashed teabags wet'!A601</f>
        <v>R378</v>
      </c>
      <c r="BC183" t="b">
        <f t="shared" si="136"/>
        <v>0</v>
      </c>
      <c r="BD183" t="b">
        <f t="shared" si="116"/>
        <v>0</v>
      </c>
      <c r="BF183" t="str">
        <f t="shared" si="137"/>
        <v>G343</v>
      </c>
      <c r="BG183" t="str">
        <f t="shared" si="138"/>
        <v>G343</v>
      </c>
      <c r="BH183" t="str">
        <f t="shared" si="139"/>
        <v>G42</v>
      </c>
      <c r="BI183" t="str">
        <f t="shared" si="157"/>
        <v>G42</v>
      </c>
      <c r="BJ183" t="s">
        <v>1707</v>
      </c>
      <c r="BK183" t="s">
        <v>1707</v>
      </c>
      <c r="BL183" t="s">
        <v>1707</v>
      </c>
      <c r="BM183" t="b">
        <f t="shared" si="158"/>
        <v>1</v>
      </c>
      <c r="BN183" t="str">
        <f t="shared" si="140"/>
        <v>R659</v>
      </c>
      <c r="BO183" t="str">
        <f t="shared" si="141"/>
        <v>R659</v>
      </c>
      <c r="BP183" t="str">
        <f t="shared" si="142"/>
        <v>R491</v>
      </c>
      <c r="BQ183" t="str">
        <f t="shared" si="143"/>
        <v>R491</v>
      </c>
      <c r="BR183" t="s">
        <v>480</v>
      </c>
      <c r="BS183" t="s">
        <v>1075</v>
      </c>
      <c r="BT183" t="s">
        <v>480</v>
      </c>
      <c r="BU183" t="b">
        <f t="shared" si="159"/>
        <v>1</v>
      </c>
      <c r="BZ183" t="str">
        <f t="shared" si="144"/>
        <v>G42</v>
      </c>
      <c r="CA183" t="b">
        <f t="shared" si="145"/>
        <v>0</v>
      </c>
      <c r="CB183" t="str">
        <f t="shared" si="160"/>
        <v>G42</v>
      </c>
      <c r="CC183" t="str">
        <f t="shared" si="146"/>
        <v>R491</v>
      </c>
      <c r="CD183" t="b">
        <f t="shared" si="161"/>
        <v>0</v>
      </c>
      <c r="CE183" t="str">
        <f t="shared" si="162"/>
        <v>R491</v>
      </c>
      <c r="CG183" t="str">
        <f t="shared" si="147"/>
        <v>G594</v>
      </c>
      <c r="CH183" t="str">
        <f t="shared" si="163"/>
        <v>G594</v>
      </c>
      <c r="CI183" t="str">
        <f t="shared" si="148"/>
        <v>G451</v>
      </c>
      <c r="CJ183" t="str">
        <f t="shared" si="149"/>
        <v>G451</v>
      </c>
      <c r="CK183" t="s">
        <v>1456</v>
      </c>
      <c r="CL183" t="s">
        <v>1456</v>
      </c>
      <c r="CM183" t="s">
        <v>1456</v>
      </c>
      <c r="CN183" t="b">
        <f t="shared" si="164"/>
        <v>1</v>
      </c>
      <c r="CO183" t="str">
        <f t="shared" si="150"/>
        <v>R376</v>
      </c>
      <c r="CP183" t="str">
        <f t="shared" si="165"/>
        <v>R376</v>
      </c>
      <c r="CQ183" t="str">
        <f t="shared" si="151"/>
        <v>R32</v>
      </c>
      <c r="CR183" t="str">
        <f t="shared" si="152"/>
        <v>R32</v>
      </c>
      <c r="CS183" t="s">
        <v>765</v>
      </c>
      <c r="CT183" t="s">
        <v>765</v>
      </c>
      <c r="CU183" t="s">
        <v>765</v>
      </c>
      <c r="CV183" t="b">
        <f t="shared" si="166"/>
        <v>1</v>
      </c>
      <c r="DC183" t="str">
        <f t="shared" si="153"/>
        <v>G451</v>
      </c>
      <c r="DD183" t="b">
        <f t="shared" si="167"/>
        <v>0</v>
      </c>
      <c r="DE183" t="str">
        <f t="shared" si="168"/>
        <v>G451</v>
      </c>
      <c r="DF183" t="str">
        <f t="shared" si="154"/>
        <v>R32</v>
      </c>
      <c r="DG183" t="b">
        <f t="shared" si="169"/>
        <v>0</v>
      </c>
      <c r="DH183" t="str">
        <f t="shared" si="170"/>
        <v>R32</v>
      </c>
    </row>
    <row r="184" spans="2:112" ht="12" customHeight="1">
      <c r="B184" t="str">
        <f>TBIDry!H256</f>
        <v>G411</v>
      </c>
      <c r="C184" t="str">
        <f>TBIDry!I256</f>
        <v>R116</v>
      </c>
      <c r="D184" t="b">
        <f t="shared" si="117"/>
        <v>0</v>
      </c>
      <c r="E184" t="b">
        <f t="shared" si="118"/>
        <v>0</v>
      </c>
      <c r="G184" t="str">
        <f>TBIWet!H256</f>
        <v>G458</v>
      </c>
      <c r="H184" t="str">
        <f>TBIWet!I256</f>
        <v>R587</v>
      </c>
      <c r="I184" t="b">
        <f t="shared" si="119"/>
        <v>0</v>
      </c>
      <c r="J184" t="b">
        <f t="shared" si="120"/>
        <v>0</v>
      </c>
      <c r="L184" t="str">
        <f>'Both teabags AfterWet'!A182</f>
        <v>G599</v>
      </c>
      <c r="M184" t="str">
        <f>'Both teabags AfterWet'!A602</f>
        <v>R38</v>
      </c>
      <c r="N184" t="b">
        <f t="shared" si="121"/>
        <v>0</v>
      </c>
      <c r="O184" t="b">
        <f t="shared" si="171"/>
        <v>0</v>
      </c>
      <c r="Q184" s="388" t="b">
        <f t="shared" si="122"/>
        <v>0</v>
      </c>
      <c r="R184" s="388" t="b">
        <f t="shared" si="123"/>
        <v>0</v>
      </c>
      <c r="T184" t="str">
        <f>'Both teabags AfterDry'!A182</f>
        <v>G347</v>
      </c>
      <c r="U184" t="str">
        <f>'Both teabags AfterDry'!A517</f>
        <v>R660</v>
      </c>
      <c r="V184" t="b">
        <f t="shared" si="124"/>
        <v>0</v>
      </c>
      <c r="W184" t="b">
        <f t="shared" si="155"/>
        <v>0</v>
      </c>
      <c r="Y184" t="str">
        <f>'Green_rooibos initial weight'!A185</f>
        <v>G181</v>
      </c>
      <c r="Z184" t="str">
        <f>'Green_rooibos initial weight'!A1089</f>
        <v>R181</v>
      </c>
      <c r="AA184" t="b">
        <f t="shared" si="125"/>
        <v>0</v>
      </c>
      <c r="AB184" t="b">
        <f t="shared" si="126"/>
        <v>0</v>
      </c>
      <c r="AE184" t="str">
        <f>'WetLitterbags placem_collection'!K183</f>
        <v>G458</v>
      </c>
      <c r="AF184" t="str">
        <f>'WetLitterbags placem_collection'!M183</f>
        <v>R587</v>
      </c>
      <c r="AG184" t="b">
        <f t="shared" si="127"/>
        <v>0</v>
      </c>
      <c r="AH184" t="b">
        <f t="shared" si="128"/>
        <v>0</v>
      </c>
      <c r="AJ184" t="b">
        <f t="shared" si="129"/>
        <v>0</v>
      </c>
      <c r="AK184" t="b">
        <f t="shared" si="130"/>
        <v>0</v>
      </c>
      <c r="AM184" t="str">
        <f>IF(ISBLANK('Dry_Litterbag Placem_Collection'!J183),"","G"&amp;""&amp;'Dry_Litterbag Placem_Collection'!J183)</f>
        <v>G411</v>
      </c>
      <c r="AN184" t="str">
        <f>IF(ISBLANK('Dry_Litterbag Placem_Collection'!K183),"","R"&amp;""&amp;'Dry_Litterbag Placem_Collection'!K183)</f>
        <v>R116</v>
      </c>
      <c r="AO184" t="b">
        <f t="shared" si="131"/>
        <v>0</v>
      </c>
      <c r="AP184" t="b">
        <f t="shared" si="132"/>
        <v>0</v>
      </c>
      <c r="AS184" t="str">
        <f>'Ashed teabags dry'!A182</f>
        <v>G347</v>
      </c>
      <c r="AT184" t="str">
        <f>'Ashed teabags dry'!A517</f>
        <v>R660</v>
      </c>
      <c r="AU184" t="b">
        <f t="shared" si="133"/>
        <v>0</v>
      </c>
      <c r="AV184" t="b">
        <f t="shared" si="156"/>
        <v>0</v>
      </c>
      <c r="AX184" s="388" t="b">
        <f t="shared" si="134"/>
        <v>0</v>
      </c>
      <c r="AY184" s="388" t="b">
        <f t="shared" si="135"/>
        <v>0</v>
      </c>
      <c r="BA184" t="str">
        <f>'Ashed teabags wet'!A182</f>
        <v>G599</v>
      </c>
      <c r="BB184" t="str">
        <f>'Ashed teabags wet'!A602</f>
        <v>R38</v>
      </c>
      <c r="BC184" t="b">
        <f t="shared" si="136"/>
        <v>0</v>
      </c>
      <c r="BD184" t="b">
        <f t="shared" si="116"/>
        <v>0</v>
      </c>
      <c r="BF184" t="str">
        <f t="shared" si="137"/>
        <v>G344</v>
      </c>
      <c r="BG184" t="str">
        <f t="shared" si="138"/>
        <v>G344</v>
      </c>
      <c r="BH184" t="str">
        <f t="shared" si="139"/>
        <v>G245</v>
      </c>
      <c r="BI184" t="str">
        <f t="shared" si="157"/>
        <v>G245</v>
      </c>
      <c r="BJ184" t="s">
        <v>1706</v>
      </c>
      <c r="BK184" t="s">
        <v>1706</v>
      </c>
      <c r="BL184" t="s">
        <v>1706</v>
      </c>
      <c r="BM184" t="b">
        <f t="shared" si="158"/>
        <v>1</v>
      </c>
      <c r="BN184" t="str">
        <f t="shared" si="140"/>
        <v>R66</v>
      </c>
      <c r="BO184" t="str">
        <f t="shared" si="141"/>
        <v>R66</v>
      </c>
      <c r="BP184" t="str">
        <f t="shared" si="142"/>
        <v>R325</v>
      </c>
      <c r="BQ184" t="str">
        <f t="shared" si="143"/>
        <v>R325</v>
      </c>
      <c r="BR184" t="s">
        <v>1075</v>
      </c>
      <c r="BS184" t="s">
        <v>479</v>
      </c>
      <c r="BT184" t="s">
        <v>1075</v>
      </c>
      <c r="BU184" t="b">
        <f t="shared" si="159"/>
        <v>1</v>
      </c>
      <c r="BZ184" t="str">
        <f t="shared" si="144"/>
        <v>G245</v>
      </c>
      <c r="CA184" t="b">
        <f t="shared" si="145"/>
        <v>0</v>
      </c>
      <c r="CB184" t="str">
        <f t="shared" si="160"/>
        <v>G245</v>
      </c>
      <c r="CC184" t="str">
        <f t="shared" si="146"/>
        <v>R325</v>
      </c>
      <c r="CD184" t="b">
        <f t="shared" si="161"/>
        <v>0</v>
      </c>
      <c r="CE184" t="str">
        <f t="shared" si="162"/>
        <v>R325</v>
      </c>
      <c r="CG184" t="str">
        <f t="shared" si="147"/>
        <v>G595</v>
      </c>
      <c r="CH184" t="str">
        <f t="shared" si="163"/>
        <v>G595</v>
      </c>
      <c r="CI184" t="str">
        <f t="shared" si="148"/>
        <v>G360</v>
      </c>
      <c r="CJ184" t="str">
        <f t="shared" si="149"/>
        <v>G360</v>
      </c>
      <c r="CK184" t="s">
        <v>1455</v>
      </c>
      <c r="CL184" t="s">
        <v>1455</v>
      </c>
      <c r="CM184" t="s">
        <v>1455</v>
      </c>
      <c r="CN184" t="b">
        <f t="shared" si="164"/>
        <v>1</v>
      </c>
      <c r="CO184" t="str">
        <f t="shared" si="150"/>
        <v>R378</v>
      </c>
      <c r="CP184" t="str">
        <f t="shared" si="165"/>
        <v>R378</v>
      </c>
      <c r="CQ184" t="str">
        <f t="shared" si="151"/>
        <v>R268</v>
      </c>
      <c r="CR184" t="str">
        <f t="shared" si="152"/>
        <v>R268</v>
      </c>
      <c r="CS184" t="s">
        <v>763</v>
      </c>
      <c r="CT184" t="s">
        <v>763</v>
      </c>
      <c r="CU184" t="s">
        <v>763</v>
      </c>
      <c r="CV184" t="b">
        <f t="shared" si="166"/>
        <v>1</v>
      </c>
      <c r="DC184" t="str">
        <f t="shared" si="153"/>
        <v>G360</v>
      </c>
      <c r="DD184" t="b">
        <f t="shared" si="167"/>
        <v>0</v>
      </c>
      <c r="DE184" t="str">
        <f t="shared" si="168"/>
        <v>G360</v>
      </c>
      <c r="DF184" t="str">
        <f t="shared" si="154"/>
        <v>R268</v>
      </c>
      <c r="DG184" t="b">
        <f t="shared" si="169"/>
        <v>0</v>
      </c>
      <c r="DH184" t="str">
        <f t="shared" si="170"/>
        <v>R268</v>
      </c>
    </row>
    <row r="185" spans="2:112" ht="12" customHeight="1">
      <c r="B185" t="str">
        <f>TBIDry!H257</f>
        <v>G309</v>
      </c>
      <c r="C185" t="str">
        <f>TBIDry!I257</f>
        <v>R613</v>
      </c>
      <c r="D185" t="b">
        <f t="shared" si="117"/>
        <v>0</v>
      </c>
      <c r="E185" t="b">
        <f t="shared" si="118"/>
        <v>0</v>
      </c>
      <c r="G185" t="str">
        <f>TBIWet!H257</f>
        <v>G403</v>
      </c>
      <c r="H185" t="str">
        <f>TBIWet!I257</f>
        <v>R444</v>
      </c>
      <c r="I185" t="b">
        <f t="shared" si="119"/>
        <v>0</v>
      </c>
      <c r="J185" t="b">
        <f t="shared" si="120"/>
        <v>0</v>
      </c>
      <c r="L185" t="str">
        <f>'Both teabags AfterWet'!A183</f>
        <v>G600</v>
      </c>
      <c r="M185" t="str">
        <f>'Both teabags AfterWet'!A603</f>
        <v>R380</v>
      </c>
      <c r="N185" t="b">
        <f t="shared" si="121"/>
        <v>0</v>
      </c>
      <c r="O185" t="b">
        <f t="shared" si="171"/>
        <v>0</v>
      </c>
      <c r="Q185" s="388" t="b">
        <f t="shared" si="122"/>
        <v>0</v>
      </c>
      <c r="R185" s="388" t="b">
        <f t="shared" si="123"/>
        <v>0</v>
      </c>
      <c r="T185" t="str">
        <f>'Both teabags AfterDry'!A183</f>
        <v>G348</v>
      </c>
      <c r="U185" t="str">
        <f>'Both teabags AfterDry'!A518</f>
        <v>R661</v>
      </c>
      <c r="V185" t="b">
        <f t="shared" si="124"/>
        <v>0</v>
      </c>
      <c r="W185" t="b">
        <f t="shared" si="155"/>
        <v>0</v>
      </c>
      <c r="Y185" t="str">
        <f>'Green_rooibos initial weight'!A186</f>
        <v>G182</v>
      </c>
      <c r="Z185" t="str">
        <f>'Green_rooibos initial weight'!A1090</f>
        <v>R182</v>
      </c>
      <c r="AA185" t="b">
        <f t="shared" si="125"/>
        <v>0</v>
      </c>
      <c r="AB185" t="b">
        <f t="shared" si="126"/>
        <v>0</v>
      </c>
      <c r="AE185" t="str">
        <f>'WetLitterbags placem_collection'!K184</f>
        <v>G403</v>
      </c>
      <c r="AF185" t="str">
        <f>'WetLitterbags placem_collection'!M184</f>
        <v>R444</v>
      </c>
      <c r="AG185" t="b">
        <f t="shared" si="127"/>
        <v>0</v>
      </c>
      <c r="AH185" t="b">
        <f t="shared" si="128"/>
        <v>0</v>
      </c>
      <c r="AJ185" t="b">
        <f t="shared" si="129"/>
        <v>0</v>
      </c>
      <c r="AK185" t="b">
        <f t="shared" si="130"/>
        <v>0</v>
      </c>
      <c r="AM185" t="str">
        <f>IF(ISBLANK('Dry_Litterbag Placem_Collection'!J184),"","G"&amp;""&amp;'Dry_Litterbag Placem_Collection'!J184)</f>
        <v>G309</v>
      </c>
      <c r="AN185" t="str">
        <f>IF(ISBLANK('Dry_Litterbag Placem_Collection'!K184),"","R"&amp;""&amp;'Dry_Litterbag Placem_Collection'!K184)</f>
        <v>R613</v>
      </c>
      <c r="AO185" t="b">
        <f t="shared" si="131"/>
        <v>0</v>
      </c>
      <c r="AP185" t="b">
        <f t="shared" si="132"/>
        <v>0</v>
      </c>
      <c r="AS185" t="str">
        <f>'Ashed teabags dry'!A183</f>
        <v>G348</v>
      </c>
      <c r="AT185" t="str">
        <f>'Ashed teabags dry'!A518</f>
        <v>R661</v>
      </c>
      <c r="AU185" t="b">
        <f t="shared" si="133"/>
        <v>0</v>
      </c>
      <c r="AV185" t="b">
        <f t="shared" si="156"/>
        <v>0</v>
      </c>
      <c r="AX185" s="388" t="b">
        <f t="shared" si="134"/>
        <v>0</v>
      </c>
      <c r="AY185" s="388" t="b">
        <f t="shared" si="135"/>
        <v>0</v>
      </c>
      <c r="BA185" t="str">
        <f>'Ashed teabags wet'!A183</f>
        <v>G600</v>
      </c>
      <c r="BB185" t="str">
        <f>'Ashed teabags wet'!A603</f>
        <v>R380</v>
      </c>
      <c r="BC185" t="b">
        <f t="shared" si="136"/>
        <v>0</v>
      </c>
      <c r="BD185" t="b">
        <f t="shared" si="116"/>
        <v>0</v>
      </c>
      <c r="BF185" t="str">
        <f t="shared" si="137"/>
        <v>G347</v>
      </c>
      <c r="BG185" t="str">
        <f t="shared" si="138"/>
        <v>G347</v>
      </c>
      <c r="BH185" t="str">
        <f t="shared" si="139"/>
        <v>G411</v>
      </c>
      <c r="BI185" t="str">
        <f t="shared" si="157"/>
        <v>G411</v>
      </c>
      <c r="BJ185" t="s">
        <v>1703</v>
      </c>
      <c r="BK185" t="s">
        <v>1703</v>
      </c>
      <c r="BL185" t="s">
        <v>1703</v>
      </c>
      <c r="BM185" t="b">
        <f t="shared" si="158"/>
        <v>1</v>
      </c>
      <c r="BN185" t="str">
        <f t="shared" si="140"/>
        <v>R660</v>
      </c>
      <c r="BO185" t="str">
        <f t="shared" si="141"/>
        <v>R660</v>
      </c>
      <c r="BP185" t="str">
        <f t="shared" si="142"/>
        <v>R116</v>
      </c>
      <c r="BQ185" t="str">
        <f t="shared" si="143"/>
        <v>R116</v>
      </c>
      <c r="BR185" t="s">
        <v>479</v>
      </c>
      <c r="BS185" t="s">
        <v>478</v>
      </c>
      <c r="BT185" t="s">
        <v>479</v>
      </c>
      <c r="BU185" t="b">
        <f t="shared" si="159"/>
        <v>1</v>
      </c>
      <c r="BZ185" t="str">
        <f t="shared" si="144"/>
        <v>G411</v>
      </c>
      <c r="CA185" t="b">
        <f t="shared" si="145"/>
        <v>0</v>
      </c>
      <c r="CB185" t="str">
        <f t="shared" si="160"/>
        <v>G411</v>
      </c>
      <c r="CC185" t="str">
        <f t="shared" si="146"/>
        <v>R116</v>
      </c>
      <c r="CD185" t="b">
        <f t="shared" si="161"/>
        <v>0</v>
      </c>
      <c r="CE185" t="str">
        <f t="shared" si="162"/>
        <v>R116</v>
      </c>
      <c r="CG185" t="str">
        <f t="shared" si="147"/>
        <v>G599</v>
      </c>
      <c r="CH185" t="str">
        <f t="shared" si="163"/>
        <v>G599</v>
      </c>
      <c r="CI185" t="str">
        <f t="shared" si="148"/>
        <v>G458</v>
      </c>
      <c r="CJ185" t="str">
        <f t="shared" si="149"/>
        <v>G458</v>
      </c>
      <c r="CK185" t="s">
        <v>1451</v>
      </c>
      <c r="CL185" t="s">
        <v>1451</v>
      </c>
      <c r="CM185" t="s">
        <v>1451</v>
      </c>
      <c r="CN185" t="b">
        <f t="shared" si="164"/>
        <v>1</v>
      </c>
      <c r="CO185" t="str">
        <f t="shared" si="150"/>
        <v>R38</v>
      </c>
      <c r="CP185" t="str">
        <f t="shared" si="165"/>
        <v>R38</v>
      </c>
      <c r="CQ185" t="str">
        <f t="shared" si="151"/>
        <v>R587</v>
      </c>
      <c r="CR185" t="str">
        <f t="shared" si="152"/>
        <v>R587</v>
      </c>
      <c r="CS185" t="s">
        <v>1103</v>
      </c>
      <c r="CT185" t="s">
        <v>1103</v>
      </c>
      <c r="CU185" t="s">
        <v>1103</v>
      </c>
      <c r="CV185" t="b">
        <f t="shared" si="166"/>
        <v>1</v>
      </c>
      <c r="DC185" t="str">
        <f t="shared" si="153"/>
        <v>G458</v>
      </c>
      <c r="DD185" t="b">
        <f t="shared" si="167"/>
        <v>0</v>
      </c>
      <c r="DE185" t="str">
        <f t="shared" si="168"/>
        <v>G458</v>
      </c>
      <c r="DF185" t="str">
        <f t="shared" si="154"/>
        <v>R587</v>
      </c>
      <c r="DG185" t="b">
        <f t="shared" si="169"/>
        <v>0</v>
      </c>
      <c r="DH185" t="str">
        <f t="shared" si="170"/>
        <v>R587</v>
      </c>
    </row>
    <row r="186" spans="2:112" ht="12" customHeight="1">
      <c r="B186" t="str">
        <f>TBIDry!H258</f>
        <v/>
      </c>
      <c r="C186" t="str">
        <f>TBIDry!I258</f>
        <v/>
      </c>
      <c r="D186" t="b">
        <f t="shared" si="117"/>
        <v>1</v>
      </c>
      <c r="E186" t="b">
        <f t="shared" si="118"/>
        <v>1</v>
      </c>
      <c r="G186" t="str">
        <f>TBIWet!H258</f>
        <v>G585</v>
      </c>
      <c r="H186" t="str">
        <f>TBIWet!I258</f>
        <v>R568</v>
      </c>
      <c r="I186" t="b">
        <f t="shared" si="119"/>
        <v>0</v>
      </c>
      <c r="J186" t="b">
        <f t="shared" si="120"/>
        <v>0</v>
      </c>
      <c r="L186" t="str">
        <f>'Both teabags AfterWet'!A184</f>
        <v>G602</v>
      </c>
      <c r="M186" t="str">
        <f>'Both teabags AfterWet'!A604</f>
        <v>R381</v>
      </c>
      <c r="N186" t="b">
        <f t="shared" si="121"/>
        <v>0</v>
      </c>
      <c r="O186" t="b">
        <f t="shared" si="171"/>
        <v>0</v>
      </c>
      <c r="Q186" s="388" t="b">
        <f t="shared" si="122"/>
        <v>0</v>
      </c>
      <c r="R186" s="388" t="b">
        <f t="shared" si="123"/>
        <v>0</v>
      </c>
      <c r="T186" t="str">
        <f>'Both teabags AfterDry'!A184</f>
        <v>G349</v>
      </c>
      <c r="U186" t="str">
        <f>'Both teabags AfterDry'!A519</f>
        <v>R663</v>
      </c>
      <c r="V186" t="b">
        <f t="shared" si="124"/>
        <v>0</v>
      </c>
      <c r="W186" t="b">
        <f t="shared" si="155"/>
        <v>0</v>
      </c>
      <c r="Y186" t="str">
        <f>'Green_rooibos initial weight'!A187</f>
        <v>G183</v>
      </c>
      <c r="Z186" t="str">
        <f>'Green_rooibos initial weight'!A1091</f>
        <v>R183</v>
      </c>
      <c r="AA186" t="b">
        <f t="shared" si="125"/>
        <v>0</v>
      </c>
      <c r="AB186" t="b">
        <f t="shared" si="126"/>
        <v>0</v>
      </c>
      <c r="AE186" t="str">
        <f>'WetLitterbags placem_collection'!K185</f>
        <v>G585</v>
      </c>
      <c r="AF186" t="str">
        <f>'WetLitterbags placem_collection'!M185</f>
        <v>R568</v>
      </c>
      <c r="AG186" t="b">
        <f t="shared" si="127"/>
        <v>0</v>
      </c>
      <c r="AH186" t="b">
        <f t="shared" si="128"/>
        <v>0</v>
      </c>
      <c r="AJ186" t="b">
        <f t="shared" si="129"/>
        <v>0</v>
      </c>
      <c r="AK186" t="b">
        <f t="shared" si="130"/>
        <v>0</v>
      </c>
      <c r="AM186" t="str">
        <f>IF(ISBLANK('Dry_Litterbag Placem_Collection'!J185),"","G"&amp;""&amp;'Dry_Litterbag Placem_Collection'!J185)</f>
        <v/>
      </c>
      <c r="AN186" t="str">
        <f>IF(ISBLANK('Dry_Litterbag Placem_Collection'!K185),"","R"&amp;""&amp;'Dry_Litterbag Placem_Collection'!K185)</f>
        <v/>
      </c>
      <c r="AO186" t="b">
        <f t="shared" si="131"/>
        <v>1</v>
      </c>
      <c r="AP186" t="b">
        <f t="shared" si="132"/>
        <v>1</v>
      </c>
      <c r="AS186" t="str">
        <f>'Ashed teabags dry'!A184</f>
        <v>G349</v>
      </c>
      <c r="AT186" t="str">
        <f>'Ashed teabags dry'!A519</f>
        <v>R663</v>
      </c>
      <c r="AU186" t="b">
        <f t="shared" si="133"/>
        <v>0</v>
      </c>
      <c r="AV186" t="b">
        <f t="shared" si="156"/>
        <v>0</v>
      </c>
      <c r="AX186" s="388" t="b">
        <f t="shared" si="134"/>
        <v>0</v>
      </c>
      <c r="AY186" s="388" t="b">
        <f t="shared" si="135"/>
        <v>0</v>
      </c>
      <c r="BA186" t="str">
        <f>'Ashed teabags wet'!A184</f>
        <v>G602</v>
      </c>
      <c r="BB186" t="str">
        <f>'Ashed teabags wet'!A604</f>
        <v>R381</v>
      </c>
      <c r="BC186" t="b">
        <f t="shared" si="136"/>
        <v>0</v>
      </c>
      <c r="BD186" t="b">
        <f t="shared" si="116"/>
        <v>0</v>
      </c>
      <c r="BF186" t="str">
        <f t="shared" si="137"/>
        <v>G348</v>
      </c>
      <c r="BG186" t="str">
        <f t="shared" si="138"/>
        <v>G348</v>
      </c>
      <c r="BH186" t="str">
        <f t="shared" si="139"/>
        <v>G309</v>
      </c>
      <c r="BI186" t="str">
        <f t="shared" si="157"/>
        <v>G309</v>
      </c>
      <c r="BJ186" t="s">
        <v>1702</v>
      </c>
      <c r="BK186" t="s">
        <v>1702</v>
      </c>
      <c r="BL186" t="s">
        <v>1702</v>
      </c>
      <c r="BM186" t="b">
        <f t="shared" si="158"/>
        <v>1</v>
      </c>
      <c r="BN186" t="str">
        <f t="shared" si="140"/>
        <v>R661</v>
      </c>
      <c r="BO186" t="str">
        <f t="shared" si="141"/>
        <v>R661</v>
      </c>
      <c r="BP186" t="str">
        <f t="shared" si="142"/>
        <v>R613</v>
      </c>
      <c r="BQ186" t="str">
        <f t="shared" si="143"/>
        <v>R613</v>
      </c>
      <c r="BR186" t="s">
        <v>478</v>
      </c>
      <c r="BS186" t="s">
        <v>476</v>
      </c>
      <c r="BT186" t="s">
        <v>478</v>
      </c>
      <c r="BU186" t="b">
        <f t="shared" si="159"/>
        <v>1</v>
      </c>
      <c r="BZ186" t="str">
        <f t="shared" si="144"/>
        <v>G309</v>
      </c>
      <c r="CA186" t="b">
        <f t="shared" si="145"/>
        <v>0</v>
      </c>
      <c r="CB186" t="str">
        <f t="shared" si="160"/>
        <v>G309</v>
      </c>
      <c r="CC186" t="str">
        <f t="shared" si="146"/>
        <v>R613</v>
      </c>
      <c r="CD186" t="b">
        <f t="shared" si="161"/>
        <v>0</v>
      </c>
      <c r="CE186" t="str">
        <f t="shared" si="162"/>
        <v>R613</v>
      </c>
      <c r="CG186" t="str">
        <f t="shared" si="147"/>
        <v>G600</v>
      </c>
      <c r="CH186" t="str">
        <f t="shared" si="163"/>
        <v>G600</v>
      </c>
      <c r="CI186" t="str">
        <f t="shared" si="148"/>
        <v>G403</v>
      </c>
      <c r="CJ186" t="str">
        <f t="shared" si="149"/>
        <v>G403</v>
      </c>
      <c r="CK186" t="s">
        <v>1450</v>
      </c>
      <c r="CL186" t="s">
        <v>1450</v>
      </c>
      <c r="CM186" t="s">
        <v>1450</v>
      </c>
      <c r="CN186" t="b">
        <f t="shared" si="164"/>
        <v>1</v>
      </c>
      <c r="CO186" t="str">
        <f t="shared" si="150"/>
        <v>R380</v>
      </c>
      <c r="CP186" t="str">
        <f t="shared" si="165"/>
        <v>R380</v>
      </c>
      <c r="CQ186" t="str">
        <f t="shared" si="151"/>
        <v>R444</v>
      </c>
      <c r="CR186" t="str">
        <f t="shared" si="152"/>
        <v>R444</v>
      </c>
      <c r="CS186" t="s">
        <v>761</v>
      </c>
      <c r="CT186" t="s">
        <v>761</v>
      </c>
      <c r="CU186" t="s">
        <v>761</v>
      </c>
      <c r="CV186" t="b">
        <f t="shared" si="166"/>
        <v>1</v>
      </c>
      <c r="DC186" t="str">
        <f t="shared" si="153"/>
        <v>G403</v>
      </c>
      <c r="DD186" t="b">
        <f t="shared" si="167"/>
        <v>0</v>
      </c>
      <c r="DE186" t="str">
        <f t="shared" si="168"/>
        <v>G403</v>
      </c>
      <c r="DF186" t="str">
        <f t="shared" si="154"/>
        <v>R444</v>
      </c>
      <c r="DG186" t="b">
        <f t="shared" si="169"/>
        <v>0</v>
      </c>
      <c r="DH186" t="str">
        <f t="shared" si="170"/>
        <v>R444</v>
      </c>
    </row>
    <row r="187" spans="2:112" ht="12" customHeight="1">
      <c r="B187" t="str">
        <f>TBIDry!H259</f>
        <v>G235</v>
      </c>
      <c r="C187" t="str">
        <f>TBIDry!I259</f>
        <v>R179</v>
      </c>
      <c r="D187" t="b">
        <f t="shared" si="117"/>
        <v>0</v>
      </c>
      <c r="E187" t="b">
        <f t="shared" si="118"/>
        <v>0</v>
      </c>
      <c r="G187" t="str">
        <f>TBIWet!H259</f>
        <v>G669</v>
      </c>
      <c r="H187" t="str">
        <f>TBIWet!I259</f>
        <v>R541</v>
      </c>
      <c r="I187" t="b">
        <f t="shared" si="119"/>
        <v>0</v>
      </c>
      <c r="J187" t="b">
        <f t="shared" si="120"/>
        <v>0</v>
      </c>
      <c r="L187" t="str">
        <f>'Both teabags AfterWet'!A185</f>
        <v>G603</v>
      </c>
      <c r="M187" t="str">
        <f>'Both teabags AfterWet'!A605</f>
        <v>R382</v>
      </c>
      <c r="N187" t="b">
        <f t="shared" si="121"/>
        <v>0</v>
      </c>
      <c r="O187" t="b">
        <f t="shared" si="171"/>
        <v>0</v>
      </c>
      <c r="Q187" s="388" t="b">
        <f t="shared" si="122"/>
        <v>0</v>
      </c>
      <c r="R187" s="388" t="b">
        <f t="shared" si="123"/>
        <v>0</v>
      </c>
      <c r="T187" t="str">
        <f>'Both teabags AfterDry'!A185</f>
        <v>G35</v>
      </c>
      <c r="U187" t="str">
        <f>'Both teabags AfterDry'!A520</f>
        <v>R664</v>
      </c>
      <c r="V187" t="b">
        <f t="shared" si="124"/>
        <v>0</v>
      </c>
      <c r="W187" t="b">
        <f t="shared" si="155"/>
        <v>0</v>
      </c>
      <c r="Y187" t="str">
        <f>'Green_rooibos initial weight'!A188</f>
        <v>G184</v>
      </c>
      <c r="Z187" t="str">
        <f>'Green_rooibos initial weight'!A1092</f>
        <v>R184</v>
      </c>
      <c r="AA187" t="b">
        <f t="shared" si="125"/>
        <v>0</v>
      </c>
      <c r="AB187" t="b">
        <f t="shared" si="126"/>
        <v>0</v>
      </c>
      <c r="AE187" t="str">
        <f>'WetLitterbags placem_collection'!K186</f>
        <v>G669</v>
      </c>
      <c r="AF187" t="str">
        <f>'WetLitterbags placem_collection'!M186</f>
        <v>R541</v>
      </c>
      <c r="AG187" t="b">
        <f t="shared" si="127"/>
        <v>0</v>
      </c>
      <c r="AH187" t="b">
        <f t="shared" si="128"/>
        <v>0</v>
      </c>
      <c r="AJ187" t="b">
        <f t="shared" si="129"/>
        <v>0</v>
      </c>
      <c r="AK187" t="b">
        <f t="shared" si="130"/>
        <v>0</v>
      </c>
      <c r="AM187" t="str">
        <f>IF(ISBLANK('Dry_Litterbag Placem_Collection'!J186),"","G"&amp;""&amp;'Dry_Litterbag Placem_Collection'!J186)</f>
        <v>G235</v>
      </c>
      <c r="AN187" t="str">
        <f>IF(ISBLANK('Dry_Litterbag Placem_Collection'!K186),"","R"&amp;""&amp;'Dry_Litterbag Placem_Collection'!K186)</f>
        <v>R179</v>
      </c>
      <c r="AO187" t="b">
        <f t="shared" si="131"/>
        <v>0</v>
      </c>
      <c r="AP187" t="b">
        <f t="shared" si="132"/>
        <v>0</v>
      </c>
      <c r="AS187" t="str">
        <f>'Ashed teabags dry'!A185</f>
        <v>G35</v>
      </c>
      <c r="AT187" t="str">
        <f>'Ashed teabags dry'!A520</f>
        <v>R664</v>
      </c>
      <c r="AU187" t="b">
        <f t="shared" si="133"/>
        <v>0</v>
      </c>
      <c r="AV187" t="b">
        <f t="shared" si="156"/>
        <v>0</v>
      </c>
      <c r="AX187" s="388" t="b">
        <f t="shared" si="134"/>
        <v>0</v>
      </c>
      <c r="AY187" s="388" t="b">
        <f t="shared" si="135"/>
        <v>0</v>
      </c>
      <c r="BA187" t="str">
        <f>'Ashed teabags wet'!A185</f>
        <v>G603</v>
      </c>
      <c r="BB187" t="str">
        <f>'Ashed teabags wet'!A605</f>
        <v>R382</v>
      </c>
      <c r="BC187" t="b">
        <f t="shared" si="136"/>
        <v>0</v>
      </c>
      <c r="BD187" t="b">
        <f t="shared" si="116"/>
        <v>0</v>
      </c>
      <c r="BF187" t="str">
        <f t="shared" si="137"/>
        <v>G349</v>
      </c>
      <c r="BG187" t="str">
        <f t="shared" si="138"/>
        <v>G349</v>
      </c>
      <c r="BH187" t="str">
        <f t="shared" si="139"/>
        <v/>
      </c>
      <c r="BI187" t="str">
        <f t="shared" si="157"/>
        <v/>
      </c>
      <c r="BJ187" t="s">
        <v>1701</v>
      </c>
      <c r="BK187" t="s">
        <v>1701</v>
      </c>
      <c r="BL187" t="s">
        <v>1701</v>
      </c>
      <c r="BM187" t="b">
        <f t="shared" si="158"/>
        <v>1</v>
      </c>
      <c r="BN187" t="str">
        <f t="shared" si="140"/>
        <v>R663</v>
      </c>
      <c r="BO187" t="str">
        <f t="shared" si="141"/>
        <v>R663</v>
      </c>
      <c r="BP187" t="str">
        <f t="shared" si="142"/>
        <v/>
      </c>
      <c r="BQ187" t="str">
        <f t="shared" si="143"/>
        <v/>
      </c>
      <c r="BR187" t="s">
        <v>476</v>
      </c>
      <c r="BS187" t="s">
        <v>475</v>
      </c>
      <c r="BT187" t="s">
        <v>476</v>
      </c>
      <c r="BU187" t="b">
        <f t="shared" si="159"/>
        <v>1</v>
      </c>
      <c r="BZ187" t="str">
        <f t="shared" si="144"/>
        <v/>
      </c>
      <c r="CA187" t="b">
        <f t="shared" si="145"/>
        <v>0</v>
      </c>
      <c r="CB187" t="str">
        <f t="shared" si="160"/>
        <v/>
      </c>
      <c r="CC187" t="str">
        <f t="shared" si="146"/>
        <v/>
      </c>
      <c r="CD187" t="b">
        <f t="shared" si="161"/>
        <v>0</v>
      </c>
      <c r="CE187" t="str">
        <f t="shared" si="162"/>
        <v/>
      </c>
      <c r="CG187" t="str">
        <f t="shared" si="147"/>
        <v>G602</v>
      </c>
      <c r="CH187" t="str">
        <f t="shared" si="163"/>
        <v>G602</v>
      </c>
      <c r="CI187" t="str">
        <f t="shared" si="148"/>
        <v>G585</v>
      </c>
      <c r="CJ187" t="str">
        <f t="shared" si="149"/>
        <v>G585</v>
      </c>
      <c r="CK187" t="s">
        <v>1448</v>
      </c>
      <c r="CL187" t="s">
        <v>1448</v>
      </c>
      <c r="CM187" t="s">
        <v>1448</v>
      </c>
      <c r="CN187" t="b">
        <f t="shared" si="164"/>
        <v>1</v>
      </c>
      <c r="CO187" t="str">
        <f t="shared" si="150"/>
        <v>R381</v>
      </c>
      <c r="CP187" t="str">
        <f t="shared" si="165"/>
        <v>R381</v>
      </c>
      <c r="CQ187" t="str">
        <f t="shared" si="151"/>
        <v>R568</v>
      </c>
      <c r="CR187" t="str">
        <f t="shared" si="152"/>
        <v>R568</v>
      </c>
      <c r="CS187" t="s">
        <v>760</v>
      </c>
      <c r="CT187" t="s">
        <v>760</v>
      </c>
      <c r="CU187" t="s">
        <v>760</v>
      </c>
      <c r="CV187" t="b">
        <f t="shared" si="166"/>
        <v>1</v>
      </c>
      <c r="DC187" t="str">
        <f t="shared" si="153"/>
        <v>G585</v>
      </c>
      <c r="DD187" t="b">
        <f t="shared" si="167"/>
        <v>0</v>
      </c>
      <c r="DE187" t="str">
        <f t="shared" si="168"/>
        <v>G585</v>
      </c>
      <c r="DF187" t="str">
        <f t="shared" si="154"/>
        <v>R568</v>
      </c>
      <c r="DG187" t="b">
        <f t="shared" si="169"/>
        <v>0</v>
      </c>
      <c r="DH187" t="str">
        <f t="shared" si="170"/>
        <v>R568</v>
      </c>
    </row>
    <row r="188" spans="2:112" ht="12" customHeight="1">
      <c r="B188" t="str">
        <f>TBIDry!H260</f>
        <v>G369</v>
      </c>
      <c r="C188" t="str">
        <f>TBIDry!I260</f>
        <v>R300</v>
      </c>
      <c r="D188" t="b">
        <f t="shared" si="117"/>
        <v>0</v>
      </c>
      <c r="E188" t="b">
        <f t="shared" si="118"/>
        <v>0</v>
      </c>
      <c r="G188" t="str">
        <f>TBIWet!H260</f>
        <v>G423</v>
      </c>
      <c r="H188" t="str">
        <f>TBIWet!I260</f>
        <v>R51</v>
      </c>
      <c r="I188" t="b">
        <f t="shared" si="119"/>
        <v>0</v>
      </c>
      <c r="J188" t="b">
        <f t="shared" si="120"/>
        <v>0</v>
      </c>
      <c r="L188" t="str">
        <f>'Both teabags AfterWet'!A186</f>
        <v>G604</v>
      </c>
      <c r="M188" t="str">
        <f>'Both teabags AfterWet'!A606</f>
        <v>R383</v>
      </c>
      <c r="N188" t="b">
        <f t="shared" si="121"/>
        <v>0</v>
      </c>
      <c r="O188" t="b">
        <f t="shared" si="171"/>
        <v>0</v>
      </c>
      <c r="Q188" s="388" t="b">
        <f t="shared" si="122"/>
        <v>0</v>
      </c>
      <c r="R188" s="388" t="b">
        <f t="shared" si="123"/>
        <v>0</v>
      </c>
      <c r="T188" t="str">
        <f>'Both teabags AfterDry'!A186</f>
        <v>G350</v>
      </c>
      <c r="U188" t="str">
        <f>'Both teabags AfterDry'!A521</f>
        <v>R665</v>
      </c>
      <c r="V188" t="b">
        <f t="shared" si="124"/>
        <v>0</v>
      </c>
      <c r="W188" t="b">
        <f t="shared" si="155"/>
        <v>0</v>
      </c>
      <c r="Y188" t="str">
        <f>'Green_rooibos initial weight'!A189</f>
        <v>G185</v>
      </c>
      <c r="Z188" t="str">
        <f>'Green_rooibos initial weight'!A1093</f>
        <v>R185</v>
      </c>
      <c r="AA188" t="b">
        <f t="shared" si="125"/>
        <v>0</v>
      </c>
      <c r="AB188" t="b">
        <f t="shared" si="126"/>
        <v>0</v>
      </c>
      <c r="AE188" t="str">
        <f>'WetLitterbags placem_collection'!K187</f>
        <v>G423</v>
      </c>
      <c r="AF188" t="str">
        <f>'WetLitterbags placem_collection'!M187</f>
        <v>R51</v>
      </c>
      <c r="AG188" t="b">
        <f t="shared" si="127"/>
        <v>0</v>
      </c>
      <c r="AH188" t="b">
        <f t="shared" si="128"/>
        <v>0</v>
      </c>
      <c r="AJ188" t="b">
        <f t="shared" si="129"/>
        <v>0</v>
      </c>
      <c r="AK188" t="b">
        <f t="shared" si="130"/>
        <v>0</v>
      </c>
      <c r="AM188" t="str">
        <f>IF(ISBLANK('Dry_Litterbag Placem_Collection'!J187),"","G"&amp;""&amp;'Dry_Litterbag Placem_Collection'!J187)</f>
        <v>G369</v>
      </c>
      <c r="AN188" t="str">
        <f>IF(ISBLANK('Dry_Litterbag Placem_Collection'!K187),"","R"&amp;""&amp;'Dry_Litterbag Placem_Collection'!K187)</f>
        <v>R300</v>
      </c>
      <c r="AO188" t="b">
        <f t="shared" si="131"/>
        <v>0</v>
      </c>
      <c r="AP188" t="b">
        <f t="shared" si="132"/>
        <v>0</v>
      </c>
      <c r="AS188" t="str">
        <f>'Ashed teabags dry'!A186</f>
        <v>G350</v>
      </c>
      <c r="AT188" t="str">
        <f>'Ashed teabags dry'!A521</f>
        <v>R665</v>
      </c>
      <c r="AU188" t="b">
        <f t="shared" si="133"/>
        <v>0</v>
      </c>
      <c r="AV188" t="b">
        <f t="shared" si="156"/>
        <v>0</v>
      </c>
      <c r="AX188" s="388" t="b">
        <f t="shared" si="134"/>
        <v>0</v>
      </c>
      <c r="AY188" s="388" t="b">
        <f t="shared" si="135"/>
        <v>0</v>
      </c>
      <c r="BA188" t="str">
        <f>'Ashed teabags wet'!A186</f>
        <v>G604</v>
      </c>
      <c r="BB188" t="str">
        <f>'Ashed teabags wet'!A606</f>
        <v>R383</v>
      </c>
      <c r="BC188" t="b">
        <f t="shared" si="136"/>
        <v>0</v>
      </c>
      <c r="BD188" t="b">
        <f t="shared" si="116"/>
        <v>0</v>
      </c>
      <c r="BF188" t="str">
        <f t="shared" si="137"/>
        <v>G35</v>
      </c>
      <c r="BG188" t="str">
        <f t="shared" si="138"/>
        <v>G35</v>
      </c>
      <c r="BH188" t="str">
        <f t="shared" si="139"/>
        <v>G235</v>
      </c>
      <c r="BI188" t="str">
        <f t="shared" si="157"/>
        <v>G235</v>
      </c>
      <c r="BJ188" t="s">
        <v>2015</v>
      </c>
      <c r="BK188" t="s">
        <v>2015</v>
      </c>
      <c r="BL188" t="s">
        <v>2015</v>
      </c>
      <c r="BM188" t="b">
        <f t="shared" si="158"/>
        <v>1</v>
      </c>
      <c r="BN188" t="str">
        <f t="shared" si="140"/>
        <v>R664</v>
      </c>
      <c r="BO188" t="str">
        <f t="shared" si="141"/>
        <v>R664</v>
      </c>
      <c r="BP188" t="str">
        <f t="shared" si="142"/>
        <v>R179</v>
      </c>
      <c r="BQ188" t="str">
        <f t="shared" si="143"/>
        <v>R179</v>
      </c>
      <c r="BR188" t="s">
        <v>475</v>
      </c>
      <c r="BS188" t="s">
        <v>474</v>
      </c>
      <c r="BT188" t="s">
        <v>475</v>
      </c>
      <c r="BU188" t="b">
        <f t="shared" si="159"/>
        <v>1</v>
      </c>
      <c r="BZ188" t="str">
        <f t="shared" si="144"/>
        <v>G235</v>
      </c>
      <c r="CA188" t="b">
        <f t="shared" si="145"/>
        <v>0</v>
      </c>
      <c r="CB188" t="str">
        <f t="shared" si="160"/>
        <v>G235</v>
      </c>
      <c r="CC188" t="str">
        <f t="shared" si="146"/>
        <v>R179</v>
      </c>
      <c r="CD188" t="b">
        <f t="shared" si="161"/>
        <v>0</v>
      </c>
      <c r="CE188" t="str">
        <f t="shared" si="162"/>
        <v>R179</v>
      </c>
      <c r="CG188" t="str">
        <f t="shared" si="147"/>
        <v>G603</v>
      </c>
      <c r="CH188" t="str">
        <f t="shared" si="163"/>
        <v>G603</v>
      </c>
      <c r="CI188" t="str">
        <f t="shared" si="148"/>
        <v>G669</v>
      </c>
      <c r="CJ188" t="str">
        <f t="shared" si="149"/>
        <v>G669</v>
      </c>
      <c r="CK188" t="s">
        <v>1447</v>
      </c>
      <c r="CL188" t="s">
        <v>1447</v>
      </c>
      <c r="CM188" t="s">
        <v>1447</v>
      </c>
      <c r="CN188" t="b">
        <f t="shared" si="164"/>
        <v>1</v>
      </c>
      <c r="CO188" t="str">
        <f t="shared" si="150"/>
        <v>R382</v>
      </c>
      <c r="CP188" t="str">
        <f t="shared" si="165"/>
        <v>R382</v>
      </c>
      <c r="CQ188" t="str">
        <f t="shared" si="151"/>
        <v>R541</v>
      </c>
      <c r="CR188" t="str">
        <f t="shared" si="152"/>
        <v>R541</v>
      </c>
      <c r="CS188" t="s">
        <v>759</v>
      </c>
      <c r="CT188" t="s">
        <v>759</v>
      </c>
      <c r="CU188" t="s">
        <v>759</v>
      </c>
      <c r="CV188" t="b">
        <f t="shared" si="166"/>
        <v>1</v>
      </c>
      <c r="DC188" t="str">
        <f t="shared" si="153"/>
        <v>G669</v>
      </c>
      <c r="DD188" t="b">
        <f t="shared" si="167"/>
        <v>0</v>
      </c>
      <c r="DE188" t="str">
        <f t="shared" si="168"/>
        <v>G669</v>
      </c>
      <c r="DF188" t="str">
        <f t="shared" si="154"/>
        <v>R541</v>
      </c>
      <c r="DG188" t="b">
        <f t="shared" si="169"/>
        <v>0</v>
      </c>
      <c r="DH188" t="str">
        <f t="shared" si="170"/>
        <v>R541</v>
      </c>
    </row>
    <row r="189" spans="2:112" ht="12" customHeight="1">
      <c r="B189" t="str">
        <f>TBIDry!H261</f>
        <v>G295</v>
      </c>
      <c r="C189" t="str">
        <f>TBIDry!I261</f>
        <v>R717</v>
      </c>
      <c r="D189" t="b">
        <f t="shared" si="117"/>
        <v>0</v>
      </c>
      <c r="E189" t="b">
        <f t="shared" si="118"/>
        <v>0</v>
      </c>
      <c r="G189" t="str">
        <f>TBIWet!H261</f>
        <v>G544</v>
      </c>
      <c r="H189" t="str">
        <f>TBIWet!I261</f>
        <v>R557</v>
      </c>
      <c r="I189" t="b">
        <f t="shared" si="119"/>
        <v>0</v>
      </c>
      <c r="J189" t="b">
        <f t="shared" si="120"/>
        <v>0</v>
      </c>
      <c r="L189" t="str">
        <f>'Both teabags AfterWet'!A187</f>
        <v>G605</v>
      </c>
      <c r="M189" t="str">
        <f>'Both teabags AfterWet'!A607</f>
        <v>R384</v>
      </c>
      <c r="N189" t="b">
        <f t="shared" si="121"/>
        <v>0</v>
      </c>
      <c r="O189" t="b">
        <f t="shared" si="171"/>
        <v>0</v>
      </c>
      <c r="Q189" s="388" t="b">
        <f t="shared" si="122"/>
        <v>0</v>
      </c>
      <c r="R189" s="388" t="b">
        <f t="shared" si="123"/>
        <v>0</v>
      </c>
      <c r="T189" t="str">
        <f>'Both teabags AfterDry'!A187</f>
        <v>G353</v>
      </c>
      <c r="U189" t="str">
        <f>'Both teabags AfterDry'!A522</f>
        <v>R667</v>
      </c>
      <c r="V189" t="b">
        <f t="shared" si="124"/>
        <v>0</v>
      </c>
      <c r="W189" t="b">
        <f t="shared" si="155"/>
        <v>0</v>
      </c>
      <c r="Y189" t="str">
        <f>'Green_rooibos initial weight'!A190</f>
        <v>G186</v>
      </c>
      <c r="Z189" t="str">
        <f>'Green_rooibos initial weight'!A1094</f>
        <v>R186</v>
      </c>
      <c r="AA189" t="b">
        <f t="shared" si="125"/>
        <v>0</v>
      </c>
      <c r="AB189" t="b">
        <f t="shared" si="126"/>
        <v>0</v>
      </c>
      <c r="AE189" t="str">
        <f>'WetLitterbags placem_collection'!K188</f>
        <v>G544</v>
      </c>
      <c r="AF189" t="str">
        <f>'WetLitterbags placem_collection'!M188</f>
        <v>R557</v>
      </c>
      <c r="AG189" t="b">
        <f t="shared" si="127"/>
        <v>0</v>
      </c>
      <c r="AH189" t="b">
        <f t="shared" si="128"/>
        <v>0</v>
      </c>
      <c r="AJ189" t="b">
        <f t="shared" si="129"/>
        <v>0</v>
      </c>
      <c r="AK189" t="b">
        <f t="shared" si="130"/>
        <v>0</v>
      </c>
      <c r="AM189" t="str">
        <f>IF(ISBLANK('Dry_Litterbag Placem_Collection'!J188),"","G"&amp;""&amp;'Dry_Litterbag Placem_Collection'!J188)</f>
        <v>G295</v>
      </c>
      <c r="AN189" t="str">
        <f>IF(ISBLANK('Dry_Litterbag Placem_Collection'!K188),"","R"&amp;""&amp;'Dry_Litterbag Placem_Collection'!K188)</f>
        <v>R717</v>
      </c>
      <c r="AO189" t="b">
        <f t="shared" si="131"/>
        <v>0</v>
      </c>
      <c r="AP189" t="b">
        <f t="shared" si="132"/>
        <v>0</v>
      </c>
      <c r="AS189" t="str">
        <f>'Ashed teabags dry'!A187</f>
        <v>G353</v>
      </c>
      <c r="AT189" t="str">
        <f>'Ashed teabags dry'!A522</f>
        <v>R667</v>
      </c>
      <c r="AU189" t="b">
        <f t="shared" si="133"/>
        <v>0</v>
      </c>
      <c r="AV189" t="b">
        <f t="shared" si="156"/>
        <v>0</v>
      </c>
      <c r="AX189" s="388" t="b">
        <f t="shared" si="134"/>
        <v>0</v>
      </c>
      <c r="AY189" s="388" t="b">
        <f t="shared" si="135"/>
        <v>0</v>
      </c>
      <c r="BA189" t="str">
        <f>'Ashed teabags wet'!A187</f>
        <v>G605</v>
      </c>
      <c r="BB189" t="str">
        <f>'Ashed teabags wet'!A607</f>
        <v>R384</v>
      </c>
      <c r="BC189" t="b">
        <f t="shared" si="136"/>
        <v>0</v>
      </c>
      <c r="BD189" t="b">
        <f t="shared" si="116"/>
        <v>0</v>
      </c>
      <c r="BF189" t="str">
        <f t="shared" si="137"/>
        <v>G350</v>
      </c>
      <c r="BG189" t="str">
        <f t="shared" si="138"/>
        <v>G350</v>
      </c>
      <c r="BH189" t="str">
        <f t="shared" si="139"/>
        <v>G369</v>
      </c>
      <c r="BI189" t="str">
        <f t="shared" si="157"/>
        <v/>
      </c>
      <c r="BJ189" t="s">
        <v>1700</v>
      </c>
      <c r="BK189" t="s">
        <v>1700</v>
      </c>
      <c r="BL189" t="s">
        <v>1700</v>
      </c>
      <c r="BM189" t="b">
        <f t="shared" si="158"/>
        <v>1</v>
      </c>
      <c r="BN189" t="str">
        <f t="shared" si="140"/>
        <v>R665</v>
      </c>
      <c r="BO189" t="str">
        <f t="shared" si="141"/>
        <v>R665</v>
      </c>
      <c r="BP189" t="str">
        <f t="shared" si="142"/>
        <v>R300</v>
      </c>
      <c r="BQ189" t="str">
        <f t="shared" si="143"/>
        <v/>
      </c>
      <c r="BR189" t="s">
        <v>474</v>
      </c>
      <c r="BS189" t="s">
        <v>472</v>
      </c>
      <c r="BT189" t="s">
        <v>474</v>
      </c>
      <c r="BU189" t="b">
        <f t="shared" si="159"/>
        <v>1</v>
      </c>
      <c r="BZ189" t="str">
        <f t="shared" si="144"/>
        <v>G369</v>
      </c>
      <c r="CA189" t="b">
        <f t="shared" si="145"/>
        <v>1</v>
      </c>
      <c r="CB189" t="str">
        <f t="shared" si="160"/>
        <v/>
      </c>
      <c r="CC189" t="str">
        <f t="shared" si="146"/>
        <v>R300</v>
      </c>
      <c r="CD189" t="b">
        <f t="shared" si="161"/>
        <v>1</v>
      </c>
      <c r="CE189" t="str">
        <f t="shared" si="162"/>
        <v/>
      </c>
      <c r="CG189" t="str">
        <f t="shared" si="147"/>
        <v>G604</v>
      </c>
      <c r="CH189" t="str">
        <f t="shared" si="163"/>
        <v>G604</v>
      </c>
      <c r="CI189" t="str">
        <f t="shared" si="148"/>
        <v>G423</v>
      </c>
      <c r="CJ189" t="str">
        <f t="shared" si="149"/>
        <v>G423</v>
      </c>
      <c r="CK189" t="s">
        <v>1446</v>
      </c>
      <c r="CL189" t="s">
        <v>1446</v>
      </c>
      <c r="CM189" t="s">
        <v>1446</v>
      </c>
      <c r="CN189" t="b">
        <f t="shared" si="164"/>
        <v>1</v>
      </c>
      <c r="CO189" t="str">
        <f t="shared" si="150"/>
        <v>R383</v>
      </c>
      <c r="CP189" t="str">
        <f t="shared" si="165"/>
        <v>R383</v>
      </c>
      <c r="CQ189" t="str">
        <f t="shared" si="151"/>
        <v>R51</v>
      </c>
      <c r="CR189" t="str">
        <f t="shared" si="152"/>
        <v>R51</v>
      </c>
      <c r="CS189" t="s">
        <v>758</v>
      </c>
      <c r="CT189" t="s">
        <v>758</v>
      </c>
      <c r="CU189" t="s">
        <v>758</v>
      </c>
      <c r="CV189" t="b">
        <f t="shared" si="166"/>
        <v>1</v>
      </c>
      <c r="DC189" t="str">
        <f t="shared" si="153"/>
        <v>G423</v>
      </c>
      <c r="DD189" t="b">
        <f t="shared" si="167"/>
        <v>0</v>
      </c>
      <c r="DE189" t="str">
        <f t="shared" si="168"/>
        <v>G423</v>
      </c>
      <c r="DF189" t="str">
        <f t="shared" si="154"/>
        <v>R51</v>
      </c>
      <c r="DG189" t="b">
        <f t="shared" si="169"/>
        <v>0</v>
      </c>
      <c r="DH189" t="str">
        <f t="shared" si="170"/>
        <v>R51</v>
      </c>
    </row>
    <row r="190" spans="2:112" ht="12" customHeight="1">
      <c r="B190" t="str">
        <f>TBIDry!H262</f>
        <v>G242</v>
      </c>
      <c r="C190" t="str">
        <f>TBIDry!I262</f>
        <v>R759</v>
      </c>
      <c r="D190" t="b">
        <f t="shared" si="117"/>
        <v>0</v>
      </c>
      <c r="E190" t="b">
        <f t="shared" si="118"/>
        <v>0</v>
      </c>
      <c r="G190" t="str">
        <f>TBIWet!H262</f>
        <v>G620</v>
      </c>
      <c r="H190" t="str">
        <f>TBIWet!I262</f>
        <v>R427</v>
      </c>
      <c r="I190" t="b">
        <f t="shared" si="119"/>
        <v>0</v>
      </c>
      <c r="J190" t="b">
        <f t="shared" si="120"/>
        <v>0</v>
      </c>
      <c r="L190" t="str">
        <f>'Both teabags AfterWet'!A188</f>
        <v>G606</v>
      </c>
      <c r="M190" t="str">
        <f>'Both teabags AfterWet'!A608</f>
        <v>R386</v>
      </c>
      <c r="N190" t="b">
        <f t="shared" si="121"/>
        <v>0</v>
      </c>
      <c r="O190" t="b">
        <f t="shared" si="171"/>
        <v>0</v>
      </c>
      <c r="Q190" s="388" t="b">
        <f t="shared" si="122"/>
        <v>0</v>
      </c>
      <c r="R190" s="388" t="b">
        <f t="shared" si="123"/>
        <v>0</v>
      </c>
      <c r="T190" t="str">
        <f>'Both teabags AfterDry'!A188</f>
        <v>G356</v>
      </c>
      <c r="U190" t="str">
        <f>'Both teabags AfterDry'!A523</f>
        <v>R669</v>
      </c>
      <c r="V190" t="b">
        <f t="shared" si="124"/>
        <v>0</v>
      </c>
      <c r="W190" t="b">
        <f t="shared" si="155"/>
        <v>0</v>
      </c>
      <c r="Y190" t="str">
        <f>'Green_rooibos initial weight'!A191</f>
        <v>G187</v>
      </c>
      <c r="Z190" t="str">
        <f>'Green_rooibos initial weight'!A1095</f>
        <v>R187</v>
      </c>
      <c r="AA190" t="b">
        <f t="shared" si="125"/>
        <v>0</v>
      </c>
      <c r="AB190" t="b">
        <f t="shared" si="126"/>
        <v>0</v>
      </c>
      <c r="AE190" t="str">
        <f>'WetLitterbags placem_collection'!K189</f>
        <v>G620</v>
      </c>
      <c r="AF190" t="str">
        <f>'WetLitterbags placem_collection'!M189</f>
        <v>R427</v>
      </c>
      <c r="AG190" t="b">
        <f t="shared" si="127"/>
        <v>0</v>
      </c>
      <c r="AH190" t="b">
        <f t="shared" si="128"/>
        <v>0</v>
      </c>
      <c r="AJ190" t="b">
        <f t="shared" si="129"/>
        <v>0</v>
      </c>
      <c r="AK190" t="b">
        <f t="shared" si="130"/>
        <v>0</v>
      </c>
      <c r="AM190" t="str">
        <f>IF(ISBLANK('Dry_Litterbag Placem_Collection'!J189),"","G"&amp;""&amp;'Dry_Litterbag Placem_Collection'!J189)</f>
        <v>G242</v>
      </c>
      <c r="AN190" t="str">
        <f>IF(ISBLANK('Dry_Litterbag Placem_Collection'!K189),"","R"&amp;""&amp;'Dry_Litterbag Placem_Collection'!K189)</f>
        <v>R759</v>
      </c>
      <c r="AO190" t="b">
        <f t="shared" si="131"/>
        <v>0</v>
      </c>
      <c r="AP190" t="b">
        <f t="shared" si="132"/>
        <v>0</v>
      </c>
      <c r="AS190" t="str">
        <f>'Ashed teabags dry'!A188</f>
        <v>G356</v>
      </c>
      <c r="AT190" t="str">
        <f>'Ashed teabags dry'!A523</f>
        <v>R669</v>
      </c>
      <c r="AU190" t="b">
        <f t="shared" si="133"/>
        <v>0</v>
      </c>
      <c r="AV190" t="b">
        <f t="shared" si="156"/>
        <v>0</v>
      </c>
      <c r="AX190" s="388" t="b">
        <f t="shared" si="134"/>
        <v>0</v>
      </c>
      <c r="AY190" s="388" t="b">
        <f t="shared" si="135"/>
        <v>0</v>
      </c>
      <c r="BA190" t="str">
        <f>'Ashed teabags wet'!A188</f>
        <v>G606</v>
      </c>
      <c r="BB190" t="str">
        <f>'Ashed teabags wet'!A608</f>
        <v>R386</v>
      </c>
      <c r="BC190" t="b">
        <f t="shared" si="136"/>
        <v>0</v>
      </c>
      <c r="BD190" t="b">
        <f t="shared" si="116"/>
        <v>0</v>
      </c>
      <c r="BF190" t="str">
        <f t="shared" si="137"/>
        <v>G353</v>
      </c>
      <c r="BG190" t="str">
        <f t="shared" si="138"/>
        <v>G353</v>
      </c>
      <c r="BH190" t="str">
        <f t="shared" si="139"/>
        <v>G295</v>
      </c>
      <c r="BI190" t="str">
        <f t="shared" si="157"/>
        <v>G295</v>
      </c>
      <c r="BJ190" t="s">
        <v>1697</v>
      </c>
      <c r="BK190" t="s">
        <v>1697</v>
      </c>
      <c r="BL190" t="s">
        <v>1697</v>
      </c>
      <c r="BM190" t="b">
        <f t="shared" si="158"/>
        <v>1</v>
      </c>
      <c r="BN190" t="str">
        <f t="shared" si="140"/>
        <v>R667</v>
      </c>
      <c r="BO190" t="str">
        <f t="shared" si="141"/>
        <v>R667</v>
      </c>
      <c r="BP190" t="str">
        <f t="shared" si="142"/>
        <v>R717</v>
      </c>
      <c r="BQ190" t="str">
        <f t="shared" si="143"/>
        <v>R717</v>
      </c>
      <c r="BR190" t="s">
        <v>472</v>
      </c>
      <c r="BS190" t="s">
        <v>470</v>
      </c>
      <c r="BT190" t="s">
        <v>472</v>
      </c>
      <c r="BU190" t="b">
        <f t="shared" si="159"/>
        <v>1</v>
      </c>
      <c r="BZ190" t="str">
        <f t="shared" si="144"/>
        <v>G295</v>
      </c>
      <c r="CA190" t="b">
        <f t="shared" si="145"/>
        <v>0</v>
      </c>
      <c r="CB190" t="str">
        <f t="shared" si="160"/>
        <v>G295</v>
      </c>
      <c r="CC190" t="str">
        <f t="shared" si="146"/>
        <v>R717</v>
      </c>
      <c r="CD190" t="b">
        <f t="shared" si="161"/>
        <v>0</v>
      </c>
      <c r="CE190" t="str">
        <f t="shared" si="162"/>
        <v>R717</v>
      </c>
      <c r="CG190" t="str">
        <f t="shared" si="147"/>
        <v>G605</v>
      </c>
      <c r="CH190" t="str">
        <f t="shared" si="163"/>
        <v>G605</v>
      </c>
      <c r="CI190" t="str">
        <f t="shared" si="148"/>
        <v>G544</v>
      </c>
      <c r="CJ190" t="str">
        <f t="shared" si="149"/>
        <v>G544</v>
      </c>
      <c r="CK190" t="s">
        <v>1445</v>
      </c>
      <c r="CL190" t="s">
        <v>1445</v>
      </c>
      <c r="CM190" t="s">
        <v>1445</v>
      </c>
      <c r="CN190" t="b">
        <f t="shared" si="164"/>
        <v>1</v>
      </c>
      <c r="CO190" t="str">
        <f t="shared" si="150"/>
        <v>R384</v>
      </c>
      <c r="CP190" t="str">
        <f t="shared" si="165"/>
        <v>R384</v>
      </c>
      <c r="CQ190" t="str">
        <f t="shared" si="151"/>
        <v>R557</v>
      </c>
      <c r="CR190" t="str">
        <f t="shared" si="152"/>
        <v>R557</v>
      </c>
      <c r="CS190" t="s">
        <v>757</v>
      </c>
      <c r="CT190" t="s">
        <v>757</v>
      </c>
      <c r="CU190" t="s">
        <v>757</v>
      </c>
      <c r="CV190" t="b">
        <f t="shared" si="166"/>
        <v>1</v>
      </c>
      <c r="DC190" t="str">
        <f t="shared" si="153"/>
        <v>G544</v>
      </c>
      <c r="DD190" t="b">
        <f t="shared" si="167"/>
        <v>0</v>
      </c>
      <c r="DE190" t="str">
        <f t="shared" si="168"/>
        <v>G544</v>
      </c>
      <c r="DF190" t="str">
        <f t="shared" si="154"/>
        <v>R557</v>
      </c>
      <c r="DG190" t="b">
        <f t="shared" si="169"/>
        <v>0</v>
      </c>
      <c r="DH190" t="str">
        <f t="shared" si="170"/>
        <v>R557</v>
      </c>
    </row>
    <row r="191" spans="2:112" ht="12" customHeight="1">
      <c r="B191" t="str">
        <f>TBIDry!H263</f>
        <v>G146</v>
      </c>
      <c r="C191" t="str">
        <f>TBIDry!I263</f>
        <v>R357</v>
      </c>
      <c r="D191" t="b">
        <f t="shared" si="117"/>
        <v>0</v>
      </c>
      <c r="E191" t="b">
        <f t="shared" si="118"/>
        <v>0</v>
      </c>
      <c r="G191" t="str">
        <f>TBIWet!H263</f>
        <v>G420</v>
      </c>
      <c r="H191" t="str">
        <f>TBIWet!I263</f>
        <v>R523</v>
      </c>
      <c r="I191" t="b">
        <f t="shared" si="119"/>
        <v>0</v>
      </c>
      <c r="J191" t="b">
        <f t="shared" si="120"/>
        <v>0</v>
      </c>
      <c r="L191" t="str">
        <f>'Both teabags AfterWet'!A189</f>
        <v>G607</v>
      </c>
      <c r="M191" t="str">
        <f>'Both teabags AfterWet'!A609</f>
        <v>R387</v>
      </c>
      <c r="N191" t="b">
        <f t="shared" si="121"/>
        <v>0</v>
      </c>
      <c r="O191" t="b">
        <f t="shared" si="171"/>
        <v>0</v>
      </c>
      <c r="Q191" s="388" t="b">
        <f t="shared" si="122"/>
        <v>0</v>
      </c>
      <c r="R191" s="388" t="b">
        <f t="shared" si="123"/>
        <v>0</v>
      </c>
      <c r="T191" t="str">
        <f>'Both teabags AfterDry'!A189</f>
        <v>G357</v>
      </c>
      <c r="U191" t="str">
        <f>'Both teabags AfterDry'!A524</f>
        <v>R670</v>
      </c>
      <c r="V191" t="b">
        <f t="shared" si="124"/>
        <v>0</v>
      </c>
      <c r="W191" t="b">
        <f t="shared" si="155"/>
        <v>0</v>
      </c>
      <c r="Y191" t="str">
        <f>'Green_rooibos initial weight'!A192</f>
        <v>G188</v>
      </c>
      <c r="Z191" t="str">
        <f>'Green_rooibos initial weight'!A1096</f>
        <v>R188</v>
      </c>
      <c r="AA191" t="b">
        <f t="shared" si="125"/>
        <v>0</v>
      </c>
      <c r="AB191" t="b">
        <f t="shared" si="126"/>
        <v>0</v>
      </c>
      <c r="AE191" t="str">
        <f>'WetLitterbags placem_collection'!K190</f>
        <v>G420</v>
      </c>
      <c r="AF191" t="str">
        <f>'WetLitterbags placem_collection'!M190</f>
        <v>R523</v>
      </c>
      <c r="AG191" t="b">
        <f t="shared" si="127"/>
        <v>0</v>
      </c>
      <c r="AH191" t="b">
        <f t="shared" si="128"/>
        <v>0</v>
      </c>
      <c r="AJ191" t="b">
        <f t="shared" si="129"/>
        <v>0</v>
      </c>
      <c r="AK191" t="b">
        <f t="shared" si="130"/>
        <v>0</v>
      </c>
      <c r="AM191" t="str">
        <f>IF(ISBLANK('Dry_Litterbag Placem_Collection'!J190),"","G"&amp;""&amp;'Dry_Litterbag Placem_Collection'!J190)</f>
        <v>G146</v>
      </c>
      <c r="AN191" t="str">
        <f>IF(ISBLANK('Dry_Litterbag Placem_Collection'!K190),"","R"&amp;""&amp;'Dry_Litterbag Placem_Collection'!K190)</f>
        <v>R357</v>
      </c>
      <c r="AO191" t="b">
        <f t="shared" si="131"/>
        <v>0</v>
      </c>
      <c r="AP191" t="b">
        <f t="shared" si="132"/>
        <v>0</v>
      </c>
      <c r="AS191" t="str">
        <f>'Ashed teabags dry'!A189</f>
        <v>G357</v>
      </c>
      <c r="AT191" t="str">
        <f>'Ashed teabags dry'!A524</f>
        <v>R670</v>
      </c>
      <c r="AU191" t="b">
        <f t="shared" si="133"/>
        <v>0</v>
      </c>
      <c r="AV191" t="b">
        <f t="shared" si="156"/>
        <v>0</v>
      </c>
      <c r="AX191" s="388" t="b">
        <f t="shared" si="134"/>
        <v>0</v>
      </c>
      <c r="AY191" s="388" t="b">
        <f t="shared" si="135"/>
        <v>0</v>
      </c>
      <c r="BA191" t="str">
        <f>'Ashed teabags wet'!A189</f>
        <v>G607</v>
      </c>
      <c r="BB191" t="str">
        <f>'Ashed teabags wet'!A609</f>
        <v>R387</v>
      </c>
      <c r="BC191" t="b">
        <f t="shared" si="136"/>
        <v>0</v>
      </c>
      <c r="BD191" t="b">
        <f t="shared" si="116"/>
        <v>0</v>
      </c>
      <c r="BF191" t="str">
        <f t="shared" si="137"/>
        <v>G356</v>
      </c>
      <c r="BG191" t="str">
        <f t="shared" si="138"/>
        <v>G356</v>
      </c>
      <c r="BH191" t="str">
        <f t="shared" si="139"/>
        <v>G242</v>
      </c>
      <c r="BI191" t="str">
        <f t="shared" si="157"/>
        <v>G242</v>
      </c>
      <c r="BJ191" t="s">
        <v>1694</v>
      </c>
      <c r="BK191" t="s">
        <v>1694</v>
      </c>
      <c r="BL191" t="s">
        <v>1694</v>
      </c>
      <c r="BM191" t="b">
        <f t="shared" si="158"/>
        <v>1</v>
      </c>
      <c r="BN191" t="str">
        <f t="shared" si="140"/>
        <v>R669</v>
      </c>
      <c r="BO191" t="str">
        <f t="shared" si="141"/>
        <v>R669</v>
      </c>
      <c r="BP191" t="str">
        <f t="shared" si="142"/>
        <v>R759</v>
      </c>
      <c r="BQ191" t="str">
        <f t="shared" si="143"/>
        <v>R759</v>
      </c>
      <c r="BR191" t="s">
        <v>470</v>
      </c>
      <c r="BS191" t="s">
        <v>469</v>
      </c>
      <c r="BT191" t="s">
        <v>470</v>
      </c>
      <c r="BU191" t="b">
        <f t="shared" si="159"/>
        <v>1</v>
      </c>
      <c r="BZ191" t="str">
        <f t="shared" si="144"/>
        <v>G242</v>
      </c>
      <c r="CA191" t="b">
        <f t="shared" si="145"/>
        <v>0</v>
      </c>
      <c r="CB191" t="str">
        <f t="shared" si="160"/>
        <v>G242</v>
      </c>
      <c r="CC191" t="str">
        <f t="shared" si="146"/>
        <v>R759</v>
      </c>
      <c r="CD191" t="b">
        <f t="shared" si="161"/>
        <v>0</v>
      </c>
      <c r="CE191" t="str">
        <f t="shared" si="162"/>
        <v>R759</v>
      </c>
      <c r="CG191" t="str">
        <f t="shared" si="147"/>
        <v>G606</v>
      </c>
      <c r="CH191" t="str">
        <f t="shared" si="163"/>
        <v>G606</v>
      </c>
      <c r="CI191" t="str">
        <f t="shared" si="148"/>
        <v>G620</v>
      </c>
      <c r="CJ191" t="str">
        <f t="shared" si="149"/>
        <v>G620</v>
      </c>
      <c r="CK191" t="s">
        <v>1444</v>
      </c>
      <c r="CL191" t="s">
        <v>1444</v>
      </c>
      <c r="CM191" t="s">
        <v>1444</v>
      </c>
      <c r="CN191" t="b">
        <f t="shared" si="164"/>
        <v>1</v>
      </c>
      <c r="CO191" t="str">
        <f t="shared" si="150"/>
        <v>R386</v>
      </c>
      <c r="CP191" t="str">
        <f t="shared" si="165"/>
        <v>R386</v>
      </c>
      <c r="CQ191" t="str">
        <f t="shared" si="151"/>
        <v>R427</v>
      </c>
      <c r="CR191" t="str">
        <f t="shared" si="152"/>
        <v>R427</v>
      </c>
      <c r="CS191" t="s">
        <v>755</v>
      </c>
      <c r="CT191" t="s">
        <v>755</v>
      </c>
      <c r="CU191" t="s">
        <v>755</v>
      </c>
      <c r="CV191" t="b">
        <f t="shared" si="166"/>
        <v>1</v>
      </c>
      <c r="DC191" t="str">
        <f t="shared" si="153"/>
        <v>G620</v>
      </c>
      <c r="DD191" t="b">
        <f t="shared" si="167"/>
        <v>0</v>
      </c>
      <c r="DE191" t="str">
        <f t="shared" si="168"/>
        <v>G620</v>
      </c>
      <c r="DF191" t="str">
        <f t="shared" si="154"/>
        <v>R427</v>
      </c>
      <c r="DG191" t="b">
        <f t="shared" si="169"/>
        <v>0</v>
      </c>
      <c r="DH191" t="str">
        <f t="shared" si="170"/>
        <v>R427</v>
      </c>
    </row>
    <row r="192" spans="2:112" ht="12" customHeight="1">
      <c r="B192" t="str">
        <f>TBIDry!H264</f>
        <v>G144</v>
      </c>
      <c r="C192" t="str">
        <f>TBIDry!I264</f>
        <v>R18</v>
      </c>
      <c r="D192" t="b">
        <f t="shared" si="117"/>
        <v>0</v>
      </c>
      <c r="E192" t="b">
        <f t="shared" si="118"/>
        <v>0</v>
      </c>
      <c r="G192" t="str">
        <f>TBIWet!H264</f>
        <v>G367</v>
      </c>
      <c r="H192" t="str">
        <f>TBIWet!I264</f>
        <v>R354</v>
      </c>
      <c r="I192" t="b">
        <f t="shared" si="119"/>
        <v>0</v>
      </c>
      <c r="J192" t="b">
        <f t="shared" si="120"/>
        <v>0</v>
      </c>
      <c r="L192" t="str">
        <f>'Both teabags AfterWet'!A190</f>
        <v>G608</v>
      </c>
      <c r="M192" t="str">
        <f>'Both teabags AfterWet'!A610</f>
        <v>R39</v>
      </c>
      <c r="N192" t="b">
        <f t="shared" si="121"/>
        <v>0</v>
      </c>
      <c r="O192" t="b">
        <f t="shared" si="171"/>
        <v>0</v>
      </c>
      <c r="Q192" s="388" t="b">
        <f t="shared" si="122"/>
        <v>0</v>
      </c>
      <c r="R192" s="388" t="b">
        <f t="shared" si="123"/>
        <v>0</v>
      </c>
      <c r="T192" t="str">
        <f>'Both teabags AfterDry'!A190</f>
        <v>G36</v>
      </c>
      <c r="U192" t="str">
        <f>'Both teabags AfterDry'!A525</f>
        <v>R671</v>
      </c>
      <c r="V192" t="b">
        <f t="shared" si="124"/>
        <v>0</v>
      </c>
      <c r="W192" t="b">
        <f t="shared" si="155"/>
        <v>0</v>
      </c>
      <c r="Y192" t="str">
        <f>'Green_rooibos initial weight'!A193</f>
        <v>G189</v>
      </c>
      <c r="Z192" t="str">
        <f>'Green_rooibos initial weight'!A1097</f>
        <v>R189</v>
      </c>
      <c r="AA192" t="b">
        <f t="shared" si="125"/>
        <v>0</v>
      </c>
      <c r="AB192" t="b">
        <f t="shared" si="126"/>
        <v>0</v>
      </c>
      <c r="AE192" t="str">
        <f>'WetLitterbags placem_collection'!K191</f>
        <v>G367</v>
      </c>
      <c r="AF192" t="str">
        <f>'WetLitterbags placem_collection'!M191</f>
        <v>R354</v>
      </c>
      <c r="AG192" t="b">
        <f t="shared" si="127"/>
        <v>0</v>
      </c>
      <c r="AH192" t="b">
        <f t="shared" si="128"/>
        <v>0</v>
      </c>
      <c r="AJ192" t="b">
        <f t="shared" si="129"/>
        <v>0</v>
      </c>
      <c r="AK192" t="b">
        <f t="shared" si="130"/>
        <v>0</v>
      </c>
      <c r="AM192" t="str">
        <f>IF(ISBLANK('Dry_Litterbag Placem_Collection'!J191),"","G"&amp;""&amp;'Dry_Litterbag Placem_Collection'!J191)</f>
        <v>G144</v>
      </c>
      <c r="AN192" t="str">
        <f>IF(ISBLANK('Dry_Litterbag Placem_Collection'!K191),"","R"&amp;""&amp;'Dry_Litterbag Placem_Collection'!K191)</f>
        <v>R18</v>
      </c>
      <c r="AO192" t="b">
        <f t="shared" si="131"/>
        <v>0</v>
      </c>
      <c r="AP192" t="b">
        <f t="shared" si="132"/>
        <v>0</v>
      </c>
      <c r="AS192" t="str">
        <f>'Ashed teabags dry'!A190</f>
        <v>G36</v>
      </c>
      <c r="AT192" t="str">
        <f>'Ashed teabags dry'!A525</f>
        <v>R671</v>
      </c>
      <c r="AU192" t="b">
        <f t="shared" si="133"/>
        <v>0</v>
      </c>
      <c r="AV192" t="b">
        <f t="shared" si="156"/>
        <v>0</v>
      </c>
      <c r="AX192" s="388" t="b">
        <f t="shared" si="134"/>
        <v>0</v>
      </c>
      <c r="AY192" s="388" t="b">
        <f t="shared" si="135"/>
        <v>0</v>
      </c>
      <c r="BA192" t="str">
        <f>'Ashed teabags wet'!A190</f>
        <v>G608</v>
      </c>
      <c r="BB192" t="str">
        <f>'Ashed teabags wet'!A610</f>
        <v>R39</v>
      </c>
      <c r="BC192" t="b">
        <f t="shared" si="136"/>
        <v>0</v>
      </c>
      <c r="BD192" t="b">
        <f t="shared" si="116"/>
        <v>0</v>
      </c>
      <c r="BF192" t="str">
        <f t="shared" si="137"/>
        <v>G357</v>
      </c>
      <c r="BG192" t="str">
        <f t="shared" si="138"/>
        <v>G357</v>
      </c>
      <c r="BH192" t="str">
        <f t="shared" si="139"/>
        <v>G146</v>
      </c>
      <c r="BI192" t="str">
        <f t="shared" si="157"/>
        <v>G146</v>
      </c>
      <c r="BJ192" t="s">
        <v>1693</v>
      </c>
      <c r="BK192" t="s">
        <v>1693</v>
      </c>
      <c r="BL192" t="s">
        <v>1693</v>
      </c>
      <c r="BM192" t="b">
        <f t="shared" si="158"/>
        <v>1</v>
      </c>
      <c r="BN192" t="str">
        <f t="shared" si="140"/>
        <v>R670</v>
      </c>
      <c r="BO192" t="str">
        <f t="shared" si="141"/>
        <v>R670</v>
      </c>
      <c r="BP192" t="str">
        <f t="shared" si="142"/>
        <v>R357</v>
      </c>
      <c r="BQ192" t="str">
        <f t="shared" si="143"/>
        <v>R357</v>
      </c>
      <c r="BR192" t="s">
        <v>469</v>
      </c>
      <c r="BS192" t="s">
        <v>468</v>
      </c>
      <c r="BT192" t="s">
        <v>469</v>
      </c>
      <c r="BU192" t="b">
        <f t="shared" si="159"/>
        <v>1</v>
      </c>
      <c r="BZ192" t="str">
        <f t="shared" si="144"/>
        <v>G146</v>
      </c>
      <c r="CA192" t="b">
        <f t="shared" si="145"/>
        <v>0</v>
      </c>
      <c r="CB192" t="str">
        <f t="shared" si="160"/>
        <v>G146</v>
      </c>
      <c r="CC192" t="str">
        <f t="shared" si="146"/>
        <v>R357</v>
      </c>
      <c r="CD192" t="b">
        <f t="shared" si="161"/>
        <v>0</v>
      </c>
      <c r="CE192" t="str">
        <f t="shared" si="162"/>
        <v>R357</v>
      </c>
      <c r="CG192" t="str">
        <f t="shared" si="147"/>
        <v>G607</v>
      </c>
      <c r="CH192" t="str">
        <f t="shared" si="163"/>
        <v>G607</v>
      </c>
      <c r="CI192" t="str">
        <f t="shared" si="148"/>
        <v>G420</v>
      </c>
      <c r="CJ192" t="str">
        <f t="shared" si="149"/>
        <v>G420</v>
      </c>
      <c r="CK192" t="s">
        <v>1443</v>
      </c>
      <c r="CL192" t="s">
        <v>1443</v>
      </c>
      <c r="CM192" t="s">
        <v>1443</v>
      </c>
      <c r="CN192" t="b">
        <f t="shared" si="164"/>
        <v>1</v>
      </c>
      <c r="CO192" t="str">
        <f t="shared" si="150"/>
        <v>R387</v>
      </c>
      <c r="CP192" t="str">
        <f t="shared" si="165"/>
        <v>R387</v>
      </c>
      <c r="CQ192" t="str">
        <f t="shared" si="151"/>
        <v>R523</v>
      </c>
      <c r="CR192" t="str">
        <f t="shared" si="152"/>
        <v>R523</v>
      </c>
      <c r="CS192" t="s">
        <v>754</v>
      </c>
      <c r="CT192" t="s">
        <v>754</v>
      </c>
      <c r="CU192" t="s">
        <v>754</v>
      </c>
      <c r="CV192" t="b">
        <f t="shared" si="166"/>
        <v>1</v>
      </c>
      <c r="DC192" t="str">
        <f t="shared" si="153"/>
        <v>G420</v>
      </c>
      <c r="DD192" t="b">
        <f t="shared" si="167"/>
        <v>0</v>
      </c>
      <c r="DE192" t="str">
        <f t="shared" si="168"/>
        <v>G420</v>
      </c>
      <c r="DF192" t="str">
        <f t="shared" si="154"/>
        <v>R523</v>
      </c>
      <c r="DG192" t="b">
        <f t="shared" si="169"/>
        <v>0</v>
      </c>
      <c r="DH192" t="str">
        <f t="shared" si="170"/>
        <v>R523</v>
      </c>
    </row>
    <row r="193" spans="2:112" ht="12" customHeight="1">
      <c r="B193" t="str">
        <f>TBIDry!H265</f>
        <v>G171</v>
      </c>
      <c r="C193" t="str">
        <f>TBIDry!I265</f>
        <v>R397</v>
      </c>
      <c r="D193" t="b">
        <f t="shared" si="117"/>
        <v>0</v>
      </c>
      <c r="E193" t="b">
        <f t="shared" si="118"/>
        <v>0</v>
      </c>
      <c r="G193" t="str">
        <f>TBIWet!H265</f>
        <v>G526</v>
      </c>
      <c r="H193" t="str">
        <f>TBIWet!I265</f>
        <v>R164</v>
      </c>
      <c r="I193" t="b">
        <f t="shared" si="119"/>
        <v>0</v>
      </c>
      <c r="J193" t="b">
        <f t="shared" si="120"/>
        <v>0</v>
      </c>
      <c r="L193" t="str">
        <f>'Both teabags AfterWet'!A191</f>
        <v>G609</v>
      </c>
      <c r="M193" t="str">
        <f>'Both teabags AfterWet'!A611</f>
        <v>R390</v>
      </c>
      <c r="N193" t="b">
        <f t="shared" si="121"/>
        <v>0</v>
      </c>
      <c r="O193" t="b">
        <f t="shared" si="171"/>
        <v>0</v>
      </c>
      <c r="Q193" s="388" t="b">
        <f t="shared" si="122"/>
        <v>0</v>
      </c>
      <c r="R193" s="388" t="b">
        <f t="shared" si="123"/>
        <v>0</v>
      </c>
      <c r="T193" t="str">
        <f>'Both teabags AfterDry'!A191</f>
        <v>G361</v>
      </c>
      <c r="U193" t="str">
        <f>'Both teabags AfterDry'!A526</f>
        <v>R673</v>
      </c>
      <c r="V193" t="b">
        <f t="shared" si="124"/>
        <v>0</v>
      </c>
      <c r="W193" t="b">
        <f t="shared" si="155"/>
        <v>0</v>
      </c>
      <c r="Y193" t="str">
        <f>'Green_rooibos initial weight'!A194</f>
        <v>G190</v>
      </c>
      <c r="Z193" t="str">
        <f>'Green_rooibos initial weight'!A1098</f>
        <v>R190</v>
      </c>
      <c r="AA193" t="b">
        <f t="shared" si="125"/>
        <v>0</v>
      </c>
      <c r="AB193" t="b">
        <f t="shared" si="126"/>
        <v>0</v>
      </c>
      <c r="AE193" t="str">
        <f>'WetLitterbags placem_collection'!K192</f>
        <v>G526</v>
      </c>
      <c r="AF193" t="str">
        <f>'WetLitterbags placem_collection'!M192</f>
        <v>R164</v>
      </c>
      <c r="AG193" t="b">
        <f t="shared" si="127"/>
        <v>0</v>
      </c>
      <c r="AH193" t="b">
        <f t="shared" si="128"/>
        <v>0</v>
      </c>
      <c r="AJ193" t="b">
        <f t="shared" si="129"/>
        <v>0</v>
      </c>
      <c r="AK193" t="b">
        <f t="shared" si="130"/>
        <v>0</v>
      </c>
      <c r="AM193" t="str">
        <f>IF(ISBLANK('Dry_Litterbag Placem_Collection'!J192),"","G"&amp;""&amp;'Dry_Litterbag Placem_Collection'!J192)</f>
        <v>G171</v>
      </c>
      <c r="AN193" t="str">
        <f>IF(ISBLANK('Dry_Litterbag Placem_Collection'!K192),"","R"&amp;""&amp;'Dry_Litterbag Placem_Collection'!K192)</f>
        <v>R397</v>
      </c>
      <c r="AO193" t="b">
        <f t="shared" si="131"/>
        <v>0</v>
      </c>
      <c r="AP193" t="b">
        <f t="shared" si="132"/>
        <v>0</v>
      </c>
      <c r="AS193" t="str">
        <f>'Ashed teabags dry'!A191</f>
        <v>G361</v>
      </c>
      <c r="AT193" t="str">
        <f>'Ashed teabags dry'!A526</f>
        <v>R673</v>
      </c>
      <c r="AU193" t="b">
        <f t="shared" si="133"/>
        <v>0</v>
      </c>
      <c r="AV193" t="b">
        <f t="shared" si="156"/>
        <v>0</v>
      </c>
      <c r="AX193" s="388" t="b">
        <f t="shared" si="134"/>
        <v>0</v>
      </c>
      <c r="AY193" s="388" t="b">
        <f t="shared" si="135"/>
        <v>0</v>
      </c>
      <c r="BA193" t="str">
        <f>'Ashed teabags wet'!A191</f>
        <v>G609</v>
      </c>
      <c r="BB193" t="str">
        <f>'Ashed teabags wet'!A611</f>
        <v>R390</v>
      </c>
      <c r="BC193" t="b">
        <f t="shared" si="136"/>
        <v>0</v>
      </c>
      <c r="BD193" t="b">
        <f t="shared" si="116"/>
        <v>0</v>
      </c>
      <c r="BF193" t="str">
        <f t="shared" si="137"/>
        <v>G36</v>
      </c>
      <c r="BG193" t="str">
        <f t="shared" si="138"/>
        <v>G36</v>
      </c>
      <c r="BH193" t="str">
        <f t="shared" si="139"/>
        <v>G144</v>
      </c>
      <c r="BI193" t="str">
        <f t="shared" si="157"/>
        <v>G144</v>
      </c>
      <c r="BJ193" t="s">
        <v>2014</v>
      </c>
      <c r="BK193" t="s">
        <v>2014</v>
      </c>
      <c r="BL193" t="s">
        <v>2014</v>
      </c>
      <c r="BM193" t="b">
        <f t="shared" si="158"/>
        <v>1</v>
      </c>
      <c r="BN193" t="str">
        <f t="shared" si="140"/>
        <v>R671</v>
      </c>
      <c r="BO193" t="str">
        <f t="shared" si="141"/>
        <v>R671</v>
      </c>
      <c r="BP193" t="str">
        <f t="shared" si="142"/>
        <v>R18</v>
      </c>
      <c r="BQ193" t="str">
        <f t="shared" si="143"/>
        <v>R18</v>
      </c>
      <c r="BR193" t="s">
        <v>468</v>
      </c>
      <c r="BS193" t="s">
        <v>466</v>
      </c>
      <c r="BT193" t="s">
        <v>468</v>
      </c>
      <c r="BU193" t="b">
        <f t="shared" si="159"/>
        <v>1</v>
      </c>
      <c r="BZ193" t="str">
        <f t="shared" si="144"/>
        <v>G144</v>
      </c>
      <c r="CA193" t="b">
        <f t="shared" si="145"/>
        <v>0</v>
      </c>
      <c r="CB193" t="str">
        <f t="shared" si="160"/>
        <v>G144</v>
      </c>
      <c r="CC193" t="str">
        <f t="shared" si="146"/>
        <v>R18</v>
      </c>
      <c r="CD193" t="b">
        <f t="shared" si="161"/>
        <v>0</v>
      </c>
      <c r="CE193" t="str">
        <f t="shared" si="162"/>
        <v>R18</v>
      </c>
      <c r="CG193" t="str">
        <f t="shared" si="147"/>
        <v>G608</v>
      </c>
      <c r="CH193" t="str">
        <f t="shared" si="163"/>
        <v>G608</v>
      </c>
      <c r="CI193" t="str">
        <f t="shared" si="148"/>
        <v>G367</v>
      </c>
      <c r="CJ193" t="str">
        <f t="shared" si="149"/>
        <v>G367</v>
      </c>
      <c r="CK193" t="s">
        <v>1442</v>
      </c>
      <c r="CL193" t="s">
        <v>1442</v>
      </c>
      <c r="CM193" t="s">
        <v>1442</v>
      </c>
      <c r="CN193" t="b">
        <f t="shared" si="164"/>
        <v>1</v>
      </c>
      <c r="CO193" t="str">
        <f t="shared" si="150"/>
        <v>R39</v>
      </c>
      <c r="CP193" t="str">
        <f t="shared" si="165"/>
        <v>R39</v>
      </c>
      <c r="CQ193" t="str">
        <f t="shared" si="151"/>
        <v>R354</v>
      </c>
      <c r="CR193" t="str">
        <f t="shared" si="152"/>
        <v>R354</v>
      </c>
      <c r="CS193" t="s">
        <v>1102</v>
      </c>
      <c r="CT193" t="s">
        <v>1102</v>
      </c>
      <c r="CU193" t="s">
        <v>1102</v>
      </c>
      <c r="CV193" t="b">
        <f t="shared" si="166"/>
        <v>1</v>
      </c>
      <c r="DC193" t="str">
        <f t="shared" si="153"/>
        <v>G367</v>
      </c>
      <c r="DD193" t="b">
        <f t="shared" si="167"/>
        <v>0</v>
      </c>
      <c r="DE193" t="str">
        <f t="shared" si="168"/>
        <v>G367</v>
      </c>
      <c r="DF193" t="str">
        <f t="shared" si="154"/>
        <v>R354</v>
      </c>
      <c r="DG193" t="b">
        <f t="shared" si="169"/>
        <v>0</v>
      </c>
      <c r="DH193" t="str">
        <f t="shared" si="170"/>
        <v>R354</v>
      </c>
    </row>
    <row r="194" spans="2:112" ht="12" customHeight="1">
      <c r="B194" t="str">
        <f>TBIDry!H266</f>
        <v>G232</v>
      </c>
      <c r="C194" t="str">
        <f>TBIDry!I266</f>
        <v>R715</v>
      </c>
      <c r="D194" t="b">
        <f t="shared" si="117"/>
        <v>0</v>
      </c>
      <c r="E194" t="b">
        <f t="shared" si="118"/>
        <v>0</v>
      </c>
      <c r="G194" t="str">
        <f>TBIWet!H266</f>
        <v>G522</v>
      </c>
      <c r="H194" t="str">
        <f>TBIWet!I266</f>
        <v>R336</v>
      </c>
      <c r="I194" t="b">
        <f t="shared" si="119"/>
        <v>0</v>
      </c>
      <c r="J194" t="b">
        <f t="shared" si="120"/>
        <v>0</v>
      </c>
      <c r="L194" t="str">
        <f>'Both teabags AfterWet'!A192</f>
        <v>G610</v>
      </c>
      <c r="M194" t="str">
        <f>'Both teabags AfterWet'!A612</f>
        <v>R391</v>
      </c>
      <c r="N194" t="b">
        <f t="shared" si="121"/>
        <v>0</v>
      </c>
      <c r="O194" t="b">
        <f t="shared" si="171"/>
        <v>0</v>
      </c>
      <c r="Q194" s="388" t="b">
        <f t="shared" si="122"/>
        <v>0</v>
      </c>
      <c r="R194" s="388" t="b">
        <f t="shared" si="123"/>
        <v>0</v>
      </c>
      <c r="T194" t="str">
        <f>'Both teabags AfterDry'!A192</f>
        <v>G363</v>
      </c>
      <c r="U194" t="str">
        <f>'Both teabags AfterDry'!A527</f>
        <v>R674</v>
      </c>
      <c r="V194" t="b">
        <f t="shared" si="124"/>
        <v>0</v>
      </c>
      <c r="W194" t="b">
        <f t="shared" si="155"/>
        <v>0</v>
      </c>
      <c r="Y194" t="str">
        <f>'Green_rooibos initial weight'!A195</f>
        <v>G191</v>
      </c>
      <c r="Z194" t="str">
        <f>'Green_rooibos initial weight'!A1099</f>
        <v>R191</v>
      </c>
      <c r="AA194" t="b">
        <f t="shared" si="125"/>
        <v>0</v>
      </c>
      <c r="AB194" t="b">
        <f t="shared" si="126"/>
        <v>0</v>
      </c>
      <c r="AE194" t="str">
        <f>'WetLitterbags placem_collection'!K193</f>
        <v>G522</v>
      </c>
      <c r="AF194" t="str">
        <f>'WetLitterbags placem_collection'!M193</f>
        <v>R336</v>
      </c>
      <c r="AG194" t="b">
        <f t="shared" si="127"/>
        <v>0</v>
      </c>
      <c r="AH194" t="b">
        <f t="shared" si="128"/>
        <v>0</v>
      </c>
      <c r="AJ194" t="b">
        <f t="shared" si="129"/>
        <v>0</v>
      </c>
      <c r="AK194" t="b">
        <f t="shared" si="130"/>
        <v>0</v>
      </c>
      <c r="AM194" t="str">
        <f>IF(ISBLANK('Dry_Litterbag Placem_Collection'!J193),"","G"&amp;""&amp;'Dry_Litterbag Placem_Collection'!J193)</f>
        <v>G232</v>
      </c>
      <c r="AN194" t="str">
        <f>IF(ISBLANK('Dry_Litterbag Placem_Collection'!K193),"","R"&amp;""&amp;'Dry_Litterbag Placem_Collection'!K193)</f>
        <v>R715</v>
      </c>
      <c r="AO194" t="b">
        <f t="shared" si="131"/>
        <v>0</v>
      </c>
      <c r="AP194" t="b">
        <f t="shared" si="132"/>
        <v>0</v>
      </c>
      <c r="AS194" t="str">
        <f>'Ashed teabags dry'!A192</f>
        <v>G363</v>
      </c>
      <c r="AT194" t="str">
        <f>'Ashed teabags dry'!A527</f>
        <v>R674</v>
      </c>
      <c r="AU194" t="b">
        <f t="shared" si="133"/>
        <v>0</v>
      </c>
      <c r="AV194" t="b">
        <f t="shared" si="156"/>
        <v>0</v>
      </c>
      <c r="AX194" s="388" t="b">
        <f t="shared" si="134"/>
        <v>0</v>
      </c>
      <c r="AY194" s="388" t="b">
        <f t="shared" si="135"/>
        <v>0</v>
      </c>
      <c r="BA194" t="str">
        <f>'Ashed teabags wet'!A192</f>
        <v>G610</v>
      </c>
      <c r="BB194" t="str">
        <f>'Ashed teabags wet'!A612</f>
        <v>R391</v>
      </c>
      <c r="BC194" t="b">
        <f t="shared" si="136"/>
        <v>0</v>
      </c>
      <c r="BD194" t="b">
        <f t="shared" si="116"/>
        <v>0</v>
      </c>
      <c r="BF194" t="str">
        <f t="shared" si="137"/>
        <v>G361</v>
      </c>
      <c r="BG194" t="str">
        <f t="shared" si="138"/>
        <v>G361</v>
      </c>
      <c r="BH194" t="str">
        <f t="shared" si="139"/>
        <v>G171</v>
      </c>
      <c r="BI194" t="str">
        <f t="shared" si="157"/>
        <v>G171</v>
      </c>
      <c r="BJ194" t="s">
        <v>1689</v>
      </c>
      <c r="BK194" t="s">
        <v>1689</v>
      </c>
      <c r="BL194" t="s">
        <v>1689</v>
      </c>
      <c r="BM194" t="b">
        <f t="shared" si="158"/>
        <v>1</v>
      </c>
      <c r="BN194" t="str">
        <f t="shared" si="140"/>
        <v>R673</v>
      </c>
      <c r="BO194" t="str">
        <f t="shared" si="141"/>
        <v>R673</v>
      </c>
      <c r="BP194" t="str">
        <f t="shared" si="142"/>
        <v>R397</v>
      </c>
      <c r="BQ194" t="str">
        <f t="shared" si="143"/>
        <v>R397</v>
      </c>
      <c r="BR194" t="s">
        <v>466</v>
      </c>
      <c r="BS194" t="s">
        <v>465</v>
      </c>
      <c r="BT194" t="s">
        <v>466</v>
      </c>
      <c r="BU194" t="b">
        <f t="shared" si="159"/>
        <v>1</v>
      </c>
      <c r="BZ194" t="str">
        <f t="shared" si="144"/>
        <v>G171</v>
      </c>
      <c r="CA194" t="b">
        <f t="shared" si="145"/>
        <v>0</v>
      </c>
      <c r="CB194" t="str">
        <f t="shared" si="160"/>
        <v>G171</v>
      </c>
      <c r="CC194" t="str">
        <f t="shared" si="146"/>
        <v>R397</v>
      </c>
      <c r="CD194" t="b">
        <f t="shared" si="161"/>
        <v>0</v>
      </c>
      <c r="CE194" t="str">
        <f t="shared" si="162"/>
        <v>R397</v>
      </c>
      <c r="CG194" t="str">
        <f t="shared" si="147"/>
        <v>G609</v>
      </c>
      <c r="CH194" t="str">
        <f t="shared" si="163"/>
        <v>G609</v>
      </c>
      <c r="CI194" t="str">
        <f t="shared" si="148"/>
        <v>G526</v>
      </c>
      <c r="CJ194" t="str">
        <f t="shared" si="149"/>
        <v>G526</v>
      </c>
      <c r="CK194" t="s">
        <v>1441</v>
      </c>
      <c r="CL194" t="s">
        <v>1441</v>
      </c>
      <c r="CM194" t="s">
        <v>1441</v>
      </c>
      <c r="CN194" t="b">
        <f t="shared" si="164"/>
        <v>1</v>
      </c>
      <c r="CO194" t="str">
        <f t="shared" si="150"/>
        <v>R390</v>
      </c>
      <c r="CP194" t="str">
        <f t="shared" si="165"/>
        <v>R390</v>
      </c>
      <c r="CQ194" t="str">
        <f t="shared" si="151"/>
        <v>R164</v>
      </c>
      <c r="CR194" t="str">
        <f t="shared" si="152"/>
        <v>R164</v>
      </c>
      <c r="CS194" t="s">
        <v>751</v>
      </c>
      <c r="CT194" t="s">
        <v>751</v>
      </c>
      <c r="CU194" t="s">
        <v>751</v>
      </c>
      <c r="CV194" t="b">
        <f t="shared" si="166"/>
        <v>1</v>
      </c>
      <c r="DC194" t="str">
        <f t="shared" si="153"/>
        <v>G526</v>
      </c>
      <c r="DD194" t="b">
        <f t="shared" si="167"/>
        <v>0</v>
      </c>
      <c r="DE194" t="str">
        <f t="shared" si="168"/>
        <v>G526</v>
      </c>
      <c r="DF194" t="str">
        <f t="shared" si="154"/>
        <v>R164</v>
      </c>
      <c r="DG194" t="b">
        <f t="shared" si="169"/>
        <v>0</v>
      </c>
      <c r="DH194" t="str">
        <f t="shared" si="170"/>
        <v>R164</v>
      </c>
    </row>
    <row r="195" spans="2:112" ht="12" customHeight="1">
      <c r="B195" t="str">
        <f>TBIDry!H267</f>
        <v/>
      </c>
      <c r="C195" t="str">
        <f>TBIDry!I267</f>
        <v/>
      </c>
      <c r="D195" t="b">
        <f t="shared" si="117"/>
        <v>1</v>
      </c>
      <c r="E195" t="b">
        <f t="shared" si="118"/>
        <v>1</v>
      </c>
      <c r="G195" t="str">
        <f>TBIWet!H267</f>
        <v>G591</v>
      </c>
      <c r="H195" t="str">
        <f>TBIWet!I267</f>
        <v>R263</v>
      </c>
      <c r="I195" t="b">
        <f t="shared" si="119"/>
        <v>0</v>
      </c>
      <c r="J195" t="b">
        <f t="shared" si="120"/>
        <v>0</v>
      </c>
      <c r="L195" t="str">
        <f>'Both teabags AfterWet'!A193</f>
        <v>G611</v>
      </c>
      <c r="M195" t="str">
        <f>'Both teabags AfterWet'!A613</f>
        <v>R392</v>
      </c>
      <c r="N195" t="b">
        <f t="shared" si="121"/>
        <v>0</v>
      </c>
      <c r="O195" t="b">
        <f t="shared" si="171"/>
        <v>0</v>
      </c>
      <c r="Q195" s="388" t="b">
        <f t="shared" si="122"/>
        <v>0</v>
      </c>
      <c r="R195" s="388" t="b">
        <f t="shared" si="123"/>
        <v>0</v>
      </c>
      <c r="T195" t="str">
        <f>'Both teabags AfterDry'!A193</f>
        <v>G364</v>
      </c>
      <c r="U195" t="str">
        <f>'Both teabags AfterDry'!A528</f>
        <v>R675</v>
      </c>
      <c r="V195" t="b">
        <f t="shared" si="124"/>
        <v>0</v>
      </c>
      <c r="W195" t="b">
        <f t="shared" si="155"/>
        <v>0</v>
      </c>
      <c r="Y195" t="str">
        <f>'Green_rooibos initial weight'!A196</f>
        <v>G192</v>
      </c>
      <c r="Z195" t="str">
        <f>'Green_rooibos initial weight'!A1100</f>
        <v>R192</v>
      </c>
      <c r="AA195" t="b">
        <f t="shared" si="125"/>
        <v>0</v>
      </c>
      <c r="AB195" t="b">
        <f t="shared" si="126"/>
        <v>0</v>
      </c>
      <c r="AE195" t="str">
        <f>'WetLitterbags placem_collection'!K194</f>
        <v>G591</v>
      </c>
      <c r="AF195" t="str">
        <f>'WetLitterbags placem_collection'!M194</f>
        <v>R263</v>
      </c>
      <c r="AG195" t="b">
        <f t="shared" si="127"/>
        <v>0</v>
      </c>
      <c r="AH195" t="b">
        <f t="shared" si="128"/>
        <v>0</v>
      </c>
      <c r="AJ195" t="b">
        <f t="shared" si="129"/>
        <v>0</v>
      </c>
      <c r="AK195" t="b">
        <f t="shared" si="130"/>
        <v>0</v>
      </c>
      <c r="AM195" t="str">
        <f>IF(ISBLANK('Dry_Litterbag Placem_Collection'!J194),"","G"&amp;""&amp;'Dry_Litterbag Placem_Collection'!J194)</f>
        <v/>
      </c>
      <c r="AN195" t="str">
        <f>IF(ISBLANK('Dry_Litterbag Placem_Collection'!K194),"","R"&amp;""&amp;'Dry_Litterbag Placem_Collection'!K194)</f>
        <v/>
      </c>
      <c r="AO195" t="b">
        <f t="shared" si="131"/>
        <v>1</v>
      </c>
      <c r="AP195" t="b">
        <f t="shared" si="132"/>
        <v>1</v>
      </c>
      <c r="AS195" t="str">
        <f>'Ashed teabags dry'!A193</f>
        <v>G364</v>
      </c>
      <c r="AT195" t="str">
        <f>'Ashed teabags dry'!A528</f>
        <v>R675</v>
      </c>
      <c r="AU195" t="b">
        <f t="shared" si="133"/>
        <v>0</v>
      </c>
      <c r="AV195" t="b">
        <f t="shared" si="156"/>
        <v>0</v>
      </c>
      <c r="AX195" s="388" t="b">
        <f t="shared" si="134"/>
        <v>0</v>
      </c>
      <c r="AY195" s="388" t="b">
        <f t="shared" si="135"/>
        <v>0</v>
      </c>
      <c r="BA195" t="str">
        <f>'Ashed teabags wet'!A193</f>
        <v>G611</v>
      </c>
      <c r="BB195" t="str">
        <f>'Ashed teabags wet'!A613</f>
        <v>R392</v>
      </c>
      <c r="BC195" t="b">
        <f t="shared" si="136"/>
        <v>0</v>
      </c>
      <c r="BD195" t="b">
        <f t="shared" si="116"/>
        <v>0</v>
      </c>
      <c r="BF195" t="str">
        <f t="shared" si="137"/>
        <v>G363</v>
      </c>
      <c r="BG195" t="str">
        <f t="shared" si="138"/>
        <v>G363</v>
      </c>
      <c r="BH195" t="str">
        <f t="shared" si="139"/>
        <v>G232</v>
      </c>
      <c r="BI195" t="str">
        <f t="shared" si="157"/>
        <v>G232</v>
      </c>
      <c r="BJ195" t="s">
        <v>1687</v>
      </c>
      <c r="BK195" t="s">
        <v>1687</v>
      </c>
      <c r="BL195" t="s">
        <v>1687</v>
      </c>
      <c r="BM195" t="b">
        <f t="shared" si="158"/>
        <v>1</v>
      </c>
      <c r="BN195" t="str">
        <f t="shared" si="140"/>
        <v>R674</v>
      </c>
      <c r="BO195" t="str">
        <f t="shared" si="141"/>
        <v>R674</v>
      </c>
      <c r="BP195" t="str">
        <f t="shared" si="142"/>
        <v>R715</v>
      </c>
      <c r="BQ195" t="str">
        <f t="shared" si="143"/>
        <v>R715</v>
      </c>
      <c r="BR195" t="s">
        <v>465</v>
      </c>
      <c r="BS195" t="s">
        <v>464</v>
      </c>
      <c r="BT195" t="s">
        <v>465</v>
      </c>
      <c r="BU195" t="b">
        <f t="shared" si="159"/>
        <v>1</v>
      </c>
      <c r="BZ195" t="str">
        <f t="shared" si="144"/>
        <v>G232</v>
      </c>
      <c r="CA195" t="b">
        <f t="shared" si="145"/>
        <v>0</v>
      </c>
      <c r="CB195" t="str">
        <f t="shared" si="160"/>
        <v>G232</v>
      </c>
      <c r="CC195" t="str">
        <f t="shared" si="146"/>
        <v>R715</v>
      </c>
      <c r="CD195" t="b">
        <f t="shared" si="161"/>
        <v>0</v>
      </c>
      <c r="CE195" t="str">
        <f t="shared" si="162"/>
        <v>R715</v>
      </c>
      <c r="CG195" t="str">
        <f t="shared" si="147"/>
        <v>G610</v>
      </c>
      <c r="CH195" t="str">
        <f t="shared" si="163"/>
        <v>G610</v>
      </c>
      <c r="CI195" t="str">
        <f t="shared" si="148"/>
        <v>G522</v>
      </c>
      <c r="CJ195" t="str">
        <f t="shared" si="149"/>
        <v>G522</v>
      </c>
      <c r="CK195" t="s">
        <v>1440</v>
      </c>
      <c r="CL195" t="s">
        <v>1440</v>
      </c>
      <c r="CM195" t="s">
        <v>1440</v>
      </c>
      <c r="CN195" t="b">
        <f t="shared" si="164"/>
        <v>1</v>
      </c>
      <c r="CO195" t="str">
        <f t="shared" si="150"/>
        <v>R391</v>
      </c>
      <c r="CP195" t="str">
        <f t="shared" si="165"/>
        <v>R391</v>
      </c>
      <c r="CQ195" t="str">
        <f t="shared" si="151"/>
        <v>R336</v>
      </c>
      <c r="CR195" t="str">
        <f t="shared" si="152"/>
        <v>R336</v>
      </c>
      <c r="CS195" t="s">
        <v>750</v>
      </c>
      <c r="CT195" t="s">
        <v>750</v>
      </c>
      <c r="CU195" t="s">
        <v>750</v>
      </c>
      <c r="CV195" t="b">
        <f t="shared" si="166"/>
        <v>1</v>
      </c>
      <c r="DC195" t="str">
        <f t="shared" si="153"/>
        <v>G522</v>
      </c>
      <c r="DD195" t="b">
        <f t="shared" si="167"/>
        <v>0</v>
      </c>
      <c r="DE195" t="str">
        <f t="shared" si="168"/>
        <v>G522</v>
      </c>
      <c r="DF195" t="str">
        <f t="shared" si="154"/>
        <v>R336</v>
      </c>
      <c r="DG195" t="b">
        <f t="shared" si="169"/>
        <v>0</v>
      </c>
      <c r="DH195" t="str">
        <f t="shared" si="170"/>
        <v>R336</v>
      </c>
    </row>
    <row r="196" spans="2:112" ht="12" customHeight="1">
      <c r="B196" t="str">
        <f>TBIDry!H268</f>
        <v>G257</v>
      </c>
      <c r="C196" t="str">
        <f>TBIDry!I268</f>
        <v>R695</v>
      </c>
      <c r="D196" t="b">
        <f t="shared" si="117"/>
        <v>0</v>
      </c>
      <c r="E196" t="b">
        <f t="shared" si="118"/>
        <v>0</v>
      </c>
      <c r="G196" t="str">
        <f>TBIWet!H268</f>
        <v>G863</v>
      </c>
      <c r="H196" t="str">
        <f>TBIWet!I268</f>
        <v>R125</v>
      </c>
      <c r="I196" t="b">
        <f t="shared" si="119"/>
        <v>0</v>
      </c>
      <c r="J196" t="b">
        <f t="shared" si="120"/>
        <v>0</v>
      </c>
      <c r="L196" t="str">
        <f>'Both teabags AfterWet'!A194</f>
        <v>G613</v>
      </c>
      <c r="M196" t="str">
        <f>'Both teabags AfterWet'!A614</f>
        <v>R393</v>
      </c>
      <c r="N196" t="b">
        <f t="shared" si="121"/>
        <v>0</v>
      </c>
      <c r="O196" t="b">
        <f t="shared" si="171"/>
        <v>0</v>
      </c>
      <c r="Q196" s="388" t="b">
        <f t="shared" si="122"/>
        <v>0</v>
      </c>
      <c r="R196" s="388" t="b">
        <f t="shared" si="123"/>
        <v>0</v>
      </c>
      <c r="T196" t="str">
        <f>'Both teabags AfterDry'!A194</f>
        <v>G370</v>
      </c>
      <c r="U196" t="str">
        <f>'Both teabags AfterDry'!A529</f>
        <v>R676</v>
      </c>
      <c r="V196" t="b">
        <f t="shared" si="124"/>
        <v>0</v>
      </c>
      <c r="W196" t="b">
        <f t="shared" si="155"/>
        <v>0</v>
      </c>
      <c r="Y196" t="str">
        <f>'Green_rooibos initial weight'!A197</f>
        <v>G193</v>
      </c>
      <c r="Z196" t="str">
        <f>'Green_rooibos initial weight'!A1101</f>
        <v>R193</v>
      </c>
      <c r="AA196" t="b">
        <f t="shared" si="125"/>
        <v>0</v>
      </c>
      <c r="AB196" t="b">
        <f t="shared" si="126"/>
        <v>0</v>
      </c>
      <c r="AE196" t="str">
        <f>'WetLitterbags placem_collection'!K195</f>
        <v>G863</v>
      </c>
      <c r="AF196" t="str">
        <f>'WetLitterbags placem_collection'!M195</f>
        <v>R125</v>
      </c>
      <c r="AG196" t="b">
        <f t="shared" si="127"/>
        <v>0</v>
      </c>
      <c r="AH196" t="b">
        <f t="shared" si="128"/>
        <v>0</v>
      </c>
      <c r="AJ196" t="b">
        <f t="shared" si="129"/>
        <v>0</v>
      </c>
      <c r="AK196" t="b">
        <f t="shared" si="130"/>
        <v>0</v>
      </c>
      <c r="AM196" t="str">
        <f>IF(ISBLANK('Dry_Litterbag Placem_Collection'!J195),"","G"&amp;""&amp;'Dry_Litterbag Placem_Collection'!J195)</f>
        <v>G257</v>
      </c>
      <c r="AN196" t="str">
        <f>IF(ISBLANK('Dry_Litterbag Placem_Collection'!K195),"","R"&amp;""&amp;'Dry_Litterbag Placem_Collection'!K195)</f>
        <v>R695</v>
      </c>
      <c r="AO196" t="b">
        <f t="shared" si="131"/>
        <v>0</v>
      </c>
      <c r="AP196" t="b">
        <f t="shared" si="132"/>
        <v>0</v>
      </c>
      <c r="AS196" t="str">
        <f>'Ashed teabags dry'!A194</f>
        <v>G370</v>
      </c>
      <c r="AT196" t="str">
        <f>'Ashed teabags dry'!A529</f>
        <v>R676</v>
      </c>
      <c r="AU196" t="b">
        <f t="shared" si="133"/>
        <v>0</v>
      </c>
      <c r="AV196" t="b">
        <f t="shared" si="156"/>
        <v>0</v>
      </c>
      <c r="AX196" s="388" t="b">
        <f t="shared" si="134"/>
        <v>0</v>
      </c>
      <c r="AY196" s="388" t="b">
        <f t="shared" si="135"/>
        <v>0</v>
      </c>
      <c r="BA196" t="str">
        <f>'Ashed teabags wet'!A194</f>
        <v>G613</v>
      </c>
      <c r="BB196" t="str">
        <f>'Ashed teabags wet'!A614</f>
        <v>R393</v>
      </c>
      <c r="BC196" t="b">
        <f t="shared" si="136"/>
        <v>0</v>
      </c>
      <c r="BD196" t="b">
        <f t="shared" ref="BD196:BD259" si="172">COUNTIF($BB$4:$BB$2000, BB196)&gt;1</f>
        <v>0</v>
      </c>
      <c r="BF196" t="str">
        <f t="shared" si="137"/>
        <v>G364</v>
      </c>
      <c r="BG196" t="str">
        <f t="shared" si="138"/>
        <v>G364</v>
      </c>
      <c r="BH196" t="str">
        <f t="shared" si="139"/>
        <v/>
      </c>
      <c r="BI196" t="str">
        <f t="shared" si="157"/>
        <v/>
      </c>
      <c r="BJ196" t="s">
        <v>1686</v>
      </c>
      <c r="BK196" t="s">
        <v>1686</v>
      </c>
      <c r="BL196" t="s">
        <v>1686</v>
      </c>
      <c r="BM196" t="b">
        <f t="shared" si="158"/>
        <v>1</v>
      </c>
      <c r="BN196" t="str">
        <f t="shared" si="140"/>
        <v>R675</v>
      </c>
      <c r="BO196" t="str">
        <f t="shared" si="141"/>
        <v>R675</v>
      </c>
      <c r="BP196" t="str">
        <f t="shared" si="142"/>
        <v/>
      </c>
      <c r="BQ196" t="str">
        <f t="shared" si="143"/>
        <v/>
      </c>
      <c r="BR196" t="s">
        <v>464</v>
      </c>
      <c r="BS196" t="s">
        <v>463</v>
      </c>
      <c r="BT196" t="s">
        <v>464</v>
      </c>
      <c r="BU196" t="b">
        <f t="shared" si="159"/>
        <v>1</v>
      </c>
      <c r="BZ196" t="str">
        <f t="shared" si="144"/>
        <v/>
      </c>
      <c r="CA196" t="b">
        <f t="shared" si="145"/>
        <v>0</v>
      </c>
      <c r="CB196" t="str">
        <f t="shared" si="160"/>
        <v/>
      </c>
      <c r="CC196" t="str">
        <f t="shared" si="146"/>
        <v/>
      </c>
      <c r="CD196" t="b">
        <f t="shared" si="161"/>
        <v>0</v>
      </c>
      <c r="CE196" t="str">
        <f t="shared" si="162"/>
        <v/>
      </c>
      <c r="CG196" t="str">
        <f t="shared" si="147"/>
        <v>G611</v>
      </c>
      <c r="CH196" t="str">
        <f t="shared" si="163"/>
        <v>G611</v>
      </c>
      <c r="CI196" t="str">
        <f t="shared" si="148"/>
        <v>G591</v>
      </c>
      <c r="CJ196" t="str">
        <f t="shared" si="149"/>
        <v>G591</v>
      </c>
      <c r="CK196" t="s">
        <v>1439</v>
      </c>
      <c r="CL196" t="s">
        <v>1439</v>
      </c>
      <c r="CM196" t="s">
        <v>1439</v>
      </c>
      <c r="CN196" t="b">
        <f t="shared" si="164"/>
        <v>1</v>
      </c>
      <c r="CO196" t="str">
        <f t="shared" si="150"/>
        <v>R392</v>
      </c>
      <c r="CP196" t="str">
        <f t="shared" si="165"/>
        <v>R392</v>
      </c>
      <c r="CQ196" t="str">
        <f t="shared" si="151"/>
        <v>R263</v>
      </c>
      <c r="CR196" t="str">
        <f t="shared" si="152"/>
        <v>R263</v>
      </c>
      <c r="CS196" t="s">
        <v>749</v>
      </c>
      <c r="CT196" t="s">
        <v>749</v>
      </c>
      <c r="CU196" t="s">
        <v>749</v>
      </c>
      <c r="CV196" t="b">
        <f t="shared" si="166"/>
        <v>1</v>
      </c>
      <c r="DC196" t="str">
        <f t="shared" si="153"/>
        <v>G591</v>
      </c>
      <c r="DD196" t="b">
        <f t="shared" si="167"/>
        <v>0</v>
      </c>
      <c r="DE196" t="str">
        <f t="shared" si="168"/>
        <v>G591</v>
      </c>
      <c r="DF196" t="str">
        <f t="shared" si="154"/>
        <v>R263</v>
      </c>
      <c r="DG196" t="b">
        <f t="shared" si="169"/>
        <v>0</v>
      </c>
      <c r="DH196" t="str">
        <f t="shared" si="170"/>
        <v>R263</v>
      </c>
    </row>
    <row r="197" spans="2:112" ht="12" customHeight="1">
      <c r="B197" t="str">
        <f>TBIDry!H269</f>
        <v>G148</v>
      </c>
      <c r="C197" t="str">
        <f>TBIDry!I269</f>
        <v>R653</v>
      </c>
      <c r="D197" t="b">
        <f t="shared" ref="D197:D260" si="173">COUNTIF($B$4:$B$2000, B197)&gt;1</f>
        <v>0</v>
      </c>
      <c r="E197" t="b">
        <f t="shared" ref="E197:E260" si="174">COUNTIF($C$4:$C$2000, C197)&gt;1</f>
        <v>0</v>
      </c>
      <c r="G197" t="str">
        <f>TBIWet!H269</f>
        <v>G615</v>
      </c>
      <c r="H197" t="str">
        <f>TBIWet!I269</f>
        <v>R289</v>
      </c>
      <c r="I197" t="b">
        <f t="shared" ref="I197:I260" si="175">COUNTIF($G$4:$G$2000, G197)&gt;1</f>
        <v>0</v>
      </c>
      <c r="J197" t="b">
        <f t="shared" ref="J197:J260" si="176">COUNTIF($H$4:$H$2000, H197)&gt;1</f>
        <v>0</v>
      </c>
      <c r="L197" t="str">
        <f>'Both teabags AfterWet'!A195</f>
        <v>G614</v>
      </c>
      <c r="M197" t="str">
        <f>'Both teabags AfterWet'!A615</f>
        <v>R395</v>
      </c>
      <c r="N197" t="b">
        <f t="shared" ref="N197:N260" si="177">COUNTIF($L$4:$L$2000, L197)&gt;1</f>
        <v>0</v>
      </c>
      <c r="O197" t="b">
        <f t="shared" si="171"/>
        <v>0</v>
      </c>
      <c r="Q197" s="388" t="b">
        <f t="shared" ref="Q197:Q260" si="178">COUNTIF($T$4:$T$2000, L197)=1</f>
        <v>0</v>
      </c>
      <c r="R197" s="388" t="b">
        <f t="shared" ref="R197:R260" si="179" xml:space="preserve"> COUNTIF($U$4:$U$2000,M197)=1</f>
        <v>0</v>
      </c>
      <c r="T197" t="str">
        <f>'Both teabags AfterDry'!A195</f>
        <v>G371</v>
      </c>
      <c r="U197" t="str">
        <f>'Both teabags AfterDry'!A530</f>
        <v>R677</v>
      </c>
      <c r="V197" t="b">
        <f t="shared" ref="V197:V260" si="180">COUNTIF($T$4:$T$2000, T197)&gt;1</f>
        <v>0</v>
      </c>
      <c r="W197" t="b">
        <f t="shared" si="155"/>
        <v>0</v>
      </c>
      <c r="Y197" t="str">
        <f>'Green_rooibos initial weight'!A198</f>
        <v>G194</v>
      </c>
      <c r="Z197" t="str">
        <f>'Green_rooibos initial weight'!A1102</f>
        <v>R194</v>
      </c>
      <c r="AA197" t="b">
        <f t="shared" ref="AA197:AA260" si="181">COUNTIF($Y$4:$Y$2000, Y197)&gt;1</f>
        <v>0</v>
      </c>
      <c r="AB197" t="b">
        <f t="shared" ref="AB197:AB260" si="182">COUNTIF($Z$4:$Z$2000, Z197)&gt;1</f>
        <v>0</v>
      </c>
      <c r="AE197" t="str">
        <f>'WetLitterbags placem_collection'!K196</f>
        <v>G615</v>
      </c>
      <c r="AF197" t="str">
        <f>'WetLitterbags placem_collection'!M196</f>
        <v>R289</v>
      </c>
      <c r="AG197" t="b">
        <f t="shared" ref="AG197:AG260" si="183">COUNTIF($AE$4:$AE$2000, AE197)&gt;1</f>
        <v>0</v>
      </c>
      <c r="AH197" t="b">
        <f t="shared" ref="AH197:AH260" si="184">COUNTIF($AF$4:$AF$2000, AF197)&gt;1</f>
        <v>0</v>
      </c>
      <c r="AJ197" t="b">
        <f t="shared" ref="AJ197:AJ260" si="185">COUNTIF($AM$4:$AM$2000, AE197)=1</f>
        <v>0</v>
      </c>
      <c r="AK197" t="b">
        <f t="shared" ref="AK197:AK260" si="186">COUNTIF($AN$4:$AN$2000, AF197)=1</f>
        <v>0</v>
      </c>
      <c r="AM197" t="str">
        <f>IF(ISBLANK('Dry_Litterbag Placem_Collection'!J196),"","G"&amp;""&amp;'Dry_Litterbag Placem_Collection'!J196)</f>
        <v>G148</v>
      </c>
      <c r="AN197" t="str">
        <f>IF(ISBLANK('Dry_Litterbag Placem_Collection'!K196),"","R"&amp;""&amp;'Dry_Litterbag Placem_Collection'!K196)</f>
        <v>R653</v>
      </c>
      <c r="AO197" t="b">
        <f t="shared" ref="AO197:AO260" si="187">COUNTIF($AM$4:$AM$2000, AM197)&gt;1</f>
        <v>0</v>
      </c>
      <c r="AP197" t="b">
        <f t="shared" ref="AP197:AP260" si="188">COUNTIF($AN$4:$AN$2000, AN197)&gt;1</f>
        <v>0</v>
      </c>
      <c r="AS197" t="str">
        <f>'Ashed teabags dry'!A195</f>
        <v>G371</v>
      </c>
      <c r="AT197" t="str">
        <f>'Ashed teabags dry'!A530</f>
        <v>R677</v>
      </c>
      <c r="AU197" t="b">
        <f t="shared" ref="AU197:AU260" si="189">COUNTIF($AS$4:$AS$2000, AS197)&gt;1</f>
        <v>0</v>
      </c>
      <c r="AV197" t="b">
        <f t="shared" si="156"/>
        <v>0</v>
      </c>
      <c r="AX197" s="388" t="b">
        <f t="shared" ref="AX197:AX260" si="190">COUNTIF($BA$4:$BA$2000, AS197)=1</f>
        <v>0</v>
      </c>
      <c r="AY197" s="388" t="b">
        <f t="shared" ref="AY197:AY260" si="191">COUNTIF($BB$4:$BB$2000, AT197)=1</f>
        <v>0</v>
      </c>
      <c r="BA197" t="str">
        <f>'Ashed teabags wet'!A195</f>
        <v>G614</v>
      </c>
      <c r="BB197" t="str">
        <f>'Ashed teabags wet'!A615</f>
        <v>R395</v>
      </c>
      <c r="BC197" t="b">
        <f t="shared" ref="BC197:BC260" si="192">COUNTIF($BA$4:$BA$2000, BA197)&gt;1</f>
        <v>0</v>
      </c>
      <c r="BD197" t="b">
        <f t="shared" si="172"/>
        <v>0</v>
      </c>
      <c r="BF197" t="str">
        <f t="shared" ref="BF197:BF260" si="193">AS196</f>
        <v>G370</v>
      </c>
      <c r="BG197" t="str">
        <f t="shared" ref="BG197:BG260" si="194">T196</f>
        <v>G370</v>
      </c>
      <c r="BH197" t="str">
        <f t="shared" ref="BH197:BH260" si="195">B196</f>
        <v>G257</v>
      </c>
      <c r="BI197" t="str">
        <f t="shared" si="157"/>
        <v>G257</v>
      </c>
      <c r="BJ197" t="s">
        <v>1680</v>
      </c>
      <c r="BK197" t="s">
        <v>1680</v>
      </c>
      <c r="BL197" t="s">
        <v>1680</v>
      </c>
      <c r="BM197" t="b">
        <f t="shared" si="158"/>
        <v>1</v>
      </c>
      <c r="BN197" t="str">
        <f t="shared" ref="BN197:BN260" si="196">AT196</f>
        <v>R676</v>
      </c>
      <c r="BO197" t="str">
        <f t="shared" ref="BO197:BO260" si="197">U196</f>
        <v>R676</v>
      </c>
      <c r="BP197" t="str">
        <f t="shared" ref="BP197:BP260" si="198">C196</f>
        <v>R695</v>
      </c>
      <c r="BQ197" t="str">
        <f t="shared" ref="BQ197:BQ260" si="199">CE197</f>
        <v>R695</v>
      </c>
      <c r="BR197" t="s">
        <v>463</v>
      </c>
      <c r="BS197" t="s">
        <v>462</v>
      </c>
      <c r="BT197" t="s">
        <v>463</v>
      </c>
      <c r="BU197" t="b">
        <f t="shared" si="159"/>
        <v>1</v>
      </c>
      <c r="BZ197" t="str">
        <f t="shared" ref="BZ197:BZ260" si="200">BH197</f>
        <v>G257</v>
      </c>
      <c r="CA197" t="b">
        <f t="shared" ref="CA197:CA260" si="201">COUNTIF($BV$5:$BV$2000, BZ197)=1</f>
        <v>0</v>
      </c>
      <c r="CB197" t="str">
        <f t="shared" si="160"/>
        <v>G257</v>
      </c>
      <c r="CC197" t="str">
        <f t="shared" ref="CC197:CC260" si="202">BP197</f>
        <v>R695</v>
      </c>
      <c r="CD197" t="b">
        <f t="shared" si="161"/>
        <v>0</v>
      </c>
      <c r="CE197" t="str">
        <f t="shared" si="162"/>
        <v>R695</v>
      </c>
      <c r="CG197" t="str">
        <f t="shared" ref="CG197:CG260" si="203">BA196</f>
        <v>G613</v>
      </c>
      <c r="CH197" t="str">
        <f t="shared" si="163"/>
        <v>G613</v>
      </c>
      <c r="CI197" t="str">
        <f t="shared" ref="CI197:CI260" si="204">AE196</f>
        <v>G863</v>
      </c>
      <c r="CJ197" t="str">
        <f t="shared" ref="CJ197:CJ260" si="205">DE197</f>
        <v>G863</v>
      </c>
      <c r="CK197" t="s">
        <v>1437</v>
      </c>
      <c r="CL197" t="s">
        <v>1437</v>
      </c>
      <c r="CM197" t="s">
        <v>1437</v>
      </c>
      <c r="CN197" t="b">
        <f t="shared" si="164"/>
        <v>1</v>
      </c>
      <c r="CO197" t="str">
        <f t="shared" ref="CO197:CO260" si="206">BB196</f>
        <v>R393</v>
      </c>
      <c r="CP197" t="str">
        <f t="shared" si="165"/>
        <v>R393</v>
      </c>
      <c r="CQ197" t="str">
        <f t="shared" ref="CQ197:CQ260" si="207">AF196</f>
        <v>R125</v>
      </c>
      <c r="CR197" t="str">
        <f t="shared" ref="CR197:CR260" si="208">DH197</f>
        <v>R125</v>
      </c>
      <c r="CS197" t="s">
        <v>748</v>
      </c>
      <c r="CT197" t="s">
        <v>748</v>
      </c>
      <c r="CU197" t="s">
        <v>748</v>
      </c>
      <c r="CV197" t="b">
        <f t="shared" si="166"/>
        <v>1</v>
      </c>
      <c r="DC197" t="str">
        <f t="shared" ref="DC197:DC260" si="209">CI197</f>
        <v>G863</v>
      </c>
      <c r="DD197" t="b">
        <f t="shared" si="167"/>
        <v>0</v>
      </c>
      <c r="DE197" t="str">
        <f t="shared" si="168"/>
        <v>G863</v>
      </c>
      <c r="DF197" t="str">
        <f t="shared" ref="DF197:DF260" si="210">CQ197</f>
        <v>R125</v>
      </c>
      <c r="DG197" t="b">
        <f t="shared" si="169"/>
        <v>0</v>
      </c>
      <c r="DH197" t="str">
        <f t="shared" si="170"/>
        <v>R125</v>
      </c>
    </row>
    <row r="198" spans="2:112" ht="12" customHeight="1">
      <c r="B198" t="str">
        <f>TBIDry!H270</f>
        <v>G105</v>
      </c>
      <c r="C198" t="str">
        <f>TBIDry!I270</f>
        <v>R389</v>
      </c>
      <c r="D198" t="b">
        <f t="shared" si="173"/>
        <v>0</v>
      </c>
      <c r="E198" t="b">
        <f t="shared" si="174"/>
        <v>0</v>
      </c>
      <c r="G198" t="str">
        <f>TBIWet!H270</f>
        <v>G821</v>
      </c>
      <c r="H198" t="str">
        <f>TBIWet!I270</f>
        <v>R378</v>
      </c>
      <c r="I198" t="b">
        <f t="shared" si="175"/>
        <v>0</v>
      </c>
      <c r="J198" t="b">
        <f t="shared" si="176"/>
        <v>0</v>
      </c>
      <c r="L198" t="str">
        <f>'Both teabags AfterWet'!A196</f>
        <v>G615</v>
      </c>
      <c r="M198" t="str">
        <f>'Both teabags AfterWet'!A616</f>
        <v>R396</v>
      </c>
      <c r="N198" t="b">
        <f t="shared" si="177"/>
        <v>0</v>
      </c>
      <c r="O198" t="b">
        <f t="shared" si="171"/>
        <v>0</v>
      </c>
      <c r="Q198" s="388" t="b">
        <f t="shared" si="178"/>
        <v>0</v>
      </c>
      <c r="R198" s="388" t="b">
        <f t="shared" si="179"/>
        <v>0</v>
      </c>
      <c r="T198" t="str">
        <f>'Both teabags AfterDry'!A196</f>
        <v>G372</v>
      </c>
      <c r="U198" t="str">
        <f>'Both teabags AfterDry'!A531</f>
        <v>R678</v>
      </c>
      <c r="V198" t="b">
        <f t="shared" si="180"/>
        <v>0</v>
      </c>
      <c r="W198" t="b">
        <f t="shared" ref="W198:W261" si="211">COUNTIF($U$4:$U$2000, U198)&gt;1</f>
        <v>0</v>
      </c>
      <c r="Y198" t="str">
        <f>'Green_rooibos initial weight'!A199</f>
        <v>G195</v>
      </c>
      <c r="Z198" t="str">
        <f>'Green_rooibos initial weight'!A1103</f>
        <v>R195</v>
      </c>
      <c r="AA198" t="b">
        <f t="shared" si="181"/>
        <v>0</v>
      </c>
      <c r="AB198" t="b">
        <f t="shared" si="182"/>
        <v>0</v>
      </c>
      <c r="AE198" t="str">
        <f>'WetLitterbags placem_collection'!K197</f>
        <v>G821</v>
      </c>
      <c r="AF198" t="str">
        <f>'WetLitterbags placem_collection'!M197</f>
        <v>R378</v>
      </c>
      <c r="AG198" t="b">
        <f t="shared" si="183"/>
        <v>0</v>
      </c>
      <c r="AH198" t="b">
        <f t="shared" si="184"/>
        <v>0</v>
      </c>
      <c r="AJ198" t="b">
        <f t="shared" si="185"/>
        <v>0</v>
      </c>
      <c r="AK198" t="b">
        <f t="shared" si="186"/>
        <v>0</v>
      </c>
      <c r="AM198" t="str">
        <f>IF(ISBLANK('Dry_Litterbag Placem_Collection'!J197),"","G"&amp;""&amp;'Dry_Litterbag Placem_Collection'!J197)</f>
        <v>G105</v>
      </c>
      <c r="AN198" t="str">
        <f>IF(ISBLANK('Dry_Litterbag Placem_Collection'!K197),"","R"&amp;""&amp;'Dry_Litterbag Placem_Collection'!K197)</f>
        <v>R389</v>
      </c>
      <c r="AO198" t="b">
        <f t="shared" si="187"/>
        <v>0</v>
      </c>
      <c r="AP198" t="b">
        <f t="shared" si="188"/>
        <v>0</v>
      </c>
      <c r="AS198" t="str">
        <f>'Ashed teabags dry'!A196</f>
        <v>G372</v>
      </c>
      <c r="AT198" t="str">
        <f>'Ashed teabags dry'!A531</f>
        <v>R678</v>
      </c>
      <c r="AU198" t="b">
        <f t="shared" si="189"/>
        <v>0</v>
      </c>
      <c r="AV198" t="b">
        <f t="shared" ref="AV198:AV261" si="212">COUNTIF($AT$4:$AT$2000, AT198)&gt;1</f>
        <v>0</v>
      </c>
      <c r="AX198" s="388" t="b">
        <f t="shared" si="190"/>
        <v>0</v>
      </c>
      <c r="AY198" s="388" t="b">
        <f t="shared" si="191"/>
        <v>0</v>
      </c>
      <c r="BA198" t="str">
        <f>'Ashed teabags wet'!A196</f>
        <v>G615</v>
      </c>
      <c r="BB198" t="str">
        <f>'Ashed teabags wet'!A616</f>
        <v>R396</v>
      </c>
      <c r="BC198" t="b">
        <f t="shared" si="192"/>
        <v>0</v>
      </c>
      <c r="BD198" t="b">
        <f t="shared" si="172"/>
        <v>0</v>
      </c>
      <c r="BF198" t="str">
        <f t="shared" si="193"/>
        <v>G371</v>
      </c>
      <c r="BG198" t="str">
        <f t="shared" si="194"/>
        <v>G371</v>
      </c>
      <c r="BH198" t="str">
        <f t="shared" si="195"/>
        <v>G148</v>
      </c>
      <c r="BI198" t="str">
        <f t="shared" ref="BI198:BI261" si="213">CB198</f>
        <v>G148</v>
      </c>
      <c r="BJ198" t="s">
        <v>1679</v>
      </c>
      <c r="BK198" t="s">
        <v>1679</v>
      </c>
      <c r="BL198" t="s">
        <v>1679</v>
      </c>
      <c r="BM198" t="b">
        <f t="shared" ref="BM198:BM261" si="214" xml:space="preserve"> COUNTIF($BJ$5:$BL$2000,BK198)=3</f>
        <v>1</v>
      </c>
      <c r="BN198" t="str">
        <f t="shared" si="196"/>
        <v>R677</v>
      </c>
      <c r="BO198" t="str">
        <f t="shared" si="197"/>
        <v>R677</v>
      </c>
      <c r="BP198" t="str">
        <f t="shared" si="198"/>
        <v>R653</v>
      </c>
      <c r="BQ198" t="str">
        <f t="shared" si="199"/>
        <v>R653</v>
      </c>
      <c r="BR198" t="s">
        <v>462</v>
      </c>
      <c r="BS198" t="s">
        <v>461</v>
      </c>
      <c r="BT198" t="s">
        <v>462</v>
      </c>
      <c r="BU198" t="b">
        <f t="shared" ref="BU198:BU261" si="215" xml:space="preserve"> COUNTIF($BR$5:$BT$2000,BS198)=3</f>
        <v>1</v>
      </c>
      <c r="BZ198" t="str">
        <f t="shared" si="200"/>
        <v>G148</v>
      </c>
      <c r="CA198" t="b">
        <f t="shared" si="201"/>
        <v>0</v>
      </c>
      <c r="CB198" t="str">
        <f t="shared" ref="CB198:CB261" si="216">IF(ISNUMBER(SEARCH("USANN",CA198)),BZ198,"")</f>
        <v>G148</v>
      </c>
      <c r="CC198" t="str">
        <f t="shared" si="202"/>
        <v>R653</v>
      </c>
      <c r="CD198" t="b">
        <f t="shared" ref="CD198:CD261" si="217">COUNTIF($BW$5:$BW$2000, CC198)=1</f>
        <v>0</v>
      </c>
      <c r="CE198" t="str">
        <f t="shared" ref="CE198:CE261" si="218">IF(ISNUMBER(SEARCH("USANN",CD198)),CC198,"")</f>
        <v>R653</v>
      </c>
      <c r="CG198" t="str">
        <f t="shared" si="203"/>
        <v>G614</v>
      </c>
      <c r="CH198" t="str">
        <f t="shared" ref="CH198:CH261" si="219">L197</f>
        <v>G614</v>
      </c>
      <c r="CI198" t="str">
        <f t="shared" si="204"/>
        <v>G615</v>
      </c>
      <c r="CJ198" t="str">
        <f t="shared" si="205"/>
        <v>G615</v>
      </c>
      <c r="CK198" t="s">
        <v>1436</v>
      </c>
      <c r="CL198" t="s">
        <v>1436</v>
      </c>
      <c r="CM198" t="s">
        <v>1436</v>
      </c>
      <c r="CN198" t="b">
        <f t="shared" ref="CN198:CN261" si="220" xml:space="preserve"> COUNTIF($CK$5:$CM$2000,CL198)=3</f>
        <v>1</v>
      </c>
      <c r="CO198" t="str">
        <f t="shared" si="206"/>
        <v>R395</v>
      </c>
      <c r="CP198" t="str">
        <f t="shared" ref="CP198:CP261" si="221">M197</f>
        <v>R395</v>
      </c>
      <c r="CQ198" t="str">
        <f t="shared" si="207"/>
        <v>R289</v>
      </c>
      <c r="CR198" t="str">
        <f t="shared" si="208"/>
        <v>R289</v>
      </c>
      <c r="CS198" t="s">
        <v>746</v>
      </c>
      <c r="CT198" t="s">
        <v>746</v>
      </c>
      <c r="CU198" t="s">
        <v>746</v>
      </c>
      <c r="CV198" t="b">
        <f t="shared" ref="CV198:CV261" si="222" xml:space="preserve"> COUNTIF($CS$5:$CU$2000,CT198)=3</f>
        <v>1</v>
      </c>
      <c r="DC198" t="str">
        <f t="shared" si="209"/>
        <v>G615</v>
      </c>
      <c r="DD198" t="b">
        <f t="shared" ref="DD198:DD261" si="223">COUNTIF($CW$5:$CW$2000, DC198)=1</f>
        <v>0</v>
      </c>
      <c r="DE198" t="str">
        <f t="shared" ref="DE198:DE261" si="224">IF(ISNUMBER(SEARCH("USANN",DD198)),DC198,"")</f>
        <v>G615</v>
      </c>
      <c r="DF198" t="str">
        <f t="shared" si="210"/>
        <v>R289</v>
      </c>
      <c r="DG198" t="b">
        <f t="shared" ref="DG198:DG261" si="225">COUNTIF($CY$5:$CY$2000, DF198)=1</f>
        <v>0</v>
      </c>
      <c r="DH198" t="str">
        <f t="shared" ref="DH198:DH261" si="226">IF(ISNUMBER(SEARCH("USANN",DG198)),DF198,"")</f>
        <v>R289</v>
      </c>
    </row>
    <row r="199" spans="2:112" ht="12" customHeight="1">
      <c r="B199" t="str">
        <f>TBIDry!H271</f>
        <v>G12</v>
      </c>
      <c r="C199" t="str">
        <f>TBIDry!I271</f>
        <v>R455</v>
      </c>
      <c r="D199" t="b">
        <f t="shared" si="173"/>
        <v>0</v>
      </c>
      <c r="E199" t="b">
        <f t="shared" si="174"/>
        <v>0</v>
      </c>
      <c r="G199" t="str">
        <f>TBIWet!H271</f>
        <v>G754</v>
      </c>
      <c r="H199" t="str">
        <f>TBIWet!I271</f>
        <v>R375</v>
      </c>
      <c r="I199" t="b">
        <f t="shared" si="175"/>
        <v>0</v>
      </c>
      <c r="J199" t="b">
        <f t="shared" si="176"/>
        <v>0</v>
      </c>
      <c r="L199" t="str">
        <f>'Both teabags AfterWet'!A197</f>
        <v>G616</v>
      </c>
      <c r="M199" t="str">
        <f>'Both teabags AfterWet'!A617</f>
        <v>R398</v>
      </c>
      <c r="N199" t="b">
        <f t="shared" si="177"/>
        <v>0</v>
      </c>
      <c r="O199" t="b">
        <f t="shared" ref="O199:O262" si="227">COUNTIF($M$4:$M$2000, M199)&gt;1</f>
        <v>0</v>
      </c>
      <c r="Q199" s="388" t="b">
        <f t="shared" si="178"/>
        <v>0</v>
      </c>
      <c r="R199" s="388" t="b">
        <f t="shared" si="179"/>
        <v>0</v>
      </c>
      <c r="T199" t="str">
        <f>'Both teabags AfterDry'!A197</f>
        <v>G377</v>
      </c>
      <c r="U199" t="str">
        <f>'Both teabags AfterDry'!A532</f>
        <v>R679</v>
      </c>
      <c r="V199" t="b">
        <f t="shared" si="180"/>
        <v>0</v>
      </c>
      <c r="W199" t="b">
        <f t="shared" si="211"/>
        <v>0</v>
      </c>
      <c r="Y199" t="str">
        <f>'Green_rooibos initial weight'!A200</f>
        <v>G196</v>
      </c>
      <c r="Z199" t="str">
        <f>'Green_rooibos initial weight'!A1104</f>
        <v>R196</v>
      </c>
      <c r="AA199" t="b">
        <f t="shared" si="181"/>
        <v>0</v>
      </c>
      <c r="AB199" t="b">
        <f t="shared" si="182"/>
        <v>0</v>
      </c>
      <c r="AE199" t="str">
        <f>'WetLitterbags placem_collection'!K198</f>
        <v>G754</v>
      </c>
      <c r="AF199" t="str">
        <f>'WetLitterbags placem_collection'!M198</f>
        <v>R375</v>
      </c>
      <c r="AG199" t="b">
        <f t="shared" si="183"/>
        <v>0</v>
      </c>
      <c r="AH199" t="b">
        <f t="shared" si="184"/>
        <v>0</v>
      </c>
      <c r="AJ199" t="b">
        <f t="shared" si="185"/>
        <v>0</v>
      </c>
      <c r="AK199" t="b">
        <f t="shared" si="186"/>
        <v>0</v>
      </c>
      <c r="AM199" t="str">
        <f>IF(ISBLANK('Dry_Litterbag Placem_Collection'!J198),"","G"&amp;""&amp;'Dry_Litterbag Placem_Collection'!J198)</f>
        <v>G12</v>
      </c>
      <c r="AN199" t="str">
        <f>IF(ISBLANK('Dry_Litterbag Placem_Collection'!K198),"","R"&amp;""&amp;'Dry_Litterbag Placem_Collection'!K198)</f>
        <v>R455</v>
      </c>
      <c r="AO199" t="b">
        <f t="shared" si="187"/>
        <v>0</v>
      </c>
      <c r="AP199" t="b">
        <f t="shared" si="188"/>
        <v>0</v>
      </c>
      <c r="AS199" t="str">
        <f>'Ashed teabags dry'!A197</f>
        <v>G377</v>
      </c>
      <c r="AT199" t="str">
        <f>'Ashed teabags dry'!A532</f>
        <v>R679</v>
      </c>
      <c r="AU199" t="b">
        <f t="shared" si="189"/>
        <v>0</v>
      </c>
      <c r="AV199" t="b">
        <f t="shared" si="212"/>
        <v>0</v>
      </c>
      <c r="AX199" s="388" t="b">
        <f t="shared" si="190"/>
        <v>0</v>
      </c>
      <c r="AY199" s="388" t="b">
        <f t="shared" si="191"/>
        <v>0</v>
      </c>
      <c r="BA199" t="str">
        <f>'Ashed teabags wet'!A197</f>
        <v>G616</v>
      </c>
      <c r="BB199" t="str">
        <f>'Ashed teabags wet'!A617</f>
        <v>R398</v>
      </c>
      <c r="BC199" t="b">
        <f t="shared" si="192"/>
        <v>0</v>
      </c>
      <c r="BD199" t="b">
        <f t="shared" si="172"/>
        <v>0</v>
      </c>
      <c r="BF199" t="str">
        <f t="shared" si="193"/>
        <v>G372</v>
      </c>
      <c r="BG199" t="str">
        <f t="shared" si="194"/>
        <v>G372</v>
      </c>
      <c r="BH199" t="str">
        <f t="shared" si="195"/>
        <v>G105</v>
      </c>
      <c r="BI199" t="str">
        <f t="shared" si="213"/>
        <v>G105</v>
      </c>
      <c r="BJ199" t="s">
        <v>1678</v>
      </c>
      <c r="BK199" t="s">
        <v>1678</v>
      </c>
      <c r="BL199" t="s">
        <v>1678</v>
      </c>
      <c r="BM199" t="b">
        <f t="shared" si="214"/>
        <v>1</v>
      </c>
      <c r="BN199" t="str">
        <f t="shared" si="196"/>
        <v>R678</v>
      </c>
      <c r="BO199" t="str">
        <f t="shared" si="197"/>
        <v>R678</v>
      </c>
      <c r="BP199" t="str">
        <f t="shared" si="198"/>
        <v>R389</v>
      </c>
      <c r="BQ199" t="str">
        <f t="shared" si="199"/>
        <v>R389</v>
      </c>
      <c r="BR199" t="s">
        <v>461</v>
      </c>
      <c r="BS199" t="s">
        <v>460</v>
      </c>
      <c r="BT199" t="s">
        <v>461</v>
      </c>
      <c r="BU199" t="b">
        <f t="shared" si="215"/>
        <v>1</v>
      </c>
      <c r="BZ199" t="str">
        <f t="shared" si="200"/>
        <v>G105</v>
      </c>
      <c r="CA199" t="b">
        <f t="shared" si="201"/>
        <v>0</v>
      </c>
      <c r="CB199" t="str">
        <f t="shared" si="216"/>
        <v>G105</v>
      </c>
      <c r="CC199" t="str">
        <f t="shared" si="202"/>
        <v>R389</v>
      </c>
      <c r="CD199" t="b">
        <f t="shared" si="217"/>
        <v>0</v>
      </c>
      <c r="CE199" t="str">
        <f t="shared" si="218"/>
        <v>R389</v>
      </c>
      <c r="CG199" t="str">
        <f t="shared" si="203"/>
        <v>G615</v>
      </c>
      <c r="CH199" t="str">
        <f t="shared" si="219"/>
        <v>G615</v>
      </c>
      <c r="CI199" t="str">
        <f t="shared" si="204"/>
        <v>G821</v>
      </c>
      <c r="CJ199" t="str">
        <f t="shared" si="205"/>
        <v>G821</v>
      </c>
      <c r="CK199" t="s">
        <v>1435</v>
      </c>
      <c r="CL199" t="s">
        <v>1435</v>
      </c>
      <c r="CM199" t="s">
        <v>1435</v>
      </c>
      <c r="CN199" t="b">
        <f t="shared" si="220"/>
        <v>1</v>
      </c>
      <c r="CO199" t="str">
        <f t="shared" si="206"/>
        <v>R396</v>
      </c>
      <c r="CP199" t="str">
        <f t="shared" si="221"/>
        <v>R396</v>
      </c>
      <c r="CQ199" t="str">
        <f t="shared" si="207"/>
        <v>R378</v>
      </c>
      <c r="CR199" t="str">
        <f t="shared" si="208"/>
        <v>R378</v>
      </c>
      <c r="CS199" t="s">
        <v>745</v>
      </c>
      <c r="CT199" t="s">
        <v>745</v>
      </c>
      <c r="CU199" t="s">
        <v>745</v>
      </c>
      <c r="CV199" t="b">
        <f t="shared" si="222"/>
        <v>1</v>
      </c>
      <c r="DC199" t="str">
        <f t="shared" si="209"/>
        <v>G821</v>
      </c>
      <c r="DD199" t="b">
        <f t="shared" si="223"/>
        <v>0</v>
      </c>
      <c r="DE199" t="str">
        <f t="shared" si="224"/>
        <v>G821</v>
      </c>
      <c r="DF199" t="str">
        <f t="shared" si="210"/>
        <v>R378</v>
      </c>
      <c r="DG199" t="b">
        <f t="shared" si="225"/>
        <v>0</v>
      </c>
      <c r="DH199" t="str">
        <f t="shared" si="226"/>
        <v>R378</v>
      </c>
    </row>
    <row r="200" spans="2:112" ht="12" customHeight="1">
      <c r="B200" t="str">
        <f>TBIDry!H272</f>
        <v>G399</v>
      </c>
      <c r="C200" t="str">
        <f>TBIDry!I272</f>
        <v>R692</v>
      </c>
      <c r="D200" t="b">
        <f t="shared" si="173"/>
        <v>0</v>
      </c>
      <c r="E200" t="b">
        <f t="shared" si="174"/>
        <v>0</v>
      </c>
      <c r="G200" t="str">
        <f>TBIWet!H272</f>
        <v>G715</v>
      </c>
      <c r="H200" t="str">
        <f>TBIWet!I272</f>
        <v>R219</v>
      </c>
      <c r="I200" t="b">
        <f t="shared" si="175"/>
        <v>0</v>
      </c>
      <c r="J200" t="b">
        <f t="shared" si="176"/>
        <v>0</v>
      </c>
      <c r="L200" t="str">
        <f>'Both teabags AfterWet'!A198</f>
        <v>G618</v>
      </c>
      <c r="M200" t="str">
        <f>'Both teabags AfterWet'!A618</f>
        <v>R4</v>
      </c>
      <c r="N200" t="b">
        <f t="shared" si="177"/>
        <v>0</v>
      </c>
      <c r="O200" t="b">
        <f t="shared" si="227"/>
        <v>0</v>
      </c>
      <c r="Q200" s="388" t="b">
        <f t="shared" si="178"/>
        <v>0</v>
      </c>
      <c r="R200" s="388" t="b">
        <f t="shared" si="179"/>
        <v>0</v>
      </c>
      <c r="T200" t="str">
        <f>'Both teabags AfterDry'!A198</f>
        <v>G379</v>
      </c>
      <c r="U200" t="str">
        <f>'Both teabags AfterDry'!A533</f>
        <v>R680</v>
      </c>
      <c r="V200" t="b">
        <f t="shared" si="180"/>
        <v>0</v>
      </c>
      <c r="W200" t="b">
        <f t="shared" si="211"/>
        <v>0</v>
      </c>
      <c r="Y200" t="str">
        <f>'Green_rooibos initial weight'!A201</f>
        <v>G197</v>
      </c>
      <c r="Z200" t="str">
        <f>'Green_rooibos initial weight'!A1105</f>
        <v>R197</v>
      </c>
      <c r="AA200" t="b">
        <f t="shared" si="181"/>
        <v>0</v>
      </c>
      <c r="AB200" t="b">
        <f t="shared" si="182"/>
        <v>0</v>
      </c>
      <c r="AE200" t="str">
        <f>'WetLitterbags placem_collection'!K199</f>
        <v>G715</v>
      </c>
      <c r="AF200" t="str">
        <f>'WetLitterbags placem_collection'!M199</f>
        <v>R219</v>
      </c>
      <c r="AG200" t="b">
        <f t="shared" si="183"/>
        <v>0</v>
      </c>
      <c r="AH200" t="b">
        <f t="shared" si="184"/>
        <v>0</v>
      </c>
      <c r="AJ200" t="b">
        <f t="shared" si="185"/>
        <v>0</v>
      </c>
      <c r="AK200" t="b">
        <f t="shared" si="186"/>
        <v>0</v>
      </c>
      <c r="AM200" t="str">
        <f>IF(ISBLANK('Dry_Litterbag Placem_Collection'!J199),"","G"&amp;""&amp;'Dry_Litterbag Placem_Collection'!J199)</f>
        <v>G399</v>
      </c>
      <c r="AN200" t="str">
        <f>IF(ISBLANK('Dry_Litterbag Placem_Collection'!K199),"","R"&amp;""&amp;'Dry_Litterbag Placem_Collection'!K199)</f>
        <v>R692</v>
      </c>
      <c r="AO200" t="b">
        <f t="shared" si="187"/>
        <v>0</v>
      </c>
      <c r="AP200" t="b">
        <f t="shared" si="188"/>
        <v>0</v>
      </c>
      <c r="AS200" t="str">
        <f>'Ashed teabags dry'!A198</f>
        <v>G379</v>
      </c>
      <c r="AT200" t="str">
        <f>'Ashed teabags dry'!A533</f>
        <v>R680</v>
      </c>
      <c r="AU200" t="b">
        <f t="shared" si="189"/>
        <v>0</v>
      </c>
      <c r="AV200" t="b">
        <f t="shared" si="212"/>
        <v>0</v>
      </c>
      <c r="AX200" s="388" t="b">
        <f t="shared" si="190"/>
        <v>0</v>
      </c>
      <c r="AY200" s="388" t="b">
        <f t="shared" si="191"/>
        <v>0</v>
      </c>
      <c r="BA200" t="str">
        <f>'Ashed teabags wet'!A198</f>
        <v>G618</v>
      </c>
      <c r="BB200" t="str">
        <f>'Ashed teabags wet'!A618</f>
        <v>R4</v>
      </c>
      <c r="BC200" t="b">
        <f t="shared" si="192"/>
        <v>0</v>
      </c>
      <c r="BD200" t="b">
        <f t="shared" si="172"/>
        <v>0</v>
      </c>
      <c r="BF200" t="str">
        <f t="shared" si="193"/>
        <v>G377</v>
      </c>
      <c r="BG200" t="str">
        <f t="shared" si="194"/>
        <v>G377</v>
      </c>
      <c r="BH200" t="str">
        <f t="shared" si="195"/>
        <v>G12</v>
      </c>
      <c r="BI200" t="str">
        <f t="shared" si="213"/>
        <v>G12</v>
      </c>
      <c r="BJ200" t="s">
        <v>1673</v>
      </c>
      <c r="BK200" t="s">
        <v>1673</v>
      </c>
      <c r="BL200" t="s">
        <v>1673</v>
      </c>
      <c r="BM200" t="b">
        <f t="shared" si="214"/>
        <v>1</v>
      </c>
      <c r="BN200" t="str">
        <f t="shared" si="196"/>
        <v>R679</v>
      </c>
      <c r="BO200" t="str">
        <f t="shared" si="197"/>
        <v>R679</v>
      </c>
      <c r="BP200" t="str">
        <f t="shared" si="198"/>
        <v>R455</v>
      </c>
      <c r="BQ200" t="str">
        <f t="shared" si="199"/>
        <v>R455</v>
      </c>
      <c r="BR200" t="s">
        <v>460</v>
      </c>
      <c r="BS200" t="s">
        <v>459</v>
      </c>
      <c r="BT200" t="s">
        <v>460</v>
      </c>
      <c r="BU200" t="b">
        <f t="shared" si="215"/>
        <v>1</v>
      </c>
      <c r="BZ200" t="str">
        <f t="shared" si="200"/>
        <v>G12</v>
      </c>
      <c r="CA200" t="b">
        <f t="shared" si="201"/>
        <v>0</v>
      </c>
      <c r="CB200" t="str">
        <f t="shared" si="216"/>
        <v>G12</v>
      </c>
      <c r="CC200" t="str">
        <f t="shared" si="202"/>
        <v>R455</v>
      </c>
      <c r="CD200" t="b">
        <f t="shared" si="217"/>
        <v>0</v>
      </c>
      <c r="CE200" t="str">
        <f t="shared" si="218"/>
        <v>R455</v>
      </c>
      <c r="CG200" t="str">
        <f t="shared" si="203"/>
        <v>G616</v>
      </c>
      <c r="CH200" t="str">
        <f t="shared" si="219"/>
        <v>G616</v>
      </c>
      <c r="CI200" t="str">
        <f t="shared" si="204"/>
        <v>G754</v>
      </c>
      <c r="CJ200" t="str">
        <f t="shared" si="205"/>
        <v>G754</v>
      </c>
      <c r="CK200" t="s">
        <v>1434</v>
      </c>
      <c r="CL200" t="s">
        <v>1434</v>
      </c>
      <c r="CM200" t="s">
        <v>1434</v>
      </c>
      <c r="CN200" t="b">
        <f t="shared" si="220"/>
        <v>1</v>
      </c>
      <c r="CO200" t="str">
        <f t="shared" si="206"/>
        <v>R398</v>
      </c>
      <c r="CP200" t="str">
        <f t="shared" si="221"/>
        <v>R398</v>
      </c>
      <c r="CQ200" t="str">
        <f t="shared" si="207"/>
        <v>R375</v>
      </c>
      <c r="CR200" t="str">
        <f t="shared" si="208"/>
        <v>R375</v>
      </c>
      <c r="CS200" t="s">
        <v>743</v>
      </c>
      <c r="CT200" t="s">
        <v>743</v>
      </c>
      <c r="CU200" t="s">
        <v>743</v>
      </c>
      <c r="CV200" t="b">
        <f t="shared" si="222"/>
        <v>1</v>
      </c>
      <c r="DC200" t="str">
        <f t="shared" si="209"/>
        <v>G754</v>
      </c>
      <c r="DD200" t="b">
        <f t="shared" si="223"/>
        <v>0</v>
      </c>
      <c r="DE200" t="str">
        <f t="shared" si="224"/>
        <v>G754</v>
      </c>
      <c r="DF200" t="str">
        <f t="shared" si="210"/>
        <v>R375</v>
      </c>
      <c r="DG200" t="b">
        <f t="shared" si="225"/>
        <v>0</v>
      </c>
      <c r="DH200" t="str">
        <f t="shared" si="226"/>
        <v>R375</v>
      </c>
    </row>
    <row r="201" spans="2:112" ht="12" customHeight="1">
      <c r="B201" t="str">
        <f>TBIDry!H273</f>
        <v>G27</v>
      </c>
      <c r="C201" t="str">
        <f>TBIDry!I273</f>
        <v>R352</v>
      </c>
      <c r="D201" t="b">
        <f t="shared" si="173"/>
        <v>0</v>
      </c>
      <c r="E201" t="b">
        <f t="shared" si="174"/>
        <v>0</v>
      </c>
      <c r="G201" t="str">
        <f>TBIWet!H273</f>
        <v>G785</v>
      </c>
      <c r="H201" t="str">
        <f>TBIWet!I273</f>
        <v>R463</v>
      </c>
      <c r="I201" t="b">
        <f t="shared" si="175"/>
        <v>0</v>
      </c>
      <c r="J201" t="b">
        <f t="shared" si="176"/>
        <v>0</v>
      </c>
      <c r="L201" t="str">
        <f>'Both teabags AfterWet'!A199</f>
        <v>G619</v>
      </c>
      <c r="M201" t="str">
        <f>'Both teabags AfterWet'!A619</f>
        <v>R40</v>
      </c>
      <c r="N201" t="b">
        <f t="shared" si="177"/>
        <v>0</v>
      </c>
      <c r="O201" t="b">
        <f t="shared" si="227"/>
        <v>0</v>
      </c>
      <c r="Q201" s="388" t="b">
        <f t="shared" si="178"/>
        <v>0</v>
      </c>
      <c r="R201" s="388" t="b">
        <f t="shared" si="179"/>
        <v>0</v>
      </c>
      <c r="T201" t="str">
        <f>'Both teabags AfterDry'!A199</f>
        <v>G38</v>
      </c>
      <c r="U201" t="str">
        <f>'Both teabags AfterDry'!A534</f>
        <v>R681</v>
      </c>
      <c r="V201" t="b">
        <f t="shared" si="180"/>
        <v>0</v>
      </c>
      <c r="W201" t="b">
        <f t="shared" si="211"/>
        <v>0</v>
      </c>
      <c r="Y201" t="str">
        <f>'Green_rooibos initial weight'!A202</f>
        <v>G198</v>
      </c>
      <c r="Z201" t="str">
        <f>'Green_rooibos initial weight'!A1106</f>
        <v>R198</v>
      </c>
      <c r="AA201" t="b">
        <f t="shared" si="181"/>
        <v>0</v>
      </c>
      <c r="AB201" t="b">
        <f t="shared" si="182"/>
        <v>0</v>
      </c>
      <c r="AE201" t="str">
        <f>'WetLitterbags placem_collection'!K200</f>
        <v>G785</v>
      </c>
      <c r="AF201" t="str">
        <f>'WetLitterbags placem_collection'!M200</f>
        <v>R463</v>
      </c>
      <c r="AG201" t="b">
        <f t="shared" si="183"/>
        <v>0</v>
      </c>
      <c r="AH201" t="b">
        <f t="shared" si="184"/>
        <v>0</v>
      </c>
      <c r="AJ201" t="b">
        <f t="shared" si="185"/>
        <v>0</v>
      </c>
      <c r="AK201" t="b">
        <f t="shared" si="186"/>
        <v>0</v>
      </c>
      <c r="AM201" t="str">
        <f>IF(ISBLANK('Dry_Litterbag Placem_Collection'!J200),"","G"&amp;""&amp;'Dry_Litterbag Placem_Collection'!J200)</f>
        <v>G27</v>
      </c>
      <c r="AN201" t="str">
        <f>IF(ISBLANK('Dry_Litterbag Placem_Collection'!K200),"","R"&amp;""&amp;'Dry_Litterbag Placem_Collection'!K200)</f>
        <v>R352</v>
      </c>
      <c r="AO201" t="b">
        <f t="shared" si="187"/>
        <v>0</v>
      </c>
      <c r="AP201" t="b">
        <f t="shared" si="188"/>
        <v>0</v>
      </c>
      <c r="AS201" t="str">
        <f>'Ashed teabags dry'!A199</f>
        <v>G38</v>
      </c>
      <c r="AT201" t="str">
        <f>'Ashed teabags dry'!A534</f>
        <v>R681</v>
      </c>
      <c r="AU201" t="b">
        <f t="shared" si="189"/>
        <v>0</v>
      </c>
      <c r="AV201" t="b">
        <f t="shared" si="212"/>
        <v>0</v>
      </c>
      <c r="AX201" s="388" t="b">
        <f t="shared" si="190"/>
        <v>0</v>
      </c>
      <c r="AY201" s="388" t="b">
        <f t="shared" si="191"/>
        <v>0</v>
      </c>
      <c r="BA201" t="str">
        <f>'Ashed teabags wet'!A199</f>
        <v>G619</v>
      </c>
      <c r="BB201" t="str">
        <f>'Ashed teabags wet'!A619</f>
        <v>R40</v>
      </c>
      <c r="BC201" t="b">
        <f t="shared" si="192"/>
        <v>0</v>
      </c>
      <c r="BD201" t="b">
        <f t="shared" si="172"/>
        <v>0</v>
      </c>
      <c r="BF201" t="str">
        <f t="shared" si="193"/>
        <v>G379</v>
      </c>
      <c r="BG201" t="str">
        <f t="shared" si="194"/>
        <v>G379</v>
      </c>
      <c r="BH201" t="str">
        <f t="shared" si="195"/>
        <v>G399</v>
      </c>
      <c r="BI201" t="str">
        <f t="shared" si="213"/>
        <v>G399</v>
      </c>
      <c r="BJ201" t="s">
        <v>1671</v>
      </c>
      <c r="BK201" t="s">
        <v>1671</v>
      </c>
      <c r="BL201" t="s">
        <v>1671</v>
      </c>
      <c r="BM201" t="b">
        <f t="shared" si="214"/>
        <v>1</v>
      </c>
      <c r="BN201" t="str">
        <f t="shared" si="196"/>
        <v>R680</v>
      </c>
      <c r="BO201" t="str">
        <f t="shared" si="197"/>
        <v>R680</v>
      </c>
      <c r="BP201" t="str">
        <f t="shared" si="198"/>
        <v>R692</v>
      </c>
      <c r="BQ201" t="str">
        <f t="shared" si="199"/>
        <v>R692</v>
      </c>
      <c r="BR201" t="s">
        <v>459</v>
      </c>
      <c r="BS201" t="s">
        <v>458</v>
      </c>
      <c r="BT201" t="s">
        <v>459</v>
      </c>
      <c r="BU201" t="b">
        <f t="shared" si="215"/>
        <v>1</v>
      </c>
      <c r="BZ201" t="str">
        <f t="shared" si="200"/>
        <v>G399</v>
      </c>
      <c r="CA201" t="b">
        <f t="shared" si="201"/>
        <v>0</v>
      </c>
      <c r="CB201" t="str">
        <f t="shared" si="216"/>
        <v>G399</v>
      </c>
      <c r="CC201" t="str">
        <f t="shared" si="202"/>
        <v>R692</v>
      </c>
      <c r="CD201" t="b">
        <f t="shared" si="217"/>
        <v>0</v>
      </c>
      <c r="CE201" t="str">
        <f t="shared" si="218"/>
        <v>R692</v>
      </c>
      <c r="CG201" t="str">
        <f t="shared" si="203"/>
        <v>G618</v>
      </c>
      <c r="CH201" t="str">
        <f t="shared" si="219"/>
        <v>G618</v>
      </c>
      <c r="CI201" t="str">
        <f t="shared" si="204"/>
        <v>G715</v>
      </c>
      <c r="CJ201" t="str">
        <f t="shared" si="205"/>
        <v>G715</v>
      </c>
      <c r="CK201" t="s">
        <v>1432</v>
      </c>
      <c r="CL201" t="s">
        <v>1432</v>
      </c>
      <c r="CM201" t="s">
        <v>1432</v>
      </c>
      <c r="CN201" t="b">
        <f t="shared" si="220"/>
        <v>1</v>
      </c>
      <c r="CO201" t="str">
        <f t="shared" si="206"/>
        <v>R4</v>
      </c>
      <c r="CP201" t="str">
        <f t="shared" si="221"/>
        <v>R4</v>
      </c>
      <c r="CQ201" t="str">
        <f t="shared" si="207"/>
        <v>R219</v>
      </c>
      <c r="CR201" t="str">
        <f t="shared" si="208"/>
        <v>R219</v>
      </c>
      <c r="CS201" t="s">
        <v>1137</v>
      </c>
      <c r="CT201" t="s">
        <v>1137</v>
      </c>
      <c r="CU201" t="s">
        <v>1137</v>
      </c>
      <c r="CV201" t="b">
        <f t="shared" si="222"/>
        <v>1</v>
      </c>
      <c r="DC201" t="str">
        <f t="shared" si="209"/>
        <v>G715</v>
      </c>
      <c r="DD201" t="b">
        <f t="shared" si="223"/>
        <v>0</v>
      </c>
      <c r="DE201" t="str">
        <f t="shared" si="224"/>
        <v>G715</v>
      </c>
      <c r="DF201" t="str">
        <f t="shared" si="210"/>
        <v>R219</v>
      </c>
      <c r="DG201" t="b">
        <f t="shared" si="225"/>
        <v>0</v>
      </c>
      <c r="DH201" t="str">
        <f t="shared" si="226"/>
        <v>R219</v>
      </c>
    </row>
    <row r="202" spans="2:112" ht="12" customHeight="1">
      <c r="B202" t="str">
        <f>TBIDry!H274</f>
        <v>G224</v>
      </c>
      <c r="C202" t="str">
        <f>TBIDry!I274</f>
        <v>R327</v>
      </c>
      <c r="D202" t="b">
        <f t="shared" si="173"/>
        <v>0</v>
      </c>
      <c r="E202" t="b">
        <f t="shared" si="174"/>
        <v>0</v>
      </c>
      <c r="G202" t="str">
        <f>TBIWet!H274</f>
        <v>G877</v>
      </c>
      <c r="H202" t="str">
        <f>TBIWet!I274</f>
        <v>R339</v>
      </c>
      <c r="I202" t="b">
        <f t="shared" si="175"/>
        <v>0</v>
      </c>
      <c r="J202" t="b">
        <f t="shared" si="176"/>
        <v>0</v>
      </c>
      <c r="L202" t="str">
        <f>'Both teabags AfterWet'!A200</f>
        <v>G620</v>
      </c>
      <c r="M202" t="str">
        <f>'Both teabags AfterWet'!A620</f>
        <v>R403</v>
      </c>
      <c r="N202" t="b">
        <f t="shared" si="177"/>
        <v>0</v>
      </c>
      <c r="O202" t="b">
        <f t="shared" si="227"/>
        <v>0</v>
      </c>
      <c r="Q202" s="388" t="b">
        <f t="shared" si="178"/>
        <v>0</v>
      </c>
      <c r="R202" s="388" t="b">
        <f t="shared" si="179"/>
        <v>0</v>
      </c>
      <c r="T202" t="str">
        <f>'Both teabags AfterDry'!A200</f>
        <v>G380</v>
      </c>
      <c r="U202" t="str">
        <f>'Both teabags AfterDry'!A535</f>
        <v>R682</v>
      </c>
      <c r="V202" t="b">
        <f t="shared" si="180"/>
        <v>0</v>
      </c>
      <c r="W202" t="b">
        <f t="shared" si="211"/>
        <v>0</v>
      </c>
      <c r="Y202" t="str">
        <f>'Green_rooibos initial weight'!A203</f>
        <v>G199</v>
      </c>
      <c r="Z202" t="str">
        <f>'Green_rooibos initial weight'!A1107</f>
        <v>R199</v>
      </c>
      <c r="AA202" t="b">
        <f t="shared" si="181"/>
        <v>0</v>
      </c>
      <c r="AB202" t="b">
        <f t="shared" si="182"/>
        <v>0</v>
      </c>
      <c r="AE202" t="str">
        <f>'WetLitterbags placem_collection'!K201</f>
        <v>G877</v>
      </c>
      <c r="AF202" t="str">
        <f>'WetLitterbags placem_collection'!M201</f>
        <v>R339</v>
      </c>
      <c r="AG202" t="b">
        <f t="shared" si="183"/>
        <v>0</v>
      </c>
      <c r="AH202" t="b">
        <f t="shared" si="184"/>
        <v>0</v>
      </c>
      <c r="AJ202" t="b">
        <f t="shared" si="185"/>
        <v>0</v>
      </c>
      <c r="AK202" t="b">
        <f t="shared" si="186"/>
        <v>0</v>
      </c>
      <c r="AM202" t="str">
        <f>IF(ISBLANK('Dry_Litterbag Placem_Collection'!J201),"","G"&amp;""&amp;'Dry_Litterbag Placem_Collection'!J201)</f>
        <v>G224</v>
      </c>
      <c r="AN202" t="str">
        <f>IF(ISBLANK('Dry_Litterbag Placem_Collection'!K201),"","R"&amp;""&amp;'Dry_Litterbag Placem_Collection'!K201)</f>
        <v>R327</v>
      </c>
      <c r="AO202" t="b">
        <f t="shared" si="187"/>
        <v>0</v>
      </c>
      <c r="AP202" t="b">
        <f t="shared" si="188"/>
        <v>0</v>
      </c>
      <c r="AS202" t="str">
        <f>'Ashed teabags dry'!A200</f>
        <v>G380</v>
      </c>
      <c r="AT202" t="str">
        <f>'Ashed teabags dry'!A535</f>
        <v>R682</v>
      </c>
      <c r="AU202" t="b">
        <f t="shared" si="189"/>
        <v>0</v>
      </c>
      <c r="AV202" t="b">
        <f t="shared" si="212"/>
        <v>0</v>
      </c>
      <c r="AX202" s="388" t="b">
        <f t="shared" si="190"/>
        <v>0</v>
      </c>
      <c r="AY202" s="388" t="b">
        <f t="shared" si="191"/>
        <v>0</v>
      </c>
      <c r="BA202" t="str">
        <f>'Ashed teabags wet'!A200</f>
        <v>G620</v>
      </c>
      <c r="BB202" t="str">
        <f>'Ashed teabags wet'!A620</f>
        <v>R403</v>
      </c>
      <c r="BC202" t="b">
        <f t="shared" si="192"/>
        <v>0</v>
      </c>
      <c r="BD202" t="b">
        <f t="shared" si="172"/>
        <v>0</v>
      </c>
      <c r="BF202" t="str">
        <f t="shared" si="193"/>
        <v>G38</v>
      </c>
      <c r="BG202" t="str">
        <f t="shared" si="194"/>
        <v>G38</v>
      </c>
      <c r="BH202" t="str">
        <f t="shared" si="195"/>
        <v>G27</v>
      </c>
      <c r="BI202" t="str">
        <f t="shared" si="213"/>
        <v>G27</v>
      </c>
      <c r="BJ202" t="s">
        <v>2012</v>
      </c>
      <c r="BK202" t="s">
        <v>2012</v>
      </c>
      <c r="BL202" t="s">
        <v>2012</v>
      </c>
      <c r="BM202" t="b">
        <f t="shared" si="214"/>
        <v>1</v>
      </c>
      <c r="BN202" t="str">
        <f t="shared" si="196"/>
        <v>R681</v>
      </c>
      <c r="BO202" t="str">
        <f t="shared" si="197"/>
        <v>R681</v>
      </c>
      <c r="BP202" t="str">
        <f t="shared" si="198"/>
        <v>R352</v>
      </c>
      <c r="BQ202" t="str">
        <f t="shared" si="199"/>
        <v>R352</v>
      </c>
      <c r="BR202" t="s">
        <v>458</v>
      </c>
      <c r="BS202" t="s">
        <v>457</v>
      </c>
      <c r="BT202" t="s">
        <v>458</v>
      </c>
      <c r="BU202" t="b">
        <f t="shared" si="215"/>
        <v>1</v>
      </c>
      <c r="BZ202" t="str">
        <f t="shared" si="200"/>
        <v>G27</v>
      </c>
      <c r="CA202" t="b">
        <f t="shared" si="201"/>
        <v>0</v>
      </c>
      <c r="CB202" t="str">
        <f t="shared" si="216"/>
        <v>G27</v>
      </c>
      <c r="CC202" t="str">
        <f t="shared" si="202"/>
        <v>R352</v>
      </c>
      <c r="CD202" t="b">
        <f t="shared" si="217"/>
        <v>0</v>
      </c>
      <c r="CE202" t="str">
        <f t="shared" si="218"/>
        <v>R352</v>
      </c>
      <c r="CG202" t="str">
        <f t="shared" si="203"/>
        <v>G619</v>
      </c>
      <c r="CH202" t="str">
        <f t="shared" si="219"/>
        <v>G619</v>
      </c>
      <c r="CI202" t="str">
        <f t="shared" si="204"/>
        <v>G785</v>
      </c>
      <c r="CJ202" t="str">
        <f t="shared" si="205"/>
        <v>G785</v>
      </c>
      <c r="CK202" t="s">
        <v>1431</v>
      </c>
      <c r="CL202" t="s">
        <v>1431</v>
      </c>
      <c r="CM202" t="s">
        <v>1431</v>
      </c>
      <c r="CN202" t="b">
        <f t="shared" si="220"/>
        <v>1</v>
      </c>
      <c r="CO202" t="str">
        <f t="shared" si="206"/>
        <v>R40</v>
      </c>
      <c r="CP202" t="str">
        <f t="shared" si="221"/>
        <v>R40</v>
      </c>
      <c r="CQ202" t="str">
        <f t="shared" si="207"/>
        <v>R463</v>
      </c>
      <c r="CR202" t="str">
        <f t="shared" si="208"/>
        <v>R463</v>
      </c>
      <c r="CS202" t="s">
        <v>1101</v>
      </c>
      <c r="CT202" t="s">
        <v>1101</v>
      </c>
      <c r="CU202" t="s">
        <v>1101</v>
      </c>
      <c r="CV202" t="b">
        <f t="shared" si="222"/>
        <v>1</v>
      </c>
      <c r="DC202" t="str">
        <f t="shared" si="209"/>
        <v>G785</v>
      </c>
      <c r="DD202" t="b">
        <f t="shared" si="223"/>
        <v>0</v>
      </c>
      <c r="DE202" t="str">
        <f t="shared" si="224"/>
        <v>G785</v>
      </c>
      <c r="DF202" t="str">
        <f t="shared" si="210"/>
        <v>R463</v>
      </c>
      <c r="DG202" t="b">
        <f t="shared" si="225"/>
        <v>0</v>
      </c>
      <c r="DH202" t="str">
        <f t="shared" si="226"/>
        <v>R463</v>
      </c>
    </row>
    <row r="203" spans="2:112" ht="12" customHeight="1">
      <c r="B203" t="str">
        <f>TBIDry!H275</f>
        <v>G158</v>
      </c>
      <c r="C203" t="str">
        <f>TBIDry!I275</f>
        <v>R75</v>
      </c>
      <c r="D203" t="b">
        <f t="shared" si="173"/>
        <v>0</v>
      </c>
      <c r="E203" t="b">
        <f t="shared" si="174"/>
        <v>0</v>
      </c>
      <c r="G203" t="str">
        <f>TBIWet!H275</f>
        <v>G816</v>
      </c>
      <c r="H203" t="str">
        <f>TBIWet!I275</f>
        <v>R303</v>
      </c>
      <c r="I203" t="b">
        <f t="shared" si="175"/>
        <v>0</v>
      </c>
      <c r="J203" t="b">
        <f t="shared" si="176"/>
        <v>0</v>
      </c>
      <c r="L203" t="str">
        <f>'Both teabags AfterWet'!A201</f>
        <v>G621</v>
      </c>
      <c r="M203" t="str">
        <f>'Both teabags AfterWet'!A621</f>
        <v>R404</v>
      </c>
      <c r="N203" t="b">
        <f t="shared" si="177"/>
        <v>0</v>
      </c>
      <c r="O203" t="b">
        <f t="shared" si="227"/>
        <v>0</v>
      </c>
      <c r="Q203" s="388" t="b">
        <f t="shared" si="178"/>
        <v>0</v>
      </c>
      <c r="R203" s="388" t="b">
        <f t="shared" si="179"/>
        <v>0</v>
      </c>
      <c r="T203" t="str">
        <f>'Both teabags AfterDry'!A201</f>
        <v>G382</v>
      </c>
      <c r="U203" t="str">
        <f>'Both teabags AfterDry'!A536</f>
        <v>R684</v>
      </c>
      <c r="V203" t="b">
        <f t="shared" si="180"/>
        <v>0</v>
      </c>
      <c r="W203" t="b">
        <f t="shared" si="211"/>
        <v>0</v>
      </c>
      <c r="Y203" t="str">
        <f>'Green_rooibos initial weight'!A204</f>
        <v>G200</v>
      </c>
      <c r="Z203" t="str">
        <f>'Green_rooibos initial weight'!A1108</f>
        <v>R200</v>
      </c>
      <c r="AA203" t="b">
        <f t="shared" si="181"/>
        <v>0</v>
      </c>
      <c r="AB203" t="b">
        <f t="shared" si="182"/>
        <v>0</v>
      </c>
      <c r="AE203" t="str">
        <f>'WetLitterbags placem_collection'!K202</f>
        <v>G816</v>
      </c>
      <c r="AF203" t="str">
        <f>'WetLitterbags placem_collection'!M202</f>
        <v>R303</v>
      </c>
      <c r="AG203" t="b">
        <f t="shared" si="183"/>
        <v>0</v>
      </c>
      <c r="AH203" t="b">
        <f t="shared" si="184"/>
        <v>0</v>
      </c>
      <c r="AJ203" t="b">
        <f t="shared" si="185"/>
        <v>0</v>
      </c>
      <c r="AK203" t="b">
        <f t="shared" si="186"/>
        <v>0</v>
      </c>
      <c r="AM203" t="str">
        <f>IF(ISBLANK('Dry_Litterbag Placem_Collection'!J202),"","G"&amp;""&amp;'Dry_Litterbag Placem_Collection'!J202)</f>
        <v>G158</v>
      </c>
      <c r="AN203" t="str">
        <f>IF(ISBLANK('Dry_Litterbag Placem_Collection'!K202),"","R"&amp;""&amp;'Dry_Litterbag Placem_Collection'!K202)</f>
        <v>R75</v>
      </c>
      <c r="AO203" t="b">
        <f t="shared" si="187"/>
        <v>0</v>
      </c>
      <c r="AP203" t="b">
        <f t="shared" si="188"/>
        <v>0</v>
      </c>
      <c r="AS203" t="str">
        <f>'Ashed teabags dry'!A201</f>
        <v>G382</v>
      </c>
      <c r="AT203" t="str">
        <f>'Ashed teabags dry'!A536</f>
        <v>R684</v>
      </c>
      <c r="AU203" t="b">
        <f t="shared" si="189"/>
        <v>0</v>
      </c>
      <c r="AV203" t="b">
        <f t="shared" si="212"/>
        <v>0</v>
      </c>
      <c r="AX203" s="388" t="b">
        <f t="shared" si="190"/>
        <v>0</v>
      </c>
      <c r="AY203" s="388" t="b">
        <f t="shared" si="191"/>
        <v>0</v>
      </c>
      <c r="BA203" t="str">
        <f>'Ashed teabags wet'!A201</f>
        <v>G621</v>
      </c>
      <c r="BB203" t="str">
        <f>'Ashed teabags wet'!A621</f>
        <v>R404</v>
      </c>
      <c r="BC203" t="b">
        <f t="shared" si="192"/>
        <v>0</v>
      </c>
      <c r="BD203" t="b">
        <f t="shared" si="172"/>
        <v>0</v>
      </c>
      <c r="BF203" t="str">
        <f t="shared" si="193"/>
        <v>G380</v>
      </c>
      <c r="BG203" t="str">
        <f t="shared" si="194"/>
        <v>G380</v>
      </c>
      <c r="BH203" t="str">
        <f t="shared" si="195"/>
        <v>G224</v>
      </c>
      <c r="BI203" t="str">
        <f t="shared" si="213"/>
        <v>G224</v>
      </c>
      <c r="BJ203" t="s">
        <v>1670</v>
      </c>
      <c r="BK203" t="s">
        <v>1670</v>
      </c>
      <c r="BL203" t="s">
        <v>1670</v>
      </c>
      <c r="BM203" t="b">
        <f t="shared" si="214"/>
        <v>1</v>
      </c>
      <c r="BN203" t="str">
        <f t="shared" si="196"/>
        <v>R682</v>
      </c>
      <c r="BO203" t="str">
        <f t="shared" si="197"/>
        <v>R682</v>
      </c>
      <c r="BP203" t="str">
        <f t="shared" si="198"/>
        <v>R327</v>
      </c>
      <c r="BQ203" t="str">
        <f t="shared" si="199"/>
        <v>R327</v>
      </c>
      <c r="BR203" t="s">
        <v>457</v>
      </c>
      <c r="BS203" t="s">
        <v>455</v>
      </c>
      <c r="BT203" t="s">
        <v>457</v>
      </c>
      <c r="BU203" t="b">
        <f t="shared" si="215"/>
        <v>1</v>
      </c>
      <c r="BZ203" t="str">
        <f t="shared" si="200"/>
        <v>G224</v>
      </c>
      <c r="CA203" t="b">
        <f t="shared" si="201"/>
        <v>0</v>
      </c>
      <c r="CB203" t="str">
        <f t="shared" si="216"/>
        <v>G224</v>
      </c>
      <c r="CC203" t="str">
        <f t="shared" si="202"/>
        <v>R327</v>
      </c>
      <c r="CD203" t="b">
        <f t="shared" si="217"/>
        <v>0</v>
      </c>
      <c r="CE203" t="str">
        <f t="shared" si="218"/>
        <v>R327</v>
      </c>
      <c r="CG203" t="str">
        <f t="shared" si="203"/>
        <v>G620</v>
      </c>
      <c r="CH203" t="str">
        <f t="shared" si="219"/>
        <v>G620</v>
      </c>
      <c r="CI203" t="str">
        <f t="shared" si="204"/>
        <v>G877</v>
      </c>
      <c r="CJ203" t="str">
        <f t="shared" si="205"/>
        <v>G877</v>
      </c>
      <c r="CK203" t="s">
        <v>1430</v>
      </c>
      <c r="CL203" t="s">
        <v>1430</v>
      </c>
      <c r="CM203" t="s">
        <v>1430</v>
      </c>
      <c r="CN203" t="b">
        <f t="shared" si="220"/>
        <v>1</v>
      </c>
      <c r="CO203" t="str">
        <f t="shared" si="206"/>
        <v>R403</v>
      </c>
      <c r="CP203" t="str">
        <f t="shared" si="221"/>
        <v>R403</v>
      </c>
      <c r="CQ203" t="str">
        <f t="shared" si="207"/>
        <v>R339</v>
      </c>
      <c r="CR203" t="str">
        <f t="shared" si="208"/>
        <v>R339</v>
      </c>
      <c r="CS203" t="s">
        <v>738</v>
      </c>
      <c r="CT203" t="s">
        <v>738</v>
      </c>
      <c r="CU203" t="s">
        <v>738</v>
      </c>
      <c r="CV203" t="b">
        <f t="shared" si="222"/>
        <v>1</v>
      </c>
      <c r="DC203" t="str">
        <f t="shared" si="209"/>
        <v>G877</v>
      </c>
      <c r="DD203" t="b">
        <f t="shared" si="223"/>
        <v>0</v>
      </c>
      <c r="DE203" t="str">
        <f t="shared" si="224"/>
        <v>G877</v>
      </c>
      <c r="DF203" t="str">
        <f t="shared" si="210"/>
        <v>R339</v>
      </c>
      <c r="DG203" t="b">
        <f t="shared" si="225"/>
        <v>0</v>
      </c>
      <c r="DH203" t="str">
        <f t="shared" si="226"/>
        <v>R339</v>
      </c>
    </row>
    <row r="204" spans="2:112" ht="12" customHeight="1">
      <c r="B204" t="str">
        <f>TBIDry!H276</f>
        <v>G211</v>
      </c>
      <c r="C204" t="str">
        <f>TBIDry!I276</f>
        <v>R36</v>
      </c>
      <c r="D204" t="b">
        <f t="shared" si="173"/>
        <v>0</v>
      </c>
      <c r="E204" t="b">
        <f t="shared" si="174"/>
        <v>0</v>
      </c>
      <c r="G204" t="str">
        <f>TBIWet!H276</f>
        <v>G811</v>
      </c>
      <c r="H204" t="str">
        <f>TBIWet!I276</f>
        <v>R218</v>
      </c>
      <c r="I204" t="b">
        <f t="shared" si="175"/>
        <v>0</v>
      </c>
      <c r="J204" t="b">
        <f t="shared" si="176"/>
        <v>0</v>
      </c>
      <c r="L204" t="str">
        <f>'Both teabags AfterWet'!A202</f>
        <v>G623</v>
      </c>
      <c r="M204" t="str">
        <f>'Both teabags AfterWet'!A622</f>
        <v>R406</v>
      </c>
      <c r="N204" t="b">
        <f t="shared" si="177"/>
        <v>0</v>
      </c>
      <c r="O204" t="b">
        <f t="shared" si="227"/>
        <v>0</v>
      </c>
      <c r="Q204" s="388" t="b">
        <f t="shared" si="178"/>
        <v>0</v>
      </c>
      <c r="R204" s="388" t="b">
        <f t="shared" si="179"/>
        <v>0</v>
      </c>
      <c r="T204" t="str">
        <f>'Both teabags AfterDry'!A202</f>
        <v>G384</v>
      </c>
      <c r="U204" t="str">
        <f>'Both teabags AfterDry'!A537</f>
        <v>R685</v>
      </c>
      <c r="V204" t="b">
        <f t="shared" si="180"/>
        <v>0</v>
      </c>
      <c r="W204" t="b">
        <f t="shared" si="211"/>
        <v>0</v>
      </c>
      <c r="Y204" t="str">
        <f>'Green_rooibos initial weight'!A205</f>
        <v>G201</v>
      </c>
      <c r="Z204" t="str">
        <f>'Green_rooibos initial weight'!A1109</f>
        <v>R201</v>
      </c>
      <c r="AA204" t="b">
        <f t="shared" si="181"/>
        <v>0</v>
      </c>
      <c r="AB204" t="b">
        <f t="shared" si="182"/>
        <v>0</v>
      </c>
      <c r="AE204" t="str">
        <f>'WetLitterbags placem_collection'!K203</f>
        <v>G811</v>
      </c>
      <c r="AF204" t="str">
        <f>'WetLitterbags placem_collection'!M203</f>
        <v>R218</v>
      </c>
      <c r="AG204" t="b">
        <f t="shared" si="183"/>
        <v>0</v>
      </c>
      <c r="AH204" t="b">
        <f t="shared" si="184"/>
        <v>0</v>
      </c>
      <c r="AJ204" t="b">
        <f t="shared" si="185"/>
        <v>0</v>
      </c>
      <c r="AK204" t="b">
        <f t="shared" si="186"/>
        <v>0</v>
      </c>
      <c r="AM204" t="str">
        <f>IF(ISBLANK('Dry_Litterbag Placem_Collection'!J203),"","G"&amp;""&amp;'Dry_Litterbag Placem_Collection'!J203)</f>
        <v>G211</v>
      </c>
      <c r="AN204" t="str">
        <f>IF(ISBLANK('Dry_Litterbag Placem_Collection'!K203),"","R"&amp;""&amp;'Dry_Litterbag Placem_Collection'!K203)</f>
        <v>R36</v>
      </c>
      <c r="AO204" t="b">
        <f t="shared" si="187"/>
        <v>0</v>
      </c>
      <c r="AP204" t="b">
        <f t="shared" si="188"/>
        <v>0</v>
      </c>
      <c r="AS204" t="str">
        <f>'Ashed teabags dry'!A202</f>
        <v>G384</v>
      </c>
      <c r="AT204" t="str">
        <f>'Ashed teabags dry'!A537</f>
        <v>R685</v>
      </c>
      <c r="AU204" t="b">
        <f t="shared" si="189"/>
        <v>0</v>
      </c>
      <c r="AV204" t="b">
        <f t="shared" si="212"/>
        <v>0</v>
      </c>
      <c r="AX204" s="388" t="b">
        <f t="shared" si="190"/>
        <v>0</v>
      </c>
      <c r="AY204" s="388" t="b">
        <f t="shared" si="191"/>
        <v>0</v>
      </c>
      <c r="BA204" t="str">
        <f>'Ashed teabags wet'!A202</f>
        <v>G623</v>
      </c>
      <c r="BB204" t="str">
        <f>'Ashed teabags wet'!A622</f>
        <v>R406</v>
      </c>
      <c r="BC204" t="b">
        <f t="shared" si="192"/>
        <v>0</v>
      </c>
      <c r="BD204" t="b">
        <f t="shared" si="172"/>
        <v>0</v>
      </c>
      <c r="BF204" t="str">
        <f t="shared" si="193"/>
        <v>G382</v>
      </c>
      <c r="BG204" t="str">
        <f t="shared" si="194"/>
        <v>G382</v>
      </c>
      <c r="BH204" t="str">
        <f t="shared" si="195"/>
        <v>G158</v>
      </c>
      <c r="BI204" t="str">
        <f t="shared" si="213"/>
        <v>G158</v>
      </c>
      <c r="BJ204" t="s">
        <v>1668</v>
      </c>
      <c r="BK204" t="s">
        <v>1668</v>
      </c>
      <c r="BL204" t="s">
        <v>1668</v>
      </c>
      <c r="BM204" t="b">
        <f t="shared" si="214"/>
        <v>1</v>
      </c>
      <c r="BN204" t="str">
        <f t="shared" si="196"/>
        <v>R684</v>
      </c>
      <c r="BO204" t="str">
        <f t="shared" si="197"/>
        <v>R684</v>
      </c>
      <c r="BP204" t="str">
        <f t="shared" si="198"/>
        <v>R75</v>
      </c>
      <c r="BQ204" t="str">
        <f t="shared" si="199"/>
        <v>R75</v>
      </c>
      <c r="BR204" t="s">
        <v>455</v>
      </c>
      <c r="BS204" t="s">
        <v>454</v>
      </c>
      <c r="BT204" t="s">
        <v>455</v>
      </c>
      <c r="BU204" t="b">
        <f t="shared" si="215"/>
        <v>1</v>
      </c>
      <c r="BZ204" t="str">
        <f t="shared" si="200"/>
        <v>G158</v>
      </c>
      <c r="CA204" t="b">
        <f t="shared" si="201"/>
        <v>0</v>
      </c>
      <c r="CB204" t="str">
        <f t="shared" si="216"/>
        <v>G158</v>
      </c>
      <c r="CC204" t="str">
        <f t="shared" si="202"/>
        <v>R75</v>
      </c>
      <c r="CD204" t="b">
        <f t="shared" si="217"/>
        <v>0</v>
      </c>
      <c r="CE204" t="str">
        <f t="shared" si="218"/>
        <v>R75</v>
      </c>
      <c r="CG204" t="str">
        <f t="shared" si="203"/>
        <v>G621</v>
      </c>
      <c r="CH204" t="str">
        <f t="shared" si="219"/>
        <v>G621</v>
      </c>
      <c r="CI204" t="str">
        <f t="shared" si="204"/>
        <v>G816</v>
      </c>
      <c r="CJ204" t="str">
        <f t="shared" si="205"/>
        <v>G816</v>
      </c>
      <c r="CK204" t="s">
        <v>1429</v>
      </c>
      <c r="CL204" t="s">
        <v>1429</v>
      </c>
      <c r="CM204" t="s">
        <v>1429</v>
      </c>
      <c r="CN204" t="b">
        <f t="shared" si="220"/>
        <v>1</v>
      </c>
      <c r="CO204" t="str">
        <f t="shared" si="206"/>
        <v>R404</v>
      </c>
      <c r="CP204" t="str">
        <f t="shared" si="221"/>
        <v>R404</v>
      </c>
      <c r="CQ204" t="str">
        <f t="shared" si="207"/>
        <v>R303</v>
      </c>
      <c r="CR204" t="str">
        <f t="shared" si="208"/>
        <v>R303</v>
      </c>
      <c r="CS204" t="s">
        <v>737</v>
      </c>
      <c r="CT204" t="s">
        <v>737</v>
      </c>
      <c r="CU204" t="s">
        <v>737</v>
      </c>
      <c r="CV204" t="b">
        <f t="shared" si="222"/>
        <v>1</v>
      </c>
      <c r="DC204" t="str">
        <f t="shared" si="209"/>
        <v>G816</v>
      </c>
      <c r="DD204" t="b">
        <f t="shared" si="223"/>
        <v>0</v>
      </c>
      <c r="DE204" t="str">
        <f t="shared" si="224"/>
        <v>G816</v>
      </c>
      <c r="DF204" t="str">
        <f t="shared" si="210"/>
        <v>R303</v>
      </c>
      <c r="DG204" t="b">
        <f t="shared" si="225"/>
        <v>0</v>
      </c>
      <c r="DH204" t="str">
        <f t="shared" si="226"/>
        <v>R303</v>
      </c>
    </row>
    <row r="205" spans="2:112" ht="12" customHeight="1">
      <c r="B205" t="str">
        <f>TBIDry!H277</f>
        <v>G181</v>
      </c>
      <c r="C205" t="str">
        <f>TBIDry!I277</f>
        <v>R676</v>
      </c>
      <c r="D205" t="b">
        <f t="shared" si="173"/>
        <v>0</v>
      </c>
      <c r="E205" t="b">
        <f t="shared" si="174"/>
        <v>0</v>
      </c>
      <c r="G205" t="str">
        <f>TBIWet!H277</f>
        <v>G773</v>
      </c>
      <c r="H205" t="str">
        <f>TBIWet!I277</f>
        <v>R135</v>
      </c>
      <c r="I205" t="b">
        <f t="shared" si="175"/>
        <v>0</v>
      </c>
      <c r="J205" t="b">
        <f t="shared" si="176"/>
        <v>0</v>
      </c>
      <c r="L205" t="str">
        <f>'Both teabags AfterWet'!A203</f>
        <v>G626</v>
      </c>
      <c r="M205" t="str">
        <f>'Both teabags AfterWet'!A623</f>
        <v>R408</v>
      </c>
      <c r="N205" t="b">
        <f t="shared" si="177"/>
        <v>0</v>
      </c>
      <c r="O205" t="b">
        <f t="shared" si="227"/>
        <v>0</v>
      </c>
      <c r="Q205" s="388" t="b">
        <f t="shared" si="178"/>
        <v>0</v>
      </c>
      <c r="R205" s="388" t="b">
        <f t="shared" si="179"/>
        <v>0</v>
      </c>
      <c r="T205" t="str">
        <f>'Both teabags AfterDry'!A203</f>
        <v>G394</v>
      </c>
      <c r="U205" t="str">
        <f>'Both teabags AfterDry'!A538</f>
        <v>R686</v>
      </c>
      <c r="V205" t="b">
        <f t="shared" si="180"/>
        <v>0</v>
      </c>
      <c r="W205" t="b">
        <f t="shared" si="211"/>
        <v>0</v>
      </c>
      <c r="Y205" t="str">
        <f>'Green_rooibos initial weight'!A206</f>
        <v>G202</v>
      </c>
      <c r="Z205" t="str">
        <f>'Green_rooibos initial weight'!A1110</f>
        <v>R202</v>
      </c>
      <c r="AA205" t="b">
        <f t="shared" si="181"/>
        <v>0</v>
      </c>
      <c r="AB205" t="b">
        <f t="shared" si="182"/>
        <v>0</v>
      </c>
      <c r="AE205" t="str">
        <f>'WetLitterbags placem_collection'!K204</f>
        <v>G773</v>
      </c>
      <c r="AF205" t="str">
        <f>'WetLitterbags placem_collection'!M204</f>
        <v>R135</v>
      </c>
      <c r="AG205" t="b">
        <f t="shared" si="183"/>
        <v>0</v>
      </c>
      <c r="AH205" t="b">
        <f t="shared" si="184"/>
        <v>0</v>
      </c>
      <c r="AJ205" t="b">
        <f t="shared" si="185"/>
        <v>0</v>
      </c>
      <c r="AK205" t="b">
        <f t="shared" si="186"/>
        <v>0</v>
      </c>
      <c r="AM205" t="str">
        <f>IF(ISBLANK('Dry_Litterbag Placem_Collection'!J204),"","G"&amp;""&amp;'Dry_Litterbag Placem_Collection'!J204)</f>
        <v>G181</v>
      </c>
      <c r="AN205" t="str">
        <f>IF(ISBLANK('Dry_Litterbag Placem_Collection'!K204),"","R"&amp;""&amp;'Dry_Litterbag Placem_Collection'!K204)</f>
        <v>R676</v>
      </c>
      <c r="AO205" t="b">
        <f t="shared" si="187"/>
        <v>0</v>
      </c>
      <c r="AP205" t="b">
        <f t="shared" si="188"/>
        <v>0</v>
      </c>
      <c r="AS205" t="str">
        <f>'Ashed teabags dry'!A203</f>
        <v>G394</v>
      </c>
      <c r="AT205" t="str">
        <f>'Ashed teabags dry'!A538</f>
        <v>R686</v>
      </c>
      <c r="AU205" t="b">
        <f t="shared" si="189"/>
        <v>0</v>
      </c>
      <c r="AV205" t="b">
        <f t="shared" si="212"/>
        <v>0</v>
      </c>
      <c r="AX205" s="388" t="b">
        <f t="shared" si="190"/>
        <v>0</v>
      </c>
      <c r="AY205" s="388" t="b">
        <f t="shared" si="191"/>
        <v>0</v>
      </c>
      <c r="BA205" t="str">
        <f>'Ashed teabags wet'!A203</f>
        <v>G626</v>
      </c>
      <c r="BB205" t="str">
        <f>'Ashed teabags wet'!A623</f>
        <v>R408</v>
      </c>
      <c r="BC205" t="b">
        <f t="shared" si="192"/>
        <v>0</v>
      </c>
      <c r="BD205" t="b">
        <f t="shared" si="172"/>
        <v>0</v>
      </c>
      <c r="BF205" t="str">
        <f t="shared" si="193"/>
        <v>G384</v>
      </c>
      <c r="BG205" t="str">
        <f t="shared" si="194"/>
        <v>G384</v>
      </c>
      <c r="BH205" t="str">
        <f t="shared" si="195"/>
        <v>G211</v>
      </c>
      <c r="BI205" t="str">
        <f t="shared" si="213"/>
        <v>G211</v>
      </c>
      <c r="BJ205" t="s">
        <v>1666</v>
      </c>
      <c r="BK205" t="s">
        <v>1666</v>
      </c>
      <c r="BL205" t="s">
        <v>1666</v>
      </c>
      <c r="BM205" t="b">
        <f t="shared" si="214"/>
        <v>1</v>
      </c>
      <c r="BN205" t="str">
        <f t="shared" si="196"/>
        <v>R685</v>
      </c>
      <c r="BO205" t="str">
        <f t="shared" si="197"/>
        <v>R685</v>
      </c>
      <c r="BP205" t="str">
        <f t="shared" si="198"/>
        <v>R36</v>
      </c>
      <c r="BQ205" t="str">
        <f t="shared" si="199"/>
        <v>R36</v>
      </c>
      <c r="BR205" t="s">
        <v>454</v>
      </c>
      <c r="BS205" t="s">
        <v>453</v>
      </c>
      <c r="BT205" t="s">
        <v>454</v>
      </c>
      <c r="BU205" t="b">
        <f t="shared" si="215"/>
        <v>1</v>
      </c>
      <c r="BZ205" t="str">
        <f t="shared" si="200"/>
        <v>G211</v>
      </c>
      <c r="CA205" t="b">
        <f t="shared" si="201"/>
        <v>0</v>
      </c>
      <c r="CB205" t="str">
        <f t="shared" si="216"/>
        <v>G211</v>
      </c>
      <c r="CC205" t="str">
        <f t="shared" si="202"/>
        <v>R36</v>
      </c>
      <c r="CD205" t="b">
        <f t="shared" si="217"/>
        <v>0</v>
      </c>
      <c r="CE205" t="str">
        <f t="shared" si="218"/>
        <v>R36</v>
      </c>
      <c r="CG205" t="str">
        <f t="shared" si="203"/>
        <v>G623</v>
      </c>
      <c r="CH205" t="str">
        <f t="shared" si="219"/>
        <v>G623</v>
      </c>
      <c r="CI205" t="str">
        <f t="shared" si="204"/>
        <v>G811</v>
      </c>
      <c r="CJ205" t="str">
        <f t="shared" si="205"/>
        <v>G811</v>
      </c>
      <c r="CK205" t="s">
        <v>1427</v>
      </c>
      <c r="CL205" t="s">
        <v>1427</v>
      </c>
      <c r="CM205" t="s">
        <v>1427</v>
      </c>
      <c r="CN205" t="b">
        <f t="shared" si="220"/>
        <v>1</v>
      </c>
      <c r="CO205" t="str">
        <f t="shared" si="206"/>
        <v>R406</v>
      </c>
      <c r="CP205" t="str">
        <f t="shared" si="221"/>
        <v>R406</v>
      </c>
      <c r="CQ205" t="str">
        <f t="shared" si="207"/>
        <v>R218</v>
      </c>
      <c r="CR205" t="str">
        <f t="shared" si="208"/>
        <v>R218</v>
      </c>
      <c r="CS205" t="s">
        <v>735</v>
      </c>
      <c r="CT205" t="s">
        <v>735</v>
      </c>
      <c r="CU205" t="s">
        <v>735</v>
      </c>
      <c r="CV205" t="b">
        <f t="shared" si="222"/>
        <v>1</v>
      </c>
      <c r="DC205" t="str">
        <f t="shared" si="209"/>
        <v>G811</v>
      </c>
      <c r="DD205" t="b">
        <f t="shared" si="223"/>
        <v>0</v>
      </c>
      <c r="DE205" t="str">
        <f t="shared" si="224"/>
        <v>G811</v>
      </c>
      <c r="DF205" t="str">
        <f t="shared" si="210"/>
        <v>R218</v>
      </c>
      <c r="DG205" t="b">
        <f t="shared" si="225"/>
        <v>0</v>
      </c>
      <c r="DH205" t="str">
        <f t="shared" si="226"/>
        <v>R218</v>
      </c>
    </row>
    <row r="206" spans="2:112" ht="12" customHeight="1">
      <c r="B206" t="str">
        <f>TBIDry!H278</f>
        <v>G179</v>
      </c>
      <c r="C206" t="str">
        <f>TBIDry!I278</f>
        <v>R685</v>
      </c>
      <c r="D206" t="b">
        <f t="shared" si="173"/>
        <v>0</v>
      </c>
      <c r="E206" t="b">
        <f t="shared" si="174"/>
        <v>0</v>
      </c>
      <c r="G206" t="str">
        <f>TBIWet!H278</f>
        <v>G645</v>
      </c>
      <c r="H206" t="str">
        <f>TBIWet!I278</f>
        <v>R372</v>
      </c>
      <c r="I206" t="b">
        <f t="shared" si="175"/>
        <v>0</v>
      </c>
      <c r="J206" t="b">
        <f t="shared" si="176"/>
        <v>0</v>
      </c>
      <c r="L206" t="str">
        <f>'Both teabags AfterWet'!A204</f>
        <v>G627</v>
      </c>
      <c r="M206" t="str">
        <f>'Both teabags AfterWet'!A624</f>
        <v>R41</v>
      </c>
      <c r="N206" t="b">
        <f t="shared" si="177"/>
        <v>0</v>
      </c>
      <c r="O206" t="b">
        <f t="shared" si="227"/>
        <v>0</v>
      </c>
      <c r="Q206" s="388" t="b">
        <f t="shared" si="178"/>
        <v>0</v>
      </c>
      <c r="R206" s="388" t="b">
        <f t="shared" si="179"/>
        <v>0</v>
      </c>
      <c r="T206" t="str">
        <f>'Both teabags AfterDry'!A204</f>
        <v>G396</v>
      </c>
      <c r="U206" t="str">
        <f>'Both teabags AfterDry'!A539</f>
        <v>R689</v>
      </c>
      <c r="V206" t="b">
        <f t="shared" si="180"/>
        <v>0</v>
      </c>
      <c r="W206" t="b">
        <f t="shared" si="211"/>
        <v>0</v>
      </c>
      <c r="Y206" t="str">
        <f>'Green_rooibos initial weight'!A207</f>
        <v>G203</v>
      </c>
      <c r="Z206" t="str">
        <f>'Green_rooibos initial weight'!A1111</f>
        <v>R203</v>
      </c>
      <c r="AA206" t="b">
        <f t="shared" si="181"/>
        <v>0</v>
      </c>
      <c r="AB206" t="b">
        <f t="shared" si="182"/>
        <v>0</v>
      </c>
      <c r="AE206" t="str">
        <f>'WetLitterbags placem_collection'!K205</f>
        <v>G645</v>
      </c>
      <c r="AF206" t="str">
        <f>'WetLitterbags placem_collection'!M205</f>
        <v>R372</v>
      </c>
      <c r="AG206" t="b">
        <f t="shared" si="183"/>
        <v>0</v>
      </c>
      <c r="AH206" t="b">
        <f t="shared" si="184"/>
        <v>0</v>
      </c>
      <c r="AJ206" t="b">
        <f t="shared" si="185"/>
        <v>0</v>
      </c>
      <c r="AK206" t="b">
        <f t="shared" si="186"/>
        <v>0</v>
      </c>
      <c r="AM206" t="str">
        <f>IF(ISBLANK('Dry_Litterbag Placem_Collection'!J205),"","G"&amp;""&amp;'Dry_Litterbag Placem_Collection'!J205)</f>
        <v>G179</v>
      </c>
      <c r="AN206" t="str">
        <f>IF(ISBLANK('Dry_Litterbag Placem_Collection'!K205),"","R"&amp;""&amp;'Dry_Litterbag Placem_Collection'!K205)</f>
        <v>R685</v>
      </c>
      <c r="AO206" t="b">
        <f t="shared" si="187"/>
        <v>0</v>
      </c>
      <c r="AP206" t="b">
        <f t="shared" si="188"/>
        <v>0</v>
      </c>
      <c r="AS206" t="str">
        <f>'Ashed teabags dry'!A204</f>
        <v>G396</v>
      </c>
      <c r="AT206" t="str">
        <f>'Ashed teabags dry'!A539</f>
        <v>R689</v>
      </c>
      <c r="AU206" t="b">
        <f t="shared" si="189"/>
        <v>0</v>
      </c>
      <c r="AV206" t="b">
        <f t="shared" si="212"/>
        <v>0</v>
      </c>
      <c r="AX206" s="388" t="b">
        <f t="shared" si="190"/>
        <v>0</v>
      </c>
      <c r="AY206" s="388" t="b">
        <f t="shared" si="191"/>
        <v>0</v>
      </c>
      <c r="BA206" t="str">
        <f>'Ashed teabags wet'!A204</f>
        <v>G627</v>
      </c>
      <c r="BB206" t="str">
        <f>'Ashed teabags wet'!A624</f>
        <v>R41</v>
      </c>
      <c r="BC206" t="b">
        <f t="shared" si="192"/>
        <v>0</v>
      </c>
      <c r="BD206" t="b">
        <f t="shared" si="172"/>
        <v>0</v>
      </c>
      <c r="BF206" t="str">
        <f t="shared" si="193"/>
        <v>G394</v>
      </c>
      <c r="BG206" t="str">
        <f t="shared" si="194"/>
        <v>G394</v>
      </c>
      <c r="BH206" t="str">
        <f t="shared" si="195"/>
        <v>G181</v>
      </c>
      <c r="BI206" t="str">
        <f t="shared" si="213"/>
        <v>G181</v>
      </c>
      <c r="BJ206" t="s">
        <v>1656</v>
      </c>
      <c r="BK206" t="s">
        <v>1656</v>
      </c>
      <c r="BL206" t="s">
        <v>1656</v>
      </c>
      <c r="BM206" t="b">
        <f t="shared" si="214"/>
        <v>1</v>
      </c>
      <c r="BN206" t="str">
        <f t="shared" si="196"/>
        <v>R686</v>
      </c>
      <c r="BO206" t="str">
        <f t="shared" si="197"/>
        <v>R686</v>
      </c>
      <c r="BP206" t="str">
        <f t="shared" si="198"/>
        <v>R676</v>
      </c>
      <c r="BQ206" t="str">
        <f t="shared" si="199"/>
        <v>R676</v>
      </c>
      <c r="BR206" t="s">
        <v>453</v>
      </c>
      <c r="BS206" t="s">
        <v>450</v>
      </c>
      <c r="BT206" t="s">
        <v>453</v>
      </c>
      <c r="BU206" t="b">
        <f t="shared" si="215"/>
        <v>1</v>
      </c>
      <c r="BZ206" t="str">
        <f t="shared" si="200"/>
        <v>G181</v>
      </c>
      <c r="CA206" t="b">
        <f t="shared" si="201"/>
        <v>0</v>
      </c>
      <c r="CB206" t="str">
        <f t="shared" si="216"/>
        <v>G181</v>
      </c>
      <c r="CC206" t="str">
        <f t="shared" si="202"/>
        <v>R676</v>
      </c>
      <c r="CD206" t="b">
        <f t="shared" si="217"/>
        <v>0</v>
      </c>
      <c r="CE206" t="str">
        <f t="shared" si="218"/>
        <v>R676</v>
      </c>
      <c r="CG206" t="str">
        <f t="shared" si="203"/>
        <v>G626</v>
      </c>
      <c r="CH206" t="str">
        <f t="shared" si="219"/>
        <v>G626</v>
      </c>
      <c r="CI206" t="str">
        <f t="shared" si="204"/>
        <v>G773</v>
      </c>
      <c r="CJ206" t="str">
        <f t="shared" si="205"/>
        <v>G773</v>
      </c>
      <c r="CK206" t="s">
        <v>1424</v>
      </c>
      <c r="CL206" t="s">
        <v>1424</v>
      </c>
      <c r="CM206" t="s">
        <v>1424</v>
      </c>
      <c r="CN206" t="b">
        <f t="shared" si="220"/>
        <v>1</v>
      </c>
      <c r="CO206" t="str">
        <f t="shared" si="206"/>
        <v>R408</v>
      </c>
      <c r="CP206" t="str">
        <f t="shared" si="221"/>
        <v>R408</v>
      </c>
      <c r="CQ206" t="str">
        <f t="shared" si="207"/>
        <v>R135</v>
      </c>
      <c r="CR206" t="str">
        <f t="shared" si="208"/>
        <v>R135</v>
      </c>
      <c r="CS206" t="s">
        <v>733</v>
      </c>
      <c r="CT206" t="s">
        <v>733</v>
      </c>
      <c r="CU206" t="s">
        <v>733</v>
      </c>
      <c r="CV206" t="b">
        <f t="shared" si="222"/>
        <v>1</v>
      </c>
      <c r="DC206" t="str">
        <f t="shared" si="209"/>
        <v>G773</v>
      </c>
      <c r="DD206" t="b">
        <f t="shared" si="223"/>
        <v>0</v>
      </c>
      <c r="DE206" t="str">
        <f t="shared" si="224"/>
        <v>G773</v>
      </c>
      <c r="DF206" t="str">
        <f t="shared" si="210"/>
        <v>R135</v>
      </c>
      <c r="DG206" t="b">
        <f t="shared" si="225"/>
        <v>0</v>
      </c>
      <c r="DH206" t="str">
        <f t="shared" si="226"/>
        <v>R135</v>
      </c>
    </row>
    <row r="207" spans="2:112" ht="12" customHeight="1">
      <c r="B207" t="str">
        <f>TBIDry!H279</f>
        <v>G248</v>
      </c>
      <c r="C207" t="str">
        <f>TBIDry!I279</f>
        <v>R254</v>
      </c>
      <c r="D207" t="b">
        <f t="shared" si="173"/>
        <v>0</v>
      </c>
      <c r="E207" t="b">
        <f t="shared" si="174"/>
        <v>0</v>
      </c>
      <c r="G207" t="str">
        <f>TBIWet!H279</f>
        <v>G814</v>
      </c>
      <c r="H207" t="str">
        <f>TBIWet!I279</f>
        <v>R334</v>
      </c>
      <c r="I207" t="b">
        <f t="shared" si="175"/>
        <v>0</v>
      </c>
      <c r="J207" t="b">
        <f t="shared" si="176"/>
        <v>0</v>
      </c>
      <c r="L207" t="str">
        <f>'Both teabags AfterWet'!A205</f>
        <v>G628</v>
      </c>
      <c r="M207" t="str">
        <f>'Both teabags AfterWet'!A625</f>
        <v>R410</v>
      </c>
      <c r="N207" t="b">
        <f t="shared" si="177"/>
        <v>0</v>
      </c>
      <c r="O207" t="b">
        <f t="shared" si="227"/>
        <v>0</v>
      </c>
      <c r="Q207" s="388" t="b">
        <f t="shared" si="178"/>
        <v>0</v>
      </c>
      <c r="R207" s="388" t="b">
        <f t="shared" si="179"/>
        <v>0</v>
      </c>
      <c r="T207" t="str">
        <f>'Both teabags AfterDry'!A205</f>
        <v>G397</v>
      </c>
      <c r="U207" t="str">
        <f>'Both teabags AfterDry'!A540</f>
        <v>R691</v>
      </c>
      <c r="V207" t="b">
        <f t="shared" si="180"/>
        <v>0</v>
      </c>
      <c r="W207" t="b">
        <f t="shared" si="211"/>
        <v>0</v>
      </c>
      <c r="Y207" t="str">
        <f>'Green_rooibos initial weight'!A208</f>
        <v>G204</v>
      </c>
      <c r="Z207" t="str">
        <f>'Green_rooibos initial weight'!A1112</f>
        <v>R204</v>
      </c>
      <c r="AA207" t="b">
        <f t="shared" si="181"/>
        <v>0</v>
      </c>
      <c r="AB207" t="b">
        <f t="shared" si="182"/>
        <v>0</v>
      </c>
      <c r="AE207" t="str">
        <f>'WetLitterbags placem_collection'!K206</f>
        <v>G814</v>
      </c>
      <c r="AF207" t="str">
        <f>'WetLitterbags placem_collection'!M206</f>
        <v>R334</v>
      </c>
      <c r="AG207" t="b">
        <f t="shared" si="183"/>
        <v>0</v>
      </c>
      <c r="AH207" t="b">
        <f t="shared" si="184"/>
        <v>0</v>
      </c>
      <c r="AJ207" t="b">
        <f t="shared" si="185"/>
        <v>0</v>
      </c>
      <c r="AK207" t="b">
        <f t="shared" si="186"/>
        <v>0</v>
      </c>
      <c r="AM207" t="str">
        <f>IF(ISBLANK('Dry_Litterbag Placem_Collection'!J206),"","G"&amp;""&amp;'Dry_Litterbag Placem_Collection'!J206)</f>
        <v>G248</v>
      </c>
      <c r="AN207" t="str">
        <f>IF(ISBLANK('Dry_Litterbag Placem_Collection'!K206),"","R"&amp;""&amp;'Dry_Litterbag Placem_Collection'!K206)</f>
        <v>R254</v>
      </c>
      <c r="AO207" t="b">
        <f t="shared" si="187"/>
        <v>0</v>
      </c>
      <c r="AP207" t="b">
        <f t="shared" si="188"/>
        <v>0</v>
      </c>
      <c r="AS207" t="str">
        <f>'Ashed teabags dry'!A205</f>
        <v>G397</v>
      </c>
      <c r="AT207" t="str">
        <f>'Ashed teabags dry'!A540</f>
        <v>R691</v>
      </c>
      <c r="AU207" t="b">
        <f t="shared" si="189"/>
        <v>0</v>
      </c>
      <c r="AV207" t="b">
        <f t="shared" si="212"/>
        <v>0</v>
      </c>
      <c r="AX207" s="388" t="b">
        <f t="shared" si="190"/>
        <v>0</v>
      </c>
      <c r="AY207" s="388" t="b">
        <f t="shared" si="191"/>
        <v>0</v>
      </c>
      <c r="BA207" t="str">
        <f>'Ashed teabags wet'!A205</f>
        <v>G628</v>
      </c>
      <c r="BB207" t="str">
        <f>'Ashed teabags wet'!A625</f>
        <v>R410</v>
      </c>
      <c r="BC207" t="b">
        <f t="shared" si="192"/>
        <v>0</v>
      </c>
      <c r="BD207" t="b">
        <f t="shared" si="172"/>
        <v>0</v>
      </c>
      <c r="BF207" t="str">
        <f t="shared" si="193"/>
        <v>G396</v>
      </c>
      <c r="BG207" t="str">
        <f t="shared" si="194"/>
        <v>G396</v>
      </c>
      <c r="BH207" t="str">
        <f t="shared" si="195"/>
        <v>G179</v>
      </c>
      <c r="BI207" t="str">
        <f t="shared" si="213"/>
        <v>G179</v>
      </c>
      <c r="BJ207" t="s">
        <v>1654</v>
      </c>
      <c r="BK207" t="s">
        <v>1654</v>
      </c>
      <c r="BL207" t="s">
        <v>1654</v>
      </c>
      <c r="BM207" t="b">
        <f t="shared" si="214"/>
        <v>1</v>
      </c>
      <c r="BN207" t="str">
        <f t="shared" si="196"/>
        <v>R689</v>
      </c>
      <c r="BO207" t="str">
        <f t="shared" si="197"/>
        <v>R689</v>
      </c>
      <c r="BP207" t="str">
        <f t="shared" si="198"/>
        <v>R685</v>
      </c>
      <c r="BQ207" t="str">
        <f t="shared" si="199"/>
        <v>R685</v>
      </c>
      <c r="BR207" t="s">
        <v>450</v>
      </c>
      <c r="BS207" t="s">
        <v>448</v>
      </c>
      <c r="BT207" t="s">
        <v>450</v>
      </c>
      <c r="BU207" t="b">
        <f t="shared" si="215"/>
        <v>1</v>
      </c>
      <c r="BZ207" t="str">
        <f t="shared" si="200"/>
        <v>G179</v>
      </c>
      <c r="CA207" t="b">
        <f t="shared" si="201"/>
        <v>0</v>
      </c>
      <c r="CB207" t="str">
        <f t="shared" si="216"/>
        <v>G179</v>
      </c>
      <c r="CC207" t="str">
        <f t="shared" si="202"/>
        <v>R685</v>
      </c>
      <c r="CD207" t="b">
        <f t="shared" si="217"/>
        <v>0</v>
      </c>
      <c r="CE207" t="str">
        <f t="shared" si="218"/>
        <v>R685</v>
      </c>
      <c r="CG207" t="str">
        <f t="shared" si="203"/>
        <v>G627</v>
      </c>
      <c r="CH207" t="str">
        <f t="shared" si="219"/>
        <v>G627</v>
      </c>
      <c r="CI207" t="str">
        <f t="shared" si="204"/>
        <v>G645</v>
      </c>
      <c r="CJ207" t="str">
        <f t="shared" si="205"/>
        <v>G645</v>
      </c>
      <c r="CK207" t="s">
        <v>1423</v>
      </c>
      <c r="CL207" t="s">
        <v>1423</v>
      </c>
      <c r="CM207" t="s">
        <v>1423</v>
      </c>
      <c r="CN207" t="b">
        <f t="shared" si="220"/>
        <v>1</v>
      </c>
      <c r="CO207" t="str">
        <f t="shared" si="206"/>
        <v>R41</v>
      </c>
      <c r="CP207" t="str">
        <f t="shared" si="221"/>
        <v>R41</v>
      </c>
      <c r="CQ207" t="str">
        <f t="shared" si="207"/>
        <v>R372</v>
      </c>
      <c r="CR207" t="str">
        <f t="shared" si="208"/>
        <v>R372</v>
      </c>
      <c r="CS207" t="s">
        <v>1100</v>
      </c>
      <c r="CT207" t="s">
        <v>1100</v>
      </c>
      <c r="CU207" t="s">
        <v>1100</v>
      </c>
      <c r="CV207" t="b">
        <f t="shared" si="222"/>
        <v>1</v>
      </c>
      <c r="DC207" t="str">
        <f t="shared" si="209"/>
        <v>G645</v>
      </c>
      <c r="DD207" t="b">
        <f t="shared" si="223"/>
        <v>0</v>
      </c>
      <c r="DE207" t="str">
        <f t="shared" si="224"/>
        <v>G645</v>
      </c>
      <c r="DF207" t="str">
        <f t="shared" si="210"/>
        <v>R372</v>
      </c>
      <c r="DG207" t="b">
        <f t="shared" si="225"/>
        <v>0</v>
      </c>
      <c r="DH207" t="str">
        <f t="shared" si="226"/>
        <v>R372</v>
      </c>
    </row>
    <row r="208" spans="2:112" ht="12" customHeight="1">
      <c r="B208" t="str">
        <f>TBIDry!H280</f>
        <v>G55</v>
      </c>
      <c r="C208" t="str">
        <f>TBIDry!I280</f>
        <v>R348</v>
      </c>
      <c r="D208" t="b">
        <f t="shared" si="173"/>
        <v>0</v>
      </c>
      <c r="E208" t="b">
        <f t="shared" si="174"/>
        <v>0</v>
      </c>
      <c r="G208" t="str">
        <f>TBIWet!H280</f>
        <v>G621</v>
      </c>
      <c r="H208" t="str">
        <f>TBIWet!I280</f>
        <v>R265</v>
      </c>
      <c r="I208" t="b">
        <f t="shared" si="175"/>
        <v>0</v>
      </c>
      <c r="J208" t="b">
        <f t="shared" si="176"/>
        <v>0</v>
      </c>
      <c r="L208" t="str">
        <f>'Both teabags AfterWet'!A206</f>
        <v>G632</v>
      </c>
      <c r="M208" t="str">
        <f>'Both teabags AfterWet'!A626</f>
        <v>R411</v>
      </c>
      <c r="N208" t="b">
        <f t="shared" si="177"/>
        <v>0</v>
      </c>
      <c r="O208" t="b">
        <f t="shared" si="227"/>
        <v>0</v>
      </c>
      <c r="Q208" s="388" t="b">
        <f t="shared" si="178"/>
        <v>0</v>
      </c>
      <c r="R208" s="388" t="b">
        <f t="shared" si="179"/>
        <v>0</v>
      </c>
      <c r="T208" t="str">
        <f>'Both teabags AfterDry'!A206</f>
        <v>G398</v>
      </c>
      <c r="U208" t="str">
        <f>'Both teabags AfterDry'!A541</f>
        <v>R692</v>
      </c>
      <c r="V208" t="b">
        <f t="shared" si="180"/>
        <v>0</v>
      </c>
      <c r="W208" t="b">
        <f t="shared" si="211"/>
        <v>0</v>
      </c>
      <c r="Y208" t="str">
        <f>'Green_rooibos initial weight'!A209</f>
        <v>G205</v>
      </c>
      <c r="Z208" t="str">
        <f>'Green_rooibos initial weight'!A1113</f>
        <v>R205</v>
      </c>
      <c r="AA208" t="b">
        <f t="shared" si="181"/>
        <v>0</v>
      </c>
      <c r="AB208" t="b">
        <f t="shared" si="182"/>
        <v>0</v>
      </c>
      <c r="AE208" t="str">
        <f>'WetLitterbags placem_collection'!K207</f>
        <v>G621</v>
      </c>
      <c r="AF208" t="str">
        <f>'WetLitterbags placem_collection'!M207</f>
        <v>R265</v>
      </c>
      <c r="AG208" t="b">
        <f t="shared" si="183"/>
        <v>0</v>
      </c>
      <c r="AH208" t="b">
        <f t="shared" si="184"/>
        <v>0</v>
      </c>
      <c r="AJ208" t="b">
        <f t="shared" si="185"/>
        <v>0</v>
      </c>
      <c r="AK208" t="b">
        <f t="shared" si="186"/>
        <v>0</v>
      </c>
      <c r="AM208" t="str">
        <f>IF(ISBLANK('Dry_Litterbag Placem_Collection'!J207),"","G"&amp;""&amp;'Dry_Litterbag Placem_Collection'!J207)</f>
        <v>G55</v>
      </c>
      <c r="AN208" t="str">
        <f>IF(ISBLANK('Dry_Litterbag Placem_Collection'!K207),"","R"&amp;""&amp;'Dry_Litterbag Placem_Collection'!K207)</f>
        <v>R348</v>
      </c>
      <c r="AO208" t="b">
        <f t="shared" si="187"/>
        <v>0</v>
      </c>
      <c r="AP208" t="b">
        <f t="shared" si="188"/>
        <v>0</v>
      </c>
      <c r="AS208" t="str">
        <f>'Ashed teabags dry'!A206</f>
        <v>G398</v>
      </c>
      <c r="AT208" t="str">
        <f>'Ashed teabags dry'!A541</f>
        <v>R692</v>
      </c>
      <c r="AU208" t="b">
        <f t="shared" si="189"/>
        <v>0</v>
      </c>
      <c r="AV208" t="b">
        <f t="shared" si="212"/>
        <v>0</v>
      </c>
      <c r="AX208" s="388" t="b">
        <f t="shared" si="190"/>
        <v>0</v>
      </c>
      <c r="AY208" s="388" t="b">
        <f t="shared" si="191"/>
        <v>0</v>
      </c>
      <c r="BA208" t="str">
        <f>'Ashed teabags wet'!A206</f>
        <v>G632</v>
      </c>
      <c r="BB208" t="str">
        <f>'Ashed teabags wet'!A626</f>
        <v>R411</v>
      </c>
      <c r="BC208" t="b">
        <f t="shared" si="192"/>
        <v>0</v>
      </c>
      <c r="BD208" t="b">
        <f t="shared" si="172"/>
        <v>0</v>
      </c>
      <c r="BF208" t="str">
        <f t="shared" si="193"/>
        <v>G397</v>
      </c>
      <c r="BG208" t="str">
        <f t="shared" si="194"/>
        <v>G397</v>
      </c>
      <c r="BH208" t="str">
        <f t="shared" si="195"/>
        <v>G248</v>
      </c>
      <c r="BI208" t="str">
        <f t="shared" si="213"/>
        <v>G248</v>
      </c>
      <c r="BJ208" t="s">
        <v>1653</v>
      </c>
      <c r="BK208" t="s">
        <v>1653</v>
      </c>
      <c r="BL208" t="s">
        <v>1653</v>
      </c>
      <c r="BM208" t="b">
        <f t="shared" si="214"/>
        <v>1</v>
      </c>
      <c r="BN208" t="str">
        <f t="shared" si="196"/>
        <v>R691</v>
      </c>
      <c r="BO208" t="str">
        <f t="shared" si="197"/>
        <v>R691</v>
      </c>
      <c r="BP208" t="str">
        <f t="shared" si="198"/>
        <v>R254</v>
      </c>
      <c r="BQ208" t="str">
        <f t="shared" si="199"/>
        <v>R254</v>
      </c>
      <c r="BR208" t="s">
        <v>448</v>
      </c>
      <c r="BS208" t="s">
        <v>447</v>
      </c>
      <c r="BT208" t="s">
        <v>448</v>
      </c>
      <c r="BU208" t="b">
        <f t="shared" si="215"/>
        <v>1</v>
      </c>
      <c r="BZ208" t="str">
        <f t="shared" si="200"/>
        <v>G248</v>
      </c>
      <c r="CA208" t="b">
        <f t="shared" si="201"/>
        <v>0</v>
      </c>
      <c r="CB208" t="str">
        <f t="shared" si="216"/>
        <v>G248</v>
      </c>
      <c r="CC208" t="str">
        <f t="shared" si="202"/>
        <v>R254</v>
      </c>
      <c r="CD208" t="b">
        <f t="shared" si="217"/>
        <v>0</v>
      </c>
      <c r="CE208" t="str">
        <f t="shared" si="218"/>
        <v>R254</v>
      </c>
      <c r="CG208" t="str">
        <f t="shared" si="203"/>
        <v>G628</v>
      </c>
      <c r="CH208" t="str">
        <f t="shared" si="219"/>
        <v>G628</v>
      </c>
      <c r="CI208" t="str">
        <f t="shared" si="204"/>
        <v>G814</v>
      </c>
      <c r="CJ208" t="str">
        <f t="shared" si="205"/>
        <v>G814</v>
      </c>
      <c r="CK208" t="s">
        <v>1422</v>
      </c>
      <c r="CL208" t="s">
        <v>1422</v>
      </c>
      <c r="CM208" t="s">
        <v>1422</v>
      </c>
      <c r="CN208" t="b">
        <f t="shared" si="220"/>
        <v>1</v>
      </c>
      <c r="CO208" t="str">
        <f t="shared" si="206"/>
        <v>R410</v>
      </c>
      <c r="CP208" t="str">
        <f t="shared" si="221"/>
        <v>R410</v>
      </c>
      <c r="CQ208" t="str">
        <f t="shared" si="207"/>
        <v>R334</v>
      </c>
      <c r="CR208" t="str">
        <f t="shared" si="208"/>
        <v>R334</v>
      </c>
      <c r="CS208" t="s">
        <v>731</v>
      </c>
      <c r="CT208" t="s">
        <v>731</v>
      </c>
      <c r="CU208" t="s">
        <v>731</v>
      </c>
      <c r="CV208" t="b">
        <f t="shared" si="222"/>
        <v>1</v>
      </c>
      <c r="DC208" t="str">
        <f t="shared" si="209"/>
        <v>G814</v>
      </c>
      <c r="DD208" t="b">
        <f t="shared" si="223"/>
        <v>0</v>
      </c>
      <c r="DE208" t="str">
        <f t="shared" si="224"/>
        <v>G814</v>
      </c>
      <c r="DF208" t="str">
        <f t="shared" si="210"/>
        <v>R334</v>
      </c>
      <c r="DG208" t="b">
        <f t="shared" si="225"/>
        <v>0</v>
      </c>
      <c r="DH208" t="str">
        <f t="shared" si="226"/>
        <v>R334</v>
      </c>
    </row>
    <row r="209" spans="2:112" ht="12" customHeight="1">
      <c r="B209" t="str">
        <f>TBIDry!H281</f>
        <v>G124</v>
      </c>
      <c r="C209" t="str">
        <f>TBIDry!I281</f>
        <v>R686</v>
      </c>
      <c r="D209" t="b">
        <f t="shared" si="173"/>
        <v>0</v>
      </c>
      <c r="E209" t="b">
        <f t="shared" si="174"/>
        <v>0</v>
      </c>
      <c r="G209" t="str">
        <f>TBIWet!H281</f>
        <v>G677</v>
      </c>
      <c r="H209" t="str">
        <f>TBIWet!I281</f>
        <v>R234</v>
      </c>
      <c r="I209" t="b">
        <f t="shared" si="175"/>
        <v>0</v>
      </c>
      <c r="J209" t="b">
        <f t="shared" si="176"/>
        <v>0</v>
      </c>
      <c r="L209" t="str">
        <f>'Both teabags AfterWet'!A207</f>
        <v>G633</v>
      </c>
      <c r="M209" t="str">
        <f>'Both teabags AfterWet'!A627</f>
        <v>R412</v>
      </c>
      <c r="N209" t="b">
        <f t="shared" si="177"/>
        <v>0</v>
      </c>
      <c r="O209" t="b">
        <f t="shared" si="227"/>
        <v>0</v>
      </c>
      <c r="Q209" s="388" t="b">
        <f t="shared" si="178"/>
        <v>0</v>
      </c>
      <c r="R209" s="388" t="b">
        <f t="shared" si="179"/>
        <v>0</v>
      </c>
      <c r="T209" t="str">
        <f>'Both teabags AfterDry'!A207</f>
        <v>G399</v>
      </c>
      <c r="U209" t="str">
        <f>'Both teabags AfterDry'!A542</f>
        <v>R693</v>
      </c>
      <c r="V209" t="b">
        <f t="shared" si="180"/>
        <v>0</v>
      </c>
      <c r="W209" t="b">
        <f t="shared" si="211"/>
        <v>0</v>
      </c>
      <c r="Y209" t="str">
        <f>'Green_rooibos initial weight'!A210</f>
        <v>G206</v>
      </c>
      <c r="Z209" t="str">
        <f>'Green_rooibos initial weight'!A1114</f>
        <v>R206</v>
      </c>
      <c r="AA209" t="b">
        <f t="shared" si="181"/>
        <v>0</v>
      </c>
      <c r="AB209" t="b">
        <f t="shared" si="182"/>
        <v>0</v>
      </c>
      <c r="AE209" t="str">
        <f>'WetLitterbags placem_collection'!K208</f>
        <v>G677</v>
      </c>
      <c r="AF209" t="str">
        <f>'WetLitterbags placem_collection'!M208</f>
        <v>R234</v>
      </c>
      <c r="AG209" t="b">
        <f t="shared" si="183"/>
        <v>0</v>
      </c>
      <c r="AH209" t="b">
        <f t="shared" si="184"/>
        <v>0</v>
      </c>
      <c r="AJ209" t="b">
        <f t="shared" si="185"/>
        <v>0</v>
      </c>
      <c r="AK209" t="b">
        <f t="shared" si="186"/>
        <v>0</v>
      </c>
      <c r="AM209" t="str">
        <f>IF(ISBLANK('Dry_Litterbag Placem_Collection'!J208),"","G"&amp;""&amp;'Dry_Litterbag Placem_Collection'!J208)</f>
        <v>G124</v>
      </c>
      <c r="AN209" t="str">
        <f>IF(ISBLANK('Dry_Litterbag Placem_Collection'!K208),"","R"&amp;""&amp;'Dry_Litterbag Placem_Collection'!K208)</f>
        <v>R686</v>
      </c>
      <c r="AO209" t="b">
        <f t="shared" si="187"/>
        <v>0</v>
      </c>
      <c r="AP209" t="b">
        <f t="shared" si="188"/>
        <v>0</v>
      </c>
      <c r="AS209" t="str">
        <f>'Ashed teabags dry'!A207</f>
        <v>G399</v>
      </c>
      <c r="AT209" t="str">
        <f>'Ashed teabags dry'!A542</f>
        <v>R693</v>
      </c>
      <c r="AU209" t="b">
        <f t="shared" si="189"/>
        <v>0</v>
      </c>
      <c r="AV209" t="b">
        <f t="shared" si="212"/>
        <v>0</v>
      </c>
      <c r="AX209" s="388" t="b">
        <f t="shared" si="190"/>
        <v>0</v>
      </c>
      <c r="AY209" s="388" t="b">
        <f t="shared" si="191"/>
        <v>0</v>
      </c>
      <c r="BA209" t="str">
        <f>'Ashed teabags wet'!A207</f>
        <v>G633</v>
      </c>
      <c r="BB209" t="str">
        <f>'Ashed teabags wet'!A627</f>
        <v>R412</v>
      </c>
      <c r="BC209" t="b">
        <f t="shared" si="192"/>
        <v>0</v>
      </c>
      <c r="BD209" t="b">
        <f t="shared" si="172"/>
        <v>0</v>
      </c>
      <c r="BF209" t="str">
        <f t="shared" si="193"/>
        <v>G398</v>
      </c>
      <c r="BG209" t="str">
        <f t="shared" si="194"/>
        <v>G398</v>
      </c>
      <c r="BH209" t="str">
        <f t="shared" si="195"/>
        <v>G55</v>
      </c>
      <c r="BI209" t="str">
        <f t="shared" si="213"/>
        <v>G55</v>
      </c>
      <c r="BJ209" t="s">
        <v>1652</v>
      </c>
      <c r="BK209" t="s">
        <v>1652</v>
      </c>
      <c r="BL209" t="s">
        <v>1652</v>
      </c>
      <c r="BM209" t="b">
        <f t="shared" si="214"/>
        <v>1</v>
      </c>
      <c r="BN209" t="str">
        <f t="shared" si="196"/>
        <v>R692</v>
      </c>
      <c r="BO209" t="str">
        <f t="shared" si="197"/>
        <v>R692</v>
      </c>
      <c r="BP209" t="str">
        <f t="shared" si="198"/>
        <v>R348</v>
      </c>
      <c r="BQ209" t="str">
        <f t="shared" si="199"/>
        <v>R348</v>
      </c>
      <c r="BR209" t="s">
        <v>447</v>
      </c>
      <c r="BS209" t="s">
        <v>446</v>
      </c>
      <c r="BT209" t="s">
        <v>447</v>
      </c>
      <c r="BU209" t="b">
        <f t="shared" si="215"/>
        <v>1</v>
      </c>
      <c r="BZ209" t="str">
        <f t="shared" si="200"/>
        <v>G55</v>
      </c>
      <c r="CA209" t="b">
        <f t="shared" si="201"/>
        <v>0</v>
      </c>
      <c r="CB209" t="str">
        <f t="shared" si="216"/>
        <v>G55</v>
      </c>
      <c r="CC209" t="str">
        <f t="shared" si="202"/>
        <v>R348</v>
      </c>
      <c r="CD209" t="b">
        <f t="shared" si="217"/>
        <v>0</v>
      </c>
      <c r="CE209" t="str">
        <f t="shared" si="218"/>
        <v>R348</v>
      </c>
      <c r="CG209" t="str">
        <f t="shared" si="203"/>
        <v>G632</v>
      </c>
      <c r="CH209" t="str">
        <f t="shared" si="219"/>
        <v>G632</v>
      </c>
      <c r="CI209" t="str">
        <f t="shared" si="204"/>
        <v>G621</v>
      </c>
      <c r="CJ209" t="str">
        <f t="shared" si="205"/>
        <v>G621</v>
      </c>
      <c r="CK209" t="s">
        <v>1418</v>
      </c>
      <c r="CL209" t="s">
        <v>1418</v>
      </c>
      <c r="CM209" t="s">
        <v>1418</v>
      </c>
      <c r="CN209" t="b">
        <f t="shared" si="220"/>
        <v>1</v>
      </c>
      <c r="CO209" t="str">
        <f t="shared" si="206"/>
        <v>R411</v>
      </c>
      <c r="CP209" t="str">
        <f t="shared" si="221"/>
        <v>R411</v>
      </c>
      <c r="CQ209" t="str">
        <f t="shared" si="207"/>
        <v>R265</v>
      </c>
      <c r="CR209" t="str">
        <f t="shared" si="208"/>
        <v>R265</v>
      </c>
      <c r="CS209" t="s">
        <v>730</v>
      </c>
      <c r="CT209" t="s">
        <v>730</v>
      </c>
      <c r="CU209" t="s">
        <v>730</v>
      </c>
      <c r="CV209" t="b">
        <f t="shared" si="222"/>
        <v>1</v>
      </c>
      <c r="DC209" t="str">
        <f t="shared" si="209"/>
        <v>G621</v>
      </c>
      <c r="DD209" t="b">
        <f t="shared" si="223"/>
        <v>0</v>
      </c>
      <c r="DE209" t="str">
        <f t="shared" si="224"/>
        <v>G621</v>
      </c>
      <c r="DF209" t="str">
        <f t="shared" si="210"/>
        <v>R265</v>
      </c>
      <c r="DG209" t="b">
        <f t="shared" si="225"/>
        <v>0</v>
      </c>
      <c r="DH209" t="str">
        <f t="shared" si="226"/>
        <v>R265</v>
      </c>
    </row>
    <row r="210" spans="2:112" ht="12" customHeight="1">
      <c r="B210" t="str">
        <f>TBIDry!H282</f>
        <v>G234</v>
      </c>
      <c r="C210" t="str">
        <f>TBIDry!I282</f>
        <v>R551</v>
      </c>
      <c r="D210" t="b">
        <f t="shared" si="173"/>
        <v>0</v>
      </c>
      <c r="E210" t="b">
        <f t="shared" si="174"/>
        <v>0</v>
      </c>
      <c r="G210" t="str">
        <f>TBIWet!H282</f>
        <v>G574</v>
      </c>
      <c r="H210" t="str">
        <f>TBIWet!I282</f>
        <v>R258</v>
      </c>
      <c r="I210" t="b">
        <f t="shared" si="175"/>
        <v>0</v>
      </c>
      <c r="J210" t="b">
        <f t="shared" si="176"/>
        <v>0</v>
      </c>
      <c r="L210" t="str">
        <f>'Both teabags AfterWet'!A208</f>
        <v>G634</v>
      </c>
      <c r="M210" t="str">
        <f>'Both teabags AfterWet'!A628</f>
        <v>R414</v>
      </c>
      <c r="N210" t="b">
        <f t="shared" si="177"/>
        <v>0</v>
      </c>
      <c r="O210" t="b">
        <f t="shared" si="227"/>
        <v>0</v>
      </c>
      <c r="Q210" s="388" t="b">
        <f t="shared" si="178"/>
        <v>0</v>
      </c>
      <c r="R210" s="388" t="b">
        <f t="shared" si="179"/>
        <v>0</v>
      </c>
      <c r="T210" t="str">
        <f>'Both teabags AfterDry'!A208</f>
        <v>G40</v>
      </c>
      <c r="U210" t="str">
        <f>'Both teabags AfterDry'!A543</f>
        <v>R694</v>
      </c>
      <c r="V210" t="b">
        <f t="shared" si="180"/>
        <v>0</v>
      </c>
      <c r="W210" t="b">
        <f t="shared" si="211"/>
        <v>0</v>
      </c>
      <c r="Y210" t="str">
        <f>'Green_rooibos initial weight'!A211</f>
        <v>G207</v>
      </c>
      <c r="Z210" t="str">
        <f>'Green_rooibos initial weight'!A1115</f>
        <v>R207</v>
      </c>
      <c r="AA210" t="b">
        <f t="shared" si="181"/>
        <v>0</v>
      </c>
      <c r="AB210" t="b">
        <f t="shared" si="182"/>
        <v>0</v>
      </c>
      <c r="AE210" t="str">
        <f>'WetLitterbags placem_collection'!K209</f>
        <v>G574</v>
      </c>
      <c r="AF210" t="str">
        <f>'WetLitterbags placem_collection'!M209</f>
        <v>R258</v>
      </c>
      <c r="AG210" t="b">
        <f t="shared" si="183"/>
        <v>0</v>
      </c>
      <c r="AH210" t="b">
        <f t="shared" si="184"/>
        <v>0</v>
      </c>
      <c r="AJ210" t="b">
        <f t="shared" si="185"/>
        <v>0</v>
      </c>
      <c r="AK210" t="b">
        <f t="shared" si="186"/>
        <v>0</v>
      </c>
      <c r="AM210" t="str">
        <f>IF(ISBLANK('Dry_Litterbag Placem_Collection'!J209),"","G"&amp;""&amp;'Dry_Litterbag Placem_Collection'!J209)</f>
        <v>G234</v>
      </c>
      <c r="AN210" t="str">
        <f>IF(ISBLANK('Dry_Litterbag Placem_Collection'!K209),"","R"&amp;""&amp;'Dry_Litterbag Placem_Collection'!K209)</f>
        <v>R551</v>
      </c>
      <c r="AO210" t="b">
        <f t="shared" si="187"/>
        <v>0</v>
      </c>
      <c r="AP210" t="b">
        <f t="shared" si="188"/>
        <v>0</v>
      </c>
      <c r="AS210" t="str">
        <f>'Ashed teabags dry'!A208</f>
        <v>G40</v>
      </c>
      <c r="AT210" t="str">
        <f>'Ashed teabags dry'!A543</f>
        <v>R694</v>
      </c>
      <c r="AU210" t="b">
        <f t="shared" si="189"/>
        <v>0</v>
      </c>
      <c r="AV210" t="b">
        <f t="shared" si="212"/>
        <v>0</v>
      </c>
      <c r="AX210" s="388" t="b">
        <f t="shared" si="190"/>
        <v>0</v>
      </c>
      <c r="AY210" s="388" t="b">
        <f t="shared" si="191"/>
        <v>0</v>
      </c>
      <c r="BA210" t="str">
        <f>'Ashed teabags wet'!A208</f>
        <v>G634</v>
      </c>
      <c r="BB210" t="str">
        <f>'Ashed teabags wet'!A628</f>
        <v>R414</v>
      </c>
      <c r="BC210" t="b">
        <f t="shared" si="192"/>
        <v>0</v>
      </c>
      <c r="BD210" t="b">
        <f t="shared" si="172"/>
        <v>0</v>
      </c>
      <c r="BF210" t="str">
        <f t="shared" si="193"/>
        <v>G399</v>
      </c>
      <c r="BG210" t="str">
        <f t="shared" si="194"/>
        <v>G399</v>
      </c>
      <c r="BH210" t="str">
        <f t="shared" si="195"/>
        <v>G124</v>
      </c>
      <c r="BI210" t="str">
        <f t="shared" si="213"/>
        <v>G124</v>
      </c>
      <c r="BJ210" t="s">
        <v>1651</v>
      </c>
      <c r="BK210" t="s">
        <v>1651</v>
      </c>
      <c r="BL210" t="s">
        <v>1651</v>
      </c>
      <c r="BM210" t="b">
        <f t="shared" si="214"/>
        <v>1</v>
      </c>
      <c r="BN210" t="str">
        <f t="shared" si="196"/>
        <v>R693</v>
      </c>
      <c r="BO210" t="str">
        <f t="shared" si="197"/>
        <v>R693</v>
      </c>
      <c r="BP210" t="str">
        <f t="shared" si="198"/>
        <v>R686</v>
      </c>
      <c r="BQ210" t="str">
        <f t="shared" si="199"/>
        <v>R686</v>
      </c>
      <c r="BR210" t="s">
        <v>446</v>
      </c>
      <c r="BS210" t="s">
        <v>445</v>
      </c>
      <c r="BT210" t="s">
        <v>446</v>
      </c>
      <c r="BU210" t="b">
        <f t="shared" si="215"/>
        <v>1</v>
      </c>
      <c r="BZ210" t="str">
        <f t="shared" si="200"/>
        <v>G124</v>
      </c>
      <c r="CA210" t="b">
        <f t="shared" si="201"/>
        <v>0</v>
      </c>
      <c r="CB210" t="str">
        <f t="shared" si="216"/>
        <v>G124</v>
      </c>
      <c r="CC210" t="str">
        <f t="shared" si="202"/>
        <v>R686</v>
      </c>
      <c r="CD210" t="b">
        <f t="shared" si="217"/>
        <v>0</v>
      </c>
      <c r="CE210" t="str">
        <f t="shared" si="218"/>
        <v>R686</v>
      </c>
      <c r="CG210" t="str">
        <f t="shared" si="203"/>
        <v>G633</v>
      </c>
      <c r="CH210" t="str">
        <f t="shared" si="219"/>
        <v>G633</v>
      </c>
      <c r="CI210" t="str">
        <f t="shared" si="204"/>
        <v>G677</v>
      </c>
      <c r="CJ210" t="str">
        <f t="shared" si="205"/>
        <v>G677</v>
      </c>
      <c r="CK210" t="s">
        <v>1417</v>
      </c>
      <c r="CL210" t="s">
        <v>1417</v>
      </c>
      <c r="CM210" t="s">
        <v>1417</v>
      </c>
      <c r="CN210" t="b">
        <f t="shared" si="220"/>
        <v>1</v>
      </c>
      <c r="CO210" t="str">
        <f t="shared" si="206"/>
        <v>R412</v>
      </c>
      <c r="CP210" t="str">
        <f t="shared" si="221"/>
        <v>R412</v>
      </c>
      <c r="CQ210" t="str">
        <f t="shared" si="207"/>
        <v>R234</v>
      </c>
      <c r="CR210" t="str">
        <f t="shared" si="208"/>
        <v>R234</v>
      </c>
      <c r="CS210" t="s">
        <v>729</v>
      </c>
      <c r="CT210" t="s">
        <v>729</v>
      </c>
      <c r="CU210" t="s">
        <v>729</v>
      </c>
      <c r="CV210" t="b">
        <f t="shared" si="222"/>
        <v>1</v>
      </c>
      <c r="DC210" t="str">
        <f t="shared" si="209"/>
        <v>G677</v>
      </c>
      <c r="DD210" t="b">
        <f t="shared" si="223"/>
        <v>0</v>
      </c>
      <c r="DE210" t="str">
        <f t="shared" si="224"/>
        <v>G677</v>
      </c>
      <c r="DF210" t="str">
        <f t="shared" si="210"/>
        <v>R234</v>
      </c>
      <c r="DG210" t="b">
        <f t="shared" si="225"/>
        <v>0</v>
      </c>
      <c r="DH210" t="str">
        <f t="shared" si="226"/>
        <v>R234</v>
      </c>
    </row>
    <row r="211" spans="2:112" ht="12" customHeight="1">
      <c r="B211" t="str">
        <f>TBIDry!H283</f>
        <v>G412</v>
      </c>
      <c r="C211" t="str">
        <f>TBIDry!I283</f>
        <v>R516</v>
      </c>
      <c r="D211" t="b">
        <f t="shared" si="173"/>
        <v>0</v>
      </c>
      <c r="E211" t="b">
        <f t="shared" si="174"/>
        <v>0</v>
      </c>
      <c r="G211" t="str">
        <f>TBIWet!H283</f>
        <v>G710</v>
      </c>
      <c r="H211" t="str">
        <f>TBIWet!I283</f>
        <v>R344</v>
      </c>
      <c r="I211" t="b">
        <f t="shared" si="175"/>
        <v>0</v>
      </c>
      <c r="J211" t="b">
        <f t="shared" si="176"/>
        <v>0</v>
      </c>
      <c r="L211" t="str">
        <f>'Both teabags AfterWet'!A209</f>
        <v>G636</v>
      </c>
      <c r="M211" t="str">
        <f>'Both teabags AfterWet'!A629</f>
        <v>R415</v>
      </c>
      <c r="N211" t="b">
        <f t="shared" si="177"/>
        <v>0</v>
      </c>
      <c r="O211" t="b">
        <f t="shared" si="227"/>
        <v>0</v>
      </c>
      <c r="Q211" s="388" t="b">
        <f t="shared" si="178"/>
        <v>0</v>
      </c>
      <c r="R211" s="388" t="b">
        <f t="shared" si="179"/>
        <v>0</v>
      </c>
      <c r="T211" t="str">
        <f>'Both teabags AfterDry'!A209</f>
        <v>G400</v>
      </c>
      <c r="U211" t="str">
        <f>'Both teabags AfterDry'!A544</f>
        <v>R695</v>
      </c>
      <c r="V211" t="b">
        <f t="shared" si="180"/>
        <v>0</v>
      </c>
      <c r="W211" t="b">
        <f t="shared" si="211"/>
        <v>0</v>
      </c>
      <c r="Y211" t="str">
        <f>'Green_rooibos initial weight'!A212</f>
        <v>G208</v>
      </c>
      <c r="Z211" t="str">
        <f>'Green_rooibos initial weight'!A1116</f>
        <v>R208</v>
      </c>
      <c r="AA211" t="b">
        <f t="shared" si="181"/>
        <v>0</v>
      </c>
      <c r="AB211" t="b">
        <f t="shared" si="182"/>
        <v>0</v>
      </c>
      <c r="AE211" t="str">
        <f>'WetLitterbags placem_collection'!K210</f>
        <v>G710</v>
      </c>
      <c r="AF211" t="str">
        <f>'WetLitterbags placem_collection'!M210</f>
        <v>R344</v>
      </c>
      <c r="AG211" t="b">
        <f t="shared" si="183"/>
        <v>0</v>
      </c>
      <c r="AH211" t="b">
        <f t="shared" si="184"/>
        <v>0</v>
      </c>
      <c r="AJ211" t="b">
        <f t="shared" si="185"/>
        <v>0</v>
      </c>
      <c r="AK211" t="b">
        <f t="shared" si="186"/>
        <v>0</v>
      </c>
      <c r="AM211" t="str">
        <f>IF(ISBLANK('Dry_Litterbag Placem_Collection'!J210),"","G"&amp;""&amp;'Dry_Litterbag Placem_Collection'!J210)</f>
        <v>G412</v>
      </c>
      <c r="AN211" t="str">
        <f>IF(ISBLANK('Dry_Litterbag Placem_Collection'!K210),"","R"&amp;""&amp;'Dry_Litterbag Placem_Collection'!K210)</f>
        <v>R516</v>
      </c>
      <c r="AO211" t="b">
        <f t="shared" si="187"/>
        <v>0</v>
      </c>
      <c r="AP211" t="b">
        <f t="shared" si="188"/>
        <v>0</v>
      </c>
      <c r="AS211" t="str">
        <f>'Ashed teabags dry'!A209</f>
        <v>G400</v>
      </c>
      <c r="AT211" t="str">
        <f>'Ashed teabags dry'!A544</f>
        <v>R695</v>
      </c>
      <c r="AU211" t="b">
        <f t="shared" si="189"/>
        <v>0</v>
      </c>
      <c r="AV211" t="b">
        <f t="shared" si="212"/>
        <v>0</v>
      </c>
      <c r="AX211" s="388" t="b">
        <f t="shared" si="190"/>
        <v>0</v>
      </c>
      <c r="AY211" s="388" t="b">
        <f t="shared" si="191"/>
        <v>0</v>
      </c>
      <c r="BA211" t="str">
        <f>'Ashed teabags wet'!A209</f>
        <v>G636</v>
      </c>
      <c r="BB211" t="str">
        <f>'Ashed teabags wet'!A629</f>
        <v>R415</v>
      </c>
      <c r="BC211" t="b">
        <f t="shared" si="192"/>
        <v>0</v>
      </c>
      <c r="BD211" t="b">
        <f t="shared" si="172"/>
        <v>0</v>
      </c>
      <c r="BF211" t="str">
        <f t="shared" si="193"/>
        <v>G40</v>
      </c>
      <c r="BG211" t="str">
        <f t="shared" si="194"/>
        <v>G40</v>
      </c>
      <c r="BH211" t="str">
        <f t="shared" si="195"/>
        <v>G234</v>
      </c>
      <c r="BI211" t="str">
        <f t="shared" si="213"/>
        <v>G234</v>
      </c>
      <c r="BJ211" t="s">
        <v>2010</v>
      </c>
      <c r="BK211" t="s">
        <v>2010</v>
      </c>
      <c r="BL211" t="s">
        <v>2010</v>
      </c>
      <c r="BM211" t="b">
        <f t="shared" si="214"/>
        <v>1</v>
      </c>
      <c r="BN211" t="str">
        <f t="shared" si="196"/>
        <v>R694</v>
      </c>
      <c r="BO211" t="str">
        <f t="shared" si="197"/>
        <v>R694</v>
      </c>
      <c r="BP211" t="str">
        <f t="shared" si="198"/>
        <v>R551</v>
      </c>
      <c r="BQ211" t="str">
        <f t="shared" si="199"/>
        <v>R551</v>
      </c>
      <c r="BR211" t="s">
        <v>445</v>
      </c>
      <c r="BS211" t="s">
        <v>444</v>
      </c>
      <c r="BT211" t="s">
        <v>445</v>
      </c>
      <c r="BU211" t="b">
        <f t="shared" si="215"/>
        <v>1</v>
      </c>
      <c r="BZ211" t="str">
        <f t="shared" si="200"/>
        <v>G234</v>
      </c>
      <c r="CA211" t="b">
        <f t="shared" si="201"/>
        <v>0</v>
      </c>
      <c r="CB211" t="str">
        <f t="shared" si="216"/>
        <v>G234</v>
      </c>
      <c r="CC211" t="str">
        <f t="shared" si="202"/>
        <v>R551</v>
      </c>
      <c r="CD211" t="b">
        <f t="shared" si="217"/>
        <v>0</v>
      </c>
      <c r="CE211" t="str">
        <f t="shared" si="218"/>
        <v>R551</v>
      </c>
      <c r="CG211" t="str">
        <f t="shared" si="203"/>
        <v>G634</v>
      </c>
      <c r="CH211" t="str">
        <f t="shared" si="219"/>
        <v>G634</v>
      </c>
      <c r="CI211" t="str">
        <f t="shared" si="204"/>
        <v>G574</v>
      </c>
      <c r="CJ211" t="str">
        <f t="shared" si="205"/>
        <v>G574</v>
      </c>
      <c r="CK211" t="s">
        <v>1416</v>
      </c>
      <c r="CL211" t="s">
        <v>1416</v>
      </c>
      <c r="CM211" t="s">
        <v>1416</v>
      </c>
      <c r="CN211" t="b">
        <f t="shared" si="220"/>
        <v>1</v>
      </c>
      <c r="CO211" t="str">
        <f t="shared" si="206"/>
        <v>R414</v>
      </c>
      <c r="CP211" t="str">
        <f t="shared" si="221"/>
        <v>R414</v>
      </c>
      <c r="CQ211" t="str">
        <f t="shared" si="207"/>
        <v>R258</v>
      </c>
      <c r="CR211" t="str">
        <f t="shared" si="208"/>
        <v>R258</v>
      </c>
      <c r="CS211" t="s">
        <v>727</v>
      </c>
      <c r="CT211" t="s">
        <v>727</v>
      </c>
      <c r="CU211" t="s">
        <v>727</v>
      </c>
      <c r="CV211" t="b">
        <f t="shared" si="222"/>
        <v>1</v>
      </c>
      <c r="DC211" t="str">
        <f t="shared" si="209"/>
        <v>G574</v>
      </c>
      <c r="DD211" t="b">
        <f t="shared" si="223"/>
        <v>0</v>
      </c>
      <c r="DE211" t="str">
        <f t="shared" si="224"/>
        <v>G574</v>
      </c>
      <c r="DF211" t="str">
        <f t="shared" si="210"/>
        <v>R258</v>
      </c>
      <c r="DG211" t="b">
        <f t="shared" si="225"/>
        <v>0</v>
      </c>
      <c r="DH211" t="str">
        <f t="shared" si="226"/>
        <v>R258</v>
      </c>
    </row>
    <row r="212" spans="2:112" ht="12" customHeight="1">
      <c r="B212" t="str">
        <f>TBIDry!H284</f>
        <v>G94</v>
      </c>
      <c r="C212" t="str">
        <f>TBIDry!I284</f>
        <v>R678</v>
      </c>
      <c r="D212" t="b">
        <f t="shared" si="173"/>
        <v>0</v>
      </c>
      <c r="E212" t="b">
        <f t="shared" si="174"/>
        <v>0</v>
      </c>
      <c r="G212" t="str">
        <f>TBIWet!H284</f>
        <v>G604</v>
      </c>
      <c r="H212" t="str">
        <f>TBIWet!I284</f>
        <v>R271</v>
      </c>
      <c r="I212" t="b">
        <f t="shared" si="175"/>
        <v>0</v>
      </c>
      <c r="J212" t="b">
        <f t="shared" si="176"/>
        <v>0</v>
      </c>
      <c r="L212" t="str">
        <f>'Both teabags AfterWet'!A210</f>
        <v>G637</v>
      </c>
      <c r="M212" t="str">
        <f>'Both teabags AfterWet'!A630</f>
        <v>R417</v>
      </c>
      <c r="N212" t="b">
        <f t="shared" si="177"/>
        <v>0</v>
      </c>
      <c r="O212" t="b">
        <f t="shared" si="227"/>
        <v>0</v>
      </c>
      <c r="Q212" s="388" t="b">
        <f t="shared" si="178"/>
        <v>0</v>
      </c>
      <c r="R212" s="388" t="b">
        <f t="shared" si="179"/>
        <v>0</v>
      </c>
      <c r="T212" t="str">
        <f>'Both teabags AfterDry'!A210</f>
        <v>G401</v>
      </c>
      <c r="U212" t="str">
        <f>'Both teabags AfterDry'!A545</f>
        <v>R696</v>
      </c>
      <c r="V212" t="b">
        <f t="shared" si="180"/>
        <v>0</v>
      </c>
      <c r="W212" t="b">
        <f t="shared" si="211"/>
        <v>0</v>
      </c>
      <c r="Y212" t="str">
        <f>'Green_rooibos initial weight'!A213</f>
        <v>G209</v>
      </c>
      <c r="Z212" t="str">
        <f>'Green_rooibos initial weight'!A1117</f>
        <v>R209</v>
      </c>
      <c r="AA212" t="b">
        <f t="shared" si="181"/>
        <v>0</v>
      </c>
      <c r="AB212" t="b">
        <f t="shared" si="182"/>
        <v>0</v>
      </c>
      <c r="AE212" t="str">
        <f>'WetLitterbags placem_collection'!K211</f>
        <v>G604</v>
      </c>
      <c r="AF212" t="str">
        <f>'WetLitterbags placem_collection'!M211</f>
        <v>R271</v>
      </c>
      <c r="AG212" t="b">
        <f t="shared" si="183"/>
        <v>0</v>
      </c>
      <c r="AH212" t="b">
        <f t="shared" si="184"/>
        <v>0</v>
      </c>
      <c r="AJ212" t="b">
        <f t="shared" si="185"/>
        <v>0</v>
      </c>
      <c r="AK212" t="b">
        <f t="shared" si="186"/>
        <v>0</v>
      </c>
      <c r="AM212" t="str">
        <f>IF(ISBLANK('Dry_Litterbag Placem_Collection'!J211),"","G"&amp;""&amp;'Dry_Litterbag Placem_Collection'!J211)</f>
        <v>G94</v>
      </c>
      <c r="AN212" t="str">
        <f>IF(ISBLANK('Dry_Litterbag Placem_Collection'!K211),"","R"&amp;""&amp;'Dry_Litterbag Placem_Collection'!K211)</f>
        <v>R678</v>
      </c>
      <c r="AO212" t="b">
        <f t="shared" si="187"/>
        <v>0</v>
      </c>
      <c r="AP212" t="b">
        <f t="shared" si="188"/>
        <v>0</v>
      </c>
      <c r="AS212" t="str">
        <f>'Ashed teabags dry'!A210</f>
        <v>G401</v>
      </c>
      <c r="AT212" t="str">
        <f>'Ashed teabags dry'!A545</f>
        <v>R696</v>
      </c>
      <c r="AU212" t="b">
        <f t="shared" si="189"/>
        <v>0</v>
      </c>
      <c r="AV212" t="b">
        <f t="shared" si="212"/>
        <v>0</v>
      </c>
      <c r="AX212" s="388" t="b">
        <f t="shared" si="190"/>
        <v>0</v>
      </c>
      <c r="AY212" s="388" t="b">
        <f t="shared" si="191"/>
        <v>0</v>
      </c>
      <c r="BA212" t="str">
        <f>'Ashed teabags wet'!A210</f>
        <v>G637</v>
      </c>
      <c r="BB212" t="str">
        <f>'Ashed teabags wet'!A630</f>
        <v>R417</v>
      </c>
      <c r="BC212" t="b">
        <f t="shared" si="192"/>
        <v>0</v>
      </c>
      <c r="BD212" t="b">
        <f t="shared" si="172"/>
        <v>0</v>
      </c>
      <c r="BF212" t="str">
        <f t="shared" si="193"/>
        <v>G400</v>
      </c>
      <c r="BG212" t="str">
        <f t="shared" si="194"/>
        <v>G400</v>
      </c>
      <c r="BH212" t="str">
        <f t="shared" si="195"/>
        <v>G412</v>
      </c>
      <c r="BI212" t="str">
        <f t="shared" si="213"/>
        <v>G412</v>
      </c>
      <c r="BJ212" t="s">
        <v>1650</v>
      </c>
      <c r="BK212" t="s">
        <v>1650</v>
      </c>
      <c r="BL212" t="s">
        <v>1650</v>
      </c>
      <c r="BM212" t="b">
        <f t="shared" si="214"/>
        <v>1</v>
      </c>
      <c r="BN212" t="str">
        <f t="shared" si="196"/>
        <v>R695</v>
      </c>
      <c r="BO212" t="str">
        <f t="shared" si="197"/>
        <v>R695</v>
      </c>
      <c r="BP212" t="str">
        <f t="shared" si="198"/>
        <v>R516</v>
      </c>
      <c r="BQ212" t="str">
        <f t="shared" si="199"/>
        <v>R516</v>
      </c>
      <c r="BR212" t="s">
        <v>444</v>
      </c>
      <c r="BS212" t="s">
        <v>443</v>
      </c>
      <c r="BT212" t="s">
        <v>444</v>
      </c>
      <c r="BU212" t="b">
        <f t="shared" si="215"/>
        <v>1</v>
      </c>
      <c r="BZ212" t="str">
        <f t="shared" si="200"/>
        <v>G412</v>
      </c>
      <c r="CA212" t="b">
        <f t="shared" si="201"/>
        <v>0</v>
      </c>
      <c r="CB212" t="str">
        <f t="shared" si="216"/>
        <v>G412</v>
      </c>
      <c r="CC212" t="str">
        <f t="shared" si="202"/>
        <v>R516</v>
      </c>
      <c r="CD212" t="b">
        <f t="shared" si="217"/>
        <v>0</v>
      </c>
      <c r="CE212" t="str">
        <f t="shared" si="218"/>
        <v>R516</v>
      </c>
      <c r="CG212" t="str">
        <f t="shared" si="203"/>
        <v>G636</v>
      </c>
      <c r="CH212" t="str">
        <f t="shared" si="219"/>
        <v>G636</v>
      </c>
      <c r="CI212" t="str">
        <f t="shared" si="204"/>
        <v>G710</v>
      </c>
      <c r="CJ212" t="str">
        <f t="shared" si="205"/>
        <v>G710</v>
      </c>
      <c r="CK212" t="s">
        <v>1414</v>
      </c>
      <c r="CL212" t="s">
        <v>1414</v>
      </c>
      <c r="CM212" t="s">
        <v>1414</v>
      </c>
      <c r="CN212" t="b">
        <f t="shared" si="220"/>
        <v>1</v>
      </c>
      <c r="CO212" t="str">
        <f t="shared" si="206"/>
        <v>R415</v>
      </c>
      <c r="CP212" t="str">
        <f t="shared" si="221"/>
        <v>R415</v>
      </c>
      <c r="CQ212" t="str">
        <f t="shared" si="207"/>
        <v>R344</v>
      </c>
      <c r="CR212" t="str">
        <f t="shared" si="208"/>
        <v>R344</v>
      </c>
      <c r="CS212" t="s">
        <v>726</v>
      </c>
      <c r="CT212" t="s">
        <v>726</v>
      </c>
      <c r="CU212" t="s">
        <v>726</v>
      </c>
      <c r="CV212" t="b">
        <f t="shared" si="222"/>
        <v>1</v>
      </c>
      <c r="DC212" t="str">
        <f t="shared" si="209"/>
        <v>G710</v>
      </c>
      <c r="DD212" t="b">
        <f t="shared" si="223"/>
        <v>0</v>
      </c>
      <c r="DE212" t="str">
        <f t="shared" si="224"/>
        <v>G710</v>
      </c>
      <c r="DF212" t="str">
        <f t="shared" si="210"/>
        <v>R344</v>
      </c>
      <c r="DG212" t="b">
        <f t="shared" si="225"/>
        <v>0</v>
      </c>
      <c r="DH212" t="str">
        <f t="shared" si="226"/>
        <v>R344</v>
      </c>
    </row>
    <row r="213" spans="2:112" ht="12" customHeight="1">
      <c r="B213" t="str">
        <f>TBIDry!H285</f>
        <v>G93</v>
      </c>
      <c r="C213" t="str">
        <f>TBIDry!I285</f>
        <v>R335</v>
      </c>
      <c r="D213" t="b">
        <f t="shared" si="173"/>
        <v>0</v>
      </c>
      <c r="E213" t="b">
        <f t="shared" si="174"/>
        <v>0</v>
      </c>
      <c r="G213" t="str">
        <f>TBIWet!H285</f>
        <v>G871</v>
      </c>
      <c r="H213" t="str">
        <f>TBIWet!I285</f>
        <v>R340</v>
      </c>
      <c r="I213" t="b">
        <f t="shared" si="175"/>
        <v>0</v>
      </c>
      <c r="J213" t="b">
        <f t="shared" si="176"/>
        <v>0</v>
      </c>
      <c r="L213" t="str">
        <f>'Both teabags AfterWet'!A211</f>
        <v>G638</v>
      </c>
      <c r="M213" t="str">
        <f>'Both teabags AfterWet'!A631</f>
        <v>R418</v>
      </c>
      <c r="N213" t="b">
        <f t="shared" si="177"/>
        <v>0</v>
      </c>
      <c r="O213" t="b">
        <f t="shared" si="227"/>
        <v>0</v>
      </c>
      <c r="Q213" s="388" t="b">
        <f t="shared" si="178"/>
        <v>0</v>
      </c>
      <c r="R213" s="388" t="b">
        <f t="shared" si="179"/>
        <v>0</v>
      </c>
      <c r="T213" t="str">
        <f>'Both teabags AfterDry'!A211</f>
        <v>G407</v>
      </c>
      <c r="U213" t="str">
        <f>'Both teabags AfterDry'!A546</f>
        <v>R697</v>
      </c>
      <c r="V213" t="b">
        <f t="shared" si="180"/>
        <v>0</v>
      </c>
      <c r="W213" t="b">
        <f t="shared" si="211"/>
        <v>0</v>
      </c>
      <c r="Y213" t="str">
        <f>'Green_rooibos initial weight'!A214</f>
        <v>G210</v>
      </c>
      <c r="Z213" t="str">
        <f>'Green_rooibos initial weight'!A1118</f>
        <v>R210</v>
      </c>
      <c r="AA213" t="b">
        <f t="shared" si="181"/>
        <v>0</v>
      </c>
      <c r="AB213" t="b">
        <f t="shared" si="182"/>
        <v>0</v>
      </c>
      <c r="AE213" t="str">
        <f>'WetLitterbags placem_collection'!K212</f>
        <v>G871</v>
      </c>
      <c r="AF213" t="str">
        <f>'WetLitterbags placem_collection'!M212</f>
        <v>R340</v>
      </c>
      <c r="AG213" t="b">
        <f t="shared" si="183"/>
        <v>0</v>
      </c>
      <c r="AH213" t="b">
        <f t="shared" si="184"/>
        <v>0</v>
      </c>
      <c r="AJ213" t="b">
        <f t="shared" si="185"/>
        <v>0</v>
      </c>
      <c r="AK213" t="b">
        <f t="shared" si="186"/>
        <v>0</v>
      </c>
      <c r="AM213" t="str">
        <f>IF(ISBLANK('Dry_Litterbag Placem_Collection'!J212),"","G"&amp;""&amp;'Dry_Litterbag Placem_Collection'!J212)</f>
        <v>G93</v>
      </c>
      <c r="AN213" t="str">
        <f>IF(ISBLANK('Dry_Litterbag Placem_Collection'!K212),"","R"&amp;""&amp;'Dry_Litterbag Placem_Collection'!K212)</f>
        <v>R335</v>
      </c>
      <c r="AO213" t="b">
        <f t="shared" si="187"/>
        <v>0</v>
      </c>
      <c r="AP213" t="b">
        <f t="shared" si="188"/>
        <v>0</v>
      </c>
      <c r="AS213" t="str">
        <f>'Ashed teabags dry'!A211</f>
        <v>G407</v>
      </c>
      <c r="AT213" t="str">
        <f>'Ashed teabags dry'!A546</f>
        <v>R697</v>
      </c>
      <c r="AU213" t="b">
        <f t="shared" si="189"/>
        <v>0</v>
      </c>
      <c r="AV213" t="b">
        <f t="shared" si="212"/>
        <v>0</v>
      </c>
      <c r="AX213" s="388" t="b">
        <f t="shared" si="190"/>
        <v>0</v>
      </c>
      <c r="AY213" s="388" t="b">
        <f t="shared" si="191"/>
        <v>0</v>
      </c>
      <c r="BA213" t="str">
        <f>'Ashed teabags wet'!A211</f>
        <v>G638</v>
      </c>
      <c r="BB213" t="str">
        <f>'Ashed teabags wet'!A631</f>
        <v>R418</v>
      </c>
      <c r="BC213" t="b">
        <f t="shared" si="192"/>
        <v>0</v>
      </c>
      <c r="BD213" t="b">
        <f t="shared" si="172"/>
        <v>0</v>
      </c>
      <c r="BF213" t="str">
        <f t="shared" si="193"/>
        <v>G401</v>
      </c>
      <c r="BG213" t="str">
        <f t="shared" si="194"/>
        <v>G401</v>
      </c>
      <c r="BH213" t="str">
        <f t="shared" si="195"/>
        <v>G94</v>
      </c>
      <c r="BI213" t="str">
        <f t="shared" si="213"/>
        <v>G94</v>
      </c>
      <c r="BJ213" t="s">
        <v>1649</v>
      </c>
      <c r="BK213" t="s">
        <v>1649</v>
      </c>
      <c r="BL213" t="s">
        <v>1649</v>
      </c>
      <c r="BM213" t="b">
        <f t="shared" si="214"/>
        <v>1</v>
      </c>
      <c r="BN213" t="str">
        <f t="shared" si="196"/>
        <v>R696</v>
      </c>
      <c r="BO213" t="str">
        <f t="shared" si="197"/>
        <v>R696</v>
      </c>
      <c r="BP213" t="str">
        <f t="shared" si="198"/>
        <v>R678</v>
      </c>
      <c r="BQ213" t="str">
        <f t="shared" si="199"/>
        <v>R678</v>
      </c>
      <c r="BR213" t="s">
        <v>443</v>
      </c>
      <c r="BS213" t="s">
        <v>442</v>
      </c>
      <c r="BT213" t="s">
        <v>443</v>
      </c>
      <c r="BU213" t="b">
        <f t="shared" si="215"/>
        <v>1</v>
      </c>
      <c r="BZ213" t="str">
        <f t="shared" si="200"/>
        <v>G94</v>
      </c>
      <c r="CA213" t="b">
        <f t="shared" si="201"/>
        <v>0</v>
      </c>
      <c r="CB213" t="str">
        <f t="shared" si="216"/>
        <v>G94</v>
      </c>
      <c r="CC213" t="str">
        <f t="shared" si="202"/>
        <v>R678</v>
      </c>
      <c r="CD213" t="b">
        <f t="shared" si="217"/>
        <v>0</v>
      </c>
      <c r="CE213" t="str">
        <f t="shared" si="218"/>
        <v>R678</v>
      </c>
      <c r="CG213" t="str">
        <f t="shared" si="203"/>
        <v>G637</v>
      </c>
      <c r="CH213" t="str">
        <f t="shared" si="219"/>
        <v>G637</v>
      </c>
      <c r="CI213" t="str">
        <f t="shared" si="204"/>
        <v>G604</v>
      </c>
      <c r="CJ213" t="str">
        <f t="shared" si="205"/>
        <v>G604</v>
      </c>
      <c r="CK213" t="s">
        <v>1413</v>
      </c>
      <c r="CL213" t="s">
        <v>1413</v>
      </c>
      <c r="CM213" t="s">
        <v>1413</v>
      </c>
      <c r="CN213" t="b">
        <f t="shared" si="220"/>
        <v>1</v>
      </c>
      <c r="CO213" t="str">
        <f t="shared" si="206"/>
        <v>R417</v>
      </c>
      <c r="CP213" t="str">
        <f t="shared" si="221"/>
        <v>R417</v>
      </c>
      <c r="CQ213" t="str">
        <f t="shared" si="207"/>
        <v>R271</v>
      </c>
      <c r="CR213" t="str">
        <f t="shared" si="208"/>
        <v>R271</v>
      </c>
      <c r="CS213" t="s">
        <v>724</v>
      </c>
      <c r="CT213" t="s">
        <v>724</v>
      </c>
      <c r="CU213" t="s">
        <v>724</v>
      </c>
      <c r="CV213" t="b">
        <f t="shared" si="222"/>
        <v>1</v>
      </c>
      <c r="DC213" t="str">
        <f t="shared" si="209"/>
        <v>G604</v>
      </c>
      <c r="DD213" t="b">
        <f t="shared" si="223"/>
        <v>0</v>
      </c>
      <c r="DE213" t="str">
        <f t="shared" si="224"/>
        <v>G604</v>
      </c>
      <c r="DF213" t="str">
        <f t="shared" si="210"/>
        <v>R271</v>
      </c>
      <c r="DG213" t="b">
        <f t="shared" si="225"/>
        <v>0</v>
      </c>
      <c r="DH213" t="str">
        <f t="shared" si="226"/>
        <v>R271</v>
      </c>
    </row>
    <row r="214" spans="2:112" ht="12" customHeight="1">
      <c r="B214" t="str">
        <f>TBIDry!H286</f>
        <v>G26</v>
      </c>
      <c r="C214" t="str">
        <f>TBIDry!I286</f>
        <v>R249</v>
      </c>
      <c r="D214" t="b">
        <f t="shared" si="173"/>
        <v>0</v>
      </c>
      <c r="E214" t="b">
        <f t="shared" si="174"/>
        <v>0</v>
      </c>
      <c r="G214" t="str">
        <f>TBIWet!H286</f>
        <v>G822</v>
      </c>
      <c r="H214" t="str">
        <f>TBIWet!I286</f>
        <v>R381</v>
      </c>
      <c r="I214" t="b">
        <f t="shared" si="175"/>
        <v>0</v>
      </c>
      <c r="J214" t="b">
        <f t="shared" si="176"/>
        <v>0</v>
      </c>
      <c r="L214" t="str">
        <f>'Both teabags AfterWet'!A212</f>
        <v>G639</v>
      </c>
      <c r="M214" t="str">
        <f>'Both teabags AfterWet'!A632</f>
        <v>R42</v>
      </c>
      <c r="N214" t="b">
        <f t="shared" si="177"/>
        <v>0</v>
      </c>
      <c r="O214" t="b">
        <f t="shared" si="227"/>
        <v>0</v>
      </c>
      <c r="Q214" s="388" t="b">
        <f t="shared" si="178"/>
        <v>0</v>
      </c>
      <c r="R214" s="388" t="b">
        <f t="shared" si="179"/>
        <v>0</v>
      </c>
      <c r="T214" t="str">
        <f>'Both teabags AfterDry'!A212</f>
        <v>G409</v>
      </c>
      <c r="U214" t="str">
        <f>'Both teabags AfterDry'!A547</f>
        <v>R698</v>
      </c>
      <c r="V214" t="b">
        <f t="shared" si="180"/>
        <v>0</v>
      </c>
      <c r="W214" t="b">
        <f t="shared" si="211"/>
        <v>0</v>
      </c>
      <c r="Y214" t="str">
        <f>'Green_rooibos initial weight'!A215</f>
        <v>G211</v>
      </c>
      <c r="Z214" t="str">
        <f>'Green_rooibos initial weight'!A1119</f>
        <v>R211</v>
      </c>
      <c r="AA214" t="b">
        <f t="shared" si="181"/>
        <v>0</v>
      </c>
      <c r="AB214" t="b">
        <f t="shared" si="182"/>
        <v>0</v>
      </c>
      <c r="AE214" t="str">
        <f>'WetLitterbags placem_collection'!K213</f>
        <v>G822</v>
      </c>
      <c r="AF214" t="str">
        <f>'WetLitterbags placem_collection'!M213</f>
        <v>R381</v>
      </c>
      <c r="AG214" t="b">
        <f t="shared" si="183"/>
        <v>0</v>
      </c>
      <c r="AH214" t="b">
        <f t="shared" si="184"/>
        <v>0</v>
      </c>
      <c r="AJ214" t="b">
        <f t="shared" si="185"/>
        <v>0</v>
      </c>
      <c r="AK214" t="b">
        <f t="shared" si="186"/>
        <v>0</v>
      </c>
      <c r="AM214" t="str">
        <f>IF(ISBLANK('Dry_Litterbag Placem_Collection'!J213),"","G"&amp;""&amp;'Dry_Litterbag Placem_Collection'!J213)</f>
        <v>G26</v>
      </c>
      <c r="AN214" t="str">
        <f>IF(ISBLANK('Dry_Litterbag Placem_Collection'!K213),"","R"&amp;""&amp;'Dry_Litterbag Placem_Collection'!K213)</f>
        <v>R249</v>
      </c>
      <c r="AO214" t="b">
        <f t="shared" si="187"/>
        <v>0</v>
      </c>
      <c r="AP214" t="b">
        <f t="shared" si="188"/>
        <v>0</v>
      </c>
      <c r="AS214" t="str">
        <f>'Ashed teabags dry'!A212</f>
        <v>G409</v>
      </c>
      <c r="AT214" t="str">
        <f>'Ashed teabags dry'!A547</f>
        <v>R698</v>
      </c>
      <c r="AU214" t="b">
        <f t="shared" si="189"/>
        <v>0</v>
      </c>
      <c r="AV214" t="b">
        <f t="shared" si="212"/>
        <v>0</v>
      </c>
      <c r="AX214" s="388" t="b">
        <f t="shared" si="190"/>
        <v>0</v>
      </c>
      <c r="AY214" s="388" t="b">
        <f t="shared" si="191"/>
        <v>0</v>
      </c>
      <c r="BA214" t="str">
        <f>'Ashed teabags wet'!A212</f>
        <v>G639</v>
      </c>
      <c r="BB214" t="str">
        <f>'Ashed teabags wet'!A632</f>
        <v>R42</v>
      </c>
      <c r="BC214" t="b">
        <f t="shared" si="192"/>
        <v>0</v>
      </c>
      <c r="BD214" t="b">
        <f t="shared" si="172"/>
        <v>0</v>
      </c>
      <c r="BF214" t="str">
        <f t="shared" si="193"/>
        <v>G407</v>
      </c>
      <c r="BG214" t="str">
        <f t="shared" si="194"/>
        <v>G407</v>
      </c>
      <c r="BH214" t="str">
        <f t="shared" si="195"/>
        <v>G93</v>
      </c>
      <c r="BI214" t="str">
        <f t="shared" si="213"/>
        <v>G93</v>
      </c>
      <c r="BJ214" t="s">
        <v>1643</v>
      </c>
      <c r="BK214" t="s">
        <v>1643</v>
      </c>
      <c r="BL214" t="s">
        <v>1643</v>
      </c>
      <c r="BM214" t="b">
        <f t="shared" si="214"/>
        <v>1</v>
      </c>
      <c r="BN214" t="str">
        <f t="shared" si="196"/>
        <v>R697</v>
      </c>
      <c r="BO214" t="str">
        <f t="shared" si="197"/>
        <v>R697</v>
      </c>
      <c r="BP214" t="str">
        <f t="shared" si="198"/>
        <v>R335</v>
      </c>
      <c r="BQ214" t="str">
        <f t="shared" si="199"/>
        <v>R335</v>
      </c>
      <c r="BR214" t="s">
        <v>442</v>
      </c>
      <c r="BS214" t="s">
        <v>441</v>
      </c>
      <c r="BT214" t="s">
        <v>442</v>
      </c>
      <c r="BU214" t="b">
        <f t="shared" si="215"/>
        <v>1</v>
      </c>
      <c r="BZ214" t="str">
        <f t="shared" si="200"/>
        <v>G93</v>
      </c>
      <c r="CA214" t="b">
        <f t="shared" si="201"/>
        <v>0</v>
      </c>
      <c r="CB214" t="str">
        <f t="shared" si="216"/>
        <v>G93</v>
      </c>
      <c r="CC214" t="str">
        <f t="shared" si="202"/>
        <v>R335</v>
      </c>
      <c r="CD214" t="b">
        <f t="shared" si="217"/>
        <v>0</v>
      </c>
      <c r="CE214" t="str">
        <f t="shared" si="218"/>
        <v>R335</v>
      </c>
      <c r="CG214" t="str">
        <f t="shared" si="203"/>
        <v>G638</v>
      </c>
      <c r="CH214" t="str">
        <f t="shared" si="219"/>
        <v>G638</v>
      </c>
      <c r="CI214" t="str">
        <f t="shared" si="204"/>
        <v>G871</v>
      </c>
      <c r="CJ214" t="str">
        <f t="shared" si="205"/>
        <v>G871</v>
      </c>
      <c r="CK214" t="s">
        <v>1412</v>
      </c>
      <c r="CL214" t="s">
        <v>1412</v>
      </c>
      <c r="CM214" t="s">
        <v>1412</v>
      </c>
      <c r="CN214" t="b">
        <f t="shared" si="220"/>
        <v>1</v>
      </c>
      <c r="CO214" t="str">
        <f t="shared" si="206"/>
        <v>R418</v>
      </c>
      <c r="CP214" t="str">
        <f t="shared" si="221"/>
        <v>R418</v>
      </c>
      <c r="CQ214" t="str">
        <f t="shared" si="207"/>
        <v>R340</v>
      </c>
      <c r="CR214" t="str">
        <f t="shared" si="208"/>
        <v>R340</v>
      </c>
      <c r="CS214" t="s">
        <v>723</v>
      </c>
      <c r="CT214" t="s">
        <v>723</v>
      </c>
      <c r="CU214" t="s">
        <v>723</v>
      </c>
      <c r="CV214" t="b">
        <f t="shared" si="222"/>
        <v>1</v>
      </c>
      <c r="DC214" t="str">
        <f t="shared" si="209"/>
        <v>G871</v>
      </c>
      <c r="DD214" t="b">
        <f t="shared" si="223"/>
        <v>0</v>
      </c>
      <c r="DE214" t="str">
        <f t="shared" si="224"/>
        <v>G871</v>
      </c>
      <c r="DF214" t="str">
        <f t="shared" si="210"/>
        <v>R340</v>
      </c>
      <c r="DG214" t="b">
        <f t="shared" si="225"/>
        <v>0</v>
      </c>
      <c r="DH214" t="str">
        <f t="shared" si="226"/>
        <v>R340</v>
      </c>
    </row>
    <row r="215" spans="2:112" ht="12" customHeight="1">
      <c r="B215" t="str">
        <f>TBIDry!H287</f>
        <v>G169</v>
      </c>
      <c r="C215" t="str">
        <f>TBIDry!I287</f>
        <v>R627</v>
      </c>
      <c r="D215" t="b">
        <f t="shared" si="173"/>
        <v>0</v>
      </c>
      <c r="E215" t="b">
        <f t="shared" si="174"/>
        <v>0</v>
      </c>
      <c r="G215" t="str">
        <f>TBIWet!H287</f>
        <v>G786</v>
      </c>
      <c r="H215" t="str">
        <f>TBIWet!I287</f>
        <v>R93</v>
      </c>
      <c r="I215" t="b">
        <f t="shared" si="175"/>
        <v>0</v>
      </c>
      <c r="J215" t="b">
        <f t="shared" si="176"/>
        <v>0</v>
      </c>
      <c r="L215" t="str">
        <f>'Both teabags AfterWet'!A213</f>
        <v>G640</v>
      </c>
      <c r="M215" t="str">
        <f>'Both teabags AfterWet'!A633</f>
        <v>R420</v>
      </c>
      <c r="N215" t="b">
        <f t="shared" si="177"/>
        <v>0</v>
      </c>
      <c r="O215" t="b">
        <f t="shared" si="227"/>
        <v>0</v>
      </c>
      <c r="Q215" s="388" t="b">
        <f t="shared" si="178"/>
        <v>0</v>
      </c>
      <c r="R215" s="388" t="b">
        <f t="shared" si="179"/>
        <v>0</v>
      </c>
      <c r="T215" t="str">
        <f>'Both teabags AfterDry'!A213</f>
        <v>G41</v>
      </c>
      <c r="U215" t="str">
        <f>'Both teabags AfterDry'!A548</f>
        <v>R699</v>
      </c>
      <c r="V215" t="b">
        <f t="shared" si="180"/>
        <v>0</v>
      </c>
      <c r="W215" t="b">
        <f t="shared" si="211"/>
        <v>0</v>
      </c>
      <c r="Y215" t="str">
        <f>'Green_rooibos initial weight'!A216</f>
        <v>G212</v>
      </c>
      <c r="Z215" t="str">
        <f>'Green_rooibos initial weight'!A1120</f>
        <v>R212</v>
      </c>
      <c r="AA215" t="b">
        <f t="shared" si="181"/>
        <v>0</v>
      </c>
      <c r="AB215" t="b">
        <f t="shared" si="182"/>
        <v>0</v>
      </c>
      <c r="AE215" t="str">
        <f>'WetLitterbags placem_collection'!K214</f>
        <v>G786</v>
      </c>
      <c r="AF215" t="str">
        <f>'WetLitterbags placem_collection'!M214</f>
        <v>R93</v>
      </c>
      <c r="AG215" t="b">
        <f t="shared" si="183"/>
        <v>0</v>
      </c>
      <c r="AH215" t="b">
        <f t="shared" si="184"/>
        <v>0</v>
      </c>
      <c r="AJ215" t="b">
        <f t="shared" si="185"/>
        <v>0</v>
      </c>
      <c r="AK215" t="b">
        <f t="shared" si="186"/>
        <v>0</v>
      </c>
      <c r="AM215" t="str">
        <f>IF(ISBLANK('Dry_Litterbag Placem_Collection'!J214),"","G"&amp;""&amp;'Dry_Litterbag Placem_Collection'!J214)</f>
        <v>G169</v>
      </c>
      <c r="AN215" t="str">
        <f>IF(ISBLANK('Dry_Litterbag Placem_Collection'!K214),"","R"&amp;""&amp;'Dry_Litterbag Placem_Collection'!K214)</f>
        <v>R627</v>
      </c>
      <c r="AO215" t="b">
        <f t="shared" si="187"/>
        <v>0</v>
      </c>
      <c r="AP215" t="b">
        <f t="shared" si="188"/>
        <v>0</v>
      </c>
      <c r="AS215" t="str">
        <f>'Ashed teabags dry'!A213</f>
        <v>G41</v>
      </c>
      <c r="AT215" t="str">
        <f>'Ashed teabags dry'!A548</f>
        <v>R699</v>
      </c>
      <c r="AU215" t="b">
        <f t="shared" si="189"/>
        <v>0</v>
      </c>
      <c r="AV215" t="b">
        <f t="shared" si="212"/>
        <v>0</v>
      </c>
      <c r="AX215" s="388" t="b">
        <f t="shared" si="190"/>
        <v>0</v>
      </c>
      <c r="AY215" s="388" t="b">
        <f t="shared" si="191"/>
        <v>0</v>
      </c>
      <c r="BA215" t="str">
        <f>'Ashed teabags wet'!A213</f>
        <v>G640</v>
      </c>
      <c r="BB215" t="str">
        <f>'Ashed teabags wet'!A633</f>
        <v>R420</v>
      </c>
      <c r="BC215" t="b">
        <f t="shared" si="192"/>
        <v>0</v>
      </c>
      <c r="BD215" t="b">
        <f t="shared" si="172"/>
        <v>0</v>
      </c>
      <c r="BF215" t="str">
        <f t="shared" si="193"/>
        <v>G409</v>
      </c>
      <c r="BG215" t="str">
        <f t="shared" si="194"/>
        <v>G409</v>
      </c>
      <c r="BH215" t="str">
        <f t="shared" si="195"/>
        <v>G26</v>
      </c>
      <c r="BI215" t="str">
        <f t="shared" si="213"/>
        <v>G26</v>
      </c>
      <c r="BJ215" t="s">
        <v>1641</v>
      </c>
      <c r="BK215" t="s">
        <v>1641</v>
      </c>
      <c r="BL215" t="s">
        <v>1641</v>
      </c>
      <c r="BM215" t="b">
        <f t="shared" si="214"/>
        <v>1</v>
      </c>
      <c r="BN215" t="str">
        <f t="shared" si="196"/>
        <v>R698</v>
      </c>
      <c r="BO215" t="str">
        <f t="shared" si="197"/>
        <v>R698</v>
      </c>
      <c r="BP215" t="str">
        <f t="shared" si="198"/>
        <v>R249</v>
      </c>
      <c r="BQ215" t="str">
        <f t="shared" si="199"/>
        <v>R249</v>
      </c>
      <c r="BR215" t="s">
        <v>441</v>
      </c>
      <c r="BS215" t="s">
        <v>440</v>
      </c>
      <c r="BT215" t="s">
        <v>441</v>
      </c>
      <c r="BU215" t="b">
        <f t="shared" si="215"/>
        <v>1</v>
      </c>
      <c r="BZ215" t="str">
        <f t="shared" si="200"/>
        <v>G26</v>
      </c>
      <c r="CA215" t="b">
        <f t="shared" si="201"/>
        <v>0</v>
      </c>
      <c r="CB215" t="str">
        <f t="shared" si="216"/>
        <v>G26</v>
      </c>
      <c r="CC215" t="str">
        <f t="shared" si="202"/>
        <v>R249</v>
      </c>
      <c r="CD215" t="b">
        <f t="shared" si="217"/>
        <v>0</v>
      </c>
      <c r="CE215" t="str">
        <f t="shared" si="218"/>
        <v>R249</v>
      </c>
      <c r="CG215" t="str">
        <f t="shared" si="203"/>
        <v>G639</v>
      </c>
      <c r="CH215" t="str">
        <f t="shared" si="219"/>
        <v>G639</v>
      </c>
      <c r="CI215" t="str">
        <f t="shared" si="204"/>
        <v>G822</v>
      </c>
      <c r="CJ215" t="str">
        <f t="shared" si="205"/>
        <v>G822</v>
      </c>
      <c r="CK215" t="s">
        <v>1411</v>
      </c>
      <c r="CL215" t="s">
        <v>1411</v>
      </c>
      <c r="CM215" t="s">
        <v>1411</v>
      </c>
      <c r="CN215" t="b">
        <f t="shared" si="220"/>
        <v>1</v>
      </c>
      <c r="CO215" t="str">
        <f t="shared" si="206"/>
        <v>R42</v>
      </c>
      <c r="CP215" t="str">
        <f t="shared" si="221"/>
        <v>R42</v>
      </c>
      <c r="CQ215" t="str">
        <f t="shared" si="207"/>
        <v>R381</v>
      </c>
      <c r="CR215" t="str">
        <f t="shared" si="208"/>
        <v>R381</v>
      </c>
      <c r="CS215" t="s">
        <v>1099</v>
      </c>
      <c r="CT215" t="s">
        <v>1099</v>
      </c>
      <c r="CU215" t="s">
        <v>1099</v>
      </c>
      <c r="CV215" t="b">
        <f t="shared" si="222"/>
        <v>1</v>
      </c>
      <c r="DC215" t="str">
        <f t="shared" si="209"/>
        <v>G822</v>
      </c>
      <c r="DD215" t="b">
        <f t="shared" si="223"/>
        <v>0</v>
      </c>
      <c r="DE215" t="str">
        <f t="shared" si="224"/>
        <v>G822</v>
      </c>
      <c r="DF215" t="str">
        <f t="shared" si="210"/>
        <v>R381</v>
      </c>
      <c r="DG215" t="b">
        <f t="shared" si="225"/>
        <v>0</v>
      </c>
      <c r="DH215" t="str">
        <f t="shared" si="226"/>
        <v>R381</v>
      </c>
    </row>
    <row r="216" spans="2:112" ht="12" customHeight="1">
      <c r="B216" t="str">
        <f>TBIDry!H288</f>
        <v>G68</v>
      </c>
      <c r="C216" t="str">
        <f>TBIDry!I288</f>
        <v>R803</v>
      </c>
      <c r="D216" t="b">
        <f t="shared" si="173"/>
        <v>0</v>
      </c>
      <c r="E216" t="b">
        <f t="shared" si="174"/>
        <v>0</v>
      </c>
      <c r="G216" t="str">
        <f>TBIWet!H288</f>
        <v>G572</v>
      </c>
      <c r="H216" t="str">
        <f>TBIWet!I288</f>
        <v>R88</v>
      </c>
      <c r="I216" t="b">
        <f t="shared" si="175"/>
        <v>0</v>
      </c>
      <c r="J216" t="b">
        <f t="shared" si="176"/>
        <v>0</v>
      </c>
      <c r="L216" t="str">
        <f>'Both teabags AfterWet'!A214</f>
        <v>G641</v>
      </c>
      <c r="M216" t="str">
        <f>'Both teabags AfterWet'!A634</f>
        <v>R421</v>
      </c>
      <c r="N216" t="b">
        <f t="shared" si="177"/>
        <v>0</v>
      </c>
      <c r="O216" t="b">
        <f t="shared" si="227"/>
        <v>0</v>
      </c>
      <c r="Q216" s="388" t="b">
        <f t="shared" si="178"/>
        <v>0</v>
      </c>
      <c r="R216" s="388" t="b">
        <f t="shared" si="179"/>
        <v>0</v>
      </c>
      <c r="T216" t="str">
        <f>'Both teabags AfterDry'!A214</f>
        <v>G410</v>
      </c>
      <c r="U216" t="str">
        <f>'Both teabags AfterDry'!A549</f>
        <v>R701</v>
      </c>
      <c r="V216" t="b">
        <f t="shared" si="180"/>
        <v>0</v>
      </c>
      <c r="W216" t="b">
        <f t="shared" si="211"/>
        <v>0</v>
      </c>
      <c r="Y216" t="str">
        <f>'Green_rooibos initial weight'!A217</f>
        <v>G213</v>
      </c>
      <c r="Z216" t="str">
        <f>'Green_rooibos initial weight'!A1121</f>
        <v>R213</v>
      </c>
      <c r="AA216" t="b">
        <f t="shared" si="181"/>
        <v>0</v>
      </c>
      <c r="AB216" t="b">
        <f t="shared" si="182"/>
        <v>0</v>
      </c>
      <c r="AE216" t="str">
        <f>'WetLitterbags placem_collection'!K215</f>
        <v>G572</v>
      </c>
      <c r="AF216" t="str">
        <f>'WetLitterbags placem_collection'!M215</f>
        <v>R88</v>
      </c>
      <c r="AG216" t="b">
        <f t="shared" si="183"/>
        <v>0</v>
      </c>
      <c r="AH216" t="b">
        <f t="shared" si="184"/>
        <v>0</v>
      </c>
      <c r="AJ216" t="b">
        <f t="shared" si="185"/>
        <v>0</v>
      </c>
      <c r="AK216" t="b">
        <f t="shared" si="186"/>
        <v>0</v>
      </c>
      <c r="AM216" t="str">
        <f>IF(ISBLANK('Dry_Litterbag Placem_Collection'!J215),"","G"&amp;""&amp;'Dry_Litterbag Placem_Collection'!J215)</f>
        <v>G68</v>
      </c>
      <c r="AN216" t="str">
        <f>IF(ISBLANK('Dry_Litterbag Placem_Collection'!K215),"","R"&amp;""&amp;'Dry_Litterbag Placem_Collection'!K215)</f>
        <v>R803</v>
      </c>
      <c r="AO216" t="b">
        <f t="shared" si="187"/>
        <v>0</v>
      </c>
      <c r="AP216" t="b">
        <f t="shared" si="188"/>
        <v>0</v>
      </c>
      <c r="AS216" t="str">
        <f>'Ashed teabags dry'!A214</f>
        <v>G410</v>
      </c>
      <c r="AT216" t="str">
        <f>'Ashed teabags dry'!A549</f>
        <v>R701</v>
      </c>
      <c r="AU216" t="b">
        <f t="shared" si="189"/>
        <v>0</v>
      </c>
      <c r="AV216" t="b">
        <f t="shared" si="212"/>
        <v>0</v>
      </c>
      <c r="AX216" s="388" t="b">
        <f t="shared" si="190"/>
        <v>0</v>
      </c>
      <c r="AY216" s="388" t="b">
        <f t="shared" si="191"/>
        <v>0</v>
      </c>
      <c r="BA216" t="str">
        <f>'Ashed teabags wet'!A214</f>
        <v>G641</v>
      </c>
      <c r="BB216" t="str">
        <f>'Ashed teabags wet'!A634</f>
        <v>R421</v>
      </c>
      <c r="BC216" t="b">
        <f t="shared" si="192"/>
        <v>0</v>
      </c>
      <c r="BD216" t="b">
        <f t="shared" si="172"/>
        <v>0</v>
      </c>
      <c r="BF216" t="str">
        <f t="shared" si="193"/>
        <v>G41</v>
      </c>
      <c r="BG216" t="str">
        <f t="shared" si="194"/>
        <v>G41</v>
      </c>
      <c r="BH216" t="str">
        <f t="shared" si="195"/>
        <v>G169</v>
      </c>
      <c r="BI216" t="str">
        <f t="shared" si="213"/>
        <v>G169</v>
      </c>
      <c r="BJ216" t="s">
        <v>2009</v>
      </c>
      <c r="BK216" t="s">
        <v>2009</v>
      </c>
      <c r="BL216" t="s">
        <v>2009</v>
      </c>
      <c r="BM216" t="b">
        <f t="shared" si="214"/>
        <v>1</v>
      </c>
      <c r="BN216" t="str">
        <f t="shared" si="196"/>
        <v>R699</v>
      </c>
      <c r="BO216" t="str">
        <f t="shared" si="197"/>
        <v>R699</v>
      </c>
      <c r="BP216" t="str">
        <f t="shared" si="198"/>
        <v>R627</v>
      </c>
      <c r="BQ216" t="str">
        <f t="shared" si="199"/>
        <v>R627</v>
      </c>
      <c r="BR216" t="s">
        <v>440</v>
      </c>
      <c r="BS216" t="s">
        <v>438</v>
      </c>
      <c r="BT216" t="s">
        <v>440</v>
      </c>
      <c r="BU216" t="b">
        <f t="shared" si="215"/>
        <v>1</v>
      </c>
      <c r="BZ216" t="str">
        <f t="shared" si="200"/>
        <v>G169</v>
      </c>
      <c r="CA216" t="b">
        <f t="shared" si="201"/>
        <v>0</v>
      </c>
      <c r="CB216" t="str">
        <f t="shared" si="216"/>
        <v>G169</v>
      </c>
      <c r="CC216" t="str">
        <f t="shared" si="202"/>
        <v>R627</v>
      </c>
      <c r="CD216" t="b">
        <f t="shared" si="217"/>
        <v>0</v>
      </c>
      <c r="CE216" t="str">
        <f t="shared" si="218"/>
        <v>R627</v>
      </c>
      <c r="CG216" t="str">
        <f t="shared" si="203"/>
        <v>G640</v>
      </c>
      <c r="CH216" t="str">
        <f t="shared" si="219"/>
        <v>G640</v>
      </c>
      <c r="CI216" t="str">
        <f t="shared" si="204"/>
        <v>G786</v>
      </c>
      <c r="CJ216" t="str">
        <f t="shared" si="205"/>
        <v>G786</v>
      </c>
      <c r="CK216" t="s">
        <v>1410</v>
      </c>
      <c r="CL216" t="s">
        <v>1410</v>
      </c>
      <c r="CM216" t="s">
        <v>1410</v>
      </c>
      <c r="CN216" t="b">
        <f t="shared" si="220"/>
        <v>1</v>
      </c>
      <c r="CO216" t="str">
        <f t="shared" si="206"/>
        <v>R420</v>
      </c>
      <c r="CP216" t="str">
        <f t="shared" si="221"/>
        <v>R420</v>
      </c>
      <c r="CQ216" t="str">
        <f t="shared" si="207"/>
        <v>R93</v>
      </c>
      <c r="CR216" t="str">
        <f t="shared" si="208"/>
        <v>R93</v>
      </c>
      <c r="CS216" t="s">
        <v>721</v>
      </c>
      <c r="CT216" t="s">
        <v>721</v>
      </c>
      <c r="CU216" t="s">
        <v>721</v>
      </c>
      <c r="CV216" t="b">
        <f t="shared" si="222"/>
        <v>1</v>
      </c>
      <c r="DC216" t="str">
        <f t="shared" si="209"/>
        <v>G786</v>
      </c>
      <c r="DD216" t="b">
        <f t="shared" si="223"/>
        <v>0</v>
      </c>
      <c r="DE216" t="str">
        <f t="shared" si="224"/>
        <v>G786</v>
      </c>
      <c r="DF216" t="str">
        <f t="shared" si="210"/>
        <v>R93</v>
      </c>
      <c r="DG216" t="b">
        <f t="shared" si="225"/>
        <v>0</v>
      </c>
      <c r="DH216" t="str">
        <f t="shared" si="226"/>
        <v>R93</v>
      </c>
    </row>
    <row r="217" spans="2:112" ht="12" customHeight="1">
      <c r="B217" t="str">
        <f>TBIDry!H289</f>
        <v>G143</v>
      </c>
      <c r="C217" t="str">
        <f>TBIDry!I289</f>
        <v>R321</v>
      </c>
      <c r="D217" t="b">
        <f t="shared" si="173"/>
        <v>0</v>
      </c>
      <c r="E217" t="b">
        <f t="shared" si="174"/>
        <v>0</v>
      </c>
      <c r="G217" t="str">
        <f>TBIWet!H289</f>
        <v>G761</v>
      </c>
      <c r="H217" t="str">
        <f>TBIWet!I289</f>
        <v>R383</v>
      </c>
      <c r="I217" t="b">
        <f t="shared" si="175"/>
        <v>0</v>
      </c>
      <c r="J217" t="b">
        <f t="shared" si="176"/>
        <v>0</v>
      </c>
      <c r="L217" t="str">
        <f>'Both teabags AfterWet'!A215</f>
        <v>G643</v>
      </c>
      <c r="M217" t="str">
        <f>'Both teabags AfterWet'!A635</f>
        <v>R423</v>
      </c>
      <c r="N217" t="b">
        <f t="shared" si="177"/>
        <v>0</v>
      </c>
      <c r="O217" t="b">
        <f t="shared" si="227"/>
        <v>0</v>
      </c>
      <c r="Q217" s="388" t="b">
        <f t="shared" si="178"/>
        <v>0</v>
      </c>
      <c r="R217" s="388" t="b">
        <f t="shared" si="179"/>
        <v>0</v>
      </c>
      <c r="T217" t="str">
        <f>'Both teabags AfterDry'!A215</f>
        <v>G411</v>
      </c>
      <c r="U217" t="str">
        <f>'Both teabags AfterDry'!A550</f>
        <v>R702</v>
      </c>
      <c r="V217" t="b">
        <f t="shared" si="180"/>
        <v>0</v>
      </c>
      <c r="W217" t="b">
        <f t="shared" si="211"/>
        <v>0</v>
      </c>
      <c r="Y217" t="str">
        <f>'Green_rooibos initial weight'!A218</f>
        <v>G214</v>
      </c>
      <c r="Z217" t="str">
        <f>'Green_rooibos initial weight'!A1122</f>
        <v>R214</v>
      </c>
      <c r="AA217" t="b">
        <f t="shared" si="181"/>
        <v>0</v>
      </c>
      <c r="AB217" t="b">
        <f t="shared" si="182"/>
        <v>0</v>
      </c>
      <c r="AE217" t="str">
        <f>'WetLitterbags placem_collection'!K216</f>
        <v>G761</v>
      </c>
      <c r="AF217" t="str">
        <f>'WetLitterbags placem_collection'!M216</f>
        <v>R383</v>
      </c>
      <c r="AG217" t="b">
        <f t="shared" si="183"/>
        <v>0</v>
      </c>
      <c r="AH217" t="b">
        <f t="shared" si="184"/>
        <v>0</v>
      </c>
      <c r="AJ217" t="b">
        <f t="shared" si="185"/>
        <v>0</v>
      </c>
      <c r="AK217" t="b">
        <f t="shared" si="186"/>
        <v>0</v>
      </c>
      <c r="AM217" t="str">
        <f>IF(ISBLANK('Dry_Litterbag Placem_Collection'!J216),"","G"&amp;""&amp;'Dry_Litterbag Placem_Collection'!J216)</f>
        <v>G143</v>
      </c>
      <c r="AN217" t="str">
        <f>IF(ISBLANK('Dry_Litterbag Placem_Collection'!K216),"","R"&amp;""&amp;'Dry_Litterbag Placem_Collection'!K216)</f>
        <v>R321</v>
      </c>
      <c r="AO217" t="b">
        <f t="shared" si="187"/>
        <v>0</v>
      </c>
      <c r="AP217" t="b">
        <f t="shared" si="188"/>
        <v>0</v>
      </c>
      <c r="AS217" t="str">
        <f>'Ashed teabags dry'!A215</f>
        <v>G411</v>
      </c>
      <c r="AT217" t="str">
        <f>'Ashed teabags dry'!A550</f>
        <v>R702</v>
      </c>
      <c r="AU217" t="b">
        <f t="shared" si="189"/>
        <v>0</v>
      </c>
      <c r="AV217" t="b">
        <f t="shared" si="212"/>
        <v>0</v>
      </c>
      <c r="AX217" s="388" t="b">
        <f t="shared" si="190"/>
        <v>0</v>
      </c>
      <c r="AY217" s="388" t="b">
        <f t="shared" si="191"/>
        <v>0</v>
      </c>
      <c r="BA217" t="str">
        <f>'Ashed teabags wet'!A215</f>
        <v>G643</v>
      </c>
      <c r="BB217" t="str">
        <f>'Ashed teabags wet'!A635</f>
        <v>R423</v>
      </c>
      <c r="BC217" t="b">
        <f t="shared" si="192"/>
        <v>0</v>
      </c>
      <c r="BD217" t="b">
        <f t="shared" si="172"/>
        <v>0</v>
      </c>
      <c r="BF217" t="str">
        <f t="shared" si="193"/>
        <v>G410</v>
      </c>
      <c r="BG217" t="str">
        <f t="shared" si="194"/>
        <v>G410</v>
      </c>
      <c r="BH217" t="str">
        <f t="shared" si="195"/>
        <v>G68</v>
      </c>
      <c r="BI217" t="str">
        <f t="shared" si="213"/>
        <v>G68</v>
      </c>
      <c r="BJ217" t="s">
        <v>1640</v>
      </c>
      <c r="BK217" t="s">
        <v>1640</v>
      </c>
      <c r="BL217" t="s">
        <v>1640</v>
      </c>
      <c r="BM217" t="b">
        <f t="shared" si="214"/>
        <v>1</v>
      </c>
      <c r="BN217" t="str">
        <f t="shared" si="196"/>
        <v>R701</v>
      </c>
      <c r="BO217" t="str">
        <f t="shared" si="197"/>
        <v>R701</v>
      </c>
      <c r="BP217" t="str">
        <f t="shared" si="198"/>
        <v>R803</v>
      </c>
      <c r="BQ217" t="str">
        <f t="shared" si="199"/>
        <v>R803</v>
      </c>
      <c r="BR217" t="s">
        <v>438</v>
      </c>
      <c r="BS217" t="s">
        <v>437</v>
      </c>
      <c r="BT217" t="s">
        <v>438</v>
      </c>
      <c r="BU217" t="b">
        <f t="shared" si="215"/>
        <v>1</v>
      </c>
      <c r="BZ217" t="str">
        <f t="shared" si="200"/>
        <v>G68</v>
      </c>
      <c r="CA217" t="b">
        <f t="shared" si="201"/>
        <v>0</v>
      </c>
      <c r="CB217" t="str">
        <f t="shared" si="216"/>
        <v>G68</v>
      </c>
      <c r="CC217" t="str">
        <f t="shared" si="202"/>
        <v>R803</v>
      </c>
      <c r="CD217" t="b">
        <f t="shared" si="217"/>
        <v>0</v>
      </c>
      <c r="CE217" t="str">
        <f t="shared" si="218"/>
        <v>R803</v>
      </c>
      <c r="CG217" t="str">
        <f t="shared" si="203"/>
        <v>G641</v>
      </c>
      <c r="CH217" t="str">
        <f t="shared" si="219"/>
        <v>G641</v>
      </c>
      <c r="CI217" t="str">
        <f t="shared" si="204"/>
        <v>G572</v>
      </c>
      <c r="CJ217" t="str">
        <f t="shared" si="205"/>
        <v>G572</v>
      </c>
      <c r="CK217" t="s">
        <v>1409</v>
      </c>
      <c r="CL217" t="s">
        <v>1409</v>
      </c>
      <c r="CM217" t="s">
        <v>1409</v>
      </c>
      <c r="CN217" t="b">
        <f t="shared" si="220"/>
        <v>1</v>
      </c>
      <c r="CO217" t="str">
        <f t="shared" si="206"/>
        <v>R421</v>
      </c>
      <c r="CP217" t="str">
        <f t="shared" si="221"/>
        <v>R421</v>
      </c>
      <c r="CQ217" t="str">
        <f t="shared" si="207"/>
        <v>R88</v>
      </c>
      <c r="CR217" t="str">
        <f t="shared" si="208"/>
        <v>R88</v>
      </c>
      <c r="CS217" t="s">
        <v>720</v>
      </c>
      <c r="CT217" t="s">
        <v>720</v>
      </c>
      <c r="CU217" t="s">
        <v>720</v>
      </c>
      <c r="CV217" t="b">
        <f t="shared" si="222"/>
        <v>1</v>
      </c>
      <c r="DC217" t="str">
        <f t="shared" si="209"/>
        <v>G572</v>
      </c>
      <c r="DD217" t="b">
        <f t="shared" si="223"/>
        <v>0</v>
      </c>
      <c r="DE217" t="str">
        <f t="shared" si="224"/>
        <v>G572</v>
      </c>
      <c r="DF217" t="str">
        <f t="shared" si="210"/>
        <v>R88</v>
      </c>
      <c r="DG217" t="b">
        <f t="shared" si="225"/>
        <v>0</v>
      </c>
      <c r="DH217" t="str">
        <f t="shared" si="226"/>
        <v>R88</v>
      </c>
    </row>
    <row r="218" spans="2:112" ht="12" customHeight="1">
      <c r="B218" t="str">
        <f>TBIDry!H290</f>
        <v>G128</v>
      </c>
      <c r="C218" t="str">
        <f>TBIDry!I290</f>
        <v>R677</v>
      </c>
      <c r="D218" t="b">
        <f t="shared" si="173"/>
        <v>0</v>
      </c>
      <c r="E218" t="b">
        <f t="shared" si="174"/>
        <v>0</v>
      </c>
      <c r="G218" t="str">
        <f>TBIWet!H290</f>
        <v>G858</v>
      </c>
      <c r="H218" t="str">
        <f>TBIWet!I290</f>
        <v>R145</v>
      </c>
      <c r="I218" t="b">
        <f t="shared" si="175"/>
        <v>0</v>
      </c>
      <c r="J218" t="b">
        <f t="shared" si="176"/>
        <v>0</v>
      </c>
      <c r="L218" t="str">
        <f>'Both teabags AfterWet'!A216</f>
        <v>G644</v>
      </c>
      <c r="M218" t="str">
        <f>'Both teabags AfterWet'!A636</f>
        <v>R424</v>
      </c>
      <c r="N218" t="b">
        <f t="shared" si="177"/>
        <v>0</v>
      </c>
      <c r="O218" t="b">
        <f t="shared" si="227"/>
        <v>0</v>
      </c>
      <c r="Q218" s="388" t="b">
        <f t="shared" si="178"/>
        <v>0</v>
      </c>
      <c r="R218" s="388" t="b">
        <f t="shared" si="179"/>
        <v>0</v>
      </c>
      <c r="T218" t="str">
        <f>'Both teabags AfterDry'!A216</f>
        <v>G412</v>
      </c>
      <c r="U218" t="str">
        <f>'Both teabags AfterDry'!A551</f>
        <v>R703</v>
      </c>
      <c r="V218" t="b">
        <f t="shared" si="180"/>
        <v>0</v>
      </c>
      <c r="W218" t="b">
        <f t="shared" si="211"/>
        <v>0</v>
      </c>
      <c r="Y218" t="str">
        <f>'Green_rooibos initial weight'!A219</f>
        <v>G215</v>
      </c>
      <c r="Z218" t="str">
        <f>'Green_rooibos initial weight'!A1123</f>
        <v>R215</v>
      </c>
      <c r="AA218" t="b">
        <f t="shared" si="181"/>
        <v>0</v>
      </c>
      <c r="AB218" t="b">
        <f t="shared" si="182"/>
        <v>0</v>
      </c>
      <c r="AE218" t="str">
        <f>'WetLitterbags placem_collection'!K217</f>
        <v>G858</v>
      </c>
      <c r="AF218" t="str">
        <f>'WetLitterbags placem_collection'!M217</f>
        <v>R145</v>
      </c>
      <c r="AG218" t="b">
        <f t="shared" si="183"/>
        <v>0</v>
      </c>
      <c r="AH218" t="b">
        <f t="shared" si="184"/>
        <v>0</v>
      </c>
      <c r="AJ218" t="b">
        <f t="shared" si="185"/>
        <v>0</v>
      </c>
      <c r="AK218" t="b">
        <f t="shared" si="186"/>
        <v>0</v>
      </c>
      <c r="AM218" t="str">
        <f>IF(ISBLANK('Dry_Litterbag Placem_Collection'!J217),"","G"&amp;""&amp;'Dry_Litterbag Placem_Collection'!J217)</f>
        <v>G128</v>
      </c>
      <c r="AN218" t="str">
        <f>IF(ISBLANK('Dry_Litterbag Placem_Collection'!K217),"","R"&amp;""&amp;'Dry_Litterbag Placem_Collection'!K217)</f>
        <v>R677</v>
      </c>
      <c r="AO218" t="b">
        <f t="shared" si="187"/>
        <v>0</v>
      </c>
      <c r="AP218" t="b">
        <f t="shared" si="188"/>
        <v>0</v>
      </c>
      <c r="AS218" t="str">
        <f>'Ashed teabags dry'!A216</f>
        <v>G412</v>
      </c>
      <c r="AT218" t="str">
        <f>'Ashed teabags dry'!A551</f>
        <v>R703</v>
      </c>
      <c r="AU218" t="b">
        <f t="shared" si="189"/>
        <v>0</v>
      </c>
      <c r="AV218" t="b">
        <f t="shared" si="212"/>
        <v>0</v>
      </c>
      <c r="AX218" s="388" t="b">
        <f t="shared" si="190"/>
        <v>0</v>
      </c>
      <c r="AY218" s="388" t="b">
        <f t="shared" si="191"/>
        <v>0</v>
      </c>
      <c r="BA218" t="str">
        <f>'Ashed teabags wet'!A216</f>
        <v>G644</v>
      </c>
      <c r="BB218" t="str">
        <f>'Ashed teabags wet'!A636</f>
        <v>R424</v>
      </c>
      <c r="BC218" t="b">
        <f t="shared" si="192"/>
        <v>0</v>
      </c>
      <c r="BD218" t="b">
        <f t="shared" si="172"/>
        <v>0</v>
      </c>
      <c r="BF218" t="str">
        <f t="shared" si="193"/>
        <v>G411</v>
      </c>
      <c r="BG218" t="str">
        <f t="shared" si="194"/>
        <v>G411</v>
      </c>
      <c r="BH218" t="str">
        <f t="shared" si="195"/>
        <v>G143</v>
      </c>
      <c r="BI218" t="str">
        <f t="shared" si="213"/>
        <v>G143</v>
      </c>
      <c r="BJ218" t="s">
        <v>1639</v>
      </c>
      <c r="BK218" t="s">
        <v>1639</v>
      </c>
      <c r="BL218" t="s">
        <v>1639</v>
      </c>
      <c r="BM218" t="b">
        <f t="shared" si="214"/>
        <v>1</v>
      </c>
      <c r="BN218" t="str">
        <f t="shared" si="196"/>
        <v>R702</v>
      </c>
      <c r="BO218" t="str">
        <f t="shared" si="197"/>
        <v>R702</v>
      </c>
      <c r="BP218" t="str">
        <f t="shared" si="198"/>
        <v>R321</v>
      </c>
      <c r="BQ218" t="str">
        <f t="shared" si="199"/>
        <v>R321</v>
      </c>
      <c r="BR218" t="s">
        <v>437</v>
      </c>
      <c r="BS218" t="s">
        <v>436</v>
      </c>
      <c r="BT218" t="s">
        <v>437</v>
      </c>
      <c r="BU218" t="b">
        <f t="shared" si="215"/>
        <v>1</v>
      </c>
      <c r="BZ218" t="str">
        <f t="shared" si="200"/>
        <v>G143</v>
      </c>
      <c r="CA218" t="b">
        <f t="shared" si="201"/>
        <v>0</v>
      </c>
      <c r="CB218" t="str">
        <f t="shared" si="216"/>
        <v>G143</v>
      </c>
      <c r="CC218" t="str">
        <f t="shared" si="202"/>
        <v>R321</v>
      </c>
      <c r="CD218" t="b">
        <f t="shared" si="217"/>
        <v>0</v>
      </c>
      <c r="CE218" t="str">
        <f t="shared" si="218"/>
        <v>R321</v>
      </c>
      <c r="CG218" t="str">
        <f t="shared" si="203"/>
        <v>G643</v>
      </c>
      <c r="CH218" t="str">
        <f t="shared" si="219"/>
        <v>G643</v>
      </c>
      <c r="CI218" t="str">
        <f t="shared" si="204"/>
        <v>G761</v>
      </c>
      <c r="CJ218" t="str">
        <f t="shared" si="205"/>
        <v>G761</v>
      </c>
      <c r="CK218" t="s">
        <v>1407</v>
      </c>
      <c r="CL218" t="s">
        <v>1407</v>
      </c>
      <c r="CM218" t="s">
        <v>1407</v>
      </c>
      <c r="CN218" t="b">
        <f t="shared" si="220"/>
        <v>1</v>
      </c>
      <c r="CO218" t="str">
        <f t="shared" si="206"/>
        <v>R423</v>
      </c>
      <c r="CP218" t="str">
        <f t="shared" si="221"/>
        <v>R423</v>
      </c>
      <c r="CQ218" t="str">
        <f t="shared" si="207"/>
        <v>R383</v>
      </c>
      <c r="CR218" t="str">
        <f t="shared" si="208"/>
        <v>R383</v>
      </c>
      <c r="CS218" t="s">
        <v>718</v>
      </c>
      <c r="CT218" t="s">
        <v>718</v>
      </c>
      <c r="CU218" t="s">
        <v>718</v>
      </c>
      <c r="CV218" t="b">
        <f t="shared" si="222"/>
        <v>1</v>
      </c>
      <c r="DC218" t="str">
        <f t="shared" si="209"/>
        <v>G761</v>
      </c>
      <c r="DD218" t="b">
        <f t="shared" si="223"/>
        <v>0</v>
      </c>
      <c r="DE218" t="str">
        <f t="shared" si="224"/>
        <v>G761</v>
      </c>
      <c r="DF218" t="str">
        <f t="shared" si="210"/>
        <v>R383</v>
      </c>
      <c r="DG218" t="b">
        <f t="shared" si="225"/>
        <v>0</v>
      </c>
      <c r="DH218" t="str">
        <f t="shared" si="226"/>
        <v>R383</v>
      </c>
    </row>
    <row r="219" spans="2:112" ht="12" customHeight="1">
      <c r="B219" t="str">
        <f>TBIDry!H291</f>
        <v>G95</v>
      </c>
      <c r="C219" t="str">
        <f>TBIDry!I291</f>
        <v>R379</v>
      </c>
      <c r="D219" t="b">
        <f t="shared" si="173"/>
        <v>0</v>
      </c>
      <c r="E219" t="b">
        <f t="shared" si="174"/>
        <v>0</v>
      </c>
      <c r="G219" t="str">
        <f>TBIWet!H291</f>
        <v>G755</v>
      </c>
      <c r="H219" t="str">
        <f>TBIWet!I291</f>
        <v>R241</v>
      </c>
      <c r="I219" t="b">
        <f t="shared" si="175"/>
        <v>0</v>
      </c>
      <c r="J219" t="b">
        <f t="shared" si="176"/>
        <v>0</v>
      </c>
      <c r="L219" t="str">
        <f>'Both teabags AfterWet'!A217</f>
        <v>G645</v>
      </c>
      <c r="M219" t="str">
        <f>'Both teabags AfterWet'!A637</f>
        <v>R426</v>
      </c>
      <c r="N219" t="b">
        <f t="shared" si="177"/>
        <v>0</v>
      </c>
      <c r="O219" t="b">
        <f t="shared" si="227"/>
        <v>0</v>
      </c>
      <c r="Q219" s="388" t="b">
        <f t="shared" si="178"/>
        <v>0</v>
      </c>
      <c r="R219" s="388" t="b">
        <f t="shared" si="179"/>
        <v>0</v>
      </c>
      <c r="T219" t="str">
        <f>'Both teabags AfterDry'!A217</f>
        <v>G413</v>
      </c>
      <c r="U219" t="str">
        <f>'Both teabags AfterDry'!A552</f>
        <v>R704</v>
      </c>
      <c r="V219" t="b">
        <f t="shared" si="180"/>
        <v>0</v>
      </c>
      <c r="W219" t="b">
        <f t="shared" si="211"/>
        <v>0</v>
      </c>
      <c r="Y219" t="str">
        <f>'Green_rooibos initial weight'!A220</f>
        <v>G216</v>
      </c>
      <c r="Z219" t="str">
        <f>'Green_rooibos initial weight'!A1124</f>
        <v>R216</v>
      </c>
      <c r="AA219" t="b">
        <f t="shared" si="181"/>
        <v>0</v>
      </c>
      <c r="AB219" t="b">
        <f t="shared" si="182"/>
        <v>0</v>
      </c>
      <c r="AE219" t="str">
        <f>'WetLitterbags placem_collection'!K218</f>
        <v>G755</v>
      </c>
      <c r="AF219" t="str">
        <f>'WetLitterbags placem_collection'!M218</f>
        <v>R241</v>
      </c>
      <c r="AG219" t="b">
        <f t="shared" si="183"/>
        <v>0</v>
      </c>
      <c r="AH219" t="b">
        <f t="shared" si="184"/>
        <v>0</v>
      </c>
      <c r="AJ219" t="b">
        <f t="shared" si="185"/>
        <v>0</v>
      </c>
      <c r="AK219" t="b">
        <f t="shared" si="186"/>
        <v>0</v>
      </c>
      <c r="AM219" t="str">
        <f>IF(ISBLANK('Dry_Litterbag Placem_Collection'!J218),"","G"&amp;""&amp;'Dry_Litterbag Placem_Collection'!J218)</f>
        <v>G95</v>
      </c>
      <c r="AN219" t="str">
        <f>IF(ISBLANK('Dry_Litterbag Placem_Collection'!K218),"","R"&amp;""&amp;'Dry_Litterbag Placem_Collection'!K218)</f>
        <v>R379</v>
      </c>
      <c r="AO219" t="b">
        <f t="shared" si="187"/>
        <v>0</v>
      </c>
      <c r="AP219" t="b">
        <f t="shared" si="188"/>
        <v>0</v>
      </c>
      <c r="AS219" t="str">
        <f>'Ashed teabags dry'!A217</f>
        <v>G413</v>
      </c>
      <c r="AT219" t="str">
        <f>'Ashed teabags dry'!A552</f>
        <v>R704</v>
      </c>
      <c r="AU219" t="b">
        <f t="shared" si="189"/>
        <v>0</v>
      </c>
      <c r="AV219" t="b">
        <f t="shared" si="212"/>
        <v>0</v>
      </c>
      <c r="AX219" s="388" t="b">
        <f t="shared" si="190"/>
        <v>0</v>
      </c>
      <c r="AY219" s="388" t="b">
        <f t="shared" si="191"/>
        <v>0</v>
      </c>
      <c r="BA219" t="str">
        <f>'Ashed teabags wet'!A217</f>
        <v>G645</v>
      </c>
      <c r="BB219" t="str">
        <f>'Ashed teabags wet'!A637</f>
        <v>R426</v>
      </c>
      <c r="BC219" t="b">
        <f t="shared" si="192"/>
        <v>0</v>
      </c>
      <c r="BD219" t="b">
        <f t="shared" si="172"/>
        <v>0</v>
      </c>
      <c r="BF219" t="str">
        <f t="shared" si="193"/>
        <v>G412</v>
      </c>
      <c r="BG219" t="str">
        <f t="shared" si="194"/>
        <v>G412</v>
      </c>
      <c r="BH219" t="str">
        <f t="shared" si="195"/>
        <v>G128</v>
      </c>
      <c r="BI219" t="str">
        <f t="shared" si="213"/>
        <v>G128</v>
      </c>
      <c r="BJ219" t="s">
        <v>1638</v>
      </c>
      <c r="BK219" t="s">
        <v>1638</v>
      </c>
      <c r="BL219" t="s">
        <v>1638</v>
      </c>
      <c r="BM219" t="b">
        <f t="shared" si="214"/>
        <v>1</v>
      </c>
      <c r="BN219" t="str">
        <f t="shared" si="196"/>
        <v>R703</v>
      </c>
      <c r="BO219" t="str">
        <f t="shared" si="197"/>
        <v>R703</v>
      </c>
      <c r="BP219" t="str">
        <f t="shared" si="198"/>
        <v>R677</v>
      </c>
      <c r="BQ219" t="str">
        <f t="shared" si="199"/>
        <v>R677</v>
      </c>
      <c r="BR219" t="s">
        <v>436</v>
      </c>
      <c r="BS219" t="s">
        <v>435</v>
      </c>
      <c r="BT219" t="s">
        <v>436</v>
      </c>
      <c r="BU219" t="b">
        <f t="shared" si="215"/>
        <v>1</v>
      </c>
      <c r="BZ219" t="str">
        <f t="shared" si="200"/>
        <v>G128</v>
      </c>
      <c r="CA219" t="b">
        <f t="shared" si="201"/>
        <v>0</v>
      </c>
      <c r="CB219" t="str">
        <f t="shared" si="216"/>
        <v>G128</v>
      </c>
      <c r="CC219" t="str">
        <f t="shared" si="202"/>
        <v>R677</v>
      </c>
      <c r="CD219" t="b">
        <f t="shared" si="217"/>
        <v>0</v>
      </c>
      <c r="CE219" t="str">
        <f t="shared" si="218"/>
        <v>R677</v>
      </c>
      <c r="CG219" t="str">
        <f t="shared" si="203"/>
        <v>G644</v>
      </c>
      <c r="CH219" t="str">
        <f t="shared" si="219"/>
        <v>G644</v>
      </c>
      <c r="CI219" t="str">
        <f t="shared" si="204"/>
        <v>G858</v>
      </c>
      <c r="CJ219" t="str">
        <f t="shared" si="205"/>
        <v>G858</v>
      </c>
      <c r="CK219" t="s">
        <v>1406</v>
      </c>
      <c r="CL219" t="s">
        <v>1406</v>
      </c>
      <c r="CM219" t="s">
        <v>1406</v>
      </c>
      <c r="CN219" t="b">
        <f t="shared" si="220"/>
        <v>1</v>
      </c>
      <c r="CO219" t="str">
        <f t="shared" si="206"/>
        <v>R424</v>
      </c>
      <c r="CP219" t="str">
        <f t="shared" si="221"/>
        <v>R424</v>
      </c>
      <c r="CQ219" t="str">
        <f t="shared" si="207"/>
        <v>R145</v>
      </c>
      <c r="CR219" t="str">
        <f t="shared" si="208"/>
        <v>R145</v>
      </c>
      <c r="CS219" t="s">
        <v>717</v>
      </c>
      <c r="CT219" t="s">
        <v>717</v>
      </c>
      <c r="CU219" t="s">
        <v>717</v>
      </c>
      <c r="CV219" t="b">
        <f t="shared" si="222"/>
        <v>1</v>
      </c>
      <c r="DC219" t="str">
        <f t="shared" si="209"/>
        <v>G858</v>
      </c>
      <c r="DD219" t="b">
        <f t="shared" si="223"/>
        <v>0</v>
      </c>
      <c r="DE219" t="str">
        <f t="shared" si="224"/>
        <v>G858</v>
      </c>
      <c r="DF219" t="str">
        <f t="shared" si="210"/>
        <v>R145</v>
      </c>
      <c r="DG219" t="b">
        <f t="shared" si="225"/>
        <v>0</v>
      </c>
      <c r="DH219" t="str">
        <f t="shared" si="226"/>
        <v>R145</v>
      </c>
    </row>
    <row r="220" spans="2:112" ht="12" customHeight="1">
      <c r="B220" t="str">
        <f>TBIDry!H292</f>
        <v>G313</v>
      </c>
      <c r="C220" t="str">
        <f>TBIDry!I292</f>
        <v>R771</v>
      </c>
      <c r="D220" t="b">
        <f t="shared" si="173"/>
        <v>0</v>
      </c>
      <c r="E220" t="b">
        <f t="shared" si="174"/>
        <v>0</v>
      </c>
      <c r="G220" t="str">
        <f>TBIWet!H292</f>
        <v>G795</v>
      </c>
      <c r="H220" t="str">
        <f>TBIWet!I292</f>
        <v>R302</v>
      </c>
      <c r="I220" t="b">
        <f t="shared" si="175"/>
        <v>0</v>
      </c>
      <c r="J220" t="b">
        <f t="shared" si="176"/>
        <v>0</v>
      </c>
      <c r="L220" t="str">
        <f>'Both teabags AfterWet'!A218</f>
        <v>G647</v>
      </c>
      <c r="M220" t="str">
        <f>'Both teabags AfterWet'!A638</f>
        <v>R427</v>
      </c>
      <c r="N220" t="b">
        <f t="shared" si="177"/>
        <v>0</v>
      </c>
      <c r="O220" t="b">
        <f t="shared" si="227"/>
        <v>0</v>
      </c>
      <c r="Q220" s="388" t="b">
        <f t="shared" si="178"/>
        <v>0</v>
      </c>
      <c r="R220" s="388" t="b">
        <f t="shared" si="179"/>
        <v>0</v>
      </c>
      <c r="T220" t="str">
        <f>'Both teabags AfterDry'!A218</f>
        <v>G42</v>
      </c>
      <c r="U220" t="str">
        <f>'Both teabags AfterDry'!A553</f>
        <v>R705</v>
      </c>
      <c r="V220" t="b">
        <f t="shared" si="180"/>
        <v>0</v>
      </c>
      <c r="W220" t="b">
        <f t="shared" si="211"/>
        <v>0</v>
      </c>
      <c r="Y220" t="str">
        <f>'Green_rooibos initial weight'!A221</f>
        <v>G217</v>
      </c>
      <c r="Z220" t="str">
        <f>'Green_rooibos initial weight'!A1125</f>
        <v>R217</v>
      </c>
      <c r="AA220" t="b">
        <f t="shared" si="181"/>
        <v>0</v>
      </c>
      <c r="AB220" t="b">
        <f t="shared" si="182"/>
        <v>0</v>
      </c>
      <c r="AE220" t="str">
        <f>'WetLitterbags placem_collection'!K219</f>
        <v>G795</v>
      </c>
      <c r="AF220" t="str">
        <f>'WetLitterbags placem_collection'!M219</f>
        <v>R302</v>
      </c>
      <c r="AG220" t="b">
        <f t="shared" si="183"/>
        <v>0</v>
      </c>
      <c r="AH220" t="b">
        <f t="shared" si="184"/>
        <v>0</v>
      </c>
      <c r="AJ220" t="b">
        <f t="shared" si="185"/>
        <v>0</v>
      </c>
      <c r="AK220" t="b">
        <f t="shared" si="186"/>
        <v>0</v>
      </c>
      <c r="AM220" t="str">
        <f>IF(ISBLANK('Dry_Litterbag Placem_Collection'!J219),"","G"&amp;""&amp;'Dry_Litterbag Placem_Collection'!J219)</f>
        <v>G313</v>
      </c>
      <c r="AN220" t="str">
        <f>IF(ISBLANK('Dry_Litterbag Placem_Collection'!K219),"","R"&amp;""&amp;'Dry_Litterbag Placem_Collection'!K219)</f>
        <v>R771</v>
      </c>
      <c r="AO220" t="b">
        <f t="shared" si="187"/>
        <v>0</v>
      </c>
      <c r="AP220" t="b">
        <f t="shared" si="188"/>
        <v>0</v>
      </c>
      <c r="AS220" t="str">
        <f>'Ashed teabags dry'!A218</f>
        <v>G42</v>
      </c>
      <c r="AT220" t="str">
        <f>'Ashed teabags dry'!A553</f>
        <v>R705</v>
      </c>
      <c r="AU220" t="b">
        <f t="shared" si="189"/>
        <v>0</v>
      </c>
      <c r="AV220" t="b">
        <f t="shared" si="212"/>
        <v>0</v>
      </c>
      <c r="AX220" s="388" t="b">
        <f t="shared" si="190"/>
        <v>0</v>
      </c>
      <c r="AY220" s="388" t="b">
        <f t="shared" si="191"/>
        <v>0</v>
      </c>
      <c r="BA220" t="str">
        <f>'Ashed teabags wet'!A218</f>
        <v>G647</v>
      </c>
      <c r="BB220" t="str">
        <f>'Ashed teabags wet'!A638</f>
        <v>R427</v>
      </c>
      <c r="BC220" t="b">
        <f t="shared" si="192"/>
        <v>0</v>
      </c>
      <c r="BD220" t="b">
        <f t="shared" si="172"/>
        <v>0</v>
      </c>
      <c r="BF220" t="str">
        <f t="shared" si="193"/>
        <v>G413</v>
      </c>
      <c r="BG220" t="str">
        <f t="shared" si="194"/>
        <v>G413</v>
      </c>
      <c r="BH220" t="str">
        <f t="shared" si="195"/>
        <v>G95</v>
      </c>
      <c r="BI220" t="str">
        <f t="shared" si="213"/>
        <v>G95</v>
      </c>
      <c r="BJ220" t="s">
        <v>1637</v>
      </c>
      <c r="BK220" t="s">
        <v>1637</v>
      </c>
      <c r="BL220" t="s">
        <v>1637</v>
      </c>
      <c r="BM220" t="b">
        <f t="shared" si="214"/>
        <v>1</v>
      </c>
      <c r="BN220" t="str">
        <f t="shared" si="196"/>
        <v>R704</v>
      </c>
      <c r="BO220" t="str">
        <f t="shared" si="197"/>
        <v>R704</v>
      </c>
      <c r="BP220" t="str">
        <f t="shared" si="198"/>
        <v>R379</v>
      </c>
      <c r="BQ220" t="str">
        <f t="shared" si="199"/>
        <v>R379</v>
      </c>
      <c r="BR220" t="s">
        <v>435</v>
      </c>
      <c r="BS220" t="s">
        <v>434</v>
      </c>
      <c r="BT220" t="s">
        <v>435</v>
      </c>
      <c r="BU220" t="b">
        <f t="shared" si="215"/>
        <v>1</v>
      </c>
      <c r="BZ220" t="str">
        <f t="shared" si="200"/>
        <v>G95</v>
      </c>
      <c r="CA220" t="b">
        <f t="shared" si="201"/>
        <v>0</v>
      </c>
      <c r="CB220" t="str">
        <f t="shared" si="216"/>
        <v>G95</v>
      </c>
      <c r="CC220" t="str">
        <f t="shared" si="202"/>
        <v>R379</v>
      </c>
      <c r="CD220" t="b">
        <f t="shared" si="217"/>
        <v>0</v>
      </c>
      <c r="CE220" t="str">
        <f t="shared" si="218"/>
        <v>R379</v>
      </c>
      <c r="CG220" t="str">
        <f t="shared" si="203"/>
        <v>G645</v>
      </c>
      <c r="CH220" t="str">
        <f t="shared" si="219"/>
        <v>G645</v>
      </c>
      <c r="CI220" t="str">
        <f t="shared" si="204"/>
        <v>G755</v>
      </c>
      <c r="CJ220" t="str">
        <f t="shared" si="205"/>
        <v>G755</v>
      </c>
      <c r="CK220" t="s">
        <v>1405</v>
      </c>
      <c r="CL220" t="s">
        <v>1405</v>
      </c>
      <c r="CM220" t="s">
        <v>1405</v>
      </c>
      <c r="CN220" t="b">
        <f t="shared" si="220"/>
        <v>1</v>
      </c>
      <c r="CO220" t="str">
        <f t="shared" si="206"/>
        <v>R426</v>
      </c>
      <c r="CP220" t="str">
        <f t="shared" si="221"/>
        <v>R426</v>
      </c>
      <c r="CQ220" t="str">
        <f t="shared" si="207"/>
        <v>R241</v>
      </c>
      <c r="CR220" t="str">
        <f t="shared" si="208"/>
        <v>R241</v>
      </c>
      <c r="CS220" t="s">
        <v>715</v>
      </c>
      <c r="CT220" t="s">
        <v>715</v>
      </c>
      <c r="CU220" t="s">
        <v>715</v>
      </c>
      <c r="CV220" t="b">
        <f t="shared" si="222"/>
        <v>1</v>
      </c>
      <c r="DC220" t="str">
        <f t="shared" si="209"/>
        <v>G755</v>
      </c>
      <c r="DD220" t="b">
        <f t="shared" si="223"/>
        <v>0</v>
      </c>
      <c r="DE220" t="str">
        <f t="shared" si="224"/>
        <v>G755</v>
      </c>
      <c r="DF220" t="str">
        <f t="shared" si="210"/>
        <v>R241</v>
      </c>
      <c r="DG220" t="b">
        <f t="shared" si="225"/>
        <v>0</v>
      </c>
      <c r="DH220" t="str">
        <f t="shared" si="226"/>
        <v>R241</v>
      </c>
    </row>
    <row r="221" spans="2:112" ht="12" customHeight="1">
      <c r="B221" t="str">
        <f>TBIDry!H293</f>
        <v>G485</v>
      </c>
      <c r="C221" t="str">
        <f>TBIDry!I293</f>
        <v>R680</v>
      </c>
      <c r="D221" t="b">
        <f t="shared" si="173"/>
        <v>0</v>
      </c>
      <c r="E221" t="b">
        <f t="shared" si="174"/>
        <v>0</v>
      </c>
      <c r="G221" t="str">
        <f>TBIWet!H293</f>
        <v>G251</v>
      </c>
      <c r="H221" t="str">
        <f>TBIWet!I293</f>
        <v>R442</v>
      </c>
      <c r="I221" t="b">
        <f t="shared" si="175"/>
        <v>0</v>
      </c>
      <c r="J221" t="b">
        <f t="shared" si="176"/>
        <v>0</v>
      </c>
      <c r="L221" t="str">
        <f>'Both teabags AfterWet'!A219</f>
        <v>G648</v>
      </c>
      <c r="M221" t="str">
        <f>'Both teabags AfterWet'!A639</f>
        <v>R428</v>
      </c>
      <c r="N221" t="b">
        <f t="shared" si="177"/>
        <v>0</v>
      </c>
      <c r="O221" t="b">
        <f t="shared" si="227"/>
        <v>0</v>
      </c>
      <c r="Q221" s="388" t="b">
        <f t="shared" si="178"/>
        <v>0</v>
      </c>
      <c r="R221" s="388" t="b">
        <f t="shared" si="179"/>
        <v>0</v>
      </c>
      <c r="T221" t="str">
        <f>'Both teabags AfterDry'!A219</f>
        <v>G422</v>
      </c>
      <c r="U221" t="str">
        <f>'Both teabags AfterDry'!A554</f>
        <v>R706</v>
      </c>
      <c r="V221" t="b">
        <f t="shared" si="180"/>
        <v>0</v>
      </c>
      <c r="W221" t="b">
        <f t="shared" si="211"/>
        <v>0</v>
      </c>
      <c r="Y221" t="str">
        <f>'Green_rooibos initial weight'!A222</f>
        <v>G218</v>
      </c>
      <c r="Z221" t="str">
        <f>'Green_rooibos initial weight'!A1126</f>
        <v>R218</v>
      </c>
      <c r="AA221" t="b">
        <f t="shared" si="181"/>
        <v>0</v>
      </c>
      <c r="AB221" t="b">
        <f t="shared" si="182"/>
        <v>0</v>
      </c>
      <c r="AE221" t="str">
        <f>'WetLitterbags placem_collection'!K220</f>
        <v>G251</v>
      </c>
      <c r="AF221" t="str">
        <f>'WetLitterbags placem_collection'!M220</f>
        <v>R442</v>
      </c>
      <c r="AG221" t="b">
        <f t="shared" si="183"/>
        <v>0</v>
      </c>
      <c r="AH221" t="b">
        <f t="shared" si="184"/>
        <v>0</v>
      </c>
      <c r="AJ221" t="b">
        <f t="shared" si="185"/>
        <v>0</v>
      </c>
      <c r="AK221" t="b">
        <f t="shared" si="186"/>
        <v>0</v>
      </c>
      <c r="AM221" t="str">
        <f>IF(ISBLANK('Dry_Litterbag Placem_Collection'!J220),"","G"&amp;""&amp;'Dry_Litterbag Placem_Collection'!J220)</f>
        <v>G485</v>
      </c>
      <c r="AN221" t="str">
        <f>IF(ISBLANK('Dry_Litterbag Placem_Collection'!K220),"","R"&amp;""&amp;'Dry_Litterbag Placem_Collection'!K220)</f>
        <v>R680</v>
      </c>
      <c r="AO221" t="b">
        <f t="shared" si="187"/>
        <v>0</v>
      </c>
      <c r="AP221" t="b">
        <f t="shared" si="188"/>
        <v>0</v>
      </c>
      <c r="AS221" t="str">
        <f>'Ashed teabags dry'!A219</f>
        <v>G422</v>
      </c>
      <c r="AT221" t="str">
        <f>'Ashed teabags dry'!A554</f>
        <v>R706</v>
      </c>
      <c r="AU221" t="b">
        <f t="shared" si="189"/>
        <v>0</v>
      </c>
      <c r="AV221" t="b">
        <f t="shared" si="212"/>
        <v>0</v>
      </c>
      <c r="AX221" s="388" t="b">
        <f t="shared" si="190"/>
        <v>0</v>
      </c>
      <c r="AY221" s="388" t="b">
        <f t="shared" si="191"/>
        <v>0</v>
      </c>
      <c r="BA221" t="str">
        <f>'Ashed teabags wet'!A219</f>
        <v>G648</v>
      </c>
      <c r="BB221" t="str">
        <f>'Ashed teabags wet'!A639</f>
        <v>R428</v>
      </c>
      <c r="BC221" t="b">
        <f t="shared" si="192"/>
        <v>0</v>
      </c>
      <c r="BD221" t="b">
        <f t="shared" si="172"/>
        <v>0</v>
      </c>
      <c r="BF221" t="str">
        <f t="shared" si="193"/>
        <v>G42</v>
      </c>
      <c r="BG221" t="str">
        <f t="shared" si="194"/>
        <v>G42</v>
      </c>
      <c r="BH221" t="str">
        <f t="shared" si="195"/>
        <v>G313</v>
      </c>
      <c r="BI221" t="str">
        <f t="shared" si="213"/>
        <v>G313</v>
      </c>
      <c r="BJ221" t="s">
        <v>2008</v>
      </c>
      <c r="BK221" t="s">
        <v>2008</v>
      </c>
      <c r="BL221" t="s">
        <v>2008</v>
      </c>
      <c r="BM221" t="b">
        <f t="shared" si="214"/>
        <v>1</v>
      </c>
      <c r="BN221" t="str">
        <f t="shared" si="196"/>
        <v>R705</v>
      </c>
      <c r="BO221" t="str">
        <f t="shared" si="197"/>
        <v>R705</v>
      </c>
      <c r="BP221" t="str">
        <f t="shared" si="198"/>
        <v>R771</v>
      </c>
      <c r="BQ221" t="str">
        <f t="shared" si="199"/>
        <v>R771</v>
      </c>
      <c r="BR221" t="s">
        <v>434</v>
      </c>
      <c r="BS221" t="s">
        <v>433</v>
      </c>
      <c r="BT221" t="s">
        <v>434</v>
      </c>
      <c r="BU221" t="b">
        <f t="shared" si="215"/>
        <v>1</v>
      </c>
      <c r="BZ221" t="str">
        <f t="shared" si="200"/>
        <v>G313</v>
      </c>
      <c r="CA221" t="b">
        <f t="shared" si="201"/>
        <v>0</v>
      </c>
      <c r="CB221" t="str">
        <f t="shared" si="216"/>
        <v>G313</v>
      </c>
      <c r="CC221" t="str">
        <f t="shared" si="202"/>
        <v>R771</v>
      </c>
      <c r="CD221" t="b">
        <f t="shared" si="217"/>
        <v>0</v>
      </c>
      <c r="CE221" t="str">
        <f t="shared" si="218"/>
        <v>R771</v>
      </c>
      <c r="CG221" t="str">
        <f t="shared" si="203"/>
        <v>G647</v>
      </c>
      <c r="CH221" t="str">
        <f t="shared" si="219"/>
        <v>G647</v>
      </c>
      <c r="CI221" t="str">
        <f t="shared" si="204"/>
        <v>G795</v>
      </c>
      <c r="CJ221" t="str">
        <f t="shared" si="205"/>
        <v>G795</v>
      </c>
      <c r="CK221" t="s">
        <v>1403</v>
      </c>
      <c r="CL221" t="s">
        <v>1403</v>
      </c>
      <c r="CM221" t="s">
        <v>1403</v>
      </c>
      <c r="CN221" t="b">
        <f t="shared" si="220"/>
        <v>1</v>
      </c>
      <c r="CO221" t="str">
        <f t="shared" si="206"/>
        <v>R427</v>
      </c>
      <c r="CP221" t="str">
        <f t="shared" si="221"/>
        <v>R427</v>
      </c>
      <c r="CQ221" t="str">
        <f t="shared" si="207"/>
        <v>R302</v>
      </c>
      <c r="CR221" t="str">
        <f t="shared" si="208"/>
        <v>R302</v>
      </c>
      <c r="CS221" t="s">
        <v>714</v>
      </c>
      <c r="CT221" t="s">
        <v>714</v>
      </c>
      <c r="CU221" t="s">
        <v>714</v>
      </c>
      <c r="CV221" t="b">
        <f t="shared" si="222"/>
        <v>1</v>
      </c>
      <c r="DC221" t="str">
        <f t="shared" si="209"/>
        <v>G795</v>
      </c>
      <c r="DD221" t="b">
        <f t="shared" si="223"/>
        <v>0</v>
      </c>
      <c r="DE221" t="str">
        <f t="shared" si="224"/>
        <v>G795</v>
      </c>
      <c r="DF221" t="str">
        <f t="shared" si="210"/>
        <v>R302</v>
      </c>
      <c r="DG221" t="b">
        <f t="shared" si="225"/>
        <v>0</v>
      </c>
      <c r="DH221" t="str">
        <f t="shared" si="226"/>
        <v>R302</v>
      </c>
    </row>
    <row r="222" spans="2:112" ht="12" customHeight="1">
      <c r="B222" t="str">
        <f>TBIDry!H294</f>
        <v>G196</v>
      </c>
      <c r="C222" t="str">
        <f>TBIDry!I294</f>
        <v>R178</v>
      </c>
      <c r="D222" t="b">
        <f t="shared" si="173"/>
        <v>0</v>
      </c>
      <c r="E222" t="b">
        <f t="shared" si="174"/>
        <v>0</v>
      </c>
      <c r="G222" t="str">
        <f>TBIWet!H294</f>
        <v>G727</v>
      </c>
      <c r="H222" t="str">
        <f>TBIWet!I294</f>
        <v>R176</v>
      </c>
      <c r="I222" t="b">
        <f t="shared" si="175"/>
        <v>0</v>
      </c>
      <c r="J222" t="b">
        <f t="shared" si="176"/>
        <v>0</v>
      </c>
      <c r="L222" t="str">
        <f>'Both teabags AfterWet'!A220</f>
        <v>G649</v>
      </c>
      <c r="M222" t="str">
        <f>'Both teabags AfterWet'!A640</f>
        <v>R429</v>
      </c>
      <c r="N222" t="b">
        <f t="shared" si="177"/>
        <v>0</v>
      </c>
      <c r="O222" t="b">
        <f t="shared" si="227"/>
        <v>0</v>
      </c>
      <c r="Q222" s="388" t="b">
        <f t="shared" si="178"/>
        <v>0</v>
      </c>
      <c r="R222" s="388" t="b">
        <f t="shared" si="179"/>
        <v>0</v>
      </c>
      <c r="T222" t="str">
        <f>'Both teabags AfterDry'!A220</f>
        <v>G43</v>
      </c>
      <c r="U222" t="str">
        <f>'Both teabags AfterDry'!A555</f>
        <v>R707</v>
      </c>
      <c r="V222" t="b">
        <f t="shared" si="180"/>
        <v>0</v>
      </c>
      <c r="W222" t="b">
        <f t="shared" si="211"/>
        <v>0</v>
      </c>
      <c r="Y222" t="str">
        <f>'Green_rooibos initial weight'!A223</f>
        <v>G219</v>
      </c>
      <c r="Z222" t="str">
        <f>'Green_rooibos initial weight'!A1127</f>
        <v>R219</v>
      </c>
      <c r="AA222" t="b">
        <f t="shared" si="181"/>
        <v>0</v>
      </c>
      <c r="AB222" t="b">
        <f t="shared" si="182"/>
        <v>0</v>
      </c>
      <c r="AE222" t="str">
        <f>'WetLitterbags placem_collection'!K221</f>
        <v>G727</v>
      </c>
      <c r="AF222" t="str">
        <f>'WetLitterbags placem_collection'!M221</f>
        <v>R176</v>
      </c>
      <c r="AG222" t="b">
        <f t="shared" si="183"/>
        <v>0</v>
      </c>
      <c r="AH222" t="b">
        <f t="shared" si="184"/>
        <v>0</v>
      </c>
      <c r="AJ222" t="b">
        <f t="shared" si="185"/>
        <v>0</v>
      </c>
      <c r="AK222" t="b">
        <f t="shared" si="186"/>
        <v>0</v>
      </c>
      <c r="AM222" t="str">
        <f>IF(ISBLANK('Dry_Litterbag Placem_Collection'!J221),"","G"&amp;""&amp;'Dry_Litterbag Placem_Collection'!J221)</f>
        <v>G196</v>
      </c>
      <c r="AN222" t="str">
        <f>IF(ISBLANK('Dry_Litterbag Placem_Collection'!K221),"","R"&amp;""&amp;'Dry_Litterbag Placem_Collection'!K221)</f>
        <v>R178</v>
      </c>
      <c r="AO222" t="b">
        <f t="shared" si="187"/>
        <v>0</v>
      </c>
      <c r="AP222" t="b">
        <f t="shared" si="188"/>
        <v>0</v>
      </c>
      <c r="AS222" t="str">
        <f>'Ashed teabags dry'!A220</f>
        <v>G43</v>
      </c>
      <c r="AT222" t="str">
        <f>'Ashed teabags dry'!A555</f>
        <v>R707</v>
      </c>
      <c r="AU222" t="b">
        <f t="shared" si="189"/>
        <v>0</v>
      </c>
      <c r="AV222" t="b">
        <f t="shared" si="212"/>
        <v>0</v>
      </c>
      <c r="AX222" s="388" t="b">
        <f t="shared" si="190"/>
        <v>0</v>
      </c>
      <c r="AY222" s="388" t="b">
        <f t="shared" si="191"/>
        <v>0</v>
      </c>
      <c r="BA222" t="str">
        <f>'Ashed teabags wet'!A220</f>
        <v>G649</v>
      </c>
      <c r="BB222" t="str">
        <f>'Ashed teabags wet'!A640</f>
        <v>R429</v>
      </c>
      <c r="BC222" t="b">
        <f t="shared" si="192"/>
        <v>0</v>
      </c>
      <c r="BD222" t="b">
        <f t="shared" si="172"/>
        <v>0</v>
      </c>
      <c r="BF222" t="str">
        <f t="shared" si="193"/>
        <v>G422</v>
      </c>
      <c r="BG222" t="str">
        <f t="shared" si="194"/>
        <v>G422</v>
      </c>
      <c r="BH222" t="str">
        <f t="shared" si="195"/>
        <v>G485</v>
      </c>
      <c r="BI222" t="str">
        <f t="shared" si="213"/>
        <v>G485</v>
      </c>
      <c r="BJ222" t="s">
        <v>1628</v>
      </c>
      <c r="BK222" t="s">
        <v>1628</v>
      </c>
      <c r="BL222" t="s">
        <v>1628</v>
      </c>
      <c r="BM222" t="b">
        <f t="shared" si="214"/>
        <v>1</v>
      </c>
      <c r="BN222" t="str">
        <f t="shared" si="196"/>
        <v>R706</v>
      </c>
      <c r="BO222" t="str">
        <f t="shared" si="197"/>
        <v>R706</v>
      </c>
      <c r="BP222" t="str">
        <f t="shared" si="198"/>
        <v>R680</v>
      </c>
      <c r="BQ222" t="str">
        <f t="shared" si="199"/>
        <v>R680</v>
      </c>
      <c r="BR222" t="s">
        <v>433</v>
      </c>
      <c r="BS222" t="s">
        <v>432</v>
      </c>
      <c r="BT222" t="s">
        <v>433</v>
      </c>
      <c r="BU222" t="b">
        <f t="shared" si="215"/>
        <v>1</v>
      </c>
      <c r="BZ222" t="str">
        <f t="shared" si="200"/>
        <v>G485</v>
      </c>
      <c r="CA222" t="b">
        <f t="shared" si="201"/>
        <v>0</v>
      </c>
      <c r="CB222" t="str">
        <f t="shared" si="216"/>
        <v>G485</v>
      </c>
      <c r="CC222" t="str">
        <f t="shared" si="202"/>
        <v>R680</v>
      </c>
      <c r="CD222" t="b">
        <f t="shared" si="217"/>
        <v>0</v>
      </c>
      <c r="CE222" t="str">
        <f t="shared" si="218"/>
        <v>R680</v>
      </c>
      <c r="CG222" t="str">
        <f t="shared" si="203"/>
        <v>G648</v>
      </c>
      <c r="CH222" t="str">
        <f t="shared" si="219"/>
        <v>G648</v>
      </c>
      <c r="CI222" t="str">
        <f t="shared" si="204"/>
        <v>G251</v>
      </c>
      <c r="CJ222" t="str">
        <f t="shared" si="205"/>
        <v>G251</v>
      </c>
      <c r="CK222" t="s">
        <v>1402</v>
      </c>
      <c r="CL222" t="s">
        <v>1402</v>
      </c>
      <c r="CM222" t="s">
        <v>1402</v>
      </c>
      <c r="CN222" t="b">
        <f t="shared" si="220"/>
        <v>1</v>
      </c>
      <c r="CO222" t="str">
        <f t="shared" si="206"/>
        <v>R428</v>
      </c>
      <c r="CP222" t="str">
        <f t="shared" si="221"/>
        <v>R428</v>
      </c>
      <c r="CQ222" t="str">
        <f t="shared" si="207"/>
        <v>R442</v>
      </c>
      <c r="CR222" t="str">
        <f t="shared" si="208"/>
        <v>R442</v>
      </c>
      <c r="CS222" t="s">
        <v>713</v>
      </c>
      <c r="CT222" t="s">
        <v>713</v>
      </c>
      <c r="CU222" t="s">
        <v>713</v>
      </c>
      <c r="CV222" t="b">
        <f t="shared" si="222"/>
        <v>1</v>
      </c>
      <c r="DC222" t="str">
        <f t="shared" si="209"/>
        <v>G251</v>
      </c>
      <c r="DD222" t="b">
        <f t="shared" si="223"/>
        <v>0</v>
      </c>
      <c r="DE222" t="str">
        <f t="shared" si="224"/>
        <v>G251</v>
      </c>
      <c r="DF222" t="str">
        <f t="shared" si="210"/>
        <v>R442</v>
      </c>
      <c r="DG222" t="b">
        <f t="shared" si="225"/>
        <v>0</v>
      </c>
      <c r="DH222" t="str">
        <f t="shared" si="226"/>
        <v>R442</v>
      </c>
    </row>
    <row r="223" spans="2:112" ht="12" customHeight="1">
      <c r="B223" t="str">
        <f>TBIDry!H295</f>
        <v>G39</v>
      </c>
      <c r="C223" t="str">
        <f>TBIDry!I295</f>
        <v>R194</v>
      </c>
      <c r="D223" t="b">
        <f t="shared" si="173"/>
        <v>0</v>
      </c>
      <c r="E223" t="b">
        <f t="shared" si="174"/>
        <v>0</v>
      </c>
      <c r="G223" t="str">
        <f>TBIWet!H295</f>
        <v>G782</v>
      </c>
      <c r="H223" t="str">
        <f>TBIWet!I295</f>
        <v>R250</v>
      </c>
      <c r="I223" t="b">
        <f t="shared" si="175"/>
        <v>0</v>
      </c>
      <c r="J223" t="b">
        <f t="shared" si="176"/>
        <v>0</v>
      </c>
      <c r="L223" t="str">
        <f>'Both teabags AfterWet'!A221</f>
        <v>G651</v>
      </c>
      <c r="M223" t="str">
        <f>'Both teabags AfterWet'!A641</f>
        <v>R430</v>
      </c>
      <c r="N223" t="b">
        <f t="shared" si="177"/>
        <v>0</v>
      </c>
      <c r="O223" t="b">
        <f t="shared" si="227"/>
        <v>0</v>
      </c>
      <c r="Q223" s="388" t="b">
        <f t="shared" si="178"/>
        <v>0</v>
      </c>
      <c r="R223" s="388" t="b">
        <f t="shared" si="179"/>
        <v>0</v>
      </c>
      <c r="T223" t="str">
        <f>'Both teabags AfterDry'!A221</f>
        <v>G430</v>
      </c>
      <c r="U223" t="str">
        <f>'Both teabags AfterDry'!A556</f>
        <v>R708</v>
      </c>
      <c r="V223" t="b">
        <f t="shared" si="180"/>
        <v>0</v>
      </c>
      <c r="W223" t="b">
        <f t="shared" si="211"/>
        <v>0</v>
      </c>
      <c r="Y223" t="str">
        <f>'Green_rooibos initial weight'!A224</f>
        <v>G220</v>
      </c>
      <c r="Z223" t="str">
        <f>'Green_rooibos initial weight'!A1128</f>
        <v>R220</v>
      </c>
      <c r="AA223" t="b">
        <f t="shared" si="181"/>
        <v>0</v>
      </c>
      <c r="AB223" t="b">
        <f t="shared" si="182"/>
        <v>0</v>
      </c>
      <c r="AE223" t="str">
        <f>'WetLitterbags placem_collection'!K222</f>
        <v>G782</v>
      </c>
      <c r="AF223" t="str">
        <f>'WetLitterbags placem_collection'!M222</f>
        <v>R250</v>
      </c>
      <c r="AG223" t="b">
        <f t="shared" si="183"/>
        <v>0</v>
      </c>
      <c r="AH223" t="b">
        <f t="shared" si="184"/>
        <v>0</v>
      </c>
      <c r="AJ223" t="b">
        <f t="shared" si="185"/>
        <v>0</v>
      </c>
      <c r="AK223" t="b">
        <f t="shared" si="186"/>
        <v>0</v>
      </c>
      <c r="AM223" t="str">
        <f>IF(ISBLANK('Dry_Litterbag Placem_Collection'!J222),"","G"&amp;""&amp;'Dry_Litterbag Placem_Collection'!J222)</f>
        <v>G39</v>
      </c>
      <c r="AN223" t="str">
        <f>IF(ISBLANK('Dry_Litterbag Placem_Collection'!K222),"","R"&amp;""&amp;'Dry_Litterbag Placem_Collection'!K222)</f>
        <v>R194</v>
      </c>
      <c r="AO223" t="b">
        <f t="shared" si="187"/>
        <v>0</v>
      </c>
      <c r="AP223" t="b">
        <f t="shared" si="188"/>
        <v>0</v>
      </c>
      <c r="AS223" t="str">
        <f>'Ashed teabags dry'!A221</f>
        <v>G430</v>
      </c>
      <c r="AT223" t="str">
        <f>'Ashed teabags dry'!A556</f>
        <v>R708</v>
      </c>
      <c r="AU223" t="b">
        <f t="shared" si="189"/>
        <v>0</v>
      </c>
      <c r="AV223" t="b">
        <f t="shared" si="212"/>
        <v>0</v>
      </c>
      <c r="AX223" s="388" t="b">
        <f t="shared" si="190"/>
        <v>0</v>
      </c>
      <c r="AY223" s="388" t="b">
        <f t="shared" si="191"/>
        <v>0</v>
      </c>
      <c r="BA223" t="str">
        <f>'Ashed teabags wet'!A221</f>
        <v>G651</v>
      </c>
      <c r="BB223" t="str">
        <f>'Ashed teabags wet'!A641</f>
        <v>R430</v>
      </c>
      <c r="BC223" t="b">
        <f t="shared" si="192"/>
        <v>0</v>
      </c>
      <c r="BD223" t="b">
        <f t="shared" si="172"/>
        <v>0</v>
      </c>
      <c r="BF223" t="str">
        <f t="shared" si="193"/>
        <v>G43</v>
      </c>
      <c r="BG223" t="str">
        <f t="shared" si="194"/>
        <v>G43</v>
      </c>
      <c r="BH223" t="str">
        <f t="shared" si="195"/>
        <v>G196</v>
      </c>
      <c r="BI223" t="str">
        <f t="shared" si="213"/>
        <v>G196</v>
      </c>
      <c r="BJ223" t="s">
        <v>2007</v>
      </c>
      <c r="BK223" t="s">
        <v>2007</v>
      </c>
      <c r="BL223" t="s">
        <v>2007</v>
      </c>
      <c r="BM223" t="b">
        <f t="shared" si="214"/>
        <v>1</v>
      </c>
      <c r="BN223" t="str">
        <f t="shared" si="196"/>
        <v>R707</v>
      </c>
      <c r="BO223" t="str">
        <f t="shared" si="197"/>
        <v>R707</v>
      </c>
      <c r="BP223" t="str">
        <f t="shared" si="198"/>
        <v>R178</v>
      </c>
      <c r="BQ223" t="str">
        <f t="shared" si="199"/>
        <v>R178</v>
      </c>
      <c r="BR223" t="s">
        <v>432</v>
      </c>
      <c r="BS223" t="s">
        <v>431</v>
      </c>
      <c r="BT223" t="s">
        <v>432</v>
      </c>
      <c r="BU223" t="b">
        <f t="shared" si="215"/>
        <v>1</v>
      </c>
      <c r="BZ223" t="str">
        <f t="shared" si="200"/>
        <v>G196</v>
      </c>
      <c r="CA223" t="b">
        <f t="shared" si="201"/>
        <v>0</v>
      </c>
      <c r="CB223" t="str">
        <f t="shared" si="216"/>
        <v>G196</v>
      </c>
      <c r="CC223" t="str">
        <f t="shared" si="202"/>
        <v>R178</v>
      </c>
      <c r="CD223" t="b">
        <f t="shared" si="217"/>
        <v>0</v>
      </c>
      <c r="CE223" t="str">
        <f t="shared" si="218"/>
        <v>R178</v>
      </c>
      <c r="CG223" t="str">
        <f t="shared" si="203"/>
        <v>G649</v>
      </c>
      <c r="CH223" t="str">
        <f t="shared" si="219"/>
        <v>G649</v>
      </c>
      <c r="CI223" t="str">
        <f t="shared" si="204"/>
        <v>G727</v>
      </c>
      <c r="CJ223" t="str">
        <f t="shared" si="205"/>
        <v>G727</v>
      </c>
      <c r="CK223" t="s">
        <v>1401</v>
      </c>
      <c r="CL223" t="s">
        <v>1401</v>
      </c>
      <c r="CM223" t="s">
        <v>1401</v>
      </c>
      <c r="CN223" t="b">
        <f t="shared" si="220"/>
        <v>1</v>
      </c>
      <c r="CO223" t="str">
        <f t="shared" si="206"/>
        <v>R429</v>
      </c>
      <c r="CP223" t="str">
        <f t="shared" si="221"/>
        <v>R429</v>
      </c>
      <c r="CQ223" t="str">
        <f t="shared" si="207"/>
        <v>R176</v>
      </c>
      <c r="CR223" t="str">
        <f t="shared" si="208"/>
        <v>R176</v>
      </c>
      <c r="CS223" t="s">
        <v>712</v>
      </c>
      <c r="CT223" t="s">
        <v>712</v>
      </c>
      <c r="CU223" t="s">
        <v>712</v>
      </c>
      <c r="CV223" t="b">
        <f t="shared" si="222"/>
        <v>1</v>
      </c>
      <c r="DC223" t="str">
        <f t="shared" si="209"/>
        <v>G727</v>
      </c>
      <c r="DD223" t="b">
        <f t="shared" si="223"/>
        <v>0</v>
      </c>
      <c r="DE223" t="str">
        <f t="shared" si="224"/>
        <v>G727</v>
      </c>
      <c r="DF223" t="str">
        <f t="shared" si="210"/>
        <v>R176</v>
      </c>
      <c r="DG223" t="b">
        <f t="shared" si="225"/>
        <v>0</v>
      </c>
      <c r="DH223" t="str">
        <f t="shared" si="226"/>
        <v>R176</v>
      </c>
    </row>
    <row r="224" spans="2:112" ht="12" customHeight="1">
      <c r="B224" t="str">
        <f>TBIDry!H296</f>
        <v>G377</v>
      </c>
      <c r="C224" t="str">
        <f>TBIDry!I296</f>
        <v>R204</v>
      </c>
      <c r="D224" t="b">
        <f t="shared" si="173"/>
        <v>0</v>
      </c>
      <c r="E224" t="b">
        <f t="shared" si="174"/>
        <v>0</v>
      </c>
      <c r="G224" t="str">
        <f>TBIWet!H296</f>
        <v>G752</v>
      </c>
      <c r="H224" t="str">
        <f>TBIWet!I296</f>
        <v>R133</v>
      </c>
      <c r="I224" t="b">
        <f t="shared" si="175"/>
        <v>0</v>
      </c>
      <c r="J224" t="b">
        <f t="shared" si="176"/>
        <v>0</v>
      </c>
      <c r="L224" t="str">
        <f>'Both teabags AfterWet'!A222</f>
        <v>G653</v>
      </c>
      <c r="M224" t="str">
        <f>'Both teabags AfterWet'!A642</f>
        <v>R432</v>
      </c>
      <c r="N224" t="b">
        <f t="shared" si="177"/>
        <v>0</v>
      </c>
      <c r="O224" t="b">
        <f t="shared" si="227"/>
        <v>0</v>
      </c>
      <c r="Q224" s="388" t="b">
        <f t="shared" si="178"/>
        <v>0</v>
      </c>
      <c r="R224" s="388" t="b">
        <f t="shared" si="179"/>
        <v>0</v>
      </c>
      <c r="T224" t="str">
        <f>'Both teabags AfterDry'!A222</f>
        <v>G431</v>
      </c>
      <c r="U224" t="str">
        <f>'Both teabags AfterDry'!A557</f>
        <v>R709</v>
      </c>
      <c r="V224" t="b">
        <f t="shared" si="180"/>
        <v>0</v>
      </c>
      <c r="W224" t="b">
        <f t="shared" si="211"/>
        <v>0</v>
      </c>
      <c r="Y224" t="str">
        <f>'Green_rooibos initial weight'!A225</f>
        <v>G221</v>
      </c>
      <c r="Z224" t="str">
        <f>'Green_rooibos initial weight'!A1129</f>
        <v>R221</v>
      </c>
      <c r="AA224" t="b">
        <f t="shared" si="181"/>
        <v>0</v>
      </c>
      <c r="AB224" t="b">
        <f t="shared" si="182"/>
        <v>0</v>
      </c>
      <c r="AE224" t="str">
        <f>'WetLitterbags placem_collection'!O3</f>
        <v>G752</v>
      </c>
      <c r="AF224" t="str">
        <f>'WetLitterbags placem_collection'!Q3</f>
        <v>R133</v>
      </c>
      <c r="AG224" t="b">
        <f t="shared" si="183"/>
        <v>0</v>
      </c>
      <c r="AH224" t="b">
        <f t="shared" si="184"/>
        <v>0</v>
      </c>
      <c r="AJ224" t="b">
        <f t="shared" si="185"/>
        <v>0</v>
      </c>
      <c r="AK224" t="b">
        <f t="shared" si="186"/>
        <v>0</v>
      </c>
      <c r="AM224" t="str">
        <f>IF(ISBLANK('Dry_Litterbag Placem_Collection'!L3),"","G"&amp;""&amp;'Dry_Litterbag Placem_Collection'!L3)</f>
        <v>G377</v>
      </c>
      <c r="AN224" t="str">
        <f>IF(ISBLANK('Dry_Litterbag Placem_Collection'!M3),"","R"&amp;""&amp;'Dry_Litterbag Placem_Collection'!M3)</f>
        <v>R204</v>
      </c>
      <c r="AO224" t="b">
        <f t="shared" si="187"/>
        <v>0</v>
      </c>
      <c r="AP224" t="b">
        <f>COUNTIF($AN$4:$AN$2000, AN224)&gt;1</f>
        <v>0</v>
      </c>
      <c r="AS224" t="str">
        <f>'Ashed teabags dry'!A222</f>
        <v>G431</v>
      </c>
      <c r="AT224" t="str">
        <f>'Ashed teabags dry'!A557</f>
        <v>R709</v>
      </c>
      <c r="AU224" t="b">
        <f t="shared" si="189"/>
        <v>0</v>
      </c>
      <c r="AV224" t="b">
        <f t="shared" si="212"/>
        <v>0</v>
      </c>
      <c r="AX224" s="388" t="b">
        <f t="shared" si="190"/>
        <v>0</v>
      </c>
      <c r="AY224" s="388" t="b">
        <f t="shared" si="191"/>
        <v>0</v>
      </c>
      <c r="BA224" t="str">
        <f>'Ashed teabags wet'!A222</f>
        <v>G653</v>
      </c>
      <c r="BB224" t="str">
        <f>'Ashed teabags wet'!A642</f>
        <v>R432</v>
      </c>
      <c r="BC224" t="b">
        <f t="shared" si="192"/>
        <v>0</v>
      </c>
      <c r="BD224" t="b">
        <f t="shared" si="172"/>
        <v>0</v>
      </c>
      <c r="BF224" t="str">
        <f t="shared" si="193"/>
        <v>G430</v>
      </c>
      <c r="BG224" t="str">
        <f t="shared" si="194"/>
        <v>G430</v>
      </c>
      <c r="BH224" t="str">
        <f t="shared" si="195"/>
        <v>G39</v>
      </c>
      <c r="BI224" t="str">
        <f t="shared" si="213"/>
        <v/>
      </c>
      <c r="BJ224" t="s">
        <v>1620</v>
      </c>
      <c r="BK224" t="s">
        <v>1620</v>
      </c>
      <c r="BL224" t="s">
        <v>1620</v>
      </c>
      <c r="BM224" t="b">
        <f t="shared" si="214"/>
        <v>1</v>
      </c>
      <c r="BN224" t="str">
        <f t="shared" si="196"/>
        <v>R708</v>
      </c>
      <c r="BO224" t="str">
        <f t="shared" si="197"/>
        <v>R708</v>
      </c>
      <c r="BP224" t="str">
        <f t="shared" si="198"/>
        <v>R194</v>
      </c>
      <c r="BQ224" t="str">
        <f t="shared" si="199"/>
        <v/>
      </c>
      <c r="BR224" t="s">
        <v>431</v>
      </c>
      <c r="BS224" t="s">
        <v>430</v>
      </c>
      <c r="BT224" t="s">
        <v>431</v>
      </c>
      <c r="BU224" t="b">
        <f t="shared" si="215"/>
        <v>1</v>
      </c>
      <c r="BZ224" t="str">
        <f t="shared" si="200"/>
        <v>G39</v>
      </c>
      <c r="CA224" t="b">
        <f t="shared" si="201"/>
        <v>1</v>
      </c>
      <c r="CB224" t="str">
        <f t="shared" si="216"/>
        <v/>
      </c>
      <c r="CC224" t="str">
        <f t="shared" si="202"/>
        <v>R194</v>
      </c>
      <c r="CD224" t="b">
        <f t="shared" si="217"/>
        <v>1</v>
      </c>
      <c r="CE224" t="str">
        <f t="shared" si="218"/>
        <v/>
      </c>
      <c r="CG224" t="str">
        <f t="shared" si="203"/>
        <v>G651</v>
      </c>
      <c r="CH224" t="str">
        <f t="shared" si="219"/>
        <v>G651</v>
      </c>
      <c r="CI224" t="str">
        <f t="shared" si="204"/>
        <v>G782</v>
      </c>
      <c r="CJ224" t="str">
        <f t="shared" si="205"/>
        <v>G782</v>
      </c>
      <c r="CK224" t="s">
        <v>1399</v>
      </c>
      <c r="CL224" t="s">
        <v>1399</v>
      </c>
      <c r="CM224" t="s">
        <v>1399</v>
      </c>
      <c r="CN224" t="b">
        <f t="shared" si="220"/>
        <v>1</v>
      </c>
      <c r="CO224" t="str">
        <f t="shared" si="206"/>
        <v>R430</v>
      </c>
      <c r="CP224" t="str">
        <f t="shared" si="221"/>
        <v>R430</v>
      </c>
      <c r="CQ224" t="str">
        <f t="shared" si="207"/>
        <v>R250</v>
      </c>
      <c r="CR224" t="str">
        <f t="shared" si="208"/>
        <v>R250</v>
      </c>
      <c r="CS224" t="s">
        <v>711</v>
      </c>
      <c r="CT224" t="s">
        <v>711</v>
      </c>
      <c r="CU224" t="s">
        <v>711</v>
      </c>
      <c r="CV224" t="b">
        <f t="shared" si="222"/>
        <v>1</v>
      </c>
      <c r="DC224" t="str">
        <f t="shared" si="209"/>
        <v>G782</v>
      </c>
      <c r="DD224" t="b">
        <f t="shared" si="223"/>
        <v>0</v>
      </c>
      <c r="DE224" t="str">
        <f t="shared" si="224"/>
        <v>G782</v>
      </c>
      <c r="DF224" t="str">
        <f t="shared" si="210"/>
        <v>R250</v>
      </c>
      <c r="DG224" t="b">
        <f t="shared" si="225"/>
        <v>0</v>
      </c>
      <c r="DH224" t="str">
        <f t="shared" si="226"/>
        <v>R250</v>
      </c>
    </row>
    <row r="225" spans="2:112" ht="12" customHeight="1">
      <c r="B225" t="str">
        <f>TBIDry!H297</f>
        <v/>
      </c>
      <c r="C225" t="str">
        <f>TBIDry!I297</f>
        <v/>
      </c>
      <c r="D225" t="b">
        <f t="shared" si="173"/>
        <v>1</v>
      </c>
      <c r="E225" t="b">
        <f t="shared" si="174"/>
        <v>1</v>
      </c>
      <c r="G225" t="str">
        <f>TBIWet!H297</f>
        <v>G737</v>
      </c>
      <c r="H225" t="str">
        <f>TBIWet!I297</f>
        <v>R527</v>
      </c>
      <c r="I225" t="b">
        <f t="shared" si="175"/>
        <v>0</v>
      </c>
      <c r="J225" t="b">
        <f t="shared" si="176"/>
        <v>0</v>
      </c>
      <c r="L225" t="str">
        <f>'Both teabags AfterWet'!A223</f>
        <v>G654</v>
      </c>
      <c r="M225" t="str">
        <f>'Both teabags AfterWet'!A643</f>
        <v>R433</v>
      </c>
      <c r="N225" t="b">
        <f t="shared" si="177"/>
        <v>0</v>
      </c>
      <c r="O225" t="b">
        <f t="shared" si="227"/>
        <v>0</v>
      </c>
      <c r="Q225" s="388" t="b">
        <f t="shared" si="178"/>
        <v>0</v>
      </c>
      <c r="R225" s="388" t="b">
        <f t="shared" si="179"/>
        <v>0</v>
      </c>
      <c r="T225" t="str">
        <f>'Both teabags AfterDry'!A223</f>
        <v>G434</v>
      </c>
      <c r="U225" t="str">
        <f>'Both teabags AfterDry'!A558</f>
        <v>R710</v>
      </c>
      <c r="V225" t="b">
        <f t="shared" si="180"/>
        <v>0</v>
      </c>
      <c r="W225" t="b">
        <f t="shared" si="211"/>
        <v>0</v>
      </c>
      <c r="Y225" t="str">
        <f>'Green_rooibos initial weight'!A226</f>
        <v>G222</v>
      </c>
      <c r="Z225" t="str">
        <f>'Green_rooibos initial weight'!A1130</f>
        <v>R222</v>
      </c>
      <c r="AA225" t="b">
        <f t="shared" si="181"/>
        <v>0</v>
      </c>
      <c r="AB225" t="b">
        <f t="shared" si="182"/>
        <v>0</v>
      </c>
      <c r="AE225" t="str">
        <f>'WetLitterbags placem_collection'!O4</f>
        <v>G737</v>
      </c>
      <c r="AF225" t="str">
        <f>'WetLitterbags placem_collection'!Q4</f>
        <v>R527</v>
      </c>
      <c r="AG225" t="b">
        <f t="shared" si="183"/>
        <v>0</v>
      </c>
      <c r="AH225" t="b">
        <f t="shared" si="184"/>
        <v>0</v>
      </c>
      <c r="AJ225" t="b">
        <f t="shared" si="185"/>
        <v>0</v>
      </c>
      <c r="AK225" t="b">
        <f t="shared" si="186"/>
        <v>0</v>
      </c>
      <c r="AM225" t="str">
        <f>IF(ISBLANK('Dry_Litterbag Placem_Collection'!L4),"","G"&amp;""&amp;'Dry_Litterbag Placem_Collection'!L4)</f>
        <v/>
      </c>
      <c r="AN225" t="str">
        <f>IF(ISBLANK('Dry_Litterbag Placem_Collection'!M4),"","R"&amp;""&amp;'Dry_Litterbag Placem_Collection'!M4)</f>
        <v/>
      </c>
      <c r="AO225" t="b">
        <f t="shared" si="187"/>
        <v>1</v>
      </c>
      <c r="AP225" t="b">
        <f t="shared" si="188"/>
        <v>1</v>
      </c>
      <c r="AS225" t="str">
        <f>'Ashed teabags dry'!A223</f>
        <v>G434</v>
      </c>
      <c r="AT225" t="str">
        <f>'Ashed teabags dry'!A558</f>
        <v>R710</v>
      </c>
      <c r="AU225" t="b">
        <f t="shared" si="189"/>
        <v>0</v>
      </c>
      <c r="AV225" t="b">
        <f t="shared" si="212"/>
        <v>0</v>
      </c>
      <c r="AX225" s="388" t="b">
        <f t="shared" si="190"/>
        <v>0</v>
      </c>
      <c r="AY225" s="388" t="b">
        <f t="shared" si="191"/>
        <v>0</v>
      </c>
      <c r="BA225" t="str">
        <f>'Ashed teabags wet'!A223</f>
        <v>G654</v>
      </c>
      <c r="BB225" t="str">
        <f>'Ashed teabags wet'!A643</f>
        <v>R433</v>
      </c>
      <c r="BC225" t="b">
        <f t="shared" si="192"/>
        <v>0</v>
      </c>
      <c r="BD225" t="b">
        <f t="shared" si="172"/>
        <v>0</v>
      </c>
      <c r="BF225" t="str">
        <f t="shared" si="193"/>
        <v>G431</v>
      </c>
      <c r="BG225" t="str">
        <f t="shared" si="194"/>
        <v>G431</v>
      </c>
      <c r="BH225" t="str">
        <f t="shared" si="195"/>
        <v>G377</v>
      </c>
      <c r="BI225" t="str">
        <f t="shared" si="213"/>
        <v>G377</v>
      </c>
      <c r="BJ225" t="s">
        <v>1619</v>
      </c>
      <c r="BK225" t="s">
        <v>1619</v>
      </c>
      <c r="BL225" t="s">
        <v>1619</v>
      </c>
      <c r="BM225" t="b">
        <f t="shared" si="214"/>
        <v>1</v>
      </c>
      <c r="BN225" t="str">
        <f t="shared" si="196"/>
        <v>R709</v>
      </c>
      <c r="BO225" t="str">
        <f t="shared" si="197"/>
        <v>R709</v>
      </c>
      <c r="BP225" t="str">
        <f t="shared" si="198"/>
        <v>R204</v>
      </c>
      <c r="BQ225" t="str">
        <f t="shared" si="199"/>
        <v>R204</v>
      </c>
      <c r="BR225" t="s">
        <v>430</v>
      </c>
      <c r="BS225" t="s">
        <v>429</v>
      </c>
      <c r="BT225" t="s">
        <v>430</v>
      </c>
      <c r="BU225" t="b">
        <f t="shared" si="215"/>
        <v>1</v>
      </c>
      <c r="BZ225" t="str">
        <f t="shared" si="200"/>
        <v>G377</v>
      </c>
      <c r="CA225" t="b">
        <f t="shared" si="201"/>
        <v>0</v>
      </c>
      <c r="CB225" t="str">
        <f t="shared" si="216"/>
        <v>G377</v>
      </c>
      <c r="CC225" t="str">
        <f t="shared" si="202"/>
        <v>R204</v>
      </c>
      <c r="CD225" t="b">
        <f t="shared" si="217"/>
        <v>0</v>
      </c>
      <c r="CE225" t="str">
        <f t="shared" si="218"/>
        <v>R204</v>
      </c>
      <c r="CG225" t="str">
        <f t="shared" si="203"/>
        <v>G653</v>
      </c>
      <c r="CH225" t="str">
        <f t="shared" si="219"/>
        <v>G653</v>
      </c>
      <c r="CI225" t="str">
        <f t="shared" si="204"/>
        <v>G752</v>
      </c>
      <c r="CJ225" t="str">
        <f t="shared" si="205"/>
        <v>G752</v>
      </c>
      <c r="CK225" t="s">
        <v>1397</v>
      </c>
      <c r="CL225" t="s">
        <v>1397</v>
      </c>
      <c r="CM225" t="s">
        <v>1397</v>
      </c>
      <c r="CN225" t="b">
        <f t="shared" si="220"/>
        <v>1</v>
      </c>
      <c r="CO225" t="str">
        <f t="shared" si="206"/>
        <v>R432</v>
      </c>
      <c r="CP225" t="str">
        <f t="shared" si="221"/>
        <v>R432</v>
      </c>
      <c r="CQ225" t="str">
        <f t="shared" si="207"/>
        <v>R133</v>
      </c>
      <c r="CR225" t="str">
        <f t="shared" si="208"/>
        <v>R133</v>
      </c>
      <c r="CS225" t="s">
        <v>709</v>
      </c>
      <c r="CT225" t="s">
        <v>709</v>
      </c>
      <c r="CU225" t="s">
        <v>709</v>
      </c>
      <c r="CV225" t="b">
        <f t="shared" si="222"/>
        <v>1</v>
      </c>
      <c r="DC225" t="str">
        <f t="shared" si="209"/>
        <v>G752</v>
      </c>
      <c r="DD225" t="b">
        <f t="shared" si="223"/>
        <v>0</v>
      </c>
      <c r="DE225" t="str">
        <f t="shared" si="224"/>
        <v>G752</v>
      </c>
      <c r="DF225" t="str">
        <f t="shared" si="210"/>
        <v>R133</v>
      </c>
      <c r="DG225" t="b">
        <f t="shared" si="225"/>
        <v>0</v>
      </c>
      <c r="DH225" t="str">
        <f t="shared" si="226"/>
        <v>R133</v>
      </c>
    </row>
    <row r="226" spans="2:112" ht="12" customHeight="1">
      <c r="B226" t="str">
        <f>TBIDry!H298</f>
        <v>G44</v>
      </c>
      <c r="C226" t="str">
        <f>TBIDry!I298</f>
        <v>R283</v>
      </c>
      <c r="D226" t="b">
        <f t="shared" si="173"/>
        <v>0</v>
      </c>
      <c r="E226" t="b">
        <f t="shared" si="174"/>
        <v>0</v>
      </c>
      <c r="G226" t="str">
        <f>TBIWet!H298</f>
        <v>G661</v>
      </c>
      <c r="H226" t="str">
        <f>TBIWet!I298</f>
        <v>R498</v>
      </c>
      <c r="I226" t="b">
        <f t="shared" si="175"/>
        <v>0</v>
      </c>
      <c r="J226" t="b">
        <f t="shared" si="176"/>
        <v>0</v>
      </c>
      <c r="L226" t="str">
        <f>'Both teabags AfterWet'!A224</f>
        <v>G655</v>
      </c>
      <c r="M226" t="str">
        <f>'Both teabags AfterWet'!A644</f>
        <v>R434</v>
      </c>
      <c r="N226" t="b">
        <f t="shared" si="177"/>
        <v>0</v>
      </c>
      <c r="O226" t="b">
        <f t="shared" si="227"/>
        <v>0</v>
      </c>
      <c r="Q226" s="388" t="b">
        <f t="shared" si="178"/>
        <v>0</v>
      </c>
      <c r="R226" s="388" t="b">
        <f t="shared" si="179"/>
        <v>0</v>
      </c>
      <c r="T226" t="str">
        <f>'Both teabags AfterDry'!A224</f>
        <v>G435</v>
      </c>
      <c r="U226" t="str">
        <f>'Both teabags AfterDry'!A559</f>
        <v>R711</v>
      </c>
      <c r="V226" t="b">
        <f t="shared" si="180"/>
        <v>0</v>
      </c>
      <c r="W226" t="b">
        <f t="shared" si="211"/>
        <v>0</v>
      </c>
      <c r="Y226" t="str">
        <f>'Green_rooibos initial weight'!A227</f>
        <v>G223</v>
      </c>
      <c r="Z226" t="str">
        <f>'Green_rooibos initial weight'!A1131</f>
        <v>R223</v>
      </c>
      <c r="AA226" t="b">
        <f t="shared" si="181"/>
        <v>0</v>
      </c>
      <c r="AB226" t="b">
        <f t="shared" si="182"/>
        <v>0</v>
      </c>
      <c r="AE226" t="str">
        <f>'WetLitterbags placem_collection'!O5</f>
        <v>G661</v>
      </c>
      <c r="AF226" t="str">
        <f>'WetLitterbags placem_collection'!Q5</f>
        <v>R498</v>
      </c>
      <c r="AG226" t="b">
        <f t="shared" si="183"/>
        <v>0</v>
      </c>
      <c r="AH226" t="b">
        <f t="shared" si="184"/>
        <v>0</v>
      </c>
      <c r="AJ226" t="b">
        <f t="shared" si="185"/>
        <v>0</v>
      </c>
      <c r="AK226" t="b">
        <f t="shared" si="186"/>
        <v>0</v>
      </c>
      <c r="AM226" t="str">
        <f>IF(ISBLANK('Dry_Litterbag Placem_Collection'!L5),"","G"&amp;""&amp;'Dry_Litterbag Placem_Collection'!L5)</f>
        <v>G44</v>
      </c>
      <c r="AN226" t="str">
        <f>IF(ISBLANK('Dry_Litterbag Placem_Collection'!M5),"","R"&amp;""&amp;'Dry_Litterbag Placem_Collection'!M5)</f>
        <v>R283</v>
      </c>
      <c r="AO226" t="b">
        <f t="shared" si="187"/>
        <v>0</v>
      </c>
      <c r="AP226" t="b">
        <f t="shared" si="188"/>
        <v>0</v>
      </c>
      <c r="AS226" t="str">
        <f>'Ashed teabags dry'!A224</f>
        <v>G435</v>
      </c>
      <c r="AT226" t="str">
        <f>'Ashed teabags dry'!A559</f>
        <v>R711</v>
      </c>
      <c r="AU226" t="b">
        <f t="shared" si="189"/>
        <v>0</v>
      </c>
      <c r="AV226" t="b">
        <f t="shared" si="212"/>
        <v>0</v>
      </c>
      <c r="AX226" s="388" t="b">
        <f t="shared" si="190"/>
        <v>0</v>
      </c>
      <c r="AY226" s="388" t="b">
        <f t="shared" si="191"/>
        <v>0</v>
      </c>
      <c r="BA226" t="str">
        <f>'Ashed teabags wet'!A224</f>
        <v>G655</v>
      </c>
      <c r="BB226" t="str">
        <f>'Ashed teabags wet'!A644</f>
        <v>R434</v>
      </c>
      <c r="BC226" t="b">
        <f t="shared" si="192"/>
        <v>0</v>
      </c>
      <c r="BD226" t="b">
        <f t="shared" si="172"/>
        <v>0</v>
      </c>
      <c r="BF226" t="str">
        <f t="shared" si="193"/>
        <v>G434</v>
      </c>
      <c r="BG226" t="str">
        <f t="shared" si="194"/>
        <v>G434</v>
      </c>
      <c r="BH226" t="str">
        <f t="shared" si="195"/>
        <v/>
      </c>
      <c r="BI226" t="str">
        <f t="shared" si="213"/>
        <v/>
      </c>
      <c r="BJ226" t="s">
        <v>1616</v>
      </c>
      <c r="BK226" t="s">
        <v>1616</v>
      </c>
      <c r="BL226" t="s">
        <v>1616</v>
      </c>
      <c r="BM226" t="b">
        <f t="shared" si="214"/>
        <v>1</v>
      </c>
      <c r="BN226" t="str">
        <f t="shared" si="196"/>
        <v>R710</v>
      </c>
      <c r="BO226" t="str">
        <f t="shared" si="197"/>
        <v>R710</v>
      </c>
      <c r="BP226" t="str">
        <f t="shared" si="198"/>
        <v/>
      </c>
      <c r="BQ226" t="str">
        <f t="shared" si="199"/>
        <v/>
      </c>
      <c r="BR226" t="s">
        <v>429</v>
      </c>
      <c r="BS226" t="s">
        <v>428</v>
      </c>
      <c r="BT226" t="s">
        <v>429</v>
      </c>
      <c r="BU226" t="b">
        <f t="shared" si="215"/>
        <v>1</v>
      </c>
      <c r="BZ226" t="str">
        <f t="shared" si="200"/>
        <v/>
      </c>
      <c r="CA226" t="b">
        <f t="shared" si="201"/>
        <v>0</v>
      </c>
      <c r="CB226" t="str">
        <f t="shared" si="216"/>
        <v/>
      </c>
      <c r="CC226" t="str">
        <f t="shared" si="202"/>
        <v/>
      </c>
      <c r="CD226" t="b">
        <f t="shared" si="217"/>
        <v>0</v>
      </c>
      <c r="CE226" t="str">
        <f t="shared" si="218"/>
        <v/>
      </c>
      <c r="CG226" t="str">
        <f t="shared" si="203"/>
        <v>G654</v>
      </c>
      <c r="CH226" t="str">
        <f t="shared" si="219"/>
        <v>G654</v>
      </c>
      <c r="CI226" t="str">
        <f t="shared" si="204"/>
        <v>G737</v>
      </c>
      <c r="CJ226" t="str">
        <f t="shared" si="205"/>
        <v>G737</v>
      </c>
      <c r="CK226" t="s">
        <v>1396</v>
      </c>
      <c r="CL226" t="s">
        <v>1396</v>
      </c>
      <c r="CM226" t="s">
        <v>1396</v>
      </c>
      <c r="CN226" t="b">
        <f t="shared" si="220"/>
        <v>1</v>
      </c>
      <c r="CO226" t="str">
        <f t="shared" si="206"/>
        <v>R433</v>
      </c>
      <c r="CP226" t="str">
        <f t="shared" si="221"/>
        <v>R433</v>
      </c>
      <c r="CQ226" t="str">
        <f t="shared" si="207"/>
        <v>R527</v>
      </c>
      <c r="CR226" t="str">
        <f t="shared" si="208"/>
        <v>R527</v>
      </c>
      <c r="CS226" t="s">
        <v>708</v>
      </c>
      <c r="CT226" t="s">
        <v>708</v>
      </c>
      <c r="CU226" t="s">
        <v>708</v>
      </c>
      <c r="CV226" t="b">
        <f t="shared" si="222"/>
        <v>1</v>
      </c>
      <c r="DC226" t="str">
        <f t="shared" si="209"/>
        <v>G737</v>
      </c>
      <c r="DD226" t="b">
        <f t="shared" si="223"/>
        <v>0</v>
      </c>
      <c r="DE226" t="str">
        <f t="shared" si="224"/>
        <v>G737</v>
      </c>
      <c r="DF226" t="str">
        <f t="shared" si="210"/>
        <v>R527</v>
      </c>
      <c r="DG226" t="b">
        <f t="shared" si="225"/>
        <v>0</v>
      </c>
      <c r="DH226" t="str">
        <f t="shared" si="226"/>
        <v>R527</v>
      </c>
    </row>
    <row r="227" spans="2:112" ht="12" customHeight="1">
      <c r="B227" t="str">
        <f>TBIDry!H299</f>
        <v>G357</v>
      </c>
      <c r="C227" t="str">
        <f>TBIDry!I299</f>
        <v>R298</v>
      </c>
      <c r="D227" t="b">
        <f t="shared" si="173"/>
        <v>0</v>
      </c>
      <c r="E227" t="b">
        <f t="shared" si="174"/>
        <v>0</v>
      </c>
      <c r="G227" t="str">
        <f>TBIWet!H299</f>
        <v>G532</v>
      </c>
      <c r="H227" t="str">
        <f>TBIWet!I299</f>
        <v>R508</v>
      </c>
      <c r="I227" t="b">
        <f t="shared" si="175"/>
        <v>0</v>
      </c>
      <c r="J227" t="b">
        <f t="shared" si="176"/>
        <v>0</v>
      </c>
      <c r="L227" t="str">
        <f>'Both teabags AfterWet'!A225</f>
        <v>G656</v>
      </c>
      <c r="M227" t="str">
        <f>'Both teabags AfterWet'!A645</f>
        <v>R435</v>
      </c>
      <c r="N227" t="b">
        <f t="shared" si="177"/>
        <v>0</v>
      </c>
      <c r="O227" t="b">
        <f t="shared" si="227"/>
        <v>0</v>
      </c>
      <c r="Q227" s="388" t="b">
        <f t="shared" si="178"/>
        <v>0</v>
      </c>
      <c r="R227" s="388" t="b">
        <f t="shared" si="179"/>
        <v>0</v>
      </c>
      <c r="T227" t="str">
        <f>'Both teabags AfterDry'!A225</f>
        <v>G44</v>
      </c>
      <c r="U227" t="str">
        <f>'Both teabags AfterDry'!A560</f>
        <v>R712</v>
      </c>
      <c r="V227" t="b">
        <f t="shared" si="180"/>
        <v>0</v>
      </c>
      <c r="W227" t="b">
        <f t="shared" si="211"/>
        <v>0</v>
      </c>
      <c r="Y227" t="str">
        <f>'Green_rooibos initial weight'!A228</f>
        <v>G224</v>
      </c>
      <c r="Z227" t="str">
        <f>'Green_rooibos initial weight'!A1132</f>
        <v>R224</v>
      </c>
      <c r="AA227" t="b">
        <f t="shared" si="181"/>
        <v>0</v>
      </c>
      <c r="AB227" t="b">
        <f t="shared" si="182"/>
        <v>0</v>
      </c>
      <c r="AE227" t="str">
        <f>'WetLitterbags placem_collection'!O6</f>
        <v>G532</v>
      </c>
      <c r="AF227" t="str">
        <f>'WetLitterbags placem_collection'!Q6</f>
        <v>R508</v>
      </c>
      <c r="AG227" t="b">
        <f t="shared" si="183"/>
        <v>0</v>
      </c>
      <c r="AH227" t="b">
        <f t="shared" si="184"/>
        <v>0</v>
      </c>
      <c r="AJ227" t="b">
        <f t="shared" si="185"/>
        <v>0</v>
      </c>
      <c r="AK227" t="b">
        <f t="shared" si="186"/>
        <v>0</v>
      </c>
      <c r="AM227" t="str">
        <f>IF(ISBLANK('Dry_Litterbag Placem_Collection'!L6),"","G"&amp;""&amp;'Dry_Litterbag Placem_Collection'!L6)</f>
        <v>G357</v>
      </c>
      <c r="AN227" t="str">
        <f>IF(ISBLANK('Dry_Litterbag Placem_Collection'!M6),"","R"&amp;""&amp;'Dry_Litterbag Placem_Collection'!M6)</f>
        <v>R298</v>
      </c>
      <c r="AO227" t="b">
        <f t="shared" si="187"/>
        <v>0</v>
      </c>
      <c r="AP227" t="b">
        <f t="shared" si="188"/>
        <v>0</v>
      </c>
      <c r="AS227" t="str">
        <f>'Ashed teabags dry'!A225</f>
        <v>G44</v>
      </c>
      <c r="AT227" t="str">
        <f>'Ashed teabags dry'!A560</f>
        <v>R712</v>
      </c>
      <c r="AU227" t="b">
        <f t="shared" si="189"/>
        <v>0</v>
      </c>
      <c r="AV227" t="b">
        <f t="shared" si="212"/>
        <v>0</v>
      </c>
      <c r="AX227" s="388" t="b">
        <f t="shared" si="190"/>
        <v>0</v>
      </c>
      <c r="AY227" s="388" t="b">
        <f t="shared" si="191"/>
        <v>0</v>
      </c>
      <c r="BA227" t="str">
        <f>'Ashed teabags wet'!A225</f>
        <v>G656</v>
      </c>
      <c r="BB227" t="str">
        <f>'Ashed teabags wet'!A645</f>
        <v>R435</v>
      </c>
      <c r="BC227" t="b">
        <f t="shared" si="192"/>
        <v>0</v>
      </c>
      <c r="BD227" t="b">
        <f t="shared" si="172"/>
        <v>0</v>
      </c>
      <c r="BF227" t="str">
        <f t="shared" si="193"/>
        <v>G435</v>
      </c>
      <c r="BG227" t="str">
        <f t="shared" si="194"/>
        <v>G435</v>
      </c>
      <c r="BH227" t="str">
        <f t="shared" si="195"/>
        <v>G44</v>
      </c>
      <c r="BI227" t="str">
        <f t="shared" si="213"/>
        <v>G44</v>
      </c>
      <c r="BJ227" t="s">
        <v>1615</v>
      </c>
      <c r="BK227" t="s">
        <v>1615</v>
      </c>
      <c r="BL227" t="s">
        <v>1615</v>
      </c>
      <c r="BM227" t="b">
        <f t="shared" si="214"/>
        <v>1</v>
      </c>
      <c r="BN227" t="str">
        <f t="shared" si="196"/>
        <v>R711</v>
      </c>
      <c r="BO227" t="str">
        <f t="shared" si="197"/>
        <v>R711</v>
      </c>
      <c r="BP227" t="str">
        <f t="shared" si="198"/>
        <v>R283</v>
      </c>
      <c r="BQ227" t="str">
        <f t="shared" si="199"/>
        <v>R283</v>
      </c>
      <c r="BR227" t="s">
        <v>428</v>
      </c>
      <c r="BS227" t="s">
        <v>427</v>
      </c>
      <c r="BT227" t="s">
        <v>428</v>
      </c>
      <c r="BU227" t="b">
        <f t="shared" si="215"/>
        <v>1</v>
      </c>
      <c r="BZ227" t="str">
        <f t="shared" si="200"/>
        <v>G44</v>
      </c>
      <c r="CA227" t="b">
        <f t="shared" si="201"/>
        <v>0</v>
      </c>
      <c r="CB227" t="str">
        <f t="shared" si="216"/>
        <v>G44</v>
      </c>
      <c r="CC227" t="str">
        <f t="shared" si="202"/>
        <v>R283</v>
      </c>
      <c r="CD227" t="b">
        <f t="shared" si="217"/>
        <v>0</v>
      </c>
      <c r="CE227" t="str">
        <f t="shared" si="218"/>
        <v>R283</v>
      </c>
      <c r="CG227" t="str">
        <f t="shared" si="203"/>
        <v>G655</v>
      </c>
      <c r="CH227" t="str">
        <f t="shared" si="219"/>
        <v>G655</v>
      </c>
      <c r="CI227" t="str">
        <f t="shared" si="204"/>
        <v>G661</v>
      </c>
      <c r="CJ227" t="str">
        <f t="shared" si="205"/>
        <v/>
      </c>
      <c r="CK227" t="s">
        <v>1395</v>
      </c>
      <c r="CL227" t="s">
        <v>1395</v>
      </c>
      <c r="CM227" t="s">
        <v>1395</v>
      </c>
      <c r="CN227" t="b">
        <f t="shared" si="220"/>
        <v>1</v>
      </c>
      <c r="CO227" t="str">
        <f t="shared" si="206"/>
        <v>R434</v>
      </c>
      <c r="CP227" t="str">
        <f t="shared" si="221"/>
        <v>R434</v>
      </c>
      <c r="CQ227" t="str">
        <f t="shared" si="207"/>
        <v>R498</v>
      </c>
      <c r="CR227" t="str">
        <f t="shared" si="208"/>
        <v/>
      </c>
      <c r="CS227" t="s">
        <v>707</v>
      </c>
      <c r="CT227" t="s">
        <v>707</v>
      </c>
      <c r="CU227" t="s">
        <v>707</v>
      </c>
      <c r="CV227" t="b">
        <f t="shared" si="222"/>
        <v>1</v>
      </c>
      <c r="DC227" t="str">
        <f t="shared" si="209"/>
        <v>G661</v>
      </c>
      <c r="DD227" t="b">
        <f t="shared" si="223"/>
        <v>1</v>
      </c>
      <c r="DE227" t="str">
        <f t="shared" si="224"/>
        <v/>
      </c>
      <c r="DF227" t="str">
        <f t="shared" si="210"/>
        <v>R498</v>
      </c>
      <c r="DG227" t="b">
        <f t="shared" si="225"/>
        <v>1</v>
      </c>
      <c r="DH227" t="str">
        <f t="shared" si="226"/>
        <v/>
      </c>
    </row>
    <row r="228" spans="2:112" ht="12" customHeight="1">
      <c r="B228" t="str">
        <f>TBIDry!H300</f>
        <v>G734</v>
      </c>
      <c r="C228" t="str">
        <f>TBIDry!I300</f>
        <v>R226</v>
      </c>
      <c r="D228" t="b">
        <f t="shared" si="173"/>
        <v>0</v>
      </c>
      <c r="E228" t="b">
        <f t="shared" si="174"/>
        <v>0</v>
      </c>
      <c r="G228" t="str">
        <f>TBIWet!H300</f>
        <v>G577</v>
      </c>
      <c r="H228" t="str">
        <f>TBIWet!I300</f>
        <v>R38</v>
      </c>
      <c r="I228" t="b">
        <f t="shared" si="175"/>
        <v>0</v>
      </c>
      <c r="J228" t="b">
        <f t="shared" si="176"/>
        <v>0</v>
      </c>
      <c r="L228" t="str">
        <f>'Both teabags AfterWet'!A226</f>
        <v>G657</v>
      </c>
      <c r="M228" t="str">
        <f>'Both teabags AfterWet'!A646</f>
        <v>R436</v>
      </c>
      <c r="N228" t="b">
        <f t="shared" si="177"/>
        <v>0</v>
      </c>
      <c r="O228" t="b">
        <f t="shared" si="227"/>
        <v>0</v>
      </c>
      <c r="Q228" s="388" t="b">
        <f t="shared" si="178"/>
        <v>0</v>
      </c>
      <c r="R228" s="388" t="b">
        <f t="shared" si="179"/>
        <v>0</v>
      </c>
      <c r="T228" t="str">
        <f>'Both teabags AfterDry'!A226</f>
        <v>G444</v>
      </c>
      <c r="U228" t="str">
        <f>'Both teabags AfterDry'!A561</f>
        <v>R713</v>
      </c>
      <c r="V228" t="b">
        <f t="shared" si="180"/>
        <v>0</v>
      </c>
      <c r="W228" t="b">
        <f t="shared" si="211"/>
        <v>0</v>
      </c>
      <c r="Y228" t="str">
        <f>'Green_rooibos initial weight'!A229</f>
        <v>G225</v>
      </c>
      <c r="Z228" t="str">
        <f>'Green_rooibos initial weight'!A1133</f>
        <v>R225</v>
      </c>
      <c r="AA228" t="b">
        <f t="shared" si="181"/>
        <v>0</v>
      </c>
      <c r="AB228" t="b">
        <f t="shared" si="182"/>
        <v>0</v>
      </c>
      <c r="AE228" t="str">
        <f>'WetLitterbags placem_collection'!O7</f>
        <v>G577</v>
      </c>
      <c r="AF228" t="str">
        <f>'WetLitterbags placem_collection'!Q7</f>
        <v>R38</v>
      </c>
      <c r="AG228" t="b">
        <f t="shared" si="183"/>
        <v>0</v>
      </c>
      <c r="AH228" t="b">
        <f t="shared" si="184"/>
        <v>0</v>
      </c>
      <c r="AJ228" t="b">
        <f t="shared" si="185"/>
        <v>0</v>
      </c>
      <c r="AK228" t="b">
        <f t="shared" si="186"/>
        <v>0</v>
      </c>
      <c r="AM228" t="str">
        <f>IF(ISBLANK('Dry_Litterbag Placem_Collection'!L7),"","G"&amp;""&amp;'Dry_Litterbag Placem_Collection'!L7)</f>
        <v>G734</v>
      </c>
      <c r="AN228" t="str">
        <f>IF(ISBLANK('Dry_Litterbag Placem_Collection'!M7),"","R"&amp;""&amp;'Dry_Litterbag Placem_Collection'!M7)</f>
        <v>R226</v>
      </c>
      <c r="AO228" t="b">
        <f t="shared" si="187"/>
        <v>0</v>
      </c>
      <c r="AP228" t="b">
        <f t="shared" si="188"/>
        <v>0</v>
      </c>
      <c r="AS228" t="str">
        <f>'Ashed teabags dry'!A226</f>
        <v>G444</v>
      </c>
      <c r="AT228" t="str">
        <f>'Ashed teabags dry'!A561</f>
        <v>R713</v>
      </c>
      <c r="AU228" t="b">
        <f t="shared" si="189"/>
        <v>0</v>
      </c>
      <c r="AV228" t="b">
        <f t="shared" si="212"/>
        <v>0</v>
      </c>
      <c r="AX228" s="388" t="b">
        <f t="shared" si="190"/>
        <v>0</v>
      </c>
      <c r="AY228" s="388" t="b">
        <f t="shared" si="191"/>
        <v>0</v>
      </c>
      <c r="BA228" t="str">
        <f>'Ashed teabags wet'!A226</f>
        <v>G657</v>
      </c>
      <c r="BB228" t="str">
        <f>'Ashed teabags wet'!A646</f>
        <v>R436</v>
      </c>
      <c r="BC228" t="b">
        <f t="shared" si="192"/>
        <v>0</v>
      </c>
      <c r="BD228" t="b">
        <f t="shared" si="172"/>
        <v>0</v>
      </c>
      <c r="BF228" t="str">
        <f t="shared" si="193"/>
        <v>G44</v>
      </c>
      <c r="BG228" t="str">
        <f t="shared" si="194"/>
        <v>G44</v>
      </c>
      <c r="BH228" t="str">
        <f t="shared" si="195"/>
        <v>G357</v>
      </c>
      <c r="BI228" t="str">
        <f t="shared" si="213"/>
        <v>G357</v>
      </c>
      <c r="BJ228" t="s">
        <v>2006</v>
      </c>
      <c r="BK228" t="s">
        <v>2006</v>
      </c>
      <c r="BL228" t="s">
        <v>2006</v>
      </c>
      <c r="BM228" t="b">
        <f t="shared" si="214"/>
        <v>1</v>
      </c>
      <c r="BN228" t="str">
        <f t="shared" si="196"/>
        <v>R712</v>
      </c>
      <c r="BO228" t="str">
        <f t="shared" si="197"/>
        <v>R712</v>
      </c>
      <c r="BP228" t="str">
        <f t="shared" si="198"/>
        <v>R298</v>
      </c>
      <c r="BQ228" t="str">
        <f t="shared" si="199"/>
        <v>R298</v>
      </c>
      <c r="BR228" t="s">
        <v>427</v>
      </c>
      <c r="BS228" t="s">
        <v>426</v>
      </c>
      <c r="BT228" t="s">
        <v>427</v>
      </c>
      <c r="BU228" t="b">
        <f t="shared" si="215"/>
        <v>1</v>
      </c>
      <c r="BZ228" t="str">
        <f t="shared" si="200"/>
        <v>G357</v>
      </c>
      <c r="CA228" t="b">
        <f t="shared" si="201"/>
        <v>0</v>
      </c>
      <c r="CB228" t="str">
        <f t="shared" si="216"/>
        <v>G357</v>
      </c>
      <c r="CC228" t="str">
        <f t="shared" si="202"/>
        <v>R298</v>
      </c>
      <c r="CD228" t="b">
        <f t="shared" si="217"/>
        <v>0</v>
      </c>
      <c r="CE228" t="str">
        <f t="shared" si="218"/>
        <v>R298</v>
      </c>
      <c r="CG228" t="str">
        <f t="shared" si="203"/>
        <v>G656</v>
      </c>
      <c r="CH228" t="str">
        <f t="shared" si="219"/>
        <v>G656</v>
      </c>
      <c r="CI228" t="str">
        <f t="shared" si="204"/>
        <v>G532</v>
      </c>
      <c r="CJ228" t="str">
        <f t="shared" si="205"/>
        <v>G532</v>
      </c>
      <c r="CK228" t="s">
        <v>1394</v>
      </c>
      <c r="CL228" t="s">
        <v>1394</v>
      </c>
      <c r="CM228" t="s">
        <v>1394</v>
      </c>
      <c r="CN228" t="b">
        <f t="shared" si="220"/>
        <v>1</v>
      </c>
      <c r="CO228" t="str">
        <f t="shared" si="206"/>
        <v>R435</v>
      </c>
      <c r="CP228" t="str">
        <f t="shared" si="221"/>
        <v>R435</v>
      </c>
      <c r="CQ228" t="str">
        <f t="shared" si="207"/>
        <v>R508</v>
      </c>
      <c r="CR228" t="str">
        <f t="shared" si="208"/>
        <v>R508</v>
      </c>
      <c r="CS228" t="s">
        <v>706</v>
      </c>
      <c r="CT228" t="s">
        <v>706</v>
      </c>
      <c r="CU228" t="s">
        <v>706</v>
      </c>
      <c r="CV228" t="b">
        <f t="shared" si="222"/>
        <v>1</v>
      </c>
      <c r="DC228" t="str">
        <f t="shared" si="209"/>
        <v>G532</v>
      </c>
      <c r="DD228" t="b">
        <f t="shared" si="223"/>
        <v>0</v>
      </c>
      <c r="DE228" t="str">
        <f t="shared" si="224"/>
        <v>G532</v>
      </c>
      <c r="DF228" t="str">
        <f t="shared" si="210"/>
        <v>R508</v>
      </c>
      <c r="DG228" t="b">
        <f t="shared" si="225"/>
        <v>0</v>
      </c>
      <c r="DH228" t="str">
        <f t="shared" si="226"/>
        <v>R508</v>
      </c>
    </row>
    <row r="229" spans="2:112" ht="12" customHeight="1">
      <c r="B229" t="str">
        <f>TBIDry!H301</f>
        <v>G164</v>
      </c>
      <c r="C229" t="str">
        <f>TBIDry!I301</f>
        <v>R286</v>
      </c>
      <c r="D229" t="b">
        <f t="shared" si="173"/>
        <v>0</v>
      </c>
      <c r="E229" t="b">
        <f t="shared" si="174"/>
        <v>0</v>
      </c>
      <c r="G229" t="str">
        <f>TBIWet!H301</f>
        <v>G634</v>
      </c>
      <c r="H229" t="str">
        <f>TBIWet!I301</f>
        <v>R59</v>
      </c>
      <c r="I229" t="b">
        <f t="shared" si="175"/>
        <v>0</v>
      </c>
      <c r="J229" t="b">
        <f t="shared" si="176"/>
        <v>0</v>
      </c>
      <c r="L229" t="str">
        <f>'Both teabags AfterWet'!A227</f>
        <v>G658</v>
      </c>
      <c r="M229" t="str">
        <f>'Both teabags AfterWet'!A647</f>
        <v>R437</v>
      </c>
      <c r="N229" t="b">
        <f t="shared" si="177"/>
        <v>0</v>
      </c>
      <c r="O229" t="b">
        <f t="shared" si="227"/>
        <v>0</v>
      </c>
      <c r="Q229" s="388" t="b">
        <f t="shared" si="178"/>
        <v>0</v>
      </c>
      <c r="R229" s="388" t="b">
        <f t="shared" si="179"/>
        <v>0</v>
      </c>
      <c r="T229" t="str">
        <f>'Both teabags AfterDry'!A227</f>
        <v>G45</v>
      </c>
      <c r="U229" t="str">
        <f>'Both teabags AfterDry'!A562</f>
        <v>R714</v>
      </c>
      <c r="V229" t="b">
        <f t="shared" si="180"/>
        <v>0</v>
      </c>
      <c r="W229" t="b">
        <f t="shared" si="211"/>
        <v>0</v>
      </c>
      <c r="Y229" t="str">
        <f>'Green_rooibos initial weight'!A230</f>
        <v>G226</v>
      </c>
      <c r="Z229" t="str">
        <f>'Green_rooibos initial weight'!A1134</f>
        <v>R226</v>
      </c>
      <c r="AA229" t="b">
        <f t="shared" si="181"/>
        <v>0</v>
      </c>
      <c r="AB229" t="b">
        <f t="shared" si="182"/>
        <v>0</v>
      </c>
      <c r="AE229" t="str">
        <f>'WetLitterbags placem_collection'!O8</f>
        <v>G634</v>
      </c>
      <c r="AF229" t="str">
        <f>'WetLitterbags placem_collection'!Q8</f>
        <v>R59</v>
      </c>
      <c r="AG229" t="b">
        <f t="shared" si="183"/>
        <v>0</v>
      </c>
      <c r="AH229" t="b">
        <f t="shared" si="184"/>
        <v>0</v>
      </c>
      <c r="AJ229" t="b">
        <f t="shared" si="185"/>
        <v>0</v>
      </c>
      <c r="AK229" t="b">
        <f t="shared" si="186"/>
        <v>0</v>
      </c>
      <c r="AM229" t="str">
        <f>IF(ISBLANK('Dry_Litterbag Placem_Collection'!L8),"","G"&amp;""&amp;'Dry_Litterbag Placem_Collection'!L8)</f>
        <v>G164</v>
      </c>
      <c r="AN229" t="str">
        <f>IF(ISBLANK('Dry_Litterbag Placem_Collection'!M8),"","R"&amp;""&amp;'Dry_Litterbag Placem_Collection'!M8)</f>
        <v>R286</v>
      </c>
      <c r="AO229" t="b">
        <f t="shared" si="187"/>
        <v>0</v>
      </c>
      <c r="AP229" t="b">
        <f t="shared" si="188"/>
        <v>0</v>
      </c>
      <c r="AS229" t="str">
        <f>'Ashed teabags dry'!A227</f>
        <v>G45</v>
      </c>
      <c r="AT229" t="str">
        <f>'Ashed teabags dry'!A562</f>
        <v>R714</v>
      </c>
      <c r="AU229" t="b">
        <f t="shared" si="189"/>
        <v>0</v>
      </c>
      <c r="AV229" t="b">
        <f t="shared" si="212"/>
        <v>0</v>
      </c>
      <c r="AX229" s="388" t="b">
        <f t="shared" si="190"/>
        <v>0</v>
      </c>
      <c r="AY229" s="388" t="b">
        <f t="shared" si="191"/>
        <v>0</v>
      </c>
      <c r="BA229" t="str">
        <f>'Ashed teabags wet'!A227</f>
        <v>G658</v>
      </c>
      <c r="BB229" t="str">
        <f>'Ashed teabags wet'!A647</f>
        <v>R437</v>
      </c>
      <c r="BC229" t="b">
        <f t="shared" si="192"/>
        <v>0</v>
      </c>
      <c r="BD229" t="b">
        <f t="shared" si="172"/>
        <v>0</v>
      </c>
      <c r="BF229" t="str">
        <f t="shared" si="193"/>
        <v>G444</v>
      </c>
      <c r="BG229" t="str">
        <f t="shared" si="194"/>
        <v>G444</v>
      </c>
      <c r="BH229" t="str">
        <f t="shared" si="195"/>
        <v>G734</v>
      </c>
      <c r="BI229" t="str">
        <f t="shared" si="213"/>
        <v/>
      </c>
      <c r="BJ229" t="s">
        <v>1606</v>
      </c>
      <c r="BK229" t="s">
        <v>1606</v>
      </c>
      <c r="BL229" t="s">
        <v>1606</v>
      </c>
      <c r="BM229" t="b">
        <f t="shared" si="214"/>
        <v>1</v>
      </c>
      <c r="BN229" t="str">
        <f t="shared" si="196"/>
        <v>R713</v>
      </c>
      <c r="BO229" t="str">
        <f t="shared" si="197"/>
        <v>R713</v>
      </c>
      <c r="BP229" t="str">
        <f t="shared" si="198"/>
        <v>R226</v>
      </c>
      <c r="BQ229" t="str">
        <f t="shared" si="199"/>
        <v/>
      </c>
      <c r="BR229" t="s">
        <v>426</v>
      </c>
      <c r="BS229" t="s">
        <v>425</v>
      </c>
      <c r="BT229" t="s">
        <v>426</v>
      </c>
      <c r="BU229" t="b">
        <f t="shared" si="215"/>
        <v>1</v>
      </c>
      <c r="BZ229" t="str">
        <f t="shared" si="200"/>
        <v>G734</v>
      </c>
      <c r="CA229" t="b">
        <f t="shared" si="201"/>
        <v>1</v>
      </c>
      <c r="CB229" t="str">
        <f t="shared" si="216"/>
        <v/>
      </c>
      <c r="CC229" t="str">
        <f t="shared" si="202"/>
        <v>R226</v>
      </c>
      <c r="CD229" t="b">
        <f t="shared" si="217"/>
        <v>1</v>
      </c>
      <c r="CE229" t="str">
        <f t="shared" si="218"/>
        <v/>
      </c>
      <c r="CG229" t="str">
        <f t="shared" si="203"/>
        <v>G657</v>
      </c>
      <c r="CH229" t="str">
        <f t="shared" si="219"/>
        <v>G657</v>
      </c>
      <c r="CI229" t="str">
        <f t="shared" si="204"/>
        <v>G577</v>
      </c>
      <c r="CJ229" t="str">
        <f t="shared" si="205"/>
        <v>G577</v>
      </c>
      <c r="CK229" t="s">
        <v>1393</v>
      </c>
      <c r="CL229" t="s">
        <v>1393</v>
      </c>
      <c r="CM229" t="s">
        <v>1393</v>
      </c>
      <c r="CN229" t="b">
        <f t="shared" si="220"/>
        <v>1</v>
      </c>
      <c r="CO229" t="str">
        <f t="shared" si="206"/>
        <v>R436</v>
      </c>
      <c r="CP229" t="str">
        <f t="shared" si="221"/>
        <v>R436</v>
      </c>
      <c r="CQ229" t="str">
        <f t="shared" si="207"/>
        <v>R38</v>
      </c>
      <c r="CR229" t="str">
        <f t="shared" si="208"/>
        <v>R38</v>
      </c>
      <c r="CS229" t="s">
        <v>705</v>
      </c>
      <c r="CT229" t="s">
        <v>705</v>
      </c>
      <c r="CU229" t="s">
        <v>705</v>
      </c>
      <c r="CV229" t="b">
        <f t="shared" si="222"/>
        <v>1</v>
      </c>
      <c r="DC229" t="str">
        <f t="shared" si="209"/>
        <v>G577</v>
      </c>
      <c r="DD229" t="b">
        <f t="shared" si="223"/>
        <v>0</v>
      </c>
      <c r="DE229" t="str">
        <f t="shared" si="224"/>
        <v>G577</v>
      </c>
      <c r="DF229" t="str">
        <f t="shared" si="210"/>
        <v>R38</v>
      </c>
      <c r="DG229" t="b">
        <f t="shared" si="225"/>
        <v>0</v>
      </c>
      <c r="DH229" t="str">
        <f t="shared" si="226"/>
        <v>R38</v>
      </c>
    </row>
    <row r="230" spans="2:112" ht="12" customHeight="1">
      <c r="B230" t="str">
        <f>TBIDry!H302</f>
        <v>G776</v>
      </c>
      <c r="C230" t="str">
        <f>TBIDry!I302</f>
        <v>R210</v>
      </c>
      <c r="D230" t="b">
        <f t="shared" si="173"/>
        <v>0</v>
      </c>
      <c r="E230" t="b">
        <f t="shared" si="174"/>
        <v>0</v>
      </c>
      <c r="G230" t="str">
        <f>TBIWet!H302</f>
        <v>G665</v>
      </c>
      <c r="H230" t="str">
        <f>TBIWet!I302</f>
        <v>R398</v>
      </c>
      <c r="I230" t="b">
        <f t="shared" si="175"/>
        <v>0</v>
      </c>
      <c r="J230" t="b">
        <f t="shared" si="176"/>
        <v>0</v>
      </c>
      <c r="L230" t="str">
        <f>'Both teabags AfterWet'!A228</f>
        <v>G660</v>
      </c>
      <c r="M230" t="str">
        <f>'Both teabags AfterWet'!A648</f>
        <v>R438</v>
      </c>
      <c r="N230" t="b">
        <f t="shared" si="177"/>
        <v>0</v>
      </c>
      <c r="O230" t="b">
        <f t="shared" si="227"/>
        <v>0</v>
      </c>
      <c r="Q230" s="388" t="b">
        <f t="shared" si="178"/>
        <v>0</v>
      </c>
      <c r="R230" s="388" t="b">
        <f t="shared" si="179"/>
        <v>0</v>
      </c>
      <c r="T230" t="str">
        <f>'Both teabags AfterDry'!A228</f>
        <v>G455</v>
      </c>
      <c r="U230" t="str">
        <f>'Both teabags AfterDry'!A563</f>
        <v>R715</v>
      </c>
      <c r="V230" t="b">
        <f t="shared" si="180"/>
        <v>0</v>
      </c>
      <c r="W230" t="b">
        <f t="shared" si="211"/>
        <v>0</v>
      </c>
      <c r="Y230" t="str">
        <f>'Green_rooibos initial weight'!A231</f>
        <v>G227</v>
      </c>
      <c r="Z230" t="str">
        <f>'Green_rooibos initial weight'!A1135</f>
        <v>R227</v>
      </c>
      <c r="AA230" t="b">
        <f t="shared" si="181"/>
        <v>0</v>
      </c>
      <c r="AB230" t="b">
        <f t="shared" si="182"/>
        <v>0</v>
      </c>
      <c r="AE230" t="str">
        <f>'WetLitterbags placem_collection'!O9</f>
        <v>G665</v>
      </c>
      <c r="AF230" t="str">
        <f>'WetLitterbags placem_collection'!Q9</f>
        <v>R398</v>
      </c>
      <c r="AG230" t="b">
        <f t="shared" si="183"/>
        <v>0</v>
      </c>
      <c r="AH230" t="b">
        <f t="shared" si="184"/>
        <v>0</v>
      </c>
      <c r="AJ230" t="b">
        <f t="shared" si="185"/>
        <v>0</v>
      </c>
      <c r="AK230" t="b">
        <f t="shared" si="186"/>
        <v>0</v>
      </c>
      <c r="AM230" t="str">
        <f>IF(ISBLANK('Dry_Litterbag Placem_Collection'!L9),"","G"&amp;""&amp;'Dry_Litterbag Placem_Collection'!L9)</f>
        <v>G776</v>
      </c>
      <c r="AN230" t="str">
        <f>IF(ISBLANK('Dry_Litterbag Placem_Collection'!M9),"","R"&amp;""&amp;'Dry_Litterbag Placem_Collection'!M9)</f>
        <v>R210</v>
      </c>
      <c r="AO230" t="b">
        <f t="shared" si="187"/>
        <v>0</v>
      </c>
      <c r="AP230" t="b">
        <f t="shared" si="188"/>
        <v>0</v>
      </c>
      <c r="AS230" t="str">
        <f>'Ashed teabags dry'!A228</f>
        <v>G455</v>
      </c>
      <c r="AT230" t="str">
        <f>'Ashed teabags dry'!A563</f>
        <v>R715</v>
      </c>
      <c r="AU230" t="b">
        <f t="shared" si="189"/>
        <v>0</v>
      </c>
      <c r="AV230" t="b">
        <f t="shared" si="212"/>
        <v>0</v>
      </c>
      <c r="AX230" s="388" t="b">
        <f t="shared" si="190"/>
        <v>0</v>
      </c>
      <c r="AY230" s="388" t="b">
        <f t="shared" si="191"/>
        <v>0</v>
      </c>
      <c r="BA230" t="str">
        <f>'Ashed teabags wet'!A228</f>
        <v>G660</v>
      </c>
      <c r="BB230" t="str">
        <f>'Ashed teabags wet'!A648</f>
        <v>R438</v>
      </c>
      <c r="BC230" t="b">
        <f t="shared" si="192"/>
        <v>0</v>
      </c>
      <c r="BD230" t="b">
        <f t="shared" si="172"/>
        <v>0</v>
      </c>
      <c r="BF230" t="str">
        <f t="shared" si="193"/>
        <v>G45</v>
      </c>
      <c r="BG230" t="str">
        <f t="shared" si="194"/>
        <v>G45</v>
      </c>
      <c r="BH230" t="str">
        <f t="shared" si="195"/>
        <v>G164</v>
      </c>
      <c r="BI230" t="str">
        <f t="shared" si="213"/>
        <v/>
      </c>
      <c r="BJ230" t="s">
        <v>2005</v>
      </c>
      <c r="BK230" t="s">
        <v>2005</v>
      </c>
      <c r="BL230" t="s">
        <v>2005</v>
      </c>
      <c r="BM230" t="b">
        <f t="shared" si="214"/>
        <v>1</v>
      </c>
      <c r="BN230" t="str">
        <f t="shared" si="196"/>
        <v>R714</v>
      </c>
      <c r="BO230" t="str">
        <f t="shared" si="197"/>
        <v>R714</v>
      </c>
      <c r="BP230" t="str">
        <f t="shared" si="198"/>
        <v>R286</v>
      </c>
      <c r="BQ230" t="str">
        <f t="shared" si="199"/>
        <v/>
      </c>
      <c r="BR230" t="s">
        <v>425</v>
      </c>
      <c r="BS230" t="s">
        <v>424</v>
      </c>
      <c r="BT230" t="s">
        <v>425</v>
      </c>
      <c r="BU230" t="b">
        <f t="shared" si="215"/>
        <v>1</v>
      </c>
      <c r="BZ230" t="str">
        <f t="shared" si="200"/>
        <v>G164</v>
      </c>
      <c r="CA230" t="b">
        <f t="shared" si="201"/>
        <v>1</v>
      </c>
      <c r="CB230" t="str">
        <f t="shared" si="216"/>
        <v/>
      </c>
      <c r="CC230" t="str">
        <f t="shared" si="202"/>
        <v>R286</v>
      </c>
      <c r="CD230" t="b">
        <f t="shared" si="217"/>
        <v>1</v>
      </c>
      <c r="CE230" t="str">
        <f t="shared" si="218"/>
        <v/>
      </c>
      <c r="CG230" t="str">
        <f t="shared" si="203"/>
        <v>G658</v>
      </c>
      <c r="CH230" t="str">
        <f t="shared" si="219"/>
        <v>G658</v>
      </c>
      <c r="CI230" t="str">
        <f t="shared" si="204"/>
        <v>G634</v>
      </c>
      <c r="CJ230" t="str">
        <f t="shared" si="205"/>
        <v>G634</v>
      </c>
      <c r="CK230" t="s">
        <v>1392</v>
      </c>
      <c r="CL230" t="s">
        <v>1392</v>
      </c>
      <c r="CM230" t="s">
        <v>1392</v>
      </c>
      <c r="CN230" t="b">
        <f t="shared" si="220"/>
        <v>1</v>
      </c>
      <c r="CO230" t="str">
        <f t="shared" si="206"/>
        <v>R437</v>
      </c>
      <c r="CP230" t="str">
        <f t="shared" si="221"/>
        <v>R437</v>
      </c>
      <c r="CQ230" t="str">
        <f t="shared" si="207"/>
        <v>R59</v>
      </c>
      <c r="CR230" t="str">
        <f t="shared" si="208"/>
        <v>R59</v>
      </c>
      <c r="CS230" t="s">
        <v>704</v>
      </c>
      <c r="CT230" t="s">
        <v>704</v>
      </c>
      <c r="CU230" t="s">
        <v>704</v>
      </c>
      <c r="CV230" t="b">
        <f t="shared" si="222"/>
        <v>1</v>
      </c>
      <c r="DC230" t="str">
        <f t="shared" si="209"/>
        <v>G634</v>
      </c>
      <c r="DD230" t="b">
        <f t="shared" si="223"/>
        <v>0</v>
      </c>
      <c r="DE230" t="str">
        <f t="shared" si="224"/>
        <v>G634</v>
      </c>
      <c r="DF230" t="str">
        <f t="shared" si="210"/>
        <v>R59</v>
      </c>
      <c r="DG230" t="b">
        <f t="shared" si="225"/>
        <v>0</v>
      </c>
      <c r="DH230" t="str">
        <f t="shared" si="226"/>
        <v>R59</v>
      </c>
    </row>
    <row r="231" spans="2:112" ht="12" customHeight="1">
      <c r="B231" t="str">
        <f>TBIDry!H303</f>
        <v>G23</v>
      </c>
      <c r="C231" t="str">
        <f>TBIDry!I303</f>
        <v>R213</v>
      </c>
      <c r="D231" t="b">
        <f t="shared" si="173"/>
        <v>0</v>
      </c>
      <c r="E231" t="b">
        <f t="shared" si="174"/>
        <v>0</v>
      </c>
      <c r="G231" t="str">
        <f>TBIWet!H303</f>
        <v>G701</v>
      </c>
      <c r="H231" t="str">
        <f>TBIWet!I303</f>
        <v>R512</v>
      </c>
      <c r="I231" t="b">
        <f t="shared" si="175"/>
        <v>0</v>
      </c>
      <c r="J231" t="b">
        <f t="shared" si="176"/>
        <v>0</v>
      </c>
      <c r="L231" t="str">
        <f>'Both teabags AfterWet'!A229</f>
        <v>G665</v>
      </c>
      <c r="M231" t="str">
        <f>'Both teabags AfterWet'!A649</f>
        <v>R44</v>
      </c>
      <c r="N231" t="b">
        <f t="shared" si="177"/>
        <v>0</v>
      </c>
      <c r="O231" t="b">
        <f t="shared" si="227"/>
        <v>0</v>
      </c>
      <c r="Q231" s="388" t="b">
        <f t="shared" si="178"/>
        <v>0</v>
      </c>
      <c r="R231" s="388" t="b">
        <f t="shared" si="179"/>
        <v>0</v>
      </c>
      <c r="T231" t="str">
        <f>'Both teabags AfterDry'!A229</f>
        <v>G46</v>
      </c>
      <c r="U231" t="str">
        <f>'Both teabags AfterDry'!A564</f>
        <v>R716</v>
      </c>
      <c r="V231" t="b">
        <f t="shared" si="180"/>
        <v>0</v>
      </c>
      <c r="W231" t="b">
        <f t="shared" si="211"/>
        <v>0</v>
      </c>
      <c r="Y231" t="str">
        <f>'Green_rooibos initial weight'!A232</f>
        <v>G228</v>
      </c>
      <c r="Z231" t="str">
        <f>'Green_rooibos initial weight'!A1136</f>
        <v>R228</v>
      </c>
      <c r="AA231" t="b">
        <f t="shared" si="181"/>
        <v>0</v>
      </c>
      <c r="AB231" t="b">
        <f t="shared" si="182"/>
        <v>0</v>
      </c>
      <c r="AE231" t="str">
        <f>'WetLitterbags placem_collection'!O10</f>
        <v>G701</v>
      </c>
      <c r="AF231" t="str">
        <f>'WetLitterbags placem_collection'!Q10</f>
        <v>R512</v>
      </c>
      <c r="AG231" t="b">
        <f t="shared" si="183"/>
        <v>0</v>
      </c>
      <c r="AH231" t="b">
        <f t="shared" si="184"/>
        <v>0</v>
      </c>
      <c r="AJ231" t="b">
        <f t="shared" si="185"/>
        <v>0</v>
      </c>
      <c r="AK231" t="b">
        <f t="shared" si="186"/>
        <v>0</v>
      </c>
      <c r="AM231" t="str">
        <f>IF(ISBLANK('Dry_Litterbag Placem_Collection'!L10),"","G"&amp;""&amp;'Dry_Litterbag Placem_Collection'!L10)</f>
        <v>G23</v>
      </c>
      <c r="AN231" t="str">
        <f>IF(ISBLANK('Dry_Litterbag Placem_Collection'!M10),"","R"&amp;""&amp;'Dry_Litterbag Placem_Collection'!M10)</f>
        <v>R213</v>
      </c>
      <c r="AO231" t="b">
        <f t="shared" si="187"/>
        <v>0</v>
      </c>
      <c r="AP231" t="b">
        <f t="shared" si="188"/>
        <v>0</v>
      </c>
      <c r="AS231" t="str">
        <f>'Ashed teabags dry'!A229</f>
        <v>G46</v>
      </c>
      <c r="AT231" t="str">
        <f>'Ashed teabags dry'!A564</f>
        <v>R716</v>
      </c>
      <c r="AU231" t="b">
        <f t="shared" si="189"/>
        <v>0</v>
      </c>
      <c r="AV231" t="b">
        <f t="shared" si="212"/>
        <v>0</v>
      </c>
      <c r="AX231" s="388" t="b">
        <f t="shared" si="190"/>
        <v>0</v>
      </c>
      <c r="AY231" s="388" t="b">
        <f t="shared" si="191"/>
        <v>0</v>
      </c>
      <c r="BA231" t="str">
        <f>'Ashed teabags wet'!A229</f>
        <v>G665</v>
      </c>
      <c r="BB231" t="str">
        <f>'Ashed teabags wet'!A649</f>
        <v>R44</v>
      </c>
      <c r="BC231" t="b">
        <f t="shared" si="192"/>
        <v>0</v>
      </c>
      <c r="BD231" t="b">
        <f t="shared" si="172"/>
        <v>0</v>
      </c>
      <c r="BF231" t="str">
        <f t="shared" si="193"/>
        <v>G455</v>
      </c>
      <c r="BG231" t="str">
        <f t="shared" si="194"/>
        <v>G455</v>
      </c>
      <c r="BH231" t="str">
        <f t="shared" si="195"/>
        <v>G776</v>
      </c>
      <c r="BI231" t="str">
        <f t="shared" si="213"/>
        <v>G776</v>
      </c>
      <c r="BJ231" t="s">
        <v>1595</v>
      </c>
      <c r="BK231" t="s">
        <v>1595</v>
      </c>
      <c r="BL231" t="s">
        <v>1595</v>
      </c>
      <c r="BM231" t="b">
        <f t="shared" si="214"/>
        <v>1</v>
      </c>
      <c r="BN231" t="str">
        <f t="shared" si="196"/>
        <v>R715</v>
      </c>
      <c r="BO231" t="str">
        <f t="shared" si="197"/>
        <v>R715</v>
      </c>
      <c r="BP231" t="str">
        <f t="shared" si="198"/>
        <v>R210</v>
      </c>
      <c r="BQ231" t="str">
        <f t="shared" si="199"/>
        <v>R210</v>
      </c>
      <c r="BR231" t="s">
        <v>424</v>
      </c>
      <c r="BS231" t="s">
        <v>423</v>
      </c>
      <c r="BT231" t="s">
        <v>424</v>
      </c>
      <c r="BU231" t="b">
        <f t="shared" si="215"/>
        <v>1</v>
      </c>
      <c r="BZ231" t="str">
        <f t="shared" si="200"/>
        <v>G776</v>
      </c>
      <c r="CA231" t="b">
        <f t="shared" si="201"/>
        <v>0</v>
      </c>
      <c r="CB231" t="str">
        <f t="shared" si="216"/>
        <v>G776</v>
      </c>
      <c r="CC231" t="str">
        <f t="shared" si="202"/>
        <v>R210</v>
      </c>
      <c r="CD231" t="b">
        <f t="shared" si="217"/>
        <v>0</v>
      </c>
      <c r="CE231" t="str">
        <f t="shared" si="218"/>
        <v>R210</v>
      </c>
      <c r="CG231" t="str">
        <f t="shared" si="203"/>
        <v>G660</v>
      </c>
      <c r="CH231" t="str">
        <f t="shared" si="219"/>
        <v>G660</v>
      </c>
      <c r="CI231" t="str">
        <f t="shared" si="204"/>
        <v>G665</v>
      </c>
      <c r="CJ231" t="str">
        <f t="shared" si="205"/>
        <v>G665</v>
      </c>
      <c r="CK231" t="s">
        <v>1390</v>
      </c>
      <c r="CL231" t="s">
        <v>1390</v>
      </c>
      <c r="CM231" t="s">
        <v>1390</v>
      </c>
      <c r="CN231" t="b">
        <f t="shared" si="220"/>
        <v>1</v>
      </c>
      <c r="CO231" t="str">
        <f t="shared" si="206"/>
        <v>R438</v>
      </c>
      <c r="CP231" t="str">
        <f t="shared" si="221"/>
        <v>R438</v>
      </c>
      <c r="CQ231" t="str">
        <f t="shared" si="207"/>
        <v>R398</v>
      </c>
      <c r="CR231" t="str">
        <f t="shared" si="208"/>
        <v>R398</v>
      </c>
      <c r="CS231" t="s">
        <v>703</v>
      </c>
      <c r="CT231" t="s">
        <v>703</v>
      </c>
      <c r="CU231" t="s">
        <v>703</v>
      </c>
      <c r="CV231" t="b">
        <f t="shared" si="222"/>
        <v>1</v>
      </c>
      <c r="DC231" t="str">
        <f t="shared" si="209"/>
        <v>G665</v>
      </c>
      <c r="DD231" t="b">
        <f t="shared" si="223"/>
        <v>0</v>
      </c>
      <c r="DE231" t="str">
        <f t="shared" si="224"/>
        <v>G665</v>
      </c>
      <c r="DF231" t="str">
        <f t="shared" si="210"/>
        <v>R398</v>
      </c>
      <c r="DG231" t="b">
        <f t="shared" si="225"/>
        <v>0</v>
      </c>
      <c r="DH231" t="str">
        <f t="shared" si="226"/>
        <v>R398</v>
      </c>
    </row>
    <row r="232" spans="2:112" ht="12" customHeight="1">
      <c r="B232" t="str">
        <f>TBIDry!H304</f>
        <v>G570</v>
      </c>
      <c r="C232" t="str">
        <f>TBIDry!I304</f>
        <v>R704</v>
      </c>
      <c r="D232" t="b">
        <f t="shared" si="173"/>
        <v>0</v>
      </c>
      <c r="E232" t="b">
        <f t="shared" si="174"/>
        <v>0</v>
      </c>
      <c r="G232" t="str">
        <f>TBIWet!H304</f>
        <v>G476</v>
      </c>
      <c r="H232" t="str">
        <f>TBIWet!I304</f>
        <v>R101</v>
      </c>
      <c r="I232" t="b">
        <f t="shared" si="175"/>
        <v>0</v>
      </c>
      <c r="J232" t="b">
        <f t="shared" si="176"/>
        <v>0</v>
      </c>
      <c r="L232" t="str">
        <f>'Both teabags AfterWet'!A230</f>
        <v>G666</v>
      </c>
      <c r="M232" t="str">
        <f>'Both teabags AfterWet'!A650</f>
        <v>R440</v>
      </c>
      <c r="N232" t="b">
        <f t="shared" si="177"/>
        <v>0</v>
      </c>
      <c r="O232" t="b">
        <f t="shared" si="227"/>
        <v>0</v>
      </c>
      <c r="Q232" s="388" t="b">
        <f t="shared" si="178"/>
        <v>0</v>
      </c>
      <c r="R232" s="388" t="b">
        <f t="shared" si="179"/>
        <v>0</v>
      </c>
      <c r="T232" t="str">
        <f>'Both teabags AfterDry'!A230</f>
        <v>G464</v>
      </c>
      <c r="U232" t="str">
        <f>'Both teabags AfterDry'!A565</f>
        <v>R717</v>
      </c>
      <c r="V232" t="b">
        <f t="shared" si="180"/>
        <v>0</v>
      </c>
      <c r="W232" t="b">
        <f t="shared" si="211"/>
        <v>0</v>
      </c>
      <c r="Y232" t="str">
        <f>'Green_rooibos initial weight'!A233</f>
        <v>G229</v>
      </c>
      <c r="Z232" t="str">
        <f>'Green_rooibos initial weight'!A1137</f>
        <v>R229</v>
      </c>
      <c r="AA232" t="b">
        <f t="shared" si="181"/>
        <v>0</v>
      </c>
      <c r="AB232" t="b">
        <f t="shared" si="182"/>
        <v>0</v>
      </c>
      <c r="AE232" t="str">
        <f>'WetLitterbags placem_collection'!O11</f>
        <v>G476</v>
      </c>
      <c r="AF232" t="str">
        <f>'WetLitterbags placem_collection'!Q11</f>
        <v>R101</v>
      </c>
      <c r="AG232" t="b">
        <f t="shared" si="183"/>
        <v>0</v>
      </c>
      <c r="AH232" t="b">
        <f t="shared" si="184"/>
        <v>0</v>
      </c>
      <c r="AJ232" t="b">
        <f t="shared" si="185"/>
        <v>0</v>
      </c>
      <c r="AK232" t="b">
        <f t="shared" si="186"/>
        <v>0</v>
      </c>
      <c r="AM232" t="str">
        <f>IF(ISBLANK('Dry_Litterbag Placem_Collection'!L11),"","G"&amp;""&amp;'Dry_Litterbag Placem_Collection'!L11)</f>
        <v>G570</v>
      </c>
      <c r="AN232" t="str">
        <f>IF(ISBLANK('Dry_Litterbag Placem_Collection'!M11),"","R"&amp;""&amp;'Dry_Litterbag Placem_Collection'!M11)</f>
        <v>R704</v>
      </c>
      <c r="AO232" t="b">
        <f t="shared" si="187"/>
        <v>0</v>
      </c>
      <c r="AP232" t="b">
        <f t="shared" si="188"/>
        <v>0</v>
      </c>
      <c r="AS232" t="str">
        <f>'Ashed teabags dry'!A230</f>
        <v>G464</v>
      </c>
      <c r="AT232" t="str">
        <f>'Ashed teabags dry'!A565</f>
        <v>R717</v>
      </c>
      <c r="AU232" t="b">
        <f t="shared" si="189"/>
        <v>0</v>
      </c>
      <c r="AV232" t="b">
        <f t="shared" si="212"/>
        <v>0</v>
      </c>
      <c r="AX232" s="388" t="b">
        <f t="shared" si="190"/>
        <v>0</v>
      </c>
      <c r="AY232" s="388" t="b">
        <f t="shared" si="191"/>
        <v>0</v>
      </c>
      <c r="BA232" t="str">
        <f>'Ashed teabags wet'!A230</f>
        <v>G666</v>
      </c>
      <c r="BB232" t="str">
        <f>'Ashed teabags wet'!A650</f>
        <v>R440</v>
      </c>
      <c r="BC232" t="b">
        <f t="shared" si="192"/>
        <v>0</v>
      </c>
      <c r="BD232" t="b">
        <f t="shared" si="172"/>
        <v>0</v>
      </c>
      <c r="BF232" t="str">
        <f t="shared" si="193"/>
        <v>G46</v>
      </c>
      <c r="BG232" t="str">
        <f t="shared" si="194"/>
        <v>G46</v>
      </c>
      <c r="BH232" t="str">
        <f t="shared" si="195"/>
        <v>G23</v>
      </c>
      <c r="BI232" t="str">
        <f t="shared" si="213"/>
        <v>G23</v>
      </c>
      <c r="BJ232" t="s">
        <v>2004</v>
      </c>
      <c r="BK232" t="s">
        <v>2004</v>
      </c>
      <c r="BL232" t="s">
        <v>2004</v>
      </c>
      <c r="BM232" t="b">
        <f t="shared" si="214"/>
        <v>1</v>
      </c>
      <c r="BN232" t="str">
        <f t="shared" si="196"/>
        <v>R716</v>
      </c>
      <c r="BO232" t="str">
        <f t="shared" si="197"/>
        <v>R716</v>
      </c>
      <c r="BP232" t="str">
        <f t="shared" si="198"/>
        <v>R213</v>
      </c>
      <c r="BQ232" t="str">
        <f t="shared" si="199"/>
        <v>R213</v>
      </c>
      <c r="BR232" t="s">
        <v>423</v>
      </c>
      <c r="BS232" t="s">
        <v>422</v>
      </c>
      <c r="BT232" t="s">
        <v>423</v>
      </c>
      <c r="BU232" t="b">
        <f t="shared" si="215"/>
        <v>1</v>
      </c>
      <c r="BZ232" t="str">
        <f t="shared" si="200"/>
        <v>G23</v>
      </c>
      <c r="CA232" t="b">
        <f t="shared" si="201"/>
        <v>0</v>
      </c>
      <c r="CB232" t="str">
        <f t="shared" si="216"/>
        <v>G23</v>
      </c>
      <c r="CC232" t="str">
        <f t="shared" si="202"/>
        <v>R213</v>
      </c>
      <c r="CD232" t="b">
        <f t="shared" si="217"/>
        <v>0</v>
      </c>
      <c r="CE232" t="str">
        <f t="shared" si="218"/>
        <v>R213</v>
      </c>
      <c r="CG232" t="str">
        <f t="shared" si="203"/>
        <v>G665</v>
      </c>
      <c r="CH232" t="str">
        <f t="shared" si="219"/>
        <v>G665</v>
      </c>
      <c r="CI232" t="str">
        <f t="shared" si="204"/>
        <v>G701</v>
      </c>
      <c r="CJ232" t="str">
        <f t="shared" si="205"/>
        <v>G701</v>
      </c>
      <c r="CK232" t="s">
        <v>1385</v>
      </c>
      <c r="CL232" t="s">
        <v>1385</v>
      </c>
      <c r="CM232" t="s">
        <v>1385</v>
      </c>
      <c r="CN232" t="b">
        <f t="shared" si="220"/>
        <v>1</v>
      </c>
      <c r="CO232" t="str">
        <f t="shared" si="206"/>
        <v>R44</v>
      </c>
      <c r="CP232" t="str">
        <f t="shared" si="221"/>
        <v>R44</v>
      </c>
      <c r="CQ232" t="str">
        <f t="shared" si="207"/>
        <v>R512</v>
      </c>
      <c r="CR232" t="str">
        <f t="shared" si="208"/>
        <v>R512</v>
      </c>
      <c r="CS232" t="s">
        <v>1097</v>
      </c>
      <c r="CT232" t="s">
        <v>1097</v>
      </c>
      <c r="CU232" t="s">
        <v>1097</v>
      </c>
      <c r="CV232" t="b">
        <f t="shared" si="222"/>
        <v>1</v>
      </c>
      <c r="DC232" t="str">
        <f t="shared" si="209"/>
        <v>G701</v>
      </c>
      <c r="DD232" t="b">
        <f t="shared" si="223"/>
        <v>0</v>
      </c>
      <c r="DE232" t="str">
        <f t="shared" si="224"/>
        <v>G701</v>
      </c>
      <c r="DF232" t="str">
        <f t="shared" si="210"/>
        <v>R512</v>
      </c>
      <c r="DG232" t="b">
        <f t="shared" si="225"/>
        <v>0</v>
      </c>
      <c r="DH232" t="str">
        <f t="shared" si="226"/>
        <v>R512</v>
      </c>
    </row>
    <row r="233" spans="2:112" ht="12" customHeight="1">
      <c r="B233" t="str">
        <f>TBIDry!H305</f>
        <v>G642</v>
      </c>
      <c r="C233" t="str">
        <f>TBIDry!I305</f>
        <v>R355</v>
      </c>
      <c r="D233" t="b">
        <f t="shared" si="173"/>
        <v>0</v>
      </c>
      <c r="E233" t="b">
        <f t="shared" si="174"/>
        <v>0</v>
      </c>
      <c r="G233" t="str">
        <f>TBIWet!H305</f>
        <v>G606</v>
      </c>
      <c r="H233" t="str">
        <f>TBIWet!I305</f>
        <v>R515</v>
      </c>
      <c r="I233" t="b">
        <f t="shared" si="175"/>
        <v>0</v>
      </c>
      <c r="J233" t="b">
        <f t="shared" si="176"/>
        <v>0</v>
      </c>
      <c r="L233" t="str">
        <f>'Both teabags AfterWet'!A231</f>
        <v>G667</v>
      </c>
      <c r="M233" t="str">
        <f>'Both teabags AfterWet'!A651</f>
        <v>R442</v>
      </c>
      <c r="N233" t="b">
        <f t="shared" si="177"/>
        <v>0</v>
      </c>
      <c r="O233" t="b">
        <f t="shared" si="227"/>
        <v>0</v>
      </c>
      <c r="Q233" s="388" t="b">
        <f t="shared" si="178"/>
        <v>0</v>
      </c>
      <c r="R233" s="388" t="b">
        <f t="shared" si="179"/>
        <v>0</v>
      </c>
      <c r="T233" t="str">
        <f>'Both teabags AfterDry'!A231</f>
        <v>G465</v>
      </c>
      <c r="U233" t="str">
        <f>'Both teabags AfterDry'!A566</f>
        <v>R718</v>
      </c>
      <c r="V233" t="b">
        <f t="shared" si="180"/>
        <v>0</v>
      </c>
      <c r="W233" t="b">
        <f t="shared" si="211"/>
        <v>0</v>
      </c>
      <c r="Y233" t="str">
        <f>'Green_rooibos initial weight'!A234</f>
        <v>G230</v>
      </c>
      <c r="Z233" t="str">
        <f>'Green_rooibos initial weight'!A1138</f>
        <v>R230</v>
      </c>
      <c r="AA233" t="b">
        <f t="shared" si="181"/>
        <v>0</v>
      </c>
      <c r="AB233" t="b">
        <f t="shared" si="182"/>
        <v>0</v>
      </c>
      <c r="AE233" t="str">
        <f>'WetLitterbags placem_collection'!O12</f>
        <v>G606</v>
      </c>
      <c r="AF233" t="str">
        <f>'WetLitterbags placem_collection'!Q12</f>
        <v>R515</v>
      </c>
      <c r="AG233" t="b">
        <f t="shared" si="183"/>
        <v>0</v>
      </c>
      <c r="AH233" t="b">
        <f t="shared" si="184"/>
        <v>0</v>
      </c>
      <c r="AJ233" t="b">
        <f t="shared" si="185"/>
        <v>0</v>
      </c>
      <c r="AK233" t="b">
        <f t="shared" si="186"/>
        <v>0</v>
      </c>
      <c r="AM233" t="str">
        <f>IF(ISBLANK('Dry_Litterbag Placem_Collection'!L12),"","G"&amp;""&amp;'Dry_Litterbag Placem_Collection'!L12)</f>
        <v>G642</v>
      </c>
      <c r="AN233" t="str">
        <f>IF(ISBLANK('Dry_Litterbag Placem_Collection'!M12),"","R"&amp;""&amp;'Dry_Litterbag Placem_Collection'!M12)</f>
        <v>R355</v>
      </c>
      <c r="AO233" t="b">
        <f t="shared" si="187"/>
        <v>0</v>
      </c>
      <c r="AP233" t="b">
        <f t="shared" si="188"/>
        <v>0</v>
      </c>
      <c r="AS233" t="str">
        <f>'Ashed teabags dry'!A231</f>
        <v>G465</v>
      </c>
      <c r="AT233" t="str">
        <f>'Ashed teabags dry'!A566</f>
        <v>R718</v>
      </c>
      <c r="AU233" t="b">
        <f t="shared" si="189"/>
        <v>0</v>
      </c>
      <c r="AV233" t="b">
        <f t="shared" si="212"/>
        <v>0</v>
      </c>
      <c r="AX233" s="388" t="b">
        <f t="shared" si="190"/>
        <v>0</v>
      </c>
      <c r="AY233" s="388" t="b">
        <f t="shared" si="191"/>
        <v>0</v>
      </c>
      <c r="BA233" t="str">
        <f>'Ashed teabags wet'!A231</f>
        <v>G667</v>
      </c>
      <c r="BB233" t="str">
        <f>'Ashed teabags wet'!A651</f>
        <v>R442</v>
      </c>
      <c r="BC233" t="b">
        <f t="shared" si="192"/>
        <v>0</v>
      </c>
      <c r="BD233" t="b">
        <f t="shared" si="172"/>
        <v>0</v>
      </c>
      <c r="BF233" t="str">
        <f t="shared" si="193"/>
        <v>G464</v>
      </c>
      <c r="BG233" t="str">
        <f t="shared" si="194"/>
        <v>G464</v>
      </c>
      <c r="BH233" t="str">
        <f t="shared" si="195"/>
        <v>G570</v>
      </c>
      <c r="BI233" t="str">
        <f t="shared" si="213"/>
        <v>G570</v>
      </c>
      <c r="BJ233" t="s">
        <v>1586</v>
      </c>
      <c r="BK233" t="s">
        <v>1586</v>
      </c>
      <c r="BL233" t="s">
        <v>1586</v>
      </c>
      <c r="BM233" t="b">
        <f t="shared" si="214"/>
        <v>1</v>
      </c>
      <c r="BN233" t="str">
        <f t="shared" si="196"/>
        <v>R717</v>
      </c>
      <c r="BO233" t="str">
        <f t="shared" si="197"/>
        <v>R717</v>
      </c>
      <c r="BP233" t="str">
        <f t="shared" si="198"/>
        <v>R704</v>
      </c>
      <c r="BQ233" t="str">
        <f t="shared" si="199"/>
        <v>R704</v>
      </c>
      <c r="BR233" t="s">
        <v>422</v>
      </c>
      <c r="BS233" t="s">
        <v>421</v>
      </c>
      <c r="BT233" t="s">
        <v>422</v>
      </c>
      <c r="BU233" t="b">
        <f t="shared" si="215"/>
        <v>1</v>
      </c>
      <c r="BZ233" t="str">
        <f t="shared" si="200"/>
        <v>G570</v>
      </c>
      <c r="CA233" t="b">
        <f t="shared" si="201"/>
        <v>0</v>
      </c>
      <c r="CB233" t="str">
        <f t="shared" si="216"/>
        <v>G570</v>
      </c>
      <c r="CC233" t="str">
        <f t="shared" si="202"/>
        <v>R704</v>
      </c>
      <c r="CD233" t="b">
        <f t="shared" si="217"/>
        <v>0</v>
      </c>
      <c r="CE233" t="str">
        <f t="shared" si="218"/>
        <v>R704</v>
      </c>
      <c r="CG233" t="str">
        <f t="shared" si="203"/>
        <v>G666</v>
      </c>
      <c r="CH233" t="str">
        <f t="shared" si="219"/>
        <v>G666</v>
      </c>
      <c r="CI233" t="str">
        <f t="shared" si="204"/>
        <v>G476</v>
      </c>
      <c r="CJ233" t="str">
        <f t="shared" si="205"/>
        <v>G476</v>
      </c>
      <c r="CK233" t="s">
        <v>1384</v>
      </c>
      <c r="CL233" t="s">
        <v>1384</v>
      </c>
      <c r="CM233" t="s">
        <v>1384</v>
      </c>
      <c r="CN233" t="b">
        <f t="shared" si="220"/>
        <v>1</v>
      </c>
      <c r="CO233" t="str">
        <f t="shared" si="206"/>
        <v>R440</v>
      </c>
      <c r="CP233" t="str">
        <f t="shared" si="221"/>
        <v>R440</v>
      </c>
      <c r="CQ233" t="str">
        <f t="shared" si="207"/>
        <v>R101</v>
      </c>
      <c r="CR233" t="str">
        <f t="shared" si="208"/>
        <v>R101</v>
      </c>
      <c r="CS233" t="s">
        <v>701</v>
      </c>
      <c r="CT233" t="s">
        <v>701</v>
      </c>
      <c r="CU233" t="s">
        <v>701</v>
      </c>
      <c r="CV233" t="b">
        <f t="shared" si="222"/>
        <v>1</v>
      </c>
      <c r="DC233" t="str">
        <f t="shared" si="209"/>
        <v>G476</v>
      </c>
      <c r="DD233" t="b">
        <f t="shared" si="223"/>
        <v>0</v>
      </c>
      <c r="DE233" t="str">
        <f t="shared" si="224"/>
        <v>G476</v>
      </c>
      <c r="DF233" t="str">
        <f t="shared" si="210"/>
        <v>R101</v>
      </c>
      <c r="DG233" t="b">
        <f t="shared" si="225"/>
        <v>0</v>
      </c>
      <c r="DH233" t="str">
        <f t="shared" si="226"/>
        <v>R101</v>
      </c>
    </row>
    <row r="234" spans="2:112" ht="12" customHeight="1">
      <c r="B234" t="str">
        <f>TBIDry!H306</f>
        <v>G663</v>
      </c>
      <c r="C234" t="str">
        <f>TBIDry!I306</f>
        <v>R616</v>
      </c>
      <c r="D234" t="b">
        <f t="shared" si="173"/>
        <v>0</v>
      </c>
      <c r="E234" t="b">
        <f t="shared" si="174"/>
        <v>0</v>
      </c>
      <c r="G234" t="str">
        <f>TBIWet!H306</f>
        <v>G523</v>
      </c>
      <c r="H234" t="str">
        <f>TBIWet!I306</f>
        <v>R2</v>
      </c>
      <c r="I234" t="b">
        <f t="shared" si="175"/>
        <v>0</v>
      </c>
      <c r="J234" t="b">
        <f t="shared" si="176"/>
        <v>0</v>
      </c>
      <c r="L234" t="str">
        <f>'Both teabags AfterWet'!A232</f>
        <v>G668</v>
      </c>
      <c r="M234" t="str">
        <f>'Both teabags AfterWet'!A652</f>
        <v>R444</v>
      </c>
      <c r="N234" t="b">
        <f t="shared" si="177"/>
        <v>0</v>
      </c>
      <c r="O234" t="b">
        <f t="shared" si="227"/>
        <v>0</v>
      </c>
      <c r="Q234" s="388" t="b">
        <f t="shared" si="178"/>
        <v>0</v>
      </c>
      <c r="R234" s="388" t="b">
        <f t="shared" si="179"/>
        <v>0</v>
      </c>
      <c r="T234" t="str">
        <f>'Both teabags AfterDry'!A232</f>
        <v>G466</v>
      </c>
      <c r="U234" t="str">
        <f>'Both teabags AfterDry'!A567</f>
        <v>R720</v>
      </c>
      <c r="V234" t="b">
        <f t="shared" si="180"/>
        <v>0</v>
      </c>
      <c r="W234" t="b">
        <f t="shared" si="211"/>
        <v>0</v>
      </c>
      <c r="Y234" t="str">
        <f>'Green_rooibos initial weight'!A235</f>
        <v>G231</v>
      </c>
      <c r="Z234" t="str">
        <f>'Green_rooibos initial weight'!A1139</f>
        <v>R231</v>
      </c>
      <c r="AA234" t="b">
        <f t="shared" si="181"/>
        <v>0</v>
      </c>
      <c r="AB234" t="b">
        <f t="shared" si="182"/>
        <v>0</v>
      </c>
      <c r="AE234" t="str">
        <f>'WetLitterbags placem_collection'!O13</f>
        <v>G523</v>
      </c>
      <c r="AF234" t="str">
        <f>'WetLitterbags placem_collection'!Q13</f>
        <v>R2</v>
      </c>
      <c r="AG234" t="b">
        <f t="shared" si="183"/>
        <v>0</v>
      </c>
      <c r="AH234" t="b">
        <f t="shared" si="184"/>
        <v>0</v>
      </c>
      <c r="AJ234" t="b">
        <f t="shared" si="185"/>
        <v>0</v>
      </c>
      <c r="AK234" t="b">
        <f t="shared" si="186"/>
        <v>0</v>
      </c>
      <c r="AM234" t="str">
        <f>IF(ISBLANK('Dry_Litterbag Placem_Collection'!L13),"","G"&amp;""&amp;'Dry_Litterbag Placem_Collection'!L13)</f>
        <v>G663</v>
      </c>
      <c r="AN234" t="str">
        <f>IF(ISBLANK('Dry_Litterbag Placem_Collection'!M13),"","R"&amp;""&amp;'Dry_Litterbag Placem_Collection'!M13)</f>
        <v>R616</v>
      </c>
      <c r="AO234" t="b">
        <f t="shared" si="187"/>
        <v>0</v>
      </c>
      <c r="AP234" t="b">
        <f t="shared" si="188"/>
        <v>0</v>
      </c>
      <c r="AS234" t="str">
        <f>'Ashed teabags dry'!A232</f>
        <v>G466</v>
      </c>
      <c r="AT234" t="str">
        <f>'Ashed teabags dry'!A567</f>
        <v>R720</v>
      </c>
      <c r="AU234" t="b">
        <f t="shared" si="189"/>
        <v>0</v>
      </c>
      <c r="AV234" t="b">
        <f t="shared" si="212"/>
        <v>0</v>
      </c>
      <c r="AX234" s="388" t="b">
        <f t="shared" si="190"/>
        <v>0</v>
      </c>
      <c r="AY234" s="388" t="b">
        <f t="shared" si="191"/>
        <v>0</v>
      </c>
      <c r="BA234" t="str">
        <f>'Ashed teabags wet'!A232</f>
        <v>G668</v>
      </c>
      <c r="BB234" t="str">
        <f>'Ashed teabags wet'!A652</f>
        <v>R444</v>
      </c>
      <c r="BC234" t="b">
        <f t="shared" si="192"/>
        <v>0</v>
      </c>
      <c r="BD234" t="b">
        <f t="shared" si="172"/>
        <v>0</v>
      </c>
      <c r="BF234" t="str">
        <f t="shared" si="193"/>
        <v>G465</v>
      </c>
      <c r="BG234" t="str">
        <f t="shared" si="194"/>
        <v>G465</v>
      </c>
      <c r="BH234" t="str">
        <f t="shared" si="195"/>
        <v>G642</v>
      </c>
      <c r="BI234" t="str">
        <f t="shared" si="213"/>
        <v/>
      </c>
      <c r="BJ234" t="s">
        <v>1585</v>
      </c>
      <c r="BK234" t="s">
        <v>1585</v>
      </c>
      <c r="BL234" t="s">
        <v>1585</v>
      </c>
      <c r="BM234" t="b">
        <f t="shared" si="214"/>
        <v>1</v>
      </c>
      <c r="BN234" t="str">
        <f t="shared" si="196"/>
        <v>R718</v>
      </c>
      <c r="BO234" t="str">
        <f t="shared" si="197"/>
        <v>R718</v>
      </c>
      <c r="BP234" t="str">
        <f t="shared" si="198"/>
        <v>R355</v>
      </c>
      <c r="BQ234" t="str">
        <f t="shared" si="199"/>
        <v/>
      </c>
      <c r="BR234" t="s">
        <v>421</v>
      </c>
      <c r="BS234" t="s">
        <v>419</v>
      </c>
      <c r="BT234" t="s">
        <v>421</v>
      </c>
      <c r="BU234" t="b">
        <f t="shared" si="215"/>
        <v>1</v>
      </c>
      <c r="BZ234" t="str">
        <f t="shared" si="200"/>
        <v>G642</v>
      </c>
      <c r="CA234" t="b">
        <f t="shared" si="201"/>
        <v>1</v>
      </c>
      <c r="CB234" t="str">
        <f t="shared" si="216"/>
        <v/>
      </c>
      <c r="CC234" t="str">
        <f t="shared" si="202"/>
        <v>R355</v>
      </c>
      <c r="CD234" t="b">
        <f t="shared" si="217"/>
        <v>1</v>
      </c>
      <c r="CE234" t="str">
        <f t="shared" si="218"/>
        <v/>
      </c>
      <c r="CG234" t="str">
        <f t="shared" si="203"/>
        <v>G667</v>
      </c>
      <c r="CH234" t="str">
        <f t="shared" si="219"/>
        <v>G667</v>
      </c>
      <c r="CI234" t="str">
        <f t="shared" si="204"/>
        <v>G606</v>
      </c>
      <c r="CJ234" t="str">
        <f t="shared" si="205"/>
        <v>G606</v>
      </c>
      <c r="CK234" t="s">
        <v>1383</v>
      </c>
      <c r="CL234" t="s">
        <v>1383</v>
      </c>
      <c r="CM234" t="s">
        <v>1383</v>
      </c>
      <c r="CN234" t="b">
        <f t="shared" si="220"/>
        <v>1</v>
      </c>
      <c r="CO234" t="str">
        <f t="shared" si="206"/>
        <v>R442</v>
      </c>
      <c r="CP234" t="str">
        <f t="shared" si="221"/>
        <v>R442</v>
      </c>
      <c r="CQ234" t="str">
        <f t="shared" si="207"/>
        <v>R515</v>
      </c>
      <c r="CR234" t="str">
        <f t="shared" si="208"/>
        <v>R515</v>
      </c>
      <c r="CS234" t="s">
        <v>699</v>
      </c>
      <c r="CT234" t="s">
        <v>699</v>
      </c>
      <c r="CU234" t="s">
        <v>699</v>
      </c>
      <c r="CV234" t="b">
        <f t="shared" si="222"/>
        <v>1</v>
      </c>
      <c r="DC234" t="str">
        <f t="shared" si="209"/>
        <v>G606</v>
      </c>
      <c r="DD234" t="b">
        <f t="shared" si="223"/>
        <v>0</v>
      </c>
      <c r="DE234" t="str">
        <f t="shared" si="224"/>
        <v>G606</v>
      </c>
      <c r="DF234" t="str">
        <f t="shared" si="210"/>
        <v>R515</v>
      </c>
      <c r="DG234" t="b">
        <f t="shared" si="225"/>
        <v>0</v>
      </c>
      <c r="DH234" t="str">
        <f t="shared" si="226"/>
        <v>R515</v>
      </c>
    </row>
    <row r="235" spans="2:112" ht="12" customHeight="1">
      <c r="B235" t="str">
        <f>TBIDry!H307</f>
        <v/>
      </c>
      <c r="C235" t="str">
        <f>TBIDry!I307</f>
        <v/>
      </c>
      <c r="D235" t="b">
        <f t="shared" si="173"/>
        <v>1</v>
      </c>
      <c r="E235" t="b">
        <f t="shared" si="174"/>
        <v>1</v>
      </c>
      <c r="G235" t="str">
        <f>TBIWet!H307</f>
        <v>G510</v>
      </c>
      <c r="H235" t="str">
        <f>TBIWet!I307</f>
        <v>R123</v>
      </c>
      <c r="I235" t="b">
        <f t="shared" si="175"/>
        <v>0</v>
      </c>
      <c r="J235" t="b">
        <f t="shared" si="176"/>
        <v>0</v>
      </c>
      <c r="L235" t="str">
        <f>'Both teabags AfterWet'!A233</f>
        <v>G669</v>
      </c>
      <c r="M235" t="str">
        <f>'Both teabags AfterWet'!A653</f>
        <v>R445</v>
      </c>
      <c r="N235" t="b">
        <f t="shared" si="177"/>
        <v>0</v>
      </c>
      <c r="O235" t="b">
        <f t="shared" si="227"/>
        <v>0</v>
      </c>
      <c r="Q235" s="388" t="b">
        <f t="shared" si="178"/>
        <v>0</v>
      </c>
      <c r="R235" s="388" t="b">
        <f t="shared" si="179"/>
        <v>0</v>
      </c>
      <c r="T235" t="str">
        <f>'Both teabags AfterDry'!A233</f>
        <v>G467</v>
      </c>
      <c r="U235" t="str">
        <f>'Both teabags AfterDry'!A568</f>
        <v>R721</v>
      </c>
      <c r="V235" t="b">
        <f t="shared" si="180"/>
        <v>0</v>
      </c>
      <c r="W235" t="b">
        <f t="shared" si="211"/>
        <v>0</v>
      </c>
      <c r="Y235" t="str">
        <f>'Green_rooibos initial weight'!A236</f>
        <v>G232</v>
      </c>
      <c r="Z235" t="str">
        <f>'Green_rooibos initial weight'!A1140</f>
        <v>R232</v>
      </c>
      <c r="AA235" t="b">
        <f t="shared" si="181"/>
        <v>0</v>
      </c>
      <c r="AB235" t="b">
        <f t="shared" si="182"/>
        <v>0</v>
      </c>
      <c r="AE235" t="str">
        <f>'WetLitterbags placem_collection'!O14</f>
        <v>G510</v>
      </c>
      <c r="AF235" t="str">
        <f>'WetLitterbags placem_collection'!Q14</f>
        <v>R123</v>
      </c>
      <c r="AG235" t="b">
        <f t="shared" si="183"/>
        <v>0</v>
      </c>
      <c r="AH235" t="b">
        <f t="shared" si="184"/>
        <v>0</v>
      </c>
      <c r="AJ235" t="b">
        <f t="shared" si="185"/>
        <v>0</v>
      </c>
      <c r="AK235" t="b">
        <f t="shared" si="186"/>
        <v>0</v>
      </c>
      <c r="AM235" t="str">
        <f>IF(ISBLANK('Dry_Litterbag Placem_Collection'!L14),"","G"&amp;""&amp;'Dry_Litterbag Placem_Collection'!L14)</f>
        <v/>
      </c>
      <c r="AN235" t="str">
        <f>IF(ISBLANK('Dry_Litterbag Placem_Collection'!M14),"","R"&amp;""&amp;'Dry_Litterbag Placem_Collection'!M14)</f>
        <v/>
      </c>
      <c r="AO235" t="b">
        <f t="shared" si="187"/>
        <v>1</v>
      </c>
      <c r="AP235" t="b">
        <f t="shared" si="188"/>
        <v>1</v>
      </c>
      <c r="AS235" t="str">
        <f>'Ashed teabags dry'!A233</f>
        <v>G467</v>
      </c>
      <c r="AT235" t="str">
        <f>'Ashed teabags dry'!A568</f>
        <v>R721</v>
      </c>
      <c r="AU235" t="b">
        <f t="shared" si="189"/>
        <v>0</v>
      </c>
      <c r="AV235" t="b">
        <f t="shared" si="212"/>
        <v>0</v>
      </c>
      <c r="AX235" s="388" t="b">
        <f t="shared" si="190"/>
        <v>0</v>
      </c>
      <c r="AY235" s="388" t="b">
        <f t="shared" si="191"/>
        <v>0</v>
      </c>
      <c r="BA235" t="str">
        <f>'Ashed teabags wet'!A233</f>
        <v>G669</v>
      </c>
      <c r="BB235" t="str">
        <f>'Ashed teabags wet'!A653</f>
        <v>R445</v>
      </c>
      <c r="BC235" t="b">
        <f t="shared" si="192"/>
        <v>0</v>
      </c>
      <c r="BD235" t="b">
        <f t="shared" si="172"/>
        <v>0</v>
      </c>
      <c r="BF235" t="str">
        <f t="shared" si="193"/>
        <v>G466</v>
      </c>
      <c r="BG235" t="str">
        <f t="shared" si="194"/>
        <v>G466</v>
      </c>
      <c r="BH235" t="str">
        <f t="shared" si="195"/>
        <v>G663</v>
      </c>
      <c r="BI235" t="str">
        <f t="shared" si="213"/>
        <v>G663</v>
      </c>
      <c r="BJ235" t="s">
        <v>1584</v>
      </c>
      <c r="BK235" t="s">
        <v>1584</v>
      </c>
      <c r="BL235" t="s">
        <v>1584</v>
      </c>
      <c r="BM235" t="b">
        <f t="shared" si="214"/>
        <v>1</v>
      </c>
      <c r="BN235" t="str">
        <f t="shared" si="196"/>
        <v>R720</v>
      </c>
      <c r="BO235" t="str">
        <f t="shared" si="197"/>
        <v>R720</v>
      </c>
      <c r="BP235" t="str">
        <f t="shared" si="198"/>
        <v>R616</v>
      </c>
      <c r="BQ235" t="str">
        <f t="shared" si="199"/>
        <v>R616</v>
      </c>
      <c r="BR235" t="s">
        <v>419</v>
      </c>
      <c r="BS235" t="s">
        <v>418</v>
      </c>
      <c r="BT235" t="s">
        <v>419</v>
      </c>
      <c r="BU235" t="b">
        <f t="shared" si="215"/>
        <v>1</v>
      </c>
      <c r="BZ235" t="str">
        <f t="shared" si="200"/>
        <v>G663</v>
      </c>
      <c r="CA235" t="b">
        <f t="shared" si="201"/>
        <v>0</v>
      </c>
      <c r="CB235" t="str">
        <f t="shared" si="216"/>
        <v>G663</v>
      </c>
      <c r="CC235" t="str">
        <f t="shared" si="202"/>
        <v>R616</v>
      </c>
      <c r="CD235" t="b">
        <f t="shared" si="217"/>
        <v>0</v>
      </c>
      <c r="CE235" t="str">
        <f t="shared" si="218"/>
        <v>R616</v>
      </c>
      <c r="CG235" t="str">
        <f t="shared" si="203"/>
        <v>G668</v>
      </c>
      <c r="CH235" t="str">
        <f t="shared" si="219"/>
        <v>G668</v>
      </c>
      <c r="CI235" t="str">
        <f t="shared" si="204"/>
        <v>G523</v>
      </c>
      <c r="CJ235" t="str">
        <f t="shared" si="205"/>
        <v>G523</v>
      </c>
      <c r="CK235" t="s">
        <v>1382</v>
      </c>
      <c r="CL235" t="s">
        <v>1382</v>
      </c>
      <c r="CM235" t="s">
        <v>1382</v>
      </c>
      <c r="CN235" t="b">
        <f t="shared" si="220"/>
        <v>1</v>
      </c>
      <c r="CO235" t="str">
        <f t="shared" si="206"/>
        <v>R444</v>
      </c>
      <c r="CP235" t="str">
        <f t="shared" si="221"/>
        <v>R444</v>
      </c>
      <c r="CQ235" t="str">
        <f t="shared" si="207"/>
        <v>R2</v>
      </c>
      <c r="CR235" t="str">
        <f t="shared" si="208"/>
        <v>R2</v>
      </c>
      <c r="CS235" t="s">
        <v>697</v>
      </c>
      <c r="CT235" t="s">
        <v>697</v>
      </c>
      <c r="CU235" t="s">
        <v>697</v>
      </c>
      <c r="CV235" t="b">
        <f t="shared" si="222"/>
        <v>1</v>
      </c>
      <c r="DC235" t="str">
        <f t="shared" si="209"/>
        <v>G523</v>
      </c>
      <c r="DD235" t="b">
        <f t="shared" si="223"/>
        <v>0</v>
      </c>
      <c r="DE235" t="str">
        <f t="shared" si="224"/>
        <v>G523</v>
      </c>
      <c r="DF235" t="str">
        <f t="shared" si="210"/>
        <v>R2</v>
      </c>
      <c r="DG235" t="b">
        <f t="shared" si="225"/>
        <v>0</v>
      </c>
      <c r="DH235" t="str">
        <f t="shared" si="226"/>
        <v>R2</v>
      </c>
    </row>
    <row r="236" spans="2:112" ht="12" customHeight="1">
      <c r="B236" t="str">
        <f>TBIDry!H308</f>
        <v>G874</v>
      </c>
      <c r="C236" t="str">
        <f>TBIDry!I308</f>
        <v>R603</v>
      </c>
      <c r="D236" t="b">
        <f t="shared" si="173"/>
        <v>0</v>
      </c>
      <c r="E236" t="b">
        <f t="shared" si="174"/>
        <v>0</v>
      </c>
      <c r="G236" t="str">
        <f>TBIWet!H308</f>
        <v>G241</v>
      </c>
      <c r="H236" t="str">
        <f>TBIWet!I308</f>
        <v>R3</v>
      </c>
      <c r="I236" t="b">
        <f t="shared" si="175"/>
        <v>0</v>
      </c>
      <c r="J236" t="b">
        <f t="shared" si="176"/>
        <v>0</v>
      </c>
      <c r="L236" t="str">
        <f>'Both teabags AfterWet'!A234</f>
        <v>G670</v>
      </c>
      <c r="M236" t="str">
        <f>'Both teabags AfterWet'!A654</f>
        <v>R446</v>
      </c>
      <c r="N236" t="b">
        <f t="shared" si="177"/>
        <v>0</v>
      </c>
      <c r="O236" t="b">
        <f t="shared" si="227"/>
        <v>0</v>
      </c>
      <c r="Q236" s="388" t="b">
        <f t="shared" si="178"/>
        <v>0</v>
      </c>
      <c r="R236" s="388" t="b">
        <f t="shared" si="179"/>
        <v>0</v>
      </c>
      <c r="T236" t="str">
        <f>'Both teabags AfterDry'!A234</f>
        <v>G47</v>
      </c>
      <c r="U236" t="str">
        <f>'Both teabags AfterDry'!A569</f>
        <v>R722</v>
      </c>
      <c r="V236" t="b">
        <f t="shared" si="180"/>
        <v>0</v>
      </c>
      <c r="W236" t="b">
        <f t="shared" si="211"/>
        <v>0</v>
      </c>
      <c r="Y236" t="str">
        <f>'Green_rooibos initial weight'!A237</f>
        <v>G233</v>
      </c>
      <c r="Z236" t="str">
        <f>'Green_rooibos initial weight'!A1141</f>
        <v>R233</v>
      </c>
      <c r="AA236" t="b">
        <f t="shared" si="181"/>
        <v>0</v>
      </c>
      <c r="AB236" t="b">
        <f t="shared" si="182"/>
        <v>0</v>
      </c>
      <c r="AE236" t="str">
        <f>'WetLitterbags placem_collection'!O15</f>
        <v>G241</v>
      </c>
      <c r="AF236" t="str">
        <f>'WetLitterbags placem_collection'!Q15</f>
        <v>R3</v>
      </c>
      <c r="AG236" t="b">
        <f t="shared" si="183"/>
        <v>0</v>
      </c>
      <c r="AH236" t="b">
        <f t="shared" si="184"/>
        <v>0</v>
      </c>
      <c r="AJ236" t="b">
        <f t="shared" si="185"/>
        <v>0</v>
      </c>
      <c r="AK236" t="b">
        <f t="shared" si="186"/>
        <v>0</v>
      </c>
      <c r="AM236" t="str">
        <f>IF(ISBLANK('Dry_Litterbag Placem_Collection'!L15),"","G"&amp;""&amp;'Dry_Litterbag Placem_Collection'!L15)</f>
        <v>G874</v>
      </c>
      <c r="AN236" t="str">
        <f>IF(ISBLANK('Dry_Litterbag Placem_Collection'!M15),"","R"&amp;""&amp;'Dry_Litterbag Placem_Collection'!M15)</f>
        <v>R603</v>
      </c>
      <c r="AO236" t="b">
        <f t="shared" si="187"/>
        <v>0</v>
      </c>
      <c r="AP236" t="b">
        <f t="shared" si="188"/>
        <v>0</v>
      </c>
      <c r="AS236" t="str">
        <f>'Ashed teabags dry'!A234</f>
        <v>G47</v>
      </c>
      <c r="AT236" t="str">
        <f>'Ashed teabags dry'!A569</f>
        <v>R722</v>
      </c>
      <c r="AU236" t="b">
        <f t="shared" si="189"/>
        <v>0</v>
      </c>
      <c r="AV236" t="b">
        <f t="shared" si="212"/>
        <v>0</v>
      </c>
      <c r="AX236" s="388" t="b">
        <f t="shared" si="190"/>
        <v>0</v>
      </c>
      <c r="AY236" s="388" t="b">
        <f t="shared" si="191"/>
        <v>0</v>
      </c>
      <c r="BA236" t="str">
        <f>'Ashed teabags wet'!A234</f>
        <v>G670</v>
      </c>
      <c r="BB236" t="str">
        <f>'Ashed teabags wet'!A654</f>
        <v>R446</v>
      </c>
      <c r="BC236" t="b">
        <f t="shared" si="192"/>
        <v>0</v>
      </c>
      <c r="BD236" t="b">
        <f t="shared" si="172"/>
        <v>0</v>
      </c>
      <c r="BF236" t="str">
        <f t="shared" si="193"/>
        <v>G467</v>
      </c>
      <c r="BG236" t="str">
        <f t="shared" si="194"/>
        <v>G467</v>
      </c>
      <c r="BH236" t="str">
        <f t="shared" si="195"/>
        <v/>
      </c>
      <c r="BI236" t="str">
        <f t="shared" si="213"/>
        <v/>
      </c>
      <c r="BJ236" t="s">
        <v>1583</v>
      </c>
      <c r="BK236" t="s">
        <v>1583</v>
      </c>
      <c r="BL236" t="s">
        <v>1583</v>
      </c>
      <c r="BM236" t="b">
        <f t="shared" si="214"/>
        <v>1</v>
      </c>
      <c r="BN236" t="str">
        <f t="shared" si="196"/>
        <v>R721</v>
      </c>
      <c r="BO236" t="str">
        <f t="shared" si="197"/>
        <v>R721</v>
      </c>
      <c r="BP236" t="str">
        <f t="shared" si="198"/>
        <v/>
      </c>
      <c r="BQ236" t="str">
        <f t="shared" si="199"/>
        <v/>
      </c>
      <c r="BR236" t="s">
        <v>418</v>
      </c>
      <c r="BS236" t="s">
        <v>417</v>
      </c>
      <c r="BT236" t="s">
        <v>418</v>
      </c>
      <c r="BU236" t="b">
        <f t="shared" si="215"/>
        <v>1</v>
      </c>
      <c r="BZ236" t="str">
        <f t="shared" si="200"/>
        <v/>
      </c>
      <c r="CA236" t="b">
        <f t="shared" si="201"/>
        <v>0</v>
      </c>
      <c r="CB236" t="str">
        <f t="shared" si="216"/>
        <v/>
      </c>
      <c r="CC236" t="str">
        <f t="shared" si="202"/>
        <v/>
      </c>
      <c r="CD236" t="b">
        <f t="shared" si="217"/>
        <v>0</v>
      </c>
      <c r="CE236" t="str">
        <f t="shared" si="218"/>
        <v/>
      </c>
      <c r="CG236" t="str">
        <f t="shared" si="203"/>
        <v>G669</v>
      </c>
      <c r="CH236" t="str">
        <f t="shared" si="219"/>
        <v>G669</v>
      </c>
      <c r="CI236" t="str">
        <f t="shared" si="204"/>
        <v>G510</v>
      </c>
      <c r="CJ236" t="str">
        <f t="shared" si="205"/>
        <v/>
      </c>
      <c r="CK236" t="s">
        <v>1381</v>
      </c>
      <c r="CL236" t="s">
        <v>1381</v>
      </c>
      <c r="CM236" t="s">
        <v>1381</v>
      </c>
      <c r="CN236" t="b">
        <f t="shared" si="220"/>
        <v>1</v>
      </c>
      <c r="CO236" t="str">
        <f t="shared" si="206"/>
        <v>R445</v>
      </c>
      <c r="CP236" t="str">
        <f t="shared" si="221"/>
        <v>R445</v>
      </c>
      <c r="CQ236" t="str">
        <f t="shared" si="207"/>
        <v>R123</v>
      </c>
      <c r="CR236" t="str">
        <f t="shared" si="208"/>
        <v/>
      </c>
      <c r="CS236" t="s">
        <v>696</v>
      </c>
      <c r="CT236" t="s">
        <v>696</v>
      </c>
      <c r="CU236" t="s">
        <v>696</v>
      </c>
      <c r="CV236" t="b">
        <f t="shared" si="222"/>
        <v>1</v>
      </c>
      <c r="DC236" t="str">
        <f t="shared" si="209"/>
        <v>G510</v>
      </c>
      <c r="DD236" t="b">
        <f t="shared" si="223"/>
        <v>1</v>
      </c>
      <c r="DE236" t="str">
        <f t="shared" si="224"/>
        <v/>
      </c>
      <c r="DF236" t="str">
        <f t="shared" si="210"/>
        <v>R123</v>
      </c>
      <c r="DG236" t="b">
        <f t="shared" si="225"/>
        <v>1</v>
      </c>
      <c r="DH236" t="str">
        <f t="shared" si="226"/>
        <v/>
      </c>
    </row>
    <row r="237" spans="2:112" ht="12" customHeight="1">
      <c r="B237" t="str">
        <f>TBIDry!H309</f>
        <v>G219</v>
      </c>
      <c r="C237" t="str">
        <f>TBIDry!I309</f>
        <v>R652</v>
      </c>
      <c r="D237" t="b">
        <f t="shared" si="173"/>
        <v>0</v>
      </c>
      <c r="E237" t="b">
        <f t="shared" si="174"/>
        <v>0</v>
      </c>
      <c r="G237" t="str">
        <f>TBIWet!H309</f>
        <v>G503</v>
      </c>
      <c r="H237" t="str">
        <f>TBIWet!I309</f>
        <v>R282</v>
      </c>
      <c r="I237" t="b">
        <f t="shared" si="175"/>
        <v>0</v>
      </c>
      <c r="J237" t="b">
        <f t="shared" si="176"/>
        <v>0</v>
      </c>
      <c r="L237" t="str">
        <f>'Both teabags AfterWet'!A235</f>
        <v>G673</v>
      </c>
      <c r="M237" t="str">
        <f>'Both teabags AfterWet'!A655</f>
        <v>R447</v>
      </c>
      <c r="N237" t="b">
        <f t="shared" si="177"/>
        <v>0</v>
      </c>
      <c r="O237" t="b">
        <f t="shared" si="227"/>
        <v>0</v>
      </c>
      <c r="Q237" s="388" t="b">
        <f t="shared" si="178"/>
        <v>0</v>
      </c>
      <c r="R237" s="388" t="b">
        <f t="shared" si="179"/>
        <v>0</v>
      </c>
      <c r="T237" t="str">
        <f>'Both teabags AfterDry'!A235</f>
        <v>G473</v>
      </c>
      <c r="U237" t="str">
        <f>'Both teabags AfterDry'!A570</f>
        <v>R723</v>
      </c>
      <c r="V237" t="b">
        <f t="shared" si="180"/>
        <v>0</v>
      </c>
      <c r="W237" t="b">
        <f t="shared" si="211"/>
        <v>0</v>
      </c>
      <c r="Y237" t="str">
        <f>'Green_rooibos initial weight'!A238</f>
        <v>G234</v>
      </c>
      <c r="Z237" t="str">
        <f>'Green_rooibos initial weight'!A1142</f>
        <v>R234</v>
      </c>
      <c r="AA237" t="b">
        <f t="shared" si="181"/>
        <v>0</v>
      </c>
      <c r="AB237" t="b">
        <f t="shared" si="182"/>
        <v>0</v>
      </c>
      <c r="AE237" t="str">
        <f>'WetLitterbags placem_collection'!O16</f>
        <v>G503</v>
      </c>
      <c r="AF237" t="str">
        <f>'WetLitterbags placem_collection'!Q16</f>
        <v>R282</v>
      </c>
      <c r="AG237" t="b">
        <f t="shared" si="183"/>
        <v>0</v>
      </c>
      <c r="AH237" t="b">
        <f t="shared" si="184"/>
        <v>0</v>
      </c>
      <c r="AJ237" t="b">
        <f t="shared" si="185"/>
        <v>0</v>
      </c>
      <c r="AK237" t="b">
        <f t="shared" si="186"/>
        <v>0</v>
      </c>
      <c r="AM237" t="str">
        <f>IF(ISBLANK('Dry_Litterbag Placem_Collection'!L16),"","G"&amp;""&amp;'Dry_Litterbag Placem_Collection'!L16)</f>
        <v>G219</v>
      </c>
      <c r="AN237" t="str">
        <f>IF(ISBLANK('Dry_Litterbag Placem_Collection'!M16),"","R"&amp;""&amp;'Dry_Litterbag Placem_Collection'!M16)</f>
        <v>R652</v>
      </c>
      <c r="AO237" t="b">
        <f t="shared" si="187"/>
        <v>0</v>
      </c>
      <c r="AP237" t="b">
        <f t="shared" si="188"/>
        <v>0</v>
      </c>
      <c r="AS237" t="str">
        <f>'Ashed teabags dry'!A235</f>
        <v>G473</v>
      </c>
      <c r="AT237" t="str">
        <f>'Ashed teabags dry'!A570</f>
        <v>R723</v>
      </c>
      <c r="AU237" t="b">
        <f t="shared" si="189"/>
        <v>0</v>
      </c>
      <c r="AV237" t="b">
        <f t="shared" si="212"/>
        <v>0</v>
      </c>
      <c r="AX237" s="388" t="b">
        <f t="shared" si="190"/>
        <v>0</v>
      </c>
      <c r="AY237" s="388" t="b">
        <f t="shared" si="191"/>
        <v>0</v>
      </c>
      <c r="BA237" t="str">
        <f>'Ashed teabags wet'!A235</f>
        <v>G673</v>
      </c>
      <c r="BB237" t="str">
        <f>'Ashed teabags wet'!A655</f>
        <v>R447</v>
      </c>
      <c r="BC237" t="b">
        <f t="shared" si="192"/>
        <v>0</v>
      </c>
      <c r="BD237" t="b">
        <f t="shared" si="172"/>
        <v>0</v>
      </c>
      <c r="BF237" t="str">
        <f t="shared" si="193"/>
        <v>G47</v>
      </c>
      <c r="BG237" t="str">
        <f t="shared" si="194"/>
        <v>G47</v>
      </c>
      <c r="BH237" t="str">
        <f t="shared" si="195"/>
        <v>G874</v>
      </c>
      <c r="BI237" t="str">
        <f t="shared" si="213"/>
        <v>G874</v>
      </c>
      <c r="BJ237" t="s">
        <v>2003</v>
      </c>
      <c r="BK237" t="s">
        <v>2003</v>
      </c>
      <c r="BL237" t="s">
        <v>2003</v>
      </c>
      <c r="BM237" t="b">
        <f t="shared" si="214"/>
        <v>1</v>
      </c>
      <c r="BN237" t="str">
        <f t="shared" si="196"/>
        <v>R722</v>
      </c>
      <c r="BO237" t="str">
        <f t="shared" si="197"/>
        <v>R722</v>
      </c>
      <c r="BP237" t="str">
        <f t="shared" si="198"/>
        <v>R603</v>
      </c>
      <c r="BQ237" t="str">
        <f t="shared" si="199"/>
        <v>R603</v>
      </c>
      <c r="BR237" t="s">
        <v>417</v>
      </c>
      <c r="BS237" t="s">
        <v>416</v>
      </c>
      <c r="BT237" t="s">
        <v>417</v>
      </c>
      <c r="BU237" t="b">
        <f t="shared" si="215"/>
        <v>1</v>
      </c>
      <c r="BZ237" t="str">
        <f t="shared" si="200"/>
        <v>G874</v>
      </c>
      <c r="CA237" t="b">
        <f t="shared" si="201"/>
        <v>0</v>
      </c>
      <c r="CB237" t="str">
        <f t="shared" si="216"/>
        <v>G874</v>
      </c>
      <c r="CC237" t="str">
        <f t="shared" si="202"/>
        <v>R603</v>
      </c>
      <c r="CD237" t="b">
        <f t="shared" si="217"/>
        <v>0</v>
      </c>
      <c r="CE237" t="str">
        <f t="shared" si="218"/>
        <v>R603</v>
      </c>
      <c r="CG237" t="str">
        <f t="shared" si="203"/>
        <v>G670</v>
      </c>
      <c r="CH237" t="str">
        <f t="shared" si="219"/>
        <v>G670</v>
      </c>
      <c r="CI237" t="str">
        <f t="shared" si="204"/>
        <v>G241</v>
      </c>
      <c r="CJ237" t="str">
        <f t="shared" si="205"/>
        <v>G241</v>
      </c>
      <c r="CK237" t="s">
        <v>1380</v>
      </c>
      <c r="CL237" t="s">
        <v>1380</v>
      </c>
      <c r="CM237" t="s">
        <v>1380</v>
      </c>
      <c r="CN237" t="b">
        <f t="shared" si="220"/>
        <v>1</v>
      </c>
      <c r="CO237" t="str">
        <f t="shared" si="206"/>
        <v>R446</v>
      </c>
      <c r="CP237" t="str">
        <f t="shared" si="221"/>
        <v>R446</v>
      </c>
      <c r="CQ237" t="str">
        <f t="shared" si="207"/>
        <v>R3</v>
      </c>
      <c r="CR237" t="str">
        <f t="shared" si="208"/>
        <v>R3</v>
      </c>
      <c r="CS237" t="s">
        <v>695</v>
      </c>
      <c r="CT237" t="s">
        <v>695</v>
      </c>
      <c r="CU237" t="s">
        <v>695</v>
      </c>
      <c r="CV237" t="b">
        <f t="shared" si="222"/>
        <v>1</v>
      </c>
      <c r="DC237" t="str">
        <f t="shared" si="209"/>
        <v>G241</v>
      </c>
      <c r="DD237" t="b">
        <f t="shared" si="223"/>
        <v>0</v>
      </c>
      <c r="DE237" t="str">
        <f t="shared" si="224"/>
        <v>G241</v>
      </c>
      <c r="DF237" t="str">
        <f t="shared" si="210"/>
        <v>R3</v>
      </c>
      <c r="DG237" t="b">
        <f t="shared" si="225"/>
        <v>0</v>
      </c>
      <c r="DH237" t="str">
        <f t="shared" si="226"/>
        <v>R3</v>
      </c>
    </row>
    <row r="238" spans="2:112" ht="12" customHeight="1">
      <c r="B238" t="str">
        <f>TBIDry!H310</f>
        <v>G630</v>
      </c>
      <c r="C238" t="str">
        <f>TBIDry!I310</f>
        <v>R304</v>
      </c>
      <c r="D238" t="b">
        <f t="shared" si="173"/>
        <v>0</v>
      </c>
      <c r="E238" t="b">
        <f t="shared" si="174"/>
        <v>0</v>
      </c>
      <c r="G238" t="str">
        <f>TBIWet!H310</f>
        <v>G685</v>
      </c>
      <c r="H238" t="str">
        <f>TBIWet!I310</f>
        <v>R99</v>
      </c>
      <c r="I238" t="b">
        <f t="shared" si="175"/>
        <v>0</v>
      </c>
      <c r="J238" t="b">
        <f t="shared" si="176"/>
        <v>0</v>
      </c>
      <c r="L238" t="str">
        <f>'Both teabags AfterWet'!A236</f>
        <v>G674</v>
      </c>
      <c r="M238" t="str">
        <f>'Both teabags AfterWet'!A656</f>
        <v>R448</v>
      </c>
      <c r="N238" t="b">
        <f t="shared" si="177"/>
        <v>0</v>
      </c>
      <c r="O238" t="b">
        <f t="shared" si="227"/>
        <v>0</v>
      </c>
      <c r="Q238" s="388" t="b">
        <f t="shared" si="178"/>
        <v>0</v>
      </c>
      <c r="R238" s="388" t="b">
        <f t="shared" si="179"/>
        <v>0</v>
      </c>
      <c r="T238" t="str">
        <f>'Both teabags AfterDry'!A236</f>
        <v>G48</v>
      </c>
      <c r="U238" t="str">
        <f>'Both teabags AfterDry'!A571</f>
        <v>R725</v>
      </c>
      <c r="V238" t="b">
        <f t="shared" si="180"/>
        <v>0</v>
      </c>
      <c r="W238" t="b">
        <f t="shared" si="211"/>
        <v>0</v>
      </c>
      <c r="Y238" t="str">
        <f>'Green_rooibos initial weight'!A239</f>
        <v>G235</v>
      </c>
      <c r="Z238" t="str">
        <f>'Green_rooibos initial weight'!A1143</f>
        <v>R235</v>
      </c>
      <c r="AA238" t="b">
        <f t="shared" si="181"/>
        <v>0</v>
      </c>
      <c r="AB238" t="b">
        <f t="shared" si="182"/>
        <v>0</v>
      </c>
      <c r="AE238" t="str">
        <f>'WetLitterbags placem_collection'!O17</f>
        <v>G685</v>
      </c>
      <c r="AF238" t="str">
        <f>'WetLitterbags placem_collection'!Q17</f>
        <v>R99</v>
      </c>
      <c r="AG238" t="b">
        <f t="shared" si="183"/>
        <v>0</v>
      </c>
      <c r="AH238" t="b">
        <f t="shared" si="184"/>
        <v>0</v>
      </c>
      <c r="AJ238" t="b">
        <f t="shared" si="185"/>
        <v>0</v>
      </c>
      <c r="AK238" t="b">
        <f t="shared" si="186"/>
        <v>0</v>
      </c>
      <c r="AM238" t="str">
        <f>IF(ISBLANK('Dry_Litterbag Placem_Collection'!L17),"","G"&amp;""&amp;'Dry_Litterbag Placem_Collection'!L17)</f>
        <v>G630</v>
      </c>
      <c r="AN238" t="str">
        <f>IF(ISBLANK('Dry_Litterbag Placem_Collection'!M17),"","R"&amp;""&amp;'Dry_Litterbag Placem_Collection'!M17)</f>
        <v>R304</v>
      </c>
      <c r="AO238" t="b">
        <f t="shared" si="187"/>
        <v>0</v>
      </c>
      <c r="AP238" t="b">
        <f t="shared" si="188"/>
        <v>0</v>
      </c>
      <c r="AS238" t="str">
        <f>'Ashed teabags dry'!A236</f>
        <v>G48</v>
      </c>
      <c r="AT238" t="str">
        <f>'Ashed teabags dry'!A571</f>
        <v>R725</v>
      </c>
      <c r="AU238" t="b">
        <f t="shared" si="189"/>
        <v>0</v>
      </c>
      <c r="AV238" t="b">
        <f t="shared" si="212"/>
        <v>0</v>
      </c>
      <c r="AX238" s="388" t="b">
        <f t="shared" si="190"/>
        <v>0</v>
      </c>
      <c r="AY238" s="388" t="b">
        <f t="shared" si="191"/>
        <v>0</v>
      </c>
      <c r="BA238" t="str">
        <f>'Ashed teabags wet'!A236</f>
        <v>G674</v>
      </c>
      <c r="BB238" t="str">
        <f>'Ashed teabags wet'!A656</f>
        <v>R448</v>
      </c>
      <c r="BC238" t="b">
        <f t="shared" si="192"/>
        <v>0</v>
      </c>
      <c r="BD238" t="b">
        <f t="shared" si="172"/>
        <v>0</v>
      </c>
      <c r="BF238" t="str">
        <f t="shared" si="193"/>
        <v>G473</v>
      </c>
      <c r="BG238" t="str">
        <f t="shared" si="194"/>
        <v>G473</v>
      </c>
      <c r="BH238" t="str">
        <f t="shared" si="195"/>
        <v>G219</v>
      </c>
      <c r="BI238" t="str">
        <f t="shared" si="213"/>
        <v>G219</v>
      </c>
      <c r="BJ238" t="s">
        <v>1577</v>
      </c>
      <c r="BK238" t="s">
        <v>1577</v>
      </c>
      <c r="BL238" t="s">
        <v>1577</v>
      </c>
      <c r="BM238" t="b">
        <f t="shared" si="214"/>
        <v>1</v>
      </c>
      <c r="BN238" t="str">
        <f t="shared" si="196"/>
        <v>R723</v>
      </c>
      <c r="BO238" t="str">
        <f t="shared" si="197"/>
        <v>R723</v>
      </c>
      <c r="BP238" t="str">
        <f t="shared" si="198"/>
        <v>R652</v>
      </c>
      <c r="BQ238" t="str">
        <f t="shared" si="199"/>
        <v>R652</v>
      </c>
      <c r="BR238" t="s">
        <v>416</v>
      </c>
      <c r="BS238" t="s">
        <v>414</v>
      </c>
      <c r="BT238" t="s">
        <v>416</v>
      </c>
      <c r="BU238" t="b">
        <f t="shared" si="215"/>
        <v>1</v>
      </c>
      <c r="BZ238" t="str">
        <f t="shared" si="200"/>
        <v>G219</v>
      </c>
      <c r="CA238" t="b">
        <f t="shared" si="201"/>
        <v>0</v>
      </c>
      <c r="CB238" t="str">
        <f t="shared" si="216"/>
        <v>G219</v>
      </c>
      <c r="CC238" t="str">
        <f t="shared" si="202"/>
        <v>R652</v>
      </c>
      <c r="CD238" t="b">
        <f t="shared" si="217"/>
        <v>0</v>
      </c>
      <c r="CE238" t="str">
        <f t="shared" si="218"/>
        <v>R652</v>
      </c>
      <c r="CG238" t="str">
        <f t="shared" si="203"/>
        <v>G673</v>
      </c>
      <c r="CH238" t="str">
        <f t="shared" si="219"/>
        <v>G673</v>
      </c>
      <c r="CI238" t="str">
        <f t="shared" si="204"/>
        <v>G503</v>
      </c>
      <c r="CJ238" t="str">
        <f t="shared" si="205"/>
        <v>G503</v>
      </c>
      <c r="CK238" t="s">
        <v>1377</v>
      </c>
      <c r="CL238" t="s">
        <v>1377</v>
      </c>
      <c r="CM238" t="s">
        <v>1377</v>
      </c>
      <c r="CN238" t="b">
        <f t="shared" si="220"/>
        <v>1</v>
      </c>
      <c r="CO238" t="str">
        <f t="shared" si="206"/>
        <v>R447</v>
      </c>
      <c r="CP238" t="str">
        <f t="shared" si="221"/>
        <v>R447</v>
      </c>
      <c r="CQ238" t="str">
        <f t="shared" si="207"/>
        <v>R282</v>
      </c>
      <c r="CR238" t="str">
        <f t="shared" si="208"/>
        <v>R282</v>
      </c>
      <c r="CS238" t="s">
        <v>694</v>
      </c>
      <c r="CT238" t="s">
        <v>694</v>
      </c>
      <c r="CU238" t="s">
        <v>694</v>
      </c>
      <c r="CV238" t="b">
        <f t="shared" si="222"/>
        <v>1</v>
      </c>
      <c r="DC238" t="str">
        <f t="shared" si="209"/>
        <v>G503</v>
      </c>
      <c r="DD238" t="b">
        <f t="shared" si="223"/>
        <v>0</v>
      </c>
      <c r="DE238" t="str">
        <f t="shared" si="224"/>
        <v>G503</v>
      </c>
      <c r="DF238" t="str">
        <f t="shared" si="210"/>
        <v>R282</v>
      </c>
      <c r="DG238" t="b">
        <f t="shared" si="225"/>
        <v>0</v>
      </c>
      <c r="DH238" t="str">
        <f t="shared" si="226"/>
        <v>R282</v>
      </c>
    </row>
    <row r="239" spans="2:112" ht="12" customHeight="1">
      <c r="B239" t="str">
        <f>TBIDry!H311</f>
        <v>G662</v>
      </c>
      <c r="C239" t="str">
        <f>TBIDry!I311</f>
        <v>R687</v>
      </c>
      <c r="D239" t="b">
        <f t="shared" si="173"/>
        <v>0</v>
      </c>
      <c r="E239" t="b">
        <f t="shared" si="174"/>
        <v>0</v>
      </c>
      <c r="G239" t="str">
        <f>TBIWet!H311</f>
        <v>G644</v>
      </c>
      <c r="H239" t="str">
        <f>TBIWet!I311</f>
        <v>R154</v>
      </c>
      <c r="I239" t="b">
        <f t="shared" si="175"/>
        <v>0</v>
      </c>
      <c r="J239" t="b">
        <f t="shared" si="176"/>
        <v>0</v>
      </c>
      <c r="L239" t="str">
        <f>'Both teabags AfterWet'!A237</f>
        <v>G675</v>
      </c>
      <c r="M239" t="str">
        <f>'Both teabags AfterWet'!A657</f>
        <v>R449</v>
      </c>
      <c r="N239" t="b">
        <f t="shared" si="177"/>
        <v>0</v>
      </c>
      <c r="O239" t="b">
        <f t="shared" si="227"/>
        <v>0</v>
      </c>
      <c r="Q239" s="388" t="b">
        <f t="shared" si="178"/>
        <v>0</v>
      </c>
      <c r="R239" s="388" t="b">
        <f t="shared" si="179"/>
        <v>0</v>
      </c>
      <c r="T239" t="str">
        <f>'Both teabags AfterDry'!A237</f>
        <v>G481</v>
      </c>
      <c r="U239" t="str">
        <f>'Both teabags AfterDry'!A572</f>
        <v>R726</v>
      </c>
      <c r="V239" t="b">
        <f t="shared" si="180"/>
        <v>0</v>
      </c>
      <c r="W239" t="b">
        <f t="shared" si="211"/>
        <v>0</v>
      </c>
      <c r="Y239" t="str">
        <f>'Green_rooibos initial weight'!A240</f>
        <v>G236</v>
      </c>
      <c r="Z239" t="str">
        <f>'Green_rooibos initial weight'!A1144</f>
        <v>R236</v>
      </c>
      <c r="AA239" t="b">
        <f t="shared" si="181"/>
        <v>0</v>
      </c>
      <c r="AB239" t="b">
        <f t="shared" si="182"/>
        <v>0</v>
      </c>
      <c r="AE239" t="str">
        <f>'WetLitterbags placem_collection'!O18</f>
        <v>G644</v>
      </c>
      <c r="AF239" t="str">
        <f>'WetLitterbags placem_collection'!Q18</f>
        <v>R154</v>
      </c>
      <c r="AG239" t="b">
        <f t="shared" si="183"/>
        <v>0</v>
      </c>
      <c r="AH239" t="b">
        <f t="shared" si="184"/>
        <v>0</v>
      </c>
      <c r="AJ239" t="b">
        <f t="shared" si="185"/>
        <v>0</v>
      </c>
      <c r="AK239" t="b">
        <f t="shared" si="186"/>
        <v>0</v>
      </c>
      <c r="AM239" t="str">
        <f>IF(ISBLANK('Dry_Litterbag Placem_Collection'!L18),"","G"&amp;""&amp;'Dry_Litterbag Placem_Collection'!L18)</f>
        <v>G662</v>
      </c>
      <c r="AN239" t="str">
        <f>IF(ISBLANK('Dry_Litterbag Placem_Collection'!M18),"","R"&amp;""&amp;'Dry_Litterbag Placem_Collection'!M18)</f>
        <v>R687</v>
      </c>
      <c r="AO239" t="b">
        <f t="shared" si="187"/>
        <v>0</v>
      </c>
      <c r="AP239" t="b">
        <f t="shared" si="188"/>
        <v>0</v>
      </c>
      <c r="AS239" t="str">
        <f>'Ashed teabags dry'!A237</f>
        <v>G481</v>
      </c>
      <c r="AT239" t="str">
        <f>'Ashed teabags dry'!A572</f>
        <v>R726</v>
      </c>
      <c r="AU239" t="b">
        <f t="shared" si="189"/>
        <v>0</v>
      </c>
      <c r="AV239" t="b">
        <f t="shared" si="212"/>
        <v>0</v>
      </c>
      <c r="AX239" s="388" t="b">
        <f t="shared" si="190"/>
        <v>0</v>
      </c>
      <c r="AY239" s="388" t="b">
        <f t="shared" si="191"/>
        <v>0</v>
      </c>
      <c r="BA239" t="str">
        <f>'Ashed teabags wet'!A237</f>
        <v>G675</v>
      </c>
      <c r="BB239" t="str">
        <f>'Ashed teabags wet'!A657</f>
        <v>R449</v>
      </c>
      <c r="BC239" t="b">
        <f t="shared" si="192"/>
        <v>0</v>
      </c>
      <c r="BD239" t="b">
        <f t="shared" si="172"/>
        <v>0</v>
      </c>
      <c r="BF239" t="str">
        <f t="shared" si="193"/>
        <v>G48</v>
      </c>
      <c r="BG239" t="str">
        <f t="shared" si="194"/>
        <v>G48</v>
      </c>
      <c r="BH239" t="str">
        <f t="shared" si="195"/>
        <v>G630</v>
      </c>
      <c r="BI239" t="str">
        <f t="shared" si="213"/>
        <v>G630</v>
      </c>
      <c r="BJ239" t="s">
        <v>2002</v>
      </c>
      <c r="BK239" t="s">
        <v>2002</v>
      </c>
      <c r="BL239" t="s">
        <v>2002</v>
      </c>
      <c r="BM239" t="b">
        <f t="shared" si="214"/>
        <v>1</v>
      </c>
      <c r="BN239" t="str">
        <f t="shared" si="196"/>
        <v>R725</v>
      </c>
      <c r="BO239" t="str">
        <f t="shared" si="197"/>
        <v>R725</v>
      </c>
      <c r="BP239" t="str">
        <f t="shared" si="198"/>
        <v>R304</v>
      </c>
      <c r="BQ239" t="str">
        <f t="shared" si="199"/>
        <v>R304</v>
      </c>
      <c r="BR239" t="s">
        <v>414</v>
      </c>
      <c r="BS239" t="s">
        <v>413</v>
      </c>
      <c r="BT239" t="s">
        <v>414</v>
      </c>
      <c r="BU239" t="b">
        <f t="shared" si="215"/>
        <v>1</v>
      </c>
      <c r="BZ239" t="str">
        <f t="shared" si="200"/>
        <v>G630</v>
      </c>
      <c r="CA239" t="b">
        <f t="shared" si="201"/>
        <v>0</v>
      </c>
      <c r="CB239" t="str">
        <f t="shared" si="216"/>
        <v>G630</v>
      </c>
      <c r="CC239" t="str">
        <f t="shared" si="202"/>
        <v>R304</v>
      </c>
      <c r="CD239" t="b">
        <f t="shared" si="217"/>
        <v>0</v>
      </c>
      <c r="CE239" t="str">
        <f t="shared" si="218"/>
        <v>R304</v>
      </c>
      <c r="CG239" t="str">
        <f t="shared" si="203"/>
        <v>G674</v>
      </c>
      <c r="CH239" t="str">
        <f t="shared" si="219"/>
        <v>G674</v>
      </c>
      <c r="CI239" t="str">
        <f t="shared" si="204"/>
        <v>G685</v>
      </c>
      <c r="CJ239" t="str">
        <f t="shared" si="205"/>
        <v>G685</v>
      </c>
      <c r="CK239" t="s">
        <v>1376</v>
      </c>
      <c r="CL239" t="s">
        <v>1376</v>
      </c>
      <c r="CM239" t="s">
        <v>1376</v>
      </c>
      <c r="CN239" t="b">
        <f t="shared" si="220"/>
        <v>1</v>
      </c>
      <c r="CO239" t="str">
        <f t="shared" si="206"/>
        <v>R448</v>
      </c>
      <c r="CP239" t="str">
        <f t="shared" si="221"/>
        <v>R448</v>
      </c>
      <c r="CQ239" t="str">
        <f t="shared" si="207"/>
        <v>R99</v>
      </c>
      <c r="CR239" t="str">
        <f t="shared" si="208"/>
        <v>R99</v>
      </c>
      <c r="CS239" t="s">
        <v>693</v>
      </c>
      <c r="CT239" t="s">
        <v>693</v>
      </c>
      <c r="CU239" t="s">
        <v>693</v>
      </c>
      <c r="CV239" t="b">
        <f t="shared" si="222"/>
        <v>1</v>
      </c>
      <c r="DC239" t="str">
        <f t="shared" si="209"/>
        <v>G685</v>
      </c>
      <c r="DD239" t="b">
        <f t="shared" si="223"/>
        <v>0</v>
      </c>
      <c r="DE239" t="str">
        <f t="shared" si="224"/>
        <v>G685</v>
      </c>
      <c r="DF239" t="str">
        <f t="shared" si="210"/>
        <v>R99</v>
      </c>
      <c r="DG239" t="b">
        <f t="shared" si="225"/>
        <v>0</v>
      </c>
      <c r="DH239" t="str">
        <f t="shared" si="226"/>
        <v>R99</v>
      </c>
    </row>
    <row r="240" spans="2:112" ht="12" customHeight="1">
      <c r="B240" t="str">
        <f>TBIDry!H312</f>
        <v>G349</v>
      </c>
      <c r="C240" t="str">
        <f>TBIDry!I312</f>
        <v>R407</v>
      </c>
      <c r="D240" t="b">
        <f t="shared" si="173"/>
        <v>0</v>
      </c>
      <c r="E240" t="b">
        <f t="shared" si="174"/>
        <v>0</v>
      </c>
      <c r="G240" t="str">
        <f>TBIWet!H312</f>
        <v>G648</v>
      </c>
      <c r="H240" t="str">
        <f>TBIWet!I312</f>
        <v>R380</v>
      </c>
      <c r="I240" t="b">
        <f t="shared" si="175"/>
        <v>0</v>
      </c>
      <c r="J240" t="b">
        <f t="shared" si="176"/>
        <v>0</v>
      </c>
      <c r="L240" t="str">
        <f>'Both teabags AfterWet'!A238</f>
        <v>G676</v>
      </c>
      <c r="M240" t="str">
        <f>'Both teabags AfterWet'!A658</f>
        <v>R45</v>
      </c>
      <c r="N240" t="b">
        <f t="shared" si="177"/>
        <v>0</v>
      </c>
      <c r="O240" t="b">
        <f t="shared" si="227"/>
        <v>0</v>
      </c>
      <c r="Q240" s="388" t="b">
        <f t="shared" si="178"/>
        <v>0</v>
      </c>
      <c r="R240" s="388" t="b">
        <f t="shared" si="179"/>
        <v>0</v>
      </c>
      <c r="T240" t="str">
        <f>'Both teabags AfterDry'!A238</f>
        <v>G482</v>
      </c>
      <c r="U240" t="str">
        <f>'Both teabags AfterDry'!A573</f>
        <v>R727</v>
      </c>
      <c r="V240" t="b">
        <f t="shared" si="180"/>
        <v>0</v>
      </c>
      <c r="W240" t="b">
        <f t="shared" si="211"/>
        <v>0</v>
      </c>
      <c r="Y240" t="str">
        <f>'Green_rooibos initial weight'!A241</f>
        <v>G237</v>
      </c>
      <c r="Z240" t="str">
        <f>'Green_rooibos initial weight'!A1145</f>
        <v>R237</v>
      </c>
      <c r="AA240" t="b">
        <f t="shared" si="181"/>
        <v>0</v>
      </c>
      <c r="AB240" t="b">
        <f t="shared" si="182"/>
        <v>0</v>
      </c>
      <c r="AE240" t="str">
        <f>'WetLitterbags placem_collection'!O19</f>
        <v>G648</v>
      </c>
      <c r="AF240" t="str">
        <f>'WetLitterbags placem_collection'!Q19</f>
        <v>R380</v>
      </c>
      <c r="AG240" t="b">
        <f t="shared" si="183"/>
        <v>0</v>
      </c>
      <c r="AH240" t="b">
        <f t="shared" si="184"/>
        <v>0</v>
      </c>
      <c r="AJ240" t="b">
        <f t="shared" si="185"/>
        <v>0</v>
      </c>
      <c r="AK240" t="b">
        <f t="shared" si="186"/>
        <v>0</v>
      </c>
      <c r="AM240" t="str">
        <f>IF(ISBLANK('Dry_Litterbag Placem_Collection'!L19),"","G"&amp;""&amp;'Dry_Litterbag Placem_Collection'!L19)</f>
        <v>G349</v>
      </c>
      <c r="AN240" t="str">
        <f>IF(ISBLANK('Dry_Litterbag Placem_Collection'!M19),"","R"&amp;""&amp;'Dry_Litterbag Placem_Collection'!M19)</f>
        <v>R407</v>
      </c>
      <c r="AO240" t="b">
        <f t="shared" si="187"/>
        <v>0</v>
      </c>
      <c r="AP240" t="b">
        <f t="shared" si="188"/>
        <v>0</v>
      </c>
      <c r="AS240" t="str">
        <f>'Ashed teabags dry'!A238</f>
        <v>G482</v>
      </c>
      <c r="AT240" t="str">
        <f>'Ashed teabags dry'!A573</f>
        <v>R727</v>
      </c>
      <c r="AU240" t="b">
        <f t="shared" si="189"/>
        <v>0</v>
      </c>
      <c r="AV240" t="b">
        <f t="shared" si="212"/>
        <v>0</v>
      </c>
      <c r="AX240" s="388" t="b">
        <f t="shared" si="190"/>
        <v>0</v>
      </c>
      <c r="AY240" s="388" t="b">
        <f t="shared" si="191"/>
        <v>0</v>
      </c>
      <c r="BA240" t="str">
        <f>'Ashed teabags wet'!A238</f>
        <v>G676</v>
      </c>
      <c r="BB240" t="str">
        <f>'Ashed teabags wet'!A658</f>
        <v>R45</v>
      </c>
      <c r="BC240" t="b">
        <f t="shared" si="192"/>
        <v>0</v>
      </c>
      <c r="BD240" t="b">
        <f t="shared" si="172"/>
        <v>0</v>
      </c>
      <c r="BF240" t="str">
        <f t="shared" si="193"/>
        <v>G481</v>
      </c>
      <c r="BG240" t="str">
        <f t="shared" si="194"/>
        <v>G481</v>
      </c>
      <c r="BH240" t="str">
        <f t="shared" si="195"/>
        <v>G662</v>
      </c>
      <c r="BI240" t="str">
        <f t="shared" si="213"/>
        <v/>
      </c>
      <c r="BJ240" t="s">
        <v>1569</v>
      </c>
      <c r="BK240" t="s">
        <v>1569</v>
      </c>
      <c r="BL240" t="s">
        <v>1569</v>
      </c>
      <c r="BM240" t="b">
        <f t="shared" si="214"/>
        <v>1</v>
      </c>
      <c r="BN240" t="str">
        <f t="shared" si="196"/>
        <v>R726</v>
      </c>
      <c r="BO240" t="str">
        <f t="shared" si="197"/>
        <v>R726</v>
      </c>
      <c r="BP240" t="str">
        <f t="shared" si="198"/>
        <v>R687</v>
      </c>
      <c r="BQ240" t="str">
        <f t="shared" si="199"/>
        <v/>
      </c>
      <c r="BR240" t="s">
        <v>413</v>
      </c>
      <c r="BS240" t="s">
        <v>412</v>
      </c>
      <c r="BT240" t="s">
        <v>413</v>
      </c>
      <c r="BU240" t="b">
        <f t="shared" si="215"/>
        <v>1</v>
      </c>
      <c r="BZ240" t="str">
        <f t="shared" si="200"/>
        <v>G662</v>
      </c>
      <c r="CA240" t="b">
        <f t="shared" si="201"/>
        <v>1</v>
      </c>
      <c r="CB240" t="str">
        <f t="shared" si="216"/>
        <v/>
      </c>
      <c r="CC240" t="str">
        <f t="shared" si="202"/>
        <v>R687</v>
      </c>
      <c r="CD240" t="b">
        <f t="shared" si="217"/>
        <v>1</v>
      </c>
      <c r="CE240" t="str">
        <f t="shared" si="218"/>
        <v/>
      </c>
      <c r="CG240" t="str">
        <f t="shared" si="203"/>
        <v>G675</v>
      </c>
      <c r="CH240" t="str">
        <f t="shared" si="219"/>
        <v>G675</v>
      </c>
      <c r="CI240" t="str">
        <f t="shared" si="204"/>
        <v>G644</v>
      </c>
      <c r="CJ240" t="str">
        <f t="shared" si="205"/>
        <v>G644</v>
      </c>
      <c r="CK240" t="s">
        <v>1375</v>
      </c>
      <c r="CL240" t="s">
        <v>1375</v>
      </c>
      <c r="CM240" t="s">
        <v>1375</v>
      </c>
      <c r="CN240" t="b">
        <f t="shared" si="220"/>
        <v>1</v>
      </c>
      <c r="CO240" t="str">
        <f t="shared" si="206"/>
        <v>R449</v>
      </c>
      <c r="CP240" t="str">
        <f t="shared" si="221"/>
        <v>R449</v>
      </c>
      <c r="CQ240" t="str">
        <f t="shared" si="207"/>
        <v>R154</v>
      </c>
      <c r="CR240" t="str">
        <f t="shared" si="208"/>
        <v>R154</v>
      </c>
      <c r="CS240" t="s">
        <v>692</v>
      </c>
      <c r="CT240" t="s">
        <v>692</v>
      </c>
      <c r="CU240" t="s">
        <v>692</v>
      </c>
      <c r="CV240" t="b">
        <f t="shared" si="222"/>
        <v>1</v>
      </c>
      <c r="DC240" t="str">
        <f t="shared" si="209"/>
        <v>G644</v>
      </c>
      <c r="DD240" t="b">
        <f t="shared" si="223"/>
        <v>0</v>
      </c>
      <c r="DE240" t="str">
        <f t="shared" si="224"/>
        <v>G644</v>
      </c>
      <c r="DF240" t="str">
        <f t="shared" si="210"/>
        <v>R154</v>
      </c>
      <c r="DG240" t="b">
        <f t="shared" si="225"/>
        <v>0</v>
      </c>
      <c r="DH240" t="str">
        <f t="shared" si="226"/>
        <v>R154</v>
      </c>
    </row>
    <row r="241" spans="2:112" ht="12" customHeight="1">
      <c r="B241" t="str">
        <f>TBIDry!H313</f>
        <v>G113</v>
      </c>
      <c r="C241" t="str">
        <f>TBIDry!I313</f>
        <v>R361</v>
      </c>
      <c r="D241" t="b">
        <f t="shared" si="173"/>
        <v>0</v>
      </c>
      <c r="E241" t="b">
        <f t="shared" si="174"/>
        <v>0</v>
      </c>
      <c r="G241" t="str">
        <f>TBIWet!H313</f>
        <v>G573</v>
      </c>
      <c r="H241" t="str">
        <f>TBIWet!I313</f>
        <v>R274</v>
      </c>
      <c r="I241" t="b">
        <f t="shared" si="175"/>
        <v>0</v>
      </c>
      <c r="J241" t="b">
        <f t="shared" si="176"/>
        <v>0</v>
      </c>
      <c r="L241" t="str">
        <f>'Both teabags AfterWet'!A239</f>
        <v>G677</v>
      </c>
      <c r="M241" t="str">
        <f>'Both teabags AfterWet'!A659</f>
        <v>R450</v>
      </c>
      <c r="N241" t="b">
        <f t="shared" si="177"/>
        <v>0</v>
      </c>
      <c r="O241" t="b">
        <f t="shared" si="227"/>
        <v>0</v>
      </c>
      <c r="Q241" s="388" t="b">
        <f t="shared" si="178"/>
        <v>0</v>
      </c>
      <c r="R241" s="388" t="b">
        <f t="shared" si="179"/>
        <v>0</v>
      </c>
      <c r="T241" t="str">
        <f>'Both teabags AfterDry'!A239</f>
        <v>G484</v>
      </c>
      <c r="U241" t="str">
        <f>'Both teabags AfterDry'!A574</f>
        <v>R728</v>
      </c>
      <c r="V241" t="b">
        <f t="shared" si="180"/>
        <v>0</v>
      </c>
      <c r="W241" t="b">
        <f t="shared" si="211"/>
        <v>0</v>
      </c>
      <c r="Y241" t="str">
        <f>'Green_rooibos initial weight'!A242</f>
        <v>G238</v>
      </c>
      <c r="Z241" t="str">
        <f>'Green_rooibos initial weight'!A1146</f>
        <v>R238</v>
      </c>
      <c r="AA241" t="b">
        <f t="shared" si="181"/>
        <v>0</v>
      </c>
      <c r="AB241" t="b">
        <f t="shared" si="182"/>
        <v>0</v>
      </c>
      <c r="AE241" t="str">
        <f>'WetLitterbags placem_collection'!O20</f>
        <v>G573</v>
      </c>
      <c r="AF241" t="str">
        <f>'WetLitterbags placem_collection'!Q20</f>
        <v>R274</v>
      </c>
      <c r="AG241" t="b">
        <f t="shared" si="183"/>
        <v>0</v>
      </c>
      <c r="AH241" t="b">
        <f t="shared" si="184"/>
        <v>0</v>
      </c>
      <c r="AJ241" t="b">
        <f t="shared" si="185"/>
        <v>0</v>
      </c>
      <c r="AK241" t="b">
        <f t="shared" si="186"/>
        <v>0</v>
      </c>
      <c r="AM241" t="str">
        <f>IF(ISBLANK('Dry_Litterbag Placem_Collection'!L20),"","G"&amp;""&amp;'Dry_Litterbag Placem_Collection'!L20)</f>
        <v>G113</v>
      </c>
      <c r="AN241" t="str">
        <f>IF(ISBLANK('Dry_Litterbag Placem_Collection'!M20),"","R"&amp;""&amp;'Dry_Litterbag Placem_Collection'!M20)</f>
        <v>R361</v>
      </c>
      <c r="AO241" t="b">
        <f t="shared" si="187"/>
        <v>0</v>
      </c>
      <c r="AP241" t="b">
        <f t="shared" si="188"/>
        <v>0</v>
      </c>
      <c r="AS241" t="str">
        <f>'Ashed teabags dry'!A239</f>
        <v>G484</v>
      </c>
      <c r="AT241" t="str">
        <f>'Ashed teabags dry'!A574</f>
        <v>R728</v>
      </c>
      <c r="AU241" t="b">
        <f t="shared" si="189"/>
        <v>0</v>
      </c>
      <c r="AV241" t="b">
        <f t="shared" si="212"/>
        <v>0</v>
      </c>
      <c r="AX241" s="388" t="b">
        <f t="shared" si="190"/>
        <v>0</v>
      </c>
      <c r="AY241" s="388" t="b">
        <f t="shared" si="191"/>
        <v>0</v>
      </c>
      <c r="BA241" t="str">
        <f>'Ashed teabags wet'!A239</f>
        <v>G677</v>
      </c>
      <c r="BB241" t="str">
        <f>'Ashed teabags wet'!A659</f>
        <v>R450</v>
      </c>
      <c r="BC241" t="b">
        <f t="shared" si="192"/>
        <v>0</v>
      </c>
      <c r="BD241" t="b">
        <f t="shared" si="172"/>
        <v>0</v>
      </c>
      <c r="BF241" t="str">
        <f t="shared" si="193"/>
        <v>G482</v>
      </c>
      <c r="BG241" t="str">
        <f t="shared" si="194"/>
        <v>G482</v>
      </c>
      <c r="BH241" t="str">
        <f t="shared" si="195"/>
        <v>G349</v>
      </c>
      <c r="BI241" t="str">
        <f t="shared" si="213"/>
        <v>G349</v>
      </c>
      <c r="BJ241" t="s">
        <v>1568</v>
      </c>
      <c r="BK241" t="s">
        <v>1568</v>
      </c>
      <c r="BL241" t="s">
        <v>1568</v>
      </c>
      <c r="BM241" t="b">
        <f t="shared" si="214"/>
        <v>1</v>
      </c>
      <c r="BN241" t="str">
        <f t="shared" si="196"/>
        <v>R727</v>
      </c>
      <c r="BO241" t="str">
        <f t="shared" si="197"/>
        <v>R727</v>
      </c>
      <c r="BP241" t="str">
        <f t="shared" si="198"/>
        <v>R407</v>
      </c>
      <c r="BQ241" t="str">
        <f t="shared" si="199"/>
        <v>R407</v>
      </c>
      <c r="BR241" t="s">
        <v>412</v>
      </c>
      <c r="BS241" t="s">
        <v>411</v>
      </c>
      <c r="BT241" t="s">
        <v>412</v>
      </c>
      <c r="BU241" t="b">
        <f t="shared" si="215"/>
        <v>1</v>
      </c>
      <c r="BZ241" t="str">
        <f t="shared" si="200"/>
        <v>G349</v>
      </c>
      <c r="CA241" t="b">
        <f t="shared" si="201"/>
        <v>0</v>
      </c>
      <c r="CB241" t="str">
        <f t="shared" si="216"/>
        <v>G349</v>
      </c>
      <c r="CC241" t="str">
        <f t="shared" si="202"/>
        <v>R407</v>
      </c>
      <c r="CD241" t="b">
        <f t="shared" si="217"/>
        <v>0</v>
      </c>
      <c r="CE241" t="str">
        <f t="shared" si="218"/>
        <v>R407</v>
      </c>
      <c r="CG241" t="str">
        <f t="shared" si="203"/>
        <v>G676</v>
      </c>
      <c r="CH241" t="str">
        <f t="shared" si="219"/>
        <v>G676</v>
      </c>
      <c r="CI241" t="str">
        <f t="shared" si="204"/>
        <v>G648</v>
      </c>
      <c r="CJ241" t="str">
        <f t="shared" si="205"/>
        <v>G648</v>
      </c>
      <c r="CK241" t="s">
        <v>1374</v>
      </c>
      <c r="CL241" t="s">
        <v>1374</v>
      </c>
      <c r="CM241" t="s">
        <v>1374</v>
      </c>
      <c r="CN241" t="b">
        <f t="shared" si="220"/>
        <v>1</v>
      </c>
      <c r="CO241" t="str">
        <f t="shared" si="206"/>
        <v>R45</v>
      </c>
      <c r="CP241" t="str">
        <f t="shared" si="221"/>
        <v>R45</v>
      </c>
      <c r="CQ241" t="str">
        <f t="shared" si="207"/>
        <v>R380</v>
      </c>
      <c r="CR241" t="str">
        <f t="shared" si="208"/>
        <v>R380</v>
      </c>
      <c r="CS241" t="s">
        <v>1096</v>
      </c>
      <c r="CT241" t="s">
        <v>1096</v>
      </c>
      <c r="CU241" t="s">
        <v>1096</v>
      </c>
      <c r="CV241" t="b">
        <f t="shared" si="222"/>
        <v>1</v>
      </c>
      <c r="DC241" t="str">
        <f t="shared" si="209"/>
        <v>G648</v>
      </c>
      <c r="DD241" t="b">
        <f t="shared" si="223"/>
        <v>0</v>
      </c>
      <c r="DE241" t="str">
        <f t="shared" si="224"/>
        <v>G648</v>
      </c>
      <c r="DF241" t="str">
        <f t="shared" si="210"/>
        <v>R380</v>
      </c>
      <c r="DG241" t="b">
        <f t="shared" si="225"/>
        <v>0</v>
      </c>
      <c r="DH241" t="str">
        <f t="shared" si="226"/>
        <v>R380</v>
      </c>
    </row>
    <row r="242" spans="2:112" ht="12" customHeight="1">
      <c r="B242" t="str">
        <f>TBIDry!H314</f>
        <v>G394</v>
      </c>
      <c r="C242" t="str">
        <f>TBIDry!I314</f>
        <v>R280</v>
      </c>
      <c r="D242" t="b">
        <f t="shared" si="173"/>
        <v>0</v>
      </c>
      <c r="E242" t="b">
        <f t="shared" si="174"/>
        <v>0</v>
      </c>
      <c r="G242" t="str">
        <f>TBIWet!H314</f>
        <v>G639</v>
      </c>
      <c r="H242" t="str">
        <f>TBIWet!I314</f>
        <v>R566</v>
      </c>
      <c r="I242" t="b">
        <f t="shared" si="175"/>
        <v>0</v>
      </c>
      <c r="J242" t="b">
        <f t="shared" si="176"/>
        <v>0</v>
      </c>
      <c r="L242" t="str">
        <f>'Both teabags AfterWet'!A240</f>
        <v>G678</v>
      </c>
      <c r="M242" t="str">
        <f>'Both teabags AfterWet'!A660</f>
        <v>R451</v>
      </c>
      <c r="N242" t="b">
        <f t="shared" si="177"/>
        <v>0</v>
      </c>
      <c r="O242" t="b">
        <f t="shared" si="227"/>
        <v>0</v>
      </c>
      <c r="Q242" s="388" t="b">
        <f t="shared" si="178"/>
        <v>0</v>
      </c>
      <c r="R242" s="388" t="b">
        <f t="shared" si="179"/>
        <v>0</v>
      </c>
      <c r="T242" t="str">
        <f>'Both teabags AfterDry'!A240</f>
        <v>G485</v>
      </c>
      <c r="U242" t="str">
        <f>'Both teabags AfterDry'!A575</f>
        <v>R729</v>
      </c>
      <c r="V242" t="b">
        <f t="shared" si="180"/>
        <v>0</v>
      </c>
      <c r="W242" t="b">
        <f t="shared" si="211"/>
        <v>0</v>
      </c>
      <c r="Y242" t="str">
        <f>'Green_rooibos initial weight'!A243</f>
        <v>G239</v>
      </c>
      <c r="Z242" t="str">
        <f>'Green_rooibos initial weight'!A1147</f>
        <v>R239</v>
      </c>
      <c r="AA242" t="b">
        <f t="shared" si="181"/>
        <v>0</v>
      </c>
      <c r="AB242" t="b">
        <f t="shared" si="182"/>
        <v>0</v>
      </c>
      <c r="AE242" t="str">
        <f>'WetLitterbags placem_collection'!O21</f>
        <v>G639</v>
      </c>
      <c r="AF242" t="str">
        <f>'WetLitterbags placem_collection'!Q21</f>
        <v>R566</v>
      </c>
      <c r="AG242" t="b">
        <f t="shared" si="183"/>
        <v>0</v>
      </c>
      <c r="AH242" t="b">
        <f t="shared" si="184"/>
        <v>0</v>
      </c>
      <c r="AJ242" t="b">
        <f t="shared" si="185"/>
        <v>0</v>
      </c>
      <c r="AK242" t="b">
        <f t="shared" si="186"/>
        <v>0</v>
      </c>
      <c r="AM242" t="str">
        <f>IF(ISBLANK('Dry_Litterbag Placem_Collection'!L21),"","G"&amp;""&amp;'Dry_Litterbag Placem_Collection'!L21)</f>
        <v>G394</v>
      </c>
      <c r="AN242" t="str">
        <f>IF(ISBLANK('Dry_Litterbag Placem_Collection'!M21),"","R"&amp;""&amp;'Dry_Litterbag Placem_Collection'!M21)</f>
        <v>R280</v>
      </c>
      <c r="AO242" t="b">
        <f t="shared" si="187"/>
        <v>0</v>
      </c>
      <c r="AP242" t="b">
        <f t="shared" si="188"/>
        <v>0</v>
      </c>
      <c r="AS242" t="str">
        <f>'Ashed teabags dry'!A240</f>
        <v>G485</v>
      </c>
      <c r="AT242" t="str">
        <f>'Ashed teabags dry'!A575</f>
        <v>R729</v>
      </c>
      <c r="AU242" t="b">
        <f t="shared" si="189"/>
        <v>0</v>
      </c>
      <c r="AV242" t="b">
        <f t="shared" si="212"/>
        <v>0</v>
      </c>
      <c r="AX242" s="388" t="b">
        <f t="shared" si="190"/>
        <v>0</v>
      </c>
      <c r="AY242" s="388" t="b">
        <f t="shared" si="191"/>
        <v>0</v>
      </c>
      <c r="BA242" t="str">
        <f>'Ashed teabags wet'!A240</f>
        <v>G678</v>
      </c>
      <c r="BB242" t="str">
        <f>'Ashed teabags wet'!A660</f>
        <v>R451</v>
      </c>
      <c r="BC242" t="b">
        <f t="shared" si="192"/>
        <v>0</v>
      </c>
      <c r="BD242" t="b">
        <f t="shared" si="172"/>
        <v>0</v>
      </c>
      <c r="BF242" t="str">
        <f t="shared" si="193"/>
        <v>G484</v>
      </c>
      <c r="BG242" t="str">
        <f t="shared" si="194"/>
        <v>G484</v>
      </c>
      <c r="BH242" t="str">
        <f t="shared" si="195"/>
        <v>G113</v>
      </c>
      <c r="BI242" t="str">
        <f t="shared" si="213"/>
        <v>G113</v>
      </c>
      <c r="BJ242" t="s">
        <v>1566</v>
      </c>
      <c r="BK242" t="s">
        <v>1566</v>
      </c>
      <c r="BL242" t="s">
        <v>1566</v>
      </c>
      <c r="BM242" t="b">
        <f t="shared" si="214"/>
        <v>1</v>
      </c>
      <c r="BN242" t="str">
        <f t="shared" si="196"/>
        <v>R728</v>
      </c>
      <c r="BO242" t="str">
        <f t="shared" si="197"/>
        <v>R728</v>
      </c>
      <c r="BP242" t="str">
        <f t="shared" si="198"/>
        <v>R361</v>
      </c>
      <c r="BQ242" t="str">
        <f t="shared" si="199"/>
        <v>R361</v>
      </c>
      <c r="BR242" t="s">
        <v>411</v>
      </c>
      <c r="BS242" t="s">
        <v>410</v>
      </c>
      <c r="BT242" t="s">
        <v>411</v>
      </c>
      <c r="BU242" t="b">
        <f t="shared" si="215"/>
        <v>1</v>
      </c>
      <c r="BZ242" t="str">
        <f t="shared" si="200"/>
        <v>G113</v>
      </c>
      <c r="CA242" t="b">
        <f t="shared" si="201"/>
        <v>0</v>
      </c>
      <c r="CB242" t="str">
        <f t="shared" si="216"/>
        <v>G113</v>
      </c>
      <c r="CC242" t="str">
        <f t="shared" si="202"/>
        <v>R361</v>
      </c>
      <c r="CD242" t="b">
        <f t="shared" si="217"/>
        <v>0</v>
      </c>
      <c r="CE242" t="str">
        <f t="shared" si="218"/>
        <v>R361</v>
      </c>
      <c r="CG242" t="str">
        <f t="shared" si="203"/>
        <v>G677</v>
      </c>
      <c r="CH242" t="str">
        <f t="shared" si="219"/>
        <v>G677</v>
      </c>
      <c r="CI242" t="str">
        <f t="shared" si="204"/>
        <v>G573</v>
      </c>
      <c r="CJ242" t="str">
        <f t="shared" si="205"/>
        <v>G573</v>
      </c>
      <c r="CK242" t="s">
        <v>1373</v>
      </c>
      <c r="CL242" t="s">
        <v>1373</v>
      </c>
      <c r="CM242" t="s">
        <v>1373</v>
      </c>
      <c r="CN242" t="b">
        <f t="shared" si="220"/>
        <v>1</v>
      </c>
      <c r="CO242" t="str">
        <f t="shared" si="206"/>
        <v>R450</v>
      </c>
      <c r="CP242" t="str">
        <f t="shared" si="221"/>
        <v>R450</v>
      </c>
      <c r="CQ242" t="str">
        <f t="shared" si="207"/>
        <v>R274</v>
      </c>
      <c r="CR242" t="str">
        <f t="shared" si="208"/>
        <v>R274</v>
      </c>
      <c r="CS242" t="s">
        <v>691</v>
      </c>
      <c r="CT242" t="s">
        <v>691</v>
      </c>
      <c r="CU242" t="s">
        <v>691</v>
      </c>
      <c r="CV242" t="b">
        <f t="shared" si="222"/>
        <v>1</v>
      </c>
      <c r="DC242" t="str">
        <f t="shared" si="209"/>
        <v>G573</v>
      </c>
      <c r="DD242" t="b">
        <f t="shared" si="223"/>
        <v>0</v>
      </c>
      <c r="DE242" t="str">
        <f t="shared" si="224"/>
        <v>G573</v>
      </c>
      <c r="DF242" t="str">
        <f t="shared" si="210"/>
        <v>R274</v>
      </c>
      <c r="DG242" t="b">
        <f t="shared" si="225"/>
        <v>0</v>
      </c>
      <c r="DH242" t="str">
        <f t="shared" si="226"/>
        <v>R274</v>
      </c>
    </row>
    <row r="243" spans="2:112" ht="12" customHeight="1">
      <c r="B243" t="str">
        <f>TBIDry!H315</f>
        <v>G79</v>
      </c>
      <c r="C243" t="str">
        <f>TBIDry!I315</f>
        <v>R320</v>
      </c>
      <c r="D243" t="b">
        <f t="shared" si="173"/>
        <v>0</v>
      </c>
      <c r="E243" t="b">
        <f t="shared" si="174"/>
        <v>0</v>
      </c>
      <c r="G243" t="str">
        <f>TBIWet!H315</f>
        <v>G505</v>
      </c>
      <c r="H243" t="str">
        <f>TBIWet!I315</f>
        <v>R110</v>
      </c>
      <c r="I243" t="b">
        <f t="shared" si="175"/>
        <v>0</v>
      </c>
      <c r="J243" t="b">
        <f t="shared" si="176"/>
        <v>0</v>
      </c>
      <c r="L243" t="str">
        <f>'Both teabags AfterWet'!A241</f>
        <v>G679</v>
      </c>
      <c r="M243" t="str">
        <f>'Both teabags AfterWet'!A661</f>
        <v>R452</v>
      </c>
      <c r="N243" t="b">
        <f t="shared" si="177"/>
        <v>0</v>
      </c>
      <c r="O243" t="b">
        <f t="shared" si="227"/>
        <v>0</v>
      </c>
      <c r="Q243" s="388" t="b">
        <f t="shared" si="178"/>
        <v>0</v>
      </c>
      <c r="R243" s="388" t="b">
        <f t="shared" si="179"/>
        <v>0</v>
      </c>
      <c r="T243" t="str">
        <f>'Both teabags AfterDry'!A241</f>
        <v>G49</v>
      </c>
      <c r="U243" t="str">
        <f>'Both teabags AfterDry'!A576</f>
        <v>R732</v>
      </c>
      <c r="V243" t="b">
        <f t="shared" si="180"/>
        <v>0</v>
      </c>
      <c r="W243" t="b">
        <f t="shared" si="211"/>
        <v>0</v>
      </c>
      <c r="Y243" t="str">
        <f>'Green_rooibos initial weight'!A244</f>
        <v>G240</v>
      </c>
      <c r="Z243" t="str">
        <f>'Green_rooibos initial weight'!A1148</f>
        <v>R240</v>
      </c>
      <c r="AA243" t="b">
        <f t="shared" si="181"/>
        <v>0</v>
      </c>
      <c r="AB243" t="b">
        <f t="shared" si="182"/>
        <v>0</v>
      </c>
      <c r="AE243" t="str">
        <f>'WetLitterbags placem_collection'!O22</f>
        <v>G505</v>
      </c>
      <c r="AF243" t="str">
        <f>'WetLitterbags placem_collection'!Q22</f>
        <v>R110</v>
      </c>
      <c r="AG243" t="b">
        <f t="shared" si="183"/>
        <v>0</v>
      </c>
      <c r="AH243" t="b">
        <f t="shared" si="184"/>
        <v>0</v>
      </c>
      <c r="AJ243" t="b">
        <f t="shared" si="185"/>
        <v>0</v>
      </c>
      <c r="AK243" t="b">
        <f t="shared" si="186"/>
        <v>0</v>
      </c>
      <c r="AM243" t="str">
        <f>IF(ISBLANK('Dry_Litterbag Placem_Collection'!L22),"","G"&amp;""&amp;'Dry_Litterbag Placem_Collection'!L22)</f>
        <v>G79</v>
      </c>
      <c r="AN243" t="str">
        <f>IF(ISBLANK('Dry_Litterbag Placem_Collection'!M22),"","R"&amp;""&amp;'Dry_Litterbag Placem_Collection'!M22)</f>
        <v>R320</v>
      </c>
      <c r="AO243" t="b">
        <f t="shared" si="187"/>
        <v>0</v>
      </c>
      <c r="AP243" t="b">
        <f t="shared" si="188"/>
        <v>0</v>
      </c>
      <c r="AS243" t="str">
        <f>'Ashed teabags dry'!A241</f>
        <v>G49</v>
      </c>
      <c r="AT243" t="str">
        <f>'Ashed teabags dry'!A576</f>
        <v>R732</v>
      </c>
      <c r="AU243" t="b">
        <f t="shared" si="189"/>
        <v>0</v>
      </c>
      <c r="AV243" t="b">
        <f t="shared" si="212"/>
        <v>0</v>
      </c>
      <c r="AX243" s="388" t="b">
        <f t="shared" si="190"/>
        <v>0</v>
      </c>
      <c r="AY243" s="388" t="b">
        <f t="shared" si="191"/>
        <v>0</v>
      </c>
      <c r="BA243" t="str">
        <f>'Ashed teabags wet'!A241</f>
        <v>G679</v>
      </c>
      <c r="BB243" t="str">
        <f>'Ashed teabags wet'!A661</f>
        <v>R452</v>
      </c>
      <c r="BC243" t="b">
        <f t="shared" si="192"/>
        <v>0</v>
      </c>
      <c r="BD243" t="b">
        <f t="shared" si="172"/>
        <v>0</v>
      </c>
      <c r="BF243" t="str">
        <f t="shared" si="193"/>
        <v>G485</v>
      </c>
      <c r="BG243" t="str">
        <f t="shared" si="194"/>
        <v>G485</v>
      </c>
      <c r="BH243" t="str">
        <f t="shared" si="195"/>
        <v>G394</v>
      </c>
      <c r="BI243" t="str">
        <f t="shared" si="213"/>
        <v>G394</v>
      </c>
      <c r="BJ243" t="s">
        <v>1565</v>
      </c>
      <c r="BK243" t="s">
        <v>1565</v>
      </c>
      <c r="BL243" t="s">
        <v>1565</v>
      </c>
      <c r="BM243" t="b">
        <f t="shared" si="214"/>
        <v>1</v>
      </c>
      <c r="BN243" t="str">
        <f t="shared" si="196"/>
        <v>R729</v>
      </c>
      <c r="BO243" t="str">
        <f t="shared" si="197"/>
        <v>R729</v>
      </c>
      <c r="BP243" t="str">
        <f t="shared" si="198"/>
        <v>R280</v>
      </c>
      <c r="BQ243" t="str">
        <f t="shared" si="199"/>
        <v>R280</v>
      </c>
      <c r="BR243" t="s">
        <v>410</v>
      </c>
      <c r="BS243" t="s">
        <v>407</v>
      </c>
      <c r="BT243" t="s">
        <v>410</v>
      </c>
      <c r="BU243" t="b">
        <f t="shared" si="215"/>
        <v>1</v>
      </c>
      <c r="BZ243" t="str">
        <f t="shared" si="200"/>
        <v>G394</v>
      </c>
      <c r="CA243" t="b">
        <f t="shared" si="201"/>
        <v>0</v>
      </c>
      <c r="CB243" t="str">
        <f t="shared" si="216"/>
        <v>G394</v>
      </c>
      <c r="CC243" t="str">
        <f t="shared" si="202"/>
        <v>R280</v>
      </c>
      <c r="CD243" t="b">
        <f t="shared" si="217"/>
        <v>0</v>
      </c>
      <c r="CE243" t="str">
        <f t="shared" si="218"/>
        <v>R280</v>
      </c>
      <c r="CG243" t="str">
        <f t="shared" si="203"/>
        <v>G678</v>
      </c>
      <c r="CH243" t="str">
        <f t="shared" si="219"/>
        <v>G678</v>
      </c>
      <c r="CI243" t="str">
        <f t="shared" si="204"/>
        <v>G639</v>
      </c>
      <c r="CJ243" t="str">
        <f t="shared" si="205"/>
        <v>G639</v>
      </c>
      <c r="CK243" t="s">
        <v>1372</v>
      </c>
      <c r="CL243" t="s">
        <v>1372</v>
      </c>
      <c r="CM243" t="s">
        <v>1372</v>
      </c>
      <c r="CN243" t="b">
        <f t="shared" si="220"/>
        <v>1</v>
      </c>
      <c r="CO243" t="str">
        <f t="shared" si="206"/>
        <v>R451</v>
      </c>
      <c r="CP243" t="str">
        <f t="shared" si="221"/>
        <v>R451</v>
      </c>
      <c r="CQ243" t="str">
        <f t="shared" si="207"/>
        <v>R566</v>
      </c>
      <c r="CR243" t="str">
        <f t="shared" si="208"/>
        <v>R566</v>
      </c>
      <c r="CS243" t="s">
        <v>690</v>
      </c>
      <c r="CT243" t="s">
        <v>690</v>
      </c>
      <c r="CU243" t="s">
        <v>690</v>
      </c>
      <c r="CV243" t="b">
        <f t="shared" si="222"/>
        <v>1</v>
      </c>
      <c r="DC243" t="str">
        <f t="shared" si="209"/>
        <v>G639</v>
      </c>
      <c r="DD243" t="b">
        <f t="shared" si="223"/>
        <v>0</v>
      </c>
      <c r="DE243" t="str">
        <f t="shared" si="224"/>
        <v>G639</v>
      </c>
      <c r="DF243" t="str">
        <f t="shared" si="210"/>
        <v>R566</v>
      </c>
      <c r="DG243" t="b">
        <f t="shared" si="225"/>
        <v>0</v>
      </c>
      <c r="DH243" t="str">
        <f t="shared" si="226"/>
        <v>R566</v>
      </c>
    </row>
    <row r="244" spans="2:112" ht="12" customHeight="1">
      <c r="B244" t="str">
        <f>TBIDry!H316</f>
        <v>G488</v>
      </c>
      <c r="C244" t="str">
        <f>TBIDry!I316</f>
        <v>R209</v>
      </c>
      <c r="D244" t="b">
        <f t="shared" si="173"/>
        <v>0</v>
      </c>
      <c r="E244" t="b">
        <f t="shared" si="174"/>
        <v>0</v>
      </c>
      <c r="G244" t="str">
        <f>TBIWet!H316</f>
        <v>G721</v>
      </c>
      <c r="H244" t="str">
        <f>TBIWet!I316</f>
        <v>R79</v>
      </c>
      <c r="I244" t="b">
        <f t="shared" si="175"/>
        <v>0</v>
      </c>
      <c r="J244" s="113" t="b">
        <f t="shared" si="176"/>
        <v>0</v>
      </c>
      <c r="L244" t="str">
        <f>'Both teabags AfterWet'!A242</f>
        <v>G680</v>
      </c>
      <c r="M244" t="str">
        <f>'Both teabags AfterWet'!A662</f>
        <v>R453</v>
      </c>
      <c r="N244" t="b">
        <f t="shared" si="177"/>
        <v>0</v>
      </c>
      <c r="O244" t="b">
        <f t="shared" si="227"/>
        <v>0</v>
      </c>
      <c r="Q244" s="388" t="b">
        <f t="shared" si="178"/>
        <v>0</v>
      </c>
      <c r="R244" s="388" t="b">
        <f t="shared" si="179"/>
        <v>0</v>
      </c>
      <c r="T244" t="str">
        <f>'Both teabags AfterDry'!A242</f>
        <v>G490</v>
      </c>
      <c r="U244" t="str">
        <f>'Both teabags AfterDry'!A577</f>
        <v>R733</v>
      </c>
      <c r="V244" t="b">
        <f t="shared" si="180"/>
        <v>0</v>
      </c>
      <c r="W244" t="b">
        <f t="shared" si="211"/>
        <v>0</v>
      </c>
      <c r="Y244" t="str">
        <f>'Green_rooibos initial weight'!A245</f>
        <v>G241</v>
      </c>
      <c r="Z244" t="str">
        <f>'Green_rooibos initial weight'!A1149</f>
        <v>R241</v>
      </c>
      <c r="AA244" t="b">
        <f t="shared" si="181"/>
        <v>0</v>
      </c>
      <c r="AB244" t="b">
        <f t="shared" si="182"/>
        <v>0</v>
      </c>
      <c r="AE244" t="str">
        <f>'WetLitterbags placem_collection'!O23</f>
        <v>G721</v>
      </c>
      <c r="AF244" t="str">
        <f>'WetLitterbags placem_collection'!Q23</f>
        <v>R79</v>
      </c>
      <c r="AG244" t="b">
        <f t="shared" si="183"/>
        <v>0</v>
      </c>
      <c r="AH244" t="b">
        <f t="shared" si="184"/>
        <v>0</v>
      </c>
      <c r="AJ244" t="b">
        <f t="shared" si="185"/>
        <v>0</v>
      </c>
      <c r="AK244" t="b">
        <f t="shared" si="186"/>
        <v>0</v>
      </c>
      <c r="AM244" t="str">
        <f>IF(ISBLANK('Dry_Litterbag Placem_Collection'!L23),"","G"&amp;""&amp;'Dry_Litterbag Placem_Collection'!L23)</f>
        <v>G488</v>
      </c>
      <c r="AN244" t="str">
        <f>IF(ISBLANK('Dry_Litterbag Placem_Collection'!M23),"","R"&amp;""&amp;'Dry_Litterbag Placem_Collection'!M23)</f>
        <v>R209</v>
      </c>
      <c r="AO244" t="b">
        <f t="shared" si="187"/>
        <v>0</v>
      </c>
      <c r="AP244" t="b">
        <f t="shared" si="188"/>
        <v>0</v>
      </c>
      <c r="AS244" t="str">
        <f>'Ashed teabags dry'!A242</f>
        <v>G490</v>
      </c>
      <c r="AT244" t="str">
        <f>'Ashed teabags dry'!A577</f>
        <v>R733</v>
      </c>
      <c r="AU244" t="b">
        <f t="shared" si="189"/>
        <v>0</v>
      </c>
      <c r="AV244" t="b">
        <f t="shared" si="212"/>
        <v>0</v>
      </c>
      <c r="AX244" s="388" t="b">
        <f t="shared" si="190"/>
        <v>0</v>
      </c>
      <c r="AY244" s="388" t="b">
        <f t="shared" si="191"/>
        <v>0</v>
      </c>
      <c r="BA244" t="str">
        <f>'Ashed teabags wet'!A242</f>
        <v>G680</v>
      </c>
      <c r="BB244" t="str">
        <f>'Ashed teabags wet'!A662</f>
        <v>R453</v>
      </c>
      <c r="BC244" t="b">
        <f t="shared" si="192"/>
        <v>0</v>
      </c>
      <c r="BD244" t="b">
        <f t="shared" si="172"/>
        <v>0</v>
      </c>
      <c r="BF244" t="str">
        <f t="shared" si="193"/>
        <v>G49</v>
      </c>
      <c r="BG244" t="str">
        <f t="shared" si="194"/>
        <v>G49</v>
      </c>
      <c r="BH244" t="str">
        <f t="shared" si="195"/>
        <v>G79</v>
      </c>
      <c r="BI244" t="str">
        <f t="shared" si="213"/>
        <v>G79</v>
      </c>
      <c r="BJ244" t="s">
        <v>2001</v>
      </c>
      <c r="BK244" t="s">
        <v>2001</v>
      </c>
      <c r="BL244" t="s">
        <v>2001</v>
      </c>
      <c r="BM244" t="b">
        <f t="shared" si="214"/>
        <v>1</v>
      </c>
      <c r="BN244" t="str">
        <f t="shared" si="196"/>
        <v>R732</v>
      </c>
      <c r="BO244" t="str">
        <f t="shared" si="197"/>
        <v>R732</v>
      </c>
      <c r="BP244" t="str">
        <f t="shared" si="198"/>
        <v>R320</v>
      </c>
      <c r="BQ244" t="str">
        <f t="shared" si="199"/>
        <v>R320</v>
      </c>
      <c r="BR244" t="s">
        <v>407</v>
      </c>
      <c r="BS244" t="s">
        <v>406</v>
      </c>
      <c r="BT244" t="s">
        <v>407</v>
      </c>
      <c r="BU244" t="b">
        <f t="shared" si="215"/>
        <v>1</v>
      </c>
      <c r="BZ244" t="str">
        <f t="shared" si="200"/>
        <v>G79</v>
      </c>
      <c r="CA244" t="b">
        <f t="shared" si="201"/>
        <v>0</v>
      </c>
      <c r="CB244" t="str">
        <f t="shared" si="216"/>
        <v>G79</v>
      </c>
      <c r="CC244" t="str">
        <f t="shared" si="202"/>
        <v>R320</v>
      </c>
      <c r="CD244" t="b">
        <f t="shared" si="217"/>
        <v>0</v>
      </c>
      <c r="CE244" t="str">
        <f t="shared" si="218"/>
        <v>R320</v>
      </c>
      <c r="CG244" t="str">
        <f t="shared" si="203"/>
        <v>G679</v>
      </c>
      <c r="CH244" t="str">
        <f t="shared" si="219"/>
        <v>G679</v>
      </c>
      <c r="CI244" t="str">
        <f t="shared" si="204"/>
        <v>G505</v>
      </c>
      <c r="CJ244" t="str">
        <f t="shared" si="205"/>
        <v>G505</v>
      </c>
      <c r="CK244" t="s">
        <v>1371</v>
      </c>
      <c r="CL244" t="s">
        <v>1371</v>
      </c>
      <c r="CM244" t="s">
        <v>1371</v>
      </c>
      <c r="CN244" t="b">
        <f t="shared" si="220"/>
        <v>1</v>
      </c>
      <c r="CO244" t="str">
        <f t="shared" si="206"/>
        <v>R452</v>
      </c>
      <c r="CP244" t="str">
        <f t="shared" si="221"/>
        <v>R452</v>
      </c>
      <c r="CQ244" t="str">
        <f t="shared" si="207"/>
        <v>R110</v>
      </c>
      <c r="CR244" t="str">
        <f t="shared" si="208"/>
        <v>R110</v>
      </c>
      <c r="CS244" t="s">
        <v>689</v>
      </c>
      <c r="CT244" t="s">
        <v>689</v>
      </c>
      <c r="CU244" t="s">
        <v>689</v>
      </c>
      <c r="CV244" t="b">
        <f t="shared" si="222"/>
        <v>1</v>
      </c>
      <c r="DC244" t="str">
        <f t="shared" si="209"/>
        <v>G505</v>
      </c>
      <c r="DD244" t="b">
        <f t="shared" si="223"/>
        <v>0</v>
      </c>
      <c r="DE244" t="str">
        <f t="shared" si="224"/>
        <v>G505</v>
      </c>
      <c r="DF244" t="str">
        <f t="shared" si="210"/>
        <v>R110</v>
      </c>
      <c r="DG244" t="b">
        <f t="shared" si="225"/>
        <v>0</v>
      </c>
      <c r="DH244" t="str">
        <f t="shared" si="226"/>
        <v>R110</v>
      </c>
    </row>
    <row r="245" spans="2:112" ht="12" customHeight="1">
      <c r="B245" t="str">
        <f>TBIDry!H317</f>
        <v>G750</v>
      </c>
      <c r="C245" t="str">
        <f>TBIDry!I317</f>
        <v>R646</v>
      </c>
      <c r="D245" t="b">
        <f t="shared" si="173"/>
        <v>0</v>
      </c>
      <c r="E245" t="b">
        <f t="shared" si="174"/>
        <v>0</v>
      </c>
      <c r="G245" t="str">
        <f>TBIWet!H317</f>
        <v>G552</v>
      </c>
      <c r="H245" t="str">
        <f>TBIWet!I317</f>
        <v>R45</v>
      </c>
      <c r="I245" t="b">
        <f t="shared" si="175"/>
        <v>0</v>
      </c>
      <c r="J245" t="b">
        <f t="shared" si="176"/>
        <v>0</v>
      </c>
      <c r="L245" t="str">
        <f>'Both teabags AfterWet'!A243</f>
        <v>G681</v>
      </c>
      <c r="M245" t="str">
        <f>'Both teabags AfterWet'!A663</f>
        <v>R454</v>
      </c>
      <c r="N245" t="b">
        <f t="shared" si="177"/>
        <v>0</v>
      </c>
      <c r="O245" t="b">
        <f t="shared" si="227"/>
        <v>0</v>
      </c>
      <c r="Q245" s="388" t="b">
        <f t="shared" si="178"/>
        <v>0</v>
      </c>
      <c r="R245" s="388" t="b">
        <f t="shared" si="179"/>
        <v>0</v>
      </c>
      <c r="T245" t="str">
        <f>'Both teabags AfterDry'!A243</f>
        <v>G493</v>
      </c>
      <c r="U245" t="str">
        <f>'Both teabags AfterDry'!A578</f>
        <v>R734</v>
      </c>
      <c r="V245" t="b">
        <f t="shared" si="180"/>
        <v>0</v>
      </c>
      <c r="W245" t="b">
        <f t="shared" si="211"/>
        <v>0</v>
      </c>
      <c r="Y245" t="str">
        <f>'Green_rooibos initial weight'!A246</f>
        <v>G242</v>
      </c>
      <c r="Z245" t="str">
        <f>'Green_rooibos initial weight'!A1150</f>
        <v>R242</v>
      </c>
      <c r="AA245" t="b">
        <f t="shared" si="181"/>
        <v>0</v>
      </c>
      <c r="AB245" t="b">
        <f t="shared" si="182"/>
        <v>0</v>
      </c>
      <c r="AE245" t="str">
        <f>'WetLitterbags placem_collection'!O24</f>
        <v>G552</v>
      </c>
      <c r="AF245" t="str">
        <f>'WetLitterbags placem_collection'!Q24</f>
        <v>R45</v>
      </c>
      <c r="AG245" t="b">
        <f t="shared" si="183"/>
        <v>0</v>
      </c>
      <c r="AH245" t="b">
        <f t="shared" si="184"/>
        <v>0</v>
      </c>
      <c r="AJ245" t="b">
        <f t="shared" si="185"/>
        <v>0</v>
      </c>
      <c r="AK245" t="b">
        <f t="shared" si="186"/>
        <v>0</v>
      </c>
      <c r="AM245" t="str">
        <f>IF(ISBLANK('Dry_Litterbag Placem_Collection'!L24),"","G"&amp;""&amp;'Dry_Litterbag Placem_Collection'!L24)</f>
        <v>G750</v>
      </c>
      <c r="AN245" t="str">
        <f>IF(ISBLANK('Dry_Litterbag Placem_Collection'!M24),"","R"&amp;""&amp;'Dry_Litterbag Placem_Collection'!M24)</f>
        <v>R646</v>
      </c>
      <c r="AO245" t="b">
        <f t="shared" si="187"/>
        <v>0</v>
      </c>
      <c r="AP245" t="b">
        <f t="shared" si="188"/>
        <v>0</v>
      </c>
      <c r="AS245" t="str">
        <f>'Ashed teabags dry'!A243</f>
        <v>G493</v>
      </c>
      <c r="AT245" t="str">
        <f>'Ashed teabags dry'!A578</f>
        <v>R734</v>
      </c>
      <c r="AU245" t="b">
        <f t="shared" si="189"/>
        <v>0</v>
      </c>
      <c r="AV245" t="b">
        <f t="shared" si="212"/>
        <v>0</v>
      </c>
      <c r="AX245" s="388" t="b">
        <f t="shared" si="190"/>
        <v>0</v>
      </c>
      <c r="AY245" s="388" t="b">
        <f t="shared" si="191"/>
        <v>0</v>
      </c>
      <c r="BA245" t="str">
        <f>'Ashed teabags wet'!A243</f>
        <v>G681</v>
      </c>
      <c r="BB245" t="str">
        <f>'Ashed teabags wet'!A663</f>
        <v>R454</v>
      </c>
      <c r="BC245" t="b">
        <f t="shared" si="192"/>
        <v>0</v>
      </c>
      <c r="BD245" t="b">
        <f t="shared" si="172"/>
        <v>0</v>
      </c>
      <c r="BF245" t="str">
        <f t="shared" si="193"/>
        <v>G490</v>
      </c>
      <c r="BG245" t="str">
        <f t="shared" si="194"/>
        <v>G490</v>
      </c>
      <c r="BH245" t="str">
        <f t="shared" si="195"/>
        <v>G488</v>
      </c>
      <c r="BI245" t="str">
        <f t="shared" si="213"/>
        <v/>
      </c>
      <c r="BJ245" t="s">
        <v>1560</v>
      </c>
      <c r="BK245" t="s">
        <v>1560</v>
      </c>
      <c r="BL245" t="s">
        <v>1560</v>
      </c>
      <c r="BM245" t="b">
        <f t="shared" si="214"/>
        <v>1</v>
      </c>
      <c r="BN245" t="str">
        <f t="shared" si="196"/>
        <v>R733</v>
      </c>
      <c r="BO245" t="str">
        <f t="shared" si="197"/>
        <v>R733</v>
      </c>
      <c r="BP245" t="str">
        <f t="shared" si="198"/>
        <v>R209</v>
      </c>
      <c r="BQ245" t="str">
        <f t="shared" si="199"/>
        <v/>
      </c>
      <c r="BR245" t="s">
        <v>406</v>
      </c>
      <c r="BS245" t="s">
        <v>405</v>
      </c>
      <c r="BT245" t="s">
        <v>406</v>
      </c>
      <c r="BU245" t="b">
        <f t="shared" si="215"/>
        <v>1</v>
      </c>
      <c r="BZ245" t="str">
        <f t="shared" si="200"/>
        <v>G488</v>
      </c>
      <c r="CA245" t="b">
        <f t="shared" si="201"/>
        <v>1</v>
      </c>
      <c r="CB245" t="str">
        <f t="shared" si="216"/>
        <v/>
      </c>
      <c r="CC245" t="str">
        <f t="shared" si="202"/>
        <v>R209</v>
      </c>
      <c r="CD245" t="b">
        <f t="shared" si="217"/>
        <v>1</v>
      </c>
      <c r="CE245" t="str">
        <f t="shared" si="218"/>
        <v/>
      </c>
      <c r="CG245" t="str">
        <f t="shared" si="203"/>
        <v>G680</v>
      </c>
      <c r="CH245" t="str">
        <f t="shared" si="219"/>
        <v>G680</v>
      </c>
      <c r="CI245" t="str">
        <f t="shared" si="204"/>
        <v>G721</v>
      </c>
      <c r="CJ245" t="str">
        <f t="shared" si="205"/>
        <v>G721</v>
      </c>
      <c r="CK245" t="s">
        <v>1370</v>
      </c>
      <c r="CL245" t="s">
        <v>1370</v>
      </c>
      <c r="CM245" t="s">
        <v>1370</v>
      </c>
      <c r="CN245" t="b">
        <f t="shared" si="220"/>
        <v>1</v>
      </c>
      <c r="CO245" t="str">
        <f t="shared" si="206"/>
        <v>R453</v>
      </c>
      <c r="CP245" t="str">
        <f t="shared" si="221"/>
        <v>R453</v>
      </c>
      <c r="CQ245" t="str">
        <f t="shared" si="207"/>
        <v>R79</v>
      </c>
      <c r="CR245" t="str">
        <f t="shared" si="208"/>
        <v>R79</v>
      </c>
      <c r="CS245" t="s">
        <v>688</v>
      </c>
      <c r="CT245" t="s">
        <v>688</v>
      </c>
      <c r="CU245" t="s">
        <v>688</v>
      </c>
      <c r="CV245" t="b">
        <f t="shared" si="222"/>
        <v>1</v>
      </c>
      <c r="DC245" t="str">
        <f t="shared" si="209"/>
        <v>G721</v>
      </c>
      <c r="DD245" t="b">
        <f t="shared" si="223"/>
        <v>0</v>
      </c>
      <c r="DE245" t="str">
        <f t="shared" si="224"/>
        <v>G721</v>
      </c>
      <c r="DF245" t="str">
        <f t="shared" si="210"/>
        <v>R79</v>
      </c>
      <c r="DG245" t="b">
        <f t="shared" si="225"/>
        <v>0</v>
      </c>
      <c r="DH245" t="str">
        <f t="shared" si="226"/>
        <v>R79</v>
      </c>
    </row>
    <row r="246" spans="2:112" ht="12" customHeight="1">
      <c r="B246" t="str">
        <f>TBIDry!H318</f>
        <v/>
      </c>
      <c r="C246" t="str">
        <f>TBIDry!I318</f>
        <v/>
      </c>
      <c r="D246" t="b">
        <f t="shared" si="173"/>
        <v>1</v>
      </c>
      <c r="E246" t="b">
        <f t="shared" si="174"/>
        <v>1</v>
      </c>
      <c r="G246" t="str">
        <f>TBIWet!H318</f>
        <v>G456</v>
      </c>
      <c r="H246" t="str">
        <f>TBIWet!I318</f>
        <v>R132</v>
      </c>
      <c r="I246" t="b">
        <f t="shared" si="175"/>
        <v>0</v>
      </c>
      <c r="J246" t="b">
        <f t="shared" si="176"/>
        <v>0</v>
      </c>
      <c r="L246" t="str">
        <f>'Both teabags AfterWet'!A244</f>
        <v>G682</v>
      </c>
      <c r="M246" t="str">
        <f>'Both teabags AfterWet'!A664</f>
        <v>R456</v>
      </c>
      <c r="N246" t="b">
        <f t="shared" si="177"/>
        <v>0</v>
      </c>
      <c r="O246" t="b">
        <f t="shared" si="227"/>
        <v>0</v>
      </c>
      <c r="Q246" s="388" t="b">
        <f t="shared" si="178"/>
        <v>0</v>
      </c>
      <c r="R246" s="388" t="b">
        <f t="shared" si="179"/>
        <v>0</v>
      </c>
      <c r="T246" t="str">
        <f>'Both teabags AfterDry'!A244</f>
        <v>G5</v>
      </c>
      <c r="U246" t="str">
        <f>'Both teabags AfterDry'!A579</f>
        <v>R735</v>
      </c>
      <c r="V246" t="b">
        <f t="shared" si="180"/>
        <v>0</v>
      </c>
      <c r="W246" t="b">
        <f t="shared" si="211"/>
        <v>0</v>
      </c>
      <c r="Y246" t="str">
        <f>'Green_rooibos initial weight'!A247</f>
        <v>G243</v>
      </c>
      <c r="Z246" t="str">
        <f>'Green_rooibos initial weight'!A1151</f>
        <v>R243</v>
      </c>
      <c r="AA246" t="b">
        <f t="shared" si="181"/>
        <v>0</v>
      </c>
      <c r="AB246" t="b">
        <f t="shared" si="182"/>
        <v>0</v>
      </c>
      <c r="AE246" t="str">
        <f>'WetLitterbags placem_collection'!O25</f>
        <v>G456</v>
      </c>
      <c r="AF246" t="str">
        <f>'WetLitterbags placem_collection'!Q25</f>
        <v>R132</v>
      </c>
      <c r="AG246" t="b">
        <f t="shared" si="183"/>
        <v>0</v>
      </c>
      <c r="AH246" t="b">
        <f t="shared" si="184"/>
        <v>0</v>
      </c>
      <c r="AJ246" t="b">
        <f t="shared" si="185"/>
        <v>0</v>
      </c>
      <c r="AK246" t="b">
        <f t="shared" si="186"/>
        <v>0</v>
      </c>
      <c r="AM246" t="str">
        <f>IF(ISBLANK('Dry_Litterbag Placem_Collection'!L25),"","G"&amp;""&amp;'Dry_Litterbag Placem_Collection'!L25)</f>
        <v/>
      </c>
      <c r="AN246" t="str">
        <f>IF(ISBLANK('Dry_Litterbag Placem_Collection'!M25),"","R"&amp;""&amp;'Dry_Litterbag Placem_Collection'!M25)</f>
        <v/>
      </c>
      <c r="AO246" t="b">
        <f t="shared" si="187"/>
        <v>1</v>
      </c>
      <c r="AP246" t="b">
        <f t="shared" si="188"/>
        <v>1</v>
      </c>
      <c r="AS246" t="str">
        <f>'Ashed teabags dry'!A244</f>
        <v>G5</v>
      </c>
      <c r="AT246" t="str">
        <f>'Ashed teabags dry'!A579</f>
        <v>R735</v>
      </c>
      <c r="AU246" t="b">
        <f t="shared" si="189"/>
        <v>0</v>
      </c>
      <c r="AV246" t="b">
        <f t="shared" si="212"/>
        <v>0</v>
      </c>
      <c r="AX246" s="388" t="b">
        <f t="shared" si="190"/>
        <v>0</v>
      </c>
      <c r="AY246" s="388" t="b">
        <f t="shared" si="191"/>
        <v>0</v>
      </c>
      <c r="BA246" t="str">
        <f>'Ashed teabags wet'!A244</f>
        <v>G682</v>
      </c>
      <c r="BB246" t="str">
        <f>'Ashed teabags wet'!A664</f>
        <v>R456</v>
      </c>
      <c r="BC246" t="b">
        <f t="shared" si="192"/>
        <v>0</v>
      </c>
      <c r="BD246" t="b">
        <f t="shared" si="172"/>
        <v>0</v>
      </c>
      <c r="BF246" t="str">
        <f t="shared" si="193"/>
        <v>G493</v>
      </c>
      <c r="BG246" t="str">
        <f t="shared" si="194"/>
        <v>G493</v>
      </c>
      <c r="BH246" t="str">
        <f t="shared" si="195"/>
        <v>G750</v>
      </c>
      <c r="BI246" t="str">
        <f t="shared" si="213"/>
        <v>G750</v>
      </c>
      <c r="BJ246" t="s">
        <v>1557</v>
      </c>
      <c r="BK246" t="s">
        <v>1557</v>
      </c>
      <c r="BL246" t="s">
        <v>1557</v>
      </c>
      <c r="BM246" t="b">
        <f t="shared" si="214"/>
        <v>1</v>
      </c>
      <c r="BN246" t="str">
        <f t="shared" si="196"/>
        <v>R734</v>
      </c>
      <c r="BO246" t="str">
        <f t="shared" si="197"/>
        <v>R734</v>
      </c>
      <c r="BP246" t="str">
        <f t="shared" si="198"/>
        <v>R646</v>
      </c>
      <c r="BQ246" t="str">
        <f t="shared" si="199"/>
        <v>R646</v>
      </c>
      <c r="BR246" t="s">
        <v>405</v>
      </c>
      <c r="BS246" t="s">
        <v>404</v>
      </c>
      <c r="BT246" t="s">
        <v>405</v>
      </c>
      <c r="BU246" t="b">
        <f t="shared" si="215"/>
        <v>1</v>
      </c>
      <c r="BZ246" t="str">
        <f t="shared" si="200"/>
        <v>G750</v>
      </c>
      <c r="CA246" t="b">
        <f t="shared" si="201"/>
        <v>0</v>
      </c>
      <c r="CB246" t="str">
        <f t="shared" si="216"/>
        <v>G750</v>
      </c>
      <c r="CC246" t="str">
        <f t="shared" si="202"/>
        <v>R646</v>
      </c>
      <c r="CD246" t="b">
        <f t="shared" si="217"/>
        <v>0</v>
      </c>
      <c r="CE246" t="str">
        <f t="shared" si="218"/>
        <v>R646</v>
      </c>
      <c r="CG246" t="str">
        <f t="shared" si="203"/>
        <v>G681</v>
      </c>
      <c r="CH246" t="str">
        <f t="shared" si="219"/>
        <v>G681</v>
      </c>
      <c r="CI246" t="str">
        <f t="shared" si="204"/>
        <v>G552</v>
      </c>
      <c r="CJ246" t="str">
        <f t="shared" si="205"/>
        <v>G552</v>
      </c>
      <c r="CK246" t="s">
        <v>1369</v>
      </c>
      <c r="CL246" t="s">
        <v>1369</v>
      </c>
      <c r="CM246" t="s">
        <v>1369</v>
      </c>
      <c r="CN246" t="b">
        <f t="shared" si="220"/>
        <v>1</v>
      </c>
      <c r="CO246" t="str">
        <f t="shared" si="206"/>
        <v>R454</v>
      </c>
      <c r="CP246" t="str">
        <f t="shared" si="221"/>
        <v>R454</v>
      </c>
      <c r="CQ246" t="str">
        <f t="shared" si="207"/>
        <v>R45</v>
      </c>
      <c r="CR246" t="str">
        <f t="shared" si="208"/>
        <v>R45</v>
      </c>
      <c r="CS246" t="s">
        <v>687</v>
      </c>
      <c r="CT246" t="s">
        <v>687</v>
      </c>
      <c r="CU246" t="s">
        <v>687</v>
      </c>
      <c r="CV246" t="b">
        <f t="shared" si="222"/>
        <v>1</v>
      </c>
      <c r="DC246" t="str">
        <f t="shared" si="209"/>
        <v>G552</v>
      </c>
      <c r="DD246" t="b">
        <f t="shared" si="223"/>
        <v>0</v>
      </c>
      <c r="DE246" t="str">
        <f t="shared" si="224"/>
        <v>G552</v>
      </c>
      <c r="DF246" t="str">
        <f t="shared" si="210"/>
        <v>R45</v>
      </c>
      <c r="DG246" t="b">
        <f t="shared" si="225"/>
        <v>0</v>
      </c>
      <c r="DH246" t="str">
        <f t="shared" si="226"/>
        <v>R45</v>
      </c>
    </row>
    <row r="247" spans="2:112" ht="12" customHeight="1">
      <c r="B247" t="str">
        <f>TBIDry!H319</f>
        <v>G562</v>
      </c>
      <c r="C247" t="str">
        <f>TBIDry!I319</f>
        <v>R650</v>
      </c>
      <c r="D247" t="b">
        <f t="shared" si="173"/>
        <v>0</v>
      </c>
      <c r="E247" t="b">
        <f t="shared" si="174"/>
        <v>0</v>
      </c>
      <c r="G247" t="str">
        <f>TBIWet!H319</f>
        <v>G421</v>
      </c>
      <c r="H247" t="str">
        <f>TBIWet!I319</f>
        <v>R71</v>
      </c>
      <c r="I247" t="b">
        <f t="shared" si="175"/>
        <v>0</v>
      </c>
      <c r="J247" t="b">
        <f t="shared" si="176"/>
        <v>0</v>
      </c>
      <c r="L247" t="str">
        <f>'Both teabags AfterWet'!A245</f>
        <v>G684</v>
      </c>
      <c r="M247" t="str">
        <f>'Both teabags AfterWet'!A665</f>
        <v>R457</v>
      </c>
      <c r="N247" t="b">
        <f t="shared" si="177"/>
        <v>0</v>
      </c>
      <c r="O247" t="b">
        <f t="shared" si="227"/>
        <v>0</v>
      </c>
      <c r="Q247" s="388" t="b">
        <f t="shared" si="178"/>
        <v>0</v>
      </c>
      <c r="R247" s="388" t="b">
        <f t="shared" si="179"/>
        <v>0</v>
      </c>
      <c r="T247" t="str">
        <f>'Both teabags AfterDry'!A245</f>
        <v>G50</v>
      </c>
      <c r="U247" t="str">
        <f>'Both teabags AfterDry'!A580</f>
        <v>R736</v>
      </c>
      <c r="V247" t="b">
        <f t="shared" si="180"/>
        <v>0</v>
      </c>
      <c r="W247" t="b">
        <f t="shared" si="211"/>
        <v>0</v>
      </c>
      <c r="Y247" t="str">
        <f>'Green_rooibos initial weight'!A248</f>
        <v>G244</v>
      </c>
      <c r="Z247" t="str">
        <f>'Green_rooibos initial weight'!A1152</f>
        <v>R244</v>
      </c>
      <c r="AA247" t="b">
        <f t="shared" si="181"/>
        <v>0</v>
      </c>
      <c r="AB247" t="b">
        <f t="shared" si="182"/>
        <v>0</v>
      </c>
      <c r="AE247" t="str">
        <f>'WetLitterbags placem_collection'!O26</f>
        <v>G421</v>
      </c>
      <c r="AF247" t="str">
        <f>'WetLitterbags placem_collection'!Q26</f>
        <v>R71</v>
      </c>
      <c r="AG247" t="b">
        <f t="shared" si="183"/>
        <v>0</v>
      </c>
      <c r="AH247" t="b">
        <f t="shared" si="184"/>
        <v>0</v>
      </c>
      <c r="AJ247" t="b">
        <f t="shared" si="185"/>
        <v>0</v>
      </c>
      <c r="AK247" t="b">
        <f t="shared" si="186"/>
        <v>0</v>
      </c>
      <c r="AM247" t="str">
        <f>IF(ISBLANK('Dry_Litterbag Placem_Collection'!L26),"","G"&amp;""&amp;'Dry_Litterbag Placem_Collection'!L26)</f>
        <v>G562</v>
      </c>
      <c r="AN247" t="str">
        <f>IF(ISBLANK('Dry_Litterbag Placem_Collection'!M26),"","R"&amp;""&amp;'Dry_Litterbag Placem_Collection'!M26)</f>
        <v>R650</v>
      </c>
      <c r="AO247" t="b">
        <f t="shared" si="187"/>
        <v>0</v>
      </c>
      <c r="AP247" t="b">
        <f t="shared" si="188"/>
        <v>0</v>
      </c>
      <c r="AS247" t="str">
        <f>'Ashed teabags dry'!A245</f>
        <v>G50</v>
      </c>
      <c r="AT247" t="str">
        <f>'Ashed teabags dry'!A580</f>
        <v>R736</v>
      </c>
      <c r="AU247" t="b">
        <f t="shared" si="189"/>
        <v>0</v>
      </c>
      <c r="AV247" t="b">
        <f t="shared" si="212"/>
        <v>0</v>
      </c>
      <c r="AX247" s="388" t="b">
        <f t="shared" si="190"/>
        <v>0</v>
      </c>
      <c r="AY247" s="388" t="b">
        <f t="shared" si="191"/>
        <v>0</v>
      </c>
      <c r="BA247" t="str">
        <f>'Ashed teabags wet'!A245</f>
        <v>G684</v>
      </c>
      <c r="BB247" t="str">
        <f>'Ashed teabags wet'!A665</f>
        <v>R457</v>
      </c>
      <c r="BC247" t="b">
        <f t="shared" si="192"/>
        <v>0</v>
      </c>
      <c r="BD247" t="b">
        <f t="shared" si="172"/>
        <v>0</v>
      </c>
      <c r="BF247" t="str">
        <f t="shared" si="193"/>
        <v>G5</v>
      </c>
      <c r="BG247" t="str">
        <f t="shared" si="194"/>
        <v>G5</v>
      </c>
      <c r="BH247" t="str">
        <f t="shared" si="195"/>
        <v/>
      </c>
      <c r="BI247" t="str">
        <f t="shared" si="213"/>
        <v/>
      </c>
      <c r="BJ247" t="s">
        <v>2045</v>
      </c>
      <c r="BK247" t="s">
        <v>2045</v>
      </c>
      <c r="BL247" t="s">
        <v>2045</v>
      </c>
      <c r="BM247" t="b">
        <f t="shared" si="214"/>
        <v>1</v>
      </c>
      <c r="BN247" t="str">
        <f t="shared" si="196"/>
        <v>R735</v>
      </c>
      <c r="BO247" t="str">
        <f t="shared" si="197"/>
        <v>R735</v>
      </c>
      <c r="BP247" t="str">
        <f t="shared" si="198"/>
        <v/>
      </c>
      <c r="BQ247" t="str">
        <f t="shared" si="199"/>
        <v/>
      </c>
      <c r="BR247" t="s">
        <v>404</v>
      </c>
      <c r="BS247" t="s">
        <v>403</v>
      </c>
      <c r="BT247" t="s">
        <v>404</v>
      </c>
      <c r="BU247" t="b">
        <f t="shared" si="215"/>
        <v>1</v>
      </c>
      <c r="BZ247" t="str">
        <f t="shared" si="200"/>
        <v/>
      </c>
      <c r="CA247" t="b">
        <f t="shared" si="201"/>
        <v>0</v>
      </c>
      <c r="CB247" t="str">
        <f t="shared" si="216"/>
        <v/>
      </c>
      <c r="CC247" t="str">
        <f t="shared" si="202"/>
        <v/>
      </c>
      <c r="CD247" t="b">
        <f t="shared" si="217"/>
        <v>0</v>
      </c>
      <c r="CE247" t="str">
        <f t="shared" si="218"/>
        <v/>
      </c>
      <c r="CG247" t="str">
        <f t="shared" si="203"/>
        <v>G682</v>
      </c>
      <c r="CH247" t="str">
        <f t="shared" si="219"/>
        <v>G682</v>
      </c>
      <c r="CI247" t="str">
        <f t="shared" si="204"/>
        <v>G456</v>
      </c>
      <c r="CJ247" t="str">
        <f t="shared" si="205"/>
        <v>G456</v>
      </c>
      <c r="CK247" t="s">
        <v>1368</v>
      </c>
      <c r="CL247" t="s">
        <v>1368</v>
      </c>
      <c r="CM247" t="s">
        <v>1368</v>
      </c>
      <c r="CN247" t="b">
        <f t="shared" si="220"/>
        <v>1</v>
      </c>
      <c r="CO247" t="str">
        <f t="shared" si="206"/>
        <v>R456</v>
      </c>
      <c r="CP247" t="str">
        <f t="shared" si="221"/>
        <v>R456</v>
      </c>
      <c r="CQ247" t="str">
        <f t="shared" si="207"/>
        <v>R132</v>
      </c>
      <c r="CR247" t="str">
        <f t="shared" si="208"/>
        <v>R132</v>
      </c>
      <c r="CS247" t="s">
        <v>685</v>
      </c>
      <c r="CT247" t="s">
        <v>685</v>
      </c>
      <c r="CU247" t="s">
        <v>685</v>
      </c>
      <c r="CV247" t="b">
        <f t="shared" si="222"/>
        <v>1</v>
      </c>
      <c r="DC247" t="str">
        <f t="shared" si="209"/>
        <v>G456</v>
      </c>
      <c r="DD247" t="b">
        <f t="shared" si="223"/>
        <v>0</v>
      </c>
      <c r="DE247" t="str">
        <f t="shared" si="224"/>
        <v>G456</v>
      </c>
      <c r="DF247" t="str">
        <f t="shared" si="210"/>
        <v>R132</v>
      </c>
      <c r="DG247" t="b">
        <f t="shared" si="225"/>
        <v>0</v>
      </c>
      <c r="DH247" t="str">
        <f t="shared" si="226"/>
        <v>R132</v>
      </c>
    </row>
    <row r="248" spans="2:112" ht="12" customHeight="1">
      <c r="B248" t="str">
        <f>TBIDry!H320</f>
        <v>G156</v>
      </c>
      <c r="C248" t="str">
        <f>TBIDry!I320</f>
        <v>R230</v>
      </c>
      <c r="D248" t="b">
        <f t="shared" si="173"/>
        <v>0</v>
      </c>
      <c r="E248" t="b">
        <f t="shared" si="174"/>
        <v>0</v>
      </c>
      <c r="G248" t="str">
        <f>TBIWet!H320</f>
        <v>G864</v>
      </c>
      <c r="H248" t="str">
        <f>TBIWet!I320</f>
        <v>R104</v>
      </c>
      <c r="I248" t="b">
        <f t="shared" si="175"/>
        <v>0</v>
      </c>
      <c r="J248" t="b">
        <f t="shared" si="176"/>
        <v>0</v>
      </c>
      <c r="L248" t="str">
        <f>'Both teabags AfterWet'!A246</f>
        <v>G685</v>
      </c>
      <c r="M248" t="str">
        <f>'Both teabags AfterWet'!A666</f>
        <v>R458</v>
      </c>
      <c r="N248" t="b">
        <f t="shared" si="177"/>
        <v>0</v>
      </c>
      <c r="O248" t="b">
        <f t="shared" si="227"/>
        <v>0</v>
      </c>
      <c r="Q248" s="388" t="b">
        <f t="shared" si="178"/>
        <v>0</v>
      </c>
      <c r="R248" s="388" t="b">
        <f t="shared" si="179"/>
        <v>0</v>
      </c>
      <c r="T248" t="str">
        <f>'Both teabags AfterDry'!A246</f>
        <v>G501</v>
      </c>
      <c r="U248" t="str">
        <f>'Both teabags AfterDry'!A581</f>
        <v>R737</v>
      </c>
      <c r="V248" t="b">
        <f t="shared" si="180"/>
        <v>0</v>
      </c>
      <c r="W248" t="b">
        <f t="shared" si="211"/>
        <v>0</v>
      </c>
      <c r="Y248" t="str">
        <f>'Green_rooibos initial weight'!A249</f>
        <v>G245</v>
      </c>
      <c r="Z248" t="str">
        <f>'Green_rooibos initial weight'!A1153</f>
        <v>R245</v>
      </c>
      <c r="AA248" t="b">
        <f t="shared" si="181"/>
        <v>0</v>
      </c>
      <c r="AB248" t="b">
        <f t="shared" si="182"/>
        <v>0</v>
      </c>
      <c r="AE248" t="str">
        <f>'WetLitterbags placem_collection'!O27</f>
        <v>G864</v>
      </c>
      <c r="AF248" t="str">
        <f>'WetLitterbags placem_collection'!Q27</f>
        <v>R104</v>
      </c>
      <c r="AG248" t="b">
        <f t="shared" si="183"/>
        <v>0</v>
      </c>
      <c r="AH248" t="b">
        <f t="shared" si="184"/>
        <v>0</v>
      </c>
      <c r="AJ248" t="b">
        <f t="shared" si="185"/>
        <v>0</v>
      </c>
      <c r="AK248" t="b">
        <f t="shared" si="186"/>
        <v>0</v>
      </c>
      <c r="AM248" t="str">
        <f>IF(ISBLANK('Dry_Litterbag Placem_Collection'!L27),"","G"&amp;""&amp;'Dry_Litterbag Placem_Collection'!L27)</f>
        <v>G156</v>
      </c>
      <c r="AN248" t="str">
        <f>IF(ISBLANK('Dry_Litterbag Placem_Collection'!M27),"","R"&amp;""&amp;'Dry_Litterbag Placem_Collection'!M27)</f>
        <v>R230</v>
      </c>
      <c r="AO248" t="b">
        <f t="shared" si="187"/>
        <v>0</v>
      </c>
      <c r="AP248" t="b">
        <f t="shared" si="188"/>
        <v>0</v>
      </c>
      <c r="AS248" t="str">
        <f>'Ashed teabags dry'!A246</f>
        <v>G501</v>
      </c>
      <c r="AT248" t="str">
        <f>'Ashed teabags dry'!A581</f>
        <v>R737</v>
      </c>
      <c r="AU248" t="b">
        <f t="shared" si="189"/>
        <v>0</v>
      </c>
      <c r="AV248" t="b">
        <f t="shared" si="212"/>
        <v>0</v>
      </c>
      <c r="AX248" s="388" t="b">
        <f t="shared" si="190"/>
        <v>0</v>
      </c>
      <c r="AY248" s="388" t="b">
        <f t="shared" si="191"/>
        <v>0</v>
      </c>
      <c r="BA248" t="str">
        <f>'Ashed teabags wet'!A246</f>
        <v>G685</v>
      </c>
      <c r="BB248" t="str">
        <f>'Ashed teabags wet'!A666</f>
        <v>R458</v>
      </c>
      <c r="BC248" t="b">
        <f t="shared" si="192"/>
        <v>0</v>
      </c>
      <c r="BD248" t="b">
        <f t="shared" si="172"/>
        <v>0</v>
      </c>
      <c r="BF248" t="str">
        <f t="shared" si="193"/>
        <v>G50</v>
      </c>
      <c r="BG248" t="str">
        <f t="shared" si="194"/>
        <v>G50</v>
      </c>
      <c r="BH248" t="str">
        <f t="shared" si="195"/>
        <v>G562</v>
      </c>
      <c r="BI248" t="str">
        <f t="shared" si="213"/>
        <v>G562</v>
      </c>
      <c r="BJ248" t="s">
        <v>2000</v>
      </c>
      <c r="BK248" t="s">
        <v>2000</v>
      </c>
      <c r="BL248" t="s">
        <v>2000</v>
      </c>
      <c r="BM248" t="b">
        <f t="shared" si="214"/>
        <v>1</v>
      </c>
      <c r="BN248" t="str">
        <f t="shared" si="196"/>
        <v>R736</v>
      </c>
      <c r="BO248" t="str">
        <f t="shared" si="197"/>
        <v>R736</v>
      </c>
      <c r="BP248" t="str">
        <f t="shared" si="198"/>
        <v>R650</v>
      </c>
      <c r="BQ248" t="str">
        <f t="shared" si="199"/>
        <v>R650</v>
      </c>
      <c r="BR248" t="s">
        <v>403</v>
      </c>
      <c r="BS248" t="s">
        <v>402</v>
      </c>
      <c r="BT248" t="s">
        <v>403</v>
      </c>
      <c r="BU248" t="b">
        <f t="shared" si="215"/>
        <v>1</v>
      </c>
      <c r="BZ248" t="str">
        <f t="shared" si="200"/>
        <v>G562</v>
      </c>
      <c r="CA248" t="b">
        <f t="shared" si="201"/>
        <v>0</v>
      </c>
      <c r="CB248" t="str">
        <f t="shared" si="216"/>
        <v>G562</v>
      </c>
      <c r="CC248" t="str">
        <f t="shared" si="202"/>
        <v>R650</v>
      </c>
      <c r="CD248" t="b">
        <f t="shared" si="217"/>
        <v>0</v>
      </c>
      <c r="CE248" t="str">
        <f t="shared" si="218"/>
        <v>R650</v>
      </c>
      <c r="CG248" t="str">
        <f t="shared" si="203"/>
        <v>G684</v>
      </c>
      <c r="CH248" t="str">
        <f t="shared" si="219"/>
        <v>G684</v>
      </c>
      <c r="CI248" t="str">
        <f t="shared" si="204"/>
        <v>G421</v>
      </c>
      <c r="CJ248" t="str">
        <f t="shared" si="205"/>
        <v>G421</v>
      </c>
      <c r="CK248" t="s">
        <v>1366</v>
      </c>
      <c r="CL248" t="s">
        <v>1366</v>
      </c>
      <c r="CM248" t="s">
        <v>1366</v>
      </c>
      <c r="CN248" t="b">
        <f t="shared" si="220"/>
        <v>1</v>
      </c>
      <c r="CO248" t="str">
        <f t="shared" si="206"/>
        <v>R457</v>
      </c>
      <c r="CP248" t="str">
        <f t="shared" si="221"/>
        <v>R457</v>
      </c>
      <c r="CQ248" t="str">
        <f t="shared" si="207"/>
        <v>R71</v>
      </c>
      <c r="CR248" t="str">
        <f t="shared" si="208"/>
        <v>R71</v>
      </c>
      <c r="CS248" t="s">
        <v>684</v>
      </c>
      <c r="CT248" t="s">
        <v>684</v>
      </c>
      <c r="CU248" t="s">
        <v>684</v>
      </c>
      <c r="CV248" t="b">
        <f t="shared" si="222"/>
        <v>1</v>
      </c>
      <c r="DC248" t="str">
        <f t="shared" si="209"/>
        <v>G421</v>
      </c>
      <c r="DD248" t="b">
        <f t="shared" si="223"/>
        <v>0</v>
      </c>
      <c r="DE248" t="str">
        <f t="shared" si="224"/>
        <v>G421</v>
      </c>
      <c r="DF248" t="str">
        <f t="shared" si="210"/>
        <v>R71</v>
      </c>
      <c r="DG248" t="b">
        <f t="shared" si="225"/>
        <v>0</v>
      </c>
      <c r="DH248" t="str">
        <f t="shared" si="226"/>
        <v>R71</v>
      </c>
    </row>
    <row r="249" spans="2:112" ht="12" customHeight="1">
      <c r="B249" t="str">
        <f>TBIDry!H321</f>
        <v>G555</v>
      </c>
      <c r="C249" t="str">
        <f>TBIDry!I321</f>
        <v>R642</v>
      </c>
      <c r="D249" t="b">
        <f t="shared" si="173"/>
        <v>0</v>
      </c>
      <c r="E249" t="b">
        <f t="shared" si="174"/>
        <v>0</v>
      </c>
      <c r="G249" t="str">
        <f>TBIWet!H321</f>
        <v>G506</v>
      </c>
      <c r="H249" t="str">
        <f>TBIWet!I321</f>
        <v>R189</v>
      </c>
      <c r="I249" t="b">
        <f t="shared" si="175"/>
        <v>0</v>
      </c>
      <c r="J249" t="b">
        <f t="shared" si="176"/>
        <v>0</v>
      </c>
      <c r="L249" t="str">
        <f>'Both teabags AfterWet'!A247</f>
        <v>G686</v>
      </c>
      <c r="M249" t="str">
        <f>'Both teabags AfterWet'!A667</f>
        <v>R459</v>
      </c>
      <c r="N249" t="b">
        <f t="shared" si="177"/>
        <v>0</v>
      </c>
      <c r="O249" t="b">
        <f t="shared" si="227"/>
        <v>0</v>
      </c>
      <c r="Q249" s="388" t="b">
        <f t="shared" si="178"/>
        <v>0</v>
      </c>
      <c r="R249" s="388" t="b">
        <f t="shared" si="179"/>
        <v>0</v>
      </c>
      <c r="T249" t="str">
        <f>'Both teabags AfterDry'!A247</f>
        <v>G51</v>
      </c>
      <c r="U249" t="str">
        <f>'Both teabags AfterDry'!A582</f>
        <v>R739</v>
      </c>
      <c r="V249" t="b">
        <f t="shared" si="180"/>
        <v>0</v>
      </c>
      <c r="W249" t="b">
        <f t="shared" si="211"/>
        <v>0</v>
      </c>
      <c r="Y249" t="str">
        <f>'Green_rooibos initial weight'!A250</f>
        <v>G246</v>
      </c>
      <c r="Z249" t="str">
        <f>'Green_rooibos initial weight'!A1154</f>
        <v>R246</v>
      </c>
      <c r="AA249" t="b">
        <f t="shared" si="181"/>
        <v>0</v>
      </c>
      <c r="AB249" t="b">
        <f t="shared" si="182"/>
        <v>0</v>
      </c>
      <c r="AE249" t="str">
        <f>'WetLitterbags placem_collection'!O28</f>
        <v>G506</v>
      </c>
      <c r="AF249" t="str">
        <f>'WetLitterbags placem_collection'!Q28</f>
        <v>R189</v>
      </c>
      <c r="AG249" t="b">
        <f t="shared" si="183"/>
        <v>0</v>
      </c>
      <c r="AH249" t="b">
        <f t="shared" si="184"/>
        <v>0</v>
      </c>
      <c r="AJ249" t="b">
        <f t="shared" si="185"/>
        <v>0</v>
      </c>
      <c r="AK249" t="b">
        <f t="shared" si="186"/>
        <v>0</v>
      </c>
      <c r="AM249" t="str">
        <f>IF(ISBLANK('Dry_Litterbag Placem_Collection'!L28),"","G"&amp;""&amp;'Dry_Litterbag Placem_Collection'!L28)</f>
        <v>G555</v>
      </c>
      <c r="AN249" t="str">
        <f>IF(ISBLANK('Dry_Litterbag Placem_Collection'!M28),"","R"&amp;""&amp;'Dry_Litterbag Placem_Collection'!M28)</f>
        <v>R642</v>
      </c>
      <c r="AO249" t="b">
        <f t="shared" si="187"/>
        <v>0</v>
      </c>
      <c r="AP249" t="b">
        <f t="shared" si="188"/>
        <v>0</v>
      </c>
      <c r="AS249" t="str">
        <f>'Ashed teabags dry'!A247</f>
        <v>G51</v>
      </c>
      <c r="AT249" t="str">
        <f>'Ashed teabags dry'!A582</f>
        <v>R739</v>
      </c>
      <c r="AU249" t="b">
        <f t="shared" si="189"/>
        <v>0</v>
      </c>
      <c r="AV249" t="b">
        <f t="shared" si="212"/>
        <v>0</v>
      </c>
      <c r="AX249" s="388" t="b">
        <f t="shared" si="190"/>
        <v>0</v>
      </c>
      <c r="AY249" s="388" t="b">
        <f t="shared" si="191"/>
        <v>0</v>
      </c>
      <c r="BA249" t="str">
        <f>'Ashed teabags wet'!A247</f>
        <v>G686</v>
      </c>
      <c r="BB249" t="str">
        <f>'Ashed teabags wet'!A667</f>
        <v>R459</v>
      </c>
      <c r="BC249" t="b">
        <f t="shared" si="192"/>
        <v>0</v>
      </c>
      <c r="BD249" t="b">
        <f t="shared" si="172"/>
        <v>0</v>
      </c>
      <c r="BF249" t="str">
        <f t="shared" si="193"/>
        <v>G501</v>
      </c>
      <c r="BG249" t="str">
        <f t="shared" si="194"/>
        <v>G501</v>
      </c>
      <c r="BH249" t="str">
        <f t="shared" si="195"/>
        <v>G156</v>
      </c>
      <c r="BI249" t="str">
        <f t="shared" si="213"/>
        <v>G156</v>
      </c>
      <c r="BJ249" t="s">
        <v>1549</v>
      </c>
      <c r="BK249" t="s">
        <v>1549</v>
      </c>
      <c r="BL249" t="s">
        <v>1549</v>
      </c>
      <c r="BM249" t="b">
        <f t="shared" si="214"/>
        <v>1</v>
      </c>
      <c r="BN249" t="str">
        <f t="shared" si="196"/>
        <v>R737</v>
      </c>
      <c r="BO249" t="str">
        <f t="shared" si="197"/>
        <v>R737</v>
      </c>
      <c r="BP249" t="str">
        <f t="shared" si="198"/>
        <v>R230</v>
      </c>
      <c r="BQ249" t="str">
        <f t="shared" si="199"/>
        <v>R230</v>
      </c>
      <c r="BR249" t="s">
        <v>402</v>
      </c>
      <c r="BS249" t="s">
        <v>400</v>
      </c>
      <c r="BT249" t="s">
        <v>402</v>
      </c>
      <c r="BU249" t="b">
        <f t="shared" si="215"/>
        <v>1</v>
      </c>
      <c r="BZ249" t="str">
        <f t="shared" si="200"/>
        <v>G156</v>
      </c>
      <c r="CA249" t="b">
        <f t="shared" si="201"/>
        <v>0</v>
      </c>
      <c r="CB249" t="str">
        <f t="shared" si="216"/>
        <v>G156</v>
      </c>
      <c r="CC249" t="str">
        <f t="shared" si="202"/>
        <v>R230</v>
      </c>
      <c r="CD249" t="b">
        <f t="shared" si="217"/>
        <v>0</v>
      </c>
      <c r="CE249" t="str">
        <f t="shared" si="218"/>
        <v>R230</v>
      </c>
      <c r="CG249" t="str">
        <f t="shared" si="203"/>
        <v>G685</v>
      </c>
      <c r="CH249" t="str">
        <f t="shared" si="219"/>
        <v>G685</v>
      </c>
      <c r="CI249" t="str">
        <f t="shared" si="204"/>
        <v>G864</v>
      </c>
      <c r="CJ249" t="str">
        <f t="shared" si="205"/>
        <v>G864</v>
      </c>
      <c r="CK249" t="s">
        <v>1365</v>
      </c>
      <c r="CL249" t="s">
        <v>1365</v>
      </c>
      <c r="CM249" t="s">
        <v>1365</v>
      </c>
      <c r="CN249" t="b">
        <f t="shared" si="220"/>
        <v>1</v>
      </c>
      <c r="CO249" t="str">
        <f t="shared" si="206"/>
        <v>R458</v>
      </c>
      <c r="CP249" t="str">
        <f t="shared" si="221"/>
        <v>R458</v>
      </c>
      <c r="CQ249" t="str">
        <f t="shared" si="207"/>
        <v>R104</v>
      </c>
      <c r="CR249" t="str">
        <f t="shared" si="208"/>
        <v>R104</v>
      </c>
      <c r="CS249" t="s">
        <v>683</v>
      </c>
      <c r="CT249" t="s">
        <v>683</v>
      </c>
      <c r="CU249" t="s">
        <v>683</v>
      </c>
      <c r="CV249" t="b">
        <f t="shared" si="222"/>
        <v>1</v>
      </c>
      <c r="DC249" t="str">
        <f t="shared" si="209"/>
        <v>G864</v>
      </c>
      <c r="DD249" t="b">
        <f t="shared" si="223"/>
        <v>0</v>
      </c>
      <c r="DE249" t="str">
        <f t="shared" si="224"/>
        <v>G864</v>
      </c>
      <c r="DF249" t="str">
        <f t="shared" si="210"/>
        <v>R104</v>
      </c>
      <c r="DG249" t="b">
        <f t="shared" si="225"/>
        <v>0</v>
      </c>
      <c r="DH249" t="str">
        <f t="shared" si="226"/>
        <v>R104</v>
      </c>
    </row>
    <row r="250" spans="2:112" ht="12" customHeight="1">
      <c r="B250" t="str">
        <f>TBIDry!H322</f>
        <v>G378</v>
      </c>
      <c r="C250" t="str">
        <f>TBIDry!I322</f>
        <v>R199</v>
      </c>
      <c r="D250" t="b">
        <f t="shared" si="173"/>
        <v>0</v>
      </c>
      <c r="E250" t="b">
        <f t="shared" si="174"/>
        <v>0</v>
      </c>
      <c r="G250" t="str">
        <f>TBIWet!H322</f>
        <v>G449</v>
      </c>
      <c r="H250" t="str">
        <f>TBIWet!I322</f>
        <v>R217</v>
      </c>
      <c r="I250" t="b">
        <f t="shared" si="175"/>
        <v>0</v>
      </c>
      <c r="J250" t="b">
        <f t="shared" si="176"/>
        <v>0</v>
      </c>
      <c r="L250" t="str">
        <f>'Both teabags AfterWet'!A248</f>
        <v>G687</v>
      </c>
      <c r="M250" t="str">
        <f>'Both teabags AfterWet'!A668</f>
        <v>R46</v>
      </c>
      <c r="N250" t="b">
        <f t="shared" si="177"/>
        <v>0</v>
      </c>
      <c r="O250" t="b">
        <f t="shared" si="227"/>
        <v>0</v>
      </c>
      <c r="Q250" s="388" t="b">
        <f t="shared" si="178"/>
        <v>0</v>
      </c>
      <c r="R250" s="388" t="b">
        <f t="shared" si="179"/>
        <v>0</v>
      </c>
      <c r="T250" t="str">
        <f>'Both teabags AfterDry'!A248</f>
        <v>G515</v>
      </c>
      <c r="U250" t="str">
        <f>'Both teabags AfterDry'!A583</f>
        <v>R740</v>
      </c>
      <c r="V250" t="b">
        <f t="shared" si="180"/>
        <v>0</v>
      </c>
      <c r="W250" t="b">
        <f t="shared" si="211"/>
        <v>0</v>
      </c>
      <c r="Y250" t="str">
        <f>'Green_rooibos initial weight'!A251</f>
        <v>G247</v>
      </c>
      <c r="Z250" t="str">
        <f>'Green_rooibos initial weight'!A1155</f>
        <v>R247</v>
      </c>
      <c r="AA250" t="b">
        <f t="shared" si="181"/>
        <v>0</v>
      </c>
      <c r="AB250" t="b">
        <f t="shared" si="182"/>
        <v>0</v>
      </c>
      <c r="AE250" t="str">
        <f>'WetLitterbags placem_collection'!O29</f>
        <v>G449</v>
      </c>
      <c r="AF250" t="str">
        <f>'WetLitterbags placem_collection'!Q29</f>
        <v>R217</v>
      </c>
      <c r="AG250" t="b">
        <f t="shared" si="183"/>
        <v>0</v>
      </c>
      <c r="AH250" t="b">
        <f t="shared" si="184"/>
        <v>0</v>
      </c>
      <c r="AJ250" t="b">
        <f t="shared" si="185"/>
        <v>0</v>
      </c>
      <c r="AK250" t="b">
        <f t="shared" si="186"/>
        <v>0</v>
      </c>
      <c r="AM250" t="str">
        <f>IF(ISBLANK('Dry_Litterbag Placem_Collection'!L29),"","G"&amp;""&amp;'Dry_Litterbag Placem_Collection'!L29)</f>
        <v>G378</v>
      </c>
      <c r="AN250" t="str">
        <f>IF(ISBLANK('Dry_Litterbag Placem_Collection'!M29),"","R"&amp;""&amp;'Dry_Litterbag Placem_Collection'!M29)</f>
        <v>R199</v>
      </c>
      <c r="AO250" t="b">
        <f t="shared" si="187"/>
        <v>0</v>
      </c>
      <c r="AP250" t="b">
        <f t="shared" si="188"/>
        <v>0</v>
      </c>
      <c r="AS250" t="str">
        <f>'Ashed teabags dry'!A248</f>
        <v>G515</v>
      </c>
      <c r="AT250" t="str">
        <f>'Ashed teabags dry'!A583</f>
        <v>R740</v>
      </c>
      <c r="AU250" t="b">
        <f t="shared" si="189"/>
        <v>0</v>
      </c>
      <c r="AV250" t="b">
        <f t="shared" si="212"/>
        <v>0</v>
      </c>
      <c r="AX250" s="388" t="b">
        <f t="shared" si="190"/>
        <v>0</v>
      </c>
      <c r="AY250" s="388" t="b">
        <f t="shared" si="191"/>
        <v>0</v>
      </c>
      <c r="BA250" t="str">
        <f>'Ashed teabags wet'!A248</f>
        <v>G687</v>
      </c>
      <c r="BB250" t="str">
        <f>'Ashed teabags wet'!A668</f>
        <v>R46</v>
      </c>
      <c r="BC250" t="b">
        <f t="shared" si="192"/>
        <v>0</v>
      </c>
      <c r="BD250" t="b">
        <f t="shared" si="172"/>
        <v>0</v>
      </c>
      <c r="BF250" t="str">
        <f t="shared" si="193"/>
        <v>G51</v>
      </c>
      <c r="BG250" t="str">
        <f t="shared" si="194"/>
        <v>G51</v>
      </c>
      <c r="BH250" t="str">
        <f t="shared" si="195"/>
        <v>G555</v>
      </c>
      <c r="BI250" t="str">
        <f t="shared" si="213"/>
        <v>G555</v>
      </c>
      <c r="BJ250" t="s">
        <v>1999</v>
      </c>
      <c r="BK250" t="s">
        <v>1999</v>
      </c>
      <c r="BL250" t="s">
        <v>1999</v>
      </c>
      <c r="BM250" t="b">
        <f t="shared" si="214"/>
        <v>1</v>
      </c>
      <c r="BN250" t="str">
        <f t="shared" si="196"/>
        <v>R739</v>
      </c>
      <c r="BO250" t="str">
        <f t="shared" si="197"/>
        <v>R739</v>
      </c>
      <c r="BP250" t="str">
        <f t="shared" si="198"/>
        <v>R642</v>
      </c>
      <c r="BQ250" t="str">
        <f t="shared" si="199"/>
        <v>R642</v>
      </c>
      <c r="BR250" t="s">
        <v>400</v>
      </c>
      <c r="BS250" t="s">
        <v>399</v>
      </c>
      <c r="BT250" t="s">
        <v>400</v>
      </c>
      <c r="BU250" t="b">
        <f t="shared" si="215"/>
        <v>1</v>
      </c>
      <c r="BZ250" t="str">
        <f t="shared" si="200"/>
        <v>G555</v>
      </c>
      <c r="CA250" t="b">
        <f t="shared" si="201"/>
        <v>0</v>
      </c>
      <c r="CB250" t="str">
        <f t="shared" si="216"/>
        <v>G555</v>
      </c>
      <c r="CC250" t="str">
        <f t="shared" si="202"/>
        <v>R642</v>
      </c>
      <c r="CD250" t="b">
        <f t="shared" si="217"/>
        <v>0</v>
      </c>
      <c r="CE250" t="str">
        <f t="shared" si="218"/>
        <v>R642</v>
      </c>
      <c r="CG250" t="str">
        <f t="shared" si="203"/>
        <v>G686</v>
      </c>
      <c r="CH250" t="str">
        <f t="shared" si="219"/>
        <v>G686</v>
      </c>
      <c r="CI250" t="str">
        <f t="shared" si="204"/>
        <v>G506</v>
      </c>
      <c r="CJ250" t="str">
        <f t="shared" si="205"/>
        <v>G506</v>
      </c>
      <c r="CK250" t="s">
        <v>1364</v>
      </c>
      <c r="CL250" t="s">
        <v>1364</v>
      </c>
      <c r="CM250" t="s">
        <v>1364</v>
      </c>
      <c r="CN250" t="b">
        <f t="shared" si="220"/>
        <v>1</v>
      </c>
      <c r="CO250" t="str">
        <f t="shared" si="206"/>
        <v>R459</v>
      </c>
      <c r="CP250" t="str">
        <f t="shared" si="221"/>
        <v>R459</v>
      </c>
      <c r="CQ250" t="str">
        <f t="shared" si="207"/>
        <v>R189</v>
      </c>
      <c r="CR250" t="str">
        <f t="shared" si="208"/>
        <v>R189</v>
      </c>
      <c r="CS250" t="s">
        <v>682</v>
      </c>
      <c r="CT250" t="s">
        <v>682</v>
      </c>
      <c r="CU250" t="s">
        <v>682</v>
      </c>
      <c r="CV250" t="b">
        <f t="shared" si="222"/>
        <v>1</v>
      </c>
      <c r="DC250" t="str">
        <f t="shared" si="209"/>
        <v>G506</v>
      </c>
      <c r="DD250" t="b">
        <f t="shared" si="223"/>
        <v>0</v>
      </c>
      <c r="DE250" t="str">
        <f t="shared" si="224"/>
        <v>G506</v>
      </c>
      <c r="DF250" t="str">
        <f t="shared" si="210"/>
        <v>R189</v>
      </c>
      <c r="DG250" t="b">
        <f t="shared" si="225"/>
        <v>0</v>
      </c>
      <c r="DH250" t="str">
        <f t="shared" si="226"/>
        <v>R189</v>
      </c>
    </row>
    <row r="251" spans="2:112" ht="12" customHeight="1">
      <c r="B251" t="str">
        <f>TBIDry!H323</f>
        <v>G46</v>
      </c>
      <c r="C251" t="str">
        <f>TBIDry!I323</f>
        <v>R162</v>
      </c>
      <c r="D251" t="b">
        <f t="shared" si="173"/>
        <v>0</v>
      </c>
      <c r="E251" t="b">
        <f t="shared" si="174"/>
        <v>0</v>
      </c>
      <c r="G251" t="str">
        <f>TBIWet!H323</f>
        <v>G502</v>
      </c>
      <c r="H251" t="str">
        <f>TBIWet!I323</f>
        <v>R172</v>
      </c>
      <c r="I251" t="b">
        <f t="shared" si="175"/>
        <v>0</v>
      </c>
      <c r="J251" t="b">
        <f t="shared" si="176"/>
        <v>0</v>
      </c>
      <c r="L251" t="str">
        <f>'Both teabags AfterWet'!A249</f>
        <v>G688</v>
      </c>
      <c r="M251" t="str">
        <f>'Both teabags AfterWet'!A669</f>
        <v>R460</v>
      </c>
      <c r="N251" t="b">
        <f t="shared" si="177"/>
        <v>0</v>
      </c>
      <c r="O251" t="b">
        <f t="shared" si="227"/>
        <v>0</v>
      </c>
      <c r="Q251" s="388" t="b">
        <f t="shared" si="178"/>
        <v>0</v>
      </c>
      <c r="R251" s="388" t="b">
        <f t="shared" si="179"/>
        <v>0</v>
      </c>
      <c r="T251" t="str">
        <f>'Both teabags AfterDry'!A249</f>
        <v>G517</v>
      </c>
      <c r="U251" t="str">
        <f>'Both teabags AfterDry'!A584</f>
        <v>R741</v>
      </c>
      <c r="V251" t="b">
        <f t="shared" si="180"/>
        <v>0</v>
      </c>
      <c r="W251" t="b">
        <f t="shared" si="211"/>
        <v>0</v>
      </c>
      <c r="Y251" t="str">
        <f>'Green_rooibos initial weight'!A252</f>
        <v>G248</v>
      </c>
      <c r="Z251" t="str">
        <f>'Green_rooibos initial weight'!A1156</f>
        <v>R248</v>
      </c>
      <c r="AA251" t="b">
        <f t="shared" si="181"/>
        <v>0</v>
      </c>
      <c r="AB251" t="b">
        <f t="shared" si="182"/>
        <v>0</v>
      </c>
      <c r="AE251" t="str">
        <f>'WetLitterbags placem_collection'!O30</f>
        <v>G502</v>
      </c>
      <c r="AF251" t="str">
        <f>'WetLitterbags placem_collection'!Q30</f>
        <v>R172</v>
      </c>
      <c r="AG251" t="b">
        <f t="shared" si="183"/>
        <v>0</v>
      </c>
      <c r="AH251" t="b">
        <f t="shared" si="184"/>
        <v>0</v>
      </c>
      <c r="AJ251" t="b">
        <f t="shared" si="185"/>
        <v>0</v>
      </c>
      <c r="AK251" t="b">
        <f t="shared" si="186"/>
        <v>0</v>
      </c>
      <c r="AM251" t="str">
        <f>IF(ISBLANK('Dry_Litterbag Placem_Collection'!L30),"","G"&amp;""&amp;'Dry_Litterbag Placem_Collection'!L30)</f>
        <v>G46</v>
      </c>
      <c r="AN251" t="str">
        <f>IF(ISBLANK('Dry_Litterbag Placem_Collection'!M30),"","R"&amp;""&amp;'Dry_Litterbag Placem_Collection'!M30)</f>
        <v>R162</v>
      </c>
      <c r="AO251" t="b">
        <f t="shared" si="187"/>
        <v>0</v>
      </c>
      <c r="AP251" t="b">
        <f t="shared" si="188"/>
        <v>0</v>
      </c>
      <c r="AS251" t="str">
        <f>'Ashed teabags dry'!A249</f>
        <v>G517</v>
      </c>
      <c r="AT251" t="str">
        <f>'Ashed teabags dry'!A584</f>
        <v>R741</v>
      </c>
      <c r="AU251" t="b">
        <f t="shared" si="189"/>
        <v>0</v>
      </c>
      <c r="AV251" t="b">
        <f t="shared" si="212"/>
        <v>0</v>
      </c>
      <c r="AX251" s="388" t="b">
        <f t="shared" si="190"/>
        <v>0</v>
      </c>
      <c r="AY251" s="388" t="b">
        <f t="shared" si="191"/>
        <v>0</v>
      </c>
      <c r="BA251" t="str">
        <f>'Ashed teabags wet'!A249</f>
        <v>G688</v>
      </c>
      <c r="BB251" t="str">
        <f>'Ashed teabags wet'!A669</f>
        <v>R460</v>
      </c>
      <c r="BC251" t="b">
        <f t="shared" si="192"/>
        <v>0</v>
      </c>
      <c r="BD251" t="b">
        <f t="shared" si="172"/>
        <v>0</v>
      </c>
      <c r="BF251" t="str">
        <f t="shared" si="193"/>
        <v>G515</v>
      </c>
      <c r="BG251" t="str">
        <f t="shared" si="194"/>
        <v>G515</v>
      </c>
      <c r="BH251" t="str">
        <f t="shared" si="195"/>
        <v>G378</v>
      </c>
      <c r="BI251" t="str">
        <f t="shared" si="213"/>
        <v/>
      </c>
      <c r="BJ251" t="s">
        <v>1535</v>
      </c>
      <c r="BK251" t="s">
        <v>1535</v>
      </c>
      <c r="BL251" t="s">
        <v>1535</v>
      </c>
      <c r="BM251" t="b">
        <f t="shared" si="214"/>
        <v>1</v>
      </c>
      <c r="BN251" t="str">
        <f t="shared" si="196"/>
        <v>R740</v>
      </c>
      <c r="BO251" t="str">
        <f t="shared" si="197"/>
        <v>R740</v>
      </c>
      <c r="BP251" t="str">
        <f t="shared" si="198"/>
        <v>R199</v>
      </c>
      <c r="BQ251" t="str">
        <f t="shared" si="199"/>
        <v/>
      </c>
      <c r="BR251" t="s">
        <v>399</v>
      </c>
      <c r="BS251" t="s">
        <v>398</v>
      </c>
      <c r="BT251" t="s">
        <v>399</v>
      </c>
      <c r="BU251" t="b">
        <f t="shared" si="215"/>
        <v>1</v>
      </c>
      <c r="BZ251" t="str">
        <f t="shared" si="200"/>
        <v>G378</v>
      </c>
      <c r="CA251" t="b">
        <f t="shared" si="201"/>
        <v>1</v>
      </c>
      <c r="CB251" t="str">
        <f t="shared" si="216"/>
        <v/>
      </c>
      <c r="CC251" t="str">
        <f t="shared" si="202"/>
        <v>R199</v>
      </c>
      <c r="CD251" t="b">
        <f t="shared" si="217"/>
        <v>1</v>
      </c>
      <c r="CE251" t="str">
        <f t="shared" si="218"/>
        <v/>
      </c>
      <c r="CG251" t="str">
        <f t="shared" si="203"/>
        <v>G687</v>
      </c>
      <c r="CH251" t="str">
        <f t="shared" si="219"/>
        <v>G687</v>
      </c>
      <c r="CI251" t="str">
        <f t="shared" si="204"/>
        <v>G449</v>
      </c>
      <c r="CJ251" t="str">
        <f t="shared" si="205"/>
        <v>G449</v>
      </c>
      <c r="CK251" t="s">
        <v>1363</v>
      </c>
      <c r="CL251" t="s">
        <v>1363</v>
      </c>
      <c r="CM251" t="s">
        <v>1363</v>
      </c>
      <c r="CN251" t="b">
        <f t="shared" si="220"/>
        <v>1</v>
      </c>
      <c r="CO251" t="str">
        <f t="shared" si="206"/>
        <v>R46</v>
      </c>
      <c r="CP251" t="str">
        <f t="shared" si="221"/>
        <v>R46</v>
      </c>
      <c r="CQ251" t="str">
        <f t="shared" si="207"/>
        <v>R217</v>
      </c>
      <c r="CR251" t="str">
        <f t="shared" si="208"/>
        <v>R217</v>
      </c>
      <c r="CS251" t="s">
        <v>1095</v>
      </c>
      <c r="CT251" t="s">
        <v>1095</v>
      </c>
      <c r="CU251" t="s">
        <v>1095</v>
      </c>
      <c r="CV251" t="b">
        <f t="shared" si="222"/>
        <v>1</v>
      </c>
      <c r="DC251" t="str">
        <f t="shared" si="209"/>
        <v>G449</v>
      </c>
      <c r="DD251" t="b">
        <f t="shared" si="223"/>
        <v>0</v>
      </c>
      <c r="DE251" t="str">
        <f t="shared" si="224"/>
        <v>G449</v>
      </c>
      <c r="DF251" t="str">
        <f t="shared" si="210"/>
        <v>R217</v>
      </c>
      <c r="DG251" t="b">
        <f t="shared" si="225"/>
        <v>0</v>
      </c>
      <c r="DH251" t="str">
        <f t="shared" si="226"/>
        <v>R217</v>
      </c>
    </row>
    <row r="252" spans="2:112" ht="12" customHeight="1">
      <c r="B252" t="str">
        <f>TBIDry!H324</f>
        <v>G397</v>
      </c>
      <c r="C252" t="str">
        <f>TBIDry!I324</f>
        <v>R163</v>
      </c>
      <c r="D252" t="b">
        <f t="shared" si="173"/>
        <v>0</v>
      </c>
      <c r="E252" t="b">
        <f t="shared" si="174"/>
        <v>0</v>
      </c>
      <c r="G252" t="str">
        <f>TBIWet!H324</f>
        <v>G345</v>
      </c>
      <c r="H252" t="str">
        <f>TBIWet!I324</f>
        <v>R349</v>
      </c>
      <c r="I252" t="b">
        <f t="shared" si="175"/>
        <v>0</v>
      </c>
      <c r="J252" t="b">
        <f t="shared" si="176"/>
        <v>0</v>
      </c>
      <c r="L252" t="str">
        <f>'Both teabags AfterWet'!A250</f>
        <v>G689</v>
      </c>
      <c r="M252" t="str">
        <f>'Both teabags AfterWet'!A670</f>
        <v>R461</v>
      </c>
      <c r="N252" t="b">
        <f t="shared" si="177"/>
        <v>0</v>
      </c>
      <c r="O252" t="b">
        <f t="shared" si="227"/>
        <v>0</v>
      </c>
      <c r="Q252" s="388" t="b">
        <f t="shared" si="178"/>
        <v>0</v>
      </c>
      <c r="R252" s="388" t="b">
        <f t="shared" si="179"/>
        <v>0</v>
      </c>
      <c r="T252" t="str">
        <f>'Both teabags AfterDry'!A250</f>
        <v>G531</v>
      </c>
      <c r="U252" t="str">
        <f>'Both teabags AfterDry'!A585</f>
        <v>R742</v>
      </c>
      <c r="V252" t="b">
        <f t="shared" si="180"/>
        <v>0</v>
      </c>
      <c r="W252" t="b">
        <f t="shared" si="211"/>
        <v>0</v>
      </c>
      <c r="Y252" t="str">
        <f>'Green_rooibos initial weight'!A253</f>
        <v>G249</v>
      </c>
      <c r="Z252" t="str">
        <f>'Green_rooibos initial weight'!A1157</f>
        <v>R249</v>
      </c>
      <c r="AA252" t="b">
        <f t="shared" si="181"/>
        <v>0</v>
      </c>
      <c r="AB252" t="b">
        <f t="shared" si="182"/>
        <v>0</v>
      </c>
      <c r="AE252" t="str">
        <f>'WetLitterbags placem_collection'!O31</f>
        <v>G345</v>
      </c>
      <c r="AF252" t="str">
        <f>'WetLitterbags placem_collection'!Q31</f>
        <v>R349</v>
      </c>
      <c r="AG252" t="b">
        <f t="shared" si="183"/>
        <v>0</v>
      </c>
      <c r="AH252" t="b">
        <f t="shared" si="184"/>
        <v>0</v>
      </c>
      <c r="AJ252" t="b">
        <f t="shared" si="185"/>
        <v>0</v>
      </c>
      <c r="AK252" t="b">
        <f t="shared" si="186"/>
        <v>0</v>
      </c>
      <c r="AM252" t="str">
        <f>IF(ISBLANK('Dry_Litterbag Placem_Collection'!L31),"","G"&amp;""&amp;'Dry_Litterbag Placem_Collection'!L31)</f>
        <v>G397</v>
      </c>
      <c r="AN252" t="str">
        <f>IF(ISBLANK('Dry_Litterbag Placem_Collection'!M31),"","R"&amp;""&amp;'Dry_Litterbag Placem_Collection'!M31)</f>
        <v>R163</v>
      </c>
      <c r="AO252" t="b">
        <f t="shared" si="187"/>
        <v>0</v>
      </c>
      <c r="AP252" t="b">
        <f t="shared" si="188"/>
        <v>0</v>
      </c>
      <c r="AS252" t="str">
        <f>'Ashed teabags dry'!A250</f>
        <v>G531</v>
      </c>
      <c r="AT252" t="str">
        <f>'Ashed teabags dry'!A585</f>
        <v>R742</v>
      </c>
      <c r="AU252" t="b">
        <f t="shared" si="189"/>
        <v>0</v>
      </c>
      <c r="AV252" t="b">
        <f t="shared" si="212"/>
        <v>0</v>
      </c>
      <c r="AX252" s="388" t="b">
        <f t="shared" si="190"/>
        <v>0</v>
      </c>
      <c r="AY252" s="388" t="b">
        <f t="shared" si="191"/>
        <v>0</v>
      </c>
      <c r="BA252" t="str">
        <f>'Ashed teabags wet'!A250</f>
        <v>G689</v>
      </c>
      <c r="BB252" t="str">
        <f>'Ashed teabags wet'!A670</f>
        <v>R461</v>
      </c>
      <c r="BC252" t="b">
        <f t="shared" si="192"/>
        <v>0</v>
      </c>
      <c r="BD252" t="b">
        <f t="shared" si="172"/>
        <v>0</v>
      </c>
      <c r="BF252" t="str">
        <f t="shared" si="193"/>
        <v>G517</v>
      </c>
      <c r="BG252" t="str">
        <f t="shared" si="194"/>
        <v>G517</v>
      </c>
      <c r="BH252" t="str">
        <f t="shared" si="195"/>
        <v>G46</v>
      </c>
      <c r="BI252" t="str">
        <f t="shared" si="213"/>
        <v>G46</v>
      </c>
      <c r="BJ252" t="s">
        <v>1533</v>
      </c>
      <c r="BK252" t="s">
        <v>1533</v>
      </c>
      <c r="BL252" t="s">
        <v>1533</v>
      </c>
      <c r="BM252" t="b">
        <f t="shared" si="214"/>
        <v>1</v>
      </c>
      <c r="BN252" t="str">
        <f t="shared" si="196"/>
        <v>R741</v>
      </c>
      <c r="BO252" t="str">
        <f t="shared" si="197"/>
        <v>R741</v>
      </c>
      <c r="BP252" t="str">
        <f t="shared" si="198"/>
        <v>R162</v>
      </c>
      <c r="BQ252" t="str">
        <f t="shared" si="199"/>
        <v>R162</v>
      </c>
      <c r="BR252" t="s">
        <v>398</v>
      </c>
      <c r="BS252" t="s">
        <v>397</v>
      </c>
      <c r="BT252" t="s">
        <v>398</v>
      </c>
      <c r="BU252" t="b">
        <f t="shared" si="215"/>
        <v>1</v>
      </c>
      <c r="BZ252" t="str">
        <f t="shared" si="200"/>
        <v>G46</v>
      </c>
      <c r="CA252" t="b">
        <f t="shared" si="201"/>
        <v>0</v>
      </c>
      <c r="CB252" t="str">
        <f t="shared" si="216"/>
        <v>G46</v>
      </c>
      <c r="CC252" t="str">
        <f t="shared" si="202"/>
        <v>R162</v>
      </c>
      <c r="CD252" t="b">
        <f t="shared" si="217"/>
        <v>0</v>
      </c>
      <c r="CE252" t="str">
        <f t="shared" si="218"/>
        <v>R162</v>
      </c>
      <c r="CG252" t="str">
        <f t="shared" si="203"/>
        <v>G688</v>
      </c>
      <c r="CH252" t="str">
        <f t="shared" si="219"/>
        <v>G688</v>
      </c>
      <c r="CI252" t="str">
        <f t="shared" si="204"/>
        <v>G502</v>
      </c>
      <c r="CJ252" t="str">
        <f t="shared" si="205"/>
        <v>G502</v>
      </c>
      <c r="CK252" t="s">
        <v>1362</v>
      </c>
      <c r="CL252" t="s">
        <v>1362</v>
      </c>
      <c r="CM252" t="s">
        <v>1362</v>
      </c>
      <c r="CN252" t="b">
        <f t="shared" si="220"/>
        <v>1</v>
      </c>
      <c r="CO252" t="str">
        <f t="shared" si="206"/>
        <v>R460</v>
      </c>
      <c r="CP252" t="str">
        <f t="shared" si="221"/>
        <v>R460</v>
      </c>
      <c r="CQ252" t="str">
        <f t="shared" si="207"/>
        <v>R172</v>
      </c>
      <c r="CR252" t="str">
        <f t="shared" si="208"/>
        <v>R172</v>
      </c>
      <c r="CS252" t="s">
        <v>681</v>
      </c>
      <c r="CT252" t="s">
        <v>681</v>
      </c>
      <c r="CU252" t="s">
        <v>681</v>
      </c>
      <c r="CV252" t="b">
        <f t="shared" si="222"/>
        <v>1</v>
      </c>
      <c r="DC252" t="str">
        <f t="shared" si="209"/>
        <v>G502</v>
      </c>
      <c r="DD252" t="b">
        <f t="shared" si="223"/>
        <v>0</v>
      </c>
      <c r="DE252" t="str">
        <f t="shared" si="224"/>
        <v>G502</v>
      </c>
      <c r="DF252" t="str">
        <f t="shared" si="210"/>
        <v>R172</v>
      </c>
      <c r="DG252" t="b">
        <f t="shared" si="225"/>
        <v>0</v>
      </c>
      <c r="DH252" t="str">
        <f t="shared" si="226"/>
        <v>R172</v>
      </c>
    </row>
    <row r="253" spans="2:112" ht="12" customHeight="1">
      <c r="B253" t="str">
        <f>TBIDry!H325</f>
        <v>G166</v>
      </c>
      <c r="C253" t="str">
        <f>TBIDry!I325</f>
        <v>R345</v>
      </c>
      <c r="D253" t="b">
        <f t="shared" si="173"/>
        <v>0</v>
      </c>
      <c r="E253" t="b">
        <f t="shared" si="174"/>
        <v>0</v>
      </c>
      <c r="G253" t="str">
        <f>TBIWet!H325</f>
        <v>G500</v>
      </c>
      <c r="H253" t="str">
        <f>TBIWet!I325</f>
        <v>R296</v>
      </c>
      <c r="I253" t="b">
        <f t="shared" si="175"/>
        <v>0</v>
      </c>
      <c r="J253" t="b">
        <f t="shared" si="176"/>
        <v>0</v>
      </c>
      <c r="L253" t="str">
        <f>'Both teabags AfterWet'!A251</f>
        <v>G690</v>
      </c>
      <c r="M253" t="str">
        <f>'Both teabags AfterWet'!A671</f>
        <v>R462</v>
      </c>
      <c r="N253" t="b">
        <f t="shared" si="177"/>
        <v>0</v>
      </c>
      <c r="O253" t="b">
        <f t="shared" si="227"/>
        <v>0</v>
      </c>
      <c r="Q253" s="388" t="b">
        <f t="shared" si="178"/>
        <v>0</v>
      </c>
      <c r="R253" s="388" t="b">
        <f t="shared" si="179"/>
        <v>0</v>
      </c>
      <c r="T253" t="str">
        <f>'Both teabags AfterDry'!A251</f>
        <v>G55</v>
      </c>
      <c r="U253" t="str">
        <f>'Both teabags AfterDry'!A586</f>
        <v>R743</v>
      </c>
      <c r="V253" t="b">
        <f t="shared" si="180"/>
        <v>0</v>
      </c>
      <c r="W253" t="b">
        <f t="shared" si="211"/>
        <v>0</v>
      </c>
      <c r="Y253" t="str">
        <f>'Green_rooibos initial weight'!A254</f>
        <v>G250</v>
      </c>
      <c r="Z253" t="str">
        <f>'Green_rooibos initial weight'!A1158</f>
        <v>R250</v>
      </c>
      <c r="AA253" t="b">
        <f t="shared" si="181"/>
        <v>0</v>
      </c>
      <c r="AB253" t="b">
        <f t="shared" si="182"/>
        <v>0</v>
      </c>
      <c r="AE253" t="str">
        <f>'WetLitterbags placem_collection'!O32</f>
        <v>G500</v>
      </c>
      <c r="AF253" t="str">
        <f>'WetLitterbags placem_collection'!Q32</f>
        <v>R296</v>
      </c>
      <c r="AG253" t="b">
        <f t="shared" si="183"/>
        <v>0</v>
      </c>
      <c r="AH253" t="b">
        <f t="shared" si="184"/>
        <v>0</v>
      </c>
      <c r="AJ253" t="b">
        <f t="shared" si="185"/>
        <v>0</v>
      </c>
      <c r="AK253" t="b">
        <f t="shared" si="186"/>
        <v>0</v>
      </c>
      <c r="AM253" t="str">
        <f>IF(ISBLANK('Dry_Litterbag Placem_Collection'!L32),"","G"&amp;""&amp;'Dry_Litterbag Placem_Collection'!L32)</f>
        <v>G166</v>
      </c>
      <c r="AN253" t="str">
        <f>IF(ISBLANK('Dry_Litterbag Placem_Collection'!M32),"","R"&amp;""&amp;'Dry_Litterbag Placem_Collection'!M32)</f>
        <v>R345</v>
      </c>
      <c r="AO253" t="b">
        <f t="shared" si="187"/>
        <v>0</v>
      </c>
      <c r="AP253" t="b">
        <f t="shared" si="188"/>
        <v>0</v>
      </c>
      <c r="AS253" t="str">
        <f>'Ashed teabags dry'!A251</f>
        <v>G55</v>
      </c>
      <c r="AT253" t="str">
        <f>'Ashed teabags dry'!A586</f>
        <v>R743</v>
      </c>
      <c r="AU253" t="b">
        <f t="shared" si="189"/>
        <v>0</v>
      </c>
      <c r="AV253" t="b">
        <f t="shared" si="212"/>
        <v>0</v>
      </c>
      <c r="AX253" s="388" t="b">
        <f t="shared" si="190"/>
        <v>0</v>
      </c>
      <c r="AY253" s="388" t="b">
        <f t="shared" si="191"/>
        <v>0</v>
      </c>
      <c r="BA253" t="str">
        <f>'Ashed teabags wet'!A251</f>
        <v>G690</v>
      </c>
      <c r="BB253" t="str">
        <f>'Ashed teabags wet'!A671</f>
        <v>R462</v>
      </c>
      <c r="BC253" t="b">
        <f t="shared" si="192"/>
        <v>0</v>
      </c>
      <c r="BD253" t="b">
        <f t="shared" si="172"/>
        <v>0</v>
      </c>
      <c r="BF253" t="str">
        <f t="shared" si="193"/>
        <v>G531</v>
      </c>
      <c r="BG253" t="str">
        <f t="shared" si="194"/>
        <v>G531</v>
      </c>
      <c r="BH253" t="str">
        <f t="shared" si="195"/>
        <v>G397</v>
      </c>
      <c r="BI253" t="str">
        <f t="shared" si="213"/>
        <v>G397</v>
      </c>
      <c r="BJ253" t="s">
        <v>1519</v>
      </c>
      <c r="BK253" t="s">
        <v>1519</v>
      </c>
      <c r="BL253" t="s">
        <v>1519</v>
      </c>
      <c r="BM253" t="b">
        <f t="shared" si="214"/>
        <v>1</v>
      </c>
      <c r="BN253" t="str">
        <f t="shared" si="196"/>
        <v>R742</v>
      </c>
      <c r="BO253" t="str">
        <f t="shared" si="197"/>
        <v>R742</v>
      </c>
      <c r="BP253" t="str">
        <f t="shared" si="198"/>
        <v>R163</v>
      </c>
      <c r="BQ253" t="str">
        <f t="shared" si="199"/>
        <v>R163</v>
      </c>
      <c r="BR253" t="s">
        <v>397</v>
      </c>
      <c r="BS253" t="s">
        <v>396</v>
      </c>
      <c r="BT253" t="s">
        <v>397</v>
      </c>
      <c r="BU253" t="b">
        <f t="shared" si="215"/>
        <v>1</v>
      </c>
      <c r="BZ253" t="str">
        <f t="shared" si="200"/>
        <v>G397</v>
      </c>
      <c r="CA253" t="b">
        <f t="shared" si="201"/>
        <v>0</v>
      </c>
      <c r="CB253" t="str">
        <f t="shared" si="216"/>
        <v>G397</v>
      </c>
      <c r="CC253" t="str">
        <f t="shared" si="202"/>
        <v>R163</v>
      </c>
      <c r="CD253" t="b">
        <f t="shared" si="217"/>
        <v>0</v>
      </c>
      <c r="CE253" t="str">
        <f t="shared" si="218"/>
        <v>R163</v>
      </c>
      <c r="CG253" t="str">
        <f t="shared" si="203"/>
        <v>G689</v>
      </c>
      <c r="CH253" t="str">
        <f t="shared" si="219"/>
        <v>G689</v>
      </c>
      <c r="CI253" t="str">
        <f t="shared" si="204"/>
        <v>G345</v>
      </c>
      <c r="CJ253" t="str">
        <f t="shared" si="205"/>
        <v>G345</v>
      </c>
      <c r="CK253" t="s">
        <v>1361</v>
      </c>
      <c r="CL253" t="s">
        <v>1361</v>
      </c>
      <c r="CM253" t="s">
        <v>1361</v>
      </c>
      <c r="CN253" t="b">
        <f t="shared" si="220"/>
        <v>1</v>
      </c>
      <c r="CO253" t="str">
        <f t="shared" si="206"/>
        <v>R461</v>
      </c>
      <c r="CP253" t="str">
        <f t="shared" si="221"/>
        <v>R461</v>
      </c>
      <c r="CQ253" t="str">
        <f t="shared" si="207"/>
        <v>R349</v>
      </c>
      <c r="CR253" t="str">
        <f t="shared" si="208"/>
        <v>R349</v>
      </c>
      <c r="CS253" t="s">
        <v>680</v>
      </c>
      <c r="CT253" t="s">
        <v>680</v>
      </c>
      <c r="CU253" t="s">
        <v>680</v>
      </c>
      <c r="CV253" t="b">
        <f t="shared" si="222"/>
        <v>1</v>
      </c>
      <c r="DC253" t="str">
        <f t="shared" si="209"/>
        <v>G345</v>
      </c>
      <c r="DD253" t="b">
        <f t="shared" si="223"/>
        <v>0</v>
      </c>
      <c r="DE253" t="str">
        <f t="shared" si="224"/>
        <v>G345</v>
      </c>
      <c r="DF253" t="str">
        <f t="shared" si="210"/>
        <v>R349</v>
      </c>
      <c r="DG253" t="b">
        <f t="shared" si="225"/>
        <v>0</v>
      </c>
      <c r="DH253" t="str">
        <f t="shared" si="226"/>
        <v>R349</v>
      </c>
    </row>
    <row r="254" spans="2:112" ht="12" customHeight="1">
      <c r="B254" t="str">
        <f>TBIDry!H326</f>
        <v/>
      </c>
      <c r="C254" t="str">
        <f>TBIDry!I326</f>
        <v/>
      </c>
      <c r="D254" t="b">
        <f t="shared" si="173"/>
        <v>1</v>
      </c>
      <c r="E254" t="b">
        <f t="shared" si="174"/>
        <v>1</v>
      </c>
      <c r="G254" t="str">
        <f>TBIWet!H326</f>
        <v>G521</v>
      </c>
      <c r="H254" t="str">
        <f>TBIWet!I326</f>
        <v>R323</v>
      </c>
      <c r="I254" t="b">
        <f t="shared" si="175"/>
        <v>0</v>
      </c>
      <c r="J254" t="b">
        <f t="shared" si="176"/>
        <v>0</v>
      </c>
      <c r="L254" t="str">
        <f>'Both teabags AfterWet'!A252</f>
        <v>G691</v>
      </c>
      <c r="M254" t="str">
        <f>'Both teabags AfterWet'!A672</f>
        <v>R463</v>
      </c>
      <c r="N254" t="b">
        <f t="shared" si="177"/>
        <v>0</v>
      </c>
      <c r="O254" t="b">
        <f t="shared" si="227"/>
        <v>0</v>
      </c>
      <c r="Q254" s="388" t="b">
        <f t="shared" si="178"/>
        <v>0</v>
      </c>
      <c r="R254" s="388" t="b">
        <f t="shared" si="179"/>
        <v>0</v>
      </c>
      <c r="T254" t="str">
        <f>'Both teabags AfterDry'!A252</f>
        <v>G555</v>
      </c>
      <c r="U254" t="str">
        <f>'Both teabags AfterDry'!A587</f>
        <v>R744</v>
      </c>
      <c r="V254" t="b">
        <f t="shared" si="180"/>
        <v>0</v>
      </c>
      <c r="W254" t="b">
        <f t="shared" si="211"/>
        <v>0</v>
      </c>
      <c r="Y254" t="str">
        <f>'Green_rooibos initial weight'!A255</f>
        <v>G251</v>
      </c>
      <c r="Z254" t="str">
        <f>'Green_rooibos initial weight'!A1159</f>
        <v>R251</v>
      </c>
      <c r="AA254" t="b">
        <f t="shared" si="181"/>
        <v>0</v>
      </c>
      <c r="AB254" t="b">
        <f t="shared" si="182"/>
        <v>0</v>
      </c>
      <c r="AE254" t="str">
        <f>'WetLitterbags placem_collection'!O33</f>
        <v>G521</v>
      </c>
      <c r="AF254" t="str">
        <f>'WetLitterbags placem_collection'!Q33</f>
        <v>R323</v>
      </c>
      <c r="AG254" t="b">
        <f t="shared" si="183"/>
        <v>0</v>
      </c>
      <c r="AH254" t="b">
        <f t="shared" si="184"/>
        <v>0</v>
      </c>
      <c r="AJ254" t="b">
        <f t="shared" si="185"/>
        <v>0</v>
      </c>
      <c r="AK254" t="b">
        <f t="shared" si="186"/>
        <v>0</v>
      </c>
      <c r="AM254" t="str">
        <f>IF(ISBLANK('Dry_Litterbag Placem_Collection'!L33),"","G"&amp;""&amp;'Dry_Litterbag Placem_Collection'!L33)</f>
        <v/>
      </c>
      <c r="AN254" t="str">
        <f>IF(ISBLANK('Dry_Litterbag Placem_Collection'!M33),"","R"&amp;""&amp;'Dry_Litterbag Placem_Collection'!M33)</f>
        <v/>
      </c>
      <c r="AO254" t="b">
        <f t="shared" si="187"/>
        <v>1</v>
      </c>
      <c r="AP254" t="b">
        <f t="shared" si="188"/>
        <v>1</v>
      </c>
      <c r="AS254" t="str">
        <f>'Ashed teabags dry'!A252</f>
        <v>G555</v>
      </c>
      <c r="AT254" t="str">
        <f>'Ashed teabags dry'!A587</f>
        <v>R744</v>
      </c>
      <c r="AU254" t="b">
        <f t="shared" si="189"/>
        <v>0</v>
      </c>
      <c r="AV254" t="b">
        <f t="shared" si="212"/>
        <v>0</v>
      </c>
      <c r="AX254" s="388" t="b">
        <f t="shared" si="190"/>
        <v>0</v>
      </c>
      <c r="AY254" s="388" t="b">
        <f t="shared" si="191"/>
        <v>0</v>
      </c>
      <c r="BA254" t="str">
        <f>'Ashed teabags wet'!A252</f>
        <v>G691</v>
      </c>
      <c r="BB254" t="str">
        <f>'Ashed teabags wet'!A672</f>
        <v>R463</v>
      </c>
      <c r="BC254" t="b">
        <f t="shared" si="192"/>
        <v>0</v>
      </c>
      <c r="BD254" t="b">
        <f t="shared" si="172"/>
        <v>0</v>
      </c>
      <c r="BF254" t="str">
        <f t="shared" si="193"/>
        <v>G55</v>
      </c>
      <c r="BG254" t="str">
        <f t="shared" si="194"/>
        <v>G55</v>
      </c>
      <c r="BH254" t="str">
        <f t="shared" si="195"/>
        <v>G166</v>
      </c>
      <c r="BI254" t="str">
        <f t="shared" si="213"/>
        <v>G166</v>
      </c>
      <c r="BJ254" t="s">
        <v>1995</v>
      </c>
      <c r="BK254" t="s">
        <v>1995</v>
      </c>
      <c r="BL254" t="s">
        <v>1995</v>
      </c>
      <c r="BM254" t="b">
        <f t="shared" si="214"/>
        <v>1</v>
      </c>
      <c r="BN254" t="str">
        <f t="shared" si="196"/>
        <v>R743</v>
      </c>
      <c r="BO254" t="str">
        <f t="shared" si="197"/>
        <v>R743</v>
      </c>
      <c r="BP254" t="str">
        <f t="shared" si="198"/>
        <v>R345</v>
      </c>
      <c r="BQ254" t="str">
        <f t="shared" si="199"/>
        <v>R345</v>
      </c>
      <c r="BR254" t="s">
        <v>396</v>
      </c>
      <c r="BS254" t="s">
        <v>395</v>
      </c>
      <c r="BT254" t="s">
        <v>396</v>
      </c>
      <c r="BU254" t="b">
        <f t="shared" si="215"/>
        <v>1</v>
      </c>
      <c r="BZ254" t="str">
        <f t="shared" si="200"/>
        <v>G166</v>
      </c>
      <c r="CA254" t="b">
        <f t="shared" si="201"/>
        <v>0</v>
      </c>
      <c r="CB254" t="str">
        <f t="shared" si="216"/>
        <v>G166</v>
      </c>
      <c r="CC254" t="str">
        <f t="shared" si="202"/>
        <v>R345</v>
      </c>
      <c r="CD254" t="b">
        <f t="shared" si="217"/>
        <v>0</v>
      </c>
      <c r="CE254" t="str">
        <f t="shared" si="218"/>
        <v>R345</v>
      </c>
      <c r="CG254" t="str">
        <f t="shared" si="203"/>
        <v>G690</v>
      </c>
      <c r="CH254" t="str">
        <f t="shared" si="219"/>
        <v>G690</v>
      </c>
      <c r="CI254" t="str">
        <f t="shared" si="204"/>
        <v>G500</v>
      </c>
      <c r="CJ254" t="str">
        <f t="shared" si="205"/>
        <v>G500</v>
      </c>
      <c r="CK254" t="s">
        <v>1360</v>
      </c>
      <c r="CL254" t="s">
        <v>1360</v>
      </c>
      <c r="CM254" t="s">
        <v>1360</v>
      </c>
      <c r="CN254" t="b">
        <f t="shared" si="220"/>
        <v>1</v>
      </c>
      <c r="CO254" t="str">
        <f t="shared" si="206"/>
        <v>R462</v>
      </c>
      <c r="CP254" t="str">
        <f t="shared" si="221"/>
        <v>R462</v>
      </c>
      <c r="CQ254" t="str">
        <f t="shared" si="207"/>
        <v>R296</v>
      </c>
      <c r="CR254" t="str">
        <f t="shared" si="208"/>
        <v>R296</v>
      </c>
      <c r="CS254" t="s">
        <v>679</v>
      </c>
      <c r="CT254" t="s">
        <v>679</v>
      </c>
      <c r="CU254" t="s">
        <v>679</v>
      </c>
      <c r="CV254" t="b">
        <f t="shared" si="222"/>
        <v>1</v>
      </c>
      <c r="DC254" t="str">
        <f t="shared" si="209"/>
        <v>G500</v>
      </c>
      <c r="DD254" t="b">
        <f t="shared" si="223"/>
        <v>0</v>
      </c>
      <c r="DE254" t="str">
        <f t="shared" si="224"/>
        <v>G500</v>
      </c>
      <c r="DF254" t="str">
        <f t="shared" si="210"/>
        <v>R296</v>
      </c>
      <c r="DG254" t="b">
        <f t="shared" si="225"/>
        <v>0</v>
      </c>
      <c r="DH254" t="str">
        <f t="shared" si="226"/>
        <v>R296</v>
      </c>
    </row>
    <row r="255" spans="2:112" ht="12" customHeight="1">
      <c r="B255" t="str">
        <f>TBIDry!H327</f>
        <v>G293</v>
      </c>
      <c r="C255" t="str">
        <f>TBIDry!I327</f>
        <v>R660</v>
      </c>
      <c r="D255" t="b">
        <f t="shared" si="173"/>
        <v>0</v>
      </c>
      <c r="E255" t="b">
        <f t="shared" si="174"/>
        <v>0</v>
      </c>
      <c r="G255" t="str">
        <f>TBIWet!H327</f>
        <v>G201</v>
      </c>
      <c r="H255" t="str">
        <f>TBIWet!I327</f>
        <v>R156</v>
      </c>
      <c r="I255" t="b">
        <f t="shared" si="175"/>
        <v>0</v>
      </c>
      <c r="J255" t="b">
        <f t="shared" si="176"/>
        <v>0</v>
      </c>
      <c r="L255" t="str">
        <f>'Both teabags AfterWet'!A253</f>
        <v>G692</v>
      </c>
      <c r="M255" t="str">
        <f>'Both teabags AfterWet'!A673</f>
        <v>R464</v>
      </c>
      <c r="N255" t="b">
        <f t="shared" si="177"/>
        <v>0</v>
      </c>
      <c r="O255" t="b">
        <f t="shared" si="227"/>
        <v>0</v>
      </c>
      <c r="Q255" s="388" t="b">
        <f t="shared" si="178"/>
        <v>0</v>
      </c>
      <c r="R255" s="388" t="b">
        <f t="shared" si="179"/>
        <v>0</v>
      </c>
      <c r="T255" t="str">
        <f>'Both teabags AfterDry'!A253</f>
        <v>G558</v>
      </c>
      <c r="U255" t="str">
        <f>'Both teabags AfterDry'!A588</f>
        <v>R746</v>
      </c>
      <c r="V255" t="b">
        <f t="shared" si="180"/>
        <v>0</v>
      </c>
      <c r="W255" t="b">
        <f t="shared" si="211"/>
        <v>0</v>
      </c>
      <c r="Y255" t="str">
        <f>'Green_rooibos initial weight'!A256</f>
        <v>G252</v>
      </c>
      <c r="Z255" t="str">
        <f>'Green_rooibos initial weight'!A1160</f>
        <v>R252</v>
      </c>
      <c r="AA255" t="b">
        <f t="shared" si="181"/>
        <v>0</v>
      </c>
      <c r="AB255" t="b">
        <f t="shared" si="182"/>
        <v>0</v>
      </c>
      <c r="AE255" t="str">
        <f>'WetLitterbags placem_collection'!O34</f>
        <v>G201</v>
      </c>
      <c r="AF255" t="str">
        <f>'WetLitterbags placem_collection'!Q34</f>
        <v>R156</v>
      </c>
      <c r="AG255" t="b">
        <f t="shared" si="183"/>
        <v>0</v>
      </c>
      <c r="AH255" t="b">
        <f t="shared" si="184"/>
        <v>0</v>
      </c>
      <c r="AJ255" t="b">
        <f t="shared" si="185"/>
        <v>0</v>
      </c>
      <c r="AK255" t="b">
        <f t="shared" si="186"/>
        <v>0</v>
      </c>
      <c r="AM255" t="str">
        <f>IF(ISBLANK('Dry_Litterbag Placem_Collection'!L34),"","G"&amp;""&amp;'Dry_Litterbag Placem_Collection'!L34)</f>
        <v>G293</v>
      </c>
      <c r="AN255" t="str">
        <f>IF(ISBLANK('Dry_Litterbag Placem_Collection'!M34),"","R"&amp;""&amp;'Dry_Litterbag Placem_Collection'!M34)</f>
        <v>R660</v>
      </c>
      <c r="AO255" t="b">
        <f t="shared" si="187"/>
        <v>0</v>
      </c>
      <c r="AP255" t="b">
        <f t="shared" si="188"/>
        <v>0</v>
      </c>
      <c r="AS255" t="str">
        <f>'Ashed teabags dry'!A253</f>
        <v>G558</v>
      </c>
      <c r="AT255" t="str">
        <f>'Ashed teabags dry'!A588</f>
        <v>R746</v>
      </c>
      <c r="AU255" t="b">
        <f t="shared" si="189"/>
        <v>0</v>
      </c>
      <c r="AV255" t="b">
        <f t="shared" si="212"/>
        <v>0</v>
      </c>
      <c r="AX255" s="388" t="b">
        <f t="shared" si="190"/>
        <v>0</v>
      </c>
      <c r="AY255" s="388" t="b">
        <f t="shared" si="191"/>
        <v>0</v>
      </c>
      <c r="BA255" t="str">
        <f>'Ashed teabags wet'!A253</f>
        <v>G692</v>
      </c>
      <c r="BB255" t="str">
        <f>'Ashed teabags wet'!A673</f>
        <v>R464</v>
      </c>
      <c r="BC255" t="b">
        <f t="shared" si="192"/>
        <v>0</v>
      </c>
      <c r="BD255" t="b">
        <f t="shared" si="172"/>
        <v>0</v>
      </c>
      <c r="BF255" t="str">
        <f t="shared" si="193"/>
        <v>G555</v>
      </c>
      <c r="BG255" t="str">
        <f t="shared" si="194"/>
        <v>G555</v>
      </c>
      <c r="BH255" t="str">
        <f t="shared" si="195"/>
        <v/>
      </c>
      <c r="BI255" t="str">
        <f t="shared" si="213"/>
        <v/>
      </c>
      <c r="BJ255" t="s">
        <v>1495</v>
      </c>
      <c r="BK255" t="s">
        <v>1495</v>
      </c>
      <c r="BL255" t="s">
        <v>1495</v>
      </c>
      <c r="BM255" t="b">
        <f t="shared" si="214"/>
        <v>1</v>
      </c>
      <c r="BN255" t="str">
        <f t="shared" si="196"/>
        <v>R744</v>
      </c>
      <c r="BO255" t="str">
        <f t="shared" si="197"/>
        <v>R744</v>
      </c>
      <c r="BP255" t="str">
        <f t="shared" si="198"/>
        <v/>
      </c>
      <c r="BQ255" t="str">
        <f t="shared" si="199"/>
        <v/>
      </c>
      <c r="BR255" t="s">
        <v>395</v>
      </c>
      <c r="BS255" t="s">
        <v>393</v>
      </c>
      <c r="BT255" t="s">
        <v>395</v>
      </c>
      <c r="BU255" t="b">
        <f t="shared" si="215"/>
        <v>1</v>
      </c>
      <c r="BZ255" t="str">
        <f t="shared" si="200"/>
        <v/>
      </c>
      <c r="CA255" t="b">
        <f t="shared" si="201"/>
        <v>0</v>
      </c>
      <c r="CB255" t="str">
        <f t="shared" si="216"/>
        <v/>
      </c>
      <c r="CC255" t="str">
        <f t="shared" si="202"/>
        <v/>
      </c>
      <c r="CD255" t="b">
        <f t="shared" si="217"/>
        <v>0</v>
      </c>
      <c r="CE255" t="str">
        <f t="shared" si="218"/>
        <v/>
      </c>
      <c r="CG255" t="str">
        <f t="shared" si="203"/>
        <v>G691</v>
      </c>
      <c r="CH255" t="str">
        <f t="shared" si="219"/>
        <v>G691</v>
      </c>
      <c r="CI255" t="str">
        <f t="shared" si="204"/>
        <v>G521</v>
      </c>
      <c r="CJ255" t="str">
        <f t="shared" si="205"/>
        <v>G521</v>
      </c>
      <c r="CK255" t="s">
        <v>1359</v>
      </c>
      <c r="CL255" t="s">
        <v>1359</v>
      </c>
      <c r="CM255" t="s">
        <v>1359</v>
      </c>
      <c r="CN255" t="b">
        <f t="shared" si="220"/>
        <v>1</v>
      </c>
      <c r="CO255" t="str">
        <f t="shared" si="206"/>
        <v>R463</v>
      </c>
      <c r="CP255" t="str">
        <f t="shared" si="221"/>
        <v>R463</v>
      </c>
      <c r="CQ255" t="str">
        <f t="shared" si="207"/>
        <v>R323</v>
      </c>
      <c r="CR255" t="str">
        <f t="shared" si="208"/>
        <v>R323</v>
      </c>
      <c r="CS255" t="s">
        <v>678</v>
      </c>
      <c r="CT255" t="s">
        <v>678</v>
      </c>
      <c r="CU255" t="s">
        <v>678</v>
      </c>
      <c r="CV255" t="b">
        <f t="shared" si="222"/>
        <v>1</v>
      </c>
      <c r="DC255" t="str">
        <f t="shared" si="209"/>
        <v>G521</v>
      </c>
      <c r="DD255" t="b">
        <f t="shared" si="223"/>
        <v>0</v>
      </c>
      <c r="DE255" t="str">
        <f t="shared" si="224"/>
        <v>G521</v>
      </c>
      <c r="DF255" t="str">
        <f t="shared" si="210"/>
        <v>R323</v>
      </c>
      <c r="DG255" t="b">
        <f t="shared" si="225"/>
        <v>0</v>
      </c>
      <c r="DH255" t="str">
        <f t="shared" si="226"/>
        <v>R323</v>
      </c>
    </row>
    <row r="256" spans="2:112" ht="12" customHeight="1">
      <c r="B256" t="str">
        <f>TBIDry!H328</f>
        <v>G139</v>
      </c>
      <c r="C256" t="str">
        <f>TBIDry!I328</f>
        <v>R712</v>
      </c>
      <c r="D256" t="b">
        <f t="shared" si="173"/>
        <v>0</v>
      </c>
      <c r="E256" t="b">
        <f t="shared" si="174"/>
        <v>0</v>
      </c>
      <c r="G256" t="str">
        <f>TBIWet!H328</f>
        <v>G556</v>
      </c>
      <c r="H256" t="str">
        <f>TBIWet!I328</f>
        <v>R452</v>
      </c>
      <c r="I256" t="b">
        <f t="shared" si="175"/>
        <v>0</v>
      </c>
      <c r="J256" t="b">
        <f t="shared" si="176"/>
        <v>0</v>
      </c>
      <c r="L256" t="str">
        <f>'Both teabags AfterWet'!A254</f>
        <v>G693</v>
      </c>
      <c r="M256" t="str">
        <f>'Both teabags AfterWet'!A674</f>
        <v>R465</v>
      </c>
      <c r="N256" t="b">
        <f t="shared" si="177"/>
        <v>0</v>
      </c>
      <c r="O256" t="b">
        <f t="shared" si="227"/>
        <v>0</v>
      </c>
      <c r="Q256" s="388" t="b">
        <f t="shared" si="178"/>
        <v>0</v>
      </c>
      <c r="R256" s="388" t="b">
        <f t="shared" si="179"/>
        <v>0</v>
      </c>
      <c r="T256" t="str">
        <f>'Both teabags AfterDry'!A254</f>
        <v>G56</v>
      </c>
      <c r="U256" t="str">
        <f>'Both teabags AfterDry'!A589</f>
        <v>R748</v>
      </c>
      <c r="V256" t="b">
        <f t="shared" si="180"/>
        <v>0</v>
      </c>
      <c r="W256" t="b">
        <f t="shared" si="211"/>
        <v>0</v>
      </c>
      <c r="Y256" t="str">
        <f>'Green_rooibos initial weight'!A257</f>
        <v>G253</v>
      </c>
      <c r="Z256" t="str">
        <f>'Green_rooibos initial weight'!A1161</f>
        <v>R253</v>
      </c>
      <c r="AA256" t="b">
        <f t="shared" si="181"/>
        <v>0</v>
      </c>
      <c r="AB256" t="b">
        <f t="shared" si="182"/>
        <v>0</v>
      </c>
      <c r="AE256" t="str">
        <f>'WetLitterbags placem_collection'!O35</f>
        <v>G556</v>
      </c>
      <c r="AF256" t="str">
        <f>'WetLitterbags placem_collection'!Q35</f>
        <v>R452</v>
      </c>
      <c r="AG256" t="b">
        <f t="shared" si="183"/>
        <v>0</v>
      </c>
      <c r="AH256" t="b">
        <f t="shared" si="184"/>
        <v>0</v>
      </c>
      <c r="AJ256" t="b">
        <f t="shared" si="185"/>
        <v>0</v>
      </c>
      <c r="AK256" t="b">
        <f t="shared" si="186"/>
        <v>0</v>
      </c>
      <c r="AM256" t="str">
        <f>IF(ISBLANK('Dry_Litterbag Placem_Collection'!L35),"","G"&amp;""&amp;'Dry_Litterbag Placem_Collection'!L35)</f>
        <v>G139</v>
      </c>
      <c r="AN256" t="str">
        <f>IF(ISBLANK('Dry_Litterbag Placem_Collection'!M35),"","R"&amp;""&amp;'Dry_Litterbag Placem_Collection'!M35)</f>
        <v>R712</v>
      </c>
      <c r="AO256" t="b">
        <f t="shared" si="187"/>
        <v>0</v>
      </c>
      <c r="AP256" t="b">
        <f t="shared" si="188"/>
        <v>0</v>
      </c>
      <c r="AS256" t="str">
        <f>'Ashed teabags dry'!A254</f>
        <v>G56</v>
      </c>
      <c r="AT256" t="str">
        <f>'Ashed teabags dry'!A589</f>
        <v>R748</v>
      </c>
      <c r="AU256" t="b">
        <f t="shared" si="189"/>
        <v>0</v>
      </c>
      <c r="AV256" t="b">
        <f t="shared" si="212"/>
        <v>0</v>
      </c>
      <c r="AX256" s="388" t="b">
        <f t="shared" si="190"/>
        <v>0</v>
      </c>
      <c r="AY256" s="388" t="b">
        <f t="shared" si="191"/>
        <v>0</v>
      </c>
      <c r="BA256" t="str">
        <f>'Ashed teabags wet'!A254</f>
        <v>G693</v>
      </c>
      <c r="BB256" t="str">
        <f>'Ashed teabags wet'!A674</f>
        <v>R465</v>
      </c>
      <c r="BC256" t="b">
        <f t="shared" si="192"/>
        <v>0</v>
      </c>
      <c r="BD256" t="b">
        <f t="shared" si="172"/>
        <v>0</v>
      </c>
      <c r="BF256" t="str">
        <f t="shared" si="193"/>
        <v>G558</v>
      </c>
      <c r="BG256" t="str">
        <f t="shared" si="194"/>
        <v>G558</v>
      </c>
      <c r="BH256" t="str">
        <f t="shared" si="195"/>
        <v>G293</v>
      </c>
      <c r="BI256" t="str">
        <f t="shared" si="213"/>
        <v>G293</v>
      </c>
      <c r="BJ256" t="s">
        <v>1492</v>
      </c>
      <c r="BK256" t="s">
        <v>1492</v>
      </c>
      <c r="BL256" t="s">
        <v>1492</v>
      </c>
      <c r="BM256" t="b">
        <f t="shared" si="214"/>
        <v>1</v>
      </c>
      <c r="BN256" t="str">
        <f t="shared" si="196"/>
        <v>R746</v>
      </c>
      <c r="BO256" t="str">
        <f t="shared" si="197"/>
        <v>R746</v>
      </c>
      <c r="BP256" t="str">
        <f t="shared" si="198"/>
        <v>R660</v>
      </c>
      <c r="BQ256" t="str">
        <f t="shared" si="199"/>
        <v>R660</v>
      </c>
      <c r="BR256" t="s">
        <v>393</v>
      </c>
      <c r="BS256" t="s">
        <v>391</v>
      </c>
      <c r="BT256" t="s">
        <v>393</v>
      </c>
      <c r="BU256" t="b">
        <f t="shared" si="215"/>
        <v>1</v>
      </c>
      <c r="BZ256" t="str">
        <f t="shared" si="200"/>
        <v>G293</v>
      </c>
      <c r="CA256" t="b">
        <f t="shared" si="201"/>
        <v>0</v>
      </c>
      <c r="CB256" t="str">
        <f t="shared" si="216"/>
        <v>G293</v>
      </c>
      <c r="CC256" t="str">
        <f t="shared" si="202"/>
        <v>R660</v>
      </c>
      <c r="CD256" t="b">
        <f t="shared" si="217"/>
        <v>0</v>
      </c>
      <c r="CE256" t="str">
        <f t="shared" si="218"/>
        <v>R660</v>
      </c>
      <c r="CG256" t="str">
        <f t="shared" si="203"/>
        <v>G692</v>
      </c>
      <c r="CH256" t="str">
        <f t="shared" si="219"/>
        <v>G692</v>
      </c>
      <c r="CI256" t="str">
        <f t="shared" si="204"/>
        <v>G201</v>
      </c>
      <c r="CJ256" t="str">
        <f t="shared" si="205"/>
        <v>G201</v>
      </c>
      <c r="CK256" t="s">
        <v>1358</v>
      </c>
      <c r="CL256" t="s">
        <v>1358</v>
      </c>
      <c r="CM256" t="s">
        <v>1358</v>
      </c>
      <c r="CN256" t="b">
        <f t="shared" si="220"/>
        <v>1</v>
      </c>
      <c r="CO256" t="str">
        <f t="shared" si="206"/>
        <v>R464</v>
      </c>
      <c r="CP256" t="str">
        <f t="shared" si="221"/>
        <v>R464</v>
      </c>
      <c r="CQ256" t="str">
        <f t="shared" si="207"/>
        <v>R156</v>
      </c>
      <c r="CR256" t="str">
        <f t="shared" si="208"/>
        <v>R156</v>
      </c>
      <c r="CS256" t="s">
        <v>677</v>
      </c>
      <c r="CT256" t="s">
        <v>677</v>
      </c>
      <c r="CU256" t="s">
        <v>677</v>
      </c>
      <c r="CV256" t="b">
        <f t="shared" si="222"/>
        <v>1</v>
      </c>
      <c r="DC256" t="str">
        <f t="shared" si="209"/>
        <v>G201</v>
      </c>
      <c r="DD256" t="b">
        <f t="shared" si="223"/>
        <v>0</v>
      </c>
      <c r="DE256" t="str">
        <f t="shared" si="224"/>
        <v>G201</v>
      </c>
      <c r="DF256" t="str">
        <f t="shared" si="210"/>
        <v>R156</v>
      </c>
      <c r="DG256" t="b">
        <f t="shared" si="225"/>
        <v>0</v>
      </c>
      <c r="DH256" t="str">
        <f t="shared" si="226"/>
        <v>R156</v>
      </c>
    </row>
    <row r="257" spans="2:112" ht="12" customHeight="1">
      <c r="B257" t="str">
        <f>TBIDry!H329</f>
        <v>G487</v>
      </c>
      <c r="C257" t="str">
        <f>TBIDry!I329</f>
        <v>R324</v>
      </c>
      <c r="D257" t="b">
        <f t="shared" si="173"/>
        <v>0</v>
      </c>
      <c r="E257" t="b">
        <f t="shared" si="174"/>
        <v>0</v>
      </c>
      <c r="G257" t="str">
        <f>TBIWet!H329</f>
        <v>G649</v>
      </c>
      <c r="H257" t="str">
        <f>TBIWet!I329</f>
        <v>R24</v>
      </c>
      <c r="I257" t="b">
        <f t="shared" si="175"/>
        <v>0</v>
      </c>
      <c r="J257" t="b">
        <f t="shared" si="176"/>
        <v>0</v>
      </c>
      <c r="L257" t="str">
        <f>'Both teabags AfterWet'!A255</f>
        <v>G694</v>
      </c>
      <c r="M257" t="str">
        <f>'Both teabags AfterWet'!A675</f>
        <v>R466</v>
      </c>
      <c r="N257" t="b">
        <f t="shared" si="177"/>
        <v>0</v>
      </c>
      <c r="O257" t="b">
        <f t="shared" si="227"/>
        <v>0</v>
      </c>
      <c r="Q257" s="388" t="b">
        <f t="shared" si="178"/>
        <v>0</v>
      </c>
      <c r="R257" s="388" t="b">
        <f t="shared" si="179"/>
        <v>0</v>
      </c>
      <c r="T257" t="str">
        <f>'Both teabags AfterDry'!A255</f>
        <v>G562</v>
      </c>
      <c r="U257" t="str">
        <f>'Both teabags AfterDry'!A590</f>
        <v>R749</v>
      </c>
      <c r="V257" t="b">
        <f t="shared" si="180"/>
        <v>0</v>
      </c>
      <c r="W257" t="b">
        <f t="shared" si="211"/>
        <v>0</v>
      </c>
      <c r="Y257" t="str">
        <f>'Green_rooibos initial weight'!A258</f>
        <v>G254</v>
      </c>
      <c r="Z257" t="str">
        <f>'Green_rooibos initial weight'!A1162</f>
        <v>R254</v>
      </c>
      <c r="AA257" t="b">
        <f t="shared" si="181"/>
        <v>0</v>
      </c>
      <c r="AB257" t="b">
        <f t="shared" si="182"/>
        <v>0</v>
      </c>
      <c r="AE257" t="str">
        <f>'WetLitterbags placem_collection'!O36</f>
        <v>G649</v>
      </c>
      <c r="AF257" t="str">
        <f>'WetLitterbags placem_collection'!Q36</f>
        <v>R24</v>
      </c>
      <c r="AG257" t="b">
        <f t="shared" si="183"/>
        <v>0</v>
      </c>
      <c r="AH257" t="b">
        <f t="shared" si="184"/>
        <v>0</v>
      </c>
      <c r="AJ257" t="b">
        <f t="shared" si="185"/>
        <v>0</v>
      </c>
      <c r="AK257" t="b">
        <f t="shared" si="186"/>
        <v>0</v>
      </c>
      <c r="AM257" t="str">
        <f>IF(ISBLANK('Dry_Litterbag Placem_Collection'!L36),"","G"&amp;""&amp;'Dry_Litterbag Placem_Collection'!L36)</f>
        <v>G487</v>
      </c>
      <c r="AN257" t="str">
        <f>IF(ISBLANK('Dry_Litterbag Placem_Collection'!M36),"","R"&amp;""&amp;'Dry_Litterbag Placem_Collection'!M36)</f>
        <v>R324</v>
      </c>
      <c r="AO257" t="b">
        <f t="shared" si="187"/>
        <v>0</v>
      </c>
      <c r="AP257" t="b">
        <f t="shared" si="188"/>
        <v>0</v>
      </c>
      <c r="AS257" t="str">
        <f>'Ashed teabags dry'!A255</f>
        <v>G562</v>
      </c>
      <c r="AT257" t="str">
        <f>'Ashed teabags dry'!A590</f>
        <v>R749</v>
      </c>
      <c r="AU257" t="b">
        <f t="shared" si="189"/>
        <v>0</v>
      </c>
      <c r="AV257" t="b">
        <f t="shared" si="212"/>
        <v>0</v>
      </c>
      <c r="AX257" s="388" t="b">
        <f t="shared" si="190"/>
        <v>0</v>
      </c>
      <c r="AY257" s="388" t="b">
        <f t="shared" si="191"/>
        <v>0</v>
      </c>
      <c r="BA257" t="str">
        <f>'Ashed teabags wet'!A255</f>
        <v>G694</v>
      </c>
      <c r="BB257" t="str">
        <f>'Ashed teabags wet'!A675</f>
        <v>R466</v>
      </c>
      <c r="BC257" t="b">
        <f t="shared" si="192"/>
        <v>0</v>
      </c>
      <c r="BD257" t="b">
        <f t="shared" si="172"/>
        <v>0</v>
      </c>
      <c r="BF257" t="str">
        <f t="shared" si="193"/>
        <v>G56</v>
      </c>
      <c r="BG257" t="str">
        <f t="shared" si="194"/>
        <v>G56</v>
      </c>
      <c r="BH257" t="str">
        <f t="shared" si="195"/>
        <v>G139</v>
      </c>
      <c r="BI257" t="str">
        <f t="shared" si="213"/>
        <v>G139</v>
      </c>
      <c r="BJ257" t="s">
        <v>1994</v>
      </c>
      <c r="BK257" t="s">
        <v>1994</v>
      </c>
      <c r="BL257" t="s">
        <v>1994</v>
      </c>
      <c r="BM257" t="b">
        <f t="shared" si="214"/>
        <v>1</v>
      </c>
      <c r="BN257" t="str">
        <f t="shared" si="196"/>
        <v>R748</v>
      </c>
      <c r="BO257" t="str">
        <f t="shared" si="197"/>
        <v>R748</v>
      </c>
      <c r="BP257" t="str">
        <f t="shared" si="198"/>
        <v>R712</v>
      </c>
      <c r="BQ257" t="str">
        <f t="shared" si="199"/>
        <v>R712</v>
      </c>
      <c r="BR257" t="s">
        <v>391</v>
      </c>
      <c r="BS257" t="s">
        <v>390</v>
      </c>
      <c r="BT257" t="s">
        <v>391</v>
      </c>
      <c r="BU257" t="b">
        <f t="shared" si="215"/>
        <v>1</v>
      </c>
      <c r="BZ257" t="str">
        <f t="shared" si="200"/>
        <v>G139</v>
      </c>
      <c r="CA257" t="b">
        <f t="shared" si="201"/>
        <v>0</v>
      </c>
      <c r="CB257" t="str">
        <f t="shared" si="216"/>
        <v>G139</v>
      </c>
      <c r="CC257" t="str">
        <f t="shared" si="202"/>
        <v>R712</v>
      </c>
      <c r="CD257" t="b">
        <f t="shared" si="217"/>
        <v>0</v>
      </c>
      <c r="CE257" t="str">
        <f t="shared" si="218"/>
        <v>R712</v>
      </c>
      <c r="CG257" t="str">
        <f t="shared" si="203"/>
        <v>G693</v>
      </c>
      <c r="CH257" t="str">
        <f t="shared" si="219"/>
        <v>G693</v>
      </c>
      <c r="CI257" t="str">
        <f t="shared" si="204"/>
        <v>G556</v>
      </c>
      <c r="CJ257" t="str">
        <f t="shared" si="205"/>
        <v>G556</v>
      </c>
      <c r="CK257" t="s">
        <v>1357</v>
      </c>
      <c r="CL257" t="s">
        <v>1357</v>
      </c>
      <c r="CM257" t="s">
        <v>1357</v>
      </c>
      <c r="CN257" t="b">
        <f t="shared" si="220"/>
        <v>1</v>
      </c>
      <c r="CO257" t="str">
        <f t="shared" si="206"/>
        <v>R465</v>
      </c>
      <c r="CP257" t="str">
        <f t="shared" si="221"/>
        <v>R465</v>
      </c>
      <c r="CQ257" t="str">
        <f t="shared" si="207"/>
        <v>R452</v>
      </c>
      <c r="CR257" t="str">
        <f t="shared" si="208"/>
        <v>R452</v>
      </c>
      <c r="CS257" t="s">
        <v>676</v>
      </c>
      <c r="CT257" t="s">
        <v>676</v>
      </c>
      <c r="CU257" t="s">
        <v>676</v>
      </c>
      <c r="CV257" t="b">
        <f t="shared" si="222"/>
        <v>1</v>
      </c>
      <c r="DC257" t="str">
        <f t="shared" si="209"/>
        <v>G556</v>
      </c>
      <c r="DD257" t="b">
        <f t="shared" si="223"/>
        <v>0</v>
      </c>
      <c r="DE257" t="str">
        <f t="shared" si="224"/>
        <v>G556</v>
      </c>
      <c r="DF257" t="str">
        <f t="shared" si="210"/>
        <v>R452</v>
      </c>
      <c r="DG257" t="b">
        <f t="shared" si="225"/>
        <v>0</v>
      </c>
      <c r="DH257" t="str">
        <f t="shared" si="226"/>
        <v>R452</v>
      </c>
    </row>
    <row r="258" spans="2:112" ht="12" customHeight="1">
      <c r="B258" t="str">
        <f>TBIDry!H330</f>
        <v>G717</v>
      </c>
      <c r="C258" t="str">
        <f>TBIDry!I330</f>
        <v>R108</v>
      </c>
      <c r="D258" t="b">
        <f t="shared" si="173"/>
        <v>0</v>
      </c>
      <c r="E258" t="b">
        <f t="shared" si="174"/>
        <v>0</v>
      </c>
      <c r="G258" t="str">
        <f>TBIWet!H330</f>
        <v>G732</v>
      </c>
      <c r="H258" t="str">
        <f>TBIWet!I330</f>
        <v>R69</v>
      </c>
      <c r="I258" t="b">
        <f t="shared" si="175"/>
        <v>0</v>
      </c>
      <c r="J258" t="b">
        <f t="shared" si="176"/>
        <v>0</v>
      </c>
      <c r="L258" t="str">
        <f>'Both teabags AfterWet'!A256</f>
        <v>G695</v>
      </c>
      <c r="M258" t="str">
        <f>'Both teabags AfterWet'!A676</f>
        <v>R467</v>
      </c>
      <c r="N258" t="b">
        <f t="shared" si="177"/>
        <v>0</v>
      </c>
      <c r="O258" t="b">
        <f t="shared" si="227"/>
        <v>0</v>
      </c>
      <c r="Q258" s="388" t="b">
        <f t="shared" si="178"/>
        <v>0</v>
      </c>
      <c r="R258" s="388" t="b">
        <f t="shared" si="179"/>
        <v>0</v>
      </c>
      <c r="T258" t="str">
        <f>'Both teabags AfterDry'!A256</f>
        <v>G57</v>
      </c>
      <c r="U258" t="str">
        <f>'Both teabags AfterDry'!A591</f>
        <v>R75</v>
      </c>
      <c r="V258" t="b">
        <f t="shared" si="180"/>
        <v>0</v>
      </c>
      <c r="W258" t="b">
        <f t="shared" si="211"/>
        <v>0</v>
      </c>
      <c r="Y258" t="str">
        <f>'Green_rooibos initial weight'!A259</f>
        <v>G255</v>
      </c>
      <c r="Z258" t="str">
        <f>'Green_rooibos initial weight'!A1163</f>
        <v>R255</v>
      </c>
      <c r="AA258" t="b">
        <f t="shared" si="181"/>
        <v>0</v>
      </c>
      <c r="AB258" t="b">
        <f t="shared" si="182"/>
        <v>0</v>
      </c>
      <c r="AE258" t="str">
        <f>'WetLitterbags placem_collection'!O37</f>
        <v>G732</v>
      </c>
      <c r="AF258" t="str">
        <f>'WetLitterbags placem_collection'!Q37</f>
        <v>R69</v>
      </c>
      <c r="AG258" t="b">
        <f t="shared" si="183"/>
        <v>0</v>
      </c>
      <c r="AH258" t="b">
        <f t="shared" si="184"/>
        <v>0</v>
      </c>
      <c r="AJ258" t="b">
        <f t="shared" si="185"/>
        <v>0</v>
      </c>
      <c r="AK258" t="b">
        <f t="shared" si="186"/>
        <v>0</v>
      </c>
      <c r="AM258" t="str">
        <f>IF(ISBLANK('Dry_Litterbag Placem_Collection'!L37),"","G"&amp;""&amp;'Dry_Litterbag Placem_Collection'!L37)</f>
        <v>G717</v>
      </c>
      <c r="AN258" t="str">
        <f>IF(ISBLANK('Dry_Litterbag Placem_Collection'!M37),"","R"&amp;""&amp;'Dry_Litterbag Placem_Collection'!M37)</f>
        <v>R108</v>
      </c>
      <c r="AO258" t="b">
        <f t="shared" si="187"/>
        <v>0</v>
      </c>
      <c r="AP258" t="b">
        <f t="shared" si="188"/>
        <v>0</v>
      </c>
      <c r="AS258" t="str">
        <f>'Ashed teabags dry'!A256</f>
        <v>G57</v>
      </c>
      <c r="AT258" t="str">
        <f>'Ashed teabags dry'!A591</f>
        <v>R75</v>
      </c>
      <c r="AU258" t="b">
        <f t="shared" si="189"/>
        <v>0</v>
      </c>
      <c r="AV258" t="b">
        <f t="shared" si="212"/>
        <v>0</v>
      </c>
      <c r="AX258" s="388" t="b">
        <f t="shared" si="190"/>
        <v>0</v>
      </c>
      <c r="AY258" s="388" t="b">
        <f t="shared" si="191"/>
        <v>0</v>
      </c>
      <c r="BA258" t="str">
        <f>'Ashed teabags wet'!A256</f>
        <v>G695</v>
      </c>
      <c r="BB258" t="str">
        <f>'Ashed teabags wet'!A676</f>
        <v>R467</v>
      </c>
      <c r="BC258" t="b">
        <f t="shared" si="192"/>
        <v>0</v>
      </c>
      <c r="BD258" t="b">
        <f t="shared" si="172"/>
        <v>0</v>
      </c>
      <c r="BF258" t="str">
        <f t="shared" si="193"/>
        <v>G562</v>
      </c>
      <c r="BG258" t="str">
        <f t="shared" si="194"/>
        <v>G562</v>
      </c>
      <c r="BH258" t="str">
        <f t="shared" si="195"/>
        <v>G487</v>
      </c>
      <c r="BI258" t="str">
        <f t="shared" si="213"/>
        <v/>
      </c>
      <c r="BJ258" t="s">
        <v>1488</v>
      </c>
      <c r="BK258" t="s">
        <v>1488</v>
      </c>
      <c r="BL258" t="s">
        <v>1488</v>
      </c>
      <c r="BM258" t="b">
        <f t="shared" si="214"/>
        <v>1</v>
      </c>
      <c r="BN258" t="str">
        <f t="shared" si="196"/>
        <v>R749</v>
      </c>
      <c r="BO258" t="str">
        <f t="shared" si="197"/>
        <v>R749</v>
      </c>
      <c r="BP258" t="str">
        <f t="shared" si="198"/>
        <v>R324</v>
      </c>
      <c r="BQ258" t="str">
        <f t="shared" si="199"/>
        <v/>
      </c>
      <c r="BR258" t="s">
        <v>390</v>
      </c>
      <c r="BS258" t="s">
        <v>1066</v>
      </c>
      <c r="BT258" t="s">
        <v>390</v>
      </c>
      <c r="BU258" t="b">
        <f t="shared" si="215"/>
        <v>1</v>
      </c>
      <c r="BZ258" t="str">
        <f t="shared" si="200"/>
        <v>G487</v>
      </c>
      <c r="CA258" t="b">
        <f t="shared" si="201"/>
        <v>1</v>
      </c>
      <c r="CB258" t="str">
        <f t="shared" si="216"/>
        <v/>
      </c>
      <c r="CC258" t="str">
        <f t="shared" si="202"/>
        <v>R324</v>
      </c>
      <c r="CD258" t="b">
        <f t="shared" si="217"/>
        <v>1</v>
      </c>
      <c r="CE258" t="str">
        <f t="shared" si="218"/>
        <v/>
      </c>
      <c r="CG258" t="str">
        <f t="shared" si="203"/>
        <v>G694</v>
      </c>
      <c r="CH258" t="str">
        <f t="shared" si="219"/>
        <v>G694</v>
      </c>
      <c r="CI258" t="str">
        <f t="shared" si="204"/>
        <v>G649</v>
      </c>
      <c r="CJ258" t="str">
        <f t="shared" si="205"/>
        <v>G649</v>
      </c>
      <c r="CK258" t="s">
        <v>1356</v>
      </c>
      <c r="CL258" t="s">
        <v>1356</v>
      </c>
      <c r="CM258" t="s">
        <v>1356</v>
      </c>
      <c r="CN258" t="b">
        <f t="shared" si="220"/>
        <v>1</v>
      </c>
      <c r="CO258" t="str">
        <f t="shared" si="206"/>
        <v>R466</v>
      </c>
      <c r="CP258" t="str">
        <f t="shared" si="221"/>
        <v>R466</v>
      </c>
      <c r="CQ258" t="str">
        <f t="shared" si="207"/>
        <v>R24</v>
      </c>
      <c r="CR258" t="str">
        <f t="shared" si="208"/>
        <v>R24</v>
      </c>
      <c r="CS258" t="s">
        <v>675</v>
      </c>
      <c r="CT258" t="s">
        <v>675</v>
      </c>
      <c r="CU258" t="s">
        <v>675</v>
      </c>
      <c r="CV258" t="b">
        <f t="shared" si="222"/>
        <v>1</v>
      </c>
      <c r="DC258" t="str">
        <f t="shared" si="209"/>
        <v>G649</v>
      </c>
      <c r="DD258" t="b">
        <f t="shared" si="223"/>
        <v>0</v>
      </c>
      <c r="DE258" t="str">
        <f t="shared" si="224"/>
        <v>G649</v>
      </c>
      <c r="DF258" t="str">
        <f t="shared" si="210"/>
        <v>R24</v>
      </c>
      <c r="DG258" t="b">
        <f t="shared" si="225"/>
        <v>0</v>
      </c>
      <c r="DH258" t="str">
        <f t="shared" si="226"/>
        <v>R24</v>
      </c>
    </row>
    <row r="259" spans="2:112" ht="12" customHeight="1">
      <c r="B259" t="str">
        <f>TBIDry!H331</f>
        <v>G767</v>
      </c>
      <c r="C259" t="str">
        <f>TBIDry!I331</f>
        <v>R152</v>
      </c>
      <c r="D259" t="b">
        <f t="shared" si="173"/>
        <v>0</v>
      </c>
      <c r="E259" t="b">
        <f t="shared" si="174"/>
        <v>0</v>
      </c>
      <c r="G259" t="str">
        <f>TBIWet!H331</f>
        <v>G550</v>
      </c>
      <c r="H259" t="str">
        <f>TBIWet!I331</f>
        <v>R97</v>
      </c>
      <c r="I259" t="b">
        <f t="shared" si="175"/>
        <v>0</v>
      </c>
      <c r="J259" t="b">
        <f t="shared" si="176"/>
        <v>0</v>
      </c>
      <c r="L259" t="str">
        <f>'Both teabags AfterWet'!A257</f>
        <v>G696</v>
      </c>
      <c r="M259" t="str">
        <f>'Both teabags AfterWet'!A677</f>
        <v>R468</v>
      </c>
      <c r="N259" t="b">
        <f t="shared" si="177"/>
        <v>0</v>
      </c>
      <c r="O259" t="b">
        <f t="shared" si="227"/>
        <v>0</v>
      </c>
      <c r="Q259" s="388" t="b">
        <f t="shared" si="178"/>
        <v>0</v>
      </c>
      <c r="R259" s="388" t="b">
        <f t="shared" si="179"/>
        <v>0</v>
      </c>
      <c r="T259" t="str">
        <f>'Both teabags AfterDry'!A257</f>
        <v>G570</v>
      </c>
      <c r="U259" t="str">
        <f>'Both teabags AfterDry'!A592</f>
        <v>R751</v>
      </c>
      <c r="V259" t="b">
        <f t="shared" si="180"/>
        <v>0</v>
      </c>
      <c r="W259" t="b">
        <f t="shared" si="211"/>
        <v>0</v>
      </c>
      <c r="Y259" t="str">
        <f>'Green_rooibos initial weight'!A260</f>
        <v>G256</v>
      </c>
      <c r="Z259" t="str">
        <f>'Green_rooibos initial weight'!A1164</f>
        <v>R256</v>
      </c>
      <c r="AA259" t="b">
        <f t="shared" si="181"/>
        <v>0</v>
      </c>
      <c r="AB259" t="b">
        <f t="shared" si="182"/>
        <v>0</v>
      </c>
      <c r="AE259" t="str">
        <f>'WetLitterbags placem_collection'!O38</f>
        <v>G550</v>
      </c>
      <c r="AF259" t="str">
        <f>'WetLitterbags placem_collection'!Q38</f>
        <v>R97</v>
      </c>
      <c r="AG259" t="b">
        <f t="shared" si="183"/>
        <v>0</v>
      </c>
      <c r="AH259" t="b">
        <f t="shared" si="184"/>
        <v>0</v>
      </c>
      <c r="AJ259" t="b">
        <f t="shared" si="185"/>
        <v>0</v>
      </c>
      <c r="AK259" t="b">
        <f t="shared" si="186"/>
        <v>0</v>
      </c>
      <c r="AM259" t="str">
        <f>IF(ISBLANK('Dry_Litterbag Placem_Collection'!L38),"","G"&amp;""&amp;'Dry_Litterbag Placem_Collection'!L38)</f>
        <v>G767</v>
      </c>
      <c r="AN259" t="str">
        <f>IF(ISBLANK('Dry_Litterbag Placem_Collection'!M38),"","R"&amp;""&amp;'Dry_Litterbag Placem_Collection'!M38)</f>
        <v>R152</v>
      </c>
      <c r="AO259" t="b">
        <f t="shared" si="187"/>
        <v>0</v>
      </c>
      <c r="AP259" t="b">
        <f t="shared" si="188"/>
        <v>0</v>
      </c>
      <c r="AS259" t="str">
        <f>'Ashed teabags dry'!A257</f>
        <v>G570</v>
      </c>
      <c r="AT259" t="str">
        <f>'Ashed teabags dry'!A592</f>
        <v>R751</v>
      </c>
      <c r="AU259" t="b">
        <f t="shared" si="189"/>
        <v>0</v>
      </c>
      <c r="AV259" t="b">
        <f t="shared" si="212"/>
        <v>0</v>
      </c>
      <c r="AX259" s="388" t="b">
        <f t="shared" si="190"/>
        <v>0</v>
      </c>
      <c r="AY259" s="388" t="b">
        <f t="shared" si="191"/>
        <v>0</v>
      </c>
      <c r="BA259" t="str">
        <f>'Ashed teabags wet'!A257</f>
        <v>G696</v>
      </c>
      <c r="BB259" t="str">
        <f>'Ashed teabags wet'!A677</f>
        <v>R468</v>
      </c>
      <c r="BC259" t="b">
        <f t="shared" si="192"/>
        <v>0</v>
      </c>
      <c r="BD259" t="b">
        <f t="shared" si="172"/>
        <v>0</v>
      </c>
      <c r="BF259" t="str">
        <f t="shared" si="193"/>
        <v>G57</v>
      </c>
      <c r="BG259" t="str">
        <f t="shared" si="194"/>
        <v>G57</v>
      </c>
      <c r="BH259" t="str">
        <f t="shared" si="195"/>
        <v>G717</v>
      </c>
      <c r="BI259" t="str">
        <f t="shared" si="213"/>
        <v>G717</v>
      </c>
      <c r="BJ259" t="s">
        <v>1993</v>
      </c>
      <c r="BK259" t="s">
        <v>1993</v>
      </c>
      <c r="BL259" t="s">
        <v>1993</v>
      </c>
      <c r="BM259" t="b">
        <f t="shared" si="214"/>
        <v>1</v>
      </c>
      <c r="BN259" t="str">
        <f t="shared" si="196"/>
        <v>R75</v>
      </c>
      <c r="BO259" t="str">
        <f t="shared" si="197"/>
        <v>R75</v>
      </c>
      <c r="BP259" t="str">
        <f t="shared" si="198"/>
        <v>R108</v>
      </c>
      <c r="BQ259" t="str">
        <f t="shared" si="199"/>
        <v>R108</v>
      </c>
      <c r="BR259" t="s">
        <v>1066</v>
      </c>
      <c r="BS259" t="s">
        <v>388</v>
      </c>
      <c r="BT259" t="s">
        <v>1066</v>
      </c>
      <c r="BU259" t="b">
        <f t="shared" si="215"/>
        <v>1</v>
      </c>
      <c r="BZ259" t="str">
        <f t="shared" si="200"/>
        <v>G717</v>
      </c>
      <c r="CA259" t="b">
        <f t="shared" si="201"/>
        <v>0</v>
      </c>
      <c r="CB259" t="str">
        <f t="shared" si="216"/>
        <v>G717</v>
      </c>
      <c r="CC259" t="str">
        <f t="shared" si="202"/>
        <v>R108</v>
      </c>
      <c r="CD259" t="b">
        <f t="shared" si="217"/>
        <v>0</v>
      </c>
      <c r="CE259" t="str">
        <f t="shared" si="218"/>
        <v>R108</v>
      </c>
      <c r="CG259" t="str">
        <f t="shared" si="203"/>
        <v>G695</v>
      </c>
      <c r="CH259" t="str">
        <f t="shared" si="219"/>
        <v>G695</v>
      </c>
      <c r="CI259" t="str">
        <f t="shared" si="204"/>
        <v>G732</v>
      </c>
      <c r="CJ259" t="str">
        <f t="shared" si="205"/>
        <v>G732</v>
      </c>
      <c r="CK259" t="s">
        <v>1355</v>
      </c>
      <c r="CL259" t="s">
        <v>1355</v>
      </c>
      <c r="CM259" t="s">
        <v>1355</v>
      </c>
      <c r="CN259" t="b">
        <f t="shared" si="220"/>
        <v>1</v>
      </c>
      <c r="CO259" t="str">
        <f t="shared" si="206"/>
        <v>R467</v>
      </c>
      <c r="CP259" t="str">
        <f t="shared" si="221"/>
        <v>R467</v>
      </c>
      <c r="CQ259" t="str">
        <f t="shared" si="207"/>
        <v>R69</v>
      </c>
      <c r="CR259" t="str">
        <f t="shared" si="208"/>
        <v>R69</v>
      </c>
      <c r="CS259" t="s">
        <v>674</v>
      </c>
      <c r="CT259" t="s">
        <v>674</v>
      </c>
      <c r="CU259" t="s">
        <v>674</v>
      </c>
      <c r="CV259" t="b">
        <f t="shared" si="222"/>
        <v>1</v>
      </c>
      <c r="DC259" t="str">
        <f t="shared" si="209"/>
        <v>G732</v>
      </c>
      <c r="DD259" t="b">
        <f t="shared" si="223"/>
        <v>0</v>
      </c>
      <c r="DE259" t="str">
        <f t="shared" si="224"/>
        <v>G732</v>
      </c>
      <c r="DF259" t="str">
        <f t="shared" si="210"/>
        <v>R69</v>
      </c>
      <c r="DG259" t="b">
        <f t="shared" si="225"/>
        <v>0</v>
      </c>
      <c r="DH259" t="str">
        <f t="shared" si="226"/>
        <v>R69</v>
      </c>
    </row>
    <row r="260" spans="2:112" ht="12" customHeight="1">
      <c r="B260" t="str">
        <f>TBIDry!H332</f>
        <v>G473</v>
      </c>
      <c r="C260" t="str">
        <f>TBIDry!I332</f>
        <v>R681</v>
      </c>
      <c r="D260" t="b">
        <f t="shared" si="173"/>
        <v>0</v>
      </c>
      <c r="E260" t="b">
        <f t="shared" si="174"/>
        <v>0</v>
      </c>
      <c r="G260" t="str">
        <f>TBIWet!H332</f>
        <v>G528</v>
      </c>
      <c r="H260" t="str">
        <f>TBIWet!I332</f>
        <v>R89</v>
      </c>
      <c r="I260" t="b">
        <f t="shared" si="175"/>
        <v>0</v>
      </c>
      <c r="J260" t="b">
        <f t="shared" si="176"/>
        <v>0</v>
      </c>
      <c r="L260" t="str">
        <f>'Both teabags AfterWet'!A258</f>
        <v>G697</v>
      </c>
      <c r="M260" t="str">
        <f>'Both teabags AfterWet'!A678</f>
        <v>R469</v>
      </c>
      <c r="N260" t="b">
        <f t="shared" si="177"/>
        <v>0</v>
      </c>
      <c r="O260" t="b">
        <f t="shared" si="227"/>
        <v>0</v>
      </c>
      <c r="Q260" s="388" t="b">
        <f t="shared" si="178"/>
        <v>0</v>
      </c>
      <c r="R260" s="388" t="b">
        <f t="shared" si="179"/>
        <v>0</v>
      </c>
      <c r="T260" t="str">
        <f>'Both teabags AfterDry'!A258</f>
        <v>G58</v>
      </c>
      <c r="U260" t="str">
        <f>'Both teabags AfterDry'!A593</f>
        <v>R752</v>
      </c>
      <c r="V260" t="b">
        <f t="shared" si="180"/>
        <v>0</v>
      </c>
      <c r="W260" t="b">
        <f t="shared" si="211"/>
        <v>0</v>
      </c>
      <c r="Y260" t="str">
        <f>'Green_rooibos initial weight'!A261</f>
        <v>G257</v>
      </c>
      <c r="Z260" t="str">
        <f>'Green_rooibos initial weight'!A1165</f>
        <v>R257</v>
      </c>
      <c r="AA260" t="b">
        <f t="shared" si="181"/>
        <v>0</v>
      </c>
      <c r="AB260" t="b">
        <f t="shared" si="182"/>
        <v>0</v>
      </c>
      <c r="AE260" t="str">
        <f>'WetLitterbags placem_collection'!O39</f>
        <v>G528</v>
      </c>
      <c r="AF260" t="str">
        <f>'WetLitterbags placem_collection'!Q39</f>
        <v>R89</v>
      </c>
      <c r="AG260" t="b">
        <f t="shared" si="183"/>
        <v>0</v>
      </c>
      <c r="AH260" t="b">
        <f t="shared" si="184"/>
        <v>0</v>
      </c>
      <c r="AJ260" t="b">
        <f t="shared" si="185"/>
        <v>0</v>
      </c>
      <c r="AK260" t="b">
        <f t="shared" si="186"/>
        <v>0</v>
      </c>
      <c r="AM260" t="str">
        <f>IF(ISBLANK('Dry_Litterbag Placem_Collection'!L39),"","G"&amp;""&amp;'Dry_Litterbag Placem_Collection'!L39)</f>
        <v>G473</v>
      </c>
      <c r="AN260" t="str">
        <f>IF(ISBLANK('Dry_Litterbag Placem_Collection'!M39),"","R"&amp;""&amp;'Dry_Litterbag Placem_Collection'!M39)</f>
        <v>R681</v>
      </c>
      <c r="AO260" t="b">
        <f t="shared" si="187"/>
        <v>0</v>
      </c>
      <c r="AP260" t="b">
        <f t="shared" si="188"/>
        <v>0</v>
      </c>
      <c r="AS260" t="str">
        <f>'Ashed teabags dry'!A258</f>
        <v>G58</v>
      </c>
      <c r="AT260" t="str">
        <f>'Ashed teabags dry'!A593</f>
        <v>R752</v>
      </c>
      <c r="AU260" t="b">
        <f t="shared" si="189"/>
        <v>0</v>
      </c>
      <c r="AV260" t="b">
        <f t="shared" si="212"/>
        <v>0</v>
      </c>
      <c r="AX260" s="388" t="b">
        <f t="shared" si="190"/>
        <v>0</v>
      </c>
      <c r="AY260" s="388" t="b">
        <f t="shared" si="191"/>
        <v>0</v>
      </c>
      <c r="BA260" t="str">
        <f>'Ashed teabags wet'!A258</f>
        <v>G697</v>
      </c>
      <c r="BB260" t="str">
        <f>'Ashed teabags wet'!A678</f>
        <v>R469</v>
      </c>
      <c r="BC260" t="b">
        <f t="shared" si="192"/>
        <v>0</v>
      </c>
      <c r="BD260" t="b">
        <f t="shared" ref="BD260:BD323" si="228">COUNTIF($BB$4:$BB$2000, BB260)&gt;1</f>
        <v>0</v>
      </c>
      <c r="BF260" t="str">
        <f t="shared" si="193"/>
        <v>G570</v>
      </c>
      <c r="BG260" t="str">
        <f t="shared" si="194"/>
        <v>G570</v>
      </c>
      <c r="BH260" t="str">
        <f t="shared" si="195"/>
        <v>G767</v>
      </c>
      <c r="BI260" t="str">
        <f t="shared" si="213"/>
        <v>G767</v>
      </c>
      <c r="BJ260" t="s">
        <v>1480</v>
      </c>
      <c r="BK260" t="s">
        <v>1480</v>
      </c>
      <c r="BL260" t="s">
        <v>1480</v>
      </c>
      <c r="BM260" t="b">
        <f t="shared" si="214"/>
        <v>1</v>
      </c>
      <c r="BN260" t="str">
        <f t="shared" si="196"/>
        <v>R751</v>
      </c>
      <c r="BO260" t="str">
        <f t="shared" si="197"/>
        <v>R751</v>
      </c>
      <c r="BP260" t="str">
        <f t="shared" si="198"/>
        <v>R152</v>
      </c>
      <c r="BQ260" t="str">
        <f t="shared" si="199"/>
        <v/>
      </c>
      <c r="BR260" t="s">
        <v>388</v>
      </c>
      <c r="BS260" t="s">
        <v>387</v>
      </c>
      <c r="BT260" t="s">
        <v>388</v>
      </c>
      <c r="BU260" t="b">
        <f t="shared" si="215"/>
        <v>1</v>
      </c>
      <c r="BZ260" t="str">
        <f t="shared" si="200"/>
        <v>G767</v>
      </c>
      <c r="CA260" t="b">
        <f t="shared" si="201"/>
        <v>0</v>
      </c>
      <c r="CB260" t="str">
        <f t="shared" si="216"/>
        <v>G767</v>
      </c>
      <c r="CC260" t="str">
        <f t="shared" si="202"/>
        <v>R152</v>
      </c>
      <c r="CD260" t="b">
        <f t="shared" si="217"/>
        <v>1</v>
      </c>
      <c r="CE260" t="str">
        <f t="shared" si="218"/>
        <v/>
      </c>
      <c r="CG260" t="str">
        <f t="shared" si="203"/>
        <v>G696</v>
      </c>
      <c r="CH260" t="str">
        <f t="shared" si="219"/>
        <v>G696</v>
      </c>
      <c r="CI260" t="str">
        <f t="shared" si="204"/>
        <v>G550</v>
      </c>
      <c r="CJ260" t="str">
        <f t="shared" si="205"/>
        <v>G550</v>
      </c>
      <c r="CK260" t="s">
        <v>1354</v>
      </c>
      <c r="CL260" t="s">
        <v>1354</v>
      </c>
      <c r="CM260" t="s">
        <v>1354</v>
      </c>
      <c r="CN260" t="b">
        <f t="shared" si="220"/>
        <v>1</v>
      </c>
      <c r="CO260" t="str">
        <f t="shared" si="206"/>
        <v>R468</v>
      </c>
      <c r="CP260" t="str">
        <f t="shared" si="221"/>
        <v>R468</v>
      </c>
      <c r="CQ260" t="str">
        <f t="shared" si="207"/>
        <v>R97</v>
      </c>
      <c r="CR260" t="str">
        <f t="shared" si="208"/>
        <v>R97</v>
      </c>
      <c r="CS260" t="s">
        <v>673</v>
      </c>
      <c r="CT260" t="s">
        <v>673</v>
      </c>
      <c r="CU260" t="s">
        <v>673</v>
      </c>
      <c r="CV260" t="b">
        <f t="shared" si="222"/>
        <v>1</v>
      </c>
      <c r="DC260" t="str">
        <f t="shared" si="209"/>
        <v>G550</v>
      </c>
      <c r="DD260" t="b">
        <f t="shared" si="223"/>
        <v>0</v>
      </c>
      <c r="DE260" t="str">
        <f t="shared" si="224"/>
        <v>G550</v>
      </c>
      <c r="DF260" t="str">
        <f t="shared" si="210"/>
        <v>R97</v>
      </c>
      <c r="DG260" t="b">
        <f t="shared" si="225"/>
        <v>0</v>
      </c>
      <c r="DH260" t="str">
        <f t="shared" si="226"/>
        <v>R97</v>
      </c>
    </row>
    <row r="261" spans="2:112" ht="12" customHeight="1">
      <c r="B261" t="str">
        <f>TBIDry!H333</f>
        <v>G111</v>
      </c>
      <c r="C261" t="str">
        <f>TBIDry!I333</f>
        <v>R260</v>
      </c>
      <c r="D261" t="b">
        <f t="shared" ref="D261:D324" si="229">COUNTIF($B$4:$B$2000, B261)&gt;1</f>
        <v>0</v>
      </c>
      <c r="E261" t="b">
        <f t="shared" ref="E261:E324" si="230">COUNTIF($C$4:$C$2000, C261)&gt;1</f>
        <v>0</v>
      </c>
      <c r="G261" t="str">
        <f>TBIWet!H333</f>
        <v>G703</v>
      </c>
      <c r="H261" t="str">
        <f>TBIWet!I333</f>
        <v>R147</v>
      </c>
      <c r="I261" t="b">
        <f t="shared" ref="I261:I324" si="231">COUNTIF($G$4:$G$2000, G261)&gt;1</f>
        <v>0</v>
      </c>
      <c r="J261" t="b">
        <f t="shared" ref="J261:J324" si="232">COUNTIF($H$4:$H$2000, H261)&gt;1</f>
        <v>0</v>
      </c>
      <c r="L261" t="str">
        <f>'Both teabags AfterWet'!A259</f>
        <v>G698</v>
      </c>
      <c r="M261" t="str">
        <f>'Both teabags AfterWet'!A679</f>
        <v>R470</v>
      </c>
      <c r="N261" t="b">
        <f t="shared" ref="N261:N324" si="233">COUNTIF($L$4:$L$2000, L261)&gt;1</f>
        <v>0</v>
      </c>
      <c r="O261" t="b">
        <f t="shared" si="227"/>
        <v>0</v>
      </c>
      <c r="Q261" s="388" t="b">
        <f t="shared" ref="Q261:Q324" si="234">COUNTIF($T$4:$T$2000, L261)=1</f>
        <v>0</v>
      </c>
      <c r="R261" s="388" t="b">
        <f t="shared" ref="R261:R324" si="235" xml:space="preserve"> COUNTIF($U$4:$U$2000,M261)=1</f>
        <v>0</v>
      </c>
      <c r="T261" t="str">
        <f>'Both teabags AfterDry'!A259</f>
        <v>G580</v>
      </c>
      <c r="U261" t="str">
        <f>'Both teabags AfterDry'!A594</f>
        <v>R756</v>
      </c>
      <c r="V261" t="b">
        <f t="shared" ref="V261:V324" si="236">COUNTIF($T$4:$T$2000, T261)&gt;1</f>
        <v>0</v>
      </c>
      <c r="W261" t="b">
        <f t="shared" si="211"/>
        <v>0</v>
      </c>
      <c r="Y261" t="str">
        <f>'Green_rooibos initial weight'!A262</f>
        <v>G258</v>
      </c>
      <c r="Z261" t="str">
        <f>'Green_rooibos initial weight'!A1166</f>
        <v>R258</v>
      </c>
      <c r="AA261" t="b">
        <f t="shared" ref="AA261:AA324" si="237">COUNTIF($Y$4:$Y$2000, Y261)&gt;1</f>
        <v>0</v>
      </c>
      <c r="AB261" t="b">
        <f t="shared" ref="AB261:AB324" si="238">COUNTIF($Z$4:$Z$2000, Z261)&gt;1</f>
        <v>0</v>
      </c>
      <c r="AE261" t="str">
        <f>'WetLitterbags placem_collection'!O40</f>
        <v>G703</v>
      </c>
      <c r="AF261" t="str">
        <f>'WetLitterbags placem_collection'!Q40</f>
        <v>R147</v>
      </c>
      <c r="AG261" t="b">
        <f t="shared" ref="AG261:AG324" si="239">COUNTIF($AE$4:$AE$2000, AE261)&gt;1</f>
        <v>0</v>
      </c>
      <c r="AH261" t="b">
        <f t="shared" ref="AH261:AH324" si="240">COUNTIF($AF$4:$AF$2000, AF261)&gt;1</f>
        <v>0</v>
      </c>
      <c r="AJ261" t="b">
        <f t="shared" ref="AJ261:AJ324" si="241">COUNTIF($AM$4:$AM$2000, AE261)=1</f>
        <v>0</v>
      </c>
      <c r="AK261" t="b">
        <f t="shared" ref="AK261:AK324" si="242">COUNTIF($AN$4:$AN$2000, AF261)=1</f>
        <v>0</v>
      </c>
      <c r="AM261" t="str">
        <f>IF(ISBLANK('Dry_Litterbag Placem_Collection'!L40),"","G"&amp;""&amp;'Dry_Litterbag Placem_Collection'!L40)</f>
        <v>G111</v>
      </c>
      <c r="AN261" t="str">
        <f>IF(ISBLANK('Dry_Litterbag Placem_Collection'!M40),"","R"&amp;""&amp;'Dry_Litterbag Placem_Collection'!M40)</f>
        <v>R260</v>
      </c>
      <c r="AO261" t="b">
        <f t="shared" ref="AO261:AO324" si="243">COUNTIF($AM$4:$AM$2000, AM261)&gt;1</f>
        <v>0</v>
      </c>
      <c r="AP261" t="b">
        <f t="shared" ref="AP261:AP324" si="244">COUNTIF($AN$4:$AN$2000, AN261)&gt;1</f>
        <v>0</v>
      </c>
      <c r="AS261" t="str">
        <f>'Ashed teabags dry'!A259</f>
        <v>G580</v>
      </c>
      <c r="AT261" t="str">
        <f>'Ashed teabags dry'!A594</f>
        <v>R756</v>
      </c>
      <c r="AU261" t="b">
        <f t="shared" ref="AU261:AU324" si="245">COUNTIF($AS$4:$AS$2000, AS261)&gt;1</f>
        <v>0</v>
      </c>
      <c r="AV261" t="b">
        <f t="shared" si="212"/>
        <v>0</v>
      </c>
      <c r="AX261" s="388" t="b">
        <f t="shared" ref="AX261:AX324" si="246">COUNTIF($BA$4:$BA$2000, AS261)=1</f>
        <v>0</v>
      </c>
      <c r="AY261" s="388" t="b">
        <f t="shared" ref="AY261:AY324" si="247">COUNTIF($BB$4:$BB$2000, AT261)=1</f>
        <v>0</v>
      </c>
      <c r="BA261" t="str">
        <f>'Ashed teabags wet'!A259</f>
        <v>G698</v>
      </c>
      <c r="BB261" t="str">
        <f>'Ashed teabags wet'!A679</f>
        <v>R470</v>
      </c>
      <c r="BC261" t="b">
        <f t="shared" ref="BC261:BC324" si="248">COUNTIF($BA$4:$BA$2000, BA261)&gt;1</f>
        <v>0</v>
      </c>
      <c r="BD261" t="b">
        <f t="shared" si="228"/>
        <v>0</v>
      </c>
      <c r="BF261" t="str">
        <f t="shared" ref="BF261:BF324" si="249">AS260</f>
        <v>G58</v>
      </c>
      <c r="BG261" t="str">
        <f t="shared" ref="BG261:BG324" si="250">T260</f>
        <v>G58</v>
      </c>
      <c r="BH261" t="str">
        <f t="shared" ref="BH261:BH324" si="251">B260</f>
        <v>G473</v>
      </c>
      <c r="BI261" t="str">
        <f t="shared" si="213"/>
        <v>G473</v>
      </c>
      <c r="BJ261" t="s">
        <v>1992</v>
      </c>
      <c r="BK261" t="s">
        <v>1992</v>
      </c>
      <c r="BL261" t="s">
        <v>1992</v>
      </c>
      <c r="BM261" t="b">
        <f t="shared" si="214"/>
        <v>1</v>
      </c>
      <c r="BN261" t="str">
        <f t="shared" ref="BN261:BN324" si="252">AT260</f>
        <v>R752</v>
      </c>
      <c r="BO261" t="str">
        <f t="shared" ref="BO261:BO324" si="253">U260</f>
        <v>R752</v>
      </c>
      <c r="BP261" t="str">
        <f t="shared" ref="BP261:BP324" si="254">C260</f>
        <v>R681</v>
      </c>
      <c r="BQ261" t="str">
        <f t="shared" ref="BQ261:BQ324" si="255">CE261</f>
        <v>R681</v>
      </c>
      <c r="BR261" t="s">
        <v>387</v>
      </c>
      <c r="BS261" t="s">
        <v>383</v>
      </c>
      <c r="BT261" t="s">
        <v>387</v>
      </c>
      <c r="BU261" t="b">
        <f t="shared" si="215"/>
        <v>1</v>
      </c>
      <c r="BZ261" t="str">
        <f t="shared" ref="BZ261:BZ324" si="256">BH261</f>
        <v>G473</v>
      </c>
      <c r="CA261" t="b">
        <f t="shared" ref="CA261:CA324" si="257">COUNTIF($BV$5:$BV$2000, BZ261)=1</f>
        <v>0</v>
      </c>
      <c r="CB261" t="str">
        <f t="shared" si="216"/>
        <v>G473</v>
      </c>
      <c r="CC261" t="str">
        <f t="shared" ref="CC261:CC324" si="258">BP261</f>
        <v>R681</v>
      </c>
      <c r="CD261" t="b">
        <f t="shared" si="217"/>
        <v>0</v>
      </c>
      <c r="CE261" t="str">
        <f t="shared" si="218"/>
        <v>R681</v>
      </c>
      <c r="CG261" t="str">
        <f t="shared" ref="CG261:CG324" si="259">BA260</f>
        <v>G697</v>
      </c>
      <c r="CH261" t="str">
        <f t="shared" si="219"/>
        <v>G697</v>
      </c>
      <c r="CI261" t="str">
        <f t="shared" ref="CI261:CI324" si="260">AE260</f>
        <v>G528</v>
      </c>
      <c r="CJ261" t="str">
        <f t="shared" ref="CJ261:CJ324" si="261">DE261</f>
        <v>G528</v>
      </c>
      <c r="CK261" t="s">
        <v>1353</v>
      </c>
      <c r="CL261" t="s">
        <v>1353</v>
      </c>
      <c r="CM261" t="s">
        <v>1353</v>
      </c>
      <c r="CN261" t="b">
        <f t="shared" si="220"/>
        <v>1</v>
      </c>
      <c r="CO261" t="str">
        <f t="shared" ref="CO261:CO324" si="262">BB260</f>
        <v>R469</v>
      </c>
      <c r="CP261" t="str">
        <f t="shared" si="221"/>
        <v>R469</v>
      </c>
      <c r="CQ261" t="str">
        <f t="shared" ref="CQ261:CQ324" si="263">AF260</f>
        <v>R89</v>
      </c>
      <c r="CR261" t="str">
        <f t="shared" ref="CR261:CR324" si="264">DH261</f>
        <v>R89</v>
      </c>
      <c r="CS261" t="s">
        <v>672</v>
      </c>
      <c r="CT261" t="s">
        <v>672</v>
      </c>
      <c r="CU261" t="s">
        <v>672</v>
      </c>
      <c r="CV261" t="b">
        <f t="shared" si="222"/>
        <v>1</v>
      </c>
      <c r="DC261" t="str">
        <f t="shared" ref="DC261:DC324" si="265">CI261</f>
        <v>G528</v>
      </c>
      <c r="DD261" t="b">
        <f t="shared" si="223"/>
        <v>0</v>
      </c>
      <c r="DE261" t="str">
        <f t="shared" si="224"/>
        <v>G528</v>
      </c>
      <c r="DF261" t="str">
        <f t="shared" ref="DF261:DF324" si="266">CQ261</f>
        <v>R89</v>
      </c>
      <c r="DG261" t="b">
        <f t="shared" si="225"/>
        <v>0</v>
      </c>
      <c r="DH261" t="str">
        <f t="shared" si="226"/>
        <v>R89</v>
      </c>
    </row>
    <row r="262" spans="2:112" ht="12" customHeight="1">
      <c r="B262" t="str">
        <f>TBIDry!H334</f>
        <v/>
      </c>
      <c r="C262" t="str">
        <f>TBIDry!I334</f>
        <v/>
      </c>
      <c r="D262" t="b">
        <f t="shared" si="229"/>
        <v>1</v>
      </c>
      <c r="E262" t="b">
        <f t="shared" si="230"/>
        <v>1</v>
      </c>
      <c r="G262" t="str">
        <f>TBIWet!H334</f>
        <v>G566</v>
      </c>
      <c r="H262" t="str">
        <f>TBIWet!I334</f>
        <v>R65</v>
      </c>
      <c r="I262" t="b">
        <f t="shared" si="231"/>
        <v>0</v>
      </c>
      <c r="J262" t="b">
        <f t="shared" si="232"/>
        <v>0</v>
      </c>
      <c r="L262" t="str">
        <f>'Both teabags AfterWet'!A260</f>
        <v>G699</v>
      </c>
      <c r="M262" t="str">
        <f>'Both teabags AfterWet'!A680</f>
        <v>R471</v>
      </c>
      <c r="N262" t="b">
        <f t="shared" si="233"/>
        <v>0</v>
      </c>
      <c r="O262" t="b">
        <f t="shared" si="227"/>
        <v>0</v>
      </c>
      <c r="Q262" s="388" t="b">
        <f t="shared" si="234"/>
        <v>0</v>
      </c>
      <c r="R262" s="388" t="b">
        <f t="shared" si="235"/>
        <v>0</v>
      </c>
      <c r="T262" t="str">
        <f>'Both teabags AfterDry'!A260</f>
        <v>G59</v>
      </c>
      <c r="U262" t="str">
        <f>'Both teabags AfterDry'!A595</f>
        <v>R757</v>
      </c>
      <c r="V262" t="b">
        <f t="shared" si="236"/>
        <v>0</v>
      </c>
      <c r="W262" t="b">
        <f t="shared" ref="W262:W325" si="267">COUNTIF($U$4:$U$2000, U262)&gt;1</f>
        <v>0</v>
      </c>
      <c r="Y262" t="str">
        <f>'Green_rooibos initial weight'!A263</f>
        <v>G259</v>
      </c>
      <c r="Z262" t="str">
        <f>'Green_rooibos initial weight'!A1167</f>
        <v>R259</v>
      </c>
      <c r="AA262" t="b">
        <f t="shared" si="237"/>
        <v>0</v>
      </c>
      <c r="AB262" t="b">
        <f t="shared" si="238"/>
        <v>0</v>
      </c>
      <c r="AE262" t="str">
        <f>'WetLitterbags placem_collection'!O41</f>
        <v>G566</v>
      </c>
      <c r="AF262" t="str">
        <f>'WetLitterbags placem_collection'!Q41</f>
        <v>R65</v>
      </c>
      <c r="AG262" t="b">
        <f t="shared" si="239"/>
        <v>0</v>
      </c>
      <c r="AH262" t="b">
        <f t="shared" si="240"/>
        <v>0</v>
      </c>
      <c r="AJ262" t="b">
        <f t="shared" si="241"/>
        <v>0</v>
      </c>
      <c r="AK262" t="b">
        <f t="shared" si="242"/>
        <v>0</v>
      </c>
      <c r="AM262" t="str">
        <f>IF(ISBLANK('Dry_Litterbag Placem_Collection'!L41),"","G"&amp;""&amp;'Dry_Litterbag Placem_Collection'!L41)</f>
        <v/>
      </c>
      <c r="AN262" t="str">
        <f>IF(ISBLANK('Dry_Litterbag Placem_Collection'!M41),"","R"&amp;""&amp;'Dry_Litterbag Placem_Collection'!M41)</f>
        <v/>
      </c>
      <c r="AO262" t="b">
        <f t="shared" si="243"/>
        <v>1</v>
      </c>
      <c r="AP262" t="b">
        <f t="shared" si="244"/>
        <v>1</v>
      </c>
      <c r="AS262" t="str">
        <f>'Ashed teabags dry'!A260</f>
        <v>G59</v>
      </c>
      <c r="AT262" t="str">
        <f>'Ashed teabags dry'!A595</f>
        <v>R757</v>
      </c>
      <c r="AU262" t="b">
        <f t="shared" si="245"/>
        <v>0</v>
      </c>
      <c r="AV262" t="b">
        <f t="shared" ref="AV262:AV325" si="268">COUNTIF($AT$4:$AT$2000, AT262)&gt;1</f>
        <v>0</v>
      </c>
      <c r="AX262" s="388" t="b">
        <f t="shared" si="246"/>
        <v>0</v>
      </c>
      <c r="AY262" s="388" t="b">
        <f t="shared" si="247"/>
        <v>0</v>
      </c>
      <c r="BA262" t="str">
        <f>'Ashed teabags wet'!A260</f>
        <v>G699</v>
      </c>
      <c r="BB262" t="str">
        <f>'Ashed teabags wet'!A680</f>
        <v>R471</v>
      </c>
      <c r="BC262" t="b">
        <f t="shared" si="248"/>
        <v>0</v>
      </c>
      <c r="BD262" t="b">
        <f t="shared" si="228"/>
        <v>0</v>
      </c>
      <c r="BF262" t="str">
        <f t="shared" si="249"/>
        <v>G580</v>
      </c>
      <c r="BG262" t="str">
        <f t="shared" si="250"/>
        <v>G580</v>
      </c>
      <c r="BH262" t="str">
        <f t="shared" si="251"/>
        <v>G111</v>
      </c>
      <c r="BI262" t="str">
        <f t="shared" ref="BI262:BI325" si="269">CB262</f>
        <v>G111</v>
      </c>
      <c r="BJ262" t="s">
        <v>1470</v>
      </c>
      <c r="BK262" t="s">
        <v>1470</v>
      </c>
      <c r="BL262" t="s">
        <v>1470</v>
      </c>
      <c r="BM262" t="b">
        <f t="shared" ref="BM262:BM325" si="270" xml:space="preserve"> COUNTIF($BJ$5:$BL$2000,BK262)=3</f>
        <v>1</v>
      </c>
      <c r="BN262" t="str">
        <f t="shared" si="252"/>
        <v>R756</v>
      </c>
      <c r="BO262" t="str">
        <f t="shared" si="253"/>
        <v>R756</v>
      </c>
      <c r="BP262" t="str">
        <f t="shared" si="254"/>
        <v>R260</v>
      </c>
      <c r="BQ262" t="str">
        <f t="shared" si="255"/>
        <v>R260</v>
      </c>
      <c r="BR262" t="s">
        <v>383</v>
      </c>
      <c r="BS262" t="s">
        <v>382</v>
      </c>
      <c r="BT262" t="s">
        <v>383</v>
      </c>
      <c r="BU262" t="b">
        <f t="shared" ref="BU262:BU325" si="271" xml:space="preserve"> COUNTIF($BR$5:$BT$2000,BS262)=3</f>
        <v>1</v>
      </c>
      <c r="BZ262" t="str">
        <f t="shared" si="256"/>
        <v>G111</v>
      </c>
      <c r="CA262" t="b">
        <f t="shared" si="257"/>
        <v>0</v>
      </c>
      <c r="CB262" t="str">
        <f t="shared" ref="CB262:CB325" si="272">IF(ISNUMBER(SEARCH("USANN",CA262)),BZ262,"")</f>
        <v>G111</v>
      </c>
      <c r="CC262" t="str">
        <f t="shared" si="258"/>
        <v>R260</v>
      </c>
      <c r="CD262" t="b">
        <f t="shared" ref="CD262:CD325" si="273">COUNTIF($BW$5:$BW$2000, CC262)=1</f>
        <v>0</v>
      </c>
      <c r="CE262" t="str">
        <f t="shared" ref="CE262:CE325" si="274">IF(ISNUMBER(SEARCH("USANN",CD262)),CC262,"")</f>
        <v>R260</v>
      </c>
      <c r="CG262" t="str">
        <f t="shared" si="259"/>
        <v>G698</v>
      </c>
      <c r="CH262" t="str">
        <f t="shared" ref="CH262:CH325" si="275">L261</f>
        <v>G698</v>
      </c>
      <c r="CI262" t="str">
        <f t="shared" si="260"/>
        <v>G703</v>
      </c>
      <c r="CJ262" t="str">
        <f t="shared" si="261"/>
        <v>G703</v>
      </c>
      <c r="CK262" t="s">
        <v>1352</v>
      </c>
      <c r="CL262" t="s">
        <v>1352</v>
      </c>
      <c r="CM262" t="s">
        <v>1352</v>
      </c>
      <c r="CN262" t="b">
        <f t="shared" ref="CN262:CN325" si="276" xml:space="preserve"> COUNTIF($CK$5:$CM$2000,CL262)=3</f>
        <v>1</v>
      </c>
      <c r="CO262" t="str">
        <f t="shared" si="262"/>
        <v>R470</v>
      </c>
      <c r="CP262" t="str">
        <f t="shared" ref="CP262:CP325" si="277">M261</f>
        <v>R470</v>
      </c>
      <c r="CQ262" t="str">
        <f t="shared" si="263"/>
        <v>R147</v>
      </c>
      <c r="CR262" t="str">
        <f t="shared" si="264"/>
        <v>R147</v>
      </c>
      <c r="CS262" t="s">
        <v>671</v>
      </c>
      <c r="CT262" t="s">
        <v>671</v>
      </c>
      <c r="CU262" t="s">
        <v>671</v>
      </c>
      <c r="CV262" t="b">
        <f t="shared" ref="CV262:CV325" si="278" xml:space="preserve"> COUNTIF($CS$5:$CU$2000,CT262)=3</f>
        <v>1</v>
      </c>
      <c r="DC262" t="str">
        <f t="shared" si="265"/>
        <v>G703</v>
      </c>
      <c r="DD262" t="b">
        <f t="shared" ref="DD262:DD325" si="279">COUNTIF($CW$5:$CW$2000, DC262)=1</f>
        <v>0</v>
      </c>
      <c r="DE262" t="str">
        <f t="shared" ref="DE262:DE325" si="280">IF(ISNUMBER(SEARCH("USANN",DD262)),DC262,"")</f>
        <v>G703</v>
      </c>
      <c r="DF262" t="str">
        <f t="shared" si="266"/>
        <v>R147</v>
      </c>
      <c r="DG262" t="b">
        <f t="shared" ref="DG262:DG325" si="281">COUNTIF($CY$5:$CY$2000, DF262)=1</f>
        <v>0</v>
      </c>
      <c r="DH262" t="str">
        <f t="shared" ref="DH262:DH325" si="282">IF(ISNUMBER(SEARCH("USANN",DG262)),DF262,"")</f>
        <v>R147</v>
      </c>
    </row>
    <row r="263" spans="2:112" ht="12" customHeight="1">
      <c r="B263" t="str">
        <f>TBIDry!H335</f>
        <v>G646</v>
      </c>
      <c r="C263" t="str">
        <f>TBIDry!I335</f>
        <v>R402</v>
      </c>
      <c r="D263" t="b">
        <f t="shared" si="229"/>
        <v>0</v>
      </c>
      <c r="E263" t="b">
        <f t="shared" si="230"/>
        <v>0</v>
      </c>
      <c r="G263" t="str">
        <f>TBIWet!H335</f>
        <v>G619</v>
      </c>
      <c r="H263" t="str">
        <f>TBIWet!I335</f>
        <v>R420</v>
      </c>
      <c r="I263" t="b">
        <f t="shared" si="231"/>
        <v>0</v>
      </c>
      <c r="J263" t="b">
        <f t="shared" si="232"/>
        <v>0</v>
      </c>
      <c r="L263" t="str">
        <f>'Both teabags AfterWet'!A261</f>
        <v>G700</v>
      </c>
      <c r="M263" t="str">
        <f>'Both teabags AfterWet'!A681</f>
        <v>R472</v>
      </c>
      <c r="N263" t="b">
        <f t="shared" si="233"/>
        <v>0</v>
      </c>
      <c r="O263" t="b">
        <f t="shared" ref="O263:O326" si="283">COUNTIF($M$4:$M$2000, M263)&gt;1</f>
        <v>0</v>
      </c>
      <c r="Q263" s="388" t="b">
        <f t="shared" si="234"/>
        <v>0</v>
      </c>
      <c r="R263" s="388" t="b">
        <f t="shared" si="235"/>
        <v>0</v>
      </c>
      <c r="T263" t="str">
        <f>'Both teabags AfterDry'!A261</f>
        <v>G596</v>
      </c>
      <c r="U263" t="str">
        <f>'Both teabags AfterDry'!A596</f>
        <v>R758</v>
      </c>
      <c r="V263" t="b">
        <f t="shared" si="236"/>
        <v>0</v>
      </c>
      <c r="W263" t="b">
        <f t="shared" si="267"/>
        <v>0</v>
      </c>
      <c r="Y263" t="str">
        <f>'Green_rooibos initial weight'!A264</f>
        <v>G260</v>
      </c>
      <c r="Z263" t="str">
        <f>'Green_rooibos initial weight'!A1168</f>
        <v>R260</v>
      </c>
      <c r="AA263" t="b">
        <f t="shared" si="237"/>
        <v>0</v>
      </c>
      <c r="AB263" t="b">
        <f t="shared" si="238"/>
        <v>0</v>
      </c>
      <c r="AE263" t="str">
        <f>'WetLitterbags placem_collection'!O42</f>
        <v>G619</v>
      </c>
      <c r="AF263" t="str">
        <f>'WetLitterbags placem_collection'!Q42</f>
        <v>R420</v>
      </c>
      <c r="AG263" t="b">
        <f t="shared" si="239"/>
        <v>0</v>
      </c>
      <c r="AH263" t="b">
        <f t="shared" si="240"/>
        <v>0</v>
      </c>
      <c r="AJ263" t="b">
        <f t="shared" si="241"/>
        <v>0</v>
      </c>
      <c r="AK263" t="b">
        <f t="shared" si="242"/>
        <v>0</v>
      </c>
      <c r="AM263" t="str">
        <f>IF(ISBLANK('Dry_Litterbag Placem_Collection'!L42),"","G"&amp;""&amp;'Dry_Litterbag Placem_Collection'!L42)</f>
        <v>G646</v>
      </c>
      <c r="AN263" t="str">
        <f>IF(ISBLANK('Dry_Litterbag Placem_Collection'!M42),"","R"&amp;""&amp;'Dry_Litterbag Placem_Collection'!M42)</f>
        <v>R402</v>
      </c>
      <c r="AO263" t="b">
        <f t="shared" si="243"/>
        <v>0</v>
      </c>
      <c r="AP263" t="b">
        <f t="shared" si="244"/>
        <v>0</v>
      </c>
      <c r="AS263" t="str">
        <f>'Ashed teabags dry'!A261</f>
        <v>G596</v>
      </c>
      <c r="AT263" t="str">
        <f>'Ashed teabags dry'!A596</f>
        <v>R758</v>
      </c>
      <c r="AU263" t="b">
        <f t="shared" si="245"/>
        <v>0</v>
      </c>
      <c r="AV263" t="b">
        <f t="shared" si="268"/>
        <v>0</v>
      </c>
      <c r="AX263" s="388" t="b">
        <f t="shared" si="246"/>
        <v>0</v>
      </c>
      <c r="AY263" s="388" t="b">
        <f t="shared" si="247"/>
        <v>0</v>
      </c>
      <c r="BA263" t="str">
        <f>'Ashed teabags wet'!A261</f>
        <v>G700</v>
      </c>
      <c r="BB263" t="str">
        <f>'Ashed teabags wet'!A681</f>
        <v>R472</v>
      </c>
      <c r="BC263" t="b">
        <f t="shared" si="248"/>
        <v>0</v>
      </c>
      <c r="BD263" t="b">
        <f t="shared" si="228"/>
        <v>0</v>
      </c>
      <c r="BF263" t="str">
        <f t="shared" si="249"/>
        <v>G59</v>
      </c>
      <c r="BG263" t="str">
        <f t="shared" si="250"/>
        <v>G59</v>
      </c>
      <c r="BH263" t="str">
        <f t="shared" si="251"/>
        <v/>
      </c>
      <c r="BI263" t="str">
        <f t="shared" si="269"/>
        <v/>
      </c>
      <c r="BJ263" t="s">
        <v>1991</v>
      </c>
      <c r="BK263" t="s">
        <v>1991</v>
      </c>
      <c r="BL263" t="s">
        <v>1991</v>
      </c>
      <c r="BM263" t="b">
        <f t="shared" si="270"/>
        <v>1</v>
      </c>
      <c r="BN263" t="str">
        <f t="shared" si="252"/>
        <v>R757</v>
      </c>
      <c r="BO263" t="str">
        <f t="shared" si="253"/>
        <v>R757</v>
      </c>
      <c r="BP263" t="str">
        <f t="shared" si="254"/>
        <v/>
      </c>
      <c r="BQ263" t="str">
        <f t="shared" si="255"/>
        <v/>
      </c>
      <c r="BR263" t="s">
        <v>382</v>
      </c>
      <c r="BS263" t="s">
        <v>381</v>
      </c>
      <c r="BT263" t="s">
        <v>382</v>
      </c>
      <c r="BU263" t="b">
        <f t="shared" si="271"/>
        <v>1</v>
      </c>
      <c r="BZ263" t="str">
        <f t="shared" si="256"/>
        <v/>
      </c>
      <c r="CA263" t="b">
        <f t="shared" si="257"/>
        <v>0</v>
      </c>
      <c r="CB263" t="str">
        <f t="shared" si="272"/>
        <v/>
      </c>
      <c r="CC263" t="str">
        <f t="shared" si="258"/>
        <v/>
      </c>
      <c r="CD263" t="b">
        <f t="shared" si="273"/>
        <v>0</v>
      </c>
      <c r="CE263" t="str">
        <f t="shared" si="274"/>
        <v/>
      </c>
      <c r="CG263" t="str">
        <f t="shared" si="259"/>
        <v>G699</v>
      </c>
      <c r="CH263" t="str">
        <f t="shared" si="275"/>
        <v>G699</v>
      </c>
      <c r="CI263" t="str">
        <f t="shared" si="260"/>
        <v>G566</v>
      </c>
      <c r="CJ263" t="str">
        <f t="shared" si="261"/>
        <v>G566</v>
      </c>
      <c r="CK263" t="s">
        <v>1351</v>
      </c>
      <c r="CL263" t="s">
        <v>1351</v>
      </c>
      <c r="CM263" t="s">
        <v>1351</v>
      </c>
      <c r="CN263" t="b">
        <f t="shared" si="276"/>
        <v>1</v>
      </c>
      <c r="CO263" t="str">
        <f t="shared" si="262"/>
        <v>R471</v>
      </c>
      <c r="CP263" t="str">
        <f t="shared" si="277"/>
        <v>R471</v>
      </c>
      <c r="CQ263" t="str">
        <f t="shared" si="263"/>
        <v>R65</v>
      </c>
      <c r="CR263" t="str">
        <f t="shared" si="264"/>
        <v>R65</v>
      </c>
      <c r="CS263" t="s">
        <v>670</v>
      </c>
      <c r="CT263" t="s">
        <v>670</v>
      </c>
      <c r="CU263" t="s">
        <v>670</v>
      </c>
      <c r="CV263" t="b">
        <f t="shared" si="278"/>
        <v>1</v>
      </c>
      <c r="DC263" t="str">
        <f t="shared" si="265"/>
        <v>G566</v>
      </c>
      <c r="DD263" t="b">
        <f t="shared" si="279"/>
        <v>0</v>
      </c>
      <c r="DE263" t="str">
        <f t="shared" si="280"/>
        <v>G566</v>
      </c>
      <c r="DF263" t="str">
        <f t="shared" si="266"/>
        <v>R65</v>
      </c>
      <c r="DG263" t="b">
        <f t="shared" si="281"/>
        <v>0</v>
      </c>
      <c r="DH263" t="str">
        <f t="shared" si="282"/>
        <v>R65</v>
      </c>
    </row>
    <row r="264" spans="2:112" ht="12" customHeight="1">
      <c r="B264" t="str">
        <f>TBIDry!H336</f>
        <v>G43</v>
      </c>
      <c r="C264" t="str">
        <f>TBIDry!I336</f>
        <v>R648</v>
      </c>
      <c r="D264" t="b">
        <f t="shared" si="229"/>
        <v>0</v>
      </c>
      <c r="E264" t="b">
        <f t="shared" si="230"/>
        <v>0</v>
      </c>
      <c r="G264" t="str">
        <f>TBIWet!H336</f>
        <v>G626</v>
      </c>
      <c r="H264" t="str">
        <f>TBIWet!I336</f>
        <v>R77</v>
      </c>
      <c r="I264" t="b">
        <f t="shared" si="231"/>
        <v>0</v>
      </c>
      <c r="J264" t="b">
        <f t="shared" si="232"/>
        <v>0</v>
      </c>
      <c r="L264" t="str">
        <f>'Both teabags AfterWet'!A262</f>
        <v>G701</v>
      </c>
      <c r="M264" t="str">
        <f>'Both teabags AfterWet'!A682</f>
        <v>R474</v>
      </c>
      <c r="N264" t="b">
        <f t="shared" si="233"/>
        <v>0</v>
      </c>
      <c r="O264" t="b">
        <f t="shared" si="283"/>
        <v>0</v>
      </c>
      <c r="Q264" s="388" t="b">
        <f t="shared" si="234"/>
        <v>0</v>
      </c>
      <c r="R264" s="388" t="b">
        <f t="shared" si="235"/>
        <v>0</v>
      </c>
      <c r="T264" t="str">
        <f>'Both teabags AfterDry'!A262</f>
        <v>G598</v>
      </c>
      <c r="U264" t="str">
        <f>'Both teabags AfterDry'!A597</f>
        <v>R759</v>
      </c>
      <c r="V264" t="b">
        <f t="shared" si="236"/>
        <v>0</v>
      </c>
      <c r="W264" t="b">
        <f t="shared" si="267"/>
        <v>0</v>
      </c>
      <c r="Y264" t="str">
        <f>'Green_rooibos initial weight'!A265</f>
        <v>G261</v>
      </c>
      <c r="Z264" t="str">
        <f>'Green_rooibos initial weight'!A1169</f>
        <v>R261</v>
      </c>
      <c r="AA264" t="b">
        <f t="shared" si="237"/>
        <v>0</v>
      </c>
      <c r="AB264" t="b">
        <f t="shared" si="238"/>
        <v>0</v>
      </c>
      <c r="AE264" t="str">
        <f>'WetLitterbags placem_collection'!O43</f>
        <v>G626</v>
      </c>
      <c r="AF264" t="str">
        <f>'WetLitterbags placem_collection'!Q43</f>
        <v>R77</v>
      </c>
      <c r="AG264" t="b">
        <f t="shared" si="239"/>
        <v>0</v>
      </c>
      <c r="AH264" t="b">
        <f t="shared" si="240"/>
        <v>0</v>
      </c>
      <c r="AJ264" t="b">
        <f t="shared" si="241"/>
        <v>0</v>
      </c>
      <c r="AK264" t="b">
        <f t="shared" si="242"/>
        <v>0</v>
      </c>
      <c r="AM264" t="str">
        <f>IF(ISBLANK('Dry_Litterbag Placem_Collection'!L43),"","G"&amp;""&amp;'Dry_Litterbag Placem_Collection'!L43)</f>
        <v>G43</v>
      </c>
      <c r="AN264" t="str">
        <f>IF(ISBLANK('Dry_Litterbag Placem_Collection'!M43),"","R"&amp;""&amp;'Dry_Litterbag Placem_Collection'!M43)</f>
        <v>R648</v>
      </c>
      <c r="AO264" t="b">
        <f t="shared" si="243"/>
        <v>0</v>
      </c>
      <c r="AP264" t="b">
        <f t="shared" si="244"/>
        <v>0</v>
      </c>
      <c r="AS264" t="str">
        <f>'Ashed teabags dry'!A262</f>
        <v>G598</v>
      </c>
      <c r="AT264" t="str">
        <f>'Ashed teabags dry'!A597</f>
        <v>R759</v>
      </c>
      <c r="AU264" t="b">
        <f t="shared" si="245"/>
        <v>0</v>
      </c>
      <c r="AV264" t="b">
        <f t="shared" si="268"/>
        <v>0</v>
      </c>
      <c r="AX264" s="388" t="b">
        <f t="shared" si="246"/>
        <v>0</v>
      </c>
      <c r="AY264" s="388" t="b">
        <f t="shared" si="247"/>
        <v>0</v>
      </c>
      <c r="BA264" t="str">
        <f>'Ashed teabags wet'!A262</f>
        <v>G701</v>
      </c>
      <c r="BB264" t="str">
        <f>'Ashed teabags wet'!A682</f>
        <v>R474</v>
      </c>
      <c r="BC264" t="b">
        <f t="shared" si="248"/>
        <v>0</v>
      </c>
      <c r="BD264" t="b">
        <f t="shared" si="228"/>
        <v>0</v>
      </c>
      <c r="BF264" t="str">
        <f t="shared" si="249"/>
        <v>G596</v>
      </c>
      <c r="BG264" t="str">
        <f t="shared" si="250"/>
        <v>G596</v>
      </c>
      <c r="BH264" t="str">
        <f t="shared" si="251"/>
        <v>G646</v>
      </c>
      <c r="BI264" t="str">
        <f t="shared" si="269"/>
        <v>G646</v>
      </c>
      <c r="BJ264" t="s">
        <v>1454</v>
      </c>
      <c r="BK264" t="s">
        <v>1454</v>
      </c>
      <c r="BL264" t="s">
        <v>1454</v>
      </c>
      <c r="BM264" t="b">
        <f t="shared" si="270"/>
        <v>1</v>
      </c>
      <c r="BN264" t="str">
        <f t="shared" si="252"/>
        <v>R758</v>
      </c>
      <c r="BO264" t="str">
        <f t="shared" si="253"/>
        <v>R758</v>
      </c>
      <c r="BP264" t="str">
        <f t="shared" si="254"/>
        <v>R402</v>
      </c>
      <c r="BQ264" t="str">
        <f t="shared" si="255"/>
        <v>R402</v>
      </c>
      <c r="BR264" t="s">
        <v>381</v>
      </c>
      <c r="BS264" t="s">
        <v>380</v>
      </c>
      <c r="BT264" t="s">
        <v>381</v>
      </c>
      <c r="BU264" t="b">
        <f t="shared" si="271"/>
        <v>1</v>
      </c>
      <c r="BZ264" t="str">
        <f t="shared" si="256"/>
        <v>G646</v>
      </c>
      <c r="CA264" t="b">
        <f t="shared" si="257"/>
        <v>0</v>
      </c>
      <c r="CB264" t="str">
        <f t="shared" si="272"/>
        <v>G646</v>
      </c>
      <c r="CC264" t="str">
        <f t="shared" si="258"/>
        <v>R402</v>
      </c>
      <c r="CD264" t="b">
        <f t="shared" si="273"/>
        <v>0</v>
      </c>
      <c r="CE264" t="str">
        <f t="shared" si="274"/>
        <v>R402</v>
      </c>
      <c r="CG264" t="str">
        <f t="shared" si="259"/>
        <v>G700</v>
      </c>
      <c r="CH264" t="str">
        <f t="shared" si="275"/>
        <v>G700</v>
      </c>
      <c r="CI264" t="str">
        <f t="shared" si="260"/>
        <v>G619</v>
      </c>
      <c r="CJ264" t="str">
        <f t="shared" si="261"/>
        <v>G619</v>
      </c>
      <c r="CK264" t="s">
        <v>1350</v>
      </c>
      <c r="CL264" t="s">
        <v>1350</v>
      </c>
      <c r="CM264" t="s">
        <v>1350</v>
      </c>
      <c r="CN264" t="b">
        <f t="shared" si="276"/>
        <v>1</v>
      </c>
      <c r="CO264" t="str">
        <f t="shared" si="262"/>
        <v>R472</v>
      </c>
      <c r="CP264" t="str">
        <f t="shared" si="277"/>
        <v>R472</v>
      </c>
      <c r="CQ264" t="str">
        <f t="shared" si="263"/>
        <v>R420</v>
      </c>
      <c r="CR264" t="str">
        <f t="shared" si="264"/>
        <v>R420</v>
      </c>
      <c r="CS264" t="s">
        <v>669</v>
      </c>
      <c r="CT264" t="s">
        <v>669</v>
      </c>
      <c r="CU264" t="s">
        <v>669</v>
      </c>
      <c r="CV264" t="b">
        <f t="shared" si="278"/>
        <v>1</v>
      </c>
      <c r="DC264" t="str">
        <f t="shared" si="265"/>
        <v>G619</v>
      </c>
      <c r="DD264" t="b">
        <f t="shared" si="279"/>
        <v>0</v>
      </c>
      <c r="DE264" t="str">
        <f t="shared" si="280"/>
        <v>G619</v>
      </c>
      <c r="DF264" t="str">
        <f t="shared" si="266"/>
        <v>R420</v>
      </c>
      <c r="DG264" t="b">
        <f t="shared" si="281"/>
        <v>0</v>
      </c>
      <c r="DH264" t="str">
        <f t="shared" si="282"/>
        <v>R420</v>
      </c>
    </row>
    <row r="265" spans="2:112" ht="12" customHeight="1">
      <c r="B265" t="str">
        <f>TBIDry!H337</f>
        <v>G268</v>
      </c>
      <c r="C265" t="str">
        <f>TBIDry!I337</f>
        <v>R257</v>
      </c>
      <c r="D265" t="b">
        <f t="shared" si="229"/>
        <v>0</v>
      </c>
      <c r="E265" t="b">
        <f t="shared" si="230"/>
        <v>0</v>
      </c>
      <c r="G265" t="str">
        <f>TBIWet!H337</f>
        <v>G437</v>
      </c>
      <c r="H265" t="str">
        <f>TBIWet!I337</f>
        <v>R81</v>
      </c>
      <c r="I265" t="b">
        <f t="shared" si="231"/>
        <v>0</v>
      </c>
      <c r="J265" t="b">
        <f t="shared" si="232"/>
        <v>0</v>
      </c>
      <c r="L265" t="str">
        <f>'Both teabags AfterWet'!A263</f>
        <v>G702</v>
      </c>
      <c r="M265" t="str">
        <f>'Both teabags AfterWet'!A683</f>
        <v>R475</v>
      </c>
      <c r="N265" t="b">
        <f t="shared" si="233"/>
        <v>0</v>
      </c>
      <c r="O265" t="b">
        <f t="shared" si="283"/>
        <v>0</v>
      </c>
      <c r="Q265" s="388" t="b">
        <f t="shared" si="234"/>
        <v>0</v>
      </c>
      <c r="R265" s="388" t="b">
        <f t="shared" si="235"/>
        <v>0</v>
      </c>
      <c r="T265" t="str">
        <f>'Both teabags AfterDry'!A263</f>
        <v>G6</v>
      </c>
      <c r="U265" t="str">
        <f>'Both teabags AfterDry'!A598</f>
        <v>R760</v>
      </c>
      <c r="V265" t="b">
        <f t="shared" si="236"/>
        <v>0</v>
      </c>
      <c r="W265" t="b">
        <f t="shared" si="267"/>
        <v>0</v>
      </c>
      <c r="Y265" t="str">
        <f>'Green_rooibos initial weight'!A266</f>
        <v>G262</v>
      </c>
      <c r="Z265" t="str">
        <f>'Green_rooibos initial weight'!A1170</f>
        <v>R262</v>
      </c>
      <c r="AA265" t="b">
        <f t="shared" si="237"/>
        <v>0</v>
      </c>
      <c r="AB265" t="b">
        <f t="shared" si="238"/>
        <v>0</v>
      </c>
      <c r="AE265" t="str">
        <f>'WetLitterbags placem_collection'!O44</f>
        <v>G437</v>
      </c>
      <c r="AF265" t="str">
        <f>'WetLitterbags placem_collection'!Q44</f>
        <v>R81</v>
      </c>
      <c r="AG265" t="b">
        <f t="shared" si="239"/>
        <v>0</v>
      </c>
      <c r="AH265" t="b">
        <f t="shared" si="240"/>
        <v>0</v>
      </c>
      <c r="AJ265" t="b">
        <f t="shared" si="241"/>
        <v>0</v>
      </c>
      <c r="AK265" t="b">
        <f t="shared" si="242"/>
        <v>0</v>
      </c>
      <c r="AM265" t="str">
        <f>IF(ISBLANK('Dry_Litterbag Placem_Collection'!L44),"","G"&amp;""&amp;'Dry_Litterbag Placem_Collection'!L44)</f>
        <v>G268</v>
      </c>
      <c r="AN265" t="str">
        <f>IF(ISBLANK('Dry_Litterbag Placem_Collection'!M44),"","R"&amp;""&amp;'Dry_Litterbag Placem_Collection'!M44)</f>
        <v>R257</v>
      </c>
      <c r="AO265" t="b">
        <f t="shared" si="243"/>
        <v>0</v>
      </c>
      <c r="AP265" t="b">
        <f t="shared" si="244"/>
        <v>0</v>
      </c>
      <c r="AS265" t="str">
        <f>'Ashed teabags dry'!A263</f>
        <v>G6</v>
      </c>
      <c r="AT265" t="str">
        <f>'Ashed teabags dry'!A598</f>
        <v>R760</v>
      </c>
      <c r="AU265" t="b">
        <f t="shared" si="245"/>
        <v>0</v>
      </c>
      <c r="AV265" t="b">
        <f t="shared" si="268"/>
        <v>0</v>
      </c>
      <c r="AX265" s="388" t="b">
        <f t="shared" si="246"/>
        <v>0</v>
      </c>
      <c r="AY265" s="388" t="b">
        <f t="shared" si="247"/>
        <v>0</v>
      </c>
      <c r="BA265" t="str">
        <f>'Ashed teabags wet'!A263</f>
        <v>G702</v>
      </c>
      <c r="BB265" t="str">
        <f>'Ashed teabags wet'!A683</f>
        <v>R475</v>
      </c>
      <c r="BC265" t="b">
        <f t="shared" si="248"/>
        <v>0</v>
      </c>
      <c r="BD265" t="b">
        <f t="shared" si="228"/>
        <v>0</v>
      </c>
      <c r="BF265" t="str">
        <f t="shared" si="249"/>
        <v>G598</v>
      </c>
      <c r="BG265" t="str">
        <f t="shared" si="250"/>
        <v>G598</v>
      </c>
      <c r="BH265" t="str">
        <f t="shared" si="251"/>
        <v>G43</v>
      </c>
      <c r="BI265" t="str">
        <f t="shared" si="269"/>
        <v>G43</v>
      </c>
      <c r="BJ265" t="s">
        <v>1452</v>
      </c>
      <c r="BK265" t="s">
        <v>1452</v>
      </c>
      <c r="BL265" t="s">
        <v>1452</v>
      </c>
      <c r="BM265" t="b">
        <f t="shared" si="270"/>
        <v>1</v>
      </c>
      <c r="BN265" t="str">
        <f t="shared" si="252"/>
        <v>R759</v>
      </c>
      <c r="BO265" t="str">
        <f t="shared" si="253"/>
        <v>R759</v>
      </c>
      <c r="BP265" t="str">
        <f t="shared" si="254"/>
        <v>R648</v>
      </c>
      <c r="BQ265" t="str">
        <f t="shared" si="255"/>
        <v>R648</v>
      </c>
      <c r="BR265" t="s">
        <v>380</v>
      </c>
      <c r="BS265" t="s">
        <v>379</v>
      </c>
      <c r="BT265" t="s">
        <v>380</v>
      </c>
      <c r="BU265" t="b">
        <f t="shared" si="271"/>
        <v>1</v>
      </c>
      <c r="BZ265" t="str">
        <f t="shared" si="256"/>
        <v>G43</v>
      </c>
      <c r="CA265" t="b">
        <f t="shared" si="257"/>
        <v>0</v>
      </c>
      <c r="CB265" t="str">
        <f t="shared" si="272"/>
        <v>G43</v>
      </c>
      <c r="CC265" t="str">
        <f t="shared" si="258"/>
        <v>R648</v>
      </c>
      <c r="CD265" t="b">
        <f t="shared" si="273"/>
        <v>0</v>
      </c>
      <c r="CE265" t="str">
        <f t="shared" si="274"/>
        <v>R648</v>
      </c>
      <c r="CG265" t="str">
        <f t="shared" si="259"/>
        <v>G701</v>
      </c>
      <c r="CH265" t="str">
        <f t="shared" si="275"/>
        <v>G701</v>
      </c>
      <c r="CI265" t="str">
        <f t="shared" si="260"/>
        <v>G626</v>
      </c>
      <c r="CJ265" t="str">
        <f t="shared" si="261"/>
        <v>G626</v>
      </c>
      <c r="CK265" t="s">
        <v>1349</v>
      </c>
      <c r="CL265" t="s">
        <v>1349</v>
      </c>
      <c r="CM265" t="s">
        <v>1349</v>
      </c>
      <c r="CN265" t="b">
        <f t="shared" si="276"/>
        <v>1</v>
      </c>
      <c r="CO265" t="str">
        <f t="shared" si="262"/>
        <v>R474</v>
      </c>
      <c r="CP265" t="str">
        <f t="shared" si="277"/>
        <v>R474</v>
      </c>
      <c r="CQ265" t="str">
        <f t="shared" si="263"/>
        <v>R77</v>
      </c>
      <c r="CR265" t="str">
        <f t="shared" si="264"/>
        <v>R77</v>
      </c>
      <c r="CS265" t="s">
        <v>667</v>
      </c>
      <c r="CT265" t="s">
        <v>667</v>
      </c>
      <c r="CU265" t="s">
        <v>667</v>
      </c>
      <c r="CV265" t="b">
        <f t="shared" si="278"/>
        <v>1</v>
      </c>
      <c r="DC265" t="str">
        <f t="shared" si="265"/>
        <v>G626</v>
      </c>
      <c r="DD265" t="b">
        <f t="shared" si="279"/>
        <v>0</v>
      </c>
      <c r="DE265" t="str">
        <f t="shared" si="280"/>
        <v>G626</v>
      </c>
      <c r="DF265" t="str">
        <f t="shared" si="266"/>
        <v>R77</v>
      </c>
      <c r="DG265" t="b">
        <f t="shared" si="281"/>
        <v>0</v>
      </c>
      <c r="DH265" t="str">
        <f t="shared" si="282"/>
        <v>R77</v>
      </c>
    </row>
    <row r="266" spans="2:112" ht="12" customHeight="1">
      <c r="B266" t="str">
        <f>TBIDry!H338</f>
        <v>G300</v>
      </c>
      <c r="C266" t="str">
        <f>TBIDry!I338</f>
        <v>R691</v>
      </c>
      <c r="D266" t="b">
        <f t="shared" si="229"/>
        <v>0</v>
      </c>
      <c r="E266" t="b">
        <f t="shared" si="230"/>
        <v>0</v>
      </c>
      <c r="G266" t="str">
        <f>TBIWet!H338</f>
        <v>G643</v>
      </c>
      <c r="H266" t="str">
        <f>TBIWet!I338</f>
        <v>R117</v>
      </c>
      <c r="I266" t="b">
        <f t="shared" si="231"/>
        <v>0</v>
      </c>
      <c r="J266" t="b">
        <f t="shared" si="232"/>
        <v>0</v>
      </c>
      <c r="L266" t="str">
        <f>'Both teabags AfterWet'!A264</f>
        <v>G703</v>
      </c>
      <c r="M266" t="str">
        <f>'Both teabags AfterWet'!A684</f>
        <v>R476</v>
      </c>
      <c r="N266" t="b">
        <f t="shared" si="233"/>
        <v>0</v>
      </c>
      <c r="O266" t="b">
        <f t="shared" si="283"/>
        <v>0</v>
      </c>
      <c r="Q266" s="388" t="b">
        <f t="shared" si="234"/>
        <v>0</v>
      </c>
      <c r="R266" s="388" t="b">
        <f t="shared" si="235"/>
        <v>0</v>
      </c>
      <c r="T266" t="str">
        <f>'Both teabags AfterDry'!A264</f>
        <v>G60</v>
      </c>
      <c r="U266" t="str">
        <f>'Both teabags AfterDry'!A599</f>
        <v>R761</v>
      </c>
      <c r="V266" t="b">
        <f t="shared" si="236"/>
        <v>0</v>
      </c>
      <c r="W266" t="b">
        <f t="shared" si="267"/>
        <v>0</v>
      </c>
      <c r="Y266" t="str">
        <f>'Green_rooibos initial weight'!A267</f>
        <v>G263</v>
      </c>
      <c r="Z266" t="str">
        <f>'Green_rooibos initial weight'!A1171</f>
        <v>R263</v>
      </c>
      <c r="AA266" t="b">
        <f t="shared" si="237"/>
        <v>0</v>
      </c>
      <c r="AB266" t="b">
        <f t="shared" si="238"/>
        <v>0</v>
      </c>
      <c r="AE266" t="str">
        <f>'WetLitterbags placem_collection'!O45</f>
        <v>G643</v>
      </c>
      <c r="AF266" t="str">
        <f>'WetLitterbags placem_collection'!Q45</f>
        <v>R117</v>
      </c>
      <c r="AG266" t="b">
        <f t="shared" si="239"/>
        <v>0</v>
      </c>
      <c r="AH266" t="b">
        <f t="shared" si="240"/>
        <v>0</v>
      </c>
      <c r="AJ266" t="b">
        <f t="shared" si="241"/>
        <v>0</v>
      </c>
      <c r="AK266" t="b">
        <f t="shared" si="242"/>
        <v>0</v>
      </c>
      <c r="AM266" t="str">
        <f>IF(ISBLANK('Dry_Litterbag Placem_Collection'!L45),"","G"&amp;""&amp;'Dry_Litterbag Placem_Collection'!L45)</f>
        <v>G300</v>
      </c>
      <c r="AN266" t="str">
        <f>IF(ISBLANK('Dry_Litterbag Placem_Collection'!M45),"","R"&amp;""&amp;'Dry_Litterbag Placem_Collection'!M45)</f>
        <v>R691</v>
      </c>
      <c r="AO266" t="b">
        <f t="shared" si="243"/>
        <v>0</v>
      </c>
      <c r="AP266" t="b">
        <f t="shared" si="244"/>
        <v>0</v>
      </c>
      <c r="AS266" t="str">
        <f>'Ashed teabags dry'!A264</f>
        <v>G60</v>
      </c>
      <c r="AT266" t="str">
        <f>'Ashed teabags dry'!A599</f>
        <v>R761</v>
      </c>
      <c r="AU266" t="b">
        <f t="shared" si="245"/>
        <v>0</v>
      </c>
      <c r="AV266" t="b">
        <f t="shared" si="268"/>
        <v>0</v>
      </c>
      <c r="AX266" s="388" t="b">
        <f t="shared" si="246"/>
        <v>0</v>
      </c>
      <c r="AY266" s="388" t="b">
        <f t="shared" si="247"/>
        <v>0</v>
      </c>
      <c r="BA266" t="str">
        <f>'Ashed teabags wet'!A264</f>
        <v>G703</v>
      </c>
      <c r="BB266" t="str">
        <f>'Ashed teabags wet'!A684</f>
        <v>R476</v>
      </c>
      <c r="BC266" t="b">
        <f t="shared" si="248"/>
        <v>0</v>
      </c>
      <c r="BD266" t="b">
        <f t="shared" si="228"/>
        <v>0</v>
      </c>
      <c r="BF266" t="str">
        <f t="shared" si="249"/>
        <v>G6</v>
      </c>
      <c r="BG266" t="str">
        <f t="shared" si="250"/>
        <v>G6</v>
      </c>
      <c r="BH266" t="str">
        <f t="shared" si="251"/>
        <v>G268</v>
      </c>
      <c r="BI266" t="str">
        <f t="shared" si="269"/>
        <v>G268</v>
      </c>
      <c r="BJ266" t="s">
        <v>2044</v>
      </c>
      <c r="BK266" t="s">
        <v>2044</v>
      </c>
      <c r="BL266" t="s">
        <v>2044</v>
      </c>
      <c r="BM266" t="b">
        <f t="shared" si="270"/>
        <v>1</v>
      </c>
      <c r="BN266" t="str">
        <f t="shared" si="252"/>
        <v>R760</v>
      </c>
      <c r="BO266" t="str">
        <f t="shared" si="253"/>
        <v>R760</v>
      </c>
      <c r="BP266" t="str">
        <f t="shared" si="254"/>
        <v>R257</v>
      </c>
      <c r="BQ266" t="str">
        <f t="shared" si="255"/>
        <v>R257</v>
      </c>
      <c r="BR266" t="s">
        <v>379</v>
      </c>
      <c r="BS266" t="s">
        <v>378</v>
      </c>
      <c r="BT266" t="s">
        <v>379</v>
      </c>
      <c r="BU266" t="b">
        <f t="shared" si="271"/>
        <v>1</v>
      </c>
      <c r="BZ266" t="str">
        <f t="shared" si="256"/>
        <v>G268</v>
      </c>
      <c r="CA266" t="b">
        <f t="shared" si="257"/>
        <v>0</v>
      </c>
      <c r="CB266" t="str">
        <f t="shared" si="272"/>
        <v>G268</v>
      </c>
      <c r="CC266" t="str">
        <f t="shared" si="258"/>
        <v>R257</v>
      </c>
      <c r="CD266" t="b">
        <f t="shared" si="273"/>
        <v>0</v>
      </c>
      <c r="CE266" t="str">
        <f t="shared" si="274"/>
        <v>R257</v>
      </c>
      <c r="CG266" t="str">
        <f t="shared" si="259"/>
        <v>G702</v>
      </c>
      <c r="CH266" t="str">
        <f t="shared" si="275"/>
        <v>G702</v>
      </c>
      <c r="CI266" t="str">
        <f t="shared" si="260"/>
        <v>G437</v>
      </c>
      <c r="CJ266" t="str">
        <f t="shared" si="261"/>
        <v>G437</v>
      </c>
      <c r="CK266" t="s">
        <v>1348</v>
      </c>
      <c r="CL266" t="s">
        <v>1348</v>
      </c>
      <c r="CM266" t="s">
        <v>1348</v>
      </c>
      <c r="CN266" t="b">
        <f t="shared" si="276"/>
        <v>1</v>
      </c>
      <c r="CO266" t="str">
        <f t="shared" si="262"/>
        <v>R475</v>
      </c>
      <c r="CP266" t="str">
        <f t="shared" si="277"/>
        <v>R475</v>
      </c>
      <c r="CQ266" t="str">
        <f t="shared" si="263"/>
        <v>R81</v>
      </c>
      <c r="CR266" t="str">
        <f t="shared" si="264"/>
        <v>R81</v>
      </c>
      <c r="CS266" t="s">
        <v>666</v>
      </c>
      <c r="CT266" t="s">
        <v>666</v>
      </c>
      <c r="CU266" t="s">
        <v>666</v>
      </c>
      <c r="CV266" t="b">
        <f t="shared" si="278"/>
        <v>1</v>
      </c>
      <c r="DC266" t="str">
        <f t="shared" si="265"/>
        <v>G437</v>
      </c>
      <c r="DD266" t="b">
        <f t="shared" si="279"/>
        <v>0</v>
      </c>
      <c r="DE266" t="str">
        <f t="shared" si="280"/>
        <v>G437</v>
      </c>
      <c r="DF266" t="str">
        <f t="shared" si="266"/>
        <v>R81</v>
      </c>
      <c r="DG266" t="b">
        <f t="shared" si="281"/>
        <v>0</v>
      </c>
      <c r="DH266" t="str">
        <f t="shared" si="282"/>
        <v>R81</v>
      </c>
    </row>
    <row r="267" spans="2:112" ht="12" customHeight="1">
      <c r="B267" t="str">
        <f>TBIDry!H339</f>
        <v>G823</v>
      </c>
      <c r="C267" t="str">
        <f>TBIDry!I339</f>
        <v>R716</v>
      </c>
      <c r="D267" t="b">
        <f t="shared" si="229"/>
        <v>0</v>
      </c>
      <c r="E267" t="b">
        <f t="shared" si="230"/>
        <v>0</v>
      </c>
      <c r="G267" t="str">
        <f>TBIWet!H339</f>
        <v>G283</v>
      </c>
      <c r="H267" t="str">
        <f>TBIWet!I339</f>
        <v>R6</v>
      </c>
      <c r="I267" t="b">
        <f t="shared" si="231"/>
        <v>0</v>
      </c>
      <c r="J267" t="b">
        <f t="shared" si="232"/>
        <v>0</v>
      </c>
      <c r="L267" t="str">
        <f>'Both teabags AfterWet'!A265</f>
        <v>G704</v>
      </c>
      <c r="M267" t="str">
        <f>'Both teabags AfterWet'!A685</f>
        <v>R477</v>
      </c>
      <c r="N267" t="b">
        <f t="shared" si="233"/>
        <v>0</v>
      </c>
      <c r="O267" t="b">
        <f t="shared" si="283"/>
        <v>0</v>
      </c>
      <c r="Q267" s="388" t="b">
        <f t="shared" si="234"/>
        <v>0</v>
      </c>
      <c r="R267" s="388" t="b">
        <f t="shared" si="235"/>
        <v>0</v>
      </c>
      <c r="T267" t="str">
        <f>'Both teabags AfterDry'!A265</f>
        <v>G601</v>
      </c>
      <c r="U267" t="str">
        <f>'Both teabags AfterDry'!A600</f>
        <v>R762</v>
      </c>
      <c r="V267" t="b">
        <f t="shared" si="236"/>
        <v>0</v>
      </c>
      <c r="W267" t="b">
        <f t="shared" si="267"/>
        <v>0</v>
      </c>
      <c r="Y267" t="str">
        <f>'Green_rooibos initial weight'!A268</f>
        <v>G264</v>
      </c>
      <c r="Z267" t="str">
        <f>'Green_rooibos initial weight'!A1172</f>
        <v>R264</v>
      </c>
      <c r="AA267" t="b">
        <f t="shared" si="237"/>
        <v>0</v>
      </c>
      <c r="AB267" t="b">
        <f t="shared" si="238"/>
        <v>0</v>
      </c>
      <c r="AE267" t="str">
        <f>'WetLitterbags placem_collection'!O46</f>
        <v>G283</v>
      </c>
      <c r="AF267" t="str">
        <f>'WetLitterbags placem_collection'!Q46</f>
        <v>R6</v>
      </c>
      <c r="AG267" t="b">
        <f t="shared" si="239"/>
        <v>0</v>
      </c>
      <c r="AH267" t="b">
        <f t="shared" si="240"/>
        <v>0</v>
      </c>
      <c r="AJ267" t="b">
        <f t="shared" si="241"/>
        <v>0</v>
      </c>
      <c r="AK267" t="b">
        <f t="shared" si="242"/>
        <v>0</v>
      </c>
      <c r="AM267" t="str">
        <f>IF(ISBLANK('Dry_Litterbag Placem_Collection'!L46),"","G"&amp;""&amp;'Dry_Litterbag Placem_Collection'!L46)</f>
        <v>G823</v>
      </c>
      <c r="AN267" t="str">
        <f>IF(ISBLANK('Dry_Litterbag Placem_Collection'!M46),"","R"&amp;""&amp;'Dry_Litterbag Placem_Collection'!M46)</f>
        <v>R716</v>
      </c>
      <c r="AO267" t="b">
        <f t="shared" si="243"/>
        <v>0</v>
      </c>
      <c r="AP267" t="b">
        <f t="shared" si="244"/>
        <v>0</v>
      </c>
      <c r="AS267" t="str">
        <f>'Ashed teabags dry'!A265</f>
        <v>G601</v>
      </c>
      <c r="AT267" t="str">
        <f>'Ashed teabags dry'!A600</f>
        <v>R762</v>
      </c>
      <c r="AU267" t="b">
        <f t="shared" si="245"/>
        <v>0</v>
      </c>
      <c r="AV267" t="b">
        <f t="shared" si="268"/>
        <v>0</v>
      </c>
      <c r="AX267" s="388" t="b">
        <f t="shared" si="246"/>
        <v>0</v>
      </c>
      <c r="AY267" s="388" t="b">
        <f t="shared" si="247"/>
        <v>0</v>
      </c>
      <c r="BA267" t="str">
        <f>'Ashed teabags wet'!A265</f>
        <v>G704</v>
      </c>
      <c r="BB267" t="str">
        <f>'Ashed teabags wet'!A685</f>
        <v>R477</v>
      </c>
      <c r="BC267" t="b">
        <f t="shared" si="248"/>
        <v>0</v>
      </c>
      <c r="BD267" t="b">
        <f t="shared" si="228"/>
        <v>0</v>
      </c>
      <c r="BF267" t="str">
        <f t="shared" si="249"/>
        <v>G60</v>
      </c>
      <c r="BG267" t="str">
        <f t="shared" si="250"/>
        <v>G60</v>
      </c>
      <c r="BH267" t="str">
        <f t="shared" si="251"/>
        <v>G300</v>
      </c>
      <c r="BI267" t="str">
        <f t="shared" si="269"/>
        <v>G300</v>
      </c>
      <c r="BJ267" t="s">
        <v>1990</v>
      </c>
      <c r="BK267" t="s">
        <v>1990</v>
      </c>
      <c r="BL267" t="s">
        <v>1990</v>
      </c>
      <c r="BM267" t="b">
        <f t="shared" si="270"/>
        <v>1</v>
      </c>
      <c r="BN267" t="str">
        <f t="shared" si="252"/>
        <v>R761</v>
      </c>
      <c r="BO267" t="str">
        <f t="shared" si="253"/>
        <v>R761</v>
      </c>
      <c r="BP267" t="str">
        <f t="shared" si="254"/>
        <v>R691</v>
      </c>
      <c r="BQ267" t="str">
        <f t="shared" si="255"/>
        <v>R691</v>
      </c>
      <c r="BR267" t="s">
        <v>378</v>
      </c>
      <c r="BS267" t="s">
        <v>377</v>
      </c>
      <c r="BT267" t="s">
        <v>378</v>
      </c>
      <c r="BU267" t="b">
        <f t="shared" si="271"/>
        <v>1</v>
      </c>
      <c r="BZ267" t="str">
        <f t="shared" si="256"/>
        <v>G300</v>
      </c>
      <c r="CA267" t="b">
        <f t="shared" si="257"/>
        <v>0</v>
      </c>
      <c r="CB267" t="str">
        <f t="shared" si="272"/>
        <v>G300</v>
      </c>
      <c r="CC267" t="str">
        <f t="shared" si="258"/>
        <v>R691</v>
      </c>
      <c r="CD267" t="b">
        <f t="shared" si="273"/>
        <v>0</v>
      </c>
      <c r="CE267" t="str">
        <f t="shared" si="274"/>
        <v>R691</v>
      </c>
      <c r="CG267" t="str">
        <f t="shared" si="259"/>
        <v>G703</v>
      </c>
      <c r="CH267" t="str">
        <f t="shared" si="275"/>
        <v>G703</v>
      </c>
      <c r="CI267" t="str">
        <f t="shared" si="260"/>
        <v>G643</v>
      </c>
      <c r="CJ267" t="str">
        <f t="shared" si="261"/>
        <v>G643</v>
      </c>
      <c r="CK267" t="s">
        <v>1347</v>
      </c>
      <c r="CL267" t="s">
        <v>1347</v>
      </c>
      <c r="CM267" t="s">
        <v>1347</v>
      </c>
      <c r="CN267" t="b">
        <f t="shared" si="276"/>
        <v>1</v>
      </c>
      <c r="CO267" t="str">
        <f t="shared" si="262"/>
        <v>R476</v>
      </c>
      <c r="CP267" t="str">
        <f t="shared" si="277"/>
        <v>R476</v>
      </c>
      <c r="CQ267" t="str">
        <f t="shared" si="263"/>
        <v>R117</v>
      </c>
      <c r="CR267" t="str">
        <f t="shared" si="264"/>
        <v>R117</v>
      </c>
      <c r="CS267" t="s">
        <v>665</v>
      </c>
      <c r="CT267" t="s">
        <v>665</v>
      </c>
      <c r="CU267" t="s">
        <v>665</v>
      </c>
      <c r="CV267" t="b">
        <f t="shared" si="278"/>
        <v>1</v>
      </c>
      <c r="DC267" t="str">
        <f t="shared" si="265"/>
        <v>G643</v>
      </c>
      <c r="DD267" t="b">
        <f t="shared" si="279"/>
        <v>0</v>
      </c>
      <c r="DE267" t="str">
        <f t="shared" si="280"/>
        <v>G643</v>
      </c>
      <c r="DF267" t="str">
        <f t="shared" si="266"/>
        <v>R117</v>
      </c>
      <c r="DG267" t="b">
        <f t="shared" si="281"/>
        <v>0</v>
      </c>
      <c r="DH267" t="str">
        <f t="shared" si="282"/>
        <v>R117</v>
      </c>
    </row>
    <row r="268" spans="2:112" ht="12" customHeight="1">
      <c r="B268" t="str">
        <f>TBIDry!H340</f>
        <v>G354</v>
      </c>
      <c r="C268" t="str">
        <f>TBIDry!I340</f>
        <v>R631</v>
      </c>
      <c r="D268" t="b">
        <f t="shared" si="229"/>
        <v>0</v>
      </c>
      <c r="E268" t="b">
        <f t="shared" si="230"/>
        <v>0</v>
      </c>
      <c r="G268" t="str">
        <f>TBIWet!H340</f>
        <v>G602</v>
      </c>
      <c r="H268" t="str">
        <f>TBIWet!I340</f>
        <v>R74</v>
      </c>
      <c r="I268" t="b">
        <f t="shared" si="231"/>
        <v>0</v>
      </c>
      <c r="J268" t="b">
        <f t="shared" si="232"/>
        <v>0</v>
      </c>
      <c r="L268" t="str">
        <f>'Both teabags AfterWet'!A266</f>
        <v>G706</v>
      </c>
      <c r="M268" t="str">
        <f>'Both teabags AfterWet'!A686</f>
        <v>R479</v>
      </c>
      <c r="N268" t="b">
        <f t="shared" si="233"/>
        <v>0</v>
      </c>
      <c r="O268" t="b">
        <f t="shared" si="283"/>
        <v>0</v>
      </c>
      <c r="Q268" s="388" t="b">
        <f t="shared" si="234"/>
        <v>0</v>
      </c>
      <c r="R268" s="388" t="b">
        <f t="shared" si="235"/>
        <v>0</v>
      </c>
      <c r="T268" t="str">
        <f>'Both teabags AfterDry'!A266</f>
        <v>G61</v>
      </c>
      <c r="U268" t="str">
        <f>'Both teabags AfterDry'!A601</f>
        <v>R763</v>
      </c>
      <c r="V268" t="b">
        <f t="shared" si="236"/>
        <v>0</v>
      </c>
      <c r="W268" t="b">
        <f t="shared" si="267"/>
        <v>0</v>
      </c>
      <c r="Y268" t="str">
        <f>'Green_rooibos initial weight'!A269</f>
        <v>G265</v>
      </c>
      <c r="Z268" t="str">
        <f>'Green_rooibos initial weight'!A1173</f>
        <v>R265</v>
      </c>
      <c r="AA268" t="b">
        <f t="shared" si="237"/>
        <v>0</v>
      </c>
      <c r="AB268" t="b">
        <f t="shared" si="238"/>
        <v>0</v>
      </c>
      <c r="AE268" t="str">
        <f>'WetLitterbags placem_collection'!O47</f>
        <v>G602</v>
      </c>
      <c r="AF268" t="str">
        <f>'WetLitterbags placem_collection'!Q47</f>
        <v>R74</v>
      </c>
      <c r="AG268" t="b">
        <f t="shared" si="239"/>
        <v>0</v>
      </c>
      <c r="AH268" t="b">
        <f t="shared" si="240"/>
        <v>0</v>
      </c>
      <c r="AJ268" t="b">
        <f t="shared" si="241"/>
        <v>0</v>
      </c>
      <c r="AK268" t="b">
        <f t="shared" si="242"/>
        <v>0</v>
      </c>
      <c r="AM268" t="str">
        <f>IF(ISBLANK('Dry_Litterbag Placem_Collection'!L47),"","G"&amp;""&amp;'Dry_Litterbag Placem_Collection'!L47)</f>
        <v>G354</v>
      </c>
      <c r="AN268" t="str">
        <f>IF(ISBLANK('Dry_Litterbag Placem_Collection'!M47),"","R"&amp;""&amp;'Dry_Litterbag Placem_Collection'!M47)</f>
        <v>R631</v>
      </c>
      <c r="AO268" t="b">
        <f t="shared" si="243"/>
        <v>0</v>
      </c>
      <c r="AP268" t="b">
        <f t="shared" si="244"/>
        <v>0</v>
      </c>
      <c r="AS268" t="str">
        <f>'Ashed teabags dry'!A266</f>
        <v>G61</v>
      </c>
      <c r="AT268" t="str">
        <f>'Ashed teabags dry'!A601</f>
        <v>R763</v>
      </c>
      <c r="AU268" t="b">
        <f t="shared" si="245"/>
        <v>0</v>
      </c>
      <c r="AV268" t="b">
        <f t="shared" si="268"/>
        <v>0</v>
      </c>
      <c r="AX268" s="388" t="b">
        <f t="shared" si="246"/>
        <v>0</v>
      </c>
      <c r="AY268" s="388" t="b">
        <f t="shared" si="247"/>
        <v>0</v>
      </c>
      <c r="BA268" t="str">
        <f>'Ashed teabags wet'!A266</f>
        <v>G706</v>
      </c>
      <c r="BB268" t="str">
        <f>'Ashed teabags wet'!A686</f>
        <v>R479</v>
      </c>
      <c r="BC268" t="b">
        <f t="shared" si="248"/>
        <v>0</v>
      </c>
      <c r="BD268" t="b">
        <f t="shared" si="228"/>
        <v>0</v>
      </c>
      <c r="BF268" t="str">
        <f t="shared" si="249"/>
        <v>G601</v>
      </c>
      <c r="BG268" t="str">
        <f t="shared" si="250"/>
        <v>G601</v>
      </c>
      <c r="BH268" t="str">
        <f t="shared" si="251"/>
        <v>G823</v>
      </c>
      <c r="BI268" t="str">
        <f t="shared" si="269"/>
        <v>G823</v>
      </c>
      <c r="BJ268" t="s">
        <v>1449</v>
      </c>
      <c r="BK268" t="s">
        <v>1449</v>
      </c>
      <c r="BL268" t="s">
        <v>1449</v>
      </c>
      <c r="BM268" t="b">
        <f t="shared" si="270"/>
        <v>1</v>
      </c>
      <c r="BN268" t="str">
        <f t="shared" si="252"/>
        <v>R762</v>
      </c>
      <c r="BO268" t="str">
        <f t="shared" si="253"/>
        <v>R762</v>
      </c>
      <c r="BP268" t="str">
        <f t="shared" si="254"/>
        <v>R716</v>
      </c>
      <c r="BQ268" t="str">
        <f t="shared" si="255"/>
        <v>R716</v>
      </c>
      <c r="BR268" t="s">
        <v>377</v>
      </c>
      <c r="BS268" t="s">
        <v>376</v>
      </c>
      <c r="BT268" t="s">
        <v>377</v>
      </c>
      <c r="BU268" t="b">
        <f t="shared" si="271"/>
        <v>1</v>
      </c>
      <c r="BZ268" t="str">
        <f t="shared" si="256"/>
        <v>G823</v>
      </c>
      <c r="CA268" t="b">
        <f t="shared" si="257"/>
        <v>0</v>
      </c>
      <c r="CB268" t="str">
        <f t="shared" si="272"/>
        <v>G823</v>
      </c>
      <c r="CC268" t="str">
        <f t="shared" si="258"/>
        <v>R716</v>
      </c>
      <c r="CD268" t="b">
        <f t="shared" si="273"/>
        <v>0</v>
      </c>
      <c r="CE268" t="str">
        <f t="shared" si="274"/>
        <v>R716</v>
      </c>
      <c r="CG268" t="str">
        <f t="shared" si="259"/>
        <v>G704</v>
      </c>
      <c r="CH268" t="str">
        <f t="shared" si="275"/>
        <v>G704</v>
      </c>
      <c r="CI268" t="str">
        <f t="shared" si="260"/>
        <v>G283</v>
      </c>
      <c r="CJ268" t="str">
        <f t="shared" si="261"/>
        <v>G283</v>
      </c>
      <c r="CK268" t="s">
        <v>1346</v>
      </c>
      <c r="CL268" t="s">
        <v>1346</v>
      </c>
      <c r="CM268" t="s">
        <v>1346</v>
      </c>
      <c r="CN268" t="b">
        <f t="shared" si="276"/>
        <v>1</v>
      </c>
      <c r="CO268" t="str">
        <f t="shared" si="262"/>
        <v>R477</v>
      </c>
      <c r="CP268" t="str">
        <f t="shared" si="277"/>
        <v>R477</v>
      </c>
      <c r="CQ268" t="str">
        <f t="shared" si="263"/>
        <v>R6</v>
      </c>
      <c r="CR268" t="str">
        <f t="shared" si="264"/>
        <v>R6</v>
      </c>
      <c r="CS268" t="s">
        <v>664</v>
      </c>
      <c r="CT268" t="s">
        <v>664</v>
      </c>
      <c r="CU268" t="s">
        <v>664</v>
      </c>
      <c r="CV268" t="b">
        <f t="shared" si="278"/>
        <v>1</v>
      </c>
      <c r="DC268" t="str">
        <f t="shared" si="265"/>
        <v>G283</v>
      </c>
      <c r="DD268" t="b">
        <f t="shared" si="279"/>
        <v>0</v>
      </c>
      <c r="DE268" t="str">
        <f t="shared" si="280"/>
        <v>G283</v>
      </c>
      <c r="DF268" t="str">
        <f t="shared" si="266"/>
        <v>R6</v>
      </c>
      <c r="DG268" t="b">
        <f t="shared" si="281"/>
        <v>0</v>
      </c>
      <c r="DH268" t="str">
        <f t="shared" si="282"/>
        <v>R6</v>
      </c>
    </row>
    <row r="269" spans="2:112" ht="12" customHeight="1">
      <c r="B269" t="str">
        <f>TBIDry!H341</f>
        <v/>
      </c>
      <c r="C269" t="str">
        <f>TBIDry!I341</f>
        <v/>
      </c>
      <c r="D269" t="b">
        <f t="shared" si="229"/>
        <v>1</v>
      </c>
      <c r="E269" t="b">
        <f t="shared" si="230"/>
        <v>1</v>
      </c>
      <c r="G269" t="str">
        <f>TBIWet!H341</f>
        <v>G427</v>
      </c>
      <c r="H269" t="str">
        <f>TBIWet!I341</f>
        <v>R102</v>
      </c>
      <c r="I269" t="b">
        <f t="shared" si="231"/>
        <v>0</v>
      </c>
      <c r="J269" t="b">
        <f t="shared" si="232"/>
        <v>0</v>
      </c>
      <c r="L269" t="str">
        <f>'Both teabags AfterWet'!A267</f>
        <v>G707</v>
      </c>
      <c r="M269" t="str">
        <f>'Both teabags AfterWet'!A687</f>
        <v>R48</v>
      </c>
      <c r="N269" t="b">
        <f t="shared" si="233"/>
        <v>0</v>
      </c>
      <c r="O269" t="b">
        <f t="shared" si="283"/>
        <v>0</v>
      </c>
      <c r="Q269" s="388" t="b">
        <f t="shared" si="234"/>
        <v>0</v>
      </c>
      <c r="R269" s="388" t="b">
        <f t="shared" si="235"/>
        <v>0</v>
      </c>
      <c r="T269" t="str">
        <f>'Both teabags AfterDry'!A267</f>
        <v>G612</v>
      </c>
      <c r="U269" t="str">
        <f>'Both teabags AfterDry'!A602</f>
        <v>R764</v>
      </c>
      <c r="V269" t="b">
        <f t="shared" si="236"/>
        <v>0</v>
      </c>
      <c r="W269" t="b">
        <f t="shared" si="267"/>
        <v>0</v>
      </c>
      <c r="Y269" t="str">
        <f>'Green_rooibos initial weight'!A270</f>
        <v>G266</v>
      </c>
      <c r="Z269" t="str">
        <f>'Green_rooibos initial weight'!A1174</f>
        <v>R266</v>
      </c>
      <c r="AA269" t="b">
        <f t="shared" si="237"/>
        <v>0</v>
      </c>
      <c r="AB269" t="b">
        <f t="shared" si="238"/>
        <v>0</v>
      </c>
      <c r="AE269" t="str">
        <f>'WetLitterbags placem_collection'!O48</f>
        <v>G427</v>
      </c>
      <c r="AF269" t="str">
        <f>'WetLitterbags placem_collection'!Q48</f>
        <v>R102</v>
      </c>
      <c r="AG269" t="b">
        <f t="shared" si="239"/>
        <v>0</v>
      </c>
      <c r="AH269" t="b">
        <f t="shared" si="240"/>
        <v>0</v>
      </c>
      <c r="AJ269" t="b">
        <f t="shared" si="241"/>
        <v>0</v>
      </c>
      <c r="AK269" t="b">
        <f t="shared" si="242"/>
        <v>0</v>
      </c>
      <c r="AM269" t="str">
        <f>IF(ISBLANK('Dry_Litterbag Placem_Collection'!L48),"","G"&amp;""&amp;'Dry_Litterbag Placem_Collection'!L48)</f>
        <v/>
      </c>
      <c r="AN269" t="str">
        <f>IF(ISBLANK('Dry_Litterbag Placem_Collection'!M48),"","R"&amp;""&amp;'Dry_Litterbag Placem_Collection'!M48)</f>
        <v/>
      </c>
      <c r="AO269" t="b">
        <f t="shared" si="243"/>
        <v>1</v>
      </c>
      <c r="AP269" t="b">
        <f t="shared" si="244"/>
        <v>1</v>
      </c>
      <c r="AS269" t="str">
        <f>'Ashed teabags dry'!A267</f>
        <v>G612</v>
      </c>
      <c r="AT269" t="str">
        <f>'Ashed teabags dry'!A602</f>
        <v>R764</v>
      </c>
      <c r="AU269" t="b">
        <f t="shared" si="245"/>
        <v>0</v>
      </c>
      <c r="AV269" t="b">
        <f t="shared" si="268"/>
        <v>0</v>
      </c>
      <c r="AX269" s="388" t="b">
        <f t="shared" si="246"/>
        <v>0</v>
      </c>
      <c r="AY269" s="388" t="b">
        <f t="shared" si="247"/>
        <v>0</v>
      </c>
      <c r="BA269" t="str">
        <f>'Ashed teabags wet'!A267</f>
        <v>G707</v>
      </c>
      <c r="BB269" t="str">
        <f>'Ashed teabags wet'!A687</f>
        <v>R48</v>
      </c>
      <c r="BC269" t="b">
        <f t="shared" si="248"/>
        <v>0</v>
      </c>
      <c r="BD269" t="b">
        <f t="shared" si="228"/>
        <v>0</v>
      </c>
      <c r="BF269" t="str">
        <f t="shared" si="249"/>
        <v>G61</v>
      </c>
      <c r="BG269" t="str">
        <f t="shared" si="250"/>
        <v>G61</v>
      </c>
      <c r="BH269" t="str">
        <f t="shared" si="251"/>
        <v>G354</v>
      </c>
      <c r="BI269" t="str">
        <f t="shared" si="269"/>
        <v/>
      </c>
      <c r="BJ269" t="s">
        <v>1989</v>
      </c>
      <c r="BK269" t="s">
        <v>1989</v>
      </c>
      <c r="BL269" t="s">
        <v>1989</v>
      </c>
      <c r="BM269" t="b">
        <f t="shared" si="270"/>
        <v>1</v>
      </c>
      <c r="BN269" t="str">
        <f t="shared" si="252"/>
        <v>R763</v>
      </c>
      <c r="BO269" t="str">
        <f t="shared" si="253"/>
        <v>R763</v>
      </c>
      <c r="BP269" t="str">
        <f t="shared" si="254"/>
        <v>R631</v>
      </c>
      <c r="BQ269" t="str">
        <f t="shared" si="255"/>
        <v/>
      </c>
      <c r="BR269" t="s">
        <v>376</v>
      </c>
      <c r="BS269" t="s">
        <v>375</v>
      </c>
      <c r="BT269" t="s">
        <v>376</v>
      </c>
      <c r="BU269" t="b">
        <f t="shared" si="271"/>
        <v>1</v>
      </c>
      <c r="BZ269" t="str">
        <f t="shared" si="256"/>
        <v>G354</v>
      </c>
      <c r="CA269" t="b">
        <f t="shared" si="257"/>
        <v>1</v>
      </c>
      <c r="CB269" t="str">
        <f t="shared" si="272"/>
        <v/>
      </c>
      <c r="CC269" t="str">
        <f t="shared" si="258"/>
        <v>R631</v>
      </c>
      <c r="CD269" t="b">
        <f t="shared" si="273"/>
        <v>1</v>
      </c>
      <c r="CE269" t="str">
        <f t="shared" si="274"/>
        <v/>
      </c>
      <c r="CG269" t="str">
        <f t="shared" si="259"/>
        <v>G706</v>
      </c>
      <c r="CH269" t="str">
        <f t="shared" si="275"/>
        <v>G706</v>
      </c>
      <c r="CI269" t="str">
        <f t="shared" si="260"/>
        <v>G602</v>
      </c>
      <c r="CJ269" t="str">
        <f t="shared" si="261"/>
        <v>G602</v>
      </c>
      <c r="CK269" t="s">
        <v>1344</v>
      </c>
      <c r="CL269" t="s">
        <v>1344</v>
      </c>
      <c r="CM269" t="s">
        <v>1344</v>
      </c>
      <c r="CN269" t="b">
        <f t="shared" si="276"/>
        <v>1</v>
      </c>
      <c r="CO269" t="str">
        <f t="shared" si="262"/>
        <v>R479</v>
      </c>
      <c r="CP269" t="str">
        <f t="shared" si="277"/>
        <v>R479</v>
      </c>
      <c r="CQ269" t="str">
        <f t="shared" si="263"/>
        <v>R74</v>
      </c>
      <c r="CR269" t="str">
        <f t="shared" si="264"/>
        <v>R74</v>
      </c>
      <c r="CS269" t="s">
        <v>662</v>
      </c>
      <c r="CT269" t="s">
        <v>662</v>
      </c>
      <c r="CU269" t="s">
        <v>662</v>
      </c>
      <c r="CV269" t="b">
        <f t="shared" si="278"/>
        <v>1</v>
      </c>
      <c r="DC269" t="str">
        <f t="shared" si="265"/>
        <v>G602</v>
      </c>
      <c r="DD269" t="b">
        <f t="shared" si="279"/>
        <v>0</v>
      </c>
      <c r="DE269" t="str">
        <f t="shared" si="280"/>
        <v>G602</v>
      </c>
      <c r="DF269" t="str">
        <f t="shared" si="266"/>
        <v>R74</v>
      </c>
      <c r="DG269" t="b">
        <f t="shared" si="281"/>
        <v>0</v>
      </c>
      <c r="DH269" t="str">
        <f t="shared" si="282"/>
        <v>R74</v>
      </c>
    </row>
    <row r="270" spans="2:112" ht="12" customHeight="1">
      <c r="B270" t="str">
        <f>TBIDry!H342</f>
        <v>G659</v>
      </c>
      <c r="C270" t="str">
        <f>TBIDry!I342</f>
        <v>R606</v>
      </c>
      <c r="D270" t="b">
        <f t="shared" si="229"/>
        <v>0</v>
      </c>
      <c r="E270" t="b">
        <f t="shared" si="230"/>
        <v>0</v>
      </c>
      <c r="G270" t="str">
        <f>TBIWet!H342</f>
        <v>G512</v>
      </c>
      <c r="H270" t="str">
        <f>TBIWet!I342</f>
        <v>R76</v>
      </c>
      <c r="I270" t="b">
        <f t="shared" si="231"/>
        <v>0</v>
      </c>
      <c r="J270" t="b">
        <f t="shared" si="232"/>
        <v>0</v>
      </c>
      <c r="L270" t="str">
        <f>'Both teabags AfterWet'!A268</f>
        <v>G708</v>
      </c>
      <c r="M270" t="str">
        <f>'Both teabags AfterWet'!A688</f>
        <v>R480</v>
      </c>
      <c r="N270" t="b">
        <f t="shared" si="233"/>
        <v>0</v>
      </c>
      <c r="O270" t="b">
        <f t="shared" si="283"/>
        <v>0</v>
      </c>
      <c r="Q270" s="388" t="b">
        <f t="shared" si="234"/>
        <v>0</v>
      </c>
      <c r="R270" s="388" t="b">
        <f t="shared" si="235"/>
        <v>0</v>
      </c>
      <c r="T270" t="str">
        <f>'Both teabags AfterDry'!A268</f>
        <v>G617</v>
      </c>
      <c r="U270" t="str">
        <f>'Both teabags AfterDry'!A603</f>
        <v>R765</v>
      </c>
      <c r="V270" t="b">
        <f t="shared" si="236"/>
        <v>0</v>
      </c>
      <c r="W270" t="b">
        <f t="shared" si="267"/>
        <v>0</v>
      </c>
      <c r="Y270" t="str">
        <f>'Green_rooibos initial weight'!A271</f>
        <v>G267</v>
      </c>
      <c r="Z270" t="str">
        <f>'Green_rooibos initial weight'!A1175</f>
        <v>R267</v>
      </c>
      <c r="AA270" t="b">
        <f t="shared" si="237"/>
        <v>0</v>
      </c>
      <c r="AB270" t="b">
        <f t="shared" si="238"/>
        <v>0</v>
      </c>
      <c r="AE270" t="str">
        <f>'WetLitterbags placem_collection'!O49</f>
        <v>G512</v>
      </c>
      <c r="AF270" t="str">
        <f>'WetLitterbags placem_collection'!Q49</f>
        <v>R76</v>
      </c>
      <c r="AG270" t="b">
        <f t="shared" si="239"/>
        <v>0</v>
      </c>
      <c r="AH270" t="b">
        <f t="shared" si="240"/>
        <v>0</v>
      </c>
      <c r="AJ270" t="b">
        <f t="shared" si="241"/>
        <v>0</v>
      </c>
      <c r="AK270" t="b">
        <f t="shared" si="242"/>
        <v>0</v>
      </c>
      <c r="AM270" t="str">
        <f>IF(ISBLANK('Dry_Litterbag Placem_Collection'!L49),"","G"&amp;""&amp;'Dry_Litterbag Placem_Collection'!L49)</f>
        <v>G659</v>
      </c>
      <c r="AN270" t="str">
        <f>IF(ISBLANK('Dry_Litterbag Placem_Collection'!M49),"","R"&amp;""&amp;'Dry_Litterbag Placem_Collection'!M49)</f>
        <v>R606</v>
      </c>
      <c r="AO270" t="b">
        <f t="shared" si="243"/>
        <v>0</v>
      </c>
      <c r="AP270" t="b">
        <f t="shared" si="244"/>
        <v>0</v>
      </c>
      <c r="AS270" t="str">
        <f>'Ashed teabags dry'!A268</f>
        <v>G617</v>
      </c>
      <c r="AT270" t="str">
        <f>'Ashed teabags dry'!A603</f>
        <v>R765</v>
      </c>
      <c r="AU270" t="b">
        <f t="shared" si="245"/>
        <v>0</v>
      </c>
      <c r="AV270" t="b">
        <f t="shared" si="268"/>
        <v>0</v>
      </c>
      <c r="AX270" s="388" t="b">
        <f t="shared" si="246"/>
        <v>0</v>
      </c>
      <c r="AY270" s="388" t="b">
        <f t="shared" si="247"/>
        <v>0</v>
      </c>
      <c r="BA270" t="str">
        <f>'Ashed teabags wet'!A268</f>
        <v>G708</v>
      </c>
      <c r="BB270" t="str">
        <f>'Ashed teabags wet'!A688</f>
        <v>R480</v>
      </c>
      <c r="BC270" t="b">
        <f t="shared" si="248"/>
        <v>0</v>
      </c>
      <c r="BD270" t="b">
        <f t="shared" si="228"/>
        <v>0</v>
      </c>
      <c r="BF270" t="str">
        <f t="shared" si="249"/>
        <v>G612</v>
      </c>
      <c r="BG270" t="str">
        <f t="shared" si="250"/>
        <v>G612</v>
      </c>
      <c r="BH270" t="str">
        <f t="shared" si="251"/>
        <v/>
      </c>
      <c r="BI270" t="str">
        <f t="shared" si="269"/>
        <v/>
      </c>
      <c r="BJ270" t="s">
        <v>1438</v>
      </c>
      <c r="BK270" t="s">
        <v>1438</v>
      </c>
      <c r="BL270" t="s">
        <v>1438</v>
      </c>
      <c r="BM270" t="b">
        <f t="shared" si="270"/>
        <v>1</v>
      </c>
      <c r="BN270" t="str">
        <f t="shared" si="252"/>
        <v>R764</v>
      </c>
      <c r="BO270" t="str">
        <f t="shared" si="253"/>
        <v>R764</v>
      </c>
      <c r="BP270" t="str">
        <f t="shared" si="254"/>
        <v/>
      </c>
      <c r="BQ270" t="str">
        <f t="shared" si="255"/>
        <v/>
      </c>
      <c r="BR270" t="s">
        <v>375</v>
      </c>
      <c r="BS270" t="s">
        <v>374</v>
      </c>
      <c r="BT270" t="s">
        <v>375</v>
      </c>
      <c r="BU270" t="b">
        <f t="shared" si="271"/>
        <v>1</v>
      </c>
      <c r="BZ270" t="str">
        <f t="shared" si="256"/>
        <v/>
      </c>
      <c r="CA270" t="b">
        <f t="shared" si="257"/>
        <v>0</v>
      </c>
      <c r="CB270" t="str">
        <f t="shared" si="272"/>
        <v/>
      </c>
      <c r="CC270" t="str">
        <f t="shared" si="258"/>
        <v/>
      </c>
      <c r="CD270" t="b">
        <f t="shared" si="273"/>
        <v>0</v>
      </c>
      <c r="CE270" t="str">
        <f t="shared" si="274"/>
        <v/>
      </c>
      <c r="CG270" t="str">
        <f t="shared" si="259"/>
        <v>G707</v>
      </c>
      <c r="CH270" t="str">
        <f t="shared" si="275"/>
        <v>G707</v>
      </c>
      <c r="CI270" t="str">
        <f t="shared" si="260"/>
        <v>G427</v>
      </c>
      <c r="CJ270" t="str">
        <f t="shared" si="261"/>
        <v/>
      </c>
      <c r="CK270" t="s">
        <v>1343</v>
      </c>
      <c r="CL270" t="s">
        <v>1343</v>
      </c>
      <c r="CM270" t="s">
        <v>1343</v>
      </c>
      <c r="CN270" t="b">
        <f t="shared" si="276"/>
        <v>1</v>
      </c>
      <c r="CO270" t="str">
        <f t="shared" si="262"/>
        <v>R48</v>
      </c>
      <c r="CP270" t="str">
        <f t="shared" si="277"/>
        <v>R48</v>
      </c>
      <c r="CQ270" t="str">
        <f t="shared" si="263"/>
        <v>R102</v>
      </c>
      <c r="CR270" t="str">
        <f t="shared" si="264"/>
        <v/>
      </c>
      <c r="CS270" t="s">
        <v>1093</v>
      </c>
      <c r="CT270" t="s">
        <v>1093</v>
      </c>
      <c r="CU270" t="s">
        <v>1093</v>
      </c>
      <c r="CV270" t="b">
        <f t="shared" si="278"/>
        <v>1</v>
      </c>
      <c r="DC270" t="str">
        <f t="shared" si="265"/>
        <v>G427</v>
      </c>
      <c r="DD270" t="b">
        <f t="shared" si="279"/>
        <v>1</v>
      </c>
      <c r="DE270" t="str">
        <f t="shared" si="280"/>
        <v/>
      </c>
      <c r="DF270" t="str">
        <f t="shared" si="266"/>
        <v>R102</v>
      </c>
      <c r="DG270" t="b">
        <f t="shared" si="281"/>
        <v>1</v>
      </c>
      <c r="DH270" t="str">
        <f t="shared" si="282"/>
        <v/>
      </c>
    </row>
    <row r="271" spans="2:112" ht="12" customHeight="1">
      <c r="B271" t="str">
        <f>TBIDry!H343</f>
        <v>G267</v>
      </c>
      <c r="C271" t="str">
        <f>TBIDry!I343</f>
        <v>R221</v>
      </c>
      <c r="D271" t="b">
        <f t="shared" si="229"/>
        <v>0</v>
      </c>
      <c r="E271" t="b">
        <f t="shared" si="230"/>
        <v>0</v>
      </c>
      <c r="G271" t="str">
        <f>TBIWet!H343</f>
        <v>G299</v>
      </c>
      <c r="H271" t="str">
        <f>TBIWet!I343</f>
        <v>R107</v>
      </c>
      <c r="I271" t="b">
        <f t="shared" si="231"/>
        <v>0</v>
      </c>
      <c r="J271" t="b">
        <f t="shared" si="232"/>
        <v>0</v>
      </c>
      <c r="L271" t="str">
        <f>'Both teabags AfterWet'!A269</f>
        <v>G709</v>
      </c>
      <c r="M271" t="str">
        <f>'Both teabags AfterWet'!A689</f>
        <v>R481</v>
      </c>
      <c r="N271" t="b">
        <f t="shared" si="233"/>
        <v>0</v>
      </c>
      <c r="O271" t="b">
        <f t="shared" si="283"/>
        <v>0</v>
      </c>
      <c r="Q271" s="388" t="b">
        <f t="shared" si="234"/>
        <v>0</v>
      </c>
      <c r="R271" s="388" t="b">
        <f t="shared" si="235"/>
        <v>0</v>
      </c>
      <c r="T271" t="str">
        <f>'Both teabags AfterDry'!A269</f>
        <v>G62</v>
      </c>
      <c r="U271" t="str">
        <f>'Both teabags AfterDry'!A604</f>
        <v>R766</v>
      </c>
      <c r="V271" t="b">
        <f t="shared" si="236"/>
        <v>0</v>
      </c>
      <c r="W271" t="b">
        <f t="shared" si="267"/>
        <v>0</v>
      </c>
      <c r="Y271" t="str">
        <f>'Green_rooibos initial weight'!A272</f>
        <v>G268</v>
      </c>
      <c r="Z271" t="str">
        <f>'Green_rooibos initial weight'!A1176</f>
        <v>R268</v>
      </c>
      <c r="AA271" t="b">
        <f t="shared" si="237"/>
        <v>0</v>
      </c>
      <c r="AB271" t="b">
        <f t="shared" si="238"/>
        <v>0</v>
      </c>
      <c r="AE271" t="str">
        <f>'WetLitterbags placem_collection'!O50</f>
        <v>G299</v>
      </c>
      <c r="AF271" t="str">
        <f>'WetLitterbags placem_collection'!Q50</f>
        <v>R107</v>
      </c>
      <c r="AG271" t="b">
        <f t="shared" si="239"/>
        <v>0</v>
      </c>
      <c r="AH271" t="b">
        <f t="shared" si="240"/>
        <v>0</v>
      </c>
      <c r="AJ271" t="b">
        <f t="shared" si="241"/>
        <v>0</v>
      </c>
      <c r="AK271" t="b">
        <f t="shared" si="242"/>
        <v>0</v>
      </c>
      <c r="AM271" t="str">
        <f>IF(ISBLANK('Dry_Litterbag Placem_Collection'!L50),"","G"&amp;""&amp;'Dry_Litterbag Placem_Collection'!L50)</f>
        <v>G267</v>
      </c>
      <c r="AN271" t="str">
        <f>IF(ISBLANK('Dry_Litterbag Placem_Collection'!M50),"","R"&amp;""&amp;'Dry_Litterbag Placem_Collection'!M50)</f>
        <v>R221</v>
      </c>
      <c r="AO271" t="b">
        <f t="shared" si="243"/>
        <v>0</v>
      </c>
      <c r="AP271" t="b">
        <f t="shared" si="244"/>
        <v>0</v>
      </c>
      <c r="AS271" t="str">
        <f>'Ashed teabags dry'!A269</f>
        <v>G62</v>
      </c>
      <c r="AT271" t="str">
        <f>'Ashed teabags dry'!A604</f>
        <v>R766</v>
      </c>
      <c r="AU271" t="b">
        <f t="shared" si="245"/>
        <v>0</v>
      </c>
      <c r="AV271" t="b">
        <f t="shared" si="268"/>
        <v>0</v>
      </c>
      <c r="AX271" s="388" t="b">
        <f t="shared" si="246"/>
        <v>0</v>
      </c>
      <c r="AY271" s="388" t="b">
        <f t="shared" si="247"/>
        <v>0</v>
      </c>
      <c r="BA271" t="str">
        <f>'Ashed teabags wet'!A269</f>
        <v>G709</v>
      </c>
      <c r="BB271" t="str">
        <f>'Ashed teabags wet'!A689</f>
        <v>R481</v>
      </c>
      <c r="BC271" t="b">
        <f t="shared" si="248"/>
        <v>0</v>
      </c>
      <c r="BD271" t="b">
        <f t="shared" si="228"/>
        <v>0</v>
      </c>
      <c r="BF271" t="str">
        <f t="shared" si="249"/>
        <v>G617</v>
      </c>
      <c r="BG271" t="str">
        <f t="shared" si="250"/>
        <v>G617</v>
      </c>
      <c r="BH271" t="str">
        <f t="shared" si="251"/>
        <v>G659</v>
      </c>
      <c r="BI271" t="str">
        <f t="shared" si="269"/>
        <v>G659</v>
      </c>
      <c r="BJ271" t="s">
        <v>1433</v>
      </c>
      <c r="BK271" t="s">
        <v>1433</v>
      </c>
      <c r="BL271" t="s">
        <v>1433</v>
      </c>
      <c r="BM271" t="b">
        <f t="shared" si="270"/>
        <v>1</v>
      </c>
      <c r="BN271" t="str">
        <f t="shared" si="252"/>
        <v>R765</v>
      </c>
      <c r="BO271" t="str">
        <f t="shared" si="253"/>
        <v>R765</v>
      </c>
      <c r="BP271" t="str">
        <f t="shared" si="254"/>
        <v>R606</v>
      </c>
      <c r="BQ271" t="str">
        <f t="shared" si="255"/>
        <v>R606</v>
      </c>
      <c r="BR271" t="s">
        <v>374</v>
      </c>
      <c r="BS271" t="s">
        <v>373</v>
      </c>
      <c r="BT271" t="s">
        <v>374</v>
      </c>
      <c r="BU271" t="b">
        <f t="shared" si="271"/>
        <v>1</v>
      </c>
      <c r="BZ271" t="str">
        <f t="shared" si="256"/>
        <v>G659</v>
      </c>
      <c r="CA271" t="b">
        <f t="shared" si="257"/>
        <v>0</v>
      </c>
      <c r="CB271" t="str">
        <f t="shared" si="272"/>
        <v>G659</v>
      </c>
      <c r="CC271" t="str">
        <f t="shared" si="258"/>
        <v>R606</v>
      </c>
      <c r="CD271" t="b">
        <f t="shared" si="273"/>
        <v>0</v>
      </c>
      <c r="CE271" t="str">
        <f t="shared" si="274"/>
        <v>R606</v>
      </c>
      <c r="CG271" t="str">
        <f t="shared" si="259"/>
        <v>G708</v>
      </c>
      <c r="CH271" t="str">
        <f t="shared" si="275"/>
        <v>G708</v>
      </c>
      <c r="CI271" t="str">
        <f t="shared" si="260"/>
        <v>G512</v>
      </c>
      <c r="CJ271" t="str">
        <f t="shared" si="261"/>
        <v>G512</v>
      </c>
      <c r="CK271" t="s">
        <v>1342</v>
      </c>
      <c r="CL271" t="s">
        <v>1342</v>
      </c>
      <c r="CM271" t="s">
        <v>1342</v>
      </c>
      <c r="CN271" t="b">
        <f t="shared" si="276"/>
        <v>1</v>
      </c>
      <c r="CO271" t="str">
        <f t="shared" si="262"/>
        <v>R480</v>
      </c>
      <c r="CP271" t="str">
        <f t="shared" si="277"/>
        <v>R480</v>
      </c>
      <c r="CQ271" t="str">
        <f t="shared" si="263"/>
        <v>R76</v>
      </c>
      <c r="CR271" t="str">
        <f t="shared" si="264"/>
        <v>R76</v>
      </c>
      <c r="CS271" t="s">
        <v>661</v>
      </c>
      <c r="CT271" t="s">
        <v>661</v>
      </c>
      <c r="CU271" t="s">
        <v>661</v>
      </c>
      <c r="CV271" t="b">
        <f t="shared" si="278"/>
        <v>1</v>
      </c>
      <c r="DC271" t="str">
        <f t="shared" si="265"/>
        <v>G512</v>
      </c>
      <c r="DD271" t="b">
        <f t="shared" si="279"/>
        <v>0</v>
      </c>
      <c r="DE271" t="str">
        <f t="shared" si="280"/>
        <v>G512</v>
      </c>
      <c r="DF271" t="str">
        <f t="shared" si="266"/>
        <v>R76</v>
      </c>
      <c r="DG271" t="b">
        <f t="shared" si="281"/>
        <v>0</v>
      </c>
      <c r="DH271" t="str">
        <f t="shared" si="282"/>
        <v>R76</v>
      </c>
    </row>
    <row r="272" spans="2:112" ht="12" customHeight="1">
      <c r="B272" t="str">
        <f>TBIDry!H344</f>
        <v>G812</v>
      </c>
      <c r="C272" t="str">
        <f>TBIDry!I344</f>
        <v>R308</v>
      </c>
      <c r="D272" t="b">
        <f t="shared" si="229"/>
        <v>0</v>
      </c>
      <c r="E272" t="b">
        <f t="shared" si="230"/>
        <v>0</v>
      </c>
      <c r="G272" t="str">
        <f>TBIWet!H344</f>
        <v>G739</v>
      </c>
      <c r="H272" t="str">
        <f>TBIWet!I344</f>
        <v>R155</v>
      </c>
      <c r="I272" t="b">
        <f t="shared" si="231"/>
        <v>0</v>
      </c>
      <c r="J272" t="b">
        <f t="shared" si="232"/>
        <v>0</v>
      </c>
      <c r="L272" t="str">
        <f>'Both teabags AfterWet'!A270</f>
        <v>G710</v>
      </c>
      <c r="M272" t="str">
        <f>'Both teabags AfterWet'!A690</f>
        <v>R482</v>
      </c>
      <c r="N272" t="b">
        <f t="shared" si="233"/>
        <v>0</v>
      </c>
      <c r="O272" t="b">
        <f t="shared" si="283"/>
        <v>0</v>
      </c>
      <c r="Q272" s="388" t="b">
        <f t="shared" si="234"/>
        <v>0</v>
      </c>
      <c r="R272" s="388" t="b">
        <f t="shared" si="235"/>
        <v>0</v>
      </c>
      <c r="T272" t="str">
        <f>'Both teabags AfterDry'!A270</f>
        <v>G624</v>
      </c>
      <c r="U272" t="str">
        <f>'Both teabags AfterDry'!A605</f>
        <v>R768</v>
      </c>
      <c r="V272" t="b">
        <f t="shared" si="236"/>
        <v>0</v>
      </c>
      <c r="W272" t="b">
        <f t="shared" si="267"/>
        <v>0</v>
      </c>
      <c r="Y272" t="str">
        <f>'Green_rooibos initial weight'!A273</f>
        <v>G269</v>
      </c>
      <c r="Z272" t="str">
        <f>'Green_rooibos initial weight'!A1177</f>
        <v>R269</v>
      </c>
      <c r="AA272" t="b">
        <f t="shared" si="237"/>
        <v>0</v>
      </c>
      <c r="AB272" t="b">
        <f t="shared" si="238"/>
        <v>0</v>
      </c>
      <c r="AE272" t="str">
        <f>'WetLitterbags placem_collection'!O51</f>
        <v>G739</v>
      </c>
      <c r="AF272" t="str">
        <f>'WetLitterbags placem_collection'!Q51</f>
        <v>R155</v>
      </c>
      <c r="AG272" t="b">
        <f t="shared" si="239"/>
        <v>0</v>
      </c>
      <c r="AH272" t="b">
        <f t="shared" si="240"/>
        <v>0</v>
      </c>
      <c r="AJ272" t="b">
        <f t="shared" si="241"/>
        <v>0</v>
      </c>
      <c r="AK272" t="b">
        <f t="shared" si="242"/>
        <v>0</v>
      </c>
      <c r="AM272" t="str">
        <f>IF(ISBLANK('Dry_Litterbag Placem_Collection'!L51),"","G"&amp;""&amp;'Dry_Litterbag Placem_Collection'!L51)</f>
        <v>G812</v>
      </c>
      <c r="AN272" t="str">
        <f>IF(ISBLANK('Dry_Litterbag Placem_Collection'!M51),"","R"&amp;""&amp;'Dry_Litterbag Placem_Collection'!M51)</f>
        <v>R308</v>
      </c>
      <c r="AO272" t="b">
        <f t="shared" si="243"/>
        <v>0</v>
      </c>
      <c r="AP272" t="b">
        <f t="shared" si="244"/>
        <v>0</v>
      </c>
      <c r="AS272" t="str">
        <f>'Ashed teabags dry'!A270</f>
        <v>G624</v>
      </c>
      <c r="AT272" t="str">
        <f>'Ashed teabags dry'!A605</f>
        <v>R768</v>
      </c>
      <c r="AU272" t="b">
        <f t="shared" si="245"/>
        <v>0</v>
      </c>
      <c r="AV272" t="b">
        <f t="shared" si="268"/>
        <v>0</v>
      </c>
      <c r="AX272" s="388" t="b">
        <f t="shared" si="246"/>
        <v>0</v>
      </c>
      <c r="AY272" s="388" t="b">
        <f t="shared" si="247"/>
        <v>0</v>
      </c>
      <c r="BA272" t="str">
        <f>'Ashed teabags wet'!A270</f>
        <v>G710</v>
      </c>
      <c r="BB272" t="str">
        <f>'Ashed teabags wet'!A690</f>
        <v>R482</v>
      </c>
      <c r="BC272" t="b">
        <f t="shared" si="248"/>
        <v>0</v>
      </c>
      <c r="BD272" t="b">
        <f t="shared" si="228"/>
        <v>0</v>
      </c>
      <c r="BF272" t="str">
        <f t="shared" si="249"/>
        <v>G62</v>
      </c>
      <c r="BG272" t="str">
        <f t="shared" si="250"/>
        <v>G62</v>
      </c>
      <c r="BH272" t="str">
        <f t="shared" si="251"/>
        <v>G267</v>
      </c>
      <c r="BI272" t="str">
        <f t="shared" si="269"/>
        <v>G267</v>
      </c>
      <c r="BJ272" t="s">
        <v>1988</v>
      </c>
      <c r="BK272" t="s">
        <v>1988</v>
      </c>
      <c r="BL272" t="s">
        <v>1988</v>
      </c>
      <c r="BM272" t="b">
        <f t="shared" si="270"/>
        <v>1</v>
      </c>
      <c r="BN272" t="str">
        <f t="shared" si="252"/>
        <v>R766</v>
      </c>
      <c r="BO272" t="str">
        <f t="shared" si="253"/>
        <v>R766</v>
      </c>
      <c r="BP272" t="str">
        <f t="shared" si="254"/>
        <v>R221</v>
      </c>
      <c r="BQ272" t="str">
        <f t="shared" si="255"/>
        <v>R221</v>
      </c>
      <c r="BR272" t="s">
        <v>373</v>
      </c>
      <c r="BS272" t="s">
        <v>371</v>
      </c>
      <c r="BT272" t="s">
        <v>373</v>
      </c>
      <c r="BU272" t="b">
        <f t="shared" si="271"/>
        <v>1</v>
      </c>
      <c r="BZ272" t="str">
        <f t="shared" si="256"/>
        <v>G267</v>
      </c>
      <c r="CA272" t="b">
        <f t="shared" si="257"/>
        <v>0</v>
      </c>
      <c r="CB272" t="str">
        <f t="shared" si="272"/>
        <v>G267</v>
      </c>
      <c r="CC272" t="str">
        <f t="shared" si="258"/>
        <v>R221</v>
      </c>
      <c r="CD272" t="b">
        <f t="shared" si="273"/>
        <v>0</v>
      </c>
      <c r="CE272" t="str">
        <f t="shared" si="274"/>
        <v>R221</v>
      </c>
      <c r="CG272" t="str">
        <f t="shared" si="259"/>
        <v>G709</v>
      </c>
      <c r="CH272" t="str">
        <f t="shared" si="275"/>
        <v>G709</v>
      </c>
      <c r="CI272" t="str">
        <f t="shared" si="260"/>
        <v>G299</v>
      </c>
      <c r="CJ272" t="str">
        <f t="shared" si="261"/>
        <v>G299</v>
      </c>
      <c r="CK272" t="s">
        <v>1341</v>
      </c>
      <c r="CL272" t="s">
        <v>1341</v>
      </c>
      <c r="CM272" t="s">
        <v>1341</v>
      </c>
      <c r="CN272" t="b">
        <f t="shared" si="276"/>
        <v>1</v>
      </c>
      <c r="CO272" t="str">
        <f t="shared" si="262"/>
        <v>R481</v>
      </c>
      <c r="CP272" t="str">
        <f t="shared" si="277"/>
        <v>R481</v>
      </c>
      <c r="CQ272" t="str">
        <f t="shared" si="263"/>
        <v>R107</v>
      </c>
      <c r="CR272" t="str">
        <f t="shared" si="264"/>
        <v>R107</v>
      </c>
      <c r="CS272" t="s">
        <v>660</v>
      </c>
      <c r="CT272" t="s">
        <v>660</v>
      </c>
      <c r="CU272" t="s">
        <v>660</v>
      </c>
      <c r="CV272" t="b">
        <f t="shared" si="278"/>
        <v>1</v>
      </c>
      <c r="DC272" t="str">
        <f t="shared" si="265"/>
        <v>G299</v>
      </c>
      <c r="DD272" t="b">
        <f t="shared" si="279"/>
        <v>0</v>
      </c>
      <c r="DE272" t="str">
        <f t="shared" si="280"/>
        <v>G299</v>
      </c>
      <c r="DF272" t="str">
        <f t="shared" si="266"/>
        <v>R107</v>
      </c>
      <c r="DG272" t="b">
        <f t="shared" si="281"/>
        <v>0</v>
      </c>
      <c r="DH272" t="str">
        <f t="shared" si="282"/>
        <v>R107</v>
      </c>
    </row>
    <row r="273" spans="2:112" ht="12" customHeight="1">
      <c r="B273" t="str">
        <f>TBIDry!H345</f>
        <v>G212</v>
      </c>
      <c r="C273" t="str">
        <f>TBIDry!I345</f>
        <v>R644</v>
      </c>
      <c r="D273" t="b">
        <f t="shared" si="229"/>
        <v>0</v>
      </c>
      <c r="E273" t="b">
        <f t="shared" si="230"/>
        <v>0</v>
      </c>
      <c r="G273" t="str">
        <f>TBIWet!H345</f>
        <v>G559</v>
      </c>
      <c r="H273" t="str">
        <f>TBIWet!I345</f>
        <v>R98</v>
      </c>
      <c r="I273" t="b">
        <f t="shared" si="231"/>
        <v>0</v>
      </c>
      <c r="J273" t="b">
        <f t="shared" si="232"/>
        <v>0</v>
      </c>
      <c r="L273" t="str">
        <f>'Both teabags AfterWet'!A271</f>
        <v>G712</v>
      </c>
      <c r="M273" t="str">
        <f>'Both teabags AfterWet'!A691</f>
        <v>R483</v>
      </c>
      <c r="N273" t="b">
        <f t="shared" si="233"/>
        <v>0</v>
      </c>
      <c r="O273" t="b">
        <f t="shared" si="283"/>
        <v>0</v>
      </c>
      <c r="Q273" s="388" t="b">
        <f t="shared" si="234"/>
        <v>0</v>
      </c>
      <c r="R273" s="388" t="b">
        <f t="shared" si="235"/>
        <v>0</v>
      </c>
      <c r="T273" t="str">
        <f>'Both teabags AfterDry'!A271</f>
        <v>G625</v>
      </c>
      <c r="U273" t="str">
        <f>'Both teabags AfterDry'!A606</f>
        <v>R769</v>
      </c>
      <c r="V273" t="b">
        <f t="shared" si="236"/>
        <v>0</v>
      </c>
      <c r="W273" t="b">
        <f t="shared" si="267"/>
        <v>0</v>
      </c>
      <c r="Y273" t="str">
        <f>'Green_rooibos initial weight'!A274</f>
        <v>G270</v>
      </c>
      <c r="Z273" t="str">
        <f>'Green_rooibos initial weight'!A1178</f>
        <v>R270</v>
      </c>
      <c r="AA273" t="b">
        <f t="shared" si="237"/>
        <v>0</v>
      </c>
      <c r="AB273" t="b">
        <f t="shared" si="238"/>
        <v>0</v>
      </c>
      <c r="AE273" t="str">
        <f>'WetLitterbags placem_collection'!O52</f>
        <v>G559</v>
      </c>
      <c r="AF273" t="str">
        <f>'WetLitterbags placem_collection'!Q52</f>
        <v>R98</v>
      </c>
      <c r="AG273" t="b">
        <f t="shared" si="239"/>
        <v>0</v>
      </c>
      <c r="AH273" t="b">
        <f t="shared" si="240"/>
        <v>0</v>
      </c>
      <c r="AJ273" t="b">
        <f t="shared" si="241"/>
        <v>0</v>
      </c>
      <c r="AK273" t="b">
        <f t="shared" si="242"/>
        <v>0</v>
      </c>
      <c r="AM273" t="str">
        <f>IF(ISBLANK('Dry_Litterbag Placem_Collection'!L52),"","G"&amp;""&amp;'Dry_Litterbag Placem_Collection'!L52)</f>
        <v>G212</v>
      </c>
      <c r="AN273" t="str">
        <f>IF(ISBLANK('Dry_Litterbag Placem_Collection'!M52),"","R"&amp;""&amp;'Dry_Litterbag Placem_Collection'!M52)</f>
        <v>R644</v>
      </c>
      <c r="AO273" t="b">
        <f t="shared" si="243"/>
        <v>0</v>
      </c>
      <c r="AP273" t="b">
        <f t="shared" si="244"/>
        <v>0</v>
      </c>
      <c r="AS273" t="str">
        <f>'Ashed teabags dry'!A271</f>
        <v>G625</v>
      </c>
      <c r="AT273" t="str">
        <f>'Ashed teabags dry'!A606</f>
        <v>R769</v>
      </c>
      <c r="AU273" t="b">
        <f t="shared" si="245"/>
        <v>0</v>
      </c>
      <c r="AV273" t="b">
        <f t="shared" si="268"/>
        <v>0</v>
      </c>
      <c r="AX273" s="388" t="b">
        <f t="shared" si="246"/>
        <v>0</v>
      </c>
      <c r="AY273" s="388" t="b">
        <f t="shared" si="247"/>
        <v>0</v>
      </c>
      <c r="BA273" t="str">
        <f>'Ashed teabags wet'!A271</f>
        <v>G712</v>
      </c>
      <c r="BB273" t="str">
        <f>'Ashed teabags wet'!A691</f>
        <v>R483</v>
      </c>
      <c r="BC273" t="b">
        <f t="shared" si="248"/>
        <v>0</v>
      </c>
      <c r="BD273" t="b">
        <f t="shared" si="228"/>
        <v>0</v>
      </c>
      <c r="BF273" t="str">
        <f t="shared" si="249"/>
        <v>G624</v>
      </c>
      <c r="BG273" t="str">
        <f t="shared" si="250"/>
        <v>G624</v>
      </c>
      <c r="BH273" t="str">
        <f t="shared" si="251"/>
        <v>G812</v>
      </c>
      <c r="BI273" t="str">
        <f t="shared" si="269"/>
        <v/>
      </c>
      <c r="BJ273" t="s">
        <v>1426</v>
      </c>
      <c r="BK273" t="s">
        <v>1426</v>
      </c>
      <c r="BL273" t="s">
        <v>1426</v>
      </c>
      <c r="BM273" t="b">
        <f t="shared" si="270"/>
        <v>1</v>
      </c>
      <c r="BN273" t="str">
        <f t="shared" si="252"/>
        <v>R768</v>
      </c>
      <c r="BO273" t="str">
        <f t="shared" si="253"/>
        <v>R768</v>
      </c>
      <c r="BP273" t="str">
        <f t="shared" si="254"/>
        <v>R308</v>
      </c>
      <c r="BQ273" t="str">
        <f t="shared" si="255"/>
        <v/>
      </c>
      <c r="BR273" t="s">
        <v>371</v>
      </c>
      <c r="BS273" t="s">
        <v>370</v>
      </c>
      <c r="BT273" t="s">
        <v>371</v>
      </c>
      <c r="BU273" t="b">
        <f t="shared" si="271"/>
        <v>1</v>
      </c>
      <c r="BZ273" t="str">
        <f t="shared" si="256"/>
        <v>G812</v>
      </c>
      <c r="CA273" t="b">
        <f t="shared" si="257"/>
        <v>1</v>
      </c>
      <c r="CB273" t="str">
        <f t="shared" si="272"/>
        <v/>
      </c>
      <c r="CC273" t="str">
        <f t="shared" si="258"/>
        <v>R308</v>
      </c>
      <c r="CD273" t="b">
        <f t="shared" si="273"/>
        <v>1</v>
      </c>
      <c r="CE273" t="str">
        <f t="shared" si="274"/>
        <v/>
      </c>
      <c r="CG273" t="str">
        <f t="shared" si="259"/>
        <v>G710</v>
      </c>
      <c r="CH273" t="str">
        <f t="shared" si="275"/>
        <v>G710</v>
      </c>
      <c r="CI273" t="str">
        <f t="shared" si="260"/>
        <v>G739</v>
      </c>
      <c r="CJ273" t="str">
        <f t="shared" si="261"/>
        <v>G739</v>
      </c>
      <c r="CK273" t="s">
        <v>1340</v>
      </c>
      <c r="CL273" t="s">
        <v>1340</v>
      </c>
      <c r="CM273" t="s">
        <v>1340</v>
      </c>
      <c r="CN273" t="b">
        <f t="shared" si="276"/>
        <v>1</v>
      </c>
      <c r="CO273" t="str">
        <f t="shared" si="262"/>
        <v>R482</v>
      </c>
      <c r="CP273" t="str">
        <f t="shared" si="277"/>
        <v>R482</v>
      </c>
      <c r="CQ273" t="str">
        <f t="shared" si="263"/>
        <v>R155</v>
      </c>
      <c r="CR273" t="str">
        <f t="shared" si="264"/>
        <v>R155</v>
      </c>
      <c r="CS273" t="s">
        <v>659</v>
      </c>
      <c r="CT273" t="s">
        <v>659</v>
      </c>
      <c r="CU273" t="s">
        <v>659</v>
      </c>
      <c r="CV273" t="b">
        <f t="shared" si="278"/>
        <v>1</v>
      </c>
      <c r="DC273" t="str">
        <f t="shared" si="265"/>
        <v>G739</v>
      </c>
      <c r="DD273" t="b">
        <f t="shared" si="279"/>
        <v>0</v>
      </c>
      <c r="DE273" t="str">
        <f t="shared" si="280"/>
        <v>G739</v>
      </c>
      <c r="DF273" t="str">
        <f t="shared" si="266"/>
        <v>R155</v>
      </c>
      <c r="DG273" t="b">
        <f t="shared" si="281"/>
        <v>0</v>
      </c>
      <c r="DH273" t="str">
        <f t="shared" si="282"/>
        <v>R155</v>
      </c>
    </row>
    <row r="274" spans="2:112" ht="12" customHeight="1">
      <c r="B274" t="str">
        <f>TBIDry!H346</f>
        <v>G598</v>
      </c>
      <c r="C274" t="str">
        <f>TBIDry!I346</f>
        <v>R242</v>
      </c>
      <c r="D274" t="b">
        <f t="shared" si="229"/>
        <v>0</v>
      </c>
      <c r="E274" t="b">
        <f t="shared" si="230"/>
        <v>0</v>
      </c>
      <c r="G274" t="str">
        <f>TBIWet!H346</f>
        <v>G856</v>
      </c>
      <c r="H274" t="str">
        <f>TBIWet!I346</f>
        <v>R29</v>
      </c>
      <c r="I274" t="b">
        <f t="shared" si="231"/>
        <v>0</v>
      </c>
      <c r="J274" t="b">
        <f t="shared" si="232"/>
        <v>0</v>
      </c>
      <c r="L274" t="str">
        <f>'Both teabags AfterWet'!A272</f>
        <v>G713</v>
      </c>
      <c r="M274" t="str">
        <f>'Both teabags AfterWet'!A692</f>
        <v>R484</v>
      </c>
      <c r="N274" t="b">
        <f t="shared" si="233"/>
        <v>0</v>
      </c>
      <c r="O274" t="b">
        <f t="shared" si="283"/>
        <v>0</v>
      </c>
      <c r="Q274" s="388" t="b">
        <f t="shared" si="234"/>
        <v>0</v>
      </c>
      <c r="R274" s="388" t="b">
        <f t="shared" si="235"/>
        <v>0</v>
      </c>
      <c r="T274" t="str">
        <f>'Both teabags AfterDry'!A272</f>
        <v>G629</v>
      </c>
      <c r="U274" t="str">
        <f>'Both teabags AfterDry'!A607</f>
        <v>R770</v>
      </c>
      <c r="V274" t="b">
        <f t="shared" si="236"/>
        <v>0</v>
      </c>
      <c r="W274" t="b">
        <f t="shared" si="267"/>
        <v>0</v>
      </c>
      <c r="Y274" t="str">
        <f>'Green_rooibos initial weight'!A275</f>
        <v>G271</v>
      </c>
      <c r="Z274" t="str">
        <f>'Green_rooibos initial weight'!A1179</f>
        <v>R271</v>
      </c>
      <c r="AA274" t="b">
        <f t="shared" si="237"/>
        <v>0</v>
      </c>
      <c r="AB274" t="b">
        <f t="shared" si="238"/>
        <v>0</v>
      </c>
      <c r="AE274" t="str">
        <f>'WetLitterbags placem_collection'!O53</f>
        <v>G856</v>
      </c>
      <c r="AF274" t="str">
        <f>'WetLitterbags placem_collection'!Q53</f>
        <v>R29</v>
      </c>
      <c r="AG274" t="b">
        <f t="shared" si="239"/>
        <v>0</v>
      </c>
      <c r="AH274" t="b">
        <f t="shared" si="240"/>
        <v>0</v>
      </c>
      <c r="AJ274" t="b">
        <f t="shared" si="241"/>
        <v>0</v>
      </c>
      <c r="AK274" t="b">
        <f t="shared" si="242"/>
        <v>0</v>
      </c>
      <c r="AM274" t="str">
        <f>IF(ISBLANK('Dry_Litterbag Placem_Collection'!L53),"","G"&amp;""&amp;'Dry_Litterbag Placem_Collection'!L53)</f>
        <v>G598</v>
      </c>
      <c r="AN274" t="str">
        <f>IF(ISBLANK('Dry_Litterbag Placem_Collection'!M53),"","R"&amp;""&amp;'Dry_Litterbag Placem_Collection'!M53)</f>
        <v>R242</v>
      </c>
      <c r="AO274" t="b">
        <f t="shared" si="243"/>
        <v>0</v>
      </c>
      <c r="AP274" t="b">
        <f t="shared" si="244"/>
        <v>0</v>
      </c>
      <c r="AS274" t="str">
        <f>'Ashed teabags dry'!A272</f>
        <v>G629</v>
      </c>
      <c r="AT274" t="str">
        <f>'Ashed teabags dry'!A607</f>
        <v>R770</v>
      </c>
      <c r="AU274" t="b">
        <f t="shared" si="245"/>
        <v>0</v>
      </c>
      <c r="AV274" t="b">
        <f t="shared" si="268"/>
        <v>0</v>
      </c>
      <c r="AX274" s="388" t="b">
        <f t="shared" si="246"/>
        <v>0</v>
      </c>
      <c r="AY274" s="388" t="b">
        <f t="shared" si="247"/>
        <v>0</v>
      </c>
      <c r="BA274" t="str">
        <f>'Ashed teabags wet'!A272</f>
        <v>G713</v>
      </c>
      <c r="BB274" t="str">
        <f>'Ashed teabags wet'!A692</f>
        <v>R484</v>
      </c>
      <c r="BC274" t="b">
        <f t="shared" si="248"/>
        <v>0</v>
      </c>
      <c r="BD274" t="b">
        <f t="shared" si="228"/>
        <v>0</v>
      </c>
      <c r="BF274" t="str">
        <f t="shared" si="249"/>
        <v>G625</v>
      </c>
      <c r="BG274" t="str">
        <f t="shared" si="250"/>
        <v>G625</v>
      </c>
      <c r="BH274" t="str">
        <f t="shared" si="251"/>
        <v>G212</v>
      </c>
      <c r="BI274" t="str">
        <f t="shared" si="269"/>
        <v/>
      </c>
      <c r="BJ274" t="s">
        <v>1425</v>
      </c>
      <c r="BK274" t="s">
        <v>1425</v>
      </c>
      <c r="BL274" t="s">
        <v>1425</v>
      </c>
      <c r="BM274" t="b">
        <f t="shared" si="270"/>
        <v>1</v>
      </c>
      <c r="BN274" t="str">
        <f t="shared" si="252"/>
        <v>R769</v>
      </c>
      <c r="BO274" t="str">
        <f t="shared" si="253"/>
        <v>R769</v>
      </c>
      <c r="BP274" t="str">
        <f t="shared" si="254"/>
        <v>R644</v>
      </c>
      <c r="BQ274" t="str">
        <f t="shared" si="255"/>
        <v/>
      </c>
      <c r="BR274" t="s">
        <v>370</v>
      </c>
      <c r="BS274" t="s">
        <v>369</v>
      </c>
      <c r="BT274" t="s">
        <v>370</v>
      </c>
      <c r="BU274" t="b">
        <f t="shared" si="271"/>
        <v>1</v>
      </c>
      <c r="BZ274" t="str">
        <f t="shared" si="256"/>
        <v>G212</v>
      </c>
      <c r="CA274" t="b">
        <f t="shared" si="257"/>
        <v>1</v>
      </c>
      <c r="CB274" t="str">
        <f t="shared" si="272"/>
        <v/>
      </c>
      <c r="CC274" t="str">
        <f t="shared" si="258"/>
        <v>R644</v>
      </c>
      <c r="CD274" t="b">
        <f t="shared" si="273"/>
        <v>1</v>
      </c>
      <c r="CE274" t="str">
        <f t="shared" si="274"/>
        <v/>
      </c>
      <c r="CG274" t="str">
        <f t="shared" si="259"/>
        <v>G712</v>
      </c>
      <c r="CH274" t="str">
        <f t="shared" si="275"/>
        <v>G712</v>
      </c>
      <c r="CI274" t="str">
        <f t="shared" si="260"/>
        <v>G559</v>
      </c>
      <c r="CJ274" t="str">
        <f t="shared" si="261"/>
        <v/>
      </c>
      <c r="CK274" t="s">
        <v>1338</v>
      </c>
      <c r="CL274" t="s">
        <v>1338</v>
      </c>
      <c r="CM274" t="s">
        <v>1338</v>
      </c>
      <c r="CN274" t="b">
        <f t="shared" si="276"/>
        <v>1</v>
      </c>
      <c r="CO274" t="str">
        <f t="shared" si="262"/>
        <v>R483</v>
      </c>
      <c r="CP274" t="str">
        <f t="shared" si="277"/>
        <v>R483</v>
      </c>
      <c r="CQ274" t="str">
        <f t="shared" si="263"/>
        <v>R98</v>
      </c>
      <c r="CR274" t="str">
        <f t="shared" si="264"/>
        <v/>
      </c>
      <c r="CS274" t="s">
        <v>658</v>
      </c>
      <c r="CT274" t="s">
        <v>658</v>
      </c>
      <c r="CU274" t="s">
        <v>658</v>
      </c>
      <c r="CV274" t="b">
        <f t="shared" si="278"/>
        <v>1</v>
      </c>
      <c r="DC274" t="str">
        <f t="shared" si="265"/>
        <v>G559</v>
      </c>
      <c r="DD274" t="b">
        <f t="shared" si="279"/>
        <v>1</v>
      </c>
      <c r="DE274" t="str">
        <f t="shared" si="280"/>
        <v/>
      </c>
      <c r="DF274" t="str">
        <f t="shared" si="266"/>
        <v>R98</v>
      </c>
      <c r="DG274" t="b">
        <f t="shared" si="281"/>
        <v>1</v>
      </c>
      <c r="DH274" t="str">
        <f t="shared" si="282"/>
        <v/>
      </c>
    </row>
    <row r="275" spans="2:112" ht="12" customHeight="1">
      <c r="B275" t="str">
        <f>TBIDry!H347</f>
        <v>G848</v>
      </c>
      <c r="C275" t="str">
        <f>TBIDry!I347</f>
        <v>R618</v>
      </c>
      <c r="D275" t="b">
        <f t="shared" si="229"/>
        <v>0</v>
      </c>
      <c r="E275" t="b">
        <f t="shared" si="230"/>
        <v>0</v>
      </c>
      <c r="G275" t="str">
        <f>TBIWet!H347</f>
        <v>G599</v>
      </c>
      <c r="H275" t="str">
        <f>TBIWet!I347</f>
        <v>R312</v>
      </c>
      <c r="I275" t="b">
        <f t="shared" si="231"/>
        <v>0</v>
      </c>
      <c r="J275" t="b">
        <f t="shared" si="232"/>
        <v>0</v>
      </c>
      <c r="L275" t="str">
        <f>'Both teabags AfterWet'!A273</f>
        <v>G715</v>
      </c>
      <c r="M275" t="str">
        <f>'Both teabags AfterWet'!A693</f>
        <v>R485</v>
      </c>
      <c r="N275" t="b">
        <f t="shared" si="233"/>
        <v>0</v>
      </c>
      <c r="O275" t="b">
        <f t="shared" si="283"/>
        <v>0</v>
      </c>
      <c r="Q275" s="388" t="b">
        <f t="shared" si="234"/>
        <v>0</v>
      </c>
      <c r="R275" s="388" t="b">
        <f t="shared" si="235"/>
        <v>0</v>
      </c>
      <c r="T275" t="str">
        <f>'Both teabags AfterDry'!A273</f>
        <v>G63</v>
      </c>
      <c r="U275" t="str">
        <f>'Both teabags AfterDry'!A608</f>
        <v>R771</v>
      </c>
      <c r="V275" t="b">
        <f t="shared" si="236"/>
        <v>0</v>
      </c>
      <c r="W275" t="b">
        <f t="shared" si="267"/>
        <v>0</v>
      </c>
      <c r="Y275" t="str">
        <f>'Green_rooibos initial weight'!A276</f>
        <v>G272</v>
      </c>
      <c r="Z275" t="str">
        <f>'Green_rooibos initial weight'!A1180</f>
        <v>R272</v>
      </c>
      <c r="AA275" t="b">
        <f t="shared" si="237"/>
        <v>0</v>
      </c>
      <c r="AB275" t="b">
        <f t="shared" si="238"/>
        <v>0</v>
      </c>
      <c r="AE275" t="str">
        <f>'WetLitterbags placem_collection'!O54</f>
        <v>G599</v>
      </c>
      <c r="AF275" t="str">
        <f>'WetLitterbags placem_collection'!Q54</f>
        <v>R312</v>
      </c>
      <c r="AG275" t="b">
        <f t="shared" si="239"/>
        <v>0</v>
      </c>
      <c r="AH275" t="b">
        <f t="shared" si="240"/>
        <v>0</v>
      </c>
      <c r="AJ275" t="b">
        <f t="shared" si="241"/>
        <v>0</v>
      </c>
      <c r="AK275" t="b">
        <f t="shared" si="242"/>
        <v>0</v>
      </c>
      <c r="AM275" t="str">
        <f>IF(ISBLANK('Dry_Litterbag Placem_Collection'!L54),"","G"&amp;""&amp;'Dry_Litterbag Placem_Collection'!L54)</f>
        <v>G848</v>
      </c>
      <c r="AN275" t="str">
        <f>IF(ISBLANK('Dry_Litterbag Placem_Collection'!M54),"","R"&amp;""&amp;'Dry_Litterbag Placem_Collection'!M54)</f>
        <v>R618</v>
      </c>
      <c r="AO275" t="b">
        <f t="shared" si="243"/>
        <v>0</v>
      </c>
      <c r="AP275" t="b">
        <f t="shared" si="244"/>
        <v>0</v>
      </c>
      <c r="AS275" t="str">
        <f>'Ashed teabags dry'!A273</f>
        <v>G63</v>
      </c>
      <c r="AT275" t="str">
        <f>'Ashed teabags dry'!A608</f>
        <v>R771</v>
      </c>
      <c r="AU275" t="b">
        <f t="shared" si="245"/>
        <v>0</v>
      </c>
      <c r="AV275" t="b">
        <f t="shared" si="268"/>
        <v>0</v>
      </c>
      <c r="AX275" s="388" t="b">
        <f t="shared" si="246"/>
        <v>0</v>
      </c>
      <c r="AY275" s="388" t="b">
        <f t="shared" si="247"/>
        <v>0</v>
      </c>
      <c r="BA275" t="str">
        <f>'Ashed teabags wet'!A273</f>
        <v>G715</v>
      </c>
      <c r="BB275" t="str">
        <f>'Ashed teabags wet'!A693</f>
        <v>R485</v>
      </c>
      <c r="BC275" t="b">
        <f t="shared" si="248"/>
        <v>0</v>
      </c>
      <c r="BD275" t="b">
        <f t="shared" si="228"/>
        <v>0</v>
      </c>
      <c r="BF275" t="str">
        <f t="shared" si="249"/>
        <v>G629</v>
      </c>
      <c r="BG275" t="str">
        <f t="shared" si="250"/>
        <v>G629</v>
      </c>
      <c r="BH275" t="str">
        <f t="shared" si="251"/>
        <v>G598</v>
      </c>
      <c r="BI275" t="str">
        <f t="shared" si="269"/>
        <v>G598</v>
      </c>
      <c r="BJ275" t="s">
        <v>1421</v>
      </c>
      <c r="BK275" t="s">
        <v>1421</v>
      </c>
      <c r="BL275" t="s">
        <v>1421</v>
      </c>
      <c r="BM275" t="b">
        <f t="shared" si="270"/>
        <v>1</v>
      </c>
      <c r="BN275" t="str">
        <f t="shared" si="252"/>
        <v>R770</v>
      </c>
      <c r="BO275" t="str">
        <f t="shared" si="253"/>
        <v>R770</v>
      </c>
      <c r="BP275" t="str">
        <f t="shared" si="254"/>
        <v>R242</v>
      </c>
      <c r="BQ275" t="str">
        <f t="shared" si="255"/>
        <v>R242</v>
      </c>
      <c r="BR275" t="s">
        <v>369</v>
      </c>
      <c r="BS275" t="s">
        <v>368</v>
      </c>
      <c r="BT275" t="s">
        <v>369</v>
      </c>
      <c r="BU275" t="b">
        <f t="shared" si="271"/>
        <v>1</v>
      </c>
      <c r="BZ275" t="str">
        <f t="shared" si="256"/>
        <v>G598</v>
      </c>
      <c r="CA275" t="b">
        <f t="shared" si="257"/>
        <v>0</v>
      </c>
      <c r="CB275" t="str">
        <f t="shared" si="272"/>
        <v>G598</v>
      </c>
      <c r="CC275" t="str">
        <f t="shared" si="258"/>
        <v>R242</v>
      </c>
      <c r="CD275" t="b">
        <f t="shared" si="273"/>
        <v>0</v>
      </c>
      <c r="CE275" t="str">
        <f t="shared" si="274"/>
        <v>R242</v>
      </c>
      <c r="CG275" t="str">
        <f t="shared" si="259"/>
        <v>G713</v>
      </c>
      <c r="CH275" t="str">
        <f t="shared" si="275"/>
        <v>G713</v>
      </c>
      <c r="CI275" t="str">
        <f t="shared" si="260"/>
        <v>G856</v>
      </c>
      <c r="CJ275" t="str">
        <f t="shared" si="261"/>
        <v>G856</v>
      </c>
      <c r="CK275" t="s">
        <v>1337</v>
      </c>
      <c r="CL275" t="s">
        <v>1337</v>
      </c>
      <c r="CM275" t="s">
        <v>1337</v>
      </c>
      <c r="CN275" t="b">
        <f t="shared" si="276"/>
        <v>1</v>
      </c>
      <c r="CO275" t="str">
        <f t="shared" si="262"/>
        <v>R484</v>
      </c>
      <c r="CP275" t="str">
        <f t="shared" si="277"/>
        <v>R484</v>
      </c>
      <c r="CQ275" t="str">
        <f t="shared" si="263"/>
        <v>R29</v>
      </c>
      <c r="CR275" t="str">
        <f t="shared" si="264"/>
        <v>R29</v>
      </c>
      <c r="CS275" t="s">
        <v>657</v>
      </c>
      <c r="CT275" t="s">
        <v>657</v>
      </c>
      <c r="CU275" t="s">
        <v>657</v>
      </c>
      <c r="CV275" t="b">
        <f t="shared" si="278"/>
        <v>1</v>
      </c>
      <c r="DC275" t="str">
        <f t="shared" si="265"/>
        <v>G856</v>
      </c>
      <c r="DD275" t="b">
        <f t="shared" si="279"/>
        <v>0</v>
      </c>
      <c r="DE275" t="str">
        <f t="shared" si="280"/>
        <v>G856</v>
      </c>
      <c r="DF275" t="str">
        <f t="shared" si="266"/>
        <v>R29</v>
      </c>
      <c r="DG275" t="b">
        <f t="shared" si="281"/>
        <v>0</v>
      </c>
      <c r="DH275" t="str">
        <f t="shared" si="282"/>
        <v>R29</v>
      </c>
    </row>
    <row r="276" spans="2:112" ht="12" customHeight="1">
      <c r="B276" t="str">
        <f>TBIDry!H348</f>
        <v>G759</v>
      </c>
      <c r="C276" t="str">
        <f>TBIDry!I348</f>
        <v>R140</v>
      </c>
      <c r="D276" t="b">
        <f t="shared" si="229"/>
        <v>0</v>
      </c>
      <c r="E276" t="b">
        <f t="shared" si="230"/>
        <v>0</v>
      </c>
      <c r="G276" t="str">
        <f>TBIWet!H348</f>
        <v>G683</v>
      </c>
      <c r="H276" t="str">
        <f>TBIWet!I348</f>
        <v>R113</v>
      </c>
      <c r="I276" t="b">
        <f t="shared" si="231"/>
        <v>0</v>
      </c>
      <c r="J276" t="b">
        <f t="shared" si="232"/>
        <v>0</v>
      </c>
      <c r="L276" t="str">
        <f>'Both teabags AfterWet'!A274</f>
        <v>G716</v>
      </c>
      <c r="M276" t="str">
        <f>'Both teabags AfterWet'!A694</f>
        <v>R486</v>
      </c>
      <c r="N276" t="b">
        <f t="shared" si="233"/>
        <v>0</v>
      </c>
      <c r="O276" t="b">
        <f t="shared" si="283"/>
        <v>0</v>
      </c>
      <c r="Q276" s="388" t="b">
        <f t="shared" si="234"/>
        <v>0</v>
      </c>
      <c r="R276" s="388" t="b">
        <f t="shared" si="235"/>
        <v>0</v>
      </c>
      <c r="T276" t="str">
        <f>'Both teabags AfterDry'!A274</f>
        <v>G630</v>
      </c>
      <c r="U276" t="str">
        <f>'Both teabags AfterDry'!A609</f>
        <v>R772</v>
      </c>
      <c r="V276" t="b">
        <f t="shared" si="236"/>
        <v>0</v>
      </c>
      <c r="W276" t="b">
        <f t="shared" si="267"/>
        <v>0</v>
      </c>
      <c r="Y276" t="str">
        <f>'Green_rooibos initial weight'!A277</f>
        <v>G273</v>
      </c>
      <c r="Z276" t="str">
        <f>'Green_rooibos initial weight'!A1181</f>
        <v>R273</v>
      </c>
      <c r="AA276" t="b">
        <f t="shared" si="237"/>
        <v>0</v>
      </c>
      <c r="AB276" t="b">
        <f t="shared" si="238"/>
        <v>0</v>
      </c>
      <c r="AE276" t="str">
        <f>'WetLitterbags placem_collection'!O55</f>
        <v>G683</v>
      </c>
      <c r="AF276" t="str">
        <f>'WetLitterbags placem_collection'!Q55</f>
        <v>R113</v>
      </c>
      <c r="AG276" t="b">
        <f t="shared" si="239"/>
        <v>0</v>
      </c>
      <c r="AH276" t="b">
        <f t="shared" si="240"/>
        <v>0</v>
      </c>
      <c r="AJ276" t="b">
        <f t="shared" si="241"/>
        <v>0</v>
      </c>
      <c r="AK276" t="b">
        <f t="shared" si="242"/>
        <v>0</v>
      </c>
      <c r="AM276" t="str">
        <f>IF(ISBLANK('Dry_Litterbag Placem_Collection'!L55),"","G"&amp;""&amp;'Dry_Litterbag Placem_Collection'!L55)</f>
        <v>G759</v>
      </c>
      <c r="AN276" t="str">
        <f>IF(ISBLANK('Dry_Litterbag Placem_Collection'!M55),"","R"&amp;""&amp;'Dry_Litterbag Placem_Collection'!M55)</f>
        <v>R140</v>
      </c>
      <c r="AO276" t="b">
        <f t="shared" si="243"/>
        <v>0</v>
      </c>
      <c r="AP276" t="b">
        <f t="shared" si="244"/>
        <v>0</v>
      </c>
      <c r="AS276" t="str">
        <f>'Ashed teabags dry'!A274</f>
        <v>G630</v>
      </c>
      <c r="AT276" t="str">
        <f>'Ashed teabags dry'!A609</f>
        <v>R772</v>
      </c>
      <c r="AU276" t="b">
        <f t="shared" si="245"/>
        <v>0</v>
      </c>
      <c r="AV276" t="b">
        <f t="shared" si="268"/>
        <v>0</v>
      </c>
      <c r="AX276" s="388" t="b">
        <f t="shared" si="246"/>
        <v>0</v>
      </c>
      <c r="AY276" s="388" t="b">
        <f t="shared" si="247"/>
        <v>0</v>
      </c>
      <c r="BA276" t="str">
        <f>'Ashed teabags wet'!A274</f>
        <v>G716</v>
      </c>
      <c r="BB276" t="str">
        <f>'Ashed teabags wet'!A694</f>
        <v>R486</v>
      </c>
      <c r="BC276" t="b">
        <f t="shared" si="248"/>
        <v>0</v>
      </c>
      <c r="BD276" t="b">
        <f t="shared" si="228"/>
        <v>0</v>
      </c>
      <c r="BF276" t="str">
        <f t="shared" si="249"/>
        <v>G63</v>
      </c>
      <c r="BG276" t="str">
        <f t="shared" si="250"/>
        <v>G63</v>
      </c>
      <c r="BH276" t="str">
        <f t="shared" si="251"/>
        <v>G848</v>
      </c>
      <c r="BI276" t="str">
        <f t="shared" si="269"/>
        <v>G848</v>
      </c>
      <c r="BJ276" t="s">
        <v>1987</v>
      </c>
      <c r="BK276" t="s">
        <v>1987</v>
      </c>
      <c r="BL276" t="s">
        <v>1987</v>
      </c>
      <c r="BM276" t="b">
        <f t="shared" si="270"/>
        <v>1</v>
      </c>
      <c r="BN276" t="str">
        <f t="shared" si="252"/>
        <v>R771</v>
      </c>
      <c r="BO276" t="str">
        <f t="shared" si="253"/>
        <v>R771</v>
      </c>
      <c r="BP276" t="str">
        <f t="shared" si="254"/>
        <v>R618</v>
      </c>
      <c r="BQ276" t="str">
        <f t="shared" si="255"/>
        <v>R618</v>
      </c>
      <c r="BR276" t="s">
        <v>368</v>
      </c>
      <c r="BS276" t="s">
        <v>367</v>
      </c>
      <c r="BT276" t="s">
        <v>368</v>
      </c>
      <c r="BU276" t="b">
        <f t="shared" si="271"/>
        <v>1</v>
      </c>
      <c r="BZ276" t="str">
        <f t="shared" si="256"/>
        <v>G848</v>
      </c>
      <c r="CA276" t="b">
        <f t="shared" si="257"/>
        <v>0</v>
      </c>
      <c r="CB276" t="str">
        <f t="shared" si="272"/>
        <v>G848</v>
      </c>
      <c r="CC276" t="str">
        <f t="shared" si="258"/>
        <v>R618</v>
      </c>
      <c r="CD276" t="b">
        <f t="shared" si="273"/>
        <v>0</v>
      </c>
      <c r="CE276" t="str">
        <f t="shared" si="274"/>
        <v>R618</v>
      </c>
      <c r="CG276" t="str">
        <f t="shared" si="259"/>
        <v>G715</v>
      </c>
      <c r="CH276" t="str">
        <f t="shared" si="275"/>
        <v>G715</v>
      </c>
      <c r="CI276" t="str">
        <f t="shared" si="260"/>
        <v>G599</v>
      </c>
      <c r="CJ276" t="str">
        <f t="shared" si="261"/>
        <v>G599</v>
      </c>
      <c r="CK276" t="s">
        <v>1335</v>
      </c>
      <c r="CL276" t="s">
        <v>1335</v>
      </c>
      <c r="CM276" t="s">
        <v>1335</v>
      </c>
      <c r="CN276" t="b">
        <f t="shared" si="276"/>
        <v>1</v>
      </c>
      <c r="CO276" t="str">
        <f t="shared" si="262"/>
        <v>R485</v>
      </c>
      <c r="CP276" t="str">
        <f t="shared" si="277"/>
        <v>R485</v>
      </c>
      <c r="CQ276" t="str">
        <f t="shared" si="263"/>
        <v>R312</v>
      </c>
      <c r="CR276" t="str">
        <f t="shared" si="264"/>
        <v>R312</v>
      </c>
      <c r="CS276" t="s">
        <v>656</v>
      </c>
      <c r="CT276" t="s">
        <v>656</v>
      </c>
      <c r="CU276" t="s">
        <v>656</v>
      </c>
      <c r="CV276" t="b">
        <f t="shared" si="278"/>
        <v>1</v>
      </c>
      <c r="DC276" t="str">
        <f t="shared" si="265"/>
        <v>G599</v>
      </c>
      <c r="DD276" t="b">
        <f t="shared" si="279"/>
        <v>0</v>
      </c>
      <c r="DE276" t="str">
        <f t="shared" si="280"/>
        <v>G599</v>
      </c>
      <c r="DF276" t="str">
        <f t="shared" si="266"/>
        <v>R312</v>
      </c>
      <c r="DG276" t="b">
        <f t="shared" si="281"/>
        <v>0</v>
      </c>
      <c r="DH276" t="str">
        <f t="shared" si="282"/>
        <v>R312</v>
      </c>
    </row>
    <row r="277" spans="2:112" ht="12" customHeight="1">
      <c r="B277" t="str">
        <f>TBIDry!H349</f>
        <v/>
      </c>
      <c r="C277" t="str">
        <f>TBIDry!I349</f>
        <v/>
      </c>
      <c r="D277" t="b">
        <f t="shared" si="229"/>
        <v>1</v>
      </c>
      <c r="E277" t="b">
        <f t="shared" si="230"/>
        <v>1</v>
      </c>
      <c r="G277" t="str">
        <f>TBIWet!H349</f>
        <v>G288</v>
      </c>
      <c r="H277" t="str">
        <f>TBIWet!I349</f>
        <v>R441</v>
      </c>
      <c r="I277" t="b">
        <f t="shared" si="231"/>
        <v>0</v>
      </c>
      <c r="J277" t="b">
        <f t="shared" si="232"/>
        <v>0</v>
      </c>
      <c r="L277" t="str">
        <f>'Both teabags AfterWet'!A275</f>
        <v>G718</v>
      </c>
      <c r="M277" t="str">
        <f>'Both teabags AfterWet'!A695</f>
        <v>R487</v>
      </c>
      <c r="N277" t="b">
        <f t="shared" si="233"/>
        <v>0</v>
      </c>
      <c r="O277" t="b">
        <f t="shared" si="283"/>
        <v>0</v>
      </c>
      <c r="Q277" s="388" t="b">
        <f t="shared" si="234"/>
        <v>0</v>
      </c>
      <c r="R277" s="388" t="b">
        <f t="shared" si="235"/>
        <v>0</v>
      </c>
      <c r="T277" t="str">
        <f>'Both teabags AfterDry'!A275</f>
        <v>G64</v>
      </c>
      <c r="U277" t="str">
        <f>'Both teabags AfterDry'!A610</f>
        <v>R773</v>
      </c>
      <c r="V277" t="b">
        <f t="shared" si="236"/>
        <v>0</v>
      </c>
      <c r="W277" t="b">
        <f t="shared" si="267"/>
        <v>0</v>
      </c>
      <c r="Y277" t="str">
        <f>'Green_rooibos initial weight'!A278</f>
        <v>G274</v>
      </c>
      <c r="Z277" t="str">
        <f>'Green_rooibos initial weight'!A1182</f>
        <v>R274</v>
      </c>
      <c r="AA277" t="b">
        <f t="shared" si="237"/>
        <v>0</v>
      </c>
      <c r="AB277" t="b">
        <f t="shared" si="238"/>
        <v>0</v>
      </c>
      <c r="AE277" t="str">
        <f>'WetLitterbags placem_collection'!O56</f>
        <v>G288</v>
      </c>
      <c r="AF277" t="str">
        <f>'WetLitterbags placem_collection'!Q56</f>
        <v>R441</v>
      </c>
      <c r="AG277" t="b">
        <f t="shared" si="239"/>
        <v>0</v>
      </c>
      <c r="AH277" t="b">
        <f t="shared" si="240"/>
        <v>0</v>
      </c>
      <c r="AJ277" t="b">
        <f t="shared" si="241"/>
        <v>0</v>
      </c>
      <c r="AK277" t="b">
        <f t="shared" si="242"/>
        <v>0</v>
      </c>
      <c r="AM277" t="str">
        <f>IF(ISBLANK('Dry_Litterbag Placem_Collection'!L56),"","G"&amp;""&amp;'Dry_Litterbag Placem_Collection'!L56)</f>
        <v/>
      </c>
      <c r="AN277" t="str">
        <f>IF(ISBLANK('Dry_Litterbag Placem_Collection'!M56),"","R"&amp;""&amp;'Dry_Litterbag Placem_Collection'!M56)</f>
        <v/>
      </c>
      <c r="AO277" t="b">
        <f t="shared" si="243"/>
        <v>1</v>
      </c>
      <c r="AP277" t="b">
        <f t="shared" si="244"/>
        <v>1</v>
      </c>
      <c r="AS277" t="str">
        <f>'Ashed teabags dry'!A275</f>
        <v>G64</v>
      </c>
      <c r="AT277" t="str">
        <f>'Ashed teabags dry'!A610</f>
        <v>R773</v>
      </c>
      <c r="AU277" t="b">
        <f t="shared" si="245"/>
        <v>0</v>
      </c>
      <c r="AV277" t="b">
        <f t="shared" si="268"/>
        <v>0</v>
      </c>
      <c r="AX277" s="388" t="b">
        <f t="shared" si="246"/>
        <v>0</v>
      </c>
      <c r="AY277" s="388" t="b">
        <f t="shared" si="247"/>
        <v>0</v>
      </c>
      <c r="BA277" t="str">
        <f>'Ashed teabags wet'!A275</f>
        <v>G718</v>
      </c>
      <c r="BB277" t="str">
        <f>'Ashed teabags wet'!A695</f>
        <v>R487</v>
      </c>
      <c r="BC277" t="b">
        <f t="shared" si="248"/>
        <v>0</v>
      </c>
      <c r="BD277" t="b">
        <f t="shared" si="228"/>
        <v>0</v>
      </c>
      <c r="BF277" t="str">
        <f t="shared" si="249"/>
        <v>G630</v>
      </c>
      <c r="BG277" t="str">
        <f t="shared" si="250"/>
        <v>G630</v>
      </c>
      <c r="BH277" t="str">
        <f t="shared" si="251"/>
        <v>G759</v>
      </c>
      <c r="BI277" t="str">
        <f t="shared" si="269"/>
        <v>G759</v>
      </c>
      <c r="BJ277" t="s">
        <v>1420</v>
      </c>
      <c r="BK277" t="s">
        <v>1420</v>
      </c>
      <c r="BL277" t="s">
        <v>1420</v>
      </c>
      <c r="BM277" t="b">
        <f t="shared" si="270"/>
        <v>1</v>
      </c>
      <c r="BN277" t="str">
        <f t="shared" si="252"/>
        <v>R772</v>
      </c>
      <c r="BO277" t="str">
        <f t="shared" si="253"/>
        <v>R772</v>
      </c>
      <c r="BP277" t="str">
        <f t="shared" si="254"/>
        <v>R140</v>
      </c>
      <c r="BQ277" t="str">
        <f t="shared" si="255"/>
        <v>R140</v>
      </c>
      <c r="BR277" t="s">
        <v>367</v>
      </c>
      <c r="BS277" t="s">
        <v>366</v>
      </c>
      <c r="BT277" t="s">
        <v>367</v>
      </c>
      <c r="BU277" t="b">
        <f t="shared" si="271"/>
        <v>1</v>
      </c>
      <c r="BZ277" t="str">
        <f t="shared" si="256"/>
        <v>G759</v>
      </c>
      <c r="CA277" t="b">
        <f t="shared" si="257"/>
        <v>0</v>
      </c>
      <c r="CB277" t="str">
        <f t="shared" si="272"/>
        <v>G759</v>
      </c>
      <c r="CC277" t="str">
        <f t="shared" si="258"/>
        <v>R140</v>
      </c>
      <c r="CD277" t="b">
        <f t="shared" si="273"/>
        <v>0</v>
      </c>
      <c r="CE277" t="str">
        <f t="shared" si="274"/>
        <v>R140</v>
      </c>
      <c r="CG277" t="str">
        <f t="shared" si="259"/>
        <v>G716</v>
      </c>
      <c r="CH277" t="str">
        <f t="shared" si="275"/>
        <v>G716</v>
      </c>
      <c r="CI277" t="str">
        <f t="shared" si="260"/>
        <v>G683</v>
      </c>
      <c r="CJ277" t="str">
        <f t="shared" si="261"/>
        <v/>
      </c>
      <c r="CK277" t="s">
        <v>1334</v>
      </c>
      <c r="CL277" t="s">
        <v>1334</v>
      </c>
      <c r="CM277" t="s">
        <v>1334</v>
      </c>
      <c r="CN277" t="b">
        <f t="shared" si="276"/>
        <v>1</v>
      </c>
      <c r="CO277" t="str">
        <f t="shared" si="262"/>
        <v>R486</v>
      </c>
      <c r="CP277" t="str">
        <f t="shared" si="277"/>
        <v>R486</v>
      </c>
      <c r="CQ277" t="str">
        <f t="shared" si="263"/>
        <v>R113</v>
      </c>
      <c r="CR277" t="str">
        <f t="shared" si="264"/>
        <v/>
      </c>
      <c r="CS277" t="s">
        <v>655</v>
      </c>
      <c r="CT277" t="s">
        <v>655</v>
      </c>
      <c r="CU277" t="s">
        <v>655</v>
      </c>
      <c r="CV277" t="b">
        <f t="shared" si="278"/>
        <v>1</v>
      </c>
      <c r="DC277" t="str">
        <f t="shared" si="265"/>
        <v>G683</v>
      </c>
      <c r="DD277" t="b">
        <f t="shared" si="279"/>
        <v>1</v>
      </c>
      <c r="DE277" t="str">
        <f t="shared" si="280"/>
        <v/>
      </c>
      <c r="DF277" t="str">
        <f t="shared" si="266"/>
        <v>R113</v>
      </c>
      <c r="DG277" t="b">
        <f t="shared" si="281"/>
        <v>1</v>
      </c>
      <c r="DH277" t="str">
        <f t="shared" si="282"/>
        <v/>
      </c>
    </row>
    <row r="278" spans="2:112" ht="12" customHeight="1">
      <c r="B278" t="str">
        <f>TBIDry!H350</f>
        <v>G260</v>
      </c>
      <c r="C278" t="str">
        <f>TBIDry!I350</f>
        <v>R192</v>
      </c>
      <c r="D278" t="b">
        <f t="shared" si="229"/>
        <v>0</v>
      </c>
      <c r="E278" t="b">
        <f t="shared" si="230"/>
        <v>0</v>
      </c>
      <c r="G278" t="str">
        <f>TBIWet!H350</f>
        <v>G616</v>
      </c>
      <c r="H278" t="str">
        <f>TBIWet!I350</f>
        <v>R53</v>
      </c>
      <c r="I278" t="b">
        <f t="shared" si="231"/>
        <v>0</v>
      </c>
      <c r="J278" t="b">
        <f t="shared" si="232"/>
        <v>0</v>
      </c>
      <c r="L278" t="str">
        <f>'Both teabags AfterWet'!A276</f>
        <v>G720</v>
      </c>
      <c r="M278" t="str">
        <f>'Both teabags AfterWet'!A696</f>
        <v>R488</v>
      </c>
      <c r="N278" t="b">
        <f t="shared" si="233"/>
        <v>0</v>
      </c>
      <c r="O278" t="b">
        <f t="shared" si="283"/>
        <v>0</v>
      </c>
      <c r="Q278" s="388" t="b">
        <f t="shared" si="234"/>
        <v>0</v>
      </c>
      <c r="R278" s="388" t="b">
        <f t="shared" si="235"/>
        <v>0</v>
      </c>
      <c r="T278" t="str">
        <f>'Both teabags AfterDry'!A276</f>
        <v>G646</v>
      </c>
      <c r="U278" t="str">
        <f>'Both teabags AfterDry'!A611</f>
        <v>R774</v>
      </c>
      <c r="V278" t="b">
        <f t="shared" si="236"/>
        <v>0</v>
      </c>
      <c r="W278" t="b">
        <f t="shared" si="267"/>
        <v>0</v>
      </c>
      <c r="Y278" t="str">
        <f>'Green_rooibos initial weight'!A279</f>
        <v>G275</v>
      </c>
      <c r="Z278" t="str">
        <f>'Green_rooibos initial weight'!A1183</f>
        <v>R275</v>
      </c>
      <c r="AA278" t="b">
        <f t="shared" si="237"/>
        <v>0</v>
      </c>
      <c r="AB278" t="b">
        <f t="shared" si="238"/>
        <v>0</v>
      </c>
      <c r="AE278" t="str">
        <f>'WetLitterbags placem_collection'!O57</f>
        <v>G616</v>
      </c>
      <c r="AF278" t="str">
        <f>'WetLitterbags placem_collection'!Q57</f>
        <v>R53</v>
      </c>
      <c r="AG278" t="b">
        <f t="shared" si="239"/>
        <v>0</v>
      </c>
      <c r="AH278" t="b">
        <f t="shared" si="240"/>
        <v>0</v>
      </c>
      <c r="AJ278" t="b">
        <f t="shared" si="241"/>
        <v>0</v>
      </c>
      <c r="AK278" t="b">
        <f t="shared" si="242"/>
        <v>0</v>
      </c>
      <c r="AM278" t="str">
        <f>IF(ISBLANK('Dry_Litterbag Placem_Collection'!L57),"","G"&amp;""&amp;'Dry_Litterbag Placem_Collection'!L57)</f>
        <v>G260</v>
      </c>
      <c r="AN278" t="str">
        <f>IF(ISBLANK('Dry_Litterbag Placem_Collection'!M57),"","R"&amp;""&amp;'Dry_Litterbag Placem_Collection'!M57)</f>
        <v>R192</v>
      </c>
      <c r="AO278" t="b">
        <f t="shared" si="243"/>
        <v>0</v>
      </c>
      <c r="AP278" t="b">
        <f t="shared" si="244"/>
        <v>0</v>
      </c>
      <c r="AS278" t="str">
        <f>'Ashed teabags dry'!A276</f>
        <v>G646</v>
      </c>
      <c r="AT278" t="str">
        <f>'Ashed teabags dry'!A611</f>
        <v>R774</v>
      </c>
      <c r="AU278" t="b">
        <f t="shared" si="245"/>
        <v>0</v>
      </c>
      <c r="AV278" t="b">
        <f t="shared" si="268"/>
        <v>0</v>
      </c>
      <c r="AX278" s="388" t="b">
        <f t="shared" si="246"/>
        <v>0</v>
      </c>
      <c r="AY278" s="388" t="b">
        <f t="shared" si="247"/>
        <v>0</v>
      </c>
      <c r="BA278" t="str">
        <f>'Ashed teabags wet'!A276</f>
        <v>G720</v>
      </c>
      <c r="BB278" t="str">
        <f>'Ashed teabags wet'!A696</f>
        <v>R488</v>
      </c>
      <c r="BC278" t="b">
        <f t="shared" si="248"/>
        <v>0</v>
      </c>
      <c r="BD278" t="b">
        <f t="shared" si="228"/>
        <v>0</v>
      </c>
      <c r="BF278" t="str">
        <f t="shared" si="249"/>
        <v>G64</v>
      </c>
      <c r="BG278" t="str">
        <f t="shared" si="250"/>
        <v>G64</v>
      </c>
      <c r="BH278" t="str">
        <f t="shared" si="251"/>
        <v/>
      </c>
      <c r="BI278" t="str">
        <f t="shared" si="269"/>
        <v/>
      </c>
      <c r="BJ278" t="s">
        <v>1986</v>
      </c>
      <c r="BK278" t="s">
        <v>1986</v>
      </c>
      <c r="BL278" t="s">
        <v>1986</v>
      </c>
      <c r="BM278" t="b">
        <f t="shared" si="270"/>
        <v>1</v>
      </c>
      <c r="BN278" t="str">
        <f t="shared" si="252"/>
        <v>R773</v>
      </c>
      <c r="BO278" t="str">
        <f t="shared" si="253"/>
        <v>R773</v>
      </c>
      <c r="BP278" t="str">
        <f t="shared" si="254"/>
        <v/>
      </c>
      <c r="BQ278" t="str">
        <f t="shared" si="255"/>
        <v/>
      </c>
      <c r="BR278" t="s">
        <v>366</v>
      </c>
      <c r="BS278" t="s">
        <v>365</v>
      </c>
      <c r="BT278" t="s">
        <v>366</v>
      </c>
      <c r="BU278" t="b">
        <f t="shared" si="271"/>
        <v>1</v>
      </c>
      <c r="BZ278" t="str">
        <f t="shared" si="256"/>
        <v/>
      </c>
      <c r="CA278" t="b">
        <f t="shared" si="257"/>
        <v>0</v>
      </c>
      <c r="CB278" t="str">
        <f t="shared" si="272"/>
        <v/>
      </c>
      <c r="CC278" t="str">
        <f t="shared" si="258"/>
        <v/>
      </c>
      <c r="CD278" t="b">
        <f t="shared" si="273"/>
        <v>0</v>
      </c>
      <c r="CE278" t="str">
        <f t="shared" si="274"/>
        <v/>
      </c>
      <c r="CG278" t="str">
        <f t="shared" si="259"/>
        <v>G718</v>
      </c>
      <c r="CH278" t="str">
        <f t="shared" si="275"/>
        <v>G718</v>
      </c>
      <c r="CI278" t="str">
        <f t="shared" si="260"/>
        <v>G288</v>
      </c>
      <c r="CJ278" t="str">
        <f t="shared" si="261"/>
        <v/>
      </c>
      <c r="CK278" t="s">
        <v>1332</v>
      </c>
      <c r="CL278" t="s">
        <v>1332</v>
      </c>
      <c r="CM278" t="s">
        <v>1332</v>
      </c>
      <c r="CN278" t="b">
        <f t="shared" si="276"/>
        <v>1</v>
      </c>
      <c r="CO278" t="str">
        <f t="shared" si="262"/>
        <v>R487</v>
      </c>
      <c r="CP278" t="str">
        <f t="shared" si="277"/>
        <v>R487</v>
      </c>
      <c r="CQ278" t="str">
        <f t="shared" si="263"/>
        <v>R441</v>
      </c>
      <c r="CR278" t="str">
        <f t="shared" si="264"/>
        <v/>
      </c>
      <c r="CS278" t="s">
        <v>654</v>
      </c>
      <c r="CT278" t="s">
        <v>654</v>
      </c>
      <c r="CU278" t="s">
        <v>654</v>
      </c>
      <c r="CV278" t="b">
        <f t="shared" si="278"/>
        <v>1</v>
      </c>
      <c r="DC278" t="str">
        <f t="shared" si="265"/>
        <v>G288</v>
      </c>
      <c r="DD278" t="b">
        <f t="shared" si="279"/>
        <v>1</v>
      </c>
      <c r="DE278" t="str">
        <f t="shared" si="280"/>
        <v/>
      </c>
      <c r="DF278" t="str">
        <f t="shared" si="266"/>
        <v>R441</v>
      </c>
      <c r="DG278" t="b">
        <f t="shared" si="281"/>
        <v>1</v>
      </c>
      <c r="DH278" t="str">
        <f t="shared" si="282"/>
        <v/>
      </c>
    </row>
    <row r="279" spans="2:112" ht="12" customHeight="1">
      <c r="B279" t="str">
        <f>TBIDry!H351</f>
        <v>G493</v>
      </c>
      <c r="C279" t="str">
        <f>TBIDry!I351</f>
        <v>R227</v>
      </c>
      <c r="D279" t="b">
        <f t="shared" si="229"/>
        <v>0</v>
      </c>
      <c r="E279" t="b">
        <f t="shared" si="230"/>
        <v>0</v>
      </c>
      <c r="G279" t="str">
        <f>TBIWet!H351</f>
        <v>G557</v>
      </c>
      <c r="H279" t="str">
        <f>TBIWet!I351</f>
        <v>R58</v>
      </c>
      <c r="I279" t="b">
        <f t="shared" si="231"/>
        <v>0</v>
      </c>
      <c r="J279" t="b">
        <f t="shared" si="232"/>
        <v>0</v>
      </c>
      <c r="L279" t="str">
        <f>'Both teabags AfterWet'!A277</f>
        <v>G721</v>
      </c>
      <c r="M279" t="str">
        <f>'Both teabags AfterWet'!A697</f>
        <v>R489</v>
      </c>
      <c r="N279" t="b">
        <f t="shared" si="233"/>
        <v>0</v>
      </c>
      <c r="O279" t="b">
        <f t="shared" si="283"/>
        <v>0</v>
      </c>
      <c r="Q279" s="388" t="b">
        <f t="shared" si="234"/>
        <v>0</v>
      </c>
      <c r="R279" s="388" t="b">
        <f t="shared" si="235"/>
        <v>0</v>
      </c>
      <c r="T279" t="str">
        <f>'Both teabags AfterDry'!A277</f>
        <v>G65</v>
      </c>
      <c r="U279" t="str">
        <f>'Both teabags AfterDry'!A612</f>
        <v>R776</v>
      </c>
      <c r="V279" t="b">
        <f t="shared" si="236"/>
        <v>0</v>
      </c>
      <c r="W279" t="b">
        <f t="shared" si="267"/>
        <v>0</v>
      </c>
      <c r="Y279" t="str">
        <f>'Green_rooibos initial weight'!A280</f>
        <v>G276</v>
      </c>
      <c r="Z279" t="str">
        <f>'Green_rooibos initial weight'!A1184</f>
        <v>R276</v>
      </c>
      <c r="AA279" t="b">
        <f t="shared" si="237"/>
        <v>0</v>
      </c>
      <c r="AB279" t="b">
        <f t="shared" si="238"/>
        <v>0</v>
      </c>
      <c r="AE279" t="str">
        <f>'WetLitterbags placem_collection'!O58</f>
        <v>G557</v>
      </c>
      <c r="AF279" t="str">
        <f>'WetLitterbags placem_collection'!Q58</f>
        <v>R58</v>
      </c>
      <c r="AG279" t="b">
        <f t="shared" si="239"/>
        <v>0</v>
      </c>
      <c r="AH279" t="b">
        <f t="shared" si="240"/>
        <v>0</v>
      </c>
      <c r="AJ279" t="b">
        <f t="shared" si="241"/>
        <v>0</v>
      </c>
      <c r="AK279" t="b">
        <f t="shared" si="242"/>
        <v>0</v>
      </c>
      <c r="AM279" t="str">
        <f>IF(ISBLANK('Dry_Litterbag Placem_Collection'!L58),"","G"&amp;""&amp;'Dry_Litterbag Placem_Collection'!L58)</f>
        <v>G493</v>
      </c>
      <c r="AN279" t="str">
        <f>IF(ISBLANK('Dry_Litterbag Placem_Collection'!M58),"","R"&amp;""&amp;'Dry_Litterbag Placem_Collection'!M58)</f>
        <v>R227</v>
      </c>
      <c r="AO279" t="b">
        <f t="shared" si="243"/>
        <v>0</v>
      </c>
      <c r="AP279" t="b">
        <f t="shared" si="244"/>
        <v>0</v>
      </c>
      <c r="AS279" t="str">
        <f>'Ashed teabags dry'!A277</f>
        <v>G65</v>
      </c>
      <c r="AT279" t="str">
        <f>'Ashed teabags dry'!A612</f>
        <v>R776</v>
      </c>
      <c r="AU279" t="b">
        <f t="shared" si="245"/>
        <v>0</v>
      </c>
      <c r="AV279" t="b">
        <f t="shared" si="268"/>
        <v>0</v>
      </c>
      <c r="AX279" s="388" t="b">
        <f t="shared" si="246"/>
        <v>0</v>
      </c>
      <c r="AY279" s="388" t="b">
        <f t="shared" si="247"/>
        <v>0</v>
      </c>
      <c r="BA279" t="str">
        <f>'Ashed teabags wet'!A277</f>
        <v>G721</v>
      </c>
      <c r="BB279" t="str">
        <f>'Ashed teabags wet'!A697</f>
        <v>R489</v>
      </c>
      <c r="BC279" t="b">
        <f t="shared" si="248"/>
        <v>0</v>
      </c>
      <c r="BD279" t="b">
        <f t="shared" si="228"/>
        <v>0</v>
      </c>
      <c r="BF279" t="str">
        <f t="shared" si="249"/>
        <v>G646</v>
      </c>
      <c r="BG279" t="str">
        <f t="shared" si="250"/>
        <v>G646</v>
      </c>
      <c r="BH279" t="str">
        <f t="shared" si="251"/>
        <v>G260</v>
      </c>
      <c r="BI279" t="str">
        <f t="shared" si="269"/>
        <v>G260</v>
      </c>
      <c r="BJ279" t="s">
        <v>1404</v>
      </c>
      <c r="BK279" t="s">
        <v>1404</v>
      </c>
      <c r="BL279" t="s">
        <v>1404</v>
      </c>
      <c r="BM279" t="b">
        <f t="shared" si="270"/>
        <v>1</v>
      </c>
      <c r="BN279" t="str">
        <f t="shared" si="252"/>
        <v>R774</v>
      </c>
      <c r="BO279" t="str">
        <f t="shared" si="253"/>
        <v>R774</v>
      </c>
      <c r="BP279" t="str">
        <f t="shared" si="254"/>
        <v>R192</v>
      </c>
      <c r="BQ279" t="str">
        <f t="shared" si="255"/>
        <v>R192</v>
      </c>
      <c r="BR279" t="s">
        <v>365</v>
      </c>
      <c r="BS279" t="s">
        <v>363</v>
      </c>
      <c r="BT279" t="s">
        <v>365</v>
      </c>
      <c r="BU279" t="b">
        <f t="shared" si="271"/>
        <v>1</v>
      </c>
      <c r="BZ279" t="str">
        <f t="shared" si="256"/>
        <v>G260</v>
      </c>
      <c r="CA279" t="b">
        <f t="shared" si="257"/>
        <v>0</v>
      </c>
      <c r="CB279" t="str">
        <f t="shared" si="272"/>
        <v>G260</v>
      </c>
      <c r="CC279" t="str">
        <f t="shared" si="258"/>
        <v>R192</v>
      </c>
      <c r="CD279" t="b">
        <f t="shared" si="273"/>
        <v>0</v>
      </c>
      <c r="CE279" t="str">
        <f t="shared" si="274"/>
        <v>R192</v>
      </c>
      <c r="CG279" t="str">
        <f t="shared" si="259"/>
        <v>G720</v>
      </c>
      <c r="CH279" t="str">
        <f t="shared" si="275"/>
        <v>G720</v>
      </c>
      <c r="CI279" t="str">
        <f t="shared" si="260"/>
        <v>G616</v>
      </c>
      <c r="CJ279" t="str">
        <f t="shared" si="261"/>
        <v>G616</v>
      </c>
      <c r="CK279" t="s">
        <v>1330</v>
      </c>
      <c r="CL279" t="s">
        <v>1330</v>
      </c>
      <c r="CM279" t="s">
        <v>1330</v>
      </c>
      <c r="CN279" t="b">
        <f t="shared" si="276"/>
        <v>1</v>
      </c>
      <c r="CO279" t="str">
        <f t="shared" si="262"/>
        <v>R488</v>
      </c>
      <c r="CP279" t="str">
        <f t="shared" si="277"/>
        <v>R488</v>
      </c>
      <c r="CQ279" t="str">
        <f t="shared" si="263"/>
        <v>R53</v>
      </c>
      <c r="CR279" t="str">
        <f t="shared" si="264"/>
        <v>R53</v>
      </c>
      <c r="CS279" t="s">
        <v>653</v>
      </c>
      <c r="CT279" t="s">
        <v>653</v>
      </c>
      <c r="CU279" t="s">
        <v>653</v>
      </c>
      <c r="CV279" t="b">
        <f t="shared" si="278"/>
        <v>1</v>
      </c>
      <c r="DC279" t="str">
        <f t="shared" si="265"/>
        <v>G616</v>
      </c>
      <c r="DD279" t="b">
        <f t="shared" si="279"/>
        <v>0</v>
      </c>
      <c r="DE279" t="str">
        <f t="shared" si="280"/>
        <v>G616</v>
      </c>
      <c r="DF279" t="str">
        <f t="shared" si="266"/>
        <v>R53</v>
      </c>
      <c r="DG279" t="b">
        <f t="shared" si="281"/>
        <v>0</v>
      </c>
      <c r="DH279" t="str">
        <f t="shared" si="282"/>
        <v>R53</v>
      </c>
    </row>
    <row r="280" spans="2:112" ht="12" customHeight="1">
      <c r="B280" t="str">
        <f>TBIDry!H352</f>
        <v>G342</v>
      </c>
      <c r="C280" t="str">
        <f>TBIDry!I352</f>
        <v>R416</v>
      </c>
      <c r="D280" t="b">
        <f t="shared" si="229"/>
        <v>0</v>
      </c>
      <c r="E280" t="b">
        <f t="shared" si="230"/>
        <v>0</v>
      </c>
      <c r="G280" t="str">
        <f>TBIWet!H352</f>
        <v>G618</v>
      </c>
      <c r="H280" t="str">
        <f>TBIWet!I352</f>
        <v>R435</v>
      </c>
      <c r="I280" t="b">
        <f t="shared" si="231"/>
        <v>0</v>
      </c>
      <c r="J280" t="b">
        <f t="shared" si="232"/>
        <v>0</v>
      </c>
      <c r="L280" t="str">
        <f>'Both teabags AfterWet'!A278</f>
        <v>G723</v>
      </c>
      <c r="M280" t="str">
        <f>'Both teabags AfterWet'!A698</f>
        <v>R49</v>
      </c>
      <c r="N280" t="b">
        <f t="shared" si="233"/>
        <v>0</v>
      </c>
      <c r="O280" t="b">
        <f t="shared" si="283"/>
        <v>0</v>
      </c>
      <c r="Q280" s="388" t="b">
        <f t="shared" si="234"/>
        <v>0</v>
      </c>
      <c r="R280" s="388" t="b">
        <f t="shared" si="235"/>
        <v>0</v>
      </c>
      <c r="T280" t="str">
        <f>'Both teabags AfterDry'!A278</f>
        <v>G650</v>
      </c>
      <c r="U280" t="str">
        <f>'Both teabags AfterDry'!A613</f>
        <v>R777</v>
      </c>
      <c r="V280" t="b">
        <f t="shared" si="236"/>
        <v>0</v>
      </c>
      <c r="W280" t="b">
        <f t="shared" si="267"/>
        <v>0</v>
      </c>
      <c r="Y280" t="str">
        <f>'Green_rooibos initial weight'!A281</f>
        <v>G277</v>
      </c>
      <c r="Z280" t="str">
        <f>'Green_rooibos initial weight'!A1185</f>
        <v>R277</v>
      </c>
      <c r="AA280" t="b">
        <f t="shared" si="237"/>
        <v>0</v>
      </c>
      <c r="AB280" t="b">
        <f t="shared" si="238"/>
        <v>0</v>
      </c>
      <c r="AE280" t="str">
        <f>'WetLitterbags placem_collection'!O59</f>
        <v>G618</v>
      </c>
      <c r="AF280" t="str">
        <f>'WetLitterbags placem_collection'!Q59</f>
        <v>R435</v>
      </c>
      <c r="AG280" t="b">
        <f t="shared" si="239"/>
        <v>0</v>
      </c>
      <c r="AH280" t="b">
        <f t="shared" si="240"/>
        <v>0</v>
      </c>
      <c r="AJ280" t="b">
        <f t="shared" si="241"/>
        <v>0</v>
      </c>
      <c r="AK280" t="b">
        <f t="shared" si="242"/>
        <v>0</v>
      </c>
      <c r="AM280" t="str">
        <f>IF(ISBLANK('Dry_Litterbag Placem_Collection'!L59),"","G"&amp;""&amp;'Dry_Litterbag Placem_Collection'!L59)</f>
        <v>G342</v>
      </c>
      <c r="AN280" t="str">
        <f>IF(ISBLANK('Dry_Litterbag Placem_Collection'!M59),"","R"&amp;""&amp;'Dry_Litterbag Placem_Collection'!M59)</f>
        <v>R416</v>
      </c>
      <c r="AO280" t="b">
        <f t="shared" si="243"/>
        <v>0</v>
      </c>
      <c r="AP280" t="b">
        <f t="shared" si="244"/>
        <v>0</v>
      </c>
      <c r="AS280" t="str">
        <f>'Ashed teabags dry'!A278</f>
        <v>G650</v>
      </c>
      <c r="AT280" t="str">
        <f>'Ashed teabags dry'!A613</f>
        <v>R777</v>
      </c>
      <c r="AU280" t="b">
        <f t="shared" si="245"/>
        <v>0</v>
      </c>
      <c r="AV280" t="b">
        <f t="shared" si="268"/>
        <v>0</v>
      </c>
      <c r="AX280" s="388" t="b">
        <f t="shared" si="246"/>
        <v>0</v>
      </c>
      <c r="AY280" s="388" t="b">
        <f t="shared" si="247"/>
        <v>0</v>
      </c>
      <c r="BA280" t="str">
        <f>'Ashed teabags wet'!A278</f>
        <v>G723</v>
      </c>
      <c r="BB280" t="str">
        <f>'Ashed teabags wet'!A698</f>
        <v>R49</v>
      </c>
      <c r="BC280" t="b">
        <f t="shared" si="248"/>
        <v>0</v>
      </c>
      <c r="BD280" t="b">
        <f t="shared" si="228"/>
        <v>0</v>
      </c>
      <c r="BF280" t="str">
        <f t="shared" si="249"/>
        <v>G65</v>
      </c>
      <c r="BG280" t="str">
        <f t="shared" si="250"/>
        <v>G65</v>
      </c>
      <c r="BH280" t="str">
        <f t="shared" si="251"/>
        <v>G493</v>
      </c>
      <c r="BI280" t="str">
        <f t="shared" si="269"/>
        <v>G493</v>
      </c>
      <c r="BJ280" t="s">
        <v>1985</v>
      </c>
      <c r="BK280" t="s">
        <v>1985</v>
      </c>
      <c r="BL280" t="s">
        <v>1985</v>
      </c>
      <c r="BM280" t="b">
        <f t="shared" si="270"/>
        <v>1</v>
      </c>
      <c r="BN280" t="str">
        <f t="shared" si="252"/>
        <v>R776</v>
      </c>
      <c r="BO280" t="str">
        <f t="shared" si="253"/>
        <v>R776</v>
      </c>
      <c r="BP280" t="str">
        <f t="shared" si="254"/>
        <v>R227</v>
      </c>
      <c r="BQ280" t="str">
        <f t="shared" si="255"/>
        <v>R227</v>
      </c>
      <c r="BR280" t="s">
        <v>363</v>
      </c>
      <c r="BS280" t="s">
        <v>362</v>
      </c>
      <c r="BT280" t="s">
        <v>363</v>
      </c>
      <c r="BU280" t="b">
        <f t="shared" si="271"/>
        <v>1</v>
      </c>
      <c r="BZ280" t="str">
        <f t="shared" si="256"/>
        <v>G493</v>
      </c>
      <c r="CA280" t="b">
        <f t="shared" si="257"/>
        <v>0</v>
      </c>
      <c r="CB280" t="str">
        <f t="shared" si="272"/>
        <v>G493</v>
      </c>
      <c r="CC280" t="str">
        <f t="shared" si="258"/>
        <v>R227</v>
      </c>
      <c r="CD280" t="b">
        <f t="shared" si="273"/>
        <v>0</v>
      </c>
      <c r="CE280" t="str">
        <f t="shared" si="274"/>
        <v>R227</v>
      </c>
      <c r="CG280" t="str">
        <f t="shared" si="259"/>
        <v>G721</v>
      </c>
      <c r="CH280" t="str">
        <f t="shared" si="275"/>
        <v>G721</v>
      </c>
      <c r="CI280" t="str">
        <f t="shared" si="260"/>
        <v>G557</v>
      </c>
      <c r="CJ280" t="str">
        <f t="shared" si="261"/>
        <v>G557</v>
      </c>
      <c r="CK280" t="s">
        <v>1329</v>
      </c>
      <c r="CL280" t="s">
        <v>1329</v>
      </c>
      <c r="CM280" t="s">
        <v>1329</v>
      </c>
      <c r="CN280" t="b">
        <f t="shared" si="276"/>
        <v>1</v>
      </c>
      <c r="CO280" t="str">
        <f t="shared" si="262"/>
        <v>R489</v>
      </c>
      <c r="CP280" t="str">
        <f t="shared" si="277"/>
        <v>R489</v>
      </c>
      <c r="CQ280" t="str">
        <f t="shared" si="263"/>
        <v>R58</v>
      </c>
      <c r="CR280" t="str">
        <f t="shared" si="264"/>
        <v>R58</v>
      </c>
      <c r="CS280" t="s">
        <v>652</v>
      </c>
      <c r="CT280" t="s">
        <v>652</v>
      </c>
      <c r="CU280" t="s">
        <v>652</v>
      </c>
      <c r="CV280" t="b">
        <f t="shared" si="278"/>
        <v>1</v>
      </c>
      <c r="DC280" t="str">
        <f t="shared" si="265"/>
        <v>G557</v>
      </c>
      <c r="DD280" t="b">
        <f t="shared" si="279"/>
        <v>0</v>
      </c>
      <c r="DE280" t="str">
        <f t="shared" si="280"/>
        <v>G557</v>
      </c>
      <c r="DF280" t="str">
        <f t="shared" si="266"/>
        <v>R58</v>
      </c>
      <c r="DG280" t="b">
        <f t="shared" si="281"/>
        <v>0</v>
      </c>
      <c r="DH280" t="str">
        <f t="shared" si="282"/>
        <v>R58</v>
      </c>
    </row>
    <row r="281" spans="2:112" ht="12" customHeight="1">
      <c r="B281" t="str">
        <f>TBIDry!H353</f>
        <v>G735</v>
      </c>
      <c r="C281" t="str">
        <f>TBIDry!I353</f>
        <v>R689</v>
      </c>
      <c r="D281" t="b">
        <f t="shared" si="229"/>
        <v>0</v>
      </c>
      <c r="E281" t="b">
        <f t="shared" si="230"/>
        <v>0</v>
      </c>
      <c r="G281" t="str">
        <f>TBIWet!H353</f>
        <v>G593</v>
      </c>
      <c r="H281" t="str">
        <f>TBIWet!I353</f>
        <v>R31</v>
      </c>
      <c r="I281" t="b">
        <f t="shared" si="231"/>
        <v>0</v>
      </c>
      <c r="J281" t="b">
        <f t="shared" si="232"/>
        <v>0</v>
      </c>
      <c r="L281" t="str">
        <f>'Both teabags AfterWet'!A279</f>
        <v>G724</v>
      </c>
      <c r="M281" t="str">
        <f>'Both teabags AfterWet'!A699</f>
        <v>R490</v>
      </c>
      <c r="N281" t="b">
        <f t="shared" si="233"/>
        <v>0</v>
      </c>
      <c r="O281" t="b">
        <f t="shared" si="283"/>
        <v>0</v>
      </c>
      <c r="Q281" s="388" t="b">
        <f t="shared" si="234"/>
        <v>0</v>
      </c>
      <c r="R281" s="388" t="b">
        <f t="shared" si="235"/>
        <v>0</v>
      </c>
      <c r="T281" t="str">
        <f>'Both teabags AfterDry'!A279</f>
        <v>G659</v>
      </c>
      <c r="U281" t="str">
        <f>'Both teabags AfterDry'!A614</f>
        <v>R778</v>
      </c>
      <c r="V281" t="b">
        <f t="shared" si="236"/>
        <v>0</v>
      </c>
      <c r="W281" t="b">
        <f t="shared" si="267"/>
        <v>0</v>
      </c>
      <c r="Y281" t="str">
        <f>'Green_rooibos initial weight'!A282</f>
        <v>G278</v>
      </c>
      <c r="Z281" t="str">
        <f>'Green_rooibos initial weight'!A1186</f>
        <v>R278</v>
      </c>
      <c r="AA281" t="b">
        <f t="shared" si="237"/>
        <v>0</v>
      </c>
      <c r="AB281" t="b">
        <f t="shared" si="238"/>
        <v>0</v>
      </c>
      <c r="AE281" t="str">
        <f>'WetLitterbags placem_collection'!O60</f>
        <v>G593</v>
      </c>
      <c r="AF281" t="str">
        <f>'WetLitterbags placem_collection'!Q60</f>
        <v>R31</v>
      </c>
      <c r="AG281" t="b">
        <f t="shared" si="239"/>
        <v>0</v>
      </c>
      <c r="AH281" t="b">
        <f t="shared" si="240"/>
        <v>0</v>
      </c>
      <c r="AJ281" t="b">
        <f t="shared" si="241"/>
        <v>0</v>
      </c>
      <c r="AK281" t="b">
        <f t="shared" si="242"/>
        <v>0</v>
      </c>
      <c r="AM281" t="str">
        <f>IF(ISBLANK('Dry_Litterbag Placem_Collection'!L60),"","G"&amp;""&amp;'Dry_Litterbag Placem_Collection'!L60)</f>
        <v>G735</v>
      </c>
      <c r="AN281" t="str">
        <f>IF(ISBLANK('Dry_Litterbag Placem_Collection'!M60),"","R"&amp;""&amp;'Dry_Litterbag Placem_Collection'!M60)</f>
        <v>R689</v>
      </c>
      <c r="AO281" t="b">
        <f t="shared" si="243"/>
        <v>0</v>
      </c>
      <c r="AP281" t="b">
        <f t="shared" si="244"/>
        <v>0</v>
      </c>
      <c r="AS281" t="str">
        <f>'Ashed teabags dry'!A279</f>
        <v>G659</v>
      </c>
      <c r="AT281" t="str">
        <f>'Ashed teabags dry'!A614</f>
        <v>R778</v>
      </c>
      <c r="AU281" t="b">
        <f t="shared" si="245"/>
        <v>0</v>
      </c>
      <c r="AV281" t="b">
        <f t="shared" si="268"/>
        <v>0</v>
      </c>
      <c r="AX281" s="388" t="b">
        <f t="shared" si="246"/>
        <v>0</v>
      </c>
      <c r="AY281" s="388" t="b">
        <f t="shared" si="247"/>
        <v>0</v>
      </c>
      <c r="BA281" t="str">
        <f>'Ashed teabags wet'!A279</f>
        <v>G724</v>
      </c>
      <c r="BB281" t="str">
        <f>'Ashed teabags wet'!A699</f>
        <v>R490</v>
      </c>
      <c r="BC281" t="b">
        <f t="shared" si="248"/>
        <v>0</v>
      </c>
      <c r="BD281" t="b">
        <f t="shared" si="228"/>
        <v>0</v>
      </c>
      <c r="BF281" t="str">
        <f t="shared" si="249"/>
        <v>G650</v>
      </c>
      <c r="BG281" t="str">
        <f t="shared" si="250"/>
        <v>G650</v>
      </c>
      <c r="BH281" t="str">
        <f t="shared" si="251"/>
        <v>G342</v>
      </c>
      <c r="BI281" t="str">
        <f t="shared" si="269"/>
        <v>G342</v>
      </c>
      <c r="BJ281" t="s">
        <v>1400</v>
      </c>
      <c r="BK281" t="s">
        <v>1400</v>
      </c>
      <c r="BL281" t="s">
        <v>1400</v>
      </c>
      <c r="BM281" t="b">
        <f t="shared" si="270"/>
        <v>1</v>
      </c>
      <c r="BN281" t="str">
        <f t="shared" si="252"/>
        <v>R777</v>
      </c>
      <c r="BO281" t="str">
        <f t="shared" si="253"/>
        <v>R777</v>
      </c>
      <c r="BP281" t="str">
        <f t="shared" si="254"/>
        <v>R416</v>
      </c>
      <c r="BQ281" t="str">
        <f t="shared" si="255"/>
        <v>R416</v>
      </c>
      <c r="BR281" t="s">
        <v>362</v>
      </c>
      <c r="BS281" t="s">
        <v>361</v>
      </c>
      <c r="BT281" t="s">
        <v>362</v>
      </c>
      <c r="BU281" t="b">
        <f t="shared" si="271"/>
        <v>1</v>
      </c>
      <c r="BZ281" t="str">
        <f t="shared" si="256"/>
        <v>G342</v>
      </c>
      <c r="CA281" t="b">
        <f t="shared" si="257"/>
        <v>0</v>
      </c>
      <c r="CB281" t="str">
        <f t="shared" si="272"/>
        <v>G342</v>
      </c>
      <c r="CC281" t="str">
        <f t="shared" si="258"/>
        <v>R416</v>
      </c>
      <c r="CD281" t="b">
        <f t="shared" si="273"/>
        <v>0</v>
      </c>
      <c r="CE281" t="str">
        <f t="shared" si="274"/>
        <v>R416</v>
      </c>
      <c r="CG281" t="str">
        <f t="shared" si="259"/>
        <v>G723</v>
      </c>
      <c r="CH281" t="str">
        <f t="shared" si="275"/>
        <v>G723</v>
      </c>
      <c r="CI281" t="str">
        <f t="shared" si="260"/>
        <v>G618</v>
      </c>
      <c r="CJ281" t="str">
        <f t="shared" si="261"/>
        <v>G618</v>
      </c>
      <c r="CK281" t="s">
        <v>1327</v>
      </c>
      <c r="CL281" t="s">
        <v>1327</v>
      </c>
      <c r="CM281" t="s">
        <v>1327</v>
      </c>
      <c r="CN281" t="b">
        <f t="shared" si="276"/>
        <v>1</v>
      </c>
      <c r="CO281" t="str">
        <f t="shared" si="262"/>
        <v>R49</v>
      </c>
      <c r="CP281" t="str">
        <f t="shared" si="277"/>
        <v>R49</v>
      </c>
      <c r="CQ281" t="str">
        <f t="shared" si="263"/>
        <v>R435</v>
      </c>
      <c r="CR281" t="str">
        <f t="shared" si="264"/>
        <v>R435</v>
      </c>
      <c r="CS281" t="s">
        <v>1092</v>
      </c>
      <c r="CT281" t="s">
        <v>1092</v>
      </c>
      <c r="CU281" t="s">
        <v>1092</v>
      </c>
      <c r="CV281" t="b">
        <f t="shared" si="278"/>
        <v>1</v>
      </c>
      <c r="DC281" t="str">
        <f t="shared" si="265"/>
        <v>G618</v>
      </c>
      <c r="DD281" t="b">
        <f t="shared" si="279"/>
        <v>0</v>
      </c>
      <c r="DE281" t="str">
        <f t="shared" si="280"/>
        <v>G618</v>
      </c>
      <c r="DF281" t="str">
        <f t="shared" si="266"/>
        <v>R435</v>
      </c>
      <c r="DG281" t="b">
        <f t="shared" si="281"/>
        <v>0</v>
      </c>
      <c r="DH281" t="str">
        <f t="shared" si="282"/>
        <v>R435</v>
      </c>
    </row>
    <row r="282" spans="2:112" ht="12" customHeight="1">
      <c r="B282" t="str">
        <f>TBIDry!H354</f>
        <v>G558</v>
      </c>
      <c r="C282" t="str">
        <f>TBIDry!I354</f>
        <v>R231</v>
      </c>
      <c r="D282" t="b">
        <f t="shared" si="229"/>
        <v>0</v>
      </c>
      <c r="E282" t="b">
        <f t="shared" si="230"/>
        <v>0</v>
      </c>
      <c r="G282" t="str">
        <f>TBIWet!H354</f>
        <v>G600</v>
      </c>
      <c r="H282" t="str">
        <f>TBIWet!I354</f>
        <v>R120</v>
      </c>
      <c r="I282" t="b">
        <f t="shared" si="231"/>
        <v>0</v>
      </c>
      <c r="J282" t="b">
        <f t="shared" si="232"/>
        <v>0</v>
      </c>
      <c r="L282" t="str">
        <f>'Both teabags AfterWet'!A280</f>
        <v>G725</v>
      </c>
      <c r="M282" t="str">
        <f>'Both teabags AfterWet'!A700</f>
        <v>R492</v>
      </c>
      <c r="N282" t="b">
        <f t="shared" si="233"/>
        <v>0</v>
      </c>
      <c r="O282" t="b">
        <f t="shared" si="283"/>
        <v>0</v>
      </c>
      <c r="Q282" s="388" t="b">
        <f t="shared" si="234"/>
        <v>0</v>
      </c>
      <c r="R282" s="388" t="b">
        <f t="shared" si="235"/>
        <v>0</v>
      </c>
      <c r="T282" t="str">
        <f>'Both teabags AfterDry'!A280</f>
        <v>G66</v>
      </c>
      <c r="U282" t="str">
        <f>'Both teabags AfterDry'!A615</f>
        <v>R779</v>
      </c>
      <c r="V282" t="b">
        <f t="shared" si="236"/>
        <v>0</v>
      </c>
      <c r="W282" t="b">
        <f t="shared" si="267"/>
        <v>0</v>
      </c>
      <c r="Y282" t="str">
        <f>'Green_rooibos initial weight'!A283</f>
        <v>G279</v>
      </c>
      <c r="Z282" t="str">
        <f>'Green_rooibos initial weight'!A1187</f>
        <v>R279</v>
      </c>
      <c r="AA282" t="b">
        <f t="shared" si="237"/>
        <v>0</v>
      </c>
      <c r="AB282" t="b">
        <f t="shared" si="238"/>
        <v>0</v>
      </c>
      <c r="AE282" t="str">
        <f>'WetLitterbags placem_collection'!O61</f>
        <v>G600</v>
      </c>
      <c r="AF282" t="str">
        <f>'WetLitterbags placem_collection'!Q61</f>
        <v>R120</v>
      </c>
      <c r="AG282" t="b">
        <f t="shared" si="239"/>
        <v>0</v>
      </c>
      <c r="AH282" t="b">
        <f t="shared" si="240"/>
        <v>0</v>
      </c>
      <c r="AJ282" t="b">
        <f t="shared" si="241"/>
        <v>0</v>
      </c>
      <c r="AK282" t="b">
        <f t="shared" si="242"/>
        <v>0</v>
      </c>
      <c r="AM282" t="str">
        <f>IF(ISBLANK('Dry_Litterbag Placem_Collection'!L61),"","G"&amp;""&amp;'Dry_Litterbag Placem_Collection'!L61)</f>
        <v>G558</v>
      </c>
      <c r="AN282" t="str">
        <f>IF(ISBLANK('Dry_Litterbag Placem_Collection'!M61),"","R"&amp;""&amp;'Dry_Litterbag Placem_Collection'!M61)</f>
        <v>R231</v>
      </c>
      <c r="AO282" t="b">
        <f t="shared" si="243"/>
        <v>0</v>
      </c>
      <c r="AP282" t="b">
        <f t="shared" si="244"/>
        <v>0</v>
      </c>
      <c r="AS282" t="str">
        <f>'Ashed teabags dry'!A280</f>
        <v>G66</v>
      </c>
      <c r="AT282" t="str">
        <f>'Ashed teabags dry'!A615</f>
        <v>R779</v>
      </c>
      <c r="AU282" t="b">
        <f t="shared" si="245"/>
        <v>0</v>
      </c>
      <c r="AV282" t="b">
        <f t="shared" si="268"/>
        <v>0</v>
      </c>
      <c r="AX282" s="388" t="b">
        <f t="shared" si="246"/>
        <v>0</v>
      </c>
      <c r="AY282" s="388" t="b">
        <f t="shared" si="247"/>
        <v>0</v>
      </c>
      <c r="BA282" t="str">
        <f>'Ashed teabags wet'!A280</f>
        <v>G725</v>
      </c>
      <c r="BB282" t="str">
        <f>'Ashed teabags wet'!A700</f>
        <v>R492</v>
      </c>
      <c r="BC282" t="b">
        <f t="shared" si="248"/>
        <v>0</v>
      </c>
      <c r="BD282" t="b">
        <f t="shared" si="228"/>
        <v>0</v>
      </c>
      <c r="BF282" t="str">
        <f t="shared" si="249"/>
        <v>G659</v>
      </c>
      <c r="BG282" t="str">
        <f t="shared" si="250"/>
        <v>G659</v>
      </c>
      <c r="BH282" t="str">
        <f t="shared" si="251"/>
        <v>G735</v>
      </c>
      <c r="BI282" t="str">
        <f t="shared" si="269"/>
        <v>G735</v>
      </c>
      <c r="BJ282" t="s">
        <v>1391</v>
      </c>
      <c r="BK282" t="s">
        <v>1391</v>
      </c>
      <c r="BL282" t="s">
        <v>1391</v>
      </c>
      <c r="BM282" t="b">
        <f t="shared" si="270"/>
        <v>1</v>
      </c>
      <c r="BN282" t="str">
        <f t="shared" si="252"/>
        <v>R778</v>
      </c>
      <c r="BO282" t="str">
        <f t="shared" si="253"/>
        <v>R778</v>
      </c>
      <c r="BP282" t="str">
        <f t="shared" si="254"/>
        <v>R689</v>
      </c>
      <c r="BQ282" t="str">
        <f t="shared" si="255"/>
        <v>R689</v>
      </c>
      <c r="BR282" t="s">
        <v>361</v>
      </c>
      <c r="BS282" t="s">
        <v>360</v>
      </c>
      <c r="BT282" t="s">
        <v>361</v>
      </c>
      <c r="BU282" t="b">
        <f t="shared" si="271"/>
        <v>1</v>
      </c>
      <c r="BZ282" t="str">
        <f t="shared" si="256"/>
        <v>G735</v>
      </c>
      <c r="CA282" t="b">
        <f t="shared" si="257"/>
        <v>0</v>
      </c>
      <c r="CB282" t="str">
        <f t="shared" si="272"/>
        <v>G735</v>
      </c>
      <c r="CC282" t="str">
        <f t="shared" si="258"/>
        <v>R689</v>
      </c>
      <c r="CD282" t="b">
        <f t="shared" si="273"/>
        <v>0</v>
      </c>
      <c r="CE282" t="str">
        <f t="shared" si="274"/>
        <v>R689</v>
      </c>
      <c r="CG282" t="str">
        <f t="shared" si="259"/>
        <v>G724</v>
      </c>
      <c r="CH282" t="str">
        <f t="shared" si="275"/>
        <v>G724</v>
      </c>
      <c r="CI282" t="str">
        <f t="shared" si="260"/>
        <v>G593</v>
      </c>
      <c r="CJ282" t="str">
        <f t="shared" si="261"/>
        <v>G593</v>
      </c>
      <c r="CK282" t="s">
        <v>1326</v>
      </c>
      <c r="CL282" t="s">
        <v>1326</v>
      </c>
      <c r="CM282" t="s">
        <v>1326</v>
      </c>
      <c r="CN282" t="b">
        <f t="shared" si="276"/>
        <v>1</v>
      </c>
      <c r="CO282" t="str">
        <f t="shared" si="262"/>
        <v>R490</v>
      </c>
      <c r="CP282" t="str">
        <f t="shared" si="277"/>
        <v>R490</v>
      </c>
      <c r="CQ282" t="str">
        <f t="shared" si="263"/>
        <v>R31</v>
      </c>
      <c r="CR282" t="str">
        <f t="shared" si="264"/>
        <v>R31</v>
      </c>
      <c r="CS282" t="s">
        <v>651</v>
      </c>
      <c r="CT282" t="s">
        <v>651</v>
      </c>
      <c r="CU282" t="s">
        <v>651</v>
      </c>
      <c r="CV282" t="b">
        <f t="shared" si="278"/>
        <v>1</v>
      </c>
      <c r="DC282" t="str">
        <f t="shared" si="265"/>
        <v>G593</v>
      </c>
      <c r="DD282" t="b">
        <f t="shared" si="279"/>
        <v>0</v>
      </c>
      <c r="DE282" t="str">
        <f t="shared" si="280"/>
        <v>G593</v>
      </c>
      <c r="DF282" t="str">
        <f t="shared" si="266"/>
        <v>R31</v>
      </c>
      <c r="DG282" t="b">
        <f t="shared" si="281"/>
        <v>0</v>
      </c>
      <c r="DH282" t="str">
        <f t="shared" si="282"/>
        <v>R31</v>
      </c>
    </row>
    <row r="283" spans="2:112" ht="12" customHeight="1">
      <c r="B283" t="str">
        <f>TBIDry!H355</f>
        <v>G751</v>
      </c>
      <c r="C283" t="str">
        <f>TBIDry!I355</f>
        <v>R297</v>
      </c>
      <c r="D283" t="b">
        <f t="shared" si="229"/>
        <v>0</v>
      </c>
      <c r="E283" t="b">
        <f t="shared" si="230"/>
        <v>0</v>
      </c>
      <c r="G283" t="str">
        <f>TBIWet!H355</f>
        <v>G535</v>
      </c>
      <c r="H283" t="str">
        <f>TBIWet!I355</f>
        <v>R390</v>
      </c>
      <c r="I283" t="b">
        <f t="shared" si="231"/>
        <v>0</v>
      </c>
      <c r="J283" t="b">
        <f t="shared" si="232"/>
        <v>0</v>
      </c>
      <c r="L283" t="str">
        <f>'Both teabags AfterWet'!A281</f>
        <v>G727</v>
      </c>
      <c r="M283" t="str">
        <f>'Both teabags AfterWet'!A701</f>
        <v>R493</v>
      </c>
      <c r="N283" t="b">
        <f t="shared" si="233"/>
        <v>0</v>
      </c>
      <c r="O283" t="b">
        <f t="shared" si="283"/>
        <v>0</v>
      </c>
      <c r="Q283" s="388" t="b">
        <f t="shared" si="234"/>
        <v>0</v>
      </c>
      <c r="R283" s="388" t="b">
        <f t="shared" si="235"/>
        <v>0</v>
      </c>
      <c r="T283" t="str">
        <f>'Both teabags AfterDry'!A281</f>
        <v>G663</v>
      </c>
      <c r="U283" t="str">
        <f>'Both teabags AfterDry'!A616</f>
        <v>R780</v>
      </c>
      <c r="V283" t="b">
        <f t="shared" si="236"/>
        <v>0</v>
      </c>
      <c r="W283" t="b">
        <f t="shared" si="267"/>
        <v>0</v>
      </c>
      <c r="Y283" t="str">
        <f>'Green_rooibos initial weight'!A284</f>
        <v>G280</v>
      </c>
      <c r="Z283" t="str">
        <f>'Green_rooibos initial weight'!A1188</f>
        <v>R280</v>
      </c>
      <c r="AA283" t="b">
        <f t="shared" si="237"/>
        <v>0</v>
      </c>
      <c r="AB283" t="b">
        <f t="shared" si="238"/>
        <v>0</v>
      </c>
      <c r="AE283" t="str">
        <f>'WetLitterbags placem_collection'!O62</f>
        <v>G535</v>
      </c>
      <c r="AF283" t="str">
        <f>'WetLitterbags placem_collection'!Q62</f>
        <v>R390</v>
      </c>
      <c r="AG283" t="b">
        <f t="shared" si="239"/>
        <v>0</v>
      </c>
      <c r="AH283" t="b">
        <f t="shared" si="240"/>
        <v>0</v>
      </c>
      <c r="AJ283" t="b">
        <f t="shared" si="241"/>
        <v>0</v>
      </c>
      <c r="AK283" t="b">
        <f t="shared" si="242"/>
        <v>0</v>
      </c>
      <c r="AM283" t="str">
        <f>IF(ISBLANK('Dry_Litterbag Placem_Collection'!L62),"","G"&amp;""&amp;'Dry_Litterbag Placem_Collection'!L62)</f>
        <v>G751</v>
      </c>
      <c r="AN283" t="str">
        <f>IF(ISBLANK('Dry_Litterbag Placem_Collection'!M62),"","R"&amp;""&amp;'Dry_Litterbag Placem_Collection'!M62)</f>
        <v>R297</v>
      </c>
      <c r="AO283" t="b">
        <f t="shared" si="243"/>
        <v>0</v>
      </c>
      <c r="AP283" t="b">
        <f t="shared" si="244"/>
        <v>0</v>
      </c>
      <c r="AS283" t="str">
        <f>'Ashed teabags dry'!A281</f>
        <v>G663</v>
      </c>
      <c r="AT283" t="str">
        <f>'Ashed teabags dry'!A616</f>
        <v>R780</v>
      </c>
      <c r="AU283" t="b">
        <f t="shared" si="245"/>
        <v>0</v>
      </c>
      <c r="AV283" t="b">
        <f t="shared" si="268"/>
        <v>0</v>
      </c>
      <c r="AX283" s="388" t="b">
        <f t="shared" si="246"/>
        <v>0</v>
      </c>
      <c r="AY283" s="388" t="b">
        <f t="shared" si="247"/>
        <v>0</v>
      </c>
      <c r="BA283" t="str">
        <f>'Ashed teabags wet'!A281</f>
        <v>G727</v>
      </c>
      <c r="BB283" t="str">
        <f>'Ashed teabags wet'!A701</f>
        <v>R493</v>
      </c>
      <c r="BC283" t="b">
        <f t="shared" si="248"/>
        <v>0</v>
      </c>
      <c r="BD283" t="b">
        <f t="shared" si="228"/>
        <v>0</v>
      </c>
      <c r="BF283" t="str">
        <f t="shared" si="249"/>
        <v>G66</v>
      </c>
      <c r="BG283" t="str">
        <f t="shared" si="250"/>
        <v>G66</v>
      </c>
      <c r="BH283" t="str">
        <f t="shared" si="251"/>
        <v>G558</v>
      </c>
      <c r="BI283" t="str">
        <f t="shared" si="269"/>
        <v>G558</v>
      </c>
      <c r="BJ283" t="s">
        <v>1984</v>
      </c>
      <c r="BK283" t="s">
        <v>1984</v>
      </c>
      <c r="BL283" t="s">
        <v>1984</v>
      </c>
      <c r="BM283" t="b">
        <f t="shared" si="270"/>
        <v>1</v>
      </c>
      <c r="BN283" t="str">
        <f t="shared" si="252"/>
        <v>R779</v>
      </c>
      <c r="BO283" t="str">
        <f t="shared" si="253"/>
        <v>R779</v>
      </c>
      <c r="BP283" t="str">
        <f t="shared" si="254"/>
        <v>R231</v>
      </c>
      <c r="BQ283" t="str">
        <f t="shared" si="255"/>
        <v>R231</v>
      </c>
      <c r="BR283" t="s">
        <v>360</v>
      </c>
      <c r="BS283" t="s">
        <v>359</v>
      </c>
      <c r="BT283" t="s">
        <v>360</v>
      </c>
      <c r="BU283" t="b">
        <f t="shared" si="271"/>
        <v>1</v>
      </c>
      <c r="BZ283" t="str">
        <f t="shared" si="256"/>
        <v>G558</v>
      </c>
      <c r="CA283" t="b">
        <f t="shared" si="257"/>
        <v>0</v>
      </c>
      <c r="CB283" t="str">
        <f t="shared" si="272"/>
        <v>G558</v>
      </c>
      <c r="CC283" t="str">
        <f t="shared" si="258"/>
        <v>R231</v>
      </c>
      <c r="CD283" t="b">
        <f t="shared" si="273"/>
        <v>0</v>
      </c>
      <c r="CE283" t="str">
        <f t="shared" si="274"/>
        <v>R231</v>
      </c>
      <c r="CG283" t="str">
        <f t="shared" si="259"/>
        <v>G725</v>
      </c>
      <c r="CH283" t="str">
        <f t="shared" si="275"/>
        <v>G725</v>
      </c>
      <c r="CI283" t="str">
        <f t="shared" si="260"/>
        <v>G600</v>
      </c>
      <c r="CJ283" t="str">
        <f t="shared" si="261"/>
        <v>G600</v>
      </c>
      <c r="CK283" t="s">
        <v>1325</v>
      </c>
      <c r="CL283" t="s">
        <v>1325</v>
      </c>
      <c r="CM283" t="s">
        <v>1325</v>
      </c>
      <c r="CN283" t="b">
        <f t="shared" si="276"/>
        <v>1</v>
      </c>
      <c r="CO283" t="str">
        <f t="shared" si="262"/>
        <v>R492</v>
      </c>
      <c r="CP283" t="str">
        <f t="shared" si="277"/>
        <v>R492</v>
      </c>
      <c r="CQ283" t="str">
        <f t="shared" si="263"/>
        <v>R120</v>
      </c>
      <c r="CR283" t="str">
        <f t="shared" si="264"/>
        <v>R120</v>
      </c>
      <c r="CS283" t="s">
        <v>649</v>
      </c>
      <c r="CT283" t="s">
        <v>649</v>
      </c>
      <c r="CU283" t="s">
        <v>649</v>
      </c>
      <c r="CV283" t="b">
        <f t="shared" si="278"/>
        <v>1</v>
      </c>
      <c r="DC283" t="str">
        <f t="shared" si="265"/>
        <v>G600</v>
      </c>
      <c r="DD283" t="b">
        <f t="shared" si="279"/>
        <v>0</v>
      </c>
      <c r="DE283" t="str">
        <f t="shared" si="280"/>
        <v>G600</v>
      </c>
      <c r="DF283" t="str">
        <f t="shared" si="266"/>
        <v>R120</v>
      </c>
      <c r="DG283" t="b">
        <f t="shared" si="281"/>
        <v>0</v>
      </c>
      <c r="DH283" t="str">
        <f t="shared" si="282"/>
        <v>R120</v>
      </c>
    </row>
    <row r="284" spans="2:112" ht="12" customHeight="1">
      <c r="B284" t="str">
        <f>TBIDry!H356</f>
        <v>G748</v>
      </c>
      <c r="C284" t="str">
        <f>TBIDry!I356</f>
        <v>R200</v>
      </c>
      <c r="D284" t="b">
        <f t="shared" si="229"/>
        <v>0</v>
      </c>
      <c r="E284" t="b">
        <f t="shared" si="230"/>
        <v>0</v>
      </c>
      <c r="G284" t="str">
        <f>TBIWet!H356</f>
        <v>G391</v>
      </c>
      <c r="H284" t="str">
        <f>TBIWet!I356</f>
        <v>R143</v>
      </c>
      <c r="I284" t="b">
        <f t="shared" si="231"/>
        <v>0</v>
      </c>
      <c r="J284" t="b">
        <f t="shared" si="232"/>
        <v>0</v>
      </c>
      <c r="L284" t="str">
        <f>'Both teabags AfterWet'!A282</f>
        <v>G728</v>
      </c>
      <c r="M284" t="str">
        <f>'Both teabags AfterWet'!A702</f>
        <v>R494</v>
      </c>
      <c r="N284" t="b">
        <f t="shared" si="233"/>
        <v>0</v>
      </c>
      <c r="O284" t="b">
        <f t="shared" si="283"/>
        <v>0</v>
      </c>
      <c r="Q284" s="388" t="b">
        <f t="shared" si="234"/>
        <v>0</v>
      </c>
      <c r="R284" s="388" t="b">
        <f t="shared" si="235"/>
        <v>0</v>
      </c>
      <c r="T284" t="str">
        <f>'Both teabags AfterDry'!A282</f>
        <v>G67</v>
      </c>
      <c r="U284" t="str">
        <f>'Both teabags AfterDry'!A617</f>
        <v>R781</v>
      </c>
      <c r="V284" t="b">
        <f t="shared" si="236"/>
        <v>0</v>
      </c>
      <c r="W284" t="b">
        <f t="shared" si="267"/>
        <v>0</v>
      </c>
      <c r="Y284" t="str">
        <f>'Green_rooibos initial weight'!A285</f>
        <v>G281</v>
      </c>
      <c r="Z284" t="str">
        <f>'Green_rooibos initial weight'!A1189</f>
        <v>R281</v>
      </c>
      <c r="AA284" t="b">
        <f t="shared" si="237"/>
        <v>0</v>
      </c>
      <c r="AB284" t="b">
        <f t="shared" si="238"/>
        <v>0</v>
      </c>
      <c r="AE284" t="str">
        <f>'WetLitterbags placem_collection'!O63</f>
        <v>G391</v>
      </c>
      <c r="AF284" t="str">
        <f>'WetLitterbags placem_collection'!Q63</f>
        <v>R143</v>
      </c>
      <c r="AG284" t="b">
        <f t="shared" si="239"/>
        <v>0</v>
      </c>
      <c r="AH284" t="b">
        <f t="shared" si="240"/>
        <v>0</v>
      </c>
      <c r="AJ284" t="b">
        <f t="shared" si="241"/>
        <v>0</v>
      </c>
      <c r="AK284" t="b">
        <f t="shared" si="242"/>
        <v>0</v>
      </c>
      <c r="AM284" t="str">
        <f>IF(ISBLANK('Dry_Litterbag Placem_Collection'!L63),"","G"&amp;""&amp;'Dry_Litterbag Placem_Collection'!L63)</f>
        <v>G748</v>
      </c>
      <c r="AN284" t="str">
        <f>IF(ISBLANK('Dry_Litterbag Placem_Collection'!M63),"","R"&amp;""&amp;'Dry_Litterbag Placem_Collection'!M63)</f>
        <v>R200</v>
      </c>
      <c r="AO284" t="b">
        <f t="shared" si="243"/>
        <v>0</v>
      </c>
      <c r="AP284" t="b">
        <f t="shared" si="244"/>
        <v>0</v>
      </c>
      <c r="AS284" t="str">
        <f>'Ashed teabags dry'!A282</f>
        <v>G67</v>
      </c>
      <c r="AT284" t="str">
        <f>'Ashed teabags dry'!A617</f>
        <v>R781</v>
      </c>
      <c r="AU284" t="b">
        <f t="shared" si="245"/>
        <v>0</v>
      </c>
      <c r="AV284" t="b">
        <f t="shared" si="268"/>
        <v>0</v>
      </c>
      <c r="AX284" s="388" t="b">
        <f t="shared" si="246"/>
        <v>0</v>
      </c>
      <c r="AY284" s="388" t="b">
        <f t="shared" si="247"/>
        <v>0</v>
      </c>
      <c r="BA284" t="str">
        <f>'Ashed teabags wet'!A282</f>
        <v>G728</v>
      </c>
      <c r="BB284" t="str">
        <f>'Ashed teabags wet'!A702</f>
        <v>R494</v>
      </c>
      <c r="BC284" t="b">
        <f t="shared" si="248"/>
        <v>0</v>
      </c>
      <c r="BD284" t="b">
        <f t="shared" si="228"/>
        <v>0</v>
      </c>
      <c r="BF284" t="str">
        <f t="shared" si="249"/>
        <v>G663</v>
      </c>
      <c r="BG284" t="str">
        <f t="shared" si="250"/>
        <v>G663</v>
      </c>
      <c r="BH284" t="str">
        <f t="shared" si="251"/>
        <v>G751</v>
      </c>
      <c r="BI284" t="str">
        <f t="shared" si="269"/>
        <v/>
      </c>
      <c r="BJ284" t="s">
        <v>1387</v>
      </c>
      <c r="BK284" t="s">
        <v>1387</v>
      </c>
      <c r="BL284" t="s">
        <v>1387</v>
      </c>
      <c r="BM284" t="b">
        <f t="shared" si="270"/>
        <v>1</v>
      </c>
      <c r="BN284" t="str">
        <f t="shared" si="252"/>
        <v>R780</v>
      </c>
      <c r="BO284" t="str">
        <f t="shared" si="253"/>
        <v>R780</v>
      </c>
      <c r="BP284" t="str">
        <f t="shared" si="254"/>
        <v>R297</v>
      </c>
      <c r="BQ284" t="str">
        <f t="shared" si="255"/>
        <v>R297</v>
      </c>
      <c r="BR284" t="s">
        <v>359</v>
      </c>
      <c r="BS284" t="s">
        <v>358</v>
      </c>
      <c r="BT284" t="s">
        <v>359</v>
      </c>
      <c r="BU284" t="b">
        <f t="shared" si="271"/>
        <v>1</v>
      </c>
      <c r="BZ284" t="str">
        <f t="shared" si="256"/>
        <v>G751</v>
      </c>
      <c r="CA284" t="b">
        <f t="shared" si="257"/>
        <v>1</v>
      </c>
      <c r="CB284" t="str">
        <f t="shared" si="272"/>
        <v/>
      </c>
      <c r="CC284" t="str">
        <f t="shared" si="258"/>
        <v>R297</v>
      </c>
      <c r="CD284" t="b">
        <f t="shared" si="273"/>
        <v>0</v>
      </c>
      <c r="CE284" t="str">
        <f t="shared" si="274"/>
        <v>R297</v>
      </c>
      <c r="CG284" t="str">
        <f t="shared" si="259"/>
        <v>G727</v>
      </c>
      <c r="CH284" t="str">
        <f t="shared" si="275"/>
        <v>G727</v>
      </c>
      <c r="CI284" t="str">
        <f t="shared" si="260"/>
        <v>G535</v>
      </c>
      <c r="CJ284" t="str">
        <f t="shared" si="261"/>
        <v>G535</v>
      </c>
      <c r="CK284" t="s">
        <v>1323</v>
      </c>
      <c r="CL284" t="s">
        <v>1323</v>
      </c>
      <c r="CM284" t="s">
        <v>1323</v>
      </c>
      <c r="CN284" t="b">
        <f t="shared" si="276"/>
        <v>1</v>
      </c>
      <c r="CO284" t="str">
        <f t="shared" si="262"/>
        <v>R493</v>
      </c>
      <c r="CP284" t="str">
        <f t="shared" si="277"/>
        <v>R493</v>
      </c>
      <c r="CQ284" t="str">
        <f t="shared" si="263"/>
        <v>R390</v>
      </c>
      <c r="CR284" t="str">
        <f t="shared" si="264"/>
        <v>R390</v>
      </c>
      <c r="CS284" t="s">
        <v>648</v>
      </c>
      <c r="CT284" t="s">
        <v>648</v>
      </c>
      <c r="CU284" t="s">
        <v>648</v>
      </c>
      <c r="CV284" t="b">
        <f t="shared" si="278"/>
        <v>1</v>
      </c>
      <c r="DC284" t="str">
        <f t="shared" si="265"/>
        <v>G535</v>
      </c>
      <c r="DD284" t="b">
        <f t="shared" si="279"/>
        <v>0</v>
      </c>
      <c r="DE284" t="str">
        <f t="shared" si="280"/>
        <v>G535</v>
      </c>
      <c r="DF284" t="str">
        <f t="shared" si="266"/>
        <v>R390</v>
      </c>
      <c r="DG284" t="b">
        <f t="shared" si="281"/>
        <v>0</v>
      </c>
      <c r="DH284" t="str">
        <f t="shared" si="282"/>
        <v>R390</v>
      </c>
    </row>
    <row r="285" spans="2:112" ht="12" customHeight="1">
      <c r="B285" t="str">
        <f>TBIDry!H357</f>
        <v/>
      </c>
      <c r="C285" t="str">
        <f>TBIDry!I357</f>
        <v/>
      </c>
      <c r="D285" t="b">
        <f t="shared" si="229"/>
        <v>1</v>
      </c>
      <c r="E285" t="b">
        <f t="shared" si="230"/>
        <v>1</v>
      </c>
      <c r="G285" t="str">
        <f>TBIWet!H357</f>
        <v>G445</v>
      </c>
      <c r="H285" t="str">
        <f>TBIWet!I357</f>
        <v>R448</v>
      </c>
      <c r="I285" t="b">
        <f t="shared" si="231"/>
        <v>0</v>
      </c>
      <c r="J285" t="b">
        <f t="shared" si="232"/>
        <v>0</v>
      </c>
      <c r="L285" t="str">
        <f>'Both teabags AfterWet'!A283</f>
        <v>G729</v>
      </c>
      <c r="M285" t="str">
        <f>'Both teabags AfterWet'!A703</f>
        <v>R495</v>
      </c>
      <c r="N285" t="b">
        <f t="shared" si="233"/>
        <v>0</v>
      </c>
      <c r="O285" t="b">
        <f t="shared" si="283"/>
        <v>0</v>
      </c>
      <c r="Q285" s="388" t="b">
        <f t="shared" si="234"/>
        <v>0</v>
      </c>
      <c r="R285" s="388" t="b">
        <f t="shared" si="235"/>
        <v>0</v>
      </c>
      <c r="T285" t="str">
        <f>'Both teabags AfterDry'!A283</f>
        <v>G671</v>
      </c>
      <c r="U285" t="str">
        <f>'Both teabags AfterDry'!A618</f>
        <v>R782</v>
      </c>
      <c r="V285" t="b">
        <f t="shared" si="236"/>
        <v>0</v>
      </c>
      <c r="W285" t="b">
        <f t="shared" si="267"/>
        <v>0</v>
      </c>
      <c r="Y285" t="str">
        <f>'Green_rooibos initial weight'!A286</f>
        <v>G282</v>
      </c>
      <c r="Z285" t="str">
        <f>'Green_rooibos initial weight'!A1190</f>
        <v>R282</v>
      </c>
      <c r="AA285" t="b">
        <f t="shared" si="237"/>
        <v>0</v>
      </c>
      <c r="AB285" t="b">
        <f t="shared" si="238"/>
        <v>0</v>
      </c>
      <c r="AE285" t="str">
        <f>'WetLitterbags placem_collection'!O64</f>
        <v>G445</v>
      </c>
      <c r="AF285" t="str">
        <f>'WetLitterbags placem_collection'!Q64</f>
        <v>R448</v>
      </c>
      <c r="AG285" t="b">
        <f t="shared" si="239"/>
        <v>0</v>
      </c>
      <c r="AH285" t="b">
        <f t="shared" si="240"/>
        <v>0</v>
      </c>
      <c r="AJ285" t="b">
        <f t="shared" si="241"/>
        <v>0</v>
      </c>
      <c r="AK285" t="b">
        <f t="shared" si="242"/>
        <v>0</v>
      </c>
      <c r="AM285" t="str">
        <f>IF(ISBLANK('Dry_Litterbag Placem_Collection'!L64),"","G"&amp;""&amp;'Dry_Litterbag Placem_Collection'!L64)</f>
        <v/>
      </c>
      <c r="AN285" t="str">
        <f>IF(ISBLANK('Dry_Litterbag Placem_Collection'!M64),"","R"&amp;""&amp;'Dry_Litterbag Placem_Collection'!M64)</f>
        <v/>
      </c>
      <c r="AO285" t="b">
        <f t="shared" si="243"/>
        <v>1</v>
      </c>
      <c r="AP285" t="b">
        <f t="shared" si="244"/>
        <v>1</v>
      </c>
      <c r="AS285" t="str">
        <f>'Ashed teabags dry'!A283</f>
        <v>G671</v>
      </c>
      <c r="AT285" t="str">
        <f>'Ashed teabags dry'!A618</f>
        <v>R782</v>
      </c>
      <c r="AU285" t="b">
        <f t="shared" si="245"/>
        <v>0</v>
      </c>
      <c r="AV285" t="b">
        <f t="shared" si="268"/>
        <v>0</v>
      </c>
      <c r="AX285" s="388" t="b">
        <f t="shared" si="246"/>
        <v>0</v>
      </c>
      <c r="AY285" s="388" t="b">
        <f t="shared" si="247"/>
        <v>0</v>
      </c>
      <c r="BA285" t="str">
        <f>'Ashed teabags wet'!A283</f>
        <v>G729</v>
      </c>
      <c r="BB285" t="str">
        <f>'Ashed teabags wet'!A703</f>
        <v>R495</v>
      </c>
      <c r="BC285" t="b">
        <f t="shared" si="248"/>
        <v>0</v>
      </c>
      <c r="BD285" t="b">
        <f t="shared" si="228"/>
        <v>0</v>
      </c>
      <c r="BF285" t="str">
        <f t="shared" si="249"/>
        <v>G67</v>
      </c>
      <c r="BG285" t="str">
        <f t="shared" si="250"/>
        <v>G67</v>
      </c>
      <c r="BH285" t="str">
        <f t="shared" si="251"/>
        <v>G748</v>
      </c>
      <c r="BI285" t="str">
        <f t="shared" si="269"/>
        <v/>
      </c>
      <c r="BJ285" t="s">
        <v>1983</v>
      </c>
      <c r="BK285" t="s">
        <v>1983</v>
      </c>
      <c r="BL285" t="s">
        <v>1983</v>
      </c>
      <c r="BM285" t="b">
        <f t="shared" si="270"/>
        <v>1</v>
      </c>
      <c r="BN285" t="str">
        <f t="shared" si="252"/>
        <v>R781</v>
      </c>
      <c r="BO285" t="str">
        <f t="shared" si="253"/>
        <v>R781</v>
      </c>
      <c r="BP285" t="str">
        <f t="shared" si="254"/>
        <v>R200</v>
      </c>
      <c r="BQ285" t="str">
        <f t="shared" si="255"/>
        <v/>
      </c>
      <c r="BR285" t="s">
        <v>358</v>
      </c>
      <c r="BS285" t="s">
        <v>357</v>
      </c>
      <c r="BT285" t="s">
        <v>358</v>
      </c>
      <c r="BU285" t="b">
        <f t="shared" si="271"/>
        <v>1</v>
      </c>
      <c r="BZ285" t="str">
        <f t="shared" si="256"/>
        <v>G748</v>
      </c>
      <c r="CA285" t="b">
        <f t="shared" si="257"/>
        <v>1</v>
      </c>
      <c r="CB285" t="str">
        <f t="shared" si="272"/>
        <v/>
      </c>
      <c r="CC285" t="str">
        <f t="shared" si="258"/>
        <v>R200</v>
      </c>
      <c r="CD285" t="b">
        <f t="shared" si="273"/>
        <v>1</v>
      </c>
      <c r="CE285" t="str">
        <f t="shared" si="274"/>
        <v/>
      </c>
      <c r="CG285" t="str">
        <f t="shared" si="259"/>
        <v>G728</v>
      </c>
      <c r="CH285" t="str">
        <f t="shared" si="275"/>
        <v>G728</v>
      </c>
      <c r="CI285" t="str">
        <f t="shared" si="260"/>
        <v>G391</v>
      </c>
      <c r="CJ285" t="str">
        <f t="shared" si="261"/>
        <v>G391</v>
      </c>
      <c r="CK285" t="s">
        <v>1322</v>
      </c>
      <c r="CL285" t="s">
        <v>1322</v>
      </c>
      <c r="CM285" t="s">
        <v>1322</v>
      </c>
      <c r="CN285" t="b">
        <f t="shared" si="276"/>
        <v>1</v>
      </c>
      <c r="CO285" t="str">
        <f t="shared" si="262"/>
        <v>R494</v>
      </c>
      <c r="CP285" t="str">
        <f t="shared" si="277"/>
        <v>R494</v>
      </c>
      <c r="CQ285" t="str">
        <f t="shared" si="263"/>
        <v>R143</v>
      </c>
      <c r="CR285" t="str">
        <f t="shared" si="264"/>
        <v>R143</v>
      </c>
      <c r="CS285" t="s">
        <v>647</v>
      </c>
      <c r="CT285" t="s">
        <v>647</v>
      </c>
      <c r="CU285" t="s">
        <v>647</v>
      </c>
      <c r="CV285" t="b">
        <f t="shared" si="278"/>
        <v>1</v>
      </c>
      <c r="DC285" t="str">
        <f t="shared" si="265"/>
        <v>G391</v>
      </c>
      <c r="DD285" t="b">
        <f t="shared" si="279"/>
        <v>0</v>
      </c>
      <c r="DE285" t="str">
        <f t="shared" si="280"/>
        <v>G391</v>
      </c>
      <c r="DF285" t="str">
        <f t="shared" si="266"/>
        <v>R143</v>
      </c>
      <c r="DG285" t="b">
        <f t="shared" si="281"/>
        <v>0</v>
      </c>
      <c r="DH285" t="str">
        <f t="shared" si="282"/>
        <v>R143</v>
      </c>
    </row>
    <row r="286" spans="2:112" ht="12" customHeight="1">
      <c r="B286" t="str">
        <f>TBIDry!H358</f>
        <v>G629</v>
      </c>
      <c r="C286" t="str">
        <f>TBIDry!I358</f>
        <v>R713</v>
      </c>
      <c r="D286" t="b">
        <f t="shared" si="229"/>
        <v>0</v>
      </c>
      <c r="E286" t="b">
        <f t="shared" si="230"/>
        <v>0</v>
      </c>
      <c r="G286" t="str">
        <f>TBIWet!H358</f>
        <v>G440</v>
      </c>
      <c r="H286" t="str">
        <f>TBIWet!I358</f>
        <v>R423</v>
      </c>
      <c r="I286" t="b">
        <f t="shared" si="231"/>
        <v>0</v>
      </c>
      <c r="J286" t="b">
        <f t="shared" si="232"/>
        <v>0</v>
      </c>
      <c r="L286" t="str">
        <f>'Both teabags AfterWet'!A284</f>
        <v>G730</v>
      </c>
      <c r="M286" t="str">
        <f>'Both teabags AfterWet'!A704</f>
        <v>R496</v>
      </c>
      <c r="N286" t="b">
        <f t="shared" si="233"/>
        <v>0</v>
      </c>
      <c r="O286" t="b">
        <f t="shared" si="283"/>
        <v>0</v>
      </c>
      <c r="Q286" s="388" t="b">
        <f t="shared" si="234"/>
        <v>0</v>
      </c>
      <c r="R286" s="388" t="b">
        <f t="shared" si="235"/>
        <v>0</v>
      </c>
      <c r="T286" t="str">
        <f>'Both teabags AfterDry'!A284</f>
        <v>G672</v>
      </c>
      <c r="U286" t="str">
        <f>'Both teabags AfterDry'!A619</f>
        <v>R783</v>
      </c>
      <c r="V286" t="b">
        <f t="shared" si="236"/>
        <v>0</v>
      </c>
      <c r="W286" t="b">
        <f t="shared" si="267"/>
        <v>0</v>
      </c>
      <c r="Y286" t="str">
        <f>'Green_rooibos initial weight'!A287</f>
        <v>G283</v>
      </c>
      <c r="Z286" t="str">
        <f>'Green_rooibos initial weight'!A1191</f>
        <v>R283</v>
      </c>
      <c r="AA286" t="b">
        <f t="shared" si="237"/>
        <v>0</v>
      </c>
      <c r="AB286" t="b">
        <f t="shared" si="238"/>
        <v>0</v>
      </c>
      <c r="AE286" t="str">
        <f>'WetLitterbags placem_collection'!O65</f>
        <v>G440</v>
      </c>
      <c r="AF286" t="str">
        <f>'WetLitterbags placem_collection'!Q65</f>
        <v>R423</v>
      </c>
      <c r="AG286" t="b">
        <f t="shared" si="239"/>
        <v>0</v>
      </c>
      <c r="AH286" t="b">
        <f t="shared" si="240"/>
        <v>0</v>
      </c>
      <c r="AJ286" t="b">
        <f t="shared" si="241"/>
        <v>0</v>
      </c>
      <c r="AK286" t="b">
        <f t="shared" si="242"/>
        <v>0</v>
      </c>
      <c r="AM286" t="str">
        <f>IF(ISBLANK('Dry_Litterbag Placem_Collection'!L65),"","G"&amp;""&amp;'Dry_Litterbag Placem_Collection'!L65)</f>
        <v>G629</v>
      </c>
      <c r="AN286" t="str">
        <f>IF(ISBLANK('Dry_Litterbag Placem_Collection'!M65),"","R"&amp;""&amp;'Dry_Litterbag Placem_Collection'!M65)</f>
        <v>R713</v>
      </c>
      <c r="AO286" t="b">
        <f t="shared" si="243"/>
        <v>0</v>
      </c>
      <c r="AP286" t="b">
        <f t="shared" si="244"/>
        <v>0</v>
      </c>
      <c r="AS286" t="str">
        <f>'Ashed teabags dry'!A284</f>
        <v>G672</v>
      </c>
      <c r="AT286" t="str">
        <f>'Ashed teabags dry'!A619</f>
        <v>R783</v>
      </c>
      <c r="AU286" t="b">
        <f t="shared" si="245"/>
        <v>0</v>
      </c>
      <c r="AV286" t="b">
        <f t="shared" si="268"/>
        <v>0</v>
      </c>
      <c r="AX286" s="388" t="b">
        <f t="shared" si="246"/>
        <v>0</v>
      </c>
      <c r="AY286" s="388" t="b">
        <f t="shared" si="247"/>
        <v>0</v>
      </c>
      <c r="BA286" t="str">
        <f>'Ashed teabags wet'!A284</f>
        <v>G730</v>
      </c>
      <c r="BB286" t="str">
        <f>'Ashed teabags wet'!A704</f>
        <v>R496</v>
      </c>
      <c r="BC286" t="b">
        <f t="shared" si="248"/>
        <v>0</v>
      </c>
      <c r="BD286" t="b">
        <f t="shared" si="228"/>
        <v>0</v>
      </c>
      <c r="BF286" t="str">
        <f t="shared" si="249"/>
        <v>G671</v>
      </c>
      <c r="BG286" t="str">
        <f t="shared" si="250"/>
        <v>G671</v>
      </c>
      <c r="BH286" t="str">
        <f t="shared" si="251"/>
        <v/>
      </c>
      <c r="BI286" t="str">
        <f t="shared" si="269"/>
        <v/>
      </c>
      <c r="BJ286" t="s">
        <v>1379</v>
      </c>
      <c r="BK286" t="s">
        <v>1379</v>
      </c>
      <c r="BL286" t="s">
        <v>1379</v>
      </c>
      <c r="BM286" t="b">
        <f t="shared" si="270"/>
        <v>1</v>
      </c>
      <c r="BN286" t="str">
        <f t="shared" si="252"/>
        <v>R782</v>
      </c>
      <c r="BO286" t="str">
        <f t="shared" si="253"/>
        <v>R782</v>
      </c>
      <c r="BP286" t="str">
        <f t="shared" si="254"/>
        <v/>
      </c>
      <c r="BQ286" t="str">
        <f t="shared" si="255"/>
        <v/>
      </c>
      <c r="BR286" t="s">
        <v>357</v>
      </c>
      <c r="BS286" t="s">
        <v>356</v>
      </c>
      <c r="BT286" t="s">
        <v>357</v>
      </c>
      <c r="BU286" t="b">
        <f t="shared" si="271"/>
        <v>1</v>
      </c>
      <c r="BZ286" t="str">
        <f t="shared" si="256"/>
        <v/>
      </c>
      <c r="CA286" t="b">
        <f t="shared" si="257"/>
        <v>0</v>
      </c>
      <c r="CB286" t="str">
        <f t="shared" si="272"/>
        <v/>
      </c>
      <c r="CC286" t="str">
        <f t="shared" si="258"/>
        <v/>
      </c>
      <c r="CD286" t="b">
        <f t="shared" si="273"/>
        <v>0</v>
      </c>
      <c r="CE286" t="str">
        <f t="shared" si="274"/>
        <v/>
      </c>
      <c r="CG286" t="str">
        <f t="shared" si="259"/>
        <v>G729</v>
      </c>
      <c r="CH286" t="str">
        <f t="shared" si="275"/>
        <v>G729</v>
      </c>
      <c r="CI286" t="str">
        <f t="shared" si="260"/>
        <v>G445</v>
      </c>
      <c r="CJ286" t="str">
        <f t="shared" si="261"/>
        <v>G445</v>
      </c>
      <c r="CK286" t="s">
        <v>1321</v>
      </c>
      <c r="CL286" t="s">
        <v>1321</v>
      </c>
      <c r="CM286" t="s">
        <v>1321</v>
      </c>
      <c r="CN286" t="b">
        <f t="shared" si="276"/>
        <v>1</v>
      </c>
      <c r="CO286" t="str">
        <f t="shared" si="262"/>
        <v>R495</v>
      </c>
      <c r="CP286" t="str">
        <f t="shared" si="277"/>
        <v>R495</v>
      </c>
      <c r="CQ286" t="str">
        <f t="shared" si="263"/>
        <v>R448</v>
      </c>
      <c r="CR286" t="str">
        <f t="shared" si="264"/>
        <v>R448</v>
      </c>
      <c r="CS286" t="s">
        <v>646</v>
      </c>
      <c r="CT286" t="s">
        <v>646</v>
      </c>
      <c r="CU286" t="s">
        <v>646</v>
      </c>
      <c r="CV286" t="b">
        <f t="shared" si="278"/>
        <v>1</v>
      </c>
      <c r="DC286" t="str">
        <f t="shared" si="265"/>
        <v>G445</v>
      </c>
      <c r="DD286" t="b">
        <f t="shared" si="279"/>
        <v>0</v>
      </c>
      <c r="DE286" t="str">
        <f t="shared" si="280"/>
        <v>G445</v>
      </c>
      <c r="DF286" t="str">
        <f t="shared" si="266"/>
        <v>R448</v>
      </c>
      <c r="DG286" t="b">
        <f t="shared" si="281"/>
        <v>0</v>
      </c>
      <c r="DH286" t="str">
        <f t="shared" si="282"/>
        <v>R448</v>
      </c>
    </row>
    <row r="287" spans="2:112" ht="12" customHeight="1">
      <c r="B287" t="str">
        <f>TBIDry!H359</f>
        <v>G84</v>
      </c>
      <c r="C287" t="str">
        <f>TBIDry!I359</f>
        <v>R237</v>
      </c>
      <c r="D287" t="b">
        <f t="shared" si="229"/>
        <v>0</v>
      </c>
      <c r="E287" t="b">
        <f t="shared" si="230"/>
        <v>0</v>
      </c>
      <c r="G287" t="str">
        <f>TBIWet!H359</f>
        <v>G673</v>
      </c>
      <c r="H287" t="str">
        <f>TBIWet!I359</f>
        <v>R550</v>
      </c>
      <c r="I287" t="b">
        <f t="shared" si="231"/>
        <v>0</v>
      </c>
      <c r="J287" t="b">
        <f t="shared" si="232"/>
        <v>0</v>
      </c>
      <c r="L287" t="str">
        <f>'Both teabags AfterWet'!A285</f>
        <v>G732</v>
      </c>
      <c r="M287" t="str">
        <f>'Both teabags AfterWet'!A705</f>
        <v>R497</v>
      </c>
      <c r="N287" t="b">
        <f t="shared" si="233"/>
        <v>0</v>
      </c>
      <c r="O287" t="b">
        <f t="shared" si="283"/>
        <v>0</v>
      </c>
      <c r="Q287" s="388" t="b">
        <f t="shared" si="234"/>
        <v>0</v>
      </c>
      <c r="R287" s="388" t="b">
        <f t="shared" si="235"/>
        <v>0</v>
      </c>
      <c r="T287" t="str">
        <f>'Both teabags AfterDry'!A285</f>
        <v>G68</v>
      </c>
      <c r="U287" t="str">
        <f>'Both teabags AfterDry'!A620</f>
        <v>R784</v>
      </c>
      <c r="V287" t="b">
        <f t="shared" si="236"/>
        <v>0</v>
      </c>
      <c r="W287" t="b">
        <f t="shared" si="267"/>
        <v>0</v>
      </c>
      <c r="Y287" t="str">
        <f>'Green_rooibos initial weight'!A288</f>
        <v>G284</v>
      </c>
      <c r="Z287" t="str">
        <f>'Green_rooibos initial weight'!A1192</f>
        <v>R284</v>
      </c>
      <c r="AA287" t="b">
        <f t="shared" si="237"/>
        <v>0</v>
      </c>
      <c r="AB287" t="b">
        <f t="shared" si="238"/>
        <v>0</v>
      </c>
      <c r="AE287" t="str">
        <f>'WetLitterbags placem_collection'!O66</f>
        <v>G673</v>
      </c>
      <c r="AF287" t="str">
        <f>'WetLitterbags placem_collection'!Q66</f>
        <v>R550</v>
      </c>
      <c r="AG287" t="b">
        <f t="shared" si="239"/>
        <v>0</v>
      </c>
      <c r="AH287" t="b">
        <f t="shared" si="240"/>
        <v>0</v>
      </c>
      <c r="AJ287" t="b">
        <f t="shared" si="241"/>
        <v>0</v>
      </c>
      <c r="AK287" t="b">
        <f t="shared" si="242"/>
        <v>0</v>
      </c>
      <c r="AM287" t="str">
        <f>IF(ISBLANK('Dry_Litterbag Placem_Collection'!L66),"","G"&amp;""&amp;'Dry_Litterbag Placem_Collection'!L66)</f>
        <v>G84</v>
      </c>
      <c r="AN287" t="str">
        <f>IF(ISBLANK('Dry_Litterbag Placem_Collection'!M66),"","R"&amp;""&amp;'Dry_Litterbag Placem_Collection'!M66)</f>
        <v>R237</v>
      </c>
      <c r="AO287" t="b">
        <f t="shared" si="243"/>
        <v>0</v>
      </c>
      <c r="AP287" t="b">
        <f t="shared" si="244"/>
        <v>0</v>
      </c>
      <c r="AS287" t="str">
        <f>'Ashed teabags dry'!A285</f>
        <v>G68</v>
      </c>
      <c r="AT287" t="str">
        <f>'Ashed teabags dry'!A620</f>
        <v>R784</v>
      </c>
      <c r="AU287" t="b">
        <f t="shared" si="245"/>
        <v>0</v>
      </c>
      <c r="AV287" t="b">
        <f t="shared" si="268"/>
        <v>0</v>
      </c>
      <c r="AX287" s="388" t="b">
        <f t="shared" si="246"/>
        <v>0</v>
      </c>
      <c r="AY287" s="388" t="b">
        <f t="shared" si="247"/>
        <v>0</v>
      </c>
      <c r="BA287" t="str">
        <f>'Ashed teabags wet'!A285</f>
        <v>G732</v>
      </c>
      <c r="BB287" t="str">
        <f>'Ashed teabags wet'!A705</f>
        <v>R497</v>
      </c>
      <c r="BC287" t="b">
        <f t="shared" si="248"/>
        <v>0</v>
      </c>
      <c r="BD287" t="b">
        <f t="shared" si="228"/>
        <v>0</v>
      </c>
      <c r="BF287" t="str">
        <f t="shared" si="249"/>
        <v>G672</v>
      </c>
      <c r="BG287" t="str">
        <f t="shared" si="250"/>
        <v>G672</v>
      </c>
      <c r="BH287" t="str">
        <f t="shared" si="251"/>
        <v>G629</v>
      </c>
      <c r="BI287" t="str">
        <f t="shared" si="269"/>
        <v>G629</v>
      </c>
      <c r="BJ287" t="s">
        <v>1378</v>
      </c>
      <c r="BK287" t="s">
        <v>1378</v>
      </c>
      <c r="BL287" t="s">
        <v>1378</v>
      </c>
      <c r="BM287" t="b">
        <f t="shared" si="270"/>
        <v>1</v>
      </c>
      <c r="BN287" t="str">
        <f t="shared" si="252"/>
        <v>R783</v>
      </c>
      <c r="BO287" t="str">
        <f t="shared" si="253"/>
        <v>R783</v>
      </c>
      <c r="BP287" t="str">
        <f t="shared" si="254"/>
        <v>R713</v>
      </c>
      <c r="BQ287" t="str">
        <f t="shared" si="255"/>
        <v>R713</v>
      </c>
      <c r="BR287" t="s">
        <v>356</v>
      </c>
      <c r="BS287" t="s">
        <v>355</v>
      </c>
      <c r="BT287" t="s">
        <v>356</v>
      </c>
      <c r="BU287" t="b">
        <f t="shared" si="271"/>
        <v>1</v>
      </c>
      <c r="BZ287" t="str">
        <f t="shared" si="256"/>
        <v>G629</v>
      </c>
      <c r="CA287" t="b">
        <f t="shared" si="257"/>
        <v>0</v>
      </c>
      <c r="CB287" t="str">
        <f t="shared" si="272"/>
        <v>G629</v>
      </c>
      <c r="CC287" t="str">
        <f t="shared" si="258"/>
        <v>R713</v>
      </c>
      <c r="CD287" t="b">
        <f t="shared" si="273"/>
        <v>0</v>
      </c>
      <c r="CE287" t="str">
        <f t="shared" si="274"/>
        <v>R713</v>
      </c>
      <c r="CG287" t="str">
        <f t="shared" si="259"/>
        <v>G730</v>
      </c>
      <c r="CH287" t="str">
        <f t="shared" si="275"/>
        <v>G730</v>
      </c>
      <c r="CI287" t="str">
        <f t="shared" si="260"/>
        <v>G440</v>
      </c>
      <c r="CJ287" t="str">
        <f t="shared" si="261"/>
        <v>G440</v>
      </c>
      <c r="CK287" t="s">
        <v>1320</v>
      </c>
      <c r="CL287" t="s">
        <v>1320</v>
      </c>
      <c r="CM287" t="s">
        <v>1320</v>
      </c>
      <c r="CN287" t="b">
        <f t="shared" si="276"/>
        <v>1</v>
      </c>
      <c r="CO287" t="str">
        <f t="shared" si="262"/>
        <v>R496</v>
      </c>
      <c r="CP287" t="str">
        <f t="shared" si="277"/>
        <v>R496</v>
      </c>
      <c r="CQ287" t="str">
        <f t="shared" si="263"/>
        <v>R423</v>
      </c>
      <c r="CR287" t="str">
        <f t="shared" si="264"/>
        <v>R423</v>
      </c>
      <c r="CS287" t="s">
        <v>645</v>
      </c>
      <c r="CT287" t="s">
        <v>645</v>
      </c>
      <c r="CU287" t="s">
        <v>645</v>
      </c>
      <c r="CV287" t="b">
        <f t="shared" si="278"/>
        <v>1</v>
      </c>
      <c r="DC287" t="str">
        <f t="shared" si="265"/>
        <v>G440</v>
      </c>
      <c r="DD287" t="b">
        <f t="shared" si="279"/>
        <v>0</v>
      </c>
      <c r="DE287" t="str">
        <f t="shared" si="280"/>
        <v>G440</v>
      </c>
      <c r="DF287" t="str">
        <f t="shared" si="266"/>
        <v>R423</v>
      </c>
      <c r="DG287" t="b">
        <f t="shared" si="281"/>
        <v>0</v>
      </c>
      <c r="DH287" t="str">
        <f t="shared" si="282"/>
        <v>R423</v>
      </c>
    </row>
    <row r="288" spans="2:112" ht="12" customHeight="1">
      <c r="B288" t="str">
        <f>TBIDry!H360</f>
        <v>G586</v>
      </c>
      <c r="C288" t="str">
        <f>TBIDry!I360</f>
        <v>R654</v>
      </c>
      <c r="D288" t="b">
        <f t="shared" si="229"/>
        <v>0</v>
      </c>
      <c r="E288" t="b">
        <f t="shared" si="230"/>
        <v>0</v>
      </c>
      <c r="G288" t="str">
        <f>TBIWet!H360</f>
        <v>G700</v>
      </c>
      <c r="H288" t="str">
        <f>TBIWet!I360</f>
        <v>R333</v>
      </c>
      <c r="I288" t="b">
        <f t="shared" si="231"/>
        <v>0</v>
      </c>
      <c r="J288" t="b">
        <f t="shared" si="232"/>
        <v>0</v>
      </c>
      <c r="L288" t="str">
        <f>'Both teabags AfterWet'!A286</f>
        <v>G733</v>
      </c>
      <c r="M288" t="str">
        <f>'Both teabags AfterWet'!A706</f>
        <v>R5</v>
      </c>
      <c r="N288" t="b">
        <f t="shared" si="233"/>
        <v>0</v>
      </c>
      <c r="O288" t="b">
        <f t="shared" si="283"/>
        <v>0</v>
      </c>
      <c r="Q288" s="388" t="b">
        <f t="shared" si="234"/>
        <v>0</v>
      </c>
      <c r="R288" s="388" t="b">
        <f t="shared" si="235"/>
        <v>0</v>
      </c>
      <c r="T288" t="str">
        <f>'Both teabags AfterDry'!A286</f>
        <v>G7</v>
      </c>
      <c r="U288" t="str">
        <f>'Both teabags AfterDry'!A621</f>
        <v>R785</v>
      </c>
      <c r="V288" t="b">
        <f t="shared" si="236"/>
        <v>0</v>
      </c>
      <c r="W288" t="b">
        <f t="shared" si="267"/>
        <v>0</v>
      </c>
      <c r="Y288" t="str">
        <f>'Green_rooibos initial weight'!A289</f>
        <v>G285</v>
      </c>
      <c r="Z288" t="str">
        <f>'Green_rooibos initial weight'!A1193</f>
        <v>R285</v>
      </c>
      <c r="AA288" t="b">
        <f t="shared" si="237"/>
        <v>0</v>
      </c>
      <c r="AB288" t="b">
        <f t="shared" si="238"/>
        <v>0</v>
      </c>
      <c r="AE288" t="str">
        <f>'WetLitterbags placem_collection'!O67</f>
        <v>G700</v>
      </c>
      <c r="AF288" t="str">
        <f>'WetLitterbags placem_collection'!Q67</f>
        <v>R333</v>
      </c>
      <c r="AG288" t="b">
        <f t="shared" si="239"/>
        <v>0</v>
      </c>
      <c r="AH288" t="b">
        <f t="shared" si="240"/>
        <v>0</v>
      </c>
      <c r="AJ288" t="b">
        <f t="shared" si="241"/>
        <v>0</v>
      </c>
      <c r="AK288" t="b">
        <f t="shared" si="242"/>
        <v>0</v>
      </c>
      <c r="AM288" t="str">
        <f>IF(ISBLANK('Dry_Litterbag Placem_Collection'!L67),"","G"&amp;""&amp;'Dry_Litterbag Placem_Collection'!L67)</f>
        <v>G586</v>
      </c>
      <c r="AN288" t="str">
        <f>IF(ISBLANK('Dry_Litterbag Placem_Collection'!M67),"","R"&amp;""&amp;'Dry_Litterbag Placem_Collection'!M67)</f>
        <v>R654</v>
      </c>
      <c r="AO288" t="b">
        <f t="shared" si="243"/>
        <v>0</v>
      </c>
      <c r="AP288" t="b">
        <f t="shared" si="244"/>
        <v>0</v>
      </c>
      <c r="AS288" t="str">
        <f>'Ashed teabags dry'!A286</f>
        <v>G7</v>
      </c>
      <c r="AT288" t="str">
        <f>'Ashed teabags dry'!A621</f>
        <v>R785</v>
      </c>
      <c r="AU288" t="b">
        <f t="shared" si="245"/>
        <v>0</v>
      </c>
      <c r="AV288" t="b">
        <f t="shared" si="268"/>
        <v>0</v>
      </c>
      <c r="AX288" s="388" t="b">
        <f t="shared" si="246"/>
        <v>0</v>
      </c>
      <c r="AY288" s="388" t="b">
        <f t="shared" si="247"/>
        <v>0</v>
      </c>
      <c r="BA288" t="str">
        <f>'Ashed teabags wet'!A286</f>
        <v>G733</v>
      </c>
      <c r="BB288" t="str">
        <f>'Ashed teabags wet'!A706</f>
        <v>R5</v>
      </c>
      <c r="BC288" t="b">
        <f t="shared" si="248"/>
        <v>0</v>
      </c>
      <c r="BD288" t="b">
        <f t="shared" si="228"/>
        <v>0</v>
      </c>
      <c r="BF288" t="str">
        <f t="shared" si="249"/>
        <v>G68</v>
      </c>
      <c r="BG288" t="str">
        <f t="shared" si="250"/>
        <v>G68</v>
      </c>
      <c r="BH288" t="str">
        <f t="shared" si="251"/>
        <v>G84</v>
      </c>
      <c r="BI288" t="str">
        <f t="shared" si="269"/>
        <v>G84</v>
      </c>
      <c r="BJ288" t="s">
        <v>1982</v>
      </c>
      <c r="BK288" t="s">
        <v>1982</v>
      </c>
      <c r="BL288" t="s">
        <v>1982</v>
      </c>
      <c r="BM288" t="b">
        <f t="shared" si="270"/>
        <v>1</v>
      </c>
      <c r="BN288" t="str">
        <f t="shared" si="252"/>
        <v>R784</v>
      </c>
      <c r="BO288" t="str">
        <f t="shared" si="253"/>
        <v>R784</v>
      </c>
      <c r="BP288" t="str">
        <f t="shared" si="254"/>
        <v>R237</v>
      </c>
      <c r="BQ288" t="str">
        <f t="shared" si="255"/>
        <v>R237</v>
      </c>
      <c r="BR288" t="s">
        <v>355</v>
      </c>
      <c r="BS288" t="s">
        <v>354</v>
      </c>
      <c r="BT288" t="s">
        <v>355</v>
      </c>
      <c r="BU288" t="b">
        <f t="shared" si="271"/>
        <v>1</v>
      </c>
      <c r="BZ288" t="str">
        <f t="shared" si="256"/>
        <v>G84</v>
      </c>
      <c r="CA288" t="b">
        <f t="shared" si="257"/>
        <v>0</v>
      </c>
      <c r="CB288" t="str">
        <f t="shared" si="272"/>
        <v>G84</v>
      </c>
      <c r="CC288" t="str">
        <f t="shared" si="258"/>
        <v>R237</v>
      </c>
      <c r="CD288" t="b">
        <f t="shared" si="273"/>
        <v>0</v>
      </c>
      <c r="CE288" t="str">
        <f t="shared" si="274"/>
        <v>R237</v>
      </c>
      <c r="CG288" t="str">
        <f t="shared" si="259"/>
        <v>G732</v>
      </c>
      <c r="CH288" t="str">
        <f t="shared" si="275"/>
        <v>G732</v>
      </c>
      <c r="CI288" t="str">
        <f t="shared" si="260"/>
        <v>G673</v>
      </c>
      <c r="CJ288" t="str">
        <f t="shared" si="261"/>
        <v>G673</v>
      </c>
      <c r="CK288" t="s">
        <v>1318</v>
      </c>
      <c r="CL288" t="s">
        <v>1318</v>
      </c>
      <c r="CM288" t="s">
        <v>1318</v>
      </c>
      <c r="CN288" t="b">
        <f t="shared" si="276"/>
        <v>1</v>
      </c>
      <c r="CO288" t="str">
        <f t="shared" si="262"/>
        <v>R497</v>
      </c>
      <c r="CP288" t="str">
        <f t="shared" si="277"/>
        <v>R497</v>
      </c>
      <c r="CQ288" t="str">
        <f t="shared" si="263"/>
        <v>R550</v>
      </c>
      <c r="CR288" t="str">
        <f t="shared" si="264"/>
        <v>R550</v>
      </c>
      <c r="CS288" t="s">
        <v>644</v>
      </c>
      <c r="CT288" t="s">
        <v>644</v>
      </c>
      <c r="CU288" t="s">
        <v>644</v>
      </c>
      <c r="CV288" t="b">
        <f t="shared" si="278"/>
        <v>1</v>
      </c>
      <c r="DC288" t="str">
        <f t="shared" si="265"/>
        <v>G673</v>
      </c>
      <c r="DD288" t="b">
        <f t="shared" si="279"/>
        <v>0</v>
      </c>
      <c r="DE288" t="str">
        <f t="shared" si="280"/>
        <v>G673</v>
      </c>
      <c r="DF288" t="str">
        <f t="shared" si="266"/>
        <v>R550</v>
      </c>
      <c r="DG288" t="b">
        <f t="shared" si="281"/>
        <v>0</v>
      </c>
      <c r="DH288" t="str">
        <f t="shared" si="282"/>
        <v>R550</v>
      </c>
    </row>
    <row r="289" spans="2:112" ht="12" customHeight="1">
      <c r="B289" t="str">
        <f>TBIDry!H361</f>
        <v>G851</v>
      </c>
      <c r="C289" t="str">
        <f>TBIDry!I361</f>
        <v>R634</v>
      </c>
      <c r="D289" t="b">
        <f t="shared" si="229"/>
        <v>0</v>
      </c>
      <c r="E289" t="b">
        <f t="shared" si="230"/>
        <v>0</v>
      </c>
      <c r="G289" t="str">
        <f>TBIWet!H361</f>
        <v>G760</v>
      </c>
      <c r="H289" t="str">
        <f>TBIWet!I361</f>
        <v>R252</v>
      </c>
      <c r="I289" t="b">
        <f t="shared" si="231"/>
        <v>0</v>
      </c>
      <c r="J289" t="b">
        <f t="shared" si="232"/>
        <v>0</v>
      </c>
      <c r="L289" t="str">
        <f>'Both teabags AfterWet'!A287</f>
        <v>G736</v>
      </c>
      <c r="M289" t="str">
        <f>'Both teabags AfterWet'!A707</f>
        <v>R50</v>
      </c>
      <c r="N289" t="b">
        <f t="shared" si="233"/>
        <v>0</v>
      </c>
      <c r="O289" t="b">
        <f t="shared" si="283"/>
        <v>0</v>
      </c>
      <c r="Q289" s="388" t="b">
        <f t="shared" si="234"/>
        <v>0</v>
      </c>
      <c r="R289" s="388" t="b">
        <f t="shared" si="235"/>
        <v>0</v>
      </c>
      <c r="T289" t="str">
        <f>'Both teabags AfterDry'!A287</f>
        <v>G705</v>
      </c>
      <c r="U289" t="str">
        <f>'Both teabags AfterDry'!A622</f>
        <v>R786</v>
      </c>
      <c r="V289" t="b">
        <f t="shared" si="236"/>
        <v>0</v>
      </c>
      <c r="W289" t="b">
        <f t="shared" si="267"/>
        <v>0</v>
      </c>
      <c r="Y289" t="str">
        <f>'Green_rooibos initial weight'!A290</f>
        <v>G286</v>
      </c>
      <c r="Z289" t="str">
        <f>'Green_rooibos initial weight'!A1194</f>
        <v>R286</v>
      </c>
      <c r="AA289" t="b">
        <f t="shared" si="237"/>
        <v>0</v>
      </c>
      <c r="AB289" t="b">
        <f t="shared" si="238"/>
        <v>0</v>
      </c>
      <c r="AE289" t="str">
        <f>'WetLitterbags placem_collection'!O68</f>
        <v>G760</v>
      </c>
      <c r="AF289" t="str">
        <f>'WetLitterbags placem_collection'!Q68</f>
        <v>R252</v>
      </c>
      <c r="AG289" t="b">
        <f t="shared" si="239"/>
        <v>0</v>
      </c>
      <c r="AH289" t="b">
        <f t="shared" si="240"/>
        <v>0</v>
      </c>
      <c r="AJ289" t="b">
        <f t="shared" si="241"/>
        <v>0</v>
      </c>
      <c r="AK289" t="b">
        <f t="shared" si="242"/>
        <v>0</v>
      </c>
      <c r="AM289" t="str">
        <f>IF(ISBLANK('Dry_Litterbag Placem_Collection'!L68),"","G"&amp;""&amp;'Dry_Litterbag Placem_Collection'!L68)</f>
        <v>G851</v>
      </c>
      <c r="AN289" t="str">
        <f>IF(ISBLANK('Dry_Litterbag Placem_Collection'!M68),"","R"&amp;""&amp;'Dry_Litterbag Placem_Collection'!M68)</f>
        <v>R634</v>
      </c>
      <c r="AO289" t="b">
        <f t="shared" si="243"/>
        <v>0</v>
      </c>
      <c r="AP289" t="b">
        <f t="shared" si="244"/>
        <v>0</v>
      </c>
      <c r="AS289" t="str">
        <f>'Ashed teabags dry'!A287</f>
        <v>G705</v>
      </c>
      <c r="AT289" t="str">
        <f>'Ashed teabags dry'!A622</f>
        <v>R786</v>
      </c>
      <c r="AU289" t="b">
        <f t="shared" si="245"/>
        <v>0</v>
      </c>
      <c r="AV289" t="b">
        <f t="shared" si="268"/>
        <v>0</v>
      </c>
      <c r="AX289" s="388" t="b">
        <f t="shared" si="246"/>
        <v>0</v>
      </c>
      <c r="AY289" s="388" t="b">
        <f t="shared" si="247"/>
        <v>0</v>
      </c>
      <c r="BA289" t="str">
        <f>'Ashed teabags wet'!A287</f>
        <v>G736</v>
      </c>
      <c r="BB289" t="str">
        <f>'Ashed teabags wet'!A707</f>
        <v>R50</v>
      </c>
      <c r="BC289" t="b">
        <f t="shared" si="248"/>
        <v>0</v>
      </c>
      <c r="BD289" t="b">
        <f t="shared" si="228"/>
        <v>0</v>
      </c>
      <c r="BF289" t="str">
        <f t="shared" si="249"/>
        <v>G7</v>
      </c>
      <c r="BG289" t="str">
        <f t="shared" si="250"/>
        <v>G7</v>
      </c>
      <c r="BH289" t="str">
        <f t="shared" si="251"/>
        <v>G586</v>
      </c>
      <c r="BI289" t="str">
        <f t="shared" si="269"/>
        <v/>
      </c>
      <c r="BJ289" t="s">
        <v>2043</v>
      </c>
      <c r="BK289" t="s">
        <v>2043</v>
      </c>
      <c r="BL289" t="s">
        <v>2043</v>
      </c>
      <c r="BM289" t="b">
        <f t="shared" si="270"/>
        <v>1</v>
      </c>
      <c r="BN289" t="str">
        <f t="shared" si="252"/>
        <v>R785</v>
      </c>
      <c r="BO289" t="str">
        <f t="shared" si="253"/>
        <v>R785</v>
      </c>
      <c r="BP289" t="str">
        <f t="shared" si="254"/>
        <v>R654</v>
      </c>
      <c r="BQ289" t="str">
        <f t="shared" si="255"/>
        <v/>
      </c>
      <c r="BR289" t="s">
        <v>354</v>
      </c>
      <c r="BS289" t="s">
        <v>353</v>
      </c>
      <c r="BT289" t="s">
        <v>354</v>
      </c>
      <c r="BU289" t="b">
        <f t="shared" si="271"/>
        <v>1</v>
      </c>
      <c r="BZ289" t="str">
        <f t="shared" si="256"/>
        <v>G586</v>
      </c>
      <c r="CA289" t="b">
        <f t="shared" si="257"/>
        <v>1</v>
      </c>
      <c r="CB289" t="str">
        <f t="shared" si="272"/>
        <v/>
      </c>
      <c r="CC289" t="str">
        <f t="shared" si="258"/>
        <v>R654</v>
      </c>
      <c r="CD289" t="b">
        <f t="shared" si="273"/>
        <v>1</v>
      </c>
      <c r="CE289" t="str">
        <f t="shared" si="274"/>
        <v/>
      </c>
      <c r="CG289" t="str">
        <f t="shared" si="259"/>
        <v>G733</v>
      </c>
      <c r="CH289" t="str">
        <f t="shared" si="275"/>
        <v>G733</v>
      </c>
      <c r="CI289" t="str">
        <f t="shared" si="260"/>
        <v>G700</v>
      </c>
      <c r="CJ289" t="str">
        <f t="shared" si="261"/>
        <v>G700</v>
      </c>
      <c r="CK289" t="s">
        <v>1317</v>
      </c>
      <c r="CL289" t="s">
        <v>1317</v>
      </c>
      <c r="CM289" t="s">
        <v>1317</v>
      </c>
      <c r="CN289" t="b">
        <f t="shared" si="276"/>
        <v>1</v>
      </c>
      <c r="CO289" t="str">
        <f t="shared" si="262"/>
        <v>R5</v>
      </c>
      <c r="CP289" t="str">
        <f t="shared" si="277"/>
        <v>R5</v>
      </c>
      <c r="CQ289" t="str">
        <f t="shared" si="263"/>
        <v>R333</v>
      </c>
      <c r="CR289" t="str">
        <f t="shared" si="264"/>
        <v>R333</v>
      </c>
      <c r="CS289" t="s">
        <v>1136</v>
      </c>
      <c r="CT289" t="s">
        <v>1136</v>
      </c>
      <c r="CU289" t="s">
        <v>1136</v>
      </c>
      <c r="CV289" t="b">
        <f t="shared" si="278"/>
        <v>1</v>
      </c>
      <c r="DC289" t="str">
        <f t="shared" si="265"/>
        <v>G700</v>
      </c>
      <c r="DD289" t="b">
        <f t="shared" si="279"/>
        <v>0</v>
      </c>
      <c r="DE289" t="str">
        <f t="shared" si="280"/>
        <v>G700</v>
      </c>
      <c r="DF289" t="str">
        <f t="shared" si="266"/>
        <v>R333</v>
      </c>
      <c r="DG289" t="b">
        <f t="shared" si="281"/>
        <v>0</v>
      </c>
      <c r="DH289" t="str">
        <f t="shared" si="282"/>
        <v>R333</v>
      </c>
    </row>
    <row r="290" spans="2:112" ht="12" customHeight="1">
      <c r="B290" t="str">
        <f>TBIDry!H362</f>
        <v/>
      </c>
      <c r="C290" t="str">
        <f>TBIDry!I362</f>
        <v/>
      </c>
      <c r="D290" t="b">
        <f t="shared" si="229"/>
        <v>1</v>
      </c>
      <c r="E290" t="b">
        <f t="shared" si="230"/>
        <v>1</v>
      </c>
      <c r="G290" t="str">
        <f>TBIWet!H362</f>
        <v>G660</v>
      </c>
      <c r="H290" t="str">
        <f>TBIWet!I362</f>
        <v>R44</v>
      </c>
      <c r="I290" t="b">
        <f t="shared" si="231"/>
        <v>0</v>
      </c>
      <c r="J290" t="b">
        <f t="shared" si="232"/>
        <v>0</v>
      </c>
      <c r="L290" t="str">
        <f>'Both teabags AfterWet'!A288</f>
        <v>G737</v>
      </c>
      <c r="M290" t="str">
        <f>'Both teabags AfterWet'!A708</f>
        <v>R500</v>
      </c>
      <c r="N290" t="b">
        <f t="shared" si="233"/>
        <v>0</v>
      </c>
      <c r="O290" t="b">
        <f t="shared" si="283"/>
        <v>0</v>
      </c>
      <c r="Q290" s="388" t="b">
        <f t="shared" si="234"/>
        <v>0</v>
      </c>
      <c r="R290" s="388" t="b">
        <f t="shared" si="235"/>
        <v>0</v>
      </c>
      <c r="T290" t="str">
        <f>'Both teabags AfterDry'!A288</f>
        <v>G714</v>
      </c>
      <c r="U290" t="str">
        <f>'Both teabags AfterDry'!A623</f>
        <v>R787</v>
      </c>
      <c r="V290" t="b">
        <f t="shared" si="236"/>
        <v>0</v>
      </c>
      <c r="W290" t="b">
        <f t="shared" si="267"/>
        <v>0</v>
      </c>
      <c r="Y290" t="str">
        <f>'Green_rooibos initial weight'!A291</f>
        <v>G287</v>
      </c>
      <c r="Z290" t="str">
        <f>'Green_rooibos initial weight'!A1195</f>
        <v>R287</v>
      </c>
      <c r="AA290" t="b">
        <f t="shared" si="237"/>
        <v>0</v>
      </c>
      <c r="AB290" t="b">
        <f t="shared" si="238"/>
        <v>0</v>
      </c>
      <c r="AE290" t="str">
        <f>'WetLitterbags placem_collection'!O69</f>
        <v>G660</v>
      </c>
      <c r="AF290" t="str">
        <f>'WetLitterbags placem_collection'!Q69</f>
        <v>R44</v>
      </c>
      <c r="AG290" t="b">
        <f t="shared" si="239"/>
        <v>0</v>
      </c>
      <c r="AH290" t="b">
        <f t="shared" si="240"/>
        <v>0</v>
      </c>
      <c r="AJ290" t="b">
        <f t="shared" si="241"/>
        <v>0</v>
      </c>
      <c r="AK290" t="b">
        <f t="shared" si="242"/>
        <v>0</v>
      </c>
      <c r="AM290" t="str">
        <f>IF(ISBLANK('Dry_Litterbag Placem_Collection'!L69),"","G"&amp;""&amp;'Dry_Litterbag Placem_Collection'!L69)</f>
        <v/>
      </c>
      <c r="AN290" t="str">
        <f>IF(ISBLANK('Dry_Litterbag Placem_Collection'!M69),"","R"&amp;""&amp;'Dry_Litterbag Placem_Collection'!M69)</f>
        <v/>
      </c>
      <c r="AO290" t="b">
        <f t="shared" si="243"/>
        <v>1</v>
      </c>
      <c r="AP290" t="b">
        <f t="shared" si="244"/>
        <v>1</v>
      </c>
      <c r="AS290" t="str">
        <f>'Ashed teabags dry'!A288</f>
        <v>G714</v>
      </c>
      <c r="AT290" t="str">
        <f>'Ashed teabags dry'!A623</f>
        <v>R787</v>
      </c>
      <c r="AU290" t="b">
        <f t="shared" si="245"/>
        <v>0</v>
      </c>
      <c r="AV290" t="b">
        <f t="shared" si="268"/>
        <v>0</v>
      </c>
      <c r="AX290" s="388" t="b">
        <f t="shared" si="246"/>
        <v>0</v>
      </c>
      <c r="AY290" s="388" t="b">
        <f t="shared" si="247"/>
        <v>0</v>
      </c>
      <c r="BA290" t="str">
        <f>'Ashed teabags wet'!A288</f>
        <v>G737</v>
      </c>
      <c r="BB290" t="str">
        <f>'Ashed teabags wet'!A708</f>
        <v>R500</v>
      </c>
      <c r="BC290" t="b">
        <f t="shared" si="248"/>
        <v>0</v>
      </c>
      <c r="BD290" t="b">
        <f t="shared" si="228"/>
        <v>0</v>
      </c>
      <c r="BF290" t="str">
        <f t="shared" si="249"/>
        <v>G705</v>
      </c>
      <c r="BG290" t="str">
        <f t="shared" si="250"/>
        <v>G705</v>
      </c>
      <c r="BH290" t="str">
        <f t="shared" si="251"/>
        <v>G851</v>
      </c>
      <c r="BI290" t="str">
        <f t="shared" si="269"/>
        <v>G851</v>
      </c>
      <c r="BJ290" t="s">
        <v>1345</v>
      </c>
      <c r="BK290" t="s">
        <v>1345</v>
      </c>
      <c r="BL290" t="s">
        <v>1345</v>
      </c>
      <c r="BM290" t="b">
        <f t="shared" si="270"/>
        <v>1</v>
      </c>
      <c r="BN290" t="str">
        <f t="shared" si="252"/>
        <v>R786</v>
      </c>
      <c r="BO290" t="str">
        <f t="shared" si="253"/>
        <v>R786</v>
      </c>
      <c r="BP290" t="str">
        <f t="shared" si="254"/>
        <v>R634</v>
      </c>
      <c r="BQ290" t="str">
        <f t="shared" si="255"/>
        <v>R634</v>
      </c>
      <c r="BR290" t="s">
        <v>353</v>
      </c>
      <c r="BS290" t="s">
        <v>352</v>
      </c>
      <c r="BT290" t="s">
        <v>353</v>
      </c>
      <c r="BU290" t="b">
        <f t="shared" si="271"/>
        <v>1</v>
      </c>
      <c r="BZ290" t="str">
        <f t="shared" si="256"/>
        <v>G851</v>
      </c>
      <c r="CA290" t="b">
        <f t="shared" si="257"/>
        <v>0</v>
      </c>
      <c r="CB290" t="str">
        <f t="shared" si="272"/>
        <v>G851</v>
      </c>
      <c r="CC290" t="str">
        <f t="shared" si="258"/>
        <v>R634</v>
      </c>
      <c r="CD290" t="b">
        <f t="shared" si="273"/>
        <v>0</v>
      </c>
      <c r="CE290" t="str">
        <f t="shared" si="274"/>
        <v>R634</v>
      </c>
      <c r="CG290" t="str">
        <f t="shared" si="259"/>
        <v>G736</v>
      </c>
      <c r="CH290" t="str">
        <f t="shared" si="275"/>
        <v>G736</v>
      </c>
      <c r="CI290" t="str">
        <f t="shared" si="260"/>
        <v>G760</v>
      </c>
      <c r="CJ290" t="str">
        <f t="shared" si="261"/>
        <v>G760</v>
      </c>
      <c r="CK290" t="s">
        <v>1314</v>
      </c>
      <c r="CL290" t="s">
        <v>1314</v>
      </c>
      <c r="CM290" t="s">
        <v>1314</v>
      </c>
      <c r="CN290" t="b">
        <f t="shared" si="276"/>
        <v>1</v>
      </c>
      <c r="CO290" t="str">
        <f t="shared" si="262"/>
        <v>R50</v>
      </c>
      <c r="CP290" t="str">
        <f t="shared" si="277"/>
        <v>R50</v>
      </c>
      <c r="CQ290" t="str">
        <f t="shared" si="263"/>
        <v>R252</v>
      </c>
      <c r="CR290" t="str">
        <f t="shared" si="264"/>
        <v>R252</v>
      </c>
      <c r="CS290" t="s">
        <v>1091</v>
      </c>
      <c r="CT290" t="s">
        <v>1091</v>
      </c>
      <c r="CU290" t="s">
        <v>1091</v>
      </c>
      <c r="CV290" t="b">
        <f t="shared" si="278"/>
        <v>1</v>
      </c>
      <c r="DC290" t="str">
        <f t="shared" si="265"/>
        <v>G760</v>
      </c>
      <c r="DD290" t="b">
        <f t="shared" si="279"/>
        <v>0</v>
      </c>
      <c r="DE290" t="str">
        <f t="shared" si="280"/>
        <v>G760</v>
      </c>
      <c r="DF290" t="str">
        <f t="shared" si="266"/>
        <v>R252</v>
      </c>
      <c r="DG290" t="b">
        <f t="shared" si="281"/>
        <v>0</v>
      </c>
      <c r="DH290" t="str">
        <f t="shared" si="282"/>
        <v>R252</v>
      </c>
    </row>
    <row r="291" spans="2:112" ht="12" customHeight="1">
      <c r="B291" t="str">
        <f>TBIDry!H363</f>
        <v>G467</v>
      </c>
      <c r="C291" t="str">
        <f>TBIDry!I363</f>
        <v>R201</v>
      </c>
      <c r="D291" t="b">
        <f t="shared" si="229"/>
        <v>0</v>
      </c>
      <c r="E291" t="b">
        <f t="shared" si="230"/>
        <v>0</v>
      </c>
      <c r="G291" t="str">
        <f>TBIWet!H363</f>
        <v>G477</v>
      </c>
      <c r="H291" t="str">
        <f>TBIWet!I363</f>
        <v>R9</v>
      </c>
      <c r="I291" t="b">
        <f t="shared" si="231"/>
        <v>0</v>
      </c>
      <c r="J291" t="b">
        <f t="shared" si="232"/>
        <v>0</v>
      </c>
      <c r="L291" t="str">
        <f>'Both teabags AfterWet'!A289</f>
        <v>G738</v>
      </c>
      <c r="M291" t="str">
        <f>'Both teabags AfterWet'!A709</f>
        <v>R501</v>
      </c>
      <c r="N291" t="b">
        <f t="shared" si="233"/>
        <v>0</v>
      </c>
      <c r="O291" t="b">
        <f t="shared" si="283"/>
        <v>0</v>
      </c>
      <c r="Q291" s="388" t="b">
        <f t="shared" si="234"/>
        <v>0</v>
      </c>
      <c r="R291" s="388" t="b">
        <f t="shared" si="235"/>
        <v>0</v>
      </c>
      <c r="T291" t="str">
        <f>'Both teabags AfterDry'!A289</f>
        <v>G717</v>
      </c>
      <c r="U291" t="str">
        <f>'Both teabags AfterDry'!A624</f>
        <v>R788</v>
      </c>
      <c r="V291" t="b">
        <f t="shared" si="236"/>
        <v>0</v>
      </c>
      <c r="W291" t="b">
        <f t="shared" si="267"/>
        <v>0</v>
      </c>
      <c r="Y291" t="str">
        <f>'Green_rooibos initial weight'!A292</f>
        <v>G288</v>
      </c>
      <c r="Z291" t="str">
        <f>'Green_rooibos initial weight'!A1196</f>
        <v>R288</v>
      </c>
      <c r="AA291" t="b">
        <f t="shared" si="237"/>
        <v>0</v>
      </c>
      <c r="AB291" t="b">
        <f t="shared" si="238"/>
        <v>0</v>
      </c>
      <c r="AE291" t="str">
        <f>'WetLitterbags placem_collection'!O70</f>
        <v>G477</v>
      </c>
      <c r="AF291" t="str">
        <f>'WetLitterbags placem_collection'!Q70</f>
        <v>R9</v>
      </c>
      <c r="AG291" t="b">
        <f t="shared" si="239"/>
        <v>0</v>
      </c>
      <c r="AH291" t="b">
        <f t="shared" si="240"/>
        <v>0</v>
      </c>
      <c r="AJ291" t="b">
        <f t="shared" si="241"/>
        <v>0</v>
      </c>
      <c r="AK291" t="b">
        <f t="shared" si="242"/>
        <v>0</v>
      </c>
      <c r="AM291" t="str">
        <f>IF(ISBLANK('Dry_Litterbag Placem_Collection'!L70),"","G"&amp;""&amp;'Dry_Litterbag Placem_Collection'!L70)</f>
        <v>G467</v>
      </c>
      <c r="AN291" t="str">
        <f>IF(ISBLANK('Dry_Litterbag Placem_Collection'!M70),"","R"&amp;""&amp;'Dry_Litterbag Placem_Collection'!M70)</f>
        <v>R201</v>
      </c>
      <c r="AO291" t="b">
        <f t="shared" si="243"/>
        <v>0</v>
      </c>
      <c r="AP291" t="b">
        <f t="shared" si="244"/>
        <v>0</v>
      </c>
      <c r="AS291" t="str">
        <f>'Ashed teabags dry'!A289</f>
        <v>G717</v>
      </c>
      <c r="AT291" t="str">
        <f>'Ashed teabags dry'!A624</f>
        <v>R788</v>
      </c>
      <c r="AU291" t="b">
        <f t="shared" si="245"/>
        <v>0</v>
      </c>
      <c r="AV291" t="b">
        <f t="shared" si="268"/>
        <v>0</v>
      </c>
      <c r="AX291" s="388" t="b">
        <f t="shared" si="246"/>
        <v>0</v>
      </c>
      <c r="AY291" s="388" t="b">
        <f t="shared" si="247"/>
        <v>0</v>
      </c>
      <c r="BA291" t="str">
        <f>'Ashed teabags wet'!A289</f>
        <v>G738</v>
      </c>
      <c r="BB291" t="str">
        <f>'Ashed teabags wet'!A709</f>
        <v>R501</v>
      </c>
      <c r="BC291" t="b">
        <f t="shared" si="248"/>
        <v>0</v>
      </c>
      <c r="BD291" t="b">
        <f t="shared" si="228"/>
        <v>0</v>
      </c>
      <c r="BF291" t="str">
        <f t="shared" si="249"/>
        <v>G714</v>
      </c>
      <c r="BG291" t="str">
        <f t="shared" si="250"/>
        <v>G714</v>
      </c>
      <c r="BH291" t="str">
        <f t="shared" si="251"/>
        <v/>
      </c>
      <c r="BI291" t="str">
        <f t="shared" si="269"/>
        <v/>
      </c>
      <c r="BJ291" t="s">
        <v>1336</v>
      </c>
      <c r="BK291" t="s">
        <v>1336</v>
      </c>
      <c r="BL291" t="s">
        <v>1336</v>
      </c>
      <c r="BM291" t="b">
        <f t="shared" si="270"/>
        <v>1</v>
      </c>
      <c r="BN291" t="str">
        <f t="shared" si="252"/>
        <v>R787</v>
      </c>
      <c r="BO291" t="str">
        <f t="shared" si="253"/>
        <v>R787</v>
      </c>
      <c r="BP291" t="str">
        <f t="shared" si="254"/>
        <v/>
      </c>
      <c r="BQ291" t="str">
        <f t="shared" si="255"/>
        <v/>
      </c>
      <c r="BR291" t="s">
        <v>352</v>
      </c>
      <c r="BS291" t="s">
        <v>351</v>
      </c>
      <c r="BT291" t="s">
        <v>352</v>
      </c>
      <c r="BU291" t="b">
        <f t="shared" si="271"/>
        <v>1</v>
      </c>
      <c r="BZ291" t="str">
        <f t="shared" si="256"/>
        <v/>
      </c>
      <c r="CA291" t="b">
        <f t="shared" si="257"/>
        <v>0</v>
      </c>
      <c r="CB291" t="str">
        <f t="shared" si="272"/>
        <v/>
      </c>
      <c r="CC291" t="str">
        <f t="shared" si="258"/>
        <v/>
      </c>
      <c r="CD291" t="b">
        <f t="shared" si="273"/>
        <v>0</v>
      </c>
      <c r="CE291" t="str">
        <f t="shared" si="274"/>
        <v/>
      </c>
      <c r="CG291" t="str">
        <f t="shared" si="259"/>
        <v>G737</v>
      </c>
      <c r="CH291" t="str">
        <f t="shared" si="275"/>
        <v>G737</v>
      </c>
      <c r="CI291" t="str">
        <f t="shared" si="260"/>
        <v>G660</v>
      </c>
      <c r="CJ291" t="str">
        <f t="shared" si="261"/>
        <v>G660</v>
      </c>
      <c r="CK291" t="s">
        <v>1313</v>
      </c>
      <c r="CL291" t="s">
        <v>1313</v>
      </c>
      <c r="CM291" t="s">
        <v>1313</v>
      </c>
      <c r="CN291" t="b">
        <f t="shared" si="276"/>
        <v>1</v>
      </c>
      <c r="CO291" t="str">
        <f t="shared" si="262"/>
        <v>R500</v>
      </c>
      <c r="CP291" t="str">
        <f t="shared" si="277"/>
        <v>R500</v>
      </c>
      <c r="CQ291" t="str">
        <f t="shared" si="263"/>
        <v>R44</v>
      </c>
      <c r="CR291" t="str">
        <f t="shared" si="264"/>
        <v>R44</v>
      </c>
      <c r="CS291" t="s">
        <v>641</v>
      </c>
      <c r="CT291" t="s">
        <v>641</v>
      </c>
      <c r="CU291" t="s">
        <v>641</v>
      </c>
      <c r="CV291" t="b">
        <f t="shared" si="278"/>
        <v>1</v>
      </c>
      <c r="DC291" t="str">
        <f t="shared" si="265"/>
        <v>G660</v>
      </c>
      <c r="DD291" t="b">
        <f t="shared" si="279"/>
        <v>0</v>
      </c>
      <c r="DE291" t="str">
        <f t="shared" si="280"/>
        <v>G660</v>
      </c>
      <c r="DF291" t="str">
        <f t="shared" si="266"/>
        <v>R44</v>
      </c>
      <c r="DG291" t="b">
        <f t="shared" si="281"/>
        <v>0</v>
      </c>
      <c r="DH291" t="str">
        <f t="shared" si="282"/>
        <v>R44</v>
      </c>
    </row>
    <row r="292" spans="2:112" ht="12" customHeight="1">
      <c r="B292" t="str">
        <f>TBIDry!H364</f>
        <v>G766</v>
      </c>
      <c r="C292" t="str">
        <f>TBIDry!I364</f>
        <v>R174</v>
      </c>
      <c r="D292" t="b">
        <f t="shared" si="229"/>
        <v>0</v>
      </c>
      <c r="E292" t="b">
        <f t="shared" si="230"/>
        <v>0</v>
      </c>
      <c r="G292" t="str">
        <f>TBIWet!H364</f>
        <v>G386</v>
      </c>
      <c r="H292" t="str">
        <f>TBIWet!I364</f>
        <v>R251</v>
      </c>
      <c r="I292" t="b">
        <f t="shared" si="231"/>
        <v>0</v>
      </c>
      <c r="J292" t="b">
        <f t="shared" si="232"/>
        <v>0</v>
      </c>
      <c r="L292" t="str">
        <f>'Both teabags AfterWet'!A290</f>
        <v>G739</v>
      </c>
      <c r="M292" t="str">
        <f>'Both teabags AfterWet'!A710</f>
        <v>R502</v>
      </c>
      <c r="N292" t="b">
        <f t="shared" si="233"/>
        <v>0</v>
      </c>
      <c r="O292" t="b">
        <f t="shared" si="283"/>
        <v>0</v>
      </c>
      <c r="Q292" s="388" t="b">
        <f t="shared" si="234"/>
        <v>0</v>
      </c>
      <c r="R292" s="388" t="b">
        <f t="shared" si="235"/>
        <v>0</v>
      </c>
      <c r="T292" t="str">
        <f>'Both teabags AfterDry'!A290</f>
        <v>G719</v>
      </c>
      <c r="U292" t="str">
        <f>'Both teabags AfterDry'!A625</f>
        <v>R789</v>
      </c>
      <c r="V292" t="b">
        <f t="shared" si="236"/>
        <v>0</v>
      </c>
      <c r="W292" t="b">
        <f t="shared" si="267"/>
        <v>0</v>
      </c>
      <c r="Y292" t="str">
        <f>'Green_rooibos initial weight'!A293</f>
        <v>G289</v>
      </c>
      <c r="Z292" t="str">
        <f>'Green_rooibos initial weight'!A1197</f>
        <v>R289</v>
      </c>
      <c r="AA292" t="b">
        <f t="shared" si="237"/>
        <v>0</v>
      </c>
      <c r="AB292" t="b">
        <f t="shared" si="238"/>
        <v>0</v>
      </c>
      <c r="AE292" t="str">
        <f>'WetLitterbags placem_collection'!O71</f>
        <v>G386</v>
      </c>
      <c r="AF292" t="str">
        <f>'WetLitterbags placem_collection'!Q71</f>
        <v>R251</v>
      </c>
      <c r="AG292" t="b">
        <f t="shared" si="239"/>
        <v>0</v>
      </c>
      <c r="AH292" t="b">
        <f t="shared" si="240"/>
        <v>0</v>
      </c>
      <c r="AJ292" t="b">
        <f t="shared" si="241"/>
        <v>0</v>
      </c>
      <c r="AK292" t="b">
        <f t="shared" si="242"/>
        <v>0</v>
      </c>
      <c r="AM292" t="str">
        <f>IF(ISBLANK('Dry_Litterbag Placem_Collection'!L71),"","G"&amp;""&amp;'Dry_Litterbag Placem_Collection'!L71)</f>
        <v>G766</v>
      </c>
      <c r="AN292" t="str">
        <f>IF(ISBLANK('Dry_Litterbag Placem_Collection'!M71),"","R"&amp;""&amp;'Dry_Litterbag Placem_Collection'!M71)</f>
        <v>R174</v>
      </c>
      <c r="AO292" t="b">
        <f t="shared" si="243"/>
        <v>0</v>
      </c>
      <c r="AP292" t="b">
        <f t="shared" si="244"/>
        <v>0</v>
      </c>
      <c r="AS292" t="str">
        <f>'Ashed teabags dry'!A290</f>
        <v>G719</v>
      </c>
      <c r="AT292" t="str">
        <f>'Ashed teabags dry'!A625</f>
        <v>R789</v>
      </c>
      <c r="AU292" t="b">
        <f t="shared" si="245"/>
        <v>0</v>
      </c>
      <c r="AV292" t="b">
        <f t="shared" si="268"/>
        <v>0</v>
      </c>
      <c r="AX292" s="388" t="b">
        <f t="shared" si="246"/>
        <v>0</v>
      </c>
      <c r="AY292" s="388" t="b">
        <f t="shared" si="247"/>
        <v>0</v>
      </c>
      <c r="BA292" t="str">
        <f>'Ashed teabags wet'!A290</f>
        <v>G739</v>
      </c>
      <c r="BB292" t="str">
        <f>'Ashed teabags wet'!A710</f>
        <v>R502</v>
      </c>
      <c r="BC292" t="b">
        <f t="shared" si="248"/>
        <v>0</v>
      </c>
      <c r="BD292" t="b">
        <f t="shared" si="228"/>
        <v>0</v>
      </c>
      <c r="BF292" t="str">
        <f t="shared" si="249"/>
        <v>G717</v>
      </c>
      <c r="BG292" t="str">
        <f t="shared" si="250"/>
        <v>G717</v>
      </c>
      <c r="BH292" t="str">
        <f t="shared" si="251"/>
        <v>G467</v>
      </c>
      <c r="BI292" t="str">
        <f t="shared" si="269"/>
        <v>G467</v>
      </c>
      <c r="BJ292" t="s">
        <v>1333</v>
      </c>
      <c r="BK292" t="s">
        <v>1333</v>
      </c>
      <c r="BL292" t="s">
        <v>1333</v>
      </c>
      <c r="BM292" t="b">
        <f t="shared" si="270"/>
        <v>1</v>
      </c>
      <c r="BN292" t="str">
        <f t="shared" si="252"/>
        <v>R788</v>
      </c>
      <c r="BO292" t="str">
        <f t="shared" si="253"/>
        <v>R788</v>
      </c>
      <c r="BP292" t="str">
        <f t="shared" si="254"/>
        <v>R201</v>
      </c>
      <c r="BQ292" t="str">
        <f t="shared" si="255"/>
        <v>R201</v>
      </c>
      <c r="BR292" t="s">
        <v>351</v>
      </c>
      <c r="BS292" t="s">
        <v>350</v>
      </c>
      <c r="BT292" t="s">
        <v>351</v>
      </c>
      <c r="BU292" t="b">
        <f t="shared" si="271"/>
        <v>1</v>
      </c>
      <c r="BZ292" t="str">
        <f t="shared" si="256"/>
        <v>G467</v>
      </c>
      <c r="CA292" t="b">
        <f t="shared" si="257"/>
        <v>0</v>
      </c>
      <c r="CB292" t="str">
        <f t="shared" si="272"/>
        <v>G467</v>
      </c>
      <c r="CC292" t="str">
        <f t="shared" si="258"/>
        <v>R201</v>
      </c>
      <c r="CD292" t="b">
        <f t="shared" si="273"/>
        <v>0</v>
      </c>
      <c r="CE292" t="str">
        <f t="shared" si="274"/>
        <v>R201</v>
      </c>
      <c r="CG292" t="str">
        <f t="shared" si="259"/>
        <v>G738</v>
      </c>
      <c r="CH292" t="str">
        <f t="shared" si="275"/>
        <v>G738</v>
      </c>
      <c r="CI292" t="str">
        <f t="shared" si="260"/>
        <v>G477</v>
      </c>
      <c r="CJ292" t="str">
        <f t="shared" si="261"/>
        <v>G477</v>
      </c>
      <c r="CK292" t="s">
        <v>1312</v>
      </c>
      <c r="CL292" t="s">
        <v>1312</v>
      </c>
      <c r="CM292" t="s">
        <v>1312</v>
      </c>
      <c r="CN292" t="b">
        <f t="shared" si="276"/>
        <v>1</v>
      </c>
      <c r="CO292" t="str">
        <f t="shared" si="262"/>
        <v>R501</v>
      </c>
      <c r="CP292" t="str">
        <f t="shared" si="277"/>
        <v>R501</v>
      </c>
      <c r="CQ292" t="str">
        <f t="shared" si="263"/>
        <v>R9</v>
      </c>
      <c r="CR292" t="str">
        <f t="shared" si="264"/>
        <v>R9</v>
      </c>
      <c r="CS292" t="s">
        <v>640</v>
      </c>
      <c r="CT292" t="s">
        <v>640</v>
      </c>
      <c r="CU292" t="s">
        <v>640</v>
      </c>
      <c r="CV292" t="b">
        <f t="shared" si="278"/>
        <v>1</v>
      </c>
      <c r="DC292" t="str">
        <f t="shared" si="265"/>
        <v>G477</v>
      </c>
      <c r="DD292" t="b">
        <f t="shared" si="279"/>
        <v>0</v>
      </c>
      <c r="DE292" t="str">
        <f t="shared" si="280"/>
        <v>G477</v>
      </c>
      <c r="DF292" t="str">
        <f t="shared" si="266"/>
        <v>R9</v>
      </c>
      <c r="DG292" t="b">
        <f t="shared" si="281"/>
        <v>0</v>
      </c>
      <c r="DH292" t="str">
        <f t="shared" si="282"/>
        <v>R9</v>
      </c>
    </row>
    <row r="293" spans="2:112" ht="12" customHeight="1">
      <c r="B293" t="str">
        <f>TBIDry!H365</f>
        <v>G430</v>
      </c>
      <c r="C293" t="str">
        <f>TBIDry!I365</f>
        <v>R261</v>
      </c>
      <c r="D293" t="b">
        <f t="shared" si="229"/>
        <v>0</v>
      </c>
      <c r="E293" t="b">
        <f t="shared" si="230"/>
        <v>0</v>
      </c>
      <c r="G293" t="str">
        <f>TBIWet!H365</f>
        <v>G414</v>
      </c>
      <c r="H293" t="str">
        <f>TBIWet!I365</f>
        <v>R266</v>
      </c>
      <c r="I293" t="b">
        <f t="shared" si="231"/>
        <v>0</v>
      </c>
      <c r="J293" t="b">
        <f t="shared" si="232"/>
        <v>0</v>
      </c>
      <c r="L293" t="str">
        <f>'Both teabags AfterWet'!A291</f>
        <v>G740</v>
      </c>
      <c r="M293" t="str">
        <f>'Both teabags AfterWet'!A711</f>
        <v>R503</v>
      </c>
      <c r="N293" t="b">
        <f t="shared" si="233"/>
        <v>0</v>
      </c>
      <c r="O293" t="b">
        <f t="shared" si="283"/>
        <v>0</v>
      </c>
      <c r="Q293" s="388" t="b">
        <f t="shared" si="234"/>
        <v>0</v>
      </c>
      <c r="R293" s="388" t="b">
        <f t="shared" si="235"/>
        <v>0</v>
      </c>
      <c r="T293" t="str">
        <f>'Both teabags AfterDry'!A291</f>
        <v>G72</v>
      </c>
      <c r="U293" t="str">
        <f>'Both teabags AfterDry'!A626</f>
        <v>R790</v>
      </c>
      <c r="V293" t="b">
        <f t="shared" si="236"/>
        <v>0</v>
      </c>
      <c r="W293" t="b">
        <f t="shared" si="267"/>
        <v>0</v>
      </c>
      <c r="Y293" t="str">
        <f>'Green_rooibos initial weight'!A294</f>
        <v>G290</v>
      </c>
      <c r="Z293" t="str">
        <f>'Green_rooibos initial weight'!A1198</f>
        <v>R290</v>
      </c>
      <c r="AA293" t="b">
        <f t="shared" si="237"/>
        <v>0</v>
      </c>
      <c r="AB293" t="b">
        <f t="shared" si="238"/>
        <v>0</v>
      </c>
      <c r="AE293" t="str">
        <f>'WetLitterbags placem_collection'!O72</f>
        <v>G414</v>
      </c>
      <c r="AF293" t="str">
        <f>'WetLitterbags placem_collection'!Q72</f>
        <v>R266</v>
      </c>
      <c r="AG293" t="b">
        <f t="shared" si="239"/>
        <v>0</v>
      </c>
      <c r="AH293" t="b">
        <f t="shared" si="240"/>
        <v>0</v>
      </c>
      <c r="AJ293" t="b">
        <f t="shared" si="241"/>
        <v>0</v>
      </c>
      <c r="AK293" t="b">
        <f t="shared" si="242"/>
        <v>0</v>
      </c>
      <c r="AM293" t="str">
        <f>IF(ISBLANK('Dry_Litterbag Placem_Collection'!L72),"","G"&amp;""&amp;'Dry_Litterbag Placem_Collection'!L72)</f>
        <v>G430</v>
      </c>
      <c r="AN293" t="str">
        <f>IF(ISBLANK('Dry_Litterbag Placem_Collection'!M72),"","R"&amp;""&amp;'Dry_Litterbag Placem_Collection'!M72)</f>
        <v>R261</v>
      </c>
      <c r="AO293" t="b">
        <f t="shared" si="243"/>
        <v>0</v>
      </c>
      <c r="AP293" t="b">
        <f t="shared" si="244"/>
        <v>0</v>
      </c>
      <c r="AS293" t="str">
        <f>'Ashed teabags dry'!A291</f>
        <v>G72</v>
      </c>
      <c r="AT293" t="str">
        <f>'Ashed teabags dry'!A626</f>
        <v>R790</v>
      </c>
      <c r="AU293" t="b">
        <f t="shared" si="245"/>
        <v>0</v>
      </c>
      <c r="AV293" t="b">
        <f t="shared" si="268"/>
        <v>0</v>
      </c>
      <c r="AX293" s="388" t="b">
        <f t="shared" si="246"/>
        <v>0</v>
      </c>
      <c r="AY293" s="388" t="b">
        <f t="shared" si="247"/>
        <v>0</v>
      </c>
      <c r="BA293" t="str">
        <f>'Ashed teabags wet'!A291</f>
        <v>G740</v>
      </c>
      <c r="BB293" t="str">
        <f>'Ashed teabags wet'!A711</f>
        <v>R503</v>
      </c>
      <c r="BC293" t="b">
        <f t="shared" si="248"/>
        <v>0</v>
      </c>
      <c r="BD293" t="b">
        <f t="shared" si="228"/>
        <v>0</v>
      </c>
      <c r="BF293" t="str">
        <f t="shared" si="249"/>
        <v>G719</v>
      </c>
      <c r="BG293" t="str">
        <f t="shared" si="250"/>
        <v>G719</v>
      </c>
      <c r="BH293" t="str">
        <f t="shared" si="251"/>
        <v>G766</v>
      </c>
      <c r="BI293" t="str">
        <f t="shared" si="269"/>
        <v>G766</v>
      </c>
      <c r="BJ293" t="s">
        <v>1331</v>
      </c>
      <c r="BK293" t="s">
        <v>1331</v>
      </c>
      <c r="BL293" t="s">
        <v>1331</v>
      </c>
      <c r="BM293" t="b">
        <f t="shared" si="270"/>
        <v>1</v>
      </c>
      <c r="BN293" t="str">
        <f t="shared" si="252"/>
        <v>R789</v>
      </c>
      <c r="BO293" t="str">
        <f t="shared" si="253"/>
        <v>R789</v>
      </c>
      <c r="BP293" t="str">
        <f t="shared" si="254"/>
        <v>R174</v>
      </c>
      <c r="BQ293" t="str">
        <f t="shared" si="255"/>
        <v>R174</v>
      </c>
      <c r="BR293" t="s">
        <v>350</v>
      </c>
      <c r="BS293" t="s">
        <v>349</v>
      </c>
      <c r="BT293" t="s">
        <v>350</v>
      </c>
      <c r="BU293" t="b">
        <f t="shared" si="271"/>
        <v>1</v>
      </c>
      <c r="BZ293" t="str">
        <f t="shared" si="256"/>
        <v>G766</v>
      </c>
      <c r="CA293" t="b">
        <f t="shared" si="257"/>
        <v>0</v>
      </c>
      <c r="CB293" t="str">
        <f t="shared" si="272"/>
        <v>G766</v>
      </c>
      <c r="CC293" t="str">
        <f t="shared" si="258"/>
        <v>R174</v>
      </c>
      <c r="CD293" t="b">
        <f t="shared" si="273"/>
        <v>0</v>
      </c>
      <c r="CE293" t="str">
        <f t="shared" si="274"/>
        <v>R174</v>
      </c>
      <c r="CG293" t="str">
        <f t="shared" si="259"/>
        <v>G739</v>
      </c>
      <c r="CH293" t="str">
        <f t="shared" si="275"/>
        <v>G739</v>
      </c>
      <c r="CI293" t="str">
        <f t="shared" si="260"/>
        <v>G386</v>
      </c>
      <c r="CJ293" t="str">
        <f t="shared" si="261"/>
        <v>G386</v>
      </c>
      <c r="CK293" t="s">
        <v>1311</v>
      </c>
      <c r="CL293" t="s">
        <v>1311</v>
      </c>
      <c r="CM293" t="s">
        <v>1311</v>
      </c>
      <c r="CN293" t="b">
        <f t="shared" si="276"/>
        <v>1</v>
      </c>
      <c r="CO293" t="str">
        <f t="shared" si="262"/>
        <v>R502</v>
      </c>
      <c r="CP293" t="str">
        <f t="shared" si="277"/>
        <v>R502</v>
      </c>
      <c r="CQ293" t="str">
        <f t="shared" si="263"/>
        <v>R251</v>
      </c>
      <c r="CR293" t="str">
        <f t="shared" si="264"/>
        <v>R251</v>
      </c>
      <c r="CS293" t="s">
        <v>639</v>
      </c>
      <c r="CT293" t="s">
        <v>639</v>
      </c>
      <c r="CU293" t="s">
        <v>639</v>
      </c>
      <c r="CV293" t="b">
        <f t="shared" si="278"/>
        <v>1</v>
      </c>
      <c r="DC293" t="str">
        <f t="shared" si="265"/>
        <v>G386</v>
      </c>
      <c r="DD293" t="b">
        <f t="shared" si="279"/>
        <v>0</v>
      </c>
      <c r="DE293" t="str">
        <f t="shared" si="280"/>
        <v>G386</v>
      </c>
      <c r="DF293" t="str">
        <f t="shared" si="266"/>
        <v>R251</v>
      </c>
      <c r="DG293" t="b">
        <f t="shared" si="281"/>
        <v>0</v>
      </c>
      <c r="DH293" t="str">
        <f t="shared" si="282"/>
        <v>R251</v>
      </c>
    </row>
    <row r="294" spans="2:112" ht="12" customHeight="1">
      <c r="B294" t="str">
        <f>TBIDry!H366</f>
        <v>G174</v>
      </c>
      <c r="C294" t="str">
        <f>TBIDry!I366</f>
        <v>R203</v>
      </c>
      <c r="D294" t="b">
        <f t="shared" si="229"/>
        <v>0</v>
      </c>
      <c r="E294" t="b">
        <f t="shared" si="230"/>
        <v>0</v>
      </c>
      <c r="G294" t="str">
        <f>TBIWet!H366</f>
        <v>G459</v>
      </c>
      <c r="H294" t="str">
        <f>TBIWet!I366</f>
        <v>R528</v>
      </c>
      <c r="I294" t="b">
        <f t="shared" si="231"/>
        <v>0</v>
      </c>
      <c r="J294" t="b">
        <f t="shared" si="232"/>
        <v>0</v>
      </c>
      <c r="L294" t="str">
        <f>'Both teabags AfterWet'!A292</f>
        <v>G741</v>
      </c>
      <c r="M294" t="str">
        <f>'Both teabags AfterWet'!A712</f>
        <v>R504</v>
      </c>
      <c r="N294" t="b">
        <f t="shared" si="233"/>
        <v>0</v>
      </c>
      <c r="O294" t="b">
        <f t="shared" si="283"/>
        <v>0</v>
      </c>
      <c r="Q294" s="388" t="b">
        <f t="shared" si="234"/>
        <v>0</v>
      </c>
      <c r="R294" s="388" t="b">
        <f t="shared" si="235"/>
        <v>0</v>
      </c>
      <c r="T294" t="str">
        <f>'Both teabags AfterDry'!A292</f>
        <v>G722</v>
      </c>
      <c r="U294" t="str">
        <f>'Both teabags AfterDry'!A627</f>
        <v>R791</v>
      </c>
      <c r="V294" t="b">
        <f t="shared" si="236"/>
        <v>0</v>
      </c>
      <c r="W294" t="b">
        <f t="shared" si="267"/>
        <v>0</v>
      </c>
      <c r="Y294" t="str">
        <f>'Green_rooibos initial weight'!A295</f>
        <v>G291</v>
      </c>
      <c r="Z294" t="str">
        <f>'Green_rooibos initial weight'!A1199</f>
        <v>R291</v>
      </c>
      <c r="AA294" t="b">
        <f t="shared" si="237"/>
        <v>0</v>
      </c>
      <c r="AB294" t="b">
        <f t="shared" si="238"/>
        <v>0</v>
      </c>
      <c r="AE294" t="str">
        <f>'WetLitterbags placem_collection'!O73</f>
        <v>G459</v>
      </c>
      <c r="AF294" t="str">
        <f>'WetLitterbags placem_collection'!Q73</f>
        <v>R528</v>
      </c>
      <c r="AG294" t="b">
        <f t="shared" si="239"/>
        <v>0</v>
      </c>
      <c r="AH294" t="b">
        <f t="shared" si="240"/>
        <v>0</v>
      </c>
      <c r="AJ294" t="b">
        <f t="shared" si="241"/>
        <v>0</v>
      </c>
      <c r="AK294" t="b">
        <f t="shared" si="242"/>
        <v>0</v>
      </c>
      <c r="AM294" t="str">
        <f>IF(ISBLANK('Dry_Litterbag Placem_Collection'!L73),"","G"&amp;""&amp;'Dry_Litterbag Placem_Collection'!L73)</f>
        <v>G174</v>
      </c>
      <c r="AN294" t="str">
        <f>IF(ISBLANK('Dry_Litterbag Placem_Collection'!M73),"","R"&amp;""&amp;'Dry_Litterbag Placem_Collection'!M73)</f>
        <v>R203</v>
      </c>
      <c r="AO294" t="b">
        <f t="shared" si="243"/>
        <v>0</v>
      </c>
      <c r="AP294" t="b">
        <f t="shared" si="244"/>
        <v>0</v>
      </c>
      <c r="AS294" t="str">
        <f>'Ashed teabags dry'!A292</f>
        <v>G722</v>
      </c>
      <c r="AT294" t="str">
        <f>'Ashed teabags dry'!A627</f>
        <v>R791</v>
      </c>
      <c r="AU294" t="b">
        <f t="shared" si="245"/>
        <v>0</v>
      </c>
      <c r="AV294" t="b">
        <f t="shared" si="268"/>
        <v>0</v>
      </c>
      <c r="AX294" s="388" t="b">
        <f t="shared" si="246"/>
        <v>0</v>
      </c>
      <c r="AY294" s="388" t="b">
        <f t="shared" si="247"/>
        <v>0</v>
      </c>
      <c r="BA294" t="str">
        <f>'Ashed teabags wet'!A292</f>
        <v>G741</v>
      </c>
      <c r="BB294" t="str">
        <f>'Ashed teabags wet'!A712</f>
        <v>R504</v>
      </c>
      <c r="BC294" t="b">
        <f t="shared" si="248"/>
        <v>0</v>
      </c>
      <c r="BD294" t="b">
        <f t="shared" si="228"/>
        <v>0</v>
      </c>
      <c r="BF294" t="str">
        <f t="shared" si="249"/>
        <v>G72</v>
      </c>
      <c r="BG294" t="str">
        <f t="shared" si="250"/>
        <v>G72</v>
      </c>
      <c r="BH294" t="str">
        <f t="shared" si="251"/>
        <v>G430</v>
      </c>
      <c r="BI294" t="str">
        <f t="shared" si="269"/>
        <v>G430</v>
      </c>
      <c r="BJ294" t="s">
        <v>1978</v>
      </c>
      <c r="BK294" t="s">
        <v>1978</v>
      </c>
      <c r="BL294" t="s">
        <v>1978</v>
      </c>
      <c r="BM294" t="b">
        <f t="shared" si="270"/>
        <v>1</v>
      </c>
      <c r="BN294" t="str">
        <f t="shared" si="252"/>
        <v>R790</v>
      </c>
      <c r="BO294" t="str">
        <f t="shared" si="253"/>
        <v>R790</v>
      </c>
      <c r="BP294" t="str">
        <f t="shared" si="254"/>
        <v>R261</v>
      </c>
      <c r="BQ294" t="str">
        <f t="shared" si="255"/>
        <v>R261</v>
      </c>
      <c r="BR294" t="s">
        <v>349</v>
      </c>
      <c r="BS294" t="s">
        <v>348</v>
      </c>
      <c r="BT294" t="s">
        <v>349</v>
      </c>
      <c r="BU294" t="b">
        <f t="shared" si="271"/>
        <v>1</v>
      </c>
      <c r="BZ294" t="str">
        <f t="shared" si="256"/>
        <v>G430</v>
      </c>
      <c r="CA294" t="b">
        <f t="shared" si="257"/>
        <v>0</v>
      </c>
      <c r="CB294" t="str">
        <f t="shared" si="272"/>
        <v>G430</v>
      </c>
      <c r="CC294" t="str">
        <f t="shared" si="258"/>
        <v>R261</v>
      </c>
      <c r="CD294" t="b">
        <f t="shared" si="273"/>
        <v>0</v>
      </c>
      <c r="CE294" t="str">
        <f t="shared" si="274"/>
        <v>R261</v>
      </c>
      <c r="CG294" t="str">
        <f t="shared" si="259"/>
        <v>G740</v>
      </c>
      <c r="CH294" t="str">
        <f t="shared" si="275"/>
        <v>G740</v>
      </c>
      <c r="CI294" t="str">
        <f t="shared" si="260"/>
        <v>G414</v>
      </c>
      <c r="CJ294" t="str">
        <f t="shared" si="261"/>
        <v>G414</v>
      </c>
      <c r="CK294" t="s">
        <v>1310</v>
      </c>
      <c r="CL294" t="s">
        <v>1310</v>
      </c>
      <c r="CM294" t="s">
        <v>1310</v>
      </c>
      <c r="CN294" t="b">
        <f t="shared" si="276"/>
        <v>1</v>
      </c>
      <c r="CO294" t="str">
        <f t="shared" si="262"/>
        <v>R503</v>
      </c>
      <c r="CP294" t="str">
        <f t="shared" si="277"/>
        <v>R503</v>
      </c>
      <c r="CQ294" t="str">
        <f t="shared" si="263"/>
        <v>R266</v>
      </c>
      <c r="CR294" t="str">
        <f t="shared" si="264"/>
        <v>R266</v>
      </c>
      <c r="CS294" t="s">
        <v>638</v>
      </c>
      <c r="CT294" t="s">
        <v>638</v>
      </c>
      <c r="CU294" t="s">
        <v>638</v>
      </c>
      <c r="CV294" t="b">
        <f t="shared" si="278"/>
        <v>1</v>
      </c>
      <c r="DC294" t="str">
        <f t="shared" si="265"/>
        <v>G414</v>
      </c>
      <c r="DD294" t="b">
        <f t="shared" si="279"/>
        <v>0</v>
      </c>
      <c r="DE294" t="str">
        <f t="shared" si="280"/>
        <v>G414</v>
      </c>
      <c r="DF294" t="str">
        <f t="shared" si="266"/>
        <v>R266</v>
      </c>
      <c r="DG294" t="b">
        <f t="shared" si="281"/>
        <v>0</v>
      </c>
      <c r="DH294" t="str">
        <f t="shared" si="282"/>
        <v>R266</v>
      </c>
    </row>
    <row r="295" spans="2:112" ht="12" customHeight="1">
      <c r="B295" t="str">
        <f>TBIDry!H367</f>
        <v>G714</v>
      </c>
      <c r="C295" t="str">
        <f>TBIDry!I367</f>
        <v>R191</v>
      </c>
      <c r="D295" t="b">
        <f t="shared" si="229"/>
        <v>0</v>
      </c>
      <c r="E295" t="b">
        <f t="shared" si="230"/>
        <v>0</v>
      </c>
      <c r="G295" t="str">
        <f>TBIWet!H367</f>
        <v>G627</v>
      </c>
      <c r="H295" t="str">
        <f>TBIWet!I367</f>
        <v>R14</v>
      </c>
      <c r="I295" t="b">
        <f t="shared" si="231"/>
        <v>0</v>
      </c>
      <c r="J295" t="b">
        <f t="shared" si="232"/>
        <v>0</v>
      </c>
      <c r="L295" t="str">
        <f>'Both teabags AfterWet'!A293</f>
        <v>G742</v>
      </c>
      <c r="M295" t="str">
        <f>'Both teabags AfterWet'!A713</f>
        <v>R505</v>
      </c>
      <c r="N295" t="b">
        <f t="shared" si="233"/>
        <v>0</v>
      </c>
      <c r="O295" t="b">
        <f t="shared" si="283"/>
        <v>0</v>
      </c>
      <c r="Q295" s="388" t="b">
        <f t="shared" si="234"/>
        <v>0</v>
      </c>
      <c r="R295" s="388" t="b">
        <f t="shared" si="235"/>
        <v>0</v>
      </c>
      <c r="T295" t="str">
        <f>'Both teabags AfterDry'!A293</f>
        <v>G735</v>
      </c>
      <c r="U295" t="str">
        <f>'Both teabags AfterDry'!A628</f>
        <v>R792</v>
      </c>
      <c r="V295" t="b">
        <f t="shared" si="236"/>
        <v>0</v>
      </c>
      <c r="W295" t="b">
        <f t="shared" si="267"/>
        <v>0</v>
      </c>
      <c r="Y295" t="str">
        <f>'Green_rooibos initial weight'!A296</f>
        <v>G292</v>
      </c>
      <c r="Z295" t="str">
        <f>'Green_rooibos initial weight'!A1200</f>
        <v>R292</v>
      </c>
      <c r="AA295" t="b">
        <f t="shared" si="237"/>
        <v>0</v>
      </c>
      <c r="AB295" t="b">
        <f t="shared" si="238"/>
        <v>0</v>
      </c>
      <c r="AE295" t="str">
        <f>'WetLitterbags placem_collection'!O74</f>
        <v>G627</v>
      </c>
      <c r="AF295" t="str">
        <f>'WetLitterbags placem_collection'!Q74</f>
        <v>R14</v>
      </c>
      <c r="AG295" t="b">
        <f t="shared" si="239"/>
        <v>0</v>
      </c>
      <c r="AH295" t="b">
        <f t="shared" si="240"/>
        <v>0</v>
      </c>
      <c r="AJ295" t="b">
        <f t="shared" si="241"/>
        <v>0</v>
      </c>
      <c r="AK295" t="b">
        <f t="shared" si="242"/>
        <v>0</v>
      </c>
      <c r="AM295" t="str">
        <f>IF(ISBLANK('Dry_Litterbag Placem_Collection'!L74),"","G"&amp;""&amp;'Dry_Litterbag Placem_Collection'!L74)</f>
        <v>G714</v>
      </c>
      <c r="AN295" t="str">
        <f>IF(ISBLANK('Dry_Litterbag Placem_Collection'!M74),"","R"&amp;""&amp;'Dry_Litterbag Placem_Collection'!M74)</f>
        <v>R191</v>
      </c>
      <c r="AO295" t="b">
        <f t="shared" si="243"/>
        <v>0</v>
      </c>
      <c r="AP295" t="b">
        <f t="shared" si="244"/>
        <v>0</v>
      </c>
      <c r="AS295" t="str">
        <f>'Ashed teabags dry'!A293</f>
        <v>G735</v>
      </c>
      <c r="AT295" t="str">
        <f>'Ashed teabags dry'!A628</f>
        <v>R792</v>
      </c>
      <c r="AU295" t="b">
        <f t="shared" si="245"/>
        <v>0</v>
      </c>
      <c r="AV295" t="b">
        <f t="shared" si="268"/>
        <v>0</v>
      </c>
      <c r="AX295" s="388" t="b">
        <f t="shared" si="246"/>
        <v>0</v>
      </c>
      <c r="AY295" s="388" t="b">
        <f t="shared" si="247"/>
        <v>0</v>
      </c>
      <c r="BA295" t="str">
        <f>'Ashed teabags wet'!A293</f>
        <v>G742</v>
      </c>
      <c r="BB295" t="str">
        <f>'Ashed teabags wet'!A713</f>
        <v>R505</v>
      </c>
      <c r="BC295" t="b">
        <f t="shared" si="248"/>
        <v>0</v>
      </c>
      <c r="BD295" t="b">
        <f t="shared" si="228"/>
        <v>0</v>
      </c>
      <c r="BF295" t="str">
        <f t="shared" si="249"/>
        <v>G722</v>
      </c>
      <c r="BG295" t="str">
        <f t="shared" si="250"/>
        <v>G722</v>
      </c>
      <c r="BH295" t="str">
        <f t="shared" si="251"/>
        <v>G174</v>
      </c>
      <c r="BI295" t="str">
        <f t="shared" si="269"/>
        <v>G174</v>
      </c>
      <c r="BJ295" t="s">
        <v>1328</v>
      </c>
      <c r="BK295" t="s">
        <v>1328</v>
      </c>
      <c r="BL295" t="s">
        <v>1328</v>
      </c>
      <c r="BM295" t="b">
        <f t="shared" si="270"/>
        <v>1</v>
      </c>
      <c r="BN295" t="str">
        <f t="shared" si="252"/>
        <v>R791</v>
      </c>
      <c r="BO295" t="str">
        <f t="shared" si="253"/>
        <v>R791</v>
      </c>
      <c r="BP295" t="str">
        <f t="shared" si="254"/>
        <v>R203</v>
      </c>
      <c r="BQ295" t="str">
        <f t="shared" si="255"/>
        <v>R203</v>
      </c>
      <c r="BR295" t="s">
        <v>348</v>
      </c>
      <c r="BS295" t="s">
        <v>347</v>
      </c>
      <c r="BT295" t="s">
        <v>348</v>
      </c>
      <c r="BU295" t="b">
        <f t="shared" si="271"/>
        <v>1</v>
      </c>
      <c r="BZ295" t="str">
        <f t="shared" si="256"/>
        <v>G174</v>
      </c>
      <c r="CA295" t="b">
        <f t="shared" si="257"/>
        <v>0</v>
      </c>
      <c r="CB295" t="str">
        <f t="shared" si="272"/>
        <v>G174</v>
      </c>
      <c r="CC295" t="str">
        <f t="shared" si="258"/>
        <v>R203</v>
      </c>
      <c r="CD295" t="b">
        <f t="shared" si="273"/>
        <v>0</v>
      </c>
      <c r="CE295" t="str">
        <f t="shared" si="274"/>
        <v>R203</v>
      </c>
      <c r="CG295" t="str">
        <f t="shared" si="259"/>
        <v>G741</v>
      </c>
      <c r="CH295" t="str">
        <f t="shared" si="275"/>
        <v>G741</v>
      </c>
      <c r="CI295" t="str">
        <f t="shared" si="260"/>
        <v>G459</v>
      </c>
      <c r="CJ295" t="str">
        <f t="shared" si="261"/>
        <v>G459</v>
      </c>
      <c r="CK295" t="s">
        <v>1309</v>
      </c>
      <c r="CL295" t="s">
        <v>1309</v>
      </c>
      <c r="CM295" t="s">
        <v>1309</v>
      </c>
      <c r="CN295" t="b">
        <f t="shared" si="276"/>
        <v>1</v>
      </c>
      <c r="CO295" t="str">
        <f t="shared" si="262"/>
        <v>R504</v>
      </c>
      <c r="CP295" t="str">
        <f t="shared" si="277"/>
        <v>R504</v>
      </c>
      <c r="CQ295" t="str">
        <f t="shared" si="263"/>
        <v>R528</v>
      </c>
      <c r="CR295" t="str">
        <f t="shared" si="264"/>
        <v>R528</v>
      </c>
      <c r="CS295" t="s">
        <v>637</v>
      </c>
      <c r="CT295" t="s">
        <v>637</v>
      </c>
      <c r="CU295" t="s">
        <v>637</v>
      </c>
      <c r="CV295" t="b">
        <f t="shared" si="278"/>
        <v>1</v>
      </c>
      <c r="DC295" t="str">
        <f t="shared" si="265"/>
        <v>G459</v>
      </c>
      <c r="DD295" t="b">
        <f t="shared" si="279"/>
        <v>0</v>
      </c>
      <c r="DE295" t="str">
        <f t="shared" si="280"/>
        <v>G459</v>
      </c>
      <c r="DF295" t="str">
        <f t="shared" si="266"/>
        <v>R528</v>
      </c>
      <c r="DG295" t="b">
        <f t="shared" si="281"/>
        <v>0</v>
      </c>
      <c r="DH295" t="str">
        <f t="shared" si="282"/>
        <v>R528</v>
      </c>
    </row>
    <row r="296" spans="2:112" ht="12" customHeight="1">
      <c r="B296" t="str">
        <f>TBIDry!H368</f>
        <v>G726</v>
      </c>
      <c r="C296" t="str">
        <f>TBIDry!I368</f>
        <v>R160</v>
      </c>
      <c r="D296" t="b">
        <f t="shared" si="229"/>
        <v>0</v>
      </c>
      <c r="E296" t="b">
        <f t="shared" si="230"/>
        <v>0</v>
      </c>
      <c r="G296" t="str">
        <f>TBIWet!H368</f>
        <v>G498</v>
      </c>
      <c r="H296" t="str">
        <f>TBIWet!I368</f>
        <v>R393</v>
      </c>
      <c r="I296" t="b">
        <f t="shared" si="231"/>
        <v>0</v>
      </c>
      <c r="J296" t="b">
        <f t="shared" si="232"/>
        <v>0</v>
      </c>
      <c r="L296" t="str">
        <f>'Both teabags AfterWet'!A294</f>
        <v>G743</v>
      </c>
      <c r="M296" t="str">
        <f>'Both teabags AfterWet'!A714</f>
        <v>R506</v>
      </c>
      <c r="N296" t="b">
        <f t="shared" si="233"/>
        <v>0</v>
      </c>
      <c r="O296" t="b">
        <f t="shared" si="283"/>
        <v>0</v>
      </c>
      <c r="Q296" s="388" t="b">
        <f t="shared" si="234"/>
        <v>0</v>
      </c>
      <c r="R296" s="388" t="b">
        <f t="shared" si="235"/>
        <v>0</v>
      </c>
      <c r="T296" t="str">
        <f>'Both teabags AfterDry'!A294</f>
        <v>G750</v>
      </c>
      <c r="U296" t="str">
        <f>'Both teabags AfterDry'!A629</f>
        <v>R793</v>
      </c>
      <c r="V296" t="b">
        <f t="shared" si="236"/>
        <v>0</v>
      </c>
      <c r="W296" t="b">
        <f t="shared" si="267"/>
        <v>0</v>
      </c>
      <c r="Y296" t="str">
        <f>'Green_rooibos initial weight'!A297</f>
        <v>G293</v>
      </c>
      <c r="Z296" t="str">
        <f>'Green_rooibos initial weight'!A1201</f>
        <v>R293</v>
      </c>
      <c r="AA296" t="b">
        <f t="shared" si="237"/>
        <v>0</v>
      </c>
      <c r="AB296" t="b">
        <f t="shared" si="238"/>
        <v>0</v>
      </c>
      <c r="AE296" t="str">
        <f>'WetLitterbags placem_collection'!O75</f>
        <v>G498</v>
      </c>
      <c r="AF296" t="str">
        <f>'WetLitterbags placem_collection'!Q75</f>
        <v>R393</v>
      </c>
      <c r="AG296" t="b">
        <f t="shared" si="239"/>
        <v>0</v>
      </c>
      <c r="AH296" t="b">
        <f t="shared" si="240"/>
        <v>0</v>
      </c>
      <c r="AJ296" t="b">
        <f t="shared" si="241"/>
        <v>0</v>
      </c>
      <c r="AK296" t="b">
        <f t="shared" si="242"/>
        <v>0</v>
      </c>
      <c r="AM296" t="str">
        <f>IF(ISBLANK('Dry_Litterbag Placem_Collection'!L75),"","G"&amp;""&amp;'Dry_Litterbag Placem_Collection'!L75)</f>
        <v>G726</v>
      </c>
      <c r="AN296" t="str">
        <f>IF(ISBLANK('Dry_Litterbag Placem_Collection'!M75),"","R"&amp;""&amp;'Dry_Litterbag Placem_Collection'!M75)</f>
        <v>R160</v>
      </c>
      <c r="AO296" t="b">
        <f t="shared" si="243"/>
        <v>0</v>
      </c>
      <c r="AP296" t="b">
        <f t="shared" si="244"/>
        <v>0</v>
      </c>
      <c r="AS296" t="str">
        <f>'Ashed teabags dry'!A294</f>
        <v>G750</v>
      </c>
      <c r="AT296" t="str">
        <f>'Ashed teabags dry'!A629</f>
        <v>R793</v>
      </c>
      <c r="AU296" t="b">
        <f t="shared" si="245"/>
        <v>0</v>
      </c>
      <c r="AV296" t="b">
        <f t="shared" si="268"/>
        <v>0</v>
      </c>
      <c r="AX296" s="388" t="b">
        <f t="shared" si="246"/>
        <v>0</v>
      </c>
      <c r="AY296" s="388" t="b">
        <f t="shared" si="247"/>
        <v>0</v>
      </c>
      <c r="BA296" t="str">
        <f>'Ashed teabags wet'!A294</f>
        <v>G743</v>
      </c>
      <c r="BB296" t="str">
        <f>'Ashed teabags wet'!A714</f>
        <v>R506</v>
      </c>
      <c r="BC296" t="b">
        <f t="shared" si="248"/>
        <v>0</v>
      </c>
      <c r="BD296" t="b">
        <f t="shared" si="228"/>
        <v>0</v>
      </c>
      <c r="BF296" t="str">
        <f t="shared" si="249"/>
        <v>G735</v>
      </c>
      <c r="BG296" t="str">
        <f t="shared" si="250"/>
        <v>G735</v>
      </c>
      <c r="BH296" t="str">
        <f t="shared" si="251"/>
        <v>G714</v>
      </c>
      <c r="BI296" t="str">
        <f t="shared" si="269"/>
        <v>G714</v>
      </c>
      <c r="BJ296" t="s">
        <v>1315</v>
      </c>
      <c r="BK296" t="s">
        <v>1315</v>
      </c>
      <c r="BL296" t="s">
        <v>1315</v>
      </c>
      <c r="BM296" t="b">
        <f t="shared" si="270"/>
        <v>1</v>
      </c>
      <c r="BN296" t="str">
        <f t="shared" si="252"/>
        <v>R792</v>
      </c>
      <c r="BO296" t="str">
        <f t="shared" si="253"/>
        <v>R792</v>
      </c>
      <c r="BP296" t="str">
        <f t="shared" si="254"/>
        <v>R191</v>
      </c>
      <c r="BQ296" t="str">
        <f t="shared" si="255"/>
        <v>R191</v>
      </c>
      <c r="BR296" t="s">
        <v>347</v>
      </c>
      <c r="BS296" t="s">
        <v>346</v>
      </c>
      <c r="BT296" t="s">
        <v>347</v>
      </c>
      <c r="BU296" t="b">
        <f t="shared" si="271"/>
        <v>1</v>
      </c>
      <c r="BZ296" t="str">
        <f t="shared" si="256"/>
        <v>G714</v>
      </c>
      <c r="CA296" t="b">
        <f t="shared" si="257"/>
        <v>0</v>
      </c>
      <c r="CB296" t="str">
        <f t="shared" si="272"/>
        <v>G714</v>
      </c>
      <c r="CC296" t="str">
        <f t="shared" si="258"/>
        <v>R191</v>
      </c>
      <c r="CD296" t="b">
        <f t="shared" si="273"/>
        <v>0</v>
      </c>
      <c r="CE296" t="str">
        <f t="shared" si="274"/>
        <v>R191</v>
      </c>
      <c r="CG296" t="str">
        <f t="shared" si="259"/>
        <v>G742</v>
      </c>
      <c r="CH296" t="str">
        <f t="shared" si="275"/>
        <v>G742</v>
      </c>
      <c r="CI296" t="str">
        <f t="shared" si="260"/>
        <v>G627</v>
      </c>
      <c r="CJ296" t="str">
        <f t="shared" si="261"/>
        <v>G627</v>
      </c>
      <c r="CK296" t="s">
        <v>1308</v>
      </c>
      <c r="CL296" t="s">
        <v>1308</v>
      </c>
      <c r="CM296" t="s">
        <v>1308</v>
      </c>
      <c r="CN296" t="b">
        <f t="shared" si="276"/>
        <v>1</v>
      </c>
      <c r="CO296" t="str">
        <f t="shared" si="262"/>
        <v>R505</v>
      </c>
      <c r="CP296" t="str">
        <f t="shared" si="277"/>
        <v>R505</v>
      </c>
      <c r="CQ296" t="str">
        <f t="shared" si="263"/>
        <v>R14</v>
      </c>
      <c r="CR296" t="str">
        <f t="shared" si="264"/>
        <v>R14</v>
      </c>
      <c r="CS296" t="s">
        <v>636</v>
      </c>
      <c r="CT296" t="s">
        <v>636</v>
      </c>
      <c r="CU296" t="s">
        <v>636</v>
      </c>
      <c r="CV296" t="b">
        <f t="shared" si="278"/>
        <v>1</v>
      </c>
      <c r="DC296" t="str">
        <f t="shared" si="265"/>
        <v>G627</v>
      </c>
      <c r="DD296" t="b">
        <f t="shared" si="279"/>
        <v>0</v>
      </c>
      <c r="DE296" t="str">
        <f t="shared" si="280"/>
        <v>G627</v>
      </c>
      <c r="DF296" t="str">
        <f t="shared" si="266"/>
        <v>R14</v>
      </c>
      <c r="DG296" t="b">
        <f t="shared" si="281"/>
        <v>0</v>
      </c>
      <c r="DH296" t="str">
        <f t="shared" si="282"/>
        <v>R14</v>
      </c>
    </row>
    <row r="297" spans="2:112" ht="12" customHeight="1">
      <c r="B297" t="str">
        <f>TBIDry!H369</f>
        <v>G866</v>
      </c>
      <c r="C297" t="str">
        <f>TBIDry!I369</f>
        <v>R275</v>
      </c>
      <c r="D297" t="b">
        <f t="shared" si="229"/>
        <v>0</v>
      </c>
      <c r="E297" t="b">
        <f t="shared" si="230"/>
        <v>0</v>
      </c>
      <c r="G297" t="str">
        <f>TBIWet!H369</f>
        <v>G579</v>
      </c>
      <c r="H297" t="str">
        <f>TBIWet!I369</f>
        <v>R138</v>
      </c>
      <c r="I297" t="b">
        <f t="shared" si="231"/>
        <v>0</v>
      </c>
      <c r="J297" t="b">
        <f t="shared" si="232"/>
        <v>0</v>
      </c>
      <c r="L297" t="str">
        <f>'Both teabags AfterWet'!A295</f>
        <v>G744</v>
      </c>
      <c r="M297" t="str">
        <f>'Both teabags AfterWet'!A715</f>
        <v>R507</v>
      </c>
      <c r="N297" t="b">
        <f t="shared" si="233"/>
        <v>0</v>
      </c>
      <c r="O297" t="b">
        <f t="shared" si="283"/>
        <v>0</v>
      </c>
      <c r="Q297" s="388" t="b">
        <f t="shared" si="234"/>
        <v>0</v>
      </c>
      <c r="R297" s="388" t="b">
        <f t="shared" si="235"/>
        <v>0</v>
      </c>
      <c r="T297" t="str">
        <f>'Both teabags AfterDry'!A295</f>
        <v>G757</v>
      </c>
      <c r="U297" t="str">
        <f>'Both teabags AfterDry'!A630</f>
        <v>R794</v>
      </c>
      <c r="V297" t="b">
        <f t="shared" si="236"/>
        <v>0</v>
      </c>
      <c r="W297" t="b">
        <f t="shared" si="267"/>
        <v>0</v>
      </c>
      <c r="Y297" t="str">
        <f>'Green_rooibos initial weight'!A298</f>
        <v>G294</v>
      </c>
      <c r="Z297" t="str">
        <f>'Green_rooibos initial weight'!A1202</f>
        <v>R294</v>
      </c>
      <c r="AA297" t="b">
        <f t="shared" si="237"/>
        <v>0</v>
      </c>
      <c r="AB297" t="b">
        <f t="shared" si="238"/>
        <v>0</v>
      </c>
      <c r="AE297" t="str">
        <f>'WetLitterbags placem_collection'!O76</f>
        <v>G579</v>
      </c>
      <c r="AF297" t="str">
        <f>'WetLitterbags placem_collection'!Q76</f>
        <v>R138</v>
      </c>
      <c r="AG297" t="b">
        <f t="shared" si="239"/>
        <v>0</v>
      </c>
      <c r="AH297" t="b">
        <f t="shared" si="240"/>
        <v>0</v>
      </c>
      <c r="AJ297" t="b">
        <f t="shared" si="241"/>
        <v>0</v>
      </c>
      <c r="AK297" t="b">
        <f t="shared" si="242"/>
        <v>0</v>
      </c>
      <c r="AM297" t="str">
        <f>IF(ISBLANK('Dry_Litterbag Placem_Collection'!L76),"","G"&amp;""&amp;'Dry_Litterbag Placem_Collection'!L76)</f>
        <v>G866</v>
      </c>
      <c r="AN297" t="str">
        <f>IF(ISBLANK('Dry_Litterbag Placem_Collection'!M76),"","R"&amp;""&amp;'Dry_Litterbag Placem_Collection'!M76)</f>
        <v>R275</v>
      </c>
      <c r="AO297" t="b">
        <f t="shared" si="243"/>
        <v>0</v>
      </c>
      <c r="AP297" t="b">
        <f t="shared" si="244"/>
        <v>0</v>
      </c>
      <c r="AS297" t="str">
        <f>'Ashed teabags dry'!A295</f>
        <v>G757</v>
      </c>
      <c r="AT297" t="str">
        <f>'Ashed teabags dry'!A630</f>
        <v>R794</v>
      </c>
      <c r="AU297" t="b">
        <f t="shared" si="245"/>
        <v>0</v>
      </c>
      <c r="AV297" t="b">
        <f t="shared" si="268"/>
        <v>0</v>
      </c>
      <c r="AX297" s="388" t="b">
        <f t="shared" si="246"/>
        <v>0</v>
      </c>
      <c r="AY297" s="388" t="b">
        <f t="shared" si="247"/>
        <v>0</v>
      </c>
      <c r="BA297" t="str">
        <f>'Ashed teabags wet'!A295</f>
        <v>G744</v>
      </c>
      <c r="BB297" t="str">
        <f>'Ashed teabags wet'!A715</f>
        <v>R507</v>
      </c>
      <c r="BC297" t="b">
        <f t="shared" si="248"/>
        <v>0</v>
      </c>
      <c r="BD297" t="b">
        <f t="shared" si="228"/>
        <v>0</v>
      </c>
      <c r="BF297" t="str">
        <f t="shared" si="249"/>
        <v>G750</v>
      </c>
      <c r="BG297" t="str">
        <f t="shared" si="250"/>
        <v>G750</v>
      </c>
      <c r="BH297" t="str">
        <f t="shared" si="251"/>
        <v>G726</v>
      </c>
      <c r="BI297" t="str">
        <f t="shared" si="269"/>
        <v/>
      </c>
      <c r="BJ297" t="s">
        <v>1300</v>
      </c>
      <c r="BK297" t="s">
        <v>1300</v>
      </c>
      <c r="BL297" t="s">
        <v>1300</v>
      </c>
      <c r="BM297" t="b">
        <f t="shared" si="270"/>
        <v>1</v>
      </c>
      <c r="BN297" t="str">
        <f t="shared" si="252"/>
        <v>R793</v>
      </c>
      <c r="BO297" t="str">
        <f t="shared" si="253"/>
        <v>R793</v>
      </c>
      <c r="BP297" t="str">
        <f t="shared" si="254"/>
        <v>R160</v>
      </c>
      <c r="BQ297" t="str">
        <f t="shared" si="255"/>
        <v/>
      </c>
      <c r="BR297" t="s">
        <v>346</v>
      </c>
      <c r="BS297" t="s">
        <v>345</v>
      </c>
      <c r="BT297" t="s">
        <v>346</v>
      </c>
      <c r="BU297" t="b">
        <f t="shared" si="271"/>
        <v>1</v>
      </c>
      <c r="BZ297" t="str">
        <f t="shared" si="256"/>
        <v>G726</v>
      </c>
      <c r="CA297" t="b">
        <f t="shared" si="257"/>
        <v>1</v>
      </c>
      <c r="CB297" t="str">
        <f t="shared" si="272"/>
        <v/>
      </c>
      <c r="CC297" t="str">
        <f t="shared" si="258"/>
        <v>R160</v>
      </c>
      <c r="CD297" t="b">
        <f t="shared" si="273"/>
        <v>1</v>
      </c>
      <c r="CE297" t="str">
        <f t="shared" si="274"/>
        <v/>
      </c>
      <c r="CG297" t="str">
        <f t="shared" si="259"/>
        <v>G743</v>
      </c>
      <c r="CH297" t="str">
        <f t="shared" si="275"/>
        <v>G743</v>
      </c>
      <c r="CI297" t="str">
        <f t="shared" si="260"/>
        <v>G498</v>
      </c>
      <c r="CJ297" t="str">
        <f t="shared" si="261"/>
        <v>G498</v>
      </c>
      <c r="CK297" t="s">
        <v>1307</v>
      </c>
      <c r="CL297" t="s">
        <v>1307</v>
      </c>
      <c r="CM297" t="s">
        <v>1307</v>
      </c>
      <c r="CN297" t="b">
        <f t="shared" si="276"/>
        <v>1</v>
      </c>
      <c r="CO297" t="str">
        <f t="shared" si="262"/>
        <v>R506</v>
      </c>
      <c r="CP297" t="str">
        <f t="shared" si="277"/>
        <v>R506</v>
      </c>
      <c r="CQ297" t="str">
        <f t="shared" si="263"/>
        <v>R393</v>
      </c>
      <c r="CR297" t="str">
        <f t="shared" si="264"/>
        <v>R393</v>
      </c>
      <c r="CS297" t="s">
        <v>635</v>
      </c>
      <c r="CT297" t="s">
        <v>635</v>
      </c>
      <c r="CU297" t="s">
        <v>635</v>
      </c>
      <c r="CV297" t="b">
        <f t="shared" si="278"/>
        <v>1</v>
      </c>
      <c r="DC297" t="str">
        <f t="shared" si="265"/>
        <v>G498</v>
      </c>
      <c r="DD297" t="b">
        <f t="shared" si="279"/>
        <v>0</v>
      </c>
      <c r="DE297" t="str">
        <f t="shared" si="280"/>
        <v>G498</v>
      </c>
      <c r="DF297" t="str">
        <f t="shared" si="266"/>
        <v>R393</v>
      </c>
      <c r="DG297" t="b">
        <f t="shared" si="281"/>
        <v>0</v>
      </c>
      <c r="DH297" t="str">
        <f t="shared" si="282"/>
        <v>R393</v>
      </c>
    </row>
    <row r="298" spans="2:112" ht="12" customHeight="1">
      <c r="B298" t="str">
        <f>TBIDry!H370</f>
        <v>G705</v>
      </c>
      <c r="C298" t="str">
        <f>TBIDry!I370</f>
        <v>R657</v>
      </c>
      <c r="D298" t="b">
        <f t="shared" si="229"/>
        <v>0</v>
      </c>
      <c r="E298" t="b">
        <f t="shared" si="230"/>
        <v>0</v>
      </c>
      <c r="G298" t="str">
        <f>TBIWet!H370</f>
        <v>G373</v>
      </c>
      <c r="H298" t="str">
        <f>TBIWet!I370</f>
        <v>R311</v>
      </c>
      <c r="I298" t="b">
        <f t="shared" si="231"/>
        <v>0</v>
      </c>
      <c r="J298" t="b">
        <f t="shared" si="232"/>
        <v>0</v>
      </c>
      <c r="L298" t="str">
        <f>'Both teabags AfterWet'!A296</f>
        <v>G745</v>
      </c>
      <c r="M298" t="str">
        <f>'Both teabags AfterWet'!A716</f>
        <v>R508</v>
      </c>
      <c r="N298" t="b">
        <f t="shared" si="233"/>
        <v>0</v>
      </c>
      <c r="O298" t="b">
        <f t="shared" si="283"/>
        <v>0</v>
      </c>
      <c r="Q298" s="388" t="b">
        <f t="shared" si="234"/>
        <v>0</v>
      </c>
      <c r="R298" s="388" t="b">
        <f t="shared" si="235"/>
        <v>0</v>
      </c>
      <c r="T298" t="str">
        <f>'Both teabags AfterDry'!A296</f>
        <v>G759</v>
      </c>
      <c r="U298" t="str">
        <f>'Both teabags AfterDry'!A631</f>
        <v>R795</v>
      </c>
      <c r="V298" t="b">
        <f t="shared" si="236"/>
        <v>0</v>
      </c>
      <c r="W298" t="b">
        <f t="shared" si="267"/>
        <v>0</v>
      </c>
      <c r="Y298" t="str">
        <f>'Green_rooibos initial weight'!A299</f>
        <v>G295</v>
      </c>
      <c r="Z298" t="str">
        <f>'Green_rooibos initial weight'!A1203</f>
        <v>R295</v>
      </c>
      <c r="AA298" t="b">
        <f t="shared" si="237"/>
        <v>0</v>
      </c>
      <c r="AB298" t="b">
        <f t="shared" si="238"/>
        <v>0</v>
      </c>
      <c r="AE298" t="str">
        <f>'WetLitterbags placem_collection'!O77</f>
        <v>G373</v>
      </c>
      <c r="AF298" t="str">
        <f>'WetLitterbags placem_collection'!Q77</f>
        <v>R311</v>
      </c>
      <c r="AG298" t="b">
        <f t="shared" si="239"/>
        <v>0</v>
      </c>
      <c r="AH298" t="b">
        <f t="shared" si="240"/>
        <v>0</v>
      </c>
      <c r="AJ298" t="b">
        <f t="shared" si="241"/>
        <v>0</v>
      </c>
      <c r="AK298" t="b">
        <f t="shared" si="242"/>
        <v>0</v>
      </c>
      <c r="AM298" t="str">
        <f>IF(ISBLANK('Dry_Litterbag Placem_Collection'!L77),"","G"&amp;""&amp;'Dry_Litterbag Placem_Collection'!L77)</f>
        <v>G705</v>
      </c>
      <c r="AN298" t="str">
        <f>IF(ISBLANK('Dry_Litterbag Placem_Collection'!M77),"","R"&amp;""&amp;'Dry_Litterbag Placem_Collection'!M77)</f>
        <v>R657</v>
      </c>
      <c r="AO298" t="b">
        <f t="shared" si="243"/>
        <v>0</v>
      </c>
      <c r="AP298" t="b">
        <f t="shared" si="244"/>
        <v>0</v>
      </c>
      <c r="AS298" t="str">
        <f>'Ashed teabags dry'!A296</f>
        <v>G759</v>
      </c>
      <c r="AT298" t="str">
        <f>'Ashed teabags dry'!A631</f>
        <v>R795</v>
      </c>
      <c r="AU298" t="b">
        <f t="shared" si="245"/>
        <v>0</v>
      </c>
      <c r="AV298" t="b">
        <f t="shared" si="268"/>
        <v>0</v>
      </c>
      <c r="AX298" s="388" t="b">
        <f t="shared" si="246"/>
        <v>0</v>
      </c>
      <c r="AY298" s="388" t="b">
        <f t="shared" si="247"/>
        <v>0</v>
      </c>
      <c r="BA298" t="str">
        <f>'Ashed teabags wet'!A296</f>
        <v>G745</v>
      </c>
      <c r="BB298" t="str">
        <f>'Ashed teabags wet'!A716</f>
        <v>R508</v>
      </c>
      <c r="BC298" t="b">
        <f t="shared" si="248"/>
        <v>0</v>
      </c>
      <c r="BD298" t="b">
        <f t="shared" si="228"/>
        <v>0</v>
      </c>
      <c r="BF298" t="str">
        <f t="shared" si="249"/>
        <v>G757</v>
      </c>
      <c r="BG298" t="str">
        <f t="shared" si="250"/>
        <v>G757</v>
      </c>
      <c r="BH298" t="str">
        <f t="shared" si="251"/>
        <v>G866</v>
      </c>
      <c r="BI298" t="str">
        <f t="shared" si="269"/>
        <v>G866</v>
      </c>
      <c r="BJ298" t="s">
        <v>1293</v>
      </c>
      <c r="BK298" t="s">
        <v>1293</v>
      </c>
      <c r="BL298" t="s">
        <v>1293</v>
      </c>
      <c r="BM298" t="b">
        <f t="shared" si="270"/>
        <v>1</v>
      </c>
      <c r="BN298" t="str">
        <f t="shared" si="252"/>
        <v>R794</v>
      </c>
      <c r="BO298" t="str">
        <f t="shared" si="253"/>
        <v>R794</v>
      </c>
      <c r="BP298" t="str">
        <f t="shared" si="254"/>
        <v>R275</v>
      </c>
      <c r="BQ298" t="str">
        <f t="shared" si="255"/>
        <v>R275</v>
      </c>
      <c r="BR298" t="s">
        <v>345</v>
      </c>
      <c r="BS298" t="s">
        <v>344</v>
      </c>
      <c r="BT298" t="s">
        <v>345</v>
      </c>
      <c r="BU298" t="b">
        <f t="shared" si="271"/>
        <v>1</v>
      </c>
      <c r="BZ298" t="str">
        <f t="shared" si="256"/>
        <v>G866</v>
      </c>
      <c r="CA298" t="b">
        <f t="shared" si="257"/>
        <v>0</v>
      </c>
      <c r="CB298" t="str">
        <f t="shared" si="272"/>
        <v>G866</v>
      </c>
      <c r="CC298" t="str">
        <f t="shared" si="258"/>
        <v>R275</v>
      </c>
      <c r="CD298" t="b">
        <f t="shared" si="273"/>
        <v>0</v>
      </c>
      <c r="CE298" t="str">
        <f t="shared" si="274"/>
        <v>R275</v>
      </c>
      <c r="CG298" t="str">
        <f t="shared" si="259"/>
        <v>G744</v>
      </c>
      <c r="CH298" t="str">
        <f t="shared" si="275"/>
        <v>G744</v>
      </c>
      <c r="CI298" t="str">
        <f t="shared" si="260"/>
        <v>G579</v>
      </c>
      <c r="CJ298" t="str">
        <f t="shared" si="261"/>
        <v>G579</v>
      </c>
      <c r="CK298" t="s">
        <v>1306</v>
      </c>
      <c r="CL298" t="s">
        <v>1306</v>
      </c>
      <c r="CM298" t="s">
        <v>1306</v>
      </c>
      <c r="CN298" t="b">
        <f t="shared" si="276"/>
        <v>1</v>
      </c>
      <c r="CO298" t="str">
        <f t="shared" si="262"/>
        <v>R507</v>
      </c>
      <c r="CP298" t="str">
        <f t="shared" si="277"/>
        <v>R507</v>
      </c>
      <c r="CQ298" t="str">
        <f t="shared" si="263"/>
        <v>R138</v>
      </c>
      <c r="CR298" t="str">
        <f t="shared" si="264"/>
        <v>R138</v>
      </c>
      <c r="CS298" t="s">
        <v>634</v>
      </c>
      <c r="CT298" t="s">
        <v>634</v>
      </c>
      <c r="CU298" t="s">
        <v>634</v>
      </c>
      <c r="CV298" t="b">
        <f t="shared" si="278"/>
        <v>1</v>
      </c>
      <c r="DC298" t="str">
        <f t="shared" si="265"/>
        <v>G579</v>
      </c>
      <c r="DD298" t="b">
        <f t="shared" si="279"/>
        <v>0</v>
      </c>
      <c r="DE298" t="str">
        <f t="shared" si="280"/>
        <v>G579</v>
      </c>
      <c r="DF298" t="str">
        <f t="shared" si="266"/>
        <v>R138</v>
      </c>
      <c r="DG298" t="b">
        <f t="shared" si="281"/>
        <v>0</v>
      </c>
      <c r="DH298" t="str">
        <f t="shared" si="282"/>
        <v>R138</v>
      </c>
    </row>
    <row r="299" spans="2:112" ht="12" customHeight="1">
      <c r="B299" t="str">
        <f>TBIDry!H371</f>
        <v>G601</v>
      </c>
      <c r="C299" t="str">
        <f>TBIDry!I371</f>
        <v>R306</v>
      </c>
      <c r="D299" t="b">
        <f t="shared" si="229"/>
        <v>0</v>
      </c>
      <c r="E299" t="b">
        <f t="shared" si="230"/>
        <v>0</v>
      </c>
      <c r="G299" t="str">
        <f>TBIWet!H371</f>
        <v>G603</v>
      </c>
      <c r="H299" t="str">
        <f>TBIWet!I371</f>
        <v>R183</v>
      </c>
      <c r="I299" t="b">
        <f t="shared" si="231"/>
        <v>0</v>
      </c>
      <c r="J299" t="b">
        <f t="shared" si="232"/>
        <v>0</v>
      </c>
      <c r="L299" t="str">
        <f>'Both teabags AfterWet'!A297</f>
        <v>G746</v>
      </c>
      <c r="M299" t="str">
        <f>'Both teabags AfterWet'!A717</f>
        <v>R509</v>
      </c>
      <c r="N299" t="b">
        <f t="shared" si="233"/>
        <v>0</v>
      </c>
      <c r="O299" t="b">
        <f t="shared" si="283"/>
        <v>0</v>
      </c>
      <c r="Q299" s="388" t="b">
        <f t="shared" si="234"/>
        <v>0</v>
      </c>
      <c r="R299" s="388" t="b">
        <f t="shared" si="235"/>
        <v>0</v>
      </c>
      <c r="T299" t="str">
        <f>'Both teabags AfterDry'!A297</f>
        <v>G76</v>
      </c>
      <c r="U299" t="str">
        <f>'Both teabags AfterDry'!A632</f>
        <v>R796</v>
      </c>
      <c r="V299" t="b">
        <f t="shared" si="236"/>
        <v>0</v>
      </c>
      <c r="W299" t="b">
        <f t="shared" si="267"/>
        <v>0</v>
      </c>
      <c r="Y299" t="str">
        <f>'Green_rooibos initial weight'!A300</f>
        <v>G296</v>
      </c>
      <c r="Z299" t="str">
        <f>'Green_rooibos initial weight'!A1204</f>
        <v>R296</v>
      </c>
      <c r="AA299" t="b">
        <f t="shared" si="237"/>
        <v>0</v>
      </c>
      <c r="AB299" t="b">
        <f t="shared" si="238"/>
        <v>0</v>
      </c>
      <c r="AE299" t="str">
        <f>'WetLitterbags placem_collection'!O78</f>
        <v>G603</v>
      </c>
      <c r="AF299" t="str">
        <f>'WetLitterbags placem_collection'!Q78</f>
        <v>R183</v>
      </c>
      <c r="AG299" t="b">
        <f t="shared" si="239"/>
        <v>0</v>
      </c>
      <c r="AH299" t="b">
        <f t="shared" si="240"/>
        <v>0</v>
      </c>
      <c r="AJ299" t="b">
        <f t="shared" si="241"/>
        <v>0</v>
      </c>
      <c r="AK299" t="b">
        <f t="shared" si="242"/>
        <v>0</v>
      </c>
      <c r="AM299" t="str">
        <f>IF(ISBLANK('Dry_Litterbag Placem_Collection'!L78),"","G"&amp;""&amp;'Dry_Litterbag Placem_Collection'!L78)</f>
        <v>G601</v>
      </c>
      <c r="AN299" t="str">
        <f>IF(ISBLANK('Dry_Litterbag Placem_Collection'!M78),"","R"&amp;""&amp;'Dry_Litterbag Placem_Collection'!M78)</f>
        <v>R306</v>
      </c>
      <c r="AO299" t="b">
        <f t="shared" si="243"/>
        <v>0</v>
      </c>
      <c r="AP299" t="b">
        <f t="shared" si="244"/>
        <v>0</v>
      </c>
      <c r="AS299" t="str">
        <f>'Ashed teabags dry'!A297</f>
        <v>G76</v>
      </c>
      <c r="AT299" t="str">
        <f>'Ashed teabags dry'!A632</f>
        <v>R796</v>
      </c>
      <c r="AU299" t="b">
        <f t="shared" si="245"/>
        <v>0</v>
      </c>
      <c r="AV299" t="b">
        <f t="shared" si="268"/>
        <v>0</v>
      </c>
      <c r="AX299" s="388" t="b">
        <f t="shared" si="246"/>
        <v>0</v>
      </c>
      <c r="AY299" s="388" t="b">
        <f t="shared" si="247"/>
        <v>0</v>
      </c>
      <c r="BA299" t="str">
        <f>'Ashed teabags wet'!A297</f>
        <v>G746</v>
      </c>
      <c r="BB299" t="str">
        <f>'Ashed teabags wet'!A717</f>
        <v>R509</v>
      </c>
      <c r="BC299" t="b">
        <f t="shared" si="248"/>
        <v>0</v>
      </c>
      <c r="BD299" t="b">
        <f t="shared" si="228"/>
        <v>0</v>
      </c>
      <c r="BF299" t="str">
        <f t="shared" si="249"/>
        <v>G759</v>
      </c>
      <c r="BG299" t="str">
        <f t="shared" si="250"/>
        <v>G759</v>
      </c>
      <c r="BH299" t="str">
        <f t="shared" si="251"/>
        <v>G705</v>
      </c>
      <c r="BI299" t="str">
        <f t="shared" si="269"/>
        <v>G705</v>
      </c>
      <c r="BJ299" t="s">
        <v>1291</v>
      </c>
      <c r="BK299" t="s">
        <v>1291</v>
      </c>
      <c r="BL299" t="s">
        <v>1291</v>
      </c>
      <c r="BM299" t="b">
        <f t="shared" si="270"/>
        <v>1</v>
      </c>
      <c r="BN299" t="str">
        <f t="shared" si="252"/>
        <v>R795</v>
      </c>
      <c r="BO299" t="str">
        <f t="shared" si="253"/>
        <v>R795</v>
      </c>
      <c r="BP299" t="str">
        <f t="shared" si="254"/>
        <v>R657</v>
      </c>
      <c r="BQ299" t="str">
        <f t="shared" si="255"/>
        <v>R657</v>
      </c>
      <c r="BR299" t="s">
        <v>344</v>
      </c>
      <c r="BS299" t="s">
        <v>343</v>
      </c>
      <c r="BT299" t="s">
        <v>344</v>
      </c>
      <c r="BU299" t="b">
        <f t="shared" si="271"/>
        <v>1</v>
      </c>
      <c r="BZ299" t="str">
        <f t="shared" si="256"/>
        <v>G705</v>
      </c>
      <c r="CA299" t="b">
        <f t="shared" si="257"/>
        <v>0</v>
      </c>
      <c r="CB299" t="str">
        <f t="shared" si="272"/>
        <v>G705</v>
      </c>
      <c r="CC299" t="str">
        <f t="shared" si="258"/>
        <v>R657</v>
      </c>
      <c r="CD299" t="b">
        <f t="shared" si="273"/>
        <v>0</v>
      </c>
      <c r="CE299" t="str">
        <f t="shared" si="274"/>
        <v>R657</v>
      </c>
      <c r="CG299" t="str">
        <f t="shared" si="259"/>
        <v>G745</v>
      </c>
      <c r="CH299" t="str">
        <f t="shared" si="275"/>
        <v>G745</v>
      </c>
      <c r="CI299" t="str">
        <f t="shared" si="260"/>
        <v>G373</v>
      </c>
      <c r="CJ299" t="str">
        <f t="shared" si="261"/>
        <v>G373</v>
      </c>
      <c r="CK299" t="s">
        <v>1305</v>
      </c>
      <c r="CL299" t="s">
        <v>1305</v>
      </c>
      <c r="CM299" t="s">
        <v>1305</v>
      </c>
      <c r="CN299" t="b">
        <f t="shared" si="276"/>
        <v>1</v>
      </c>
      <c r="CO299" t="str">
        <f t="shared" si="262"/>
        <v>R508</v>
      </c>
      <c r="CP299" t="str">
        <f t="shared" si="277"/>
        <v>R508</v>
      </c>
      <c r="CQ299" t="str">
        <f t="shared" si="263"/>
        <v>R311</v>
      </c>
      <c r="CR299" t="str">
        <f t="shared" si="264"/>
        <v>R311</v>
      </c>
      <c r="CS299" t="s">
        <v>633</v>
      </c>
      <c r="CT299" t="s">
        <v>633</v>
      </c>
      <c r="CU299" t="s">
        <v>633</v>
      </c>
      <c r="CV299" t="b">
        <f t="shared" si="278"/>
        <v>1</v>
      </c>
      <c r="DC299" t="str">
        <f t="shared" si="265"/>
        <v>G373</v>
      </c>
      <c r="DD299" t="b">
        <f t="shared" si="279"/>
        <v>0</v>
      </c>
      <c r="DE299" t="str">
        <f t="shared" si="280"/>
        <v>G373</v>
      </c>
      <c r="DF299" t="str">
        <f t="shared" si="266"/>
        <v>R311</v>
      </c>
      <c r="DG299" t="b">
        <f t="shared" si="281"/>
        <v>0</v>
      </c>
      <c r="DH299" t="str">
        <f t="shared" si="282"/>
        <v>R311</v>
      </c>
    </row>
    <row r="300" spans="2:112" ht="12" customHeight="1">
      <c r="B300" t="str">
        <f>TBIDry!H372</f>
        <v/>
      </c>
      <c r="C300" t="str">
        <f>TBIDry!I372</f>
        <v/>
      </c>
      <c r="D300" t="b">
        <f t="shared" si="229"/>
        <v>1</v>
      </c>
      <c r="E300" t="b">
        <f t="shared" si="230"/>
        <v>1</v>
      </c>
      <c r="G300" t="str">
        <f>TBIWet!H372</f>
        <v>G509</v>
      </c>
      <c r="H300" t="str">
        <f>TBIWet!I372</f>
        <v>R228</v>
      </c>
      <c r="I300" t="b">
        <f t="shared" si="231"/>
        <v>0</v>
      </c>
      <c r="J300" t="b">
        <f t="shared" si="232"/>
        <v>0</v>
      </c>
      <c r="L300" t="str">
        <f>'Both teabags AfterWet'!A298</f>
        <v>G747</v>
      </c>
      <c r="M300" t="str">
        <f>'Both teabags AfterWet'!A718</f>
        <v>R51</v>
      </c>
      <c r="N300" t="b">
        <f t="shared" si="233"/>
        <v>0</v>
      </c>
      <c r="O300" t="b">
        <f t="shared" si="283"/>
        <v>0</v>
      </c>
      <c r="Q300" s="388" t="b">
        <f t="shared" si="234"/>
        <v>0</v>
      </c>
      <c r="R300" s="388" t="b">
        <f t="shared" si="235"/>
        <v>0</v>
      </c>
      <c r="T300" t="str">
        <f>'Both teabags AfterDry'!A298</f>
        <v>G766</v>
      </c>
      <c r="U300" t="str">
        <f>'Both teabags AfterDry'!A633</f>
        <v>R797</v>
      </c>
      <c r="V300" t="b">
        <f t="shared" si="236"/>
        <v>0</v>
      </c>
      <c r="W300" t="b">
        <f t="shared" si="267"/>
        <v>0</v>
      </c>
      <c r="Y300" t="str">
        <f>'Green_rooibos initial weight'!A301</f>
        <v>G297</v>
      </c>
      <c r="Z300" t="str">
        <f>'Green_rooibos initial weight'!A1205</f>
        <v>R297</v>
      </c>
      <c r="AA300" t="b">
        <f t="shared" si="237"/>
        <v>0</v>
      </c>
      <c r="AB300" t="b">
        <f t="shared" si="238"/>
        <v>0</v>
      </c>
      <c r="AE300" t="str">
        <f>'WetLitterbags placem_collection'!O79</f>
        <v>G509</v>
      </c>
      <c r="AF300" t="str">
        <f>'WetLitterbags placem_collection'!Q79</f>
        <v>R228</v>
      </c>
      <c r="AG300" t="b">
        <f t="shared" si="239"/>
        <v>0</v>
      </c>
      <c r="AH300" t="b">
        <f t="shared" si="240"/>
        <v>0</v>
      </c>
      <c r="AJ300" t="b">
        <f t="shared" si="241"/>
        <v>0</v>
      </c>
      <c r="AK300" t="b">
        <f t="shared" si="242"/>
        <v>0</v>
      </c>
      <c r="AM300" t="str">
        <f>IF(ISBLANK('Dry_Litterbag Placem_Collection'!L79),"","G"&amp;""&amp;'Dry_Litterbag Placem_Collection'!L79)</f>
        <v/>
      </c>
      <c r="AN300" t="str">
        <f>IF(ISBLANK('Dry_Litterbag Placem_Collection'!M79),"","R"&amp;""&amp;'Dry_Litterbag Placem_Collection'!M79)</f>
        <v/>
      </c>
      <c r="AO300" t="b">
        <f t="shared" si="243"/>
        <v>1</v>
      </c>
      <c r="AP300" t="b">
        <f t="shared" si="244"/>
        <v>1</v>
      </c>
      <c r="AS300" t="str">
        <f>'Ashed teabags dry'!A298</f>
        <v>G766</v>
      </c>
      <c r="AT300" t="str">
        <f>'Ashed teabags dry'!A633</f>
        <v>R797</v>
      </c>
      <c r="AU300" t="b">
        <f t="shared" si="245"/>
        <v>0</v>
      </c>
      <c r="AV300" t="b">
        <f t="shared" si="268"/>
        <v>0</v>
      </c>
      <c r="AX300" s="388" t="b">
        <f t="shared" si="246"/>
        <v>0</v>
      </c>
      <c r="AY300" s="388" t="b">
        <f t="shared" si="247"/>
        <v>0</v>
      </c>
      <c r="BA300" t="str">
        <f>'Ashed teabags wet'!A298</f>
        <v>G747</v>
      </c>
      <c r="BB300" t="str">
        <f>'Ashed teabags wet'!A718</f>
        <v>R51</v>
      </c>
      <c r="BC300" t="b">
        <f t="shared" si="248"/>
        <v>0</v>
      </c>
      <c r="BD300" t="b">
        <f t="shared" si="228"/>
        <v>0</v>
      </c>
      <c r="BF300" t="str">
        <f t="shared" si="249"/>
        <v>G76</v>
      </c>
      <c r="BG300" t="str">
        <f t="shared" si="250"/>
        <v>G76</v>
      </c>
      <c r="BH300" t="str">
        <f t="shared" si="251"/>
        <v>G601</v>
      </c>
      <c r="BI300" t="str">
        <f t="shared" si="269"/>
        <v>G601</v>
      </c>
      <c r="BJ300" t="s">
        <v>1974</v>
      </c>
      <c r="BK300" t="s">
        <v>1974</v>
      </c>
      <c r="BL300" t="s">
        <v>1974</v>
      </c>
      <c r="BM300" t="b">
        <f t="shared" si="270"/>
        <v>1</v>
      </c>
      <c r="BN300" t="str">
        <f t="shared" si="252"/>
        <v>R796</v>
      </c>
      <c r="BO300" t="str">
        <f t="shared" si="253"/>
        <v>R796</v>
      </c>
      <c r="BP300" t="str">
        <f t="shared" si="254"/>
        <v>R306</v>
      </c>
      <c r="BQ300" t="str">
        <f t="shared" si="255"/>
        <v>R306</v>
      </c>
      <c r="BR300" t="s">
        <v>343</v>
      </c>
      <c r="BS300" t="s">
        <v>342</v>
      </c>
      <c r="BT300" t="s">
        <v>343</v>
      </c>
      <c r="BU300" t="b">
        <f t="shared" si="271"/>
        <v>1</v>
      </c>
      <c r="BZ300" t="str">
        <f t="shared" si="256"/>
        <v>G601</v>
      </c>
      <c r="CA300" t="b">
        <f t="shared" si="257"/>
        <v>0</v>
      </c>
      <c r="CB300" t="str">
        <f t="shared" si="272"/>
        <v>G601</v>
      </c>
      <c r="CC300" t="str">
        <f t="shared" si="258"/>
        <v>R306</v>
      </c>
      <c r="CD300" t="b">
        <f t="shared" si="273"/>
        <v>0</v>
      </c>
      <c r="CE300" t="str">
        <f t="shared" si="274"/>
        <v>R306</v>
      </c>
      <c r="CG300" t="str">
        <f t="shared" si="259"/>
        <v>G746</v>
      </c>
      <c r="CH300" t="str">
        <f t="shared" si="275"/>
        <v>G746</v>
      </c>
      <c r="CI300" t="str">
        <f t="shared" si="260"/>
        <v>G603</v>
      </c>
      <c r="CJ300" t="str">
        <f t="shared" si="261"/>
        <v>G603</v>
      </c>
      <c r="CK300" t="s">
        <v>1304</v>
      </c>
      <c r="CL300" t="s">
        <v>1304</v>
      </c>
      <c r="CM300" t="s">
        <v>1304</v>
      </c>
      <c r="CN300" t="b">
        <f t="shared" si="276"/>
        <v>1</v>
      </c>
      <c r="CO300" t="str">
        <f t="shared" si="262"/>
        <v>R509</v>
      </c>
      <c r="CP300" t="str">
        <f t="shared" si="277"/>
        <v>R509</v>
      </c>
      <c r="CQ300" t="str">
        <f t="shared" si="263"/>
        <v>R183</v>
      </c>
      <c r="CR300" t="str">
        <f t="shared" si="264"/>
        <v>R183</v>
      </c>
      <c r="CS300" t="s">
        <v>632</v>
      </c>
      <c r="CT300" t="s">
        <v>632</v>
      </c>
      <c r="CU300" t="s">
        <v>632</v>
      </c>
      <c r="CV300" t="b">
        <f t="shared" si="278"/>
        <v>1</v>
      </c>
      <c r="DC300" t="str">
        <f t="shared" si="265"/>
        <v>G603</v>
      </c>
      <c r="DD300" t="b">
        <f t="shared" si="279"/>
        <v>0</v>
      </c>
      <c r="DE300" t="str">
        <f t="shared" si="280"/>
        <v>G603</v>
      </c>
      <c r="DF300" t="str">
        <f t="shared" si="266"/>
        <v>R183</v>
      </c>
      <c r="DG300" t="b">
        <f t="shared" si="281"/>
        <v>0</v>
      </c>
      <c r="DH300" t="str">
        <f t="shared" si="282"/>
        <v>R183</v>
      </c>
    </row>
    <row r="301" spans="2:112" ht="12" customHeight="1">
      <c r="B301" t="str">
        <f>TBIDry!H373</f>
        <v>G157</v>
      </c>
      <c r="C301" t="str">
        <f>TBIDry!I373</f>
        <v>R377</v>
      </c>
      <c r="D301" t="b">
        <f t="shared" si="229"/>
        <v>0</v>
      </c>
      <c r="E301" t="b">
        <f t="shared" si="230"/>
        <v>0</v>
      </c>
      <c r="G301" t="str">
        <f>TBIWet!H373</f>
        <v>G446</v>
      </c>
      <c r="H301" t="str">
        <f>TBIWet!I373</f>
        <v>R100</v>
      </c>
      <c r="I301" t="b">
        <f t="shared" si="231"/>
        <v>0</v>
      </c>
      <c r="J301" t="b">
        <f t="shared" si="232"/>
        <v>0</v>
      </c>
      <c r="L301" t="str">
        <f>'Both teabags AfterWet'!A299</f>
        <v>G749</v>
      </c>
      <c r="M301" t="str">
        <f>'Both teabags AfterWet'!A719</f>
        <v>R510</v>
      </c>
      <c r="N301" t="b">
        <f t="shared" si="233"/>
        <v>0</v>
      </c>
      <c r="O301" t="b">
        <f t="shared" si="283"/>
        <v>0</v>
      </c>
      <c r="Q301" s="388" t="b">
        <f t="shared" si="234"/>
        <v>0</v>
      </c>
      <c r="R301" s="388" t="b">
        <f t="shared" si="235"/>
        <v>0</v>
      </c>
      <c r="T301" t="str">
        <f>'Both teabags AfterDry'!A299</f>
        <v>G767</v>
      </c>
      <c r="U301" t="str">
        <f>'Both teabags AfterDry'!A634</f>
        <v>R798</v>
      </c>
      <c r="V301" t="b">
        <f t="shared" si="236"/>
        <v>0</v>
      </c>
      <c r="W301" t="b">
        <f t="shared" si="267"/>
        <v>0</v>
      </c>
      <c r="Y301" t="str">
        <f>'Green_rooibos initial weight'!A302</f>
        <v>G298</v>
      </c>
      <c r="Z301" t="str">
        <f>'Green_rooibos initial weight'!A1206</f>
        <v>R298</v>
      </c>
      <c r="AA301" t="b">
        <f t="shared" si="237"/>
        <v>0</v>
      </c>
      <c r="AB301" t="b">
        <f t="shared" si="238"/>
        <v>0</v>
      </c>
      <c r="AE301" t="str">
        <f>'WetLitterbags placem_collection'!O80</f>
        <v>G446</v>
      </c>
      <c r="AF301" t="str">
        <f>'WetLitterbags placem_collection'!Q80</f>
        <v>R100</v>
      </c>
      <c r="AG301" t="b">
        <f t="shared" si="239"/>
        <v>0</v>
      </c>
      <c r="AH301" t="b">
        <f t="shared" si="240"/>
        <v>0</v>
      </c>
      <c r="AJ301" t="b">
        <f t="shared" si="241"/>
        <v>0</v>
      </c>
      <c r="AK301" t="b">
        <f t="shared" si="242"/>
        <v>0</v>
      </c>
      <c r="AM301" t="str">
        <f>IF(ISBLANK('Dry_Litterbag Placem_Collection'!L80),"","G"&amp;""&amp;'Dry_Litterbag Placem_Collection'!L80)</f>
        <v>G157</v>
      </c>
      <c r="AN301" t="str">
        <f>IF(ISBLANK('Dry_Litterbag Placem_Collection'!M80),"","R"&amp;""&amp;'Dry_Litterbag Placem_Collection'!M80)</f>
        <v>R377</v>
      </c>
      <c r="AO301" t="b">
        <f t="shared" si="243"/>
        <v>0</v>
      </c>
      <c r="AP301" t="b">
        <f t="shared" si="244"/>
        <v>0</v>
      </c>
      <c r="AS301" t="str">
        <f>'Ashed teabags dry'!A299</f>
        <v>G767</v>
      </c>
      <c r="AT301" t="str">
        <f>'Ashed teabags dry'!A634</f>
        <v>R798</v>
      </c>
      <c r="AU301" t="b">
        <f t="shared" si="245"/>
        <v>0</v>
      </c>
      <c r="AV301" t="b">
        <f t="shared" si="268"/>
        <v>0</v>
      </c>
      <c r="AX301" s="388" t="b">
        <f t="shared" si="246"/>
        <v>0</v>
      </c>
      <c r="AY301" s="388" t="b">
        <f t="shared" si="247"/>
        <v>0</v>
      </c>
      <c r="BA301" t="str">
        <f>'Ashed teabags wet'!A299</f>
        <v>G749</v>
      </c>
      <c r="BB301" t="str">
        <f>'Ashed teabags wet'!A719</f>
        <v>R510</v>
      </c>
      <c r="BC301" t="b">
        <f t="shared" si="248"/>
        <v>0</v>
      </c>
      <c r="BD301" t="b">
        <f t="shared" si="228"/>
        <v>0</v>
      </c>
      <c r="BF301" t="str">
        <f t="shared" si="249"/>
        <v>G766</v>
      </c>
      <c r="BG301" t="str">
        <f t="shared" si="250"/>
        <v>G766</v>
      </c>
      <c r="BH301" t="str">
        <f t="shared" si="251"/>
        <v/>
      </c>
      <c r="BI301" t="str">
        <f t="shared" si="269"/>
        <v/>
      </c>
      <c r="BJ301" t="s">
        <v>1284</v>
      </c>
      <c r="BK301" t="s">
        <v>1284</v>
      </c>
      <c r="BL301" t="s">
        <v>1284</v>
      </c>
      <c r="BM301" t="b">
        <f t="shared" si="270"/>
        <v>1</v>
      </c>
      <c r="BN301" t="str">
        <f t="shared" si="252"/>
        <v>R797</v>
      </c>
      <c r="BO301" t="str">
        <f t="shared" si="253"/>
        <v>R797</v>
      </c>
      <c r="BP301" t="str">
        <f t="shared" si="254"/>
        <v/>
      </c>
      <c r="BQ301" t="str">
        <f t="shared" si="255"/>
        <v/>
      </c>
      <c r="BR301" t="s">
        <v>342</v>
      </c>
      <c r="BS301" t="s">
        <v>341</v>
      </c>
      <c r="BT301" t="s">
        <v>342</v>
      </c>
      <c r="BU301" t="b">
        <f t="shared" si="271"/>
        <v>1</v>
      </c>
      <c r="BZ301" t="str">
        <f t="shared" si="256"/>
        <v/>
      </c>
      <c r="CA301" t="b">
        <f t="shared" si="257"/>
        <v>0</v>
      </c>
      <c r="CB301" t="str">
        <f t="shared" si="272"/>
        <v/>
      </c>
      <c r="CC301" t="str">
        <f t="shared" si="258"/>
        <v/>
      </c>
      <c r="CD301" t="b">
        <f t="shared" si="273"/>
        <v>0</v>
      </c>
      <c r="CE301" t="str">
        <f t="shared" si="274"/>
        <v/>
      </c>
      <c r="CG301" t="str">
        <f t="shared" si="259"/>
        <v>G747</v>
      </c>
      <c r="CH301" t="str">
        <f t="shared" si="275"/>
        <v>G747</v>
      </c>
      <c r="CI301" t="str">
        <f t="shared" si="260"/>
        <v>G509</v>
      </c>
      <c r="CJ301" t="str">
        <f t="shared" si="261"/>
        <v>G509</v>
      </c>
      <c r="CK301" t="s">
        <v>1303</v>
      </c>
      <c r="CL301" t="s">
        <v>1303</v>
      </c>
      <c r="CM301" t="s">
        <v>1303</v>
      </c>
      <c r="CN301" t="b">
        <f t="shared" si="276"/>
        <v>1</v>
      </c>
      <c r="CO301" t="str">
        <f t="shared" si="262"/>
        <v>R51</v>
      </c>
      <c r="CP301" t="str">
        <f t="shared" si="277"/>
        <v>R51</v>
      </c>
      <c r="CQ301" t="str">
        <f t="shared" si="263"/>
        <v>R228</v>
      </c>
      <c r="CR301" t="str">
        <f t="shared" si="264"/>
        <v>R228</v>
      </c>
      <c r="CS301" t="s">
        <v>1090</v>
      </c>
      <c r="CT301" t="s">
        <v>1090</v>
      </c>
      <c r="CU301" t="s">
        <v>1090</v>
      </c>
      <c r="CV301" t="b">
        <f t="shared" si="278"/>
        <v>1</v>
      </c>
      <c r="DC301" t="str">
        <f t="shared" si="265"/>
        <v>G509</v>
      </c>
      <c r="DD301" t="b">
        <f t="shared" si="279"/>
        <v>0</v>
      </c>
      <c r="DE301" t="str">
        <f t="shared" si="280"/>
        <v>G509</v>
      </c>
      <c r="DF301" t="str">
        <f t="shared" si="266"/>
        <v>R228</v>
      </c>
      <c r="DG301" t="b">
        <f t="shared" si="281"/>
        <v>0</v>
      </c>
      <c r="DH301" t="str">
        <f t="shared" si="282"/>
        <v>R228</v>
      </c>
    </row>
    <row r="302" spans="2:112" ht="12" customHeight="1">
      <c r="B302" t="str">
        <f>TBIDry!H374</f>
        <v>G226</v>
      </c>
      <c r="C302" t="str">
        <f>TBIDry!I374</f>
        <v>R61</v>
      </c>
      <c r="D302" t="b">
        <f t="shared" si="229"/>
        <v>0</v>
      </c>
      <c r="E302" t="b">
        <f t="shared" si="230"/>
        <v>0</v>
      </c>
      <c r="G302" t="str">
        <f>TBIWet!H374</f>
        <v>G249</v>
      </c>
      <c r="H302" t="str">
        <f>TBIWet!I374</f>
        <v>R56</v>
      </c>
      <c r="I302" t="b">
        <f t="shared" si="231"/>
        <v>0</v>
      </c>
      <c r="J302" t="b">
        <f t="shared" si="232"/>
        <v>0</v>
      </c>
      <c r="L302" t="str">
        <f>'Both teabags AfterWet'!A300</f>
        <v>G752</v>
      </c>
      <c r="M302" t="str">
        <f>'Both teabags AfterWet'!A720</f>
        <v>R511</v>
      </c>
      <c r="N302" t="b">
        <f t="shared" si="233"/>
        <v>0</v>
      </c>
      <c r="O302" t="b">
        <f t="shared" si="283"/>
        <v>0</v>
      </c>
      <c r="Q302" s="388" t="b">
        <f t="shared" si="234"/>
        <v>0</v>
      </c>
      <c r="R302" s="388" t="b">
        <f t="shared" si="235"/>
        <v>0</v>
      </c>
      <c r="T302" t="str">
        <f>'Both teabags AfterDry'!A300</f>
        <v>G77</v>
      </c>
      <c r="U302" t="str">
        <f>'Both teabags AfterDry'!A635</f>
        <v>R799</v>
      </c>
      <c r="V302" t="b">
        <f t="shared" si="236"/>
        <v>0</v>
      </c>
      <c r="W302" t="b">
        <f t="shared" si="267"/>
        <v>0</v>
      </c>
      <c r="Y302" t="str">
        <f>'Green_rooibos initial weight'!A303</f>
        <v>G299</v>
      </c>
      <c r="Z302" t="str">
        <f>'Green_rooibos initial weight'!A1207</f>
        <v>R299</v>
      </c>
      <c r="AA302" t="b">
        <f t="shared" si="237"/>
        <v>0</v>
      </c>
      <c r="AB302" t="b">
        <f t="shared" si="238"/>
        <v>0</v>
      </c>
      <c r="AE302" t="str">
        <f>'WetLitterbags placem_collection'!O81</f>
        <v>G249</v>
      </c>
      <c r="AF302" t="str">
        <f>'WetLitterbags placem_collection'!Q81</f>
        <v>R56</v>
      </c>
      <c r="AG302" t="b">
        <f t="shared" si="239"/>
        <v>0</v>
      </c>
      <c r="AH302" t="b">
        <f t="shared" si="240"/>
        <v>0</v>
      </c>
      <c r="AJ302" t="b">
        <f t="shared" si="241"/>
        <v>0</v>
      </c>
      <c r="AK302" t="b">
        <f t="shared" si="242"/>
        <v>0</v>
      </c>
      <c r="AM302" t="str">
        <f>IF(ISBLANK('Dry_Litterbag Placem_Collection'!L81),"","G"&amp;""&amp;'Dry_Litterbag Placem_Collection'!L81)</f>
        <v>G226</v>
      </c>
      <c r="AN302" t="str">
        <f>IF(ISBLANK('Dry_Litterbag Placem_Collection'!M81),"","R"&amp;""&amp;'Dry_Litterbag Placem_Collection'!M81)</f>
        <v>R61</v>
      </c>
      <c r="AO302" t="b">
        <f t="shared" si="243"/>
        <v>0</v>
      </c>
      <c r="AP302" t="b">
        <f t="shared" si="244"/>
        <v>0</v>
      </c>
      <c r="AS302" t="str">
        <f>'Ashed teabags dry'!A300</f>
        <v>G77</v>
      </c>
      <c r="AT302" t="str">
        <f>'Ashed teabags dry'!A635</f>
        <v>R799</v>
      </c>
      <c r="AU302" t="b">
        <f t="shared" si="245"/>
        <v>0</v>
      </c>
      <c r="AV302" t="b">
        <f t="shared" si="268"/>
        <v>0</v>
      </c>
      <c r="AX302" s="388" t="b">
        <f t="shared" si="246"/>
        <v>0</v>
      </c>
      <c r="AY302" s="388" t="b">
        <f t="shared" si="247"/>
        <v>0</v>
      </c>
      <c r="BA302" t="str">
        <f>'Ashed teabags wet'!A300</f>
        <v>G752</v>
      </c>
      <c r="BB302" t="str">
        <f>'Ashed teabags wet'!A720</f>
        <v>R511</v>
      </c>
      <c r="BC302" t="b">
        <f t="shared" si="248"/>
        <v>0</v>
      </c>
      <c r="BD302" t="b">
        <f t="shared" si="228"/>
        <v>0</v>
      </c>
      <c r="BF302" t="str">
        <f t="shared" si="249"/>
        <v>G767</v>
      </c>
      <c r="BG302" t="str">
        <f t="shared" si="250"/>
        <v>G767</v>
      </c>
      <c r="BH302" t="str">
        <f t="shared" si="251"/>
        <v>G157</v>
      </c>
      <c r="BI302" t="str">
        <f t="shared" si="269"/>
        <v>G157</v>
      </c>
      <c r="BJ302" t="s">
        <v>1283</v>
      </c>
      <c r="BK302" t="s">
        <v>1283</v>
      </c>
      <c r="BL302" t="s">
        <v>1283</v>
      </c>
      <c r="BM302" t="b">
        <f t="shared" si="270"/>
        <v>1</v>
      </c>
      <c r="BN302" t="str">
        <f t="shared" si="252"/>
        <v>R798</v>
      </c>
      <c r="BO302" t="str">
        <f t="shared" si="253"/>
        <v>R798</v>
      </c>
      <c r="BP302" t="str">
        <f t="shared" si="254"/>
        <v>R377</v>
      </c>
      <c r="BQ302" t="str">
        <f t="shared" si="255"/>
        <v>R377</v>
      </c>
      <c r="BR302" t="s">
        <v>341</v>
      </c>
      <c r="BS302" t="s">
        <v>340</v>
      </c>
      <c r="BT302" t="s">
        <v>341</v>
      </c>
      <c r="BU302" t="b">
        <f t="shared" si="271"/>
        <v>1</v>
      </c>
      <c r="BZ302" t="str">
        <f t="shared" si="256"/>
        <v>G157</v>
      </c>
      <c r="CA302" t="b">
        <f t="shared" si="257"/>
        <v>0</v>
      </c>
      <c r="CB302" t="str">
        <f t="shared" si="272"/>
        <v>G157</v>
      </c>
      <c r="CC302" t="str">
        <f t="shared" si="258"/>
        <v>R377</v>
      </c>
      <c r="CD302" t="b">
        <f t="shared" si="273"/>
        <v>0</v>
      </c>
      <c r="CE302" t="str">
        <f t="shared" si="274"/>
        <v>R377</v>
      </c>
      <c r="CG302" t="str">
        <f t="shared" si="259"/>
        <v>G749</v>
      </c>
      <c r="CH302" t="str">
        <f t="shared" si="275"/>
        <v>G749</v>
      </c>
      <c r="CI302" t="str">
        <f t="shared" si="260"/>
        <v>G446</v>
      </c>
      <c r="CJ302" t="str">
        <f t="shared" si="261"/>
        <v>G446</v>
      </c>
      <c r="CK302" t="s">
        <v>1301</v>
      </c>
      <c r="CL302" t="s">
        <v>1301</v>
      </c>
      <c r="CM302" t="s">
        <v>1301</v>
      </c>
      <c r="CN302" t="b">
        <f t="shared" si="276"/>
        <v>1</v>
      </c>
      <c r="CO302" t="str">
        <f t="shared" si="262"/>
        <v>R510</v>
      </c>
      <c r="CP302" t="str">
        <f t="shared" si="277"/>
        <v>R510</v>
      </c>
      <c r="CQ302" t="str">
        <f t="shared" si="263"/>
        <v>R100</v>
      </c>
      <c r="CR302" t="str">
        <f t="shared" si="264"/>
        <v>R100</v>
      </c>
      <c r="CS302" t="s">
        <v>631</v>
      </c>
      <c r="CT302" t="s">
        <v>631</v>
      </c>
      <c r="CU302" t="s">
        <v>631</v>
      </c>
      <c r="CV302" t="b">
        <f t="shared" si="278"/>
        <v>1</v>
      </c>
      <c r="DC302" t="str">
        <f t="shared" si="265"/>
        <v>G446</v>
      </c>
      <c r="DD302" t="b">
        <f t="shared" si="279"/>
        <v>0</v>
      </c>
      <c r="DE302" t="str">
        <f t="shared" si="280"/>
        <v>G446</v>
      </c>
      <c r="DF302" t="str">
        <f t="shared" si="266"/>
        <v>R100</v>
      </c>
      <c r="DG302" t="b">
        <f t="shared" si="281"/>
        <v>0</v>
      </c>
      <c r="DH302" t="str">
        <f t="shared" si="282"/>
        <v>R100</v>
      </c>
    </row>
    <row r="303" spans="2:112" ht="12" customHeight="1">
      <c r="B303" t="str">
        <f>TBIDry!H375</f>
        <v>G855</v>
      </c>
      <c r="C303" t="str">
        <f>TBIDry!I375</f>
        <v>R620</v>
      </c>
      <c r="D303" t="b">
        <f t="shared" si="229"/>
        <v>0</v>
      </c>
      <c r="E303" t="b">
        <f t="shared" si="230"/>
        <v>0</v>
      </c>
      <c r="G303" t="str">
        <f>TBIWet!H375</f>
        <v>G474</v>
      </c>
      <c r="H303" t="str">
        <f>TBIWet!I375</f>
        <v>R68</v>
      </c>
      <c r="I303" t="b">
        <f t="shared" si="231"/>
        <v>0</v>
      </c>
      <c r="J303" t="b">
        <f t="shared" si="232"/>
        <v>0</v>
      </c>
      <c r="L303" t="str">
        <f>'Both teabags AfterWet'!A301</f>
        <v>G753</v>
      </c>
      <c r="M303" t="str">
        <f>'Both teabags AfterWet'!A721</f>
        <v>R512</v>
      </c>
      <c r="N303" t="b">
        <f t="shared" si="233"/>
        <v>0</v>
      </c>
      <c r="O303" t="b">
        <f t="shared" si="283"/>
        <v>0</v>
      </c>
      <c r="Q303" s="388" t="b">
        <f t="shared" si="234"/>
        <v>0</v>
      </c>
      <c r="R303" s="388" t="b">
        <f t="shared" si="235"/>
        <v>0</v>
      </c>
      <c r="T303" t="str">
        <f>'Both teabags AfterDry'!A301</f>
        <v>G771</v>
      </c>
      <c r="U303" t="str">
        <f>'Both teabags AfterDry'!A636</f>
        <v>R80</v>
      </c>
      <c r="V303" t="b">
        <f t="shared" si="236"/>
        <v>0</v>
      </c>
      <c r="W303" t="b">
        <f t="shared" si="267"/>
        <v>0</v>
      </c>
      <c r="Y303" t="str">
        <f>'Green_rooibos initial weight'!A304</f>
        <v>G300</v>
      </c>
      <c r="Z303" t="str">
        <f>'Green_rooibos initial weight'!A1208</f>
        <v>R300</v>
      </c>
      <c r="AA303" t="b">
        <f t="shared" si="237"/>
        <v>0</v>
      </c>
      <c r="AB303" t="b">
        <f t="shared" si="238"/>
        <v>0</v>
      </c>
      <c r="AE303" t="str">
        <f>'WetLitterbags placem_collection'!O82</f>
        <v>G474</v>
      </c>
      <c r="AF303" t="str">
        <f>'WetLitterbags placem_collection'!Q82</f>
        <v>R68</v>
      </c>
      <c r="AG303" t="b">
        <f t="shared" si="239"/>
        <v>0</v>
      </c>
      <c r="AH303" t="b">
        <f t="shared" si="240"/>
        <v>0</v>
      </c>
      <c r="AJ303" t="b">
        <f t="shared" si="241"/>
        <v>0</v>
      </c>
      <c r="AK303" t="b">
        <f t="shared" si="242"/>
        <v>0</v>
      </c>
      <c r="AM303" t="str">
        <f>IF(ISBLANK('Dry_Litterbag Placem_Collection'!L82),"","G"&amp;""&amp;'Dry_Litterbag Placem_Collection'!L82)</f>
        <v>G855</v>
      </c>
      <c r="AN303" t="str">
        <f>IF(ISBLANK('Dry_Litterbag Placem_Collection'!M82),"","R"&amp;""&amp;'Dry_Litterbag Placem_Collection'!M82)</f>
        <v>R620</v>
      </c>
      <c r="AO303" t="b">
        <f t="shared" si="243"/>
        <v>0</v>
      </c>
      <c r="AP303" t="b">
        <f t="shared" si="244"/>
        <v>0</v>
      </c>
      <c r="AS303" t="str">
        <f>'Ashed teabags dry'!A301</f>
        <v>G771</v>
      </c>
      <c r="AT303" t="str">
        <f>'Ashed teabags dry'!A636</f>
        <v>R80</v>
      </c>
      <c r="AU303" t="b">
        <f t="shared" si="245"/>
        <v>0</v>
      </c>
      <c r="AV303" t="b">
        <f t="shared" si="268"/>
        <v>0</v>
      </c>
      <c r="AX303" s="388" t="b">
        <f t="shared" si="246"/>
        <v>0</v>
      </c>
      <c r="AY303" s="388" t="b">
        <f t="shared" si="247"/>
        <v>0</v>
      </c>
      <c r="BA303" t="str">
        <f>'Ashed teabags wet'!A301</f>
        <v>G753</v>
      </c>
      <c r="BB303" t="str">
        <f>'Ashed teabags wet'!A721</f>
        <v>R512</v>
      </c>
      <c r="BC303" t="b">
        <f t="shared" si="248"/>
        <v>0</v>
      </c>
      <c r="BD303" t="b">
        <f t="shared" si="228"/>
        <v>0</v>
      </c>
      <c r="BF303" t="str">
        <f t="shared" si="249"/>
        <v>G77</v>
      </c>
      <c r="BG303" t="str">
        <f t="shared" si="250"/>
        <v>G77</v>
      </c>
      <c r="BH303" t="str">
        <f t="shared" si="251"/>
        <v>G226</v>
      </c>
      <c r="BI303" t="str">
        <f t="shared" si="269"/>
        <v>G226</v>
      </c>
      <c r="BJ303" t="s">
        <v>1973</v>
      </c>
      <c r="BK303" t="s">
        <v>1973</v>
      </c>
      <c r="BL303" t="s">
        <v>1973</v>
      </c>
      <c r="BM303" t="b">
        <f t="shared" si="270"/>
        <v>1</v>
      </c>
      <c r="BN303" t="str">
        <f t="shared" si="252"/>
        <v>R799</v>
      </c>
      <c r="BO303" t="str">
        <f t="shared" si="253"/>
        <v>R799</v>
      </c>
      <c r="BP303" t="str">
        <f t="shared" si="254"/>
        <v>R61</v>
      </c>
      <c r="BQ303" t="str">
        <f t="shared" si="255"/>
        <v>R61</v>
      </c>
      <c r="BR303" t="s">
        <v>340</v>
      </c>
      <c r="BS303" t="s">
        <v>1061</v>
      </c>
      <c r="BT303" t="s">
        <v>340</v>
      </c>
      <c r="BU303" t="b">
        <f t="shared" si="271"/>
        <v>1</v>
      </c>
      <c r="BZ303" t="str">
        <f t="shared" si="256"/>
        <v>G226</v>
      </c>
      <c r="CA303" t="b">
        <f t="shared" si="257"/>
        <v>0</v>
      </c>
      <c r="CB303" t="str">
        <f t="shared" si="272"/>
        <v>G226</v>
      </c>
      <c r="CC303" t="str">
        <f t="shared" si="258"/>
        <v>R61</v>
      </c>
      <c r="CD303" t="b">
        <f t="shared" si="273"/>
        <v>0</v>
      </c>
      <c r="CE303" t="str">
        <f t="shared" si="274"/>
        <v>R61</v>
      </c>
      <c r="CG303" t="str">
        <f t="shared" si="259"/>
        <v>G752</v>
      </c>
      <c r="CH303" t="str">
        <f t="shared" si="275"/>
        <v>G752</v>
      </c>
      <c r="CI303" t="str">
        <f t="shared" si="260"/>
        <v>G249</v>
      </c>
      <c r="CJ303" t="str">
        <f t="shared" si="261"/>
        <v>G249</v>
      </c>
      <c r="CK303" t="s">
        <v>1298</v>
      </c>
      <c r="CL303" t="s">
        <v>1298</v>
      </c>
      <c r="CM303" t="s">
        <v>1298</v>
      </c>
      <c r="CN303" t="b">
        <f t="shared" si="276"/>
        <v>1</v>
      </c>
      <c r="CO303" t="str">
        <f t="shared" si="262"/>
        <v>R511</v>
      </c>
      <c r="CP303" t="str">
        <f t="shared" si="277"/>
        <v>R511</v>
      </c>
      <c r="CQ303" t="str">
        <f t="shared" si="263"/>
        <v>R56</v>
      </c>
      <c r="CR303" t="str">
        <f t="shared" si="264"/>
        <v>R56</v>
      </c>
      <c r="CS303" t="s">
        <v>630</v>
      </c>
      <c r="CT303" t="s">
        <v>630</v>
      </c>
      <c r="CU303" t="s">
        <v>630</v>
      </c>
      <c r="CV303" t="b">
        <f t="shared" si="278"/>
        <v>1</v>
      </c>
      <c r="DC303" t="str">
        <f t="shared" si="265"/>
        <v>G249</v>
      </c>
      <c r="DD303" t="b">
        <f t="shared" si="279"/>
        <v>0</v>
      </c>
      <c r="DE303" t="str">
        <f t="shared" si="280"/>
        <v>G249</v>
      </c>
      <c r="DF303" t="str">
        <f t="shared" si="266"/>
        <v>R56</v>
      </c>
      <c r="DG303" t="b">
        <f t="shared" si="281"/>
        <v>0</v>
      </c>
      <c r="DH303" t="str">
        <f t="shared" si="282"/>
        <v>R56</v>
      </c>
    </row>
    <row r="304" spans="2:112" ht="12" customHeight="1">
      <c r="B304" t="str">
        <f>TBIDry!H376</f>
        <v>G413</v>
      </c>
      <c r="C304" t="str">
        <f>TBIDry!I376</f>
        <v>R366</v>
      </c>
      <c r="D304" t="b">
        <f t="shared" si="229"/>
        <v>0</v>
      </c>
      <c r="E304" t="b">
        <f t="shared" si="230"/>
        <v>0</v>
      </c>
      <c r="G304" t="str">
        <f>TBIWet!H376</f>
        <v>G475</v>
      </c>
      <c r="H304" t="str">
        <f>TBIWet!I376</f>
        <v>R293</v>
      </c>
      <c r="I304" t="b">
        <f t="shared" si="231"/>
        <v>0</v>
      </c>
      <c r="J304" t="b">
        <f t="shared" si="232"/>
        <v>0</v>
      </c>
      <c r="L304" t="str">
        <f>'Both teabags AfterWet'!A302</f>
        <v>G754</v>
      </c>
      <c r="M304" t="str">
        <f>'Both teabags AfterWet'!A722</f>
        <v>R513</v>
      </c>
      <c r="N304" t="b">
        <f t="shared" si="233"/>
        <v>0</v>
      </c>
      <c r="O304" t="b">
        <f t="shared" si="283"/>
        <v>0</v>
      </c>
      <c r="Q304" s="388" t="b">
        <f t="shared" si="234"/>
        <v>0</v>
      </c>
      <c r="R304" s="388" t="b">
        <f t="shared" si="235"/>
        <v>0</v>
      </c>
      <c r="T304" t="str">
        <f>'Both teabags AfterDry'!A302</f>
        <v>G776</v>
      </c>
      <c r="U304" t="str">
        <f>'Both teabags AfterDry'!A637</f>
        <v>R800</v>
      </c>
      <c r="V304" t="b">
        <f t="shared" si="236"/>
        <v>0</v>
      </c>
      <c r="W304" t="b">
        <f t="shared" si="267"/>
        <v>0</v>
      </c>
      <c r="Y304" t="str">
        <f>'Green_rooibos initial weight'!A305</f>
        <v>G301</v>
      </c>
      <c r="Z304" t="str">
        <f>'Green_rooibos initial weight'!A1209</f>
        <v>R301</v>
      </c>
      <c r="AA304" t="b">
        <f t="shared" si="237"/>
        <v>0</v>
      </c>
      <c r="AB304" t="b">
        <f t="shared" si="238"/>
        <v>0</v>
      </c>
      <c r="AE304" t="str">
        <f>'WetLitterbags placem_collection'!O83</f>
        <v>G475</v>
      </c>
      <c r="AF304" t="str">
        <f>'WetLitterbags placem_collection'!Q83</f>
        <v>R293</v>
      </c>
      <c r="AG304" t="b">
        <f t="shared" si="239"/>
        <v>0</v>
      </c>
      <c r="AH304" t="b">
        <f t="shared" si="240"/>
        <v>0</v>
      </c>
      <c r="AJ304" t="b">
        <f t="shared" si="241"/>
        <v>0</v>
      </c>
      <c r="AK304" t="b">
        <f t="shared" si="242"/>
        <v>0</v>
      </c>
      <c r="AM304" t="str">
        <f>IF(ISBLANK('Dry_Litterbag Placem_Collection'!L83),"","G"&amp;""&amp;'Dry_Litterbag Placem_Collection'!L83)</f>
        <v>G413</v>
      </c>
      <c r="AN304" t="str">
        <f>IF(ISBLANK('Dry_Litterbag Placem_Collection'!M83),"","R"&amp;""&amp;'Dry_Litterbag Placem_Collection'!M83)</f>
        <v>R366</v>
      </c>
      <c r="AO304" t="b">
        <f t="shared" si="243"/>
        <v>0</v>
      </c>
      <c r="AP304" t="b">
        <f t="shared" si="244"/>
        <v>0</v>
      </c>
      <c r="AS304" t="str">
        <f>'Ashed teabags dry'!A302</f>
        <v>G776</v>
      </c>
      <c r="AT304" t="str">
        <f>'Ashed teabags dry'!A637</f>
        <v>R800</v>
      </c>
      <c r="AU304" t="b">
        <f t="shared" si="245"/>
        <v>0</v>
      </c>
      <c r="AV304" t="b">
        <f t="shared" si="268"/>
        <v>0</v>
      </c>
      <c r="AX304" s="388" t="b">
        <f t="shared" si="246"/>
        <v>0</v>
      </c>
      <c r="AY304" s="388" t="b">
        <f t="shared" si="247"/>
        <v>0</v>
      </c>
      <c r="BA304" t="str">
        <f>'Ashed teabags wet'!A302</f>
        <v>G754</v>
      </c>
      <c r="BB304" t="str">
        <f>'Ashed teabags wet'!A722</f>
        <v>R513</v>
      </c>
      <c r="BC304" t="b">
        <f t="shared" si="248"/>
        <v>0</v>
      </c>
      <c r="BD304" t="b">
        <f t="shared" si="228"/>
        <v>0</v>
      </c>
      <c r="BF304" t="str">
        <f t="shared" si="249"/>
        <v>G771</v>
      </c>
      <c r="BG304" t="str">
        <f t="shared" si="250"/>
        <v>G771</v>
      </c>
      <c r="BH304" t="str">
        <f t="shared" si="251"/>
        <v>G855</v>
      </c>
      <c r="BI304" t="str">
        <f t="shared" si="269"/>
        <v>G855</v>
      </c>
      <c r="BJ304" t="s">
        <v>1279</v>
      </c>
      <c r="BK304" t="s">
        <v>1279</v>
      </c>
      <c r="BL304" t="s">
        <v>1279</v>
      </c>
      <c r="BM304" t="b">
        <f t="shared" si="270"/>
        <v>1</v>
      </c>
      <c r="BN304" t="str">
        <f t="shared" si="252"/>
        <v>R80</v>
      </c>
      <c r="BO304" t="str">
        <f t="shared" si="253"/>
        <v>R80</v>
      </c>
      <c r="BP304" t="str">
        <f t="shared" si="254"/>
        <v>R620</v>
      </c>
      <c r="BQ304" t="str">
        <f t="shared" si="255"/>
        <v>R620</v>
      </c>
      <c r="BR304" t="s">
        <v>1061</v>
      </c>
      <c r="BS304" t="s">
        <v>339</v>
      </c>
      <c r="BT304" t="s">
        <v>1061</v>
      </c>
      <c r="BU304" t="b">
        <f t="shared" si="271"/>
        <v>1</v>
      </c>
      <c r="BZ304" t="str">
        <f t="shared" si="256"/>
        <v>G855</v>
      </c>
      <c r="CA304" t="b">
        <f t="shared" si="257"/>
        <v>0</v>
      </c>
      <c r="CB304" t="str">
        <f t="shared" si="272"/>
        <v>G855</v>
      </c>
      <c r="CC304" t="str">
        <f t="shared" si="258"/>
        <v>R620</v>
      </c>
      <c r="CD304" t="b">
        <f t="shared" si="273"/>
        <v>0</v>
      </c>
      <c r="CE304" t="str">
        <f t="shared" si="274"/>
        <v>R620</v>
      </c>
      <c r="CG304" t="str">
        <f t="shared" si="259"/>
        <v>G753</v>
      </c>
      <c r="CH304" t="str">
        <f t="shared" si="275"/>
        <v>G753</v>
      </c>
      <c r="CI304" t="str">
        <f t="shared" si="260"/>
        <v>G474</v>
      </c>
      <c r="CJ304" t="str">
        <f t="shared" si="261"/>
        <v>G474</v>
      </c>
      <c r="CK304" t="s">
        <v>1297</v>
      </c>
      <c r="CL304" t="s">
        <v>1297</v>
      </c>
      <c r="CM304" t="s">
        <v>1297</v>
      </c>
      <c r="CN304" t="b">
        <f t="shared" si="276"/>
        <v>1</v>
      </c>
      <c r="CO304" t="str">
        <f t="shared" si="262"/>
        <v>R512</v>
      </c>
      <c r="CP304" t="str">
        <f t="shared" si="277"/>
        <v>R512</v>
      </c>
      <c r="CQ304" t="str">
        <f t="shared" si="263"/>
        <v>R68</v>
      </c>
      <c r="CR304" t="str">
        <f t="shared" si="264"/>
        <v>R68</v>
      </c>
      <c r="CS304" t="s">
        <v>629</v>
      </c>
      <c r="CT304" t="s">
        <v>629</v>
      </c>
      <c r="CU304" t="s">
        <v>629</v>
      </c>
      <c r="CV304" t="b">
        <f t="shared" si="278"/>
        <v>1</v>
      </c>
      <c r="DC304" t="str">
        <f t="shared" si="265"/>
        <v>G474</v>
      </c>
      <c r="DD304" t="b">
        <f t="shared" si="279"/>
        <v>0</v>
      </c>
      <c r="DE304" t="str">
        <f t="shared" si="280"/>
        <v>G474</v>
      </c>
      <c r="DF304" t="str">
        <f t="shared" si="266"/>
        <v>R68</v>
      </c>
      <c r="DG304" t="b">
        <f t="shared" si="281"/>
        <v>0</v>
      </c>
      <c r="DH304" t="str">
        <f t="shared" si="282"/>
        <v>R68</v>
      </c>
    </row>
    <row r="305" spans="2:112" ht="12" customHeight="1">
      <c r="B305" t="str">
        <f>TBIDry!H377</f>
        <v>G370</v>
      </c>
      <c r="C305" t="str">
        <f>TBIDry!I377</f>
        <v>R610</v>
      </c>
      <c r="D305" t="b">
        <f t="shared" si="229"/>
        <v>0</v>
      </c>
      <c r="E305" t="b">
        <f t="shared" si="230"/>
        <v>0</v>
      </c>
      <c r="G305" t="str">
        <f>TBIWet!H377</f>
        <v>G840</v>
      </c>
      <c r="H305" t="str">
        <f>TBIWet!I377</f>
        <v>R368</v>
      </c>
      <c r="I305" t="b">
        <f t="shared" si="231"/>
        <v>0</v>
      </c>
      <c r="J305" t="b">
        <f t="shared" si="232"/>
        <v>0</v>
      </c>
      <c r="L305" t="str">
        <f>'Both teabags AfterWet'!A303</f>
        <v>G755</v>
      </c>
      <c r="M305" t="str">
        <f>'Both teabags AfterWet'!A723</f>
        <v>R515</v>
      </c>
      <c r="N305" t="b">
        <f t="shared" si="233"/>
        <v>0</v>
      </c>
      <c r="O305" t="b">
        <f t="shared" si="283"/>
        <v>0</v>
      </c>
      <c r="Q305" s="388" t="b">
        <f t="shared" si="234"/>
        <v>0</v>
      </c>
      <c r="R305" s="388" t="b">
        <f t="shared" si="235"/>
        <v>0</v>
      </c>
      <c r="T305" t="str">
        <f>'Both teabags AfterDry'!A303</f>
        <v>G78</v>
      </c>
      <c r="U305" t="str">
        <f>'Both teabags AfterDry'!A638</f>
        <v>R802</v>
      </c>
      <c r="V305" t="b">
        <f t="shared" si="236"/>
        <v>0</v>
      </c>
      <c r="W305" t="b">
        <f t="shared" si="267"/>
        <v>0</v>
      </c>
      <c r="Y305" t="str">
        <f>'Green_rooibos initial weight'!A306</f>
        <v>G302</v>
      </c>
      <c r="Z305" t="str">
        <f>'Green_rooibos initial weight'!A1210</f>
        <v>R302</v>
      </c>
      <c r="AA305" t="b">
        <f t="shared" si="237"/>
        <v>0</v>
      </c>
      <c r="AB305" t="b">
        <f t="shared" si="238"/>
        <v>0</v>
      </c>
      <c r="AE305" t="str">
        <f>'WetLitterbags placem_collection'!O84</f>
        <v>G840</v>
      </c>
      <c r="AF305" t="str">
        <f>'WetLitterbags placem_collection'!Q84</f>
        <v>R368</v>
      </c>
      <c r="AG305" t="b">
        <f t="shared" si="239"/>
        <v>0</v>
      </c>
      <c r="AH305" t="b">
        <f t="shared" si="240"/>
        <v>0</v>
      </c>
      <c r="AJ305" t="b">
        <f t="shared" si="241"/>
        <v>0</v>
      </c>
      <c r="AK305" t="b">
        <f t="shared" si="242"/>
        <v>0</v>
      </c>
      <c r="AM305" t="str">
        <f>IF(ISBLANK('Dry_Litterbag Placem_Collection'!L84),"","G"&amp;""&amp;'Dry_Litterbag Placem_Collection'!L84)</f>
        <v>G370</v>
      </c>
      <c r="AN305" t="str">
        <f>IF(ISBLANK('Dry_Litterbag Placem_Collection'!M84),"","R"&amp;""&amp;'Dry_Litterbag Placem_Collection'!M84)</f>
        <v>R610</v>
      </c>
      <c r="AO305" t="b">
        <f t="shared" si="243"/>
        <v>0</v>
      </c>
      <c r="AP305" t="b">
        <f t="shared" si="244"/>
        <v>0</v>
      </c>
      <c r="AS305" t="str">
        <f>'Ashed teabags dry'!A303</f>
        <v>G78</v>
      </c>
      <c r="AT305" t="str">
        <f>'Ashed teabags dry'!A638</f>
        <v>R802</v>
      </c>
      <c r="AU305" t="b">
        <f t="shared" si="245"/>
        <v>0</v>
      </c>
      <c r="AV305" t="b">
        <f t="shared" si="268"/>
        <v>0</v>
      </c>
      <c r="AX305" s="388" t="b">
        <f t="shared" si="246"/>
        <v>0</v>
      </c>
      <c r="AY305" s="388" t="b">
        <f t="shared" si="247"/>
        <v>0</v>
      </c>
      <c r="BA305" t="str">
        <f>'Ashed teabags wet'!A303</f>
        <v>G755</v>
      </c>
      <c r="BB305" t="str">
        <f>'Ashed teabags wet'!A723</f>
        <v>R515</v>
      </c>
      <c r="BC305" t="b">
        <f t="shared" si="248"/>
        <v>0</v>
      </c>
      <c r="BD305" t="b">
        <f t="shared" si="228"/>
        <v>0</v>
      </c>
      <c r="BF305" t="str">
        <f t="shared" si="249"/>
        <v>G776</v>
      </c>
      <c r="BG305" t="str">
        <f t="shared" si="250"/>
        <v>G776</v>
      </c>
      <c r="BH305" t="str">
        <f t="shared" si="251"/>
        <v>G413</v>
      </c>
      <c r="BI305" t="str">
        <f t="shared" si="269"/>
        <v>G413</v>
      </c>
      <c r="BJ305" t="s">
        <v>1274</v>
      </c>
      <c r="BK305" t="s">
        <v>1274</v>
      </c>
      <c r="BL305" t="s">
        <v>1274</v>
      </c>
      <c r="BM305" t="b">
        <f t="shared" si="270"/>
        <v>1</v>
      </c>
      <c r="BN305" t="str">
        <f t="shared" si="252"/>
        <v>R800</v>
      </c>
      <c r="BO305" t="str">
        <f t="shared" si="253"/>
        <v>R800</v>
      </c>
      <c r="BP305" t="str">
        <f t="shared" si="254"/>
        <v>R366</v>
      </c>
      <c r="BQ305" t="str">
        <f t="shared" si="255"/>
        <v>R366</v>
      </c>
      <c r="BR305" t="s">
        <v>339</v>
      </c>
      <c r="BS305" t="s">
        <v>337</v>
      </c>
      <c r="BT305" t="s">
        <v>339</v>
      </c>
      <c r="BU305" t="b">
        <f t="shared" si="271"/>
        <v>1</v>
      </c>
      <c r="BZ305" t="str">
        <f t="shared" si="256"/>
        <v>G413</v>
      </c>
      <c r="CA305" t="b">
        <f t="shared" si="257"/>
        <v>0</v>
      </c>
      <c r="CB305" t="str">
        <f t="shared" si="272"/>
        <v>G413</v>
      </c>
      <c r="CC305" t="str">
        <f t="shared" si="258"/>
        <v>R366</v>
      </c>
      <c r="CD305" t="b">
        <f t="shared" si="273"/>
        <v>0</v>
      </c>
      <c r="CE305" t="str">
        <f t="shared" si="274"/>
        <v>R366</v>
      </c>
      <c r="CG305" t="str">
        <f t="shared" si="259"/>
        <v>G754</v>
      </c>
      <c r="CH305" t="str">
        <f t="shared" si="275"/>
        <v>G754</v>
      </c>
      <c r="CI305" t="str">
        <f t="shared" si="260"/>
        <v>G475</v>
      </c>
      <c r="CJ305" t="str">
        <f t="shared" si="261"/>
        <v>G475</v>
      </c>
      <c r="CK305" t="s">
        <v>1296</v>
      </c>
      <c r="CL305" t="s">
        <v>1296</v>
      </c>
      <c r="CM305" t="s">
        <v>1296</v>
      </c>
      <c r="CN305" t="b">
        <f t="shared" si="276"/>
        <v>1</v>
      </c>
      <c r="CO305" t="str">
        <f t="shared" si="262"/>
        <v>R513</v>
      </c>
      <c r="CP305" t="str">
        <f t="shared" si="277"/>
        <v>R513</v>
      </c>
      <c r="CQ305" t="str">
        <f t="shared" si="263"/>
        <v>R293</v>
      </c>
      <c r="CR305" t="str">
        <f t="shared" si="264"/>
        <v>R293</v>
      </c>
      <c r="CS305" t="s">
        <v>628</v>
      </c>
      <c r="CT305" t="s">
        <v>628</v>
      </c>
      <c r="CU305" t="s">
        <v>628</v>
      </c>
      <c r="CV305" t="b">
        <f t="shared" si="278"/>
        <v>1</v>
      </c>
      <c r="DC305" t="str">
        <f t="shared" si="265"/>
        <v>G475</v>
      </c>
      <c r="DD305" t="b">
        <f t="shared" si="279"/>
        <v>0</v>
      </c>
      <c r="DE305" t="str">
        <f t="shared" si="280"/>
        <v>G475</v>
      </c>
      <c r="DF305" t="str">
        <f t="shared" si="266"/>
        <v>R293</v>
      </c>
      <c r="DG305" t="b">
        <f t="shared" si="281"/>
        <v>0</v>
      </c>
      <c r="DH305" t="str">
        <f t="shared" si="282"/>
        <v>R293</v>
      </c>
    </row>
    <row r="306" spans="2:112" ht="12" customHeight="1">
      <c r="B306" t="str">
        <f>TBIDry!H378</f>
        <v>G879</v>
      </c>
      <c r="C306" t="str">
        <f>TBIDry!I378</f>
        <v>R614</v>
      </c>
      <c r="D306" t="b">
        <f t="shared" si="229"/>
        <v>0</v>
      </c>
      <c r="E306" t="b">
        <f t="shared" si="230"/>
        <v>0</v>
      </c>
      <c r="G306" t="str">
        <f>TBIWet!H378</f>
        <v>G298</v>
      </c>
      <c r="H306" t="str">
        <f>TBIWet!I378</f>
        <v>R22</v>
      </c>
      <c r="I306" t="b">
        <f t="shared" si="231"/>
        <v>0</v>
      </c>
      <c r="J306" t="b">
        <f t="shared" si="232"/>
        <v>0</v>
      </c>
      <c r="L306" t="str">
        <f>'Both teabags AfterWet'!A304</f>
        <v>G756</v>
      </c>
      <c r="M306" t="str">
        <f>'Both teabags AfterWet'!A724</f>
        <v>R517</v>
      </c>
      <c r="N306" t="b">
        <f t="shared" si="233"/>
        <v>0</v>
      </c>
      <c r="O306" t="b">
        <f t="shared" si="283"/>
        <v>0</v>
      </c>
      <c r="Q306" s="388" t="b">
        <f t="shared" si="234"/>
        <v>0</v>
      </c>
      <c r="R306" s="388" t="b">
        <f t="shared" si="235"/>
        <v>0</v>
      </c>
      <c r="T306" t="str">
        <f>'Both teabags AfterDry'!A304</f>
        <v>G780</v>
      </c>
      <c r="U306" t="str">
        <f>'Both teabags AfterDry'!A639</f>
        <v>R803</v>
      </c>
      <c r="V306" t="b">
        <f t="shared" si="236"/>
        <v>0</v>
      </c>
      <c r="W306" t="b">
        <f t="shared" si="267"/>
        <v>0</v>
      </c>
      <c r="Y306" t="str">
        <f>'Green_rooibos initial weight'!A307</f>
        <v>G303</v>
      </c>
      <c r="Z306" t="str">
        <f>'Green_rooibos initial weight'!A1211</f>
        <v>R303</v>
      </c>
      <c r="AA306" t="b">
        <f t="shared" si="237"/>
        <v>0</v>
      </c>
      <c r="AB306" t="b">
        <f t="shared" si="238"/>
        <v>0</v>
      </c>
      <c r="AE306" t="str">
        <f>'WetLitterbags placem_collection'!O85</f>
        <v>G298</v>
      </c>
      <c r="AF306" t="str">
        <f>'WetLitterbags placem_collection'!Q85</f>
        <v>R22</v>
      </c>
      <c r="AG306" t="b">
        <f t="shared" si="239"/>
        <v>0</v>
      </c>
      <c r="AH306" t="b">
        <f t="shared" si="240"/>
        <v>0</v>
      </c>
      <c r="AJ306" t="b">
        <f t="shared" si="241"/>
        <v>0</v>
      </c>
      <c r="AK306" t="b">
        <f t="shared" si="242"/>
        <v>0</v>
      </c>
      <c r="AM306" t="str">
        <f>IF(ISBLANK('Dry_Litterbag Placem_Collection'!L85),"","G"&amp;""&amp;'Dry_Litterbag Placem_Collection'!L85)</f>
        <v>G879</v>
      </c>
      <c r="AN306" t="str">
        <f>IF(ISBLANK('Dry_Litterbag Placem_Collection'!M85),"","R"&amp;""&amp;'Dry_Litterbag Placem_Collection'!M85)</f>
        <v>R614</v>
      </c>
      <c r="AO306" t="b">
        <f t="shared" si="243"/>
        <v>0</v>
      </c>
      <c r="AP306" t="b">
        <f t="shared" si="244"/>
        <v>0</v>
      </c>
      <c r="AS306" t="str">
        <f>'Ashed teabags dry'!A304</f>
        <v>G780</v>
      </c>
      <c r="AT306" t="str">
        <f>'Ashed teabags dry'!A639</f>
        <v>R803</v>
      </c>
      <c r="AU306" t="b">
        <f t="shared" si="245"/>
        <v>0</v>
      </c>
      <c r="AV306" t="b">
        <f t="shared" si="268"/>
        <v>0</v>
      </c>
      <c r="AX306" s="388" t="b">
        <f t="shared" si="246"/>
        <v>0</v>
      </c>
      <c r="AY306" s="388" t="b">
        <f t="shared" si="247"/>
        <v>0</v>
      </c>
      <c r="BA306" t="str">
        <f>'Ashed teabags wet'!A304</f>
        <v>G756</v>
      </c>
      <c r="BB306" t="str">
        <f>'Ashed teabags wet'!A724</f>
        <v>R517</v>
      </c>
      <c r="BC306" t="b">
        <f t="shared" si="248"/>
        <v>0</v>
      </c>
      <c r="BD306" t="b">
        <f t="shared" si="228"/>
        <v>0</v>
      </c>
      <c r="BF306" t="str">
        <f t="shared" si="249"/>
        <v>G78</v>
      </c>
      <c r="BG306" t="str">
        <f t="shared" si="250"/>
        <v>G78</v>
      </c>
      <c r="BH306" t="str">
        <f t="shared" si="251"/>
        <v>G370</v>
      </c>
      <c r="BI306" t="str">
        <f t="shared" si="269"/>
        <v>G370</v>
      </c>
      <c r="BJ306" t="s">
        <v>1972</v>
      </c>
      <c r="BK306" t="s">
        <v>1972</v>
      </c>
      <c r="BL306" t="s">
        <v>1972</v>
      </c>
      <c r="BM306" t="b">
        <f t="shared" si="270"/>
        <v>1</v>
      </c>
      <c r="BN306" t="str">
        <f t="shared" si="252"/>
        <v>R802</v>
      </c>
      <c r="BO306" t="str">
        <f t="shared" si="253"/>
        <v>R802</v>
      </c>
      <c r="BP306" t="str">
        <f t="shared" si="254"/>
        <v>R610</v>
      </c>
      <c r="BQ306" t="str">
        <f t="shared" si="255"/>
        <v>R610</v>
      </c>
      <c r="BR306" t="s">
        <v>337</v>
      </c>
      <c r="BS306" t="s">
        <v>336</v>
      </c>
      <c r="BT306" t="s">
        <v>337</v>
      </c>
      <c r="BU306" t="b">
        <f t="shared" si="271"/>
        <v>1</v>
      </c>
      <c r="BZ306" t="str">
        <f t="shared" si="256"/>
        <v>G370</v>
      </c>
      <c r="CA306" t="b">
        <f t="shared" si="257"/>
        <v>0</v>
      </c>
      <c r="CB306" t="str">
        <f t="shared" si="272"/>
        <v>G370</v>
      </c>
      <c r="CC306" t="str">
        <f t="shared" si="258"/>
        <v>R610</v>
      </c>
      <c r="CD306" t="b">
        <f t="shared" si="273"/>
        <v>0</v>
      </c>
      <c r="CE306" t="str">
        <f t="shared" si="274"/>
        <v>R610</v>
      </c>
      <c r="CG306" t="str">
        <f t="shared" si="259"/>
        <v>G755</v>
      </c>
      <c r="CH306" t="str">
        <f t="shared" si="275"/>
        <v>G755</v>
      </c>
      <c r="CI306" t="str">
        <f t="shared" si="260"/>
        <v>G840</v>
      </c>
      <c r="CJ306" t="str">
        <f t="shared" si="261"/>
        <v>G840</v>
      </c>
      <c r="CK306" t="s">
        <v>1295</v>
      </c>
      <c r="CL306" t="s">
        <v>1295</v>
      </c>
      <c r="CM306" t="s">
        <v>1295</v>
      </c>
      <c r="CN306" t="b">
        <f t="shared" si="276"/>
        <v>1</v>
      </c>
      <c r="CO306" t="str">
        <f t="shared" si="262"/>
        <v>R515</v>
      </c>
      <c r="CP306" t="str">
        <f t="shared" si="277"/>
        <v>R515</v>
      </c>
      <c r="CQ306" t="str">
        <f t="shared" si="263"/>
        <v>R368</v>
      </c>
      <c r="CR306" t="str">
        <f t="shared" si="264"/>
        <v>R368</v>
      </c>
      <c r="CS306" t="s">
        <v>626</v>
      </c>
      <c r="CT306" t="s">
        <v>626</v>
      </c>
      <c r="CU306" t="s">
        <v>626</v>
      </c>
      <c r="CV306" t="b">
        <f t="shared" si="278"/>
        <v>1</v>
      </c>
      <c r="DC306" t="str">
        <f t="shared" si="265"/>
        <v>G840</v>
      </c>
      <c r="DD306" t="b">
        <f t="shared" si="279"/>
        <v>0</v>
      </c>
      <c r="DE306" t="str">
        <f t="shared" si="280"/>
        <v>G840</v>
      </c>
      <c r="DF306" t="str">
        <f t="shared" si="266"/>
        <v>R368</v>
      </c>
      <c r="DG306" t="b">
        <f t="shared" si="281"/>
        <v>0</v>
      </c>
      <c r="DH306" t="str">
        <f t="shared" si="282"/>
        <v>R368</v>
      </c>
    </row>
    <row r="307" spans="2:112" ht="12" customHeight="1">
      <c r="B307" t="str">
        <f>TBIDry!H379</f>
        <v>G854</v>
      </c>
      <c r="C307" t="str">
        <f>TBIDry!I379</f>
        <v>R720</v>
      </c>
      <c r="D307" t="b">
        <f t="shared" si="229"/>
        <v>0</v>
      </c>
      <c r="E307" t="b">
        <f t="shared" si="230"/>
        <v>0</v>
      </c>
      <c r="G307" t="str">
        <f>TBIWet!H379</f>
        <v>G520</v>
      </c>
      <c r="H307" t="str">
        <f>TBIWet!I379</f>
        <v>R417</v>
      </c>
      <c r="I307" t="b">
        <f t="shared" si="231"/>
        <v>0</v>
      </c>
      <c r="J307" t="b">
        <f t="shared" si="232"/>
        <v>0</v>
      </c>
      <c r="L307" t="str">
        <f>'Both teabags AfterWet'!A305</f>
        <v>G758</v>
      </c>
      <c r="M307" t="str">
        <f>'Both teabags AfterWet'!A725</f>
        <v>R518</v>
      </c>
      <c r="N307" t="b">
        <f t="shared" si="233"/>
        <v>0</v>
      </c>
      <c r="O307" t="b">
        <f t="shared" si="283"/>
        <v>0</v>
      </c>
      <c r="Q307" s="388" t="b">
        <f t="shared" si="234"/>
        <v>0</v>
      </c>
      <c r="R307" s="388" t="b">
        <f t="shared" si="235"/>
        <v>0</v>
      </c>
      <c r="T307" t="str">
        <f>'Both teabags AfterDry'!A305</f>
        <v>G79</v>
      </c>
      <c r="U307" t="str">
        <f>'Both teabags AfterDry'!A640</f>
        <v>R804</v>
      </c>
      <c r="V307" t="b">
        <f t="shared" si="236"/>
        <v>0</v>
      </c>
      <c r="W307" t="b">
        <f t="shared" si="267"/>
        <v>0</v>
      </c>
      <c r="Y307" t="str">
        <f>'Green_rooibos initial weight'!A308</f>
        <v>G304</v>
      </c>
      <c r="Z307" t="str">
        <f>'Green_rooibos initial weight'!A1212</f>
        <v>R304</v>
      </c>
      <c r="AA307" t="b">
        <f t="shared" si="237"/>
        <v>0</v>
      </c>
      <c r="AB307" t="b">
        <f t="shared" si="238"/>
        <v>0</v>
      </c>
      <c r="AE307" t="str">
        <f>'WetLitterbags placem_collection'!O86</f>
        <v>G520</v>
      </c>
      <c r="AF307" t="str">
        <f>'WetLitterbags placem_collection'!Q86</f>
        <v>R417</v>
      </c>
      <c r="AG307" t="b">
        <f t="shared" si="239"/>
        <v>0</v>
      </c>
      <c r="AH307" t="b">
        <f t="shared" si="240"/>
        <v>0</v>
      </c>
      <c r="AJ307" t="b">
        <f t="shared" si="241"/>
        <v>0</v>
      </c>
      <c r="AK307" t="b">
        <f t="shared" si="242"/>
        <v>0</v>
      </c>
      <c r="AM307" t="str">
        <f>IF(ISBLANK('Dry_Litterbag Placem_Collection'!L86),"","G"&amp;""&amp;'Dry_Litterbag Placem_Collection'!L86)</f>
        <v>G854</v>
      </c>
      <c r="AN307" t="str">
        <f>IF(ISBLANK('Dry_Litterbag Placem_Collection'!M86),"","R"&amp;""&amp;'Dry_Litterbag Placem_Collection'!M86)</f>
        <v>R720</v>
      </c>
      <c r="AO307" t="b">
        <f t="shared" si="243"/>
        <v>0</v>
      </c>
      <c r="AP307" t="b">
        <f t="shared" si="244"/>
        <v>0</v>
      </c>
      <c r="AS307" t="str">
        <f>'Ashed teabags dry'!A305</f>
        <v>G79</v>
      </c>
      <c r="AT307" t="str">
        <f>'Ashed teabags dry'!A640</f>
        <v>R804</v>
      </c>
      <c r="AU307" t="b">
        <f t="shared" si="245"/>
        <v>0</v>
      </c>
      <c r="AV307" t="b">
        <f t="shared" si="268"/>
        <v>0</v>
      </c>
      <c r="AX307" s="388" t="b">
        <f t="shared" si="246"/>
        <v>0</v>
      </c>
      <c r="AY307" s="388" t="b">
        <f t="shared" si="247"/>
        <v>0</v>
      </c>
      <c r="BA307" t="str">
        <f>'Ashed teabags wet'!A305</f>
        <v>G758</v>
      </c>
      <c r="BB307" t="str">
        <f>'Ashed teabags wet'!A725</f>
        <v>R518</v>
      </c>
      <c r="BC307" t="b">
        <f t="shared" si="248"/>
        <v>0</v>
      </c>
      <c r="BD307" t="b">
        <f t="shared" si="228"/>
        <v>0</v>
      </c>
      <c r="BF307" t="str">
        <f t="shared" si="249"/>
        <v>G780</v>
      </c>
      <c r="BG307" t="str">
        <f t="shared" si="250"/>
        <v>G780</v>
      </c>
      <c r="BH307" t="str">
        <f t="shared" si="251"/>
        <v>G879</v>
      </c>
      <c r="BI307" t="str">
        <f t="shared" si="269"/>
        <v>G879</v>
      </c>
      <c r="BJ307" t="s">
        <v>1270</v>
      </c>
      <c r="BK307" t="s">
        <v>1270</v>
      </c>
      <c r="BL307" t="s">
        <v>1270</v>
      </c>
      <c r="BM307" t="b">
        <f t="shared" si="270"/>
        <v>1</v>
      </c>
      <c r="BN307" t="str">
        <f t="shared" si="252"/>
        <v>R803</v>
      </c>
      <c r="BO307" t="str">
        <f t="shared" si="253"/>
        <v>R803</v>
      </c>
      <c r="BP307" t="str">
        <f t="shared" si="254"/>
        <v>R614</v>
      </c>
      <c r="BQ307" t="str">
        <f t="shared" si="255"/>
        <v>R614</v>
      </c>
      <c r="BR307" t="s">
        <v>336</v>
      </c>
      <c r="BS307" t="s">
        <v>335</v>
      </c>
      <c r="BT307" t="s">
        <v>336</v>
      </c>
      <c r="BU307" t="b">
        <f t="shared" si="271"/>
        <v>1</v>
      </c>
      <c r="BZ307" t="str">
        <f t="shared" si="256"/>
        <v>G879</v>
      </c>
      <c r="CA307" t="b">
        <f t="shared" si="257"/>
        <v>0</v>
      </c>
      <c r="CB307" t="str">
        <f t="shared" si="272"/>
        <v>G879</v>
      </c>
      <c r="CC307" t="str">
        <f t="shared" si="258"/>
        <v>R614</v>
      </c>
      <c r="CD307" t="b">
        <f t="shared" si="273"/>
        <v>0</v>
      </c>
      <c r="CE307" t="str">
        <f t="shared" si="274"/>
        <v>R614</v>
      </c>
      <c r="CG307" t="str">
        <f t="shared" si="259"/>
        <v>G756</v>
      </c>
      <c r="CH307" t="str">
        <f t="shared" si="275"/>
        <v>G756</v>
      </c>
      <c r="CI307" t="str">
        <f t="shared" si="260"/>
        <v>G298</v>
      </c>
      <c r="CJ307" t="str">
        <f t="shared" si="261"/>
        <v>G298</v>
      </c>
      <c r="CK307" t="s">
        <v>1294</v>
      </c>
      <c r="CL307" t="s">
        <v>1294</v>
      </c>
      <c r="CM307" t="s">
        <v>1294</v>
      </c>
      <c r="CN307" t="b">
        <f t="shared" si="276"/>
        <v>1</v>
      </c>
      <c r="CO307" t="str">
        <f t="shared" si="262"/>
        <v>R517</v>
      </c>
      <c r="CP307" t="str">
        <f t="shared" si="277"/>
        <v>R517</v>
      </c>
      <c r="CQ307" t="str">
        <f t="shared" si="263"/>
        <v>R22</v>
      </c>
      <c r="CR307" t="str">
        <f t="shared" si="264"/>
        <v>R22</v>
      </c>
      <c r="CS307" t="s">
        <v>624</v>
      </c>
      <c r="CT307" t="s">
        <v>624</v>
      </c>
      <c r="CU307" t="s">
        <v>624</v>
      </c>
      <c r="CV307" t="b">
        <f t="shared" si="278"/>
        <v>1</v>
      </c>
      <c r="DC307" t="str">
        <f t="shared" si="265"/>
        <v>G298</v>
      </c>
      <c r="DD307" t="b">
        <f t="shared" si="279"/>
        <v>0</v>
      </c>
      <c r="DE307" t="str">
        <f t="shared" si="280"/>
        <v>G298</v>
      </c>
      <c r="DF307" t="str">
        <f t="shared" si="266"/>
        <v>R22</v>
      </c>
      <c r="DG307" t="b">
        <f t="shared" si="281"/>
        <v>0</v>
      </c>
      <c r="DH307" t="str">
        <f t="shared" si="282"/>
        <v>R22</v>
      </c>
    </row>
    <row r="308" spans="2:112" ht="12" customHeight="1">
      <c r="B308" t="str">
        <f>TBIDry!H380</f>
        <v/>
      </c>
      <c r="C308" t="str">
        <f>TBIDry!I380</f>
        <v/>
      </c>
      <c r="D308" t="b">
        <f t="shared" si="229"/>
        <v>1</v>
      </c>
      <c r="E308" t="b">
        <f t="shared" si="230"/>
        <v>1</v>
      </c>
      <c r="G308" t="str">
        <f>TBIWet!H380</f>
        <v>G441</v>
      </c>
      <c r="H308" t="str">
        <f>TBIWet!I380</f>
        <v>R391</v>
      </c>
      <c r="I308" t="b">
        <f t="shared" si="231"/>
        <v>0</v>
      </c>
      <c r="J308" t="b">
        <f t="shared" si="232"/>
        <v>0</v>
      </c>
      <c r="L308" t="str">
        <f>'Both teabags AfterWet'!A306</f>
        <v>G760</v>
      </c>
      <c r="M308" t="str">
        <f>'Both teabags AfterWet'!A726</f>
        <v>R519</v>
      </c>
      <c r="N308" t="b">
        <f t="shared" si="233"/>
        <v>0</v>
      </c>
      <c r="O308" t="b">
        <f t="shared" si="283"/>
        <v>0</v>
      </c>
      <c r="Q308" s="388" t="b">
        <f t="shared" si="234"/>
        <v>0</v>
      </c>
      <c r="R308" s="388" t="b">
        <f t="shared" si="235"/>
        <v>0</v>
      </c>
      <c r="T308" t="str">
        <f>'Both teabags AfterDry'!A306</f>
        <v>G792</v>
      </c>
      <c r="U308" t="str">
        <f>'Both teabags AfterDry'!A641</f>
        <v>R806</v>
      </c>
      <c r="V308" t="b">
        <f t="shared" si="236"/>
        <v>0</v>
      </c>
      <c r="W308" t="b">
        <f t="shared" si="267"/>
        <v>0</v>
      </c>
      <c r="Y308" t="str">
        <f>'Green_rooibos initial weight'!A309</f>
        <v>G305</v>
      </c>
      <c r="Z308" t="str">
        <f>'Green_rooibos initial weight'!A1213</f>
        <v>R305</v>
      </c>
      <c r="AA308" t="b">
        <f t="shared" si="237"/>
        <v>0</v>
      </c>
      <c r="AB308" t="b">
        <f t="shared" si="238"/>
        <v>0</v>
      </c>
      <c r="AE308" t="str">
        <f>'WetLitterbags placem_collection'!O87</f>
        <v>G441</v>
      </c>
      <c r="AF308" t="str">
        <f>'WetLitterbags placem_collection'!Q87</f>
        <v>R391</v>
      </c>
      <c r="AG308" t="b">
        <f t="shared" si="239"/>
        <v>0</v>
      </c>
      <c r="AH308" t="b">
        <f t="shared" si="240"/>
        <v>0</v>
      </c>
      <c r="AJ308" t="b">
        <f t="shared" si="241"/>
        <v>0</v>
      </c>
      <c r="AK308" t="b">
        <f t="shared" si="242"/>
        <v>0</v>
      </c>
      <c r="AM308" t="str">
        <f>IF(ISBLANK('Dry_Litterbag Placem_Collection'!L87),"","G"&amp;""&amp;'Dry_Litterbag Placem_Collection'!L87)</f>
        <v/>
      </c>
      <c r="AN308" t="str">
        <f>IF(ISBLANK('Dry_Litterbag Placem_Collection'!M87),"","R"&amp;""&amp;'Dry_Litterbag Placem_Collection'!M87)</f>
        <v/>
      </c>
      <c r="AO308" t="b">
        <f t="shared" si="243"/>
        <v>1</v>
      </c>
      <c r="AP308" t="b">
        <f t="shared" si="244"/>
        <v>1</v>
      </c>
      <c r="AS308" t="str">
        <f>'Ashed teabags dry'!A306</f>
        <v>G792</v>
      </c>
      <c r="AT308" t="str">
        <f>'Ashed teabags dry'!A641</f>
        <v>R806</v>
      </c>
      <c r="AU308" t="b">
        <f t="shared" si="245"/>
        <v>0</v>
      </c>
      <c r="AV308" t="b">
        <f t="shared" si="268"/>
        <v>0</v>
      </c>
      <c r="AX308" s="388" t="b">
        <f t="shared" si="246"/>
        <v>0</v>
      </c>
      <c r="AY308" s="388" t="b">
        <f t="shared" si="247"/>
        <v>0</v>
      </c>
      <c r="BA308" t="str">
        <f>'Ashed teabags wet'!A306</f>
        <v>G760</v>
      </c>
      <c r="BB308" t="str">
        <f>'Ashed teabags wet'!A726</f>
        <v>R519</v>
      </c>
      <c r="BC308" t="b">
        <f t="shared" si="248"/>
        <v>0</v>
      </c>
      <c r="BD308" t="b">
        <f t="shared" si="228"/>
        <v>0</v>
      </c>
      <c r="BF308" t="str">
        <f t="shared" si="249"/>
        <v>G79</v>
      </c>
      <c r="BG308" t="str">
        <f t="shared" si="250"/>
        <v>G79</v>
      </c>
      <c r="BH308" t="str">
        <f t="shared" si="251"/>
        <v>G854</v>
      </c>
      <c r="BI308" t="str">
        <f t="shared" si="269"/>
        <v>G854</v>
      </c>
      <c r="BJ308" t="s">
        <v>1971</v>
      </c>
      <c r="BK308" t="s">
        <v>1971</v>
      </c>
      <c r="BL308" t="s">
        <v>1971</v>
      </c>
      <c r="BM308" t="b">
        <f t="shared" si="270"/>
        <v>1</v>
      </c>
      <c r="BN308" t="str">
        <f t="shared" si="252"/>
        <v>R804</v>
      </c>
      <c r="BO308" t="str">
        <f t="shared" si="253"/>
        <v>R804</v>
      </c>
      <c r="BP308" t="str">
        <f t="shared" si="254"/>
        <v>R720</v>
      </c>
      <c r="BQ308" t="str">
        <f t="shared" si="255"/>
        <v>R720</v>
      </c>
      <c r="BR308" t="s">
        <v>335</v>
      </c>
      <c r="BS308" t="s">
        <v>333</v>
      </c>
      <c r="BT308" t="s">
        <v>335</v>
      </c>
      <c r="BU308" t="b">
        <f t="shared" si="271"/>
        <v>1</v>
      </c>
      <c r="BZ308" t="str">
        <f t="shared" si="256"/>
        <v>G854</v>
      </c>
      <c r="CA308" t="b">
        <f t="shared" si="257"/>
        <v>0</v>
      </c>
      <c r="CB308" t="str">
        <f t="shared" si="272"/>
        <v>G854</v>
      </c>
      <c r="CC308" t="str">
        <f t="shared" si="258"/>
        <v>R720</v>
      </c>
      <c r="CD308" t="b">
        <f t="shared" si="273"/>
        <v>0</v>
      </c>
      <c r="CE308" t="str">
        <f t="shared" si="274"/>
        <v>R720</v>
      </c>
      <c r="CG308" t="str">
        <f t="shared" si="259"/>
        <v>G758</v>
      </c>
      <c r="CH308" t="str">
        <f t="shared" si="275"/>
        <v>G758</v>
      </c>
      <c r="CI308" t="str">
        <f t="shared" si="260"/>
        <v>G520</v>
      </c>
      <c r="CJ308" t="str">
        <f t="shared" si="261"/>
        <v>G520</v>
      </c>
      <c r="CK308" t="s">
        <v>1292</v>
      </c>
      <c r="CL308" t="s">
        <v>1292</v>
      </c>
      <c r="CM308" t="s">
        <v>1292</v>
      </c>
      <c r="CN308" t="b">
        <f t="shared" si="276"/>
        <v>1</v>
      </c>
      <c r="CO308" t="str">
        <f t="shared" si="262"/>
        <v>R518</v>
      </c>
      <c r="CP308" t="str">
        <f t="shared" si="277"/>
        <v>R518</v>
      </c>
      <c r="CQ308" t="str">
        <f t="shared" si="263"/>
        <v>R417</v>
      </c>
      <c r="CR308" t="str">
        <f t="shared" si="264"/>
        <v>R417</v>
      </c>
      <c r="CS308" t="s">
        <v>623</v>
      </c>
      <c r="CT308" t="s">
        <v>623</v>
      </c>
      <c r="CU308" t="s">
        <v>623</v>
      </c>
      <c r="CV308" t="b">
        <f t="shared" si="278"/>
        <v>1</v>
      </c>
      <c r="DC308" t="str">
        <f t="shared" si="265"/>
        <v>G520</v>
      </c>
      <c r="DD308" t="b">
        <f t="shared" si="279"/>
        <v>0</v>
      </c>
      <c r="DE308" t="str">
        <f t="shared" si="280"/>
        <v>G520</v>
      </c>
      <c r="DF308" t="str">
        <f t="shared" si="266"/>
        <v>R417</v>
      </c>
      <c r="DG308" t="b">
        <f t="shared" si="281"/>
        <v>0</v>
      </c>
      <c r="DH308" t="str">
        <f t="shared" si="282"/>
        <v>R417</v>
      </c>
    </row>
    <row r="309" spans="2:112" ht="12" customHeight="1">
      <c r="B309" t="str">
        <f>TBIDry!H381</f>
        <v>G788</v>
      </c>
      <c r="C309" t="str">
        <f>TBIDry!I381</f>
        <v>R643</v>
      </c>
      <c r="D309" t="b">
        <f t="shared" si="229"/>
        <v>0</v>
      </c>
      <c r="E309" t="b">
        <f t="shared" si="230"/>
        <v>0</v>
      </c>
      <c r="G309" t="str">
        <f>TBIWet!H381</f>
        <v>G561</v>
      </c>
      <c r="H309" t="str">
        <f>TBIWet!I381</f>
        <v>R62</v>
      </c>
      <c r="I309" t="b">
        <f t="shared" si="231"/>
        <v>0</v>
      </c>
      <c r="J309" t="b">
        <f t="shared" si="232"/>
        <v>0</v>
      </c>
      <c r="L309" t="str">
        <f>'Both teabags AfterWet'!A307</f>
        <v>G761</v>
      </c>
      <c r="M309" t="str">
        <f>'Both teabags AfterWet'!A727</f>
        <v>R520</v>
      </c>
      <c r="N309" t="b">
        <f t="shared" si="233"/>
        <v>0</v>
      </c>
      <c r="O309" t="b">
        <f t="shared" si="283"/>
        <v>0</v>
      </c>
      <c r="Q309" s="388" t="b">
        <f t="shared" si="234"/>
        <v>0</v>
      </c>
      <c r="R309" s="388" t="b">
        <f t="shared" si="235"/>
        <v>0</v>
      </c>
      <c r="T309" t="str">
        <f>'Both teabags AfterDry'!A307</f>
        <v>G8</v>
      </c>
      <c r="U309" t="str">
        <f>'Both teabags AfterDry'!A642</f>
        <v>R807</v>
      </c>
      <c r="V309" t="b">
        <f t="shared" si="236"/>
        <v>0</v>
      </c>
      <c r="W309" t="b">
        <f t="shared" si="267"/>
        <v>0</v>
      </c>
      <c r="Y309" t="str">
        <f>'Green_rooibos initial weight'!A310</f>
        <v>G306</v>
      </c>
      <c r="Z309" t="str">
        <f>'Green_rooibos initial weight'!A1214</f>
        <v>R306</v>
      </c>
      <c r="AA309" t="b">
        <f t="shared" si="237"/>
        <v>0</v>
      </c>
      <c r="AB309" t="b">
        <f t="shared" si="238"/>
        <v>0</v>
      </c>
      <c r="AE309" t="str">
        <f>'WetLitterbags placem_collection'!O88</f>
        <v>G561</v>
      </c>
      <c r="AF309" t="str">
        <f>'WetLitterbags placem_collection'!Q88</f>
        <v>R62</v>
      </c>
      <c r="AG309" t="b">
        <f t="shared" si="239"/>
        <v>0</v>
      </c>
      <c r="AH309" t="b">
        <f t="shared" si="240"/>
        <v>0</v>
      </c>
      <c r="AJ309" t="b">
        <f t="shared" si="241"/>
        <v>0</v>
      </c>
      <c r="AK309" t="b">
        <f t="shared" si="242"/>
        <v>0</v>
      </c>
      <c r="AM309" t="str">
        <f>IF(ISBLANK('Dry_Litterbag Placem_Collection'!L88),"","G"&amp;""&amp;'Dry_Litterbag Placem_Collection'!L88)</f>
        <v>G788</v>
      </c>
      <c r="AN309" t="str">
        <f>IF(ISBLANK('Dry_Litterbag Placem_Collection'!M88),"","R"&amp;""&amp;'Dry_Litterbag Placem_Collection'!M88)</f>
        <v>R643</v>
      </c>
      <c r="AO309" t="b">
        <f t="shared" si="243"/>
        <v>0</v>
      </c>
      <c r="AP309" t="b">
        <f t="shared" si="244"/>
        <v>0</v>
      </c>
      <c r="AS309" t="str">
        <f>'Ashed teabags dry'!A307</f>
        <v>G8</v>
      </c>
      <c r="AT309" t="str">
        <f>'Ashed teabags dry'!A642</f>
        <v>R807</v>
      </c>
      <c r="AU309" t="b">
        <f t="shared" si="245"/>
        <v>0</v>
      </c>
      <c r="AV309" t="b">
        <f t="shared" si="268"/>
        <v>0</v>
      </c>
      <c r="AX309" s="388" t="b">
        <f t="shared" si="246"/>
        <v>0</v>
      </c>
      <c r="AY309" s="388" t="b">
        <f t="shared" si="247"/>
        <v>0</v>
      </c>
      <c r="BA309" t="str">
        <f>'Ashed teabags wet'!A307</f>
        <v>G761</v>
      </c>
      <c r="BB309" t="str">
        <f>'Ashed teabags wet'!A727</f>
        <v>R520</v>
      </c>
      <c r="BC309" t="b">
        <f t="shared" si="248"/>
        <v>0</v>
      </c>
      <c r="BD309" t="b">
        <f t="shared" si="228"/>
        <v>0</v>
      </c>
      <c r="BF309" t="str">
        <f t="shared" si="249"/>
        <v>G792</v>
      </c>
      <c r="BG309" t="str">
        <f t="shared" si="250"/>
        <v>G792</v>
      </c>
      <c r="BH309" t="str">
        <f t="shared" si="251"/>
        <v/>
      </c>
      <c r="BI309" t="str">
        <f t="shared" si="269"/>
        <v/>
      </c>
      <c r="BJ309" t="s">
        <v>1258</v>
      </c>
      <c r="BK309" t="s">
        <v>1258</v>
      </c>
      <c r="BL309" t="s">
        <v>1258</v>
      </c>
      <c r="BM309" t="b">
        <f t="shared" si="270"/>
        <v>1</v>
      </c>
      <c r="BN309" t="str">
        <f t="shared" si="252"/>
        <v>R806</v>
      </c>
      <c r="BO309" t="str">
        <f t="shared" si="253"/>
        <v>R806</v>
      </c>
      <c r="BP309" t="str">
        <f t="shared" si="254"/>
        <v/>
      </c>
      <c r="BQ309" t="str">
        <f t="shared" si="255"/>
        <v/>
      </c>
      <c r="BR309" t="s">
        <v>333</v>
      </c>
      <c r="BS309" t="s">
        <v>332</v>
      </c>
      <c r="BT309" t="s">
        <v>333</v>
      </c>
      <c r="BU309" t="b">
        <f t="shared" si="271"/>
        <v>1</v>
      </c>
      <c r="BZ309" t="str">
        <f t="shared" si="256"/>
        <v/>
      </c>
      <c r="CA309" t="b">
        <f t="shared" si="257"/>
        <v>0</v>
      </c>
      <c r="CB309" t="str">
        <f t="shared" si="272"/>
        <v/>
      </c>
      <c r="CC309" t="str">
        <f t="shared" si="258"/>
        <v/>
      </c>
      <c r="CD309" t="b">
        <f t="shared" si="273"/>
        <v>0</v>
      </c>
      <c r="CE309" t="str">
        <f t="shared" si="274"/>
        <v/>
      </c>
      <c r="CG309" t="str">
        <f t="shared" si="259"/>
        <v>G760</v>
      </c>
      <c r="CH309" t="str">
        <f t="shared" si="275"/>
        <v>G760</v>
      </c>
      <c r="CI309" t="str">
        <f t="shared" si="260"/>
        <v>G441</v>
      </c>
      <c r="CJ309" t="str">
        <f t="shared" si="261"/>
        <v>G441</v>
      </c>
      <c r="CK309" t="s">
        <v>1290</v>
      </c>
      <c r="CL309" t="s">
        <v>1290</v>
      </c>
      <c r="CM309" t="s">
        <v>1290</v>
      </c>
      <c r="CN309" t="b">
        <f t="shared" si="276"/>
        <v>1</v>
      </c>
      <c r="CO309" t="str">
        <f t="shared" si="262"/>
        <v>R519</v>
      </c>
      <c r="CP309" t="str">
        <f t="shared" si="277"/>
        <v>R519</v>
      </c>
      <c r="CQ309" t="str">
        <f t="shared" si="263"/>
        <v>R391</v>
      </c>
      <c r="CR309" t="str">
        <f t="shared" si="264"/>
        <v>R391</v>
      </c>
      <c r="CS309" t="s">
        <v>622</v>
      </c>
      <c r="CT309" t="s">
        <v>622</v>
      </c>
      <c r="CU309" t="s">
        <v>622</v>
      </c>
      <c r="CV309" t="b">
        <f t="shared" si="278"/>
        <v>1</v>
      </c>
      <c r="DC309" t="str">
        <f t="shared" si="265"/>
        <v>G441</v>
      </c>
      <c r="DD309" t="b">
        <f t="shared" si="279"/>
        <v>0</v>
      </c>
      <c r="DE309" t="str">
        <f t="shared" si="280"/>
        <v>G441</v>
      </c>
      <c r="DF309" t="str">
        <f t="shared" si="266"/>
        <v>R391</v>
      </c>
      <c r="DG309" t="b">
        <f t="shared" si="281"/>
        <v>0</v>
      </c>
      <c r="DH309" t="str">
        <f t="shared" si="282"/>
        <v>R391</v>
      </c>
    </row>
    <row r="310" spans="2:112" ht="12" customHeight="1">
      <c r="B310" t="str">
        <f>TBIDry!H382</f>
        <v>G91</v>
      </c>
      <c r="C310" t="str">
        <f>TBIDry!I382</f>
        <v>R277</v>
      </c>
      <c r="D310" t="b">
        <f t="shared" si="229"/>
        <v>0</v>
      </c>
      <c r="E310" t="b">
        <f t="shared" si="230"/>
        <v>0</v>
      </c>
      <c r="G310" t="str">
        <f>TBIWet!H382</f>
        <v>G632</v>
      </c>
      <c r="H310" t="str">
        <f>TBIWet!I382</f>
        <v>R329</v>
      </c>
      <c r="I310" t="b">
        <f t="shared" si="231"/>
        <v>0</v>
      </c>
      <c r="J310" t="b">
        <f t="shared" si="232"/>
        <v>0</v>
      </c>
      <c r="L310" t="str">
        <f>'Both teabags AfterWet'!A308</f>
        <v>G762</v>
      </c>
      <c r="M310" t="str">
        <f>'Both teabags AfterWet'!A728</f>
        <v>R521</v>
      </c>
      <c r="N310" t="b">
        <f t="shared" si="233"/>
        <v>0</v>
      </c>
      <c r="O310" t="b">
        <f t="shared" si="283"/>
        <v>0</v>
      </c>
      <c r="Q310" s="388" t="b">
        <f t="shared" si="234"/>
        <v>0</v>
      </c>
      <c r="R310" s="388" t="b">
        <f t="shared" si="235"/>
        <v>0</v>
      </c>
      <c r="T310" t="str">
        <f>'Both teabags AfterDry'!A308</f>
        <v>G80</v>
      </c>
      <c r="U310" t="str">
        <f>'Both teabags AfterDry'!A643</f>
        <v>R808</v>
      </c>
      <c r="V310" t="b">
        <f t="shared" si="236"/>
        <v>0</v>
      </c>
      <c r="W310" t="b">
        <f t="shared" si="267"/>
        <v>0</v>
      </c>
      <c r="Y310" t="str">
        <f>'Green_rooibos initial weight'!A311</f>
        <v>G307</v>
      </c>
      <c r="Z310" t="str">
        <f>'Green_rooibos initial weight'!A1215</f>
        <v>R307</v>
      </c>
      <c r="AA310" t="b">
        <f t="shared" si="237"/>
        <v>0</v>
      </c>
      <c r="AB310" t="b">
        <f t="shared" si="238"/>
        <v>0</v>
      </c>
      <c r="AE310" t="str">
        <f>'WetLitterbags placem_collection'!O89</f>
        <v>G632</v>
      </c>
      <c r="AF310" t="str">
        <f>'WetLitterbags placem_collection'!Q89</f>
        <v>R329</v>
      </c>
      <c r="AG310" t="b">
        <f t="shared" si="239"/>
        <v>0</v>
      </c>
      <c r="AH310" t="b">
        <f t="shared" si="240"/>
        <v>0</v>
      </c>
      <c r="AJ310" t="b">
        <f t="shared" si="241"/>
        <v>0</v>
      </c>
      <c r="AK310" t="b">
        <f t="shared" si="242"/>
        <v>0</v>
      </c>
      <c r="AM310" t="str">
        <f>IF(ISBLANK('Dry_Litterbag Placem_Collection'!L89),"","G"&amp;""&amp;'Dry_Litterbag Placem_Collection'!L89)</f>
        <v>G91</v>
      </c>
      <c r="AN310" t="str">
        <f>IF(ISBLANK('Dry_Litterbag Placem_Collection'!M89),"","R"&amp;""&amp;'Dry_Litterbag Placem_Collection'!M89)</f>
        <v>R277</v>
      </c>
      <c r="AO310" t="b">
        <f t="shared" si="243"/>
        <v>0</v>
      </c>
      <c r="AP310" t="b">
        <f t="shared" si="244"/>
        <v>0</v>
      </c>
      <c r="AS310" t="str">
        <f>'Ashed teabags dry'!A308</f>
        <v>G80</v>
      </c>
      <c r="AT310" t="str">
        <f>'Ashed teabags dry'!A643</f>
        <v>R808</v>
      </c>
      <c r="AU310" t="b">
        <f t="shared" si="245"/>
        <v>0</v>
      </c>
      <c r="AV310" t="b">
        <f t="shared" si="268"/>
        <v>0</v>
      </c>
      <c r="AX310" s="388" t="b">
        <f t="shared" si="246"/>
        <v>0</v>
      </c>
      <c r="AY310" s="388" t="b">
        <f t="shared" si="247"/>
        <v>0</v>
      </c>
      <c r="BA310" t="str">
        <f>'Ashed teabags wet'!A308</f>
        <v>G762</v>
      </c>
      <c r="BB310" t="str">
        <f>'Ashed teabags wet'!A728</f>
        <v>R521</v>
      </c>
      <c r="BC310" t="b">
        <f t="shared" si="248"/>
        <v>0</v>
      </c>
      <c r="BD310" t="b">
        <f t="shared" si="228"/>
        <v>0</v>
      </c>
      <c r="BF310" t="str">
        <f t="shared" si="249"/>
        <v>G8</v>
      </c>
      <c r="BG310" t="str">
        <f t="shared" si="250"/>
        <v>G8</v>
      </c>
      <c r="BH310" t="str">
        <f t="shared" si="251"/>
        <v>G788</v>
      </c>
      <c r="BI310" t="str">
        <f t="shared" si="269"/>
        <v/>
      </c>
      <c r="BJ310" t="s">
        <v>2042</v>
      </c>
      <c r="BK310" t="s">
        <v>2042</v>
      </c>
      <c r="BL310" t="s">
        <v>2042</v>
      </c>
      <c r="BM310" t="b">
        <f t="shared" si="270"/>
        <v>1</v>
      </c>
      <c r="BN310" t="str">
        <f t="shared" si="252"/>
        <v>R807</v>
      </c>
      <c r="BO310" t="str">
        <f t="shared" si="253"/>
        <v>R807</v>
      </c>
      <c r="BP310" t="str">
        <f t="shared" si="254"/>
        <v>R643</v>
      </c>
      <c r="BQ310" t="str">
        <f t="shared" si="255"/>
        <v/>
      </c>
      <c r="BR310" t="s">
        <v>332</v>
      </c>
      <c r="BS310" t="s">
        <v>331</v>
      </c>
      <c r="BT310" t="s">
        <v>332</v>
      </c>
      <c r="BU310" t="b">
        <f t="shared" si="271"/>
        <v>1</v>
      </c>
      <c r="BZ310" t="str">
        <f t="shared" si="256"/>
        <v>G788</v>
      </c>
      <c r="CA310" t="b">
        <f t="shared" si="257"/>
        <v>1</v>
      </c>
      <c r="CB310" t="str">
        <f t="shared" si="272"/>
        <v/>
      </c>
      <c r="CC310" t="str">
        <f t="shared" si="258"/>
        <v>R643</v>
      </c>
      <c r="CD310" t="b">
        <f t="shared" si="273"/>
        <v>1</v>
      </c>
      <c r="CE310" t="str">
        <f t="shared" si="274"/>
        <v/>
      </c>
      <c r="CG310" t="str">
        <f t="shared" si="259"/>
        <v>G761</v>
      </c>
      <c r="CH310" t="str">
        <f t="shared" si="275"/>
        <v>G761</v>
      </c>
      <c r="CI310" t="str">
        <f t="shared" si="260"/>
        <v>G561</v>
      </c>
      <c r="CJ310" t="str">
        <f t="shared" si="261"/>
        <v>G561</v>
      </c>
      <c r="CK310" t="s">
        <v>1289</v>
      </c>
      <c r="CL310" t="s">
        <v>1289</v>
      </c>
      <c r="CM310" t="s">
        <v>1289</v>
      </c>
      <c r="CN310" t="b">
        <f t="shared" si="276"/>
        <v>1</v>
      </c>
      <c r="CO310" t="str">
        <f t="shared" si="262"/>
        <v>R520</v>
      </c>
      <c r="CP310" t="str">
        <f t="shared" si="277"/>
        <v>R520</v>
      </c>
      <c r="CQ310" t="str">
        <f t="shared" si="263"/>
        <v>R62</v>
      </c>
      <c r="CR310" t="str">
        <f t="shared" si="264"/>
        <v>R62</v>
      </c>
      <c r="CS310" t="s">
        <v>621</v>
      </c>
      <c r="CT310" t="s">
        <v>621</v>
      </c>
      <c r="CU310" t="s">
        <v>621</v>
      </c>
      <c r="CV310" t="b">
        <f t="shared" si="278"/>
        <v>1</v>
      </c>
      <c r="DC310" t="str">
        <f t="shared" si="265"/>
        <v>G561</v>
      </c>
      <c r="DD310" t="b">
        <f t="shared" si="279"/>
        <v>0</v>
      </c>
      <c r="DE310" t="str">
        <f t="shared" si="280"/>
        <v>G561</v>
      </c>
      <c r="DF310" t="str">
        <f t="shared" si="266"/>
        <v>R62</v>
      </c>
      <c r="DG310" t="b">
        <f t="shared" si="281"/>
        <v>0</v>
      </c>
      <c r="DH310" t="str">
        <f t="shared" si="282"/>
        <v>R62</v>
      </c>
    </row>
    <row r="311" spans="2:112" ht="12" customHeight="1">
      <c r="B311" t="str">
        <f>TBIDry!H383</f>
        <v>G364</v>
      </c>
      <c r="C311" t="str">
        <f>TBIDry!I383</f>
        <v>R197</v>
      </c>
      <c r="D311" t="b">
        <f t="shared" si="229"/>
        <v>0</v>
      </c>
      <c r="E311" t="b">
        <f t="shared" si="230"/>
        <v>0</v>
      </c>
      <c r="G311" t="str">
        <f>TBIWet!H383</f>
        <v>G611</v>
      </c>
      <c r="H311" t="str">
        <f>TBIWet!I383</f>
        <v>R288</v>
      </c>
      <c r="I311" t="b">
        <f t="shared" si="231"/>
        <v>0</v>
      </c>
      <c r="J311" t="b">
        <f t="shared" si="232"/>
        <v>0</v>
      </c>
      <c r="L311" t="str">
        <f>'Both teabags AfterWet'!A309</f>
        <v>G763</v>
      </c>
      <c r="M311" t="str">
        <f>'Both teabags AfterWet'!A729</f>
        <v>R522</v>
      </c>
      <c r="N311" t="b">
        <f t="shared" si="233"/>
        <v>0</v>
      </c>
      <c r="O311" t="b">
        <f t="shared" si="283"/>
        <v>0</v>
      </c>
      <c r="Q311" s="388" t="b">
        <f t="shared" si="234"/>
        <v>0</v>
      </c>
      <c r="R311" s="388" t="b">
        <f t="shared" si="235"/>
        <v>0</v>
      </c>
      <c r="T311" t="str">
        <f>'Both teabags AfterDry'!A309</f>
        <v>G823</v>
      </c>
      <c r="U311" t="str">
        <f>'Both teabags AfterDry'!A644</f>
        <v>R810</v>
      </c>
      <c r="V311" t="b">
        <f t="shared" si="236"/>
        <v>0</v>
      </c>
      <c r="W311" t="b">
        <f t="shared" si="267"/>
        <v>0</v>
      </c>
      <c r="Y311" t="str">
        <f>'Green_rooibos initial weight'!A312</f>
        <v>G308</v>
      </c>
      <c r="Z311" t="str">
        <f>'Green_rooibos initial weight'!A1216</f>
        <v>R308</v>
      </c>
      <c r="AA311" t="b">
        <f t="shared" si="237"/>
        <v>0</v>
      </c>
      <c r="AB311" t="b">
        <f t="shared" si="238"/>
        <v>0</v>
      </c>
      <c r="AE311" t="str">
        <f>'WetLitterbags placem_collection'!O90</f>
        <v>G611</v>
      </c>
      <c r="AF311" t="str">
        <f>'WetLitterbags placem_collection'!Q90</f>
        <v>R288</v>
      </c>
      <c r="AG311" t="b">
        <f t="shared" si="239"/>
        <v>0</v>
      </c>
      <c r="AH311" t="b">
        <f t="shared" si="240"/>
        <v>0</v>
      </c>
      <c r="AJ311" t="b">
        <f t="shared" si="241"/>
        <v>0</v>
      </c>
      <c r="AK311" t="b">
        <f t="shared" si="242"/>
        <v>0</v>
      </c>
      <c r="AM311" t="str">
        <f>IF(ISBLANK('Dry_Litterbag Placem_Collection'!L90),"","G"&amp;""&amp;'Dry_Litterbag Placem_Collection'!L90)</f>
        <v>G364</v>
      </c>
      <c r="AN311" t="str">
        <f>IF(ISBLANK('Dry_Litterbag Placem_Collection'!M90),"","R"&amp;""&amp;'Dry_Litterbag Placem_Collection'!M90)</f>
        <v>R197</v>
      </c>
      <c r="AO311" t="b">
        <f t="shared" si="243"/>
        <v>0</v>
      </c>
      <c r="AP311" t="b">
        <f t="shared" si="244"/>
        <v>0</v>
      </c>
      <c r="AS311" t="str">
        <f>'Ashed teabags dry'!A309</f>
        <v>G823</v>
      </c>
      <c r="AT311" t="str">
        <f>'Ashed teabags dry'!A644</f>
        <v>R810</v>
      </c>
      <c r="AU311" t="b">
        <f t="shared" si="245"/>
        <v>0</v>
      </c>
      <c r="AV311" t="b">
        <f t="shared" si="268"/>
        <v>0</v>
      </c>
      <c r="AX311" s="388" t="b">
        <f t="shared" si="246"/>
        <v>0</v>
      </c>
      <c r="AY311" s="388" t="b">
        <f t="shared" si="247"/>
        <v>0</v>
      </c>
      <c r="BA311" t="str">
        <f>'Ashed teabags wet'!A309</f>
        <v>G763</v>
      </c>
      <c r="BB311" t="str">
        <f>'Ashed teabags wet'!A729</f>
        <v>R522</v>
      </c>
      <c r="BC311" t="b">
        <f t="shared" si="248"/>
        <v>0</v>
      </c>
      <c r="BD311" t="b">
        <f t="shared" si="228"/>
        <v>0</v>
      </c>
      <c r="BF311" t="str">
        <f t="shared" si="249"/>
        <v>G80</v>
      </c>
      <c r="BG311" t="str">
        <f t="shared" si="250"/>
        <v>G80</v>
      </c>
      <c r="BH311" t="str">
        <f t="shared" si="251"/>
        <v>G91</v>
      </c>
      <c r="BI311" t="str">
        <f t="shared" si="269"/>
        <v>G91</v>
      </c>
      <c r="BJ311" t="s">
        <v>1970</v>
      </c>
      <c r="BK311" t="s">
        <v>1970</v>
      </c>
      <c r="BL311" t="s">
        <v>1970</v>
      </c>
      <c r="BM311" t="b">
        <f t="shared" si="270"/>
        <v>1</v>
      </c>
      <c r="BN311" t="str">
        <f t="shared" si="252"/>
        <v>R808</v>
      </c>
      <c r="BO311" t="str">
        <f t="shared" si="253"/>
        <v>R808</v>
      </c>
      <c r="BP311" t="str">
        <f t="shared" si="254"/>
        <v>R277</v>
      </c>
      <c r="BQ311" t="str">
        <f t="shared" si="255"/>
        <v>R277</v>
      </c>
      <c r="BR311" t="s">
        <v>331</v>
      </c>
      <c r="BS311" t="s">
        <v>329</v>
      </c>
      <c r="BT311" t="s">
        <v>331</v>
      </c>
      <c r="BU311" t="b">
        <f t="shared" si="271"/>
        <v>1</v>
      </c>
      <c r="BZ311" t="str">
        <f t="shared" si="256"/>
        <v>G91</v>
      </c>
      <c r="CA311" t="b">
        <f t="shared" si="257"/>
        <v>0</v>
      </c>
      <c r="CB311" t="str">
        <f t="shared" si="272"/>
        <v>G91</v>
      </c>
      <c r="CC311" t="str">
        <f t="shared" si="258"/>
        <v>R277</v>
      </c>
      <c r="CD311" t="b">
        <f t="shared" si="273"/>
        <v>0</v>
      </c>
      <c r="CE311" t="str">
        <f t="shared" si="274"/>
        <v>R277</v>
      </c>
      <c r="CG311" t="str">
        <f t="shared" si="259"/>
        <v>G762</v>
      </c>
      <c r="CH311" t="str">
        <f t="shared" si="275"/>
        <v>G762</v>
      </c>
      <c r="CI311" t="str">
        <f t="shared" si="260"/>
        <v>G632</v>
      </c>
      <c r="CJ311" t="str">
        <f t="shared" si="261"/>
        <v>G632</v>
      </c>
      <c r="CK311" t="s">
        <v>1288</v>
      </c>
      <c r="CL311" t="s">
        <v>1288</v>
      </c>
      <c r="CM311" t="s">
        <v>1288</v>
      </c>
      <c r="CN311" t="b">
        <f t="shared" si="276"/>
        <v>1</v>
      </c>
      <c r="CO311" t="str">
        <f t="shared" si="262"/>
        <v>R521</v>
      </c>
      <c r="CP311" t="str">
        <f t="shared" si="277"/>
        <v>R521</v>
      </c>
      <c r="CQ311" t="str">
        <f t="shared" si="263"/>
        <v>R329</v>
      </c>
      <c r="CR311" t="str">
        <f t="shared" si="264"/>
        <v>R329</v>
      </c>
      <c r="CS311" t="s">
        <v>620</v>
      </c>
      <c r="CT311" t="s">
        <v>620</v>
      </c>
      <c r="CU311" t="s">
        <v>620</v>
      </c>
      <c r="CV311" t="b">
        <f t="shared" si="278"/>
        <v>1</v>
      </c>
      <c r="DC311" t="str">
        <f t="shared" si="265"/>
        <v>G632</v>
      </c>
      <c r="DD311" t="b">
        <f t="shared" si="279"/>
        <v>0</v>
      </c>
      <c r="DE311" t="str">
        <f t="shared" si="280"/>
        <v>G632</v>
      </c>
      <c r="DF311" t="str">
        <f t="shared" si="266"/>
        <v>R329</v>
      </c>
      <c r="DG311" t="b">
        <f t="shared" si="281"/>
        <v>0</v>
      </c>
      <c r="DH311" t="str">
        <f t="shared" si="282"/>
        <v>R329</v>
      </c>
    </row>
    <row r="312" spans="2:112" ht="12" customHeight="1">
      <c r="B312" t="str">
        <f>TBIDry!H384</f>
        <v>G862</v>
      </c>
      <c r="C312" t="str">
        <f>TBIDry!I384</f>
        <v>R841</v>
      </c>
      <c r="D312" t="b">
        <f t="shared" si="229"/>
        <v>0</v>
      </c>
      <c r="E312" t="b">
        <f t="shared" si="230"/>
        <v>0</v>
      </c>
      <c r="G312" t="str">
        <f>TBIWet!H384</f>
        <v>G469</v>
      </c>
      <c r="H312" t="str">
        <f>TBIWet!I384</f>
        <v>R171</v>
      </c>
      <c r="I312" t="b">
        <f t="shared" si="231"/>
        <v>0</v>
      </c>
      <c r="J312" t="b">
        <f t="shared" si="232"/>
        <v>0</v>
      </c>
      <c r="L312" t="str">
        <f>'Both teabags AfterWet'!A310</f>
        <v>G764</v>
      </c>
      <c r="M312" t="str">
        <f>'Both teabags AfterWet'!A730</f>
        <v>R523</v>
      </c>
      <c r="N312" t="b">
        <f t="shared" si="233"/>
        <v>0</v>
      </c>
      <c r="O312" t="b">
        <f t="shared" si="283"/>
        <v>0</v>
      </c>
      <c r="Q312" s="388" t="b">
        <f t="shared" si="234"/>
        <v>0</v>
      </c>
      <c r="R312" s="388" t="b">
        <f t="shared" si="235"/>
        <v>0</v>
      </c>
      <c r="T312" t="str">
        <f>'Both teabags AfterDry'!A310</f>
        <v>G83</v>
      </c>
      <c r="U312" t="str">
        <f>'Both teabags AfterDry'!A645</f>
        <v>R811</v>
      </c>
      <c r="V312" t="b">
        <f t="shared" si="236"/>
        <v>0</v>
      </c>
      <c r="W312" t="b">
        <f t="shared" si="267"/>
        <v>0</v>
      </c>
      <c r="Y312" t="str">
        <f>'Green_rooibos initial weight'!A313</f>
        <v>G309</v>
      </c>
      <c r="Z312" t="str">
        <f>'Green_rooibos initial weight'!A1217</f>
        <v>R309</v>
      </c>
      <c r="AA312" t="b">
        <f t="shared" si="237"/>
        <v>0</v>
      </c>
      <c r="AB312" t="b">
        <f t="shared" si="238"/>
        <v>0</v>
      </c>
      <c r="AE312" t="str">
        <f>'WetLitterbags placem_collection'!O91</f>
        <v>G469</v>
      </c>
      <c r="AF312" t="str">
        <f>'WetLitterbags placem_collection'!Q91</f>
        <v>R171</v>
      </c>
      <c r="AG312" t="b">
        <f t="shared" si="239"/>
        <v>0</v>
      </c>
      <c r="AH312" t="b">
        <f t="shared" si="240"/>
        <v>0</v>
      </c>
      <c r="AJ312" t="b">
        <f t="shared" si="241"/>
        <v>0</v>
      </c>
      <c r="AK312" t="b">
        <f t="shared" si="242"/>
        <v>0</v>
      </c>
      <c r="AM312" t="str">
        <f>IF(ISBLANK('Dry_Litterbag Placem_Collection'!L91),"","G"&amp;""&amp;'Dry_Litterbag Placem_Collection'!L91)</f>
        <v>G862</v>
      </c>
      <c r="AN312" t="str">
        <f>IF(ISBLANK('Dry_Litterbag Placem_Collection'!M91),"","R"&amp;""&amp;'Dry_Litterbag Placem_Collection'!M91)</f>
        <v>R841</v>
      </c>
      <c r="AO312" t="b">
        <f t="shared" si="243"/>
        <v>0</v>
      </c>
      <c r="AP312" t="b">
        <f t="shared" si="244"/>
        <v>0</v>
      </c>
      <c r="AS312" t="str">
        <f>'Ashed teabags dry'!A310</f>
        <v>G83</v>
      </c>
      <c r="AT312" t="str">
        <f>'Ashed teabags dry'!A645</f>
        <v>R811</v>
      </c>
      <c r="AU312" t="b">
        <f t="shared" si="245"/>
        <v>0</v>
      </c>
      <c r="AV312" t="b">
        <f t="shared" si="268"/>
        <v>0</v>
      </c>
      <c r="AX312" s="388" t="b">
        <f t="shared" si="246"/>
        <v>0</v>
      </c>
      <c r="AY312" s="388" t="b">
        <f t="shared" si="247"/>
        <v>0</v>
      </c>
      <c r="BA312" t="str">
        <f>'Ashed teabags wet'!A310</f>
        <v>G764</v>
      </c>
      <c r="BB312" t="str">
        <f>'Ashed teabags wet'!A730</f>
        <v>R523</v>
      </c>
      <c r="BC312" t="b">
        <f t="shared" si="248"/>
        <v>0</v>
      </c>
      <c r="BD312" t="b">
        <f t="shared" si="228"/>
        <v>0</v>
      </c>
      <c r="BF312" t="str">
        <f t="shared" si="249"/>
        <v>G823</v>
      </c>
      <c r="BG312" t="str">
        <f t="shared" si="250"/>
        <v>G823</v>
      </c>
      <c r="BH312" t="str">
        <f t="shared" si="251"/>
        <v>G364</v>
      </c>
      <c r="BI312" t="str">
        <f t="shared" si="269"/>
        <v>G364</v>
      </c>
      <c r="BJ312" t="s">
        <v>1227</v>
      </c>
      <c r="BK312" t="s">
        <v>1227</v>
      </c>
      <c r="BL312" t="s">
        <v>1227</v>
      </c>
      <c r="BM312" t="b">
        <f t="shared" si="270"/>
        <v>1</v>
      </c>
      <c r="BN312" t="str">
        <f t="shared" si="252"/>
        <v>R810</v>
      </c>
      <c r="BO312" t="str">
        <f t="shared" si="253"/>
        <v>R810</v>
      </c>
      <c r="BP312" t="str">
        <f t="shared" si="254"/>
        <v>R197</v>
      </c>
      <c r="BQ312" t="str">
        <f t="shared" si="255"/>
        <v>R197</v>
      </c>
      <c r="BR312" t="s">
        <v>329</v>
      </c>
      <c r="BS312" t="s">
        <v>328</v>
      </c>
      <c r="BT312" t="s">
        <v>329</v>
      </c>
      <c r="BU312" t="b">
        <f t="shared" si="271"/>
        <v>1</v>
      </c>
      <c r="BZ312" t="str">
        <f t="shared" si="256"/>
        <v>G364</v>
      </c>
      <c r="CA312" t="b">
        <f t="shared" si="257"/>
        <v>0</v>
      </c>
      <c r="CB312" t="str">
        <f t="shared" si="272"/>
        <v>G364</v>
      </c>
      <c r="CC312" t="str">
        <f t="shared" si="258"/>
        <v>R197</v>
      </c>
      <c r="CD312" t="b">
        <f t="shared" si="273"/>
        <v>0</v>
      </c>
      <c r="CE312" t="str">
        <f t="shared" si="274"/>
        <v>R197</v>
      </c>
      <c r="CG312" t="str">
        <f t="shared" si="259"/>
        <v>G763</v>
      </c>
      <c r="CH312" t="str">
        <f t="shared" si="275"/>
        <v>G763</v>
      </c>
      <c r="CI312" t="str">
        <f t="shared" si="260"/>
        <v>G611</v>
      </c>
      <c r="CJ312" t="str">
        <f t="shared" si="261"/>
        <v>G611</v>
      </c>
      <c r="CK312" t="s">
        <v>1287</v>
      </c>
      <c r="CL312" t="s">
        <v>1287</v>
      </c>
      <c r="CM312" t="s">
        <v>1287</v>
      </c>
      <c r="CN312" t="b">
        <f t="shared" si="276"/>
        <v>1</v>
      </c>
      <c r="CO312" t="str">
        <f t="shared" si="262"/>
        <v>R522</v>
      </c>
      <c r="CP312" t="str">
        <f t="shared" si="277"/>
        <v>R522</v>
      </c>
      <c r="CQ312" t="str">
        <f t="shared" si="263"/>
        <v>R288</v>
      </c>
      <c r="CR312" t="str">
        <f t="shared" si="264"/>
        <v>R288</v>
      </c>
      <c r="CS312" t="s">
        <v>619</v>
      </c>
      <c r="CT312" t="s">
        <v>619</v>
      </c>
      <c r="CU312" t="s">
        <v>619</v>
      </c>
      <c r="CV312" t="b">
        <f t="shared" si="278"/>
        <v>1</v>
      </c>
      <c r="DC312" t="str">
        <f t="shared" si="265"/>
        <v>G611</v>
      </c>
      <c r="DD312" t="b">
        <f t="shared" si="279"/>
        <v>0</v>
      </c>
      <c r="DE312" t="str">
        <f t="shared" si="280"/>
        <v>G611</v>
      </c>
      <c r="DF312" t="str">
        <f t="shared" si="266"/>
        <v>R288</v>
      </c>
      <c r="DG312" t="b">
        <f t="shared" si="281"/>
        <v>0</v>
      </c>
      <c r="DH312" t="str">
        <f t="shared" si="282"/>
        <v>R288</v>
      </c>
    </row>
    <row r="313" spans="2:112" ht="12" customHeight="1">
      <c r="B313" t="str">
        <f>TBIDry!H385</f>
        <v>G330</v>
      </c>
      <c r="C313" t="str">
        <f>TBIDry!I385</f>
        <v>R220</v>
      </c>
      <c r="D313" t="b">
        <f t="shared" si="229"/>
        <v>0</v>
      </c>
      <c r="E313" t="b">
        <f t="shared" si="230"/>
        <v>0</v>
      </c>
      <c r="G313" t="str">
        <f>TBIWet!H385</f>
        <v>G355</v>
      </c>
      <c r="H313" t="str">
        <f>TBIWet!I385</f>
        <v>R517</v>
      </c>
      <c r="I313" t="b">
        <f t="shared" si="231"/>
        <v>0</v>
      </c>
      <c r="J313" t="b">
        <f t="shared" si="232"/>
        <v>0</v>
      </c>
      <c r="L313" t="str">
        <f>'Both teabags AfterWet'!A311</f>
        <v>G765</v>
      </c>
      <c r="M313" t="str">
        <f>'Both teabags AfterWet'!A731</f>
        <v>R524</v>
      </c>
      <c r="N313" t="b">
        <f t="shared" si="233"/>
        <v>0</v>
      </c>
      <c r="O313" t="b">
        <f t="shared" si="283"/>
        <v>0</v>
      </c>
      <c r="Q313" s="388" t="b">
        <f t="shared" si="234"/>
        <v>0</v>
      </c>
      <c r="R313" s="388" t="b">
        <f t="shared" si="235"/>
        <v>0</v>
      </c>
      <c r="T313" t="str">
        <f>'Both teabags AfterDry'!A311</f>
        <v>G84</v>
      </c>
      <c r="U313" t="str">
        <f>'Both teabags AfterDry'!A646</f>
        <v>R812</v>
      </c>
      <c r="V313" t="b">
        <f t="shared" si="236"/>
        <v>0</v>
      </c>
      <c r="W313" t="b">
        <f t="shared" si="267"/>
        <v>0</v>
      </c>
      <c r="Y313" t="str">
        <f>'Green_rooibos initial weight'!A314</f>
        <v>G310</v>
      </c>
      <c r="Z313" t="str">
        <f>'Green_rooibos initial weight'!A1218</f>
        <v>R310</v>
      </c>
      <c r="AA313" t="b">
        <f t="shared" si="237"/>
        <v>0</v>
      </c>
      <c r="AB313" t="b">
        <f t="shared" si="238"/>
        <v>0</v>
      </c>
      <c r="AE313" t="str">
        <f>'WetLitterbags placem_collection'!O92</f>
        <v>G355</v>
      </c>
      <c r="AF313" t="str">
        <f>'WetLitterbags placem_collection'!Q92</f>
        <v>R517</v>
      </c>
      <c r="AG313" t="b">
        <f t="shared" si="239"/>
        <v>0</v>
      </c>
      <c r="AH313" t="b">
        <f t="shared" si="240"/>
        <v>0</v>
      </c>
      <c r="AJ313" t="b">
        <f t="shared" si="241"/>
        <v>0</v>
      </c>
      <c r="AK313" t="b">
        <f t="shared" si="242"/>
        <v>0</v>
      </c>
      <c r="AM313" t="str">
        <f>IF(ISBLANK('Dry_Litterbag Placem_Collection'!L92),"","G"&amp;""&amp;'Dry_Litterbag Placem_Collection'!L92)</f>
        <v>G330</v>
      </c>
      <c r="AN313" t="str">
        <f>IF(ISBLANK('Dry_Litterbag Placem_Collection'!M92),"","R"&amp;""&amp;'Dry_Litterbag Placem_Collection'!M92)</f>
        <v>R220</v>
      </c>
      <c r="AO313" t="b">
        <f t="shared" si="243"/>
        <v>0</v>
      </c>
      <c r="AP313" t="b">
        <f t="shared" si="244"/>
        <v>0</v>
      </c>
      <c r="AS313" t="str">
        <f>'Ashed teabags dry'!A311</f>
        <v>G84</v>
      </c>
      <c r="AT313" t="str">
        <f>'Ashed teabags dry'!A646</f>
        <v>R812</v>
      </c>
      <c r="AU313" t="b">
        <f t="shared" si="245"/>
        <v>0</v>
      </c>
      <c r="AV313" t="b">
        <f t="shared" si="268"/>
        <v>0</v>
      </c>
      <c r="AX313" s="388" t="b">
        <f t="shared" si="246"/>
        <v>0</v>
      </c>
      <c r="AY313" s="388" t="b">
        <f t="shared" si="247"/>
        <v>0</v>
      </c>
      <c r="BA313" t="str">
        <f>'Ashed teabags wet'!A311</f>
        <v>G765</v>
      </c>
      <c r="BB313" t="str">
        <f>'Ashed teabags wet'!A731</f>
        <v>R524</v>
      </c>
      <c r="BC313" t="b">
        <f t="shared" si="248"/>
        <v>0</v>
      </c>
      <c r="BD313" t="b">
        <f t="shared" si="228"/>
        <v>0</v>
      </c>
      <c r="BF313" t="str">
        <f t="shared" si="249"/>
        <v>G83</v>
      </c>
      <c r="BG313" t="str">
        <f t="shared" si="250"/>
        <v>G83</v>
      </c>
      <c r="BH313" t="str">
        <f t="shared" si="251"/>
        <v>G862</v>
      </c>
      <c r="BI313" t="str">
        <f t="shared" si="269"/>
        <v>G862</v>
      </c>
      <c r="BJ313" t="s">
        <v>1967</v>
      </c>
      <c r="BK313" t="s">
        <v>1967</v>
      </c>
      <c r="BL313" t="s">
        <v>1967</v>
      </c>
      <c r="BM313" t="b">
        <f t="shared" si="270"/>
        <v>1</v>
      </c>
      <c r="BN313" t="str">
        <f t="shared" si="252"/>
        <v>R811</v>
      </c>
      <c r="BO313" t="str">
        <f t="shared" si="253"/>
        <v>R811</v>
      </c>
      <c r="BP313" t="str">
        <f t="shared" si="254"/>
        <v>R841</v>
      </c>
      <c r="BQ313" t="str">
        <f t="shared" si="255"/>
        <v>R841</v>
      </c>
      <c r="BR313" t="s">
        <v>328</v>
      </c>
      <c r="BS313" t="s">
        <v>327</v>
      </c>
      <c r="BT313" t="s">
        <v>328</v>
      </c>
      <c r="BU313" t="b">
        <f t="shared" si="271"/>
        <v>1</v>
      </c>
      <c r="BZ313" t="str">
        <f t="shared" si="256"/>
        <v>G862</v>
      </c>
      <c r="CA313" t="b">
        <f t="shared" si="257"/>
        <v>0</v>
      </c>
      <c r="CB313" t="str">
        <f t="shared" si="272"/>
        <v>G862</v>
      </c>
      <c r="CC313" t="str">
        <f t="shared" si="258"/>
        <v>R841</v>
      </c>
      <c r="CD313" t="b">
        <f t="shared" si="273"/>
        <v>0</v>
      </c>
      <c r="CE313" t="str">
        <f t="shared" si="274"/>
        <v>R841</v>
      </c>
      <c r="CG313" t="str">
        <f t="shared" si="259"/>
        <v>G764</v>
      </c>
      <c r="CH313" t="str">
        <f t="shared" si="275"/>
        <v>G764</v>
      </c>
      <c r="CI313" t="str">
        <f t="shared" si="260"/>
        <v>G469</v>
      </c>
      <c r="CJ313" t="str">
        <f t="shared" si="261"/>
        <v>G469</v>
      </c>
      <c r="CK313" t="s">
        <v>1286</v>
      </c>
      <c r="CL313" t="s">
        <v>1286</v>
      </c>
      <c r="CM313" t="s">
        <v>1286</v>
      </c>
      <c r="CN313" t="b">
        <f t="shared" si="276"/>
        <v>1</v>
      </c>
      <c r="CO313" t="str">
        <f t="shared" si="262"/>
        <v>R523</v>
      </c>
      <c r="CP313" t="str">
        <f t="shared" si="277"/>
        <v>R523</v>
      </c>
      <c r="CQ313" t="str">
        <f t="shared" si="263"/>
        <v>R171</v>
      </c>
      <c r="CR313" t="str">
        <f t="shared" si="264"/>
        <v>R171</v>
      </c>
      <c r="CS313" t="s">
        <v>618</v>
      </c>
      <c r="CT313" t="s">
        <v>618</v>
      </c>
      <c r="CU313" t="s">
        <v>618</v>
      </c>
      <c r="CV313" t="b">
        <f t="shared" si="278"/>
        <v>1</v>
      </c>
      <c r="DC313" t="str">
        <f t="shared" si="265"/>
        <v>G469</v>
      </c>
      <c r="DD313" t="b">
        <f t="shared" si="279"/>
        <v>0</v>
      </c>
      <c r="DE313" t="str">
        <f t="shared" si="280"/>
        <v>G469</v>
      </c>
      <c r="DF313" t="str">
        <f t="shared" si="266"/>
        <v>R171</v>
      </c>
      <c r="DG313" t="b">
        <f t="shared" si="281"/>
        <v>0</v>
      </c>
      <c r="DH313" t="str">
        <f t="shared" si="282"/>
        <v>R171</v>
      </c>
    </row>
    <row r="314" spans="2:112" ht="12" customHeight="1">
      <c r="B314" t="str">
        <f>TBIDry!H386</f>
        <v>G596</v>
      </c>
      <c r="C314" t="str">
        <f>TBIDry!I386</f>
        <v>R659</v>
      </c>
      <c r="D314" t="b">
        <f t="shared" si="229"/>
        <v>0</v>
      </c>
      <c r="E314" t="b">
        <f t="shared" si="230"/>
        <v>0</v>
      </c>
      <c r="G314" t="str">
        <f>TBIWet!H386</f>
        <v>G547</v>
      </c>
      <c r="H314" t="str">
        <f>TBIWet!I386</f>
        <v>R73</v>
      </c>
      <c r="I314" t="b">
        <f t="shared" si="231"/>
        <v>0</v>
      </c>
      <c r="J314" t="b">
        <f t="shared" si="232"/>
        <v>0</v>
      </c>
      <c r="L314" t="str">
        <f>'Both teabags AfterWet'!A312</f>
        <v>G768</v>
      </c>
      <c r="M314" t="str">
        <f>'Both teabags AfterWet'!A732</f>
        <v>R525</v>
      </c>
      <c r="N314" t="b">
        <f t="shared" si="233"/>
        <v>0</v>
      </c>
      <c r="O314" t="b">
        <f t="shared" si="283"/>
        <v>0</v>
      </c>
      <c r="Q314" s="388" t="b">
        <f t="shared" si="234"/>
        <v>0</v>
      </c>
      <c r="R314" s="388" t="b">
        <f t="shared" si="235"/>
        <v>0</v>
      </c>
      <c r="T314" t="str">
        <f>'Both teabags AfterDry'!A312</f>
        <v>G844</v>
      </c>
      <c r="U314" t="str">
        <f>'Both teabags AfterDry'!A647</f>
        <v>R813</v>
      </c>
      <c r="V314" t="b">
        <f t="shared" si="236"/>
        <v>0</v>
      </c>
      <c r="W314" t="b">
        <f t="shared" si="267"/>
        <v>0</v>
      </c>
      <c r="Y314" t="str">
        <f>'Green_rooibos initial weight'!A315</f>
        <v>G311</v>
      </c>
      <c r="Z314" t="str">
        <f>'Green_rooibos initial weight'!A1219</f>
        <v>R311</v>
      </c>
      <c r="AA314" t="b">
        <f t="shared" si="237"/>
        <v>0</v>
      </c>
      <c r="AB314" t="b">
        <f t="shared" si="238"/>
        <v>0</v>
      </c>
      <c r="AE314" t="str">
        <f>'WetLitterbags placem_collection'!O93</f>
        <v>G547</v>
      </c>
      <c r="AF314" t="str">
        <f>'WetLitterbags placem_collection'!Q93</f>
        <v>R73</v>
      </c>
      <c r="AG314" t="b">
        <f t="shared" si="239"/>
        <v>0</v>
      </c>
      <c r="AH314" t="b">
        <f t="shared" si="240"/>
        <v>0</v>
      </c>
      <c r="AJ314" t="b">
        <f t="shared" si="241"/>
        <v>0</v>
      </c>
      <c r="AK314" t="b">
        <f t="shared" si="242"/>
        <v>0</v>
      </c>
      <c r="AM314" t="str">
        <f>IF(ISBLANK('Dry_Litterbag Placem_Collection'!L93),"","G"&amp;""&amp;'Dry_Litterbag Placem_Collection'!L93)</f>
        <v>G596</v>
      </c>
      <c r="AN314" t="str">
        <f>IF(ISBLANK('Dry_Litterbag Placem_Collection'!M93),"","R"&amp;""&amp;'Dry_Litterbag Placem_Collection'!M93)</f>
        <v>R659</v>
      </c>
      <c r="AO314" t="b">
        <f t="shared" si="243"/>
        <v>0</v>
      </c>
      <c r="AP314" t="b">
        <f t="shared" si="244"/>
        <v>0</v>
      </c>
      <c r="AS314" t="str">
        <f>'Ashed teabags dry'!A312</f>
        <v>G844</v>
      </c>
      <c r="AT314" t="str">
        <f>'Ashed teabags dry'!A647</f>
        <v>R813</v>
      </c>
      <c r="AU314" t="b">
        <f t="shared" si="245"/>
        <v>0</v>
      </c>
      <c r="AV314" t="b">
        <f t="shared" si="268"/>
        <v>0</v>
      </c>
      <c r="AX314" s="388" t="b">
        <f t="shared" si="246"/>
        <v>0</v>
      </c>
      <c r="AY314" s="388" t="b">
        <f t="shared" si="247"/>
        <v>0</v>
      </c>
      <c r="BA314" t="str">
        <f>'Ashed teabags wet'!A312</f>
        <v>G768</v>
      </c>
      <c r="BB314" t="str">
        <f>'Ashed teabags wet'!A732</f>
        <v>R525</v>
      </c>
      <c r="BC314" t="b">
        <f t="shared" si="248"/>
        <v>0</v>
      </c>
      <c r="BD314" t="b">
        <f t="shared" si="228"/>
        <v>0</v>
      </c>
      <c r="BF314" t="str">
        <f t="shared" si="249"/>
        <v>G84</v>
      </c>
      <c r="BG314" t="str">
        <f t="shared" si="250"/>
        <v>G84</v>
      </c>
      <c r="BH314" t="str">
        <f t="shared" si="251"/>
        <v>G330</v>
      </c>
      <c r="BI314" t="str">
        <f t="shared" si="269"/>
        <v/>
      </c>
      <c r="BJ314" t="s">
        <v>1966</v>
      </c>
      <c r="BK314" t="s">
        <v>1966</v>
      </c>
      <c r="BL314" t="s">
        <v>1966</v>
      </c>
      <c r="BM314" t="b">
        <f t="shared" si="270"/>
        <v>1</v>
      </c>
      <c r="BN314" t="str">
        <f t="shared" si="252"/>
        <v>R812</v>
      </c>
      <c r="BO314" t="str">
        <f t="shared" si="253"/>
        <v>R812</v>
      </c>
      <c r="BP314" t="str">
        <f t="shared" si="254"/>
        <v>R220</v>
      </c>
      <c r="BQ314" t="str">
        <f t="shared" si="255"/>
        <v/>
      </c>
      <c r="BR314" t="s">
        <v>327</v>
      </c>
      <c r="BS314" t="s">
        <v>326</v>
      </c>
      <c r="BT314" t="s">
        <v>327</v>
      </c>
      <c r="BU314" t="b">
        <f t="shared" si="271"/>
        <v>1</v>
      </c>
      <c r="BZ314" t="str">
        <f t="shared" si="256"/>
        <v>G330</v>
      </c>
      <c r="CA314" t="b">
        <f t="shared" si="257"/>
        <v>1</v>
      </c>
      <c r="CB314" t="str">
        <f t="shared" si="272"/>
        <v/>
      </c>
      <c r="CC314" t="str">
        <f t="shared" si="258"/>
        <v>R220</v>
      </c>
      <c r="CD314" t="b">
        <f t="shared" si="273"/>
        <v>1</v>
      </c>
      <c r="CE314" t="str">
        <f t="shared" si="274"/>
        <v/>
      </c>
      <c r="CG314" t="str">
        <f t="shared" si="259"/>
        <v>G765</v>
      </c>
      <c r="CH314" t="str">
        <f t="shared" si="275"/>
        <v>G765</v>
      </c>
      <c r="CI314" t="str">
        <f t="shared" si="260"/>
        <v>G355</v>
      </c>
      <c r="CJ314" t="str">
        <f t="shared" si="261"/>
        <v>G355</v>
      </c>
      <c r="CK314" t="s">
        <v>1285</v>
      </c>
      <c r="CL314" t="s">
        <v>1285</v>
      </c>
      <c r="CM314" t="s">
        <v>1285</v>
      </c>
      <c r="CN314" t="b">
        <f t="shared" si="276"/>
        <v>1</v>
      </c>
      <c r="CO314" t="str">
        <f t="shared" si="262"/>
        <v>R524</v>
      </c>
      <c r="CP314" t="str">
        <f t="shared" si="277"/>
        <v>R524</v>
      </c>
      <c r="CQ314" t="str">
        <f t="shared" si="263"/>
        <v>R517</v>
      </c>
      <c r="CR314" t="str">
        <f t="shared" si="264"/>
        <v>R517</v>
      </c>
      <c r="CS314" t="s">
        <v>617</v>
      </c>
      <c r="CT314" t="s">
        <v>617</v>
      </c>
      <c r="CU314" t="s">
        <v>617</v>
      </c>
      <c r="CV314" t="b">
        <f t="shared" si="278"/>
        <v>1</v>
      </c>
      <c r="DC314" t="str">
        <f t="shared" si="265"/>
        <v>G355</v>
      </c>
      <c r="DD314" t="b">
        <f t="shared" si="279"/>
        <v>0</v>
      </c>
      <c r="DE314" t="str">
        <f t="shared" si="280"/>
        <v>G355</v>
      </c>
      <c r="DF314" t="str">
        <f t="shared" si="266"/>
        <v>R517</v>
      </c>
      <c r="DG314" t="b">
        <f t="shared" si="281"/>
        <v>0</v>
      </c>
      <c r="DH314" t="str">
        <f t="shared" si="282"/>
        <v>R517</v>
      </c>
    </row>
    <row r="315" spans="2:112" ht="12" customHeight="1">
      <c r="B315" t="str">
        <f>TBIDry!H387</f>
        <v>G380</v>
      </c>
      <c r="C315" t="str">
        <f>TBIDry!I387</f>
        <v>R619</v>
      </c>
      <c r="D315" t="b">
        <f t="shared" si="229"/>
        <v>0</v>
      </c>
      <c r="E315" t="b">
        <f t="shared" si="230"/>
        <v>0</v>
      </c>
      <c r="G315" t="str">
        <f>TBIWet!H387</f>
        <v>G763</v>
      </c>
      <c r="H315" t="str">
        <f>TBIWet!I387</f>
        <v>R4</v>
      </c>
      <c r="I315" t="b">
        <f t="shared" si="231"/>
        <v>0</v>
      </c>
      <c r="J315" t="b">
        <f t="shared" si="232"/>
        <v>0</v>
      </c>
      <c r="L315" t="str">
        <f>'Both teabags AfterWet'!A313</f>
        <v>G769</v>
      </c>
      <c r="M315" t="str">
        <f>'Both teabags AfterWet'!A733</f>
        <v>R526</v>
      </c>
      <c r="N315" t="b">
        <f t="shared" si="233"/>
        <v>0</v>
      </c>
      <c r="O315" t="b">
        <f t="shared" si="283"/>
        <v>0</v>
      </c>
      <c r="Q315" s="388" t="b">
        <f t="shared" si="234"/>
        <v>0</v>
      </c>
      <c r="R315" s="388" t="b">
        <f t="shared" si="235"/>
        <v>0</v>
      </c>
      <c r="T315" t="str">
        <f>'Both teabags AfterDry'!A313</f>
        <v>G848</v>
      </c>
      <c r="U315" t="str">
        <f>'Both teabags AfterDry'!A648</f>
        <v>R814</v>
      </c>
      <c r="V315" t="b">
        <f t="shared" si="236"/>
        <v>0</v>
      </c>
      <c r="W315" t="b">
        <f t="shared" si="267"/>
        <v>0</v>
      </c>
      <c r="Y315" t="str">
        <f>'Green_rooibos initial weight'!A316</f>
        <v>G312</v>
      </c>
      <c r="Z315" t="str">
        <f>'Green_rooibos initial weight'!A1220</f>
        <v>R312</v>
      </c>
      <c r="AA315" t="b">
        <f t="shared" si="237"/>
        <v>0</v>
      </c>
      <c r="AB315" t="b">
        <f t="shared" si="238"/>
        <v>0</v>
      </c>
      <c r="AE315" t="str">
        <f>'WetLitterbags placem_collection'!O94</f>
        <v>G763</v>
      </c>
      <c r="AF315" t="str">
        <f>'WetLitterbags placem_collection'!Q94</f>
        <v>R4</v>
      </c>
      <c r="AG315" t="b">
        <f t="shared" si="239"/>
        <v>0</v>
      </c>
      <c r="AH315" t="b">
        <f t="shared" si="240"/>
        <v>0</v>
      </c>
      <c r="AJ315" t="b">
        <f t="shared" si="241"/>
        <v>0</v>
      </c>
      <c r="AK315" t="b">
        <f t="shared" si="242"/>
        <v>0</v>
      </c>
      <c r="AM315" t="str">
        <f>IF(ISBLANK('Dry_Litterbag Placem_Collection'!L94),"","G"&amp;""&amp;'Dry_Litterbag Placem_Collection'!L94)</f>
        <v>G380</v>
      </c>
      <c r="AN315" t="str">
        <f>IF(ISBLANK('Dry_Litterbag Placem_Collection'!M94),"","R"&amp;""&amp;'Dry_Litterbag Placem_Collection'!M94)</f>
        <v>R619</v>
      </c>
      <c r="AO315" t="b">
        <f t="shared" si="243"/>
        <v>0</v>
      </c>
      <c r="AP315" t="b">
        <f t="shared" si="244"/>
        <v>0</v>
      </c>
      <c r="AS315" t="str">
        <f>'Ashed teabags dry'!A313</f>
        <v>G848</v>
      </c>
      <c r="AT315" t="str">
        <f>'Ashed teabags dry'!A648</f>
        <v>R814</v>
      </c>
      <c r="AU315" t="b">
        <f t="shared" si="245"/>
        <v>0</v>
      </c>
      <c r="AV315" t="b">
        <f t="shared" si="268"/>
        <v>0</v>
      </c>
      <c r="AX315" s="388" t="b">
        <f t="shared" si="246"/>
        <v>0</v>
      </c>
      <c r="AY315" s="388" t="b">
        <f t="shared" si="247"/>
        <v>0</v>
      </c>
      <c r="BA315" t="str">
        <f>'Ashed teabags wet'!A313</f>
        <v>G769</v>
      </c>
      <c r="BB315" t="str">
        <f>'Ashed teabags wet'!A733</f>
        <v>R526</v>
      </c>
      <c r="BC315" t="b">
        <f t="shared" si="248"/>
        <v>0</v>
      </c>
      <c r="BD315" t="b">
        <f t="shared" si="228"/>
        <v>0</v>
      </c>
      <c r="BF315" t="str">
        <f t="shared" si="249"/>
        <v>G844</v>
      </c>
      <c r="BG315" t="str">
        <f t="shared" si="250"/>
        <v>G844</v>
      </c>
      <c r="BH315" t="str">
        <f t="shared" si="251"/>
        <v>G596</v>
      </c>
      <c r="BI315" t="str">
        <f t="shared" si="269"/>
        <v>G596</v>
      </c>
      <c r="BJ315" t="s">
        <v>1206</v>
      </c>
      <c r="BK315" t="s">
        <v>1206</v>
      </c>
      <c r="BL315" t="s">
        <v>1206</v>
      </c>
      <c r="BM315" t="b">
        <f t="shared" si="270"/>
        <v>1</v>
      </c>
      <c r="BN315" t="str">
        <f t="shared" si="252"/>
        <v>R813</v>
      </c>
      <c r="BO315" t="str">
        <f t="shared" si="253"/>
        <v>R813</v>
      </c>
      <c r="BP315" t="str">
        <f t="shared" si="254"/>
        <v>R659</v>
      </c>
      <c r="BQ315" t="str">
        <f t="shared" si="255"/>
        <v>R659</v>
      </c>
      <c r="BR315" t="s">
        <v>326</v>
      </c>
      <c r="BS315" t="s">
        <v>325</v>
      </c>
      <c r="BT315" t="s">
        <v>326</v>
      </c>
      <c r="BU315" t="b">
        <f t="shared" si="271"/>
        <v>1</v>
      </c>
      <c r="BZ315" t="str">
        <f t="shared" si="256"/>
        <v>G596</v>
      </c>
      <c r="CA315" t="b">
        <f t="shared" si="257"/>
        <v>0</v>
      </c>
      <c r="CB315" t="str">
        <f t="shared" si="272"/>
        <v>G596</v>
      </c>
      <c r="CC315" t="str">
        <f t="shared" si="258"/>
        <v>R659</v>
      </c>
      <c r="CD315" t="b">
        <f t="shared" si="273"/>
        <v>0</v>
      </c>
      <c r="CE315" t="str">
        <f t="shared" si="274"/>
        <v>R659</v>
      </c>
      <c r="CG315" t="str">
        <f t="shared" si="259"/>
        <v>G768</v>
      </c>
      <c r="CH315" t="str">
        <f t="shared" si="275"/>
        <v>G768</v>
      </c>
      <c r="CI315" t="str">
        <f t="shared" si="260"/>
        <v>G547</v>
      </c>
      <c r="CJ315" t="str">
        <f t="shared" si="261"/>
        <v>G547</v>
      </c>
      <c r="CK315" t="s">
        <v>1282</v>
      </c>
      <c r="CL315" t="s">
        <v>1282</v>
      </c>
      <c r="CM315" t="s">
        <v>1282</v>
      </c>
      <c r="CN315" t="b">
        <f t="shared" si="276"/>
        <v>1</v>
      </c>
      <c r="CO315" t="str">
        <f t="shared" si="262"/>
        <v>R525</v>
      </c>
      <c r="CP315" t="str">
        <f t="shared" si="277"/>
        <v>R525</v>
      </c>
      <c r="CQ315" t="str">
        <f t="shared" si="263"/>
        <v>R73</v>
      </c>
      <c r="CR315" t="str">
        <f t="shared" si="264"/>
        <v>R73</v>
      </c>
      <c r="CS315" t="s">
        <v>616</v>
      </c>
      <c r="CT315" t="s">
        <v>616</v>
      </c>
      <c r="CU315" t="s">
        <v>616</v>
      </c>
      <c r="CV315" t="b">
        <f t="shared" si="278"/>
        <v>1</v>
      </c>
      <c r="DC315" t="str">
        <f t="shared" si="265"/>
        <v>G547</v>
      </c>
      <c r="DD315" t="b">
        <f t="shared" si="279"/>
        <v>0</v>
      </c>
      <c r="DE315" t="str">
        <f t="shared" si="280"/>
        <v>G547</v>
      </c>
      <c r="DF315" t="str">
        <f t="shared" si="266"/>
        <v>R73</v>
      </c>
      <c r="DG315" t="b">
        <f t="shared" si="281"/>
        <v>0</v>
      </c>
      <c r="DH315" t="str">
        <f t="shared" si="282"/>
        <v>R73</v>
      </c>
    </row>
    <row r="316" spans="2:112" ht="12" customHeight="1">
      <c r="B316" t="str">
        <f>TBIDry!H388</f>
        <v>G872</v>
      </c>
      <c r="C316" t="str">
        <f>TBIDry!I388</f>
        <v>R106</v>
      </c>
      <c r="D316" t="b">
        <f t="shared" si="229"/>
        <v>0</v>
      </c>
      <c r="E316" t="b">
        <f t="shared" si="230"/>
        <v>0</v>
      </c>
      <c r="G316" t="str">
        <f>TBIWet!H388</f>
        <v>G424</v>
      </c>
      <c r="H316" t="str">
        <f>TBIWet!I388</f>
        <v>R136</v>
      </c>
      <c r="I316" t="b">
        <f t="shared" si="231"/>
        <v>0</v>
      </c>
      <c r="J316" t="b">
        <f t="shared" si="232"/>
        <v>0</v>
      </c>
      <c r="L316" t="str">
        <f>'Both teabags AfterWet'!A314</f>
        <v>G770</v>
      </c>
      <c r="M316" t="str">
        <f>'Both teabags AfterWet'!A734</f>
        <v>R527</v>
      </c>
      <c r="N316" t="b">
        <f t="shared" si="233"/>
        <v>0</v>
      </c>
      <c r="O316" t="b">
        <f t="shared" si="283"/>
        <v>0</v>
      </c>
      <c r="Q316" s="388" t="b">
        <f t="shared" si="234"/>
        <v>0</v>
      </c>
      <c r="R316" s="388" t="b">
        <f t="shared" si="235"/>
        <v>0</v>
      </c>
      <c r="T316" t="str">
        <f>'Both teabags AfterDry'!A314</f>
        <v>G85</v>
      </c>
      <c r="U316" t="str">
        <f>'Both teabags AfterDry'!A649</f>
        <v>R815</v>
      </c>
      <c r="V316" t="b">
        <f t="shared" si="236"/>
        <v>0</v>
      </c>
      <c r="W316" t="b">
        <f t="shared" si="267"/>
        <v>0</v>
      </c>
      <c r="Y316" t="str">
        <f>'Green_rooibos initial weight'!A317</f>
        <v>G313</v>
      </c>
      <c r="Z316" t="str">
        <f>'Green_rooibos initial weight'!A1221</f>
        <v>R313</v>
      </c>
      <c r="AA316" t="b">
        <f t="shared" si="237"/>
        <v>0</v>
      </c>
      <c r="AB316" t="b">
        <f t="shared" si="238"/>
        <v>0</v>
      </c>
      <c r="AE316" t="str">
        <f>'WetLitterbags placem_collection'!O95</f>
        <v>G424</v>
      </c>
      <c r="AF316" t="str">
        <f>'WetLitterbags placem_collection'!Q95</f>
        <v>R136</v>
      </c>
      <c r="AG316" t="b">
        <f t="shared" si="239"/>
        <v>0</v>
      </c>
      <c r="AH316" t="b">
        <f t="shared" si="240"/>
        <v>0</v>
      </c>
      <c r="AJ316" t="b">
        <f t="shared" si="241"/>
        <v>0</v>
      </c>
      <c r="AK316" t="b">
        <f t="shared" si="242"/>
        <v>0</v>
      </c>
      <c r="AM316" t="str">
        <f>IF(ISBLANK('Dry_Litterbag Placem_Collection'!L95),"","G"&amp;""&amp;'Dry_Litterbag Placem_Collection'!L95)</f>
        <v>G872</v>
      </c>
      <c r="AN316" t="str">
        <f>IF(ISBLANK('Dry_Litterbag Placem_Collection'!M95),"","R"&amp;""&amp;'Dry_Litterbag Placem_Collection'!M95)</f>
        <v>R106</v>
      </c>
      <c r="AO316" t="b">
        <f t="shared" si="243"/>
        <v>0</v>
      </c>
      <c r="AP316" t="b">
        <f t="shared" si="244"/>
        <v>0</v>
      </c>
      <c r="AS316" t="str">
        <f>'Ashed teabags dry'!A314</f>
        <v>G85</v>
      </c>
      <c r="AT316" t="str">
        <f>'Ashed teabags dry'!A649</f>
        <v>R815</v>
      </c>
      <c r="AU316" t="b">
        <f t="shared" si="245"/>
        <v>0</v>
      </c>
      <c r="AV316" t="b">
        <f t="shared" si="268"/>
        <v>0</v>
      </c>
      <c r="AX316" s="388" t="b">
        <f t="shared" si="246"/>
        <v>0</v>
      </c>
      <c r="AY316" s="388" t="b">
        <f t="shared" si="247"/>
        <v>0</v>
      </c>
      <c r="BA316" t="str">
        <f>'Ashed teabags wet'!A314</f>
        <v>G770</v>
      </c>
      <c r="BB316" t="str">
        <f>'Ashed teabags wet'!A734</f>
        <v>R527</v>
      </c>
      <c r="BC316" t="b">
        <f t="shared" si="248"/>
        <v>0</v>
      </c>
      <c r="BD316" t="b">
        <f t="shared" si="228"/>
        <v>0</v>
      </c>
      <c r="BF316" t="str">
        <f t="shared" si="249"/>
        <v>G848</v>
      </c>
      <c r="BG316" t="str">
        <f t="shared" si="250"/>
        <v>G848</v>
      </c>
      <c r="BH316" t="str">
        <f t="shared" si="251"/>
        <v>G380</v>
      </c>
      <c r="BI316" t="str">
        <f t="shared" si="269"/>
        <v>G380</v>
      </c>
      <c r="BJ316" t="s">
        <v>1202</v>
      </c>
      <c r="BK316" t="s">
        <v>1202</v>
      </c>
      <c r="BL316" t="s">
        <v>1202</v>
      </c>
      <c r="BM316" t="b">
        <f t="shared" si="270"/>
        <v>1</v>
      </c>
      <c r="BN316" t="str">
        <f t="shared" si="252"/>
        <v>R814</v>
      </c>
      <c r="BO316" t="str">
        <f t="shared" si="253"/>
        <v>R814</v>
      </c>
      <c r="BP316" t="str">
        <f t="shared" si="254"/>
        <v>R619</v>
      </c>
      <c r="BQ316" t="str">
        <f t="shared" si="255"/>
        <v>R619</v>
      </c>
      <c r="BR316" t="s">
        <v>325</v>
      </c>
      <c r="BS316" t="s">
        <v>324</v>
      </c>
      <c r="BT316" t="s">
        <v>325</v>
      </c>
      <c r="BU316" t="b">
        <f t="shared" si="271"/>
        <v>1</v>
      </c>
      <c r="BZ316" t="str">
        <f t="shared" si="256"/>
        <v>G380</v>
      </c>
      <c r="CA316" t="b">
        <f t="shared" si="257"/>
        <v>0</v>
      </c>
      <c r="CB316" t="str">
        <f t="shared" si="272"/>
        <v>G380</v>
      </c>
      <c r="CC316" t="str">
        <f t="shared" si="258"/>
        <v>R619</v>
      </c>
      <c r="CD316" t="b">
        <f t="shared" si="273"/>
        <v>0</v>
      </c>
      <c r="CE316" t="str">
        <f t="shared" si="274"/>
        <v>R619</v>
      </c>
      <c r="CG316" t="str">
        <f t="shared" si="259"/>
        <v>G769</v>
      </c>
      <c r="CH316" t="str">
        <f t="shared" si="275"/>
        <v>G769</v>
      </c>
      <c r="CI316" t="str">
        <f t="shared" si="260"/>
        <v>G763</v>
      </c>
      <c r="CJ316" t="str">
        <f t="shared" si="261"/>
        <v>G763</v>
      </c>
      <c r="CK316" t="s">
        <v>1281</v>
      </c>
      <c r="CL316" t="s">
        <v>1281</v>
      </c>
      <c r="CM316" t="s">
        <v>1281</v>
      </c>
      <c r="CN316" t="b">
        <f t="shared" si="276"/>
        <v>1</v>
      </c>
      <c r="CO316" t="str">
        <f t="shared" si="262"/>
        <v>R526</v>
      </c>
      <c r="CP316" t="str">
        <f t="shared" si="277"/>
        <v>R526</v>
      </c>
      <c r="CQ316" t="str">
        <f t="shared" si="263"/>
        <v>R4</v>
      </c>
      <c r="CR316" t="str">
        <f t="shared" si="264"/>
        <v>R4</v>
      </c>
      <c r="CS316" t="s">
        <v>615</v>
      </c>
      <c r="CT316" t="s">
        <v>615</v>
      </c>
      <c r="CU316" t="s">
        <v>615</v>
      </c>
      <c r="CV316" t="b">
        <f t="shared" si="278"/>
        <v>1</v>
      </c>
      <c r="DC316" t="str">
        <f t="shared" si="265"/>
        <v>G763</v>
      </c>
      <c r="DD316" t="b">
        <f t="shared" si="279"/>
        <v>0</v>
      </c>
      <c r="DE316" t="str">
        <f t="shared" si="280"/>
        <v>G763</v>
      </c>
      <c r="DF316" t="str">
        <f t="shared" si="266"/>
        <v>R4</v>
      </c>
      <c r="DG316" t="b">
        <f t="shared" si="281"/>
        <v>0</v>
      </c>
      <c r="DH316" t="str">
        <f t="shared" si="282"/>
        <v>R4</v>
      </c>
    </row>
    <row r="317" spans="2:112" ht="12" customHeight="1">
      <c r="B317" t="str">
        <f>TBIDry!H389</f>
        <v/>
      </c>
      <c r="C317" t="str">
        <f>TBIDry!I389</f>
        <v/>
      </c>
      <c r="D317" t="b">
        <f t="shared" si="229"/>
        <v>1</v>
      </c>
      <c r="E317" t="b">
        <f t="shared" si="230"/>
        <v>1</v>
      </c>
      <c r="G317" t="str">
        <f>TBIWet!H389</f>
        <v>G588</v>
      </c>
      <c r="H317" t="str">
        <f>TBIWet!I389</f>
        <v>R358</v>
      </c>
      <c r="I317" t="b">
        <f t="shared" si="231"/>
        <v>0</v>
      </c>
      <c r="J317" t="b">
        <f t="shared" si="232"/>
        <v>0</v>
      </c>
      <c r="L317" t="str">
        <f>'Both teabags AfterWet'!A315</f>
        <v>G772</v>
      </c>
      <c r="M317" t="str">
        <f>'Both teabags AfterWet'!A735</f>
        <v>R528</v>
      </c>
      <c r="N317" t="b">
        <f t="shared" si="233"/>
        <v>0</v>
      </c>
      <c r="O317" t="b">
        <f t="shared" si="283"/>
        <v>0</v>
      </c>
      <c r="Q317" s="388" t="b">
        <f t="shared" si="234"/>
        <v>0</v>
      </c>
      <c r="R317" s="388" t="b">
        <f t="shared" si="235"/>
        <v>0</v>
      </c>
      <c r="T317" t="str">
        <f>'Both teabags AfterDry'!A315</f>
        <v>G851</v>
      </c>
      <c r="U317" t="str">
        <f>'Both teabags AfterDry'!A650</f>
        <v>R816</v>
      </c>
      <c r="V317" t="b">
        <f t="shared" si="236"/>
        <v>0</v>
      </c>
      <c r="W317" t="b">
        <f t="shared" si="267"/>
        <v>0</v>
      </c>
      <c r="Y317" t="str">
        <f>'Green_rooibos initial weight'!A318</f>
        <v>G314</v>
      </c>
      <c r="Z317" t="str">
        <f>'Green_rooibos initial weight'!A1222</f>
        <v>R314</v>
      </c>
      <c r="AA317" t="b">
        <f t="shared" si="237"/>
        <v>0</v>
      </c>
      <c r="AB317" t="b">
        <f t="shared" si="238"/>
        <v>0</v>
      </c>
      <c r="AE317" t="str">
        <f>'WetLitterbags placem_collection'!O96</f>
        <v>G588</v>
      </c>
      <c r="AF317" t="str">
        <f>'WetLitterbags placem_collection'!Q96</f>
        <v>R358</v>
      </c>
      <c r="AG317" t="b">
        <f t="shared" si="239"/>
        <v>0</v>
      </c>
      <c r="AH317" t="b">
        <f t="shared" si="240"/>
        <v>0</v>
      </c>
      <c r="AJ317" t="b">
        <f t="shared" si="241"/>
        <v>0</v>
      </c>
      <c r="AK317" t="b">
        <f t="shared" si="242"/>
        <v>0</v>
      </c>
      <c r="AM317" t="str">
        <f>IF(ISBLANK('Dry_Litterbag Placem_Collection'!L96),"","G"&amp;""&amp;'Dry_Litterbag Placem_Collection'!L96)</f>
        <v/>
      </c>
      <c r="AN317" t="str">
        <f>IF(ISBLANK('Dry_Litterbag Placem_Collection'!M96),"","R"&amp;""&amp;'Dry_Litterbag Placem_Collection'!M96)</f>
        <v/>
      </c>
      <c r="AO317" t="b">
        <f t="shared" si="243"/>
        <v>1</v>
      </c>
      <c r="AP317" t="b">
        <f t="shared" si="244"/>
        <v>1</v>
      </c>
      <c r="AS317" t="str">
        <f>'Ashed teabags dry'!A315</f>
        <v>G851</v>
      </c>
      <c r="AT317" t="str">
        <f>'Ashed teabags dry'!A650</f>
        <v>R816</v>
      </c>
      <c r="AU317" t="b">
        <f t="shared" si="245"/>
        <v>0</v>
      </c>
      <c r="AV317" t="b">
        <f t="shared" si="268"/>
        <v>0</v>
      </c>
      <c r="AX317" s="388" t="b">
        <f t="shared" si="246"/>
        <v>0</v>
      </c>
      <c r="AY317" s="388" t="b">
        <f t="shared" si="247"/>
        <v>0</v>
      </c>
      <c r="BA317" t="str">
        <f>'Ashed teabags wet'!A315</f>
        <v>G772</v>
      </c>
      <c r="BB317" t="str">
        <f>'Ashed teabags wet'!A735</f>
        <v>R528</v>
      </c>
      <c r="BC317" t="b">
        <f t="shared" si="248"/>
        <v>0</v>
      </c>
      <c r="BD317" t="b">
        <f t="shared" si="228"/>
        <v>0</v>
      </c>
      <c r="BF317" t="str">
        <f t="shared" si="249"/>
        <v>G85</v>
      </c>
      <c r="BG317" t="str">
        <f t="shared" si="250"/>
        <v>G85</v>
      </c>
      <c r="BH317" t="str">
        <f t="shared" si="251"/>
        <v>G872</v>
      </c>
      <c r="BI317" t="str">
        <f t="shared" si="269"/>
        <v>G872</v>
      </c>
      <c r="BJ317" t="s">
        <v>1965</v>
      </c>
      <c r="BK317" t="s">
        <v>1965</v>
      </c>
      <c r="BL317" t="s">
        <v>1965</v>
      </c>
      <c r="BM317" t="b">
        <f t="shared" si="270"/>
        <v>1</v>
      </c>
      <c r="BN317" t="str">
        <f t="shared" si="252"/>
        <v>R815</v>
      </c>
      <c r="BO317" t="str">
        <f t="shared" si="253"/>
        <v>R815</v>
      </c>
      <c r="BP317" t="str">
        <f t="shared" si="254"/>
        <v>R106</v>
      </c>
      <c r="BQ317" t="str">
        <f t="shared" si="255"/>
        <v>R106</v>
      </c>
      <c r="BR317" t="s">
        <v>324</v>
      </c>
      <c r="BS317" t="s">
        <v>323</v>
      </c>
      <c r="BT317" t="s">
        <v>324</v>
      </c>
      <c r="BU317" t="b">
        <f t="shared" si="271"/>
        <v>1</v>
      </c>
      <c r="BZ317" t="str">
        <f t="shared" si="256"/>
        <v>G872</v>
      </c>
      <c r="CA317" t="b">
        <f t="shared" si="257"/>
        <v>0</v>
      </c>
      <c r="CB317" t="str">
        <f t="shared" si="272"/>
        <v>G872</v>
      </c>
      <c r="CC317" t="str">
        <f t="shared" si="258"/>
        <v>R106</v>
      </c>
      <c r="CD317" t="b">
        <f t="shared" si="273"/>
        <v>0</v>
      </c>
      <c r="CE317" t="str">
        <f t="shared" si="274"/>
        <v>R106</v>
      </c>
      <c r="CG317" t="str">
        <f t="shared" si="259"/>
        <v>G770</v>
      </c>
      <c r="CH317" t="str">
        <f t="shared" si="275"/>
        <v>G770</v>
      </c>
      <c r="CI317" t="str">
        <f t="shared" si="260"/>
        <v>G424</v>
      </c>
      <c r="CJ317" t="str">
        <f t="shared" si="261"/>
        <v>G424</v>
      </c>
      <c r="CK317" t="s">
        <v>1280</v>
      </c>
      <c r="CL317" t="s">
        <v>1280</v>
      </c>
      <c r="CM317" t="s">
        <v>1280</v>
      </c>
      <c r="CN317" t="b">
        <f t="shared" si="276"/>
        <v>1</v>
      </c>
      <c r="CO317" t="str">
        <f t="shared" si="262"/>
        <v>R527</v>
      </c>
      <c r="CP317" t="str">
        <f t="shared" si="277"/>
        <v>R527</v>
      </c>
      <c r="CQ317" t="str">
        <f t="shared" si="263"/>
        <v>R136</v>
      </c>
      <c r="CR317" t="str">
        <f t="shared" si="264"/>
        <v>R136</v>
      </c>
      <c r="CS317" t="s">
        <v>614</v>
      </c>
      <c r="CT317" t="s">
        <v>614</v>
      </c>
      <c r="CU317" t="s">
        <v>614</v>
      </c>
      <c r="CV317" t="b">
        <f t="shared" si="278"/>
        <v>1</v>
      </c>
      <c r="DC317" t="str">
        <f t="shared" si="265"/>
        <v>G424</v>
      </c>
      <c r="DD317" t="b">
        <f t="shared" si="279"/>
        <v>0</v>
      </c>
      <c r="DE317" t="str">
        <f t="shared" si="280"/>
        <v>G424</v>
      </c>
      <c r="DF317" t="str">
        <f t="shared" si="266"/>
        <v>R136</v>
      </c>
      <c r="DG317" t="b">
        <f t="shared" si="281"/>
        <v>0</v>
      </c>
      <c r="DH317" t="str">
        <f t="shared" si="282"/>
        <v>R136</v>
      </c>
    </row>
    <row r="318" spans="2:112" ht="12" customHeight="1">
      <c r="B318" t="str">
        <f>TBIDry!H390</f>
        <v>G844</v>
      </c>
      <c r="C318" t="str">
        <f>TBIDry!I390</f>
        <v>R233</v>
      </c>
      <c r="D318" t="b">
        <f t="shared" si="229"/>
        <v>0</v>
      </c>
      <c r="E318" t="b">
        <f t="shared" si="230"/>
        <v>0</v>
      </c>
      <c r="G318" t="str">
        <f>TBIWet!H390</f>
        <v>G486</v>
      </c>
      <c r="H318" t="str">
        <f>TBIWet!I390</f>
        <v>R547</v>
      </c>
      <c r="I318" t="b">
        <f t="shared" si="231"/>
        <v>0</v>
      </c>
      <c r="J318" t="b">
        <f t="shared" si="232"/>
        <v>0</v>
      </c>
      <c r="L318" t="str">
        <f>'Both teabags AfterWet'!A316</f>
        <v>G773</v>
      </c>
      <c r="M318" t="str">
        <f>'Both teabags AfterWet'!A736</f>
        <v>R529</v>
      </c>
      <c r="N318" t="b">
        <f t="shared" si="233"/>
        <v>0</v>
      </c>
      <c r="O318" t="b">
        <f t="shared" si="283"/>
        <v>0</v>
      </c>
      <c r="Q318" s="388" t="b">
        <f t="shared" si="234"/>
        <v>0</v>
      </c>
      <c r="R318" s="388" t="b">
        <f t="shared" si="235"/>
        <v>0</v>
      </c>
      <c r="T318" t="str">
        <f>'Both teabags AfterDry'!A316</f>
        <v>G854</v>
      </c>
      <c r="U318" t="str">
        <f>'Both teabags AfterDry'!A651</f>
        <v>R818</v>
      </c>
      <c r="V318" t="b">
        <f t="shared" si="236"/>
        <v>0</v>
      </c>
      <c r="W318" t="b">
        <f t="shared" si="267"/>
        <v>0</v>
      </c>
      <c r="Y318" t="str">
        <f>'Green_rooibos initial weight'!A319</f>
        <v>G315</v>
      </c>
      <c r="Z318" t="str">
        <f>'Green_rooibos initial weight'!A1223</f>
        <v>R315</v>
      </c>
      <c r="AA318" t="b">
        <f t="shared" si="237"/>
        <v>0</v>
      </c>
      <c r="AB318" t="b">
        <f t="shared" si="238"/>
        <v>0</v>
      </c>
      <c r="AE318" t="str">
        <f>'WetLitterbags placem_collection'!O97</f>
        <v>G486</v>
      </c>
      <c r="AF318" t="str">
        <f>'WetLitterbags placem_collection'!Q97</f>
        <v>R547</v>
      </c>
      <c r="AG318" t="b">
        <f t="shared" si="239"/>
        <v>0</v>
      </c>
      <c r="AH318" t="b">
        <f t="shared" si="240"/>
        <v>0</v>
      </c>
      <c r="AJ318" t="b">
        <f t="shared" si="241"/>
        <v>0</v>
      </c>
      <c r="AK318" t="b">
        <f t="shared" si="242"/>
        <v>0</v>
      </c>
      <c r="AM318" t="str">
        <f>IF(ISBLANK('Dry_Litterbag Placem_Collection'!L97),"","G"&amp;""&amp;'Dry_Litterbag Placem_Collection'!L97)</f>
        <v>G844</v>
      </c>
      <c r="AN318" t="str">
        <f>IF(ISBLANK('Dry_Litterbag Placem_Collection'!M97),"","R"&amp;""&amp;'Dry_Litterbag Placem_Collection'!M97)</f>
        <v>R233</v>
      </c>
      <c r="AO318" t="b">
        <f t="shared" si="243"/>
        <v>0</v>
      </c>
      <c r="AP318" t="b">
        <f t="shared" si="244"/>
        <v>0</v>
      </c>
      <c r="AS318" t="str">
        <f>'Ashed teabags dry'!A316</f>
        <v>G854</v>
      </c>
      <c r="AT318" t="str">
        <f>'Ashed teabags dry'!A651</f>
        <v>R818</v>
      </c>
      <c r="AU318" t="b">
        <f t="shared" si="245"/>
        <v>0</v>
      </c>
      <c r="AV318" t="b">
        <f t="shared" si="268"/>
        <v>0</v>
      </c>
      <c r="AX318" s="388" t="b">
        <f t="shared" si="246"/>
        <v>0</v>
      </c>
      <c r="AY318" s="388" t="b">
        <f t="shared" si="247"/>
        <v>0</v>
      </c>
      <c r="BA318" t="str">
        <f>'Ashed teabags wet'!A316</f>
        <v>G773</v>
      </c>
      <c r="BB318" t="str">
        <f>'Ashed teabags wet'!A736</f>
        <v>R529</v>
      </c>
      <c r="BC318" t="b">
        <f t="shared" si="248"/>
        <v>0</v>
      </c>
      <c r="BD318" t="b">
        <f t="shared" si="228"/>
        <v>0</v>
      </c>
      <c r="BF318" t="str">
        <f t="shared" si="249"/>
        <v>G851</v>
      </c>
      <c r="BG318" t="str">
        <f t="shared" si="250"/>
        <v>G851</v>
      </c>
      <c r="BH318" t="str">
        <f t="shared" si="251"/>
        <v/>
      </c>
      <c r="BI318" t="str">
        <f t="shared" si="269"/>
        <v/>
      </c>
      <c r="BJ318" t="s">
        <v>1199</v>
      </c>
      <c r="BK318" t="s">
        <v>1199</v>
      </c>
      <c r="BL318" t="s">
        <v>1199</v>
      </c>
      <c r="BM318" t="b">
        <f t="shared" si="270"/>
        <v>1</v>
      </c>
      <c r="BN318" t="str">
        <f t="shared" si="252"/>
        <v>R816</v>
      </c>
      <c r="BO318" t="str">
        <f t="shared" si="253"/>
        <v>R816</v>
      </c>
      <c r="BP318" t="str">
        <f t="shared" si="254"/>
        <v/>
      </c>
      <c r="BQ318" t="str">
        <f t="shared" si="255"/>
        <v/>
      </c>
      <c r="BR318" t="s">
        <v>323</v>
      </c>
      <c r="BS318" t="s">
        <v>321</v>
      </c>
      <c r="BT318" t="s">
        <v>323</v>
      </c>
      <c r="BU318" t="b">
        <f t="shared" si="271"/>
        <v>1</v>
      </c>
      <c r="BZ318" t="str">
        <f t="shared" si="256"/>
        <v/>
      </c>
      <c r="CA318" t="b">
        <f t="shared" si="257"/>
        <v>0</v>
      </c>
      <c r="CB318" t="str">
        <f t="shared" si="272"/>
        <v/>
      </c>
      <c r="CC318" t="str">
        <f t="shared" si="258"/>
        <v/>
      </c>
      <c r="CD318" t="b">
        <f t="shared" si="273"/>
        <v>0</v>
      </c>
      <c r="CE318" t="str">
        <f t="shared" si="274"/>
        <v/>
      </c>
      <c r="CG318" t="str">
        <f t="shared" si="259"/>
        <v>G772</v>
      </c>
      <c r="CH318" t="str">
        <f t="shared" si="275"/>
        <v>G772</v>
      </c>
      <c r="CI318" t="str">
        <f t="shared" si="260"/>
        <v>G588</v>
      </c>
      <c r="CJ318" t="str">
        <f t="shared" si="261"/>
        <v/>
      </c>
      <c r="CK318" t="s">
        <v>1278</v>
      </c>
      <c r="CL318" t="s">
        <v>1278</v>
      </c>
      <c r="CM318" t="s">
        <v>1278</v>
      </c>
      <c r="CN318" t="b">
        <f t="shared" si="276"/>
        <v>1</v>
      </c>
      <c r="CO318" t="str">
        <f t="shared" si="262"/>
        <v>R528</v>
      </c>
      <c r="CP318" t="str">
        <f t="shared" si="277"/>
        <v>R528</v>
      </c>
      <c r="CQ318" t="str">
        <f t="shared" si="263"/>
        <v>R358</v>
      </c>
      <c r="CR318" t="str">
        <f t="shared" si="264"/>
        <v/>
      </c>
      <c r="CS318" t="s">
        <v>613</v>
      </c>
      <c r="CT318" t="s">
        <v>613</v>
      </c>
      <c r="CU318" t="s">
        <v>613</v>
      </c>
      <c r="CV318" t="b">
        <f t="shared" si="278"/>
        <v>1</v>
      </c>
      <c r="DC318" t="str">
        <f t="shared" si="265"/>
        <v>G588</v>
      </c>
      <c r="DD318" t="b">
        <f t="shared" si="279"/>
        <v>1</v>
      </c>
      <c r="DE318" t="str">
        <f t="shared" si="280"/>
        <v/>
      </c>
      <c r="DF318" t="str">
        <f t="shared" si="266"/>
        <v>R358</v>
      </c>
      <c r="DG318" t="b">
        <f t="shared" si="281"/>
        <v>1</v>
      </c>
      <c r="DH318" t="str">
        <f t="shared" si="282"/>
        <v/>
      </c>
    </row>
    <row r="319" spans="2:112" ht="12" customHeight="1">
      <c r="B319" t="str">
        <f>TBIDry!H391</f>
        <v>G372</v>
      </c>
      <c r="C319" t="str">
        <f>TBIDry!I391</f>
        <v>R698</v>
      </c>
      <c r="D319" t="b">
        <f t="shared" si="229"/>
        <v>0</v>
      </c>
      <c r="E319" t="b">
        <f t="shared" si="230"/>
        <v>0</v>
      </c>
      <c r="G319" t="str">
        <f>TBIWet!H391</f>
        <v>G545</v>
      </c>
      <c r="H319" t="str">
        <f>TBIWet!I391</f>
        <v>R588</v>
      </c>
      <c r="I319" t="b">
        <f t="shared" si="231"/>
        <v>0</v>
      </c>
      <c r="J319" t="b">
        <f t="shared" si="232"/>
        <v>0</v>
      </c>
      <c r="L319" t="str">
        <f>'Both teabags AfterWet'!A317</f>
        <v>G774</v>
      </c>
      <c r="M319" t="str">
        <f>'Both teabags AfterWet'!A737</f>
        <v>R530</v>
      </c>
      <c r="N319" t="b">
        <f t="shared" si="233"/>
        <v>0</v>
      </c>
      <c r="O319" t="b">
        <f t="shared" si="283"/>
        <v>0</v>
      </c>
      <c r="Q319" s="388" t="b">
        <f t="shared" si="234"/>
        <v>0</v>
      </c>
      <c r="R319" s="388" t="b">
        <f t="shared" si="235"/>
        <v>0</v>
      </c>
      <c r="T319" t="str">
        <f>'Both teabags AfterDry'!A317</f>
        <v>G855</v>
      </c>
      <c r="U319" t="str">
        <f>'Both teabags AfterDry'!A652</f>
        <v>R819</v>
      </c>
      <c r="V319" t="b">
        <f t="shared" si="236"/>
        <v>0</v>
      </c>
      <c r="W319" t="b">
        <f t="shared" si="267"/>
        <v>0</v>
      </c>
      <c r="Y319" t="str">
        <f>'Green_rooibos initial weight'!A320</f>
        <v>G316</v>
      </c>
      <c r="Z319" t="str">
        <f>'Green_rooibos initial weight'!A1224</f>
        <v>R316</v>
      </c>
      <c r="AA319" t="b">
        <f t="shared" si="237"/>
        <v>0</v>
      </c>
      <c r="AB319" t="b">
        <f t="shared" si="238"/>
        <v>0</v>
      </c>
      <c r="AE319" t="str">
        <f>'WetLitterbags placem_collection'!O98</f>
        <v>G545</v>
      </c>
      <c r="AF319" t="str">
        <f>'WetLitterbags placem_collection'!Q98</f>
        <v>R588</v>
      </c>
      <c r="AG319" t="b">
        <f t="shared" si="239"/>
        <v>0</v>
      </c>
      <c r="AH319" t="b">
        <f t="shared" si="240"/>
        <v>0</v>
      </c>
      <c r="AJ319" t="b">
        <f t="shared" si="241"/>
        <v>0</v>
      </c>
      <c r="AK319" t="b">
        <f t="shared" si="242"/>
        <v>0</v>
      </c>
      <c r="AM319" t="str">
        <f>IF(ISBLANK('Dry_Litterbag Placem_Collection'!L98),"","G"&amp;""&amp;'Dry_Litterbag Placem_Collection'!L98)</f>
        <v>G372</v>
      </c>
      <c r="AN319" t="str">
        <f>IF(ISBLANK('Dry_Litterbag Placem_Collection'!M98),"","R"&amp;""&amp;'Dry_Litterbag Placem_Collection'!M98)</f>
        <v>R698</v>
      </c>
      <c r="AO319" t="b">
        <f t="shared" si="243"/>
        <v>0</v>
      </c>
      <c r="AP319" t="b">
        <f t="shared" si="244"/>
        <v>0</v>
      </c>
      <c r="AS319" t="str">
        <f>'Ashed teabags dry'!A317</f>
        <v>G855</v>
      </c>
      <c r="AT319" t="str">
        <f>'Ashed teabags dry'!A652</f>
        <v>R819</v>
      </c>
      <c r="AU319" t="b">
        <f t="shared" si="245"/>
        <v>0</v>
      </c>
      <c r="AV319" t="b">
        <f t="shared" si="268"/>
        <v>0</v>
      </c>
      <c r="AX319" s="388" t="b">
        <f t="shared" si="246"/>
        <v>0</v>
      </c>
      <c r="AY319" s="388" t="b">
        <f t="shared" si="247"/>
        <v>0</v>
      </c>
      <c r="BA319" t="str">
        <f>'Ashed teabags wet'!A317</f>
        <v>G774</v>
      </c>
      <c r="BB319" t="str">
        <f>'Ashed teabags wet'!A737</f>
        <v>R530</v>
      </c>
      <c r="BC319" t="b">
        <f t="shared" si="248"/>
        <v>0</v>
      </c>
      <c r="BD319" t="b">
        <f t="shared" si="228"/>
        <v>0</v>
      </c>
      <c r="BF319" t="str">
        <f t="shared" si="249"/>
        <v>G854</v>
      </c>
      <c r="BG319" t="str">
        <f t="shared" si="250"/>
        <v>G854</v>
      </c>
      <c r="BH319" t="str">
        <f t="shared" si="251"/>
        <v>G844</v>
      </c>
      <c r="BI319" t="str">
        <f t="shared" si="269"/>
        <v>G844</v>
      </c>
      <c r="BJ319" t="s">
        <v>1196</v>
      </c>
      <c r="BK319" t="s">
        <v>1196</v>
      </c>
      <c r="BL319" t="s">
        <v>1196</v>
      </c>
      <c r="BM319" t="b">
        <f t="shared" si="270"/>
        <v>1</v>
      </c>
      <c r="BN319" t="str">
        <f t="shared" si="252"/>
        <v>R818</v>
      </c>
      <c r="BO319" t="str">
        <f t="shared" si="253"/>
        <v>R818</v>
      </c>
      <c r="BP319" t="str">
        <f t="shared" si="254"/>
        <v>R233</v>
      </c>
      <c r="BQ319" t="str">
        <f t="shared" si="255"/>
        <v>R233</v>
      </c>
      <c r="BR319" t="s">
        <v>321</v>
      </c>
      <c r="BS319" t="s">
        <v>320</v>
      </c>
      <c r="BT319" t="s">
        <v>321</v>
      </c>
      <c r="BU319" t="b">
        <f t="shared" si="271"/>
        <v>1</v>
      </c>
      <c r="BZ319" t="str">
        <f t="shared" si="256"/>
        <v>G844</v>
      </c>
      <c r="CA319" t="b">
        <f t="shared" si="257"/>
        <v>0</v>
      </c>
      <c r="CB319" t="str">
        <f t="shared" si="272"/>
        <v>G844</v>
      </c>
      <c r="CC319" t="str">
        <f t="shared" si="258"/>
        <v>R233</v>
      </c>
      <c r="CD319" t="b">
        <f t="shared" si="273"/>
        <v>0</v>
      </c>
      <c r="CE319" t="str">
        <f t="shared" si="274"/>
        <v>R233</v>
      </c>
      <c r="CG319" t="str">
        <f t="shared" si="259"/>
        <v>G773</v>
      </c>
      <c r="CH319" t="str">
        <f t="shared" si="275"/>
        <v>G773</v>
      </c>
      <c r="CI319" t="str">
        <f t="shared" si="260"/>
        <v>G486</v>
      </c>
      <c r="CJ319" t="str">
        <f t="shared" si="261"/>
        <v>G486</v>
      </c>
      <c r="CK319" t="s">
        <v>1277</v>
      </c>
      <c r="CL319" t="s">
        <v>1277</v>
      </c>
      <c r="CM319" t="s">
        <v>1277</v>
      </c>
      <c r="CN319" t="b">
        <f t="shared" si="276"/>
        <v>1</v>
      </c>
      <c r="CO319" t="str">
        <f t="shared" si="262"/>
        <v>R529</v>
      </c>
      <c r="CP319" t="str">
        <f t="shared" si="277"/>
        <v>R529</v>
      </c>
      <c r="CQ319" t="str">
        <f t="shared" si="263"/>
        <v>R547</v>
      </c>
      <c r="CR319" t="str">
        <f t="shared" si="264"/>
        <v>R547</v>
      </c>
      <c r="CS319" t="s">
        <v>612</v>
      </c>
      <c r="CT319" t="s">
        <v>612</v>
      </c>
      <c r="CU319" t="s">
        <v>612</v>
      </c>
      <c r="CV319" t="b">
        <f t="shared" si="278"/>
        <v>1</v>
      </c>
      <c r="DC319" t="str">
        <f t="shared" si="265"/>
        <v>G486</v>
      </c>
      <c r="DD319" t="b">
        <f t="shared" si="279"/>
        <v>0</v>
      </c>
      <c r="DE319" t="str">
        <f t="shared" si="280"/>
        <v>G486</v>
      </c>
      <c r="DF319" t="str">
        <f t="shared" si="266"/>
        <v>R547</v>
      </c>
      <c r="DG319" t="b">
        <f t="shared" si="281"/>
        <v>0</v>
      </c>
      <c r="DH319" t="str">
        <f t="shared" si="282"/>
        <v>R547</v>
      </c>
    </row>
    <row r="320" spans="2:112" ht="12" customHeight="1">
      <c r="B320" t="str">
        <f>TBIDry!H392</f>
        <v>G3</v>
      </c>
      <c r="C320" t="str">
        <f>TBIDry!I392</f>
        <v>R47</v>
      </c>
      <c r="D320" t="b">
        <f t="shared" si="229"/>
        <v>0</v>
      </c>
      <c r="E320" t="b">
        <f t="shared" si="230"/>
        <v>0</v>
      </c>
      <c r="G320" t="str">
        <f>TBIWet!H392</f>
        <v>G847</v>
      </c>
      <c r="H320" t="str">
        <f>TBIWet!I392</f>
        <v>R576</v>
      </c>
      <c r="I320" t="b">
        <f t="shared" si="231"/>
        <v>0</v>
      </c>
      <c r="J320" t="b">
        <f t="shared" si="232"/>
        <v>0</v>
      </c>
      <c r="L320" t="str">
        <f>'Both teabags AfterWet'!A318</f>
        <v>G775</v>
      </c>
      <c r="M320" t="str">
        <f>'Both teabags AfterWet'!A738</f>
        <v>R531</v>
      </c>
      <c r="N320" t="b">
        <f t="shared" si="233"/>
        <v>0</v>
      </c>
      <c r="O320" t="b">
        <f t="shared" si="283"/>
        <v>0</v>
      </c>
      <c r="Q320" s="388" t="b">
        <f t="shared" si="234"/>
        <v>0</v>
      </c>
      <c r="R320" s="388" t="b">
        <f t="shared" si="235"/>
        <v>0</v>
      </c>
      <c r="T320" t="str">
        <f>'Both teabags AfterDry'!A318</f>
        <v>G86</v>
      </c>
      <c r="U320" t="str">
        <f>'Both teabags AfterDry'!A653</f>
        <v>R820</v>
      </c>
      <c r="V320" t="b">
        <f t="shared" si="236"/>
        <v>0</v>
      </c>
      <c r="W320" t="b">
        <f t="shared" si="267"/>
        <v>0</v>
      </c>
      <c r="Y320" t="str">
        <f>'Green_rooibos initial weight'!A321</f>
        <v>G317</v>
      </c>
      <c r="Z320" t="str">
        <f>'Green_rooibos initial weight'!A1225</f>
        <v>R317</v>
      </c>
      <c r="AA320" t="b">
        <f t="shared" si="237"/>
        <v>0</v>
      </c>
      <c r="AB320" t="b">
        <f t="shared" si="238"/>
        <v>0</v>
      </c>
      <c r="AE320" t="str">
        <f>'WetLitterbags placem_collection'!O99</f>
        <v>G847</v>
      </c>
      <c r="AF320" t="str">
        <f>'WetLitterbags placem_collection'!Q99</f>
        <v>R576</v>
      </c>
      <c r="AG320" t="b">
        <f t="shared" si="239"/>
        <v>0</v>
      </c>
      <c r="AH320" t="b">
        <f t="shared" si="240"/>
        <v>0</v>
      </c>
      <c r="AJ320" t="b">
        <f t="shared" si="241"/>
        <v>0</v>
      </c>
      <c r="AK320" t="b">
        <f t="shared" si="242"/>
        <v>0</v>
      </c>
      <c r="AM320" t="str">
        <f>IF(ISBLANK('Dry_Litterbag Placem_Collection'!L99),"","G"&amp;""&amp;'Dry_Litterbag Placem_Collection'!L99)</f>
        <v>G3</v>
      </c>
      <c r="AN320" t="str">
        <f>IF(ISBLANK('Dry_Litterbag Placem_Collection'!M99),"","R"&amp;""&amp;'Dry_Litterbag Placem_Collection'!M99)</f>
        <v>R47</v>
      </c>
      <c r="AO320" t="b">
        <f t="shared" si="243"/>
        <v>0</v>
      </c>
      <c r="AP320" t="b">
        <f t="shared" si="244"/>
        <v>0</v>
      </c>
      <c r="AS320" t="str">
        <f>'Ashed teabags dry'!A318</f>
        <v>G86</v>
      </c>
      <c r="AT320" t="str">
        <f>'Ashed teabags dry'!A653</f>
        <v>R820</v>
      </c>
      <c r="AU320" t="b">
        <f t="shared" si="245"/>
        <v>0</v>
      </c>
      <c r="AV320" t="b">
        <f t="shared" si="268"/>
        <v>0</v>
      </c>
      <c r="AX320" s="388" t="b">
        <f t="shared" si="246"/>
        <v>0</v>
      </c>
      <c r="AY320" s="388" t="b">
        <f t="shared" si="247"/>
        <v>0</v>
      </c>
      <c r="BA320" t="str">
        <f>'Ashed teabags wet'!A318</f>
        <v>G775</v>
      </c>
      <c r="BB320" t="str">
        <f>'Ashed teabags wet'!A738</f>
        <v>R531</v>
      </c>
      <c r="BC320" t="b">
        <f t="shared" si="248"/>
        <v>0</v>
      </c>
      <c r="BD320" t="b">
        <f t="shared" si="228"/>
        <v>0</v>
      </c>
      <c r="BF320" t="str">
        <f t="shared" si="249"/>
        <v>G855</v>
      </c>
      <c r="BG320" t="str">
        <f t="shared" si="250"/>
        <v>G855</v>
      </c>
      <c r="BH320" t="str">
        <f t="shared" si="251"/>
        <v>G372</v>
      </c>
      <c r="BI320" t="str">
        <f t="shared" si="269"/>
        <v>G372</v>
      </c>
      <c r="BJ320" t="s">
        <v>1195</v>
      </c>
      <c r="BK320" t="s">
        <v>1195</v>
      </c>
      <c r="BL320" t="s">
        <v>1195</v>
      </c>
      <c r="BM320" t="b">
        <f t="shared" si="270"/>
        <v>1</v>
      </c>
      <c r="BN320" t="str">
        <f t="shared" si="252"/>
        <v>R819</v>
      </c>
      <c r="BO320" t="str">
        <f t="shared" si="253"/>
        <v>R819</v>
      </c>
      <c r="BP320" t="str">
        <f t="shared" si="254"/>
        <v>R698</v>
      </c>
      <c r="BQ320" t="str">
        <f t="shared" si="255"/>
        <v>R698</v>
      </c>
      <c r="BR320" t="s">
        <v>320</v>
      </c>
      <c r="BS320" t="s">
        <v>319</v>
      </c>
      <c r="BT320" t="s">
        <v>320</v>
      </c>
      <c r="BU320" t="b">
        <f t="shared" si="271"/>
        <v>1</v>
      </c>
      <c r="BZ320" t="str">
        <f t="shared" si="256"/>
        <v>G372</v>
      </c>
      <c r="CA320" t="b">
        <f t="shared" si="257"/>
        <v>0</v>
      </c>
      <c r="CB320" t="str">
        <f t="shared" si="272"/>
        <v>G372</v>
      </c>
      <c r="CC320" t="str">
        <f t="shared" si="258"/>
        <v>R698</v>
      </c>
      <c r="CD320" t="b">
        <f t="shared" si="273"/>
        <v>0</v>
      </c>
      <c r="CE320" t="str">
        <f t="shared" si="274"/>
        <v>R698</v>
      </c>
      <c r="CG320" t="str">
        <f t="shared" si="259"/>
        <v>G774</v>
      </c>
      <c r="CH320" t="str">
        <f t="shared" si="275"/>
        <v>G774</v>
      </c>
      <c r="CI320" t="str">
        <f t="shared" si="260"/>
        <v>G545</v>
      </c>
      <c r="CJ320" t="str">
        <f t="shared" si="261"/>
        <v>G545</v>
      </c>
      <c r="CK320" t="s">
        <v>1276</v>
      </c>
      <c r="CL320" t="s">
        <v>1276</v>
      </c>
      <c r="CM320" t="s">
        <v>1276</v>
      </c>
      <c r="CN320" t="b">
        <f t="shared" si="276"/>
        <v>1</v>
      </c>
      <c r="CO320" t="str">
        <f t="shared" si="262"/>
        <v>R530</v>
      </c>
      <c r="CP320" t="str">
        <f t="shared" si="277"/>
        <v>R530</v>
      </c>
      <c r="CQ320" t="str">
        <f t="shared" si="263"/>
        <v>R588</v>
      </c>
      <c r="CR320" t="str">
        <f t="shared" si="264"/>
        <v>R588</v>
      </c>
      <c r="CS320" t="s">
        <v>611</v>
      </c>
      <c r="CT320" t="s">
        <v>1088</v>
      </c>
      <c r="CU320" t="s">
        <v>611</v>
      </c>
      <c r="CV320" t="b">
        <f t="shared" si="278"/>
        <v>1</v>
      </c>
      <c r="DC320" t="str">
        <f t="shared" si="265"/>
        <v>G545</v>
      </c>
      <c r="DD320" t="b">
        <f t="shared" si="279"/>
        <v>0</v>
      </c>
      <c r="DE320" t="str">
        <f t="shared" si="280"/>
        <v>G545</v>
      </c>
      <c r="DF320" t="str">
        <f t="shared" si="266"/>
        <v>R588</v>
      </c>
      <c r="DG320" t="b">
        <f t="shared" si="281"/>
        <v>0</v>
      </c>
      <c r="DH320" t="str">
        <f t="shared" si="282"/>
        <v>R588</v>
      </c>
    </row>
    <row r="321" spans="2:112" ht="12" customHeight="1">
      <c r="B321" t="str">
        <f>TBIDry!H393</f>
        <v>G25</v>
      </c>
      <c r="C321" t="str">
        <f>TBIDry!I393</f>
        <v>R707</v>
      </c>
      <c r="D321" t="b">
        <f t="shared" si="229"/>
        <v>0</v>
      </c>
      <c r="E321" t="b">
        <f t="shared" si="230"/>
        <v>0</v>
      </c>
      <c r="G321" t="str">
        <f>TBIWet!H393</f>
        <v>G730</v>
      </c>
      <c r="H321" t="str">
        <f>TBIWet!I393</f>
        <v>R561</v>
      </c>
      <c r="I321" t="b">
        <f t="shared" si="231"/>
        <v>0</v>
      </c>
      <c r="J321" t="b">
        <f t="shared" si="232"/>
        <v>0</v>
      </c>
      <c r="L321" t="str">
        <f>'Both teabags AfterWet'!A319</f>
        <v>G777</v>
      </c>
      <c r="M321" t="str">
        <f>'Both teabags AfterWet'!A739</f>
        <v>R532</v>
      </c>
      <c r="N321" t="b">
        <f t="shared" si="233"/>
        <v>0</v>
      </c>
      <c r="O321" t="b">
        <f t="shared" si="283"/>
        <v>0</v>
      </c>
      <c r="Q321" s="388" t="b">
        <f t="shared" si="234"/>
        <v>0</v>
      </c>
      <c r="R321" s="388" t="b">
        <f t="shared" si="235"/>
        <v>0</v>
      </c>
      <c r="T321" t="str">
        <f>'Both teabags AfterDry'!A319</f>
        <v>G862</v>
      </c>
      <c r="U321" t="str">
        <f>'Both teabags AfterDry'!A654</f>
        <v>R821</v>
      </c>
      <c r="V321" t="b">
        <f t="shared" si="236"/>
        <v>0</v>
      </c>
      <c r="W321" t="b">
        <f t="shared" si="267"/>
        <v>0</v>
      </c>
      <c r="Y321" t="str">
        <f>'Green_rooibos initial weight'!A322</f>
        <v>G318</v>
      </c>
      <c r="Z321" t="str">
        <f>'Green_rooibos initial weight'!A1226</f>
        <v>R318</v>
      </c>
      <c r="AA321" t="b">
        <f t="shared" si="237"/>
        <v>0</v>
      </c>
      <c r="AB321" t="b">
        <f t="shared" si="238"/>
        <v>0</v>
      </c>
      <c r="AE321" t="str">
        <f>'WetLitterbags placem_collection'!O100</f>
        <v>G730</v>
      </c>
      <c r="AF321" t="str">
        <f>'WetLitterbags placem_collection'!Q100</f>
        <v>R561</v>
      </c>
      <c r="AG321" t="b">
        <f t="shared" si="239"/>
        <v>0</v>
      </c>
      <c r="AH321" t="b">
        <f t="shared" si="240"/>
        <v>0</v>
      </c>
      <c r="AJ321" t="b">
        <f t="shared" si="241"/>
        <v>0</v>
      </c>
      <c r="AK321" t="b">
        <f t="shared" si="242"/>
        <v>0</v>
      </c>
      <c r="AM321" t="str">
        <f>IF(ISBLANK('Dry_Litterbag Placem_Collection'!L100),"","G"&amp;""&amp;'Dry_Litterbag Placem_Collection'!L100)</f>
        <v>G25</v>
      </c>
      <c r="AN321" t="str">
        <f>IF(ISBLANK('Dry_Litterbag Placem_Collection'!M100),"","R"&amp;""&amp;'Dry_Litterbag Placem_Collection'!M100)</f>
        <v>R707</v>
      </c>
      <c r="AO321" t="b">
        <f t="shared" si="243"/>
        <v>0</v>
      </c>
      <c r="AP321" t="b">
        <f t="shared" si="244"/>
        <v>0</v>
      </c>
      <c r="AS321" t="str">
        <f>'Ashed teabags dry'!A319</f>
        <v>G862</v>
      </c>
      <c r="AT321" t="str">
        <f>'Ashed teabags dry'!A654</f>
        <v>R821</v>
      </c>
      <c r="AU321" t="b">
        <f t="shared" si="245"/>
        <v>0</v>
      </c>
      <c r="AV321" t="b">
        <f t="shared" si="268"/>
        <v>0</v>
      </c>
      <c r="AX321" s="388" t="b">
        <f t="shared" si="246"/>
        <v>0</v>
      </c>
      <c r="AY321" s="388" t="b">
        <f t="shared" si="247"/>
        <v>0</v>
      </c>
      <c r="BA321" t="str">
        <f>'Ashed teabags wet'!A319</f>
        <v>G777</v>
      </c>
      <c r="BB321" t="str">
        <f>'Ashed teabags wet'!A739</f>
        <v>R532</v>
      </c>
      <c r="BC321" t="b">
        <f t="shared" si="248"/>
        <v>0</v>
      </c>
      <c r="BD321" t="b">
        <f t="shared" si="228"/>
        <v>0</v>
      </c>
      <c r="BF321" t="str">
        <f t="shared" si="249"/>
        <v>G86</v>
      </c>
      <c r="BG321" t="str">
        <f t="shared" si="250"/>
        <v>G86</v>
      </c>
      <c r="BH321" t="str">
        <f t="shared" si="251"/>
        <v>G3</v>
      </c>
      <c r="BI321" t="str">
        <f t="shared" si="269"/>
        <v/>
      </c>
      <c r="BJ321" t="s">
        <v>1964</v>
      </c>
      <c r="BK321" t="s">
        <v>1964</v>
      </c>
      <c r="BL321" t="s">
        <v>1964</v>
      </c>
      <c r="BM321" t="b">
        <f t="shared" si="270"/>
        <v>1</v>
      </c>
      <c r="BN321" t="str">
        <f t="shared" si="252"/>
        <v>R820</v>
      </c>
      <c r="BO321" t="str">
        <f t="shared" si="253"/>
        <v>R820</v>
      </c>
      <c r="BP321" t="str">
        <f t="shared" si="254"/>
        <v>R47</v>
      </c>
      <c r="BQ321" t="str">
        <f t="shared" si="255"/>
        <v/>
      </c>
      <c r="BR321" t="s">
        <v>319</v>
      </c>
      <c r="BS321" t="s">
        <v>318</v>
      </c>
      <c r="BT321" t="s">
        <v>319</v>
      </c>
      <c r="BU321" t="b">
        <f t="shared" si="271"/>
        <v>1</v>
      </c>
      <c r="BZ321" t="str">
        <f t="shared" si="256"/>
        <v>G3</v>
      </c>
      <c r="CA321" t="b">
        <f t="shared" si="257"/>
        <v>1</v>
      </c>
      <c r="CB321" t="str">
        <f t="shared" si="272"/>
        <v/>
      </c>
      <c r="CC321" t="str">
        <f t="shared" si="258"/>
        <v>R47</v>
      </c>
      <c r="CD321" t="b">
        <f t="shared" si="273"/>
        <v>1</v>
      </c>
      <c r="CE321" t="str">
        <f t="shared" si="274"/>
        <v/>
      </c>
      <c r="CG321" t="str">
        <f t="shared" si="259"/>
        <v>G775</v>
      </c>
      <c r="CH321" t="str">
        <f t="shared" si="275"/>
        <v>G775</v>
      </c>
      <c r="CI321" t="str">
        <f t="shared" si="260"/>
        <v>G847</v>
      </c>
      <c r="CJ321" t="str">
        <f t="shared" si="261"/>
        <v>G847</v>
      </c>
      <c r="CK321" t="s">
        <v>1275</v>
      </c>
      <c r="CL321" t="s">
        <v>1275</v>
      </c>
      <c r="CM321" t="s">
        <v>1275</v>
      </c>
      <c r="CN321" t="b">
        <f t="shared" si="276"/>
        <v>1</v>
      </c>
      <c r="CO321" t="str">
        <f t="shared" si="262"/>
        <v>R531</v>
      </c>
      <c r="CP321" t="str">
        <f t="shared" si="277"/>
        <v>R531</v>
      </c>
      <c r="CQ321" t="str">
        <f t="shared" si="263"/>
        <v>R576</v>
      </c>
      <c r="CR321" t="str">
        <f t="shared" si="264"/>
        <v>R576</v>
      </c>
      <c r="CS321" t="s">
        <v>610</v>
      </c>
      <c r="CT321" t="s">
        <v>611</v>
      </c>
      <c r="CU321" t="s">
        <v>610</v>
      </c>
      <c r="CV321" t="b">
        <f t="shared" si="278"/>
        <v>1</v>
      </c>
      <c r="DC321" t="str">
        <f t="shared" si="265"/>
        <v>G847</v>
      </c>
      <c r="DD321" t="b">
        <f t="shared" si="279"/>
        <v>0</v>
      </c>
      <c r="DE321" t="str">
        <f t="shared" si="280"/>
        <v>G847</v>
      </c>
      <c r="DF321" t="str">
        <f t="shared" si="266"/>
        <v>R576</v>
      </c>
      <c r="DG321" t="b">
        <f t="shared" si="281"/>
        <v>0</v>
      </c>
      <c r="DH321" t="str">
        <f t="shared" si="282"/>
        <v>R576</v>
      </c>
    </row>
    <row r="322" spans="2:112" ht="12" customHeight="1">
      <c r="B322" t="str">
        <f>TBIDry!H394</f>
        <v/>
      </c>
      <c r="C322" t="str">
        <f>TBIDry!I394</f>
        <v/>
      </c>
      <c r="D322" t="b">
        <f t="shared" si="229"/>
        <v>1</v>
      </c>
      <c r="E322" t="b">
        <f t="shared" si="230"/>
        <v>1</v>
      </c>
      <c r="G322" t="str">
        <f>TBIWet!H394</f>
        <v>G691</v>
      </c>
      <c r="H322" t="str">
        <f>TBIWet!I394</f>
        <v>R496</v>
      </c>
      <c r="I322" t="b">
        <f t="shared" si="231"/>
        <v>0</v>
      </c>
      <c r="J322" t="b">
        <f t="shared" si="232"/>
        <v>0</v>
      </c>
      <c r="L322" t="str">
        <f>'Both teabags AfterWet'!A320</f>
        <v>G778</v>
      </c>
      <c r="M322" t="str">
        <f>'Both teabags AfterWet'!A740</f>
        <v>R533</v>
      </c>
      <c r="N322" t="b">
        <f t="shared" si="233"/>
        <v>0</v>
      </c>
      <c r="O322" t="b">
        <f t="shared" si="283"/>
        <v>0</v>
      </c>
      <c r="Q322" s="388" t="b">
        <f t="shared" si="234"/>
        <v>0</v>
      </c>
      <c r="R322" s="388" t="b">
        <f t="shared" si="235"/>
        <v>0</v>
      </c>
      <c r="T322" t="str">
        <f>'Both teabags AfterDry'!A320</f>
        <v>G866</v>
      </c>
      <c r="U322" t="str">
        <f>'Both teabags AfterDry'!A655</f>
        <v>R823</v>
      </c>
      <c r="V322" t="b">
        <f t="shared" si="236"/>
        <v>0</v>
      </c>
      <c r="W322" t="b">
        <f t="shared" si="267"/>
        <v>0</v>
      </c>
      <c r="Y322" t="str">
        <f>'Green_rooibos initial weight'!A323</f>
        <v>G319</v>
      </c>
      <c r="Z322" t="str">
        <f>'Green_rooibos initial weight'!A1227</f>
        <v>R319</v>
      </c>
      <c r="AA322" t="b">
        <f t="shared" si="237"/>
        <v>0</v>
      </c>
      <c r="AB322" t="b">
        <f t="shared" si="238"/>
        <v>0</v>
      </c>
      <c r="AE322" t="str">
        <f>'WetLitterbags placem_collection'!O101</f>
        <v>G691</v>
      </c>
      <c r="AF322" t="str">
        <f>'WetLitterbags placem_collection'!Q101</f>
        <v>R496</v>
      </c>
      <c r="AG322" t="b">
        <f t="shared" si="239"/>
        <v>0</v>
      </c>
      <c r="AH322" t="b">
        <f t="shared" si="240"/>
        <v>0</v>
      </c>
      <c r="AJ322" t="b">
        <f t="shared" si="241"/>
        <v>0</v>
      </c>
      <c r="AK322" t="b">
        <f t="shared" si="242"/>
        <v>0</v>
      </c>
      <c r="AM322" t="str">
        <f>IF(ISBLANK('Dry_Litterbag Placem_Collection'!L101),"","G"&amp;""&amp;'Dry_Litterbag Placem_Collection'!L101)</f>
        <v/>
      </c>
      <c r="AN322" t="str">
        <f>IF(ISBLANK('Dry_Litterbag Placem_Collection'!M101),"","R"&amp;""&amp;'Dry_Litterbag Placem_Collection'!M101)</f>
        <v/>
      </c>
      <c r="AO322" t="b">
        <f t="shared" si="243"/>
        <v>1</v>
      </c>
      <c r="AP322" t="b">
        <f t="shared" si="244"/>
        <v>1</v>
      </c>
      <c r="AS322" t="str">
        <f>'Ashed teabags dry'!A320</f>
        <v>G866</v>
      </c>
      <c r="AT322" t="str">
        <f>'Ashed teabags dry'!A655</f>
        <v>R823</v>
      </c>
      <c r="AU322" t="b">
        <f t="shared" si="245"/>
        <v>0</v>
      </c>
      <c r="AV322" t="b">
        <f t="shared" si="268"/>
        <v>0</v>
      </c>
      <c r="AX322" s="388" t="b">
        <f t="shared" si="246"/>
        <v>0</v>
      </c>
      <c r="AY322" s="388" t="b">
        <f t="shared" si="247"/>
        <v>0</v>
      </c>
      <c r="BA322" t="str">
        <f>'Ashed teabags wet'!A320</f>
        <v>G778</v>
      </c>
      <c r="BB322" t="str">
        <f>'Ashed teabags wet'!A740</f>
        <v>R533</v>
      </c>
      <c r="BC322" t="b">
        <f t="shared" si="248"/>
        <v>0</v>
      </c>
      <c r="BD322" t="b">
        <f t="shared" si="228"/>
        <v>0</v>
      </c>
      <c r="BF322" t="str">
        <f t="shared" si="249"/>
        <v>G862</v>
      </c>
      <c r="BG322" t="str">
        <f t="shared" si="250"/>
        <v>G862</v>
      </c>
      <c r="BH322" t="str">
        <f t="shared" si="251"/>
        <v>G25</v>
      </c>
      <c r="BI322" t="str">
        <f t="shared" si="269"/>
        <v>G25</v>
      </c>
      <c r="BJ322" t="s">
        <v>1188</v>
      </c>
      <c r="BK322" t="s">
        <v>1188</v>
      </c>
      <c r="BL322" t="s">
        <v>1188</v>
      </c>
      <c r="BM322" t="b">
        <f t="shared" si="270"/>
        <v>1</v>
      </c>
      <c r="BN322" t="str">
        <f t="shared" si="252"/>
        <v>R821</v>
      </c>
      <c r="BO322" t="str">
        <f t="shared" si="253"/>
        <v>R821</v>
      </c>
      <c r="BP322" t="str">
        <f t="shared" si="254"/>
        <v>R707</v>
      </c>
      <c r="BQ322" t="str">
        <f t="shared" si="255"/>
        <v>R707</v>
      </c>
      <c r="BR322" t="s">
        <v>318</v>
      </c>
      <c r="BS322" t="s">
        <v>316</v>
      </c>
      <c r="BT322" t="s">
        <v>318</v>
      </c>
      <c r="BU322" t="b">
        <f t="shared" si="271"/>
        <v>1</v>
      </c>
      <c r="BZ322" t="str">
        <f t="shared" si="256"/>
        <v>G25</v>
      </c>
      <c r="CA322" t="b">
        <f t="shared" si="257"/>
        <v>0</v>
      </c>
      <c r="CB322" t="str">
        <f t="shared" si="272"/>
        <v>G25</v>
      </c>
      <c r="CC322" t="str">
        <f t="shared" si="258"/>
        <v>R707</v>
      </c>
      <c r="CD322" t="b">
        <f t="shared" si="273"/>
        <v>0</v>
      </c>
      <c r="CE322" t="str">
        <f t="shared" si="274"/>
        <v>R707</v>
      </c>
      <c r="CG322" t="str">
        <f t="shared" si="259"/>
        <v>G777</v>
      </c>
      <c r="CH322" t="str">
        <f t="shared" si="275"/>
        <v>G777</v>
      </c>
      <c r="CI322" t="str">
        <f t="shared" si="260"/>
        <v>G730</v>
      </c>
      <c r="CJ322" t="str">
        <f t="shared" si="261"/>
        <v>G730</v>
      </c>
      <c r="CK322" t="s">
        <v>1273</v>
      </c>
      <c r="CL322" t="s">
        <v>1273</v>
      </c>
      <c r="CM322" t="s">
        <v>1273</v>
      </c>
      <c r="CN322" t="b">
        <f t="shared" si="276"/>
        <v>1</v>
      </c>
      <c r="CO322" t="str">
        <f t="shared" si="262"/>
        <v>R532</v>
      </c>
      <c r="CP322" t="str">
        <f t="shared" si="277"/>
        <v>R532</v>
      </c>
      <c r="CQ322" t="str">
        <f t="shared" si="263"/>
        <v>R561</v>
      </c>
      <c r="CR322" t="str">
        <f t="shared" si="264"/>
        <v>R561</v>
      </c>
      <c r="CS322" t="s">
        <v>609</v>
      </c>
      <c r="CT322" t="s">
        <v>610</v>
      </c>
      <c r="CU322" t="s">
        <v>609</v>
      </c>
      <c r="CV322" t="b">
        <f t="shared" si="278"/>
        <v>1</v>
      </c>
      <c r="DC322" t="str">
        <f t="shared" si="265"/>
        <v>G730</v>
      </c>
      <c r="DD322" t="b">
        <f t="shared" si="279"/>
        <v>0</v>
      </c>
      <c r="DE322" t="str">
        <f t="shared" si="280"/>
        <v>G730</v>
      </c>
      <c r="DF322" t="str">
        <f t="shared" si="266"/>
        <v>R561</v>
      </c>
      <c r="DG322" t="b">
        <f t="shared" si="281"/>
        <v>0</v>
      </c>
      <c r="DH322" t="str">
        <f t="shared" si="282"/>
        <v>R561</v>
      </c>
    </row>
    <row r="323" spans="2:112" ht="12" customHeight="1">
      <c r="B323" t="str">
        <f>TBIDry!H395</f>
        <v>G187</v>
      </c>
      <c r="C323" t="str">
        <f>TBIDry!I395</f>
        <v>R641</v>
      </c>
      <c r="D323" t="b">
        <f t="shared" si="229"/>
        <v>0</v>
      </c>
      <c r="E323" t="b">
        <f t="shared" si="230"/>
        <v>0</v>
      </c>
      <c r="G323" t="str">
        <f>TBIWet!H395</f>
        <v>G828</v>
      </c>
      <c r="H323" t="str">
        <f>TBIWet!I395</f>
        <v>R497</v>
      </c>
      <c r="I323" t="b">
        <f t="shared" si="231"/>
        <v>0</v>
      </c>
      <c r="J323" t="b">
        <f t="shared" si="232"/>
        <v>0</v>
      </c>
      <c r="L323" t="str">
        <f>'Both teabags AfterWet'!A321</f>
        <v>G779</v>
      </c>
      <c r="M323" t="str">
        <f>'Both teabags AfterWet'!A741</f>
        <v>R534</v>
      </c>
      <c r="N323" t="b">
        <f t="shared" si="233"/>
        <v>0</v>
      </c>
      <c r="O323" t="b">
        <f t="shared" si="283"/>
        <v>0</v>
      </c>
      <c r="Q323" s="388" t="b">
        <f t="shared" si="234"/>
        <v>0</v>
      </c>
      <c r="R323" s="388" t="b">
        <f t="shared" si="235"/>
        <v>0</v>
      </c>
      <c r="T323" t="str">
        <f>'Both teabags AfterDry'!A321</f>
        <v>G868</v>
      </c>
      <c r="U323" t="str">
        <f>'Both teabags AfterDry'!A656</f>
        <v>R824</v>
      </c>
      <c r="V323" t="b">
        <f t="shared" si="236"/>
        <v>0</v>
      </c>
      <c r="W323" t="b">
        <f t="shared" si="267"/>
        <v>0</v>
      </c>
      <c r="Y323" t="str">
        <f>'Green_rooibos initial weight'!A324</f>
        <v>G320</v>
      </c>
      <c r="Z323" t="str">
        <f>'Green_rooibos initial weight'!A1228</f>
        <v>R320</v>
      </c>
      <c r="AA323" t="b">
        <f t="shared" si="237"/>
        <v>0</v>
      </c>
      <c r="AB323" t="b">
        <f t="shared" si="238"/>
        <v>0</v>
      </c>
      <c r="AE323" t="str">
        <f>'WetLitterbags placem_collection'!O102</f>
        <v>G828</v>
      </c>
      <c r="AF323" t="str">
        <f>'WetLitterbags placem_collection'!Q102</f>
        <v>R497</v>
      </c>
      <c r="AG323" t="b">
        <f t="shared" si="239"/>
        <v>0</v>
      </c>
      <c r="AH323" t="b">
        <f t="shared" si="240"/>
        <v>0</v>
      </c>
      <c r="AJ323" t="b">
        <f t="shared" si="241"/>
        <v>0</v>
      </c>
      <c r="AK323" t="b">
        <f t="shared" si="242"/>
        <v>0</v>
      </c>
      <c r="AM323" t="str">
        <f>IF(ISBLANK('Dry_Litterbag Placem_Collection'!L102),"","G"&amp;""&amp;'Dry_Litterbag Placem_Collection'!L102)</f>
        <v>G187</v>
      </c>
      <c r="AN323" t="str">
        <f>IF(ISBLANK('Dry_Litterbag Placem_Collection'!M102),"","R"&amp;""&amp;'Dry_Litterbag Placem_Collection'!M102)</f>
        <v>R641</v>
      </c>
      <c r="AO323" t="b">
        <f t="shared" si="243"/>
        <v>0</v>
      </c>
      <c r="AP323" t="b">
        <f t="shared" si="244"/>
        <v>0</v>
      </c>
      <c r="AS323" t="str">
        <f>'Ashed teabags dry'!A321</f>
        <v>G868</v>
      </c>
      <c r="AT323" t="str">
        <f>'Ashed teabags dry'!A656</f>
        <v>R824</v>
      </c>
      <c r="AU323" t="b">
        <f t="shared" si="245"/>
        <v>0</v>
      </c>
      <c r="AV323" t="b">
        <f t="shared" si="268"/>
        <v>0</v>
      </c>
      <c r="AX323" s="388" t="b">
        <f t="shared" si="246"/>
        <v>0</v>
      </c>
      <c r="AY323" s="388" t="b">
        <f t="shared" si="247"/>
        <v>0</v>
      </c>
      <c r="BA323" t="str">
        <f>'Ashed teabags wet'!A321</f>
        <v>G779</v>
      </c>
      <c r="BB323" t="str">
        <f>'Ashed teabags wet'!A741</f>
        <v>R534</v>
      </c>
      <c r="BC323" t="b">
        <f t="shared" si="248"/>
        <v>0</v>
      </c>
      <c r="BD323" t="b">
        <f t="shared" si="228"/>
        <v>0</v>
      </c>
      <c r="BF323" t="str">
        <f t="shared" si="249"/>
        <v>G866</v>
      </c>
      <c r="BG323" t="str">
        <f t="shared" si="250"/>
        <v>G866</v>
      </c>
      <c r="BH323" t="str">
        <f t="shared" si="251"/>
        <v/>
      </c>
      <c r="BI323" t="str">
        <f t="shared" si="269"/>
        <v/>
      </c>
      <c r="BJ323" t="s">
        <v>1184</v>
      </c>
      <c r="BK323" t="s">
        <v>1184</v>
      </c>
      <c r="BL323" t="s">
        <v>1184</v>
      </c>
      <c r="BM323" t="b">
        <f t="shared" si="270"/>
        <v>1</v>
      </c>
      <c r="BN323" t="str">
        <f t="shared" si="252"/>
        <v>R823</v>
      </c>
      <c r="BO323" t="str">
        <f t="shared" si="253"/>
        <v>R823</v>
      </c>
      <c r="BP323" t="str">
        <f t="shared" si="254"/>
        <v/>
      </c>
      <c r="BQ323" t="str">
        <f t="shared" si="255"/>
        <v/>
      </c>
      <c r="BR323" t="s">
        <v>316</v>
      </c>
      <c r="BS323" t="s">
        <v>315</v>
      </c>
      <c r="BT323" t="s">
        <v>316</v>
      </c>
      <c r="BU323" t="b">
        <f t="shared" si="271"/>
        <v>1</v>
      </c>
      <c r="BZ323" t="str">
        <f t="shared" si="256"/>
        <v/>
      </c>
      <c r="CA323" t="b">
        <f t="shared" si="257"/>
        <v>0</v>
      </c>
      <c r="CB323" t="str">
        <f t="shared" si="272"/>
        <v/>
      </c>
      <c r="CC323" t="str">
        <f t="shared" si="258"/>
        <v/>
      </c>
      <c r="CD323" t="b">
        <f t="shared" si="273"/>
        <v>0</v>
      </c>
      <c r="CE323" t="str">
        <f t="shared" si="274"/>
        <v/>
      </c>
      <c r="CG323" t="str">
        <f t="shared" si="259"/>
        <v>G778</v>
      </c>
      <c r="CH323" t="str">
        <f t="shared" si="275"/>
        <v>G778</v>
      </c>
      <c r="CI323" t="str">
        <f t="shared" si="260"/>
        <v>G691</v>
      </c>
      <c r="CJ323" t="str">
        <f t="shared" si="261"/>
        <v>G691</v>
      </c>
      <c r="CK323" t="s">
        <v>1272</v>
      </c>
      <c r="CL323" t="s">
        <v>1272</v>
      </c>
      <c r="CM323" t="s">
        <v>1272</v>
      </c>
      <c r="CN323" t="b">
        <f t="shared" si="276"/>
        <v>1</v>
      </c>
      <c r="CO323" t="str">
        <f t="shared" si="262"/>
        <v>R533</v>
      </c>
      <c r="CP323" t="str">
        <f t="shared" si="277"/>
        <v>R533</v>
      </c>
      <c r="CQ323" t="str">
        <f t="shared" si="263"/>
        <v>R496</v>
      </c>
      <c r="CR323" t="str">
        <f t="shared" si="264"/>
        <v>R496</v>
      </c>
      <c r="CS323" t="s">
        <v>608</v>
      </c>
      <c r="CT323" t="s">
        <v>609</v>
      </c>
      <c r="CU323" t="s">
        <v>608</v>
      </c>
      <c r="CV323" t="b">
        <f t="shared" si="278"/>
        <v>1</v>
      </c>
      <c r="DC323" t="str">
        <f t="shared" si="265"/>
        <v>G691</v>
      </c>
      <c r="DD323" t="b">
        <f t="shared" si="279"/>
        <v>0</v>
      </c>
      <c r="DE323" t="str">
        <f t="shared" si="280"/>
        <v>G691</v>
      </c>
      <c r="DF323" t="str">
        <f t="shared" si="266"/>
        <v>R496</v>
      </c>
      <c r="DG323" t="b">
        <f t="shared" si="281"/>
        <v>0</v>
      </c>
      <c r="DH323" t="str">
        <f t="shared" si="282"/>
        <v>R496</v>
      </c>
    </row>
    <row r="324" spans="2:112" ht="12" customHeight="1">
      <c r="B324" t="str">
        <f>TBIDry!H396</f>
        <v>G398</v>
      </c>
      <c r="C324" t="str">
        <f>TBIDry!I396</f>
        <v>R245</v>
      </c>
      <c r="D324" t="b">
        <f t="shared" si="229"/>
        <v>0</v>
      </c>
      <c r="E324" t="b">
        <f t="shared" si="230"/>
        <v>0</v>
      </c>
      <c r="G324" t="str">
        <f>TBIWet!H396</f>
        <v>G875</v>
      </c>
      <c r="H324" t="str">
        <f>TBIWet!I396</f>
        <v>R10</v>
      </c>
      <c r="I324" t="b">
        <f t="shared" si="231"/>
        <v>0</v>
      </c>
      <c r="J324" t="b">
        <f t="shared" si="232"/>
        <v>0</v>
      </c>
      <c r="L324" t="str">
        <f>'Both teabags AfterWet'!A322</f>
        <v>G781</v>
      </c>
      <c r="M324" t="str">
        <f>'Both teabags AfterWet'!A742</f>
        <v>R535</v>
      </c>
      <c r="N324" t="b">
        <f t="shared" si="233"/>
        <v>0</v>
      </c>
      <c r="O324" t="b">
        <f t="shared" si="283"/>
        <v>0</v>
      </c>
      <c r="Q324" s="388" t="b">
        <f t="shared" si="234"/>
        <v>0</v>
      </c>
      <c r="R324" s="388" t="b">
        <f t="shared" si="235"/>
        <v>0</v>
      </c>
      <c r="T324" t="str">
        <f>'Both teabags AfterDry'!A322</f>
        <v>G870</v>
      </c>
      <c r="U324" t="str">
        <f>'Both teabags AfterDry'!A657</f>
        <v>R825</v>
      </c>
      <c r="V324" t="b">
        <f t="shared" si="236"/>
        <v>0</v>
      </c>
      <c r="W324" t="b">
        <f t="shared" si="267"/>
        <v>0</v>
      </c>
      <c r="Y324" t="str">
        <f>'Green_rooibos initial weight'!A325</f>
        <v>G321</v>
      </c>
      <c r="Z324" t="str">
        <f>'Green_rooibos initial weight'!A1229</f>
        <v>R321</v>
      </c>
      <c r="AA324" t="b">
        <f t="shared" si="237"/>
        <v>0</v>
      </c>
      <c r="AB324" t="b">
        <f t="shared" si="238"/>
        <v>0</v>
      </c>
      <c r="AE324" t="str">
        <f>'WetLitterbags placem_collection'!O103</f>
        <v>G875</v>
      </c>
      <c r="AF324" t="str">
        <f>'WetLitterbags placem_collection'!Q103</f>
        <v>R10</v>
      </c>
      <c r="AG324" t="b">
        <f t="shared" si="239"/>
        <v>0</v>
      </c>
      <c r="AH324" t="b">
        <f t="shared" si="240"/>
        <v>0</v>
      </c>
      <c r="AJ324" t="b">
        <f t="shared" si="241"/>
        <v>0</v>
      </c>
      <c r="AK324" t="b">
        <f t="shared" si="242"/>
        <v>0</v>
      </c>
      <c r="AM324" t="str">
        <f>IF(ISBLANK('Dry_Litterbag Placem_Collection'!L103),"","G"&amp;""&amp;'Dry_Litterbag Placem_Collection'!L103)</f>
        <v>G398</v>
      </c>
      <c r="AN324" t="str">
        <f>IF(ISBLANK('Dry_Litterbag Placem_Collection'!M103),"","R"&amp;""&amp;'Dry_Litterbag Placem_Collection'!M103)</f>
        <v>R245</v>
      </c>
      <c r="AO324" t="b">
        <f t="shared" si="243"/>
        <v>0</v>
      </c>
      <c r="AP324" t="b">
        <f t="shared" si="244"/>
        <v>0</v>
      </c>
      <c r="AS324" t="str">
        <f>'Ashed teabags dry'!A322</f>
        <v>G870</v>
      </c>
      <c r="AT324" t="str">
        <f>'Ashed teabags dry'!A657</f>
        <v>R825</v>
      </c>
      <c r="AU324" t="b">
        <f t="shared" si="245"/>
        <v>0</v>
      </c>
      <c r="AV324" t="b">
        <f t="shared" si="268"/>
        <v>0</v>
      </c>
      <c r="AX324" s="388" t="b">
        <f t="shared" si="246"/>
        <v>0</v>
      </c>
      <c r="AY324" s="388" t="b">
        <f t="shared" si="247"/>
        <v>0</v>
      </c>
      <c r="BA324" t="str">
        <f>'Ashed teabags wet'!A322</f>
        <v>G781</v>
      </c>
      <c r="BB324" t="str">
        <f>'Ashed teabags wet'!A742</f>
        <v>R535</v>
      </c>
      <c r="BC324" t="b">
        <f t="shared" si="248"/>
        <v>0</v>
      </c>
      <c r="BD324" t="b">
        <f t="shared" ref="BD324:BD387" si="284">COUNTIF($BB$4:$BB$2000, BB324)&gt;1</f>
        <v>0</v>
      </c>
      <c r="BF324" t="str">
        <f t="shared" si="249"/>
        <v>G868</v>
      </c>
      <c r="BG324" t="str">
        <f t="shared" si="250"/>
        <v>G868</v>
      </c>
      <c r="BH324" t="str">
        <f t="shared" si="251"/>
        <v>G187</v>
      </c>
      <c r="BI324" t="str">
        <f t="shared" si="269"/>
        <v>G187</v>
      </c>
      <c r="BJ324" t="s">
        <v>1182</v>
      </c>
      <c r="BK324" t="s">
        <v>1182</v>
      </c>
      <c r="BL324" t="s">
        <v>1182</v>
      </c>
      <c r="BM324" t="b">
        <f t="shared" si="270"/>
        <v>1</v>
      </c>
      <c r="BN324" t="str">
        <f t="shared" si="252"/>
        <v>R824</v>
      </c>
      <c r="BO324" t="str">
        <f t="shared" si="253"/>
        <v>R824</v>
      </c>
      <c r="BP324" t="str">
        <f t="shared" si="254"/>
        <v>R641</v>
      </c>
      <c r="BQ324" t="str">
        <f t="shared" si="255"/>
        <v>R641</v>
      </c>
      <c r="BR324" t="s">
        <v>315</v>
      </c>
      <c r="BS324" t="s">
        <v>314</v>
      </c>
      <c r="BT324" t="s">
        <v>315</v>
      </c>
      <c r="BU324" t="b">
        <f t="shared" si="271"/>
        <v>1</v>
      </c>
      <c r="BZ324" t="str">
        <f t="shared" si="256"/>
        <v>G187</v>
      </c>
      <c r="CA324" t="b">
        <f t="shared" si="257"/>
        <v>0</v>
      </c>
      <c r="CB324" t="str">
        <f t="shared" si="272"/>
        <v>G187</v>
      </c>
      <c r="CC324" t="str">
        <f t="shared" si="258"/>
        <v>R641</v>
      </c>
      <c r="CD324" t="b">
        <f t="shared" si="273"/>
        <v>0</v>
      </c>
      <c r="CE324" t="str">
        <f t="shared" si="274"/>
        <v>R641</v>
      </c>
      <c r="CG324" t="str">
        <f t="shared" si="259"/>
        <v>G779</v>
      </c>
      <c r="CH324" t="str">
        <f t="shared" si="275"/>
        <v>G779</v>
      </c>
      <c r="CI324" t="str">
        <f t="shared" si="260"/>
        <v>G828</v>
      </c>
      <c r="CJ324" t="str">
        <f t="shared" si="261"/>
        <v>G828</v>
      </c>
      <c r="CK324" t="s">
        <v>1271</v>
      </c>
      <c r="CL324" t="s">
        <v>1271</v>
      </c>
      <c r="CM324" t="s">
        <v>1271</v>
      </c>
      <c r="CN324" t="b">
        <f t="shared" si="276"/>
        <v>1</v>
      </c>
      <c r="CO324" t="str">
        <f t="shared" si="262"/>
        <v>R534</v>
      </c>
      <c r="CP324" t="str">
        <f t="shared" si="277"/>
        <v>R534</v>
      </c>
      <c r="CQ324" t="str">
        <f t="shared" si="263"/>
        <v>R497</v>
      </c>
      <c r="CR324" t="str">
        <f t="shared" si="264"/>
        <v>R497</v>
      </c>
      <c r="CS324" t="s">
        <v>607</v>
      </c>
      <c r="CT324" t="s">
        <v>608</v>
      </c>
      <c r="CU324" t="s">
        <v>607</v>
      </c>
      <c r="CV324" t="b">
        <f t="shared" si="278"/>
        <v>1</v>
      </c>
      <c r="DC324" t="str">
        <f t="shared" si="265"/>
        <v>G828</v>
      </c>
      <c r="DD324" t="b">
        <f t="shared" si="279"/>
        <v>0</v>
      </c>
      <c r="DE324" t="str">
        <f t="shared" si="280"/>
        <v>G828</v>
      </c>
      <c r="DF324" t="str">
        <f t="shared" si="266"/>
        <v>R497</v>
      </c>
      <c r="DG324" t="b">
        <f t="shared" si="281"/>
        <v>0</v>
      </c>
      <c r="DH324" t="str">
        <f t="shared" si="282"/>
        <v>R497</v>
      </c>
    </row>
    <row r="325" spans="2:112" ht="12" customHeight="1">
      <c r="B325" t="str">
        <f>TBIDry!H397</f>
        <v>G120</v>
      </c>
      <c r="C325" t="str">
        <f>TBIDry!I397</f>
        <v>R714</v>
      </c>
      <c r="D325" s="113" t="b">
        <f t="shared" ref="D325:D388" si="285">COUNTIF($B$4:$B$2000, B325)&gt;1</f>
        <v>0</v>
      </c>
      <c r="E325" t="b">
        <f t="shared" ref="E325:E388" si="286">COUNTIF($C$4:$C$2000, C325)&gt;1</f>
        <v>0</v>
      </c>
      <c r="G325" t="str">
        <f>TBIWet!H397</f>
        <v>G824</v>
      </c>
      <c r="H325" t="str">
        <f>TBIWet!I397</f>
        <v>R26</v>
      </c>
      <c r="I325" t="b">
        <f t="shared" ref="I325:I388" si="287">COUNTIF($G$4:$G$2000, G325)&gt;1</f>
        <v>0</v>
      </c>
      <c r="J325" t="b">
        <f t="shared" ref="J325:J388" si="288">COUNTIF($H$4:$H$2000, H325)&gt;1</f>
        <v>0</v>
      </c>
      <c r="L325" t="str">
        <f>'Both teabags AfterWet'!A323</f>
        <v>G782</v>
      </c>
      <c r="M325" t="str">
        <f>'Both teabags AfterWet'!A743</f>
        <v>R536</v>
      </c>
      <c r="N325" t="b">
        <f t="shared" ref="N325:N388" si="289">COUNTIF($L$4:$L$2000, L325)&gt;1</f>
        <v>0</v>
      </c>
      <c r="O325" t="b">
        <f t="shared" si="283"/>
        <v>0</v>
      </c>
      <c r="Q325" s="388" t="b">
        <f t="shared" ref="Q325:Q388" si="290">COUNTIF($T$4:$T$2000, L325)=1</f>
        <v>0</v>
      </c>
      <c r="R325" s="388" t="b">
        <f t="shared" ref="R325:R388" si="291" xml:space="preserve"> COUNTIF($U$4:$U$2000,M325)=1</f>
        <v>0</v>
      </c>
      <c r="T325" t="str">
        <f>'Both teabags AfterDry'!A323</f>
        <v>G872</v>
      </c>
      <c r="U325" t="str">
        <f>'Both teabags AfterDry'!A658</f>
        <v>R826</v>
      </c>
      <c r="V325" t="b">
        <f t="shared" ref="V325:V346" si="292">COUNTIF($T$4:$T$2000, T325)&gt;1</f>
        <v>0</v>
      </c>
      <c r="W325" t="b">
        <f t="shared" si="267"/>
        <v>0</v>
      </c>
      <c r="Y325" t="str">
        <f>'Green_rooibos initial weight'!A326</f>
        <v>G322</v>
      </c>
      <c r="Z325" t="str">
        <f>'Green_rooibos initial weight'!A1230</f>
        <v>R322</v>
      </c>
      <c r="AA325" t="b">
        <f t="shared" ref="AA325:AA388" si="293">COUNTIF($Y$4:$Y$2000, Y325)&gt;1</f>
        <v>0</v>
      </c>
      <c r="AB325" t="b">
        <f t="shared" ref="AB325:AB388" si="294">COUNTIF($Z$4:$Z$2000, Z325)&gt;1</f>
        <v>0</v>
      </c>
      <c r="AE325" t="str">
        <f>'WetLitterbags placem_collection'!O104</f>
        <v>G824</v>
      </c>
      <c r="AF325" t="str">
        <f>'WetLitterbags placem_collection'!Q104</f>
        <v>R26</v>
      </c>
      <c r="AG325" t="b">
        <f t="shared" ref="AG325:AG388" si="295">COUNTIF($AE$4:$AE$2000, AE325)&gt;1</f>
        <v>0</v>
      </c>
      <c r="AH325" t="b">
        <f t="shared" ref="AH325:AH388" si="296">COUNTIF($AF$4:$AF$2000, AF325)&gt;1</f>
        <v>0</v>
      </c>
      <c r="AJ325" t="b">
        <f t="shared" ref="AJ325:AJ388" si="297">COUNTIF($AM$4:$AM$2000, AE325)=1</f>
        <v>0</v>
      </c>
      <c r="AK325" t="b">
        <f t="shared" ref="AK325:AK388" si="298">COUNTIF($AN$4:$AN$2000, AF325)=1</f>
        <v>0</v>
      </c>
      <c r="AM325" t="str">
        <f>IF(ISBLANK('Dry_Litterbag Placem_Collection'!L104),"","G"&amp;""&amp;'Dry_Litterbag Placem_Collection'!L104)</f>
        <v>G120</v>
      </c>
      <c r="AN325" t="str">
        <f>IF(ISBLANK('Dry_Litterbag Placem_Collection'!M104),"","R"&amp;""&amp;'Dry_Litterbag Placem_Collection'!M104)</f>
        <v>R714</v>
      </c>
      <c r="AO325" t="b">
        <f t="shared" ref="AO325:AO388" si="299">COUNTIF($AM$4:$AM$2000, AM325)&gt;1</f>
        <v>0</v>
      </c>
      <c r="AP325" t="b">
        <f t="shared" ref="AP325:AP388" si="300">COUNTIF($AN$4:$AN$2000, AN325)&gt;1</f>
        <v>0</v>
      </c>
      <c r="AS325" t="str">
        <f>'Ashed teabags dry'!A323</f>
        <v>G872</v>
      </c>
      <c r="AT325" t="str">
        <f>'Ashed teabags dry'!A658</f>
        <v>R826</v>
      </c>
      <c r="AU325" t="b">
        <f t="shared" ref="AU325:AU338" si="301">COUNTIF($AS$4:$AS$2000, AS325)&gt;1</f>
        <v>0</v>
      </c>
      <c r="AV325" t="b">
        <f t="shared" si="268"/>
        <v>0</v>
      </c>
      <c r="AX325" s="388" t="b">
        <f t="shared" ref="AX325:AX388" si="302">COUNTIF($BA$4:$BA$2000, AS325)=1</f>
        <v>0</v>
      </c>
      <c r="AY325" s="388" t="b">
        <f t="shared" ref="AY325:AY388" si="303">COUNTIF($BB$4:$BB$2000, AT325)=1</f>
        <v>0</v>
      </c>
      <c r="BA325" t="str">
        <f>'Ashed teabags wet'!A323</f>
        <v>G782</v>
      </c>
      <c r="BB325" t="str">
        <f>'Ashed teabags wet'!A743</f>
        <v>R536</v>
      </c>
      <c r="BC325" t="b">
        <f t="shared" ref="BC325:BC388" si="304">COUNTIF($BA$4:$BA$2000, BA325)&gt;1</f>
        <v>0</v>
      </c>
      <c r="BD325" t="b">
        <f t="shared" si="284"/>
        <v>0</v>
      </c>
      <c r="BF325" t="str">
        <f t="shared" ref="BF325:BF339" si="305">AS324</f>
        <v>G870</v>
      </c>
      <c r="BG325" t="str">
        <f t="shared" ref="BG325:BG339" si="306">T324</f>
        <v>G870</v>
      </c>
      <c r="BH325" t="str">
        <f t="shared" ref="BH325:BH388" si="307">B324</f>
        <v>G398</v>
      </c>
      <c r="BI325" t="str">
        <f t="shared" si="269"/>
        <v>G398</v>
      </c>
      <c r="BJ325" t="s">
        <v>1180</v>
      </c>
      <c r="BK325" t="s">
        <v>1180</v>
      </c>
      <c r="BL325" t="s">
        <v>1180</v>
      </c>
      <c r="BM325" t="b">
        <f t="shared" si="270"/>
        <v>1</v>
      </c>
      <c r="BN325" t="str">
        <f t="shared" ref="BN325:BN339" si="308">AT324</f>
        <v>R825</v>
      </c>
      <c r="BO325" t="str">
        <f t="shared" ref="BO325:BO339" si="309">U324</f>
        <v>R825</v>
      </c>
      <c r="BP325" t="str">
        <f t="shared" ref="BP325:BP388" si="310">C324</f>
        <v>R245</v>
      </c>
      <c r="BQ325" t="str">
        <f t="shared" ref="BQ325:BQ388" si="311">CE325</f>
        <v>R245</v>
      </c>
      <c r="BR325" t="s">
        <v>314</v>
      </c>
      <c r="BS325" t="s">
        <v>313</v>
      </c>
      <c r="BT325" t="s">
        <v>314</v>
      </c>
      <c r="BU325" t="b">
        <f t="shared" si="271"/>
        <v>1</v>
      </c>
      <c r="BZ325" t="str">
        <f t="shared" ref="BZ325:BZ388" si="312">BH325</f>
        <v>G398</v>
      </c>
      <c r="CA325" t="b">
        <f t="shared" ref="CA325:CA388" si="313">COUNTIF($BV$5:$BV$2000, BZ325)=1</f>
        <v>0</v>
      </c>
      <c r="CB325" t="str">
        <f t="shared" si="272"/>
        <v>G398</v>
      </c>
      <c r="CC325" t="str">
        <f t="shared" ref="CC325:CC388" si="314">BP325</f>
        <v>R245</v>
      </c>
      <c r="CD325" t="b">
        <f t="shared" si="273"/>
        <v>0</v>
      </c>
      <c r="CE325" t="str">
        <f t="shared" si="274"/>
        <v>R245</v>
      </c>
      <c r="CG325" t="str">
        <f t="shared" ref="CG325:CG388" si="315">BA324</f>
        <v>G781</v>
      </c>
      <c r="CH325" t="str">
        <f t="shared" si="275"/>
        <v>G781</v>
      </c>
      <c r="CI325" t="str">
        <f t="shared" ref="CI325:CI388" si="316">AE324</f>
        <v>G875</v>
      </c>
      <c r="CJ325" t="str">
        <f t="shared" ref="CJ325:CJ388" si="317">DE325</f>
        <v>G875</v>
      </c>
      <c r="CK325" t="s">
        <v>1269</v>
      </c>
      <c r="CL325" t="s">
        <v>1269</v>
      </c>
      <c r="CM325" t="s">
        <v>1269</v>
      </c>
      <c r="CN325" t="b">
        <f t="shared" si="276"/>
        <v>1</v>
      </c>
      <c r="CO325" t="str">
        <f t="shared" ref="CO325:CO388" si="318">BB324</f>
        <v>R535</v>
      </c>
      <c r="CP325" t="str">
        <f t="shared" si="277"/>
        <v>R535</v>
      </c>
      <c r="CQ325" t="str">
        <f t="shared" ref="CQ325:CQ388" si="319">AF324</f>
        <v>R10</v>
      </c>
      <c r="CR325" t="str">
        <f t="shared" ref="CR325:CR388" si="320">DH325</f>
        <v>R10</v>
      </c>
      <c r="CS325" t="s">
        <v>606</v>
      </c>
      <c r="CT325" t="s">
        <v>607</v>
      </c>
      <c r="CU325" t="s">
        <v>606</v>
      </c>
      <c r="CV325" t="b">
        <f t="shared" si="278"/>
        <v>1</v>
      </c>
      <c r="DC325" t="str">
        <f t="shared" ref="DC325:DC388" si="321">CI325</f>
        <v>G875</v>
      </c>
      <c r="DD325" t="b">
        <f t="shared" si="279"/>
        <v>0</v>
      </c>
      <c r="DE325" t="str">
        <f t="shared" si="280"/>
        <v>G875</v>
      </c>
      <c r="DF325" t="str">
        <f t="shared" ref="DF325:DF388" si="322">CQ325</f>
        <v>R10</v>
      </c>
      <c r="DG325" t="b">
        <f t="shared" si="281"/>
        <v>0</v>
      </c>
      <c r="DH325" t="str">
        <f t="shared" si="282"/>
        <v>R10</v>
      </c>
    </row>
    <row r="326" spans="2:112" ht="12" customHeight="1">
      <c r="B326" t="str">
        <f>TBIDry!H398</f>
        <v>G145</v>
      </c>
      <c r="C326" t="str">
        <f>TBIDry!I398</f>
        <v>R701</v>
      </c>
      <c r="D326" t="b">
        <f t="shared" si="285"/>
        <v>0</v>
      </c>
      <c r="E326" t="b">
        <f t="shared" si="286"/>
        <v>0</v>
      </c>
      <c r="G326" t="str">
        <f>TBIWet!H398</f>
        <v>G692</v>
      </c>
      <c r="H326" t="str">
        <f>TBIWet!I398</f>
        <v>R494</v>
      </c>
      <c r="I326" t="b">
        <f t="shared" si="287"/>
        <v>0</v>
      </c>
      <c r="J326" t="b">
        <f t="shared" si="288"/>
        <v>0</v>
      </c>
      <c r="L326" t="str">
        <f>'Both teabags AfterWet'!A324</f>
        <v>G783</v>
      </c>
      <c r="M326" t="str">
        <f>'Both teabags AfterWet'!A744</f>
        <v>R537</v>
      </c>
      <c r="N326" t="b">
        <f t="shared" si="289"/>
        <v>0</v>
      </c>
      <c r="O326" t="b">
        <f t="shared" si="283"/>
        <v>0</v>
      </c>
      <c r="Q326" s="388" t="b">
        <f t="shared" si="290"/>
        <v>0</v>
      </c>
      <c r="R326" s="388" t="b">
        <f t="shared" si="291"/>
        <v>0</v>
      </c>
      <c r="T326" t="str">
        <f>'Both teabags AfterDry'!A324</f>
        <v>G873</v>
      </c>
      <c r="U326" t="str">
        <f>'Both teabags AfterDry'!A659</f>
        <v>R828</v>
      </c>
      <c r="V326" t="b">
        <f t="shared" si="292"/>
        <v>0</v>
      </c>
      <c r="W326" t="b">
        <f t="shared" ref="W326:W346" si="323">COUNTIF($U$4:$U$2000, U326)&gt;1</f>
        <v>0</v>
      </c>
      <c r="Y326" t="str">
        <f>'Green_rooibos initial weight'!A327</f>
        <v>G323</v>
      </c>
      <c r="Z326" t="str">
        <f>'Green_rooibos initial weight'!A1231</f>
        <v>R323</v>
      </c>
      <c r="AA326" t="b">
        <f t="shared" si="293"/>
        <v>0</v>
      </c>
      <c r="AB326" t="b">
        <f t="shared" si="294"/>
        <v>0</v>
      </c>
      <c r="AE326" t="str">
        <f>'WetLitterbags placem_collection'!O105</f>
        <v>G692</v>
      </c>
      <c r="AF326" t="str">
        <f>'WetLitterbags placem_collection'!Q105</f>
        <v>R494</v>
      </c>
      <c r="AG326" t="b">
        <f t="shared" si="295"/>
        <v>0</v>
      </c>
      <c r="AH326" t="b">
        <f t="shared" si="296"/>
        <v>0</v>
      </c>
      <c r="AJ326" t="b">
        <f t="shared" si="297"/>
        <v>0</v>
      </c>
      <c r="AK326" t="b">
        <f t="shared" si="298"/>
        <v>0</v>
      </c>
      <c r="AM326" t="str">
        <f>IF(ISBLANK('Dry_Litterbag Placem_Collection'!L105),"","G"&amp;""&amp;'Dry_Litterbag Placem_Collection'!L105)</f>
        <v>G145</v>
      </c>
      <c r="AN326" t="str">
        <f>IF(ISBLANK('Dry_Litterbag Placem_Collection'!M105),"","R"&amp;""&amp;'Dry_Litterbag Placem_Collection'!M105)</f>
        <v>R701</v>
      </c>
      <c r="AO326" t="b">
        <f t="shared" si="299"/>
        <v>0</v>
      </c>
      <c r="AP326" t="b">
        <f t="shared" si="300"/>
        <v>0</v>
      </c>
      <c r="AS326" t="str">
        <f>'Ashed teabags dry'!A324</f>
        <v>G873</v>
      </c>
      <c r="AT326" t="str">
        <f>'Ashed teabags dry'!A659</f>
        <v>R828</v>
      </c>
      <c r="AU326" t="b">
        <f t="shared" si="301"/>
        <v>0</v>
      </c>
      <c r="AV326" t="b">
        <f t="shared" ref="AV326:AV340" si="324">COUNTIF($AT$4:$AT$2000, AT326)&gt;1</f>
        <v>0</v>
      </c>
      <c r="AX326" s="388" t="b">
        <f t="shared" si="302"/>
        <v>0</v>
      </c>
      <c r="AY326" s="388" t="b">
        <f t="shared" si="303"/>
        <v>0</v>
      </c>
      <c r="BA326" t="str">
        <f>'Ashed teabags wet'!A324</f>
        <v>G783</v>
      </c>
      <c r="BB326" t="str">
        <f>'Ashed teabags wet'!A744</f>
        <v>R537</v>
      </c>
      <c r="BC326" t="b">
        <f t="shared" si="304"/>
        <v>0</v>
      </c>
      <c r="BD326" t="b">
        <f t="shared" si="284"/>
        <v>0</v>
      </c>
      <c r="BF326" t="str">
        <f t="shared" si="305"/>
        <v>G872</v>
      </c>
      <c r="BG326" t="str">
        <f t="shared" si="306"/>
        <v>G872</v>
      </c>
      <c r="BH326" t="str">
        <f t="shared" si="307"/>
        <v>G120</v>
      </c>
      <c r="BI326" t="str">
        <f t="shared" ref="BI326:BI389" si="325">CB326</f>
        <v>G120</v>
      </c>
      <c r="BJ326" t="s">
        <v>1178</v>
      </c>
      <c r="BK326" t="s">
        <v>1178</v>
      </c>
      <c r="BL326" t="s">
        <v>1178</v>
      </c>
      <c r="BM326" t="b">
        <f t="shared" ref="BM326:BM339" si="326" xml:space="preserve"> COUNTIF($BJ$5:$BL$2000,BK326)=3</f>
        <v>1</v>
      </c>
      <c r="BN326" t="str">
        <f t="shared" si="308"/>
        <v>R826</v>
      </c>
      <c r="BO326" t="str">
        <f t="shared" si="309"/>
        <v>R826</v>
      </c>
      <c r="BP326" t="str">
        <f t="shared" si="310"/>
        <v>R714</v>
      </c>
      <c r="BQ326" t="str">
        <f t="shared" si="311"/>
        <v>R714</v>
      </c>
      <c r="BR326" t="s">
        <v>313</v>
      </c>
      <c r="BS326" t="s">
        <v>311</v>
      </c>
      <c r="BT326" t="s">
        <v>313</v>
      </c>
      <c r="BU326" t="b">
        <f t="shared" ref="BU326:BU339" si="327" xml:space="preserve"> COUNTIF($BR$5:$BT$2000,BS326)=3</f>
        <v>1</v>
      </c>
      <c r="BZ326" t="str">
        <f t="shared" si="312"/>
        <v>G120</v>
      </c>
      <c r="CA326" t="b">
        <f t="shared" si="313"/>
        <v>0</v>
      </c>
      <c r="CB326" t="str">
        <f t="shared" ref="CB326:CB389" si="328">IF(ISNUMBER(SEARCH("USANN",CA326)),BZ326,"")</f>
        <v>G120</v>
      </c>
      <c r="CC326" t="str">
        <f t="shared" si="314"/>
        <v>R714</v>
      </c>
      <c r="CD326" t="b">
        <f t="shared" ref="CD326:CD389" si="329">COUNTIF($BW$5:$BW$2000, CC326)=1</f>
        <v>0</v>
      </c>
      <c r="CE326" t="str">
        <f t="shared" ref="CE326:CE389" si="330">IF(ISNUMBER(SEARCH("USANN",CD326)),CC326,"")</f>
        <v>R714</v>
      </c>
      <c r="CG326" t="str">
        <f t="shared" si="315"/>
        <v>G782</v>
      </c>
      <c r="CH326" t="str">
        <f t="shared" ref="CH326:CH389" si="331">L325</f>
        <v>G782</v>
      </c>
      <c r="CI326" t="str">
        <f t="shared" si="316"/>
        <v>G824</v>
      </c>
      <c r="CJ326" t="str">
        <f t="shared" si="317"/>
        <v>G824</v>
      </c>
      <c r="CK326" t="s">
        <v>1268</v>
      </c>
      <c r="CL326" t="s">
        <v>1268</v>
      </c>
      <c r="CM326" t="s">
        <v>1268</v>
      </c>
      <c r="CN326" t="b">
        <f t="shared" ref="CN326:CN389" si="332" xml:space="preserve"> COUNTIF($CK$5:$CM$2000,CL326)=3</f>
        <v>1</v>
      </c>
      <c r="CO326" t="str">
        <f t="shared" si="318"/>
        <v>R536</v>
      </c>
      <c r="CP326" t="str">
        <f t="shared" ref="CP326:CP389" si="333">M325</f>
        <v>R536</v>
      </c>
      <c r="CQ326" t="str">
        <f t="shared" si="319"/>
        <v>R26</v>
      </c>
      <c r="CR326" t="str">
        <f t="shared" si="320"/>
        <v>R26</v>
      </c>
      <c r="CS326" t="s">
        <v>605</v>
      </c>
      <c r="CT326" t="s">
        <v>606</v>
      </c>
      <c r="CU326" t="s">
        <v>605</v>
      </c>
      <c r="CV326" t="b">
        <f t="shared" ref="CV326:CV389" si="334" xml:space="preserve"> COUNTIF($CS$5:$CU$2000,CT326)=3</f>
        <v>1</v>
      </c>
      <c r="DC326" t="str">
        <f t="shared" si="321"/>
        <v>G824</v>
      </c>
      <c r="DD326" t="b">
        <f t="shared" ref="DD326:DD389" si="335">COUNTIF($CW$5:$CW$2000, DC326)=1</f>
        <v>0</v>
      </c>
      <c r="DE326" t="str">
        <f t="shared" ref="DE326:DE389" si="336">IF(ISNUMBER(SEARCH("USANN",DD326)),DC326,"")</f>
        <v>G824</v>
      </c>
      <c r="DF326" t="str">
        <f t="shared" si="322"/>
        <v>R26</v>
      </c>
      <c r="DG326" t="b">
        <f t="shared" ref="DG326:DG389" si="337">COUNTIF($CY$5:$CY$2000, DF326)=1</f>
        <v>0</v>
      </c>
      <c r="DH326" t="str">
        <f t="shared" ref="DH326:DH389" si="338">IF(ISNUMBER(SEARCH("USANN",DG326)),DF326,"")</f>
        <v>R26</v>
      </c>
    </row>
    <row r="327" spans="2:112" ht="12" customHeight="1">
      <c r="B327" t="str">
        <f>TBIDry!H399</f>
        <v>G76</v>
      </c>
      <c r="C327" t="str">
        <f>TBIDry!I399</f>
        <v>R365</v>
      </c>
      <c r="D327" t="b">
        <f t="shared" si="285"/>
        <v>0</v>
      </c>
      <c r="E327" t="b">
        <f t="shared" si="286"/>
        <v>0</v>
      </c>
      <c r="G327" t="str">
        <f>TBIWet!H399</f>
        <v>G806</v>
      </c>
      <c r="H327" t="str">
        <f>TBIWet!I399</f>
        <v>R475</v>
      </c>
      <c r="I327" t="b">
        <f t="shared" si="287"/>
        <v>0</v>
      </c>
      <c r="J327" t="b">
        <f t="shared" si="288"/>
        <v>0</v>
      </c>
      <c r="L327" t="str">
        <f>'Both teabags AfterWet'!A325</f>
        <v>G784</v>
      </c>
      <c r="M327" t="str">
        <f>'Both teabags AfterWet'!A745</f>
        <v>R538</v>
      </c>
      <c r="N327" t="b">
        <f t="shared" si="289"/>
        <v>0</v>
      </c>
      <c r="O327" t="b">
        <f t="shared" ref="O327:O390" si="339">COUNTIF($M$4:$M$2000, M327)&gt;1</f>
        <v>0</v>
      </c>
      <c r="Q327" s="388" t="b">
        <f t="shared" si="290"/>
        <v>0</v>
      </c>
      <c r="R327" s="388" t="b">
        <f t="shared" si="291"/>
        <v>0</v>
      </c>
      <c r="T327" t="str">
        <f>'Both teabags AfterDry'!A325</f>
        <v>G874</v>
      </c>
      <c r="U327" t="str">
        <f>'Both teabags AfterDry'!A660</f>
        <v>R829</v>
      </c>
      <c r="V327" t="b">
        <f t="shared" si="292"/>
        <v>0</v>
      </c>
      <c r="W327" t="b">
        <f t="shared" si="323"/>
        <v>0</v>
      </c>
      <c r="Y327" t="str">
        <f>'Green_rooibos initial weight'!A328</f>
        <v>G324</v>
      </c>
      <c r="Z327" t="str">
        <f>'Green_rooibos initial weight'!A1232</f>
        <v>R324</v>
      </c>
      <c r="AA327" t="b">
        <f t="shared" si="293"/>
        <v>0</v>
      </c>
      <c r="AB327" t="b">
        <f t="shared" si="294"/>
        <v>0</v>
      </c>
      <c r="AE327" t="str">
        <f>'WetLitterbags placem_collection'!O106</f>
        <v>G806</v>
      </c>
      <c r="AF327" t="str">
        <f>'WetLitterbags placem_collection'!Q106</f>
        <v>R475</v>
      </c>
      <c r="AG327" t="b">
        <f t="shared" si="295"/>
        <v>0</v>
      </c>
      <c r="AH327" t="b">
        <f t="shared" si="296"/>
        <v>0</v>
      </c>
      <c r="AJ327" t="b">
        <f t="shared" si="297"/>
        <v>0</v>
      </c>
      <c r="AK327" t="b">
        <f t="shared" si="298"/>
        <v>0</v>
      </c>
      <c r="AM327" t="str">
        <f>IF(ISBLANK('Dry_Litterbag Placem_Collection'!L106),"","G"&amp;""&amp;'Dry_Litterbag Placem_Collection'!L106)</f>
        <v>G76</v>
      </c>
      <c r="AN327" t="str">
        <f>IF(ISBLANK('Dry_Litterbag Placem_Collection'!M106),"","R"&amp;""&amp;'Dry_Litterbag Placem_Collection'!M106)</f>
        <v>R365</v>
      </c>
      <c r="AO327" t="b">
        <f t="shared" si="299"/>
        <v>0</v>
      </c>
      <c r="AP327" t="b">
        <f t="shared" si="300"/>
        <v>0</v>
      </c>
      <c r="AS327" t="str">
        <f>'Ashed teabags dry'!A325</f>
        <v>G874</v>
      </c>
      <c r="AT327" t="str">
        <f>'Ashed teabags dry'!A660</f>
        <v>R829</v>
      </c>
      <c r="AU327" t="b">
        <f t="shared" si="301"/>
        <v>0</v>
      </c>
      <c r="AV327" t="b">
        <f t="shared" si="324"/>
        <v>0</v>
      </c>
      <c r="AX327" s="388" t="b">
        <f t="shared" si="302"/>
        <v>0</v>
      </c>
      <c r="AY327" s="388" t="b">
        <f t="shared" si="303"/>
        <v>0</v>
      </c>
      <c r="BA327" t="str">
        <f>'Ashed teabags wet'!A325</f>
        <v>G784</v>
      </c>
      <c r="BB327" t="str">
        <f>'Ashed teabags wet'!A745</f>
        <v>R538</v>
      </c>
      <c r="BC327" t="b">
        <f t="shared" si="304"/>
        <v>0</v>
      </c>
      <c r="BD327" t="b">
        <f t="shared" si="284"/>
        <v>0</v>
      </c>
      <c r="BF327" t="str">
        <f t="shared" si="305"/>
        <v>G873</v>
      </c>
      <c r="BG327" t="str">
        <f t="shared" si="306"/>
        <v>G873</v>
      </c>
      <c r="BH327" t="str">
        <f t="shared" si="307"/>
        <v>G145</v>
      </c>
      <c r="BI327" t="str">
        <f t="shared" si="325"/>
        <v>G145</v>
      </c>
      <c r="BJ327" t="s">
        <v>1177</v>
      </c>
      <c r="BK327" t="s">
        <v>1177</v>
      </c>
      <c r="BL327" t="s">
        <v>1177</v>
      </c>
      <c r="BM327" t="b">
        <f t="shared" si="326"/>
        <v>1</v>
      </c>
      <c r="BN327" t="str">
        <f t="shared" si="308"/>
        <v>R828</v>
      </c>
      <c r="BO327" t="str">
        <f t="shared" si="309"/>
        <v>R828</v>
      </c>
      <c r="BP327" t="str">
        <f t="shared" si="310"/>
        <v>R701</v>
      </c>
      <c r="BQ327" t="str">
        <f t="shared" si="311"/>
        <v>R701</v>
      </c>
      <c r="BR327" t="s">
        <v>311</v>
      </c>
      <c r="BS327" t="s">
        <v>310</v>
      </c>
      <c r="BT327" t="s">
        <v>311</v>
      </c>
      <c r="BU327" t="b">
        <f t="shared" si="327"/>
        <v>1</v>
      </c>
      <c r="BZ327" t="str">
        <f t="shared" si="312"/>
        <v>G145</v>
      </c>
      <c r="CA327" t="b">
        <f t="shared" si="313"/>
        <v>0</v>
      </c>
      <c r="CB327" t="str">
        <f t="shared" si="328"/>
        <v>G145</v>
      </c>
      <c r="CC327" t="str">
        <f t="shared" si="314"/>
        <v>R701</v>
      </c>
      <c r="CD327" t="b">
        <f t="shared" si="329"/>
        <v>0</v>
      </c>
      <c r="CE327" t="str">
        <f t="shared" si="330"/>
        <v>R701</v>
      </c>
      <c r="CG327" t="str">
        <f t="shared" si="315"/>
        <v>G783</v>
      </c>
      <c r="CH327" t="str">
        <f t="shared" si="331"/>
        <v>G783</v>
      </c>
      <c r="CI327" t="str">
        <f t="shared" si="316"/>
        <v>G692</v>
      </c>
      <c r="CJ327" t="str">
        <f t="shared" si="317"/>
        <v>G692</v>
      </c>
      <c r="CK327" t="s">
        <v>1267</v>
      </c>
      <c r="CL327" t="s">
        <v>1267</v>
      </c>
      <c r="CM327" t="s">
        <v>1267</v>
      </c>
      <c r="CN327" t="b">
        <f t="shared" si="332"/>
        <v>1</v>
      </c>
      <c r="CO327" t="str">
        <f t="shared" si="318"/>
        <v>R537</v>
      </c>
      <c r="CP327" t="str">
        <f t="shared" si="333"/>
        <v>R537</v>
      </c>
      <c r="CQ327" t="str">
        <f t="shared" si="319"/>
        <v>R494</v>
      </c>
      <c r="CR327" t="str">
        <f t="shared" si="320"/>
        <v>R494</v>
      </c>
      <c r="CS327" t="s">
        <v>604</v>
      </c>
      <c r="CT327" t="s">
        <v>605</v>
      </c>
      <c r="CU327" t="s">
        <v>604</v>
      </c>
      <c r="CV327" t="b">
        <f t="shared" si="334"/>
        <v>1</v>
      </c>
      <c r="DC327" t="str">
        <f t="shared" si="321"/>
        <v>G692</v>
      </c>
      <c r="DD327" t="b">
        <f t="shared" si="335"/>
        <v>0</v>
      </c>
      <c r="DE327" t="str">
        <f t="shared" si="336"/>
        <v>G692</v>
      </c>
      <c r="DF327" t="str">
        <f t="shared" si="322"/>
        <v>R494</v>
      </c>
      <c r="DG327" t="b">
        <f t="shared" si="337"/>
        <v>0</v>
      </c>
      <c r="DH327" t="str">
        <f t="shared" si="338"/>
        <v>R494</v>
      </c>
    </row>
    <row r="328" spans="2:112" ht="12" customHeight="1">
      <c r="B328" t="str">
        <f>TBIDry!H400</f>
        <v>G57</v>
      </c>
      <c r="C328" t="str">
        <f>TBIDry!I400</f>
        <v>R212</v>
      </c>
      <c r="D328" t="b">
        <f t="shared" si="285"/>
        <v>0</v>
      </c>
      <c r="E328" t="b">
        <f t="shared" si="286"/>
        <v>0</v>
      </c>
      <c r="G328" t="str">
        <f>TBIWet!H400</f>
        <v>G861</v>
      </c>
      <c r="H328" t="str">
        <f>TBIWet!I400</f>
        <v>R540</v>
      </c>
      <c r="I328" t="b">
        <f t="shared" si="287"/>
        <v>0</v>
      </c>
      <c r="J328" t="b">
        <f t="shared" si="288"/>
        <v>0</v>
      </c>
      <c r="L328" t="str">
        <f>'Both teabags AfterWet'!A326</f>
        <v>G785</v>
      </c>
      <c r="M328" t="str">
        <f>'Both teabags AfterWet'!A746</f>
        <v>R539</v>
      </c>
      <c r="N328" t="b">
        <f t="shared" si="289"/>
        <v>0</v>
      </c>
      <c r="O328" t="b">
        <f t="shared" si="339"/>
        <v>0</v>
      </c>
      <c r="Q328" s="388" t="b">
        <f t="shared" si="290"/>
        <v>0</v>
      </c>
      <c r="R328" s="388" t="b">
        <f t="shared" si="291"/>
        <v>0</v>
      </c>
      <c r="T328" t="str">
        <f>'Both teabags AfterDry'!A326</f>
        <v>G879</v>
      </c>
      <c r="U328" t="str">
        <f>'Both teabags AfterDry'!A661</f>
        <v>R830</v>
      </c>
      <c r="V328" t="b">
        <f t="shared" si="292"/>
        <v>0</v>
      </c>
      <c r="W328" t="b">
        <f t="shared" si="323"/>
        <v>0</v>
      </c>
      <c r="Y328" t="str">
        <f>'Green_rooibos initial weight'!A329</f>
        <v>G325</v>
      </c>
      <c r="Z328" t="str">
        <f>'Green_rooibos initial weight'!A1233</f>
        <v>R325</v>
      </c>
      <c r="AA328" t="b">
        <f t="shared" si="293"/>
        <v>0</v>
      </c>
      <c r="AB328" t="b">
        <f t="shared" si="294"/>
        <v>0</v>
      </c>
      <c r="AE328" t="str">
        <f>'WetLitterbags placem_collection'!O107</f>
        <v>G861</v>
      </c>
      <c r="AF328" t="str">
        <f>'WetLitterbags placem_collection'!Q107</f>
        <v>R540</v>
      </c>
      <c r="AG328" t="b">
        <f t="shared" si="295"/>
        <v>0</v>
      </c>
      <c r="AH328" t="b">
        <f t="shared" si="296"/>
        <v>0</v>
      </c>
      <c r="AJ328" t="b">
        <f t="shared" si="297"/>
        <v>0</v>
      </c>
      <c r="AK328" t="b">
        <f t="shared" si="298"/>
        <v>0</v>
      </c>
      <c r="AM328" t="str">
        <f>IF(ISBLANK('Dry_Litterbag Placem_Collection'!L107),"","G"&amp;""&amp;'Dry_Litterbag Placem_Collection'!L107)</f>
        <v>G57</v>
      </c>
      <c r="AN328" t="str">
        <f>IF(ISBLANK('Dry_Litterbag Placem_Collection'!M107),"","R"&amp;""&amp;'Dry_Litterbag Placem_Collection'!M107)</f>
        <v>R212</v>
      </c>
      <c r="AO328" t="b">
        <f t="shared" si="299"/>
        <v>0</v>
      </c>
      <c r="AP328" t="b">
        <f t="shared" si="300"/>
        <v>0</v>
      </c>
      <c r="AS328" t="str">
        <f>'Ashed teabags dry'!A326</f>
        <v>G879</v>
      </c>
      <c r="AT328" t="str">
        <f>'Ashed teabags dry'!A661</f>
        <v>R830</v>
      </c>
      <c r="AU328" t="b">
        <f t="shared" si="301"/>
        <v>0</v>
      </c>
      <c r="AV328" t="b">
        <f t="shared" si="324"/>
        <v>0</v>
      </c>
      <c r="AX328" s="388" t="b">
        <f t="shared" si="302"/>
        <v>0</v>
      </c>
      <c r="AY328" s="388" t="b">
        <f t="shared" si="303"/>
        <v>0</v>
      </c>
      <c r="BA328" t="str">
        <f>'Ashed teabags wet'!A326</f>
        <v>G785</v>
      </c>
      <c r="BB328" t="str">
        <f>'Ashed teabags wet'!A746</f>
        <v>R539</v>
      </c>
      <c r="BC328" t="b">
        <f t="shared" si="304"/>
        <v>0</v>
      </c>
      <c r="BD328" t="b">
        <f t="shared" si="284"/>
        <v>0</v>
      </c>
      <c r="BF328" t="str">
        <f t="shared" si="305"/>
        <v>G874</v>
      </c>
      <c r="BG328" t="str">
        <f t="shared" si="306"/>
        <v>G874</v>
      </c>
      <c r="BH328" t="str">
        <f t="shared" si="307"/>
        <v>G76</v>
      </c>
      <c r="BI328" t="str">
        <f t="shared" si="325"/>
        <v>G76</v>
      </c>
      <c r="BJ328" t="s">
        <v>1176</v>
      </c>
      <c r="BK328" t="s">
        <v>1176</v>
      </c>
      <c r="BL328" t="s">
        <v>1176</v>
      </c>
      <c r="BM328" t="b">
        <f t="shared" si="326"/>
        <v>1</v>
      </c>
      <c r="BN328" t="str">
        <f t="shared" si="308"/>
        <v>R829</v>
      </c>
      <c r="BO328" t="str">
        <f t="shared" si="309"/>
        <v>R829</v>
      </c>
      <c r="BP328" t="str">
        <f t="shared" si="310"/>
        <v>R365</v>
      </c>
      <c r="BQ328" t="str">
        <f t="shared" si="311"/>
        <v>R365</v>
      </c>
      <c r="BR328" t="s">
        <v>310</v>
      </c>
      <c r="BS328" t="s">
        <v>309</v>
      </c>
      <c r="BT328" t="s">
        <v>310</v>
      </c>
      <c r="BU328" t="b">
        <f t="shared" si="327"/>
        <v>1</v>
      </c>
      <c r="BZ328" t="str">
        <f t="shared" si="312"/>
        <v>G76</v>
      </c>
      <c r="CA328" t="b">
        <f t="shared" si="313"/>
        <v>0</v>
      </c>
      <c r="CB328" t="str">
        <f t="shared" si="328"/>
        <v>G76</v>
      </c>
      <c r="CC328" t="str">
        <f t="shared" si="314"/>
        <v>R365</v>
      </c>
      <c r="CD328" t="b">
        <f t="shared" si="329"/>
        <v>0</v>
      </c>
      <c r="CE328" t="str">
        <f t="shared" si="330"/>
        <v>R365</v>
      </c>
      <c r="CG328" t="str">
        <f t="shared" si="315"/>
        <v>G784</v>
      </c>
      <c r="CH328" t="str">
        <f t="shared" si="331"/>
        <v>G784</v>
      </c>
      <c r="CI328" t="str">
        <f t="shared" si="316"/>
        <v>G806</v>
      </c>
      <c r="CJ328" t="str">
        <f t="shared" si="317"/>
        <v>G806</v>
      </c>
      <c r="CK328" t="s">
        <v>1266</v>
      </c>
      <c r="CL328" t="s">
        <v>1266</v>
      </c>
      <c r="CM328" t="s">
        <v>1266</v>
      </c>
      <c r="CN328" t="b">
        <f t="shared" si="332"/>
        <v>1</v>
      </c>
      <c r="CO328" t="str">
        <f t="shared" si="318"/>
        <v>R538</v>
      </c>
      <c r="CP328" t="str">
        <f t="shared" si="333"/>
        <v>R538</v>
      </c>
      <c r="CQ328" t="str">
        <f t="shared" si="319"/>
        <v>R475</v>
      </c>
      <c r="CR328" t="str">
        <f t="shared" si="320"/>
        <v>R475</v>
      </c>
      <c r="CS328" t="s">
        <v>603</v>
      </c>
      <c r="CT328" t="s">
        <v>604</v>
      </c>
      <c r="CU328" t="s">
        <v>603</v>
      </c>
      <c r="CV328" t="b">
        <f t="shared" si="334"/>
        <v>1</v>
      </c>
      <c r="DC328" t="str">
        <f t="shared" si="321"/>
        <v>G806</v>
      </c>
      <c r="DD328" t="b">
        <f t="shared" si="335"/>
        <v>0</v>
      </c>
      <c r="DE328" t="str">
        <f t="shared" si="336"/>
        <v>G806</v>
      </c>
      <c r="DF328" t="str">
        <f t="shared" si="322"/>
        <v>R475</v>
      </c>
      <c r="DG328" t="b">
        <f t="shared" si="337"/>
        <v>0</v>
      </c>
      <c r="DH328" t="str">
        <f t="shared" si="338"/>
        <v>R475</v>
      </c>
    </row>
    <row r="329" spans="2:112" ht="12" customHeight="1">
      <c r="B329" t="str">
        <f>TBIDry!H401</f>
        <v>G167</v>
      </c>
      <c r="C329" t="str">
        <f>TBIDry!I401</f>
        <v>R66</v>
      </c>
      <c r="D329" t="b">
        <f t="shared" si="285"/>
        <v>0</v>
      </c>
      <c r="E329" t="b">
        <f t="shared" si="286"/>
        <v>0</v>
      </c>
      <c r="G329" t="str">
        <f>TBIWet!H401</f>
        <v>G738</v>
      </c>
      <c r="H329" t="str">
        <f>TBIWet!I401</f>
        <v>R593</v>
      </c>
      <c r="I329" t="b">
        <f t="shared" si="287"/>
        <v>0</v>
      </c>
      <c r="J329" t="b">
        <f t="shared" si="288"/>
        <v>0</v>
      </c>
      <c r="L329" t="str">
        <f>'Both teabags AfterWet'!A327</f>
        <v>G786</v>
      </c>
      <c r="M329" t="str">
        <f>'Both teabags AfterWet'!A747</f>
        <v>R540</v>
      </c>
      <c r="N329" t="b">
        <f t="shared" si="289"/>
        <v>0</v>
      </c>
      <c r="O329" t="b">
        <f t="shared" si="339"/>
        <v>0</v>
      </c>
      <c r="Q329" s="388" t="b">
        <f t="shared" si="290"/>
        <v>0</v>
      </c>
      <c r="R329" s="388" t="b">
        <f t="shared" si="291"/>
        <v>0</v>
      </c>
      <c r="T329" t="str">
        <f>'Both teabags AfterDry'!A327</f>
        <v>G88</v>
      </c>
      <c r="U329" t="str">
        <f>'Both teabags AfterDry'!A662</f>
        <v>R831</v>
      </c>
      <c r="V329" t="b">
        <f t="shared" si="292"/>
        <v>0</v>
      </c>
      <c r="W329" t="b">
        <f t="shared" si="323"/>
        <v>0</v>
      </c>
      <c r="Y329" t="str">
        <f>'Green_rooibos initial weight'!A330</f>
        <v>G326</v>
      </c>
      <c r="Z329" t="str">
        <f>'Green_rooibos initial weight'!A1234</f>
        <v>R326</v>
      </c>
      <c r="AA329" t="b">
        <f t="shared" si="293"/>
        <v>0</v>
      </c>
      <c r="AB329" t="b">
        <f t="shared" si="294"/>
        <v>0</v>
      </c>
      <c r="AE329" t="str">
        <f>'WetLitterbags placem_collection'!O108</f>
        <v>G738</v>
      </c>
      <c r="AF329" t="str">
        <f>'WetLitterbags placem_collection'!Q108</f>
        <v>R593</v>
      </c>
      <c r="AG329" t="b">
        <f t="shared" si="295"/>
        <v>0</v>
      </c>
      <c r="AH329" t="b">
        <f t="shared" si="296"/>
        <v>0</v>
      </c>
      <c r="AJ329" t="b">
        <f t="shared" si="297"/>
        <v>0</v>
      </c>
      <c r="AK329" t="b">
        <f t="shared" si="298"/>
        <v>0</v>
      </c>
      <c r="AM329" t="str">
        <f>IF(ISBLANK('Dry_Litterbag Placem_Collection'!L108),"","G"&amp;""&amp;'Dry_Litterbag Placem_Collection'!L108)</f>
        <v>G167</v>
      </c>
      <c r="AN329" t="str">
        <f>IF(ISBLANK('Dry_Litterbag Placem_Collection'!M108),"","R"&amp;""&amp;'Dry_Litterbag Placem_Collection'!M108)</f>
        <v>R66</v>
      </c>
      <c r="AO329" t="b">
        <f t="shared" si="299"/>
        <v>0</v>
      </c>
      <c r="AP329" t="b">
        <f t="shared" si="300"/>
        <v>0</v>
      </c>
      <c r="AS329" t="str">
        <f>'Ashed teabags dry'!A327</f>
        <v>G88</v>
      </c>
      <c r="AT329" t="str">
        <f>'Ashed teabags dry'!A662</f>
        <v>R831</v>
      </c>
      <c r="AU329" t="b">
        <f t="shared" si="301"/>
        <v>0</v>
      </c>
      <c r="AV329" t="b">
        <f t="shared" si="324"/>
        <v>0</v>
      </c>
      <c r="AX329" s="388" t="b">
        <f t="shared" si="302"/>
        <v>0</v>
      </c>
      <c r="AY329" s="388" t="b">
        <f t="shared" si="303"/>
        <v>0</v>
      </c>
      <c r="BA329" t="str">
        <f>'Ashed teabags wet'!A327</f>
        <v>G786</v>
      </c>
      <c r="BB329" t="str">
        <f>'Ashed teabags wet'!A747</f>
        <v>R540</v>
      </c>
      <c r="BC329" t="b">
        <f t="shared" si="304"/>
        <v>0</v>
      </c>
      <c r="BD329" t="b">
        <f t="shared" si="284"/>
        <v>0</v>
      </c>
      <c r="BF329" t="str">
        <f t="shared" si="305"/>
        <v>G879</v>
      </c>
      <c r="BG329" t="str">
        <f t="shared" si="306"/>
        <v>G879</v>
      </c>
      <c r="BH329" t="str">
        <f t="shared" si="307"/>
        <v>G57</v>
      </c>
      <c r="BI329" t="str">
        <f t="shared" si="325"/>
        <v>G57</v>
      </c>
      <c r="BJ329" t="s">
        <v>1171</v>
      </c>
      <c r="BK329" t="s">
        <v>1171</v>
      </c>
      <c r="BL329" t="s">
        <v>1171</v>
      </c>
      <c r="BM329" t="b">
        <f t="shared" si="326"/>
        <v>1</v>
      </c>
      <c r="BN329" t="str">
        <f t="shared" si="308"/>
        <v>R830</v>
      </c>
      <c r="BO329" t="str">
        <f t="shared" si="309"/>
        <v>R830</v>
      </c>
      <c r="BP329" t="str">
        <f t="shared" si="310"/>
        <v>R212</v>
      </c>
      <c r="BQ329" t="str">
        <f t="shared" si="311"/>
        <v>R212</v>
      </c>
      <c r="BR329" t="s">
        <v>309</v>
      </c>
      <c r="BS329" t="s">
        <v>308</v>
      </c>
      <c r="BT329" t="s">
        <v>309</v>
      </c>
      <c r="BU329" t="b">
        <f t="shared" si="327"/>
        <v>1</v>
      </c>
      <c r="BZ329" t="str">
        <f t="shared" si="312"/>
        <v>G57</v>
      </c>
      <c r="CA329" t="b">
        <f t="shared" si="313"/>
        <v>0</v>
      </c>
      <c r="CB329" t="str">
        <f t="shared" si="328"/>
        <v>G57</v>
      </c>
      <c r="CC329" t="str">
        <f t="shared" si="314"/>
        <v>R212</v>
      </c>
      <c r="CD329" t="b">
        <f t="shared" si="329"/>
        <v>0</v>
      </c>
      <c r="CE329" t="str">
        <f t="shared" si="330"/>
        <v>R212</v>
      </c>
      <c r="CG329" t="str">
        <f t="shared" si="315"/>
        <v>G785</v>
      </c>
      <c r="CH329" t="str">
        <f t="shared" si="331"/>
        <v>G785</v>
      </c>
      <c r="CI329" t="str">
        <f t="shared" si="316"/>
        <v>G861</v>
      </c>
      <c r="CJ329" t="str">
        <f t="shared" si="317"/>
        <v>G861</v>
      </c>
      <c r="CK329" t="s">
        <v>1265</v>
      </c>
      <c r="CL329" t="s">
        <v>1265</v>
      </c>
      <c r="CM329" t="s">
        <v>1265</v>
      </c>
      <c r="CN329" t="b">
        <f t="shared" si="332"/>
        <v>1</v>
      </c>
      <c r="CO329" t="str">
        <f t="shared" si="318"/>
        <v>R539</v>
      </c>
      <c r="CP329" t="str">
        <f t="shared" si="333"/>
        <v>R539</v>
      </c>
      <c r="CQ329" t="str">
        <f t="shared" si="319"/>
        <v>R540</v>
      </c>
      <c r="CR329" t="str">
        <f t="shared" si="320"/>
        <v>R540</v>
      </c>
      <c r="CS329" t="s">
        <v>602</v>
      </c>
      <c r="CT329" t="s">
        <v>603</v>
      </c>
      <c r="CU329" t="s">
        <v>602</v>
      </c>
      <c r="CV329" t="b">
        <f t="shared" si="334"/>
        <v>1</v>
      </c>
      <c r="DC329" t="str">
        <f t="shared" si="321"/>
        <v>G861</v>
      </c>
      <c r="DD329" t="b">
        <f t="shared" si="335"/>
        <v>0</v>
      </c>
      <c r="DE329" t="str">
        <f t="shared" si="336"/>
        <v>G861</v>
      </c>
      <c r="DF329" t="str">
        <f t="shared" si="322"/>
        <v>R540</v>
      </c>
      <c r="DG329" t="b">
        <f t="shared" si="337"/>
        <v>0</v>
      </c>
      <c r="DH329" t="str">
        <f t="shared" si="338"/>
        <v>R540</v>
      </c>
    </row>
    <row r="330" spans="2:112" ht="12" customHeight="1">
      <c r="B330" t="str">
        <f>TBIDry!H402</f>
        <v>G208</v>
      </c>
      <c r="C330" t="str">
        <f>TBIDry!I402</f>
        <v>R347</v>
      </c>
      <c r="D330" t="b">
        <f t="shared" si="285"/>
        <v>0</v>
      </c>
      <c r="E330" t="b">
        <f t="shared" si="286"/>
        <v>0</v>
      </c>
      <c r="G330" t="str">
        <f>TBIWet!H402</f>
        <v>G676</v>
      </c>
      <c r="H330" t="str">
        <f>TBIWet!I402</f>
        <v>R510</v>
      </c>
      <c r="I330" t="b">
        <f t="shared" si="287"/>
        <v>0</v>
      </c>
      <c r="J330" t="b">
        <f t="shared" si="288"/>
        <v>0</v>
      </c>
      <c r="L330" t="str">
        <f>'Both teabags AfterWet'!A328</f>
        <v>G787</v>
      </c>
      <c r="M330" t="str">
        <f>'Both teabags AfterWet'!A748</f>
        <v>R541</v>
      </c>
      <c r="N330" t="b">
        <f t="shared" si="289"/>
        <v>0</v>
      </c>
      <c r="O330" t="b">
        <f t="shared" si="339"/>
        <v>0</v>
      </c>
      <c r="Q330" s="388" t="b">
        <f t="shared" si="290"/>
        <v>0</v>
      </c>
      <c r="R330" s="388" t="b">
        <f t="shared" si="291"/>
        <v>0</v>
      </c>
      <c r="T330" t="str">
        <f>'Both teabags AfterDry'!A328</f>
        <v>G90</v>
      </c>
      <c r="U330" t="str">
        <f>'Both teabags AfterDry'!A663</f>
        <v>R832</v>
      </c>
      <c r="V330" t="b">
        <f t="shared" si="292"/>
        <v>0</v>
      </c>
      <c r="W330" t="b">
        <f t="shared" si="323"/>
        <v>0</v>
      </c>
      <c r="Y330" t="str">
        <f>'Green_rooibos initial weight'!A331</f>
        <v>G327</v>
      </c>
      <c r="Z330" t="str">
        <f>'Green_rooibos initial weight'!A1235</f>
        <v>R327</v>
      </c>
      <c r="AA330" t="b">
        <f t="shared" si="293"/>
        <v>0</v>
      </c>
      <c r="AB330" t="b">
        <f t="shared" si="294"/>
        <v>0</v>
      </c>
      <c r="AE330" t="str">
        <f>'WetLitterbags placem_collection'!O109</f>
        <v>G676</v>
      </c>
      <c r="AF330" t="str">
        <f>'WetLitterbags placem_collection'!Q109</f>
        <v>R510</v>
      </c>
      <c r="AG330" t="b">
        <f t="shared" si="295"/>
        <v>0</v>
      </c>
      <c r="AH330" t="b">
        <f t="shared" si="296"/>
        <v>0</v>
      </c>
      <c r="AJ330" t="b">
        <f t="shared" si="297"/>
        <v>0</v>
      </c>
      <c r="AK330" t="b">
        <f t="shared" si="298"/>
        <v>0</v>
      </c>
      <c r="AM330" t="str">
        <f>IF(ISBLANK('Dry_Litterbag Placem_Collection'!L109),"","G"&amp;""&amp;'Dry_Litterbag Placem_Collection'!L109)</f>
        <v>G208</v>
      </c>
      <c r="AN330" t="str">
        <f>IF(ISBLANK('Dry_Litterbag Placem_Collection'!M109),"","R"&amp;""&amp;'Dry_Litterbag Placem_Collection'!M109)</f>
        <v>R347</v>
      </c>
      <c r="AO330" t="b">
        <f t="shared" si="299"/>
        <v>0</v>
      </c>
      <c r="AP330" t="b">
        <f t="shared" si="300"/>
        <v>0</v>
      </c>
      <c r="AS330" t="str">
        <f>'Ashed teabags dry'!A328</f>
        <v>G90</v>
      </c>
      <c r="AT330" t="str">
        <f>'Ashed teabags dry'!A663</f>
        <v>R832</v>
      </c>
      <c r="AU330" t="b">
        <f t="shared" si="301"/>
        <v>0</v>
      </c>
      <c r="AV330" t="b">
        <f t="shared" si="324"/>
        <v>0</v>
      </c>
      <c r="AX330" s="388" t="b">
        <f t="shared" si="302"/>
        <v>0</v>
      </c>
      <c r="AY330" s="388" t="b">
        <f t="shared" si="303"/>
        <v>0</v>
      </c>
      <c r="BA330" t="str">
        <f>'Ashed teabags wet'!A328</f>
        <v>G787</v>
      </c>
      <c r="BB330" t="str">
        <f>'Ashed teabags wet'!A748</f>
        <v>R541</v>
      </c>
      <c r="BC330" t="b">
        <f t="shared" si="304"/>
        <v>0</v>
      </c>
      <c r="BD330" t="b">
        <f t="shared" si="284"/>
        <v>0</v>
      </c>
      <c r="BF330" t="str">
        <f t="shared" si="305"/>
        <v>G88</v>
      </c>
      <c r="BG330" t="str">
        <f t="shared" si="306"/>
        <v>G88</v>
      </c>
      <c r="BH330" t="str">
        <f t="shared" si="307"/>
        <v>G167</v>
      </c>
      <c r="BI330" t="str">
        <f t="shared" si="325"/>
        <v>G167</v>
      </c>
      <c r="BJ330" t="s">
        <v>1962</v>
      </c>
      <c r="BK330" t="s">
        <v>1962</v>
      </c>
      <c r="BL330" t="s">
        <v>1962</v>
      </c>
      <c r="BM330" t="b">
        <f t="shared" si="326"/>
        <v>1</v>
      </c>
      <c r="BN330" t="str">
        <f t="shared" si="308"/>
        <v>R831</v>
      </c>
      <c r="BO330" t="str">
        <f t="shared" si="309"/>
        <v>R831</v>
      </c>
      <c r="BP330" t="str">
        <f t="shared" si="310"/>
        <v>R66</v>
      </c>
      <c r="BQ330" t="str">
        <f t="shared" si="311"/>
        <v>R66</v>
      </c>
      <c r="BR330" t="s">
        <v>308</v>
      </c>
      <c r="BS330" t="s">
        <v>307</v>
      </c>
      <c r="BT330" t="s">
        <v>308</v>
      </c>
      <c r="BU330" t="b">
        <f t="shared" si="327"/>
        <v>1</v>
      </c>
      <c r="BZ330" t="str">
        <f t="shared" si="312"/>
        <v>G167</v>
      </c>
      <c r="CA330" t="b">
        <f t="shared" si="313"/>
        <v>0</v>
      </c>
      <c r="CB330" t="str">
        <f t="shared" si="328"/>
        <v>G167</v>
      </c>
      <c r="CC330" t="str">
        <f t="shared" si="314"/>
        <v>R66</v>
      </c>
      <c r="CD330" t="b">
        <f t="shared" si="329"/>
        <v>0</v>
      </c>
      <c r="CE330" t="str">
        <f t="shared" si="330"/>
        <v>R66</v>
      </c>
      <c r="CG330" t="str">
        <f t="shared" si="315"/>
        <v>G786</v>
      </c>
      <c r="CH330" t="str">
        <f t="shared" si="331"/>
        <v>G786</v>
      </c>
      <c r="CI330" t="str">
        <f t="shared" si="316"/>
        <v>G738</v>
      </c>
      <c r="CJ330" t="str">
        <f t="shared" si="317"/>
        <v>G738</v>
      </c>
      <c r="CK330" t="s">
        <v>1264</v>
      </c>
      <c r="CL330" t="s">
        <v>1264</v>
      </c>
      <c r="CM330" t="s">
        <v>1264</v>
      </c>
      <c r="CN330" t="b">
        <f t="shared" si="332"/>
        <v>1</v>
      </c>
      <c r="CO330" t="str">
        <f t="shared" si="318"/>
        <v>R540</v>
      </c>
      <c r="CP330" t="str">
        <f t="shared" si="333"/>
        <v>R540</v>
      </c>
      <c r="CQ330" t="str">
        <f t="shared" si="319"/>
        <v>R593</v>
      </c>
      <c r="CR330" t="str">
        <f t="shared" si="320"/>
        <v>R593</v>
      </c>
      <c r="CS330" t="s">
        <v>601</v>
      </c>
      <c r="CT330" t="s">
        <v>602</v>
      </c>
      <c r="CU330" t="s">
        <v>601</v>
      </c>
      <c r="CV330" t="b">
        <f t="shared" si="334"/>
        <v>1</v>
      </c>
      <c r="DC330" t="str">
        <f t="shared" si="321"/>
        <v>G738</v>
      </c>
      <c r="DD330" t="b">
        <f t="shared" si="335"/>
        <v>0</v>
      </c>
      <c r="DE330" t="str">
        <f t="shared" si="336"/>
        <v>G738</v>
      </c>
      <c r="DF330" t="str">
        <f t="shared" si="322"/>
        <v>R593</v>
      </c>
      <c r="DG330" t="b">
        <f t="shared" si="337"/>
        <v>0</v>
      </c>
      <c r="DH330" t="str">
        <f t="shared" si="338"/>
        <v>R593</v>
      </c>
    </row>
    <row r="331" spans="2:112" ht="12" customHeight="1">
      <c r="B331" t="str">
        <f>TBIDry!H403</f>
        <v>G62</v>
      </c>
      <c r="C331" t="str">
        <f>TBIDry!I403</f>
        <v>R206</v>
      </c>
      <c r="D331" t="b">
        <f t="shared" si="285"/>
        <v>0</v>
      </c>
      <c r="E331" t="b">
        <f t="shared" si="286"/>
        <v>0</v>
      </c>
      <c r="G331" t="str">
        <f>TBIWet!H403</f>
        <v>G845</v>
      </c>
      <c r="H331" t="str">
        <f>TBIWet!I403</f>
        <v>R509</v>
      </c>
      <c r="I331" t="b">
        <f t="shared" si="287"/>
        <v>0</v>
      </c>
      <c r="J331" t="b">
        <f t="shared" si="288"/>
        <v>0</v>
      </c>
      <c r="L331" t="str">
        <f>'Both teabags AfterWet'!A329</f>
        <v>G789</v>
      </c>
      <c r="M331" t="str">
        <f>'Both teabags AfterWet'!A749</f>
        <v>R542</v>
      </c>
      <c r="N331" t="b">
        <f t="shared" si="289"/>
        <v>0</v>
      </c>
      <c r="O331" t="b">
        <f t="shared" si="339"/>
        <v>0</v>
      </c>
      <c r="Q331" s="388" t="b">
        <f t="shared" si="290"/>
        <v>0</v>
      </c>
      <c r="R331" s="388" t="b">
        <f t="shared" si="291"/>
        <v>0</v>
      </c>
      <c r="T331" t="str">
        <f>'Both teabags AfterDry'!A329</f>
        <v>G91</v>
      </c>
      <c r="U331" t="str">
        <f>'Both teabags AfterDry'!A664</f>
        <v>R833</v>
      </c>
      <c r="V331" t="b">
        <f t="shared" si="292"/>
        <v>0</v>
      </c>
      <c r="W331" t="b">
        <f t="shared" si="323"/>
        <v>0</v>
      </c>
      <c r="Y331" t="str">
        <f>'Green_rooibos initial weight'!A332</f>
        <v>G328</v>
      </c>
      <c r="Z331" t="str">
        <f>'Green_rooibos initial weight'!A1236</f>
        <v>R328</v>
      </c>
      <c r="AA331" t="b">
        <f t="shared" si="293"/>
        <v>0</v>
      </c>
      <c r="AB331" t="b">
        <f t="shared" si="294"/>
        <v>0</v>
      </c>
      <c r="AE331" t="str">
        <f>'WetLitterbags placem_collection'!O110</f>
        <v>G845</v>
      </c>
      <c r="AF331" t="str">
        <f>'WetLitterbags placem_collection'!Q110</f>
        <v>R509</v>
      </c>
      <c r="AG331" t="b">
        <f t="shared" si="295"/>
        <v>0</v>
      </c>
      <c r="AH331" t="b">
        <f t="shared" si="296"/>
        <v>0</v>
      </c>
      <c r="AJ331" t="b">
        <f t="shared" si="297"/>
        <v>0</v>
      </c>
      <c r="AK331" t="b">
        <f t="shared" si="298"/>
        <v>0</v>
      </c>
      <c r="AM331" t="str">
        <f>IF(ISBLANK('Dry_Litterbag Placem_Collection'!L110),"","G"&amp;""&amp;'Dry_Litterbag Placem_Collection'!L110)</f>
        <v>G62</v>
      </c>
      <c r="AN331" t="str">
        <f>IF(ISBLANK('Dry_Litterbag Placem_Collection'!M110),"","R"&amp;""&amp;'Dry_Litterbag Placem_Collection'!M110)</f>
        <v>R206</v>
      </c>
      <c r="AO331" t="b">
        <f t="shared" si="299"/>
        <v>0</v>
      </c>
      <c r="AP331" t="b">
        <f t="shared" si="300"/>
        <v>0</v>
      </c>
      <c r="AS331" t="str">
        <f>'Ashed teabags dry'!A329</f>
        <v>G91</v>
      </c>
      <c r="AT331" t="str">
        <f>'Ashed teabags dry'!A664</f>
        <v>R833</v>
      </c>
      <c r="AU331" t="b">
        <f t="shared" si="301"/>
        <v>0</v>
      </c>
      <c r="AV331" t="b">
        <f t="shared" si="324"/>
        <v>0</v>
      </c>
      <c r="AX331" s="388" t="b">
        <f t="shared" si="302"/>
        <v>0</v>
      </c>
      <c r="AY331" s="388" t="b">
        <f t="shared" si="303"/>
        <v>0</v>
      </c>
      <c r="BA331" t="str">
        <f>'Ashed teabags wet'!A329</f>
        <v>G789</v>
      </c>
      <c r="BB331" t="str">
        <f>'Ashed teabags wet'!A749</f>
        <v>R542</v>
      </c>
      <c r="BC331" t="b">
        <f t="shared" si="304"/>
        <v>0</v>
      </c>
      <c r="BD331" t="b">
        <f t="shared" si="284"/>
        <v>0</v>
      </c>
      <c r="BF331" t="str">
        <f t="shared" si="305"/>
        <v>G90</v>
      </c>
      <c r="BG331" t="str">
        <f t="shared" si="306"/>
        <v>G90</v>
      </c>
      <c r="BH331" t="str">
        <f t="shared" si="307"/>
        <v>G208</v>
      </c>
      <c r="BI331" t="str">
        <f t="shared" si="325"/>
        <v/>
      </c>
      <c r="BJ331" t="s">
        <v>1960</v>
      </c>
      <c r="BK331" t="s">
        <v>1960</v>
      </c>
      <c r="BL331" t="s">
        <v>1960</v>
      </c>
      <c r="BM331" t="b">
        <f t="shared" si="326"/>
        <v>1</v>
      </c>
      <c r="BN331" t="str">
        <f t="shared" si="308"/>
        <v>R832</v>
      </c>
      <c r="BO331" t="str">
        <f t="shared" si="309"/>
        <v>R832</v>
      </c>
      <c r="BP331" t="str">
        <f t="shared" si="310"/>
        <v>R347</v>
      </c>
      <c r="BQ331" t="str">
        <f t="shared" si="311"/>
        <v/>
      </c>
      <c r="BR331" t="s">
        <v>307</v>
      </c>
      <c r="BS331" t="s">
        <v>306</v>
      </c>
      <c r="BT331" t="s">
        <v>307</v>
      </c>
      <c r="BU331" t="b">
        <f t="shared" si="327"/>
        <v>1</v>
      </c>
      <c r="BZ331" t="str">
        <f t="shared" si="312"/>
        <v>G208</v>
      </c>
      <c r="CA331" t="b">
        <f t="shared" si="313"/>
        <v>1</v>
      </c>
      <c r="CB331" t="str">
        <f t="shared" si="328"/>
        <v/>
      </c>
      <c r="CC331" t="str">
        <f t="shared" si="314"/>
        <v>R347</v>
      </c>
      <c r="CD331" t="b">
        <f t="shared" si="329"/>
        <v>1</v>
      </c>
      <c r="CE331" t="str">
        <f t="shared" si="330"/>
        <v/>
      </c>
      <c r="CG331" t="str">
        <f t="shared" si="315"/>
        <v>G787</v>
      </c>
      <c r="CH331" t="str">
        <f t="shared" si="331"/>
        <v>G787</v>
      </c>
      <c r="CI331" t="str">
        <f t="shared" si="316"/>
        <v>G676</v>
      </c>
      <c r="CJ331" t="str">
        <f t="shared" si="317"/>
        <v>G676</v>
      </c>
      <c r="CK331" t="s">
        <v>1263</v>
      </c>
      <c r="CL331" t="s">
        <v>1263</v>
      </c>
      <c r="CM331" t="s">
        <v>1263</v>
      </c>
      <c r="CN331" t="b">
        <f t="shared" si="332"/>
        <v>1</v>
      </c>
      <c r="CO331" t="str">
        <f t="shared" si="318"/>
        <v>R541</v>
      </c>
      <c r="CP331" t="str">
        <f t="shared" si="333"/>
        <v>R541</v>
      </c>
      <c r="CQ331" t="str">
        <f t="shared" si="319"/>
        <v>R510</v>
      </c>
      <c r="CR331" t="str">
        <f t="shared" si="320"/>
        <v>R510</v>
      </c>
      <c r="CS331" t="s">
        <v>600</v>
      </c>
      <c r="CT331" t="s">
        <v>1087</v>
      </c>
      <c r="CU331" t="s">
        <v>600</v>
      </c>
      <c r="CV331" t="b">
        <f t="shared" si="334"/>
        <v>1</v>
      </c>
      <c r="DC331" t="str">
        <f t="shared" si="321"/>
        <v>G676</v>
      </c>
      <c r="DD331" t="b">
        <f t="shared" si="335"/>
        <v>0</v>
      </c>
      <c r="DE331" t="str">
        <f t="shared" si="336"/>
        <v>G676</v>
      </c>
      <c r="DF331" t="str">
        <f t="shared" si="322"/>
        <v>R510</v>
      </c>
      <c r="DG331" t="b">
        <f t="shared" si="337"/>
        <v>0</v>
      </c>
      <c r="DH331" t="str">
        <f t="shared" si="338"/>
        <v>R510</v>
      </c>
    </row>
    <row r="332" spans="2:112" ht="12" customHeight="1">
      <c r="B332" t="str">
        <f>TBIDry!H404</f>
        <v>G102</v>
      </c>
      <c r="C332" t="str">
        <f>TBIDry!I404</f>
        <v>R299</v>
      </c>
      <c r="D332" t="b">
        <f t="shared" si="285"/>
        <v>0</v>
      </c>
      <c r="E332" t="b">
        <f t="shared" si="286"/>
        <v>0</v>
      </c>
      <c r="G332" t="str">
        <f>TBIWet!H404</f>
        <v>G887</v>
      </c>
      <c r="H332" t="str">
        <f>TBIWet!I404</f>
        <v>R33</v>
      </c>
      <c r="I332" t="b">
        <f t="shared" si="287"/>
        <v>0</v>
      </c>
      <c r="J332" t="b">
        <f t="shared" si="288"/>
        <v>0</v>
      </c>
      <c r="L332" t="str">
        <f>'Both teabags AfterWet'!A330</f>
        <v>G791</v>
      </c>
      <c r="M332" t="str">
        <f>'Both teabags AfterWet'!A750</f>
        <v>R543</v>
      </c>
      <c r="N332" t="b">
        <f t="shared" si="289"/>
        <v>0</v>
      </c>
      <c r="O332" t="b">
        <f t="shared" si="339"/>
        <v>0</v>
      </c>
      <c r="Q332" s="388" t="b">
        <f t="shared" si="290"/>
        <v>0</v>
      </c>
      <c r="R332" s="388" t="b">
        <f t="shared" si="291"/>
        <v>0</v>
      </c>
      <c r="T332" t="str">
        <f>'Both teabags AfterDry'!A330</f>
        <v>G92</v>
      </c>
      <c r="U332" t="str">
        <f>'Both teabags AfterDry'!A665</f>
        <v>R835</v>
      </c>
      <c r="V332" t="b">
        <f t="shared" si="292"/>
        <v>0</v>
      </c>
      <c r="W332" t="b">
        <f t="shared" si="323"/>
        <v>0</v>
      </c>
      <c r="Y332" t="str">
        <f>'Green_rooibos initial weight'!A333</f>
        <v>G329</v>
      </c>
      <c r="Z332" t="str">
        <f>'Green_rooibos initial weight'!A1237</f>
        <v>R329</v>
      </c>
      <c r="AA332" t="b">
        <f t="shared" si="293"/>
        <v>0</v>
      </c>
      <c r="AB332" t="b">
        <f t="shared" si="294"/>
        <v>0</v>
      </c>
      <c r="AE332" t="str">
        <f>'WetLitterbags placem_collection'!O111</f>
        <v>G887</v>
      </c>
      <c r="AF332" t="str">
        <f>'WetLitterbags placem_collection'!Q111</f>
        <v>R33</v>
      </c>
      <c r="AG332" t="b">
        <f t="shared" si="295"/>
        <v>0</v>
      </c>
      <c r="AH332" t="b">
        <f t="shared" si="296"/>
        <v>0</v>
      </c>
      <c r="AJ332" t="b">
        <f t="shared" si="297"/>
        <v>0</v>
      </c>
      <c r="AK332" t="b">
        <f t="shared" si="298"/>
        <v>0</v>
      </c>
      <c r="AM332" t="str">
        <f>IF(ISBLANK('Dry_Litterbag Placem_Collection'!L111),"","G"&amp;""&amp;'Dry_Litterbag Placem_Collection'!L111)</f>
        <v>G102</v>
      </c>
      <c r="AN332" t="str">
        <f>IF(ISBLANK('Dry_Litterbag Placem_Collection'!M111),"","R"&amp;""&amp;'Dry_Litterbag Placem_Collection'!M111)</f>
        <v>R299</v>
      </c>
      <c r="AO332" t="b">
        <f t="shared" si="299"/>
        <v>0</v>
      </c>
      <c r="AP332" t="b">
        <f t="shared" si="300"/>
        <v>0</v>
      </c>
      <c r="AS332" t="str">
        <f>'Ashed teabags dry'!A330</f>
        <v>G92</v>
      </c>
      <c r="AT332" t="str">
        <f>'Ashed teabags dry'!A665</f>
        <v>R835</v>
      </c>
      <c r="AU332" t="b">
        <f t="shared" si="301"/>
        <v>0</v>
      </c>
      <c r="AV332" t="b">
        <f t="shared" si="324"/>
        <v>0</v>
      </c>
      <c r="AX332" s="388" t="b">
        <f t="shared" si="302"/>
        <v>0</v>
      </c>
      <c r="AY332" s="388" t="b">
        <f t="shared" si="303"/>
        <v>0</v>
      </c>
      <c r="BA332" t="str">
        <f>'Ashed teabags wet'!A330</f>
        <v>G791</v>
      </c>
      <c r="BB332" t="str">
        <f>'Ashed teabags wet'!A750</f>
        <v>R543</v>
      </c>
      <c r="BC332" t="b">
        <f t="shared" si="304"/>
        <v>0</v>
      </c>
      <c r="BD332" t="b">
        <f t="shared" si="284"/>
        <v>0</v>
      </c>
      <c r="BF332" t="str">
        <f t="shared" si="305"/>
        <v>G91</v>
      </c>
      <c r="BG332" t="str">
        <f t="shared" si="306"/>
        <v>G91</v>
      </c>
      <c r="BH332" t="str">
        <f t="shared" si="307"/>
        <v>G62</v>
      </c>
      <c r="BI332" t="str">
        <f t="shared" si="325"/>
        <v>G62</v>
      </c>
      <c r="BJ332" t="s">
        <v>1959</v>
      </c>
      <c r="BK332" t="s">
        <v>1959</v>
      </c>
      <c r="BL332" t="s">
        <v>1959</v>
      </c>
      <c r="BM332" t="b">
        <f t="shared" si="326"/>
        <v>1</v>
      </c>
      <c r="BN332" t="str">
        <f t="shared" si="308"/>
        <v>R833</v>
      </c>
      <c r="BO332" t="str">
        <f t="shared" si="309"/>
        <v>R833</v>
      </c>
      <c r="BP332" t="str">
        <f t="shared" si="310"/>
        <v>R206</v>
      </c>
      <c r="BQ332" t="str">
        <f t="shared" si="311"/>
        <v>R206</v>
      </c>
      <c r="BR332" t="s">
        <v>306</v>
      </c>
      <c r="BS332" t="s">
        <v>304</v>
      </c>
      <c r="BT332" t="s">
        <v>306</v>
      </c>
      <c r="BU332" t="b">
        <f t="shared" si="327"/>
        <v>1</v>
      </c>
      <c r="BZ332" t="str">
        <f t="shared" si="312"/>
        <v>G62</v>
      </c>
      <c r="CA332" t="b">
        <f t="shared" si="313"/>
        <v>0</v>
      </c>
      <c r="CB332" t="str">
        <f t="shared" si="328"/>
        <v>G62</v>
      </c>
      <c r="CC332" t="str">
        <f t="shared" si="314"/>
        <v>R206</v>
      </c>
      <c r="CD332" t="b">
        <f t="shared" si="329"/>
        <v>0</v>
      </c>
      <c r="CE332" t="str">
        <f t="shared" si="330"/>
        <v>R206</v>
      </c>
      <c r="CG332" t="str">
        <f t="shared" si="315"/>
        <v>G789</v>
      </c>
      <c r="CH332" t="str">
        <f t="shared" si="331"/>
        <v>G789</v>
      </c>
      <c r="CI332" t="str">
        <f t="shared" si="316"/>
        <v>G845</v>
      </c>
      <c r="CJ332" t="str">
        <f t="shared" si="317"/>
        <v>G845</v>
      </c>
      <c r="CK332" t="s">
        <v>1261</v>
      </c>
      <c r="CL332" t="s">
        <v>1261</v>
      </c>
      <c r="CM332" t="s">
        <v>1261</v>
      </c>
      <c r="CN332" t="b">
        <f t="shared" si="332"/>
        <v>1</v>
      </c>
      <c r="CO332" t="str">
        <f t="shared" si="318"/>
        <v>R542</v>
      </c>
      <c r="CP332" t="str">
        <f t="shared" si="333"/>
        <v>R542</v>
      </c>
      <c r="CQ332" t="str">
        <f t="shared" si="319"/>
        <v>R509</v>
      </c>
      <c r="CR332" t="str">
        <f t="shared" si="320"/>
        <v>R509</v>
      </c>
      <c r="CS332" t="s">
        <v>599</v>
      </c>
      <c r="CT332" t="s">
        <v>601</v>
      </c>
      <c r="CU332" t="s">
        <v>599</v>
      </c>
      <c r="CV332" t="b">
        <f t="shared" si="334"/>
        <v>1</v>
      </c>
      <c r="DC332" t="str">
        <f t="shared" si="321"/>
        <v>G845</v>
      </c>
      <c r="DD332" t="b">
        <f t="shared" si="335"/>
        <v>0</v>
      </c>
      <c r="DE332" t="str">
        <f t="shared" si="336"/>
        <v>G845</v>
      </c>
      <c r="DF332" t="str">
        <f t="shared" si="322"/>
        <v>R509</v>
      </c>
      <c r="DG332" t="b">
        <f t="shared" si="337"/>
        <v>0</v>
      </c>
      <c r="DH332" t="str">
        <f t="shared" si="338"/>
        <v>R509</v>
      </c>
    </row>
    <row r="333" spans="2:112" ht="12" customHeight="1">
      <c r="B333" t="str">
        <f>TBIDry!H405</f>
        <v>G265</v>
      </c>
      <c r="C333" t="str">
        <f>TBIDry!I405</f>
        <v>R636</v>
      </c>
      <c r="D333" t="b">
        <f t="shared" si="285"/>
        <v>0</v>
      </c>
      <c r="E333" t="b">
        <f t="shared" si="286"/>
        <v>0</v>
      </c>
      <c r="G333" t="str">
        <f>TBIWet!H405</f>
        <v>G882</v>
      </c>
      <c r="H333" t="str">
        <f>TBIWet!I405</f>
        <v>R54</v>
      </c>
      <c r="I333" t="b">
        <f t="shared" si="287"/>
        <v>0</v>
      </c>
      <c r="J333" t="b">
        <f t="shared" si="288"/>
        <v>0</v>
      </c>
      <c r="L333" t="str">
        <f>'Both teabags AfterWet'!A331</f>
        <v>G793</v>
      </c>
      <c r="M333" t="str">
        <f>'Both teabags AfterWet'!A751</f>
        <v>R544</v>
      </c>
      <c r="N333" t="b">
        <f t="shared" si="289"/>
        <v>0</v>
      </c>
      <c r="O333" t="b">
        <f t="shared" si="339"/>
        <v>0</v>
      </c>
      <c r="Q333" s="388" t="b">
        <f t="shared" si="290"/>
        <v>0</v>
      </c>
      <c r="R333" s="388" t="b">
        <f t="shared" si="291"/>
        <v>0</v>
      </c>
      <c r="T333" t="str">
        <f>'Both teabags AfterDry'!A331</f>
        <v>G93</v>
      </c>
      <c r="U333" t="str">
        <f>'Both teabags AfterDry'!A666</f>
        <v>R836</v>
      </c>
      <c r="V333" t="b">
        <f t="shared" si="292"/>
        <v>0</v>
      </c>
      <c r="W333" t="b">
        <f t="shared" si="323"/>
        <v>0</v>
      </c>
      <c r="Y333" t="str">
        <f>'Green_rooibos initial weight'!A334</f>
        <v>G330</v>
      </c>
      <c r="Z333" t="str">
        <f>'Green_rooibos initial weight'!A1238</f>
        <v>R330</v>
      </c>
      <c r="AA333" t="b">
        <f t="shared" si="293"/>
        <v>0</v>
      </c>
      <c r="AB333" t="b">
        <f t="shared" si="294"/>
        <v>0</v>
      </c>
      <c r="AE333" t="str">
        <f>'WetLitterbags placem_collection'!O112</f>
        <v>G882</v>
      </c>
      <c r="AF333" t="str">
        <f>'WetLitterbags placem_collection'!Q112</f>
        <v>R54</v>
      </c>
      <c r="AG333" t="b">
        <f t="shared" si="295"/>
        <v>0</v>
      </c>
      <c r="AH333" t="b">
        <f t="shared" si="296"/>
        <v>0</v>
      </c>
      <c r="AJ333" t="b">
        <f t="shared" si="297"/>
        <v>0</v>
      </c>
      <c r="AK333" t="b">
        <f t="shared" si="298"/>
        <v>0</v>
      </c>
      <c r="AM333" t="str">
        <f>IF(ISBLANK('Dry_Litterbag Placem_Collection'!L112),"","G"&amp;""&amp;'Dry_Litterbag Placem_Collection'!L112)</f>
        <v>G265</v>
      </c>
      <c r="AN333" t="str">
        <f>IF(ISBLANK('Dry_Litterbag Placem_Collection'!M112),"","R"&amp;""&amp;'Dry_Litterbag Placem_Collection'!M112)</f>
        <v>R636</v>
      </c>
      <c r="AO333" t="b">
        <f t="shared" si="299"/>
        <v>0</v>
      </c>
      <c r="AP333" t="b">
        <f t="shared" si="300"/>
        <v>0</v>
      </c>
      <c r="AS333" t="str">
        <f>'Ashed teabags dry'!A331</f>
        <v>G93</v>
      </c>
      <c r="AT333" t="str">
        <f>'Ashed teabags dry'!A666</f>
        <v>R836</v>
      </c>
      <c r="AU333" t="b">
        <f t="shared" si="301"/>
        <v>0</v>
      </c>
      <c r="AV333" t="b">
        <f t="shared" si="324"/>
        <v>0</v>
      </c>
      <c r="AX333" s="388" t="b">
        <f t="shared" si="302"/>
        <v>0</v>
      </c>
      <c r="AY333" s="388" t="b">
        <f t="shared" si="303"/>
        <v>0</v>
      </c>
      <c r="BA333" t="str">
        <f>'Ashed teabags wet'!A331</f>
        <v>G793</v>
      </c>
      <c r="BB333" t="str">
        <f>'Ashed teabags wet'!A751</f>
        <v>R544</v>
      </c>
      <c r="BC333" t="b">
        <f t="shared" si="304"/>
        <v>0</v>
      </c>
      <c r="BD333" t="b">
        <f t="shared" si="284"/>
        <v>0</v>
      </c>
      <c r="BF333" t="str">
        <f t="shared" si="305"/>
        <v>G92</v>
      </c>
      <c r="BG333" t="str">
        <f t="shared" si="306"/>
        <v>G92</v>
      </c>
      <c r="BH333" t="str">
        <f t="shared" si="307"/>
        <v>G102</v>
      </c>
      <c r="BI333" t="str">
        <f t="shared" si="325"/>
        <v>G102</v>
      </c>
      <c r="BJ333" t="s">
        <v>1958</v>
      </c>
      <c r="BK333" t="s">
        <v>1958</v>
      </c>
      <c r="BL333" t="s">
        <v>1958</v>
      </c>
      <c r="BM333" t="b">
        <f t="shared" si="326"/>
        <v>1</v>
      </c>
      <c r="BN333" t="str">
        <f t="shared" si="308"/>
        <v>R835</v>
      </c>
      <c r="BO333" t="str">
        <f t="shared" si="309"/>
        <v>R835</v>
      </c>
      <c r="BP333" t="str">
        <f t="shared" si="310"/>
        <v>R299</v>
      </c>
      <c r="BQ333" t="str">
        <f t="shared" si="311"/>
        <v>R299</v>
      </c>
      <c r="BR333" t="s">
        <v>304</v>
      </c>
      <c r="BS333" t="s">
        <v>303</v>
      </c>
      <c r="BT333" t="s">
        <v>304</v>
      </c>
      <c r="BU333" t="b">
        <f t="shared" si="327"/>
        <v>1</v>
      </c>
      <c r="BZ333" t="str">
        <f t="shared" si="312"/>
        <v>G102</v>
      </c>
      <c r="CA333" t="b">
        <f t="shared" si="313"/>
        <v>0</v>
      </c>
      <c r="CB333" t="str">
        <f t="shared" si="328"/>
        <v>G102</v>
      </c>
      <c r="CC333" t="str">
        <f t="shared" si="314"/>
        <v>R299</v>
      </c>
      <c r="CD333" t="b">
        <f t="shared" si="329"/>
        <v>0</v>
      </c>
      <c r="CE333" t="str">
        <f t="shared" si="330"/>
        <v>R299</v>
      </c>
      <c r="CG333" t="str">
        <f t="shared" si="315"/>
        <v>G791</v>
      </c>
      <c r="CH333" t="str">
        <f t="shared" si="331"/>
        <v>G791</v>
      </c>
      <c r="CI333" t="str">
        <f t="shared" si="316"/>
        <v>G887</v>
      </c>
      <c r="CJ333" t="str">
        <f t="shared" si="317"/>
        <v>G887</v>
      </c>
      <c r="CK333" t="s">
        <v>1259</v>
      </c>
      <c r="CL333" t="s">
        <v>1259</v>
      </c>
      <c r="CM333" t="s">
        <v>1259</v>
      </c>
      <c r="CN333" t="b">
        <f t="shared" si="332"/>
        <v>1</v>
      </c>
      <c r="CO333" t="str">
        <f t="shared" si="318"/>
        <v>R543</v>
      </c>
      <c r="CP333" t="str">
        <f t="shared" si="333"/>
        <v>R543</v>
      </c>
      <c r="CQ333" t="str">
        <f t="shared" si="319"/>
        <v>R33</v>
      </c>
      <c r="CR333" t="str">
        <f t="shared" si="320"/>
        <v>R33</v>
      </c>
      <c r="CS333" t="s">
        <v>598</v>
      </c>
      <c r="CT333" t="s">
        <v>600</v>
      </c>
      <c r="CU333" t="s">
        <v>598</v>
      </c>
      <c r="CV333" t="b">
        <f t="shared" si="334"/>
        <v>1</v>
      </c>
      <c r="DC333" t="str">
        <f t="shared" si="321"/>
        <v>G887</v>
      </c>
      <c r="DD333" t="b">
        <f t="shared" si="335"/>
        <v>0</v>
      </c>
      <c r="DE333" t="str">
        <f t="shared" si="336"/>
        <v>G887</v>
      </c>
      <c r="DF333" t="str">
        <f t="shared" si="322"/>
        <v>R33</v>
      </c>
      <c r="DG333" t="b">
        <f t="shared" si="337"/>
        <v>0</v>
      </c>
      <c r="DH333" t="str">
        <f t="shared" si="338"/>
        <v>R33</v>
      </c>
    </row>
    <row r="334" spans="2:112" ht="12" customHeight="1">
      <c r="B334" t="str">
        <f>TBIDry!H406</f>
        <v>G455</v>
      </c>
      <c r="C334" t="str">
        <f>TBIDry!I406</f>
        <v>R239</v>
      </c>
      <c r="D334" t="b">
        <f t="shared" si="285"/>
        <v>0</v>
      </c>
      <c r="E334" t="b">
        <f t="shared" si="286"/>
        <v>0</v>
      </c>
      <c r="G334" t="str">
        <f>TBIWet!H406</f>
        <v>G695</v>
      </c>
      <c r="H334" t="str">
        <f>TBIWet!I406</f>
        <v>R487</v>
      </c>
      <c r="I334" t="b">
        <f t="shared" si="287"/>
        <v>0</v>
      </c>
      <c r="J334" t="b">
        <f t="shared" si="288"/>
        <v>0</v>
      </c>
      <c r="L334" t="str">
        <f>'Both teabags AfterWet'!A332</f>
        <v>G795</v>
      </c>
      <c r="M334" t="str">
        <f>'Both teabags AfterWet'!A752</f>
        <v>R545</v>
      </c>
      <c r="N334" t="b">
        <f t="shared" si="289"/>
        <v>0</v>
      </c>
      <c r="O334" t="b">
        <f t="shared" si="339"/>
        <v>0</v>
      </c>
      <c r="Q334" s="388" t="b">
        <f t="shared" si="290"/>
        <v>0</v>
      </c>
      <c r="R334" s="388" t="b">
        <f t="shared" si="291"/>
        <v>0</v>
      </c>
      <c r="T334" t="str">
        <f>'Both teabags AfterDry'!A332</f>
        <v>G94</v>
      </c>
      <c r="U334" t="str">
        <f>'Both teabags AfterDry'!A667</f>
        <v>R837</v>
      </c>
      <c r="V334" t="b">
        <f t="shared" si="292"/>
        <v>0</v>
      </c>
      <c r="W334" t="b">
        <f t="shared" si="323"/>
        <v>0</v>
      </c>
      <c r="Y334" t="str">
        <f>'Green_rooibos initial weight'!A335</f>
        <v>G331</v>
      </c>
      <c r="Z334" t="str">
        <f>'Green_rooibos initial weight'!A1239</f>
        <v>R331</v>
      </c>
      <c r="AA334" t="b">
        <f t="shared" si="293"/>
        <v>0</v>
      </c>
      <c r="AB334" t="b">
        <f t="shared" si="294"/>
        <v>0</v>
      </c>
      <c r="AE334" t="str">
        <f>'WetLitterbags placem_collection'!O113</f>
        <v>G695</v>
      </c>
      <c r="AF334" t="str">
        <f>'WetLitterbags placem_collection'!Q113</f>
        <v>R487</v>
      </c>
      <c r="AG334" t="b">
        <f t="shared" si="295"/>
        <v>0</v>
      </c>
      <c r="AH334" t="b">
        <f t="shared" si="296"/>
        <v>0</v>
      </c>
      <c r="AJ334" t="b">
        <f t="shared" si="297"/>
        <v>0</v>
      </c>
      <c r="AK334" t="b">
        <f t="shared" si="298"/>
        <v>0</v>
      </c>
      <c r="AM334" t="str">
        <f>IF(ISBLANK('Dry_Litterbag Placem_Collection'!L113),"","G"&amp;""&amp;'Dry_Litterbag Placem_Collection'!L113)</f>
        <v>G455</v>
      </c>
      <c r="AN334" t="str">
        <f>IF(ISBLANK('Dry_Litterbag Placem_Collection'!M113),"","R"&amp;""&amp;'Dry_Litterbag Placem_Collection'!M113)</f>
        <v>R239</v>
      </c>
      <c r="AO334" t="b">
        <f t="shared" si="299"/>
        <v>0</v>
      </c>
      <c r="AP334" t="b">
        <f t="shared" si="300"/>
        <v>0</v>
      </c>
      <c r="AS334" t="str">
        <f>'Ashed teabags dry'!A332</f>
        <v>G94</v>
      </c>
      <c r="AT334" t="str">
        <f>'Ashed teabags dry'!A667</f>
        <v>R837</v>
      </c>
      <c r="AU334" t="b">
        <f t="shared" si="301"/>
        <v>0</v>
      </c>
      <c r="AV334" t="b">
        <f t="shared" si="324"/>
        <v>0</v>
      </c>
      <c r="AX334" s="388" t="b">
        <f t="shared" si="302"/>
        <v>0</v>
      </c>
      <c r="AY334" s="388" t="b">
        <f t="shared" si="303"/>
        <v>0</v>
      </c>
      <c r="BA334" t="str">
        <f>'Ashed teabags wet'!A332</f>
        <v>G795</v>
      </c>
      <c r="BB334" t="str">
        <f>'Ashed teabags wet'!A752</f>
        <v>R545</v>
      </c>
      <c r="BC334" t="b">
        <f t="shared" si="304"/>
        <v>0</v>
      </c>
      <c r="BD334" t="b">
        <f t="shared" si="284"/>
        <v>0</v>
      </c>
      <c r="BF334" t="str">
        <f t="shared" si="305"/>
        <v>G93</v>
      </c>
      <c r="BG334" t="str">
        <f t="shared" si="306"/>
        <v>G93</v>
      </c>
      <c r="BH334" t="str">
        <f t="shared" si="307"/>
        <v>G265</v>
      </c>
      <c r="BI334" t="str">
        <f t="shared" si="325"/>
        <v>G265</v>
      </c>
      <c r="BJ334" t="s">
        <v>1957</v>
      </c>
      <c r="BK334" t="s">
        <v>1957</v>
      </c>
      <c r="BL334" t="s">
        <v>1957</v>
      </c>
      <c r="BM334" t="b">
        <f t="shared" si="326"/>
        <v>1</v>
      </c>
      <c r="BN334" t="str">
        <f t="shared" si="308"/>
        <v>R836</v>
      </c>
      <c r="BO334" t="str">
        <f t="shared" si="309"/>
        <v>R836</v>
      </c>
      <c r="BP334" t="str">
        <f t="shared" si="310"/>
        <v>R636</v>
      </c>
      <c r="BQ334" t="str">
        <f t="shared" si="311"/>
        <v>R636</v>
      </c>
      <c r="BR334" t="s">
        <v>303</v>
      </c>
      <c r="BS334" t="s">
        <v>302</v>
      </c>
      <c r="BT334" t="s">
        <v>303</v>
      </c>
      <c r="BU334" t="b">
        <f t="shared" si="327"/>
        <v>1</v>
      </c>
      <c r="BZ334" t="str">
        <f t="shared" si="312"/>
        <v>G265</v>
      </c>
      <c r="CA334" t="b">
        <f t="shared" si="313"/>
        <v>0</v>
      </c>
      <c r="CB334" t="str">
        <f t="shared" si="328"/>
        <v>G265</v>
      </c>
      <c r="CC334" t="str">
        <f t="shared" si="314"/>
        <v>R636</v>
      </c>
      <c r="CD334" t="b">
        <f t="shared" si="329"/>
        <v>0</v>
      </c>
      <c r="CE334" t="str">
        <f t="shared" si="330"/>
        <v>R636</v>
      </c>
      <c r="CG334" t="str">
        <f t="shared" si="315"/>
        <v>G793</v>
      </c>
      <c r="CH334" t="str">
        <f t="shared" si="331"/>
        <v>G793</v>
      </c>
      <c r="CI334" t="str">
        <f t="shared" si="316"/>
        <v>G882</v>
      </c>
      <c r="CJ334" t="str">
        <f t="shared" si="317"/>
        <v>G882</v>
      </c>
      <c r="CK334" t="s">
        <v>1257</v>
      </c>
      <c r="CL334" t="s">
        <v>1257</v>
      </c>
      <c r="CM334" t="s">
        <v>1257</v>
      </c>
      <c r="CN334" t="b">
        <f t="shared" si="332"/>
        <v>1</v>
      </c>
      <c r="CO334" t="str">
        <f t="shared" si="318"/>
        <v>R544</v>
      </c>
      <c r="CP334" t="str">
        <f t="shared" si="333"/>
        <v>R544</v>
      </c>
      <c r="CQ334" t="str">
        <f t="shared" si="319"/>
        <v>R54</v>
      </c>
      <c r="CR334" t="str">
        <f t="shared" si="320"/>
        <v>R54</v>
      </c>
      <c r="CS334" t="s">
        <v>597</v>
      </c>
      <c r="CT334" t="s">
        <v>599</v>
      </c>
      <c r="CU334" t="s">
        <v>597</v>
      </c>
      <c r="CV334" t="b">
        <f t="shared" si="334"/>
        <v>1</v>
      </c>
      <c r="DC334" t="str">
        <f t="shared" si="321"/>
        <v>G882</v>
      </c>
      <c r="DD334" t="b">
        <f t="shared" si="335"/>
        <v>0</v>
      </c>
      <c r="DE334" t="str">
        <f t="shared" si="336"/>
        <v>G882</v>
      </c>
      <c r="DF334" t="str">
        <f t="shared" si="322"/>
        <v>R54</v>
      </c>
      <c r="DG334" t="b">
        <f t="shared" si="337"/>
        <v>0</v>
      </c>
      <c r="DH334" t="str">
        <f t="shared" si="338"/>
        <v>R54</v>
      </c>
    </row>
    <row r="335" spans="2:112" ht="12" customHeight="1">
      <c r="B335" t="str">
        <f>TBIDry!H407</f>
        <v/>
      </c>
      <c r="C335" t="str">
        <f>TBIDry!I407</f>
        <v/>
      </c>
      <c r="D335" t="b">
        <f t="shared" si="285"/>
        <v>1</v>
      </c>
      <c r="E335" t="b">
        <f t="shared" si="286"/>
        <v>1</v>
      </c>
      <c r="G335" t="str">
        <f>TBIWet!H407</f>
        <v>G852</v>
      </c>
      <c r="H335" t="str">
        <f>TBIWet!I407</f>
        <v>R530</v>
      </c>
      <c r="I335" t="b">
        <f t="shared" si="287"/>
        <v>0</v>
      </c>
      <c r="J335" t="b">
        <f t="shared" si="288"/>
        <v>0</v>
      </c>
      <c r="L335" t="str">
        <f>'Both teabags AfterWet'!A333</f>
        <v>G796</v>
      </c>
      <c r="M335" t="str">
        <f>'Both teabags AfterWet'!A753</f>
        <v>R546</v>
      </c>
      <c r="N335" t="b">
        <f t="shared" si="289"/>
        <v>0</v>
      </c>
      <c r="O335" t="b">
        <f t="shared" si="339"/>
        <v>0</v>
      </c>
      <c r="Q335" s="388" t="b">
        <f t="shared" si="290"/>
        <v>0</v>
      </c>
      <c r="R335" s="388" t="b">
        <f t="shared" si="291"/>
        <v>0</v>
      </c>
      <c r="T335" t="str">
        <f>'Both teabags AfterDry'!A333</f>
        <v>G95</v>
      </c>
      <c r="U335" t="str">
        <f>'Both teabags AfterDry'!A668</f>
        <v>R838</v>
      </c>
      <c r="V335" t="b">
        <f t="shared" si="292"/>
        <v>0</v>
      </c>
      <c r="W335" t="b">
        <f t="shared" si="323"/>
        <v>0</v>
      </c>
      <c r="Y335" t="str">
        <f>'Green_rooibos initial weight'!A336</f>
        <v>G332</v>
      </c>
      <c r="Z335" t="str">
        <f>'Green_rooibos initial weight'!A1240</f>
        <v>R332</v>
      </c>
      <c r="AA335" t="b">
        <f t="shared" si="293"/>
        <v>0</v>
      </c>
      <c r="AB335" t="b">
        <f t="shared" si="294"/>
        <v>0</v>
      </c>
      <c r="AE335" t="str">
        <f>'WetLitterbags placem_collection'!O114</f>
        <v>G852</v>
      </c>
      <c r="AF335" t="str">
        <f>'WetLitterbags placem_collection'!Q114</f>
        <v>R530</v>
      </c>
      <c r="AG335" t="b">
        <f t="shared" si="295"/>
        <v>0</v>
      </c>
      <c r="AH335" t="b">
        <f t="shared" si="296"/>
        <v>0</v>
      </c>
      <c r="AJ335" t="b">
        <f t="shared" si="297"/>
        <v>0</v>
      </c>
      <c r="AK335" t="b">
        <f t="shared" si="298"/>
        <v>0</v>
      </c>
      <c r="AM335" t="str">
        <f>IF(ISBLANK('Dry_Litterbag Placem_Collection'!L114),"","G"&amp;""&amp;'Dry_Litterbag Placem_Collection'!L114)</f>
        <v/>
      </c>
      <c r="AN335" t="str">
        <f>IF(ISBLANK('Dry_Litterbag Placem_Collection'!M114),"","R"&amp;""&amp;'Dry_Litterbag Placem_Collection'!M114)</f>
        <v/>
      </c>
      <c r="AO335" t="b">
        <f t="shared" si="299"/>
        <v>1</v>
      </c>
      <c r="AP335" t="b">
        <f t="shared" si="300"/>
        <v>1</v>
      </c>
      <c r="AS335" t="str">
        <f>'Ashed teabags dry'!A333</f>
        <v>G95</v>
      </c>
      <c r="AT335" t="str">
        <f>'Ashed teabags dry'!A668</f>
        <v>R838</v>
      </c>
      <c r="AU335" t="b">
        <f t="shared" si="301"/>
        <v>0</v>
      </c>
      <c r="AV335" t="b">
        <f t="shared" si="324"/>
        <v>0</v>
      </c>
      <c r="AX335" s="388" t="b">
        <f t="shared" si="302"/>
        <v>0</v>
      </c>
      <c r="AY335" s="388" t="b">
        <f t="shared" si="303"/>
        <v>0</v>
      </c>
      <c r="BA335" t="str">
        <f>'Ashed teabags wet'!A333</f>
        <v>G796</v>
      </c>
      <c r="BB335" t="str">
        <f>'Ashed teabags wet'!A753</f>
        <v>R546</v>
      </c>
      <c r="BC335" t="b">
        <f t="shared" si="304"/>
        <v>0</v>
      </c>
      <c r="BD335" t="b">
        <f t="shared" si="284"/>
        <v>0</v>
      </c>
      <c r="BF335" t="str">
        <f t="shared" si="305"/>
        <v>G94</v>
      </c>
      <c r="BG335" t="str">
        <f t="shared" si="306"/>
        <v>G94</v>
      </c>
      <c r="BH335" t="str">
        <f t="shared" si="307"/>
        <v>G455</v>
      </c>
      <c r="BI335" t="str">
        <f t="shared" si="325"/>
        <v>G455</v>
      </c>
      <c r="BJ335" t="s">
        <v>1956</v>
      </c>
      <c r="BK335" t="s">
        <v>1956</v>
      </c>
      <c r="BL335" t="s">
        <v>1956</v>
      </c>
      <c r="BM335" t="b">
        <f t="shared" si="326"/>
        <v>1</v>
      </c>
      <c r="BN335" t="str">
        <f t="shared" si="308"/>
        <v>R837</v>
      </c>
      <c r="BO335" t="str">
        <f t="shared" si="309"/>
        <v>R837</v>
      </c>
      <c r="BP335" t="str">
        <f t="shared" si="310"/>
        <v>R239</v>
      </c>
      <c r="BQ335" t="str">
        <f t="shared" si="311"/>
        <v>R239</v>
      </c>
      <c r="BR335" t="s">
        <v>302</v>
      </c>
      <c r="BS335" t="s">
        <v>301</v>
      </c>
      <c r="BT335" t="s">
        <v>302</v>
      </c>
      <c r="BU335" t="b">
        <f t="shared" si="327"/>
        <v>1</v>
      </c>
      <c r="BZ335" t="str">
        <f t="shared" si="312"/>
        <v>G455</v>
      </c>
      <c r="CA335" t="b">
        <f t="shared" si="313"/>
        <v>0</v>
      </c>
      <c r="CB335" t="str">
        <f t="shared" si="328"/>
        <v>G455</v>
      </c>
      <c r="CC335" t="str">
        <f t="shared" si="314"/>
        <v>R239</v>
      </c>
      <c r="CD335" t="b">
        <f t="shared" si="329"/>
        <v>0</v>
      </c>
      <c r="CE335" t="str">
        <f t="shared" si="330"/>
        <v>R239</v>
      </c>
      <c r="CG335" t="str">
        <f t="shared" si="315"/>
        <v>G795</v>
      </c>
      <c r="CH335" t="str">
        <f t="shared" si="331"/>
        <v>G795</v>
      </c>
      <c r="CI335" t="str">
        <f t="shared" si="316"/>
        <v>G695</v>
      </c>
      <c r="CJ335" t="str">
        <f t="shared" si="317"/>
        <v>G695</v>
      </c>
      <c r="CK335" t="s">
        <v>1255</v>
      </c>
      <c r="CL335" t="s">
        <v>1255</v>
      </c>
      <c r="CM335" t="s">
        <v>1255</v>
      </c>
      <c r="CN335" t="b">
        <f t="shared" si="332"/>
        <v>1</v>
      </c>
      <c r="CO335" t="str">
        <f t="shared" si="318"/>
        <v>R545</v>
      </c>
      <c r="CP335" t="str">
        <f t="shared" si="333"/>
        <v>R545</v>
      </c>
      <c r="CQ335" t="str">
        <f t="shared" si="319"/>
        <v>R487</v>
      </c>
      <c r="CR335" t="str">
        <f t="shared" si="320"/>
        <v>R487</v>
      </c>
      <c r="CS335" t="s">
        <v>596</v>
      </c>
      <c r="CT335" t="s">
        <v>598</v>
      </c>
      <c r="CU335" t="s">
        <v>596</v>
      </c>
      <c r="CV335" t="b">
        <f t="shared" si="334"/>
        <v>1</v>
      </c>
      <c r="DC335" t="str">
        <f t="shared" si="321"/>
        <v>G695</v>
      </c>
      <c r="DD335" t="b">
        <f t="shared" si="335"/>
        <v>0</v>
      </c>
      <c r="DE335" t="str">
        <f t="shared" si="336"/>
        <v>G695</v>
      </c>
      <c r="DF335" t="str">
        <f t="shared" si="322"/>
        <v>R487</v>
      </c>
      <c r="DG335" t="b">
        <f t="shared" si="337"/>
        <v>0</v>
      </c>
      <c r="DH335" t="str">
        <f t="shared" si="338"/>
        <v>R487</v>
      </c>
    </row>
    <row r="336" spans="2:112" ht="12" customHeight="1">
      <c r="B336" t="str">
        <f>TBIDry!H408</f>
        <v>G490</v>
      </c>
      <c r="C336" t="str">
        <f>TBIDry!I408</f>
        <v>R313</v>
      </c>
      <c r="D336" t="b">
        <f t="shared" si="285"/>
        <v>0</v>
      </c>
      <c r="E336" t="b">
        <f t="shared" si="286"/>
        <v>0</v>
      </c>
      <c r="G336" t="str">
        <f>TBIWet!H408</f>
        <v>G769</v>
      </c>
      <c r="H336" t="str">
        <f>TBIWet!I408</f>
        <v>R578</v>
      </c>
      <c r="I336" t="b">
        <f t="shared" si="287"/>
        <v>0</v>
      </c>
      <c r="J336" t="b">
        <f t="shared" si="288"/>
        <v>0</v>
      </c>
      <c r="L336" t="str">
        <f>'Both teabags AfterWet'!A334</f>
        <v>G798</v>
      </c>
      <c r="M336" t="str">
        <f>'Both teabags AfterWet'!A754</f>
        <v>R547</v>
      </c>
      <c r="N336" t="b">
        <f t="shared" si="289"/>
        <v>0</v>
      </c>
      <c r="O336" t="b">
        <f t="shared" si="339"/>
        <v>0</v>
      </c>
      <c r="Q336" s="388" t="b">
        <f t="shared" si="290"/>
        <v>0</v>
      </c>
      <c r="R336" s="388" t="b">
        <f t="shared" si="291"/>
        <v>0</v>
      </c>
      <c r="T336" t="str">
        <f>'Both teabags AfterDry'!A334</f>
        <v>G96</v>
      </c>
      <c r="U336" t="str">
        <f>'Both teabags AfterDry'!A669</f>
        <v>R839</v>
      </c>
      <c r="V336" t="b">
        <f t="shared" si="292"/>
        <v>0</v>
      </c>
      <c r="W336" t="b">
        <f t="shared" si="323"/>
        <v>0</v>
      </c>
      <c r="Y336" t="str">
        <f>'Green_rooibos initial weight'!A337</f>
        <v>G333</v>
      </c>
      <c r="Z336" t="str">
        <f>'Green_rooibos initial weight'!A1241</f>
        <v>R333</v>
      </c>
      <c r="AA336" t="b">
        <f t="shared" si="293"/>
        <v>0</v>
      </c>
      <c r="AB336" t="b">
        <f t="shared" si="294"/>
        <v>0</v>
      </c>
      <c r="AE336" t="str">
        <f>'WetLitterbags placem_collection'!O115</f>
        <v>G769</v>
      </c>
      <c r="AF336" t="str">
        <f>'WetLitterbags placem_collection'!Q115</f>
        <v>R578</v>
      </c>
      <c r="AG336" t="b">
        <f t="shared" si="295"/>
        <v>0</v>
      </c>
      <c r="AH336" t="b">
        <f t="shared" si="296"/>
        <v>0</v>
      </c>
      <c r="AJ336" t="b">
        <f t="shared" si="297"/>
        <v>0</v>
      </c>
      <c r="AK336" t="b">
        <f t="shared" si="298"/>
        <v>0</v>
      </c>
      <c r="AM336" t="str">
        <f>IF(ISBLANK('Dry_Litterbag Placem_Collection'!L115),"","G"&amp;""&amp;'Dry_Litterbag Placem_Collection'!L115)</f>
        <v>G490</v>
      </c>
      <c r="AN336" t="str">
        <f>IF(ISBLANK('Dry_Litterbag Placem_Collection'!M115),"","R"&amp;""&amp;'Dry_Litterbag Placem_Collection'!M115)</f>
        <v>R313</v>
      </c>
      <c r="AO336" t="b">
        <f t="shared" si="299"/>
        <v>0</v>
      </c>
      <c r="AP336" t="b">
        <f t="shared" si="300"/>
        <v>0</v>
      </c>
      <c r="AS336" t="str">
        <f>'Ashed teabags dry'!A334</f>
        <v>G96</v>
      </c>
      <c r="AT336" t="str">
        <f>'Ashed teabags dry'!A669</f>
        <v>R839</v>
      </c>
      <c r="AU336" t="b">
        <f t="shared" si="301"/>
        <v>0</v>
      </c>
      <c r="AV336" t="b">
        <f t="shared" si="324"/>
        <v>0</v>
      </c>
      <c r="AX336" s="388" t="b">
        <f t="shared" si="302"/>
        <v>0</v>
      </c>
      <c r="AY336" s="388" t="b">
        <f t="shared" si="303"/>
        <v>0</v>
      </c>
      <c r="BA336" t="str">
        <f>'Ashed teabags wet'!A334</f>
        <v>G798</v>
      </c>
      <c r="BB336" t="str">
        <f>'Ashed teabags wet'!A754</f>
        <v>R547</v>
      </c>
      <c r="BC336" t="b">
        <f t="shared" si="304"/>
        <v>0</v>
      </c>
      <c r="BD336" t="b">
        <f t="shared" si="284"/>
        <v>0</v>
      </c>
      <c r="BF336" t="str">
        <f t="shared" si="305"/>
        <v>G95</v>
      </c>
      <c r="BG336" t="str">
        <f t="shared" si="306"/>
        <v>G95</v>
      </c>
      <c r="BH336" t="str">
        <f t="shared" si="307"/>
        <v/>
      </c>
      <c r="BI336" t="str">
        <f t="shared" si="325"/>
        <v/>
      </c>
      <c r="BJ336" t="s">
        <v>1955</v>
      </c>
      <c r="BK336" t="s">
        <v>1955</v>
      </c>
      <c r="BL336" t="s">
        <v>1955</v>
      </c>
      <c r="BM336" t="b">
        <f t="shared" si="326"/>
        <v>1</v>
      </c>
      <c r="BN336" t="str">
        <f t="shared" si="308"/>
        <v>R838</v>
      </c>
      <c r="BO336" t="str">
        <f t="shared" si="309"/>
        <v>R838</v>
      </c>
      <c r="BP336" t="str">
        <f t="shared" si="310"/>
        <v/>
      </c>
      <c r="BQ336" t="str">
        <f t="shared" si="311"/>
        <v/>
      </c>
      <c r="BR336" t="s">
        <v>301</v>
      </c>
      <c r="BS336" t="s">
        <v>300</v>
      </c>
      <c r="BT336" t="s">
        <v>301</v>
      </c>
      <c r="BU336" t="b">
        <f t="shared" si="327"/>
        <v>1</v>
      </c>
      <c r="BZ336" t="str">
        <f t="shared" si="312"/>
        <v/>
      </c>
      <c r="CA336" t="b">
        <f t="shared" si="313"/>
        <v>0</v>
      </c>
      <c r="CB336" t="str">
        <f t="shared" si="328"/>
        <v/>
      </c>
      <c r="CC336" t="str">
        <f t="shared" si="314"/>
        <v/>
      </c>
      <c r="CD336" t="b">
        <f t="shared" si="329"/>
        <v>0</v>
      </c>
      <c r="CE336" t="str">
        <f t="shared" si="330"/>
        <v/>
      </c>
      <c r="CG336" t="str">
        <f t="shared" si="315"/>
        <v>G796</v>
      </c>
      <c r="CH336" t="str">
        <f t="shared" si="331"/>
        <v>G796</v>
      </c>
      <c r="CI336" t="str">
        <f t="shared" si="316"/>
        <v>G852</v>
      </c>
      <c r="CJ336" t="str">
        <f t="shared" si="317"/>
        <v>G852</v>
      </c>
      <c r="CK336" t="s">
        <v>1254</v>
      </c>
      <c r="CL336" t="s">
        <v>1254</v>
      </c>
      <c r="CM336" t="s">
        <v>1254</v>
      </c>
      <c r="CN336" t="b">
        <f t="shared" si="332"/>
        <v>1</v>
      </c>
      <c r="CO336" t="str">
        <f t="shared" si="318"/>
        <v>R546</v>
      </c>
      <c r="CP336" t="str">
        <f t="shared" si="333"/>
        <v>R546</v>
      </c>
      <c r="CQ336" t="str">
        <f t="shared" si="319"/>
        <v>R530</v>
      </c>
      <c r="CR336" t="str">
        <f t="shared" si="320"/>
        <v>R530</v>
      </c>
      <c r="CS336" t="s">
        <v>595</v>
      </c>
      <c r="CT336" t="s">
        <v>597</v>
      </c>
      <c r="CU336" t="s">
        <v>595</v>
      </c>
      <c r="CV336" t="b">
        <f t="shared" si="334"/>
        <v>1</v>
      </c>
      <c r="DC336" t="str">
        <f t="shared" si="321"/>
        <v>G852</v>
      </c>
      <c r="DD336" t="b">
        <f t="shared" si="335"/>
        <v>0</v>
      </c>
      <c r="DE336" t="str">
        <f t="shared" si="336"/>
        <v>G852</v>
      </c>
      <c r="DF336" t="str">
        <f t="shared" si="322"/>
        <v>R530</v>
      </c>
      <c r="DG336" t="b">
        <f t="shared" si="337"/>
        <v>0</v>
      </c>
      <c r="DH336" t="str">
        <f t="shared" si="338"/>
        <v>R530</v>
      </c>
    </row>
    <row r="337" spans="2:112" ht="12" customHeight="1">
      <c r="B337" t="str">
        <f>TBIDry!H409</f>
        <v>G650</v>
      </c>
      <c r="C337" t="str">
        <f>TBIDry!I409</f>
        <v>R247</v>
      </c>
      <c r="D337" t="b">
        <f t="shared" si="285"/>
        <v>0</v>
      </c>
      <c r="E337" t="b">
        <f t="shared" si="286"/>
        <v>0</v>
      </c>
      <c r="G337" t="str">
        <f>TBIWet!H409</f>
        <v>G889</v>
      </c>
      <c r="H337" t="str">
        <f>TBIWet!I409</f>
        <v>R37</v>
      </c>
      <c r="I337" t="b">
        <f t="shared" si="287"/>
        <v>0</v>
      </c>
      <c r="J337" t="b">
        <f t="shared" si="288"/>
        <v>0</v>
      </c>
      <c r="L337" t="str">
        <f>'Both teabags AfterWet'!A335</f>
        <v>G799</v>
      </c>
      <c r="M337" t="str">
        <f>'Both teabags AfterWet'!A755</f>
        <v>R548</v>
      </c>
      <c r="N337" t="b">
        <f t="shared" si="289"/>
        <v>0</v>
      </c>
      <c r="O337" t="b">
        <f t="shared" si="339"/>
        <v>0</v>
      </c>
      <c r="Q337" s="388" t="b">
        <f t="shared" si="290"/>
        <v>0</v>
      </c>
      <c r="R337" s="388" t="b">
        <f t="shared" si="291"/>
        <v>0</v>
      </c>
      <c r="T337" t="str">
        <f>'Both teabags AfterDry'!A335</f>
        <v>G97</v>
      </c>
      <c r="U337" t="str">
        <f>'Both teabags AfterDry'!A670</f>
        <v>R84</v>
      </c>
      <c r="V337" t="b">
        <f t="shared" si="292"/>
        <v>0</v>
      </c>
      <c r="W337" t="b">
        <f t="shared" si="323"/>
        <v>0</v>
      </c>
      <c r="Y337" t="str">
        <f>'Green_rooibos initial weight'!A338</f>
        <v>G334</v>
      </c>
      <c r="Z337" t="str">
        <f>'Green_rooibos initial weight'!A1242</f>
        <v>R334</v>
      </c>
      <c r="AA337" t="b">
        <f t="shared" si="293"/>
        <v>0</v>
      </c>
      <c r="AB337" t="b">
        <f t="shared" si="294"/>
        <v>0</v>
      </c>
      <c r="AE337" t="str">
        <f>'WetLitterbags placem_collection'!O116</f>
        <v>G889</v>
      </c>
      <c r="AF337" t="str">
        <f>'WetLitterbags placem_collection'!Q116</f>
        <v>R37</v>
      </c>
      <c r="AG337" t="b">
        <f t="shared" si="295"/>
        <v>0</v>
      </c>
      <c r="AH337" t="b">
        <f t="shared" si="296"/>
        <v>0</v>
      </c>
      <c r="AJ337" t="b">
        <f t="shared" si="297"/>
        <v>0</v>
      </c>
      <c r="AK337" t="b">
        <f t="shared" si="298"/>
        <v>0</v>
      </c>
      <c r="AM337" t="str">
        <f>IF(ISBLANK('Dry_Litterbag Placem_Collection'!L116),"","G"&amp;""&amp;'Dry_Litterbag Placem_Collection'!L116)</f>
        <v>G650</v>
      </c>
      <c r="AN337" t="str">
        <f>IF(ISBLANK('Dry_Litterbag Placem_Collection'!M116),"","R"&amp;""&amp;'Dry_Litterbag Placem_Collection'!M116)</f>
        <v>R247</v>
      </c>
      <c r="AO337" t="b">
        <f t="shared" si="299"/>
        <v>0</v>
      </c>
      <c r="AP337" t="b">
        <f t="shared" si="300"/>
        <v>0</v>
      </c>
      <c r="AS337" t="str">
        <f>'Ashed teabags dry'!A335</f>
        <v>G97</v>
      </c>
      <c r="AT337" t="str">
        <f>'Ashed teabags dry'!A670</f>
        <v>R84</v>
      </c>
      <c r="AU337" t="b">
        <f t="shared" si="301"/>
        <v>0</v>
      </c>
      <c r="AV337" t="b">
        <f t="shared" si="324"/>
        <v>0</v>
      </c>
      <c r="AX337" s="388" t="b">
        <f t="shared" si="302"/>
        <v>0</v>
      </c>
      <c r="AY337" s="388" t="b">
        <f t="shared" si="303"/>
        <v>0</v>
      </c>
      <c r="BA337" t="str">
        <f>'Ashed teabags wet'!A335</f>
        <v>G799</v>
      </c>
      <c r="BB337" t="str">
        <f>'Ashed teabags wet'!A755</f>
        <v>R548</v>
      </c>
      <c r="BC337" t="b">
        <f t="shared" si="304"/>
        <v>0</v>
      </c>
      <c r="BD337" t="b">
        <f t="shared" si="284"/>
        <v>0</v>
      </c>
      <c r="BF337" t="str">
        <f t="shared" si="305"/>
        <v>G96</v>
      </c>
      <c r="BG337" t="str">
        <f t="shared" si="306"/>
        <v>G96</v>
      </c>
      <c r="BH337" t="str">
        <f t="shared" si="307"/>
        <v>G490</v>
      </c>
      <c r="BI337" t="str">
        <f t="shared" si="325"/>
        <v>G490</v>
      </c>
      <c r="BJ337" t="s">
        <v>1954</v>
      </c>
      <c r="BK337" t="s">
        <v>1954</v>
      </c>
      <c r="BL337" t="s">
        <v>1954</v>
      </c>
      <c r="BM337" t="b">
        <f t="shared" si="326"/>
        <v>1</v>
      </c>
      <c r="BN337" t="str">
        <f t="shared" si="308"/>
        <v>R839</v>
      </c>
      <c r="BO337" t="str">
        <f t="shared" si="309"/>
        <v>R839</v>
      </c>
      <c r="BP337" t="str">
        <f t="shared" si="310"/>
        <v>R313</v>
      </c>
      <c r="BQ337" t="str">
        <f t="shared" si="311"/>
        <v>R313</v>
      </c>
      <c r="BR337" t="s">
        <v>300</v>
      </c>
      <c r="BS337" t="s">
        <v>1057</v>
      </c>
      <c r="BT337" t="s">
        <v>300</v>
      </c>
      <c r="BU337" t="b">
        <f t="shared" si="327"/>
        <v>1</v>
      </c>
      <c r="BZ337" t="str">
        <f t="shared" si="312"/>
        <v>G490</v>
      </c>
      <c r="CA337" t="b">
        <f t="shared" si="313"/>
        <v>0</v>
      </c>
      <c r="CB337" t="str">
        <f t="shared" si="328"/>
        <v>G490</v>
      </c>
      <c r="CC337" t="str">
        <f t="shared" si="314"/>
        <v>R313</v>
      </c>
      <c r="CD337" t="b">
        <f t="shared" si="329"/>
        <v>0</v>
      </c>
      <c r="CE337" t="str">
        <f t="shared" si="330"/>
        <v>R313</v>
      </c>
      <c r="CG337" t="str">
        <f t="shared" si="315"/>
        <v>G798</v>
      </c>
      <c r="CH337" t="str">
        <f t="shared" si="331"/>
        <v>G798</v>
      </c>
      <c r="CI337" t="str">
        <f t="shared" si="316"/>
        <v>G769</v>
      </c>
      <c r="CJ337" t="str">
        <f t="shared" si="317"/>
        <v>G769</v>
      </c>
      <c r="CK337" t="s">
        <v>1252</v>
      </c>
      <c r="CL337" t="s">
        <v>1252</v>
      </c>
      <c r="CM337" t="s">
        <v>1252</v>
      </c>
      <c r="CN337" t="b">
        <f t="shared" si="332"/>
        <v>1</v>
      </c>
      <c r="CO337" t="str">
        <f t="shared" si="318"/>
        <v>R547</v>
      </c>
      <c r="CP337" t="str">
        <f t="shared" si="333"/>
        <v>R547</v>
      </c>
      <c r="CQ337" t="str">
        <f t="shared" si="319"/>
        <v>R578</v>
      </c>
      <c r="CR337" t="str">
        <f t="shared" si="320"/>
        <v>R578</v>
      </c>
      <c r="CS337" t="s">
        <v>594</v>
      </c>
      <c r="CT337" t="s">
        <v>596</v>
      </c>
      <c r="CU337" t="s">
        <v>594</v>
      </c>
      <c r="CV337" t="b">
        <f t="shared" si="334"/>
        <v>1</v>
      </c>
      <c r="DC337" t="str">
        <f t="shared" si="321"/>
        <v>G769</v>
      </c>
      <c r="DD337" t="b">
        <f t="shared" si="335"/>
        <v>0</v>
      </c>
      <c r="DE337" t="str">
        <f t="shared" si="336"/>
        <v>G769</v>
      </c>
      <c r="DF337" t="str">
        <f t="shared" si="322"/>
        <v>R578</v>
      </c>
      <c r="DG337" t="b">
        <f t="shared" si="337"/>
        <v>0</v>
      </c>
      <c r="DH337" t="str">
        <f t="shared" si="338"/>
        <v>R578</v>
      </c>
    </row>
    <row r="338" spans="2:112" ht="12" customHeight="1">
      <c r="B338" t="str">
        <f>TBIDry!H410</f>
        <v>G873</v>
      </c>
      <c r="C338" t="str">
        <f>TBIDry!I410</f>
        <v>R671</v>
      </c>
      <c r="D338" t="b">
        <f t="shared" si="285"/>
        <v>0</v>
      </c>
      <c r="E338" t="b">
        <f t="shared" si="286"/>
        <v>0</v>
      </c>
      <c r="G338" t="str">
        <f>TBIWet!H410</f>
        <v>G778</v>
      </c>
      <c r="H338" t="str">
        <f>TBIWet!I410</f>
        <v>R522</v>
      </c>
      <c r="I338" t="b">
        <f t="shared" si="287"/>
        <v>0</v>
      </c>
      <c r="J338" t="b">
        <f t="shared" si="288"/>
        <v>0</v>
      </c>
      <c r="L338" t="str">
        <f>'Both teabags AfterWet'!A336</f>
        <v>G800</v>
      </c>
      <c r="M338" t="str">
        <f>'Both teabags AfterWet'!A756</f>
        <v>R549</v>
      </c>
      <c r="N338" t="b">
        <f t="shared" si="289"/>
        <v>0</v>
      </c>
      <c r="O338" t="b">
        <f t="shared" si="339"/>
        <v>0</v>
      </c>
      <c r="Q338" s="388" t="b">
        <f t="shared" si="290"/>
        <v>0</v>
      </c>
      <c r="R338" s="388" t="b">
        <f t="shared" si="291"/>
        <v>0</v>
      </c>
      <c r="T338" t="str">
        <f>'Both teabags AfterDry'!A336</f>
        <v>G99</v>
      </c>
      <c r="U338" t="str">
        <f>'Both teabags AfterDry'!A671</f>
        <v>R840</v>
      </c>
      <c r="V338" t="b">
        <f t="shared" si="292"/>
        <v>0</v>
      </c>
      <c r="W338" t="b">
        <f t="shared" si="323"/>
        <v>0</v>
      </c>
      <c r="Y338" t="str">
        <f>'Green_rooibos initial weight'!A339</f>
        <v>G335</v>
      </c>
      <c r="Z338" t="str">
        <f>'Green_rooibos initial weight'!A1243</f>
        <v>R335</v>
      </c>
      <c r="AA338" t="b">
        <f t="shared" si="293"/>
        <v>0</v>
      </c>
      <c r="AB338" t="b">
        <f t="shared" si="294"/>
        <v>0</v>
      </c>
      <c r="AE338" t="str">
        <f>'WetLitterbags placem_collection'!O117</f>
        <v>G778</v>
      </c>
      <c r="AF338" t="str">
        <f>'WetLitterbags placem_collection'!Q117</f>
        <v>R522</v>
      </c>
      <c r="AG338" t="b">
        <f t="shared" si="295"/>
        <v>0</v>
      </c>
      <c r="AH338" t="b">
        <f t="shared" si="296"/>
        <v>0</v>
      </c>
      <c r="AJ338" t="b">
        <f t="shared" si="297"/>
        <v>0</v>
      </c>
      <c r="AK338" t="b">
        <f t="shared" si="298"/>
        <v>0</v>
      </c>
      <c r="AM338" t="str">
        <f>IF(ISBLANK('Dry_Litterbag Placem_Collection'!L117),"","G"&amp;""&amp;'Dry_Litterbag Placem_Collection'!L117)</f>
        <v>G873</v>
      </c>
      <c r="AN338" t="str">
        <f>IF(ISBLANK('Dry_Litterbag Placem_Collection'!M117),"","R"&amp;""&amp;'Dry_Litterbag Placem_Collection'!M117)</f>
        <v>R671</v>
      </c>
      <c r="AO338" t="b">
        <f t="shared" si="299"/>
        <v>0</v>
      </c>
      <c r="AP338" t="b">
        <f t="shared" si="300"/>
        <v>0</v>
      </c>
      <c r="AS338" t="str">
        <f>'Ashed teabags dry'!A336</f>
        <v>G99</v>
      </c>
      <c r="AT338" t="str">
        <f>'Ashed teabags dry'!A671</f>
        <v>R840</v>
      </c>
      <c r="AU338" t="b">
        <f t="shared" si="301"/>
        <v>0</v>
      </c>
      <c r="AV338" t="b">
        <f t="shared" si="324"/>
        <v>0</v>
      </c>
      <c r="AX338" s="388" t="b">
        <f t="shared" si="302"/>
        <v>0</v>
      </c>
      <c r="AY338" s="388" t="b">
        <f t="shared" si="303"/>
        <v>0</v>
      </c>
      <c r="BA338" t="str">
        <f>'Ashed teabags wet'!A336</f>
        <v>G800</v>
      </c>
      <c r="BB338" t="str">
        <f>'Ashed teabags wet'!A756</f>
        <v>R549</v>
      </c>
      <c r="BC338" t="b">
        <f t="shared" si="304"/>
        <v>0</v>
      </c>
      <c r="BD338" t="b">
        <f t="shared" si="284"/>
        <v>0</v>
      </c>
      <c r="BF338" t="str">
        <f t="shared" si="305"/>
        <v>G97</v>
      </c>
      <c r="BG338" t="str">
        <f t="shared" si="306"/>
        <v>G97</v>
      </c>
      <c r="BH338" t="str">
        <f t="shared" si="307"/>
        <v>G650</v>
      </c>
      <c r="BI338" t="str">
        <f t="shared" si="325"/>
        <v>G650</v>
      </c>
      <c r="BJ338" t="s">
        <v>1953</v>
      </c>
      <c r="BK338" t="s">
        <v>1953</v>
      </c>
      <c r="BL338" t="s">
        <v>1953</v>
      </c>
      <c r="BM338" t="b">
        <f t="shared" si="326"/>
        <v>1</v>
      </c>
      <c r="BN338" t="str">
        <f t="shared" si="308"/>
        <v>R84</v>
      </c>
      <c r="BO338" t="str">
        <f t="shared" si="309"/>
        <v>R84</v>
      </c>
      <c r="BP338" t="str">
        <f t="shared" si="310"/>
        <v>R247</v>
      </c>
      <c r="BQ338" t="str">
        <f t="shared" si="311"/>
        <v>R247</v>
      </c>
      <c r="BR338" t="s">
        <v>1057</v>
      </c>
      <c r="BS338" t="s">
        <v>299</v>
      </c>
      <c r="BT338" t="s">
        <v>1057</v>
      </c>
      <c r="BU338" t="b">
        <f xml:space="preserve"> COUNTIF($BR$5:$BT$2000,BS338)=3</f>
        <v>1</v>
      </c>
      <c r="BZ338" t="str">
        <f t="shared" si="312"/>
        <v>G650</v>
      </c>
      <c r="CA338" t="b">
        <f t="shared" si="313"/>
        <v>0</v>
      </c>
      <c r="CB338" t="str">
        <f t="shared" si="328"/>
        <v>G650</v>
      </c>
      <c r="CC338" t="str">
        <f t="shared" si="314"/>
        <v>R247</v>
      </c>
      <c r="CD338" t="b">
        <f t="shared" si="329"/>
        <v>0</v>
      </c>
      <c r="CE338" t="str">
        <f t="shared" si="330"/>
        <v>R247</v>
      </c>
      <c r="CG338" t="str">
        <f t="shared" si="315"/>
        <v>G799</v>
      </c>
      <c r="CH338" t="str">
        <f t="shared" si="331"/>
        <v>G799</v>
      </c>
      <c r="CI338" t="str">
        <f t="shared" si="316"/>
        <v>G889</v>
      </c>
      <c r="CJ338" t="str">
        <f t="shared" si="317"/>
        <v>G889</v>
      </c>
      <c r="CK338" t="s">
        <v>1251</v>
      </c>
      <c r="CL338" t="s">
        <v>1251</v>
      </c>
      <c r="CM338" t="s">
        <v>1251</v>
      </c>
      <c r="CN338" t="b">
        <f t="shared" si="332"/>
        <v>1</v>
      </c>
      <c r="CO338" t="str">
        <f t="shared" si="318"/>
        <v>R548</v>
      </c>
      <c r="CP338" t="str">
        <f t="shared" si="333"/>
        <v>R548</v>
      </c>
      <c r="CQ338" t="str">
        <f t="shared" si="319"/>
        <v>R37</v>
      </c>
      <c r="CR338" t="str">
        <f t="shared" si="320"/>
        <v>R37</v>
      </c>
      <c r="CS338" t="s">
        <v>593</v>
      </c>
      <c r="CT338" t="s">
        <v>595</v>
      </c>
      <c r="CU338" t="s">
        <v>593</v>
      </c>
      <c r="CV338" t="b">
        <f t="shared" si="334"/>
        <v>1</v>
      </c>
      <c r="DC338" t="str">
        <f t="shared" si="321"/>
        <v>G889</v>
      </c>
      <c r="DD338" t="b">
        <f t="shared" si="335"/>
        <v>0</v>
      </c>
      <c r="DE338" t="str">
        <f t="shared" si="336"/>
        <v>G889</v>
      </c>
      <c r="DF338" t="str">
        <f t="shared" si="322"/>
        <v>R37</v>
      </c>
      <c r="DG338" t="b">
        <f t="shared" si="337"/>
        <v>0</v>
      </c>
      <c r="DH338" t="str">
        <f t="shared" si="338"/>
        <v>R37</v>
      </c>
    </row>
    <row r="339" spans="2:112" ht="12" customHeight="1">
      <c r="B339" t="str">
        <f>TBIDry!H411</f>
        <v>G206</v>
      </c>
      <c r="C339" t="str">
        <f>TBIDry!I411</f>
        <v>R638</v>
      </c>
      <c r="D339" t="b">
        <f t="shared" si="285"/>
        <v>0</v>
      </c>
      <c r="E339" t="b">
        <f t="shared" si="286"/>
        <v>0</v>
      </c>
      <c r="G339" t="str">
        <f>TBIWet!H411</f>
        <v>G563</v>
      </c>
      <c r="H339" t="str">
        <f>TBIWet!I411</f>
        <v>R480</v>
      </c>
      <c r="I339" t="b">
        <f t="shared" si="287"/>
        <v>0</v>
      </c>
      <c r="J339" t="b">
        <f t="shared" si="288"/>
        <v>0</v>
      </c>
      <c r="L339" t="str">
        <f>'Both teabags AfterWet'!A337</f>
        <v>G801</v>
      </c>
      <c r="M339" t="str">
        <f>'Both teabags AfterWet'!A757</f>
        <v>R54</v>
      </c>
      <c r="N339" t="b">
        <f t="shared" si="289"/>
        <v>0</v>
      </c>
      <c r="O339" t="b">
        <f t="shared" si="339"/>
        <v>0</v>
      </c>
      <c r="Q339" s="388" t="b">
        <f t="shared" si="290"/>
        <v>0</v>
      </c>
      <c r="R339" s="388" t="b">
        <f t="shared" si="291"/>
        <v>0</v>
      </c>
      <c r="T339" t="str">
        <f>'Both teabags AfterDry'!A337</f>
        <v>R106</v>
      </c>
      <c r="V339" t="b">
        <f t="shared" si="292"/>
        <v>0</v>
      </c>
      <c r="W339" t="b">
        <f t="shared" si="323"/>
        <v>0</v>
      </c>
      <c r="Y339" t="str">
        <f>'Green_rooibos initial weight'!A340</f>
        <v>G336</v>
      </c>
      <c r="Z339" t="str">
        <f>'Green_rooibos initial weight'!A1244</f>
        <v>R336</v>
      </c>
      <c r="AA339" t="b">
        <f t="shared" si="293"/>
        <v>0</v>
      </c>
      <c r="AB339" t="b">
        <f t="shared" si="294"/>
        <v>0</v>
      </c>
      <c r="AE339" t="str">
        <f>'WetLitterbags placem_collection'!O118</f>
        <v>G563</v>
      </c>
      <c r="AF339" t="str">
        <f>'WetLitterbags placem_collection'!Q118</f>
        <v>R480</v>
      </c>
      <c r="AG339" t="b">
        <f t="shared" si="295"/>
        <v>0</v>
      </c>
      <c r="AH339" t="b">
        <f t="shared" si="296"/>
        <v>0</v>
      </c>
      <c r="AJ339" t="b">
        <f t="shared" si="297"/>
        <v>0</v>
      </c>
      <c r="AK339" t="b">
        <f t="shared" si="298"/>
        <v>0</v>
      </c>
      <c r="AM339" t="str">
        <f>IF(ISBLANK('Dry_Litterbag Placem_Collection'!L118),"","G"&amp;""&amp;'Dry_Litterbag Placem_Collection'!L118)</f>
        <v>G206</v>
      </c>
      <c r="AN339" t="str">
        <f>IF(ISBLANK('Dry_Litterbag Placem_Collection'!M118),"","R"&amp;""&amp;'Dry_Litterbag Placem_Collection'!M118)</f>
        <v>R638</v>
      </c>
      <c r="AO339" t="b">
        <f t="shared" si="299"/>
        <v>0</v>
      </c>
      <c r="AP339" t="b">
        <f t="shared" si="300"/>
        <v>0</v>
      </c>
      <c r="AT339">
        <f>'Ashed teabags dry'!A672</f>
        <v>0</v>
      </c>
      <c r="AU339" t="b">
        <f>COUNTIF($AS$4:$AS$2000, AT4)&gt;1</f>
        <v>0</v>
      </c>
      <c r="AV339" t="b">
        <f t="shared" si="324"/>
        <v>0</v>
      </c>
      <c r="AX339" s="388" t="b">
        <f t="shared" si="302"/>
        <v>0</v>
      </c>
      <c r="AY339" s="388" t="b">
        <f t="shared" si="303"/>
        <v>0</v>
      </c>
      <c r="BA339" t="str">
        <f>'Ashed teabags wet'!A337</f>
        <v>G801</v>
      </c>
      <c r="BB339" t="str">
        <f>'Ashed teabags wet'!A757</f>
        <v>R54</v>
      </c>
      <c r="BC339" t="b">
        <f t="shared" si="304"/>
        <v>0</v>
      </c>
      <c r="BD339" t="b">
        <f t="shared" si="284"/>
        <v>0</v>
      </c>
      <c r="BF339" t="str">
        <f t="shared" si="305"/>
        <v>G99</v>
      </c>
      <c r="BG339" t="str">
        <f t="shared" si="306"/>
        <v>G99</v>
      </c>
      <c r="BH339" t="str">
        <f t="shared" si="307"/>
        <v>G873</v>
      </c>
      <c r="BI339" t="str">
        <f t="shared" si="325"/>
        <v>G873</v>
      </c>
      <c r="BJ339" t="s">
        <v>1951</v>
      </c>
      <c r="BK339" t="s">
        <v>1951</v>
      </c>
      <c r="BL339" t="s">
        <v>1951</v>
      </c>
      <c r="BM339" t="b">
        <f t="shared" si="326"/>
        <v>1</v>
      </c>
      <c r="BN339" t="str">
        <f t="shared" si="308"/>
        <v>R840</v>
      </c>
      <c r="BO339" t="str">
        <f t="shared" si="309"/>
        <v>R840</v>
      </c>
      <c r="BP339" t="str">
        <f t="shared" si="310"/>
        <v>R671</v>
      </c>
      <c r="BQ339" t="str">
        <f t="shared" si="311"/>
        <v>R671</v>
      </c>
      <c r="BR339" t="s">
        <v>299</v>
      </c>
      <c r="BS339" t="s">
        <v>3173</v>
      </c>
      <c r="BT339" t="s">
        <v>299</v>
      </c>
      <c r="BU339" t="b">
        <f t="shared" si="327"/>
        <v>1</v>
      </c>
      <c r="BZ339" t="str">
        <f t="shared" si="312"/>
        <v>G873</v>
      </c>
      <c r="CA339" t="b">
        <f t="shared" si="313"/>
        <v>0</v>
      </c>
      <c r="CB339" t="str">
        <f t="shared" si="328"/>
        <v>G873</v>
      </c>
      <c r="CC339" t="str">
        <f t="shared" si="314"/>
        <v>R671</v>
      </c>
      <c r="CD339" t="b">
        <f t="shared" si="329"/>
        <v>0</v>
      </c>
      <c r="CE339" t="str">
        <f t="shared" si="330"/>
        <v>R671</v>
      </c>
      <c r="CG339" t="str">
        <f t="shared" si="315"/>
        <v>G800</v>
      </c>
      <c r="CH339" t="str">
        <f t="shared" si="331"/>
        <v>G800</v>
      </c>
      <c r="CI339" t="str">
        <f t="shared" si="316"/>
        <v>G778</v>
      </c>
      <c r="CJ339" t="str">
        <f t="shared" si="317"/>
        <v>G778</v>
      </c>
      <c r="CK339" t="s">
        <v>1250</v>
      </c>
      <c r="CL339" t="s">
        <v>1250</v>
      </c>
      <c r="CM339" t="s">
        <v>1250</v>
      </c>
      <c r="CN339" t="b">
        <f t="shared" si="332"/>
        <v>1</v>
      </c>
      <c r="CO339" t="str">
        <f t="shared" si="318"/>
        <v>R549</v>
      </c>
      <c r="CP339" t="str">
        <f t="shared" si="333"/>
        <v>R549</v>
      </c>
      <c r="CQ339" t="str">
        <f t="shared" si="319"/>
        <v>R522</v>
      </c>
      <c r="CR339" t="str">
        <f t="shared" si="320"/>
        <v>R522</v>
      </c>
      <c r="CS339" t="s">
        <v>592</v>
      </c>
      <c r="CT339" t="s">
        <v>594</v>
      </c>
      <c r="CU339" t="s">
        <v>592</v>
      </c>
      <c r="CV339" t="b">
        <f t="shared" si="334"/>
        <v>1</v>
      </c>
      <c r="DC339" t="str">
        <f t="shared" si="321"/>
        <v>G778</v>
      </c>
      <c r="DD339" t="b">
        <f t="shared" si="335"/>
        <v>0</v>
      </c>
      <c r="DE339" t="str">
        <f t="shared" si="336"/>
        <v>G778</v>
      </c>
      <c r="DF339" t="str">
        <f t="shared" si="322"/>
        <v>R522</v>
      </c>
      <c r="DG339" t="b">
        <f t="shared" si="337"/>
        <v>0</v>
      </c>
      <c r="DH339" t="str">
        <f t="shared" si="338"/>
        <v>R522</v>
      </c>
    </row>
    <row r="340" spans="2:112" ht="12" customHeight="1">
      <c r="B340" t="str">
        <f>TBIDry!H412</f>
        <v>G163</v>
      </c>
      <c r="C340" t="str">
        <f>TBIDry!I412</f>
        <v>R719</v>
      </c>
      <c r="D340" t="b">
        <f t="shared" si="285"/>
        <v>0</v>
      </c>
      <c r="E340" t="b">
        <f t="shared" si="286"/>
        <v>0</v>
      </c>
      <c r="G340" t="str">
        <f>TBIWet!H412</f>
        <v>G901</v>
      </c>
      <c r="H340" t="str">
        <f>TBIWet!I412</f>
        <v>R565</v>
      </c>
      <c r="I340" t="b">
        <f t="shared" si="287"/>
        <v>0</v>
      </c>
      <c r="J340" t="b">
        <f t="shared" si="288"/>
        <v>0</v>
      </c>
      <c r="L340" t="str">
        <f>'Both teabags AfterWet'!A338</f>
        <v>G802</v>
      </c>
      <c r="M340" t="str">
        <f>'Both teabags AfterWet'!A758</f>
        <v>R53</v>
      </c>
      <c r="N340" t="b">
        <f t="shared" si="289"/>
        <v>0</v>
      </c>
      <c r="O340" t="b">
        <f t="shared" si="339"/>
        <v>0</v>
      </c>
      <c r="Q340" s="388" t="b">
        <f t="shared" si="290"/>
        <v>0</v>
      </c>
      <c r="R340" s="388" t="b">
        <f t="shared" si="291"/>
        <v>0</v>
      </c>
      <c r="T340" t="str">
        <f>'Both teabags AfterDry'!A338</f>
        <v>R108</v>
      </c>
      <c r="V340" t="b">
        <f t="shared" si="292"/>
        <v>0</v>
      </c>
      <c r="W340" t="b">
        <f t="shared" si="323"/>
        <v>0</v>
      </c>
      <c r="Y340" t="str">
        <f>'Green_rooibos initial weight'!A341</f>
        <v>G337</v>
      </c>
      <c r="Z340" t="str">
        <f>'Green_rooibos initial weight'!A1245</f>
        <v>R337</v>
      </c>
      <c r="AA340" t="b">
        <f t="shared" si="293"/>
        <v>0</v>
      </c>
      <c r="AB340" t="b">
        <f t="shared" si="294"/>
        <v>0</v>
      </c>
      <c r="AE340" t="str">
        <f>'WetLitterbags placem_collection'!O119</f>
        <v>G901</v>
      </c>
      <c r="AF340" t="str">
        <f>'WetLitterbags placem_collection'!Q119</f>
        <v>R565</v>
      </c>
      <c r="AG340" t="b">
        <f t="shared" si="295"/>
        <v>0</v>
      </c>
      <c r="AH340" t="b">
        <f t="shared" si="296"/>
        <v>0</v>
      </c>
      <c r="AJ340" t="b">
        <f t="shared" si="297"/>
        <v>0</v>
      </c>
      <c r="AK340" t="b">
        <f t="shared" si="298"/>
        <v>0</v>
      </c>
      <c r="AM340" t="str">
        <f>IF(ISBLANK('Dry_Litterbag Placem_Collection'!L119),"","G"&amp;""&amp;'Dry_Litterbag Placem_Collection'!L119)</f>
        <v>G163</v>
      </c>
      <c r="AN340" t="str">
        <f>IF(ISBLANK('Dry_Litterbag Placem_Collection'!M119),"","R"&amp;""&amp;'Dry_Litterbag Placem_Collection'!M119)</f>
        <v>R719</v>
      </c>
      <c r="AO340" t="b">
        <f t="shared" si="299"/>
        <v>0</v>
      </c>
      <c r="AP340" t="b">
        <f t="shared" si="300"/>
        <v>0</v>
      </c>
      <c r="AU340" t="b">
        <f>COUNTIF($AS$4:$AS$2000, AT5)&gt;1</f>
        <v>0</v>
      </c>
      <c r="AV340" t="b">
        <f t="shared" si="324"/>
        <v>0</v>
      </c>
      <c r="AX340" s="388" t="b">
        <f t="shared" si="302"/>
        <v>0</v>
      </c>
      <c r="AY340" s="388" t="b">
        <f t="shared" si="303"/>
        <v>0</v>
      </c>
      <c r="BA340" t="str">
        <f>'Ashed teabags wet'!A338</f>
        <v>G802</v>
      </c>
      <c r="BB340" t="str">
        <f>'Ashed teabags wet'!A758</f>
        <v>R53</v>
      </c>
      <c r="BC340" t="b">
        <f t="shared" si="304"/>
        <v>0</v>
      </c>
      <c r="BD340" t="b">
        <f t="shared" si="284"/>
        <v>0</v>
      </c>
      <c r="BH340" t="str">
        <f t="shared" si="307"/>
        <v>G206</v>
      </c>
      <c r="BI340" t="str">
        <f t="shared" si="325"/>
        <v>G206</v>
      </c>
      <c r="BP340" t="str">
        <f t="shared" si="310"/>
        <v>R638</v>
      </c>
      <c r="BQ340" t="str">
        <f t="shared" si="311"/>
        <v>R638</v>
      </c>
      <c r="BZ340" t="str">
        <f t="shared" si="312"/>
        <v>G206</v>
      </c>
      <c r="CA340" t="b">
        <f t="shared" si="313"/>
        <v>0</v>
      </c>
      <c r="CB340" t="str">
        <f t="shared" si="328"/>
        <v>G206</v>
      </c>
      <c r="CC340" t="str">
        <f t="shared" si="314"/>
        <v>R638</v>
      </c>
      <c r="CD340" t="b">
        <f t="shared" si="329"/>
        <v>0</v>
      </c>
      <c r="CE340" t="str">
        <f t="shared" si="330"/>
        <v>R638</v>
      </c>
      <c r="CG340" t="str">
        <f t="shared" si="315"/>
        <v>G801</v>
      </c>
      <c r="CH340" t="str">
        <f t="shared" si="331"/>
        <v>G801</v>
      </c>
      <c r="CI340" t="str">
        <f t="shared" si="316"/>
        <v>G563</v>
      </c>
      <c r="CJ340" t="str">
        <f t="shared" si="317"/>
        <v>G563</v>
      </c>
      <c r="CK340" t="s">
        <v>1249</v>
      </c>
      <c r="CL340" t="s">
        <v>1249</v>
      </c>
      <c r="CM340" t="s">
        <v>1249</v>
      </c>
      <c r="CN340" t="b">
        <f t="shared" si="332"/>
        <v>1</v>
      </c>
      <c r="CO340" t="str">
        <f t="shared" si="318"/>
        <v>R54</v>
      </c>
      <c r="CP340" t="str">
        <f t="shared" si="333"/>
        <v>R54</v>
      </c>
      <c r="CQ340" t="str">
        <f t="shared" si="319"/>
        <v>R480</v>
      </c>
      <c r="CR340" t="str">
        <f t="shared" si="320"/>
        <v>R480</v>
      </c>
      <c r="CS340" t="s">
        <v>1087</v>
      </c>
      <c r="CT340" t="s">
        <v>593</v>
      </c>
      <c r="CU340" t="s">
        <v>1087</v>
      </c>
      <c r="CV340" t="b">
        <f t="shared" si="334"/>
        <v>1</v>
      </c>
      <c r="DC340" t="str">
        <f t="shared" si="321"/>
        <v>G563</v>
      </c>
      <c r="DD340" t="b">
        <f t="shared" si="335"/>
        <v>0</v>
      </c>
      <c r="DE340" t="str">
        <f t="shared" si="336"/>
        <v>G563</v>
      </c>
      <c r="DF340" t="str">
        <f t="shared" si="322"/>
        <v>R480</v>
      </c>
      <c r="DG340" t="b">
        <f t="shared" si="337"/>
        <v>0</v>
      </c>
      <c r="DH340" t="str">
        <f t="shared" si="338"/>
        <v>R480</v>
      </c>
    </row>
    <row r="341" spans="2:112" ht="12" customHeight="1">
      <c r="B341" t="str">
        <f>TBIDry!H413</f>
        <v>G83</v>
      </c>
      <c r="C341" t="str">
        <f>TBIDry!I413</f>
        <v>R173</v>
      </c>
      <c r="D341" t="b">
        <f t="shared" si="285"/>
        <v>0</v>
      </c>
      <c r="E341" t="b">
        <f t="shared" si="286"/>
        <v>0</v>
      </c>
      <c r="G341" t="str">
        <f>TBIWet!H413</f>
        <v>G791</v>
      </c>
      <c r="H341" t="str">
        <f>TBIWet!I413</f>
        <v>R544</v>
      </c>
      <c r="I341" t="b">
        <f t="shared" si="287"/>
        <v>0</v>
      </c>
      <c r="J341" t="b">
        <f t="shared" si="288"/>
        <v>0</v>
      </c>
      <c r="L341" t="str">
        <f>'Both teabags AfterWet'!A339</f>
        <v>G803</v>
      </c>
      <c r="M341" t="str">
        <f>'Both teabags AfterWet'!A759</f>
        <v>R55</v>
      </c>
      <c r="N341" t="b">
        <f t="shared" si="289"/>
        <v>0</v>
      </c>
      <c r="O341" t="b">
        <f t="shared" si="339"/>
        <v>0</v>
      </c>
      <c r="Q341" s="388" t="b">
        <f t="shared" si="290"/>
        <v>0</v>
      </c>
      <c r="R341" s="388" t="b">
        <f t="shared" si="291"/>
        <v>0</v>
      </c>
      <c r="V341" t="b">
        <f>COUNTIF($T$4:$T$2000, U4)&gt;1</f>
        <v>0</v>
      </c>
      <c r="W341" t="b">
        <f t="shared" si="323"/>
        <v>0</v>
      </c>
      <c r="Y341" t="str">
        <f>'Green_rooibos initial weight'!A342</f>
        <v>G338</v>
      </c>
      <c r="Z341" t="str">
        <f>'Green_rooibos initial weight'!A1246</f>
        <v>R338</v>
      </c>
      <c r="AA341" t="b">
        <f t="shared" si="293"/>
        <v>0</v>
      </c>
      <c r="AB341" t="b">
        <f t="shared" si="294"/>
        <v>0</v>
      </c>
      <c r="AE341" t="str">
        <f>'WetLitterbags placem_collection'!O120</f>
        <v>G791</v>
      </c>
      <c r="AF341" t="str">
        <f>'WetLitterbags placem_collection'!Q120</f>
        <v>R544</v>
      </c>
      <c r="AG341" t="b">
        <f t="shared" si="295"/>
        <v>0</v>
      </c>
      <c r="AH341" t="b">
        <f t="shared" si="296"/>
        <v>0</v>
      </c>
      <c r="AJ341" t="b">
        <f t="shared" si="297"/>
        <v>0</v>
      </c>
      <c r="AK341" t="b">
        <f t="shared" si="298"/>
        <v>0</v>
      </c>
      <c r="AM341" t="str">
        <f>IF(ISBLANK('Dry_Litterbag Placem_Collection'!L120),"","G"&amp;""&amp;'Dry_Litterbag Placem_Collection'!L120)</f>
        <v>G83</v>
      </c>
      <c r="AN341" t="str">
        <f>IF(ISBLANK('Dry_Litterbag Placem_Collection'!M120),"","R"&amp;""&amp;'Dry_Litterbag Placem_Collection'!M120)</f>
        <v>R173</v>
      </c>
      <c r="AO341" t="b">
        <f t="shared" si="299"/>
        <v>0</v>
      </c>
      <c r="AP341" t="b">
        <f t="shared" si="300"/>
        <v>0</v>
      </c>
      <c r="AX341" s="388" t="b">
        <f t="shared" si="302"/>
        <v>0</v>
      </c>
      <c r="AY341" s="388" t="b">
        <f t="shared" si="303"/>
        <v>0</v>
      </c>
      <c r="BA341" t="str">
        <f>'Ashed teabags wet'!A339</f>
        <v>G803</v>
      </c>
      <c r="BB341" t="str">
        <f>'Ashed teabags wet'!A759</f>
        <v>R55</v>
      </c>
      <c r="BC341" t="b">
        <f t="shared" si="304"/>
        <v>0</v>
      </c>
      <c r="BD341" t="b">
        <f t="shared" si="284"/>
        <v>0</v>
      </c>
      <c r="BH341" t="str">
        <f t="shared" si="307"/>
        <v>G163</v>
      </c>
      <c r="BI341" t="str">
        <f t="shared" si="325"/>
        <v/>
      </c>
      <c r="BP341" t="str">
        <f t="shared" si="310"/>
        <v>R719</v>
      </c>
      <c r="BQ341" t="str">
        <f t="shared" si="311"/>
        <v/>
      </c>
      <c r="BZ341" t="str">
        <f t="shared" si="312"/>
        <v>G163</v>
      </c>
      <c r="CA341" t="b">
        <f t="shared" si="313"/>
        <v>1</v>
      </c>
      <c r="CB341" t="str">
        <f t="shared" si="328"/>
        <v/>
      </c>
      <c r="CC341" t="str">
        <f t="shared" si="314"/>
        <v>R719</v>
      </c>
      <c r="CD341" t="b">
        <f t="shared" si="329"/>
        <v>1</v>
      </c>
      <c r="CE341" t="str">
        <f t="shared" si="330"/>
        <v/>
      </c>
      <c r="CG341" t="str">
        <f t="shared" si="315"/>
        <v>G802</v>
      </c>
      <c r="CH341" t="str">
        <f t="shared" si="331"/>
        <v>G802</v>
      </c>
      <c r="CI341" t="str">
        <f t="shared" si="316"/>
        <v>G901</v>
      </c>
      <c r="CJ341" t="str">
        <f t="shared" si="317"/>
        <v>G901</v>
      </c>
      <c r="CK341" t="s">
        <v>1248</v>
      </c>
      <c r="CL341" t="s">
        <v>1248</v>
      </c>
      <c r="CM341" t="s">
        <v>1248</v>
      </c>
      <c r="CN341" t="b">
        <f t="shared" si="332"/>
        <v>1</v>
      </c>
      <c r="CO341" t="str">
        <f t="shared" si="318"/>
        <v>R53</v>
      </c>
      <c r="CP341" t="str">
        <f t="shared" si="333"/>
        <v>R53</v>
      </c>
      <c r="CQ341" t="str">
        <f t="shared" si="319"/>
        <v>R565</v>
      </c>
      <c r="CR341" t="str">
        <f t="shared" si="320"/>
        <v>R565</v>
      </c>
      <c r="CS341" t="s">
        <v>1088</v>
      </c>
      <c r="CT341" t="s">
        <v>592</v>
      </c>
      <c r="CU341" t="s">
        <v>1088</v>
      </c>
      <c r="CV341" t="b">
        <f t="shared" si="334"/>
        <v>1</v>
      </c>
      <c r="DC341" t="str">
        <f t="shared" si="321"/>
        <v>G901</v>
      </c>
      <c r="DD341" t="b">
        <f t="shared" si="335"/>
        <v>0</v>
      </c>
      <c r="DE341" t="str">
        <f t="shared" si="336"/>
        <v>G901</v>
      </c>
      <c r="DF341" t="str">
        <f t="shared" si="322"/>
        <v>R565</v>
      </c>
      <c r="DG341" t="b">
        <f t="shared" si="337"/>
        <v>0</v>
      </c>
      <c r="DH341" t="str">
        <f t="shared" si="338"/>
        <v>R565</v>
      </c>
    </row>
    <row r="342" spans="2:112" ht="12" customHeight="1">
      <c r="B342" t="str">
        <f>TBIDry!H414</f>
        <v>G159</v>
      </c>
      <c r="C342" t="str">
        <f>TBIDry!I414</f>
        <v>R373</v>
      </c>
      <c r="D342" t="b">
        <f t="shared" si="285"/>
        <v>0</v>
      </c>
      <c r="E342" t="b">
        <f t="shared" si="286"/>
        <v>0</v>
      </c>
      <c r="G342" t="str">
        <f>TBIWet!H414</f>
        <v>G802</v>
      </c>
      <c r="H342" t="str">
        <f>TBIWet!I414</f>
        <v>R526</v>
      </c>
      <c r="I342" t="b">
        <f t="shared" si="287"/>
        <v>0</v>
      </c>
      <c r="J342" t="b">
        <f t="shared" si="288"/>
        <v>0</v>
      </c>
      <c r="L342" t="str">
        <f>'Both teabags AfterWet'!A340</f>
        <v>G804</v>
      </c>
      <c r="M342" t="str">
        <f>'Both teabags AfterWet'!A760</f>
        <v>R550</v>
      </c>
      <c r="N342" t="b">
        <f t="shared" si="289"/>
        <v>0</v>
      </c>
      <c r="O342" t="b">
        <f t="shared" si="339"/>
        <v>0</v>
      </c>
      <c r="Q342" s="388" t="b">
        <f t="shared" si="290"/>
        <v>0</v>
      </c>
      <c r="R342" s="388" t="b">
        <f t="shared" si="291"/>
        <v>0</v>
      </c>
      <c r="V342" t="b">
        <f t="shared" si="292"/>
        <v>0</v>
      </c>
      <c r="W342" t="b">
        <f t="shared" si="323"/>
        <v>0</v>
      </c>
      <c r="Y342" t="str">
        <f>'Green_rooibos initial weight'!A343</f>
        <v>G339</v>
      </c>
      <c r="Z342" t="str">
        <f>'Green_rooibos initial weight'!A1247</f>
        <v>R339</v>
      </c>
      <c r="AA342" t="b">
        <f t="shared" si="293"/>
        <v>0</v>
      </c>
      <c r="AB342" t="b">
        <f t="shared" si="294"/>
        <v>0</v>
      </c>
      <c r="AE342" t="str">
        <f>'WetLitterbags placem_collection'!O121</f>
        <v>G802</v>
      </c>
      <c r="AF342" t="str">
        <f>'WetLitterbags placem_collection'!Q121</f>
        <v>R526</v>
      </c>
      <c r="AG342" t="b">
        <f t="shared" si="295"/>
        <v>0</v>
      </c>
      <c r="AH342" t="b">
        <f t="shared" si="296"/>
        <v>0</v>
      </c>
      <c r="AJ342" t="b">
        <f t="shared" si="297"/>
        <v>0</v>
      </c>
      <c r="AK342" t="b">
        <f t="shared" si="298"/>
        <v>0</v>
      </c>
      <c r="AM342" t="str">
        <f>IF(ISBLANK('Dry_Litterbag Placem_Collection'!L121),"","G"&amp;""&amp;'Dry_Litterbag Placem_Collection'!L121)</f>
        <v>G159</v>
      </c>
      <c r="AN342" t="str">
        <f>IF(ISBLANK('Dry_Litterbag Placem_Collection'!M121),"","R"&amp;""&amp;'Dry_Litterbag Placem_Collection'!M121)</f>
        <v>R373</v>
      </c>
      <c r="AO342" t="b">
        <f t="shared" si="299"/>
        <v>0</v>
      </c>
      <c r="AP342" t="b">
        <f t="shared" si="300"/>
        <v>0</v>
      </c>
      <c r="AX342" s="388" t="b">
        <f t="shared" si="302"/>
        <v>0</v>
      </c>
      <c r="AY342" s="388" t="b">
        <f t="shared" si="303"/>
        <v>0</v>
      </c>
      <c r="BA342" t="str">
        <f>'Ashed teabags wet'!A340</f>
        <v>G804</v>
      </c>
      <c r="BB342" t="str">
        <f>'Ashed teabags wet'!A760</f>
        <v>R550</v>
      </c>
      <c r="BC342" t="b">
        <f t="shared" si="304"/>
        <v>0</v>
      </c>
      <c r="BD342" t="b">
        <f t="shared" si="284"/>
        <v>0</v>
      </c>
      <c r="BH342" t="str">
        <f t="shared" si="307"/>
        <v>G83</v>
      </c>
      <c r="BI342" t="str">
        <f t="shared" si="325"/>
        <v>G83</v>
      </c>
      <c r="BP342" t="str">
        <f t="shared" si="310"/>
        <v>R173</v>
      </c>
      <c r="BQ342" t="str">
        <f t="shared" si="311"/>
        <v>R173</v>
      </c>
      <c r="BZ342" t="str">
        <f t="shared" si="312"/>
        <v>G83</v>
      </c>
      <c r="CA342" t="b">
        <f t="shared" si="313"/>
        <v>0</v>
      </c>
      <c r="CB342" t="str">
        <f t="shared" si="328"/>
        <v>G83</v>
      </c>
      <c r="CC342" t="str">
        <f t="shared" si="314"/>
        <v>R173</v>
      </c>
      <c r="CD342" t="b">
        <f t="shared" si="329"/>
        <v>0</v>
      </c>
      <c r="CE342" t="str">
        <f t="shared" si="330"/>
        <v>R173</v>
      </c>
      <c r="CG342" t="str">
        <f t="shared" si="315"/>
        <v>G803</v>
      </c>
      <c r="CH342" t="str">
        <f t="shared" si="331"/>
        <v>G803</v>
      </c>
      <c r="CI342" t="str">
        <f t="shared" si="316"/>
        <v>G791</v>
      </c>
      <c r="CJ342" t="str">
        <f t="shared" si="317"/>
        <v>G791</v>
      </c>
      <c r="CK342" t="s">
        <v>1247</v>
      </c>
      <c r="CL342" t="s">
        <v>1247</v>
      </c>
      <c r="CM342" t="s">
        <v>1247</v>
      </c>
      <c r="CN342" t="b">
        <f t="shared" si="332"/>
        <v>1</v>
      </c>
      <c r="CO342" t="str">
        <f t="shared" si="318"/>
        <v>R55</v>
      </c>
      <c r="CP342" t="str">
        <f t="shared" si="333"/>
        <v>R55</v>
      </c>
      <c r="CQ342" t="str">
        <f t="shared" si="319"/>
        <v>R544</v>
      </c>
      <c r="CR342" t="str">
        <f t="shared" si="320"/>
        <v>R544</v>
      </c>
      <c r="CS342" t="s">
        <v>1086</v>
      </c>
      <c r="CT342" t="s">
        <v>1086</v>
      </c>
      <c r="CU342" t="s">
        <v>1086</v>
      </c>
      <c r="CV342" t="b">
        <f t="shared" si="334"/>
        <v>1</v>
      </c>
      <c r="DC342" t="str">
        <f t="shared" si="321"/>
        <v>G791</v>
      </c>
      <c r="DD342" t="b">
        <f t="shared" si="335"/>
        <v>0</v>
      </c>
      <c r="DE342" t="str">
        <f t="shared" si="336"/>
        <v>G791</v>
      </c>
      <c r="DF342" t="str">
        <f t="shared" si="322"/>
        <v>R544</v>
      </c>
      <c r="DG342" t="b">
        <f t="shared" si="337"/>
        <v>0</v>
      </c>
      <c r="DH342" t="str">
        <f t="shared" si="338"/>
        <v>R544</v>
      </c>
    </row>
    <row r="343" spans="2:112" ht="12" customHeight="1">
      <c r="B343" t="str">
        <f>TBIDry!H415</f>
        <v/>
      </c>
      <c r="C343" t="str">
        <f>TBIDry!I415</f>
        <v/>
      </c>
      <c r="D343" t="b">
        <f t="shared" si="285"/>
        <v>1</v>
      </c>
      <c r="E343" t="b">
        <f t="shared" si="286"/>
        <v>1</v>
      </c>
      <c r="G343" t="str">
        <f>TBIWet!H415</f>
        <v>G698</v>
      </c>
      <c r="H343" t="str">
        <f>TBIWet!I415</f>
        <v>R594</v>
      </c>
      <c r="I343" t="b">
        <f t="shared" si="287"/>
        <v>0</v>
      </c>
      <c r="J343" t="b">
        <f t="shared" si="288"/>
        <v>0</v>
      </c>
      <c r="L343" t="str">
        <f>'Both teabags AfterWet'!A341</f>
        <v>G805</v>
      </c>
      <c r="M343" t="str">
        <f>'Both teabags AfterWet'!A761</f>
        <v>R552</v>
      </c>
      <c r="N343" t="b">
        <f t="shared" si="289"/>
        <v>0</v>
      </c>
      <c r="O343" t="b">
        <f t="shared" si="339"/>
        <v>0</v>
      </c>
      <c r="Q343" s="388" t="b">
        <f t="shared" si="290"/>
        <v>0</v>
      </c>
      <c r="R343" s="388" t="b">
        <f t="shared" si="291"/>
        <v>0</v>
      </c>
      <c r="V343" t="b">
        <f t="shared" si="292"/>
        <v>0</v>
      </c>
      <c r="W343" t="b">
        <f t="shared" si="323"/>
        <v>0</v>
      </c>
      <c r="Y343" t="str">
        <f>'Green_rooibos initial weight'!A344</f>
        <v>G340</v>
      </c>
      <c r="Z343" t="str">
        <f>'Green_rooibos initial weight'!A1248</f>
        <v>R340</v>
      </c>
      <c r="AA343" t="b">
        <f t="shared" si="293"/>
        <v>0</v>
      </c>
      <c r="AB343" t="b">
        <f t="shared" si="294"/>
        <v>0</v>
      </c>
      <c r="AE343" t="str">
        <f>'WetLitterbags placem_collection'!O122</f>
        <v>G698</v>
      </c>
      <c r="AF343" t="str">
        <f>'WetLitterbags placem_collection'!Q122</f>
        <v>R594</v>
      </c>
      <c r="AG343" t="b">
        <f t="shared" si="295"/>
        <v>0</v>
      </c>
      <c r="AH343" t="b">
        <f t="shared" si="296"/>
        <v>0</v>
      </c>
      <c r="AJ343" t="b">
        <f t="shared" si="297"/>
        <v>0</v>
      </c>
      <c r="AK343" t="b">
        <f t="shared" si="298"/>
        <v>0</v>
      </c>
      <c r="AM343" t="str">
        <f>IF(ISBLANK('Dry_Litterbag Placem_Collection'!L122),"","G"&amp;""&amp;'Dry_Litterbag Placem_Collection'!L122)</f>
        <v/>
      </c>
      <c r="AN343" t="str">
        <f>IF(ISBLANK('Dry_Litterbag Placem_Collection'!M122),"","R"&amp;""&amp;'Dry_Litterbag Placem_Collection'!M122)</f>
        <v/>
      </c>
      <c r="AO343" t="b">
        <f t="shared" si="299"/>
        <v>1</v>
      </c>
      <c r="AP343" t="b">
        <f t="shared" si="300"/>
        <v>1</v>
      </c>
      <c r="AX343" s="388" t="b">
        <f t="shared" si="302"/>
        <v>0</v>
      </c>
      <c r="AY343" s="388" t="b">
        <f t="shared" si="303"/>
        <v>0</v>
      </c>
      <c r="BA343" t="str">
        <f>'Ashed teabags wet'!A341</f>
        <v>G805</v>
      </c>
      <c r="BB343" t="str">
        <f>'Ashed teabags wet'!A761</f>
        <v>R552</v>
      </c>
      <c r="BC343" t="b">
        <f t="shared" si="304"/>
        <v>0</v>
      </c>
      <c r="BD343" t="b">
        <f t="shared" si="284"/>
        <v>0</v>
      </c>
      <c r="BH343" t="str">
        <f t="shared" si="307"/>
        <v>G159</v>
      </c>
      <c r="BI343" t="str">
        <f t="shared" si="325"/>
        <v>G159</v>
      </c>
      <c r="BP343" t="str">
        <f t="shared" si="310"/>
        <v>R373</v>
      </c>
      <c r="BQ343" t="str">
        <f t="shared" si="311"/>
        <v>R373</v>
      </c>
      <c r="BZ343" t="str">
        <f t="shared" si="312"/>
        <v>G159</v>
      </c>
      <c r="CA343" t="b">
        <f t="shared" si="313"/>
        <v>0</v>
      </c>
      <c r="CB343" t="str">
        <f t="shared" si="328"/>
        <v>G159</v>
      </c>
      <c r="CC343" t="str">
        <f t="shared" si="314"/>
        <v>R373</v>
      </c>
      <c r="CD343" t="b">
        <f t="shared" si="329"/>
        <v>0</v>
      </c>
      <c r="CE343" t="str">
        <f t="shared" si="330"/>
        <v>R373</v>
      </c>
      <c r="CG343" t="str">
        <f t="shared" si="315"/>
        <v>G804</v>
      </c>
      <c r="CH343" t="str">
        <f t="shared" si="331"/>
        <v>G804</v>
      </c>
      <c r="CI343" t="str">
        <f t="shared" si="316"/>
        <v>G802</v>
      </c>
      <c r="CJ343" t="str">
        <f t="shared" si="317"/>
        <v>G802</v>
      </c>
      <c r="CK343" t="s">
        <v>1246</v>
      </c>
      <c r="CL343" t="s">
        <v>1246</v>
      </c>
      <c r="CM343" t="s">
        <v>1246</v>
      </c>
      <c r="CN343" t="b">
        <f t="shared" si="332"/>
        <v>1</v>
      </c>
      <c r="CO343" t="str">
        <f t="shared" si="318"/>
        <v>R550</v>
      </c>
      <c r="CP343" t="str">
        <f t="shared" si="333"/>
        <v>R550</v>
      </c>
      <c r="CQ343" t="str">
        <f t="shared" si="319"/>
        <v>R526</v>
      </c>
      <c r="CR343" t="str">
        <f t="shared" si="320"/>
        <v>R526</v>
      </c>
      <c r="CS343" t="s">
        <v>591</v>
      </c>
      <c r="CT343" t="s">
        <v>591</v>
      </c>
      <c r="CU343" t="s">
        <v>591</v>
      </c>
      <c r="CV343" t="b">
        <f t="shared" si="334"/>
        <v>1</v>
      </c>
      <c r="DC343" t="str">
        <f t="shared" si="321"/>
        <v>G802</v>
      </c>
      <c r="DD343" t="b">
        <f t="shared" si="335"/>
        <v>0</v>
      </c>
      <c r="DE343" t="str">
        <f t="shared" si="336"/>
        <v>G802</v>
      </c>
      <c r="DF343" t="str">
        <f t="shared" si="322"/>
        <v>R526</v>
      </c>
      <c r="DG343" t="b">
        <f t="shared" si="337"/>
        <v>0</v>
      </c>
      <c r="DH343" t="str">
        <f t="shared" si="338"/>
        <v>R526</v>
      </c>
    </row>
    <row r="344" spans="2:112" ht="12" customHeight="1">
      <c r="B344" t="str">
        <f>TBIDry!H416</f>
        <v>G16</v>
      </c>
      <c r="C344" t="str">
        <f>TBIDry!I416</f>
        <v>R374</v>
      </c>
      <c r="D344" t="b">
        <f t="shared" si="285"/>
        <v>0</v>
      </c>
      <c r="E344" t="b">
        <f t="shared" si="286"/>
        <v>0</v>
      </c>
      <c r="G344" t="str">
        <f>TBIWet!H416</f>
        <v>G825</v>
      </c>
      <c r="H344" t="str">
        <f>TBIWet!I416</f>
        <v>R564</v>
      </c>
      <c r="I344" t="b">
        <f t="shared" si="287"/>
        <v>0</v>
      </c>
      <c r="J344" t="b">
        <f t="shared" si="288"/>
        <v>0</v>
      </c>
      <c r="L344" t="str">
        <f>'Both teabags AfterWet'!A342</f>
        <v>G806</v>
      </c>
      <c r="M344" t="str">
        <f>'Both teabags AfterWet'!A762</f>
        <v>R553</v>
      </c>
      <c r="N344" t="b">
        <f t="shared" si="289"/>
        <v>0</v>
      </c>
      <c r="O344" t="b">
        <f t="shared" si="339"/>
        <v>0</v>
      </c>
      <c r="Q344" s="388" t="b">
        <f t="shared" si="290"/>
        <v>0</v>
      </c>
      <c r="R344" s="388" t="b">
        <f t="shared" si="291"/>
        <v>0</v>
      </c>
      <c r="V344" t="b">
        <f t="shared" si="292"/>
        <v>0</v>
      </c>
      <c r="W344" t="b">
        <f t="shared" si="323"/>
        <v>0</v>
      </c>
      <c r="Y344" t="str">
        <f>'Green_rooibos initial weight'!A345</f>
        <v>G341</v>
      </c>
      <c r="Z344" t="str">
        <f>'Green_rooibos initial weight'!A1249</f>
        <v>R341</v>
      </c>
      <c r="AA344" t="b">
        <f t="shared" si="293"/>
        <v>0</v>
      </c>
      <c r="AB344" t="b">
        <f t="shared" si="294"/>
        <v>0</v>
      </c>
      <c r="AE344" t="str">
        <f>'WetLitterbags placem_collection'!O123</f>
        <v>G825</v>
      </c>
      <c r="AF344" t="str">
        <f>'WetLitterbags placem_collection'!Q123</f>
        <v>R564</v>
      </c>
      <c r="AG344" t="b">
        <f t="shared" si="295"/>
        <v>0</v>
      </c>
      <c r="AH344" t="b">
        <f t="shared" si="296"/>
        <v>0</v>
      </c>
      <c r="AJ344" t="b">
        <f t="shared" si="297"/>
        <v>0</v>
      </c>
      <c r="AK344" t="b">
        <f t="shared" si="298"/>
        <v>0</v>
      </c>
      <c r="AM344" t="str">
        <f>IF(ISBLANK('Dry_Litterbag Placem_Collection'!L123),"","G"&amp;""&amp;'Dry_Litterbag Placem_Collection'!L123)</f>
        <v>G16</v>
      </c>
      <c r="AN344" t="str">
        <f>IF(ISBLANK('Dry_Litterbag Placem_Collection'!M123),"","R"&amp;""&amp;'Dry_Litterbag Placem_Collection'!M123)</f>
        <v>R374</v>
      </c>
      <c r="AO344" t="b">
        <f t="shared" si="299"/>
        <v>0</v>
      </c>
      <c r="AP344" t="b">
        <f t="shared" si="300"/>
        <v>0</v>
      </c>
      <c r="AX344" s="388" t="b">
        <f t="shared" si="302"/>
        <v>0</v>
      </c>
      <c r="AY344" s="388" t="b">
        <f t="shared" si="303"/>
        <v>0</v>
      </c>
      <c r="BA344" t="str">
        <f>'Ashed teabags wet'!A342</f>
        <v>G806</v>
      </c>
      <c r="BB344" t="str">
        <f>'Ashed teabags wet'!A762</f>
        <v>R553</v>
      </c>
      <c r="BC344" t="b">
        <f t="shared" si="304"/>
        <v>0</v>
      </c>
      <c r="BD344" t="b">
        <f t="shared" si="284"/>
        <v>0</v>
      </c>
      <c r="BH344" t="str">
        <f t="shared" si="307"/>
        <v/>
      </c>
      <c r="BI344" t="str">
        <f t="shared" si="325"/>
        <v/>
      </c>
      <c r="BP344" t="str">
        <f t="shared" si="310"/>
        <v/>
      </c>
      <c r="BQ344" t="str">
        <f t="shared" si="311"/>
        <v/>
      </c>
      <c r="BZ344" t="str">
        <f t="shared" si="312"/>
        <v/>
      </c>
      <c r="CA344" t="b">
        <f t="shared" si="313"/>
        <v>0</v>
      </c>
      <c r="CB344" t="str">
        <f t="shared" si="328"/>
        <v/>
      </c>
      <c r="CC344" t="str">
        <f t="shared" si="314"/>
        <v/>
      </c>
      <c r="CD344" t="b">
        <f t="shared" si="329"/>
        <v>0</v>
      </c>
      <c r="CE344" t="str">
        <f t="shared" si="330"/>
        <v/>
      </c>
      <c r="CG344" t="str">
        <f t="shared" si="315"/>
        <v>G805</v>
      </c>
      <c r="CH344" t="str">
        <f t="shared" si="331"/>
        <v>G805</v>
      </c>
      <c r="CI344" t="str">
        <f t="shared" si="316"/>
        <v>G698</v>
      </c>
      <c r="CJ344" t="str">
        <f t="shared" si="317"/>
        <v>G698</v>
      </c>
      <c r="CK344" t="s">
        <v>1245</v>
      </c>
      <c r="CL344" t="s">
        <v>1245</v>
      </c>
      <c r="CM344" t="s">
        <v>1245</v>
      </c>
      <c r="CN344" t="b">
        <f t="shared" si="332"/>
        <v>1</v>
      </c>
      <c r="CO344" t="str">
        <f t="shared" si="318"/>
        <v>R552</v>
      </c>
      <c r="CP344" t="str">
        <f t="shared" si="333"/>
        <v>R552</v>
      </c>
      <c r="CQ344" t="str">
        <f t="shared" si="319"/>
        <v>R594</v>
      </c>
      <c r="CR344" t="str">
        <f t="shared" si="320"/>
        <v>R594</v>
      </c>
      <c r="CS344" t="s">
        <v>589</v>
      </c>
      <c r="CT344" t="s">
        <v>589</v>
      </c>
      <c r="CU344" t="s">
        <v>589</v>
      </c>
      <c r="CV344" t="b">
        <f t="shared" si="334"/>
        <v>1</v>
      </c>
      <c r="DC344" t="str">
        <f t="shared" si="321"/>
        <v>G698</v>
      </c>
      <c r="DD344" t="b">
        <f t="shared" si="335"/>
        <v>0</v>
      </c>
      <c r="DE344" t="str">
        <f t="shared" si="336"/>
        <v>G698</v>
      </c>
      <c r="DF344" t="str">
        <f t="shared" si="322"/>
        <v>R594</v>
      </c>
      <c r="DG344" t="b">
        <f t="shared" si="337"/>
        <v>0</v>
      </c>
      <c r="DH344" t="str">
        <f t="shared" si="338"/>
        <v>R594</v>
      </c>
    </row>
    <row r="345" spans="2:112" ht="12" customHeight="1">
      <c r="B345" t="str">
        <f>TBIDry!H417</f>
        <v>G109</v>
      </c>
      <c r="C345" t="str">
        <f>TBIDry!I417</f>
        <v>R388</v>
      </c>
      <c r="D345" t="b">
        <f t="shared" si="285"/>
        <v>0</v>
      </c>
      <c r="E345" t="b">
        <f t="shared" si="286"/>
        <v>0</v>
      </c>
      <c r="G345" t="str">
        <f>TBIWet!H417</f>
        <v>G839</v>
      </c>
      <c r="H345" t="str">
        <f>TBIWet!I417</f>
        <v>R429</v>
      </c>
      <c r="I345" t="b">
        <f t="shared" si="287"/>
        <v>0</v>
      </c>
      <c r="J345" t="b">
        <f t="shared" si="288"/>
        <v>0</v>
      </c>
      <c r="L345" t="str">
        <f>'Both teabags AfterWet'!A343</f>
        <v>G807</v>
      </c>
      <c r="M345" t="str">
        <f>'Both teabags AfterWet'!A763</f>
        <v>R554</v>
      </c>
      <c r="N345" t="b">
        <f t="shared" si="289"/>
        <v>0</v>
      </c>
      <c r="O345" t="b">
        <f t="shared" si="339"/>
        <v>0</v>
      </c>
      <c r="Q345" s="388" t="b">
        <f t="shared" si="290"/>
        <v>0</v>
      </c>
      <c r="R345" s="388" t="b">
        <f t="shared" si="291"/>
        <v>0</v>
      </c>
      <c r="V345" t="b">
        <f t="shared" si="292"/>
        <v>0</v>
      </c>
      <c r="W345" t="b">
        <f t="shared" si="323"/>
        <v>0</v>
      </c>
      <c r="Y345" t="str">
        <f>'Green_rooibos initial weight'!A346</f>
        <v>G342</v>
      </c>
      <c r="Z345" t="str">
        <f>'Green_rooibos initial weight'!A1250</f>
        <v>R342</v>
      </c>
      <c r="AA345" t="b">
        <f t="shared" si="293"/>
        <v>0</v>
      </c>
      <c r="AB345" t="b">
        <f t="shared" si="294"/>
        <v>0</v>
      </c>
      <c r="AE345" t="str">
        <f>'WetLitterbags placem_collection'!O124</f>
        <v>G839</v>
      </c>
      <c r="AF345" t="str">
        <f>'WetLitterbags placem_collection'!Q124</f>
        <v>R429</v>
      </c>
      <c r="AG345" t="b">
        <f t="shared" si="295"/>
        <v>0</v>
      </c>
      <c r="AH345" t="b">
        <f t="shared" si="296"/>
        <v>0</v>
      </c>
      <c r="AJ345" t="b">
        <f t="shared" si="297"/>
        <v>0</v>
      </c>
      <c r="AK345" t="b">
        <f t="shared" si="298"/>
        <v>0</v>
      </c>
      <c r="AM345" t="str">
        <f>IF(ISBLANK('Dry_Litterbag Placem_Collection'!L124),"","G"&amp;""&amp;'Dry_Litterbag Placem_Collection'!L124)</f>
        <v>G109</v>
      </c>
      <c r="AN345" t="str">
        <f>IF(ISBLANK('Dry_Litterbag Placem_Collection'!M124),"","R"&amp;""&amp;'Dry_Litterbag Placem_Collection'!M124)</f>
        <v>R388</v>
      </c>
      <c r="AO345" t="b">
        <f t="shared" si="299"/>
        <v>0</v>
      </c>
      <c r="AP345" t="b">
        <f t="shared" si="300"/>
        <v>0</v>
      </c>
      <c r="AX345" s="388" t="b">
        <f t="shared" si="302"/>
        <v>0</v>
      </c>
      <c r="AY345" s="388" t="b">
        <f t="shared" si="303"/>
        <v>0</v>
      </c>
      <c r="BA345" t="str">
        <f>'Ashed teabags wet'!A343</f>
        <v>G807</v>
      </c>
      <c r="BB345" t="str">
        <f>'Ashed teabags wet'!A763</f>
        <v>R554</v>
      </c>
      <c r="BC345" t="b">
        <f t="shared" si="304"/>
        <v>0</v>
      </c>
      <c r="BD345" t="b">
        <f t="shared" si="284"/>
        <v>0</v>
      </c>
      <c r="BH345" t="str">
        <f t="shared" si="307"/>
        <v>G16</v>
      </c>
      <c r="BI345" t="str">
        <f t="shared" si="325"/>
        <v/>
      </c>
      <c r="BP345" t="str">
        <f t="shared" si="310"/>
        <v>R374</v>
      </c>
      <c r="BQ345" t="str">
        <f t="shared" si="311"/>
        <v/>
      </c>
      <c r="BZ345" t="str">
        <f t="shared" si="312"/>
        <v>G16</v>
      </c>
      <c r="CA345" t="b">
        <f t="shared" si="313"/>
        <v>1</v>
      </c>
      <c r="CB345" t="str">
        <f t="shared" si="328"/>
        <v/>
      </c>
      <c r="CC345" t="str">
        <f t="shared" si="314"/>
        <v>R374</v>
      </c>
      <c r="CD345" t="b">
        <f t="shared" si="329"/>
        <v>1</v>
      </c>
      <c r="CE345" t="str">
        <f t="shared" si="330"/>
        <v/>
      </c>
      <c r="CG345" t="str">
        <f t="shared" si="315"/>
        <v>G806</v>
      </c>
      <c r="CH345" t="str">
        <f t="shared" si="331"/>
        <v>G806</v>
      </c>
      <c r="CI345" t="str">
        <f t="shared" si="316"/>
        <v>G825</v>
      </c>
      <c r="CJ345" t="str">
        <f t="shared" si="317"/>
        <v>G825</v>
      </c>
      <c r="CK345" t="s">
        <v>1244</v>
      </c>
      <c r="CL345" t="s">
        <v>1244</v>
      </c>
      <c r="CM345" t="s">
        <v>1244</v>
      </c>
      <c r="CN345" t="b">
        <f t="shared" si="332"/>
        <v>1</v>
      </c>
      <c r="CO345" t="str">
        <f t="shared" si="318"/>
        <v>R553</v>
      </c>
      <c r="CP345" t="str">
        <f t="shared" si="333"/>
        <v>R553</v>
      </c>
      <c r="CQ345" t="str">
        <f t="shared" si="319"/>
        <v>R564</v>
      </c>
      <c r="CR345" t="str">
        <f t="shared" si="320"/>
        <v>R564</v>
      </c>
      <c r="CS345" t="s">
        <v>588</v>
      </c>
      <c r="CT345" t="s">
        <v>588</v>
      </c>
      <c r="CU345" t="s">
        <v>588</v>
      </c>
      <c r="CV345" t="b">
        <f t="shared" si="334"/>
        <v>1</v>
      </c>
      <c r="DC345" t="str">
        <f t="shared" si="321"/>
        <v>G825</v>
      </c>
      <c r="DD345" t="b">
        <f t="shared" si="335"/>
        <v>0</v>
      </c>
      <c r="DE345" t="str">
        <f t="shared" si="336"/>
        <v>G825</v>
      </c>
      <c r="DF345" t="str">
        <f t="shared" si="322"/>
        <v>R564</v>
      </c>
      <c r="DG345" t="b">
        <f t="shared" si="337"/>
        <v>0</v>
      </c>
      <c r="DH345" t="str">
        <f t="shared" si="338"/>
        <v>R564</v>
      </c>
    </row>
    <row r="346" spans="2:112" ht="12" customHeight="1">
      <c r="B346" t="str">
        <f>TBIDry!H418</f>
        <v>G344</v>
      </c>
      <c r="C346" t="str">
        <f>TBIDry!I418</f>
        <v>R281</v>
      </c>
      <c r="D346" t="b">
        <f t="shared" si="285"/>
        <v>0</v>
      </c>
      <c r="E346" t="b">
        <f t="shared" si="286"/>
        <v>0</v>
      </c>
      <c r="G346" t="str">
        <f>TBIWet!H418</f>
        <v>G895</v>
      </c>
      <c r="H346" t="str">
        <f>TBIWet!I418</f>
        <v>R466</v>
      </c>
      <c r="I346" t="b">
        <f t="shared" si="287"/>
        <v>0</v>
      </c>
      <c r="J346" t="b">
        <f t="shared" si="288"/>
        <v>0</v>
      </c>
      <c r="L346" t="str">
        <f>'Both teabags AfterWet'!A344</f>
        <v>G808</v>
      </c>
      <c r="M346" t="str">
        <f>'Both teabags AfterWet'!A764</f>
        <v>R555</v>
      </c>
      <c r="N346" t="b">
        <f t="shared" si="289"/>
        <v>0</v>
      </c>
      <c r="O346" t="b">
        <f t="shared" si="339"/>
        <v>0</v>
      </c>
      <c r="Q346" s="388" t="b">
        <f t="shared" si="290"/>
        <v>0</v>
      </c>
      <c r="R346" s="388" t="b">
        <f t="shared" si="291"/>
        <v>0</v>
      </c>
      <c r="V346" t="b">
        <f t="shared" si="292"/>
        <v>0</v>
      </c>
      <c r="W346" t="b">
        <f t="shared" si="323"/>
        <v>0</v>
      </c>
      <c r="Y346" t="str">
        <f>'Green_rooibos initial weight'!A347</f>
        <v>G343</v>
      </c>
      <c r="Z346" t="str">
        <f>'Green_rooibos initial weight'!A1251</f>
        <v>R343</v>
      </c>
      <c r="AA346" t="b">
        <f t="shared" si="293"/>
        <v>0</v>
      </c>
      <c r="AB346" t="b">
        <f t="shared" si="294"/>
        <v>0</v>
      </c>
      <c r="AE346" t="str">
        <f>'WetLitterbags placem_collection'!O125</f>
        <v>G895</v>
      </c>
      <c r="AF346" t="str">
        <f>'WetLitterbags placem_collection'!Q125</f>
        <v>R466</v>
      </c>
      <c r="AG346" t="b">
        <f t="shared" si="295"/>
        <v>0</v>
      </c>
      <c r="AH346" t="b">
        <f t="shared" si="296"/>
        <v>0</v>
      </c>
      <c r="AJ346" t="b">
        <f t="shared" si="297"/>
        <v>0</v>
      </c>
      <c r="AK346" t="b">
        <f t="shared" si="298"/>
        <v>0</v>
      </c>
      <c r="AM346" t="str">
        <f>IF(ISBLANK('Dry_Litterbag Placem_Collection'!L125),"","G"&amp;""&amp;'Dry_Litterbag Placem_Collection'!L125)</f>
        <v>G344</v>
      </c>
      <c r="AN346" t="str">
        <f>IF(ISBLANK('Dry_Litterbag Placem_Collection'!M125),"","R"&amp;""&amp;'Dry_Litterbag Placem_Collection'!M125)</f>
        <v>R281</v>
      </c>
      <c r="AO346" t="b">
        <f t="shared" si="299"/>
        <v>0</v>
      </c>
      <c r="AP346" t="b">
        <f t="shared" si="300"/>
        <v>0</v>
      </c>
      <c r="AX346" s="388" t="b">
        <f t="shared" si="302"/>
        <v>0</v>
      </c>
      <c r="AY346" s="388" t="b">
        <f t="shared" si="303"/>
        <v>0</v>
      </c>
      <c r="BA346" t="str">
        <f>'Ashed teabags wet'!A344</f>
        <v>G808</v>
      </c>
      <c r="BB346" t="str">
        <f>'Ashed teabags wet'!A764</f>
        <v>R555</v>
      </c>
      <c r="BC346" t="b">
        <f t="shared" si="304"/>
        <v>0</v>
      </c>
      <c r="BD346" t="b">
        <f t="shared" si="284"/>
        <v>0</v>
      </c>
      <c r="BH346" t="str">
        <f t="shared" si="307"/>
        <v>G109</v>
      </c>
      <c r="BI346" t="str">
        <f t="shared" si="325"/>
        <v>G109</v>
      </c>
      <c r="BP346" t="str">
        <f t="shared" si="310"/>
        <v>R388</v>
      </c>
      <c r="BQ346" t="str">
        <f t="shared" si="311"/>
        <v>R388</v>
      </c>
      <c r="BZ346" t="str">
        <f t="shared" si="312"/>
        <v>G109</v>
      </c>
      <c r="CA346" t="b">
        <f t="shared" si="313"/>
        <v>0</v>
      </c>
      <c r="CB346" t="str">
        <f t="shared" si="328"/>
        <v>G109</v>
      </c>
      <c r="CC346" t="str">
        <f t="shared" si="314"/>
        <v>R388</v>
      </c>
      <c r="CD346" t="b">
        <f t="shared" si="329"/>
        <v>0</v>
      </c>
      <c r="CE346" t="str">
        <f t="shared" si="330"/>
        <v>R388</v>
      </c>
      <c r="CG346" t="str">
        <f t="shared" si="315"/>
        <v>G807</v>
      </c>
      <c r="CH346" t="str">
        <f t="shared" si="331"/>
        <v>G807</v>
      </c>
      <c r="CI346" t="str">
        <f t="shared" si="316"/>
        <v>G839</v>
      </c>
      <c r="CJ346" t="str">
        <f t="shared" si="317"/>
        <v>G839</v>
      </c>
      <c r="CK346" t="s">
        <v>1243</v>
      </c>
      <c r="CL346" t="s">
        <v>1243</v>
      </c>
      <c r="CM346" t="s">
        <v>1243</v>
      </c>
      <c r="CN346" t="b">
        <f t="shared" si="332"/>
        <v>1</v>
      </c>
      <c r="CO346" t="str">
        <f t="shared" si="318"/>
        <v>R554</v>
      </c>
      <c r="CP346" t="str">
        <f t="shared" si="333"/>
        <v>R554</v>
      </c>
      <c r="CQ346" t="str">
        <f t="shared" si="319"/>
        <v>R429</v>
      </c>
      <c r="CR346" t="str">
        <f t="shared" si="320"/>
        <v>R429</v>
      </c>
      <c r="CS346" t="s">
        <v>587</v>
      </c>
      <c r="CT346" t="s">
        <v>587</v>
      </c>
      <c r="CU346" t="s">
        <v>587</v>
      </c>
      <c r="CV346" t="b">
        <f t="shared" si="334"/>
        <v>1</v>
      </c>
      <c r="DC346" t="str">
        <f t="shared" si="321"/>
        <v>G839</v>
      </c>
      <c r="DD346" t="b">
        <f t="shared" si="335"/>
        <v>0</v>
      </c>
      <c r="DE346" t="str">
        <f t="shared" si="336"/>
        <v>G839</v>
      </c>
      <c r="DF346" t="str">
        <f t="shared" si="322"/>
        <v>R429</v>
      </c>
      <c r="DG346" t="b">
        <f t="shared" si="337"/>
        <v>0</v>
      </c>
      <c r="DH346" t="str">
        <f t="shared" si="338"/>
        <v>R429</v>
      </c>
    </row>
    <row r="347" spans="2:112" ht="12" customHeight="1">
      <c r="B347" t="str">
        <f>TBIDry!H419</f>
        <v>G221</v>
      </c>
      <c r="C347" t="str">
        <f>TBIDry!I419</f>
        <v>R443</v>
      </c>
      <c r="D347" t="b">
        <f t="shared" si="285"/>
        <v>0</v>
      </c>
      <c r="E347" t="b">
        <f t="shared" si="286"/>
        <v>0</v>
      </c>
      <c r="G347" t="str">
        <f>TBIWet!H419</f>
        <v>G682</v>
      </c>
      <c r="H347" t="str">
        <f>TBIWet!I419</f>
        <v>R471</v>
      </c>
      <c r="I347" t="b">
        <f t="shared" si="287"/>
        <v>0</v>
      </c>
      <c r="J347" t="b">
        <f t="shared" si="288"/>
        <v>0</v>
      </c>
      <c r="L347" t="str">
        <f>'Both teabags AfterWet'!A345</f>
        <v>G809</v>
      </c>
      <c r="M347" t="str">
        <f>'Both teabags AfterWet'!A765</f>
        <v>R556</v>
      </c>
      <c r="N347" t="b">
        <f t="shared" si="289"/>
        <v>0</v>
      </c>
      <c r="O347" t="b">
        <f t="shared" si="339"/>
        <v>0</v>
      </c>
      <c r="Q347" s="388" t="b">
        <f t="shared" si="290"/>
        <v>0</v>
      </c>
      <c r="R347" s="388" t="b">
        <f t="shared" si="291"/>
        <v>0</v>
      </c>
      <c r="Y347" t="str">
        <f>'Green_rooibos initial weight'!A348</f>
        <v>G344</v>
      </c>
      <c r="Z347" t="str">
        <f>'Green_rooibos initial weight'!A1252</f>
        <v>R344</v>
      </c>
      <c r="AA347" t="b">
        <f t="shared" si="293"/>
        <v>0</v>
      </c>
      <c r="AB347" t="b">
        <f t="shared" si="294"/>
        <v>0</v>
      </c>
      <c r="AE347" t="str">
        <f>'WetLitterbags placem_collection'!O126</f>
        <v>G682</v>
      </c>
      <c r="AF347" t="str">
        <f>'WetLitterbags placem_collection'!Q126</f>
        <v>R471</v>
      </c>
      <c r="AG347" t="b">
        <f t="shared" si="295"/>
        <v>0</v>
      </c>
      <c r="AH347" t="b">
        <f t="shared" si="296"/>
        <v>0</v>
      </c>
      <c r="AJ347" t="b">
        <f t="shared" si="297"/>
        <v>0</v>
      </c>
      <c r="AK347" t="b">
        <f t="shared" si="298"/>
        <v>0</v>
      </c>
      <c r="AM347" t="str">
        <f>IF(ISBLANK('Dry_Litterbag Placem_Collection'!L126),"","G"&amp;""&amp;'Dry_Litterbag Placem_Collection'!L126)</f>
        <v>G221</v>
      </c>
      <c r="AN347" t="str">
        <f>IF(ISBLANK('Dry_Litterbag Placem_Collection'!M126),"","R"&amp;""&amp;'Dry_Litterbag Placem_Collection'!M126)</f>
        <v>R443</v>
      </c>
      <c r="AO347" t="b">
        <f t="shared" si="299"/>
        <v>0</v>
      </c>
      <c r="AP347" t="b">
        <f t="shared" si="300"/>
        <v>0</v>
      </c>
      <c r="AX347" s="388" t="b">
        <f t="shared" si="302"/>
        <v>0</v>
      </c>
      <c r="AY347" s="388" t="b">
        <f t="shared" si="303"/>
        <v>0</v>
      </c>
      <c r="BA347" t="str">
        <f>'Ashed teabags wet'!A345</f>
        <v>G809</v>
      </c>
      <c r="BB347" t="str">
        <f>'Ashed teabags wet'!A765</f>
        <v>R556</v>
      </c>
      <c r="BC347" t="b">
        <f t="shared" si="304"/>
        <v>0</v>
      </c>
      <c r="BD347" t="b">
        <f t="shared" si="284"/>
        <v>0</v>
      </c>
      <c r="BH347" t="str">
        <f t="shared" si="307"/>
        <v>G344</v>
      </c>
      <c r="BI347" t="str">
        <f t="shared" si="325"/>
        <v>G344</v>
      </c>
      <c r="BP347" t="str">
        <f t="shared" si="310"/>
        <v>R281</v>
      </c>
      <c r="BQ347" t="str">
        <f t="shared" si="311"/>
        <v>R281</v>
      </c>
      <c r="BZ347" t="str">
        <f t="shared" si="312"/>
        <v>G344</v>
      </c>
      <c r="CA347" t="b">
        <f t="shared" si="313"/>
        <v>0</v>
      </c>
      <c r="CB347" t="str">
        <f t="shared" si="328"/>
        <v>G344</v>
      </c>
      <c r="CC347" t="str">
        <f t="shared" si="314"/>
        <v>R281</v>
      </c>
      <c r="CD347" t="b">
        <f t="shared" si="329"/>
        <v>0</v>
      </c>
      <c r="CE347" t="str">
        <f t="shared" si="330"/>
        <v>R281</v>
      </c>
      <c r="CG347" t="str">
        <f t="shared" si="315"/>
        <v>G808</v>
      </c>
      <c r="CH347" t="str">
        <f t="shared" si="331"/>
        <v>G808</v>
      </c>
      <c r="CI347" t="str">
        <f t="shared" si="316"/>
        <v>G895</v>
      </c>
      <c r="CJ347" t="str">
        <f t="shared" si="317"/>
        <v>G895</v>
      </c>
      <c r="CK347" t="s">
        <v>1242</v>
      </c>
      <c r="CL347" t="s">
        <v>1242</v>
      </c>
      <c r="CM347" t="s">
        <v>1242</v>
      </c>
      <c r="CN347" t="b">
        <f t="shared" si="332"/>
        <v>1</v>
      </c>
      <c r="CO347" t="str">
        <f t="shared" si="318"/>
        <v>R555</v>
      </c>
      <c r="CP347" t="str">
        <f t="shared" si="333"/>
        <v>R555</v>
      </c>
      <c r="CQ347" t="str">
        <f t="shared" si="319"/>
        <v>R466</v>
      </c>
      <c r="CR347" t="str">
        <f t="shared" si="320"/>
        <v>R466</v>
      </c>
      <c r="CS347" t="s">
        <v>586</v>
      </c>
      <c r="CT347" t="s">
        <v>586</v>
      </c>
      <c r="CU347" t="s">
        <v>586</v>
      </c>
      <c r="CV347" t="b">
        <f t="shared" si="334"/>
        <v>1</v>
      </c>
      <c r="DC347" t="str">
        <f t="shared" si="321"/>
        <v>G895</v>
      </c>
      <c r="DD347" t="b">
        <f t="shared" si="335"/>
        <v>0</v>
      </c>
      <c r="DE347" t="str">
        <f t="shared" si="336"/>
        <v>G895</v>
      </c>
      <c r="DF347" t="str">
        <f t="shared" si="322"/>
        <v>R466</v>
      </c>
      <c r="DG347" t="b">
        <f t="shared" si="337"/>
        <v>0</v>
      </c>
      <c r="DH347" t="str">
        <f t="shared" si="338"/>
        <v>R466</v>
      </c>
    </row>
    <row r="348" spans="2:112" ht="12" customHeight="1">
      <c r="B348" t="str">
        <f>TBIDry!H420</f>
        <v>G757</v>
      </c>
      <c r="C348" t="str">
        <f>TBIDry!I420</f>
        <v>R180</v>
      </c>
      <c r="D348" t="b">
        <f t="shared" si="285"/>
        <v>0</v>
      </c>
      <c r="E348" t="b">
        <f t="shared" si="286"/>
        <v>0</v>
      </c>
      <c r="G348" t="str">
        <f>TBIWet!H420</f>
        <v>G740</v>
      </c>
      <c r="H348" t="str">
        <f>TBIWet!I420</f>
        <v>R486</v>
      </c>
      <c r="I348" t="b">
        <f t="shared" si="287"/>
        <v>0</v>
      </c>
      <c r="J348" t="b">
        <f t="shared" si="288"/>
        <v>0</v>
      </c>
      <c r="L348" t="str">
        <f>'Both teabags AfterWet'!A346</f>
        <v>G810</v>
      </c>
      <c r="M348" t="str">
        <f>'Both teabags AfterWet'!A766</f>
        <v>R557</v>
      </c>
      <c r="N348" t="b">
        <f t="shared" si="289"/>
        <v>0</v>
      </c>
      <c r="O348" t="b">
        <f t="shared" si="339"/>
        <v>0</v>
      </c>
      <c r="Q348" s="388" t="b">
        <f t="shared" si="290"/>
        <v>0</v>
      </c>
      <c r="R348" s="388" t="b">
        <f t="shared" si="291"/>
        <v>0</v>
      </c>
      <c r="Y348" t="str">
        <f>'Green_rooibos initial weight'!A349</f>
        <v>G345</v>
      </c>
      <c r="Z348" t="str">
        <f>'Green_rooibos initial weight'!A1253</f>
        <v>R345</v>
      </c>
      <c r="AA348" t="b">
        <f t="shared" si="293"/>
        <v>0</v>
      </c>
      <c r="AB348" t="b">
        <f t="shared" si="294"/>
        <v>0</v>
      </c>
      <c r="AE348" t="str">
        <f>'WetLitterbags placem_collection'!O127</f>
        <v>G740</v>
      </c>
      <c r="AF348" t="str">
        <f>'WetLitterbags placem_collection'!Q127</f>
        <v>R486</v>
      </c>
      <c r="AG348" t="b">
        <f t="shared" si="295"/>
        <v>0</v>
      </c>
      <c r="AH348" t="b">
        <f t="shared" si="296"/>
        <v>0</v>
      </c>
      <c r="AJ348" t="b">
        <f t="shared" si="297"/>
        <v>0</v>
      </c>
      <c r="AK348" t="b">
        <f t="shared" si="298"/>
        <v>0</v>
      </c>
      <c r="AM348" t="str">
        <f>IF(ISBLANK('Dry_Litterbag Placem_Collection'!L127),"","G"&amp;""&amp;'Dry_Litterbag Placem_Collection'!L127)</f>
        <v>G757</v>
      </c>
      <c r="AN348" t="str">
        <f>IF(ISBLANK('Dry_Litterbag Placem_Collection'!M127),"","R"&amp;""&amp;'Dry_Litterbag Placem_Collection'!M127)</f>
        <v>R180</v>
      </c>
      <c r="AO348" t="b">
        <f t="shared" si="299"/>
        <v>0</v>
      </c>
      <c r="AP348" t="b">
        <f t="shared" si="300"/>
        <v>0</v>
      </c>
      <c r="AX348" s="388" t="b">
        <f t="shared" si="302"/>
        <v>0</v>
      </c>
      <c r="AY348" s="388" t="b">
        <f t="shared" si="303"/>
        <v>0</v>
      </c>
      <c r="BA348" t="str">
        <f>'Ashed teabags wet'!A346</f>
        <v>G810</v>
      </c>
      <c r="BB348" t="str">
        <f>'Ashed teabags wet'!A766</f>
        <v>R557</v>
      </c>
      <c r="BC348" t="b">
        <f t="shared" si="304"/>
        <v>0</v>
      </c>
      <c r="BD348" t="b">
        <f t="shared" si="284"/>
        <v>0</v>
      </c>
      <c r="BH348" t="str">
        <f t="shared" si="307"/>
        <v>G221</v>
      </c>
      <c r="BI348" t="str">
        <f t="shared" si="325"/>
        <v>G221</v>
      </c>
      <c r="BP348" t="str">
        <f t="shared" si="310"/>
        <v>R443</v>
      </c>
      <c r="BQ348" t="str">
        <f t="shared" si="311"/>
        <v>R443</v>
      </c>
      <c r="BZ348" t="str">
        <f t="shared" si="312"/>
        <v>G221</v>
      </c>
      <c r="CA348" t="b">
        <f t="shared" si="313"/>
        <v>0</v>
      </c>
      <c r="CB348" t="str">
        <f t="shared" si="328"/>
        <v>G221</v>
      </c>
      <c r="CC348" t="str">
        <f t="shared" si="314"/>
        <v>R443</v>
      </c>
      <c r="CD348" t="b">
        <f t="shared" si="329"/>
        <v>0</v>
      </c>
      <c r="CE348" t="str">
        <f t="shared" si="330"/>
        <v>R443</v>
      </c>
      <c r="CG348" t="str">
        <f t="shared" si="315"/>
        <v>G809</v>
      </c>
      <c r="CH348" t="str">
        <f t="shared" si="331"/>
        <v>G809</v>
      </c>
      <c r="CI348" t="str">
        <f t="shared" si="316"/>
        <v>G682</v>
      </c>
      <c r="CJ348" t="str">
        <f t="shared" si="317"/>
        <v>G682</v>
      </c>
      <c r="CK348" t="s">
        <v>1241</v>
      </c>
      <c r="CL348" t="s">
        <v>1241</v>
      </c>
      <c r="CM348" t="s">
        <v>1241</v>
      </c>
      <c r="CN348" t="b">
        <f t="shared" si="332"/>
        <v>1</v>
      </c>
      <c r="CO348" t="str">
        <f t="shared" si="318"/>
        <v>R556</v>
      </c>
      <c r="CP348" t="str">
        <f t="shared" si="333"/>
        <v>R556</v>
      </c>
      <c r="CQ348" t="str">
        <f t="shared" si="319"/>
        <v>R471</v>
      </c>
      <c r="CR348" t="str">
        <f t="shared" si="320"/>
        <v>R471</v>
      </c>
      <c r="CS348" t="s">
        <v>585</v>
      </c>
      <c r="CT348" t="s">
        <v>585</v>
      </c>
      <c r="CU348" t="s">
        <v>585</v>
      </c>
      <c r="CV348" t="b">
        <f t="shared" si="334"/>
        <v>1</v>
      </c>
      <c r="DC348" t="str">
        <f t="shared" si="321"/>
        <v>G682</v>
      </c>
      <c r="DD348" t="b">
        <f t="shared" si="335"/>
        <v>0</v>
      </c>
      <c r="DE348" t="str">
        <f t="shared" si="336"/>
        <v>G682</v>
      </c>
      <c r="DF348" t="str">
        <f t="shared" si="322"/>
        <v>R471</v>
      </c>
      <c r="DG348" t="b">
        <f t="shared" si="337"/>
        <v>0</v>
      </c>
      <c r="DH348" t="str">
        <f t="shared" si="338"/>
        <v>R471</v>
      </c>
    </row>
    <row r="349" spans="2:112" ht="12" customHeight="1">
      <c r="B349" t="str">
        <f>TBIDry!H421</f>
        <v/>
      </c>
      <c r="C349" t="str">
        <f>TBIDry!I421</f>
        <v/>
      </c>
      <c r="D349" t="b">
        <f t="shared" si="285"/>
        <v>1</v>
      </c>
      <c r="E349" t="b">
        <f t="shared" si="286"/>
        <v>1</v>
      </c>
      <c r="G349" t="str">
        <f>TBIWet!H421</f>
        <v>G841</v>
      </c>
      <c r="H349" t="str">
        <f>TBIWet!I421</f>
        <v>R55</v>
      </c>
      <c r="I349" t="b">
        <f t="shared" si="287"/>
        <v>0</v>
      </c>
      <c r="J349" t="b">
        <f t="shared" si="288"/>
        <v>0</v>
      </c>
      <c r="L349" t="str">
        <f>'Both teabags AfterWet'!A347</f>
        <v>G811</v>
      </c>
      <c r="M349" t="str">
        <f>'Both teabags AfterWet'!A767</f>
        <v>R558</v>
      </c>
      <c r="N349" t="b">
        <f t="shared" si="289"/>
        <v>0</v>
      </c>
      <c r="O349" t="b">
        <f t="shared" si="339"/>
        <v>0</v>
      </c>
      <c r="Q349" s="388" t="b">
        <f t="shared" si="290"/>
        <v>0</v>
      </c>
      <c r="R349" s="388" t="b">
        <f t="shared" si="291"/>
        <v>0</v>
      </c>
      <c r="Y349" t="str">
        <f>'Green_rooibos initial weight'!A350</f>
        <v>G346</v>
      </c>
      <c r="Z349" t="str">
        <f>'Green_rooibos initial weight'!A1254</f>
        <v>R346</v>
      </c>
      <c r="AA349" t="b">
        <f t="shared" si="293"/>
        <v>0</v>
      </c>
      <c r="AB349" t="b">
        <f t="shared" si="294"/>
        <v>0</v>
      </c>
      <c r="AE349" t="str">
        <f>'WetLitterbags placem_collection'!O128</f>
        <v>G841</v>
      </c>
      <c r="AF349" t="str">
        <f>'WetLitterbags placem_collection'!Q128</f>
        <v>R55</v>
      </c>
      <c r="AG349" t="b">
        <f t="shared" si="295"/>
        <v>0</v>
      </c>
      <c r="AH349" t="b">
        <f t="shared" si="296"/>
        <v>0</v>
      </c>
      <c r="AJ349" t="b">
        <f t="shared" si="297"/>
        <v>0</v>
      </c>
      <c r="AK349" t="b">
        <f t="shared" si="298"/>
        <v>0</v>
      </c>
      <c r="AM349" t="str">
        <f>IF(ISBLANK('Dry_Litterbag Placem_Collection'!L128),"","G"&amp;""&amp;'Dry_Litterbag Placem_Collection'!L128)</f>
        <v/>
      </c>
      <c r="AN349" t="str">
        <f>IF(ISBLANK('Dry_Litterbag Placem_Collection'!M128),"","R"&amp;""&amp;'Dry_Litterbag Placem_Collection'!M128)</f>
        <v/>
      </c>
      <c r="AO349" t="b">
        <f t="shared" si="299"/>
        <v>1</v>
      </c>
      <c r="AP349" t="b">
        <f t="shared" si="300"/>
        <v>1</v>
      </c>
      <c r="AX349" s="388" t="b">
        <f t="shared" si="302"/>
        <v>0</v>
      </c>
      <c r="AY349" s="388" t="b">
        <f t="shared" si="303"/>
        <v>0</v>
      </c>
      <c r="BA349" t="str">
        <f>'Ashed teabags wet'!A347</f>
        <v>G811</v>
      </c>
      <c r="BB349" t="str">
        <f>'Ashed teabags wet'!A767</f>
        <v>R558</v>
      </c>
      <c r="BC349" t="b">
        <f t="shared" si="304"/>
        <v>0</v>
      </c>
      <c r="BD349" t="b">
        <f t="shared" si="284"/>
        <v>0</v>
      </c>
      <c r="BH349" t="str">
        <f t="shared" si="307"/>
        <v>G757</v>
      </c>
      <c r="BI349" t="str">
        <f t="shared" si="325"/>
        <v>G757</v>
      </c>
      <c r="BP349" t="str">
        <f t="shared" si="310"/>
        <v>R180</v>
      </c>
      <c r="BQ349" t="str">
        <f t="shared" si="311"/>
        <v>R180</v>
      </c>
      <c r="BZ349" t="str">
        <f t="shared" si="312"/>
        <v>G757</v>
      </c>
      <c r="CA349" t="b">
        <f t="shared" si="313"/>
        <v>0</v>
      </c>
      <c r="CB349" t="str">
        <f t="shared" si="328"/>
        <v>G757</v>
      </c>
      <c r="CC349" t="str">
        <f t="shared" si="314"/>
        <v>R180</v>
      </c>
      <c r="CD349" t="b">
        <f t="shared" si="329"/>
        <v>0</v>
      </c>
      <c r="CE349" t="str">
        <f t="shared" si="330"/>
        <v>R180</v>
      </c>
      <c r="CG349" t="str">
        <f t="shared" si="315"/>
        <v>G810</v>
      </c>
      <c r="CH349" t="str">
        <f t="shared" si="331"/>
        <v>G810</v>
      </c>
      <c r="CI349" t="str">
        <f t="shared" si="316"/>
        <v>G740</v>
      </c>
      <c r="CJ349" t="str">
        <f t="shared" si="317"/>
        <v>G740</v>
      </c>
      <c r="CK349" t="s">
        <v>1240</v>
      </c>
      <c r="CL349" t="s">
        <v>1240</v>
      </c>
      <c r="CM349" t="s">
        <v>1240</v>
      </c>
      <c r="CN349" t="b">
        <f t="shared" si="332"/>
        <v>1</v>
      </c>
      <c r="CO349" t="str">
        <f t="shared" si="318"/>
        <v>R557</v>
      </c>
      <c r="CP349" t="str">
        <f t="shared" si="333"/>
        <v>R557</v>
      </c>
      <c r="CQ349" t="str">
        <f t="shared" si="319"/>
        <v>R486</v>
      </c>
      <c r="CR349" t="str">
        <f t="shared" si="320"/>
        <v>R486</v>
      </c>
      <c r="CS349" t="s">
        <v>584</v>
      </c>
      <c r="CT349" t="s">
        <v>584</v>
      </c>
      <c r="CU349" t="s">
        <v>584</v>
      </c>
      <c r="CV349" t="b">
        <f t="shared" si="334"/>
        <v>1</v>
      </c>
      <c r="DC349" t="str">
        <f t="shared" si="321"/>
        <v>G740</v>
      </c>
      <c r="DD349" t="b">
        <f t="shared" si="335"/>
        <v>0</v>
      </c>
      <c r="DE349" t="str">
        <f t="shared" si="336"/>
        <v>G740</v>
      </c>
      <c r="DF349" t="str">
        <f t="shared" si="322"/>
        <v>R486</v>
      </c>
      <c r="DG349" t="b">
        <f t="shared" si="337"/>
        <v>0</v>
      </c>
      <c r="DH349" t="str">
        <f t="shared" si="338"/>
        <v>R486</v>
      </c>
    </row>
    <row r="350" spans="2:112" ht="12" customHeight="1">
      <c r="B350" t="str">
        <f>TBIDry!H422</f>
        <v>G96</v>
      </c>
      <c r="C350" t="str">
        <f>TBIDry!I422</f>
        <v>R229</v>
      </c>
      <c r="D350" t="b">
        <f t="shared" si="285"/>
        <v>0</v>
      </c>
      <c r="E350" t="b">
        <f t="shared" si="286"/>
        <v>0</v>
      </c>
      <c r="G350" t="str">
        <f>TBIWet!H422</f>
        <v>G687</v>
      </c>
      <c r="H350" t="str">
        <f>TBIWet!I422</f>
        <v>R424</v>
      </c>
      <c r="I350" t="b">
        <f t="shared" si="287"/>
        <v>0</v>
      </c>
      <c r="J350" t="b">
        <f t="shared" si="288"/>
        <v>0</v>
      </c>
      <c r="L350" t="str">
        <f>'Both teabags AfterWet'!A348</f>
        <v>G813</v>
      </c>
      <c r="M350" t="str">
        <f>'Both teabags AfterWet'!A768</f>
        <v>R559</v>
      </c>
      <c r="N350" t="b">
        <f t="shared" si="289"/>
        <v>0</v>
      </c>
      <c r="O350" t="b">
        <f t="shared" si="339"/>
        <v>0</v>
      </c>
      <c r="Q350" s="388" t="b">
        <f t="shared" si="290"/>
        <v>0</v>
      </c>
      <c r="R350" s="388" t="b">
        <f t="shared" si="291"/>
        <v>0</v>
      </c>
      <c r="Y350" t="str">
        <f>'Green_rooibos initial weight'!A351</f>
        <v>G347</v>
      </c>
      <c r="Z350" t="str">
        <f>'Green_rooibos initial weight'!A1255</f>
        <v>R347</v>
      </c>
      <c r="AA350" t="b">
        <f t="shared" si="293"/>
        <v>0</v>
      </c>
      <c r="AB350" t="b">
        <f t="shared" si="294"/>
        <v>0</v>
      </c>
      <c r="AE350" t="str">
        <f>'WetLitterbags placem_collection'!O129</f>
        <v>G687</v>
      </c>
      <c r="AF350" t="str">
        <f>'WetLitterbags placem_collection'!Q129</f>
        <v>R424</v>
      </c>
      <c r="AG350" t="b">
        <f t="shared" si="295"/>
        <v>0</v>
      </c>
      <c r="AH350" t="b">
        <f t="shared" si="296"/>
        <v>0</v>
      </c>
      <c r="AJ350" t="b">
        <f t="shared" si="297"/>
        <v>0</v>
      </c>
      <c r="AK350" t="b">
        <f t="shared" si="298"/>
        <v>0</v>
      </c>
      <c r="AM350" t="str">
        <f>IF(ISBLANK('Dry_Litterbag Placem_Collection'!L129),"","G"&amp;""&amp;'Dry_Litterbag Placem_Collection'!L129)</f>
        <v>G96</v>
      </c>
      <c r="AN350" t="str">
        <f>IF(ISBLANK('Dry_Litterbag Placem_Collection'!M129),"","R"&amp;""&amp;'Dry_Litterbag Placem_Collection'!M129)</f>
        <v>R229</v>
      </c>
      <c r="AO350" t="b">
        <f t="shared" si="299"/>
        <v>0</v>
      </c>
      <c r="AP350" t="b">
        <f t="shared" si="300"/>
        <v>0</v>
      </c>
      <c r="AX350" s="388" t="b">
        <f t="shared" si="302"/>
        <v>0</v>
      </c>
      <c r="AY350" s="388" t="b">
        <f t="shared" si="303"/>
        <v>0</v>
      </c>
      <c r="BA350" t="str">
        <f>'Ashed teabags wet'!A348</f>
        <v>G813</v>
      </c>
      <c r="BB350" t="str">
        <f>'Ashed teabags wet'!A768</f>
        <v>R559</v>
      </c>
      <c r="BC350" t="b">
        <f t="shared" si="304"/>
        <v>0</v>
      </c>
      <c r="BD350" t="b">
        <f t="shared" si="284"/>
        <v>0</v>
      </c>
      <c r="BH350" t="str">
        <f t="shared" si="307"/>
        <v/>
      </c>
      <c r="BI350" t="str">
        <f t="shared" si="325"/>
        <v/>
      </c>
      <c r="BP350" t="str">
        <f t="shared" si="310"/>
        <v/>
      </c>
      <c r="BQ350" t="str">
        <f t="shared" si="311"/>
        <v/>
      </c>
      <c r="BZ350" t="str">
        <f t="shared" si="312"/>
        <v/>
      </c>
      <c r="CA350" t="b">
        <f t="shared" si="313"/>
        <v>0</v>
      </c>
      <c r="CB350" t="str">
        <f t="shared" si="328"/>
        <v/>
      </c>
      <c r="CC350" t="str">
        <f t="shared" si="314"/>
        <v/>
      </c>
      <c r="CD350" t="b">
        <f t="shared" si="329"/>
        <v>0</v>
      </c>
      <c r="CE350" t="str">
        <f t="shared" si="330"/>
        <v/>
      </c>
      <c r="CG350" t="str">
        <f t="shared" si="315"/>
        <v>G811</v>
      </c>
      <c r="CH350" t="str">
        <f t="shared" si="331"/>
        <v>G811</v>
      </c>
      <c r="CI350" t="str">
        <f t="shared" si="316"/>
        <v>G841</v>
      </c>
      <c r="CJ350" t="str">
        <f t="shared" si="317"/>
        <v>G841</v>
      </c>
      <c r="CK350" t="s">
        <v>1239</v>
      </c>
      <c r="CL350" t="s">
        <v>1239</v>
      </c>
      <c r="CM350" t="s">
        <v>1239</v>
      </c>
      <c r="CN350" t="b">
        <f t="shared" si="332"/>
        <v>1</v>
      </c>
      <c r="CO350" t="str">
        <f t="shared" si="318"/>
        <v>R558</v>
      </c>
      <c r="CP350" t="str">
        <f t="shared" si="333"/>
        <v>R558</v>
      </c>
      <c r="CQ350" t="str">
        <f t="shared" si="319"/>
        <v>R55</v>
      </c>
      <c r="CR350" t="str">
        <f t="shared" si="320"/>
        <v>R55</v>
      </c>
      <c r="CS350" t="s">
        <v>583</v>
      </c>
      <c r="CT350" t="s">
        <v>583</v>
      </c>
      <c r="CU350" t="s">
        <v>583</v>
      </c>
      <c r="CV350" t="b">
        <f t="shared" si="334"/>
        <v>1</v>
      </c>
      <c r="DC350" t="str">
        <f t="shared" si="321"/>
        <v>G841</v>
      </c>
      <c r="DD350" t="b">
        <f t="shared" si="335"/>
        <v>0</v>
      </c>
      <c r="DE350" t="str">
        <f t="shared" si="336"/>
        <v>G841</v>
      </c>
      <c r="DF350" t="str">
        <f t="shared" si="322"/>
        <v>R55</v>
      </c>
      <c r="DG350" t="b">
        <f t="shared" si="337"/>
        <v>0</v>
      </c>
      <c r="DH350" t="str">
        <f t="shared" si="338"/>
        <v>R55</v>
      </c>
    </row>
    <row r="351" spans="2:112" ht="12" customHeight="1">
      <c r="B351" t="str">
        <f>TBIDry!H423</f>
        <v>G134</v>
      </c>
      <c r="C351" t="str">
        <f>TBIDry!I423</f>
        <v>R272</v>
      </c>
      <c r="D351" t="b">
        <f t="shared" si="285"/>
        <v>0</v>
      </c>
      <c r="E351" t="b">
        <f t="shared" si="286"/>
        <v>0</v>
      </c>
      <c r="G351" t="str">
        <f>TBIWet!H423</f>
        <v>G833</v>
      </c>
      <c r="H351" t="str">
        <f>TBIWet!I423</f>
        <v>R418</v>
      </c>
      <c r="I351" t="b">
        <f t="shared" si="287"/>
        <v>0</v>
      </c>
      <c r="J351" t="b">
        <f t="shared" si="288"/>
        <v>0</v>
      </c>
      <c r="L351" t="str">
        <f>'Both teabags AfterWet'!A349</f>
        <v>G814</v>
      </c>
      <c r="M351" t="str">
        <f>'Both teabags AfterWet'!A769</f>
        <v>R56</v>
      </c>
      <c r="N351" t="b">
        <f t="shared" si="289"/>
        <v>0</v>
      </c>
      <c r="O351" t="b">
        <f t="shared" si="339"/>
        <v>0</v>
      </c>
      <c r="Q351" s="388" t="b">
        <f t="shared" si="290"/>
        <v>0</v>
      </c>
      <c r="R351" s="388" t="b">
        <f t="shared" si="291"/>
        <v>0</v>
      </c>
      <c r="Y351" t="str">
        <f>'Green_rooibos initial weight'!A352</f>
        <v>G348</v>
      </c>
      <c r="Z351" t="str">
        <f>'Green_rooibos initial weight'!A1256</f>
        <v>R348</v>
      </c>
      <c r="AA351" t="b">
        <f t="shared" si="293"/>
        <v>0</v>
      </c>
      <c r="AB351" t="b">
        <f t="shared" si="294"/>
        <v>0</v>
      </c>
      <c r="AE351" t="str">
        <f>'WetLitterbags placem_collection'!O130</f>
        <v>G833</v>
      </c>
      <c r="AF351" t="str">
        <f>'WetLitterbags placem_collection'!Q130</f>
        <v>R418</v>
      </c>
      <c r="AG351" t="b">
        <f t="shared" si="295"/>
        <v>0</v>
      </c>
      <c r="AH351" t="b">
        <f t="shared" si="296"/>
        <v>0</v>
      </c>
      <c r="AJ351" t="b">
        <f t="shared" si="297"/>
        <v>0</v>
      </c>
      <c r="AK351" t="b">
        <f t="shared" si="298"/>
        <v>0</v>
      </c>
      <c r="AM351" t="str">
        <f>IF(ISBLANK('Dry_Litterbag Placem_Collection'!L130),"","G"&amp;""&amp;'Dry_Litterbag Placem_Collection'!L130)</f>
        <v>G134</v>
      </c>
      <c r="AN351" t="str">
        <f>IF(ISBLANK('Dry_Litterbag Placem_Collection'!M130),"","R"&amp;""&amp;'Dry_Litterbag Placem_Collection'!M130)</f>
        <v>R272</v>
      </c>
      <c r="AO351" t="b">
        <f t="shared" si="299"/>
        <v>0</v>
      </c>
      <c r="AP351" t="b">
        <f t="shared" si="300"/>
        <v>0</v>
      </c>
      <c r="AX351" s="388" t="b">
        <f t="shared" si="302"/>
        <v>0</v>
      </c>
      <c r="AY351" s="388" t="b">
        <f t="shared" si="303"/>
        <v>0</v>
      </c>
      <c r="BA351" t="str">
        <f>'Ashed teabags wet'!A349</f>
        <v>G814</v>
      </c>
      <c r="BB351" t="str">
        <f>'Ashed teabags wet'!A769</f>
        <v>R56</v>
      </c>
      <c r="BC351" t="b">
        <f t="shared" si="304"/>
        <v>0</v>
      </c>
      <c r="BD351" t="b">
        <f t="shared" si="284"/>
        <v>0</v>
      </c>
      <c r="BH351" t="str">
        <f t="shared" si="307"/>
        <v>G96</v>
      </c>
      <c r="BI351" t="str">
        <f t="shared" si="325"/>
        <v>G96</v>
      </c>
      <c r="BP351" t="str">
        <f t="shared" si="310"/>
        <v>R229</v>
      </c>
      <c r="BQ351" t="str">
        <f t="shared" si="311"/>
        <v>R229</v>
      </c>
      <c r="BZ351" t="str">
        <f t="shared" si="312"/>
        <v>G96</v>
      </c>
      <c r="CA351" t="b">
        <f t="shared" si="313"/>
        <v>0</v>
      </c>
      <c r="CB351" t="str">
        <f t="shared" si="328"/>
        <v>G96</v>
      </c>
      <c r="CC351" t="str">
        <f t="shared" si="314"/>
        <v>R229</v>
      </c>
      <c r="CD351" t="b">
        <f t="shared" si="329"/>
        <v>0</v>
      </c>
      <c r="CE351" t="str">
        <f t="shared" si="330"/>
        <v>R229</v>
      </c>
      <c r="CG351" t="str">
        <f t="shared" si="315"/>
        <v>G813</v>
      </c>
      <c r="CH351" t="str">
        <f t="shared" si="331"/>
        <v>G813</v>
      </c>
      <c r="CI351" t="str">
        <f t="shared" si="316"/>
        <v>G687</v>
      </c>
      <c r="CJ351" t="str">
        <f t="shared" si="317"/>
        <v>G687</v>
      </c>
      <c r="CK351" t="s">
        <v>1237</v>
      </c>
      <c r="CL351" t="s">
        <v>1237</v>
      </c>
      <c r="CM351" t="s">
        <v>1237</v>
      </c>
      <c r="CN351" t="b">
        <f t="shared" si="332"/>
        <v>1</v>
      </c>
      <c r="CO351" t="str">
        <f t="shared" si="318"/>
        <v>R559</v>
      </c>
      <c r="CP351" t="str">
        <f t="shared" si="333"/>
        <v>R559</v>
      </c>
      <c r="CQ351" t="str">
        <f t="shared" si="319"/>
        <v>R424</v>
      </c>
      <c r="CR351" t="str">
        <f t="shared" si="320"/>
        <v>R424</v>
      </c>
      <c r="CS351" t="s">
        <v>582</v>
      </c>
      <c r="CT351" t="s">
        <v>582</v>
      </c>
      <c r="CU351" t="s">
        <v>582</v>
      </c>
      <c r="CV351" t="b">
        <f t="shared" si="334"/>
        <v>1</v>
      </c>
      <c r="DC351" t="str">
        <f t="shared" si="321"/>
        <v>G687</v>
      </c>
      <c r="DD351" t="b">
        <f t="shared" si="335"/>
        <v>0</v>
      </c>
      <c r="DE351" t="str">
        <f t="shared" si="336"/>
        <v>G687</v>
      </c>
      <c r="DF351" t="str">
        <f t="shared" si="322"/>
        <v>R424</v>
      </c>
      <c r="DG351" t="b">
        <f t="shared" si="337"/>
        <v>0</v>
      </c>
      <c r="DH351" t="str">
        <f t="shared" si="338"/>
        <v>R424</v>
      </c>
    </row>
    <row r="352" spans="2:112" ht="12" customHeight="1">
      <c r="B352" t="str">
        <f>TBIDry!H424</f>
        <v>G671</v>
      </c>
      <c r="C352" t="str">
        <f>TBIDry!I424</f>
        <v>R207</v>
      </c>
      <c r="D352" t="b">
        <f t="shared" si="285"/>
        <v>0</v>
      </c>
      <c r="E352" t="b">
        <f t="shared" si="286"/>
        <v>0</v>
      </c>
      <c r="G352" t="str">
        <f>TBIWet!H424</f>
        <v>G888</v>
      </c>
      <c r="H352" t="str">
        <f>TBIWet!I424</f>
        <v>R520</v>
      </c>
      <c r="I352" t="b">
        <f t="shared" si="287"/>
        <v>0</v>
      </c>
      <c r="J352" t="b">
        <f t="shared" si="288"/>
        <v>0</v>
      </c>
      <c r="L352" t="str">
        <f>'Both teabags AfterWet'!A350</f>
        <v>G815</v>
      </c>
      <c r="M352" t="str">
        <f>'Both teabags AfterWet'!A770</f>
        <v>R560</v>
      </c>
      <c r="N352" t="b">
        <f t="shared" si="289"/>
        <v>0</v>
      </c>
      <c r="O352" t="b">
        <f t="shared" si="339"/>
        <v>0</v>
      </c>
      <c r="Q352" s="388" t="b">
        <f t="shared" si="290"/>
        <v>0</v>
      </c>
      <c r="R352" s="388" t="b">
        <f t="shared" si="291"/>
        <v>0</v>
      </c>
      <c r="Y352" t="str">
        <f>'Green_rooibos initial weight'!A353</f>
        <v>G349</v>
      </c>
      <c r="Z352" t="str">
        <f>'Green_rooibos initial weight'!A1257</f>
        <v>R349</v>
      </c>
      <c r="AA352" t="b">
        <f t="shared" si="293"/>
        <v>0</v>
      </c>
      <c r="AB352" t="b">
        <f t="shared" si="294"/>
        <v>0</v>
      </c>
      <c r="AE352" t="str">
        <f>'WetLitterbags placem_collection'!O131</f>
        <v>G888</v>
      </c>
      <c r="AF352" t="str">
        <f>'WetLitterbags placem_collection'!Q131</f>
        <v>R520</v>
      </c>
      <c r="AG352" t="b">
        <f t="shared" si="295"/>
        <v>0</v>
      </c>
      <c r="AH352" t="b">
        <f t="shared" si="296"/>
        <v>0</v>
      </c>
      <c r="AJ352" t="b">
        <f t="shared" si="297"/>
        <v>0</v>
      </c>
      <c r="AK352" t="b">
        <f t="shared" si="298"/>
        <v>0</v>
      </c>
      <c r="AM352" t="str">
        <f>IF(ISBLANK('Dry_Litterbag Placem_Collection'!L131),"","G"&amp;""&amp;'Dry_Litterbag Placem_Collection'!L131)</f>
        <v>G671</v>
      </c>
      <c r="AN352" t="str">
        <f>IF(ISBLANK('Dry_Litterbag Placem_Collection'!M131),"","R"&amp;""&amp;'Dry_Litterbag Placem_Collection'!M131)</f>
        <v>R207</v>
      </c>
      <c r="AO352" t="b">
        <f t="shared" si="299"/>
        <v>0</v>
      </c>
      <c r="AP352" t="b">
        <f t="shared" si="300"/>
        <v>0</v>
      </c>
      <c r="AX352" s="388" t="b">
        <f t="shared" si="302"/>
        <v>0</v>
      </c>
      <c r="AY352" s="388" t="b">
        <f t="shared" si="303"/>
        <v>0</v>
      </c>
      <c r="BA352" t="str">
        <f>'Ashed teabags wet'!A350</f>
        <v>G815</v>
      </c>
      <c r="BB352" t="str">
        <f>'Ashed teabags wet'!A770</f>
        <v>R560</v>
      </c>
      <c r="BC352" t="b">
        <f t="shared" si="304"/>
        <v>0</v>
      </c>
      <c r="BD352" t="b">
        <f t="shared" si="284"/>
        <v>0</v>
      </c>
      <c r="BH352" t="str">
        <f t="shared" si="307"/>
        <v>G134</v>
      </c>
      <c r="BI352" t="str">
        <f t="shared" si="325"/>
        <v>G134</v>
      </c>
      <c r="BP352" t="str">
        <f t="shared" si="310"/>
        <v>R272</v>
      </c>
      <c r="BQ352" t="str">
        <f t="shared" si="311"/>
        <v>R272</v>
      </c>
      <c r="BZ352" t="str">
        <f t="shared" si="312"/>
        <v>G134</v>
      </c>
      <c r="CA352" t="b">
        <f t="shared" si="313"/>
        <v>0</v>
      </c>
      <c r="CB352" t="str">
        <f t="shared" si="328"/>
        <v>G134</v>
      </c>
      <c r="CC352" t="str">
        <f t="shared" si="314"/>
        <v>R272</v>
      </c>
      <c r="CD352" t="b">
        <f t="shared" si="329"/>
        <v>0</v>
      </c>
      <c r="CE352" t="str">
        <f t="shared" si="330"/>
        <v>R272</v>
      </c>
      <c r="CG352" t="str">
        <f t="shared" si="315"/>
        <v>G814</v>
      </c>
      <c r="CH352" t="str">
        <f t="shared" si="331"/>
        <v>G814</v>
      </c>
      <c r="CI352" t="str">
        <f t="shared" si="316"/>
        <v>G833</v>
      </c>
      <c r="CJ352" t="str">
        <f t="shared" si="317"/>
        <v>G833</v>
      </c>
      <c r="CK352" t="s">
        <v>1236</v>
      </c>
      <c r="CL352" t="s">
        <v>1236</v>
      </c>
      <c r="CM352" t="s">
        <v>1236</v>
      </c>
      <c r="CN352" t="b">
        <f t="shared" si="332"/>
        <v>1</v>
      </c>
      <c r="CO352" t="str">
        <f t="shared" si="318"/>
        <v>R56</v>
      </c>
      <c r="CP352" t="str">
        <f t="shared" si="333"/>
        <v>R56</v>
      </c>
      <c r="CQ352" t="str">
        <f t="shared" si="319"/>
        <v>R418</v>
      </c>
      <c r="CR352" t="str">
        <f t="shared" si="320"/>
        <v>R418</v>
      </c>
      <c r="CS352" t="s">
        <v>1085</v>
      </c>
      <c r="CT352" t="s">
        <v>1085</v>
      </c>
      <c r="CU352" t="s">
        <v>1085</v>
      </c>
      <c r="CV352" t="b">
        <f t="shared" si="334"/>
        <v>1</v>
      </c>
      <c r="DC352" t="str">
        <f t="shared" si="321"/>
        <v>G833</v>
      </c>
      <c r="DD352" t="b">
        <f t="shared" si="335"/>
        <v>0</v>
      </c>
      <c r="DE352" t="str">
        <f t="shared" si="336"/>
        <v>G833</v>
      </c>
      <c r="DF352" t="str">
        <f t="shared" si="322"/>
        <v>R418</v>
      </c>
      <c r="DG352" t="b">
        <f t="shared" si="337"/>
        <v>0</v>
      </c>
      <c r="DH352" t="str">
        <f t="shared" si="338"/>
        <v>R418</v>
      </c>
    </row>
    <row r="353" spans="2:112" ht="12" customHeight="1">
      <c r="B353" t="str">
        <f>TBIDry!H425</f>
        <v>G400</v>
      </c>
      <c r="C353" t="str">
        <f>TBIDry!I425</f>
        <v>R193</v>
      </c>
      <c r="D353" t="b">
        <f t="shared" si="285"/>
        <v>0</v>
      </c>
      <c r="E353" t="b">
        <f t="shared" si="286"/>
        <v>0</v>
      </c>
      <c r="G353" t="str">
        <f>TBIWet!H425</f>
        <v>G708</v>
      </c>
      <c r="H353" t="str">
        <f>TBIWet!I425</f>
        <v>R433</v>
      </c>
      <c r="I353" t="b">
        <f t="shared" si="287"/>
        <v>0</v>
      </c>
      <c r="J353" t="b">
        <f t="shared" si="288"/>
        <v>0</v>
      </c>
      <c r="L353" t="str">
        <f>'Both teabags AfterWet'!A351</f>
        <v>G816</v>
      </c>
      <c r="M353" t="str">
        <f>'Both teabags AfterWet'!A771</f>
        <v>R561</v>
      </c>
      <c r="N353" t="b">
        <f t="shared" si="289"/>
        <v>0</v>
      </c>
      <c r="O353" t="b">
        <f t="shared" si="339"/>
        <v>0</v>
      </c>
      <c r="Q353" s="388" t="b">
        <f t="shared" si="290"/>
        <v>0</v>
      </c>
      <c r="R353" s="388" t="b">
        <f t="shared" si="291"/>
        <v>0</v>
      </c>
      <c r="Y353" t="str">
        <f>'Green_rooibos initial weight'!A354</f>
        <v>G350</v>
      </c>
      <c r="Z353" t="str">
        <f>'Green_rooibos initial weight'!A1258</f>
        <v>R350</v>
      </c>
      <c r="AA353" t="b">
        <f t="shared" si="293"/>
        <v>0</v>
      </c>
      <c r="AB353" t="b">
        <f t="shared" si="294"/>
        <v>0</v>
      </c>
      <c r="AE353" t="str">
        <f>'WetLitterbags placem_collection'!O132</f>
        <v>G708</v>
      </c>
      <c r="AF353" t="str">
        <f>'WetLitterbags placem_collection'!Q132</f>
        <v>R433</v>
      </c>
      <c r="AG353" t="b">
        <f t="shared" si="295"/>
        <v>0</v>
      </c>
      <c r="AH353" t="b">
        <f t="shared" si="296"/>
        <v>0</v>
      </c>
      <c r="AJ353" t="b">
        <f t="shared" si="297"/>
        <v>0</v>
      </c>
      <c r="AK353" t="b">
        <f t="shared" si="298"/>
        <v>0</v>
      </c>
      <c r="AM353" t="str">
        <f>IF(ISBLANK('Dry_Litterbag Placem_Collection'!L132),"","G"&amp;""&amp;'Dry_Litterbag Placem_Collection'!L132)</f>
        <v>G400</v>
      </c>
      <c r="AN353" t="str">
        <f>IF(ISBLANK('Dry_Litterbag Placem_Collection'!M132),"","R"&amp;""&amp;'Dry_Litterbag Placem_Collection'!M132)</f>
        <v>R193</v>
      </c>
      <c r="AO353" t="b">
        <f t="shared" si="299"/>
        <v>0</v>
      </c>
      <c r="AP353" t="b">
        <f t="shared" si="300"/>
        <v>0</v>
      </c>
      <c r="AX353" s="388" t="b">
        <f t="shared" si="302"/>
        <v>0</v>
      </c>
      <c r="AY353" s="388" t="b">
        <f t="shared" si="303"/>
        <v>0</v>
      </c>
      <c r="BA353" t="str">
        <f>'Ashed teabags wet'!A351</f>
        <v>G816</v>
      </c>
      <c r="BB353" t="str">
        <f>'Ashed teabags wet'!A771</f>
        <v>R561</v>
      </c>
      <c r="BC353" t="b">
        <f t="shared" si="304"/>
        <v>0</v>
      </c>
      <c r="BD353" t="b">
        <f t="shared" si="284"/>
        <v>0</v>
      </c>
      <c r="BH353" t="str">
        <f t="shared" si="307"/>
        <v>G671</v>
      </c>
      <c r="BI353" t="str">
        <f t="shared" si="325"/>
        <v>G671</v>
      </c>
      <c r="BP353" t="str">
        <f t="shared" si="310"/>
        <v>R207</v>
      </c>
      <c r="BQ353" t="str">
        <f t="shared" si="311"/>
        <v>R207</v>
      </c>
      <c r="BZ353" t="str">
        <f t="shared" si="312"/>
        <v>G671</v>
      </c>
      <c r="CA353" t="b">
        <f t="shared" si="313"/>
        <v>0</v>
      </c>
      <c r="CB353" t="str">
        <f t="shared" si="328"/>
        <v>G671</v>
      </c>
      <c r="CC353" t="str">
        <f t="shared" si="314"/>
        <v>R207</v>
      </c>
      <c r="CD353" t="b">
        <f t="shared" si="329"/>
        <v>0</v>
      </c>
      <c r="CE353" t="str">
        <f t="shared" si="330"/>
        <v>R207</v>
      </c>
      <c r="CG353" t="str">
        <f t="shared" si="315"/>
        <v>G815</v>
      </c>
      <c r="CH353" t="str">
        <f t="shared" si="331"/>
        <v>G815</v>
      </c>
      <c r="CI353" t="str">
        <f t="shared" si="316"/>
        <v>G888</v>
      </c>
      <c r="CJ353" t="str">
        <f t="shared" si="317"/>
        <v>G888</v>
      </c>
      <c r="CK353" t="s">
        <v>1235</v>
      </c>
      <c r="CL353" t="s">
        <v>1235</v>
      </c>
      <c r="CM353" t="s">
        <v>1235</v>
      </c>
      <c r="CN353" t="b">
        <f t="shared" si="332"/>
        <v>1</v>
      </c>
      <c r="CO353" t="str">
        <f t="shared" si="318"/>
        <v>R560</v>
      </c>
      <c r="CP353" t="str">
        <f t="shared" si="333"/>
        <v>R560</v>
      </c>
      <c r="CQ353" t="str">
        <f t="shared" si="319"/>
        <v>R520</v>
      </c>
      <c r="CR353" t="str">
        <f t="shared" si="320"/>
        <v>R520</v>
      </c>
      <c r="CS353" t="s">
        <v>581</v>
      </c>
      <c r="CT353" t="s">
        <v>581</v>
      </c>
      <c r="CU353" t="s">
        <v>581</v>
      </c>
      <c r="CV353" t="b">
        <f t="shared" si="334"/>
        <v>1</v>
      </c>
      <c r="DC353" t="str">
        <f t="shared" si="321"/>
        <v>G888</v>
      </c>
      <c r="DD353" t="b">
        <f t="shared" si="335"/>
        <v>0</v>
      </c>
      <c r="DE353" t="str">
        <f t="shared" si="336"/>
        <v>G888</v>
      </c>
      <c r="DF353" t="str">
        <f t="shared" si="322"/>
        <v>R520</v>
      </c>
      <c r="DG353" t="b">
        <f t="shared" si="337"/>
        <v>0</v>
      </c>
      <c r="DH353" t="str">
        <f t="shared" si="338"/>
        <v>R520</v>
      </c>
    </row>
    <row r="354" spans="2:112" ht="12" customHeight="1">
      <c r="B354" t="str">
        <f>TBIDry!H426</f>
        <v>G48</v>
      </c>
      <c r="C354" t="str">
        <f>TBIDry!I426</f>
        <v>R188</v>
      </c>
      <c r="D354" t="b">
        <f t="shared" si="285"/>
        <v>0</v>
      </c>
      <c r="E354" t="b">
        <f t="shared" si="286"/>
        <v>0</v>
      </c>
      <c r="G354" t="str">
        <f>TBIWet!H426</f>
        <v>G768</v>
      </c>
      <c r="H354" t="str">
        <f>TBIWet!I426</f>
        <v>R592</v>
      </c>
      <c r="I354" t="b">
        <f t="shared" si="287"/>
        <v>0</v>
      </c>
      <c r="J354" t="b">
        <f t="shared" si="288"/>
        <v>0</v>
      </c>
      <c r="L354" t="str">
        <f>'Both teabags AfterWet'!A352</f>
        <v>G817</v>
      </c>
      <c r="M354" t="str">
        <f>'Both teabags AfterWet'!A772</f>
        <v>R562</v>
      </c>
      <c r="N354" t="b">
        <f t="shared" si="289"/>
        <v>0</v>
      </c>
      <c r="O354" t="b">
        <f t="shared" si="339"/>
        <v>0</v>
      </c>
      <c r="Q354" s="388" t="b">
        <f t="shared" si="290"/>
        <v>0</v>
      </c>
      <c r="R354" s="388" t="b">
        <f t="shared" si="291"/>
        <v>0</v>
      </c>
      <c r="Y354" t="str">
        <f>'Green_rooibos initial weight'!A355</f>
        <v>G351</v>
      </c>
      <c r="Z354" t="str">
        <f>'Green_rooibos initial weight'!A1259</f>
        <v>R351</v>
      </c>
      <c r="AA354" t="b">
        <f t="shared" si="293"/>
        <v>0</v>
      </c>
      <c r="AB354" t="b">
        <f t="shared" si="294"/>
        <v>0</v>
      </c>
      <c r="AE354" t="str">
        <f>'WetLitterbags placem_collection'!O133</f>
        <v>G768</v>
      </c>
      <c r="AF354" t="str">
        <f>'WetLitterbags placem_collection'!Q133</f>
        <v>R592</v>
      </c>
      <c r="AG354" t="b">
        <f t="shared" si="295"/>
        <v>0</v>
      </c>
      <c r="AH354" t="b">
        <f t="shared" si="296"/>
        <v>0</v>
      </c>
      <c r="AJ354" t="b">
        <f t="shared" si="297"/>
        <v>0</v>
      </c>
      <c r="AK354" t="b">
        <f t="shared" si="298"/>
        <v>0</v>
      </c>
      <c r="AM354" t="str">
        <f>IF(ISBLANK('Dry_Litterbag Placem_Collection'!L133),"","G"&amp;""&amp;'Dry_Litterbag Placem_Collection'!L133)</f>
        <v>G48</v>
      </c>
      <c r="AN354" t="str">
        <f>IF(ISBLANK('Dry_Litterbag Placem_Collection'!M133),"","R"&amp;""&amp;'Dry_Litterbag Placem_Collection'!M133)</f>
        <v>R188</v>
      </c>
      <c r="AO354" t="b">
        <f t="shared" si="299"/>
        <v>0</v>
      </c>
      <c r="AP354" t="b">
        <f t="shared" si="300"/>
        <v>0</v>
      </c>
      <c r="AX354" s="388" t="b">
        <f t="shared" si="302"/>
        <v>0</v>
      </c>
      <c r="AY354" s="388" t="b">
        <f t="shared" si="303"/>
        <v>0</v>
      </c>
      <c r="BA354" t="str">
        <f>'Ashed teabags wet'!A352</f>
        <v>G817</v>
      </c>
      <c r="BB354" t="str">
        <f>'Ashed teabags wet'!A772</f>
        <v>R562</v>
      </c>
      <c r="BC354" t="b">
        <f t="shared" si="304"/>
        <v>0</v>
      </c>
      <c r="BD354" t="b">
        <f t="shared" si="284"/>
        <v>0</v>
      </c>
      <c r="BH354" t="str">
        <f t="shared" si="307"/>
        <v>G400</v>
      </c>
      <c r="BI354" t="str">
        <f t="shared" si="325"/>
        <v>G400</v>
      </c>
      <c r="BP354" t="str">
        <f t="shared" si="310"/>
        <v>R193</v>
      </c>
      <c r="BQ354" t="str">
        <f t="shared" si="311"/>
        <v>R193</v>
      </c>
      <c r="BZ354" t="str">
        <f t="shared" si="312"/>
        <v>G400</v>
      </c>
      <c r="CA354" t="b">
        <f t="shared" si="313"/>
        <v>0</v>
      </c>
      <c r="CB354" t="str">
        <f t="shared" si="328"/>
        <v>G400</v>
      </c>
      <c r="CC354" t="str">
        <f t="shared" si="314"/>
        <v>R193</v>
      </c>
      <c r="CD354" t="b">
        <f t="shared" si="329"/>
        <v>0</v>
      </c>
      <c r="CE354" t="str">
        <f t="shared" si="330"/>
        <v>R193</v>
      </c>
      <c r="CG354" t="str">
        <f t="shared" si="315"/>
        <v>G816</v>
      </c>
      <c r="CH354" t="str">
        <f t="shared" si="331"/>
        <v>G816</v>
      </c>
      <c r="CI354" t="str">
        <f t="shared" si="316"/>
        <v>G708</v>
      </c>
      <c r="CJ354" t="str">
        <f t="shared" si="317"/>
        <v>G708</v>
      </c>
      <c r="CK354" t="s">
        <v>1234</v>
      </c>
      <c r="CL354" t="s">
        <v>1234</v>
      </c>
      <c r="CM354" t="s">
        <v>1234</v>
      </c>
      <c r="CN354" t="b">
        <f t="shared" si="332"/>
        <v>1</v>
      </c>
      <c r="CO354" t="str">
        <f t="shared" si="318"/>
        <v>R561</v>
      </c>
      <c r="CP354" t="str">
        <f t="shared" si="333"/>
        <v>R561</v>
      </c>
      <c r="CQ354" t="str">
        <f t="shared" si="319"/>
        <v>R433</v>
      </c>
      <c r="CR354" t="str">
        <f t="shared" si="320"/>
        <v>R433</v>
      </c>
      <c r="CS354" t="s">
        <v>580</v>
      </c>
      <c r="CT354" t="s">
        <v>580</v>
      </c>
      <c r="CU354" t="s">
        <v>580</v>
      </c>
      <c r="CV354" t="b">
        <f t="shared" si="334"/>
        <v>1</v>
      </c>
      <c r="DC354" t="str">
        <f t="shared" si="321"/>
        <v>G708</v>
      </c>
      <c r="DD354" t="b">
        <f t="shared" si="335"/>
        <v>0</v>
      </c>
      <c r="DE354" t="str">
        <f t="shared" si="336"/>
        <v>G708</v>
      </c>
      <c r="DF354" t="str">
        <f t="shared" si="322"/>
        <v>R433</v>
      </c>
      <c r="DG354" t="b">
        <f t="shared" si="337"/>
        <v>0</v>
      </c>
      <c r="DH354" t="str">
        <f t="shared" si="338"/>
        <v>R433</v>
      </c>
    </row>
    <row r="355" spans="2:112" ht="12" customHeight="1">
      <c r="B355" t="str">
        <f>TBIDry!H427</f>
        <v/>
      </c>
      <c r="C355" t="str">
        <f>TBIDry!I427</f>
        <v/>
      </c>
      <c r="D355" t="b">
        <f t="shared" si="285"/>
        <v>1</v>
      </c>
      <c r="E355" t="b">
        <f t="shared" si="286"/>
        <v>1</v>
      </c>
      <c r="G355" t="str">
        <f>TBIWet!H427</f>
        <v>G779</v>
      </c>
      <c r="H355" t="str">
        <f>TBIWet!I427</f>
        <v>R477</v>
      </c>
      <c r="I355" t="b">
        <f t="shared" si="287"/>
        <v>0</v>
      </c>
      <c r="J355" t="b">
        <f t="shared" si="288"/>
        <v>0</v>
      </c>
      <c r="L355" t="str">
        <f>'Both teabags AfterWet'!A353</f>
        <v>G818</v>
      </c>
      <c r="M355" t="str">
        <f>'Both teabags AfterWet'!A773</f>
        <v>R563</v>
      </c>
      <c r="N355" t="b">
        <f t="shared" si="289"/>
        <v>0</v>
      </c>
      <c r="O355" t="b">
        <f t="shared" si="339"/>
        <v>0</v>
      </c>
      <c r="Q355" s="388" t="b">
        <f t="shared" si="290"/>
        <v>0</v>
      </c>
      <c r="R355" s="388" t="b">
        <f t="shared" si="291"/>
        <v>0</v>
      </c>
      <c r="Y355" t="str">
        <f>'Green_rooibos initial weight'!A356</f>
        <v>G352</v>
      </c>
      <c r="Z355" t="str">
        <f>'Green_rooibos initial weight'!A1260</f>
        <v>R352</v>
      </c>
      <c r="AA355" t="b">
        <f t="shared" si="293"/>
        <v>0</v>
      </c>
      <c r="AB355" t="b">
        <f t="shared" si="294"/>
        <v>0</v>
      </c>
      <c r="AE355" t="str">
        <f>'WetLitterbags placem_collection'!O134</f>
        <v>G779</v>
      </c>
      <c r="AF355" t="str">
        <f>'WetLitterbags placem_collection'!Q134</f>
        <v>R477</v>
      </c>
      <c r="AG355" t="b">
        <f t="shared" si="295"/>
        <v>0</v>
      </c>
      <c r="AH355" t="b">
        <f t="shared" si="296"/>
        <v>0</v>
      </c>
      <c r="AJ355" t="b">
        <f t="shared" si="297"/>
        <v>0</v>
      </c>
      <c r="AK355" t="b">
        <f t="shared" si="298"/>
        <v>0</v>
      </c>
      <c r="AM355" t="str">
        <f>IF(ISBLANK('Dry_Litterbag Placem_Collection'!L134),"","G"&amp;""&amp;'Dry_Litterbag Placem_Collection'!L134)</f>
        <v/>
      </c>
      <c r="AN355" t="str">
        <f>IF(ISBLANK('Dry_Litterbag Placem_Collection'!M134),"","R"&amp;""&amp;'Dry_Litterbag Placem_Collection'!M134)</f>
        <v/>
      </c>
      <c r="AO355" t="b">
        <f t="shared" si="299"/>
        <v>1</v>
      </c>
      <c r="AP355" t="b">
        <f t="shared" si="300"/>
        <v>1</v>
      </c>
      <c r="AX355" s="388" t="b">
        <f t="shared" si="302"/>
        <v>0</v>
      </c>
      <c r="AY355" s="388" t="b">
        <f t="shared" si="303"/>
        <v>0</v>
      </c>
      <c r="BA355" t="str">
        <f>'Ashed teabags wet'!A353</f>
        <v>G818</v>
      </c>
      <c r="BB355" t="str">
        <f>'Ashed teabags wet'!A773</f>
        <v>R563</v>
      </c>
      <c r="BC355" t="b">
        <f t="shared" si="304"/>
        <v>0</v>
      </c>
      <c r="BD355" t="b">
        <f t="shared" si="284"/>
        <v>0</v>
      </c>
      <c r="BH355" t="str">
        <f t="shared" si="307"/>
        <v>G48</v>
      </c>
      <c r="BI355" t="str">
        <f t="shared" si="325"/>
        <v>G48</v>
      </c>
      <c r="BP355" t="str">
        <f t="shared" si="310"/>
        <v>R188</v>
      </c>
      <c r="BQ355" t="str">
        <f t="shared" si="311"/>
        <v>R188</v>
      </c>
      <c r="BZ355" t="str">
        <f t="shared" si="312"/>
        <v>G48</v>
      </c>
      <c r="CA355" t="b">
        <f t="shared" si="313"/>
        <v>0</v>
      </c>
      <c r="CB355" t="str">
        <f t="shared" si="328"/>
        <v>G48</v>
      </c>
      <c r="CC355" t="str">
        <f t="shared" si="314"/>
        <v>R188</v>
      </c>
      <c r="CD355" t="b">
        <f t="shared" si="329"/>
        <v>0</v>
      </c>
      <c r="CE355" t="str">
        <f t="shared" si="330"/>
        <v>R188</v>
      </c>
      <c r="CG355" t="str">
        <f t="shared" si="315"/>
        <v>G817</v>
      </c>
      <c r="CH355" t="str">
        <f t="shared" si="331"/>
        <v>G817</v>
      </c>
      <c r="CI355" t="str">
        <f t="shared" si="316"/>
        <v>G768</v>
      </c>
      <c r="CJ355" t="str">
        <f t="shared" si="317"/>
        <v>G768</v>
      </c>
      <c r="CK355" t="s">
        <v>1233</v>
      </c>
      <c r="CL355" t="s">
        <v>1233</v>
      </c>
      <c r="CM355" t="s">
        <v>1233</v>
      </c>
      <c r="CN355" t="b">
        <f t="shared" si="332"/>
        <v>1</v>
      </c>
      <c r="CO355" t="str">
        <f t="shared" si="318"/>
        <v>R562</v>
      </c>
      <c r="CP355" t="str">
        <f t="shared" si="333"/>
        <v>R562</v>
      </c>
      <c r="CQ355" t="str">
        <f t="shared" si="319"/>
        <v>R592</v>
      </c>
      <c r="CR355" t="str">
        <f t="shared" si="320"/>
        <v>R592</v>
      </c>
      <c r="CS355" t="s">
        <v>579</v>
      </c>
      <c r="CT355" t="s">
        <v>579</v>
      </c>
      <c r="CU355" t="s">
        <v>579</v>
      </c>
      <c r="CV355" t="b">
        <f t="shared" si="334"/>
        <v>1</v>
      </c>
      <c r="DC355" t="str">
        <f t="shared" si="321"/>
        <v>G768</v>
      </c>
      <c r="DD355" t="b">
        <f t="shared" si="335"/>
        <v>0</v>
      </c>
      <c r="DE355" t="str">
        <f t="shared" si="336"/>
        <v>G768</v>
      </c>
      <c r="DF355" t="str">
        <f t="shared" si="322"/>
        <v>R592</v>
      </c>
      <c r="DG355" t="b">
        <f t="shared" si="337"/>
        <v>0</v>
      </c>
      <c r="DH355" t="str">
        <f t="shared" si="338"/>
        <v>R592</v>
      </c>
    </row>
    <row r="356" spans="2:112" ht="12" customHeight="1">
      <c r="B356" t="str">
        <f>TBIDry!H428</f>
        <v>G210</v>
      </c>
      <c r="C356" t="str">
        <f>TBIDry!I428</f>
        <v>R683</v>
      </c>
      <c r="D356" t="b">
        <f t="shared" si="285"/>
        <v>0</v>
      </c>
      <c r="E356" t="b">
        <f t="shared" si="286"/>
        <v>0</v>
      </c>
      <c r="G356" t="str">
        <f>TBIWet!H428</f>
        <v>G799</v>
      </c>
      <c r="H356" t="str">
        <f>TBIWet!I428</f>
        <v>R597</v>
      </c>
      <c r="I356" t="b">
        <f t="shared" si="287"/>
        <v>0</v>
      </c>
      <c r="J356" t="b">
        <f t="shared" si="288"/>
        <v>0</v>
      </c>
      <c r="L356" t="str">
        <f>'Both teabags AfterWet'!A354</f>
        <v>G819</v>
      </c>
      <c r="M356" t="str">
        <f>'Both teabags AfterWet'!A774</f>
        <v>R564</v>
      </c>
      <c r="N356" t="b">
        <f t="shared" si="289"/>
        <v>0</v>
      </c>
      <c r="O356" t="b">
        <f t="shared" si="339"/>
        <v>0</v>
      </c>
      <c r="Q356" s="388" t="b">
        <f t="shared" si="290"/>
        <v>0</v>
      </c>
      <c r="R356" s="388" t="b">
        <f t="shared" si="291"/>
        <v>0</v>
      </c>
      <c r="Y356" t="str">
        <f>'Green_rooibos initial weight'!A357</f>
        <v>G353</v>
      </c>
      <c r="Z356" t="str">
        <f>'Green_rooibos initial weight'!A1261</f>
        <v>R353</v>
      </c>
      <c r="AA356" t="b">
        <f t="shared" si="293"/>
        <v>0</v>
      </c>
      <c r="AB356" t="b">
        <f t="shared" si="294"/>
        <v>0</v>
      </c>
      <c r="AE356" t="str">
        <f>'WetLitterbags placem_collection'!O135</f>
        <v>G799</v>
      </c>
      <c r="AF356" t="str">
        <f>'WetLitterbags placem_collection'!Q135</f>
        <v>R597</v>
      </c>
      <c r="AG356" t="b">
        <f t="shared" si="295"/>
        <v>0</v>
      </c>
      <c r="AH356" t="b">
        <f t="shared" si="296"/>
        <v>0</v>
      </c>
      <c r="AJ356" t="b">
        <f t="shared" si="297"/>
        <v>0</v>
      </c>
      <c r="AK356" t="b">
        <f t="shared" si="298"/>
        <v>0</v>
      </c>
      <c r="AM356" t="str">
        <f>IF(ISBLANK('Dry_Litterbag Placem_Collection'!L135),"","G"&amp;""&amp;'Dry_Litterbag Placem_Collection'!L135)</f>
        <v>G210</v>
      </c>
      <c r="AN356" t="str">
        <f>IF(ISBLANK('Dry_Litterbag Placem_Collection'!M135),"","R"&amp;""&amp;'Dry_Litterbag Placem_Collection'!M135)</f>
        <v>R683</v>
      </c>
      <c r="AO356" t="b">
        <f t="shared" si="299"/>
        <v>0</v>
      </c>
      <c r="AP356" t="b">
        <f t="shared" si="300"/>
        <v>0</v>
      </c>
      <c r="AX356" s="388" t="b">
        <f t="shared" si="302"/>
        <v>0</v>
      </c>
      <c r="AY356" s="388" t="b">
        <f t="shared" si="303"/>
        <v>0</v>
      </c>
      <c r="BA356" t="str">
        <f>'Ashed teabags wet'!A354</f>
        <v>G819</v>
      </c>
      <c r="BB356" t="str">
        <f>'Ashed teabags wet'!A774</f>
        <v>R564</v>
      </c>
      <c r="BC356" t="b">
        <f t="shared" si="304"/>
        <v>0</v>
      </c>
      <c r="BD356" t="b">
        <f t="shared" si="284"/>
        <v>0</v>
      </c>
      <c r="BH356" t="str">
        <f t="shared" si="307"/>
        <v/>
      </c>
      <c r="BI356" t="str">
        <f t="shared" si="325"/>
        <v/>
      </c>
      <c r="BP356" t="str">
        <f t="shared" si="310"/>
        <v/>
      </c>
      <c r="BQ356" t="str">
        <f t="shared" si="311"/>
        <v/>
      </c>
      <c r="BZ356" t="str">
        <f t="shared" si="312"/>
        <v/>
      </c>
      <c r="CA356" t="b">
        <f t="shared" si="313"/>
        <v>0</v>
      </c>
      <c r="CB356" t="str">
        <f t="shared" si="328"/>
        <v/>
      </c>
      <c r="CC356" t="str">
        <f t="shared" si="314"/>
        <v/>
      </c>
      <c r="CD356" t="b">
        <f t="shared" si="329"/>
        <v>0</v>
      </c>
      <c r="CE356" t="str">
        <f t="shared" si="330"/>
        <v/>
      </c>
      <c r="CG356" t="str">
        <f t="shared" si="315"/>
        <v>G818</v>
      </c>
      <c r="CH356" t="str">
        <f t="shared" si="331"/>
        <v>G818</v>
      </c>
      <c r="CI356" t="str">
        <f t="shared" si="316"/>
        <v>G779</v>
      </c>
      <c r="CJ356" t="str">
        <f t="shared" si="317"/>
        <v>G779</v>
      </c>
      <c r="CK356" t="s">
        <v>1232</v>
      </c>
      <c r="CL356" t="s">
        <v>1232</v>
      </c>
      <c r="CM356" t="s">
        <v>1232</v>
      </c>
      <c r="CN356" t="b">
        <f t="shared" si="332"/>
        <v>1</v>
      </c>
      <c r="CO356" t="str">
        <f t="shared" si="318"/>
        <v>R563</v>
      </c>
      <c r="CP356" t="str">
        <f t="shared" si="333"/>
        <v>R563</v>
      </c>
      <c r="CQ356" t="str">
        <f t="shared" si="319"/>
        <v>R477</v>
      </c>
      <c r="CR356" t="str">
        <f t="shared" si="320"/>
        <v>R477</v>
      </c>
      <c r="CS356" t="s">
        <v>578</v>
      </c>
      <c r="CT356" t="s">
        <v>578</v>
      </c>
      <c r="CU356" t="s">
        <v>578</v>
      </c>
      <c r="CV356" t="b">
        <f t="shared" si="334"/>
        <v>1</v>
      </c>
      <c r="DC356" t="str">
        <f t="shared" si="321"/>
        <v>G779</v>
      </c>
      <c r="DD356" t="b">
        <f t="shared" si="335"/>
        <v>0</v>
      </c>
      <c r="DE356" t="str">
        <f t="shared" si="336"/>
        <v>G779</v>
      </c>
      <c r="DF356" t="str">
        <f t="shared" si="322"/>
        <v>R477</v>
      </c>
      <c r="DG356" t="b">
        <f t="shared" si="337"/>
        <v>0</v>
      </c>
      <c r="DH356" t="str">
        <f t="shared" si="338"/>
        <v>R477</v>
      </c>
    </row>
    <row r="357" spans="2:112" ht="12" customHeight="1">
      <c r="B357" t="str">
        <f>TBIDry!H429</f>
        <v>G40</v>
      </c>
      <c r="C357" t="str">
        <f>TBIDry!I429</f>
        <v>R649</v>
      </c>
      <c r="D357" t="b">
        <f t="shared" si="285"/>
        <v>0</v>
      </c>
      <c r="E357" t="b">
        <f t="shared" si="286"/>
        <v>0</v>
      </c>
      <c r="G357" t="str">
        <f>TBIWet!H429</f>
        <v>G820</v>
      </c>
      <c r="H357" t="str">
        <f>TBIWet!I429</f>
        <v>R467</v>
      </c>
      <c r="I357" t="b">
        <f t="shared" si="287"/>
        <v>0</v>
      </c>
      <c r="J357" t="b">
        <f t="shared" si="288"/>
        <v>0</v>
      </c>
      <c r="L357" t="str">
        <f>'Both teabags AfterWet'!A355</f>
        <v>G820</v>
      </c>
      <c r="M357" t="str">
        <f>'Both teabags AfterWet'!A775</f>
        <v>R565</v>
      </c>
      <c r="N357" t="b">
        <f t="shared" si="289"/>
        <v>0</v>
      </c>
      <c r="O357" t="b">
        <f t="shared" si="339"/>
        <v>0</v>
      </c>
      <c r="Q357" s="388" t="b">
        <f t="shared" si="290"/>
        <v>0</v>
      </c>
      <c r="R357" s="388" t="b">
        <f t="shared" si="291"/>
        <v>0</v>
      </c>
      <c r="Y357" t="str">
        <f>'Green_rooibos initial weight'!A358</f>
        <v>G354</v>
      </c>
      <c r="Z357" t="str">
        <f>'Green_rooibos initial weight'!A1262</f>
        <v>R354</v>
      </c>
      <c r="AA357" t="b">
        <f t="shared" si="293"/>
        <v>0</v>
      </c>
      <c r="AB357" t="b">
        <f t="shared" si="294"/>
        <v>0</v>
      </c>
      <c r="AE357" t="str">
        <f>'WetLitterbags placem_collection'!O136</f>
        <v>G820</v>
      </c>
      <c r="AF357" t="str">
        <f>'WetLitterbags placem_collection'!Q136</f>
        <v>R467</v>
      </c>
      <c r="AG357" t="b">
        <f t="shared" si="295"/>
        <v>0</v>
      </c>
      <c r="AH357" t="b">
        <f t="shared" si="296"/>
        <v>0</v>
      </c>
      <c r="AJ357" t="b">
        <f t="shared" si="297"/>
        <v>0</v>
      </c>
      <c r="AK357" t="b">
        <f t="shared" si="298"/>
        <v>0</v>
      </c>
      <c r="AM357" t="str">
        <f>IF(ISBLANK('Dry_Litterbag Placem_Collection'!L136),"","G"&amp;""&amp;'Dry_Litterbag Placem_Collection'!L136)</f>
        <v>G40</v>
      </c>
      <c r="AN357" t="str">
        <f>IF(ISBLANK('Dry_Litterbag Placem_Collection'!M136),"","R"&amp;""&amp;'Dry_Litterbag Placem_Collection'!M136)</f>
        <v>R649</v>
      </c>
      <c r="AO357" t="b">
        <f t="shared" si="299"/>
        <v>0</v>
      </c>
      <c r="AP357" t="b">
        <f t="shared" si="300"/>
        <v>0</v>
      </c>
      <c r="AX357" s="388" t="b">
        <f t="shared" si="302"/>
        <v>0</v>
      </c>
      <c r="AY357" s="388" t="b">
        <f t="shared" si="303"/>
        <v>0</v>
      </c>
      <c r="BA357" t="str">
        <f>'Ashed teabags wet'!A355</f>
        <v>G820</v>
      </c>
      <c r="BB357" t="str">
        <f>'Ashed teabags wet'!A775</f>
        <v>R565</v>
      </c>
      <c r="BC357" t="b">
        <f t="shared" si="304"/>
        <v>0</v>
      </c>
      <c r="BD357" t="b">
        <f t="shared" si="284"/>
        <v>0</v>
      </c>
      <c r="BH357" t="str">
        <f t="shared" si="307"/>
        <v>G210</v>
      </c>
      <c r="BI357" t="str">
        <f t="shared" si="325"/>
        <v/>
      </c>
      <c r="BP357" t="str">
        <f t="shared" si="310"/>
        <v>R683</v>
      </c>
      <c r="BQ357" t="str">
        <f t="shared" si="311"/>
        <v/>
      </c>
      <c r="BZ357" t="str">
        <f t="shared" si="312"/>
        <v>G210</v>
      </c>
      <c r="CA357" t="b">
        <f t="shared" si="313"/>
        <v>1</v>
      </c>
      <c r="CB357" t="str">
        <f t="shared" si="328"/>
        <v/>
      </c>
      <c r="CC357" t="str">
        <f t="shared" si="314"/>
        <v>R683</v>
      </c>
      <c r="CD357" t="b">
        <f t="shared" si="329"/>
        <v>1</v>
      </c>
      <c r="CE357" t="str">
        <f t="shared" si="330"/>
        <v/>
      </c>
      <c r="CG357" t="str">
        <f t="shared" si="315"/>
        <v>G819</v>
      </c>
      <c r="CH357" t="str">
        <f t="shared" si="331"/>
        <v>G819</v>
      </c>
      <c r="CI357" t="str">
        <f t="shared" si="316"/>
        <v>G799</v>
      </c>
      <c r="CJ357" t="str">
        <f t="shared" si="317"/>
        <v>G799</v>
      </c>
      <c r="CK357" t="s">
        <v>1231</v>
      </c>
      <c r="CL357" t="s">
        <v>1231</v>
      </c>
      <c r="CM357" t="s">
        <v>1231</v>
      </c>
      <c r="CN357" t="b">
        <f t="shared" si="332"/>
        <v>1</v>
      </c>
      <c r="CO357" t="str">
        <f t="shared" si="318"/>
        <v>R564</v>
      </c>
      <c r="CP357" t="str">
        <f t="shared" si="333"/>
        <v>R564</v>
      </c>
      <c r="CQ357" t="str">
        <f t="shared" si="319"/>
        <v>R597</v>
      </c>
      <c r="CR357" t="str">
        <f t="shared" si="320"/>
        <v>R597</v>
      </c>
      <c r="CS357" t="s">
        <v>577</v>
      </c>
      <c r="CT357" t="s">
        <v>577</v>
      </c>
      <c r="CU357" t="s">
        <v>577</v>
      </c>
      <c r="CV357" t="b">
        <f t="shared" si="334"/>
        <v>1</v>
      </c>
      <c r="DC357" t="str">
        <f t="shared" si="321"/>
        <v>G799</v>
      </c>
      <c r="DD357" t="b">
        <f t="shared" si="335"/>
        <v>0</v>
      </c>
      <c r="DE357" t="str">
        <f t="shared" si="336"/>
        <v>G799</v>
      </c>
      <c r="DF357" t="str">
        <f t="shared" si="322"/>
        <v>R597</v>
      </c>
      <c r="DG357" t="b">
        <f t="shared" si="337"/>
        <v>0</v>
      </c>
      <c r="DH357" t="str">
        <f t="shared" si="338"/>
        <v>R597</v>
      </c>
    </row>
    <row r="358" spans="2:112" ht="12" customHeight="1">
      <c r="B358" t="str">
        <f>TBIDry!H430</f>
        <v>G517</v>
      </c>
      <c r="C358" t="str">
        <f>TBIDry!I430</f>
        <v>R223</v>
      </c>
      <c r="D358" t="b">
        <f t="shared" si="285"/>
        <v>0</v>
      </c>
      <c r="E358" t="b">
        <f t="shared" si="286"/>
        <v>0</v>
      </c>
      <c r="G358" t="str">
        <f>TBIWet!H430</f>
        <v>G842</v>
      </c>
      <c r="H358" t="str">
        <f>TBIWet!I430</f>
        <v>R596</v>
      </c>
      <c r="I358" t="b">
        <f t="shared" si="287"/>
        <v>0</v>
      </c>
      <c r="J358" t="b">
        <f t="shared" si="288"/>
        <v>0</v>
      </c>
      <c r="L358" t="str">
        <f>'Both teabags AfterWet'!A356</f>
        <v>G821</v>
      </c>
      <c r="M358" t="str">
        <f>'Both teabags AfterWet'!A776</f>
        <v>R566</v>
      </c>
      <c r="N358" t="b">
        <f t="shared" si="289"/>
        <v>0</v>
      </c>
      <c r="O358" t="b">
        <f t="shared" si="339"/>
        <v>0</v>
      </c>
      <c r="Q358" s="388" t="b">
        <f t="shared" si="290"/>
        <v>0</v>
      </c>
      <c r="R358" s="388" t="b">
        <f t="shared" si="291"/>
        <v>0</v>
      </c>
      <c r="Y358" t="str">
        <f>'Green_rooibos initial weight'!A359</f>
        <v>G355</v>
      </c>
      <c r="Z358" t="str">
        <f>'Green_rooibos initial weight'!A1263</f>
        <v>R355</v>
      </c>
      <c r="AA358" t="b">
        <f t="shared" si="293"/>
        <v>0</v>
      </c>
      <c r="AB358" t="b">
        <f t="shared" si="294"/>
        <v>0</v>
      </c>
      <c r="AE358" t="str">
        <f>'WetLitterbags placem_collection'!O137</f>
        <v>G842</v>
      </c>
      <c r="AF358" t="str">
        <f>'WetLitterbags placem_collection'!Q137</f>
        <v>R596</v>
      </c>
      <c r="AG358" t="b">
        <f t="shared" si="295"/>
        <v>0</v>
      </c>
      <c r="AH358" t="b">
        <f t="shared" si="296"/>
        <v>0</v>
      </c>
      <c r="AJ358" t="b">
        <f t="shared" si="297"/>
        <v>0</v>
      </c>
      <c r="AK358" t="b">
        <f t="shared" si="298"/>
        <v>0</v>
      </c>
      <c r="AM358" t="str">
        <f>IF(ISBLANK('Dry_Litterbag Placem_Collection'!L137),"","G"&amp;""&amp;'Dry_Litterbag Placem_Collection'!L137)</f>
        <v>G517</v>
      </c>
      <c r="AN358" t="str">
        <f>IF(ISBLANK('Dry_Litterbag Placem_Collection'!M137),"","R"&amp;""&amp;'Dry_Litterbag Placem_Collection'!M137)</f>
        <v>R223</v>
      </c>
      <c r="AO358" t="b">
        <f t="shared" si="299"/>
        <v>0</v>
      </c>
      <c r="AP358" t="b">
        <f t="shared" si="300"/>
        <v>0</v>
      </c>
      <c r="AX358" s="388" t="b">
        <f t="shared" si="302"/>
        <v>0</v>
      </c>
      <c r="AY358" s="388" t="b">
        <f t="shared" si="303"/>
        <v>0</v>
      </c>
      <c r="BA358" t="str">
        <f>'Ashed teabags wet'!A356</f>
        <v>G821</v>
      </c>
      <c r="BB358" t="str">
        <f>'Ashed teabags wet'!A776</f>
        <v>R566</v>
      </c>
      <c r="BC358" t="b">
        <f t="shared" si="304"/>
        <v>0</v>
      </c>
      <c r="BD358" t="b">
        <f t="shared" si="284"/>
        <v>0</v>
      </c>
      <c r="BH358" t="str">
        <f t="shared" si="307"/>
        <v>G40</v>
      </c>
      <c r="BI358" t="str">
        <f t="shared" si="325"/>
        <v>G40</v>
      </c>
      <c r="BP358" t="str">
        <f t="shared" si="310"/>
        <v>R649</v>
      </c>
      <c r="BQ358" t="str">
        <f t="shared" si="311"/>
        <v>R649</v>
      </c>
      <c r="BZ358" t="str">
        <f t="shared" si="312"/>
        <v>G40</v>
      </c>
      <c r="CA358" t="b">
        <f t="shared" si="313"/>
        <v>0</v>
      </c>
      <c r="CB358" t="str">
        <f t="shared" si="328"/>
        <v>G40</v>
      </c>
      <c r="CC358" t="str">
        <f t="shared" si="314"/>
        <v>R649</v>
      </c>
      <c r="CD358" t="b">
        <f t="shared" si="329"/>
        <v>0</v>
      </c>
      <c r="CE358" t="str">
        <f t="shared" si="330"/>
        <v>R649</v>
      </c>
      <c r="CG358" t="str">
        <f t="shared" si="315"/>
        <v>G820</v>
      </c>
      <c r="CH358" t="str">
        <f t="shared" si="331"/>
        <v>G820</v>
      </c>
      <c r="CI358" t="str">
        <f t="shared" si="316"/>
        <v>G820</v>
      </c>
      <c r="CJ358" t="str">
        <f t="shared" si="317"/>
        <v>G820</v>
      </c>
      <c r="CK358" t="s">
        <v>1230</v>
      </c>
      <c r="CL358" t="s">
        <v>1230</v>
      </c>
      <c r="CM358" t="s">
        <v>1230</v>
      </c>
      <c r="CN358" t="b">
        <f t="shared" si="332"/>
        <v>1</v>
      </c>
      <c r="CO358" t="str">
        <f t="shared" si="318"/>
        <v>R565</v>
      </c>
      <c r="CP358" t="str">
        <f t="shared" si="333"/>
        <v>R565</v>
      </c>
      <c r="CQ358" t="str">
        <f t="shared" si="319"/>
        <v>R467</v>
      </c>
      <c r="CR358" t="str">
        <f t="shared" si="320"/>
        <v>R467</v>
      </c>
      <c r="CS358" t="s">
        <v>576</v>
      </c>
      <c r="CT358" t="s">
        <v>576</v>
      </c>
      <c r="CU358" t="s">
        <v>576</v>
      </c>
      <c r="CV358" t="b">
        <f t="shared" si="334"/>
        <v>1</v>
      </c>
      <c r="DC358" t="str">
        <f t="shared" si="321"/>
        <v>G820</v>
      </c>
      <c r="DD358" t="b">
        <f t="shared" si="335"/>
        <v>0</v>
      </c>
      <c r="DE358" t="str">
        <f t="shared" si="336"/>
        <v>G820</v>
      </c>
      <c r="DF358" t="str">
        <f t="shared" si="322"/>
        <v>R467</v>
      </c>
      <c r="DG358" t="b">
        <f t="shared" si="337"/>
        <v>0</v>
      </c>
      <c r="DH358" t="str">
        <f t="shared" si="338"/>
        <v>R467</v>
      </c>
    </row>
    <row r="359" spans="2:112" ht="12" customHeight="1">
      <c r="B359" t="str">
        <f>TBIDry!H431</f>
        <v>G67</v>
      </c>
      <c r="C359" t="str">
        <f>TBIDry!I431</f>
        <v>R214</v>
      </c>
      <c r="D359" t="b">
        <f t="shared" si="285"/>
        <v>0</v>
      </c>
      <c r="E359" t="b">
        <f t="shared" si="286"/>
        <v>0</v>
      </c>
      <c r="G359" t="str">
        <f>TBIWet!H431</f>
        <v>G747</v>
      </c>
      <c r="H359" t="str">
        <f>TBIWet!I431</f>
        <v>R543</v>
      </c>
      <c r="I359" t="b">
        <f t="shared" si="287"/>
        <v>0</v>
      </c>
      <c r="J359" t="b">
        <f t="shared" si="288"/>
        <v>0</v>
      </c>
      <c r="L359" t="str">
        <f>'Both teabags AfterWet'!A357</f>
        <v>G822</v>
      </c>
      <c r="M359" t="str">
        <f>'Both teabags AfterWet'!A777</f>
        <v>R567</v>
      </c>
      <c r="N359" t="b">
        <f t="shared" si="289"/>
        <v>0</v>
      </c>
      <c r="O359" t="b">
        <f t="shared" si="339"/>
        <v>0</v>
      </c>
      <c r="Q359" s="388" t="b">
        <f t="shared" si="290"/>
        <v>0</v>
      </c>
      <c r="R359" s="388" t="b">
        <f t="shared" si="291"/>
        <v>0</v>
      </c>
      <c r="Y359" t="str">
        <f>'Green_rooibos initial weight'!A360</f>
        <v>G356</v>
      </c>
      <c r="Z359" t="str">
        <f>'Green_rooibos initial weight'!A1264</f>
        <v>R356</v>
      </c>
      <c r="AA359" t="b">
        <f t="shared" si="293"/>
        <v>0</v>
      </c>
      <c r="AB359" t="b">
        <f t="shared" si="294"/>
        <v>0</v>
      </c>
      <c r="AE359" t="str">
        <f>'WetLitterbags placem_collection'!O138</f>
        <v>G747</v>
      </c>
      <c r="AF359" t="str">
        <f>'WetLitterbags placem_collection'!Q138</f>
        <v>R543</v>
      </c>
      <c r="AG359" t="b">
        <f t="shared" si="295"/>
        <v>0</v>
      </c>
      <c r="AH359" t="b">
        <f t="shared" si="296"/>
        <v>0</v>
      </c>
      <c r="AJ359" t="b">
        <f t="shared" si="297"/>
        <v>0</v>
      </c>
      <c r="AK359" t="b">
        <f t="shared" si="298"/>
        <v>0</v>
      </c>
      <c r="AM359" t="str">
        <f>IF(ISBLANK('Dry_Litterbag Placem_Collection'!L138),"","G"&amp;""&amp;'Dry_Litterbag Placem_Collection'!L138)</f>
        <v>G67</v>
      </c>
      <c r="AN359" t="str">
        <f>IF(ISBLANK('Dry_Litterbag Placem_Collection'!M138),"","R"&amp;""&amp;'Dry_Litterbag Placem_Collection'!M138)</f>
        <v>R214</v>
      </c>
      <c r="AO359" t="b">
        <f t="shared" si="299"/>
        <v>0</v>
      </c>
      <c r="AP359" t="b">
        <f t="shared" si="300"/>
        <v>0</v>
      </c>
      <c r="AX359" s="388" t="b">
        <f t="shared" si="302"/>
        <v>0</v>
      </c>
      <c r="AY359" s="388" t="b">
        <f t="shared" si="303"/>
        <v>0</v>
      </c>
      <c r="BA359" t="str">
        <f>'Ashed teabags wet'!A357</f>
        <v>G822</v>
      </c>
      <c r="BB359" t="str">
        <f>'Ashed teabags wet'!A777</f>
        <v>R567</v>
      </c>
      <c r="BC359" t="b">
        <f t="shared" si="304"/>
        <v>0</v>
      </c>
      <c r="BD359" t="b">
        <f t="shared" si="284"/>
        <v>0</v>
      </c>
      <c r="BH359" t="str">
        <f t="shared" si="307"/>
        <v>G517</v>
      </c>
      <c r="BI359" t="str">
        <f t="shared" si="325"/>
        <v>G517</v>
      </c>
      <c r="BP359" t="str">
        <f t="shared" si="310"/>
        <v>R223</v>
      </c>
      <c r="BQ359" t="str">
        <f t="shared" si="311"/>
        <v>R223</v>
      </c>
      <c r="BZ359" t="str">
        <f t="shared" si="312"/>
        <v>G517</v>
      </c>
      <c r="CA359" t="b">
        <f t="shared" si="313"/>
        <v>0</v>
      </c>
      <c r="CB359" t="str">
        <f t="shared" si="328"/>
        <v>G517</v>
      </c>
      <c r="CC359" t="str">
        <f t="shared" si="314"/>
        <v>R223</v>
      </c>
      <c r="CD359" t="b">
        <f t="shared" si="329"/>
        <v>0</v>
      </c>
      <c r="CE359" t="str">
        <f t="shared" si="330"/>
        <v>R223</v>
      </c>
      <c r="CG359" t="str">
        <f t="shared" si="315"/>
        <v>G821</v>
      </c>
      <c r="CH359" t="str">
        <f t="shared" si="331"/>
        <v>G821</v>
      </c>
      <c r="CI359" t="str">
        <f t="shared" si="316"/>
        <v>G842</v>
      </c>
      <c r="CJ359" t="str">
        <f t="shared" si="317"/>
        <v>G842</v>
      </c>
      <c r="CK359" t="s">
        <v>1229</v>
      </c>
      <c r="CL359" t="s">
        <v>1229</v>
      </c>
      <c r="CM359" t="s">
        <v>1229</v>
      </c>
      <c r="CN359" t="b">
        <f t="shared" si="332"/>
        <v>1</v>
      </c>
      <c r="CO359" t="str">
        <f t="shared" si="318"/>
        <v>R566</v>
      </c>
      <c r="CP359" t="str">
        <f t="shared" si="333"/>
        <v>R566</v>
      </c>
      <c r="CQ359" t="str">
        <f t="shared" si="319"/>
        <v>R596</v>
      </c>
      <c r="CR359" t="str">
        <f t="shared" si="320"/>
        <v>R596</v>
      </c>
      <c r="CS359" t="s">
        <v>575</v>
      </c>
      <c r="CT359" t="s">
        <v>575</v>
      </c>
      <c r="CU359" t="s">
        <v>575</v>
      </c>
      <c r="CV359" t="b">
        <f t="shared" si="334"/>
        <v>1</v>
      </c>
      <c r="DC359" t="str">
        <f t="shared" si="321"/>
        <v>G842</v>
      </c>
      <c r="DD359" t="b">
        <f t="shared" si="335"/>
        <v>0</v>
      </c>
      <c r="DE359" t="str">
        <f t="shared" si="336"/>
        <v>G842</v>
      </c>
      <c r="DF359" t="str">
        <f t="shared" si="322"/>
        <v>R596</v>
      </c>
      <c r="DG359" t="b">
        <f t="shared" si="337"/>
        <v>0</v>
      </c>
      <c r="DH359" t="str">
        <f t="shared" si="338"/>
        <v>R596</v>
      </c>
    </row>
    <row r="360" spans="2:112" ht="12" customHeight="1">
      <c r="B360" t="str">
        <f>TBIDry!H432</f>
        <v>G335</v>
      </c>
      <c r="C360" t="str">
        <f>TBIDry!I432</f>
        <v>R628</v>
      </c>
      <c r="D360" t="b">
        <f t="shared" si="285"/>
        <v>0</v>
      </c>
      <c r="E360" t="b">
        <f t="shared" si="286"/>
        <v>0</v>
      </c>
      <c r="G360" t="str">
        <f>TBIWet!H432</f>
        <v>G857</v>
      </c>
      <c r="H360" t="str">
        <f>TBIWet!I432</f>
        <v>R483</v>
      </c>
      <c r="I360" t="b">
        <f t="shared" si="287"/>
        <v>0</v>
      </c>
      <c r="J360" t="b">
        <f t="shared" si="288"/>
        <v>0</v>
      </c>
      <c r="L360" t="str">
        <f>'Both teabags AfterWet'!A358</f>
        <v>G824</v>
      </c>
      <c r="M360" t="str">
        <f>'Both teabags AfterWet'!A778</f>
        <v>R568</v>
      </c>
      <c r="N360" t="b">
        <f t="shared" si="289"/>
        <v>0</v>
      </c>
      <c r="O360" t="b">
        <f t="shared" si="339"/>
        <v>0</v>
      </c>
      <c r="Q360" s="388" t="b">
        <f t="shared" si="290"/>
        <v>0</v>
      </c>
      <c r="R360" s="388" t="b">
        <f t="shared" si="291"/>
        <v>0</v>
      </c>
      <c r="Y360" t="str">
        <f>'Green_rooibos initial weight'!A361</f>
        <v>G357</v>
      </c>
      <c r="Z360" t="str">
        <f>'Green_rooibos initial weight'!A1265</f>
        <v>R357</v>
      </c>
      <c r="AA360" t="b">
        <f t="shared" si="293"/>
        <v>0</v>
      </c>
      <c r="AB360" t="b">
        <f t="shared" si="294"/>
        <v>0</v>
      </c>
      <c r="AE360" t="str">
        <f>'WetLitterbags placem_collection'!O139</f>
        <v>G857</v>
      </c>
      <c r="AF360" t="str">
        <f>'WetLitterbags placem_collection'!Q139</f>
        <v>R483</v>
      </c>
      <c r="AG360" t="b">
        <f t="shared" si="295"/>
        <v>0</v>
      </c>
      <c r="AH360" t="b">
        <f t="shared" si="296"/>
        <v>0</v>
      </c>
      <c r="AJ360" t="b">
        <f t="shared" si="297"/>
        <v>0</v>
      </c>
      <c r="AK360" t="b">
        <f t="shared" si="298"/>
        <v>0</v>
      </c>
      <c r="AM360" t="str">
        <f>IF(ISBLANK('Dry_Litterbag Placem_Collection'!L139),"","G"&amp;""&amp;'Dry_Litterbag Placem_Collection'!L139)</f>
        <v>G335</v>
      </c>
      <c r="AN360" t="str">
        <f>IF(ISBLANK('Dry_Litterbag Placem_Collection'!M139),"","R"&amp;""&amp;'Dry_Litterbag Placem_Collection'!M139)</f>
        <v>R628</v>
      </c>
      <c r="AO360" t="b">
        <f t="shared" si="299"/>
        <v>0</v>
      </c>
      <c r="AP360" t="b">
        <f t="shared" si="300"/>
        <v>0</v>
      </c>
      <c r="AX360" s="388" t="b">
        <f t="shared" si="302"/>
        <v>0</v>
      </c>
      <c r="AY360" s="388" t="b">
        <f t="shared" si="303"/>
        <v>0</v>
      </c>
      <c r="BA360" t="str">
        <f>'Ashed teabags wet'!A358</f>
        <v>G824</v>
      </c>
      <c r="BB360" t="str">
        <f>'Ashed teabags wet'!A778</f>
        <v>R568</v>
      </c>
      <c r="BC360" t="b">
        <f t="shared" si="304"/>
        <v>0</v>
      </c>
      <c r="BD360" t="b">
        <f t="shared" si="284"/>
        <v>0</v>
      </c>
      <c r="BH360" t="str">
        <f t="shared" si="307"/>
        <v>G67</v>
      </c>
      <c r="BI360" t="str">
        <f t="shared" si="325"/>
        <v>G67</v>
      </c>
      <c r="BP360" t="str">
        <f t="shared" si="310"/>
        <v>R214</v>
      </c>
      <c r="BQ360" t="str">
        <f t="shared" si="311"/>
        <v>R214</v>
      </c>
      <c r="BZ360" t="str">
        <f t="shared" si="312"/>
        <v>G67</v>
      </c>
      <c r="CA360" t="b">
        <f t="shared" si="313"/>
        <v>0</v>
      </c>
      <c r="CB360" t="str">
        <f t="shared" si="328"/>
        <v>G67</v>
      </c>
      <c r="CC360" t="str">
        <f t="shared" si="314"/>
        <v>R214</v>
      </c>
      <c r="CD360" t="b">
        <f t="shared" si="329"/>
        <v>0</v>
      </c>
      <c r="CE360" t="str">
        <f t="shared" si="330"/>
        <v>R214</v>
      </c>
      <c r="CG360" t="str">
        <f t="shared" si="315"/>
        <v>G822</v>
      </c>
      <c r="CH360" t="str">
        <f t="shared" si="331"/>
        <v>G822</v>
      </c>
      <c r="CI360" t="str">
        <f t="shared" si="316"/>
        <v>G747</v>
      </c>
      <c r="CJ360" t="str">
        <f t="shared" si="317"/>
        <v>G747</v>
      </c>
      <c r="CK360" t="s">
        <v>1228</v>
      </c>
      <c r="CL360" t="s">
        <v>1228</v>
      </c>
      <c r="CM360" t="s">
        <v>1228</v>
      </c>
      <c r="CN360" t="b">
        <f t="shared" si="332"/>
        <v>1</v>
      </c>
      <c r="CO360" t="str">
        <f t="shared" si="318"/>
        <v>R567</v>
      </c>
      <c r="CP360" t="str">
        <f t="shared" si="333"/>
        <v>R567</v>
      </c>
      <c r="CQ360" t="str">
        <f t="shared" si="319"/>
        <v>R543</v>
      </c>
      <c r="CR360" t="str">
        <f t="shared" si="320"/>
        <v>R543</v>
      </c>
      <c r="CS360" t="s">
        <v>574</v>
      </c>
      <c r="CT360" t="s">
        <v>574</v>
      </c>
      <c r="CU360" t="s">
        <v>574</v>
      </c>
      <c r="CV360" t="b">
        <f t="shared" si="334"/>
        <v>1</v>
      </c>
      <c r="DC360" t="str">
        <f t="shared" si="321"/>
        <v>G747</v>
      </c>
      <c r="DD360" t="b">
        <f t="shared" si="335"/>
        <v>0</v>
      </c>
      <c r="DE360" t="str">
        <f t="shared" si="336"/>
        <v>G747</v>
      </c>
      <c r="DF360" t="str">
        <f t="shared" si="322"/>
        <v>R543</v>
      </c>
      <c r="DG360" t="b">
        <f t="shared" si="337"/>
        <v>0</v>
      </c>
      <c r="DH360" t="str">
        <f t="shared" si="338"/>
        <v>R543</v>
      </c>
    </row>
    <row r="361" spans="2:112" ht="12" customHeight="1">
      <c r="B361" t="str">
        <f>TBIDry!H433</f>
        <v>G484</v>
      </c>
      <c r="C361" t="str">
        <f>TBIDry!I433</f>
        <v>R198</v>
      </c>
      <c r="D361" t="b">
        <f t="shared" si="285"/>
        <v>0</v>
      </c>
      <c r="E361" t="b">
        <f t="shared" si="286"/>
        <v>0</v>
      </c>
      <c r="G361" t="str">
        <f>TBIWet!H433</f>
        <v>G623</v>
      </c>
      <c r="H361" t="str">
        <f>TBIWet!I433</f>
        <v>R21</v>
      </c>
      <c r="I361" t="b">
        <f t="shared" si="287"/>
        <v>0</v>
      </c>
      <c r="J361" t="b">
        <f t="shared" si="288"/>
        <v>0</v>
      </c>
      <c r="L361" t="str">
        <f>'Both teabags AfterWet'!A359</f>
        <v>G825</v>
      </c>
      <c r="M361" t="str">
        <f>'Both teabags AfterWet'!A779</f>
        <v>R569</v>
      </c>
      <c r="N361" t="b">
        <f t="shared" si="289"/>
        <v>0</v>
      </c>
      <c r="O361" t="b">
        <f t="shared" si="339"/>
        <v>0</v>
      </c>
      <c r="Q361" s="388" t="b">
        <f t="shared" si="290"/>
        <v>0</v>
      </c>
      <c r="R361" s="388" t="b">
        <f t="shared" si="291"/>
        <v>0</v>
      </c>
      <c r="Y361" t="str">
        <f>'Green_rooibos initial weight'!A362</f>
        <v>G358</v>
      </c>
      <c r="Z361" t="str">
        <f>'Green_rooibos initial weight'!A1266</f>
        <v>R358</v>
      </c>
      <c r="AA361" t="b">
        <f t="shared" si="293"/>
        <v>0</v>
      </c>
      <c r="AB361" t="b">
        <f t="shared" si="294"/>
        <v>0</v>
      </c>
      <c r="AE361" t="str">
        <f>'WetLitterbags placem_collection'!O140</f>
        <v>G623</v>
      </c>
      <c r="AF361" t="str">
        <f>'WetLitterbags placem_collection'!Q140</f>
        <v>R21</v>
      </c>
      <c r="AG361" t="b">
        <f t="shared" si="295"/>
        <v>0</v>
      </c>
      <c r="AH361" t="b">
        <f t="shared" si="296"/>
        <v>0</v>
      </c>
      <c r="AJ361" t="b">
        <f t="shared" si="297"/>
        <v>0</v>
      </c>
      <c r="AK361" t="b">
        <f t="shared" si="298"/>
        <v>0</v>
      </c>
      <c r="AM361" t="str">
        <f>IF(ISBLANK('Dry_Litterbag Placem_Collection'!L140),"","G"&amp;""&amp;'Dry_Litterbag Placem_Collection'!L140)</f>
        <v>G484</v>
      </c>
      <c r="AN361" t="str">
        <f>IF(ISBLANK('Dry_Litterbag Placem_Collection'!M140),"","R"&amp;""&amp;'Dry_Litterbag Placem_Collection'!M140)</f>
        <v>R198</v>
      </c>
      <c r="AO361" t="b">
        <f t="shared" si="299"/>
        <v>0</v>
      </c>
      <c r="AP361" t="b">
        <f t="shared" si="300"/>
        <v>0</v>
      </c>
      <c r="AX361" s="388" t="b">
        <f t="shared" si="302"/>
        <v>0</v>
      </c>
      <c r="AY361" s="388" t="b">
        <f t="shared" si="303"/>
        <v>0</v>
      </c>
      <c r="BA361" t="str">
        <f>'Ashed teabags wet'!A359</f>
        <v>G825</v>
      </c>
      <c r="BB361" t="str">
        <f>'Ashed teabags wet'!A779</f>
        <v>R569</v>
      </c>
      <c r="BC361" t="b">
        <f t="shared" si="304"/>
        <v>0</v>
      </c>
      <c r="BD361" t="b">
        <f t="shared" si="284"/>
        <v>0</v>
      </c>
      <c r="BH361" t="str">
        <f t="shared" si="307"/>
        <v>G335</v>
      </c>
      <c r="BI361" t="str">
        <f t="shared" si="325"/>
        <v>G335</v>
      </c>
      <c r="BP361" t="str">
        <f t="shared" si="310"/>
        <v>R628</v>
      </c>
      <c r="BQ361" t="str">
        <f t="shared" si="311"/>
        <v>R628</v>
      </c>
      <c r="BZ361" t="str">
        <f t="shared" si="312"/>
        <v>G335</v>
      </c>
      <c r="CA361" t="b">
        <f t="shared" si="313"/>
        <v>0</v>
      </c>
      <c r="CB361" t="str">
        <f t="shared" si="328"/>
        <v>G335</v>
      </c>
      <c r="CC361" t="str">
        <f t="shared" si="314"/>
        <v>R628</v>
      </c>
      <c r="CD361" t="b">
        <f t="shared" si="329"/>
        <v>0</v>
      </c>
      <c r="CE361" t="str">
        <f t="shared" si="330"/>
        <v>R628</v>
      </c>
      <c r="CG361" t="str">
        <f t="shared" si="315"/>
        <v>G824</v>
      </c>
      <c r="CH361" t="str">
        <f t="shared" si="331"/>
        <v>G824</v>
      </c>
      <c r="CI361" t="str">
        <f t="shared" si="316"/>
        <v>G857</v>
      </c>
      <c r="CJ361" t="str">
        <f t="shared" si="317"/>
        <v>G857</v>
      </c>
      <c r="CK361" t="s">
        <v>1226</v>
      </c>
      <c r="CL361" t="s">
        <v>1226</v>
      </c>
      <c r="CM361" t="s">
        <v>1226</v>
      </c>
      <c r="CN361" t="b">
        <f t="shared" si="332"/>
        <v>1</v>
      </c>
      <c r="CO361" t="str">
        <f t="shared" si="318"/>
        <v>R568</v>
      </c>
      <c r="CP361" t="str">
        <f t="shared" si="333"/>
        <v>R568</v>
      </c>
      <c r="CQ361" t="str">
        <f t="shared" si="319"/>
        <v>R483</v>
      </c>
      <c r="CR361" t="str">
        <f t="shared" si="320"/>
        <v>R483</v>
      </c>
      <c r="CS361" t="s">
        <v>573</v>
      </c>
      <c r="CT361" t="s">
        <v>573</v>
      </c>
      <c r="CU361" t="s">
        <v>573</v>
      </c>
      <c r="CV361" t="b">
        <f t="shared" si="334"/>
        <v>1</v>
      </c>
      <c r="DC361" t="str">
        <f t="shared" si="321"/>
        <v>G857</v>
      </c>
      <c r="DD361" t="b">
        <f t="shared" si="335"/>
        <v>0</v>
      </c>
      <c r="DE361" t="str">
        <f t="shared" si="336"/>
        <v>G857</v>
      </c>
      <c r="DF361" t="str">
        <f t="shared" si="322"/>
        <v>R483</v>
      </c>
      <c r="DG361" t="b">
        <f t="shared" si="337"/>
        <v>0</v>
      </c>
      <c r="DH361" t="str">
        <f t="shared" si="338"/>
        <v>R483</v>
      </c>
    </row>
    <row r="362" spans="2:112" ht="12" customHeight="1">
      <c r="B362" t="str">
        <f>TBIDry!H434</f>
        <v>G868</v>
      </c>
      <c r="C362" t="str">
        <f>TBIDry!I434</f>
        <v>R706</v>
      </c>
      <c r="D362" t="b">
        <f t="shared" si="285"/>
        <v>0</v>
      </c>
      <c r="E362" t="b">
        <f t="shared" si="286"/>
        <v>0</v>
      </c>
      <c r="G362" t="str">
        <f>TBIWet!H434</f>
        <v>G880</v>
      </c>
      <c r="H362" t="str">
        <f>TBIWet!I434</f>
        <v>R538</v>
      </c>
      <c r="I362" t="b">
        <f t="shared" si="287"/>
        <v>0</v>
      </c>
      <c r="J362" t="b">
        <f t="shared" si="288"/>
        <v>0</v>
      </c>
      <c r="L362" t="str">
        <f>'Both teabags AfterWet'!A360</f>
        <v>G826</v>
      </c>
      <c r="M362" t="str">
        <f>'Both teabags AfterWet'!A780</f>
        <v>R57</v>
      </c>
      <c r="N362" t="b">
        <f t="shared" si="289"/>
        <v>0</v>
      </c>
      <c r="O362" t="b">
        <f t="shared" si="339"/>
        <v>0</v>
      </c>
      <c r="Q362" s="388" t="b">
        <f t="shared" si="290"/>
        <v>0</v>
      </c>
      <c r="R362" s="388" t="b">
        <f t="shared" si="291"/>
        <v>0</v>
      </c>
      <c r="Y362" t="str">
        <f>'Green_rooibos initial weight'!A363</f>
        <v>G359</v>
      </c>
      <c r="Z362" t="str">
        <f>'Green_rooibos initial weight'!A1267</f>
        <v>R359</v>
      </c>
      <c r="AA362" t="b">
        <f t="shared" si="293"/>
        <v>0</v>
      </c>
      <c r="AB362" t="b">
        <f t="shared" si="294"/>
        <v>0</v>
      </c>
      <c r="AE362" t="str">
        <f>'WetLitterbags placem_collection'!O141</f>
        <v>G880</v>
      </c>
      <c r="AF362" t="str">
        <f>'WetLitterbags placem_collection'!Q141</f>
        <v>R538</v>
      </c>
      <c r="AG362" t="b">
        <f t="shared" si="295"/>
        <v>0</v>
      </c>
      <c r="AH362" t="b">
        <f t="shared" si="296"/>
        <v>0</v>
      </c>
      <c r="AJ362" t="b">
        <f t="shared" si="297"/>
        <v>0</v>
      </c>
      <c r="AK362" t="b">
        <f t="shared" si="298"/>
        <v>0</v>
      </c>
      <c r="AM362" t="str">
        <f>IF(ISBLANK('Dry_Litterbag Placem_Collection'!L141),"","G"&amp;""&amp;'Dry_Litterbag Placem_Collection'!L141)</f>
        <v>G868</v>
      </c>
      <c r="AN362" t="str">
        <f>IF(ISBLANK('Dry_Litterbag Placem_Collection'!M141),"","R"&amp;""&amp;'Dry_Litterbag Placem_Collection'!M141)</f>
        <v>R706</v>
      </c>
      <c r="AO362" t="b">
        <f t="shared" si="299"/>
        <v>0</v>
      </c>
      <c r="AP362" t="b">
        <f t="shared" si="300"/>
        <v>0</v>
      </c>
      <c r="AX362" s="388" t="b">
        <f t="shared" si="302"/>
        <v>0</v>
      </c>
      <c r="AY362" s="388" t="b">
        <f t="shared" si="303"/>
        <v>0</v>
      </c>
      <c r="BA362" t="str">
        <f>'Ashed teabags wet'!A360</f>
        <v>G826</v>
      </c>
      <c r="BB362" t="str">
        <f>'Ashed teabags wet'!A780</f>
        <v>R57</v>
      </c>
      <c r="BC362" t="b">
        <f t="shared" si="304"/>
        <v>0</v>
      </c>
      <c r="BD362" t="b">
        <f t="shared" si="284"/>
        <v>0</v>
      </c>
      <c r="BH362" t="str">
        <f t="shared" si="307"/>
        <v>G484</v>
      </c>
      <c r="BI362" t="str">
        <f t="shared" si="325"/>
        <v>G484</v>
      </c>
      <c r="BP362" t="str">
        <f t="shared" si="310"/>
        <v>R198</v>
      </c>
      <c r="BQ362" t="str">
        <f t="shared" si="311"/>
        <v>R198</v>
      </c>
      <c r="BZ362" t="str">
        <f t="shared" si="312"/>
        <v>G484</v>
      </c>
      <c r="CA362" t="b">
        <f t="shared" si="313"/>
        <v>0</v>
      </c>
      <c r="CB362" t="str">
        <f t="shared" si="328"/>
        <v>G484</v>
      </c>
      <c r="CC362" t="str">
        <f t="shared" si="314"/>
        <v>R198</v>
      </c>
      <c r="CD362" t="b">
        <f t="shared" si="329"/>
        <v>0</v>
      </c>
      <c r="CE362" t="str">
        <f t="shared" si="330"/>
        <v>R198</v>
      </c>
      <c r="CG362" t="str">
        <f t="shared" si="315"/>
        <v>G825</v>
      </c>
      <c r="CH362" t="str">
        <f t="shared" si="331"/>
        <v>G825</v>
      </c>
      <c r="CI362" t="str">
        <f t="shared" si="316"/>
        <v>G623</v>
      </c>
      <c r="CJ362" t="str">
        <f t="shared" si="317"/>
        <v>G623</v>
      </c>
      <c r="CK362" t="s">
        <v>1225</v>
      </c>
      <c r="CL362" t="s">
        <v>1225</v>
      </c>
      <c r="CM362" t="s">
        <v>1225</v>
      </c>
      <c r="CN362" t="b">
        <f t="shared" si="332"/>
        <v>1</v>
      </c>
      <c r="CO362" t="str">
        <f t="shared" si="318"/>
        <v>R569</v>
      </c>
      <c r="CP362" t="str">
        <f t="shared" si="333"/>
        <v>R569</v>
      </c>
      <c r="CQ362" t="str">
        <f t="shared" si="319"/>
        <v>R21</v>
      </c>
      <c r="CR362" t="str">
        <f t="shared" si="320"/>
        <v>R21</v>
      </c>
      <c r="CS362" t="s">
        <v>572</v>
      </c>
      <c r="CT362" t="s">
        <v>572</v>
      </c>
      <c r="CU362" t="s">
        <v>572</v>
      </c>
      <c r="CV362" t="b">
        <f t="shared" si="334"/>
        <v>1</v>
      </c>
      <c r="DC362" t="str">
        <f t="shared" si="321"/>
        <v>G623</v>
      </c>
      <c r="DD362" t="b">
        <f t="shared" si="335"/>
        <v>0</v>
      </c>
      <c r="DE362" t="str">
        <f t="shared" si="336"/>
        <v>G623</v>
      </c>
      <c r="DF362" t="str">
        <f t="shared" si="322"/>
        <v>R21</v>
      </c>
      <c r="DG362" t="b">
        <f t="shared" si="337"/>
        <v>0</v>
      </c>
      <c r="DH362" t="str">
        <f t="shared" si="338"/>
        <v>R21</v>
      </c>
    </row>
    <row r="363" spans="2:112" ht="12" customHeight="1">
      <c r="B363" t="str">
        <f>TBIDry!H435</f>
        <v>G792</v>
      </c>
      <c r="C363" t="str">
        <f>TBIDry!I435</f>
        <v>R710</v>
      </c>
      <c r="D363" t="b">
        <f t="shared" si="285"/>
        <v>0</v>
      </c>
      <c r="E363" t="b">
        <f t="shared" si="286"/>
        <v>0</v>
      </c>
      <c r="G363" t="str">
        <f>TBIWet!H435</f>
        <v>G706</v>
      </c>
      <c r="H363" t="str">
        <f>TBIWet!I435</f>
        <v>R559</v>
      </c>
      <c r="I363" t="b">
        <f t="shared" si="287"/>
        <v>0</v>
      </c>
      <c r="J363" t="b">
        <f t="shared" si="288"/>
        <v>0</v>
      </c>
      <c r="L363" t="str">
        <f>'Both teabags AfterWet'!A361</f>
        <v>G827</v>
      </c>
      <c r="M363" t="str">
        <f>'Both teabags AfterWet'!A781</f>
        <v>R570</v>
      </c>
      <c r="N363" t="b">
        <f t="shared" si="289"/>
        <v>0</v>
      </c>
      <c r="O363" s="113" t="b">
        <f t="shared" si="339"/>
        <v>0</v>
      </c>
      <c r="Q363" s="388" t="b">
        <f t="shared" si="290"/>
        <v>0</v>
      </c>
      <c r="R363" s="388" t="b">
        <f t="shared" si="291"/>
        <v>0</v>
      </c>
      <c r="Y363" t="str">
        <f>'Green_rooibos initial weight'!A364</f>
        <v>G360</v>
      </c>
      <c r="Z363" t="str">
        <f>'Green_rooibos initial weight'!A1268</f>
        <v>R360</v>
      </c>
      <c r="AA363" t="b">
        <f t="shared" si="293"/>
        <v>0</v>
      </c>
      <c r="AB363" t="b">
        <f t="shared" si="294"/>
        <v>0</v>
      </c>
      <c r="AE363" t="str">
        <f>'WetLitterbags placem_collection'!O142</f>
        <v>G706</v>
      </c>
      <c r="AF363" t="str">
        <f>'WetLitterbags placem_collection'!Q142</f>
        <v>R559</v>
      </c>
      <c r="AG363" t="b">
        <f t="shared" si="295"/>
        <v>0</v>
      </c>
      <c r="AH363" t="b">
        <f t="shared" si="296"/>
        <v>0</v>
      </c>
      <c r="AJ363" t="b">
        <f t="shared" si="297"/>
        <v>0</v>
      </c>
      <c r="AK363" t="b">
        <f t="shared" si="298"/>
        <v>0</v>
      </c>
      <c r="AM363" t="str">
        <f>IF(ISBLANK('Dry_Litterbag Placem_Collection'!L142),"","G"&amp;""&amp;'Dry_Litterbag Placem_Collection'!L142)</f>
        <v>G792</v>
      </c>
      <c r="AN363" t="str">
        <f>IF(ISBLANK('Dry_Litterbag Placem_Collection'!M142),"","R"&amp;""&amp;'Dry_Litterbag Placem_Collection'!M142)</f>
        <v>R710</v>
      </c>
      <c r="AO363" t="b">
        <f t="shared" si="299"/>
        <v>0</v>
      </c>
      <c r="AP363" t="b">
        <f t="shared" si="300"/>
        <v>0</v>
      </c>
      <c r="AX363" s="388" t="b">
        <f t="shared" si="302"/>
        <v>0</v>
      </c>
      <c r="AY363" s="388" t="b">
        <f t="shared" si="303"/>
        <v>0</v>
      </c>
      <c r="BA363" t="str">
        <f>'Ashed teabags wet'!A361</f>
        <v>G827</v>
      </c>
      <c r="BB363" t="str">
        <f>'Ashed teabags wet'!A781</f>
        <v>R570</v>
      </c>
      <c r="BC363" t="b">
        <f t="shared" si="304"/>
        <v>0</v>
      </c>
      <c r="BD363" t="b">
        <f t="shared" si="284"/>
        <v>0</v>
      </c>
      <c r="BH363" t="str">
        <f t="shared" si="307"/>
        <v>G868</v>
      </c>
      <c r="BI363" t="str">
        <f t="shared" si="325"/>
        <v>G868</v>
      </c>
      <c r="BP363" t="str">
        <f t="shared" si="310"/>
        <v>R706</v>
      </c>
      <c r="BQ363" t="str">
        <f t="shared" si="311"/>
        <v>R706</v>
      </c>
      <c r="BZ363" t="str">
        <f t="shared" si="312"/>
        <v>G868</v>
      </c>
      <c r="CA363" t="b">
        <f t="shared" si="313"/>
        <v>0</v>
      </c>
      <c r="CB363" t="str">
        <f t="shared" si="328"/>
        <v>G868</v>
      </c>
      <c r="CC363" t="str">
        <f t="shared" si="314"/>
        <v>R706</v>
      </c>
      <c r="CD363" t="b">
        <f t="shared" si="329"/>
        <v>0</v>
      </c>
      <c r="CE363" t="str">
        <f t="shared" si="330"/>
        <v>R706</v>
      </c>
      <c r="CG363" t="str">
        <f t="shared" si="315"/>
        <v>G826</v>
      </c>
      <c r="CH363" t="str">
        <f t="shared" si="331"/>
        <v>G826</v>
      </c>
      <c r="CI363" t="str">
        <f t="shared" si="316"/>
        <v>G880</v>
      </c>
      <c r="CJ363" t="str">
        <f t="shared" si="317"/>
        <v>G880</v>
      </c>
      <c r="CK363" t="s">
        <v>1224</v>
      </c>
      <c r="CL363" t="s">
        <v>1224</v>
      </c>
      <c r="CM363" t="s">
        <v>1224</v>
      </c>
      <c r="CN363" t="b">
        <f t="shared" si="332"/>
        <v>1</v>
      </c>
      <c r="CO363" t="str">
        <f t="shared" si="318"/>
        <v>R57</v>
      </c>
      <c r="CP363" t="str">
        <f t="shared" si="333"/>
        <v>R57</v>
      </c>
      <c r="CQ363" t="str">
        <f t="shared" si="319"/>
        <v>R538</v>
      </c>
      <c r="CR363" t="str">
        <f t="shared" si="320"/>
        <v>R538</v>
      </c>
      <c r="CS363" t="s">
        <v>1084</v>
      </c>
      <c r="CT363" t="s">
        <v>1084</v>
      </c>
      <c r="CU363" t="s">
        <v>1084</v>
      </c>
      <c r="CV363" t="b">
        <f t="shared" si="334"/>
        <v>1</v>
      </c>
      <c r="DC363" t="str">
        <f t="shared" si="321"/>
        <v>G880</v>
      </c>
      <c r="DD363" t="b">
        <f t="shared" si="335"/>
        <v>0</v>
      </c>
      <c r="DE363" t="str">
        <f t="shared" si="336"/>
        <v>G880</v>
      </c>
      <c r="DF363" t="str">
        <f t="shared" si="322"/>
        <v>R538</v>
      </c>
      <c r="DG363" t="b">
        <f t="shared" si="337"/>
        <v>0</v>
      </c>
      <c r="DH363" t="str">
        <f t="shared" si="338"/>
        <v>R538</v>
      </c>
    </row>
    <row r="364" spans="2:112" ht="12" customHeight="1">
      <c r="B364" t="str">
        <f>TBIDry!H436</f>
        <v/>
      </c>
      <c r="C364" t="str">
        <f>TBIDry!I436</f>
        <v/>
      </c>
      <c r="D364" t="b">
        <f t="shared" si="285"/>
        <v>1</v>
      </c>
      <c r="E364" t="b">
        <f t="shared" si="286"/>
        <v>1</v>
      </c>
      <c r="G364" t="str">
        <f>TBIWet!H436</f>
        <v>G775</v>
      </c>
      <c r="H364" t="str">
        <f>TBIWet!I436</f>
        <v>R465</v>
      </c>
      <c r="I364" t="b">
        <f t="shared" si="287"/>
        <v>0</v>
      </c>
      <c r="J364" t="b">
        <f t="shared" si="288"/>
        <v>0</v>
      </c>
      <c r="L364" t="str">
        <f>'Both teabags AfterWet'!A362</f>
        <v>G828</v>
      </c>
      <c r="M364" t="str">
        <f>'Both teabags AfterWet'!A782</f>
        <v>R571</v>
      </c>
      <c r="N364" t="b">
        <f t="shared" si="289"/>
        <v>0</v>
      </c>
      <c r="O364" s="113" t="b">
        <f t="shared" si="339"/>
        <v>0</v>
      </c>
      <c r="Q364" s="388" t="b">
        <f t="shared" si="290"/>
        <v>0</v>
      </c>
      <c r="R364" s="388" t="b">
        <f t="shared" si="291"/>
        <v>0</v>
      </c>
      <c r="Y364" t="str">
        <f>'Green_rooibos initial weight'!A365</f>
        <v>G361</v>
      </c>
      <c r="Z364" t="str">
        <f>'Green_rooibos initial weight'!A1269</f>
        <v>R361</v>
      </c>
      <c r="AA364" t="b">
        <f t="shared" si="293"/>
        <v>0</v>
      </c>
      <c r="AB364" t="b">
        <f t="shared" si="294"/>
        <v>0</v>
      </c>
      <c r="AE364" t="str">
        <f>'WetLitterbags placem_collection'!O143</f>
        <v>G775</v>
      </c>
      <c r="AF364" t="str">
        <f>'WetLitterbags placem_collection'!Q143</f>
        <v>R465</v>
      </c>
      <c r="AG364" t="b">
        <f t="shared" si="295"/>
        <v>0</v>
      </c>
      <c r="AH364" t="b">
        <f t="shared" si="296"/>
        <v>0</v>
      </c>
      <c r="AJ364" t="b">
        <f t="shared" si="297"/>
        <v>0</v>
      </c>
      <c r="AK364" t="b">
        <f t="shared" si="298"/>
        <v>0</v>
      </c>
      <c r="AM364" t="str">
        <f>IF(ISBLANK('Dry_Litterbag Placem_Collection'!L143),"","G"&amp;""&amp;'Dry_Litterbag Placem_Collection'!L143)</f>
        <v/>
      </c>
      <c r="AN364" t="str">
        <f>IF(ISBLANK('Dry_Litterbag Placem_Collection'!M143),"","R"&amp;""&amp;'Dry_Litterbag Placem_Collection'!M143)</f>
        <v/>
      </c>
      <c r="AO364" t="b">
        <f t="shared" si="299"/>
        <v>1</v>
      </c>
      <c r="AP364" t="b">
        <f t="shared" si="300"/>
        <v>1</v>
      </c>
      <c r="AX364" s="388" t="b">
        <f t="shared" si="302"/>
        <v>0</v>
      </c>
      <c r="AY364" s="388" t="b">
        <f t="shared" si="303"/>
        <v>0</v>
      </c>
      <c r="BA364" t="str">
        <f>'Ashed teabags wet'!A362</f>
        <v>G828</v>
      </c>
      <c r="BB364" t="str">
        <f>'Ashed teabags wet'!A782</f>
        <v>R571</v>
      </c>
      <c r="BC364" t="b">
        <f t="shared" si="304"/>
        <v>0</v>
      </c>
      <c r="BD364" t="b">
        <f t="shared" si="284"/>
        <v>0</v>
      </c>
      <c r="BH364" t="str">
        <f t="shared" si="307"/>
        <v>G792</v>
      </c>
      <c r="BI364" t="str">
        <f t="shared" si="325"/>
        <v>G792</v>
      </c>
      <c r="BP364" t="str">
        <f t="shared" si="310"/>
        <v>R710</v>
      </c>
      <c r="BQ364" t="str">
        <f t="shared" si="311"/>
        <v>R710</v>
      </c>
      <c r="BZ364" t="str">
        <f t="shared" si="312"/>
        <v>G792</v>
      </c>
      <c r="CA364" t="b">
        <f t="shared" si="313"/>
        <v>0</v>
      </c>
      <c r="CB364" t="str">
        <f t="shared" si="328"/>
        <v>G792</v>
      </c>
      <c r="CC364" t="str">
        <f t="shared" si="314"/>
        <v>R710</v>
      </c>
      <c r="CD364" t="b">
        <f t="shared" si="329"/>
        <v>0</v>
      </c>
      <c r="CE364" t="str">
        <f t="shared" si="330"/>
        <v>R710</v>
      </c>
      <c r="CG364" t="str">
        <f t="shared" si="315"/>
        <v>G827</v>
      </c>
      <c r="CH364" t="str">
        <f t="shared" si="331"/>
        <v>G827</v>
      </c>
      <c r="CI364" t="str">
        <f t="shared" si="316"/>
        <v>G706</v>
      </c>
      <c r="CJ364" t="str">
        <f t="shared" si="317"/>
        <v>G706</v>
      </c>
      <c r="CK364" t="s">
        <v>1223</v>
      </c>
      <c r="CL364" t="s">
        <v>1223</v>
      </c>
      <c r="CM364" t="s">
        <v>1223</v>
      </c>
      <c r="CN364" t="b">
        <f t="shared" si="332"/>
        <v>1</v>
      </c>
      <c r="CO364" t="str">
        <f t="shared" si="318"/>
        <v>R570</v>
      </c>
      <c r="CP364" t="str">
        <f t="shared" si="333"/>
        <v>R570</v>
      </c>
      <c r="CQ364" t="str">
        <f t="shared" si="319"/>
        <v>R559</v>
      </c>
      <c r="CR364" t="str">
        <f t="shared" si="320"/>
        <v>R559</v>
      </c>
      <c r="CS364" t="s">
        <v>571</v>
      </c>
      <c r="CT364" t="s">
        <v>571</v>
      </c>
      <c r="CU364" t="s">
        <v>571</v>
      </c>
      <c r="CV364" t="b">
        <f t="shared" si="334"/>
        <v>1</v>
      </c>
      <c r="DC364" t="str">
        <f t="shared" si="321"/>
        <v>G706</v>
      </c>
      <c r="DD364" t="b">
        <f t="shared" si="335"/>
        <v>0</v>
      </c>
      <c r="DE364" t="str">
        <f t="shared" si="336"/>
        <v>G706</v>
      </c>
      <c r="DF364" t="str">
        <f t="shared" si="322"/>
        <v>R559</v>
      </c>
      <c r="DG364" t="b">
        <f t="shared" si="337"/>
        <v>0</v>
      </c>
      <c r="DH364" t="str">
        <f t="shared" si="338"/>
        <v>R559</v>
      </c>
    </row>
    <row r="365" spans="2:112" ht="12" customHeight="1">
      <c r="B365" t="str">
        <f>TBIDry!H437</f>
        <v>G711</v>
      </c>
      <c r="C365" t="str">
        <f>TBIDry!I437</f>
        <v>R626</v>
      </c>
      <c r="D365" t="b">
        <f t="shared" si="285"/>
        <v>0</v>
      </c>
      <c r="E365" t="b">
        <f t="shared" si="286"/>
        <v>0</v>
      </c>
      <c r="G365" t="str">
        <f>TBIWet!H437</f>
        <v>G850</v>
      </c>
      <c r="H365" t="str">
        <f>TBIWet!I437</f>
        <v>R503</v>
      </c>
      <c r="I365" t="b">
        <f t="shared" si="287"/>
        <v>0</v>
      </c>
      <c r="J365" t="b">
        <f t="shared" si="288"/>
        <v>0</v>
      </c>
      <c r="L365" t="str">
        <f>'Both teabags AfterWet'!A363</f>
        <v>G830</v>
      </c>
      <c r="M365" t="str">
        <f>'Both teabags AfterWet'!A783</f>
        <v>R572</v>
      </c>
      <c r="N365" t="b">
        <f t="shared" si="289"/>
        <v>0</v>
      </c>
      <c r="O365" t="b">
        <f t="shared" si="339"/>
        <v>0</v>
      </c>
      <c r="Q365" s="388" t="b">
        <f t="shared" si="290"/>
        <v>0</v>
      </c>
      <c r="R365" s="388" t="b">
        <f t="shared" si="291"/>
        <v>0</v>
      </c>
      <c r="Y365" t="str">
        <f>'Green_rooibos initial weight'!A366</f>
        <v>G362</v>
      </c>
      <c r="Z365" t="str">
        <f>'Green_rooibos initial weight'!A1270</f>
        <v>R362</v>
      </c>
      <c r="AA365" t="b">
        <f t="shared" si="293"/>
        <v>0</v>
      </c>
      <c r="AB365" t="b">
        <f t="shared" si="294"/>
        <v>0</v>
      </c>
      <c r="AE365" t="str">
        <f>'WetLitterbags placem_collection'!O144</f>
        <v>G850</v>
      </c>
      <c r="AF365" t="str">
        <f>'WetLitterbags placem_collection'!Q144</f>
        <v>R503</v>
      </c>
      <c r="AG365" t="b">
        <f t="shared" si="295"/>
        <v>0</v>
      </c>
      <c r="AH365" t="b">
        <f t="shared" si="296"/>
        <v>0</v>
      </c>
      <c r="AJ365" t="b">
        <f t="shared" si="297"/>
        <v>0</v>
      </c>
      <c r="AK365" t="b">
        <f t="shared" si="298"/>
        <v>0</v>
      </c>
      <c r="AM365" t="str">
        <f>IF(ISBLANK('Dry_Litterbag Placem_Collection'!L144),"","G"&amp;""&amp;'Dry_Litterbag Placem_Collection'!L144)</f>
        <v>G711</v>
      </c>
      <c r="AN365" t="str">
        <f>IF(ISBLANK('Dry_Litterbag Placem_Collection'!M144),"","R"&amp;""&amp;'Dry_Litterbag Placem_Collection'!M144)</f>
        <v>R626</v>
      </c>
      <c r="AO365" t="b">
        <f t="shared" si="299"/>
        <v>0</v>
      </c>
      <c r="AP365" t="b">
        <f t="shared" si="300"/>
        <v>0</v>
      </c>
      <c r="AX365" s="388" t="b">
        <f t="shared" si="302"/>
        <v>0</v>
      </c>
      <c r="AY365" s="388" t="b">
        <f t="shared" si="303"/>
        <v>0</v>
      </c>
      <c r="BA365" t="str">
        <f>'Ashed teabags wet'!A363</f>
        <v>G830</v>
      </c>
      <c r="BB365" t="str">
        <f>'Ashed teabags wet'!A783</f>
        <v>R572</v>
      </c>
      <c r="BC365" t="b">
        <f t="shared" si="304"/>
        <v>0</v>
      </c>
      <c r="BD365" t="b">
        <f t="shared" si="284"/>
        <v>0</v>
      </c>
      <c r="BH365" t="str">
        <f t="shared" si="307"/>
        <v/>
      </c>
      <c r="BI365" t="str">
        <f t="shared" si="325"/>
        <v/>
      </c>
      <c r="BP365" t="str">
        <f t="shared" si="310"/>
        <v/>
      </c>
      <c r="BQ365" t="str">
        <f t="shared" si="311"/>
        <v/>
      </c>
      <c r="BZ365" t="str">
        <f t="shared" si="312"/>
        <v/>
      </c>
      <c r="CA365" t="b">
        <f t="shared" si="313"/>
        <v>0</v>
      </c>
      <c r="CB365" t="str">
        <f t="shared" si="328"/>
        <v/>
      </c>
      <c r="CC365" t="str">
        <f t="shared" si="314"/>
        <v/>
      </c>
      <c r="CD365" t="b">
        <f t="shared" si="329"/>
        <v>0</v>
      </c>
      <c r="CE365" t="str">
        <f t="shared" si="330"/>
        <v/>
      </c>
      <c r="CG365" t="str">
        <f t="shared" si="315"/>
        <v>G828</v>
      </c>
      <c r="CH365" t="str">
        <f t="shared" si="331"/>
        <v>G828</v>
      </c>
      <c r="CI365" t="str">
        <f t="shared" si="316"/>
        <v>G775</v>
      </c>
      <c r="CJ365" t="str">
        <f t="shared" si="317"/>
        <v>G775</v>
      </c>
      <c r="CK365" t="s">
        <v>1222</v>
      </c>
      <c r="CL365" t="s">
        <v>1222</v>
      </c>
      <c r="CM365" t="s">
        <v>1222</v>
      </c>
      <c r="CN365" t="b">
        <f t="shared" si="332"/>
        <v>1</v>
      </c>
      <c r="CO365" t="str">
        <f t="shared" si="318"/>
        <v>R571</v>
      </c>
      <c r="CP365" t="str">
        <f t="shared" si="333"/>
        <v>R571</v>
      </c>
      <c r="CQ365" t="str">
        <f t="shared" si="319"/>
        <v>R465</v>
      </c>
      <c r="CR365" t="str">
        <f t="shared" si="320"/>
        <v>R465</v>
      </c>
      <c r="CS365" t="s">
        <v>570</v>
      </c>
      <c r="CT365" t="s">
        <v>570</v>
      </c>
      <c r="CU365" t="s">
        <v>570</v>
      </c>
      <c r="CV365" t="b">
        <f t="shared" si="334"/>
        <v>1</v>
      </c>
      <c r="DC365" t="str">
        <f t="shared" si="321"/>
        <v>G775</v>
      </c>
      <c r="DD365" t="b">
        <f t="shared" si="335"/>
        <v>0</v>
      </c>
      <c r="DE365" t="str">
        <f t="shared" si="336"/>
        <v>G775</v>
      </c>
      <c r="DF365" t="str">
        <f t="shared" si="322"/>
        <v>R465</v>
      </c>
      <c r="DG365" t="b">
        <f t="shared" si="337"/>
        <v>0</v>
      </c>
      <c r="DH365" t="str">
        <f t="shared" si="338"/>
        <v>R465</v>
      </c>
    </row>
    <row r="366" spans="2:112" ht="12" customHeight="1">
      <c r="B366" t="str">
        <f>TBIDry!H438</f>
        <v>G205</v>
      </c>
      <c r="C366" t="str">
        <f>TBIDry!I438</f>
        <v>R195</v>
      </c>
      <c r="D366" t="b">
        <f t="shared" si="285"/>
        <v>0</v>
      </c>
      <c r="E366" t="b">
        <f t="shared" si="286"/>
        <v>0</v>
      </c>
      <c r="G366" t="str">
        <f>TBIWet!H438</f>
        <v>G697</v>
      </c>
      <c r="H366" t="str">
        <f>TBIWet!I438</f>
        <v>R567</v>
      </c>
      <c r="I366" t="b">
        <f t="shared" si="287"/>
        <v>0</v>
      </c>
      <c r="J366" t="b">
        <f t="shared" si="288"/>
        <v>0</v>
      </c>
      <c r="L366" t="str">
        <f>'Both teabags AfterWet'!A364</f>
        <v>G831</v>
      </c>
      <c r="M366" t="str">
        <f>'Both teabags AfterWet'!A784</f>
        <v>R573</v>
      </c>
      <c r="N366" t="b">
        <f t="shared" si="289"/>
        <v>0</v>
      </c>
      <c r="O366" t="b">
        <f t="shared" si="339"/>
        <v>0</v>
      </c>
      <c r="Q366" s="388" t="b">
        <f t="shared" si="290"/>
        <v>0</v>
      </c>
      <c r="R366" s="388" t="b">
        <f t="shared" si="291"/>
        <v>0</v>
      </c>
      <c r="Y366" t="str">
        <f>'Green_rooibos initial weight'!A367</f>
        <v>G363</v>
      </c>
      <c r="Z366" t="str">
        <f>'Green_rooibos initial weight'!A1271</f>
        <v>R363</v>
      </c>
      <c r="AA366" t="b">
        <f t="shared" si="293"/>
        <v>0</v>
      </c>
      <c r="AB366" t="b">
        <f t="shared" si="294"/>
        <v>0</v>
      </c>
      <c r="AE366" t="str">
        <f>'WetLitterbags placem_collection'!O145</f>
        <v>G697</v>
      </c>
      <c r="AF366" t="str">
        <f>'WetLitterbags placem_collection'!Q145</f>
        <v>R567</v>
      </c>
      <c r="AG366" t="b">
        <f t="shared" si="295"/>
        <v>0</v>
      </c>
      <c r="AH366" t="b">
        <f t="shared" si="296"/>
        <v>0</v>
      </c>
      <c r="AJ366" t="b">
        <f t="shared" si="297"/>
        <v>0</v>
      </c>
      <c r="AK366" t="b">
        <f t="shared" si="298"/>
        <v>0</v>
      </c>
      <c r="AM366" t="str">
        <f>IF(ISBLANK('Dry_Litterbag Placem_Collection'!L145),"","G"&amp;""&amp;'Dry_Litterbag Placem_Collection'!L145)</f>
        <v>G205</v>
      </c>
      <c r="AN366" t="str">
        <f>IF(ISBLANK('Dry_Litterbag Placem_Collection'!M145),"","R"&amp;""&amp;'Dry_Litterbag Placem_Collection'!M145)</f>
        <v>R195</v>
      </c>
      <c r="AO366" t="b">
        <f t="shared" si="299"/>
        <v>0</v>
      </c>
      <c r="AP366" t="b">
        <f t="shared" si="300"/>
        <v>0</v>
      </c>
      <c r="AX366" s="388" t="b">
        <f t="shared" si="302"/>
        <v>0</v>
      </c>
      <c r="AY366" s="388" t="b">
        <f t="shared" si="303"/>
        <v>0</v>
      </c>
      <c r="BA366" t="str">
        <f>'Ashed teabags wet'!A364</f>
        <v>G831</v>
      </c>
      <c r="BB366" t="str">
        <f>'Ashed teabags wet'!A784</f>
        <v>R573</v>
      </c>
      <c r="BC366" t="b">
        <f t="shared" si="304"/>
        <v>0</v>
      </c>
      <c r="BD366" t="b">
        <f t="shared" si="284"/>
        <v>0</v>
      </c>
      <c r="BH366" t="str">
        <f t="shared" si="307"/>
        <v>G711</v>
      </c>
      <c r="BI366" t="str">
        <f t="shared" si="325"/>
        <v/>
      </c>
      <c r="BP366" t="str">
        <f t="shared" si="310"/>
        <v>R626</v>
      </c>
      <c r="BQ366" t="str">
        <f t="shared" si="311"/>
        <v/>
      </c>
      <c r="BZ366" t="str">
        <f t="shared" si="312"/>
        <v>G711</v>
      </c>
      <c r="CA366" t="b">
        <f t="shared" si="313"/>
        <v>1</v>
      </c>
      <c r="CB366" t="str">
        <f t="shared" si="328"/>
        <v/>
      </c>
      <c r="CC366" t="str">
        <f t="shared" si="314"/>
        <v>R626</v>
      </c>
      <c r="CD366" t="b">
        <f t="shared" si="329"/>
        <v>1</v>
      </c>
      <c r="CE366" t="str">
        <f t="shared" si="330"/>
        <v/>
      </c>
      <c r="CG366" t="str">
        <f t="shared" si="315"/>
        <v>G830</v>
      </c>
      <c r="CH366" t="str">
        <f t="shared" si="331"/>
        <v>G830</v>
      </c>
      <c r="CI366" t="str">
        <f t="shared" si="316"/>
        <v>G850</v>
      </c>
      <c r="CJ366" t="str">
        <f t="shared" si="317"/>
        <v>G850</v>
      </c>
      <c r="CK366" t="s">
        <v>1220</v>
      </c>
      <c r="CL366" t="s">
        <v>1220</v>
      </c>
      <c r="CM366" t="s">
        <v>1220</v>
      </c>
      <c r="CN366" t="b">
        <f t="shared" si="332"/>
        <v>1</v>
      </c>
      <c r="CO366" t="str">
        <f t="shared" si="318"/>
        <v>R572</v>
      </c>
      <c r="CP366" t="str">
        <f t="shared" si="333"/>
        <v>R572</v>
      </c>
      <c r="CQ366" t="str">
        <f t="shared" si="319"/>
        <v>R503</v>
      </c>
      <c r="CR366" t="str">
        <f t="shared" si="320"/>
        <v>R503</v>
      </c>
      <c r="CS366" t="s">
        <v>569</v>
      </c>
      <c r="CT366" t="s">
        <v>569</v>
      </c>
      <c r="CU366" t="s">
        <v>569</v>
      </c>
      <c r="CV366" t="b">
        <f t="shared" si="334"/>
        <v>1</v>
      </c>
      <c r="DC366" t="str">
        <f t="shared" si="321"/>
        <v>G850</v>
      </c>
      <c r="DD366" t="b">
        <f t="shared" si="335"/>
        <v>0</v>
      </c>
      <c r="DE366" t="str">
        <f t="shared" si="336"/>
        <v>G850</v>
      </c>
      <c r="DF366" t="str">
        <f t="shared" si="322"/>
        <v>R503</v>
      </c>
      <c r="DG366" t="b">
        <f t="shared" si="337"/>
        <v>0</v>
      </c>
      <c r="DH366" t="str">
        <f t="shared" si="338"/>
        <v>R503</v>
      </c>
    </row>
    <row r="367" spans="2:112" ht="12" customHeight="1">
      <c r="B367" t="str">
        <f>TBIDry!H439</f>
        <v>G384</v>
      </c>
      <c r="C367" t="str">
        <f>TBIDry!I439</f>
        <v>R295</v>
      </c>
      <c r="D367" t="b">
        <f t="shared" si="285"/>
        <v>0</v>
      </c>
      <c r="E367" t="b">
        <f t="shared" si="286"/>
        <v>0</v>
      </c>
      <c r="G367" t="str">
        <f>TBIWet!H439</f>
        <v>G894</v>
      </c>
      <c r="H367" t="str">
        <f>TBIWet!I439</f>
        <v>R15</v>
      </c>
      <c r="I367" t="b">
        <f t="shared" si="287"/>
        <v>0</v>
      </c>
      <c r="J367" t="b">
        <f t="shared" si="288"/>
        <v>0</v>
      </c>
      <c r="L367" t="str">
        <f>'Both teabags AfterWet'!A365</f>
        <v>G832</v>
      </c>
      <c r="M367" t="str">
        <f>'Both teabags AfterWet'!A785</f>
        <v>R574</v>
      </c>
      <c r="N367" t="b">
        <f t="shared" si="289"/>
        <v>0</v>
      </c>
      <c r="O367" t="b">
        <f t="shared" si="339"/>
        <v>0</v>
      </c>
      <c r="Q367" s="388" t="b">
        <f t="shared" si="290"/>
        <v>0</v>
      </c>
      <c r="R367" s="388" t="b">
        <f t="shared" si="291"/>
        <v>0</v>
      </c>
      <c r="Y367" t="str">
        <f>'Green_rooibos initial weight'!A368</f>
        <v>G364</v>
      </c>
      <c r="Z367" t="str">
        <f>'Green_rooibos initial weight'!A1272</f>
        <v>R364</v>
      </c>
      <c r="AA367" t="b">
        <f t="shared" si="293"/>
        <v>0</v>
      </c>
      <c r="AB367" t="b">
        <f t="shared" si="294"/>
        <v>0</v>
      </c>
      <c r="AE367" t="str">
        <f>'WetLitterbags placem_collection'!O146</f>
        <v>G894</v>
      </c>
      <c r="AF367" t="str">
        <f>'WetLitterbags placem_collection'!Q146</f>
        <v>R15</v>
      </c>
      <c r="AG367" t="b">
        <f t="shared" si="295"/>
        <v>0</v>
      </c>
      <c r="AH367" t="b">
        <f t="shared" si="296"/>
        <v>0</v>
      </c>
      <c r="AJ367" t="b">
        <f t="shared" si="297"/>
        <v>0</v>
      </c>
      <c r="AK367" t="b">
        <f t="shared" si="298"/>
        <v>0</v>
      </c>
      <c r="AM367" t="str">
        <f>IF(ISBLANK('Dry_Litterbag Placem_Collection'!L146),"","G"&amp;""&amp;'Dry_Litterbag Placem_Collection'!L146)</f>
        <v>G384</v>
      </c>
      <c r="AN367" t="str">
        <f>IF(ISBLANK('Dry_Litterbag Placem_Collection'!M146),"","R"&amp;""&amp;'Dry_Litterbag Placem_Collection'!M146)</f>
        <v>R295</v>
      </c>
      <c r="AO367" t="b">
        <f t="shared" si="299"/>
        <v>0</v>
      </c>
      <c r="AP367" t="b">
        <f t="shared" si="300"/>
        <v>0</v>
      </c>
      <c r="AX367" s="388" t="b">
        <f t="shared" si="302"/>
        <v>0</v>
      </c>
      <c r="AY367" s="388" t="b">
        <f t="shared" si="303"/>
        <v>0</v>
      </c>
      <c r="BA367" t="str">
        <f>'Ashed teabags wet'!A365</f>
        <v>G832</v>
      </c>
      <c r="BB367" t="str">
        <f>'Ashed teabags wet'!A785</f>
        <v>R574</v>
      </c>
      <c r="BC367" t="b">
        <f t="shared" si="304"/>
        <v>0</v>
      </c>
      <c r="BD367" t="b">
        <f t="shared" si="284"/>
        <v>0</v>
      </c>
      <c r="BH367" t="str">
        <f t="shared" si="307"/>
        <v>G205</v>
      </c>
      <c r="BI367" t="str">
        <f t="shared" si="325"/>
        <v>G205</v>
      </c>
      <c r="BP367" t="str">
        <f t="shared" si="310"/>
        <v>R195</v>
      </c>
      <c r="BQ367" t="str">
        <f t="shared" si="311"/>
        <v>R195</v>
      </c>
      <c r="BZ367" t="str">
        <f t="shared" si="312"/>
        <v>G205</v>
      </c>
      <c r="CA367" t="b">
        <f t="shared" si="313"/>
        <v>0</v>
      </c>
      <c r="CB367" t="str">
        <f t="shared" si="328"/>
        <v>G205</v>
      </c>
      <c r="CC367" t="str">
        <f t="shared" si="314"/>
        <v>R195</v>
      </c>
      <c r="CD367" t="b">
        <f t="shared" si="329"/>
        <v>0</v>
      </c>
      <c r="CE367" t="str">
        <f t="shared" si="330"/>
        <v>R195</v>
      </c>
      <c r="CG367" t="str">
        <f t="shared" si="315"/>
        <v>G831</v>
      </c>
      <c r="CH367" t="str">
        <f t="shared" si="331"/>
        <v>G831</v>
      </c>
      <c r="CI367" t="str">
        <f t="shared" si="316"/>
        <v>G697</v>
      </c>
      <c r="CJ367" t="str">
        <f t="shared" si="317"/>
        <v>G697</v>
      </c>
      <c r="CK367" t="s">
        <v>1219</v>
      </c>
      <c r="CL367" t="s">
        <v>1219</v>
      </c>
      <c r="CM367" t="s">
        <v>1219</v>
      </c>
      <c r="CN367" t="b">
        <f t="shared" si="332"/>
        <v>1</v>
      </c>
      <c r="CO367" t="str">
        <f t="shared" si="318"/>
        <v>R573</v>
      </c>
      <c r="CP367" t="str">
        <f t="shared" si="333"/>
        <v>R573</v>
      </c>
      <c r="CQ367" t="str">
        <f t="shared" si="319"/>
        <v>R567</v>
      </c>
      <c r="CR367" t="str">
        <f t="shared" si="320"/>
        <v>R567</v>
      </c>
      <c r="CS367" t="s">
        <v>568</v>
      </c>
      <c r="CT367" t="s">
        <v>568</v>
      </c>
      <c r="CU367" t="s">
        <v>568</v>
      </c>
      <c r="CV367" t="b">
        <f t="shared" si="334"/>
        <v>1</v>
      </c>
      <c r="DC367" t="str">
        <f t="shared" si="321"/>
        <v>G697</v>
      </c>
      <c r="DD367" t="b">
        <f t="shared" si="335"/>
        <v>0</v>
      </c>
      <c r="DE367" t="str">
        <f t="shared" si="336"/>
        <v>G697</v>
      </c>
      <c r="DF367" t="str">
        <f t="shared" si="322"/>
        <v>R567</v>
      </c>
      <c r="DG367" t="b">
        <f t="shared" si="337"/>
        <v>0</v>
      </c>
      <c r="DH367" t="str">
        <f t="shared" si="338"/>
        <v>R567</v>
      </c>
    </row>
    <row r="368" spans="2:112" ht="12" customHeight="1">
      <c r="B368" t="str">
        <f>TBIDry!H440</f>
        <v>G72</v>
      </c>
      <c r="C368" t="str">
        <f>TBIDry!I440</f>
        <v>R609</v>
      </c>
      <c r="D368" t="b">
        <f t="shared" si="285"/>
        <v>0</v>
      </c>
      <c r="E368" t="b">
        <f t="shared" si="286"/>
        <v>0</v>
      </c>
      <c r="G368" t="str">
        <f>TBIWet!H440</f>
        <v>G653</v>
      </c>
      <c r="H368" t="str">
        <f>TBIWet!I440</f>
        <v>R40</v>
      </c>
      <c r="I368" t="b">
        <f t="shared" si="287"/>
        <v>0</v>
      </c>
      <c r="J368" t="b">
        <f t="shared" si="288"/>
        <v>0</v>
      </c>
      <c r="L368" t="str">
        <f>'Both teabags AfterWet'!A366</f>
        <v>G833</v>
      </c>
      <c r="M368" t="str">
        <f>'Both teabags AfterWet'!A786</f>
        <v>R575</v>
      </c>
      <c r="N368" t="b">
        <f t="shared" si="289"/>
        <v>0</v>
      </c>
      <c r="O368" t="b">
        <f t="shared" si="339"/>
        <v>0</v>
      </c>
      <c r="Q368" s="388" t="b">
        <f t="shared" si="290"/>
        <v>0</v>
      </c>
      <c r="R368" s="388" t="b">
        <f t="shared" si="291"/>
        <v>0</v>
      </c>
      <c r="Y368" t="str">
        <f>'Green_rooibos initial weight'!A369</f>
        <v>G365</v>
      </c>
      <c r="Z368" t="str">
        <f>'Green_rooibos initial weight'!A1273</f>
        <v>R365</v>
      </c>
      <c r="AA368" t="b">
        <f t="shared" si="293"/>
        <v>0</v>
      </c>
      <c r="AB368" t="b">
        <f t="shared" si="294"/>
        <v>0</v>
      </c>
      <c r="AE368" t="str">
        <f>'WetLitterbags placem_collection'!O147</f>
        <v>G653</v>
      </c>
      <c r="AF368" t="str">
        <f>'WetLitterbags placem_collection'!Q147</f>
        <v>R40</v>
      </c>
      <c r="AG368" t="b">
        <f t="shared" si="295"/>
        <v>0</v>
      </c>
      <c r="AH368" t="b">
        <f t="shared" si="296"/>
        <v>0</v>
      </c>
      <c r="AJ368" t="b">
        <f t="shared" si="297"/>
        <v>0</v>
      </c>
      <c r="AK368" t="b">
        <f t="shared" si="298"/>
        <v>0</v>
      </c>
      <c r="AM368" t="str">
        <f>IF(ISBLANK('Dry_Litterbag Placem_Collection'!L147),"","G"&amp;""&amp;'Dry_Litterbag Placem_Collection'!L147)</f>
        <v>G72</v>
      </c>
      <c r="AN368" t="str">
        <f>IF(ISBLANK('Dry_Litterbag Placem_Collection'!M147),"","R"&amp;""&amp;'Dry_Litterbag Placem_Collection'!M147)</f>
        <v>R609</v>
      </c>
      <c r="AO368" t="b">
        <f t="shared" si="299"/>
        <v>0</v>
      </c>
      <c r="AP368" t="b">
        <f t="shared" si="300"/>
        <v>0</v>
      </c>
      <c r="AX368" s="388" t="b">
        <f t="shared" si="302"/>
        <v>0</v>
      </c>
      <c r="AY368" s="388" t="b">
        <f t="shared" si="303"/>
        <v>0</v>
      </c>
      <c r="BA368" t="str">
        <f>'Ashed teabags wet'!A366</f>
        <v>G833</v>
      </c>
      <c r="BB368" t="str">
        <f>'Ashed teabags wet'!A786</f>
        <v>R575</v>
      </c>
      <c r="BC368" t="b">
        <f t="shared" si="304"/>
        <v>0</v>
      </c>
      <c r="BD368" t="b">
        <f t="shared" si="284"/>
        <v>0</v>
      </c>
      <c r="BH368" t="str">
        <f t="shared" si="307"/>
        <v>G384</v>
      </c>
      <c r="BI368" t="str">
        <f t="shared" si="325"/>
        <v>G384</v>
      </c>
      <c r="BP368" t="str">
        <f t="shared" si="310"/>
        <v>R295</v>
      </c>
      <c r="BQ368" t="str">
        <f t="shared" si="311"/>
        <v>R295</v>
      </c>
      <c r="BZ368" t="str">
        <f t="shared" si="312"/>
        <v>G384</v>
      </c>
      <c r="CA368" t="b">
        <f t="shared" si="313"/>
        <v>0</v>
      </c>
      <c r="CB368" t="str">
        <f t="shared" si="328"/>
        <v>G384</v>
      </c>
      <c r="CC368" t="str">
        <f t="shared" si="314"/>
        <v>R295</v>
      </c>
      <c r="CD368" t="b">
        <f t="shared" si="329"/>
        <v>0</v>
      </c>
      <c r="CE368" t="str">
        <f t="shared" si="330"/>
        <v>R295</v>
      </c>
      <c r="CG368" t="str">
        <f t="shared" si="315"/>
        <v>G832</v>
      </c>
      <c r="CH368" t="str">
        <f t="shared" si="331"/>
        <v>G832</v>
      </c>
      <c r="CI368" t="str">
        <f t="shared" si="316"/>
        <v>G894</v>
      </c>
      <c r="CJ368" t="str">
        <f t="shared" si="317"/>
        <v>G894</v>
      </c>
      <c r="CK368" t="s">
        <v>1218</v>
      </c>
      <c r="CL368" t="s">
        <v>1218</v>
      </c>
      <c r="CM368" t="s">
        <v>1218</v>
      </c>
      <c r="CN368" t="b">
        <f t="shared" si="332"/>
        <v>1</v>
      </c>
      <c r="CO368" t="str">
        <f t="shared" si="318"/>
        <v>R574</v>
      </c>
      <c r="CP368" t="str">
        <f t="shared" si="333"/>
        <v>R574</v>
      </c>
      <c r="CQ368" t="str">
        <f t="shared" si="319"/>
        <v>R15</v>
      </c>
      <c r="CR368" t="str">
        <f t="shared" si="320"/>
        <v>R15</v>
      </c>
      <c r="CS368" t="s">
        <v>567</v>
      </c>
      <c r="CT368" t="s">
        <v>567</v>
      </c>
      <c r="CU368" t="s">
        <v>567</v>
      </c>
      <c r="CV368" t="b">
        <f t="shared" si="334"/>
        <v>1</v>
      </c>
      <c r="DC368" t="str">
        <f t="shared" si="321"/>
        <v>G894</v>
      </c>
      <c r="DD368" t="b">
        <f t="shared" si="335"/>
        <v>0</v>
      </c>
      <c r="DE368" t="str">
        <f t="shared" si="336"/>
        <v>G894</v>
      </c>
      <c r="DF368" t="str">
        <f t="shared" si="322"/>
        <v>R15</v>
      </c>
      <c r="DG368" t="b">
        <f t="shared" si="337"/>
        <v>0</v>
      </c>
      <c r="DH368" t="str">
        <f t="shared" si="338"/>
        <v>R15</v>
      </c>
    </row>
    <row r="369" spans="2:112" ht="12" customHeight="1">
      <c r="B369" t="str">
        <f>TBIDry!H441</f>
        <v>G336</v>
      </c>
      <c r="C369" t="str">
        <f>TBIDry!I441</f>
        <v>R292</v>
      </c>
      <c r="D369" t="b">
        <f t="shared" si="285"/>
        <v>0</v>
      </c>
      <c r="E369" t="b">
        <f t="shared" si="286"/>
        <v>0</v>
      </c>
      <c r="G369" t="str">
        <f>TBIWet!H441</f>
        <v>G762</v>
      </c>
      <c r="H369" t="str">
        <f>TBIWet!I441</f>
        <v>R468</v>
      </c>
      <c r="I369" t="b">
        <f t="shared" si="287"/>
        <v>0</v>
      </c>
      <c r="J369" t="b">
        <f t="shared" si="288"/>
        <v>0</v>
      </c>
      <c r="L369" t="str">
        <f>'Both teabags AfterWet'!A367</f>
        <v>G834</v>
      </c>
      <c r="M369" t="str">
        <f>'Both teabags AfterWet'!A787</f>
        <v>R576</v>
      </c>
      <c r="N369" t="b">
        <f t="shared" si="289"/>
        <v>0</v>
      </c>
      <c r="O369" t="b">
        <f t="shared" si="339"/>
        <v>0</v>
      </c>
      <c r="Q369" s="388" t="b">
        <f t="shared" si="290"/>
        <v>0</v>
      </c>
      <c r="R369" s="388" t="b">
        <f t="shared" si="291"/>
        <v>0</v>
      </c>
      <c r="Y369" t="str">
        <f>'Green_rooibos initial weight'!A370</f>
        <v>G366</v>
      </c>
      <c r="Z369" t="str">
        <f>'Green_rooibos initial weight'!A1274</f>
        <v>R366</v>
      </c>
      <c r="AA369" t="b">
        <f t="shared" si="293"/>
        <v>0</v>
      </c>
      <c r="AB369" t="b">
        <f t="shared" si="294"/>
        <v>0</v>
      </c>
      <c r="AE369" t="str">
        <f>'WetLitterbags placem_collection'!O148</f>
        <v>G762</v>
      </c>
      <c r="AF369" t="str">
        <f>'WetLitterbags placem_collection'!Q148</f>
        <v>R468</v>
      </c>
      <c r="AG369" t="b">
        <f t="shared" si="295"/>
        <v>0</v>
      </c>
      <c r="AH369" t="b">
        <f t="shared" si="296"/>
        <v>0</v>
      </c>
      <c r="AJ369" t="b">
        <f t="shared" si="297"/>
        <v>0</v>
      </c>
      <c r="AK369" t="b">
        <f t="shared" si="298"/>
        <v>0</v>
      </c>
      <c r="AM369" t="str">
        <f>IF(ISBLANK('Dry_Litterbag Placem_Collection'!L148),"","G"&amp;""&amp;'Dry_Litterbag Placem_Collection'!L148)</f>
        <v>G336</v>
      </c>
      <c r="AN369" t="str">
        <f>IF(ISBLANK('Dry_Litterbag Placem_Collection'!M148),"","R"&amp;""&amp;'Dry_Litterbag Placem_Collection'!M148)</f>
        <v>R292</v>
      </c>
      <c r="AO369" t="b">
        <f t="shared" si="299"/>
        <v>0</v>
      </c>
      <c r="AP369" t="b">
        <f t="shared" si="300"/>
        <v>0</v>
      </c>
      <c r="AX369" s="388" t="b">
        <f t="shared" si="302"/>
        <v>0</v>
      </c>
      <c r="AY369" s="388" t="b">
        <f t="shared" si="303"/>
        <v>0</v>
      </c>
      <c r="BA369" t="str">
        <f>'Ashed teabags wet'!A367</f>
        <v>G834</v>
      </c>
      <c r="BB369" t="str">
        <f>'Ashed teabags wet'!A787</f>
        <v>R576</v>
      </c>
      <c r="BC369" t="b">
        <f t="shared" si="304"/>
        <v>0</v>
      </c>
      <c r="BD369" t="b">
        <f t="shared" si="284"/>
        <v>0</v>
      </c>
      <c r="BH369" t="str">
        <f t="shared" si="307"/>
        <v>G72</v>
      </c>
      <c r="BI369" t="str">
        <f t="shared" si="325"/>
        <v>G72</v>
      </c>
      <c r="BP369" t="str">
        <f t="shared" si="310"/>
        <v>R609</v>
      </c>
      <c r="BQ369" t="str">
        <f t="shared" si="311"/>
        <v>R609</v>
      </c>
      <c r="BZ369" t="str">
        <f t="shared" si="312"/>
        <v>G72</v>
      </c>
      <c r="CA369" t="b">
        <f t="shared" si="313"/>
        <v>0</v>
      </c>
      <c r="CB369" t="str">
        <f t="shared" si="328"/>
        <v>G72</v>
      </c>
      <c r="CC369" t="str">
        <f t="shared" si="314"/>
        <v>R609</v>
      </c>
      <c r="CD369" t="b">
        <f t="shared" si="329"/>
        <v>0</v>
      </c>
      <c r="CE369" t="str">
        <f t="shared" si="330"/>
        <v>R609</v>
      </c>
      <c r="CG369" t="str">
        <f t="shared" si="315"/>
        <v>G833</v>
      </c>
      <c r="CH369" t="str">
        <f t="shared" si="331"/>
        <v>G833</v>
      </c>
      <c r="CI369" t="str">
        <f t="shared" si="316"/>
        <v>G653</v>
      </c>
      <c r="CJ369" t="str">
        <f t="shared" si="317"/>
        <v>G653</v>
      </c>
      <c r="CK369" t="s">
        <v>1217</v>
      </c>
      <c r="CL369" t="s">
        <v>1217</v>
      </c>
      <c r="CM369" t="s">
        <v>1217</v>
      </c>
      <c r="CN369" t="b">
        <f t="shared" si="332"/>
        <v>1</v>
      </c>
      <c r="CO369" t="str">
        <f t="shared" si="318"/>
        <v>R575</v>
      </c>
      <c r="CP369" t="str">
        <f t="shared" si="333"/>
        <v>R575</v>
      </c>
      <c r="CQ369" t="str">
        <f t="shared" si="319"/>
        <v>R40</v>
      </c>
      <c r="CR369" t="str">
        <f t="shared" si="320"/>
        <v>R40</v>
      </c>
      <c r="CS369" t="s">
        <v>566</v>
      </c>
      <c r="CT369" t="s">
        <v>566</v>
      </c>
      <c r="CU369" t="s">
        <v>566</v>
      </c>
      <c r="CV369" t="b">
        <f t="shared" si="334"/>
        <v>1</v>
      </c>
      <c r="DC369" t="str">
        <f t="shared" si="321"/>
        <v>G653</v>
      </c>
      <c r="DD369" t="b">
        <f t="shared" si="335"/>
        <v>0</v>
      </c>
      <c r="DE369" t="str">
        <f t="shared" si="336"/>
        <v>G653</v>
      </c>
      <c r="DF369" t="str">
        <f t="shared" si="322"/>
        <v>R40</v>
      </c>
      <c r="DG369" t="b">
        <f t="shared" si="337"/>
        <v>0</v>
      </c>
      <c r="DH369" t="str">
        <f t="shared" si="338"/>
        <v>R40</v>
      </c>
    </row>
    <row r="370" spans="2:112" ht="12" customHeight="1">
      <c r="B370" t="str">
        <f>TBIDry!H442</f>
        <v>G303</v>
      </c>
      <c r="C370" t="str">
        <f>TBIDry!I442</f>
        <v>R243</v>
      </c>
      <c r="D370" t="b">
        <f t="shared" si="285"/>
        <v>0</v>
      </c>
      <c r="E370" t="b">
        <f t="shared" si="286"/>
        <v>0</v>
      </c>
      <c r="G370" t="str">
        <f>TBIWet!H442</f>
        <v>G878</v>
      </c>
      <c r="H370" t="str">
        <f>TBIWet!I442</f>
        <v>R582</v>
      </c>
      <c r="I370" t="b">
        <f t="shared" si="287"/>
        <v>0</v>
      </c>
      <c r="J370" t="b">
        <f t="shared" si="288"/>
        <v>0</v>
      </c>
      <c r="L370" t="str">
        <f>'Both teabags AfterWet'!A368</f>
        <v>G835</v>
      </c>
      <c r="M370" t="str">
        <f>'Both teabags AfterWet'!A788</f>
        <v>R577</v>
      </c>
      <c r="N370" t="b">
        <f t="shared" si="289"/>
        <v>0</v>
      </c>
      <c r="O370" t="b">
        <f t="shared" si="339"/>
        <v>0</v>
      </c>
      <c r="Q370" s="388" t="b">
        <f t="shared" si="290"/>
        <v>0</v>
      </c>
      <c r="R370" s="388" t="b">
        <f t="shared" si="291"/>
        <v>0</v>
      </c>
      <c r="Y370" t="str">
        <f>'Green_rooibos initial weight'!A371</f>
        <v>G367</v>
      </c>
      <c r="Z370" t="str">
        <f>'Green_rooibos initial weight'!A1275</f>
        <v>R367</v>
      </c>
      <c r="AA370" t="b">
        <f t="shared" si="293"/>
        <v>0</v>
      </c>
      <c r="AB370" t="b">
        <f t="shared" si="294"/>
        <v>0</v>
      </c>
      <c r="AE370" t="str">
        <f>'WetLitterbags placem_collection'!O149</f>
        <v>G878</v>
      </c>
      <c r="AF370" t="str">
        <f>'WetLitterbags placem_collection'!Q149</f>
        <v>R582</v>
      </c>
      <c r="AG370" t="b">
        <f t="shared" si="295"/>
        <v>0</v>
      </c>
      <c r="AH370" t="b">
        <f t="shared" si="296"/>
        <v>0</v>
      </c>
      <c r="AJ370" t="b">
        <f t="shared" si="297"/>
        <v>0</v>
      </c>
      <c r="AK370" t="b">
        <f t="shared" si="298"/>
        <v>0</v>
      </c>
      <c r="AM370" t="str">
        <f>IF(ISBLANK('Dry_Litterbag Placem_Collection'!L149),"","G"&amp;""&amp;'Dry_Litterbag Placem_Collection'!L149)</f>
        <v>G303</v>
      </c>
      <c r="AN370" t="str">
        <f>IF(ISBLANK('Dry_Litterbag Placem_Collection'!M149),"","R"&amp;""&amp;'Dry_Litterbag Placem_Collection'!M149)</f>
        <v>R243</v>
      </c>
      <c r="AO370" t="b">
        <f t="shared" si="299"/>
        <v>0</v>
      </c>
      <c r="AP370" t="b">
        <f t="shared" si="300"/>
        <v>0</v>
      </c>
      <c r="AX370" s="388" t="b">
        <f t="shared" si="302"/>
        <v>0</v>
      </c>
      <c r="AY370" s="388" t="b">
        <f t="shared" si="303"/>
        <v>0</v>
      </c>
      <c r="BA370" t="str">
        <f>'Ashed teabags wet'!A368</f>
        <v>G835</v>
      </c>
      <c r="BB370" t="str">
        <f>'Ashed teabags wet'!A788</f>
        <v>R577</v>
      </c>
      <c r="BC370" t="b">
        <f t="shared" si="304"/>
        <v>0</v>
      </c>
      <c r="BD370" t="b">
        <f t="shared" si="284"/>
        <v>0</v>
      </c>
      <c r="BH370" t="str">
        <f t="shared" si="307"/>
        <v>G336</v>
      </c>
      <c r="BI370" t="str">
        <f t="shared" si="325"/>
        <v>G336</v>
      </c>
      <c r="BP370" t="str">
        <f t="shared" si="310"/>
        <v>R292</v>
      </c>
      <c r="BQ370" t="str">
        <f t="shared" si="311"/>
        <v>R292</v>
      </c>
      <c r="BZ370" t="str">
        <f t="shared" si="312"/>
        <v>G336</v>
      </c>
      <c r="CA370" t="b">
        <f t="shared" si="313"/>
        <v>0</v>
      </c>
      <c r="CB370" t="str">
        <f t="shared" si="328"/>
        <v>G336</v>
      </c>
      <c r="CC370" t="str">
        <f t="shared" si="314"/>
        <v>R292</v>
      </c>
      <c r="CD370" t="b">
        <f t="shared" si="329"/>
        <v>0</v>
      </c>
      <c r="CE370" t="str">
        <f t="shared" si="330"/>
        <v>R292</v>
      </c>
      <c r="CG370" t="str">
        <f t="shared" si="315"/>
        <v>G834</v>
      </c>
      <c r="CH370" t="str">
        <f t="shared" si="331"/>
        <v>G834</v>
      </c>
      <c r="CI370" t="str">
        <f t="shared" si="316"/>
        <v>G762</v>
      </c>
      <c r="CJ370" t="str">
        <f t="shared" si="317"/>
        <v>G762</v>
      </c>
      <c r="CK370" t="s">
        <v>1216</v>
      </c>
      <c r="CL370" t="s">
        <v>1216</v>
      </c>
      <c r="CM370" t="s">
        <v>1216</v>
      </c>
      <c r="CN370" t="b">
        <f t="shared" si="332"/>
        <v>1</v>
      </c>
      <c r="CO370" t="str">
        <f t="shared" si="318"/>
        <v>R576</v>
      </c>
      <c r="CP370" t="str">
        <f t="shared" si="333"/>
        <v>R576</v>
      </c>
      <c r="CQ370" t="str">
        <f t="shared" si="319"/>
        <v>R468</v>
      </c>
      <c r="CR370" t="str">
        <f t="shared" si="320"/>
        <v>R468</v>
      </c>
      <c r="CS370" t="s">
        <v>565</v>
      </c>
      <c r="CT370" t="s">
        <v>565</v>
      </c>
      <c r="CU370" t="s">
        <v>565</v>
      </c>
      <c r="CV370" t="b">
        <f t="shared" si="334"/>
        <v>1</v>
      </c>
      <c r="DC370" t="str">
        <f t="shared" si="321"/>
        <v>G762</v>
      </c>
      <c r="DD370" t="b">
        <f t="shared" si="335"/>
        <v>0</v>
      </c>
      <c r="DE370" t="str">
        <f t="shared" si="336"/>
        <v>G762</v>
      </c>
      <c r="DF370" t="str">
        <f t="shared" si="322"/>
        <v>R468</v>
      </c>
      <c r="DG370" t="b">
        <f t="shared" si="337"/>
        <v>0</v>
      </c>
      <c r="DH370" t="str">
        <f t="shared" si="338"/>
        <v>R468</v>
      </c>
    </row>
    <row r="371" spans="2:112" ht="12" customHeight="1">
      <c r="B371" t="str">
        <f>TBIDry!H443</f>
        <v>G161</v>
      </c>
      <c r="C371" t="str">
        <f>TBIDry!I443</f>
        <v>R422</v>
      </c>
      <c r="D371" t="b">
        <f t="shared" si="285"/>
        <v>0</v>
      </c>
      <c r="E371" t="b">
        <f t="shared" si="286"/>
        <v>0</v>
      </c>
      <c r="G371" t="str">
        <f>TBIWet!H443</f>
        <v>G807</v>
      </c>
      <c r="H371" t="str">
        <f>TBIWet!I443</f>
        <v>R20</v>
      </c>
      <c r="I371" t="b">
        <f t="shared" si="287"/>
        <v>0</v>
      </c>
      <c r="J371" t="b">
        <f t="shared" si="288"/>
        <v>0</v>
      </c>
      <c r="L371" t="str">
        <f>'Both teabags AfterWet'!A369</f>
        <v>G836</v>
      </c>
      <c r="M371" t="str">
        <f>'Both teabags AfterWet'!A789</f>
        <v>R578</v>
      </c>
      <c r="N371" t="b">
        <f t="shared" si="289"/>
        <v>0</v>
      </c>
      <c r="O371" t="b">
        <f t="shared" si="339"/>
        <v>0</v>
      </c>
      <c r="Q371" s="388" t="b">
        <f t="shared" si="290"/>
        <v>0</v>
      </c>
      <c r="R371" s="388" t="b">
        <f t="shared" si="291"/>
        <v>0</v>
      </c>
      <c r="Y371" t="str">
        <f>'Green_rooibos initial weight'!A372</f>
        <v>G368</v>
      </c>
      <c r="Z371" t="str">
        <f>'Green_rooibos initial weight'!A1276</f>
        <v>R368</v>
      </c>
      <c r="AA371" t="b">
        <f t="shared" si="293"/>
        <v>0</v>
      </c>
      <c r="AB371" t="b">
        <f t="shared" si="294"/>
        <v>0</v>
      </c>
      <c r="AE371" t="str">
        <f>'WetLitterbags placem_collection'!O150</f>
        <v>G807</v>
      </c>
      <c r="AF371" t="str">
        <f>'WetLitterbags placem_collection'!Q150</f>
        <v>R20</v>
      </c>
      <c r="AG371" t="b">
        <f t="shared" si="295"/>
        <v>0</v>
      </c>
      <c r="AH371" t="b">
        <f t="shared" si="296"/>
        <v>0</v>
      </c>
      <c r="AJ371" t="b">
        <f t="shared" si="297"/>
        <v>0</v>
      </c>
      <c r="AK371" t="b">
        <f t="shared" si="298"/>
        <v>0</v>
      </c>
      <c r="AM371" t="str">
        <f>IF(ISBLANK('Dry_Litterbag Placem_Collection'!L150),"","G"&amp;""&amp;'Dry_Litterbag Placem_Collection'!L150)</f>
        <v>G161</v>
      </c>
      <c r="AN371" t="str">
        <f>IF(ISBLANK('Dry_Litterbag Placem_Collection'!M150),"","R"&amp;""&amp;'Dry_Litterbag Placem_Collection'!M150)</f>
        <v>R422</v>
      </c>
      <c r="AO371" t="b">
        <f t="shared" si="299"/>
        <v>0</v>
      </c>
      <c r="AP371" t="b">
        <f t="shared" si="300"/>
        <v>0</v>
      </c>
      <c r="AX371" s="388" t="b">
        <f t="shared" si="302"/>
        <v>0</v>
      </c>
      <c r="AY371" s="388" t="b">
        <f t="shared" si="303"/>
        <v>0</v>
      </c>
      <c r="BA371" t="str">
        <f>'Ashed teabags wet'!A369</f>
        <v>G836</v>
      </c>
      <c r="BB371" t="str">
        <f>'Ashed teabags wet'!A789</f>
        <v>R578</v>
      </c>
      <c r="BC371" t="b">
        <f t="shared" si="304"/>
        <v>0</v>
      </c>
      <c r="BD371" t="b">
        <f t="shared" si="284"/>
        <v>0</v>
      </c>
      <c r="BH371" t="str">
        <f t="shared" si="307"/>
        <v>G303</v>
      </c>
      <c r="BI371" t="str">
        <f t="shared" si="325"/>
        <v>G303</v>
      </c>
      <c r="BP371" t="str">
        <f t="shared" si="310"/>
        <v>R243</v>
      </c>
      <c r="BQ371" t="str">
        <f t="shared" si="311"/>
        <v>R243</v>
      </c>
      <c r="BZ371" t="str">
        <f t="shared" si="312"/>
        <v>G303</v>
      </c>
      <c r="CA371" t="b">
        <f t="shared" si="313"/>
        <v>0</v>
      </c>
      <c r="CB371" t="str">
        <f t="shared" si="328"/>
        <v>G303</v>
      </c>
      <c r="CC371" t="str">
        <f t="shared" si="314"/>
        <v>R243</v>
      </c>
      <c r="CD371" t="b">
        <f t="shared" si="329"/>
        <v>0</v>
      </c>
      <c r="CE371" t="str">
        <f t="shared" si="330"/>
        <v>R243</v>
      </c>
      <c r="CG371" t="str">
        <f t="shared" si="315"/>
        <v>G835</v>
      </c>
      <c r="CH371" t="str">
        <f t="shared" si="331"/>
        <v>G835</v>
      </c>
      <c r="CI371" t="str">
        <f t="shared" si="316"/>
        <v>G878</v>
      </c>
      <c r="CJ371" t="str">
        <f t="shared" si="317"/>
        <v>G878</v>
      </c>
      <c r="CK371" t="s">
        <v>1215</v>
      </c>
      <c r="CL371" t="s">
        <v>1215</v>
      </c>
      <c r="CM371" t="s">
        <v>1215</v>
      </c>
      <c r="CN371" t="b">
        <f t="shared" si="332"/>
        <v>1</v>
      </c>
      <c r="CO371" t="str">
        <f t="shared" si="318"/>
        <v>R577</v>
      </c>
      <c r="CP371" t="str">
        <f t="shared" si="333"/>
        <v>R577</v>
      </c>
      <c r="CQ371" t="str">
        <f t="shared" si="319"/>
        <v>R582</v>
      </c>
      <c r="CR371" t="str">
        <f t="shared" si="320"/>
        <v>R582</v>
      </c>
      <c r="CS371" t="s">
        <v>564</v>
      </c>
      <c r="CT371" t="s">
        <v>564</v>
      </c>
      <c r="CU371" t="s">
        <v>564</v>
      </c>
      <c r="CV371" t="b">
        <f t="shared" si="334"/>
        <v>1</v>
      </c>
      <c r="DC371" t="str">
        <f t="shared" si="321"/>
        <v>G878</v>
      </c>
      <c r="DD371" t="b">
        <f t="shared" si="335"/>
        <v>0</v>
      </c>
      <c r="DE371" t="str">
        <f t="shared" si="336"/>
        <v>G878</v>
      </c>
      <c r="DF371" t="str">
        <f t="shared" si="322"/>
        <v>R582</v>
      </c>
      <c r="DG371" t="b">
        <f t="shared" si="337"/>
        <v>0</v>
      </c>
      <c r="DH371" t="str">
        <f t="shared" si="338"/>
        <v>R582</v>
      </c>
    </row>
    <row r="372" spans="2:112" ht="12" customHeight="1">
      <c r="B372" t="str">
        <f>TBIDry!H444</f>
        <v>G464</v>
      </c>
      <c r="C372" t="str">
        <f>TBIDry!I444</f>
        <v>R664</v>
      </c>
      <c r="D372" t="b">
        <f t="shared" si="285"/>
        <v>0</v>
      </c>
      <c r="E372" t="b">
        <f t="shared" si="286"/>
        <v>0</v>
      </c>
      <c r="G372" t="str">
        <f>TBIWet!H444</f>
        <v>G696</v>
      </c>
      <c r="H372" t="str">
        <f>TBIWet!I444</f>
        <v>R533</v>
      </c>
      <c r="I372" t="b">
        <f t="shared" si="287"/>
        <v>0</v>
      </c>
      <c r="J372" t="b">
        <f t="shared" si="288"/>
        <v>0</v>
      </c>
      <c r="L372" t="str">
        <f>'Both teabags AfterWet'!A370</f>
        <v>G837</v>
      </c>
      <c r="M372" t="str">
        <f>'Both teabags AfterWet'!A790</f>
        <v>R579</v>
      </c>
      <c r="N372" t="b">
        <f t="shared" si="289"/>
        <v>0</v>
      </c>
      <c r="O372" t="b">
        <f t="shared" si="339"/>
        <v>0</v>
      </c>
      <c r="Q372" s="388" t="b">
        <f t="shared" si="290"/>
        <v>0</v>
      </c>
      <c r="R372" s="388" t="b">
        <f t="shared" si="291"/>
        <v>0</v>
      </c>
      <c r="Y372" t="str">
        <f>'Green_rooibos initial weight'!A373</f>
        <v>G369</v>
      </c>
      <c r="Z372" t="str">
        <f>'Green_rooibos initial weight'!A1277</f>
        <v>R369</v>
      </c>
      <c r="AA372" t="b">
        <f t="shared" si="293"/>
        <v>0</v>
      </c>
      <c r="AB372" t="b">
        <f t="shared" si="294"/>
        <v>0</v>
      </c>
      <c r="AE372" t="str">
        <f>'WetLitterbags placem_collection'!O151</f>
        <v>G696</v>
      </c>
      <c r="AF372" t="str">
        <f>'WetLitterbags placem_collection'!Q151</f>
        <v>R533</v>
      </c>
      <c r="AG372" t="b">
        <f t="shared" si="295"/>
        <v>0</v>
      </c>
      <c r="AH372" t="b">
        <f t="shared" si="296"/>
        <v>0</v>
      </c>
      <c r="AJ372" t="b">
        <f t="shared" si="297"/>
        <v>0</v>
      </c>
      <c r="AK372" t="b">
        <f t="shared" si="298"/>
        <v>0</v>
      </c>
      <c r="AM372" t="str">
        <f>IF(ISBLANK('Dry_Litterbag Placem_Collection'!L151),"","G"&amp;""&amp;'Dry_Litterbag Placem_Collection'!L151)</f>
        <v>G464</v>
      </c>
      <c r="AN372" t="str">
        <f>IF(ISBLANK('Dry_Litterbag Placem_Collection'!M151),"","R"&amp;""&amp;'Dry_Litterbag Placem_Collection'!M151)</f>
        <v>R664</v>
      </c>
      <c r="AO372" t="b">
        <f t="shared" si="299"/>
        <v>0</v>
      </c>
      <c r="AP372" t="b">
        <f t="shared" si="300"/>
        <v>0</v>
      </c>
      <c r="AX372" s="388" t="b">
        <f t="shared" si="302"/>
        <v>0</v>
      </c>
      <c r="AY372" s="388" t="b">
        <f t="shared" si="303"/>
        <v>0</v>
      </c>
      <c r="BA372" t="str">
        <f>'Ashed teabags wet'!A370</f>
        <v>G837</v>
      </c>
      <c r="BB372" t="str">
        <f>'Ashed teabags wet'!A790</f>
        <v>R579</v>
      </c>
      <c r="BC372" t="b">
        <f t="shared" si="304"/>
        <v>0</v>
      </c>
      <c r="BD372" t="b">
        <f t="shared" si="284"/>
        <v>0</v>
      </c>
      <c r="BH372" t="str">
        <f t="shared" si="307"/>
        <v>G161</v>
      </c>
      <c r="BI372" t="str">
        <f t="shared" si="325"/>
        <v>G161</v>
      </c>
      <c r="BP372" t="str">
        <f t="shared" si="310"/>
        <v>R422</v>
      </c>
      <c r="BQ372" t="str">
        <f t="shared" si="311"/>
        <v>R422</v>
      </c>
      <c r="BZ372" t="str">
        <f t="shared" si="312"/>
        <v>G161</v>
      </c>
      <c r="CA372" t="b">
        <f t="shared" si="313"/>
        <v>0</v>
      </c>
      <c r="CB372" t="str">
        <f t="shared" si="328"/>
        <v>G161</v>
      </c>
      <c r="CC372" t="str">
        <f t="shared" si="314"/>
        <v>R422</v>
      </c>
      <c r="CD372" t="b">
        <f t="shared" si="329"/>
        <v>0</v>
      </c>
      <c r="CE372" t="str">
        <f t="shared" si="330"/>
        <v>R422</v>
      </c>
      <c r="CG372" t="str">
        <f t="shared" si="315"/>
        <v>G836</v>
      </c>
      <c r="CH372" t="str">
        <f t="shared" si="331"/>
        <v>G836</v>
      </c>
      <c r="CI372" t="str">
        <f t="shared" si="316"/>
        <v>G807</v>
      </c>
      <c r="CJ372" t="str">
        <f t="shared" si="317"/>
        <v>G807</v>
      </c>
      <c r="CK372" t="s">
        <v>1214</v>
      </c>
      <c r="CL372" t="s">
        <v>1214</v>
      </c>
      <c r="CM372" t="s">
        <v>1214</v>
      </c>
      <c r="CN372" t="b">
        <f t="shared" si="332"/>
        <v>1</v>
      </c>
      <c r="CO372" t="str">
        <f t="shared" si="318"/>
        <v>R578</v>
      </c>
      <c r="CP372" t="str">
        <f t="shared" si="333"/>
        <v>R578</v>
      </c>
      <c r="CQ372" t="str">
        <f t="shared" si="319"/>
        <v>R20</v>
      </c>
      <c r="CR372" t="str">
        <f t="shared" si="320"/>
        <v>R20</v>
      </c>
      <c r="CS372" t="s">
        <v>563</v>
      </c>
      <c r="CT372" t="s">
        <v>563</v>
      </c>
      <c r="CU372" t="s">
        <v>563</v>
      </c>
      <c r="CV372" t="b">
        <f t="shared" si="334"/>
        <v>1</v>
      </c>
      <c r="DC372" t="str">
        <f t="shared" si="321"/>
        <v>G807</v>
      </c>
      <c r="DD372" t="b">
        <f t="shared" si="335"/>
        <v>0</v>
      </c>
      <c r="DE372" t="str">
        <f t="shared" si="336"/>
        <v>G807</v>
      </c>
      <c r="DF372" t="str">
        <f t="shared" si="322"/>
        <v>R20</v>
      </c>
      <c r="DG372" t="b">
        <f t="shared" si="337"/>
        <v>0</v>
      </c>
      <c r="DH372" t="str">
        <f t="shared" si="338"/>
        <v>R20</v>
      </c>
    </row>
    <row r="373" spans="2:112" ht="12" customHeight="1">
      <c r="B373" t="str">
        <f>TBIDry!H445</f>
        <v>G843</v>
      </c>
      <c r="C373" t="str">
        <f>TBIDry!I445</f>
        <v>R316</v>
      </c>
      <c r="D373" t="b">
        <f t="shared" si="285"/>
        <v>0</v>
      </c>
      <c r="E373" t="b">
        <f t="shared" si="286"/>
        <v>0</v>
      </c>
      <c r="G373" t="str">
        <f>TBIWet!H445</f>
        <v>G801</v>
      </c>
      <c r="H373" t="str">
        <f>TBIWet!I445</f>
        <v>R572</v>
      </c>
      <c r="I373" t="b">
        <f t="shared" si="287"/>
        <v>0</v>
      </c>
      <c r="J373" t="b">
        <f t="shared" si="288"/>
        <v>0</v>
      </c>
      <c r="L373" t="str">
        <f>'Both teabags AfterWet'!A371</f>
        <v>G838</v>
      </c>
      <c r="M373" t="str">
        <f>'Both teabags AfterWet'!A791</f>
        <v>R58</v>
      </c>
      <c r="N373" t="b">
        <f t="shared" si="289"/>
        <v>0</v>
      </c>
      <c r="O373" t="b">
        <f t="shared" si="339"/>
        <v>0</v>
      </c>
      <c r="Q373" s="388" t="b">
        <f t="shared" si="290"/>
        <v>0</v>
      </c>
      <c r="R373" s="388" t="b">
        <f t="shared" si="291"/>
        <v>0</v>
      </c>
      <c r="Y373" t="str">
        <f>'Green_rooibos initial weight'!A374</f>
        <v>G370</v>
      </c>
      <c r="Z373" t="str">
        <f>'Green_rooibos initial weight'!A1278</f>
        <v>R370</v>
      </c>
      <c r="AA373" t="b">
        <f t="shared" si="293"/>
        <v>0</v>
      </c>
      <c r="AB373" t="b">
        <f t="shared" si="294"/>
        <v>0</v>
      </c>
      <c r="AE373" t="str">
        <f>'WetLitterbags placem_collection'!O152</f>
        <v>G801</v>
      </c>
      <c r="AF373" t="str">
        <f>'WetLitterbags placem_collection'!Q152</f>
        <v>R572</v>
      </c>
      <c r="AG373" t="b">
        <f t="shared" si="295"/>
        <v>0</v>
      </c>
      <c r="AH373" t="b">
        <f t="shared" si="296"/>
        <v>0</v>
      </c>
      <c r="AJ373" t="b">
        <f t="shared" si="297"/>
        <v>0</v>
      </c>
      <c r="AK373" t="b">
        <f t="shared" si="298"/>
        <v>0</v>
      </c>
      <c r="AM373" t="str">
        <f>IF(ISBLANK('Dry_Litterbag Placem_Collection'!L152),"","G"&amp;""&amp;'Dry_Litterbag Placem_Collection'!L152)</f>
        <v>G843</v>
      </c>
      <c r="AN373" t="str">
        <f>IF(ISBLANK('Dry_Litterbag Placem_Collection'!M152),"","R"&amp;""&amp;'Dry_Litterbag Placem_Collection'!M152)</f>
        <v>R316</v>
      </c>
      <c r="AO373" t="b">
        <f t="shared" si="299"/>
        <v>0</v>
      </c>
      <c r="AP373" t="b">
        <f t="shared" si="300"/>
        <v>0</v>
      </c>
      <c r="AX373" s="388" t="b">
        <f t="shared" si="302"/>
        <v>0</v>
      </c>
      <c r="AY373" s="388" t="b">
        <f t="shared" si="303"/>
        <v>0</v>
      </c>
      <c r="BA373" t="str">
        <f>'Ashed teabags wet'!A371</f>
        <v>G838</v>
      </c>
      <c r="BB373" t="str">
        <f>'Ashed teabags wet'!A791</f>
        <v>R58</v>
      </c>
      <c r="BC373" t="b">
        <f t="shared" si="304"/>
        <v>0</v>
      </c>
      <c r="BD373" t="b">
        <f t="shared" si="284"/>
        <v>0</v>
      </c>
      <c r="BH373" t="str">
        <f t="shared" si="307"/>
        <v>G464</v>
      </c>
      <c r="BI373" t="str">
        <f t="shared" si="325"/>
        <v>G464</v>
      </c>
      <c r="BP373" t="str">
        <f t="shared" si="310"/>
        <v>R664</v>
      </c>
      <c r="BQ373" t="str">
        <f t="shared" si="311"/>
        <v>R664</v>
      </c>
      <c r="BZ373" t="str">
        <f t="shared" si="312"/>
        <v>G464</v>
      </c>
      <c r="CA373" t="b">
        <f t="shared" si="313"/>
        <v>0</v>
      </c>
      <c r="CB373" t="str">
        <f t="shared" si="328"/>
        <v>G464</v>
      </c>
      <c r="CC373" t="str">
        <f t="shared" si="314"/>
        <v>R664</v>
      </c>
      <c r="CD373" t="b">
        <f t="shared" si="329"/>
        <v>0</v>
      </c>
      <c r="CE373" t="str">
        <f t="shared" si="330"/>
        <v>R664</v>
      </c>
      <c r="CG373" t="str">
        <f t="shared" si="315"/>
        <v>G837</v>
      </c>
      <c r="CH373" t="str">
        <f t="shared" si="331"/>
        <v>G837</v>
      </c>
      <c r="CI373" t="str">
        <f t="shared" si="316"/>
        <v>G696</v>
      </c>
      <c r="CJ373" t="str">
        <f t="shared" si="317"/>
        <v>G696</v>
      </c>
      <c r="CK373" t="s">
        <v>1213</v>
      </c>
      <c r="CL373" t="s">
        <v>1213</v>
      </c>
      <c r="CM373" t="s">
        <v>1213</v>
      </c>
      <c r="CN373" t="b">
        <f t="shared" si="332"/>
        <v>1</v>
      </c>
      <c r="CO373" t="str">
        <f t="shared" si="318"/>
        <v>R579</v>
      </c>
      <c r="CP373" t="str">
        <f t="shared" si="333"/>
        <v>R579</v>
      </c>
      <c r="CQ373" t="str">
        <f t="shared" si="319"/>
        <v>R533</v>
      </c>
      <c r="CR373" t="str">
        <f t="shared" si="320"/>
        <v>R533</v>
      </c>
      <c r="CS373" t="s">
        <v>562</v>
      </c>
      <c r="CT373" t="s">
        <v>562</v>
      </c>
      <c r="CU373" t="s">
        <v>562</v>
      </c>
      <c r="CV373" t="b">
        <f t="shared" si="334"/>
        <v>1</v>
      </c>
      <c r="DC373" t="str">
        <f t="shared" si="321"/>
        <v>G696</v>
      </c>
      <c r="DD373" t="b">
        <f t="shared" si="335"/>
        <v>0</v>
      </c>
      <c r="DE373" t="str">
        <f t="shared" si="336"/>
        <v>G696</v>
      </c>
      <c r="DF373" t="str">
        <f t="shared" si="322"/>
        <v>R533</v>
      </c>
      <c r="DG373" t="b">
        <f t="shared" si="337"/>
        <v>0</v>
      </c>
      <c r="DH373" t="str">
        <f t="shared" si="338"/>
        <v>R533</v>
      </c>
    </row>
    <row r="374" spans="2:112" ht="12" customHeight="1">
      <c r="B374" t="str">
        <f>TBIDry!H446</f>
        <v/>
      </c>
      <c r="C374" t="str">
        <f>TBIDry!I446</f>
        <v/>
      </c>
      <c r="D374" t="b">
        <f t="shared" si="285"/>
        <v>1</v>
      </c>
      <c r="E374" t="b">
        <f t="shared" si="286"/>
        <v>1</v>
      </c>
      <c r="G374" t="str">
        <f>TBIWet!H446</f>
        <v>G647</v>
      </c>
      <c r="H374" t="str">
        <f>TBIWet!I446</f>
        <v>R504</v>
      </c>
      <c r="I374" t="b">
        <f t="shared" si="287"/>
        <v>0</v>
      </c>
      <c r="J374" t="b">
        <f t="shared" si="288"/>
        <v>0</v>
      </c>
      <c r="L374" t="str">
        <f>'Both teabags AfterWet'!A372</f>
        <v>G839</v>
      </c>
      <c r="M374" t="str">
        <f>'Both teabags AfterWet'!A792</f>
        <v>R580</v>
      </c>
      <c r="N374" t="b">
        <f t="shared" si="289"/>
        <v>0</v>
      </c>
      <c r="O374" t="b">
        <f t="shared" si="339"/>
        <v>0</v>
      </c>
      <c r="Q374" s="388" t="b">
        <f t="shared" si="290"/>
        <v>0</v>
      </c>
      <c r="R374" s="388" t="b">
        <f t="shared" si="291"/>
        <v>0</v>
      </c>
      <c r="Y374" t="str">
        <f>'Green_rooibos initial weight'!A375</f>
        <v>G371</v>
      </c>
      <c r="Z374" t="str">
        <f>'Green_rooibos initial weight'!A1279</f>
        <v>R371</v>
      </c>
      <c r="AA374" t="b">
        <f t="shared" si="293"/>
        <v>0</v>
      </c>
      <c r="AB374" t="b">
        <f t="shared" si="294"/>
        <v>0</v>
      </c>
      <c r="AE374" t="str">
        <f>'WetLitterbags placem_collection'!O153</f>
        <v>G647</v>
      </c>
      <c r="AF374" t="str">
        <f>'WetLitterbags placem_collection'!Q153</f>
        <v>R504</v>
      </c>
      <c r="AG374" t="b">
        <f t="shared" si="295"/>
        <v>0</v>
      </c>
      <c r="AH374" t="b">
        <f t="shared" si="296"/>
        <v>0</v>
      </c>
      <c r="AJ374" t="b">
        <f t="shared" si="297"/>
        <v>0</v>
      </c>
      <c r="AK374" t="b">
        <f t="shared" si="298"/>
        <v>0</v>
      </c>
      <c r="AM374" t="str">
        <f>IF(ISBLANK('Dry_Litterbag Placem_Collection'!L153),"","G"&amp;""&amp;'Dry_Litterbag Placem_Collection'!L153)</f>
        <v/>
      </c>
      <c r="AN374" t="str">
        <f>IF(ISBLANK('Dry_Litterbag Placem_Collection'!M153),"","R"&amp;""&amp;'Dry_Litterbag Placem_Collection'!M153)</f>
        <v/>
      </c>
      <c r="AO374" t="b">
        <f t="shared" si="299"/>
        <v>1</v>
      </c>
      <c r="AP374" t="b">
        <f t="shared" si="300"/>
        <v>1</v>
      </c>
      <c r="AX374" s="388" t="b">
        <f t="shared" si="302"/>
        <v>0</v>
      </c>
      <c r="AY374" s="388" t="b">
        <f t="shared" si="303"/>
        <v>0</v>
      </c>
      <c r="BA374" t="str">
        <f>'Ashed teabags wet'!A372</f>
        <v>G839</v>
      </c>
      <c r="BB374" t="str">
        <f>'Ashed teabags wet'!A792</f>
        <v>R580</v>
      </c>
      <c r="BC374" t="b">
        <f t="shared" si="304"/>
        <v>0</v>
      </c>
      <c r="BD374" t="b">
        <f t="shared" si="284"/>
        <v>0</v>
      </c>
      <c r="BH374" t="str">
        <f t="shared" si="307"/>
        <v>G843</v>
      </c>
      <c r="BI374" t="str">
        <f t="shared" si="325"/>
        <v/>
      </c>
      <c r="BP374" t="str">
        <f t="shared" si="310"/>
        <v>R316</v>
      </c>
      <c r="BQ374" t="str">
        <f t="shared" si="311"/>
        <v/>
      </c>
      <c r="BZ374" t="str">
        <f t="shared" si="312"/>
        <v>G843</v>
      </c>
      <c r="CA374" t="b">
        <f t="shared" si="313"/>
        <v>1</v>
      </c>
      <c r="CB374" t="str">
        <f t="shared" si="328"/>
        <v/>
      </c>
      <c r="CC374" t="str">
        <f t="shared" si="314"/>
        <v>R316</v>
      </c>
      <c r="CD374" t="b">
        <f t="shared" si="329"/>
        <v>1</v>
      </c>
      <c r="CE374" t="str">
        <f t="shared" si="330"/>
        <v/>
      </c>
      <c r="CG374" t="str">
        <f t="shared" si="315"/>
        <v>G838</v>
      </c>
      <c r="CH374" t="str">
        <f t="shared" si="331"/>
        <v>G838</v>
      </c>
      <c r="CI374" t="str">
        <f t="shared" si="316"/>
        <v>G801</v>
      </c>
      <c r="CJ374" t="str">
        <f t="shared" si="317"/>
        <v>G801</v>
      </c>
      <c r="CK374" t="s">
        <v>1212</v>
      </c>
      <c r="CL374" t="s">
        <v>1212</v>
      </c>
      <c r="CM374" t="s">
        <v>1212</v>
      </c>
      <c r="CN374" t="b">
        <f t="shared" si="332"/>
        <v>1</v>
      </c>
      <c r="CO374" t="str">
        <f t="shared" si="318"/>
        <v>R58</v>
      </c>
      <c r="CP374" t="str">
        <f t="shared" si="333"/>
        <v>R58</v>
      </c>
      <c r="CQ374" t="str">
        <f t="shared" si="319"/>
        <v>R572</v>
      </c>
      <c r="CR374" t="str">
        <f t="shared" si="320"/>
        <v>R572</v>
      </c>
      <c r="CS374" t="s">
        <v>1083</v>
      </c>
      <c r="CT374" t="s">
        <v>1083</v>
      </c>
      <c r="CU374" t="s">
        <v>1083</v>
      </c>
      <c r="CV374" t="b">
        <f t="shared" si="334"/>
        <v>1</v>
      </c>
      <c r="DC374" t="str">
        <f t="shared" si="321"/>
        <v>G801</v>
      </c>
      <c r="DD374" t="b">
        <f t="shared" si="335"/>
        <v>0</v>
      </c>
      <c r="DE374" t="str">
        <f t="shared" si="336"/>
        <v>G801</v>
      </c>
      <c r="DF374" t="str">
        <f t="shared" si="322"/>
        <v>R572</v>
      </c>
      <c r="DG374" t="b">
        <f t="shared" si="337"/>
        <v>0</v>
      </c>
      <c r="DH374" t="str">
        <f t="shared" si="338"/>
        <v>R572</v>
      </c>
    </row>
    <row r="375" spans="2:112" ht="12" customHeight="1">
      <c r="B375" t="str">
        <f>TBIDry!H447</f>
        <v>G617</v>
      </c>
      <c r="C375" t="str">
        <f>TBIDry!I447</f>
        <v>R635</v>
      </c>
      <c r="D375" t="b">
        <f t="shared" si="285"/>
        <v>0</v>
      </c>
      <c r="E375" t="b">
        <f t="shared" si="286"/>
        <v>0</v>
      </c>
      <c r="G375" t="str">
        <f>TBIWet!H447</f>
        <v>G744</v>
      </c>
      <c r="H375" t="str">
        <f>TBIWet!I447</f>
        <v>R579</v>
      </c>
      <c r="I375" t="b">
        <f t="shared" si="287"/>
        <v>0</v>
      </c>
      <c r="J375" t="b">
        <f t="shared" si="288"/>
        <v>0</v>
      </c>
      <c r="L375" t="str">
        <f>'Both teabags AfterWet'!A373</f>
        <v>G840</v>
      </c>
      <c r="M375" t="str">
        <f>'Both teabags AfterWet'!A793</f>
        <v>R581</v>
      </c>
      <c r="N375" t="b">
        <f t="shared" si="289"/>
        <v>0</v>
      </c>
      <c r="O375" t="b">
        <f t="shared" si="339"/>
        <v>0</v>
      </c>
      <c r="Q375" s="388" t="b">
        <f t="shared" si="290"/>
        <v>0</v>
      </c>
      <c r="R375" s="388" t="b">
        <f t="shared" si="291"/>
        <v>0</v>
      </c>
      <c r="Y375" t="str">
        <f>'Green_rooibos initial weight'!A376</f>
        <v>G372</v>
      </c>
      <c r="Z375" t="str">
        <f>'Green_rooibos initial weight'!A1280</f>
        <v>R372</v>
      </c>
      <c r="AA375" t="b">
        <f t="shared" si="293"/>
        <v>0</v>
      </c>
      <c r="AB375" t="b">
        <f t="shared" si="294"/>
        <v>0</v>
      </c>
      <c r="AE375" t="str">
        <f>'WetLitterbags placem_collection'!O154</f>
        <v>G744</v>
      </c>
      <c r="AF375" t="str">
        <f>'WetLitterbags placem_collection'!Q154</f>
        <v>R579</v>
      </c>
      <c r="AG375" t="b">
        <f t="shared" si="295"/>
        <v>0</v>
      </c>
      <c r="AH375" t="b">
        <f t="shared" si="296"/>
        <v>0</v>
      </c>
      <c r="AJ375" t="b">
        <f t="shared" si="297"/>
        <v>0</v>
      </c>
      <c r="AK375" t="b">
        <f t="shared" si="298"/>
        <v>0</v>
      </c>
      <c r="AM375" t="str">
        <f>IF(ISBLANK('Dry_Litterbag Placem_Collection'!L154),"","G"&amp;""&amp;'Dry_Litterbag Placem_Collection'!L154)</f>
        <v>G617</v>
      </c>
      <c r="AN375" t="str">
        <f>IF(ISBLANK('Dry_Litterbag Placem_Collection'!M154),"","R"&amp;""&amp;'Dry_Litterbag Placem_Collection'!M154)</f>
        <v>R635</v>
      </c>
      <c r="AO375" t="b">
        <f t="shared" si="299"/>
        <v>0</v>
      </c>
      <c r="AP375" t="b">
        <f t="shared" si="300"/>
        <v>0</v>
      </c>
      <c r="AX375" s="388" t="b">
        <f t="shared" si="302"/>
        <v>0</v>
      </c>
      <c r="AY375" s="388" t="b">
        <f t="shared" si="303"/>
        <v>0</v>
      </c>
      <c r="BA375" t="str">
        <f>'Ashed teabags wet'!A373</f>
        <v>G840</v>
      </c>
      <c r="BB375" t="str">
        <f>'Ashed teabags wet'!A793</f>
        <v>R581</v>
      </c>
      <c r="BC375" t="b">
        <f t="shared" si="304"/>
        <v>0</v>
      </c>
      <c r="BD375" t="b">
        <f t="shared" si="284"/>
        <v>0</v>
      </c>
      <c r="BH375" t="str">
        <f t="shared" si="307"/>
        <v/>
      </c>
      <c r="BI375" t="str">
        <f t="shared" si="325"/>
        <v/>
      </c>
      <c r="BP375" t="str">
        <f t="shared" si="310"/>
        <v/>
      </c>
      <c r="BQ375" t="str">
        <f t="shared" si="311"/>
        <v/>
      </c>
      <c r="BZ375" t="str">
        <f t="shared" si="312"/>
        <v/>
      </c>
      <c r="CA375" t="b">
        <f t="shared" si="313"/>
        <v>0</v>
      </c>
      <c r="CB375" t="str">
        <f t="shared" si="328"/>
        <v/>
      </c>
      <c r="CC375" t="str">
        <f t="shared" si="314"/>
        <v/>
      </c>
      <c r="CD375" t="b">
        <f t="shared" si="329"/>
        <v>0</v>
      </c>
      <c r="CE375" t="str">
        <f t="shared" si="330"/>
        <v/>
      </c>
      <c r="CG375" t="str">
        <f t="shared" si="315"/>
        <v>G839</v>
      </c>
      <c r="CH375" t="str">
        <f t="shared" si="331"/>
        <v>G839</v>
      </c>
      <c r="CI375" t="str">
        <f t="shared" si="316"/>
        <v>G647</v>
      </c>
      <c r="CJ375" t="str">
        <f t="shared" si="317"/>
        <v>G647</v>
      </c>
      <c r="CK375" t="s">
        <v>1211</v>
      </c>
      <c r="CL375" t="s">
        <v>1211</v>
      </c>
      <c r="CM375" t="s">
        <v>1211</v>
      </c>
      <c r="CN375" t="b">
        <f t="shared" si="332"/>
        <v>1</v>
      </c>
      <c r="CO375" t="str">
        <f t="shared" si="318"/>
        <v>R580</v>
      </c>
      <c r="CP375" t="str">
        <f t="shared" si="333"/>
        <v>R580</v>
      </c>
      <c r="CQ375" t="str">
        <f t="shared" si="319"/>
        <v>R504</v>
      </c>
      <c r="CR375" t="str">
        <f t="shared" si="320"/>
        <v>R504</v>
      </c>
      <c r="CS375" t="s">
        <v>561</v>
      </c>
      <c r="CT375" t="s">
        <v>561</v>
      </c>
      <c r="CU375" t="s">
        <v>561</v>
      </c>
      <c r="CV375" t="b">
        <f t="shared" si="334"/>
        <v>1</v>
      </c>
      <c r="DC375" t="str">
        <f t="shared" si="321"/>
        <v>G647</v>
      </c>
      <c r="DD375" t="b">
        <f t="shared" si="335"/>
        <v>0</v>
      </c>
      <c r="DE375" t="str">
        <f t="shared" si="336"/>
        <v>G647</v>
      </c>
      <c r="DF375" t="str">
        <f t="shared" si="322"/>
        <v>R504</v>
      </c>
      <c r="DG375" t="b">
        <f t="shared" si="337"/>
        <v>0</v>
      </c>
      <c r="DH375" t="str">
        <f t="shared" si="338"/>
        <v>R504</v>
      </c>
    </row>
    <row r="376" spans="2:112" ht="12" customHeight="1">
      <c r="B376" t="str">
        <f>TBIDry!H448</f>
        <v>G19</v>
      </c>
      <c r="C376" t="str">
        <f>TBIDry!I448</f>
        <v>R651</v>
      </c>
      <c r="D376" t="b">
        <f t="shared" si="285"/>
        <v>0</v>
      </c>
      <c r="E376" t="b">
        <f t="shared" si="286"/>
        <v>0</v>
      </c>
      <c r="G376" t="str">
        <f>TBIWet!H448</f>
        <v>G885</v>
      </c>
      <c r="H376" t="str">
        <f>TBIWet!I448</f>
        <v>R440</v>
      </c>
      <c r="I376" t="b">
        <f t="shared" si="287"/>
        <v>0</v>
      </c>
      <c r="J376" t="b">
        <f t="shared" si="288"/>
        <v>0</v>
      </c>
      <c r="L376" t="str">
        <f>'Both teabags AfterWet'!A374</f>
        <v>G841</v>
      </c>
      <c r="M376" t="str">
        <f>'Both teabags AfterWet'!A794</f>
        <v>R582</v>
      </c>
      <c r="N376" t="b">
        <f t="shared" si="289"/>
        <v>0</v>
      </c>
      <c r="O376" t="b">
        <f t="shared" si="339"/>
        <v>0</v>
      </c>
      <c r="Q376" s="388" t="b">
        <f t="shared" si="290"/>
        <v>0</v>
      </c>
      <c r="R376" s="388" t="b">
        <f t="shared" si="291"/>
        <v>0</v>
      </c>
      <c r="Y376" t="str">
        <f>'Green_rooibos initial weight'!A377</f>
        <v>G373</v>
      </c>
      <c r="Z376" t="str">
        <f>'Green_rooibos initial weight'!A1281</f>
        <v>R373</v>
      </c>
      <c r="AA376" t="b">
        <f t="shared" si="293"/>
        <v>0</v>
      </c>
      <c r="AB376" t="b">
        <f t="shared" si="294"/>
        <v>0</v>
      </c>
      <c r="AE376" t="str">
        <f>'WetLitterbags placem_collection'!O155</f>
        <v>G885</v>
      </c>
      <c r="AF376" t="str">
        <f>'WetLitterbags placem_collection'!Q155</f>
        <v>R440</v>
      </c>
      <c r="AG376" t="b">
        <f t="shared" si="295"/>
        <v>0</v>
      </c>
      <c r="AH376" t="b">
        <f t="shared" si="296"/>
        <v>0</v>
      </c>
      <c r="AJ376" t="b">
        <f t="shared" si="297"/>
        <v>0</v>
      </c>
      <c r="AK376" t="b">
        <f t="shared" si="298"/>
        <v>0</v>
      </c>
      <c r="AM376" t="str">
        <f>IF(ISBLANK('Dry_Litterbag Placem_Collection'!L155),"","G"&amp;""&amp;'Dry_Litterbag Placem_Collection'!L155)</f>
        <v>G19</v>
      </c>
      <c r="AN376" t="str">
        <f>IF(ISBLANK('Dry_Litterbag Placem_Collection'!M155),"","R"&amp;""&amp;'Dry_Litterbag Placem_Collection'!M155)</f>
        <v>R651</v>
      </c>
      <c r="AO376" t="b">
        <f t="shared" si="299"/>
        <v>0</v>
      </c>
      <c r="AP376" t="b">
        <f t="shared" si="300"/>
        <v>0</v>
      </c>
      <c r="AX376" s="388" t="b">
        <f t="shared" si="302"/>
        <v>0</v>
      </c>
      <c r="AY376" s="388" t="b">
        <f t="shared" si="303"/>
        <v>0</v>
      </c>
      <c r="BA376" t="str">
        <f>'Ashed teabags wet'!A374</f>
        <v>G841</v>
      </c>
      <c r="BB376" t="str">
        <f>'Ashed teabags wet'!A794</f>
        <v>R582</v>
      </c>
      <c r="BC376" t="b">
        <f t="shared" si="304"/>
        <v>0</v>
      </c>
      <c r="BD376" t="b">
        <f t="shared" si="284"/>
        <v>0</v>
      </c>
      <c r="BH376" t="str">
        <f t="shared" si="307"/>
        <v>G617</v>
      </c>
      <c r="BI376" t="str">
        <f t="shared" si="325"/>
        <v>G617</v>
      </c>
      <c r="BP376" t="str">
        <f t="shared" si="310"/>
        <v>R635</v>
      </c>
      <c r="BQ376" t="str">
        <f t="shared" si="311"/>
        <v>R635</v>
      </c>
      <c r="BZ376" t="str">
        <f t="shared" si="312"/>
        <v>G617</v>
      </c>
      <c r="CA376" t="b">
        <f t="shared" si="313"/>
        <v>0</v>
      </c>
      <c r="CB376" t="str">
        <f t="shared" si="328"/>
        <v>G617</v>
      </c>
      <c r="CC376" t="str">
        <f t="shared" si="314"/>
        <v>R635</v>
      </c>
      <c r="CD376" t="b">
        <f t="shared" si="329"/>
        <v>0</v>
      </c>
      <c r="CE376" t="str">
        <f t="shared" si="330"/>
        <v>R635</v>
      </c>
      <c r="CG376" t="str">
        <f t="shared" si="315"/>
        <v>G840</v>
      </c>
      <c r="CH376" t="str">
        <f t="shared" si="331"/>
        <v>G840</v>
      </c>
      <c r="CI376" t="str">
        <f t="shared" si="316"/>
        <v>G744</v>
      </c>
      <c r="CJ376" t="str">
        <f t="shared" si="317"/>
        <v>G744</v>
      </c>
      <c r="CK376" t="s">
        <v>1210</v>
      </c>
      <c r="CL376" t="s">
        <v>1210</v>
      </c>
      <c r="CM376" t="s">
        <v>1210</v>
      </c>
      <c r="CN376" t="b">
        <f t="shared" si="332"/>
        <v>1</v>
      </c>
      <c r="CO376" t="str">
        <f t="shared" si="318"/>
        <v>R581</v>
      </c>
      <c r="CP376" t="str">
        <f t="shared" si="333"/>
        <v>R581</v>
      </c>
      <c r="CQ376" t="str">
        <f t="shared" si="319"/>
        <v>R579</v>
      </c>
      <c r="CR376" t="str">
        <f t="shared" si="320"/>
        <v>R579</v>
      </c>
      <c r="CS376" t="s">
        <v>560</v>
      </c>
      <c r="CT376" t="s">
        <v>560</v>
      </c>
      <c r="CU376" t="s">
        <v>560</v>
      </c>
      <c r="CV376" t="b">
        <f t="shared" si="334"/>
        <v>1</v>
      </c>
      <c r="DC376" t="str">
        <f t="shared" si="321"/>
        <v>G744</v>
      </c>
      <c r="DD376" t="b">
        <f t="shared" si="335"/>
        <v>0</v>
      </c>
      <c r="DE376" t="str">
        <f t="shared" si="336"/>
        <v>G744</v>
      </c>
      <c r="DF376" t="str">
        <f t="shared" si="322"/>
        <v>R579</v>
      </c>
      <c r="DG376" t="b">
        <f t="shared" si="337"/>
        <v>0</v>
      </c>
      <c r="DH376" t="str">
        <f t="shared" si="338"/>
        <v>R579</v>
      </c>
    </row>
    <row r="377" spans="2:112" ht="12" customHeight="1">
      <c r="B377" t="str">
        <f>TBIDry!H449</f>
        <v>G275</v>
      </c>
      <c r="C377" t="str">
        <f>TBIDry!I449</f>
        <v>R367</v>
      </c>
      <c r="D377" t="b">
        <f t="shared" si="285"/>
        <v>0</v>
      </c>
      <c r="E377" t="b">
        <f t="shared" si="286"/>
        <v>0</v>
      </c>
      <c r="G377" t="str">
        <f>TBIWet!H449</f>
        <v>G684</v>
      </c>
      <c r="H377" t="str">
        <f>TBIWet!I449</f>
        <v>R485</v>
      </c>
      <c r="I377" t="b">
        <f t="shared" si="287"/>
        <v>0</v>
      </c>
      <c r="J377" t="b">
        <f t="shared" si="288"/>
        <v>0</v>
      </c>
      <c r="L377" t="str">
        <f>'Both teabags AfterWet'!A375</f>
        <v>G842</v>
      </c>
      <c r="M377" t="str">
        <f>'Both teabags AfterWet'!A795</f>
        <v>R583</v>
      </c>
      <c r="N377" t="b">
        <f t="shared" si="289"/>
        <v>0</v>
      </c>
      <c r="O377" t="b">
        <f t="shared" si="339"/>
        <v>0</v>
      </c>
      <c r="Q377" s="388" t="b">
        <f t="shared" si="290"/>
        <v>0</v>
      </c>
      <c r="R377" s="388" t="b">
        <f t="shared" si="291"/>
        <v>0</v>
      </c>
      <c r="Y377" t="str">
        <f>'Green_rooibos initial weight'!A378</f>
        <v>G374</v>
      </c>
      <c r="Z377" t="str">
        <f>'Green_rooibos initial weight'!A1282</f>
        <v>R374</v>
      </c>
      <c r="AA377" t="b">
        <f t="shared" si="293"/>
        <v>0</v>
      </c>
      <c r="AB377" t="b">
        <f t="shared" si="294"/>
        <v>0</v>
      </c>
      <c r="AE377" t="str">
        <f>'WetLitterbags placem_collection'!O156</f>
        <v>G684</v>
      </c>
      <c r="AF377" t="str">
        <f>'WetLitterbags placem_collection'!Q156</f>
        <v>R485</v>
      </c>
      <c r="AG377" t="b">
        <f t="shared" si="295"/>
        <v>0</v>
      </c>
      <c r="AH377" t="b">
        <f t="shared" si="296"/>
        <v>0</v>
      </c>
      <c r="AJ377" t="b">
        <f t="shared" si="297"/>
        <v>0</v>
      </c>
      <c r="AK377" t="b">
        <f t="shared" si="298"/>
        <v>0</v>
      </c>
      <c r="AM377" t="str">
        <f>IF(ISBLANK('Dry_Litterbag Placem_Collection'!L156),"","G"&amp;""&amp;'Dry_Litterbag Placem_Collection'!L156)</f>
        <v>G275</v>
      </c>
      <c r="AN377" t="str">
        <f>IF(ISBLANK('Dry_Litterbag Placem_Collection'!M156),"","R"&amp;""&amp;'Dry_Litterbag Placem_Collection'!M156)</f>
        <v>R367</v>
      </c>
      <c r="AO377" t="b">
        <f t="shared" si="299"/>
        <v>0</v>
      </c>
      <c r="AP377" t="b">
        <f t="shared" si="300"/>
        <v>0</v>
      </c>
      <c r="AX377" s="388" t="b">
        <f t="shared" si="302"/>
        <v>0</v>
      </c>
      <c r="AY377" s="388" t="b">
        <f t="shared" si="303"/>
        <v>0</v>
      </c>
      <c r="BA377" t="str">
        <f>'Ashed teabags wet'!A375</f>
        <v>G842</v>
      </c>
      <c r="BB377" t="str">
        <f>'Ashed teabags wet'!A795</f>
        <v>R583</v>
      </c>
      <c r="BC377" t="b">
        <f t="shared" si="304"/>
        <v>0</v>
      </c>
      <c r="BD377" t="b">
        <f t="shared" si="284"/>
        <v>0</v>
      </c>
      <c r="BH377" t="str">
        <f t="shared" si="307"/>
        <v>G19</v>
      </c>
      <c r="BI377" t="str">
        <f t="shared" si="325"/>
        <v>G19</v>
      </c>
      <c r="BP377" t="str">
        <f t="shared" si="310"/>
        <v>R651</v>
      </c>
      <c r="BQ377" t="str">
        <f t="shared" si="311"/>
        <v>R651</v>
      </c>
      <c r="BZ377" t="str">
        <f t="shared" si="312"/>
        <v>G19</v>
      </c>
      <c r="CA377" t="b">
        <f t="shared" si="313"/>
        <v>0</v>
      </c>
      <c r="CB377" t="str">
        <f t="shared" si="328"/>
        <v>G19</v>
      </c>
      <c r="CC377" t="str">
        <f t="shared" si="314"/>
        <v>R651</v>
      </c>
      <c r="CD377" t="b">
        <f t="shared" si="329"/>
        <v>0</v>
      </c>
      <c r="CE377" t="str">
        <f t="shared" si="330"/>
        <v>R651</v>
      </c>
      <c r="CG377" t="str">
        <f t="shared" si="315"/>
        <v>G841</v>
      </c>
      <c r="CH377" t="str">
        <f t="shared" si="331"/>
        <v>G841</v>
      </c>
      <c r="CI377" t="str">
        <f t="shared" si="316"/>
        <v>G885</v>
      </c>
      <c r="CJ377" t="str">
        <f t="shared" si="317"/>
        <v>G885</v>
      </c>
      <c r="CK377" t="s">
        <v>1209</v>
      </c>
      <c r="CL377" t="s">
        <v>1209</v>
      </c>
      <c r="CM377" t="s">
        <v>1209</v>
      </c>
      <c r="CN377" t="b">
        <f t="shared" si="332"/>
        <v>1</v>
      </c>
      <c r="CO377" t="str">
        <f t="shared" si="318"/>
        <v>R582</v>
      </c>
      <c r="CP377" t="str">
        <f t="shared" si="333"/>
        <v>R582</v>
      </c>
      <c r="CQ377" t="str">
        <f t="shared" si="319"/>
        <v>R440</v>
      </c>
      <c r="CR377" t="str">
        <f t="shared" si="320"/>
        <v>R440</v>
      </c>
      <c r="CS377" t="s">
        <v>559</v>
      </c>
      <c r="CT377" t="s">
        <v>559</v>
      </c>
      <c r="CU377" t="s">
        <v>559</v>
      </c>
      <c r="CV377" t="b">
        <f t="shared" si="334"/>
        <v>1</v>
      </c>
      <c r="DC377" t="str">
        <f t="shared" si="321"/>
        <v>G885</v>
      </c>
      <c r="DD377" t="b">
        <f t="shared" si="335"/>
        <v>0</v>
      </c>
      <c r="DE377" t="str">
        <f t="shared" si="336"/>
        <v>G885</v>
      </c>
      <c r="DF377" t="str">
        <f t="shared" si="322"/>
        <v>R440</v>
      </c>
      <c r="DG377" t="b">
        <f t="shared" si="337"/>
        <v>0</v>
      </c>
      <c r="DH377" t="str">
        <f t="shared" si="338"/>
        <v>R440</v>
      </c>
    </row>
    <row r="378" spans="2:112" ht="12" customHeight="1">
      <c r="B378" t="str">
        <f>TBIDry!H450</f>
        <v>G289</v>
      </c>
      <c r="C378" t="str">
        <f>TBIDry!I450</f>
        <v>R617</v>
      </c>
      <c r="D378" t="b">
        <f t="shared" si="285"/>
        <v>0</v>
      </c>
      <c r="E378" t="b">
        <f t="shared" si="286"/>
        <v>0</v>
      </c>
      <c r="G378" t="str">
        <f>TBIWet!H450</f>
        <v>G827</v>
      </c>
      <c r="H378" t="str">
        <f>TBIWet!I450</f>
        <v>R556</v>
      </c>
      <c r="I378" t="b">
        <f t="shared" si="287"/>
        <v>0</v>
      </c>
      <c r="J378" t="b">
        <f t="shared" si="288"/>
        <v>0</v>
      </c>
      <c r="L378" t="str">
        <f>'Both teabags AfterWet'!A376</f>
        <v>G845</v>
      </c>
      <c r="M378" t="str">
        <f>'Both teabags AfterWet'!A796</f>
        <v>R584</v>
      </c>
      <c r="N378" t="b">
        <f t="shared" si="289"/>
        <v>0</v>
      </c>
      <c r="O378" t="b">
        <f t="shared" si="339"/>
        <v>0</v>
      </c>
      <c r="Q378" s="388" t="b">
        <f t="shared" si="290"/>
        <v>0</v>
      </c>
      <c r="R378" s="388" t="b">
        <f t="shared" si="291"/>
        <v>0</v>
      </c>
      <c r="Y378" t="str">
        <f>'Green_rooibos initial weight'!A379</f>
        <v>G375</v>
      </c>
      <c r="Z378" t="str">
        <f>'Green_rooibos initial weight'!A1283</f>
        <v>R375</v>
      </c>
      <c r="AA378" t="b">
        <f t="shared" si="293"/>
        <v>0</v>
      </c>
      <c r="AB378" t="b">
        <f t="shared" si="294"/>
        <v>0</v>
      </c>
      <c r="AE378" t="str">
        <f>'WetLitterbags placem_collection'!O157</f>
        <v>G827</v>
      </c>
      <c r="AF378" t="str">
        <f>'WetLitterbags placem_collection'!Q157</f>
        <v>R556</v>
      </c>
      <c r="AG378" t="b">
        <f t="shared" si="295"/>
        <v>0</v>
      </c>
      <c r="AH378" t="b">
        <f t="shared" si="296"/>
        <v>0</v>
      </c>
      <c r="AJ378" t="b">
        <f t="shared" si="297"/>
        <v>0</v>
      </c>
      <c r="AK378" t="b">
        <f t="shared" si="298"/>
        <v>0</v>
      </c>
      <c r="AM378" t="str">
        <f>IF(ISBLANK('Dry_Litterbag Placem_Collection'!L157),"","G"&amp;""&amp;'Dry_Litterbag Placem_Collection'!L157)</f>
        <v>G289</v>
      </c>
      <c r="AN378" t="str">
        <f>IF(ISBLANK('Dry_Litterbag Placem_Collection'!M157),"","R"&amp;""&amp;'Dry_Litterbag Placem_Collection'!M157)</f>
        <v>R617</v>
      </c>
      <c r="AO378" t="b">
        <f t="shared" si="299"/>
        <v>0</v>
      </c>
      <c r="AP378" t="b">
        <f t="shared" si="300"/>
        <v>0</v>
      </c>
      <c r="AX378" s="388" t="b">
        <f t="shared" si="302"/>
        <v>0</v>
      </c>
      <c r="AY378" s="388" t="b">
        <f t="shared" si="303"/>
        <v>0</v>
      </c>
      <c r="BA378" t="str">
        <f>'Ashed teabags wet'!A376</f>
        <v>G845</v>
      </c>
      <c r="BB378" t="str">
        <f>'Ashed teabags wet'!A796</f>
        <v>R584</v>
      </c>
      <c r="BC378" t="b">
        <f t="shared" si="304"/>
        <v>0</v>
      </c>
      <c r="BD378" t="b">
        <f t="shared" si="284"/>
        <v>0</v>
      </c>
      <c r="BH378" t="str">
        <f t="shared" si="307"/>
        <v>G275</v>
      </c>
      <c r="BI378" t="str">
        <f t="shared" si="325"/>
        <v>G275</v>
      </c>
      <c r="BP378" t="str">
        <f t="shared" si="310"/>
        <v>R367</v>
      </c>
      <c r="BQ378" t="str">
        <f t="shared" si="311"/>
        <v>R367</v>
      </c>
      <c r="BZ378" t="str">
        <f t="shared" si="312"/>
        <v>G275</v>
      </c>
      <c r="CA378" t="b">
        <f t="shared" si="313"/>
        <v>0</v>
      </c>
      <c r="CB378" t="str">
        <f t="shared" si="328"/>
        <v>G275</v>
      </c>
      <c r="CC378" t="str">
        <f t="shared" si="314"/>
        <v>R367</v>
      </c>
      <c r="CD378" t="b">
        <f t="shared" si="329"/>
        <v>0</v>
      </c>
      <c r="CE378" t="str">
        <f t="shared" si="330"/>
        <v>R367</v>
      </c>
      <c r="CG378" t="str">
        <f t="shared" si="315"/>
        <v>G842</v>
      </c>
      <c r="CH378" t="str">
        <f t="shared" si="331"/>
        <v>G842</v>
      </c>
      <c r="CI378" t="str">
        <f t="shared" si="316"/>
        <v>G684</v>
      </c>
      <c r="CJ378" t="str">
        <f t="shared" si="317"/>
        <v>G684</v>
      </c>
      <c r="CK378" t="s">
        <v>1208</v>
      </c>
      <c r="CL378" t="s">
        <v>1208</v>
      </c>
      <c r="CM378" t="s">
        <v>1208</v>
      </c>
      <c r="CN378" t="b">
        <f t="shared" si="332"/>
        <v>1</v>
      </c>
      <c r="CO378" t="str">
        <f t="shared" si="318"/>
        <v>R583</v>
      </c>
      <c r="CP378" t="str">
        <f t="shared" si="333"/>
        <v>R583</v>
      </c>
      <c r="CQ378" t="str">
        <f t="shared" si="319"/>
        <v>R485</v>
      </c>
      <c r="CR378" t="str">
        <f t="shared" si="320"/>
        <v>R485</v>
      </c>
      <c r="CS378" t="s">
        <v>558</v>
      </c>
      <c r="CT378" t="s">
        <v>558</v>
      </c>
      <c r="CU378" t="s">
        <v>558</v>
      </c>
      <c r="CV378" t="b">
        <f t="shared" si="334"/>
        <v>1</v>
      </c>
      <c r="DC378" t="str">
        <f t="shared" si="321"/>
        <v>G684</v>
      </c>
      <c r="DD378" t="b">
        <f t="shared" si="335"/>
        <v>0</v>
      </c>
      <c r="DE378" t="str">
        <f t="shared" si="336"/>
        <v>G684</v>
      </c>
      <c r="DF378" t="str">
        <f t="shared" si="322"/>
        <v>R485</v>
      </c>
      <c r="DG378" t="b">
        <f t="shared" si="337"/>
        <v>0</v>
      </c>
      <c r="DH378" t="str">
        <f t="shared" si="338"/>
        <v>R485</v>
      </c>
    </row>
    <row r="379" spans="2:112" ht="12" customHeight="1">
      <c r="B379" t="str">
        <f>TBIDry!H451</f>
        <v>G65</v>
      </c>
      <c r="C379" t="str">
        <f>TBIDry!I451</f>
        <v>R84</v>
      </c>
      <c r="D379" t="b">
        <f t="shared" si="285"/>
        <v>0</v>
      </c>
      <c r="E379" t="b">
        <f t="shared" si="286"/>
        <v>0</v>
      </c>
      <c r="G379" t="str">
        <f>TBIWet!H451</f>
        <v>G667</v>
      </c>
      <c r="H379" t="str">
        <f>TBIWet!I451</f>
        <v>R464</v>
      </c>
      <c r="I379" t="b">
        <f t="shared" si="287"/>
        <v>0</v>
      </c>
      <c r="J379" t="b">
        <f t="shared" si="288"/>
        <v>0</v>
      </c>
      <c r="L379" t="str">
        <f>'Both teabags AfterWet'!A377</f>
        <v>G846</v>
      </c>
      <c r="M379" t="str">
        <f>'Both teabags AfterWet'!A797</f>
        <v>R585</v>
      </c>
      <c r="N379" t="b">
        <f t="shared" si="289"/>
        <v>0</v>
      </c>
      <c r="O379" t="b">
        <f t="shared" si="339"/>
        <v>0</v>
      </c>
      <c r="Q379" s="388" t="b">
        <f t="shared" si="290"/>
        <v>0</v>
      </c>
      <c r="R379" s="388" t="b">
        <f t="shared" si="291"/>
        <v>0</v>
      </c>
      <c r="Y379" t="str">
        <f>'Green_rooibos initial weight'!A380</f>
        <v>G376</v>
      </c>
      <c r="Z379" t="str">
        <f>'Green_rooibos initial weight'!A1284</f>
        <v>R376</v>
      </c>
      <c r="AA379" t="b">
        <f t="shared" si="293"/>
        <v>0</v>
      </c>
      <c r="AB379" t="b">
        <f t="shared" si="294"/>
        <v>0</v>
      </c>
      <c r="AE379" t="str">
        <f>'WetLitterbags placem_collection'!O158</f>
        <v>G667</v>
      </c>
      <c r="AF379" t="str">
        <f>'WetLitterbags placem_collection'!Q158</f>
        <v>R464</v>
      </c>
      <c r="AG379" t="b">
        <f t="shared" si="295"/>
        <v>0</v>
      </c>
      <c r="AH379" t="b">
        <f t="shared" si="296"/>
        <v>0</v>
      </c>
      <c r="AJ379" t="b">
        <f t="shared" si="297"/>
        <v>0</v>
      </c>
      <c r="AK379" t="b">
        <f t="shared" si="298"/>
        <v>0</v>
      </c>
      <c r="AM379" t="str">
        <f>IF(ISBLANK('Dry_Litterbag Placem_Collection'!L158),"","G"&amp;""&amp;'Dry_Litterbag Placem_Collection'!L158)</f>
        <v>G65</v>
      </c>
      <c r="AN379" t="str">
        <f>IF(ISBLANK('Dry_Litterbag Placem_Collection'!M158),"","R"&amp;""&amp;'Dry_Litterbag Placem_Collection'!M158)</f>
        <v>R84</v>
      </c>
      <c r="AO379" t="b">
        <f t="shared" si="299"/>
        <v>0</v>
      </c>
      <c r="AP379" t="b">
        <f t="shared" si="300"/>
        <v>0</v>
      </c>
      <c r="AX379" s="388" t="b">
        <f t="shared" si="302"/>
        <v>0</v>
      </c>
      <c r="AY379" s="388" t="b">
        <f t="shared" si="303"/>
        <v>0</v>
      </c>
      <c r="BA379" t="str">
        <f>'Ashed teabags wet'!A377</f>
        <v>G846</v>
      </c>
      <c r="BB379" t="str">
        <f>'Ashed teabags wet'!A797</f>
        <v>R585</v>
      </c>
      <c r="BC379" t="b">
        <f t="shared" si="304"/>
        <v>0</v>
      </c>
      <c r="BD379" t="b">
        <f t="shared" si="284"/>
        <v>0</v>
      </c>
      <c r="BH379" t="str">
        <f t="shared" si="307"/>
        <v>G289</v>
      </c>
      <c r="BI379" t="str">
        <f t="shared" si="325"/>
        <v>G289</v>
      </c>
      <c r="BP379" t="str">
        <f t="shared" si="310"/>
        <v>R617</v>
      </c>
      <c r="BQ379" t="str">
        <f t="shared" si="311"/>
        <v>R617</v>
      </c>
      <c r="BZ379" t="str">
        <f t="shared" si="312"/>
        <v>G289</v>
      </c>
      <c r="CA379" t="b">
        <f t="shared" si="313"/>
        <v>0</v>
      </c>
      <c r="CB379" t="str">
        <f t="shared" si="328"/>
        <v>G289</v>
      </c>
      <c r="CC379" t="str">
        <f t="shared" si="314"/>
        <v>R617</v>
      </c>
      <c r="CD379" t="b">
        <f t="shared" si="329"/>
        <v>0</v>
      </c>
      <c r="CE379" t="str">
        <f t="shared" si="330"/>
        <v>R617</v>
      </c>
      <c r="CG379" t="str">
        <f t="shared" si="315"/>
        <v>G845</v>
      </c>
      <c r="CH379" t="str">
        <f t="shared" si="331"/>
        <v>G845</v>
      </c>
      <c r="CI379" t="str">
        <f t="shared" si="316"/>
        <v>G827</v>
      </c>
      <c r="CJ379" t="str">
        <f t="shared" si="317"/>
        <v>G827</v>
      </c>
      <c r="CK379" t="s">
        <v>1205</v>
      </c>
      <c r="CL379" t="s">
        <v>1205</v>
      </c>
      <c r="CM379" t="s">
        <v>1205</v>
      </c>
      <c r="CN379" t="b">
        <f t="shared" si="332"/>
        <v>1</v>
      </c>
      <c r="CO379" t="str">
        <f t="shared" si="318"/>
        <v>R584</v>
      </c>
      <c r="CP379" t="str">
        <f t="shared" si="333"/>
        <v>R584</v>
      </c>
      <c r="CQ379" t="str">
        <f t="shared" si="319"/>
        <v>R556</v>
      </c>
      <c r="CR379" t="str">
        <f t="shared" si="320"/>
        <v>R556</v>
      </c>
      <c r="CS379" t="s">
        <v>557</v>
      </c>
      <c r="CT379" t="s">
        <v>557</v>
      </c>
      <c r="CU379" t="s">
        <v>557</v>
      </c>
      <c r="CV379" t="b">
        <f t="shared" si="334"/>
        <v>1</v>
      </c>
      <c r="DC379" t="str">
        <f t="shared" si="321"/>
        <v>G827</v>
      </c>
      <c r="DD379" t="b">
        <f t="shared" si="335"/>
        <v>0</v>
      </c>
      <c r="DE379" t="str">
        <f t="shared" si="336"/>
        <v>G827</v>
      </c>
      <c r="DF379" t="str">
        <f t="shared" si="322"/>
        <v>R556</v>
      </c>
      <c r="DG379" t="b">
        <f t="shared" si="337"/>
        <v>0</v>
      </c>
      <c r="DH379" t="str">
        <f t="shared" si="338"/>
        <v>R556</v>
      </c>
    </row>
    <row r="380" spans="2:112" ht="12" customHeight="1">
      <c r="B380" t="str">
        <f>TBIDry!H452</f>
        <v>G33</v>
      </c>
      <c r="C380" t="str">
        <f>TBIDry!I452</f>
        <v>R248</v>
      </c>
      <c r="D380" t="b">
        <f t="shared" si="285"/>
        <v>0</v>
      </c>
      <c r="E380" t="b">
        <f t="shared" si="286"/>
        <v>0</v>
      </c>
      <c r="G380" t="str">
        <f>TBIWet!H452</f>
        <v>G777</v>
      </c>
      <c r="H380" t="str">
        <f>TBIWet!I452</f>
        <v>R35</v>
      </c>
      <c r="I380" t="b">
        <f t="shared" si="287"/>
        <v>0</v>
      </c>
      <c r="J380" t="b">
        <f t="shared" si="288"/>
        <v>0</v>
      </c>
      <c r="L380" t="str">
        <f>'Both teabags AfterWet'!A378</f>
        <v>G847</v>
      </c>
      <c r="M380" t="str">
        <f>'Both teabags AfterWet'!A798</f>
        <v>R587</v>
      </c>
      <c r="N380" t="b">
        <f t="shared" si="289"/>
        <v>0</v>
      </c>
      <c r="O380" t="b">
        <f t="shared" si="339"/>
        <v>0</v>
      </c>
      <c r="Q380" s="388" t="b">
        <f t="shared" si="290"/>
        <v>0</v>
      </c>
      <c r="R380" s="388" t="b">
        <f t="shared" si="291"/>
        <v>0</v>
      </c>
      <c r="Y380" t="str">
        <f>'Green_rooibos initial weight'!A381</f>
        <v>G377</v>
      </c>
      <c r="Z380" t="str">
        <f>'Green_rooibos initial weight'!A1285</f>
        <v>R377</v>
      </c>
      <c r="AA380" t="b">
        <f t="shared" si="293"/>
        <v>0</v>
      </c>
      <c r="AB380" t="b">
        <f t="shared" si="294"/>
        <v>0</v>
      </c>
      <c r="AE380" t="str">
        <f>'WetLitterbags placem_collection'!O159</f>
        <v>G777</v>
      </c>
      <c r="AF380" t="str">
        <f>'WetLitterbags placem_collection'!Q159</f>
        <v>R35</v>
      </c>
      <c r="AG380" t="b">
        <f t="shared" si="295"/>
        <v>0</v>
      </c>
      <c r="AH380" t="b">
        <f t="shared" si="296"/>
        <v>0</v>
      </c>
      <c r="AJ380" t="b">
        <f t="shared" si="297"/>
        <v>0</v>
      </c>
      <c r="AK380" t="b">
        <f t="shared" si="298"/>
        <v>0</v>
      </c>
      <c r="AM380" t="str">
        <f>IF(ISBLANK('Dry_Litterbag Placem_Collection'!L159),"","G"&amp;""&amp;'Dry_Litterbag Placem_Collection'!L159)</f>
        <v>G33</v>
      </c>
      <c r="AN380" t="str">
        <f>IF(ISBLANK('Dry_Litterbag Placem_Collection'!M159),"","R"&amp;""&amp;'Dry_Litterbag Placem_Collection'!M159)</f>
        <v>R248</v>
      </c>
      <c r="AO380" t="b">
        <f t="shared" si="299"/>
        <v>0</v>
      </c>
      <c r="AP380" t="b">
        <f t="shared" si="300"/>
        <v>0</v>
      </c>
      <c r="AX380" s="388" t="b">
        <f t="shared" si="302"/>
        <v>0</v>
      </c>
      <c r="AY380" s="388" t="b">
        <f t="shared" si="303"/>
        <v>0</v>
      </c>
      <c r="BA380" t="str">
        <f>'Ashed teabags wet'!A378</f>
        <v>G847</v>
      </c>
      <c r="BB380" t="str">
        <f>'Ashed teabags wet'!A798</f>
        <v>R587</v>
      </c>
      <c r="BC380" t="b">
        <f t="shared" si="304"/>
        <v>0</v>
      </c>
      <c r="BD380" t="b">
        <f t="shared" si="284"/>
        <v>0</v>
      </c>
      <c r="BH380" t="str">
        <f t="shared" si="307"/>
        <v>G65</v>
      </c>
      <c r="BI380" t="str">
        <f t="shared" si="325"/>
        <v>G65</v>
      </c>
      <c r="BP380" t="str">
        <f t="shared" si="310"/>
        <v>R84</v>
      </c>
      <c r="BQ380" t="str">
        <f t="shared" si="311"/>
        <v>R84</v>
      </c>
      <c r="BZ380" t="str">
        <f t="shared" si="312"/>
        <v>G65</v>
      </c>
      <c r="CA380" t="b">
        <f t="shared" si="313"/>
        <v>0</v>
      </c>
      <c r="CB380" t="str">
        <f t="shared" si="328"/>
        <v>G65</v>
      </c>
      <c r="CC380" t="str">
        <f t="shared" si="314"/>
        <v>R84</v>
      </c>
      <c r="CD380" t="b">
        <f t="shared" si="329"/>
        <v>0</v>
      </c>
      <c r="CE380" t="str">
        <f t="shared" si="330"/>
        <v>R84</v>
      </c>
      <c r="CG380" t="str">
        <f t="shared" si="315"/>
        <v>G846</v>
      </c>
      <c r="CH380" t="str">
        <f t="shared" si="331"/>
        <v>G846</v>
      </c>
      <c r="CI380" t="str">
        <f t="shared" si="316"/>
        <v>G667</v>
      </c>
      <c r="CJ380" t="str">
        <f t="shared" si="317"/>
        <v>G667</v>
      </c>
      <c r="CK380" t="s">
        <v>1204</v>
      </c>
      <c r="CL380" t="s">
        <v>1204</v>
      </c>
      <c r="CM380" t="s">
        <v>1204</v>
      </c>
      <c r="CN380" t="b">
        <f t="shared" si="332"/>
        <v>1</v>
      </c>
      <c r="CO380" t="str">
        <f t="shared" si="318"/>
        <v>R585</v>
      </c>
      <c r="CP380" t="str">
        <f t="shared" si="333"/>
        <v>R585</v>
      </c>
      <c r="CQ380" t="str">
        <f t="shared" si="319"/>
        <v>R464</v>
      </c>
      <c r="CR380" t="str">
        <f t="shared" si="320"/>
        <v>R464</v>
      </c>
      <c r="CS380" t="s">
        <v>556</v>
      </c>
      <c r="CT380" t="s">
        <v>556</v>
      </c>
      <c r="CU380" t="s">
        <v>556</v>
      </c>
      <c r="CV380" t="b">
        <f t="shared" si="334"/>
        <v>1</v>
      </c>
      <c r="DC380" t="str">
        <f t="shared" si="321"/>
        <v>G667</v>
      </c>
      <c r="DD380" t="b">
        <f t="shared" si="335"/>
        <v>0</v>
      </c>
      <c r="DE380" t="str">
        <f t="shared" si="336"/>
        <v>G667</v>
      </c>
      <c r="DF380" t="str">
        <f t="shared" si="322"/>
        <v>R464</v>
      </c>
      <c r="DG380" t="b">
        <f t="shared" si="337"/>
        <v>0</v>
      </c>
      <c r="DH380" t="str">
        <f t="shared" si="338"/>
        <v>R464</v>
      </c>
    </row>
    <row r="381" spans="2:112" ht="12" customHeight="1">
      <c r="B381" t="str">
        <f>TBIDry!H453</f>
        <v>G153</v>
      </c>
      <c r="C381" t="str">
        <f>TBIDry!I453</f>
        <v>R238</v>
      </c>
      <c r="D381" t="b">
        <f t="shared" si="285"/>
        <v>0</v>
      </c>
      <c r="E381" t="b">
        <f t="shared" si="286"/>
        <v>0</v>
      </c>
      <c r="G381" t="str">
        <f>TBIWet!H453</f>
        <v>G884</v>
      </c>
      <c r="H381" t="str">
        <f>TBIWet!I453</f>
        <v>R570</v>
      </c>
      <c r="I381" t="b">
        <f t="shared" si="287"/>
        <v>0</v>
      </c>
      <c r="J381" t="b">
        <f t="shared" si="288"/>
        <v>0</v>
      </c>
      <c r="L381" t="str">
        <f>'Both teabags AfterWet'!A379</f>
        <v>G849</v>
      </c>
      <c r="M381" t="str">
        <f>'Both teabags AfterWet'!A799</f>
        <v>R588</v>
      </c>
      <c r="N381" t="b">
        <f t="shared" si="289"/>
        <v>0</v>
      </c>
      <c r="O381" t="b">
        <f t="shared" si="339"/>
        <v>0</v>
      </c>
      <c r="Q381" s="388" t="b">
        <f t="shared" si="290"/>
        <v>0</v>
      </c>
      <c r="R381" s="388" t="b">
        <f t="shared" si="291"/>
        <v>0</v>
      </c>
      <c r="Y381" t="str">
        <f>'Green_rooibos initial weight'!A382</f>
        <v>G378</v>
      </c>
      <c r="Z381" t="str">
        <f>'Green_rooibos initial weight'!A1286</f>
        <v>R378</v>
      </c>
      <c r="AA381" t="b">
        <f t="shared" si="293"/>
        <v>0</v>
      </c>
      <c r="AB381" t="b">
        <f t="shared" si="294"/>
        <v>0</v>
      </c>
      <c r="AE381" t="str">
        <f>'WetLitterbags placem_collection'!O160</f>
        <v>G884</v>
      </c>
      <c r="AF381" t="str">
        <f>'WetLitterbags placem_collection'!Q160</f>
        <v>R570</v>
      </c>
      <c r="AG381" t="b">
        <f t="shared" si="295"/>
        <v>0</v>
      </c>
      <c r="AH381" t="b">
        <f t="shared" si="296"/>
        <v>0</v>
      </c>
      <c r="AJ381" t="b">
        <f t="shared" si="297"/>
        <v>0</v>
      </c>
      <c r="AK381" t="b">
        <f t="shared" si="298"/>
        <v>0</v>
      </c>
      <c r="AM381" t="str">
        <f>IF(ISBLANK('Dry_Litterbag Placem_Collection'!L160),"","G"&amp;""&amp;'Dry_Litterbag Placem_Collection'!L160)</f>
        <v>G153</v>
      </c>
      <c r="AN381" t="str">
        <f>IF(ISBLANK('Dry_Litterbag Placem_Collection'!M160),"","R"&amp;""&amp;'Dry_Litterbag Placem_Collection'!M160)</f>
        <v>R238</v>
      </c>
      <c r="AO381" t="b">
        <f t="shared" si="299"/>
        <v>0</v>
      </c>
      <c r="AP381" t="b">
        <f t="shared" si="300"/>
        <v>0</v>
      </c>
      <c r="AX381" s="388" t="b">
        <f t="shared" si="302"/>
        <v>0</v>
      </c>
      <c r="AY381" s="388" t="b">
        <f t="shared" si="303"/>
        <v>0</v>
      </c>
      <c r="BA381" t="str">
        <f>'Ashed teabags wet'!A379</f>
        <v>G849</v>
      </c>
      <c r="BB381" t="str">
        <f>'Ashed teabags wet'!A799</f>
        <v>R588</v>
      </c>
      <c r="BC381" t="b">
        <f t="shared" si="304"/>
        <v>0</v>
      </c>
      <c r="BD381" t="b">
        <f t="shared" si="284"/>
        <v>0</v>
      </c>
      <c r="BH381" t="str">
        <f t="shared" si="307"/>
        <v>G33</v>
      </c>
      <c r="BI381" t="str">
        <f t="shared" si="325"/>
        <v/>
      </c>
      <c r="BP381" t="str">
        <f t="shared" si="310"/>
        <v>R248</v>
      </c>
      <c r="BQ381" t="str">
        <f t="shared" si="311"/>
        <v/>
      </c>
      <c r="BZ381" t="str">
        <f t="shared" si="312"/>
        <v>G33</v>
      </c>
      <c r="CA381" t="b">
        <f t="shared" si="313"/>
        <v>1</v>
      </c>
      <c r="CB381" t="str">
        <f t="shared" si="328"/>
        <v/>
      </c>
      <c r="CC381" t="str">
        <f t="shared" si="314"/>
        <v>R248</v>
      </c>
      <c r="CD381" t="b">
        <f t="shared" si="329"/>
        <v>1</v>
      </c>
      <c r="CE381" t="str">
        <f t="shared" si="330"/>
        <v/>
      </c>
      <c r="CG381" t="str">
        <f t="shared" si="315"/>
        <v>G847</v>
      </c>
      <c r="CH381" t="str">
        <f t="shared" si="331"/>
        <v>G847</v>
      </c>
      <c r="CI381" t="str">
        <f t="shared" si="316"/>
        <v>G777</v>
      </c>
      <c r="CJ381" t="str">
        <f t="shared" si="317"/>
        <v>G777</v>
      </c>
      <c r="CK381" t="s">
        <v>1203</v>
      </c>
      <c r="CL381" t="s">
        <v>1203</v>
      </c>
      <c r="CM381" t="s">
        <v>1203</v>
      </c>
      <c r="CN381" t="b">
        <f t="shared" si="332"/>
        <v>1</v>
      </c>
      <c r="CO381" t="str">
        <f t="shared" si="318"/>
        <v>R587</v>
      </c>
      <c r="CP381" t="str">
        <f t="shared" si="333"/>
        <v>R587</v>
      </c>
      <c r="CQ381" t="str">
        <f t="shared" si="319"/>
        <v>R35</v>
      </c>
      <c r="CR381" t="str">
        <f t="shared" si="320"/>
        <v>R35</v>
      </c>
      <c r="CS381" t="s">
        <v>554</v>
      </c>
      <c r="CT381" t="s">
        <v>554</v>
      </c>
      <c r="CU381" t="s">
        <v>554</v>
      </c>
      <c r="CV381" t="b">
        <f t="shared" si="334"/>
        <v>1</v>
      </c>
      <c r="DC381" t="str">
        <f t="shared" si="321"/>
        <v>G777</v>
      </c>
      <c r="DD381" t="b">
        <f t="shared" si="335"/>
        <v>0</v>
      </c>
      <c r="DE381" t="str">
        <f t="shared" si="336"/>
        <v>G777</v>
      </c>
      <c r="DF381" t="str">
        <f t="shared" si="322"/>
        <v>R35</v>
      </c>
      <c r="DG381" t="b">
        <f t="shared" si="337"/>
        <v>0</v>
      </c>
      <c r="DH381" t="str">
        <f t="shared" si="338"/>
        <v>R35</v>
      </c>
    </row>
    <row r="382" spans="2:112" ht="12" customHeight="1">
      <c r="B382" t="str">
        <f>TBIDry!H454</f>
        <v/>
      </c>
      <c r="C382" t="str">
        <f>TBIDry!I454</f>
        <v/>
      </c>
      <c r="D382" t="b">
        <f t="shared" si="285"/>
        <v>1</v>
      </c>
      <c r="E382" t="b">
        <f t="shared" si="286"/>
        <v>1</v>
      </c>
      <c r="G382" t="str">
        <f>TBIWet!H454</f>
        <v>G731</v>
      </c>
      <c r="H382" t="str">
        <f>TBIWet!I454</f>
        <v>R439</v>
      </c>
      <c r="I382" t="b">
        <f t="shared" si="287"/>
        <v>0</v>
      </c>
      <c r="J382" t="b">
        <f t="shared" si="288"/>
        <v>0</v>
      </c>
      <c r="L382" t="str">
        <f>'Both teabags AfterWet'!A380</f>
        <v>G850</v>
      </c>
      <c r="M382" t="str">
        <f>'Both teabags AfterWet'!A800</f>
        <v>R589</v>
      </c>
      <c r="N382" t="b">
        <f t="shared" si="289"/>
        <v>0</v>
      </c>
      <c r="O382" t="b">
        <f t="shared" si="339"/>
        <v>0</v>
      </c>
      <c r="Q382" s="388" t="b">
        <f t="shared" si="290"/>
        <v>0</v>
      </c>
      <c r="R382" s="388" t="b">
        <f t="shared" si="291"/>
        <v>0</v>
      </c>
      <c r="Y382" t="str">
        <f>'Green_rooibos initial weight'!A383</f>
        <v>G379</v>
      </c>
      <c r="Z382" t="str">
        <f>'Green_rooibos initial weight'!A1287</f>
        <v>R379</v>
      </c>
      <c r="AA382" t="b">
        <f t="shared" si="293"/>
        <v>0</v>
      </c>
      <c r="AB382" t="b">
        <f t="shared" si="294"/>
        <v>0</v>
      </c>
      <c r="AE382" t="str">
        <f>'WetLitterbags placem_collection'!O161</f>
        <v>G731</v>
      </c>
      <c r="AF382" t="str">
        <f>'WetLitterbags placem_collection'!Q161</f>
        <v>R439</v>
      </c>
      <c r="AG382" t="b">
        <f t="shared" si="295"/>
        <v>0</v>
      </c>
      <c r="AH382" t="b">
        <f t="shared" si="296"/>
        <v>0</v>
      </c>
      <c r="AJ382" t="b">
        <f t="shared" si="297"/>
        <v>0</v>
      </c>
      <c r="AK382" t="b">
        <f t="shared" si="298"/>
        <v>0</v>
      </c>
      <c r="AM382" t="str">
        <f>IF(ISBLANK('Dry_Litterbag Placem_Collection'!L161),"","G"&amp;""&amp;'Dry_Litterbag Placem_Collection'!L161)</f>
        <v/>
      </c>
      <c r="AN382" t="str">
        <f>IF(ISBLANK('Dry_Litterbag Placem_Collection'!M161),"","R"&amp;""&amp;'Dry_Litterbag Placem_Collection'!M161)</f>
        <v/>
      </c>
      <c r="AO382" t="b">
        <f t="shared" si="299"/>
        <v>1</v>
      </c>
      <c r="AP382" t="b">
        <f t="shared" si="300"/>
        <v>1</v>
      </c>
      <c r="AX382" s="388" t="b">
        <f t="shared" si="302"/>
        <v>0</v>
      </c>
      <c r="AY382" s="388" t="b">
        <f t="shared" si="303"/>
        <v>0</v>
      </c>
      <c r="BA382" t="str">
        <f>'Ashed teabags wet'!A380</f>
        <v>G850</v>
      </c>
      <c r="BB382" t="str">
        <f>'Ashed teabags wet'!A800</f>
        <v>R589</v>
      </c>
      <c r="BC382" t="b">
        <f t="shared" si="304"/>
        <v>0</v>
      </c>
      <c r="BD382" t="b">
        <f t="shared" si="284"/>
        <v>0</v>
      </c>
      <c r="BH382" t="str">
        <f t="shared" si="307"/>
        <v>G153</v>
      </c>
      <c r="BI382" t="str">
        <f t="shared" si="325"/>
        <v>G153</v>
      </c>
      <c r="BP382" t="str">
        <f t="shared" si="310"/>
        <v>R238</v>
      </c>
      <c r="BQ382" t="str">
        <f t="shared" si="311"/>
        <v>R238</v>
      </c>
      <c r="BZ382" t="str">
        <f t="shared" si="312"/>
        <v>G153</v>
      </c>
      <c r="CA382" t="b">
        <f t="shared" si="313"/>
        <v>0</v>
      </c>
      <c r="CB382" t="str">
        <f t="shared" si="328"/>
        <v>G153</v>
      </c>
      <c r="CC382" t="str">
        <f t="shared" si="314"/>
        <v>R238</v>
      </c>
      <c r="CD382" t="b">
        <f t="shared" si="329"/>
        <v>0</v>
      </c>
      <c r="CE382" t="str">
        <f t="shared" si="330"/>
        <v>R238</v>
      </c>
      <c r="CG382" t="str">
        <f t="shared" si="315"/>
        <v>G849</v>
      </c>
      <c r="CH382" t="str">
        <f t="shared" si="331"/>
        <v>G849</v>
      </c>
      <c r="CI382" t="str">
        <f t="shared" si="316"/>
        <v>G884</v>
      </c>
      <c r="CJ382" t="str">
        <f t="shared" si="317"/>
        <v>G884</v>
      </c>
      <c r="CK382" t="s">
        <v>1201</v>
      </c>
      <c r="CL382" t="s">
        <v>1201</v>
      </c>
      <c r="CM382" t="s">
        <v>1201</v>
      </c>
      <c r="CN382" t="b">
        <f t="shared" si="332"/>
        <v>1</v>
      </c>
      <c r="CO382" t="str">
        <f t="shared" si="318"/>
        <v>R588</v>
      </c>
      <c r="CP382" t="str">
        <f t="shared" si="333"/>
        <v>R588</v>
      </c>
      <c r="CQ382" t="str">
        <f t="shared" si="319"/>
        <v>R570</v>
      </c>
      <c r="CR382" t="str">
        <f t="shared" si="320"/>
        <v>R570</v>
      </c>
      <c r="CS382" t="s">
        <v>553</v>
      </c>
      <c r="CT382" t="s">
        <v>553</v>
      </c>
      <c r="CU382" t="s">
        <v>553</v>
      </c>
      <c r="CV382" t="b">
        <f t="shared" si="334"/>
        <v>1</v>
      </c>
      <c r="DC382" t="str">
        <f t="shared" si="321"/>
        <v>G884</v>
      </c>
      <c r="DD382" t="b">
        <f t="shared" si="335"/>
        <v>0</v>
      </c>
      <c r="DE382" t="str">
        <f t="shared" si="336"/>
        <v>G884</v>
      </c>
      <c r="DF382" t="str">
        <f t="shared" si="322"/>
        <v>R570</v>
      </c>
      <c r="DG382" t="b">
        <f t="shared" si="337"/>
        <v>0</v>
      </c>
      <c r="DH382" t="str">
        <f t="shared" si="338"/>
        <v>R570</v>
      </c>
    </row>
    <row r="383" spans="2:112" ht="12" customHeight="1">
      <c r="B383" t="str">
        <f>TBIDry!H455</f>
        <v>G175</v>
      </c>
      <c r="C383" t="str">
        <f>TBIDry!I455</f>
        <v>R350</v>
      </c>
      <c r="D383" t="b">
        <f t="shared" si="285"/>
        <v>0</v>
      </c>
      <c r="E383" t="b">
        <f t="shared" si="286"/>
        <v>0</v>
      </c>
      <c r="G383" t="str">
        <f>TBIWet!H455</f>
        <v>G876</v>
      </c>
      <c r="H383" t="str">
        <f>TBIWet!I455</f>
        <v>R461</v>
      </c>
      <c r="I383" t="b">
        <f t="shared" si="287"/>
        <v>0</v>
      </c>
      <c r="J383" t="b">
        <f t="shared" si="288"/>
        <v>0</v>
      </c>
      <c r="L383" t="str">
        <f>'Both teabags AfterWet'!A381</f>
        <v>G852</v>
      </c>
      <c r="M383" t="str">
        <f>'Both teabags AfterWet'!A801</f>
        <v>R59</v>
      </c>
      <c r="N383" t="b">
        <f t="shared" si="289"/>
        <v>0</v>
      </c>
      <c r="O383" t="b">
        <f t="shared" si="339"/>
        <v>0</v>
      </c>
      <c r="Q383" s="388" t="b">
        <f t="shared" si="290"/>
        <v>0</v>
      </c>
      <c r="R383" s="388" t="b">
        <f t="shared" si="291"/>
        <v>0</v>
      </c>
      <c r="Y383" t="str">
        <f>'Green_rooibos initial weight'!A384</f>
        <v>G380</v>
      </c>
      <c r="Z383" t="str">
        <f>'Green_rooibos initial weight'!A1288</f>
        <v>R380</v>
      </c>
      <c r="AA383" t="b">
        <f t="shared" si="293"/>
        <v>0</v>
      </c>
      <c r="AB383" t="b">
        <f t="shared" si="294"/>
        <v>0</v>
      </c>
      <c r="AE383" t="str">
        <f>'WetLitterbags placem_collection'!O162</f>
        <v>G876</v>
      </c>
      <c r="AF383" t="str">
        <f>'WetLitterbags placem_collection'!Q162</f>
        <v>R461</v>
      </c>
      <c r="AG383" t="b">
        <f t="shared" si="295"/>
        <v>0</v>
      </c>
      <c r="AH383" t="b">
        <f t="shared" si="296"/>
        <v>0</v>
      </c>
      <c r="AJ383" t="b">
        <f t="shared" si="297"/>
        <v>0</v>
      </c>
      <c r="AK383" t="b">
        <f t="shared" si="298"/>
        <v>0</v>
      </c>
      <c r="AM383" t="str">
        <f>IF(ISBLANK('Dry_Litterbag Placem_Collection'!L162),"","G"&amp;""&amp;'Dry_Litterbag Placem_Collection'!L162)</f>
        <v>G175</v>
      </c>
      <c r="AN383" t="str">
        <f>IF(ISBLANK('Dry_Litterbag Placem_Collection'!M162),"","R"&amp;""&amp;'Dry_Litterbag Placem_Collection'!M162)</f>
        <v>R350</v>
      </c>
      <c r="AO383" t="b">
        <f t="shared" si="299"/>
        <v>0</v>
      </c>
      <c r="AP383" t="b">
        <f t="shared" si="300"/>
        <v>0</v>
      </c>
      <c r="AX383" s="388" t="b">
        <f t="shared" si="302"/>
        <v>0</v>
      </c>
      <c r="AY383" s="388" t="b">
        <f t="shared" si="303"/>
        <v>0</v>
      </c>
      <c r="BA383" t="str">
        <f>'Ashed teabags wet'!A381</f>
        <v>G852</v>
      </c>
      <c r="BB383" t="str">
        <f>'Ashed teabags wet'!A801</f>
        <v>R59</v>
      </c>
      <c r="BC383" t="b">
        <f t="shared" si="304"/>
        <v>0</v>
      </c>
      <c r="BD383" t="b">
        <f t="shared" si="284"/>
        <v>0</v>
      </c>
      <c r="BH383" t="str">
        <f t="shared" si="307"/>
        <v/>
      </c>
      <c r="BI383" t="str">
        <f t="shared" si="325"/>
        <v/>
      </c>
      <c r="BP383" t="str">
        <f t="shared" si="310"/>
        <v/>
      </c>
      <c r="BQ383" t="str">
        <f t="shared" si="311"/>
        <v/>
      </c>
      <c r="BZ383" t="str">
        <f t="shared" si="312"/>
        <v/>
      </c>
      <c r="CA383" t="b">
        <f t="shared" si="313"/>
        <v>0</v>
      </c>
      <c r="CB383" t="str">
        <f t="shared" si="328"/>
        <v/>
      </c>
      <c r="CC383" t="str">
        <f t="shared" si="314"/>
        <v/>
      </c>
      <c r="CD383" t="b">
        <f t="shared" si="329"/>
        <v>0</v>
      </c>
      <c r="CE383" t="str">
        <f t="shared" si="330"/>
        <v/>
      </c>
      <c r="CG383" t="str">
        <f t="shared" si="315"/>
        <v>G850</v>
      </c>
      <c r="CH383" t="str">
        <f t="shared" si="331"/>
        <v>G850</v>
      </c>
      <c r="CI383" t="str">
        <f t="shared" si="316"/>
        <v>G731</v>
      </c>
      <c r="CJ383" t="str">
        <f t="shared" si="317"/>
        <v/>
      </c>
      <c r="CK383" t="s">
        <v>1200</v>
      </c>
      <c r="CL383" t="s">
        <v>1200</v>
      </c>
      <c r="CM383" t="s">
        <v>1200</v>
      </c>
      <c r="CN383" t="b">
        <f t="shared" si="332"/>
        <v>1</v>
      </c>
      <c r="CO383" t="str">
        <f t="shared" si="318"/>
        <v>R589</v>
      </c>
      <c r="CP383" t="str">
        <f t="shared" si="333"/>
        <v>R589</v>
      </c>
      <c r="CQ383" t="str">
        <f t="shared" si="319"/>
        <v>R439</v>
      </c>
      <c r="CR383" t="str">
        <f t="shared" si="320"/>
        <v/>
      </c>
      <c r="CS383" t="s">
        <v>552</v>
      </c>
      <c r="CT383" t="s">
        <v>552</v>
      </c>
      <c r="CU383" t="s">
        <v>552</v>
      </c>
      <c r="CV383" t="b">
        <f t="shared" si="334"/>
        <v>1</v>
      </c>
      <c r="DC383" t="str">
        <f t="shared" si="321"/>
        <v>G731</v>
      </c>
      <c r="DD383" t="b">
        <f t="shared" si="335"/>
        <v>1</v>
      </c>
      <c r="DE383" t="str">
        <f t="shared" si="336"/>
        <v/>
      </c>
      <c r="DF383" t="str">
        <f t="shared" si="322"/>
        <v>R439</v>
      </c>
      <c r="DG383" t="b">
        <f t="shared" si="337"/>
        <v>1</v>
      </c>
      <c r="DH383" t="str">
        <f t="shared" si="338"/>
        <v/>
      </c>
    </row>
    <row r="384" spans="2:112" ht="12" customHeight="1">
      <c r="B384" t="str">
        <f>TBIDry!H456</f>
        <v>G207</v>
      </c>
      <c r="C384" t="str">
        <f>TBIDry!I456</f>
        <v>R314</v>
      </c>
      <c r="D384" t="b">
        <f t="shared" si="285"/>
        <v>0</v>
      </c>
      <c r="E384" t="b">
        <f t="shared" si="286"/>
        <v>0</v>
      </c>
      <c r="G384" t="str">
        <f>TBIWet!H456</f>
        <v>G351</v>
      </c>
      <c r="H384" t="str">
        <f>TBIWet!I456</f>
        <v>R253</v>
      </c>
      <c r="I384" t="b">
        <f t="shared" si="287"/>
        <v>0</v>
      </c>
      <c r="J384" t="b">
        <f t="shared" si="288"/>
        <v>0</v>
      </c>
      <c r="L384" t="str">
        <f>'Both teabags AfterWet'!A382</f>
        <v>G853</v>
      </c>
      <c r="M384" t="str">
        <f>'Both teabags AfterWet'!A802</f>
        <v>R590</v>
      </c>
      <c r="N384" t="b">
        <f t="shared" si="289"/>
        <v>0</v>
      </c>
      <c r="O384" t="b">
        <f t="shared" si="339"/>
        <v>0</v>
      </c>
      <c r="Q384" s="388" t="b">
        <f t="shared" si="290"/>
        <v>0</v>
      </c>
      <c r="R384" s="388" t="b">
        <f t="shared" si="291"/>
        <v>0</v>
      </c>
      <c r="Y384" t="str">
        <f>'Green_rooibos initial weight'!A385</f>
        <v>G381</v>
      </c>
      <c r="Z384" t="str">
        <f>'Green_rooibos initial weight'!A1289</f>
        <v>R381</v>
      </c>
      <c r="AA384" t="b">
        <f t="shared" si="293"/>
        <v>0</v>
      </c>
      <c r="AB384" t="b">
        <f t="shared" si="294"/>
        <v>0</v>
      </c>
      <c r="AE384" t="str">
        <f>'WetLitterbags placem_collection'!O163</f>
        <v>G351</v>
      </c>
      <c r="AF384" t="str">
        <f>'WetLitterbags placem_collection'!Q163</f>
        <v>R253</v>
      </c>
      <c r="AG384" t="b">
        <f t="shared" si="295"/>
        <v>0</v>
      </c>
      <c r="AH384" t="b">
        <f t="shared" si="296"/>
        <v>0</v>
      </c>
      <c r="AJ384" t="b">
        <f t="shared" si="297"/>
        <v>0</v>
      </c>
      <c r="AK384" t="b">
        <f t="shared" si="298"/>
        <v>0</v>
      </c>
      <c r="AM384" t="str">
        <f>IF(ISBLANK('Dry_Litterbag Placem_Collection'!L163),"","G"&amp;""&amp;'Dry_Litterbag Placem_Collection'!L163)</f>
        <v>G207</v>
      </c>
      <c r="AN384" t="str">
        <f>IF(ISBLANK('Dry_Litterbag Placem_Collection'!M163),"","R"&amp;""&amp;'Dry_Litterbag Placem_Collection'!M163)</f>
        <v>R314</v>
      </c>
      <c r="AO384" t="b">
        <f t="shared" si="299"/>
        <v>0</v>
      </c>
      <c r="AP384" t="b">
        <f t="shared" si="300"/>
        <v>0</v>
      </c>
      <c r="AX384" s="388" t="b">
        <f t="shared" si="302"/>
        <v>0</v>
      </c>
      <c r="AY384" s="388" t="b">
        <f t="shared" si="303"/>
        <v>0</v>
      </c>
      <c r="BA384" t="str">
        <f>'Ashed teabags wet'!A382</f>
        <v>G853</v>
      </c>
      <c r="BB384" t="str">
        <f>'Ashed teabags wet'!A802</f>
        <v>R590</v>
      </c>
      <c r="BC384" t="b">
        <f t="shared" si="304"/>
        <v>0</v>
      </c>
      <c r="BD384" t="b">
        <f t="shared" si="284"/>
        <v>0</v>
      </c>
      <c r="BH384" t="str">
        <f t="shared" si="307"/>
        <v>G175</v>
      </c>
      <c r="BI384" t="str">
        <f t="shared" si="325"/>
        <v>G175</v>
      </c>
      <c r="BP384" t="str">
        <f t="shared" si="310"/>
        <v>R350</v>
      </c>
      <c r="BQ384" t="str">
        <f t="shared" si="311"/>
        <v>R350</v>
      </c>
      <c r="BZ384" t="str">
        <f t="shared" si="312"/>
        <v>G175</v>
      </c>
      <c r="CA384" t="b">
        <f t="shared" si="313"/>
        <v>0</v>
      </c>
      <c r="CB384" t="str">
        <f t="shared" si="328"/>
        <v>G175</v>
      </c>
      <c r="CC384" t="str">
        <f t="shared" si="314"/>
        <v>R350</v>
      </c>
      <c r="CD384" t="b">
        <f t="shared" si="329"/>
        <v>0</v>
      </c>
      <c r="CE384" t="str">
        <f t="shared" si="330"/>
        <v>R350</v>
      </c>
      <c r="CG384" t="str">
        <f t="shared" si="315"/>
        <v>G852</v>
      </c>
      <c r="CH384" t="str">
        <f t="shared" si="331"/>
        <v>G852</v>
      </c>
      <c r="CI384" t="str">
        <f t="shared" si="316"/>
        <v>G876</v>
      </c>
      <c r="CJ384" t="str">
        <f t="shared" si="317"/>
        <v>G876</v>
      </c>
      <c r="CK384" t="s">
        <v>1198</v>
      </c>
      <c r="CL384" t="s">
        <v>1198</v>
      </c>
      <c r="CM384" t="s">
        <v>1198</v>
      </c>
      <c r="CN384" t="b">
        <f t="shared" si="332"/>
        <v>1</v>
      </c>
      <c r="CO384" t="str">
        <f t="shared" si="318"/>
        <v>R59</v>
      </c>
      <c r="CP384" t="str">
        <f t="shared" si="333"/>
        <v>R59</v>
      </c>
      <c r="CQ384" t="str">
        <f t="shared" si="319"/>
        <v>R461</v>
      </c>
      <c r="CR384" t="str">
        <f t="shared" si="320"/>
        <v>R461</v>
      </c>
      <c r="CS384" t="s">
        <v>1082</v>
      </c>
      <c r="CT384" t="s">
        <v>1082</v>
      </c>
      <c r="CU384" t="s">
        <v>1082</v>
      </c>
      <c r="CV384" t="b">
        <f t="shared" si="334"/>
        <v>1</v>
      </c>
      <c r="DC384" t="str">
        <f t="shared" si="321"/>
        <v>G876</v>
      </c>
      <c r="DD384" t="b">
        <f t="shared" si="335"/>
        <v>0</v>
      </c>
      <c r="DE384" t="str">
        <f t="shared" si="336"/>
        <v>G876</v>
      </c>
      <c r="DF384" t="str">
        <f t="shared" si="322"/>
        <v>R461</v>
      </c>
      <c r="DG384" t="b">
        <f t="shared" si="337"/>
        <v>0</v>
      </c>
      <c r="DH384" t="str">
        <f t="shared" si="338"/>
        <v>R461</v>
      </c>
    </row>
    <row r="385" spans="2:112" ht="12" customHeight="1">
      <c r="B385" t="str">
        <f>TBIDry!H457</f>
        <v>G580</v>
      </c>
      <c r="C385" t="str">
        <f>TBIDry!I457</f>
        <v>R425</v>
      </c>
      <c r="D385" t="b">
        <f t="shared" si="285"/>
        <v>0</v>
      </c>
      <c r="E385" t="b">
        <f t="shared" si="286"/>
        <v>0</v>
      </c>
      <c r="G385" t="str">
        <f>TBIWet!H457</f>
        <v>G442</v>
      </c>
      <c r="H385" t="str">
        <f>TBIWet!I457</f>
        <v>R285</v>
      </c>
      <c r="I385" t="b">
        <f t="shared" si="287"/>
        <v>0</v>
      </c>
      <c r="J385" t="b">
        <f t="shared" si="288"/>
        <v>0</v>
      </c>
      <c r="L385" t="str">
        <f>'Both teabags AfterWet'!A383</f>
        <v>G856</v>
      </c>
      <c r="M385" t="str">
        <f>'Both teabags AfterWet'!A803</f>
        <v>R591</v>
      </c>
      <c r="N385" t="b">
        <f t="shared" si="289"/>
        <v>0</v>
      </c>
      <c r="O385" t="b">
        <f t="shared" si="339"/>
        <v>0</v>
      </c>
      <c r="Q385" s="388" t="b">
        <f t="shared" si="290"/>
        <v>0</v>
      </c>
      <c r="R385" s="388" t="b">
        <f t="shared" si="291"/>
        <v>0</v>
      </c>
      <c r="Y385" t="str">
        <f>'Green_rooibos initial weight'!A386</f>
        <v>G382</v>
      </c>
      <c r="Z385" t="str">
        <f>'Green_rooibos initial weight'!A1290</f>
        <v>R382</v>
      </c>
      <c r="AA385" t="b">
        <f t="shared" si="293"/>
        <v>0</v>
      </c>
      <c r="AB385" t="b">
        <f t="shared" si="294"/>
        <v>0</v>
      </c>
      <c r="AE385" t="str">
        <f>'WetLitterbags placem_collection'!O164</f>
        <v>G442</v>
      </c>
      <c r="AF385" t="str">
        <f>'WetLitterbags placem_collection'!Q164</f>
        <v>R285</v>
      </c>
      <c r="AG385" t="b">
        <f t="shared" si="295"/>
        <v>0</v>
      </c>
      <c r="AH385" t="b">
        <f t="shared" si="296"/>
        <v>0</v>
      </c>
      <c r="AJ385" t="b">
        <f t="shared" si="297"/>
        <v>0</v>
      </c>
      <c r="AK385" t="b">
        <f t="shared" si="298"/>
        <v>0</v>
      </c>
      <c r="AM385" t="str">
        <f>IF(ISBLANK('Dry_Litterbag Placem_Collection'!L164),"","G"&amp;""&amp;'Dry_Litterbag Placem_Collection'!L164)</f>
        <v>G580</v>
      </c>
      <c r="AN385" t="str">
        <f>IF(ISBLANK('Dry_Litterbag Placem_Collection'!M164),"","R"&amp;""&amp;'Dry_Litterbag Placem_Collection'!M164)</f>
        <v>R425</v>
      </c>
      <c r="AO385" t="b">
        <f t="shared" si="299"/>
        <v>0</v>
      </c>
      <c r="AP385" t="b">
        <f t="shared" si="300"/>
        <v>0</v>
      </c>
      <c r="AX385" s="388" t="b">
        <f t="shared" si="302"/>
        <v>0</v>
      </c>
      <c r="AY385" s="388" t="b">
        <f t="shared" si="303"/>
        <v>0</v>
      </c>
      <c r="BA385" t="str">
        <f>'Ashed teabags wet'!A383</f>
        <v>G856</v>
      </c>
      <c r="BB385" t="str">
        <f>'Ashed teabags wet'!A803</f>
        <v>R591</v>
      </c>
      <c r="BC385" t="b">
        <f t="shared" si="304"/>
        <v>0</v>
      </c>
      <c r="BD385" t="b">
        <f t="shared" si="284"/>
        <v>0</v>
      </c>
      <c r="BH385" t="str">
        <f t="shared" si="307"/>
        <v>G207</v>
      </c>
      <c r="BI385" t="str">
        <f t="shared" si="325"/>
        <v>G207</v>
      </c>
      <c r="BP385" t="str">
        <f t="shared" si="310"/>
        <v>R314</v>
      </c>
      <c r="BQ385" t="str">
        <f t="shared" si="311"/>
        <v>R314</v>
      </c>
      <c r="BZ385" t="str">
        <f t="shared" si="312"/>
        <v>G207</v>
      </c>
      <c r="CA385" t="b">
        <f t="shared" si="313"/>
        <v>0</v>
      </c>
      <c r="CB385" t="str">
        <f t="shared" si="328"/>
        <v>G207</v>
      </c>
      <c r="CC385" t="str">
        <f t="shared" si="314"/>
        <v>R314</v>
      </c>
      <c r="CD385" t="b">
        <f t="shared" si="329"/>
        <v>0</v>
      </c>
      <c r="CE385" t="str">
        <f t="shared" si="330"/>
        <v>R314</v>
      </c>
      <c r="CG385" t="str">
        <f t="shared" si="315"/>
        <v>G853</v>
      </c>
      <c r="CH385" t="str">
        <f t="shared" si="331"/>
        <v>G853</v>
      </c>
      <c r="CI385" t="str">
        <f t="shared" si="316"/>
        <v>G351</v>
      </c>
      <c r="CJ385" t="str">
        <f t="shared" si="317"/>
        <v>G351</v>
      </c>
      <c r="CK385" t="s">
        <v>1197</v>
      </c>
      <c r="CL385" t="s">
        <v>1197</v>
      </c>
      <c r="CM385" t="s">
        <v>1197</v>
      </c>
      <c r="CN385" t="b">
        <f t="shared" si="332"/>
        <v>1</v>
      </c>
      <c r="CO385" t="str">
        <f t="shared" si="318"/>
        <v>R590</v>
      </c>
      <c r="CP385" t="str">
        <f t="shared" si="333"/>
        <v>R590</v>
      </c>
      <c r="CQ385" t="str">
        <f t="shared" si="319"/>
        <v>R253</v>
      </c>
      <c r="CR385" t="str">
        <f t="shared" si="320"/>
        <v>R253</v>
      </c>
      <c r="CS385" t="s">
        <v>551</v>
      </c>
      <c r="CT385" t="s">
        <v>551</v>
      </c>
      <c r="CU385" t="s">
        <v>551</v>
      </c>
      <c r="CV385" t="b">
        <f t="shared" si="334"/>
        <v>1</v>
      </c>
      <c r="DC385" t="str">
        <f t="shared" si="321"/>
        <v>G351</v>
      </c>
      <c r="DD385" t="b">
        <f t="shared" si="335"/>
        <v>0</v>
      </c>
      <c r="DE385" t="str">
        <f t="shared" si="336"/>
        <v>G351</v>
      </c>
      <c r="DF385" t="str">
        <f t="shared" si="322"/>
        <v>R253</v>
      </c>
      <c r="DG385" t="b">
        <f t="shared" si="337"/>
        <v>0</v>
      </c>
      <c r="DH385" t="str">
        <f t="shared" si="338"/>
        <v>R253</v>
      </c>
    </row>
    <row r="386" spans="2:112" ht="12" customHeight="1">
      <c r="B386" t="str">
        <f>TBIDry!H458</f>
        <v>G722</v>
      </c>
      <c r="C386" t="str">
        <f>TBIDry!I458</f>
        <v>R267</v>
      </c>
      <c r="D386" t="b">
        <f t="shared" si="285"/>
        <v>0</v>
      </c>
      <c r="E386" t="b">
        <f t="shared" si="286"/>
        <v>0</v>
      </c>
      <c r="G386" t="str">
        <f>TBIWet!H458</f>
        <v>G743</v>
      </c>
      <c r="H386" t="str">
        <f>TBIWet!I458</f>
        <v>R341</v>
      </c>
      <c r="I386" t="b">
        <f t="shared" si="287"/>
        <v>0</v>
      </c>
      <c r="J386" t="b">
        <f t="shared" si="288"/>
        <v>0</v>
      </c>
      <c r="L386" t="str">
        <f>'Both teabags AfterWet'!A384</f>
        <v>G857</v>
      </c>
      <c r="M386" t="str">
        <f>'Both teabags AfterWet'!A804</f>
        <v>R592</v>
      </c>
      <c r="N386" t="b">
        <f t="shared" si="289"/>
        <v>0</v>
      </c>
      <c r="O386" t="b">
        <f t="shared" si="339"/>
        <v>0</v>
      </c>
      <c r="Q386" s="388" t="b">
        <f t="shared" si="290"/>
        <v>0</v>
      </c>
      <c r="R386" s="388" t="b">
        <f t="shared" si="291"/>
        <v>0</v>
      </c>
      <c r="Y386" t="str">
        <f>'Green_rooibos initial weight'!A387</f>
        <v>G383</v>
      </c>
      <c r="Z386" t="str">
        <f>'Green_rooibos initial weight'!A1291</f>
        <v>R383</v>
      </c>
      <c r="AA386" t="b">
        <f t="shared" si="293"/>
        <v>0</v>
      </c>
      <c r="AB386" t="b">
        <f t="shared" si="294"/>
        <v>0</v>
      </c>
      <c r="AE386" t="str">
        <f>'WetLitterbags placem_collection'!O165</f>
        <v>G743</v>
      </c>
      <c r="AF386" t="str">
        <f>'WetLitterbags placem_collection'!Q165</f>
        <v>R341</v>
      </c>
      <c r="AG386" t="b">
        <f t="shared" si="295"/>
        <v>0</v>
      </c>
      <c r="AH386" t="b">
        <f t="shared" si="296"/>
        <v>0</v>
      </c>
      <c r="AJ386" t="b">
        <f t="shared" si="297"/>
        <v>0</v>
      </c>
      <c r="AK386" t="b">
        <f t="shared" si="298"/>
        <v>0</v>
      </c>
      <c r="AM386" t="str">
        <f>IF(ISBLANK('Dry_Litterbag Placem_Collection'!L165),"","G"&amp;""&amp;'Dry_Litterbag Placem_Collection'!L165)</f>
        <v>G722</v>
      </c>
      <c r="AN386" t="str">
        <f>IF(ISBLANK('Dry_Litterbag Placem_Collection'!M165),"","R"&amp;""&amp;'Dry_Litterbag Placem_Collection'!M165)</f>
        <v>R267</v>
      </c>
      <c r="AO386" t="b">
        <f t="shared" si="299"/>
        <v>0</v>
      </c>
      <c r="AP386" t="b">
        <f t="shared" si="300"/>
        <v>0</v>
      </c>
      <c r="AX386" s="388" t="b">
        <f t="shared" si="302"/>
        <v>0</v>
      </c>
      <c r="AY386" s="388" t="b">
        <f t="shared" si="303"/>
        <v>0</v>
      </c>
      <c r="BA386" t="str">
        <f>'Ashed teabags wet'!A384</f>
        <v>G857</v>
      </c>
      <c r="BB386" t="str">
        <f>'Ashed teabags wet'!A804</f>
        <v>R592</v>
      </c>
      <c r="BC386" t="b">
        <f t="shared" si="304"/>
        <v>0</v>
      </c>
      <c r="BD386" t="b">
        <f t="shared" si="284"/>
        <v>0</v>
      </c>
      <c r="BH386" t="str">
        <f t="shared" si="307"/>
        <v>G580</v>
      </c>
      <c r="BI386" t="str">
        <f t="shared" si="325"/>
        <v>G580</v>
      </c>
      <c r="BP386" t="str">
        <f t="shared" si="310"/>
        <v>R425</v>
      </c>
      <c r="BQ386" t="str">
        <f t="shared" si="311"/>
        <v>R425</v>
      </c>
      <c r="BZ386" t="str">
        <f t="shared" si="312"/>
        <v>G580</v>
      </c>
      <c r="CA386" t="b">
        <f t="shared" si="313"/>
        <v>0</v>
      </c>
      <c r="CB386" t="str">
        <f t="shared" si="328"/>
        <v>G580</v>
      </c>
      <c r="CC386" t="str">
        <f t="shared" si="314"/>
        <v>R425</v>
      </c>
      <c r="CD386" t="b">
        <f t="shared" si="329"/>
        <v>0</v>
      </c>
      <c r="CE386" t="str">
        <f t="shared" si="330"/>
        <v>R425</v>
      </c>
      <c r="CG386" t="str">
        <f t="shared" si="315"/>
        <v>G856</v>
      </c>
      <c r="CH386" t="str">
        <f t="shared" si="331"/>
        <v>G856</v>
      </c>
      <c r="CI386" t="str">
        <f t="shared" si="316"/>
        <v>G442</v>
      </c>
      <c r="CJ386" t="str">
        <f t="shared" si="317"/>
        <v>G442</v>
      </c>
      <c r="CK386" t="s">
        <v>1194</v>
      </c>
      <c r="CL386" t="s">
        <v>1194</v>
      </c>
      <c r="CM386" t="s">
        <v>1194</v>
      </c>
      <c r="CN386" t="b">
        <f t="shared" si="332"/>
        <v>1</v>
      </c>
      <c r="CO386" t="str">
        <f t="shared" si="318"/>
        <v>R591</v>
      </c>
      <c r="CP386" t="str">
        <f t="shared" si="333"/>
        <v>R591</v>
      </c>
      <c r="CQ386" t="str">
        <f t="shared" si="319"/>
        <v>R285</v>
      </c>
      <c r="CR386" t="str">
        <f t="shared" si="320"/>
        <v>R285</v>
      </c>
      <c r="CS386" t="s">
        <v>550</v>
      </c>
      <c r="CT386" t="s">
        <v>550</v>
      </c>
      <c r="CU386" t="s">
        <v>550</v>
      </c>
      <c r="CV386" t="b">
        <f t="shared" si="334"/>
        <v>1</v>
      </c>
      <c r="DC386" t="str">
        <f t="shared" si="321"/>
        <v>G442</v>
      </c>
      <c r="DD386" t="b">
        <f t="shared" si="335"/>
        <v>0</v>
      </c>
      <c r="DE386" t="str">
        <f t="shared" si="336"/>
        <v>G442</v>
      </c>
      <c r="DF386" t="str">
        <f t="shared" si="322"/>
        <v>R285</v>
      </c>
      <c r="DG386" t="b">
        <f t="shared" si="337"/>
        <v>0</v>
      </c>
      <c r="DH386" t="str">
        <f t="shared" si="338"/>
        <v>R285</v>
      </c>
    </row>
    <row r="387" spans="2:112" ht="12" customHeight="1">
      <c r="B387" t="str">
        <f>TBIDry!H459</f>
        <v>G239</v>
      </c>
      <c r="C387" t="str">
        <f>TBIDry!I459</f>
        <v>R211</v>
      </c>
      <c r="D387" t="b">
        <f t="shared" si="285"/>
        <v>0</v>
      </c>
      <c r="E387" t="b">
        <f t="shared" si="286"/>
        <v>0</v>
      </c>
      <c r="G387" t="str">
        <f>TBIWet!H459</f>
        <v>G390</v>
      </c>
      <c r="H387" t="str">
        <f>TBIWet!I459</f>
        <v>R264</v>
      </c>
      <c r="I387" t="b">
        <f t="shared" si="287"/>
        <v>0</v>
      </c>
      <c r="J387" t="b">
        <f t="shared" si="288"/>
        <v>0</v>
      </c>
      <c r="L387" t="str">
        <f>'Both teabags AfterWet'!A385</f>
        <v>G858</v>
      </c>
      <c r="M387" t="str">
        <f>'Both teabags AfterWet'!A805</f>
        <v>R593</v>
      </c>
      <c r="N387" t="b">
        <f t="shared" si="289"/>
        <v>0</v>
      </c>
      <c r="O387" t="b">
        <f t="shared" si="339"/>
        <v>0</v>
      </c>
      <c r="Q387" s="388" t="b">
        <f t="shared" si="290"/>
        <v>0</v>
      </c>
      <c r="R387" s="388" t="b">
        <f t="shared" si="291"/>
        <v>0</v>
      </c>
      <c r="Y387" t="str">
        <f>'Green_rooibos initial weight'!A388</f>
        <v>G384</v>
      </c>
      <c r="Z387" t="str">
        <f>'Green_rooibos initial weight'!A1292</f>
        <v>R384</v>
      </c>
      <c r="AA387" t="b">
        <f t="shared" si="293"/>
        <v>0</v>
      </c>
      <c r="AB387" t="b">
        <f t="shared" si="294"/>
        <v>0</v>
      </c>
      <c r="AE387" t="str">
        <f>'WetLitterbags placem_collection'!O166</f>
        <v>G390</v>
      </c>
      <c r="AF387" t="str">
        <f>'WetLitterbags placem_collection'!Q166</f>
        <v>R264</v>
      </c>
      <c r="AG387" t="b">
        <f t="shared" si="295"/>
        <v>0</v>
      </c>
      <c r="AH387" t="b">
        <f t="shared" si="296"/>
        <v>0</v>
      </c>
      <c r="AJ387" t="b">
        <f t="shared" si="297"/>
        <v>0</v>
      </c>
      <c r="AK387" t="b">
        <f t="shared" si="298"/>
        <v>0</v>
      </c>
      <c r="AM387" t="str">
        <f>IF(ISBLANK('Dry_Litterbag Placem_Collection'!L166),"","G"&amp;""&amp;'Dry_Litterbag Placem_Collection'!L166)</f>
        <v>G239</v>
      </c>
      <c r="AN387" t="str">
        <f>IF(ISBLANK('Dry_Litterbag Placem_Collection'!M166),"","R"&amp;""&amp;'Dry_Litterbag Placem_Collection'!M166)</f>
        <v>R211</v>
      </c>
      <c r="AO387" t="b">
        <f t="shared" si="299"/>
        <v>0</v>
      </c>
      <c r="AP387" t="b">
        <f t="shared" si="300"/>
        <v>0</v>
      </c>
      <c r="AX387" s="388" t="b">
        <f t="shared" si="302"/>
        <v>0</v>
      </c>
      <c r="AY387" s="388" t="b">
        <f t="shared" si="303"/>
        <v>0</v>
      </c>
      <c r="BA387" t="str">
        <f>'Ashed teabags wet'!A385</f>
        <v>G858</v>
      </c>
      <c r="BB387" t="str">
        <f>'Ashed teabags wet'!A805</f>
        <v>R593</v>
      </c>
      <c r="BC387" t="b">
        <f t="shared" si="304"/>
        <v>0</v>
      </c>
      <c r="BD387" t="b">
        <f t="shared" si="284"/>
        <v>0</v>
      </c>
      <c r="BH387" t="str">
        <f t="shared" si="307"/>
        <v>G722</v>
      </c>
      <c r="BI387" t="str">
        <f t="shared" si="325"/>
        <v>G722</v>
      </c>
      <c r="BP387" t="str">
        <f t="shared" si="310"/>
        <v>R267</v>
      </c>
      <c r="BQ387" t="str">
        <f t="shared" si="311"/>
        <v>R267</v>
      </c>
      <c r="BZ387" t="str">
        <f t="shared" si="312"/>
        <v>G722</v>
      </c>
      <c r="CA387" t="b">
        <f t="shared" si="313"/>
        <v>0</v>
      </c>
      <c r="CB387" t="str">
        <f t="shared" si="328"/>
        <v>G722</v>
      </c>
      <c r="CC387" t="str">
        <f t="shared" si="314"/>
        <v>R267</v>
      </c>
      <c r="CD387" t="b">
        <f t="shared" si="329"/>
        <v>0</v>
      </c>
      <c r="CE387" t="str">
        <f t="shared" si="330"/>
        <v>R267</v>
      </c>
      <c r="CG387" t="str">
        <f t="shared" si="315"/>
        <v>G857</v>
      </c>
      <c r="CH387" t="str">
        <f t="shared" si="331"/>
        <v>G857</v>
      </c>
      <c r="CI387" t="str">
        <f t="shared" si="316"/>
        <v>G743</v>
      </c>
      <c r="CJ387" t="str">
        <f t="shared" si="317"/>
        <v>G743</v>
      </c>
      <c r="CK387" t="s">
        <v>1193</v>
      </c>
      <c r="CL387" t="s">
        <v>1193</v>
      </c>
      <c r="CM387" t="s">
        <v>1193</v>
      </c>
      <c r="CN387" t="b">
        <f t="shared" si="332"/>
        <v>1</v>
      </c>
      <c r="CO387" t="str">
        <f t="shared" si="318"/>
        <v>R592</v>
      </c>
      <c r="CP387" t="str">
        <f t="shared" si="333"/>
        <v>R592</v>
      </c>
      <c r="CQ387" t="str">
        <f t="shared" si="319"/>
        <v>R341</v>
      </c>
      <c r="CR387" t="str">
        <f t="shared" si="320"/>
        <v>R341</v>
      </c>
      <c r="CS387" t="s">
        <v>549</v>
      </c>
      <c r="CT387" t="s">
        <v>549</v>
      </c>
      <c r="CU387" t="s">
        <v>549</v>
      </c>
      <c r="CV387" t="b">
        <f t="shared" si="334"/>
        <v>1</v>
      </c>
      <c r="DC387" t="str">
        <f t="shared" si="321"/>
        <v>G743</v>
      </c>
      <c r="DD387" t="b">
        <f t="shared" si="335"/>
        <v>0</v>
      </c>
      <c r="DE387" t="str">
        <f t="shared" si="336"/>
        <v>G743</v>
      </c>
      <c r="DF387" t="str">
        <f t="shared" si="322"/>
        <v>R341</v>
      </c>
      <c r="DG387" t="b">
        <f t="shared" si="337"/>
        <v>0</v>
      </c>
      <c r="DH387" t="str">
        <f t="shared" si="338"/>
        <v>R341</v>
      </c>
    </row>
    <row r="388" spans="2:112" ht="12" customHeight="1">
      <c r="B388" t="str">
        <f>TBIDry!H460</f>
        <v>G343</v>
      </c>
      <c r="C388" t="str">
        <f>TBIDry!I460</f>
        <v>R310</v>
      </c>
      <c r="D388" t="b">
        <f t="shared" si="285"/>
        <v>0</v>
      </c>
      <c r="E388" t="b">
        <f t="shared" si="286"/>
        <v>0</v>
      </c>
      <c r="G388" t="str">
        <f>TBIWet!H460</f>
        <v>G810</v>
      </c>
      <c r="H388" t="str">
        <f>TBIWet!I460</f>
        <v>R411</v>
      </c>
      <c r="I388" t="b">
        <f t="shared" si="287"/>
        <v>0</v>
      </c>
      <c r="J388" t="b">
        <f t="shared" si="288"/>
        <v>0</v>
      </c>
      <c r="L388" t="str">
        <f>'Both teabags AfterWet'!A386</f>
        <v>G859</v>
      </c>
      <c r="M388" t="str">
        <f>'Both teabags AfterWet'!A806</f>
        <v>R594</v>
      </c>
      <c r="N388" t="b">
        <f t="shared" si="289"/>
        <v>0</v>
      </c>
      <c r="O388" t="b">
        <f t="shared" si="339"/>
        <v>0</v>
      </c>
      <c r="Q388" s="388" t="b">
        <f t="shared" si="290"/>
        <v>0</v>
      </c>
      <c r="R388" s="388" t="b">
        <f t="shared" si="291"/>
        <v>0</v>
      </c>
      <c r="Y388" t="str">
        <f>'Green_rooibos initial weight'!A389</f>
        <v>G385</v>
      </c>
      <c r="Z388" t="str">
        <f>'Green_rooibos initial weight'!A1293</f>
        <v>R385</v>
      </c>
      <c r="AA388" t="b">
        <f t="shared" si="293"/>
        <v>0</v>
      </c>
      <c r="AB388" t="b">
        <f t="shared" si="294"/>
        <v>0</v>
      </c>
      <c r="AE388" t="str">
        <f>'WetLitterbags placem_collection'!O167</f>
        <v>G810</v>
      </c>
      <c r="AF388" t="str">
        <f>'WetLitterbags placem_collection'!Q167</f>
        <v>R411</v>
      </c>
      <c r="AG388" t="b">
        <f t="shared" si="295"/>
        <v>0</v>
      </c>
      <c r="AH388" t="b">
        <f t="shared" si="296"/>
        <v>0</v>
      </c>
      <c r="AJ388" t="b">
        <f t="shared" si="297"/>
        <v>0</v>
      </c>
      <c r="AK388" t="b">
        <f t="shared" si="298"/>
        <v>0</v>
      </c>
      <c r="AM388" t="str">
        <f>IF(ISBLANK('Dry_Litterbag Placem_Collection'!L167),"","G"&amp;""&amp;'Dry_Litterbag Placem_Collection'!L167)</f>
        <v>G343</v>
      </c>
      <c r="AN388" t="str">
        <f>IF(ISBLANK('Dry_Litterbag Placem_Collection'!M167),"","R"&amp;""&amp;'Dry_Litterbag Placem_Collection'!M167)</f>
        <v>R310</v>
      </c>
      <c r="AO388" t="b">
        <f t="shared" si="299"/>
        <v>0</v>
      </c>
      <c r="AP388" t="b">
        <f t="shared" si="300"/>
        <v>0</v>
      </c>
      <c r="AX388" s="388" t="b">
        <f t="shared" si="302"/>
        <v>0</v>
      </c>
      <c r="AY388" s="388" t="b">
        <f t="shared" si="303"/>
        <v>0</v>
      </c>
      <c r="BA388" t="str">
        <f>'Ashed teabags wet'!A386</f>
        <v>G859</v>
      </c>
      <c r="BB388" t="str">
        <f>'Ashed teabags wet'!A806</f>
        <v>R594</v>
      </c>
      <c r="BC388" t="b">
        <f t="shared" si="304"/>
        <v>0</v>
      </c>
      <c r="BD388" t="b">
        <f t="shared" ref="BD388:BD420" si="340">COUNTIF($BB$4:$BB$2000, BB388)&gt;1</f>
        <v>0</v>
      </c>
      <c r="BH388" t="str">
        <f t="shared" si="307"/>
        <v>G239</v>
      </c>
      <c r="BI388" t="str">
        <f t="shared" si="325"/>
        <v>G239</v>
      </c>
      <c r="BP388" t="str">
        <f t="shared" si="310"/>
        <v>R211</v>
      </c>
      <c r="BQ388" t="str">
        <f t="shared" si="311"/>
        <v>R211</v>
      </c>
      <c r="BZ388" t="str">
        <f t="shared" si="312"/>
        <v>G239</v>
      </c>
      <c r="CA388" t="b">
        <f t="shared" si="313"/>
        <v>0</v>
      </c>
      <c r="CB388" t="str">
        <f t="shared" si="328"/>
        <v>G239</v>
      </c>
      <c r="CC388" t="str">
        <f t="shared" si="314"/>
        <v>R211</v>
      </c>
      <c r="CD388" t="b">
        <f t="shared" si="329"/>
        <v>0</v>
      </c>
      <c r="CE388" t="str">
        <f t="shared" si="330"/>
        <v>R211</v>
      </c>
      <c r="CG388" t="str">
        <f t="shared" si="315"/>
        <v>G858</v>
      </c>
      <c r="CH388" t="str">
        <f t="shared" si="331"/>
        <v>G858</v>
      </c>
      <c r="CI388" t="str">
        <f t="shared" si="316"/>
        <v>G390</v>
      </c>
      <c r="CJ388" t="str">
        <f t="shared" si="317"/>
        <v>G390</v>
      </c>
      <c r="CK388" t="s">
        <v>1192</v>
      </c>
      <c r="CL388" t="s">
        <v>1192</v>
      </c>
      <c r="CM388" t="s">
        <v>1192</v>
      </c>
      <c r="CN388" t="b">
        <f t="shared" si="332"/>
        <v>1</v>
      </c>
      <c r="CO388" t="str">
        <f t="shared" si="318"/>
        <v>R593</v>
      </c>
      <c r="CP388" t="str">
        <f t="shared" si="333"/>
        <v>R593</v>
      </c>
      <c r="CQ388" t="str">
        <f t="shared" si="319"/>
        <v>R264</v>
      </c>
      <c r="CR388" t="str">
        <f t="shared" si="320"/>
        <v>R264</v>
      </c>
      <c r="CS388" t="s">
        <v>548</v>
      </c>
      <c r="CT388" t="s">
        <v>548</v>
      </c>
      <c r="CU388" t="s">
        <v>548</v>
      </c>
      <c r="CV388" t="b">
        <f t="shared" si="334"/>
        <v>1</v>
      </c>
      <c r="DC388" t="str">
        <f t="shared" si="321"/>
        <v>G390</v>
      </c>
      <c r="DD388" t="b">
        <f t="shared" si="335"/>
        <v>0</v>
      </c>
      <c r="DE388" t="str">
        <f t="shared" si="336"/>
        <v>G390</v>
      </c>
      <c r="DF388" t="str">
        <f t="shared" si="322"/>
        <v>R264</v>
      </c>
      <c r="DG388" t="b">
        <f t="shared" si="337"/>
        <v>0</v>
      </c>
      <c r="DH388" t="str">
        <f t="shared" si="338"/>
        <v>R264</v>
      </c>
    </row>
    <row r="389" spans="2:112" ht="12" customHeight="1">
      <c r="B389" t="str">
        <f>TBIDry!H461</f>
        <v>G409</v>
      </c>
      <c r="C389" t="str">
        <f>TBIDry!I461</f>
        <v>R269</v>
      </c>
      <c r="D389" t="b">
        <f t="shared" ref="D389:D452" si="341">COUNTIF($B$4:$B$2000, B389)&gt;1</f>
        <v>0</v>
      </c>
      <c r="E389" t="b">
        <f t="shared" ref="E389:E452" si="342">COUNTIF($C$4:$C$2000, C389)&gt;1</f>
        <v>0</v>
      </c>
      <c r="G389" t="str">
        <f>TBIWet!H461</f>
        <v>G287</v>
      </c>
      <c r="H389" t="str">
        <f>TBIWet!I461</f>
        <v>R259</v>
      </c>
      <c r="I389" t="b">
        <f t="shared" ref="I389:I452" si="343">COUNTIF($G$4:$G$2000, G389)&gt;1</f>
        <v>0</v>
      </c>
      <c r="J389" t="b">
        <f t="shared" ref="J389:J452" si="344">COUNTIF($H$4:$H$2000, H389)&gt;1</f>
        <v>0</v>
      </c>
      <c r="L389" t="str">
        <f>'Both teabags AfterWet'!A387</f>
        <v>G860</v>
      </c>
      <c r="M389" t="str">
        <f>'Both teabags AfterWet'!A807</f>
        <v>R596</v>
      </c>
      <c r="N389" t="b">
        <f t="shared" ref="N389:N427" si="345">COUNTIF($L$4:$L$2000, L389)&gt;1</f>
        <v>0</v>
      </c>
      <c r="O389" t="b">
        <f t="shared" si="339"/>
        <v>0</v>
      </c>
      <c r="Q389" s="388" t="b">
        <f t="shared" ref="Q389:Q452" si="346">COUNTIF($T$4:$T$2000, L389)=1</f>
        <v>0</v>
      </c>
      <c r="R389" s="388" t="b">
        <f t="shared" ref="R389:R452" si="347" xml:space="preserve"> COUNTIF($U$4:$U$2000,M389)=1</f>
        <v>0</v>
      </c>
      <c r="Y389" t="str">
        <f>'Green_rooibos initial weight'!A390</f>
        <v>G386</v>
      </c>
      <c r="Z389" t="str">
        <f>'Green_rooibos initial weight'!A1294</f>
        <v>R386</v>
      </c>
      <c r="AA389" t="b">
        <f t="shared" ref="AA389:AA452" si="348">COUNTIF($Y$4:$Y$2000, Y389)&gt;1</f>
        <v>0</v>
      </c>
      <c r="AB389" t="b">
        <f t="shared" ref="AB389:AB452" si="349">COUNTIF($Z$4:$Z$2000, Z389)&gt;1</f>
        <v>0</v>
      </c>
      <c r="AE389" t="str">
        <f>'WetLitterbags placem_collection'!O168</f>
        <v>G287</v>
      </c>
      <c r="AF389" t="str">
        <f>'WetLitterbags placem_collection'!Q168</f>
        <v>R259</v>
      </c>
      <c r="AG389" t="b">
        <f t="shared" ref="AG389:AG443" si="350">COUNTIF($AE$4:$AE$2000, AE389)&gt;1</f>
        <v>0</v>
      </c>
      <c r="AH389" t="b">
        <f t="shared" ref="AH389:AH443" si="351">COUNTIF($AF$4:$AF$2000, AF389)&gt;1</f>
        <v>0</v>
      </c>
      <c r="AJ389" t="b">
        <f t="shared" ref="AJ389:AJ451" si="352">COUNTIF($AM$4:$AM$2000, AE389)=1</f>
        <v>0</v>
      </c>
      <c r="AK389" t="b">
        <f t="shared" ref="AK389:AK451" si="353">COUNTIF($AN$4:$AN$2000, AF389)=1</f>
        <v>0</v>
      </c>
      <c r="AM389" t="str">
        <f>IF(ISBLANK('Dry_Litterbag Placem_Collection'!L168),"","G"&amp;""&amp;'Dry_Litterbag Placem_Collection'!L168)</f>
        <v>G409</v>
      </c>
      <c r="AN389" t="str">
        <f>IF(ISBLANK('Dry_Litterbag Placem_Collection'!M168),"","R"&amp;""&amp;'Dry_Litterbag Placem_Collection'!M168)</f>
        <v>R269</v>
      </c>
      <c r="AO389" t="b">
        <f t="shared" ref="AO389:AO443" si="354">COUNTIF($AM$4:$AM$2000, AM389)&gt;1</f>
        <v>0</v>
      </c>
      <c r="AP389" t="b">
        <f t="shared" ref="AP389:AP443" si="355">COUNTIF($AN$4:$AN$2000, AN389)&gt;1</f>
        <v>0</v>
      </c>
      <c r="AX389" s="388" t="b">
        <f t="shared" ref="AX389:AX452" si="356">COUNTIF($BA$4:$BA$2000, AS389)=1</f>
        <v>0</v>
      </c>
      <c r="AY389" s="388" t="b">
        <f t="shared" ref="AY389:AY452" si="357">COUNTIF($BB$4:$BB$2000, AT389)=1</f>
        <v>0</v>
      </c>
      <c r="BA389" t="str">
        <f>'Ashed teabags wet'!A387</f>
        <v>G860</v>
      </c>
      <c r="BB389" t="str">
        <f>'Ashed teabags wet'!A807</f>
        <v>R596</v>
      </c>
      <c r="BC389" t="b">
        <f t="shared" ref="BC389:BC420" si="358">COUNTIF($BA$4:$BA$2000, BA389)&gt;1</f>
        <v>0</v>
      </c>
      <c r="BD389" t="b">
        <f t="shared" si="340"/>
        <v>0</v>
      </c>
      <c r="BH389" t="str">
        <f t="shared" ref="BH389:BH452" si="359">B388</f>
        <v>G343</v>
      </c>
      <c r="BI389" t="str">
        <f t="shared" si="325"/>
        <v>G343</v>
      </c>
      <c r="BP389" t="str">
        <f t="shared" ref="BP389:BP444" si="360">C388</f>
        <v>R310</v>
      </c>
      <c r="BQ389" t="str">
        <f t="shared" ref="BQ389:BQ444" si="361">CE389</f>
        <v>R310</v>
      </c>
      <c r="BZ389" t="str">
        <f t="shared" ref="BZ389:BZ444" si="362">BH389</f>
        <v>G343</v>
      </c>
      <c r="CA389" t="b">
        <f t="shared" ref="CA389:CA445" si="363">COUNTIF($BV$5:$BV$2000, BZ389)=1</f>
        <v>0</v>
      </c>
      <c r="CB389" t="str">
        <f t="shared" si="328"/>
        <v>G343</v>
      </c>
      <c r="CC389" t="str">
        <f t="shared" ref="CC389:CC444" si="364">BP389</f>
        <v>R310</v>
      </c>
      <c r="CD389" t="b">
        <f t="shared" si="329"/>
        <v>0</v>
      </c>
      <c r="CE389" t="str">
        <f t="shared" si="330"/>
        <v>R310</v>
      </c>
      <c r="CG389" t="str">
        <f t="shared" ref="CG389:CG424" si="365">BA388</f>
        <v>G859</v>
      </c>
      <c r="CH389" t="str">
        <f t="shared" si="331"/>
        <v>G859</v>
      </c>
      <c r="CI389" t="str">
        <f t="shared" ref="CI389:CI444" si="366">AE388</f>
        <v>G810</v>
      </c>
      <c r="CJ389" t="str">
        <f t="shared" ref="CJ389:CJ444" si="367">DE389</f>
        <v>G810</v>
      </c>
      <c r="CK389" t="s">
        <v>1191</v>
      </c>
      <c r="CL389" t="s">
        <v>1191</v>
      </c>
      <c r="CM389" t="s">
        <v>1191</v>
      </c>
      <c r="CN389" t="b">
        <f t="shared" si="332"/>
        <v>1</v>
      </c>
      <c r="CO389" t="str">
        <f t="shared" ref="CO389:CO428" si="368">BB388</f>
        <v>R594</v>
      </c>
      <c r="CP389" t="str">
        <f t="shared" si="333"/>
        <v>R594</v>
      </c>
      <c r="CQ389" t="str">
        <f t="shared" ref="CQ389:CQ444" si="369">AF388</f>
        <v>R411</v>
      </c>
      <c r="CR389" t="str">
        <f t="shared" ref="CR389:CR444" si="370">DH389</f>
        <v>R411</v>
      </c>
      <c r="CS389" t="s">
        <v>547</v>
      </c>
      <c r="CT389" t="s">
        <v>547</v>
      </c>
      <c r="CU389" t="s">
        <v>547</v>
      </c>
      <c r="CV389" t="b">
        <f t="shared" si="334"/>
        <v>1</v>
      </c>
      <c r="DC389" t="str">
        <f t="shared" ref="DC389:DC444" si="371">CI389</f>
        <v>G810</v>
      </c>
      <c r="DD389" t="b">
        <f t="shared" si="335"/>
        <v>0</v>
      </c>
      <c r="DE389" t="str">
        <f t="shared" si="336"/>
        <v>G810</v>
      </c>
      <c r="DF389" t="str">
        <f t="shared" ref="DF389:DF444" si="372">CQ389</f>
        <v>R411</v>
      </c>
      <c r="DG389" t="b">
        <f t="shared" si="337"/>
        <v>0</v>
      </c>
      <c r="DH389" t="str">
        <f t="shared" si="338"/>
        <v>R411</v>
      </c>
    </row>
    <row r="390" spans="2:112" ht="12" customHeight="1">
      <c r="B390" t="str">
        <f>TBIDry!H462</f>
        <v/>
      </c>
      <c r="C390" t="str">
        <f>TBIDry!I462</f>
        <v/>
      </c>
      <c r="D390" t="b">
        <f t="shared" si="341"/>
        <v>1</v>
      </c>
      <c r="E390" t="b">
        <f t="shared" si="342"/>
        <v>1</v>
      </c>
      <c r="G390" t="str">
        <f>TBIWet!H462</f>
        <v>G443</v>
      </c>
      <c r="H390" t="str">
        <f>TBIWet!I462</f>
        <v>R215</v>
      </c>
      <c r="I390" t="b">
        <f t="shared" si="343"/>
        <v>0</v>
      </c>
      <c r="J390" t="b">
        <f t="shared" si="344"/>
        <v>0</v>
      </c>
      <c r="L390" t="str">
        <f>'Both teabags AfterWet'!A388</f>
        <v>G861</v>
      </c>
      <c r="M390" t="str">
        <f>'Both teabags AfterWet'!A808</f>
        <v>R597</v>
      </c>
      <c r="N390" t="b">
        <f t="shared" si="345"/>
        <v>0</v>
      </c>
      <c r="O390" t="b">
        <f t="shared" si="339"/>
        <v>0</v>
      </c>
      <c r="Q390" s="388" t="b">
        <f t="shared" si="346"/>
        <v>0</v>
      </c>
      <c r="R390" s="388" t="b">
        <f t="shared" si="347"/>
        <v>0</v>
      </c>
      <c r="Y390" t="str">
        <f>'Green_rooibos initial weight'!A391</f>
        <v>G387</v>
      </c>
      <c r="Z390" t="str">
        <f>'Green_rooibos initial weight'!A1295</f>
        <v>R387</v>
      </c>
      <c r="AA390" t="b">
        <f t="shared" si="348"/>
        <v>0</v>
      </c>
      <c r="AB390" t="b">
        <f t="shared" si="349"/>
        <v>0</v>
      </c>
      <c r="AE390" t="str">
        <f>'WetLitterbags placem_collection'!O169</f>
        <v>G443</v>
      </c>
      <c r="AF390" t="str">
        <f>'WetLitterbags placem_collection'!Q169</f>
        <v>R215</v>
      </c>
      <c r="AG390" t="b">
        <f t="shared" si="350"/>
        <v>0</v>
      </c>
      <c r="AH390" t="b">
        <f t="shared" si="351"/>
        <v>0</v>
      </c>
      <c r="AJ390" t="b">
        <f t="shared" si="352"/>
        <v>0</v>
      </c>
      <c r="AK390" t="b">
        <f t="shared" si="353"/>
        <v>0</v>
      </c>
      <c r="AM390" t="str">
        <f>IF(ISBLANK('Dry_Litterbag Placem_Collection'!L169),"","G"&amp;""&amp;'Dry_Litterbag Placem_Collection'!L169)</f>
        <v/>
      </c>
      <c r="AN390" t="str">
        <f>IF(ISBLANK('Dry_Litterbag Placem_Collection'!M169),"","R"&amp;""&amp;'Dry_Litterbag Placem_Collection'!M169)</f>
        <v/>
      </c>
      <c r="AO390" t="b">
        <f t="shared" si="354"/>
        <v>1</v>
      </c>
      <c r="AP390" t="b">
        <f t="shared" si="355"/>
        <v>1</v>
      </c>
      <c r="AX390" s="388" t="b">
        <f t="shared" si="356"/>
        <v>0</v>
      </c>
      <c r="AY390" s="388" t="b">
        <f t="shared" si="357"/>
        <v>0</v>
      </c>
      <c r="BA390" t="str">
        <f>'Ashed teabags wet'!A388</f>
        <v>G861</v>
      </c>
      <c r="BB390" t="str">
        <f>'Ashed teabags wet'!A808</f>
        <v>R597</v>
      </c>
      <c r="BC390" t="b">
        <f t="shared" si="358"/>
        <v>0</v>
      </c>
      <c r="BD390" t="b">
        <f t="shared" si="340"/>
        <v>0</v>
      </c>
      <c r="BH390" t="str">
        <f t="shared" si="359"/>
        <v>G409</v>
      </c>
      <c r="BI390" t="str">
        <f t="shared" ref="BI390:BI444" si="373">CB390</f>
        <v>G409</v>
      </c>
      <c r="BP390" t="str">
        <f t="shared" si="360"/>
        <v>R269</v>
      </c>
      <c r="BQ390" t="str">
        <f t="shared" si="361"/>
        <v>R269</v>
      </c>
      <c r="BZ390" t="str">
        <f t="shared" si="362"/>
        <v>G409</v>
      </c>
      <c r="CA390" t="b">
        <f t="shared" si="363"/>
        <v>0</v>
      </c>
      <c r="CB390" t="str">
        <f t="shared" ref="CB390:CB446" si="374">IF(ISNUMBER(SEARCH("USANN",CA390)),BZ390,"")</f>
        <v>G409</v>
      </c>
      <c r="CC390" t="str">
        <f t="shared" si="364"/>
        <v>R269</v>
      </c>
      <c r="CD390" t="b">
        <f t="shared" ref="CD390:CD446" si="375">COUNTIF($BW$5:$BW$2000, CC390)=1</f>
        <v>0</v>
      </c>
      <c r="CE390" t="str">
        <f t="shared" ref="CE390:CE446" si="376">IF(ISNUMBER(SEARCH("USANN",CD390)),CC390,"")</f>
        <v>R269</v>
      </c>
      <c r="CG390" t="str">
        <f t="shared" si="365"/>
        <v>G860</v>
      </c>
      <c r="CH390" t="str">
        <f t="shared" ref="CH390:CH424" si="377">L389</f>
        <v>G860</v>
      </c>
      <c r="CI390" t="str">
        <f t="shared" si="366"/>
        <v>G287</v>
      </c>
      <c r="CJ390" t="str">
        <f t="shared" si="367"/>
        <v>G287</v>
      </c>
      <c r="CK390" t="s">
        <v>1190</v>
      </c>
      <c r="CL390" t="s">
        <v>1190</v>
      </c>
      <c r="CM390" t="s">
        <v>1190</v>
      </c>
      <c r="CN390" t="b">
        <f t="shared" ref="CN390:CN424" si="378" xml:space="preserve"> COUNTIF($CK$5:$CM$2000,CL390)=3</f>
        <v>1</v>
      </c>
      <c r="CO390" t="str">
        <f t="shared" si="368"/>
        <v>R596</v>
      </c>
      <c r="CP390" t="str">
        <f t="shared" ref="CP390:CP428" si="379">M389</f>
        <v>R596</v>
      </c>
      <c r="CQ390" t="str">
        <f t="shared" si="369"/>
        <v>R259</v>
      </c>
      <c r="CR390" t="str">
        <f t="shared" si="370"/>
        <v>R259</v>
      </c>
      <c r="CS390" t="s">
        <v>545</v>
      </c>
      <c r="CT390" t="s">
        <v>545</v>
      </c>
      <c r="CU390" t="s">
        <v>545</v>
      </c>
      <c r="CV390" t="b">
        <f t="shared" ref="CV390:CV428" si="380" xml:space="preserve"> COUNTIF($CS$5:$CU$2000,CT390)=3</f>
        <v>1</v>
      </c>
      <c r="DC390" t="str">
        <f t="shared" si="371"/>
        <v>G287</v>
      </c>
      <c r="DD390" t="b">
        <f t="shared" ref="DD390:DD444" si="381">COUNTIF($CW$5:$CW$2000, DC390)=1</f>
        <v>0</v>
      </c>
      <c r="DE390" t="str">
        <f t="shared" ref="DE390:DE444" si="382">IF(ISNUMBER(SEARCH("USANN",DD390)),DC390,"")</f>
        <v>G287</v>
      </c>
      <c r="DF390" t="str">
        <f t="shared" si="372"/>
        <v>R259</v>
      </c>
      <c r="DG390" t="b">
        <f t="shared" ref="DG390:DG444" si="383">COUNTIF($CY$5:$CY$2000, DF390)=1</f>
        <v>0</v>
      </c>
      <c r="DH390" t="str">
        <f t="shared" ref="DH390:DH444" si="384">IF(ISNUMBER(SEARCH("USANN",DG390)),DF390,"")</f>
        <v>R259</v>
      </c>
    </row>
    <row r="391" spans="2:112" ht="12" customHeight="1">
      <c r="B391" t="str">
        <f>TBIDry!H463</f>
        <v>G304</v>
      </c>
      <c r="C391" t="str">
        <f>TBIDry!I463</f>
        <v>R413</v>
      </c>
      <c r="D391" t="b">
        <f t="shared" si="341"/>
        <v>0</v>
      </c>
      <c r="E391" t="b">
        <f t="shared" si="342"/>
        <v>0</v>
      </c>
      <c r="G391" t="str">
        <f>TBIWet!H463</f>
        <v>G680</v>
      </c>
      <c r="H391" t="str">
        <f>TBIWet!I463</f>
        <v>R322</v>
      </c>
      <c r="I391" t="b">
        <f t="shared" si="343"/>
        <v>0</v>
      </c>
      <c r="J391" t="b">
        <f t="shared" si="344"/>
        <v>0</v>
      </c>
      <c r="L391" t="str">
        <f>'Both teabags AfterWet'!A389</f>
        <v>G863</v>
      </c>
      <c r="M391" t="str">
        <f>'Both teabags AfterWet'!A809</f>
        <v>R598</v>
      </c>
      <c r="N391" t="b">
        <f t="shared" si="345"/>
        <v>0</v>
      </c>
      <c r="O391" t="b">
        <f t="shared" ref="O391:O427" si="385">COUNTIF($M$4:$M$2000, M391)&gt;1</f>
        <v>0</v>
      </c>
      <c r="Q391" s="388" t="b">
        <f t="shared" si="346"/>
        <v>0</v>
      </c>
      <c r="R391" s="388" t="b">
        <f t="shared" si="347"/>
        <v>0</v>
      </c>
      <c r="Y391" t="str">
        <f>'Green_rooibos initial weight'!A392</f>
        <v>G388</v>
      </c>
      <c r="Z391" t="str">
        <f>'Green_rooibos initial weight'!A1296</f>
        <v>R388</v>
      </c>
      <c r="AA391" t="b">
        <f t="shared" si="348"/>
        <v>0</v>
      </c>
      <c r="AB391" t="b">
        <f t="shared" si="349"/>
        <v>0</v>
      </c>
      <c r="AE391" t="str">
        <f>'WetLitterbags placem_collection'!O170</f>
        <v>G680</v>
      </c>
      <c r="AF391" t="str">
        <f>'WetLitterbags placem_collection'!Q170</f>
        <v>R322</v>
      </c>
      <c r="AG391" t="b">
        <f t="shared" si="350"/>
        <v>0</v>
      </c>
      <c r="AH391" t="b">
        <f t="shared" si="351"/>
        <v>0</v>
      </c>
      <c r="AJ391" t="b">
        <f t="shared" si="352"/>
        <v>0</v>
      </c>
      <c r="AK391" t="b">
        <f t="shared" si="353"/>
        <v>0</v>
      </c>
      <c r="AM391" t="str">
        <f>IF(ISBLANK('Dry_Litterbag Placem_Collection'!L170),"","G"&amp;""&amp;'Dry_Litterbag Placem_Collection'!L170)</f>
        <v>G304</v>
      </c>
      <c r="AN391" t="str">
        <f>IF(ISBLANK('Dry_Litterbag Placem_Collection'!M170),"","R"&amp;""&amp;'Dry_Litterbag Placem_Collection'!M170)</f>
        <v>R413</v>
      </c>
      <c r="AO391" t="b">
        <f t="shared" si="354"/>
        <v>0</v>
      </c>
      <c r="AP391" t="b">
        <f t="shared" si="355"/>
        <v>0</v>
      </c>
      <c r="AX391" s="388" t="b">
        <f t="shared" si="356"/>
        <v>0</v>
      </c>
      <c r="AY391" s="388" t="b">
        <f t="shared" si="357"/>
        <v>0</v>
      </c>
      <c r="BA391" t="str">
        <f>'Ashed teabags wet'!A389</f>
        <v>G863</v>
      </c>
      <c r="BB391" t="str">
        <f>'Ashed teabags wet'!A809</f>
        <v>R598</v>
      </c>
      <c r="BC391" t="b">
        <f t="shared" si="358"/>
        <v>0</v>
      </c>
      <c r="BD391" t="b">
        <f t="shared" si="340"/>
        <v>0</v>
      </c>
      <c r="BH391" t="str">
        <f t="shared" si="359"/>
        <v/>
      </c>
      <c r="BI391" t="str">
        <f t="shared" si="373"/>
        <v/>
      </c>
      <c r="BP391" t="str">
        <f t="shared" si="360"/>
        <v/>
      </c>
      <c r="BQ391" t="str">
        <f t="shared" si="361"/>
        <v/>
      </c>
      <c r="BZ391" t="str">
        <f t="shared" si="362"/>
        <v/>
      </c>
      <c r="CA391" t="b">
        <f t="shared" si="363"/>
        <v>0</v>
      </c>
      <c r="CB391" t="str">
        <f t="shared" si="374"/>
        <v/>
      </c>
      <c r="CC391" t="str">
        <f t="shared" si="364"/>
        <v/>
      </c>
      <c r="CD391" t="b">
        <f t="shared" si="375"/>
        <v>0</v>
      </c>
      <c r="CE391" t="str">
        <f t="shared" si="376"/>
        <v/>
      </c>
      <c r="CG391" t="str">
        <f t="shared" si="365"/>
        <v>G861</v>
      </c>
      <c r="CH391" t="str">
        <f t="shared" si="377"/>
        <v>G861</v>
      </c>
      <c r="CI391" t="str">
        <f t="shared" si="366"/>
        <v>G443</v>
      </c>
      <c r="CJ391" t="str">
        <f t="shared" si="367"/>
        <v>G443</v>
      </c>
      <c r="CK391" t="s">
        <v>1189</v>
      </c>
      <c r="CL391" t="s">
        <v>1189</v>
      </c>
      <c r="CM391" t="s">
        <v>1189</v>
      </c>
      <c r="CN391" t="b">
        <f t="shared" si="378"/>
        <v>1</v>
      </c>
      <c r="CO391" t="str">
        <f t="shared" si="368"/>
        <v>R597</v>
      </c>
      <c r="CP391" t="str">
        <f t="shared" si="379"/>
        <v>R597</v>
      </c>
      <c r="CQ391" t="str">
        <f t="shared" si="369"/>
        <v>R215</v>
      </c>
      <c r="CR391" t="str">
        <f t="shared" si="370"/>
        <v>R215</v>
      </c>
      <c r="CS391" t="s">
        <v>544</v>
      </c>
      <c r="CT391" t="s">
        <v>544</v>
      </c>
      <c r="CU391" t="s">
        <v>544</v>
      </c>
      <c r="CV391" t="b">
        <f t="shared" si="380"/>
        <v>1</v>
      </c>
      <c r="DC391" t="str">
        <f t="shared" si="371"/>
        <v>G443</v>
      </c>
      <c r="DD391" t="b">
        <f t="shared" si="381"/>
        <v>0</v>
      </c>
      <c r="DE391" t="str">
        <f t="shared" si="382"/>
        <v>G443</v>
      </c>
      <c r="DF391" t="str">
        <f t="shared" si="372"/>
        <v>R215</v>
      </c>
      <c r="DG391" t="b">
        <f t="shared" si="383"/>
        <v>0</v>
      </c>
      <c r="DH391" t="str">
        <f t="shared" si="384"/>
        <v>R215</v>
      </c>
    </row>
    <row r="392" spans="2:112" ht="12" customHeight="1">
      <c r="B392" t="str">
        <f>TBIDry!H464</f>
        <v>G135</v>
      </c>
      <c r="C392" t="str">
        <f>TBIDry!I464</f>
        <v>R80</v>
      </c>
      <c r="D392" t="b">
        <f t="shared" si="341"/>
        <v>0</v>
      </c>
      <c r="E392" t="b">
        <f t="shared" si="342"/>
        <v>0</v>
      </c>
      <c r="G392" t="str">
        <f>TBIWet!H464</f>
        <v>G496</v>
      </c>
      <c r="H392" t="str">
        <f>TBIWet!I464</f>
        <v>R403</v>
      </c>
      <c r="I392" t="b">
        <f t="shared" si="343"/>
        <v>0</v>
      </c>
      <c r="J392" t="b">
        <f t="shared" si="344"/>
        <v>0</v>
      </c>
      <c r="L392" t="str">
        <f>'Both teabags AfterWet'!A390</f>
        <v>G864</v>
      </c>
      <c r="M392" t="str">
        <f>'Both teabags AfterWet'!A810</f>
        <v>R6</v>
      </c>
      <c r="N392" t="b">
        <f t="shared" si="345"/>
        <v>0</v>
      </c>
      <c r="O392" t="b">
        <f t="shared" si="385"/>
        <v>0</v>
      </c>
      <c r="Q392" s="388" t="b">
        <f t="shared" si="346"/>
        <v>0</v>
      </c>
      <c r="R392" s="388" t="b">
        <f t="shared" si="347"/>
        <v>0</v>
      </c>
      <c r="Y392" t="str">
        <f>'Green_rooibos initial weight'!A393</f>
        <v>G389</v>
      </c>
      <c r="Z392" t="str">
        <f>'Green_rooibos initial weight'!A1297</f>
        <v>R389</v>
      </c>
      <c r="AA392" t="b">
        <f t="shared" si="348"/>
        <v>0</v>
      </c>
      <c r="AB392" t="b">
        <f t="shared" si="349"/>
        <v>0</v>
      </c>
      <c r="AE392" t="str">
        <f>'WetLitterbags placem_collection'!O171</f>
        <v>G496</v>
      </c>
      <c r="AF392" t="str">
        <f>'WetLitterbags placem_collection'!Q171</f>
        <v>R403</v>
      </c>
      <c r="AG392" t="b">
        <f t="shared" si="350"/>
        <v>0</v>
      </c>
      <c r="AH392" t="b">
        <f t="shared" si="351"/>
        <v>0</v>
      </c>
      <c r="AJ392" t="b">
        <f t="shared" si="352"/>
        <v>0</v>
      </c>
      <c r="AK392" t="b">
        <f t="shared" si="353"/>
        <v>0</v>
      </c>
      <c r="AM392" t="str">
        <f>IF(ISBLANK('Dry_Litterbag Placem_Collection'!L171),"","G"&amp;""&amp;'Dry_Litterbag Placem_Collection'!L171)</f>
        <v>G135</v>
      </c>
      <c r="AN392" t="str">
        <f>IF(ISBLANK('Dry_Litterbag Placem_Collection'!M171),"","R"&amp;""&amp;'Dry_Litterbag Placem_Collection'!M171)</f>
        <v>R80</v>
      </c>
      <c r="AO392" t="b">
        <f t="shared" si="354"/>
        <v>0</v>
      </c>
      <c r="AP392" t="b">
        <f t="shared" si="355"/>
        <v>0</v>
      </c>
      <c r="AX392" s="388" t="b">
        <f t="shared" si="356"/>
        <v>0</v>
      </c>
      <c r="AY392" s="388" t="b">
        <f t="shared" si="357"/>
        <v>0</v>
      </c>
      <c r="BA392" t="str">
        <f>'Ashed teabags wet'!A390</f>
        <v>G864</v>
      </c>
      <c r="BB392" t="str">
        <f>'Ashed teabags wet'!A810</f>
        <v>R6</v>
      </c>
      <c r="BC392" t="b">
        <f t="shared" si="358"/>
        <v>0</v>
      </c>
      <c r="BD392" t="b">
        <f t="shared" si="340"/>
        <v>0</v>
      </c>
      <c r="BH392" t="str">
        <f t="shared" si="359"/>
        <v>G304</v>
      </c>
      <c r="BI392" t="str">
        <f t="shared" si="373"/>
        <v/>
      </c>
      <c r="BP392" t="str">
        <f t="shared" si="360"/>
        <v>R413</v>
      </c>
      <c r="BQ392" t="str">
        <f t="shared" si="361"/>
        <v/>
      </c>
      <c r="BZ392" t="str">
        <f t="shared" si="362"/>
        <v>G304</v>
      </c>
      <c r="CA392" t="b">
        <f t="shared" si="363"/>
        <v>1</v>
      </c>
      <c r="CB392" t="str">
        <f t="shared" si="374"/>
        <v/>
      </c>
      <c r="CC392" t="str">
        <f t="shared" si="364"/>
        <v>R413</v>
      </c>
      <c r="CD392" t="b">
        <f t="shared" si="375"/>
        <v>1</v>
      </c>
      <c r="CE392" t="str">
        <f t="shared" si="376"/>
        <v/>
      </c>
      <c r="CG392" t="str">
        <f t="shared" si="365"/>
        <v>G863</v>
      </c>
      <c r="CH392" t="str">
        <f t="shared" si="377"/>
        <v>G863</v>
      </c>
      <c r="CI392" t="str">
        <f t="shared" si="366"/>
        <v>G680</v>
      </c>
      <c r="CJ392" t="str">
        <f t="shared" si="367"/>
        <v>G680</v>
      </c>
      <c r="CK392" t="s">
        <v>1187</v>
      </c>
      <c r="CL392" t="s">
        <v>1187</v>
      </c>
      <c r="CM392" t="s">
        <v>1187</v>
      </c>
      <c r="CN392" t="b">
        <f t="shared" si="378"/>
        <v>1</v>
      </c>
      <c r="CO392" t="str">
        <f t="shared" si="368"/>
        <v>R598</v>
      </c>
      <c r="CP392" t="str">
        <f t="shared" si="379"/>
        <v>R598</v>
      </c>
      <c r="CQ392" t="str">
        <f t="shared" si="369"/>
        <v>R322</v>
      </c>
      <c r="CR392" t="str">
        <f t="shared" si="370"/>
        <v>R322</v>
      </c>
      <c r="CS392" t="s">
        <v>543</v>
      </c>
      <c r="CT392" t="s">
        <v>543</v>
      </c>
      <c r="CU392" t="s">
        <v>543</v>
      </c>
      <c r="CV392" t="b">
        <f t="shared" si="380"/>
        <v>1</v>
      </c>
      <c r="DC392" t="str">
        <f t="shared" si="371"/>
        <v>G680</v>
      </c>
      <c r="DD392" t="b">
        <f t="shared" si="381"/>
        <v>0</v>
      </c>
      <c r="DE392" t="str">
        <f t="shared" si="382"/>
        <v>G680</v>
      </c>
      <c r="DF392" t="str">
        <f t="shared" si="372"/>
        <v>R322</v>
      </c>
      <c r="DG392" t="b">
        <f t="shared" si="383"/>
        <v>0</v>
      </c>
      <c r="DH392" t="str">
        <f t="shared" si="384"/>
        <v>R322</v>
      </c>
    </row>
    <row r="393" spans="2:112" ht="12" customHeight="1">
      <c r="B393" t="str">
        <f>TBIDry!H465</f>
        <v>G515</v>
      </c>
      <c r="C393" t="str">
        <f>TBIDry!I465</f>
        <v>R208</v>
      </c>
      <c r="D393" t="b">
        <f t="shared" si="341"/>
        <v>0</v>
      </c>
      <c r="E393" t="b">
        <f t="shared" si="342"/>
        <v>0</v>
      </c>
      <c r="G393" t="str">
        <f>TBIWet!H465</f>
        <v>G674</v>
      </c>
      <c r="H393" t="str">
        <f>TBIWet!I465</f>
        <v>R583</v>
      </c>
      <c r="I393" t="b">
        <f t="shared" si="343"/>
        <v>0</v>
      </c>
      <c r="J393" t="b">
        <f t="shared" si="344"/>
        <v>0</v>
      </c>
      <c r="L393" t="str">
        <f>'Both teabags AfterWet'!A391</f>
        <v>G865</v>
      </c>
      <c r="M393" t="str">
        <f>'Both teabags AfterWet'!A811</f>
        <v>R60</v>
      </c>
      <c r="N393" t="b">
        <f t="shared" si="345"/>
        <v>0</v>
      </c>
      <c r="O393" t="b">
        <f t="shared" si="385"/>
        <v>0</v>
      </c>
      <c r="Q393" s="388" t="b">
        <f t="shared" si="346"/>
        <v>0</v>
      </c>
      <c r="R393" s="388" t="b">
        <f t="shared" si="347"/>
        <v>0</v>
      </c>
      <c r="Y393" t="str">
        <f>'Green_rooibos initial weight'!A394</f>
        <v>G390</v>
      </c>
      <c r="Z393" t="str">
        <f>'Green_rooibos initial weight'!A1298</f>
        <v>R390</v>
      </c>
      <c r="AA393" t="b">
        <f t="shared" si="348"/>
        <v>0</v>
      </c>
      <c r="AB393" t="b">
        <f t="shared" si="349"/>
        <v>0</v>
      </c>
      <c r="AE393" t="str">
        <f>'WetLitterbags placem_collection'!O172</f>
        <v>G674</v>
      </c>
      <c r="AF393" t="str">
        <f>'WetLitterbags placem_collection'!Q172</f>
        <v>R583</v>
      </c>
      <c r="AG393" t="b">
        <f t="shared" si="350"/>
        <v>0</v>
      </c>
      <c r="AH393" t="b">
        <f t="shared" si="351"/>
        <v>0</v>
      </c>
      <c r="AJ393" t="b">
        <f t="shared" si="352"/>
        <v>0</v>
      </c>
      <c r="AK393" t="b">
        <f t="shared" si="353"/>
        <v>0</v>
      </c>
      <c r="AM393" t="str">
        <f>IF(ISBLANK('Dry_Litterbag Placem_Collection'!L172),"","G"&amp;""&amp;'Dry_Litterbag Placem_Collection'!L172)</f>
        <v>G515</v>
      </c>
      <c r="AN393" t="str">
        <f>IF(ISBLANK('Dry_Litterbag Placem_Collection'!M172),"","R"&amp;""&amp;'Dry_Litterbag Placem_Collection'!M172)</f>
        <v>R208</v>
      </c>
      <c r="AO393" t="b">
        <f t="shared" si="354"/>
        <v>0</v>
      </c>
      <c r="AP393" t="b">
        <f t="shared" si="355"/>
        <v>0</v>
      </c>
      <c r="AX393" s="388" t="b">
        <f t="shared" si="356"/>
        <v>0</v>
      </c>
      <c r="AY393" s="388" t="b">
        <f t="shared" si="357"/>
        <v>0</v>
      </c>
      <c r="BA393" t="str">
        <f>'Ashed teabags wet'!A391</f>
        <v>G865</v>
      </c>
      <c r="BB393" t="str">
        <f>'Ashed teabags wet'!A811</f>
        <v>R60</v>
      </c>
      <c r="BC393" t="b">
        <f t="shared" si="358"/>
        <v>0</v>
      </c>
      <c r="BD393" t="b">
        <f t="shared" si="340"/>
        <v>0</v>
      </c>
      <c r="BH393" t="str">
        <f t="shared" si="359"/>
        <v>G135</v>
      </c>
      <c r="BI393" t="str">
        <f t="shared" si="373"/>
        <v>G135</v>
      </c>
      <c r="BP393" t="str">
        <f t="shared" si="360"/>
        <v>R80</v>
      </c>
      <c r="BQ393" t="str">
        <f t="shared" si="361"/>
        <v>R80</v>
      </c>
      <c r="BZ393" t="str">
        <f t="shared" si="362"/>
        <v>G135</v>
      </c>
      <c r="CA393" t="b">
        <f t="shared" si="363"/>
        <v>0</v>
      </c>
      <c r="CB393" t="str">
        <f t="shared" si="374"/>
        <v>G135</v>
      </c>
      <c r="CC393" t="str">
        <f t="shared" si="364"/>
        <v>R80</v>
      </c>
      <c r="CD393" t="b">
        <f t="shared" si="375"/>
        <v>0</v>
      </c>
      <c r="CE393" t="str">
        <f t="shared" si="376"/>
        <v>R80</v>
      </c>
      <c r="CG393" t="str">
        <f t="shared" si="365"/>
        <v>G864</v>
      </c>
      <c r="CH393" t="str">
        <f t="shared" si="377"/>
        <v>G864</v>
      </c>
      <c r="CI393" t="str">
        <f t="shared" si="366"/>
        <v>G496</v>
      </c>
      <c r="CJ393" t="str">
        <f t="shared" si="367"/>
        <v>G496</v>
      </c>
      <c r="CK393" t="s">
        <v>1186</v>
      </c>
      <c r="CL393" t="s">
        <v>1186</v>
      </c>
      <c r="CM393" t="s">
        <v>1186</v>
      </c>
      <c r="CN393" t="b">
        <f t="shared" si="378"/>
        <v>1</v>
      </c>
      <c r="CO393" t="str">
        <f t="shared" si="368"/>
        <v>R6</v>
      </c>
      <c r="CP393" t="str">
        <f t="shared" si="379"/>
        <v>R6</v>
      </c>
      <c r="CQ393" t="str">
        <f t="shared" si="369"/>
        <v>R403</v>
      </c>
      <c r="CR393" t="str">
        <f t="shared" si="370"/>
        <v>R403</v>
      </c>
      <c r="CS393" t="s">
        <v>1135</v>
      </c>
      <c r="CT393" t="s">
        <v>1135</v>
      </c>
      <c r="CU393" t="s">
        <v>1135</v>
      </c>
      <c r="CV393" t="b">
        <f t="shared" si="380"/>
        <v>1</v>
      </c>
      <c r="DC393" t="str">
        <f t="shared" si="371"/>
        <v>G496</v>
      </c>
      <c r="DD393" t="b">
        <f t="shared" si="381"/>
        <v>0</v>
      </c>
      <c r="DE393" t="str">
        <f t="shared" si="382"/>
        <v>G496</v>
      </c>
      <c r="DF393" t="str">
        <f t="shared" si="372"/>
        <v>R403</v>
      </c>
      <c r="DG393" t="b">
        <f t="shared" si="383"/>
        <v>0</v>
      </c>
      <c r="DH393" t="str">
        <f t="shared" si="384"/>
        <v>R403</v>
      </c>
    </row>
    <row r="394" spans="2:112" ht="12" customHeight="1">
      <c r="B394" t="str">
        <f>TBIDry!H466</f>
        <v>G348</v>
      </c>
      <c r="C394" t="str">
        <f>TBIDry!I466</f>
        <v>R633</v>
      </c>
      <c r="D394" t="b">
        <f t="shared" si="341"/>
        <v>0</v>
      </c>
      <c r="E394" t="b">
        <f t="shared" si="342"/>
        <v>0</v>
      </c>
      <c r="G394" t="str">
        <f>TBIWet!H466</f>
        <v>G504</v>
      </c>
      <c r="H394" t="str">
        <f>TBIWet!I466</f>
        <v>R451</v>
      </c>
      <c r="I394" t="b">
        <f t="shared" si="343"/>
        <v>0</v>
      </c>
      <c r="J394" t="b">
        <f t="shared" si="344"/>
        <v>0</v>
      </c>
      <c r="L394" t="str">
        <f>'Both teabags AfterWet'!A392</f>
        <v>G867</v>
      </c>
      <c r="M394" t="str">
        <f>'Both teabags AfterWet'!A812</f>
        <v>R600</v>
      </c>
      <c r="N394" t="b">
        <f t="shared" si="345"/>
        <v>0</v>
      </c>
      <c r="O394" t="b">
        <f t="shared" si="385"/>
        <v>0</v>
      </c>
      <c r="Q394" s="388" t="b">
        <f t="shared" si="346"/>
        <v>0</v>
      </c>
      <c r="R394" s="388" t="b">
        <f t="shared" si="347"/>
        <v>0</v>
      </c>
      <c r="Y394" t="str">
        <f>'Green_rooibos initial weight'!A395</f>
        <v>G391</v>
      </c>
      <c r="Z394" t="str">
        <f>'Green_rooibos initial weight'!A1299</f>
        <v>R391</v>
      </c>
      <c r="AA394" t="b">
        <f t="shared" si="348"/>
        <v>0</v>
      </c>
      <c r="AB394" t="b">
        <f t="shared" si="349"/>
        <v>0</v>
      </c>
      <c r="AE394" t="str">
        <f>'WetLitterbags placem_collection'!O173</f>
        <v>G504</v>
      </c>
      <c r="AF394" t="str">
        <f>'WetLitterbags placem_collection'!Q173</f>
        <v>R451</v>
      </c>
      <c r="AG394" t="b">
        <f t="shared" si="350"/>
        <v>0</v>
      </c>
      <c r="AH394" t="b">
        <f t="shared" si="351"/>
        <v>0</v>
      </c>
      <c r="AJ394" t="b">
        <f t="shared" si="352"/>
        <v>0</v>
      </c>
      <c r="AK394" t="b">
        <f t="shared" si="353"/>
        <v>0</v>
      </c>
      <c r="AM394" t="str">
        <f>IF(ISBLANK('Dry_Litterbag Placem_Collection'!L173),"","G"&amp;""&amp;'Dry_Litterbag Placem_Collection'!L173)</f>
        <v>G348</v>
      </c>
      <c r="AN394" t="str">
        <f>IF(ISBLANK('Dry_Litterbag Placem_Collection'!M173),"","R"&amp;""&amp;'Dry_Litterbag Placem_Collection'!M173)</f>
        <v>R633</v>
      </c>
      <c r="AO394" t="b">
        <f t="shared" si="354"/>
        <v>0</v>
      </c>
      <c r="AP394" t="b">
        <f t="shared" si="355"/>
        <v>0</v>
      </c>
      <c r="AX394" s="388" t="b">
        <f t="shared" si="356"/>
        <v>0</v>
      </c>
      <c r="AY394" s="388" t="b">
        <f t="shared" si="357"/>
        <v>0</v>
      </c>
      <c r="BA394" t="str">
        <f>'Ashed teabags wet'!A392</f>
        <v>G867</v>
      </c>
      <c r="BB394" t="str">
        <f>'Ashed teabags wet'!A812</f>
        <v>R600</v>
      </c>
      <c r="BC394" t="b">
        <f t="shared" si="358"/>
        <v>0</v>
      </c>
      <c r="BD394" t="b">
        <f t="shared" si="340"/>
        <v>0</v>
      </c>
      <c r="BH394" t="str">
        <f t="shared" si="359"/>
        <v>G515</v>
      </c>
      <c r="BI394" t="str">
        <f t="shared" si="373"/>
        <v>G515</v>
      </c>
      <c r="BP394" t="str">
        <f t="shared" si="360"/>
        <v>R208</v>
      </c>
      <c r="BQ394" t="str">
        <f t="shared" si="361"/>
        <v>R208</v>
      </c>
      <c r="BZ394" t="str">
        <f t="shared" si="362"/>
        <v>G515</v>
      </c>
      <c r="CA394" t="b">
        <f t="shared" si="363"/>
        <v>0</v>
      </c>
      <c r="CB394" t="str">
        <f t="shared" si="374"/>
        <v>G515</v>
      </c>
      <c r="CC394" t="str">
        <f t="shared" si="364"/>
        <v>R208</v>
      </c>
      <c r="CD394" t="b">
        <f t="shared" si="375"/>
        <v>0</v>
      </c>
      <c r="CE394" t="str">
        <f t="shared" si="376"/>
        <v>R208</v>
      </c>
      <c r="CG394" t="str">
        <f t="shared" si="365"/>
        <v>G865</v>
      </c>
      <c r="CH394" t="str">
        <f t="shared" si="377"/>
        <v>G865</v>
      </c>
      <c r="CI394" t="str">
        <f t="shared" si="366"/>
        <v>G674</v>
      </c>
      <c r="CJ394" t="str">
        <f t="shared" si="367"/>
        <v>G674</v>
      </c>
      <c r="CK394" t="s">
        <v>1185</v>
      </c>
      <c r="CL394" t="s">
        <v>1185</v>
      </c>
      <c r="CM394" t="s">
        <v>1185</v>
      </c>
      <c r="CN394" t="b">
        <f t="shared" si="378"/>
        <v>1</v>
      </c>
      <c r="CO394" t="str">
        <f t="shared" si="368"/>
        <v>R60</v>
      </c>
      <c r="CP394" t="str">
        <f t="shared" si="379"/>
        <v>R60</v>
      </c>
      <c r="CQ394" t="str">
        <f t="shared" si="369"/>
        <v>R583</v>
      </c>
      <c r="CR394" t="str">
        <f t="shared" si="370"/>
        <v>R583</v>
      </c>
      <c r="CS394" t="s">
        <v>1081</v>
      </c>
      <c r="CT394" t="s">
        <v>1081</v>
      </c>
      <c r="CU394" t="s">
        <v>1081</v>
      </c>
      <c r="CV394" t="b">
        <f t="shared" si="380"/>
        <v>1</v>
      </c>
      <c r="DC394" t="str">
        <f t="shared" si="371"/>
        <v>G674</v>
      </c>
      <c r="DD394" t="b">
        <f t="shared" si="381"/>
        <v>0</v>
      </c>
      <c r="DE394" t="str">
        <f t="shared" si="382"/>
        <v>G674</v>
      </c>
      <c r="DF394" t="str">
        <f t="shared" si="372"/>
        <v>R583</v>
      </c>
      <c r="DG394" t="b">
        <f t="shared" si="383"/>
        <v>0</v>
      </c>
      <c r="DH394" t="str">
        <f t="shared" si="384"/>
        <v>R583</v>
      </c>
    </row>
    <row r="395" spans="2:112" ht="12" customHeight="1">
      <c r="B395" t="str">
        <f>TBIDry!H467</f>
        <v/>
      </c>
      <c r="C395" t="str">
        <f>TBIDry!I467</f>
        <v/>
      </c>
      <c r="D395" t="b">
        <f t="shared" si="341"/>
        <v>1</v>
      </c>
      <c r="E395" t="b">
        <f t="shared" si="342"/>
        <v>1</v>
      </c>
      <c r="G395" t="str">
        <f>TBIWet!H467</f>
        <v>G439</v>
      </c>
      <c r="H395" t="str">
        <f>TBIWet!I467</f>
        <v>R353</v>
      </c>
      <c r="I395" t="b">
        <f t="shared" si="343"/>
        <v>0</v>
      </c>
      <c r="J395" t="b">
        <f t="shared" si="344"/>
        <v>0</v>
      </c>
      <c r="L395" t="str">
        <f>'Both teabags AfterWet'!A393</f>
        <v>G869</v>
      </c>
      <c r="M395" t="str">
        <f>'Both teabags AfterWet'!A813</f>
        <v>R601</v>
      </c>
      <c r="N395" t="b">
        <f t="shared" si="345"/>
        <v>0</v>
      </c>
      <c r="O395" t="b">
        <f t="shared" si="385"/>
        <v>0</v>
      </c>
      <c r="Q395" s="388" t="b">
        <f t="shared" si="346"/>
        <v>0</v>
      </c>
      <c r="R395" s="388" t="b">
        <f xml:space="preserve"> COUNTIF($U$4:$U$2000,M395)=1</f>
        <v>0</v>
      </c>
      <c r="Y395" t="str">
        <f>'Green_rooibos initial weight'!A396</f>
        <v>G392</v>
      </c>
      <c r="Z395" t="str">
        <f>'Green_rooibos initial weight'!A1300</f>
        <v>R392</v>
      </c>
      <c r="AA395" t="b">
        <f t="shared" si="348"/>
        <v>0</v>
      </c>
      <c r="AB395" t="b">
        <f t="shared" si="349"/>
        <v>0</v>
      </c>
      <c r="AE395" t="str">
        <f>'WetLitterbags placem_collection'!O174</f>
        <v>G439</v>
      </c>
      <c r="AF395" t="str">
        <f>'WetLitterbags placem_collection'!Q174</f>
        <v>R353</v>
      </c>
      <c r="AG395" t="b">
        <f t="shared" si="350"/>
        <v>0</v>
      </c>
      <c r="AH395" t="b">
        <f t="shared" si="351"/>
        <v>0</v>
      </c>
      <c r="AJ395" t="b">
        <f t="shared" si="352"/>
        <v>0</v>
      </c>
      <c r="AK395" t="b">
        <f t="shared" si="353"/>
        <v>0</v>
      </c>
      <c r="AM395" t="str">
        <f>IF(ISBLANK('Dry_Litterbag Placem_Collection'!L174),"","G"&amp;""&amp;'Dry_Litterbag Placem_Collection'!L174)</f>
        <v/>
      </c>
      <c r="AN395" t="str">
        <f>IF(ISBLANK('Dry_Litterbag Placem_Collection'!M174),"","R"&amp;""&amp;'Dry_Litterbag Placem_Collection'!M174)</f>
        <v/>
      </c>
      <c r="AO395" t="b">
        <f t="shared" si="354"/>
        <v>1</v>
      </c>
      <c r="AP395" t="b">
        <f t="shared" si="355"/>
        <v>1</v>
      </c>
      <c r="AX395" s="388" t="b">
        <f t="shared" si="356"/>
        <v>0</v>
      </c>
      <c r="AY395" s="388" t="b">
        <f t="shared" si="357"/>
        <v>0</v>
      </c>
      <c r="BA395" t="str">
        <f>'Ashed teabags wet'!A393</f>
        <v>G869</v>
      </c>
      <c r="BB395" t="str">
        <f>'Ashed teabags wet'!A813</f>
        <v>R601</v>
      </c>
      <c r="BC395" t="b">
        <f t="shared" si="358"/>
        <v>0</v>
      </c>
      <c r="BD395" t="b">
        <f t="shared" si="340"/>
        <v>0</v>
      </c>
      <c r="BH395" t="str">
        <f t="shared" si="359"/>
        <v>G348</v>
      </c>
      <c r="BI395" t="str">
        <f t="shared" si="373"/>
        <v>G348</v>
      </c>
      <c r="BP395" t="str">
        <f t="shared" si="360"/>
        <v>R633</v>
      </c>
      <c r="BQ395" t="str">
        <f t="shared" si="361"/>
        <v>R633</v>
      </c>
      <c r="BZ395" t="str">
        <f t="shared" si="362"/>
        <v>G348</v>
      </c>
      <c r="CA395" t="b">
        <f t="shared" si="363"/>
        <v>0</v>
      </c>
      <c r="CB395" t="str">
        <f t="shared" si="374"/>
        <v>G348</v>
      </c>
      <c r="CC395" t="str">
        <f t="shared" si="364"/>
        <v>R633</v>
      </c>
      <c r="CD395" t="b">
        <f t="shared" si="375"/>
        <v>0</v>
      </c>
      <c r="CE395" t="str">
        <f t="shared" si="376"/>
        <v>R633</v>
      </c>
      <c r="CG395" t="str">
        <f t="shared" si="365"/>
        <v>G867</v>
      </c>
      <c r="CH395" t="str">
        <f t="shared" si="377"/>
        <v>G867</v>
      </c>
      <c r="CI395" t="str">
        <f t="shared" si="366"/>
        <v>G504</v>
      </c>
      <c r="CJ395" t="str">
        <f t="shared" si="367"/>
        <v>G504</v>
      </c>
      <c r="CK395" t="s">
        <v>1183</v>
      </c>
      <c r="CL395" t="s">
        <v>1183</v>
      </c>
      <c r="CM395" t="s">
        <v>1183</v>
      </c>
      <c r="CN395" t="b">
        <f t="shared" si="378"/>
        <v>1</v>
      </c>
      <c r="CO395" t="str">
        <f t="shared" si="368"/>
        <v>R600</v>
      </c>
      <c r="CP395" t="str">
        <f t="shared" si="379"/>
        <v>R600</v>
      </c>
      <c r="CQ395" t="str">
        <f t="shared" si="369"/>
        <v>R451</v>
      </c>
      <c r="CR395" t="str">
        <f t="shared" si="370"/>
        <v>R451</v>
      </c>
      <c r="CS395" t="s">
        <v>541</v>
      </c>
      <c r="CT395" t="s">
        <v>541</v>
      </c>
      <c r="CU395" t="s">
        <v>541</v>
      </c>
      <c r="CV395" t="b">
        <f t="shared" si="380"/>
        <v>1</v>
      </c>
      <c r="DC395" t="str">
        <f t="shared" si="371"/>
        <v>G504</v>
      </c>
      <c r="DD395" t="b">
        <f t="shared" si="381"/>
        <v>0</v>
      </c>
      <c r="DE395" t="str">
        <f t="shared" si="382"/>
        <v>G504</v>
      </c>
      <c r="DF395" t="str">
        <f t="shared" si="372"/>
        <v>R451</v>
      </c>
      <c r="DG395" t="b">
        <f t="shared" si="383"/>
        <v>0</v>
      </c>
      <c r="DH395" t="str">
        <f t="shared" si="384"/>
        <v>R451</v>
      </c>
    </row>
    <row r="396" spans="2:112" ht="12" customHeight="1">
      <c r="B396" t="str">
        <f>TBIDry!H468</f>
        <v>G307</v>
      </c>
      <c r="C396" t="str">
        <f>TBIDry!I468</f>
        <v>R473</v>
      </c>
      <c r="D396" t="b">
        <f t="shared" si="341"/>
        <v>0</v>
      </c>
      <c r="E396" t="b">
        <f t="shared" si="342"/>
        <v>0</v>
      </c>
      <c r="G396" t="str">
        <f>TBIWet!H468</f>
        <v>G865</v>
      </c>
      <c r="H396" t="str">
        <f>TBIWet!I468</f>
        <v>R105</v>
      </c>
      <c r="I396" t="b">
        <f t="shared" si="343"/>
        <v>0</v>
      </c>
      <c r="J396" t="b">
        <f t="shared" si="344"/>
        <v>0</v>
      </c>
      <c r="L396" t="str">
        <f>'Both teabags AfterWet'!A394</f>
        <v>G871</v>
      </c>
      <c r="M396" t="str">
        <f>'Both teabags AfterWet'!A814</f>
        <v>R62</v>
      </c>
      <c r="N396" t="b">
        <f t="shared" si="345"/>
        <v>0</v>
      </c>
      <c r="O396" t="b">
        <f t="shared" si="385"/>
        <v>0</v>
      </c>
      <c r="Q396" s="388" t="b">
        <f t="shared" si="346"/>
        <v>0</v>
      </c>
      <c r="R396" s="388" t="b">
        <f t="shared" si="347"/>
        <v>0</v>
      </c>
      <c r="Y396" t="str">
        <f>'Green_rooibos initial weight'!A397</f>
        <v>G393</v>
      </c>
      <c r="Z396" t="str">
        <f>'Green_rooibos initial weight'!A1301</f>
        <v>R393</v>
      </c>
      <c r="AA396" t="b">
        <f t="shared" si="348"/>
        <v>0</v>
      </c>
      <c r="AB396" t="b">
        <f t="shared" si="349"/>
        <v>0</v>
      </c>
      <c r="AE396" t="str">
        <f>'WetLitterbags placem_collection'!O175</f>
        <v>G865</v>
      </c>
      <c r="AF396" t="str">
        <f>'WetLitterbags placem_collection'!Q175</f>
        <v>R105</v>
      </c>
      <c r="AG396" t="b">
        <f t="shared" si="350"/>
        <v>0</v>
      </c>
      <c r="AH396" t="b">
        <f t="shared" si="351"/>
        <v>0</v>
      </c>
      <c r="AJ396" t="b">
        <f t="shared" si="352"/>
        <v>0</v>
      </c>
      <c r="AK396" t="b">
        <f t="shared" si="353"/>
        <v>0</v>
      </c>
      <c r="AM396" t="str">
        <f>IF(ISBLANK('Dry_Litterbag Placem_Collection'!L175),"","G"&amp;""&amp;'Dry_Litterbag Placem_Collection'!L175)</f>
        <v>G307</v>
      </c>
      <c r="AN396" t="str">
        <f>IF(ISBLANK('Dry_Litterbag Placem_Collection'!M175),"","R"&amp;""&amp;'Dry_Litterbag Placem_Collection'!M175)</f>
        <v>R473</v>
      </c>
      <c r="AO396" t="b">
        <f t="shared" si="354"/>
        <v>0</v>
      </c>
      <c r="AP396" t="b">
        <f t="shared" si="355"/>
        <v>0</v>
      </c>
      <c r="AX396" s="388" t="b">
        <f t="shared" si="356"/>
        <v>0</v>
      </c>
      <c r="AY396" s="388" t="b">
        <f t="shared" si="357"/>
        <v>0</v>
      </c>
      <c r="BA396" t="str">
        <f>'Ashed teabags wet'!A394</f>
        <v>G871</v>
      </c>
      <c r="BB396" t="str">
        <f>'Ashed teabags wet'!A814</f>
        <v>R62</v>
      </c>
      <c r="BC396" t="b">
        <f t="shared" si="358"/>
        <v>0</v>
      </c>
      <c r="BD396" t="b">
        <f t="shared" si="340"/>
        <v>0</v>
      </c>
      <c r="BH396" t="str">
        <f t="shared" si="359"/>
        <v/>
      </c>
      <c r="BI396" t="str">
        <f t="shared" si="373"/>
        <v/>
      </c>
      <c r="BP396" t="str">
        <f t="shared" si="360"/>
        <v/>
      </c>
      <c r="BQ396" t="str">
        <f t="shared" si="361"/>
        <v/>
      </c>
      <c r="BZ396" t="str">
        <f t="shared" si="362"/>
        <v/>
      </c>
      <c r="CA396" t="b">
        <f t="shared" si="363"/>
        <v>0</v>
      </c>
      <c r="CB396" t="str">
        <f t="shared" si="374"/>
        <v/>
      </c>
      <c r="CC396" t="str">
        <f t="shared" si="364"/>
        <v/>
      </c>
      <c r="CD396" t="b">
        <f t="shared" si="375"/>
        <v>0</v>
      </c>
      <c r="CE396" t="str">
        <f t="shared" si="376"/>
        <v/>
      </c>
      <c r="CG396" t="str">
        <f t="shared" si="365"/>
        <v>G869</v>
      </c>
      <c r="CH396" t="str">
        <f t="shared" si="377"/>
        <v>G869</v>
      </c>
      <c r="CI396" t="str">
        <f t="shared" si="366"/>
        <v>G439</v>
      </c>
      <c r="CJ396" t="str">
        <f t="shared" si="367"/>
        <v>G439</v>
      </c>
      <c r="CK396" t="s">
        <v>1181</v>
      </c>
      <c r="CL396" t="s">
        <v>1181</v>
      </c>
      <c r="CM396" t="s">
        <v>1181</v>
      </c>
      <c r="CN396" t="b">
        <f t="shared" si="378"/>
        <v>1</v>
      </c>
      <c r="CO396" t="str">
        <f t="shared" si="368"/>
        <v>R601</v>
      </c>
      <c r="CP396" t="str">
        <f t="shared" si="379"/>
        <v>R601</v>
      </c>
      <c r="CQ396" t="str">
        <f t="shared" si="369"/>
        <v>R353</v>
      </c>
      <c r="CR396" t="str">
        <f t="shared" si="370"/>
        <v>R353</v>
      </c>
      <c r="CS396" t="s">
        <v>539</v>
      </c>
      <c r="CT396" t="s">
        <v>539</v>
      </c>
      <c r="CU396" t="s">
        <v>539</v>
      </c>
      <c r="CV396" t="b">
        <f t="shared" si="380"/>
        <v>1</v>
      </c>
      <c r="DC396" t="str">
        <f t="shared" si="371"/>
        <v>G439</v>
      </c>
      <c r="DD396" t="b">
        <f t="shared" si="381"/>
        <v>0</v>
      </c>
      <c r="DE396" t="str">
        <f t="shared" si="382"/>
        <v>G439</v>
      </c>
      <c r="DF396" t="str">
        <f t="shared" si="372"/>
        <v>R353</v>
      </c>
      <c r="DG396" t="b">
        <f t="shared" si="383"/>
        <v>0</v>
      </c>
      <c r="DH396" t="str">
        <f t="shared" si="384"/>
        <v>R353</v>
      </c>
    </row>
    <row r="397" spans="2:112" ht="12" customHeight="1">
      <c r="B397" t="str">
        <f>TBIDry!H469</f>
        <v>G155</v>
      </c>
      <c r="C397" t="str">
        <f>TBIDry!I469</f>
        <v>R702</v>
      </c>
      <c r="D397" t="b">
        <f t="shared" si="341"/>
        <v>0</v>
      </c>
      <c r="E397" t="b">
        <f t="shared" si="342"/>
        <v>0</v>
      </c>
      <c r="G397" t="str">
        <f>TBIWet!H469</f>
        <v>G736</v>
      </c>
      <c r="H397" t="str">
        <f>TBIWet!I469</f>
        <v>R384</v>
      </c>
      <c r="I397" t="b">
        <f t="shared" si="343"/>
        <v>0</v>
      </c>
      <c r="J397" t="b">
        <f t="shared" si="344"/>
        <v>0</v>
      </c>
      <c r="L397" t="str">
        <f>'Both teabags AfterWet'!A395</f>
        <v>G875</v>
      </c>
      <c r="M397" t="str">
        <f>'Both teabags AfterWet'!A815</f>
        <v>R63</v>
      </c>
      <c r="N397" t="b">
        <f t="shared" si="345"/>
        <v>0</v>
      </c>
      <c r="O397" t="b">
        <f t="shared" si="385"/>
        <v>0</v>
      </c>
      <c r="Q397" s="388" t="b">
        <f t="shared" si="346"/>
        <v>0</v>
      </c>
      <c r="R397" s="388" t="b">
        <f t="shared" si="347"/>
        <v>0</v>
      </c>
      <c r="Y397" t="str">
        <f>'Green_rooibos initial weight'!A398</f>
        <v>G394</v>
      </c>
      <c r="Z397" t="str">
        <f>'Green_rooibos initial weight'!A1302</f>
        <v>R394</v>
      </c>
      <c r="AA397" t="b">
        <f t="shared" si="348"/>
        <v>0</v>
      </c>
      <c r="AB397" t="b">
        <f t="shared" si="349"/>
        <v>0</v>
      </c>
      <c r="AE397" t="str">
        <f>'WetLitterbags placem_collection'!O176</f>
        <v>G736</v>
      </c>
      <c r="AF397" t="str">
        <f>'WetLitterbags placem_collection'!Q176</f>
        <v>R384</v>
      </c>
      <c r="AG397" t="b">
        <f t="shared" si="350"/>
        <v>0</v>
      </c>
      <c r="AH397" t="b">
        <f t="shared" si="351"/>
        <v>0</v>
      </c>
      <c r="AJ397" t="b">
        <f t="shared" si="352"/>
        <v>0</v>
      </c>
      <c r="AK397" t="b">
        <f t="shared" si="353"/>
        <v>0</v>
      </c>
      <c r="AM397" t="str">
        <f>IF(ISBLANK('Dry_Litterbag Placem_Collection'!L176),"","G"&amp;""&amp;'Dry_Litterbag Placem_Collection'!L176)</f>
        <v>G155</v>
      </c>
      <c r="AN397" t="str">
        <f>IF(ISBLANK('Dry_Litterbag Placem_Collection'!M176),"","R"&amp;""&amp;'Dry_Litterbag Placem_Collection'!M176)</f>
        <v>R702</v>
      </c>
      <c r="AO397" t="b">
        <f t="shared" si="354"/>
        <v>0</v>
      </c>
      <c r="AP397" t="b">
        <f t="shared" si="355"/>
        <v>0</v>
      </c>
      <c r="AX397" s="388" t="b">
        <f t="shared" si="356"/>
        <v>0</v>
      </c>
      <c r="AY397" s="388" t="b">
        <f t="shared" si="357"/>
        <v>0</v>
      </c>
      <c r="BA397" t="str">
        <f>'Ashed teabags wet'!A395</f>
        <v>G875</v>
      </c>
      <c r="BB397" t="str">
        <f>'Ashed teabags wet'!A815</f>
        <v>R63</v>
      </c>
      <c r="BC397" t="b">
        <f t="shared" si="358"/>
        <v>0</v>
      </c>
      <c r="BD397" t="b">
        <f t="shared" si="340"/>
        <v>0</v>
      </c>
      <c r="BH397" t="str">
        <f t="shared" si="359"/>
        <v>G307</v>
      </c>
      <c r="BI397" t="str">
        <f t="shared" si="373"/>
        <v/>
      </c>
      <c r="BP397" t="str">
        <f t="shared" si="360"/>
        <v>R473</v>
      </c>
      <c r="BQ397" t="str">
        <f t="shared" si="361"/>
        <v/>
      </c>
      <c r="BZ397" t="str">
        <f t="shared" si="362"/>
        <v>G307</v>
      </c>
      <c r="CA397" t="b">
        <f t="shared" si="363"/>
        <v>1</v>
      </c>
      <c r="CB397" t="str">
        <f t="shared" si="374"/>
        <v/>
      </c>
      <c r="CC397" t="str">
        <f t="shared" si="364"/>
        <v>R473</v>
      </c>
      <c r="CD397" t="b">
        <f t="shared" si="375"/>
        <v>1</v>
      </c>
      <c r="CE397" t="str">
        <f t="shared" si="376"/>
        <v/>
      </c>
      <c r="CG397" t="str">
        <f t="shared" si="365"/>
        <v>G871</v>
      </c>
      <c r="CH397" t="str">
        <f t="shared" si="377"/>
        <v>G871</v>
      </c>
      <c r="CI397" t="str">
        <f t="shared" si="366"/>
        <v>G865</v>
      </c>
      <c r="CJ397" t="str">
        <f t="shared" si="367"/>
        <v>G865</v>
      </c>
      <c r="CK397" t="s">
        <v>1179</v>
      </c>
      <c r="CL397" t="s">
        <v>1179</v>
      </c>
      <c r="CM397" t="s">
        <v>1179</v>
      </c>
      <c r="CN397" t="b">
        <f t="shared" si="378"/>
        <v>1</v>
      </c>
      <c r="CO397" t="str">
        <f t="shared" si="368"/>
        <v>R62</v>
      </c>
      <c r="CP397" t="str">
        <f t="shared" si="379"/>
        <v>R62</v>
      </c>
      <c r="CQ397" t="str">
        <f t="shared" si="369"/>
        <v>R105</v>
      </c>
      <c r="CR397" t="str">
        <f t="shared" si="370"/>
        <v>R105</v>
      </c>
      <c r="CS397" t="s">
        <v>1079</v>
      </c>
      <c r="CT397" t="s">
        <v>1079</v>
      </c>
      <c r="CU397" t="s">
        <v>1079</v>
      </c>
      <c r="CV397" t="b">
        <f t="shared" si="380"/>
        <v>1</v>
      </c>
      <c r="DC397" t="str">
        <f t="shared" si="371"/>
        <v>G865</v>
      </c>
      <c r="DD397" t="b">
        <f t="shared" si="381"/>
        <v>0</v>
      </c>
      <c r="DE397" t="str">
        <f t="shared" si="382"/>
        <v>G865</v>
      </c>
      <c r="DF397" t="str">
        <f t="shared" si="372"/>
        <v>R105</v>
      </c>
      <c r="DG397" t="b">
        <f t="shared" si="383"/>
        <v>0</v>
      </c>
      <c r="DH397" t="str">
        <f t="shared" si="384"/>
        <v>R105</v>
      </c>
    </row>
    <row r="398" spans="2:112" ht="12" customHeight="1">
      <c r="B398" t="str">
        <f>TBIDry!H470</f>
        <v>G719</v>
      </c>
      <c r="C398" t="str">
        <f>TBIDry!I470</f>
        <v>R175</v>
      </c>
      <c r="D398" t="b">
        <f t="shared" si="341"/>
        <v>0</v>
      </c>
      <c r="E398" t="b">
        <f t="shared" si="342"/>
        <v>0</v>
      </c>
      <c r="G398" t="str">
        <f>TBIWet!H470</f>
        <v>G772</v>
      </c>
      <c r="H398" t="str">
        <f>TBIWet!I470</f>
        <v>R481</v>
      </c>
      <c r="I398" t="b">
        <f t="shared" si="343"/>
        <v>0</v>
      </c>
      <c r="J398" t="b">
        <f t="shared" si="344"/>
        <v>0</v>
      </c>
      <c r="L398" t="str">
        <f>'Both teabags AfterWet'!A396</f>
        <v>G876</v>
      </c>
      <c r="M398" t="str">
        <f>'Both teabags AfterWet'!A816</f>
        <v>R64</v>
      </c>
      <c r="N398" t="b">
        <f t="shared" si="345"/>
        <v>0</v>
      </c>
      <c r="O398" t="b">
        <f t="shared" si="385"/>
        <v>0</v>
      </c>
      <c r="Q398" s="388" t="b">
        <f t="shared" si="346"/>
        <v>0</v>
      </c>
      <c r="R398" s="388" t="b">
        <f t="shared" si="347"/>
        <v>0</v>
      </c>
      <c r="Y398" t="str">
        <f>'Green_rooibos initial weight'!A399</f>
        <v>G395</v>
      </c>
      <c r="Z398" t="str">
        <f>'Green_rooibos initial weight'!A1303</f>
        <v>R395</v>
      </c>
      <c r="AA398" t="b">
        <f t="shared" si="348"/>
        <v>0</v>
      </c>
      <c r="AB398" t="b">
        <f t="shared" si="349"/>
        <v>0</v>
      </c>
      <c r="AE398" t="str">
        <f>'WetLitterbags placem_collection'!O177</f>
        <v>G772</v>
      </c>
      <c r="AF398" t="str">
        <f>'WetLitterbags placem_collection'!Q177</f>
        <v>R481</v>
      </c>
      <c r="AG398" t="b">
        <f t="shared" si="350"/>
        <v>0</v>
      </c>
      <c r="AH398" t="b">
        <f t="shared" si="351"/>
        <v>0</v>
      </c>
      <c r="AJ398" t="b">
        <f t="shared" si="352"/>
        <v>0</v>
      </c>
      <c r="AK398" t="b">
        <f t="shared" si="353"/>
        <v>0</v>
      </c>
      <c r="AM398" t="str">
        <f>IF(ISBLANK('Dry_Litterbag Placem_Collection'!L177),"","G"&amp;""&amp;'Dry_Litterbag Placem_Collection'!L177)</f>
        <v>G719</v>
      </c>
      <c r="AN398" t="str">
        <f>IF(ISBLANK('Dry_Litterbag Placem_Collection'!M177),"","R"&amp;""&amp;'Dry_Litterbag Placem_Collection'!M177)</f>
        <v>R175</v>
      </c>
      <c r="AO398" t="b">
        <f t="shared" si="354"/>
        <v>0</v>
      </c>
      <c r="AP398" t="b">
        <f t="shared" si="355"/>
        <v>0</v>
      </c>
      <c r="AX398" s="388" t="b">
        <f t="shared" si="356"/>
        <v>0</v>
      </c>
      <c r="AY398" s="388" t="b">
        <f t="shared" si="357"/>
        <v>0</v>
      </c>
      <c r="BA398" t="str">
        <f>'Ashed teabags wet'!A396</f>
        <v>G876</v>
      </c>
      <c r="BB398" t="str">
        <f>'Ashed teabags wet'!A816</f>
        <v>R64</v>
      </c>
      <c r="BC398" t="b">
        <f t="shared" si="358"/>
        <v>0</v>
      </c>
      <c r="BD398" t="b">
        <f t="shared" si="340"/>
        <v>0</v>
      </c>
      <c r="BH398" t="str">
        <f t="shared" si="359"/>
        <v>G155</v>
      </c>
      <c r="BI398" t="str">
        <f t="shared" si="373"/>
        <v>G155</v>
      </c>
      <c r="BP398" t="str">
        <f t="shared" si="360"/>
        <v>R702</v>
      </c>
      <c r="BQ398" t="str">
        <f t="shared" si="361"/>
        <v>R702</v>
      </c>
      <c r="BZ398" t="str">
        <f t="shared" si="362"/>
        <v>G155</v>
      </c>
      <c r="CA398" t="b">
        <f t="shared" si="363"/>
        <v>0</v>
      </c>
      <c r="CB398" t="str">
        <f t="shared" si="374"/>
        <v>G155</v>
      </c>
      <c r="CC398" t="str">
        <f t="shared" si="364"/>
        <v>R702</v>
      </c>
      <c r="CD398" t="b">
        <f t="shared" si="375"/>
        <v>0</v>
      </c>
      <c r="CE398" t="str">
        <f t="shared" si="376"/>
        <v>R702</v>
      </c>
      <c r="CG398" t="str">
        <f t="shared" si="365"/>
        <v>G875</v>
      </c>
      <c r="CH398" t="str">
        <f t="shared" si="377"/>
        <v>G875</v>
      </c>
      <c r="CI398" t="str">
        <f t="shared" si="366"/>
        <v>G736</v>
      </c>
      <c r="CJ398" t="str">
        <f t="shared" si="367"/>
        <v>G736</v>
      </c>
      <c r="CK398" t="s">
        <v>1175</v>
      </c>
      <c r="CL398" t="s">
        <v>1175</v>
      </c>
      <c r="CM398" t="s">
        <v>1175</v>
      </c>
      <c r="CN398" t="b">
        <f t="shared" si="378"/>
        <v>1</v>
      </c>
      <c r="CO398" t="str">
        <f t="shared" si="368"/>
        <v>R63</v>
      </c>
      <c r="CP398" t="str">
        <f t="shared" si="379"/>
        <v>R63</v>
      </c>
      <c r="CQ398" t="str">
        <f t="shared" si="369"/>
        <v>R384</v>
      </c>
      <c r="CR398" t="str">
        <f t="shared" si="370"/>
        <v>R384</v>
      </c>
      <c r="CS398" t="s">
        <v>1078</v>
      </c>
      <c r="CT398" t="s">
        <v>1078</v>
      </c>
      <c r="CU398" t="s">
        <v>1078</v>
      </c>
      <c r="CV398" t="b">
        <f t="shared" si="380"/>
        <v>1</v>
      </c>
      <c r="DC398" t="str">
        <f t="shared" si="371"/>
        <v>G736</v>
      </c>
      <c r="DD398" t="b">
        <f t="shared" si="381"/>
        <v>0</v>
      </c>
      <c r="DE398" t="str">
        <f t="shared" si="382"/>
        <v>G736</v>
      </c>
      <c r="DF398" t="str">
        <f t="shared" si="372"/>
        <v>R384</v>
      </c>
      <c r="DG398" t="b">
        <f t="shared" si="383"/>
        <v>0</v>
      </c>
      <c r="DH398" t="str">
        <f t="shared" si="384"/>
        <v>R384</v>
      </c>
    </row>
    <row r="399" spans="2:112" ht="12" customHeight="1">
      <c r="B399" t="str">
        <f>TBIDry!H471</f>
        <v>G323</v>
      </c>
      <c r="C399" t="str">
        <f>TBIDry!I471</f>
        <v>R332</v>
      </c>
      <c r="D399" t="b">
        <f t="shared" si="341"/>
        <v>0</v>
      </c>
      <c r="E399" t="b">
        <f t="shared" si="342"/>
        <v>0</v>
      </c>
      <c r="G399" t="str">
        <f>TBIWet!H471</f>
        <v>G470</v>
      </c>
      <c r="H399" t="str">
        <f>TBIWet!I471</f>
        <v>R490</v>
      </c>
      <c r="I399" t="b">
        <f t="shared" si="343"/>
        <v>0</v>
      </c>
      <c r="J399" t="b">
        <f t="shared" si="344"/>
        <v>0</v>
      </c>
      <c r="L399" t="str">
        <f>'Both teabags AfterWet'!A397</f>
        <v>G877</v>
      </c>
      <c r="M399" t="str">
        <f>'Both teabags AfterWet'!A817</f>
        <v>R65</v>
      </c>
      <c r="N399" t="b">
        <f t="shared" si="345"/>
        <v>0</v>
      </c>
      <c r="O399" t="b">
        <f t="shared" si="385"/>
        <v>0</v>
      </c>
      <c r="Q399" s="388" t="b">
        <f t="shared" si="346"/>
        <v>0</v>
      </c>
      <c r="R399" s="388" t="b">
        <f t="shared" si="347"/>
        <v>0</v>
      </c>
      <c r="Y399" t="str">
        <f>'Green_rooibos initial weight'!A400</f>
        <v>G396</v>
      </c>
      <c r="Z399" t="str">
        <f>'Green_rooibos initial weight'!A1304</f>
        <v>R396</v>
      </c>
      <c r="AA399" t="b">
        <f t="shared" si="348"/>
        <v>0</v>
      </c>
      <c r="AB399" t="b">
        <f t="shared" si="349"/>
        <v>0</v>
      </c>
      <c r="AE399" t="str">
        <f>'WetLitterbags placem_collection'!O178</f>
        <v>G470</v>
      </c>
      <c r="AF399" t="str">
        <f>'WetLitterbags placem_collection'!Q178</f>
        <v>R490</v>
      </c>
      <c r="AG399" t="b">
        <f t="shared" si="350"/>
        <v>0</v>
      </c>
      <c r="AH399" t="b">
        <f t="shared" si="351"/>
        <v>0</v>
      </c>
      <c r="AJ399" t="b">
        <f t="shared" si="352"/>
        <v>0</v>
      </c>
      <c r="AK399" t="b">
        <f t="shared" si="353"/>
        <v>0</v>
      </c>
      <c r="AM399" t="str">
        <f>IF(ISBLANK('Dry_Litterbag Placem_Collection'!L178),"","G"&amp;""&amp;'Dry_Litterbag Placem_Collection'!L178)</f>
        <v>G323</v>
      </c>
      <c r="AN399" t="str">
        <f>IF(ISBLANK('Dry_Litterbag Placem_Collection'!M178),"","R"&amp;""&amp;'Dry_Litterbag Placem_Collection'!M178)</f>
        <v>R332</v>
      </c>
      <c r="AO399" t="b">
        <f t="shared" si="354"/>
        <v>0</v>
      </c>
      <c r="AP399" t="b">
        <f t="shared" si="355"/>
        <v>0</v>
      </c>
      <c r="AX399" s="388" t="b">
        <f t="shared" si="356"/>
        <v>0</v>
      </c>
      <c r="AY399" s="388" t="b">
        <f t="shared" si="357"/>
        <v>0</v>
      </c>
      <c r="BA399" t="str">
        <f>'Ashed teabags wet'!A397</f>
        <v>G877</v>
      </c>
      <c r="BB399" t="str">
        <f>'Ashed teabags wet'!A817</f>
        <v>R65</v>
      </c>
      <c r="BC399" t="b">
        <f t="shared" si="358"/>
        <v>0</v>
      </c>
      <c r="BD399" t="b">
        <f t="shared" si="340"/>
        <v>0</v>
      </c>
      <c r="BH399" t="str">
        <f t="shared" si="359"/>
        <v>G719</v>
      </c>
      <c r="BI399" t="str">
        <f t="shared" si="373"/>
        <v>G719</v>
      </c>
      <c r="BP399" t="str">
        <f t="shared" si="360"/>
        <v>R175</v>
      </c>
      <c r="BQ399" t="str">
        <f t="shared" si="361"/>
        <v>R175</v>
      </c>
      <c r="BZ399" t="str">
        <f t="shared" si="362"/>
        <v>G719</v>
      </c>
      <c r="CA399" t="b">
        <f t="shared" si="363"/>
        <v>0</v>
      </c>
      <c r="CB399" t="str">
        <f t="shared" si="374"/>
        <v>G719</v>
      </c>
      <c r="CC399" t="str">
        <f t="shared" si="364"/>
        <v>R175</v>
      </c>
      <c r="CD399" t="b">
        <f t="shared" si="375"/>
        <v>0</v>
      </c>
      <c r="CE399" t="str">
        <f t="shared" si="376"/>
        <v>R175</v>
      </c>
      <c r="CG399" t="str">
        <f t="shared" si="365"/>
        <v>G876</v>
      </c>
      <c r="CH399" t="str">
        <f t="shared" si="377"/>
        <v>G876</v>
      </c>
      <c r="CI399" t="str">
        <f t="shared" si="366"/>
        <v>G772</v>
      </c>
      <c r="CJ399" t="str">
        <f t="shared" si="367"/>
        <v>G772</v>
      </c>
      <c r="CK399" t="s">
        <v>1174</v>
      </c>
      <c r="CL399" t="s">
        <v>1174</v>
      </c>
      <c r="CM399" t="s">
        <v>1174</v>
      </c>
      <c r="CN399" t="b">
        <f t="shared" si="378"/>
        <v>1</v>
      </c>
      <c r="CO399" t="str">
        <f t="shared" si="368"/>
        <v>R64</v>
      </c>
      <c r="CP399" t="str">
        <f t="shared" si="379"/>
        <v>R64</v>
      </c>
      <c r="CQ399" t="str">
        <f t="shared" si="369"/>
        <v>R481</v>
      </c>
      <c r="CR399" t="str">
        <f t="shared" si="370"/>
        <v>R481</v>
      </c>
      <c r="CS399" t="s">
        <v>1077</v>
      </c>
      <c r="CT399" t="s">
        <v>1077</v>
      </c>
      <c r="CU399" t="s">
        <v>1077</v>
      </c>
      <c r="CV399" t="b">
        <f t="shared" si="380"/>
        <v>1</v>
      </c>
      <c r="DC399" t="str">
        <f t="shared" si="371"/>
        <v>G772</v>
      </c>
      <c r="DD399" t="b">
        <f t="shared" si="381"/>
        <v>0</v>
      </c>
      <c r="DE399" t="str">
        <f t="shared" si="382"/>
        <v>G772</v>
      </c>
      <c r="DF399" t="str">
        <f t="shared" si="372"/>
        <v>R481</v>
      </c>
      <c r="DG399" t="b">
        <f t="shared" si="383"/>
        <v>0</v>
      </c>
      <c r="DH399" t="str">
        <f t="shared" si="384"/>
        <v>R481</v>
      </c>
    </row>
    <row r="400" spans="2:112" ht="12" customHeight="1">
      <c r="B400" t="str">
        <f>TBIDry!H472</f>
        <v>G14</v>
      </c>
      <c r="C400" t="str">
        <f>TBIDry!I472</f>
        <v>R70</v>
      </c>
      <c r="D400" t="b">
        <f t="shared" si="341"/>
        <v>0</v>
      </c>
      <c r="E400" t="b">
        <f t="shared" si="342"/>
        <v>0</v>
      </c>
      <c r="G400" t="str">
        <f>TBIWet!H472</f>
        <v>G483</v>
      </c>
      <c r="H400" t="str">
        <f>TBIWet!I472</f>
        <v>R470</v>
      </c>
      <c r="I400" t="b">
        <f t="shared" si="343"/>
        <v>0</v>
      </c>
      <c r="J400" t="b">
        <f t="shared" si="344"/>
        <v>0</v>
      </c>
      <c r="L400" t="str">
        <f>'Both teabags AfterWet'!A398</f>
        <v>G878</v>
      </c>
      <c r="M400" t="str">
        <f>'Both teabags AfterWet'!A818</f>
        <v>R68</v>
      </c>
      <c r="N400" t="b">
        <f t="shared" si="345"/>
        <v>0</v>
      </c>
      <c r="O400" t="b">
        <f t="shared" si="385"/>
        <v>0</v>
      </c>
      <c r="Q400" s="388" t="b">
        <f t="shared" si="346"/>
        <v>0</v>
      </c>
      <c r="R400" s="388" t="b">
        <f t="shared" si="347"/>
        <v>0</v>
      </c>
      <c r="Y400" t="str">
        <f>'Green_rooibos initial weight'!A401</f>
        <v>G397</v>
      </c>
      <c r="Z400" t="str">
        <f>'Green_rooibos initial weight'!A1305</f>
        <v>R397</v>
      </c>
      <c r="AA400" t="b">
        <f t="shared" si="348"/>
        <v>0</v>
      </c>
      <c r="AB400" t="b">
        <f t="shared" si="349"/>
        <v>0</v>
      </c>
      <c r="AE400" t="str">
        <f>'WetLitterbags placem_collection'!O179</f>
        <v>G483</v>
      </c>
      <c r="AF400" t="str">
        <f>'WetLitterbags placem_collection'!Q179</f>
        <v>R470</v>
      </c>
      <c r="AG400" t="b">
        <f t="shared" si="350"/>
        <v>0</v>
      </c>
      <c r="AH400" t="b">
        <f t="shared" si="351"/>
        <v>0</v>
      </c>
      <c r="AJ400" t="b">
        <f t="shared" si="352"/>
        <v>0</v>
      </c>
      <c r="AK400" t="b">
        <f t="shared" si="353"/>
        <v>0</v>
      </c>
      <c r="AM400" t="str">
        <f>IF(ISBLANK('Dry_Litterbag Placem_Collection'!L179),"","G"&amp;""&amp;'Dry_Litterbag Placem_Collection'!L179)</f>
        <v>G14</v>
      </c>
      <c r="AN400" t="str">
        <f>IF(ISBLANK('Dry_Litterbag Placem_Collection'!M179),"","R"&amp;""&amp;'Dry_Litterbag Placem_Collection'!M179)</f>
        <v>R70</v>
      </c>
      <c r="AO400" t="b">
        <f t="shared" si="354"/>
        <v>0</v>
      </c>
      <c r="AP400" t="b">
        <f t="shared" si="355"/>
        <v>0</v>
      </c>
      <c r="AX400" s="388" t="b">
        <f t="shared" si="356"/>
        <v>0</v>
      </c>
      <c r="AY400" s="388" t="b">
        <f t="shared" si="357"/>
        <v>0</v>
      </c>
      <c r="BA400" t="str">
        <f>'Ashed teabags wet'!A398</f>
        <v>G878</v>
      </c>
      <c r="BB400" t="str">
        <f>'Ashed teabags wet'!A818</f>
        <v>R68</v>
      </c>
      <c r="BC400" t="b">
        <f t="shared" si="358"/>
        <v>0</v>
      </c>
      <c r="BD400" t="b">
        <f t="shared" si="340"/>
        <v>0</v>
      </c>
      <c r="BH400" t="str">
        <f t="shared" si="359"/>
        <v>G323</v>
      </c>
      <c r="BI400" t="str">
        <f t="shared" si="373"/>
        <v>G323</v>
      </c>
      <c r="BP400" t="str">
        <f t="shared" si="360"/>
        <v>R332</v>
      </c>
      <c r="BQ400" t="str">
        <f t="shared" si="361"/>
        <v>R332</v>
      </c>
      <c r="BZ400" t="str">
        <f t="shared" si="362"/>
        <v>G323</v>
      </c>
      <c r="CA400" t="b">
        <f t="shared" si="363"/>
        <v>0</v>
      </c>
      <c r="CB400" t="str">
        <f t="shared" si="374"/>
        <v>G323</v>
      </c>
      <c r="CC400" t="str">
        <f t="shared" si="364"/>
        <v>R332</v>
      </c>
      <c r="CD400" t="b">
        <f t="shared" si="375"/>
        <v>0</v>
      </c>
      <c r="CE400" t="str">
        <f t="shared" si="376"/>
        <v>R332</v>
      </c>
      <c r="CG400" t="str">
        <f t="shared" si="365"/>
        <v>G877</v>
      </c>
      <c r="CH400" t="str">
        <f t="shared" si="377"/>
        <v>G877</v>
      </c>
      <c r="CI400" t="str">
        <f t="shared" si="366"/>
        <v>G470</v>
      </c>
      <c r="CJ400" t="str">
        <f t="shared" si="367"/>
        <v>G470</v>
      </c>
      <c r="CK400" t="s">
        <v>1173</v>
      </c>
      <c r="CL400" t="s">
        <v>1173</v>
      </c>
      <c r="CM400" t="s">
        <v>1173</v>
      </c>
      <c r="CN400" t="b">
        <f t="shared" si="378"/>
        <v>1</v>
      </c>
      <c r="CO400" t="str">
        <f t="shared" si="368"/>
        <v>R65</v>
      </c>
      <c r="CP400" t="str">
        <f t="shared" si="379"/>
        <v>R65</v>
      </c>
      <c r="CQ400" t="str">
        <f t="shared" si="369"/>
        <v>R490</v>
      </c>
      <c r="CR400" t="str">
        <f t="shared" si="370"/>
        <v>R490</v>
      </c>
      <c r="CS400" t="s">
        <v>1076</v>
      </c>
      <c r="CT400" t="s">
        <v>1076</v>
      </c>
      <c r="CU400" t="s">
        <v>1076</v>
      </c>
      <c r="CV400" t="b">
        <f t="shared" si="380"/>
        <v>1</v>
      </c>
      <c r="DC400" t="str">
        <f t="shared" si="371"/>
        <v>G470</v>
      </c>
      <c r="DD400" t="b">
        <f t="shared" si="381"/>
        <v>0</v>
      </c>
      <c r="DE400" t="str">
        <f t="shared" si="382"/>
        <v>G470</v>
      </c>
      <c r="DF400" t="str">
        <f t="shared" si="372"/>
        <v>R490</v>
      </c>
      <c r="DG400" t="b">
        <f t="shared" si="383"/>
        <v>0</v>
      </c>
      <c r="DH400" t="str">
        <f t="shared" si="384"/>
        <v>R490</v>
      </c>
    </row>
    <row r="401" spans="2:112" ht="12" customHeight="1">
      <c r="B401" t="str">
        <f>TBIDry!H473</f>
        <v>G410</v>
      </c>
      <c r="C401" t="str">
        <f>TBIDry!I473</f>
        <v>R718</v>
      </c>
      <c r="D401" t="b">
        <f t="shared" si="341"/>
        <v>0</v>
      </c>
      <c r="E401" t="b">
        <f t="shared" si="342"/>
        <v>0</v>
      </c>
      <c r="G401" t="str">
        <f>TBIWet!H473</f>
        <v>G893</v>
      </c>
      <c r="H401" t="str">
        <f>TBIWet!I473</f>
        <v>R488</v>
      </c>
      <c r="I401" t="b">
        <f t="shared" si="343"/>
        <v>0</v>
      </c>
      <c r="J401" t="b">
        <f t="shared" si="344"/>
        <v>0</v>
      </c>
      <c r="L401" t="str">
        <f>'Both teabags AfterWet'!A399</f>
        <v>G880</v>
      </c>
      <c r="M401" t="str">
        <f>'Both teabags AfterWet'!A819</f>
        <v>R69</v>
      </c>
      <c r="N401" t="b">
        <f t="shared" si="345"/>
        <v>0</v>
      </c>
      <c r="O401" t="b">
        <f t="shared" si="385"/>
        <v>0</v>
      </c>
      <c r="Q401" s="388" t="b">
        <f t="shared" si="346"/>
        <v>0</v>
      </c>
      <c r="R401" s="388" t="b">
        <f t="shared" si="347"/>
        <v>0</v>
      </c>
      <c r="Y401" t="str">
        <f>'Green_rooibos initial weight'!A402</f>
        <v>G398</v>
      </c>
      <c r="Z401" t="str">
        <f>'Green_rooibos initial weight'!A1306</f>
        <v>R398</v>
      </c>
      <c r="AA401" t="b">
        <f t="shared" si="348"/>
        <v>0</v>
      </c>
      <c r="AB401" t="b">
        <f t="shared" si="349"/>
        <v>0</v>
      </c>
      <c r="AE401" t="str">
        <f>'WetLitterbags placem_collection'!O180</f>
        <v>G893</v>
      </c>
      <c r="AF401" t="str">
        <f>'WetLitterbags placem_collection'!Q180</f>
        <v>R488</v>
      </c>
      <c r="AG401" t="b">
        <f t="shared" si="350"/>
        <v>0</v>
      </c>
      <c r="AH401" t="b">
        <f t="shared" si="351"/>
        <v>0</v>
      </c>
      <c r="AJ401" t="b">
        <f t="shared" si="352"/>
        <v>0</v>
      </c>
      <c r="AK401" t="b">
        <f t="shared" si="353"/>
        <v>0</v>
      </c>
      <c r="AM401" t="str">
        <f>IF(ISBLANK('Dry_Litterbag Placem_Collection'!L180),"","G"&amp;""&amp;'Dry_Litterbag Placem_Collection'!L180)</f>
        <v>G410</v>
      </c>
      <c r="AN401" t="str">
        <f>IF(ISBLANK('Dry_Litterbag Placem_Collection'!M180),"","R"&amp;""&amp;'Dry_Litterbag Placem_Collection'!M180)</f>
        <v>R718</v>
      </c>
      <c r="AO401" t="b">
        <f t="shared" si="354"/>
        <v>0</v>
      </c>
      <c r="AP401" t="b">
        <f t="shared" si="355"/>
        <v>0</v>
      </c>
      <c r="AX401" s="388" t="b">
        <f t="shared" si="356"/>
        <v>0</v>
      </c>
      <c r="AY401" s="388" t="b">
        <f t="shared" si="357"/>
        <v>0</v>
      </c>
      <c r="BA401" t="str">
        <f>'Ashed teabags wet'!A399</f>
        <v>G880</v>
      </c>
      <c r="BB401" t="str">
        <f>'Ashed teabags wet'!A819</f>
        <v>R69</v>
      </c>
      <c r="BC401" t="b">
        <f t="shared" si="358"/>
        <v>0</v>
      </c>
      <c r="BD401" t="b">
        <f t="shared" si="340"/>
        <v>0</v>
      </c>
      <c r="BH401" t="str">
        <f t="shared" si="359"/>
        <v>G14</v>
      </c>
      <c r="BI401" t="str">
        <f t="shared" si="373"/>
        <v/>
      </c>
      <c r="BP401" t="str">
        <f t="shared" si="360"/>
        <v>R70</v>
      </c>
      <c r="BQ401" t="str">
        <f t="shared" si="361"/>
        <v/>
      </c>
      <c r="BZ401" t="str">
        <f t="shared" si="362"/>
        <v>G14</v>
      </c>
      <c r="CA401" t="b">
        <f t="shared" si="363"/>
        <v>1</v>
      </c>
      <c r="CB401" t="str">
        <f t="shared" si="374"/>
        <v/>
      </c>
      <c r="CC401" t="str">
        <f t="shared" si="364"/>
        <v>R70</v>
      </c>
      <c r="CD401" t="b">
        <f t="shared" si="375"/>
        <v>1</v>
      </c>
      <c r="CE401" t="str">
        <f t="shared" si="376"/>
        <v/>
      </c>
      <c r="CG401" t="str">
        <f t="shared" si="365"/>
        <v>G878</v>
      </c>
      <c r="CH401" t="str">
        <f t="shared" si="377"/>
        <v>G878</v>
      </c>
      <c r="CI401" t="str">
        <f t="shared" si="366"/>
        <v>G483</v>
      </c>
      <c r="CJ401" t="str">
        <f t="shared" si="367"/>
        <v>G483</v>
      </c>
      <c r="CK401" t="s">
        <v>1172</v>
      </c>
      <c r="CL401" t="s">
        <v>1172</v>
      </c>
      <c r="CM401" t="s">
        <v>1172</v>
      </c>
      <c r="CN401" t="b">
        <f t="shared" si="378"/>
        <v>1</v>
      </c>
      <c r="CO401" t="str">
        <f t="shared" si="368"/>
        <v>R68</v>
      </c>
      <c r="CP401" t="str">
        <f t="shared" si="379"/>
        <v>R68</v>
      </c>
      <c r="CQ401" t="str">
        <f t="shared" si="369"/>
        <v>R470</v>
      </c>
      <c r="CR401" t="str">
        <f t="shared" si="370"/>
        <v>R470</v>
      </c>
      <c r="CS401" t="s">
        <v>1073</v>
      </c>
      <c r="CT401" t="s">
        <v>1073</v>
      </c>
      <c r="CU401" t="s">
        <v>1073</v>
      </c>
      <c r="CV401" t="b">
        <f t="shared" si="380"/>
        <v>1</v>
      </c>
      <c r="DC401" t="str">
        <f t="shared" si="371"/>
        <v>G483</v>
      </c>
      <c r="DD401" t="b">
        <f t="shared" si="381"/>
        <v>0</v>
      </c>
      <c r="DE401" t="str">
        <f t="shared" si="382"/>
        <v>G483</v>
      </c>
      <c r="DF401" t="str">
        <f t="shared" si="372"/>
        <v>R470</v>
      </c>
      <c r="DG401" t="b">
        <f t="shared" si="383"/>
        <v>0</v>
      </c>
      <c r="DH401" t="str">
        <f t="shared" si="384"/>
        <v>R470</v>
      </c>
    </row>
    <row r="402" spans="2:112" ht="12" customHeight="1">
      <c r="B402" t="str">
        <f>TBIDry!H474</f>
        <v>G78</v>
      </c>
      <c r="C402" t="str">
        <f>TBIDry!I474</f>
        <v>R640</v>
      </c>
      <c r="D402" t="b">
        <f t="shared" si="341"/>
        <v>0</v>
      </c>
      <c r="E402" t="b">
        <f t="shared" si="342"/>
        <v>0</v>
      </c>
      <c r="G402" t="str">
        <f>TBIWet!H474</f>
        <v>G826</v>
      </c>
      <c r="H402" t="str">
        <f>TBIWet!I474</f>
        <v>R273</v>
      </c>
      <c r="I402" t="b">
        <f t="shared" si="343"/>
        <v>0</v>
      </c>
      <c r="J402" t="b">
        <f t="shared" si="344"/>
        <v>0</v>
      </c>
      <c r="L402" t="str">
        <f>'Both teabags AfterWet'!A400</f>
        <v>G881</v>
      </c>
      <c r="M402" t="str">
        <f>'Both teabags AfterWet'!A820</f>
        <v>R7</v>
      </c>
      <c r="N402" t="b">
        <f t="shared" si="345"/>
        <v>0</v>
      </c>
      <c r="O402" t="b">
        <f t="shared" si="385"/>
        <v>0</v>
      </c>
      <c r="Q402" s="388" t="b">
        <f t="shared" si="346"/>
        <v>0</v>
      </c>
      <c r="R402" s="388" t="b">
        <f t="shared" si="347"/>
        <v>0</v>
      </c>
      <c r="Y402" t="str">
        <f>'Green_rooibos initial weight'!A403</f>
        <v>G399</v>
      </c>
      <c r="Z402" t="str">
        <f>'Green_rooibos initial weight'!A1307</f>
        <v>R399</v>
      </c>
      <c r="AA402" t="b">
        <f t="shared" si="348"/>
        <v>0</v>
      </c>
      <c r="AB402" t="b">
        <f t="shared" si="349"/>
        <v>0</v>
      </c>
      <c r="AE402" t="str">
        <f>'WetLitterbags placem_collection'!O181</f>
        <v>G826</v>
      </c>
      <c r="AF402" t="str">
        <f>'WetLitterbags placem_collection'!Q181</f>
        <v>R273</v>
      </c>
      <c r="AG402" t="b">
        <f t="shared" si="350"/>
        <v>0</v>
      </c>
      <c r="AH402" t="b">
        <f t="shared" si="351"/>
        <v>0</v>
      </c>
      <c r="AJ402" t="b">
        <f t="shared" si="352"/>
        <v>0</v>
      </c>
      <c r="AK402" t="b">
        <f t="shared" si="353"/>
        <v>0</v>
      </c>
      <c r="AM402" t="str">
        <f>IF(ISBLANK('Dry_Litterbag Placem_Collection'!L181),"","G"&amp;""&amp;'Dry_Litterbag Placem_Collection'!L181)</f>
        <v>G78</v>
      </c>
      <c r="AN402" t="str">
        <f>IF(ISBLANK('Dry_Litterbag Placem_Collection'!M181),"","R"&amp;""&amp;'Dry_Litterbag Placem_Collection'!M181)</f>
        <v>R640</v>
      </c>
      <c r="AO402" t="b">
        <f t="shared" si="354"/>
        <v>0</v>
      </c>
      <c r="AP402" t="b">
        <f t="shared" si="355"/>
        <v>0</v>
      </c>
      <c r="AX402" s="388" t="b">
        <f t="shared" si="356"/>
        <v>0</v>
      </c>
      <c r="AY402" s="388" t="b">
        <f t="shared" si="357"/>
        <v>0</v>
      </c>
      <c r="BA402" t="str">
        <f>'Ashed teabags wet'!A400</f>
        <v>G881</v>
      </c>
      <c r="BB402" t="str">
        <f>'Ashed teabags wet'!A820</f>
        <v>R7</v>
      </c>
      <c r="BC402" t="b">
        <f t="shared" si="358"/>
        <v>0</v>
      </c>
      <c r="BD402" t="b">
        <f t="shared" si="340"/>
        <v>0</v>
      </c>
      <c r="BH402" t="str">
        <f t="shared" si="359"/>
        <v>G410</v>
      </c>
      <c r="BI402" t="str">
        <f t="shared" si="373"/>
        <v>G410</v>
      </c>
      <c r="BP402" t="str">
        <f t="shared" si="360"/>
        <v>R718</v>
      </c>
      <c r="BQ402" t="str">
        <f t="shared" si="361"/>
        <v>R718</v>
      </c>
      <c r="BZ402" t="str">
        <f t="shared" si="362"/>
        <v>G410</v>
      </c>
      <c r="CA402" t="b">
        <f t="shared" si="363"/>
        <v>0</v>
      </c>
      <c r="CB402" t="str">
        <f t="shared" si="374"/>
        <v>G410</v>
      </c>
      <c r="CC402" t="str">
        <f t="shared" si="364"/>
        <v>R718</v>
      </c>
      <c r="CD402" t="b">
        <f t="shared" si="375"/>
        <v>0</v>
      </c>
      <c r="CE402" t="str">
        <f t="shared" si="376"/>
        <v>R718</v>
      </c>
      <c r="CG402" t="str">
        <f t="shared" si="365"/>
        <v>G880</v>
      </c>
      <c r="CH402" t="str">
        <f t="shared" si="377"/>
        <v>G880</v>
      </c>
      <c r="CI402" t="str">
        <f t="shared" si="366"/>
        <v>G893</v>
      </c>
      <c r="CJ402" t="str">
        <f t="shared" si="367"/>
        <v>G893</v>
      </c>
      <c r="CK402" t="s">
        <v>1170</v>
      </c>
      <c r="CL402" t="s">
        <v>1170</v>
      </c>
      <c r="CM402" t="s">
        <v>1170</v>
      </c>
      <c r="CN402" t="b">
        <f t="shared" si="378"/>
        <v>1</v>
      </c>
      <c r="CO402" t="str">
        <f t="shared" si="368"/>
        <v>R69</v>
      </c>
      <c r="CP402" t="str">
        <f t="shared" si="379"/>
        <v>R69</v>
      </c>
      <c r="CQ402" t="str">
        <f t="shared" si="369"/>
        <v>R488</v>
      </c>
      <c r="CR402" t="str">
        <f t="shared" si="370"/>
        <v>R488</v>
      </c>
      <c r="CS402" t="s">
        <v>1072</v>
      </c>
      <c r="CT402" t="s">
        <v>1072</v>
      </c>
      <c r="CU402" t="s">
        <v>1072</v>
      </c>
      <c r="CV402" t="b">
        <f t="shared" si="380"/>
        <v>1</v>
      </c>
      <c r="DC402" t="str">
        <f t="shared" si="371"/>
        <v>G893</v>
      </c>
      <c r="DD402" t="b">
        <f t="shared" si="381"/>
        <v>0</v>
      </c>
      <c r="DE402" t="str">
        <f t="shared" si="382"/>
        <v>G893</v>
      </c>
      <c r="DF402" t="str">
        <f t="shared" si="372"/>
        <v>R488</v>
      </c>
      <c r="DG402" t="b">
        <f t="shared" si="383"/>
        <v>0</v>
      </c>
      <c r="DH402" t="str">
        <f t="shared" si="384"/>
        <v>R488</v>
      </c>
    </row>
    <row r="403" spans="2:112" ht="12" customHeight="1">
      <c r="B403" t="str">
        <f>TBIDry!H475</f>
        <v>G422</v>
      </c>
      <c r="C403" t="str">
        <f>TBIDry!I475</f>
        <v>R669</v>
      </c>
      <c r="D403" t="b">
        <f t="shared" si="341"/>
        <v>0</v>
      </c>
      <c r="E403" t="b">
        <f t="shared" si="342"/>
        <v>0</v>
      </c>
      <c r="G403" t="str">
        <f>TBIWet!H475</f>
        <v>G783</v>
      </c>
      <c r="H403" t="str">
        <f>TBIWet!I475</f>
        <v>R301</v>
      </c>
      <c r="I403" t="b">
        <f t="shared" si="343"/>
        <v>0</v>
      </c>
      <c r="J403" t="b">
        <f t="shared" si="344"/>
        <v>0</v>
      </c>
      <c r="L403" t="str">
        <f>'Both teabags AfterWet'!A401</f>
        <v>G882</v>
      </c>
      <c r="M403" t="str">
        <f>'Both teabags AfterWet'!A821</f>
        <v>R71</v>
      </c>
      <c r="N403" t="b">
        <f t="shared" si="345"/>
        <v>0</v>
      </c>
      <c r="O403" t="b">
        <f t="shared" si="385"/>
        <v>0</v>
      </c>
      <c r="Q403" s="388" t="b">
        <f t="shared" si="346"/>
        <v>0</v>
      </c>
      <c r="R403" s="388" t="b">
        <f t="shared" si="347"/>
        <v>0</v>
      </c>
      <c r="Y403" t="str">
        <f>'Green_rooibos initial weight'!A404</f>
        <v>G400</v>
      </c>
      <c r="Z403" t="str">
        <f>'Green_rooibos initial weight'!A1308</f>
        <v>R400</v>
      </c>
      <c r="AA403" t="b">
        <f t="shared" si="348"/>
        <v>0</v>
      </c>
      <c r="AB403" t="b">
        <f t="shared" si="349"/>
        <v>0</v>
      </c>
      <c r="AE403" t="str">
        <f>'WetLitterbags placem_collection'!O182</f>
        <v>G783</v>
      </c>
      <c r="AF403" t="str">
        <f>'WetLitterbags placem_collection'!Q182</f>
        <v>R301</v>
      </c>
      <c r="AG403" t="b">
        <f t="shared" si="350"/>
        <v>0</v>
      </c>
      <c r="AH403" t="b">
        <f t="shared" si="351"/>
        <v>0</v>
      </c>
      <c r="AJ403" t="b">
        <f t="shared" si="352"/>
        <v>0</v>
      </c>
      <c r="AK403" t="b">
        <f t="shared" si="353"/>
        <v>0</v>
      </c>
      <c r="AM403" t="str">
        <f>IF(ISBLANK('Dry_Litterbag Placem_Collection'!L182),"","G"&amp;""&amp;'Dry_Litterbag Placem_Collection'!L182)</f>
        <v>G422</v>
      </c>
      <c r="AN403" t="str">
        <f>IF(ISBLANK('Dry_Litterbag Placem_Collection'!M182),"","R"&amp;""&amp;'Dry_Litterbag Placem_Collection'!M182)</f>
        <v>R669</v>
      </c>
      <c r="AO403" t="b">
        <f t="shared" si="354"/>
        <v>0</v>
      </c>
      <c r="AP403" t="b">
        <f t="shared" si="355"/>
        <v>0</v>
      </c>
      <c r="AX403" s="388" t="b">
        <f t="shared" si="356"/>
        <v>0</v>
      </c>
      <c r="AY403" s="388" t="b">
        <f t="shared" si="357"/>
        <v>0</v>
      </c>
      <c r="BA403" t="str">
        <f>'Ashed teabags wet'!A401</f>
        <v>G882</v>
      </c>
      <c r="BB403" t="str">
        <f>'Ashed teabags wet'!A821</f>
        <v>R71</v>
      </c>
      <c r="BC403" t="b">
        <f t="shared" si="358"/>
        <v>0</v>
      </c>
      <c r="BD403" t="b">
        <f t="shared" si="340"/>
        <v>0</v>
      </c>
      <c r="BH403" t="str">
        <f t="shared" si="359"/>
        <v>G78</v>
      </c>
      <c r="BI403" t="str">
        <f t="shared" si="373"/>
        <v>G78</v>
      </c>
      <c r="BP403" t="str">
        <f t="shared" si="360"/>
        <v>R640</v>
      </c>
      <c r="BQ403" t="str">
        <f t="shared" si="361"/>
        <v>R640</v>
      </c>
      <c r="BZ403" t="str">
        <f t="shared" si="362"/>
        <v>G78</v>
      </c>
      <c r="CA403" t="b">
        <f t="shared" si="363"/>
        <v>0</v>
      </c>
      <c r="CB403" t="str">
        <f t="shared" si="374"/>
        <v>G78</v>
      </c>
      <c r="CC403" t="str">
        <f t="shared" si="364"/>
        <v>R640</v>
      </c>
      <c r="CD403" t="b">
        <f t="shared" si="375"/>
        <v>0</v>
      </c>
      <c r="CE403" t="str">
        <f t="shared" si="376"/>
        <v>R640</v>
      </c>
      <c r="CG403" t="str">
        <f t="shared" si="365"/>
        <v>G881</v>
      </c>
      <c r="CH403" t="str">
        <f t="shared" si="377"/>
        <v>G881</v>
      </c>
      <c r="CI403" t="str">
        <f t="shared" si="366"/>
        <v>G826</v>
      </c>
      <c r="CJ403" t="str">
        <f t="shared" si="367"/>
        <v>G826</v>
      </c>
      <c r="CK403" t="s">
        <v>1169</v>
      </c>
      <c r="CL403" t="s">
        <v>1169</v>
      </c>
      <c r="CM403" t="s">
        <v>1169</v>
      </c>
      <c r="CN403" t="b">
        <f t="shared" si="378"/>
        <v>1</v>
      </c>
      <c r="CO403" t="str">
        <f t="shared" si="368"/>
        <v>R7</v>
      </c>
      <c r="CP403" t="str">
        <f t="shared" si="379"/>
        <v>R7</v>
      </c>
      <c r="CQ403" t="str">
        <f t="shared" si="369"/>
        <v>R273</v>
      </c>
      <c r="CR403" t="str">
        <f t="shared" si="370"/>
        <v>R273</v>
      </c>
      <c r="CS403" t="s">
        <v>1134</v>
      </c>
      <c r="CT403" t="s">
        <v>1134</v>
      </c>
      <c r="CU403" t="s">
        <v>1134</v>
      </c>
      <c r="CV403" t="b">
        <f t="shared" si="380"/>
        <v>1</v>
      </c>
      <c r="DC403" t="str">
        <f t="shared" si="371"/>
        <v>G826</v>
      </c>
      <c r="DD403" t="b">
        <f t="shared" si="381"/>
        <v>0</v>
      </c>
      <c r="DE403" t="str">
        <f t="shared" si="382"/>
        <v>G826</v>
      </c>
      <c r="DF403" t="str">
        <f t="shared" si="372"/>
        <v>R273</v>
      </c>
      <c r="DG403" t="b">
        <f t="shared" si="383"/>
        <v>0</v>
      </c>
      <c r="DH403" t="str">
        <f t="shared" si="384"/>
        <v>R273</v>
      </c>
    </row>
    <row r="404" spans="2:112" ht="12" customHeight="1">
      <c r="B404" t="str">
        <f>TBIDry!H476</f>
        <v>G870</v>
      </c>
      <c r="C404" t="str">
        <f>TBIDry!I476</f>
        <v>R170</v>
      </c>
      <c r="D404" t="b">
        <f t="shared" si="341"/>
        <v>0</v>
      </c>
      <c r="E404" t="b">
        <f t="shared" si="342"/>
        <v>0</v>
      </c>
      <c r="G404" t="str">
        <f>TBIWet!H476</f>
        <v>G551</v>
      </c>
      <c r="H404" t="str">
        <f>TBIWet!I476</f>
        <v>R291</v>
      </c>
      <c r="I404" t="b">
        <f t="shared" si="343"/>
        <v>0</v>
      </c>
      <c r="J404" t="b">
        <f t="shared" si="344"/>
        <v>0</v>
      </c>
      <c r="L404" t="str">
        <f>'Both teabags AfterWet'!A402</f>
        <v>G883</v>
      </c>
      <c r="M404" t="str">
        <f>'Both teabags AfterWet'!A822</f>
        <v>R72</v>
      </c>
      <c r="N404" t="b">
        <f t="shared" si="345"/>
        <v>0</v>
      </c>
      <c r="O404" t="b">
        <f t="shared" si="385"/>
        <v>0</v>
      </c>
      <c r="Q404" s="388" t="b">
        <f t="shared" si="346"/>
        <v>0</v>
      </c>
      <c r="R404" s="388" t="b">
        <f t="shared" si="347"/>
        <v>0</v>
      </c>
      <c r="Y404" t="str">
        <f>'Green_rooibos initial weight'!A405</f>
        <v>G401</v>
      </c>
      <c r="Z404" t="str">
        <f>'Green_rooibos initial weight'!A1309</f>
        <v>R401</v>
      </c>
      <c r="AA404" t="b">
        <f t="shared" si="348"/>
        <v>0</v>
      </c>
      <c r="AB404" t="b">
        <f t="shared" si="349"/>
        <v>0</v>
      </c>
      <c r="AE404" t="str">
        <f>'WetLitterbags placem_collection'!O183</f>
        <v>G551</v>
      </c>
      <c r="AF404" t="str">
        <f>'WetLitterbags placem_collection'!Q183</f>
        <v>R291</v>
      </c>
      <c r="AG404" t="b">
        <f t="shared" si="350"/>
        <v>0</v>
      </c>
      <c r="AH404" t="b">
        <f t="shared" si="351"/>
        <v>0</v>
      </c>
      <c r="AJ404" t="b">
        <f t="shared" si="352"/>
        <v>0</v>
      </c>
      <c r="AK404" t="b">
        <f t="shared" si="353"/>
        <v>0</v>
      </c>
      <c r="AM404" t="str">
        <f>IF(ISBLANK('Dry_Litterbag Placem_Collection'!L183),"","G"&amp;""&amp;'Dry_Litterbag Placem_Collection'!L183)</f>
        <v>G870</v>
      </c>
      <c r="AN404" t="str">
        <f>IF(ISBLANK('Dry_Litterbag Placem_Collection'!M183),"","R"&amp;""&amp;'Dry_Litterbag Placem_Collection'!M183)</f>
        <v>R170</v>
      </c>
      <c r="AO404" t="b">
        <f t="shared" si="354"/>
        <v>0</v>
      </c>
      <c r="AP404" t="b">
        <f t="shared" si="355"/>
        <v>0</v>
      </c>
      <c r="AX404" s="388" t="b">
        <f t="shared" si="356"/>
        <v>0</v>
      </c>
      <c r="AY404" s="388" t="b">
        <f t="shared" si="357"/>
        <v>0</v>
      </c>
      <c r="BA404" t="str">
        <f>'Ashed teabags wet'!A402</f>
        <v>G883</v>
      </c>
      <c r="BB404" t="str">
        <f>'Ashed teabags wet'!A822</f>
        <v>R72</v>
      </c>
      <c r="BC404" t="b">
        <f t="shared" si="358"/>
        <v>0</v>
      </c>
      <c r="BD404" t="b">
        <f t="shared" si="340"/>
        <v>0</v>
      </c>
      <c r="BH404" t="str">
        <f t="shared" si="359"/>
        <v>G422</v>
      </c>
      <c r="BI404" t="str">
        <f t="shared" si="373"/>
        <v>G422</v>
      </c>
      <c r="BP404" t="str">
        <f t="shared" si="360"/>
        <v>R669</v>
      </c>
      <c r="BQ404" t="str">
        <f t="shared" si="361"/>
        <v>R669</v>
      </c>
      <c r="BZ404" t="str">
        <f t="shared" si="362"/>
        <v>G422</v>
      </c>
      <c r="CA404" t="b">
        <f t="shared" si="363"/>
        <v>0</v>
      </c>
      <c r="CB404" t="str">
        <f t="shared" si="374"/>
        <v>G422</v>
      </c>
      <c r="CC404" t="str">
        <f t="shared" si="364"/>
        <v>R669</v>
      </c>
      <c r="CD404" t="b">
        <f t="shared" si="375"/>
        <v>0</v>
      </c>
      <c r="CE404" t="str">
        <f t="shared" si="376"/>
        <v>R669</v>
      </c>
      <c r="CG404" t="str">
        <f t="shared" si="365"/>
        <v>G882</v>
      </c>
      <c r="CH404" t="str">
        <f t="shared" si="377"/>
        <v>G882</v>
      </c>
      <c r="CI404" t="str">
        <f t="shared" si="366"/>
        <v>G783</v>
      </c>
      <c r="CJ404" t="str">
        <f t="shared" si="367"/>
        <v>G783</v>
      </c>
      <c r="CK404" t="s">
        <v>1168</v>
      </c>
      <c r="CL404" t="s">
        <v>1168</v>
      </c>
      <c r="CM404" t="s">
        <v>1168</v>
      </c>
      <c r="CN404" t="b">
        <f t="shared" si="378"/>
        <v>1</v>
      </c>
      <c r="CO404" t="str">
        <f t="shared" si="368"/>
        <v>R71</v>
      </c>
      <c r="CP404" t="str">
        <f t="shared" si="379"/>
        <v>R71</v>
      </c>
      <c r="CQ404" t="str">
        <f t="shared" si="369"/>
        <v>R301</v>
      </c>
      <c r="CR404" t="str">
        <f t="shared" si="370"/>
        <v>R301</v>
      </c>
      <c r="CS404" t="s">
        <v>1070</v>
      </c>
      <c r="CT404" t="s">
        <v>1070</v>
      </c>
      <c r="CU404" t="s">
        <v>1070</v>
      </c>
      <c r="CV404" t="b">
        <f t="shared" si="380"/>
        <v>1</v>
      </c>
      <c r="DC404" t="str">
        <f t="shared" si="371"/>
        <v>G783</v>
      </c>
      <c r="DD404" t="b">
        <f t="shared" si="381"/>
        <v>0</v>
      </c>
      <c r="DE404" t="str">
        <f t="shared" si="382"/>
        <v>G783</v>
      </c>
      <c r="DF404" t="str">
        <f t="shared" si="372"/>
        <v>R301</v>
      </c>
      <c r="DG404" t="b">
        <f t="shared" si="383"/>
        <v>0</v>
      </c>
      <c r="DH404" t="str">
        <f t="shared" si="384"/>
        <v>R301</v>
      </c>
    </row>
    <row r="405" spans="2:112" ht="12" customHeight="1">
      <c r="B405" t="str">
        <f>TBIDry!H477</f>
        <v>G136</v>
      </c>
      <c r="C405" t="str">
        <f>TBIDry!I477</f>
        <v>R697</v>
      </c>
      <c r="D405" t="b">
        <f t="shared" si="341"/>
        <v>0</v>
      </c>
      <c r="E405" t="b">
        <f t="shared" si="342"/>
        <v>0</v>
      </c>
      <c r="G405" t="str">
        <f>TBIWet!H477</f>
        <v>G818</v>
      </c>
      <c r="H405" t="str">
        <f>TBIWet!I477</f>
        <v>R537</v>
      </c>
      <c r="I405" t="b">
        <f t="shared" si="343"/>
        <v>0</v>
      </c>
      <c r="J405" t="b">
        <f t="shared" si="344"/>
        <v>0</v>
      </c>
      <c r="L405" t="str">
        <f>'Both teabags AfterWet'!A403</f>
        <v>G884</v>
      </c>
      <c r="M405" t="str">
        <f>'Both teabags AfterWet'!A823</f>
        <v>R73</v>
      </c>
      <c r="N405" t="b">
        <f t="shared" si="345"/>
        <v>0</v>
      </c>
      <c r="O405" t="b">
        <f t="shared" si="385"/>
        <v>0</v>
      </c>
      <c r="Q405" s="388" t="b">
        <f t="shared" si="346"/>
        <v>0</v>
      </c>
      <c r="R405" s="388" t="b">
        <f t="shared" si="347"/>
        <v>0</v>
      </c>
      <c r="Y405" t="str">
        <f>'Green_rooibos initial weight'!A406</f>
        <v>G402</v>
      </c>
      <c r="Z405" t="str">
        <f>'Green_rooibos initial weight'!A1310</f>
        <v>R402</v>
      </c>
      <c r="AA405" t="b">
        <f t="shared" si="348"/>
        <v>0</v>
      </c>
      <c r="AB405" t="b">
        <f t="shared" si="349"/>
        <v>0</v>
      </c>
      <c r="AE405" t="str">
        <f>'WetLitterbags placem_collection'!O184</f>
        <v>G818</v>
      </c>
      <c r="AF405" t="str">
        <f>'WetLitterbags placem_collection'!Q184</f>
        <v>R537</v>
      </c>
      <c r="AG405" t="b">
        <f t="shared" si="350"/>
        <v>0</v>
      </c>
      <c r="AH405" t="b">
        <f t="shared" si="351"/>
        <v>0</v>
      </c>
      <c r="AJ405" t="b">
        <f t="shared" si="352"/>
        <v>0</v>
      </c>
      <c r="AK405" t="b">
        <f t="shared" si="353"/>
        <v>0</v>
      </c>
      <c r="AM405" t="str">
        <f>IF(ISBLANK('Dry_Litterbag Placem_Collection'!L184),"","G"&amp;""&amp;'Dry_Litterbag Placem_Collection'!L184)</f>
        <v>G136</v>
      </c>
      <c r="AN405" t="str">
        <f>IF(ISBLANK('Dry_Litterbag Placem_Collection'!M184),"","R"&amp;""&amp;'Dry_Litterbag Placem_Collection'!M184)</f>
        <v>R697</v>
      </c>
      <c r="AO405" t="b">
        <f t="shared" si="354"/>
        <v>0</v>
      </c>
      <c r="AP405" t="b">
        <f t="shared" si="355"/>
        <v>0</v>
      </c>
      <c r="AX405" s="388" t="b">
        <f t="shared" si="356"/>
        <v>0</v>
      </c>
      <c r="AY405" s="388" t="b">
        <f t="shared" si="357"/>
        <v>0</v>
      </c>
      <c r="BA405" t="str">
        <f>'Ashed teabags wet'!A403</f>
        <v>G884</v>
      </c>
      <c r="BB405" t="str">
        <f>'Ashed teabags wet'!A823</f>
        <v>R73</v>
      </c>
      <c r="BC405" t="b">
        <f t="shared" si="358"/>
        <v>0</v>
      </c>
      <c r="BD405" t="b">
        <f t="shared" si="340"/>
        <v>0</v>
      </c>
      <c r="BH405" t="str">
        <f t="shared" si="359"/>
        <v>G870</v>
      </c>
      <c r="BI405" t="str">
        <f t="shared" si="373"/>
        <v>G870</v>
      </c>
      <c r="BP405" t="str">
        <f t="shared" si="360"/>
        <v>R170</v>
      </c>
      <c r="BQ405" t="str">
        <f t="shared" si="361"/>
        <v>R170</v>
      </c>
      <c r="BZ405" t="str">
        <f t="shared" si="362"/>
        <v>G870</v>
      </c>
      <c r="CA405" t="b">
        <f t="shared" si="363"/>
        <v>0</v>
      </c>
      <c r="CB405" t="str">
        <f t="shared" si="374"/>
        <v>G870</v>
      </c>
      <c r="CC405" t="str">
        <f t="shared" si="364"/>
        <v>R170</v>
      </c>
      <c r="CD405" t="b">
        <f t="shared" si="375"/>
        <v>0</v>
      </c>
      <c r="CE405" t="str">
        <f t="shared" si="376"/>
        <v>R170</v>
      </c>
      <c r="CG405" t="str">
        <f t="shared" si="365"/>
        <v>G883</v>
      </c>
      <c r="CH405" t="str">
        <f t="shared" si="377"/>
        <v>G883</v>
      </c>
      <c r="CI405" t="str">
        <f t="shared" si="366"/>
        <v>G551</v>
      </c>
      <c r="CJ405" t="str">
        <f t="shared" si="367"/>
        <v>G551</v>
      </c>
      <c r="CK405" t="s">
        <v>1167</v>
      </c>
      <c r="CL405" t="s">
        <v>1167</v>
      </c>
      <c r="CM405" t="s">
        <v>1167</v>
      </c>
      <c r="CN405" t="b">
        <f t="shared" si="378"/>
        <v>1</v>
      </c>
      <c r="CO405" t="str">
        <f t="shared" si="368"/>
        <v>R72</v>
      </c>
      <c r="CP405" t="str">
        <f t="shared" si="379"/>
        <v>R72</v>
      </c>
      <c r="CQ405" t="str">
        <f t="shared" si="369"/>
        <v>R291</v>
      </c>
      <c r="CR405" t="str">
        <f t="shared" si="370"/>
        <v>R291</v>
      </c>
      <c r="CS405" t="s">
        <v>1069</v>
      </c>
      <c r="CT405" t="s">
        <v>1069</v>
      </c>
      <c r="CU405" t="s">
        <v>1069</v>
      </c>
      <c r="CV405" t="b">
        <f t="shared" si="380"/>
        <v>1</v>
      </c>
      <c r="DC405" t="str">
        <f t="shared" si="371"/>
        <v>G551</v>
      </c>
      <c r="DD405" t="b">
        <f t="shared" si="381"/>
        <v>0</v>
      </c>
      <c r="DE405" t="str">
        <f t="shared" si="382"/>
        <v>G551</v>
      </c>
      <c r="DF405" t="str">
        <f t="shared" si="372"/>
        <v>R291</v>
      </c>
      <c r="DG405" t="b">
        <f t="shared" si="383"/>
        <v>0</v>
      </c>
      <c r="DH405" t="str">
        <f t="shared" si="384"/>
        <v>R291</v>
      </c>
    </row>
    <row r="406" spans="2:112" ht="12" customHeight="1">
      <c r="B406" t="str">
        <f>TBIDry!H478</f>
        <v/>
      </c>
      <c r="C406" t="str">
        <f>TBIDry!I478</f>
        <v/>
      </c>
      <c r="D406" t="b">
        <f t="shared" si="341"/>
        <v>1</v>
      </c>
      <c r="E406" t="b">
        <f t="shared" si="342"/>
        <v>1</v>
      </c>
      <c r="G406" t="str">
        <f>TBIWet!H478</f>
        <v>G896</v>
      </c>
      <c r="H406" t="str">
        <f>TBIWet!I478</f>
        <v>R290</v>
      </c>
      <c r="I406" t="b">
        <f t="shared" si="343"/>
        <v>0</v>
      </c>
      <c r="J406" t="b">
        <f t="shared" si="344"/>
        <v>0</v>
      </c>
      <c r="L406" t="str">
        <f>'Both teabags AfterWet'!A404</f>
        <v>G885</v>
      </c>
      <c r="M406" t="str">
        <f>'Both teabags AfterWet'!A824</f>
        <v>R74</v>
      </c>
      <c r="N406" t="b">
        <f t="shared" si="345"/>
        <v>0</v>
      </c>
      <c r="O406" t="b">
        <f t="shared" si="385"/>
        <v>0</v>
      </c>
      <c r="Q406" s="388" t="b">
        <f t="shared" si="346"/>
        <v>0</v>
      </c>
      <c r="R406" s="388" t="b">
        <f t="shared" si="347"/>
        <v>0</v>
      </c>
      <c r="Y406" t="str">
        <f>'Green_rooibos initial weight'!A407</f>
        <v>G403</v>
      </c>
      <c r="Z406" t="str">
        <f>'Green_rooibos initial weight'!A1311</f>
        <v>R403</v>
      </c>
      <c r="AA406" t="b">
        <f t="shared" si="348"/>
        <v>0</v>
      </c>
      <c r="AB406" t="b">
        <f t="shared" si="349"/>
        <v>0</v>
      </c>
      <c r="AE406" t="str">
        <f>'WetLitterbags placem_collection'!O185</f>
        <v>G896</v>
      </c>
      <c r="AF406" t="str">
        <f>'WetLitterbags placem_collection'!Q185</f>
        <v>R290</v>
      </c>
      <c r="AG406" t="b">
        <f t="shared" si="350"/>
        <v>0</v>
      </c>
      <c r="AH406" t="b">
        <f t="shared" si="351"/>
        <v>0</v>
      </c>
      <c r="AJ406" t="b">
        <f t="shared" si="352"/>
        <v>0</v>
      </c>
      <c r="AK406" t="b">
        <f t="shared" si="353"/>
        <v>0</v>
      </c>
      <c r="AM406" t="str">
        <f>IF(ISBLANK('Dry_Litterbag Placem_Collection'!L185),"","G"&amp;""&amp;'Dry_Litterbag Placem_Collection'!L185)</f>
        <v/>
      </c>
      <c r="AN406" t="str">
        <f>IF(ISBLANK('Dry_Litterbag Placem_Collection'!M185),"","R"&amp;""&amp;'Dry_Litterbag Placem_Collection'!M185)</f>
        <v/>
      </c>
      <c r="AO406" t="b">
        <f t="shared" si="354"/>
        <v>1</v>
      </c>
      <c r="AP406" t="b">
        <f t="shared" si="355"/>
        <v>1</v>
      </c>
      <c r="AX406" s="388" t="b">
        <f t="shared" si="356"/>
        <v>0</v>
      </c>
      <c r="AY406" s="388" t="b">
        <f t="shared" si="357"/>
        <v>0</v>
      </c>
      <c r="BA406" t="str">
        <f>'Ashed teabags wet'!A404</f>
        <v>G885</v>
      </c>
      <c r="BB406" t="str">
        <f>'Ashed teabags wet'!A824</f>
        <v>R74</v>
      </c>
      <c r="BC406" t="b">
        <f t="shared" si="358"/>
        <v>0</v>
      </c>
      <c r="BD406" t="b">
        <f t="shared" si="340"/>
        <v>0</v>
      </c>
      <c r="BH406" t="str">
        <f t="shared" si="359"/>
        <v>G136</v>
      </c>
      <c r="BI406" t="str">
        <f t="shared" si="373"/>
        <v>G136</v>
      </c>
      <c r="BP406" t="str">
        <f t="shared" si="360"/>
        <v>R697</v>
      </c>
      <c r="BQ406" t="str">
        <f t="shared" si="361"/>
        <v>R697</v>
      </c>
      <c r="BZ406" t="str">
        <f t="shared" si="362"/>
        <v>G136</v>
      </c>
      <c r="CA406" t="b">
        <f t="shared" si="363"/>
        <v>0</v>
      </c>
      <c r="CB406" t="str">
        <f t="shared" si="374"/>
        <v>G136</v>
      </c>
      <c r="CC406" t="str">
        <f t="shared" si="364"/>
        <v>R697</v>
      </c>
      <c r="CD406" t="b">
        <f t="shared" si="375"/>
        <v>0</v>
      </c>
      <c r="CE406" t="str">
        <f t="shared" si="376"/>
        <v>R697</v>
      </c>
      <c r="CG406" t="str">
        <f t="shared" si="365"/>
        <v>G884</v>
      </c>
      <c r="CH406" t="str">
        <f t="shared" si="377"/>
        <v>G884</v>
      </c>
      <c r="CI406" t="str">
        <f t="shared" si="366"/>
        <v>G818</v>
      </c>
      <c r="CJ406" t="str">
        <f t="shared" si="367"/>
        <v>G818</v>
      </c>
      <c r="CK406" t="s">
        <v>1166</v>
      </c>
      <c r="CL406" t="s">
        <v>1166</v>
      </c>
      <c r="CM406" t="s">
        <v>1166</v>
      </c>
      <c r="CN406" t="b">
        <f t="shared" si="378"/>
        <v>1</v>
      </c>
      <c r="CO406" t="str">
        <f t="shared" si="368"/>
        <v>R73</v>
      </c>
      <c r="CP406" t="str">
        <f t="shared" si="379"/>
        <v>R73</v>
      </c>
      <c r="CQ406" t="str">
        <f t="shared" si="369"/>
        <v>R537</v>
      </c>
      <c r="CR406" t="str">
        <f t="shared" si="370"/>
        <v>R537</v>
      </c>
      <c r="CS406" t="s">
        <v>1068</v>
      </c>
      <c r="CT406" t="s">
        <v>1068</v>
      </c>
      <c r="CU406" t="s">
        <v>1068</v>
      </c>
      <c r="CV406" t="b">
        <f t="shared" si="380"/>
        <v>1</v>
      </c>
      <c r="DC406" t="str">
        <f t="shared" si="371"/>
        <v>G818</v>
      </c>
      <c r="DD406" t="b">
        <f t="shared" si="381"/>
        <v>0</v>
      </c>
      <c r="DE406" t="str">
        <f t="shared" si="382"/>
        <v>G818</v>
      </c>
      <c r="DF406" t="str">
        <f t="shared" si="372"/>
        <v>R537</v>
      </c>
      <c r="DG406" t="b">
        <f t="shared" si="383"/>
        <v>0</v>
      </c>
      <c r="DH406" t="str">
        <f t="shared" si="384"/>
        <v>R537</v>
      </c>
    </row>
    <row r="407" spans="2:112" ht="12" customHeight="1">
      <c r="B407" t="str">
        <f>TBIDry!H479</f>
        <v>G266</v>
      </c>
      <c r="C407" t="str">
        <f>TBIDry!I479</f>
        <v>R674</v>
      </c>
      <c r="D407" t="b">
        <f t="shared" si="341"/>
        <v>0</v>
      </c>
      <c r="E407" t="b">
        <f t="shared" si="342"/>
        <v>0</v>
      </c>
      <c r="G407" t="str">
        <f>TBIWet!H479</f>
        <v>G337</v>
      </c>
      <c r="H407" t="str">
        <f>TBIWet!I479</f>
        <v>R555</v>
      </c>
      <c r="I407" t="b">
        <f t="shared" si="343"/>
        <v>0</v>
      </c>
      <c r="J407" t="b">
        <f t="shared" si="344"/>
        <v>0</v>
      </c>
      <c r="L407" t="str">
        <f>'Both teabags AfterWet'!A405</f>
        <v>G886</v>
      </c>
      <c r="M407" t="str">
        <f>'Both teabags AfterWet'!A825</f>
        <v>R76</v>
      </c>
      <c r="N407" t="b">
        <f t="shared" si="345"/>
        <v>0</v>
      </c>
      <c r="O407" t="b">
        <f t="shared" si="385"/>
        <v>0</v>
      </c>
      <c r="Q407" s="388" t="b">
        <f t="shared" si="346"/>
        <v>0</v>
      </c>
      <c r="R407" s="388" t="b">
        <f t="shared" si="347"/>
        <v>0</v>
      </c>
      <c r="Y407" t="str">
        <f>'Green_rooibos initial weight'!A408</f>
        <v>G404</v>
      </c>
      <c r="Z407" t="str">
        <f>'Green_rooibos initial weight'!A1312</f>
        <v>R404</v>
      </c>
      <c r="AA407" t="b">
        <f t="shared" si="348"/>
        <v>0</v>
      </c>
      <c r="AB407" t="b">
        <f t="shared" si="349"/>
        <v>0</v>
      </c>
      <c r="AE407" t="str">
        <f>'WetLitterbags placem_collection'!O186</f>
        <v>G337</v>
      </c>
      <c r="AF407" t="str">
        <f>'WetLitterbags placem_collection'!Q186</f>
        <v>R555</v>
      </c>
      <c r="AG407" t="b">
        <f t="shared" si="350"/>
        <v>0</v>
      </c>
      <c r="AH407" t="b">
        <f t="shared" si="351"/>
        <v>0</v>
      </c>
      <c r="AJ407" t="b">
        <f t="shared" si="352"/>
        <v>0</v>
      </c>
      <c r="AK407" t="b">
        <f t="shared" si="353"/>
        <v>0</v>
      </c>
      <c r="AM407" t="str">
        <f>IF(ISBLANK('Dry_Litterbag Placem_Collection'!L186),"","G"&amp;""&amp;'Dry_Litterbag Placem_Collection'!L186)</f>
        <v>G266</v>
      </c>
      <c r="AN407" t="str">
        <f>IF(ISBLANK('Dry_Litterbag Placem_Collection'!M186),"","R"&amp;""&amp;'Dry_Litterbag Placem_Collection'!M186)</f>
        <v>R674</v>
      </c>
      <c r="AO407" t="b">
        <f t="shared" si="354"/>
        <v>0</v>
      </c>
      <c r="AP407" t="b">
        <f t="shared" si="355"/>
        <v>0</v>
      </c>
      <c r="AX407" s="388" t="b">
        <f t="shared" si="356"/>
        <v>0</v>
      </c>
      <c r="AY407" s="388" t="b">
        <f t="shared" si="357"/>
        <v>0</v>
      </c>
      <c r="BA407" t="str">
        <f>'Ashed teabags wet'!A405</f>
        <v>G886</v>
      </c>
      <c r="BB407" t="str">
        <f>'Ashed teabags wet'!A825</f>
        <v>R76</v>
      </c>
      <c r="BC407" t="b">
        <f t="shared" si="358"/>
        <v>0</v>
      </c>
      <c r="BD407" t="b">
        <f t="shared" si="340"/>
        <v>0</v>
      </c>
      <c r="BH407" t="str">
        <f t="shared" si="359"/>
        <v/>
      </c>
      <c r="BI407" t="str">
        <f t="shared" si="373"/>
        <v/>
      </c>
      <c r="BP407" t="str">
        <f t="shared" si="360"/>
        <v/>
      </c>
      <c r="BQ407" t="str">
        <f t="shared" si="361"/>
        <v/>
      </c>
      <c r="BZ407" t="str">
        <f t="shared" si="362"/>
        <v/>
      </c>
      <c r="CA407" t="b">
        <f t="shared" si="363"/>
        <v>0</v>
      </c>
      <c r="CB407" t="str">
        <f t="shared" si="374"/>
        <v/>
      </c>
      <c r="CC407" t="str">
        <f t="shared" si="364"/>
        <v/>
      </c>
      <c r="CD407" t="b">
        <f t="shared" si="375"/>
        <v>0</v>
      </c>
      <c r="CE407" t="str">
        <f t="shared" si="376"/>
        <v/>
      </c>
      <c r="CG407" t="str">
        <f t="shared" si="365"/>
        <v>G885</v>
      </c>
      <c r="CH407" t="str">
        <f t="shared" si="377"/>
        <v>G885</v>
      </c>
      <c r="CI407" t="str">
        <f t="shared" si="366"/>
        <v>G896</v>
      </c>
      <c r="CJ407" t="str">
        <f t="shared" si="367"/>
        <v>G896</v>
      </c>
      <c r="CK407" t="s">
        <v>1165</v>
      </c>
      <c r="CL407" t="s">
        <v>1165</v>
      </c>
      <c r="CM407" t="s">
        <v>1165</v>
      </c>
      <c r="CN407" t="b">
        <f t="shared" si="378"/>
        <v>1</v>
      </c>
      <c r="CO407" t="str">
        <f t="shared" si="368"/>
        <v>R74</v>
      </c>
      <c r="CP407" t="str">
        <f t="shared" si="379"/>
        <v>R74</v>
      </c>
      <c r="CQ407" t="str">
        <f t="shared" si="369"/>
        <v>R290</v>
      </c>
      <c r="CR407" t="str">
        <f t="shared" si="370"/>
        <v>R290</v>
      </c>
      <c r="CS407" t="s">
        <v>1067</v>
      </c>
      <c r="CT407" t="s">
        <v>1067</v>
      </c>
      <c r="CU407" t="s">
        <v>1067</v>
      </c>
      <c r="CV407" t="b">
        <f t="shared" si="380"/>
        <v>1</v>
      </c>
      <c r="DC407" t="str">
        <f t="shared" si="371"/>
        <v>G896</v>
      </c>
      <c r="DD407" t="b">
        <f t="shared" si="381"/>
        <v>0</v>
      </c>
      <c r="DE407" t="str">
        <f t="shared" si="382"/>
        <v>G896</v>
      </c>
      <c r="DF407" t="str">
        <f t="shared" si="372"/>
        <v>R290</v>
      </c>
      <c r="DG407" t="b">
        <f t="shared" si="383"/>
        <v>0</v>
      </c>
      <c r="DH407" t="str">
        <f t="shared" si="384"/>
        <v>R290</v>
      </c>
    </row>
    <row r="408" spans="2:112" ht="12" customHeight="1">
      <c r="B408" t="str">
        <f>TBIDry!H480</f>
        <v>G165</v>
      </c>
      <c r="C408" t="str">
        <f>TBIDry!I480</f>
        <v>R607</v>
      </c>
      <c r="D408" t="b">
        <f t="shared" si="341"/>
        <v>0</v>
      </c>
      <c r="E408" t="b">
        <f t="shared" si="342"/>
        <v>0</v>
      </c>
      <c r="G408" t="str">
        <f>TBIWet!H480</f>
        <v>G564</v>
      </c>
      <c r="H408" t="str">
        <f>TBIWet!I480</f>
        <v>R539</v>
      </c>
      <c r="I408" t="b">
        <f t="shared" si="343"/>
        <v>0</v>
      </c>
      <c r="J408" t="b">
        <f t="shared" si="344"/>
        <v>0</v>
      </c>
      <c r="L408" t="str">
        <f>'Both teabags AfterWet'!A406</f>
        <v>G887</v>
      </c>
      <c r="M408" t="str">
        <f>'Both teabags AfterWet'!A826</f>
        <v>R77</v>
      </c>
      <c r="N408" t="b">
        <f t="shared" si="345"/>
        <v>0</v>
      </c>
      <c r="O408" t="b">
        <f t="shared" si="385"/>
        <v>0</v>
      </c>
      <c r="Q408" s="388" t="b">
        <f t="shared" si="346"/>
        <v>0</v>
      </c>
      <c r="R408" s="388" t="b">
        <f t="shared" si="347"/>
        <v>0</v>
      </c>
      <c r="Y408" t="str">
        <f>'Green_rooibos initial weight'!A409</f>
        <v>G405</v>
      </c>
      <c r="Z408" t="str">
        <f>'Green_rooibos initial weight'!A1313</f>
        <v>R405</v>
      </c>
      <c r="AA408" t="b">
        <f t="shared" si="348"/>
        <v>0</v>
      </c>
      <c r="AB408" t="b">
        <f t="shared" si="349"/>
        <v>0</v>
      </c>
      <c r="AE408" t="str">
        <f>'WetLitterbags placem_collection'!O187</f>
        <v>G564</v>
      </c>
      <c r="AF408" t="str">
        <f>'WetLitterbags placem_collection'!Q187</f>
        <v>R539</v>
      </c>
      <c r="AG408" t="b">
        <f t="shared" si="350"/>
        <v>0</v>
      </c>
      <c r="AH408" t="b">
        <f t="shared" si="351"/>
        <v>0</v>
      </c>
      <c r="AJ408" t="b">
        <f t="shared" si="352"/>
        <v>0</v>
      </c>
      <c r="AK408" t="b">
        <f t="shared" si="353"/>
        <v>0</v>
      </c>
      <c r="AM408" t="str">
        <f>IF(ISBLANK('Dry_Litterbag Placem_Collection'!L187),"","G"&amp;""&amp;'Dry_Litterbag Placem_Collection'!L187)</f>
        <v>G165</v>
      </c>
      <c r="AN408" t="str">
        <f>IF(ISBLANK('Dry_Litterbag Placem_Collection'!M187),"","R"&amp;""&amp;'Dry_Litterbag Placem_Collection'!M187)</f>
        <v>R607</v>
      </c>
      <c r="AO408" t="b">
        <f t="shared" si="354"/>
        <v>0</v>
      </c>
      <c r="AP408" t="b">
        <f t="shared" si="355"/>
        <v>0</v>
      </c>
      <c r="AX408" s="388" t="b">
        <f t="shared" si="356"/>
        <v>0</v>
      </c>
      <c r="AY408" s="388" t="b">
        <f t="shared" si="357"/>
        <v>0</v>
      </c>
      <c r="BA408" t="str">
        <f>'Ashed teabags wet'!A406</f>
        <v>G887</v>
      </c>
      <c r="BB408" t="str">
        <f>'Ashed teabags wet'!A826</f>
        <v>R77</v>
      </c>
      <c r="BC408" t="b">
        <f t="shared" si="358"/>
        <v>0</v>
      </c>
      <c r="BD408" t="b">
        <f t="shared" si="340"/>
        <v>0</v>
      </c>
      <c r="BH408" t="str">
        <f t="shared" si="359"/>
        <v>G266</v>
      </c>
      <c r="BI408" t="str">
        <f t="shared" si="373"/>
        <v>G266</v>
      </c>
      <c r="BP408" t="str">
        <f t="shared" si="360"/>
        <v>R674</v>
      </c>
      <c r="BQ408" t="str">
        <f t="shared" si="361"/>
        <v>R674</v>
      </c>
      <c r="BZ408" t="str">
        <f t="shared" si="362"/>
        <v>G266</v>
      </c>
      <c r="CA408" t="b">
        <f t="shared" si="363"/>
        <v>0</v>
      </c>
      <c r="CB408" t="str">
        <f t="shared" si="374"/>
        <v>G266</v>
      </c>
      <c r="CC408" t="str">
        <f t="shared" si="364"/>
        <v>R674</v>
      </c>
      <c r="CD408" t="b">
        <f t="shared" si="375"/>
        <v>0</v>
      </c>
      <c r="CE408" t="str">
        <f t="shared" si="376"/>
        <v>R674</v>
      </c>
      <c r="CG408" t="str">
        <f t="shared" si="365"/>
        <v>G886</v>
      </c>
      <c r="CH408" t="str">
        <f t="shared" si="377"/>
        <v>G886</v>
      </c>
      <c r="CI408" t="str">
        <f t="shared" si="366"/>
        <v>G337</v>
      </c>
      <c r="CJ408" t="str">
        <f t="shared" si="367"/>
        <v>G337</v>
      </c>
      <c r="CK408" t="s">
        <v>1164</v>
      </c>
      <c r="CL408" t="s">
        <v>1164</v>
      </c>
      <c r="CM408" t="s">
        <v>1164</v>
      </c>
      <c r="CN408" t="b">
        <f t="shared" si="378"/>
        <v>1</v>
      </c>
      <c r="CO408" t="str">
        <f t="shared" si="368"/>
        <v>R76</v>
      </c>
      <c r="CP408" t="str">
        <f t="shared" si="379"/>
        <v>R76</v>
      </c>
      <c r="CQ408" t="str">
        <f t="shared" si="369"/>
        <v>R555</v>
      </c>
      <c r="CR408" t="str">
        <f t="shared" si="370"/>
        <v>R555</v>
      </c>
      <c r="CS408" t="s">
        <v>1065</v>
      </c>
      <c r="CT408" t="s">
        <v>1065</v>
      </c>
      <c r="CU408" t="s">
        <v>1065</v>
      </c>
      <c r="CV408" t="b">
        <f t="shared" si="380"/>
        <v>1</v>
      </c>
      <c r="DC408" t="str">
        <f t="shared" si="371"/>
        <v>G337</v>
      </c>
      <c r="DD408" t="b">
        <f t="shared" si="381"/>
        <v>0</v>
      </c>
      <c r="DE408" t="str">
        <f t="shared" si="382"/>
        <v>G337</v>
      </c>
      <c r="DF408" t="str">
        <f t="shared" si="372"/>
        <v>R555</v>
      </c>
      <c r="DG408" t="b">
        <f t="shared" si="383"/>
        <v>0</v>
      </c>
      <c r="DH408" t="str">
        <f t="shared" si="384"/>
        <v>R555</v>
      </c>
    </row>
    <row r="409" spans="2:112" ht="12" customHeight="1">
      <c r="B409" t="str">
        <f>TBIDry!H481</f>
        <v>G22</v>
      </c>
      <c r="C409" t="str">
        <f>TBIDry!I481</f>
        <v>R629</v>
      </c>
      <c r="D409" t="b">
        <f t="shared" si="341"/>
        <v>0</v>
      </c>
      <c r="E409" t="b">
        <f t="shared" si="342"/>
        <v>0</v>
      </c>
      <c r="G409" t="str">
        <f>TBIWet!H481</f>
        <v>G608</v>
      </c>
      <c r="H409" t="str">
        <f>TBIWet!I481</f>
        <v>R186</v>
      </c>
      <c r="I409" t="b">
        <f t="shared" si="343"/>
        <v>0</v>
      </c>
      <c r="J409" t="b">
        <f t="shared" si="344"/>
        <v>0</v>
      </c>
      <c r="L409" t="str">
        <f>'Both teabags AfterWet'!A407</f>
        <v>G888</v>
      </c>
      <c r="M409" t="str">
        <f>'Both teabags AfterWet'!A827</f>
        <v>R78</v>
      </c>
      <c r="N409" t="b">
        <f t="shared" si="345"/>
        <v>0</v>
      </c>
      <c r="O409" t="b">
        <f t="shared" si="385"/>
        <v>0</v>
      </c>
      <c r="Q409" s="388" t="b">
        <f t="shared" si="346"/>
        <v>0</v>
      </c>
      <c r="R409" s="388" t="b">
        <f t="shared" si="347"/>
        <v>0</v>
      </c>
      <c r="Y409" t="str">
        <f>'Green_rooibos initial weight'!A410</f>
        <v>G406</v>
      </c>
      <c r="Z409" t="str">
        <f>'Green_rooibos initial weight'!A1314</f>
        <v>R406</v>
      </c>
      <c r="AA409" t="b">
        <f t="shared" si="348"/>
        <v>0</v>
      </c>
      <c r="AB409" t="b">
        <f t="shared" si="349"/>
        <v>0</v>
      </c>
      <c r="AE409" t="str">
        <f>'WetLitterbags placem_collection'!O188</f>
        <v>G608</v>
      </c>
      <c r="AF409" t="str">
        <f>'WetLitterbags placem_collection'!Q188</f>
        <v>R186</v>
      </c>
      <c r="AG409" t="b">
        <f t="shared" si="350"/>
        <v>0</v>
      </c>
      <c r="AH409" t="b">
        <f t="shared" si="351"/>
        <v>0</v>
      </c>
      <c r="AJ409" t="b">
        <f t="shared" si="352"/>
        <v>0</v>
      </c>
      <c r="AK409" t="b">
        <f t="shared" si="353"/>
        <v>0</v>
      </c>
      <c r="AM409" t="str">
        <f>IF(ISBLANK('Dry_Litterbag Placem_Collection'!L188),"","G"&amp;""&amp;'Dry_Litterbag Placem_Collection'!L188)</f>
        <v>G22</v>
      </c>
      <c r="AN409" t="str">
        <f>IF(ISBLANK('Dry_Litterbag Placem_Collection'!M188),"","R"&amp;""&amp;'Dry_Litterbag Placem_Collection'!M188)</f>
        <v>R629</v>
      </c>
      <c r="AO409" t="b">
        <f t="shared" si="354"/>
        <v>0</v>
      </c>
      <c r="AP409" t="b">
        <f t="shared" si="355"/>
        <v>0</v>
      </c>
      <c r="AX409" s="388" t="b">
        <f t="shared" si="356"/>
        <v>0</v>
      </c>
      <c r="AY409" s="388" t="b">
        <f t="shared" si="357"/>
        <v>0</v>
      </c>
      <c r="BA409" t="str">
        <f>'Ashed teabags wet'!A407</f>
        <v>G888</v>
      </c>
      <c r="BB409" t="str">
        <f>'Ashed teabags wet'!A827</f>
        <v>R78</v>
      </c>
      <c r="BC409" t="b">
        <f t="shared" si="358"/>
        <v>0</v>
      </c>
      <c r="BD409" t="b">
        <f t="shared" si="340"/>
        <v>0</v>
      </c>
      <c r="BH409" t="str">
        <f t="shared" si="359"/>
        <v>G165</v>
      </c>
      <c r="BI409" t="str">
        <f t="shared" si="373"/>
        <v/>
      </c>
      <c r="BP409" t="str">
        <f t="shared" si="360"/>
        <v>R607</v>
      </c>
      <c r="BQ409" t="str">
        <f t="shared" si="361"/>
        <v/>
      </c>
      <c r="BZ409" t="str">
        <f t="shared" si="362"/>
        <v>G165</v>
      </c>
      <c r="CA409" t="b">
        <f t="shared" si="363"/>
        <v>1</v>
      </c>
      <c r="CB409" t="str">
        <f t="shared" si="374"/>
        <v/>
      </c>
      <c r="CC409" t="str">
        <f t="shared" si="364"/>
        <v>R607</v>
      </c>
      <c r="CD409" t="b">
        <f t="shared" si="375"/>
        <v>1</v>
      </c>
      <c r="CE409" t="str">
        <f t="shared" si="376"/>
        <v/>
      </c>
      <c r="CG409" t="str">
        <f t="shared" si="365"/>
        <v>G887</v>
      </c>
      <c r="CH409" t="str">
        <f t="shared" si="377"/>
        <v>G887</v>
      </c>
      <c r="CI409" t="str">
        <f t="shared" si="366"/>
        <v>G564</v>
      </c>
      <c r="CJ409" t="str">
        <f t="shared" si="367"/>
        <v>G564</v>
      </c>
      <c r="CK409" t="s">
        <v>1163</v>
      </c>
      <c r="CL409" t="s">
        <v>1163</v>
      </c>
      <c r="CM409" t="s">
        <v>1163</v>
      </c>
      <c r="CN409" t="b">
        <f t="shared" si="378"/>
        <v>1</v>
      </c>
      <c r="CO409" t="str">
        <f t="shared" si="368"/>
        <v>R77</v>
      </c>
      <c r="CP409" t="str">
        <f t="shared" si="379"/>
        <v>R77</v>
      </c>
      <c r="CQ409" t="str">
        <f t="shared" si="369"/>
        <v>R539</v>
      </c>
      <c r="CR409" t="str">
        <f t="shared" si="370"/>
        <v>R539</v>
      </c>
      <c r="CS409" t="s">
        <v>1064</v>
      </c>
      <c r="CT409" t="s">
        <v>1064</v>
      </c>
      <c r="CU409" t="s">
        <v>1064</v>
      </c>
      <c r="CV409" t="b">
        <f t="shared" si="380"/>
        <v>1</v>
      </c>
      <c r="DC409" t="str">
        <f t="shared" si="371"/>
        <v>G564</v>
      </c>
      <c r="DD409" t="b">
        <f t="shared" si="381"/>
        <v>0</v>
      </c>
      <c r="DE409" t="str">
        <f t="shared" si="382"/>
        <v>G564</v>
      </c>
      <c r="DF409" t="str">
        <f t="shared" si="372"/>
        <v>R539</v>
      </c>
      <c r="DG409" t="b">
        <f t="shared" si="383"/>
        <v>0</v>
      </c>
      <c r="DH409" t="str">
        <f t="shared" si="384"/>
        <v>R539</v>
      </c>
    </row>
    <row r="410" spans="2:112" ht="12" customHeight="1">
      <c r="B410" t="str">
        <f>TBIDry!H482</f>
        <v>G371</v>
      </c>
      <c r="C410" t="str">
        <f>TBIDry!I482</f>
        <v>R679</v>
      </c>
      <c r="D410" t="b">
        <f t="shared" si="341"/>
        <v>0</v>
      </c>
      <c r="E410" t="b">
        <f t="shared" si="342"/>
        <v>0</v>
      </c>
      <c r="G410" t="str">
        <f>TBIWet!H482</f>
        <v>G365</v>
      </c>
      <c r="H410" t="str">
        <f>TBIWet!I482</f>
        <v>R580</v>
      </c>
      <c r="I410" t="b">
        <f t="shared" si="343"/>
        <v>0</v>
      </c>
      <c r="J410" t="b">
        <f t="shared" si="344"/>
        <v>0</v>
      </c>
      <c r="L410" t="str">
        <f>'Both teabags AfterWet'!A408</f>
        <v>G889</v>
      </c>
      <c r="M410" t="str">
        <f>'Both teabags AfterWet'!A828</f>
        <v>R79</v>
      </c>
      <c r="N410" t="b">
        <f t="shared" si="345"/>
        <v>0</v>
      </c>
      <c r="O410" t="b">
        <f t="shared" si="385"/>
        <v>0</v>
      </c>
      <c r="Q410" s="388" t="b">
        <f t="shared" si="346"/>
        <v>0</v>
      </c>
      <c r="R410" s="388" t="b">
        <f t="shared" si="347"/>
        <v>0</v>
      </c>
      <c r="Y410" t="str">
        <f>'Green_rooibos initial weight'!A411</f>
        <v>G407</v>
      </c>
      <c r="Z410" t="str">
        <f>'Green_rooibos initial weight'!A1315</f>
        <v>R407</v>
      </c>
      <c r="AA410" t="b">
        <f t="shared" si="348"/>
        <v>0</v>
      </c>
      <c r="AB410" t="b">
        <f t="shared" si="349"/>
        <v>0</v>
      </c>
      <c r="AE410" t="str">
        <f>'WetLitterbags placem_collection'!O189</f>
        <v>G365</v>
      </c>
      <c r="AF410" t="str">
        <f>'WetLitterbags placem_collection'!Q189</f>
        <v>R580</v>
      </c>
      <c r="AG410" t="b">
        <f t="shared" si="350"/>
        <v>0</v>
      </c>
      <c r="AH410" t="b">
        <f t="shared" si="351"/>
        <v>0</v>
      </c>
      <c r="AJ410" t="b">
        <f t="shared" si="352"/>
        <v>0</v>
      </c>
      <c r="AK410" t="b">
        <f t="shared" si="353"/>
        <v>0</v>
      </c>
      <c r="AM410" t="str">
        <f>IF(ISBLANK('Dry_Litterbag Placem_Collection'!L189),"","G"&amp;""&amp;'Dry_Litterbag Placem_Collection'!L189)</f>
        <v>G371</v>
      </c>
      <c r="AN410" t="str">
        <f>IF(ISBLANK('Dry_Litterbag Placem_Collection'!M189),"","R"&amp;""&amp;'Dry_Litterbag Placem_Collection'!M189)</f>
        <v>R679</v>
      </c>
      <c r="AO410" t="b">
        <f t="shared" si="354"/>
        <v>0</v>
      </c>
      <c r="AP410" t="b">
        <f t="shared" si="355"/>
        <v>0</v>
      </c>
      <c r="AX410" s="388" t="b">
        <f t="shared" si="356"/>
        <v>0</v>
      </c>
      <c r="AY410" s="388" t="b">
        <f t="shared" si="357"/>
        <v>0</v>
      </c>
      <c r="BA410" t="str">
        <f>'Ashed teabags wet'!A408</f>
        <v>G889</v>
      </c>
      <c r="BB410" t="str">
        <f>'Ashed teabags wet'!A828</f>
        <v>R79</v>
      </c>
      <c r="BC410" t="b">
        <f t="shared" si="358"/>
        <v>0</v>
      </c>
      <c r="BD410" t="b">
        <f t="shared" si="340"/>
        <v>0</v>
      </c>
      <c r="BH410" t="str">
        <f t="shared" si="359"/>
        <v>G22</v>
      </c>
      <c r="BI410" t="str">
        <f t="shared" si="373"/>
        <v>G22</v>
      </c>
      <c r="BP410" t="str">
        <f t="shared" si="360"/>
        <v>R629</v>
      </c>
      <c r="BQ410" t="str">
        <f t="shared" si="361"/>
        <v>R629</v>
      </c>
      <c r="BZ410" t="str">
        <f t="shared" si="362"/>
        <v>G22</v>
      </c>
      <c r="CA410" t="b">
        <f t="shared" si="363"/>
        <v>0</v>
      </c>
      <c r="CB410" t="str">
        <f t="shared" si="374"/>
        <v>G22</v>
      </c>
      <c r="CC410" t="str">
        <f t="shared" si="364"/>
        <v>R629</v>
      </c>
      <c r="CD410" t="b">
        <f t="shared" si="375"/>
        <v>0</v>
      </c>
      <c r="CE410" t="str">
        <f t="shared" si="376"/>
        <v>R629</v>
      </c>
      <c r="CG410" t="str">
        <f t="shared" si="365"/>
        <v>G888</v>
      </c>
      <c r="CH410" t="str">
        <f t="shared" si="377"/>
        <v>G888</v>
      </c>
      <c r="CI410" t="str">
        <f t="shared" si="366"/>
        <v>G608</v>
      </c>
      <c r="CJ410" t="str">
        <f t="shared" si="367"/>
        <v>G608</v>
      </c>
      <c r="CK410" t="s">
        <v>1162</v>
      </c>
      <c r="CL410" t="s">
        <v>1162</v>
      </c>
      <c r="CM410" t="s">
        <v>1162</v>
      </c>
      <c r="CN410" t="b">
        <f t="shared" si="378"/>
        <v>1</v>
      </c>
      <c r="CO410" t="str">
        <f t="shared" si="368"/>
        <v>R78</v>
      </c>
      <c r="CP410" t="str">
        <f t="shared" si="379"/>
        <v>R78</v>
      </c>
      <c r="CQ410" t="str">
        <f t="shared" si="369"/>
        <v>R186</v>
      </c>
      <c r="CR410" t="str">
        <f t="shared" si="370"/>
        <v>R186</v>
      </c>
      <c r="CS410" t="s">
        <v>1063</v>
      </c>
      <c r="CT410" t="s">
        <v>1063</v>
      </c>
      <c r="CU410" t="s">
        <v>1063</v>
      </c>
      <c r="CV410" t="b">
        <f t="shared" si="380"/>
        <v>1</v>
      </c>
      <c r="DC410" t="str">
        <f t="shared" si="371"/>
        <v>G608</v>
      </c>
      <c r="DD410" t="b">
        <f t="shared" si="381"/>
        <v>0</v>
      </c>
      <c r="DE410" t="str">
        <f t="shared" si="382"/>
        <v>G608</v>
      </c>
      <c r="DF410" t="str">
        <f t="shared" si="372"/>
        <v>R186</v>
      </c>
      <c r="DG410" t="b">
        <f t="shared" si="383"/>
        <v>0</v>
      </c>
      <c r="DH410" t="str">
        <f t="shared" si="384"/>
        <v>R186</v>
      </c>
    </row>
    <row r="411" spans="2:112" ht="12" customHeight="1">
      <c r="B411" t="str">
        <f>TBIDry!H483</f>
        <v>G185</v>
      </c>
      <c r="C411" t="str">
        <f>TBIDry!I483</f>
        <v>R682</v>
      </c>
      <c r="D411" t="b">
        <f t="shared" si="341"/>
        <v>0</v>
      </c>
      <c r="E411" t="b">
        <f t="shared" si="342"/>
        <v>0</v>
      </c>
      <c r="G411" t="str">
        <f>TBIWet!H483</f>
        <v>G375</v>
      </c>
      <c r="H411" t="str">
        <f>TBIWet!I483</f>
        <v>R222</v>
      </c>
      <c r="I411" t="b">
        <f t="shared" si="343"/>
        <v>0</v>
      </c>
      <c r="J411" t="b">
        <f t="shared" si="344"/>
        <v>0</v>
      </c>
      <c r="L411" t="str">
        <f>'Both teabags AfterWet'!A409</f>
        <v>G890</v>
      </c>
      <c r="M411" t="str">
        <f>'Both teabags AfterWet'!A829</f>
        <v>R8</v>
      </c>
      <c r="N411" t="b">
        <f t="shared" si="345"/>
        <v>0</v>
      </c>
      <c r="O411" t="b">
        <f t="shared" si="385"/>
        <v>0</v>
      </c>
      <c r="Q411" s="388" t="b">
        <f t="shared" si="346"/>
        <v>0</v>
      </c>
      <c r="R411" s="388" t="b">
        <f t="shared" si="347"/>
        <v>0</v>
      </c>
      <c r="Y411" t="str">
        <f>'Green_rooibos initial weight'!A412</f>
        <v>G408</v>
      </c>
      <c r="Z411" t="str">
        <f>'Green_rooibos initial weight'!A1316</f>
        <v>R408</v>
      </c>
      <c r="AA411" t="b">
        <f t="shared" si="348"/>
        <v>0</v>
      </c>
      <c r="AB411" t="b">
        <f t="shared" si="349"/>
        <v>0</v>
      </c>
      <c r="AE411" t="str">
        <f>'WetLitterbags placem_collection'!O190</f>
        <v>G375</v>
      </c>
      <c r="AF411" t="str">
        <f>'WetLitterbags placem_collection'!Q190</f>
        <v>R222</v>
      </c>
      <c r="AG411" t="b">
        <f t="shared" si="350"/>
        <v>0</v>
      </c>
      <c r="AH411" t="b">
        <f t="shared" si="351"/>
        <v>0</v>
      </c>
      <c r="AJ411" t="b">
        <f t="shared" si="352"/>
        <v>0</v>
      </c>
      <c r="AK411" t="b">
        <f t="shared" si="353"/>
        <v>0</v>
      </c>
      <c r="AM411" t="str">
        <f>IF(ISBLANK('Dry_Litterbag Placem_Collection'!L190),"","G"&amp;""&amp;'Dry_Litterbag Placem_Collection'!L190)</f>
        <v>G185</v>
      </c>
      <c r="AN411" t="str">
        <f>IF(ISBLANK('Dry_Litterbag Placem_Collection'!M190),"","R"&amp;""&amp;'Dry_Litterbag Placem_Collection'!M190)</f>
        <v>R682</v>
      </c>
      <c r="AO411" t="b">
        <f t="shared" si="354"/>
        <v>0</v>
      </c>
      <c r="AP411" t="b">
        <f t="shared" si="355"/>
        <v>0</v>
      </c>
      <c r="AX411" s="388" t="b">
        <f t="shared" si="356"/>
        <v>0</v>
      </c>
      <c r="AY411" s="388" t="b">
        <f t="shared" si="357"/>
        <v>0</v>
      </c>
      <c r="BA411" t="str">
        <f>'Ashed teabags wet'!A409</f>
        <v>G890</v>
      </c>
      <c r="BB411" t="str">
        <f>'Ashed teabags wet'!A829</f>
        <v>R8</v>
      </c>
      <c r="BC411" t="b">
        <f t="shared" si="358"/>
        <v>0</v>
      </c>
      <c r="BD411" t="b">
        <f t="shared" si="340"/>
        <v>0</v>
      </c>
      <c r="BH411" t="str">
        <f t="shared" si="359"/>
        <v>G371</v>
      </c>
      <c r="BI411" t="str">
        <f t="shared" si="373"/>
        <v>G371</v>
      </c>
      <c r="BP411" t="str">
        <f t="shared" si="360"/>
        <v>R679</v>
      </c>
      <c r="BQ411" t="str">
        <f t="shared" si="361"/>
        <v>R679</v>
      </c>
      <c r="BZ411" t="str">
        <f t="shared" si="362"/>
        <v>G371</v>
      </c>
      <c r="CA411" t="b">
        <f t="shared" si="363"/>
        <v>0</v>
      </c>
      <c r="CB411" t="str">
        <f t="shared" si="374"/>
        <v>G371</v>
      </c>
      <c r="CC411" t="str">
        <f t="shared" si="364"/>
        <v>R679</v>
      </c>
      <c r="CD411" t="b">
        <f t="shared" si="375"/>
        <v>0</v>
      </c>
      <c r="CE411" t="str">
        <f t="shared" si="376"/>
        <v>R679</v>
      </c>
      <c r="CG411" t="str">
        <f t="shared" si="365"/>
        <v>G889</v>
      </c>
      <c r="CH411" t="str">
        <f t="shared" si="377"/>
        <v>G889</v>
      </c>
      <c r="CI411" t="str">
        <f t="shared" si="366"/>
        <v>G365</v>
      </c>
      <c r="CJ411" t="str">
        <f t="shared" si="367"/>
        <v>G365</v>
      </c>
      <c r="CK411" t="s">
        <v>1161</v>
      </c>
      <c r="CL411" t="s">
        <v>1161</v>
      </c>
      <c r="CM411" t="s">
        <v>1161</v>
      </c>
      <c r="CN411" t="b">
        <f t="shared" si="378"/>
        <v>1</v>
      </c>
      <c r="CO411" t="str">
        <f t="shared" si="368"/>
        <v>R79</v>
      </c>
      <c r="CP411" t="str">
        <f t="shared" si="379"/>
        <v>R79</v>
      </c>
      <c r="CQ411" t="str">
        <f t="shared" si="369"/>
        <v>R580</v>
      </c>
      <c r="CR411" t="str">
        <f t="shared" si="370"/>
        <v>R580</v>
      </c>
      <c r="CS411" t="s">
        <v>1062</v>
      </c>
      <c r="CT411" t="s">
        <v>1062</v>
      </c>
      <c r="CU411" t="s">
        <v>1062</v>
      </c>
      <c r="CV411" t="b">
        <f t="shared" si="380"/>
        <v>1</v>
      </c>
      <c r="DC411" t="str">
        <f t="shared" si="371"/>
        <v>G365</v>
      </c>
      <c r="DD411" t="b">
        <f t="shared" si="381"/>
        <v>0</v>
      </c>
      <c r="DE411" t="str">
        <f t="shared" si="382"/>
        <v>G365</v>
      </c>
      <c r="DF411" t="str">
        <f t="shared" si="372"/>
        <v>R580</v>
      </c>
      <c r="DG411" t="b">
        <f t="shared" si="383"/>
        <v>0</v>
      </c>
      <c r="DH411" t="str">
        <f t="shared" si="384"/>
        <v>R580</v>
      </c>
    </row>
    <row r="412" spans="2:112" ht="12" customHeight="1">
      <c r="B412" t="str">
        <f>TBIDry!H484</f>
        <v>G301</v>
      </c>
      <c r="C412" t="str">
        <f>TBIDry!I484</f>
        <v>R693</v>
      </c>
      <c r="D412" t="b">
        <f t="shared" si="341"/>
        <v>0</v>
      </c>
      <c r="E412" t="b">
        <f t="shared" si="342"/>
        <v>0</v>
      </c>
      <c r="G412" t="str">
        <f>TBIWet!H484</f>
        <v>G537</v>
      </c>
      <c r="H412" t="str">
        <f>TBIWet!I484</f>
        <v>R216</v>
      </c>
      <c r="I412" t="b">
        <f t="shared" si="343"/>
        <v>0</v>
      </c>
      <c r="J412" t="b">
        <f t="shared" si="344"/>
        <v>0</v>
      </c>
      <c r="L412" t="str">
        <f>'Both teabags AfterWet'!A410</f>
        <v>G891</v>
      </c>
      <c r="M412" t="str">
        <f>'Both teabags AfterWet'!A830</f>
        <v>R81</v>
      </c>
      <c r="N412" t="b">
        <f t="shared" si="345"/>
        <v>0</v>
      </c>
      <c r="O412" t="b">
        <f t="shared" si="385"/>
        <v>0</v>
      </c>
      <c r="Q412" s="388" t="b">
        <f t="shared" si="346"/>
        <v>0</v>
      </c>
      <c r="R412" s="388" t="b">
        <f t="shared" si="347"/>
        <v>0</v>
      </c>
      <c r="Y412" t="str">
        <f>'Green_rooibos initial weight'!A413</f>
        <v>G409</v>
      </c>
      <c r="Z412" t="str">
        <f>'Green_rooibos initial weight'!A1317</f>
        <v>R409</v>
      </c>
      <c r="AA412" t="b">
        <f t="shared" si="348"/>
        <v>0</v>
      </c>
      <c r="AB412" t="b">
        <f t="shared" si="349"/>
        <v>0</v>
      </c>
      <c r="AE412" t="str">
        <f>'WetLitterbags placem_collection'!O191</f>
        <v>G537</v>
      </c>
      <c r="AF412" t="str">
        <f>'WetLitterbags placem_collection'!Q191</f>
        <v>R216</v>
      </c>
      <c r="AG412" t="b">
        <f t="shared" si="350"/>
        <v>0</v>
      </c>
      <c r="AH412" t="b">
        <f t="shared" si="351"/>
        <v>0</v>
      </c>
      <c r="AJ412" t="b">
        <f t="shared" si="352"/>
        <v>0</v>
      </c>
      <c r="AK412" t="b">
        <f t="shared" si="353"/>
        <v>0</v>
      </c>
      <c r="AM412" t="str">
        <f>IF(ISBLANK('Dry_Litterbag Placem_Collection'!L191),"","G"&amp;""&amp;'Dry_Litterbag Placem_Collection'!L191)</f>
        <v>G301</v>
      </c>
      <c r="AN412" t="str">
        <f>IF(ISBLANK('Dry_Litterbag Placem_Collection'!M191),"","R"&amp;""&amp;'Dry_Litterbag Placem_Collection'!M191)</f>
        <v>R693</v>
      </c>
      <c r="AO412" t="b">
        <f t="shared" si="354"/>
        <v>0</v>
      </c>
      <c r="AP412" t="b">
        <f t="shared" si="355"/>
        <v>0</v>
      </c>
      <c r="AX412" s="388" t="b">
        <f t="shared" si="356"/>
        <v>0</v>
      </c>
      <c r="AY412" s="388" t="b">
        <f t="shared" si="357"/>
        <v>0</v>
      </c>
      <c r="BA412" t="str">
        <f>'Ashed teabags wet'!A410</f>
        <v>G891</v>
      </c>
      <c r="BB412" t="str">
        <f>'Ashed teabags wet'!A830</f>
        <v>R81</v>
      </c>
      <c r="BC412" t="b">
        <f t="shared" si="358"/>
        <v>0</v>
      </c>
      <c r="BD412" t="b">
        <f t="shared" si="340"/>
        <v>0</v>
      </c>
      <c r="BH412" t="str">
        <f t="shared" si="359"/>
        <v>G185</v>
      </c>
      <c r="BI412" t="str">
        <f t="shared" si="373"/>
        <v>G185</v>
      </c>
      <c r="BP412" t="str">
        <f t="shared" si="360"/>
        <v>R682</v>
      </c>
      <c r="BQ412" t="str">
        <f t="shared" si="361"/>
        <v>R682</v>
      </c>
      <c r="BZ412" t="str">
        <f t="shared" si="362"/>
        <v>G185</v>
      </c>
      <c r="CA412" t="b">
        <f t="shared" si="363"/>
        <v>0</v>
      </c>
      <c r="CB412" t="str">
        <f t="shared" si="374"/>
        <v>G185</v>
      </c>
      <c r="CC412" t="str">
        <f t="shared" si="364"/>
        <v>R682</v>
      </c>
      <c r="CD412" t="b">
        <f t="shared" si="375"/>
        <v>0</v>
      </c>
      <c r="CE412" t="str">
        <f t="shared" si="376"/>
        <v>R682</v>
      </c>
      <c r="CG412" t="str">
        <f t="shared" si="365"/>
        <v>G890</v>
      </c>
      <c r="CH412" t="str">
        <f t="shared" si="377"/>
        <v>G890</v>
      </c>
      <c r="CI412" t="str">
        <f t="shared" si="366"/>
        <v>G375</v>
      </c>
      <c r="CJ412" t="str">
        <f t="shared" si="367"/>
        <v>G375</v>
      </c>
      <c r="CK412" t="s">
        <v>1160</v>
      </c>
      <c r="CL412" t="s">
        <v>1160</v>
      </c>
      <c r="CM412" t="s">
        <v>1160</v>
      </c>
      <c r="CN412" t="b">
        <f t="shared" si="378"/>
        <v>1</v>
      </c>
      <c r="CO412" t="str">
        <f t="shared" si="368"/>
        <v>R8</v>
      </c>
      <c r="CP412" t="str">
        <f t="shared" si="379"/>
        <v>R8</v>
      </c>
      <c r="CQ412" t="str">
        <f t="shared" si="369"/>
        <v>R222</v>
      </c>
      <c r="CR412" t="str">
        <f t="shared" si="370"/>
        <v>R222</v>
      </c>
      <c r="CS412" t="s">
        <v>1133</v>
      </c>
      <c r="CT412" t="s">
        <v>1133</v>
      </c>
      <c r="CU412" t="s">
        <v>1133</v>
      </c>
      <c r="CV412" t="b">
        <f t="shared" si="380"/>
        <v>1</v>
      </c>
      <c r="DC412" t="str">
        <f t="shared" si="371"/>
        <v>G375</v>
      </c>
      <c r="DD412" t="b">
        <f t="shared" si="381"/>
        <v>0</v>
      </c>
      <c r="DE412" t="str">
        <f t="shared" si="382"/>
        <v>G375</v>
      </c>
      <c r="DF412" t="str">
        <f t="shared" si="372"/>
        <v>R222</v>
      </c>
      <c r="DG412" t="b">
        <f t="shared" si="383"/>
        <v>0</v>
      </c>
      <c r="DH412" t="str">
        <f t="shared" si="384"/>
        <v>R222</v>
      </c>
    </row>
    <row r="413" spans="2:112" ht="12" customHeight="1">
      <c r="B413" t="str">
        <f>TBIDry!H485</f>
        <v>G466</v>
      </c>
      <c r="C413" t="str">
        <f>TBIDry!I485</f>
        <v>R605</v>
      </c>
      <c r="D413" t="b">
        <f t="shared" si="341"/>
        <v>0</v>
      </c>
      <c r="E413" t="b">
        <f t="shared" si="342"/>
        <v>0</v>
      </c>
      <c r="G413" t="str">
        <f>TBIWet!H485</f>
        <v>G393</v>
      </c>
      <c r="H413" t="str">
        <f>TBIWet!I485</f>
        <v>R232</v>
      </c>
      <c r="I413" t="b">
        <f t="shared" si="343"/>
        <v>0</v>
      </c>
      <c r="J413" t="b">
        <f t="shared" si="344"/>
        <v>0</v>
      </c>
      <c r="L413" t="str">
        <f>'Both teabags AfterWet'!A411</f>
        <v>G892</v>
      </c>
      <c r="M413" t="str">
        <f>'Both teabags AfterWet'!A831</f>
        <v>R82</v>
      </c>
      <c r="N413" t="b">
        <f t="shared" si="345"/>
        <v>0</v>
      </c>
      <c r="O413" t="b">
        <f t="shared" si="385"/>
        <v>0</v>
      </c>
      <c r="Q413" s="388" t="b">
        <f t="shared" si="346"/>
        <v>0</v>
      </c>
      <c r="R413" s="388" t="b">
        <f t="shared" si="347"/>
        <v>0</v>
      </c>
      <c r="Y413" t="str">
        <f>'Green_rooibos initial weight'!A414</f>
        <v>G410</v>
      </c>
      <c r="Z413" t="str">
        <f>'Green_rooibos initial weight'!A1318</f>
        <v>R410</v>
      </c>
      <c r="AA413" t="b">
        <f t="shared" si="348"/>
        <v>0</v>
      </c>
      <c r="AB413" t="b">
        <f t="shared" si="349"/>
        <v>0</v>
      </c>
      <c r="AE413" t="str">
        <f>'WetLitterbags placem_collection'!O192</f>
        <v>G393</v>
      </c>
      <c r="AF413" t="str">
        <f>'WetLitterbags placem_collection'!Q192</f>
        <v>R232</v>
      </c>
      <c r="AG413" t="b">
        <f t="shared" si="350"/>
        <v>0</v>
      </c>
      <c r="AH413" t="b">
        <f t="shared" si="351"/>
        <v>0</v>
      </c>
      <c r="AJ413" t="b">
        <f t="shared" si="352"/>
        <v>0</v>
      </c>
      <c r="AK413" t="b">
        <f t="shared" si="353"/>
        <v>0</v>
      </c>
      <c r="AM413" t="str">
        <f>IF(ISBLANK('Dry_Litterbag Placem_Collection'!L192),"","G"&amp;""&amp;'Dry_Litterbag Placem_Collection'!L192)</f>
        <v>G466</v>
      </c>
      <c r="AN413" t="str">
        <f>IF(ISBLANK('Dry_Litterbag Placem_Collection'!M192),"","R"&amp;""&amp;'Dry_Litterbag Placem_Collection'!M192)</f>
        <v>R605</v>
      </c>
      <c r="AO413" t="b">
        <f t="shared" si="354"/>
        <v>0</v>
      </c>
      <c r="AP413" t="b">
        <f t="shared" si="355"/>
        <v>0</v>
      </c>
      <c r="AX413" s="388" t="b">
        <f t="shared" si="356"/>
        <v>0</v>
      </c>
      <c r="AY413" s="388" t="b">
        <f t="shared" si="357"/>
        <v>0</v>
      </c>
      <c r="BA413" t="str">
        <f>'Ashed teabags wet'!A411</f>
        <v>G892</v>
      </c>
      <c r="BB413" t="str">
        <f>'Ashed teabags wet'!A831</f>
        <v>R82</v>
      </c>
      <c r="BC413" t="b">
        <f t="shared" si="358"/>
        <v>0</v>
      </c>
      <c r="BD413" t="b">
        <f t="shared" si="340"/>
        <v>0</v>
      </c>
      <c r="BH413" t="str">
        <f t="shared" si="359"/>
        <v>G301</v>
      </c>
      <c r="BI413" t="str">
        <f t="shared" si="373"/>
        <v>G301</v>
      </c>
      <c r="BP413" t="str">
        <f t="shared" si="360"/>
        <v>R693</v>
      </c>
      <c r="BQ413" t="str">
        <f t="shared" si="361"/>
        <v>R693</v>
      </c>
      <c r="BZ413" t="str">
        <f t="shared" si="362"/>
        <v>G301</v>
      </c>
      <c r="CA413" t="b">
        <f t="shared" si="363"/>
        <v>0</v>
      </c>
      <c r="CB413" t="str">
        <f t="shared" si="374"/>
        <v>G301</v>
      </c>
      <c r="CC413" t="str">
        <f t="shared" si="364"/>
        <v>R693</v>
      </c>
      <c r="CD413" t="b">
        <f t="shared" si="375"/>
        <v>0</v>
      </c>
      <c r="CE413" t="str">
        <f t="shared" si="376"/>
        <v>R693</v>
      </c>
      <c r="CG413" t="str">
        <f t="shared" si="365"/>
        <v>G891</v>
      </c>
      <c r="CH413" t="str">
        <f t="shared" si="377"/>
        <v>G891</v>
      </c>
      <c r="CI413" t="str">
        <f t="shared" si="366"/>
        <v>G537</v>
      </c>
      <c r="CJ413" t="str">
        <f t="shared" si="367"/>
        <v>G537</v>
      </c>
      <c r="CK413" t="s">
        <v>1159</v>
      </c>
      <c r="CL413" t="s">
        <v>1159</v>
      </c>
      <c r="CM413" t="s">
        <v>1159</v>
      </c>
      <c r="CN413" t="b">
        <f t="shared" si="378"/>
        <v>1</v>
      </c>
      <c r="CO413" t="str">
        <f t="shared" si="368"/>
        <v>R81</v>
      </c>
      <c r="CP413" t="str">
        <f t="shared" si="379"/>
        <v>R81</v>
      </c>
      <c r="CQ413" t="str">
        <f t="shared" si="369"/>
        <v>R216</v>
      </c>
      <c r="CR413" t="str">
        <f t="shared" si="370"/>
        <v>R216</v>
      </c>
      <c r="CS413" t="s">
        <v>1060</v>
      </c>
      <c r="CT413" t="s">
        <v>1060</v>
      </c>
      <c r="CU413" t="s">
        <v>1060</v>
      </c>
      <c r="CV413" t="b">
        <f t="shared" si="380"/>
        <v>1</v>
      </c>
      <c r="DC413" t="str">
        <f t="shared" si="371"/>
        <v>G537</v>
      </c>
      <c r="DD413" t="b">
        <f t="shared" si="381"/>
        <v>0</v>
      </c>
      <c r="DE413" t="str">
        <f t="shared" si="382"/>
        <v>G537</v>
      </c>
      <c r="DF413" t="str">
        <f t="shared" si="372"/>
        <v>R216</v>
      </c>
      <c r="DG413" t="b">
        <f t="shared" si="383"/>
        <v>0</v>
      </c>
      <c r="DH413" t="str">
        <f t="shared" si="384"/>
        <v>R216</v>
      </c>
    </row>
    <row r="414" spans="2:112" ht="12" customHeight="1">
      <c r="B414" t="str">
        <f>TBIDry!H486</f>
        <v>G32</v>
      </c>
      <c r="C414" t="str">
        <f>TBIDry!I486</f>
        <v>R240</v>
      </c>
      <c r="D414" t="b">
        <f t="shared" si="341"/>
        <v>0</v>
      </c>
      <c r="E414" t="b">
        <f t="shared" si="342"/>
        <v>0</v>
      </c>
      <c r="G414" t="str">
        <f>TBIWet!H486</f>
        <v>G417</v>
      </c>
      <c r="H414" t="str">
        <f>TBIWet!I486</f>
        <v>R387</v>
      </c>
      <c r="I414" t="b">
        <f t="shared" si="343"/>
        <v>0</v>
      </c>
      <c r="J414" t="b">
        <f t="shared" si="344"/>
        <v>0</v>
      </c>
      <c r="L414" t="str">
        <f>'Both teabags AfterWet'!A412</f>
        <v>G893</v>
      </c>
      <c r="M414" t="str">
        <f>'Both teabags AfterWet'!A832</f>
        <v>R83</v>
      </c>
      <c r="N414" t="b">
        <f t="shared" si="345"/>
        <v>0</v>
      </c>
      <c r="O414" t="b">
        <f t="shared" si="385"/>
        <v>0</v>
      </c>
      <c r="Q414" s="388" t="b">
        <f t="shared" si="346"/>
        <v>0</v>
      </c>
      <c r="R414" s="388" t="b">
        <f t="shared" si="347"/>
        <v>0</v>
      </c>
      <c r="Y414" t="str">
        <f>'Green_rooibos initial weight'!A415</f>
        <v>G411</v>
      </c>
      <c r="Z414" t="str">
        <f>'Green_rooibos initial weight'!A1319</f>
        <v>R411</v>
      </c>
      <c r="AA414" t="b">
        <f t="shared" si="348"/>
        <v>0</v>
      </c>
      <c r="AB414" t="b">
        <f t="shared" si="349"/>
        <v>0</v>
      </c>
      <c r="AE414" t="str">
        <f>'WetLitterbags placem_collection'!O193</f>
        <v>G417</v>
      </c>
      <c r="AF414" t="str">
        <f>'WetLitterbags placem_collection'!Q193</f>
        <v>R387</v>
      </c>
      <c r="AG414" t="b">
        <f t="shared" si="350"/>
        <v>0</v>
      </c>
      <c r="AH414" t="b">
        <f t="shared" si="351"/>
        <v>0</v>
      </c>
      <c r="AJ414" t="b">
        <f t="shared" si="352"/>
        <v>0</v>
      </c>
      <c r="AK414" t="b">
        <f t="shared" si="353"/>
        <v>0</v>
      </c>
      <c r="AM414" t="str">
        <f>IF(ISBLANK('Dry_Litterbag Placem_Collection'!L193),"","G"&amp;""&amp;'Dry_Litterbag Placem_Collection'!L193)</f>
        <v>G32</v>
      </c>
      <c r="AN414" t="str">
        <f>IF(ISBLANK('Dry_Litterbag Placem_Collection'!M193),"","R"&amp;""&amp;'Dry_Litterbag Placem_Collection'!M193)</f>
        <v>R240</v>
      </c>
      <c r="AO414" t="b">
        <f t="shared" si="354"/>
        <v>0</v>
      </c>
      <c r="AP414" t="b">
        <f t="shared" si="355"/>
        <v>0</v>
      </c>
      <c r="AX414" s="388" t="b">
        <f t="shared" si="356"/>
        <v>0</v>
      </c>
      <c r="AY414" s="388" t="b">
        <f t="shared" si="357"/>
        <v>0</v>
      </c>
      <c r="BA414" t="str">
        <f>'Ashed teabags wet'!A412</f>
        <v>G893</v>
      </c>
      <c r="BB414" t="str">
        <f>'Ashed teabags wet'!A832</f>
        <v>R83</v>
      </c>
      <c r="BC414" t="b">
        <f t="shared" si="358"/>
        <v>0</v>
      </c>
      <c r="BD414" t="b">
        <f t="shared" si="340"/>
        <v>0</v>
      </c>
      <c r="BH414" t="str">
        <f t="shared" si="359"/>
        <v>G466</v>
      </c>
      <c r="BI414" t="str">
        <f t="shared" si="373"/>
        <v>G466</v>
      </c>
      <c r="BP414" t="str">
        <f t="shared" si="360"/>
        <v>R605</v>
      </c>
      <c r="BQ414" t="str">
        <f t="shared" si="361"/>
        <v>R605</v>
      </c>
      <c r="BZ414" t="str">
        <f t="shared" si="362"/>
        <v>G466</v>
      </c>
      <c r="CA414" t="b">
        <f t="shared" si="363"/>
        <v>0</v>
      </c>
      <c r="CB414" t="str">
        <f t="shared" si="374"/>
        <v>G466</v>
      </c>
      <c r="CC414" t="str">
        <f t="shared" si="364"/>
        <v>R605</v>
      </c>
      <c r="CD414" t="b">
        <f t="shared" si="375"/>
        <v>0</v>
      </c>
      <c r="CE414" t="str">
        <f t="shared" si="376"/>
        <v>R605</v>
      </c>
      <c r="CG414" t="str">
        <f t="shared" si="365"/>
        <v>G892</v>
      </c>
      <c r="CH414" t="str">
        <f t="shared" si="377"/>
        <v>G892</v>
      </c>
      <c r="CI414" t="str">
        <f t="shared" si="366"/>
        <v>G393</v>
      </c>
      <c r="CJ414" t="str">
        <f t="shared" si="367"/>
        <v>G393</v>
      </c>
      <c r="CK414" t="s">
        <v>1158</v>
      </c>
      <c r="CL414" t="s">
        <v>1158</v>
      </c>
      <c r="CM414" t="s">
        <v>1158</v>
      </c>
      <c r="CN414" t="b">
        <f t="shared" si="378"/>
        <v>1</v>
      </c>
      <c r="CO414" t="str">
        <f t="shared" si="368"/>
        <v>R82</v>
      </c>
      <c r="CP414" t="str">
        <f t="shared" si="379"/>
        <v>R82</v>
      </c>
      <c r="CQ414" t="str">
        <f t="shared" si="369"/>
        <v>R232</v>
      </c>
      <c r="CR414" t="str">
        <f t="shared" si="370"/>
        <v>R232</v>
      </c>
      <c r="CS414" t="s">
        <v>1059</v>
      </c>
      <c r="CT414" t="s">
        <v>1059</v>
      </c>
      <c r="CU414" t="s">
        <v>1059</v>
      </c>
      <c r="CV414" t="b">
        <f t="shared" si="380"/>
        <v>1</v>
      </c>
      <c r="DC414" t="str">
        <f t="shared" si="371"/>
        <v>G393</v>
      </c>
      <c r="DD414" t="b">
        <f t="shared" si="381"/>
        <v>0</v>
      </c>
      <c r="DE414" t="str">
        <f t="shared" si="382"/>
        <v>G393</v>
      </c>
      <c r="DF414" t="str">
        <f t="shared" si="372"/>
        <v>R232</v>
      </c>
      <c r="DG414" t="b">
        <f t="shared" si="383"/>
        <v>0</v>
      </c>
      <c r="DH414" t="str">
        <f t="shared" si="384"/>
        <v>R232</v>
      </c>
    </row>
    <row r="415" spans="2:112" ht="12" customHeight="1">
      <c r="B415" t="str">
        <f>TBIDry!H487</f>
        <v/>
      </c>
      <c r="C415" t="str">
        <f>TBIDry!I487</f>
        <v/>
      </c>
      <c r="D415" t="b">
        <f t="shared" si="341"/>
        <v>1</v>
      </c>
      <c r="E415" t="b">
        <f t="shared" si="342"/>
        <v>1</v>
      </c>
      <c r="G415" t="str">
        <f>TBIWet!H487</f>
        <v>G297</v>
      </c>
      <c r="H415" t="str">
        <f>TBIWet!I487</f>
        <v>R346</v>
      </c>
      <c r="I415" t="b">
        <f t="shared" si="343"/>
        <v>0</v>
      </c>
      <c r="J415" t="b">
        <f t="shared" si="344"/>
        <v>0</v>
      </c>
      <c r="L415" t="str">
        <f>'Both teabags AfterWet'!A413</f>
        <v>G894</v>
      </c>
      <c r="M415" t="str">
        <f>'Both teabags AfterWet'!A833</f>
        <v>R85</v>
      </c>
      <c r="N415" t="b">
        <f t="shared" si="345"/>
        <v>0</v>
      </c>
      <c r="O415" t="b">
        <f t="shared" si="385"/>
        <v>0</v>
      </c>
      <c r="Q415" s="388" t="b">
        <f t="shared" si="346"/>
        <v>0</v>
      </c>
      <c r="R415" s="388" t="b">
        <f t="shared" si="347"/>
        <v>0</v>
      </c>
      <c r="Y415" t="str">
        <f>'Green_rooibos initial weight'!A416</f>
        <v>G412</v>
      </c>
      <c r="Z415" t="str">
        <f>'Green_rooibos initial weight'!A1320</f>
        <v>R412</v>
      </c>
      <c r="AA415" t="b">
        <f t="shared" si="348"/>
        <v>0</v>
      </c>
      <c r="AB415" t="b">
        <f t="shared" si="349"/>
        <v>0</v>
      </c>
      <c r="AE415" t="str">
        <f>'WetLitterbags placem_collection'!O194</f>
        <v>G297</v>
      </c>
      <c r="AF415" t="str">
        <f>'WetLitterbags placem_collection'!Q194</f>
        <v>R346</v>
      </c>
      <c r="AG415" t="b">
        <f t="shared" si="350"/>
        <v>0</v>
      </c>
      <c r="AH415" t="b">
        <f t="shared" si="351"/>
        <v>0</v>
      </c>
      <c r="AJ415" t="b">
        <f t="shared" si="352"/>
        <v>0</v>
      </c>
      <c r="AK415" t="b">
        <f t="shared" si="353"/>
        <v>0</v>
      </c>
      <c r="AM415" t="str">
        <f>IF(ISBLANK('Dry_Litterbag Placem_Collection'!L194),"","G"&amp;""&amp;'Dry_Litterbag Placem_Collection'!L194)</f>
        <v/>
      </c>
      <c r="AN415" t="str">
        <f>IF(ISBLANK('Dry_Litterbag Placem_Collection'!M194),"","R"&amp;""&amp;'Dry_Litterbag Placem_Collection'!M194)</f>
        <v/>
      </c>
      <c r="AO415" t="b">
        <f t="shared" si="354"/>
        <v>1</v>
      </c>
      <c r="AP415" t="b">
        <f t="shared" si="355"/>
        <v>1</v>
      </c>
      <c r="AX415" s="388" t="b">
        <f t="shared" si="356"/>
        <v>0</v>
      </c>
      <c r="AY415" s="388" t="b">
        <f t="shared" si="357"/>
        <v>0</v>
      </c>
      <c r="BA415" t="str">
        <f>'Ashed teabags wet'!A413</f>
        <v>G894</v>
      </c>
      <c r="BB415" t="str">
        <f>'Ashed teabags wet'!A833</f>
        <v>R85</v>
      </c>
      <c r="BC415" t="b">
        <f t="shared" si="358"/>
        <v>0</v>
      </c>
      <c r="BD415" t="b">
        <f t="shared" si="340"/>
        <v>0</v>
      </c>
      <c r="BH415" t="str">
        <f t="shared" si="359"/>
        <v>G32</v>
      </c>
      <c r="BI415" t="str">
        <f t="shared" si="373"/>
        <v>G32</v>
      </c>
      <c r="BP415" t="str">
        <f t="shared" si="360"/>
        <v>R240</v>
      </c>
      <c r="BQ415" t="str">
        <f t="shared" si="361"/>
        <v>R240</v>
      </c>
      <c r="BZ415" t="str">
        <f t="shared" si="362"/>
        <v>G32</v>
      </c>
      <c r="CA415" t="b">
        <f t="shared" si="363"/>
        <v>0</v>
      </c>
      <c r="CB415" t="str">
        <f t="shared" si="374"/>
        <v>G32</v>
      </c>
      <c r="CC415" t="str">
        <f t="shared" si="364"/>
        <v>R240</v>
      </c>
      <c r="CD415" t="b">
        <f t="shared" si="375"/>
        <v>0</v>
      </c>
      <c r="CE415" t="str">
        <f t="shared" si="376"/>
        <v>R240</v>
      </c>
      <c r="CG415" t="str">
        <f t="shared" si="365"/>
        <v>G893</v>
      </c>
      <c r="CH415" t="str">
        <f t="shared" si="377"/>
        <v>G893</v>
      </c>
      <c r="CI415" t="str">
        <f t="shared" si="366"/>
        <v>G417</v>
      </c>
      <c r="CJ415" t="str">
        <f t="shared" si="367"/>
        <v>G417</v>
      </c>
      <c r="CK415" t="s">
        <v>1157</v>
      </c>
      <c r="CL415" t="s">
        <v>1157</v>
      </c>
      <c r="CM415" t="s">
        <v>1157</v>
      </c>
      <c r="CN415" t="b">
        <f t="shared" si="378"/>
        <v>1</v>
      </c>
      <c r="CO415" t="str">
        <f t="shared" si="368"/>
        <v>R83</v>
      </c>
      <c r="CP415" t="str">
        <f t="shared" si="379"/>
        <v>R83</v>
      </c>
      <c r="CQ415" t="str">
        <f t="shared" si="369"/>
        <v>R387</v>
      </c>
      <c r="CR415" t="str">
        <f t="shared" si="370"/>
        <v>R387</v>
      </c>
      <c r="CS415" t="s">
        <v>1058</v>
      </c>
      <c r="CT415" t="s">
        <v>1058</v>
      </c>
      <c r="CU415" t="s">
        <v>1058</v>
      </c>
      <c r="CV415" t="b">
        <f t="shared" si="380"/>
        <v>1</v>
      </c>
      <c r="DC415" t="str">
        <f t="shared" si="371"/>
        <v>G417</v>
      </c>
      <c r="DD415" t="b">
        <f t="shared" si="381"/>
        <v>0</v>
      </c>
      <c r="DE415" t="str">
        <f t="shared" si="382"/>
        <v>G417</v>
      </c>
      <c r="DF415" t="str">
        <f t="shared" si="372"/>
        <v>R387</v>
      </c>
      <c r="DG415" t="b">
        <f t="shared" si="383"/>
        <v>0</v>
      </c>
      <c r="DH415" t="str">
        <f t="shared" si="384"/>
        <v>R387</v>
      </c>
    </row>
    <row r="416" spans="2:112" ht="12" customHeight="1">
      <c r="B416" t="str">
        <f>TBIDry!H488</f>
        <v>G45</v>
      </c>
      <c r="C416" t="str">
        <f>TBIDry!I488</f>
        <v>R623</v>
      </c>
      <c r="D416" t="b">
        <f t="shared" si="341"/>
        <v>0</v>
      </c>
      <c r="E416" t="b">
        <f t="shared" si="342"/>
        <v>0</v>
      </c>
      <c r="G416" t="str">
        <f>TBIWet!H488</f>
        <v>G584</v>
      </c>
      <c r="H416" t="str">
        <f>TBIWet!I488</f>
        <v>R364</v>
      </c>
      <c r="I416" t="b">
        <f t="shared" si="343"/>
        <v>0</v>
      </c>
      <c r="J416" t="b">
        <f t="shared" si="344"/>
        <v>0</v>
      </c>
      <c r="L416" t="str">
        <f>'Both teabags AfterWet'!A414</f>
        <v>G895</v>
      </c>
      <c r="M416" t="str">
        <f>'Both teabags AfterWet'!A834</f>
        <v>R87</v>
      </c>
      <c r="N416" t="b">
        <f t="shared" si="345"/>
        <v>0</v>
      </c>
      <c r="O416" t="b">
        <f t="shared" si="385"/>
        <v>0</v>
      </c>
      <c r="Q416" s="388" t="b">
        <f t="shared" si="346"/>
        <v>0</v>
      </c>
      <c r="R416" s="388" t="b">
        <f t="shared" si="347"/>
        <v>0</v>
      </c>
      <c r="Y416" t="str">
        <f>'Green_rooibos initial weight'!A417</f>
        <v>G413</v>
      </c>
      <c r="Z416" t="str">
        <f>'Green_rooibos initial weight'!A1321</f>
        <v>R413</v>
      </c>
      <c r="AA416" t="b">
        <f t="shared" si="348"/>
        <v>0</v>
      </c>
      <c r="AB416" t="b">
        <f t="shared" si="349"/>
        <v>0</v>
      </c>
      <c r="AE416" t="str">
        <f>'WetLitterbags placem_collection'!O195</f>
        <v>G584</v>
      </c>
      <c r="AF416" t="str">
        <f>'WetLitterbags placem_collection'!Q195</f>
        <v>R364</v>
      </c>
      <c r="AG416" t="b">
        <f t="shared" si="350"/>
        <v>0</v>
      </c>
      <c r="AH416" t="b">
        <f t="shared" si="351"/>
        <v>0</v>
      </c>
      <c r="AJ416" t="b">
        <f t="shared" si="352"/>
        <v>0</v>
      </c>
      <c r="AK416" t="b">
        <f t="shared" si="353"/>
        <v>0</v>
      </c>
      <c r="AM416" t="str">
        <f>IF(ISBLANK('Dry_Litterbag Placem_Collection'!L195),"","G"&amp;""&amp;'Dry_Litterbag Placem_Collection'!L195)</f>
        <v>G45</v>
      </c>
      <c r="AN416" t="str">
        <f>IF(ISBLANK('Dry_Litterbag Placem_Collection'!M195),"","R"&amp;""&amp;'Dry_Litterbag Placem_Collection'!M195)</f>
        <v>R623</v>
      </c>
      <c r="AO416" t="b">
        <f t="shared" si="354"/>
        <v>0</v>
      </c>
      <c r="AP416" t="b">
        <f t="shared" si="355"/>
        <v>0</v>
      </c>
      <c r="AX416" s="388" t="b">
        <f t="shared" si="356"/>
        <v>0</v>
      </c>
      <c r="AY416" s="388" t="b">
        <f t="shared" si="357"/>
        <v>0</v>
      </c>
      <c r="BA416" t="str">
        <f>'Ashed teabags wet'!A414</f>
        <v>G895</v>
      </c>
      <c r="BB416" t="str">
        <f>'Ashed teabags wet'!A834</f>
        <v>R87</v>
      </c>
      <c r="BC416" t="b">
        <f t="shared" si="358"/>
        <v>0</v>
      </c>
      <c r="BD416" t="b">
        <f t="shared" si="340"/>
        <v>0</v>
      </c>
      <c r="BH416" t="str">
        <f t="shared" si="359"/>
        <v/>
      </c>
      <c r="BI416" t="str">
        <f t="shared" si="373"/>
        <v/>
      </c>
      <c r="BP416" t="str">
        <f t="shared" si="360"/>
        <v/>
      </c>
      <c r="BQ416" t="str">
        <f t="shared" si="361"/>
        <v/>
      </c>
      <c r="BZ416" t="str">
        <f t="shared" si="362"/>
        <v/>
      </c>
      <c r="CA416" t="b">
        <f t="shared" si="363"/>
        <v>0</v>
      </c>
      <c r="CB416" t="str">
        <f t="shared" si="374"/>
        <v/>
      </c>
      <c r="CC416" t="str">
        <f t="shared" si="364"/>
        <v/>
      </c>
      <c r="CD416" t="b">
        <f t="shared" si="375"/>
        <v>0</v>
      </c>
      <c r="CE416" t="str">
        <f t="shared" si="376"/>
        <v/>
      </c>
      <c r="CG416" t="str">
        <f t="shared" si="365"/>
        <v>G894</v>
      </c>
      <c r="CH416" t="str">
        <f t="shared" si="377"/>
        <v>G894</v>
      </c>
      <c r="CI416" t="str">
        <f t="shared" si="366"/>
        <v>G297</v>
      </c>
      <c r="CJ416" t="str">
        <f t="shared" si="367"/>
        <v>G297</v>
      </c>
      <c r="CK416" t="s">
        <v>1156</v>
      </c>
      <c r="CL416" t="s">
        <v>1156</v>
      </c>
      <c r="CM416" t="s">
        <v>1156</v>
      </c>
      <c r="CN416" t="b">
        <f t="shared" si="378"/>
        <v>1</v>
      </c>
      <c r="CO416" t="str">
        <f t="shared" si="368"/>
        <v>R85</v>
      </c>
      <c r="CP416" t="str">
        <f t="shared" si="379"/>
        <v>R85</v>
      </c>
      <c r="CQ416" t="str">
        <f t="shared" si="369"/>
        <v>R346</v>
      </c>
      <c r="CR416" t="str">
        <f t="shared" si="370"/>
        <v>R346</v>
      </c>
      <c r="CS416" t="s">
        <v>1056</v>
      </c>
      <c r="CT416" t="s">
        <v>1056</v>
      </c>
      <c r="CU416" t="s">
        <v>1056</v>
      </c>
      <c r="CV416" t="b">
        <f t="shared" si="380"/>
        <v>1</v>
      </c>
      <c r="DC416" t="str">
        <f t="shared" si="371"/>
        <v>G297</v>
      </c>
      <c r="DD416" t="b">
        <f t="shared" si="381"/>
        <v>0</v>
      </c>
      <c r="DE416" t="str">
        <f t="shared" si="382"/>
        <v>G297</v>
      </c>
      <c r="DF416" t="str">
        <f t="shared" si="372"/>
        <v>R346</v>
      </c>
      <c r="DG416" t="b">
        <f t="shared" si="383"/>
        <v>0</v>
      </c>
      <c r="DH416" t="str">
        <f t="shared" si="384"/>
        <v>R346</v>
      </c>
    </row>
    <row r="417" spans="2:112" ht="12" customHeight="1">
      <c r="B417" t="str">
        <f>TBIDry!H489</f>
        <v>G90</v>
      </c>
      <c r="C417" t="str">
        <f>TBIDry!I489</f>
        <v>R611</v>
      </c>
      <c r="D417" t="b">
        <f t="shared" si="341"/>
        <v>0</v>
      </c>
      <c r="E417" t="b">
        <f t="shared" si="342"/>
        <v>0</v>
      </c>
      <c r="G417" t="str">
        <f>TBIWet!H489</f>
        <v>G713</v>
      </c>
      <c r="H417" t="str">
        <f>TBIWet!I489</f>
        <v>R167</v>
      </c>
      <c r="I417" t="b">
        <f t="shared" si="343"/>
        <v>0</v>
      </c>
      <c r="J417" t="b">
        <f t="shared" si="344"/>
        <v>0</v>
      </c>
      <c r="L417" t="str">
        <f>'Both teabags AfterWet'!A415</f>
        <v>G896</v>
      </c>
      <c r="M417" t="str">
        <f>'Both teabags AfterWet'!A835</f>
        <v>R88</v>
      </c>
      <c r="N417" t="b">
        <f t="shared" si="345"/>
        <v>0</v>
      </c>
      <c r="O417" t="b">
        <f t="shared" si="385"/>
        <v>0</v>
      </c>
      <c r="Q417" s="388" t="b">
        <f t="shared" si="346"/>
        <v>0</v>
      </c>
      <c r="R417" s="388" t="b">
        <f t="shared" si="347"/>
        <v>0</v>
      </c>
      <c r="Y417" t="str">
        <f>'Green_rooibos initial weight'!A418</f>
        <v>G414</v>
      </c>
      <c r="Z417" t="str">
        <f>'Green_rooibos initial weight'!A1322</f>
        <v>R414</v>
      </c>
      <c r="AA417" t="b">
        <f t="shared" si="348"/>
        <v>0</v>
      </c>
      <c r="AB417" t="b">
        <f t="shared" si="349"/>
        <v>0</v>
      </c>
      <c r="AE417" t="str">
        <f>'WetLitterbags placem_collection'!O196</f>
        <v>G713</v>
      </c>
      <c r="AF417" t="str">
        <f>'WetLitterbags placem_collection'!Q196</f>
        <v>R167</v>
      </c>
      <c r="AG417" t="b">
        <f t="shared" si="350"/>
        <v>0</v>
      </c>
      <c r="AH417" t="b">
        <f t="shared" si="351"/>
        <v>0</v>
      </c>
      <c r="AJ417" t="b">
        <f t="shared" si="352"/>
        <v>0</v>
      </c>
      <c r="AK417" t="b">
        <f t="shared" si="353"/>
        <v>0</v>
      </c>
      <c r="AM417" t="str">
        <f>IF(ISBLANK('Dry_Litterbag Placem_Collection'!L196),"","G"&amp;""&amp;'Dry_Litterbag Placem_Collection'!L196)</f>
        <v>G90</v>
      </c>
      <c r="AN417" t="str">
        <f>IF(ISBLANK('Dry_Litterbag Placem_Collection'!M196),"","R"&amp;""&amp;'Dry_Litterbag Placem_Collection'!M196)</f>
        <v>R611</v>
      </c>
      <c r="AO417" t="b">
        <f t="shared" si="354"/>
        <v>0</v>
      </c>
      <c r="AP417" t="b">
        <f t="shared" si="355"/>
        <v>0</v>
      </c>
      <c r="AX417" s="388" t="b">
        <f t="shared" si="356"/>
        <v>0</v>
      </c>
      <c r="AY417" s="388" t="b">
        <f t="shared" si="357"/>
        <v>0</v>
      </c>
      <c r="BA417" t="str">
        <f>'Ashed teabags wet'!A415</f>
        <v>G896</v>
      </c>
      <c r="BB417" t="str">
        <f>'Ashed teabags wet'!A835</f>
        <v>R88</v>
      </c>
      <c r="BC417" t="b">
        <f t="shared" si="358"/>
        <v>0</v>
      </c>
      <c r="BD417" t="b">
        <f t="shared" si="340"/>
        <v>0</v>
      </c>
      <c r="BH417" t="str">
        <f t="shared" si="359"/>
        <v>G45</v>
      </c>
      <c r="BI417" t="str">
        <f t="shared" si="373"/>
        <v>G45</v>
      </c>
      <c r="BP417" t="str">
        <f t="shared" si="360"/>
        <v>R623</v>
      </c>
      <c r="BQ417" t="str">
        <f t="shared" si="361"/>
        <v>R623</v>
      </c>
      <c r="BZ417" t="str">
        <f t="shared" si="362"/>
        <v>G45</v>
      </c>
      <c r="CA417" t="b">
        <f t="shared" si="363"/>
        <v>0</v>
      </c>
      <c r="CB417" t="str">
        <f t="shared" si="374"/>
        <v>G45</v>
      </c>
      <c r="CC417" t="str">
        <f t="shared" si="364"/>
        <v>R623</v>
      </c>
      <c r="CD417" t="b">
        <f t="shared" si="375"/>
        <v>0</v>
      </c>
      <c r="CE417" t="str">
        <f t="shared" si="376"/>
        <v>R623</v>
      </c>
      <c r="CG417" t="str">
        <f t="shared" si="365"/>
        <v>G895</v>
      </c>
      <c r="CH417" t="str">
        <f t="shared" si="377"/>
        <v>G895</v>
      </c>
      <c r="CI417" t="str">
        <f t="shared" si="366"/>
        <v>G584</v>
      </c>
      <c r="CJ417" t="str">
        <f t="shared" si="367"/>
        <v>G584</v>
      </c>
      <c r="CK417" t="s">
        <v>1155</v>
      </c>
      <c r="CL417" t="s">
        <v>1155</v>
      </c>
      <c r="CM417" t="s">
        <v>1155</v>
      </c>
      <c r="CN417" t="b">
        <f t="shared" si="378"/>
        <v>1</v>
      </c>
      <c r="CO417" t="str">
        <f t="shared" si="368"/>
        <v>R87</v>
      </c>
      <c r="CP417" t="str">
        <f t="shared" si="379"/>
        <v>R87</v>
      </c>
      <c r="CQ417" t="str">
        <f t="shared" si="369"/>
        <v>R364</v>
      </c>
      <c r="CR417" t="str">
        <f t="shared" si="370"/>
        <v>R364</v>
      </c>
      <c r="CS417" t="s">
        <v>1054</v>
      </c>
      <c r="CT417" t="s">
        <v>1054</v>
      </c>
      <c r="CU417" t="s">
        <v>1054</v>
      </c>
      <c r="CV417" t="b">
        <f t="shared" si="380"/>
        <v>1</v>
      </c>
      <c r="DC417" t="str">
        <f t="shared" si="371"/>
        <v>G584</v>
      </c>
      <c r="DD417" t="b">
        <f t="shared" si="381"/>
        <v>0</v>
      </c>
      <c r="DE417" t="str">
        <f t="shared" si="382"/>
        <v>G584</v>
      </c>
      <c r="DF417" t="str">
        <f t="shared" si="372"/>
        <v>R364</v>
      </c>
      <c r="DG417" t="b">
        <f t="shared" si="383"/>
        <v>0</v>
      </c>
      <c r="DH417" t="str">
        <f t="shared" si="384"/>
        <v>R364</v>
      </c>
    </row>
    <row r="418" spans="2:112" ht="12" customHeight="1">
      <c r="B418" t="str">
        <f>TBIDry!H490</f>
        <v>G338</v>
      </c>
      <c r="C418" t="str">
        <f>TBIDry!I490</f>
        <v>R645</v>
      </c>
      <c r="D418" t="b">
        <f t="shared" si="341"/>
        <v>0</v>
      </c>
      <c r="E418" t="b">
        <f t="shared" si="342"/>
        <v>0</v>
      </c>
      <c r="G418" t="str">
        <f>TBIWet!H490</f>
        <v>G525</v>
      </c>
      <c r="H418" t="str">
        <f>TBIWet!I490</f>
        <v>R25</v>
      </c>
      <c r="I418" t="b">
        <f t="shared" si="343"/>
        <v>0</v>
      </c>
      <c r="J418" t="b">
        <f t="shared" si="344"/>
        <v>0</v>
      </c>
      <c r="L418" t="str">
        <f>'Both teabags AfterWet'!A416</f>
        <v>G897</v>
      </c>
      <c r="M418" t="str">
        <f>'Both teabags AfterWet'!A836</f>
        <v>R89</v>
      </c>
      <c r="N418" t="b">
        <f t="shared" si="345"/>
        <v>0</v>
      </c>
      <c r="O418" t="b">
        <f t="shared" si="385"/>
        <v>0</v>
      </c>
      <c r="Q418" s="388" t="b">
        <f t="shared" si="346"/>
        <v>0</v>
      </c>
      <c r="R418" s="388" t="b">
        <f t="shared" si="347"/>
        <v>0</v>
      </c>
      <c r="Y418" t="str">
        <f>'Green_rooibos initial weight'!A419</f>
        <v>G415</v>
      </c>
      <c r="Z418" t="str">
        <f>'Green_rooibos initial weight'!A1323</f>
        <v>R415</v>
      </c>
      <c r="AA418" t="b">
        <f t="shared" si="348"/>
        <v>0</v>
      </c>
      <c r="AB418" t="b">
        <f t="shared" si="349"/>
        <v>0</v>
      </c>
      <c r="AE418" t="str">
        <f>'WetLitterbags placem_collection'!O197</f>
        <v>G525</v>
      </c>
      <c r="AF418" t="str">
        <f>'WetLitterbags placem_collection'!Q197</f>
        <v>R25</v>
      </c>
      <c r="AG418" t="b">
        <f t="shared" si="350"/>
        <v>0</v>
      </c>
      <c r="AH418" t="b">
        <f t="shared" si="351"/>
        <v>0</v>
      </c>
      <c r="AJ418" t="b">
        <f t="shared" si="352"/>
        <v>0</v>
      </c>
      <c r="AK418" t="b">
        <f t="shared" si="353"/>
        <v>0</v>
      </c>
      <c r="AM418" t="str">
        <f>IF(ISBLANK('Dry_Litterbag Placem_Collection'!L197),"","G"&amp;""&amp;'Dry_Litterbag Placem_Collection'!L197)</f>
        <v>G338</v>
      </c>
      <c r="AN418" t="str">
        <f>IF(ISBLANK('Dry_Litterbag Placem_Collection'!M197),"","R"&amp;""&amp;'Dry_Litterbag Placem_Collection'!M197)</f>
        <v>R645</v>
      </c>
      <c r="AO418" t="b">
        <f t="shared" si="354"/>
        <v>0</v>
      </c>
      <c r="AP418" t="b">
        <f t="shared" si="355"/>
        <v>0</v>
      </c>
      <c r="AX418" s="388" t="b">
        <f t="shared" si="356"/>
        <v>0</v>
      </c>
      <c r="AY418" s="388" t="b">
        <f t="shared" si="357"/>
        <v>0</v>
      </c>
      <c r="BA418" t="str">
        <f>'Ashed teabags wet'!A416</f>
        <v>G897</v>
      </c>
      <c r="BB418" t="str">
        <f>'Ashed teabags wet'!A836</f>
        <v>R89</v>
      </c>
      <c r="BC418" t="b">
        <f t="shared" si="358"/>
        <v>0</v>
      </c>
      <c r="BD418" t="b">
        <f t="shared" si="340"/>
        <v>0</v>
      </c>
      <c r="BH418" t="str">
        <f t="shared" si="359"/>
        <v>G90</v>
      </c>
      <c r="BI418" t="str">
        <f t="shared" si="373"/>
        <v>G90</v>
      </c>
      <c r="BP418" t="str">
        <f t="shared" si="360"/>
        <v>R611</v>
      </c>
      <c r="BQ418" t="str">
        <f t="shared" si="361"/>
        <v>R611</v>
      </c>
      <c r="BZ418" t="str">
        <f t="shared" si="362"/>
        <v>G90</v>
      </c>
      <c r="CA418" t="b">
        <f t="shared" si="363"/>
        <v>0</v>
      </c>
      <c r="CB418" t="str">
        <f t="shared" si="374"/>
        <v>G90</v>
      </c>
      <c r="CC418" t="str">
        <f t="shared" si="364"/>
        <v>R611</v>
      </c>
      <c r="CD418" t="b">
        <f t="shared" si="375"/>
        <v>0</v>
      </c>
      <c r="CE418" t="str">
        <f t="shared" si="376"/>
        <v>R611</v>
      </c>
      <c r="CG418" t="str">
        <f t="shared" si="365"/>
        <v>G896</v>
      </c>
      <c r="CH418" t="str">
        <f t="shared" si="377"/>
        <v>G896</v>
      </c>
      <c r="CI418" t="str">
        <f t="shared" si="366"/>
        <v>G713</v>
      </c>
      <c r="CJ418" t="str">
        <f t="shared" si="367"/>
        <v>G713</v>
      </c>
      <c r="CK418" t="s">
        <v>1154</v>
      </c>
      <c r="CL418" t="s">
        <v>1154</v>
      </c>
      <c r="CM418" t="s">
        <v>1154</v>
      </c>
      <c r="CN418" t="b">
        <f t="shared" si="378"/>
        <v>1</v>
      </c>
      <c r="CO418" t="str">
        <f t="shared" si="368"/>
        <v>R88</v>
      </c>
      <c r="CP418" t="str">
        <f t="shared" si="379"/>
        <v>R88</v>
      </c>
      <c r="CQ418" t="str">
        <f t="shared" si="369"/>
        <v>R167</v>
      </c>
      <c r="CR418" t="str">
        <f t="shared" si="370"/>
        <v>R167</v>
      </c>
      <c r="CS418" t="s">
        <v>1053</v>
      </c>
      <c r="CT418" t="s">
        <v>1053</v>
      </c>
      <c r="CU418" t="s">
        <v>1053</v>
      </c>
      <c r="CV418" t="b">
        <f t="shared" si="380"/>
        <v>1</v>
      </c>
      <c r="DC418" t="str">
        <f t="shared" si="371"/>
        <v>G713</v>
      </c>
      <c r="DD418" t="b">
        <f t="shared" si="381"/>
        <v>0</v>
      </c>
      <c r="DE418" t="str">
        <f t="shared" si="382"/>
        <v>G713</v>
      </c>
      <c r="DF418" t="str">
        <f t="shared" si="372"/>
        <v>R167</v>
      </c>
      <c r="DG418" t="b">
        <f t="shared" si="383"/>
        <v>0</v>
      </c>
      <c r="DH418" t="str">
        <f t="shared" si="384"/>
        <v>R167</v>
      </c>
    </row>
    <row r="419" spans="2:112" ht="12" customHeight="1">
      <c r="B419" t="str">
        <f>TBIDry!H491</f>
        <v>G243</v>
      </c>
      <c r="C419" t="str">
        <f>TBIDry!I491</f>
        <v>R709</v>
      </c>
      <c r="D419" t="b">
        <f t="shared" si="341"/>
        <v>0</v>
      </c>
      <c r="E419" t="b">
        <f t="shared" si="342"/>
        <v>0</v>
      </c>
      <c r="G419" t="str">
        <f>TBIWet!H491</f>
        <v>G886</v>
      </c>
      <c r="H419" t="str">
        <f>TBIWet!I491</f>
        <v>R362</v>
      </c>
      <c r="I419" t="b">
        <f t="shared" si="343"/>
        <v>0</v>
      </c>
      <c r="J419" t="b">
        <f t="shared" si="344"/>
        <v>0</v>
      </c>
      <c r="L419" t="str">
        <f>'Both teabags AfterWet'!A417</f>
        <v>G898</v>
      </c>
      <c r="M419" t="str">
        <f>'Both teabags AfterWet'!A837</f>
        <v>R9</v>
      </c>
      <c r="N419" t="b">
        <f t="shared" si="345"/>
        <v>0</v>
      </c>
      <c r="O419" t="b">
        <f t="shared" si="385"/>
        <v>0</v>
      </c>
      <c r="Q419" s="388" t="b">
        <f t="shared" si="346"/>
        <v>0</v>
      </c>
      <c r="R419" s="388" t="b">
        <f t="shared" si="347"/>
        <v>0</v>
      </c>
      <c r="Y419" t="str">
        <f>'Green_rooibos initial weight'!A420</f>
        <v>G416</v>
      </c>
      <c r="Z419" t="str">
        <f>'Green_rooibos initial weight'!A1324</f>
        <v>R416</v>
      </c>
      <c r="AA419" t="b">
        <f t="shared" si="348"/>
        <v>0</v>
      </c>
      <c r="AB419" t="b">
        <f t="shared" si="349"/>
        <v>0</v>
      </c>
      <c r="AE419" t="str">
        <f>'WetLitterbags placem_collection'!O198</f>
        <v>G886</v>
      </c>
      <c r="AF419" t="str">
        <f>'WetLitterbags placem_collection'!Q198</f>
        <v>R362</v>
      </c>
      <c r="AG419" t="b">
        <f t="shared" si="350"/>
        <v>0</v>
      </c>
      <c r="AH419" t="b">
        <f t="shared" si="351"/>
        <v>0</v>
      </c>
      <c r="AJ419" t="b">
        <f t="shared" si="352"/>
        <v>0</v>
      </c>
      <c r="AK419" t="b">
        <f t="shared" si="353"/>
        <v>0</v>
      </c>
      <c r="AM419" t="str">
        <f>IF(ISBLANK('Dry_Litterbag Placem_Collection'!L198),"","G"&amp;""&amp;'Dry_Litterbag Placem_Collection'!L198)</f>
        <v>G243</v>
      </c>
      <c r="AN419" t="str">
        <f>IF(ISBLANK('Dry_Litterbag Placem_Collection'!M198),"","R"&amp;""&amp;'Dry_Litterbag Placem_Collection'!M198)</f>
        <v>R709</v>
      </c>
      <c r="AO419" t="b">
        <f t="shared" si="354"/>
        <v>0</v>
      </c>
      <c r="AP419" t="b">
        <f t="shared" si="355"/>
        <v>0</v>
      </c>
      <c r="AX419" s="388" t="b">
        <f t="shared" si="356"/>
        <v>0</v>
      </c>
      <c r="AY419" s="388" t="b">
        <f t="shared" si="357"/>
        <v>0</v>
      </c>
      <c r="BA419" t="str">
        <f>'Ashed teabags wet'!A417</f>
        <v>G898</v>
      </c>
      <c r="BB419" t="str">
        <f>'Ashed teabags wet'!A837</f>
        <v>R9</v>
      </c>
      <c r="BC419" t="b">
        <f t="shared" si="358"/>
        <v>0</v>
      </c>
      <c r="BD419" t="b">
        <f t="shared" si="340"/>
        <v>0</v>
      </c>
      <c r="BH419" t="str">
        <f t="shared" si="359"/>
        <v>G338</v>
      </c>
      <c r="BI419" t="str">
        <f t="shared" si="373"/>
        <v>G338</v>
      </c>
      <c r="BP419" t="str">
        <f t="shared" si="360"/>
        <v>R645</v>
      </c>
      <c r="BQ419" t="str">
        <f t="shared" si="361"/>
        <v>R645</v>
      </c>
      <c r="BZ419" t="str">
        <f t="shared" si="362"/>
        <v>G338</v>
      </c>
      <c r="CA419" t="b">
        <f t="shared" si="363"/>
        <v>0</v>
      </c>
      <c r="CB419" t="str">
        <f t="shared" si="374"/>
        <v>G338</v>
      </c>
      <c r="CC419" t="str">
        <f t="shared" si="364"/>
        <v>R645</v>
      </c>
      <c r="CD419" t="b">
        <f t="shared" si="375"/>
        <v>0</v>
      </c>
      <c r="CE419" t="str">
        <f t="shared" si="376"/>
        <v>R645</v>
      </c>
      <c r="CG419" t="str">
        <f t="shared" si="365"/>
        <v>G897</v>
      </c>
      <c r="CH419" t="str">
        <f t="shared" si="377"/>
        <v>G897</v>
      </c>
      <c r="CI419" t="str">
        <f t="shared" si="366"/>
        <v>G525</v>
      </c>
      <c r="CJ419" t="str">
        <f t="shared" si="367"/>
        <v>G525</v>
      </c>
      <c r="CK419" t="s">
        <v>1153</v>
      </c>
      <c r="CL419" t="s">
        <v>1153</v>
      </c>
      <c r="CM419" t="s">
        <v>1153</v>
      </c>
      <c r="CN419" t="b">
        <f t="shared" si="378"/>
        <v>1</v>
      </c>
      <c r="CO419" t="str">
        <f t="shared" si="368"/>
        <v>R89</v>
      </c>
      <c r="CP419" t="str">
        <f t="shared" si="379"/>
        <v>R89</v>
      </c>
      <c r="CQ419" t="str">
        <f t="shared" si="369"/>
        <v>R25</v>
      </c>
      <c r="CR419" t="str">
        <f t="shared" si="370"/>
        <v>R25</v>
      </c>
      <c r="CS419" t="s">
        <v>1052</v>
      </c>
      <c r="CT419" t="s">
        <v>1052</v>
      </c>
      <c r="CU419" t="s">
        <v>1052</v>
      </c>
      <c r="CV419" t="b">
        <f t="shared" si="380"/>
        <v>1</v>
      </c>
      <c r="DC419" t="str">
        <f t="shared" si="371"/>
        <v>G525</v>
      </c>
      <c r="DD419" t="b">
        <f t="shared" si="381"/>
        <v>0</v>
      </c>
      <c r="DE419" t="str">
        <f t="shared" si="382"/>
        <v>G525</v>
      </c>
      <c r="DF419" t="str">
        <f t="shared" si="372"/>
        <v>R25</v>
      </c>
      <c r="DG419" t="b">
        <f t="shared" si="383"/>
        <v>0</v>
      </c>
      <c r="DH419" t="str">
        <f t="shared" si="384"/>
        <v>R25</v>
      </c>
    </row>
    <row r="420" spans="2:112" ht="12" customHeight="1">
      <c r="B420" t="str">
        <f>TBIDry!H492</f>
        <v>G254</v>
      </c>
      <c r="C420" t="str">
        <f>TBIDry!I492</f>
        <v>R131</v>
      </c>
      <c r="D420" t="b">
        <f t="shared" si="341"/>
        <v>0</v>
      </c>
      <c r="E420" t="b">
        <f t="shared" si="342"/>
        <v>0</v>
      </c>
      <c r="G420" t="str">
        <f>TBIWet!H492</f>
        <v>G388</v>
      </c>
      <c r="H420" t="str">
        <f>TBIWet!I492</f>
        <v>R370</v>
      </c>
      <c r="I420" t="b">
        <f t="shared" si="343"/>
        <v>0</v>
      </c>
      <c r="J420" t="b">
        <f t="shared" si="344"/>
        <v>0</v>
      </c>
      <c r="L420" t="str">
        <f>'Both teabags AfterWet'!A418</f>
        <v>G899</v>
      </c>
      <c r="M420" t="str">
        <f>'Both teabags AfterWet'!A838</f>
        <v>R91</v>
      </c>
      <c r="N420" t="b">
        <f t="shared" si="345"/>
        <v>0</v>
      </c>
      <c r="O420" t="b">
        <f t="shared" si="385"/>
        <v>0</v>
      </c>
      <c r="Q420" s="388" t="b">
        <f t="shared" si="346"/>
        <v>0</v>
      </c>
      <c r="R420" s="388" t="b">
        <f t="shared" si="347"/>
        <v>0</v>
      </c>
      <c r="Y420" t="str">
        <f>'Green_rooibos initial weight'!A421</f>
        <v>G417</v>
      </c>
      <c r="Z420" t="str">
        <f>'Green_rooibos initial weight'!A1325</f>
        <v>R417</v>
      </c>
      <c r="AA420" t="b">
        <f t="shared" si="348"/>
        <v>0</v>
      </c>
      <c r="AB420" t="b">
        <f t="shared" si="349"/>
        <v>0</v>
      </c>
      <c r="AE420" t="str">
        <f>'WetLitterbags placem_collection'!O199</f>
        <v>G388</v>
      </c>
      <c r="AF420" t="str">
        <f>'WetLitterbags placem_collection'!Q199</f>
        <v>R370</v>
      </c>
      <c r="AG420" t="b">
        <f t="shared" si="350"/>
        <v>0</v>
      </c>
      <c r="AH420" t="b">
        <f t="shared" si="351"/>
        <v>0</v>
      </c>
      <c r="AJ420" t="b">
        <f t="shared" si="352"/>
        <v>0</v>
      </c>
      <c r="AK420" t="b">
        <f t="shared" si="353"/>
        <v>0</v>
      </c>
      <c r="AM420" t="str">
        <f>IF(ISBLANK('Dry_Litterbag Placem_Collection'!L199),"","G"&amp;""&amp;'Dry_Litterbag Placem_Collection'!L199)</f>
        <v>G254</v>
      </c>
      <c r="AN420" t="str">
        <f>IF(ISBLANK('Dry_Litterbag Placem_Collection'!M199),"","R"&amp;""&amp;'Dry_Litterbag Placem_Collection'!M199)</f>
        <v>R131</v>
      </c>
      <c r="AO420" t="b">
        <f t="shared" si="354"/>
        <v>0</v>
      </c>
      <c r="AP420" t="b">
        <f t="shared" si="355"/>
        <v>0</v>
      </c>
      <c r="AX420" s="388" t="b">
        <f t="shared" si="356"/>
        <v>0</v>
      </c>
      <c r="AY420" s="388" t="b">
        <f t="shared" si="357"/>
        <v>0</v>
      </c>
      <c r="BA420" t="str">
        <f>'Ashed teabags wet'!A418</f>
        <v>G899</v>
      </c>
      <c r="BB420" t="str">
        <f>'Ashed teabags wet'!A838</f>
        <v>R91</v>
      </c>
      <c r="BC420" t="b">
        <f t="shared" si="358"/>
        <v>0</v>
      </c>
      <c r="BD420" t="b">
        <f t="shared" si="340"/>
        <v>0</v>
      </c>
      <c r="BH420" t="str">
        <f t="shared" si="359"/>
        <v>G243</v>
      </c>
      <c r="BI420" t="str">
        <f t="shared" si="373"/>
        <v>G243</v>
      </c>
      <c r="BP420" t="str">
        <f t="shared" si="360"/>
        <v>R709</v>
      </c>
      <c r="BQ420" t="str">
        <f t="shared" si="361"/>
        <v>R709</v>
      </c>
      <c r="BZ420" t="str">
        <f t="shared" si="362"/>
        <v>G243</v>
      </c>
      <c r="CA420" t="b">
        <f t="shared" si="363"/>
        <v>0</v>
      </c>
      <c r="CB420" t="str">
        <f t="shared" si="374"/>
        <v>G243</v>
      </c>
      <c r="CC420" t="str">
        <f t="shared" si="364"/>
        <v>R709</v>
      </c>
      <c r="CD420" t="b">
        <f t="shared" si="375"/>
        <v>0</v>
      </c>
      <c r="CE420" t="str">
        <f t="shared" si="376"/>
        <v>R709</v>
      </c>
      <c r="CG420" t="str">
        <f t="shared" si="365"/>
        <v>G898</v>
      </c>
      <c r="CH420" t="str">
        <f t="shared" si="377"/>
        <v>G898</v>
      </c>
      <c r="CI420" t="str">
        <f t="shared" si="366"/>
        <v>G886</v>
      </c>
      <c r="CJ420" t="str">
        <f t="shared" si="367"/>
        <v>G886</v>
      </c>
      <c r="CK420" t="s">
        <v>1152</v>
      </c>
      <c r="CL420" t="s">
        <v>1152</v>
      </c>
      <c r="CM420" t="s">
        <v>1152</v>
      </c>
      <c r="CN420" t="b">
        <f t="shared" si="378"/>
        <v>1</v>
      </c>
      <c r="CO420" t="str">
        <f t="shared" si="368"/>
        <v>R9</v>
      </c>
      <c r="CP420" t="str">
        <f t="shared" si="379"/>
        <v>R9</v>
      </c>
      <c r="CQ420" t="str">
        <f t="shared" si="369"/>
        <v>R362</v>
      </c>
      <c r="CR420" t="str">
        <f t="shared" si="370"/>
        <v>R362</v>
      </c>
      <c r="CS420" t="s">
        <v>1132</v>
      </c>
      <c r="CT420" t="s">
        <v>1132</v>
      </c>
      <c r="CU420" t="s">
        <v>1132</v>
      </c>
      <c r="CV420" t="b">
        <f t="shared" si="380"/>
        <v>1</v>
      </c>
      <c r="DC420" t="str">
        <f t="shared" si="371"/>
        <v>G886</v>
      </c>
      <c r="DD420" t="b">
        <f t="shared" si="381"/>
        <v>0</v>
      </c>
      <c r="DE420" t="str">
        <f t="shared" si="382"/>
        <v>G886</v>
      </c>
      <c r="DF420" t="str">
        <f t="shared" si="372"/>
        <v>R362</v>
      </c>
      <c r="DG420" t="b">
        <f t="shared" si="383"/>
        <v>0</v>
      </c>
      <c r="DH420" t="str">
        <f t="shared" si="384"/>
        <v>R362</v>
      </c>
    </row>
    <row r="421" spans="2:112" ht="12" customHeight="1">
      <c r="B421" t="str">
        <f>TBIDry!H493</f>
        <v>G780</v>
      </c>
      <c r="C421" t="str">
        <f>TBIDry!I493</f>
        <v>R711</v>
      </c>
      <c r="D421" t="b">
        <f t="shared" si="341"/>
        <v>0</v>
      </c>
      <c r="E421" t="b">
        <f t="shared" si="342"/>
        <v>0</v>
      </c>
      <c r="G421" t="str">
        <f>TBIWet!H493</f>
        <v>G462</v>
      </c>
      <c r="H421" t="str">
        <f>TBIWet!I493</f>
        <v>R168</v>
      </c>
      <c r="I421" t="b">
        <f t="shared" si="343"/>
        <v>0</v>
      </c>
      <c r="J421" t="b">
        <f t="shared" si="344"/>
        <v>0</v>
      </c>
      <c r="L421" t="str">
        <f>'Both teabags AfterWet'!A419</f>
        <v>G900</v>
      </c>
      <c r="M421" t="str">
        <f>'Both teabags AfterWet'!A839</f>
        <v>R92</v>
      </c>
      <c r="N421" t="b">
        <f t="shared" si="345"/>
        <v>0</v>
      </c>
      <c r="O421" t="b">
        <f t="shared" si="385"/>
        <v>0</v>
      </c>
      <c r="Q421" s="388" t="b">
        <f t="shared" si="346"/>
        <v>0</v>
      </c>
      <c r="R421" s="388" t="b">
        <f t="shared" si="347"/>
        <v>0</v>
      </c>
      <c r="Y421" t="str">
        <f>'Green_rooibos initial weight'!A422</f>
        <v>G418</v>
      </c>
      <c r="Z421" t="str">
        <f>'Green_rooibos initial weight'!A1326</f>
        <v>R418</v>
      </c>
      <c r="AA421" t="b">
        <f t="shared" si="348"/>
        <v>0</v>
      </c>
      <c r="AB421" t="b">
        <f t="shared" si="349"/>
        <v>0</v>
      </c>
      <c r="AE421" t="str">
        <f>'WetLitterbags placem_collection'!O200</f>
        <v>G462</v>
      </c>
      <c r="AF421" t="str">
        <f>'WetLitterbags placem_collection'!Q200</f>
        <v>R168</v>
      </c>
      <c r="AG421" t="b">
        <f t="shared" si="350"/>
        <v>0</v>
      </c>
      <c r="AH421" t="b">
        <f t="shared" si="351"/>
        <v>0</v>
      </c>
      <c r="AJ421" t="b">
        <f t="shared" si="352"/>
        <v>0</v>
      </c>
      <c r="AK421" t="b">
        <f t="shared" si="353"/>
        <v>0</v>
      </c>
      <c r="AM421" t="str">
        <f>IF(ISBLANK('Dry_Litterbag Placem_Collection'!L200),"","G"&amp;""&amp;'Dry_Litterbag Placem_Collection'!L200)</f>
        <v>G780</v>
      </c>
      <c r="AN421" t="str">
        <f>IF(ISBLANK('Dry_Litterbag Placem_Collection'!M200),"","R"&amp;""&amp;'Dry_Litterbag Placem_Collection'!M200)</f>
        <v>R711</v>
      </c>
      <c r="AO421" t="b">
        <f t="shared" si="354"/>
        <v>0</v>
      </c>
      <c r="AP421" t="b">
        <f t="shared" si="355"/>
        <v>0</v>
      </c>
      <c r="AX421" s="388" t="b">
        <f t="shared" si="356"/>
        <v>0</v>
      </c>
      <c r="AY421" s="388" t="b">
        <f t="shared" si="357"/>
        <v>0</v>
      </c>
      <c r="BA421" t="str">
        <f>'Ashed teabags wet'!A419</f>
        <v>G900</v>
      </c>
      <c r="BB421" t="str">
        <f>'Ashed teabags wet'!A839</f>
        <v>R92</v>
      </c>
      <c r="BH421" t="str">
        <f t="shared" si="359"/>
        <v>G254</v>
      </c>
      <c r="BI421" t="str">
        <f t="shared" si="373"/>
        <v>G254</v>
      </c>
      <c r="BP421" t="str">
        <f t="shared" si="360"/>
        <v>R131</v>
      </c>
      <c r="BQ421" t="str">
        <f t="shared" si="361"/>
        <v>R131</v>
      </c>
      <c r="BZ421" t="str">
        <f t="shared" si="362"/>
        <v>G254</v>
      </c>
      <c r="CA421" t="b">
        <f t="shared" si="363"/>
        <v>0</v>
      </c>
      <c r="CB421" t="str">
        <f t="shared" si="374"/>
        <v>G254</v>
      </c>
      <c r="CC421" t="str">
        <f t="shared" si="364"/>
        <v>R131</v>
      </c>
      <c r="CD421" t="b">
        <f t="shared" si="375"/>
        <v>0</v>
      </c>
      <c r="CE421" t="str">
        <f t="shared" si="376"/>
        <v>R131</v>
      </c>
      <c r="CG421" t="str">
        <f t="shared" si="365"/>
        <v>G899</v>
      </c>
      <c r="CH421" t="str">
        <f t="shared" si="377"/>
        <v>G899</v>
      </c>
      <c r="CI421" t="str">
        <f t="shared" si="366"/>
        <v>G388</v>
      </c>
      <c r="CJ421" t="str">
        <f t="shared" si="367"/>
        <v>G388</v>
      </c>
      <c r="CK421" t="s">
        <v>1151</v>
      </c>
      <c r="CL421" t="s">
        <v>1151</v>
      </c>
      <c r="CM421" t="s">
        <v>1151</v>
      </c>
      <c r="CN421" t="b">
        <f t="shared" si="378"/>
        <v>1</v>
      </c>
      <c r="CO421" t="str">
        <f t="shared" si="368"/>
        <v>R91</v>
      </c>
      <c r="CP421" t="str">
        <f t="shared" si="379"/>
        <v>R91</v>
      </c>
      <c r="CQ421" t="str">
        <f t="shared" si="369"/>
        <v>R370</v>
      </c>
      <c r="CR421" t="str">
        <f t="shared" si="370"/>
        <v>R370</v>
      </c>
      <c r="CS421" t="s">
        <v>1050</v>
      </c>
      <c r="CT421" t="s">
        <v>1050</v>
      </c>
      <c r="CU421" t="s">
        <v>1050</v>
      </c>
      <c r="CV421" t="b">
        <f t="shared" si="380"/>
        <v>1</v>
      </c>
      <c r="DC421" t="str">
        <f t="shared" si="371"/>
        <v>G388</v>
      </c>
      <c r="DD421" t="b">
        <f t="shared" si="381"/>
        <v>0</v>
      </c>
      <c r="DE421" t="str">
        <f t="shared" si="382"/>
        <v>G388</v>
      </c>
      <c r="DF421" t="str">
        <f t="shared" si="372"/>
        <v>R370</v>
      </c>
      <c r="DG421" t="b">
        <f t="shared" si="383"/>
        <v>0</v>
      </c>
      <c r="DH421" t="str">
        <f t="shared" si="384"/>
        <v>R370</v>
      </c>
    </row>
    <row r="422" spans="2:112" ht="12" customHeight="1">
      <c r="B422" t="str">
        <f>TBIDry!H494</f>
        <v>G182</v>
      </c>
      <c r="C422" t="str">
        <f>TBIDry!I494</f>
        <v>R236</v>
      </c>
      <c r="D422" t="b">
        <f t="shared" si="341"/>
        <v>0</v>
      </c>
      <c r="E422" t="b">
        <f t="shared" si="342"/>
        <v>0</v>
      </c>
      <c r="G422" t="str">
        <f>TBIWet!H494</f>
        <v>G712</v>
      </c>
      <c r="H422" t="str">
        <f>TBIWet!I494</f>
        <v>R369</v>
      </c>
      <c r="I422" t="b">
        <f t="shared" si="343"/>
        <v>0</v>
      </c>
      <c r="J422" t="b">
        <f t="shared" si="344"/>
        <v>0</v>
      </c>
      <c r="L422" t="str">
        <f>'Both teabags AfterWet'!A420</f>
        <v>G901</v>
      </c>
      <c r="M422" t="str">
        <f>'Both teabags AfterWet'!A840</f>
        <v>R93</v>
      </c>
      <c r="N422" t="b">
        <f t="shared" si="345"/>
        <v>0</v>
      </c>
      <c r="O422" t="b">
        <f t="shared" si="385"/>
        <v>0</v>
      </c>
      <c r="Q422" s="388" t="b">
        <f t="shared" si="346"/>
        <v>0</v>
      </c>
      <c r="R422" s="388" t="b">
        <f t="shared" si="347"/>
        <v>0</v>
      </c>
      <c r="Y422" t="str">
        <f>'Green_rooibos initial weight'!A423</f>
        <v>G419</v>
      </c>
      <c r="Z422" t="str">
        <f>'Green_rooibos initial weight'!A1327</f>
        <v>R419</v>
      </c>
      <c r="AA422" t="b">
        <f t="shared" si="348"/>
        <v>0</v>
      </c>
      <c r="AB422" t="b">
        <f t="shared" si="349"/>
        <v>0</v>
      </c>
      <c r="AE422" t="str">
        <f>'WetLitterbags placem_collection'!O201</f>
        <v>G712</v>
      </c>
      <c r="AF422" t="str">
        <f>'WetLitterbags placem_collection'!Q201</f>
        <v>R369</v>
      </c>
      <c r="AG422" t="b">
        <f t="shared" si="350"/>
        <v>0</v>
      </c>
      <c r="AH422" t="b">
        <f t="shared" si="351"/>
        <v>0</v>
      </c>
      <c r="AJ422" t="b">
        <f t="shared" si="352"/>
        <v>0</v>
      </c>
      <c r="AK422" t="b">
        <f t="shared" si="353"/>
        <v>0</v>
      </c>
      <c r="AM422" t="str">
        <f>IF(ISBLANK('Dry_Litterbag Placem_Collection'!L201),"","G"&amp;""&amp;'Dry_Litterbag Placem_Collection'!L201)</f>
        <v>G182</v>
      </c>
      <c r="AN422" t="str">
        <f>IF(ISBLANK('Dry_Litterbag Placem_Collection'!M201),"","R"&amp;""&amp;'Dry_Litterbag Placem_Collection'!M201)</f>
        <v>R236</v>
      </c>
      <c r="AO422" t="b">
        <f t="shared" si="354"/>
        <v>0</v>
      </c>
      <c r="AP422" t="b">
        <f t="shared" si="355"/>
        <v>0</v>
      </c>
      <c r="AX422" s="388" t="b">
        <f t="shared" si="356"/>
        <v>0</v>
      </c>
      <c r="AY422" s="388" t="b">
        <f t="shared" si="357"/>
        <v>0</v>
      </c>
      <c r="BA422" t="str">
        <f>'Ashed teabags wet'!A420</f>
        <v>G901</v>
      </c>
      <c r="BB422" t="str">
        <f>'Ashed teabags wet'!A840</f>
        <v>R93</v>
      </c>
      <c r="BH422" t="str">
        <f t="shared" si="359"/>
        <v>G780</v>
      </c>
      <c r="BI422" t="str">
        <f t="shared" si="373"/>
        <v>G780</v>
      </c>
      <c r="BP422" t="str">
        <f t="shared" si="360"/>
        <v>R711</v>
      </c>
      <c r="BQ422" t="str">
        <f t="shared" si="361"/>
        <v>R711</v>
      </c>
      <c r="BZ422" t="str">
        <f t="shared" si="362"/>
        <v>G780</v>
      </c>
      <c r="CA422" t="b">
        <f t="shared" si="363"/>
        <v>0</v>
      </c>
      <c r="CB422" t="str">
        <f t="shared" si="374"/>
        <v>G780</v>
      </c>
      <c r="CC422" t="str">
        <f t="shared" si="364"/>
        <v>R711</v>
      </c>
      <c r="CD422" t="b">
        <f t="shared" si="375"/>
        <v>0</v>
      </c>
      <c r="CE422" t="str">
        <f t="shared" si="376"/>
        <v>R711</v>
      </c>
      <c r="CG422" t="str">
        <f t="shared" si="365"/>
        <v>G900</v>
      </c>
      <c r="CH422" t="str">
        <f t="shared" si="377"/>
        <v>G900</v>
      </c>
      <c r="CI422" t="str">
        <f t="shared" si="366"/>
        <v>G462</v>
      </c>
      <c r="CJ422" t="str">
        <f t="shared" si="367"/>
        <v>G462</v>
      </c>
      <c r="CK422" t="s">
        <v>1150</v>
      </c>
      <c r="CL422" t="s">
        <v>1150</v>
      </c>
      <c r="CM422" t="s">
        <v>1150</v>
      </c>
      <c r="CN422" t="b">
        <f t="shared" si="378"/>
        <v>1</v>
      </c>
      <c r="CO422" t="str">
        <f t="shared" si="368"/>
        <v>R92</v>
      </c>
      <c r="CP422" t="str">
        <f t="shared" si="379"/>
        <v>R92</v>
      </c>
      <c r="CQ422" t="str">
        <f t="shared" si="369"/>
        <v>R168</v>
      </c>
      <c r="CR422" t="str">
        <f t="shared" si="370"/>
        <v>R168</v>
      </c>
      <c r="CS422" t="s">
        <v>1049</v>
      </c>
      <c r="CT422" t="s">
        <v>1049</v>
      </c>
      <c r="CU422" t="s">
        <v>1049</v>
      </c>
      <c r="CV422" t="b">
        <f t="shared" si="380"/>
        <v>1</v>
      </c>
      <c r="DC422" t="str">
        <f t="shared" si="371"/>
        <v>G462</v>
      </c>
      <c r="DD422" t="b">
        <f t="shared" si="381"/>
        <v>0</v>
      </c>
      <c r="DE422" t="str">
        <f t="shared" si="382"/>
        <v>G462</v>
      </c>
      <c r="DF422" t="str">
        <f t="shared" si="372"/>
        <v>R168</v>
      </c>
      <c r="DG422" t="b">
        <f t="shared" si="383"/>
        <v>0</v>
      </c>
      <c r="DH422" t="str">
        <f t="shared" si="384"/>
        <v>R168</v>
      </c>
    </row>
    <row r="423" spans="2:112" ht="12" customHeight="1">
      <c r="B423" t="str">
        <f>TBIDry!H495</f>
        <v>G186</v>
      </c>
      <c r="C423" t="str">
        <f>TBIDry!I495</f>
        <v>R205</v>
      </c>
      <c r="D423" t="b">
        <f t="shared" si="341"/>
        <v>0</v>
      </c>
      <c r="E423" t="b">
        <f t="shared" si="342"/>
        <v>0</v>
      </c>
      <c r="G423" t="str">
        <f>TBIWet!H495</f>
        <v>G709</v>
      </c>
      <c r="H423" t="str">
        <f>TBIWet!I495</f>
        <v>R359</v>
      </c>
      <c r="I423" t="b">
        <f t="shared" si="343"/>
        <v>0</v>
      </c>
      <c r="J423" t="b">
        <f t="shared" si="344"/>
        <v>0</v>
      </c>
      <c r="L423" t="str">
        <f>'Both teabags AfterWet'!A421</f>
        <v>G902</v>
      </c>
      <c r="M423" t="str">
        <f>'Both teabags AfterWet'!A841</f>
        <v>R94</v>
      </c>
      <c r="N423" t="b">
        <f t="shared" si="345"/>
        <v>0</v>
      </c>
      <c r="O423" t="b">
        <f t="shared" si="385"/>
        <v>0</v>
      </c>
      <c r="Q423" s="388" t="b">
        <f t="shared" si="346"/>
        <v>0</v>
      </c>
      <c r="R423" s="388" t="b">
        <f t="shared" si="347"/>
        <v>0</v>
      </c>
      <c r="Y423" t="str">
        <f>'Green_rooibos initial weight'!A424</f>
        <v>G420</v>
      </c>
      <c r="Z423" t="str">
        <f>'Green_rooibos initial weight'!A1328</f>
        <v>R420</v>
      </c>
      <c r="AA423" t="b">
        <f t="shared" si="348"/>
        <v>0</v>
      </c>
      <c r="AB423" t="b">
        <f t="shared" si="349"/>
        <v>0</v>
      </c>
      <c r="AE423" t="str">
        <f>'WetLitterbags placem_collection'!O202</f>
        <v>G709</v>
      </c>
      <c r="AF423" t="str">
        <f>'WetLitterbags placem_collection'!Q202</f>
        <v>R359</v>
      </c>
      <c r="AG423" t="b">
        <f t="shared" si="350"/>
        <v>0</v>
      </c>
      <c r="AH423" t="b">
        <f t="shared" si="351"/>
        <v>0</v>
      </c>
      <c r="AJ423" t="b">
        <f t="shared" si="352"/>
        <v>0</v>
      </c>
      <c r="AK423" t="b">
        <f t="shared" si="353"/>
        <v>0</v>
      </c>
      <c r="AM423" t="str">
        <f>IF(ISBLANK('Dry_Litterbag Placem_Collection'!L202),"","G"&amp;""&amp;'Dry_Litterbag Placem_Collection'!L202)</f>
        <v>G186</v>
      </c>
      <c r="AN423" t="str">
        <f>IF(ISBLANK('Dry_Litterbag Placem_Collection'!M202),"","R"&amp;""&amp;'Dry_Litterbag Placem_Collection'!M202)</f>
        <v>R205</v>
      </c>
      <c r="AO423" t="b">
        <f t="shared" si="354"/>
        <v>0</v>
      </c>
      <c r="AP423" t="b">
        <f t="shared" si="355"/>
        <v>0</v>
      </c>
      <c r="AX423" s="388" t="b">
        <f t="shared" si="356"/>
        <v>0</v>
      </c>
      <c r="AY423" s="388" t="b">
        <f t="shared" si="357"/>
        <v>0</v>
      </c>
      <c r="BA423" t="str">
        <f>'Ashed teabags wet'!A421</f>
        <v>G902</v>
      </c>
      <c r="BB423" t="str">
        <f>'Ashed teabags wet'!A841</f>
        <v>R94</v>
      </c>
      <c r="BH423" t="str">
        <f t="shared" si="359"/>
        <v>G182</v>
      </c>
      <c r="BI423" t="str">
        <f t="shared" si="373"/>
        <v>G182</v>
      </c>
      <c r="BP423" t="str">
        <f t="shared" si="360"/>
        <v>R236</v>
      </c>
      <c r="BQ423" t="str">
        <f t="shared" si="361"/>
        <v>R236</v>
      </c>
      <c r="BZ423" t="str">
        <f t="shared" si="362"/>
        <v>G182</v>
      </c>
      <c r="CA423" t="b">
        <f t="shared" si="363"/>
        <v>0</v>
      </c>
      <c r="CB423" t="str">
        <f t="shared" si="374"/>
        <v>G182</v>
      </c>
      <c r="CC423" t="str">
        <f t="shared" si="364"/>
        <v>R236</v>
      </c>
      <c r="CD423" t="b">
        <f t="shared" si="375"/>
        <v>0</v>
      </c>
      <c r="CE423" t="str">
        <f t="shared" si="376"/>
        <v>R236</v>
      </c>
      <c r="CG423" t="str">
        <f t="shared" si="365"/>
        <v>G901</v>
      </c>
      <c r="CH423" t="str">
        <f t="shared" si="377"/>
        <v>G901</v>
      </c>
      <c r="CI423" t="str">
        <f t="shared" si="366"/>
        <v>G712</v>
      </c>
      <c r="CJ423" t="str">
        <f t="shared" si="367"/>
        <v>G712</v>
      </c>
      <c r="CK423" t="s">
        <v>1149</v>
      </c>
      <c r="CL423" t="s">
        <v>1149</v>
      </c>
      <c r="CM423" t="s">
        <v>1149</v>
      </c>
      <c r="CN423" t="b">
        <f t="shared" si="378"/>
        <v>1</v>
      </c>
      <c r="CO423" t="str">
        <f t="shared" si="368"/>
        <v>R93</v>
      </c>
      <c r="CP423" t="str">
        <f t="shared" si="379"/>
        <v>R93</v>
      </c>
      <c r="CQ423" t="str">
        <f t="shared" si="369"/>
        <v>R369</v>
      </c>
      <c r="CR423" t="str">
        <f t="shared" si="370"/>
        <v>R369</v>
      </c>
      <c r="CS423" t="s">
        <v>1048</v>
      </c>
      <c r="CT423" t="s">
        <v>1048</v>
      </c>
      <c r="CU423" t="s">
        <v>1048</v>
      </c>
      <c r="CV423" t="b">
        <f t="shared" si="380"/>
        <v>1</v>
      </c>
      <c r="DC423" t="str">
        <f t="shared" si="371"/>
        <v>G712</v>
      </c>
      <c r="DD423" t="b">
        <f t="shared" si="381"/>
        <v>0</v>
      </c>
      <c r="DE423" t="str">
        <f t="shared" si="382"/>
        <v>G712</v>
      </c>
      <c r="DF423" t="str">
        <f t="shared" si="372"/>
        <v>R369</v>
      </c>
      <c r="DG423" t="b">
        <f t="shared" si="383"/>
        <v>0</v>
      </c>
      <c r="DH423" t="str">
        <f t="shared" si="384"/>
        <v>R369</v>
      </c>
    </row>
    <row r="424" spans="2:112" ht="12" customHeight="1">
      <c r="B424" t="str">
        <f>TBIDry!H496</f>
        <v>G315</v>
      </c>
      <c r="C424" t="str">
        <f>TBIDry!I496</f>
        <v>R665</v>
      </c>
      <c r="D424" t="b">
        <f t="shared" si="341"/>
        <v>0</v>
      </c>
      <c r="E424" t="b">
        <f t="shared" si="342"/>
        <v>0</v>
      </c>
      <c r="G424" t="str">
        <f>TBIWet!H496</f>
        <v>G707</v>
      </c>
      <c r="H424" t="str">
        <f>TBIWet!I496</f>
        <v>R395</v>
      </c>
      <c r="I424" t="b">
        <f t="shared" si="343"/>
        <v>0</v>
      </c>
      <c r="J424" t="b">
        <f t="shared" si="344"/>
        <v>0</v>
      </c>
      <c r="M424" t="str">
        <f>'Both teabags AfterWet'!A842</f>
        <v>R95</v>
      </c>
      <c r="N424" t="b">
        <f t="shared" si="345"/>
        <v>0</v>
      </c>
      <c r="O424" t="b">
        <f t="shared" si="385"/>
        <v>0</v>
      </c>
      <c r="Q424" s="388" t="b">
        <f t="shared" si="346"/>
        <v>0</v>
      </c>
      <c r="R424" s="388" t="b">
        <f t="shared" si="347"/>
        <v>0</v>
      </c>
      <c r="Y424" t="str">
        <f>'Green_rooibos initial weight'!A425</f>
        <v>G421</v>
      </c>
      <c r="Z424" t="str">
        <f>'Green_rooibos initial weight'!A1329</f>
        <v>R421</v>
      </c>
      <c r="AA424" t="b">
        <f t="shared" si="348"/>
        <v>0</v>
      </c>
      <c r="AB424" t="b">
        <f t="shared" si="349"/>
        <v>0</v>
      </c>
      <c r="AE424" t="str">
        <f>'WetLitterbags placem_collection'!O203</f>
        <v>G707</v>
      </c>
      <c r="AF424" t="str">
        <f>'WetLitterbags placem_collection'!Q203</f>
        <v>R395</v>
      </c>
      <c r="AG424" t="b">
        <f t="shared" si="350"/>
        <v>0</v>
      </c>
      <c r="AH424" t="b">
        <f t="shared" si="351"/>
        <v>0</v>
      </c>
      <c r="AJ424" t="b">
        <f t="shared" si="352"/>
        <v>0</v>
      </c>
      <c r="AK424" t="b">
        <f t="shared" si="353"/>
        <v>0</v>
      </c>
      <c r="AM424" t="str">
        <f>IF(ISBLANK('Dry_Litterbag Placem_Collection'!L203),"","G"&amp;""&amp;'Dry_Litterbag Placem_Collection'!L203)</f>
        <v>G315</v>
      </c>
      <c r="AN424" t="str">
        <f>IF(ISBLANK('Dry_Litterbag Placem_Collection'!M203),"","R"&amp;""&amp;'Dry_Litterbag Placem_Collection'!M203)</f>
        <v>R665</v>
      </c>
      <c r="AO424" t="b">
        <f t="shared" si="354"/>
        <v>0</v>
      </c>
      <c r="AP424" t="b">
        <f t="shared" si="355"/>
        <v>0</v>
      </c>
      <c r="AX424" s="388" t="b">
        <f t="shared" si="356"/>
        <v>0</v>
      </c>
      <c r="AY424" s="388" t="b">
        <f t="shared" si="357"/>
        <v>0</v>
      </c>
      <c r="BB424" t="str">
        <f>'Ashed teabags wet'!A842</f>
        <v>R95</v>
      </c>
      <c r="BH424" t="str">
        <f t="shared" si="359"/>
        <v>G186</v>
      </c>
      <c r="BI424" t="str">
        <f t="shared" si="373"/>
        <v>G186</v>
      </c>
      <c r="BP424" t="str">
        <f t="shared" si="360"/>
        <v>R205</v>
      </c>
      <c r="BQ424" t="str">
        <f t="shared" si="361"/>
        <v>R205</v>
      </c>
      <c r="BZ424" t="str">
        <f t="shared" si="362"/>
        <v>G186</v>
      </c>
      <c r="CA424" t="b">
        <f t="shared" si="363"/>
        <v>0</v>
      </c>
      <c r="CB424" t="str">
        <f t="shared" si="374"/>
        <v>G186</v>
      </c>
      <c r="CC424" t="str">
        <f t="shared" si="364"/>
        <v>R205</v>
      </c>
      <c r="CD424" t="b">
        <f t="shared" si="375"/>
        <v>0</v>
      </c>
      <c r="CE424" t="str">
        <f t="shared" si="376"/>
        <v>R205</v>
      </c>
      <c r="CG424" t="str">
        <f t="shared" si="365"/>
        <v>G902</v>
      </c>
      <c r="CH424" t="str">
        <f t="shared" si="377"/>
        <v>G902</v>
      </c>
      <c r="CI424" t="str">
        <f t="shared" si="366"/>
        <v>G709</v>
      </c>
      <c r="CJ424" t="str">
        <f t="shared" si="367"/>
        <v>G709</v>
      </c>
      <c r="CK424" t="s">
        <v>1148</v>
      </c>
      <c r="CL424" t="s">
        <v>1148</v>
      </c>
      <c r="CM424" t="s">
        <v>1148</v>
      </c>
      <c r="CN424" t="b">
        <f t="shared" si="378"/>
        <v>1</v>
      </c>
      <c r="CO424" t="str">
        <f t="shared" si="368"/>
        <v>R94</v>
      </c>
      <c r="CP424" t="str">
        <f t="shared" si="379"/>
        <v>R94</v>
      </c>
      <c r="CQ424" t="str">
        <f t="shared" si="369"/>
        <v>R359</v>
      </c>
      <c r="CR424" t="str">
        <f t="shared" si="370"/>
        <v>R359</v>
      </c>
      <c r="CS424" t="s">
        <v>1047</v>
      </c>
      <c r="CT424" t="s">
        <v>1047</v>
      </c>
      <c r="CU424" t="s">
        <v>1047</v>
      </c>
      <c r="CV424" t="b">
        <f t="shared" si="380"/>
        <v>1</v>
      </c>
      <c r="DC424" t="str">
        <f t="shared" si="371"/>
        <v>G709</v>
      </c>
      <c r="DD424" t="b">
        <f t="shared" si="381"/>
        <v>0</v>
      </c>
      <c r="DE424" t="str">
        <f t="shared" si="382"/>
        <v>G709</v>
      </c>
      <c r="DF424" t="str">
        <f t="shared" si="372"/>
        <v>R359</v>
      </c>
      <c r="DG424" t="b">
        <f t="shared" si="383"/>
        <v>0</v>
      </c>
      <c r="DH424" t="str">
        <f t="shared" si="384"/>
        <v>R359</v>
      </c>
    </row>
    <row r="425" spans="2:112" ht="12" customHeight="1">
      <c r="B425" t="str">
        <f>TBIDry!H497</f>
        <v>G147</v>
      </c>
      <c r="C425" t="str">
        <f>TBIDry!I497</f>
        <v>R224</v>
      </c>
      <c r="D425" t="b">
        <f t="shared" si="341"/>
        <v>0</v>
      </c>
      <c r="E425" t="b">
        <f t="shared" si="342"/>
        <v>0</v>
      </c>
      <c r="G425" t="str">
        <f>TBIWet!H497</f>
        <v>G770</v>
      </c>
      <c r="H425" t="str">
        <f>TBIWet!I497</f>
        <v>R182</v>
      </c>
      <c r="I425" t="b">
        <f t="shared" si="343"/>
        <v>0</v>
      </c>
      <c r="J425" t="b">
        <f t="shared" si="344"/>
        <v>0</v>
      </c>
      <c r="M425" t="str">
        <f>'Both teabags AfterWet'!A843</f>
        <v>R96</v>
      </c>
      <c r="N425" t="b">
        <f t="shared" si="345"/>
        <v>0</v>
      </c>
      <c r="O425" t="b">
        <f t="shared" si="385"/>
        <v>0</v>
      </c>
      <c r="Q425" s="388" t="b">
        <f t="shared" si="346"/>
        <v>0</v>
      </c>
      <c r="R425" s="388" t="b">
        <f t="shared" si="347"/>
        <v>0</v>
      </c>
      <c r="Y425" t="str">
        <f>'Green_rooibos initial weight'!A426</f>
        <v>G422</v>
      </c>
      <c r="Z425" t="str">
        <f>'Green_rooibos initial weight'!A1330</f>
        <v>R422</v>
      </c>
      <c r="AA425" t="b">
        <f t="shared" si="348"/>
        <v>0</v>
      </c>
      <c r="AB425" t="b">
        <f t="shared" si="349"/>
        <v>0</v>
      </c>
      <c r="AE425" t="str">
        <f>'WetLitterbags placem_collection'!O204</f>
        <v>G770</v>
      </c>
      <c r="AF425" t="str">
        <f>'WetLitterbags placem_collection'!Q204</f>
        <v>R182</v>
      </c>
      <c r="AG425" t="b">
        <f t="shared" si="350"/>
        <v>0</v>
      </c>
      <c r="AH425" t="b">
        <f t="shared" si="351"/>
        <v>0</v>
      </c>
      <c r="AJ425" t="b">
        <f t="shared" si="352"/>
        <v>0</v>
      </c>
      <c r="AK425" t="b">
        <f t="shared" si="353"/>
        <v>0</v>
      </c>
      <c r="AM425" t="str">
        <f>IF(ISBLANK('Dry_Litterbag Placem_Collection'!L204),"","G"&amp;""&amp;'Dry_Litterbag Placem_Collection'!L204)</f>
        <v>G147</v>
      </c>
      <c r="AN425" t="str">
        <f>IF(ISBLANK('Dry_Litterbag Placem_Collection'!M204),"","R"&amp;""&amp;'Dry_Litterbag Placem_Collection'!M204)</f>
        <v>R224</v>
      </c>
      <c r="AO425" t="b">
        <f t="shared" si="354"/>
        <v>0</v>
      </c>
      <c r="AP425" t="b">
        <f t="shared" si="355"/>
        <v>0</v>
      </c>
      <c r="AX425" s="388" t="b">
        <f t="shared" si="356"/>
        <v>0</v>
      </c>
      <c r="AY425" s="388" t="b">
        <f t="shared" si="357"/>
        <v>0</v>
      </c>
      <c r="BB425" t="str">
        <f>'Ashed teabags wet'!A843</f>
        <v>R96</v>
      </c>
      <c r="BH425" t="str">
        <f t="shared" si="359"/>
        <v>G315</v>
      </c>
      <c r="BI425" t="str">
        <f t="shared" si="373"/>
        <v>G315</v>
      </c>
      <c r="BP425" t="str">
        <f t="shared" si="360"/>
        <v>R665</v>
      </c>
      <c r="BQ425" t="str">
        <f t="shared" si="361"/>
        <v>R665</v>
      </c>
      <c r="BZ425" t="str">
        <f t="shared" si="362"/>
        <v>G315</v>
      </c>
      <c r="CA425" t="b">
        <f t="shared" si="363"/>
        <v>0</v>
      </c>
      <c r="CB425" t="str">
        <f t="shared" si="374"/>
        <v>G315</v>
      </c>
      <c r="CC425" t="str">
        <f t="shared" si="364"/>
        <v>R665</v>
      </c>
      <c r="CD425" t="b">
        <f t="shared" si="375"/>
        <v>0</v>
      </c>
      <c r="CE425" t="str">
        <f t="shared" si="376"/>
        <v>R665</v>
      </c>
      <c r="CI425" t="str">
        <f t="shared" si="366"/>
        <v>G707</v>
      </c>
      <c r="CJ425" t="str">
        <f t="shared" si="367"/>
        <v>G707</v>
      </c>
      <c r="CO425" t="str">
        <f t="shared" si="368"/>
        <v>R95</v>
      </c>
      <c r="CP425" t="str">
        <f t="shared" si="379"/>
        <v>R95</v>
      </c>
      <c r="CQ425" t="str">
        <f t="shared" si="369"/>
        <v>R395</v>
      </c>
      <c r="CR425" t="str">
        <f t="shared" si="370"/>
        <v>R395</v>
      </c>
      <c r="CS425" t="s">
        <v>1046</v>
      </c>
      <c r="CT425" t="s">
        <v>1046</v>
      </c>
      <c r="CU425" t="s">
        <v>1046</v>
      </c>
      <c r="CV425" t="b">
        <f t="shared" si="380"/>
        <v>1</v>
      </c>
      <c r="DC425" t="str">
        <f t="shared" si="371"/>
        <v>G707</v>
      </c>
      <c r="DD425" t="b">
        <f t="shared" si="381"/>
        <v>0</v>
      </c>
      <c r="DE425" t="str">
        <f t="shared" si="382"/>
        <v>G707</v>
      </c>
      <c r="DF425" t="str">
        <f t="shared" si="372"/>
        <v>R395</v>
      </c>
      <c r="DG425" t="b">
        <f t="shared" si="383"/>
        <v>0</v>
      </c>
      <c r="DH425" t="str">
        <f t="shared" si="384"/>
        <v>R395</v>
      </c>
    </row>
    <row r="426" spans="2:112" ht="12" customHeight="1">
      <c r="B426" t="str">
        <f>TBIDry!H498</f>
        <v>G168</v>
      </c>
      <c r="C426" t="str">
        <f>TBIDry!I498</f>
        <v>R621</v>
      </c>
      <c r="D426" t="b">
        <f t="shared" si="341"/>
        <v>0</v>
      </c>
      <c r="E426" t="b">
        <f t="shared" si="342"/>
        <v>0</v>
      </c>
      <c r="G426" t="str">
        <f>TBIWet!H498</f>
        <v>G753</v>
      </c>
      <c r="H426" t="str">
        <f>TBIWet!I498</f>
        <v>R342</v>
      </c>
      <c r="I426" t="b">
        <f t="shared" si="343"/>
        <v>0</v>
      </c>
      <c r="J426" t="b">
        <f t="shared" si="344"/>
        <v>0</v>
      </c>
      <c r="M426" t="str">
        <f>'Both teabags AfterWet'!A844</f>
        <v>R97</v>
      </c>
      <c r="N426" t="b">
        <f t="shared" si="345"/>
        <v>0</v>
      </c>
      <c r="O426" t="b">
        <f t="shared" si="385"/>
        <v>0</v>
      </c>
      <c r="Q426" s="388" t="b">
        <f t="shared" si="346"/>
        <v>0</v>
      </c>
      <c r="R426" s="388" t="b">
        <f t="shared" si="347"/>
        <v>0</v>
      </c>
      <c r="Y426" t="str">
        <f>'Green_rooibos initial weight'!A427</f>
        <v>G423</v>
      </c>
      <c r="Z426" t="str">
        <f>'Green_rooibos initial weight'!A1331</f>
        <v>R423</v>
      </c>
      <c r="AA426" t="b">
        <f t="shared" si="348"/>
        <v>0</v>
      </c>
      <c r="AB426" t="b">
        <f t="shared" si="349"/>
        <v>0</v>
      </c>
      <c r="AE426" t="str">
        <f>'WetLitterbags placem_collection'!O205</f>
        <v>G753</v>
      </c>
      <c r="AF426" t="str">
        <f>'WetLitterbags placem_collection'!Q205</f>
        <v>R342</v>
      </c>
      <c r="AG426" t="b">
        <f t="shared" si="350"/>
        <v>0</v>
      </c>
      <c r="AH426" t="b">
        <f t="shared" si="351"/>
        <v>0</v>
      </c>
      <c r="AJ426" t="b">
        <f t="shared" si="352"/>
        <v>0</v>
      </c>
      <c r="AK426" t="b">
        <f t="shared" si="353"/>
        <v>0</v>
      </c>
      <c r="AM426" t="str">
        <f>IF(ISBLANK('Dry_Litterbag Placem_Collection'!L205),"","G"&amp;""&amp;'Dry_Litterbag Placem_Collection'!L205)</f>
        <v>G168</v>
      </c>
      <c r="AN426" t="str">
        <f>IF(ISBLANK('Dry_Litterbag Placem_Collection'!M205),"","R"&amp;""&amp;'Dry_Litterbag Placem_Collection'!M205)</f>
        <v>R621</v>
      </c>
      <c r="AO426" t="b">
        <f t="shared" si="354"/>
        <v>0</v>
      </c>
      <c r="AP426" t="b">
        <f t="shared" si="355"/>
        <v>0</v>
      </c>
      <c r="AX426" s="388" t="b">
        <f t="shared" si="356"/>
        <v>0</v>
      </c>
      <c r="AY426" s="388" t="b">
        <f t="shared" si="357"/>
        <v>0</v>
      </c>
      <c r="BB426" t="str">
        <f>'Ashed teabags wet'!A844</f>
        <v>R97</v>
      </c>
      <c r="BH426" t="str">
        <f t="shared" si="359"/>
        <v>G147</v>
      </c>
      <c r="BI426" t="str">
        <f t="shared" si="373"/>
        <v>G147</v>
      </c>
      <c r="BP426" t="str">
        <f t="shared" si="360"/>
        <v>R224</v>
      </c>
      <c r="BQ426" t="str">
        <f t="shared" si="361"/>
        <v>R224</v>
      </c>
      <c r="BZ426" t="str">
        <f t="shared" si="362"/>
        <v>G147</v>
      </c>
      <c r="CA426" t="b">
        <f t="shared" si="363"/>
        <v>0</v>
      </c>
      <c r="CB426" t="str">
        <f t="shared" si="374"/>
        <v>G147</v>
      </c>
      <c r="CC426" t="str">
        <f t="shared" si="364"/>
        <v>R224</v>
      </c>
      <c r="CD426" t="b">
        <f t="shared" si="375"/>
        <v>0</v>
      </c>
      <c r="CE426" t="str">
        <f t="shared" si="376"/>
        <v>R224</v>
      </c>
      <c r="CI426" t="str">
        <f t="shared" si="366"/>
        <v>G770</v>
      </c>
      <c r="CJ426" t="str">
        <f t="shared" si="367"/>
        <v>G770</v>
      </c>
      <c r="CO426" t="str">
        <f t="shared" si="368"/>
        <v>R96</v>
      </c>
      <c r="CP426" t="str">
        <f t="shared" si="379"/>
        <v>R96</v>
      </c>
      <c r="CQ426" t="str">
        <f t="shared" si="369"/>
        <v>R182</v>
      </c>
      <c r="CR426" t="str">
        <f t="shared" si="370"/>
        <v>R182</v>
      </c>
      <c r="CS426" t="s">
        <v>1045</v>
      </c>
      <c r="CT426" t="s">
        <v>1045</v>
      </c>
      <c r="CU426" t="s">
        <v>1045</v>
      </c>
      <c r="CV426" t="b">
        <f t="shared" si="380"/>
        <v>1</v>
      </c>
      <c r="DC426" t="str">
        <f t="shared" si="371"/>
        <v>G770</v>
      </c>
      <c r="DD426" t="b">
        <f t="shared" si="381"/>
        <v>0</v>
      </c>
      <c r="DE426" t="str">
        <f t="shared" si="382"/>
        <v>G770</v>
      </c>
      <c r="DF426" t="str">
        <f t="shared" si="372"/>
        <v>R182</v>
      </c>
      <c r="DG426" t="b">
        <f t="shared" si="383"/>
        <v>0</v>
      </c>
      <c r="DH426" t="str">
        <f t="shared" si="384"/>
        <v>R182</v>
      </c>
    </row>
    <row r="427" spans="2:112" ht="12" customHeight="1">
      <c r="B427" t="str">
        <f>TBIDry!H499</f>
        <v>G672</v>
      </c>
      <c r="C427" t="str">
        <f>TBIDry!I499</f>
        <v>R708</v>
      </c>
      <c r="D427" t="b">
        <f t="shared" si="341"/>
        <v>0</v>
      </c>
      <c r="E427" t="b">
        <f t="shared" si="342"/>
        <v>0</v>
      </c>
      <c r="G427" t="str">
        <f>TBIWet!H499</f>
        <v>G640</v>
      </c>
      <c r="H427" t="str">
        <f>TBIWet!I499</f>
        <v>R139</v>
      </c>
      <c r="I427" t="b">
        <f t="shared" si="343"/>
        <v>0</v>
      </c>
      <c r="J427" t="b">
        <f t="shared" si="344"/>
        <v>0</v>
      </c>
      <c r="M427" t="str">
        <f>'Both teabags AfterWet'!A845</f>
        <v>R99</v>
      </c>
      <c r="N427" t="b">
        <f t="shared" si="345"/>
        <v>0</v>
      </c>
      <c r="O427" t="b">
        <f t="shared" si="385"/>
        <v>0</v>
      </c>
      <c r="Q427" s="388" t="b">
        <f t="shared" si="346"/>
        <v>0</v>
      </c>
      <c r="R427" s="388" t="b">
        <f t="shared" si="347"/>
        <v>0</v>
      </c>
      <c r="Y427" t="str">
        <f>'Green_rooibos initial weight'!A428</f>
        <v>G424</v>
      </c>
      <c r="Z427" t="str">
        <f>'Green_rooibos initial weight'!A1332</f>
        <v>R424</v>
      </c>
      <c r="AA427" t="b">
        <f t="shared" si="348"/>
        <v>0</v>
      </c>
      <c r="AB427" t="b">
        <f t="shared" si="349"/>
        <v>0</v>
      </c>
      <c r="AE427" t="str">
        <f>'WetLitterbags placem_collection'!O206</f>
        <v>G640</v>
      </c>
      <c r="AF427" t="str">
        <f>'WetLitterbags placem_collection'!Q206</f>
        <v>R139</v>
      </c>
      <c r="AG427" t="b">
        <f t="shared" si="350"/>
        <v>0</v>
      </c>
      <c r="AH427" t="b">
        <f t="shared" si="351"/>
        <v>0</v>
      </c>
      <c r="AJ427" t="b">
        <f t="shared" si="352"/>
        <v>0</v>
      </c>
      <c r="AK427" t="b">
        <f t="shared" si="353"/>
        <v>0</v>
      </c>
      <c r="AM427" t="str">
        <f>IF(ISBLANK('Dry_Litterbag Placem_Collection'!L206),"","G"&amp;""&amp;'Dry_Litterbag Placem_Collection'!L206)</f>
        <v>G672</v>
      </c>
      <c r="AN427" t="str">
        <f>IF(ISBLANK('Dry_Litterbag Placem_Collection'!M206),"","R"&amp;""&amp;'Dry_Litterbag Placem_Collection'!M206)</f>
        <v>R708</v>
      </c>
      <c r="AO427" t="b">
        <f t="shared" si="354"/>
        <v>0</v>
      </c>
      <c r="AP427" t="b">
        <f t="shared" si="355"/>
        <v>0</v>
      </c>
      <c r="AX427" s="388" t="b">
        <f t="shared" si="356"/>
        <v>0</v>
      </c>
      <c r="AY427" s="388" t="b">
        <f t="shared" si="357"/>
        <v>0</v>
      </c>
      <c r="BB427" t="str">
        <f>'Ashed teabags wet'!A845</f>
        <v>R99</v>
      </c>
      <c r="BH427" t="str">
        <f t="shared" si="359"/>
        <v>G168</v>
      </c>
      <c r="BI427" t="str">
        <f t="shared" si="373"/>
        <v>G168</v>
      </c>
      <c r="BP427" t="str">
        <f t="shared" si="360"/>
        <v>R621</v>
      </c>
      <c r="BQ427" t="str">
        <f t="shared" si="361"/>
        <v>R621</v>
      </c>
      <c r="BZ427" t="str">
        <f t="shared" si="362"/>
        <v>G168</v>
      </c>
      <c r="CA427" t="b">
        <f t="shared" si="363"/>
        <v>0</v>
      </c>
      <c r="CB427" t="str">
        <f t="shared" si="374"/>
        <v>G168</v>
      </c>
      <c r="CC427" t="str">
        <f t="shared" si="364"/>
        <v>R621</v>
      </c>
      <c r="CD427" t="b">
        <f t="shared" si="375"/>
        <v>0</v>
      </c>
      <c r="CE427" t="str">
        <f t="shared" si="376"/>
        <v>R621</v>
      </c>
      <c r="CI427" t="str">
        <f t="shared" si="366"/>
        <v>G753</v>
      </c>
      <c r="CJ427" t="str">
        <f t="shared" si="367"/>
        <v>G753</v>
      </c>
      <c r="CO427" t="str">
        <f t="shared" si="368"/>
        <v>R97</v>
      </c>
      <c r="CP427" t="str">
        <f t="shared" si="379"/>
        <v>R97</v>
      </c>
      <c r="CQ427" t="str">
        <f t="shared" si="369"/>
        <v>R342</v>
      </c>
      <c r="CR427" t="str">
        <f t="shared" si="370"/>
        <v>R342</v>
      </c>
      <c r="CS427" t="s">
        <v>1044</v>
      </c>
      <c r="CT427" t="s">
        <v>1044</v>
      </c>
      <c r="CU427" t="s">
        <v>1044</v>
      </c>
      <c r="CV427" t="b">
        <f t="shared" si="380"/>
        <v>1</v>
      </c>
      <c r="DC427" t="str">
        <f t="shared" si="371"/>
        <v>G753</v>
      </c>
      <c r="DD427" t="b">
        <f t="shared" si="381"/>
        <v>0</v>
      </c>
      <c r="DE427" t="str">
        <f t="shared" si="382"/>
        <v>G753</v>
      </c>
      <c r="DF427" t="str">
        <f t="shared" si="372"/>
        <v>R342</v>
      </c>
      <c r="DG427" t="b">
        <f t="shared" si="383"/>
        <v>0</v>
      </c>
      <c r="DH427" t="str">
        <f t="shared" si="384"/>
        <v>R342</v>
      </c>
    </row>
    <row r="428" spans="2:112" ht="12" customHeight="1">
      <c r="B428" t="str">
        <f>TBIDry!H500</f>
        <v>G173</v>
      </c>
      <c r="C428" t="str">
        <f>TBIDry!I500</f>
        <v>R637</v>
      </c>
      <c r="D428" t="b">
        <f t="shared" si="341"/>
        <v>0</v>
      </c>
      <c r="E428" t="b">
        <f t="shared" si="342"/>
        <v>0</v>
      </c>
      <c r="G428" t="str">
        <f>TBIWet!H500</f>
        <v>G668</v>
      </c>
      <c r="H428" t="str">
        <f>TBIWet!I500</f>
        <v>R92</v>
      </c>
      <c r="I428" t="b">
        <f t="shared" si="343"/>
        <v>0</v>
      </c>
      <c r="J428" t="b">
        <f t="shared" si="344"/>
        <v>0</v>
      </c>
      <c r="Q428" s="388" t="b">
        <f t="shared" si="346"/>
        <v>0</v>
      </c>
      <c r="R428" s="388" t="b">
        <f t="shared" si="347"/>
        <v>0</v>
      </c>
      <c r="Y428" t="str">
        <f>'Green_rooibos initial weight'!A429</f>
        <v>G425</v>
      </c>
      <c r="Z428" t="str">
        <f>'Green_rooibos initial weight'!A1333</f>
        <v>R425</v>
      </c>
      <c r="AA428" t="b">
        <f t="shared" si="348"/>
        <v>0</v>
      </c>
      <c r="AB428" t="b">
        <f t="shared" si="349"/>
        <v>0</v>
      </c>
      <c r="AE428" t="str">
        <f>'WetLitterbags placem_collection'!O207</f>
        <v>G668</v>
      </c>
      <c r="AF428" t="str">
        <f>'WetLitterbags placem_collection'!Q207</f>
        <v>R92</v>
      </c>
      <c r="AG428" t="b">
        <f t="shared" si="350"/>
        <v>0</v>
      </c>
      <c r="AH428" t="b">
        <f t="shared" si="351"/>
        <v>0</v>
      </c>
      <c r="AJ428" t="b">
        <f t="shared" si="352"/>
        <v>0</v>
      </c>
      <c r="AK428" t="b">
        <f t="shared" si="353"/>
        <v>0</v>
      </c>
      <c r="AM428" t="str">
        <f>IF(ISBLANK('Dry_Litterbag Placem_Collection'!L207),"","G"&amp;""&amp;'Dry_Litterbag Placem_Collection'!L207)</f>
        <v>G173</v>
      </c>
      <c r="AN428" t="str">
        <f>IF(ISBLANK('Dry_Litterbag Placem_Collection'!M207),"","R"&amp;""&amp;'Dry_Litterbag Placem_Collection'!M207)</f>
        <v>R637</v>
      </c>
      <c r="AO428" t="b">
        <f t="shared" si="354"/>
        <v>0</v>
      </c>
      <c r="AP428" t="b">
        <f t="shared" si="355"/>
        <v>0</v>
      </c>
      <c r="AX428" s="388" t="b">
        <f t="shared" si="356"/>
        <v>0</v>
      </c>
      <c r="AY428" s="388" t="b">
        <f t="shared" si="357"/>
        <v>0</v>
      </c>
      <c r="BH428" t="str">
        <f t="shared" si="359"/>
        <v>G672</v>
      </c>
      <c r="BI428" t="str">
        <f t="shared" si="373"/>
        <v>G672</v>
      </c>
      <c r="BP428" t="str">
        <f t="shared" si="360"/>
        <v>R708</v>
      </c>
      <c r="BQ428" t="str">
        <f t="shared" si="361"/>
        <v>R708</v>
      </c>
      <c r="BZ428" t="str">
        <f t="shared" si="362"/>
        <v>G672</v>
      </c>
      <c r="CA428" t="b">
        <f t="shared" si="363"/>
        <v>0</v>
      </c>
      <c r="CB428" t="str">
        <f t="shared" si="374"/>
        <v>G672</v>
      </c>
      <c r="CC428" t="str">
        <f t="shared" si="364"/>
        <v>R708</v>
      </c>
      <c r="CD428" t="b">
        <f t="shared" si="375"/>
        <v>0</v>
      </c>
      <c r="CE428" t="str">
        <f t="shared" si="376"/>
        <v>R708</v>
      </c>
      <c r="CI428" t="str">
        <f t="shared" si="366"/>
        <v>G640</v>
      </c>
      <c r="CJ428" t="str">
        <f t="shared" si="367"/>
        <v>G640</v>
      </c>
      <c r="CO428" t="str">
        <f t="shared" si="368"/>
        <v>R99</v>
      </c>
      <c r="CP428" t="str">
        <f t="shared" si="379"/>
        <v>R99</v>
      </c>
      <c r="CQ428" t="str">
        <f t="shared" si="369"/>
        <v>R139</v>
      </c>
      <c r="CR428" t="str">
        <f t="shared" si="370"/>
        <v>R139</v>
      </c>
      <c r="CS428" t="s">
        <v>1042</v>
      </c>
      <c r="CT428" t="s">
        <v>1042</v>
      </c>
      <c r="CU428" t="s">
        <v>1042</v>
      </c>
      <c r="CV428" t="b">
        <f t="shared" si="380"/>
        <v>1</v>
      </c>
      <c r="DC428" t="str">
        <f t="shared" si="371"/>
        <v>G640</v>
      </c>
      <c r="DD428" t="b">
        <f t="shared" si="381"/>
        <v>0</v>
      </c>
      <c r="DE428" t="str">
        <f t="shared" si="382"/>
        <v>G640</v>
      </c>
      <c r="DF428" t="str">
        <f t="shared" si="372"/>
        <v>R139</v>
      </c>
      <c r="DG428" t="b">
        <f t="shared" si="383"/>
        <v>0</v>
      </c>
      <c r="DH428" t="str">
        <f t="shared" si="384"/>
        <v>R139</v>
      </c>
    </row>
    <row r="429" spans="2:112" ht="12" customHeight="1">
      <c r="B429" t="str">
        <f>TBIDry!H501</f>
        <v>G262</v>
      </c>
      <c r="C429" t="str">
        <f>TBIDry!I501</f>
        <v>R284</v>
      </c>
      <c r="D429" t="b">
        <f t="shared" si="341"/>
        <v>0</v>
      </c>
      <c r="E429" t="b">
        <f t="shared" si="342"/>
        <v>0</v>
      </c>
      <c r="G429" t="str">
        <f>TBIWet!H501</f>
        <v>G891</v>
      </c>
      <c r="H429" t="str">
        <f>TBIWet!I501</f>
        <v>R328</v>
      </c>
      <c r="I429" t="b">
        <f t="shared" si="343"/>
        <v>0</v>
      </c>
      <c r="J429" t="b">
        <f t="shared" si="344"/>
        <v>0</v>
      </c>
      <c r="Q429" s="388" t="b">
        <f t="shared" si="346"/>
        <v>0</v>
      </c>
      <c r="R429" s="388" t="b">
        <f t="shared" si="347"/>
        <v>0</v>
      </c>
      <c r="Y429" t="str">
        <f>'Green_rooibos initial weight'!A430</f>
        <v>G426</v>
      </c>
      <c r="Z429" t="str">
        <f>'Green_rooibos initial weight'!A1334</f>
        <v>R426</v>
      </c>
      <c r="AA429" t="b">
        <f t="shared" si="348"/>
        <v>0</v>
      </c>
      <c r="AB429" t="b">
        <f t="shared" si="349"/>
        <v>0</v>
      </c>
      <c r="AE429" t="str">
        <f>'WetLitterbags placem_collection'!O208</f>
        <v>G891</v>
      </c>
      <c r="AF429" t="str">
        <f>'WetLitterbags placem_collection'!Q208</f>
        <v>R328</v>
      </c>
      <c r="AG429" t="b">
        <f t="shared" si="350"/>
        <v>0</v>
      </c>
      <c r="AH429" t="b">
        <f t="shared" si="351"/>
        <v>0</v>
      </c>
      <c r="AJ429" t="b">
        <f t="shared" si="352"/>
        <v>0</v>
      </c>
      <c r="AK429" t="b">
        <f t="shared" si="353"/>
        <v>0</v>
      </c>
      <c r="AM429" t="str">
        <f>IF(ISBLANK('Dry_Litterbag Placem_Collection'!L208),"","G"&amp;""&amp;'Dry_Litterbag Placem_Collection'!L208)</f>
        <v>G262</v>
      </c>
      <c r="AN429" t="str">
        <f>IF(ISBLANK('Dry_Litterbag Placem_Collection'!M208),"","R"&amp;""&amp;'Dry_Litterbag Placem_Collection'!M208)</f>
        <v>R284</v>
      </c>
      <c r="AO429" t="b">
        <f t="shared" si="354"/>
        <v>0</v>
      </c>
      <c r="AP429" t="b">
        <f t="shared" si="355"/>
        <v>0</v>
      </c>
      <c r="AX429" s="388" t="b">
        <f t="shared" si="356"/>
        <v>0</v>
      </c>
      <c r="AY429" s="388" t="b">
        <f t="shared" si="357"/>
        <v>0</v>
      </c>
      <c r="BH429" t="str">
        <f t="shared" si="359"/>
        <v>G173</v>
      </c>
      <c r="BI429" t="str">
        <f t="shared" si="373"/>
        <v>G173</v>
      </c>
      <c r="BP429" t="str">
        <f t="shared" si="360"/>
        <v>R637</v>
      </c>
      <c r="BQ429" t="str">
        <f t="shared" si="361"/>
        <v>R637</v>
      </c>
      <c r="BZ429" t="str">
        <f t="shared" si="362"/>
        <v>G173</v>
      </c>
      <c r="CA429" t="b">
        <f t="shared" si="363"/>
        <v>0</v>
      </c>
      <c r="CB429" t="str">
        <f t="shared" si="374"/>
        <v>G173</v>
      </c>
      <c r="CC429" t="str">
        <f t="shared" si="364"/>
        <v>R637</v>
      </c>
      <c r="CD429" t="b">
        <f t="shared" si="375"/>
        <v>0</v>
      </c>
      <c r="CE429" t="str">
        <f t="shared" si="376"/>
        <v>R637</v>
      </c>
      <c r="CI429" t="str">
        <f t="shared" si="366"/>
        <v>G668</v>
      </c>
      <c r="CJ429" t="str">
        <f t="shared" si="367"/>
        <v>G668</v>
      </c>
      <c r="CQ429" t="str">
        <f t="shared" si="369"/>
        <v>R92</v>
      </c>
      <c r="CR429" t="str">
        <f t="shared" si="370"/>
        <v>R92</v>
      </c>
      <c r="DC429" t="str">
        <f t="shared" si="371"/>
        <v>G668</v>
      </c>
      <c r="DD429" t="b">
        <f t="shared" si="381"/>
        <v>0</v>
      </c>
      <c r="DE429" t="str">
        <f t="shared" si="382"/>
        <v>G668</v>
      </c>
      <c r="DF429" t="str">
        <f t="shared" si="372"/>
        <v>R92</v>
      </c>
      <c r="DG429" t="b">
        <f t="shared" si="383"/>
        <v>0</v>
      </c>
      <c r="DH429" t="str">
        <f t="shared" si="384"/>
        <v>R92</v>
      </c>
    </row>
    <row r="430" spans="2:112" ht="12" customHeight="1">
      <c r="B430" t="str">
        <f>TBIDry!H502</f>
        <v>G230</v>
      </c>
      <c r="C430" t="str">
        <f>TBIDry!I502</f>
        <v>R604</v>
      </c>
      <c r="D430" t="b">
        <f t="shared" si="341"/>
        <v>0</v>
      </c>
      <c r="E430" t="b">
        <f t="shared" si="342"/>
        <v>0</v>
      </c>
      <c r="G430" t="str">
        <f>TBIWet!H502</f>
        <v>G540</v>
      </c>
      <c r="H430" t="str">
        <f>TBIWet!I502</f>
        <v>R149</v>
      </c>
      <c r="I430" s="113" t="b">
        <f t="shared" si="343"/>
        <v>0</v>
      </c>
      <c r="J430" t="b">
        <f t="shared" si="344"/>
        <v>0</v>
      </c>
      <c r="Q430" s="388" t="b">
        <f t="shared" si="346"/>
        <v>0</v>
      </c>
      <c r="R430" s="388" t="b">
        <f t="shared" si="347"/>
        <v>0</v>
      </c>
      <c r="Y430" t="str">
        <f>'Green_rooibos initial weight'!A431</f>
        <v>G427</v>
      </c>
      <c r="Z430" t="str">
        <f>'Green_rooibos initial weight'!A1335</f>
        <v>R427</v>
      </c>
      <c r="AA430" t="b">
        <f t="shared" si="348"/>
        <v>0</v>
      </c>
      <c r="AB430" t="b">
        <f t="shared" si="349"/>
        <v>0</v>
      </c>
      <c r="AE430" t="str">
        <f>'WetLitterbags placem_collection'!O209</f>
        <v>G540</v>
      </c>
      <c r="AF430" t="str">
        <f>'WetLitterbags placem_collection'!Q209</f>
        <v>R149</v>
      </c>
      <c r="AG430" t="b">
        <f t="shared" si="350"/>
        <v>0</v>
      </c>
      <c r="AH430" t="b">
        <f t="shared" si="351"/>
        <v>0</v>
      </c>
      <c r="AJ430" t="b">
        <f t="shared" si="352"/>
        <v>0</v>
      </c>
      <c r="AK430" t="b">
        <f t="shared" si="353"/>
        <v>0</v>
      </c>
      <c r="AM430" t="str">
        <f>IF(ISBLANK('Dry_Litterbag Placem_Collection'!L209),"","G"&amp;""&amp;'Dry_Litterbag Placem_Collection'!L209)</f>
        <v>G230</v>
      </c>
      <c r="AN430" t="str">
        <f>IF(ISBLANK('Dry_Litterbag Placem_Collection'!M209),"","R"&amp;""&amp;'Dry_Litterbag Placem_Collection'!M209)</f>
        <v>R604</v>
      </c>
      <c r="AO430" t="b">
        <f t="shared" si="354"/>
        <v>0</v>
      </c>
      <c r="AP430" t="b">
        <f t="shared" si="355"/>
        <v>0</v>
      </c>
      <c r="AX430" s="388" t="b">
        <f t="shared" si="356"/>
        <v>0</v>
      </c>
      <c r="AY430" s="388" t="b">
        <f t="shared" si="357"/>
        <v>0</v>
      </c>
      <c r="BH430" t="str">
        <f t="shared" si="359"/>
        <v>G262</v>
      </c>
      <c r="BI430" t="str">
        <f t="shared" si="373"/>
        <v>G262</v>
      </c>
      <c r="BP430" t="str">
        <f t="shared" si="360"/>
        <v>R284</v>
      </c>
      <c r="BQ430" t="str">
        <f t="shared" si="361"/>
        <v>R284</v>
      </c>
      <c r="BZ430" t="str">
        <f t="shared" si="362"/>
        <v>G262</v>
      </c>
      <c r="CA430" t="b">
        <f t="shared" si="363"/>
        <v>0</v>
      </c>
      <c r="CB430" t="str">
        <f t="shared" si="374"/>
        <v>G262</v>
      </c>
      <c r="CC430" t="str">
        <f t="shared" si="364"/>
        <v>R284</v>
      </c>
      <c r="CD430" t="b">
        <f t="shared" si="375"/>
        <v>0</v>
      </c>
      <c r="CE430" t="str">
        <f t="shared" si="376"/>
        <v>R284</v>
      </c>
      <c r="CI430" t="str">
        <f t="shared" si="366"/>
        <v>G891</v>
      </c>
      <c r="CJ430" t="str">
        <f t="shared" si="367"/>
        <v>G891</v>
      </c>
      <c r="CQ430" t="str">
        <f t="shared" si="369"/>
        <v>R328</v>
      </c>
      <c r="CR430" t="str">
        <f t="shared" si="370"/>
        <v>R328</v>
      </c>
      <c r="DC430" t="str">
        <f t="shared" si="371"/>
        <v>G891</v>
      </c>
      <c r="DD430" t="b">
        <f t="shared" si="381"/>
        <v>0</v>
      </c>
      <c r="DE430" t="str">
        <f t="shared" si="382"/>
        <v>G891</v>
      </c>
      <c r="DF430" t="str">
        <f t="shared" si="372"/>
        <v>R328</v>
      </c>
      <c r="DG430" t="b">
        <f t="shared" si="383"/>
        <v>0</v>
      </c>
      <c r="DH430" t="str">
        <f t="shared" si="384"/>
        <v>R328</v>
      </c>
    </row>
    <row r="431" spans="2:112" ht="12" customHeight="1">
      <c r="B431" t="str">
        <f>TBIDry!H503</f>
        <v>G140</v>
      </c>
      <c r="C431" t="str">
        <f>TBIDry!I503</f>
        <v>R625</v>
      </c>
      <c r="D431" t="b">
        <f t="shared" si="341"/>
        <v>0</v>
      </c>
      <c r="E431" t="b">
        <f t="shared" si="342"/>
        <v>0</v>
      </c>
      <c r="G431" t="str">
        <f>TBIWet!H503</f>
        <v>G508</v>
      </c>
      <c r="H431" t="str">
        <f>TBIWet!I503</f>
        <v>R449</v>
      </c>
      <c r="I431" t="b">
        <f t="shared" si="343"/>
        <v>0</v>
      </c>
      <c r="J431" t="b">
        <f t="shared" si="344"/>
        <v>0</v>
      </c>
      <c r="Q431" s="388" t="b">
        <f t="shared" si="346"/>
        <v>0</v>
      </c>
      <c r="R431" s="388" t="b">
        <f t="shared" si="347"/>
        <v>0</v>
      </c>
      <c r="Y431" t="str">
        <f>'Green_rooibos initial weight'!A432</f>
        <v>G428</v>
      </c>
      <c r="Z431" t="str">
        <f>'Green_rooibos initial weight'!A1336</f>
        <v>R428</v>
      </c>
      <c r="AA431" t="b">
        <f t="shared" si="348"/>
        <v>0</v>
      </c>
      <c r="AB431" t="b">
        <f t="shared" si="349"/>
        <v>0</v>
      </c>
      <c r="AE431" t="str">
        <f>'WetLitterbags placem_collection'!O210</f>
        <v>G508</v>
      </c>
      <c r="AF431" t="str">
        <f>'WetLitterbags placem_collection'!Q210</f>
        <v>R449</v>
      </c>
      <c r="AG431" t="b">
        <f t="shared" si="350"/>
        <v>0</v>
      </c>
      <c r="AH431" t="b">
        <f t="shared" si="351"/>
        <v>0</v>
      </c>
      <c r="AJ431" t="b">
        <f t="shared" si="352"/>
        <v>0</v>
      </c>
      <c r="AK431" t="b">
        <f t="shared" si="353"/>
        <v>0</v>
      </c>
      <c r="AM431" t="str">
        <f>IF(ISBLANK('Dry_Litterbag Placem_Collection'!L210),"","G"&amp;""&amp;'Dry_Litterbag Placem_Collection'!L210)</f>
        <v>G140</v>
      </c>
      <c r="AN431" t="str">
        <f>IF(ISBLANK('Dry_Litterbag Placem_Collection'!M210),"","R"&amp;""&amp;'Dry_Litterbag Placem_Collection'!M210)</f>
        <v>R625</v>
      </c>
      <c r="AO431" t="b">
        <f t="shared" si="354"/>
        <v>0</v>
      </c>
      <c r="AP431" t="b">
        <f t="shared" si="355"/>
        <v>0</v>
      </c>
      <c r="AX431" s="388" t="b">
        <f t="shared" si="356"/>
        <v>0</v>
      </c>
      <c r="AY431" s="388" t="b">
        <f t="shared" si="357"/>
        <v>0</v>
      </c>
      <c r="BH431" t="str">
        <f t="shared" si="359"/>
        <v>G230</v>
      </c>
      <c r="BI431" t="str">
        <f t="shared" si="373"/>
        <v>G230</v>
      </c>
      <c r="BP431" t="str">
        <f t="shared" si="360"/>
        <v>R604</v>
      </c>
      <c r="BQ431" t="str">
        <f t="shared" si="361"/>
        <v>R604</v>
      </c>
      <c r="BZ431" t="str">
        <f t="shared" si="362"/>
        <v>G230</v>
      </c>
      <c r="CA431" t="b">
        <f t="shared" si="363"/>
        <v>0</v>
      </c>
      <c r="CB431" t="str">
        <f t="shared" si="374"/>
        <v>G230</v>
      </c>
      <c r="CC431" t="str">
        <f t="shared" si="364"/>
        <v>R604</v>
      </c>
      <c r="CD431" t="b">
        <f t="shared" si="375"/>
        <v>0</v>
      </c>
      <c r="CE431" t="str">
        <f t="shared" si="376"/>
        <v>R604</v>
      </c>
      <c r="CI431" t="str">
        <f t="shared" si="366"/>
        <v>G540</v>
      </c>
      <c r="CJ431" t="str">
        <f t="shared" si="367"/>
        <v>G540</v>
      </c>
      <c r="CQ431" t="str">
        <f t="shared" si="369"/>
        <v>R149</v>
      </c>
      <c r="CR431" t="str">
        <f t="shared" si="370"/>
        <v>R149</v>
      </c>
      <c r="DC431" t="str">
        <f t="shared" si="371"/>
        <v>G540</v>
      </c>
      <c r="DD431" t="b">
        <f t="shared" si="381"/>
        <v>0</v>
      </c>
      <c r="DE431" t="str">
        <f t="shared" si="382"/>
        <v>G540</v>
      </c>
      <c r="DF431" t="str">
        <f t="shared" si="372"/>
        <v>R149</v>
      </c>
      <c r="DG431" t="b">
        <f t="shared" si="383"/>
        <v>0</v>
      </c>
      <c r="DH431" t="str">
        <f t="shared" si="384"/>
        <v>R149</v>
      </c>
    </row>
    <row r="432" spans="2:112" ht="12" customHeight="1">
      <c r="B432" t="str">
        <f>TBIDry!H504</f>
        <v>G92</v>
      </c>
      <c r="C432" t="str">
        <f>TBIDry!I504</f>
        <v>R647</v>
      </c>
      <c r="D432" t="b">
        <f t="shared" si="341"/>
        <v>0</v>
      </c>
      <c r="E432" t="b">
        <f t="shared" si="342"/>
        <v>0</v>
      </c>
      <c r="G432" t="str">
        <f>TBIWet!H504</f>
        <v>G637</v>
      </c>
      <c r="H432" t="str">
        <f>TBIWet!I504</f>
        <v>R142</v>
      </c>
      <c r="I432" t="b">
        <f t="shared" si="343"/>
        <v>0</v>
      </c>
      <c r="J432" t="b">
        <f t="shared" si="344"/>
        <v>0</v>
      </c>
      <c r="Q432" s="388" t="b">
        <f t="shared" si="346"/>
        <v>0</v>
      </c>
      <c r="R432" s="388" t="b">
        <f t="shared" si="347"/>
        <v>0</v>
      </c>
      <c r="Y432" t="str">
        <f>'Green_rooibos initial weight'!A433</f>
        <v>G429</v>
      </c>
      <c r="Z432" t="str">
        <f>'Green_rooibos initial weight'!A1337</f>
        <v>R429</v>
      </c>
      <c r="AA432" t="b">
        <f t="shared" si="348"/>
        <v>0</v>
      </c>
      <c r="AB432" t="b">
        <f t="shared" si="349"/>
        <v>0</v>
      </c>
      <c r="AE432" t="str">
        <f>'WetLitterbags placem_collection'!O211</f>
        <v>G637</v>
      </c>
      <c r="AF432" t="str">
        <f>'WetLitterbags placem_collection'!Q211</f>
        <v>R142</v>
      </c>
      <c r="AG432" t="b">
        <f t="shared" si="350"/>
        <v>0</v>
      </c>
      <c r="AH432" t="b">
        <f t="shared" si="351"/>
        <v>0</v>
      </c>
      <c r="AJ432" t="b">
        <f t="shared" si="352"/>
        <v>0</v>
      </c>
      <c r="AK432" t="b">
        <f t="shared" si="353"/>
        <v>0</v>
      </c>
      <c r="AM432" t="str">
        <f>IF(ISBLANK('Dry_Litterbag Placem_Collection'!L211),"","G"&amp;""&amp;'Dry_Litterbag Placem_Collection'!L211)</f>
        <v>G92</v>
      </c>
      <c r="AN432" t="str">
        <f>IF(ISBLANK('Dry_Litterbag Placem_Collection'!M211),"","R"&amp;""&amp;'Dry_Litterbag Placem_Collection'!M211)</f>
        <v>R647</v>
      </c>
      <c r="AO432" t="b">
        <f t="shared" si="354"/>
        <v>0</v>
      </c>
      <c r="AP432" t="b">
        <f t="shared" si="355"/>
        <v>0</v>
      </c>
      <c r="AX432" s="388" t="b">
        <f t="shared" si="356"/>
        <v>0</v>
      </c>
      <c r="AY432" s="388" t="b">
        <f t="shared" si="357"/>
        <v>0</v>
      </c>
      <c r="BH432" t="str">
        <f t="shared" si="359"/>
        <v>G140</v>
      </c>
      <c r="BI432" t="str">
        <f t="shared" si="373"/>
        <v>G140</v>
      </c>
      <c r="BP432" t="str">
        <f t="shared" si="360"/>
        <v>R625</v>
      </c>
      <c r="BQ432" t="str">
        <f t="shared" si="361"/>
        <v>R625</v>
      </c>
      <c r="BZ432" t="str">
        <f t="shared" si="362"/>
        <v>G140</v>
      </c>
      <c r="CA432" t="b">
        <f t="shared" si="363"/>
        <v>0</v>
      </c>
      <c r="CB432" t="str">
        <f t="shared" si="374"/>
        <v>G140</v>
      </c>
      <c r="CC432" t="str">
        <f t="shared" si="364"/>
        <v>R625</v>
      </c>
      <c r="CD432" t="b">
        <f t="shared" si="375"/>
        <v>0</v>
      </c>
      <c r="CE432" t="str">
        <f t="shared" si="376"/>
        <v>R625</v>
      </c>
      <c r="CI432" t="str">
        <f t="shared" si="366"/>
        <v>G508</v>
      </c>
      <c r="CJ432" t="str">
        <f t="shared" si="367"/>
        <v>G508</v>
      </c>
      <c r="CQ432" t="str">
        <f t="shared" si="369"/>
        <v>R449</v>
      </c>
      <c r="CR432" t="str">
        <f t="shared" si="370"/>
        <v>R449</v>
      </c>
      <c r="DC432" t="str">
        <f t="shared" si="371"/>
        <v>G508</v>
      </c>
      <c r="DD432" t="b">
        <f t="shared" si="381"/>
        <v>0</v>
      </c>
      <c r="DE432" t="str">
        <f t="shared" si="382"/>
        <v>G508</v>
      </c>
      <c r="DF432" t="str">
        <f t="shared" si="372"/>
        <v>R449</v>
      </c>
      <c r="DG432" t="b">
        <f t="shared" si="383"/>
        <v>0</v>
      </c>
      <c r="DH432" t="str">
        <f t="shared" si="384"/>
        <v>R449</v>
      </c>
    </row>
    <row r="433" spans="2:112" ht="12" customHeight="1">
      <c r="B433" t="str">
        <f>TBIDry!H505</f>
        <v>G36</v>
      </c>
      <c r="C433" t="str">
        <f>TBIDry!I505</f>
        <v>R599</v>
      </c>
      <c r="D433" t="b">
        <f t="shared" si="341"/>
        <v>0</v>
      </c>
      <c r="E433" t="b">
        <f t="shared" si="342"/>
        <v>0</v>
      </c>
      <c r="G433" t="str">
        <f>TBIWet!H505</f>
        <v>G720</v>
      </c>
      <c r="H433" t="str">
        <f>TBIWet!I505</f>
        <v>R392</v>
      </c>
      <c r="I433" t="b">
        <f t="shared" si="343"/>
        <v>0</v>
      </c>
      <c r="J433" t="b">
        <f t="shared" si="344"/>
        <v>0</v>
      </c>
      <c r="Q433" s="388" t="b">
        <f t="shared" si="346"/>
        <v>0</v>
      </c>
      <c r="R433" s="388" t="b">
        <f t="shared" si="347"/>
        <v>0</v>
      </c>
      <c r="Y433" t="str">
        <f>'Green_rooibos initial weight'!A434</f>
        <v>G430</v>
      </c>
      <c r="Z433" t="str">
        <f>'Green_rooibos initial weight'!A1338</f>
        <v>R430</v>
      </c>
      <c r="AA433" t="b">
        <f t="shared" si="348"/>
        <v>0</v>
      </c>
      <c r="AB433" t="b">
        <f t="shared" si="349"/>
        <v>0</v>
      </c>
      <c r="AE433" t="str">
        <f>'WetLitterbags placem_collection'!O212</f>
        <v>G720</v>
      </c>
      <c r="AF433" t="str">
        <f>'WetLitterbags placem_collection'!Q212</f>
        <v>R392</v>
      </c>
      <c r="AG433" t="b">
        <f t="shared" si="350"/>
        <v>0</v>
      </c>
      <c r="AH433" t="b">
        <f t="shared" si="351"/>
        <v>0</v>
      </c>
      <c r="AJ433" t="b">
        <f t="shared" si="352"/>
        <v>0</v>
      </c>
      <c r="AK433" t="b">
        <f t="shared" si="353"/>
        <v>0</v>
      </c>
      <c r="AM433" t="str">
        <f>IF(ISBLANK('Dry_Litterbag Placem_Collection'!L212),"","G"&amp;""&amp;'Dry_Litterbag Placem_Collection'!L212)</f>
        <v>G36</v>
      </c>
      <c r="AN433" t="str">
        <f>IF(ISBLANK('Dry_Litterbag Placem_Collection'!M212),"","R"&amp;""&amp;'Dry_Litterbag Placem_Collection'!M212)</f>
        <v>R599</v>
      </c>
      <c r="AO433" t="b">
        <f t="shared" si="354"/>
        <v>0</v>
      </c>
      <c r="AP433" t="b">
        <f t="shared" si="355"/>
        <v>0</v>
      </c>
      <c r="AX433" s="388" t="b">
        <f t="shared" si="356"/>
        <v>0</v>
      </c>
      <c r="AY433" s="388" t="b">
        <f t="shared" si="357"/>
        <v>0</v>
      </c>
      <c r="BH433" t="str">
        <f t="shared" si="359"/>
        <v>G92</v>
      </c>
      <c r="BI433" t="str">
        <f t="shared" si="373"/>
        <v>G92</v>
      </c>
      <c r="BP433" t="str">
        <f t="shared" si="360"/>
        <v>R647</v>
      </c>
      <c r="BQ433" t="str">
        <f t="shared" si="361"/>
        <v>R647</v>
      </c>
      <c r="BZ433" t="str">
        <f t="shared" si="362"/>
        <v>G92</v>
      </c>
      <c r="CA433" t="b">
        <f t="shared" si="363"/>
        <v>0</v>
      </c>
      <c r="CB433" t="str">
        <f t="shared" si="374"/>
        <v>G92</v>
      </c>
      <c r="CC433" t="str">
        <f t="shared" si="364"/>
        <v>R647</v>
      </c>
      <c r="CD433" t="b">
        <f t="shared" si="375"/>
        <v>0</v>
      </c>
      <c r="CE433" t="str">
        <f t="shared" si="376"/>
        <v>R647</v>
      </c>
      <c r="CI433" t="str">
        <f t="shared" si="366"/>
        <v>G637</v>
      </c>
      <c r="CJ433" t="str">
        <f t="shared" si="367"/>
        <v>G637</v>
      </c>
      <c r="CQ433" t="str">
        <f t="shared" si="369"/>
        <v>R142</v>
      </c>
      <c r="CR433" t="str">
        <f t="shared" si="370"/>
        <v>R142</v>
      </c>
      <c r="DC433" t="str">
        <f t="shared" si="371"/>
        <v>G637</v>
      </c>
      <c r="DD433" t="b">
        <f t="shared" si="381"/>
        <v>0</v>
      </c>
      <c r="DE433" t="str">
        <f t="shared" si="382"/>
        <v>G637</v>
      </c>
      <c r="DF433" t="str">
        <f t="shared" si="372"/>
        <v>R142</v>
      </c>
      <c r="DG433" t="b">
        <f t="shared" si="383"/>
        <v>0</v>
      </c>
      <c r="DH433" t="str">
        <f t="shared" si="384"/>
        <v>R142</v>
      </c>
    </row>
    <row r="434" spans="2:112" ht="12" customHeight="1">
      <c r="B434" t="str">
        <f>TBIDry!H506</f>
        <v>G434</v>
      </c>
      <c r="C434" t="str">
        <f>TBIDry!I506</f>
        <v>R670</v>
      </c>
      <c r="D434" t="b">
        <f t="shared" si="341"/>
        <v>0</v>
      </c>
      <c r="E434" t="b">
        <f t="shared" si="342"/>
        <v>0</v>
      </c>
      <c r="G434" t="str">
        <f>TBIWet!H506</f>
        <v>G796</v>
      </c>
      <c r="H434" t="str">
        <f>TBIWet!I506</f>
        <v>R589</v>
      </c>
      <c r="I434" t="b">
        <f t="shared" si="343"/>
        <v>0</v>
      </c>
      <c r="J434" t="b">
        <f t="shared" si="344"/>
        <v>0</v>
      </c>
      <c r="Q434" s="388" t="b">
        <f t="shared" si="346"/>
        <v>0</v>
      </c>
      <c r="R434" s="388" t="b">
        <f t="shared" si="347"/>
        <v>0</v>
      </c>
      <c r="Y434" t="str">
        <f>'Green_rooibos initial weight'!A435</f>
        <v>G431</v>
      </c>
      <c r="Z434" t="str">
        <f>'Green_rooibos initial weight'!A1339</f>
        <v>R431</v>
      </c>
      <c r="AA434" t="b">
        <f t="shared" si="348"/>
        <v>0</v>
      </c>
      <c r="AB434" t="b">
        <f t="shared" si="349"/>
        <v>0</v>
      </c>
      <c r="AE434" t="str">
        <f>'WetLitterbags placem_collection'!O213</f>
        <v>G796</v>
      </c>
      <c r="AF434" t="str">
        <f>'WetLitterbags placem_collection'!Q213</f>
        <v>R589</v>
      </c>
      <c r="AG434" t="b">
        <f t="shared" si="350"/>
        <v>0</v>
      </c>
      <c r="AH434" t="b">
        <f t="shared" si="351"/>
        <v>0</v>
      </c>
      <c r="AJ434" t="b">
        <f t="shared" si="352"/>
        <v>0</v>
      </c>
      <c r="AK434" t="b">
        <f t="shared" si="353"/>
        <v>0</v>
      </c>
      <c r="AM434" t="str">
        <f>IF(ISBLANK('Dry_Litterbag Placem_Collection'!L213),"","G"&amp;""&amp;'Dry_Litterbag Placem_Collection'!L213)</f>
        <v>G434</v>
      </c>
      <c r="AN434" t="str">
        <f>IF(ISBLANK('Dry_Litterbag Placem_Collection'!M213),"","R"&amp;""&amp;'Dry_Litterbag Placem_Collection'!M213)</f>
        <v>R670</v>
      </c>
      <c r="AO434" t="b">
        <f t="shared" si="354"/>
        <v>0</v>
      </c>
      <c r="AP434" t="b">
        <f t="shared" si="355"/>
        <v>0</v>
      </c>
      <c r="AX434" s="388" t="b">
        <f t="shared" si="356"/>
        <v>0</v>
      </c>
      <c r="AY434" s="388" t="b">
        <f t="shared" si="357"/>
        <v>0</v>
      </c>
      <c r="BH434" t="str">
        <f t="shared" si="359"/>
        <v>G36</v>
      </c>
      <c r="BI434" t="str">
        <f t="shared" si="373"/>
        <v>G36</v>
      </c>
      <c r="BP434" t="str">
        <f t="shared" si="360"/>
        <v>R599</v>
      </c>
      <c r="BQ434" t="str">
        <f t="shared" si="361"/>
        <v>R599</v>
      </c>
      <c r="BZ434" t="str">
        <f t="shared" si="362"/>
        <v>G36</v>
      </c>
      <c r="CA434" t="b">
        <f t="shared" si="363"/>
        <v>0</v>
      </c>
      <c r="CB434" t="str">
        <f t="shared" si="374"/>
        <v>G36</v>
      </c>
      <c r="CC434" t="str">
        <f t="shared" si="364"/>
        <v>R599</v>
      </c>
      <c r="CD434" t="b">
        <f t="shared" si="375"/>
        <v>0</v>
      </c>
      <c r="CE434" t="str">
        <f t="shared" si="376"/>
        <v>R599</v>
      </c>
      <c r="CI434" t="str">
        <f t="shared" si="366"/>
        <v>G720</v>
      </c>
      <c r="CJ434" t="str">
        <f t="shared" si="367"/>
        <v>G720</v>
      </c>
      <c r="CQ434" t="str">
        <f t="shared" si="369"/>
        <v>R392</v>
      </c>
      <c r="CR434" t="str">
        <f t="shared" si="370"/>
        <v>R392</v>
      </c>
      <c r="DC434" t="str">
        <f t="shared" si="371"/>
        <v>G720</v>
      </c>
      <c r="DD434" t="b">
        <f t="shared" si="381"/>
        <v>0</v>
      </c>
      <c r="DE434" t="str">
        <f t="shared" si="382"/>
        <v>G720</v>
      </c>
      <c r="DF434" t="str">
        <f t="shared" si="372"/>
        <v>R392</v>
      </c>
      <c r="DG434" t="b">
        <f t="shared" si="383"/>
        <v>0</v>
      </c>
      <c r="DH434" t="str">
        <f t="shared" si="384"/>
        <v>R392</v>
      </c>
    </row>
    <row r="435" spans="2:112" ht="12" customHeight="1">
      <c r="B435" t="str">
        <f>TBIDry!H507</f>
        <v>G56</v>
      </c>
      <c r="C435" t="str">
        <f>TBIDry!I507</f>
        <v>R256</v>
      </c>
      <c r="D435" t="b">
        <f t="shared" si="341"/>
        <v>0</v>
      </c>
      <c r="E435" t="b">
        <f t="shared" si="342"/>
        <v>0</v>
      </c>
      <c r="G435" t="str">
        <f>TBIWet!H507</f>
        <v>G560</v>
      </c>
      <c r="H435" t="str">
        <f>TBIWet!I507</f>
        <v>R130</v>
      </c>
      <c r="I435" t="b">
        <f t="shared" si="343"/>
        <v>0</v>
      </c>
      <c r="J435" t="b">
        <f t="shared" si="344"/>
        <v>0</v>
      </c>
      <c r="Q435" s="388" t="b">
        <f t="shared" si="346"/>
        <v>0</v>
      </c>
      <c r="R435" s="388" t="b">
        <f t="shared" si="347"/>
        <v>0</v>
      </c>
      <c r="Y435" t="str">
        <f>'Green_rooibos initial weight'!A436</f>
        <v>G432</v>
      </c>
      <c r="Z435" t="str">
        <f>'Green_rooibos initial weight'!A1340</f>
        <v>R432</v>
      </c>
      <c r="AA435" t="b">
        <f t="shared" si="348"/>
        <v>0</v>
      </c>
      <c r="AB435" t="b">
        <f t="shared" si="349"/>
        <v>0</v>
      </c>
      <c r="AE435" t="str">
        <f>'WetLitterbags placem_collection'!O214</f>
        <v>G560</v>
      </c>
      <c r="AF435" t="str">
        <f>'WetLitterbags placem_collection'!Q214</f>
        <v>R130</v>
      </c>
      <c r="AG435" t="b">
        <f t="shared" si="350"/>
        <v>0</v>
      </c>
      <c r="AH435" t="b">
        <f t="shared" si="351"/>
        <v>0</v>
      </c>
      <c r="AJ435" t="b">
        <f t="shared" si="352"/>
        <v>0</v>
      </c>
      <c r="AK435" t="b">
        <f t="shared" si="353"/>
        <v>0</v>
      </c>
      <c r="AM435" t="str">
        <f>IF(ISBLANK('Dry_Litterbag Placem_Collection'!L214),"","G"&amp;""&amp;'Dry_Litterbag Placem_Collection'!L214)</f>
        <v>G56</v>
      </c>
      <c r="AN435" t="str">
        <f>IF(ISBLANK('Dry_Litterbag Placem_Collection'!M214),"","R"&amp;""&amp;'Dry_Litterbag Placem_Collection'!M214)</f>
        <v>R256</v>
      </c>
      <c r="AO435" t="b">
        <f t="shared" si="354"/>
        <v>0</v>
      </c>
      <c r="AP435" t="b">
        <f t="shared" si="355"/>
        <v>0</v>
      </c>
      <c r="AX435" s="388" t="b">
        <f t="shared" si="356"/>
        <v>0</v>
      </c>
      <c r="AY435" s="388" t="b">
        <f t="shared" si="357"/>
        <v>0</v>
      </c>
      <c r="BH435" t="str">
        <f t="shared" si="359"/>
        <v>G434</v>
      </c>
      <c r="BI435" t="str">
        <f t="shared" si="373"/>
        <v>G434</v>
      </c>
      <c r="BP435" t="str">
        <f t="shared" si="360"/>
        <v>R670</v>
      </c>
      <c r="BQ435" t="str">
        <f t="shared" si="361"/>
        <v>R670</v>
      </c>
      <c r="BZ435" t="str">
        <f t="shared" si="362"/>
        <v>G434</v>
      </c>
      <c r="CA435" t="b">
        <f t="shared" si="363"/>
        <v>0</v>
      </c>
      <c r="CB435" t="str">
        <f t="shared" si="374"/>
        <v>G434</v>
      </c>
      <c r="CC435" t="str">
        <f t="shared" si="364"/>
        <v>R670</v>
      </c>
      <c r="CD435" t="b">
        <f t="shared" si="375"/>
        <v>0</v>
      </c>
      <c r="CE435" t="str">
        <f t="shared" si="376"/>
        <v>R670</v>
      </c>
      <c r="CI435" t="str">
        <f t="shared" si="366"/>
        <v>G796</v>
      </c>
      <c r="CJ435" t="str">
        <f t="shared" si="367"/>
        <v>G796</v>
      </c>
      <c r="CQ435" t="str">
        <f t="shared" si="369"/>
        <v>R589</v>
      </c>
      <c r="CR435" t="str">
        <f t="shared" si="370"/>
        <v>R589</v>
      </c>
      <c r="DC435" t="str">
        <f t="shared" si="371"/>
        <v>G796</v>
      </c>
      <c r="DD435" t="b">
        <f t="shared" si="381"/>
        <v>0</v>
      </c>
      <c r="DE435" t="str">
        <f t="shared" si="382"/>
        <v>G796</v>
      </c>
      <c r="DF435" t="str">
        <f t="shared" si="372"/>
        <v>R589</v>
      </c>
      <c r="DG435" t="b">
        <f t="shared" si="383"/>
        <v>0</v>
      </c>
      <c r="DH435" t="str">
        <f t="shared" si="384"/>
        <v>R589</v>
      </c>
    </row>
    <row r="436" spans="2:112" ht="12" customHeight="1">
      <c r="B436" t="str">
        <f>TBIDry!H508</f>
        <v>G363</v>
      </c>
      <c r="C436" t="str">
        <f>TBIDry!I508</f>
        <v>R658</v>
      </c>
      <c r="D436" t="b">
        <f t="shared" si="341"/>
        <v>0</v>
      </c>
      <c r="E436" t="b">
        <f t="shared" si="342"/>
        <v>0</v>
      </c>
      <c r="G436" t="str">
        <f>TBIWet!H508</f>
        <v>G716</v>
      </c>
      <c r="H436" t="str">
        <f>TBIWet!I508</f>
        <v>R111</v>
      </c>
      <c r="I436" t="b">
        <f t="shared" si="343"/>
        <v>0</v>
      </c>
      <c r="J436" t="b">
        <f t="shared" si="344"/>
        <v>0</v>
      </c>
      <c r="Q436" s="388" t="b">
        <f t="shared" si="346"/>
        <v>0</v>
      </c>
      <c r="R436" s="388" t="b">
        <f t="shared" si="347"/>
        <v>0</v>
      </c>
      <c r="Y436" t="str">
        <f>'Green_rooibos initial weight'!A437</f>
        <v>G433</v>
      </c>
      <c r="Z436" t="str">
        <f>'Green_rooibos initial weight'!A1341</f>
        <v>R433</v>
      </c>
      <c r="AA436" t="b">
        <f t="shared" si="348"/>
        <v>0</v>
      </c>
      <c r="AB436" t="b">
        <f t="shared" si="349"/>
        <v>0</v>
      </c>
      <c r="AE436" t="str">
        <f>'WetLitterbags placem_collection'!O215</f>
        <v>G716</v>
      </c>
      <c r="AF436" t="str">
        <f>'WetLitterbags placem_collection'!Q215</f>
        <v>R111</v>
      </c>
      <c r="AG436" t="b">
        <f t="shared" si="350"/>
        <v>0</v>
      </c>
      <c r="AH436" t="b">
        <f t="shared" si="351"/>
        <v>0</v>
      </c>
      <c r="AJ436" t="b">
        <f t="shared" si="352"/>
        <v>0</v>
      </c>
      <c r="AK436" t="b">
        <f t="shared" si="353"/>
        <v>0</v>
      </c>
      <c r="AM436" t="str">
        <f>IF(ISBLANK('Dry_Litterbag Placem_Collection'!L215),"","G"&amp;""&amp;'Dry_Litterbag Placem_Collection'!L215)</f>
        <v>G363</v>
      </c>
      <c r="AN436" t="str">
        <f>IF(ISBLANK('Dry_Litterbag Placem_Collection'!M215),"","R"&amp;""&amp;'Dry_Litterbag Placem_Collection'!M215)</f>
        <v>R658</v>
      </c>
      <c r="AO436" t="b">
        <f t="shared" si="354"/>
        <v>0</v>
      </c>
      <c r="AP436" t="b">
        <f t="shared" si="355"/>
        <v>0</v>
      </c>
      <c r="AX436" s="388" t="b">
        <f t="shared" si="356"/>
        <v>0</v>
      </c>
      <c r="AY436" s="388" t="b">
        <f t="shared" si="357"/>
        <v>0</v>
      </c>
      <c r="BH436" t="str">
        <f t="shared" si="359"/>
        <v>G56</v>
      </c>
      <c r="BI436" t="str">
        <f t="shared" si="373"/>
        <v>G56</v>
      </c>
      <c r="BP436" t="str">
        <f t="shared" si="360"/>
        <v>R256</v>
      </c>
      <c r="BQ436" t="str">
        <f t="shared" si="361"/>
        <v>R256</v>
      </c>
      <c r="BZ436" t="str">
        <f t="shared" si="362"/>
        <v>G56</v>
      </c>
      <c r="CA436" t="b">
        <f t="shared" si="363"/>
        <v>0</v>
      </c>
      <c r="CB436" t="str">
        <f t="shared" si="374"/>
        <v>G56</v>
      </c>
      <c r="CC436" t="str">
        <f t="shared" si="364"/>
        <v>R256</v>
      </c>
      <c r="CD436" t="b">
        <f t="shared" si="375"/>
        <v>0</v>
      </c>
      <c r="CE436" t="str">
        <f t="shared" si="376"/>
        <v>R256</v>
      </c>
      <c r="CI436" t="str">
        <f t="shared" si="366"/>
        <v>G560</v>
      </c>
      <c r="CJ436" t="str">
        <f t="shared" si="367"/>
        <v>G560</v>
      </c>
      <c r="CQ436" t="str">
        <f t="shared" si="369"/>
        <v>R130</v>
      </c>
      <c r="CR436" t="str">
        <f t="shared" si="370"/>
        <v>R130</v>
      </c>
      <c r="DC436" t="str">
        <f t="shared" si="371"/>
        <v>G560</v>
      </c>
      <c r="DD436" t="b">
        <f t="shared" si="381"/>
        <v>0</v>
      </c>
      <c r="DE436" t="str">
        <f t="shared" si="382"/>
        <v>G560</v>
      </c>
      <c r="DF436" t="str">
        <f t="shared" si="372"/>
        <v>R130</v>
      </c>
      <c r="DG436" t="b">
        <f t="shared" si="383"/>
        <v>0</v>
      </c>
      <c r="DH436" t="str">
        <f t="shared" si="384"/>
        <v>R130</v>
      </c>
    </row>
    <row r="437" spans="2:112" ht="12" customHeight="1">
      <c r="B437" t="str">
        <f>TBIDry!H509</f>
        <v>G5</v>
      </c>
      <c r="C437" t="str">
        <f>TBIDry!I509</f>
        <v>R699</v>
      </c>
      <c r="D437" t="b">
        <f t="shared" si="341"/>
        <v>0</v>
      </c>
      <c r="E437" t="b">
        <f t="shared" si="342"/>
        <v>0</v>
      </c>
      <c r="G437" t="str">
        <f>TBIWet!H509</f>
        <v>G581</v>
      </c>
      <c r="H437" t="str">
        <f>TBIWet!I509</f>
        <v>R412</v>
      </c>
      <c r="I437" t="b">
        <f t="shared" si="343"/>
        <v>0</v>
      </c>
      <c r="J437" t="b">
        <f t="shared" si="344"/>
        <v>0</v>
      </c>
      <c r="Q437" s="388" t="b">
        <f t="shared" si="346"/>
        <v>0</v>
      </c>
      <c r="R437" s="388" t="b">
        <f t="shared" si="347"/>
        <v>0</v>
      </c>
      <c r="Y437" t="str">
        <f>'Green_rooibos initial weight'!A438</f>
        <v>G434</v>
      </c>
      <c r="Z437" t="str">
        <f>'Green_rooibos initial weight'!A1342</f>
        <v>R434</v>
      </c>
      <c r="AA437" t="b">
        <f t="shared" si="348"/>
        <v>0</v>
      </c>
      <c r="AB437" t="b">
        <f t="shared" si="349"/>
        <v>0</v>
      </c>
      <c r="AE437" t="str">
        <f>'WetLitterbags placem_collection'!O216</f>
        <v>G581</v>
      </c>
      <c r="AF437" t="str">
        <f>'WetLitterbags placem_collection'!Q216</f>
        <v>R412</v>
      </c>
      <c r="AG437" t="b">
        <f t="shared" si="350"/>
        <v>0</v>
      </c>
      <c r="AH437" t="b">
        <f t="shared" si="351"/>
        <v>0</v>
      </c>
      <c r="AJ437" t="b">
        <f t="shared" si="352"/>
        <v>0</v>
      </c>
      <c r="AK437" t="b">
        <f t="shared" si="353"/>
        <v>0</v>
      </c>
      <c r="AM437" t="str">
        <f>IF(ISBLANK('Dry_Litterbag Placem_Collection'!L216),"","G"&amp;""&amp;'Dry_Litterbag Placem_Collection'!L216)</f>
        <v>G5</v>
      </c>
      <c r="AN437" t="str">
        <f>IF(ISBLANK('Dry_Litterbag Placem_Collection'!M216),"","R"&amp;""&amp;'Dry_Litterbag Placem_Collection'!M216)</f>
        <v>R699</v>
      </c>
      <c r="AO437" t="b">
        <f t="shared" si="354"/>
        <v>0</v>
      </c>
      <c r="AP437" t="b">
        <f t="shared" si="355"/>
        <v>0</v>
      </c>
      <c r="AX437" s="388" t="b">
        <f t="shared" si="356"/>
        <v>0</v>
      </c>
      <c r="AY437" s="388" t="b">
        <f t="shared" si="357"/>
        <v>0</v>
      </c>
      <c r="BH437" t="str">
        <f t="shared" si="359"/>
        <v>G363</v>
      </c>
      <c r="BI437" t="str">
        <f t="shared" si="373"/>
        <v>G363</v>
      </c>
      <c r="BP437" t="str">
        <f t="shared" si="360"/>
        <v>R658</v>
      </c>
      <c r="BQ437" t="str">
        <f t="shared" si="361"/>
        <v>R658</v>
      </c>
      <c r="BZ437" t="str">
        <f t="shared" si="362"/>
        <v>G363</v>
      </c>
      <c r="CA437" t="b">
        <f t="shared" si="363"/>
        <v>0</v>
      </c>
      <c r="CB437" t="str">
        <f t="shared" si="374"/>
        <v>G363</v>
      </c>
      <c r="CC437" t="str">
        <f t="shared" si="364"/>
        <v>R658</v>
      </c>
      <c r="CD437" t="b">
        <f t="shared" si="375"/>
        <v>0</v>
      </c>
      <c r="CE437" t="str">
        <f t="shared" si="376"/>
        <v>R658</v>
      </c>
      <c r="CI437" t="str">
        <f t="shared" si="366"/>
        <v>G716</v>
      </c>
      <c r="CJ437" t="str">
        <f t="shared" si="367"/>
        <v>G716</v>
      </c>
      <c r="CQ437" t="str">
        <f t="shared" si="369"/>
        <v>R111</v>
      </c>
      <c r="CR437" t="str">
        <f t="shared" si="370"/>
        <v>R111</v>
      </c>
      <c r="DC437" t="str">
        <f t="shared" si="371"/>
        <v>G716</v>
      </c>
      <c r="DD437" t="b">
        <f t="shared" si="381"/>
        <v>0</v>
      </c>
      <c r="DE437" t="str">
        <f t="shared" si="382"/>
        <v>G716</v>
      </c>
      <c r="DF437" t="str">
        <f t="shared" si="372"/>
        <v>R111</v>
      </c>
      <c r="DG437" t="b">
        <f t="shared" si="383"/>
        <v>0</v>
      </c>
      <c r="DH437" t="str">
        <f t="shared" si="384"/>
        <v>R111</v>
      </c>
    </row>
    <row r="438" spans="2:112" ht="12" customHeight="1">
      <c r="B438" t="str">
        <f>TBIDry!H510</f>
        <v>G771</v>
      </c>
      <c r="C438" t="str">
        <f>TBIDry!I510</f>
        <v>R663</v>
      </c>
      <c r="D438" t="b">
        <f t="shared" si="341"/>
        <v>0</v>
      </c>
      <c r="E438" t="b">
        <f t="shared" si="342"/>
        <v>0</v>
      </c>
      <c r="G438" t="str">
        <f>TBIWet!H510</f>
        <v>G718</v>
      </c>
      <c r="H438" t="str">
        <f>TBIWet!I510</f>
        <v>R434</v>
      </c>
      <c r="I438" t="b">
        <f t="shared" si="343"/>
        <v>0</v>
      </c>
      <c r="J438" t="b">
        <f t="shared" si="344"/>
        <v>0</v>
      </c>
      <c r="Q438" s="388" t="b">
        <f t="shared" si="346"/>
        <v>0</v>
      </c>
      <c r="R438" s="388" t="b">
        <f t="shared" si="347"/>
        <v>0</v>
      </c>
      <c r="Y438" t="str">
        <f>'Green_rooibos initial weight'!A439</f>
        <v>G435</v>
      </c>
      <c r="Z438" t="str">
        <f>'Green_rooibos initial weight'!A1343</f>
        <v>R435</v>
      </c>
      <c r="AA438" t="b">
        <f t="shared" si="348"/>
        <v>0</v>
      </c>
      <c r="AB438" t="b">
        <f t="shared" si="349"/>
        <v>0</v>
      </c>
      <c r="AE438" t="str">
        <f>'WetLitterbags placem_collection'!O217</f>
        <v>G718</v>
      </c>
      <c r="AF438" t="str">
        <f>'WetLitterbags placem_collection'!Q217</f>
        <v>R434</v>
      </c>
      <c r="AG438" t="b">
        <f t="shared" si="350"/>
        <v>0</v>
      </c>
      <c r="AH438" t="b">
        <f t="shared" si="351"/>
        <v>0</v>
      </c>
      <c r="AJ438" t="b">
        <f t="shared" si="352"/>
        <v>0</v>
      </c>
      <c r="AK438" t="b">
        <f t="shared" si="353"/>
        <v>0</v>
      </c>
      <c r="AM438" t="str">
        <f>IF(ISBLANK('Dry_Litterbag Placem_Collection'!L217),"","G"&amp;""&amp;'Dry_Litterbag Placem_Collection'!L217)</f>
        <v>G771</v>
      </c>
      <c r="AN438" t="str">
        <f>IF(ISBLANK('Dry_Litterbag Placem_Collection'!M217),"","R"&amp;""&amp;'Dry_Litterbag Placem_Collection'!M217)</f>
        <v>R663</v>
      </c>
      <c r="AO438" t="b">
        <f t="shared" si="354"/>
        <v>0</v>
      </c>
      <c r="AP438" t="b">
        <f t="shared" si="355"/>
        <v>0</v>
      </c>
      <c r="AX438" s="388" t="b">
        <f t="shared" si="356"/>
        <v>0</v>
      </c>
      <c r="AY438" s="388" t="b">
        <f t="shared" si="357"/>
        <v>0</v>
      </c>
      <c r="BH438" t="str">
        <f t="shared" si="359"/>
        <v>G5</v>
      </c>
      <c r="BI438" t="str">
        <f t="shared" si="373"/>
        <v>G5</v>
      </c>
      <c r="BP438" t="str">
        <f t="shared" si="360"/>
        <v>R699</v>
      </c>
      <c r="BQ438" t="str">
        <f t="shared" si="361"/>
        <v>R699</v>
      </c>
      <c r="BZ438" t="str">
        <f t="shared" si="362"/>
        <v>G5</v>
      </c>
      <c r="CA438" t="b">
        <f t="shared" si="363"/>
        <v>0</v>
      </c>
      <c r="CB438" t="str">
        <f t="shared" si="374"/>
        <v>G5</v>
      </c>
      <c r="CC438" t="str">
        <f t="shared" si="364"/>
        <v>R699</v>
      </c>
      <c r="CD438" t="b">
        <f t="shared" si="375"/>
        <v>0</v>
      </c>
      <c r="CE438" t="str">
        <f t="shared" si="376"/>
        <v>R699</v>
      </c>
      <c r="CI438" t="str">
        <f t="shared" si="366"/>
        <v>G581</v>
      </c>
      <c r="CJ438" t="str">
        <f t="shared" si="367"/>
        <v>G581</v>
      </c>
      <c r="CQ438" t="str">
        <f t="shared" si="369"/>
        <v>R412</v>
      </c>
      <c r="CR438" t="str">
        <f t="shared" si="370"/>
        <v>R412</v>
      </c>
      <c r="DC438" t="str">
        <f t="shared" si="371"/>
        <v>G581</v>
      </c>
      <c r="DD438" t="b">
        <f t="shared" si="381"/>
        <v>0</v>
      </c>
      <c r="DE438" t="str">
        <f t="shared" si="382"/>
        <v>G581</v>
      </c>
      <c r="DF438" t="str">
        <f t="shared" si="372"/>
        <v>R412</v>
      </c>
      <c r="DG438" t="b">
        <f t="shared" si="383"/>
        <v>0</v>
      </c>
      <c r="DH438" t="str">
        <f t="shared" si="384"/>
        <v>R412</v>
      </c>
    </row>
    <row r="439" spans="2:112" ht="12" customHeight="1">
      <c r="B439" t="str">
        <f>TBIDry!H511</f>
        <v>G361</v>
      </c>
      <c r="C439" t="str">
        <f>TBIDry!I511</f>
        <v>R622</v>
      </c>
      <c r="D439" t="b">
        <f t="shared" si="341"/>
        <v>0</v>
      </c>
      <c r="E439" t="b">
        <f t="shared" si="342"/>
        <v>0</v>
      </c>
      <c r="G439" t="str">
        <f>TBIWet!H511</f>
        <v>G613</v>
      </c>
      <c r="H439" t="str">
        <f>TBIWet!I511</f>
        <v>R457</v>
      </c>
      <c r="I439" t="b">
        <f t="shared" si="343"/>
        <v>0</v>
      </c>
      <c r="J439" t="b">
        <f t="shared" si="344"/>
        <v>0</v>
      </c>
      <c r="Q439" s="388" t="b">
        <f t="shared" si="346"/>
        <v>0</v>
      </c>
      <c r="R439" s="388" t="b">
        <f t="shared" si="347"/>
        <v>0</v>
      </c>
      <c r="Y439" t="str">
        <f>'Green_rooibos initial weight'!A440</f>
        <v>G436</v>
      </c>
      <c r="Z439" t="str">
        <f>'Green_rooibos initial weight'!A1344</f>
        <v>R436</v>
      </c>
      <c r="AA439" t="b">
        <f t="shared" si="348"/>
        <v>0</v>
      </c>
      <c r="AB439" t="b">
        <f t="shared" si="349"/>
        <v>0</v>
      </c>
      <c r="AE439" t="str">
        <f>'WetLitterbags placem_collection'!O218</f>
        <v>G613</v>
      </c>
      <c r="AF439" t="str">
        <f>'WetLitterbags placem_collection'!Q218</f>
        <v>R457</v>
      </c>
      <c r="AG439" t="b">
        <f t="shared" si="350"/>
        <v>0</v>
      </c>
      <c r="AH439" t="b">
        <f t="shared" si="351"/>
        <v>0</v>
      </c>
      <c r="AJ439" t="b">
        <f t="shared" si="352"/>
        <v>0</v>
      </c>
      <c r="AK439" t="b">
        <f t="shared" si="353"/>
        <v>0</v>
      </c>
      <c r="AM439" t="str">
        <f>IF(ISBLANK('Dry_Litterbag Placem_Collection'!L218),"","G"&amp;""&amp;'Dry_Litterbag Placem_Collection'!L218)</f>
        <v>G361</v>
      </c>
      <c r="AN439" t="str">
        <f>IF(ISBLANK('Dry_Litterbag Placem_Collection'!M218),"","R"&amp;""&amp;'Dry_Litterbag Placem_Collection'!M218)</f>
        <v>R622</v>
      </c>
      <c r="AO439" t="b">
        <f t="shared" si="354"/>
        <v>0</v>
      </c>
      <c r="AP439" t="b">
        <f t="shared" si="355"/>
        <v>0</v>
      </c>
      <c r="AX439" s="388" t="b">
        <f t="shared" si="356"/>
        <v>0</v>
      </c>
      <c r="AY439" s="388" t="b">
        <f t="shared" si="357"/>
        <v>0</v>
      </c>
      <c r="BH439" t="str">
        <f t="shared" si="359"/>
        <v>G771</v>
      </c>
      <c r="BI439" t="str">
        <f t="shared" si="373"/>
        <v>G771</v>
      </c>
      <c r="BP439" t="str">
        <f t="shared" si="360"/>
        <v>R663</v>
      </c>
      <c r="BQ439" t="str">
        <f t="shared" si="361"/>
        <v>R663</v>
      </c>
      <c r="BZ439" t="str">
        <f t="shared" si="362"/>
        <v>G771</v>
      </c>
      <c r="CA439" t="b">
        <f t="shared" si="363"/>
        <v>0</v>
      </c>
      <c r="CB439" t="str">
        <f t="shared" si="374"/>
        <v>G771</v>
      </c>
      <c r="CC439" t="str">
        <f t="shared" si="364"/>
        <v>R663</v>
      </c>
      <c r="CD439" t="b">
        <f t="shared" si="375"/>
        <v>0</v>
      </c>
      <c r="CE439" t="str">
        <f t="shared" si="376"/>
        <v>R663</v>
      </c>
      <c r="CI439" t="str">
        <f t="shared" si="366"/>
        <v>G718</v>
      </c>
      <c r="CJ439" t="str">
        <f t="shared" si="367"/>
        <v>G718</v>
      </c>
      <c r="CQ439" t="str">
        <f t="shared" si="369"/>
        <v>R434</v>
      </c>
      <c r="CR439" t="str">
        <f t="shared" si="370"/>
        <v>R434</v>
      </c>
      <c r="DC439" t="str">
        <f t="shared" si="371"/>
        <v>G718</v>
      </c>
      <c r="DD439" t="b">
        <f t="shared" si="381"/>
        <v>0</v>
      </c>
      <c r="DE439" t="str">
        <f t="shared" si="382"/>
        <v>G718</v>
      </c>
      <c r="DF439" t="str">
        <f t="shared" si="372"/>
        <v>R434</v>
      </c>
      <c r="DG439" t="b">
        <f t="shared" si="383"/>
        <v>0</v>
      </c>
      <c r="DH439" t="str">
        <f t="shared" si="384"/>
        <v>R434</v>
      </c>
    </row>
    <row r="440" spans="2:112" ht="12" customHeight="1">
      <c r="B440" t="str">
        <f>TBIDry!H512</f>
        <v>G204</v>
      </c>
      <c r="C440" t="str">
        <f>TBIDry!I512</f>
        <v>R608</v>
      </c>
      <c r="D440" t="b">
        <f t="shared" si="341"/>
        <v>0</v>
      </c>
      <c r="E440" t="b">
        <f t="shared" si="342"/>
        <v>0</v>
      </c>
      <c r="G440" t="str">
        <f>TBIWet!H512</f>
        <v>G804</v>
      </c>
      <c r="H440" t="str">
        <f>TBIWet!I512</f>
        <v>R410</v>
      </c>
      <c r="I440" t="b">
        <f t="shared" si="343"/>
        <v>0</v>
      </c>
      <c r="J440" t="b">
        <f t="shared" si="344"/>
        <v>0</v>
      </c>
      <c r="Q440" s="388" t="b">
        <f t="shared" si="346"/>
        <v>0</v>
      </c>
      <c r="R440" s="388" t="b">
        <f t="shared" si="347"/>
        <v>0</v>
      </c>
      <c r="Y440" t="str">
        <f>'Green_rooibos initial weight'!A441</f>
        <v>G437</v>
      </c>
      <c r="Z440" t="str">
        <f>'Green_rooibos initial weight'!A1345</f>
        <v>R437</v>
      </c>
      <c r="AA440" t="b">
        <f t="shared" si="348"/>
        <v>0</v>
      </c>
      <c r="AB440" t="b">
        <f t="shared" si="349"/>
        <v>0</v>
      </c>
      <c r="AE440" t="str">
        <f>'WetLitterbags placem_collection'!O219</f>
        <v>G804</v>
      </c>
      <c r="AF440" t="str">
        <f>'WetLitterbags placem_collection'!Q219</f>
        <v>R410</v>
      </c>
      <c r="AG440" t="b">
        <f t="shared" si="350"/>
        <v>0</v>
      </c>
      <c r="AH440" t="b">
        <f t="shared" si="351"/>
        <v>0</v>
      </c>
      <c r="AJ440" t="b">
        <f t="shared" si="352"/>
        <v>0</v>
      </c>
      <c r="AK440" t="b">
        <f t="shared" si="353"/>
        <v>0</v>
      </c>
      <c r="AM440" t="str">
        <f>IF(ISBLANK('Dry_Litterbag Placem_Collection'!L219),"","G"&amp;""&amp;'Dry_Litterbag Placem_Collection'!L219)</f>
        <v>G204</v>
      </c>
      <c r="AN440" t="str">
        <f>IF(ISBLANK('Dry_Litterbag Placem_Collection'!M219),"","R"&amp;""&amp;'Dry_Litterbag Placem_Collection'!M219)</f>
        <v>R608</v>
      </c>
      <c r="AO440" t="b">
        <f t="shared" si="354"/>
        <v>0</v>
      </c>
      <c r="AP440" t="b">
        <f t="shared" si="355"/>
        <v>0</v>
      </c>
      <c r="AX440" s="388" t="b">
        <f t="shared" si="356"/>
        <v>0</v>
      </c>
      <c r="AY440" s="388" t="b">
        <f t="shared" si="357"/>
        <v>0</v>
      </c>
      <c r="BH440" t="str">
        <f t="shared" si="359"/>
        <v>G361</v>
      </c>
      <c r="BI440" t="str">
        <f t="shared" si="373"/>
        <v>G361</v>
      </c>
      <c r="BP440" t="str">
        <f t="shared" si="360"/>
        <v>R622</v>
      </c>
      <c r="BQ440" t="str">
        <f t="shared" si="361"/>
        <v>R622</v>
      </c>
      <c r="BZ440" t="str">
        <f t="shared" si="362"/>
        <v>G361</v>
      </c>
      <c r="CA440" t="b">
        <f t="shared" si="363"/>
        <v>0</v>
      </c>
      <c r="CB440" t="str">
        <f t="shared" si="374"/>
        <v>G361</v>
      </c>
      <c r="CC440" t="str">
        <f t="shared" si="364"/>
        <v>R622</v>
      </c>
      <c r="CD440" t="b">
        <f t="shared" si="375"/>
        <v>0</v>
      </c>
      <c r="CE440" t="str">
        <f t="shared" si="376"/>
        <v>R622</v>
      </c>
      <c r="CI440" t="str">
        <f t="shared" si="366"/>
        <v>G613</v>
      </c>
      <c r="CJ440" t="str">
        <f t="shared" si="367"/>
        <v>G613</v>
      </c>
      <c r="CQ440" t="str">
        <f t="shared" si="369"/>
        <v>R457</v>
      </c>
      <c r="CR440" t="str">
        <f t="shared" si="370"/>
        <v>R457</v>
      </c>
      <c r="DC440" t="str">
        <f t="shared" si="371"/>
        <v>G613</v>
      </c>
      <c r="DD440" t="b">
        <f t="shared" si="381"/>
        <v>0</v>
      </c>
      <c r="DE440" t="str">
        <f t="shared" si="382"/>
        <v>G613</v>
      </c>
      <c r="DF440" t="str">
        <f t="shared" si="372"/>
        <v>R457</v>
      </c>
      <c r="DG440" t="b">
        <f t="shared" si="383"/>
        <v>0</v>
      </c>
      <c r="DH440" t="str">
        <f t="shared" si="384"/>
        <v>R457</v>
      </c>
    </row>
    <row r="441" spans="2:112" ht="12" customHeight="1">
      <c r="B441" t="str">
        <f>TBIDry!H513</f>
        <v>G170</v>
      </c>
      <c r="C441" t="str">
        <f>TBIDry!I513</f>
        <v>R639</v>
      </c>
      <c r="D441" t="b">
        <f t="shared" si="341"/>
        <v>0</v>
      </c>
      <c r="E441" t="b">
        <f t="shared" si="342"/>
        <v>0</v>
      </c>
      <c r="G441" t="str">
        <f>TBIWet!H513</f>
        <v>G587</v>
      </c>
      <c r="H441" t="str">
        <f>TBIWet!I513</f>
        <v>R103</v>
      </c>
      <c r="I441" t="b">
        <f t="shared" si="343"/>
        <v>0</v>
      </c>
      <c r="J441" t="b">
        <f t="shared" si="344"/>
        <v>0</v>
      </c>
      <c r="Q441" s="388" t="b">
        <f t="shared" si="346"/>
        <v>0</v>
      </c>
      <c r="R441" s="388" t="b">
        <f t="shared" si="347"/>
        <v>0</v>
      </c>
      <c r="Y441" t="str">
        <f>'Green_rooibos initial weight'!A442</f>
        <v>G438</v>
      </c>
      <c r="Z441" t="str">
        <f>'Green_rooibos initial weight'!A1346</f>
        <v>R438</v>
      </c>
      <c r="AA441" t="b">
        <f t="shared" si="348"/>
        <v>0</v>
      </c>
      <c r="AB441" t="b">
        <f t="shared" si="349"/>
        <v>0</v>
      </c>
      <c r="AE441" t="str">
        <f>'WetLitterbags placem_collection'!O220</f>
        <v>G587</v>
      </c>
      <c r="AF441" t="str">
        <f>'WetLitterbags placem_collection'!Q220</f>
        <v>R103</v>
      </c>
      <c r="AG441" t="b">
        <f t="shared" si="350"/>
        <v>0</v>
      </c>
      <c r="AH441" t="b">
        <f t="shared" si="351"/>
        <v>0</v>
      </c>
      <c r="AJ441" t="b">
        <f t="shared" si="352"/>
        <v>0</v>
      </c>
      <c r="AK441" t="b">
        <f t="shared" si="353"/>
        <v>0</v>
      </c>
      <c r="AM441" t="str">
        <f>IF(ISBLANK('Dry_Litterbag Placem_Collection'!L220),"","G"&amp;""&amp;'Dry_Litterbag Placem_Collection'!L220)</f>
        <v>G170</v>
      </c>
      <c r="AN441" t="str">
        <f>IF(ISBLANK('Dry_Litterbag Placem_Collection'!M220),"","R"&amp;""&amp;'Dry_Litterbag Placem_Collection'!M220)</f>
        <v>R639</v>
      </c>
      <c r="AO441" t="b">
        <f t="shared" si="354"/>
        <v>0</v>
      </c>
      <c r="AP441" t="b">
        <f t="shared" si="355"/>
        <v>0</v>
      </c>
      <c r="AX441" s="388" t="b">
        <f t="shared" si="356"/>
        <v>0</v>
      </c>
      <c r="AY441" s="388" t="b">
        <f t="shared" si="357"/>
        <v>0</v>
      </c>
      <c r="BH441" t="str">
        <f t="shared" si="359"/>
        <v>G204</v>
      </c>
      <c r="BI441" t="str">
        <f t="shared" si="373"/>
        <v>G204</v>
      </c>
      <c r="BP441" t="str">
        <f t="shared" si="360"/>
        <v>R608</v>
      </c>
      <c r="BQ441" t="str">
        <f t="shared" si="361"/>
        <v>R608</v>
      </c>
      <c r="BZ441" t="str">
        <f t="shared" si="362"/>
        <v>G204</v>
      </c>
      <c r="CA441" t="b">
        <f t="shared" si="363"/>
        <v>0</v>
      </c>
      <c r="CB441" t="str">
        <f t="shared" si="374"/>
        <v>G204</v>
      </c>
      <c r="CC441" t="str">
        <f t="shared" si="364"/>
        <v>R608</v>
      </c>
      <c r="CD441" t="b">
        <f t="shared" si="375"/>
        <v>0</v>
      </c>
      <c r="CE441" t="str">
        <f t="shared" si="376"/>
        <v>R608</v>
      </c>
      <c r="CI441" t="str">
        <f t="shared" si="366"/>
        <v>G804</v>
      </c>
      <c r="CJ441" t="str">
        <f t="shared" si="367"/>
        <v>G804</v>
      </c>
      <c r="CQ441" t="str">
        <f t="shared" si="369"/>
        <v>R410</v>
      </c>
      <c r="CR441" t="str">
        <f t="shared" si="370"/>
        <v>R410</v>
      </c>
      <c r="DC441" t="str">
        <f t="shared" si="371"/>
        <v>G804</v>
      </c>
      <c r="DD441" t="b">
        <f t="shared" si="381"/>
        <v>0</v>
      </c>
      <c r="DE441" t="str">
        <f t="shared" si="382"/>
        <v>G804</v>
      </c>
      <c r="DF441" t="str">
        <f t="shared" si="372"/>
        <v>R410</v>
      </c>
      <c r="DG441" t="b">
        <f t="shared" si="383"/>
        <v>0</v>
      </c>
      <c r="DH441" t="str">
        <f t="shared" si="384"/>
        <v>R410</v>
      </c>
    </row>
    <row r="442" spans="2:112" ht="12" customHeight="1">
      <c r="B442" t="str">
        <f>TBIDry!H514</f>
        <v>G123</v>
      </c>
      <c r="C442" t="str">
        <f>TBIDry!I514</f>
        <v>R246</v>
      </c>
      <c r="D442" t="b">
        <f t="shared" si="341"/>
        <v>0</v>
      </c>
      <c r="E442" t="b">
        <f t="shared" si="342"/>
        <v>0</v>
      </c>
      <c r="G442" t="str">
        <f>TBIWet!H514</f>
        <v>G491</v>
      </c>
      <c r="H442" t="str">
        <f>TBIWet!I514</f>
        <v>R356</v>
      </c>
      <c r="I442" t="b">
        <f t="shared" si="343"/>
        <v>0</v>
      </c>
      <c r="J442" t="b">
        <f t="shared" si="344"/>
        <v>0</v>
      </c>
      <c r="Q442" s="388" t="b">
        <f t="shared" si="346"/>
        <v>0</v>
      </c>
      <c r="R442" s="388" t="b">
        <f t="shared" si="347"/>
        <v>0</v>
      </c>
      <c r="Y442" t="str">
        <f>'Green_rooibos initial weight'!A443</f>
        <v>G439</v>
      </c>
      <c r="Z442" t="str">
        <f>'Green_rooibos initial weight'!A1347</f>
        <v>R439</v>
      </c>
      <c r="AA442" t="b">
        <f t="shared" si="348"/>
        <v>0</v>
      </c>
      <c r="AB442" t="b">
        <f t="shared" si="349"/>
        <v>0</v>
      </c>
      <c r="AE442" t="str">
        <f>'WetLitterbags placem_collection'!O221</f>
        <v>G491</v>
      </c>
      <c r="AF442" t="str">
        <f>'WetLitterbags placem_collection'!Q221</f>
        <v>R356</v>
      </c>
      <c r="AG442" t="b">
        <f t="shared" si="350"/>
        <v>0</v>
      </c>
      <c r="AH442" t="b">
        <f t="shared" si="351"/>
        <v>0</v>
      </c>
      <c r="AJ442" t="b">
        <f t="shared" si="352"/>
        <v>0</v>
      </c>
      <c r="AK442" t="b">
        <f t="shared" si="353"/>
        <v>0</v>
      </c>
      <c r="AM442" t="str">
        <f>IF(ISBLANK('Dry_Litterbag Placem_Collection'!L221),"","G"&amp;""&amp;'Dry_Litterbag Placem_Collection'!L221)</f>
        <v>G123</v>
      </c>
      <c r="AN442" t="str">
        <f>IF(ISBLANK('Dry_Litterbag Placem_Collection'!M221),"","R"&amp;""&amp;'Dry_Litterbag Placem_Collection'!M221)</f>
        <v>R246</v>
      </c>
      <c r="AO442" t="b">
        <f t="shared" si="354"/>
        <v>0</v>
      </c>
      <c r="AP442" t="b">
        <f t="shared" si="355"/>
        <v>0</v>
      </c>
      <c r="AX442" s="388" t="b">
        <f t="shared" si="356"/>
        <v>0</v>
      </c>
      <c r="AY442" s="388" t="b">
        <f t="shared" si="357"/>
        <v>0</v>
      </c>
      <c r="BH442" t="str">
        <f t="shared" si="359"/>
        <v>G170</v>
      </c>
      <c r="BI442" t="str">
        <f t="shared" si="373"/>
        <v>G170</v>
      </c>
      <c r="BP442" t="str">
        <f t="shared" si="360"/>
        <v>R639</v>
      </c>
      <c r="BQ442" t="str">
        <f t="shared" si="361"/>
        <v>R639</v>
      </c>
      <c r="BZ442" t="str">
        <f t="shared" si="362"/>
        <v>G170</v>
      </c>
      <c r="CA442" t="b">
        <f t="shared" si="363"/>
        <v>0</v>
      </c>
      <c r="CB442" t="str">
        <f t="shared" si="374"/>
        <v>G170</v>
      </c>
      <c r="CC442" t="str">
        <f t="shared" si="364"/>
        <v>R639</v>
      </c>
      <c r="CD442" t="b">
        <f t="shared" si="375"/>
        <v>0</v>
      </c>
      <c r="CE442" t="str">
        <f t="shared" si="376"/>
        <v>R639</v>
      </c>
      <c r="CI442" t="str">
        <f t="shared" si="366"/>
        <v>G587</v>
      </c>
      <c r="CJ442" t="str">
        <f t="shared" si="367"/>
        <v>G587</v>
      </c>
      <c r="CQ442" t="str">
        <f t="shared" si="369"/>
        <v>R103</v>
      </c>
      <c r="CR442" t="str">
        <f t="shared" si="370"/>
        <v>R103</v>
      </c>
      <c r="DC442" t="str">
        <f t="shared" si="371"/>
        <v>G587</v>
      </c>
      <c r="DD442" t="b">
        <f t="shared" si="381"/>
        <v>0</v>
      </c>
      <c r="DE442" t="str">
        <f t="shared" si="382"/>
        <v>G587</v>
      </c>
      <c r="DF442" t="str">
        <f t="shared" si="372"/>
        <v>R103</v>
      </c>
      <c r="DG442" t="b">
        <f t="shared" si="383"/>
        <v>0</v>
      </c>
      <c r="DH442" t="str">
        <f t="shared" si="384"/>
        <v>R103</v>
      </c>
    </row>
    <row r="443" spans="2:112" ht="12" customHeight="1">
      <c r="B443" t="str">
        <f>TBIDry!H515</f>
        <v>G53</v>
      </c>
      <c r="C443" t="str">
        <f>TBIDry!I515</f>
        <v>R672</v>
      </c>
      <c r="D443" t="b">
        <f t="shared" si="341"/>
        <v>0</v>
      </c>
      <c r="E443" t="b">
        <f t="shared" si="342"/>
        <v>0</v>
      </c>
      <c r="G443" t="str">
        <f>TBIWet!H515</f>
        <v>G849</v>
      </c>
      <c r="H443" t="str">
        <f>TBIWet!I515</f>
        <v>R319</v>
      </c>
      <c r="I443" t="b">
        <f t="shared" si="343"/>
        <v>0</v>
      </c>
      <c r="J443" t="b">
        <f t="shared" si="344"/>
        <v>0</v>
      </c>
      <c r="Q443" s="388" t="b">
        <f t="shared" si="346"/>
        <v>0</v>
      </c>
      <c r="R443" s="388" t="b">
        <f t="shared" si="347"/>
        <v>0</v>
      </c>
      <c r="Y443" t="str">
        <f>'Green_rooibos initial weight'!A444</f>
        <v>G440</v>
      </c>
      <c r="Z443" t="str">
        <f>'Green_rooibos initial weight'!A1348</f>
        <v>R440</v>
      </c>
      <c r="AA443" t="b">
        <f t="shared" si="348"/>
        <v>0</v>
      </c>
      <c r="AB443" t="b">
        <f t="shared" si="349"/>
        <v>0</v>
      </c>
      <c r="AE443" t="str">
        <f>'WetLitterbags placem_collection'!O222</f>
        <v>G849</v>
      </c>
      <c r="AF443" t="str">
        <f>'WetLitterbags placem_collection'!Q222</f>
        <v>R319</v>
      </c>
      <c r="AG443" t="b">
        <f t="shared" si="350"/>
        <v>0</v>
      </c>
      <c r="AH443" t="b">
        <f t="shared" si="351"/>
        <v>0</v>
      </c>
      <c r="AJ443" t="b">
        <f t="shared" si="352"/>
        <v>0</v>
      </c>
      <c r="AK443" t="b">
        <f t="shared" si="353"/>
        <v>0</v>
      </c>
      <c r="AM443" t="str">
        <f>IF(ISBLANK('Dry_Litterbag Placem_Collection'!L222),"","G"&amp;""&amp;'Dry_Litterbag Placem_Collection'!L222)</f>
        <v>G53</v>
      </c>
      <c r="AN443" t="str">
        <f>IF(ISBLANK('Dry_Litterbag Placem_Collection'!M222),"","R"&amp;""&amp;'Dry_Litterbag Placem_Collection'!M222)</f>
        <v>R672</v>
      </c>
      <c r="AO443" t="b">
        <f t="shared" si="354"/>
        <v>0</v>
      </c>
      <c r="AP443" t="b">
        <f t="shared" si="355"/>
        <v>0</v>
      </c>
      <c r="AX443" s="388" t="b">
        <f t="shared" si="356"/>
        <v>0</v>
      </c>
      <c r="AY443" s="388" t="b">
        <f t="shared" si="357"/>
        <v>0</v>
      </c>
      <c r="BH443" t="str">
        <f t="shared" si="359"/>
        <v>G123</v>
      </c>
      <c r="BI443" t="str">
        <f t="shared" si="373"/>
        <v>G123</v>
      </c>
      <c r="BP443" t="str">
        <f t="shared" si="360"/>
        <v>R246</v>
      </c>
      <c r="BQ443" t="str">
        <f t="shared" si="361"/>
        <v>R246</v>
      </c>
      <c r="BZ443" t="str">
        <f t="shared" si="362"/>
        <v>G123</v>
      </c>
      <c r="CA443" t="b">
        <f t="shared" si="363"/>
        <v>0</v>
      </c>
      <c r="CB443" t="str">
        <f t="shared" si="374"/>
        <v>G123</v>
      </c>
      <c r="CC443" t="str">
        <f t="shared" si="364"/>
        <v>R246</v>
      </c>
      <c r="CD443" t="b">
        <f t="shared" si="375"/>
        <v>0</v>
      </c>
      <c r="CE443" t="str">
        <f t="shared" si="376"/>
        <v>R246</v>
      </c>
      <c r="CI443" t="str">
        <f t="shared" si="366"/>
        <v>G491</v>
      </c>
      <c r="CJ443" t="str">
        <f t="shared" si="367"/>
        <v>G491</v>
      </c>
      <c r="CQ443" t="str">
        <f t="shared" si="369"/>
        <v>R356</v>
      </c>
      <c r="CR443" t="str">
        <f t="shared" si="370"/>
        <v>R356</v>
      </c>
      <c r="DC443" t="str">
        <f t="shared" si="371"/>
        <v>G491</v>
      </c>
      <c r="DD443" t="b">
        <f t="shared" si="381"/>
        <v>0</v>
      </c>
      <c r="DE443" t="str">
        <f t="shared" si="382"/>
        <v>G491</v>
      </c>
      <c r="DF443" t="str">
        <f t="shared" si="372"/>
        <v>R356</v>
      </c>
      <c r="DG443" t="b">
        <f t="shared" si="383"/>
        <v>0</v>
      </c>
      <c r="DH443" t="str">
        <f t="shared" si="384"/>
        <v>R356</v>
      </c>
    </row>
    <row r="444" spans="2:112" ht="12" customHeight="1">
      <c r="B444">
        <f>TBIDry!H516</f>
        <v>0</v>
      </c>
      <c r="C444">
        <f>TBIDry!I516</f>
        <v>0</v>
      </c>
      <c r="D444" t="b">
        <f t="shared" si="341"/>
        <v>1</v>
      </c>
      <c r="E444" t="b">
        <f t="shared" si="342"/>
        <v>1</v>
      </c>
      <c r="G444">
        <f>TBIWet!H516</f>
        <v>0</v>
      </c>
      <c r="H444">
        <f>TBIWet!I516</f>
        <v>0</v>
      </c>
      <c r="I444" t="b">
        <f t="shared" si="343"/>
        <v>1</v>
      </c>
      <c r="J444" t="b">
        <f t="shared" si="344"/>
        <v>1</v>
      </c>
      <c r="Q444" s="388" t="b">
        <f t="shared" si="346"/>
        <v>0</v>
      </c>
      <c r="R444" s="388" t="b">
        <f t="shared" si="347"/>
        <v>0</v>
      </c>
      <c r="Y444" t="str">
        <f>'Green_rooibos initial weight'!A445</f>
        <v>G441</v>
      </c>
      <c r="Z444" t="str">
        <f>'Green_rooibos initial weight'!A1349</f>
        <v>R441</v>
      </c>
      <c r="AA444" t="b">
        <f t="shared" si="348"/>
        <v>0</v>
      </c>
      <c r="AB444" t="b">
        <f t="shared" si="349"/>
        <v>0</v>
      </c>
      <c r="AJ444" t="b">
        <f t="shared" si="352"/>
        <v>0</v>
      </c>
      <c r="AK444" t="b">
        <f t="shared" si="353"/>
        <v>0</v>
      </c>
      <c r="AM444" t="str">
        <f>IF(ISBLANK('Dry_Litterbag Placem_Collection'!L223),"","G"&amp;""&amp;'Dry_Litterbag Placem_Collection'!L223)</f>
        <v/>
      </c>
      <c r="AN444" t="str">
        <f>IF(ISBLANK('Dry_Litterbag Placem_Collection'!M223),"","R"&amp;""&amp;'Dry_Litterbag Placem_Collection'!M223)</f>
        <v/>
      </c>
      <c r="AX444" s="388" t="b">
        <f t="shared" si="356"/>
        <v>0</v>
      </c>
      <c r="AY444" s="388" t="b">
        <f t="shared" si="357"/>
        <v>0</v>
      </c>
      <c r="BH444" t="str">
        <f t="shared" si="359"/>
        <v>G53</v>
      </c>
      <c r="BI444" t="str">
        <f t="shared" si="373"/>
        <v/>
      </c>
      <c r="BP444" t="str">
        <f t="shared" si="360"/>
        <v>R672</v>
      </c>
      <c r="BQ444" t="str">
        <f t="shared" si="361"/>
        <v/>
      </c>
      <c r="BZ444" t="str">
        <f t="shared" si="362"/>
        <v>G53</v>
      </c>
      <c r="CA444" t="b">
        <f t="shared" si="363"/>
        <v>1</v>
      </c>
      <c r="CB444" t="str">
        <f t="shared" si="374"/>
        <v/>
      </c>
      <c r="CC444" t="str">
        <f t="shared" si="364"/>
        <v>R672</v>
      </c>
      <c r="CD444" t="b">
        <f t="shared" si="375"/>
        <v>1</v>
      </c>
      <c r="CE444" t="str">
        <f t="shared" si="376"/>
        <v/>
      </c>
      <c r="CI444" t="str">
        <f t="shared" si="366"/>
        <v>G849</v>
      </c>
      <c r="CJ444" t="str">
        <f t="shared" si="367"/>
        <v>G849</v>
      </c>
      <c r="CQ444" t="str">
        <f t="shared" si="369"/>
        <v>R319</v>
      </c>
      <c r="CR444" t="str">
        <f t="shared" si="370"/>
        <v>R319</v>
      </c>
      <c r="DC444" t="str">
        <f t="shared" si="371"/>
        <v>G849</v>
      </c>
      <c r="DD444" t="b">
        <f t="shared" si="381"/>
        <v>0</v>
      </c>
      <c r="DE444" t="str">
        <f t="shared" si="382"/>
        <v>G849</v>
      </c>
      <c r="DF444" t="str">
        <f t="shared" si="372"/>
        <v>R319</v>
      </c>
      <c r="DG444" t="b">
        <f t="shared" si="383"/>
        <v>0</v>
      </c>
      <c r="DH444" t="str">
        <f t="shared" si="384"/>
        <v>R319</v>
      </c>
    </row>
    <row r="445" spans="2:112" ht="12" customHeight="1">
      <c r="B445">
        <f>TBIDry!H517</f>
        <v>0</v>
      </c>
      <c r="C445">
        <f>TBIDry!I517</f>
        <v>0</v>
      </c>
      <c r="D445" t="b">
        <f t="shared" si="341"/>
        <v>1</v>
      </c>
      <c r="E445" t="b">
        <f t="shared" si="342"/>
        <v>1</v>
      </c>
      <c r="G445">
        <f>TBIWet!H517</f>
        <v>0</v>
      </c>
      <c r="H445">
        <f>TBIWet!I517</f>
        <v>0</v>
      </c>
      <c r="I445" t="b">
        <f t="shared" si="343"/>
        <v>1</v>
      </c>
      <c r="J445" t="b">
        <f t="shared" si="344"/>
        <v>1</v>
      </c>
      <c r="Q445" s="388" t="b">
        <f t="shared" si="346"/>
        <v>0</v>
      </c>
      <c r="R445" s="388" t="b">
        <f t="shared" si="347"/>
        <v>0</v>
      </c>
      <c r="Y445" t="str">
        <f>'Green_rooibos initial weight'!A446</f>
        <v>G442</v>
      </c>
      <c r="Z445" t="str">
        <f>'Green_rooibos initial weight'!A1350</f>
        <v>R442</v>
      </c>
      <c r="AA445" t="b">
        <f t="shared" si="348"/>
        <v>0</v>
      </c>
      <c r="AB445" t="b">
        <f t="shared" si="349"/>
        <v>0</v>
      </c>
      <c r="AJ445" t="b">
        <f t="shared" si="352"/>
        <v>0</v>
      </c>
      <c r="AK445" t="b">
        <f t="shared" si="353"/>
        <v>0</v>
      </c>
      <c r="AM445" t="str">
        <f>IF(ISBLANK('Dry_Litterbag Placem_Collection'!L224),"","G"&amp;""&amp;'Dry_Litterbag Placem_Collection'!L224)</f>
        <v/>
      </c>
      <c r="AX445" s="388" t="b">
        <f t="shared" si="356"/>
        <v>0</v>
      </c>
      <c r="AY445" s="388" t="b">
        <f t="shared" si="357"/>
        <v>0</v>
      </c>
      <c r="BH445">
        <f t="shared" si="359"/>
        <v>0</v>
      </c>
      <c r="CA445" t="b">
        <f t="shared" si="363"/>
        <v>0</v>
      </c>
      <c r="CB445">
        <f t="shared" si="374"/>
        <v>0</v>
      </c>
      <c r="CD445" t="b">
        <f t="shared" si="375"/>
        <v>0</v>
      </c>
      <c r="CE445">
        <f t="shared" si="376"/>
        <v>0</v>
      </c>
      <c r="DC445">
        <f t="shared" ref="DC445:DC452" si="386">CI445</f>
        <v>0</v>
      </c>
    </row>
    <row r="446" spans="2:112" ht="12" customHeight="1">
      <c r="B446">
        <f>TBIDry!H518</f>
        <v>0</v>
      </c>
      <c r="C446">
        <f>TBIDry!I518</f>
        <v>0</v>
      </c>
      <c r="D446" t="b">
        <f t="shared" si="341"/>
        <v>1</v>
      </c>
      <c r="E446" t="b">
        <f t="shared" si="342"/>
        <v>1</v>
      </c>
      <c r="G446">
        <f>TBIWet!H518</f>
        <v>0</v>
      </c>
      <c r="H446">
        <f>TBIWet!I518</f>
        <v>0</v>
      </c>
      <c r="I446" t="b">
        <f t="shared" si="343"/>
        <v>1</v>
      </c>
      <c r="J446" t="b">
        <f t="shared" si="344"/>
        <v>1</v>
      </c>
      <c r="Q446" s="388" t="b">
        <f t="shared" si="346"/>
        <v>0</v>
      </c>
      <c r="R446" s="388" t="b">
        <f t="shared" si="347"/>
        <v>0</v>
      </c>
      <c r="Y446" t="str">
        <f>'Green_rooibos initial weight'!A447</f>
        <v>G443</v>
      </c>
      <c r="Z446" t="str">
        <f>'Green_rooibos initial weight'!A1351</f>
        <v>R443</v>
      </c>
      <c r="AA446" t="b">
        <f t="shared" si="348"/>
        <v>0</v>
      </c>
      <c r="AB446" t="b">
        <f t="shared" si="349"/>
        <v>0</v>
      </c>
      <c r="AJ446" t="b">
        <f t="shared" si="352"/>
        <v>0</v>
      </c>
      <c r="AK446" t="b">
        <f t="shared" si="353"/>
        <v>0</v>
      </c>
      <c r="AM446" t="str">
        <f>IF('Dry_Litterbag Placem_Collection'!L225=0,"",'Dry_Litterbag Placem_Collection'!L225)</f>
        <v/>
      </c>
      <c r="AX446" s="388" t="b">
        <f t="shared" si="356"/>
        <v>0</v>
      </c>
      <c r="AY446" s="388" t="b">
        <f t="shared" si="357"/>
        <v>0</v>
      </c>
      <c r="BH446">
        <f t="shared" si="359"/>
        <v>0</v>
      </c>
      <c r="BI446" t="str">
        <f>CB446</f>
        <v/>
      </c>
      <c r="CB446" t="str">
        <f t="shared" si="374"/>
        <v/>
      </c>
      <c r="CD446" t="b">
        <f t="shared" si="375"/>
        <v>0</v>
      </c>
      <c r="CE446">
        <f t="shared" si="376"/>
        <v>0</v>
      </c>
      <c r="DC446">
        <f t="shared" si="386"/>
        <v>0</v>
      </c>
    </row>
    <row r="447" spans="2:112" ht="12" customHeight="1">
      <c r="B447">
        <f>TBIDry!H519</f>
        <v>0</v>
      </c>
      <c r="C447">
        <f>TBIDry!I519</f>
        <v>0</v>
      </c>
      <c r="D447" t="b">
        <f t="shared" si="341"/>
        <v>1</v>
      </c>
      <c r="E447" t="b">
        <f t="shared" si="342"/>
        <v>1</v>
      </c>
      <c r="G447">
        <f>TBIWet!H519</f>
        <v>0</v>
      </c>
      <c r="H447">
        <f>TBIWet!I519</f>
        <v>0</v>
      </c>
      <c r="I447" t="b">
        <f t="shared" si="343"/>
        <v>1</v>
      </c>
      <c r="J447" t="b">
        <f t="shared" si="344"/>
        <v>1</v>
      </c>
      <c r="Q447" s="388" t="b">
        <f t="shared" si="346"/>
        <v>0</v>
      </c>
      <c r="R447" s="388" t="b">
        <f t="shared" si="347"/>
        <v>0</v>
      </c>
      <c r="Y447" t="str">
        <f>'Green_rooibos initial weight'!A448</f>
        <v>G444</v>
      </c>
      <c r="Z447" t="str">
        <f>'Green_rooibos initial weight'!A1352</f>
        <v>R444</v>
      </c>
      <c r="AA447" t="b">
        <f t="shared" si="348"/>
        <v>0</v>
      </c>
      <c r="AB447" t="b">
        <f t="shared" si="349"/>
        <v>0</v>
      </c>
      <c r="AJ447" t="b">
        <f t="shared" si="352"/>
        <v>0</v>
      </c>
      <c r="AK447" t="b">
        <f t="shared" si="353"/>
        <v>0</v>
      </c>
      <c r="AM447" t="str">
        <f>IF('Dry_Litterbag Placem_Collection'!L226=0,"",'Dry_Litterbag Placem_Collection'!L226)</f>
        <v/>
      </c>
      <c r="AX447" s="388" t="b">
        <f t="shared" si="356"/>
        <v>0</v>
      </c>
      <c r="AY447" s="388" t="b">
        <f t="shared" si="357"/>
        <v>0</v>
      </c>
      <c r="BH447">
        <f t="shared" si="359"/>
        <v>0</v>
      </c>
      <c r="DC447">
        <f t="shared" si="386"/>
        <v>0</v>
      </c>
    </row>
    <row r="448" spans="2:112" ht="12" customHeight="1">
      <c r="B448">
        <f>TBIDry!H520</f>
        <v>0</v>
      </c>
      <c r="C448">
        <f>TBIDry!I520</f>
        <v>0</v>
      </c>
      <c r="D448" t="b">
        <f t="shared" si="341"/>
        <v>1</v>
      </c>
      <c r="E448" t="b">
        <f t="shared" si="342"/>
        <v>1</v>
      </c>
      <c r="G448">
        <f>TBIWet!H520</f>
        <v>0</v>
      </c>
      <c r="H448">
        <f>TBIWet!I520</f>
        <v>0</v>
      </c>
      <c r="I448" t="b">
        <f t="shared" si="343"/>
        <v>1</v>
      </c>
      <c r="J448" t="b">
        <f t="shared" si="344"/>
        <v>1</v>
      </c>
      <c r="Q448" s="388" t="b">
        <f t="shared" si="346"/>
        <v>0</v>
      </c>
      <c r="R448" s="388" t="b">
        <f t="shared" si="347"/>
        <v>0</v>
      </c>
      <c r="Y448" t="str">
        <f>'Green_rooibos initial weight'!A449</f>
        <v>G445</v>
      </c>
      <c r="Z448" t="str">
        <f>'Green_rooibos initial weight'!A1353</f>
        <v>R445</v>
      </c>
      <c r="AA448" t="b">
        <f t="shared" si="348"/>
        <v>0</v>
      </c>
      <c r="AB448" t="b">
        <f t="shared" si="349"/>
        <v>0</v>
      </c>
      <c r="AJ448" t="b">
        <f t="shared" si="352"/>
        <v>0</v>
      </c>
      <c r="AK448" t="b">
        <f t="shared" si="353"/>
        <v>0</v>
      </c>
      <c r="AX448" s="388" t="b">
        <f t="shared" si="356"/>
        <v>0</v>
      </c>
      <c r="AY448" s="388" t="b">
        <f t="shared" si="357"/>
        <v>0</v>
      </c>
      <c r="BH448">
        <f t="shared" si="359"/>
        <v>0</v>
      </c>
      <c r="DC448">
        <f t="shared" si="386"/>
        <v>0</v>
      </c>
    </row>
    <row r="449" spans="2:107" ht="12" customHeight="1">
      <c r="B449">
        <f>TBIDry!H521</f>
        <v>0</v>
      </c>
      <c r="C449">
        <f>TBIDry!I521</f>
        <v>0</v>
      </c>
      <c r="D449" t="b">
        <f t="shared" si="341"/>
        <v>1</v>
      </c>
      <c r="E449" t="b">
        <f t="shared" si="342"/>
        <v>1</v>
      </c>
      <c r="G449">
        <f>TBIWet!H521</f>
        <v>0</v>
      </c>
      <c r="H449">
        <f>TBIWet!I521</f>
        <v>0</v>
      </c>
      <c r="I449" t="b">
        <f t="shared" si="343"/>
        <v>1</v>
      </c>
      <c r="J449" t="b">
        <f t="shared" si="344"/>
        <v>1</v>
      </c>
      <c r="Q449" s="388" t="b">
        <f t="shared" si="346"/>
        <v>0</v>
      </c>
      <c r="R449" s="388" t="b">
        <f t="shared" si="347"/>
        <v>0</v>
      </c>
      <c r="Y449" t="str">
        <f>'Green_rooibos initial weight'!A450</f>
        <v>G446</v>
      </c>
      <c r="Z449" t="str">
        <f>'Green_rooibos initial weight'!A1354</f>
        <v>R446</v>
      </c>
      <c r="AA449" t="b">
        <f t="shared" si="348"/>
        <v>0</v>
      </c>
      <c r="AB449" t="b">
        <f t="shared" si="349"/>
        <v>0</v>
      </c>
      <c r="AJ449" t="b">
        <f t="shared" si="352"/>
        <v>0</v>
      </c>
      <c r="AK449" t="b">
        <f t="shared" si="353"/>
        <v>0</v>
      </c>
      <c r="AX449" s="388" t="b">
        <f t="shared" si="356"/>
        <v>0</v>
      </c>
      <c r="AY449" s="388" t="b">
        <f t="shared" si="357"/>
        <v>0</v>
      </c>
      <c r="BH449">
        <f t="shared" si="359"/>
        <v>0</v>
      </c>
      <c r="DC449">
        <f t="shared" si="386"/>
        <v>0</v>
      </c>
    </row>
    <row r="450" spans="2:107" ht="12" customHeight="1">
      <c r="B450">
        <f>TBIDry!H522</f>
        <v>0</v>
      </c>
      <c r="C450">
        <f>TBIDry!I522</f>
        <v>0</v>
      </c>
      <c r="D450" t="b">
        <f t="shared" si="341"/>
        <v>1</v>
      </c>
      <c r="E450" t="b">
        <f t="shared" si="342"/>
        <v>1</v>
      </c>
      <c r="G450">
        <f>TBIWet!H522</f>
        <v>0</v>
      </c>
      <c r="H450">
        <f>TBIWet!I522</f>
        <v>0</v>
      </c>
      <c r="I450" t="b">
        <f t="shared" si="343"/>
        <v>1</v>
      </c>
      <c r="J450" t="b">
        <f t="shared" si="344"/>
        <v>1</v>
      </c>
      <c r="Q450" s="388" t="b">
        <f t="shared" si="346"/>
        <v>0</v>
      </c>
      <c r="R450" s="388" t="b">
        <f t="shared" si="347"/>
        <v>0</v>
      </c>
      <c r="Y450" t="str">
        <f>'Green_rooibos initial weight'!A451</f>
        <v>G447</v>
      </c>
      <c r="Z450" t="str">
        <f>'Green_rooibos initial weight'!A1355</f>
        <v>R447</v>
      </c>
      <c r="AA450" t="b">
        <f t="shared" si="348"/>
        <v>0</v>
      </c>
      <c r="AB450" t="b">
        <f t="shared" si="349"/>
        <v>0</v>
      </c>
      <c r="AJ450" t="b">
        <f t="shared" si="352"/>
        <v>0</v>
      </c>
      <c r="AK450" t="b">
        <f t="shared" si="353"/>
        <v>0</v>
      </c>
      <c r="AX450" s="388" t="b">
        <f t="shared" si="356"/>
        <v>0</v>
      </c>
      <c r="AY450" s="388" t="b">
        <f t="shared" si="357"/>
        <v>0</v>
      </c>
      <c r="BH450">
        <f t="shared" si="359"/>
        <v>0</v>
      </c>
      <c r="DC450">
        <f t="shared" si="386"/>
        <v>0</v>
      </c>
    </row>
    <row r="451" spans="2:107" ht="12" customHeight="1">
      <c r="B451">
        <f>TBIDry!H523</f>
        <v>0</v>
      </c>
      <c r="C451">
        <f>TBIDry!I523</f>
        <v>0</v>
      </c>
      <c r="D451" t="b">
        <f t="shared" si="341"/>
        <v>1</v>
      </c>
      <c r="E451" t="b">
        <f t="shared" si="342"/>
        <v>1</v>
      </c>
      <c r="G451">
        <f>TBIWet!H523</f>
        <v>0</v>
      </c>
      <c r="H451">
        <f>TBIWet!I523</f>
        <v>0</v>
      </c>
      <c r="I451" t="b">
        <f t="shared" si="343"/>
        <v>1</v>
      </c>
      <c r="J451" t="b">
        <f t="shared" si="344"/>
        <v>1</v>
      </c>
      <c r="Q451" s="388" t="b">
        <f t="shared" si="346"/>
        <v>0</v>
      </c>
      <c r="R451" s="388" t="b">
        <f t="shared" si="347"/>
        <v>0</v>
      </c>
      <c r="Y451" t="str">
        <f>'Green_rooibos initial weight'!A452</f>
        <v>G448</v>
      </c>
      <c r="Z451" t="str">
        <f>'Green_rooibos initial weight'!A1356</f>
        <v>R448</v>
      </c>
      <c r="AA451" t="b">
        <f t="shared" si="348"/>
        <v>0</v>
      </c>
      <c r="AB451" t="b">
        <f t="shared" si="349"/>
        <v>0</v>
      </c>
      <c r="AJ451" t="b">
        <f t="shared" si="352"/>
        <v>0</v>
      </c>
      <c r="AK451" t="b">
        <f t="shared" si="353"/>
        <v>0</v>
      </c>
      <c r="AX451" s="388" t="b">
        <f t="shared" si="356"/>
        <v>0</v>
      </c>
      <c r="AY451" s="388" t="b">
        <f t="shared" si="357"/>
        <v>0</v>
      </c>
      <c r="BH451">
        <f t="shared" si="359"/>
        <v>0</v>
      </c>
      <c r="DC451">
        <f t="shared" si="386"/>
        <v>0</v>
      </c>
    </row>
    <row r="452" spans="2:107" ht="12" customHeight="1">
      <c r="B452">
        <f>TBIDry!H524</f>
        <v>0</v>
      </c>
      <c r="C452">
        <f>TBIDry!I524</f>
        <v>0</v>
      </c>
      <c r="D452" t="b">
        <f t="shared" si="341"/>
        <v>1</v>
      </c>
      <c r="E452" t="b">
        <f t="shared" si="342"/>
        <v>1</v>
      </c>
      <c r="G452">
        <f>TBIWet!H524</f>
        <v>0</v>
      </c>
      <c r="H452">
        <f>TBIWet!I524</f>
        <v>0</v>
      </c>
      <c r="I452" t="b">
        <f t="shared" si="343"/>
        <v>1</v>
      </c>
      <c r="J452" t="b">
        <f t="shared" si="344"/>
        <v>1</v>
      </c>
      <c r="Q452" s="388" t="b">
        <f t="shared" si="346"/>
        <v>0</v>
      </c>
      <c r="R452" s="388" t="b">
        <f t="shared" si="347"/>
        <v>0</v>
      </c>
      <c r="Y452" t="str">
        <f>'Green_rooibos initial weight'!A453</f>
        <v>G449</v>
      </c>
      <c r="Z452" t="str">
        <f>'Green_rooibos initial weight'!A1357</f>
        <v>R449</v>
      </c>
      <c r="AA452" t="b">
        <f t="shared" si="348"/>
        <v>0</v>
      </c>
      <c r="AB452" t="b">
        <f t="shared" si="349"/>
        <v>0</v>
      </c>
      <c r="AX452" s="388" t="b">
        <f t="shared" si="356"/>
        <v>0</v>
      </c>
      <c r="AY452" s="388" t="b">
        <f t="shared" si="357"/>
        <v>0</v>
      </c>
      <c r="BH452">
        <f t="shared" si="359"/>
        <v>0</v>
      </c>
      <c r="DC452">
        <f t="shared" si="386"/>
        <v>0</v>
      </c>
    </row>
    <row r="453" spans="2:107" ht="12" customHeight="1">
      <c r="B453">
        <f>TBIDry!H525</f>
        <v>0</v>
      </c>
      <c r="C453">
        <f>TBIDry!I525</f>
        <v>0</v>
      </c>
      <c r="D453" t="b">
        <f t="shared" ref="D453:D516" si="387">COUNTIF($B$4:$B$2000, B453)&gt;1</f>
        <v>1</v>
      </c>
      <c r="E453" t="b">
        <f t="shared" ref="E453:E516" si="388">COUNTIF($C$4:$C$2000, C453)&gt;1</f>
        <v>1</v>
      </c>
      <c r="G453">
        <f>TBIWet!H525</f>
        <v>0</v>
      </c>
      <c r="H453">
        <f>TBIWet!I525</f>
        <v>0</v>
      </c>
      <c r="I453" t="b">
        <f t="shared" ref="I453:I454" si="389">COUNTIF($G$4:$G$2000, G453)&gt;1</f>
        <v>1</v>
      </c>
      <c r="J453" t="b">
        <f t="shared" ref="J453:J454" si="390">COUNTIF($H$4:$H$2000, H453)&gt;1</f>
        <v>1</v>
      </c>
      <c r="Q453" s="388" t="b">
        <f t="shared" ref="Q453:Q516" si="391">COUNTIF($T$4:$T$2000, L453)=1</f>
        <v>0</v>
      </c>
      <c r="R453" s="388" t="b">
        <f t="shared" ref="R453:R516" si="392" xml:space="preserve"> COUNTIF($U$4:$U$2000,M453)=1</f>
        <v>0</v>
      </c>
      <c r="Y453" t="str">
        <f>'Green_rooibos initial weight'!A454</f>
        <v>G450</v>
      </c>
      <c r="Z453" t="str">
        <f>'Green_rooibos initial weight'!A1358</f>
        <v>R450</v>
      </c>
      <c r="AA453" t="b">
        <f t="shared" ref="AA453:AA516" si="393">COUNTIF($Y$4:$Y$2000, Y453)&gt;1</f>
        <v>0</v>
      </c>
      <c r="AB453" t="b">
        <f t="shared" ref="AB453:AB516" si="394">COUNTIF($Z$4:$Z$2000, Z453)&gt;1</f>
        <v>0</v>
      </c>
      <c r="AX453" s="388" t="b">
        <f t="shared" ref="AX453:AX516" si="395">COUNTIF($BA$4:$BA$2000, AS453)=1</f>
        <v>0</v>
      </c>
      <c r="AY453" s="388" t="b">
        <f t="shared" ref="AY453:AY516" si="396">COUNTIF($BB$4:$BB$2000, AT453)=1</f>
        <v>0</v>
      </c>
      <c r="BH453">
        <f t="shared" ref="BH453:BH516" si="397">B452</f>
        <v>0</v>
      </c>
      <c r="DC453">
        <f t="shared" ref="DC453:DC478" si="398">CI453</f>
        <v>0</v>
      </c>
    </row>
    <row r="454" spans="2:107" ht="12" customHeight="1">
      <c r="B454">
        <f>TBIDry!H526</f>
        <v>0</v>
      </c>
      <c r="C454">
        <f>TBIDry!I526</f>
        <v>0</v>
      </c>
      <c r="D454" t="b">
        <f t="shared" si="387"/>
        <v>1</v>
      </c>
      <c r="E454" t="b">
        <f t="shared" si="388"/>
        <v>1</v>
      </c>
      <c r="G454">
        <f>TBIWet!H526</f>
        <v>0</v>
      </c>
      <c r="H454">
        <f>TBIWet!I526</f>
        <v>0</v>
      </c>
      <c r="I454" t="b">
        <f t="shared" si="389"/>
        <v>1</v>
      </c>
      <c r="J454" t="b">
        <f t="shared" si="390"/>
        <v>1</v>
      </c>
      <c r="Q454" s="388" t="b">
        <f t="shared" si="391"/>
        <v>0</v>
      </c>
      <c r="R454" s="388" t="b">
        <f t="shared" si="392"/>
        <v>0</v>
      </c>
      <c r="Y454" t="str">
        <f>'Green_rooibos initial weight'!A455</f>
        <v>G451</v>
      </c>
      <c r="Z454" t="str">
        <f>'Green_rooibos initial weight'!A1359</f>
        <v>R451</v>
      </c>
      <c r="AA454" t="b">
        <f t="shared" si="393"/>
        <v>0</v>
      </c>
      <c r="AB454" t="b">
        <f t="shared" si="394"/>
        <v>0</v>
      </c>
      <c r="AX454" s="388" t="b">
        <f t="shared" si="395"/>
        <v>0</v>
      </c>
      <c r="AY454" s="388" t="b">
        <f t="shared" si="396"/>
        <v>0</v>
      </c>
      <c r="BH454">
        <f t="shared" si="397"/>
        <v>0</v>
      </c>
      <c r="DC454">
        <f t="shared" si="398"/>
        <v>0</v>
      </c>
    </row>
    <row r="455" spans="2:107" ht="12" customHeight="1">
      <c r="B455">
        <f>TBIDry!H527</f>
        <v>0</v>
      </c>
      <c r="C455">
        <f>TBIDry!I527</f>
        <v>0</v>
      </c>
      <c r="D455" t="b">
        <f t="shared" si="387"/>
        <v>1</v>
      </c>
      <c r="E455" t="b">
        <f t="shared" si="388"/>
        <v>1</v>
      </c>
      <c r="Q455" s="388" t="b">
        <f t="shared" si="391"/>
        <v>0</v>
      </c>
      <c r="R455" s="388" t="b">
        <f t="shared" si="392"/>
        <v>0</v>
      </c>
      <c r="Y455" t="str">
        <f>'Green_rooibos initial weight'!A456</f>
        <v>G452</v>
      </c>
      <c r="Z455" t="str">
        <f>'Green_rooibos initial weight'!A1360</f>
        <v>R452</v>
      </c>
      <c r="AA455" t="b">
        <f t="shared" si="393"/>
        <v>0</v>
      </c>
      <c r="AB455" t="b">
        <f t="shared" si="394"/>
        <v>0</v>
      </c>
      <c r="AX455" s="388" t="b">
        <f t="shared" si="395"/>
        <v>0</v>
      </c>
      <c r="AY455" s="388" t="b">
        <f t="shared" si="396"/>
        <v>0</v>
      </c>
      <c r="BH455">
        <f t="shared" si="397"/>
        <v>0</v>
      </c>
      <c r="DC455">
        <f t="shared" si="398"/>
        <v>0</v>
      </c>
    </row>
    <row r="456" spans="2:107" ht="12" customHeight="1">
      <c r="B456">
        <f>TBIDry!H528</f>
        <v>0</v>
      </c>
      <c r="C456">
        <f>TBIDry!I528</f>
        <v>0</v>
      </c>
      <c r="D456" t="b">
        <f t="shared" si="387"/>
        <v>1</v>
      </c>
      <c r="E456" t="b">
        <f t="shared" si="388"/>
        <v>1</v>
      </c>
      <c r="Q456" s="388" t="b">
        <f t="shared" si="391"/>
        <v>0</v>
      </c>
      <c r="R456" s="388" t="b">
        <f t="shared" si="392"/>
        <v>0</v>
      </c>
      <c r="Y456" t="str">
        <f>'Green_rooibos initial weight'!A457</f>
        <v>G453</v>
      </c>
      <c r="Z456" t="str">
        <f>'Green_rooibos initial weight'!A1361</f>
        <v>R453</v>
      </c>
      <c r="AA456" t="b">
        <f t="shared" si="393"/>
        <v>0</v>
      </c>
      <c r="AB456" t="b">
        <f t="shared" si="394"/>
        <v>0</v>
      </c>
      <c r="AX456" s="388" t="b">
        <f t="shared" si="395"/>
        <v>0</v>
      </c>
      <c r="AY456" s="388" t="b">
        <f t="shared" si="396"/>
        <v>0</v>
      </c>
      <c r="BH456">
        <f t="shared" si="397"/>
        <v>0</v>
      </c>
      <c r="DC456">
        <f t="shared" si="398"/>
        <v>0</v>
      </c>
    </row>
    <row r="457" spans="2:107" ht="12" customHeight="1">
      <c r="B457">
        <f>TBIDry!H529</f>
        <v>0</v>
      </c>
      <c r="C457">
        <f>TBIDry!I529</f>
        <v>0</v>
      </c>
      <c r="D457" t="b">
        <f t="shared" si="387"/>
        <v>1</v>
      </c>
      <c r="E457" t="b">
        <f t="shared" si="388"/>
        <v>1</v>
      </c>
      <c r="Q457" s="388" t="b">
        <f t="shared" si="391"/>
        <v>0</v>
      </c>
      <c r="R457" s="388" t="b">
        <f t="shared" si="392"/>
        <v>0</v>
      </c>
      <c r="Y457" t="str">
        <f>'Green_rooibos initial weight'!A458</f>
        <v>G454</v>
      </c>
      <c r="Z457" t="str">
        <f>'Green_rooibos initial weight'!A1362</f>
        <v>R454</v>
      </c>
      <c r="AA457" t="b">
        <f t="shared" si="393"/>
        <v>0</v>
      </c>
      <c r="AB457" t="b">
        <f t="shared" si="394"/>
        <v>0</v>
      </c>
      <c r="AX457" s="388" t="b">
        <f t="shared" si="395"/>
        <v>0</v>
      </c>
      <c r="AY457" s="388" t="b">
        <f t="shared" si="396"/>
        <v>0</v>
      </c>
      <c r="BH457">
        <f t="shared" si="397"/>
        <v>0</v>
      </c>
      <c r="DC457">
        <f t="shared" si="398"/>
        <v>0</v>
      </c>
    </row>
    <row r="458" spans="2:107" ht="12" customHeight="1">
      <c r="B458">
        <f>TBIDry!H530</f>
        <v>0</v>
      </c>
      <c r="C458">
        <f>TBIDry!I530</f>
        <v>0</v>
      </c>
      <c r="D458" t="b">
        <f t="shared" si="387"/>
        <v>1</v>
      </c>
      <c r="E458" t="b">
        <f t="shared" si="388"/>
        <v>1</v>
      </c>
      <c r="Q458" s="388" t="b">
        <f t="shared" si="391"/>
        <v>0</v>
      </c>
      <c r="R458" s="388" t="b">
        <f t="shared" si="392"/>
        <v>0</v>
      </c>
      <c r="Y458" t="str">
        <f>'Green_rooibos initial weight'!A459</f>
        <v>G455</v>
      </c>
      <c r="Z458" t="str">
        <f>'Green_rooibos initial weight'!A1363</f>
        <v>R455</v>
      </c>
      <c r="AA458" t="b">
        <f t="shared" si="393"/>
        <v>0</v>
      </c>
      <c r="AB458" t="b">
        <f t="shared" si="394"/>
        <v>0</v>
      </c>
      <c r="AX458" s="388" t="b">
        <f t="shared" si="395"/>
        <v>0</v>
      </c>
      <c r="AY458" s="388" t="b">
        <f t="shared" si="396"/>
        <v>0</v>
      </c>
      <c r="BH458">
        <f t="shared" si="397"/>
        <v>0</v>
      </c>
      <c r="DC458">
        <f t="shared" si="398"/>
        <v>0</v>
      </c>
    </row>
    <row r="459" spans="2:107" ht="12" customHeight="1">
      <c r="B459">
        <f>TBIDry!H531</f>
        <v>0</v>
      </c>
      <c r="C459">
        <f>TBIDry!I531</f>
        <v>0</v>
      </c>
      <c r="D459" t="b">
        <f t="shared" si="387"/>
        <v>1</v>
      </c>
      <c r="E459" t="b">
        <f t="shared" si="388"/>
        <v>1</v>
      </c>
      <c r="Q459" s="388" t="b">
        <f t="shared" si="391"/>
        <v>0</v>
      </c>
      <c r="R459" s="388" t="b">
        <f t="shared" si="392"/>
        <v>0</v>
      </c>
      <c r="Y459" t="str">
        <f>'Green_rooibos initial weight'!A460</f>
        <v>G456</v>
      </c>
      <c r="Z459" t="str">
        <f>'Green_rooibos initial weight'!A1364</f>
        <v>R456</v>
      </c>
      <c r="AA459" t="b">
        <f t="shared" si="393"/>
        <v>0</v>
      </c>
      <c r="AB459" t="b">
        <f t="shared" si="394"/>
        <v>0</v>
      </c>
      <c r="AX459" s="388" t="b">
        <f t="shared" si="395"/>
        <v>0</v>
      </c>
      <c r="AY459" s="388" t="b">
        <f t="shared" si="396"/>
        <v>0</v>
      </c>
      <c r="BH459">
        <f t="shared" si="397"/>
        <v>0</v>
      </c>
      <c r="DC459">
        <f t="shared" si="398"/>
        <v>0</v>
      </c>
    </row>
    <row r="460" spans="2:107" ht="12" customHeight="1">
      <c r="B460">
        <f>TBIDry!H532</f>
        <v>0</v>
      </c>
      <c r="C460">
        <f>TBIDry!I532</f>
        <v>0</v>
      </c>
      <c r="D460" t="b">
        <f t="shared" si="387"/>
        <v>1</v>
      </c>
      <c r="E460" t="b">
        <f t="shared" si="388"/>
        <v>1</v>
      </c>
      <c r="Q460" s="388" t="b">
        <f t="shared" si="391"/>
        <v>0</v>
      </c>
      <c r="R460" s="388" t="b">
        <f t="shared" si="392"/>
        <v>0</v>
      </c>
      <c r="Y460" t="str">
        <f>'Green_rooibos initial weight'!A461</f>
        <v>G457</v>
      </c>
      <c r="Z460" t="str">
        <f>'Green_rooibos initial weight'!A1365</f>
        <v>R457</v>
      </c>
      <c r="AA460" t="b">
        <f t="shared" si="393"/>
        <v>0</v>
      </c>
      <c r="AB460" t="b">
        <f t="shared" si="394"/>
        <v>0</v>
      </c>
      <c r="AX460" s="388" t="b">
        <f t="shared" si="395"/>
        <v>0</v>
      </c>
      <c r="AY460" s="388" t="b">
        <f t="shared" si="396"/>
        <v>0</v>
      </c>
      <c r="BH460">
        <f t="shared" si="397"/>
        <v>0</v>
      </c>
      <c r="DC460">
        <f t="shared" si="398"/>
        <v>0</v>
      </c>
    </row>
    <row r="461" spans="2:107" ht="12" customHeight="1">
      <c r="B461">
        <f>TBIDry!H533</f>
        <v>0</v>
      </c>
      <c r="C461">
        <f>TBIDry!I533</f>
        <v>0</v>
      </c>
      <c r="D461" t="b">
        <f t="shared" si="387"/>
        <v>1</v>
      </c>
      <c r="E461" t="b">
        <f t="shared" si="388"/>
        <v>1</v>
      </c>
      <c r="Q461" s="388" t="b">
        <f t="shared" si="391"/>
        <v>0</v>
      </c>
      <c r="R461" s="388" t="b">
        <f t="shared" si="392"/>
        <v>0</v>
      </c>
      <c r="Y461" t="str">
        <f>'Green_rooibos initial weight'!A462</f>
        <v>G458</v>
      </c>
      <c r="Z461" t="str">
        <f>'Green_rooibos initial weight'!A1366</f>
        <v>R458</v>
      </c>
      <c r="AA461" t="b">
        <f t="shared" si="393"/>
        <v>0</v>
      </c>
      <c r="AB461" t="b">
        <f t="shared" si="394"/>
        <v>0</v>
      </c>
      <c r="AX461" s="388" t="b">
        <f t="shared" si="395"/>
        <v>0</v>
      </c>
      <c r="AY461" s="388" t="b">
        <f t="shared" si="396"/>
        <v>0</v>
      </c>
      <c r="BH461">
        <f t="shared" si="397"/>
        <v>0</v>
      </c>
      <c r="DC461">
        <f t="shared" si="398"/>
        <v>0</v>
      </c>
    </row>
    <row r="462" spans="2:107" ht="12" customHeight="1">
      <c r="B462">
        <f>TBIDry!H534</f>
        <v>0</v>
      </c>
      <c r="C462">
        <f>TBIDry!I534</f>
        <v>0</v>
      </c>
      <c r="D462" t="b">
        <f t="shared" si="387"/>
        <v>1</v>
      </c>
      <c r="E462" t="b">
        <f t="shared" si="388"/>
        <v>1</v>
      </c>
      <c r="Q462" s="388" t="b">
        <f t="shared" si="391"/>
        <v>0</v>
      </c>
      <c r="R462" s="388" t="b">
        <f t="shared" si="392"/>
        <v>0</v>
      </c>
      <c r="Y462" t="str">
        <f>'Green_rooibos initial weight'!A463</f>
        <v>G459</v>
      </c>
      <c r="Z462" t="str">
        <f>'Green_rooibos initial weight'!A1367</f>
        <v>R459</v>
      </c>
      <c r="AA462" t="b">
        <f t="shared" si="393"/>
        <v>0</v>
      </c>
      <c r="AB462" t="b">
        <f t="shared" si="394"/>
        <v>0</v>
      </c>
      <c r="AX462" s="388" t="b">
        <f t="shared" si="395"/>
        <v>0</v>
      </c>
      <c r="AY462" s="388" t="b">
        <f t="shared" si="396"/>
        <v>0</v>
      </c>
      <c r="BH462">
        <f t="shared" si="397"/>
        <v>0</v>
      </c>
      <c r="DC462">
        <f t="shared" si="398"/>
        <v>0</v>
      </c>
    </row>
    <row r="463" spans="2:107" ht="12" customHeight="1">
      <c r="B463">
        <f>TBIDry!H535</f>
        <v>0</v>
      </c>
      <c r="C463">
        <f>TBIDry!I535</f>
        <v>0</v>
      </c>
      <c r="D463" t="b">
        <f t="shared" si="387"/>
        <v>1</v>
      </c>
      <c r="E463" t="b">
        <f t="shared" si="388"/>
        <v>1</v>
      </c>
      <c r="Q463" s="388" t="b">
        <f t="shared" si="391"/>
        <v>0</v>
      </c>
      <c r="R463" s="388" t="b">
        <f t="shared" si="392"/>
        <v>0</v>
      </c>
      <c r="Y463" t="str">
        <f>'Green_rooibos initial weight'!A464</f>
        <v>G460</v>
      </c>
      <c r="Z463" t="str">
        <f>'Green_rooibos initial weight'!A1368</f>
        <v>R460</v>
      </c>
      <c r="AA463" t="b">
        <f t="shared" si="393"/>
        <v>0</v>
      </c>
      <c r="AB463" t="b">
        <f t="shared" si="394"/>
        <v>0</v>
      </c>
      <c r="AX463" s="388" t="b">
        <f t="shared" si="395"/>
        <v>0</v>
      </c>
      <c r="AY463" s="388" t="b">
        <f t="shared" si="396"/>
        <v>0</v>
      </c>
      <c r="BH463">
        <f t="shared" si="397"/>
        <v>0</v>
      </c>
      <c r="DC463">
        <f t="shared" si="398"/>
        <v>0</v>
      </c>
    </row>
    <row r="464" spans="2:107" ht="12" customHeight="1">
      <c r="B464">
        <f>TBIDry!H536</f>
        <v>0</v>
      </c>
      <c r="C464">
        <f>TBIDry!I536</f>
        <v>0</v>
      </c>
      <c r="D464" t="b">
        <f t="shared" si="387"/>
        <v>1</v>
      </c>
      <c r="E464" t="b">
        <f t="shared" si="388"/>
        <v>1</v>
      </c>
      <c r="Q464" s="388" t="b">
        <f t="shared" si="391"/>
        <v>0</v>
      </c>
      <c r="R464" s="388" t="b">
        <f t="shared" si="392"/>
        <v>0</v>
      </c>
      <c r="Y464" t="str">
        <f>'Green_rooibos initial weight'!A465</f>
        <v>G461</v>
      </c>
      <c r="Z464" t="str">
        <f>'Green_rooibos initial weight'!A1369</f>
        <v>R461</v>
      </c>
      <c r="AA464" t="b">
        <f t="shared" si="393"/>
        <v>0</v>
      </c>
      <c r="AB464" t="b">
        <f t="shared" si="394"/>
        <v>0</v>
      </c>
      <c r="AX464" s="388" t="b">
        <f t="shared" si="395"/>
        <v>0</v>
      </c>
      <c r="AY464" s="388" t="b">
        <f t="shared" si="396"/>
        <v>0</v>
      </c>
      <c r="BH464">
        <f t="shared" si="397"/>
        <v>0</v>
      </c>
      <c r="DC464">
        <f t="shared" si="398"/>
        <v>0</v>
      </c>
    </row>
    <row r="465" spans="2:107" ht="12" customHeight="1">
      <c r="B465">
        <f>TBIDry!H537</f>
        <v>0</v>
      </c>
      <c r="C465">
        <f>TBIDry!I537</f>
        <v>0</v>
      </c>
      <c r="D465" t="b">
        <f t="shared" si="387"/>
        <v>1</v>
      </c>
      <c r="E465" t="b">
        <f t="shared" si="388"/>
        <v>1</v>
      </c>
      <c r="Q465" s="388" t="b">
        <f t="shared" si="391"/>
        <v>0</v>
      </c>
      <c r="R465" s="388" t="b">
        <f t="shared" si="392"/>
        <v>0</v>
      </c>
      <c r="Y465" t="str">
        <f>'Green_rooibos initial weight'!A466</f>
        <v>G462</v>
      </c>
      <c r="Z465" t="str">
        <f>'Green_rooibos initial weight'!A1370</f>
        <v>R462</v>
      </c>
      <c r="AA465" t="b">
        <f t="shared" si="393"/>
        <v>0</v>
      </c>
      <c r="AB465" t="b">
        <f t="shared" si="394"/>
        <v>0</v>
      </c>
      <c r="AX465" s="388" t="b">
        <f t="shared" si="395"/>
        <v>0</v>
      </c>
      <c r="AY465" s="388" t="b">
        <f t="shared" si="396"/>
        <v>0</v>
      </c>
      <c r="BH465">
        <f t="shared" si="397"/>
        <v>0</v>
      </c>
      <c r="DC465">
        <f t="shared" si="398"/>
        <v>0</v>
      </c>
    </row>
    <row r="466" spans="2:107" ht="12" customHeight="1">
      <c r="B466">
        <f>TBIDry!H538</f>
        <v>0</v>
      </c>
      <c r="C466">
        <f>TBIDry!I538</f>
        <v>0</v>
      </c>
      <c r="D466" t="b">
        <f t="shared" si="387"/>
        <v>1</v>
      </c>
      <c r="E466" t="b">
        <f t="shared" si="388"/>
        <v>1</v>
      </c>
      <c r="Q466" s="388" t="b">
        <f t="shared" si="391"/>
        <v>0</v>
      </c>
      <c r="R466" s="388" t="b">
        <f t="shared" si="392"/>
        <v>0</v>
      </c>
      <c r="Y466" t="str">
        <f>'Green_rooibos initial weight'!A467</f>
        <v>G463</v>
      </c>
      <c r="Z466" t="str">
        <f>'Green_rooibos initial weight'!A1371</f>
        <v>R463</v>
      </c>
      <c r="AA466" t="b">
        <f t="shared" si="393"/>
        <v>0</v>
      </c>
      <c r="AB466" t="b">
        <f t="shared" si="394"/>
        <v>0</v>
      </c>
      <c r="AX466" s="388" t="b">
        <f t="shared" si="395"/>
        <v>0</v>
      </c>
      <c r="AY466" s="388" t="b">
        <f t="shared" si="396"/>
        <v>0</v>
      </c>
      <c r="BH466">
        <f t="shared" si="397"/>
        <v>0</v>
      </c>
      <c r="DC466">
        <f t="shared" si="398"/>
        <v>0</v>
      </c>
    </row>
    <row r="467" spans="2:107" ht="12" customHeight="1">
      <c r="B467">
        <f>TBIDry!H539</f>
        <v>0</v>
      </c>
      <c r="C467">
        <f>TBIDry!I539</f>
        <v>0</v>
      </c>
      <c r="D467" t="b">
        <f t="shared" si="387"/>
        <v>1</v>
      </c>
      <c r="E467" t="b">
        <f t="shared" si="388"/>
        <v>1</v>
      </c>
      <c r="Q467" s="388" t="b">
        <f t="shared" si="391"/>
        <v>0</v>
      </c>
      <c r="R467" s="388" t="b">
        <f t="shared" si="392"/>
        <v>0</v>
      </c>
      <c r="Y467" t="str">
        <f>'Green_rooibos initial weight'!A468</f>
        <v>G464</v>
      </c>
      <c r="Z467" t="str">
        <f>'Green_rooibos initial weight'!A1372</f>
        <v>R464</v>
      </c>
      <c r="AA467" t="b">
        <f t="shared" si="393"/>
        <v>0</v>
      </c>
      <c r="AB467" t="b">
        <f t="shared" si="394"/>
        <v>0</v>
      </c>
      <c r="AX467" s="388" t="b">
        <f t="shared" si="395"/>
        <v>0</v>
      </c>
      <c r="AY467" s="388" t="b">
        <f t="shared" si="396"/>
        <v>0</v>
      </c>
      <c r="BH467">
        <f t="shared" si="397"/>
        <v>0</v>
      </c>
      <c r="DC467">
        <f t="shared" si="398"/>
        <v>0</v>
      </c>
    </row>
    <row r="468" spans="2:107" ht="12" customHeight="1">
      <c r="B468">
        <f>TBIDry!H540</f>
        <v>0</v>
      </c>
      <c r="C468">
        <f>TBIDry!I540</f>
        <v>0</v>
      </c>
      <c r="D468" t="b">
        <f t="shared" si="387"/>
        <v>1</v>
      </c>
      <c r="E468" t="b">
        <f t="shared" si="388"/>
        <v>1</v>
      </c>
      <c r="Q468" s="388" t="b">
        <f t="shared" si="391"/>
        <v>0</v>
      </c>
      <c r="R468" s="388" t="b">
        <f t="shared" si="392"/>
        <v>0</v>
      </c>
      <c r="Y468" t="str">
        <f>'Green_rooibos initial weight'!A469</f>
        <v>G465</v>
      </c>
      <c r="Z468" t="str">
        <f>'Green_rooibos initial weight'!A1373</f>
        <v>R465</v>
      </c>
      <c r="AA468" t="b">
        <f t="shared" si="393"/>
        <v>0</v>
      </c>
      <c r="AB468" t="b">
        <f t="shared" si="394"/>
        <v>0</v>
      </c>
      <c r="AX468" s="388" t="b">
        <f t="shared" si="395"/>
        <v>0</v>
      </c>
      <c r="AY468" s="388" t="b">
        <f t="shared" si="396"/>
        <v>0</v>
      </c>
      <c r="BH468">
        <f t="shared" si="397"/>
        <v>0</v>
      </c>
      <c r="DC468">
        <f t="shared" si="398"/>
        <v>0</v>
      </c>
    </row>
    <row r="469" spans="2:107" ht="12" customHeight="1">
      <c r="B469">
        <f>TBIDry!H541</f>
        <v>0</v>
      </c>
      <c r="C469">
        <f>TBIDry!I541</f>
        <v>0</v>
      </c>
      <c r="D469" t="b">
        <f t="shared" si="387"/>
        <v>1</v>
      </c>
      <c r="E469" t="b">
        <f t="shared" si="388"/>
        <v>1</v>
      </c>
      <c r="Q469" s="388" t="b">
        <f t="shared" si="391"/>
        <v>0</v>
      </c>
      <c r="R469" s="388" t="b">
        <f t="shared" si="392"/>
        <v>0</v>
      </c>
      <c r="Y469" t="str">
        <f>'Green_rooibos initial weight'!A470</f>
        <v>G466</v>
      </c>
      <c r="Z469" t="str">
        <f>'Green_rooibos initial weight'!A1374</f>
        <v>R466</v>
      </c>
      <c r="AA469" t="b">
        <f t="shared" si="393"/>
        <v>0</v>
      </c>
      <c r="AB469" t="b">
        <f t="shared" si="394"/>
        <v>0</v>
      </c>
      <c r="AX469" s="388" t="b">
        <f t="shared" si="395"/>
        <v>0</v>
      </c>
      <c r="AY469" s="388" t="b">
        <f t="shared" si="396"/>
        <v>0</v>
      </c>
      <c r="BH469">
        <f t="shared" si="397"/>
        <v>0</v>
      </c>
      <c r="DC469">
        <f t="shared" si="398"/>
        <v>0</v>
      </c>
    </row>
    <row r="470" spans="2:107" ht="12" customHeight="1">
      <c r="B470">
        <f>TBIDry!H542</f>
        <v>0</v>
      </c>
      <c r="C470">
        <f>TBIDry!I542</f>
        <v>0</v>
      </c>
      <c r="D470" t="b">
        <f t="shared" si="387"/>
        <v>1</v>
      </c>
      <c r="E470" t="b">
        <f t="shared" si="388"/>
        <v>1</v>
      </c>
      <c r="Q470" s="388" t="b">
        <f t="shared" si="391"/>
        <v>0</v>
      </c>
      <c r="R470" s="388" t="b">
        <f t="shared" si="392"/>
        <v>0</v>
      </c>
      <c r="Y470" t="str">
        <f>'Green_rooibos initial weight'!A471</f>
        <v>G467</v>
      </c>
      <c r="Z470" t="str">
        <f>'Green_rooibos initial weight'!A1375</f>
        <v>R467</v>
      </c>
      <c r="AA470" t="b">
        <f t="shared" si="393"/>
        <v>0</v>
      </c>
      <c r="AB470" t="b">
        <f t="shared" si="394"/>
        <v>0</v>
      </c>
      <c r="AX470" s="388" t="b">
        <f t="shared" si="395"/>
        <v>0</v>
      </c>
      <c r="AY470" s="388" t="b">
        <f t="shared" si="396"/>
        <v>0</v>
      </c>
      <c r="BH470">
        <f t="shared" si="397"/>
        <v>0</v>
      </c>
      <c r="DC470">
        <f t="shared" si="398"/>
        <v>0</v>
      </c>
    </row>
    <row r="471" spans="2:107" ht="12" customHeight="1">
      <c r="B471">
        <f>TBIDry!H543</f>
        <v>0</v>
      </c>
      <c r="C471">
        <f>TBIDry!I543</f>
        <v>0</v>
      </c>
      <c r="D471" t="b">
        <f t="shared" si="387"/>
        <v>1</v>
      </c>
      <c r="E471" t="b">
        <f t="shared" si="388"/>
        <v>1</v>
      </c>
      <c r="Q471" s="388" t="b">
        <f t="shared" si="391"/>
        <v>0</v>
      </c>
      <c r="R471" s="388" t="b">
        <f t="shared" si="392"/>
        <v>0</v>
      </c>
      <c r="Y471" t="str">
        <f>'Green_rooibos initial weight'!A472</f>
        <v>G468</v>
      </c>
      <c r="Z471" t="str">
        <f>'Green_rooibos initial weight'!A1376</f>
        <v>R468</v>
      </c>
      <c r="AA471" t="b">
        <f t="shared" si="393"/>
        <v>0</v>
      </c>
      <c r="AB471" t="b">
        <f t="shared" si="394"/>
        <v>0</v>
      </c>
      <c r="AX471" s="388" t="b">
        <f t="shared" si="395"/>
        <v>0</v>
      </c>
      <c r="AY471" s="388" t="b">
        <f t="shared" si="396"/>
        <v>0</v>
      </c>
      <c r="BH471">
        <f t="shared" si="397"/>
        <v>0</v>
      </c>
      <c r="DC471">
        <f t="shared" si="398"/>
        <v>0</v>
      </c>
    </row>
    <row r="472" spans="2:107" ht="12" customHeight="1">
      <c r="B472">
        <f>TBIDry!H544</f>
        <v>0</v>
      </c>
      <c r="C472">
        <f>TBIDry!I544</f>
        <v>0</v>
      </c>
      <c r="D472" t="b">
        <f t="shared" si="387"/>
        <v>1</v>
      </c>
      <c r="E472" t="b">
        <f t="shared" si="388"/>
        <v>1</v>
      </c>
      <c r="Q472" s="388" t="b">
        <f t="shared" si="391"/>
        <v>0</v>
      </c>
      <c r="R472" s="388" t="b">
        <f t="shared" si="392"/>
        <v>0</v>
      </c>
      <c r="Y472" t="str">
        <f>'Green_rooibos initial weight'!A473</f>
        <v>G469</v>
      </c>
      <c r="Z472" t="str">
        <f>'Green_rooibos initial weight'!A1377</f>
        <v>R469</v>
      </c>
      <c r="AA472" t="b">
        <f t="shared" si="393"/>
        <v>0</v>
      </c>
      <c r="AB472" t="b">
        <f t="shared" si="394"/>
        <v>0</v>
      </c>
      <c r="AX472" s="388" t="b">
        <f t="shared" si="395"/>
        <v>0</v>
      </c>
      <c r="AY472" s="388" t="b">
        <f t="shared" si="396"/>
        <v>0</v>
      </c>
      <c r="BH472">
        <f t="shared" si="397"/>
        <v>0</v>
      </c>
      <c r="DC472">
        <f t="shared" si="398"/>
        <v>0</v>
      </c>
    </row>
    <row r="473" spans="2:107" ht="12" customHeight="1">
      <c r="B473">
        <f>TBIDry!H545</f>
        <v>0</v>
      </c>
      <c r="C473">
        <f>TBIDry!I545</f>
        <v>0</v>
      </c>
      <c r="D473" t="b">
        <f t="shared" si="387"/>
        <v>1</v>
      </c>
      <c r="E473" t="b">
        <f t="shared" si="388"/>
        <v>1</v>
      </c>
      <c r="Q473" s="388" t="b">
        <f t="shared" si="391"/>
        <v>0</v>
      </c>
      <c r="R473" s="388" t="b">
        <f t="shared" si="392"/>
        <v>0</v>
      </c>
      <c r="Y473" t="str">
        <f>'Green_rooibos initial weight'!A474</f>
        <v>G470</v>
      </c>
      <c r="Z473" t="str">
        <f>'Green_rooibos initial weight'!A1378</f>
        <v>R470</v>
      </c>
      <c r="AA473" t="b">
        <f t="shared" si="393"/>
        <v>0</v>
      </c>
      <c r="AB473" t="b">
        <f t="shared" si="394"/>
        <v>0</v>
      </c>
      <c r="AX473" s="388" t="b">
        <f t="shared" si="395"/>
        <v>0</v>
      </c>
      <c r="AY473" s="388" t="b">
        <f t="shared" si="396"/>
        <v>0</v>
      </c>
      <c r="BH473">
        <f t="shared" si="397"/>
        <v>0</v>
      </c>
      <c r="DC473">
        <f t="shared" si="398"/>
        <v>0</v>
      </c>
    </row>
    <row r="474" spans="2:107" ht="12" customHeight="1">
      <c r="B474">
        <f>TBIDry!H546</f>
        <v>0</v>
      </c>
      <c r="C474">
        <f>TBIDry!I546</f>
        <v>0</v>
      </c>
      <c r="D474" t="b">
        <f t="shared" si="387"/>
        <v>1</v>
      </c>
      <c r="E474" t="b">
        <f t="shared" si="388"/>
        <v>1</v>
      </c>
      <c r="Q474" s="388" t="b">
        <f t="shared" si="391"/>
        <v>0</v>
      </c>
      <c r="R474" s="388" t="b">
        <f t="shared" si="392"/>
        <v>0</v>
      </c>
      <c r="Y474" t="str">
        <f>'Green_rooibos initial weight'!A475</f>
        <v>G471</v>
      </c>
      <c r="Z474" t="str">
        <f>'Green_rooibos initial weight'!A1379</f>
        <v>R471</v>
      </c>
      <c r="AA474" t="b">
        <f t="shared" si="393"/>
        <v>0</v>
      </c>
      <c r="AB474" t="b">
        <f t="shared" si="394"/>
        <v>0</v>
      </c>
      <c r="AX474" s="388" t="b">
        <f t="shared" si="395"/>
        <v>0</v>
      </c>
      <c r="AY474" s="388" t="b">
        <f t="shared" si="396"/>
        <v>0</v>
      </c>
      <c r="BH474">
        <f t="shared" si="397"/>
        <v>0</v>
      </c>
      <c r="DC474">
        <f t="shared" si="398"/>
        <v>0</v>
      </c>
    </row>
    <row r="475" spans="2:107" ht="12" customHeight="1">
      <c r="B475">
        <f>TBIDry!H547</f>
        <v>0</v>
      </c>
      <c r="C475">
        <f>TBIDry!I547</f>
        <v>0</v>
      </c>
      <c r="D475" t="b">
        <f t="shared" si="387"/>
        <v>1</v>
      </c>
      <c r="E475" t="b">
        <f t="shared" si="388"/>
        <v>1</v>
      </c>
      <c r="Q475" s="388" t="b">
        <f t="shared" si="391"/>
        <v>0</v>
      </c>
      <c r="R475" s="388" t="b">
        <f t="shared" si="392"/>
        <v>0</v>
      </c>
      <c r="Y475" t="str">
        <f>'Green_rooibos initial weight'!A476</f>
        <v>G472</v>
      </c>
      <c r="Z475" t="str">
        <f>'Green_rooibos initial weight'!A1380</f>
        <v>R472</v>
      </c>
      <c r="AA475" t="b">
        <f t="shared" si="393"/>
        <v>0</v>
      </c>
      <c r="AB475" t="b">
        <f t="shared" si="394"/>
        <v>0</v>
      </c>
      <c r="AX475" s="388" t="b">
        <f t="shared" si="395"/>
        <v>0</v>
      </c>
      <c r="AY475" s="388" t="b">
        <f t="shared" si="396"/>
        <v>0</v>
      </c>
      <c r="BH475">
        <f t="shared" si="397"/>
        <v>0</v>
      </c>
      <c r="DC475">
        <f t="shared" si="398"/>
        <v>0</v>
      </c>
    </row>
    <row r="476" spans="2:107" ht="12" customHeight="1">
      <c r="B476">
        <f>TBIDry!H548</f>
        <v>0</v>
      </c>
      <c r="C476">
        <f>TBIDry!I548</f>
        <v>0</v>
      </c>
      <c r="D476" t="b">
        <f t="shared" si="387"/>
        <v>1</v>
      </c>
      <c r="E476" t="b">
        <f t="shared" si="388"/>
        <v>1</v>
      </c>
      <c r="Q476" s="388" t="b">
        <f t="shared" si="391"/>
        <v>0</v>
      </c>
      <c r="R476" s="388" t="b">
        <f t="shared" si="392"/>
        <v>0</v>
      </c>
      <c r="Y476" t="str">
        <f>'Green_rooibos initial weight'!A477</f>
        <v>G473</v>
      </c>
      <c r="Z476" t="str">
        <f>'Green_rooibos initial weight'!A1381</f>
        <v>R473</v>
      </c>
      <c r="AA476" t="b">
        <f t="shared" si="393"/>
        <v>0</v>
      </c>
      <c r="AB476" t="b">
        <f t="shared" si="394"/>
        <v>0</v>
      </c>
      <c r="AX476" s="388" t="b">
        <f t="shared" si="395"/>
        <v>0</v>
      </c>
      <c r="AY476" s="388" t="b">
        <f t="shared" si="396"/>
        <v>0</v>
      </c>
      <c r="BH476">
        <f t="shared" si="397"/>
        <v>0</v>
      </c>
      <c r="DC476">
        <f t="shared" si="398"/>
        <v>0</v>
      </c>
    </row>
    <row r="477" spans="2:107" ht="12" customHeight="1">
      <c r="B477">
        <f>TBIDry!H549</f>
        <v>0</v>
      </c>
      <c r="C477">
        <f>TBIDry!I549</f>
        <v>0</v>
      </c>
      <c r="D477" t="b">
        <f t="shared" si="387"/>
        <v>1</v>
      </c>
      <c r="E477" t="b">
        <f t="shared" si="388"/>
        <v>1</v>
      </c>
      <c r="Q477" s="388" t="b">
        <f t="shared" si="391"/>
        <v>0</v>
      </c>
      <c r="R477" s="388" t="b">
        <f t="shared" si="392"/>
        <v>0</v>
      </c>
      <c r="Y477" t="str">
        <f>'Green_rooibos initial weight'!A478</f>
        <v>G474</v>
      </c>
      <c r="Z477" t="str">
        <f>'Green_rooibos initial weight'!A1382</f>
        <v>R474</v>
      </c>
      <c r="AA477" t="b">
        <f t="shared" si="393"/>
        <v>0</v>
      </c>
      <c r="AB477" t="b">
        <f t="shared" si="394"/>
        <v>0</v>
      </c>
      <c r="AX477" s="388" t="b">
        <f t="shared" si="395"/>
        <v>0</v>
      </c>
      <c r="AY477" s="388" t="b">
        <f t="shared" si="396"/>
        <v>0</v>
      </c>
      <c r="BH477">
        <f t="shared" si="397"/>
        <v>0</v>
      </c>
      <c r="DC477">
        <f t="shared" si="398"/>
        <v>0</v>
      </c>
    </row>
    <row r="478" spans="2:107" ht="12" customHeight="1">
      <c r="B478">
        <f>TBIDry!H550</f>
        <v>0</v>
      </c>
      <c r="C478">
        <f>TBIDry!I550</f>
        <v>0</v>
      </c>
      <c r="D478" t="b">
        <f t="shared" si="387"/>
        <v>1</v>
      </c>
      <c r="E478" t="b">
        <f t="shared" si="388"/>
        <v>1</v>
      </c>
      <c r="Q478" s="388" t="b">
        <f t="shared" si="391"/>
        <v>0</v>
      </c>
      <c r="R478" s="388" t="b">
        <f t="shared" si="392"/>
        <v>0</v>
      </c>
      <c r="Y478" t="str">
        <f>'Green_rooibos initial weight'!A479</f>
        <v>G475</v>
      </c>
      <c r="Z478" t="str">
        <f>'Green_rooibos initial weight'!A1383</f>
        <v>R475</v>
      </c>
      <c r="AA478" t="b">
        <f t="shared" si="393"/>
        <v>0</v>
      </c>
      <c r="AB478" t="b">
        <f t="shared" si="394"/>
        <v>0</v>
      </c>
      <c r="AX478" s="388" t="b">
        <f t="shared" si="395"/>
        <v>0</v>
      </c>
      <c r="AY478" s="388" t="b">
        <f t="shared" si="396"/>
        <v>0</v>
      </c>
      <c r="BH478">
        <f t="shared" si="397"/>
        <v>0</v>
      </c>
      <c r="DC478">
        <f t="shared" si="398"/>
        <v>0</v>
      </c>
    </row>
    <row r="479" spans="2:107" ht="12" customHeight="1">
      <c r="B479">
        <f>TBIDry!H551</f>
        <v>0</v>
      </c>
      <c r="C479">
        <f>TBIDry!I551</f>
        <v>0</v>
      </c>
      <c r="D479" t="b">
        <f t="shared" si="387"/>
        <v>1</v>
      </c>
      <c r="E479" t="b">
        <f t="shared" si="388"/>
        <v>1</v>
      </c>
      <c r="Q479" s="388" t="b">
        <f t="shared" si="391"/>
        <v>0</v>
      </c>
      <c r="R479" s="388" t="b">
        <f t="shared" si="392"/>
        <v>0</v>
      </c>
      <c r="Y479" t="str">
        <f>'Green_rooibos initial weight'!A480</f>
        <v>G476</v>
      </c>
      <c r="Z479" t="str">
        <f>'Green_rooibos initial weight'!A1384</f>
        <v>R476</v>
      </c>
      <c r="AA479" t="b">
        <f t="shared" si="393"/>
        <v>0</v>
      </c>
      <c r="AB479" t="b">
        <f t="shared" si="394"/>
        <v>0</v>
      </c>
      <c r="AX479" s="388" t="b">
        <f t="shared" si="395"/>
        <v>0</v>
      </c>
      <c r="AY479" s="388" t="b">
        <f t="shared" si="396"/>
        <v>0</v>
      </c>
      <c r="BH479">
        <f t="shared" si="397"/>
        <v>0</v>
      </c>
    </row>
    <row r="480" spans="2:107" ht="12" customHeight="1">
      <c r="B480">
        <f>TBIDry!H552</f>
        <v>0</v>
      </c>
      <c r="C480">
        <f>TBIDry!I552</f>
        <v>0</v>
      </c>
      <c r="D480" t="b">
        <f t="shared" si="387"/>
        <v>1</v>
      </c>
      <c r="E480" t="b">
        <f t="shared" si="388"/>
        <v>1</v>
      </c>
      <c r="Q480" s="388" t="b">
        <f t="shared" si="391"/>
        <v>0</v>
      </c>
      <c r="R480" s="388" t="b">
        <f t="shared" si="392"/>
        <v>0</v>
      </c>
      <c r="Y480" t="str">
        <f>'Green_rooibos initial weight'!A481</f>
        <v>G477</v>
      </c>
      <c r="Z480" t="str">
        <f>'Green_rooibos initial weight'!A1385</f>
        <v>R477</v>
      </c>
      <c r="AA480" t="b">
        <f t="shared" si="393"/>
        <v>0</v>
      </c>
      <c r="AB480" t="b">
        <f t="shared" si="394"/>
        <v>0</v>
      </c>
      <c r="AX480" s="388" t="b">
        <f t="shared" si="395"/>
        <v>0</v>
      </c>
      <c r="AY480" s="388" t="b">
        <f t="shared" si="396"/>
        <v>0</v>
      </c>
      <c r="BH480">
        <f t="shared" si="397"/>
        <v>0</v>
      </c>
    </row>
    <row r="481" spans="2:60" ht="12" customHeight="1">
      <c r="B481">
        <f>TBIDry!H553</f>
        <v>0</v>
      </c>
      <c r="C481">
        <f>TBIDry!I553</f>
        <v>0</v>
      </c>
      <c r="D481" t="b">
        <f t="shared" si="387"/>
        <v>1</v>
      </c>
      <c r="E481" t="b">
        <f t="shared" si="388"/>
        <v>1</v>
      </c>
      <c r="Q481" s="388" t="b">
        <f t="shared" si="391"/>
        <v>0</v>
      </c>
      <c r="R481" s="388" t="b">
        <f t="shared" si="392"/>
        <v>0</v>
      </c>
      <c r="Y481" t="str">
        <f>'Green_rooibos initial weight'!A482</f>
        <v>G478</v>
      </c>
      <c r="Z481" t="str">
        <f>'Green_rooibos initial weight'!A1386</f>
        <v>R478</v>
      </c>
      <c r="AA481" t="b">
        <f t="shared" si="393"/>
        <v>0</v>
      </c>
      <c r="AB481" t="b">
        <f t="shared" si="394"/>
        <v>0</v>
      </c>
      <c r="AX481" s="388" t="b">
        <f t="shared" si="395"/>
        <v>0</v>
      </c>
      <c r="AY481" s="388" t="b">
        <f t="shared" si="396"/>
        <v>0</v>
      </c>
      <c r="BH481">
        <f t="shared" si="397"/>
        <v>0</v>
      </c>
    </row>
    <row r="482" spans="2:60" ht="12" customHeight="1">
      <c r="B482">
        <f>TBIDry!H554</f>
        <v>0</v>
      </c>
      <c r="C482">
        <f>TBIDry!I554</f>
        <v>0</v>
      </c>
      <c r="D482" t="b">
        <f t="shared" si="387"/>
        <v>1</v>
      </c>
      <c r="E482" t="b">
        <f t="shared" si="388"/>
        <v>1</v>
      </c>
      <c r="Q482" s="388" t="b">
        <f t="shared" si="391"/>
        <v>0</v>
      </c>
      <c r="R482" s="388" t="b">
        <f t="shared" si="392"/>
        <v>0</v>
      </c>
      <c r="Y482" t="str">
        <f>'Green_rooibos initial weight'!A483</f>
        <v>G479</v>
      </c>
      <c r="Z482" t="str">
        <f>'Green_rooibos initial weight'!A1387</f>
        <v>R479</v>
      </c>
      <c r="AA482" t="b">
        <f t="shared" si="393"/>
        <v>0</v>
      </c>
      <c r="AB482" t="b">
        <f t="shared" si="394"/>
        <v>0</v>
      </c>
      <c r="AX482" s="388" t="b">
        <f t="shared" si="395"/>
        <v>0</v>
      </c>
      <c r="AY482" s="388" t="b">
        <f t="shared" si="396"/>
        <v>0</v>
      </c>
      <c r="BH482">
        <f t="shared" si="397"/>
        <v>0</v>
      </c>
    </row>
    <row r="483" spans="2:60" ht="12" customHeight="1">
      <c r="B483">
        <f>TBIDry!H555</f>
        <v>0</v>
      </c>
      <c r="C483">
        <f>TBIDry!I555</f>
        <v>0</v>
      </c>
      <c r="D483" t="b">
        <f t="shared" si="387"/>
        <v>1</v>
      </c>
      <c r="E483" t="b">
        <f t="shared" si="388"/>
        <v>1</v>
      </c>
      <c r="Q483" s="388" t="b">
        <f t="shared" si="391"/>
        <v>0</v>
      </c>
      <c r="R483" s="388" t="b">
        <f t="shared" si="392"/>
        <v>0</v>
      </c>
      <c r="Y483" t="str">
        <f>'Green_rooibos initial weight'!A484</f>
        <v>G480</v>
      </c>
      <c r="Z483" t="str">
        <f>'Green_rooibos initial weight'!A1388</f>
        <v>R480</v>
      </c>
      <c r="AA483" t="b">
        <f t="shared" si="393"/>
        <v>0</v>
      </c>
      <c r="AB483" t="b">
        <f t="shared" si="394"/>
        <v>0</v>
      </c>
      <c r="AX483" s="388" t="b">
        <f t="shared" si="395"/>
        <v>0</v>
      </c>
      <c r="AY483" s="388" t="b">
        <f t="shared" si="396"/>
        <v>0</v>
      </c>
      <c r="BH483">
        <f t="shared" si="397"/>
        <v>0</v>
      </c>
    </row>
    <row r="484" spans="2:60" ht="12" customHeight="1">
      <c r="B484">
        <f>TBIDry!H556</f>
        <v>0</v>
      </c>
      <c r="C484">
        <f>TBIDry!I556</f>
        <v>0</v>
      </c>
      <c r="D484" t="b">
        <f t="shared" si="387"/>
        <v>1</v>
      </c>
      <c r="E484" t="b">
        <f t="shared" si="388"/>
        <v>1</v>
      </c>
      <c r="Q484" s="388" t="b">
        <f t="shared" si="391"/>
        <v>0</v>
      </c>
      <c r="R484" s="388" t="b">
        <f t="shared" si="392"/>
        <v>0</v>
      </c>
      <c r="Y484" t="str">
        <f>'Green_rooibos initial weight'!A485</f>
        <v>G481</v>
      </c>
      <c r="Z484" t="str">
        <f>'Green_rooibos initial weight'!A1389</f>
        <v>R481</v>
      </c>
      <c r="AA484" t="b">
        <f t="shared" si="393"/>
        <v>0</v>
      </c>
      <c r="AB484" t="b">
        <f t="shared" si="394"/>
        <v>0</v>
      </c>
      <c r="AX484" s="388" t="b">
        <f t="shared" si="395"/>
        <v>0</v>
      </c>
      <c r="AY484" s="388" t="b">
        <f t="shared" si="396"/>
        <v>0</v>
      </c>
      <c r="BH484">
        <f t="shared" si="397"/>
        <v>0</v>
      </c>
    </row>
    <row r="485" spans="2:60" ht="12" customHeight="1">
      <c r="B485">
        <f>TBIDry!H557</f>
        <v>0</v>
      </c>
      <c r="C485">
        <f>TBIDry!I557</f>
        <v>0</v>
      </c>
      <c r="D485" t="b">
        <f t="shared" si="387"/>
        <v>1</v>
      </c>
      <c r="E485" t="b">
        <f t="shared" si="388"/>
        <v>1</v>
      </c>
      <c r="Q485" s="388" t="b">
        <f t="shared" si="391"/>
        <v>0</v>
      </c>
      <c r="R485" s="388" t="b">
        <f t="shared" si="392"/>
        <v>0</v>
      </c>
      <c r="Y485" t="str">
        <f>'Green_rooibos initial weight'!A486</f>
        <v>G482</v>
      </c>
      <c r="Z485" t="str">
        <f>'Green_rooibos initial weight'!A1390</f>
        <v>R482</v>
      </c>
      <c r="AA485" t="b">
        <f t="shared" si="393"/>
        <v>0</v>
      </c>
      <c r="AB485" t="b">
        <f t="shared" si="394"/>
        <v>0</v>
      </c>
      <c r="AX485" s="388" t="b">
        <f t="shared" si="395"/>
        <v>0</v>
      </c>
      <c r="AY485" s="388" t="b">
        <f t="shared" si="396"/>
        <v>0</v>
      </c>
      <c r="BH485">
        <f t="shared" si="397"/>
        <v>0</v>
      </c>
    </row>
    <row r="486" spans="2:60" ht="12" customHeight="1">
      <c r="B486">
        <f>TBIDry!H558</f>
        <v>0</v>
      </c>
      <c r="C486">
        <f>TBIDry!I558</f>
        <v>0</v>
      </c>
      <c r="D486" t="b">
        <f t="shared" si="387"/>
        <v>1</v>
      </c>
      <c r="E486" t="b">
        <f t="shared" si="388"/>
        <v>1</v>
      </c>
      <c r="Q486" s="388" t="b">
        <f t="shared" si="391"/>
        <v>0</v>
      </c>
      <c r="R486" s="388" t="b">
        <f t="shared" si="392"/>
        <v>0</v>
      </c>
      <c r="Y486" t="str">
        <f>'Green_rooibos initial weight'!A487</f>
        <v>G483</v>
      </c>
      <c r="Z486" t="str">
        <f>'Green_rooibos initial weight'!A1391</f>
        <v>R483</v>
      </c>
      <c r="AA486" t="b">
        <f t="shared" si="393"/>
        <v>0</v>
      </c>
      <c r="AB486" t="b">
        <f t="shared" si="394"/>
        <v>0</v>
      </c>
      <c r="AX486" s="388" t="b">
        <f t="shared" si="395"/>
        <v>0</v>
      </c>
      <c r="AY486" s="388" t="b">
        <f t="shared" si="396"/>
        <v>0</v>
      </c>
      <c r="BH486">
        <f t="shared" si="397"/>
        <v>0</v>
      </c>
    </row>
    <row r="487" spans="2:60" ht="12" customHeight="1">
      <c r="B487">
        <f>TBIDry!H559</f>
        <v>0</v>
      </c>
      <c r="C487">
        <f>TBIDry!I559</f>
        <v>0</v>
      </c>
      <c r="D487" t="b">
        <f t="shared" si="387"/>
        <v>1</v>
      </c>
      <c r="E487" t="b">
        <f t="shared" si="388"/>
        <v>1</v>
      </c>
      <c r="Q487" s="388" t="b">
        <f t="shared" si="391"/>
        <v>0</v>
      </c>
      <c r="R487" s="388" t="b">
        <f t="shared" si="392"/>
        <v>0</v>
      </c>
      <c r="Y487" t="str">
        <f>'Green_rooibos initial weight'!A488</f>
        <v>G484</v>
      </c>
      <c r="Z487" t="str">
        <f>'Green_rooibos initial weight'!A1392</f>
        <v>R484</v>
      </c>
      <c r="AA487" t="b">
        <f t="shared" si="393"/>
        <v>0</v>
      </c>
      <c r="AB487" t="b">
        <f t="shared" si="394"/>
        <v>0</v>
      </c>
      <c r="AX487" s="388" t="b">
        <f t="shared" si="395"/>
        <v>0</v>
      </c>
      <c r="AY487" s="388" t="b">
        <f t="shared" si="396"/>
        <v>0</v>
      </c>
      <c r="BH487">
        <f t="shared" si="397"/>
        <v>0</v>
      </c>
    </row>
    <row r="488" spans="2:60" ht="12" customHeight="1">
      <c r="B488">
        <f>TBIDry!H560</f>
        <v>0</v>
      </c>
      <c r="C488">
        <f>TBIDry!I560</f>
        <v>0</v>
      </c>
      <c r="D488" t="b">
        <f t="shared" si="387"/>
        <v>1</v>
      </c>
      <c r="E488" t="b">
        <f t="shared" si="388"/>
        <v>1</v>
      </c>
      <c r="Q488" s="388" t="b">
        <f t="shared" si="391"/>
        <v>0</v>
      </c>
      <c r="R488" s="388" t="b">
        <f t="shared" si="392"/>
        <v>0</v>
      </c>
      <c r="Y488" t="str">
        <f>'Green_rooibos initial weight'!A489</f>
        <v>G485</v>
      </c>
      <c r="Z488" t="str">
        <f>'Green_rooibos initial weight'!A1393</f>
        <v>R485</v>
      </c>
      <c r="AA488" t="b">
        <f t="shared" si="393"/>
        <v>0</v>
      </c>
      <c r="AB488" t="b">
        <f t="shared" si="394"/>
        <v>0</v>
      </c>
      <c r="AX488" s="388" t="b">
        <f t="shared" si="395"/>
        <v>0</v>
      </c>
      <c r="AY488" s="388" t="b">
        <f t="shared" si="396"/>
        <v>0</v>
      </c>
      <c r="BH488">
        <f t="shared" si="397"/>
        <v>0</v>
      </c>
    </row>
    <row r="489" spans="2:60" ht="12" customHeight="1">
      <c r="B489">
        <f>TBIDry!H561</f>
        <v>0</v>
      </c>
      <c r="C489">
        <f>TBIDry!I561</f>
        <v>0</v>
      </c>
      <c r="D489" t="b">
        <f t="shared" si="387"/>
        <v>1</v>
      </c>
      <c r="E489" t="b">
        <f t="shared" si="388"/>
        <v>1</v>
      </c>
      <c r="Q489" s="388" t="b">
        <f t="shared" si="391"/>
        <v>0</v>
      </c>
      <c r="R489" s="388" t="b">
        <f t="shared" si="392"/>
        <v>0</v>
      </c>
      <c r="Y489" t="str">
        <f>'Green_rooibos initial weight'!A490</f>
        <v>G486</v>
      </c>
      <c r="Z489" t="str">
        <f>'Green_rooibos initial weight'!A1394</f>
        <v>R486</v>
      </c>
      <c r="AA489" t="b">
        <f t="shared" si="393"/>
        <v>0</v>
      </c>
      <c r="AB489" t="b">
        <f t="shared" si="394"/>
        <v>0</v>
      </c>
      <c r="AX489" s="388" t="b">
        <f t="shared" si="395"/>
        <v>0</v>
      </c>
      <c r="AY489" s="388" t="b">
        <f t="shared" si="396"/>
        <v>0</v>
      </c>
      <c r="BH489">
        <f t="shared" si="397"/>
        <v>0</v>
      </c>
    </row>
    <row r="490" spans="2:60" ht="12" customHeight="1">
      <c r="B490">
        <f>TBIDry!H562</f>
        <v>0</v>
      </c>
      <c r="C490">
        <f>TBIDry!I562</f>
        <v>0</v>
      </c>
      <c r="D490" t="b">
        <f t="shared" si="387"/>
        <v>1</v>
      </c>
      <c r="E490" t="b">
        <f t="shared" si="388"/>
        <v>1</v>
      </c>
      <c r="Q490" s="388" t="b">
        <f t="shared" si="391"/>
        <v>0</v>
      </c>
      <c r="R490" s="388" t="b">
        <f t="shared" si="392"/>
        <v>0</v>
      </c>
      <c r="Y490" t="str">
        <f>'Green_rooibos initial weight'!A491</f>
        <v>G487</v>
      </c>
      <c r="Z490" t="str">
        <f>'Green_rooibos initial weight'!A1395</f>
        <v>R487</v>
      </c>
      <c r="AA490" t="b">
        <f t="shared" si="393"/>
        <v>0</v>
      </c>
      <c r="AB490" t="b">
        <f t="shared" si="394"/>
        <v>0</v>
      </c>
      <c r="AX490" s="388" t="b">
        <f t="shared" si="395"/>
        <v>0</v>
      </c>
      <c r="AY490" s="388" t="b">
        <f t="shared" si="396"/>
        <v>0</v>
      </c>
      <c r="BH490">
        <f t="shared" si="397"/>
        <v>0</v>
      </c>
    </row>
    <row r="491" spans="2:60" ht="12" customHeight="1">
      <c r="B491">
        <f>TBIDry!H563</f>
        <v>0</v>
      </c>
      <c r="C491">
        <f>TBIDry!I563</f>
        <v>0</v>
      </c>
      <c r="D491" t="b">
        <f t="shared" si="387"/>
        <v>1</v>
      </c>
      <c r="E491" t="b">
        <f t="shared" si="388"/>
        <v>1</v>
      </c>
      <c r="Q491" s="388" t="b">
        <f t="shared" si="391"/>
        <v>0</v>
      </c>
      <c r="R491" s="388" t="b">
        <f t="shared" si="392"/>
        <v>0</v>
      </c>
      <c r="Y491" t="str">
        <f>'Green_rooibos initial weight'!A492</f>
        <v>G488</v>
      </c>
      <c r="Z491" t="str">
        <f>'Green_rooibos initial weight'!A1396</f>
        <v>R488</v>
      </c>
      <c r="AA491" t="b">
        <f t="shared" si="393"/>
        <v>0</v>
      </c>
      <c r="AB491" t="b">
        <f t="shared" si="394"/>
        <v>0</v>
      </c>
      <c r="AX491" s="388" t="b">
        <f t="shared" si="395"/>
        <v>0</v>
      </c>
      <c r="AY491" s="388" t="b">
        <f t="shared" si="396"/>
        <v>0</v>
      </c>
      <c r="BH491">
        <f t="shared" si="397"/>
        <v>0</v>
      </c>
    </row>
    <row r="492" spans="2:60" ht="12" customHeight="1">
      <c r="B492">
        <f>TBIDry!H564</f>
        <v>0</v>
      </c>
      <c r="C492">
        <f>TBIDry!I564</f>
        <v>0</v>
      </c>
      <c r="D492" t="b">
        <f t="shared" si="387"/>
        <v>1</v>
      </c>
      <c r="E492" t="b">
        <f t="shared" si="388"/>
        <v>1</v>
      </c>
      <c r="Q492" s="388" t="b">
        <f t="shared" si="391"/>
        <v>0</v>
      </c>
      <c r="R492" s="388" t="b">
        <f t="shared" si="392"/>
        <v>0</v>
      </c>
      <c r="Y492" t="str">
        <f>'Green_rooibos initial weight'!A493</f>
        <v>G489</v>
      </c>
      <c r="Z492" t="str">
        <f>'Green_rooibos initial weight'!A1397</f>
        <v>R489</v>
      </c>
      <c r="AA492" t="b">
        <f t="shared" si="393"/>
        <v>0</v>
      </c>
      <c r="AB492" t="b">
        <f t="shared" si="394"/>
        <v>0</v>
      </c>
      <c r="AX492" s="388" t="b">
        <f t="shared" si="395"/>
        <v>0</v>
      </c>
      <c r="AY492" s="388" t="b">
        <f t="shared" si="396"/>
        <v>0</v>
      </c>
      <c r="BH492">
        <f t="shared" si="397"/>
        <v>0</v>
      </c>
    </row>
    <row r="493" spans="2:60" ht="12" customHeight="1">
      <c r="B493">
        <f>TBIDry!H565</f>
        <v>0</v>
      </c>
      <c r="C493">
        <f>TBIDry!I565</f>
        <v>0</v>
      </c>
      <c r="D493" t="b">
        <f t="shared" si="387"/>
        <v>1</v>
      </c>
      <c r="E493" t="b">
        <f t="shared" si="388"/>
        <v>1</v>
      </c>
      <c r="Q493" s="388" t="b">
        <f t="shared" si="391"/>
        <v>0</v>
      </c>
      <c r="R493" s="388" t="b">
        <f t="shared" si="392"/>
        <v>0</v>
      </c>
      <c r="Y493" t="str">
        <f>'Green_rooibos initial weight'!A494</f>
        <v>G490</v>
      </c>
      <c r="Z493" t="str">
        <f>'Green_rooibos initial weight'!A1398</f>
        <v>R490</v>
      </c>
      <c r="AA493" t="b">
        <f t="shared" si="393"/>
        <v>0</v>
      </c>
      <c r="AB493" t="b">
        <f t="shared" si="394"/>
        <v>0</v>
      </c>
      <c r="AX493" s="388" t="b">
        <f t="shared" si="395"/>
        <v>0</v>
      </c>
      <c r="AY493" s="388" t="b">
        <f t="shared" si="396"/>
        <v>0</v>
      </c>
      <c r="BH493">
        <f t="shared" si="397"/>
        <v>0</v>
      </c>
    </row>
    <row r="494" spans="2:60" ht="12" customHeight="1">
      <c r="B494">
        <f>TBIDry!H566</f>
        <v>0</v>
      </c>
      <c r="C494">
        <f>TBIDry!I566</f>
        <v>0</v>
      </c>
      <c r="D494" t="b">
        <f t="shared" si="387"/>
        <v>1</v>
      </c>
      <c r="E494" t="b">
        <f t="shared" si="388"/>
        <v>1</v>
      </c>
      <c r="Q494" s="388" t="b">
        <f t="shared" si="391"/>
        <v>0</v>
      </c>
      <c r="R494" s="388" t="b">
        <f t="shared" si="392"/>
        <v>0</v>
      </c>
      <c r="Y494" t="str">
        <f>'Green_rooibos initial weight'!A495</f>
        <v>G491</v>
      </c>
      <c r="Z494" t="str">
        <f>'Green_rooibos initial weight'!A1399</f>
        <v>R491</v>
      </c>
      <c r="AA494" t="b">
        <f t="shared" si="393"/>
        <v>0</v>
      </c>
      <c r="AB494" t="b">
        <f t="shared" si="394"/>
        <v>0</v>
      </c>
      <c r="AX494" s="388" t="b">
        <f t="shared" si="395"/>
        <v>0</v>
      </c>
      <c r="AY494" s="388" t="b">
        <f t="shared" si="396"/>
        <v>0</v>
      </c>
      <c r="BH494">
        <f t="shared" si="397"/>
        <v>0</v>
      </c>
    </row>
    <row r="495" spans="2:60" ht="12" customHeight="1">
      <c r="B495">
        <f>TBIDry!H567</f>
        <v>0</v>
      </c>
      <c r="C495">
        <f>TBIDry!I567</f>
        <v>0</v>
      </c>
      <c r="D495" t="b">
        <f t="shared" si="387"/>
        <v>1</v>
      </c>
      <c r="E495" t="b">
        <f t="shared" si="388"/>
        <v>1</v>
      </c>
      <c r="Q495" s="388" t="b">
        <f t="shared" si="391"/>
        <v>0</v>
      </c>
      <c r="R495" s="388" t="b">
        <f t="shared" si="392"/>
        <v>0</v>
      </c>
      <c r="Y495" t="str">
        <f>'Green_rooibos initial weight'!A496</f>
        <v>G492</v>
      </c>
      <c r="Z495" t="str">
        <f>'Green_rooibos initial weight'!A1400</f>
        <v>R492</v>
      </c>
      <c r="AA495" t="b">
        <f t="shared" si="393"/>
        <v>0</v>
      </c>
      <c r="AB495" t="b">
        <f t="shared" si="394"/>
        <v>0</v>
      </c>
      <c r="AX495" s="388" t="b">
        <f t="shared" si="395"/>
        <v>0</v>
      </c>
      <c r="AY495" s="388" t="b">
        <f t="shared" si="396"/>
        <v>0</v>
      </c>
      <c r="BH495">
        <f t="shared" si="397"/>
        <v>0</v>
      </c>
    </row>
    <row r="496" spans="2:60" ht="12" customHeight="1">
      <c r="B496">
        <f>TBIDry!H568</f>
        <v>0</v>
      </c>
      <c r="C496">
        <f>TBIDry!I568</f>
        <v>0</v>
      </c>
      <c r="D496" t="b">
        <f t="shared" si="387"/>
        <v>1</v>
      </c>
      <c r="E496" t="b">
        <f t="shared" si="388"/>
        <v>1</v>
      </c>
      <c r="Q496" s="388" t="b">
        <f t="shared" si="391"/>
        <v>0</v>
      </c>
      <c r="R496" s="388" t="b">
        <f t="shared" si="392"/>
        <v>0</v>
      </c>
      <c r="Y496" t="str">
        <f>'Green_rooibos initial weight'!A497</f>
        <v>G493</v>
      </c>
      <c r="Z496" t="str">
        <f>'Green_rooibos initial weight'!A1401</f>
        <v>R493</v>
      </c>
      <c r="AA496" t="b">
        <f t="shared" si="393"/>
        <v>0</v>
      </c>
      <c r="AB496" t="b">
        <f t="shared" si="394"/>
        <v>0</v>
      </c>
      <c r="AX496" s="388" t="b">
        <f t="shared" si="395"/>
        <v>0</v>
      </c>
      <c r="AY496" s="388" t="b">
        <f t="shared" si="396"/>
        <v>0</v>
      </c>
      <c r="BH496">
        <f t="shared" si="397"/>
        <v>0</v>
      </c>
    </row>
    <row r="497" spans="2:60" ht="12" customHeight="1">
      <c r="B497">
        <f>TBIDry!H569</f>
        <v>0</v>
      </c>
      <c r="C497">
        <f>TBIDry!I569</f>
        <v>0</v>
      </c>
      <c r="D497" t="b">
        <f t="shared" si="387"/>
        <v>1</v>
      </c>
      <c r="E497" t="b">
        <f t="shared" si="388"/>
        <v>1</v>
      </c>
      <c r="Q497" s="388" t="b">
        <f t="shared" si="391"/>
        <v>0</v>
      </c>
      <c r="R497" s="388" t="b">
        <f t="shared" si="392"/>
        <v>0</v>
      </c>
      <c r="Y497" t="str">
        <f>'Green_rooibos initial weight'!A498</f>
        <v>G494</v>
      </c>
      <c r="Z497" t="str">
        <f>'Green_rooibos initial weight'!A1402</f>
        <v>R494</v>
      </c>
      <c r="AA497" t="b">
        <f t="shared" si="393"/>
        <v>0</v>
      </c>
      <c r="AB497" t="b">
        <f t="shared" si="394"/>
        <v>0</v>
      </c>
      <c r="AX497" s="388" t="b">
        <f t="shared" si="395"/>
        <v>0</v>
      </c>
      <c r="AY497" s="388" t="b">
        <f t="shared" si="396"/>
        <v>0</v>
      </c>
      <c r="BH497">
        <f t="shared" si="397"/>
        <v>0</v>
      </c>
    </row>
    <row r="498" spans="2:60" ht="12" customHeight="1">
      <c r="B498">
        <f>TBIDry!H570</f>
        <v>0</v>
      </c>
      <c r="C498">
        <f>TBIDry!I570</f>
        <v>0</v>
      </c>
      <c r="D498" t="b">
        <f t="shared" si="387"/>
        <v>1</v>
      </c>
      <c r="E498" t="b">
        <f t="shared" si="388"/>
        <v>1</v>
      </c>
      <c r="Q498" s="388" t="b">
        <f t="shared" si="391"/>
        <v>0</v>
      </c>
      <c r="R498" s="388" t="b">
        <f t="shared" si="392"/>
        <v>0</v>
      </c>
      <c r="Y498" t="str">
        <f>'Green_rooibos initial weight'!A499</f>
        <v>G495</v>
      </c>
      <c r="Z498" t="str">
        <f>'Green_rooibos initial weight'!A1403</f>
        <v>R495</v>
      </c>
      <c r="AA498" t="b">
        <f t="shared" si="393"/>
        <v>0</v>
      </c>
      <c r="AB498" t="b">
        <f t="shared" si="394"/>
        <v>0</v>
      </c>
      <c r="AX498" s="388" t="b">
        <f t="shared" si="395"/>
        <v>0</v>
      </c>
      <c r="AY498" s="388" t="b">
        <f t="shared" si="396"/>
        <v>0</v>
      </c>
      <c r="BH498">
        <f t="shared" si="397"/>
        <v>0</v>
      </c>
    </row>
    <row r="499" spans="2:60" ht="12" customHeight="1">
      <c r="B499">
        <f>TBIDry!H571</f>
        <v>0</v>
      </c>
      <c r="C499">
        <f>TBIDry!I571</f>
        <v>0</v>
      </c>
      <c r="D499" t="b">
        <f t="shared" si="387"/>
        <v>1</v>
      </c>
      <c r="E499" t="b">
        <f t="shared" si="388"/>
        <v>1</v>
      </c>
      <c r="Q499" s="388" t="b">
        <f t="shared" si="391"/>
        <v>0</v>
      </c>
      <c r="R499" s="388" t="b">
        <f t="shared" si="392"/>
        <v>0</v>
      </c>
      <c r="Y499" t="str">
        <f>'Green_rooibos initial weight'!A500</f>
        <v>G496</v>
      </c>
      <c r="Z499" t="str">
        <f>'Green_rooibos initial weight'!A1404</f>
        <v>R496</v>
      </c>
      <c r="AA499" t="b">
        <f t="shared" si="393"/>
        <v>0</v>
      </c>
      <c r="AB499" t="b">
        <f t="shared" si="394"/>
        <v>0</v>
      </c>
      <c r="AX499" s="388" t="b">
        <f t="shared" si="395"/>
        <v>0</v>
      </c>
      <c r="AY499" s="388" t="b">
        <f t="shared" si="396"/>
        <v>0</v>
      </c>
      <c r="BH499">
        <f t="shared" si="397"/>
        <v>0</v>
      </c>
    </row>
    <row r="500" spans="2:60" ht="12" customHeight="1">
      <c r="B500">
        <f>TBIDry!H572</f>
        <v>0</v>
      </c>
      <c r="C500">
        <f>TBIDry!I572</f>
        <v>0</v>
      </c>
      <c r="D500" t="b">
        <f t="shared" si="387"/>
        <v>1</v>
      </c>
      <c r="E500" t="b">
        <f t="shared" si="388"/>
        <v>1</v>
      </c>
      <c r="Q500" s="388" t="b">
        <f t="shared" si="391"/>
        <v>0</v>
      </c>
      <c r="R500" s="388" t="b">
        <f t="shared" si="392"/>
        <v>0</v>
      </c>
      <c r="Y500" t="str">
        <f>'Green_rooibos initial weight'!A501</f>
        <v>G497</v>
      </c>
      <c r="Z500" t="str">
        <f>'Green_rooibos initial weight'!A1405</f>
        <v>R497</v>
      </c>
      <c r="AA500" t="b">
        <f t="shared" si="393"/>
        <v>0</v>
      </c>
      <c r="AB500" t="b">
        <f t="shared" si="394"/>
        <v>0</v>
      </c>
      <c r="AX500" s="388" t="b">
        <f t="shared" si="395"/>
        <v>0</v>
      </c>
      <c r="AY500" s="388" t="b">
        <f t="shared" si="396"/>
        <v>0</v>
      </c>
      <c r="BH500">
        <f t="shared" si="397"/>
        <v>0</v>
      </c>
    </row>
    <row r="501" spans="2:60" ht="12" customHeight="1">
      <c r="B501">
        <f>TBIDry!H573</f>
        <v>0</v>
      </c>
      <c r="C501">
        <f>TBIDry!I573</f>
        <v>0</v>
      </c>
      <c r="D501" t="b">
        <f t="shared" si="387"/>
        <v>1</v>
      </c>
      <c r="E501" t="b">
        <f t="shared" si="388"/>
        <v>1</v>
      </c>
      <c r="Q501" s="388" t="b">
        <f t="shared" si="391"/>
        <v>0</v>
      </c>
      <c r="R501" s="388" t="b">
        <f t="shared" si="392"/>
        <v>0</v>
      </c>
      <c r="Y501" t="str">
        <f>'Green_rooibos initial weight'!A502</f>
        <v>G498</v>
      </c>
      <c r="Z501" t="str">
        <f>'Green_rooibos initial weight'!A1406</f>
        <v>R498</v>
      </c>
      <c r="AA501" t="b">
        <f t="shared" si="393"/>
        <v>0</v>
      </c>
      <c r="AB501" t="b">
        <f t="shared" si="394"/>
        <v>0</v>
      </c>
      <c r="AX501" s="388" t="b">
        <f t="shared" si="395"/>
        <v>0</v>
      </c>
      <c r="AY501" s="388" t="b">
        <f t="shared" si="396"/>
        <v>0</v>
      </c>
      <c r="BH501">
        <f t="shared" si="397"/>
        <v>0</v>
      </c>
    </row>
    <row r="502" spans="2:60" ht="12" customHeight="1">
      <c r="B502">
        <f>TBIDry!H574</f>
        <v>0</v>
      </c>
      <c r="C502">
        <f>TBIDry!I574</f>
        <v>0</v>
      </c>
      <c r="D502" t="b">
        <f t="shared" si="387"/>
        <v>1</v>
      </c>
      <c r="E502" t="b">
        <f t="shared" si="388"/>
        <v>1</v>
      </c>
      <c r="Q502" s="388" t="b">
        <f t="shared" si="391"/>
        <v>0</v>
      </c>
      <c r="R502" s="388" t="b">
        <f t="shared" si="392"/>
        <v>0</v>
      </c>
      <c r="Y502" t="str">
        <f>'Green_rooibos initial weight'!A503</f>
        <v>G499</v>
      </c>
      <c r="Z502" t="str">
        <f>'Green_rooibos initial weight'!A1407</f>
        <v>R499</v>
      </c>
      <c r="AA502" t="b">
        <f t="shared" si="393"/>
        <v>0</v>
      </c>
      <c r="AB502" t="b">
        <f t="shared" si="394"/>
        <v>0</v>
      </c>
      <c r="AX502" s="388" t="b">
        <f t="shared" si="395"/>
        <v>0</v>
      </c>
      <c r="AY502" s="388" t="b">
        <f t="shared" si="396"/>
        <v>0</v>
      </c>
      <c r="BH502">
        <f t="shared" si="397"/>
        <v>0</v>
      </c>
    </row>
    <row r="503" spans="2:60" ht="12" customHeight="1">
      <c r="B503">
        <f>TBIDry!H575</f>
        <v>0</v>
      </c>
      <c r="C503">
        <f>TBIDry!I575</f>
        <v>0</v>
      </c>
      <c r="D503" t="b">
        <f t="shared" si="387"/>
        <v>1</v>
      </c>
      <c r="E503" t="b">
        <f t="shared" si="388"/>
        <v>1</v>
      </c>
      <c r="Q503" s="388" t="b">
        <f t="shared" si="391"/>
        <v>0</v>
      </c>
      <c r="R503" s="388" t="b">
        <f t="shared" si="392"/>
        <v>0</v>
      </c>
      <c r="Y503" t="str">
        <f>'Green_rooibos initial weight'!A504</f>
        <v>G500</v>
      </c>
      <c r="Z503" t="str">
        <f>'Green_rooibos initial weight'!A1408</f>
        <v>R500</v>
      </c>
      <c r="AA503" t="b">
        <f t="shared" si="393"/>
        <v>0</v>
      </c>
      <c r="AB503" t="b">
        <f t="shared" si="394"/>
        <v>0</v>
      </c>
      <c r="AX503" s="388" t="b">
        <f t="shared" si="395"/>
        <v>0</v>
      </c>
      <c r="AY503" s="388" t="b">
        <f t="shared" si="396"/>
        <v>0</v>
      </c>
      <c r="BH503">
        <f t="shared" si="397"/>
        <v>0</v>
      </c>
    </row>
    <row r="504" spans="2:60" ht="12" customHeight="1">
      <c r="B504">
        <f>TBIDry!H576</f>
        <v>0</v>
      </c>
      <c r="C504">
        <f>TBIDry!I576</f>
        <v>0</v>
      </c>
      <c r="D504" t="b">
        <f t="shared" si="387"/>
        <v>1</v>
      </c>
      <c r="E504" t="b">
        <f t="shared" si="388"/>
        <v>1</v>
      </c>
      <c r="Q504" s="388" t="b">
        <f t="shared" si="391"/>
        <v>0</v>
      </c>
      <c r="R504" s="388" t="b">
        <f t="shared" si="392"/>
        <v>0</v>
      </c>
      <c r="Y504" t="str">
        <f>'Green_rooibos initial weight'!A505</f>
        <v>G501</v>
      </c>
      <c r="Z504" t="str">
        <f>'Green_rooibos initial weight'!A1409</f>
        <v>R501</v>
      </c>
      <c r="AA504" t="b">
        <f t="shared" si="393"/>
        <v>0</v>
      </c>
      <c r="AB504" t="b">
        <f t="shared" si="394"/>
        <v>0</v>
      </c>
      <c r="AX504" s="388" t="b">
        <f t="shared" si="395"/>
        <v>0</v>
      </c>
      <c r="AY504" s="388" t="b">
        <f t="shared" si="396"/>
        <v>0</v>
      </c>
      <c r="BH504">
        <f t="shared" si="397"/>
        <v>0</v>
      </c>
    </row>
    <row r="505" spans="2:60" ht="12" customHeight="1">
      <c r="B505">
        <f>TBIDry!H577</f>
        <v>0</v>
      </c>
      <c r="C505">
        <f>TBIDry!I577</f>
        <v>0</v>
      </c>
      <c r="D505" t="b">
        <f t="shared" si="387"/>
        <v>1</v>
      </c>
      <c r="E505" t="b">
        <f t="shared" si="388"/>
        <v>1</v>
      </c>
      <c r="Q505" s="388" t="b">
        <f t="shared" si="391"/>
        <v>0</v>
      </c>
      <c r="R505" s="388" t="b">
        <f t="shared" si="392"/>
        <v>0</v>
      </c>
      <c r="Y505" t="str">
        <f>'Green_rooibos initial weight'!A506</f>
        <v>G502</v>
      </c>
      <c r="Z505" t="str">
        <f>'Green_rooibos initial weight'!A1410</f>
        <v>R502</v>
      </c>
      <c r="AA505" t="b">
        <f t="shared" si="393"/>
        <v>0</v>
      </c>
      <c r="AB505" t="b">
        <f t="shared" si="394"/>
        <v>0</v>
      </c>
      <c r="AX505" s="388" t="b">
        <f t="shared" si="395"/>
        <v>0</v>
      </c>
      <c r="AY505" s="388" t="b">
        <f t="shared" si="396"/>
        <v>0</v>
      </c>
      <c r="BH505">
        <f t="shared" si="397"/>
        <v>0</v>
      </c>
    </row>
    <row r="506" spans="2:60" ht="12" customHeight="1">
      <c r="B506">
        <f>TBIDry!H578</f>
        <v>0</v>
      </c>
      <c r="C506">
        <f>TBIDry!I578</f>
        <v>0</v>
      </c>
      <c r="D506" t="b">
        <f t="shared" si="387"/>
        <v>1</v>
      </c>
      <c r="E506" t="b">
        <f t="shared" si="388"/>
        <v>1</v>
      </c>
      <c r="Q506" s="388" t="b">
        <f t="shared" si="391"/>
        <v>0</v>
      </c>
      <c r="R506" s="388" t="b">
        <f t="shared" si="392"/>
        <v>0</v>
      </c>
      <c r="Y506" t="str">
        <f>'Green_rooibos initial weight'!A507</f>
        <v>G503</v>
      </c>
      <c r="Z506" t="str">
        <f>'Green_rooibos initial weight'!A1411</f>
        <v>R503</v>
      </c>
      <c r="AA506" t="b">
        <f t="shared" si="393"/>
        <v>0</v>
      </c>
      <c r="AB506" t="b">
        <f t="shared" si="394"/>
        <v>0</v>
      </c>
      <c r="AX506" s="388" t="b">
        <f t="shared" si="395"/>
        <v>0</v>
      </c>
      <c r="AY506" s="388" t="b">
        <f t="shared" si="396"/>
        <v>0</v>
      </c>
      <c r="BH506">
        <f t="shared" si="397"/>
        <v>0</v>
      </c>
    </row>
    <row r="507" spans="2:60" ht="12" customHeight="1">
      <c r="B507">
        <f>TBIDry!H579</f>
        <v>0</v>
      </c>
      <c r="C507">
        <f>TBIDry!I579</f>
        <v>0</v>
      </c>
      <c r="D507" t="b">
        <f t="shared" si="387"/>
        <v>1</v>
      </c>
      <c r="E507" t="b">
        <f t="shared" si="388"/>
        <v>1</v>
      </c>
      <c r="Q507" s="388" t="b">
        <f t="shared" si="391"/>
        <v>0</v>
      </c>
      <c r="R507" s="388" t="b">
        <f t="shared" si="392"/>
        <v>0</v>
      </c>
      <c r="Y507" t="str">
        <f>'Green_rooibos initial weight'!A508</f>
        <v>G504</v>
      </c>
      <c r="Z507" t="str">
        <f>'Green_rooibos initial weight'!A1412</f>
        <v>R504</v>
      </c>
      <c r="AA507" t="b">
        <f t="shared" si="393"/>
        <v>0</v>
      </c>
      <c r="AB507" t="b">
        <f t="shared" si="394"/>
        <v>0</v>
      </c>
      <c r="AX507" s="388" t="b">
        <f t="shared" si="395"/>
        <v>0</v>
      </c>
      <c r="AY507" s="388" t="b">
        <f t="shared" si="396"/>
        <v>0</v>
      </c>
      <c r="BH507">
        <f t="shared" si="397"/>
        <v>0</v>
      </c>
    </row>
    <row r="508" spans="2:60" ht="12" customHeight="1">
      <c r="B508">
        <f>TBIDry!H580</f>
        <v>0</v>
      </c>
      <c r="C508">
        <f>TBIDry!I580</f>
        <v>0</v>
      </c>
      <c r="D508" t="b">
        <f t="shared" si="387"/>
        <v>1</v>
      </c>
      <c r="E508" t="b">
        <f t="shared" si="388"/>
        <v>1</v>
      </c>
      <c r="Q508" s="388" t="b">
        <f t="shared" si="391"/>
        <v>0</v>
      </c>
      <c r="R508" s="388" t="b">
        <f t="shared" si="392"/>
        <v>0</v>
      </c>
      <c r="Y508" t="str">
        <f>'Green_rooibos initial weight'!A509</f>
        <v>G505</v>
      </c>
      <c r="Z508" t="str">
        <f>'Green_rooibos initial weight'!A1413</f>
        <v>R505</v>
      </c>
      <c r="AA508" t="b">
        <f t="shared" si="393"/>
        <v>0</v>
      </c>
      <c r="AB508" t="b">
        <f t="shared" si="394"/>
        <v>0</v>
      </c>
      <c r="AX508" s="388" t="b">
        <f t="shared" si="395"/>
        <v>0</v>
      </c>
      <c r="AY508" s="388" t="b">
        <f t="shared" si="396"/>
        <v>0</v>
      </c>
      <c r="BH508">
        <f t="shared" si="397"/>
        <v>0</v>
      </c>
    </row>
    <row r="509" spans="2:60" ht="12" customHeight="1">
      <c r="B509">
        <f>TBIDry!H581</f>
        <v>0</v>
      </c>
      <c r="C509">
        <f>TBIDry!I581</f>
        <v>0</v>
      </c>
      <c r="D509" t="b">
        <f t="shared" si="387"/>
        <v>1</v>
      </c>
      <c r="E509" t="b">
        <f t="shared" si="388"/>
        <v>1</v>
      </c>
      <c r="Q509" s="388" t="b">
        <f t="shared" si="391"/>
        <v>0</v>
      </c>
      <c r="R509" s="388" t="b">
        <f t="shared" si="392"/>
        <v>0</v>
      </c>
      <c r="Y509" t="str">
        <f>'Green_rooibos initial weight'!A510</f>
        <v>G506</v>
      </c>
      <c r="Z509" t="str">
        <f>'Green_rooibos initial weight'!A1414</f>
        <v>R506</v>
      </c>
      <c r="AA509" t="b">
        <f t="shared" si="393"/>
        <v>0</v>
      </c>
      <c r="AB509" t="b">
        <f t="shared" si="394"/>
        <v>0</v>
      </c>
      <c r="AX509" s="388" t="b">
        <f t="shared" si="395"/>
        <v>0</v>
      </c>
      <c r="AY509" s="388" t="b">
        <f t="shared" si="396"/>
        <v>0</v>
      </c>
      <c r="BH509">
        <f t="shared" si="397"/>
        <v>0</v>
      </c>
    </row>
    <row r="510" spans="2:60" ht="12" customHeight="1">
      <c r="B510">
        <f>TBIDry!H582</f>
        <v>0</v>
      </c>
      <c r="C510">
        <f>TBIDry!I582</f>
        <v>0</v>
      </c>
      <c r="D510" t="b">
        <f t="shared" si="387"/>
        <v>1</v>
      </c>
      <c r="E510" t="b">
        <f t="shared" si="388"/>
        <v>1</v>
      </c>
      <c r="Q510" s="388" t="b">
        <f t="shared" si="391"/>
        <v>0</v>
      </c>
      <c r="R510" s="388" t="b">
        <f t="shared" si="392"/>
        <v>0</v>
      </c>
      <c r="Y510" t="str">
        <f>'Green_rooibos initial weight'!A511</f>
        <v>G507</v>
      </c>
      <c r="Z510" t="str">
        <f>'Green_rooibos initial weight'!A1415</f>
        <v>R507</v>
      </c>
      <c r="AA510" t="b">
        <f t="shared" si="393"/>
        <v>0</v>
      </c>
      <c r="AB510" t="b">
        <f t="shared" si="394"/>
        <v>0</v>
      </c>
      <c r="AX510" s="388" t="b">
        <f t="shared" si="395"/>
        <v>0</v>
      </c>
      <c r="AY510" s="388" t="b">
        <f t="shared" si="396"/>
        <v>0</v>
      </c>
      <c r="BH510">
        <f t="shared" si="397"/>
        <v>0</v>
      </c>
    </row>
    <row r="511" spans="2:60" ht="12" customHeight="1">
      <c r="B511">
        <f>TBIDry!H583</f>
        <v>0</v>
      </c>
      <c r="C511">
        <f>TBIDry!I583</f>
        <v>0</v>
      </c>
      <c r="D511" t="b">
        <f t="shared" si="387"/>
        <v>1</v>
      </c>
      <c r="E511" t="b">
        <f t="shared" si="388"/>
        <v>1</v>
      </c>
      <c r="Q511" s="388" t="b">
        <f t="shared" si="391"/>
        <v>0</v>
      </c>
      <c r="R511" s="388" t="b">
        <f t="shared" si="392"/>
        <v>0</v>
      </c>
      <c r="Y511" t="str">
        <f>'Green_rooibos initial weight'!A512</f>
        <v>G508</v>
      </c>
      <c r="Z511" t="str">
        <f>'Green_rooibos initial weight'!A1416</f>
        <v>R508</v>
      </c>
      <c r="AA511" t="b">
        <f t="shared" si="393"/>
        <v>0</v>
      </c>
      <c r="AB511" t="b">
        <f t="shared" si="394"/>
        <v>0</v>
      </c>
      <c r="AX511" s="388" t="b">
        <f t="shared" si="395"/>
        <v>0</v>
      </c>
      <c r="AY511" s="388" t="b">
        <f t="shared" si="396"/>
        <v>0</v>
      </c>
      <c r="BH511">
        <f t="shared" si="397"/>
        <v>0</v>
      </c>
    </row>
    <row r="512" spans="2:60" ht="12" customHeight="1">
      <c r="B512">
        <f>TBIDry!H584</f>
        <v>0</v>
      </c>
      <c r="C512">
        <f>TBIDry!I584</f>
        <v>0</v>
      </c>
      <c r="D512" t="b">
        <f t="shared" si="387"/>
        <v>1</v>
      </c>
      <c r="E512" t="b">
        <f t="shared" si="388"/>
        <v>1</v>
      </c>
      <c r="Q512" s="388" t="b">
        <f t="shared" si="391"/>
        <v>0</v>
      </c>
      <c r="R512" s="388" t="b">
        <f t="shared" si="392"/>
        <v>0</v>
      </c>
      <c r="Y512" t="str">
        <f>'Green_rooibos initial weight'!A513</f>
        <v>G509</v>
      </c>
      <c r="Z512" t="str">
        <f>'Green_rooibos initial weight'!A1417</f>
        <v>R509</v>
      </c>
      <c r="AA512" t="b">
        <f t="shared" si="393"/>
        <v>0</v>
      </c>
      <c r="AB512" t="b">
        <f t="shared" si="394"/>
        <v>0</v>
      </c>
      <c r="AX512" s="388" t="b">
        <f t="shared" si="395"/>
        <v>0</v>
      </c>
      <c r="AY512" s="388" t="b">
        <f t="shared" si="396"/>
        <v>0</v>
      </c>
      <c r="BH512">
        <f t="shared" si="397"/>
        <v>0</v>
      </c>
    </row>
    <row r="513" spans="2:60" ht="12" customHeight="1">
      <c r="B513">
        <f>TBIDry!H585</f>
        <v>0</v>
      </c>
      <c r="C513">
        <f>TBIDry!I585</f>
        <v>0</v>
      </c>
      <c r="D513" t="b">
        <f t="shared" si="387"/>
        <v>1</v>
      </c>
      <c r="E513" t="b">
        <f t="shared" si="388"/>
        <v>1</v>
      </c>
      <c r="Q513" s="388" t="b">
        <f t="shared" si="391"/>
        <v>0</v>
      </c>
      <c r="R513" s="388" t="b">
        <f t="shared" si="392"/>
        <v>0</v>
      </c>
      <c r="Y513" t="str">
        <f>'Green_rooibos initial weight'!A514</f>
        <v>G510</v>
      </c>
      <c r="Z513" t="str">
        <f>'Green_rooibos initial weight'!A1418</f>
        <v>R510</v>
      </c>
      <c r="AA513" t="b">
        <f t="shared" si="393"/>
        <v>0</v>
      </c>
      <c r="AB513" t="b">
        <f t="shared" si="394"/>
        <v>0</v>
      </c>
      <c r="AX513" s="388" t="b">
        <f t="shared" si="395"/>
        <v>0</v>
      </c>
      <c r="AY513" s="388" t="b">
        <f t="shared" si="396"/>
        <v>0</v>
      </c>
      <c r="BH513">
        <f t="shared" si="397"/>
        <v>0</v>
      </c>
    </row>
    <row r="514" spans="2:60" ht="12" customHeight="1">
      <c r="B514">
        <f>TBIDry!H586</f>
        <v>0</v>
      </c>
      <c r="C514">
        <f>TBIDry!I586</f>
        <v>0</v>
      </c>
      <c r="D514" t="b">
        <f t="shared" si="387"/>
        <v>1</v>
      </c>
      <c r="E514" t="b">
        <f t="shared" si="388"/>
        <v>1</v>
      </c>
      <c r="Q514" s="388" t="b">
        <f t="shared" si="391"/>
        <v>0</v>
      </c>
      <c r="R514" s="388" t="b">
        <f t="shared" si="392"/>
        <v>0</v>
      </c>
      <c r="Y514" t="str">
        <f>'Green_rooibos initial weight'!A515</f>
        <v>G511</v>
      </c>
      <c r="Z514" t="str">
        <f>'Green_rooibos initial weight'!A1419</f>
        <v>R511</v>
      </c>
      <c r="AA514" t="b">
        <f t="shared" si="393"/>
        <v>0</v>
      </c>
      <c r="AB514" t="b">
        <f t="shared" si="394"/>
        <v>0</v>
      </c>
      <c r="AX514" s="388" t="b">
        <f t="shared" si="395"/>
        <v>0</v>
      </c>
      <c r="AY514" s="388" t="b">
        <f t="shared" si="396"/>
        <v>0</v>
      </c>
      <c r="BH514">
        <f t="shared" si="397"/>
        <v>0</v>
      </c>
    </row>
    <row r="515" spans="2:60" ht="12" customHeight="1">
      <c r="B515">
        <f>TBIDry!H587</f>
        <v>0</v>
      </c>
      <c r="C515">
        <f>TBIDry!I587</f>
        <v>0</v>
      </c>
      <c r="D515" t="b">
        <f t="shared" si="387"/>
        <v>1</v>
      </c>
      <c r="E515" t="b">
        <f t="shared" si="388"/>
        <v>1</v>
      </c>
      <c r="Q515" s="388" t="b">
        <f t="shared" si="391"/>
        <v>0</v>
      </c>
      <c r="R515" s="388" t="b">
        <f t="shared" si="392"/>
        <v>0</v>
      </c>
      <c r="Y515" t="str">
        <f>'Green_rooibos initial weight'!A516</f>
        <v>G512</v>
      </c>
      <c r="Z515" t="str">
        <f>'Green_rooibos initial weight'!A1420</f>
        <v>R512</v>
      </c>
      <c r="AA515" t="b">
        <f t="shared" si="393"/>
        <v>0</v>
      </c>
      <c r="AB515" t="b">
        <f t="shared" si="394"/>
        <v>0</v>
      </c>
      <c r="AX515" s="388" t="b">
        <f t="shared" si="395"/>
        <v>0</v>
      </c>
      <c r="AY515" s="388" t="b">
        <f t="shared" si="396"/>
        <v>0</v>
      </c>
      <c r="BH515">
        <f t="shared" si="397"/>
        <v>0</v>
      </c>
    </row>
    <row r="516" spans="2:60" ht="12" customHeight="1">
      <c r="B516">
        <f>TBIDry!H588</f>
        <v>0</v>
      </c>
      <c r="C516">
        <f>TBIDry!I588</f>
        <v>0</v>
      </c>
      <c r="D516" t="b">
        <f t="shared" si="387"/>
        <v>1</v>
      </c>
      <c r="E516" t="b">
        <f t="shared" si="388"/>
        <v>1</v>
      </c>
      <c r="Q516" s="388" t="b">
        <f t="shared" si="391"/>
        <v>0</v>
      </c>
      <c r="R516" s="388" t="b">
        <f t="shared" si="392"/>
        <v>0</v>
      </c>
      <c r="Y516" t="str">
        <f>'Green_rooibos initial weight'!A517</f>
        <v>G513</v>
      </c>
      <c r="Z516" t="str">
        <f>'Green_rooibos initial weight'!A1421</f>
        <v>R513</v>
      </c>
      <c r="AA516" t="b">
        <f t="shared" si="393"/>
        <v>0</v>
      </c>
      <c r="AB516" t="b">
        <f t="shared" si="394"/>
        <v>0</v>
      </c>
      <c r="AX516" s="388" t="b">
        <f t="shared" si="395"/>
        <v>0</v>
      </c>
      <c r="AY516" s="388" t="b">
        <f t="shared" si="396"/>
        <v>0</v>
      </c>
      <c r="BH516">
        <f t="shared" si="397"/>
        <v>0</v>
      </c>
    </row>
    <row r="517" spans="2:60" ht="12" customHeight="1">
      <c r="B517">
        <f>TBIDry!H589</f>
        <v>0</v>
      </c>
      <c r="C517">
        <f>TBIDry!I589</f>
        <v>0</v>
      </c>
      <c r="D517" t="b">
        <f t="shared" ref="D517:D580" si="399">COUNTIF($B$4:$B$2000, B517)&gt;1</f>
        <v>1</v>
      </c>
      <c r="E517" t="b">
        <f t="shared" ref="E517:E580" si="400">COUNTIF($C$4:$C$2000, C517)&gt;1</f>
        <v>1</v>
      </c>
      <c r="Q517" s="388" t="b">
        <f t="shared" ref="Q517:Q525" si="401">COUNTIF($T$4:$T$2000, L517)=1</f>
        <v>0</v>
      </c>
      <c r="R517" s="388" t="b">
        <f t="shared" ref="R517:R525" si="402" xml:space="preserve"> COUNTIF($U$4:$U$2000,M517)=1</f>
        <v>0</v>
      </c>
      <c r="Y517" t="str">
        <f>'Green_rooibos initial weight'!A518</f>
        <v>G514</v>
      </c>
      <c r="Z517" t="str">
        <f>'Green_rooibos initial weight'!A1422</f>
        <v>R514</v>
      </c>
      <c r="AA517" t="b">
        <f t="shared" ref="AA517:AA580" si="403">COUNTIF($Y$4:$Y$2000, Y517)&gt;1</f>
        <v>0</v>
      </c>
      <c r="AB517" t="b">
        <f t="shared" ref="AB517:AB580" si="404">COUNTIF($Z$4:$Z$2000, Z517)&gt;1</f>
        <v>0</v>
      </c>
      <c r="AX517" s="388" t="b">
        <f t="shared" ref="AX517:AX525" si="405">COUNTIF($BA$4:$BA$2000, AS517)=1</f>
        <v>0</v>
      </c>
      <c r="AY517" s="388" t="b">
        <f t="shared" ref="AY517:AY525" si="406">COUNTIF($BB$4:$BB$2000, AT517)=1</f>
        <v>0</v>
      </c>
      <c r="BH517">
        <f t="shared" ref="BH517:BH580" si="407">B516</f>
        <v>0</v>
      </c>
    </row>
    <row r="518" spans="2:60" ht="12" customHeight="1">
      <c r="B518">
        <f>TBIDry!H590</f>
        <v>0</v>
      </c>
      <c r="C518">
        <f>TBIDry!I590</f>
        <v>0</v>
      </c>
      <c r="D518" t="b">
        <f t="shared" si="399"/>
        <v>1</v>
      </c>
      <c r="E518" t="b">
        <f t="shared" si="400"/>
        <v>1</v>
      </c>
      <c r="Q518" s="388" t="b">
        <f t="shared" si="401"/>
        <v>0</v>
      </c>
      <c r="R518" s="388" t="b">
        <f t="shared" si="402"/>
        <v>0</v>
      </c>
      <c r="Y518" t="str">
        <f>'Green_rooibos initial weight'!A519</f>
        <v>G515</v>
      </c>
      <c r="Z518" t="str">
        <f>'Green_rooibos initial weight'!A1423</f>
        <v>R515</v>
      </c>
      <c r="AA518" t="b">
        <f t="shared" si="403"/>
        <v>0</v>
      </c>
      <c r="AB518" t="b">
        <f t="shared" si="404"/>
        <v>0</v>
      </c>
      <c r="AX518" s="388" t="b">
        <f t="shared" si="405"/>
        <v>0</v>
      </c>
      <c r="AY518" s="388" t="b">
        <f t="shared" si="406"/>
        <v>0</v>
      </c>
      <c r="BH518">
        <f t="shared" si="407"/>
        <v>0</v>
      </c>
    </row>
    <row r="519" spans="2:60" ht="12" customHeight="1">
      <c r="B519">
        <f>TBIDry!H591</f>
        <v>0</v>
      </c>
      <c r="C519">
        <f>TBIDry!I591</f>
        <v>0</v>
      </c>
      <c r="D519" t="b">
        <f t="shared" si="399"/>
        <v>1</v>
      </c>
      <c r="E519" t="b">
        <f t="shared" si="400"/>
        <v>1</v>
      </c>
      <c r="Q519" s="388" t="b">
        <f t="shared" si="401"/>
        <v>0</v>
      </c>
      <c r="R519" s="388" t="b">
        <f t="shared" si="402"/>
        <v>0</v>
      </c>
      <c r="Y519" t="str">
        <f>'Green_rooibos initial weight'!A520</f>
        <v>G516</v>
      </c>
      <c r="Z519" t="str">
        <f>'Green_rooibos initial weight'!A1424</f>
        <v>R516</v>
      </c>
      <c r="AA519" t="b">
        <f t="shared" si="403"/>
        <v>0</v>
      </c>
      <c r="AB519" t="b">
        <f t="shared" si="404"/>
        <v>0</v>
      </c>
      <c r="AX519" s="388" t="b">
        <f t="shared" si="405"/>
        <v>0</v>
      </c>
      <c r="AY519" s="388" t="b">
        <f t="shared" si="406"/>
        <v>0</v>
      </c>
      <c r="BH519">
        <f t="shared" si="407"/>
        <v>0</v>
      </c>
    </row>
    <row r="520" spans="2:60" ht="12" customHeight="1">
      <c r="B520">
        <f>TBIDry!H592</f>
        <v>0</v>
      </c>
      <c r="C520">
        <f>TBIDry!I592</f>
        <v>0</v>
      </c>
      <c r="D520" t="b">
        <f t="shared" si="399"/>
        <v>1</v>
      </c>
      <c r="E520" t="b">
        <f t="shared" si="400"/>
        <v>1</v>
      </c>
      <c r="Q520" s="388" t="b">
        <f t="shared" si="401"/>
        <v>0</v>
      </c>
      <c r="R520" s="388" t="b">
        <f t="shared" si="402"/>
        <v>0</v>
      </c>
      <c r="Y520" t="str">
        <f>'Green_rooibos initial weight'!A521</f>
        <v>G517</v>
      </c>
      <c r="Z520" t="str">
        <f>'Green_rooibos initial weight'!A1425</f>
        <v>R517</v>
      </c>
      <c r="AA520" t="b">
        <f t="shared" si="403"/>
        <v>0</v>
      </c>
      <c r="AB520" t="b">
        <f t="shared" si="404"/>
        <v>0</v>
      </c>
      <c r="AX520" s="388" t="b">
        <f t="shared" si="405"/>
        <v>0</v>
      </c>
      <c r="AY520" s="388" t="b">
        <f t="shared" si="406"/>
        <v>0</v>
      </c>
      <c r="BH520">
        <f t="shared" si="407"/>
        <v>0</v>
      </c>
    </row>
    <row r="521" spans="2:60" ht="12" customHeight="1">
      <c r="B521">
        <f>TBIDry!H593</f>
        <v>0</v>
      </c>
      <c r="C521">
        <f>TBIDry!I593</f>
        <v>0</v>
      </c>
      <c r="D521" t="b">
        <f t="shared" si="399"/>
        <v>1</v>
      </c>
      <c r="E521" t="b">
        <f t="shared" si="400"/>
        <v>1</v>
      </c>
      <c r="Q521" s="388" t="b">
        <f t="shared" si="401"/>
        <v>0</v>
      </c>
      <c r="R521" s="388" t="b">
        <f t="shared" si="402"/>
        <v>0</v>
      </c>
      <c r="Y521" t="str">
        <f>'Green_rooibos initial weight'!A522</f>
        <v>G518</v>
      </c>
      <c r="Z521" t="str">
        <f>'Green_rooibos initial weight'!A1426</f>
        <v>R518</v>
      </c>
      <c r="AA521" t="b">
        <f t="shared" si="403"/>
        <v>0</v>
      </c>
      <c r="AB521" t="b">
        <f t="shared" si="404"/>
        <v>0</v>
      </c>
      <c r="AX521" s="388" t="b">
        <f t="shared" si="405"/>
        <v>0</v>
      </c>
      <c r="AY521" s="388" t="b">
        <f t="shared" si="406"/>
        <v>0</v>
      </c>
      <c r="BH521">
        <f t="shared" si="407"/>
        <v>0</v>
      </c>
    </row>
    <row r="522" spans="2:60" ht="12" customHeight="1">
      <c r="B522">
        <f>TBIDry!H594</f>
        <v>0</v>
      </c>
      <c r="C522">
        <f>TBIDry!I594</f>
        <v>0</v>
      </c>
      <c r="D522" t="b">
        <f t="shared" si="399"/>
        <v>1</v>
      </c>
      <c r="E522" t="b">
        <f t="shared" si="400"/>
        <v>1</v>
      </c>
      <c r="Q522" s="388" t="b">
        <f t="shared" si="401"/>
        <v>0</v>
      </c>
      <c r="R522" s="388" t="b">
        <f t="shared" si="402"/>
        <v>0</v>
      </c>
      <c r="Y522" t="str">
        <f>'Green_rooibos initial weight'!A523</f>
        <v>G519</v>
      </c>
      <c r="Z522" t="str">
        <f>'Green_rooibos initial weight'!A1427</f>
        <v>R519</v>
      </c>
      <c r="AA522" t="b">
        <f t="shared" si="403"/>
        <v>0</v>
      </c>
      <c r="AB522" t="b">
        <f t="shared" si="404"/>
        <v>0</v>
      </c>
      <c r="AX522" s="388" t="b">
        <f t="shared" si="405"/>
        <v>0</v>
      </c>
      <c r="AY522" s="388" t="b">
        <f t="shared" si="406"/>
        <v>0</v>
      </c>
      <c r="BH522">
        <f t="shared" si="407"/>
        <v>0</v>
      </c>
    </row>
    <row r="523" spans="2:60" ht="12" customHeight="1">
      <c r="B523">
        <f>TBIDry!H595</f>
        <v>0</v>
      </c>
      <c r="C523">
        <f>TBIDry!I595</f>
        <v>0</v>
      </c>
      <c r="D523" t="b">
        <f t="shared" si="399"/>
        <v>1</v>
      </c>
      <c r="E523" t="b">
        <f t="shared" si="400"/>
        <v>1</v>
      </c>
      <c r="Q523" s="388" t="b">
        <f t="shared" si="401"/>
        <v>0</v>
      </c>
      <c r="R523" s="388" t="b">
        <f t="shared" si="402"/>
        <v>0</v>
      </c>
      <c r="Y523" t="str">
        <f>'Green_rooibos initial weight'!A524</f>
        <v>G520</v>
      </c>
      <c r="Z523" t="str">
        <f>'Green_rooibos initial weight'!A1428</f>
        <v>R520</v>
      </c>
      <c r="AA523" t="b">
        <f t="shared" si="403"/>
        <v>0</v>
      </c>
      <c r="AB523" t="b">
        <f t="shared" si="404"/>
        <v>0</v>
      </c>
      <c r="AX523" s="388" t="b">
        <f t="shared" si="405"/>
        <v>0</v>
      </c>
      <c r="AY523" s="388" t="b">
        <f t="shared" si="406"/>
        <v>0</v>
      </c>
      <c r="BH523">
        <f t="shared" si="407"/>
        <v>0</v>
      </c>
    </row>
    <row r="524" spans="2:60" ht="12" customHeight="1">
      <c r="B524">
        <f>TBIDry!H596</f>
        <v>0</v>
      </c>
      <c r="C524">
        <f>TBIDry!I596</f>
        <v>0</v>
      </c>
      <c r="D524" t="b">
        <f t="shared" si="399"/>
        <v>1</v>
      </c>
      <c r="E524" t="b">
        <f t="shared" si="400"/>
        <v>1</v>
      </c>
      <c r="Q524" s="388" t="b">
        <f t="shared" si="401"/>
        <v>0</v>
      </c>
      <c r="R524" s="388" t="b">
        <f t="shared" si="402"/>
        <v>0</v>
      </c>
      <c r="Y524" t="str">
        <f>'Green_rooibos initial weight'!A525</f>
        <v>G521</v>
      </c>
      <c r="Z524" t="str">
        <f>'Green_rooibos initial weight'!A1429</f>
        <v>R521</v>
      </c>
      <c r="AA524" t="b">
        <f t="shared" si="403"/>
        <v>0</v>
      </c>
      <c r="AB524" t="b">
        <f t="shared" si="404"/>
        <v>0</v>
      </c>
      <c r="AX524" s="388" t="b">
        <f t="shared" si="405"/>
        <v>0</v>
      </c>
      <c r="AY524" s="388" t="b">
        <f t="shared" si="406"/>
        <v>0</v>
      </c>
      <c r="BH524">
        <f t="shared" si="407"/>
        <v>0</v>
      </c>
    </row>
    <row r="525" spans="2:60" ht="12" customHeight="1">
      <c r="B525">
        <f>TBIDry!H597</f>
        <v>0</v>
      </c>
      <c r="C525">
        <f>TBIDry!I597</f>
        <v>0</v>
      </c>
      <c r="D525" t="b">
        <f t="shared" si="399"/>
        <v>1</v>
      </c>
      <c r="E525" t="b">
        <f t="shared" si="400"/>
        <v>1</v>
      </c>
      <c r="Q525" s="388" t="b">
        <f t="shared" si="401"/>
        <v>0</v>
      </c>
      <c r="R525" s="388" t="b">
        <f t="shared" si="402"/>
        <v>0</v>
      </c>
      <c r="Y525" t="str">
        <f>'Green_rooibos initial weight'!A526</f>
        <v>G522</v>
      </c>
      <c r="Z525" t="str">
        <f>'Green_rooibos initial weight'!A1430</f>
        <v>R522</v>
      </c>
      <c r="AA525" t="b">
        <f t="shared" si="403"/>
        <v>0</v>
      </c>
      <c r="AB525" t="b">
        <f t="shared" si="404"/>
        <v>0</v>
      </c>
      <c r="AX525" s="388" t="b">
        <f t="shared" si="405"/>
        <v>0</v>
      </c>
      <c r="AY525" s="388" t="b">
        <f t="shared" si="406"/>
        <v>0</v>
      </c>
      <c r="BH525">
        <f t="shared" si="407"/>
        <v>0</v>
      </c>
    </row>
    <row r="526" spans="2:60" ht="12" customHeight="1">
      <c r="B526">
        <f>TBIDry!H598</f>
        <v>0</v>
      </c>
      <c r="C526">
        <f>TBIDry!I598</f>
        <v>0</v>
      </c>
      <c r="D526" t="b">
        <f t="shared" si="399"/>
        <v>1</v>
      </c>
      <c r="E526" t="b">
        <f t="shared" si="400"/>
        <v>1</v>
      </c>
      <c r="Y526" t="str">
        <f>'Green_rooibos initial weight'!A527</f>
        <v>G523</v>
      </c>
      <c r="Z526" t="str">
        <f>'Green_rooibos initial weight'!A1431</f>
        <v>R523</v>
      </c>
      <c r="AA526" t="b">
        <f t="shared" si="403"/>
        <v>0</v>
      </c>
      <c r="AB526" t="b">
        <f t="shared" si="404"/>
        <v>0</v>
      </c>
      <c r="BH526">
        <f t="shared" si="407"/>
        <v>0</v>
      </c>
    </row>
    <row r="527" spans="2:60" ht="12" customHeight="1">
      <c r="B527">
        <f>TBIDry!H599</f>
        <v>0</v>
      </c>
      <c r="C527">
        <f>TBIDry!I599</f>
        <v>0</v>
      </c>
      <c r="D527" t="b">
        <f t="shared" si="399"/>
        <v>1</v>
      </c>
      <c r="E527" t="b">
        <f t="shared" si="400"/>
        <v>1</v>
      </c>
      <c r="Y527" t="str">
        <f>'Green_rooibos initial weight'!A528</f>
        <v>G524</v>
      </c>
      <c r="Z527" t="str">
        <f>'Green_rooibos initial weight'!A1432</f>
        <v>R524</v>
      </c>
      <c r="AA527" t="b">
        <f t="shared" si="403"/>
        <v>0</v>
      </c>
      <c r="AB527" t="b">
        <f t="shared" si="404"/>
        <v>0</v>
      </c>
      <c r="BH527">
        <f t="shared" si="407"/>
        <v>0</v>
      </c>
    </row>
    <row r="528" spans="2:60" ht="12" customHeight="1">
      <c r="B528">
        <f>TBIDry!H600</f>
        <v>0</v>
      </c>
      <c r="C528">
        <f>TBIDry!I600</f>
        <v>0</v>
      </c>
      <c r="D528" t="b">
        <f t="shared" si="399"/>
        <v>1</v>
      </c>
      <c r="E528" t="b">
        <f t="shared" si="400"/>
        <v>1</v>
      </c>
      <c r="Y528" t="str">
        <f>'Green_rooibos initial weight'!A529</f>
        <v>G525</v>
      </c>
      <c r="Z528" t="str">
        <f>'Green_rooibos initial weight'!A1433</f>
        <v>R525</v>
      </c>
      <c r="AA528" t="b">
        <f t="shared" si="403"/>
        <v>0</v>
      </c>
      <c r="AB528" t="b">
        <f t="shared" si="404"/>
        <v>0</v>
      </c>
      <c r="BH528">
        <f t="shared" si="407"/>
        <v>0</v>
      </c>
    </row>
    <row r="529" spans="2:60" ht="12" customHeight="1">
      <c r="B529">
        <f>TBIDry!H601</f>
        <v>0</v>
      </c>
      <c r="C529">
        <f>TBIDry!I601</f>
        <v>0</v>
      </c>
      <c r="D529" t="b">
        <f t="shared" si="399"/>
        <v>1</v>
      </c>
      <c r="E529" t="b">
        <f t="shared" si="400"/>
        <v>1</v>
      </c>
      <c r="Y529" t="str">
        <f>'Green_rooibos initial weight'!A530</f>
        <v>G526</v>
      </c>
      <c r="Z529" t="str">
        <f>'Green_rooibos initial weight'!A1434</f>
        <v>R526</v>
      </c>
      <c r="AA529" t="b">
        <f t="shared" si="403"/>
        <v>0</v>
      </c>
      <c r="AB529" t="b">
        <f t="shared" si="404"/>
        <v>0</v>
      </c>
      <c r="BH529">
        <f t="shared" si="407"/>
        <v>0</v>
      </c>
    </row>
    <row r="530" spans="2:60" ht="12" customHeight="1">
      <c r="B530">
        <f>TBIDry!H602</f>
        <v>0</v>
      </c>
      <c r="C530">
        <f>TBIDry!I602</f>
        <v>0</v>
      </c>
      <c r="D530" t="b">
        <f t="shared" si="399"/>
        <v>1</v>
      </c>
      <c r="E530" t="b">
        <f t="shared" si="400"/>
        <v>1</v>
      </c>
      <c r="Y530" t="str">
        <f>'Green_rooibos initial weight'!A531</f>
        <v>G527</v>
      </c>
      <c r="Z530" t="str">
        <f>'Green_rooibos initial weight'!A1435</f>
        <v>R527</v>
      </c>
      <c r="AA530" t="b">
        <f t="shared" si="403"/>
        <v>0</v>
      </c>
      <c r="AB530" t="b">
        <f t="shared" si="404"/>
        <v>0</v>
      </c>
      <c r="BH530">
        <f t="shared" si="407"/>
        <v>0</v>
      </c>
    </row>
    <row r="531" spans="2:60" ht="12" customHeight="1">
      <c r="B531">
        <f>TBIDry!H603</f>
        <v>0</v>
      </c>
      <c r="C531">
        <f>TBIDry!I603</f>
        <v>0</v>
      </c>
      <c r="D531" t="b">
        <f t="shared" si="399"/>
        <v>1</v>
      </c>
      <c r="E531" t="b">
        <f t="shared" si="400"/>
        <v>1</v>
      </c>
      <c r="Y531" t="str">
        <f>'Green_rooibos initial weight'!A532</f>
        <v>G528</v>
      </c>
      <c r="Z531" t="str">
        <f>'Green_rooibos initial weight'!A1436</f>
        <v>R528</v>
      </c>
      <c r="AA531" t="b">
        <f t="shared" si="403"/>
        <v>0</v>
      </c>
      <c r="AB531" t="b">
        <f t="shared" si="404"/>
        <v>0</v>
      </c>
      <c r="BH531">
        <f t="shared" si="407"/>
        <v>0</v>
      </c>
    </row>
    <row r="532" spans="2:60" ht="12" customHeight="1">
      <c r="B532">
        <f>TBIDry!H604</f>
        <v>0</v>
      </c>
      <c r="C532">
        <f>TBIDry!I604</f>
        <v>0</v>
      </c>
      <c r="D532" t="b">
        <f t="shared" si="399"/>
        <v>1</v>
      </c>
      <c r="E532" t="b">
        <f t="shared" si="400"/>
        <v>1</v>
      </c>
      <c r="Y532" t="str">
        <f>'Green_rooibos initial weight'!A533</f>
        <v>G529</v>
      </c>
      <c r="Z532" t="str">
        <f>'Green_rooibos initial weight'!A1437</f>
        <v>R529</v>
      </c>
      <c r="AA532" t="b">
        <f t="shared" si="403"/>
        <v>0</v>
      </c>
      <c r="AB532" t="b">
        <f t="shared" si="404"/>
        <v>0</v>
      </c>
      <c r="BH532">
        <f t="shared" si="407"/>
        <v>0</v>
      </c>
    </row>
    <row r="533" spans="2:60" ht="12" customHeight="1">
      <c r="B533">
        <f>TBIDry!H605</f>
        <v>0</v>
      </c>
      <c r="C533">
        <f>TBIDry!I605</f>
        <v>0</v>
      </c>
      <c r="D533" t="b">
        <f t="shared" si="399"/>
        <v>1</v>
      </c>
      <c r="E533" t="b">
        <f t="shared" si="400"/>
        <v>1</v>
      </c>
      <c r="Y533" t="str">
        <f>'Green_rooibos initial weight'!A534</f>
        <v>G530</v>
      </c>
      <c r="Z533" t="str">
        <f>'Green_rooibos initial weight'!A1438</f>
        <v>R530</v>
      </c>
      <c r="AA533" t="b">
        <f t="shared" si="403"/>
        <v>0</v>
      </c>
      <c r="AB533" t="b">
        <f t="shared" si="404"/>
        <v>0</v>
      </c>
      <c r="BH533">
        <f t="shared" si="407"/>
        <v>0</v>
      </c>
    </row>
    <row r="534" spans="2:60" ht="12" customHeight="1">
      <c r="B534">
        <f>TBIDry!H606</f>
        <v>0</v>
      </c>
      <c r="C534">
        <f>TBIDry!I606</f>
        <v>0</v>
      </c>
      <c r="D534" t="b">
        <f t="shared" si="399"/>
        <v>1</v>
      </c>
      <c r="E534" t="b">
        <f t="shared" si="400"/>
        <v>1</v>
      </c>
      <c r="Y534" t="str">
        <f>'Green_rooibos initial weight'!A535</f>
        <v>G531</v>
      </c>
      <c r="Z534" t="str">
        <f>'Green_rooibos initial weight'!A1439</f>
        <v>R531</v>
      </c>
      <c r="AA534" t="b">
        <f t="shared" si="403"/>
        <v>0</v>
      </c>
      <c r="AB534" t="b">
        <f t="shared" si="404"/>
        <v>0</v>
      </c>
      <c r="BH534">
        <f t="shared" si="407"/>
        <v>0</v>
      </c>
    </row>
    <row r="535" spans="2:60" ht="12" customHeight="1">
      <c r="B535">
        <f>TBIDry!H607</f>
        <v>0</v>
      </c>
      <c r="C535">
        <f>TBIDry!I607</f>
        <v>0</v>
      </c>
      <c r="D535" t="b">
        <f t="shared" si="399"/>
        <v>1</v>
      </c>
      <c r="E535" t="b">
        <f t="shared" si="400"/>
        <v>1</v>
      </c>
      <c r="Y535" t="str">
        <f>'Green_rooibos initial weight'!A536</f>
        <v>G532</v>
      </c>
      <c r="Z535" t="str">
        <f>'Green_rooibos initial weight'!A1440</f>
        <v>R532</v>
      </c>
      <c r="AA535" t="b">
        <f t="shared" si="403"/>
        <v>0</v>
      </c>
      <c r="AB535" t="b">
        <f t="shared" si="404"/>
        <v>0</v>
      </c>
      <c r="BH535">
        <f t="shared" si="407"/>
        <v>0</v>
      </c>
    </row>
    <row r="536" spans="2:60" ht="12" customHeight="1">
      <c r="B536">
        <f>TBIDry!H608</f>
        <v>0</v>
      </c>
      <c r="C536">
        <f>TBIDry!I608</f>
        <v>0</v>
      </c>
      <c r="D536" t="b">
        <f t="shared" si="399"/>
        <v>1</v>
      </c>
      <c r="E536" t="b">
        <f t="shared" si="400"/>
        <v>1</v>
      </c>
      <c r="Y536" t="str">
        <f>'Green_rooibos initial weight'!A537</f>
        <v>G533</v>
      </c>
      <c r="Z536" t="str">
        <f>'Green_rooibos initial weight'!A1441</f>
        <v>R533</v>
      </c>
      <c r="AA536" t="b">
        <f t="shared" si="403"/>
        <v>0</v>
      </c>
      <c r="AB536" t="b">
        <f t="shared" si="404"/>
        <v>0</v>
      </c>
      <c r="BH536">
        <f t="shared" si="407"/>
        <v>0</v>
      </c>
    </row>
    <row r="537" spans="2:60" ht="12" customHeight="1">
      <c r="B537">
        <f>TBIDry!H609</f>
        <v>0</v>
      </c>
      <c r="C537">
        <f>TBIDry!I609</f>
        <v>0</v>
      </c>
      <c r="D537" t="b">
        <f t="shared" si="399"/>
        <v>1</v>
      </c>
      <c r="E537" t="b">
        <f t="shared" si="400"/>
        <v>1</v>
      </c>
      <c r="Y537" t="str">
        <f>'Green_rooibos initial weight'!A538</f>
        <v>G534</v>
      </c>
      <c r="Z537" t="str">
        <f>'Green_rooibos initial weight'!A1442</f>
        <v>R534</v>
      </c>
      <c r="AA537" t="b">
        <f t="shared" si="403"/>
        <v>0</v>
      </c>
      <c r="AB537" t="b">
        <f t="shared" si="404"/>
        <v>0</v>
      </c>
      <c r="BH537">
        <f t="shared" si="407"/>
        <v>0</v>
      </c>
    </row>
    <row r="538" spans="2:60" ht="12" customHeight="1">
      <c r="B538">
        <f>TBIDry!H610</f>
        <v>0</v>
      </c>
      <c r="C538">
        <f>TBIDry!I610</f>
        <v>0</v>
      </c>
      <c r="D538" t="b">
        <f t="shared" si="399"/>
        <v>1</v>
      </c>
      <c r="E538" t="b">
        <f t="shared" si="400"/>
        <v>1</v>
      </c>
      <c r="Y538" t="str">
        <f>'Green_rooibos initial weight'!A539</f>
        <v>G535</v>
      </c>
      <c r="Z538" t="str">
        <f>'Green_rooibos initial weight'!A1443</f>
        <v>R535</v>
      </c>
      <c r="AA538" t="b">
        <f t="shared" si="403"/>
        <v>0</v>
      </c>
      <c r="AB538" t="b">
        <f t="shared" si="404"/>
        <v>0</v>
      </c>
      <c r="BH538">
        <f t="shared" si="407"/>
        <v>0</v>
      </c>
    </row>
    <row r="539" spans="2:60" ht="12" customHeight="1">
      <c r="B539">
        <f>TBIDry!H611</f>
        <v>0</v>
      </c>
      <c r="C539">
        <f>TBIDry!I611</f>
        <v>0</v>
      </c>
      <c r="D539" t="b">
        <f t="shared" si="399"/>
        <v>1</v>
      </c>
      <c r="E539" t="b">
        <f t="shared" si="400"/>
        <v>1</v>
      </c>
      <c r="Y539" t="str">
        <f>'Green_rooibos initial weight'!A540</f>
        <v>G536</v>
      </c>
      <c r="Z539" t="str">
        <f>'Green_rooibos initial weight'!A1444</f>
        <v>R536</v>
      </c>
      <c r="AA539" t="b">
        <f t="shared" si="403"/>
        <v>0</v>
      </c>
      <c r="AB539" t="b">
        <f t="shared" si="404"/>
        <v>0</v>
      </c>
      <c r="BH539">
        <f t="shared" si="407"/>
        <v>0</v>
      </c>
    </row>
    <row r="540" spans="2:60" ht="12" customHeight="1">
      <c r="B540">
        <f>TBIDry!H612</f>
        <v>0</v>
      </c>
      <c r="C540">
        <f>TBIDry!I612</f>
        <v>0</v>
      </c>
      <c r="D540" t="b">
        <f t="shared" si="399"/>
        <v>1</v>
      </c>
      <c r="E540" t="b">
        <f t="shared" si="400"/>
        <v>1</v>
      </c>
      <c r="Y540" t="str">
        <f>'Green_rooibos initial weight'!A541</f>
        <v>G537</v>
      </c>
      <c r="Z540" t="str">
        <f>'Green_rooibos initial weight'!A1445</f>
        <v>R537</v>
      </c>
      <c r="AA540" t="b">
        <f t="shared" si="403"/>
        <v>0</v>
      </c>
      <c r="AB540" t="b">
        <f t="shared" si="404"/>
        <v>0</v>
      </c>
      <c r="BH540">
        <f t="shared" si="407"/>
        <v>0</v>
      </c>
    </row>
    <row r="541" spans="2:60" ht="12" customHeight="1">
      <c r="B541">
        <f>TBIDry!H613</f>
        <v>0</v>
      </c>
      <c r="C541">
        <f>TBIDry!I613</f>
        <v>0</v>
      </c>
      <c r="D541" t="b">
        <f t="shared" si="399"/>
        <v>1</v>
      </c>
      <c r="E541" t="b">
        <f t="shared" si="400"/>
        <v>1</v>
      </c>
      <c r="Y541" t="str">
        <f>'Green_rooibos initial weight'!A542</f>
        <v>G538</v>
      </c>
      <c r="Z541" t="str">
        <f>'Green_rooibos initial weight'!A1446</f>
        <v>R538</v>
      </c>
      <c r="AA541" t="b">
        <f t="shared" si="403"/>
        <v>0</v>
      </c>
      <c r="AB541" t="b">
        <f t="shared" si="404"/>
        <v>0</v>
      </c>
      <c r="BH541">
        <f t="shared" si="407"/>
        <v>0</v>
      </c>
    </row>
    <row r="542" spans="2:60" ht="12" customHeight="1">
      <c r="B542">
        <f>TBIDry!H614</f>
        <v>0</v>
      </c>
      <c r="C542">
        <f>TBIDry!I614</f>
        <v>0</v>
      </c>
      <c r="D542" t="b">
        <f t="shared" si="399"/>
        <v>1</v>
      </c>
      <c r="E542" t="b">
        <f t="shared" si="400"/>
        <v>1</v>
      </c>
      <c r="Y542" t="str">
        <f>'Green_rooibos initial weight'!A543</f>
        <v>G539</v>
      </c>
      <c r="Z542" t="str">
        <f>'Green_rooibos initial weight'!A1447</f>
        <v>R539</v>
      </c>
      <c r="AA542" t="b">
        <f t="shared" si="403"/>
        <v>0</v>
      </c>
      <c r="AB542" t="b">
        <f t="shared" si="404"/>
        <v>0</v>
      </c>
      <c r="BH542">
        <f t="shared" si="407"/>
        <v>0</v>
      </c>
    </row>
    <row r="543" spans="2:60" ht="12" customHeight="1">
      <c r="B543">
        <f>TBIDry!H615</f>
        <v>0</v>
      </c>
      <c r="C543">
        <f>TBIDry!I615</f>
        <v>0</v>
      </c>
      <c r="D543" t="b">
        <f t="shared" si="399"/>
        <v>1</v>
      </c>
      <c r="E543" t="b">
        <f t="shared" si="400"/>
        <v>1</v>
      </c>
      <c r="Y543" t="str">
        <f>'Green_rooibos initial weight'!A544</f>
        <v>G540</v>
      </c>
      <c r="Z543" t="str">
        <f>'Green_rooibos initial weight'!A1448</f>
        <v>R540</v>
      </c>
      <c r="AA543" t="b">
        <f t="shared" si="403"/>
        <v>0</v>
      </c>
      <c r="AB543" t="b">
        <f t="shared" si="404"/>
        <v>0</v>
      </c>
      <c r="BH543">
        <f t="shared" si="407"/>
        <v>0</v>
      </c>
    </row>
    <row r="544" spans="2:60" ht="12" customHeight="1">
      <c r="B544">
        <f>TBIDry!H616</f>
        <v>0</v>
      </c>
      <c r="C544">
        <f>TBIDry!I616</f>
        <v>0</v>
      </c>
      <c r="D544" t="b">
        <f t="shared" si="399"/>
        <v>1</v>
      </c>
      <c r="E544" t="b">
        <f t="shared" si="400"/>
        <v>1</v>
      </c>
      <c r="Y544" t="str">
        <f>'Green_rooibos initial weight'!A545</f>
        <v>G541</v>
      </c>
      <c r="Z544" t="str">
        <f>'Green_rooibos initial weight'!A1449</f>
        <v>R541</v>
      </c>
      <c r="AA544" t="b">
        <f t="shared" si="403"/>
        <v>0</v>
      </c>
      <c r="AB544" t="b">
        <f t="shared" si="404"/>
        <v>0</v>
      </c>
      <c r="BH544">
        <f t="shared" si="407"/>
        <v>0</v>
      </c>
    </row>
    <row r="545" spans="2:60" ht="12" customHeight="1">
      <c r="B545">
        <f>TBIDry!H617</f>
        <v>0</v>
      </c>
      <c r="C545">
        <f>TBIDry!I617</f>
        <v>0</v>
      </c>
      <c r="D545" t="b">
        <f t="shared" si="399"/>
        <v>1</v>
      </c>
      <c r="E545" t="b">
        <f t="shared" si="400"/>
        <v>1</v>
      </c>
      <c r="Y545" t="str">
        <f>'Green_rooibos initial weight'!A546</f>
        <v>G542</v>
      </c>
      <c r="Z545" t="str">
        <f>'Green_rooibos initial weight'!A1450</f>
        <v>R542</v>
      </c>
      <c r="AA545" t="b">
        <f t="shared" si="403"/>
        <v>0</v>
      </c>
      <c r="AB545" t="b">
        <f t="shared" si="404"/>
        <v>0</v>
      </c>
      <c r="BH545">
        <f t="shared" si="407"/>
        <v>0</v>
      </c>
    </row>
    <row r="546" spans="2:60" ht="12" customHeight="1">
      <c r="B546">
        <f>TBIDry!H618</f>
        <v>0</v>
      </c>
      <c r="C546">
        <f>TBIDry!I618</f>
        <v>0</v>
      </c>
      <c r="D546" t="b">
        <f t="shared" si="399"/>
        <v>1</v>
      </c>
      <c r="E546" t="b">
        <f t="shared" si="400"/>
        <v>1</v>
      </c>
      <c r="Y546" t="str">
        <f>'Green_rooibos initial weight'!A547</f>
        <v>G543</v>
      </c>
      <c r="Z546" t="str">
        <f>'Green_rooibos initial weight'!A1451</f>
        <v>R543</v>
      </c>
      <c r="AA546" t="b">
        <f t="shared" si="403"/>
        <v>0</v>
      </c>
      <c r="AB546" t="b">
        <f t="shared" si="404"/>
        <v>0</v>
      </c>
      <c r="BH546">
        <f t="shared" si="407"/>
        <v>0</v>
      </c>
    </row>
    <row r="547" spans="2:60" ht="12" customHeight="1">
      <c r="B547">
        <f>TBIDry!H619</f>
        <v>0</v>
      </c>
      <c r="C547">
        <f>TBIDry!I619</f>
        <v>0</v>
      </c>
      <c r="D547" t="b">
        <f t="shared" si="399"/>
        <v>1</v>
      </c>
      <c r="E547" t="b">
        <f t="shared" si="400"/>
        <v>1</v>
      </c>
      <c r="Y547" t="str">
        <f>'Green_rooibos initial weight'!A548</f>
        <v>G544</v>
      </c>
      <c r="Z547" t="str">
        <f>'Green_rooibos initial weight'!A1452</f>
        <v>R544</v>
      </c>
      <c r="AA547" t="b">
        <f t="shared" si="403"/>
        <v>0</v>
      </c>
      <c r="AB547" t="b">
        <f t="shared" si="404"/>
        <v>0</v>
      </c>
      <c r="BH547">
        <f t="shared" si="407"/>
        <v>0</v>
      </c>
    </row>
    <row r="548" spans="2:60" ht="12" customHeight="1">
      <c r="B548">
        <f>TBIDry!H620</f>
        <v>0</v>
      </c>
      <c r="C548">
        <f>TBIDry!I620</f>
        <v>0</v>
      </c>
      <c r="D548" t="b">
        <f t="shared" si="399"/>
        <v>1</v>
      </c>
      <c r="E548" t="b">
        <f t="shared" si="400"/>
        <v>1</v>
      </c>
      <c r="Y548" t="str">
        <f>'Green_rooibos initial weight'!A549</f>
        <v>G545</v>
      </c>
      <c r="Z548" t="str">
        <f>'Green_rooibos initial weight'!A1453</f>
        <v>R545</v>
      </c>
      <c r="AA548" t="b">
        <f t="shared" si="403"/>
        <v>0</v>
      </c>
      <c r="AB548" t="b">
        <f t="shared" si="404"/>
        <v>0</v>
      </c>
      <c r="BH548">
        <f t="shared" si="407"/>
        <v>0</v>
      </c>
    </row>
    <row r="549" spans="2:60" ht="12" customHeight="1">
      <c r="B549">
        <f>TBIDry!H621</f>
        <v>0</v>
      </c>
      <c r="C549">
        <f>TBIDry!I621</f>
        <v>0</v>
      </c>
      <c r="D549" t="b">
        <f t="shared" si="399"/>
        <v>1</v>
      </c>
      <c r="E549" t="b">
        <f t="shared" si="400"/>
        <v>1</v>
      </c>
      <c r="Y549" t="str">
        <f>'Green_rooibos initial weight'!A550</f>
        <v>G546</v>
      </c>
      <c r="Z549" t="str">
        <f>'Green_rooibos initial weight'!A1454</f>
        <v>R546</v>
      </c>
      <c r="AA549" t="b">
        <f t="shared" si="403"/>
        <v>0</v>
      </c>
      <c r="AB549" t="b">
        <f t="shared" si="404"/>
        <v>0</v>
      </c>
      <c r="BH549">
        <f t="shared" si="407"/>
        <v>0</v>
      </c>
    </row>
    <row r="550" spans="2:60" ht="12" customHeight="1">
      <c r="B550">
        <f>TBIDry!H622</f>
        <v>0</v>
      </c>
      <c r="C550">
        <f>TBIDry!I622</f>
        <v>0</v>
      </c>
      <c r="D550" t="b">
        <f t="shared" si="399"/>
        <v>1</v>
      </c>
      <c r="E550" t="b">
        <f t="shared" si="400"/>
        <v>1</v>
      </c>
      <c r="Y550" t="str">
        <f>'Green_rooibos initial weight'!A551</f>
        <v>G547</v>
      </c>
      <c r="Z550" t="str">
        <f>'Green_rooibos initial weight'!A1455</f>
        <v>R547</v>
      </c>
      <c r="AA550" t="b">
        <f t="shared" si="403"/>
        <v>0</v>
      </c>
      <c r="AB550" t="b">
        <f t="shared" si="404"/>
        <v>0</v>
      </c>
      <c r="BH550">
        <f t="shared" si="407"/>
        <v>0</v>
      </c>
    </row>
    <row r="551" spans="2:60" ht="12" customHeight="1">
      <c r="B551">
        <f>TBIDry!H623</f>
        <v>0</v>
      </c>
      <c r="C551">
        <f>TBIDry!I623</f>
        <v>0</v>
      </c>
      <c r="D551" t="b">
        <f t="shared" si="399"/>
        <v>1</v>
      </c>
      <c r="E551" t="b">
        <f t="shared" si="400"/>
        <v>1</v>
      </c>
      <c r="Y551" t="str">
        <f>'Green_rooibos initial weight'!A552</f>
        <v>G548</v>
      </c>
      <c r="Z551" t="str">
        <f>'Green_rooibos initial weight'!A1456</f>
        <v>R548</v>
      </c>
      <c r="AA551" t="b">
        <f t="shared" si="403"/>
        <v>0</v>
      </c>
      <c r="AB551" t="b">
        <f t="shared" si="404"/>
        <v>0</v>
      </c>
      <c r="BH551">
        <f t="shared" si="407"/>
        <v>0</v>
      </c>
    </row>
    <row r="552" spans="2:60" ht="12" customHeight="1">
      <c r="B552">
        <f>TBIDry!H624</f>
        <v>0</v>
      </c>
      <c r="C552">
        <f>TBIDry!I624</f>
        <v>0</v>
      </c>
      <c r="D552" t="b">
        <f t="shared" si="399"/>
        <v>1</v>
      </c>
      <c r="E552" t="b">
        <f t="shared" si="400"/>
        <v>1</v>
      </c>
      <c r="Y552" t="str">
        <f>'Green_rooibos initial weight'!A553</f>
        <v>G549</v>
      </c>
      <c r="Z552" t="str">
        <f>'Green_rooibos initial weight'!A1457</f>
        <v>R549</v>
      </c>
      <c r="AA552" t="b">
        <f t="shared" si="403"/>
        <v>0</v>
      </c>
      <c r="AB552" t="b">
        <f t="shared" si="404"/>
        <v>0</v>
      </c>
      <c r="BH552">
        <f t="shared" si="407"/>
        <v>0</v>
      </c>
    </row>
    <row r="553" spans="2:60" ht="12" customHeight="1">
      <c r="B553">
        <f>TBIDry!H625</f>
        <v>0</v>
      </c>
      <c r="C553">
        <f>TBIDry!I625</f>
        <v>0</v>
      </c>
      <c r="D553" t="b">
        <f t="shared" si="399"/>
        <v>1</v>
      </c>
      <c r="E553" t="b">
        <f t="shared" si="400"/>
        <v>1</v>
      </c>
      <c r="Y553" t="str">
        <f>'Green_rooibos initial weight'!A554</f>
        <v>G550</v>
      </c>
      <c r="Z553" t="str">
        <f>'Green_rooibos initial weight'!A1458</f>
        <v>R550</v>
      </c>
      <c r="AA553" t="b">
        <f t="shared" si="403"/>
        <v>0</v>
      </c>
      <c r="AB553" t="b">
        <f t="shared" si="404"/>
        <v>0</v>
      </c>
      <c r="BH553">
        <f t="shared" si="407"/>
        <v>0</v>
      </c>
    </row>
    <row r="554" spans="2:60" ht="12" customHeight="1">
      <c r="B554">
        <f>TBIDry!H626</f>
        <v>0</v>
      </c>
      <c r="C554">
        <f>TBIDry!I626</f>
        <v>0</v>
      </c>
      <c r="D554" t="b">
        <f t="shared" si="399"/>
        <v>1</v>
      </c>
      <c r="E554" t="b">
        <f t="shared" si="400"/>
        <v>1</v>
      </c>
      <c r="Y554" t="str">
        <f>'Green_rooibos initial weight'!A555</f>
        <v>G551</v>
      </c>
      <c r="Z554" t="str">
        <f>'Green_rooibos initial weight'!A1459</f>
        <v>R551</v>
      </c>
      <c r="AA554" t="b">
        <f t="shared" si="403"/>
        <v>0</v>
      </c>
      <c r="AB554" t="b">
        <f t="shared" si="404"/>
        <v>0</v>
      </c>
      <c r="BH554">
        <f t="shared" si="407"/>
        <v>0</v>
      </c>
    </row>
    <row r="555" spans="2:60" ht="12" customHeight="1">
      <c r="B555">
        <f>TBIDry!H627</f>
        <v>0</v>
      </c>
      <c r="C555">
        <f>TBIDry!I627</f>
        <v>0</v>
      </c>
      <c r="D555" t="b">
        <f t="shared" si="399"/>
        <v>1</v>
      </c>
      <c r="E555" t="b">
        <f t="shared" si="400"/>
        <v>1</v>
      </c>
      <c r="Y555" t="str">
        <f>'Green_rooibos initial weight'!A556</f>
        <v>G552</v>
      </c>
      <c r="Z555" t="str">
        <f>'Green_rooibos initial weight'!A1460</f>
        <v>R552</v>
      </c>
      <c r="AA555" t="b">
        <f t="shared" si="403"/>
        <v>0</v>
      </c>
      <c r="AB555" t="b">
        <f t="shared" si="404"/>
        <v>0</v>
      </c>
      <c r="BH555">
        <f t="shared" si="407"/>
        <v>0</v>
      </c>
    </row>
    <row r="556" spans="2:60" ht="12" customHeight="1">
      <c r="B556">
        <f>TBIDry!H628</f>
        <v>0</v>
      </c>
      <c r="C556">
        <f>TBIDry!I628</f>
        <v>0</v>
      </c>
      <c r="D556" t="b">
        <f t="shared" si="399"/>
        <v>1</v>
      </c>
      <c r="E556" t="b">
        <f t="shared" si="400"/>
        <v>1</v>
      </c>
      <c r="Y556" t="str">
        <f>'Green_rooibos initial weight'!A557</f>
        <v>G553</v>
      </c>
      <c r="Z556" t="str">
        <f>'Green_rooibos initial weight'!A1461</f>
        <v>R553</v>
      </c>
      <c r="AA556" t="b">
        <f t="shared" si="403"/>
        <v>0</v>
      </c>
      <c r="AB556" t="b">
        <f t="shared" si="404"/>
        <v>0</v>
      </c>
      <c r="BH556">
        <f t="shared" si="407"/>
        <v>0</v>
      </c>
    </row>
    <row r="557" spans="2:60" ht="12" customHeight="1">
      <c r="B557">
        <f>TBIDry!H629</f>
        <v>0</v>
      </c>
      <c r="C557">
        <f>TBIDry!I629</f>
        <v>0</v>
      </c>
      <c r="D557" t="b">
        <f t="shared" si="399"/>
        <v>1</v>
      </c>
      <c r="E557" t="b">
        <f t="shared" si="400"/>
        <v>1</v>
      </c>
      <c r="Y557" t="str">
        <f>'Green_rooibos initial weight'!A558</f>
        <v>G554</v>
      </c>
      <c r="Z557" t="str">
        <f>'Green_rooibos initial weight'!A1462</f>
        <v>R554</v>
      </c>
      <c r="AA557" t="b">
        <f t="shared" si="403"/>
        <v>0</v>
      </c>
      <c r="AB557" t="b">
        <f t="shared" si="404"/>
        <v>0</v>
      </c>
      <c r="BH557">
        <f t="shared" si="407"/>
        <v>0</v>
      </c>
    </row>
    <row r="558" spans="2:60" ht="12" customHeight="1">
      <c r="B558">
        <f>TBIDry!H630</f>
        <v>0</v>
      </c>
      <c r="C558">
        <f>TBIDry!I630</f>
        <v>0</v>
      </c>
      <c r="D558" t="b">
        <f t="shared" si="399"/>
        <v>1</v>
      </c>
      <c r="E558" t="b">
        <f t="shared" si="400"/>
        <v>1</v>
      </c>
      <c r="Y558" t="str">
        <f>'Green_rooibos initial weight'!A559</f>
        <v>G555</v>
      </c>
      <c r="Z558" t="str">
        <f>'Green_rooibos initial weight'!A1463</f>
        <v>R555</v>
      </c>
      <c r="AA558" t="b">
        <f t="shared" si="403"/>
        <v>0</v>
      </c>
      <c r="AB558" t="b">
        <f t="shared" si="404"/>
        <v>0</v>
      </c>
      <c r="BH558">
        <f t="shared" si="407"/>
        <v>0</v>
      </c>
    </row>
    <row r="559" spans="2:60" ht="12" customHeight="1">
      <c r="B559">
        <f>TBIDry!H631</f>
        <v>0</v>
      </c>
      <c r="C559">
        <f>TBIDry!I631</f>
        <v>0</v>
      </c>
      <c r="D559" t="b">
        <f t="shared" si="399"/>
        <v>1</v>
      </c>
      <c r="E559" t="b">
        <f t="shared" si="400"/>
        <v>1</v>
      </c>
      <c r="Y559" t="str">
        <f>'Green_rooibos initial weight'!A560</f>
        <v>G556</v>
      </c>
      <c r="Z559" t="str">
        <f>'Green_rooibos initial weight'!A1464</f>
        <v>R556</v>
      </c>
      <c r="AA559" t="b">
        <f t="shared" si="403"/>
        <v>0</v>
      </c>
      <c r="AB559" t="b">
        <f t="shared" si="404"/>
        <v>0</v>
      </c>
      <c r="BH559">
        <f t="shared" si="407"/>
        <v>0</v>
      </c>
    </row>
    <row r="560" spans="2:60" ht="12" customHeight="1">
      <c r="B560">
        <f>TBIDry!H632</f>
        <v>0</v>
      </c>
      <c r="C560">
        <f>TBIDry!I632</f>
        <v>0</v>
      </c>
      <c r="D560" t="b">
        <f t="shared" si="399"/>
        <v>1</v>
      </c>
      <c r="E560" t="b">
        <f t="shared" si="400"/>
        <v>1</v>
      </c>
      <c r="Y560" t="str">
        <f>'Green_rooibos initial weight'!A561</f>
        <v>G557</v>
      </c>
      <c r="Z560" t="str">
        <f>'Green_rooibos initial weight'!A1465</f>
        <v>R557</v>
      </c>
      <c r="AA560" t="b">
        <f t="shared" si="403"/>
        <v>0</v>
      </c>
      <c r="AB560" t="b">
        <f t="shared" si="404"/>
        <v>0</v>
      </c>
      <c r="BH560">
        <f t="shared" si="407"/>
        <v>0</v>
      </c>
    </row>
    <row r="561" spans="2:60" ht="12" customHeight="1">
      <c r="B561">
        <f>TBIDry!H633</f>
        <v>0</v>
      </c>
      <c r="C561">
        <f>TBIDry!I633</f>
        <v>0</v>
      </c>
      <c r="D561" t="b">
        <f t="shared" si="399"/>
        <v>1</v>
      </c>
      <c r="E561" t="b">
        <f t="shared" si="400"/>
        <v>1</v>
      </c>
      <c r="Y561" t="str">
        <f>'Green_rooibos initial weight'!A562</f>
        <v>G558</v>
      </c>
      <c r="Z561" t="str">
        <f>'Green_rooibos initial weight'!A1466</f>
        <v>R558</v>
      </c>
      <c r="AA561" t="b">
        <f t="shared" si="403"/>
        <v>0</v>
      </c>
      <c r="AB561" t="b">
        <f t="shared" si="404"/>
        <v>0</v>
      </c>
      <c r="BH561">
        <f t="shared" si="407"/>
        <v>0</v>
      </c>
    </row>
    <row r="562" spans="2:60" ht="12" customHeight="1">
      <c r="B562">
        <f>TBIDry!H634</f>
        <v>0</v>
      </c>
      <c r="C562">
        <f>TBIDry!I634</f>
        <v>0</v>
      </c>
      <c r="D562" t="b">
        <f t="shared" si="399"/>
        <v>1</v>
      </c>
      <c r="E562" t="b">
        <f t="shared" si="400"/>
        <v>1</v>
      </c>
      <c r="Y562" t="str">
        <f>'Green_rooibos initial weight'!A563</f>
        <v>G559</v>
      </c>
      <c r="Z562" t="str">
        <f>'Green_rooibos initial weight'!A1467</f>
        <v>R559</v>
      </c>
      <c r="AA562" t="b">
        <f t="shared" si="403"/>
        <v>0</v>
      </c>
      <c r="AB562" t="b">
        <f t="shared" si="404"/>
        <v>0</v>
      </c>
      <c r="BH562">
        <f t="shared" si="407"/>
        <v>0</v>
      </c>
    </row>
    <row r="563" spans="2:60" ht="12" customHeight="1">
      <c r="B563">
        <f>TBIDry!H635</f>
        <v>0</v>
      </c>
      <c r="C563">
        <f>TBIDry!I635</f>
        <v>0</v>
      </c>
      <c r="D563" t="b">
        <f t="shared" si="399"/>
        <v>1</v>
      </c>
      <c r="E563" t="b">
        <f t="shared" si="400"/>
        <v>1</v>
      </c>
      <c r="Y563" t="str">
        <f>'Green_rooibos initial weight'!A564</f>
        <v>G560</v>
      </c>
      <c r="Z563" t="str">
        <f>'Green_rooibos initial weight'!A1468</f>
        <v>R560</v>
      </c>
      <c r="AA563" t="b">
        <f t="shared" si="403"/>
        <v>0</v>
      </c>
      <c r="AB563" t="b">
        <f t="shared" si="404"/>
        <v>0</v>
      </c>
      <c r="BH563">
        <f t="shared" si="407"/>
        <v>0</v>
      </c>
    </row>
    <row r="564" spans="2:60" ht="12" customHeight="1">
      <c r="B564">
        <f>TBIDry!H636</f>
        <v>0</v>
      </c>
      <c r="C564">
        <f>TBIDry!I636</f>
        <v>0</v>
      </c>
      <c r="D564" t="b">
        <f t="shared" si="399"/>
        <v>1</v>
      </c>
      <c r="E564" t="b">
        <f t="shared" si="400"/>
        <v>1</v>
      </c>
      <c r="Y564" t="str">
        <f>'Green_rooibos initial weight'!A565</f>
        <v>G561</v>
      </c>
      <c r="Z564" t="str">
        <f>'Green_rooibos initial weight'!A1469</f>
        <v>R561</v>
      </c>
      <c r="AA564" t="b">
        <f t="shared" si="403"/>
        <v>0</v>
      </c>
      <c r="AB564" t="b">
        <f t="shared" si="404"/>
        <v>0</v>
      </c>
      <c r="BH564">
        <f t="shared" si="407"/>
        <v>0</v>
      </c>
    </row>
    <row r="565" spans="2:60" ht="12" customHeight="1">
      <c r="B565">
        <f>TBIDry!H637</f>
        <v>0</v>
      </c>
      <c r="C565">
        <f>TBIDry!I637</f>
        <v>0</v>
      </c>
      <c r="D565" t="b">
        <f t="shared" si="399"/>
        <v>1</v>
      </c>
      <c r="E565" t="b">
        <f t="shared" si="400"/>
        <v>1</v>
      </c>
      <c r="Y565" t="str">
        <f>'Green_rooibos initial weight'!A566</f>
        <v>G562</v>
      </c>
      <c r="Z565" t="str">
        <f>'Green_rooibos initial weight'!A1470</f>
        <v>R562</v>
      </c>
      <c r="AA565" t="b">
        <f t="shared" si="403"/>
        <v>0</v>
      </c>
      <c r="AB565" t="b">
        <f t="shared" si="404"/>
        <v>0</v>
      </c>
      <c r="BH565">
        <f t="shared" si="407"/>
        <v>0</v>
      </c>
    </row>
    <row r="566" spans="2:60" ht="12" customHeight="1">
      <c r="B566">
        <f>TBIDry!H638</f>
        <v>0</v>
      </c>
      <c r="C566">
        <f>TBIDry!I638</f>
        <v>0</v>
      </c>
      <c r="D566" t="b">
        <f t="shared" si="399"/>
        <v>1</v>
      </c>
      <c r="E566" t="b">
        <f t="shared" si="400"/>
        <v>1</v>
      </c>
      <c r="Y566" t="str">
        <f>'Green_rooibos initial weight'!A567</f>
        <v>G563</v>
      </c>
      <c r="Z566" t="str">
        <f>'Green_rooibos initial weight'!A1471</f>
        <v>R563</v>
      </c>
      <c r="AA566" t="b">
        <f t="shared" si="403"/>
        <v>0</v>
      </c>
      <c r="AB566" t="b">
        <f t="shared" si="404"/>
        <v>0</v>
      </c>
      <c r="BH566">
        <f t="shared" si="407"/>
        <v>0</v>
      </c>
    </row>
    <row r="567" spans="2:60" ht="12" customHeight="1">
      <c r="B567">
        <f>TBIDry!H639</f>
        <v>0</v>
      </c>
      <c r="C567">
        <f>TBIDry!I639</f>
        <v>0</v>
      </c>
      <c r="D567" t="b">
        <f t="shared" si="399"/>
        <v>1</v>
      </c>
      <c r="E567" t="b">
        <f t="shared" si="400"/>
        <v>1</v>
      </c>
      <c r="Y567" t="str">
        <f>'Green_rooibos initial weight'!A568</f>
        <v>G564</v>
      </c>
      <c r="Z567" t="str">
        <f>'Green_rooibos initial weight'!A1472</f>
        <v>R564</v>
      </c>
      <c r="AA567" t="b">
        <f t="shared" si="403"/>
        <v>0</v>
      </c>
      <c r="AB567" t="b">
        <f t="shared" si="404"/>
        <v>0</v>
      </c>
      <c r="BH567">
        <f t="shared" si="407"/>
        <v>0</v>
      </c>
    </row>
    <row r="568" spans="2:60" ht="12" customHeight="1">
      <c r="B568">
        <f>TBIDry!H640</f>
        <v>0</v>
      </c>
      <c r="C568">
        <f>TBIDry!I640</f>
        <v>0</v>
      </c>
      <c r="D568" t="b">
        <f t="shared" si="399"/>
        <v>1</v>
      </c>
      <c r="E568" t="b">
        <f t="shared" si="400"/>
        <v>1</v>
      </c>
      <c r="Y568" t="str">
        <f>'Green_rooibos initial weight'!A569</f>
        <v>G565</v>
      </c>
      <c r="Z568" t="str">
        <f>'Green_rooibos initial weight'!A1473</f>
        <v>R565</v>
      </c>
      <c r="AA568" t="b">
        <f t="shared" si="403"/>
        <v>0</v>
      </c>
      <c r="AB568" t="b">
        <f t="shared" si="404"/>
        <v>0</v>
      </c>
      <c r="BH568">
        <f t="shared" si="407"/>
        <v>0</v>
      </c>
    </row>
    <row r="569" spans="2:60" ht="12" customHeight="1">
      <c r="B569">
        <f>TBIDry!H641</f>
        <v>0</v>
      </c>
      <c r="C569">
        <f>TBIDry!I641</f>
        <v>0</v>
      </c>
      <c r="D569" t="b">
        <f t="shared" si="399"/>
        <v>1</v>
      </c>
      <c r="E569" t="b">
        <f t="shared" si="400"/>
        <v>1</v>
      </c>
      <c r="Y569" t="str">
        <f>'Green_rooibos initial weight'!A570</f>
        <v>G566</v>
      </c>
      <c r="Z569" t="str">
        <f>'Green_rooibos initial weight'!A1474</f>
        <v>R566</v>
      </c>
      <c r="AA569" t="b">
        <f t="shared" si="403"/>
        <v>0</v>
      </c>
      <c r="AB569" t="b">
        <f t="shared" si="404"/>
        <v>0</v>
      </c>
      <c r="BH569">
        <f t="shared" si="407"/>
        <v>0</v>
      </c>
    </row>
    <row r="570" spans="2:60" ht="12" customHeight="1">
      <c r="B570">
        <f>TBIDry!H642</f>
        <v>0</v>
      </c>
      <c r="C570">
        <f>TBIDry!I642</f>
        <v>0</v>
      </c>
      <c r="D570" t="b">
        <f t="shared" si="399"/>
        <v>1</v>
      </c>
      <c r="E570" t="b">
        <f t="shared" si="400"/>
        <v>1</v>
      </c>
      <c r="Y570" t="str">
        <f>'Green_rooibos initial weight'!A571</f>
        <v>G567</v>
      </c>
      <c r="Z570" t="str">
        <f>'Green_rooibos initial weight'!A1475</f>
        <v>R567</v>
      </c>
      <c r="AA570" t="b">
        <f t="shared" si="403"/>
        <v>0</v>
      </c>
      <c r="AB570" t="b">
        <f t="shared" si="404"/>
        <v>0</v>
      </c>
      <c r="BH570">
        <f t="shared" si="407"/>
        <v>0</v>
      </c>
    </row>
    <row r="571" spans="2:60" ht="12" customHeight="1">
      <c r="B571">
        <f>TBIDry!H643</f>
        <v>0</v>
      </c>
      <c r="C571">
        <f>TBIDry!I643</f>
        <v>0</v>
      </c>
      <c r="D571" t="b">
        <f t="shared" si="399"/>
        <v>1</v>
      </c>
      <c r="E571" t="b">
        <f t="shared" si="400"/>
        <v>1</v>
      </c>
      <c r="Y571" t="str">
        <f>'Green_rooibos initial weight'!A572</f>
        <v>G568</v>
      </c>
      <c r="Z571" t="str">
        <f>'Green_rooibos initial weight'!A1476</f>
        <v>R568</v>
      </c>
      <c r="AA571" t="b">
        <f t="shared" si="403"/>
        <v>0</v>
      </c>
      <c r="AB571" t="b">
        <f t="shared" si="404"/>
        <v>0</v>
      </c>
      <c r="BH571">
        <f t="shared" si="407"/>
        <v>0</v>
      </c>
    </row>
    <row r="572" spans="2:60" ht="12" customHeight="1">
      <c r="B572">
        <f>TBIDry!H644</f>
        <v>0</v>
      </c>
      <c r="C572">
        <f>TBIDry!I644</f>
        <v>0</v>
      </c>
      <c r="D572" t="b">
        <f t="shared" si="399"/>
        <v>1</v>
      </c>
      <c r="E572" t="b">
        <f t="shared" si="400"/>
        <v>1</v>
      </c>
      <c r="Y572" t="str">
        <f>'Green_rooibos initial weight'!A573</f>
        <v>G569</v>
      </c>
      <c r="Z572" t="str">
        <f>'Green_rooibos initial weight'!A1477</f>
        <v>R569</v>
      </c>
      <c r="AA572" t="b">
        <f t="shared" si="403"/>
        <v>0</v>
      </c>
      <c r="AB572" t="b">
        <f t="shared" si="404"/>
        <v>0</v>
      </c>
      <c r="BH572">
        <f t="shared" si="407"/>
        <v>0</v>
      </c>
    </row>
    <row r="573" spans="2:60" ht="12" customHeight="1">
      <c r="B573">
        <f>TBIDry!H645</f>
        <v>0</v>
      </c>
      <c r="C573">
        <f>TBIDry!I645</f>
        <v>0</v>
      </c>
      <c r="D573" t="b">
        <f t="shared" si="399"/>
        <v>1</v>
      </c>
      <c r="E573" t="b">
        <f t="shared" si="400"/>
        <v>1</v>
      </c>
      <c r="Y573" t="str">
        <f>'Green_rooibos initial weight'!A574</f>
        <v>G570</v>
      </c>
      <c r="Z573" t="str">
        <f>'Green_rooibos initial weight'!A1478</f>
        <v>R570</v>
      </c>
      <c r="AA573" t="b">
        <f t="shared" si="403"/>
        <v>0</v>
      </c>
      <c r="AB573" t="b">
        <f t="shared" si="404"/>
        <v>0</v>
      </c>
      <c r="BH573">
        <f t="shared" si="407"/>
        <v>0</v>
      </c>
    </row>
    <row r="574" spans="2:60" ht="12" customHeight="1">
      <c r="B574">
        <f>TBIDry!H646</f>
        <v>0</v>
      </c>
      <c r="C574">
        <f>TBIDry!I646</f>
        <v>0</v>
      </c>
      <c r="D574" t="b">
        <f t="shared" si="399"/>
        <v>1</v>
      </c>
      <c r="E574" t="b">
        <f t="shared" si="400"/>
        <v>1</v>
      </c>
      <c r="Y574" t="str">
        <f>'Green_rooibos initial weight'!A575</f>
        <v>G571</v>
      </c>
      <c r="Z574" t="str">
        <f>'Green_rooibos initial weight'!A1479</f>
        <v>R571</v>
      </c>
      <c r="AA574" t="b">
        <f t="shared" si="403"/>
        <v>0</v>
      </c>
      <c r="AB574" t="b">
        <f t="shared" si="404"/>
        <v>0</v>
      </c>
      <c r="BH574">
        <f t="shared" si="407"/>
        <v>0</v>
      </c>
    </row>
    <row r="575" spans="2:60" ht="12" customHeight="1">
      <c r="B575">
        <f>TBIDry!H647</f>
        <v>0</v>
      </c>
      <c r="C575">
        <f>TBIDry!I647</f>
        <v>0</v>
      </c>
      <c r="D575" t="b">
        <f t="shared" si="399"/>
        <v>1</v>
      </c>
      <c r="E575" t="b">
        <f t="shared" si="400"/>
        <v>1</v>
      </c>
      <c r="Y575" t="str">
        <f>'Green_rooibos initial weight'!A576</f>
        <v>G572</v>
      </c>
      <c r="Z575" t="str">
        <f>'Green_rooibos initial weight'!A1480</f>
        <v>R572</v>
      </c>
      <c r="AA575" t="b">
        <f t="shared" si="403"/>
        <v>0</v>
      </c>
      <c r="AB575" t="b">
        <f t="shared" si="404"/>
        <v>0</v>
      </c>
      <c r="BH575">
        <f t="shared" si="407"/>
        <v>0</v>
      </c>
    </row>
    <row r="576" spans="2:60" ht="12" customHeight="1">
      <c r="B576">
        <f>TBIDry!H648</f>
        <v>0</v>
      </c>
      <c r="C576">
        <f>TBIDry!I648</f>
        <v>0</v>
      </c>
      <c r="D576" t="b">
        <f t="shared" si="399"/>
        <v>1</v>
      </c>
      <c r="E576" t="b">
        <f t="shared" si="400"/>
        <v>1</v>
      </c>
      <c r="Y576" t="str">
        <f>'Green_rooibos initial weight'!A577</f>
        <v>G573</v>
      </c>
      <c r="Z576" t="str">
        <f>'Green_rooibos initial weight'!A1481</f>
        <v>R573</v>
      </c>
      <c r="AA576" t="b">
        <f t="shared" si="403"/>
        <v>0</v>
      </c>
      <c r="AB576" t="b">
        <f t="shared" si="404"/>
        <v>0</v>
      </c>
      <c r="BH576">
        <f t="shared" si="407"/>
        <v>0</v>
      </c>
    </row>
    <row r="577" spans="2:60" ht="12" customHeight="1">
      <c r="B577">
        <f>TBIDry!H649</f>
        <v>0</v>
      </c>
      <c r="C577">
        <f>TBIDry!I649</f>
        <v>0</v>
      </c>
      <c r="D577" t="b">
        <f t="shared" si="399"/>
        <v>1</v>
      </c>
      <c r="E577" t="b">
        <f t="shared" si="400"/>
        <v>1</v>
      </c>
      <c r="Y577" t="str">
        <f>'Green_rooibos initial weight'!A578</f>
        <v>G574</v>
      </c>
      <c r="Z577" t="str">
        <f>'Green_rooibos initial weight'!A1482</f>
        <v>R574</v>
      </c>
      <c r="AA577" t="b">
        <f t="shared" si="403"/>
        <v>0</v>
      </c>
      <c r="AB577" t="b">
        <f t="shared" si="404"/>
        <v>0</v>
      </c>
      <c r="BH577">
        <f t="shared" si="407"/>
        <v>0</v>
      </c>
    </row>
    <row r="578" spans="2:60" ht="12" customHeight="1">
      <c r="B578">
        <f>TBIDry!H650</f>
        <v>0</v>
      </c>
      <c r="C578">
        <f>TBIDry!I650</f>
        <v>0</v>
      </c>
      <c r="D578" t="b">
        <f t="shared" si="399"/>
        <v>1</v>
      </c>
      <c r="E578" t="b">
        <f t="shared" si="400"/>
        <v>1</v>
      </c>
      <c r="Y578" t="str">
        <f>'Green_rooibos initial weight'!A579</f>
        <v>G575</v>
      </c>
      <c r="Z578" t="str">
        <f>'Green_rooibos initial weight'!A1483</f>
        <v>R575</v>
      </c>
      <c r="AA578" t="b">
        <f t="shared" si="403"/>
        <v>0</v>
      </c>
      <c r="AB578" t="b">
        <f t="shared" si="404"/>
        <v>0</v>
      </c>
      <c r="BH578">
        <f t="shared" si="407"/>
        <v>0</v>
      </c>
    </row>
    <row r="579" spans="2:60" ht="12" customHeight="1">
      <c r="B579">
        <f>TBIDry!H651</f>
        <v>0</v>
      </c>
      <c r="C579">
        <f>TBIDry!I651</f>
        <v>0</v>
      </c>
      <c r="D579" t="b">
        <f t="shared" si="399"/>
        <v>1</v>
      </c>
      <c r="E579" t="b">
        <f t="shared" si="400"/>
        <v>1</v>
      </c>
      <c r="Y579" t="str">
        <f>'Green_rooibos initial weight'!A580</f>
        <v>G576</v>
      </c>
      <c r="Z579" t="str">
        <f>'Green_rooibos initial weight'!A1484</f>
        <v>R576</v>
      </c>
      <c r="AA579" t="b">
        <f t="shared" si="403"/>
        <v>0</v>
      </c>
      <c r="AB579" t="b">
        <f t="shared" si="404"/>
        <v>0</v>
      </c>
      <c r="BH579">
        <f t="shared" si="407"/>
        <v>0</v>
      </c>
    </row>
    <row r="580" spans="2:60" ht="12" customHeight="1">
      <c r="B580">
        <f>TBIDry!H652</f>
        <v>0</v>
      </c>
      <c r="C580">
        <f>TBIDry!I652</f>
        <v>0</v>
      </c>
      <c r="D580" t="b">
        <f t="shared" si="399"/>
        <v>1</v>
      </c>
      <c r="E580" t="b">
        <f t="shared" si="400"/>
        <v>1</v>
      </c>
      <c r="Y580" t="str">
        <f>'Green_rooibos initial weight'!A581</f>
        <v>G577</v>
      </c>
      <c r="Z580" t="str">
        <f>'Green_rooibos initial weight'!A1485</f>
        <v>R577</v>
      </c>
      <c r="AA580" t="b">
        <f t="shared" si="403"/>
        <v>0</v>
      </c>
      <c r="AB580" t="b">
        <f t="shared" si="404"/>
        <v>0</v>
      </c>
      <c r="BH580">
        <f t="shared" si="407"/>
        <v>0</v>
      </c>
    </row>
    <row r="581" spans="2:60" ht="12" customHeight="1">
      <c r="B581">
        <f>TBIDry!H653</f>
        <v>0</v>
      </c>
      <c r="C581">
        <f>TBIDry!I653</f>
        <v>0</v>
      </c>
      <c r="D581" t="b">
        <f t="shared" ref="D581:D644" si="408">COUNTIF($B$4:$B$2000, B581)&gt;1</f>
        <v>1</v>
      </c>
      <c r="E581" t="b">
        <f t="shared" ref="E581:E644" si="409">COUNTIF($C$4:$C$2000, C581)&gt;1</f>
        <v>1</v>
      </c>
      <c r="Y581" t="str">
        <f>'Green_rooibos initial weight'!A582</f>
        <v>G578</v>
      </c>
      <c r="Z581" t="str">
        <f>'Green_rooibos initial weight'!A1486</f>
        <v>R578</v>
      </c>
      <c r="AA581" t="b">
        <f t="shared" ref="AA581:AA644" si="410">COUNTIF($Y$4:$Y$2000, Y581)&gt;1</f>
        <v>0</v>
      </c>
      <c r="AB581" t="b">
        <f t="shared" ref="AB581:AB644" si="411">COUNTIF($Z$4:$Z$2000, Z581)&gt;1</f>
        <v>0</v>
      </c>
      <c r="BH581">
        <f t="shared" ref="BH581:BH644" si="412">B580</f>
        <v>0</v>
      </c>
    </row>
    <row r="582" spans="2:60" ht="12" customHeight="1">
      <c r="B582">
        <f>TBIDry!H654</f>
        <v>0</v>
      </c>
      <c r="C582">
        <f>TBIDry!I654</f>
        <v>0</v>
      </c>
      <c r="D582" t="b">
        <f t="shared" si="408"/>
        <v>1</v>
      </c>
      <c r="E582" t="b">
        <f t="shared" si="409"/>
        <v>1</v>
      </c>
      <c r="Y582" t="str">
        <f>'Green_rooibos initial weight'!A583</f>
        <v>G579</v>
      </c>
      <c r="Z582" t="str">
        <f>'Green_rooibos initial weight'!A1487</f>
        <v>R579</v>
      </c>
      <c r="AA582" t="b">
        <f t="shared" si="410"/>
        <v>0</v>
      </c>
      <c r="AB582" t="b">
        <f t="shared" si="411"/>
        <v>0</v>
      </c>
      <c r="BH582">
        <f t="shared" si="412"/>
        <v>0</v>
      </c>
    </row>
    <row r="583" spans="2:60" ht="12" customHeight="1">
      <c r="B583">
        <f>TBIDry!H655</f>
        <v>0</v>
      </c>
      <c r="C583">
        <f>TBIDry!I655</f>
        <v>0</v>
      </c>
      <c r="D583" t="b">
        <f t="shared" si="408"/>
        <v>1</v>
      </c>
      <c r="E583" t="b">
        <f t="shared" si="409"/>
        <v>1</v>
      </c>
      <c r="Y583" t="str">
        <f>'Green_rooibos initial weight'!A584</f>
        <v>G580</v>
      </c>
      <c r="Z583" t="str">
        <f>'Green_rooibos initial weight'!A1488</f>
        <v>R580</v>
      </c>
      <c r="AA583" t="b">
        <f t="shared" si="410"/>
        <v>0</v>
      </c>
      <c r="AB583" t="b">
        <f t="shared" si="411"/>
        <v>0</v>
      </c>
      <c r="BH583">
        <f t="shared" si="412"/>
        <v>0</v>
      </c>
    </row>
    <row r="584" spans="2:60" ht="12" customHeight="1">
      <c r="B584">
        <f>TBIDry!H656</f>
        <v>0</v>
      </c>
      <c r="C584">
        <f>TBIDry!I656</f>
        <v>0</v>
      </c>
      <c r="D584" t="b">
        <f t="shared" si="408"/>
        <v>1</v>
      </c>
      <c r="E584" t="b">
        <f t="shared" si="409"/>
        <v>1</v>
      </c>
      <c r="Y584" t="str">
        <f>'Green_rooibos initial weight'!A585</f>
        <v>G581</v>
      </c>
      <c r="Z584" t="str">
        <f>'Green_rooibos initial weight'!A1489</f>
        <v>R581</v>
      </c>
      <c r="AA584" t="b">
        <f t="shared" si="410"/>
        <v>0</v>
      </c>
      <c r="AB584" t="b">
        <f t="shared" si="411"/>
        <v>0</v>
      </c>
      <c r="BH584">
        <f t="shared" si="412"/>
        <v>0</v>
      </c>
    </row>
    <row r="585" spans="2:60" ht="12" customHeight="1">
      <c r="B585">
        <f>TBIDry!H657</f>
        <v>0</v>
      </c>
      <c r="C585">
        <f>TBIDry!I657</f>
        <v>0</v>
      </c>
      <c r="D585" t="b">
        <f t="shared" si="408"/>
        <v>1</v>
      </c>
      <c r="E585" t="b">
        <f t="shared" si="409"/>
        <v>1</v>
      </c>
      <c r="Y585" t="str">
        <f>'Green_rooibos initial weight'!A586</f>
        <v>G582</v>
      </c>
      <c r="Z585" t="str">
        <f>'Green_rooibos initial weight'!A1490</f>
        <v>R582</v>
      </c>
      <c r="AA585" t="b">
        <f t="shared" si="410"/>
        <v>0</v>
      </c>
      <c r="AB585" t="b">
        <f t="shared" si="411"/>
        <v>0</v>
      </c>
      <c r="BH585">
        <f t="shared" si="412"/>
        <v>0</v>
      </c>
    </row>
    <row r="586" spans="2:60" ht="12" customHeight="1">
      <c r="B586">
        <f>TBIDry!H658</f>
        <v>0</v>
      </c>
      <c r="C586">
        <f>TBIDry!I658</f>
        <v>0</v>
      </c>
      <c r="D586" t="b">
        <f t="shared" si="408"/>
        <v>1</v>
      </c>
      <c r="E586" t="b">
        <f t="shared" si="409"/>
        <v>1</v>
      </c>
      <c r="Y586" t="str">
        <f>'Green_rooibos initial weight'!A587</f>
        <v>G583</v>
      </c>
      <c r="Z586" t="str">
        <f>'Green_rooibos initial weight'!A1491</f>
        <v>R583</v>
      </c>
      <c r="AA586" t="b">
        <f t="shared" si="410"/>
        <v>0</v>
      </c>
      <c r="AB586" t="b">
        <f t="shared" si="411"/>
        <v>0</v>
      </c>
      <c r="BH586">
        <f t="shared" si="412"/>
        <v>0</v>
      </c>
    </row>
    <row r="587" spans="2:60" ht="12" customHeight="1">
      <c r="B587">
        <f>TBIDry!H659</f>
        <v>0</v>
      </c>
      <c r="C587">
        <f>TBIDry!I659</f>
        <v>0</v>
      </c>
      <c r="D587" t="b">
        <f t="shared" si="408"/>
        <v>1</v>
      </c>
      <c r="E587" t="b">
        <f t="shared" si="409"/>
        <v>1</v>
      </c>
      <c r="Y587" t="str">
        <f>'Green_rooibos initial weight'!A588</f>
        <v>G584</v>
      </c>
      <c r="Z587" t="str">
        <f>'Green_rooibos initial weight'!A1492</f>
        <v>R584</v>
      </c>
      <c r="AA587" t="b">
        <f t="shared" si="410"/>
        <v>0</v>
      </c>
      <c r="AB587" t="b">
        <f t="shared" si="411"/>
        <v>0</v>
      </c>
      <c r="BH587">
        <f t="shared" si="412"/>
        <v>0</v>
      </c>
    </row>
    <row r="588" spans="2:60" ht="12" customHeight="1">
      <c r="B588">
        <f>TBIDry!H660</f>
        <v>0</v>
      </c>
      <c r="C588">
        <f>TBIDry!I660</f>
        <v>0</v>
      </c>
      <c r="D588" t="b">
        <f t="shared" si="408"/>
        <v>1</v>
      </c>
      <c r="E588" t="b">
        <f t="shared" si="409"/>
        <v>1</v>
      </c>
      <c r="Y588" t="str">
        <f>'Green_rooibos initial weight'!A589</f>
        <v>G585</v>
      </c>
      <c r="Z588" t="str">
        <f>'Green_rooibos initial weight'!A1493</f>
        <v>R585</v>
      </c>
      <c r="AA588" t="b">
        <f t="shared" si="410"/>
        <v>0</v>
      </c>
      <c r="AB588" t="b">
        <f t="shared" si="411"/>
        <v>0</v>
      </c>
      <c r="BH588">
        <f t="shared" si="412"/>
        <v>0</v>
      </c>
    </row>
    <row r="589" spans="2:60" ht="12" customHeight="1">
      <c r="B589">
        <f>TBIDry!H661</f>
        <v>0</v>
      </c>
      <c r="C589">
        <f>TBIDry!I661</f>
        <v>0</v>
      </c>
      <c r="D589" t="b">
        <f t="shared" si="408"/>
        <v>1</v>
      </c>
      <c r="E589" t="b">
        <f t="shared" si="409"/>
        <v>1</v>
      </c>
      <c r="Y589" t="str">
        <f>'Green_rooibos initial weight'!A590</f>
        <v>G586</v>
      </c>
      <c r="Z589" t="str">
        <f>'Green_rooibos initial weight'!A1494</f>
        <v>R586</v>
      </c>
      <c r="AA589" t="b">
        <f t="shared" si="410"/>
        <v>0</v>
      </c>
      <c r="AB589" t="b">
        <f t="shared" si="411"/>
        <v>0</v>
      </c>
      <c r="BH589">
        <f t="shared" si="412"/>
        <v>0</v>
      </c>
    </row>
    <row r="590" spans="2:60" ht="12" customHeight="1">
      <c r="B590">
        <f>TBIDry!H662</f>
        <v>0</v>
      </c>
      <c r="C590">
        <f>TBIDry!I662</f>
        <v>0</v>
      </c>
      <c r="D590" t="b">
        <f t="shared" si="408"/>
        <v>1</v>
      </c>
      <c r="E590" t="b">
        <f t="shared" si="409"/>
        <v>1</v>
      </c>
      <c r="Y590" t="str">
        <f>'Green_rooibos initial weight'!A591</f>
        <v>G587</v>
      </c>
      <c r="Z590" t="str">
        <f>'Green_rooibos initial weight'!A1495</f>
        <v>R587</v>
      </c>
      <c r="AA590" t="b">
        <f t="shared" si="410"/>
        <v>0</v>
      </c>
      <c r="AB590" t="b">
        <f t="shared" si="411"/>
        <v>0</v>
      </c>
      <c r="BH590">
        <f t="shared" si="412"/>
        <v>0</v>
      </c>
    </row>
    <row r="591" spans="2:60" ht="12" customHeight="1">
      <c r="B591">
        <f>TBIDry!H663</f>
        <v>0</v>
      </c>
      <c r="C591">
        <f>TBIDry!I663</f>
        <v>0</v>
      </c>
      <c r="D591" t="b">
        <f t="shared" si="408"/>
        <v>1</v>
      </c>
      <c r="E591" t="b">
        <f t="shared" si="409"/>
        <v>1</v>
      </c>
      <c r="Y591" t="str">
        <f>'Green_rooibos initial weight'!A592</f>
        <v>G588</v>
      </c>
      <c r="Z591" t="str">
        <f>'Green_rooibos initial weight'!A1496</f>
        <v>R588</v>
      </c>
      <c r="AA591" t="b">
        <f t="shared" si="410"/>
        <v>0</v>
      </c>
      <c r="AB591" t="b">
        <f t="shared" si="411"/>
        <v>0</v>
      </c>
      <c r="BH591">
        <f t="shared" si="412"/>
        <v>0</v>
      </c>
    </row>
    <row r="592" spans="2:60" ht="12" customHeight="1">
      <c r="B592">
        <f>TBIDry!H664</f>
        <v>0</v>
      </c>
      <c r="C592">
        <f>TBIDry!I664</f>
        <v>0</v>
      </c>
      <c r="D592" t="b">
        <f t="shared" si="408"/>
        <v>1</v>
      </c>
      <c r="E592" t="b">
        <f t="shared" si="409"/>
        <v>1</v>
      </c>
      <c r="Y592" t="str">
        <f>'Green_rooibos initial weight'!A593</f>
        <v>G589</v>
      </c>
      <c r="Z592" t="str">
        <f>'Green_rooibos initial weight'!A1497</f>
        <v>R589</v>
      </c>
      <c r="AA592" t="b">
        <f t="shared" si="410"/>
        <v>0</v>
      </c>
      <c r="AB592" t="b">
        <f t="shared" si="411"/>
        <v>0</v>
      </c>
      <c r="BH592">
        <f t="shared" si="412"/>
        <v>0</v>
      </c>
    </row>
    <row r="593" spans="2:60" ht="12" customHeight="1">
      <c r="B593">
        <f>TBIDry!H665</f>
        <v>0</v>
      </c>
      <c r="C593">
        <f>TBIDry!I665</f>
        <v>0</v>
      </c>
      <c r="D593" t="b">
        <f t="shared" si="408"/>
        <v>1</v>
      </c>
      <c r="E593" t="b">
        <f t="shared" si="409"/>
        <v>1</v>
      </c>
      <c r="Y593" t="str">
        <f>'Green_rooibos initial weight'!A594</f>
        <v>G590</v>
      </c>
      <c r="Z593" t="str">
        <f>'Green_rooibos initial weight'!A1498</f>
        <v>R590</v>
      </c>
      <c r="AA593" t="b">
        <f t="shared" si="410"/>
        <v>0</v>
      </c>
      <c r="AB593" t="b">
        <f t="shared" si="411"/>
        <v>0</v>
      </c>
      <c r="BH593">
        <f t="shared" si="412"/>
        <v>0</v>
      </c>
    </row>
    <row r="594" spans="2:60" ht="12" customHeight="1">
      <c r="B594">
        <f>TBIDry!H666</f>
        <v>0</v>
      </c>
      <c r="C594">
        <f>TBIDry!I666</f>
        <v>0</v>
      </c>
      <c r="D594" t="b">
        <f t="shared" si="408"/>
        <v>1</v>
      </c>
      <c r="E594" t="b">
        <f t="shared" si="409"/>
        <v>1</v>
      </c>
      <c r="Y594" t="str">
        <f>'Green_rooibos initial weight'!A595</f>
        <v>G591</v>
      </c>
      <c r="Z594" t="str">
        <f>'Green_rooibos initial weight'!A1499</f>
        <v>R591</v>
      </c>
      <c r="AA594" t="b">
        <f t="shared" si="410"/>
        <v>0</v>
      </c>
      <c r="AB594" t="b">
        <f t="shared" si="411"/>
        <v>0</v>
      </c>
      <c r="BH594">
        <f t="shared" si="412"/>
        <v>0</v>
      </c>
    </row>
    <row r="595" spans="2:60" ht="12" customHeight="1">
      <c r="B595">
        <f>TBIDry!H667</f>
        <v>0</v>
      </c>
      <c r="C595">
        <f>TBIDry!I667</f>
        <v>0</v>
      </c>
      <c r="D595" t="b">
        <f t="shared" si="408"/>
        <v>1</v>
      </c>
      <c r="E595" t="b">
        <f t="shared" si="409"/>
        <v>1</v>
      </c>
      <c r="Y595" t="str">
        <f>'Green_rooibos initial weight'!A596</f>
        <v>G592</v>
      </c>
      <c r="Z595" t="str">
        <f>'Green_rooibos initial weight'!A1500</f>
        <v>R592</v>
      </c>
      <c r="AA595" t="b">
        <f t="shared" si="410"/>
        <v>0</v>
      </c>
      <c r="AB595" t="b">
        <f t="shared" si="411"/>
        <v>0</v>
      </c>
      <c r="BH595">
        <f t="shared" si="412"/>
        <v>0</v>
      </c>
    </row>
    <row r="596" spans="2:60" ht="12" customHeight="1">
      <c r="B596">
        <f>TBIDry!H668</f>
        <v>0</v>
      </c>
      <c r="C596">
        <f>TBIDry!I668</f>
        <v>0</v>
      </c>
      <c r="D596" t="b">
        <f t="shared" si="408"/>
        <v>1</v>
      </c>
      <c r="E596" t="b">
        <f t="shared" si="409"/>
        <v>1</v>
      </c>
      <c r="Y596" t="str">
        <f>'Green_rooibos initial weight'!A597</f>
        <v>G593</v>
      </c>
      <c r="Z596" t="str">
        <f>'Green_rooibos initial weight'!A1501</f>
        <v>R593</v>
      </c>
      <c r="AA596" t="b">
        <f t="shared" si="410"/>
        <v>0</v>
      </c>
      <c r="AB596" t="b">
        <f t="shared" si="411"/>
        <v>0</v>
      </c>
      <c r="BH596">
        <f t="shared" si="412"/>
        <v>0</v>
      </c>
    </row>
    <row r="597" spans="2:60" ht="12" customHeight="1">
      <c r="B597">
        <f>TBIDry!H669</f>
        <v>0</v>
      </c>
      <c r="C597">
        <f>TBIDry!I669</f>
        <v>0</v>
      </c>
      <c r="D597" t="b">
        <f t="shared" si="408"/>
        <v>1</v>
      </c>
      <c r="E597" t="b">
        <f t="shared" si="409"/>
        <v>1</v>
      </c>
      <c r="Y597" t="str">
        <f>'Green_rooibos initial weight'!A598</f>
        <v>G594</v>
      </c>
      <c r="Z597" t="str">
        <f>'Green_rooibos initial weight'!A1502</f>
        <v>R594</v>
      </c>
      <c r="AA597" t="b">
        <f t="shared" si="410"/>
        <v>0</v>
      </c>
      <c r="AB597" t="b">
        <f t="shared" si="411"/>
        <v>0</v>
      </c>
      <c r="BH597">
        <f t="shared" si="412"/>
        <v>0</v>
      </c>
    </row>
    <row r="598" spans="2:60" ht="12" customHeight="1">
      <c r="B598">
        <f>TBIDry!H670</f>
        <v>0</v>
      </c>
      <c r="C598">
        <f>TBIDry!I670</f>
        <v>0</v>
      </c>
      <c r="D598" t="b">
        <f t="shared" si="408"/>
        <v>1</v>
      </c>
      <c r="E598" t="b">
        <f t="shared" si="409"/>
        <v>1</v>
      </c>
      <c r="Y598" t="str">
        <f>'Green_rooibos initial weight'!A599</f>
        <v>G595</v>
      </c>
      <c r="Z598" t="str">
        <f>'Green_rooibos initial weight'!A1503</f>
        <v>R595</v>
      </c>
      <c r="AA598" t="b">
        <f t="shared" si="410"/>
        <v>0</v>
      </c>
      <c r="AB598" t="b">
        <f t="shared" si="411"/>
        <v>0</v>
      </c>
      <c r="BH598">
        <f t="shared" si="412"/>
        <v>0</v>
      </c>
    </row>
    <row r="599" spans="2:60" ht="12" customHeight="1">
      <c r="B599">
        <f>TBIDry!H671</f>
        <v>0</v>
      </c>
      <c r="C599">
        <f>TBIDry!I671</f>
        <v>0</v>
      </c>
      <c r="D599" t="b">
        <f t="shared" si="408"/>
        <v>1</v>
      </c>
      <c r="E599" t="b">
        <f t="shared" si="409"/>
        <v>1</v>
      </c>
      <c r="Y599" t="str">
        <f>'Green_rooibos initial weight'!A600</f>
        <v>G596</v>
      </c>
      <c r="Z599" t="str">
        <f>'Green_rooibos initial weight'!A1504</f>
        <v>R596</v>
      </c>
      <c r="AA599" t="b">
        <f t="shared" si="410"/>
        <v>0</v>
      </c>
      <c r="AB599" t="b">
        <f t="shared" si="411"/>
        <v>0</v>
      </c>
      <c r="BH599">
        <f t="shared" si="412"/>
        <v>0</v>
      </c>
    </row>
    <row r="600" spans="2:60" ht="12" customHeight="1">
      <c r="B600">
        <f>TBIDry!H672</f>
        <v>0</v>
      </c>
      <c r="C600">
        <f>TBIDry!I672</f>
        <v>0</v>
      </c>
      <c r="D600" t="b">
        <f t="shared" si="408"/>
        <v>1</v>
      </c>
      <c r="E600" t="b">
        <f t="shared" si="409"/>
        <v>1</v>
      </c>
      <c r="Y600" t="str">
        <f>'Green_rooibos initial weight'!A601</f>
        <v>G597</v>
      </c>
      <c r="Z600" t="str">
        <f>'Green_rooibos initial weight'!A1505</f>
        <v>R597</v>
      </c>
      <c r="AA600" t="b">
        <f t="shared" si="410"/>
        <v>0</v>
      </c>
      <c r="AB600" t="b">
        <f t="shared" si="411"/>
        <v>0</v>
      </c>
      <c r="BH600">
        <f t="shared" si="412"/>
        <v>0</v>
      </c>
    </row>
    <row r="601" spans="2:60" ht="12" customHeight="1">
      <c r="B601">
        <f>TBIDry!H673</f>
        <v>0</v>
      </c>
      <c r="C601">
        <f>TBIDry!I673</f>
        <v>0</v>
      </c>
      <c r="D601" t="b">
        <f t="shared" si="408"/>
        <v>1</v>
      </c>
      <c r="E601" t="b">
        <f t="shared" si="409"/>
        <v>1</v>
      </c>
      <c r="Y601" t="str">
        <f>'Green_rooibos initial weight'!A602</f>
        <v>G598</v>
      </c>
      <c r="Z601" t="str">
        <f>'Green_rooibos initial weight'!A1506</f>
        <v>R598</v>
      </c>
      <c r="AA601" t="b">
        <f t="shared" si="410"/>
        <v>0</v>
      </c>
      <c r="AB601" t="b">
        <f t="shared" si="411"/>
        <v>0</v>
      </c>
      <c r="BH601">
        <f t="shared" si="412"/>
        <v>0</v>
      </c>
    </row>
    <row r="602" spans="2:60" ht="12" customHeight="1">
      <c r="B602">
        <f>TBIDry!H674</f>
        <v>0</v>
      </c>
      <c r="C602">
        <f>TBIDry!I674</f>
        <v>0</v>
      </c>
      <c r="D602" t="b">
        <f t="shared" si="408"/>
        <v>1</v>
      </c>
      <c r="E602" t="b">
        <f t="shared" si="409"/>
        <v>1</v>
      </c>
      <c r="Y602" t="str">
        <f>'Green_rooibos initial weight'!A603</f>
        <v>G599</v>
      </c>
      <c r="Z602" t="str">
        <f>'Green_rooibos initial weight'!A1507</f>
        <v>R599</v>
      </c>
      <c r="AA602" t="b">
        <f t="shared" si="410"/>
        <v>0</v>
      </c>
      <c r="AB602" t="b">
        <f t="shared" si="411"/>
        <v>0</v>
      </c>
      <c r="BH602">
        <f t="shared" si="412"/>
        <v>0</v>
      </c>
    </row>
    <row r="603" spans="2:60" ht="12" customHeight="1">
      <c r="B603">
        <f>TBIDry!H675</f>
        <v>0</v>
      </c>
      <c r="C603">
        <f>TBIDry!I675</f>
        <v>0</v>
      </c>
      <c r="D603" t="b">
        <f t="shared" si="408"/>
        <v>1</v>
      </c>
      <c r="E603" t="b">
        <f t="shared" si="409"/>
        <v>1</v>
      </c>
      <c r="Y603" t="str">
        <f>'Green_rooibos initial weight'!A604</f>
        <v>G600</v>
      </c>
      <c r="Z603" t="str">
        <f>'Green_rooibos initial weight'!A1508</f>
        <v>R600</v>
      </c>
      <c r="AA603" t="b">
        <f t="shared" si="410"/>
        <v>0</v>
      </c>
      <c r="AB603" t="b">
        <f t="shared" si="411"/>
        <v>0</v>
      </c>
      <c r="BH603">
        <f t="shared" si="412"/>
        <v>0</v>
      </c>
    </row>
    <row r="604" spans="2:60" ht="12" customHeight="1">
      <c r="B604">
        <f>TBIDry!H676</f>
        <v>0</v>
      </c>
      <c r="C604">
        <f>TBIDry!I676</f>
        <v>0</v>
      </c>
      <c r="D604" t="b">
        <f t="shared" si="408"/>
        <v>1</v>
      </c>
      <c r="E604" t="b">
        <f t="shared" si="409"/>
        <v>1</v>
      </c>
      <c r="Y604" t="str">
        <f>'Green_rooibos initial weight'!A605</f>
        <v>G601</v>
      </c>
      <c r="Z604" t="str">
        <f>'Green_rooibos initial weight'!A1509</f>
        <v>R601</v>
      </c>
      <c r="AA604" t="b">
        <f t="shared" si="410"/>
        <v>0</v>
      </c>
      <c r="AB604" t="b">
        <f t="shared" si="411"/>
        <v>0</v>
      </c>
      <c r="BH604">
        <f t="shared" si="412"/>
        <v>0</v>
      </c>
    </row>
    <row r="605" spans="2:60" ht="12" customHeight="1">
      <c r="B605">
        <f>TBIDry!H677</f>
        <v>0</v>
      </c>
      <c r="C605">
        <f>TBIDry!I677</f>
        <v>0</v>
      </c>
      <c r="D605" t="b">
        <f t="shared" si="408"/>
        <v>1</v>
      </c>
      <c r="E605" t="b">
        <f t="shared" si="409"/>
        <v>1</v>
      </c>
      <c r="Y605" t="str">
        <f>'Green_rooibos initial weight'!A606</f>
        <v>G602</v>
      </c>
      <c r="Z605" t="str">
        <f>'Green_rooibos initial weight'!A1510</f>
        <v>R841</v>
      </c>
      <c r="AA605" t="b">
        <f t="shared" si="410"/>
        <v>0</v>
      </c>
      <c r="AB605" t="b">
        <f t="shared" si="411"/>
        <v>0</v>
      </c>
      <c r="BH605">
        <f t="shared" si="412"/>
        <v>0</v>
      </c>
    </row>
    <row r="606" spans="2:60" ht="12" customHeight="1">
      <c r="B606">
        <f>TBIDry!H678</f>
        <v>0</v>
      </c>
      <c r="C606">
        <f>TBIDry!I678</f>
        <v>0</v>
      </c>
      <c r="D606" t="b">
        <f t="shared" si="408"/>
        <v>1</v>
      </c>
      <c r="E606" t="b">
        <f t="shared" si="409"/>
        <v>1</v>
      </c>
      <c r="Y606" t="str">
        <f>'Green_rooibos initial weight'!A607</f>
        <v>G603</v>
      </c>
      <c r="Z606" t="str">
        <f>'Green_rooibos initial weight'!A1511</f>
        <v>R602</v>
      </c>
      <c r="AA606" t="b">
        <f t="shared" si="410"/>
        <v>0</v>
      </c>
      <c r="AB606" t="b">
        <f t="shared" si="411"/>
        <v>0</v>
      </c>
      <c r="BH606">
        <f t="shared" si="412"/>
        <v>0</v>
      </c>
    </row>
    <row r="607" spans="2:60" ht="12" customHeight="1">
      <c r="B607">
        <f>TBIDry!H679</f>
        <v>0</v>
      </c>
      <c r="C607">
        <f>TBIDry!I679</f>
        <v>0</v>
      </c>
      <c r="D607" t="b">
        <f t="shared" si="408"/>
        <v>1</v>
      </c>
      <c r="E607" t="b">
        <f t="shared" si="409"/>
        <v>1</v>
      </c>
      <c r="Y607" t="str">
        <f>'Green_rooibos initial weight'!A608</f>
        <v>G604</v>
      </c>
      <c r="Z607" t="str">
        <f>'Green_rooibos initial weight'!A1512</f>
        <v>R603</v>
      </c>
      <c r="AA607" t="b">
        <f t="shared" si="410"/>
        <v>0</v>
      </c>
      <c r="AB607" t="b">
        <f t="shared" si="411"/>
        <v>0</v>
      </c>
      <c r="BH607">
        <f t="shared" si="412"/>
        <v>0</v>
      </c>
    </row>
    <row r="608" spans="2:60" ht="12" customHeight="1">
      <c r="B608">
        <f>TBIDry!H680</f>
        <v>0</v>
      </c>
      <c r="C608">
        <f>TBIDry!I680</f>
        <v>0</v>
      </c>
      <c r="D608" t="b">
        <f t="shared" si="408"/>
        <v>1</v>
      </c>
      <c r="E608" t="b">
        <f t="shared" si="409"/>
        <v>1</v>
      </c>
      <c r="Y608" t="str">
        <f>'Green_rooibos initial weight'!A609</f>
        <v>G605</v>
      </c>
      <c r="Z608" t="str">
        <f>'Green_rooibos initial weight'!A1513</f>
        <v>R604</v>
      </c>
      <c r="AA608" t="b">
        <f t="shared" si="410"/>
        <v>0</v>
      </c>
      <c r="AB608" t="b">
        <f t="shared" si="411"/>
        <v>0</v>
      </c>
      <c r="BH608">
        <f t="shared" si="412"/>
        <v>0</v>
      </c>
    </row>
    <row r="609" spans="2:60" ht="12" customHeight="1">
      <c r="B609">
        <f>TBIDry!H681</f>
        <v>0</v>
      </c>
      <c r="C609">
        <f>TBIDry!I681</f>
        <v>0</v>
      </c>
      <c r="D609" t="b">
        <f t="shared" si="408"/>
        <v>1</v>
      </c>
      <c r="E609" t="b">
        <f t="shared" si="409"/>
        <v>1</v>
      </c>
      <c r="Y609" t="str">
        <f>'Green_rooibos initial weight'!A610</f>
        <v>G606</v>
      </c>
      <c r="Z609" t="str">
        <f>'Green_rooibos initial weight'!A1514</f>
        <v>R605</v>
      </c>
      <c r="AA609" t="b">
        <f t="shared" si="410"/>
        <v>0</v>
      </c>
      <c r="AB609" t="b">
        <f t="shared" si="411"/>
        <v>0</v>
      </c>
      <c r="BH609">
        <f t="shared" si="412"/>
        <v>0</v>
      </c>
    </row>
    <row r="610" spans="2:60" ht="12" customHeight="1">
      <c r="B610">
        <f>TBIDry!H682</f>
        <v>0</v>
      </c>
      <c r="C610">
        <f>TBIDry!I682</f>
        <v>0</v>
      </c>
      <c r="D610" t="b">
        <f t="shared" si="408"/>
        <v>1</v>
      </c>
      <c r="E610" t="b">
        <f t="shared" si="409"/>
        <v>1</v>
      </c>
      <c r="Y610" t="str">
        <f>'Green_rooibos initial weight'!A611</f>
        <v>G607</v>
      </c>
      <c r="Z610" t="str">
        <f>'Green_rooibos initial weight'!A1515</f>
        <v>R606</v>
      </c>
      <c r="AA610" t="b">
        <f t="shared" si="410"/>
        <v>0</v>
      </c>
      <c r="AB610" t="b">
        <f t="shared" si="411"/>
        <v>0</v>
      </c>
      <c r="BH610">
        <f t="shared" si="412"/>
        <v>0</v>
      </c>
    </row>
    <row r="611" spans="2:60" ht="12" customHeight="1">
      <c r="B611">
        <f>TBIDry!H683</f>
        <v>0</v>
      </c>
      <c r="C611">
        <f>TBIDry!I683</f>
        <v>0</v>
      </c>
      <c r="D611" t="b">
        <f t="shared" si="408"/>
        <v>1</v>
      </c>
      <c r="E611" t="b">
        <f t="shared" si="409"/>
        <v>1</v>
      </c>
      <c r="Y611" t="str">
        <f>'Green_rooibos initial weight'!A612</f>
        <v>G608</v>
      </c>
      <c r="Z611" t="str">
        <f>'Green_rooibos initial weight'!A1516</f>
        <v>R607</v>
      </c>
      <c r="AA611" t="b">
        <f t="shared" si="410"/>
        <v>0</v>
      </c>
      <c r="AB611" t="b">
        <f t="shared" si="411"/>
        <v>0</v>
      </c>
      <c r="BH611">
        <f t="shared" si="412"/>
        <v>0</v>
      </c>
    </row>
    <row r="612" spans="2:60" ht="12" customHeight="1">
      <c r="B612">
        <f>TBIDry!H684</f>
        <v>0</v>
      </c>
      <c r="C612">
        <f>TBIDry!I684</f>
        <v>0</v>
      </c>
      <c r="D612" t="b">
        <f t="shared" si="408"/>
        <v>1</v>
      </c>
      <c r="E612" t="b">
        <f t="shared" si="409"/>
        <v>1</v>
      </c>
      <c r="Y612" t="str">
        <f>'Green_rooibos initial weight'!A613</f>
        <v>G609</v>
      </c>
      <c r="Z612" t="str">
        <f>'Green_rooibos initial weight'!A1517</f>
        <v>R608</v>
      </c>
      <c r="AA612" t="b">
        <f t="shared" si="410"/>
        <v>0</v>
      </c>
      <c r="AB612" t="b">
        <f t="shared" si="411"/>
        <v>0</v>
      </c>
      <c r="BH612">
        <f t="shared" si="412"/>
        <v>0</v>
      </c>
    </row>
    <row r="613" spans="2:60" ht="12" customHeight="1">
      <c r="B613">
        <f>TBIDry!H685</f>
        <v>0</v>
      </c>
      <c r="C613">
        <f>TBIDry!I685</f>
        <v>0</v>
      </c>
      <c r="D613" t="b">
        <f t="shared" si="408"/>
        <v>1</v>
      </c>
      <c r="E613" t="b">
        <f t="shared" si="409"/>
        <v>1</v>
      </c>
      <c r="Y613" t="str">
        <f>'Green_rooibos initial weight'!A614</f>
        <v>G610</v>
      </c>
      <c r="Z613" t="str">
        <f>'Green_rooibos initial weight'!A1518</f>
        <v>R609</v>
      </c>
      <c r="AA613" t="b">
        <f t="shared" si="410"/>
        <v>0</v>
      </c>
      <c r="AB613" t="b">
        <f t="shared" si="411"/>
        <v>0</v>
      </c>
      <c r="BH613">
        <f t="shared" si="412"/>
        <v>0</v>
      </c>
    </row>
    <row r="614" spans="2:60" ht="12" customHeight="1">
      <c r="B614">
        <f>TBIDry!H686</f>
        <v>0</v>
      </c>
      <c r="C614">
        <f>TBIDry!I686</f>
        <v>0</v>
      </c>
      <c r="D614" t="b">
        <f t="shared" si="408"/>
        <v>1</v>
      </c>
      <c r="E614" t="b">
        <f t="shared" si="409"/>
        <v>1</v>
      </c>
      <c r="Y614" t="str">
        <f>'Green_rooibos initial weight'!A615</f>
        <v>G611</v>
      </c>
      <c r="Z614" t="str">
        <f>'Green_rooibos initial weight'!A1519</f>
        <v>R610</v>
      </c>
      <c r="AA614" t="b">
        <f t="shared" si="410"/>
        <v>0</v>
      </c>
      <c r="AB614" t="b">
        <f t="shared" si="411"/>
        <v>0</v>
      </c>
      <c r="BH614">
        <f t="shared" si="412"/>
        <v>0</v>
      </c>
    </row>
    <row r="615" spans="2:60" ht="12" customHeight="1">
      <c r="B615">
        <f>TBIDry!H687</f>
        <v>0</v>
      </c>
      <c r="C615">
        <f>TBIDry!I687</f>
        <v>0</v>
      </c>
      <c r="D615" t="b">
        <f t="shared" si="408"/>
        <v>1</v>
      </c>
      <c r="E615" t="b">
        <f t="shared" si="409"/>
        <v>1</v>
      </c>
      <c r="Y615" t="str">
        <f>'Green_rooibos initial weight'!A616</f>
        <v>G612</v>
      </c>
      <c r="Z615" t="str">
        <f>'Green_rooibos initial weight'!A1520</f>
        <v>R611</v>
      </c>
      <c r="AA615" t="b">
        <f t="shared" si="410"/>
        <v>0</v>
      </c>
      <c r="AB615" t="b">
        <f t="shared" si="411"/>
        <v>0</v>
      </c>
      <c r="BH615">
        <f t="shared" si="412"/>
        <v>0</v>
      </c>
    </row>
    <row r="616" spans="2:60" ht="12" customHeight="1">
      <c r="B616">
        <f>TBIDry!H688</f>
        <v>0</v>
      </c>
      <c r="C616">
        <f>TBIDry!I688</f>
        <v>0</v>
      </c>
      <c r="D616" t="b">
        <f t="shared" si="408"/>
        <v>1</v>
      </c>
      <c r="E616" t="b">
        <f t="shared" si="409"/>
        <v>1</v>
      </c>
      <c r="Y616" t="str">
        <f>'Green_rooibos initial weight'!A617</f>
        <v>G613</v>
      </c>
      <c r="Z616" t="str">
        <f>'Green_rooibos initial weight'!A1521</f>
        <v>R612</v>
      </c>
      <c r="AA616" t="b">
        <f t="shared" si="410"/>
        <v>0</v>
      </c>
      <c r="AB616" t="b">
        <f t="shared" si="411"/>
        <v>0</v>
      </c>
      <c r="BH616">
        <f t="shared" si="412"/>
        <v>0</v>
      </c>
    </row>
    <row r="617" spans="2:60" ht="12" customHeight="1">
      <c r="B617">
        <f>TBIDry!H689</f>
        <v>0</v>
      </c>
      <c r="C617">
        <f>TBIDry!I689</f>
        <v>0</v>
      </c>
      <c r="D617" t="b">
        <f t="shared" si="408"/>
        <v>1</v>
      </c>
      <c r="E617" t="b">
        <f t="shared" si="409"/>
        <v>1</v>
      </c>
      <c r="Y617" t="str">
        <f>'Green_rooibos initial weight'!A618</f>
        <v>G614</v>
      </c>
      <c r="Z617" t="str">
        <f>'Green_rooibos initial weight'!A1522</f>
        <v>R613</v>
      </c>
      <c r="AA617" t="b">
        <f t="shared" si="410"/>
        <v>0</v>
      </c>
      <c r="AB617" t="b">
        <f t="shared" si="411"/>
        <v>0</v>
      </c>
      <c r="BH617">
        <f t="shared" si="412"/>
        <v>0</v>
      </c>
    </row>
    <row r="618" spans="2:60" ht="12" customHeight="1">
      <c r="B618">
        <f>TBIDry!H690</f>
        <v>0</v>
      </c>
      <c r="C618">
        <f>TBIDry!I690</f>
        <v>0</v>
      </c>
      <c r="D618" t="b">
        <f t="shared" si="408"/>
        <v>1</v>
      </c>
      <c r="E618" t="b">
        <f t="shared" si="409"/>
        <v>1</v>
      </c>
      <c r="Y618" t="str">
        <f>'Green_rooibos initial weight'!A619</f>
        <v>G615</v>
      </c>
      <c r="Z618" t="str">
        <f>'Green_rooibos initial weight'!A1523</f>
        <v>R614</v>
      </c>
      <c r="AA618" t="b">
        <f t="shared" si="410"/>
        <v>0</v>
      </c>
      <c r="AB618" t="b">
        <f t="shared" si="411"/>
        <v>0</v>
      </c>
      <c r="BH618">
        <f t="shared" si="412"/>
        <v>0</v>
      </c>
    </row>
    <row r="619" spans="2:60" ht="12" customHeight="1">
      <c r="B619">
        <f>TBIDry!H691</f>
        <v>0</v>
      </c>
      <c r="C619">
        <f>TBIDry!I691</f>
        <v>0</v>
      </c>
      <c r="D619" t="b">
        <f t="shared" si="408"/>
        <v>1</v>
      </c>
      <c r="E619" t="b">
        <f t="shared" si="409"/>
        <v>1</v>
      </c>
      <c r="Y619" t="str">
        <f>'Green_rooibos initial weight'!A620</f>
        <v>G616</v>
      </c>
      <c r="Z619" t="str">
        <f>'Green_rooibos initial weight'!A1524</f>
        <v>R615</v>
      </c>
      <c r="AA619" t="b">
        <f t="shared" si="410"/>
        <v>0</v>
      </c>
      <c r="AB619" t="b">
        <f t="shared" si="411"/>
        <v>0</v>
      </c>
      <c r="BH619">
        <f t="shared" si="412"/>
        <v>0</v>
      </c>
    </row>
    <row r="620" spans="2:60" ht="12" customHeight="1">
      <c r="B620">
        <f>TBIDry!H692</f>
        <v>0</v>
      </c>
      <c r="C620">
        <f>TBIDry!I692</f>
        <v>0</v>
      </c>
      <c r="D620" t="b">
        <f t="shared" si="408"/>
        <v>1</v>
      </c>
      <c r="E620" t="b">
        <f t="shared" si="409"/>
        <v>1</v>
      </c>
      <c r="Y620" t="str">
        <f>'Green_rooibos initial weight'!A621</f>
        <v>G617</v>
      </c>
      <c r="Z620" t="str">
        <f>'Green_rooibos initial weight'!A1525</f>
        <v>R616</v>
      </c>
      <c r="AA620" t="b">
        <f t="shared" si="410"/>
        <v>0</v>
      </c>
      <c r="AB620" t="b">
        <f t="shared" si="411"/>
        <v>0</v>
      </c>
      <c r="BH620">
        <f t="shared" si="412"/>
        <v>0</v>
      </c>
    </row>
    <row r="621" spans="2:60" ht="12" customHeight="1">
      <c r="B621">
        <f>TBIDry!H693</f>
        <v>0</v>
      </c>
      <c r="C621">
        <f>TBIDry!I693</f>
        <v>0</v>
      </c>
      <c r="D621" t="b">
        <f t="shared" si="408"/>
        <v>1</v>
      </c>
      <c r="E621" t="b">
        <f t="shared" si="409"/>
        <v>1</v>
      </c>
      <c r="Y621" t="str">
        <f>'Green_rooibos initial weight'!A622</f>
        <v>G618</v>
      </c>
      <c r="Z621" t="str">
        <f>'Green_rooibos initial weight'!A1526</f>
        <v>R617</v>
      </c>
      <c r="AA621" t="b">
        <f t="shared" si="410"/>
        <v>0</v>
      </c>
      <c r="AB621" t="b">
        <f t="shared" si="411"/>
        <v>0</v>
      </c>
      <c r="BH621">
        <f t="shared" si="412"/>
        <v>0</v>
      </c>
    </row>
    <row r="622" spans="2:60" ht="12" customHeight="1">
      <c r="B622">
        <f>TBIDry!H694</f>
        <v>0</v>
      </c>
      <c r="C622">
        <f>TBIDry!I694</f>
        <v>0</v>
      </c>
      <c r="D622" t="b">
        <f t="shared" si="408"/>
        <v>1</v>
      </c>
      <c r="E622" t="b">
        <f t="shared" si="409"/>
        <v>1</v>
      </c>
      <c r="Y622" t="str">
        <f>'Green_rooibos initial weight'!A623</f>
        <v>G619</v>
      </c>
      <c r="Z622" t="str">
        <f>'Green_rooibos initial weight'!A1527</f>
        <v>R618</v>
      </c>
      <c r="AA622" t="b">
        <f t="shared" si="410"/>
        <v>0</v>
      </c>
      <c r="AB622" t="b">
        <f t="shared" si="411"/>
        <v>0</v>
      </c>
      <c r="BH622">
        <f t="shared" si="412"/>
        <v>0</v>
      </c>
    </row>
    <row r="623" spans="2:60" ht="12" customHeight="1">
      <c r="B623">
        <f>TBIDry!H695</f>
        <v>0</v>
      </c>
      <c r="C623">
        <f>TBIDry!I695</f>
        <v>0</v>
      </c>
      <c r="D623" t="b">
        <f t="shared" si="408"/>
        <v>1</v>
      </c>
      <c r="E623" t="b">
        <f t="shared" si="409"/>
        <v>1</v>
      </c>
      <c r="Y623" t="str">
        <f>'Green_rooibos initial weight'!A624</f>
        <v>G620</v>
      </c>
      <c r="Z623" t="str">
        <f>'Green_rooibos initial weight'!A1528</f>
        <v>R619</v>
      </c>
      <c r="AA623" t="b">
        <f t="shared" si="410"/>
        <v>0</v>
      </c>
      <c r="AB623" t="b">
        <f t="shared" si="411"/>
        <v>0</v>
      </c>
      <c r="BH623">
        <f t="shared" si="412"/>
        <v>0</v>
      </c>
    </row>
    <row r="624" spans="2:60" ht="12" customHeight="1">
      <c r="B624">
        <f>TBIDry!H696</f>
        <v>0</v>
      </c>
      <c r="C624">
        <f>TBIDry!I696</f>
        <v>0</v>
      </c>
      <c r="D624" t="b">
        <f t="shared" si="408"/>
        <v>1</v>
      </c>
      <c r="E624" t="b">
        <f t="shared" si="409"/>
        <v>1</v>
      </c>
      <c r="Y624" t="str">
        <f>'Green_rooibos initial weight'!A625</f>
        <v>G621</v>
      </c>
      <c r="Z624" t="str">
        <f>'Green_rooibos initial weight'!A1529</f>
        <v>R620</v>
      </c>
      <c r="AA624" t="b">
        <f t="shared" si="410"/>
        <v>0</v>
      </c>
      <c r="AB624" t="b">
        <f t="shared" si="411"/>
        <v>0</v>
      </c>
      <c r="BH624">
        <f t="shared" si="412"/>
        <v>0</v>
      </c>
    </row>
    <row r="625" spans="2:60" ht="12" customHeight="1">
      <c r="B625">
        <f>TBIDry!H697</f>
        <v>0</v>
      </c>
      <c r="C625">
        <f>TBIDry!I697</f>
        <v>0</v>
      </c>
      <c r="D625" t="b">
        <f t="shared" si="408"/>
        <v>1</v>
      </c>
      <c r="E625" t="b">
        <f t="shared" si="409"/>
        <v>1</v>
      </c>
      <c r="Y625" t="str">
        <f>'Green_rooibos initial weight'!A626</f>
        <v>G622</v>
      </c>
      <c r="Z625" t="str">
        <f>'Green_rooibos initial weight'!A1530</f>
        <v>R621</v>
      </c>
      <c r="AA625" t="b">
        <f t="shared" si="410"/>
        <v>0</v>
      </c>
      <c r="AB625" t="b">
        <f t="shared" si="411"/>
        <v>0</v>
      </c>
      <c r="BH625">
        <f t="shared" si="412"/>
        <v>0</v>
      </c>
    </row>
    <row r="626" spans="2:60" ht="12" customHeight="1">
      <c r="B626">
        <f>TBIDry!H698</f>
        <v>0</v>
      </c>
      <c r="C626">
        <f>TBIDry!I698</f>
        <v>0</v>
      </c>
      <c r="D626" t="b">
        <f t="shared" si="408"/>
        <v>1</v>
      </c>
      <c r="E626" t="b">
        <f t="shared" si="409"/>
        <v>1</v>
      </c>
      <c r="Y626" t="str">
        <f>'Green_rooibos initial weight'!A627</f>
        <v>G623</v>
      </c>
      <c r="Z626" t="str">
        <f>'Green_rooibos initial weight'!A1531</f>
        <v>R622</v>
      </c>
      <c r="AA626" t="b">
        <f t="shared" si="410"/>
        <v>0</v>
      </c>
      <c r="AB626" t="b">
        <f t="shared" si="411"/>
        <v>0</v>
      </c>
      <c r="BH626">
        <f t="shared" si="412"/>
        <v>0</v>
      </c>
    </row>
    <row r="627" spans="2:60" ht="12" customHeight="1">
      <c r="B627">
        <f>TBIDry!H699</f>
        <v>0</v>
      </c>
      <c r="C627">
        <f>TBIDry!I699</f>
        <v>0</v>
      </c>
      <c r="D627" t="b">
        <f t="shared" si="408"/>
        <v>1</v>
      </c>
      <c r="E627" t="b">
        <f t="shared" si="409"/>
        <v>1</v>
      </c>
      <c r="Y627" t="str">
        <f>'Green_rooibos initial weight'!A628</f>
        <v>G624</v>
      </c>
      <c r="Z627" t="str">
        <f>'Green_rooibos initial weight'!A1532</f>
        <v>R623</v>
      </c>
      <c r="AA627" t="b">
        <f t="shared" si="410"/>
        <v>0</v>
      </c>
      <c r="AB627" t="b">
        <f t="shared" si="411"/>
        <v>0</v>
      </c>
      <c r="BH627">
        <f t="shared" si="412"/>
        <v>0</v>
      </c>
    </row>
    <row r="628" spans="2:60" ht="12" customHeight="1">
      <c r="B628">
        <f>TBIDry!H700</f>
        <v>0</v>
      </c>
      <c r="C628">
        <f>TBIDry!I700</f>
        <v>0</v>
      </c>
      <c r="D628" t="b">
        <f t="shared" si="408"/>
        <v>1</v>
      </c>
      <c r="E628" t="b">
        <f t="shared" si="409"/>
        <v>1</v>
      </c>
      <c r="Y628" t="str">
        <f>'Green_rooibos initial weight'!A629</f>
        <v>G625</v>
      </c>
      <c r="Z628" t="str">
        <f>'Green_rooibos initial weight'!A1533</f>
        <v>R624</v>
      </c>
      <c r="AA628" t="b">
        <f t="shared" si="410"/>
        <v>0</v>
      </c>
      <c r="AB628" t="b">
        <f t="shared" si="411"/>
        <v>0</v>
      </c>
      <c r="BH628">
        <f t="shared" si="412"/>
        <v>0</v>
      </c>
    </row>
    <row r="629" spans="2:60" ht="12" customHeight="1">
      <c r="B629">
        <f>TBIDry!H701</f>
        <v>0</v>
      </c>
      <c r="C629">
        <f>TBIDry!I701</f>
        <v>0</v>
      </c>
      <c r="D629" t="b">
        <f t="shared" si="408"/>
        <v>1</v>
      </c>
      <c r="E629" t="b">
        <f t="shared" si="409"/>
        <v>1</v>
      </c>
      <c r="Y629" t="str">
        <f>'Green_rooibos initial weight'!A630</f>
        <v>G626</v>
      </c>
      <c r="Z629" t="str">
        <f>'Green_rooibos initial weight'!A1534</f>
        <v>R625</v>
      </c>
      <c r="AA629" t="b">
        <f t="shared" si="410"/>
        <v>0</v>
      </c>
      <c r="AB629" t="b">
        <f t="shared" si="411"/>
        <v>0</v>
      </c>
      <c r="BH629">
        <f t="shared" si="412"/>
        <v>0</v>
      </c>
    </row>
    <row r="630" spans="2:60" ht="12" customHeight="1">
      <c r="B630">
        <f>TBIDry!H702</f>
        <v>0</v>
      </c>
      <c r="C630">
        <f>TBIDry!I702</f>
        <v>0</v>
      </c>
      <c r="D630" t="b">
        <f t="shared" si="408"/>
        <v>1</v>
      </c>
      <c r="E630" t="b">
        <f t="shared" si="409"/>
        <v>1</v>
      </c>
      <c r="Y630" t="str">
        <f>'Green_rooibos initial weight'!A631</f>
        <v>G627</v>
      </c>
      <c r="Z630" t="str">
        <f>'Green_rooibos initial weight'!A1535</f>
        <v>R626</v>
      </c>
      <c r="AA630" t="b">
        <f t="shared" si="410"/>
        <v>0</v>
      </c>
      <c r="AB630" t="b">
        <f t="shared" si="411"/>
        <v>0</v>
      </c>
      <c r="BH630">
        <f t="shared" si="412"/>
        <v>0</v>
      </c>
    </row>
    <row r="631" spans="2:60" ht="12" customHeight="1">
      <c r="B631">
        <f>TBIDry!H703</f>
        <v>0</v>
      </c>
      <c r="C631">
        <f>TBIDry!I703</f>
        <v>0</v>
      </c>
      <c r="D631" t="b">
        <f t="shared" si="408"/>
        <v>1</v>
      </c>
      <c r="E631" t="b">
        <f t="shared" si="409"/>
        <v>1</v>
      </c>
      <c r="Y631" t="str">
        <f>'Green_rooibos initial weight'!A632</f>
        <v>G628</v>
      </c>
      <c r="Z631" t="str">
        <f>'Green_rooibos initial weight'!A1536</f>
        <v>R627</v>
      </c>
      <c r="AA631" t="b">
        <f t="shared" si="410"/>
        <v>0</v>
      </c>
      <c r="AB631" t="b">
        <f t="shared" si="411"/>
        <v>0</v>
      </c>
      <c r="BH631">
        <f t="shared" si="412"/>
        <v>0</v>
      </c>
    </row>
    <row r="632" spans="2:60" ht="12" customHeight="1">
      <c r="B632">
        <f>TBIDry!H704</f>
        <v>0</v>
      </c>
      <c r="C632">
        <f>TBIDry!I704</f>
        <v>0</v>
      </c>
      <c r="D632" t="b">
        <f t="shared" si="408"/>
        <v>1</v>
      </c>
      <c r="E632" t="b">
        <f t="shared" si="409"/>
        <v>1</v>
      </c>
      <c r="Y632" t="str">
        <f>'Green_rooibos initial weight'!A633</f>
        <v>G629</v>
      </c>
      <c r="Z632" t="str">
        <f>'Green_rooibos initial weight'!A1537</f>
        <v>R628</v>
      </c>
      <c r="AA632" t="b">
        <f t="shared" si="410"/>
        <v>0</v>
      </c>
      <c r="AB632" t="b">
        <f t="shared" si="411"/>
        <v>0</v>
      </c>
      <c r="BH632">
        <f t="shared" si="412"/>
        <v>0</v>
      </c>
    </row>
    <row r="633" spans="2:60" ht="12" customHeight="1">
      <c r="B633">
        <f>TBIDry!H705</f>
        <v>0</v>
      </c>
      <c r="C633">
        <f>TBIDry!I705</f>
        <v>0</v>
      </c>
      <c r="D633" t="b">
        <f t="shared" si="408"/>
        <v>1</v>
      </c>
      <c r="E633" t="b">
        <f t="shared" si="409"/>
        <v>1</v>
      </c>
      <c r="Y633" t="str">
        <f>'Green_rooibos initial weight'!A634</f>
        <v>G630</v>
      </c>
      <c r="Z633" t="str">
        <f>'Green_rooibos initial weight'!A1538</f>
        <v>R629</v>
      </c>
      <c r="AA633" t="b">
        <f t="shared" si="410"/>
        <v>0</v>
      </c>
      <c r="AB633" t="b">
        <f t="shared" si="411"/>
        <v>0</v>
      </c>
      <c r="BH633">
        <f t="shared" si="412"/>
        <v>0</v>
      </c>
    </row>
    <row r="634" spans="2:60" ht="12" customHeight="1">
      <c r="B634">
        <f>TBIDry!H706</f>
        <v>0</v>
      </c>
      <c r="C634">
        <f>TBIDry!I706</f>
        <v>0</v>
      </c>
      <c r="D634" t="b">
        <f t="shared" si="408"/>
        <v>1</v>
      </c>
      <c r="E634" t="b">
        <f t="shared" si="409"/>
        <v>1</v>
      </c>
      <c r="Y634" t="str">
        <f>'Green_rooibos initial weight'!A635</f>
        <v>G631</v>
      </c>
      <c r="Z634" t="str">
        <f>'Green_rooibos initial weight'!A1539</f>
        <v>R630</v>
      </c>
      <c r="AA634" t="b">
        <f t="shared" si="410"/>
        <v>0</v>
      </c>
      <c r="AB634" t="b">
        <f t="shared" si="411"/>
        <v>0</v>
      </c>
      <c r="BH634">
        <f t="shared" si="412"/>
        <v>0</v>
      </c>
    </row>
    <row r="635" spans="2:60" ht="12" customHeight="1">
      <c r="B635">
        <f>TBIDry!H707</f>
        <v>0</v>
      </c>
      <c r="C635">
        <f>TBIDry!I707</f>
        <v>0</v>
      </c>
      <c r="D635" t="b">
        <f t="shared" si="408"/>
        <v>1</v>
      </c>
      <c r="E635" t="b">
        <f t="shared" si="409"/>
        <v>1</v>
      </c>
      <c r="Y635" t="str">
        <f>'Green_rooibos initial weight'!A636</f>
        <v>G632</v>
      </c>
      <c r="Z635" t="str">
        <f>'Green_rooibos initial weight'!A1540</f>
        <v>R631</v>
      </c>
      <c r="AA635" t="b">
        <f t="shared" si="410"/>
        <v>0</v>
      </c>
      <c r="AB635" t="b">
        <f t="shared" si="411"/>
        <v>0</v>
      </c>
      <c r="BH635">
        <f t="shared" si="412"/>
        <v>0</v>
      </c>
    </row>
    <row r="636" spans="2:60" ht="12" customHeight="1">
      <c r="B636">
        <f>TBIDry!H708</f>
        <v>0</v>
      </c>
      <c r="C636">
        <f>TBIDry!I708</f>
        <v>0</v>
      </c>
      <c r="D636" t="b">
        <f t="shared" si="408"/>
        <v>1</v>
      </c>
      <c r="E636" t="b">
        <f t="shared" si="409"/>
        <v>1</v>
      </c>
      <c r="Y636" t="str">
        <f>'Green_rooibos initial weight'!A637</f>
        <v>G633</v>
      </c>
      <c r="Z636" t="str">
        <f>'Green_rooibos initial weight'!A1541</f>
        <v>R632</v>
      </c>
      <c r="AA636" t="b">
        <f t="shared" si="410"/>
        <v>0</v>
      </c>
      <c r="AB636" t="b">
        <f t="shared" si="411"/>
        <v>0</v>
      </c>
      <c r="BH636">
        <f t="shared" si="412"/>
        <v>0</v>
      </c>
    </row>
    <row r="637" spans="2:60" ht="12" customHeight="1">
      <c r="B637">
        <f>TBIDry!H709</f>
        <v>0</v>
      </c>
      <c r="C637">
        <f>TBIDry!I709</f>
        <v>0</v>
      </c>
      <c r="D637" t="b">
        <f t="shared" si="408"/>
        <v>1</v>
      </c>
      <c r="E637" t="b">
        <f t="shared" si="409"/>
        <v>1</v>
      </c>
      <c r="Y637" t="str">
        <f>'Green_rooibos initial weight'!A638</f>
        <v>G634</v>
      </c>
      <c r="Z637" t="str">
        <f>'Green_rooibos initial weight'!A1542</f>
        <v>R633</v>
      </c>
      <c r="AA637" t="b">
        <f t="shared" si="410"/>
        <v>0</v>
      </c>
      <c r="AB637" t="b">
        <f t="shared" si="411"/>
        <v>0</v>
      </c>
      <c r="BH637">
        <f t="shared" si="412"/>
        <v>0</v>
      </c>
    </row>
    <row r="638" spans="2:60" ht="12" customHeight="1">
      <c r="B638">
        <f>TBIDry!H710</f>
        <v>0</v>
      </c>
      <c r="C638">
        <f>TBIDry!I710</f>
        <v>0</v>
      </c>
      <c r="D638" t="b">
        <f t="shared" si="408"/>
        <v>1</v>
      </c>
      <c r="E638" t="b">
        <f t="shared" si="409"/>
        <v>1</v>
      </c>
      <c r="Y638" t="str">
        <f>'Green_rooibos initial weight'!A639</f>
        <v>G635</v>
      </c>
      <c r="Z638" t="str">
        <f>'Green_rooibos initial weight'!A1543</f>
        <v>R634</v>
      </c>
      <c r="AA638" t="b">
        <f t="shared" si="410"/>
        <v>0</v>
      </c>
      <c r="AB638" t="b">
        <f t="shared" si="411"/>
        <v>0</v>
      </c>
      <c r="BH638">
        <f t="shared" si="412"/>
        <v>0</v>
      </c>
    </row>
    <row r="639" spans="2:60" ht="12" customHeight="1">
      <c r="B639">
        <f>TBIDry!H711</f>
        <v>0</v>
      </c>
      <c r="C639">
        <f>TBIDry!I711</f>
        <v>0</v>
      </c>
      <c r="D639" t="b">
        <f t="shared" si="408"/>
        <v>1</v>
      </c>
      <c r="E639" t="b">
        <f t="shared" si="409"/>
        <v>1</v>
      </c>
      <c r="Y639" t="str">
        <f>'Green_rooibos initial weight'!A640</f>
        <v>G636</v>
      </c>
      <c r="Z639" t="str">
        <f>'Green_rooibos initial weight'!A1544</f>
        <v>R635</v>
      </c>
      <c r="AA639" t="b">
        <f t="shared" si="410"/>
        <v>0</v>
      </c>
      <c r="AB639" t="b">
        <f t="shared" si="411"/>
        <v>0</v>
      </c>
      <c r="BH639">
        <f t="shared" si="412"/>
        <v>0</v>
      </c>
    </row>
    <row r="640" spans="2:60" ht="12" customHeight="1">
      <c r="B640">
        <f>TBIDry!H712</f>
        <v>0</v>
      </c>
      <c r="C640">
        <f>TBIDry!I712</f>
        <v>0</v>
      </c>
      <c r="D640" t="b">
        <f t="shared" si="408"/>
        <v>1</v>
      </c>
      <c r="E640" t="b">
        <f t="shared" si="409"/>
        <v>1</v>
      </c>
      <c r="Y640" t="str">
        <f>'Green_rooibos initial weight'!A641</f>
        <v>G637</v>
      </c>
      <c r="Z640" t="str">
        <f>'Green_rooibos initial weight'!A1545</f>
        <v>R636</v>
      </c>
      <c r="AA640" t="b">
        <f t="shared" si="410"/>
        <v>0</v>
      </c>
      <c r="AB640" t="b">
        <f t="shared" si="411"/>
        <v>0</v>
      </c>
      <c r="BH640">
        <f t="shared" si="412"/>
        <v>0</v>
      </c>
    </row>
    <row r="641" spans="2:60" ht="12" customHeight="1">
      <c r="B641">
        <f>TBIDry!H713</f>
        <v>0</v>
      </c>
      <c r="C641">
        <f>TBIDry!I713</f>
        <v>0</v>
      </c>
      <c r="D641" t="b">
        <f t="shared" si="408"/>
        <v>1</v>
      </c>
      <c r="E641" t="b">
        <f t="shared" si="409"/>
        <v>1</v>
      </c>
      <c r="Y641" t="str">
        <f>'Green_rooibos initial weight'!A642</f>
        <v>G638</v>
      </c>
      <c r="Z641" t="str">
        <f>'Green_rooibos initial weight'!A1546</f>
        <v>R637</v>
      </c>
      <c r="AA641" t="b">
        <f t="shared" si="410"/>
        <v>0</v>
      </c>
      <c r="AB641" t="b">
        <f t="shared" si="411"/>
        <v>0</v>
      </c>
      <c r="BH641">
        <f t="shared" si="412"/>
        <v>0</v>
      </c>
    </row>
    <row r="642" spans="2:60" ht="12" customHeight="1">
      <c r="B642">
        <f>TBIDry!H714</f>
        <v>0</v>
      </c>
      <c r="C642">
        <f>TBIDry!I714</f>
        <v>0</v>
      </c>
      <c r="D642" t="b">
        <f t="shared" si="408"/>
        <v>1</v>
      </c>
      <c r="E642" t="b">
        <f t="shared" si="409"/>
        <v>1</v>
      </c>
      <c r="Y642" t="str">
        <f>'Green_rooibos initial weight'!A643</f>
        <v>G639</v>
      </c>
      <c r="Z642" t="str">
        <f>'Green_rooibos initial weight'!A1547</f>
        <v>R638</v>
      </c>
      <c r="AA642" t="b">
        <f t="shared" si="410"/>
        <v>0</v>
      </c>
      <c r="AB642" t="b">
        <f t="shared" si="411"/>
        <v>0</v>
      </c>
      <c r="BH642">
        <f t="shared" si="412"/>
        <v>0</v>
      </c>
    </row>
    <row r="643" spans="2:60" ht="12" customHeight="1">
      <c r="B643">
        <f>TBIDry!H715</f>
        <v>0</v>
      </c>
      <c r="C643">
        <f>TBIDry!I715</f>
        <v>0</v>
      </c>
      <c r="D643" t="b">
        <f t="shared" si="408"/>
        <v>1</v>
      </c>
      <c r="E643" t="b">
        <f t="shared" si="409"/>
        <v>1</v>
      </c>
      <c r="Y643" t="str">
        <f>'Green_rooibos initial weight'!A644</f>
        <v>G640</v>
      </c>
      <c r="Z643" t="str">
        <f>'Green_rooibos initial weight'!A1548</f>
        <v>R639</v>
      </c>
      <c r="AA643" t="b">
        <f t="shared" si="410"/>
        <v>0</v>
      </c>
      <c r="AB643" t="b">
        <f t="shared" si="411"/>
        <v>0</v>
      </c>
      <c r="BH643">
        <f t="shared" si="412"/>
        <v>0</v>
      </c>
    </row>
    <row r="644" spans="2:60" ht="12" customHeight="1">
      <c r="B644">
        <f>TBIDry!H716</f>
        <v>0</v>
      </c>
      <c r="C644">
        <f>TBIDry!I716</f>
        <v>0</v>
      </c>
      <c r="D644" t="b">
        <f t="shared" si="408"/>
        <v>1</v>
      </c>
      <c r="E644" t="b">
        <f t="shared" si="409"/>
        <v>1</v>
      </c>
      <c r="Y644" t="str">
        <f>'Green_rooibos initial weight'!A645</f>
        <v>G641</v>
      </c>
      <c r="Z644" t="str">
        <f>'Green_rooibos initial weight'!A1549</f>
        <v>R640</v>
      </c>
      <c r="AA644" t="b">
        <f t="shared" si="410"/>
        <v>0</v>
      </c>
      <c r="AB644" t="b">
        <f t="shared" si="411"/>
        <v>0</v>
      </c>
      <c r="BH644">
        <f t="shared" si="412"/>
        <v>0</v>
      </c>
    </row>
    <row r="645" spans="2:60" ht="12" customHeight="1">
      <c r="B645">
        <f>TBIDry!H717</f>
        <v>0</v>
      </c>
      <c r="C645">
        <f>TBIDry!I717</f>
        <v>0</v>
      </c>
      <c r="D645" t="b">
        <f t="shared" ref="D645:D662" si="413">COUNTIF($B$4:$B$2000, B645)&gt;1</f>
        <v>1</v>
      </c>
      <c r="E645" t="b">
        <f t="shared" ref="E645:E662" si="414">COUNTIF($C$4:$C$2000, C645)&gt;1</f>
        <v>1</v>
      </c>
      <c r="Y645" t="str">
        <f>'Green_rooibos initial weight'!A646</f>
        <v>G642</v>
      </c>
      <c r="Z645" t="str">
        <f>'Green_rooibos initial weight'!A1550</f>
        <v>R641</v>
      </c>
      <c r="AA645" t="b">
        <f t="shared" ref="AA645:AA708" si="415">COUNTIF($Y$4:$Y$2000, Y645)&gt;1</f>
        <v>0</v>
      </c>
      <c r="AB645" t="b">
        <f t="shared" ref="AB645:AB708" si="416">COUNTIF($Z$4:$Z$2000, Z645)&gt;1</f>
        <v>0</v>
      </c>
      <c r="BH645">
        <f t="shared" ref="BH645:BH663" si="417">B644</f>
        <v>0</v>
      </c>
    </row>
    <row r="646" spans="2:60" ht="12" customHeight="1">
      <c r="B646">
        <f>TBIDry!H718</f>
        <v>0</v>
      </c>
      <c r="C646">
        <f>TBIDry!I718</f>
        <v>0</v>
      </c>
      <c r="D646" t="b">
        <f t="shared" si="413"/>
        <v>1</v>
      </c>
      <c r="E646" t="b">
        <f t="shared" si="414"/>
        <v>1</v>
      </c>
      <c r="Y646" t="str">
        <f>'Green_rooibos initial weight'!A647</f>
        <v>G643</v>
      </c>
      <c r="Z646" t="str">
        <f>'Green_rooibos initial weight'!A1551</f>
        <v>R642</v>
      </c>
      <c r="AA646" t="b">
        <f t="shared" si="415"/>
        <v>0</v>
      </c>
      <c r="AB646" t="b">
        <f t="shared" si="416"/>
        <v>0</v>
      </c>
      <c r="BH646">
        <f t="shared" si="417"/>
        <v>0</v>
      </c>
    </row>
    <row r="647" spans="2:60" ht="12" customHeight="1">
      <c r="B647">
        <f>TBIDry!H719</f>
        <v>0</v>
      </c>
      <c r="C647">
        <f>TBIDry!I719</f>
        <v>0</v>
      </c>
      <c r="D647" t="b">
        <f t="shared" si="413"/>
        <v>1</v>
      </c>
      <c r="E647" t="b">
        <f t="shared" si="414"/>
        <v>1</v>
      </c>
      <c r="Y647" t="str">
        <f>'Green_rooibos initial weight'!A648</f>
        <v>G644</v>
      </c>
      <c r="Z647" t="str">
        <f>'Green_rooibos initial weight'!A1552</f>
        <v>R643</v>
      </c>
      <c r="AA647" t="b">
        <f t="shared" si="415"/>
        <v>0</v>
      </c>
      <c r="AB647" t="b">
        <f t="shared" si="416"/>
        <v>0</v>
      </c>
      <c r="BH647">
        <f t="shared" si="417"/>
        <v>0</v>
      </c>
    </row>
    <row r="648" spans="2:60" ht="12" customHeight="1">
      <c r="B648">
        <f>TBIDry!H720</f>
        <v>0</v>
      </c>
      <c r="C648">
        <f>TBIDry!I720</f>
        <v>0</v>
      </c>
      <c r="D648" t="b">
        <f t="shared" si="413"/>
        <v>1</v>
      </c>
      <c r="E648" t="b">
        <f t="shared" si="414"/>
        <v>1</v>
      </c>
      <c r="Y648" t="str">
        <f>'Green_rooibos initial weight'!A649</f>
        <v>G645</v>
      </c>
      <c r="Z648" t="str">
        <f>'Green_rooibos initial weight'!A1553</f>
        <v>R644</v>
      </c>
      <c r="AA648" t="b">
        <f t="shared" si="415"/>
        <v>0</v>
      </c>
      <c r="AB648" t="b">
        <f t="shared" si="416"/>
        <v>0</v>
      </c>
      <c r="BH648">
        <f t="shared" si="417"/>
        <v>0</v>
      </c>
    </row>
    <row r="649" spans="2:60" ht="12" customHeight="1">
      <c r="B649">
        <f>TBIDry!H721</f>
        <v>0</v>
      </c>
      <c r="C649">
        <f>TBIDry!I721</f>
        <v>0</v>
      </c>
      <c r="D649" t="b">
        <f t="shared" si="413"/>
        <v>1</v>
      </c>
      <c r="E649" t="b">
        <f t="shared" si="414"/>
        <v>1</v>
      </c>
      <c r="Y649" t="str">
        <f>'Green_rooibos initial weight'!A650</f>
        <v>G646</v>
      </c>
      <c r="Z649" t="str">
        <f>'Green_rooibos initial weight'!A1554</f>
        <v>R645</v>
      </c>
      <c r="AA649" t="b">
        <f t="shared" si="415"/>
        <v>0</v>
      </c>
      <c r="AB649" t="b">
        <f t="shared" si="416"/>
        <v>0</v>
      </c>
      <c r="BH649">
        <f t="shared" si="417"/>
        <v>0</v>
      </c>
    </row>
    <row r="650" spans="2:60" ht="12" customHeight="1">
      <c r="B650">
        <f>TBIDry!H722</f>
        <v>0</v>
      </c>
      <c r="C650">
        <f>TBIDry!I722</f>
        <v>0</v>
      </c>
      <c r="D650" t="b">
        <f t="shared" si="413"/>
        <v>1</v>
      </c>
      <c r="E650" t="b">
        <f t="shared" si="414"/>
        <v>1</v>
      </c>
      <c r="Y650" t="str">
        <f>'Green_rooibos initial weight'!A651</f>
        <v>G647</v>
      </c>
      <c r="Z650" t="str">
        <f>'Green_rooibos initial weight'!A1555</f>
        <v>R646</v>
      </c>
      <c r="AA650" t="b">
        <f t="shared" si="415"/>
        <v>0</v>
      </c>
      <c r="AB650" t="b">
        <f t="shared" si="416"/>
        <v>0</v>
      </c>
      <c r="BH650">
        <f t="shared" si="417"/>
        <v>0</v>
      </c>
    </row>
    <row r="651" spans="2:60" ht="12" customHeight="1">
      <c r="B651">
        <f>TBIDry!H723</f>
        <v>0</v>
      </c>
      <c r="C651">
        <f>TBIDry!I723</f>
        <v>0</v>
      </c>
      <c r="D651" t="b">
        <f t="shared" si="413"/>
        <v>1</v>
      </c>
      <c r="E651" t="b">
        <f t="shared" si="414"/>
        <v>1</v>
      </c>
      <c r="Y651" t="str">
        <f>'Green_rooibos initial weight'!A652</f>
        <v>G648</v>
      </c>
      <c r="Z651" t="str">
        <f>'Green_rooibos initial weight'!A1556</f>
        <v>R647</v>
      </c>
      <c r="AA651" t="b">
        <f t="shared" si="415"/>
        <v>0</v>
      </c>
      <c r="AB651" t="b">
        <f t="shared" si="416"/>
        <v>0</v>
      </c>
      <c r="BH651">
        <f t="shared" si="417"/>
        <v>0</v>
      </c>
    </row>
    <row r="652" spans="2:60" ht="12" customHeight="1">
      <c r="B652">
        <f>TBIDry!H724</f>
        <v>0</v>
      </c>
      <c r="C652">
        <f>TBIDry!I724</f>
        <v>0</v>
      </c>
      <c r="D652" t="b">
        <f t="shared" si="413"/>
        <v>1</v>
      </c>
      <c r="E652" t="b">
        <f t="shared" si="414"/>
        <v>1</v>
      </c>
      <c r="Y652" t="str">
        <f>'Green_rooibos initial weight'!A653</f>
        <v>G649</v>
      </c>
      <c r="Z652" t="str">
        <f>'Green_rooibos initial weight'!A1557</f>
        <v>R648</v>
      </c>
      <c r="AA652" t="b">
        <f t="shared" si="415"/>
        <v>0</v>
      </c>
      <c r="AB652" t="b">
        <f t="shared" si="416"/>
        <v>0</v>
      </c>
      <c r="BH652">
        <f t="shared" si="417"/>
        <v>0</v>
      </c>
    </row>
    <row r="653" spans="2:60" ht="12" customHeight="1">
      <c r="B653">
        <f>TBIDry!H725</f>
        <v>0</v>
      </c>
      <c r="C653">
        <f>TBIDry!I725</f>
        <v>0</v>
      </c>
      <c r="D653" t="b">
        <f t="shared" si="413"/>
        <v>1</v>
      </c>
      <c r="E653" t="b">
        <f t="shared" si="414"/>
        <v>1</v>
      </c>
      <c r="Y653" t="str">
        <f>'Green_rooibos initial weight'!A654</f>
        <v>G650</v>
      </c>
      <c r="Z653" t="str">
        <f>'Green_rooibos initial weight'!A1558</f>
        <v>R649</v>
      </c>
      <c r="AA653" t="b">
        <f t="shared" si="415"/>
        <v>0</v>
      </c>
      <c r="AB653" t="b">
        <f t="shared" si="416"/>
        <v>0</v>
      </c>
      <c r="BH653">
        <f t="shared" si="417"/>
        <v>0</v>
      </c>
    </row>
    <row r="654" spans="2:60" ht="12" customHeight="1">
      <c r="B654">
        <f>TBIDry!H726</f>
        <v>0</v>
      </c>
      <c r="C654">
        <f>TBIDry!I726</f>
        <v>0</v>
      </c>
      <c r="D654" t="b">
        <f t="shared" si="413"/>
        <v>1</v>
      </c>
      <c r="E654" t="b">
        <f t="shared" si="414"/>
        <v>1</v>
      </c>
      <c r="Y654" t="str">
        <f>'Green_rooibos initial weight'!A655</f>
        <v>G651</v>
      </c>
      <c r="Z654" t="str">
        <f>'Green_rooibos initial weight'!A1559</f>
        <v>R650</v>
      </c>
      <c r="AA654" t="b">
        <f t="shared" si="415"/>
        <v>0</v>
      </c>
      <c r="AB654" t="b">
        <f t="shared" si="416"/>
        <v>0</v>
      </c>
      <c r="BH654">
        <f t="shared" si="417"/>
        <v>0</v>
      </c>
    </row>
    <row r="655" spans="2:60" ht="12" customHeight="1">
      <c r="B655">
        <f>TBIDry!H727</f>
        <v>0</v>
      </c>
      <c r="C655">
        <f>TBIDry!I727</f>
        <v>0</v>
      </c>
      <c r="D655" t="b">
        <f t="shared" si="413"/>
        <v>1</v>
      </c>
      <c r="E655" t="b">
        <f t="shared" si="414"/>
        <v>1</v>
      </c>
      <c r="Y655" t="str">
        <f>'Green_rooibos initial weight'!A656</f>
        <v>G652</v>
      </c>
      <c r="Z655" t="str">
        <f>'Green_rooibos initial weight'!A1560</f>
        <v>R651</v>
      </c>
      <c r="AA655" t="b">
        <f t="shared" si="415"/>
        <v>0</v>
      </c>
      <c r="AB655" t="b">
        <f t="shared" si="416"/>
        <v>0</v>
      </c>
      <c r="BH655">
        <f t="shared" si="417"/>
        <v>0</v>
      </c>
    </row>
    <row r="656" spans="2:60" ht="12" customHeight="1">
      <c r="B656">
        <f>TBIDry!H728</f>
        <v>0</v>
      </c>
      <c r="C656">
        <f>TBIDry!I728</f>
        <v>0</v>
      </c>
      <c r="D656" t="b">
        <f t="shared" si="413"/>
        <v>1</v>
      </c>
      <c r="E656" t="b">
        <f t="shared" si="414"/>
        <v>1</v>
      </c>
      <c r="Y656" t="str">
        <f>'Green_rooibos initial weight'!A657</f>
        <v>G653</v>
      </c>
      <c r="Z656" t="str">
        <f>'Green_rooibos initial weight'!A1561</f>
        <v>R652</v>
      </c>
      <c r="AA656" t="b">
        <f t="shared" si="415"/>
        <v>0</v>
      </c>
      <c r="AB656" t="b">
        <f t="shared" si="416"/>
        <v>0</v>
      </c>
      <c r="BH656">
        <f t="shared" si="417"/>
        <v>0</v>
      </c>
    </row>
    <row r="657" spans="2:60" ht="12" customHeight="1">
      <c r="B657">
        <f>TBIDry!H729</f>
        <v>0</v>
      </c>
      <c r="C657">
        <f>TBIDry!I729</f>
        <v>0</v>
      </c>
      <c r="D657" t="b">
        <f t="shared" si="413"/>
        <v>1</v>
      </c>
      <c r="E657" t="b">
        <f t="shared" si="414"/>
        <v>1</v>
      </c>
      <c r="Y657" t="str">
        <f>'Green_rooibos initial weight'!A658</f>
        <v>G654</v>
      </c>
      <c r="Z657" t="str">
        <f>'Green_rooibos initial weight'!A1562</f>
        <v>R653</v>
      </c>
      <c r="AA657" t="b">
        <f t="shared" si="415"/>
        <v>0</v>
      </c>
      <c r="AB657" t="b">
        <f t="shared" si="416"/>
        <v>0</v>
      </c>
      <c r="BH657">
        <f t="shared" si="417"/>
        <v>0</v>
      </c>
    </row>
    <row r="658" spans="2:60" ht="12" customHeight="1">
      <c r="B658">
        <f>TBIDry!H730</f>
        <v>0</v>
      </c>
      <c r="C658">
        <f>TBIDry!I730</f>
        <v>0</v>
      </c>
      <c r="D658" t="b">
        <f t="shared" si="413"/>
        <v>1</v>
      </c>
      <c r="E658" t="b">
        <f t="shared" si="414"/>
        <v>1</v>
      </c>
      <c r="Y658" t="str">
        <f>'Green_rooibos initial weight'!A659</f>
        <v>G655</v>
      </c>
      <c r="Z658" t="str">
        <f>'Green_rooibos initial weight'!A1563</f>
        <v>R654</v>
      </c>
      <c r="AA658" t="b">
        <f t="shared" si="415"/>
        <v>0</v>
      </c>
      <c r="AB658" t="b">
        <f t="shared" si="416"/>
        <v>0</v>
      </c>
      <c r="BH658">
        <f t="shared" si="417"/>
        <v>0</v>
      </c>
    </row>
    <row r="659" spans="2:60" ht="12" customHeight="1">
      <c r="B659">
        <f>TBIDry!H731</f>
        <v>0</v>
      </c>
      <c r="C659">
        <f>TBIDry!I731</f>
        <v>0</v>
      </c>
      <c r="D659" t="b">
        <f t="shared" si="413"/>
        <v>1</v>
      </c>
      <c r="E659" t="b">
        <f t="shared" si="414"/>
        <v>1</v>
      </c>
      <c r="Y659" t="str">
        <f>'Green_rooibos initial weight'!A660</f>
        <v>G656</v>
      </c>
      <c r="Z659" t="str">
        <f>'Green_rooibos initial weight'!A1564</f>
        <v>R655</v>
      </c>
      <c r="AA659" t="b">
        <f t="shared" si="415"/>
        <v>0</v>
      </c>
      <c r="AB659" t="b">
        <f t="shared" si="416"/>
        <v>0</v>
      </c>
      <c r="BH659">
        <f t="shared" si="417"/>
        <v>0</v>
      </c>
    </row>
    <row r="660" spans="2:60" ht="12" customHeight="1">
      <c r="B660">
        <f>TBIDry!H732</f>
        <v>0</v>
      </c>
      <c r="C660">
        <f>TBIDry!I732</f>
        <v>0</v>
      </c>
      <c r="D660" t="b">
        <f t="shared" si="413"/>
        <v>1</v>
      </c>
      <c r="E660" t="b">
        <f t="shared" si="414"/>
        <v>1</v>
      </c>
      <c r="Y660" t="str">
        <f>'Green_rooibos initial weight'!A661</f>
        <v>G657</v>
      </c>
      <c r="Z660" t="str">
        <f>'Green_rooibos initial weight'!A1565</f>
        <v>R656</v>
      </c>
      <c r="AA660" t="b">
        <f t="shared" si="415"/>
        <v>0</v>
      </c>
      <c r="AB660" t="b">
        <f t="shared" si="416"/>
        <v>0</v>
      </c>
      <c r="BH660">
        <f t="shared" si="417"/>
        <v>0</v>
      </c>
    </row>
    <row r="661" spans="2:60" ht="12" customHeight="1">
      <c r="B661">
        <f>TBIDry!H733</f>
        <v>0</v>
      </c>
      <c r="C661">
        <f>TBIDry!I733</f>
        <v>0</v>
      </c>
      <c r="D661" t="b">
        <f t="shared" si="413"/>
        <v>1</v>
      </c>
      <c r="E661" t="b">
        <f t="shared" si="414"/>
        <v>1</v>
      </c>
      <c r="Y661" t="str">
        <f>'Green_rooibos initial weight'!A662</f>
        <v>G658</v>
      </c>
      <c r="Z661" t="str">
        <f>'Green_rooibos initial weight'!A1566</f>
        <v>R657</v>
      </c>
      <c r="AA661" t="b">
        <f t="shared" si="415"/>
        <v>0</v>
      </c>
      <c r="AB661" t="b">
        <f t="shared" si="416"/>
        <v>0</v>
      </c>
      <c r="BH661">
        <f t="shared" si="417"/>
        <v>0</v>
      </c>
    </row>
    <row r="662" spans="2:60" ht="12" customHeight="1">
      <c r="B662">
        <f>TBIDry!H734</f>
        <v>0</v>
      </c>
      <c r="C662">
        <f>TBIDry!I734</f>
        <v>0</v>
      </c>
      <c r="D662" t="b">
        <f t="shared" si="413"/>
        <v>1</v>
      </c>
      <c r="E662" t="b">
        <f t="shared" si="414"/>
        <v>1</v>
      </c>
      <c r="Y662" t="str">
        <f>'Green_rooibos initial weight'!A663</f>
        <v>G659</v>
      </c>
      <c r="Z662" t="str">
        <f>'Green_rooibos initial weight'!A1567</f>
        <v>R658</v>
      </c>
      <c r="AA662" t="b">
        <f t="shared" si="415"/>
        <v>0</v>
      </c>
      <c r="AB662" t="b">
        <f t="shared" si="416"/>
        <v>0</v>
      </c>
      <c r="BH662">
        <f t="shared" si="417"/>
        <v>0</v>
      </c>
    </row>
    <row r="663" spans="2:60" ht="12" customHeight="1">
      <c r="Y663" t="str">
        <f>'Green_rooibos initial weight'!A664</f>
        <v>G660</v>
      </c>
      <c r="Z663" t="str">
        <f>'Green_rooibos initial weight'!A1568</f>
        <v>R659</v>
      </c>
      <c r="AA663" t="b">
        <f t="shared" si="415"/>
        <v>0</v>
      </c>
      <c r="AB663" t="b">
        <f t="shared" si="416"/>
        <v>0</v>
      </c>
      <c r="BH663">
        <f t="shared" si="417"/>
        <v>0</v>
      </c>
    </row>
    <row r="664" spans="2:60" ht="12" customHeight="1">
      <c r="Y664" t="str">
        <f>'Green_rooibos initial weight'!A665</f>
        <v>G661</v>
      </c>
      <c r="Z664" t="str">
        <f>'Green_rooibos initial weight'!A1569</f>
        <v>R660</v>
      </c>
      <c r="AA664" t="b">
        <f t="shared" si="415"/>
        <v>0</v>
      </c>
      <c r="AB664" t="b">
        <f t="shared" si="416"/>
        <v>0</v>
      </c>
    </row>
    <row r="665" spans="2:60" ht="12" customHeight="1">
      <c r="Y665" t="str">
        <f>'Green_rooibos initial weight'!A666</f>
        <v>G662</v>
      </c>
      <c r="Z665" t="str">
        <f>'Green_rooibos initial weight'!A1570</f>
        <v>R661</v>
      </c>
      <c r="AA665" t="b">
        <f t="shared" si="415"/>
        <v>0</v>
      </c>
      <c r="AB665" t="b">
        <f t="shared" si="416"/>
        <v>0</v>
      </c>
    </row>
    <row r="666" spans="2:60" ht="12" customHeight="1">
      <c r="Y666" t="str">
        <f>'Green_rooibos initial weight'!A667</f>
        <v>G663</v>
      </c>
      <c r="Z666" t="str">
        <f>'Green_rooibos initial weight'!A1571</f>
        <v>R662</v>
      </c>
      <c r="AA666" t="b">
        <f t="shared" si="415"/>
        <v>0</v>
      </c>
      <c r="AB666" t="b">
        <f t="shared" si="416"/>
        <v>0</v>
      </c>
    </row>
    <row r="667" spans="2:60" ht="12" customHeight="1">
      <c r="Y667" t="str">
        <f>'Green_rooibos initial weight'!A668</f>
        <v>G664</v>
      </c>
      <c r="Z667" t="str">
        <f>'Green_rooibos initial weight'!A1572</f>
        <v>R663</v>
      </c>
      <c r="AA667" t="b">
        <f t="shared" si="415"/>
        <v>0</v>
      </c>
      <c r="AB667" t="b">
        <f t="shared" si="416"/>
        <v>0</v>
      </c>
    </row>
    <row r="668" spans="2:60" ht="12" customHeight="1">
      <c r="Y668" t="str">
        <f>'Green_rooibos initial weight'!A669</f>
        <v>G665</v>
      </c>
      <c r="Z668" t="str">
        <f>'Green_rooibos initial weight'!A1573</f>
        <v>R664</v>
      </c>
      <c r="AA668" t="b">
        <f t="shared" si="415"/>
        <v>0</v>
      </c>
      <c r="AB668" t="b">
        <f t="shared" si="416"/>
        <v>0</v>
      </c>
    </row>
    <row r="669" spans="2:60" ht="12" customHeight="1">
      <c r="Y669" t="str">
        <f>'Green_rooibos initial weight'!A670</f>
        <v>G666</v>
      </c>
      <c r="Z669" t="str">
        <f>'Green_rooibos initial weight'!A1574</f>
        <v>R665</v>
      </c>
      <c r="AA669" t="b">
        <f t="shared" si="415"/>
        <v>0</v>
      </c>
      <c r="AB669" t="b">
        <f t="shared" si="416"/>
        <v>0</v>
      </c>
    </row>
    <row r="670" spans="2:60" ht="12" customHeight="1">
      <c r="Y670" t="str">
        <f>'Green_rooibos initial weight'!A671</f>
        <v>G667</v>
      </c>
      <c r="Z670" t="str">
        <f>'Green_rooibos initial weight'!A1575</f>
        <v>R666</v>
      </c>
      <c r="AA670" t="b">
        <f t="shared" si="415"/>
        <v>0</v>
      </c>
      <c r="AB670" t="b">
        <f t="shared" si="416"/>
        <v>0</v>
      </c>
    </row>
    <row r="671" spans="2:60" ht="12" customHeight="1">
      <c r="Y671" t="str">
        <f>'Green_rooibos initial weight'!A672</f>
        <v>G668</v>
      </c>
      <c r="Z671" t="str">
        <f>'Green_rooibos initial weight'!A1576</f>
        <v>R667</v>
      </c>
      <c r="AA671" t="b">
        <f t="shared" si="415"/>
        <v>0</v>
      </c>
      <c r="AB671" t="b">
        <f t="shared" si="416"/>
        <v>0</v>
      </c>
    </row>
    <row r="672" spans="2:60" ht="12" customHeight="1">
      <c r="Y672" t="str">
        <f>'Green_rooibos initial weight'!A673</f>
        <v>G669</v>
      </c>
      <c r="Z672" t="str">
        <f>'Green_rooibos initial weight'!A1577</f>
        <v>R668</v>
      </c>
      <c r="AA672" t="b">
        <f t="shared" si="415"/>
        <v>0</v>
      </c>
      <c r="AB672" t="b">
        <f t="shared" si="416"/>
        <v>0</v>
      </c>
    </row>
    <row r="673" spans="25:28" ht="12" customHeight="1">
      <c r="Y673" t="str">
        <f>'Green_rooibos initial weight'!A674</f>
        <v>G670</v>
      </c>
      <c r="Z673" t="str">
        <f>'Green_rooibos initial weight'!A1578</f>
        <v>R669</v>
      </c>
      <c r="AA673" t="b">
        <f t="shared" si="415"/>
        <v>0</v>
      </c>
      <c r="AB673" t="b">
        <f t="shared" si="416"/>
        <v>0</v>
      </c>
    </row>
    <row r="674" spans="25:28" ht="12" customHeight="1">
      <c r="Y674" t="str">
        <f>'Green_rooibos initial weight'!A675</f>
        <v>G671</v>
      </c>
      <c r="Z674" t="str">
        <f>'Green_rooibos initial weight'!A1579</f>
        <v>R670</v>
      </c>
      <c r="AA674" t="b">
        <f t="shared" si="415"/>
        <v>0</v>
      </c>
      <c r="AB674" t="b">
        <f t="shared" si="416"/>
        <v>0</v>
      </c>
    </row>
    <row r="675" spans="25:28" ht="12" customHeight="1">
      <c r="Y675" t="str">
        <f>'Green_rooibos initial weight'!A676</f>
        <v>G672</v>
      </c>
      <c r="Z675" t="str">
        <f>'Green_rooibos initial weight'!A1580</f>
        <v>R671</v>
      </c>
      <c r="AA675" t="b">
        <f t="shared" si="415"/>
        <v>0</v>
      </c>
      <c r="AB675" t="b">
        <f t="shared" si="416"/>
        <v>0</v>
      </c>
    </row>
    <row r="676" spans="25:28" ht="12" customHeight="1">
      <c r="Y676" t="str">
        <f>'Green_rooibos initial weight'!A677</f>
        <v>G673</v>
      </c>
      <c r="Z676" t="str">
        <f>'Green_rooibos initial weight'!A1581</f>
        <v>R672</v>
      </c>
      <c r="AA676" t="b">
        <f t="shared" si="415"/>
        <v>0</v>
      </c>
      <c r="AB676" t="b">
        <f t="shared" si="416"/>
        <v>0</v>
      </c>
    </row>
    <row r="677" spans="25:28" ht="12" customHeight="1">
      <c r="Y677" t="str">
        <f>'Green_rooibos initial weight'!A678</f>
        <v>G674</v>
      </c>
      <c r="Z677" t="str">
        <f>'Green_rooibos initial weight'!A1582</f>
        <v>R673</v>
      </c>
      <c r="AA677" t="b">
        <f t="shared" si="415"/>
        <v>0</v>
      </c>
      <c r="AB677" t="b">
        <f t="shared" si="416"/>
        <v>0</v>
      </c>
    </row>
    <row r="678" spans="25:28" ht="12" customHeight="1">
      <c r="Y678" t="str">
        <f>'Green_rooibos initial weight'!A679</f>
        <v>G675</v>
      </c>
      <c r="Z678" t="str">
        <f>'Green_rooibos initial weight'!A1583</f>
        <v>R674</v>
      </c>
      <c r="AA678" t="b">
        <f t="shared" si="415"/>
        <v>0</v>
      </c>
      <c r="AB678" t="b">
        <f t="shared" si="416"/>
        <v>0</v>
      </c>
    </row>
    <row r="679" spans="25:28" ht="12" customHeight="1">
      <c r="Y679" t="str">
        <f>'Green_rooibos initial weight'!A680</f>
        <v>G676</v>
      </c>
      <c r="Z679" t="str">
        <f>'Green_rooibos initial weight'!A1584</f>
        <v>R675</v>
      </c>
      <c r="AA679" t="b">
        <f t="shared" si="415"/>
        <v>0</v>
      </c>
      <c r="AB679" t="b">
        <f t="shared" si="416"/>
        <v>0</v>
      </c>
    </row>
    <row r="680" spans="25:28" ht="12" customHeight="1">
      <c r="Y680" t="str">
        <f>'Green_rooibos initial weight'!A681</f>
        <v>G677</v>
      </c>
      <c r="Z680" t="str">
        <f>'Green_rooibos initial weight'!A1585</f>
        <v>R676</v>
      </c>
      <c r="AA680" t="b">
        <f t="shared" si="415"/>
        <v>0</v>
      </c>
      <c r="AB680" t="b">
        <f t="shared" si="416"/>
        <v>0</v>
      </c>
    </row>
    <row r="681" spans="25:28" ht="12" customHeight="1">
      <c r="Y681" t="str">
        <f>'Green_rooibos initial weight'!A682</f>
        <v>G678</v>
      </c>
      <c r="Z681" t="str">
        <f>'Green_rooibos initial weight'!A1586</f>
        <v>R677</v>
      </c>
      <c r="AA681" t="b">
        <f t="shared" si="415"/>
        <v>0</v>
      </c>
      <c r="AB681" t="b">
        <f t="shared" si="416"/>
        <v>0</v>
      </c>
    </row>
    <row r="682" spans="25:28" ht="12" customHeight="1">
      <c r="Y682" t="str">
        <f>'Green_rooibos initial weight'!A683</f>
        <v>G679</v>
      </c>
      <c r="Z682" t="str">
        <f>'Green_rooibos initial weight'!A1587</f>
        <v>R678</v>
      </c>
      <c r="AA682" t="b">
        <f t="shared" si="415"/>
        <v>0</v>
      </c>
      <c r="AB682" t="b">
        <f t="shared" si="416"/>
        <v>0</v>
      </c>
    </row>
    <row r="683" spans="25:28" ht="12" customHeight="1">
      <c r="Y683" t="str">
        <f>'Green_rooibos initial weight'!A684</f>
        <v>G680</v>
      </c>
      <c r="Z683" t="str">
        <f>'Green_rooibos initial weight'!A1588</f>
        <v>R679</v>
      </c>
      <c r="AA683" t="b">
        <f t="shared" si="415"/>
        <v>0</v>
      </c>
      <c r="AB683" t="b">
        <f t="shared" si="416"/>
        <v>0</v>
      </c>
    </row>
    <row r="684" spans="25:28" ht="12" customHeight="1">
      <c r="Y684" t="str">
        <f>'Green_rooibos initial weight'!A685</f>
        <v>G681</v>
      </c>
      <c r="Z684" t="str">
        <f>'Green_rooibos initial weight'!A1589</f>
        <v>R680</v>
      </c>
      <c r="AA684" t="b">
        <f t="shared" si="415"/>
        <v>0</v>
      </c>
      <c r="AB684" t="b">
        <f t="shared" si="416"/>
        <v>0</v>
      </c>
    </row>
    <row r="685" spans="25:28" ht="12" customHeight="1">
      <c r="Y685" t="str">
        <f>'Green_rooibos initial weight'!A686</f>
        <v>G682</v>
      </c>
      <c r="Z685" t="str">
        <f>'Green_rooibos initial weight'!A1590</f>
        <v>R681</v>
      </c>
      <c r="AA685" t="b">
        <f t="shared" si="415"/>
        <v>0</v>
      </c>
      <c r="AB685" t="b">
        <f t="shared" si="416"/>
        <v>0</v>
      </c>
    </row>
    <row r="686" spans="25:28" ht="12" customHeight="1">
      <c r="Y686" t="str">
        <f>'Green_rooibos initial weight'!A687</f>
        <v>G683</v>
      </c>
      <c r="Z686" t="str">
        <f>'Green_rooibos initial weight'!A1591</f>
        <v>R682</v>
      </c>
      <c r="AA686" t="b">
        <f t="shared" si="415"/>
        <v>0</v>
      </c>
      <c r="AB686" t="b">
        <f t="shared" si="416"/>
        <v>0</v>
      </c>
    </row>
    <row r="687" spans="25:28" ht="12" customHeight="1">
      <c r="Y687" t="str">
        <f>'Green_rooibos initial weight'!A688</f>
        <v>G684</v>
      </c>
      <c r="Z687" t="str">
        <f>'Green_rooibos initial weight'!A1592</f>
        <v>R683</v>
      </c>
      <c r="AA687" t="b">
        <f t="shared" si="415"/>
        <v>0</v>
      </c>
      <c r="AB687" t="b">
        <f t="shared" si="416"/>
        <v>0</v>
      </c>
    </row>
    <row r="688" spans="25:28" ht="12" customHeight="1">
      <c r="Y688" t="str">
        <f>'Green_rooibos initial weight'!A689</f>
        <v>G685</v>
      </c>
      <c r="Z688" t="str">
        <f>'Green_rooibos initial weight'!A1593</f>
        <v>R684</v>
      </c>
      <c r="AA688" t="b">
        <f t="shared" si="415"/>
        <v>0</v>
      </c>
      <c r="AB688" t="b">
        <f t="shared" si="416"/>
        <v>0</v>
      </c>
    </row>
    <row r="689" spans="25:28" ht="12" customHeight="1">
      <c r="Y689" t="str">
        <f>'Green_rooibos initial weight'!A690</f>
        <v>G686</v>
      </c>
      <c r="Z689" t="str">
        <f>'Green_rooibos initial weight'!A1594</f>
        <v>R685</v>
      </c>
      <c r="AA689" t="b">
        <f t="shared" si="415"/>
        <v>0</v>
      </c>
      <c r="AB689" t="b">
        <f t="shared" si="416"/>
        <v>0</v>
      </c>
    </row>
    <row r="690" spans="25:28" ht="12" customHeight="1">
      <c r="Y690" t="str">
        <f>'Green_rooibos initial weight'!A691</f>
        <v>G687</v>
      </c>
      <c r="Z690" t="str">
        <f>'Green_rooibos initial weight'!A1595</f>
        <v>R686</v>
      </c>
      <c r="AA690" t="b">
        <f t="shared" si="415"/>
        <v>0</v>
      </c>
      <c r="AB690" t="b">
        <f t="shared" si="416"/>
        <v>0</v>
      </c>
    </row>
    <row r="691" spans="25:28" ht="12" customHeight="1">
      <c r="Y691" t="str">
        <f>'Green_rooibos initial weight'!A692</f>
        <v>G688</v>
      </c>
      <c r="Z691" t="str">
        <f>'Green_rooibos initial weight'!A1596</f>
        <v>R687</v>
      </c>
      <c r="AA691" t="b">
        <f t="shared" si="415"/>
        <v>0</v>
      </c>
      <c r="AB691" t="b">
        <f t="shared" si="416"/>
        <v>0</v>
      </c>
    </row>
    <row r="692" spans="25:28" ht="12" customHeight="1">
      <c r="Y692" t="str">
        <f>'Green_rooibos initial weight'!A693</f>
        <v>G689</v>
      </c>
      <c r="Z692" t="str">
        <f>'Green_rooibos initial weight'!A1597</f>
        <v>R688</v>
      </c>
      <c r="AA692" t="b">
        <f t="shared" si="415"/>
        <v>0</v>
      </c>
      <c r="AB692" t="b">
        <f t="shared" si="416"/>
        <v>0</v>
      </c>
    </row>
    <row r="693" spans="25:28" ht="12" customHeight="1">
      <c r="Y693" t="str">
        <f>'Green_rooibos initial weight'!A694</f>
        <v>G690</v>
      </c>
      <c r="Z693" t="str">
        <f>'Green_rooibos initial weight'!A1598</f>
        <v>R689</v>
      </c>
      <c r="AA693" t="b">
        <f t="shared" si="415"/>
        <v>0</v>
      </c>
      <c r="AB693" t="b">
        <f t="shared" si="416"/>
        <v>0</v>
      </c>
    </row>
    <row r="694" spans="25:28" ht="12" customHeight="1">
      <c r="Y694" t="str">
        <f>'Green_rooibos initial weight'!A695</f>
        <v>G691</v>
      </c>
      <c r="Z694" t="str">
        <f>'Green_rooibos initial weight'!A1599</f>
        <v>R690</v>
      </c>
      <c r="AA694" t="b">
        <f t="shared" si="415"/>
        <v>0</v>
      </c>
      <c r="AB694" t="b">
        <f t="shared" si="416"/>
        <v>0</v>
      </c>
    </row>
    <row r="695" spans="25:28" ht="12" customHeight="1">
      <c r="Y695" t="str">
        <f>'Green_rooibos initial weight'!A696</f>
        <v>G692</v>
      </c>
      <c r="Z695" t="str">
        <f>'Green_rooibos initial weight'!A1600</f>
        <v>R691</v>
      </c>
      <c r="AA695" t="b">
        <f t="shared" si="415"/>
        <v>0</v>
      </c>
      <c r="AB695" t="b">
        <f t="shared" si="416"/>
        <v>0</v>
      </c>
    </row>
    <row r="696" spans="25:28" ht="12" customHeight="1">
      <c r="Y696" t="str">
        <f>'Green_rooibos initial weight'!A697</f>
        <v>G693</v>
      </c>
      <c r="Z696" t="str">
        <f>'Green_rooibos initial weight'!A1601</f>
        <v>R692</v>
      </c>
      <c r="AA696" t="b">
        <f t="shared" si="415"/>
        <v>0</v>
      </c>
      <c r="AB696" t="b">
        <f t="shared" si="416"/>
        <v>0</v>
      </c>
    </row>
    <row r="697" spans="25:28" ht="12" customHeight="1">
      <c r="Y697" t="str">
        <f>'Green_rooibos initial weight'!A698</f>
        <v>G694</v>
      </c>
      <c r="Z697" t="str">
        <f>'Green_rooibos initial weight'!A1602</f>
        <v>R693</v>
      </c>
      <c r="AA697" t="b">
        <f t="shared" si="415"/>
        <v>0</v>
      </c>
      <c r="AB697" t="b">
        <f t="shared" si="416"/>
        <v>0</v>
      </c>
    </row>
    <row r="698" spans="25:28" ht="12" customHeight="1">
      <c r="Y698" t="str">
        <f>'Green_rooibos initial weight'!A699</f>
        <v>G695</v>
      </c>
      <c r="Z698" t="str">
        <f>'Green_rooibos initial weight'!A1603</f>
        <v>R694</v>
      </c>
      <c r="AA698" t="b">
        <f t="shared" si="415"/>
        <v>0</v>
      </c>
      <c r="AB698" t="b">
        <f t="shared" si="416"/>
        <v>0</v>
      </c>
    </row>
    <row r="699" spans="25:28" ht="12" customHeight="1">
      <c r="Y699" t="str">
        <f>'Green_rooibos initial weight'!A700</f>
        <v>G696</v>
      </c>
      <c r="Z699" t="str">
        <f>'Green_rooibos initial weight'!A1604</f>
        <v>R695</v>
      </c>
      <c r="AA699" t="b">
        <f t="shared" si="415"/>
        <v>0</v>
      </c>
      <c r="AB699" t="b">
        <f t="shared" si="416"/>
        <v>0</v>
      </c>
    </row>
    <row r="700" spans="25:28" ht="12" customHeight="1">
      <c r="Y700" t="str">
        <f>'Green_rooibos initial weight'!A701</f>
        <v>G697</v>
      </c>
      <c r="Z700" t="str">
        <f>'Green_rooibos initial weight'!A1605</f>
        <v>R696</v>
      </c>
      <c r="AA700" t="b">
        <f t="shared" si="415"/>
        <v>0</v>
      </c>
      <c r="AB700" t="b">
        <f t="shared" si="416"/>
        <v>0</v>
      </c>
    </row>
    <row r="701" spans="25:28" ht="12" customHeight="1">
      <c r="Y701" t="str">
        <f>'Green_rooibos initial weight'!A702</f>
        <v>G698</v>
      </c>
      <c r="Z701" t="str">
        <f>'Green_rooibos initial weight'!A1606</f>
        <v>R697</v>
      </c>
      <c r="AA701" t="b">
        <f t="shared" si="415"/>
        <v>0</v>
      </c>
      <c r="AB701" t="b">
        <f t="shared" si="416"/>
        <v>0</v>
      </c>
    </row>
    <row r="702" spans="25:28" ht="12" customHeight="1">
      <c r="Y702" t="str">
        <f>'Green_rooibos initial weight'!A703</f>
        <v>G699</v>
      </c>
      <c r="Z702" t="str">
        <f>'Green_rooibos initial weight'!A1607</f>
        <v>R698</v>
      </c>
      <c r="AA702" t="b">
        <f t="shared" si="415"/>
        <v>0</v>
      </c>
      <c r="AB702" t="b">
        <f t="shared" si="416"/>
        <v>0</v>
      </c>
    </row>
    <row r="703" spans="25:28" ht="12" customHeight="1">
      <c r="Y703" t="str">
        <f>'Green_rooibos initial weight'!A704</f>
        <v>G700</v>
      </c>
      <c r="Z703" t="str">
        <f>'Green_rooibos initial weight'!A1608</f>
        <v>R699</v>
      </c>
      <c r="AA703" t="b">
        <f t="shared" si="415"/>
        <v>0</v>
      </c>
      <c r="AB703" t="b">
        <f t="shared" si="416"/>
        <v>0</v>
      </c>
    </row>
    <row r="704" spans="25:28" ht="12" customHeight="1">
      <c r="Y704" t="str">
        <f>'Green_rooibos initial weight'!A705</f>
        <v>G701</v>
      </c>
      <c r="Z704" t="str">
        <f>'Green_rooibos initial weight'!A1609</f>
        <v>R700</v>
      </c>
      <c r="AA704" t="b">
        <f t="shared" si="415"/>
        <v>0</v>
      </c>
      <c r="AB704" t="b">
        <f t="shared" si="416"/>
        <v>0</v>
      </c>
    </row>
    <row r="705" spans="25:28" ht="12" customHeight="1">
      <c r="Y705" t="str">
        <f>'Green_rooibos initial weight'!A706</f>
        <v>G702</v>
      </c>
      <c r="Z705" t="str">
        <f>'Green_rooibos initial weight'!A1610</f>
        <v>R701</v>
      </c>
      <c r="AA705" t="b">
        <f t="shared" si="415"/>
        <v>0</v>
      </c>
      <c r="AB705" t="b">
        <f t="shared" si="416"/>
        <v>0</v>
      </c>
    </row>
    <row r="706" spans="25:28" ht="12" customHeight="1">
      <c r="Y706" t="str">
        <f>'Green_rooibos initial weight'!A707</f>
        <v>G703</v>
      </c>
      <c r="Z706" t="str">
        <f>'Green_rooibos initial weight'!A1611</f>
        <v>R702</v>
      </c>
      <c r="AA706" t="b">
        <f t="shared" si="415"/>
        <v>0</v>
      </c>
      <c r="AB706" t="b">
        <f t="shared" si="416"/>
        <v>0</v>
      </c>
    </row>
    <row r="707" spans="25:28" ht="12" customHeight="1">
      <c r="Y707" t="str">
        <f>'Green_rooibos initial weight'!A708</f>
        <v>G704</v>
      </c>
      <c r="Z707" t="str">
        <f>'Green_rooibos initial weight'!A1612</f>
        <v>R703</v>
      </c>
      <c r="AA707" t="b">
        <f t="shared" si="415"/>
        <v>0</v>
      </c>
      <c r="AB707" t="b">
        <f t="shared" si="416"/>
        <v>0</v>
      </c>
    </row>
    <row r="708" spans="25:28" ht="12" customHeight="1">
      <c r="Y708" t="str">
        <f>'Green_rooibos initial weight'!A709</f>
        <v>G705</v>
      </c>
      <c r="Z708" t="str">
        <f>'Green_rooibos initial weight'!A1613</f>
        <v>R704</v>
      </c>
      <c r="AA708" t="b">
        <f t="shared" si="415"/>
        <v>0</v>
      </c>
      <c r="AB708" t="b">
        <f t="shared" si="416"/>
        <v>0</v>
      </c>
    </row>
    <row r="709" spans="25:28" ht="12" customHeight="1">
      <c r="Y709" t="str">
        <f>'Green_rooibos initial weight'!A710</f>
        <v>G706</v>
      </c>
      <c r="Z709" t="str">
        <f>'Green_rooibos initial weight'!A1614</f>
        <v>R705</v>
      </c>
      <c r="AA709" t="b">
        <f t="shared" ref="AA709:AA772" si="418">COUNTIF($Y$4:$Y$2000, Y709)&gt;1</f>
        <v>0</v>
      </c>
      <c r="AB709" t="b">
        <f t="shared" ref="AB709:AB772" si="419">COUNTIF($Z$4:$Z$2000, Z709)&gt;1</f>
        <v>0</v>
      </c>
    </row>
    <row r="710" spans="25:28" ht="12" customHeight="1">
      <c r="Y710" t="str">
        <f>'Green_rooibos initial weight'!A711</f>
        <v>G707</v>
      </c>
      <c r="Z710" t="str">
        <f>'Green_rooibos initial weight'!A1615</f>
        <v>R706</v>
      </c>
      <c r="AA710" t="b">
        <f t="shared" si="418"/>
        <v>0</v>
      </c>
      <c r="AB710" t="b">
        <f t="shared" si="419"/>
        <v>0</v>
      </c>
    </row>
    <row r="711" spans="25:28" ht="12" customHeight="1">
      <c r="Y711" t="str">
        <f>'Green_rooibos initial weight'!A712</f>
        <v>G708</v>
      </c>
      <c r="Z711" t="str">
        <f>'Green_rooibos initial weight'!A1616</f>
        <v>R707</v>
      </c>
      <c r="AA711" t="b">
        <f t="shared" si="418"/>
        <v>0</v>
      </c>
      <c r="AB711" t="b">
        <f t="shared" si="419"/>
        <v>0</v>
      </c>
    </row>
    <row r="712" spans="25:28" ht="12" customHeight="1">
      <c r="Y712" t="str">
        <f>'Green_rooibos initial weight'!A713</f>
        <v>G709</v>
      </c>
      <c r="Z712" t="str">
        <f>'Green_rooibos initial weight'!A1617</f>
        <v>R708</v>
      </c>
      <c r="AA712" t="b">
        <f t="shared" si="418"/>
        <v>0</v>
      </c>
      <c r="AB712" t="b">
        <f t="shared" si="419"/>
        <v>0</v>
      </c>
    </row>
    <row r="713" spans="25:28" ht="12" customHeight="1">
      <c r="Y713" t="str">
        <f>'Green_rooibos initial weight'!A714</f>
        <v>G710</v>
      </c>
      <c r="Z713" t="str">
        <f>'Green_rooibos initial weight'!A1618</f>
        <v>R709</v>
      </c>
      <c r="AA713" t="b">
        <f t="shared" si="418"/>
        <v>0</v>
      </c>
      <c r="AB713" t="b">
        <f t="shared" si="419"/>
        <v>0</v>
      </c>
    </row>
    <row r="714" spans="25:28" ht="12" customHeight="1">
      <c r="Y714" t="str">
        <f>'Green_rooibos initial weight'!A715</f>
        <v>G711</v>
      </c>
      <c r="Z714" t="str">
        <f>'Green_rooibos initial weight'!A1619</f>
        <v>R710</v>
      </c>
      <c r="AA714" t="b">
        <f t="shared" si="418"/>
        <v>0</v>
      </c>
      <c r="AB714" t="b">
        <f t="shared" si="419"/>
        <v>0</v>
      </c>
    </row>
    <row r="715" spans="25:28" ht="12" customHeight="1">
      <c r="Y715" t="str">
        <f>'Green_rooibos initial weight'!A716</f>
        <v>G712</v>
      </c>
      <c r="Z715" t="str">
        <f>'Green_rooibos initial weight'!A1620</f>
        <v>R711</v>
      </c>
      <c r="AA715" t="b">
        <f t="shared" si="418"/>
        <v>0</v>
      </c>
      <c r="AB715" t="b">
        <f t="shared" si="419"/>
        <v>0</v>
      </c>
    </row>
    <row r="716" spans="25:28" ht="12" customHeight="1">
      <c r="Y716" t="str">
        <f>'Green_rooibos initial weight'!A717</f>
        <v>G713</v>
      </c>
      <c r="Z716" t="str">
        <f>'Green_rooibos initial weight'!A1621</f>
        <v>R712</v>
      </c>
      <c r="AA716" t="b">
        <f t="shared" si="418"/>
        <v>0</v>
      </c>
      <c r="AB716" t="b">
        <f t="shared" si="419"/>
        <v>0</v>
      </c>
    </row>
    <row r="717" spans="25:28" ht="12" customHeight="1">
      <c r="Y717" t="str">
        <f>'Green_rooibos initial weight'!A718</f>
        <v>G714</v>
      </c>
      <c r="Z717" t="str">
        <f>'Green_rooibos initial weight'!A1622</f>
        <v>R713</v>
      </c>
      <c r="AA717" t="b">
        <f t="shared" si="418"/>
        <v>0</v>
      </c>
      <c r="AB717" t="b">
        <f t="shared" si="419"/>
        <v>0</v>
      </c>
    </row>
    <row r="718" spans="25:28" ht="12" customHeight="1">
      <c r="Y718" t="str">
        <f>'Green_rooibos initial weight'!A719</f>
        <v>G715</v>
      </c>
      <c r="Z718" t="str">
        <f>'Green_rooibos initial weight'!A1623</f>
        <v>R714</v>
      </c>
      <c r="AA718" t="b">
        <f t="shared" si="418"/>
        <v>0</v>
      </c>
      <c r="AB718" t="b">
        <f t="shared" si="419"/>
        <v>0</v>
      </c>
    </row>
    <row r="719" spans="25:28" ht="12" customHeight="1">
      <c r="Y719" t="str">
        <f>'Green_rooibos initial weight'!A720</f>
        <v>G716</v>
      </c>
      <c r="Z719" t="str">
        <f>'Green_rooibos initial weight'!A1624</f>
        <v>R715</v>
      </c>
      <c r="AA719" t="b">
        <f t="shared" si="418"/>
        <v>0</v>
      </c>
      <c r="AB719" t="b">
        <f t="shared" si="419"/>
        <v>0</v>
      </c>
    </row>
    <row r="720" spans="25:28" ht="12" customHeight="1">
      <c r="Y720" t="str">
        <f>'Green_rooibos initial weight'!A721</f>
        <v>G717</v>
      </c>
      <c r="Z720" t="str">
        <f>'Green_rooibos initial weight'!A1625</f>
        <v>R716</v>
      </c>
      <c r="AA720" t="b">
        <f t="shared" si="418"/>
        <v>0</v>
      </c>
      <c r="AB720" t="b">
        <f t="shared" si="419"/>
        <v>0</v>
      </c>
    </row>
    <row r="721" spans="25:28" ht="12" customHeight="1">
      <c r="Y721" t="str">
        <f>'Green_rooibos initial weight'!A722</f>
        <v>G718</v>
      </c>
      <c r="Z721" t="str">
        <f>'Green_rooibos initial weight'!A1626</f>
        <v>R717</v>
      </c>
      <c r="AA721" t="b">
        <f t="shared" si="418"/>
        <v>0</v>
      </c>
      <c r="AB721" t="b">
        <f t="shared" si="419"/>
        <v>0</v>
      </c>
    </row>
    <row r="722" spans="25:28" ht="12" customHeight="1">
      <c r="Y722" t="str">
        <f>'Green_rooibos initial weight'!A723</f>
        <v>G719</v>
      </c>
      <c r="Z722" t="str">
        <f>'Green_rooibos initial weight'!A1627</f>
        <v>R718</v>
      </c>
      <c r="AA722" t="b">
        <f t="shared" si="418"/>
        <v>0</v>
      </c>
      <c r="AB722" t="b">
        <f t="shared" si="419"/>
        <v>0</v>
      </c>
    </row>
    <row r="723" spans="25:28" ht="12" customHeight="1">
      <c r="Y723" t="str">
        <f>'Green_rooibos initial weight'!A724</f>
        <v>G720</v>
      </c>
      <c r="Z723" t="str">
        <f>'Green_rooibos initial weight'!A1628</f>
        <v>R719</v>
      </c>
      <c r="AA723" t="b">
        <f t="shared" si="418"/>
        <v>0</v>
      </c>
      <c r="AB723" t="b">
        <f t="shared" si="419"/>
        <v>0</v>
      </c>
    </row>
    <row r="724" spans="25:28" ht="12" customHeight="1">
      <c r="Y724" t="str">
        <f>'Green_rooibos initial weight'!A725</f>
        <v>G721</v>
      </c>
      <c r="Z724" t="str">
        <f>'Green_rooibos initial weight'!A1629</f>
        <v>R720</v>
      </c>
      <c r="AA724" t="b">
        <f t="shared" si="418"/>
        <v>0</v>
      </c>
      <c r="AB724" t="b">
        <f t="shared" si="419"/>
        <v>0</v>
      </c>
    </row>
    <row r="725" spans="25:28" ht="12" customHeight="1">
      <c r="Y725" t="str">
        <f>'Green_rooibos initial weight'!A726</f>
        <v>G722</v>
      </c>
      <c r="Z725" t="str">
        <f>'Green_rooibos initial weight'!A1630</f>
        <v>R721</v>
      </c>
      <c r="AA725" t="b">
        <f t="shared" si="418"/>
        <v>0</v>
      </c>
      <c r="AB725" t="b">
        <f t="shared" si="419"/>
        <v>0</v>
      </c>
    </row>
    <row r="726" spans="25:28" ht="12" customHeight="1">
      <c r="Y726" t="str">
        <f>'Green_rooibos initial weight'!A727</f>
        <v>G723</v>
      </c>
      <c r="Z726" t="str">
        <f>'Green_rooibos initial weight'!A1631</f>
        <v>R722</v>
      </c>
      <c r="AA726" t="b">
        <f t="shared" si="418"/>
        <v>0</v>
      </c>
      <c r="AB726" t="b">
        <f t="shared" si="419"/>
        <v>0</v>
      </c>
    </row>
    <row r="727" spans="25:28" ht="12" customHeight="1">
      <c r="Y727" t="str">
        <f>'Green_rooibos initial weight'!A728</f>
        <v>G724</v>
      </c>
      <c r="Z727" t="str">
        <f>'Green_rooibos initial weight'!A1632</f>
        <v>R723</v>
      </c>
      <c r="AA727" t="b">
        <f t="shared" si="418"/>
        <v>0</v>
      </c>
      <c r="AB727" t="b">
        <f t="shared" si="419"/>
        <v>0</v>
      </c>
    </row>
    <row r="728" spans="25:28" ht="12" customHeight="1">
      <c r="Y728" t="str">
        <f>'Green_rooibos initial weight'!A729</f>
        <v>G725</v>
      </c>
      <c r="Z728" t="str">
        <f>'Green_rooibos initial weight'!A1633</f>
        <v>R724</v>
      </c>
      <c r="AA728" t="b">
        <f t="shared" si="418"/>
        <v>0</v>
      </c>
      <c r="AB728" t="b">
        <f t="shared" si="419"/>
        <v>0</v>
      </c>
    </row>
    <row r="729" spans="25:28" ht="12" customHeight="1">
      <c r="Y729" t="str">
        <f>'Green_rooibos initial weight'!A730</f>
        <v>G726</v>
      </c>
      <c r="Z729" t="str">
        <f>'Green_rooibos initial weight'!A1634</f>
        <v>R725</v>
      </c>
      <c r="AA729" t="b">
        <f t="shared" si="418"/>
        <v>0</v>
      </c>
      <c r="AB729" t="b">
        <f t="shared" si="419"/>
        <v>0</v>
      </c>
    </row>
    <row r="730" spans="25:28" ht="12" customHeight="1">
      <c r="Y730" t="str">
        <f>'Green_rooibos initial weight'!A731</f>
        <v>G727</v>
      </c>
      <c r="Z730" t="str">
        <f>'Green_rooibos initial weight'!A1635</f>
        <v>R726</v>
      </c>
      <c r="AA730" t="b">
        <f t="shared" si="418"/>
        <v>0</v>
      </c>
      <c r="AB730" t="b">
        <f t="shared" si="419"/>
        <v>0</v>
      </c>
    </row>
    <row r="731" spans="25:28" ht="12" customHeight="1">
      <c r="Y731" t="str">
        <f>'Green_rooibos initial weight'!A732</f>
        <v>G728</v>
      </c>
      <c r="Z731" t="str">
        <f>'Green_rooibos initial weight'!A1636</f>
        <v>R727</v>
      </c>
      <c r="AA731" t="b">
        <f t="shared" si="418"/>
        <v>0</v>
      </c>
      <c r="AB731" t="b">
        <f t="shared" si="419"/>
        <v>0</v>
      </c>
    </row>
    <row r="732" spans="25:28" ht="12" customHeight="1">
      <c r="Y732" t="str">
        <f>'Green_rooibos initial weight'!A733</f>
        <v>G729</v>
      </c>
      <c r="Z732" t="str">
        <f>'Green_rooibos initial weight'!A1637</f>
        <v>R728</v>
      </c>
      <c r="AA732" t="b">
        <f t="shared" si="418"/>
        <v>0</v>
      </c>
      <c r="AB732" t="b">
        <f t="shared" si="419"/>
        <v>0</v>
      </c>
    </row>
    <row r="733" spans="25:28" ht="12" customHeight="1">
      <c r="Y733" t="str">
        <f>'Green_rooibos initial weight'!A734</f>
        <v>G730</v>
      </c>
      <c r="Z733" t="str">
        <f>'Green_rooibos initial weight'!A1638</f>
        <v>R729</v>
      </c>
      <c r="AA733" t="b">
        <f t="shared" si="418"/>
        <v>0</v>
      </c>
      <c r="AB733" t="b">
        <f t="shared" si="419"/>
        <v>0</v>
      </c>
    </row>
    <row r="734" spans="25:28" ht="12" customHeight="1">
      <c r="Y734" t="str">
        <f>'Green_rooibos initial weight'!A735</f>
        <v>G731</v>
      </c>
      <c r="Z734" t="str">
        <f>'Green_rooibos initial weight'!A1639</f>
        <v>R730</v>
      </c>
      <c r="AA734" t="b">
        <f t="shared" si="418"/>
        <v>0</v>
      </c>
      <c r="AB734" t="b">
        <f t="shared" si="419"/>
        <v>0</v>
      </c>
    </row>
    <row r="735" spans="25:28" ht="12" customHeight="1">
      <c r="Y735" t="str">
        <f>'Green_rooibos initial weight'!A736</f>
        <v>G732</v>
      </c>
      <c r="Z735" t="str">
        <f>'Green_rooibos initial weight'!A1640</f>
        <v>R731</v>
      </c>
      <c r="AA735" t="b">
        <f t="shared" si="418"/>
        <v>0</v>
      </c>
      <c r="AB735" t="b">
        <f t="shared" si="419"/>
        <v>0</v>
      </c>
    </row>
    <row r="736" spans="25:28" ht="12" customHeight="1">
      <c r="Y736" t="str">
        <f>'Green_rooibos initial weight'!A737</f>
        <v>G733</v>
      </c>
      <c r="Z736" t="str">
        <f>'Green_rooibos initial weight'!A1641</f>
        <v>R732</v>
      </c>
      <c r="AA736" t="b">
        <f t="shared" si="418"/>
        <v>0</v>
      </c>
      <c r="AB736" t="b">
        <f t="shared" si="419"/>
        <v>0</v>
      </c>
    </row>
    <row r="737" spans="25:28" ht="12" customHeight="1">
      <c r="Y737" t="str">
        <f>'Green_rooibos initial weight'!A738</f>
        <v>G734</v>
      </c>
      <c r="Z737" t="str">
        <f>'Green_rooibos initial weight'!A1642</f>
        <v>R733</v>
      </c>
      <c r="AA737" t="b">
        <f t="shared" si="418"/>
        <v>0</v>
      </c>
      <c r="AB737" t="b">
        <f t="shared" si="419"/>
        <v>0</v>
      </c>
    </row>
    <row r="738" spans="25:28" ht="12" customHeight="1">
      <c r="Y738" t="str">
        <f>'Green_rooibos initial weight'!A739</f>
        <v>G735</v>
      </c>
      <c r="Z738" t="str">
        <f>'Green_rooibos initial weight'!A1643</f>
        <v>R734</v>
      </c>
      <c r="AA738" t="b">
        <f t="shared" si="418"/>
        <v>0</v>
      </c>
      <c r="AB738" t="b">
        <f t="shared" si="419"/>
        <v>0</v>
      </c>
    </row>
    <row r="739" spans="25:28" ht="12" customHeight="1">
      <c r="Y739" t="str">
        <f>'Green_rooibos initial weight'!A740</f>
        <v>G736</v>
      </c>
      <c r="Z739" t="str">
        <f>'Green_rooibos initial weight'!A1644</f>
        <v>R735</v>
      </c>
      <c r="AA739" t="b">
        <f t="shared" si="418"/>
        <v>0</v>
      </c>
      <c r="AB739" t="b">
        <f t="shared" si="419"/>
        <v>0</v>
      </c>
    </row>
    <row r="740" spans="25:28" ht="12" customHeight="1">
      <c r="Y740" t="str">
        <f>'Green_rooibos initial weight'!A741</f>
        <v>G737</v>
      </c>
      <c r="Z740" t="str">
        <f>'Green_rooibos initial weight'!A1645</f>
        <v>R736</v>
      </c>
      <c r="AA740" t="b">
        <f t="shared" si="418"/>
        <v>0</v>
      </c>
      <c r="AB740" t="b">
        <f t="shared" si="419"/>
        <v>0</v>
      </c>
    </row>
    <row r="741" spans="25:28" ht="12" customHeight="1">
      <c r="Y741" t="str">
        <f>'Green_rooibos initial weight'!A742</f>
        <v>G738</v>
      </c>
      <c r="Z741" t="str">
        <f>'Green_rooibos initial weight'!A1646</f>
        <v>R737</v>
      </c>
      <c r="AA741" t="b">
        <f t="shared" si="418"/>
        <v>0</v>
      </c>
      <c r="AB741" t="b">
        <f t="shared" si="419"/>
        <v>0</v>
      </c>
    </row>
    <row r="742" spans="25:28" ht="12" customHeight="1">
      <c r="Y742" t="str">
        <f>'Green_rooibos initial weight'!A743</f>
        <v>G739</v>
      </c>
      <c r="Z742" t="str">
        <f>'Green_rooibos initial weight'!A1647</f>
        <v>R738</v>
      </c>
      <c r="AA742" t="b">
        <f t="shared" si="418"/>
        <v>0</v>
      </c>
      <c r="AB742" t="b">
        <f t="shared" si="419"/>
        <v>0</v>
      </c>
    </row>
    <row r="743" spans="25:28" ht="12" customHeight="1">
      <c r="Y743" t="str">
        <f>'Green_rooibos initial weight'!A744</f>
        <v>G740</v>
      </c>
      <c r="Z743" t="str">
        <f>'Green_rooibos initial weight'!A1648</f>
        <v>R739</v>
      </c>
      <c r="AA743" t="b">
        <f t="shared" si="418"/>
        <v>0</v>
      </c>
      <c r="AB743" t="b">
        <f t="shared" si="419"/>
        <v>0</v>
      </c>
    </row>
    <row r="744" spans="25:28" ht="12" customHeight="1">
      <c r="Y744" t="str">
        <f>'Green_rooibos initial weight'!A745</f>
        <v>G741</v>
      </c>
      <c r="Z744" t="str">
        <f>'Green_rooibos initial weight'!A1649</f>
        <v>R740</v>
      </c>
      <c r="AA744" t="b">
        <f t="shared" si="418"/>
        <v>0</v>
      </c>
      <c r="AB744" t="b">
        <f t="shared" si="419"/>
        <v>0</v>
      </c>
    </row>
    <row r="745" spans="25:28" ht="12" customHeight="1">
      <c r="Y745" t="str">
        <f>'Green_rooibos initial weight'!A746</f>
        <v>G742</v>
      </c>
      <c r="Z745" t="str">
        <f>'Green_rooibos initial weight'!A1650</f>
        <v>R741</v>
      </c>
      <c r="AA745" t="b">
        <f t="shared" si="418"/>
        <v>0</v>
      </c>
      <c r="AB745" t="b">
        <f t="shared" si="419"/>
        <v>0</v>
      </c>
    </row>
    <row r="746" spans="25:28" ht="12" customHeight="1">
      <c r="Y746" t="str">
        <f>'Green_rooibos initial weight'!A747</f>
        <v>G743</v>
      </c>
      <c r="Z746" t="str">
        <f>'Green_rooibos initial weight'!A1651</f>
        <v>R742</v>
      </c>
      <c r="AA746" t="b">
        <f t="shared" si="418"/>
        <v>0</v>
      </c>
      <c r="AB746" t="b">
        <f t="shared" si="419"/>
        <v>0</v>
      </c>
    </row>
    <row r="747" spans="25:28" ht="12" customHeight="1">
      <c r="Y747" t="str">
        <f>'Green_rooibos initial weight'!A748</f>
        <v>G744</v>
      </c>
      <c r="Z747" t="str">
        <f>'Green_rooibos initial weight'!A1652</f>
        <v>R743</v>
      </c>
      <c r="AA747" t="b">
        <f t="shared" si="418"/>
        <v>0</v>
      </c>
      <c r="AB747" t="b">
        <f t="shared" si="419"/>
        <v>0</v>
      </c>
    </row>
    <row r="748" spans="25:28" ht="12" customHeight="1">
      <c r="Y748" t="str">
        <f>'Green_rooibos initial weight'!A749</f>
        <v>G745</v>
      </c>
      <c r="Z748" t="str">
        <f>'Green_rooibos initial weight'!A1653</f>
        <v>R744</v>
      </c>
      <c r="AA748" t="b">
        <f t="shared" si="418"/>
        <v>0</v>
      </c>
      <c r="AB748" t="b">
        <f t="shared" si="419"/>
        <v>0</v>
      </c>
    </row>
    <row r="749" spans="25:28" ht="12" customHeight="1">
      <c r="Y749" t="str">
        <f>'Green_rooibos initial weight'!A750</f>
        <v>G746</v>
      </c>
      <c r="Z749" t="str">
        <f>'Green_rooibos initial weight'!A1654</f>
        <v>R745</v>
      </c>
      <c r="AA749" t="b">
        <f t="shared" si="418"/>
        <v>0</v>
      </c>
      <c r="AB749" t="b">
        <f t="shared" si="419"/>
        <v>0</v>
      </c>
    </row>
    <row r="750" spans="25:28" ht="12" customHeight="1">
      <c r="Y750" t="str">
        <f>'Green_rooibos initial weight'!A751</f>
        <v>G747</v>
      </c>
      <c r="Z750" t="str">
        <f>'Green_rooibos initial weight'!A1655</f>
        <v>R746</v>
      </c>
      <c r="AA750" t="b">
        <f t="shared" si="418"/>
        <v>0</v>
      </c>
      <c r="AB750" t="b">
        <f t="shared" si="419"/>
        <v>0</v>
      </c>
    </row>
    <row r="751" spans="25:28" ht="12" customHeight="1">
      <c r="Y751" t="str">
        <f>'Green_rooibos initial weight'!A752</f>
        <v>G748</v>
      </c>
      <c r="Z751" t="str">
        <f>'Green_rooibos initial weight'!A1656</f>
        <v>R747</v>
      </c>
      <c r="AA751" t="b">
        <f t="shared" si="418"/>
        <v>0</v>
      </c>
      <c r="AB751" t="b">
        <f t="shared" si="419"/>
        <v>0</v>
      </c>
    </row>
    <row r="752" spans="25:28" ht="12" customHeight="1">
      <c r="Y752" t="str">
        <f>'Green_rooibos initial weight'!A753</f>
        <v>G749</v>
      </c>
      <c r="Z752" t="str">
        <f>'Green_rooibos initial weight'!A1657</f>
        <v>R748</v>
      </c>
      <c r="AA752" t="b">
        <f t="shared" si="418"/>
        <v>0</v>
      </c>
      <c r="AB752" t="b">
        <f t="shared" si="419"/>
        <v>0</v>
      </c>
    </row>
    <row r="753" spans="25:28" ht="12" customHeight="1">
      <c r="Y753" t="str">
        <f>'Green_rooibos initial weight'!A754</f>
        <v>G750</v>
      </c>
      <c r="Z753" t="str">
        <f>'Green_rooibos initial weight'!A1658</f>
        <v>R749</v>
      </c>
      <c r="AA753" t="b">
        <f t="shared" si="418"/>
        <v>0</v>
      </c>
      <c r="AB753" t="b">
        <f t="shared" si="419"/>
        <v>0</v>
      </c>
    </row>
    <row r="754" spans="25:28" ht="12" customHeight="1">
      <c r="Y754" t="str">
        <f>'Green_rooibos initial weight'!A755</f>
        <v>G751</v>
      </c>
      <c r="Z754" t="str">
        <f>'Green_rooibos initial weight'!A1659</f>
        <v>R750</v>
      </c>
      <c r="AA754" t="b">
        <f t="shared" si="418"/>
        <v>0</v>
      </c>
      <c r="AB754" t="b">
        <f t="shared" si="419"/>
        <v>0</v>
      </c>
    </row>
    <row r="755" spans="25:28" ht="12" customHeight="1">
      <c r="Y755" t="str">
        <f>'Green_rooibos initial weight'!A756</f>
        <v>G752</v>
      </c>
      <c r="Z755" t="str">
        <f>'Green_rooibos initial weight'!A1660</f>
        <v>R751</v>
      </c>
      <c r="AA755" t="b">
        <f t="shared" si="418"/>
        <v>0</v>
      </c>
      <c r="AB755" t="b">
        <f t="shared" si="419"/>
        <v>0</v>
      </c>
    </row>
    <row r="756" spans="25:28" ht="12" customHeight="1">
      <c r="Y756" t="str">
        <f>'Green_rooibos initial weight'!A757</f>
        <v>G753</v>
      </c>
      <c r="Z756" t="str">
        <f>'Green_rooibos initial weight'!A1661</f>
        <v>R752</v>
      </c>
      <c r="AA756" t="b">
        <f t="shared" si="418"/>
        <v>0</v>
      </c>
      <c r="AB756" t="b">
        <f t="shared" si="419"/>
        <v>0</v>
      </c>
    </row>
    <row r="757" spans="25:28" ht="12" customHeight="1">
      <c r="Y757" t="str">
        <f>'Green_rooibos initial weight'!A758</f>
        <v>G754</v>
      </c>
      <c r="Z757" t="str">
        <f>'Green_rooibos initial weight'!A1662</f>
        <v>R753</v>
      </c>
      <c r="AA757" t="b">
        <f t="shared" si="418"/>
        <v>0</v>
      </c>
      <c r="AB757" t="b">
        <f t="shared" si="419"/>
        <v>0</v>
      </c>
    </row>
    <row r="758" spans="25:28" ht="12" customHeight="1">
      <c r="Y758" t="str">
        <f>'Green_rooibos initial weight'!A759</f>
        <v>G755</v>
      </c>
      <c r="Z758" t="str">
        <f>'Green_rooibos initial weight'!A1663</f>
        <v>R754</v>
      </c>
      <c r="AA758" t="b">
        <f t="shared" si="418"/>
        <v>0</v>
      </c>
      <c r="AB758" t="b">
        <f t="shared" si="419"/>
        <v>0</v>
      </c>
    </row>
    <row r="759" spans="25:28" ht="12" customHeight="1">
      <c r="Y759" t="str">
        <f>'Green_rooibos initial weight'!A760</f>
        <v>G756</v>
      </c>
      <c r="Z759" t="str">
        <f>'Green_rooibos initial weight'!A1664</f>
        <v>R755</v>
      </c>
      <c r="AA759" t="b">
        <f t="shared" si="418"/>
        <v>0</v>
      </c>
      <c r="AB759" t="b">
        <f t="shared" si="419"/>
        <v>0</v>
      </c>
    </row>
    <row r="760" spans="25:28" ht="12" customHeight="1">
      <c r="Y760" t="str">
        <f>'Green_rooibos initial weight'!A761</f>
        <v>G757</v>
      </c>
      <c r="Z760" t="str">
        <f>'Green_rooibos initial weight'!A1665</f>
        <v>R756</v>
      </c>
      <c r="AA760" t="b">
        <f t="shared" si="418"/>
        <v>0</v>
      </c>
      <c r="AB760" t="b">
        <f t="shared" si="419"/>
        <v>0</v>
      </c>
    </row>
    <row r="761" spans="25:28" ht="12" customHeight="1">
      <c r="Y761" t="str">
        <f>'Green_rooibos initial weight'!A762</f>
        <v>G758</v>
      </c>
      <c r="Z761" t="str">
        <f>'Green_rooibos initial weight'!A1666</f>
        <v>R757</v>
      </c>
      <c r="AA761" t="b">
        <f t="shared" si="418"/>
        <v>0</v>
      </c>
      <c r="AB761" t="b">
        <f t="shared" si="419"/>
        <v>0</v>
      </c>
    </row>
    <row r="762" spans="25:28" ht="12" customHeight="1">
      <c r="Y762" t="str">
        <f>'Green_rooibos initial weight'!A763</f>
        <v>G759</v>
      </c>
      <c r="Z762" t="str">
        <f>'Green_rooibos initial weight'!A1667</f>
        <v>R758</v>
      </c>
      <c r="AA762" t="b">
        <f t="shared" si="418"/>
        <v>0</v>
      </c>
      <c r="AB762" t="b">
        <f t="shared" si="419"/>
        <v>0</v>
      </c>
    </row>
    <row r="763" spans="25:28" ht="12" customHeight="1">
      <c r="Y763" t="str">
        <f>'Green_rooibos initial weight'!A764</f>
        <v>G760</v>
      </c>
      <c r="Z763" t="str">
        <f>'Green_rooibos initial weight'!A1668</f>
        <v>R759</v>
      </c>
      <c r="AA763" t="b">
        <f t="shared" si="418"/>
        <v>0</v>
      </c>
      <c r="AB763" t="b">
        <f t="shared" si="419"/>
        <v>0</v>
      </c>
    </row>
    <row r="764" spans="25:28" ht="12" customHeight="1">
      <c r="Y764" t="str">
        <f>'Green_rooibos initial weight'!A765</f>
        <v>G761</v>
      </c>
      <c r="Z764" t="str">
        <f>'Green_rooibos initial weight'!A1669</f>
        <v>R760</v>
      </c>
      <c r="AA764" t="b">
        <f t="shared" si="418"/>
        <v>0</v>
      </c>
      <c r="AB764" t="b">
        <f t="shared" si="419"/>
        <v>0</v>
      </c>
    </row>
    <row r="765" spans="25:28" ht="12" customHeight="1">
      <c r="Y765" t="str">
        <f>'Green_rooibos initial weight'!A766</f>
        <v>G762</v>
      </c>
      <c r="Z765" t="str">
        <f>'Green_rooibos initial weight'!A1670</f>
        <v>R761</v>
      </c>
      <c r="AA765" t="b">
        <f t="shared" si="418"/>
        <v>0</v>
      </c>
      <c r="AB765" t="b">
        <f t="shared" si="419"/>
        <v>0</v>
      </c>
    </row>
    <row r="766" spans="25:28" ht="12" customHeight="1">
      <c r="Y766" t="str">
        <f>'Green_rooibos initial weight'!A767</f>
        <v>G763</v>
      </c>
      <c r="Z766" t="str">
        <f>'Green_rooibos initial weight'!A1671</f>
        <v>R762</v>
      </c>
      <c r="AA766" t="b">
        <f t="shared" si="418"/>
        <v>0</v>
      </c>
      <c r="AB766" t="b">
        <f t="shared" si="419"/>
        <v>0</v>
      </c>
    </row>
    <row r="767" spans="25:28" ht="12" customHeight="1">
      <c r="Y767" t="str">
        <f>'Green_rooibos initial weight'!A768</f>
        <v>G764</v>
      </c>
      <c r="Z767" t="str">
        <f>'Green_rooibos initial weight'!A1672</f>
        <v>R763</v>
      </c>
      <c r="AA767" t="b">
        <f t="shared" si="418"/>
        <v>0</v>
      </c>
      <c r="AB767" t="b">
        <f t="shared" si="419"/>
        <v>0</v>
      </c>
    </row>
    <row r="768" spans="25:28" ht="12" customHeight="1">
      <c r="Y768" t="str">
        <f>'Green_rooibos initial weight'!A769</f>
        <v>G765</v>
      </c>
      <c r="Z768" t="str">
        <f>'Green_rooibos initial weight'!A1673</f>
        <v>R764</v>
      </c>
      <c r="AA768" t="b">
        <f t="shared" si="418"/>
        <v>0</v>
      </c>
      <c r="AB768" t="b">
        <f t="shared" si="419"/>
        <v>0</v>
      </c>
    </row>
    <row r="769" spans="25:28" ht="12" customHeight="1">
      <c r="Y769" t="str">
        <f>'Green_rooibos initial weight'!A770</f>
        <v>G766</v>
      </c>
      <c r="Z769" t="str">
        <f>'Green_rooibos initial weight'!A1674</f>
        <v>R765</v>
      </c>
      <c r="AA769" t="b">
        <f t="shared" si="418"/>
        <v>0</v>
      </c>
      <c r="AB769" t="b">
        <f t="shared" si="419"/>
        <v>0</v>
      </c>
    </row>
    <row r="770" spans="25:28" ht="12" customHeight="1">
      <c r="Y770" t="str">
        <f>'Green_rooibos initial weight'!A771</f>
        <v>G767</v>
      </c>
      <c r="Z770" t="str">
        <f>'Green_rooibos initial weight'!A1675</f>
        <v>R766</v>
      </c>
      <c r="AA770" t="b">
        <f t="shared" si="418"/>
        <v>0</v>
      </c>
      <c r="AB770" t="b">
        <f t="shared" si="419"/>
        <v>0</v>
      </c>
    </row>
    <row r="771" spans="25:28" ht="12" customHeight="1">
      <c r="Y771" t="str">
        <f>'Green_rooibos initial weight'!A772</f>
        <v>G768</v>
      </c>
      <c r="Z771" t="str">
        <f>'Green_rooibos initial weight'!A1676</f>
        <v>R767</v>
      </c>
      <c r="AA771" t="b">
        <f t="shared" si="418"/>
        <v>0</v>
      </c>
      <c r="AB771" t="b">
        <f t="shared" si="419"/>
        <v>0</v>
      </c>
    </row>
    <row r="772" spans="25:28" ht="12" customHeight="1">
      <c r="Y772" t="str">
        <f>'Green_rooibos initial weight'!A773</f>
        <v>G769</v>
      </c>
      <c r="Z772" t="str">
        <f>'Green_rooibos initial weight'!A1677</f>
        <v>R768</v>
      </c>
      <c r="AA772" t="b">
        <f t="shared" si="418"/>
        <v>0</v>
      </c>
      <c r="AB772" t="b">
        <f t="shared" si="419"/>
        <v>0</v>
      </c>
    </row>
    <row r="773" spans="25:28" ht="12" customHeight="1">
      <c r="Y773" t="str">
        <f>'Green_rooibos initial weight'!A774</f>
        <v>G770</v>
      </c>
      <c r="Z773" t="str">
        <f>'Green_rooibos initial weight'!A1678</f>
        <v>R769</v>
      </c>
      <c r="AA773" t="b">
        <f t="shared" ref="AA773:AA836" si="420">COUNTIF($Y$4:$Y$2000, Y773)&gt;1</f>
        <v>0</v>
      </c>
      <c r="AB773" t="b">
        <f t="shared" ref="AB773:AB836" si="421">COUNTIF($Z$4:$Z$2000, Z773)&gt;1</f>
        <v>0</v>
      </c>
    </row>
    <row r="774" spans="25:28" ht="12" customHeight="1">
      <c r="Y774" t="str">
        <f>'Green_rooibos initial weight'!A775</f>
        <v>G771</v>
      </c>
      <c r="Z774" t="str">
        <f>'Green_rooibos initial weight'!A1679</f>
        <v>R770</v>
      </c>
      <c r="AA774" t="b">
        <f t="shared" si="420"/>
        <v>0</v>
      </c>
      <c r="AB774" t="b">
        <f t="shared" si="421"/>
        <v>0</v>
      </c>
    </row>
    <row r="775" spans="25:28" ht="12" customHeight="1">
      <c r="Y775" t="str">
        <f>'Green_rooibos initial weight'!A776</f>
        <v>G772</v>
      </c>
      <c r="Z775" t="str">
        <f>'Green_rooibos initial weight'!A1680</f>
        <v>R771</v>
      </c>
      <c r="AA775" t="b">
        <f t="shared" si="420"/>
        <v>0</v>
      </c>
      <c r="AB775" t="b">
        <f t="shared" si="421"/>
        <v>0</v>
      </c>
    </row>
    <row r="776" spans="25:28" ht="12" customHeight="1">
      <c r="Y776" t="str">
        <f>'Green_rooibos initial weight'!A777</f>
        <v>G773</v>
      </c>
      <c r="Z776" t="str">
        <f>'Green_rooibos initial weight'!A1681</f>
        <v>R772</v>
      </c>
      <c r="AA776" t="b">
        <f t="shared" si="420"/>
        <v>0</v>
      </c>
      <c r="AB776" t="b">
        <f t="shared" si="421"/>
        <v>0</v>
      </c>
    </row>
    <row r="777" spans="25:28" ht="12" customHeight="1">
      <c r="Y777" t="str">
        <f>'Green_rooibos initial weight'!A778</f>
        <v>G774</v>
      </c>
      <c r="Z777" t="str">
        <f>'Green_rooibos initial weight'!A1682</f>
        <v>R773</v>
      </c>
      <c r="AA777" t="b">
        <f t="shared" si="420"/>
        <v>0</v>
      </c>
      <c r="AB777" t="b">
        <f t="shared" si="421"/>
        <v>0</v>
      </c>
    </row>
    <row r="778" spans="25:28" ht="12" customHeight="1">
      <c r="Y778" t="str">
        <f>'Green_rooibos initial weight'!A779</f>
        <v>G775</v>
      </c>
      <c r="Z778" t="str">
        <f>'Green_rooibos initial weight'!A1683</f>
        <v>R774</v>
      </c>
      <c r="AA778" t="b">
        <f t="shared" si="420"/>
        <v>0</v>
      </c>
      <c r="AB778" t="b">
        <f t="shared" si="421"/>
        <v>0</v>
      </c>
    </row>
    <row r="779" spans="25:28" ht="12" customHeight="1">
      <c r="Y779" t="str">
        <f>'Green_rooibos initial weight'!A780</f>
        <v>G776</v>
      </c>
      <c r="Z779" t="str">
        <f>'Green_rooibos initial weight'!A1684</f>
        <v>R775</v>
      </c>
      <c r="AA779" t="b">
        <f t="shared" si="420"/>
        <v>0</v>
      </c>
      <c r="AB779" t="b">
        <f t="shared" si="421"/>
        <v>0</v>
      </c>
    </row>
    <row r="780" spans="25:28" ht="12" customHeight="1">
      <c r="Y780" t="str">
        <f>'Green_rooibos initial weight'!A781</f>
        <v>G777</v>
      </c>
      <c r="Z780" t="str">
        <f>'Green_rooibos initial weight'!A1685</f>
        <v>R776</v>
      </c>
      <c r="AA780" t="b">
        <f t="shared" si="420"/>
        <v>0</v>
      </c>
      <c r="AB780" t="b">
        <f t="shared" si="421"/>
        <v>0</v>
      </c>
    </row>
    <row r="781" spans="25:28" ht="12" customHeight="1">
      <c r="Y781" t="str">
        <f>'Green_rooibos initial weight'!A782</f>
        <v>G778</v>
      </c>
      <c r="Z781" t="str">
        <f>'Green_rooibos initial weight'!A1686</f>
        <v>R777</v>
      </c>
      <c r="AA781" t="b">
        <f t="shared" si="420"/>
        <v>0</v>
      </c>
      <c r="AB781" t="b">
        <f t="shared" si="421"/>
        <v>0</v>
      </c>
    </row>
    <row r="782" spans="25:28" ht="12" customHeight="1">
      <c r="Y782" t="str">
        <f>'Green_rooibos initial weight'!A783</f>
        <v>G779</v>
      </c>
      <c r="Z782" t="str">
        <f>'Green_rooibos initial weight'!A1687</f>
        <v>R778</v>
      </c>
      <c r="AA782" t="b">
        <f t="shared" si="420"/>
        <v>0</v>
      </c>
      <c r="AB782" t="b">
        <f t="shared" si="421"/>
        <v>0</v>
      </c>
    </row>
    <row r="783" spans="25:28" ht="12" customHeight="1">
      <c r="Y783" t="str">
        <f>'Green_rooibos initial weight'!A784</f>
        <v>G780</v>
      </c>
      <c r="Z783" t="str">
        <f>'Green_rooibos initial weight'!A1688</f>
        <v>R779</v>
      </c>
      <c r="AA783" t="b">
        <f t="shared" si="420"/>
        <v>0</v>
      </c>
      <c r="AB783" t="b">
        <f t="shared" si="421"/>
        <v>0</v>
      </c>
    </row>
    <row r="784" spans="25:28" ht="12" customHeight="1">
      <c r="Y784" t="str">
        <f>'Green_rooibos initial weight'!A785</f>
        <v>G781</v>
      </c>
      <c r="Z784" t="str">
        <f>'Green_rooibos initial weight'!A1689</f>
        <v>R780</v>
      </c>
      <c r="AA784" t="b">
        <f t="shared" si="420"/>
        <v>0</v>
      </c>
      <c r="AB784" t="b">
        <f t="shared" si="421"/>
        <v>0</v>
      </c>
    </row>
    <row r="785" spans="25:28" ht="12" customHeight="1">
      <c r="Y785" t="str">
        <f>'Green_rooibos initial weight'!A786</f>
        <v>G782</v>
      </c>
      <c r="Z785" t="str">
        <f>'Green_rooibos initial weight'!A1690</f>
        <v>R781</v>
      </c>
      <c r="AA785" t="b">
        <f t="shared" si="420"/>
        <v>0</v>
      </c>
      <c r="AB785" t="b">
        <f t="shared" si="421"/>
        <v>0</v>
      </c>
    </row>
    <row r="786" spans="25:28" ht="12" customHeight="1">
      <c r="Y786" t="str">
        <f>'Green_rooibos initial weight'!A787</f>
        <v>G783</v>
      </c>
      <c r="Z786" t="str">
        <f>'Green_rooibos initial weight'!A1691</f>
        <v>R782</v>
      </c>
      <c r="AA786" t="b">
        <f t="shared" si="420"/>
        <v>0</v>
      </c>
      <c r="AB786" t="b">
        <f t="shared" si="421"/>
        <v>0</v>
      </c>
    </row>
    <row r="787" spans="25:28" ht="12" customHeight="1">
      <c r="Y787" t="str">
        <f>'Green_rooibos initial weight'!A788</f>
        <v>G784</v>
      </c>
      <c r="Z787" t="str">
        <f>'Green_rooibos initial weight'!A1692</f>
        <v>R783</v>
      </c>
      <c r="AA787" t="b">
        <f t="shared" si="420"/>
        <v>0</v>
      </c>
      <c r="AB787" t="b">
        <f t="shared" si="421"/>
        <v>0</v>
      </c>
    </row>
    <row r="788" spans="25:28" ht="12" customHeight="1">
      <c r="Y788" t="str">
        <f>'Green_rooibos initial weight'!A789</f>
        <v>G785</v>
      </c>
      <c r="Z788" t="str">
        <f>'Green_rooibos initial weight'!A1693</f>
        <v>R784</v>
      </c>
      <c r="AA788" t="b">
        <f t="shared" si="420"/>
        <v>0</v>
      </c>
      <c r="AB788" t="b">
        <f t="shared" si="421"/>
        <v>0</v>
      </c>
    </row>
    <row r="789" spans="25:28" ht="12" customHeight="1">
      <c r="Y789" t="str">
        <f>'Green_rooibos initial weight'!A790</f>
        <v>G786</v>
      </c>
      <c r="Z789" t="str">
        <f>'Green_rooibos initial weight'!A1694</f>
        <v>R785</v>
      </c>
      <c r="AA789" t="b">
        <f t="shared" si="420"/>
        <v>0</v>
      </c>
      <c r="AB789" t="b">
        <f t="shared" si="421"/>
        <v>0</v>
      </c>
    </row>
    <row r="790" spans="25:28" ht="12" customHeight="1">
      <c r="Y790" t="str">
        <f>'Green_rooibos initial weight'!A791</f>
        <v>G787</v>
      </c>
      <c r="Z790" t="str">
        <f>'Green_rooibos initial weight'!A1695</f>
        <v>R786</v>
      </c>
      <c r="AA790" t="b">
        <f t="shared" si="420"/>
        <v>0</v>
      </c>
      <c r="AB790" t="b">
        <f t="shared" si="421"/>
        <v>0</v>
      </c>
    </row>
    <row r="791" spans="25:28" ht="12" customHeight="1">
      <c r="Y791" t="str">
        <f>'Green_rooibos initial weight'!A792</f>
        <v>G788</v>
      </c>
      <c r="Z791" t="str">
        <f>'Green_rooibos initial weight'!A1696</f>
        <v>R787</v>
      </c>
      <c r="AA791" t="b">
        <f t="shared" si="420"/>
        <v>0</v>
      </c>
      <c r="AB791" t="b">
        <f t="shared" si="421"/>
        <v>0</v>
      </c>
    </row>
    <row r="792" spans="25:28" ht="12" customHeight="1">
      <c r="Y792" t="str">
        <f>'Green_rooibos initial weight'!A793</f>
        <v>G789</v>
      </c>
      <c r="Z792" t="str">
        <f>'Green_rooibos initial weight'!A1697</f>
        <v>R788</v>
      </c>
      <c r="AA792" t="b">
        <f t="shared" si="420"/>
        <v>0</v>
      </c>
      <c r="AB792" t="b">
        <f t="shared" si="421"/>
        <v>0</v>
      </c>
    </row>
    <row r="793" spans="25:28" ht="12" customHeight="1">
      <c r="Y793" t="str">
        <f>'Green_rooibos initial weight'!A794</f>
        <v>G790</v>
      </c>
      <c r="Z793" t="str">
        <f>'Green_rooibos initial weight'!A1698</f>
        <v>R789</v>
      </c>
      <c r="AA793" t="b">
        <f t="shared" si="420"/>
        <v>0</v>
      </c>
      <c r="AB793" t="b">
        <f t="shared" si="421"/>
        <v>0</v>
      </c>
    </row>
    <row r="794" spans="25:28" ht="12" customHeight="1">
      <c r="Y794" t="str">
        <f>'Green_rooibos initial weight'!A795</f>
        <v>G791</v>
      </c>
      <c r="Z794" t="str">
        <f>'Green_rooibos initial weight'!A1699</f>
        <v>R790</v>
      </c>
      <c r="AA794" t="b">
        <f t="shared" si="420"/>
        <v>0</v>
      </c>
      <c r="AB794" t="b">
        <f t="shared" si="421"/>
        <v>0</v>
      </c>
    </row>
    <row r="795" spans="25:28" ht="12" customHeight="1">
      <c r="Y795" t="str">
        <f>'Green_rooibos initial weight'!A796</f>
        <v>G792</v>
      </c>
      <c r="Z795" t="str">
        <f>'Green_rooibos initial weight'!A1700</f>
        <v>R791</v>
      </c>
      <c r="AA795" t="b">
        <f t="shared" si="420"/>
        <v>0</v>
      </c>
      <c r="AB795" t="b">
        <f t="shared" si="421"/>
        <v>0</v>
      </c>
    </row>
    <row r="796" spans="25:28" ht="12" customHeight="1">
      <c r="Y796" t="str">
        <f>'Green_rooibos initial weight'!A797</f>
        <v>G793</v>
      </c>
      <c r="Z796" t="str">
        <f>'Green_rooibos initial weight'!A1701</f>
        <v>R792</v>
      </c>
      <c r="AA796" t="b">
        <f t="shared" si="420"/>
        <v>0</v>
      </c>
      <c r="AB796" t="b">
        <f t="shared" si="421"/>
        <v>0</v>
      </c>
    </row>
    <row r="797" spans="25:28" ht="12" customHeight="1">
      <c r="Y797" t="str">
        <f>'Green_rooibos initial weight'!A798</f>
        <v>G794</v>
      </c>
      <c r="Z797" t="str">
        <f>'Green_rooibos initial weight'!A1702</f>
        <v>R793</v>
      </c>
      <c r="AA797" t="b">
        <f t="shared" si="420"/>
        <v>0</v>
      </c>
      <c r="AB797" t="b">
        <f t="shared" si="421"/>
        <v>0</v>
      </c>
    </row>
    <row r="798" spans="25:28" ht="12" customHeight="1">
      <c r="Y798" t="str">
        <f>'Green_rooibos initial weight'!A799</f>
        <v>G795</v>
      </c>
      <c r="Z798" t="str">
        <f>'Green_rooibos initial weight'!A1703</f>
        <v>R794</v>
      </c>
      <c r="AA798" t="b">
        <f t="shared" si="420"/>
        <v>0</v>
      </c>
      <c r="AB798" t="b">
        <f t="shared" si="421"/>
        <v>0</v>
      </c>
    </row>
    <row r="799" spans="25:28" ht="12" customHeight="1">
      <c r="Y799" t="str">
        <f>'Green_rooibos initial weight'!A800</f>
        <v>G796</v>
      </c>
      <c r="Z799" t="str">
        <f>'Green_rooibos initial weight'!A1704</f>
        <v>R795</v>
      </c>
      <c r="AA799" t="b">
        <f t="shared" si="420"/>
        <v>0</v>
      </c>
      <c r="AB799" t="b">
        <f t="shared" si="421"/>
        <v>0</v>
      </c>
    </row>
    <row r="800" spans="25:28" ht="12" customHeight="1">
      <c r="Y800" t="str">
        <f>'Green_rooibos initial weight'!A801</f>
        <v>G797</v>
      </c>
      <c r="Z800" t="str">
        <f>'Green_rooibos initial weight'!A1705</f>
        <v>R796</v>
      </c>
      <c r="AA800" t="b">
        <f t="shared" si="420"/>
        <v>0</v>
      </c>
      <c r="AB800" t="b">
        <f t="shared" si="421"/>
        <v>0</v>
      </c>
    </row>
    <row r="801" spans="25:28" ht="12" customHeight="1">
      <c r="Y801" t="str">
        <f>'Green_rooibos initial weight'!A802</f>
        <v>G798</v>
      </c>
      <c r="Z801" t="str">
        <f>'Green_rooibos initial weight'!A1706</f>
        <v>R797</v>
      </c>
      <c r="AA801" t="b">
        <f t="shared" si="420"/>
        <v>0</v>
      </c>
      <c r="AB801" t="b">
        <f t="shared" si="421"/>
        <v>0</v>
      </c>
    </row>
    <row r="802" spans="25:28" ht="12" customHeight="1">
      <c r="Y802" t="str">
        <f>'Green_rooibos initial weight'!A803</f>
        <v>G799</v>
      </c>
      <c r="Z802" t="str">
        <f>'Green_rooibos initial weight'!A1707</f>
        <v>R798</v>
      </c>
      <c r="AA802" t="b">
        <f t="shared" si="420"/>
        <v>0</v>
      </c>
      <c r="AB802" t="b">
        <f t="shared" si="421"/>
        <v>0</v>
      </c>
    </row>
    <row r="803" spans="25:28" ht="12" customHeight="1">
      <c r="Y803" t="str">
        <f>'Green_rooibos initial weight'!A804</f>
        <v>G800</v>
      </c>
      <c r="Z803" t="str">
        <f>'Green_rooibos initial weight'!A1708</f>
        <v>R799</v>
      </c>
      <c r="AA803" t="b">
        <f t="shared" si="420"/>
        <v>0</v>
      </c>
      <c r="AB803" t="b">
        <f t="shared" si="421"/>
        <v>0</v>
      </c>
    </row>
    <row r="804" spans="25:28" ht="12" customHeight="1">
      <c r="Y804" t="str">
        <f>'Green_rooibos initial weight'!A805</f>
        <v>G801</v>
      </c>
      <c r="Z804" t="str">
        <f>'Green_rooibos initial weight'!A1709</f>
        <v>R800</v>
      </c>
      <c r="AA804" t="b">
        <f t="shared" si="420"/>
        <v>0</v>
      </c>
      <c r="AB804" t="b">
        <f t="shared" si="421"/>
        <v>0</v>
      </c>
    </row>
    <row r="805" spans="25:28" ht="12" customHeight="1">
      <c r="Y805" t="str">
        <f>'Green_rooibos initial weight'!A806</f>
        <v>G802</v>
      </c>
      <c r="Z805" t="str">
        <f>'Green_rooibos initial weight'!A1710</f>
        <v>R801</v>
      </c>
      <c r="AA805" t="b">
        <f t="shared" si="420"/>
        <v>0</v>
      </c>
      <c r="AB805" t="b">
        <f t="shared" si="421"/>
        <v>0</v>
      </c>
    </row>
    <row r="806" spans="25:28" ht="12" customHeight="1">
      <c r="Y806" t="str">
        <f>'Green_rooibos initial weight'!A807</f>
        <v>G803</v>
      </c>
      <c r="Z806" t="str">
        <f>'Green_rooibos initial weight'!A1711</f>
        <v>R802</v>
      </c>
      <c r="AA806" t="b">
        <f t="shared" si="420"/>
        <v>0</v>
      </c>
      <c r="AB806" t="b">
        <f t="shared" si="421"/>
        <v>0</v>
      </c>
    </row>
    <row r="807" spans="25:28" ht="12" customHeight="1">
      <c r="Y807" t="str">
        <f>'Green_rooibos initial weight'!A808</f>
        <v>G804</v>
      </c>
      <c r="Z807" t="str">
        <f>'Green_rooibos initial weight'!A1712</f>
        <v>R803</v>
      </c>
      <c r="AA807" t="b">
        <f t="shared" si="420"/>
        <v>0</v>
      </c>
      <c r="AB807" t="b">
        <f t="shared" si="421"/>
        <v>0</v>
      </c>
    </row>
    <row r="808" spans="25:28" ht="12" customHeight="1">
      <c r="Y808" t="str">
        <f>'Green_rooibos initial weight'!A809</f>
        <v>G805</v>
      </c>
      <c r="Z808" t="str">
        <f>'Green_rooibos initial weight'!A1713</f>
        <v>R804</v>
      </c>
      <c r="AA808" t="b">
        <f t="shared" si="420"/>
        <v>0</v>
      </c>
      <c r="AB808" t="b">
        <f t="shared" si="421"/>
        <v>0</v>
      </c>
    </row>
    <row r="809" spans="25:28" ht="12" customHeight="1">
      <c r="Y809" t="str">
        <f>'Green_rooibos initial weight'!A810</f>
        <v>G806</v>
      </c>
      <c r="Z809" t="str">
        <f>'Green_rooibos initial weight'!A1714</f>
        <v>R805</v>
      </c>
      <c r="AA809" t="b">
        <f t="shared" si="420"/>
        <v>0</v>
      </c>
      <c r="AB809" t="b">
        <f t="shared" si="421"/>
        <v>0</v>
      </c>
    </row>
    <row r="810" spans="25:28" ht="12" customHeight="1">
      <c r="Y810" t="str">
        <f>'Green_rooibos initial weight'!A811</f>
        <v>G807</v>
      </c>
      <c r="Z810" t="str">
        <f>'Green_rooibos initial weight'!A1715</f>
        <v>R806</v>
      </c>
      <c r="AA810" t="b">
        <f t="shared" si="420"/>
        <v>0</v>
      </c>
      <c r="AB810" t="b">
        <f t="shared" si="421"/>
        <v>0</v>
      </c>
    </row>
    <row r="811" spans="25:28" ht="12" customHeight="1">
      <c r="Y811" t="str">
        <f>'Green_rooibos initial weight'!A812</f>
        <v>G808</v>
      </c>
      <c r="Z811" t="str">
        <f>'Green_rooibos initial weight'!A1716</f>
        <v>R807</v>
      </c>
      <c r="AA811" t="b">
        <f t="shared" si="420"/>
        <v>0</v>
      </c>
      <c r="AB811" t="b">
        <f t="shared" si="421"/>
        <v>0</v>
      </c>
    </row>
    <row r="812" spans="25:28" ht="12" customHeight="1">
      <c r="Y812" t="str">
        <f>'Green_rooibos initial weight'!A813</f>
        <v>G809</v>
      </c>
      <c r="Z812" t="str">
        <f>'Green_rooibos initial weight'!A1717</f>
        <v>R808</v>
      </c>
      <c r="AA812" t="b">
        <f t="shared" si="420"/>
        <v>0</v>
      </c>
      <c r="AB812" t="b">
        <f t="shared" si="421"/>
        <v>0</v>
      </c>
    </row>
    <row r="813" spans="25:28" ht="12" customHeight="1">
      <c r="Y813" t="str">
        <f>'Green_rooibos initial weight'!A814</f>
        <v>G810</v>
      </c>
      <c r="Z813" t="str">
        <f>'Green_rooibos initial weight'!A1718</f>
        <v>R809</v>
      </c>
      <c r="AA813" t="b">
        <f t="shared" si="420"/>
        <v>0</v>
      </c>
      <c r="AB813" t="b">
        <f t="shared" si="421"/>
        <v>0</v>
      </c>
    </row>
    <row r="814" spans="25:28" ht="12" customHeight="1">
      <c r="Y814" t="str">
        <f>'Green_rooibos initial weight'!A815</f>
        <v>G811</v>
      </c>
      <c r="Z814" t="str">
        <f>'Green_rooibos initial weight'!A1719</f>
        <v>R810</v>
      </c>
      <c r="AA814" t="b">
        <f t="shared" si="420"/>
        <v>0</v>
      </c>
      <c r="AB814" t="b">
        <f t="shared" si="421"/>
        <v>0</v>
      </c>
    </row>
    <row r="815" spans="25:28" ht="12" customHeight="1">
      <c r="Y815" t="str">
        <f>'Green_rooibos initial weight'!A816</f>
        <v>G812</v>
      </c>
      <c r="Z815" t="str">
        <f>'Green_rooibos initial weight'!A1720</f>
        <v>R811</v>
      </c>
      <c r="AA815" t="b">
        <f t="shared" si="420"/>
        <v>0</v>
      </c>
      <c r="AB815" t="b">
        <f t="shared" si="421"/>
        <v>0</v>
      </c>
    </row>
    <row r="816" spans="25:28" ht="12" customHeight="1">
      <c r="Y816" t="str">
        <f>'Green_rooibos initial weight'!A817</f>
        <v>G813</v>
      </c>
      <c r="Z816" t="str">
        <f>'Green_rooibos initial weight'!A1721</f>
        <v>R812</v>
      </c>
      <c r="AA816" t="b">
        <f t="shared" si="420"/>
        <v>0</v>
      </c>
      <c r="AB816" t="b">
        <f t="shared" si="421"/>
        <v>0</v>
      </c>
    </row>
    <row r="817" spans="25:28" ht="12" customHeight="1">
      <c r="Y817" t="str">
        <f>'Green_rooibos initial weight'!A818</f>
        <v>G814</v>
      </c>
      <c r="Z817" t="str">
        <f>'Green_rooibos initial weight'!A1722</f>
        <v>R813</v>
      </c>
      <c r="AA817" t="b">
        <f t="shared" si="420"/>
        <v>0</v>
      </c>
      <c r="AB817" t="b">
        <f t="shared" si="421"/>
        <v>0</v>
      </c>
    </row>
    <row r="818" spans="25:28" ht="12" customHeight="1">
      <c r="Y818" t="str">
        <f>'Green_rooibos initial weight'!A819</f>
        <v>G815</v>
      </c>
      <c r="Z818" t="str">
        <f>'Green_rooibos initial weight'!A1723</f>
        <v>R814</v>
      </c>
      <c r="AA818" t="b">
        <f t="shared" si="420"/>
        <v>0</v>
      </c>
      <c r="AB818" t="b">
        <f t="shared" si="421"/>
        <v>0</v>
      </c>
    </row>
    <row r="819" spans="25:28" ht="12" customHeight="1">
      <c r="Y819" t="str">
        <f>'Green_rooibos initial weight'!A820</f>
        <v>G816</v>
      </c>
      <c r="Z819" t="str">
        <f>'Green_rooibos initial weight'!A1724</f>
        <v>R815</v>
      </c>
      <c r="AA819" t="b">
        <f t="shared" si="420"/>
        <v>0</v>
      </c>
      <c r="AB819" t="b">
        <f t="shared" si="421"/>
        <v>0</v>
      </c>
    </row>
    <row r="820" spans="25:28" ht="12" customHeight="1">
      <c r="Y820" t="str">
        <f>'Green_rooibos initial weight'!A821</f>
        <v>G817</v>
      </c>
      <c r="Z820" t="str">
        <f>'Green_rooibos initial weight'!A1725</f>
        <v>R816</v>
      </c>
      <c r="AA820" t="b">
        <f t="shared" si="420"/>
        <v>0</v>
      </c>
      <c r="AB820" t="b">
        <f t="shared" si="421"/>
        <v>0</v>
      </c>
    </row>
    <row r="821" spans="25:28" ht="12" customHeight="1">
      <c r="Y821" t="str">
        <f>'Green_rooibos initial weight'!A822</f>
        <v>G818</v>
      </c>
      <c r="Z821" t="str">
        <f>'Green_rooibos initial weight'!A1726</f>
        <v>R817</v>
      </c>
      <c r="AA821" t="b">
        <f t="shared" si="420"/>
        <v>0</v>
      </c>
      <c r="AB821" t="b">
        <f t="shared" si="421"/>
        <v>0</v>
      </c>
    </row>
    <row r="822" spans="25:28" ht="12" customHeight="1">
      <c r="Y822" t="str">
        <f>'Green_rooibos initial weight'!A823</f>
        <v>G819</v>
      </c>
      <c r="Z822" t="str">
        <f>'Green_rooibos initial weight'!A1727</f>
        <v>R818</v>
      </c>
      <c r="AA822" t="b">
        <f t="shared" si="420"/>
        <v>0</v>
      </c>
      <c r="AB822" t="b">
        <f t="shared" si="421"/>
        <v>0</v>
      </c>
    </row>
    <row r="823" spans="25:28" ht="12" customHeight="1">
      <c r="Y823" t="str">
        <f>'Green_rooibos initial weight'!A824</f>
        <v>G820</v>
      </c>
      <c r="Z823" t="str">
        <f>'Green_rooibos initial weight'!A1728</f>
        <v>R819</v>
      </c>
      <c r="AA823" t="b">
        <f t="shared" si="420"/>
        <v>0</v>
      </c>
      <c r="AB823" t="b">
        <f t="shared" si="421"/>
        <v>0</v>
      </c>
    </row>
    <row r="824" spans="25:28" ht="12" customHeight="1">
      <c r="Y824" t="str">
        <f>'Green_rooibos initial weight'!A825</f>
        <v>G821</v>
      </c>
      <c r="Z824" t="str">
        <f>'Green_rooibos initial weight'!A1729</f>
        <v>R820</v>
      </c>
      <c r="AA824" t="b">
        <f t="shared" si="420"/>
        <v>0</v>
      </c>
      <c r="AB824" t="b">
        <f t="shared" si="421"/>
        <v>0</v>
      </c>
    </row>
    <row r="825" spans="25:28" ht="12" customHeight="1">
      <c r="Y825" t="str">
        <f>'Green_rooibos initial weight'!A826</f>
        <v>G822</v>
      </c>
      <c r="Z825" t="str">
        <f>'Green_rooibos initial weight'!A1730</f>
        <v>R821</v>
      </c>
      <c r="AA825" t="b">
        <f t="shared" si="420"/>
        <v>0</v>
      </c>
      <c r="AB825" t="b">
        <f t="shared" si="421"/>
        <v>0</v>
      </c>
    </row>
    <row r="826" spans="25:28" ht="12" customHeight="1">
      <c r="Y826" t="str">
        <f>'Green_rooibos initial weight'!A827</f>
        <v>G823</v>
      </c>
      <c r="Z826" t="str">
        <f>'Green_rooibos initial weight'!A1731</f>
        <v>R822</v>
      </c>
      <c r="AA826" t="b">
        <f t="shared" si="420"/>
        <v>0</v>
      </c>
      <c r="AB826" t="b">
        <f t="shared" si="421"/>
        <v>0</v>
      </c>
    </row>
    <row r="827" spans="25:28" ht="12" customHeight="1">
      <c r="Y827" t="str">
        <f>'Green_rooibos initial weight'!A828</f>
        <v>G824</v>
      </c>
      <c r="Z827" t="str">
        <f>'Green_rooibos initial weight'!A1732</f>
        <v>R823</v>
      </c>
      <c r="AA827" t="b">
        <f t="shared" si="420"/>
        <v>0</v>
      </c>
      <c r="AB827" t="b">
        <f t="shared" si="421"/>
        <v>0</v>
      </c>
    </row>
    <row r="828" spans="25:28" ht="12" customHeight="1">
      <c r="Y828" t="str">
        <f>'Green_rooibos initial weight'!A829</f>
        <v>G825</v>
      </c>
      <c r="Z828" t="str">
        <f>'Green_rooibos initial weight'!A1733</f>
        <v>R824</v>
      </c>
      <c r="AA828" t="b">
        <f t="shared" si="420"/>
        <v>0</v>
      </c>
      <c r="AB828" t="b">
        <f t="shared" si="421"/>
        <v>0</v>
      </c>
    </row>
    <row r="829" spans="25:28" ht="12" customHeight="1">
      <c r="Y829" t="str">
        <f>'Green_rooibos initial weight'!A830</f>
        <v>G826</v>
      </c>
      <c r="Z829" t="str">
        <f>'Green_rooibos initial weight'!A1734</f>
        <v>R825</v>
      </c>
      <c r="AA829" t="b">
        <f t="shared" si="420"/>
        <v>0</v>
      </c>
      <c r="AB829" t="b">
        <f t="shared" si="421"/>
        <v>0</v>
      </c>
    </row>
    <row r="830" spans="25:28" ht="12" customHeight="1">
      <c r="Y830" t="str">
        <f>'Green_rooibos initial weight'!A831</f>
        <v>G827</v>
      </c>
      <c r="Z830" t="str">
        <f>'Green_rooibos initial weight'!A1735</f>
        <v>R826</v>
      </c>
      <c r="AA830" t="b">
        <f t="shared" si="420"/>
        <v>0</v>
      </c>
      <c r="AB830" t="b">
        <f t="shared" si="421"/>
        <v>0</v>
      </c>
    </row>
    <row r="831" spans="25:28" ht="12" customHeight="1">
      <c r="Y831" t="str">
        <f>'Green_rooibos initial weight'!A832</f>
        <v>G828</v>
      </c>
      <c r="Z831" t="str">
        <f>'Green_rooibos initial weight'!A1736</f>
        <v>R827</v>
      </c>
      <c r="AA831" t="b">
        <f t="shared" si="420"/>
        <v>0</v>
      </c>
      <c r="AB831" t="b">
        <f t="shared" si="421"/>
        <v>0</v>
      </c>
    </row>
    <row r="832" spans="25:28" ht="12" customHeight="1">
      <c r="Y832" t="str">
        <f>'Green_rooibos initial weight'!A833</f>
        <v>G829</v>
      </c>
      <c r="Z832" t="str">
        <f>'Green_rooibos initial weight'!A1737</f>
        <v>R828</v>
      </c>
      <c r="AA832" t="b">
        <f t="shared" si="420"/>
        <v>0</v>
      </c>
      <c r="AB832" t="b">
        <f t="shared" si="421"/>
        <v>0</v>
      </c>
    </row>
    <row r="833" spans="25:28" ht="12" customHeight="1">
      <c r="Y833" t="str">
        <f>'Green_rooibos initial weight'!A834</f>
        <v>G830</v>
      </c>
      <c r="Z833" t="str">
        <f>'Green_rooibos initial weight'!A1738</f>
        <v>R829</v>
      </c>
      <c r="AA833" t="b">
        <f t="shared" si="420"/>
        <v>0</v>
      </c>
      <c r="AB833" t="b">
        <f t="shared" si="421"/>
        <v>0</v>
      </c>
    </row>
    <row r="834" spans="25:28" ht="12" customHeight="1">
      <c r="Y834" t="str">
        <f>'Green_rooibos initial weight'!A835</f>
        <v>G831</v>
      </c>
      <c r="Z834" t="str">
        <f>'Green_rooibos initial weight'!A1739</f>
        <v>R830</v>
      </c>
      <c r="AA834" t="b">
        <f t="shared" si="420"/>
        <v>0</v>
      </c>
      <c r="AB834" t="b">
        <f t="shared" si="421"/>
        <v>0</v>
      </c>
    </row>
    <row r="835" spans="25:28" ht="12" customHeight="1">
      <c r="Y835" t="str">
        <f>'Green_rooibos initial weight'!A836</f>
        <v>G832</v>
      </c>
      <c r="Z835" t="str">
        <f>'Green_rooibos initial weight'!A1740</f>
        <v>R831</v>
      </c>
      <c r="AA835" t="b">
        <f t="shared" si="420"/>
        <v>0</v>
      </c>
      <c r="AB835" t="b">
        <f t="shared" si="421"/>
        <v>0</v>
      </c>
    </row>
    <row r="836" spans="25:28" ht="12" customHeight="1">
      <c r="Y836" t="str">
        <f>'Green_rooibos initial weight'!A837</f>
        <v>G833</v>
      </c>
      <c r="Z836" t="str">
        <f>'Green_rooibos initial weight'!A1741</f>
        <v>R832</v>
      </c>
      <c r="AA836" t="b">
        <f t="shared" si="420"/>
        <v>0</v>
      </c>
      <c r="AB836" t="b">
        <f t="shared" si="421"/>
        <v>0</v>
      </c>
    </row>
    <row r="837" spans="25:28" ht="12" customHeight="1">
      <c r="Y837" t="str">
        <f>'Green_rooibos initial weight'!A838</f>
        <v>G834</v>
      </c>
      <c r="Z837" t="str">
        <f>'Green_rooibos initial weight'!A1742</f>
        <v>R833</v>
      </c>
      <c r="AA837" t="b">
        <f t="shared" ref="AA837:AA900" si="422">COUNTIF($Y$4:$Y$2000, Y837)&gt;1</f>
        <v>0</v>
      </c>
      <c r="AB837" t="b">
        <f t="shared" ref="AB837:AB900" si="423">COUNTIF($Z$4:$Z$2000, Z837)&gt;1</f>
        <v>0</v>
      </c>
    </row>
    <row r="838" spans="25:28" ht="12" customHeight="1">
      <c r="Y838" t="str">
        <f>'Green_rooibos initial weight'!A839</f>
        <v>G835</v>
      </c>
      <c r="Z838" t="str">
        <f>'Green_rooibos initial weight'!A1743</f>
        <v>R834</v>
      </c>
      <c r="AA838" t="b">
        <f t="shared" si="422"/>
        <v>0</v>
      </c>
      <c r="AB838" t="b">
        <f t="shared" si="423"/>
        <v>0</v>
      </c>
    </row>
    <row r="839" spans="25:28" ht="12" customHeight="1">
      <c r="Y839" t="str">
        <f>'Green_rooibos initial weight'!A840</f>
        <v>G836</v>
      </c>
      <c r="Z839" t="str">
        <f>'Green_rooibos initial weight'!A1744</f>
        <v>R835</v>
      </c>
      <c r="AA839" t="b">
        <f t="shared" si="422"/>
        <v>0</v>
      </c>
      <c r="AB839" t="b">
        <f t="shared" si="423"/>
        <v>0</v>
      </c>
    </row>
    <row r="840" spans="25:28" ht="12" customHeight="1">
      <c r="Y840" t="str">
        <f>'Green_rooibos initial weight'!A841</f>
        <v>G837</v>
      </c>
      <c r="Z840" t="str">
        <f>'Green_rooibos initial weight'!A1745</f>
        <v>R836</v>
      </c>
      <c r="AA840" t="b">
        <f t="shared" si="422"/>
        <v>0</v>
      </c>
      <c r="AB840" t="b">
        <f t="shared" si="423"/>
        <v>0</v>
      </c>
    </row>
    <row r="841" spans="25:28" ht="12" customHeight="1">
      <c r="Y841" t="str">
        <f>'Green_rooibos initial weight'!A842</f>
        <v>G838</v>
      </c>
      <c r="Z841" t="str">
        <f>'Green_rooibos initial weight'!A1746</f>
        <v>R837</v>
      </c>
      <c r="AA841" t="b">
        <f t="shared" si="422"/>
        <v>0</v>
      </c>
      <c r="AB841" t="b">
        <f t="shared" si="423"/>
        <v>0</v>
      </c>
    </row>
    <row r="842" spans="25:28" ht="12" customHeight="1">
      <c r="Y842" t="str">
        <f>'Green_rooibos initial weight'!A843</f>
        <v>G839</v>
      </c>
      <c r="Z842" t="str">
        <f>'Green_rooibos initial weight'!A1747</f>
        <v>R838</v>
      </c>
      <c r="AA842" t="b">
        <f t="shared" si="422"/>
        <v>0</v>
      </c>
      <c r="AB842" t="b">
        <f t="shared" si="423"/>
        <v>0</v>
      </c>
    </row>
    <row r="843" spans="25:28" ht="12" customHeight="1">
      <c r="Y843" t="str">
        <f>'Green_rooibos initial weight'!A844</f>
        <v>G840</v>
      </c>
      <c r="Z843" t="str">
        <f>'Green_rooibos initial weight'!A1748</f>
        <v>R839</v>
      </c>
      <c r="AA843" t="b">
        <f t="shared" si="422"/>
        <v>0</v>
      </c>
      <c r="AB843" t="b">
        <f t="shared" si="423"/>
        <v>0</v>
      </c>
    </row>
    <row r="844" spans="25:28" ht="12" customHeight="1">
      <c r="Y844" t="str">
        <f>'Green_rooibos initial weight'!A845</f>
        <v>G841</v>
      </c>
      <c r="Z844" t="str">
        <f>'Green_rooibos initial weight'!A1749</f>
        <v>R840</v>
      </c>
      <c r="AA844" t="b">
        <f t="shared" si="422"/>
        <v>0</v>
      </c>
      <c r="AB844" t="b">
        <f t="shared" si="423"/>
        <v>0</v>
      </c>
    </row>
    <row r="845" spans="25:28" ht="12" customHeight="1">
      <c r="Y845" t="str">
        <f>'Green_rooibos initial weight'!A846</f>
        <v>G842</v>
      </c>
      <c r="Z845">
        <f>'Green_rooibos initial weight'!A1750</f>
        <v>0</v>
      </c>
      <c r="AA845" t="b">
        <f t="shared" si="422"/>
        <v>0</v>
      </c>
      <c r="AB845" t="b">
        <f t="shared" si="423"/>
        <v>1</v>
      </c>
    </row>
    <row r="846" spans="25:28" ht="12" customHeight="1">
      <c r="Y846" t="str">
        <f>'Green_rooibos initial weight'!A847</f>
        <v>G843</v>
      </c>
      <c r="Z846">
        <f>'Green_rooibos initial weight'!A1751</f>
        <v>0</v>
      </c>
      <c r="AA846" t="b">
        <f t="shared" si="422"/>
        <v>0</v>
      </c>
      <c r="AB846" t="b">
        <f t="shared" si="423"/>
        <v>1</v>
      </c>
    </row>
    <row r="847" spans="25:28" ht="12" customHeight="1">
      <c r="Y847" t="str">
        <f>'Green_rooibos initial weight'!A848</f>
        <v>G844</v>
      </c>
      <c r="Z847">
        <f>'Green_rooibos initial weight'!A1752</f>
        <v>0</v>
      </c>
      <c r="AA847" t="b">
        <f t="shared" si="422"/>
        <v>0</v>
      </c>
      <c r="AB847" t="b">
        <f t="shared" si="423"/>
        <v>1</v>
      </c>
    </row>
    <row r="848" spans="25:28" ht="12" customHeight="1">
      <c r="Y848" t="str">
        <f>'Green_rooibos initial weight'!A849</f>
        <v>G845</v>
      </c>
      <c r="Z848">
        <f>'Green_rooibos initial weight'!A1753</f>
        <v>0</v>
      </c>
      <c r="AA848" t="b">
        <f t="shared" si="422"/>
        <v>0</v>
      </c>
      <c r="AB848" t="b">
        <f t="shared" si="423"/>
        <v>1</v>
      </c>
    </row>
    <row r="849" spans="25:28" ht="12" customHeight="1">
      <c r="Y849" t="str">
        <f>'Green_rooibos initial weight'!A850</f>
        <v>G846</v>
      </c>
      <c r="Z849">
        <f>'Green_rooibos initial weight'!A1754</f>
        <v>0</v>
      </c>
      <c r="AA849" t="b">
        <f t="shared" si="422"/>
        <v>0</v>
      </c>
      <c r="AB849" t="b">
        <f t="shared" si="423"/>
        <v>1</v>
      </c>
    </row>
    <row r="850" spans="25:28" ht="12" customHeight="1">
      <c r="Y850" t="str">
        <f>'Green_rooibos initial weight'!A851</f>
        <v>G847</v>
      </c>
      <c r="Z850">
        <f>'Green_rooibos initial weight'!A1755</f>
        <v>0</v>
      </c>
      <c r="AA850" t="b">
        <f t="shared" si="422"/>
        <v>0</v>
      </c>
      <c r="AB850" t="b">
        <f t="shared" si="423"/>
        <v>1</v>
      </c>
    </row>
    <row r="851" spans="25:28" ht="12" customHeight="1">
      <c r="Y851" t="str">
        <f>'Green_rooibos initial weight'!A852</f>
        <v>G848</v>
      </c>
      <c r="Z851">
        <f>'Green_rooibos initial weight'!A1756</f>
        <v>0</v>
      </c>
      <c r="AA851" t="b">
        <f t="shared" si="422"/>
        <v>0</v>
      </c>
      <c r="AB851" t="b">
        <f t="shared" si="423"/>
        <v>1</v>
      </c>
    </row>
    <row r="852" spans="25:28" ht="12" customHeight="1">
      <c r="Y852" t="str">
        <f>'Green_rooibos initial weight'!A853</f>
        <v>G849</v>
      </c>
      <c r="Z852">
        <f>'Green_rooibos initial weight'!A1757</f>
        <v>0</v>
      </c>
      <c r="AA852" t="b">
        <f t="shared" si="422"/>
        <v>0</v>
      </c>
      <c r="AB852" t="b">
        <f t="shared" si="423"/>
        <v>1</v>
      </c>
    </row>
    <row r="853" spans="25:28" ht="12" customHeight="1">
      <c r="Y853" t="str">
        <f>'Green_rooibos initial weight'!A854</f>
        <v>G850</v>
      </c>
      <c r="Z853">
        <f>'Green_rooibos initial weight'!A1758</f>
        <v>0</v>
      </c>
      <c r="AA853" t="b">
        <f t="shared" si="422"/>
        <v>0</v>
      </c>
      <c r="AB853" t="b">
        <f t="shared" si="423"/>
        <v>1</v>
      </c>
    </row>
    <row r="854" spans="25:28" ht="12" customHeight="1">
      <c r="Y854" t="str">
        <f>'Green_rooibos initial weight'!A855</f>
        <v>G851</v>
      </c>
      <c r="Z854">
        <f>'Green_rooibos initial weight'!A1759</f>
        <v>0</v>
      </c>
      <c r="AA854" t="b">
        <f t="shared" si="422"/>
        <v>0</v>
      </c>
      <c r="AB854" t="b">
        <f t="shared" si="423"/>
        <v>1</v>
      </c>
    </row>
    <row r="855" spans="25:28" ht="12" customHeight="1">
      <c r="Y855" t="str">
        <f>'Green_rooibos initial weight'!A856</f>
        <v>G852</v>
      </c>
      <c r="Z855">
        <f>'Green_rooibos initial weight'!A1760</f>
        <v>0</v>
      </c>
      <c r="AA855" t="b">
        <f t="shared" si="422"/>
        <v>0</v>
      </c>
      <c r="AB855" t="b">
        <f t="shared" si="423"/>
        <v>1</v>
      </c>
    </row>
    <row r="856" spans="25:28" ht="12" customHeight="1">
      <c r="Y856" t="str">
        <f>'Green_rooibos initial weight'!A857</f>
        <v>G853</v>
      </c>
      <c r="Z856">
        <f>'Green_rooibos initial weight'!A1761</f>
        <v>0</v>
      </c>
      <c r="AA856" t="b">
        <f t="shared" si="422"/>
        <v>0</v>
      </c>
      <c r="AB856" t="b">
        <f t="shared" si="423"/>
        <v>1</v>
      </c>
    </row>
    <row r="857" spans="25:28" ht="12" customHeight="1">
      <c r="Y857" t="str">
        <f>'Green_rooibos initial weight'!A858</f>
        <v>G854</v>
      </c>
      <c r="Z857">
        <f>'Green_rooibos initial weight'!A1762</f>
        <v>0</v>
      </c>
      <c r="AA857" t="b">
        <f t="shared" si="422"/>
        <v>0</v>
      </c>
      <c r="AB857" t="b">
        <f t="shared" si="423"/>
        <v>1</v>
      </c>
    </row>
    <row r="858" spans="25:28" ht="12" customHeight="1">
      <c r="Y858" t="str">
        <f>'Green_rooibos initial weight'!A859</f>
        <v>G855</v>
      </c>
      <c r="Z858">
        <f>'Green_rooibos initial weight'!A1763</f>
        <v>0</v>
      </c>
      <c r="AA858" t="b">
        <f t="shared" si="422"/>
        <v>0</v>
      </c>
      <c r="AB858" t="b">
        <f t="shared" si="423"/>
        <v>1</v>
      </c>
    </row>
    <row r="859" spans="25:28" ht="12" customHeight="1">
      <c r="Y859" t="str">
        <f>'Green_rooibos initial weight'!A860</f>
        <v>G856</v>
      </c>
      <c r="Z859">
        <f>'Green_rooibos initial weight'!A1764</f>
        <v>0</v>
      </c>
      <c r="AA859" t="b">
        <f t="shared" si="422"/>
        <v>0</v>
      </c>
      <c r="AB859" t="b">
        <f t="shared" si="423"/>
        <v>1</v>
      </c>
    </row>
    <row r="860" spans="25:28" ht="12" customHeight="1">
      <c r="Y860" t="str">
        <f>'Green_rooibos initial weight'!A861</f>
        <v>G857</v>
      </c>
      <c r="Z860">
        <f>'Green_rooibos initial weight'!A1765</f>
        <v>0</v>
      </c>
      <c r="AA860" t="b">
        <f t="shared" si="422"/>
        <v>0</v>
      </c>
      <c r="AB860" t="b">
        <f t="shared" si="423"/>
        <v>1</v>
      </c>
    </row>
    <row r="861" spans="25:28" ht="12" customHeight="1">
      <c r="Y861" t="str">
        <f>'Green_rooibos initial weight'!A862</f>
        <v>G858</v>
      </c>
      <c r="Z861">
        <f>'Green_rooibos initial weight'!A1766</f>
        <v>0</v>
      </c>
      <c r="AA861" t="b">
        <f t="shared" si="422"/>
        <v>0</v>
      </c>
      <c r="AB861" t="b">
        <f t="shared" si="423"/>
        <v>1</v>
      </c>
    </row>
    <row r="862" spans="25:28" ht="12" customHeight="1">
      <c r="Y862" t="str">
        <f>'Green_rooibos initial weight'!A863</f>
        <v>G859</v>
      </c>
      <c r="Z862">
        <f>'Green_rooibos initial weight'!A1767</f>
        <v>0</v>
      </c>
      <c r="AA862" t="b">
        <f t="shared" si="422"/>
        <v>0</v>
      </c>
      <c r="AB862" t="b">
        <f t="shared" si="423"/>
        <v>1</v>
      </c>
    </row>
    <row r="863" spans="25:28" ht="12" customHeight="1">
      <c r="Y863" t="str">
        <f>'Green_rooibos initial weight'!A864</f>
        <v>G860</v>
      </c>
      <c r="Z863">
        <f>'Green_rooibos initial weight'!A1768</f>
        <v>0</v>
      </c>
      <c r="AA863" t="b">
        <f t="shared" si="422"/>
        <v>0</v>
      </c>
      <c r="AB863" t="b">
        <f t="shared" si="423"/>
        <v>1</v>
      </c>
    </row>
    <row r="864" spans="25:28" ht="12" customHeight="1">
      <c r="Y864" t="str">
        <f>'Green_rooibos initial weight'!A865</f>
        <v>G861</v>
      </c>
      <c r="Z864">
        <f>'Green_rooibos initial weight'!A1769</f>
        <v>0</v>
      </c>
      <c r="AA864" t="b">
        <f t="shared" si="422"/>
        <v>0</v>
      </c>
      <c r="AB864" t="b">
        <f t="shared" si="423"/>
        <v>1</v>
      </c>
    </row>
    <row r="865" spans="25:28" ht="12" customHeight="1">
      <c r="Y865" t="str">
        <f>'Green_rooibos initial weight'!A866</f>
        <v>G862</v>
      </c>
      <c r="Z865">
        <f>'Green_rooibos initial weight'!A1770</f>
        <v>0</v>
      </c>
      <c r="AA865" t="b">
        <f t="shared" si="422"/>
        <v>0</v>
      </c>
      <c r="AB865" t="b">
        <f t="shared" si="423"/>
        <v>1</v>
      </c>
    </row>
    <row r="866" spans="25:28" ht="12" customHeight="1">
      <c r="Y866" t="str">
        <f>'Green_rooibos initial weight'!A867</f>
        <v>G863</v>
      </c>
      <c r="Z866">
        <f>'Green_rooibos initial weight'!A1771</f>
        <v>0</v>
      </c>
      <c r="AA866" t="b">
        <f t="shared" si="422"/>
        <v>0</v>
      </c>
      <c r="AB866" t="b">
        <f t="shared" si="423"/>
        <v>1</v>
      </c>
    </row>
    <row r="867" spans="25:28" ht="12" customHeight="1">
      <c r="Y867" t="str">
        <f>'Green_rooibos initial weight'!A868</f>
        <v>G864</v>
      </c>
      <c r="Z867">
        <f>'Green_rooibos initial weight'!A1772</f>
        <v>0</v>
      </c>
      <c r="AA867" t="b">
        <f t="shared" si="422"/>
        <v>0</v>
      </c>
      <c r="AB867" t="b">
        <f t="shared" si="423"/>
        <v>1</v>
      </c>
    </row>
    <row r="868" spans="25:28" ht="12" customHeight="1">
      <c r="Y868" t="str">
        <f>'Green_rooibos initial weight'!A869</f>
        <v>G865</v>
      </c>
      <c r="Z868">
        <f>'Green_rooibos initial weight'!A1773</f>
        <v>0</v>
      </c>
      <c r="AA868" t="b">
        <f t="shared" si="422"/>
        <v>0</v>
      </c>
      <c r="AB868" t="b">
        <f t="shared" si="423"/>
        <v>1</v>
      </c>
    </row>
    <row r="869" spans="25:28" ht="12" customHeight="1">
      <c r="Y869" t="str">
        <f>'Green_rooibos initial weight'!A870</f>
        <v>G866</v>
      </c>
      <c r="Z869">
        <f>'Green_rooibos initial weight'!A1774</f>
        <v>0</v>
      </c>
      <c r="AA869" t="b">
        <f t="shared" si="422"/>
        <v>0</v>
      </c>
      <c r="AB869" t="b">
        <f t="shared" si="423"/>
        <v>1</v>
      </c>
    </row>
    <row r="870" spans="25:28" ht="12" customHeight="1">
      <c r="Y870" t="str">
        <f>'Green_rooibos initial weight'!A871</f>
        <v>G867</v>
      </c>
      <c r="Z870">
        <f>'Green_rooibos initial weight'!A1775</f>
        <v>0</v>
      </c>
      <c r="AA870" t="b">
        <f t="shared" si="422"/>
        <v>0</v>
      </c>
      <c r="AB870" t="b">
        <f t="shared" si="423"/>
        <v>1</v>
      </c>
    </row>
    <row r="871" spans="25:28" ht="12" customHeight="1">
      <c r="Y871" t="str">
        <f>'Green_rooibos initial weight'!A872</f>
        <v>G868</v>
      </c>
      <c r="Z871">
        <f>'Green_rooibos initial weight'!A1776</f>
        <v>0</v>
      </c>
      <c r="AA871" t="b">
        <f t="shared" si="422"/>
        <v>0</v>
      </c>
      <c r="AB871" t="b">
        <f t="shared" si="423"/>
        <v>1</v>
      </c>
    </row>
    <row r="872" spans="25:28" ht="12" customHeight="1">
      <c r="Y872" t="str">
        <f>'Green_rooibos initial weight'!A873</f>
        <v>G869</v>
      </c>
      <c r="Z872">
        <f>'Green_rooibos initial weight'!A1777</f>
        <v>0</v>
      </c>
      <c r="AA872" t="b">
        <f t="shared" si="422"/>
        <v>0</v>
      </c>
      <c r="AB872" t="b">
        <f t="shared" si="423"/>
        <v>1</v>
      </c>
    </row>
    <row r="873" spans="25:28" ht="12" customHeight="1">
      <c r="Y873" t="str">
        <f>'Green_rooibos initial weight'!A874</f>
        <v>G870</v>
      </c>
      <c r="Z873">
        <f>'Green_rooibos initial weight'!A1778</f>
        <v>0</v>
      </c>
      <c r="AA873" t="b">
        <f t="shared" si="422"/>
        <v>0</v>
      </c>
      <c r="AB873" t="b">
        <f t="shared" si="423"/>
        <v>1</v>
      </c>
    </row>
    <row r="874" spans="25:28" ht="12" customHeight="1">
      <c r="Y874" t="str">
        <f>'Green_rooibos initial weight'!A875</f>
        <v>G871</v>
      </c>
      <c r="Z874">
        <f>'Green_rooibos initial weight'!A1779</f>
        <v>0</v>
      </c>
      <c r="AA874" t="b">
        <f t="shared" si="422"/>
        <v>0</v>
      </c>
      <c r="AB874" t="b">
        <f t="shared" si="423"/>
        <v>1</v>
      </c>
    </row>
    <row r="875" spans="25:28" ht="12" customHeight="1">
      <c r="Y875" t="str">
        <f>'Green_rooibos initial weight'!A876</f>
        <v>G872</v>
      </c>
      <c r="Z875">
        <f>'Green_rooibos initial weight'!A1780</f>
        <v>0</v>
      </c>
      <c r="AA875" t="b">
        <f t="shared" si="422"/>
        <v>0</v>
      </c>
      <c r="AB875" t="b">
        <f t="shared" si="423"/>
        <v>1</v>
      </c>
    </row>
    <row r="876" spans="25:28" ht="12" customHeight="1">
      <c r="Y876" t="str">
        <f>'Green_rooibos initial weight'!A877</f>
        <v>G873</v>
      </c>
      <c r="Z876">
        <f>'Green_rooibos initial weight'!A1781</f>
        <v>0</v>
      </c>
      <c r="AA876" t="b">
        <f t="shared" si="422"/>
        <v>0</v>
      </c>
      <c r="AB876" t="b">
        <f t="shared" si="423"/>
        <v>1</v>
      </c>
    </row>
    <row r="877" spans="25:28" ht="12" customHeight="1">
      <c r="Y877" t="str">
        <f>'Green_rooibos initial weight'!A878</f>
        <v>G874</v>
      </c>
      <c r="Z877">
        <f>'Green_rooibos initial weight'!A1782</f>
        <v>0</v>
      </c>
      <c r="AA877" t="b">
        <f t="shared" si="422"/>
        <v>0</v>
      </c>
      <c r="AB877" t="b">
        <f t="shared" si="423"/>
        <v>1</v>
      </c>
    </row>
    <row r="878" spans="25:28" ht="12" customHeight="1">
      <c r="Y878" t="str">
        <f>'Green_rooibos initial weight'!A879</f>
        <v>G875</v>
      </c>
      <c r="Z878">
        <f>'Green_rooibos initial weight'!A1783</f>
        <v>0</v>
      </c>
      <c r="AA878" t="b">
        <f t="shared" si="422"/>
        <v>0</v>
      </c>
      <c r="AB878" t="b">
        <f t="shared" si="423"/>
        <v>1</v>
      </c>
    </row>
    <row r="879" spans="25:28" ht="12" customHeight="1">
      <c r="Y879" t="str">
        <f>'Green_rooibos initial weight'!A880</f>
        <v>G876</v>
      </c>
      <c r="Z879">
        <f>'Green_rooibos initial weight'!A1784</f>
        <v>0</v>
      </c>
      <c r="AA879" t="b">
        <f t="shared" si="422"/>
        <v>0</v>
      </c>
      <c r="AB879" t="b">
        <f t="shared" si="423"/>
        <v>1</v>
      </c>
    </row>
    <row r="880" spans="25:28" ht="12" customHeight="1">
      <c r="Y880" t="str">
        <f>'Green_rooibos initial weight'!A881</f>
        <v>G877</v>
      </c>
      <c r="Z880">
        <f>'Green_rooibos initial weight'!A1785</f>
        <v>0</v>
      </c>
      <c r="AA880" t="b">
        <f t="shared" si="422"/>
        <v>0</v>
      </c>
      <c r="AB880" t="b">
        <f t="shared" si="423"/>
        <v>1</v>
      </c>
    </row>
    <row r="881" spans="25:28" ht="12" customHeight="1">
      <c r="Y881" t="str">
        <f>'Green_rooibos initial weight'!A882</f>
        <v>G878</v>
      </c>
      <c r="Z881">
        <f>'Green_rooibos initial weight'!A1786</f>
        <v>0</v>
      </c>
      <c r="AA881" t="b">
        <f t="shared" si="422"/>
        <v>0</v>
      </c>
      <c r="AB881" t="b">
        <f t="shared" si="423"/>
        <v>1</v>
      </c>
    </row>
    <row r="882" spans="25:28" ht="12" customHeight="1">
      <c r="Y882" t="str">
        <f>'Green_rooibos initial weight'!A883</f>
        <v>G879</v>
      </c>
      <c r="Z882">
        <f>'Green_rooibos initial weight'!A1787</f>
        <v>0</v>
      </c>
      <c r="AA882" t="b">
        <f t="shared" si="422"/>
        <v>0</v>
      </c>
      <c r="AB882" t="b">
        <f t="shared" si="423"/>
        <v>1</v>
      </c>
    </row>
    <row r="883" spans="25:28" ht="12" customHeight="1">
      <c r="Y883" t="str">
        <f>'Green_rooibos initial weight'!A884</f>
        <v>G880</v>
      </c>
      <c r="Z883">
        <f>'Green_rooibos initial weight'!A1788</f>
        <v>0</v>
      </c>
      <c r="AA883" t="b">
        <f t="shared" si="422"/>
        <v>0</v>
      </c>
      <c r="AB883" t="b">
        <f t="shared" si="423"/>
        <v>1</v>
      </c>
    </row>
    <row r="884" spans="25:28" ht="12" customHeight="1">
      <c r="Y884" t="str">
        <f>'Green_rooibos initial weight'!A885</f>
        <v>G881</v>
      </c>
      <c r="Z884">
        <f>'Green_rooibos initial weight'!A1789</f>
        <v>0</v>
      </c>
      <c r="AA884" t="b">
        <f t="shared" si="422"/>
        <v>0</v>
      </c>
      <c r="AB884" t="b">
        <f t="shared" si="423"/>
        <v>1</v>
      </c>
    </row>
    <row r="885" spans="25:28" ht="12" customHeight="1">
      <c r="Y885" t="str">
        <f>'Green_rooibos initial weight'!A886</f>
        <v>G882</v>
      </c>
      <c r="Z885">
        <f>'Green_rooibos initial weight'!A1790</f>
        <v>0</v>
      </c>
      <c r="AA885" t="b">
        <f t="shared" si="422"/>
        <v>0</v>
      </c>
      <c r="AB885" t="b">
        <f t="shared" si="423"/>
        <v>1</v>
      </c>
    </row>
    <row r="886" spans="25:28" ht="12" customHeight="1">
      <c r="Y886" t="str">
        <f>'Green_rooibos initial weight'!A887</f>
        <v>G883</v>
      </c>
      <c r="Z886">
        <f>'Green_rooibos initial weight'!A1791</f>
        <v>0</v>
      </c>
      <c r="AA886" t="b">
        <f t="shared" si="422"/>
        <v>0</v>
      </c>
      <c r="AB886" t="b">
        <f t="shared" si="423"/>
        <v>1</v>
      </c>
    </row>
    <row r="887" spans="25:28" ht="12" customHeight="1">
      <c r="Y887" t="str">
        <f>'Green_rooibos initial weight'!A888</f>
        <v>G884</v>
      </c>
      <c r="Z887">
        <f>'Green_rooibos initial weight'!A1792</f>
        <v>0</v>
      </c>
      <c r="AA887" t="b">
        <f t="shared" si="422"/>
        <v>0</v>
      </c>
      <c r="AB887" t="b">
        <f t="shared" si="423"/>
        <v>1</v>
      </c>
    </row>
    <row r="888" spans="25:28" ht="12" customHeight="1">
      <c r="Y888" t="str">
        <f>'Green_rooibos initial weight'!A889</f>
        <v>G885</v>
      </c>
      <c r="Z888">
        <f>'Green_rooibos initial weight'!A1793</f>
        <v>0</v>
      </c>
      <c r="AA888" t="b">
        <f t="shared" si="422"/>
        <v>0</v>
      </c>
      <c r="AB888" t="b">
        <f t="shared" si="423"/>
        <v>1</v>
      </c>
    </row>
    <row r="889" spans="25:28" ht="12" customHeight="1">
      <c r="Y889" t="str">
        <f>'Green_rooibos initial weight'!A890</f>
        <v>G886</v>
      </c>
      <c r="Z889">
        <f>'Green_rooibos initial weight'!A1794</f>
        <v>0</v>
      </c>
      <c r="AA889" t="b">
        <f t="shared" si="422"/>
        <v>0</v>
      </c>
      <c r="AB889" t="b">
        <f t="shared" si="423"/>
        <v>1</v>
      </c>
    </row>
    <row r="890" spans="25:28" ht="12" customHeight="1">
      <c r="Y890" t="str">
        <f>'Green_rooibos initial weight'!A891</f>
        <v>G887</v>
      </c>
      <c r="Z890">
        <f>'Green_rooibos initial weight'!A1795</f>
        <v>0</v>
      </c>
      <c r="AA890" t="b">
        <f t="shared" si="422"/>
        <v>0</v>
      </c>
      <c r="AB890" t="b">
        <f t="shared" si="423"/>
        <v>1</v>
      </c>
    </row>
    <row r="891" spans="25:28" ht="12" customHeight="1">
      <c r="Y891" t="str">
        <f>'Green_rooibos initial weight'!A892</f>
        <v>G888</v>
      </c>
      <c r="Z891">
        <f>'Green_rooibos initial weight'!A1796</f>
        <v>0</v>
      </c>
      <c r="AA891" t="b">
        <f t="shared" si="422"/>
        <v>0</v>
      </c>
      <c r="AB891" t="b">
        <f t="shared" si="423"/>
        <v>1</v>
      </c>
    </row>
    <row r="892" spans="25:28" ht="12" customHeight="1">
      <c r="Y892" t="str">
        <f>'Green_rooibos initial weight'!A893</f>
        <v>G889</v>
      </c>
      <c r="Z892">
        <f>'Green_rooibos initial weight'!A1797</f>
        <v>0</v>
      </c>
      <c r="AA892" t="b">
        <f t="shared" si="422"/>
        <v>0</v>
      </c>
      <c r="AB892" t="b">
        <f t="shared" si="423"/>
        <v>1</v>
      </c>
    </row>
    <row r="893" spans="25:28" ht="12" customHeight="1">
      <c r="Y893" t="str">
        <f>'Green_rooibos initial weight'!A894</f>
        <v>G890</v>
      </c>
      <c r="Z893">
        <f>'Green_rooibos initial weight'!A1798</f>
        <v>0</v>
      </c>
      <c r="AA893" t="b">
        <f t="shared" si="422"/>
        <v>0</v>
      </c>
      <c r="AB893" t="b">
        <f t="shared" si="423"/>
        <v>1</v>
      </c>
    </row>
    <row r="894" spans="25:28" ht="12" customHeight="1">
      <c r="Y894" t="str">
        <f>'Green_rooibos initial weight'!A895</f>
        <v>G891</v>
      </c>
      <c r="Z894">
        <f>'Green_rooibos initial weight'!A1799</f>
        <v>0</v>
      </c>
      <c r="AA894" t="b">
        <f t="shared" si="422"/>
        <v>0</v>
      </c>
      <c r="AB894" t="b">
        <f t="shared" si="423"/>
        <v>1</v>
      </c>
    </row>
    <row r="895" spans="25:28" ht="12" customHeight="1">
      <c r="Y895" t="str">
        <f>'Green_rooibos initial weight'!A896</f>
        <v>G892</v>
      </c>
      <c r="AA895" t="b">
        <f t="shared" si="422"/>
        <v>0</v>
      </c>
      <c r="AB895" t="b">
        <f t="shared" si="423"/>
        <v>1</v>
      </c>
    </row>
    <row r="896" spans="25:28" ht="12" customHeight="1">
      <c r="Y896" t="str">
        <f>'Green_rooibos initial weight'!A897</f>
        <v>G893</v>
      </c>
      <c r="AA896" t="b">
        <f t="shared" si="422"/>
        <v>0</v>
      </c>
      <c r="AB896" t="b">
        <f t="shared" si="423"/>
        <v>1</v>
      </c>
    </row>
    <row r="897" spans="25:28" ht="12" customHeight="1">
      <c r="Y897" t="str">
        <f>'Green_rooibos initial weight'!A898</f>
        <v>G894</v>
      </c>
      <c r="AA897" t="b">
        <f t="shared" si="422"/>
        <v>0</v>
      </c>
      <c r="AB897" t="b">
        <f t="shared" si="423"/>
        <v>1</v>
      </c>
    </row>
    <row r="898" spans="25:28" ht="12" customHeight="1">
      <c r="Y898" t="str">
        <f>'Green_rooibos initial weight'!A899</f>
        <v>G895</v>
      </c>
      <c r="AA898" t="b">
        <f t="shared" si="422"/>
        <v>0</v>
      </c>
      <c r="AB898" t="b">
        <f t="shared" si="423"/>
        <v>1</v>
      </c>
    </row>
    <row r="899" spans="25:28" ht="12" customHeight="1">
      <c r="Y899" t="str">
        <f>'Green_rooibos initial weight'!A900</f>
        <v>G896</v>
      </c>
      <c r="AA899" t="b">
        <f t="shared" si="422"/>
        <v>0</v>
      </c>
      <c r="AB899" t="b">
        <f t="shared" si="423"/>
        <v>1</v>
      </c>
    </row>
    <row r="900" spans="25:28" ht="12" customHeight="1">
      <c r="Y900" t="str">
        <f>'Green_rooibos initial weight'!A901</f>
        <v>G897</v>
      </c>
      <c r="AA900" t="b">
        <f t="shared" si="422"/>
        <v>0</v>
      </c>
      <c r="AB900" t="b">
        <f t="shared" si="423"/>
        <v>1</v>
      </c>
    </row>
    <row r="901" spans="25:28" ht="12" customHeight="1">
      <c r="Y901" t="str">
        <f>'Green_rooibos initial weight'!A902</f>
        <v>G898</v>
      </c>
      <c r="AA901" t="b">
        <f t="shared" ref="AA901:AA907" si="424">COUNTIF($Y$4:$Y$2000, Y901)&gt;1</f>
        <v>0</v>
      </c>
      <c r="AB901" t="b">
        <f t="shared" ref="AB901:AB907" si="425">COUNTIF($Z$4:$Z$2000, Z901)&gt;1</f>
        <v>1</v>
      </c>
    </row>
    <row r="902" spans="25:28" ht="12" customHeight="1">
      <c r="Y902" t="str">
        <f>'Green_rooibos initial weight'!A903</f>
        <v>G899</v>
      </c>
      <c r="AA902" t="b">
        <f t="shared" si="424"/>
        <v>0</v>
      </c>
      <c r="AB902" t="b">
        <f t="shared" si="425"/>
        <v>1</v>
      </c>
    </row>
    <row r="903" spans="25:28" ht="12" customHeight="1">
      <c r="Y903" t="str">
        <f>'Green_rooibos initial weight'!A904</f>
        <v>G900</v>
      </c>
      <c r="AA903" t="b">
        <f t="shared" si="424"/>
        <v>0</v>
      </c>
      <c r="AB903" t="b">
        <f t="shared" si="425"/>
        <v>1</v>
      </c>
    </row>
    <row r="904" spans="25:28" ht="12" customHeight="1">
      <c r="Y904" t="str">
        <f>'Green_rooibos initial weight'!A905</f>
        <v>G901</v>
      </c>
      <c r="AA904" t="b">
        <f t="shared" si="424"/>
        <v>0</v>
      </c>
      <c r="AB904" t="b">
        <f t="shared" si="425"/>
        <v>1</v>
      </c>
    </row>
    <row r="905" spans="25:28" ht="12" customHeight="1">
      <c r="Y905" t="str">
        <f>'Green_rooibos initial weight'!A906</f>
        <v>G902</v>
      </c>
      <c r="AA905" t="b">
        <f t="shared" si="424"/>
        <v>0</v>
      </c>
      <c r="AB905" t="b">
        <f t="shared" si="425"/>
        <v>1</v>
      </c>
    </row>
    <row r="906" spans="25:28" ht="12" customHeight="1">
      <c r="Y906" t="str">
        <f>'Green_rooibos initial weight'!A907</f>
        <v>G903</v>
      </c>
      <c r="AA906" t="b">
        <f t="shared" si="424"/>
        <v>0</v>
      </c>
      <c r="AB906" t="b">
        <f t="shared" si="425"/>
        <v>1</v>
      </c>
    </row>
    <row r="907" spans="25:28" ht="12" customHeight="1">
      <c r="Y907" t="str">
        <f>'Green_rooibos initial weight'!A908</f>
        <v>G904</v>
      </c>
      <c r="AA907" t="b">
        <f t="shared" si="424"/>
        <v>0</v>
      </c>
      <c r="AB907" t="b">
        <f t="shared" si="425"/>
        <v>1</v>
      </c>
    </row>
  </sheetData>
  <sortState ref="CT5:CT444">
    <sortCondition ref="CT5"/>
  </sortState>
  <mergeCells count="2">
    <mergeCell ref="G1:H1"/>
    <mergeCell ref="B1:C1"/>
  </mergeCells>
  <pageMargins left="0.7" right="0.7" top="0.75" bottom="0.75" header="0.3" footer="0.3"/>
  <pageSetup paperSize="9" orientation="portrait" r:id="rId1"/>
  <legacyDrawing r:id="rId2"/>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2800A65-80EE-43CC-9DBC-BC952CA7730A}">
  <dimension ref="A1:AD671"/>
  <sheetViews>
    <sheetView zoomScale="85" zoomScaleNormal="85" workbookViewId="0">
      <pane ySplit="1" topLeftCell="A657" activePane="bottomLeft" state="frozen"/>
      <selection pane="bottomLeft" activeCell="A671" sqref="A1:A1048576"/>
    </sheetView>
  </sheetViews>
  <sheetFormatPr baseColWidth="10" defaultRowHeight="14.4"/>
  <sheetData>
    <row r="1" spans="1:20" ht="100.8">
      <c r="A1" s="271" t="s">
        <v>2593</v>
      </c>
      <c r="B1" s="271" t="s">
        <v>2471</v>
      </c>
      <c r="C1" s="271" t="s">
        <v>2594</v>
      </c>
      <c r="D1" s="271" t="s">
        <v>2573</v>
      </c>
      <c r="E1" s="271" t="s">
        <v>2592</v>
      </c>
      <c r="F1" s="271" t="s">
        <v>2591</v>
      </c>
      <c r="G1" s="271" t="s">
        <v>2590</v>
      </c>
      <c r="H1" s="271" t="s">
        <v>2589</v>
      </c>
      <c r="I1" s="209" t="s">
        <v>2628</v>
      </c>
      <c r="J1" s="209" t="s">
        <v>2629</v>
      </c>
      <c r="K1" s="209" t="s">
        <v>2630</v>
      </c>
      <c r="L1" s="272" t="s">
        <v>2588</v>
      </c>
      <c r="M1" s="272" t="s">
        <v>2587</v>
      </c>
      <c r="N1" s="272" t="s">
        <v>2586</v>
      </c>
      <c r="O1" s="272" t="s">
        <v>2585</v>
      </c>
      <c r="P1" s="272" t="s">
        <v>2143</v>
      </c>
      <c r="R1" s="209"/>
    </row>
    <row r="2" spans="1:20">
      <c r="A2" t="s">
        <v>2049</v>
      </c>
      <c r="C2" t="s">
        <v>2759</v>
      </c>
      <c r="D2">
        <v>0.66510000000000002</v>
      </c>
      <c r="E2">
        <v>8.8612000000000002</v>
      </c>
      <c r="F2">
        <v>0.2072</v>
      </c>
      <c r="G2" s="274">
        <f t="shared" ref="G2:G33" si="0">E2+F2</f>
        <v>9.0684000000000005</v>
      </c>
      <c r="H2" s="274">
        <v>8.9166000000000007</v>
      </c>
      <c r="I2" s="274">
        <f>G2-H2</f>
        <v>0.15179999999999971</v>
      </c>
      <c r="J2" s="273">
        <f t="shared" ref="J2:J33" si="1">F2-I2</f>
        <v>5.5400000000000282E-2</v>
      </c>
      <c r="K2" s="275">
        <f t="shared" ref="K2:K33" si="2">(J2/F2)*100</f>
        <v>26.737451737451874</v>
      </c>
      <c r="L2">
        <v>10</v>
      </c>
      <c r="M2" s="16">
        <v>43399</v>
      </c>
      <c r="N2" s="16">
        <v>43400</v>
      </c>
      <c r="R2" s="275"/>
    </row>
    <row r="3" spans="1:20">
      <c r="A3" t="s">
        <v>2040</v>
      </c>
      <c r="C3" t="s">
        <v>3018</v>
      </c>
      <c r="D3">
        <v>1.6155999999999999</v>
      </c>
      <c r="E3">
        <v>7.5294999999999996</v>
      </c>
      <c r="F3">
        <v>0.20569999999999999</v>
      </c>
      <c r="G3" s="274">
        <f t="shared" si="0"/>
        <v>7.7351999999999999</v>
      </c>
      <c r="H3" s="274">
        <v>7.5415000000000001</v>
      </c>
      <c r="I3" s="274">
        <f>G3-H3</f>
        <v>0.19369999999999976</v>
      </c>
      <c r="J3" s="273">
        <f t="shared" si="1"/>
        <v>1.2000000000000233E-2</v>
      </c>
      <c r="K3" s="275">
        <f t="shared" si="2"/>
        <v>5.8337384540594233</v>
      </c>
      <c r="L3">
        <v>19</v>
      </c>
      <c r="M3" s="276">
        <v>43362</v>
      </c>
      <c r="N3" s="276">
        <v>43363</v>
      </c>
      <c r="R3" s="275"/>
      <c r="T3" s="110" t="str">
        <f>IFERROR(INDEX('WetLitterbags placem_collection'!$A$3:$A$500,MATCH(A3,'WetLitterbags placem_collection'!$K$4:$K$500,0)),"")</f>
        <v/>
      </c>
    </row>
    <row r="4" spans="1:20">
      <c r="A4" t="s">
        <v>1949</v>
      </c>
      <c r="C4" t="s">
        <v>3002</v>
      </c>
      <c r="D4">
        <v>1.8332999999999999</v>
      </c>
      <c r="E4">
        <v>7.9947999999999997</v>
      </c>
      <c r="F4">
        <v>0.23419999999999999</v>
      </c>
      <c r="G4" s="274">
        <f t="shared" si="0"/>
        <v>8.2289999999999992</v>
      </c>
      <c r="H4" s="274">
        <v>8.0077999999999996</v>
      </c>
      <c r="I4" s="274">
        <f>(G4-H4)</f>
        <v>0.22119999999999962</v>
      </c>
      <c r="J4" s="273">
        <f t="shared" si="1"/>
        <v>1.3000000000000372E-2</v>
      </c>
      <c r="K4" s="275">
        <f t="shared" si="2"/>
        <v>5.5508112724168974</v>
      </c>
      <c r="L4">
        <v>35</v>
      </c>
      <c r="M4" s="276">
        <v>43360</v>
      </c>
      <c r="N4" s="276">
        <v>43361</v>
      </c>
      <c r="O4" s="273" t="s">
        <v>2985</v>
      </c>
      <c r="R4" s="275"/>
      <c r="T4" s="110" t="str">
        <f>IFERROR(INDEX('WetLitterbags placem_collection'!$A$3:$A$500,MATCH(A4,'WetLitterbags placem_collection'!$K$4:$K$500,0)),"")</f>
        <v/>
      </c>
    </row>
    <row r="5" spans="1:20">
      <c r="A5" t="s">
        <v>1948</v>
      </c>
      <c r="C5" t="s">
        <v>3012</v>
      </c>
      <c r="D5">
        <v>0.8498</v>
      </c>
      <c r="E5">
        <v>11.455500000000001</v>
      </c>
      <c r="F5">
        <v>0.23169999999999999</v>
      </c>
      <c r="G5" s="274">
        <f t="shared" si="0"/>
        <v>11.687200000000001</v>
      </c>
      <c r="H5" s="274">
        <v>11.498900000000001</v>
      </c>
      <c r="I5" s="274">
        <f>G5-H5</f>
        <v>0.18829999999999991</v>
      </c>
      <c r="J5" s="273">
        <f t="shared" si="1"/>
        <v>4.3400000000000077E-2</v>
      </c>
      <c r="K5" s="275">
        <f t="shared" si="2"/>
        <v>18.731117824773449</v>
      </c>
      <c r="L5">
        <v>26</v>
      </c>
      <c r="M5" s="16">
        <v>43381</v>
      </c>
      <c r="N5" s="16">
        <v>43382</v>
      </c>
      <c r="R5" s="275"/>
      <c r="T5" s="110" t="str">
        <f>IFERROR(INDEX('WetLitterbags placem_collection'!$A$3:$A$500,MATCH(A5,'WetLitterbags placem_collection'!$K$4:$K$500,0)),"")</f>
        <v/>
      </c>
    </row>
    <row r="6" spans="1:20">
      <c r="A6" t="s">
        <v>1945</v>
      </c>
      <c r="B6">
        <v>195</v>
      </c>
      <c r="D6">
        <v>0.98450000000000004</v>
      </c>
      <c r="E6">
        <v>9.4870999999999999</v>
      </c>
      <c r="F6">
        <v>0.20760000000000001</v>
      </c>
      <c r="G6" s="274">
        <f t="shared" si="0"/>
        <v>9.6946999999999992</v>
      </c>
      <c r="H6" s="274">
        <v>9.5785999999999998</v>
      </c>
      <c r="I6" s="274">
        <f>G6-H6</f>
        <v>0.11609999999999943</v>
      </c>
      <c r="J6" s="273">
        <f t="shared" si="1"/>
        <v>9.1500000000000581E-2</v>
      </c>
      <c r="K6" s="275">
        <f t="shared" si="2"/>
        <v>44.075144508670796</v>
      </c>
      <c r="L6">
        <v>2</v>
      </c>
      <c r="M6">
        <v>23.101800000000001</v>
      </c>
      <c r="N6" s="16">
        <v>43397</v>
      </c>
      <c r="R6" s="275"/>
      <c r="T6" s="110" t="str">
        <f>IFERROR(INDEX('WetLitterbags placem_collection'!$A$3:$A$500,MATCH(A6,'WetLitterbags placem_collection'!$K$4:$K$500,0)),"")</f>
        <v/>
      </c>
    </row>
    <row r="7" spans="1:20">
      <c r="A7" t="s">
        <v>1944</v>
      </c>
      <c r="C7" t="s">
        <v>3017</v>
      </c>
      <c r="D7">
        <v>1.8148</v>
      </c>
      <c r="E7">
        <v>7.8602999999999996</v>
      </c>
      <c r="F7">
        <f>8.0949-E7</f>
        <v>0.23460000000000125</v>
      </c>
      <c r="G7" s="274">
        <f t="shared" si="0"/>
        <v>8.0949000000000009</v>
      </c>
      <c r="H7" s="274">
        <v>7.8802000000000003</v>
      </c>
      <c r="I7" s="274">
        <f>G7-H7</f>
        <v>0.21470000000000056</v>
      </c>
      <c r="J7" s="273">
        <f t="shared" si="1"/>
        <v>1.9900000000000695E-2</v>
      </c>
      <c r="K7" s="275">
        <f t="shared" si="2"/>
        <v>8.482523444160524</v>
      </c>
      <c r="L7">
        <v>20</v>
      </c>
      <c r="M7" s="276">
        <v>43363</v>
      </c>
      <c r="N7" s="276">
        <v>43364</v>
      </c>
      <c r="O7" s="273" t="s">
        <v>3033</v>
      </c>
      <c r="R7" s="275"/>
      <c r="T7" s="110" t="str">
        <f>IFERROR(INDEX('WetLitterbags placem_collection'!$A$3:$A$500,MATCH(A7,'WetLitterbags placem_collection'!$K$4:$K$500,0)),"")</f>
        <v/>
      </c>
    </row>
    <row r="8" spans="1:20">
      <c r="A8" t="s">
        <v>1943</v>
      </c>
      <c r="C8" t="s">
        <v>2966</v>
      </c>
      <c r="D8">
        <v>1.8686</v>
      </c>
      <c r="E8">
        <v>9.1973000000000003</v>
      </c>
      <c r="F8">
        <v>0.23480000000000001</v>
      </c>
      <c r="G8" s="274">
        <f t="shared" si="0"/>
        <v>9.4321000000000002</v>
      </c>
      <c r="H8" s="274">
        <v>9.2104999999999997</v>
      </c>
      <c r="I8" s="274">
        <f>(G8-H8)</f>
        <v>0.22160000000000046</v>
      </c>
      <c r="J8" s="273">
        <f t="shared" si="1"/>
        <v>1.3199999999999545E-2</v>
      </c>
      <c r="K8" s="275">
        <f t="shared" si="2"/>
        <v>5.6218057921633493</v>
      </c>
      <c r="L8">
        <v>11</v>
      </c>
      <c r="M8" s="276">
        <v>43360</v>
      </c>
      <c r="N8" s="276">
        <v>43361</v>
      </c>
      <c r="O8" s="273"/>
      <c r="R8" s="275"/>
    </row>
    <row r="9" spans="1:20">
      <c r="A9" t="s">
        <v>1941</v>
      </c>
      <c r="C9" t="s">
        <v>3014</v>
      </c>
      <c r="D9">
        <v>0.48480000000000001</v>
      </c>
      <c r="E9">
        <v>19.663900000000002</v>
      </c>
      <c r="F9">
        <v>0.21659999999999999</v>
      </c>
      <c r="G9" s="274">
        <f t="shared" si="0"/>
        <v>19.880500000000001</v>
      </c>
      <c r="H9" s="274">
        <v>19.7011</v>
      </c>
      <c r="I9" s="274">
        <f>G9-H9</f>
        <v>0.17940000000000111</v>
      </c>
      <c r="J9" s="273">
        <f t="shared" si="1"/>
        <v>3.7199999999998873E-2</v>
      </c>
      <c r="K9" s="275">
        <f t="shared" si="2"/>
        <v>17.174515235456546</v>
      </c>
      <c r="L9">
        <v>24</v>
      </c>
      <c r="M9" s="276">
        <v>43361</v>
      </c>
      <c r="N9" s="276">
        <v>43362</v>
      </c>
      <c r="O9" s="273" t="s">
        <v>3008</v>
      </c>
      <c r="P9" t="s">
        <v>3015</v>
      </c>
      <c r="R9" s="275"/>
    </row>
    <row r="10" spans="1:20">
      <c r="A10" t="s">
        <v>2039</v>
      </c>
      <c r="C10" t="s">
        <v>3038</v>
      </c>
      <c r="D10">
        <v>0.84289999999999998</v>
      </c>
      <c r="E10">
        <v>10.124000000000001</v>
      </c>
      <c r="F10">
        <v>0.2054</v>
      </c>
      <c r="G10" s="274">
        <f t="shared" si="0"/>
        <v>10.3294</v>
      </c>
      <c r="H10" s="274">
        <v>10.1564</v>
      </c>
      <c r="I10" s="274">
        <f>G10-H10</f>
        <v>0.17300000000000004</v>
      </c>
      <c r="J10" s="273">
        <f t="shared" si="1"/>
        <v>3.2399999999999957E-2</v>
      </c>
      <c r="K10" s="275">
        <f t="shared" si="2"/>
        <v>15.774099318403096</v>
      </c>
      <c r="L10">
        <v>34</v>
      </c>
      <c r="M10" s="276">
        <v>43363</v>
      </c>
      <c r="N10" s="276">
        <v>43364</v>
      </c>
      <c r="R10" s="275"/>
    </row>
    <row r="11" spans="1:20">
      <c r="A11" t="s">
        <v>1940</v>
      </c>
      <c r="C11" t="s">
        <v>2964</v>
      </c>
      <c r="D11">
        <v>1.6871</v>
      </c>
      <c r="E11">
        <v>9.4852000000000007</v>
      </c>
      <c r="F11">
        <v>0.24590000000000001</v>
      </c>
      <c r="G11" s="274">
        <f t="shared" si="0"/>
        <v>9.7311000000000014</v>
      </c>
      <c r="H11" s="274">
        <v>9.5007999999999999</v>
      </c>
      <c r="I11" s="274">
        <f>(G11-H11)</f>
        <v>0.2303000000000015</v>
      </c>
      <c r="J11" s="273">
        <f t="shared" si="1"/>
        <v>1.5599999999998504E-2</v>
      </c>
      <c r="K11" s="275">
        <f t="shared" si="2"/>
        <v>6.3440422936146827</v>
      </c>
      <c r="L11">
        <v>9</v>
      </c>
      <c r="M11" s="276">
        <v>43360</v>
      </c>
      <c r="N11" s="276">
        <v>43361</v>
      </c>
      <c r="O11" s="273"/>
      <c r="R11" s="275"/>
    </row>
    <row r="12" spans="1:20">
      <c r="A12" t="s">
        <v>1939</v>
      </c>
      <c r="C12" t="s">
        <v>2996</v>
      </c>
      <c r="D12">
        <v>1.6712</v>
      </c>
      <c r="E12">
        <v>8.1678999999999995</v>
      </c>
      <c r="F12">
        <v>0.2054</v>
      </c>
      <c r="G12" s="274">
        <f t="shared" si="0"/>
        <v>8.3732999999999986</v>
      </c>
      <c r="H12" s="274">
        <v>8.1806999999999999</v>
      </c>
      <c r="I12" s="274">
        <f>(G12-H12)</f>
        <v>0.19259999999999877</v>
      </c>
      <c r="J12" s="273">
        <f t="shared" si="1"/>
        <v>1.2800000000001227E-2</v>
      </c>
      <c r="K12" s="275">
        <f t="shared" si="2"/>
        <v>6.2317429406042981</v>
      </c>
      <c r="L12">
        <v>22</v>
      </c>
      <c r="M12" s="276">
        <v>43360</v>
      </c>
      <c r="N12" s="276">
        <v>43361</v>
      </c>
      <c r="O12" s="273" t="s">
        <v>2985</v>
      </c>
      <c r="R12" s="275"/>
    </row>
    <row r="13" spans="1:20">
      <c r="A13" t="s">
        <v>1937</v>
      </c>
      <c r="C13" t="s">
        <v>3018</v>
      </c>
      <c r="D13" s="273">
        <v>1.6425000000000001</v>
      </c>
      <c r="E13" s="274">
        <v>20.852699999999999</v>
      </c>
      <c r="F13" s="274">
        <v>0.2089</v>
      </c>
      <c r="G13" s="274">
        <f t="shared" si="0"/>
        <v>21.061599999999999</v>
      </c>
      <c r="H13" s="274">
        <v>20.866700000000002</v>
      </c>
      <c r="I13" s="274">
        <f>G13-H13</f>
        <v>0.19489999999999696</v>
      </c>
      <c r="J13" s="273">
        <f t="shared" si="1"/>
        <v>1.4000000000003038E-2</v>
      </c>
      <c r="K13" s="275">
        <f t="shared" si="2"/>
        <v>6.7017711823853698</v>
      </c>
      <c r="L13" s="273">
        <v>1</v>
      </c>
      <c r="M13" s="276">
        <v>43362</v>
      </c>
      <c r="N13" s="276">
        <v>43363</v>
      </c>
      <c r="O13" s="273"/>
      <c r="P13" s="273"/>
      <c r="R13" s="275"/>
    </row>
    <row r="14" spans="1:20">
      <c r="A14" t="s">
        <v>1935</v>
      </c>
      <c r="C14" t="s">
        <v>3011</v>
      </c>
      <c r="D14">
        <v>1.5762</v>
      </c>
      <c r="E14">
        <v>9.9190000000000005</v>
      </c>
      <c r="F14">
        <v>0.20710000000000001</v>
      </c>
      <c r="G14" s="274">
        <f t="shared" si="0"/>
        <v>10.126100000000001</v>
      </c>
      <c r="H14" s="274">
        <v>9.9313000000000002</v>
      </c>
      <c r="I14" s="274">
        <f>G14-H14</f>
        <v>0.19480000000000075</v>
      </c>
      <c r="J14" s="273">
        <f t="shared" si="1"/>
        <v>1.2299999999999256E-2</v>
      </c>
      <c r="K14" s="275">
        <f t="shared" si="2"/>
        <v>5.939159826170572</v>
      </c>
      <c r="L14">
        <v>15</v>
      </c>
      <c r="M14" s="276">
        <v>43374</v>
      </c>
      <c r="N14" s="276">
        <v>43375</v>
      </c>
      <c r="O14" s="273" t="s">
        <v>3008</v>
      </c>
      <c r="R14" s="275"/>
    </row>
    <row r="15" spans="1:20">
      <c r="A15" t="s">
        <v>1934</v>
      </c>
      <c r="C15" t="s">
        <v>2960</v>
      </c>
      <c r="D15">
        <v>0.48299999999999998</v>
      </c>
      <c r="E15">
        <v>11.056100000000001</v>
      </c>
      <c r="F15">
        <v>0.21679999999999999</v>
      </c>
      <c r="G15" s="274">
        <f t="shared" si="0"/>
        <v>11.2729</v>
      </c>
      <c r="H15" s="274">
        <v>11.0951</v>
      </c>
      <c r="I15" s="274">
        <f>G15-H15</f>
        <v>0.17779999999999951</v>
      </c>
      <c r="J15" s="273">
        <f t="shared" si="1"/>
        <v>3.9000000000000479E-2</v>
      </c>
      <c r="K15" s="275">
        <f t="shared" si="2"/>
        <v>17.988929889299115</v>
      </c>
      <c r="L15">
        <v>27</v>
      </c>
      <c r="M15" s="16">
        <v>43399</v>
      </c>
      <c r="N15" s="16">
        <v>43400</v>
      </c>
      <c r="R15" s="275"/>
    </row>
    <row r="16" spans="1:20">
      <c r="A16" t="s">
        <v>1932</v>
      </c>
      <c r="C16" t="s">
        <v>2707</v>
      </c>
      <c r="D16">
        <v>0.69289999999999996</v>
      </c>
      <c r="E16">
        <v>10.1173</v>
      </c>
      <c r="F16">
        <v>0.2102</v>
      </c>
      <c r="G16">
        <f t="shared" si="0"/>
        <v>10.327500000000001</v>
      </c>
      <c r="H16">
        <v>10.1578</v>
      </c>
      <c r="I16" s="274">
        <f>G16-H16</f>
        <v>0.16970000000000063</v>
      </c>
      <c r="J16" s="273">
        <f t="shared" si="1"/>
        <v>4.049999999999937E-2</v>
      </c>
      <c r="K16" s="275">
        <f t="shared" si="2"/>
        <v>19.267364414842707</v>
      </c>
      <c r="L16">
        <v>16</v>
      </c>
      <c r="M16" s="16">
        <v>43399</v>
      </c>
      <c r="N16" s="16">
        <v>43400</v>
      </c>
      <c r="R16" s="275"/>
    </row>
    <row r="17" spans="1:18">
      <c r="A17" t="s">
        <v>2038</v>
      </c>
      <c r="B17">
        <v>196</v>
      </c>
      <c r="D17">
        <v>0.46760000000000002</v>
      </c>
      <c r="E17">
        <v>8.3564000000000007</v>
      </c>
      <c r="F17">
        <v>0.20749999999999999</v>
      </c>
      <c r="G17" s="274">
        <f t="shared" si="0"/>
        <v>8.5639000000000003</v>
      </c>
      <c r="H17" s="274">
        <v>8.4141999999999992</v>
      </c>
      <c r="I17" s="274">
        <f>G17-H17</f>
        <v>0.14970000000000105</v>
      </c>
      <c r="J17" s="273">
        <f t="shared" si="1"/>
        <v>5.7799999999998936E-2</v>
      </c>
      <c r="K17" s="275">
        <f t="shared" si="2"/>
        <v>27.855421686746478</v>
      </c>
      <c r="L17">
        <v>26</v>
      </c>
      <c r="M17" s="16">
        <v>43388</v>
      </c>
      <c r="N17" s="276">
        <v>43389</v>
      </c>
      <c r="O17" s="16"/>
      <c r="R17" s="275"/>
    </row>
    <row r="18" spans="1:18">
      <c r="A18" t="s">
        <v>1930</v>
      </c>
      <c r="C18" t="s">
        <v>2958</v>
      </c>
      <c r="D18">
        <v>0.87960000000000005</v>
      </c>
      <c r="E18">
        <v>8.8452000000000002</v>
      </c>
      <c r="F18">
        <v>0.20319999999999999</v>
      </c>
      <c r="G18" s="274">
        <f t="shared" si="0"/>
        <v>9.0484000000000009</v>
      </c>
      <c r="H18" s="274">
        <v>8.8666999999999998</v>
      </c>
      <c r="I18" s="274">
        <f>(G18-H18)</f>
        <v>0.18170000000000108</v>
      </c>
      <c r="J18" s="273">
        <f t="shared" si="1"/>
        <v>2.1499999999998909E-2</v>
      </c>
      <c r="K18" s="275">
        <f t="shared" si="2"/>
        <v>10.580708661416786</v>
      </c>
      <c r="L18">
        <v>6</v>
      </c>
      <c r="M18" s="276">
        <v>43360</v>
      </c>
      <c r="N18" s="276">
        <v>43361</v>
      </c>
      <c r="O18" s="273"/>
      <c r="R18" s="275"/>
    </row>
    <row r="19" spans="1:18">
      <c r="A19" t="s">
        <v>1927</v>
      </c>
      <c r="B19">
        <v>219</v>
      </c>
      <c r="C19" t="s">
        <v>2490</v>
      </c>
      <c r="D19">
        <v>0.62549999999999994</v>
      </c>
      <c r="E19">
        <v>11.456</v>
      </c>
      <c r="F19">
        <v>0.22650000000000001</v>
      </c>
      <c r="G19" s="274">
        <f t="shared" si="0"/>
        <v>11.682499999999999</v>
      </c>
      <c r="H19" s="274">
        <v>11.511900000000001</v>
      </c>
      <c r="I19" s="274">
        <f>G19-H19</f>
        <v>0.17059999999999853</v>
      </c>
      <c r="J19" s="273">
        <f t="shared" si="1"/>
        <v>5.5900000000001476E-2</v>
      </c>
      <c r="K19" s="275">
        <f t="shared" si="2"/>
        <v>24.6799116997799</v>
      </c>
      <c r="L19">
        <v>38</v>
      </c>
      <c r="M19" s="16">
        <v>43399</v>
      </c>
      <c r="N19" s="16">
        <v>43400</v>
      </c>
      <c r="R19" s="275"/>
    </row>
    <row r="20" spans="1:18">
      <c r="A20" t="s">
        <v>1926</v>
      </c>
      <c r="B20">
        <v>206</v>
      </c>
      <c r="C20" t="s">
        <v>2490</v>
      </c>
      <c r="D20">
        <v>0.49540000000000001</v>
      </c>
      <c r="E20">
        <v>10.0777</v>
      </c>
      <c r="F20">
        <v>0.2072</v>
      </c>
      <c r="G20">
        <f t="shared" si="0"/>
        <v>10.2849</v>
      </c>
      <c r="H20">
        <v>10.1074</v>
      </c>
      <c r="I20" s="274">
        <f>G20-H20</f>
        <v>0.17750000000000021</v>
      </c>
      <c r="J20" s="273">
        <f t="shared" si="1"/>
        <v>2.9699999999999782E-2</v>
      </c>
      <c r="K20" s="275">
        <f t="shared" si="2"/>
        <v>14.333976833976731</v>
      </c>
      <c r="L20">
        <v>28</v>
      </c>
      <c r="M20" s="16">
        <v>43399</v>
      </c>
      <c r="N20" s="16">
        <v>43400</v>
      </c>
      <c r="R20" s="275"/>
    </row>
    <row r="21" spans="1:18">
      <c r="A21" t="s">
        <v>1925</v>
      </c>
      <c r="C21" t="s">
        <v>2972</v>
      </c>
      <c r="D21">
        <v>0.59860000000000002</v>
      </c>
      <c r="E21">
        <v>10.155200000000001</v>
      </c>
      <c r="F21">
        <v>0.20319999999999999</v>
      </c>
      <c r="G21" s="274">
        <f t="shared" si="0"/>
        <v>10.358400000000001</v>
      </c>
      <c r="H21" s="274">
        <v>10.1928</v>
      </c>
      <c r="I21" s="274">
        <f>(G21-H21)</f>
        <v>0.1656000000000013</v>
      </c>
      <c r="J21" s="273">
        <f t="shared" si="1"/>
        <v>3.759999999999869E-2</v>
      </c>
      <c r="K21" s="275">
        <f t="shared" si="2"/>
        <v>18.503937007873372</v>
      </c>
      <c r="L21">
        <v>10</v>
      </c>
      <c r="M21" s="276">
        <v>43360</v>
      </c>
      <c r="N21" s="276">
        <v>43361</v>
      </c>
      <c r="O21" s="273" t="s">
        <v>2985</v>
      </c>
      <c r="R21" s="275"/>
    </row>
    <row r="22" spans="1:18">
      <c r="A22" t="s">
        <v>1924</v>
      </c>
      <c r="C22" t="s">
        <v>2946</v>
      </c>
      <c r="D22">
        <v>1.7190000000000001</v>
      </c>
      <c r="E22">
        <v>7.8718000000000004</v>
      </c>
      <c r="F22">
        <v>0.20960000000000001</v>
      </c>
      <c r="G22" s="274">
        <f t="shared" si="0"/>
        <v>8.0814000000000004</v>
      </c>
      <c r="H22" s="274">
        <v>7.8833000000000002</v>
      </c>
      <c r="I22" s="274">
        <f>(G22-H22)</f>
        <v>0.19810000000000016</v>
      </c>
      <c r="J22" s="273">
        <f t="shared" si="1"/>
        <v>1.1499999999999844E-2</v>
      </c>
      <c r="K22" s="275">
        <f t="shared" si="2"/>
        <v>5.4866412213739713</v>
      </c>
      <c r="L22">
        <v>28</v>
      </c>
      <c r="M22" s="16">
        <v>43358</v>
      </c>
      <c r="N22" s="16">
        <v>43358</v>
      </c>
      <c r="R22" s="275"/>
    </row>
    <row r="23" spans="1:18">
      <c r="A23" t="s">
        <v>1923</v>
      </c>
      <c r="C23" t="s">
        <v>2783</v>
      </c>
      <c r="D23">
        <v>1.0039</v>
      </c>
      <c r="E23">
        <v>9.3199000000000005</v>
      </c>
      <c r="F23">
        <v>0.20979999999999999</v>
      </c>
      <c r="G23" s="274">
        <f t="shared" si="0"/>
        <v>9.5297000000000001</v>
      </c>
      <c r="H23" s="274">
        <v>9.3470999999999993</v>
      </c>
      <c r="I23" s="274">
        <f>G23-H23</f>
        <v>0.18260000000000076</v>
      </c>
      <c r="J23" s="273">
        <f t="shared" si="1"/>
        <v>2.7199999999999225E-2</v>
      </c>
      <c r="K23" s="275">
        <f t="shared" si="2"/>
        <v>12.964728312678373</v>
      </c>
      <c r="L23">
        <v>7</v>
      </c>
      <c r="M23" s="276">
        <v>43363</v>
      </c>
      <c r="N23" s="276">
        <v>43364</v>
      </c>
      <c r="O23" s="273"/>
      <c r="R23" s="275"/>
    </row>
    <row r="24" spans="1:18">
      <c r="A24" t="s">
        <v>1922</v>
      </c>
      <c r="B24">
        <v>214</v>
      </c>
      <c r="D24">
        <v>0.52639999999999998</v>
      </c>
      <c r="E24">
        <v>8.7746999999999993</v>
      </c>
      <c r="F24">
        <v>0.21629999999999999</v>
      </c>
      <c r="G24" s="274">
        <f t="shared" si="0"/>
        <v>8.9909999999999997</v>
      </c>
      <c r="H24" s="274">
        <v>8.8180999999999994</v>
      </c>
      <c r="I24" s="274">
        <f>G24-H24</f>
        <v>0.17290000000000028</v>
      </c>
      <c r="J24" s="273">
        <f t="shared" si="1"/>
        <v>4.3399999999999717E-2</v>
      </c>
      <c r="K24" s="275">
        <f t="shared" si="2"/>
        <v>20.06472491909372</v>
      </c>
      <c r="L24">
        <v>28</v>
      </c>
      <c r="M24" s="16">
        <v>43395</v>
      </c>
      <c r="N24" s="16">
        <v>43396</v>
      </c>
      <c r="R24" s="275"/>
    </row>
    <row r="25" spans="1:18">
      <c r="A25" t="s">
        <v>2037</v>
      </c>
      <c r="C25" t="s">
        <v>3009</v>
      </c>
      <c r="D25">
        <v>1.7701</v>
      </c>
      <c r="E25">
        <v>7.8719999999999999</v>
      </c>
      <c r="F25">
        <v>0.24010000000000001</v>
      </c>
      <c r="G25" s="274">
        <f t="shared" si="0"/>
        <v>8.1120999999999999</v>
      </c>
      <c r="H25" s="274">
        <v>7.8863000000000003</v>
      </c>
      <c r="I25" s="274">
        <f>G25-H25</f>
        <v>0.22579999999999956</v>
      </c>
      <c r="J25" s="273">
        <f t="shared" si="1"/>
        <v>1.4300000000000451E-2</v>
      </c>
      <c r="K25" s="275">
        <f t="shared" si="2"/>
        <v>5.9558517284466683</v>
      </c>
      <c r="L25">
        <v>8</v>
      </c>
      <c r="M25" s="276">
        <v>43361</v>
      </c>
      <c r="N25" s="276">
        <v>43362</v>
      </c>
      <c r="O25" s="273" t="s">
        <v>3008</v>
      </c>
      <c r="R25" s="275"/>
    </row>
    <row r="26" spans="1:18">
      <c r="A26" t="s">
        <v>1920</v>
      </c>
      <c r="C26" t="s">
        <v>2967</v>
      </c>
      <c r="D26">
        <v>1.6929000000000001</v>
      </c>
      <c r="E26">
        <v>11.122400000000001</v>
      </c>
      <c r="F26">
        <v>0.21759999999999999</v>
      </c>
      <c r="G26" s="274">
        <f t="shared" si="0"/>
        <v>11.34</v>
      </c>
      <c r="H26" s="274">
        <v>11.1351</v>
      </c>
      <c r="I26" s="274">
        <f>G26-H26</f>
        <v>0.2049000000000003</v>
      </c>
      <c r="J26" s="273">
        <f t="shared" si="1"/>
        <v>1.2699999999999684E-2</v>
      </c>
      <c r="K26" s="275">
        <f t="shared" si="2"/>
        <v>5.8363970588233842</v>
      </c>
      <c r="L26">
        <v>36</v>
      </c>
      <c r="M26" s="16">
        <v>43381</v>
      </c>
      <c r="N26" s="16">
        <v>43382</v>
      </c>
      <c r="R26" s="275"/>
    </row>
    <row r="27" spans="1:18">
      <c r="A27" t="s">
        <v>1919</v>
      </c>
      <c r="C27" t="s">
        <v>2784</v>
      </c>
      <c r="D27">
        <v>1.3692</v>
      </c>
      <c r="E27">
        <v>9.3442000000000007</v>
      </c>
      <c r="F27">
        <v>0.20519999999999999</v>
      </c>
      <c r="G27" s="274">
        <f t="shared" si="0"/>
        <v>9.5494000000000003</v>
      </c>
      <c r="H27" s="274">
        <v>9.3613999999999997</v>
      </c>
      <c r="I27" s="274">
        <f>G27-H27</f>
        <v>0.18800000000000061</v>
      </c>
      <c r="J27" s="273">
        <f t="shared" si="1"/>
        <v>1.7199999999999382E-2</v>
      </c>
      <c r="K27" s="275">
        <f t="shared" si="2"/>
        <v>8.3820662768028189</v>
      </c>
      <c r="L27">
        <v>42</v>
      </c>
      <c r="M27" s="276">
        <v>43362</v>
      </c>
      <c r="N27" s="276">
        <v>43363</v>
      </c>
      <c r="R27" s="275"/>
    </row>
    <row r="28" spans="1:18">
      <c r="A28" t="s">
        <v>1916</v>
      </c>
      <c r="C28" t="s">
        <v>3007</v>
      </c>
      <c r="D28">
        <v>0.64349999999999996</v>
      </c>
      <c r="E28">
        <v>10.0764</v>
      </c>
      <c r="F28">
        <v>0.20669999999999999</v>
      </c>
      <c r="G28" s="274">
        <f t="shared" si="0"/>
        <v>10.283099999999999</v>
      </c>
      <c r="H28" s="274">
        <v>10.1145</v>
      </c>
      <c r="I28" s="274">
        <f>(G28-H28)</f>
        <v>0.16859999999999964</v>
      </c>
      <c r="J28" s="273">
        <f t="shared" si="1"/>
        <v>3.8100000000000356E-2</v>
      </c>
      <c r="K28" s="275">
        <f t="shared" si="2"/>
        <v>18.432510885341248</v>
      </c>
      <c r="L28">
        <v>41</v>
      </c>
      <c r="M28" s="276">
        <v>43360</v>
      </c>
      <c r="N28" s="276">
        <v>43361</v>
      </c>
      <c r="O28" s="273" t="s">
        <v>2985</v>
      </c>
      <c r="R28" s="275"/>
    </row>
    <row r="29" spans="1:18">
      <c r="A29" t="s">
        <v>1915</v>
      </c>
      <c r="C29" t="s">
        <v>2750</v>
      </c>
      <c r="D29">
        <v>0.59279999999999999</v>
      </c>
      <c r="E29">
        <v>21.074000000000002</v>
      </c>
      <c r="F29">
        <v>0.21029999999999999</v>
      </c>
      <c r="G29" s="274">
        <f t="shared" si="0"/>
        <v>21.284300000000002</v>
      </c>
      <c r="H29" s="274">
        <v>21.12</v>
      </c>
      <c r="I29" s="274">
        <f>G29-H29</f>
        <v>0.16430000000000078</v>
      </c>
      <c r="J29" s="273">
        <f t="shared" si="1"/>
        <v>4.5999999999999208E-2</v>
      </c>
      <c r="K29" s="275">
        <f t="shared" si="2"/>
        <v>21.873514027579272</v>
      </c>
      <c r="L29">
        <v>40</v>
      </c>
      <c r="M29" s="276">
        <v>43361</v>
      </c>
      <c r="N29" s="276">
        <v>43362</v>
      </c>
      <c r="O29" s="273" t="s">
        <v>3008</v>
      </c>
      <c r="R29" s="275"/>
    </row>
    <row r="30" spans="1:18">
      <c r="A30" t="s">
        <v>1914</v>
      </c>
      <c r="C30" t="s">
        <v>2752</v>
      </c>
      <c r="D30">
        <v>0.52039999999999997</v>
      </c>
      <c r="E30">
        <v>9.2370000000000001</v>
      </c>
      <c r="F30">
        <v>0.20330000000000001</v>
      </c>
      <c r="G30" s="274">
        <f t="shared" si="0"/>
        <v>9.4403000000000006</v>
      </c>
      <c r="H30" s="274">
        <v>9.2703000000000007</v>
      </c>
      <c r="I30" s="274">
        <f>G30-H30</f>
        <v>0.16999999999999993</v>
      </c>
      <c r="J30" s="273">
        <f t="shared" si="1"/>
        <v>3.330000000000008E-2</v>
      </c>
      <c r="K30" s="275">
        <f t="shared" si="2"/>
        <v>16.379734382685722</v>
      </c>
      <c r="L30">
        <v>12</v>
      </c>
      <c r="M30" s="276">
        <v>43374</v>
      </c>
      <c r="N30" s="276">
        <v>43375</v>
      </c>
      <c r="O30" s="273" t="s">
        <v>3008</v>
      </c>
      <c r="R30" s="275"/>
    </row>
    <row r="31" spans="1:18">
      <c r="A31" t="s">
        <v>1912</v>
      </c>
      <c r="C31" t="s">
        <v>2943</v>
      </c>
      <c r="D31">
        <v>1.6281000000000001</v>
      </c>
      <c r="E31">
        <v>7.3170999999999999</v>
      </c>
      <c r="F31">
        <v>0.20860000000000001</v>
      </c>
      <c r="G31" s="274">
        <f t="shared" si="0"/>
        <v>7.5256999999999996</v>
      </c>
      <c r="H31" s="274">
        <v>7.3278999999999996</v>
      </c>
      <c r="I31" s="274">
        <f>(G31-H31)</f>
        <v>0.19779999999999998</v>
      </c>
      <c r="J31" s="273">
        <f t="shared" si="1"/>
        <v>1.0800000000000032E-2</v>
      </c>
      <c r="K31" s="275">
        <f t="shared" si="2"/>
        <v>5.177372962607877</v>
      </c>
      <c r="L31">
        <v>6</v>
      </c>
      <c r="M31" s="276">
        <v>43355.625</v>
      </c>
      <c r="N31" s="276">
        <v>43355.791666666664</v>
      </c>
      <c r="O31" s="273" t="s">
        <v>2938</v>
      </c>
      <c r="R31" s="275"/>
    </row>
    <row r="32" spans="1:18">
      <c r="A32" t="s">
        <v>1911</v>
      </c>
      <c r="C32" t="s">
        <v>2962</v>
      </c>
      <c r="D32">
        <v>1.6859</v>
      </c>
      <c r="E32">
        <v>8.3545999999999996</v>
      </c>
      <c r="F32">
        <v>0.24260000000000001</v>
      </c>
      <c r="G32" s="274">
        <f t="shared" si="0"/>
        <v>8.5971999999999991</v>
      </c>
      <c r="H32" s="274">
        <v>8.3691999999999993</v>
      </c>
      <c r="I32" s="274">
        <f>(G32-H32)</f>
        <v>0.22799999999999976</v>
      </c>
      <c r="J32" s="273">
        <f t="shared" si="1"/>
        <v>1.4600000000000252E-2</v>
      </c>
      <c r="K32" s="275">
        <f t="shared" si="2"/>
        <v>6.0181368507832858</v>
      </c>
      <c r="L32">
        <v>26</v>
      </c>
      <c r="M32" s="276">
        <v>43360</v>
      </c>
      <c r="N32" s="276">
        <v>43361</v>
      </c>
      <c r="R32" s="275"/>
    </row>
    <row r="33" spans="1:18">
      <c r="A33" t="s">
        <v>1910</v>
      </c>
      <c r="B33">
        <v>208</v>
      </c>
      <c r="D33">
        <v>0.57820000000000005</v>
      </c>
      <c r="E33">
        <v>8.4451000000000001</v>
      </c>
      <c r="F33">
        <v>0.20499999999999999</v>
      </c>
      <c r="G33" s="274">
        <f t="shared" si="0"/>
        <v>8.6501000000000001</v>
      </c>
      <c r="H33" s="274">
        <v>8.4872999999999994</v>
      </c>
      <c r="I33" s="274">
        <f t="shared" ref="I33:I46" si="3">G33-H33</f>
        <v>0.16280000000000072</v>
      </c>
      <c r="J33" s="273">
        <f t="shared" si="1"/>
        <v>4.2199999999999266E-2</v>
      </c>
      <c r="K33" s="275">
        <f t="shared" si="2"/>
        <v>20.585365853658182</v>
      </c>
      <c r="L33">
        <v>30</v>
      </c>
      <c r="M33" s="16">
        <v>43388</v>
      </c>
      <c r="N33" s="276">
        <v>43389</v>
      </c>
      <c r="O33" s="16"/>
      <c r="R33" s="275"/>
    </row>
    <row r="34" spans="1:18">
      <c r="A34" t="s">
        <v>1909</v>
      </c>
      <c r="C34" t="s">
        <v>2702</v>
      </c>
      <c r="D34">
        <v>0.48530000000000001</v>
      </c>
      <c r="E34">
        <v>9.2226999999999997</v>
      </c>
      <c r="F34">
        <v>0.20430000000000001</v>
      </c>
      <c r="G34" s="274">
        <f t="shared" ref="G34:G65" si="4">E34+F34</f>
        <v>9.4269999999999996</v>
      </c>
      <c r="H34" s="274">
        <v>9.2571999999999992</v>
      </c>
      <c r="I34" s="274">
        <f t="shared" si="3"/>
        <v>0.1698000000000004</v>
      </c>
      <c r="J34" s="273">
        <f t="shared" ref="J34:J65" si="5">F34-I34</f>
        <v>3.4499999999999614E-2</v>
      </c>
      <c r="K34" s="275">
        <f t="shared" ref="K34:K65" si="6">(J34/F34)*100</f>
        <v>16.886930983847094</v>
      </c>
      <c r="L34">
        <v>32</v>
      </c>
      <c r="M34">
        <v>23.101800000000001</v>
      </c>
      <c r="N34" s="16">
        <v>43397</v>
      </c>
      <c r="R34" s="275"/>
    </row>
    <row r="35" spans="1:18">
      <c r="A35" t="s">
        <v>1907</v>
      </c>
      <c r="B35">
        <v>213</v>
      </c>
      <c r="D35">
        <v>0.3967</v>
      </c>
      <c r="E35">
        <v>10.5123</v>
      </c>
      <c r="F35">
        <v>0.20039999999999999</v>
      </c>
      <c r="G35" s="274">
        <f t="shared" si="4"/>
        <v>10.7127</v>
      </c>
      <c r="H35" s="274">
        <v>10.550700000000001</v>
      </c>
      <c r="I35" s="274">
        <f t="shared" si="3"/>
        <v>0.16199999999999903</v>
      </c>
      <c r="J35" s="273">
        <f t="shared" si="5"/>
        <v>3.8400000000000961E-2</v>
      </c>
      <c r="K35" s="275">
        <f t="shared" si="6"/>
        <v>19.161676646707068</v>
      </c>
      <c r="L35">
        <v>16</v>
      </c>
      <c r="M35" s="16">
        <v>43395</v>
      </c>
      <c r="N35" s="16">
        <v>43396</v>
      </c>
      <c r="R35" s="275"/>
    </row>
    <row r="36" spans="1:18">
      <c r="A36" t="s">
        <v>1906</v>
      </c>
      <c r="C36" t="s">
        <v>2756</v>
      </c>
      <c r="D36" s="273">
        <v>0.45729999999999998</v>
      </c>
      <c r="E36" s="274">
        <v>8.1690000000000005</v>
      </c>
      <c r="F36" s="274">
        <v>0.20030000000000001</v>
      </c>
      <c r="G36" s="274">
        <f t="shared" si="4"/>
        <v>8.3693000000000008</v>
      </c>
      <c r="H36" s="274">
        <v>8.2138000000000009</v>
      </c>
      <c r="I36" s="274">
        <f t="shared" si="3"/>
        <v>0.15549999999999997</v>
      </c>
      <c r="J36" s="273">
        <f t="shared" si="5"/>
        <v>4.4800000000000034E-2</v>
      </c>
      <c r="K36" s="275">
        <f t="shared" si="6"/>
        <v>22.366450324513245</v>
      </c>
      <c r="L36" s="273">
        <v>1</v>
      </c>
      <c r="M36" s="276">
        <v>43374</v>
      </c>
      <c r="N36" s="276">
        <v>43375</v>
      </c>
      <c r="O36" s="273" t="s">
        <v>3008</v>
      </c>
      <c r="P36" s="273"/>
      <c r="R36" s="275"/>
    </row>
    <row r="37" spans="1:18">
      <c r="A37" t="s">
        <v>1905</v>
      </c>
      <c r="C37" t="s">
        <v>2961</v>
      </c>
      <c r="D37">
        <v>0.89710000000000001</v>
      </c>
      <c r="E37">
        <v>10.0761</v>
      </c>
      <c r="F37">
        <v>0.2218</v>
      </c>
      <c r="G37" s="274">
        <f t="shared" si="4"/>
        <v>10.2979</v>
      </c>
      <c r="H37" s="274">
        <v>10.1014</v>
      </c>
      <c r="I37" s="274">
        <f t="shared" si="3"/>
        <v>0.19650000000000034</v>
      </c>
      <c r="J37" s="273">
        <f t="shared" si="5"/>
        <v>2.5299999999999656E-2</v>
      </c>
      <c r="K37" s="275">
        <f t="shared" si="6"/>
        <v>11.406672678088214</v>
      </c>
      <c r="L37">
        <v>26</v>
      </c>
      <c r="M37" s="276">
        <v>43363</v>
      </c>
      <c r="N37" s="276">
        <v>43364</v>
      </c>
      <c r="R37" s="275"/>
    </row>
    <row r="38" spans="1:18">
      <c r="A38" t="s">
        <v>1904</v>
      </c>
      <c r="C38" t="s">
        <v>2753</v>
      </c>
      <c r="D38">
        <v>0.76780000000000004</v>
      </c>
      <c r="E38">
        <v>8.7037999999999993</v>
      </c>
      <c r="F38">
        <v>0.22570000000000001</v>
      </c>
      <c r="G38">
        <f t="shared" si="4"/>
        <v>8.9294999999999991</v>
      </c>
      <c r="H38">
        <v>8.7919</v>
      </c>
      <c r="I38">
        <f t="shared" si="3"/>
        <v>0.13759999999999906</v>
      </c>
      <c r="J38" s="273">
        <f t="shared" si="5"/>
        <v>8.8100000000000955E-2</v>
      </c>
      <c r="K38" s="275">
        <f t="shared" si="6"/>
        <v>39.03411608329683</v>
      </c>
      <c r="M38" s="16">
        <v>43399</v>
      </c>
      <c r="N38" s="16">
        <v>43400</v>
      </c>
      <c r="P38" t="s">
        <v>2986</v>
      </c>
      <c r="R38" s="275"/>
    </row>
    <row r="39" spans="1:18">
      <c r="A39" t="s">
        <v>1903</v>
      </c>
      <c r="B39">
        <v>202</v>
      </c>
      <c r="C39" t="s">
        <v>2490</v>
      </c>
      <c r="D39">
        <v>0.53639999999999999</v>
      </c>
      <c r="E39">
        <v>10.922000000000001</v>
      </c>
      <c r="F39">
        <v>0.2041</v>
      </c>
      <c r="G39">
        <f t="shared" si="4"/>
        <v>11.126100000000001</v>
      </c>
      <c r="H39">
        <v>10.9625</v>
      </c>
      <c r="I39" s="274">
        <f t="shared" si="3"/>
        <v>0.16360000000000063</v>
      </c>
      <c r="J39" s="273">
        <f t="shared" si="5"/>
        <v>4.049999999999937E-2</v>
      </c>
      <c r="K39" s="275">
        <f t="shared" si="6"/>
        <v>19.843214110729726</v>
      </c>
      <c r="L39">
        <v>17</v>
      </c>
      <c r="M39" s="16">
        <v>43402</v>
      </c>
      <c r="N39" s="16">
        <v>43403</v>
      </c>
      <c r="R39" s="275"/>
    </row>
    <row r="40" spans="1:18">
      <c r="A40" t="s">
        <v>1902</v>
      </c>
      <c r="B40">
        <v>194</v>
      </c>
      <c r="D40">
        <v>0.27379999999999999</v>
      </c>
      <c r="E40">
        <v>9.0533000000000001</v>
      </c>
      <c r="F40">
        <v>0.20649999999999999</v>
      </c>
      <c r="G40" s="274">
        <f t="shared" si="4"/>
        <v>9.2598000000000003</v>
      </c>
      <c r="H40" s="274">
        <v>9.0852000000000004</v>
      </c>
      <c r="I40" s="274">
        <f t="shared" si="3"/>
        <v>0.17459999999999987</v>
      </c>
      <c r="J40" s="273">
        <f t="shared" si="5"/>
        <v>3.1900000000000123E-2</v>
      </c>
      <c r="K40" s="275">
        <f t="shared" si="6"/>
        <v>15.447941888619916</v>
      </c>
      <c r="L40">
        <v>22</v>
      </c>
      <c r="M40" s="16">
        <v>43388</v>
      </c>
      <c r="N40" s="276">
        <v>43389</v>
      </c>
      <c r="O40" s="16"/>
      <c r="P40" t="s">
        <v>3057</v>
      </c>
      <c r="R40" s="275"/>
    </row>
    <row r="41" spans="1:18">
      <c r="A41" t="s">
        <v>1901</v>
      </c>
      <c r="C41" t="s">
        <v>2706</v>
      </c>
      <c r="D41">
        <v>0.57299999999999995</v>
      </c>
      <c r="E41">
        <v>11.0909</v>
      </c>
      <c r="F41">
        <v>0.2011</v>
      </c>
      <c r="G41">
        <f t="shared" si="4"/>
        <v>11.292</v>
      </c>
      <c r="H41">
        <v>11.129200000000001</v>
      </c>
      <c r="I41" s="274">
        <f t="shared" si="3"/>
        <v>0.16279999999999895</v>
      </c>
      <c r="J41" s="273">
        <f t="shared" si="5"/>
        <v>3.8300000000001055E-2</v>
      </c>
      <c r="K41" s="275">
        <f t="shared" si="6"/>
        <v>19.04525111884687</v>
      </c>
      <c r="L41">
        <v>39</v>
      </c>
      <c r="M41" s="16">
        <v>43399</v>
      </c>
      <c r="N41" s="16">
        <v>43400</v>
      </c>
      <c r="R41" s="275"/>
    </row>
    <row r="42" spans="1:18">
      <c r="A42" t="s">
        <v>2035</v>
      </c>
      <c r="C42" t="s">
        <v>2770</v>
      </c>
      <c r="D42">
        <v>1.5294000000000001</v>
      </c>
      <c r="E42">
        <v>10.1083</v>
      </c>
      <c r="F42">
        <v>0.2006</v>
      </c>
      <c r="G42" s="274">
        <f t="shared" si="4"/>
        <v>10.3089</v>
      </c>
      <c r="H42" s="274">
        <v>10.122299999999999</v>
      </c>
      <c r="I42" s="274">
        <f t="shared" si="3"/>
        <v>0.18660000000000032</v>
      </c>
      <c r="J42" s="273">
        <f t="shared" si="5"/>
        <v>1.3999999999999679E-2</v>
      </c>
      <c r="K42" s="275">
        <f t="shared" si="6"/>
        <v>6.9790628115651439</v>
      </c>
      <c r="L42">
        <v>10</v>
      </c>
      <c r="M42" s="276">
        <v>43363</v>
      </c>
      <c r="N42" s="276">
        <v>43364</v>
      </c>
      <c r="O42" s="273"/>
      <c r="R42" s="275"/>
    </row>
    <row r="43" spans="1:18">
      <c r="A43" t="s">
        <v>1898</v>
      </c>
      <c r="C43" t="s">
        <v>2990</v>
      </c>
      <c r="D43">
        <v>1.7141999999999999</v>
      </c>
      <c r="E43">
        <v>11.0246</v>
      </c>
      <c r="F43">
        <v>0.2218</v>
      </c>
      <c r="G43" s="274">
        <f t="shared" si="4"/>
        <v>11.2464</v>
      </c>
      <c r="H43" s="274">
        <v>11.036899999999999</v>
      </c>
      <c r="I43" s="274">
        <f t="shared" si="3"/>
        <v>0.20950000000000024</v>
      </c>
      <c r="J43" s="273">
        <f t="shared" si="5"/>
        <v>1.2299999999999756E-2</v>
      </c>
      <c r="K43" s="275">
        <f t="shared" si="6"/>
        <v>5.545536519386725</v>
      </c>
      <c r="L43">
        <v>22</v>
      </c>
      <c r="M43" s="16">
        <v>43399</v>
      </c>
      <c r="N43" s="16">
        <v>43400</v>
      </c>
      <c r="R43" s="275"/>
    </row>
    <row r="44" spans="1:18">
      <c r="A44" t="s">
        <v>1897</v>
      </c>
      <c r="C44" t="s">
        <v>2772</v>
      </c>
      <c r="D44">
        <v>0.67800000000000005</v>
      </c>
      <c r="E44">
        <v>7.6650999999999998</v>
      </c>
      <c r="F44">
        <v>0.20669999999999999</v>
      </c>
      <c r="G44" s="274">
        <f t="shared" si="4"/>
        <v>7.8717999999999995</v>
      </c>
      <c r="H44" s="274">
        <v>7.8121999999999998</v>
      </c>
      <c r="I44" s="274">
        <f t="shared" si="3"/>
        <v>5.9599999999999653E-2</v>
      </c>
      <c r="J44" s="273">
        <f t="shared" si="5"/>
        <v>0.14710000000000034</v>
      </c>
      <c r="K44" s="275">
        <f t="shared" si="6"/>
        <v>71.165940977261897</v>
      </c>
      <c r="L44">
        <v>22</v>
      </c>
      <c r="M44" s="276">
        <v>43363</v>
      </c>
      <c r="N44" s="276">
        <v>43364</v>
      </c>
      <c r="O44" s="273" t="s">
        <v>3033</v>
      </c>
      <c r="R44" s="275"/>
    </row>
    <row r="45" spans="1:18">
      <c r="A45" t="s">
        <v>1895</v>
      </c>
      <c r="C45" t="s">
        <v>2715</v>
      </c>
      <c r="D45">
        <v>0.60899999999999999</v>
      </c>
      <c r="E45">
        <v>10.2729</v>
      </c>
      <c r="F45">
        <v>0.20849999999999999</v>
      </c>
      <c r="G45" s="274">
        <f t="shared" si="4"/>
        <v>10.481400000000001</v>
      </c>
      <c r="H45" s="274">
        <v>10.3217</v>
      </c>
      <c r="I45" s="274">
        <f t="shared" si="3"/>
        <v>0.15970000000000084</v>
      </c>
      <c r="J45" s="273">
        <f t="shared" si="5"/>
        <v>4.879999999999915E-2</v>
      </c>
      <c r="K45" s="275">
        <f t="shared" si="6"/>
        <v>23.40527577937609</v>
      </c>
      <c r="L45">
        <v>17</v>
      </c>
      <c r="M45" s="16">
        <v>43399</v>
      </c>
      <c r="N45" s="16">
        <v>43400</v>
      </c>
      <c r="R45" s="275"/>
    </row>
    <row r="46" spans="1:18">
      <c r="A46" t="s">
        <v>1894</v>
      </c>
      <c r="C46" t="s">
        <v>3030</v>
      </c>
      <c r="D46">
        <v>1.6411</v>
      </c>
      <c r="E46">
        <v>10.418200000000001</v>
      </c>
      <c r="F46">
        <v>0.21490000000000001</v>
      </c>
      <c r="G46" s="274">
        <f t="shared" si="4"/>
        <v>10.633100000000001</v>
      </c>
      <c r="H46" s="274">
        <v>10.430999999999999</v>
      </c>
      <c r="I46" s="274">
        <f t="shared" si="3"/>
        <v>0.2021000000000015</v>
      </c>
      <c r="J46" s="273">
        <f t="shared" si="5"/>
        <v>1.2799999999998507E-2</v>
      </c>
      <c r="K46" s="275">
        <f t="shared" si="6"/>
        <v>5.9562587249876717</v>
      </c>
      <c r="L46">
        <v>16</v>
      </c>
      <c r="M46" s="16">
        <v>43388</v>
      </c>
      <c r="N46" s="276">
        <v>43389</v>
      </c>
      <c r="O46" s="276"/>
      <c r="P46" s="273"/>
      <c r="R46" s="275"/>
    </row>
    <row r="47" spans="1:18">
      <c r="A47" t="s">
        <v>1893</v>
      </c>
      <c r="C47" t="s">
        <v>2948</v>
      </c>
      <c r="D47">
        <v>1.6581999999999999</v>
      </c>
      <c r="E47">
        <v>10.5092</v>
      </c>
      <c r="F47">
        <v>0.20150000000000001</v>
      </c>
      <c r="G47" s="274">
        <f t="shared" si="4"/>
        <v>10.710699999999999</v>
      </c>
      <c r="H47" s="274">
        <v>10.5219</v>
      </c>
      <c r="I47" s="274">
        <f>(G47-H47)</f>
        <v>0.18879999999999875</v>
      </c>
      <c r="J47" s="273">
        <f t="shared" si="5"/>
        <v>1.2700000000001266E-2</v>
      </c>
      <c r="K47" s="275">
        <f t="shared" si="6"/>
        <v>6.3027295285366076</v>
      </c>
      <c r="L47">
        <v>37</v>
      </c>
      <c r="M47" s="16">
        <v>43358</v>
      </c>
      <c r="N47" s="16">
        <v>43358</v>
      </c>
      <c r="R47" s="275"/>
    </row>
    <row r="48" spans="1:18">
      <c r="A48" t="s">
        <v>1892</v>
      </c>
      <c r="B48">
        <v>200</v>
      </c>
      <c r="C48" t="s">
        <v>2490</v>
      </c>
      <c r="D48">
        <v>0.53959999999999997</v>
      </c>
      <c r="E48">
        <v>8.1367999999999991</v>
      </c>
      <c r="F48">
        <v>0.2099</v>
      </c>
      <c r="G48" s="274">
        <f t="shared" si="4"/>
        <v>8.3466999999999985</v>
      </c>
      <c r="H48" s="274">
        <v>8.1814999999999998</v>
      </c>
      <c r="I48" s="274">
        <f>G48-H48</f>
        <v>0.16519999999999868</v>
      </c>
      <c r="J48" s="273">
        <f t="shared" si="5"/>
        <v>4.4700000000001322E-2</v>
      </c>
      <c r="K48" s="275">
        <f t="shared" si="6"/>
        <v>21.295855169128785</v>
      </c>
      <c r="L48">
        <v>42</v>
      </c>
      <c r="M48" s="16">
        <v>43395</v>
      </c>
      <c r="N48" s="16">
        <v>43396</v>
      </c>
      <c r="R48" s="275"/>
    </row>
    <row r="49" spans="1:18">
      <c r="A49" t="s">
        <v>1891</v>
      </c>
      <c r="C49" t="s">
        <v>2971</v>
      </c>
      <c r="D49">
        <v>0.58809999999999996</v>
      </c>
      <c r="E49">
        <v>7.8015999999999996</v>
      </c>
      <c r="F49">
        <v>0.21840000000000001</v>
      </c>
      <c r="G49" s="274">
        <f t="shared" si="4"/>
        <v>8.02</v>
      </c>
      <c r="H49" s="274">
        <v>7.8402000000000003</v>
      </c>
      <c r="I49" s="274">
        <f>(G49-H49)</f>
        <v>0.17979999999999929</v>
      </c>
      <c r="J49" s="273">
        <f t="shared" si="5"/>
        <v>3.8600000000000717E-2</v>
      </c>
      <c r="K49" s="275">
        <f t="shared" si="6"/>
        <v>17.673992673993002</v>
      </c>
      <c r="L49">
        <v>28</v>
      </c>
      <c r="M49" s="276">
        <v>43360</v>
      </c>
      <c r="N49" s="276">
        <v>43361</v>
      </c>
      <c r="R49" s="275"/>
    </row>
    <row r="50" spans="1:18">
      <c r="A50" t="s">
        <v>1889</v>
      </c>
      <c r="C50" t="s">
        <v>2780</v>
      </c>
      <c r="D50">
        <v>1.5247999999999999</v>
      </c>
      <c r="E50">
        <v>7.0930999999999997</v>
      </c>
      <c r="F50">
        <v>0.20499999999999999</v>
      </c>
      <c r="G50" s="274">
        <f t="shared" si="4"/>
        <v>7.2980999999999998</v>
      </c>
      <c r="H50" s="274">
        <v>7.1116999999999999</v>
      </c>
      <c r="I50" s="274">
        <f t="shared" ref="I50:I60" si="7">G50-H50</f>
        <v>0.1863999999999999</v>
      </c>
      <c r="J50" s="273">
        <f t="shared" si="5"/>
        <v>1.8600000000000089E-2</v>
      </c>
      <c r="K50" s="275">
        <f t="shared" si="6"/>
        <v>9.0731707317073607</v>
      </c>
      <c r="L50">
        <v>35</v>
      </c>
      <c r="M50" s="276">
        <v>43363</v>
      </c>
      <c r="N50" s="276">
        <v>43364</v>
      </c>
      <c r="R50" s="275"/>
    </row>
    <row r="51" spans="1:18">
      <c r="A51" t="s">
        <v>1888</v>
      </c>
      <c r="C51" t="s">
        <v>3037</v>
      </c>
      <c r="D51">
        <v>1.2806</v>
      </c>
      <c r="E51">
        <v>10.511799999999999</v>
      </c>
      <c r="F51">
        <v>0.2288</v>
      </c>
      <c r="G51" s="274">
        <f t="shared" si="4"/>
        <v>10.740599999999999</v>
      </c>
      <c r="H51" s="274">
        <v>10.539199999999999</v>
      </c>
      <c r="I51" s="274">
        <f t="shared" si="7"/>
        <v>0.20139999999999958</v>
      </c>
      <c r="J51" s="273">
        <f t="shared" si="5"/>
        <v>2.7400000000000424E-2</v>
      </c>
      <c r="K51" s="275">
        <f t="shared" si="6"/>
        <v>11.975524475524661</v>
      </c>
      <c r="L51">
        <v>23</v>
      </c>
      <c r="M51" s="276">
        <v>43363</v>
      </c>
      <c r="N51" s="276">
        <v>43364</v>
      </c>
      <c r="O51" s="273" t="s">
        <v>3033</v>
      </c>
      <c r="R51" s="275"/>
    </row>
    <row r="52" spans="1:18">
      <c r="A52" t="s">
        <v>1884</v>
      </c>
      <c r="C52" t="s">
        <v>3023</v>
      </c>
      <c r="D52">
        <v>1.7110000000000001</v>
      </c>
      <c r="E52">
        <v>7.9946000000000002</v>
      </c>
      <c r="F52">
        <v>0.2059</v>
      </c>
      <c r="G52" s="274">
        <f t="shared" si="4"/>
        <v>8.2004999999999999</v>
      </c>
      <c r="H52" s="274">
        <v>8.0063999999999993</v>
      </c>
      <c r="I52" s="274">
        <f t="shared" si="7"/>
        <v>0.19410000000000061</v>
      </c>
      <c r="J52" s="273">
        <f t="shared" si="5"/>
        <v>1.1799999999999394E-2</v>
      </c>
      <c r="K52" s="275">
        <f t="shared" si="6"/>
        <v>5.730937348227001</v>
      </c>
      <c r="L52">
        <v>5</v>
      </c>
      <c r="M52" s="16">
        <v>43399</v>
      </c>
      <c r="N52" s="16">
        <v>43400</v>
      </c>
      <c r="R52" s="275"/>
    </row>
    <row r="53" spans="1:18">
      <c r="A53" t="s">
        <v>1883</v>
      </c>
      <c r="C53" t="s">
        <v>2997</v>
      </c>
      <c r="D53">
        <v>0.79720000000000002</v>
      </c>
      <c r="E53">
        <v>9.2212999999999994</v>
      </c>
      <c r="F53">
        <v>0.22459999999999999</v>
      </c>
      <c r="G53" s="274">
        <f t="shared" si="4"/>
        <v>9.4459</v>
      </c>
      <c r="H53" s="274">
        <v>9.2627000000000006</v>
      </c>
      <c r="I53" s="274">
        <f t="shared" si="7"/>
        <v>0.18319999999999936</v>
      </c>
      <c r="J53" s="273">
        <f t="shared" si="5"/>
        <v>4.1400000000000631E-2</v>
      </c>
      <c r="K53" s="275">
        <f t="shared" si="6"/>
        <v>18.432769367765196</v>
      </c>
      <c r="L53">
        <v>18</v>
      </c>
      <c r="M53" s="276">
        <v>43374</v>
      </c>
      <c r="N53" s="276">
        <v>43375</v>
      </c>
      <c r="O53" s="273" t="s">
        <v>3008</v>
      </c>
      <c r="R53" s="275"/>
    </row>
    <row r="54" spans="1:18">
      <c r="A54" t="s">
        <v>1882</v>
      </c>
      <c r="B54">
        <v>203</v>
      </c>
      <c r="C54" t="s">
        <v>2490</v>
      </c>
      <c r="D54">
        <v>0.55449999999999999</v>
      </c>
      <c r="E54">
        <v>7.5293999999999999</v>
      </c>
      <c r="F54">
        <v>0.2059</v>
      </c>
      <c r="G54">
        <f t="shared" si="4"/>
        <v>7.7352999999999996</v>
      </c>
      <c r="H54">
        <v>7.5590999999999999</v>
      </c>
      <c r="I54" s="274">
        <f t="shared" si="7"/>
        <v>0.17619999999999969</v>
      </c>
      <c r="J54" s="273">
        <f t="shared" si="5"/>
        <v>2.9700000000000309E-2</v>
      </c>
      <c r="K54" s="275">
        <f t="shared" si="6"/>
        <v>14.424477901894273</v>
      </c>
      <c r="L54">
        <v>18</v>
      </c>
      <c r="M54" s="16">
        <v>43402</v>
      </c>
      <c r="N54" s="16">
        <v>43403</v>
      </c>
      <c r="R54" s="275"/>
    </row>
    <row r="55" spans="1:18">
      <c r="A55" t="s">
        <v>1881</v>
      </c>
      <c r="B55">
        <v>211</v>
      </c>
      <c r="C55" t="s">
        <v>2490</v>
      </c>
      <c r="D55">
        <v>0.54249999999999998</v>
      </c>
      <c r="E55">
        <v>11.444000000000001</v>
      </c>
      <c r="F55">
        <v>0.20030000000000001</v>
      </c>
      <c r="G55" s="274">
        <f t="shared" si="4"/>
        <v>11.644300000000001</v>
      </c>
      <c r="H55" s="274">
        <v>11.4878</v>
      </c>
      <c r="I55" s="274">
        <f t="shared" si="7"/>
        <v>0.15650000000000119</v>
      </c>
      <c r="J55" s="273">
        <f t="shared" si="5"/>
        <v>4.3799999999998812E-2</v>
      </c>
      <c r="K55" s="275">
        <f t="shared" si="6"/>
        <v>21.867199201197611</v>
      </c>
      <c r="L55">
        <v>21</v>
      </c>
      <c r="M55" s="16">
        <v>43399</v>
      </c>
      <c r="N55" s="16">
        <v>43400</v>
      </c>
      <c r="R55" s="275"/>
    </row>
    <row r="56" spans="1:18">
      <c r="A56" t="s">
        <v>2033</v>
      </c>
      <c r="C56" t="s">
        <v>2712</v>
      </c>
      <c r="D56">
        <v>0.56720000000000004</v>
      </c>
      <c r="E56">
        <v>7.3182</v>
      </c>
      <c r="F56">
        <v>0.20519999999999999</v>
      </c>
      <c r="G56" s="278">
        <f t="shared" si="4"/>
        <v>7.5233999999999996</v>
      </c>
      <c r="H56" s="274">
        <v>7.3620000000000001</v>
      </c>
      <c r="I56" s="278">
        <f t="shared" si="7"/>
        <v>0.16139999999999954</v>
      </c>
      <c r="J56" s="273">
        <f t="shared" si="5"/>
        <v>4.380000000000045E-2</v>
      </c>
      <c r="K56" s="275">
        <f t="shared" si="6"/>
        <v>21.345029239766301</v>
      </c>
      <c r="L56">
        <v>30</v>
      </c>
      <c r="M56" s="276">
        <v>43379</v>
      </c>
      <c r="N56" s="276">
        <v>43379</v>
      </c>
      <c r="R56" s="275"/>
    </row>
    <row r="57" spans="1:18">
      <c r="A57" t="s">
        <v>1880</v>
      </c>
      <c r="B57">
        <v>218</v>
      </c>
      <c r="D57">
        <v>0.49509999999999998</v>
      </c>
      <c r="E57">
        <v>9.6803000000000008</v>
      </c>
      <c r="F57">
        <v>0.2137</v>
      </c>
      <c r="G57" s="274">
        <f t="shared" si="4"/>
        <v>9.8940000000000001</v>
      </c>
      <c r="H57" s="274">
        <v>9.7294999999999998</v>
      </c>
      <c r="I57" s="274">
        <f t="shared" si="7"/>
        <v>0.16450000000000031</v>
      </c>
      <c r="J57" s="273">
        <f t="shared" si="5"/>
        <v>4.9199999999999688E-2</v>
      </c>
      <c r="K57" s="275">
        <f t="shared" si="6"/>
        <v>23.022929340196391</v>
      </c>
      <c r="L57">
        <v>14</v>
      </c>
      <c r="M57" s="16">
        <v>43395</v>
      </c>
      <c r="N57" s="16">
        <v>43396</v>
      </c>
      <c r="R57" s="275"/>
    </row>
    <row r="58" spans="1:18">
      <c r="A58" t="s">
        <v>1879</v>
      </c>
      <c r="C58" t="s">
        <v>2751</v>
      </c>
      <c r="D58">
        <v>0.57020000000000004</v>
      </c>
      <c r="E58">
        <v>7.4804000000000004</v>
      </c>
      <c r="F58">
        <v>0.2079</v>
      </c>
      <c r="G58" s="274">
        <f t="shared" si="4"/>
        <v>7.6883000000000008</v>
      </c>
      <c r="H58" s="274">
        <v>7.5321999999999996</v>
      </c>
      <c r="I58" s="274">
        <f t="shared" si="7"/>
        <v>0.15610000000000124</v>
      </c>
      <c r="J58" s="273">
        <f t="shared" si="5"/>
        <v>5.1799999999998764E-2</v>
      </c>
      <c r="K58" s="275">
        <f t="shared" si="6"/>
        <v>24.915824915824324</v>
      </c>
      <c r="L58">
        <v>5</v>
      </c>
      <c r="M58">
        <v>23.101800000000001</v>
      </c>
      <c r="N58" s="16">
        <v>43397</v>
      </c>
      <c r="R58" s="275"/>
    </row>
    <row r="59" spans="1:18">
      <c r="A59" t="s">
        <v>1878</v>
      </c>
      <c r="C59" t="s">
        <v>2965</v>
      </c>
      <c r="D59">
        <v>1.6617999999999999</v>
      </c>
      <c r="E59">
        <v>10.6196</v>
      </c>
      <c r="F59">
        <v>0.23619999999999999</v>
      </c>
      <c r="G59" s="274">
        <f t="shared" si="4"/>
        <v>10.8558</v>
      </c>
      <c r="H59" s="274">
        <v>10.632899999999999</v>
      </c>
      <c r="I59" s="274">
        <f t="shared" si="7"/>
        <v>0.22290000000000099</v>
      </c>
      <c r="J59" s="273">
        <f t="shared" si="5"/>
        <v>1.3299999999999007E-2</v>
      </c>
      <c r="K59" s="275">
        <f t="shared" si="6"/>
        <v>5.6308213378488601</v>
      </c>
      <c r="L59">
        <v>20</v>
      </c>
      <c r="M59" s="16">
        <v>43381</v>
      </c>
      <c r="N59" s="16">
        <v>43382</v>
      </c>
      <c r="R59" s="275"/>
    </row>
    <row r="60" spans="1:18">
      <c r="A60" t="s">
        <v>1877</v>
      </c>
      <c r="B60">
        <v>205</v>
      </c>
      <c r="C60" t="s">
        <v>2490</v>
      </c>
      <c r="D60">
        <v>0.63280000000000003</v>
      </c>
      <c r="E60">
        <v>8.8627000000000002</v>
      </c>
      <c r="F60">
        <v>0.217</v>
      </c>
      <c r="G60">
        <f t="shared" si="4"/>
        <v>9.0797000000000008</v>
      </c>
      <c r="H60">
        <v>8.9017999999999997</v>
      </c>
      <c r="I60" s="274">
        <f t="shared" si="7"/>
        <v>0.17790000000000106</v>
      </c>
      <c r="J60" s="273">
        <f t="shared" si="5"/>
        <v>3.9099999999998941E-2</v>
      </c>
      <c r="K60" s="275">
        <f t="shared" si="6"/>
        <v>18.018433179723015</v>
      </c>
      <c r="L60">
        <v>40</v>
      </c>
      <c r="M60" s="16">
        <v>43399</v>
      </c>
      <c r="N60" s="16">
        <v>43400</v>
      </c>
      <c r="R60" s="275"/>
    </row>
    <row r="61" spans="1:18">
      <c r="A61" t="s">
        <v>1876</v>
      </c>
      <c r="C61" t="s">
        <v>2943</v>
      </c>
      <c r="D61">
        <v>1.7222</v>
      </c>
      <c r="E61">
        <v>8.8440999999999992</v>
      </c>
      <c r="F61">
        <v>0.20219999999999999</v>
      </c>
      <c r="G61" s="274">
        <f t="shared" si="4"/>
        <v>9.0462999999999987</v>
      </c>
      <c r="H61" s="274">
        <v>8.8551000000000002</v>
      </c>
      <c r="I61" s="274">
        <f>(G61-H61)</f>
        <v>0.19119999999999848</v>
      </c>
      <c r="J61" s="273">
        <f t="shared" si="5"/>
        <v>1.1000000000001509E-2</v>
      </c>
      <c r="K61" s="275">
        <f t="shared" si="6"/>
        <v>5.4401582591501034</v>
      </c>
      <c r="L61">
        <v>13</v>
      </c>
      <c r="M61" s="276">
        <v>43355.625</v>
      </c>
      <c r="N61" s="276">
        <v>43355.791666666664</v>
      </c>
      <c r="O61" s="273" t="s">
        <v>2938</v>
      </c>
      <c r="R61" s="275"/>
    </row>
    <row r="62" spans="1:18">
      <c r="A62" t="s">
        <v>1875</v>
      </c>
      <c r="C62" t="s">
        <v>2774</v>
      </c>
      <c r="D62">
        <v>1.0085</v>
      </c>
      <c r="E62">
        <v>11.089</v>
      </c>
      <c r="F62">
        <v>0.23849999999999999</v>
      </c>
      <c r="G62" s="274">
        <f t="shared" si="4"/>
        <v>11.327500000000001</v>
      </c>
      <c r="H62" s="274">
        <v>11.142799999999999</v>
      </c>
      <c r="I62" s="274">
        <f t="shared" ref="I62:I71" si="8">G62-H62</f>
        <v>0.1847000000000012</v>
      </c>
      <c r="J62" s="273">
        <f t="shared" si="5"/>
        <v>5.3799999999998793E-2</v>
      </c>
      <c r="K62" s="275">
        <f t="shared" si="6"/>
        <v>22.557651991613749</v>
      </c>
      <c r="L62">
        <v>19</v>
      </c>
      <c r="M62" s="276">
        <v>43363</v>
      </c>
      <c r="N62" s="276">
        <v>43364</v>
      </c>
      <c r="O62" s="273" t="s">
        <v>3033</v>
      </c>
      <c r="R62" s="275"/>
    </row>
    <row r="63" spans="1:18">
      <c r="A63" t="s">
        <v>1874</v>
      </c>
      <c r="C63" t="s">
        <v>3059</v>
      </c>
      <c r="D63">
        <v>1.0862000000000001</v>
      </c>
      <c r="E63">
        <v>11.1609</v>
      </c>
      <c r="F63">
        <v>0.20930000000000001</v>
      </c>
      <c r="G63" s="274">
        <f t="shared" si="4"/>
        <v>11.370200000000001</v>
      </c>
      <c r="H63" s="274">
        <v>11.1906</v>
      </c>
      <c r="I63" s="274">
        <f t="shared" si="8"/>
        <v>0.17960000000000065</v>
      </c>
      <c r="J63" s="273">
        <f t="shared" si="5"/>
        <v>2.9699999999999366E-2</v>
      </c>
      <c r="K63" s="275">
        <f t="shared" si="6"/>
        <v>14.190157668418236</v>
      </c>
      <c r="L63">
        <v>3</v>
      </c>
      <c r="M63" s="16">
        <v>43399</v>
      </c>
      <c r="N63" s="16">
        <v>43400</v>
      </c>
      <c r="R63" s="275"/>
    </row>
    <row r="64" spans="1:18">
      <c r="A64" t="s">
        <v>1871</v>
      </c>
      <c r="B64">
        <v>203</v>
      </c>
      <c r="C64" t="s">
        <v>2490</v>
      </c>
      <c r="D64">
        <v>0.40100000000000002</v>
      </c>
      <c r="E64">
        <v>11.173500000000001</v>
      </c>
      <c r="F64">
        <v>0.20399999999999999</v>
      </c>
      <c r="G64">
        <f t="shared" si="4"/>
        <v>11.377500000000001</v>
      </c>
      <c r="H64">
        <v>11.223599999999999</v>
      </c>
      <c r="I64" s="274">
        <f t="shared" si="8"/>
        <v>0.15390000000000192</v>
      </c>
      <c r="J64" s="273">
        <f t="shared" si="5"/>
        <v>5.0099999999998063E-2</v>
      </c>
      <c r="K64" s="275">
        <f t="shared" si="6"/>
        <v>24.558823529410816</v>
      </c>
      <c r="L64">
        <v>12</v>
      </c>
      <c r="M64" s="16">
        <v>43402</v>
      </c>
      <c r="N64" s="16">
        <v>43403</v>
      </c>
      <c r="R64" s="275"/>
    </row>
    <row r="65" spans="1:18">
      <c r="A65" t="s">
        <v>1869</v>
      </c>
      <c r="B65">
        <v>202</v>
      </c>
      <c r="C65" t="s">
        <v>2490</v>
      </c>
      <c r="D65">
        <v>0.61839999999999995</v>
      </c>
      <c r="E65">
        <v>7.7754000000000003</v>
      </c>
      <c r="F65">
        <v>0.22239999999999999</v>
      </c>
      <c r="G65" s="274">
        <f t="shared" si="4"/>
        <v>7.9978000000000007</v>
      </c>
      <c r="H65" s="274">
        <v>7.8433000000000002</v>
      </c>
      <c r="I65" s="274">
        <f t="shared" si="8"/>
        <v>0.15450000000000053</v>
      </c>
      <c r="J65" s="273">
        <f t="shared" si="5"/>
        <v>6.7899999999999461E-2</v>
      </c>
      <c r="K65" s="275">
        <f t="shared" si="6"/>
        <v>30.530575539568105</v>
      </c>
      <c r="L65">
        <v>36</v>
      </c>
      <c r="M65" s="16">
        <v>43395</v>
      </c>
      <c r="N65" s="16">
        <v>43396</v>
      </c>
      <c r="R65" s="275"/>
    </row>
    <row r="66" spans="1:18">
      <c r="A66" t="s">
        <v>1868</v>
      </c>
      <c r="B66">
        <v>199</v>
      </c>
      <c r="C66" t="s">
        <v>2490</v>
      </c>
      <c r="D66">
        <v>0.43680000000000002</v>
      </c>
      <c r="E66">
        <v>10.126300000000001</v>
      </c>
      <c r="F66">
        <v>0.20269999999999999</v>
      </c>
      <c r="G66">
        <f t="shared" ref="G66:G88" si="9">E66+F66</f>
        <v>10.329000000000001</v>
      </c>
      <c r="H66">
        <v>10.1569</v>
      </c>
      <c r="I66" s="274">
        <f t="shared" si="8"/>
        <v>0.17210000000000036</v>
      </c>
      <c r="J66" s="273">
        <f t="shared" ref="J66:J88" si="10">F66-I66</f>
        <v>3.0599999999999627E-2</v>
      </c>
      <c r="K66" s="275">
        <f t="shared" ref="K66:K88" si="11">(J66/F66)*100</f>
        <v>15.096201282683586</v>
      </c>
      <c r="L66">
        <v>29</v>
      </c>
      <c r="M66" s="16">
        <v>43399</v>
      </c>
      <c r="N66" s="16">
        <v>43400</v>
      </c>
      <c r="R66" s="275"/>
    </row>
    <row r="67" spans="1:18">
      <c r="A67" t="s">
        <v>1867</v>
      </c>
      <c r="C67" t="s">
        <v>2757</v>
      </c>
      <c r="D67">
        <v>0.71299999999999997</v>
      </c>
      <c r="E67">
        <v>10.2034</v>
      </c>
      <c r="F67">
        <v>0.20280000000000001</v>
      </c>
      <c r="G67" s="274">
        <f t="shared" si="9"/>
        <v>10.4062</v>
      </c>
      <c r="H67" s="274">
        <v>10.277200000000001</v>
      </c>
      <c r="I67" s="274">
        <f t="shared" si="8"/>
        <v>0.12899999999999956</v>
      </c>
      <c r="J67" s="273">
        <f t="shared" si="10"/>
        <v>7.3800000000000449E-2</v>
      </c>
      <c r="K67" s="275">
        <f t="shared" si="11"/>
        <v>36.390532544378914</v>
      </c>
      <c r="L67">
        <v>5</v>
      </c>
      <c r="M67" s="276">
        <v>43363</v>
      </c>
      <c r="N67" s="276">
        <v>43364</v>
      </c>
      <c r="O67" s="273" t="s">
        <v>3033</v>
      </c>
      <c r="P67" t="s">
        <v>3034</v>
      </c>
      <c r="R67" s="275"/>
    </row>
    <row r="68" spans="1:18">
      <c r="A68" t="s">
        <v>1866</v>
      </c>
      <c r="C68" t="s">
        <v>3035</v>
      </c>
      <c r="D68">
        <v>0.79810000000000003</v>
      </c>
      <c r="E68">
        <v>10.6745</v>
      </c>
      <c r="F68">
        <v>0.21310000000000001</v>
      </c>
      <c r="G68" s="274">
        <f t="shared" si="9"/>
        <v>10.887600000000001</v>
      </c>
      <c r="H68" s="274">
        <v>10.7004</v>
      </c>
      <c r="I68" s="274">
        <f t="shared" si="8"/>
        <v>0.1872000000000007</v>
      </c>
      <c r="J68" s="273">
        <f t="shared" si="10"/>
        <v>2.5899999999999312E-2</v>
      </c>
      <c r="K68" s="275">
        <f t="shared" si="11"/>
        <v>12.153918348193013</v>
      </c>
      <c r="L68">
        <v>21</v>
      </c>
      <c r="M68" s="276">
        <v>43363</v>
      </c>
      <c r="N68" s="276">
        <v>43364</v>
      </c>
      <c r="R68" s="275"/>
    </row>
    <row r="69" spans="1:18">
      <c r="A69" t="s">
        <v>1865</v>
      </c>
      <c r="C69" t="s">
        <v>2753</v>
      </c>
      <c r="D69">
        <v>0.55979999999999996</v>
      </c>
      <c r="E69">
        <v>10.1454</v>
      </c>
      <c r="F69">
        <v>0.2049</v>
      </c>
      <c r="G69" s="274">
        <f t="shared" si="9"/>
        <v>10.350300000000001</v>
      </c>
      <c r="H69" s="274">
        <v>10.1907</v>
      </c>
      <c r="I69" s="274">
        <f t="shared" si="8"/>
        <v>0.15960000000000107</v>
      </c>
      <c r="J69" s="273">
        <f t="shared" si="10"/>
        <v>4.5299999999998924E-2</v>
      </c>
      <c r="K69" s="275">
        <f t="shared" si="11"/>
        <v>22.108345534406503</v>
      </c>
      <c r="L69">
        <v>30</v>
      </c>
      <c r="M69" s="276">
        <v>43374</v>
      </c>
      <c r="N69" s="276">
        <v>43375</v>
      </c>
      <c r="O69" s="273" t="s">
        <v>3008</v>
      </c>
      <c r="R69" s="275"/>
    </row>
    <row r="70" spans="1:18">
      <c r="A70" t="s">
        <v>1864</v>
      </c>
      <c r="B70">
        <v>200</v>
      </c>
      <c r="C70" t="s">
        <v>2490</v>
      </c>
      <c r="D70">
        <v>0.502</v>
      </c>
      <c r="E70">
        <v>7.4816000000000003</v>
      </c>
      <c r="F70">
        <v>0.23400000000000001</v>
      </c>
      <c r="G70">
        <f t="shared" si="9"/>
        <v>7.7156000000000002</v>
      </c>
      <c r="H70">
        <v>7.5110999999999999</v>
      </c>
      <c r="I70" s="274">
        <f t="shared" si="8"/>
        <v>0.20450000000000035</v>
      </c>
      <c r="J70" s="273">
        <f t="shared" si="10"/>
        <v>2.9499999999999665E-2</v>
      </c>
      <c r="K70" s="275">
        <f t="shared" si="11"/>
        <v>12.606837606837463</v>
      </c>
      <c r="L70">
        <v>24</v>
      </c>
      <c r="M70" s="16">
        <v>43399</v>
      </c>
      <c r="N70" s="16">
        <v>43400</v>
      </c>
      <c r="R70" s="275"/>
    </row>
    <row r="71" spans="1:18">
      <c r="A71" t="s">
        <v>1863</v>
      </c>
      <c r="C71" t="s">
        <v>3059</v>
      </c>
      <c r="D71">
        <v>0.96719999999999995</v>
      </c>
      <c r="E71">
        <v>9.0335000000000001</v>
      </c>
      <c r="F71">
        <v>0.2082</v>
      </c>
      <c r="G71">
        <f t="shared" si="9"/>
        <v>9.2416999999999998</v>
      </c>
      <c r="H71">
        <v>9.0564</v>
      </c>
      <c r="I71" s="274">
        <f t="shared" si="8"/>
        <v>0.1852999999999998</v>
      </c>
      <c r="J71" s="273">
        <f t="shared" si="10"/>
        <v>2.2900000000000198E-2</v>
      </c>
      <c r="K71" s="275">
        <f t="shared" si="11"/>
        <v>10.999039385206627</v>
      </c>
      <c r="L71">
        <v>12</v>
      </c>
      <c r="M71" s="16">
        <v>43399</v>
      </c>
      <c r="N71" s="16">
        <v>43400</v>
      </c>
      <c r="R71" s="275"/>
    </row>
    <row r="72" spans="1:18">
      <c r="A72" t="s">
        <v>1862</v>
      </c>
      <c r="C72" t="s">
        <v>2952</v>
      </c>
      <c r="D72">
        <v>1.6246</v>
      </c>
      <c r="E72">
        <v>8.0631000000000004</v>
      </c>
      <c r="F72">
        <v>0.20319999999999999</v>
      </c>
      <c r="G72" s="274">
        <f t="shared" si="9"/>
        <v>8.2663000000000011</v>
      </c>
      <c r="H72" s="274">
        <v>8.0751000000000008</v>
      </c>
      <c r="I72" s="274">
        <f>(G72-H72)</f>
        <v>0.19120000000000026</v>
      </c>
      <c r="J72" s="273">
        <f t="shared" si="10"/>
        <v>1.1999999999999733E-2</v>
      </c>
      <c r="K72" s="275">
        <f t="shared" si="11"/>
        <v>5.9055118110234908</v>
      </c>
      <c r="L72">
        <v>17</v>
      </c>
      <c r="M72" s="16">
        <v>43358</v>
      </c>
      <c r="N72" s="16">
        <v>43358</v>
      </c>
      <c r="R72" s="275"/>
    </row>
    <row r="73" spans="1:18">
      <c r="A73" t="s">
        <v>1861</v>
      </c>
      <c r="C73" t="s">
        <v>3042</v>
      </c>
      <c r="D73">
        <v>0.57599999999999996</v>
      </c>
      <c r="E73">
        <v>9.8216000000000001</v>
      </c>
      <c r="F73">
        <v>0.20580000000000001</v>
      </c>
      <c r="G73" s="278">
        <f t="shared" si="9"/>
        <v>10.0274</v>
      </c>
      <c r="H73" s="274">
        <v>9.8629999999999995</v>
      </c>
      <c r="I73" s="278">
        <f t="shared" ref="I73:I81" si="12">G73-H73</f>
        <v>0.16440000000000055</v>
      </c>
      <c r="J73" s="273">
        <f t="shared" si="10"/>
        <v>4.1399999999999465E-2</v>
      </c>
      <c r="K73" s="275">
        <f t="shared" si="11"/>
        <v>20.116618075801487</v>
      </c>
      <c r="L73">
        <v>34</v>
      </c>
      <c r="M73" s="276">
        <v>43379</v>
      </c>
      <c r="N73" s="276">
        <v>43379</v>
      </c>
      <c r="R73" s="275"/>
    </row>
    <row r="74" spans="1:18">
      <c r="A74" t="s">
        <v>2031</v>
      </c>
      <c r="C74" t="s">
        <v>2771</v>
      </c>
      <c r="D74">
        <v>0.86140000000000005</v>
      </c>
      <c r="E74">
        <v>7.8017000000000003</v>
      </c>
      <c r="F74">
        <v>0.2054</v>
      </c>
      <c r="G74" s="274">
        <f t="shared" si="9"/>
        <v>8.0070999999999994</v>
      </c>
      <c r="H74" s="274">
        <v>7.8273000000000001</v>
      </c>
      <c r="I74" s="274">
        <f t="shared" si="12"/>
        <v>0.17979999999999929</v>
      </c>
      <c r="J74" s="273">
        <f t="shared" si="10"/>
        <v>2.5600000000000706E-2</v>
      </c>
      <c r="K74" s="275">
        <f t="shared" si="11"/>
        <v>12.463485881207744</v>
      </c>
      <c r="L74">
        <v>11</v>
      </c>
      <c r="M74" s="276">
        <v>43363</v>
      </c>
      <c r="N74" s="276">
        <v>43364</v>
      </c>
      <c r="O74" s="273"/>
      <c r="R74" s="275"/>
    </row>
    <row r="75" spans="1:18">
      <c r="A75" t="s">
        <v>1860</v>
      </c>
      <c r="C75" t="s">
        <v>3021</v>
      </c>
      <c r="D75">
        <v>1.5517000000000001</v>
      </c>
      <c r="E75">
        <v>20.988499999999998</v>
      </c>
      <c r="F75">
        <v>0.2056</v>
      </c>
      <c r="G75" s="274">
        <f t="shared" si="9"/>
        <v>21.194099999999999</v>
      </c>
      <c r="H75" s="274">
        <v>21.000900000000001</v>
      </c>
      <c r="I75" s="274">
        <f t="shared" si="12"/>
        <v>0.19319999999999737</v>
      </c>
      <c r="J75" s="273">
        <f t="shared" si="10"/>
        <v>1.2400000000002631E-2</v>
      </c>
      <c r="K75" s="275">
        <f t="shared" si="11"/>
        <v>6.0311284046705405</v>
      </c>
      <c r="L75">
        <v>10</v>
      </c>
      <c r="M75" s="276">
        <v>43362</v>
      </c>
      <c r="N75" s="276">
        <v>43363</v>
      </c>
      <c r="O75" s="273"/>
      <c r="R75" s="275"/>
    </row>
    <row r="76" spans="1:18">
      <c r="A76" t="s">
        <v>1857</v>
      </c>
      <c r="C76" t="s">
        <v>3032</v>
      </c>
      <c r="D76">
        <v>1.7357</v>
      </c>
      <c r="E76">
        <v>11.1074</v>
      </c>
      <c r="F76">
        <v>0.22459999999999999</v>
      </c>
      <c r="G76" s="274">
        <f t="shared" si="9"/>
        <v>11.332000000000001</v>
      </c>
      <c r="H76" s="274">
        <v>11.122</v>
      </c>
      <c r="I76" s="274">
        <f t="shared" si="12"/>
        <v>0.21000000000000085</v>
      </c>
      <c r="J76" s="273">
        <f t="shared" si="10"/>
        <v>1.4599999999999141E-2</v>
      </c>
      <c r="K76" s="275">
        <f t="shared" si="11"/>
        <v>6.5004452359746852</v>
      </c>
      <c r="L76">
        <v>38</v>
      </c>
      <c r="M76" s="276">
        <v>43362</v>
      </c>
      <c r="N76" s="276">
        <v>43363</v>
      </c>
      <c r="R76" s="275"/>
    </row>
    <row r="77" spans="1:18">
      <c r="A77" t="s">
        <v>1856</v>
      </c>
      <c r="C77" t="s">
        <v>2773</v>
      </c>
      <c r="D77">
        <v>1.4026000000000001</v>
      </c>
      <c r="E77">
        <v>10.795199999999999</v>
      </c>
      <c r="F77">
        <v>0.23599999999999999</v>
      </c>
      <c r="G77" s="274">
        <f t="shared" si="9"/>
        <v>11.0312</v>
      </c>
      <c r="H77" s="274">
        <v>10.811999999999999</v>
      </c>
      <c r="I77" s="274">
        <f t="shared" si="12"/>
        <v>0.21920000000000073</v>
      </c>
      <c r="J77" s="273">
        <f t="shared" si="10"/>
        <v>1.679999999999926E-2</v>
      </c>
      <c r="K77" s="275">
        <f t="shared" si="11"/>
        <v>7.1186440677962963</v>
      </c>
      <c r="L77">
        <v>27</v>
      </c>
      <c r="M77" s="276">
        <v>43374</v>
      </c>
      <c r="N77" s="276">
        <v>43375</v>
      </c>
      <c r="O77" s="273" t="s">
        <v>3008</v>
      </c>
      <c r="R77" s="275"/>
    </row>
    <row r="78" spans="1:18">
      <c r="A78" t="s">
        <v>1854</v>
      </c>
      <c r="B78">
        <v>219</v>
      </c>
      <c r="C78" t="s">
        <v>2490</v>
      </c>
      <c r="D78">
        <v>0.39419999999999999</v>
      </c>
      <c r="E78">
        <v>8.7696000000000005</v>
      </c>
      <c r="F78">
        <v>0.2031</v>
      </c>
      <c r="G78" s="274">
        <f t="shared" si="9"/>
        <v>8.9726999999999997</v>
      </c>
      <c r="H78" s="274">
        <v>8.8156999999999996</v>
      </c>
      <c r="I78" s="274">
        <f t="shared" si="12"/>
        <v>0.15700000000000003</v>
      </c>
      <c r="J78" s="273">
        <f t="shared" si="10"/>
        <v>4.6099999999999974E-2</v>
      </c>
      <c r="K78" s="275">
        <f t="shared" si="11"/>
        <v>22.698178237321503</v>
      </c>
      <c r="L78">
        <v>27</v>
      </c>
      <c r="M78" s="16">
        <v>43395</v>
      </c>
      <c r="N78" s="16">
        <v>43396</v>
      </c>
      <c r="R78" s="275"/>
    </row>
    <row r="79" spans="1:18">
      <c r="A79" t="s">
        <v>1853</v>
      </c>
      <c r="C79" t="s">
        <v>2771</v>
      </c>
      <c r="D79">
        <v>1.0368999999999999</v>
      </c>
      <c r="E79">
        <v>9.0328999999999997</v>
      </c>
      <c r="F79">
        <v>0.22339999999999999</v>
      </c>
      <c r="G79" s="274">
        <f t="shared" si="9"/>
        <v>9.2562999999999995</v>
      </c>
      <c r="H79" s="274">
        <v>9.0556999999999999</v>
      </c>
      <c r="I79" s="274">
        <f t="shared" si="12"/>
        <v>0.20059999999999967</v>
      </c>
      <c r="J79" s="273">
        <f t="shared" si="10"/>
        <v>2.280000000000032E-2</v>
      </c>
      <c r="K79" s="275">
        <f t="shared" si="11"/>
        <v>10.205908683975077</v>
      </c>
      <c r="L79">
        <v>16</v>
      </c>
      <c r="M79" s="276">
        <v>43374</v>
      </c>
      <c r="N79" s="276">
        <v>43375</v>
      </c>
      <c r="O79" s="273" t="s">
        <v>3008</v>
      </c>
      <c r="R79" s="275"/>
    </row>
    <row r="80" spans="1:18">
      <c r="A80" t="s">
        <v>1852</v>
      </c>
      <c r="C80" t="s">
        <v>2776</v>
      </c>
      <c r="D80">
        <v>1.1795</v>
      </c>
      <c r="E80">
        <v>10.5045</v>
      </c>
      <c r="F80">
        <v>0.23860000000000001</v>
      </c>
      <c r="G80" s="274">
        <f t="shared" si="9"/>
        <v>10.7431</v>
      </c>
      <c r="H80" s="274">
        <v>10.528600000000001</v>
      </c>
      <c r="I80" s="274">
        <f t="shared" si="12"/>
        <v>0.21449999999999925</v>
      </c>
      <c r="J80" s="273">
        <f t="shared" si="10"/>
        <v>2.410000000000076E-2</v>
      </c>
      <c r="K80" s="275">
        <f t="shared" si="11"/>
        <v>10.100586756077433</v>
      </c>
      <c r="L80">
        <v>24</v>
      </c>
      <c r="M80" s="276">
        <v>43363</v>
      </c>
      <c r="N80" s="276">
        <v>43364</v>
      </c>
      <c r="R80" s="275"/>
    </row>
    <row r="81" spans="1:18">
      <c r="A81" t="s">
        <v>2048</v>
      </c>
      <c r="C81" t="s">
        <v>3031</v>
      </c>
      <c r="D81">
        <v>1.3561000000000001</v>
      </c>
      <c r="E81">
        <v>9.9193999999999996</v>
      </c>
      <c r="F81">
        <v>0.2041</v>
      </c>
      <c r="G81" s="274">
        <f t="shared" si="9"/>
        <v>10.1235</v>
      </c>
      <c r="H81" s="274">
        <v>9.9764999999999997</v>
      </c>
      <c r="I81" s="274">
        <f t="shared" si="12"/>
        <v>0.14700000000000024</v>
      </c>
      <c r="J81" s="273">
        <f t="shared" si="10"/>
        <v>5.7099999999999762E-2</v>
      </c>
      <c r="K81" s="275">
        <f t="shared" si="11"/>
        <v>27.976482116609386</v>
      </c>
      <c r="L81">
        <v>7</v>
      </c>
      <c r="M81" s="276">
        <v>43363</v>
      </c>
      <c r="N81" s="276">
        <v>43364</v>
      </c>
      <c r="O81" s="273" t="s">
        <v>3033</v>
      </c>
      <c r="R81" s="275"/>
    </row>
    <row r="82" spans="1:18">
      <c r="A82" t="s">
        <v>2030</v>
      </c>
      <c r="C82" t="s">
        <v>2997</v>
      </c>
      <c r="D82">
        <v>0.94489999999999996</v>
      </c>
      <c r="E82">
        <v>8.1201000000000008</v>
      </c>
      <c r="F82">
        <v>0.21329999999999999</v>
      </c>
      <c r="G82" s="274">
        <f t="shared" si="9"/>
        <v>8.333400000000001</v>
      </c>
      <c r="H82" s="274">
        <v>8.1453000000000007</v>
      </c>
      <c r="I82" s="274">
        <f>(G82-H82)</f>
        <v>0.18810000000000038</v>
      </c>
      <c r="J82" s="273">
        <f t="shared" si="10"/>
        <v>2.5199999999999612E-2</v>
      </c>
      <c r="K82" s="275">
        <f t="shared" si="11"/>
        <v>11.814345991561</v>
      </c>
      <c r="L82">
        <v>26</v>
      </c>
      <c r="M82" s="276">
        <v>43360</v>
      </c>
      <c r="N82" s="276">
        <v>43361</v>
      </c>
      <c r="O82" s="273" t="s">
        <v>2985</v>
      </c>
      <c r="R82" s="275"/>
    </row>
    <row r="83" spans="1:18">
      <c r="A83" t="s">
        <v>1850</v>
      </c>
      <c r="C83" t="s">
        <v>3040</v>
      </c>
      <c r="D83">
        <v>0.58140000000000003</v>
      </c>
      <c r="E83">
        <v>10.315099999999999</v>
      </c>
      <c r="F83">
        <v>0.20649999999999999</v>
      </c>
      <c r="G83" s="278">
        <f t="shared" si="9"/>
        <v>10.521599999999999</v>
      </c>
      <c r="H83" s="274">
        <v>10.353400000000001</v>
      </c>
      <c r="I83" s="278">
        <f t="shared" ref="I83:I88" si="13">G83-H83</f>
        <v>0.16819999999999879</v>
      </c>
      <c r="J83" s="273">
        <f t="shared" si="10"/>
        <v>3.8300000000001194E-2</v>
      </c>
      <c r="K83" s="275">
        <f t="shared" si="11"/>
        <v>18.547215496368619</v>
      </c>
      <c r="L83">
        <v>16</v>
      </c>
      <c r="M83" s="276">
        <v>43379</v>
      </c>
      <c r="N83" s="276">
        <v>43379</v>
      </c>
      <c r="O83" s="273"/>
      <c r="R83" s="275"/>
    </row>
    <row r="84" spans="1:18">
      <c r="A84" t="s">
        <v>1846</v>
      </c>
      <c r="B84">
        <v>217</v>
      </c>
      <c r="C84" t="s">
        <v>2490</v>
      </c>
      <c r="D84">
        <v>0.6381</v>
      </c>
      <c r="E84">
        <v>10.202999999999999</v>
      </c>
      <c r="F84">
        <v>0.20599999999999999</v>
      </c>
      <c r="G84" s="274">
        <f t="shared" si="9"/>
        <v>10.408999999999999</v>
      </c>
      <c r="H84" s="274">
        <v>10.242900000000001</v>
      </c>
      <c r="I84" s="274">
        <f t="shared" si="13"/>
        <v>0.16609999999999836</v>
      </c>
      <c r="J84" s="273">
        <f t="shared" si="10"/>
        <v>3.9900000000001629E-2</v>
      </c>
      <c r="K84" s="275">
        <f t="shared" si="11"/>
        <v>19.368932038835744</v>
      </c>
      <c r="L84">
        <v>14</v>
      </c>
      <c r="M84" s="16">
        <v>43399</v>
      </c>
      <c r="N84" s="16">
        <v>43400</v>
      </c>
      <c r="R84" s="275"/>
    </row>
    <row r="85" spans="1:18">
      <c r="A85" t="s">
        <v>1845</v>
      </c>
      <c r="C85" t="s">
        <v>2974</v>
      </c>
      <c r="D85">
        <v>0.65239999999999998</v>
      </c>
      <c r="E85">
        <v>7.1909999999999998</v>
      </c>
      <c r="F85">
        <v>0.20280000000000001</v>
      </c>
      <c r="G85" s="278">
        <f t="shared" si="9"/>
        <v>7.3937999999999997</v>
      </c>
      <c r="H85" s="274">
        <v>7.2282999999999999</v>
      </c>
      <c r="I85" s="278">
        <f t="shared" si="13"/>
        <v>0.16549999999999976</v>
      </c>
      <c r="J85" s="273">
        <f t="shared" si="10"/>
        <v>3.730000000000025E-2</v>
      </c>
      <c r="K85" s="275">
        <f t="shared" si="11"/>
        <v>18.392504930966592</v>
      </c>
      <c r="L85">
        <v>41</v>
      </c>
      <c r="M85" s="276">
        <v>43379</v>
      </c>
      <c r="N85" s="276">
        <v>43379</v>
      </c>
      <c r="R85" s="275"/>
    </row>
    <row r="86" spans="1:18">
      <c r="A86" t="s">
        <v>1844</v>
      </c>
      <c r="C86" t="s">
        <v>3042</v>
      </c>
      <c r="D86">
        <v>0.58940000000000003</v>
      </c>
      <c r="E86">
        <v>20.9283</v>
      </c>
      <c r="F86">
        <v>0.22589999999999999</v>
      </c>
      <c r="G86" s="274">
        <f t="shared" si="9"/>
        <v>21.154199999999999</v>
      </c>
      <c r="H86" s="274">
        <v>20.974399999999999</v>
      </c>
      <c r="I86" s="274">
        <f t="shared" si="13"/>
        <v>0.17980000000000018</v>
      </c>
      <c r="J86" s="273">
        <f t="shared" si="10"/>
        <v>4.6099999999999808E-2</v>
      </c>
      <c r="K86" s="275">
        <f t="shared" si="11"/>
        <v>20.407259849490842</v>
      </c>
      <c r="L86">
        <v>42</v>
      </c>
      <c r="M86" s="276">
        <v>43363</v>
      </c>
      <c r="N86" s="276">
        <v>43364</v>
      </c>
      <c r="R86" s="275"/>
    </row>
    <row r="87" spans="1:18">
      <c r="A87" t="s">
        <v>1843</v>
      </c>
      <c r="C87" t="s">
        <v>2704</v>
      </c>
      <c r="D87">
        <v>0.59960000000000002</v>
      </c>
      <c r="E87">
        <v>8.1325000000000003</v>
      </c>
      <c r="F87">
        <v>0.20519999999999999</v>
      </c>
      <c r="G87" s="274">
        <f t="shared" si="9"/>
        <v>8.3376999999999999</v>
      </c>
      <c r="H87" s="274">
        <v>8.1774000000000004</v>
      </c>
      <c r="I87" s="274">
        <f t="shared" si="13"/>
        <v>0.16029999999999944</v>
      </c>
      <c r="J87" s="273">
        <f t="shared" si="10"/>
        <v>4.4900000000000551E-2</v>
      </c>
      <c r="K87" s="275">
        <f t="shared" si="11"/>
        <v>21.881091617933993</v>
      </c>
      <c r="L87">
        <v>13</v>
      </c>
      <c r="M87" s="16">
        <v>43388</v>
      </c>
      <c r="N87" s="276">
        <v>43389</v>
      </c>
      <c r="O87" s="276"/>
      <c r="P87" s="273"/>
      <c r="R87" s="275"/>
    </row>
    <row r="88" spans="1:18">
      <c r="A88" t="s">
        <v>1841</v>
      </c>
      <c r="C88" t="s">
        <v>3028</v>
      </c>
      <c r="D88">
        <v>1.7410000000000001</v>
      </c>
      <c r="E88">
        <v>11.905099999999999</v>
      </c>
      <c r="F88">
        <v>0.23580000000000001</v>
      </c>
      <c r="G88" s="274">
        <f t="shared" si="9"/>
        <v>12.140899999999998</v>
      </c>
      <c r="H88" s="274">
        <v>11.917899999999999</v>
      </c>
      <c r="I88" s="274">
        <f t="shared" si="13"/>
        <v>0.22299999999999898</v>
      </c>
      <c r="J88" s="273">
        <f t="shared" si="10"/>
        <v>1.2800000000001033E-2</v>
      </c>
      <c r="K88" s="275">
        <f t="shared" si="11"/>
        <v>5.4283290924516674</v>
      </c>
      <c r="L88">
        <v>8</v>
      </c>
      <c r="M88">
        <v>23.101800000000001</v>
      </c>
      <c r="N88" s="16">
        <v>43397</v>
      </c>
      <c r="R88" s="275"/>
    </row>
    <row r="89" spans="1:18">
      <c r="A89" t="s">
        <v>2029</v>
      </c>
      <c r="C89" t="s">
        <v>2772</v>
      </c>
      <c r="D89">
        <v>0</v>
      </c>
      <c r="E89">
        <v>0</v>
      </c>
      <c r="F89">
        <v>0</v>
      </c>
      <c r="G89">
        <v>0</v>
      </c>
      <c r="H89">
        <v>0</v>
      </c>
      <c r="I89">
        <v>0</v>
      </c>
      <c r="J89">
        <v>0</v>
      </c>
      <c r="K89">
        <v>0</v>
      </c>
    </row>
    <row r="90" spans="1:18">
      <c r="A90" t="s">
        <v>1839</v>
      </c>
      <c r="B90">
        <v>201</v>
      </c>
      <c r="D90">
        <v>0.49409999999999998</v>
      </c>
      <c r="E90">
        <v>11.748100000000001</v>
      </c>
      <c r="F90">
        <v>0.20699999999999999</v>
      </c>
      <c r="G90" s="274">
        <f t="shared" ref="G90:G121" si="14">E90+F90</f>
        <v>11.955100000000002</v>
      </c>
      <c r="H90" s="274">
        <v>11.8874</v>
      </c>
      <c r="I90" s="274">
        <f>G90-H90</f>
        <v>6.7700000000002092E-2</v>
      </c>
      <c r="J90" s="273">
        <f t="shared" ref="J90:J153" si="15">F90-I90</f>
        <v>0.1392999999999979</v>
      </c>
      <c r="K90" s="275">
        <f t="shared" ref="K90:K153" si="16">(J90/F90)*100</f>
        <v>67.294685990337157</v>
      </c>
      <c r="L90">
        <v>1</v>
      </c>
      <c r="M90">
        <v>23.101800000000001</v>
      </c>
      <c r="N90" s="16">
        <v>43397</v>
      </c>
      <c r="R90" s="275"/>
    </row>
    <row r="91" spans="1:18">
      <c r="A91" t="s">
        <v>1837</v>
      </c>
      <c r="C91" t="s">
        <v>2701</v>
      </c>
      <c r="D91">
        <v>0.42020000000000002</v>
      </c>
      <c r="E91">
        <v>10.9038</v>
      </c>
      <c r="F91">
        <v>0.2026</v>
      </c>
      <c r="G91" s="274">
        <f t="shared" si="14"/>
        <v>11.106400000000001</v>
      </c>
      <c r="H91" s="274">
        <v>10.960699999999999</v>
      </c>
      <c r="I91" s="274">
        <f>G91-H91</f>
        <v>0.14570000000000149</v>
      </c>
      <c r="J91" s="273">
        <f t="shared" si="15"/>
        <v>5.6899999999998507E-2</v>
      </c>
      <c r="K91" s="275">
        <f t="shared" si="16"/>
        <v>28.084896347481987</v>
      </c>
      <c r="L91">
        <v>2</v>
      </c>
      <c r="M91" s="16">
        <v>43399</v>
      </c>
      <c r="N91" s="16">
        <v>43400</v>
      </c>
      <c r="R91" s="275"/>
    </row>
    <row r="92" spans="1:18">
      <c r="A92" t="s">
        <v>1835</v>
      </c>
      <c r="C92" t="s">
        <v>2941</v>
      </c>
      <c r="D92">
        <v>1.7544</v>
      </c>
      <c r="E92">
        <v>10.107200000000001</v>
      </c>
      <c r="F92">
        <v>0.2011</v>
      </c>
      <c r="G92" s="274">
        <f t="shared" si="14"/>
        <v>10.308300000000001</v>
      </c>
      <c r="H92" s="274">
        <v>10.1173</v>
      </c>
      <c r="I92" s="274">
        <f>(G92-H92)</f>
        <v>0.19100000000000072</v>
      </c>
      <c r="J92" s="273">
        <f t="shared" si="15"/>
        <v>1.0099999999999276E-2</v>
      </c>
      <c r="K92" s="275">
        <f t="shared" si="16"/>
        <v>5.0223769269016794</v>
      </c>
      <c r="L92">
        <v>4</v>
      </c>
      <c r="M92" s="276">
        <v>43355.625</v>
      </c>
      <c r="N92" s="276">
        <v>43355.791666666664</v>
      </c>
      <c r="O92" s="273" t="s">
        <v>2938</v>
      </c>
      <c r="R92" s="275"/>
    </row>
    <row r="93" spans="1:18">
      <c r="A93" t="s">
        <v>1832</v>
      </c>
      <c r="C93" t="s">
        <v>2962</v>
      </c>
      <c r="D93">
        <v>1.6302000000000001</v>
      </c>
      <c r="E93">
        <v>7.9062000000000001</v>
      </c>
      <c r="F93">
        <v>0.2298</v>
      </c>
      <c r="G93">
        <f t="shared" si="14"/>
        <v>8.1359999999999992</v>
      </c>
      <c r="H93">
        <v>7.9196</v>
      </c>
      <c r="I93">
        <f t="shared" ref="I93:I99" si="17">G93-H93</f>
        <v>0.21639999999999926</v>
      </c>
      <c r="J93" s="273">
        <f t="shared" si="15"/>
        <v>1.3400000000000745E-2</v>
      </c>
      <c r="K93" s="275">
        <f t="shared" si="16"/>
        <v>5.8311575282857895</v>
      </c>
      <c r="M93" s="16">
        <v>43399</v>
      </c>
      <c r="N93" s="16">
        <v>43400</v>
      </c>
      <c r="O93" s="273"/>
      <c r="R93" s="275"/>
    </row>
    <row r="94" spans="1:18">
      <c r="A94" t="s">
        <v>1831</v>
      </c>
      <c r="C94" t="s">
        <v>3029</v>
      </c>
      <c r="D94">
        <v>0.59450000000000003</v>
      </c>
      <c r="E94">
        <v>8.0475999999999992</v>
      </c>
      <c r="F94">
        <v>0.2112</v>
      </c>
      <c r="G94" s="274">
        <f t="shared" si="14"/>
        <v>8.258799999999999</v>
      </c>
      <c r="H94" s="274">
        <v>8.0813000000000006</v>
      </c>
      <c r="I94" s="274">
        <f t="shared" si="17"/>
        <v>0.17749999999999844</v>
      </c>
      <c r="J94" s="273">
        <f t="shared" si="15"/>
        <v>3.3700000000001562E-2</v>
      </c>
      <c r="K94" s="275">
        <f t="shared" si="16"/>
        <v>15.956439393940133</v>
      </c>
      <c r="L94">
        <v>30</v>
      </c>
      <c r="M94" s="16">
        <v>43399</v>
      </c>
      <c r="N94" s="16">
        <v>43400</v>
      </c>
      <c r="R94" s="275"/>
    </row>
    <row r="95" spans="1:18">
      <c r="A95" t="s">
        <v>2028</v>
      </c>
      <c r="C95" t="s">
        <v>2698</v>
      </c>
      <c r="D95">
        <v>0.54469999999999996</v>
      </c>
      <c r="E95">
        <v>10.9232</v>
      </c>
      <c r="F95">
        <v>0.21410000000000001</v>
      </c>
      <c r="G95" s="274">
        <f t="shared" si="14"/>
        <v>11.1373</v>
      </c>
      <c r="H95" s="274">
        <v>10.9648</v>
      </c>
      <c r="I95" s="274">
        <f t="shared" si="17"/>
        <v>0.17249999999999943</v>
      </c>
      <c r="J95" s="273">
        <f t="shared" si="15"/>
        <v>4.1600000000000581E-2</v>
      </c>
      <c r="K95" s="275">
        <f t="shared" si="16"/>
        <v>19.430172816441186</v>
      </c>
      <c r="L95">
        <v>37</v>
      </c>
      <c r="M95">
        <v>23.101800000000001</v>
      </c>
      <c r="N95" s="16">
        <v>43397</v>
      </c>
      <c r="R95" s="275"/>
    </row>
    <row r="96" spans="1:18">
      <c r="A96" t="s">
        <v>1830</v>
      </c>
      <c r="C96" t="s">
        <v>3005</v>
      </c>
      <c r="D96">
        <v>1.8326</v>
      </c>
      <c r="E96">
        <v>10.7447</v>
      </c>
      <c r="F96">
        <v>0.2218</v>
      </c>
      <c r="G96" s="274">
        <f t="shared" si="14"/>
        <v>10.9665</v>
      </c>
      <c r="H96" s="274">
        <v>10.7578</v>
      </c>
      <c r="I96" s="274">
        <f t="shared" si="17"/>
        <v>0.20870000000000033</v>
      </c>
      <c r="J96" s="273">
        <f t="shared" si="15"/>
        <v>1.3099999999999667E-2</v>
      </c>
      <c r="K96" s="275">
        <f t="shared" si="16"/>
        <v>5.9062218214606252</v>
      </c>
      <c r="L96">
        <v>30</v>
      </c>
      <c r="M96" s="16">
        <v>43381</v>
      </c>
      <c r="N96" s="16">
        <v>43382</v>
      </c>
      <c r="R96" s="275"/>
    </row>
    <row r="97" spans="1:18">
      <c r="A97" t="s">
        <v>1829</v>
      </c>
      <c r="C97" t="s">
        <v>2960</v>
      </c>
      <c r="D97">
        <v>0.50380000000000003</v>
      </c>
      <c r="E97">
        <v>8.0962999999999994</v>
      </c>
      <c r="F97">
        <v>0.2049</v>
      </c>
      <c r="G97" s="274">
        <f t="shared" si="14"/>
        <v>8.3011999999999997</v>
      </c>
      <c r="H97" s="274">
        <v>8.1359999999999992</v>
      </c>
      <c r="I97" s="274">
        <f t="shared" si="17"/>
        <v>0.16520000000000046</v>
      </c>
      <c r="J97" s="273">
        <f t="shared" si="15"/>
        <v>3.9699999999999541E-2</v>
      </c>
      <c r="K97" s="275">
        <f t="shared" si="16"/>
        <v>19.375305026842138</v>
      </c>
      <c r="L97">
        <v>36</v>
      </c>
      <c r="M97" s="276">
        <v>43363</v>
      </c>
      <c r="N97" s="276">
        <v>43364</v>
      </c>
      <c r="R97" s="275"/>
    </row>
    <row r="98" spans="1:18">
      <c r="A98" t="s">
        <v>1826</v>
      </c>
      <c r="B98">
        <v>199</v>
      </c>
      <c r="C98" t="s">
        <v>2490</v>
      </c>
      <c r="D98">
        <v>0.35720000000000002</v>
      </c>
      <c r="E98">
        <v>11.9055</v>
      </c>
      <c r="F98">
        <v>0.20030000000000001</v>
      </c>
      <c r="G98">
        <f t="shared" si="14"/>
        <v>12.1058</v>
      </c>
      <c r="H98">
        <v>11.950799999999999</v>
      </c>
      <c r="I98" s="274">
        <f t="shared" si="17"/>
        <v>0.15500000000000114</v>
      </c>
      <c r="J98" s="273">
        <f t="shared" si="15"/>
        <v>4.5299999999998869E-2</v>
      </c>
      <c r="K98" s="275">
        <f t="shared" si="16"/>
        <v>22.616075886170179</v>
      </c>
      <c r="L98">
        <v>31</v>
      </c>
      <c r="M98" s="16">
        <v>43399</v>
      </c>
      <c r="N98" s="16">
        <v>43400</v>
      </c>
      <c r="R98" s="275"/>
    </row>
    <row r="99" spans="1:18">
      <c r="A99" t="s">
        <v>1825</v>
      </c>
      <c r="C99" t="s">
        <v>3029</v>
      </c>
      <c r="D99">
        <v>1.0464</v>
      </c>
      <c r="E99">
        <v>10.6349</v>
      </c>
      <c r="F99">
        <v>0.20569999999999999</v>
      </c>
      <c r="G99" s="274">
        <f t="shared" si="14"/>
        <v>10.8406</v>
      </c>
      <c r="H99" s="274">
        <v>10.698399999999999</v>
      </c>
      <c r="I99" s="274">
        <f t="shared" si="17"/>
        <v>0.14220000000000077</v>
      </c>
      <c r="J99" s="273">
        <f t="shared" si="15"/>
        <v>6.3499999999999224E-2</v>
      </c>
      <c r="K99" s="275">
        <f t="shared" si="16"/>
        <v>30.8701993193968</v>
      </c>
      <c r="L99">
        <v>29</v>
      </c>
      <c r="M99" s="276">
        <v>43362</v>
      </c>
      <c r="N99" s="276">
        <v>43363</v>
      </c>
      <c r="R99" s="275"/>
    </row>
    <row r="100" spans="1:18">
      <c r="A100" t="s">
        <v>1824</v>
      </c>
      <c r="C100" t="s">
        <v>2967</v>
      </c>
      <c r="D100">
        <v>1.6272</v>
      </c>
      <c r="E100">
        <v>10.5214</v>
      </c>
      <c r="F100">
        <v>0.2034</v>
      </c>
      <c r="G100" s="274">
        <f t="shared" si="14"/>
        <v>10.7248</v>
      </c>
      <c r="H100" s="274">
        <v>10.5328</v>
      </c>
      <c r="I100" s="274">
        <f>(G100-H100)</f>
        <v>0.19200000000000017</v>
      </c>
      <c r="J100" s="273">
        <f t="shared" si="15"/>
        <v>1.1399999999999827E-2</v>
      </c>
      <c r="K100" s="275">
        <f t="shared" si="16"/>
        <v>5.6047197640117146</v>
      </c>
      <c r="L100">
        <v>27</v>
      </c>
      <c r="M100" s="276">
        <v>43360</v>
      </c>
      <c r="N100" s="276">
        <v>43361</v>
      </c>
      <c r="R100" s="275"/>
    </row>
    <row r="101" spans="1:18">
      <c r="A101" t="s">
        <v>1823</v>
      </c>
      <c r="C101" t="s">
        <v>2959</v>
      </c>
      <c r="D101">
        <v>1.6253</v>
      </c>
      <c r="E101">
        <v>10.566000000000001</v>
      </c>
      <c r="F101">
        <v>0.22670000000000001</v>
      </c>
      <c r="G101" s="274">
        <f t="shared" si="14"/>
        <v>10.7927</v>
      </c>
      <c r="H101" s="274">
        <v>10.5794</v>
      </c>
      <c r="I101" s="274">
        <f>(G101-H101)</f>
        <v>0.21330000000000027</v>
      </c>
      <c r="J101" s="273">
        <f t="shared" si="15"/>
        <v>1.3399999999999745E-2</v>
      </c>
      <c r="K101" s="275">
        <f t="shared" si="16"/>
        <v>5.9108954565503948</v>
      </c>
      <c r="L101">
        <v>3</v>
      </c>
      <c r="M101" s="276">
        <v>43360</v>
      </c>
      <c r="N101" s="276">
        <v>43361</v>
      </c>
      <c r="O101" s="273"/>
      <c r="R101" s="275"/>
    </row>
    <row r="102" spans="1:18">
      <c r="A102" t="s">
        <v>1822</v>
      </c>
      <c r="C102" t="s">
        <v>3026</v>
      </c>
      <c r="D102">
        <v>0.63749999999999996</v>
      </c>
      <c r="E102">
        <v>11.4559</v>
      </c>
      <c r="F102">
        <v>0.20349999999999999</v>
      </c>
      <c r="G102" s="274">
        <f t="shared" si="14"/>
        <v>11.6594</v>
      </c>
      <c r="H102" s="274">
        <v>11.4855</v>
      </c>
      <c r="I102" s="274">
        <f>G102-H102</f>
        <v>0.17389999999999972</v>
      </c>
      <c r="J102" s="273">
        <f t="shared" si="15"/>
        <v>2.9600000000000265E-2</v>
      </c>
      <c r="K102" s="275">
        <f t="shared" si="16"/>
        <v>14.545454545454678</v>
      </c>
      <c r="L102">
        <v>30</v>
      </c>
      <c r="M102" s="276">
        <v>43363</v>
      </c>
      <c r="N102" s="276">
        <v>43364</v>
      </c>
      <c r="O102" s="273" t="s">
        <v>3033</v>
      </c>
      <c r="R102" s="275"/>
    </row>
    <row r="103" spans="1:18">
      <c r="A103" t="s">
        <v>2027</v>
      </c>
      <c r="C103" t="s">
        <v>3026</v>
      </c>
      <c r="D103">
        <v>0.74039999999999995</v>
      </c>
      <c r="E103">
        <v>9.1983999999999995</v>
      </c>
      <c r="F103">
        <v>0.2145</v>
      </c>
      <c r="G103" s="274">
        <f t="shared" si="14"/>
        <v>9.4128999999999987</v>
      </c>
      <c r="H103" s="274">
        <v>9.2392000000000003</v>
      </c>
      <c r="I103" s="274">
        <f>G103-H103</f>
        <v>0.17369999999999841</v>
      </c>
      <c r="J103" s="273">
        <f t="shared" si="15"/>
        <v>4.0800000000001585E-2</v>
      </c>
      <c r="K103" s="275">
        <f t="shared" si="16"/>
        <v>19.020979020979762</v>
      </c>
      <c r="L103">
        <v>21</v>
      </c>
      <c r="M103" s="276">
        <v>43362</v>
      </c>
      <c r="N103" s="276">
        <v>43363</v>
      </c>
      <c r="R103" s="275"/>
    </row>
    <row r="104" spans="1:18">
      <c r="A104" t="s">
        <v>1820</v>
      </c>
      <c r="B104">
        <v>207</v>
      </c>
      <c r="D104">
        <v>0.56999999999999995</v>
      </c>
      <c r="E104">
        <v>7.3182999999999998</v>
      </c>
      <c r="F104">
        <v>0.20449999999999999</v>
      </c>
      <c r="G104" s="274">
        <f t="shared" si="14"/>
        <v>7.5228000000000002</v>
      </c>
      <c r="H104" s="274">
        <v>7.3601999999999999</v>
      </c>
      <c r="I104" s="274">
        <f>G104-H104</f>
        <v>0.1626000000000003</v>
      </c>
      <c r="J104" s="273">
        <f t="shared" si="15"/>
        <v>4.1899999999999687E-2</v>
      </c>
      <c r="K104" s="275">
        <f t="shared" si="16"/>
        <v>20.488997555012073</v>
      </c>
      <c r="L104">
        <v>42</v>
      </c>
      <c r="M104" s="16">
        <v>43388</v>
      </c>
      <c r="N104" s="276">
        <v>43389</v>
      </c>
      <c r="O104" s="16"/>
      <c r="R104" s="275"/>
    </row>
    <row r="105" spans="1:18">
      <c r="A105" t="s">
        <v>1819</v>
      </c>
      <c r="C105" t="s">
        <v>3014</v>
      </c>
      <c r="D105">
        <v>0.57020000000000004</v>
      </c>
      <c r="E105">
        <v>20.858000000000001</v>
      </c>
      <c r="F105">
        <v>0.2084</v>
      </c>
      <c r="G105" s="274">
        <f t="shared" si="14"/>
        <v>21.066400000000002</v>
      </c>
      <c r="H105" s="274">
        <v>20.914400000000001</v>
      </c>
      <c r="I105" s="274">
        <f>G105-H105</f>
        <v>0.15200000000000102</v>
      </c>
      <c r="J105" s="273">
        <f t="shared" si="15"/>
        <v>5.6399999999998979E-2</v>
      </c>
      <c r="K105" s="275">
        <f t="shared" si="16"/>
        <v>27.063339731285495</v>
      </c>
      <c r="L105">
        <v>36</v>
      </c>
      <c r="M105" s="276">
        <v>43361</v>
      </c>
      <c r="N105" s="276">
        <v>43362</v>
      </c>
      <c r="O105" s="273" t="s">
        <v>3008</v>
      </c>
      <c r="R105" s="275"/>
    </row>
    <row r="106" spans="1:18">
      <c r="A106" t="s">
        <v>1818</v>
      </c>
      <c r="C106" t="s">
        <v>2696</v>
      </c>
      <c r="D106">
        <v>0.62060000000000004</v>
      </c>
      <c r="E106">
        <v>10.541</v>
      </c>
      <c r="F106">
        <v>0.20349999999999999</v>
      </c>
      <c r="G106" s="274">
        <f t="shared" si="14"/>
        <v>10.7445</v>
      </c>
      <c r="H106" s="274">
        <v>10.5946</v>
      </c>
      <c r="I106" s="274">
        <f>G106-H106</f>
        <v>0.14990000000000059</v>
      </c>
      <c r="J106" s="273">
        <f t="shared" si="15"/>
        <v>5.3599999999999398E-2</v>
      </c>
      <c r="K106" s="275">
        <f t="shared" si="16"/>
        <v>26.339066339066047</v>
      </c>
      <c r="L106">
        <v>31</v>
      </c>
      <c r="M106" s="16">
        <v>43399</v>
      </c>
      <c r="N106" s="16">
        <v>43400</v>
      </c>
      <c r="R106" s="275"/>
    </row>
    <row r="107" spans="1:18">
      <c r="A107" t="s">
        <v>1817</v>
      </c>
      <c r="C107" t="s">
        <v>2954</v>
      </c>
      <c r="D107">
        <v>1.5526</v>
      </c>
      <c r="E107">
        <v>11.023</v>
      </c>
      <c r="F107">
        <v>0.20519999999999999</v>
      </c>
      <c r="G107" s="274">
        <f t="shared" si="14"/>
        <v>11.228199999999999</v>
      </c>
      <c r="H107" s="274">
        <v>11.036</v>
      </c>
      <c r="I107" s="274">
        <f>(G107-H107)</f>
        <v>0.1921999999999997</v>
      </c>
      <c r="J107" s="273">
        <f t="shared" si="15"/>
        <v>1.3000000000000289E-2</v>
      </c>
      <c r="K107" s="275">
        <f t="shared" si="16"/>
        <v>6.3352826510722657</v>
      </c>
      <c r="L107">
        <v>26</v>
      </c>
      <c r="M107" s="16">
        <v>43358</v>
      </c>
      <c r="N107" s="16">
        <v>43358</v>
      </c>
      <c r="R107" s="275"/>
    </row>
    <row r="108" spans="1:18">
      <c r="A108" t="s">
        <v>1816</v>
      </c>
      <c r="B108">
        <v>207</v>
      </c>
      <c r="D108">
        <v>0.57969999999999999</v>
      </c>
      <c r="E108">
        <v>11.0565</v>
      </c>
      <c r="F108">
        <v>0.21940000000000001</v>
      </c>
      <c r="G108" s="274">
        <f t="shared" si="14"/>
        <v>11.2759</v>
      </c>
      <c r="H108" s="274">
        <v>11.1036</v>
      </c>
      <c r="I108" s="274">
        <f>G108-H108</f>
        <v>0.1722999999999999</v>
      </c>
      <c r="J108" s="273">
        <f t="shared" si="15"/>
        <v>4.7100000000000114E-2</v>
      </c>
      <c r="K108" s="275">
        <f t="shared" si="16"/>
        <v>21.467639015496861</v>
      </c>
      <c r="L108">
        <v>11</v>
      </c>
      <c r="M108" s="16">
        <v>43395</v>
      </c>
      <c r="N108" s="16">
        <v>43396</v>
      </c>
      <c r="R108" s="275"/>
    </row>
    <row r="109" spans="1:18">
      <c r="A109" t="s">
        <v>1815</v>
      </c>
      <c r="C109" t="s">
        <v>2743</v>
      </c>
      <c r="D109">
        <v>0.46710000000000002</v>
      </c>
      <c r="E109">
        <v>10.1265</v>
      </c>
      <c r="F109">
        <v>0.20610000000000001</v>
      </c>
      <c r="G109" s="274">
        <f t="shared" si="14"/>
        <v>10.332599999999999</v>
      </c>
      <c r="H109" s="274">
        <v>10.1844</v>
      </c>
      <c r="I109" s="274">
        <f>G109-H109</f>
        <v>0.14819999999999922</v>
      </c>
      <c r="J109" s="273">
        <f t="shared" si="15"/>
        <v>5.7900000000000784E-2</v>
      </c>
      <c r="K109" s="275">
        <f t="shared" si="16"/>
        <v>28.09315866084463</v>
      </c>
      <c r="L109">
        <v>4</v>
      </c>
      <c r="M109" s="16">
        <v>43381</v>
      </c>
      <c r="N109" s="16">
        <v>43382</v>
      </c>
      <c r="R109" s="275"/>
    </row>
    <row r="110" spans="1:18">
      <c r="A110" t="s">
        <v>1814</v>
      </c>
      <c r="C110" t="s">
        <v>2971</v>
      </c>
      <c r="D110">
        <v>0.62909999999999999</v>
      </c>
      <c r="E110">
        <v>11.088800000000001</v>
      </c>
      <c r="F110">
        <v>0.20730000000000001</v>
      </c>
      <c r="G110" s="274">
        <f t="shared" si="14"/>
        <v>11.296100000000001</v>
      </c>
      <c r="H110" s="274">
        <v>11.1282</v>
      </c>
      <c r="I110" s="274">
        <f>(G110-H110)</f>
        <v>0.16790000000000127</v>
      </c>
      <c r="J110" s="273">
        <f t="shared" si="15"/>
        <v>3.9399999999998742E-2</v>
      </c>
      <c r="K110" s="275">
        <f t="shared" si="16"/>
        <v>19.0062711046786</v>
      </c>
      <c r="L110">
        <v>25</v>
      </c>
      <c r="M110" s="276">
        <v>43360</v>
      </c>
      <c r="N110" s="276">
        <v>43361</v>
      </c>
      <c r="R110" s="275"/>
    </row>
    <row r="111" spans="1:18">
      <c r="A111" t="s">
        <v>1813</v>
      </c>
      <c r="C111" t="s">
        <v>3010</v>
      </c>
      <c r="D111">
        <v>1.6671</v>
      </c>
      <c r="E111">
        <v>9.7742000000000004</v>
      </c>
      <c r="F111">
        <v>0.2132</v>
      </c>
      <c r="G111" s="274">
        <f t="shared" si="14"/>
        <v>9.9874000000000009</v>
      </c>
      <c r="H111" s="274">
        <v>9.7866</v>
      </c>
      <c r="I111" s="274">
        <f t="shared" ref="I111:I116" si="18">G111-H111</f>
        <v>0.20080000000000098</v>
      </c>
      <c r="J111" s="273">
        <f t="shared" si="15"/>
        <v>1.2399999999999023E-2</v>
      </c>
      <c r="K111" s="275">
        <f t="shared" si="16"/>
        <v>5.8161350844273088</v>
      </c>
      <c r="L111">
        <v>13</v>
      </c>
      <c r="M111" s="276">
        <v>43374</v>
      </c>
      <c r="N111" s="276">
        <v>43375</v>
      </c>
      <c r="O111" s="273" t="s">
        <v>3008</v>
      </c>
      <c r="R111" s="275"/>
    </row>
    <row r="112" spans="1:18">
      <c r="A112" t="s">
        <v>1812</v>
      </c>
      <c r="C112" t="s">
        <v>2709</v>
      </c>
      <c r="D112">
        <v>0.61199999999999999</v>
      </c>
      <c r="E112">
        <v>9.7220999999999993</v>
      </c>
      <c r="F112">
        <v>0.21199999999999999</v>
      </c>
      <c r="G112" s="274">
        <f t="shared" si="14"/>
        <v>9.934099999999999</v>
      </c>
      <c r="H112" s="274">
        <v>9.7768999999999995</v>
      </c>
      <c r="I112" s="274">
        <f t="shared" si="18"/>
        <v>0.15719999999999956</v>
      </c>
      <c r="J112" s="273">
        <f t="shared" si="15"/>
        <v>5.4800000000000432E-2</v>
      </c>
      <c r="K112" s="275">
        <f t="shared" si="16"/>
        <v>25.849056603773789</v>
      </c>
      <c r="L112">
        <v>13</v>
      </c>
      <c r="M112" s="16">
        <v>43399</v>
      </c>
      <c r="N112" s="16">
        <v>43400</v>
      </c>
      <c r="R112" s="275"/>
    </row>
    <row r="113" spans="1:18">
      <c r="A113" t="s">
        <v>1811</v>
      </c>
      <c r="C113" t="s">
        <v>2720</v>
      </c>
      <c r="D113">
        <v>0.57250000000000001</v>
      </c>
      <c r="E113">
        <v>10.677300000000001</v>
      </c>
      <c r="F113">
        <v>0.2021</v>
      </c>
      <c r="G113" s="274">
        <f t="shared" si="14"/>
        <v>10.8794</v>
      </c>
      <c r="H113" s="274">
        <v>10.7127</v>
      </c>
      <c r="I113" s="274">
        <f t="shared" si="18"/>
        <v>0.16670000000000051</v>
      </c>
      <c r="J113" s="273">
        <f t="shared" si="15"/>
        <v>3.5399999999999487E-2</v>
      </c>
      <c r="K113" s="275">
        <f t="shared" si="16"/>
        <v>17.516081147946309</v>
      </c>
      <c r="L113">
        <v>15</v>
      </c>
      <c r="M113" s="16">
        <v>43381</v>
      </c>
      <c r="N113" s="16">
        <v>43382</v>
      </c>
      <c r="R113" s="275"/>
    </row>
    <row r="114" spans="1:18">
      <c r="A114" t="s">
        <v>2026</v>
      </c>
      <c r="C114" t="s">
        <v>2942</v>
      </c>
      <c r="D114">
        <v>1.7465999999999999</v>
      </c>
      <c r="E114">
        <v>9.9192</v>
      </c>
      <c r="F114">
        <v>0.21820000000000001</v>
      </c>
      <c r="G114" s="274">
        <f t="shared" si="14"/>
        <v>10.1374</v>
      </c>
      <c r="H114" s="274">
        <v>9.9309999999999992</v>
      </c>
      <c r="I114" s="274">
        <f t="shared" si="18"/>
        <v>0.20640000000000036</v>
      </c>
      <c r="J114" s="273">
        <f t="shared" si="15"/>
        <v>1.1799999999999644E-2</v>
      </c>
      <c r="K114" s="275">
        <f t="shared" si="16"/>
        <v>5.4078826764434664</v>
      </c>
      <c r="L114">
        <v>7</v>
      </c>
      <c r="M114" s="276">
        <v>43355.625</v>
      </c>
      <c r="N114" s="276">
        <v>43355.791666666664</v>
      </c>
      <c r="O114" s="273" t="s">
        <v>2938</v>
      </c>
      <c r="R114" s="275"/>
    </row>
    <row r="115" spans="1:18">
      <c r="A115" t="s">
        <v>1808</v>
      </c>
      <c r="C115" t="s">
        <v>2699</v>
      </c>
      <c r="D115">
        <v>0.52880000000000005</v>
      </c>
      <c r="E115">
        <v>9.0324000000000009</v>
      </c>
      <c r="F115">
        <v>0.2051</v>
      </c>
      <c r="G115" s="274">
        <f t="shared" si="14"/>
        <v>9.2375000000000007</v>
      </c>
      <c r="H115" s="274">
        <v>9.0878999999999994</v>
      </c>
      <c r="I115" s="274">
        <f t="shared" si="18"/>
        <v>0.14960000000000129</v>
      </c>
      <c r="J115" s="273">
        <f t="shared" si="15"/>
        <v>5.5499999999998717E-2</v>
      </c>
      <c r="K115" s="275">
        <f t="shared" si="16"/>
        <v>27.059970745976948</v>
      </c>
      <c r="L115">
        <v>41</v>
      </c>
      <c r="M115" s="16">
        <v>43395</v>
      </c>
      <c r="N115" s="16">
        <v>43396</v>
      </c>
      <c r="R115" s="275"/>
    </row>
    <row r="116" spans="1:18">
      <c r="A116" t="s">
        <v>1807</v>
      </c>
      <c r="B116">
        <v>196</v>
      </c>
      <c r="D116">
        <v>0.87819999999999998</v>
      </c>
      <c r="E116">
        <v>7.1909000000000001</v>
      </c>
      <c r="F116">
        <v>0.22570000000000001</v>
      </c>
      <c r="G116" s="274">
        <f t="shared" si="14"/>
        <v>7.4165999999999999</v>
      </c>
      <c r="H116" s="274">
        <v>7.2313999999999998</v>
      </c>
      <c r="I116" s="274">
        <f t="shared" si="18"/>
        <v>0.18520000000000003</v>
      </c>
      <c r="J116" s="273">
        <f t="shared" si="15"/>
        <v>4.049999999999998E-2</v>
      </c>
      <c r="K116" s="275">
        <f t="shared" si="16"/>
        <v>17.944173681878588</v>
      </c>
      <c r="L116">
        <v>32</v>
      </c>
      <c r="M116" s="16">
        <v>43388</v>
      </c>
      <c r="N116" s="276">
        <v>43389</v>
      </c>
      <c r="O116" s="16"/>
      <c r="R116" s="275"/>
    </row>
    <row r="117" spans="1:18">
      <c r="A117" t="s">
        <v>1806</v>
      </c>
      <c r="C117" t="s">
        <v>2947</v>
      </c>
      <c r="D117">
        <v>1.7131000000000001</v>
      </c>
      <c r="E117">
        <v>7.7735000000000003</v>
      </c>
      <c r="F117">
        <v>0.20749999999999999</v>
      </c>
      <c r="G117" s="274">
        <f t="shared" si="14"/>
        <v>7.9809999999999999</v>
      </c>
      <c r="H117" s="274">
        <v>7.7857000000000003</v>
      </c>
      <c r="I117" s="274">
        <f>(G117-H117)</f>
        <v>0.19529999999999959</v>
      </c>
      <c r="J117" s="273">
        <f t="shared" si="15"/>
        <v>1.2200000000000405E-2</v>
      </c>
      <c r="K117" s="275">
        <f t="shared" si="16"/>
        <v>5.8795180722893514</v>
      </c>
      <c r="L117">
        <v>25</v>
      </c>
      <c r="M117" s="16">
        <v>43358</v>
      </c>
      <c r="N117" s="16">
        <v>43358</v>
      </c>
      <c r="R117" s="275"/>
    </row>
    <row r="118" spans="1:18">
      <c r="A118" t="s">
        <v>1805</v>
      </c>
      <c r="C118" t="s">
        <v>2719</v>
      </c>
      <c r="D118">
        <v>0.62680000000000002</v>
      </c>
      <c r="E118">
        <v>9.4868000000000006</v>
      </c>
      <c r="F118">
        <v>0.2054</v>
      </c>
      <c r="G118">
        <f t="shared" si="14"/>
        <v>9.6921999999999997</v>
      </c>
      <c r="H118">
        <v>9.5259999999999998</v>
      </c>
      <c r="I118" s="274">
        <f t="shared" ref="I118:I132" si="19">G118-H118</f>
        <v>0.1661999999999999</v>
      </c>
      <c r="J118" s="273">
        <f t="shared" si="15"/>
        <v>3.9200000000000096E-2</v>
      </c>
      <c r="K118" s="275">
        <f t="shared" si="16"/>
        <v>19.084712755598879</v>
      </c>
      <c r="L118">
        <v>14</v>
      </c>
      <c r="M118" s="16">
        <v>43402</v>
      </c>
      <c r="N118" s="16">
        <v>43403</v>
      </c>
      <c r="R118" s="275"/>
    </row>
    <row r="119" spans="1:18">
      <c r="A119" t="s">
        <v>1804</v>
      </c>
      <c r="C119" t="s">
        <v>2982</v>
      </c>
      <c r="D119">
        <v>1.8198000000000001</v>
      </c>
      <c r="E119">
        <v>7.8017000000000003</v>
      </c>
      <c r="F119">
        <v>0.22339999999999999</v>
      </c>
      <c r="G119" s="278">
        <f t="shared" si="14"/>
        <v>8.0251000000000001</v>
      </c>
      <c r="H119" s="274">
        <v>7.8198999999999996</v>
      </c>
      <c r="I119" s="278">
        <f t="shared" si="19"/>
        <v>0.20520000000000049</v>
      </c>
      <c r="J119" s="273">
        <f t="shared" si="15"/>
        <v>1.8199999999999494E-2</v>
      </c>
      <c r="K119" s="275">
        <f t="shared" si="16"/>
        <v>8.1468218442253786</v>
      </c>
      <c r="L119">
        <v>38</v>
      </c>
      <c r="M119" s="276">
        <v>43379</v>
      </c>
      <c r="N119" s="276">
        <v>43379</v>
      </c>
      <c r="R119" s="275"/>
    </row>
    <row r="120" spans="1:18">
      <c r="A120" t="s">
        <v>1803</v>
      </c>
      <c r="C120" t="s">
        <v>2968</v>
      </c>
      <c r="D120">
        <v>1.8222</v>
      </c>
      <c r="E120">
        <v>7.7743000000000002</v>
      </c>
      <c r="F120">
        <v>0.20730000000000001</v>
      </c>
      <c r="G120" s="274">
        <f t="shared" si="14"/>
        <v>7.9816000000000003</v>
      </c>
      <c r="H120" s="274">
        <v>7.7869000000000002</v>
      </c>
      <c r="I120" s="274">
        <f t="shared" si="19"/>
        <v>0.1947000000000001</v>
      </c>
      <c r="J120" s="273">
        <f t="shared" si="15"/>
        <v>1.2599999999999917E-2</v>
      </c>
      <c r="K120" s="275">
        <f t="shared" si="16"/>
        <v>6.078147612156255</v>
      </c>
      <c r="L120">
        <v>33</v>
      </c>
      <c r="M120" s="16">
        <v>43381</v>
      </c>
      <c r="N120" s="16">
        <v>43382</v>
      </c>
      <c r="R120" s="275"/>
    </row>
    <row r="121" spans="1:18">
      <c r="A121" t="s">
        <v>1802</v>
      </c>
      <c r="B121">
        <v>204</v>
      </c>
      <c r="C121" t="s">
        <v>2490</v>
      </c>
      <c r="D121">
        <v>0.52149999999999996</v>
      </c>
      <c r="E121">
        <v>9.5203000000000007</v>
      </c>
      <c r="F121">
        <v>0.2056</v>
      </c>
      <c r="G121">
        <f t="shared" si="14"/>
        <v>9.7259000000000011</v>
      </c>
      <c r="H121">
        <v>9.5478000000000005</v>
      </c>
      <c r="I121" s="274">
        <f t="shared" si="19"/>
        <v>0.17810000000000059</v>
      </c>
      <c r="J121" s="273">
        <f t="shared" si="15"/>
        <v>2.7499999999999414E-2</v>
      </c>
      <c r="K121" s="275">
        <f t="shared" si="16"/>
        <v>13.375486381322672</v>
      </c>
      <c r="L121">
        <v>19</v>
      </c>
      <c r="M121" s="16">
        <v>43402</v>
      </c>
      <c r="N121" s="16">
        <v>43403</v>
      </c>
      <c r="R121" s="275"/>
    </row>
    <row r="122" spans="1:18">
      <c r="A122" t="s">
        <v>2025</v>
      </c>
      <c r="C122" t="s">
        <v>3035</v>
      </c>
      <c r="D122">
        <v>0.80300000000000005</v>
      </c>
      <c r="E122">
        <v>7.8404999999999996</v>
      </c>
      <c r="F122">
        <v>0.21010000000000001</v>
      </c>
      <c r="G122" s="274">
        <f t="shared" ref="G122:G145" si="20">E122+F122</f>
        <v>8.0505999999999993</v>
      </c>
      <c r="H122" s="274">
        <v>7.8849</v>
      </c>
      <c r="I122" s="274">
        <f t="shared" si="19"/>
        <v>0.16569999999999929</v>
      </c>
      <c r="J122" s="273">
        <f t="shared" si="15"/>
        <v>4.4400000000000717E-2</v>
      </c>
      <c r="K122" s="275">
        <f t="shared" si="16"/>
        <v>21.132793907663359</v>
      </c>
      <c r="L122">
        <v>12</v>
      </c>
      <c r="M122" s="276">
        <v>43363</v>
      </c>
      <c r="N122" s="276">
        <v>43364</v>
      </c>
      <c r="O122" s="273" t="s">
        <v>3033</v>
      </c>
      <c r="R122" s="275"/>
    </row>
    <row r="123" spans="1:18">
      <c r="A123" t="s">
        <v>1800</v>
      </c>
      <c r="C123" t="s">
        <v>2750</v>
      </c>
      <c r="D123">
        <v>0.61970000000000003</v>
      </c>
      <c r="E123">
        <v>20.893699999999999</v>
      </c>
      <c r="F123">
        <v>0.20030000000000001</v>
      </c>
      <c r="G123" s="274">
        <f t="shared" si="20"/>
        <v>21.093999999999998</v>
      </c>
      <c r="H123" s="274">
        <v>20.929400000000001</v>
      </c>
      <c r="I123" s="274">
        <f t="shared" si="19"/>
        <v>0.16459999999999653</v>
      </c>
      <c r="J123" s="273">
        <f t="shared" si="15"/>
        <v>3.5700000000003479E-2</v>
      </c>
      <c r="K123" s="275">
        <f t="shared" si="16"/>
        <v>17.823265102348216</v>
      </c>
      <c r="L123">
        <v>42</v>
      </c>
      <c r="M123" s="276">
        <v>43361</v>
      </c>
      <c r="N123" s="276">
        <v>43362</v>
      </c>
      <c r="O123" s="273" t="s">
        <v>3008</v>
      </c>
      <c r="R123" s="275"/>
    </row>
    <row r="124" spans="1:18">
      <c r="A124" t="s">
        <v>1797</v>
      </c>
      <c r="C124" t="s">
        <v>2775</v>
      </c>
      <c r="D124">
        <v>1.0555000000000001</v>
      </c>
      <c r="E124">
        <v>7.4752999999999998</v>
      </c>
      <c r="F124">
        <v>0.2034</v>
      </c>
      <c r="G124" s="274">
        <f t="shared" si="20"/>
        <v>7.6787000000000001</v>
      </c>
      <c r="H124" s="274">
        <v>7.5019</v>
      </c>
      <c r="I124" s="274">
        <f t="shared" si="19"/>
        <v>0.17680000000000007</v>
      </c>
      <c r="J124" s="273">
        <f t="shared" si="15"/>
        <v>2.6599999999999929E-2</v>
      </c>
      <c r="K124" s="275">
        <f t="shared" si="16"/>
        <v>13.077679449360829</v>
      </c>
      <c r="L124">
        <v>25</v>
      </c>
      <c r="M124" s="276">
        <v>43363</v>
      </c>
      <c r="N124" s="276">
        <v>43364</v>
      </c>
      <c r="O124" s="273" t="s">
        <v>3033</v>
      </c>
      <c r="R124" s="275"/>
    </row>
    <row r="125" spans="1:18">
      <c r="A125" t="s">
        <v>1796</v>
      </c>
      <c r="B125">
        <v>197</v>
      </c>
      <c r="D125">
        <v>0.64470000000000005</v>
      </c>
      <c r="E125">
        <v>9.3209999999999997</v>
      </c>
      <c r="F125">
        <v>0.20250000000000001</v>
      </c>
      <c r="G125" s="274">
        <f t="shared" si="20"/>
        <v>9.5235000000000003</v>
      </c>
      <c r="H125" s="274">
        <v>9.3719000000000001</v>
      </c>
      <c r="I125" s="274">
        <f t="shared" si="19"/>
        <v>0.15160000000000018</v>
      </c>
      <c r="J125" s="273">
        <f t="shared" si="15"/>
        <v>5.0899999999999834E-2</v>
      </c>
      <c r="K125" s="275">
        <f t="shared" si="16"/>
        <v>25.135802469135722</v>
      </c>
      <c r="L125">
        <v>23</v>
      </c>
      <c r="M125" s="16">
        <v>43388</v>
      </c>
      <c r="N125" s="276">
        <v>43389</v>
      </c>
      <c r="O125" s="16"/>
      <c r="R125" s="275"/>
    </row>
    <row r="126" spans="1:18">
      <c r="A126" t="s">
        <v>1795</v>
      </c>
      <c r="C126" t="s">
        <v>3024</v>
      </c>
      <c r="D126">
        <v>1.4726999999999999</v>
      </c>
      <c r="E126">
        <v>11.445499999999999</v>
      </c>
      <c r="F126">
        <v>0.2155</v>
      </c>
      <c r="G126" s="274">
        <f t="shared" si="20"/>
        <v>11.661</v>
      </c>
      <c r="H126" s="274">
        <v>11.464</v>
      </c>
      <c r="I126" s="274">
        <f t="shared" si="19"/>
        <v>0.19699999999999918</v>
      </c>
      <c r="J126" s="273">
        <f t="shared" si="15"/>
        <v>1.8500000000000821E-2</v>
      </c>
      <c r="K126" s="275">
        <f t="shared" si="16"/>
        <v>8.5846867749423765</v>
      </c>
      <c r="L126">
        <v>32</v>
      </c>
      <c r="M126" s="276">
        <v>43362</v>
      </c>
      <c r="N126" s="276">
        <v>43363</v>
      </c>
      <c r="R126" s="275"/>
    </row>
    <row r="127" spans="1:18">
      <c r="A127" t="s">
        <v>1794</v>
      </c>
      <c r="C127" t="s">
        <v>2991</v>
      </c>
      <c r="D127" s="273">
        <v>1.4871000000000001</v>
      </c>
      <c r="E127" s="277">
        <v>7.4743000000000004</v>
      </c>
      <c r="F127" s="277">
        <v>0.21060000000000001</v>
      </c>
      <c r="G127" s="274">
        <f t="shared" si="20"/>
        <v>7.6849000000000007</v>
      </c>
      <c r="H127" s="274">
        <v>7.4877000000000002</v>
      </c>
      <c r="I127" s="274">
        <f t="shared" si="19"/>
        <v>0.19720000000000049</v>
      </c>
      <c r="J127" s="273">
        <f t="shared" si="15"/>
        <v>1.3399999999999523E-2</v>
      </c>
      <c r="K127" s="275">
        <f t="shared" si="16"/>
        <v>6.3627730294394693</v>
      </c>
      <c r="L127" s="273">
        <v>1</v>
      </c>
      <c r="M127" s="276">
        <v>43361</v>
      </c>
      <c r="N127" s="276">
        <v>43362</v>
      </c>
      <c r="O127" s="273" t="s">
        <v>3008</v>
      </c>
      <c r="P127" s="273"/>
      <c r="R127" s="275"/>
    </row>
    <row r="128" spans="1:18">
      <c r="A128" t="s">
        <v>1793</v>
      </c>
      <c r="B128">
        <v>193</v>
      </c>
      <c r="D128">
        <v>0.50209999999999999</v>
      </c>
      <c r="E128">
        <v>11.454800000000001</v>
      </c>
      <c r="F128">
        <v>0.20499999999999999</v>
      </c>
      <c r="G128" s="274">
        <f t="shared" si="20"/>
        <v>11.659800000000001</v>
      </c>
      <c r="H128" s="274">
        <v>11.4818</v>
      </c>
      <c r="I128" s="274">
        <f t="shared" si="19"/>
        <v>0.17800000000000082</v>
      </c>
      <c r="J128" s="273">
        <f t="shared" si="15"/>
        <v>2.6999999999999164E-2</v>
      </c>
      <c r="K128" s="275">
        <f t="shared" si="16"/>
        <v>13.170731707316666</v>
      </c>
      <c r="L128">
        <v>13</v>
      </c>
      <c r="M128" s="16">
        <v>43395</v>
      </c>
      <c r="N128" s="16">
        <v>43396</v>
      </c>
      <c r="R128" s="275"/>
    </row>
    <row r="129" spans="1:18">
      <c r="A129" t="s">
        <v>1792</v>
      </c>
      <c r="C129" t="s">
        <v>3036</v>
      </c>
      <c r="D129">
        <v>0.74809999999999999</v>
      </c>
      <c r="E129">
        <v>9.0536999999999992</v>
      </c>
      <c r="F129">
        <v>0.20830000000000001</v>
      </c>
      <c r="G129" s="274">
        <f t="shared" si="20"/>
        <v>9.2619999999999987</v>
      </c>
      <c r="H129" s="274">
        <v>9.0958000000000006</v>
      </c>
      <c r="I129" s="274">
        <f t="shared" si="19"/>
        <v>0.16619999999999813</v>
      </c>
      <c r="J129" s="273">
        <f t="shared" si="15"/>
        <v>4.2100000000001886E-2</v>
      </c>
      <c r="K129" s="275">
        <f t="shared" si="16"/>
        <v>20.211233797408489</v>
      </c>
      <c r="L129">
        <v>16</v>
      </c>
      <c r="M129" s="276">
        <v>43363</v>
      </c>
      <c r="N129" s="276">
        <v>43364</v>
      </c>
      <c r="O129" s="273" t="s">
        <v>3033</v>
      </c>
      <c r="R129" s="275"/>
    </row>
    <row r="130" spans="1:18">
      <c r="A130" t="s">
        <v>1791</v>
      </c>
      <c r="C130" t="s">
        <v>3047</v>
      </c>
      <c r="D130">
        <v>1.4135</v>
      </c>
      <c r="E130">
        <v>10.7416</v>
      </c>
      <c r="F130">
        <v>0.21010000000000001</v>
      </c>
      <c r="G130" s="278">
        <f t="shared" si="20"/>
        <v>10.951700000000001</v>
      </c>
      <c r="H130" s="274">
        <v>10.7639</v>
      </c>
      <c r="I130" s="278">
        <f t="shared" si="19"/>
        <v>0.18780000000000108</v>
      </c>
      <c r="J130" s="273">
        <f t="shared" si="15"/>
        <v>2.2299999999998932E-2</v>
      </c>
      <c r="K130" s="275">
        <f t="shared" si="16"/>
        <v>10.613993336505917</v>
      </c>
      <c r="L130">
        <v>42</v>
      </c>
      <c r="M130" s="276">
        <v>43379</v>
      </c>
      <c r="N130" s="276">
        <v>43379</v>
      </c>
      <c r="R130" s="275"/>
    </row>
    <row r="131" spans="1:18">
      <c r="A131" t="s">
        <v>2024</v>
      </c>
      <c r="B131">
        <v>211</v>
      </c>
      <c r="D131">
        <v>0.1973</v>
      </c>
      <c r="E131">
        <v>9.5208999999999993</v>
      </c>
      <c r="F131">
        <v>0.18</v>
      </c>
      <c r="G131" s="274">
        <f t="shared" si="20"/>
        <v>9.700899999999999</v>
      </c>
      <c r="H131" s="274">
        <v>9.5540000000000003</v>
      </c>
      <c r="I131" s="274">
        <f t="shared" si="19"/>
        <v>0.1468999999999987</v>
      </c>
      <c r="J131" s="273">
        <f t="shared" si="15"/>
        <v>3.3100000000001295E-2</v>
      </c>
      <c r="K131" s="275">
        <f t="shared" si="16"/>
        <v>18.38888888888961</v>
      </c>
      <c r="L131">
        <v>12</v>
      </c>
      <c r="M131">
        <v>23.101800000000001</v>
      </c>
      <c r="N131" s="16">
        <v>43397</v>
      </c>
      <c r="P131" t="s">
        <v>3063</v>
      </c>
      <c r="R131" s="275"/>
    </row>
    <row r="132" spans="1:18">
      <c r="A132" t="s">
        <v>1790</v>
      </c>
      <c r="C132" t="s">
        <v>3006</v>
      </c>
      <c r="D132">
        <v>1.7643</v>
      </c>
      <c r="E132">
        <v>9.7738999999999994</v>
      </c>
      <c r="F132">
        <v>0.22989999999999999</v>
      </c>
      <c r="G132" s="274">
        <f t="shared" si="20"/>
        <v>10.0038</v>
      </c>
      <c r="H132" s="274">
        <v>9.7942999999999998</v>
      </c>
      <c r="I132" s="274">
        <f t="shared" si="19"/>
        <v>0.20950000000000024</v>
      </c>
      <c r="J132" s="273">
        <f t="shared" si="15"/>
        <v>2.0399999999999752E-2</v>
      </c>
      <c r="K132" s="275">
        <f t="shared" si="16"/>
        <v>8.8734232274901057</v>
      </c>
      <c r="L132">
        <v>20</v>
      </c>
      <c r="M132" s="276">
        <v>43361</v>
      </c>
      <c r="N132" s="276">
        <v>43362</v>
      </c>
      <c r="O132" s="273" t="s">
        <v>3008</v>
      </c>
      <c r="R132" s="275"/>
    </row>
    <row r="133" spans="1:18">
      <c r="A133" t="s">
        <v>1789</v>
      </c>
      <c r="C133" t="s">
        <v>2973</v>
      </c>
      <c r="D133">
        <v>1.6620999999999999</v>
      </c>
      <c r="E133">
        <v>8.7690000000000001</v>
      </c>
      <c r="F133">
        <v>0.21970000000000001</v>
      </c>
      <c r="G133" s="274">
        <f t="shared" si="20"/>
        <v>8.9886999999999997</v>
      </c>
      <c r="H133" s="274">
        <v>8.7815999999999992</v>
      </c>
      <c r="I133" s="274">
        <f>(G133-H133)</f>
        <v>0.20710000000000051</v>
      </c>
      <c r="J133" s="273">
        <f t="shared" si="15"/>
        <v>1.25999999999995E-2</v>
      </c>
      <c r="K133" s="275">
        <f t="shared" si="16"/>
        <v>5.7350933090575786</v>
      </c>
      <c r="L133">
        <v>21</v>
      </c>
      <c r="M133" s="276">
        <v>43360</v>
      </c>
      <c r="N133" s="276">
        <v>43361</v>
      </c>
      <c r="R133" s="275"/>
    </row>
    <row r="134" spans="1:18">
      <c r="A134" t="s">
        <v>1788</v>
      </c>
      <c r="B134">
        <v>206</v>
      </c>
      <c r="C134" t="s">
        <v>2490</v>
      </c>
      <c r="D134">
        <v>0.41320000000000001</v>
      </c>
      <c r="E134">
        <v>7.8723999999999998</v>
      </c>
      <c r="F134">
        <v>0.20150000000000001</v>
      </c>
      <c r="G134">
        <f t="shared" si="20"/>
        <v>8.0739000000000001</v>
      </c>
      <c r="H134">
        <v>7.9099000000000004</v>
      </c>
      <c r="I134" s="274">
        <f>G134-H134</f>
        <v>0.1639999999999997</v>
      </c>
      <c r="J134" s="273">
        <f t="shared" si="15"/>
        <v>3.7500000000000311E-2</v>
      </c>
      <c r="K134" s="275">
        <f t="shared" si="16"/>
        <v>18.61042183622844</v>
      </c>
      <c r="L134">
        <v>42</v>
      </c>
      <c r="M134" s="16">
        <v>43399</v>
      </c>
      <c r="N134" s="16">
        <v>43400</v>
      </c>
      <c r="R134" s="275"/>
    </row>
    <row r="135" spans="1:18">
      <c r="A135" t="s">
        <v>1787</v>
      </c>
      <c r="C135" t="s">
        <v>2995</v>
      </c>
      <c r="D135">
        <v>0.70720000000000005</v>
      </c>
      <c r="E135">
        <v>11.055099999999999</v>
      </c>
      <c r="F135">
        <v>0.2321</v>
      </c>
      <c r="G135" s="274">
        <f t="shared" si="20"/>
        <v>11.2872</v>
      </c>
      <c r="H135" s="274">
        <v>11.1227</v>
      </c>
      <c r="I135" s="274">
        <f>G135-H135</f>
        <v>0.16450000000000031</v>
      </c>
      <c r="J135" s="273">
        <f t="shared" si="15"/>
        <v>6.7599999999999688E-2</v>
      </c>
      <c r="K135" s="275">
        <f t="shared" si="16"/>
        <v>29.125376992675438</v>
      </c>
      <c r="L135">
        <v>19</v>
      </c>
      <c r="M135" s="276">
        <v>43361</v>
      </c>
      <c r="N135" s="276">
        <v>43362</v>
      </c>
      <c r="O135" s="273" t="s">
        <v>3008</v>
      </c>
      <c r="R135" s="275"/>
    </row>
    <row r="136" spans="1:18">
      <c r="A136" t="s">
        <v>1785</v>
      </c>
      <c r="C136" t="s">
        <v>3062</v>
      </c>
      <c r="D136">
        <v>0.74970000000000003</v>
      </c>
      <c r="E136">
        <v>9.7751999999999999</v>
      </c>
      <c r="F136">
        <v>0.20319999999999999</v>
      </c>
      <c r="G136" s="274">
        <f t="shared" si="20"/>
        <v>9.9784000000000006</v>
      </c>
      <c r="H136" s="274">
        <v>9.8049999999999997</v>
      </c>
      <c r="I136" s="274">
        <f>G136-H136</f>
        <v>0.17340000000000089</v>
      </c>
      <c r="J136" s="273">
        <f t="shared" si="15"/>
        <v>2.9799999999999105E-2</v>
      </c>
      <c r="K136" s="275">
        <f t="shared" si="16"/>
        <v>14.665354330708222</v>
      </c>
      <c r="L136">
        <v>16</v>
      </c>
      <c r="M136" s="16">
        <v>43399</v>
      </c>
      <c r="N136" s="16">
        <v>43400</v>
      </c>
      <c r="R136" s="275"/>
    </row>
    <row r="137" spans="1:18">
      <c r="A137" t="s">
        <v>1784</v>
      </c>
      <c r="C137" t="s">
        <v>2743</v>
      </c>
      <c r="D137">
        <v>0.53210000000000002</v>
      </c>
      <c r="E137">
        <v>11.0571</v>
      </c>
      <c r="F137">
        <v>0.2077</v>
      </c>
      <c r="G137" s="278">
        <f t="shared" si="20"/>
        <v>11.264800000000001</v>
      </c>
      <c r="H137" s="274">
        <v>11.1181</v>
      </c>
      <c r="I137" s="278">
        <f>G137-H137</f>
        <v>0.14670000000000094</v>
      </c>
      <c r="J137" s="273">
        <f t="shared" si="15"/>
        <v>6.0999999999999055E-2</v>
      </c>
      <c r="K137" s="275">
        <f t="shared" si="16"/>
        <v>29.369282619161797</v>
      </c>
      <c r="L137">
        <v>6</v>
      </c>
      <c r="M137" s="276">
        <v>43379</v>
      </c>
      <c r="N137" s="276">
        <v>43379</v>
      </c>
      <c r="O137" s="273"/>
      <c r="R137" s="275"/>
    </row>
    <row r="138" spans="1:18">
      <c r="A138" t="s">
        <v>1783</v>
      </c>
      <c r="C138" t="s">
        <v>2994</v>
      </c>
      <c r="D138">
        <v>1.6738999999999999</v>
      </c>
      <c r="E138">
        <v>8.0961999999999996</v>
      </c>
      <c r="F138">
        <v>0.23669999999999999</v>
      </c>
      <c r="G138" s="274">
        <f t="shared" si="20"/>
        <v>8.3329000000000004</v>
      </c>
      <c r="H138" s="274">
        <v>8.1098999999999997</v>
      </c>
      <c r="I138" s="274">
        <f>(G138-H138)</f>
        <v>0.22300000000000075</v>
      </c>
      <c r="J138" s="273">
        <f t="shared" si="15"/>
        <v>1.3699999999999241E-2</v>
      </c>
      <c r="K138" s="275">
        <f t="shared" si="16"/>
        <v>5.78791719476098</v>
      </c>
      <c r="L138">
        <v>34</v>
      </c>
      <c r="M138" s="276">
        <v>43360</v>
      </c>
      <c r="N138" s="276">
        <v>43361</v>
      </c>
      <c r="O138" s="273" t="s">
        <v>2985</v>
      </c>
      <c r="R138" s="275"/>
    </row>
    <row r="139" spans="1:18">
      <c r="A139" t="s">
        <v>1782</v>
      </c>
      <c r="C139" t="s">
        <v>3004</v>
      </c>
      <c r="D139">
        <v>1.6014999999999999</v>
      </c>
      <c r="E139">
        <v>7.8029999999999999</v>
      </c>
      <c r="F139">
        <v>0.2107</v>
      </c>
      <c r="G139" s="274">
        <f t="shared" si="20"/>
        <v>8.0137</v>
      </c>
      <c r="H139" s="274">
        <v>7.8228</v>
      </c>
      <c r="I139" s="274">
        <f t="shared" ref="I139:I144" si="21">G139-H139</f>
        <v>0.19090000000000007</v>
      </c>
      <c r="J139" s="273">
        <f t="shared" si="15"/>
        <v>1.9799999999999929E-2</v>
      </c>
      <c r="K139" s="275">
        <f t="shared" si="16"/>
        <v>9.3972472710013903</v>
      </c>
      <c r="L139">
        <v>28</v>
      </c>
      <c r="M139" s="16">
        <v>43399</v>
      </c>
      <c r="N139" s="16">
        <v>43400</v>
      </c>
      <c r="R139" s="275"/>
    </row>
    <row r="140" spans="1:18">
      <c r="A140" t="s">
        <v>2023</v>
      </c>
      <c r="B140">
        <v>198</v>
      </c>
      <c r="D140">
        <v>0.55259999999999998</v>
      </c>
      <c r="E140">
        <v>8.7041000000000004</v>
      </c>
      <c r="F140">
        <v>0.2039</v>
      </c>
      <c r="G140" s="274">
        <f t="shared" si="20"/>
        <v>8.9080000000000013</v>
      </c>
      <c r="H140" s="274">
        <v>8.7571999999999992</v>
      </c>
      <c r="I140" s="274">
        <f t="shared" si="21"/>
        <v>0.15080000000000204</v>
      </c>
      <c r="J140" s="273">
        <f t="shared" si="15"/>
        <v>5.3099999999997954E-2</v>
      </c>
      <c r="K140" s="275">
        <f t="shared" si="16"/>
        <v>26.042177538007827</v>
      </c>
      <c r="L140">
        <v>2</v>
      </c>
      <c r="M140" s="16">
        <v>43395</v>
      </c>
      <c r="N140" s="16">
        <v>43396</v>
      </c>
      <c r="R140" s="275"/>
    </row>
    <row r="141" spans="1:18">
      <c r="A141" t="s">
        <v>1777</v>
      </c>
      <c r="C141" t="s">
        <v>3023</v>
      </c>
      <c r="D141">
        <v>1.7927999999999999</v>
      </c>
      <c r="E141">
        <v>8.7614000000000001</v>
      </c>
      <c r="F141">
        <v>0.23269999999999999</v>
      </c>
      <c r="G141" s="274">
        <f t="shared" si="20"/>
        <v>8.9940999999999995</v>
      </c>
      <c r="H141" s="274">
        <v>8.7733000000000008</v>
      </c>
      <c r="I141" s="274">
        <f t="shared" si="21"/>
        <v>0.22079999999999878</v>
      </c>
      <c r="J141" s="273">
        <f t="shared" si="15"/>
        <v>1.1900000000001215E-2</v>
      </c>
      <c r="K141" s="275">
        <f t="shared" si="16"/>
        <v>5.1138805328754682</v>
      </c>
      <c r="L141">
        <v>15</v>
      </c>
      <c r="M141" s="276">
        <v>43362</v>
      </c>
      <c r="N141" s="276">
        <v>43363</v>
      </c>
      <c r="O141" s="273"/>
      <c r="R141" s="275"/>
    </row>
    <row r="142" spans="1:18">
      <c r="A142" t="s">
        <v>1776</v>
      </c>
      <c r="C142" t="s">
        <v>3052</v>
      </c>
      <c r="D142">
        <v>0.88290000000000002</v>
      </c>
      <c r="E142">
        <v>9.2363</v>
      </c>
      <c r="F142">
        <v>0.2107</v>
      </c>
      <c r="G142" s="274">
        <f t="shared" si="20"/>
        <v>9.4469999999999992</v>
      </c>
      <c r="H142" s="274">
        <v>9.2727000000000004</v>
      </c>
      <c r="I142" s="274">
        <f t="shared" si="21"/>
        <v>0.17429999999999879</v>
      </c>
      <c r="J142" s="273">
        <f t="shared" si="15"/>
        <v>3.6400000000001209E-2</v>
      </c>
      <c r="K142" s="275">
        <f t="shared" si="16"/>
        <v>17.275747508306221</v>
      </c>
      <c r="L142">
        <v>2</v>
      </c>
      <c r="M142" s="16">
        <v>43388</v>
      </c>
      <c r="N142" s="276">
        <v>43389</v>
      </c>
      <c r="O142" s="276"/>
      <c r="P142" s="273"/>
      <c r="R142" s="275"/>
    </row>
    <row r="143" spans="1:18">
      <c r="A143" t="s">
        <v>1775</v>
      </c>
      <c r="C143" t="s">
        <v>2783</v>
      </c>
      <c r="D143">
        <v>1.0206</v>
      </c>
      <c r="E143">
        <v>10.7043</v>
      </c>
      <c r="F143">
        <v>0.20599999999999999</v>
      </c>
      <c r="G143" s="274">
        <f t="shared" si="20"/>
        <v>10.910299999999999</v>
      </c>
      <c r="H143" s="274">
        <v>10.7407</v>
      </c>
      <c r="I143" s="274">
        <f t="shared" si="21"/>
        <v>0.16959999999999908</v>
      </c>
      <c r="J143" s="273">
        <f t="shared" si="15"/>
        <v>3.6400000000000904E-2</v>
      </c>
      <c r="K143" s="275">
        <f t="shared" si="16"/>
        <v>17.669902912621797</v>
      </c>
      <c r="L143">
        <v>26</v>
      </c>
      <c r="M143" s="276">
        <v>43363</v>
      </c>
      <c r="N143" s="276">
        <v>43364</v>
      </c>
      <c r="O143" s="273" t="s">
        <v>3033</v>
      </c>
      <c r="R143" s="275"/>
    </row>
    <row r="144" spans="1:18">
      <c r="A144" t="s">
        <v>1773</v>
      </c>
      <c r="C144" t="s">
        <v>3025</v>
      </c>
      <c r="D144">
        <v>1.6758999999999999</v>
      </c>
      <c r="E144">
        <v>7.4760999999999997</v>
      </c>
      <c r="F144">
        <v>0.2442</v>
      </c>
      <c r="G144">
        <f t="shared" si="20"/>
        <v>7.7202999999999999</v>
      </c>
      <c r="H144">
        <v>7.5316999999999998</v>
      </c>
      <c r="I144" s="274">
        <f t="shared" si="21"/>
        <v>0.1886000000000001</v>
      </c>
      <c r="J144" s="273">
        <f t="shared" si="15"/>
        <v>5.55999999999999E-2</v>
      </c>
      <c r="K144" s="275">
        <f t="shared" si="16"/>
        <v>22.768222768222728</v>
      </c>
      <c r="L144">
        <v>20</v>
      </c>
      <c r="M144" s="16">
        <v>43402</v>
      </c>
      <c r="N144" s="16">
        <v>43403</v>
      </c>
      <c r="R144" s="275"/>
    </row>
    <row r="145" spans="1:18">
      <c r="A145" t="s">
        <v>1772</v>
      </c>
      <c r="C145" t="s">
        <v>2992</v>
      </c>
      <c r="D145">
        <v>1.6702999999999999</v>
      </c>
      <c r="E145">
        <v>9.1378000000000004</v>
      </c>
      <c r="F145">
        <v>0.20069999999999999</v>
      </c>
      <c r="G145" s="274">
        <f t="shared" si="20"/>
        <v>9.3384999999999998</v>
      </c>
      <c r="H145" s="274">
        <v>9.1496999999999993</v>
      </c>
      <c r="I145" s="274">
        <f>(G145-H145)</f>
        <v>0.18880000000000052</v>
      </c>
      <c r="J145" s="273">
        <f t="shared" si="15"/>
        <v>1.1899999999999467E-2</v>
      </c>
      <c r="K145" s="275">
        <f t="shared" si="16"/>
        <v>5.9292476332832429</v>
      </c>
      <c r="L145">
        <v>13</v>
      </c>
      <c r="M145" s="276">
        <v>43360</v>
      </c>
      <c r="N145" s="276">
        <v>43361</v>
      </c>
      <c r="O145" s="273" t="s">
        <v>2985</v>
      </c>
      <c r="R145" s="275"/>
    </row>
    <row r="146" spans="1:18">
      <c r="A146" t="s">
        <v>1766</v>
      </c>
      <c r="C146" t="s">
        <v>2958</v>
      </c>
      <c r="D146">
        <v>0.95940000000000003</v>
      </c>
      <c r="E146">
        <f>G146-F146</f>
        <v>10.1082</v>
      </c>
      <c r="F146">
        <v>0.2172</v>
      </c>
      <c r="G146" s="274">
        <v>10.3254</v>
      </c>
      <c r="H146" s="274">
        <v>10.1347</v>
      </c>
      <c r="I146" s="274">
        <f>(G146-H146)</f>
        <v>0.19069999999999965</v>
      </c>
      <c r="J146" s="273">
        <f t="shared" si="15"/>
        <v>2.6500000000000357E-2</v>
      </c>
      <c r="K146" s="275">
        <f t="shared" si="16"/>
        <v>12.200736648250626</v>
      </c>
      <c r="L146">
        <v>2</v>
      </c>
      <c r="M146" s="276">
        <v>43360</v>
      </c>
      <c r="N146" s="276">
        <v>43361</v>
      </c>
      <c r="O146" s="273"/>
      <c r="R146" s="275"/>
    </row>
    <row r="147" spans="1:18">
      <c r="A147" t="s">
        <v>1761</v>
      </c>
      <c r="C147" t="s">
        <v>2775</v>
      </c>
      <c r="D147">
        <v>1.0654999999999999</v>
      </c>
      <c r="E147">
        <v>10.617699999999999</v>
      </c>
      <c r="F147">
        <v>0.20530000000000001</v>
      </c>
      <c r="G147" s="274">
        <f t="shared" ref="G147:G210" si="22">E147+F147</f>
        <v>10.822999999999999</v>
      </c>
      <c r="H147" s="274">
        <v>10.64</v>
      </c>
      <c r="I147" s="274">
        <f>G147-H147</f>
        <v>0.18299999999999805</v>
      </c>
      <c r="J147" s="273">
        <f t="shared" si="15"/>
        <v>2.2300000000001957E-2</v>
      </c>
      <c r="K147" s="275">
        <f t="shared" si="16"/>
        <v>10.862152946907919</v>
      </c>
      <c r="L147">
        <v>27</v>
      </c>
      <c r="M147" s="276">
        <v>43363</v>
      </c>
      <c r="N147" s="276">
        <v>43364</v>
      </c>
      <c r="R147" s="275"/>
    </row>
    <row r="148" spans="1:18">
      <c r="A148" t="s">
        <v>1760</v>
      </c>
      <c r="C148" t="s">
        <v>2780</v>
      </c>
      <c r="D148">
        <v>1.4702999999999999</v>
      </c>
      <c r="E148">
        <v>10.740399999999999</v>
      </c>
      <c r="F148">
        <v>0.24010000000000001</v>
      </c>
      <c r="G148" s="274">
        <f t="shared" si="22"/>
        <v>10.980499999999999</v>
      </c>
      <c r="H148" s="274">
        <v>10.7583</v>
      </c>
      <c r="I148" s="274">
        <f>G148-H148</f>
        <v>0.22219999999999906</v>
      </c>
      <c r="J148" s="273">
        <f t="shared" si="15"/>
        <v>1.7900000000000943E-2</v>
      </c>
      <c r="K148" s="275">
        <f t="shared" si="16"/>
        <v>7.4552269887550784</v>
      </c>
      <c r="L148">
        <v>2</v>
      </c>
      <c r="M148" s="276">
        <v>43363</v>
      </c>
      <c r="N148" s="276">
        <v>43364</v>
      </c>
      <c r="O148" s="273"/>
      <c r="R148" s="275"/>
    </row>
    <row r="149" spans="1:18">
      <c r="A149" t="s">
        <v>1758</v>
      </c>
      <c r="C149" t="s">
        <v>2980</v>
      </c>
      <c r="D149">
        <v>0.69669999999999999</v>
      </c>
      <c r="E149">
        <v>8.7598000000000003</v>
      </c>
      <c r="F149">
        <v>0.2031</v>
      </c>
      <c r="G149" s="274">
        <f t="shared" si="22"/>
        <v>8.9628999999999994</v>
      </c>
      <c r="H149" s="274">
        <v>8.7980999999999998</v>
      </c>
      <c r="I149" s="274">
        <f>(G149-H149)</f>
        <v>0.16479999999999961</v>
      </c>
      <c r="J149" s="273">
        <f t="shared" si="15"/>
        <v>3.8300000000000389E-2</v>
      </c>
      <c r="K149" s="275">
        <f t="shared" si="16"/>
        <v>18.857705563761883</v>
      </c>
      <c r="L149">
        <v>34</v>
      </c>
      <c r="M149" s="276">
        <v>43360</v>
      </c>
      <c r="N149" s="276">
        <v>43361</v>
      </c>
      <c r="R149" s="275"/>
    </row>
    <row r="150" spans="1:18">
      <c r="A150" t="s">
        <v>1757</v>
      </c>
      <c r="C150" t="s">
        <v>3032</v>
      </c>
      <c r="D150" s="273">
        <v>1.6407</v>
      </c>
      <c r="E150" s="274">
        <v>9.6792999999999996</v>
      </c>
      <c r="F150" s="274">
        <v>0.23730000000000001</v>
      </c>
      <c r="G150" s="278">
        <f t="shared" si="22"/>
        <v>9.916599999999999</v>
      </c>
      <c r="H150" s="274">
        <v>9.6951999999999998</v>
      </c>
      <c r="I150" s="278">
        <f t="shared" ref="I150:I168" si="23">G150-H150</f>
        <v>0.22139999999999915</v>
      </c>
      <c r="J150" s="273">
        <f t="shared" si="15"/>
        <v>1.5900000000000858E-2</v>
      </c>
      <c r="K150" s="275">
        <f t="shared" si="16"/>
        <v>6.7003792667513089</v>
      </c>
      <c r="L150" s="273">
        <v>1</v>
      </c>
      <c r="M150" s="276">
        <v>43379</v>
      </c>
      <c r="N150" s="276">
        <v>43379</v>
      </c>
      <c r="O150" s="273"/>
      <c r="P150" s="273"/>
      <c r="R150" s="275"/>
    </row>
    <row r="151" spans="1:18">
      <c r="A151" t="s">
        <v>1756</v>
      </c>
      <c r="C151" t="s">
        <v>3012</v>
      </c>
      <c r="D151">
        <v>0.73580000000000001</v>
      </c>
      <c r="E151">
        <v>19.408899999999999</v>
      </c>
      <c r="F151">
        <v>0.21940000000000001</v>
      </c>
      <c r="G151" s="274">
        <f t="shared" si="22"/>
        <v>19.628299999999999</v>
      </c>
      <c r="H151" s="274">
        <v>19.474</v>
      </c>
      <c r="I151" s="274">
        <f t="shared" si="23"/>
        <v>0.15429999999999922</v>
      </c>
      <c r="J151" s="273">
        <f t="shared" si="15"/>
        <v>6.5100000000000796E-2</v>
      </c>
      <c r="K151" s="275">
        <f t="shared" si="16"/>
        <v>29.671832269827163</v>
      </c>
      <c r="L151">
        <v>30</v>
      </c>
      <c r="M151" s="276">
        <v>43361</v>
      </c>
      <c r="N151" s="276">
        <v>43362</v>
      </c>
      <c r="O151" s="273" t="s">
        <v>3008</v>
      </c>
      <c r="R151" s="275"/>
    </row>
    <row r="152" spans="1:18">
      <c r="A152" t="s">
        <v>1755</v>
      </c>
      <c r="C152" t="s">
        <v>2698</v>
      </c>
      <c r="D152">
        <v>0.74370000000000003</v>
      </c>
      <c r="E152">
        <v>8.2199000000000009</v>
      </c>
      <c r="F152">
        <v>0.2021</v>
      </c>
      <c r="G152" s="274">
        <f t="shared" si="22"/>
        <v>8.4220000000000006</v>
      </c>
      <c r="H152" s="274">
        <v>8.2733000000000008</v>
      </c>
      <c r="I152" s="274">
        <f t="shared" si="23"/>
        <v>0.14869999999999983</v>
      </c>
      <c r="J152" s="273">
        <f t="shared" si="15"/>
        <v>5.340000000000017E-2</v>
      </c>
      <c r="K152" s="275">
        <f t="shared" si="16"/>
        <v>26.422563087580492</v>
      </c>
      <c r="L152">
        <v>10</v>
      </c>
      <c r="M152" s="16">
        <v>43388</v>
      </c>
      <c r="N152" s="276">
        <v>43389</v>
      </c>
      <c r="O152" s="276"/>
      <c r="P152" s="273"/>
      <c r="R152" s="275"/>
    </row>
    <row r="153" spans="1:18">
      <c r="A153" t="s">
        <v>2020</v>
      </c>
      <c r="C153" t="s">
        <v>2711</v>
      </c>
      <c r="D153">
        <v>0.59309999999999996</v>
      </c>
      <c r="E153">
        <v>10.795500000000001</v>
      </c>
      <c r="F153">
        <v>0.22020000000000001</v>
      </c>
      <c r="G153" s="274">
        <f t="shared" si="22"/>
        <v>11.015700000000001</v>
      </c>
      <c r="H153" s="274">
        <v>10.8386</v>
      </c>
      <c r="I153" s="274">
        <f t="shared" si="23"/>
        <v>0.17710000000000115</v>
      </c>
      <c r="J153" s="273">
        <f t="shared" si="15"/>
        <v>4.3099999999998861E-2</v>
      </c>
      <c r="K153" s="275">
        <f t="shared" si="16"/>
        <v>19.57311534968159</v>
      </c>
      <c r="L153">
        <v>20</v>
      </c>
      <c r="M153" s="16">
        <v>43388</v>
      </c>
      <c r="N153" s="276">
        <v>43389</v>
      </c>
      <c r="O153" s="16"/>
      <c r="R153" s="275"/>
    </row>
    <row r="154" spans="1:18">
      <c r="A154" t="s">
        <v>1750</v>
      </c>
      <c r="C154" t="s">
        <v>2982</v>
      </c>
      <c r="D154">
        <v>1.6894</v>
      </c>
      <c r="E154">
        <v>7.8613</v>
      </c>
      <c r="F154">
        <v>0.2127</v>
      </c>
      <c r="G154" s="274">
        <f t="shared" si="22"/>
        <v>8.0739999999999998</v>
      </c>
      <c r="H154" s="274">
        <v>7.8746999999999998</v>
      </c>
      <c r="I154" s="274">
        <f t="shared" si="23"/>
        <v>0.19930000000000003</v>
      </c>
      <c r="J154" s="273">
        <f t="shared" ref="J154:J217" si="24">F154-I154</f>
        <v>1.3399999999999967E-2</v>
      </c>
      <c r="K154" s="275">
        <f t="shared" ref="K154:K217" si="25">(J154/F154)*100</f>
        <v>6.2999529854254668</v>
      </c>
      <c r="L154">
        <v>14</v>
      </c>
      <c r="M154" s="276">
        <v>43374</v>
      </c>
      <c r="N154" s="276">
        <v>43375</v>
      </c>
      <c r="O154" s="273" t="s">
        <v>3008</v>
      </c>
      <c r="R154" s="275"/>
    </row>
    <row r="155" spans="1:18">
      <c r="A155" t="s">
        <v>1749</v>
      </c>
      <c r="C155" t="s">
        <v>2756</v>
      </c>
      <c r="D155">
        <v>0.47089999999999999</v>
      </c>
      <c r="E155">
        <v>8.8465000000000007</v>
      </c>
      <c r="F155">
        <v>0.23549999999999999</v>
      </c>
      <c r="G155" s="274">
        <f t="shared" si="22"/>
        <v>9.0820000000000007</v>
      </c>
      <c r="H155" s="274">
        <v>8.8833000000000002</v>
      </c>
      <c r="I155" s="274">
        <f t="shared" si="23"/>
        <v>0.19870000000000054</v>
      </c>
      <c r="J155" s="273">
        <f t="shared" si="24"/>
        <v>3.6799999999999444E-2</v>
      </c>
      <c r="K155" s="275">
        <f t="shared" si="25"/>
        <v>15.626326963906347</v>
      </c>
      <c r="L155">
        <v>15</v>
      </c>
      <c r="M155" s="276">
        <v>43363</v>
      </c>
      <c r="N155" s="276">
        <v>43364</v>
      </c>
      <c r="O155" s="273"/>
      <c r="P155" t="s">
        <v>3039</v>
      </c>
      <c r="R155" s="275"/>
    </row>
    <row r="156" spans="1:18">
      <c r="A156" t="s">
        <v>1747</v>
      </c>
      <c r="C156" t="s">
        <v>2770</v>
      </c>
      <c r="D156">
        <v>1.4985999999999999</v>
      </c>
      <c r="E156">
        <v>8.0891999999999999</v>
      </c>
      <c r="F156">
        <v>0.20230000000000001</v>
      </c>
      <c r="G156" s="274">
        <f t="shared" si="22"/>
        <v>8.2914999999999992</v>
      </c>
      <c r="H156" s="274">
        <v>8.1057000000000006</v>
      </c>
      <c r="I156" s="274">
        <f t="shared" si="23"/>
        <v>0.18579999999999863</v>
      </c>
      <c r="J156" s="273">
        <f t="shared" si="24"/>
        <v>1.6500000000001375E-2</v>
      </c>
      <c r="K156" s="275">
        <f t="shared" si="25"/>
        <v>8.1562036579344408</v>
      </c>
      <c r="L156">
        <v>4</v>
      </c>
      <c r="M156" s="276">
        <v>43363</v>
      </c>
      <c r="N156" s="276">
        <v>43364</v>
      </c>
      <c r="O156" s="273"/>
      <c r="R156" s="275"/>
    </row>
    <row r="157" spans="1:18">
      <c r="A157" t="s">
        <v>1741</v>
      </c>
      <c r="C157" t="s">
        <v>2752</v>
      </c>
      <c r="D157">
        <v>0.64359999999999995</v>
      </c>
      <c r="E157">
        <v>8.1205999999999996</v>
      </c>
      <c r="F157">
        <v>0.2024</v>
      </c>
      <c r="G157" s="274">
        <f t="shared" si="22"/>
        <v>8.3230000000000004</v>
      </c>
      <c r="H157" s="274">
        <v>8.19</v>
      </c>
      <c r="I157" s="274">
        <f t="shared" si="23"/>
        <v>0.1330000000000009</v>
      </c>
      <c r="J157" s="273">
        <f t="shared" si="24"/>
        <v>6.9399999999999101E-2</v>
      </c>
      <c r="K157" s="275">
        <f t="shared" si="25"/>
        <v>34.288537549406669</v>
      </c>
      <c r="L157">
        <v>23</v>
      </c>
      <c r="M157" s="276">
        <v>43374</v>
      </c>
      <c r="N157" s="276">
        <v>43375</v>
      </c>
      <c r="O157" s="273" t="s">
        <v>3008</v>
      </c>
      <c r="R157" s="275"/>
    </row>
    <row r="158" spans="1:18">
      <c r="A158" t="s">
        <v>1738</v>
      </c>
      <c r="C158" t="s">
        <v>3055</v>
      </c>
      <c r="D158">
        <v>1.6714</v>
      </c>
      <c r="E158">
        <v>11.259600000000001</v>
      </c>
      <c r="F158">
        <v>0.2049</v>
      </c>
      <c r="G158" s="274">
        <f t="shared" si="22"/>
        <v>11.464500000000001</v>
      </c>
      <c r="H158" s="274">
        <v>11.270899999999999</v>
      </c>
      <c r="I158" s="274">
        <f t="shared" si="23"/>
        <v>0.19360000000000177</v>
      </c>
      <c r="J158" s="273">
        <f t="shared" si="24"/>
        <v>1.1299999999998228E-2</v>
      </c>
      <c r="K158" s="275">
        <f t="shared" si="25"/>
        <v>5.5148853099064077</v>
      </c>
      <c r="L158">
        <v>40</v>
      </c>
      <c r="M158">
        <v>23.101800000000001</v>
      </c>
      <c r="N158" s="16">
        <v>43397</v>
      </c>
      <c r="R158" s="275"/>
    </row>
    <row r="159" spans="1:18">
      <c r="A159" t="s">
        <v>1737</v>
      </c>
      <c r="B159">
        <v>217</v>
      </c>
      <c r="C159" t="s">
        <v>2490</v>
      </c>
      <c r="D159">
        <v>0.57699999999999996</v>
      </c>
      <c r="E159">
        <v>8.0656999999999996</v>
      </c>
      <c r="F159">
        <v>0.20960000000000001</v>
      </c>
      <c r="G159" s="274">
        <f t="shared" si="22"/>
        <v>8.2752999999999997</v>
      </c>
      <c r="H159" s="274">
        <v>8.1027000000000005</v>
      </c>
      <c r="I159" s="274">
        <f t="shared" si="23"/>
        <v>0.1725999999999992</v>
      </c>
      <c r="J159" s="273">
        <f t="shared" si="24"/>
        <v>3.700000000000081E-2</v>
      </c>
      <c r="K159" s="275">
        <f t="shared" si="25"/>
        <v>17.652671755725578</v>
      </c>
      <c r="L159">
        <v>32</v>
      </c>
      <c r="M159" s="16">
        <v>43395</v>
      </c>
      <c r="N159" s="16">
        <v>43396</v>
      </c>
      <c r="R159" s="275"/>
    </row>
    <row r="160" spans="1:18">
      <c r="A160" t="s">
        <v>1736</v>
      </c>
      <c r="C160" t="s">
        <v>3041</v>
      </c>
      <c r="D160">
        <v>0.59319999999999995</v>
      </c>
      <c r="E160">
        <v>11.864000000000001</v>
      </c>
      <c r="F160">
        <v>0.23580000000000001</v>
      </c>
      <c r="G160" s="274">
        <f t="shared" si="22"/>
        <v>12.0998</v>
      </c>
      <c r="H160" s="274">
        <v>11.9154</v>
      </c>
      <c r="I160" s="274">
        <f t="shared" si="23"/>
        <v>0.18440000000000012</v>
      </c>
      <c r="J160" s="273">
        <f t="shared" si="24"/>
        <v>5.139999999999989E-2</v>
      </c>
      <c r="K160" s="275">
        <f t="shared" si="25"/>
        <v>21.798134011874424</v>
      </c>
      <c r="L160">
        <v>37</v>
      </c>
      <c r="M160" s="276">
        <v>43363</v>
      </c>
      <c r="N160" s="276">
        <v>43364</v>
      </c>
      <c r="R160" s="275"/>
    </row>
    <row r="161" spans="1:30">
      <c r="A161" t="s">
        <v>1735</v>
      </c>
      <c r="B161">
        <v>201</v>
      </c>
      <c r="D161">
        <v>0.66920000000000002</v>
      </c>
      <c r="E161">
        <v>7.4762000000000004</v>
      </c>
      <c r="F161">
        <v>0.2077</v>
      </c>
      <c r="G161" s="274">
        <f t="shared" si="22"/>
        <v>7.6839000000000004</v>
      </c>
      <c r="H161" s="274">
        <v>7.5107999999999997</v>
      </c>
      <c r="I161" s="274">
        <f t="shared" si="23"/>
        <v>0.1731000000000007</v>
      </c>
      <c r="J161" s="273">
        <f t="shared" si="24"/>
        <v>3.4599999999999298E-2</v>
      </c>
      <c r="K161" s="275">
        <f t="shared" si="25"/>
        <v>16.658642272508086</v>
      </c>
      <c r="L161">
        <v>14</v>
      </c>
      <c r="M161">
        <v>23.101800000000001</v>
      </c>
      <c r="N161" s="16">
        <v>43397</v>
      </c>
      <c r="R161" s="275"/>
    </row>
    <row r="162" spans="1:30">
      <c r="A162" t="s">
        <v>1734</v>
      </c>
      <c r="C162" t="s">
        <v>2767</v>
      </c>
      <c r="D162">
        <v>0.51480000000000004</v>
      </c>
      <c r="E162">
        <v>11.1229</v>
      </c>
      <c r="F162">
        <v>0.20630000000000001</v>
      </c>
      <c r="G162" s="274">
        <f t="shared" si="22"/>
        <v>11.3292</v>
      </c>
      <c r="H162" s="274">
        <v>11.152699999999999</v>
      </c>
      <c r="I162" s="274">
        <f t="shared" si="23"/>
        <v>0.17650000000000077</v>
      </c>
      <c r="J162" s="273">
        <f t="shared" si="24"/>
        <v>2.9799999999999244E-2</v>
      </c>
      <c r="K162" s="275">
        <f t="shared" si="25"/>
        <v>14.444983034415532</v>
      </c>
      <c r="L162">
        <v>32</v>
      </c>
      <c r="M162" s="276">
        <v>43363</v>
      </c>
      <c r="N162" s="276">
        <v>43364</v>
      </c>
      <c r="O162" s="273" t="s">
        <v>3033</v>
      </c>
      <c r="R162" s="275"/>
    </row>
    <row r="163" spans="1:30">
      <c r="A163" t="s">
        <v>1732</v>
      </c>
      <c r="C163" t="s">
        <v>2998</v>
      </c>
      <c r="D163">
        <v>0.58660000000000001</v>
      </c>
      <c r="E163">
        <v>11.903600000000001</v>
      </c>
      <c r="F163">
        <v>0.21740000000000001</v>
      </c>
      <c r="G163" s="274">
        <f t="shared" si="22"/>
        <v>12.121</v>
      </c>
      <c r="H163" s="274">
        <v>11.9339</v>
      </c>
      <c r="I163" s="274">
        <f t="shared" si="23"/>
        <v>0.18710000000000093</v>
      </c>
      <c r="J163" s="273">
        <f t="shared" si="24"/>
        <v>3.0299999999999078E-2</v>
      </c>
      <c r="K163" s="275">
        <f t="shared" si="25"/>
        <v>13.937442502299483</v>
      </c>
      <c r="L163">
        <v>14</v>
      </c>
      <c r="M163" s="276">
        <v>43361</v>
      </c>
      <c r="N163" s="276">
        <v>43362</v>
      </c>
      <c r="O163" s="273" t="s">
        <v>3008</v>
      </c>
      <c r="R163" s="275"/>
    </row>
    <row r="164" spans="1:30">
      <c r="A164" t="s">
        <v>1731</v>
      </c>
      <c r="C164" t="s">
        <v>3051</v>
      </c>
      <c r="D164">
        <v>1.657</v>
      </c>
      <c r="E164">
        <v>11.864000000000001</v>
      </c>
      <c r="F164">
        <v>0.2137</v>
      </c>
      <c r="G164" s="278">
        <f t="shared" si="22"/>
        <v>12.0777</v>
      </c>
      <c r="H164" s="274">
        <v>11.8775</v>
      </c>
      <c r="I164" s="278">
        <f t="shared" si="23"/>
        <v>0.2002000000000006</v>
      </c>
      <c r="J164" s="273">
        <f t="shared" si="24"/>
        <v>1.3499999999999401E-2</v>
      </c>
      <c r="K164" s="275">
        <f t="shared" si="25"/>
        <v>6.3172671970048668</v>
      </c>
      <c r="L164">
        <v>39</v>
      </c>
      <c r="M164" s="276">
        <v>43379</v>
      </c>
      <c r="N164" s="276">
        <v>43379</v>
      </c>
      <c r="R164" s="275"/>
    </row>
    <row r="165" spans="1:30">
      <c r="A165" t="s">
        <v>2018</v>
      </c>
      <c r="C165" t="s">
        <v>2696</v>
      </c>
      <c r="D165">
        <v>0.59130000000000005</v>
      </c>
      <c r="E165">
        <v>10.155099999999999</v>
      </c>
      <c r="F165">
        <v>0.20949999999999999</v>
      </c>
      <c r="G165" s="274">
        <f t="shared" si="22"/>
        <v>10.364599999999999</v>
      </c>
      <c r="H165" s="274">
        <v>10.209300000000001</v>
      </c>
      <c r="I165" s="274">
        <f t="shared" si="23"/>
        <v>0.15529999999999866</v>
      </c>
      <c r="J165" s="273">
        <f t="shared" si="24"/>
        <v>5.420000000000133E-2</v>
      </c>
      <c r="K165" s="275">
        <f t="shared" si="25"/>
        <v>25.871121718377726</v>
      </c>
      <c r="L165">
        <v>40</v>
      </c>
      <c r="M165" s="276">
        <v>43374</v>
      </c>
      <c r="N165" s="276">
        <v>43375</v>
      </c>
      <c r="O165" s="273" t="s">
        <v>3008</v>
      </c>
      <c r="R165" s="275"/>
    </row>
    <row r="166" spans="1:30">
      <c r="A166" t="s">
        <v>1730</v>
      </c>
      <c r="C166" t="s">
        <v>3048</v>
      </c>
      <c r="D166">
        <v>1.5604</v>
      </c>
      <c r="E166">
        <v>7.7161</v>
      </c>
      <c r="F166">
        <v>0.21679999999999999</v>
      </c>
      <c r="G166" s="278">
        <f t="shared" si="22"/>
        <v>7.9329000000000001</v>
      </c>
      <c r="H166" s="274">
        <v>7.7297000000000002</v>
      </c>
      <c r="I166" s="278">
        <f t="shared" si="23"/>
        <v>0.20319999999999983</v>
      </c>
      <c r="J166" s="273">
        <f t="shared" si="24"/>
        <v>1.3600000000000168E-2</v>
      </c>
      <c r="K166" s="275">
        <f t="shared" si="25"/>
        <v>6.2730627306273838</v>
      </c>
      <c r="L166">
        <v>27</v>
      </c>
      <c r="M166" s="276">
        <v>43379</v>
      </c>
      <c r="N166" s="276">
        <v>43379</v>
      </c>
      <c r="R166" s="275"/>
    </row>
    <row r="167" spans="1:30">
      <c r="A167" t="s">
        <v>1728</v>
      </c>
      <c r="C167" t="s">
        <v>3030</v>
      </c>
      <c r="D167">
        <v>1.6896</v>
      </c>
      <c r="E167">
        <v>9.3444000000000003</v>
      </c>
      <c r="F167">
        <v>0.20630000000000001</v>
      </c>
      <c r="G167" s="278">
        <f t="shared" si="22"/>
        <v>9.5507000000000009</v>
      </c>
      <c r="H167" s="274">
        <v>9.3569999999999993</v>
      </c>
      <c r="I167" s="278">
        <f t="shared" si="23"/>
        <v>0.19370000000000154</v>
      </c>
      <c r="J167" s="273">
        <f t="shared" si="24"/>
        <v>1.2599999999998474E-2</v>
      </c>
      <c r="K167" s="275">
        <f t="shared" si="25"/>
        <v>6.1076102762959152</v>
      </c>
      <c r="L167">
        <v>3</v>
      </c>
      <c r="M167" s="276">
        <v>43379</v>
      </c>
      <c r="N167" s="276">
        <v>43379</v>
      </c>
      <c r="O167" s="273"/>
      <c r="R167" s="275"/>
    </row>
    <row r="168" spans="1:30">
      <c r="A168" t="s">
        <v>1727</v>
      </c>
      <c r="C168" t="s">
        <v>2757</v>
      </c>
      <c r="D168">
        <v>0.57050000000000001</v>
      </c>
      <c r="E168">
        <v>11.0906</v>
      </c>
      <c r="F168">
        <v>0.20610000000000001</v>
      </c>
      <c r="G168" s="274">
        <f t="shared" si="22"/>
        <v>11.2967</v>
      </c>
      <c r="H168" s="274">
        <v>11.1309</v>
      </c>
      <c r="I168" s="274">
        <f t="shared" si="23"/>
        <v>0.16579999999999906</v>
      </c>
      <c r="J168" s="273">
        <f t="shared" si="24"/>
        <v>4.0300000000000946E-2</v>
      </c>
      <c r="K168" s="275">
        <f t="shared" si="25"/>
        <v>19.55361475012176</v>
      </c>
      <c r="L168">
        <v>8</v>
      </c>
      <c r="M168" s="276">
        <v>43374</v>
      </c>
      <c r="N168" s="276">
        <v>43375</v>
      </c>
      <c r="O168" s="273" t="s">
        <v>3008</v>
      </c>
      <c r="R168" s="275"/>
    </row>
    <row r="169" spans="1:30">
      <c r="A169" t="s">
        <v>1726</v>
      </c>
      <c r="C169" t="s">
        <v>2957</v>
      </c>
      <c r="D169">
        <v>1.5694999999999999</v>
      </c>
      <c r="E169">
        <v>9.9166000000000007</v>
      </c>
      <c r="F169">
        <v>0.2001</v>
      </c>
      <c r="G169" s="274">
        <f t="shared" si="22"/>
        <v>10.116700000000002</v>
      </c>
      <c r="H169" s="274">
        <v>9.9318000000000008</v>
      </c>
      <c r="I169" s="274">
        <f>(G169-H169)</f>
        <v>0.18490000000000073</v>
      </c>
      <c r="J169" s="273">
        <f t="shared" si="24"/>
        <v>1.519999999999927E-2</v>
      </c>
      <c r="K169" s="275">
        <f t="shared" si="25"/>
        <v>7.5962018990501106</v>
      </c>
      <c r="L169">
        <v>33</v>
      </c>
      <c r="M169" s="16">
        <v>43358</v>
      </c>
      <c r="N169" s="16">
        <v>43358</v>
      </c>
      <c r="R169" s="275"/>
      <c r="Z169" s="275"/>
      <c r="AB169" s="276"/>
      <c r="AC169" s="276"/>
      <c r="AD169" s="273"/>
    </row>
    <row r="170" spans="1:30">
      <c r="A170" t="s">
        <v>1724</v>
      </c>
      <c r="C170" t="s">
        <v>2961</v>
      </c>
      <c r="D170">
        <v>0.86680000000000001</v>
      </c>
      <c r="E170">
        <v>10.9024</v>
      </c>
      <c r="F170">
        <v>0.24099999999999999</v>
      </c>
      <c r="G170" s="274">
        <f t="shared" si="22"/>
        <v>11.1434</v>
      </c>
      <c r="H170" s="274">
        <v>10.943</v>
      </c>
      <c r="I170" s="274">
        <f>G170-H170</f>
        <v>0.20040000000000013</v>
      </c>
      <c r="J170" s="273">
        <f t="shared" si="24"/>
        <v>4.0599999999999858E-2</v>
      </c>
      <c r="K170" s="275">
        <f t="shared" si="25"/>
        <v>16.846473029045587</v>
      </c>
      <c r="L170">
        <v>32</v>
      </c>
      <c r="M170" s="276">
        <v>43363</v>
      </c>
      <c r="N170" s="276">
        <v>43364</v>
      </c>
      <c r="R170" s="275"/>
    </row>
    <row r="171" spans="1:30">
      <c r="A171" t="s">
        <v>1721</v>
      </c>
      <c r="C171" t="s">
        <v>2940</v>
      </c>
      <c r="D171">
        <v>1.6275999999999999</v>
      </c>
      <c r="E171">
        <v>10.5022</v>
      </c>
      <c r="F171">
        <v>0.2031</v>
      </c>
      <c r="G171" s="274">
        <f t="shared" si="22"/>
        <v>10.705299999999999</v>
      </c>
      <c r="H171" s="274">
        <v>10.513299999999999</v>
      </c>
      <c r="I171" s="274">
        <f>(G171-H171)</f>
        <v>0.19200000000000017</v>
      </c>
      <c r="J171" s="273">
        <f t="shared" si="24"/>
        <v>1.1099999999999832E-2</v>
      </c>
      <c r="K171" s="275">
        <f t="shared" si="25"/>
        <v>5.4652880354504347</v>
      </c>
      <c r="L171">
        <v>3</v>
      </c>
      <c r="M171" s="276">
        <v>43355.625</v>
      </c>
      <c r="N171" s="276">
        <v>43355.791666666664</v>
      </c>
      <c r="O171" s="273" t="s">
        <v>2938</v>
      </c>
      <c r="R171" s="275"/>
    </row>
    <row r="172" spans="1:30">
      <c r="A172" t="s">
        <v>1719</v>
      </c>
      <c r="C172" t="s">
        <v>3054</v>
      </c>
      <c r="D172">
        <v>1.7169000000000001</v>
      </c>
      <c r="E172">
        <v>8.7347999999999999</v>
      </c>
      <c r="F172">
        <v>0.2021</v>
      </c>
      <c r="G172" s="274">
        <f t="shared" si="22"/>
        <v>8.9368999999999996</v>
      </c>
      <c r="H172" s="274">
        <v>8.7462999999999997</v>
      </c>
      <c r="I172" s="274">
        <f>G172-H172</f>
        <v>0.19059999999999988</v>
      </c>
      <c r="J172" s="273">
        <f t="shared" si="24"/>
        <v>1.1500000000000121E-2</v>
      </c>
      <c r="K172" s="275">
        <f t="shared" si="25"/>
        <v>5.6902523503216829</v>
      </c>
      <c r="L172">
        <v>28</v>
      </c>
      <c r="M172" s="16">
        <v>43381</v>
      </c>
      <c r="N172" s="16">
        <v>43382</v>
      </c>
      <c r="R172" s="275"/>
    </row>
    <row r="173" spans="1:30">
      <c r="A173" t="s">
        <v>1718</v>
      </c>
      <c r="C173" t="s">
        <v>2714</v>
      </c>
      <c r="D173">
        <v>0.75490000000000002</v>
      </c>
      <c r="E173">
        <v>18.1126</v>
      </c>
      <c r="F173">
        <v>0.2051</v>
      </c>
      <c r="G173" s="274">
        <f t="shared" si="22"/>
        <v>18.317700000000002</v>
      </c>
      <c r="H173" s="274">
        <v>18.186699999999998</v>
      </c>
      <c r="I173" s="274">
        <f>G173-H173</f>
        <v>0.13100000000000378</v>
      </c>
      <c r="J173" s="273">
        <f t="shared" si="24"/>
        <v>7.4099999999996224E-2</v>
      </c>
      <c r="K173" s="275">
        <f t="shared" si="25"/>
        <v>36.128717698681726</v>
      </c>
      <c r="L173">
        <v>39</v>
      </c>
      <c r="M173" s="276">
        <v>43363</v>
      </c>
      <c r="N173" s="276">
        <v>43364</v>
      </c>
      <c r="O173" s="273" t="s">
        <v>3033</v>
      </c>
      <c r="R173" s="275"/>
    </row>
    <row r="174" spans="1:30">
      <c r="A174" t="s">
        <v>1715</v>
      </c>
      <c r="C174" t="s">
        <v>2711</v>
      </c>
      <c r="D174">
        <v>0.69259999999999999</v>
      </c>
      <c r="E174">
        <v>10.273400000000001</v>
      </c>
      <c r="F174">
        <v>0.20230000000000001</v>
      </c>
      <c r="G174" s="278">
        <f t="shared" si="22"/>
        <v>10.4757</v>
      </c>
      <c r="H174" s="274">
        <v>10.331099999999999</v>
      </c>
      <c r="I174" s="278">
        <f>G174-H174</f>
        <v>0.14460000000000051</v>
      </c>
      <c r="J174" s="273">
        <f t="shared" si="24"/>
        <v>5.7699999999999502E-2</v>
      </c>
      <c r="K174" s="275">
        <f t="shared" si="25"/>
        <v>28.521997034107514</v>
      </c>
      <c r="L174">
        <v>35</v>
      </c>
      <c r="M174" s="276">
        <v>43379</v>
      </c>
      <c r="N174" s="276">
        <v>43379</v>
      </c>
      <c r="R174" s="275"/>
    </row>
    <row r="175" spans="1:30">
      <c r="A175" t="s">
        <v>1714</v>
      </c>
      <c r="C175" t="s">
        <v>2974</v>
      </c>
      <c r="D175">
        <v>1.4553</v>
      </c>
      <c r="E175">
        <v>11.002800000000001</v>
      </c>
      <c r="F175">
        <v>0.21110000000000001</v>
      </c>
      <c r="G175" s="274">
        <f t="shared" si="22"/>
        <v>11.213900000000001</v>
      </c>
      <c r="H175" s="274">
        <v>11.023300000000001</v>
      </c>
      <c r="I175" s="274">
        <f>(G175-H175)</f>
        <v>0.19059999999999988</v>
      </c>
      <c r="J175" s="273">
        <f t="shared" si="24"/>
        <v>2.0500000000000129E-2</v>
      </c>
      <c r="K175" s="275">
        <f t="shared" si="25"/>
        <v>9.7110374230223258</v>
      </c>
      <c r="L175">
        <v>22</v>
      </c>
      <c r="M175" s="276">
        <v>43360</v>
      </c>
      <c r="N175" s="276">
        <v>43361</v>
      </c>
      <c r="R175" s="275"/>
    </row>
    <row r="176" spans="1:30">
      <c r="A176" t="s">
        <v>1712</v>
      </c>
      <c r="B176">
        <v>195</v>
      </c>
      <c r="D176">
        <v>0.65900000000000003</v>
      </c>
      <c r="E176">
        <v>8.0901999999999994</v>
      </c>
      <c r="F176">
        <v>0.20080000000000001</v>
      </c>
      <c r="G176" s="274">
        <f t="shared" si="22"/>
        <v>8.2909999999999986</v>
      </c>
      <c r="H176" s="274">
        <v>8.1227</v>
      </c>
      <c r="I176" s="274">
        <f>G176-H176</f>
        <v>0.16829999999999856</v>
      </c>
      <c r="J176" s="273">
        <f t="shared" si="24"/>
        <v>3.2500000000001444E-2</v>
      </c>
      <c r="K176" s="275">
        <f t="shared" si="25"/>
        <v>16.185258964144143</v>
      </c>
      <c r="L176">
        <v>7</v>
      </c>
      <c r="M176">
        <v>23.101800000000001</v>
      </c>
      <c r="N176" s="16">
        <v>43397</v>
      </c>
      <c r="R176" s="275"/>
    </row>
    <row r="177" spans="1:18">
      <c r="A177" t="s">
        <v>2016</v>
      </c>
      <c r="C177" t="s">
        <v>3007</v>
      </c>
      <c r="D177">
        <v>0.71709999999999996</v>
      </c>
      <c r="E177">
        <v>9.3442000000000007</v>
      </c>
      <c r="F177">
        <v>0.22459999999999999</v>
      </c>
      <c r="G177" s="274">
        <f t="shared" si="22"/>
        <v>9.5688000000000013</v>
      </c>
      <c r="H177" s="274">
        <v>9.4041999999999994</v>
      </c>
      <c r="I177" s="274">
        <f>(G177-H177)</f>
        <v>0.16460000000000186</v>
      </c>
      <c r="J177" s="273">
        <f t="shared" si="24"/>
        <v>5.9999999999998138E-2</v>
      </c>
      <c r="K177" s="275">
        <f t="shared" si="25"/>
        <v>26.714158504006296</v>
      </c>
      <c r="L177">
        <v>42</v>
      </c>
      <c r="M177" s="276">
        <v>43360</v>
      </c>
      <c r="N177" s="276">
        <v>43361</v>
      </c>
      <c r="O177" s="273" t="s">
        <v>2985</v>
      </c>
      <c r="R177" s="275"/>
    </row>
    <row r="178" spans="1:18">
      <c r="A178" t="s">
        <v>1709</v>
      </c>
      <c r="C178" t="s">
        <v>3004</v>
      </c>
      <c r="D178">
        <v>1.5366</v>
      </c>
      <c r="E178">
        <v>10.540800000000001</v>
      </c>
      <c r="F178">
        <v>0.2329</v>
      </c>
      <c r="G178" s="274">
        <f t="shared" si="22"/>
        <v>10.773700000000002</v>
      </c>
      <c r="H178" s="274">
        <v>10.557499999999999</v>
      </c>
      <c r="I178" s="274">
        <f>(G178-H178)</f>
        <v>0.21620000000000239</v>
      </c>
      <c r="J178" s="273">
        <f t="shared" si="24"/>
        <v>1.6699999999997606E-2</v>
      </c>
      <c r="K178" s="275">
        <f t="shared" si="25"/>
        <v>7.1704594246447426</v>
      </c>
      <c r="L178">
        <v>38</v>
      </c>
      <c r="M178" s="276">
        <v>43360</v>
      </c>
      <c r="N178" s="276">
        <v>43361</v>
      </c>
      <c r="O178" s="273" t="s">
        <v>2985</v>
      </c>
      <c r="R178" s="275"/>
    </row>
    <row r="179" spans="1:18">
      <c r="A179" t="s">
        <v>1708</v>
      </c>
      <c r="C179" t="s">
        <v>3003</v>
      </c>
      <c r="D179">
        <v>1.5739000000000001</v>
      </c>
      <c r="E179">
        <v>9.3206000000000007</v>
      </c>
      <c r="F179">
        <v>0.24679999999999999</v>
      </c>
      <c r="G179" s="274">
        <f t="shared" si="22"/>
        <v>9.567400000000001</v>
      </c>
      <c r="H179" s="274">
        <v>9.3346</v>
      </c>
      <c r="I179" s="274">
        <f>G179-H179</f>
        <v>0.23280000000000101</v>
      </c>
      <c r="J179" s="273">
        <f t="shared" si="24"/>
        <v>1.3999999999998985E-2</v>
      </c>
      <c r="K179" s="275">
        <f t="shared" si="25"/>
        <v>5.6726094003237382</v>
      </c>
      <c r="L179">
        <v>2</v>
      </c>
      <c r="M179" s="16">
        <v>43381</v>
      </c>
      <c r="N179" s="16">
        <v>43382</v>
      </c>
      <c r="R179" s="275"/>
    </row>
    <row r="180" spans="1:18">
      <c r="A180" t="s">
        <v>1707</v>
      </c>
      <c r="C180" t="s">
        <v>2700</v>
      </c>
      <c r="D180">
        <v>0.49370000000000003</v>
      </c>
      <c r="E180">
        <v>10.5054</v>
      </c>
      <c r="F180">
        <v>0.20749999999999999</v>
      </c>
      <c r="G180" s="274">
        <f t="shared" si="22"/>
        <v>10.712899999999999</v>
      </c>
      <c r="H180" s="274">
        <v>10.5404</v>
      </c>
      <c r="I180" s="274">
        <f>G180-H180</f>
        <v>0.17249999999999943</v>
      </c>
      <c r="J180" s="273">
        <f t="shared" si="24"/>
        <v>3.5000000000000558E-2</v>
      </c>
      <c r="K180" s="275">
        <f t="shared" si="25"/>
        <v>16.867469879518342</v>
      </c>
      <c r="L180">
        <v>6</v>
      </c>
      <c r="M180" s="16">
        <v>43381</v>
      </c>
      <c r="N180" s="16">
        <v>43382</v>
      </c>
      <c r="R180" s="275"/>
    </row>
    <row r="181" spans="1:18">
      <c r="A181" t="s">
        <v>1706</v>
      </c>
      <c r="C181" t="s">
        <v>2980</v>
      </c>
      <c r="D181">
        <v>0.62109999999999999</v>
      </c>
      <c r="E181">
        <v>19.650200000000002</v>
      </c>
      <c r="F181">
        <v>0.21510000000000001</v>
      </c>
      <c r="G181" s="274">
        <f t="shared" si="22"/>
        <v>19.865300000000001</v>
      </c>
      <c r="H181" s="274">
        <v>19.692399999999999</v>
      </c>
      <c r="I181" s="274">
        <f>G181-H181</f>
        <v>0.17290000000000205</v>
      </c>
      <c r="J181" s="273">
        <f t="shared" si="24"/>
        <v>4.2199999999997961E-2</v>
      </c>
      <c r="K181" s="275">
        <f t="shared" si="25"/>
        <v>19.618781961877247</v>
      </c>
      <c r="L181">
        <v>32</v>
      </c>
      <c r="M181" s="276">
        <v>43361</v>
      </c>
      <c r="N181" s="276">
        <v>43362</v>
      </c>
      <c r="O181" s="273" t="s">
        <v>3008</v>
      </c>
      <c r="R181" s="275"/>
    </row>
    <row r="182" spans="1:18">
      <c r="A182" t="s">
        <v>1703</v>
      </c>
      <c r="C182" t="s">
        <v>2944</v>
      </c>
      <c r="D182">
        <v>1.5323</v>
      </c>
      <c r="E182">
        <v>10.074999999999999</v>
      </c>
      <c r="F182">
        <v>0.2021</v>
      </c>
      <c r="G182" s="274">
        <f t="shared" si="22"/>
        <v>10.277099999999999</v>
      </c>
      <c r="H182" s="274">
        <v>10.0878</v>
      </c>
      <c r="I182" s="274">
        <f>(G182-H182)</f>
        <v>0.18929999999999936</v>
      </c>
      <c r="J182" s="273">
        <f t="shared" si="24"/>
        <v>1.2800000000000644E-2</v>
      </c>
      <c r="K182" s="275">
        <f t="shared" si="25"/>
        <v>6.3334982681843854</v>
      </c>
      <c r="L182">
        <v>5</v>
      </c>
      <c r="M182" s="16">
        <v>43358</v>
      </c>
      <c r="N182" s="16">
        <v>43358</v>
      </c>
      <c r="R182" s="275"/>
    </row>
    <row r="183" spans="1:18">
      <c r="A183" t="s">
        <v>1702</v>
      </c>
      <c r="C183" t="s">
        <v>2706</v>
      </c>
      <c r="D183">
        <v>0.51029999999999998</v>
      </c>
      <c r="E183">
        <v>8.1319999999999997</v>
      </c>
      <c r="F183">
        <v>0.2112</v>
      </c>
      <c r="G183">
        <f t="shared" si="22"/>
        <v>8.3431999999999995</v>
      </c>
      <c r="H183">
        <v>8.173</v>
      </c>
      <c r="I183" s="274">
        <f>G183-H183</f>
        <v>0.17019999999999946</v>
      </c>
      <c r="J183" s="273">
        <f t="shared" si="24"/>
        <v>4.1000000000000536E-2</v>
      </c>
      <c r="K183" s="275">
        <f t="shared" si="25"/>
        <v>19.412878787879041</v>
      </c>
      <c r="L183">
        <v>9</v>
      </c>
      <c r="M183" s="16">
        <v>43402</v>
      </c>
      <c r="N183" s="16">
        <v>43403</v>
      </c>
      <c r="R183" s="275"/>
    </row>
    <row r="184" spans="1:18">
      <c r="A184" t="s">
        <v>1701</v>
      </c>
      <c r="C184" t="s">
        <v>3028</v>
      </c>
      <c r="D184">
        <v>1.63</v>
      </c>
      <c r="E184">
        <v>9.5570000000000004</v>
      </c>
      <c r="F184">
        <v>0.2009</v>
      </c>
      <c r="G184" s="274">
        <f t="shared" si="22"/>
        <v>9.7579000000000011</v>
      </c>
      <c r="H184" s="274">
        <v>9.5688999999999993</v>
      </c>
      <c r="I184" s="274">
        <f>G184-H184</f>
        <v>0.18900000000000183</v>
      </c>
      <c r="J184" s="273">
        <f t="shared" si="24"/>
        <v>1.1899999999998162E-2</v>
      </c>
      <c r="K184" s="275">
        <f t="shared" si="25"/>
        <v>5.923344947734277</v>
      </c>
      <c r="L184">
        <v>24</v>
      </c>
      <c r="M184" s="276">
        <v>43362</v>
      </c>
      <c r="N184" s="276">
        <v>43363</v>
      </c>
      <c r="R184" s="275"/>
    </row>
    <row r="185" spans="1:18">
      <c r="A185" t="s">
        <v>2015</v>
      </c>
      <c r="C185" t="s">
        <v>3001</v>
      </c>
      <c r="D185">
        <v>1.7032</v>
      </c>
      <c r="E185">
        <v>7.7754000000000003</v>
      </c>
      <c r="F185">
        <v>0.21210000000000001</v>
      </c>
      <c r="G185" s="274">
        <f t="shared" si="22"/>
        <v>7.9875000000000007</v>
      </c>
      <c r="H185" s="274">
        <v>7.7873000000000001</v>
      </c>
      <c r="I185" s="274">
        <f>G185-H185</f>
        <v>0.2002000000000006</v>
      </c>
      <c r="J185" s="273">
        <f t="shared" si="24"/>
        <v>1.1899999999999411E-2</v>
      </c>
      <c r="K185" s="275">
        <f t="shared" si="25"/>
        <v>5.6105610561053325</v>
      </c>
      <c r="L185">
        <v>23</v>
      </c>
      <c r="M185" s="16">
        <v>43395</v>
      </c>
      <c r="N185" s="16">
        <v>43396</v>
      </c>
      <c r="R185" s="275"/>
    </row>
    <row r="186" spans="1:18">
      <c r="A186" t="s">
        <v>1700</v>
      </c>
      <c r="C186" t="s">
        <v>3062</v>
      </c>
      <c r="D186">
        <v>0.75870000000000004</v>
      </c>
      <c r="E186">
        <v>7.3183999999999996</v>
      </c>
      <c r="F186">
        <v>0.22370000000000001</v>
      </c>
      <c r="G186" s="274">
        <f t="shared" si="22"/>
        <v>7.5420999999999996</v>
      </c>
      <c r="H186" s="274">
        <v>7.3623000000000003</v>
      </c>
      <c r="I186" s="274">
        <f>G186-H186</f>
        <v>0.17979999999999929</v>
      </c>
      <c r="J186" s="273">
        <f t="shared" si="24"/>
        <v>4.3900000000000716E-2</v>
      </c>
      <c r="K186" s="275">
        <f t="shared" si="25"/>
        <v>19.624497094323072</v>
      </c>
      <c r="L186">
        <v>23</v>
      </c>
      <c r="M186" s="16">
        <v>43399</v>
      </c>
      <c r="N186" s="16">
        <v>43400</v>
      </c>
      <c r="R186" s="275"/>
    </row>
    <row r="187" spans="1:18">
      <c r="A187" t="s">
        <v>1697</v>
      </c>
      <c r="C187" t="s">
        <v>2748</v>
      </c>
      <c r="D187">
        <v>0.59299999999999997</v>
      </c>
      <c r="E187">
        <v>9.0047999999999995</v>
      </c>
      <c r="F187">
        <v>0.2029</v>
      </c>
      <c r="G187" s="274">
        <f t="shared" si="22"/>
        <v>9.2076999999999991</v>
      </c>
      <c r="H187" s="274">
        <v>9.0604999999999993</v>
      </c>
      <c r="I187" s="274">
        <f>G187-H187</f>
        <v>0.14719999999999978</v>
      </c>
      <c r="J187" s="273">
        <f t="shared" si="24"/>
        <v>5.5700000000000222E-2</v>
      </c>
      <c r="K187" s="275">
        <f t="shared" si="25"/>
        <v>27.451946771808881</v>
      </c>
      <c r="L187">
        <v>41</v>
      </c>
      <c r="M187" s="276">
        <v>43362</v>
      </c>
      <c r="N187" s="276">
        <v>43363</v>
      </c>
      <c r="R187" s="275"/>
    </row>
    <row r="188" spans="1:18">
      <c r="A188" t="s">
        <v>1694</v>
      </c>
      <c r="C188" t="s">
        <v>2999</v>
      </c>
      <c r="D188">
        <f>4.0438-2.3947</f>
        <v>1.6491000000000002</v>
      </c>
      <c r="E188">
        <v>9.5563000000000002</v>
      </c>
      <c r="F188">
        <v>0.21060000000000001</v>
      </c>
      <c r="G188" s="274">
        <f t="shared" si="22"/>
        <v>9.7668999999999997</v>
      </c>
      <c r="H188" s="274">
        <v>9.5673999999999992</v>
      </c>
      <c r="I188" s="274">
        <f>(G188-H188)</f>
        <v>0.19950000000000045</v>
      </c>
      <c r="J188" s="273">
        <f t="shared" si="24"/>
        <v>1.1099999999999555E-2</v>
      </c>
      <c r="K188" s="275">
        <f t="shared" si="25"/>
        <v>5.2706552706550589</v>
      </c>
      <c r="L188">
        <v>32</v>
      </c>
      <c r="M188" s="276">
        <v>43360</v>
      </c>
      <c r="N188" s="276">
        <v>43361</v>
      </c>
      <c r="O188" s="273" t="s">
        <v>2985</v>
      </c>
      <c r="R188" s="275"/>
    </row>
    <row r="189" spans="1:18">
      <c r="A189" t="s">
        <v>1693</v>
      </c>
      <c r="C189" t="s">
        <v>3024</v>
      </c>
      <c r="D189">
        <v>1.5</v>
      </c>
      <c r="E189">
        <v>11.025600000000001</v>
      </c>
      <c r="F189">
        <v>0.21890000000000001</v>
      </c>
      <c r="G189" s="274">
        <f t="shared" si="22"/>
        <v>11.2445</v>
      </c>
      <c r="H189" s="274">
        <v>11.0396</v>
      </c>
      <c r="I189" s="274">
        <f>G189-H189</f>
        <v>0.2049000000000003</v>
      </c>
      <c r="J189" s="273">
        <f t="shared" si="24"/>
        <v>1.3999999999999707E-2</v>
      </c>
      <c r="K189" s="275">
        <f t="shared" si="25"/>
        <v>6.3956144358153066</v>
      </c>
      <c r="L189">
        <v>18</v>
      </c>
      <c r="M189" s="276">
        <v>43362</v>
      </c>
      <c r="N189" s="276">
        <v>43363</v>
      </c>
      <c r="R189" s="275"/>
    </row>
    <row r="190" spans="1:18">
      <c r="A190" t="s">
        <v>2014</v>
      </c>
      <c r="B190">
        <v>210</v>
      </c>
      <c r="D190">
        <v>0.68300000000000005</v>
      </c>
      <c r="E190">
        <v>10.856199999999999</v>
      </c>
      <c r="F190">
        <v>0.23469999999999999</v>
      </c>
      <c r="G190" s="274">
        <f t="shared" si="22"/>
        <v>11.0909</v>
      </c>
      <c r="H190" s="274">
        <v>10.901199999999999</v>
      </c>
      <c r="I190" s="274">
        <f>G190-H190</f>
        <v>0.1897000000000002</v>
      </c>
      <c r="J190" s="273">
        <f t="shared" si="24"/>
        <v>4.499999999999979E-2</v>
      </c>
      <c r="K190" s="275">
        <f t="shared" si="25"/>
        <v>19.173412867490324</v>
      </c>
      <c r="L190">
        <v>20</v>
      </c>
      <c r="M190" s="16">
        <v>43395</v>
      </c>
      <c r="N190" s="16">
        <v>43396</v>
      </c>
      <c r="R190" s="275"/>
    </row>
    <row r="191" spans="1:18">
      <c r="A191" t="s">
        <v>1689</v>
      </c>
      <c r="B191">
        <v>216</v>
      </c>
      <c r="D191">
        <v>0.55179999999999996</v>
      </c>
      <c r="E191">
        <v>9.0035000000000007</v>
      </c>
      <c r="F191">
        <v>0.23080000000000001</v>
      </c>
      <c r="G191" s="274">
        <f t="shared" si="22"/>
        <v>9.2343000000000011</v>
      </c>
      <c r="H191" s="274">
        <v>9.0334000000000003</v>
      </c>
      <c r="I191" s="274">
        <f>G191-H191</f>
        <v>0.20090000000000074</v>
      </c>
      <c r="J191" s="273">
        <f t="shared" si="24"/>
        <v>2.9899999999999261E-2</v>
      </c>
      <c r="K191" s="275">
        <f t="shared" si="25"/>
        <v>12.954939341420824</v>
      </c>
      <c r="L191">
        <v>30</v>
      </c>
      <c r="M191" s="16">
        <v>43395</v>
      </c>
      <c r="N191" s="16">
        <v>43396</v>
      </c>
      <c r="R191" s="275"/>
    </row>
    <row r="192" spans="1:18">
      <c r="A192" t="s">
        <v>1687</v>
      </c>
      <c r="B192">
        <v>212</v>
      </c>
      <c r="D192">
        <v>0.57750000000000001</v>
      </c>
      <c r="E192">
        <v>11.0245</v>
      </c>
      <c r="F192">
        <v>0.20979999999999999</v>
      </c>
      <c r="G192" s="274">
        <f t="shared" si="22"/>
        <v>11.234299999999999</v>
      </c>
      <c r="H192" s="274">
        <v>11.056699999999999</v>
      </c>
      <c r="I192" s="274">
        <f>G192-H192</f>
        <v>0.17759999999999998</v>
      </c>
      <c r="J192" s="273">
        <f t="shared" si="24"/>
        <v>3.2200000000000006E-2</v>
      </c>
      <c r="K192" s="275">
        <f t="shared" si="25"/>
        <v>15.347950428979985</v>
      </c>
      <c r="L192">
        <v>6</v>
      </c>
      <c r="M192" s="16">
        <v>43395</v>
      </c>
      <c r="N192" s="16">
        <v>43396</v>
      </c>
      <c r="R192" s="275"/>
    </row>
    <row r="193" spans="1:18">
      <c r="A193" t="s">
        <v>1686</v>
      </c>
      <c r="C193" t="s">
        <v>2976</v>
      </c>
      <c r="D193">
        <v>1.7355</v>
      </c>
      <c r="E193">
        <v>10.271800000000001</v>
      </c>
      <c r="F193">
        <v>0.21909999999999999</v>
      </c>
      <c r="G193" s="274">
        <f t="shared" si="22"/>
        <v>10.4909</v>
      </c>
      <c r="H193" s="274">
        <v>10.2857</v>
      </c>
      <c r="I193" s="274">
        <f>(G193-H193)</f>
        <v>0.2051999999999996</v>
      </c>
      <c r="J193" s="273">
        <f t="shared" si="24"/>
        <v>1.3900000000000384E-2</v>
      </c>
      <c r="K193" s="275">
        <f t="shared" si="25"/>
        <v>6.3441350981288833</v>
      </c>
      <c r="L193">
        <v>29</v>
      </c>
      <c r="M193" s="276">
        <v>43360</v>
      </c>
      <c r="N193" s="276">
        <v>43361</v>
      </c>
      <c r="R193" s="275"/>
    </row>
    <row r="194" spans="1:18">
      <c r="A194" t="s">
        <v>1680</v>
      </c>
      <c r="C194" t="s">
        <v>2999</v>
      </c>
      <c r="D194">
        <v>1.7263999999999999</v>
      </c>
      <c r="E194">
        <v>9.7270000000000003</v>
      </c>
      <c r="F194">
        <v>0.23710000000000001</v>
      </c>
      <c r="G194" s="274">
        <f t="shared" si="22"/>
        <v>9.9641000000000002</v>
      </c>
      <c r="H194" s="274">
        <v>9.74</v>
      </c>
      <c r="I194" s="274">
        <f>(G194-H194)</f>
        <v>0.22409999999999997</v>
      </c>
      <c r="J194" s="273">
        <f t="shared" si="24"/>
        <v>1.3000000000000039E-2</v>
      </c>
      <c r="K194" s="275">
        <f t="shared" si="25"/>
        <v>5.4829185997469585</v>
      </c>
      <c r="L194">
        <v>30</v>
      </c>
      <c r="M194" s="276">
        <v>43360</v>
      </c>
      <c r="N194" s="276">
        <v>43361</v>
      </c>
      <c r="O194" s="273" t="s">
        <v>2985</v>
      </c>
      <c r="R194" s="275"/>
    </row>
    <row r="195" spans="1:18">
      <c r="A195" t="s">
        <v>1679</v>
      </c>
      <c r="C195" t="s">
        <v>2699</v>
      </c>
      <c r="D195">
        <v>0.62929999999999997</v>
      </c>
      <c r="E195">
        <v>8.0646000000000004</v>
      </c>
      <c r="F195">
        <v>0.2056</v>
      </c>
      <c r="G195" s="274">
        <f t="shared" si="22"/>
        <v>8.2702000000000009</v>
      </c>
      <c r="H195" s="274">
        <v>8.1158999999999999</v>
      </c>
      <c r="I195" s="274">
        <f>G195-H195</f>
        <v>0.15430000000000099</v>
      </c>
      <c r="J195" s="273">
        <f t="shared" si="24"/>
        <v>5.1299999999999013E-2</v>
      </c>
      <c r="K195" s="275">
        <f t="shared" si="25"/>
        <v>24.951361867703799</v>
      </c>
      <c r="L195">
        <v>5</v>
      </c>
      <c r="M195" s="16">
        <v>43399</v>
      </c>
      <c r="N195" s="16">
        <v>43400</v>
      </c>
      <c r="R195" s="275"/>
    </row>
    <row r="196" spans="1:18">
      <c r="A196" t="s">
        <v>1678</v>
      </c>
      <c r="C196" t="s">
        <v>2947</v>
      </c>
      <c r="D196">
        <v>1.8066</v>
      </c>
      <c r="E196">
        <v>7.9055</v>
      </c>
      <c r="F196">
        <v>0.20480000000000001</v>
      </c>
      <c r="G196" s="274">
        <f t="shared" si="22"/>
        <v>8.1103000000000005</v>
      </c>
      <c r="H196" s="274">
        <v>7.9172000000000002</v>
      </c>
      <c r="I196" s="274">
        <f>(G196-H196)</f>
        <v>0.19310000000000027</v>
      </c>
      <c r="J196" s="273">
        <f t="shared" si="24"/>
        <v>1.1699999999999738E-2</v>
      </c>
      <c r="K196" s="275">
        <f t="shared" si="25"/>
        <v>5.7128906249998721</v>
      </c>
      <c r="L196">
        <v>14</v>
      </c>
      <c r="M196" s="16">
        <v>43358</v>
      </c>
      <c r="N196" s="16">
        <v>43358</v>
      </c>
      <c r="R196" s="275"/>
    </row>
    <row r="197" spans="1:18">
      <c r="A197" t="s">
        <v>1673</v>
      </c>
      <c r="C197" t="s">
        <v>3045</v>
      </c>
      <c r="D197">
        <v>1.2113</v>
      </c>
      <c r="E197">
        <v>9.0335000000000001</v>
      </c>
      <c r="F197">
        <v>0.22120000000000001</v>
      </c>
      <c r="G197" s="274">
        <f t="shared" si="22"/>
        <v>9.2546999999999997</v>
      </c>
      <c r="H197" s="274">
        <v>9.0708000000000002</v>
      </c>
      <c r="I197" s="274">
        <f>G197-H197</f>
        <v>0.18389999999999951</v>
      </c>
      <c r="J197" s="273">
        <f t="shared" si="24"/>
        <v>3.7300000000000499E-2</v>
      </c>
      <c r="K197" s="275">
        <f t="shared" si="25"/>
        <v>16.862567811935126</v>
      </c>
      <c r="L197">
        <v>34</v>
      </c>
      <c r="M197" s="16">
        <v>43381</v>
      </c>
      <c r="N197" s="16">
        <v>43382</v>
      </c>
      <c r="R197" s="275"/>
    </row>
    <row r="198" spans="1:18">
      <c r="A198" t="s">
        <v>1671</v>
      </c>
      <c r="C198" t="s">
        <v>2993</v>
      </c>
      <c r="D198">
        <v>1.4884999999999999</v>
      </c>
      <c r="E198">
        <v>7.4813000000000001</v>
      </c>
      <c r="F198">
        <v>0.22600000000000001</v>
      </c>
      <c r="G198" s="274">
        <f t="shared" si="22"/>
        <v>7.7073</v>
      </c>
      <c r="H198" s="274">
        <v>7.5008999999999997</v>
      </c>
      <c r="I198" s="274">
        <f>G198-H198</f>
        <v>0.20640000000000036</v>
      </c>
      <c r="J198" s="273">
        <f t="shared" si="24"/>
        <v>1.9599999999999645E-2</v>
      </c>
      <c r="K198" s="275">
        <f t="shared" si="25"/>
        <v>8.6725663716812598</v>
      </c>
      <c r="L198">
        <v>12</v>
      </c>
      <c r="M198" s="276">
        <v>43361</v>
      </c>
      <c r="N198" s="276">
        <v>43362</v>
      </c>
      <c r="O198" s="273" t="s">
        <v>3008</v>
      </c>
      <c r="R198" s="275"/>
    </row>
    <row r="199" spans="1:18">
      <c r="A199" t="s">
        <v>2012</v>
      </c>
      <c r="C199" t="s">
        <v>3027</v>
      </c>
      <c r="D199">
        <v>1.5153000000000001</v>
      </c>
      <c r="E199">
        <v>7.7161999999999997</v>
      </c>
      <c r="F199">
        <v>0.2127</v>
      </c>
      <c r="G199" s="274">
        <f t="shared" si="22"/>
        <v>7.9288999999999996</v>
      </c>
      <c r="H199" s="274">
        <v>7.7305000000000001</v>
      </c>
      <c r="I199" s="274">
        <f>G199-H199</f>
        <v>0.19839999999999947</v>
      </c>
      <c r="J199" s="273">
        <f t="shared" si="24"/>
        <v>1.4300000000000535E-2</v>
      </c>
      <c r="K199" s="275">
        <f t="shared" si="25"/>
        <v>6.723084156088639</v>
      </c>
      <c r="L199">
        <v>23</v>
      </c>
      <c r="M199" s="276">
        <v>43362</v>
      </c>
      <c r="N199" s="276">
        <v>43363</v>
      </c>
      <c r="R199" s="275"/>
    </row>
    <row r="200" spans="1:18">
      <c r="A200" t="s">
        <v>1670</v>
      </c>
      <c r="C200" t="s">
        <v>2977</v>
      </c>
      <c r="D200">
        <v>1.7269000000000001</v>
      </c>
      <c r="E200">
        <v>10.3141</v>
      </c>
      <c r="F200">
        <v>0.21679999999999999</v>
      </c>
      <c r="G200" s="274">
        <f t="shared" si="22"/>
        <v>10.530899999999999</v>
      </c>
      <c r="H200" s="274">
        <v>10.3269</v>
      </c>
      <c r="I200" s="274">
        <f>(G200-H200)</f>
        <v>0.20399999999999885</v>
      </c>
      <c r="J200" s="273">
        <f t="shared" si="24"/>
        <v>1.2800000000001144E-2</v>
      </c>
      <c r="K200" s="275">
        <f t="shared" si="25"/>
        <v>5.9040590405909334</v>
      </c>
      <c r="L200">
        <v>31</v>
      </c>
      <c r="M200" s="276">
        <v>43360</v>
      </c>
      <c r="N200" s="276">
        <v>43361</v>
      </c>
      <c r="R200" s="275"/>
    </row>
    <row r="201" spans="1:18">
      <c r="A201" t="s">
        <v>1668</v>
      </c>
      <c r="C201" t="s">
        <v>2945</v>
      </c>
      <c r="D201">
        <v>1.7425999999999999</v>
      </c>
      <c r="E201">
        <v>10.901199999999999</v>
      </c>
      <c r="F201">
        <v>0.2034</v>
      </c>
      <c r="G201" s="274">
        <f t="shared" si="22"/>
        <v>11.1046</v>
      </c>
      <c r="H201" s="274">
        <v>10.9124</v>
      </c>
      <c r="I201" s="274">
        <f>(G201-H201)</f>
        <v>0.1921999999999997</v>
      </c>
      <c r="J201" s="273">
        <f t="shared" si="24"/>
        <v>1.1200000000000293E-2</v>
      </c>
      <c r="K201" s="275">
        <f t="shared" si="25"/>
        <v>5.5063913470994565</v>
      </c>
      <c r="L201">
        <v>11</v>
      </c>
      <c r="M201" s="276">
        <v>43355.625</v>
      </c>
      <c r="N201" s="276">
        <v>43355.791666666664</v>
      </c>
      <c r="O201" s="273" t="s">
        <v>2938</v>
      </c>
      <c r="R201" s="275"/>
    </row>
    <row r="202" spans="1:18">
      <c r="A202" t="s">
        <v>1666</v>
      </c>
      <c r="C202" t="s">
        <v>2702</v>
      </c>
      <c r="D202">
        <v>0.56120000000000003</v>
      </c>
      <c r="E202">
        <v>10.923</v>
      </c>
      <c r="F202">
        <v>0.20880000000000001</v>
      </c>
      <c r="G202" s="274">
        <f t="shared" si="22"/>
        <v>11.1318</v>
      </c>
      <c r="H202" s="274">
        <v>10.9572</v>
      </c>
      <c r="I202" s="274">
        <f t="shared" ref="I202:I219" si="26">G202-H202</f>
        <v>0.17459999999999987</v>
      </c>
      <c r="J202" s="273">
        <f t="shared" si="24"/>
        <v>3.4200000000000147E-2</v>
      </c>
      <c r="K202" s="275">
        <f t="shared" si="25"/>
        <v>16.379310344827655</v>
      </c>
      <c r="L202">
        <v>42</v>
      </c>
      <c r="M202" s="276">
        <v>43374</v>
      </c>
      <c r="N202" s="276">
        <v>43375</v>
      </c>
      <c r="O202" s="273" t="s">
        <v>3008</v>
      </c>
      <c r="P202" t="s">
        <v>3046</v>
      </c>
      <c r="R202" s="275"/>
    </row>
    <row r="203" spans="1:18">
      <c r="A203" t="s">
        <v>1656</v>
      </c>
      <c r="C203" t="s">
        <v>3021</v>
      </c>
      <c r="D203">
        <v>1.6800999999999999</v>
      </c>
      <c r="E203">
        <v>8.09</v>
      </c>
      <c r="F203">
        <v>0.2344</v>
      </c>
      <c r="G203" s="274">
        <f t="shared" si="22"/>
        <v>8.3244000000000007</v>
      </c>
      <c r="H203" s="274">
        <v>8.1045999999999996</v>
      </c>
      <c r="I203" s="274">
        <f t="shared" si="26"/>
        <v>0.21980000000000111</v>
      </c>
      <c r="J203" s="273">
        <f t="shared" si="24"/>
        <v>1.4599999999998892E-2</v>
      </c>
      <c r="K203" s="275">
        <f t="shared" si="25"/>
        <v>6.2286689419790493</v>
      </c>
      <c r="L203">
        <v>7</v>
      </c>
      <c r="M203" s="16">
        <v>43381</v>
      </c>
      <c r="N203" s="16">
        <v>43382</v>
      </c>
      <c r="R203" s="275"/>
    </row>
    <row r="204" spans="1:18">
      <c r="A204" t="s">
        <v>1654</v>
      </c>
      <c r="C204" t="s">
        <v>2715</v>
      </c>
      <c r="D204">
        <v>0.6492</v>
      </c>
      <c r="E204">
        <v>8.3565000000000005</v>
      </c>
      <c r="F204">
        <v>0.21440000000000001</v>
      </c>
      <c r="G204" s="274">
        <f t="shared" si="22"/>
        <v>8.5709</v>
      </c>
      <c r="H204" s="274">
        <v>8.4098000000000006</v>
      </c>
      <c r="I204" s="274">
        <f t="shared" si="26"/>
        <v>0.16109999999999935</v>
      </c>
      <c r="J204" s="273">
        <f t="shared" si="24"/>
        <v>5.3300000000000652E-2</v>
      </c>
      <c r="K204" s="275">
        <f t="shared" si="25"/>
        <v>24.860074626865973</v>
      </c>
      <c r="L204">
        <v>36</v>
      </c>
      <c r="M204">
        <v>23.101800000000001</v>
      </c>
      <c r="N204" s="16">
        <v>43397</v>
      </c>
      <c r="R204" s="275"/>
    </row>
    <row r="205" spans="1:18">
      <c r="A205" t="s">
        <v>1653</v>
      </c>
      <c r="C205" t="s">
        <v>3051</v>
      </c>
      <c r="D205">
        <v>1.5838000000000001</v>
      </c>
      <c r="E205">
        <v>8.048</v>
      </c>
      <c r="F205">
        <v>0.2044</v>
      </c>
      <c r="G205" s="278">
        <f t="shared" si="22"/>
        <v>8.2523999999999997</v>
      </c>
      <c r="H205" s="274">
        <v>8.0610999999999997</v>
      </c>
      <c r="I205" s="278">
        <f t="shared" si="26"/>
        <v>0.19130000000000003</v>
      </c>
      <c r="J205" s="273">
        <f t="shared" si="24"/>
        <v>1.3099999999999973E-2</v>
      </c>
      <c r="K205" s="275">
        <f t="shared" si="25"/>
        <v>6.4090019569471499</v>
      </c>
      <c r="L205">
        <v>31</v>
      </c>
      <c r="M205" s="276">
        <v>43379</v>
      </c>
      <c r="N205" s="276">
        <v>43379</v>
      </c>
      <c r="R205" s="275"/>
    </row>
    <row r="206" spans="1:18">
      <c r="A206" t="s">
        <v>1652</v>
      </c>
      <c r="C206" t="s">
        <v>3038</v>
      </c>
      <c r="D206">
        <v>0.8508</v>
      </c>
      <c r="E206">
        <v>10.155099999999999</v>
      </c>
      <c r="F206">
        <v>0.21529999999999999</v>
      </c>
      <c r="G206" s="274">
        <f t="shared" si="22"/>
        <v>10.370399999999998</v>
      </c>
      <c r="H206" s="274">
        <v>10.185499999999999</v>
      </c>
      <c r="I206" s="274">
        <f t="shared" si="26"/>
        <v>0.18489999999999895</v>
      </c>
      <c r="J206" s="273">
        <f t="shared" si="24"/>
        <v>3.0400000000001037E-2</v>
      </c>
      <c r="K206" s="275">
        <f t="shared" si="25"/>
        <v>14.119832791454268</v>
      </c>
      <c r="L206">
        <v>34</v>
      </c>
      <c r="M206" s="276">
        <v>43363</v>
      </c>
      <c r="N206" s="276">
        <v>43364</v>
      </c>
      <c r="O206" s="273" t="s">
        <v>3033</v>
      </c>
      <c r="R206" s="275"/>
    </row>
    <row r="207" spans="1:18">
      <c r="A207" t="s">
        <v>1651</v>
      </c>
      <c r="B207">
        <v>197</v>
      </c>
      <c r="D207">
        <v>0.51829999999999998</v>
      </c>
      <c r="E207">
        <v>11.172700000000001</v>
      </c>
      <c r="F207">
        <v>0.2167</v>
      </c>
      <c r="G207" s="274">
        <f t="shared" si="22"/>
        <v>11.3894</v>
      </c>
      <c r="H207" s="274">
        <v>11.2127</v>
      </c>
      <c r="I207" s="274">
        <f t="shared" si="26"/>
        <v>0.1767000000000003</v>
      </c>
      <c r="J207" s="273">
        <f t="shared" si="24"/>
        <v>3.9999999999999702E-2</v>
      </c>
      <c r="K207" s="275">
        <f t="shared" si="25"/>
        <v>18.458698661744211</v>
      </c>
      <c r="L207">
        <v>37</v>
      </c>
      <c r="M207" s="16">
        <v>43388</v>
      </c>
      <c r="N207" s="276">
        <v>43389</v>
      </c>
      <c r="O207" s="16"/>
      <c r="R207" s="275"/>
    </row>
    <row r="208" spans="1:18">
      <c r="A208" t="s">
        <v>2010</v>
      </c>
      <c r="C208" t="s">
        <v>2767</v>
      </c>
      <c r="D208">
        <v>0.54169999999999996</v>
      </c>
      <c r="E208">
        <v>9.1562000000000001</v>
      </c>
      <c r="F208">
        <v>0.20300000000000001</v>
      </c>
      <c r="G208" s="274">
        <f t="shared" si="22"/>
        <v>9.3591999999999995</v>
      </c>
      <c r="H208" s="274">
        <v>9.1906999999999996</v>
      </c>
      <c r="I208" s="274">
        <f t="shared" si="26"/>
        <v>0.16849999999999987</v>
      </c>
      <c r="J208" s="273">
        <f t="shared" si="24"/>
        <v>3.4500000000000142E-2</v>
      </c>
      <c r="K208" s="275">
        <f t="shared" si="25"/>
        <v>16.995073891625683</v>
      </c>
      <c r="L208">
        <v>25</v>
      </c>
      <c r="M208" s="276">
        <v>43363</v>
      </c>
      <c r="N208" s="276">
        <v>43364</v>
      </c>
      <c r="R208" s="275"/>
    </row>
    <row r="209" spans="1:18">
      <c r="A209" t="s">
        <v>1650</v>
      </c>
      <c r="C209" t="s">
        <v>2717</v>
      </c>
      <c r="D209">
        <v>0.65100000000000002</v>
      </c>
      <c r="E209">
        <v>7.0761000000000003</v>
      </c>
      <c r="F209">
        <v>0.20649999999999999</v>
      </c>
      <c r="G209" s="274">
        <f t="shared" si="22"/>
        <v>7.2826000000000004</v>
      </c>
      <c r="H209" s="274">
        <v>7.1243999999999996</v>
      </c>
      <c r="I209" s="274">
        <f t="shared" si="26"/>
        <v>0.15820000000000078</v>
      </c>
      <c r="J209" s="273">
        <f t="shared" si="24"/>
        <v>4.8299999999999205E-2</v>
      </c>
      <c r="K209" s="275">
        <f t="shared" si="25"/>
        <v>23.389830508474194</v>
      </c>
      <c r="L209">
        <v>9</v>
      </c>
      <c r="M209" s="16">
        <v>43399</v>
      </c>
      <c r="N209" s="16">
        <v>43400</v>
      </c>
      <c r="R209" s="275"/>
    </row>
    <row r="210" spans="1:18">
      <c r="A210" t="s">
        <v>1649</v>
      </c>
      <c r="C210" t="s">
        <v>2742</v>
      </c>
      <c r="D210">
        <v>0.75260000000000005</v>
      </c>
      <c r="E210">
        <v>8.4448000000000008</v>
      </c>
      <c r="F210">
        <v>0.20960000000000001</v>
      </c>
      <c r="G210" s="278">
        <f t="shared" si="22"/>
        <v>8.6544000000000008</v>
      </c>
      <c r="H210" s="274">
        <v>8.4928000000000008</v>
      </c>
      <c r="I210" s="278">
        <f t="shared" si="26"/>
        <v>0.16159999999999997</v>
      </c>
      <c r="J210" s="273">
        <f t="shared" si="24"/>
        <v>4.8000000000000043E-2</v>
      </c>
      <c r="K210" s="275">
        <f t="shared" si="25"/>
        <v>22.900763358778644</v>
      </c>
      <c r="L210">
        <v>9</v>
      </c>
      <c r="M210" s="276">
        <v>43379</v>
      </c>
      <c r="N210" s="276">
        <v>43379</v>
      </c>
      <c r="O210" s="273"/>
      <c r="R210" s="275"/>
    </row>
    <row r="211" spans="1:18">
      <c r="A211" t="s">
        <v>1643</v>
      </c>
      <c r="C211" t="s">
        <v>3045</v>
      </c>
      <c r="D211">
        <v>1.0766</v>
      </c>
      <c r="E211">
        <v>7.8731</v>
      </c>
      <c r="F211">
        <v>0.21079999999999999</v>
      </c>
      <c r="G211" s="274">
        <f t="shared" ref="G211:G274" si="27">E211+F211</f>
        <v>8.0838999999999999</v>
      </c>
      <c r="H211" s="274">
        <v>7.9188000000000001</v>
      </c>
      <c r="I211" s="274">
        <f t="shared" si="26"/>
        <v>0.1650999999999998</v>
      </c>
      <c r="J211" s="273">
        <f t="shared" si="24"/>
        <v>4.5700000000000185E-2</v>
      </c>
      <c r="K211" s="275">
        <f t="shared" si="25"/>
        <v>21.67931688804563</v>
      </c>
      <c r="L211">
        <v>34</v>
      </c>
      <c r="M211" s="276">
        <v>43374</v>
      </c>
      <c r="N211" s="276">
        <v>43375</v>
      </c>
      <c r="O211" s="273" t="s">
        <v>3008</v>
      </c>
      <c r="R211" s="275"/>
    </row>
    <row r="212" spans="1:18">
      <c r="A212" t="s">
        <v>1641</v>
      </c>
      <c r="C212" t="s">
        <v>2759</v>
      </c>
      <c r="D212">
        <v>0.59450000000000003</v>
      </c>
      <c r="E212">
        <v>10.4185</v>
      </c>
      <c r="F212">
        <v>0.21460000000000001</v>
      </c>
      <c r="G212">
        <f t="shared" si="27"/>
        <v>10.633100000000001</v>
      </c>
      <c r="H212">
        <v>10.4679</v>
      </c>
      <c r="I212" s="274">
        <f t="shared" si="26"/>
        <v>0.16520000000000046</v>
      </c>
      <c r="J212" s="273">
        <f t="shared" si="24"/>
        <v>4.9399999999999555E-2</v>
      </c>
      <c r="K212" s="275">
        <f t="shared" si="25"/>
        <v>23.019571295433156</v>
      </c>
      <c r="L212">
        <v>23</v>
      </c>
      <c r="M212" s="16">
        <v>43402</v>
      </c>
      <c r="N212" s="16">
        <v>43403</v>
      </c>
      <c r="R212" s="275"/>
    </row>
    <row r="213" spans="1:18">
      <c r="A213" t="s">
        <v>2009</v>
      </c>
      <c r="C213" t="s">
        <v>3003</v>
      </c>
      <c r="D213">
        <v>1.649</v>
      </c>
      <c r="E213">
        <v>8.7743000000000002</v>
      </c>
      <c r="F213">
        <v>0.2109</v>
      </c>
      <c r="G213" s="274">
        <f t="shared" si="27"/>
        <v>8.9852000000000007</v>
      </c>
      <c r="H213" s="274">
        <v>8.7872000000000003</v>
      </c>
      <c r="I213" s="274">
        <f t="shared" si="26"/>
        <v>0.1980000000000004</v>
      </c>
      <c r="J213" s="273">
        <f t="shared" si="24"/>
        <v>1.2899999999999606E-2</v>
      </c>
      <c r="K213" s="275">
        <f t="shared" si="25"/>
        <v>6.1166429587480353</v>
      </c>
      <c r="L213">
        <v>31</v>
      </c>
      <c r="M213" s="276">
        <v>43363</v>
      </c>
      <c r="N213" s="276">
        <v>43364</v>
      </c>
      <c r="R213" s="275"/>
    </row>
    <row r="214" spans="1:18">
      <c r="A214" t="s">
        <v>1640</v>
      </c>
      <c r="C214" t="s">
        <v>2748</v>
      </c>
      <c r="D214">
        <v>0.5232</v>
      </c>
      <c r="E214">
        <v>19.801400000000001</v>
      </c>
      <c r="F214">
        <v>0.20219999999999999</v>
      </c>
      <c r="G214" s="274">
        <f t="shared" si="27"/>
        <v>20.003600000000002</v>
      </c>
      <c r="H214" s="274">
        <v>19.839600000000001</v>
      </c>
      <c r="I214" s="274">
        <f t="shared" si="26"/>
        <v>0.16400000000000148</v>
      </c>
      <c r="J214" s="273">
        <f t="shared" si="24"/>
        <v>3.8199999999998513E-2</v>
      </c>
      <c r="K214" s="275">
        <f t="shared" si="25"/>
        <v>18.892185954499759</v>
      </c>
      <c r="L214">
        <v>3</v>
      </c>
      <c r="M214" s="276">
        <v>43362</v>
      </c>
      <c r="N214" s="276">
        <v>43363</v>
      </c>
      <c r="O214" s="273"/>
      <c r="R214" s="275"/>
    </row>
    <row r="215" spans="1:18">
      <c r="A215" t="s">
        <v>1639</v>
      </c>
      <c r="C215" t="s">
        <v>2760</v>
      </c>
      <c r="D215">
        <v>0.59319999999999995</v>
      </c>
      <c r="E215">
        <v>8.0650999999999993</v>
      </c>
      <c r="F215">
        <v>0.2009</v>
      </c>
      <c r="G215" s="274">
        <f t="shared" si="27"/>
        <v>8.266</v>
      </c>
      <c r="H215" s="274">
        <v>8.1016999999999992</v>
      </c>
      <c r="I215" s="274">
        <f t="shared" si="26"/>
        <v>0.16430000000000078</v>
      </c>
      <c r="J215" s="273">
        <f t="shared" si="24"/>
        <v>3.6599999999999216E-2</v>
      </c>
      <c r="K215" s="275">
        <f t="shared" si="25"/>
        <v>18.218018914882634</v>
      </c>
      <c r="L215">
        <v>29</v>
      </c>
      <c r="M215" s="276">
        <v>43374</v>
      </c>
      <c r="N215" s="276">
        <v>43375</v>
      </c>
      <c r="O215" s="273" t="s">
        <v>3008</v>
      </c>
      <c r="R215" s="275"/>
    </row>
    <row r="216" spans="1:18">
      <c r="A216" t="s">
        <v>1638</v>
      </c>
      <c r="B216">
        <v>208</v>
      </c>
      <c r="D216">
        <v>0.55830000000000002</v>
      </c>
      <c r="E216">
        <v>7.5297000000000001</v>
      </c>
      <c r="F216">
        <v>0.20039999999999999</v>
      </c>
      <c r="G216" s="274">
        <f t="shared" si="27"/>
        <v>7.7301000000000002</v>
      </c>
      <c r="H216" s="274">
        <v>7.5850999999999997</v>
      </c>
      <c r="I216" s="274">
        <f t="shared" si="26"/>
        <v>0.14500000000000046</v>
      </c>
      <c r="J216" s="273">
        <f t="shared" si="24"/>
        <v>5.5399999999999533E-2</v>
      </c>
      <c r="K216" s="275">
        <f t="shared" si="25"/>
        <v>27.644710578842087</v>
      </c>
      <c r="L216">
        <v>40</v>
      </c>
      <c r="M216" s="16">
        <v>43388</v>
      </c>
      <c r="N216" s="276">
        <v>43389</v>
      </c>
      <c r="O216" s="16"/>
      <c r="R216" s="275"/>
    </row>
    <row r="217" spans="1:18">
      <c r="A217" t="s">
        <v>1637</v>
      </c>
      <c r="C217" t="s">
        <v>3055</v>
      </c>
      <c r="D217">
        <v>1.8223</v>
      </c>
      <c r="E217">
        <v>11.904500000000001</v>
      </c>
      <c r="F217">
        <v>0.23100000000000001</v>
      </c>
      <c r="G217" s="274">
        <f t="shared" si="27"/>
        <v>12.1355</v>
      </c>
      <c r="H217" s="274">
        <v>11.9168</v>
      </c>
      <c r="I217" s="274">
        <f t="shared" si="26"/>
        <v>0.21870000000000012</v>
      </c>
      <c r="J217" s="273">
        <f t="shared" si="24"/>
        <v>1.2299999999999894E-2</v>
      </c>
      <c r="K217" s="275">
        <f t="shared" si="25"/>
        <v>5.3246753246752787</v>
      </c>
      <c r="L217">
        <v>40</v>
      </c>
      <c r="M217" s="16">
        <v>43381</v>
      </c>
      <c r="N217" s="16">
        <v>43382</v>
      </c>
      <c r="R217" s="275"/>
    </row>
    <row r="218" spans="1:18">
      <c r="A218" t="s">
        <v>2008</v>
      </c>
      <c r="C218" t="s">
        <v>2710</v>
      </c>
      <c r="D218">
        <v>0.81630000000000003</v>
      </c>
      <c r="E218">
        <v>11.0244</v>
      </c>
      <c r="F218">
        <v>0.20499999999999999</v>
      </c>
      <c r="G218" s="278">
        <f t="shared" si="27"/>
        <v>11.2294</v>
      </c>
      <c r="H218" s="274">
        <v>11.108700000000001</v>
      </c>
      <c r="I218" s="278">
        <f t="shared" si="26"/>
        <v>0.12069999999999936</v>
      </c>
      <c r="J218" s="273">
        <f t="shared" ref="J218:J281" si="28">F218-I218</f>
        <v>8.4300000000000624E-2</v>
      </c>
      <c r="K218" s="275">
        <f t="shared" ref="K218:K281" si="29">(J218/F218)*100</f>
        <v>41.121951219512503</v>
      </c>
      <c r="L218">
        <v>17</v>
      </c>
      <c r="M218" s="276">
        <v>43379</v>
      </c>
      <c r="N218" s="276">
        <v>43379</v>
      </c>
      <c r="R218" s="275"/>
    </row>
    <row r="219" spans="1:18">
      <c r="A219" t="s">
        <v>1628</v>
      </c>
      <c r="C219" t="s">
        <v>2719</v>
      </c>
      <c r="D219">
        <v>0.56340000000000001</v>
      </c>
      <c r="E219">
        <v>7.9611999999999998</v>
      </c>
      <c r="F219">
        <v>0.21199999999999999</v>
      </c>
      <c r="G219" s="274">
        <f t="shared" si="27"/>
        <v>8.1731999999999996</v>
      </c>
      <c r="H219" s="274">
        <v>8.0054999999999996</v>
      </c>
      <c r="I219" s="274">
        <f t="shared" si="26"/>
        <v>0.16769999999999996</v>
      </c>
      <c r="J219" s="273">
        <f t="shared" si="28"/>
        <v>4.4300000000000034E-2</v>
      </c>
      <c r="K219" s="275">
        <f t="shared" si="29"/>
        <v>20.896226415094358</v>
      </c>
      <c r="L219">
        <v>27</v>
      </c>
      <c r="M219">
        <v>23.101800000000001</v>
      </c>
      <c r="N219" s="16">
        <v>43397</v>
      </c>
      <c r="R219" s="275"/>
    </row>
    <row r="220" spans="1:18">
      <c r="A220" t="s">
        <v>2007</v>
      </c>
      <c r="C220" t="s">
        <v>2991</v>
      </c>
      <c r="D220">
        <v>1.6472</v>
      </c>
      <c r="E220">
        <v>10.116899999999999</v>
      </c>
      <c r="F220">
        <v>0.22869999999999999</v>
      </c>
      <c r="G220" s="274">
        <f t="shared" si="27"/>
        <v>10.345599999999999</v>
      </c>
      <c r="H220" s="274">
        <v>10.1279</v>
      </c>
      <c r="I220" s="274">
        <f>(G220-H220)</f>
        <v>0.21769999999999889</v>
      </c>
      <c r="J220" s="273">
        <f t="shared" si="28"/>
        <v>1.1000000000001092E-2</v>
      </c>
      <c r="K220" s="275">
        <f t="shared" si="29"/>
        <v>4.8097944905995158</v>
      </c>
      <c r="L220">
        <v>12</v>
      </c>
      <c r="M220" s="276">
        <v>43360</v>
      </c>
      <c r="N220" s="276">
        <v>43361</v>
      </c>
      <c r="O220" s="273" t="s">
        <v>2985</v>
      </c>
      <c r="R220" s="275"/>
    </row>
    <row r="221" spans="1:18">
      <c r="A221" t="s">
        <v>1620</v>
      </c>
      <c r="C221" t="s">
        <v>2992</v>
      </c>
      <c r="D221">
        <v>1.7615000000000001</v>
      </c>
      <c r="E221">
        <v>8.0637000000000008</v>
      </c>
      <c r="F221">
        <v>0.2351</v>
      </c>
      <c r="G221" s="274">
        <f t="shared" si="27"/>
        <v>8.2988</v>
      </c>
      <c r="H221" s="274">
        <v>8.0770999999999997</v>
      </c>
      <c r="I221" s="274">
        <f>(G221-H221)</f>
        <v>0.22170000000000023</v>
      </c>
      <c r="J221" s="273">
        <f t="shared" si="28"/>
        <v>1.3399999999999773E-2</v>
      </c>
      <c r="K221" s="275">
        <f t="shared" si="29"/>
        <v>5.6997022543597504</v>
      </c>
      <c r="L221">
        <v>17</v>
      </c>
      <c r="M221" s="276">
        <v>43360</v>
      </c>
      <c r="N221" s="276">
        <v>43361</v>
      </c>
      <c r="O221" s="273" t="s">
        <v>2985</v>
      </c>
      <c r="R221" s="275"/>
    </row>
    <row r="222" spans="1:18">
      <c r="A222" t="s">
        <v>1619</v>
      </c>
      <c r="C222" t="s">
        <v>2939</v>
      </c>
      <c r="D222">
        <v>1.7277</v>
      </c>
      <c r="E222">
        <v>8.0465</v>
      </c>
      <c r="F222">
        <v>0.20730000000000001</v>
      </c>
      <c r="G222" s="274">
        <f t="shared" si="27"/>
        <v>8.2538</v>
      </c>
      <c r="H222" s="274">
        <v>8.0582999999999991</v>
      </c>
      <c r="I222" s="274">
        <f>(G222-H222)</f>
        <v>0.1955000000000009</v>
      </c>
      <c r="J222" s="273">
        <f t="shared" si="28"/>
        <v>1.1799999999999117E-2</v>
      </c>
      <c r="K222" s="275">
        <f t="shared" si="29"/>
        <v>5.6922334780507073</v>
      </c>
      <c r="L222">
        <v>24</v>
      </c>
      <c r="M222" s="16">
        <v>43358</v>
      </c>
      <c r="N222" s="16">
        <v>43358</v>
      </c>
      <c r="R222" s="275"/>
    </row>
    <row r="223" spans="1:18">
      <c r="A223" t="s">
        <v>1616</v>
      </c>
      <c r="B223">
        <v>211</v>
      </c>
      <c r="D223">
        <v>0.56089999999999995</v>
      </c>
      <c r="E223">
        <v>7.8733000000000004</v>
      </c>
      <c r="F223">
        <v>0.20649999999999999</v>
      </c>
      <c r="G223" s="274">
        <f t="shared" si="27"/>
        <v>8.0798000000000005</v>
      </c>
      <c r="H223" s="274">
        <v>7.9043000000000001</v>
      </c>
      <c r="I223" s="274">
        <f t="shared" ref="I223:I230" si="30">G223-H223</f>
        <v>0.17550000000000043</v>
      </c>
      <c r="J223" s="273">
        <f t="shared" si="28"/>
        <v>3.0999999999999556E-2</v>
      </c>
      <c r="K223" s="275">
        <f t="shared" si="29"/>
        <v>15.012106537530052</v>
      </c>
      <c r="L223">
        <v>11</v>
      </c>
      <c r="M223">
        <v>23.101800000000001</v>
      </c>
      <c r="N223" s="16">
        <v>43397</v>
      </c>
      <c r="R223" s="275"/>
    </row>
    <row r="224" spans="1:18">
      <c r="A224" t="s">
        <v>1615</v>
      </c>
      <c r="C224" t="s">
        <v>3020</v>
      </c>
      <c r="D224">
        <v>1.577</v>
      </c>
      <c r="E224">
        <v>7.8734000000000002</v>
      </c>
      <c r="F224">
        <v>0.2041</v>
      </c>
      <c r="G224" s="274">
        <f t="shared" si="27"/>
        <v>8.0775000000000006</v>
      </c>
      <c r="H224" s="274">
        <v>7.8943000000000003</v>
      </c>
      <c r="I224" s="274">
        <f t="shared" si="30"/>
        <v>0.18320000000000025</v>
      </c>
      <c r="J224" s="273">
        <f t="shared" si="28"/>
        <v>2.0899999999999752E-2</v>
      </c>
      <c r="K224" s="275">
        <f t="shared" si="29"/>
        <v>10.240078392944513</v>
      </c>
      <c r="L224">
        <v>31</v>
      </c>
      <c r="M224" s="16">
        <v>43381</v>
      </c>
      <c r="N224" s="16">
        <v>43382</v>
      </c>
      <c r="R224" s="275"/>
    </row>
    <row r="225" spans="1:18">
      <c r="A225" t="s">
        <v>2006</v>
      </c>
      <c r="C225" t="s">
        <v>3047</v>
      </c>
      <c r="D225">
        <v>1.3672</v>
      </c>
      <c r="E225">
        <v>7.9619999999999997</v>
      </c>
      <c r="F225">
        <v>0.21840000000000001</v>
      </c>
      <c r="G225" s="278">
        <f t="shared" si="27"/>
        <v>8.1804000000000006</v>
      </c>
      <c r="H225" s="274">
        <v>7.9851999999999999</v>
      </c>
      <c r="I225" s="278">
        <f t="shared" si="30"/>
        <v>0.19520000000000071</v>
      </c>
      <c r="J225" s="273">
        <f t="shared" si="28"/>
        <v>2.3199999999999305E-2</v>
      </c>
      <c r="K225" s="275">
        <f t="shared" si="29"/>
        <v>10.622710622710303</v>
      </c>
      <c r="L225">
        <v>5</v>
      </c>
      <c r="M225" s="276">
        <v>43379</v>
      </c>
      <c r="N225" s="276">
        <v>43379</v>
      </c>
      <c r="O225" s="273"/>
      <c r="R225" s="275"/>
    </row>
    <row r="226" spans="1:18">
      <c r="A226" t="s">
        <v>1606</v>
      </c>
      <c r="C226" t="s">
        <v>3049</v>
      </c>
      <c r="D226">
        <v>1.1603000000000001</v>
      </c>
      <c r="E226">
        <v>7.7750000000000004</v>
      </c>
      <c r="F226">
        <v>0.21129999999999999</v>
      </c>
      <c r="G226" s="274">
        <f t="shared" si="27"/>
        <v>7.9863</v>
      </c>
      <c r="H226" s="274">
        <v>7.7977999999999996</v>
      </c>
      <c r="I226" s="274">
        <f t="shared" si="30"/>
        <v>0.18850000000000033</v>
      </c>
      <c r="J226" s="273">
        <f t="shared" si="28"/>
        <v>2.2799999999999654E-2</v>
      </c>
      <c r="K226" s="275">
        <f t="shared" si="29"/>
        <v>10.790345480359514</v>
      </c>
      <c r="L226">
        <v>16</v>
      </c>
      <c r="M226" s="16">
        <v>43381</v>
      </c>
      <c r="N226" s="16">
        <v>43382</v>
      </c>
      <c r="R226" s="275"/>
    </row>
    <row r="227" spans="1:18">
      <c r="A227" t="s">
        <v>2005</v>
      </c>
      <c r="B227">
        <v>193</v>
      </c>
      <c r="D227">
        <v>0.6321</v>
      </c>
      <c r="E227">
        <v>9.3230000000000004</v>
      </c>
      <c r="F227">
        <v>0.20660000000000001</v>
      </c>
      <c r="G227" s="274">
        <f t="shared" si="27"/>
        <v>9.5296000000000003</v>
      </c>
      <c r="H227" s="274">
        <v>9.3507999999999996</v>
      </c>
      <c r="I227" s="274">
        <f t="shared" si="30"/>
        <v>0.17880000000000074</v>
      </c>
      <c r="J227" s="273">
        <f t="shared" si="28"/>
        <v>2.779999999999927E-2</v>
      </c>
      <c r="K227" s="275">
        <f t="shared" si="29"/>
        <v>13.455953533397516</v>
      </c>
      <c r="L227">
        <v>4</v>
      </c>
      <c r="M227" s="16">
        <v>43395</v>
      </c>
      <c r="N227" s="16">
        <v>43396</v>
      </c>
      <c r="R227" s="275"/>
    </row>
    <row r="228" spans="1:18">
      <c r="A228" t="s">
        <v>1595</v>
      </c>
      <c r="C228" t="s">
        <v>3052</v>
      </c>
      <c r="D228">
        <v>0.74009999999999998</v>
      </c>
      <c r="E228">
        <v>8.1692999999999998</v>
      </c>
      <c r="F228">
        <v>0.20660000000000001</v>
      </c>
      <c r="G228" s="274">
        <f t="shared" si="27"/>
        <v>8.3758999999999997</v>
      </c>
      <c r="H228" s="274">
        <v>8.2050999999999998</v>
      </c>
      <c r="I228" s="274">
        <f t="shared" si="30"/>
        <v>0.17079999999999984</v>
      </c>
      <c r="J228" s="273">
        <f t="shared" si="28"/>
        <v>3.5800000000000165E-2</v>
      </c>
      <c r="K228" s="275">
        <f t="shared" si="29"/>
        <v>17.328170377541223</v>
      </c>
      <c r="L228">
        <v>15</v>
      </c>
      <c r="M228" s="16">
        <v>43399</v>
      </c>
      <c r="N228" s="16">
        <v>43400</v>
      </c>
      <c r="R228" s="275"/>
    </row>
    <row r="229" spans="1:18">
      <c r="A229" t="s">
        <v>2004</v>
      </c>
      <c r="C229" t="s">
        <v>3019</v>
      </c>
      <c r="D229">
        <v>1.4639</v>
      </c>
      <c r="E229">
        <v>20.014700000000001</v>
      </c>
      <c r="F229">
        <v>0.2228</v>
      </c>
      <c r="G229" s="274">
        <f t="shared" si="27"/>
        <v>20.237500000000001</v>
      </c>
      <c r="H229" s="274">
        <v>20.029399999999999</v>
      </c>
      <c r="I229" s="274">
        <f t="shared" si="30"/>
        <v>0.20810000000000173</v>
      </c>
      <c r="J229" s="273">
        <f t="shared" si="28"/>
        <v>1.469999999999827E-2</v>
      </c>
      <c r="K229" s="275">
        <f t="shared" si="29"/>
        <v>6.5978456014354894</v>
      </c>
      <c r="L229">
        <v>6</v>
      </c>
      <c r="M229" s="276">
        <v>43362</v>
      </c>
      <c r="N229" s="276">
        <v>43363</v>
      </c>
      <c r="O229" s="273"/>
      <c r="R229" s="275"/>
    </row>
    <row r="230" spans="1:18">
      <c r="A230" t="s">
        <v>1586</v>
      </c>
      <c r="C230" t="s">
        <v>2773</v>
      </c>
      <c r="D230">
        <v>1.4184000000000001</v>
      </c>
      <c r="E230">
        <v>10.741300000000001</v>
      </c>
      <c r="F230">
        <v>0.22470000000000001</v>
      </c>
      <c r="G230" s="274">
        <f t="shared" si="27"/>
        <v>10.966000000000001</v>
      </c>
      <c r="H230" s="274">
        <v>10.7585</v>
      </c>
      <c r="I230" s="274">
        <f t="shared" si="30"/>
        <v>0.20750000000000135</v>
      </c>
      <c r="J230" s="273">
        <f t="shared" si="28"/>
        <v>1.7199999999998661E-2</v>
      </c>
      <c r="K230" s="275">
        <f t="shared" si="29"/>
        <v>7.6546506453042547</v>
      </c>
      <c r="L230">
        <v>32</v>
      </c>
      <c r="M230" s="16">
        <v>43399</v>
      </c>
      <c r="N230" s="16">
        <v>43400</v>
      </c>
      <c r="R230" s="275"/>
    </row>
    <row r="231" spans="1:18">
      <c r="A231" t="s">
        <v>1585</v>
      </c>
      <c r="C231" t="s">
        <v>2974</v>
      </c>
      <c r="D231">
        <v>1.5044</v>
      </c>
      <c r="E231">
        <v>9.0043000000000006</v>
      </c>
      <c r="F231">
        <v>0.2024</v>
      </c>
      <c r="G231" s="274">
        <f t="shared" si="27"/>
        <v>9.2067000000000014</v>
      </c>
      <c r="H231" s="274">
        <v>9.0182000000000002</v>
      </c>
      <c r="I231" s="274">
        <f>(G231-H231)</f>
        <v>0.18850000000000122</v>
      </c>
      <c r="J231" s="273">
        <f t="shared" si="28"/>
        <v>1.3899999999998774E-2</v>
      </c>
      <c r="K231" s="275">
        <f t="shared" si="29"/>
        <v>6.8675889328057185</v>
      </c>
      <c r="L231">
        <v>8</v>
      </c>
      <c r="M231" s="276">
        <v>43360</v>
      </c>
      <c r="N231" s="276">
        <v>43361</v>
      </c>
      <c r="O231" s="273" t="s">
        <v>2985</v>
      </c>
      <c r="R231" s="275"/>
    </row>
    <row r="232" spans="1:18">
      <c r="A232" t="s">
        <v>1584</v>
      </c>
      <c r="C232" t="s">
        <v>2751</v>
      </c>
      <c r="D232">
        <f>0.4237+0.2034</f>
        <v>0.62709999999999999</v>
      </c>
      <c r="E232">
        <v>11.1738</v>
      </c>
      <c r="F232">
        <v>0.2034</v>
      </c>
      <c r="G232" s="274">
        <f t="shared" si="27"/>
        <v>11.3772</v>
      </c>
      <c r="H232" s="274">
        <v>11.2234</v>
      </c>
      <c r="I232" s="274">
        <f>G232-H232</f>
        <v>0.15380000000000038</v>
      </c>
      <c r="J232" s="273">
        <f t="shared" si="28"/>
        <v>4.9599999999999617E-2</v>
      </c>
      <c r="K232" s="275">
        <f t="shared" si="29"/>
        <v>24.385447394296765</v>
      </c>
      <c r="L232">
        <v>13</v>
      </c>
      <c r="M232" s="276">
        <v>43362</v>
      </c>
      <c r="N232" s="276">
        <v>43363</v>
      </c>
      <c r="O232" s="273"/>
      <c r="R232" s="275"/>
    </row>
    <row r="233" spans="1:18">
      <c r="A233" t="s">
        <v>1583</v>
      </c>
      <c r="C233" t="s">
        <v>2970</v>
      </c>
      <c r="D233">
        <v>1.6935</v>
      </c>
      <c r="E233">
        <v>7.7742000000000004</v>
      </c>
      <c r="F233">
        <v>0.23710000000000001</v>
      </c>
      <c r="G233" s="274">
        <f t="shared" si="27"/>
        <v>8.0113000000000003</v>
      </c>
      <c r="H233" s="274">
        <v>7.7876000000000003</v>
      </c>
      <c r="I233" s="274">
        <f>(G233-H233)</f>
        <v>0.22370000000000001</v>
      </c>
      <c r="J233" s="273">
        <f t="shared" si="28"/>
        <v>1.3399999999999995E-2</v>
      </c>
      <c r="K233" s="275">
        <f t="shared" si="29"/>
        <v>5.6516237874314612</v>
      </c>
      <c r="L233">
        <v>30</v>
      </c>
      <c r="M233" s="276">
        <v>43360</v>
      </c>
      <c r="N233" s="276">
        <v>43361</v>
      </c>
      <c r="R233" s="275"/>
    </row>
    <row r="234" spans="1:18">
      <c r="A234" t="s">
        <v>2003</v>
      </c>
      <c r="C234" t="s">
        <v>2782</v>
      </c>
      <c r="D234">
        <v>0.87460000000000004</v>
      </c>
      <c r="E234">
        <v>9.0324000000000009</v>
      </c>
      <c r="F234">
        <v>0.20830000000000001</v>
      </c>
      <c r="G234" s="274">
        <f t="shared" si="27"/>
        <v>9.2407000000000004</v>
      </c>
      <c r="H234" s="274">
        <v>9.0789000000000009</v>
      </c>
      <c r="I234" s="274">
        <f>G234-H234</f>
        <v>0.1617999999999995</v>
      </c>
      <c r="J234" s="273">
        <f t="shared" si="28"/>
        <v>4.6500000000000513E-2</v>
      </c>
      <c r="K234" s="275">
        <f t="shared" si="29"/>
        <v>22.323571771483682</v>
      </c>
      <c r="L234">
        <v>21</v>
      </c>
      <c r="M234" s="276">
        <v>43363</v>
      </c>
      <c r="N234" s="276">
        <v>43364</v>
      </c>
      <c r="O234" s="273" t="s">
        <v>3033</v>
      </c>
      <c r="R234" s="275"/>
    </row>
    <row r="235" spans="1:18">
      <c r="A235" t="s">
        <v>1577</v>
      </c>
      <c r="C235" t="s">
        <v>2981</v>
      </c>
      <c r="D235">
        <v>1.7426999999999999</v>
      </c>
      <c r="E235">
        <v>10.202400000000001</v>
      </c>
      <c r="F235">
        <v>0.23849999999999999</v>
      </c>
      <c r="G235" s="274">
        <f t="shared" si="27"/>
        <v>10.440900000000001</v>
      </c>
      <c r="H235" s="274">
        <v>10.2186</v>
      </c>
      <c r="I235" s="274">
        <f>G235-H235</f>
        <v>0.22230000000000061</v>
      </c>
      <c r="J235" s="273">
        <f t="shared" si="28"/>
        <v>1.6199999999999382E-2</v>
      </c>
      <c r="K235" s="275">
        <f t="shared" si="29"/>
        <v>6.7924528301884193</v>
      </c>
      <c r="L235">
        <v>11</v>
      </c>
      <c r="M235" s="276">
        <v>43361</v>
      </c>
      <c r="N235" s="276">
        <v>43362</v>
      </c>
      <c r="O235" s="273" t="s">
        <v>3008</v>
      </c>
      <c r="R235" s="275"/>
    </row>
    <row r="236" spans="1:18">
      <c r="A236" t="s">
        <v>2002</v>
      </c>
      <c r="C236" t="s">
        <v>2707</v>
      </c>
      <c r="D236">
        <v>0.65239999999999998</v>
      </c>
      <c r="E236">
        <v>10.076499999999999</v>
      </c>
      <c r="F236">
        <v>0.2109</v>
      </c>
      <c r="G236" s="274">
        <f t="shared" si="27"/>
        <v>10.2874</v>
      </c>
      <c r="H236" s="274">
        <v>10.1121</v>
      </c>
      <c r="I236" s="274">
        <f>G236-H236</f>
        <v>0.17530000000000001</v>
      </c>
      <c r="J236" s="273">
        <f t="shared" si="28"/>
        <v>3.5599999999999993E-2</v>
      </c>
      <c r="K236" s="275">
        <f t="shared" si="29"/>
        <v>16.880037932669509</v>
      </c>
      <c r="L236">
        <v>23</v>
      </c>
      <c r="M236">
        <v>23.101800000000001</v>
      </c>
      <c r="N236" s="16">
        <v>43397</v>
      </c>
      <c r="R236" s="275"/>
    </row>
    <row r="237" spans="1:18">
      <c r="A237" t="s">
        <v>1569</v>
      </c>
      <c r="C237" t="s">
        <v>2978</v>
      </c>
      <c r="D237">
        <v>1.6008</v>
      </c>
      <c r="E237">
        <v>11.106199999999999</v>
      </c>
      <c r="F237">
        <v>0.20130000000000001</v>
      </c>
      <c r="G237" s="274">
        <f t="shared" si="27"/>
        <v>11.307499999999999</v>
      </c>
      <c r="H237" s="274">
        <v>11.118</v>
      </c>
      <c r="I237" s="274">
        <f>(G237-H237)</f>
        <v>0.18949999999999889</v>
      </c>
      <c r="J237" s="273">
        <f t="shared" si="28"/>
        <v>1.1800000000001115E-2</v>
      </c>
      <c r="K237" s="275">
        <f t="shared" si="29"/>
        <v>5.8618976651769072</v>
      </c>
      <c r="L237">
        <v>37</v>
      </c>
      <c r="M237" s="276">
        <v>43360</v>
      </c>
      <c r="N237" s="276">
        <v>43361</v>
      </c>
      <c r="O237" s="273" t="s">
        <v>2985</v>
      </c>
      <c r="R237" s="275"/>
    </row>
    <row r="238" spans="1:18">
      <c r="A238" t="s">
        <v>1568</v>
      </c>
      <c r="C238" t="s">
        <v>2774</v>
      </c>
      <c r="D238">
        <v>1.2858000000000001</v>
      </c>
      <c r="E238">
        <v>8.0655000000000001</v>
      </c>
      <c r="F238">
        <v>0.21179999999999999</v>
      </c>
      <c r="G238" s="274">
        <f t="shared" si="27"/>
        <v>8.2773000000000003</v>
      </c>
      <c r="H238" s="274">
        <v>8.0974000000000004</v>
      </c>
      <c r="I238" s="274">
        <f>G238-H238</f>
        <v>0.17989999999999995</v>
      </c>
      <c r="J238" s="273">
        <f t="shared" si="28"/>
        <v>3.1900000000000039E-2</v>
      </c>
      <c r="K238" s="275">
        <f t="shared" si="29"/>
        <v>15.061378659112389</v>
      </c>
      <c r="L238">
        <v>4</v>
      </c>
      <c r="M238" s="16">
        <v>43399</v>
      </c>
      <c r="N238" s="16">
        <v>43400</v>
      </c>
      <c r="R238" s="275"/>
    </row>
    <row r="239" spans="1:18">
      <c r="A239" t="s">
        <v>1566</v>
      </c>
      <c r="C239" t="s">
        <v>2701</v>
      </c>
      <c r="D239">
        <v>0.49030000000000001</v>
      </c>
      <c r="E239">
        <v>8.4450000000000003</v>
      </c>
      <c r="F239">
        <v>0.21110000000000001</v>
      </c>
      <c r="G239" s="274">
        <f t="shared" si="27"/>
        <v>8.6561000000000003</v>
      </c>
      <c r="H239" s="274">
        <v>8.4809999999999999</v>
      </c>
      <c r="I239" s="274">
        <f>G239-H239</f>
        <v>0.17510000000000048</v>
      </c>
      <c r="J239" s="273">
        <f t="shared" si="28"/>
        <v>3.5999999999999532E-2</v>
      </c>
      <c r="K239" s="275">
        <f t="shared" si="29"/>
        <v>17.053529133112047</v>
      </c>
      <c r="L239">
        <v>6</v>
      </c>
      <c r="M239" s="16">
        <v>43399</v>
      </c>
      <c r="N239" s="16">
        <v>43400</v>
      </c>
      <c r="R239" s="275"/>
    </row>
    <row r="240" spans="1:18">
      <c r="A240" t="s">
        <v>1565</v>
      </c>
      <c r="B240">
        <v>218</v>
      </c>
      <c r="D240">
        <v>0.50409999999999999</v>
      </c>
      <c r="E240">
        <v>10.902200000000001</v>
      </c>
      <c r="F240">
        <v>0.2039</v>
      </c>
      <c r="G240" s="274">
        <f t="shared" si="27"/>
        <v>11.106100000000001</v>
      </c>
      <c r="H240" s="274">
        <v>10.9472</v>
      </c>
      <c r="I240" s="274">
        <f>G240-H240</f>
        <v>0.15890000000000093</v>
      </c>
      <c r="J240" s="273">
        <f t="shared" si="28"/>
        <v>4.4999999999999069E-2</v>
      </c>
      <c r="K240" s="275">
        <f t="shared" si="29"/>
        <v>22.069641981362956</v>
      </c>
      <c r="L240">
        <v>29</v>
      </c>
      <c r="M240" s="16">
        <v>43388</v>
      </c>
      <c r="N240" s="276">
        <v>43389</v>
      </c>
      <c r="O240" s="16"/>
      <c r="R240" s="275"/>
    </row>
    <row r="241" spans="1:18">
      <c r="A241" t="s">
        <v>2001</v>
      </c>
      <c r="C241" t="s">
        <v>2989</v>
      </c>
      <c r="D241">
        <v>1.7726999999999999</v>
      </c>
      <c r="E241">
        <v>8.1189999999999998</v>
      </c>
      <c r="F241">
        <v>0.20449999999999999</v>
      </c>
      <c r="G241" s="274">
        <f t="shared" si="27"/>
        <v>8.3234999999999992</v>
      </c>
      <c r="H241" s="274">
        <v>8.1290999999999993</v>
      </c>
      <c r="I241" s="274">
        <f>(G241-H241)</f>
        <v>0.19439999999999991</v>
      </c>
      <c r="J241" s="273">
        <f t="shared" si="28"/>
        <v>1.0100000000000081E-2</v>
      </c>
      <c r="K241" s="275">
        <f t="shared" si="29"/>
        <v>4.9388753056235117</v>
      </c>
      <c r="L241">
        <v>6</v>
      </c>
      <c r="M241" s="276">
        <v>43360</v>
      </c>
      <c r="N241" s="276">
        <v>43361</v>
      </c>
      <c r="O241" s="273" t="s">
        <v>2985</v>
      </c>
      <c r="R241" s="275"/>
    </row>
    <row r="242" spans="1:18">
      <c r="A242" t="s">
        <v>1560</v>
      </c>
      <c r="C242" t="s">
        <v>3041</v>
      </c>
      <c r="D242">
        <v>0.56969999999999998</v>
      </c>
      <c r="E242">
        <v>8.8620000000000001</v>
      </c>
      <c r="F242">
        <v>0.20669999999999999</v>
      </c>
      <c r="G242" s="274">
        <f t="shared" si="27"/>
        <v>9.0686999999999998</v>
      </c>
      <c r="H242" s="274">
        <v>8.9099000000000004</v>
      </c>
      <c r="I242" s="274">
        <f t="shared" ref="I242:I252" si="31">G242-H242</f>
        <v>0.15879999999999939</v>
      </c>
      <c r="J242" s="273">
        <f t="shared" si="28"/>
        <v>4.7900000000000609E-2</v>
      </c>
      <c r="K242" s="275">
        <f t="shared" si="29"/>
        <v>23.173681664247997</v>
      </c>
      <c r="L242">
        <v>41</v>
      </c>
      <c r="M242" s="276">
        <v>43374</v>
      </c>
      <c r="N242" s="276">
        <v>43375</v>
      </c>
      <c r="O242" s="273" t="s">
        <v>3008</v>
      </c>
      <c r="R242" s="275"/>
    </row>
    <row r="243" spans="1:18">
      <c r="A243" t="s">
        <v>1557</v>
      </c>
      <c r="C243" t="s">
        <v>2966</v>
      </c>
      <c r="D243">
        <v>1.7154</v>
      </c>
      <c r="E243">
        <v>7.4753999999999996</v>
      </c>
      <c r="F243">
        <v>0.23980000000000001</v>
      </c>
      <c r="G243" s="274">
        <f t="shared" si="27"/>
        <v>7.7151999999999994</v>
      </c>
      <c r="H243" s="274">
        <v>7.4907000000000004</v>
      </c>
      <c r="I243" s="274">
        <f t="shared" si="31"/>
        <v>0.22449999999999903</v>
      </c>
      <c r="J243" s="273">
        <f t="shared" si="28"/>
        <v>1.5300000000000979E-2</v>
      </c>
      <c r="K243" s="275">
        <f t="shared" si="29"/>
        <v>6.380316930776055</v>
      </c>
      <c r="L243">
        <v>37</v>
      </c>
      <c r="M243" s="16">
        <v>43381</v>
      </c>
      <c r="N243" s="16">
        <v>43382</v>
      </c>
      <c r="R243" s="275"/>
    </row>
    <row r="244" spans="1:18">
      <c r="A244" t="s">
        <v>2045</v>
      </c>
      <c r="B244">
        <v>213</v>
      </c>
      <c r="D244">
        <v>0.505</v>
      </c>
      <c r="E244">
        <v>7.8402000000000003</v>
      </c>
      <c r="F244">
        <v>0.2016</v>
      </c>
      <c r="G244" s="274">
        <f t="shared" si="27"/>
        <v>8.0418000000000003</v>
      </c>
      <c r="H244" s="274">
        <v>7.8685</v>
      </c>
      <c r="I244" s="274">
        <f t="shared" si="31"/>
        <v>0.17330000000000023</v>
      </c>
      <c r="J244" s="273">
        <f t="shared" si="28"/>
        <v>2.829999999999977E-2</v>
      </c>
      <c r="K244" s="275">
        <f t="shared" si="29"/>
        <v>14.037698412698299</v>
      </c>
      <c r="L244">
        <v>24</v>
      </c>
      <c r="M244" s="16">
        <v>43388</v>
      </c>
      <c r="N244" s="276">
        <v>43389</v>
      </c>
      <c r="O244" s="16"/>
      <c r="R244" s="275"/>
    </row>
    <row r="245" spans="1:18">
      <c r="A245" t="s">
        <v>2000</v>
      </c>
      <c r="C245" t="s">
        <v>3061</v>
      </c>
      <c r="D245">
        <v>0.68879999999999997</v>
      </c>
      <c r="E245">
        <v>9.1579999999999995</v>
      </c>
      <c r="F245">
        <v>0.20630000000000001</v>
      </c>
      <c r="G245" s="274">
        <f t="shared" si="27"/>
        <v>9.3643000000000001</v>
      </c>
      <c r="H245" s="274">
        <v>9.2218999999999998</v>
      </c>
      <c r="I245" s="274">
        <f t="shared" si="31"/>
        <v>0.1424000000000003</v>
      </c>
      <c r="J245" s="273">
        <f t="shared" si="28"/>
        <v>6.3899999999999707E-2</v>
      </c>
      <c r="K245" s="275">
        <f t="shared" si="29"/>
        <v>30.974309258361465</v>
      </c>
      <c r="L245">
        <v>2</v>
      </c>
      <c r="M245" s="16">
        <v>43399</v>
      </c>
      <c r="N245" s="16">
        <v>43400</v>
      </c>
      <c r="R245" s="275"/>
    </row>
    <row r="246" spans="1:18">
      <c r="A246" t="s">
        <v>1549</v>
      </c>
      <c r="C246" t="s">
        <v>2701</v>
      </c>
      <c r="D246">
        <v>0.60850000000000004</v>
      </c>
      <c r="E246">
        <v>9.3436000000000003</v>
      </c>
      <c r="F246">
        <v>0.23619999999999999</v>
      </c>
      <c r="G246" s="274">
        <f t="shared" si="27"/>
        <v>9.5798000000000005</v>
      </c>
      <c r="H246" s="274">
        <v>9.3923000000000005</v>
      </c>
      <c r="I246" s="274">
        <f t="shared" si="31"/>
        <v>0.1875</v>
      </c>
      <c r="J246" s="273">
        <f t="shared" si="28"/>
        <v>4.8699999999999993E-2</v>
      </c>
      <c r="K246" s="275">
        <f t="shared" si="29"/>
        <v>20.618120237087211</v>
      </c>
      <c r="L246">
        <v>41</v>
      </c>
      <c r="M246" s="16">
        <v>43399</v>
      </c>
      <c r="N246" s="16">
        <v>43400</v>
      </c>
      <c r="R246" s="275"/>
    </row>
    <row r="247" spans="1:18">
      <c r="A247" t="s">
        <v>1999</v>
      </c>
      <c r="C247" t="s">
        <v>2704</v>
      </c>
      <c r="D247">
        <v>0.62309999999999999</v>
      </c>
      <c r="E247">
        <v>9.0040999999999993</v>
      </c>
      <c r="F247">
        <v>0.21890000000000001</v>
      </c>
      <c r="G247" s="278">
        <f t="shared" si="27"/>
        <v>9.222999999999999</v>
      </c>
      <c r="H247" s="274">
        <v>9.0614000000000008</v>
      </c>
      <c r="I247" s="278">
        <f t="shared" si="31"/>
        <v>0.16159999999999819</v>
      </c>
      <c r="J247" s="273">
        <f t="shared" si="28"/>
        <v>5.7300000000001822E-2</v>
      </c>
      <c r="K247" s="275">
        <f t="shared" si="29"/>
        <v>26.176336226588315</v>
      </c>
      <c r="L247">
        <v>18</v>
      </c>
      <c r="M247" s="276">
        <v>43379</v>
      </c>
      <c r="N247" s="276">
        <v>43379</v>
      </c>
      <c r="R247" s="275"/>
    </row>
    <row r="248" spans="1:18">
      <c r="A248" t="s">
        <v>1535</v>
      </c>
      <c r="C248" t="s">
        <v>2746</v>
      </c>
      <c r="D248">
        <v>0.58069999999999999</v>
      </c>
      <c r="E248">
        <v>9.7233000000000001</v>
      </c>
      <c r="F248">
        <v>0.21629999999999999</v>
      </c>
      <c r="G248" s="274">
        <f t="shared" si="27"/>
        <v>9.9396000000000004</v>
      </c>
      <c r="H248" s="274">
        <v>9.7765000000000004</v>
      </c>
      <c r="I248" s="274">
        <f t="shared" si="31"/>
        <v>0.16310000000000002</v>
      </c>
      <c r="J248" s="273">
        <f t="shared" si="28"/>
        <v>5.319999999999997E-2</v>
      </c>
      <c r="K248" s="275">
        <f t="shared" si="29"/>
        <v>24.595469255663417</v>
      </c>
      <c r="L248">
        <v>28</v>
      </c>
      <c r="M248" s="276">
        <v>43374</v>
      </c>
      <c r="N248" s="276">
        <v>43375</v>
      </c>
      <c r="O248" s="273" t="s">
        <v>3008</v>
      </c>
      <c r="R248" s="275"/>
    </row>
    <row r="249" spans="1:18">
      <c r="A249" t="s">
        <v>1533</v>
      </c>
      <c r="C249" t="s">
        <v>2705</v>
      </c>
      <c r="D249">
        <v>0.57410000000000005</v>
      </c>
      <c r="E249">
        <v>10.744999999999999</v>
      </c>
      <c r="F249">
        <v>0.20430000000000001</v>
      </c>
      <c r="G249" s="274">
        <f t="shared" si="27"/>
        <v>10.949299999999999</v>
      </c>
      <c r="H249" s="274">
        <v>10.782299999999999</v>
      </c>
      <c r="I249" s="274">
        <f t="shared" si="31"/>
        <v>0.16699999999999982</v>
      </c>
      <c r="J249" s="273">
        <f t="shared" si="28"/>
        <v>3.7300000000000194E-2</v>
      </c>
      <c r="K249" s="275">
        <f t="shared" si="29"/>
        <v>18.257464512971215</v>
      </c>
      <c r="L249">
        <v>39</v>
      </c>
      <c r="M249" s="276">
        <v>43374</v>
      </c>
      <c r="N249" s="276">
        <v>43375</v>
      </c>
      <c r="O249" s="273" t="s">
        <v>3008</v>
      </c>
      <c r="R249" s="275"/>
    </row>
    <row r="250" spans="1:18">
      <c r="A250" t="s">
        <v>1519</v>
      </c>
      <c r="C250" t="s">
        <v>2976</v>
      </c>
      <c r="D250">
        <v>1.7277</v>
      </c>
      <c r="E250">
        <v>8.9566999999999997</v>
      </c>
      <c r="F250">
        <v>0.2011</v>
      </c>
      <c r="G250" s="274">
        <f t="shared" si="27"/>
        <v>9.1577999999999999</v>
      </c>
      <c r="H250" s="274">
        <v>8.9712999999999994</v>
      </c>
      <c r="I250" s="274">
        <f t="shared" si="31"/>
        <v>0.18650000000000055</v>
      </c>
      <c r="J250" s="273">
        <f t="shared" si="28"/>
        <v>1.4599999999999447E-2</v>
      </c>
      <c r="K250" s="275">
        <f t="shared" si="29"/>
        <v>7.2600696171056427</v>
      </c>
      <c r="L250">
        <v>5</v>
      </c>
      <c r="M250" s="276">
        <v>43361</v>
      </c>
      <c r="N250" s="276">
        <v>43362</v>
      </c>
      <c r="O250" s="273" t="s">
        <v>3008</v>
      </c>
      <c r="R250" s="275"/>
    </row>
    <row r="251" spans="1:18">
      <c r="A251" t="s">
        <v>1995</v>
      </c>
      <c r="B251">
        <v>205</v>
      </c>
      <c r="C251" t="s">
        <v>2490</v>
      </c>
      <c r="D251">
        <v>0.68079999999999996</v>
      </c>
      <c r="E251">
        <v>10.745200000000001</v>
      </c>
      <c r="F251">
        <v>0.2056</v>
      </c>
      <c r="G251">
        <f t="shared" si="27"/>
        <v>10.950800000000001</v>
      </c>
      <c r="H251">
        <v>10.784800000000001</v>
      </c>
      <c r="I251" s="274">
        <f t="shared" si="31"/>
        <v>0.16600000000000037</v>
      </c>
      <c r="J251" s="273">
        <f t="shared" si="28"/>
        <v>3.9599999999999635E-2</v>
      </c>
      <c r="K251" s="275">
        <f t="shared" si="29"/>
        <v>19.260700389104883</v>
      </c>
      <c r="L251">
        <v>2</v>
      </c>
      <c r="M251" s="16">
        <v>43402</v>
      </c>
      <c r="N251" s="16">
        <v>43403</v>
      </c>
      <c r="R251" s="275"/>
    </row>
    <row r="252" spans="1:18">
      <c r="A252" t="s">
        <v>1495</v>
      </c>
      <c r="C252" t="s">
        <v>3022</v>
      </c>
      <c r="D252">
        <v>1.8042</v>
      </c>
      <c r="E252">
        <v>7.5289000000000001</v>
      </c>
      <c r="F252">
        <v>0.2198</v>
      </c>
      <c r="G252" s="278">
        <f t="shared" si="27"/>
        <v>7.7487000000000004</v>
      </c>
      <c r="H252" s="274">
        <v>7.5422000000000002</v>
      </c>
      <c r="I252" s="278">
        <f t="shared" si="31"/>
        <v>0.20650000000000013</v>
      </c>
      <c r="J252" s="273">
        <f t="shared" si="28"/>
        <v>1.3299999999999867E-2</v>
      </c>
      <c r="K252" s="275">
        <f t="shared" si="29"/>
        <v>6.0509554140126784</v>
      </c>
      <c r="L252">
        <v>10</v>
      </c>
      <c r="M252" s="276">
        <v>43379</v>
      </c>
      <c r="N252" s="276">
        <v>43379</v>
      </c>
      <c r="O252" s="273"/>
      <c r="R252" s="275"/>
    </row>
    <row r="253" spans="1:18">
      <c r="A253" t="s">
        <v>1492</v>
      </c>
      <c r="C253" t="s">
        <v>2937</v>
      </c>
      <c r="D253">
        <v>1.7853000000000001</v>
      </c>
      <c r="E253">
        <v>7.8596000000000004</v>
      </c>
      <c r="F253">
        <v>0.20349999999999999</v>
      </c>
      <c r="G253" s="274">
        <f t="shared" si="27"/>
        <v>8.0631000000000004</v>
      </c>
      <c r="H253" s="274">
        <v>7.8711000000000002</v>
      </c>
      <c r="I253" s="274">
        <f>(G253-H253)</f>
        <v>0.19200000000000017</v>
      </c>
      <c r="J253" s="273">
        <f t="shared" si="28"/>
        <v>1.1499999999999816E-2</v>
      </c>
      <c r="K253" s="275">
        <f t="shared" si="29"/>
        <v>5.6511056511055608</v>
      </c>
      <c r="L253">
        <v>29</v>
      </c>
      <c r="M253" s="16">
        <v>43358</v>
      </c>
      <c r="N253" s="16">
        <v>43358</v>
      </c>
      <c r="R253" s="275"/>
    </row>
    <row r="254" spans="1:18">
      <c r="A254" t="s">
        <v>1994</v>
      </c>
      <c r="B254">
        <v>211</v>
      </c>
      <c r="C254" t="s">
        <v>2490</v>
      </c>
      <c r="D254">
        <v>0.54649999999999999</v>
      </c>
      <c r="E254">
        <v>10.1091</v>
      </c>
      <c r="F254">
        <v>0.2122</v>
      </c>
      <c r="G254">
        <f t="shared" si="27"/>
        <v>10.321299999999999</v>
      </c>
      <c r="H254">
        <v>10.152200000000001</v>
      </c>
      <c r="I254" s="274">
        <f t="shared" ref="I254:I264" si="32">G254-H254</f>
        <v>0.16909999999999847</v>
      </c>
      <c r="J254" s="273">
        <f t="shared" si="28"/>
        <v>4.3100000000001526E-2</v>
      </c>
      <c r="K254" s="275">
        <f t="shared" si="29"/>
        <v>20.311027332705713</v>
      </c>
      <c r="L254">
        <v>3</v>
      </c>
      <c r="M254" s="16">
        <v>43402</v>
      </c>
      <c r="N254" s="16">
        <v>43403</v>
      </c>
      <c r="R254" s="275"/>
    </row>
    <row r="255" spans="1:18">
      <c r="A255" t="s">
        <v>1488</v>
      </c>
      <c r="C255" t="s">
        <v>3048</v>
      </c>
      <c r="D255">
        <v>1.7042999999999999</v>
      </c>
      <c r="E255">
        <v>7.1909999999999998</v>
      </c>
      <c r="F255">
        <v>0.20380000000000001</v>
      </c>
      <c r="G255" s="274">
        <f t="shared" si="27"/>
        <v>7.3948</v>
      </c>
      <c r="H255" s="274">
        <v>7.2035</v>
      </c>
      <c r="I255" s="274">
        <f t="shared" si="32"/>
        <v>0.19130000000000003</v>
      </c>
      <c r="J255" s="273">
        <f t="shared" si="28"/>
        <v>1.2499999999999983E-2</v>
      </c>
      <c r="K255" s="275">
        <f t="shared" si="29"/>
        <v>6.1334641805691774</v>
      </c>
      <c r="L255">
        <v>33</v>
      </c>
      <c r="M255">
        <v>23.101800000000001</v>
      </c>
      <c r="N255" s="16">
        <v>43397</v>
      </c>
      <c r="R255" s="275"/>
    </row>
    <row r="256" spans="1:18">
      <c r="A256" t="s">
        <v>1993</v>
      </c>
      <c r="C256" t="s">
        <v>2963</v>
      </c>
      <c r="D256">
        <v>0.8054</v>
      </c>
      <c r="E256">
        <v>20.933599999999998</v>
      </c>
      <c r="F256">
        <v>0.223</v>
      </c>
      <c r="G256" s="274">
        <f t="shared" si="27"/>
        <v>21.156599999999997</v>
      </c>
      <c r="H256" s="274">
        <v>20.988099999999999</v>
      </c>
      <c r="I256" s="274">
        <f t="shared" si="32"/>
        <v>0.1684999999999981</v>
      </c>
      <c r="J256" s="273">
        <f t="shared" si="28"/>
        <v>5.4500000000001908E-2</v>
      </c>
      <c r="K256" s="275">
        <f t="shared" si="29"/>
        <v>24.439461883408928</v>
      </c>
      <c r="L256">
        <v>2</v>
      </c>
      <c r="M256" s="276">
        <v>43362</v>
      </c>
      <c r="N256" s="276">
        <v>43363</v>
      </c>
      <c r="O256" s="273"/>
      <c r="R256" s="275"/>
    </row>
    <row r="257" spans="1:18">
      <c r="A257" t="s">
        <v>1480</v>
      </c>
      <c r="C257" t="s">
        <v>3025</v>
      </c>
      <c r="D257">
        <v>1.7245999999999999</v>
      </c>
      <c r="E257">
        <v>11.088800000000001</v>
      </c>
      <c r="F257">
        <v>0.2009</v>
      </c>
      <c r="G257" s="278">
        <f t="shared" si="27"/>
        <v>11.289700000000002</v>
      </c>
      <c r="H257" s="274">
        <v>11.1007</v>
      </c>
      <c r="I257" s="278">
        <f t="shared" si="32"/>
        <v>0.18900000000000183</v>
      </c>
      <c r="J257" s="273">
        <f t="shared" si="28"/>
        <v>1.1899999999998162E-2</v>
      </c>
      <c r="K257" s="275">
        <f t="shared" si="29"/>
        <v>5.923344947734277</v>
      </c>
      <c r="L257">
        <v>2</v>
      </c>
      <c r="M257" s="276">
        <v>43379</v>
      </c>
      <c r="N257" s="276">
        <v>43379</v>
      </c>
      <c r="O257" s="273"/>
      <c r="R257" s="275"/>
    </row>
    <row r="258" spans="1:18">
      <c r="A258" t="s">
        <v>1992</v>
      </c>
      <c r="C258" t="s">
        <v>3022</v>
      </c>
      <c r="D258">
        <v>1.5825</v>
      </c>
      <c r="E258">
        <v>7.3552</v>
      </c>
      <c r="F258">
        <v>0.2341</v>
      </c>
      <c r="G258" s="274">
        <f t="shared" si="27"/>
        <v>7.5892999999999997</v>
      </c>
      <c r="H258" s="274">
        <v>7.3685999999999998</v>
      </c>
      <c r="I258" s="274">
        <f t="shared" si="32"/>
        <v>0.2206999999999999</v>
      </c>
      <c r="J258" s="273">
        <f t="shared" si="28"/>
        <v>1.3400000000000106E-2</v>
      </c>
      <c r="K258" s="275">
        <f t="shared" si="29"/>
        <v>5.724049551473775</v>
      </c>
      <c r="L258">
        <v>28</v>
      </c>
      <c r="M258" s="276">
        <v>43362</v>
      </c>
      <c r="N258" s="276">
        <v>43363</v>
      </c>
      <c r="R258" s="275"/>
    </row>
    <row r="259" spans="1:18">
      <c r="A259" t="s">
        <v>1470</v>
      </c>
      <c r="C259" t="s">
        <v>2709</v>
      </c>
      <c r="D259">
        <v>0.65110000000000001</v>
      </c>
      <c r="E259">
        <v>11.033799999999999</v>
      </c>
      <c r="F259">
        <v>0.2011</v>
      </c>
      <c r="G259" s="274">
        <f t="shared" si="27"/>
        <v>11.2349</v>
      </c>
      <c r="H259" s="274">
        <v>11.073</v>
      </c>
      <c r="I259" s="274">
        <f t="shared" si="32"/>
        <v>0.16189999999999927</v>
      </c>
      <c r="J259" s="273">
        <f t="shared" si="28"/>
        <v>3.9200000000000734E-2</v>
      </c>
      <c r="K259" s="275">
        <f t="shared" si="29"/>
        <v>19.492789656887485</v>
      </c>
      <c r="L259">
        <v>13</v>
      </c>
      <c r="M259" s="16">
        <v>43381</v>
      </c>
      <c r="N259" s="16">
        <v>43382</v>
      </c>
      <c r="R259" s="275"/>
    </row>
    <row r="260" spans="1:18">
      <c r="A260" t="s">
        <v>1991</v>
      </c>
      <c r="C260" t="s">
        <v>2740</v>
      </c>
      <c r="D260">
        <v>0.75880000000000003</v>
      </c>
      <c r="E260">
        <v>18.046299999999999</v>
      </c>
      <c r="F260">
        <v>0.2213</v>
      </c>
      <c r="G260" s="274">
        <f t="shared" si="27"/>
        <v>18.267599999999998</v>
      </c>
      <c r="H260" s="274">
        <v>18.1233</v>
      </c>
      <c r="I260" s="274">
        <f t="shared" si="32"/>
        <v>0.14429999999999765</v>
      </c>
      <c r="J260" s="273">
        <f t="shared" si="28"/>
        <v>7.7000000000002344E-2</v>
      </c>
      <c r="K260" s="275">
        <f t="shared" si="29"/>
        <v>34.794396746499032</v>
      </c>
      <c r="L260">
        <v>9</v>
      </c>
      <c r="M260" s="276">
        <v>43362</v>
      </c>
      <c r="N260" s="276">
        <v>43363</v>
      </c>
      <c r="O260" s="273"/>
      <c r="R260" s="275"/>
    </row>
    <row r="261" spans="1:18">
      <c r="A261" t="s">
        <v>1454</v>
      </c>
      <c r="C261" t="s">
        <v>3009</v>
      </c>
      <c r="D261">
        <v>1.7161</v>
      </c>
      <c r="E261">
        <v>9.1399000000000008</v>
      </c>
      <c r="F261">
        <v>0.23899999999999999</v>
      </c>
      <c r="G261" s="274">
        <f t="shared" si="27"/>
        <v>9.3789000000000016</v>
      </c>
      <c r="H261" s="274">
        <v>9.1523000000000003</v>
      </c>
      <c r="I261" s="274">
        <f t="shared" si="32"/>
        <v>0.22660000000000124</v>
      </c>
      <c r="J261" s="273">
        <f t="shared" si="28"/>
        <v>1.2399999999998745E-2</v>
      </c>
      <c r="K261" s="275">
        <f t="shared" si="29"/>
        <v>5.1882845188279267</v>
      </c>
      <c r="L261">
        <v>35</v>
      </c>
      <c r="M261" s="276">
        <v>43363</v>
      </c>
      <c r="N261" s="276">
        <v>43364</v>
      </c>
      <c r="O261" s="273" t="s">
        <v>3033</v>
      </c>
      <c r="R261" s="275"/>
    </row>
    <row r="262" spans="1:18">
      <c r="A262" t="s">
        <v>1452</v>
      </c>
      <c r="C262" t="s">
        <v>2959</v>
      </c>
      <c r="D262">
        <v>1.7318</v>
      </c>
      <c r="E262">
        <v>10.417299999999999</v>
      </c>
      <c r="F262">
        <v>0.2021</v>
      </c>
      <c r="G262">
        <f t="shared" si="27"/>
        <v>10.619399999999999</v>
      </c>
      <c r="H262">
        <v>10.4297</v>
      </c>
      <c r="I262" s="274">
        <f t="shared" si="32"/>
        <v>0.18969999999999843</v>
      </c>
      <c r="J262" s="273">
        <f t="shared" si="28"/>
        <v>1.2400000000001576E-2</v>
      </c>
      <c r="K262" s="275">
        <f t="shared" si="29"/>
        <v>6.1355764473040955</v>
      </c>
      <c r="L262">
        <v>30</v>
      </c>
      <c r="M262" s="16">
        <v>43399</v>
      </c>
      <c r="N262" s="16">
        <v>43400</v>
      </c>
      <c r="R262" s="275"/>
    </row>
    <row r="263" spans="1:18">
      <c r="A263" t="s">
        <v>2044</v>
      </c>
      <c r="C263" t="s">
        <v>2963</v>
      </c>
      <c r="D263">
        <v>0.93340000000000001</v>
      </c>
      <c r="E263">
        <v>20.778600000000001</v>
      </c>
      <c r="F263">
        <v>0.20899999999999999</v>
      </c>
      <c r="G263" s="274">
        <f t="shared" si="27"/>
        <v>20.9876</v>
      </c>
      <c r="H263" s="274">
        <v>20.829000000000001</v>
      </c>
      <c r="I263" s="274">
        <f t="shared" si="32"/>
        <v>0.15859999999999985</v>
      </c>
      <c r="J263" s="273">
        <f t="shared" si="28"/>
        <v>5.0400000000000139E-2</v>
      </c>
      <c r="K263" s="275">
        <f t="shared" si="29"/>
        <v>24.114832535885235</v>
      </c>
      <c r="L263">
        <v>35</v>
      </c>
      <c r="M263" s="276">
        <v>43361</v>
      </c>
      <c r="N263" s="276">
        <v>43362</v>
      </c>
      <c r="O263" s="273" t="s">
        <v>3008</v>
      </c>
      <c r="R263" s="275"/>
    </row>
    <row r="264" spans="1:18">
      <c r="A264" t="s">
        <v>1990</v>
      </c>
      <c r="C264" t="s">
        <v>2969</v>
      </c>
      <c r="D264">
        <v>1.8058000000000001</v>
      </c>
      <c r="E264">
        <v>10.703200000000001</v>
      </c>
      <c r="F264">
        <v>0.2349</v>
      </c>
      <c r="G264" s="274">
        <f t="shared" si="27"/>
        <v>10.9381</v>
      </c>
      <c r="H264" s="274">
        <v>10.717000000000001</v>
      </c>
      <c r="I264" s="274">
        <f t="shared" si="32"/>
        <v>0.22109999999999985</v>
      </c>
      <c r="J264" s="273">
        <f t="shared" si="28"/>
        <v>1.3800000000000145E-2</v>
      </c>
      <c r="K264" s="275">
        <f t="shared" si="29"/>
        <v>5.8748403575990409</v>
      </c>
      <c r="L264">
        <v>2</v>
      </c>
      <c r="M264" s="276">
        <v>43361</v>
      </c>
      <c r="N264" s="276">
        <v>43362</v>
      </c>
      <c r="O264" s="273" t="s">
        <v>3008</v>
      </c>
      <c r="R264" s="275"/>
    </row>
    <row r="265" spans="1:18">
      <c r="A265" t="s">
        <v>1449</v>
      </c>
      <c r="C265" t="s">
        <v>2953</v>
      </c>
      <c r="D265">
        <v>1.6801999999999999</v>
      </c>
      <c r="E265">
        <v>7.4805000000000001</v>
      </c>
      <c r="F265">
        <v>0.2039</v>
      </c>
      <c r="G265" s="274">
        <f t="shared" si="27"/>
        <v>7.6844000000000001</v>
      </c>
      <c r="H265" s="274">
        <v>7.4927000000000001</v>
      </c>
      <c r="I265" s="274">
        <f>(G265-H265)</f>
        <v>0.19169999999999998</v>
      </c>
      <c r="J265" s="273">
        <f t="shared" si="28"/>
        <v>1.2200000000000016E-2</v>
      </c>
      <c r="K265" s="275">
        <f t="shared" si="29"/>
        <v>5.9833251593918666</v>
      </c>
      <c r="L265">
        <v>20</v>
      </c>
      <c r="M265" s="16">
        <v>43358</v>
      </c>
      <c r="N265" s="16">
        <v>43358</v>
      </c>
      <c r="R265" s="275"/>
    </row>
    <row r="266" spans="1:18">
      <c r="A266" t="s">
        <v>1989</v>
      </c>
      <c r="C266" t="s">
        <v>3019</v>
      </c>
      <c r="D266">
        <v>1.3340000000000001</v>
      </c>
      <c r="E266">
        <v>11.7486</v>
      </c>
      <c r="F266">
        <v>0.21340000000000001</v>
      </c>
      <c r="G266" s="274">
        <f t="shared" si="27"/>
        <v>11.962</v>
      </c>
      <c r="H266" s="274">
        <v>11.763299999999999</v>
      </c>
      <c r="I266" s="274">
        <f t="shared" ref="I266:I279" si="33">G266-H266</f>
        <v>0.19870000000000054</v>
      </c>
      <c r="J266" s="273">
        <f t="shared" si="28"/>
        <v>1.4699999999999463E-2</v>
      </c>
      <c r="K266" s="275">
        <f t="shared" si="29"/>
        <v>6.888472352389627</v>
      </c>
      <c r="L266">
        <v>11</v>
      </c>
      <c r="M266" s="16">
        <v>43381</v>
      </c>
      <c r="N266" s="16">
        <v>43382</v>
      </c>
      <c r="R266" s="275"/>
    </row>
    <row r="267" spans="1:18">
      <c r="A267" t="s">
        <v>1438</v>
      </c>
      <c r="C267" t="s">
        <v>2745</v>
      </c>
      <c r="D267">
        <v>0.61880000000000002</v>
      </c>
      <c r="E267">
        <v>20.883600000000001</v>
      </c>
      <c r="F267">
        <v>0.22420000000000001</v>
      </c>
      <c r="G267" s="274">
        <f t="shared" si="27"/>
        <v>21.107800000000001</v>
      </c>
      <c r="H267" s="274">
        <v>20.948399999999999</v>
      </c>
      <c r="I267" s="274">
        <f t="shared" si="33"/>
        <v>0.15940000000000154</v>
      </c>
      <c r="J267" s="273">
        <f t="shared" si="28"/>
        <v>6.479999999999847E-2</v>
      </c>
      <c r="K267" s="275">
        <f t="shared" si="29"/>
        <v>28.902765388045704</v>
      </c>
      <c r="L267">
        <v>4</v>
      </c>
      <c r="M267" s="276">
        <v>43362</v>
      </c>
      <c r="N267" s="276">
        <v>43363</v>
      </c>
      <c r="O267" s="273"/>
      <c r="R267" s="275"/>
    </row>
    <row r="268" spans="1:18">
      <c r="A268" t="s">
        <v>1433</v>
      </c>
      <c r="C268" t="s">
        <v>2776</v>
      </c>
      <c r="D268">
        <v>1.2075</v>
      </c>
      <c r="E268">
        <v>11.0564</v>
      </c>
      <c r="F268">
        <v>0.23069999999999999</v>
      </c>
      <c r="G268" s="274">
        <f t="shared" si="27"/>
        <v>11.287100000000001</v>
      </c>
      <c r="H268" s="274">
        <v>11.0746</v>
      </c>
      <c r="I268" s="274">
        <f t="shared" si="33"/>
        <v>0.21250000000000036</v>
      </c>
      <c r="J268" s="273">
        <f t="shared" si="28"/>
        <v>1.8199999999999633E-2</v>
      </c>
      <c r="K268" s="275">
        <f t="shared" si="29"/>
        <v>7.889033376679512</v>
      </c>
      <c r="L268">
        <v>15</v>
      </c>
      <c r="M268" s="276">
        <v>43363</v>
      </c>
      <c r="N268" s="276">
        <v>43364</v>
      </c>
      <c r="O268" s="273" t="s">
        <v>3033</v>
      </c>
      <c r="R268" s="275"/>
    </row>
    <row r="269" spans="1:18">
      <c r="A269" t="s">
        <v>1988</v>
      </c>
      <c r="C269" t="s">
        <v>3036</v>
      </c>
      <c r="D269">
        <v>0.87570000000000003</v>
      </c>
      <c r="E269">
        <v>10.567500000000001</v>
      </c>
      <c r="F269">
        <v>0.2147</v>
      </c>
      <c r="G269" s="274">
        <f t="shared" si="27"/>
        <v>10.782200000000001</v>
      </c>
      <c r="H269" s="274">
        <v>10.6075</v>
      </c>
      <c r="I269" s="274">
        <f t="shared" si="33"/>
        <v>0.17470000000000141</v>
      </c>
      <c r="J269" s="273">
        <f t="shared" si="28"/>
        <v>3.9999999999998592E-2</v>
      </c>
      <c r="K269" s="275">
        <f t="shared" si="29"/>
        <v>18.630647414997014</v>
      </c>
      <c r="L269">
        <v>17</v>
      </c>
      <c r="M269" s="276">
        <v>43363</v>
      </c>
      <c r="N269" s="276">
        <v>43364</v>
      </c>
      <c r="O269" s="273" t="s">
        <v>3033</v>
      </c>
      <c r="R269" s="275"/>
    </row>
    <row r="270" spans="1:18">
      <c r="A270" t="s">
        <v>1426</v>
      </c>
      <c r="C270" t="s">
        <v>2746</v>
      </c>
      <c r="D270">
        <v>0.75309999999999999</v>
      </c>
      <c r="E270">
        <v>7.9949000000000003</v>
      </c>
      <c r="F270">
        <v>0.2041</v>
      </c>
      <c r="G270" s="274">
        <f t="shared" si="27"/>
        <v>8.1989999999999998</v>
      </c>
      <c r="H270" s="274">
        <v>8.0541999999999998</v>
      </c>
      <c r="I270" s="274">
        <f t="shared" si="33"/>
        <v>0.14480000000000004</v>
      </c>
      <c r="J270" s="273">
        <f t="shared" si="28"/>
        <v>5.9299999999999964E-2</v>
      </c>
      <c r="K270" s="275">
        <f t="shared" si="29"/>
        <v>29.054385105340501</v>
      </c>
      <c r="L270">
        <v>25</v>
      </c>
      <c r="M270" s="276">
        <v>43362</v>
      </c>
      <c r="N270" s="276">
        <v>43363</v>
      </c>
      <c r="R270" s="275"/>
    </row>
    <row r="271" spans="1:18">
      <c r="A271" t="s">
        <v>1425</v>
      </c>
      <c r="C271" t="s">
        <v>2996</v>
      </c>
      <c r="D271">
        <v>1.6726000000000001</v>
      </c>
      <c r="E271">
        <v>7.774</v>
      </c>
      <c r="F271">
        <v>0.24510000000000001</v>
      </c>
      <c r="G271" s="274">
        <f t="shared" si="27"/>
        <v>8.0190999999999999</v>
      </c>
      <c r="H271" s="274">
        <v>7.7984999999999998</v>
      </c>
      <c r="I271" s="274">
        <f t="shared" si="33"/>
        <v>0.22060000000000013</v>
      </c>
      <c r="J271" s="273">
        <f t="shared" si="28"/>
        <v>2.4499999999999883E-2</v>
      </c>
      <c r="K271" s="275">
        <f t="shared" si="29"/>
        <v>9.99592003263969</v>
      </c>
      <c r="L271">
        <v>15</v>
      </c>
      <c r="M271" s="276">
        <v>43361</v>
      </c>
      <c r="N271" s="276">
        <v>43362</v>
      </c>
      <c r="O271" s="273" t="s">
        <v>3008</v>
      </c>
      <c r="R271" s="275"/>
    </row>
    <row r="272" spans="1:18">
      <c r="A272" t="s">
        <v>1421</v>
      </c>
      <c r="C272" t="s">
        <v>2989</v>
      </c>
      <c r="D272">
        <v>1.6720999999999999</v>
      </c>
      <c r="E272">
        <v>9.1577999999999999</v>
      </c>
      <c r="F272">
        <v>0.20069999999999999</v>
      </c>
      <c r="G272" s="274">
        <f t="shared" si="27"/>
        <v>9.3584999999999994</v>
      </c>
      <c r="H272" s="274">
        <v>9.1692</v>
      </c>
      <c r="I272" s="274">
        <f t="shared" si="33"/>
        <v>0.18929999999999936</v>
      </c>
      <c r="J272" s="273">
        <f t="shared" si="28"/>
        <v>1.1400000000000632E-2</v>
      </c>
      <c r="K272" s="275">
        <f t="shared" si="29"/>
        <v>5.6801195814651884</v>
      </c>
      <c r="L272">
        <v>35</v>
      </c>
      <c r="M272" s="16">
        <v>43395</v>
      </c>
      <c r="N272" s="16">
        <v>43396</v>
      </c>
      <c r="R272" s="275"/>
    </row>
    <row r="273" spans="1:18">
      <c r="A273" t="s">
        <v>1987</v>
      </c>
      <c r="C273" t="s">
        <v>2970</v>
      </c>
      <c r="D273">
        <v>1.6745000000000001</v>
      </c>
      <c r="E273">
        <v>9.2224000000000004</v>
      </c>
      <c r="F273">
        <v>0.20580000000000001</v>
      </c>
      <c r="G273" s="274">
        <f t="shared" si="27"/>
        <v>9.4282000000000004</v>
      </c>
      <c r="H273" s="274">
        <v>9.2340999999999998</v>
      </c>
      <c r="I273" s="274">
        <f t="shared" si="33"/>
        <v>0.19410000000000061</v>
      </c>
      <c r="J273" s="273">
        <f t="shared" si="28"/>
        <v>1.1699999999999405E-2</v>
      </c>
      <c r="K273" s="275">
        <f t="shared" si="29"/>
        <v>5.6851311953349883</v>
      </c>
      <c r="L273">
        <v>15</v>
      </c>
      <c r="M273" s="16">
        <v>43388</v>
      </c>
      <c r="N273" s="276">
        <v>43389</v>
      </c>
      <c r="O273" s="276"/>
      <c r="P273" s="273"/>
      <c r="R273" s="275"/>
    </row>
    <row r="274" spans="1:18">
      <c r="A274" t="s">
        <v>1420</v>
      </c>
      <c r="C274" t="s">
        <v>3049</v>
      </c>
      <c r="D274">
        <v>1.7069000000000001</v>
      </c>
      <c r="E274">
        <v>8.3559000000000001</v>
      </c>
      <c r="F274">
        <v>0.2054</v>
      </c>
      <c r="G274" s="278">
        <f t="shared" si="27"/>
        <v>8.5612999999999992</v>
      </c>
      <c r="H274" s="274">
        <v>8.3684999999999992</v>
      </c>
      <c r="I274" s="278">
        <f t="shared" si="33"/>
        <v>0.19280000000000008</v>
      </c>
      <c r="J274" s="273">
        <f t="shared" si="28"/>
        <v>1.2599999999999917E-2</v>
      </c>
      <c r="K274" s="275">
        <f t="shared" si="29"/>
        <v>6.134371957156727</v>
      </c>
      <c r="L274">
        <v>32</v>
      </c>
      <c r="M274" s="276">
        <v>43379</v>
      </c>
      <c r="N274" s="276">
        <v>43379</v>
      </c>
      <c r="R274" s="275"/>
    </row>
    <row r="275" spans="1:18">
      <c r="A275" t="s">
        <v>1986</v>
      </c>
      <c r="C275" t="s">
        <v>2717</v>
      </c>
      <c r="D275">
        <v>0.66769999999999996</v>
      </c>
      <c r="E275">
        <v>8.0965000000000007</v>
      </c>
      <c r="F275">
        <v>0.2132</v>
      </c>
      <c r="G275" s="274">
        <f t="shared" ref="G275:G338" si="34">E275+F275</f>
        <v>8.3097000000000012</v>
      </c>
      <c r="H275" s="274">
        <v>8.1460000000000008</v>
      </c>
      <c r="I275" s="274">
        <f t="shared" si="33"/>
        <v>0.1637000000000004</v>
      </c>
      <c r="J275" s="273">
        <f t="shared" si="28"/>
        <v>4.94999999999996E-2</v>
      </c>
      <c r="K275" s="275">
        <f t="shared" si="29"/>
        <v>23.217636022513883</v>
      </c>
      <c r="L275">
        <v>18</v>
      </c>
      <c r="M275" s="16">
        <v>43399</v>
      </c>
      <c r="N275" s="16">
        <v>43400</v>
      </c>
      <c r="R275" s="275"/>
    </row>
    <row r="276" spans="1:18">
      <c r="A276" t="s">
        <v>1404</v>
      </c>
      <c r="C276" t="s">
        <v>2979</v>
      </c>
      <c r="D276">
        <v>1.7404999999999999</v>
      </c>
      <c r="E276">
        <v>20.760899999999999</v>
      </c>
      <c r="F276">
        <v>0.2054</v>
      </c>
      <c r="G276" s="274">
        <f t="shared" si="34"/>
        <v>20.9663</v>
      </c>
      <c r="H276" s="274">
        <v>20.774799999999999</v>
      </c>
      <c r="I276" s="274">
        <f t="shared" si="33"/>
        <v>0.19150000000000134</v>
      </c>
      <c r="J276" s="273">
        <f t="shared" si="28"/>
        <v>1.3899999999998663E-2</v>
      </c>
      <c r="K276" s="275">
        <f t="shared" si="29"/>
        <v>6.7672833495611799</v>
      </c>
      <c r="L276">
        <v>31</v>
      </c>
      <c r="M276" s="276">
        <v>43361</v>
      </c>
      <c r="N276" s="276">
        <v>43362</v>
      </c>
      <c r="O276" s="273" t="s">
        <v>3008</v>
      </c>
      <c r="R276" s="275"/>
    </row>
    <row r="277" spans="1:18">
      <c r="A277" t="s">
        <v>1985</v>
      </c>
      <c r="C277" t="s">
        <v>2782</v>
      </c>
      <c r="D277">
        <v>0.88129999999999997</v>
      </c>
      <c r="E277">
        <v>10.7941</v>
      </c>
      <c r="F277">
        <v>0.20810000000000001</v>
      </c>
      <c r="G277" s="274">
        <f t="shared" si="34"/>
        <v>11.0022</v>
      </c>
      <c r="H277" s="274">
        <v>10.8285</v>
      </c>
      <c r="I277" s="274">
        <f t="shared" si="33"/>
        <v>0.17370000000000019</v>
      </c>
      <c r="J277" s="273">
        <f t="shared" si="28"/>
        <v>3.439999999999982E-2</v>
      </c>
      <c r="K277" s="275">
        <f t="shared" si="29"/>
        <v>16.530514175876895</v>
      </c>
      <c r="L277">
        <v>12</v>
      </c>
      <c r="M277" s="276">
        <v>43363</v>
      </c>
      <c r="N277" s="276">
        <v>43364</v>
      </c>
      <c r="O277" s="273"/>
      <c r="R277" s="275"/>
    </row>
    <row r="278" spans="1:18">
      <c r="A278" t="s">
        <v>1400</v>
      </c>
      <c r="C278" t="s">
        <v>2995</v>
      </c>
      <c r="D278">
        <v>0.69179999999999997</v>
      </c>
      <c r="E278">
        <v>7.0941999999999998</v>
      </c>
      <c r="F278">
        <v>0.2054</v>
      </c>
      <c r="G278" s="274">
        <f t="shared" si="34"/>
        <v>7.2995999999999999</v>
      </c>
      <c r="H278" s="274">
        <v>7.1402000000000001</v>
      </c>
      <c r="I278" s="274">
        <f t="shared" si="33"/>
        <v>0.15939999999999976</v>
      </c>
      <c r="J278" s="273">
        <f t="shared" si="28"/>
        <v>4.6000000000000235E-2</v>
      </c>
      <c r="K278" s="275">
        <f t="shared" si="29"/>
        <v>22.395326192794663</v>
      </c>
      <c r="L278">
        <v>24</v>
      </c>
      <c r="M278" s="16">
        <v>43399</v>
      </c>
      <c r="N278" s="16">
        <v>43400</v>
      </c>
      <c r="R278" s="275"/>
    </row>
    <row r="279" spans="1:18">
      <c r="A279" t="s">
        <v>1391</v>
      </c>
      <c r="C279" t="s">
        <v>2964</v>
      </c>
      <c r="D279">
        <v>1.7538</v>
      </c>
      <c r="E279">
        <v>11.0907</v>
      </c>
      <c r="F279">
        <v>0.22600000000000001</v>
      </c>
      <c r="G279" s="274">
        <f t="shared" si="34"/>
        <v>11.316700000000001</v>
      </c>
      <c r="H279" s="274">
        <v>11.103999999999999</v>
      </c>
      <c r="I279" s="274">
        <f t="shared" si="33"/>
        <v>0.21270000000000167</v>
      </c>
      <c r="J279" s="273">
        <f t="shared" si="28"/>
        <v>1.3299999999998341E-2</v>
      </c>
      <c r="K279" s="275">
        <f t="shared" si="29"/>
        <v>5.8849557522116545</v>
      </c>
      <c r="L279">
        <v>23</v>
      </c>
      <c r="M279" s="16">
        <v>43381</v>
      </c>
      <c r="N279" s="16">
        <v>43382</v>
      </c>
      <c r="R279" s="275"/>
    </row>
    <row r="280" spans="1:18">
      <c r="A280" t="s">
        <v>1984</v>
      </c>
      <c r="C280" t="s">
        <v>2981</v>
      </c>
      <c r="D280">
        <v>3.1697000000000002</v>
      </c>
      <c r="E280">
        <v>8.0473999999999997</v>
      </c>
      <c r="F280">
        <v>0.24690000000000001</v>
      </c>
      <c r="G280" s="274">
        <f t="shared" si="34"/>
        <v>8.2942999999999998</v>
      </c>
      <c r="H280" s="274">
        <v>8.2288999999999994</v>
      </c>
      <c r="I280" s="274">
        <f>(G280-H280)</f>
        <v>6.5400000000000347E-2</v>
      </c>
      <c r="J280" s="273">
        <f t="shared" si="28"/>
        <v>0.18149999999999966</v>
      </c>
      <c r="K280" s="275">
        <f t="shared" si="29"/>
        <v>73.511543134872284</v>
      </c>
      <c r="L280">
        <v>40</v>
      </c>
      <c r="M280" s="276">
        <v>43360</v>
      </c>
      <c r="N280" s="276">
        <v>43361</v>
      </c>
      <c r="R280" s="275"/>
    </row>
    <row r="281" spans="1:18">
      <c r="A281" t="s">
        <v>1387</v>
      </c>
      <c r="C281" t="s">
        <v>3020</v>
      </c>
      <c r="D281">
        <v>1.494</v>
      </c>
      <c r="E281">
        <v>7.8018000000000001</v>
      </c>
      <c r="F281">
        <v>0.23780000000000001</v>
      </c>
      <c r="G281" s="274">
        <f t="shared" si="34"/>
        <v>8.0396000000000001</v>
      </c>
      <c r="H281" s="274">
        <v>7.8205999999999998</v>
      </c>
      <c r="I281" s="274">
        <f t="shared" ref="I281:I286" si="35">G281-H281</f>
        <v>0.21900000000000031</v>
      </c>
      <c r="J281" s="273">
        <f t="shared" si="28"/>
        <v>1.8799999999999706E-2</v>
      </c>
      <c r="K281" s="275">
        <f t="shared" si="29"/>
        <v>7.9058031959628696</v>
      </c>
      <c r="L281">
        <v>29</v>
      </c>
      <c r="M281" s="16">
        <v>43395</v>
      </c>
      <c r="N281" s="16">
        <v>43396</v>
      </c>
      <c r="R281" s="275"/>
    </row>
    <row r="282" spans="1:18">
      <c r="A282" t="s">
        <v>1983</v>
      </c>
      <c r="C282" t="s">
        <v>2714</v>
      </c>
      <c r="D282">
        <v>0.59789999999999999</v>
      </c>
      <c r="E282">
        <v>9.8879999999999999</v>
      </c>
      <c r="F282">
        <v>0.2117</v>
      </c>
      <c r="G282">
        <f t="shared" si="34"/>
        <v>10.0997</v>
      </c>
      <c r="H282">
        <v>9.9367000000000001</v>
      </c>
      <c r="I282" s="274">
        <f t="shared" si="35"/>
        <v>0.16300000000000026</v>
      </c>
      <c r="J282" s="273">
        <f t="shared" ref="J282:J345" si="36">F282-I282</f>
        <v>4.8699999999999743E-2</v>
      </c>
      <c r="K282" s="275">
        <f t="shared" ref="K282:K345" si="37">(J282/F282)*100</f>
        <v>23.004251299007908</v>
      </c>
      <c r="L282">
        <v>15</v>
      </c>
      <c r="M282" s="16">
        <v>43402</v>
      </c>
      <c r="N282" s="16">
        <v>43403</v>
      </c>
      <c r="R282" s="275"/>
    </row>
    <row r="283" spans="1:18">
      <c r="A283" t="s">
        <v>1379</v>
      </c>
      <c r="C283" t="s">
        <v>2708</v>
      </c>
      <c r="D283">
        <v>0.51459999999999995</v>
      </c>
      <c r="E283">
        <v>11.107699999999999</v>
      </c>
      <c r="F283">
        <v>0.20699999999999999</v>
      </c>
      <c r="G283" s="274">
        <f t="shared" si="34"/>
        <v>11.3147</v>
      </c>
      <c r="H283" s="274">
        <v>11.140700000000001</v>
      </c>
      <c r="I283" s="274">
        <f t="shared" si="35"/>
        <v>0.17399999999999949</v>
      </c>
      <c r="J283" s="273">
        <f t="shared" si="36"/>
        <v>3.3000000000000501E-2</v>
      </c>
      <c r="K283" s="275">
        <f t="shared" si="37"/>
        <v>15.942028985507489</v>
      </c>
      <c r="L283">
        <v>7</v>
      </c>
      <c r="M283" s="16">
        <v>43399</v>
      </c>
      <c r="N283" s="16">
        <v>43400</v>
      </c>
      <c r="R283" s="275"/>
    </row>
    <row r="284" spans="1:18">
      <c r="A284" t="s">
        <v>1378</v>
      </c>
      <c r="B284">
        <v>204</v>
      </c>
      <c r="C284" t="s">
        <v>2490</v>
      </c>
      <c r="D284">
        <v>0.58760000000000001</v>
      </c>
      <c r="E284">
        <v>10.5038</v>
      </c>
      <c r="F284">
        <v>0.2051</v>
      </c>
      <c r="G284" s="274">
        <f t="shared" si="34"/>
        <v>10.7089</v>
      </c>
      <c r="H284" s="274">
        <v>10.5481</v>
      </c>
      <c r="I284" s="274">
        <f t="shared" si="35"/>
        <v>0.16080000000000005</v>
      </c>
      <c r="J284" s="273">
        <f t="shared" si="36"/>
        <v>4.4299999999999951E-2</v>
      </c>
      <c r="K284" s="275">
        <f t="shared" si="37"/>
        <v>21.599219892735228</v>
      </c>
      <c r="L284">
        <v>9</v>
      </c>
      <c r="M284">
        <v>23.101800000000001</v>
      </c>
      <c r="N284" s="16">
        <v>43397</v>
      </c>
      <c r="R284" s="275"/>
    </row>
    <row r="285" spans="1:18">
      <c r="A285" t="s">
        <v>1982</v>
      </c>
      <c r="B285">
        <v>212</v>
      </c>
      <c r="D285">
        <v>0.5323</v>
      </c>
      <c r="E285">
        <v>10.741199999999999</v>
      </c>
      <c r="F285">
        <v>0.2198</v>
      </c>
      <c r="G285" s="274">
        <f t="shared" si="34"/>
        <v>10.960999999999999</v>
      </c>
      <c r="H285" s="274">
        <v>10.795999999999999</v>
      </c>
      <c r="I285" s="274">
        <f t="shared" si="35"/>
        <v>0.16499999999999915</v>
      </c>
      <c r="J285" s="273">
        <f t="shared" si="36"/>
        <v>5.4800000000000848E-2</v>
      </c>
      <c r="K285" s="275">
        <f t="shared" si="37"/>
        <v>24.931756141947613</v>
      </c>
      <c r="L285">
        <v>18</v>
      </c>
      <c r="M285" s="16">
        <v>43395</v>
      </c>
      <c r="N285" s="16">
        <v>43396</v>
      </c>
      <c r="R285" s="275"/>
    </row>
    <row r="286" spans="1:18">
      <c r="A286" t="s">
        <v>2043</v>
      </c>
      <c r="C286" t="s">
        <v>2720</v>
      </c>
      <c r="D286">
        <v>0.63500000000000001</v>
      </c>
      <c r="E286">
        <v>11.4559</v>
      </c>
      <c r="F286">
        <v>0.20910000000000001</v>
      </c>
      <c r="G286" s="274">
        <f t="shared" si="34"/>
        <v>11.664999999999999</v>
      </c>
      <c r="H286" s="274">
        <v>11.5093</v>
      </c>
      <c r="I286" s="274">
        <f t="shared" si="35"/>
        <v>0.15569999999999951</v>
      </c>
      <c r="J286" s="273">
        <f t="shared" si="36"/>
        <v>5.3400000000000503E-2</v>
      </c>
      <c r="K286" s="275">
        <f t="shared" si="37"/>
        <v>25.538020086083453</v>
      </c>
      <c r="L286">
        <v>35</v>
      </c>
      <c r="M286" s="276">
        <v>43374</v>
      </c>
      <c r="N286" s="276">
        <v>43375</v>
      </c>
      <c r="O286" s="273" t="s">
        <v>3008</v>
      </c>
      <c r="R286" s="275"/>
    </row>
    <row r="287" spans="1:18">
      <c r="A287" t="s">
        <v>1345</v>
      </c>
      <c r="C287" t="s">
        <v>2941</v>
      </c>
      <c r="D287">
        <v>1.6583000000000001</v>
      </c>
      <c r="E287">
        <v>10.270799999999999</v>
      </c>
      <c r="F287">
        <v>0.19980000000000001</v>
      </c>
      <c r="G287" s="274">
        <f t="shared" si="34"/>
        <v>10.470599999999999</v>
      </c>
      <c r="H287" s="274">
        <v>10.282500000000001</v>
      </c>
      <c r="I287" s="274">
        <f>(G287-H287)</f>
        <v>0.1880999999999986</v>
      </c>
      <c r="J287" s="273">
        <f t="shared" si="36"/>
        <v>1.1700000000001404E-2</v>
      </c>
      <c r="K287" s="275">
        <f t="shared" si="37"/>
        <v>5.8558558558565581</v>
      </c>
      <c r="L287">
        <v>9</v>
      </c>
      <c r="M287" s="16">
        <v>43358</v>
      </c>
      <c r="N287" s="16">
        <v>43358</v>
      </c>
      <c r="R287" s="275"/>
    </row>
    <row r="288" spans="1:18">
      <c r="A288" t="s">
        <v>1336</v>
      </c>
      <c r="C288" t="s">
        <v>2939</v>
      </c>
      <c r="D288">
        <v>1.6967000000000001</v>
      </c>
      <c r="E288">
        <v>10.674099999999999</v>
      </c>
      <c r="F288">
        <v>0.20430000000000001</v>
      </c>
      <c r="G288" s="274">
        <f t="shared" si="34"/>
        <v>10.878399999999999</v>
      </c>
      <c r="H288" s="274">
        <v>10.6853</v>
      </c>
      <c r="I288" s="274">
        <f>(G288-H288)</f>
        <v>0.19309999999999938</v>
      </c>
      <c r="J288" s="273">
        <f t="shared" si="36"/>
        <v>1.1200000000000626E-2</v>
      </c>
      <c r="K288" s="275">
        <f t="shared" si="37"/>
        <v>5.4821341164956561</v>
      </c>
      <c r="L288">
        <v>9</v>
      </c>
      <c r="M288" s="276">
        <v>43355.625</v>
      </c>
      <c r="N288" s="276">
        <v>43355.791666666664</v>
      </c>
      <c r="O288" s="273" t="s">
        <v>2938</v>
      </c>
      <c r="R288" s="275"/>
    </row>
    <row r="289" spans="1:18">
      <c r="A289" t="s">
        <v>1333</v>
      </c>
      <c r="C289" t="s">
        <v>3053</v>
      </c>
      <c r="D289">
        <v>1.6601999999999999</v>
      </c>
      <c r="E289">
        <v>11.0349</v>
      </c>
      <c r="F289">
        <v>0.22639999999999999</v>
      </c>
      <c r="G289" s="274">
        <f t="shared" si="34"/>
        <v>11.2613</v>
      </c>
      <c r="H289" s="274">
        <v>11.047700000000001</v>
      </c>
      <c r="I289" s="274">
        <f>G289-H289</f>
        <v>0.21359999999999957</v>
      </c>
      <c r="J289" s="273">
        <f t="shared" si="36"/>
        <v>1.2800000000000422E-2</v>
      </c>
      <c r="K289" s="275">
        <f t="shared" si="37"/>
        <v>5.65371024735001</v>
      </c>
      <c r="L289">
        <v>18</v>
      </c>
      <c r="M289">
        <v>23.101800000000001</v>
      </c>
      <c r="N289" s="16">
        <v>43397</v>
      </c>
      <c r="R289" s="275"/>
    </row>
    <row r="290" spans="1:18">
      <c r="A290" t="s">
        <v>1331</v>
      </c>
      <c r="C290" t="s">
        <v>2745</v>
      </c>
      <c r="D290">
        <v>0.63629999999999998</v>
      </c>
      <c r="E290">
        <v>8.1296999999999997</v>
      </c>
      <c r="F290">
        <v>0.20469999999999999</v>
      </c>
      <c r="G290" s="274">
        <f t="shared" si="34"/>
        <v>8.3344000000000005</v>
      </c>
      <c r="H290" s="274">
        <v>8.1714000000000002</v>
      </c>
      <c r="I290" s="274">
        <f>G290-H290</f>
        <v>0.16300000000000026</v>
      </c>
      <c r="J290" s="273">
        <f t="shared" si="36"/>
        <v>4.1699999999999737E-2</v>
      </c>
      <c r="K290" s="275">
        <f t="shared" si="37"/>
        <v>20.371275036638856</v>
      </c>
      <c r="L290">
        <v>14</v>
      </c>
      <c r="M290" s="276">
        <v>43362</v>
      </c>
      <c r="N290" s="276">
        <v>43363</v>
      </c>
      <c r="O290" s="273"/>
      <c r="R290" s="275"/>
    </row>
    <row r="291" spans="1:18">
      <c r="A291" t="s">
        <v>1978</v>
      </c>
      <c r="C291" t="s">
        <v>2988</v>
      </c>
      <c r="D291">
        <v>1.5502</v>
      </c>
      <c r="E291">
        <v>8.7347000000000001</v>
      </c>
      <c r="F291">
        <v>0.2029</v>
      </c>
      <c r="G291" s="274">
        <f t="shared" si="34"/>
        <v>8.9375999999999998</v>
      </c>
      <c r="H291" s="274">
        <v>8.7567000000000004</v>
      </c>
      <c r="I291" s="274">
        <f>(G291-H291)</f>
        <v>0.18089999999999939</v>
      </c>
      <c r="J291" s="273">
        <f t="shared" si="36"/>
        <v>2.2000000000000602E-2</v>
      </c>
      <c r="K291" s="275">
        <f t="shared" si="37"/>
        <v>10.842779694431051</v>
      </c>
      <c r="L291">
        <v>4</v>
      </c>
      <c r="M291" s="276">
        <v>43360</v>
      </c>
      <c r="N291" s="276">
        <v>43361</v>
      </c>
      <c r="O291" s="273" t="s">
        <v>2985</v>
      </c>
      <c r="R291" s="275"/>
    </row>
    <row r="292" spans="1:18">
      <c r="A292" t="s">
        <v>1328</v>
      </c>
      <c r="C292" t="s">
        <v>2740</v>
      </c>
      <c r="D292">
        <v>0.69030000000000002</v>
      </c>
      <c r="E292">
        <v>10.077999999999999</v>
      </c>
      <c r="F292">
        <v>0.20430000000000001</v>
      </c>
      <c r="G292" s="274">
        <f t="shared" si="34"/>
        <v>10.282299999999999</v>
      </c>
      <c r="H292" s="274">
        <v>10.137600000000001</v>
      </c>
      <c r="I292" s="274">
        <f>G292-H292</f>
        <v>0.1446999999999985</v>
      </c>
      <c r="J292" s="273">
        <f t="shared" si="36"/>
        <v>5.9600000000001513E-2</v>
      </c>
      <c r="K292" s="275">
        <f t="shared" si="37"/>
        <v>29.172785119922423</v>
      </c>
      <c r="L292">
        <v>19</v>
      </c>
      <c r="M292" s="276">
        <v>43374</v>
      </c>
      <c r="N292" s="276">
        <v>43375</v>
      </c>
      <c r="O292" s="273" t="s">
        <v>3008</v>
      </c>
      <c r="R292" s="275"/>
    </row>
    <row r="293" spans="1:18">
      <c r="A293" t="s">
        <v>1315</v>
      </c>
      <c r="C293" t="s">
        <v>2978</v>
      </c>
      <c r="D293">
        <v>1.7659</v>
      </c>
      <c r="E293">
        <v>9.0510000000000002</v>
      </c>
      <c r="F293">
        <v>0.20280000000000001</v>
      </c>
      <c r="G293" s="274">
        <f t="shared" si="34"/>
        <v>9.2538</v>
      </c>
      <c r="H293" s="274">
        <v>9.0641999999999996</v>
      </c>
      <c r="I293" s="274">
        <f>G293-H293</f>
        <v>0.18960000000000043</v>
      </c>
      <c r="J293" s="273">
        <f t="shared" si="36"/>
        <v>1.3199999999999573E-2</v>
      </c>
      <c r="K293" s="275">
        <f t="shared" si="37"/>
        <v>6.5088757396447594</v>
      </c>
      <c r="L293">
        <v>21</v>
      </c>
      <c r="M293" s="276">
        <v>43361</v>
      </c>
      <c r="N293" s="276">
        <v>43362</v>
      </c>
      <c r="O293" s="273" t="s">
        <v>3008</v>
      </c>
      <c r="R293" s="275"/>
    </row>
    <row r="294" spans="1:18">
      <c r="A294" t="s">
        <v>1300</v>
      </c>
      <c r="C294" t="s">
        <v>3016</v>
      </c>
      <c r="D294">
        <v>1.2071000000000001</v>
      </c>
      <c r="E294">
        <v>8.9581999999999997</v>
      </c>
      <c r="F294">
        <v>0.20219999999999999</v>
      </c>
      <c r="G294" s="274">
        <f t="shared" si="34"/>
        <v>9.1603999999999992</v>
      </c>
      <c r="H294" s="274">
        <v>8.9743999999999993</v>
      </c>
      <c r="I294" s="274">
        <f>G294-H294</f>
        <v>0.18599999999999994</v>
      </c>
      <c r="J294" s="273">
        <f t="shared" si="36"/>
        <v>1.6200000000000048E-2</v>
      </c>
      <c r="K294" s="275">
        <f t="shared" si="37"/>
        <v>8.0118694362018044</v>
      </c>
      <c r="L294">
        <v>21</v>
      </c>
      <c r="M294" s="276">
        <v>43374</v>
      </c>
      <c r="N294" s="276">
        <v>43375</v>
      </c>
      <c r="O294" s="273" t="s">
        <v>3008</v>
      </c>
      <c r="R294" s="275"/>
    </row>
    <row r="295" spans="1:18">
      <c r="A295" t="s">
        <v>1293</v>
      </c>
      <c r="C295" t="s">
        <v>3061</v>
      </c>
      <c r="D295">
        <v>7.359</v>
      </c>
      <c r="E295">
        <v>10.314399999999999</v>
      </c>
      <c r="F295">
        <v>0.20330000000000001</v>
      </c>
      <c r="G295">
        <f t="shared" si="34"/>
        <v>10.5177</v>
      </c>
      <c r="H295">
        <v>10.356999999999999</v>
      </c>
      <c r="I295" s="274">
        <f>G295-H295</f>
        <v>0.16070000000000029</v>
      </c>
      <c r="J295" s="273">
        <f t="shared" si="36"/>
        <v>4.2599999999999721E-2</v>
      </c>
      <c r="K295" s="275">
        <f t="shared" si="37"/>
        <v>20.954254795868039</v>
      </c>
      <c r="L295">
        <v>34</v>
      </c>
      <c r="M295" s="16">
        <v>43399</v>
      </c>
      <c r="N295" s="16">
        <v>43400</v>
      </c>
      <c r="R295" s="275"/>
    </row>
    <row r="296" spans="1:18">
      <c r="A296" t="s">
        <v>1291</v>
      </c>
      <c r="C296" t="s">
        <v>2965</v>
      </c>
      <c r="D296">
        <v>1.6763999999999999</v>
      </c>
      <c r="E296">
        <v>8.4440000000000008</v>
      </c>
      <c r="F296">
        <v>0.20669999999999999</v>
      </c>
      <c r="G296" s="274">
        <f t="shared" si="34"/>
        <v>8.6507000000000005</v>
      </c>
      <c r="H296" s="274">
        <v>8.4558999999999997</v>
      </c>
      <c r="I296" s="274">
        <f>(G296-H296)</f>
        <v>0.19480000000000075</v>
      </c>
      <c r="J296" s="273">
        <f t="shared" si="36"/>
        <v>1.1899999999999245E-2</v>
      </c>
      <c r="K296" s="275">
        <f t="shared" si="37"/>
        <v>5.7571359458148255</v>
      </c>
      <c r="L296">
        <v>24</v>
      </c>
      <c r="M296" s="276">
        <v>43360</v>
      </c>
      <c r="N296" s="276">
        <v>43361</v>
      </c>
      <c r="R296" s="275"/>
    </row>
    <row r="297" spans="1:18">
      <c r="A297" t="s">
        <v>1974</v>
      </c>
      <c r="C297" t="s">
        <v>3037</v>
      </c>
      <c r="D297">
        <v>1.1228</v>
      </c>
      <c r="E297">
        <v>10.1462</v>
      </c>
      <c r="F297">
        <v>0.20849999999999999</v>
      </c>
      <c r="G297" s="274">
        <f t="shared" si="34"/>
        <v>10.354700000000001</v>
      </c>
      <c r="H297" s="274">
        <v>10.1662</v>
      </c>
      <c r="I297" s="274">
        <f>G297-H297</f>
        <v>0.18850000000000122</v>
      </c>
      <c r="J297" s="273">
        <f t="shared" si="36"/>
        <v>1.9999999999998769E-2</v>
      </c>
      <c r="K297" s="275">
        <f t="shared" si="37"/>
        <v>9.59232613908814</v>
      </c>
      <c r="L297">
        <v>31</v>
      </c>
      <c r="M297" s="276">
        <v>43363</v>
      </c>
      <c r="N297" s="276">
        <v>43364</v>
      </c>
      <c r="O297" s="273" t="s">
        <v>3033</v>
      </c>
      <c r="R297" s="275"/>
    </row>
    <row r="298" spans="1:18">
      <c r="A298" t="s">
        <v>1284</v>
      </c>
      <c r="C298" t="s">
        <v>2945</v>
      </c>
      <c r="D298">
        <v>1.7133</v>
      </c>
      <c r="E298">
        <v>10.7386</v>
      </c>
      <c r="F298">
        <v>0.20330000000000001</v>
      </c>
      <c r="G298" s="274">
        <f t="shared" si="34"/>
        <v>10.9419</v>
      </c>
      <c r="H298" s="274">
        <v>10.7508</v>
      </c>
      <c r="I298" s="274">
        <f>(G298-H298)</f>
        <v>0.19110000000000049</v>
      </c>
      <c r="J298" s="273">
        <f t="shared" si="36"/>
        <v>1.2199999999999517E-2</v>
      </c>
      <c r="K298" s="275">
        <f t="shared" si="37"/>
        <v>6.0009837678305544</v>
      </c>
      <c r="L298">
        <v>23</v>
      </c>
      <c r="M298" s="16">
        <v>43358</v>
      </c>
      <c r="N298" s="16">
        <v>43358</v>
      </c>
      <c r="R298" s="275"/>
    </row>
    <row r="299" spans="1:18">
      <c r="A299" t="s">
        <v>1283</v>
      </c>
      <c r="C299" t="s">
        <v>2993</v>
      </c>
      <c r="D299">
        <v>1.2627999999999999</v>
      </c>
      <c r="E299">
        <v>9.1565999999999992</v>
      </c>
      <c r="F299">
        <v>0.2016</v>
      </c>
      <c r="G299" s="274">
        <f t="shared" si="34"/>
        <v>9.3582000000000001</v>
      </c>
      <c r="H299" s="274">
        <v>9.1734000000000009</v>
      </c>
      <c r="I299" s="274">
        <f>(G299-H299)</f>
        <v>0.18479999999999919</v>
      </c>
      <c r="J299" s="273">
        <f t="shared" si="36"/>
        <v>1.6800000000000814E-2</v>
      </c>
      <c r="K299" s="275">
        <f t="shared" si="37"/>
        <v>8.3333333333337372</v>
      </c>
      <c r="L299">
        <v>21</v>
      </c>
      <c r="M299" s="276">
        <v>43360</v>
      </c>
      <c r="N299" s="276">
        <v>43361</v>
      </c>
      <c r="O299" s="273" t="s">
        <v>2985</v>
      </c>
      <c r="R299" s="275"/>
    </row>
    <row r="300" spans="1:18">
      <c r="A300" t="s">
        <v>1973</v>
      </c>
      <c r="C300" t="s">
        <v>2705</v>
      </c>
      <c r="D300">
        <v>0.69240000000000002</v>
      </c>
      <c r="E300">
        <v>7.8403999999999998</v>
      </c>
      <c r="F300">
        <v>0.2089</v>
      </c>
      <c r="G300" s="274">
        <f t="shared" si="34"/>
        <v>8.0493000000000006</v>
      </c>
      <c r="H300" s="274">
        <v>7.9118000000000004</v>
      </c>
      <c r="I300" s="274">
        <f t="shared" ref="I300:I310" si="38">G300-H300</f>
        <v>0.13750000000000018</v>
      </c>
      <c r="J300" s="273">
        <f t="shared" si="36"/>
        <v>7.1399999999999825E-2</v>
      </c>
      <c r="K300" s="275">
        <f t="shared" si="37"/>
        <v>34.179033030157882</v>
      </c>
      <c r="L300">
        <v>38</v>
      </c>
      <c r="M300">
        <v>23.101800000000001</v>
      </c>
      <c r="N300" s="16">
        <v>43397</v>
      </c>
      <c r="R300" s="275"/>
    </row>
    <row r="301" spans="1:18">
      <c r="A301" t="s">
        <v>1279</v>
      </c>
      <c r="B301">
        <v>214</v>
      </c>
      <c r="D301">
        <v>0.48149999999999998</v>
      </c>
      <c r="E301">
        <v>11.160600000000001</v>
      </c>
      <c r="F301">
        <v>0.2082</v>
      </c>
      <c r="G301" s="274">
        <f t="shared" si="34"/>
        <v>11.3688</v>
      </c>
      <c r="H301" s="274">
        <v>11.188700000000001</v>
      </c>
      <c r="I301" s="274">
        <f t="shared" si="38"/>
        <v>0.18009999999999948</v>
      </c>
      <c r="J301" s="273">
        <f t="shared" si="36"/>
        <v>2.8100000000000513E-2</v>
      </c>
      <c r="K301" s="275">
        <f t="shared" si="37"/>
        <v>13.496637848223109</v>
      </c>
      <c r="L301">
        <v>31</v>
      </c>
      <c r="M301" s="16">
        <v>43395</v>
      </c>
      <c r="N301" s="16">
        <v>43396</v>
      </c>
      <c r="R301" s="275"/>
    </row>
    <row r="302" spans="1:18">
      <c r="A302" t="s">
        <v>1274</v>
      </c>
      <c r="C302" t="s">
        <v>3017</v>
      </c>
      <c r="D302">
        <v>1.6464000000000001</v>
      </c>
      <c r="E302">
        <v>9.7222000000000008</v>
      </c>
      <c r="F302">
        <v>0.20930000000000001</v>
      </c>
      <c r="G302" s="274">
        <f t="shared" si="34"/>
        <v>9.9315000000000015</v>
      </c>
      <c r="H302" s="274">
        <v>9.7346000000000004</v>
      </c>
      <c r="I302" s="274">
        <f t="shared" si="38"/>
        <v>0.19690000000000119</v>
      </c>
      <c r="J302" s="273">
        <f t="shared" si="36"/>
        <v>1.2399999999998829E-2</v>
      </c>
      <c r="K302" s="275">
        <f t="shared" si="37"/>
        <v>5.924510272335799</v>
      </c>
      <c r="L302">
        <v>16</v>
      </c>
      <c r="M302" s="276">
        <v>43363</v>
      </c>
      <c r="N302" s="276">
        <v>43364</v>
      </c>
      <c r="O302" s="273"/>
      <c r="R302" s="275"/>
    </row>
    <row r="303" spans="1:18">
      <c r="A303" t="s">
        <v>1972</v>
      </c>
      <c r="C303" t="s">
        <v>2710</v>
      </c>
      <c r="D303">
        <v>0.67779999999999996</v>
      </c>
      <c r="E303">
        <v>8.1698000000000004</v>
      </c>
      <c r="F303">
        <v>0.2082</v>
      </c>
      <c r="G303" s="274">
        <f t="shared" si="34"/>
        <v>8.3780000000000001</v>
      </c>
      <c r="H303" s="274">
        <v>8.2352000000000007</v>
      </c>
      <c r="I303" s="274">
        <f t="shared" si="38"/>
        <v>0.14279999999999937</v>
      </c>
      <c r="J303" s="273">
        <f t="shared" si="36"/>
        <v>6.5400000000000624E-2</v>
      </c>
      <c r="K303" s="275">
        <f t="shared" si="37"/>
        <v>31.412103746397996</v>
      </c>
      <c r="L303">
        <v>19</v>
      </c>
      <c r="M303" s="16">
        <v>43388</v>
      </c>
      <c r="N303" s="276">
        <v>43389</v>
      </c>
      <c r="O303" s="16"/>
      <c r="R303" s="275"/>
    </row>
    <row r="304" spans="1:18">
      <c r="A304" t="s">
        <v>1270</v>
      </c>
      <c r="B304">
        <v>198</v>
      </c>
      <c r="D304">
        <v>0.52429999999999999</v>
      </c>
      <c r="E304">
        <v>9.7272999999999996</v>
      </c>
      <c r="F304">
        <v>0.20680000000000001</v>
      </c>
      <c r="G304" s="274">
        <f t="shared" si="34"/>
        <v>9.934099999999999</v>
      </c>
      <c r="H304" s="274">
        <v>9.7561999999999998</v>
      </c>
      <c r="I304" s="274">
        <f t="shared" si="38"/>
        <v>0.17789999999999928</v>
      </c>
      <c r="J304" s="273">
        <f t="shared" si="36"/>
        <v>2.8900000000000731E-2</v>
      </c>
      <c r="K304" s="275">
        <f t="shared" si="37"/>
        <v>13.974854932302094</v>
      </c>
      <c r="L304">
        <v>3</v>
      </c>
      <c r="M304" s="16">
        <v>43395</v>
      </c>
      <c r="N304" s="16">
        <v>43396</v>
      </c>
      <c r="R304" s="275"/>
    </row>
    <row r="305" spans="1:18">
      <c r="A305" t="s">
        <v>1971</v>
      </c>
      <c r="C305" t="s">
        <v>3027</v>
      </c>
      <c r="D305">
        <v>1.6848000000000001</v>
      </c>
      <c r="E305">
        <v>8.7614000000000001</v>
      </c>
      <c r="F305">
        <v>0.21560000000000001</v>
      </c>
      <c r="G305" s="278">
        <f t="shared" si="34"/>
        <v>8.9770000000000003</v>
      </c>
      <c r="H305" s="274">
        <v>8.7753999999999994</v>
      </c>
      <c r="I305" s="278">
        <f t="shared" si="38"/>
        <v>0.20160000000000089</v>
      </c>
      <c r="J305" s="273">
        <f t="shared" si="36"/>
        <v>1.3999999999999124E-2</v>
      </c>
      <c r="K305" s="275">
        <f t="shared" si="37"/>
        <v>6.4935064935060867</v>
      </c>
      <c r="L305">
        <v>22</v>
      </c>
      <c r="M305" s="276">
        <v>43379</v>
      </c>
      <c r="N305" s="276">
        <v>43379</v>
      </c>
      <c r="R305" s="275"/>
    </row>
    <row r="306" spans="1:18">
      <c r="A306" t="s">
        <v>1258</v>
      </c>
      <c r="C306" t="s">
        <v>2742</v>
      </c>
      <c r="D306">
        <v>0.70409999999999995</v>
      </c>
      <c r="E306">
        <v>19.729600000000001</v>
      </c>
      <c r="F306">
        <v>0.2208</v>
      </c>
      <c r="G306" s="274">
        <f t="shared" si="34"/>
        <v>19.950400000000002</v>
      </c>
      <c r="H306" s="274">
        <v>19.764700000000001</v>
      </c>
      <c r="I306" s="274">
        <f t="shared" si="38"/>
        <v>0.18570000000000064</v>
      </c>
      <c r="J306" s="273">
        <f t="shared" si="36"/>
        <v>3.5099999999999354E-2</v>
      </c>
      <c r="K306" s="275">
        <f t="shared" si="37"/>
        <v>15.89673913043449</v>
      </c>
      <c r="L306">
        <v>7</v>
      </c>
      <c r="M306" s="276">
        <v>43362</v>
      </c>
      <c r="N306" s="276">
        <v>43363</v>
      </c>
      <c r="O306" s="273"/>
      <c r="R306" s="275"/>
    </row>
    <row r="307" spans="1:18">
      <c r="A307" t="s">
        <v>2042</v>
      </c>
      <c r="C307" t="s">
        <v>3016</v>
      </c>
      <c r="D307">
        <v>1.2962</v>
      </c>
      <c r="E307">
        <v>20.968900000000001</v>
      </c>
      <c r="F307">
        <v>0.2253</v>
      </c>
      <c r="G307" s="274">
        <f t="shared" si="34"/>
        <v>21.194200000000002</v>
      </c>
      <c r="H307" s="274">
        <v>20.988700000000001</v>
      </c>
      <c r="I307" s="274">
        <f t="shared" si="38"/>
        <v>0.20550000000000068</v>
      </c>
      <c r="J307" s="273">
        <f t="shared" si="36"/>
        <v>1.9799999999999318E-2</v>
      </c>
      <c r="K307" s="275">
        <f t="shared" si="37"/>
        <v>8.7882822902793247</v>
      </c>
      <c r="L307">
        <v>39</v>
      </c>
      <c r="M307" s="276">
        <v>43361</v>
      </c>
      <c r="N307" s="276">
        <v>43362</v>
      </c>
      <c r="O307" s="273" t="s">
        <v>3008</v>
      </c>
      <c r="R307" s="275"/>
    </row>
    <row r="308" spans="1:18">
      <c r="A308" t="s">
        <v>1970</v>
      </c>
      <c r="C308" t="s">
        <v>2708</v>
      </c>
      <c r="D308">
        <v>0.53410000000000002</v>
      </c>
      <c r="E308">
        <v>10.5413</v>
      </c>
      <c r="F308">
        <v>0.21290000000000001</v>
      </c>
      <c r="G308" s="278">
        <f t="shared" si="34"/>
        <v>10.754199999999999</v>
      </c>
      <c r="H308" s="274">
        <v>10.5839</v>
      </c>
      <c r="I308" s="278">
        <f t="shared" si="38"/>
        <v>0.17029999999999923</v>
      </c>
      <c r="J308" s="273">
        <f t="shared" si="36"/>
        <v>4.2600000000000776E-2</v>
      </c>
      <c r="K308" s="275">
        <f t="shared" si="37"/>
        <v>20.009394081728875</v>
      </c>
      <c r="L308">
        <v>26</v>
      </c>
      <c r="M308" s="276">
        <v>43379</v>
      </c>
      <c r="N308" s="276">
        <v>43379</v>
      </c>
      <c r="R308" s="275"/>
    </row>
    <row r="309" spans="1:18">
      <c r="A309" t="s">
        <v>1227</v>
      </c>
      <c r="C309" t="s">
        <v>3011</v>
      </c>
      <c r="D309">
        <v>1.7028000000000001</v>
      </c>
      <c r="E309">
        <v>10.4156</v>
      </c>
      <c r="F309">
        <v>0.2253</v>
      </c>
      <c r="G309" s="274">
        <f t="shared" si="34"/>
        <v>10.6409</v>
      </c>
      <c r="H309" s="274">
        <v>10.4307</v>
      </c>
      <c r="I309" s="274">
        <f t="shared" si="38"/>
        <v>0.21020000000000039</v>
      </c>
      <c r="J309" s="273">
        <f t="shared" si="36"/>
        <v>1.5099999999999614E-2</v>
      </c>
      <c r="K309" s="275">
        <f t="shared" si="37"/>
        <v>6.7021748779403518</v>
      </c>
      <c r="L309">
        <v>18</v>
      </c>
      <c r="M309" s="276">
        <v>43361</v>
      </c>
      <c r="N309" s="276">
        <v>43362</v>
      </c>
      <c r="O309" s="273" t="s">
        <v>3008</v>
      </c>
      <c r="R309" s="275"/>
    </row>
    <row r="310" spans="1:18">
      <c r="A310" t="s">
        <v>1967</v>
      </c>
      <c r="C310" t="s">
        <v>3040</v>
      </c>
      <c r="D310">
        <v>0.64949999999999997</v>
      </c>
      <c r="E310">
        <v>11.0328</v>
      </c>
      <c r="F310">
        <v>0.22869999999999999</v>
      </c>
      <c r="G310" s="274">
        <f t="shared" si="34"/>
        <v>11.2615</v>
      </c>
      <c r="H310" s="274">
        <v>11.105600000000001</v>
      </c>
      <c r="I310" s="274">
        <f t="shared" si="38"/>
        <v>0.15589999999999904</v>
      </c>
      <c r="J310" s="273">
        <f t="shared" si="36"/>
        <v>7.2800000000000947E-2</v>
      </c>
      <c r="K310" s="275">
        <f t="shared" si="37"/>
        <v>31.832094446874049</v>
      </c>
      <c r="L310">
        <v>30</v>
      </c>
      <c r="M310" s="276">
        <v>43363</v>
      </c>
      <c r="N310" s="276">
        <v>43364</v>
      </c>
      <c r="R310" s="275"/>
    </row>
    <row r="311" spans="1:18">
      <c r="A311" t="s">
        <v>1966</v>
      </c>
      <c r="C311" t="s">
        <v>2944</v>
      </c>
      <c r="D311">
        <v>1.8103</v>
      </c>
      <c r="E311">
        <v>7.8392999999999997</v>
      </c>
      <c r="F311">
        <v>0.2031</v>
      </c>
      <c r="G311" s="274">
        <f t="shared" si="34"/>
        <v>8.0423999999999989</v>
      </c>
      <c r="H311" s="274">
        <v>7.85</v>
      </c>
      <c r="I311" s="274">
        <f>(G311-H311)</f>
        <v>0.19239999999999924</v>
      </c>
      <c r="J311" s="273">
        <f t="shared" si="36"/>
        <v>1.0700000000000764E-2</v>
      </c>
      <c r="K311" s="275">
        <f t="shared" si="37"/>
        <v>5.2683407188580818</v>
      </c>
      <c r="L311">
        <v>8</v>
      </c>
      <c r="M311" s="276">
        <v>43355.625</v>
      </c>
      <c r="N311" s="276">
        <v>43355.791666666664</v>
      </c>
      <c r="O311" s="273" t="s">
        <v>2938</v>
      </c>
      <c r="R311" s="275"/>
    </row>
    <row r="312" spans="1:18">
      <c r="A312" t="s">
        <v>1206</v>
      </c>
      <c r="C312" t="s">
        <v>2946</v>
      </c>
      <c r="D312">
        <v>1.6153999999999999</v>
      </c>
      <c r="E312">
        <v>10.3123</v>
      </c>
      <c r="F312">
        <v>0.2011</v>
      </c>
      <c r="G312" s="274">
        <f t="shared" si="34"/>
        <v>10.513400000000001</v>
      </c>
      <c r="H312" s="274">
        <v>10.3248</v>
      </c>
      <c r="I312" s="274">
        <f>(G312-H312)</f>
        <v>0.18860000000000099</v>
      </c>
      <c r="J312" s="273">
        <f t="shared" si="36"/>
        <v>1.2499999999999012E-2</v>
      </c>
      <c r="K312" s="275">
        <f t="shared" si="37"/>
        <v>6.2158130283436162</v>
      </c>
      <c r="L312">
        <v>15</v>
      </c>
      <c r="M312" s="16">
        <v>43358</v>
      </c>
      <c r="N312" s="16">
        <v>43358</v>
      </c>
      <c r="R312" s="275"/>
    </row>
    <row r="313" spans="1:18">
      <c r="A313" t="s">
        <v>1202</v>
      </c>
      <c r="C313" t="s">
        <v>3010</v>
      </c>
      <c r="D313">
        <v>1.6625000000000001</v>
      </c>
      <c r="E313">
        <v>10.4177</v>
      </c>
      <c r="F313">
        <v>0.22470000000000001</v>
      </c>
      <c r="G313" s="274">
        <f t="shared" si="34"/>
        <v>10.6424</v>
      </c>
      <c r="H313" s="274">
        <v>10.4306</v>
      </c>
      <c r="I313" s="274">
        <f>G313-H313</f>
        <v>0.21180000000000021</v>
      </c>
      <c r="J313" s="273">
        <f t="shared" si="36"/>
        <v>1.2899999999999801E-2</v>
      </c>
      <c r="K313" s="275">
        <f t="shared" si="37"/>
        <v>5.7409879839785489</v>
      </c>
      <c r="L313">
        <v>4</v>
      </c>
      <c r="M313" s="276">
        <v>43374</v>
      </c>
      <c r="N313" s="276">
        <v>43375</v>
      </c>
      <c r="O313" s="273" t="s">
        <v>3008</v>
      </c>
      <c r="R313" s="275"/>
    </row>
    <row r="314" spans="1:18">
      <c r="A314" t="s">
        <v>1965</v>
      </c>
      <c r="C314" t="s">
        <v>2700</v>
      </c>
      <c r="D314">
        <v>0.63660000000000005</v>
      </c>
      <c r="E314">
        <v>8.1193000000000008</v>
      </c>
      <c r="F314">
        <v>0.20280000000000001</v>
      </c>
      <c r="G314">
        <f t="shared" si="34"/>
        <v>8.3221000000000007</v>
      </c>
      <c r="H314">
        <v>8.1708999999999996</v>
      </c>
      <c r="I314" s="274">
        <f>G314-H314</f>
        <v>0.15120000000000111</v>
      </c>
      <c r="J314" s="273">
        <f t="shared" si="36"/>
        <v>5.1599999999998897E-2</v>
      </c>
      <c r="K314" s="275">
        <f t="shared" si="37"/>
        <v>25.443786982247975</v>
      </c>
      <c r="L314">
        <v>23</v>
      </c>
      <c r="M314" s="16">
        <v>43399</v>
      </c>
      <c r="N314" s="16">
        <v>43400</v>
      </c>
      <c r="R314" s="275"/>
    </row>
    <row r="315" spans="1:18">
      <c r="A315" t="s">
        <v>1199</v>
      </c>
      <c r="C315" t="s">
        <v>2968</v>
      </c>
      <c r="D315">
        <v>1.6746000000000001</v>
      </c>
      <c r="E315">
        <v>7.7142999999999997</v>
      </c>
      <c r="F315">
        <v>0.20319999999999999</v>
      </c>
      <c r="G315" s="274">
        <f t="shared" si="34"/>
        <v>7.9174999999999995</v>
      </c>
      <c r="H315" s="274">
        <v>7.7271999999999998</v>
      </c>
      <c r="I315" s="274">
        <f>(G315-H315)</f>
        <v>0.19029999999999969</v>
      </c>
      <c r="J315" s="273">
        <f t="shared" si="36"/>
        <v>1.29000000000003E-2</v>
      </c>
      <c r="K315" s="275">
        <f t="shared" si="37"/>
        <v>6.3484251968505419</v>
      </c>
      <c r="L315">
        <v>13</v>
      </c>
      <c r="M315" s="276">
        <v>43360</v>
      </c>
      <c r="N315" s="276">
        <v>43361</v>
      </c>
      <c r="O315" s="273"/>
      <c r="R315" s="275"/>
    </row>
    <row r="316" spans="1:18">
      <c r="A316" t="s">
        <v>1196</v>
      </c>
      <c r="C316" t="s">
        <v>3002</v>
      </c>
      <c r="D316">
        <v>1.708</v>
      </c>
      <c r="E316">
        <v>9.2190999999999992</v>
      </c>
      <c r="F316">
        <v>0.2056</v>
      </c>
      <c r="G316" s="274">
        <f t="shared" si="34"/>
        <v>9.4246999999999996</v>
      </c>
      <c r="H316" s="274">
        <v>9.2330000000000005</v>
      </c>
      <c r="I316" s="274">
        <f>G316-H316</f>
        <v>0.19169999999999909</v>
      </c>
      <c r="J316" s="273">
        <f t="shared" si="36"/>
        <v>1.3900000000000912E-2</v>
      </c>
      <c r="K316" s="275">
        <f t="shared" si="37"/>
        <v>6.7607003891055024</v>
      </c>
      <c r="L316">
        <v>17</v>
      </c>
      <c r="M316" s="276">
        <v>43361</v>
      </c>
      <c r="N316" s="276">
        <v>43362</v>
      </c>
      <c r="O316" s="273" t="s">
        <v>3008</v>
      </c>
      <c r="R316" s="275"/>
    </row>
    <row r="317" spans="1:18">
      <c r="A317" t="s">
        <v>1195</v>
      </c>
      <c r="C317" t="s">
        <v>2942</v>
      </c>
      <c r="D317">
        <v>1.6116999999999999</v>
      </c>
      <c r="E317">
        <v>7.4741999999999997</v>
      </c>
      <c r="F317">
        <v>0.20230000000000001</v>
      </c>
      <c r="G317" s="274">
        <f t="shared" si="34"/>
        <v>7.6764999999999999</v>
      </c>
      <c r="H317" s="274">
        <v>7.4863999999999997</v>
      </c>
      <c r="I317" s="274">
        <f>(G317-H317)</f>
        <v>0.19010000000000016</v>
      </c>
      <c r="J317" s="273">
        <f t="shared" si="36"/>
        <v>1.219999999999985E-2</v>
      </c>
      <c r="K317" s="275">
        <f t="shared" si="37"/>
        <v>6.0306475531388282</v>
      </c>
      <c r="L317">
        <v>35</v>
      </c>
      <c r="M317" s="16">
        <v>43358</v>
      </c>
      <c r="N317" s="16">
        <v>43358</v>
      </c>
      <c r="R317" s="275"/>
    </row>
    <row r="318" spans="1:18">
      <c r="A318" t="s">
        <v>1964</v>
      </c>
      <c r="C318" t="s">
        <v>3006</v>
      </c>
      <c r="D318">
        <v>1.6781999999999999</v>
      </c>
      <c r="E318">
        <v>10.7409</v>
      </c>
      <c r="F318">
        <v>0.224</v>
      </c>
      <c r="G318" s="274">
        <f t="shared" si="34"/>
        <v>10.9649</v>
      </c>
      <c r="H318" s="274">
        <v>10.7546</v>
      </c>
      <c r="I318" s="274">
        <f>(G318-H318)</f>
        <v>0.21030000000000015</v>
      </c>
      <c r="J318" s="273">
        <f t="shared" si="36"/>
        <v>1.3699999999999851E-2</v>
      </c>
      <c r="K318" s="275">
        <f t="shared" si="37"/>
        <v>6.1160714285713613</v>
      </c>
      <c r="L318">
        <v>40</v>
      </c>
      <c r="M318" s="276">
        <v>43360</v>
      </c>
      <c r="N318" s="276">
        <v>43361</v>
      </c>
      <c r="O318" s="273" t="s">
        <v>2985</v>
      </c>
      <c r="R318" s="275"/>
    </row>
    <row r="319" spans="1:18">
      <c r="A319" t="s">
        <v>1188</v>
      </c>
      <c r="C319" t="s">
        <v>2951</v>
      </c>
      <c r="D319">
        <v>1.6603000000000001</v>
      </c>
      <c r="E319">
        <v>11.153700000000001</v>
      </c>
      <c r="F319">
        <v>0.20430000000000001</v>
      </c>
      <c r="G319" s="274">
        <f t="shared" si="34"/>
        <v>11.358000000000001</v>
      </c>
      <c r="H319" s="274">
        <v>11.166</v>
      </c>
      <c r="I319" s="274">
        <f>(G319-H319)</f>
        <v>0.19200000000000017</v>
      </c>
      <c r="J319" s="273">
        <f t="shared" si="36"/>
        <v>1.2299999999999839E-2</v>
      </c>
      <c r="K319" s="275">
        <f t="shared" si="37"/>
        <v>6.0205580029367782</v>
      </c>
      <c r="L319">
        <v>12</v>
      </c>
      <c r="M319" s="16">
        <v>43358</v>
      </c>
      <c r="N319" s="16">
        <v>43358</v>
      </c>
      <c r="R319" s="275"/>
    </row>
    <row r="320" spans="1:18">
      <c r="A320" t="s">
        <v>1184</v>
      </c>
      <c r="C320" t="s">
        <v>2940</v>
      </c>
      <c r="D320">
        <v>1.7005999999999999</v>
      </c>
      <c r="E320">
        <v>9.7212999999999994</v>
      </c>
      <c r="F320">
        <v>0.2041</v>
      </c>
      <c r="G320" s="274">
        <f t="shared" si="34"/>
        <v>9.9253999999999998</v>
      </c>
      <c r="H320" s="274">
        <v>9.7326999999999995</v>
      </c>
      <c r="I320" s="274">
        <f>(G320-H320)</f>
        <v>0.19270000000000032</v>
      </c>
      <c r="J320" s="273">
        <f t="shared" si="36"/>
        <v>1.1399999999999688E-2</v>
      </c>
      <c r="K320" s="275">
        <f t="shared" si="37"/>
        <v>5.5854973052423755</v>
      </c>
      <c r="L320">
        <v>18</v>
      </c>
      <c r="M320" s="16">
        <v>43358</v>
      </c>
      <c r="N320" s="16">
        <v>43358</v>
      </c>
      <c r="R320" s="275"/>
    </row>
    <row r="321" spans="1:18">
      <c r="A321" t="s">
        <v>1182</v>
      </c>
      <c r="C321" t="s">
        <v>2712</v>
      </c>
      <c r="D321">
        <v>0.54469999999999996</v>
      </c>
      <c r="E321">
        <v>9.7744999999999997</v>
      </c>
      <c r="F321">
        <v>0.20499999999999999</v>
      </c>
      <c r="G321" s="274">
        <f t="shared" si="34"/>
        <v>9.9794999999999998</v>
      </c>
      <c r="H321" s="274">
        <v>9.8183000000000007</v>
      </c>
      <c r="I321" s="274">
        <f>G321-H321</f>
        <v>0.16119999999999912</v>
      </c>
      <c r="J321" s="273">
        <f t="shared" si="36"/>
        <v>4.3800000000000866E-2</v>
      </c>
      <c r="K321" s="275">
        <f t="shared" si="37"/>
        <v>21.365853658537009</v>
      </c>
      <c r="L321">
        <v>17</v>
      </c>
      <c r="M321" s="16">
        <v>43388</v>
      </c>
      <c r="N321" s="276">
        <v>43389</v>
      </c>
      <c r="O321" s="16"/>
      <c r="R321" s="275"/>
    </row>
    <row r="322" spans="1:18">
      <c r="A322" t="s">
        <v>1180</v>
      </c>
      <c r="C322" t="s">
        <v>2760</v>
      </c>
      <c r="D322">
        <v>0.54679999999999995</v>
      </c>
      <c r="E322">
        <v>11.089499999999999</v>
      </c>
      <c r="F322">
        <v>0.20319999999999999</v>
      </c>
      <c r="G322" s="274">
        <f t="shared" si="34"/>
        <v>11.2927</v>
      </c>
      <c r="H322" s="274">
        <v>11.125</v>
      </c>
      <c r="I322" s="274">
        <f>G322-H322</f>
        <v>0.16769999999999996</v>
      </c>
      <c r="J322" s="273">
        <f t="shared" si="36"/>
        <v>3.5500000000000032E-2</v>
      </c>
      <c r="K322" s="275">
        <f t="shared" si="37"/>
        <v>17.470472440944899</v>
      </c>
      <c r="L322">
        <v>19</v>
      </c>
      <c r="M322" s="276">
        <v>43363</v>
      </c>
      <c r="N322" s="276">
        <v>43364</v>
      </c>
      <c r="R322" s="275"/>
    </row>
    <row r="323" spans="1:18">
      <c r="A323" t="s">
        <v>1178</v>
      </c>
      <c r="C323" t="s">
        <v>2983</v>
      </c>
      <c r="D323">
        <v>1.6744000000000001</v>
      </c>
      <c r="E323">
        <v>8.7622</v>
      </c>
      <c r="F323">
        <v>0.23330000000000001</v>
      </c>
      <c r="G323" s="274">
        <f t="shared" si="34"/>
        <v>8.9954999999999998</v>
      </c>
      <c r="H323" s="274">
        <v>8.7754999999999992</v>
      </c>
      <c r="I323" s="274">
        <f>G323-H323</f>
        <v>0.22000000000000064</v>
      </c>
      <c r="J323" s="273">
        <f t="shared" si="36"/>
        <v>1.3299999999999368E-2</v>
      </c>
      <c r="K323" s="275">
        <f t="shared" si="37"/>
        <v>5.7008144020571656</v>
      </c>
      <c r="L323">
        <v>24</v>
      </c>
      <c r="M323" s="16">
        <v>43395</v>
      </c>
      <c r="N323" s="16">
        <v>43396</v>
      </c>
      <c r="R323" s="275"/>
    </row>
    <row r="324" spans="1:18">
      <c r="A324" t="s">
        <v>1177</v>
      </c>
      <c r="C324" t="s">
        <v>2972</v>
      </c>
      <c r="D324">
        <v>0.50749999999999995</v>
      </c>
      <c r="E324">
        <v>10.617800000000001</v>
      </c>
      <c r="F324">
        <v>0.21629999999999999</v>
      </c>
      <c r="G324" s="274">
        <f t="shared" si="34"/>
        <v>10.834100000000001</v>
      </c>
      <c r="H324" s="274">
        <v>10.649900000000001</v>
      </c>
      <c r="I324" s="274">
        <f>(G324-H324)</f>
        <v>0.18420000000000059</v>
      </c>
      <c r="J324" s="273">
        <f t="shared" si="36"/>
        <v>3.2099999999999407E-2</v>
      </c>
      <c r="K324" s="275">
        <f t="shared" si="37"/>
        <v>14.840499306518451</v>
      </c>
      <c r="L324">
        <v>20</v>
      </c>
      <c r="M324" s="276">
        <v>43360</v>
      </c>
      <c r="N324" s="276">
        <v>43361</v>
      </c>
      <c r="R324" s="275"/>
    </row>
    <row r="325" spans="1:18">
      <c r="A325" t="s">
        <v>1176</v>
      </c>
      <c r="C325" t="s">
        <v>3031</v>
      </c>
      <c r="D325">
        <v>1.1621999999999999</v>
      </c>
      <c r="E325">
        <v>8.0650999999999993</v>
      </c>
      <c r="F325">
        <v>0.21479999999999999</v>
      </c>
      <c r="G325" s="274">
        <f t="shared" si="34"/>
        <v>8.2798999999999996</v>
      </c>
      <c r="H325" s="274">
        <v>8.0850000000000009</v>
      </c>
      <c r="I325" s="274">
        <f t="shared" ref="I325:I333" si="39">G325-H325</f>
        <v>0.19489999999999874</v>
      </c>
      <c r="J325" s="273">
        <f t="shared" si="36"/>
        <v>1.990000000000125E-2</v>
      </c>
      <c r="K325" s="275">
        <f t="shared" si="37"/>
        <v>9.2644320297957403</v>
      </c>
      <c r="L325">
        <v>14</v>
      </c>
      <c r="M325" s="276">
        <v>43363</v>
      </c>
      <c r="N325" s="276">
        <v>43364</v>
      </c>
      <c r="O325" s="273" t="s">
        <v>3033</v>
      </c>
      <c r="R325" s="275"/>
    </row>
    <row r="326" spans="1:18">
      <c r="A326" t="s">
        <v>1171</v>
      </c>
      <c r="C326" t="s">
        <v>3054</v>
      </c>
      <c r="D326">
        <v>1.7639</v>
      </c>
      <c r="E326">
        <v>8.1178000000000008</v>
      </c>
      <c r="F326">
        <v>0.21160000000000001</v>
      </c>
      <c r="G326" s="274">
        <f t="shared" si="34"/>
        <v>8.3294000000000015</v>
      </c>
      <c r="H326" s="274">
        <v>8.1304999999999996</v>
      </c>
      <c r="I326" s="274">
        <f t="shared" si="39"/>
        <v>0.19890000000000185</v>
      </c>
      <c r="J326" s="273">
        <f t="shared" si="36"/>
        <v>1.2699999999998157E-2</v>
      </c>
      <c r="K326" s="275">
        <f t="shared" si="37"/>
        <v>6.0018903591673709</v>
      </c>
      <c r="L326">
        <v>39</v>
      </c>
      <c r="M326">
        <v>23.101800000000001</v>
      </c>
      <c r="N326" s="16">
        <v>43397</v>
      </c>
      <c r="R326" s="275"/>
    </row>
    <row r="327" spans="1:18">
      <c r="A327" t="s">
        <v>1962</v>
      </c>
      <c r="C327" t="s">
        <v>2979</v>
      </c>
      <c r="D327">
        <v>1.7779</v>
      </c>
      <c r="E327">
        <v>8.7691999999999997</v>
      </c>
      <c r="F327">
        <v>0.21510000000000001</v>
      </c>
      <c r="G327" s="274">
        <f t="shared" si="34"/>
        <v>8.9842999999999993</v>
      </c>
      <c r="H327" s="274">
        <v>8.7835999999999999</v>
      </c>
      <c r="I327" s="274">
        <f t="shared" si="39"/>
        <v>0.20069999999999943</v>
      </c>
      <c r="J327" s="273">
        <f t="shared" si="36"/>
        <v>1.4400000000000579E-2</v>
      </c>
      <c r="K327" s="275">
        <f t="shared" si="37"/>
        <v>6.6945606694563358</v>
      </c>
      <c r="L327">
        <v>36</v>
      </c>
      <c r="M327" s="276">
        <v>43360</v>
      </c>
      <c r="N327" s="276">
        <v>43361</v>
      </c>
      <c r="R327" s="275"/>
    </row>
    <row r="328" spans="1:18">
      <c r="A328" t="s">
        <v>1960</v>
      </c>
      <c r="B328">
        <v>194</v>
      </c>
      <c r="D328">
        <v>0.54149999999999998</v>
      </c>
      <c r="E328">
        <v>10.521800000000001</v>
      </c>
      <c r="F328">
        <v>0.20230000000000001</v>
      </c>
      <c r="G328" s="274">
        <f t="shared" si="34"/>
        <v>10.7241</v>
      </c>
      <c r="H328" s="274">
        <v>10.5532</v>
      </c>
      <c r="I328" s="274">
        <f t="shared" si="39"/>
        <v>0.17089999999999961</v>
      </c>
      <c r="J328" s="273">
        <f t="shared" si="36"/>
        <v>3.14000000000004E-2</v>
      </c>
      <c r="K328" s="275">
        <f t="shared" si="37"/>
        <v>15.52150271873475</v>
      </c>
      <c r="L328">
        <v>9</v>
      </c>
      <c r="M328" s="16">
        <v>43395</v>
      </c>
      <c r="N328" s="16">
        <v>43396</v>
      </c>
      <c r="R328" s="275"/>
    </row>
    <row r="329" spans="1:18">
      <c r="A329" t="s">
        <v>1959</v>
      </c>
      <c r="C329" t="s">
        <v>3005</v>
      </c>
      <c r="D329">
        <v>1.7264999999999999</v>
      </c>
      <c r="E329">
        <v>7.8612000000000002</v>
      </c>
      <c r="F329">
        <v>0.21329999999999999</v>
      </c>
      <c r="G329" s="274">
        <f t="shared" si="34"/>
        <v>8.0745000000000005</v>
      </c>
      <c r="H329" s="274">
        <v>7.8733000000000004</v>
      </c>
      <c r="I329" s="274">
        <f t="shared" si="39"/>
        <v>0.20120000000000005</v>
      </c>
      <c r="J329" s="273">
        <f t="shared" si="36"/>
        <v>1.2099999999999944E-2</v>
      </c>
      <c r="K329" s="275">
        <f t="shared" si="37"/>
        <v>5.6727613689638741</v>
      </c>
      <c r="L329">
        <v>29</v>
      </c>
      <c r="M329" s="16">
        <v>43381</v>
      </c>
      <c r="N329" s="16">
        <v>43382</v>
      </c>
      <c r="R329" s="275"/>
    </row>
    <row r="330" spans="1:18">
      <c r="A330" t="s">
        <v>1958</v>
      </c>
      <c r="B330">
        <v>209</v>
      </c>
      <c r="C330" t="s">
        <v>2490</v>
      </c>
      <c r="D330">
        <v>0.57469999999999999</v>
      </c>
      <c r="E330">
        <v>10.567600000000001</v>
      </c>
      <c r="F330">
        <v>0.2059</v>
      </c>
      <c r="G330" s="274">
        <f t="shared" si="34"/>
        <v>10.7735</v>
      </c>
      <c r="H330" s="274">
        <v>10.603400000000001</v>
      </c>
      <c r="I330" s="274">
        <f t="shared" si="39"/>
        <v>0.1700999999999997</v>
      </c>
      <c r="J330" s="273">
        <f t="shared" si="36"/>
        <v>3.5800000000000304E-2</v>
      </c>
      <c r="K330" s="275">
        <f t="shared" si="37"/>
        <v>17.387081107333806</v>
      </c>
      <c r="L330">
        <v>12</v>
      </c>
      <c r="M330" s="16">
        <v>43399</v>
      </c>
      <c r="N330" s="16">
        <v>43400</v>
      </c>
      <c r="R330" s="275"/>
    </row>
    <row r="331" spans="1:18">
      <c r="A331" t="s">
        <v>1957</v>
      </c>
      <c r="B331">
        <v>210</v>
      </c>
      <c r="D331">
        <v>0.63739999999999997</v>
      </c>
      <c r="E331">
        <v>10.117599999999999</v>
      </c>
      <c r="F331">
        <v>0.217</v>
      </c>
      <c r="G331" s="274">
        <f t="shared" si="34"/>
        <v>10.3346</v>
      </c>
      <c r="H331" s="274">
        <v>10.147600000000001</v>
      </c>
      <c r="I331" s="274">
        <f t="shared" si="39"/>
        <v>0.18699999999999939</v>
      </c>
      <c r="J331" s="273">
        <f t="shared" si="36"/>
        <v>3.000000000000061E-2</v>
      </c>
      <c r="K331" s="275">
        <f t="shared" si="37"/>
        <v>13.82488479262701</v>
      </c>
      <c r="L331">
        <v>7</v>
      </c>
      <c r="M331" s="16">
        <v>43395</v>
      </c>
      <c r="N331" s="16">
        <v>43396</v>
      </c>
      <c r="R331" s="275"/>
    </row>
    <row r="332" spans="1:18">
      <c r="A332" t="s">
        <v>1956</v>
      </c>
      <c r="B332">
        <v>209</v>
      </c>
      <c r="C332" t="s">
        <v>2490</v>
      </c>
      <c r="D332">
        <v>0.58240000000000003</v>
      </c>
      <c r="E332">
        <v>11.8644</v>
      </c>
      <c r="F332">
        <v>0.2021</v>
      </c>
      <c r="G332">
        <f t="shared" si="34"/>
        <v>12.0665</v>
      </c>
      <c r="H332">
        <v>11.903700000000001</v>
      </c>
      <c r="I332" s="274">
        <f t="shared" si="39"/>
        <v>0.16279999999999895</v>
      </c>
      <c r="J332" s="273">
        <f t="shared" si="36"/>
        <v>3.9300000000001056E-2</v>
      </c>
      <c r="K332" s="275">
        <f t="shared" si="37"/>
        <v>19.445818901534416</v>
      </c>
      <c r="L332">
        <v>7</v>
      </c>
      <c r="M332" s="16">
        <v>43402</v>
      </c>
      <c r="N332" s="16">
        <v>43403</v>
      </c>
      <c r="R332" s="275"/>
    </row>
    <row r="333" spans="1:18">
      <c r="A333" t="s">
        <v>1955</v>
      </c>
      <c r="B333">
        <v>216</v>
      </c>
      <c r="D333">
        <v>0.63270000000000004</v>
      </c>
      <c r="E333">
        <v>8.1205999999999996</v>
      </c>
      <c r="F333">
        <v>0.23319999999999999</v>
      </c>
      <c r="G333" s="274">
        <f t="shared" si="34"/>
        <v>8.3537999999999997</v>
      </c>
      <c r="H333" s="274">
        <v>8.1773000000000007</v>
      </c>
      <c r="I333" s="274">
        <f t="shared" si="39"/>
        <v>0.17649999999999899</v>
      </c>
      <c r="J333" s="273">
        <f t="shared" si="36"/>
        <v>5.6700000000001E-2</v>
      </c>
      <c r="K333" s="275">
        <f t="shared" si="37"/>
        <v>24.313893653516725</v>
      </c>
      <c r="L333">
        <v>34</v>
      </c>
      <c r="M333" s="16">
        <v>43395</v>
      </c>
      <c r="N333" s="16">
        <v>43396</v>
      </c>
      <c r="R333" s="275"/>
    </row>
    <row r="334" spans="1:18">
      <c r="A334" t="s">
        <v>1954</v>
      </c>
      <c r="C334" t="s">
        <v>2998</v>
      </c>
      <c r="D334">
        <f>0.3786+0.2037</f>
        <v>0.58230000000000004</v>
      </c>
      <c r="E334">
        <v>7.5293999999999999</v>
      </c>
      <c r="F334">
        <v>0.20369999999999999</v>
      </c>
      <c r="G334" s="274">
        <f t="shared" si="34"/>
        <v>7.7331000000000003</v>
      </c>
      <c r="H334" s="274">
        <v>7.5602</v>
      </c>
      <c r="I334" s="274">
        <f>(G334-H334)</f>
        <v>0.17290000000000028</v>
      </c>
      <c r="J334" s="273">
        <f t="shared" si="36"/>
        <v>3.0799999999999716E-2</v>
      </c>
      <c r="K334" s="275">
        <f t="shared" si="37"/>
        <v>15.120274914089208</v>
      </c>
      <c r="L334">
        <v>28</v>
      </c>
      <c r="M334" s="276">
        <v>43360</v>
      </c>
      <c r="N334" s="276">
        <v>43361</v>
      </c>
      <c r="O334" s="273" t="s">
        <v>2985</v>
      </c>
      <c r="R334" s="275"/>
    </row>
    <row r="335" spans="1:18">
      <c r="A335" t="s">
        <v>1953</v>
      </c>
      <c r="C335" t="s">
        <v>2948</v>
      </c>
      <c r="D335">
        <v>1.6101000000000001</v>
      </c>
      <c r="E335">
        <v>8.7728999999999999</v>
      </c>
      <c r="F335">
        <v>0.2054</v>
      </c>
      <c r="G335" s="274">
        <f t="shared" si="34"/>
        <v>8.9782999999999991</v>
      </c>
      <c r="H335" s="274">
        <v>8.7844999999999995</v>
      </c>
      <c r="I335" s="274">
        <f>(G335-H335)</f>
        <v>0.19379999999999953</v>
      </c>
      <c r="J335" s="273">
        <f t="shared" si="36"/>
        <v>1.1600000000000471E-2</v>
      </c>
      <c r="K335" s="275">
        <f t="shared" si="37"/>
        <v>5.6475170399223327</v>
      </c>
      <c r="L335">
        <v>16</v>
      </c>
      <c r="M335" s="276">
        <v>43355.625</v>
      </c>
      <c r="N335" s="276">
        <v>43355.791666666664</v>
      </c>
      <c r="O335" s="273" t="s">
        <v>2938</v>
      </c>
      <c r="R335" s="275"/>
    </row>
    <row r="336" spans="1:18">
      <c r="A336" t="s">
        <v>1951</v>
      </c>
      <c r="C336" t="s">
        <v>2983</v>
      </c>
      <c r="D336">
        <v>1.7537</v>
      </c>
      <c r="E336">
        <v>9.3231999999999999</v>
      </c>
      <c r="F336">
        <v>0.2157</v>
      </c>
      <c r="G336" s="274">
        <f t="shared" si="34"/>
        <v>9.5388999999999999</v>
      </c>
      <c r="H336" s="274">
        <v>9.3364999999999991</v>
      </c>
      <c r="I336" s="274">
        <f t="shared" ref="I336:I348" si="40">G336-H336</f>
        <v>0.2024000000000008</v>
      </c>
      <c r="J336" s="273">
        <f t="shared" si="36"/>
        <v>1.3299999999999201E-2</v>
      </c>
      <c r="K336" s="275">
        <f t="shared" si="37"/>
        <v>6.1659712563742239</v>
      </c>
      <c r="L336">
        <v>6</v>
      </c>
      <c r="M336" s="16">
        <v>43399</v>
      </c>
      <c r="N336" s="16">
        <v>43400</v>
      </c>
      <c r="R336" s="275"/>
    </row>
    <row r="337" spans="1:18">
      <c r="A337" t="s">
        <v>1035</v>
      </c>
      <c r="C337" t="s">
        <v>2983</v>
      </c>
      <c r="D337">
        <v>1.8883000000000001</v>
      </c>
      <c r="E337">
        <v>11.173299999999999</v>
      </c>
      <c r="F337">
        <v>0.20080000000000001</v>
      </c>
      <c r="G337" s="278">
        <f t="shared" si="34"/>
        <v>11.374099999999999</v>
      </c>
      <c r="H337" s="274">
        <v>11.1785</v>
      </c>
      <c r="I337" s="278">
        <f t="shared" si="40"/>
        <v>0.19559999999999889</v>
      </c>
      <c r="J337" s="273">
        <f t="shared" si="36"/>
        <v>5.2000000000011204E-3</v>
      </c>
      <c r="K337" s="275">
        <f t="shared" si="37"/>
        <v>2.5896414342635063</v>
      </c>
      <c r="L337">
        <v>8</v>
      </c>
      <c r="M337" s="276">
        <v>43379</v>
      </c>
      <c r="N337" s="276">
        <v>43379</v>
      </c>
      <c r="O337" s="273"/>
      <c r="R337" s="275"/>
    </row>
    <row r="338" spans="1:18">
      <c r="A338" t="s">
        <v>1033</v>
      </c>
      <c r="C338" t="s">
        <v>3053</v>
      </c>
      <c r="D338">
        <v>1.8230999999999999</v>
      </c>
      <c r="E338">
        <v>8.1364999999999998</v>
      </c>
      <c r="F338">
        <v>0.20499999999999999</v>
      </c>
      <c r="G338" s="274">
        <f t="shared" si="34"/>
        <v>8.3414999999999999</v>
      </c>
      <c r="H338" s="274">
        <v>8.1417999999999999</v>
      </c>
      <c r="I338" s="274">
        <f t="shared" si="40"/>
        <v>0.19969999999999999</v>
      </c>
      <c r="J338" s="273">
        <f t="shared" si="36"/>
        <v>5.2999999999999992E-3</v>
      </c>
      <c r="K338" s="275">
        <f t="shared" si="37"/>
        <v>2.5853658536585367</v>
      </c>
      <c r="L338">
        <v>10</v>
      </c>
      <c r="M338" s="16">
        <v>43381</v>
      </c>
      <c r="N338" s="16">
        <v>43382</v>
      </c>
      <c r="R338" s="275"/>
    </row>
    <row r="339" spans="1:18">
      <c r="A339" t="s">
        <v>1025</v>
      </c>
      <c r="C339" t="s">
        <v>2760</v>
      </c>
      <c r="D339">
        <v>1.8302</v>
      </c>
      <c r="E339">
        <v>11.121</v>
      </c>
      <c r="F339">
        <v>0.2064</v>
      </c>
      <c r="G339" s="274">
        <f t="shared" ref="G339:G402" si="41">E339+F339</f>
        <v>11.327400000000001</v>
      </c>
      <c r="H339" s="274">
        <v>11.135999999999999</v>
      </c>
      <c r="I339" s="274">
        <f t="shared" si="40"/>
        <v>0.19140000000000157</v>
      </c>
      <c r="J339" s="273">
        <f t="shared" si="36"/>
        <v>1.4999999999998431E-2</v>
      </c>
      <c r="K339" s="275">
        <f t="shared" si="37"/>
        <v>7.2674418604643565</v>
      </c>
      <c r="L339">
        <v>17</v>
      </c>
      <c r="M339" s="276">
        <v>43374</v>
      </c>
      <c r="N339" s="276">
        <v>43375</v>
      </c>
      <c r="O339" s="273" t="s">
        <v>3008</v>
      </c>
      <c r="R339" s="275"/>
    </row>
    <row r="340" spans="1:18">
      <c r="A340" t="s">
        <v>1023</v>
      </c>
      <c r="C340" t="s">
        <v>2782</v>
      </c>
      <c r="D340">
        <v>0.50219999999999998</v>
      </c>
      <c r="E340">
        <v>7.4756</v>
      </c>
      <c r="F340">
        <v>0.20219999999999999</v>
      </c>
      <c r="G340" s="274">
        <f t="shared" si="41"/>
        <v>7.6778000000000004</v>
      </c>
      <c r="H340" s="274">
        <v>7.6318000000000001</v>
      </c>
      <c r="I340" s="274">
        <f t="shared" si="40"/>
        <v>4.6000000000000263E-2</v>
      </c>
      <c r="J340" s="273">
        <f t="shared" si="36"/>
        <v>0.15619999999999973</v>
      </c>
      <c r="K340" s="275">
        <f t="shared" si="37"/>
        <v>77.250247279920742</v>
      </c>
      <c r="L340">
        <v>26</v>
      </c>
      <c r="M340" s="276">
        <v>43374</v>
      </c>
      <c r="N340" s="276">
        <v>43375</v>
      </c>
      <c r="O340" s="273" t="s">
        <v>3008</v>
      </c>
      <c r="R340" s="275"/>
    </row>
    <row r="341" spans="1:18">
      <c r="A341" t="s">
        <v>1014</v>
      </c>
      <c r="C341" t="s">
        <v>2700</v>
      </c>
      <c r="D341">
        <v>1.6020000000000001</v>
      </c>
      <c r="E341">
        <v>10.5227</v>
      </c>
      <c r="F341">
        <v>0.20680000000000001</v>
      </c>
      <c r="G341">
        <f t="shared" si="41"/>
        <v>10.7295</v>
      </c>
      <c r="H341">
        <v>10.5566</v>
      </c>
      <c r="I341" s="274">
        <f t="shared" si="40"/>
        <v>0.17290000000000028</v>
      </c>
      <c r="J341" s="273">
        <f t="shared" si="36"/>
        <v>3.3899999999999736E-2</v>
      </c>
      <c r="K341" s="275">
        <f t="shared" si="37"/>
        <v>16.392649903288074</v>
      </c>
      <c r="L341">
        <v>14</v>
      </c>
      <c r="M341" s="16">
        <v>43399</v>
      </c>
      <c r="N341" s="16">
        <v>43400</v>
      </c>
      <c r="R341" s="275"/>
    </row>
    <row r="342" spans="1:18">
      <c r="A342" t="s">
        <v>1128</v>
      </c>
      <c r="C342" t="s">
        <v>2974</v>
      </c>
      <c r="D342">
        <v>0.38569999999999999</v>
      </c>
      <c r="E342">
        <v>9.1988000000000003</v>
      </c>
      <c r="F342">
        <v>0.20050000000000001</v>
      </c>
      <c r="G342" s="274">
        <f t="shared" si="41"/>
        <v>9.3993000000000002</v>
      </c>
      <c r="H342" s="274">
        <v>9.3762000000000008</v>
      </c>
      <c r="I342" s="274">
        <f t="shared" si="40"/>
        <v>2.3099999999999454E-2</v>
      </c>
      <c r="J342" s="273">
        <f t="shared" si="36"/>
        <v>0.17740000000000056</v>
      </c>
      <c r="K342" s="275">
        <f t="shared" si="37"/>
        <v>88.478802992518979</v>
      </c>
      <c r="L342">
        <v>8</v>
      </c>
      <c r="M342" s="16">
        <v>43399</v>
      </c>
      <c r="N342" s="16">
        <v>43400</v>
      </c>
      <c r="R342" s="275"/>
    </row>
    <row r="343" spans="1:18">
      <c r="A343" t="s">
        <v>1010</v>
      </c>
      <c r="B343">
        <v>197</v>
      </c>
      <c r="D343">
        <v>1.4252</v>
      </c>
      <c r="E343">
        <v>11.1074</v>
      </c>
      <c r="F343">
        <v>0.2205</v>
      </c>
      <c r="G343" s="274">
        <f t="shared" si="41"/>
        <v>11.3279</v>
      </c>
      <c r="H343" s="274">
        <v>11.1258</v>
      </c>
      <c r="I343" s="274">
        <f t="shared" si="40"/>
        <v>0.20209999999999972</v>
      </c>
      <c r="J343" s="273">
        <f t="shared" si="36"/>
        <v>1.8400000000000277E-2</v>
      </c>
      <c r="K343" s="275">
        <f t="shared" si="37"/>
        <v>8.3446712018141849</v>
      </c>
      <c r="L343">
        <v>34</v>
      </c>
      <c r="M343" s="16">
        <v>43388</v>
      </c>
      <c r="N343" s="276">
        <v>43389</v>
      </c>
      <c r="O343" s="16"/>
      <c r="R343" s="275"/>
    </row>
    <row r="344" spans="1:18">
      <c r="A344" t="s">
        <v>1001</v>
      </c>
      <c r="C344" t="s">
        <v>2965</v>
      </c>
      <c r="D344" s="273">
        <v>1.8002</v>
      </c>
      <c r="E344" s="274">
        <v>9.2352000000000007</v>
      </c>
      <c r="F344" s="274">
        <v>0.21190000000000001</v>
      </c>
      <c r="G344" s="274">
        <f t="shared" si="41"/>
        <v>9.4471000000000007</v>
      </c>
      <c r="H344" s="274">
        <v>9.2417999999999996</v>
      </c>
      <c r="I344" s="274">
        <f t="shared" si="40"/>
        <v>0.20530000000000115</v>
      </c>
      <c r="J344" s="273">
        <f t="shared" si="36"/>
        <v>6.5999999999988568E-3</v>
      </c>
      <c r="K344" s="275">
        <f t="shared" si="37"/>
        <v>3.1146767343080963</v>
      </c>
      <c r="L344" s="273">
        <v>1</v>
      </c>
      <c r="M344" s="276">
        <v>43363</v>
      </c>
      <c r="N344" s="276">
        <v>43364</v>
      </c>
      <c r="O344" s="273" t="s">
        <v>3033</v>
      </c>
      <c r="P344" s="273"/>
      <c r="R344" s="275"/>
    </row>
    <row r="345" spans="1:18">
      <c r="A345" t="s">
        <v>979</v>
      </c>
      <c r="C345" t="s">
        <v>3019</v>
      </c>
      <c r="D345">
        <v>1.7994000000000001</v>
      </c>
      <c r="E345">
        <v>9.3194999999999997</v>
      </c>
      <c r="F345">
        <v>0.20300000000000001</v>
      </c>
      <c r="G345" s="274">
        <f t="shared" si="41"/>
        <v>9.5224999999999991</v>
      </c>
      <c r="H345" s="274">
        <v>9.3268000000000004</v>
      </c>
      <c r="I345" s="274">
        <f t="shared" si="40"/>
        <v>0.19569999999999865</v>
      </c>
      <c r="J345" s="273">
        <f t="shared" si="36"/>
        <v>7.300000000001361E-3</v>
      </c>
      <c r="K345" s="275">
        <f t="shared" si="37"/>
        <v>3.596059113301163</v>
      </c>
      <c r="L345">
        <v>35</v>
      </c>
      <c r="M345">
        <v>23.101800000000001</v>
      </c>
      <c r="N345" s="16">
        <v>43397</v>
      </c>
      <c r="R345" s="275"/>
    </row>
    <row r="346" spans="1:18">
      <c r="A346" t="s">
        <v>978</v>
      </c>
      <c r="C346" t="s">
        <v>3051</v>
      </c>
      <c r="D346">
        <v>1.8096000000000001</v>
      </c>
      <c r="E346">
        <v>10.145899999999999</v>
      </c>
      <c r="F346">
        <v>0.20499999999999999</v>
      </c>
      <c r="G346" s="274">
        <f t="shared" si="41"/>
        <v>10.350899999999999</v>
      </c>
      <c r="H346" s="274">
        <v>10.1517</v>
      </c>
      <c r="I346" s="274">
        <f t="shared" si="40"/>
        <v>0.19919999999999938</v>
      </c>
      <c r="J346" s="273">
        <f t="shared" ref="J346:J409" si="42">F346-I346</f>
        <v>5.8000000000006102E-3</v>
      </c>
      <c r="K346" s="275">
        <f t="shared" ref="K346:K409" si="43">(J346/F346)*100</f>
        <v>2.8292682926832247</v>
      </c>
      <c r="L346">
        <v>3</v>
      </c>
      <c r="M346" s="16">
        <v>43388</v>
      </c>
      <c r="N346" s="276">
        <v>43389</v>
      </c>
      <c r="O346" s="276"/>
      <c r="P346" s="273"/>
      <c r="R346" s="275"/>
    </row>
    <row r="347" spans="1:18">
      <c r="A347" t="s">
        <v>971</v>
      </c>
      <c r="C347" t="s">
        <v>2760</v>
      </c>
      <c r="D347">
        <v>1.5750999999999999</v>
      </c>
      <c r="E347">
        <v>8.2200000000000006</v>
      </c>
      <c r="F347">
        <v>0.21540000000000001</v>
      </c>
      <c r="G347" s="274">
        <f t="shared" si="41"/>
        <v>8.4354000000000013</v>
      </c>
      <c r="H347" s="274">
        <v>8.2370999999999999</v>
      </c>
      <c r="I347" s="274">
        <f t="shared" si="40"/>
        <v>0.19830000000000148</v>
      </c>
      <c r="J347" s="273">
        <f t="shared" si="42"/>
        <v>1.7099999999998533E-2</v>
      </c>
      <c r="K347" s="275">
        <f t="shared" si="43"/>
        <v>7.9387186629519642</v>
      </c>
      <c r="L347">
        <v>31</v>
      </c>
      <c r="M347" s="276">
        <v>43374</v>
      </c>
      <c r="N347" s="276">
        <v>43375</v>
      </c>
      <c r="O347" s="273" t="s">
        <v>3008</v>
      </c>
      <c r="R347" s="275"/>
    </row>
    <row r="348" spans="1:18">
      <c r="A348" t="s">
        <v>968</v>
      </c>
      <c r="C348" t="s">
        <v>3040</v>
      </c>
      <c r="D348">
        <v>1.3748</v>
      </c>
      <c r="E348">
        <v>10.567399999999999</v>
      </c>
      <c r="F348">
        <v>0.22450000000000001</v>
      </c>
      <c r="G348" s="274">
        <f t="shared" si="41"/>
        <v>10.7919</v>
      </c>
      <c r="H348" s="274">
        <v>10.5876</v>
      </c>
      <c r="I348" s="274">
        <f t="shared" si="40"/>
        <v>0.20429999999999993</v>
      </c>
      <c r="J348" s="273">
        <f t="shared" si="42"/>
        <v>2.0200000000000079E-2</v>
      </c>
      <c r="K348" s="275">
        <f t="shared" si="43"/>
        <v>8.9977728285078307</v>
      </c>
      <c r="L348">
        <v>2</v>
      </c>
      <c r="M348" s="276">
        <v>43374</v>
      </c>
      <c r="N348" s="276">
        <v>43375</v>
      </c>
      <c r="O348" s="273" t="s">
        <v>3008</v>
      </c>
      <c r="R348" s="275"/>
    </row>
    <row r="349" spans="1:18">
      <c r="A349" t="s">
        <v>967</v>
      </c>
      <c r="C349" t="s">
        <v>2945</v>
      </c>
      <c r="D349">
        <v>1.8367</v>
      </c>
      <c r="E349">
        <v>10.702299999999999</v>
      </c>
      <c r="F349">
        <v>0.19900000000000001</v>
      </c>
      <c r="G349" s="274">
        <f t="shared" si="41"/>
        <v>10.901299999999999</v>
      </c>
      <c r="H349" s="274">
        <v>10.707800000000001</v>
      </c>
      <c r="I349" s="274">
        <f>(G349-H349)</f>
        <v>0.19349999999999845</v>
      </c>
      <c r="J349" s="273">
        <f t="shared" si="42"/>
        <v>5.5000000000015592E-3</v>
      </c>
      <c r="K349" s="275">
        <f t="shared" si="43"/>
        <v>2.7638190954781701</v>
      </c>
      <c r="L349">
        <v>4</v>
      </c>
      <c r="M349" s="16">
        <v>43358</v>
      </c>
      <c r="N349" s="16">
        <v>43358</v>
      </c>
      <c r="R349" s="275"/>
    </row>
    <row r="350" spans="1:18">
      <c r="A350" t="s">
        <v>966</v>
      </c>
      <c r="C350" t="s">
        <v>2745</v>
      </c>
      <c r="D350">
        <v>1.6423000000000001</v>
      </c>
      <c r="E350">
        <v>19.650099999999998</v>
      </c>
      <c r="F350">
        <v>0.21940000000000001</v>
      </c>
      <c r="G350" s="274">
        <f t="shared" si="41"/>
        <v>19.869499999999999</v>
      </c>
      <c r="H350" s="274">
        <v>19.6755</v>
      </c>
      <c r="I350" s="274">
        <f t="shared" ref="I350:I356" si="44">G350-H350</f>
        <v>0.19399999999999906</v>
      </c>
      <c r="J350" s="273">
        <f t="shared" si="42"/>
        <v>2.540000000000095E-2</v>
      </c>
      <c r="K350" s="275">
        <f t="shared" si="43"/>
        <v>11.577028258888308</v>
      </c>
      <c r="L350">
        <v>40</v>
      </c>
      <c r="M350" s="276">
        <v>43363</v>
      </c>
      <c r="N350" s="276">
        <v>43364</v>
      </c>
      <c r="O350" s="273" t="s">
        <v>3033</v>
      </c>
      <c r="R350" s="275"/>
    </row>
    <row r="351" spans="1:18">
      <c r="A351" t="s">
        <v>963</v>
      </c>
      <c r="B351">
        <v>219</v>
      </c>
      <c r="C351" t="s">
        <v>2490</v>
      </c>
      <c r="D351">
        <v>1.6102000000000001</v>
      </c>
      <c r="E351">
        <v>10.056800000000001</v>
      </c>
      <c r="F351">
        <v>0.20169999999999999</v>
      </c>
      <c r="G351" s="274">
        <f t="shared" si="41"/>
        <v>10.258500000000002</v>
      </c>
      <c r="H351" s="274">
        <v>10.0954</v>
      </c>
      <c r="I351" s="274">
        <f t="shared" si="44"/>
        <v>0.1631000000000018</v>
      </c>
      <c r="J351" s="273">
        <f t="shared" si="42"/>
        <v>3.8599999999998191E-2</v>
      </c>
      <c r="K351" s="275">
        <f t="shared" si="43"/>
        <v>19.137332672284675</v>
      </c>
      <c r="L351">
        <v>24</v>
      </c>
      <c r="M351">
        <v>23.101800000000001</v>
      </c>
      <c r="N351" s="16">
        <v>43397</v>
      </c>
      <c r="R351" s="275"/>
    </row>
    <row r="352" spans="1:18">
      <c r="A352" t="s">
        <v>962</v>
      </c>
      <c r="C352" t="s">
        <v>2743</v>
      </c>
      <c r="D352">
        <v>1.5268999999999999</v>
      </c>
      <c r="E352">
        <v>10.541600000000001</v>
      </c>
      <c r="F352">
        <v>0.2069</v>
      </c>
      <c r="G352" s="274">
        <f t="shared" si="41"/>
        <v>10.7485</v>
      </c>
      <c r="H352" s="274">
        <v>10.5534</v>
      </c>
      <c r="I352" s="274">
        <f t="shared" si="44"/>
        <v>0.19510000000000005</v>
      </c>
      <c r="J352" s="273">
        <f t="shared" si="42"/>
        <v>1.1799999999999949E-2</v>
      </c>
      <c r="K352" s="275">
        <f t="shared" si="43"/>
        <v>5.7032382793619867</v>
      </c>
      <c r="L352">
        <v>26</v>
      </c>
      <c r="M352" s="276">
        <v>43362</v>
      </c>
      <c r="N352" s="276">
        <v>43363</v>
      </c>
      <c r="R352" s="275"/>
    </row>
    <row r="353" spans="1:18">
      <c r="A353" t="s">
        <v>1123</v>
      </c>
      <c r="C353" t="s">
        <v>2756</v>
      </c>
      <c r="D353">
        <v>0.83740000000000003</v>
      </c>
      <c r="E353">
        <v>9.4870999999999999</v>
      </c>
      <c r="F353">
        <v>0.2258</v>
      </c>
      <c r="G353" s="274">
        <f t="shared" si="41"/>
        <v>9.7128999999999994</v>
      </c>
      <c r="H353" s="274">
        <v>9.6941000000000006</v>
      </c>
      <c r="I353" s="274">
        <f t="shared" si="44"/>
        <v>1.8799999999998818E-2</v>
      </c>
      <c r="J353" s="273">
        <f t="shared" si="42"/>
        <v>0.20700000000000118</v>
      </c>
      <c r="K353" s="275">
        <f t="shared" si="43"/>
        <v>91.674047829938516</v>
      </c>
      <c r="L353">
        <v>22</v>
      </c>
      <c r="M353" s="16">
        <v>43381</v>
      </c>
      <c r="N353" s="16">
        <v>43382</v>
      </c>
      <c r="R353" s="275"/>
    </row>
    <row r="354" spans="1:18">
      <c r="A354" t="s">
        <v>961</v>
      </c>
      <c r="C354" t="s">
        <v>3060</v>
      </c>
      <c r="D354">
        <v>1.3980999999999999</v>
      </c>
      <c r="E354">
        <v>7.907</v>
      </c>
      <c r="F354">
        <v>0.2135</v>
      </c>
      <c r="G354" s="274">
        <f t="shared" si="41"/>
        <v>8.1204999999999998</v>
      </c>
      <c r="H354" s="274">
        <v>7.9187000000000003</v>
      </c>
      <c r="I354" s="274">
        <f t="shared" si="44"/>
        <v>0.20179999999999954</v>
      </c>
      <c r="J354" s="273">
        <f t="shared" si="42"/>
        <v>1.170000000000046E-2</v>
      </c>
      <c r="K354" s="275">
        <f t="shared" si="43"/>
        <v>5.480093676815204</v>
      </c>
      <c r="L354">
        <v>26</v>
      </c>
      <c r="M354" s="16">
        <v>43395</v>
      </c>
      <c r="N354" s="16">
        <v>43396</v>
      </c>
      <c r="R354" s="275"/>
    </row>
    <row r="355" spans="1:18">
      <c r="A355" t="s">
        <v>957</v>
      </c>
      <c r="C355" t="s">
        <v>2714</v>
      </c>
      <c r="D355">
        <v>1.56</v>
      </c>
      <c r="E355">
        <v>10.155099999999999</v>
      </c>
      <c r="F355">
        <v>0.20760000000000001</v>
      </c>
      <c r="G355" s="274">
        <f t="shared" si="41"/>
        <v>10.362699999999998</v>
      </c>
      <c r="H355" s="274">
        <v>10.164300000000001</v>
      </c>
      <c r="I355" s="274">
        <f t="shared" si="44"/>
        <v>0.19839999999999769</v>
      </c>
      <c r="J355" s="273">
        <f t="shared" si="42"/>
        <v>9.2000000000023174E-3</v>
      </c>
      <c r="K355" s="275">
        <f t="shared" si="43"/>
        <v>4.4315992292882065</v>
      </c>
      <c r="L355">
        <v>18</v>
      </c>
      <c r="M355" s="16">
        <v>43388</v>
      </c>
      <c r="N355" s="276">
        <v>43389</v>
      </c>
      <c r="O355" s="16"/>
      <c r="R355" s="275"/>
    </row>
    <row r="356" spans="1:18">
      <c r="A356" t="s">
        <v>953</v>
      </c>
      <c r="C356" t="s">
        <v>2707</v>
      </c>
      <c r="D356">
        <v>1.5962000000000001</v>
      </c>
      <c r="E356">
        <v>9.1384000000000007</v>
      </c>
      <c r="F356">
        <v>0.20760000000000001</v>
      </c>
      <c r="G356" s="274">
        <f t="shared" si="41"/>
        <v>9.3460000000000001</v>
      </c>
      <c r="H356" s="274">
        <v>9.1475000000000009</v>
      </c>
      <c r="I356" s="274">
        <f t="shared" si="44"/>
        <v>0.19849999999999923</v>
      </c>
      <c r="J356" s="273">
        <f t="shared" si="42"/>
        <v>9.1000000000007741E-3</v>
      </c>
      <c r="K356" s="275">
        <f t="shared" si="43"/>
        <v>4.3834296724473862</v>
      </c>
      <c r="L356">
        <v>31</v>
      </c>
      <c r="M356">
        <v>23.101800000000001</v>
      </c>
      <c r="N356" s="16">
        <v>43397</v>
      </c>
      <c r="R356" s="275"/>
    </row>
    <row r="357" spans="1:18">
      <c r="A357" t="s">
        <v>950</v>
      </c>
      <c r="C357" t="s">
        <v>2939</v>
      </c>
      <c r="D357">
        <v>1.8129</v>
      </c>
      <c r="E357">
        <v>10.565799999999999</v>
      </c>
      <c r="F357">
        <v>0.2097</v>
      </c>
      <c r="G357" s="274">
        <f t="shared" si="41"/>
        <v>10.775499999999999</v>
      </c>
      <c r="H357" s="274">
        <v>10.569599999999999</v>
      </c>
      <c r="I357" s="274">
        <f>(G357-H357)</f>
        <v>0.20589999999999975</v>
      </c>
      <c r="J357" s="273">
        <f t="shared" si="42"/>
        <v>3.8000000000002476E-3</v>
      </c>
      <c r="K357" s="275">
        <f t="shared" si="43"/>
        <v>1.8121125417263937</v>
      </c>
      <c r="L357">
        <v>2</v>
      </c>
      <c r="M357" s="276">
        <v>43355.625</v>
      </c>
      <c r="N357" s="276">
        <v>43355.791666666664</v>
      </c>
      <c r="O357" s="273" t="s">
        <v>2938</v>
      </c>
      <c r="R357" s="275"/>
    </row>
    <row r="358" spans="1:18">
      <c r="A358" t="s">
        <v>949</v>
      </c>
      <c r="C358" t="s">
        <v>3006</v>
      </c>
      <c r="D358">
        <v>1.8529</v>
      </c>
      <c r="E358">
        <v>9.0221999999999998</v>
      </c>
      <c r="F358">
        <v>0.20530000000000001</v>
      </c>
      <c r="G358" s="278">
        <f t="shared" si="41"/>
        <v>9.2274999999999991</v>
      </c>
      <c r="H358" s="274">
        <v>9.0292999999999992</v>
      </c>
      <c r="I358" s="278">
        <f>G358-H358</f>
        <v>0.19819999999999993</v>
      </c>
      <c r="J358" s="273">
        <f t="shared" si="42"/>
        <v>7.1000000000000785E-3</v>
      </c>
      <c r="K358" s="275">
        <f t="shared" si="43"/>
        <v>3.4583536288358885</v>
      </c>
      <c r="L358">
        <v>13</v>
      </c>
      <c r="M358" s="276">
        <v>43379</v>
      </c>
      <c r="N358" s="276">
        <v>43379</v>
      </c>
      <c r="O358" s="273"/>
      <c r="R358" s="275"/>
    </row>
    <row r="359" spans="1:18">
      <c r="A359" t="s">
        <v>948</v>
      </c>
      <c r="C359" t="s">
        <v>2717</v>
      </c>
      <c r="D359">
        <v>1.6133</v>
      </c>
      <c r="E359">
        <v>10.923299999999999</v>
      </c>
      <c r="F359">
        <v>0.20630000000000001</v>
      </c>
      <c r="G359" s="274">
        <f t="shared" si="41"/>
        <v>11.1296</v>
      </c>
      <c r="H359" s="274">
        <v>10.9398</v>
      </c>
      <c r="I359" s="274">
        <f>G359-H359</f>
        <v>0.18979999999999997</v>
      </c>
      <c r="J359" s="273">
        <f t="shared" si="42"/>
        <v>1.6500000000000042E-2</v>
      </c>
      <c r="K359" s="275">
        <f t="shared" si="43"/>
        <v>7.9980610761027835</v>
      </c>
      <c r="L359">
        <v>12</v>
      </c>
      <c r="M359" s="16">
        <v>43388</v>
      </c>
      <c r="N359" s="276">
        <v>43389</v>
      </c>
      <c r="O359" s="276"/>
      <c r="P359" s="273"/>
      <c r="R359" s="275"/>
    </row>
    <row r="360" spans="1:18">
      <c r="A360" t="s">
        <v>946</v>
      </c>
      <c r="C360" t="s">
        <v>2701</v>
      </c>
      <c r="D360">
        <v>1.4694</v>
      </c>
      <c r="E360">
        <v>10.125500000000001</v>
      </c>
      <c r="F360">
        <v>0.21759999999999999</v>
      </c>
      <c r="G360" s="274">
        <f t="shared" si="41"/>
        <v>10.3431</v>
      </c>
      <c r="H360" s="274">
        <v>10.147500000000001</v>
      </c>
      <c r="I360" s="274">
        <f>G360-H360</f>
        <v>0.19559999999999889</v>
      </c>
      <c r="J360" s="273">
        <f t="shared" si="42"/>
        <v>2.2000000000001102E-2</v>
      </c>
      <c r="K360" s="275">
        <f t="shared" si="43"/>
        <v>10.110294117647566</v>
      </c>
      <c r="L360">
        <v>19</v>
      </c>
      <c r="M360">
        <v>23.101800000000001</v>
      </c>
      <c r="N360" s="16">
        <v>43397</v>
      </c>
      <c r="R360" s="275"/>
    </row>
    <row r="361" spans="1:18">
      <c r="A361" t="s">
        <v>944</v>
      </c>
      <c r="C361" t="s">
        <v>2976</v>
      </c>
      <c r="D361">
        <v>1.8783000000000001</v>
      </c>
      <c r="E361">
        <v>11.034800000000001</v>
      </c>
      <c r="F361">
        <v>0.21890000000000001</v>
      </c>
      <c r="G361" s="274">
        <f t="shared" si="41"/>
        <v>11.2537</v>
      </c>
      <c r="H361" s="274">
        <v>11.039</v>
      </c>
      <c r="I361" s="274">
        <f>(G361-H361)</f>
        <v>0.21470000000000056</v>
      </c>
      <c r="J361" s="273">
        <f t="shared" si="42"/>
        <v>4.1999999999994542E-3</v>
      </c>
      <c r="K361" s="275">
        <f t="shared" si="43"/>
        <v>1.9186843307443828</v>
      </c>
      <c r="L361">
        <v>23</v>
      </c>
      <c r="M361" s="276">
        <v>43360</v>
      </c>
      <c r="N361" s="276">
        <v>43361</v>
      </c>
      <c r="O361" s="273" t="s">
        <v>2985</v>
      </c>
      <c r="R361" s="275"/>
    </row>
    <row r="362" spans="1:18">
      <c r="A362" t="s">
        <v>943</v>
      </c>
      <c r="C362" t="s">
        <v>2701</v>
      </c>
      <c r="D362">
        <v>1.6357999999999999</v>
      </c>
      <c r="E362">
        <v>8.1191999999999993</v>
      </c>
      <c r="F362">
        <v>0.20300000000000001</v>
      </c>
      <c r="G362" s="274">
        <f t="shared" si="41"/>
        <v>8.3221999999999987</v>
      </c>
      <c r="H362" s="274">
        <v>8.1301000000000005</v>
      </c>
      <c r="I362" s="274">
        <f>G362-H362</f>
        <v>0.19209999999999816</v>
      </c>
      <c r="J362" s="273">
        <f t="shared" si="42"/>
        <v>1.0900000000001853E-2</v>
      </c>
      <c r="K362" s="275">
        <f t="shared" si="43"/>
        <v>5.3694581280797298</v>
      </c>
      <c r="L362">
        <v>29</v>
      </c>
      <c r="M362" s="16">
        <v>43399</v>
      </c>
      <c r="N362" s="16">
        <v>43400</v>
      </c>
      <c r="R362" s="275"/>
    </row>
    <row r="363" spans="1:18">
      <c r="A363" t="s">
        <v>940</v>
      </c>
      <c r="C363" t="s">
        <v>2970</v>
      </c>
      <c r="D363">
        <v>1.8588</v>
      </c>
      <c r="E363">
        <v>10.1242</v>
      </c>
      <c r="F363">
        <v>0.23860000000000001</v>
      </c>
      <c r="G363" s="274">
        <f t="shared" si="41"/>
        <v>10.3628</v>
      </c>
      <c r="H363" s="274">
        <v>10.132</v>
      </c>
      <c r="I363" s="274">
        <f>(G363-H363)</f>
        <v>0.23080000000000034</v>
      </c>
      <c r="J363" s="273">
        <f t="shared" si="42"/>
        <v>7.7999999999996683E-3</v>
      </c>
      <c r="K363" s="275">
        <f t="shared" si="43"/>
        <v>3.2690695725061474</v>
      </c>
      <c r="L363">
        <v>17</v>
      </c>
      <c r="M363" s="276">
        <v>43360</v>
      </c>
      <c r="N363" s="276">
        <v>43361</v>
      </c>
      <c r="R363" s="275"/>
    </row>
    <row r="364" spans="1:18">
      <c r="A364" t="s">
        <v>938</v>
      </c>
      <c r="C364" t="s">
        <v>2943</v>
      </c>
      <c r="D364">
        <v>1.8813</v>
      </c>
      <c r="E364">
        <v>8.0874000000000006</v>
      </c>
      <c r="F364">
        <v>0.20519999999999999</v>
      </c>
      <c r="G364" s="274">
        <f t="shared" si="41"/>
        <v>8.2926000000000002</v>
      </c>
      <c r="H364" s="274">
        <v>8.0943000000000005</v>
      </c>
      <c r="I364" s="274">
        <f>(G364-H364)</f>
        <v>0.1982999999999997</v>
      </c>
      <c r="J364" s="273">
        <f t="shared" si="42"/>
        <v>6.9000000000002948E-3</v>
      </c>
      <c r="K364" s="275">
        <f t="shared" si="43"/>
        <v>3.3625730994153482</v>
      </c>
      <c r="L364">
        <v>3</v>
      </c>
      <c r="M364" s="16">
        <v>43358</v>
      </c>
      <c r="N364" s="16">
        <v>43358</v>
      </c>
      <c r="R364" s="275"/>
    </row>
    <row r="365" spans="1:18">
      <c r="A365" t="s">
        <v>937</v>
      </c>
      <c r="C365" t="s">
        <v>3045</v>
      </c>
      <c r="D365">
        <v>1.7385999999999999</v>
      </c>
      <c r="E365">
        <v>10.5122</v>
      </c>
      <c r="F365">
        <v>0.2223</v>
      </c>
      <c r="G365">
        <f t="shared" si="41"/>
        <v>10.734500000000001</v>
      </c>
      <c r="H365">
        <v>10.5174</v>
      </c>
      <c r="I365" s="274">
        <f t="shared" ref="I365:I381" si="45">G365-H365</f>
        <v>0.21710000000000029</v>
      </c>
      <c r="J365" s="273">
        <f t="shared" si="42"/>
        <v>5.1999999999997049E-3</v>
      </c>
      <c r="K365" s="275">
        <f t="shared" si="43"/>
        <v>2.3391812865495751</v>
      </c>
      <c r="L365">
        <v>20</v>
      </c>
      <c r="M365" s="16">
        <v>43399</v>
      </c>
      <c r="N365" s="16">
        <v>43400</v>
      </c>
      <c r="R365" s="275"/>
    </row>
    <row r="366" spans="1:18">
      <c r="A366" t="s">
        <v>936</v>
      </c>
      <c r="B366">
        <v>200</v>
      </c>
      <c r="C366" t="s">
        <v>2490</v>
      </c>
      <c r="D366">
        <v>1.4829000000000001</v>
      </c>
      <c r="E366">
        <v>8.7036999999999995</v>
      </c>
      <c r="F366">
        <v>0.222</v>
      </c>
      <c r="G366">
        <f t="shared" si="41"/>
        <v>8.9256999999999991</v>
      </c>
      <c r="H366">
        <v>8.7087000000000003</v>
      </c>
      <c r="I366" s="274">
        <f t="shared" si="45"/>
        <v>0.21699999999999875</v>
      </c>
      <c r="J366" s="273">
        <f t="shared" si="42"/>
        <v>5.0000000000012534E-3</v>
      </c>
      <c r="K366" s="275">
        <f t="shared" si="43"/>
        <v>2.2522522522528168</v>
      </c>
      <c r="L366">
        <v>22</v>
      </c>
      <c r="M366" s="16">
        <v>43402</v>
      </c>
      <c r="N366" s="16">
        <v>43403</v>
      </c>
      <c r="R366" s="275"/>
    </row>
    <row r="367" spans="1:18">
      <c r="A367" t="s">
        <v>935</v>
      </c>
      <c r="C367" t="s">
        <v>3036</v>
      </c>
      <c r="D367">
        <v>1.7315</v>
      </c>
      <c r="E367">
        <v>8.8620999999999999</v>
      </c>
      <c r="F367">
        <v>0.20100000000000001</v>
      </c>
      <c r="G367" s="274">
        <f t="shared" si="41"/>
        <v>9.0631000000000004</v>
      </c>
      <c r="H367" s="274">
        <v>8.8704000000000001</v>
      </c>
      <c r="I367" s="274">
        <f t="shared" si="45"/>
        <v>0.19270000000000032</v>
      </c>
      <c r="J367" s="273">
        <f t="shared" si="42"/>
        <v>8.2999999999996965E-3</v>
      </c>
      <c r="K367" s="275">
        <f t="shared" si="43"/>
        <v>4.1293532338306944</v>
      </c>
      <c r="L367">
        <v>36</v>
      </c>
      <c r="M367" s="276">
        <v>43374</v>
      </c>
      <c r="N367" s="276">
        <v>43375</v>
      </c>
      <c r="O367" s="273" t="s">
        <v>3008</v>
      </c>
      <c r="R367" s="275"/>
    </row>
    <row r="368" spans="1:18">
      <c r="A368" t="s">
        <v>934</v>
      </c>
      <c r="C368" t="s">
        <v>2708</v>
      </c>
      <c r="D368">
        <v>1.4986999999999999</v>
      </c>
      <c r="E368">
        <v>9.2368000000000006</v>
      </c>
      <c r="F368">
        <v>0.22650000000000001</v>
      </c>
      <c r="G368" s="274">
        <f t="shared" si="41"/>
        <v>9.4633000000000003</v>
      </c>
      <c r="H368" s="274">
        <v>9.2510999999999992</v>
      </c>
      <c r="I368" s="274">
        <f t="shared" si="45"/>
        <v>0.21220000000000105</v>
      </c>
      <c r="J368" s="273">
        <f t="shared" si="42"/>
        <v>1.4299999999998952E-2</v>
      </c>
      <c r="K368" s="275">
        <f t="shared" si="43"/>
        <v>6.3134657836639967</v>
      </c>
      <c r="L368">
        <v>3</v>
      </c>
      <c r="M368" s="16">
        <v>43399</v>
      </c>
      <c r="N368" s="16">
        <v>43400</v>
      </c>
      <c r="R368" s="275"/>
    </row>
    <row r="369" spans="1:19">
      <c r="A369" t="s">
        <v>933</v>
      </c>
      <c r="C369" t="s">
        <v>2746</v>
      </c>
      <c r="D369">
        <v>1.6383000000000001</v>
      </c>
      <c r="E369">
        <v>7.7756999999999996</v>
      </c>
      <c r="F369">
        <v>0.21229999999999999</v>
      </c>
      <c r="G369">
        <f t="shared" si="41"/>
        <v>7.9879999999999995</v>
      </c>
      <c r="H369">
        <v>7.7870999999999997</v>
      </c>
      <c r="I369" s="274">
        <f t="shared" si="45"/>
        <v>0.20089999999999986</v>
      </c>
      <c r="J369" s="273">
        <f t="shared" si="42"/>
        <v>1.1400000000000132E-2</v>
      </c>
      <c r="K369" s="275">
        <f t="shared" si="43"/>
        <v>5.3697597739049137</v>
      </c>
      <c r="L369">
        <v>15</v>
      </c>
      <c r="M369" s="16">
        <v>43399</v>
      </c>
      <c r="N369" s="16">
        <v>43400</v>
      </c>
      <c r="R369" s="275"/>
    </row>
    <row r="370" spans="1:19">
      <c r="A370" t="s">
        <v>931</v>
      </c>
      <c r="C370" t="s">
        <v>3017</v>
      </c>
      <c r="D370">
        <v>1.8501000000000001</v>
      </c>
      <c r="E370">
        <v>10.0565</v>
      </c>
      <c r="F370">
        <v>0.21099999999999999</v>
      </c>
      <c r="G370" s="274">
        <f t="shared" si="41"/>
        <v>10.2675</v>
      </c>
      <c r="H370" s="274">
        <v>10.062900000000001</v>
      </c>
      <c r="I370" s="274">
        <f t="shared" si="45"/>
        <v>0.20459999999999923</v>
      </c>
      <c r="J370" s="273">
        <f t="shared" si="42"/>
        <v>6.4000000000007662E-3</v>
      </c>
      <c r="K370" s="275">
        <f t="shared" si="43"/>
        <v>3.0331753554506005</v>
      </c>
      <c r="L370">
        <v>23</v>
      </c>
      <c r="M370" s="276">
        <v>43363</v>
      </c>
      <c r="N370" s="276">
        <v>43364</v>
      </c>
      <c r="R370" s="275"/>
    </row>
    <row r="371" spans="1:19">
      <c r="A371" t="s">
        <v>930</v>
      </c>
      <c r="C371" t="s">
        <v>2720</v>
      </c>
      <c r="D371">
        <v>1.5892999999999999</v>
      </c>
      <c r="E371">
        <v>8.7698999999999998</v>
      </c>
      <c r="F371">
        <v>0.20200000000000001</v>
      </c>
      <c r="G371" s="278">
        <f t="shared" si="41"/>
        <v>8.9718999999999998</v>
      </c>
      <c r="H371" s="274">
        <v>8.7827999999999999</v>
      </c>
      <c r="I371" s="278">
        <f t="shared" si="45"/>
        <v>0.18909999999999982</v>
      </c>
      <c r="J371" s="273">
        <f t="shared" si="42"/>
        <v>1.2900000000000189E-2</v>
      </c>
      <c r="K371" s="275">
        <f t="shared" si="43"/>
        <v>6.3861386138614789</v>
      </c>
      <c r="L371">
        <v>40</v>
      </c>
      <c r="M371" s="276">
        <v>43379</v>
      </c>
      <c r="N371" s="276">
        <v>43379</v>
      </c>
      <c r="R371" s="275"/>
    </row>
    <row r="372" spans="1:19">
      <c r="A372" t="s">
        <v>929</v>
      </c>
      <c r="C372" t="s">
        <v>2963</v>
      </c>
      <c r="D372">
        <v>1.7116</v>
      </c>
      <c r="E372">
        <v>19.6935</v>
      </c>
      <c r="F372">
        <v>0.20979999999999999</v>
      </c>
      <c r="G372" s="274">
        <f t="shared" si="41"/>
        <v>19.903300000000002</v>
      </c>
      <c r="H372" s="274">
        <v>19.708400000000001</v>
      </c>
      <c r="I372" s="274">
        <f t="shared" si="45"/>
        <v>0.19490000000000052</v>
      </c>
      <c r="J372" s="273">
        <f t="shared" si="42"/>
        <v>1.4899999999999469E-2</v>
      </c>
      <c r="K372" s="275">
        <f t="shared" si="43"/>
        <v>7.1020019065774402</v>
      </c>
      <c r="L372">
        <v>25</v>
      </c>
      <c r="M372" s="276">
        <v>43361</v>
      </c>
      <c r="N372" s="276">
        <v>43362</v>
      </c>
      <c r="O372" s="273" t="s">
        <v>3008</v>
      </c>
      <c r="R372" s="275"/>
    </row>
    <row r="373" spans="1:19">
      <c r="A373" t="s">
        <v>928</v>
      </c>
      <c r="C373" t="s">
        <v>3026</v>
      </c>
      <c r="D373">
        <v>1.5960000000000001</v>
      </c>
      <c r="E373">
        <v>10.9232</v>
      </c>
      <c r="F373">
        <v>0.23569999999999999</v>
      </c>
      <c r="G373" s="274">
        <f t="shared" si="41"/>
        <v>11.158899999999999</v>
      </c>
      <c r="H373" s="274">
        <v>10.928699999999999</v>
      </c>
      <c r="I373" s="274">
        <f t="shared" si="45"/>
        <v>0.23019999999999996</v>
      </c>
      <c r="J373" s="273">
        <f t="shared" si="42"/>
        <v>5.5000000000000326E-3</v>
      </c>
      <c r="K373" s="275">
        <f t="shared" si="43"/>
        <v>2.3334747560458351</v>
      </c>
      <c r="L373">
        <v>11</v>
      </c>
      <c r="M373" s="276">
        <v>43363</v>
      </c>
      <c r="N373" s="276">
        <v>43364</v>
      </c>
      <c r="O373" s="273" t="s">
        <v>3033</v>
      </c>
      <c r="R373" s="275"/>
    </row>
    <row r="374" spans="1:19">
      <c r="A374" t="s">
        <v>927</v>
      </c>
      <c r="D374">
        <v>1.5364</v>
      </c>
      <c r="E374">
        <v>11.1227</v>
      </c>
      <c r="F374">
        <v>0.21160000000000001</v>
      </c>
      <c r="G374">
        <f t="shared" si="41"/>
        <v>11.334300000000001</v>
      </c>
      <c r="H374">
        <v>11.1427</v>
      </c>
      <c r="I374" s="274">
        <f t="shared" si="45"/>
        <v>0.1916000000000011</v>
      </c>
      <c r="J374" s="273">
        <f t="shared" si="42"/>
        <v>1.9999999999998908E-2</v>
      </c>
      <c r="K374" s="275">
        <f t="shared" si="43"/>
        <v>9.4517958412093144</v>
      </c>
      <c r="L374">
        <v>21</v>
      </c>
      <c r="M374" s="16">
        <v>43399</v>
      </c>
      <c r="N374" s="16">
        <v>43400</v>
      </c>
      <c r="R374" s="275"/>
    </row>
    <row r="375" spans="1:19">
      <c r="A375" t="s">
        <v>920</v>
      </c>
      <c r="C375" t="s">
        <v>2994</v>
      </c>
      <c r="D375">
        <v>1.7484999999999999</v>
      </c>
      <c r="E375">
        <v>11.004799999999999</v>
      </c>
      <c r="F375">
        <v>0.22520000000000001</v>
      </c>
      <c r="G375" s="274">
        <f t="shared" si="41"/>
        <v>11.229999999999999</v>
      </c>
      <c r="H375" s="274">
        <v>11.0107</v>
      </c>
      <c r="I375" s="274">
        <f t="shared" si="45"/>
        <v>0.21929999999999872</v>
      </c>
      <c r="J375" s="273">
        <f t="shared" si="42"/>
        <v>5.9000000000012931E-3</v>
      </c>
      <c r="K375" s="275">
        <f t="shared" si="43"/>
        <v>2.6198934280645174</v>
      </c>
      <c r="L375">
        <v>19</v>
      </c>
      <c r="M375" s="16">
        <v>43381</v>
      </c>
      <c r="N375" s="16">
        <v>43382</v>
      </c>
      <c r="R375" s="275"/>
    </row>
    <row r="376" spans="1:19">
      <c r="A376" t="s">
        <v>918</v>
      </c>
      <c r="C376" t="s">
        <v>2705</v>
      </c>
      <c r="D376">
        <v>1.5963000000000001</v>
      </c>
      <c r="E376">
        <v>9.6798999999999999</v>
      </c>
      <c r="F376">
        <v>0.22339999999999999</v>
      </c>
      <c r="G376" s="274">
        <f t="shared" si="41"/>
        <v>9.9032999999999998</v>
      </c>
      <c r="H376" s="274">
        <v>9.6958000000000002</v>
      </c>
      <c r="I376" s="274">
        <f t="shared" si="45"/>
        <v>0.20749999999999957</v>
      </c>
      <c r="J376" s="273">
        <f t="shared" si="42"/>
        <v>1.5900000000000414E-2</v>
      </c>
      <c r="K376" s="275">
        <f t="shared" si="43"/>
        <v>7.1172784243511256</v>
      </c>
      <c r="L376">
        <v>36</v>
      </c>
      <c r="M376" s="16">
        <v>43399</v>
      </c>
      <c r="N376" s="16">
        <v>43400</v>
      </c>
      <c r="R376" s="275"/>
    </row>
    <row r="377" spans="1:19">
      <c r="A377" t="s">
        <v>917</v>
      </c>
      <c r="B377" t="s">
        <v>3056</v>
      </c>
      <c r="C377" t="s">
        <v>2490</v>
      </c>
      <c r="D377" s="273">
        <v>1.6161000000000001</v>
      </c>
      <c r="E377" s="274">
        <v>9.7223000000000006</v>
      </c>
      <c r="F377" s="274">
        <v>0.21859999999999999</v>
      </c>
      <c r="G377" s="274">
        <f t="shared" si="41"/>
        <v>9.940900000000001</v>
      </c>
      <c r="H377" s="274">
        <v>9.7468000000000004</v>
      </c>
      <c r="I377" s="274">
        <f t="shared" si="45"/>
        <v>0.19410000000000061</v>
      </c>
      <c r="J377" s="273">
        <f t="shared" si="42"/>
        <v>2.4499999999999383E-2</v>
      </c>
      <c r="K377" s="275">
        <f t="shared" si="43"/>
        <v>11.207685269899079</v>
      </c>
      <c r="L377" s="273">
        <v>1</v>
      </c>
      <c r="M377" s="16">
        <v>43388</v>
      </c>
      <c r="N377" s="276">
        <v>43389</v>
      </c>
      <c r="O377" s="276"/>
      <c r="P377" s="273"/>
      <c r="R377" s="275"/>
      <c r="S377" s="273"/>
    </row>
    <row r="378" spans="1:19">
      <c r="A378" t="s">
        <v>916</v>
      </c>
      <c r="C378" t="s">
        <v>3048</v>
      </c>
      <c r="D378">
        <v>1.7956000000000001</v>
      </c>
      <c r="E378">
        <v>10.6366</v>
      </c>
      <c r="F378">
        <v>0.20860000000000001</v>
      </c>
      <c r="G378" s="278">
        <f t="shared" si="41"/>
        <v>10.8452</v>
      </c>
      <c r="H378" s="274">
        <v>10.6418</v>
      </c>
      <c r="I378" s="278">
        <f t="shared" si="45"/>
        <v>0.20340000000000025</v>
      </c>
      <c r="J378" s="273">
        <f t="shared" si="42"/>
        <v>5.1999999999997604E-3</v>
      </c>
      <c r="K378" s="275">
        <f t="shared" si="43"/>
        <v>2.4928092042184851</v>
      </c>
      <c r="L378">
        <v>12</v>
      </c>
      <c r="M378" s="276">
        <v>43379</v>
      </c>
      <c r="N378" s="276">
        <v>43379</v>
      </c>
      <c r="O378" s="273"/>
      <c r="R378" s="275"/>
    </row>
    <row r="379" spans="1:19">
      <c r="A379" t="s">
        <v>914</v>
      </c>
      <c r="C379" t="s">
        <v>2966</v>
      </c>
      <c r="D379">
        <v>1.8835</v>
      </c>
      <c r="E379">
        <v>9.9179999999999993</v>
      </c>
      <c r="F379">
        <v>0.20799999999999999</v>
      </c>
      <c r="G379" s="274">
        <f t="shared" si="41"/>
        <v>10.125999999999999</v>
      </c>
      <c r="H379" s="274">
        <v>9.9258000000000006</v>
      </c>
      <c r="I379" s="274">
        <f t="shared" si="45"/>
        <v>0.20019999999999882</v>
      </c>
      <c r="J379" s="273">
        <f t="shared" si="42"/>
        <v>7.8000000000011671E-3</v>
      </c>
      <c r="K379" s="275">
        <f t="shared" si="43"/>
        <v>3.7500000000005613</v>
      </c>
      <c r="L379">
        <v>25</v>
      </c>
      <c r="M379" s="16">
        <v>43381</v>
      </c>
      <c r="N379" s="16">
        <v>43382</v>
      </c>
      <c r="R379" s="275"/>
    </row>
    <row r="380" spans="1:19">
      <c r="A380" t="s">
        <v>912</v>
      </c>
      <c r="C380" t="s">
        <v>2998</v>
      </c>
      <c r="D380">
        <v>1.4528000000000001</v>
      </c>
      <c r="E380">
        <v>8.0660000000000007</v>
      </c>
      <c r="F380">
        <v>0.22459999999999999</v>
      </c>
      <c r="G380" s="274">
        <f t="shared" si="41"/>
        <v>8.2906000000000013</v>
      </c>
      <c r="H380" s="274">
        <v>8.0808999999999997</v>
      </c>
      <c r="I380" s="274">
        <f t="shared" si="45"/>
        <v>0.20970000000000155</v>
      </c>
      <c r="J380" s="273">
        <f t="shared" si="42"/>
        <v>1.4899999999998442E-2</v>
      </c>
      <c r="K380" s="275">
        <f t="shared" si="43"/>
        <v>6.6340160284944094</v>
      </c>
      <c r="L380">
        <v>17</v>
      </c>
      <c r="M380" s="16">
        <v>43381</v>
      </c>
      <c r="N380" s="16">
        <v>43382</v>
      </c>
      <c r="R380" s="275"/>
    </row>
    <row r="381" spans="1:19">
      <c r="A381" t="s">
        <v>911</v>
      </c>
      <c r="C381" t="s">
        <v>3030</v>
      </c>
      <c r="D381">
        <v>1.9054</v>
      </c>
      <c r="E381">
        <v>9.6798000000000002</v>
      </c>
      <c r="F381">
        <v>0.20649999999999999</v>
      </c>
      <c r="G381" s="274">
        <f t="shared" si="41"/>
        <v>9.8863000000000003</v>
      </c>
      <c r="H381" s="274">
        <v>9.6860999999999997</v>
      </c>
      <c r="I381" s="274">
        <f t="shared" si="45"/>
        <v>0.2002000000000006</v>
      </c>
      <c r="J381" s="273">
        <f t="shared" si="42"/>
        <v>6.2999999999993894E-3</v>
      </c>
      <c r="K381" s="275">
        <f t="shared" si="43"/>
        <v>3.0508474576268232</v>
      </c>
      <c r="L381">
        <v>30</v>
      </c>
      <c r="M381" s="276">
        <v>43362</v>
      </c>
      <c r="N381" s="276">
        <v>43363</v>
      </c>
      <c r="R381" s="275"/>
    </row>
    <row r="382" spans="1:19">
      <c r="A382" t="s">
        <v>910</v>
      </c>
      <c r="C382" t="s">
        <v>2937</v>
      </c>
      <c r="D382">
        <v>1.7262999999999999</v>
      </c>
      <c r="E382">
        <v>10.0556</v>
      </c>
      <c r="F382">
        <v>0.1983</v>
      </c>
      <c r="G382" s="274">
        <f t="shared" si="41"/>
        <v>10.2539</v>
      </c>
      <c r="H382" s="274">
        <v>10.0604</v>
      </c>
      <c r="I382" s="274">
        <f>(G382-H382)</f>
        <v>0.19350000000000023</v>
      </c>
      <c r="J382" s="273">
        <f t="shared" si="42"/>
        <v>4.7999999999997767E-3</v>
      </c>
      <c r="K382" s="275">
        <f t="shared" si="43"/>
        <v>2.4205748865354395</v>
      </c>
      <c r="L382">
        <v>12</v>
      </c>
      <c r="M382" s="276">
        <v>43355.625</v>
      </c>
      <c r="N382" s="276">
        <v>43355.791666666664</v>
      </c>
      <c r="O382" s="273" t="s">
        <v>2938</v>
      </c>
      <c r="R382" s="275"/>
    </row>
    <row r="383" spans="1:19">
      <c r="A383" t="s">
        <v>908</v>
      </c>
      <c r="C383" t="s">
        <v>2946</v>
      </c>
      <c r="D383">
        <v>1.7914000000000001</v>
      </c>
      <c r="E383">
        <v>8.2190999999999992</v>
      </c>
      <c r="F383">
        <v>0.1988</v>
      </c>
      <c r="G383" s="274">
        <f t="shared" si="41"/>
        <v>8.4178999999999995</v>
      </c>
      <c r="H383" s="274">
        <v>8.2235999999999994</v>
      </c>
      <c r="I383" s="274">
        <f>(G383-H383)</f>
        <v>0.19430000000000014</v>
      </c>
      <c r="J383" s="273">
        <f t="shared" si="42"/>
        <v>4.4999999999998652E-3</v>
      </c>
      <c r="K383" s="275">
        <f t="shared" si="43"/>
        <v>2.2635814889335339</v>
      </c>
      <c r="L383">
        <v>14</v>
      </c>
      <c r="M383" s="276">
        <v>43355.625</v>
      </c>
      <c r="N383" s="276">
        <v>43355.791666666664</v>
      </c>
      <c r="O383" s="273" t="s">
        <v>2938</v>
      </c>
      <c r="R383" s="275"/>
    </row>
    <row r="384" spans="1:19">
      <c r="A384" t="s">
        <v>905</v>
      </c>
      <c r="B384">
        <v>199</v>
      </c>
      <c r="C384" t="s">
        <v>2490</v>
      </c>
      <c r="D384">
        <v>1.4412</v>
      </c>
      <c r="E384">
        <v>11.088699999999999</v>
      </c>
      <c r="F384">
        <v>0.21110000000000001</v>
      </c>
      <c r="G384" s="274">
        <f t="shared" si="41"/>
        <v>11.299799999999999</v>
      </c>
      <c r="H384" s="274">
        <v>11.094099999999999</v>
      </c>
      <c r="I384" s="274">
        <f>G384-H384</f>
        <v>0.20570000000000022</v>
      </c>
      <c r="J384" s="273">
        <f t="shared" si="42"/>
        <v>5.3999999999997939E-3</v>
      </c>
      <c r="K384" s="275">
        <f t="shared" si="43"/>
        <v>2.5580293699667425</v>
      </c>
      <c r="L384">
        <v>20</v>
      </c>
      <c r="M384">
        <v>23.101800000000001</v>
      </c>
      <c r="N384" s="16">
        <v>43397</v>
      </c>
      <c r="R384" s="275"/>
    </row>
    <row r="385" spans="1:18">
      <c r="A385" t="s">
        <v>904</v>
      </c>
      <c r="C385" t="s">
        <v>2944</v>
      </c>
      <c r="D385">
        <v>1.8137000000000001</v>
      </c>
      <c r="E385">
        <v>8.7332999999999998</v>
      </c>
      <c r="F385">
        <v>0.20749999999999999</v>
      </c>
      <c r="G385" s="274">
        <f t="shared" si="41"/>
        <v>8.9407999999999994</v>
      </c>
      <c r="H385" s="274">
        <v>8.7379999999999995</v>
      </c>
      <c r="I385" s="274">
        <f>(G385-H385)</f>
        <v>0.20279999999999987</v>
      </c>
      <c r="J385" s="273">
        <f t="shared" si="42"/>
        <v>4.7000000000001207E-3</v>
      </c>
      <c r="K385" s="275">
        <f t="shared" si="43"/>
        <v>2.2650602409639138</v>
      </c>
      <c r="L385">
        <v>10</v>
      </c>
      <c r="M385" s="276">
        <v>43355.625</v>
      </c>
      <c r="N385" s="276">
        <v>43355.791666666664</v>
      </c>
      <c r="O385" s="273" t="s">
        <v>2938</v>
      </c>
      <c r="R385" s="275"/>
    </row>
    <row r="386" spans="1:18">
      <c r="A386" t="s">
        <v>903</v>
      </c>
      <c r="C386" t="s">
        <v>2772</v>
      </c>
      <c r="D386">
        <v>1.6285000000000001</v>
      </c>
      <c r="E386">
        <v>10.698499999999999</v>
      </c>
      <c r="F386">
        <v>0.2147</v>
      </c>
      <c r="G386" s="274">
        <f t="shared" si="41"/>
        <v>10.9132</v>
      </c>
      <c r="H386" s="274">
        <v>10.709</v>
      </c>
      <c r="I386" s="274">
        <f t="shared" ref="I386:I392" si="46">G386-H386</f>
        <v>0.20420000000000016</v>
      </c>
      <c r="J386" s="273">
        <f t="shared" si="42"/>
        <v>1.0499999999999843E-2</v>
      </c>
      <c r="K386" s="275">
        <f t="shared" si="43"/>
        <v>4.8905449464368154</v>
      </c>
      <c r="L386">
        <v>5</v>
      </c>
      <c r="M386" s="276">
        <v>43363</v>
      </c>
      <c r="N386" s="276">
        <v>43364</v>
      </c>
      <c r="O386" s="273"/>
      <c r="R386" s="275"/>
    </row>
    <row r="387" spans="1:18">
      <c r="A387" t="s">
        <v>902</v>
      </c>
      <c r="C387" t="s">
        <v>3052</v>
      </c>
      <c r="D387">
        <v>1.6991000000000001</v>
      </c>
      <c r="E387">
        <v>7.9073000000000002</v>
      </c>
      <c r="F387">
        <v>0.2155</v>
      </c>
      <c r="G387" s="274">
        <f t="shared" si="41"/>
        <v>8.1227999999999998</v>
      </c>
      <c r="H387" s="274">
        <v>7.9135999999999997</v>
      </c>
      <c r="I387" s="274">
        <f t="shared" si="46"/>
        <v>0.20920000000000005</v>
      </c>
      <c r="J387" s="273">
        <f t="shared" si="42"/>
        <v>6.2999999999999445E-3</v>
      </c>
      <c r="K387" s="275">
        <f t="shared" si="43"/>
        <v>2.9234338747099509</v>
      </c>
      <c r="L387">
        <v>8</v>
      </c>
      <c r="M387" s="16">
        <v>43381</v>
      </c>
      <c r="N387" s="16">
        <v>43382</v>
      </c>
      <c r="R387" s="275"/>
    </row>
    <row r="388" spans="1:18">
      <c r="A388" t="s">
        <v>901</v>
      </c>
      <c r="C388" t="s">
        <v>2696</v>
      </c>
      <c r="D388">
        <v>1.5666</v>
      </c>
      <c r="E388">
        <v>8.1202000000000005</v>
      </c>
      <c r="F388">
        <v>0.20530000000000001</v>
      </c>
      <c r="G388" s="274">
        <f t="shared" si="41"/>
        <v>8.3254999999999999</v>
      </c>
      <c r="H388" s="274">
        <v>8.1329999999999991</v>
      </c>
      <c r="I388" s="274">
        <f t="shared" si="46"/>
        <v>0.19250000000000078</v>
      </c>
      <c r="J388" s="273">
        <f t="shared" si="42"/>
        <v>1.2799999999999229E-2</v>
      </c>
      <c r="K388" s="275">
        <f t="shared" si="43"/>
        <v>6.2347783731121424</v>
      </c>
      <c r="L388">
        <v>37</v>
      </c>
      <c r="M388" s="276">
        <v>43363</v>
      </c>
      <c r="N388" s="276">
        <v>43364</v>
      </c>
      <c r="O388" s="273" t="s">
        <v>3033</v>
      </c>
      <c r="R388" s="275"/>
    </row>
    <row r="389" spans="1:18">
      <c r="A389" t="s">
        <v>899</v>
      </c>
      <c r="C389" t="s">
        <v>2959</v>
      </c>
      <c r="D389">
        <v>1.7774000000000001</v>
      </c>
      <c r="E389">
        <v>9.032</v>
      </c>
      <c r="F389">
        <v>0.21099999999999999</v>
      </c>
      <c r="G389" s="274">
        <f t="shared" si="41"/>
        <v>9.2430000000000003</v>
      </c>
      <c r="H389" s="274">
        <v>9.0398999999999994</v>
      </c>
      <c r="I389" s="274">
        <f t="shared" si="46"/>
        <v>0.20310000000000095</v>
      </c>
      <c r="J389" s="273">
        <f t="shared" si="42"/>
        <v>7.8999999999990467E-3</v>
      </c>
      <c r="K389" s="275">
        <f t="shared" si="43"/>
        <v>3.7440758293834344</v>
      </c>
      <c r="L389">
        <v>4</v>
      </c>
      <c r="M389" s="276">
        <v>43361</v>
      </c>
      <c r="N389" s="276">
        <v>43362</v>
      </c>
      <c r="O389" s="273" t="s">
        <v>3008</v>
      </c>
      <c r="R389" s="275"/>
    </row>
    <row r="390" spans="1:18">
      <c r="A390" t="s">
        <v>898</v>
      </c>
      <c r="C390" t="s">
        <v>2770</v>
      </c>
      <c r="D390">
        <v>1.7736000000000001</v>
      </c>
      <c r="E390">
        <v>8.1334</v>
      </c>
      <c r="F390">
        <v>0.2112</v>
      </c>
      <c r="G390" s="274">
        <f t="shared" si="41"/>
        <v>8.3445999999999998</v>
      </c>
      <c r="H390" s="274">
        <v>8.1402999999999999</v>
      </c>
      <c r="I390" s="274">
        <f t="shared" si="46"/>
        <v>0.20429999999999993</v>
      </c>
      <c r="J390" s="273">
        <f t="shared" si="42"/>
        <v>6.9000000000000727E-3</v>
      </c>
      <c r="K390" s="275">
        <f t="shared" si="43"/>
        <v>3.2670454545454892</v>
      </c>
      <c r="L390">
        <v>33</v>
      </c>
      <c r="M390" s="276">
        <v>43363</v>
      </c>
      <c r="N390" s="276">
        <v>43364</v>
      </c>
      <c r="O390" s="273" t="s">
        <v>3033</v>
      </c>
      <c r="R390" s="275"/>
    </row>
    <row r="391" spans="1:18">
      <c r="A391" t="s">
        <v>896</v>
      </c>
      <c r="C391" t="s">
        <v>3038</v>
      </c>
      <c r="D391">
        <v>1.6872</v>
      </c>
      <c r="E391">
        <v>8.1362000000000005</v>
      </c>
      <c r="F391">
        <v>0.21959999999999999</v>
      </c>
      <c r="G391" s="274">
        <f t="shared" si="41"/>
        <v>8.3558000000000003</v>
      </c>
      <c r="H391" s="274">
        <v>8.1433999999999997</v>
      </c>
      <c r="I391" s="274">
        <f t="shared" si="46"/>
        <v>0.21240000000000059</v>
      </c>
      <c r="J391" s="273">
        <f t="shared" si="42"/>
        <v>7.1999999999994013E-3</v>
      </c>
      <c r="K391" s="275">
        <f t="shared" si="43"/>
        <v>3.2786885245898914</v>
      </c>
      <c r="L391">
        <v>33</v>
      </c>
      <c r="M391" s="276">
        <v>43363</v>
      </c>
      <c r="N391" s="276">
        <v>43364</v>
      </c>
      <c r="R391" s="275"/>
    </row>
    <row r="392" spans="1:18">
      <c r="A392" t="s">
        <v>895</v>
      </c>
      <c r="B392">
        <v>219</v>
      </c>
      <c r="C392" t="s">
        <v>2490</v>
      </c>
      <c r="D392">
        <v>1.4515</v>
      </c>
      <c r="E392">
        <v>11.865</v>
      </c>
      <c r="F392">
        <v>0.20930000000000001</v>
      </c>
      <c r="G392" s="274">
        <f t="shared" si="41"/>
        <v>12.074300000000001</v>
      </c>
      <c r="H392" s="274">
        <v>11.880800000000001</v>
      </c>
      <c r="I392" s="274">
        <f t="shared" si="46"/>
        <v>0.19350000000000023</v>
      </c>
      <c r="J392" s="273">
        <f t="shared" si="42"/>
        <v>1.5799999999999786E-2</v>
      </c>
      <c r="K392" s="275">
        <f t="shared" si="43"/>
        <v>7.5489727663639679</v>
      </c>
      <c r="L392">
        <v>22</v>
      </c>
      <c r="M392">
        <v>23.101800000000001</v>
      </c>
      <c r="N392" s="16">
        <v>43397</v>
      </c>
      <c r="R392" s="275"/>
    </row>
    <row r="393" spans="1:18">
      <c r="A393" t="s">
        <v>894</v>
      </c>
      <c r="C393" t="s">
        <v>2995</v>
      </c>
      <c r="D393">
        <v>1.5174000000000001</v>
      </c>
      <c r="E393">
        <v>7.9615</v>
      </c>
      <c r="F393">
        <v>0.22570000000000001</v>
      </c>
      <c r="G393" s="274">
        <f t="shared" si="41"/>
        <v>8.1872000000000007</v>
      </c>
      <c r="H393" s="274">
        <v>7.9802</v>
      </c>
      <c r="I393" s="274">
        <f>(G393-H393)</f>
        <v>0.20700000000000074</v>
      </c>
      <c r="J393" s="273">
        <f t="shared" si="42"/>
        <v>1.8699999999999273E-2</v>
      </c>
      <c r="K393" s="275">
        <f t="shared" si="43"/>
        <v>8.2853345148423898</v>
      </c>
      <c r="L393">
        <v>19</v>
      </c>
      <c r="M393" s="276">
        <v>43360</v>
      </c>
      <c r="N393" s="276">
        <v>43361</v>
      </c>
      <c r="O393" s="273" t="s">
        <v>2985</v>
      </c>
      <c r="R393" s="275"/>
    </row>
    <row r="394" spans="1:18">
      <c r="A394" t="s">
        <v>892</v>
      </c>
      <c r="B394">
        <v>211</v>
      </c>
      <c r="C394" t="s">
        <v>2490</v>
      </c>
      <c r="D394">
        <v>0.36570000000000003</v>
      </c>
      <c r="E394">
        <v>10.1096</v>
      </c>
      <c r="F394">
        <v>0.20730000000000001</v>
      </c>
      <c r="G394" s="274">
        <f t="shared" si="41"/>
        <v>10.3169</v>
      </c>
      <c r="H394" s="274">
        <v>10.182700000000001</v>
      </c>
      <c r="I394" s="274">
        <f t="shared" ref="I394:I403" si="47">G394-H394</f>
        <v>0.13419999999999987</v>
      </c>
      <c r="J394" s="273">
        <f t="shared" si="42"/>
        <v>7.3100000000000137E-2</v>
      </c>
      <c r="K394" s="275">
        <f t="shared" si="43"/>
        <v>35.262904003859205</v>
      </c>
      <c r="L394">
        <v>16</v>
      </c>
      <c r="M394">
        <v>23.101800000000001</v>
      </c>
      <c r="N394" s="16">
        <v>43397</v>
      </c>
      <c r="P394" t="s">
        <v>3064</v>
      </c>
      <c r="R394" s="275"/>
    </row>
    <row r="395" spans="1:18">
      <c r="A395" t="s">
        <v>887</v>
      </c>
      <c r="B395">
        <v>204</v>
      </c>
      <c r="C395" t="s">
        <v>2490</v>
      </c>
      <c r="D395">
        <v>1.6107</v>
      </c>
      <c r="E395">
        <v>7.3552</v>
      </c>
      <c r="F395">
        <v>0.2019</v>
      </c>
      <c r="G395">
        <f t="shared" si="41"/>
        <v>7.5571000000000002</v>
      </c>
      <c r="H395">
        <v>7.3673999999999999</v>
      </c>
      <c r="I395" s="274">
        <f t="shared" si="47"/>
        <v>0.1897000000000002</v>
      </c>
      <c r="J395" s="273">
        <f t="shared" si="42"/>
        <v>1.2199999999999794E-2</v>
      </c>
      <c r="K395" s="275">
        <f t="shared" si="43"/>
        <v>6.0425953442297144</v>
      </c>
      <c r="L395">
        <v>11</v>
      </c>
      <c r="M395" s="16">
        <v>43399</v>
      </c>
      <c r="N395" s="16">
        <v>43400</v>
      </c>
      <c r="R395" s="275"/>
    </row>
    <row r="396" spans="1:18">
      <c r="A396" t="s">
        <v>885</v>
      </c>
      <c r="B396">
        <v>211</v>
      </c>
      <c r="C396" t="s">
        <v>2490</v>
      </c>
      <c r="D396">
        <v>1.3955</v>
      </c>
      <c r="E396">
        <v>11.7478</v>
      </c>
      <c r="F396">
        <v>0.21129999999999999</v>
      </c>
      <c r="G396">
        <f t="shared" si="41"/>
        <v>11.959099999999999</v>
      </c>
      <c r="H396">
        <v>11.764699999999999</v>
      </c>
      <c r="I396" s="274">
        <f t="shared" si="47"/>
        <v>0.19439999999999991</v>
      </c>
      <c r="J396" s="273">
        <f t="shared" si="42"/>
        <v>1.6900000000000082E-2</v>
      </c>
      <c r="K396" s="275">
        <f t="shared" si="43"/>
        <v>7.9981069569333094</v>
      </c>
      <c r="L396">
        <v>8</v>
      </c>
      <c r="M396" s="16">
        <v>43402</v>
      </c>
      <c r="N396" s="16">
        <v>43403</v>
      </c>
      <c r="R396" s="275"/>
    </row>
    <row r="397" spans="1:18">
      <c r="A397" t="s">
        <v>884</v>
      </c>
      <c r="C397" t="s">
        <v>3004</v>
      </c>
      <c r="D397">
        <v>1.7994000000000001</v>
      </c>
      <c r="E397">
        <v>7.7744</v>
      </c>
      <c r="F397">
        <v>0.20300000000000001</v>
      </c>
      <c r="G397" s="274">
        <f t="shared" si="41"/>
        <v>7.9774000000000003</v>
      </c>
      <c r="H397" s="274">
        <v>7.7801999999999998</v>
      </c>
      <c r="I397" s="274">
        <f t="shared" si="47"/>
        <v>0.19720000000000049</v>
      </c>
      <c r="J397" s="273">
        <f t="shared" si="42"/>
        <v>5.7999999999995278E-3</v>
      </c>
      <c r="K397" s="275">
        <f t="shared" si="43"/>
        <v>2.8571428571426241</v>
      </c>
      <c r="L397">
        <v>5</v>
      </c>
      <c r="M397" s="276">
        <v>43374</v>
      </c>
      <c r="N397" s="276">
        <v>43375</v>
      </c>
      <c r="O397" s="273" t="s">
        <v>3008</v>
      </c>
      <c r="R397" s="275"/>
    </row>
    <row r="398" spans="1:18">
      <c r="A398" t="s">
        <v>881</v>
      </c>
      <c r="C398" t="s">
        <v>2996</v>
      </c>
      <c r="D398">
        <v>1.7171000000000001</v>
      </c>
      <c r="E398">
        <v>19.709900000000001</v>
      </c>
      <c r="F398">
        <v>0.24229999999999999</v>
      </c>
      <c r="G398" s="274">
        <f t="shared" si="41"/>
        <v>19.952200000000001</v>
      </c>
      <c r="H398" s="274">
        <v>19.718900000000001</v>
      </c>
      <c r="I398" s="274">
        <f t="shared" si="47"/>
        <v>0.23329999999999984</v>
      </c>
      <c r="J398" s="273">
        <f t="shared" si="42"/>
        <v>9.0000000000001468E-3</v>
      </c>
      <c r="K398" s="275">
        <f t="shared" si="43"/>
        <v>3.7144036318613898</v>
      </c>
      <c r="L398">
        <v>27</v>
      </c>
      <c r="M398" s="276">
        <v>43361</v>
      </c>
      <c r="N398" s="276">
        <v>43362</v>
      </c>
      <c r="O398" s="273" t="s">
        <v>3008</v>
      </c>
      <c r="R398" s="275"/>
    </row>
    <row r="399" spans="1:18">
      <c r="A399" t="s">
        <v>880</v>
      </c>
      <c r="C399" t="s">
        <v>2992</v>
      </c>
      <c r="D399">
        <v>1.8492999999999999</v>
      </c>
      <c r="E399">
        <v>10.743499999999999</v>
      </c>
      <c r="F399">
        <v>0.2029</v>
      </c>
      <c r="G399" s="274">
        <f t="shared" si="41"/>
        <v>10.946399999999999</v>
      </c>
      <c r="H399" s="274">
        <v>10.7515</v>
      </c>
      <c r="I399" s="274">
        <f t="shared" si="47"/>
        <v>0.19489999999999874</v>
      </c>
      <c r="J399" s="273">
        <f t="shared" si="42"/>
        <v>8.0000000000012561E-3</v>
      </c>
      <c r="K399" s="275">
        <f t="shared" si="43"/>
        <v>3.9428289797936209</v>
      </c>
      <c r="L399">
        <v>6</v>
      </c>
      <c r="M399" s="276">
        <v>43361</v>
      </c>
      <c r="N399" s="276">
        <v>43362</v>
      </c>
      <c r="O399" s="273" t="s">
        <v>3008</v>
      </c>
      <c r="R399" s="275"/>
    </row>
    <row r="400" spans="1:18">
      <c r="A400" t="s">
        <v>874</v>
      </c>
      <c r="C400" t="s">
        <v>2740</v>
      </c>
      <c r="D400">
        <v>1.5768</v>
      </c>
      <c r="E400">
        <v>9.1399000000000008</v>
      </c>
      <c r="F400">
        <v>0.20100000000000001</v>
      </c>
      <c r="G400" s="274">
        <f t="shared" si="41"/>
        <v>9.3409000000000013</v>
      </c>
      <c r="H400" s="274">
        <v>9.1579999999999995</v>
      </c>
      <c r="I400" s="274">
        <f t="shared" si="47"/>
        <v>0.18290000000000184</v>
      </c>
      <c r="J400" s="273">
        <f t="shared" si="42"/>
        <v>1.8099999999998173E-2</v>
      </c>
      <c r="K400" s="275">
        <f t="shared" si="43"/>
        <v>9.0049751243772</v>
      </c>
      <c r="L400">
        <v>10</v>
      </c>
      <c r="M400" s="276">
        <v>43374</v>
      </c>
      <c r="N400" s="276">
        <v>43375</v>
      </c>
      <c r="O400" s="273" t="s">
        <v>3008</v>
      </c>
      <c r="R400" s="275"/>
    </row>
    <row r="401" spans="1:25">
      <c r="A401" t="s">
        <v>872</v>
      </c>
      <c r="C401" t="s">
        <v>2759</v>
      </c>
      <c r="D401">
        <v>1.6080000000000001</v>
      </c>
      <c r="E401">
        <v>7.7744</v>
      </c>
      <c r="F401">
        <v>0.216</v>
      </c>
      <c r="G401" s="274">
        <f t="shared" si="41"/>
        <v>7.9904000000000002</v>
      </c>
      <c r="H401" s="274">
        <v>7.7919999999999998</v>
      </c>
      <c r="I401" s="274">
        <f t="shared" si="47"/>
        <v>0.19840000000000035</v>
      </c>
      <c r="J401" s="273">
        <f t="shared" si="42"/>
        <v>1.7599999999999644E-2</v>
      </c>
      <c r="K401" s="275">
        <f t="shared" si="43"/>
        <v>8.1481481481479836</v>
      </c>
      <c r="L401">
        <v>18</v>
      </c>
      <c r="M401" s="276">
        <v>43363</v>
      </c>
      <c r="N401" s="276">
        <v>43364</v>
      </c>
      <c r="R401" s="275"/>
    </row>
    <row r="402" spans="1:25">
      <c r="A402" t="s">
        <v>871</v>
      </c>
      <c r="C402" t="s">
        <v>2967</v>
      </c>
      <c r="D402">
        <v>1.8399000000000001</v>
      </c>
      <c r="E402">
        <v>10.0778</v>
      </c>
      <c r="F402">
        <v>0.21560000000000001</v>
      </c>
      <c r="G402" s="274">
        <f t="shared" si="41"/>
        <v>10.2934</v>
      </c>
      <c r="H402" s="274">
        <v>10.083500000000001</v>
      </c>
      <c r="I402" s="274">
        <f t="shared" si="47"/>
        <v>0.20989999999999931</v>
      </c>
      <c r="J402" s="273">
        <f t="shared" si="42"/>
        <v>5.7000000000007045E-3</v>
      </c>
      <c r="K402" s="275">
        <f t="shared" si="43"/>
        <v>2.6437847866422564</v>
      </c>
      <c r="L402">
        <v>8</v>
      </c>
      <c r="M402" s="16">
        <v>43388</v>
      </c>
      <c r="N402" s="276">
        <v>43389</v>
      </c>
      <c r="O402" s="276"/>
      <c r="P402" s="273"/>
      <c r="R402" s="275"/>
    </row>
    <row r="403" spans="1:25">
      <c r="A403" t="s">
        <v>869</v>
      </c>
      <c r="C403" t="s">
        <v>3007</v>
      </c>
      <c r="D403">
        <v>1.4455</v>
      </c>
      <c r="E403">
        <v>7.4816000000000003</v>
      </c>
      <c r="F403">
        <v>0.20760000000000001</v>
      </c>
      <c r="G403" s="274">
        <f t="shared" ref="G403:G434" si="48">E403+F403</f>
        <v>7.6892000000000005</v>
      </c>
      <c r="H403" s="274">
        <v>7.4984000000000002</v>
      </c>
      <c r="I403" s="274">
        <f t="shared" si="47"/>
        <v>0.1908000000000003</v>
      </c>
      <c r="J403" s="273">
        <f t="shared" si="42"/>
        <v>1.6799999999999704E-2</v>
      </c>
      <c r="K403" s="275">
        <f t="shared" si="43"/>
        <v>8.0924855491328049</v>
      </c>
      <c r="L403">
        <v>29</v>
      </c>
      <c r="M403" s="276">
        <v>43361</v>
      </c>
      <c r="N403" s="276">
        <v>43362</v>
      </c>
      <c r="O403" s="273" t="s">
        <v>3008</v>
      </c>
      <c r="V403" s="274"/>
    </row>
    <row r="404" spans="1:25">
      <c r="A404" t="s">
        <v>866</v>
      </c>
      <c r="C404" t="s">
        <v>2940</v>
      </c>
      <c r="D404">
        <v>1.8433999999999999</v>
      </c>
      <c r="E404">
        <v>11.158899999999999</v>
      </c>
      <c r="F404">
        <v>0.20349999999999999</v>
      </c>
      <c r="G404" s="274">
        <f t="shared" si="48"/>
        <v>11.362399999999999</v>
      </c>
      <c r="H404" s="274">
        <v>11.1637</v>
      </c>
      <c r="I404" s="274">
        <f>(G404-H404)</f>
        <v>0.19869999999999877</v>
      </c>
      <c r="J404" s="273">
        <f t="shared" si="42"/>
        <v>4.80000000000122E-3</v>
      </c>
      <c r="K404" s="275">
        <f t="shared" si="43"/>
        <v>2.3587223587229587</v>
      </c>
      <c r="L404">
        <v>36</v>
      </c>
      <c r="M404" s="16">
        <v>43358</v>
      </c>
      <c r="N404" s="16">
        <v>43358</v>
      </c>
      <c r="R404" s="275"/>
      <c r="W404" s="274"/>
      <c r="X404" s="274"/>
      <c r="Y404" s="273"/>
    </row>
    <row r="405" spans="1:25">
      <c r="A405" t="s">
        <v>865</v>
      </c>
      <c r="C405" t="s">
        <v>3059</v>
      </c>
      <c r="D405">
        <v>1.0982000000000001</v>
      </c>
      <c r="E405">
        <v>8.7744</v>
      </c>
      <c r="F405">
        <v>0.224</v>
      </c>
      <c r="G405" s="274">
        <f t="shared" si="48"/>
        <v>8.9984000000000002</v>
      </c>
      <c r="H405" s="274">
        <v>8.9724000000000004</v>
      </c>
      <c r="I405" s="274">
        <f>G405-H405</f>
        <v>2.5999999999999801E-2</v>
      </c>
      <c r="J405" s="273">
        <f t="shared" si="42"/>
        <v>0.1980000000000002</v>
      </c>
      <c r="K405" s="275">
        <f t="shared" si="43"/>
        <v>88.392857142857224</v>
      </c>
      <c r="L405">
        <v>1</v>
      </c>
      <c r="M405" s="16">
        <v>43399</v>
      </c>
      <c r="N405" s="16">
        <v>43400</v>
      </c>
      <c r="R405" s="275"/>
    </row>
    <row r="406" spans="1:25">
      <c r="A406" t="s">
        <v>864</v>
      </c>
      <c r="C406" t="s">
        <v>3005</v>
      </c>
      <c r="D406">
        <v>1.8165</v>
      </c>
      <c r="E406">
        <v>11.160500000000001</v>
      </c>
      <c r="F406">
        <v>0.21510000000000001</v>
      </c>
      <c r="G406" s="274">
        <f t="shared" si="48"/>
        <v>11.3756</v>
      </c>
      <c r="H406" s="274">
        <v>11.165100000000001</v>
      </c>
      <c r="I406" s="274">
        <f>(G406-H406)</f>
        <v>0.21049999999999969</v>
      </c>
      <c r="J406" s="273">
        <f t="shared" si="42"/>
        <v>4.6000000000003261E-3</v>
      </c>
      <c r="K406" s="275">
        <f t="shared" si="43"/>
        <v>2.1385402138541729</v>
      </c>
      <c r="L406">
        <v>39</v>
      </c>
      <c r="M406" s="276">
        <v>43360</v>
      </c>
      <c r="N406" s="276">
        <v>43361</v>
      </c>
      <c r="O406" s="273" t="s">
        <v>2985</v>
      </c>
      <c r="R406" s="275"/>
    </row>
    <row r="407" spans="1:25">
      <c r="A407" t="s">
        <v>861</v>
      </c>
      <c r="C407" t="s">
        <v>3021</v>
      </c>
      <c r="D407">
        <v>1.7094</v>
      </c>
      <c r="E407">
        <v>10.418200000000001</v>
      </c>
      <c r="F407">
        <v>0.20730000000000001</v>
      </c>
      <c r="G407" s="274">
        <f t="shared" si="48"/>
        <v>10.625500000000001</v>
      </c>
      <c r="H407" s="274">
        <v>10.4237</v>
      </c>
      <c r="I407" s="274">
        <f>G407-H407</f>
        <v>0.20180000000000042</v>
      </c>
      <c r="J407" s="273">
        <f t="shared" si="42"/>
        <v>5.4999999999995886E-3</v>
      </c>
      <c r="K407" s="275">
        <f t="shared" si="43"/>
        <v>2.6531596719727872</v>
      </c>
      <c r="L407">
        <v>25</v>
      </c>
      <c r="M407">
        <v>23.101800000000001</v>
      </c>
      <c r="N407" s="16">
        <v>43397</v>
      </c>
      <c r="R407" s="275"/>
    </row>
    <row r="408" spans="1:25">
      <c r="A408" t="s">
        <v>860</v>
      </c>
      <c r="C408" t="s">
        <v>2980</v>
      </c>
      <c r="D408">
        <v>1.5553999999999999</v>
      </c>
      <c r="E408">
        <v>9.2219999999999995</v>
      </c>
      <c r="F408">
        <v>0.218</v>
      </c>
      <c r="G408" s="274">
        <f t="shared" si="48"/>
        <v>9.44</v>
      </c>
      <c r="H408" s="274">
        <v>9.2325999999999997</v>
      </c>
      <c r="I408" s="274">
        <f>G408-H408</f>
        <v>0.20739999999999981</v>
      </c>
      <c r="J408" s="273">
        <f t="shared" si="42"/>
        <v>1.0600000000000193E-2</v>
      </c>
      <c r="K408" s="275">
        <f t="shared" si="43"/>
        <v>4.862385321101006</v>
      </c>
      <c r="L408">
        <v>3</v>
      </c>
      <c r="M408" s="276">
        <v>43363</v>
      </c>
      <c r="N408" s="276">
        <v>43364</v>
      </c>
      <c r="O408" s="273" t="s">
        <v>3033</v>
      </c>
      <c r="R408" s="275"/>
    </row>
    <row r="409" spans="1:25">
      <c r="A409" t="s">
        <v>858</v>
      </c>
      <c r="C409" t="s">
        <v>3047</v>
      </c>
      <c r="D409">
        <v>1.7549999999999999</v>
      </c>
      <c r="E409">
        <v>9.5569000000000006</v>
      </c>
      <c r="F409">
        <v>0.22589999999999999</v>
      </c>
      <c r="G409" s="278">
        <f t="shared" si="48"/>
        <v>9.7827999999999999</v>
      </c>
      <c r="H409" s="274">
        <v>9.5626999999999995</v>
      </c>
      <c r="I409" s="278">
        <f>G409-H409</f>
        <v>0.22010000000000041</v>
      </c>
      <c r="J409" s="273">
        <f t="shared" si="42"/>
        <v>5.7999999999995833E-3</v>
      </c>
      <c r="K409" s="275">
        <f t="shared" si="43"/>
        <v>2.5675077467904308</v>
      </c>
      <c r="L409">
        <v>14</v>
      </c>
      <c r="M409" s="276">
        <v>43379</v>
      </c>
      <c r="N409" s="276">
        <v>43379</v>
      </c>
      <c r="O409" s="273"/>
      <c r="R409" s="275"/>
    </row>
    <row r="410" spans="1:25">
      <c r="A410" t="s">
        <v>857</v>
      </c>
      <c r="B410">
        <v>206</v>
      </c>
      <c r="C410" t="s">
        <v>2490</v>
      </c>
      <c r="D410">
        <v>1.4330000000000001</v>
      </c>
      <c r="E410">
        <v>8.7696000000000005</v>
      </c>
      <c r="F410">
        <v>0.20619999999999999</v>
      </c>
      <c r="G410">
        <f t="shared" si="48"/>
        <v>8.9758000000000013</v>
      </c>
      <c r="H410">
        <v>8.7903000000000002</v>
      </c>
      <c r="I410" s="274">
        <f>G410-H410</f>
        <v>0.18550000000000111</v>
      </c>
      <c r="J410" s="273">
        <f t="shared" ref="J410:J434" si="49">F410-I410</f>
        <v>2.0699999999998886E-2</v>
      </c>
      <c r="K410" s="275">
        <f t="shared" ref="K410:K434" si="50">(J410/F410)*100</f>
        <v>10.038797284189567</v>
      </c>
      <c r="L410">
        <v>19</v>
      </c>
      <c r="M410" s="16">
        <v>43399</v>
      </c>
      <c r="N410" s="16">
        <v>43400</v>
      </c>
      <c r="R410" s="275"/>
    </row>
    <row r="411" spans="1:25">
      <c r="A411" t="s">
        <v>849</v>
      </c>
      <c r="C411" t="s">
        <v>2974</v>
      </c>
      <c r="D411">
        <v>1.8677999999999999</v>
      </c>
      <c r="E411">
        <v>11.1732</v>
      </c>
      <c r="F411">
        <v>0.21229999999999999</v>
      </c>
      <c r="G411" s="274">
        <f t="shared" si="48"/>
        <v>11.3855</v>
      </c>
      <c r="H411" s="274">
        <v>11.178599999999999</v>
      </c>
      <c r="I411" s="274">
        <f>(G411-H411)</f>
        <v>0.20690000000000097</v>
      </c>
      <c r="J411" s="273">
        <f t="shared" si="49"/>
        <v>5.3999999999990167E-3</v>
      </c>
      <c r="K411" s="275">
        <f t="shared" si="50"/>
        <v>2.5435704192176245</v>
      </c>
      <c r="L411">
        <v>27</v>
      </c>
      <c r="M411" s="276">
        <v>43360</v>
      </c>
      <c r="N411" s="276">
        <v>43361</v>
      </c>
      <c r="O411" s="273" t="s">
        <v>2985</v>
      </c>
      <c r="R411" s="275"/>
    </row>
    <row r="412" spans="1:25">
      <c r="A412" t="s">
        <v>847</v>
      </c>
      <c r="C412" t="s">
        <v>2992</v>
      </c>
      <c r="D412">
        <v>0.28799999999999998</v>
      </c>
      <c r="E412">
        <v>8.7743000000000002</v>
      </c>
      <c r="F412">
        <v>0.20030000000000001</v>
      </c>
      <c r="G412" s="274">
        <f t="shared" si="48"/>
        <v>8.9746000000000006</v>
      </c>
      <c r="H412" s="274">
        <v>8.9074000000000009</v>
      </c>
      <c r="I412" s="274">
        <f>G412-H412</f>
        <v>6.7199999999999704E-2</v>
      </c>
      <c r="J412" s="273">
        <f t="shared" si="49"/>
        <v>0.1331000000000003</v>
      </c>
      <c r="K412" s="275">
        <f t="shared" si="50"/>
        <v>66.450324513230314</v>
      </c>
      <c r="L412">
        <v>21</v>
      </c>
      <c r="M412" s="16">
        <v>43381</v>
      </c>
      <c r="N412" s="16">
        <v>43382</v>
      </c>
      <c r="R412" s="275"/>
    </row>
    <row r="413" spans="1:25">
      <c r="A413" t="s">
        <v>846</v>
      </c>
      <c r="C413" t="s">
        <v>2702</v>
      </c>
      <c r="D413">
        <v>1.5531999999999999</v>
      </c>
      <c r="E413">
        <v>20.894400000000001</v>
      </c>
      <c r="F413">
        <v>0.2336</v>
      </c>
      <c r="G413" s="274">
        <f t="shared" si="48"/>
        <v>21.128</v>
      </c>
      <c r="H413" s="274">
        <v>20.908899999999999</v>
      </c>
      <c r="I413" s="274">
        <f>G413-H413</f>
        <v>0.21910000000000096</v>
      </c>
      <c r="J413" s="273">
        <f t="shared" si="49"/>
        <v>1.4499999999999041E-2</v>
      </c>
      <c r="K413" s="275">
        <f t="shared" si="50"/>
        <v>6.2071917808215078</v>
      </c>
      <c r="L413">
        <v>41</v>
      </c>
      <c r="M413" s="276">
        <v>43363</v>
      </c>
      <c r="N413" s="276">
        <v>43364</v>
      </c>
      <c r="O413" s="273" t="s">
        <v>3033</v>
      </c>
      <c r="R413" s="275"/>
    </row>
    <row r="414" spans="1:25">
      <c r="A414" t="s">
        <v>844</v>
      </c>
      <c r="C414" t="s">
        <v>2990</v>
      </c>
      <c r="D414">
        <v>1.7957000000000001</v>
      </c>
      <c r="E414">
        <v>8.8607999999999993</v>
      </c>
      <c r="F414">
        <v>0.21440000000000001</v>
      </c>
      <c r="G414" s="274">
        <f t="shared" si="48"/>
        <v>9.0751999999999988</v>
      </c>
      <c r="H414" s="274">
        <v>8.8655000000000008</v>
      </c>
      <c r="I414" s="274">
        <f>(G414-H414)</f>
        <v>0.209699999999998</v>
      </c>
      <c r="J414" s="273">
        <f t="shared" si="49"/>
        <v>4.7000000000020081E-3</v>
      </c>
      <c r="K414" s="275">
        <f t="shared" si="50"/>
        <v>2.1921641791054141</v>
      </c>
      <c r="L414">
        <v>9</v>
      </c>
      <c r="M414" s="276">
        <v>43360</v>
      </c>
      <c r="N414" s="276">
        <v>43361</v>
      </c>
      <c r="O414" s="273" t="s">
        <v>2985</v>
      </c>
      <c r="R414" s="275"/>
    </row>
    <row r="415" spans="1:25">
      <c r="A415" t="s">
        <v>843</v>
      </c>
      <c r="C415" t="s">
        <v>3024</v>
      </c>
      <c r="D415">
        <v>1.8102</v>
      </c>
      <c r="E415">
        <v>10.0573</v>
      </c>
      <c r="F415">
        <v>0.21199999999999999</v>
      </c>
      <c r="G415">
        <f t="shared" si="48"/>
        <v>10.269299999999999</v>
      </c>
      <c r="H415">
        <v>10.0618</v>
      </c>
      <c r="I415" s="274">
        <f>G415-H415</f>
        <v>0.20749999999999957</v>
      </c>
      <c r="J415" s="273">
        <f t="shared" si="49"/>
        <v>4.5000000000004203E-3</v>
      </c>
      <c r="K415" s="275">
        <f t="shared" si="50"/>
        <v>2.1226415094341604</v>
      </c>
      <c r="L415">
        <v>11</v>
      </c>
      <c r="M415" s="16">
        <v>43402</v>
      </c>
      <c r="N415" s="16">
        <v>43403</v>
      </c>
      <c r="R415" s="275"/>
    </row>
    <row r="416" spans="1:25">
      <c r="A416" t="s">
        <v>842</v>
      </c>
      <c r="C416" t="s">
        <v>3012</v>
      </c>
      <c r="D416">
        <v>1.6919999999999999</v>
      </c>
      <c r="E416">
        <v>19.645299999999999</v>
      </c>
      <c r="F416">
        <v>0.20419999999999999</v>
      </c>
      <c r="G416" s="274">
        <f t="shared" si="48"/>
        <v>19.849499999999999</v>
      </c>
      <c r="H416" s="274">
        <v>19.658200000000001</v>
      </c>
      <c r="I416" s="274">
        <f>G416-H416</f>
        <v>0.19129999999999825</v>
      </c>
      <c r="J416" s="273">
        <f t="shared" si="49"/>
        <v>1.2900000000001743E-2</v>
      </c>
      <c r="K416" s="275">
        <f t="shared" si="50"/>
        <v>6.3173359451526663</v>
      </c>
      <c r="L416">
        <v>33</v>
      </c>
      <c r="M416" s="276">
        <v>43361</v>
      </c>
      <c r="N416" s="276">
        <v>43362</v>
      </c>
      <c r="O416" s="273" t="s">
        <v>3008</v>
      </c>
      <c r="R416" s="275"/>
    </row>
    <row r="417" spans="1:18">
      <c r="A417" t="s">
        <v>837</v>
      </c>
      <c r="C417" t="s">
        <v>3049</v>
      </c>
      <c r="D417">
        <v>1.736</v>
      </c>
      <c r="E417">
        <v>10.1172</v>
      </c>
      <c r="F417">
        <v>0.217</v>
      </c>
      <c r="G417" s="278">
        <f t="shared" si="48"/>
        <v>10.334200000000001</v>
      </c>
      <c r="H417" s="274">
        <v>10.123799999999999</v>
      </c>
      <c r="I417" s="278">
        <f>G417-H417</f>
        <v>0.2104000000000017</v>
      </c>
      <c r="J417" s="273">
        <f t="shared" si="49"/>
        <v>6.5999999999983017E-3</v>
      </c>
      <c r="K417" s="275">
        <f t="shared" si="50"/>
        <v>3.0414746543770974</v>
      </c>
      <c r="L417">
        <v>23</v>
      </c>
      <c r="M417" s="276">
        <v>43379</v>
      </c>
      <c r="N417" s="276">
        <v>43379</v>
      </c>
      <c r="R417" s="275"/>
    </row>
    <row r="418" spans="1:18">
      <c r="A418" t="s">
        <v>836</v>
      </c>
      <c r="C418" t="s">
        <v>3051</v>
      </c>
      <c r="D418">
        <v>1.9196</v>
      </c>
      <c r="E418">
        <v>9.1574000000000009</v>
      </c>
      <c r="F418">
        <v>0.2288</v>
      </c>
      <c r="G418" s="274">
        <f t="shared" si="48"/>
        <v>9.3862000000000005</v>
      </c>
      <c r="H418" s="274">
        <v>9.1637000000000004</v>
      </c>
      <c r="I418" s="274">
        <f>G418-H418</f>
        <v>0.22250000000000014</v>
      </c>
      <c r="J418" s="273">
        <f t="shared" si="49"/>
        <v>6.2999999999998613E-3</v>
      </c>
      <c r="K418" s="275">
        <f t="shared" si="50"/>
        <v>2.7534965034964429</v>
      </c>
      <c r="L418">
        <v>14</v>
      </c>
      <c r="M418" s="16">
        <v>43381</v>
      </c>
      <c r="N418" s="16">
        <v>43382</v>
      </c>
      <c r="R418" s="275"/>
    </row>
    <row r="419" spans="1:18">
      <c r="A419" t="s">
        <v>835</v>
      </c>
      <c r="C419" t="s">
        <v>2953</v>
      </c>
      <c r="D419">
        <v>1.8827</v>
      </c>
      <c r="E419">
        <v>11.903600000000001</v>
      </c>
      <c r="F419">
        <v>0.2072</v>
      </c>
      <c r="G419" s="274">
        <f t="shared" si="48"/>
        <v>12.110800000000001</v>
      </c>
      <c r="H419" s="274">
        <v>11.910399999999999</v>
      </c>
      <c r="I419" s="274">
        <f>(G419-H419)</f>
        <v>0.20040000000000191</v>
      </c>
      <c r="J419" s="273">
        <f t="shared" si="49"/>
        <v>6.7999999999980854E-3</v>
      </c>
      <c r="K419" s="275">
        <f t="shared" si="50"/>
        <v>3.2818532818523578</v>
      </c>
      <c r="L419">
        <v>34</v>
      </c>
      <c r="M419" s="16">
        <v>43358</v>
      </c>
      <c r="N419" s="16">
        <v>43358</v>
      </c>
      <c r="R419" s="275"/>
    </row>
    <row r="420" spans="1:18">
      <c r="A420" t="s">
        <v>831</v>
      </c>
      <c r="C420" t="s">
        <v>2700</v>
      </c>
      <c r="D420">
        <v>1.5723</v>
      </c>
      <c r="E420">
        <v>7.0766</v>
      </c>
      <c r="F420">
        <v>0.20930000000000001</v>
      </c>
      <c r="G420" s="274">
        <f t="shared" si="48"/>
        <v>7.2858999999999998</v>
      </c>
      <c r="H420" s="274">
        <v>7.0860000000000003</v>
      </c>
      <c r="I420" s="274">
        <f t="shared" ref="I420:I434" si="51">G420-H420</f>
        <v>0.19989999999999952</v>
      </c>
      <c r="J420" s="273">
        <f t="shared" si="49"/>
        <v>9.4000000000004913E-3</v>
      </c>
      <c r="K420" s="275">
        <f t="shared" si="50"/>
        <v>4.4911610129003776</v>
      </c>
      <c r="L420">
        <v>24</v>
      </c>
      <c r="M420" s="16">
        <v>43381</v>
      </c>
      <c r="N420" s="16">
        <v>43382</v>
      </c>
      <c r="R420" s="275"/>
    </row>
    <row r="421" spans="1:18">
      <c r="A421" t="s">
        <v>828</v>
      </c>
      <c r="C421" t="s">
        <v>3041</v>
      </c>
      <c r="D421">
        <v>1.3869</v>
      </c>
      <c r="E421">
        <v>11.1555</v>
      </c>
      <c r="F421">
        <v>0.21</v>
      </c>
      <c r="G421" s="274">
        <f t="shared" si="48"/>
        <v>11.365500000000001</v>
      </c>
      <c r="H421" s="274">
        <v>11.174200000000001</v>
      </c>
      <c r="I421" s="274">
        <f t="shared" si="51"/>
        <v>0.19130000000000003</v>
      </c>
      <c r="J421" s="273">
        <f t="shared" si="49"/>
        <v>1.8699999999999967E-2</v>
      </c>
      <c r="K421" s="275">
        <f t="shared" si="50"/>
        <v>8.9047619047618891</v>
      </c>
      <c r="L421">
        <v>39</v>
      </c>
      <c r="M421" s="16">
        <v>43399</v>
      </c>
      <c r="N421" s="16">
        <v>43400</v>
      </c>
      <c r="R421" s="275"/>
    </row>
    <row r="422" spans="1:18">
      <c r="A422" t="s">
        <v>827</v>
      </c>
      <c r="C422" t="s">
        <v>2704</v>
      </c>
      <c r="D422">
        <v>1.5223</v>
      </c>
      <c r="E422">
        <v>7.8398000000000003</v>
      </c>
      <c r="F422">
        <v>0.2127</v>
      </c>
      <c r="G422">
        <f t="shared" si="48"/>
        <v>8.0525000000000002</v>
      </c>
      <c r="H422">
        <v>7.8501000000000003</v>
      </c>
      <c r="I422" s="274">
        <f t="shared" si="51"/>
        <v>0.20239999999999991</v>
      </c>
      <c r="J422" s="273">
        <f t="shared" si="49"/>
        <v>1.0300000000000087E-2</v>
      </c>
      <c r="K422" s="275">
        <f t="shared" si="50"/>
        <v>4.8425011753644043</v>
      </c>
      <c r="L422">
        <v>21</v>
      </c>
      <c r="M422" s="16">
        <v>43402</v>
      </c>
      <c r="N422" s="16">
        <v>43403</v>
      </c>
      <c r="R422" s="275"/>
    </row>
    <row r="423" spans="1:18">
      <c r="A423" t="s">
        <v>821</v>
      </c>
      <c r="C423" t="s">
        <v>3027</v>
      </c>
      <c r="D423">
        <v>1.7964</v>
      </c>
      <c r="E423">
        <v>8.7039000000000009</v>
      </c>
      <c r="F423">
        <v>0.20499999999999999</v>
      </c>
      <c r="G423" s="274">
        <f t="shared" si="48"/>
        <v>8.9089000000000009</v>
      </c>
      <c r="H423" s="274">
        <v>8.7085000000000008</v>
      </c>
      <c r="I423" s="274">
        <f t="shared" si="51"/>
        <v>0.20040000000000013</v>
      </c>
      <c r="J423" s="273">
        <f t="shared" si="49"/>
        <v>4.5999999999998542E-3</v>
      </c>
      <c r="K423" s="275">
        <f t="shared" si="50"/>
        <v>2.2439024390243194</v>
      </c>
      <c r="L423">
        <v>39</v>
      </c>
      <c r="M423" s="276">
        <v>43362</v>
      </c>
      <c r="N423" s="276">
        <v>43363</v>
      </c>
      <c r="R423" s="275"/>
    </row>
    <row r="424" spans="1:18">
      <c r="A424" t="s">
        <v>820</v>
      </c>
      <c r="B424">
        <v>213</v>
      </c>
      <c r="D424">
        <v>1.5478000000000001</v>
      </c>
      <c r="E424">
        <v>8.1189</v>
      </c>
      <c r="F424">
        <v>0.20280000000000001</v>
      </c>
      <c r="G424" s="274">
        <f t="shared" si="48"/>
        <v>8.3216999999999999</v>
      </c>
      <c r="H424" s="274">
        <v>8.1305999999999994</v>
      </c>
      <c r="I424" s="274">
        <f t="shared" si="51"/>
        <v>0.19110000000000049</v>
      </c>
      <c r="J424" s="273">
        <f t="shared" si="49"/>
        <v>1.1699999999999516E-2</v>
      </c>
      <c r="K424" s="275">
        <f t="shared" si="50"/>
        <v>5.7692307692305311</v>
      </c>
      <c r="L424">
        <v>35</v>
      </c>
      <c r="M424" s="16">
        <v>43388</v>
      </c>
      <c r="N424" s="276">
        <v>43389</v>
      </c>
      <c r="O424" s="16"/>
      <c r="R424" s="275"/>
    </row>
    <row r="425" spans="1:18">
      <c r="A425" t="s">
        <v>816</v>
      </c>
      <c r="C425" t="s">
        <v>2719</v>
      </c>
      <c r="D425">
        <v>1.4810000000000001</v>
      </c>
      <c r="E425">
        <v>11.2599</v>
      </c>
      <c r="F425">
        <v>0.20369999999999999</v>
      </c>
      <c r="G425">
        <f t="shared" si="48"/>
        <v>11.4636</v>
      </c>
      <c r="H425">
        <v>11.273099999999999</v>
      </c>
      <c r="I425" s="274">
        <f t="shared" si="51"/>
        <v>0.19050000000000011</v>
      </c>
      <c r="J425" s="273">
        <f t="shared" si="49"/>
        <v>1.3199999999999878E-2</v>
      </c>
      <c r="K425" s="275">
        <f t="shared" si="50"/>
        <v>6.4801178203239465</v>
      </c>
      <c r="L425">
        <v>16</v>
      </c>
      <c r="M425" s="16">
        <v>43402</v>
      </c>
      <c r="N425" s="16">
        <v>43403</v>
      </c>
      <c r="R425" s="275"/>
    </row>
    <row r="426" spans="1:18">
      <c r="A426" t="s">
        <v>814</v>
      </c>
      <c r="B426">
        <v>199</v>
      </c>
      <c r="C426" t="s">
        <v>2490</v>
      </c>
      <c r="D426">
        <v>1.431</v>
      </c>
      <c r="E426">
        <v>9.9192999999999998</v>
      </c>
      <c r="F426">
        <v>0.22140000000000001</v>
      </c>
      <c r="G426">
        <f t="shared" si="48"/>
        <v>10.140699999999999</v>
      </c>
      <c r="H426">
        <v>9.9268999999999998</v>
      </c>
      <c r="I426" s="274">
        <f t="shared" si="51"/>
        <v>0.2137999999999991</v>
      </c>
      <c r="J426" s="273">
        <f t="shared" si="49"/>
        <v>7.6000000000009116E-3</v>
      </c>
      <c r="K426" s="275">
        <f t="shared" si="50"/>
        <v>3.4327009936770145</v>
      </c>
      <c r="L426">
        <v>10</v>
      </c>
      <c r="M426" s="16">
        <v>43399</v>
      </c>
      <c r="N426" s="16">
        <v>43400</v>
      </c>
      <c r="R426" s="275"/>
    </row>
    <row r="427" spans="1:18">
      <c r="A427" t="s">
        <v>809</v>
      </c>
      <c r="C427" t="s">
        <v>2757</v>
      </c>
      <c r="D427">
        <v>1.6395999999999999</v>
      </c>
      <c r="E427">
        <v>9.8884000000000007</v>
      </c>
      <c r="F427">
        <v>0.20130000000000001</v>
      </c>
      <c r="G427" s="274">
        <f t="shared" si="48"/>
        <v>10.089700000000001</v>
      </c>
      <c r="H427" s="274">
        <v>9.9009999999999998</v>
      </c>
      <c r="I427" s="274">
        <f t="shared" si="51"/>
        <v>0.18870000000000076</v>
      </c>
      <c r="J427" s="273">
        <f t="shared" si="49"/>
        <v>1.2599999999999251E-2</v>
      </c>
      <c r="K427" s="275">
        <f t="shared" si="50"/>
        <v>6.259314456035395</v>
      </c>
      <c r="L427">
        <v>8</v>
      </c>
      <c r="M427" s="276">
        <v>43363</v>
      </c>
      <c r="N427" s="276">
        <v>43364</v>
      </c>
      <c r="O427" s="273" t="s">
        <v>3033</v>
      </c>
      <c r="R427" s="275"/>
    </row>
    <row r="428" spans="1:18">
      <c r="A428" t="s">
        <v>806</v>
      </c>
      <c r="B428">
        <v>210</v>
      </c>
      <c r="D428">
        <v>1.2941</v>
      </c>
      <c r="E428">
        <v>9.5571000000000002</v>
      </c>
      <c r="F428">
        <v>0.2389</v>
      </c>
      <c r="G428" s="274">
        <f t="shared" si="48"/>
        <v>9.7959999999999994</v>
      </c>
      <c r="H428" s="274">
        <v>9.77</v>
      </c>
      <c r="I428" s="274">
        <f t="shared" si="51"/>
        <v>2.5999999999999801E-2</v>
      </c>
      <c r="J428" s="273">
        <f t="shared" si="49"/>
        <v>0.2129000000000002</v>
      </c>
      <c r="K428" s="275">
        <f t="shared" si="50"/>
        <v>89.116785265801681</v>
      </c>
      <c r="L428">
        <v>28</v>
      </c>
      <c r="M428" s="16">
        <v>43388</v>
      </c>
      <c r="N428" s="276">
        <v>43389</v>
      </c>
      <c r="O428" s="16"/>
      <c r="R428" s="275"/>
    </row>
    <row r="429" spans="1:18">
      <c r="A429" t="s">
        <v>804</v>
      </c>
      <c r="C429" t="s">
        <v>2775</v>
      </c>
      <c r="D429">
        <v>1.7206999999999999</v>
      </c>
      <c r="E429">
        <v>8.1676000000000002</v>
      </c>
      <c r="F429">
        <v>0.224</v>
      </c>
      <c r="G429" s="274">
        <f t="shared" si="48"/>
        <v>8.3916000000000004</v>
      </c>
      <c r="H429" s="274">
        <v>8.1792999999999996</v>
      </c>
      <c r="I429" s="274">
        <f t="shared" si="51"/>
        <v>0.21230000000000082</v>
      </c>
      <c r="J429" s="273">
        <f t="shared" si="49"/>
        <v>1.1699999999999183E-2</v>
      </c>
      <c r="K429" s="275">
        <f t="shared" si="50"/>
        <v>5.2232142857139205</v>
      </c>
      <c r="L429">
        <v>17</v>
      </c>
      <c r="M429" s="276">
        <v>43363</v>
      </c>
      <c r="N429" s="276">
        <v>43364</v>
      </c>
      <c r="R429" s="275"/>
    </row>
    <row r="430" spans="1:18">
      <c r="A430" t="s">
        <v>803</v>
      </c>
      <c r="C430" t="s">
        <v>2745</v>
      </c>
      <c r="D430">
        <v>1.6274999999999999</v>
      </c>
      <c r="E430">
        <v>8.8462999999999994</v>
      </c>
      <c r="F430">
        <v>0.20580000000000001</v>
      </c>
      <c r="G430" s="274">
        <f t="shared" si="48"/>
        <v>9.0520999999999994</v>
      </c>
      <c r="H430" s="274">
        <v>8.8643999999999998</v>
      </c>
      <c r="I430" s="274">
        <f t="shared" si="51"/>
        <v>0.18769999999999953</v>
      </c>
      <c r="J430" s="273">
        <f t="shared" si="49"/>
        <v>1.8100000000000477E-2</v>
      </c>
      <c r="K430" s="275">
        <f t="shared" si="50"/>
        <v>8.794946550048822</v>
      </c>
      <c r="L430">
        <v>12</v>
      </c>
      <c r="M430" s="16">
        <v>43381</v>
      </c>
      <c r="N430" s="16">
        <v>43382</v>
      </c>
      <c r="R430" s="275"/>
    </row>
    <row r="431" spans="1:18">
      <c r="A431" t="s">
        <v>796</v>
      </c>
      <c r="C431" t="s">
        <v>3023</v>
      </c>
      <c r="D431">
        <v>1.8805000000000001</v>
      </c>
      <c r="E431">
        <v>10.7454</v>
      </c>
      <c r="F431">
        <v>0.2049</v>
      </c>
      <c r="G431" s="274">
        <f t="shared" si="48"/>
        <v>10.9503</v>
      </c>
      <c r="H431" s="274">
        <v>10.75</v>
      </c>
      <c r="I431" s="274">
        <f t="shared" si="51"/>
        <v>0.20030000000000037</v>
      </c>
      <c r="J431" s="273">
        <f t="shared" si="49"/>
        <v>4.5999999999996322E-3</v>
      </c>
      <c r="K431" s="275">
        <f t="shared" si="50"/>
        <v>2.2449975597850815</v>
      </c>
      <c r="L431">
        <v>30</v>
      </c>
      <c r="M431">
        <v>23.101800000000001</v>
      </c>
      <c r="N431" s="16">
        <v>43397</v>
      </c>
      <c r="R431" s="275"/>
    </row>
    <row r="432" spans="1:18">
      <c r="A432" t="s">
        <v>793</v>
      </c>
      <c r="B432">
        <v>205</v>
      </c>
      <c r="C432" t="s">
        <v>2490</v>
      </c>
      <c r="D432">
        <v>1.5878000000000001</v>
      </c>
      <c r="E432">
        <v>10.155200000000001</v>
      </c>
      <c r="F432">
        <v>0.22040000000000001</v>
      </c>
      <c r="G432" s="274">
        <f t="shared" si="48"/>
        <v>10.3756</v>
      </c>
      <c r="H432" s="274">
        <v>10.1684</v>
      </c>
      <c r="I432" s="274">
        <f t="shared" si="51"/>
        <v>0.20720000000000027</v>
      </c>
      <c r="J432" s="273">
        <f t="shared" si="49"/>
        <v>1.319999999999974E-2</v>
      </c>
      <c r="K432" s="275">
        <f t="shared" si="50"/>
        <v>5.9891107078038743</v>
      </c>
      <c r="L432">
        <v>20</v>
      </c>
      <c r="M432" s="16">
        <v>43399</v>
      </c>
      <c r="N432" s="16">
        <v>43400</v>
      </c>
      <c r="R432" s="275"/>
    </row>
    <row r="433" spans="1:18">
      <c r="A433" t="s">
        <v>791</v>
      </c>
      <c r="C433" t="s">
        <v>2774</v>
      </c>
      <c r="D433">
        <v>1.823</v>
      </c>
      <c r="E433">
        <v>8.9587000000000003</v>
      </c>
      <c r="F433">
        <v>0.20610000000000001</v>
      </c>
      <c r="G433">
        <f t="shared" si="48"/>
        <v>9.1647999999999996</v>
      </c>
      <c r="H433">
        <v>8.9678000000000004</v>
      </c>
      <c r="I433" s="274">
        <f t="shared" si="51"/>
        <v>0.19699999999999918</v>
      </c>
      <c r="J433" s="273">
        <f t="shared" si="49"/>
        <v>9.1000000000008296E-3</v>
      </c>
      <c r="K433" s="275">
        <f t="shared" si="50"/>
        <v>4.4153323629310188</v>
      </c>
      <c r="L433">
        <v>17</v>
      </c>
      <c r="M433" s="16">
        <v>43399</v>
      </c>
      <c r="N433" s="16">
        <v>43400</v>
      </c>
      <c r="R433" s="275"/>
    </row>
    <row r="434" spans="1:18">
      <c r="A434" t="s">
        <v>789</v>
      </c>
      <c r="B434">
        <v>198</v>
      </c>
      <c r="D434">
        <v>1.4137</v>
      </c>
      <c r="E434">
        <v>11.1548</v>
      </c>
      <c r="F434">
        <v>0.2175</v>
      </c>
      <c r="G434" s="274">
        <f t="shared" si="48"/>
        <v>11.372299999999999</v>
      </c>
      <c r="H434" s="274">
        <v>11.165900000000001</v>
      </c>
      <c r="I434" s="274">
        <f t="shared" si="51"/>
        <v>0.20639999999999858</v>
      </c>
      <c r="J434" s="273">
        <f t="shared" si="49"/>
        <v>1.1100000000001414E-2</v>
      </c>
      <c r="K434" s="275">
        <f t="shared" si="50"/>
        <v>5.1034482758627195</v>
      </c>
      <c r="L434">
        <v>1</v>
      </c>
      <c r="M434" s="16">
        <v>43395</v>
      </c>
      <c r="N434" s="16">
        <v>43396</v>
      </c>
      <c r="R434" s="275"/>
    </row>
    <row r="435" spans="1:18">
      <c r="A435" t="s">
        <v>784</v>
      </c>
      <c r="C435" t="s">
        <v>2753</v>
      </c>
      <c r="D435">
        <v>0</v>
      </c>
      <c r="E435">
        <v>0</v>
      </c>
      <c r="F435">
        <v>0</v>
      </c>
      <c r="G435">
        <v>0</v>
      </c>
      <c r="H435">
        <v>0</v>
      </c>
      <c r="I435">
        <v>0</v>
      </c>
      <c r="J435">
        <v>0</v>
      </c>
      <c r="K435">
        <v>0</v>
      </c>
    </row>
    <row r="436" spans="1:18">
      <c r="A436" t="s">
        <v>1105</v>
      </c>
      <c r="B436">
        <v>214</v>
      </c>
      <c r="C436" t="s">
        <v>2490</v>
      </c>
      <c r="D436">
        <v>1.6339999999999999</v>
      </c>
      <c r="E436">
        <v>8.8459000000000003</v>
      </c>
      <c r="F436">
        <v>0.2046</v>
      </c>
      <c r="G436" s="274">
        <f t="shared" ref="G436:G467" si="52">E436+F436</f>
        <v>9.0504999999999995</v>
      </c>
      <c r="H436" s="274">
        <v>8.8665000000000003</v>
      </c>
      <c r="I436" s="274">
        <f>G436-H436</f>
        <v>0.18399999999999928</v>
      </c>
      <c r="J436" s="273">
        <f t="shared" ref="J436:J467" si="53">F436-I436</f>
        <v>2.0600000000000729E-2</v>
      </c>
      <c r="K436" s="275">
        <f t="shared" ref="K436:K467" si="54">(J436/F436)*100</f>
        <v>10.068426197458811</v>
      </c>
      <c r="L436">
        <v>15</v>
      </c>
      <c r="M436">
        <v>23.101800000000001</v>
      </c>
      <c r="N436" s="16">
        <v>43397</v>
      </c>
      <c r="R436" s="275"/>
    </row>
    <row r="437" spans="1:18">
      <c r="A437" t="s">
        <v>780</v>
      </c>
      <c r="C437" t="s">
        <v>3018</v>
      </c>
      <c r="D437">
        <v>1.8967000000000001</v>
      </c>
      <c r="E437">
        <v>8.4458000000000002</v>
      </c>
      <c r="F437">
        <v>0.20280000000000001</v>
      </c>
      <c r="G437" s="274">
        <f t="shared" si="52"/>
        <v>8.6486000000000001</v>
      </c>
      <c r="H437" s="274">
        <v>8.4505999999999997</v>
      </c>
      <c r="I437" s="274">
        <f>G437-H437</f>
        <v>0.1980000000000004</v>
      </c>
      <c r="J437" s="273">
        <f t="shared" si="53"/>
        <v>4.7999999999996101E-3</v>
      </c>
      <c r="K437" s="275">
        <f t="shared" si="54"/>
        <v>2.3668639053252516</v>
      </c>
      <c r="L437">
        <v>36</v>
      </c>
      <c r="M437" s="276">
        <v>43362</v>
      </c>
      <c r="N437" s="276">
        <v>43363</v>
      </c>
      <c r="R437" s="275"/>
    </row>
    <row r="438" spans="1:18">
      <c r="A438" t="s">
        <v>776</v>
      </c>
      <c r="C438" t="s">
        <v>3037</v>
      </c>
      <c r="D438">
        <v>1.7755000000000001</v>
      </c>
      <c r="E438">
        <v>7.9063999999999997</v>
      </c>
      <c r="F438">
        <v>0.21579999999999999</v>
      </c>
      <c r="G438" s="274">
        <f t="shared" si="52"/>
        <v>8.1221999999999994</v>
      </c>
      <c r="H438" s="274">
        <v>7.9141000000000004</v>
      </c>
      <c r="I438" s="274">
        <f>G438-H438</f>
        <v>0.20809999999999906</v>
      </c>
      <c r="J438" s="273">
        <f t="shared" si="53"/>
        <v>7.7000000000009283E-3</v>
      </c>
      <c r="K438" s="275">
        <f t="shared" si="54"/>
        <v>3.5681186283600224</v>
      </c>
      <c r="L438">
        <v>20</v>
      </c>
      <c r="M438" s="276">
        <v>43363</v>
      </c>
      <c r="N438" s="276">
        <v>43364</v>
      </c>
      <c r="R438" s="275"/>
    </row>
    <row r="439" spans="1:18">
      <c r="A439" t="s">
        <v>775</v>
      </c>
      <c r="C439" t="s">
        <v>3055</v>
      </c>
      <c r="D439">
        <v>1.879</v>
      </c>
      <c r="E439">
        <v>8.8628</v>
      </c>
      <c r="F439">
        <v>0.2162</v>
      </c>
      <c r="G439" s="274">
        <f t="shared" si="52"/>
        <v>9.0790000000000006</v>
      </c>
      <c r="H439" s="274">
        <v>8.8699999999999992</v>
      </c>
      <c r="I439" s="274">
        <f>G439-H439</f>
        <v>0.20900000000000141</v>
      </c>
      <c r="J439" s="273">
        <f t="shared" si="53"/>
        <v>7.1999999999985964E-3</v>
      </c>
      <c r="K439" s="275">
        <f t="shared" si="54"/>
        <v>3.3302497687320054</v>
      </c>
      <c r="L439">
        <v>39</v>
      </c>
      <c r="M439" s="16">
        <v>43381</v>
      </c>
      <c r="N439" s="16">
        <v>43382</v>
      </c>
      <c r="R439" s="275"/>
    </row>
    <row r="440" spans="1:18">
      <c r="A440" t="s">
        <v>774</v>
      </c>
      <c r="C440" t="s">
        <v>2984</v>
      </c>
      <c r="D440" s="273">
        <v>1.6820999999999999</v>
      </c>
      <c r="E440" s="274">
        <v>8.2201000000000004</v>
      </c>
      <c r="F440" s="274">
        <v>0.20910000000000001</v>
      </c>
      <c r="G440" s="274">
        <f t="shared" si="52"/>
        <v>8.4291999999999998</v>
      </c>
      <c r="H440" s="274">
        <v>8.2262000000000004</v>
      </c>
      <c r="I440" s="274">
        <f>(G440-H440)</f>
        <v>0.2029999999999994</v>
      </c>
      <c r="J440" s="273">
        <f t="shared" si="53"/>
        <v>6.1000000000006049E-3</v>
      </c>
      <c r="K440" s="275">
        <f t="shared" si="54"/>
        <v>2.917264466762604</v>
      </c>
      <c r="L440" s="273">
        <v>1</v>
      </c>
      <c r="M440" s="276">
        <v>43360</v>
      </c>
      <c r="N440" s="276">
        <v>43361</v>
      </c>
      <c r="O440" s="273" t="s">
        <v>2985</v>
      </c>
      <c r="P440" s="273"/>
      <c r="R440" s="275"/>
    </row>
    <row r="441" spans="1:18">
      <c r="A441" t="s">
        <v>768</v>
      </c>
      <c r="C441" t="s">
        <v>2971</v>
      </c>
      <c r="D441">
        <v>1.3362000000000001</v>
      </c>
      <c r="E441">
        <v>11.2584</v>
      </c>
      <c r="F441">
        <v>0.2084</v>
      </c>
      <c r="G441" s="274">
        <f t="shared" si="52"/>
        <v>11.466799999999999</v>
      </c>
      <c r="H441" s="274">
        <v>11.2715</v>
      </c>
      <c r="I441" s="274">
        <f>(G441-H441)</f>
        <v>0.19529999999999959</v>
      </c>
      <c r="J441" s="273">
        <f t="shared" si="53"/>
        <v>1.3100000000000417E-2</v>
      </c>
      <c r="K441" s="275">
        <f t="shared" si="54"/>
        <v>6.2859884836854203</v>
      </c>
      <c r="L441">
        <v>18</v>
      </c>
      <c r="M441" s="276">
        <v>43360</v>
      </c>
      <c r="N441" s="276">
        <v>43361</v>
      </c>
      <c r="R441" s="275"/>
    </row>
    <row r="442" spans="1:18">
      <c r="A442" t="s">
        <v>764</v>
      </c>
      <c r="C442" t="s">
        <v>2948</v>
      </c>
      <c r="D442">
        <v>1.8328</v>
      </c>
      <c r="E442">
        <v>9.2349999999999994</v>
      </c>
      <c r="F442">
        <v>0.20230000000000001</v>
      </c>
      <c r="G442" s="274">
        <f t="shared" si="52"/>
        <v>9.4372999999999987</v>
      </c>
      <c r="H442" s="274">
        <v>9.2394999999999996</v>
      </c>
      <c r="I442" s="274">
        <f>(G442-H442)</f>
        <v>0.19779999999999909</v>
      </c>
      <c r="J442" s="273">
        <f t="shared" si="53"/>
        <v>4.5000000000009199E-3</v>
      </c>
      <c r="K442" s="275">
        <f t="shared" si="54"/>
        <v>2.2244191794369352</v>
      </c>
      <c r="L442">
        <v>16</v>
      </c>
      <c r="M442" s="16">
        <v>43358</v>
      </c>
      <c r="N442" s="16">
        <v>43358</v>
      </c>
      <c r="R442" s="275"/>
    </row>
    <row r="443" spans="1:18">
      <c r="A443" t="s">
        <v>762</v>
      </c>
      <c r="B443">
        <v>216</v>
      </c>
      <c r="D443">
        <v>1.5742</v>
      </c>
      <c r="E443">
        <v>10.619300000000001</v>
      </c>
      <c r="F443">
        <v>0.21970000000000001</v>
      </c>
      <c r="G443" s="274">
        <f t="shared" si="52"/>
        <v>10.839</v>
      </c>
      <c r="H443" s="274">
        <v>10.629899999999999</v>
      </c>
      <c r="I443" s="274">
        <f t="shared" ref="I443:I448" si="55">G443-H443</f>
        <v>0.20910000000000117</v>
      </c>
      <c r="J443" s="273">
        <f t="shared" si="53"/>
        <v>1.0599999999998833E-2</v>
      </c>
      <c r="K443" s="275">
        <f t="shared" si="54"/>
        <v>4.8247610377782575</v>
      </c>
      <c r="L443">
        <v>38</v>
      </c>
      <c r="M443" s="16">
        <v>43395</v>
      </c>
      <c r="N443" s="16">
        <v>43396</v>
      </c>
      <c r="R443" s="275"/>
    </row>
    <row r="444" spans="1:18">
      <c r="A444" t="s">
        <v>753</v>
      </c>
      <c r="C444" t="s">
        <v>3014</v>
      </c>
      <c r="D444">
        <v>1.2763</v>
      </c>
      <c r="E444">
        <v>19.389800000000001</v>
      </c>
      <c r="F444">
        <v>0.20469999999999999</v>
      </c>
      <c r="G444" s="274">
        <f t="shared" si="52"/>
        <v>19.5945</v>
      </c>
      <c r="H444" s="274">
        <v>19.420300000000001</v>
      </c>
      <c r="I444" s="274">
        <f t="shared" si="55"/>
        <v>0.17419999999999902</v>
      </c>
      <c r="J444" s="273">
        <f t="shared" si="53"/>
        <v>3.0500000000000971E-2</v>
      </c>
      <c r="K444" s="275">
        <f t="shared" si="54"/>
        <v>14.899853444064959</v>
      </c>
      <c r="L444">
        <v>38</v>
      </c>
      <c r="M444" s="276">
        <v>43361</v>
      </c>
      <c r="N444" s="276">
        <v>43362</v>
      </c>
      <c r="O444" s="273" t="s">
        <v>3008</v>
      </c>
      <c r="R444" s="275"/>
    </row>
    <row r="445" spans="1:18">
      <c r="A445" t="s">
        <v>752</v>
      </c>
      <c r="B445">
        <v>195</v>
      </c>
      <c r="D445">
        <v>0.56830000000000003</v>
      </c>
      <c r="E445">
        <v>9.8225999999999996</v>
      </c>
      <c r="F445">
        <v>0.21909999999999999</v>
      </c>
      <c r="G445" s="274">
        <f t="shared" si="52"/>
        <v>10.041699999999999</v>
      </c>
      <c r="H445" s="274">
        <v>9.9848999999999997</v>
      </c>
      <c r="I445" s="274">
        <f t="shared" si="55"/>
        <v>5.6799999999999073E-2</v>
      </c>
      <c r="J445" s="273">
        <f t="shared" si="53"/>
        <v>0.16230000000000092</v>
      </c>
      <c r="K445" s="275">
        <f t="shared" si="54"/>
        <v>74.075764491100372</v>
      </c>
      <c r="L445">
        <v>10</v>
      </c>
      <c r="M445">
        <v>23.101800000000001</v>
      </c>
      <c r="N445" s="16">
        <v>43397</v>
      </c>
      <c r="R445" s="275"/>
    </row>
    <row r="446" spans="1:18">
      <c r="A446" t="s">
        <v>747</v>
      </c>
      <c r="C446" t="s">
        <v>3005</v>
      </c>
      <c r="D446">
        <v>1.8078000000000001</v>
      </c>
      <c r="E446">
        <v>8.0646000000000004</v>
      </c>
      <c r="F446">
        <v>0.20039999999999999</v>
      </c>
      <c r="G446" s="274">
        <f t="shared" si="52"/>
        <v>8.2650000000000006</v>
      </c>
      <c r="H446" s="274">
        <v>8.0709</v>
      </c>
      <c r="I446" s="274">
        <f t="shared" si="55"/>
        <v>0.19410000000000061</v>
      </c>
      <c r="J446" s="273">
        <f t="shared" si="53"/>
        <v>6.2999999999993894E-3</v>
      </c>
      <c r="K446" s="275">
        <f t="shared" si="54"/>
        <v>3.1437125748499946</v>
      </c>
      <c r="L446">
        <v>5</v>
      </c>
      <c r="M446" s="16">
        <v>43388</v>
      </c>
      <c r="N446" s="276">
        <v>43389</v>
      </c>
      <c r="O446" s="276"/>
      <c r="P446" s="273"/>
      <c r="R446" s="275"/>
    </row>
    <row r="447" spans="1:18">
      <c r="A447" t="s">
        <v>744</v>
      </c>
      <c r="C447" t="s">
        <v>2751</v>
      </c>
      <c r="D447">
        <v>1.5781000000000001</v>
      </c>
      <c r="E447">
        <v>10.510899999999999</v>
      </c>
      <c r="F447">
        <v>0.21429999999999999</v>
      </c>
      <c r="G447" s="274">
        <f t="shared" si="52"/>
        <v>10.725199999999999</v>
      </c>
      <c r="H447" s="274">
        <v>10.534599999999999</v>
      </c>
      <c r="I447" s="274">
        <f t="shared" si="55"/>
        <v>0.19059999999999988</v>
      </c>
      <c r="J447" s="273">
        <f t="shared" si="53"/>
        <v>2.370000000000011E-2</v>
      </c>
      <c r="K447" s="275">
        <f t="shared" si="54"/>
        <v>11.059262715818997</v>
      </c>
      <c r="L447">
        <v>9</v>
      </c>
      <c r="M447" s="276">
        <v>43374</v>
      </c>
      <c r="N447" s="276">
        <v>43375</v>
      </c>
      <c r="O447" s="273" t="s">
        <v>3008</v>
      </c>
      <c r="R447" s="275"/>
    </row>
    <row r="448" spans="1:18">
      <c r="A448" t="s">
        <v>740</v>
      </c>
      <c r="C448" t="s">
        <v>2774</v>
      </c>
      <c r="D448">
        <v>1.6440999999999999</v>
      </c>
      <c r="E448">
        <v>11.003</v>
      </c>
      <c r="F448">
        <v>0.20680000000000001</v>
      </c>
      <c r="G448" s="274">
        <f t="shared" si="52"/>
        <v>11.2098</v>
      </c>
      <c r="H448" s="274">
        <v>11.013500000000001</v>
      </c>
      <c r="I448" s="274">
        <f t="shared" si="55"/>
        <v>0.19629999999999903</v>
      </c>
      <c r="J448" s="273">
        <f t="shared" si="53"/>
        <v>1.0500000000000981E-2</v>
      </c>
      <c r="K448" s="275">
        <f t="shared" si="54"/>
        <v>5.077369439072041</v>
      </c>
      <c r="L448">
        <v>9</v>
      </c>
      <c r="M448" s="276">
        <v>43363</v>
      </c>
      <c r="N448" s="276">
        <v>43364</v>
      </c>
      <c r="O448" s="273"/>
      <c r="R448" s="275"/>
    </row>
    <row r="449" spans="1:18">
      <c r="A449" t="s">
        <v>739</v>
      </c>
      <c r="C449" t="s">
        <v>2979</v>
      </c>
      <c r="D449">
        <v>1.7668999999999999</v>
      </c>
      <c r="E449">
        <v>8.0885999999999996</v>
      </c>
      <c r="F449">
        <v>0.215</v>
      </c>
      <c r="G449" s="274">
        <f t="shared" si="52"/>
        <v>8.3035999999999994</v>
      </c>
      <c r="H449" s="274">
        <v>8.0952000000000002</v>
      </c>
      <c r="I449" s="274">
        <f>(G449-H449)</f>
        <v>0.20839999999999925</v>
      </c>
      <c r="J449" s="273">
        <f t="shared" si="53"/>
        <v>6.6000000000007442E-3</v>
      </c>
      <c r="K449" s="275">
        <f t="shared" si="54"/>
        <v>3.0697674418608112</v>
      </c>
      <c r="L449">
        <v>39</v>
      </c>
      <c r="M449" s="276">
        <v>43360</v>
      </c>
      <c r="N449" s="276">
        <v>43361</v>
      </c>
      <c r="R449" s="275"/>
    </row>
    <row r="450" spans="1:18">
      <c r="A450" t="s">
        <v>734</v>
      </c>
      <c r="C450" t="s">
        <v>3028</v>
      </c>
      <c r="D450">
        <v>1.8056000000000001</v>
      </c>
      <c r="E450">
        <v>10.636699999999999</v>
      </c>
      <c r="F450">
        <v>0.23100000000000001</v>
      </c>
      <c r="G450" s="274">
        <f t="shared" si="52"/>
        <v>10.867699999999999</v>
      </c>
      <c r="H450" s="274">
        <v>10.6434</v>
      </c>
      <c r="I450" s="274">
        <f>G450-H450</f>
        <v>0.2242999999999995</v>
      </c>
      <c r="J450" s="273">
        <f t="shared" si="53"/>
        <v>6.7000000000005111E-3</v>
      </c>
      <c r="K450" s="275">
        <f t="shared" si="54"/>
        <v>2.9004329004331213</v>
      </c>
      <c r="L450">
        <v>22</v>
      </c>
      <c r="M450" s="16">
        <v>43395</v>
      </c>
      <c r="N450" s="16">
        <v>43396</v>
      </c>
      <c r="R450" s="275"/>
    </row>
    <row r="451" spans="1:18">
      <c r="A451" t="s">
        <v>725</v>
      </c>
      <c r="C451" t="s">
        <v>3003</v>
      </c>
      <c r="D451">
        <v>1.8526</v>
      </c>
      <c r="E451">
        <v>8.1366999999999994</v>
      </c>
      <c r="F451">
        <v>0.21049999999999999</v>
      </c>
      <c r="G451" s="274">
        <f t="shared" si="52"/>
        <v>8.3471999999999991</v>
      </c>
      <c r="H451" s="274">
        <v>8.1405999999999992</v>
      </c>
      <c r="I451" s="274">
        <f>(G451-H451)</f>
        <v>0.20659999999999989</v>
      </c>
      <c r="J451" s="273">
        <f t="shared" si="53"/>
        <v>3.9000000000000978E-3</v>
      </c>
      <c r="K451" s="275">
        <f t="shared" si="54"/>
        <v>1.8527315914489777</v>
      </c>
      <c r="L451">
        <v>36</v>
      </c>
      <c r="M451" s="276">
        <v>43360</v>
      </c>
      <c r="N451" s="276">
        <v>43361</v>
      </c>
      <c r="O451" s="273" t="s">
        <v>2985</v>
      </c>
      <c r="R451" s="275"/>
    </row>
    <row r="452" spans="1:18">
      <c r="A452" t="s">
        <v>719</v>
      </c>
      <c r="C452" t="s">
        <v>2780</v>
      </c>
      <c r="D452">
        <v>1.8026</v>
      </c>
      <c r="E452">
        <v>10.2728</v>
      </c>
      <c r="F452">
        <v>0.20960000000000001</v>
      </c>
      <c r="G452" s="274">
        <f t="shared" si="52"/>
        <v>10.4824</v>
      </c>
      <c r="H452" s="274">
        <v>10.2812</v>
      </c>
      <c r="I452" s="274">
        <f>G452-H452</f>
        <v>0.20120000000000005</v>
      </c>
      <c r="J452" s="273">
        <f t="shared" si="53"/>
        <v>8.3999999999999631E-3</v>
      </c>
      <c r="K452" s="275">
        <f t="shared" si="54"/>
        <v>4.0076335877862421</v>
      </c>
      <c r="L452">
        <v>8</v>
      </c>
      <c r="M452" s="276">
        <v>43363</v>
      </c>
      <c r="N452" s="276">
        <v>43364</v>
      </c>
      <c r="O452" s="273"/>
      <c r="R452" s="275"/>
    </row>
    <row r="453" spans="1:18">
      <c r="A453" t="s">
        <v>716</v>
      </c>
      <c r="C453" t="s">
        <v>2709</v>
      </c>
      <c r="D453">
        <v>1.667</v>
      </c>
      <c r="E453">
        <v>8.2201000000000004</v>
      </c>
      <c r="F453">
        <v>0.20880000000000001</v>
      </c>
      <c r="G453" s="274">
        <f t="shared" si="52"/>
        <v>8.4289000000000005</v>
      </c>
      <c r="H453" s="274">
        <v>8.2344000000000008</v>
      </c>
      <c r="I453" s="274">
        <f>G453-H453</f>
        <v>0.19449999999999967</v>
      </c>
      <c r="J453" s="273">
        <f t="shared" si="53"/>
        <v>1.430000000000034E-2</v>
      </c>
      <c r="K453" s="275">
        <f t="shared" si="54"/>
        <v>6.8486590038315791</v>
      </c>
      <c r="L453">
        <v>21</v>
      </c>
      <c r="M453">
        <v>23.101800000000001</v>
      </c>
      <c r="N453" s="16">
        <v>43397</v>
      </c>
      <c r="R453" s="275"/>
    </row>
    <row r="454" spans="1:18">
      <c r="A454" t="s">
        <v>1098</v>
      </c>
      <c r="C454" t="s">
        <v>3030</v>
      </c>
      <c r="D454">
        <v>1.8907</v>
      </c>
      <c r="E454">
        <v>10.5229</v>
      </c>
      <c r="F454">
        <v>0.2137</v>
      </c>
      <c r="G454" s="274">
        <f t="shared" si="52"/>
        <v>10.736599999999999</v>
      </c>
      <c r="H454" s="274">
        <v>10.530200000000001</v>
      </c>
      <c r="I454" s="274">
        <f>G454-H454</f>
        <v>0.20639999999999858</v>
      </c>
      <c r="J454" s="273">
        <f t="shared" si="53"/>
        <v>7.3000000000014165E-3</v>
      </c>
      <c r="K454" s="275">
        <f t="shared" si="54"/>
        <v>3.4160037435664092</v>
      </c>
      <c r="L454">
        <v>31</v>
      </c>
      <c r="M454" s="276">
        <v>43362</v>
      </c>
      <c r="N454" s="276">
        <v>43363</v>
      </c>
      <c r="R454" s="275"/>
    </row>
    <row r="455" spans="1:18">
      <c r="A455" t="s">
        <v>698</v>
      </c>
      <c r="C455" t="s">
        <v>2960</v>
      </c>
      <c r="D455">
        <v>1.4162999999999999</v>
      </c>
      <c r="E455">
        <v>10.855600000000001</v>
      </c>
      <c r="F455">
        <v>0.2001</v>
      </c>
      <c r="G455" s="274">
        <f t="shared" si="52"/>
        <v>11.055700000000002</v>
      </c>
      <c r="H455" s="274">
        <v>10.8756</v>
      </c>
      <c r="I455" s="274">
        <f>(G455-H455)</f>
        <v>0.18010000000000126</v>
      </c>
      <c r="J455" s="273">
        <f t="shared" si="53"/>
        <v>1.9999999999998741E-2</v>
      </c>
      <c r="K455" s="275">
        <f t="shared" si="54"/>
        <v>9.9950024987499955</v>
      </c>
      <c r="L455">
        <v>4</v>
      </c>
      <c r="M455" s="276">
        <v>43360</v>
      </c>
      <c r="N455" s="276">
        <v>43361</v>
      </c>
      <c r="O455" s="273"/>
      <c r="R455" s="275"/>
    </row>
    <row r="456" spans="1:18">
      <c r="A456" t="s">
        <v>686</v>
      </c>
      <c r="B456">
        <v>196</v>
      </c>
      <c r="D456">
        <v>0</v>
      </c>
      <c r="E456">
        <v>0</v>
      </c>
      <c r="F456">
        <v>0</v>
      </c>
      <c r="G456" s="274">
        <f t="shared" si="52"/>
        <v>0</v>
      </c>
      <c r="H456" s="274">
        <v>0</v>
      </c>
      <c r="I456" s="274">
        <v>0</v>
      </c>
      <c r="J456" s="273">
        <f t="shared" si="53"/>
        <v>0</v>
      </c>
      <c r="K456" s="275" t="e">
        <f t="shared" si="54"/>
        <v>#DIV/0!</v>
      </c>
      <c r="M456" s="16">
        <v>43395</v>
      </c>
      <c r="N456" s="16">
        <v>43396</v>
      </c>
      <c r="R456" s="275"/>
    </row>
    <row r="457" spans="1:18">
      <c r="A457" t="s">
        <v>650</v>
      </c>
      <c r="C457" t="s">
        <v>2710</v>
      </c>
      <c r="D457">
        <v>1.7578</v>
      </c>
      <c r="E457">
        <v>8.1340000000000003</v>
      </c>
      <c r="F457">
        <v>0.20430000000000001</v>
      </c>
      <c r="G457" s="274">
        <f t="shared" si="52"/>
        <v>8.3383000000000003</v>
      </c>
      <c r="H457" s="274">
        <v>8.1639999999999997</v>
      </c>
      <c r="I457" s="274">
        <f t="shared" ref="I457:I463" si="56">G457-H457</f>
        <v>0.17430000000000057</v>
      </c>
      <c r="J457" s="273">
        <f t="shared" si="53"/>
        <v>2.9999999999999444E-2</v>
      </c>
      <c r="K457" s="275">
        <f t="shared" si="54"/>
        <v>14.684287812040845</v>
      </c>
      <c r="L457">
        <v>26</v>
      </c>
      <c r="M457">
        <v>23.101800000000001</v>
      </c>
      <c r="N457" s="16">
        <v>43397</v>
      </c>
      <c r="R457" s="275"/>
    </row>
    <row r="458" spans="1:18">
      <c r="A458" t="s">
        <v>627</v>
      </c>
      <c r="C458" t="s">
        <v>2720</v>
      </c>
      <c r="D458">
        <v>1.5656000000000001</v>
      </c>
      <c r="E458">
        <v>10.795299999999999</v>
      </c>
      <c r="F458">
        <v>0.20569999999999999</v>
      </c>
      <c r="G458" s="274">
        <f t="shared" si="52"/>
        <v>11.000999999999999</v>
      </c>
      <c r="H458" s="274">
        <v>10.8185</v>
      </c>
      <c r="I458" s="274">
        <f t="shared" si="56"/>
        <v>0.18249999999999922</v>
      </c>
      <c r="J458" s="273">
        <f t="shared" si="53"/>
        <v>2.3200000000000776E-2</v>
      </c>
      <c r="K458" s="275">
        <f t="shared" si="54"/>
        <v>11.27856101118171</v>
      </c>
      <c r="L458">
        <v>4</v>
      </c>
      <c r="M458" s="16">
        <v>43399</v>
      </c>
      <c r="N458" s="16">
        <v>43400</v>
      </c>
      <c r="R458" s="275"/>
    </row>
    <row r="459" spans="1:18">
      <c r="A459" t="s">
        <v>625</v>
      </c>
      <c r="B459">
        <v>208</v>
      </c>
      <c r="D459">
        <v>1.4911000000000001</v>
      </c>
      <c r="E459">
        <v>9.1992999999999991</v>
      </c>
      <c r="F459">
        <v>0.21929999999999999</v>
      </c>
      <c r="G459" s="274">
        <f t="shared" si="52"/>
        <v>9.4185999999999996</v>
      </c>
      <c r="H459" s="274">
        <v>9.3717000000000006</v>
      </c>
      <c r="I459" s="274">
        <f t="shared" si="56"/>
        <v>4.6899999999999054E-2</v>
      </c>
      <c r="J459" s="273">
        <f t="shared" si="53"/>
        <v>0.17240000000000094</v>
      </c>
      <c r="K459" s="275">
        <f t="shared" si="54"/>
        <v>78.613771089831701</v>
      </c>
      <c r="L459">
        <v>36</v>
      </c>
      <c r="M459" s="16">
        <v>43388</v>
      </c>
      <c r="N459" s="276">
        <v>43389</v>
      </c>
      <c r="O459" s="16"/>
      <c r="R459" s="275"/>
    </row>
    <row r="460" spans="1:18">
      <c r="A460" t="s">
        <v>1089</v>
      </c>
      <c r="C460" t="s">
        <v>2757</v>
      </c>
      <c r="D460">
        <v>4.8792999999999997</v>
      </c>
      <c r="E460">
        <v>7.9619999999999997</v>
      </c>
      <c r="F460">
        <v>0.22500000000000001</v>
      </c>
      <c r="G460">
        <f t="shared" si="52"/>
        <v>8.1869999999999994</v>
      </c>
      <c r="H460">
        <v>8.1724999999999994</v>
      </c>
      <c r="I460" s="274">
        <f t="shared" si="56"/>
        <v>1.4499999999999957E-2</v>
      </c>
      <c r="J460" s="273">
        <f t="shared" si="53"/>
        <v>0.21050000000000005</v>
      </c>
      <c r="K460" s="275">
        <f t="shared" si="54"/>
        <v>93.555555555555571</v>
      </c>
      <c r="L460">
        <v>35</v>
      </c>
      <c r="M460" s="16">
        <v>43399</v>
      </c>
      <c r="N460" s="16">
        <v>43400</v>
      </c>
      <c r="P460" t="s">
        <v>3067</v>
      </c>
      <c r="R460" s="275"/>
    </row>
    <row r="461" spans="1:18">
      <c r="A461" t="s">
        <v>590</v>
      </c>
      <c r="B461">
        <v>207</v>
      </c>
      <c r="D461">
        <v>8.0813000000000006</v>
      </c>
      <c r="E461">
        <v>10.7455</v>
      </c>
      <c r="F461">
        <v>0.2243</v>
      </c>
      <c r="G461" s="274">
        <f t="shared" si="52"/>
        <v>10.969799999999999</v>
      </c>
      <c r="H461" s="274">
        <v>10.9605</v>
      </c>
      <c r="I461" s="274">
        <f t="shared" si="56"/>
        <v>9.2999999999996419E-3</v>
      </c>
      <c r="J461" s="273">
        <f t="shared" si="53"/>
        <v>0.21500000000000036</v>
      </c>
      <c r="K461" s="275">
        <f t="shared" si="54"/>
        <v>95.853767275969844</v>
      </c>
      <c r="L461">
        <v>27</v>
      </c>
      <c r="M461" s="16">
        <v>43388</v>
      </c>
      <c r="N461" s="276">
        <v>43389</v>
      </c>
      <c r="O461" s="16"/>
      <c r="P461" t="s">
        <v>3058</v>
      </c>
      <c r="R461" s="275"/>
    </row>
    <row r="462" spans="1:18">
      <c r="A462" t="s">
        <v>555</v>
      </c>
      <c r="C462" t="s">
        <v>2707</v>
      </c>
      <c r="D462">
        <v>1.7028000000000001</v>
      </c>
      <c r="E462">
        <v>7.7161</v>
      </c>
      <c r="F462">
        <v>0.20880000000000001</v>
      </c>
      <c r="G462" s="274">
        <f t="shared" si="52"/>
        <v>7.9249000000000001</v>
      </c>
      <c r="H462" s="274">
        <v>7.8704999999999998</v>
      </c>
      <c r="I462" s="274">
        <f t="shared" si="56"/>
        <v>5.4400000000000226E-2</v>
      </c>
      <c r="J462" s="273">
        <f t="shared" si="53"/>
        <v>0.15439999999999979</v>
      </c>
      <c r="K462" s="275">
        <f t="shared" si="54"/>
        <v>73.946360153256592</v>
      </c>
      <c r="L462">
        <v>42</v>
      </c>
      <c r="M462" s="16">
        <v>43399</v>
      </c>
      <c r="N462" s="16">
        <v>43400</v>
      </c>
      <c r="R462" s="275"/>
    </row>
    <row r="463" spans="1:18">
      <c r="A463" t="s">
        <v>542</v>
      </c>
      <c r="B463">
        <v>210</v>
      </c>
      <c r="D463">
        <v>1.5698000000000001</v>
      </c>
      <c r="E463">
        <v>10.5413</v>
      </c>
      <c r="F463">
        <v>0.2316</v>
      </c>
      <c r="G463" s="274">
        <f t="shared" si="52"/>
        <v>10.7729</v>
      </c>
      <c r="H463" s="274">
        <v>10.5496</v>
      </c>
      <c r="I463" s="274">
        <f t="shared" si="56"/>
        <v>0.22330000000000005</v>
      </c>
      <c r="J463" s="273">
        <f t="shared" si="53"/>
        <v>8.2999999999999463E-3</v>
      </c>
      <c r="K463" s="275">
        <f t="shared" si="54"/>
        <v>3.5837651122624985</v>
      </c>
      <c r="L463">
        <v>12</v>
      </c>
      <c r="M463" s="16">
        <v>43395</v>
      </c>
      <c r="N463" s="16">
        <v>43396</v>
      </c>
      <c r="R463" s="275"/>
    </row>
    <row r="464" spans="1:18">
      <c r="A464" t="s">
        <v>3173</v>
      </c>
      <c r="C464" t="s">
        <v>3001</v>
      </c>
      <c r="D464">
        <v>1.8286</v>
      </c>
      <c r="E464">
        <v>9.68</v>
      </c>
      <c r="F464">
        <v>0.20250000000000001</v>
      </c>
      <c r="G464" s="274">
        <f t="shared" si="52"/>
        <v>9.8825000000000003</v>
      </c>
      <c r="H464" s="274">
        <v>9.6837</v>
      </c>
      <c r="I464" s="274">
        <f>(G464-H464)</f>
        <v>0.19880000000000031</v>
      </c>
      <c r="J464" s="273">
        <f t="shared" si="53"/>
        <v>3.6999999999997035E-3</v>
      </c>
      <c r="K464" s="275">
        <f t="shared" si="54"/>
        <v>1.8271604938270138</v>
      </c>
      <c r="L464">
        <v>33</v>
      </c>
      <c r="M464" s="276">
        <v>43360</v>
      </c>
      <c r="N464" s="276">
        <v>43361</v>
      </c>
      <c r="O464" s="273" t="s">
        <v>2985</v>
      </c>
      <c r="R464" s="275"/>
    </row>
    <row r="465" spans="1:18">
      <c r="A465" t="s">
        <v>537</v>
      </c>
      <c r="C465" t="s">
        <v>3022</v>
      </c>
      <c r="D465">
        <v>1.903</v>
      </c>
      <c r="E465">
        <v>19.691500000000001</v>
      </c>
      <c r="F465">
        <v>0.20649999999999999</v>
      </c>
      <c r="G465" s="274">
        <f t="shared" si="52"/>
        <v>19.898</v>
      </c>
      <c r="H465" s="274">
        <v>19.696200000000001</v>
      </c>
      <c r="I465" s="274">
        <f>G465-H465</f>
        <v>0.20179999999999865</v>
      </c>
      <c r="J465" s="273">
        <f t="shared" si="53"/>
        <v>4.700000000001342E-3</v>
      </c>
      <c r="K465" s="275">
        <f t="shared" si="54"/>
        <v>2.2760290556907226</v>
      </c>
      <c r="L465">
        <v>11</v>
      </c>
      <c r="M465" s="276">
        <v>43362</v>
      </c>
      <c r="N465" s="276">
        <v>43363</v>
      </c>
      <c r="O465" s="273"/>
      <c r="R465" s="275"/>
    </row>
    <row r="466" spans="1:18">
      <c r="A466" t="s">
        <v>536</v>
      </c>
      <c r="C466" t="s">
        <v>3031</v>
      </c>
      <c r="D466">
        <v>1.7423999999999999</v>
      </c>
      <c r="E466">
        <v>10.315099999999999</v>
      </c>
      <c r="F466">
        <v>0.21060000000000001</v>
      </c>
      <c r="G466" s="274">
        <f t="shared" si="52"/>
        <v>10.525699999999999</v>
      </c>
      <c r="H466" s="274">
        <v>10.321999999999999</v>
      </c>
      <c r="I466" s="274">
        <f>G466-H466</f>
        <v>0.20369999999999955</v>
      </c>
      <c r="J466" s="273">
        <f t="shared" si="53"/>
        <v>6.9000000000004613E-3</v>
      </c>
      <c r="K466" s="275">
        <f t="shared" si="54"/>
        <v>3.2763532763534955</v>
      </c>
      <c r="L466">
        <v>34</v>
      </c>
      <c r="M466" s="276">
        <v>43362</v>
      </c>
      <c r="N466" s="276">
        <v>43363</v>
      </c>
      <c r="R466" s="275"/>
    </row>
    <row r="467" spans="1:18">
      <c r="A467" t="s">
        <v>535</v>
      </c>
      <c r="B467">
        <v>207</v>
      </c>
      <c r="D467">
        <v>1.4268000000000001</v>
      </c>
      <c r="E467">
        <v>8.0485000000000007</v>
      </c>
      <c r="F467">
        <v>0.21410000000000001</v>
      </c>
      <c r="G467" s="274">
        <f t="shared" si="52"/>
        <v>8.2626000000000008</v>
      </c>
      <c r="H467" s="274">
        <v>8.0561000000000007</v>
      </c>
      <c r="I467" s="274">
        <f>G467-H467</f>
        <v>0.20650000000000013</v>
      </c>
      <c r="J467" s="273">
        <f t="shared" si="53"/>
        <v>7.5999999999998846E-3</v>
      </c>
      <c r="K467" s="275">
        <f t="shared" si="54"/>
        <v>3.5497431106958826</v>
      </c>
      <c r="L467">
        <v>19</v>
      </c>
      <c r="M467" s="16">
        <v>43395</v>
      </c>
      <c r="N467" s="16">
        <v>43396</v>
      </c>
      <c r="R467" s="275"/>
    </row>
    <row r="468" spans="1:18">
      <c r="A468" t="s">
        <v>534</v>
      </c>
      <c r="C468" t="s">
        <v>2751</v>
      </c>
      <c r="D468">
        <v>1.6539999999999999</v>
      </c>
      <c r="E468">
        <v>9.7266999999999992</v>
      </c>
      <c r="F468">
        <v>0.20380000000000001</v>
      </c>
      <c r="G468" s="274">
        <f t="shared" ref="G468:G499" si="57">E468+F468</f>
        <v>9.9304999999999986</v>
      </c>
      <c r="H468" s="274">
        <v>9.7454999999999998</v>
      </c>
      <c r="I468" s="274">
        <f>G468-H468</f>
        <v>0.18499999999999872</v>
      </c>
      <c r="J468" s="273">
        <f t="shared" ref="J468:J499" si="58">F468-I468</f>
        <v>1.8800000000001288E-2</v>
      </c>
      <c r="K468" s="275">
        <f t="shared" ref="K468:K499" si="59">(J468/F468)*100</f>
        <v>9.224730127576688</v>
      </c>
      <c r="L468">
        <v>12</v>
      </c>
      <c r="M468" s="276">
        <v>43362</v>
      </c>
      <c r="N468" s="276">
        <v>43363</v>
      </c>
      <c r="O468" s="273"/>
      <c r="R468" s="275"/>
    </row>
    <row r="469" spans="1:18">
      <c r="A469" t="s">
        <v>533</v>
      </c>
      <c r="C469" t="s">
        <v>2964</v>
      </c>
      <c r="D469">
        <v>1.8287</v>
      </c>
      <c r="E469">
        <v>10.795</v>
      </c>
      <c r="F469">
        <v>0.20930000000000001</v>
      </c>
      <c r="G469" s="274">
        <f t="shared" si="57"/>
        <v>11.004300000000001</v>
      </c>
      <c r="H469" s="274">
        <v>10.799099999999999</v>
      </c>
      <c r="I469" s="274">
        <f>(G469-H469)</f>
        <v>0.20520000000000138</v>
      </c>
      <c r="J469" s="273">
        <f t="shared" si="58"/>
        <v>4.0999999999986325E-3</v>
      </c>
      <c r="K469" s="275">
        <f t="shared" si="59"/>
        <v>1.9589106545621751</v>
      </c>
      <c r="L469">
        <v>11</v>
      </c>
      <c r="M469" s="276">
        <v>43360</v>
      </c>
      <c r="N469" s="276">
        <v>43361</v>
      </c>
      <c r="O469" s="273" t="s">
        <v>2985</v>
      </c>
      <c r="R469" s="275"/>
    </row>
    <row r="470" spans="1:18">
      <c r="A470" t="s">
        <v>531</v>
      </c>
      <c r="B470">
        <v>217</v>
      </c>
      <c r="C470" t="s">
        <v>2490</v>
      </c>
      <c r="D470">
        <v>1.4722</v>
      </c>
      <c r="E470">
        <v>9.0527999999999995</v>
      </c>
      <c r="F470">
        <v>0.23350000000000001</v>
      </c>
      <c r="G470">
        <f t="shared" si="57"/>
        <v>9.2862999999999989</v>
      </c>
      <c r="H470">
        <v>9.0609000000000002</v>
      </c>
      <c r="I470" s="274">
        <f>G470-H470</f>
        <v>0.22539999999999871</v>
      </c>
      <c r="J470" s="273">
        <f t="shared" si="58"/>
        <v>8.1000000000013006E-3</v>
      </c>
      <c r="K470" s="275">
        <f t="shared" si="59"/>
        <v>3.468950749465225</v>
      </c>
      <c r="L470">
        <v>38</v>
      </c>
      <c r="M470" s="16">
        <v>43399</v>
      </c>
      <c r="N470" s="16">
        <v>43400</v>
      </c>
      <c r="R470" s="275"/>
    </row>
    <row r="471" spans="1:18">
      <c r="A471" t="s">
        <v>530</v>
      </c>
      <c r="C471" t="s">
        <v>2784</v>
      </c>
      <c r="D471" s="273">
        <v>1.8170999999999999</v>
      </c>
      <c r="E471" s="274">
        <v>10.675599999999999</v>
      </c>
      <c r="F471" s="274">
        <v>0.2026</v>
      </c>
      <c r="G471" s="274">
        <f t="shared" si="57"/>
        <v>10.8782</v>
      </c>
      <c r="H471" s="274">
        <v>10.683199999999999</v>
      </c>
      <c r="I471" s="274">
        <f>(G471-H471)</f>
        <v>0.19500000000000028</v>
      </c>
      <c r="J471" s="273">
        <f t="shared" si="58"/>
        <v>7.5999999999997181E-3</v>
      </c>
      <c r="K471" s="275">
        <f t="shared" si="59"/>
        <v>3.7512339585388541</v>
      </c>
      <c r="L471" s="273">
        <v>1</v>
      </c>
      <c r="M471" s="276">
        <v>43360</v>
      </c>
      <c r="N471" s="276">
        <v>43361</v>
      </c>
      <c r="O471" s="273"/>
      <c r="P471" s="273"/>
      <c r="R471" s="275"/>
    </row>
    <row r="472" spans="1:18">
      <c r="A472" t="s">
        <v>1080</v>
      </c>
      <c r="C472" t="s">
        <v>2967</v>
      </c>
      <c r="D472">
        <v>1.8147</v>
      </c>
      <c r="E472">
        <v>11.0875</v>
      </c>
      <c r="F472">
        <v>0.2051</v>
      </c>
      <c r="G472" s="274">
        <f t="shared" si="57"/>
        <v>11.2926</v>
      </c>
      <c r="H472" s="274">
        <v>11.093400000000001</v>
      </c>
      <c r="I472" s="274">
        <f>(G472-H472)</f>
        <v>0.19919999999999938</v>
      </c>
      <c r="J472" s="273">
        <f t="shared" si="58"/>
        <v>5.900000000000627E-3</v>
      </c>
      <c r="K472" s="275">
        <f t="shared" si="59"/>
        <v>2.8766455387618852</v>
      </c>
      <c r="L472">
        <v>12</v>
      </c>
      <c r="M472" s="276">
        <v>43360</v>
      </c>
      <c r="N472" s="276">
        <v>43361</v>
      </c>
      <c r="O472" s="273"/>
      <c r="R472" s="275"/>
    </row>
    <row r="473" spans="1:18">
      <c r="A473" t="s">
        <v>529</v>
      </c>
      <c r="C473" t="s">
        <v>2955</v>
      </c>
      <c r="D473">
        <v>1.7833000000000001</v>
      </c>
      <c r="E473">
        <v>7.7732999999999999</v>
      </c>
      <c r="F473">
        <v>0.20349999999999999</v>
      </c>
      <c r="G473" s="274">
        <f t="shared" si="57"/>
        <v>7.9767999999999999</v>
      </c>
      <c r="H473" s="274">
        <v>7.7792000000000003</v>
      </c>
      <c r="I473" s="274">
        <f>(G473-H473)</f>
        <v>0.19759999999999955</v>
      </c>
      <c r="J473" s="273">
        <f t="shared" si="58"/>
        <v>5.9000000000004327E-3</v>
      </c>
      <c r="K473" s="275">
        <f t="shared" si="59"/>
        <v>2.8992628992631118</v>
      </c>
      <c r="L473">
        <v>31</v>
      </c>
      <c r="M473" s="16">
        <v>43358</v>
      </c>
      <c r="N473" s="16">
        <v>43358</v>
      </c>
      <c r="R473" s="275"/>
    </row>
    <row r="474" spans="1:18">
      <c r="A474" t="s">
        <v>528</v>
      </c>
      <c r="B474">
        <v>194</v>
      </c>
      <c r="D474">
        <v>1.4630000000000001</v>
      </c>
      <c r="E474">
        <v>10.2719</v>
      </c>
      <c r="F474">
        <v>0.2374</v>
      </c>
      <c r="G474" s="274">
        <f t="shared" si="57"/>
        <v>10.5093</v>
      </c>
      <c r="H474" s="274">
        <v>10.2799</v>
      </c>
      <c r="I474" s="274">
        <f>G474-H474</f>
        <v>0.22940000000000005</v>
      </c>
      <c r="J474" s="273">
        <f t="shared" si="58"/>
        <v>7.9999999999999516E-3</v>
      </c>
      <c r="K474" s="275">
        <f t="shared" si="59"/>
        <v>3.3698399326031812</v>
      </c>
      <c r="L474">
        <v>41</v>
      </c>
      <c r="M474" s="16">
        <v>43388</v>
      </c>
      <c r="N474" s="276">
        <v>43389</v>
      </c>
      <c r="O474" s="16"/>
      <c r="R474" s="275"/>
    </row>
    <row r="475" spans="1:18">
      <c r="A475" t="s">
        <v>527</v>
      </c>
      <c r="C475" t="s">
        <v>2748</v>
      </c>
      <c r="D475">
        <v>2.9346999999999999</v>
      </c>
      <c r="E475">
        <v>7.0765000000000002</v>
      </c>
      <c r="F475">
        <v>0.20419999999999999</v>
      </c>
      <c r="G475" s="274">
        <f t="shared" si="57"/>
        <v>7.2807000000000004</v>
      </c>
      <c r="H475" s="274">
        <v>7.2693000000000003</v>
      </c>
      <c r="I475" s="274">
        <f>G475-H475</f>
        <v>1.1400000000000077E-2</v>
      </c>
      <c r="J475" s="273">
        <f t="shared" si="58"/>
        <v>0.19279999999999992</v>
      </c>
      <c r="K475" s="275">
        <f t="shared" si="59"/>
        <v>94.417238001958822</v>
      </c>
      <c r="L475">
        <v>24</v>
      </c>
      <c r="M475" s="276">
        <v>43374</v>
      </c>
      <c r="N475" s="276">
        <v>43375</v>
      </c>
      <c r="O475" s="273" t="s">
        <v>3008</v>
      </c>
      <c r="R475" s="275"/>
    </row>
    <row r="476" spans="1:18">
      <c r="A476" t="s">
        <v>526</v>
      </c>
      <c r="C476" t="s">
        <v>2752</v>
      </c>
      <c r="D476">
        <v>1.5807</v>
      </c>
      <c r="E476">
        <v>9.4860000000000007</v>
      </c>
      <c r="F476">
        <v>0.20150000000000001</v>
      </c>
      <c r="G476" s="274">
        <f t="shared" si="57"/>
        <v>9.6875</v>
      </c>
      <c r="H476" s="274">
        <v>9.5311000000000003</v>
      </c>
      <c r="I476" s="274">
        <f>G476-H476</f>
        <v>0.15639999999999965</v>
      </c>
      <c r="J476" s="273">
        <f t="shared" si="58"/>
        <v>4.5100000000000362E-2</v>
      </c>
      <c r="K476" s="275">
        <f t="shared" si="59"/>
        <v>22.3821339950374</v>
      </c>
      <c r="L476">
        <v>25</v>
      </c>
      <c r="M476" s="276">
        <v>43374</v>
      </c>
      <c r="N476" s="276">
        <v>43375</v>
      </c>
      <c r="O476" s="273" t="s">
        <v>3008</v>
      </c>
      <c r="R476" s="275"/>
    </row>
    <row r="477" spans="1:18">
      <c r="A477" t="s">
        <v>525</v>
      </c>
      <c r="C477" t="s">
        <v>2950</v>
      </c>
      <c r="D477">
        <v>1.7997000000000001</v>
      </c>
      <c r="E477">
        <v>8.7592999999999996</v>
      </c>
      <c r="F477">
        <v>0.2092</v>
      </c>
      <c r="G477" s="274">
        <f t="shared" si="57"/>
        <v>8.9684999999999988</v>
      </c>
      <c r="H477" s="274">
        <v>8.7647999999999993</v>
      </c>
      <c r="I477" s="274">
        <f>(G477-H477)</f>
        <v>0.20369999999999955</v>
      </c>
      <c r="J477" s="273">
        <f t="shared" si="58"/>
        <v>5.500000000000449E-3</v>
      </c>
      <c r="K477" s="275">
        <f t="shared" si="59"/>
        <v>2.629063097514555</v>
      </c>
      <c r="L477">
        <v>11</v>
      </c>
      <c r="M477" s="16">
        <v>43358</v>
      </c>
      <c r="N477" s="16">
        <v>43358</v>
      </c>
      <c r="R477" s="275"/>
    </row>
    <row r="478" spans="1:18">
      <c r="A478" t="s">
        <v>524</v>
      </c>
      <c r="C478" t="s">
        <v>2740</v>
      </c>
      <c r="D478">
        <v>1.2862</v>
      </c>
      <c r="E478">
        <v>9.7268000000000008</v>
      </c>
      <c r="F478">
        <v>0.20030000000000001</v>
      </c>
      <c r="G478" s="278">
        <f t="shared" si="57"/>
        <v>9.9271000000000011</v>
      </c>
      <c r="H478" s="274">
        <v>9.7872000000000003</v>
      </c>
      <c r="I478" s="278">
        <f>G478-H478</f>
        <v>0.1399000000000008</v>
      </c>
      <c r="J478" s="273">
        <f t="shared" si="58"/>
        <v>6.0399999999999204E-2</v>
      </c>
      <c r="K478" s="275">
        <f t="shared" si="59"/>
        <v>30.154767848227259</v>
      </c>
      <c r="L478">
        <v>29</v>
      </c>
      <c r="M478" s="276">
        <v>43379</v>
      </c>
      <c r="N478" s="276">
        <v>43379</v>
      </c>
      <c r="R478" s="275"/>
    </row>
    <row r="479" spans="1:18">
      <c r="A479" t="s">
        <v>523</v>
      </c>
      <c r="C479" t="s">
        <v>3020</v>
      </c>
      <c r="D479">
        <v>1.7892999999999999</v>
      </c>
      <c r="E479">
        <v>7.4820000000000002</v>
      </c>
      <c r="F479">
        <v>0.20480000000000001</v>
      </c>
      <c r="G479" s="274">
        <f t="shared" si="57"/>
        <v>7.6867999999999999</v>
      </c>
      <c r="H479" s="274">
        <v>7.4873000000000003</v>
      </c>
      <c r="I479" s="274">
        <f>G479-H479</f>
        <v>0.19949999999999957</v>
      </c>
      <c r="J479" s="273">
        <f t="shared" si="58"/>
        <v>5.3000000000004432E-3</v>
      </c>
      <c r="K479" s="275">
        <f t="shared" si="59"/>
        <v>2.5878906250002163</v>
      </c>
      <c r="L479">
        <v>32</v>
      </c>
      <c r="M479" s="16">
        <v>43381</v>
      </c>
      <c r="N479" s="16">
        <v>43382</v>
      </c>
      <c r="R479" s="275"/>
    </row>
    <row r="480" spans="1:18">
      <c r="A480" t="s">
        <v>522</v>
      </c>
      <c r="C480" t="s">
        <v>2775</v>
      </c>
      <c r="D480">
        <v>1.7042999999999999</v>
      </c>
      <c r="E480">
        <v>8.8626000000000005</v>
      </c>
      <c r="F480">
        <v>0.2026</v>
      </c>
      <c r="G480" s="274">
        <f t="shared" si="57"/>
        <v>9.0652000000000008</v>
      </c>
      <c r="H480" s="274">
        <v>8.8676999999999992</v>
      </c>
      <c r="I480" s="274">
        <f>G480-H480</f>
        <v>0.19750000000000156</v>
      </c>
      <c r="J480" s="273">
        <f t="shared" si="58"/>
        <v>5.0999999999984391E-3</v>
      </c>
      <c r="K480" s="275">
        <f t="shared" si="59"/>
        <v>2.5172754195451326</v>
      </c>
      <c r="L480">
        <v>10</v>
      </c>
      <c r="M480" s="276">
        <v>43363</v>
      </c>
      <c r="N480" s="276">
        <v>43364</v>
      </c>
      <c r="O480" s="273" t="s">
        <v>3033</v>
      </c>
      <c r="R480" s="275"/>
    </row>
    <row r="481" spans="1:18">
      <c r="A481" t="s">
        <v>521</v>
      </c>
      <c r="C481" t="s">
        <v>3010</v>
      </c>
      <c r="D481" s="273">
        <v>1.786</v>
      </c>
      <c r="E481" s="274">
        <v>8.8610000000000007</v>
      </c>
      <c r="F481" s="274">
        <v>0.21629999999999999</v>
      </c>
      <c r="G481" s="274">
        <f t="shared" si="57"/>
        <v>9.077300000000001</v>
      </c>
      <c r="H481" s="274">
        <v>8.8727</v>
      </c>
      <c r="I481" s="274">
        <f>G481-H481</f>
        <v>0.204600000000001</v>
      </c>
      <c r="J481" s="273">
        <f t="shared" si="58"/>
        <v>1.1699999999998989E-2</v>
      </c>
      <c r="K481" s="275">
        <f t="shared" si="59"/>
        <v>5.4091539528428063</v>
      </c>
      <c r="L481" s="273">
        <v>1</v>
      </c>
      <c r="M481" s="276">
        <v>43363</v>
      </c>
      <c r="N481" s="276">
        <v>43364</v>
      </c>
      <c r="O481" s="273"/>
      <c r="P481" s="273"/>
      <c r="R481" s="275"/>
    </row>
    <row r="482" spans="1:18">
      <c r="A482" t="s">
        <v>520</v>
      </c>
      <c r="C482" t="s">
        <v>2977</v>
      </c>
      <c r="D482">
        <v>1.8220000000000001</v>
      </c>
      <c r="E482">
        <v>10.9032</v>
      </c>
      <c r="F482">
        <v>0.20369999999999999</v>
      </c>
      <c r="G482" s="274">
        <f t="shared" si="57"/>
        <v>11.1069</v>
      </c>
      <c r="H482" s="274">
        <v>10.9102</v>
      </c>
      <c r="I482" s="274">
        <f>G482-H482</f>
        <v>0.19669999999999987</v>
      </c>
      <c r="J482" s="273">
        <f t="shared" si="58"/>
        <v>7.0000000000001172E-3</v>
      </c>
      <c r="K482" s="275">
        <f t="shared" si="59"/>
        <v>3.4364261168385459</v>
      </c>
      <c r="L482">
        <v>5</v>
      </c>
      <c r="M482" s="16">
        <v>43381</v>
      </c>
      <c r="N482" s="16">
        <v>43382</v>
      </c>
      <c r="R482" s="275"/>
    </row>
    <row r="483" spans="1:18">
      <c r="A483" t="s">
        <v>519</v>
      </c>
      <c r="C483" t="s">
        <v>2942</v>
      </c>
      <c r="D483">
        <v>1.8440000000000001</v>
      </c>
      <c r="E483">
        <v>11.105</v>
      </c>
      <c r="F483">
        <v>0.20319999999999999</v>
      </c>
      <c r="G483" s="274">
        <f t="shared" si="57"/>
        <v>11.308200000000001</v>
      </c>
      <c r="H483" s="274">
        <v>11.111700000000001</v>
      </c>
      <c r="I483" s="274">
        <f>(G483-H483)</f>
        <v>0.19650000000000034</v>
      </c>
      <c r="J483" s="273">
        <f t="shared" si="58"/>
        <v>6.6999999999996507E-3</v>
      </c>
      <c r="K483" s="275">
        <f t="shared" si="59"/>
        <v>3.2972440944880175</v>
      </c>
      <c r="L483">
        <v>13</v>
      </c>
      <c r="M483" s="16">
        <v>43358</v>
      </c>
      <c r="N483" s="16">
        <v>43358</v>
      </c>
      <c r="R483" s="275"/>
    </row>
    <row r="484" spans="1:18">
      <c r="A484" t="s">
        <v>518</v>
      </c>
      <c r="B484">
        <v>203</v>
      </c>
      <c r="C484" t="s">
        <v>2490</v>
      </c>
      <c r="D484">
        <v>1.4706999999999999</v>
      </c>
      <c r="E484">
        <v>8.0893999999999995</v>
      </c>
      <c r="F484">
        <v>0.22309999999999999</v>
      </c>
      <c r="G484">
        <f t="shared" si="57"/>
        <v>8.3125</v>
      </c>
      <c r="H484">
        <v>8.0984999999999996</v>
      </c>
      <c r="I484" s="274">
        <f t="shared" ref="I484:I493" si="60">G484-H484</f>
        <v>0.21400000000000041</v>
      </c>
      <c r="J484" s="273">
        <f t="shared" si="58"/>
        <v>9.0999999999995806E-3</v>
      </c>
      <c r="K484" s="275">
        <f t="shared" si="59"/>
        <v>4.0788883908559299</v>
      </c>
      <c r="L484">
        <v>10</v>
      </c>
      <c r="M484" s="16">
        <v>43402</v>
      </c>
      <c r="N484" s="16">
        <v>43403</v>
      </c>
      <c r="R484" s="275"/>
    </row>
    <row r="485" spans="1:18">
      <c r="A485" t="s">
        <v>517</v>
      </c>
      <c r="B485">
        <v>216</v>
      </c>
      <c r="D485">
        <v>1.4694</v>
      </c>
      <c r="E485">
        <v>7.9946000000000002</v>
      </c>
      <c r="F485">
        <v>0.20860000000000001</v>
      </c>
      <c r="G485" s="274">
        <f t="shared" si="57"/>
        <v>8.2032000000000007</v>
      </c>
      <c r="H485" s="274">
        <v>8.0044000000000004</v>
      </c>
      <c r="I485" s="274">
        <f t="shared" si="60"/>
        <v>0.19880000000000031</v>
      </c>
      <c r="J485" s="273">
        <f t="shared" si="58"/>
        <v>9.7999999999996978E-3</v>
      </c>
      <c r="K485" s="275">
        <f t="shared" si="59"/>
        <v>4.6979865771810632</v>
      </c>
      <c r="L485">
        <v>25</v>
      </c>
      <c r="M485" s="16">
        <v>43395</v>
      </c>
      <c r="N485" s="16">
        <v>43396</v>
      </c>
      <c r="R485" s="275"/>
    </row>
    <row r="486" spans="1:18">
      <c r="A486" t="s">
        <v>516</v>
      </c>
      <c r="B486">
        <v>193</v>
      </c>
      <c r="D486">
        <v>1.2164999999999999</v>
      </c>
      <c r="E486">
        <v>7.3555000000000001</v>
      </c>
      <c r="F486">
        <v>0.21340000000000001</v>
      </c>
      <c r="G486" s="274">
        <f t="shared" si="57"/>
        <v>7.5689000000000002</v>
      </c>
      <c r="H486" s="274">
        <v>7.3685</v>
      </c>
      <c r="I486" s="274">
        <f t="shared" si="60"/>
        <v>0.20040000000000013</v>
      </c>
      <c r="J486" s="273">
        <f t="shared" si="58"/>
        <v>1.2999999999999873E-2</v>
      </c>
      <c r="K486" s="275">
        <f t="shared" si="59"/>
        <v>6.0918462980318058</v>
      </c>
      <c r="L486">
        <v>8</v>
      </c>
      <c r="M486" s="16">
        <v>43395</v>
      </c>
      <c r="N486" s="16">
        <v>43396</v>
      </c>
      <c r="R486" s="275"/>
    </row>
    <row r="487" spans="1:18">
      <c r="A487" t="s">
        <v>515</v>
      </c>
      <c r="C487" t="s">
        <v>3038</v>
      </c>
      <c r="D487">
        <v>0.83020000000000005</v>
      </c>
      <c r="E487">
        <v>7.1901999999999999</v>
      </c>
      <c r="F487">
        <v>0.2041</v>
      </c>
      <c r="G487" s="274">
        <f t="shared" si="57"/>
        <v>7.3943000000000003</v>
      </c>
      <c r="H487" s="274">
        <v>7.3662999999999998</v>
      </c>
      <c r="I487" s="274">
        <f t="shared" si="60"/>
        <v>2.8000000000000469E-2</v>
      </c>
      <c r="J487" s="273">
        <f t="shared" si="58"/>
        <v>0.17609999999999953</v>
      </c>
      <c r="K487" s="275">
        <f t="shared" si="59"/>
        <v>86.281234688877774</v>
      </c>
      <c r="L487">
        <v>29</v>
      </c>
      <c r="M487" s="276">
        <v>43363</v>
      </c>
      <c r="N487" s="276">
        <v>43364</v>
      </c>
      <c r="R487" s="275"/>
    </row>
    <row r="488" spans="1:18">
      <c r="A488" t="s">
        <v>514</v>
      </c>
      <c r="B488">
        <v>208</v>
      </c>
      <c r="D488">
        <v>1.5009999999999999</v>
      </c>
      <c r="E488">
        <v>10.315300000000001</v>
      </c>
      <c r="F488">
        <v>0.20960000000000001</v>
      </c>
      <c r="G488" s="274">
        <f t="shared" si="57"/>
        <v>10.524900000000001</v>
      </c>
      <c r="H488" s="274">
        <v>10.331799999999999</v>
      </c>
      <c r="I488" s="274">
        <f t="shared" si="60"/>
        <v>0.19310000000000116</v>
      </c>
      <c r="J488" s="273">
        <f t="shared" si="58"/>
        <v>1.6499999999998849E-2</v>
      </c>
      <c r="K488" s="275">
        <f t="shared" si="59"/>
        <v>7.8721374045796031</v>
      </c>
      <c r="L488">
        <v>39</v>
      </c>
      <c r="M488" s="16">
        <v>43388</v>
      </c>
      <c r="N488" s="276">
        <v>43389</v>
      </c>
      <c r="O488" s="16"/>
      <c r="R488" s="275"/>
    </row>
    <row r="489" spans="1:18">
      <c r="A489" t="s">
        <v>512</v>
      </c>
      <c r="B489">
        <v>211</v>
      </c>
      <c r="C489" t="s">
        <v>2490</v>
      </c>
      <c r="D489">
        <v>1.5597000000000001</v>
      </c>
      <c r="E489">
        <v>10.057</v>
      </c>
      <c r="F489">
        <v>0.2034</v>
      </c>
      <c r="G489" s="274">
        <f t="shared" si="57"/>
        <v>10.260400000000001</v>
      </c>
      <c r="H489" s="274">
        <v>10.0685</v>
      </c>
      <c r="I489" s="274">
        <f t="shared" si="60"/>
        <v>0.1919000000000004</v>
      </c>
      <c r="J489" s="273">
        <f t="shared" si="58"/>
        <v>1.1499999999999594E-2</v>
      </c>
      <c r="K489" s="275">
        <f t="shared" si="59"/>
        <v>5.6538839724678436</v>
      </c>
      <c r="L489">
        <v>14</v>
      </c>
      <c r="M489" s="16">
        <v>43388</v>
      </c>
      <c r="N489" s="276">
        <v>43389</v>
      </c>
      <c r="O489" s="276"/>
      <c r="P489" s="273"/>
      <c r="R489" s="275"/>
    </row>
    <row r="490" spans="1:18">
      <c r="A490" t="s">
        <v>511</v>
      </c>
      <c r="C490" t="s">
        <v>2711</v>
      </c>
      <c r="D490">
        <v>1.5824</v>
      </c>
      <c r="E490">
        <v>10.315300000000001</v>
      </c>
      <c r="F490">
        <v>0.20150000000000001</v>
      </c>
      <c r="G490" s="274">
        <f t="shared" si="57"/>
        <v>10.5168</v>
      </c>
      <c r="H490" s="274">
        <v>10.333500000000001</v>
      </c>
      <c r="I490" s="274">
        <f t="shared" si="60"/>
        <v>0.18329999999999913</v>
      </c>
      <c r="J490" s="273">
        <f t="shared" si="58"/>
        <v>1.8200000000000882E-2</v>
      </c>
      <c r="K490" s="275">
        <f t="shared" si="59"/>
        <v>9.0322580645165651</v>
      </c>
      <c r="L490">
        <v>42</v>
      </c>
      <c r="M490">
        <v>23.101800000000001</v>
      </c>
      <c r="N490" s="16">
        <v>43397</v>
      </c>
      <c r="R490" s="275"/>
    </row>
    <row r="491" spans="1:18">
      <c r="A491" t="s">
        <v>510</v>
      </c>
      <c r="C491" t="s">
        <v>2698</v>
      </c>
      <c r="D491">
        <v>1.6624000000000001</v>
      </c>
      <c r="E491">
        <v>9.1379999999999999</v>
      </c>
      <c r="F491">
        <v>0.20480000000000001</v>
      </c>
      <c r="G491" s="274">
        <f t="shared" si="57"/>
        <v>9.3428000000000004</v>
      </c>
      <c r="H491" s="274">
        <v>9.1547000000000001</v>
      </c>
      <c r="I491" s="274">
        <f t="shared" si="60"/>
        <v>0.18810000000000038</v>
      </c>
      <c r="J491" s="273">
        <f t="shared" si="58"/>
        <v>1.6699999999999632E-2</v>
      </c>
      <c r="K491" s="275">
        <f t="shared" si="59"/>
        <v>8.1542968749998188</v>
      </c>
      <c r="L491">
        <v>9</v>
      </c>
      <c r="M491" s="16">
        <v>43388</v>
      </c>
      <c r="N491" s="276">
        <v>43389</v>
      </c>
      <c r="O491" s="276"/>
      <c r="P491" s="273"/>
      <c r="R491" s="275"/>
    </row>
    <row r="492" spans="1:18">
      <c r="A492" t="s">
        <v>507</v>
      </c>
      <c r="C492" t="s">
        <v>3027</v>
      </c>
      <c r="D492">
        <v>1.8246</v>
      </c>
      <c r="E492">
        <v>10.1165</v>
      </c>
      <c r="F492">
        <v>0.22919999999999999</v>
      </c>
      <c r="G492" s="274">
        <f t="shared" si="57"/>
        <v>10.345700000000001</v>
      </c>
      <c r="H492" s="274">
        <v>10.1234</v>
      </c>
      <c r="I492" s="274">
        <f t="shared" si="60"/>
        <v>0.22230000000000061</v>
      </c>
      <c r="J492" s="273">
        <f t="shared" si="58"/>
        <v>6.8999999999993789E-3</v>
      </c>
      <c r="K492" s="275">
        <f t="shared" si="59"/>
        <v>3.0104712041882107</v>
      </c>
      <c r="L492">
        <v>37</v>
      </c>
      <c r="M492" s="276">
        <v>43362</v>
      </c>
      <c r="N492" s="276">
        <v>43363</v>
      </c>
      <c r="R492" s="275"/>
    </row>
    <row r="493" spans="1:18">
      <c r="A493" t="s">
        <v>506</v>
      </c>
      <c r="C493" t="s">
        <v>2706</v>
      </c>
      <c r="D493">
        <v>1.4185000000000001</v>
      </c>
      <c r="E493">
        <v>9.0531000000000006</v>
      </c>
      <c r="F493">
        <v>0.2029</v>
      </c>
      <c r="G493" s="274">
        <f t="shared" si="57"/>
        <v>9.2560000000000002</v>
      </c>
      <c r="H493" s="274">
        <v>9.0648999999999997</v>
      </c>
      <c r="I493" s="274">
        <f t="shared" si="60"/>
        <v>0.19110000000000049</v>
      </c>
      <c r="J493" s="273">
        <f t="shared" si="58"/>
        <v>1.1799999999999505E-2</v>
      </c>
      <c r="K493" s="275">
        <f t="shared" si="59"/>
        <v>5.8156727451944334</v>
      </c>
      <c r="L493">
        <v>29</v>
      </c>
      <c r="M493">
        <v>23.101800000000001</v>
      </c>
      <c r="N493" s="16">
        <v>43397</v>
      </c>
      <c r="R493" s="275"/>
    </row>
    <row r="494" spans="1:18">
      <c r="A494" t="s">
        <v>505</v>
      </c>
      <c r="C494" t="s">
        <v>2968</v>
      </c>
      <c r="D494">
        <v>1.77</v>
      </c>
      <c r="E494">
        <v>7.1905999999999999</v>
      </c>
      <c r="F494">
        <v>0.23119999999999999</v>
      </c>
      <c r="G494" s="274">
        <f t="shared" si="57"/>
        <v>7.4218000000000002</v>
      </c>
      <c r="H494" s="274">
        <v>7.1957000000000004</v>
      </c>
      <c r="I494" s="274">
        <f>(G494-H494)</f>
        <v>0.22609999999999975</v>
      </c>
      <c r="J494" s="273">
        <f t="shared" si="58"/>
        <v>5.1000000000002432E-3</v>
      </c>
      <c r="K494" s="275">
        <f t="shared" si="59"/>
        <v>2.2058823529412819</v>
      </c>
      <c r="L494">
        <v>15</v>
      </c>
      <c r="M494" s="276">
        <v>43360</v>
      </c>
      <c r="N494" s="276">
        <v>43361</v>
      </c>
      <c r="O494" s="273" t="s">
        <v>2985</v>
      </c>
      <c r="R494" s="275"/>
    </row>
    <row r="495" spans="1:18">
      <c r="A495" t="s">
        <v>504</v>
      </c>
      <c r="C495" t="s">
        <v>2776</v>
      </c>
      <c r="D495">
        <v>1.7962</v>
      </c>
      <c r="E495">
        <v>7.8727</v>
      </c>
      <c r="F495">
        <v>0.2001</v>
      </c>
      <c r="G495" s="274">
        <f t="shared" si="57"/>
        <v>8.0728000000000009</v>
      </c>
      <c r="H495" s="274">
        <v>7.8800999999999997</v>
      </c>
      <c r="I495" s="274">
        <f t="shared" ref="I495:I512" si="61">G495-H495</f>
        <v>0.1927000000000012</v>
      </c>
      <c r="J495" s="273">
        <f t="shared" si="58"/>
        <v>7.3999999999987964E-3</v>
      </c>
      <c r="K495" s="275">
        <f t="shared" si="59"/>
        <v>3.6981509245371296</v>
      </c>
      <c r="L495">
        <v>13</v>
      </c>
      <c r="M495" s="276">
        <v>43363</v>
      </c>
      <c r="N495" s="276">
        <v>43364</v>
      </c>
      <c r="O495" s="273" t="s">
        <v>3033</v>
      </c>
      <c r="R495" s="275"/>
    </row>
    <row r="496" spans="1:18">
      <c r="A496" t="s">
        <v>503</v>
      </c>
      <c r="C496" t="s">
        <v>3062</v>
      </c>
      <c r="D496">
        <v>1.6620999999999999</v>
      </c>
      <c r="E496">
        <v>8.1369000000000007</v>
      </c>
      <c r="F496">
        <v>0.20960000000000001</v>
      </c>
      <c r="G496" s="274">
        <f t="shared" si="57"/>
        <v>8.3465000000000007</v>
      </c>
      <c r="H496" s="274">
        <v>8.1450999999999993</v>
      </c>
      <c r="I496" s="274">
        <f t="shared" si="61"/>
        <v>0.20140000000000136</v>
      </c>
      <c r="J496" s="273">
        <f t="shared" si="58"/>
        <v>8.1999999999986528E-3</v>
      </c>
      <c r="K496" s="275">
        <f t="shared" si="59"/>
        <v>3.9122137404573722</v>
      </c>
      <c r="L496">
        <v>35</v>
      </c>
      <c r="M496" s="16">
        <v>43399</v>
      </c>
      <c r="N496" s="16">
        <v>43400</v>
      </c>
      <c r="R496" s="275"/>
    </row>
    <row r="497" spans="1:18">
      <c r="A497" t="s">
        <v>502</v>
      </c>
      <c r="B497">
        <v>205</v>
      </c>
      <c r="C497" t="s">
        <v>2490</v>
      </c>
      <c r="D497">
        <v>1.4805999999999999</v>
      </c>
      <c r="E497">
        <v>8.8626000000000005</v>
      </c>
      <c r="F497">
        <v>0.2109</v>
      </c>
      <c r="G497" s="274">
        <f t="shared" si="57"/>
        <v>9.073500000000001</v>
      </c>
      <c r="H497" s="274">
        <v>8.8729999999999993</v>
      </c>
      <c r="I497" s="274">
        <f t="shared" si="61"/>
        <v>0.20050000000000168</v>
      </c>
      <c r="J497" s="273">
        <f t="shared" si="58"/>
        <v>1.0399999999998327E-2</v>
      </c>
      <c r="K497" s="275">
        <f t="shared" si="59"/>
        <v>4.9312470365094017</v>
      </c>
      <c r="L497">
        <v>6</v>
      </c>
      <c r="M497">
        <v>23.101800000000001</v>
      </c>
      <c r="N497" s="16">
        <v>43397</v>
      </c>
      <c r="R497" s="275"/>
    </row>
    <row r="498" spans="1:18">
      <c r="A498" t="s">
        <v>501</v>
      </c>
      <c r="C498" t="s">
        <v>3042</v>
      </c>
      <c r="D498">
        <v>1.4117999999999999</v>
      </c>
      <c r="E498">
        <v>19.3901</v>
      </c>
      <c r="F498">
        <v>0.22070000000000001</v>
      </c>
      <c r="G498" s="274">
        <f t="shared" si="57"/>
        <v>19.610800000000001</v>
      </c>
      <c r="H498" s="274">
        <v>19.406400000000001</v>
      </c>
      <c r="I498" s="274">
        <f t="shared" si="61"/>
        <v>0.20439999999999969</v>
      </c>
      <c r="J498" s="273">
        <f t="shared" si="58"/>
        <v>1.6300000000000314E-2</v>
      </c>
      <c r="K498" s="275">
        <f t="shared" si="59"/>
        <v>7.3855913004079357</v>
      </c>
      <c r="L498">
        <v>41</v>
      </c>
      <c r="M498" s="276">
        <v>43363</v>
      </c>
      <c r="N498" s="276">
        <v>43364</v>
      </c>
      <c r="R498" s="275"/>
    </row>
    <row r="499" spans="1:18">
      <c r="A499" t="s">
        <v>500</v>
      </c>
      <c r="B499">
        <v>218</v>
      </c>
      <c r="D499">
        <v>1.4678</v>
      </c>
      <c r="E499">
        <v>7.7157</v>
      </c>
      <c r="F499">
        <v>0.21829999999999999</v>
      </c>
      <c r="G499" s="274">
        <f t="shared" si="57"/>
        <v>7.9340000000000002</v>
      </c>
      <c r="H499" s="274">
        <v>7.7264999999999997</v>
      </c>
      <c r="I499" s="274">
        <f t="shared" si="61"/>
        <v>0.20750000000000046</v>
      </c>
      <c r="J499" s="273">
        <f t="shared" si="58"/>
        <v>1.0799999999999532E-2</v>
      </c>
      <c r="K499" s="275">
        <f t="shared" si="59"/>
        <v>4.9473202015572753</v>
      </c>
      <c r="L499">
        <v>17</v>
      </c>
      <c r="M499" s="16">
        <v>43395</v>
      </c>
      <c r="N499" s="16">
        <v>43396</v>
      </c>
      <c r="R499" s="275"/>
    </row>
    <row r="500" spans="1:18">
      <c r="A500" t="s">
        <v>499</v>
      </c>
      <c r="C500" t="s">
        <v>2710</v>
      </c>
      <c r="D500">
        <v>1.4698</v>
      </c>
      <c r="E500">
        <v>9.3225999999999996</v>
      </c>
      <c r="F500">
        <v>0.2089</v>
      </c>
      <c r="G500" s="278">
        <f t="shared" ref="G500:G531" si="62">E500+F500</f>
        <v>9.5314999999999994</v>
      </c>
      <c r="H500" s="274">
        <v>9.3557000000000006</v>
      </c>
      <c r="I500" s="278">
        <f t="shared" si="61"/>
        <v>0.17579999999999885</v>
      </c>
      <c r="J500" s="273">
        <f t="shared" ref="J500:J531" si="63">F500-I500</f>
        <v>3.3100000000001156E-2</v>
      </c>
      <c r="K500" s="275">
        <f t="shared" ref="K500:K531" si="64">(J500/F500)*100</f>
        <v>15.844901866922525</v>
      </c>
      <c r="L500">
        <v>25</v>
      </c>
      <c r="M500" s="276">
        <v>43379</v>
      </c>
      <c r="N500" s="276">
        <v>43379</v>
      </c>
      <c r="R500" s="275"/>
    </row>
    <row r="501" spans="1:18">
      <c r="A501" t="s">
        <v>498</v>
      </c>
      <c r="C501" t="s">
        <v>3059</v>
      </c>
      <c r="D501">
        <v>1.7523</v>
      </c>
      <c r="E501">
        <v>7.0940000000000003</v>
      </c>
      <c r="F501">
        <v>0.20949999999999999</v>
      </c>
      <c r="G501" s="274">
        <f t="shared" si="62"/>
        <v>7.3035000000000005</v>
      </c>
      <c r="H501" s="274">
        <v>7.1018999999999997</v>
      </c>
      <c r="I501" s="274">
        <f t="shared" si="61"/>
        <v>0.20160000000000089</v>
      </c>
      <c r="J501" s="273">
        <f t="shared" si="63"/>
        <v>7.8999999999991022E-3</v>
      </c>
      <c r="K501" s="275">
        <f t="shared" si="64"/>
        <v>3.7708830548921735</v>
      </c>
      <c r="L501">
        <v>21</v>
      </c>
      <c r="M501" s="16">
        <v>43395</v>
      </c>
      <c r="N501" s="16">
        <v>43396</v>
      </c>
      <c r="R501" s="275"/>
    </row>
    <row r="502" spans="1:18">
      <c r="A502" t="s">
        <v>497</v>
      </c>
      <c r="C502" t="s">
        <v>3022</v>
      </c>
      <c r="D502">
        <v>1.8624000000000001</v>
      </c>
      <c r="E502">
        <v>7.3186999999999998</v>
      </c>
      <c r="F502">
        <v>0.21290000000000001</v>
      </c>
      <c r="G502" s="274">
        <f t="shared" si="62"/>
        <v>7.5316000000000001</v>
      </c>
      <c r="H502" s="274">
        <v>7.3231999999999999</v>
      </c>
      <c r="I502" s="274">
        <f t="shared" si="61"/>
        <v>0.20840000000000014</v>
      </c>
      <c r="J502" s="273">
        <f t="shared" si="63"/>
        <v>4.4999999999998652E-3</v>
      </c>
      <c r="K502" s="275">
        <f t="shared" si="64"/>
        <v>2.1136683889149204</v>
      </c>
      <c r="L502">
        <v>17</v>
      </c>
      <c r="M502" s="276">
        <v>43362</v>
      </c>
      <c r="N502" s="276">
        <v>43363</v>
      </c>
      <c r="R502" s="275"/>
    </row>
    <row r="503" spans="1:18">
      <c r="A503" t="s">
        <v>494</v>
      </c>
      <c r="B503">
        <v>195</v>
      </c>
      <c r="D503">
        <v>1.5925</v>
      </c>
      <c r="E503">
        <v>11.005000000000001</v>
      </c>
      <c r="F503">
        <v>0.21879999999999999</v>
      </c>
      <c r="G503" s="274">
        <f t="shared" si="62"/>
        <v>11.223800000000001</v>
      </c>
      <c r="H503" s="274">
        <v>11.0128</v>
      </c>
      <c r="I503" s="274">
        <f t="shared" si="61"/>
        <v>0.2110000000000003</v>
      </c>
      <c r="J503" s="273">
        <f t="shared" si="63"/>
        <v>7.7999999999996961E-3</v>
      </c>
      <c r="K503" s="275">
        <f t="shared" si="64"/>
        <v>3.5648994515537913</v>
      </c>
      <c r="L503">
        <v>17</v>
      </c>
      <c r="M503">
        <v>23.101800000000001</v>
      </c>
      <c r="N503" s="16">
        <v>43397</v>
      </c>
      <c r="R503" s="275"/>
    </row>
    <row r="504" spans="1:18">
      <c r="A504" t="s">
        <v>493</v>
      </c>
      <c r="C504" t="s">
        <v>3016</v>
      </c>
      <c r="D504">
        <v>1.7402</v>
      </c>
      <c r="E504">
        <v>11.1608</v>
      </c>
      <c r="F504">
        <v>0.20019999999999999</v>
      </c>
      <c r="G504" s="274">
        <f t="shared" si="62"/>
        <v>11.361000000000001</v>
      </c>
      <c r="H504" s="274">
        <v>11.165800000000001</v>
      </c>
      <c r="I504" s="274">
        <f t="shared" si="61"/>
        <v>0.19519999999999982</v>
      </c>
      <c r="J504" s="273">
        <f t="shared" si="63"/>
        <v>5.000000000000171E-3</v>
      </c>
      <c r="K504" s="275">
        <f t="shared" si="64"/>
        <v>2.497502497502583</v>
      </c>
      <c r="L504">
        <v>35</v>
      </c>
      <c r="M504" s="276">
        <v>43362</v>
      </c>
      <c r="N504" s="276">
        <v>43363</v>
      </c>
      <c r="R504" s="275"/>
    </row>
    <row r="505" spans="1:18">
      <c r="A505" t="s">
        <v>492</v>
      </c>
      <c r="B505">
        <v>209</v>
      </c>
      <c r="C505" t="s">
        <v>2490</v>
      </c>
      <c r="D505">
        <v>1.5167999999999999</v>
      </c>
      <c r="E505">
        <v>11.0047</v>
      </c>
      <c r="F505">
        <v>0.23400000000000001</v>
      </c>
      <c r="G505">
        <f t="shared" si="62"/>
        <v>11.2387</v>
      </c>
      <c r="H505">
        <v>11.0138</v>
      </c>
      <c r="I505" s="274">
        <f t="shared" si="61"/>
        <v>0.22489999999999988</v>
      </c>
      <c r="J505" s="273">
        <f t="shared" si="63"/>
        <v>9.1000000000001358E-3</v>
      </c>
      <c r="K505" s="275">
        <f t="shared" si="64"/>
        <v>3.8888888888889466</v>
      </c>
      <c r="L505">
        <v>37</v>
      </c>
      <c r="M505" s="16">
        <v>43399</v>
      </c>
      <c r="N505" s="16">
        <v>43400</v>
      </c>
      <c r="R505" s="275"/>
    </row>
    <row r="506" spans="1:18">
      <c r="A506" t="s">
        <v>491</v>
      </c>
      <c r="C506" t="s">
        <v>2991</v>
      </c>
      <c r="D506">
        <v>1.8442000000000001</v>
      </c>
      <c r="E506">
        <v>11.1546</v>
      </c>
      <c r="F506">
        <v>0.2077</v>
      </c>
      <c r="G506" s="274">
        <f t="shared" si="62"/>
        <v>11.362300000000001</v>
      </c>
      <c r="H506" s="274">
        <v>11.161099999999999</v>
      </c>
      <c r="I506" s="274">
        <f t="shared" si="61"/>
        <v>0.20120000000000182</v>
      </c>
      <c r="J506" s="273">
        <f t="shared" si="63"/>
        <v>6.4999999999981739E-3</v>
      </c>
      <c r="K506" s="275">
        <f t="shared" si="64"/>
        <v>3.1295137217131312</v>
      </c>
      <c r="L506">
        <v>3</v>
      </c>
      <c r="M506" s="276">
        <v>43361</v>
      </c>
      <c r="N506" s="276">
        <v>43362</v>
      </c>
      <c r="O506" s="273" t="s">
        <v>3008</v>
      </c>
      <c r="R506" s="275"/>
    </row>
    <row r="507" spans="1:18">
      <c r="A507" t="s">
        <v>490</v>
      </c>
      <c r="C507" t="s">
        <v>2767</v>
      </c>
      <c r="D507">
        <v>1.5868</v>
      </c>
      <c r="E507">
        <v>8.7338000000000005</v>
      </c>
      <c r="F507">
        <v>0.2099</v>
      </c>
      <c r="G507" s="274">
        <f t="shared" si="62"/>
        <v>8.9436999999999998</v>
      </c>
      <c r="H507" s="274">
        <v>8.7454999999999998</v>
      </c>
      <c r="I507" s="274">
        <f t="shared" si="61"/>
        <v>0.19819999999999993</v>
      </c>
      <c r="J507" s="273">
        <f t="shared" si="63"/>
        <v>1.1700000000000071E-2</v>
      </c>
      <c r="K507" s="275">
        <f t="shared" si="64"/>
        <v>5.5740828966174707</v>
      </c>
      <c r="L507">
        <v>9</v>
      </c>
      <c r="M507" s="276">
        <v>43363</v>
      </c>
      <c r="N507" s="276">
        <v>43364</v>
      </c>
      <c r="O507" s="273" t="s">
        <v>3033</v>
      </c>
      <c r="R507" s="275"/>
    </row>
    <row r="508" spans="1:18">
      <c r="A508" t="s">
        <v>489</v>
      </c>
      <c r="C508" t="s">
        <v>3050</v>
      </c>
      <c r="D508">
        <v>1.8091999999999999</v>
      </c>
      <c r="E508">
        <v>10.5229</v>
      </c>
      <c r="F508">
        <v>0.22919999999999999</v>
      </c>
      <c r="G508" s="278">
        <f t="shared" si="62"/>
        <v>10.7521</v>
      </c>
      <c r="H508" s="274">
        <v>10.530799999999999</v>
      </c>
      <c r="I508" s="278">
        <f t="shared" si="61"/>
        <v>0.22130000000000116</v>
      </c>
      <c r="J508" s="273">
        <f t="shared" si="63"/>
        <v>7.8999999999988246E-3</v>
      </c>
      <c r="K508" s="275">
        <f t="shared" si="64"/>
        <v>3.4467713787080392</v>
      </c>
      <c r="L508">
        <v>24</v>
      </c>
      <c r="M508" s="276">
        <v>43379</v>
      </c>
      <c r="N508" s="276">
        <v>43379</v>
      </c>
      <c r="R508" s="275"/>
    </row>
    <row r="509" spans="1:18">
      <c r="A509" t="s">
        <v>488</v>
      </c>
      <c r="C509" t="s">
        <v>2771</v>
      </c>
      <c r="D509">
        <v>1.8404</v>
      </c>
      <c r="E509">
        <v>7.0755999999999997</v>
      </c>
      <c r="F509">
        <v>0.21390000000000001</v>
      </c>
      <c r="G509" s="274">
        <f t="shared" si="62"/>
        <v>7.2894999999999994</v>
      </c>
      <c r="H509" s="274">
        <v>7.0856000000000003</v>
      </c>
      <c r="I509" s="274">
        <f t="shared" si="61"/>
        <v>0.20389999999999908</v>
      </c>
      <c r="J509" s="273">
        <f t="shared" si="63"/>
        <v>1.0000000000000925E-2</v>
      </c>
      <c r="K509" s="275">
        <f t="shared" si="64"/>
        <v>4.6750818139321764</v>
      </c>
      <c r="L509">
        <v>22</v>
      </c>
      <c r="M509" s="276">
        <v>43363</v>
      </c>
      <c r="N509" s="276">
        <v>43364</v>
      </c>
      <c r="R509" s="275"/>
    </row>
    <row r="510" spans="1:18">
      <c r="A510" t="s">
        <v>487</v>
      </c>
      <c r="C510" t="s">
        <v>3029</v>
      </c>
      <c r="D510">
        <v>1.7336</v>
      </c>
      <c r="E510">
        <v>10.1457</v>
      </c>
      <c r="F510">
        <v>0.22209999999999999</v>
      </c>
      <c r="G510" s="274">
        <f t="shared" si="62"/>
        <v>10.367799999999999</v>
      </c>
      <c r="H510" s="274">
        <v>10.151400000000001</v>
      </c>
      <c r="I510" s="274">
        <f t="shared" si="61"/>
        <v>0.21639999999999837</v>
      </c>
      <c r="J510" s="273">
        <f t="shared" si="63"/>
        <v>5.7000000000016204E-3</v>
      </c>
      <c r="K510" s="275">
        <f t="shared" si="64"/>
        <v>2.5664115263402163</v>
      </c>
      <c r="L510">
        <v>1</v>
      </c>
      <c r="M510" s="16">
        <v>43399</v>
      </c>
      <c r="N510" s="16">
        <v>43400</v>
      </c>
      <c r="R510" s="275"/>
    </row>
    <row r="511" spans="1:18">
      <c r="A511" t="s">
        <v>486</v>
      </c>
      <c r="B511">
        <v>194</v>
      </c>
      <c r="D511">
        <v>1.4758</v>
      </c>
      <c r="E511">
        <v>11.4438</v>
      </c>
      <c r="F511">
        <v>0.2127</v>
      </c>
      <c r="G511" s="274">
        <f t="shared" si="62"/>
        <v>11.656499999999999</v>
      </c>
      <c r="H511" s="274">
        <v>11.457100000000001</v>
      </c>
      <c r="I511" s="274">
        <f t="shared" si="61"/>
        <v>0.19939999999999891</v>
      </c>
      <c r="J511" s="273">
        <f t="shared" si="63"/>
        <v>1.3300000000001089E-2</v>
      </c>
      <c r="K511" s="275">
        <f t="shared" si="64"/>
        <v>6.2529384109078929</v>
      </c>
      <c r="L511">
        <v>5</v>
      </c>
      <c r="M511" s="16">
        <v>43395</v>
      </c>
      <c r="N511" s="16">
        <v>43396</v>
      </c>
      <c r="R511" s="275"/>
    </row>
    <row r="512" spans="1:18">
      <c r="A512" t="s">
        <v>484</v>
      </c>
      <c r="C512" t="s">
        <v>2706</v>
      </c>
      <c r="D512">
        <v>3.468</v>
      </c>
      <c r="E512">
        <v>8.2199000000000009</v>
      </c>
      <c r="F512">
        <v>0.21489999999999831</v>
      </c>
      <c r="G512">
        <f t="shared" si="62"/>
        <v>8.4347999999999992</v>
      </c>
      <c r="H512">
        <v>8.4121000000000006</v>
      </c>
      <c r="I512" s="274">
        <f t="shared" si="61"/>
        <v>2.269999999999861E-2</v>
      </c>
      <c r="J512" s="273">
        <f t="shared" si="63"/>
        <v>0.1921999999999997</v>
      </c>
      <c r="K512" s="275">
        <f t="shared" si="64"/>
        <v>89.436947417404014</v>
      </c>
      <c r="L512">
        <v>41</v>
      </c>
      <c r="M512" s="16">
        <v>43399</v>
      </c>
      <c r="N512" s="16">
        <v>43400</v>
      </c>
      <c r="R512" s="275"/>
    </row>
    <row r="513" spans="1:18">
      <c r="A513" t="s">
        <v>482</v>
      </c>
      <c r="C513" t="s">
        <v>2941</v>
      </c>
      <c r="D513">
        <v>1.8975</v>
      </c>
      <c r="E513">
        <v>8.9573</v>
      </c>
      <c r="F513">
        <v>0.20030000000000001</v>
      </c>
      <c r="G513" s="274">
        <f t="shared" si="62"/>
        <v>9.1576000000000004</v>
      </c>
      <c r="H513" s="274">
        <v>8.9624000000000006</v>
      </c>
      <c r="I513" s="274">
        <f>(G513-H513)</f>
        <v>0.19519999999999982</v>
      </c>
      <c r="J513" s="273">
        <f t="shared" si="63"/>
        <v>5.1000000000001877E-3</v>
      </c>
      <c r="K513" s="275">
        <f t="shared" si="64"/>
        <v>2.5461807289067337</v>
      </c>
      <c r="L513">
        <v>21</v>
      </c>
      <c r="M513" s="16">
        <v>43358</v>
      </c>
      <c r="N513" s="16">
        <v>43358</v>
      </c>
      <c r="R513" s="275"/>
    </row>
    <row r="514" spans="1:18">
      <c r="A514" t="s">
        <v>481</v>
      </c>
      <c r="B514">
        <v>212</v>
      </c>
      <c r="D514">
        <v>1.4732000000000001</v>
      </c>
      <c r="E514">
        <v>9.3447999999999993</v>
      </c>
      <c r="F514">
        <v>0.2127</v>
      </c>
      <c r="G514" s="274">
        <f t="shared" si="62"/>
        <v>9.5574999999999992</v>
      </c>
      <c r="H514" s="274">
        <v>9.3527000000000005</v>
      </c>
      <c r="I514" s="274">
        <f>G514-H514</f>
        <v>0.20479999999999876</v>
      </c>
      <c r="J514" s="273">
        <f t="shared" si="63"/>
        <v>7.9000000000012394E-3</v>
      </c>
      <c r="K514" s="275">
        <f t="shared" si="64"/>
        <v>3.7141513869305309</v>
      </c>
      <c r="L514">
        <v>10</v>
      </c>
      <c r="M514" s="16">
        <v>43395</v>
      </c>
      <c r="N514" s="16">
        <v>43396</v>
      </c>
      <c r="R514" s="275"/>
    </row>
    <row r="515" spans="1:18">
      <c r="A515" t="s">
        <v>480</v>
      </c>
      <c r="C515" t="s">
        <v>3009</v>
      </c>
      <c r="D515">
        <v>1.9067000000000001</v>
      </c>
      <c r="E515">
        <v>20.886199999999999</v>
      </c>
      <c r="F515">
        <v>0.23430000000000001</v>
      </c>
      <c r="G515" s="274">
        <f t="shared" si="62"/>
        <v>21.1205</v>
      </c>
      <c r="H515" s="274">
        <v>20.896000000000001</v>
      </c>
      <c r="I515" s="274">
        <f>G515-H515</f>
        <v>0.22449999999999903</v>
      </c>
      <c r="J515" s="273">
        <f t="shared" si="63"/>
        <v>9.8000000000009746E-3</v>
      </c>
      <c r="K515" s="275">
        <f t="shared" si="64"/>
        <v>4.1826717883060072</v>
      </c>
      <c r="L515">
        <v>26</v>
      </c>
      <c r="M515" s="276">
        <v>43361</v>
      </c>
      <c r="N515" s="276">
        <v>43362</v>
      </c>
      <c r="O515" s="273" t="s">
        <v>3008</v>
      </c>
      <c r="R515" s="275"/>
    </row>
    <row r="516" spans="1:18">
      <c r="A516" t="s">
        <v>1075</v>
      </c>
      <c r="C516" t="s">
        <v>2987</v>
      </c>
      <c r="D516">
        <v>1.6353</v>
      </c>
      <c r="E516">
        <v>7.3182999999999998</v>
      </c>
      <c r="F516">
        <v>0.20880000000000001</v>
      </c>
      <c r="G516" s="274">
        <f t="shared" si="62"/>
        <v>7.5270999999999999</v>
      </c>
      <c r="H516" s="274">
        <v>7.3239000000000001</v>
      </c>
      <c r="I516" s="274">
        <f>(G516-H516)</f>
        <v>0.20319999999999983</v>
      </c>
      <c r="J516" s="273">
        <f t="shared" si="63"/>
        <v>5.6000000000001882E-3</v>
      </c>
      <c r="K516" s="275">
        <f t="shared" si="64"/>
        <v>2.6819923371648411</v>
      </c>
      <c r="L516">
        <v>3</v>
      </c>
      <c r="M516" s="276">
        <v>43360</v>
      </c>
      <c r="N516" s="276">
        <v>43361</v>
      </c>
      <c r="O516" s="273" t="s">
        <v>2985</v>
      </c>
      <c r="R516" s="275"/>
    </row>
    <row r="517" spans="1:18">
      <c r="A517" t="s">
        <v>479</v>
      </c>
      <c r="C517" t="s">
        <v>3032</v>
      </c>
      <c r="D517">
        <v>1.8557999999999999</v>
      </c>
      <c r="E517">
        <v>10.618600000000001</v>
      </c>
      <c r="F517">
        <v>0.20569999999999999</v>
      </c>
      <c r="G517" s="274">
        <f t="shared" si="62"/>
        <v>10.824300000000001</v>
      </c>
      <c r="H517" s="274">
        <v>10.624499999999999</v>
      </c>
      <c r="I517" s="274">
        <f t="shared" ref="I517:I527" si="65">G517-H517</f>
        <v>0.19980000000000153</v>
      </c>
      <c r="J517" s="273">
        <f t="shared" si="63"/>
        <v>5.899999999998462E-3</v>
      </c>
      <c r="K517" s="275">
        <f t="shared" si="64"/>
        <v>2.8682547399117464</v>
      </c>
      <c r="L517">
        <v>37</v>
      </c>
      <c r="M517" s="16">
        <v>43399</v>
      </c>
      <c r="N517" s="16">
        <v>43400</v>
      </c>
      <c r="R517" s="275"/>
    </row>
    <row r="518" spans="1:18">
      <c r="A518" t="s">
        <v>478</v>
      </c>
      <c r="C518" t="s">
        <v>3024</v>
      </c>
      <c r="D518">
        <v>1.7025399999999999</v>
      </c>
      <c r="E518">
        <v>8.0478000000000005</v>
      </c>
      <c r="F518">
        <v>0.21879999999999999</v>
      </c>
      <c r="G518" s="274">
        <f t="shared" si="62"/>
        <v>8.2666000000000004</v>
      </c>
      <c r="H518" s="274">
        <v>8.0533999999999999</v>
      </c>
      <c r="I518" s="274">
        <f t="shared" si="65"/>
        <v>0.2132000000000005</v>
      </c>
      <c r="J518" s="273">
        <f t="shared" si="63"/>
        <v>5.5999999999994943E-3</v>
      </c>
      <c r="K518" s="275">
        <f t="shared" si="64"/>
        <v>2.5594149908590014</v>
      </c>
      <c r="L518">
        <v>27</v>
      </c>
      <c r="M518" s="276">
        <v>43362</v>
      </c>
      <c r="N518" s="276">
        <v>43363</v>
      </c>
      <c r="R518" s="275"/>
    </row>
    <row r="519" spans="1:18">
      <c r="A519" t="s">
        <v>476</v>
      </c>
      <c r="B519">
        <v>214</v>
      </c>
      <c r="D519">
        <v>1.5124</v>
      </c>
      <c r="E519">
        <v>8.9591999999999992</v>
      </c>
      <c r="F519">
        <v>0.21529999999999999</v>
      </c>
      <c r="G519" s="274">
        <f t="shared" si="62"/>
        <v>9.1744999999999983</v>
      </c>
      <c r="H519" s="274">
        <v>8.9663000000000004</v>
      </c>
      <c r="I519" s="274">
        <f t="shared" si="65"/>
        <v>0.20819999999999794</v>
      </c>
      <c r="J519" s="273">
        <f t="shared" si="63"/>
        <v>7.1000000000020491E-3</v>
      </c>
      <c r="K519" s="275">
        <f t="shared" si="64"/>
        <v>3.297724105899698</v>
      </c>
      <c r="L519">
        <v>40</v>
      </c>
      <c r="M519" s="16">
        <v>43395</v>
      </c>
      <c r="N519" s="16">
        <v>43396</v>
      </c>
      <c r="R519" s="275"/>
    </row>
    <row r="520" spans="1:18">
      <c r="A520" t="s">
        <v>475</v>
      </c>
      <c r="C520" t="s">
        <v>2773</v>
      </c>
      <c r="D520">
        <v>1.7451000000000001</v>
      </c>
      <c r="E520">
        <v>7.8613999999999997</v>
      </c>
      <c r="F520">
        <v>0.2233</v>
      </c>
      <c r="G520" s="274">
        <f t="shared" si="62"/>
        <v>8.0846999999999998</v>
      </c>
      <c r="H520" s="274">
        <v>7.8697999999999997</v>
      </c>
      <c r="I520" s="274">
        <f t="shared" si="65"/>
        <v>0.21490000000000009</v>
      </c>
      <c r="J520" s="273">
        <f t="shared" si="63"/>
        <v>8.3999999999999075E-3</v>
      </c>
      <c r="K520" s="275">
        <f t="shared" si="64"/>
        <v>3.7617554858933753</v>
      </c>
      <c r="L520">
        <v>13</v>
      </c>
      <c r="M520">
        <v>23.101800000000001</v>
      </c>
      <c r="N520" s="16">
        <v>43397</v>
      </c>
      <c r="R520" s="275"/>
    </row>
    <row r="521" spans="1:18">
      <c r="A521" t="s">
        <v>474</v>
      </c>
      <c r="B521">
        <v>201</v>
      </c>
      <c r="D521">
        <v>1.5757000000000001</v>
      </c>
      <c r="E521">
        <v>11.0913</v>
      </c>
      <c r="F521">
        <v>0.2019</v>
      </c>
      <c r="G521" s="274">
        <f t="shared" si="62"/>
        <v>11.293200000000001</v>
      </c>
      <c r="H521" s="274">
        <v>11.104100000000001</v>
      </c>
      <c r="I521" s="274">
        <f t="shared" si="65"/>
        <v>0.18909999999999982</v>
      </c>
      <c r="J521" s="273">
        <f t="shared" si="63"/>
        <v>1.2800000000000172E-2</v>
      </c>
      <c r="K521" s="275">
        <f t="shared" si="64"/>
        <v>6.3397721644379263</v>
      </c>
      <c r="L521">
        <v>4</v>
      </c>
      <c r="M521">
        <v>23.101800000000001</v>
      </c>
      <c r="N521" s="16">
        <v>43397</v>
      </c>
      <c r="R521" s="275"/>
    </row>
    <row r="522" spans="1:18">
      <c r="A522" t="s">
        <v>472</v>
      </c>
      <c r="C522" t="s">
        <v>3023</v>
      </c>
      <c r="D522">
        <v>1.8531</v>
      </c>
      <c r="E522">
        <v>8.7042999999999999</v>
      </c>
      <c r="F522">
        <v>0.2114</v>
      </c>
      <c r="G522" s="278">
        <f t="shared" si="62"/>
        <v>8.9156999999999993</v>
      </c>
      <c r="H522" s="274">
        <v>8.7087000000000003</v>
      </c>
      <c r="I522" s="278">
        <f t="shared" si="65"/>
        <v>0.20699999999999896</v>
      </c>
      <c r="J522" s="273">
        <f t="shared" si="63"/>
        <v>4.400000000001042E-3</v>
      </c>
      <c r="K522" s="275">
        <f t="shared" si="64"/>
        <v>2.0813623462635014</v>
      </c>
      <c r="L522">
        <v>4</v>
      </c>
      <c r="M522" s="276">
        <v>43379</v>
      </c>
      <c r="N522" s="276">
        <v>43379</v>
      </c>
      <c r="O522" s="273"/>
      <c r="R522" s="275"/>
    </row>
    <row r="523" spans="1:18">
      <c r="A523" t="s">
        <v>470</v>
      </c>
      <c r="C523" t="s">
        <v>2719</v>
      </c>
      <c r="D523">
        <v>1.4959</v>
      </c>
      <c r="E523">
        <v>8.0965000000000007</v>
      </c>
      <c r="F523">
        <v>0.21079999999999999</v>
      </c>
      <c r="G523" s="278">
        <f t="shared" si="62"/>
        <v>8.3073000000000015</v>
      </c>
      <c r="H523" s="274">
        <v>8.1092999999999993</v>
      </c>
      <c r="I523" s="278">
        <f t="shared" si="65"/>
        <v>0.19800000000000217</v>
      </c>
      <c r="J523" s="273">
        <f t="shared" si="63"/>
        <v>1.2799999999997813E-2</v>
      </c>
      <c r="K523" s="275">
        <f t="shared" si="64"/>
        <v>6.0721062618585453</v>
      </c>
      <c r="L523">
        <v>36</v>
      </c>
      <c r="M523" s="276">
        <v>43379</v>
      </c>
      <c r="N523" s="276">
        <v>43379</v>
      </c>
      <c r="R523" s="275"/>
    </row>
    <row r="524" spans="1:18">
      <c r="A524" t="s">
        <v>469</v>
      </c>
      <c r="B524">
        <v>211</v>
      </c>
      <c r="D524">
        <v>1.3008</v>
      </c>
      <c r="E524">
        <v>10.677099999999999</v>
      </c>
      <c r="F524">
        <v>0.21679999999999999</v>
      </c>
      <c r="G524" s="274">
        <f t="shared" si="62"/>
        <v>10.893899999999999</v>
      </c>
      <c r="H524" s="274">
        <v>10.686199999999999</v>
      </c>
      <c r="I524" s="274">
        <f t="shared" si="65"/>
        <v>0.20769999999999911</v>
      </c>
      <c r="J524" s="273">
        <f t="shared" si="63"/>
        <v>9.1000000000008852E-3</v>
      </c>
      <c r="K524" s="275">
        <f t="shared" si="64"/>
        <v>4.1974169741701504</v>
      </c>
      <c r="L524">
        <v>3</v>
      </c>
      <c r="M524">
        <v>23.101800000000001</v>
      </c>
      <c r="N524" s="16">
        <v>43397</v>
      </c>
      <c r="R524" s="275"/>
    </row>
    <row r="525" spans="1:18">
      <c r="A525" t="s">
        <v>468</v>
      </c>
      <c r="C525" t="s">
        <v>2972</v>
      </c>
      <c r="D525">
        <v>1.3880999999999999</v>
      </c>
      <c r="E525">
        <v>8.2211999999999996</v>
      </c>
      <c r="F525">
        <v>0.20979999999999999</v>
      </c>
      <c r="G525" s="274">
        <f t="shared" si="62"/>
        <v>8.4309999999999992</v>
      </c>
      <c r="H525" s="274">
        <v>8.2405000000000008</v>
      </c>
      <c r="I525" s="274">
        <f t="shared" si="65"/>
        <v>0.19049999999999834</v>
      </c>
      <c r="J525" s="273">
        <f t="shared" si="63"/>
        <v>1.9300000000001649E-2</v>
      </c>
      <c r="K525" s="275">
        <f t="shared" si="64"/>
        <v>9.1992373689235691</v>
      </c>
      <c r="L525">
        <v>18</v>
      </c>
      <c r="M525" s="276">
        <v>43363</v>
      </c>
      <c r="N525" s="276">
        <v>43364</v>
      </c>
      <c r="O525" s="273" t="s">
        <v>3033</v>
      </c>
      <c r="R525" s="275"/>
    </row>
    <row r="526" spans="1:18">
      <c r="A526" t="s">
        <v>466</v>
      </c>
      <c r="C526" t="s">
        <v>2704</v>
      </c>
      <c r="D526">
        <v>0.95330000000000004</v>
      </c>
      <c r="E526">
        <v>21.075600000000001</v>
      </c>
      <c r="F526">
        <v>0.20039999999999999</v>
      </c>
      <c r="G526" s="274">
        <f t="shared" si="62"/>
        <v>21.276</v>
      </c>
      <c r="H526" s="274">
        <v>21.1403</v>
      </c>
      <c r="I526" s="274">
        <f t="shared" si="65"/>
        <v>0.13569999999999993</v>
      </c>
      <c r="J526" s="273">
        <f t="shared" si="63"/>
        <v>6.4700000000000063E-2</v>
      </c>
      <c r="K526" s="275">
        <f t="shared" si="64"/>
        <v>32.285429141716598</v>
      </c>
      <c r="L526">
        <v>42</v>
      </c>
      <c r="M526" s="276">
        <v>43363</v>
      </c>
      <c r="N526" s="276">
        <v>43364</v>
      </c>
      <c r="O526" s="273" t="s">
        <v>3033</v>
      </c>
      <c r="R526" s="275"/>
    </row>
    <row r="527" spans="1:18">
      <c r="A527" t="s">
        <v>465</v>
      </c>
      <c r="C527" t="s">
        <v>2743</v>
      </c>
      <c r="D527">
        <v>1.427</v>
      </c>
      <c r="E527">
        <v>9.0231999999999992</v>
      </c>
      <c r="F527">
        <v>0.2041</v>
      </c>
      <c r="G527" s="274">
        <f t="shared" si="62"/>
        <v>9.2272999999999996</v>
      </c>
      <c r="H527" s="274">
        <v>9.0401000000000007</v>
      </c>
      <c r="I527" s="274">
        <f t="shared" si="65"/>
        <v>0.18719999999999892</v>
      </c>
      <c r="J527" s="273">
        <f t="shared" si="63"/>
        <v>1.6900000000001081E-2</v>
      </c>
      <c r="K527" s="275">
        <f t="shared" si="64"/>
        <v>8.2802547770705939</v>
      </c>
      <c r="L527">
        <v>40</v>
      </c>
      <c r="M527" s="276">
        <v>43362</v>
      </c>
      <c r="N527" s="276">
        <v>43363</v>
      </c>
      <c r="R527" s="275"/>
    </row>
    <row r="528" spans="1:18">
      <c r="A528" t="s">
        <v>464</v>
      </c>
      <c r="C528" t="s">
        <v>2983</v>
      </c>
      <c r="D528">
        <v>1.8621000000000001</v>
      </c>
      <c r="E528">
        <v>7.3545999999999996</v>
      </c>
      <c r="F528">
        <v>0.22309999999999999</v>
      </c>
      <c r="G528" s="274">
        <f t="shared" si="62"/>
        <v>7.5776999999999992</v>
      </c>
      <c r="H528" s="274">
        <v>7.3631000000000002</v>
      </c>
      <c r="I528" s="274">
        <f>(G528-H528)</f>
        <v>0.21459999999999901</v>
      </c>
      <c r="J528" s="273">
        <f t="shared" si="63"/>
        <v>8.500000000000979E-3</v>
      </c>
      <c r="K528" s="275">
        <f t="shared" si="64"/>
        <v>3.8099506947561541</v>
      </c>
      <c r="L528">
        <v>42</v>
      </c>
      <c r="M528" s="276">
        <v>43360</v>
      </c>
      <c r="N528" s="276">
        <v>43361</v>
      </c>
      <c r="R528" s="275"/>
    </row>
    <row r="529" spans="1:18">
      <c r="A529" t="s">
        <v>463</v>
      </c>
      <c r="B529">
        <v>202</v>
      </c>
      <c r="C529" t="s">
        <v>2490</v>
      </c>
      <c r="D529">
        <v>1.4817</v>
      </c>
      <c r="E529">
        <v>8.734</v>
      </c>
      <c r="F529">
        <v>0.20230000000000001</v>
      </c>
      <c r="G529" s="274">
        <f t="shared" si="62"/>
        <v>8.9362999999999992</v>
      </c>
      <c r="H529" s="274">
        <v>8.7569999999999997</v>
      </c>
      <c r="I529" s="274">
        <f>G529-H529</f>
        <v>0.17929999999999957</v>
      </c>
      <c r="J529" s="273">
        <f t="shared" si="63"/>
        <v>2.3000000000000437E-2</v>
      </c>
      <c r="K529" s="275">
        <f t="shared" si="64"/>
        <v>11.369253583786671</v>
      </c>
      <c r="L529">
        <v>33</v>
      </c>
      <c r="M529" s="16">
        <v>43399</v>
      </c>
      <c r="N529" s="16">
        <v>43400</v>
      </c>
      <c r="R529" s="275"/>
    </row>
    <row r="530" spans="1:18">
      <c r="A530" t="s">
        <v>462</v>
      </c>
      <c r="B530">
        <v>214</v>
      </c>
      <c r="D530">
        <v>1.5709</v>
      </c>
      <c r="E530">
        <v>8.7352000000000007</v>
      </c>
      <c r="F530">
        <v>0.2084</v>
      </c>
      <c r="G530" s="274">
        <f t="shared" si="62"/>
        <v>8.9436</v>
      </c>
      <c r="H530" s="274">
        <v>8.7574000000000005</v>
      </c>
      <c r="I530" s="274">
        <f>G530-H530</f>
        <v>0.18619999999999948</v>
      </c>
      <c r="J530" s="273">
        <f t="shared" si="63"/>
        <v>2.2200000000000525E-2</v>
      </c>
      <c r="K530" s="275">
        <f t="shared" si="64"/>
        <v>10.652591170825588</v>
      </c>
      <c r="L530">
        <v>39</v>
      </c>
      <c r="M530" s="16">
        <v>43395</v>
      </c>
      <c r="N530" s="16">
        <v>43396</v>
      </c>
      <c r="R530" s="275"/>
    </row>
    <row r="531" spans="1:18">
      <c r="A531" t="s">
        <v>461</v>
      </c>
      <c r="B531">
        <v>209</v>
      </c>
      <c r="C531" t="s">
        <v>2490</v>
      </c>
      <c r="D531">
        <v>1.4972000000000001</v>
      </c>
      <c r="E531">
        <v>9.2225000000000001</v>
      </c>
      <c r="F531">
        <v>0.21579999999999999</v>
      </c>
      <c r="G531">
        <f t="shared" si="62"/>
        <v>9.4382999999999999</v>
      </c>
      <c r="H531">
        <v>9.2308000000000003</v>
      </c>
      <c r="I531" s="274">
        <f>G531-H531</f>
        <v>0.20749999999999957</v>
      </c>
      <c r="J531" s="273">
        <f t="shared" si="63"/>
        <v>8.3000000000004182E-3</v>
      </c>
      <c r="K531" s="275">
        <f t="shared" si="64"/>
        <v>3.8461538461540399</v>
      </c>
      <c r="L531">
        <v>4</v>
      </c>
      <c r="M531" s="16">
        <v>43402</v>
      </c>
      <c r="N531" s="16">
        <v>43403</v>
      </c>
      <c r="R531" s="275"/>
    </row>
    <row r="532" spans="1:18">
      <c r="A532" t="s">
        <v>460</v>
      </c>
      <c r="C532" t="s">
        <v>2699</v>
      </c>
      <c r="D532">
        <v>1.5135000000000001</v>
      </c>
      <c r="E532">
        <v>20.898</v>
      </c>
      <c r="F532">
        <v>0.2021</v>
      </c>
      <c r="G532" s="274">
        <f t="shared" ref="G532" si="66">E532+F532</f>
        <v>21.100100000000001</v>
      </c>
      <c r="H532" s="274">
        <v>20.921700000000001</v>
      </c>
      <c r="I532" s="274">
        <f>G532-H532</f>
        <v>0.17839999999999989</v>
      </c>
      <c r="J532" s="273">
        <f t="shared" ref="J532" si="67">F532-I532</f>
        <v>2.370000000000011E-2</v>
      </c>
      <c r="K532" s="275">
        <f t="shared" ref="K532" si="68">(J532/F532)*100</f>
        <v>11.726867887184616</v>
      </c>
      <c r="L532">
        <v>38</v>
      </c>
      <c r="M532" s="276">
        <v>43363</v>
      </c>
      <c r="N532" s="276">
        <v>43364</v>
      </c>
      <c r="R532" s="275"/>
    </row>
    <row r="533" spans="1:18">
      <c r="A533" t="s">
        <v>459</v>
      </c>
      <c r="B533">
        <v>218</v>
      </c>
      <c r="D533">
        <v>0</v>
      </c>
      <c r="E533">
        <v>0</v>
      </c>
      <c r="F533">
        <v>0</v>
      </c>
      <c r="G533">
        <v>0</v>
      </c>
      <c r="H533">
        <v>0</v>
      </c>
      <c r="I533">
        <v>0</v>
      </c>
      <c r="J533">
        <v>0</v>
      </c>
      <c r="K533">
        <v>0</v>
      </c>
    </row>
    <row r="534" spans="1:18">
      <c r="A534" t="s">
        <v>458</v>
      </c>
      <c r="C534" t="s">
        <v>2981</v>
      </c>
      <c r="D534">
        <v>1.8384</v>
      </c>
      <c r="E534">
        <v>9.7210999999999999</v>
      </c>
      <c r="F534">
        <v>0.24</v>
      </c>
      <c r="G534" s="274">
        <f t="shared" ref="G534:G565" si="69">E534+F534</f>
        <v>9.9611000000000001</v>
      </c>
      <c r="H534" s="274">
        <v>9.7309999999999999</v>
      </c>
      <c r="I534" s="274">
        <f>(G534-H534)</f>
        <v>0.23010000000000019</v>
      </c>
      <c r="J534" s="273">
        <f t="shared" ref="J534:J565" si="70">F534-I534</f>
        <v>9.8999999999997979E-3</v>
      </c>
      <c r="K534" s="275">
        <f t="shared" ref="K534:K565" si="71">(J534/F534)*100</f>
        <v>4.1249999999999165</v>
      </c>
      <c r="L534">
        <v>37</v>
      </c>
      <c r="M534" s="276">
        <v>43360</v>
      </c>
      <c r="N534" s="276">
        <v>43361</v>
      </c>
      <c r="R534" s="275"/>
    </row>
    <row r="535" spans="1:18">
      <c r="A535" t="s">
        <v>457</v>
      </c>
      <c r="C535" t="s">
        <v>2753</v>
      </c>
      <c r="D535">
        <v>1.5762</v>
      </c>
      <c r="E535">
        <v>7.4819000000000004</v>
      </c>
      <c r="F535">
        <v>0.20100000000000001</v>
      </c>
      <c r="G535" s="274">
        <f t="shared" si="69"/>
        <v>7.6829000000000001</v>
      </c>
      <c r="H535" s="274">
        <v>7.4954999999999998</v>
      </c>
      <c r="I535" s="274">
        <f>G535-H535</f>
        <v>0.18740000000000023</v>
      </c>
      <c r="J535" s="273">
        <f t="shared" si="70"/>
        <v>1.3599999999999779E-2</v>
      </c>
      <c r="K535" s="275">
        <f t="shared" si="71"/>
        <v>6.766169154228745</v>
      </c>
      <c r="L535">
        <v>11</v>
      </c>
      <c r="M535" s="276">
        <v>43374</v>
      </c>
      <c r="N535" s="276">
        <v>43375</v>
      </c>
      <c r="O535" s="273" t="s">
        <v>3008</v>
      </c>
      <c r="R535" s="275"/>
    </row>
    <row r="536" spans="1:18">
      <c r="A536" t="s">
        <v>455</v>
      </c>
      <c r="C536" t="s">
        <v>2750</v>
      </c>
      <c r="D536">
        <v>1.6233</v>
      </c>
      <c r="E536">
        <v>8.7615999999999996</v>
      </c>
      <c r="F536">
        <v>0.20699999999999999</v>
      </c>
      <c r="G536" s="274">
        <f t="shared" si="69"/>
        <v>8.9686000000000003</v>
      </c>
      <c r="H536" s="274">
        <v>8.7857000000000003</v>
      </c>
      <c r="I536" s="274">
        <f>G536-H536</f>
        <v>0.18290000000000006</v>
      </c>
      <c r="J536" s="273">
        <f t="shared" si="70"/>
        <v>2.4099999999999927E-2</v>
      </c>
      <c r="K536" s="275">
        <f t="shared" si="71"/>
        <v>11.642512077294652</v>
      </c>
      <c r="L536">
        <v>25</v>
      </c>
      <c r="M536" s="16">
        <v>43399</v>
      </c>
      <c r="N536" s="16">
        <v>43400</v>
      </c>
      <c r="R536" s="275"/>
    </row>
    <row r="537" spans="1:18">
      <c r="A537" t="s">
        <v>454</v>
      </c>
      <c r="B537">
        <v>203</v>
      </c>
      <c r="C537" t="s">
        <v>2490</v>
      </c>
      <c r="D537">
        <v>1.6259999999999999</v>
      </c>
      <c r="E537">
        <v>8.8458000000000006</v>
      </c>
      <c r="F537">
        <v>0.2016</v>
      </c>
      <c r="G537">
        <f t="shared" si="69"/>
        <v>9.0473999999999997</v>
      </c>
      <c r="H537">
        <v>8.8603000000000005</v>
      </c>
      <c r="I537" s="274">
        <f>G537-H537</f>
        <v>0.18709999999999916</v>
      </c>
      <c r="J537" s="273">
        <f t="shared" si="70"/>
        <v>1.4500000000000846E-2</v>
      </c>
      <c r="K537" s="275">
        <f t="shared" si="71"/>
        <v>7.1924603174607373</v>
      </c>
      <c r="L537">
        <v>27</v>
      </c>
      <c r="M537" s="16">
        <v>43399</v>
      </c>
      <c r="N537" s="16">
        <v>43400</v>
      </c>
      <c r="R537" s="275"/>
    </row>
    <row r="538" spans="1:18">
      <c r="A538" t="s">
        <v>453</v>
      </c>
      <c r="B538">
        <v>206</v>
      </c>
      <c r="C538" t="s">
        <v>2490</v>
      </c>
      <c r="D538">
        <v>3.2006000000000001</v>
      </c>
      <c r="E538">
        <v>7.8619000000000003</v>
      </c>
      <c r="F538">
        <v>0.2109</v>
      </c>
      <c r="G538">
        <f t="shared" si="69"/>
        <v>8.0728000000000009</v>
      </c>
      <c r="H538">
        <v>8.0627999999999993</v>
      </c>
      <c r="I538" s="274">
        <f>G538-H538</f>
        <v>1.0000000000001563E-2</v>
      </c>
      <c r="J538" s="273">
        <f t="shared" si="70"/>
        <v>0.20089999999999844</v>
      </c>
      <c r="K538" s="275">
        <f t="shared" si="71"/>
        <v>95.258416311047142</v>
      </c>
      <c r="L538">
        <v>32</v>
      </c>
      <c r="M538" s="16">
        <v>43399</v>
      </c>
      <c r="N538" s="16">
        <v>43400</v>
      </c>
      <c r="P538" t="s">
        <v>3066</v>
      </c>
      <c r="R538" s="275"/>
    </row>
    <row r="539" spans="1:18">
      <c r="A539" t="s">
        <v>450</v>
      </c>
      <c r="C539" t="s">
        <v>2978</v>
      </c>
      <c r="D539">
        <v>1.7596000000000001</v>
      </c>
      <c r="E539">
        <v>8.1327999999999996</v>
      </c>
      <c r="F539">
        <v>0.2024</v>
      </c>
      <c r="G539" s="274">
        <f t="shared" si="69"/>
        <v>8.3352000000000004</v>
      </c>
      <c r="H539" s="274">
        <v>8.1370000000000005</v>
      </c>
      <c r="I539" s="274">
        <f>(G539-H539)</f>
        <v>0.19819999999999993</v>
      </c>
      <c r="J539" s="273">
        <f t="shared" si="70"/>
        <v>4.2000000000000648E-3</v>
      </c>
      <c r="K539" s="275">
        <f t="shared" si="71"/>
        <v>2.075098814229281</v>
      </c>
      <c r="L539">
        <v>18</v>
      </c>
      <c r="M539" s="276">
        <v>43360</v>
      </c>
      <c r="N539" s="276">
        <v>43361</v>
      </c>
      <c r="O539" s="273" t="s">
        <v>2985</v>
      </c>
      <c r="R539" s="275"/>
    </row>
    <row r="540" spans="1:18">
      <c r="A540" t="s">
        <v>448</v>
      </c>
      <c r="C540" t="s">
        <v>2982</v>
      </c>
      <c r="D540">
        <v>1.8503000000000001</v>
      </c>
      <c r="E540">
        <v>11.161</v>
      </c>
      <c r="F540">
        <v>0.2228</v>
      </c>
      <c r="G540" s="278">
        <f t="shared" si="69"/>
        <v>11.383799999999999</v>
      </c>
      <c r="H540" s="274">
        <v>11.169600000000001</v>
      </c>
      <c r="I540" s="278">
        <f>G540-H540</f>
        <v>0.21419999999999817</v>
      </c>
      <c r="J540" s="273">
        <f t="shared" si="70"/>
        <v>8.6000000000018284E-3</v>
      </c>
      <c r="K540" s="275">
        <f t="shared" si="71"/>
        <v>3.8599640933580917</v>
      </c>
      <c r="L540">
        <v>33</v>
      </c>
      <c r="M540" s="276">
        <v>43379</v>
      </c>
      <c r="N540" s="276">
        <v>43379</v>
      </c>
      <c r="R540" s="275"/>
    </row>
    <row r="541" spans="1:18">
      <c r="A541" t="s">
        <v>447</v>
      </c>
      <c r="B541">
        <v>197</v>
      </c>
      <c r="D541">
        <v>1.4258</v>
      </c>
      <c r="E541">
        <v>11.259</v>
      </c>
      <c r="F541">
        <v>0.22670000000000001</v>
      </c>
      <c r="G541" s="274">
        <f t="shared" si="69"/>
        <v>11.4857</v>
      </c>
      <c r="H541" s="274">
        <v>11.273999999999999</v>
      </c>
      <c r="I541" s="274">
        <f>G541-H541</f>
        <v>0.21170000000000044</v>
      </c>
      <c r="J541" s="273">
        <f t="shared" si="70"/>
        <v>1.4999999999999569E-2</v>
      </c>
      <c r="K541" s="275">
        <f t="shared" si="71"/>
        <v>6.6166740185264974</v>
      </c>
      <c r="L541">
        <v>21</v>
      </c>
      <c r="M541" s="16">
        <v>43388</v>
      </c>
      <c r="N541" s="276">
        <v>43389</v>
      </c>
      <c r="O541" s="16"/>
      <c r="R541" s="275"/>
    </row>
    <row r="542" spans="1:18">
      <c r="A542" t="s">
        <v>446</v>
      </c>
      <c r="C542" t="s">
        <v>2756</v>
      </c>
      <c r="D542">
        <v>1.6752</v>
      </c>
      <c r="E542">
        <v>11.9047</v>
      </c>
      <c r="F542">
        <v>0.21129999999999999</v>
      </c>
      <c r="G542" s="274">
        <f t="shared" si="69"/>
        <v>12.116</v>
      </c>
      <c r="H542" s="274">
        <v>11.92</v>
      </c>
      <c r="I542" s="274">
        <f>G542-H542</f>
        <v>0.19599999999999973</v>
      </c>
      <c r="J542" s="273">
        <f t="shared" si="70"/>
        <v>1.5300000000000258E-2</v>
      </c>
      <c r="K542" s="275">
        <f t="shared" si="71"/>
        <v>7.2408897302414861</v>
      </c>
      <c r="L542">
        <v>3</v>
      </c>
      <c r="M542" s="276">
        <v>43374</v>
      </c>
      <c r="N542" s="276">
        <v>43375</v>
      </c>
      <c r="O542" s="273" t="s">
        <v>3008</v>
      </c>
      <c r="R542" s="275"/>
    </row>
    <row r="543" spans="1:18">
      <c r="A543" t="s">
        <v>445</v>
      </c>
      <c r="C543" t="s">
        <v>2746</v>
      </c>
      <c r="D543">
        <v>1.6236999999999999</v>
      </c>
      <c r="E543">
        <v>8.1190999999999995</v>
      </c>
      <c r="F543">
        <v>0.20100000000000001</v>
      </c>
      <c r="G543" s="278">
        <f t="shared" si="69"/>
        <v>8.3201000000000001</v>
      </c>
      <c r="H543" s="274">
        <v>8.1289999999999996</v>
      </c>
      <c r="I543" s="278">
        <f>G543-H543</f>
        <v>0.19110000000000049</v>
      </c>
      <c r="J543" s="273">
        <f t="shared" si="70"/>
        <v>9.8999999999995203E-3</v>
      </c>
      <c r="K543" s="275">
        <f t="shared" si="71"/>
        <v>4.9253731343281189</v>
      </c>
      <c r="L543">
        <v>7</v>
      </c>
      <c r="M543" s="276">
        <v>43379</v>
      </c>
      <c r="N543" s="276">
        <v>43379</v>
      </c>
      <c r="O543" s="273"/>
      <c r="R543" s="275"/>
    </row>
    <row r="544" spans="1:18">
      <c r="A544" t="s">
        <v>444</v>
      </c>
      <c r="B544">
        <v>193</v>
      </c>
      <c r="D544">
        <v>1.2557</v>
      </c>
      <c r="E544">
        <v>8.0960000000000001</v>
      </c>
      <c r="F544">
        <v>0.23080000000000001</v>
      </c>
      <c r="G544" s="274">
        <f t="shared" si="69"/>
        <v>8.3268000000000004</v>
      </c>
      <c r="H544" s="274">
        <v>8.1158000000000001</v>
      </c>
      <c r="I544" s="274">
        <f>G544-H544</f>
        <v>0.2110000000000003</v>
      </c>
      <c r="J544" s="273">
        <f t="shared" si="70"/>
        <v>1.9799999999999707E-2</v>
      </c>
      <c r="K544" s="275">
        <f t="shared" si="71"/>
        <v>8.5788561525128699</v>
      </c>
      <c r="L544">
        <v>38</v>
      </c>
      <c r="M544" s="16">
        <v>43388</v>
      </c>
      <c r="N544" s="276">
        <v>43389</v>
      </c>
      <c r="O544" s="16"/>
      <c r="R544" s="275"/>
    </row>
    <row r="545" spans="1:18">
      <c r="A545" t="s">
        <v>443</v>
      </c>
      <c r="C545" t="s">
        <v>2948</v>
      </c>
      <c r="D545">
        <v>1.8042</v>
      </c>
      <c r="E545">
        <v>7.3540999999999999</v>
      </c>
      <c r="F545">
        <v>0.20569999999999999</v>
      </c>
      <c r="G545" s="274">
        <f t="shared" si="69"/>
        <v>7.5598000000000001</v>
      </c>
      <c r="H545" s="274">
        <v>7.3587999999999996</v>
      </c>
      <c r="I545" s="274">
        <f>(G545-H545)</f>
        <v>0.20100000000000051</v>
      </c>
      <c r="J545" s="273">
        <f t="shared" si="70"/>
        <v>4.6999999999994824E-3</v>
      </c>
      <c r="K545" s="275">
        <f t="shared" si="71"/>
        <v>2.2848808945063115</v>
      </c>
      <c r="L545">
        <v>22</v>
      </c>
      <c r="M545" s="16">
        <v>43358</v>
      </c>
      <c r="N545" s="16">
        <v>43358</v>
      </c>
      <c r="R545" s="275"/>
    </row>
    <row r="546" spans="1:18">
      <c r="A546" t="s">
        <v>442</v>
      </c>
      <c r="C546" t="s">
        <v>3044</v>
      </c>
      <c r="D546">
        <v>1.6237999999999999</v>
      </c>
      <c r="E546">
        <v>11.1555</v>
      </c>
      <c r="F546">
        <v>0.22109999999999999</v>
      </c>
      <c r="G546" s="274">
        <f t="shared" si="69"/>
        <v>11.3766</v>
      </c>
      <c r="H546" s="274">
        <v>11.1755</v>
      </c>
      <c r="I546" s="274">
        <f>G546-H546</f>
        <v>0.20110000000000028</v>
      </c>
      <c r="J546" s="273">
        <f t="shared" si="70"/>
        <v>1.9999999999999712E-2</v>
      </c>
      <c r="K546" s="275">
        <f t="shared" si="71"/>
        <v>9.0456806874716023</v>
      </c>
      <c r="L546">
        <v>22</v>
      </c>
      <c r="M546" s="276">
        <v>43374</v>
      </c>
      <c r="N546" s="276">
        <v>43375</v>
      </c>
      <c r="O546" s="273" t="s">
        <v>3008</v>
      </c>
      <c r="R546" s="275"/>
    </row>
    <row r="547" spans="1:18">
      <c r="A547" t="s">
        <v>441</v>
      </c>
      <c r="C547" t="s">
        <v>2947</v>
      </c>
      <c r="D547">
        <v>1.8461000000000001</v>
      </c>
      <c r="E547">
        <v>7.0926999999999998</v>
      </c>
      <c r="F547">
        <v>0.19989999999999999</v>
      </c>
      <c r="G547" s="274">
        <f t="shared" si="69"/>
        <v>7.2926000000000002</v>
      </c>
      <c r="H547" s="274">
        <v>7.0994999999999999</v>
      </c>
      <c r="I547" s="274">
        <f>(G547-H547)</f>
        <v>0.19310000000000027</v>
      </c>
      <c r="J547" s="273">
        <f t="shared" si="70"/>
        <v>6.7999999999997229E-3</v>
      </c>
      <c r="K547" s="275">
        <f t="shared" si="71"/>
        <v>3.4017008504250739</v>
      </c>
      <c r="L547">
        <v>7</v>
      </c>
      <c r="M547" s="16">
        <v>43358</v>
      </c>
      <c r="N547" s="16">
        <v>43358</v>
      </c>
      <c r="R547" s="275"/>
    </row>
    <row r="548" spans="1:18">
      <c r="A548" t="s">
        <v>440</v>
      </c>
      <c r="B548">
        <v>213</v>
      </c>
      <c r="D548">
        <v>1.5916999999999999</v>
      </c>
      <c r="E548">
        <v>7.9617000000000004</v>
      </c>
      <c r="F548">
        <v>0.20119999999999999</v>
      </c>
      <c r="G548" s="274">
        <f t="shared" si="69"/>
        <v>8.1629000000000005</v>
      </c>
      <c r="H548" s="274">
        <v>7.9724000000000004</v>
      </c>
      <c r="I548" s="274">
        <f>G548-H548</f>
        <v>0.19050000000000011</v>
      </c>
      <c r="J548" s="273">
        <f t="shared" si="70"/>
        <v>1.0699999999999876E-2</v>
      </c>
      <c r="K548" s="275">
        <f t="shared" si="71"/>
        <v>5.3180914512921857</v>
      </c>
      <c r="L548">
        <v>25</v>
      </c>
      <c r="M548" s="16">
        <v>43388</v>
      </c>
      <c r="N548" s="276">
        <v>43389</v>
      </c>
      <c r="O548" s="16"/>
      <c r="R548" s="275"/>
    </row>
    <row r="549" spans="1:18">
      <c r="A549" t="s">
        <v>438</v>
      </c>
      <c r="C549" t="s">
        <v>2961</v>
      </c>
      <c r="D549">
        <v>1.6721999999999999</v>
      </c>
      <c r="E549">
        <v>10.5037</v>
      </c>
      <c r="F549">
        <v>0.223</v>
      </c>
      <c r="G549" s="274">
        <f t="shared" si="69"/>
        <v>10.726700000000001</v>
      </c>
      <c r="H549" s="274">
        <v>10.5131</v>
      </c>
      <c r="I549" s="274">
        <f>(G549-H549)</f>
        <v>0.21360000000000134</v>
      </c>
      <c r="J549" s="273">
        <f t="shared" si="70"/>
        <v>9.3999999999986594E-3</v>
      </c>
      <c r="K549" s="275">
        <f t="shared" si="71"/>
        <v>4.2152466367706989</v>
      </c>
      <c r="L549">
        <v>5</v>
      </c>
      <c r="M549" s="276">
        <v>43360</v>
      </c>
      <c r="N549" s="276">
        <v>43361</v>
      </c>
      <c r="O549" s="273"/>
      <c r="R549" s="275"/>
    </row>
    <row r="550" spans="1:18">
      <c r="A550" t="s">
        <v>437</v>
      </c>
      <c r="C550" t="s">
        <v>2715</v>
      </c>
      <c r="D550">
        <v>1.5290999999999999</v>
      </c>
      <c r="E550">
        <v>9.8880999999999997</v>
      </c>
      <c r="F550">
        <v>0.20960000000000001</v>
      </c>
      <c r="G550" s="274">
        <f t="shared" si="69"/>
        <v>10.0977</v>
      </c>
      <c r="H550" s="274">
        <v>9.9144000000000005</v>
      </c>
      <c r="I550" s="274">
        <f t="shared" ref="I550:I559" si="72">G550-H550</f>
        <v>0.18329999999999913</v>
      </c>
      <c r="J550" s="273">
        <f t="shared" si="70"/>
        <v>2.6300000000000878E-2</v>
      </c>
      <c r="K550" s="275">
        <f t="shared" si="71"/>
        <v>12.547709923664542</v>
      </c>
      <c r="L550">
        <v>28</v>
      </c>
      <c r="M550">
        <v>23.101800000000001</v>
      </c>
      <c r="N550" s="16">
        <v>43397</v>
      </c>
      <c r="R550" s="275"/>
    </row>
    <row r="551" spans="1:18">
      <c r="A551" t="s">
        <v>436</v>
      </c>
      <c r="C551" t="s">
        <v>2773</v>
      </c>
      <c r="D551">
        <v>1.7666999999999999</v>
      </c>
      <c r="E551">
        <v>9.4878</v>
      </c>
      <c r="F551">
        <v>0.20330000000000001</v>
      </c>
      <c r="G551" s="274">
        <f t="shared" si="69"/>
        <v>9.6911000000000005</v>
      </c>
      <c r="H551" s="274">
        <v>9.4940999999999995</v>
      </c>
      <c r="I551" s="274">
        <f t="shared" si="72"/>
        <v>0.19700000000000095</v>
      </c>
      <c r="J551" s="273">
        <f t="shared" si="70"/>
        <v>6.2999999999990564E-3</v>
      </c>
      <c r="K551" s="275">
        <f t="shared" si="71"/>
        <v>3.0988686669941248</v>
      </c>
      <c r="L551">
        <v>36</v>
      </c>
      <c r="M551" s="276">
        <v>43363</v>
      </c>
      <c r="N551" s="276">
        <v>43364</v>
      </c>
      <c r="O551" s="273" t="s">
        <v>3033</v>
      </c>
      <c r="R551" s="275"/>
    </row>
    <row r="552" spans="1:18">
      <c r="A552" t="s">
        <v>435</v>
      </c>
      <c r="C552" t="s">
        <v>3025</v>
      </c>
      <c r="D552">
        <v>1.7797000000000001</v>
      </c>
      <c r="E552">
        <v>8.1206999999999994</v>
      </c>
      <c r="F552">
        <v>0.21329999999999999</v>
      </c>
      <c r="G552" s="274">
        <f t="shared" si="69"/>
        <v>8.3339999999999996</v>
      </c>
      <c r="H552" s="274">
        <v>8.1259999999999994</v>
      </c>
      <c r="I552" s="274">
        <f t="shared" si="72"/>
        <v>0.20800000000000018</v>
      </c>
      <c r="J552" s="273">
        <f t="shared" si="70"/>
        <v>5.2999999999998049E-3</v>
      </c>
      <c r="K552" s="275">
        <f t="shared" si="71"/>
        <v>2.4847632442568237</v>
      </c>
      <c r="L552">
        <v>27</v>
      </c>
      <c r="M552" s="16">
        <v>43381</v>
      </c>
      <c r="N552" s="16">
        <v>43382</v>
      </c>
      <c r="R552" s="275"/>
    </row>
    <row r="553" spans="1:18">
      <c r="A553" t="s">
        <v>434</v>
      </c>
      <c r="C553" t="s">
        <v>3019</v>
      </c>
      <c r="D553">
        <v>1.9027000000000001</v>
      </c>
      <c r="E553">
        <v>11.257899999999999</v>
      </c>
      <c r="F553">
        <v>0.2127</v>
      </c>
      <c r="G553" s="274">
        <f t="shared" si="69"/>
        <v>11.470599999999999</v>
      </c>
      <c r="H553" s="274">
        <v>11.265599999999999</v>
      </c>
      <c r="I553" s="274">
        <f t="shared" si="72"/>
        <v>0.20500000000000007</v>
      </c>
      <c r="J553" s="273">
        <f t="shared" si="70"/>
        <v>7.6999999999999291E-3</v>
      </c>
      <c r="K553" s="275">
        <f t="shared" si="71"/>
        <v>3.6201222378937139</v>
      </c>
      <c r="L553">
        <v>16</v>
      </c>
      <c r="M553" s="276">
        <v>43362</v>
      </c>
      <c r="N553" s="276">
        <v>43363</v>
      </c>
      <c r="O553" s="273"/>
      <c r="R553" s="275"/>
    </row>
    <row r="554" spans="1:18">
      <c r="A554" t="s">
        <v>433</v>
      </c>
      <c r="C554" t="s">
        <v>2712</v>
      </c>
      <c r="D554">
        <v>1.4073</v>
      </c>
      <c r="E554">
        <v>10.8559</v>
      </c>
      <c r="F554">
        <v>0.20549999999999999</v>
      </c>
      <c r="G554" s="274">
        <f t="shared" si="69"/>
        <v>11.061400000000001</v>
      </c>
      <c r="H554" s="274">
        <v>10.872199999999999</v>
      </c>
      <c r="I554" s="274">
        <f t="shared" si="72"/>
        <v>0.18920000000000137</v>
      </c>
      <c r="J554" s="273">
        <f t="shared" si="70"/>
        <v>1.6299999999998621E-2</v>
      </c>
      <c r="K554" s="275">
        <f t="shared" si="71"/>
        <v>7.9318734793180647</v>
      </c>
      <c r="L554">
        <v>38</v>
      </c>
      <c r="M554" s="276">
        <v>43363</v>
      </c>
      <c r="N554" s="276">
        <v>43364</v>
      </c>
      <c r="O554" s="273" t="s">
        <v>3033</v>
      </c>
      <c r="R554" s="275"/>
    </row>
    <row r="555" spans="1:18">
      <c r="A555" t="s">
        <v>432</v>
      </c>
      <c r="C555" t="s">
        <v>3035</v>
      </c>
      <c r="D555">
        <v>1.6654</v>
      </c>
      <c r="E555">
        <v>8.0650999999999993</v>
      </c>
      <c r="F555">
        <v>0.21160000000000001</v>
      </c>
      <c r="G555" s="274">
        <f t="shared" si="69"/>
        <v>8.2766999999999999</v>
      </c>
      <c r="H555" s="274">
        <v>8.0739999999999998</v>
      </c>
      <c r="I555" s="274">
        <f t="shared" si="72"/>
        <v>0.2027000000000001</v>
      </c>
      <c r="J555" s="273">
        <f t="shared" si="70"/>
        <v>8.899999999999908E-3</v>
      </c>
      <c r="K555" s="275">
        <f t="shared" si="71"/>
        <v>4.2060491493383303</v>
      </c>
      <c r="L555">
        <v>13</v>
      </c>
      <c r="M555" s="276">
        <v>43363</v>
      </c>
      <c r="N555" s="276">
        <v>43364</v>
      </c>
      <c r="O555" s="273"/>
      <c r="R555" s="275"/>
    </row>
    <row r="556" spans="1:18">
      <c r="A556" t="s">
        <v>431</v>
      </c>
      <c r="B556">
        <v>204</v>
      </c>
      <c r="C556" t="s">
        <v>2490</v>
      </c>
      <c r="D556">
        <v>1.5386</v>
      </c>
      <c r="E556">
        <v>10.677</v>
      </c>
      <c r="F556">
        <v>0.23350000000000001</v>
      </c>
      <c r="G556">
        <f t="shared" si="69"/>
        <v>10.910499999999999</v>
      </c>
      <c r="H556">
        <v>10.690899999999999</v>
      </c>
      <c r="I556" s="274">
        <f t="shared" si="72"/>
        <v>0.2195999999999998</v>
      </c>
      <c r="J556" s="273">
        <f t="shared" si="70"/>
        <v>1.3900000000000218E-2</v>
      </c>
      <c r="K556" s="275">
        <f t="shared" si="71"/>
        <v>5.9528907922913135</v>
      </c>
      <c r="L556">
        <v>36</v>
      </c>
      <c r="M556" s="16">
        <v>43399</v>
      </c>
      <c r="N556" s="16">
        <v>43400</v>
      </c>
      <c r="R556" s="275"/>
    </row>
    <row r="557" spans="1:18">
      <c r="A557" t="s">
        <v>430</v>
      </c>
      <c r="B557">
        <v>196</v>
      </c>
      <c r="D557">
        <v>1.7162999999999999</v>
      </c>
      <c r="E557">
        <v>7.0763999999999996</v>
      </c>
      <c r="F557">
        <v>0.2036</v>
      </c>
      <c r="G557" s="274">
        <f t="shared" si="69"/>
        <v>7.2799999999999994</v>
      </c>
      <c r="H557" s="274">
        <v>7.0815999999999999</v>
      </c>
      <c r="I557" s="274">
        <f t="shared" si="72"/>
        <v>0.19839999999999947</v>
      </c>
      <c r="J557" s="273">
        <f t="shared" si="70"/>
        <v>5.2000000000005375E-3</v>
      </c>
      <c r="K557" s="275">
        <f t="shared" si="71"/>
        <v>2.5540275049118555</v>
      </c>
      <c r="L557">
        <v>31</v>
      </c>
      <c r="M557" s="16">
        <v>43388</v>
      </c>
      <c r="N557" s="276">
        <v>43389</v>
      </c>
      <c r="O557" s="16"/>
      <c r="R557" s="275"/>
    </row>
    <row r="558" spans="1:18">
      <c r="A558" t="s">
        <v>429</v>
      </c>
      <c r="C558" t="s">
        <v>2742</v>
      </c>
      <c r="D558">
        <v>1.5687</v>
      </c>
      <c r="E558">
        <v>21.209199999999999</v>
      </c>
      <c r="F558">
        <v>0.20300000000000001</v>
      </c>
      <c r="G558" s="274">
        <f t="shared" si="69"/>
        <v>21.412199999999999</v>
      </c>
      <c r="H558" s="274">
        <v>21.238099999999999</v>
      </c>
      <c r="I558" s="274">
        <f t="shared" si="72"/>
        <v>0.17409999999999926</v>
      </c>
      <c r="J558" s="273">
        <f t="shared" si="70"/>
        <v>2.8900000000000758E-2</v>
      </c>
      <c r="K558" s="275">
        <f t="shared" si="71"/>
        <v>14.236453201970816</v>
      </c>
      <c r="L558">
        <v>5</v>
      </c>
      <c r="M558" s="276">
        <v>43362</v>
      </c>
      <c r="N558" s="276">
        <v>43363</v>
      </c>
      <c r="O558" s="273"/>
      <c r="R558" s="275"/>
    </row>
    <row r="559" spans="1:18">
      <c r="A559" t="s">
        <v>428</v>
      </c>
      <c r="B559">
        <v>198</v>
      </c>
      <c r="D559">
        <v>1.5419</v>
      </c>
      <c r="E559">
        <v>9.0214999999999996</v>
      </c>
      <c r="F559">
        <v>0.2021</v>
      </c>
      <c r="G559" s="274">
        <f t="shared" si="69"/>
        <v>9.2235999999999994</v>
      </c>
      <c r="H559" s="274">
        <v>9.0299999999999994</v>
      </c>
      <c r="I559" s="274">
        <f t="shared" si="72"/>
        <v>0.19359999999999999</v>
      </c>
      <c r="J559" s="273">
        <f t="shared" si="70"/>
        <v>8.5000000000000075E-3</v>
      </c>
      <c r="K559" s="275">
        <f t="shared" si="71"/>
        <v>4.205838693715986</v>
      </c>
      <c r="L559">
        <v>33</v>
      </c>
      <c r="M559" s="16">
        <v>43388</v>
      </c>
      <c r="N559" s="276">
        <v>43389</v>
      </c>
      <c r="O559" s="16"/>
      <c r="R559" s="275"/>
    </row>
    <row r="560" spans="1:18">
      <c r="A560" t="s">
        <v>427</v>
      </c>
      <c r="C560" t="s">
        <v>2956</v>
      </c>
      <c r="D560">
        <v>1.8376999999999999</v>
      </c>
      <c r="E560">
        <v>11.0549</v>
      </c>
      <c r="F560">
        <v>0.20349999999999999</v>
      </c>
      <c r="G560" s="274">
        <f t="shared" si="69"/>
        <v>11.2584</v>
      </c>
      <c r="H560" s="274">
        <v>11.0593</v>
      </c>
      <c r="I560" s="274">
        <f>(G560-H560)</f>
        <v>0.19909999999999961</v>
      </c>
      <c r="J560" s="273">
        <f t="shared" si="70"/>
        <v>4.4000000000003758E-3</v>
      </c>
      <c r="K560" s="275">
        <f t="shared" si="71"/>
        <v>2.162162162162347</v>
      </c>
      <c r="L560">
        <v>32</v>
      </c>
      <c r="M560" s="16">
        <v>43358</v>
      </c>
      <c r="N560" s="16">
        <v>43358</v>
      </c>
      <c r="R560" s="275"/>
    </row>
    <row r="561" spans="1:19">
      <c r="A561" t="s">
        <v>426</v>
      </c>
      <c r="C561" t="s">
        <v>2989</v>
      </c>
      <c r="D561">
        <v>1.8581000000000001</v>
      </c>
      <c r="E561">
        <v>7.0766999999999998</v>
      </c>
      <c r="F561">
        <v>0.20610000000000001</v>
      </c>
      <c r="G561" s="274">
        <f t="shared" si="69"/>
        <v>7.2827999999999999</v>
      </c>
      <c r="H561" s="274">
        <v>7.0818000000000003</v>
      </c>
      <c r="I561" s="274">
        <f>(G561-H561)</f>
        <v>0.20099999999999962</v>
      </c>
      <c r="J561" s="273">
        <f t="shared" si="70"/>
        <v>5.100000000000382E-3</v>
      </c>
      <c r="K561" s="275">
        <f t="shared" si="71"/>
        <v>2.4745269286755853</v>
      </c>
      <c r="L561">
        <v>7</v>
      </c>
      <c r="M561" s="276">
        <v>43360</v>
      </c>
      <c r="N561" s="276">
        <v>43361</v>
      </c>
      <c r="O561" s="273" t="s">
        <v>2985</v>
      </c>
      <c r="R561" s="275"/>
    </row>
    <row r="562" spans="1:19">
      <c r="A562" t="s">
        <v>425</v>
      </c>
      <c r="C562" t="s">
        <v>2958</v>
      </c>
      <c r="D562">
        <v>1.6758</v>
      </c>
      <c r="E562">
        <v>20.044699999999999</v>
      </c>
      <c r="F562">
        <v>0.22570000000000001</v>
      </c>
      <c r="G562" s="274">
        <f t="shared" si="69"/>
        <v>20.270399999999999</v>
      </c>
      <c r="H562" s="274">
        <v>20.054600000000001</v>
      </c>
      <c r="I562" s="274">
        <f>G562-H562</f>
        <v>0.21579999999999799</v>
      </c>
      <c r="J562" s="273">
        <f t="shared" si="70"/>
        <v>9.9000000000020183E-3</v>
      </c>
      <c r="K562" s="275">
        <f t="shared" si="71"/>
        <v>4.3863535666823292</v>
      </c>
      <c r="L562">
        <v>34</v>
      </c>
      <c r="M562" s="276">
        <v>43361</v>
      </c>
      <c r="N562" s="276">
        <v>43362</v>
      </c>
      <c r="O562" s="273" t="s">
        <v>3008</v>
      </c>
      <c r="R562" s="275"/>
    </row>
    <row r="563" spans="1:19">
      <c r="A563" t="s">
        <v>424</v>
      </c>
      <c r="C563" t="s">
        <v>2696</v>
      </c>
      <c r="D563">
        <v>1.696</v>
      </c>
      <c r="E563">
        <v>8.1326999999999998</v>
      </c>
      <c r="F563">
        <v>0.20660000000000001</v>
      </c>
      <c r="G563" s="274">
        <f t="shared" si="69"/>
        <v>8.3392999999999997</v>
      </c>
      <c r="H563" s="274">
        <v>8.1448999999999998</v>
      </c>
      <c r="I563" s="274">
        <f>G563-H563</f>
        <v>0.19439999999999991</v>
      </c>
      <c r="J563" s="273">
        <f t="shared" si="70"/>
        <v>1.22000000000001E-2</v>
      </c>
      <c r="K563" s="275">
        <f t="shared" si="71"/>
        <v>5.9051306873185379</v>
      </c>
      <c r="L563">
        <v>37</v>
      </c>
      <c r="M563" s="276">
        <v>43374</v>
      </c>
      <c r="N563" s="276">
        <v>43375</v>
      </c>
      <c r="O563" s="273" t="s">
        <v>3008</v>
      </c>
      <c r="R563" s="275"/>
    </row>
    <row r="564" spans="1:19">
      <c r="A564" t="s">
        <v>423</v>
      </c>
      <c r="C564" t="s">
        <v>3011</v>
      </c>
      <c r="D564">
        <v>1.8660000000000001</v>
      </c>
      <c r="E564">
        <v>10.417899999999999</v>
      </c>
      <c r="F564">
        <v>0.20100000000000001</v>
      </c>
      <c r="G564" s="274">
        <f t="shared" si="69"/>
        <v>10.6189</v>
      </c>
      <c r="H564" s="274">
        <v>10.4238</v>
      </c>
      <c r="I564" s="274">
        <f>G564-H564</f>
        <v>0.19510000000000005</v>
      </c>
      <c r="J564" s="273">
        <f t="shared" si="70"/>
        <v>5.8999999999999608E-3</v>
      </c>
      <c r="K564" s="275">
        <f t="shared" si="71"/>
        <v>2.9353233830845578</v>
      </c>
      <c r="L564">
        <v>4</v>
      </c>
      <c r="M564" s="276">
        <v>43363</v>
      </c>
      <c r="N564" s="276">
        <v>43364</v>
      </c>
      <c r="O564" s="273" t="s">
        <v>3033</v>
      </c>
      <c r="R564" s="275"/>
    </row>
    <row r="565" spans="1:19">
      <c r="A565" t="s">
        <v>422</v>
      </c>
      <c r="C565" t="s">
        <v>2698</v>
      </c>
      <c r="D565">
        <v>1.5751999999999999</v>
      </c>
      <c r="E565">
        <v>11.089</v>
      </c>
      <c r="F565">
        <v>0.20469999999999999</v>
      </c>
      <c r="G565">
        <f t="shared" si="69"/>
        <v>11.293700000000001</v>
      </c>
      <c r="H565">
        <v>11.153</v>
      </c>
      <c r="I565" s="274">
        <f>G565-H565</f>
        <v>0.14070000000000071</v>
      </c>
      <c r="J565" s="273">
        <f t="shared" si="70"/>
        <v>6.399999999999928E-2</v>
      </c>
      <c r="K565" s="275">
        <f t="shared" si="71"/>
        <v>31.265266243282504</v>
      </c>
      <c r="L565">
        <v>33</v>
      </c>
      <c r="M565" s="16">
        <v>43399</v>
      </c>
      <c r="N565" s="16">
        <v>43400</v>
      </c>
      <c r="R565" s="275"/>
    </row>
    <row r="566" spans="1:19">
      <c r="A566" t="s">
        <v>421</v>
      </c>
      <c r="C566" t="s">
        <v>2748</v>
      </c>
      <c r="D566">
        <v>1.593</v>
      </c>
      <c r="E566">
        <v>9.32</v>
      </c>
      <c r="F566">
        <v>0.2074</v>
      </c>
      <c r="G566">
        <f t="shared" ref="G566:G590" si="73">E566+F566</f>
        <v>9.5274000000000001</v>
      </c>
      <c r="H566">
        <v>9.3346999999999998</v>
      </c>
      <c r="I566" s="274">
        <f>G566-H566</f>
        <v>0.19270000000000032</v>
      </c>
      <c r="J566" s="273">
        <f t="shared" ref="J566:J590" si="74">F566-I566</f>
        <v>1.4699999999999686E-2</v>
      </c>
      <c r="K566" s="275">
        <f t="shared" ref="K566:K590" si="75">(J566/F566)*100</f>
        <v>7.0877531340403506</v>
      </c>
      <c r="L566">
        <v>5</v>
      </c>
      <c r="M566" s="16">
        <v>43402</v>
      </c>
      <c r="N566" s="16">
        <v>43403</v>
      </c>
      <c r="R566" s="275"/>
    </row>
    <row r="567" spans="1:19">
      <c r="A567" t="s">
        <v>419</v>
      </c>
      <c r="C567" t="s">
        <v>2949</v>
      </c>
      <c r="D567">
        <v>1.8747</v>
      </c>
      <c r="E567">
        <v>10.4156</v>
      </c>
      <c r="F567">
        <v>0.2051</v>
      </c>
      <c r="G567" s="274">
        <f t="shared" si="73"/>
        <v>10.620699999999999</v>
      </c>
      <c r="H567" s="274">
        <v>10.4209</v>
      </c>
      <c r="I567" s="274">
        <f>(G567-H567)</f>
        <v>0.19979999999999976</v>
      </c>
      <c r="J567" s="273">
        <f t="shared" si="74"/>
        <v>5.300000000000249E-3</v>
      </c>
      <c r="K567" s="275">
        <f t="shared" si="75"/>
        <v>2.5841053144808623</v>
      </c>
      <c r="L567">
        <v>6</v>
      </c>
      <c r="M567" s="16">
        <v>43358</v>
      </c>
      <c r="N567" s="16">
        <v>43358</v>
      </c>
      <c r="R567" s="275"/>
    </row>
    <row r="568" spans="1:19">
      <c r="A568" t="s">
        <v>418</v>
      </c>
      <c r="C568" t="s">
        <v>2937</v>
      </c>
      <c r="D568" s="273">
        <v>1.7976000000000001</v>
      </c>
      <c r="E568" s="274">
        <v>9.0028000000000006</v>
      </c>
      <c r="F568" s="274">
        <v>0.2084</v>
      </c>
      <c r="G568" s="274">
        <f t="shared" si="73"/>
        <v>9.2111999999999998</v>
      </c>
      <c r="H568" s="274">
        <v>9.0084</v>
      </c>
      <c r="I568" s="274">
        <f>(G568-H568)</f>
        <v>0.20279999999999987</v>
      </c>
      <c r="J568" s="273">
        <f t="shared" si="74"/>
        <v>5.6000000000001326E-3</v>
      </c>
      <c r="K568" s="275">
        <f t="shared" si="75"/>
        <v>2.6871401151632113</v>
      </c>
      <c r="L568" s="273">
        <v>1</v>
      </c>
      <c r="M568" s="276">
        <v>43355.625</v>
      </c>
      <c r="N568" s="276">
        <v>43355.791666666664</v>
      </c>
      <c r="O568" s="273" t="s">
        <v>2938</v>
      </c>
      <c r="P568" s="273"/>
      <c r="R568" s="275"/>
      <c r="S568" s="273"/>
    </row>
    <row r="569" spans="1:19">
      <c r="A569" s="92" t="s">
        <v>417</v>
      </c>
      <c r="B569" s="92"/>
      <c r="C569" s="92" t="s">
        <v>2981</v>
      </c>
      <c r="D569" s="92">
        <v>5.4800000000000001E-2</v>
      </c>
      <c r="E569" s="92">
        <v>18.110299999999999</v>
      </c>
      <c r="F569" s="92">
        <v>5.21E-2</v>
      </c>
      <c r="G569" s="384">
        <f t="shared" si="73"/>
        <v>18.162399999999998</v>
      </c>
      <c r="H569" s="384">
        <v>18.160599999999999</v>
      </c>
      <c r="I569" s="384">
        <f>G569-H569</f>
        <v>1.7999999999993577E-3</v>
      </c>
      <c r="J569" s="385">
        <f t="shared" si="74"/>
        <v>5.0300000000000643E-2</v>
      </c>
      <c r="K569" s="386">
        <f t="shared" si="75"/>
        <v>96.545105566220045</v>
      </c>
      <c r="L569" s="92">
        <v>23</v>
      </c>
      <c r="M569" s="387">
        <v>43361</v>
      </c>
      <c r="N569" s="387">
        <v>43362</v>
      </c>
      <c r="O569" s="385" t="s">
        <v>3008</v>
      </c>
      <c r="P569" s="92" t="s">
        <v>3013</v>
      </c>
      <c r="R569" s="386"/>
    </row>
    <row r="570" spans="1:19">
      <c r="A570" t="s">
        <v>416</v>
      </c>
      <c r="C570" t="s">
        <v>3016</v>
      </c>
      <c r="D570">
        <v>1.7596000000000001</v>
      </c>
      <c r="E570">
        <v>7.5297000000000001</v>
      </c>
      <c r="F570">
        <v>0.23369999999999999</v>
      </c>
      <c r="G570" s="274">
        <f t="shared" si="73"/>
        <v>7.7633999999999999</v>
      </c>
      <c r="H570" s="274">
        <v>7.5378999999999996</v>
      </c>
      <c r="I570" s="274">
        <f>G570-H570</f>
        <v>0.22550000000000026</v>
      </c>
      <c r="J570" s="273">
        <f t="shared" si="74"/>
        <v>8.1999999999997353E-3</v>
      </c>
      <c r="K570" s="275">
        <f t="shared" si="75"/>
        <v>3.508771929824448</v>
      </c>
      <c r="L570">
        <v>34</v>
      </c>
      <c r="M570">
        <v>23.101800000000001</v>
      </c>
      <c r="N570" s="16">
        <v>43397</v>
      </c>
      <c r="R570" s="275"/>
    </row>
    <row r="571" spans="1:19">
      <c r="A571" t="s">
        <v>414</v>
      </c>
      <c r="C571" t="s">
        <v>2978</v>
      </c>
      <c r="D571">
        <f>0.5448+0.685</f>
        <v>1.2298</v>
      </c>
      <c r="E571">
        <v>10.698600000000001</v>
      </c>
      <c r="F571">
        <v>0.22389999999999999</v>
      </c>
      <c r="G571" s="274">
        <f t="shared" si="73"/>
        <v>10.922500000000001</v>
      </c>
      <c r="H571" s="274">
        <v>10.7065</v>
      </c>
      <c r="I571" s="274">
        <f>(G571-H571)</f>
        <v>0.21600000000000108</v>
      </c>
      <c r="J571" s="273">
        <f t="shared" si="74"/>
        <v>7.8999999999989079E-3</v>
      </c>
      <c r="K571" s="275">
        <f t="shared" si="75"/>
        <v>3.528360875390312</v>
      </c>
      <c r="L571">
        <v>32</v>
      </c>
      <c r="M571" s="276">
        <v>43360</v>
      </c>
      <c r="N571" s="276">
        <v>43361</v>
      </c>
      <c r="R571" s="275"/>
    </row>
    <row r="572" spans="1:19">
      <c r="A572" t="s">
        <v>413</v>
      </c>
      <c r="C572" t="s">
        <v>2942</v>
      </c>
      <c r="D572">
        <v>1.7851999999999999</v>
      </c>
      <c r="E572">
        <v>10.854100000000001</v>
      </c>
      <c r="F572">
        <v>0.2094</v>
      </c>
      <c r="G572" s="274">
        <f t="shared" si="73"/>
        <v>11.063500000000001</v>
      </c>
      <c r="H572" s="274">
        <v>10.860099999999999</v>
      </c>
      <c r="I572" s="274">
        <f>(G572-H572)</f>
        <v>0.20340000000000202</v>
      </c>
      <c r="J572" s="273">
        <f t="shared" si="74"/>
        <v>5.9999999999979792E-3</v>
      </c>
      <c r="K572" s="275">
        <f t="shared" si="75"/>
        <v>2.8653295128930178</v>
      </c>
      <c r="L572">
        <v>5</v>
      </c>
      <c r="M572" s="276">
        <v>43355.625</v>
      </c>
      <c r="N572" s="276">
        <v>43355.791666666664</v>
      </c>
      <c r="O572" s="273" t="s">
        <v>2938</v>
      </c>
      <c r="R572" s="275"/>
    </row>
    <row r="573" spans="1:19">
      <c r="A573" t="s">
        <v>412</v>
      </c>
      <c r="C573" t="s">
        <v>3026</v>
      </c>
      <c r="D573">
        <v>2.0343</v>
      </c>
      <c r="E573">
        <v>9.8882999999999992</v>
      </c>
      <c r="F573">
        <v>0.22700000000000001</v>
      </c>
      <c r="G573" s="274">
        <f t="shared" si="73"/>
        <v>10.1153</v>
      </c>
      <c r="H573" s="274">
        <v>10.0966</v>
      </c>
      <c r="I573" s="274">
        <f>G573-H573</f>
        <v>1.8699999999999051E-2</v>
      </c>
      <c r="J573" s="273">
        <f t="shared" si="74"/>
        <v>0.20830000000000096</v>
      </c>
      <c r="K573" s="275">
        <f t="shared" si="75"/>
        <v>91.762114537445356</v>
      </c>
      <c r="L573">
        <v>7</v>
      </c>
      <c r="M573" s="276">
        <v>43374</v>
      </c>
      <c r="N573" s="276">
        <v>43375</v>
      </c>
      <c r="O573" s="273" t="s">
        <v>3008</v>
      </c>
      <c r="P573" t="s">
        <v>3043</v>
      </c>
      <c r="R573" s="275"/>
    </row>
    <row r="574" spans="1:19">
      <c r="A574" t="s">
        <v>411</v>
      </c>
      <c r="C574" t="s">
        <v>2784</v>
      </c>
      <c r="D574">
        <v>1.8024</v>
      </c>
      <c r="E574">
        <v>10.7454</v>
      </c>
      <c r="F574">
        <v>0.2016</v>
      </c>
      <c r="G574" s="274">
        <f t="shared" si="73"/>
        <v>10.946999999999999</v>
      </c>
      <c r="H574" s="274">
        <v>10.751799999999999</v>
      </c>
      <c r="I574" s="274">
        <f>G574-H574</f>
        <v>0.19519999999999982</v>
      </c>
      <c r="J574" s="273">
        <f t="shared" si="74"/>
        <v>6.4000000000001833E-3</v>
      </c>
      <c r="K574" s="275">
        <f t="shared" si="75"/>
        <v>3.1746031746032655</v>
      </c>
      <c r="L574">
        <v>6</v>
      </c>
      <c r="M574" s="276">
        <v>43363</v>
      </c>
      <c r="N574" s="276">
        <v>43364</v>
      </c>
      <c r="O574" s="273" t="s">
        <v>3033</v>
      </c>
      <c r="R574" s="275"/>
    </row>
    <row r="575" spans="1:19">
      <c r="A575" t="s">
        <v>410</v>
      </c>
      <c r="C575" t="s">
        <v>2742</v>
      </c>
      <c r="D575">
        <v>1.5952</v>
      </c>
      <c r="E575">
        <v>7.0944000000000003</v>
      </c>
      <c r="F575">
        <v>0.2034</v>
      </c>
      <c r="G575" s="274">
        <f t="shared" si="73"/>
        <v>7.2978000000000005</v>
      </c>
      <c r="H575" s="274">
        <v>7.1093999999999999</v>
      </c>
      <c r="I575" s="274">
        <f>G575-H575</f>
        <v>0.18840000000000057</v>
      </c>
      <c r="J575" s="273">
        <f t="shared" si="74"/>
        <v>1.499999999999943E-2</v>
      </c>
      <c r="K575" s="275">
        <f t="shared" si="75"/>
        <v>7.374631268436298</v>
      </c>
      <c r="L575">
        <v>3</v>
      </c>
      <c r="M575" s="16">
        <v>43381</v>
      </c>
      <c r="N575" s="16">
        <v>43382</v>
      </c>
      <c r="R575" s="275"/>
    </row>
    <row r="576" spans="1:19">
      <c r="A576" t="s">
        <v>407</v>
      </c>
      <c r="C576" t="s">
        <v>3018</v>
      </c>
      <c r="D576">
        <v>1.8533999999999999</v>
      </c>
      <c r="E576">
        <v>7.9618000000000002</v>
      </c>
      <c r="F576">
        <v>0.20180000000000001</v>
      </c>
      <c r="G576" s="274">
        <f t="shared" si="73"/>
        <v>8.1636000000000006</v>
      </c>
      <c r="H576" s="274">
        <v>7.9668000000000001</v>
      </c>
      <c r="I576" s="274">
        <f>G576-H576</f>
        <v>0.19680000000000053</v>
      </c>
      <c r="J576" s="273">
        <f t="shared" si="74"/>
        <v>4.9999999999994771E-3</v>
      </c>
      <c r="K576" s="275">
        <f t="shared" si="75"/>
        <v>2.4777006937559349</v>
      </c>
      <c r="L576">
        <v>33</v>
      </c>
      <c r="M576" s="276">
        <v>43362</v>
      </c>
      <c r="N576" s="276">
        <v>43363</v>
      </c>
      <c r="R576" s="275"/>
    </row>
    <row r="577" spans="1:18">
      <c r="A577" t="s">
        <v>406</v>
      </c>
      <c r="C577" t="s">
        <v>2989</v>
      </c>
      <c r="D577">
        <v>1.7805</v>
      </c>
      <c r="E577">
        <v>9.3201000000000001</v>
      </c>
      <c r="F577">
        <v>0.23269999999999999</v>
      </c>
      <c r="G577" s="274">
        <f t="shared" si="73"/>
        <v>9.5527999999999995</v>
      </c>
      <c r="H577" s="274">
        <v>9.3248999999999995</v>
      </c>
      <c r="I577" s="274">
        <f>(G577-H577)</f>
        <v>0.22789999999999999</v>
      </c>
      <c r="J577" s="273">
        <f t="shared" si="74"/>
        <v>4.7999999999999987E-3</v>
      </c>
      <c r="K577" s="275">
        <f t="shared" si="75"/>
        <v>2.0627417275461966</v>
      </c>
      <c r="L577">
        <v>20</v>
      </c>
      <c r="M577" s="276">
        <v>43360</v>
      </c>
      <c r="N577" s="276">
        <v>43361</v>
      </c>
      <c r="O577" s="273" t="s">
        <v>2985</v>
      </c>
      <c r="R577" s="275"/>
    </row>
    <row r="578" spans="1:18">
      <c r="A578" t="s">
        <v>405</v>
      </c>
      <c r="C578" t="s">
        <v>2965</v>
      </c>
      <c r="D578">
        <v>1.7475000000000001</v>
      </c>
      <c r="E578">
        <v>8.7026000000000003</v>
      </c>
      <c r="F578">
        <v>0.20119999999999999</v>
      </c>
      <c r="G578" s="274">
        <f t="shared" si="73"/>
        <v>8.9038000000000004</v>
      </c>
      <c r="H578" s="274">
        <v>8.7079000000000004</v>
      </c>
      <c r="I578" s="274">
        <f>(G578-H578)</f>
        <v>0.19589999999999996</v>
      </c>
      <c r="J578" s="273">
        <f t="shared" si="74"/>
        <v>5.3000000000000269E-3</v>
      </c>
      <c r="K578" s="275">
        <f t="shared" si="75"/>
        <v>2.63419483101393</v>
      </c>
      <c r="L578">
        <v>10</v>
      </c>
      <c r="M578" s="276">
        <v>43360</v>
      </c>
      <c r="N578" s="276">
        <v>43361</v>
      </c>
      <c r="O578" s="273"/>
      <c r="R578" s="275"/>
    </row>
    <row r="579" spans="1:18">
      <c r="A579" t="s">
        <v>404</v>
      </c>
      <c r="C579" t="s">
        <v>2771</v>
      </c>
      <c r="D579">
        <v>0.85099999999999998</v>
      </c>
      <c r="E579">
        <v>8.9600000000000009</v>
      </c>
      <c r="F579">
        <v>0.20649999999999999</v>
      </c>
      <c r="G579" s="274">
        <f t="shared" si="73"/>
        <v>9.166500000000001</v>
      </c>
      <c r="H579" s="274">
        <v>9.0650999999999993</v>
      </c>
      <c r="I579" s="274">
        <f>G579-H579</f>
        <v>0.10140000000000171</v>
      </c>
      <c r="J579" s="273">
        <f t="shared" si="74"/>
        <v>0.10509999999999828</v>
      </c>
      <c r="K579" s="275">
        <f t="shared" si="75"/>
        <v>50.895883777238879</v>
      </c>
      <c r="L579">
        <v>24</v>
      </c>
      <c r="M579" s="276">
        <v>43363</v>
      </c>
      <c r="N579" s="276">
        <v>43364</v>
      </c>
      <c r="O579" s="273" t="s">
        <v>3033</v>
      </c>
      <c r="R579" s="275"/>
    </row>
    <row r="580" spans="1:18">
      <c r="A580" t="s">
        <v>403</v>
      </c>
      <c r="C580" t="s">
        <v>2715</v>
      </c>
      <c r="D580">
        <v>1.4211</v>
      </c>
      <c r="E580">
        <v>9.0036000000000005</v>
      </c>
      <c r="F580">
        <v>0.23499999999999999</v>
      </c>
      <c r="G580">
        <f t="shared" si="73"/>
        <v>9.2385999999999999</v>
      </c>
      <c r="H580">
        <v>9.0282999999999998</v>
      </c>
      <c r="I580" s="274">
        <f>G580-H580</f>
        <v>0.21030000000000015</v>
      </c>
      <c r="J580" s="273">
        <f t="shared" si="74"/>
        <v>2.4699999999999833E-2</v>
      </c>
      <c r="K580" s="275">
        <f t="shared" si="75"/>
        <v>10.510638297872269</v>
      </c>
      <c r="L580">
        <v>13</v>
      </c>
      <c r="M580" s="16">
        <v>43399</v>
      </c>
      <c r="N580" s="16">
        <v>43400</v>
      </c>
      <c r="R580" s="275"/>
    </row>
    <row r="581" spans="1:18">
      <c r="A581" t="s">
        <v>402</v>
      </c>
      <c r="C581" t="s">
        <v>2947</v>
      </c>
      <c r="D581">
        <v>1.8143</v>
      </c>
      <c r="E581">
        <v>8.1168999999999993</v>
      </c>
      <c r="F581">
        <v>0.19980000000000001</v>
      </c>
      <c r="G581" s="274">
        <f t="shared" si="73"/>
        <v>8.3166999999999991</v>
      </c>
      <c r="H581" s="274">
        <v>8.1232000000000006</v>
      </c>
      <c r="I581" s="274">
        <f>(G581-H581)</f>
        <v>0.19349999999999845</v>
      </c>
      <c r="J581" s="273">
        <f t="shared" si="74"/>
        <v>6.3000000000015544E-3</v>
      </c>
      <c r="K581" s="275">
        <f t="shared" si="75"/>
        <v>3.1531531531539305</v>
      </c>
      <c r="L581">
        <v>15</v>
      </c>
      <c r="M581" s="276">
        <v>43355.625</v>
      </c>
      <c r="N581" s="276">
        <v>43355.791666666664</v>
      </c>
      <c r="O581" s="273" t="s">
        <v>2938</v>
      </c>
      <c r="R581" s="275"/>
    </row>
    <row r="582" spans="1:18">
      <c r="A582" t="s">
        <v>400</v>
      </c>
      <c r="C582" t="s">
        <v>3055</v>
      </c>
      <c r="D582">
        <v>1.8338000000000001</v>
      </c>
      <c r="E582">
        <v>10.567600000000001</v>
      </c>
      <c r="F582">
        <v>0.20280000000000001</v>
      </c>
      <c r="G582" s="274">
        <f t="shared" si="73"/>
        <v>10.7704</v>
      </c>
      <c r="H582" s="274">
        <v>10.573</v>
      </c>
      <c r="I582" s="274">
        <f>G582-H582</f>
        <v>0.19740000000000002</v>
      </c>
      <c r="J582" s="273">
        <f t="shared" si="74"/>
        <v>5.3999999999999881E-3</v>
      </c>
      <c r="K582" s="275">
        <f t="shared" si="75"/>
        <v>2.6627218934911183</v>
      </c>
      <c r="L582">
        <v>11</v>
      </c>
      <c r="M582" s="16">
        <v>43388</v>
      </c>
      <c r="N582" s="276">
        <v>43389</v>
      </c>
      <c r="O582" s="276"/>
      <c r="P582" s="273"/>
      <c r="R582" s="275"/>
    </row>
    <row r="583" spans="1:18">
      <c r="A583" t="s">
        <v>399</v>
      </c>
      <c r="C583" t="s">
        <v>2980</v>
      </c>
      <c r="D583">
        <v>1.4898</v>
      </c>
      <c r="E583">
        <v>20.760200000000001</v>
      </c>
      <c r="F583">
        <v>0.21190000000000001</v>
      </c>
      <c r="G583" s="274">
        <f t="shared" si="73"/>
        <v>20.972100000000001</v>
      </c>
      <c r="H583" s="274">
        <v>20.782499999999999</v>
      </c>
      <c r="I583" s="274">
        <f>G583-H583</f>
        <v>0.18960000000000221</v>
      </c>
      <c r="J583" s="273">
        <f t="shared" si="74"/>
        <v>2.2299999999997794E-2</v>
      </c>
      <c r="K583" s="275">
        <f t="shared" si="75"/>
        <v>10.523831996223592</v>
      </c>
      <c r="L583">
        <v>39</v>
      </c>
      <c r="M583" s="276">
        <v>43363</v>
      </c>
      <c r="N583" s="276">
        <v>43364</v>
      </c>
      <c r="R583" s="275"/>
    </row>
    <row r="584" spans="1:18">
      <c r="A584" t="s">
        <v>398</v>
      </c>
      <c r="C584" t="s">
        <v>2945</v>
      </c>
      <c r="D584">
        <v>1.8038000000000001</v>
      </c>
      <c r="E584">
        <v>11.7446</v>
      </c>
      <c r="F584">
        <v>0.19980000000000001</v>
      </c>
      <c r="G584" s="274">
        <f t="shared" si="73"/>
        <v>11.9444</v>
      </c>
      <c r="H584" s="274">
        <v>11.7517</v>
      </c>
      <c r="I584" s="274">
        <f>(G584-H584)</f>
        <v>0.19270000000000032</v>
      </c>
      <c r="J584" s="273">
        <f t="shared" si="74"/>
        <v>7.0999999999996899E-3</v>
      </c>
      <c r="K584" s="275">
        <f t="shared" si="75"/>
        <v>3.5535535535533986</v>
      </c>
      <c r="L584">
        <v>1</v>
      </c>
      <c r="M584" s="16">
        <v>43358</v>
      </c>
      <c r="N584" s="16">
        <v>43358</v>
      </c>
      <c r="R584" s="275"/>
    </row>
    <row r="585" spans="1:18">
      <c r="A585" t="s">
        <v>397</v>
      </c>
      <c r="C585" t="s">
        <v>3047</v>
      </c>
      <c r="D585">
        <v>1.7324999999999999</v>
      </c>
      <c r="E585">
        <v>10.856</v>
      </c>
      <c r="F585">
        <v>0.21</v>
      </c>
      <c r="G585" s="278">
        <f t="shared" si="73"/>
        <v>11.066000000000001</v>
      </c>
      <c r="H585" s="274">
        <v>10.861700000000001</v>
      </c>
      <c r="I585" s="278">
        <f t="shared" ref="I585:I590" si="76">G585-H585</f>
        <v>0.20429999999999993</v>
      </c>
      <c r="J585" s="273">
        <f t="shared" si="74"/>
        <v>5.7000000000000661E-3</v>
      </c>
      <c r="K585" s="275">
        <f t="shared" si="75"/>
        <v>2.7142857142857459</v>
      </c>
      <c r="L585">
        <v>37</v>
      </c>
      <c r="M585" s="276">
        <v>43379</v>
      </c>
      <c r="N585" s="276">
        <v>43379</v>
      </c>
      <c r="R585" s="275"/>
    </row>
    <row r="586" spans="1:18">
      <c r="A586" t="s">
        <v>396</v>
      </c>
      <c r="C586" t="s">
        <v>3032</v>
      </c>
      <c r="D586">
        <v>1.8544</v>
      </c>
      <c r="E586">
        <v>7.9950999999999999</v>
      </c>
      <c r="F586">
        <v>0.2021</v>
      </c>
      <c r="G586" s="278">
        <f t="shared" si="73"/>
        <v>8.1972000000000005</v>
      </c>
      <c r="H586" s="274">
        <v>8.0017999999999994</v>
      </c>
      <c r="I586" s="278">
        <f t="shared" si="76"/>
        <v>0.19540000000000113</v>
      </c>
      <c r="J586" s="273">
        <f t="shared" si="74"/>
        <v>6.6999999999988735E-3</v>
      </c>
      <c r="K586" s="275">
        <f t="shared" si="75"/>
        <v>3.3151904997520401</v>
      </c>
      <c r="L586">
        <v>28</v>
      </c>
      <c r="M586" s="276">
        <v>43379</v>
      </c>
      <c r="N586" s="276">
        <v>43379</v>
      </c>
      <c r="R586" s="275"/>
    </row>
    <row r="587" spans="1:18">
      <c r="A587" t="s">
        <v>395</v>
      </c>
      <c r="C587" t="s">
        <v>3037</v>
      </c>
      <c r="D587">
        <v>0.46639999999999998</v>
      </c>
      <c r="E587">
        <v>7.8403999999999998</v>
      </c>
      <c r="F587">
        <v>0.2036</v>
      </c>
      <c r="G587" s="274">
        <f t="shared" si="73"/>
        <v>8.0440000000000005</v>
      </c>
      <c r="H587" s="274">
        <v>8.0124999999999993</v>
      </c>
      <c r="I587" s="274">
        <f t="shared" si="76"/>
        <v>3.1500000000001194E-2</v>
      </c>
      <c r="J587" s="273">
        <f t="shared" si="74"/>
        <v>0.17209999999999881</v>
      </c>
      <c r="K587" s="275">
        <f t="shared" si="75"/>
        <v>84.528487229861895</v>
      </c>
      <c r="L587">
        <v>35</v>
      </c>
      <c r="M587" s="16">
        <v>43381</v>
      </c>
      <c r="N587" s="16">
        <v>43382</v>
      </c>
      <c r="R587" s="275"/>
    </row>
    <row r="588" spans="1:18">
      <c r="A588" t="s">
        <v>393</v>
      </c>
      <c r="C588" t="s">
        <v>2711</v>
      </c>
      <c r="D588">
        <v>4.7215999999999996</v>
      </c>
      <c r="E588">
        <v>7.7751000000000001</v>
      </c>
      <c r="F588">
        <v>0.22</v>
      </c>
      <c r="G588" s="274">
        <f t="shared" si="73"/>
        <v>7.9950999999999999</v>
      </c>
      <c r="H588" s="274">
        <v>7.9756999999999998</v>
      </c>
      <c r="I588" s="274">
        <f t="shared" si="76"/>
        <v>1.9400000000000084E-2</v>
      </c>
      <c r="J588" s="273">
        <f t="shared" si="74"/>
        <v>0.20059999999999992</v>
      </c>
      <c r="K588" s="275">
        <f t="shared" si="75"/>
        <v>91.181818181818144</v>
      </c>
      <c r="L588">
        <v>26</v>
      </c>
      <c r="M588" s="16">
        <v>43399</v>
      </c>
      <c r="N588" s="16">
        <v>43400</v>
      </c>
      <c r="P588" t="s">
        <v>3065</v>
      </c>
      <c r="R588" s="275"/>
    </row>
    <row r="589" spans="1:18">
      <c r="A589" t="s">
        <v>391</v>
      </c>
      <c r="C589" t="s">
        <v>3020</v>
      </c>
      <c r="D589">
        <v>0.61480000000000001</v>
      </c>
      <c r="E589">
        <v>19.644200000000001</v>
      </c>
      <c r="F589">
        <v>0.20799999999999999</v>
      </c>
      <c r="G589" s="274">
        <f t="shared" si="73"/>
        <v>19.8522</v>
      </c>
      <c r="H589" s="274">
        <v>19.831299999999999</v>
      </c>
      <c r="I589" s="274">
        <f t="shared" si="76"/>
        <v>2.0900000000001029E-2</v>
      </c>
      <c r="J589" s="273">
        <f t="shared" si="74"/>
        <v>0.18709999999999896</v>
      </c>
      <c r="K589" s="275">
        <f t="shared" si="75"/>
        <v>89.951923076922583</v>
      </c>
      <c r="L589">
        <v>8</v>
      </c>
      <c r="M589" s="276">
        <v>43362</v>
      </c>
      <c r="N589" s="276">
        <v>43363</v>
      </c>
      <c r="O589" s="273"/>
      <c r="R589" s="275"/>
    </row>
    <row r="590" spans="1:18">
      <c r="A590" t="s">
        <v>390</v>
      </c>
      <c r="C590" t="s">
        <v>3021</v>
      </c>
      <c r="D590">
        <v>1.7874000000000001</v>
      </c>
      <c r="E590">
        <v>7.3555000000000001</v>
      </c>
      <c r="F590">
        <v>0.20649999999999999</v>
      </c>
      <c r="G590" s="278">
        <f t="shared" si="73"/>
        <v>7.5620000000000003</v>
      </c>
      <c r="H590" s="274">
        <v>7.3621999999999996</v>
      </c>
      <c r="I590" s="278">
        <f t="shared" si="76"/>
        <v>0.19980000000000064</v>
      </c>
      <c r="J590" s="273">
        <f t="shared" si="74"/>
        <v>6.6999999999993454E-3</v>
      </c>
      <c r="K590" s="275">
        <f t="shared" si="75"/>
        <v>3.2445520581110632</v>
      </c>
      <c r="L590">
        <v>20</v>
      </c>
      <c r="M590" s="276">
        <v>43379</v>
      </c>
      <c r="N590" s="276">
        <v>43379</v>
      </c>
      <c r="R590" s="275"/>
    </row>
    <row r="591" spans="1:18">
      <c r="A591" t="s">
        <v>1066</v>
      </c>
      <c r="B591">
        <v>200</v>
      </c>
      <c r="C591" t="s">
        <v>2490</v>
      </c>
      <c r="D591">
        <v>0</v>
      </c>
      <c r="E591">
        <v>0</v>
      </c>
      <c r="F591">
        <v>0</v>
      </c>
      <c r="G591">
        <v>0</v>
      </c>
      <c r="H591">
        <v>0</v>
      </c>
      <c r="I591">
        <v>0</v>
      </c>
      <c r="J591">
        <v>0</v>
      </c>
      <c r="K591">
        <v>0</v>
      </c>
    </row>
    <row r="592" spans="1:18">
      <c r="A592" t="s">
        <v>388</v>
      </c>
      <c r="C592" t="s">
        <v>2998</v>
      </c>
      <c r="D592">
        <v>1.4699</v>
      </c>
      <c r="E592">
        <v>9.5189000000000004</v>
      </c>
      <c r="F592">
        <v>0.20399999999999999</v>
      </c>
      <c r="G592" s="274">
        <f t="shared" ref="G592:G614" si="77">E592+F592</f>
        <v>9.722900000000001</v>
      </c>
      <c r="H592" s="274">
        <v>9.5271000000000008</v>
      </c>
      <c r="I592" s="274">
        <f>(G592-H592)</f>
        <v>0.1958000000000002</v>
      </c>
      <c r="J592" s="273">
        <f t="shared" ref="J592:J614" si="78">F592-I592</f>
        <v>8.1999999999997908E-3</v>
      </c>
      <c r="K592" s="275">
        <f t="shared" ref="K592:K614" si="79">(J592/F592)*100</f>
        <v>4.0196078431371527</v>
      </c>
      <c r="L592">
        <v>29</v>
      </c>
      <c r="M592" s="276">
        <v>43360</v>
      </c>
      <c r="N592" s="276">
        <v>43361</v>
      </c>
      <c r="O592" s="273" t="s">
        <v>2985</v>
      </c>
      <c r="R592" s="275"/>
    </row>
    <row r="593" spans="1:18">
      <c r="A593" t="s">
        <v>387</v>
      </c>
      <c r="C593" t="s">
        <v>2759</v>
      </c>
      <c r="D593">
        <v>1.5062</v>
      </c>
      <c r="E593">
        <v>10.057</v>
      </c>
      <c r="F593">
        <v>0.21659999999999999</v>
      </c>
      <c r="G593" s="274">
        <f t="shared" si="77"/>
        <v>10.2736</v>
      </c>
      <c r="H593" s="274">
        <v>10.0754</v>
      </c>
      <c r="I593" s="274">
        <f>G593-H593</f>
        <v>0.19819999999999993</v>
      </c>
      <c r="J593" s="273">
        <f t="shared" si="78"/>
        <v>1.8400000000000055E-2</v>
      </c>
      <c r="K593" s="275">
        <f t="shared" si="79"/>
        <v>8.4949215143121215</v>
      </c>
      <c r="L593">
        <v>38</v>
      </c>
      <c r="M593" s="276">
        <v>43374</v>
      </c>
      <c r="N593" s="276">
        <v>43375</v>
      </c>
      <c r="O593" s="273" t="s">
        <v>3008</v>
      </c>
      <c r="R593" s="275"/>
    </row>
    <row r="594" spans="1:18">
      <c r="A594" t="s">
        <v>383</v>
      </c>
      <c r="C594" t="s">
        <v>2705</v>
      </c>
      <c r="D594">
        <v>1.7665999999999999</v>
      </c>
      <c r="E594">
        <v>7.8396999999999997</v>
      </c>
      <c r="F594">
        <v>0.2021</v>
      </c>
      <c r="G594" s="274">
        <f t="shared" si="77"/>
        <v>8.0418000000000003</v>
      </c>
      <c r="H594" s="274">
        <v>8.0214999999999996</v>
      </c>
      <c r="I594" s="274">
        <f>G594-H594</f>
        <v>2.0300000000000651E-2</v>
      </c>
      <c r="J594" s="273">
        <f t="shared" si="78"/>
        <v>0.18179999999999935</v>
      </c>
      <c r="K594" s="275">
        <f t="shared" si="79"/>
        <v>89.95546759030151</v>
      </c>
      <c r="L594">
        <v>33</v>
      </c>
      <c r="M594" s="276">
        <v>43374</v>
      </c>
      <c r="N594" s="276">
        <v>43375</v>
      </c>
      <c r="O594" s="273" t="s">
        <v>3008</v>
      </c>
      <c r="R594" s="275"/>
    </row>
    <row r="595" spans="1:18">
      <c r="A595" t="s">
        <v>382</v>
      </c>
      <c r="C595" t="s">
        <v>3042</v>
      </c>
      <c r="D595">
        <v>1.5597000000000001</v>
      </c>
      <c r="E595">
        <v>10.6996</v>
      </c>
      <c r="F595">
        <v>0.2155</v>
      </c>
      <c r="G595" s="274">
        <f t="shared" si="77"/>
        <v>10.915100000000001</v>
      </c>
      <c r="H595" s="274">
        <v>10.731199999999999</v>
      </c>
      <c r="I595" s="274">
        <f>G595-H595</f>
        <v>0.18390000000000128</v>
      </c>
      <c r="J595" s="273">
        <f t="shared" si="78"/>
        <v>3.1599999999998712E-2</v>
      </c>
      <c r="K595" s="275">
        <f t="shared" si="79"/>
        <v>14.66357308584627</v>
      </c>
      <c r="L595">
        <v>34</v>
      </c>
      <c r="M595" s="16">
        <v>43399</v>
      </c>
      <c r="N595" s="16">
        <v>43400</v>
      </c>
      <c r="R595" s="275"/>
    </row>
    <row r="596" spans="1:18">
      <c r="A596" t="s">
        <v>381</v>
      </c>
      <c r="C596" t="s">
        <v>2982</v>
      </c>
      <c r="D596">
        <v>1.4066000000000001</v>
      </c>
      <c r="E596">
        <v>7.0933999999999999</v>
      </c>
      <c r="F596">
        <v>0.23180000000000001</v>
      </c>
      <c r="G596" s="274">
        <f t="shared" si="77"/>
        <v>7.3251999999999997</v>
      </c>
      <c r="H596" s="274">
        <v>7.3068</v>
      </c>
      <c r="I596" s="274">
        <f>(G596-H596)</f>
        <v>1.839999999999975E-2</v>
      </c>
      <c r="J596" s="273">
        <f t="shared" si="78"/>
        <v>0.21340000000000026</v>
      </c>
      <c r="K596" s="275">
        <f t="shared" si="79"/>
        <v>92.062122519413393</v>
      </c>
      <c r="L596">
        <v>41</v>
      </c>
      <c r="M596" s="276">
        <v>43360</v>
      </c>
      <c r="N596" s="276">
        <v>43361</v>
      </c>
      <c r="R596" s="275"/>
    </row>
    <row r="597" spans="1:18">
      <c r="A597" t="s">
        <v>380</v>
      </c>
      <c r="C597" t="s">
        <v>2699</v>
      </c>
      <c r="D597">
        <v>1.5463</v>
      </c>
      <c r="E597">
        <v>11.1736</v>
      </c>
      <c r="F597">
        <v>0.2135</v>
      </c>
      <c r="G597" s="274">
        <f t="shared" si="77"/>
        <v>11.3871</v>
      </c>
      <c r="H597" s="274">
        <v>11.1936</v>
      </c>
      <c r="I597" s="274">
        <f>G597-H597</f>
        <v>0.19350000000000023</v>
      </c>
      <c r="J597" s="273">
        <f t="shared" si="78"/>
        <v>1.9999999999999768E-2</v>
      </c>
      <c r="K597" s="275">
        <f t="shared" si="79"/>
        <v>9.3676814988289312</v>
      </c>
      <c r="L597">
        <v>41</v>
      </c>
      <c r="M597">
        <v>23.101800000000001</v>
      </c>
      <c r="N597" s="16">
        <v>43397</v>
      </c>
      <c r="R597" s="275"/>
    </row>
    <row r="598" spans="1:18">
      <c r="A598" t="s">
        <v>379</v>
      </c>
      <c r="C598" t="s">
        <v>2966</v>
      </c>
      <c r="D598">
        <v>1.8381000000000001</v>
      </c>
      <c r="E598">
        <v>11.4543</v>
      </c>
      <c r="F598">
        <v>0.20380000000000001</v>
      </c>
      <c r="G598" s="274">
        <f t="shared" si="77"/>
        <v>11.658099999999999</v>
      </c>
      <c r="H598" s="274">
        <v>11.4602</v>
      </c>
      <c r="I598" s="274">
        <f>(G598-H598)</f>
        <v>0.19789999999999885</v>
      </c>
      <c r="J598" s="273">
        <f t="shared" si="78"/>
        <v>5.9000000000011543E-3</v>
      </c>
      <c r="K598" s="275">
        <f t="shared" si="79"/>
        <v>2.8949950932292219</v>
      </c>
      <c r="L598">
        <v>15</v>
      </c>
      <c r="M598" s="276">
        <v>43360</v>
      </c>
      <c r="N598" s="276">
        <v>43361</v>
      </c>
      <c r="O598" s="273"/>
      <c r="R598" s="275"/>
    </row>
    <row r="599" spans="1:18">
      <c r="A599" t="s">
        <v>378</v>
      </c>
      <c r="C599" t="s">
        <v>2943</v>
      </c>
      <c r="D599">
        <v>1.7369000000000001</v>
      </c>
      <c r="E599">
        <v>10.539199999999999</v>
      </c>
      <c r="F599">
        <v>0.20380000000000001</v>
      </c>
      <c r="G599" s="274">
        <f t="shared" si="77"/>
        <v>10.742999999999999</v>
      </c>
      <c r="H599" s="274">
        <v>10.5444</v>
      </c>
      <c r="I599" s="274">
        <f>(G599-H599)</f>
        <v>0.198599999999999</v>
      </c>
      <c r="J599" s="273">
        <f t="shared" si="78"/>
        <v>5.2000000000010094E-3</v>
      </c>
      <c r="K599" s="275">
        <f t="shared" si="79"/>
        <v>2.5515210991172763</v>
      </c>
      <c r="L599">
        <v>19</v>
      </c>
      <c r="M599" s="16">
        <v>43358</v>
      </c>
      <c r="N599" s="16">
        <v>43358</v>
      </c>
      <c r="R599" s="275"/>
    </row>
    <row r="600" spans="1:18">
      <c r="A600" t="s">
        <v>377</v>
      </c>
      <c r="C600" t="s">
        <v>3017</v>
      </c>
      <c r="D600">
        <v>1.5270999999999999</v>
      </c>
      <c r="E600">
        <v>20.929300000000001</v>
      </c>
      <c r="F600">
        <v>0.224</v>
      </c>
      <c r="G600" s="274">
        <f t="shared" si="77"/>
        <v>21.153300000000002</v>
      </c>
      <c r="H600" s="274">
        <v>20.943300000000001</v>
      </c>
      <c r="I600" s="274">
        <f>G600-H600</f>
        <v>0.21000000000000085</v>
      </c>
      <c r="J600" s="273">
        <f t="shared" si="78"/>
        <v>1.3999999999999152E-2</v>
      </c>
      <c r="K600" s="275">
        <f t="shared" si="79"/>
        <v>6.2499999999996207</v>
      </c>
      <c r="L600">
        <v>41</v>
      </c>
      <c r="M600" s="276">
        <v>43361</v>
      </c>
      <c r="N600" s="276">
        <v>43362</v>
      </c>
      <c r="O600" s="273" t="s">
        <v>3008</v>
      </c>
      <c r="R600" s="275"/>
    </row>
    <row r="601" spans="1:18">
      <c r="A601" t="s">
        <v>376</v>
      </c>
      <c r="C601" t="s">
        <v>2990</v>
      </c>
      <c r="D601">
        <v>1.8338000000000001</v>
      </c>
      <c r="E601">
        <v>9.0223999999999993</v>
      </c>
      <c r="F601">
        <v>0.20130000000000001</v>
      </c>
      <c r="G601" s="274">
        <f t="shared" si="77"/>
        <v>9.2236999999999991</v>
      </c>
      <c r="H601" s="274">
        <v>9.0281000000000002</v>
      </c>
      <c r="I601" s="274">
        <f>G601-H601</f>
        <v>0.19559999999999889</v>
      </c>
      <c r="J601" s="273">
        <f t="shared" si="78"/>
        <v>5.7000000000011208E-3</v>
      </c>
      <c r="K601" s="275">
        <f t="shared" si="79"/>
        <v>2.8315946348738801</v>
      </c>
      <c r="L601">
        <v>11</v>
      </c>
      <c r="M601" s="16">
        <v>43399</v>
      </c>
      <c r="N601" s="16">
        <v>43400</v>
      </c>
      <c r="R601" s="275"/>
    </row>
    <row r="602" spans="1:18">
      <c r="A602" t="s">
        <v>375</v>
      </c>
      <c r="C602" t="s">
        <v>2950</v>
      </c>
      <c r="D602">
        <v>1.827</v>
      </c>
      <c r="E602">
        <v>10.856</v>
      </c>
      <c r="F602">
        <v>0.2077</v>
      </c>
      <c r="G602">
        <f t="shared" si="77"/>
        <v>11.063700000000001</v>
      </c>
      <c r="H602">
        <v>10.860900000000001</v>
      </c>
      <c r="I602">
        <f>(G602-H602)</f>
        <v>0.20279999999999987</v>
      </c>
      <c r="J602" s="273">
        <f t="shared" si="78"/>
        <v>4.9000000000001265E-3</v>
      </c>
      <c r="K602" s="275">
        <f t="shared" si="79"/>
        <v>2.3591718825229306</v>
      </c>
      <c r="M602" s="16">
        <v>43399</v>
      </c>
      <c r="N602" s="16">
        <v>43400</v>
      </c>
      <c r="P602" t="s">
        <v>2986</v>
      </c>
      <c r="R602" s="275"/>
    </row>
    <row r="603" spans="1:18">
      <c r="A603" t="s">
        <v>374</v>
      </c>
      <c r="C603" t="s">
        <v>2944</v>
      </c>
      <c r="D603">
        <v>1.8258000000000001</v>
      </c>
      <c r="E603">
        <v>9.0312999999999999</v>
      </c>
      <c r="F603">
        <v>0.2011</v>
      </c>
      <c r="G603" s="274">
        <f t="shared" si="77"/>
        <v>9.2324000000000002</v>
      </c>
      <c r="H603" s="274">
        <v>9.0358999999999998</v>
      </c>
      <c r="I603" s="274">
        <f>(G603-H603)</f>
        <v>0.19650000000000034</v>
      </c>
      <c r="J603" s="273">
        <f t="shared" si="78"/>
        <v>4.5999999999996599E-3</v>
      </c>
      <c r="K603" s="275">
        <f t="shared" si="79"/>
        <v>2.2874191944304623</v>
      </c>
      <c r="L603">
        <v>10</v>
      </c>
      <c r="M603" s="16">
        <v>43358</v>
      </c>
      <c r="N603" s="16">
        <v>43358</v>
      </c>
      <c r="R603" s="275"/>
    </row>
    <row r="604" spans="1:18">
      <c r="A604" t="s">
        <v>373</v>
      </c>
      <c r="C604" t="s">
        <v>2972</v>
      </c>
      <c r="D604">
        <v>1.4701</v>
      </c>
      <c r="E604">
        <v>11.1556</v>
      </c>
      <c r="F604">
        <v>0.21870000000000001</v>
      </c>
      <c r="G604" s="274">
        <f t="shared" si="77"/>
        <v>11.3743</v>
      </c>
      <c r="H604" s="274">
        <v>11.206</v>
      </c>
      <c r="I604" s="274">
        <f>G604-H604</f>
        <v>0.16830000000000034</v>
      </c>
      <c r="J604" s="273">
        <f t="shared" si="78"/>
        <v>5.0399999999999667E-2</v>
      </c>
      <c r="K604" s="275">
        <f t="shared" si="79"/>
        <v>23.045267489711783</v>
      </c>
      <c r="L604">
        <v>42</v>
      </c>
      <c r="M604" s="16">
        <v>43381</v>
      </c>
      <c r="N604" s="16">
        <v>43382</v>
      </c>
      <c r="R604" s="275"/>
    </row>
    <row r="605" spans="1:18">
      <c r="A605" t="s">
        <v>371</v>
      </c>
      <c r="C605" t="s">
        <v>2708</v>
      </c>
      <c r="D605">
        <v>0.3957</v>
      </c>
      <c r="E605">
        <v>10.6371</v>
      </c>
      <c r="F605">
        <v>0.2109</v>
      </c>
      <c r="G605" s="274">
        <f t="shared" si="77"/>
        <v>10.848000000000001</v>
      </c>
      <c r="H605" s="274">
        <v>10.8222</v>
      </c>
      <c r="I605" s="274">
        <f>G605-H605</f>
        <v>2.5800000000000267E-2</v>
      </c>
      <c r="J605" s="273">
        <f t="shared" si="78"/>
        <v>0.18509999999999974</v>
      </c>
      <c r="K605" s="275">
        <f t="shared" si="79"/>
        <v>87.766714082503427</v>
      </c>
      <c r="L605">
        <v>40</v>
      </c>
      <c r="M605" s="16">
        <v>43399</v>
      </c>
      <c r="N605" s="16">
        <v>43400</v>
      </c>
      <c r="R605" s="275"/>
    </row>
    <row r="606" spans="1:18">
      <c r="A606" t="s">
        <v>370</v>
      </c>
      <c r="C606" t="s">
        <v>2962</v>
      </c>
      <c r="D606">
        <v>1.8451</v>
      </c>
      <c r="E606">
        <v>8.8619000000000003</v>
      </c>
      <c r="F606">
        <v>0.2142</v>
      </c>
      <c r="G606" s="274">
        <f t="shared" si="77"/>
        <v>9.0761000000000003</v>
      </c>
      <c r="H606" s="274">
        <v>8.8678000000000008</v>
      </c>
      <c r="I606" s="274">
        <f>(G606-H606)</f>
        <v>0.20829999999999949</v>
      </c>
      <c r="J606" s="273">
        <f t="shared" si="78"/>
        <v>5.9000000000005159E-3</v>
      </c>
      <c r="K606" s="275">
        <f t="shared" si="79"/>
        <v>2.7544351073765245</v>
      </c>
      <c r="L606">
        <v>19</v>
      </c>
      <c r="M606" s="276">
        <v>43360</v>
      </c>
      <c r="N606" s="276">
        <v>43361</v>
      </c>
      <c r="R606" s="275"/>
    </row>
    <row r="607" spans="1:18">
      <c r="A607" t="s">
        <v>369</v>
      </c>
      <c r="C607" t="s">
        <v>2969</v>
      </c>
      <c r="D607">
        <v>1.7992999999999999</v>
      </c>
      <c r="E607">
        <v>9.3224</v>
      </c>
      <c r="F607">
        <v>0.20669999999999999</v>
      </c>
      <c r="G607" s="274">
        <f t="shared" si="77"/>
        <v>9.5290999999999997</v>
      </c>
      <c r="H607" s="274">
        <v>9.3282000000000007</v>
      </c>
      <c r="I607" s="274">
        <f>(G607-H607)</f>
        <v>0.20089999999999897</v>
      </c>
      <c r="J607" s="273">
        <f t="shared" si="78"/>
        <v>5.8000000000010266E-3</v>
      </c>
      <c r="K607" s="275">
        <f t="shared" si="79"/>
        <v>2.8059990324146233</v>
      </c>
      <c r="L607">
        <v>16</v>
      </c>
      <c r="M607" s="276">
        <v>43360</v>
      </c>
      <c r="N607" s="276">
        <v>43361</v>
      </c>
      <c r="O607" s="273"/>
      <c r="R607" s="275"/>
    </row>
    <row r="608" spans="1:18">
      <c r="A608" t="s">
        <v>368</v>
      </c>
      <c r="B608">
        <v>217</v>
      </c>
      <c r="C608" t="s">
        <v>2490</v>
      </c>
      <c r="D608">
        <v>0.877</v>
      </c>
      <c r="E608">
        <v>10.504200000000001</v>
      </c>
      <c r="F608">
        <v>0.2281</v>
      </c>
      <c r="G608">
        <f t="shared" si="77"/>
        <v>10.7323</v>
      </c>
      <c r="H608">
        <v>10.6996</v>
      </c>
      <c r="I608" s="274">
        <f>G608-H608</f>
        <v>3.2700000000000173E-2</v>
      </c>
      <c r="J608" s="273">
        <f t="shared" si="78"/>
        <v>0.19539999999999982</v>
      </c>
      <c r="K608" s="275">
        <f t="shared" si="79"/>
        <v>85.664182376150734</v>
      </c>
      <c r="L608">
        <v>13</v>
      </c>
      <c r="M608" s="16">
        <v>43402</v>
      </c>
      <c r="N608" s="16">
        <v>43403</v>
      </c>
      <c r="R608" s="275"/>
    </row>
    <row r="609" spans="1:18">
      <c r="A609" t="s">
        <v>367</v>
      </c>
      <c r="C609" t="s">
        <v>2961</v>
      </c>
      <c r="D609">
        <v>1.6498999999999999</v>
      </c>
      <c r="E609">
        <v>10.9034</v>
      </c>
      <c r="F609">
        <v>0.21970000000000001</v>
      </c>
      <c r="G609" s="274">
        <f t="shared" si="77"/>
        <v>11.123099999999999</v>
      </c>
      <c r="H609" s="274">
        <v>11.0779</v>
      </c>
      <c r="I609" s="274">
        <f>(G609-H609)</f>
        <v>4.5199999999999463E-2</v>
      </c>
      <c r="J609" s="273">
        <f t="shared" si="78"/>
        <v>0.17450000000000054</v>
      </c>
      <c r="K609" s="275">
        <f t="shared" si="79"/>
        <v>79.426490669094463</v>
      </c>
      <c r="L609">
        <v>5</v>
      </c>
      <c r="M609" s="276">
        <v>43360</v>
      </c>
      <c r="N609" s="276">
        <v>43361</v>
      </c>
      <c r="O609" s="273" t="s">
        <v>2985</v>
      </c>
      <c r="R609" s="275"/>
    </row>
    <row r="610" spans="1:18">
      <c r="A610" t="s">
        <v>366</v>
      </c>
      <c r="C610" t="s">
        <v>2772</v>
      </c>
      <c r="D610">
        <v>0.76570000000000005</v>
      </c>
      <c r="E610">
        <v>11.2601</v>
      </c>
      <c r="F610">
        <v>0.2034</v>
      </c>
      <c r="G610" s="278">
        <f t="shared" si="77"/>
        <v>11.4635</v>
      </c>
      <c r="H610" s="274">
        <v>11.435499999999999</v>
      </c>
      <c r="I610" s="278">
        <f>G610-H610</f>
        <v>2.8000000000000469E-2</v>
      </c>
      <c r="J610" s="273">
        <f t="shared" si="78"/>
        <v>0.17539999999999953</v>
      </c>
      <c r="K610" s="275">
        <f t="shared" si="79"/>
        <v>86.234021632251483</v>
      </c>
      <c r="L610">
        <v>11</v>
      </c>
      <c r="M610" s="276">
        <v>43379</v>
      </c>
      <c r="N610" s="276">
        <v>43379</v>
      </c>
      <c r="O610" s="273"/>
      <c r="R610" s="275"/>
    </row>
    <row r="611" spans="1:18">
      <c r="A611" t="s">
        <v>365</v>
      </c>
      <c r="C611" t="s">
        <v>2701</v>
      </c>
      <c r="D611">
        <v>1.4045000000000001</v>
      </c>
      <c r="E611">
        <v>9.8879000000000001</v>
      </c>
      <c r="F611">
        <v>0.20319999999999999</v>
      </c>
      <c r="G611" s="274">
        <f t="shared" si="77"/>
        <v>10.091100000000001</v>
      </c>
      <c r="H611" s="274">
        <v>9.8986000000000001</v>
      </c>
      <c r="I611" s="274">
        <f>G611-H611</f>
        <v>0.19250000000000078</v>
      </c>
      <c r="J611" s="273">
        <f t="shared" si="78"/>
        <v>1.069999999999921E-2</v>
      </c>
      <c r="K611" s="275">
        <f t="shared" si="79"/>
        <v>5.2657480314956748</v>
      </c>
      <c r="L611">
        <v>6</v>
      </c>
      <c r="M611" s="16">
        <v>43388</v>
      </c>
      <c r="N611" s="276">
        <v>43389</v>
      </c>
      <c r="O611" s="276"/>
      <c r="P611" s="273"/>
      <c r="R611" s="275"/>
    </row>
    <row r="612" spans="1:18">
      <c r="A612" t="s">
        <v>363</v>
      </c>
      <c r="C612" t="s">
        <v>2952</v>
      </c>
      <c r="D612">
        <v>1.7914000000000001</v>
      </c>
      <c r="E612">
        <v>10.2004</v>
      </c>
      <c r="F612">
        <v>0.1981</v>
      </c>
      <c r="G612" s="274">
        <f t="shared" si="77"/>
        <v>10.3985</v>
      </c>
      <c r="H612" s="274">
        <v>10.207000000000001</v>
      </c>
      <c r="I612" s="274">
        <f>(G612-H612)</f>
        <v>0.19149999999999956</v>
      </c>
      <c r="J612" s="273">
        <f t="shared" si="78"/>
        <v>6.6000000000004388E-3</v>
      </c>
      <c r="K612" s="275">
        <f t="shared" si="79"/>
        <v>3.3316506814742248</v>
      </c>
      <c r="L612">
        <v>27</v>
      </c>
      <c r="M612" s="16">
        <v>43358</v>
      </c>
      <c r="N612" s="16">
        <v>43358</v>
      </c>
      <c r="R612" s="275"/>
    </row>
    <row r="613" spans="1:18">
      <c r="A613" t="s">
        <v>362</v>
      </c>
      <c r="C613" t="s">
        <v>3036</v>
      </c>
      <c r="D613">
        <v>1.6762999999999999</v>
      </c>
      <c r="E613">
        <v>20.9695</v>
      </c>
      <c r="F613">
        <v>0.23699999999999999</v>
      </c>
      <c r="G613" s="274">
        <f t="shared" si="77"/>
        <v>21.206499999999998</v>
      </c>
      <c r="H613" s="274">
        <v>20.980599999999999</v>
      </c>
      <c r="I613" s="274">
        <f>G613-H613</f>
        <v>0.22589999999999932</v>
      </c>
      <c r="J613" s="273">
        <f t="shared" si="78"/>
        <v>1.1100000000000665E-2</v>
      </c>
      <c r="K613" s="275">
        <f t="shared" si="79"/>
        <v>4.6835443037977491</v>
      </c>
      <c r="L613">
        <v>40</v>
      </c>
      <c r="M613" s="276">
        <v>43363</v>
      </c>
      <c r="N613" s="276">
        <v>43364</v>
      </c>
      <c r="R613" s="275"/>
    </row>
    <row r="614" spans="1:18">
      <c r="A614" t="s">
        <v>361</v>
      </c>
      <c r="C614" t="s">
        <v>2949</v>
      </c>
      <c r="D614">
        <v>1.8415999999999999</v>
      </c>
      <c r="E614">
        <v>10.743499999999999</v>
      </c>
      <c r="F614">
        <v>0.20080000000000001</v>
      </c>
      <c r="G614" s="274">
        <f t="shared" si="77"/>
        <v>10.944299999999998</v>
      </c>
      <c r="H614" s="274">
        <v>10.7486</v>
      </c>
      <c r="I614" s="274">
        <f>(G614-H614)</f>
        <v>0.19569999999999865</v>
      </c>
      <c r="J614" s="273">
        <f t="shared" si="78"/>
        <v>5.1000000000013535E-3</v>
      </c>
      <c r="K614" s="275">
        <f t="shared" si="79"/>
        <v>2.5398406374508733</v>
      </c>
      <c r="L614">
        <v>30</v>
      </c>
      <c r="M614" s="16">
        <v>43358</v>
      </c>
      <c r="N614" s="16">
        <v>43358</v>
      </c>
      <c r="R614" s="275"/>
    </row>
    <row r="615" spans="1:18">
      <c r="A615" t="s">
        <v>360</v>
      </c>
      <c r="C615" t="s">
        <v>2702</v>
      </c>
      <c r="D615">
        <v>0</v>
      </c>
      <c r="E615">
        <v>0</v>
      </c>
      <c r="F615">
        <v>0</v>
      </c>
      <c r="G615">
        <v>0</v>
      </c>
      <c r="H615">
        <v>0</v>
      </c>
      <c r="I615">
        <v>0</v>
      </c>
      <c r="J615">
        <v>0</v>
      </c>
      <c r="K615">
        <v>0</v>
      </c>
    </row>
    <row r="616" spans="1:18">
      <c r="A616" t="s">
        <v>359</v>
      </c>
      <c r="C616" t="s">
        <v>3000</v>
      </c>
      <c r="D616">
        <v>1.8035000000000001</v>
      </c>
      <c r="E616">
        <v>9.0223999999999993</v>
      </c>
      <c r="F616">
        <v>0.2195</v>
      </c>
      <c r="G616" s="274">
        <f t="shared" ref="G616:G627" si="80">E616+F616</f>
        <v>9.2418999999999993</v>
      </c>
      <c r="H616" s="274">
        <v>9.0267999999999997</v>
      </c>
      <c r="I616" s="274">
        <f>(G616-H616)</f>
        <v>0.21509999999999962</v>
      </c>
      <c r="J616" s="273">
        <f t="shared" ref="J616:J627" si="81">F616-I616</f>
        <v>4.4000000000003758E-3</v>
      </c>
      <c r="K616" s="275">
        <f t="shared" ref="K616:K627" si="82">(J616/F616)*100</f>
        <v>2.0045558086562076</v>
      </c>
      <c r="L616">
        <v>31</v>
      </c>
      <c r="M616" s="276">
        <v>43360</v>
      </c>
      <c r="N616" s="276">
        <v>43361</v>
      </c>
      <c r="O616" s="273" t="s">
        <v>2985</v>
      </c>
      <c r="R616" s="275"/>
    </row>
    <row r="617" spans="1:18">
      <c r="A617" t="s">
        <v>358</v>
      </c>
      <c r="C617" t="s">
        <v>2958</v>
      </c>
      <c r="D617">
        <v>1.6814</v>
      </c>
      <c r="E617">
        <v>7.4824000000000002</v>
      </c>
      <c r="F617">
        <v>0.21879999999999999</v>
      </c>
      <c r="G617" s="274">
        <f t="shared" si="80"/>
        <v>7.7012</v>
      </c>
      <c r="H617" s="274">
        <v>7.4909999999999997</v>
      </c>
      <c r="I617" s="274">
        <f>G617-H617</f>
        <v>0.21020000000000039</v>
      </c>
      <c r="J617" s="273">
        <f t="shared" si="81"/>
        <v>8.599999999999608E-3</v>
      </c>
      <c r="K617" s="275">
        <f t="shared" si="82"/>
        <v>3.9305301645336419</v>
      </c>
      <c r="L617">
        <v>2</v>
      </c>
      <c r="M617" s="276">
        <v>43363</v>
      </c>
      <c r="N617" s="276">
        <v>43364</v>
      </c>
      <c r="O617" s="273" t="s">
        <v>3033</v>
      </c>
      <c r="R617" s="275"/>
    </row>
    <row r="618" spans="1:18">
      <c r="A618" t="s">
        <v>357</v>
      </c>
      <c r="C618" t="s">
        <v>2979</v>
      </c>
      <c r="D618">
        <v>1.8359000000000001</v>
      </c>
      <c r="E618">
        <v>7.9050000000000002</v>
      </c>
      <c r="F618">
        <v>0.2029</v>
      </c>
      <c r="G618" s="274">
        <f t="shared" si="80"/>
        <v>8.1079000000000008</v>
      </c>
      <c r="H618" s="274">
        <v>7.9122000000000003</v>
      </c>
      <c r="I618" s="274">
        <f>(G618-H618)</f>
        <v>0.19570000000000043</v>
      </c>
      <c r="J618" s="273">
        <f t="shared" si="81"/>
        <v>7.1999999999995679E-3</v>
      </c>
      <c r="K618" s="275">
        <f t="shared" si="82"/>
        <v>3.5485460818134884</v>
      </c>
      <c r="L618">
        <v>33</v>
      </c>
      <c r="M618" s="276">
        <v>43360</v>
      </c>
      <c r="N618" s="276">
        <v>43361</v>
      </c>
      <c r="R618" s="275"/>
    </row>
    <row r="619" spans="1:18">
      <c r="A619" t="s">
        <v>356</v>
      </c>
      <c r="C619" t="s">
        <v>3011</v>
      </c>
      <c r="D619">
        <v>1.8251999999999999</v>
      </c>
      <c r="E619">
        <v>9.2355999999999998</v>
      </c>
      <c r="F619">
        <v>0.21049999999999999</v>
      </c>
      <c r="G619" s="274">
        <f t="shared" si="80"/>
        <v>9.4460999999999995</v>
      </c>
      <c r="H619" s="274">
        <v>9.2432999999999996</v>
      </c>
      <c r="I619" s="274">
        <f t="shared" ref="I619:I627" si="83">G619-H619</f>
        <v>0.20279999999999987</v>
      </c>
      <c r="J619" s="273">
        <f t="shared" si="81"/>
        <v>7.7000000000001234E-3</v>
      </c>
      <c r="K619" s="275">
        <f t="shared" si="82"/>
        <v>3.6579572446556408</v>
      </c>
      <c r="L619">
        <v>16</v>
      </c>
      <c r="M619" s="276">
        <v>43361</v>
      </c>
      <c r="N619" s="276">
        <v>43362</v>
      </c>
      <c r="O619" s="273" t="s">
        <v>3008</v>
      </c>
      <c r="R619" s="275"/>
    </row>
    <row r="620" spans="1:18">
      <c r="A620" t="s">
        <v>355</v>
      </c>
      <c r="C620" t="s">
        <v>3031</v>
      </c>
      <c r="D620">
        <v>2.7707999999999999</v>
      </c>
      <c r="E620">
        <v>8.7347999999999999</v>
      </c>
      <c r="F620">
        <v>0.23699999999999999</v>
      </c>
      <c r="G620" s="274">
        <f t="shared" si="80"/>
        <v>8.9718</v>
      </c>
      <c r="H620" s="274">
        <v>8.9545999999999992</v>
      </c>
      <c r="I620" s="274">
        <f t="shared" si="83"/>
        <v>1.720000000000077E-2</v>
      </c>
      <c r="J620" s="273">
        <f t="shared" si="81"/>
        <v>0.21979999999999922</v>
      </c>
      <c r="K620" s="275">
        <f t="shared" si="82"/>
        <v>92.742616033754956</v>
      </c>
      <c r="L620">
        <v>6</v>
      </c>
      <c r="M620" s="276">
        <v>43374</v>
      </c>
      <c r="N620" s="276">
        <v>43375</v>
      </c>
      <c r="O620" s="273" t="s">
        <v>3008</v>
      </c>
      <c r="R620" s="275"/>
    </row>
    <row r="621" spans="1:18">
      <c r="A621" t="s">
        <v>354</v>
      </c>
      <c r="C621" t="s">
        <v>3025</v>
      </c>
      <c r="D621">
        <v>3.5485000000000002</v>
      </c>
      <c r="E621">
        <v>9.3238000000000003</v>
      </c>
      <c r="F621">
        <v>0.20399999999999999</v>
      </c>
      <c r="G621" s="274">
        <f t="shared" si="80"/>
        <v>9.5278000000000009</v>
      </c>
      <c r="H621" s="274">
        <v>9.5198</v>
      </c>
      <c r="I621" s="274">
        <f t="shared" si="83"/>
        <v>8.0000000000008953E-3</v>
      </c>
      <c r="J621" s="273">
        <f t="shared" si="81"/>
        <v>0.19599999999999909</v>
      </c>
      <c r="K621" s="275">
        <f t="shared" si="82"/>
        <v>96.078431372548579</v>
      </c>
      <c r="L621">
        <v>20</v>
      </c>
      <c r="M621" s="276">
        <v>43362</v>
      </c>
      <c r="N621" s="276">
        <v>43363</v>
      </c>
      <c r="R621" s="275"/>
    </row>
    <row r="622" spans="1:18">
      <c r="A622" t="s">
        <v>353</v>
      </c>
      <c r="C622" t="s">
        <v>3062</v>
      </c>
      <c r="D622">
        <v>1.4107000000000001</v>
      </c>
      <c r="E622">
        <v>11.122</v>
      </c>
      <c r="F622">
        <v>0.22389999999999999</v>
      </c>
      <c r="G622" s="274">
        <f t="shared" si="80"/>
        <v>11.3459</v>
      </c>
      <c r="H622" s="274">
        <v>11.320600000000001</v>
      </c>
      <c r="I622" s="274">
        <f t="shared" si="83"/>
        <v>2.5299999999999656E-2</v>
      </c>
      <c r="J622" s="273">
        <f t="shared" si="81"/>
        <v>0.19860000000000033</v>
      </c>
      <c r="K622" s="275">
        <f t="shared" si="82"/>
        <v>88.700312639571393</v>
      </c>
      <c r="L622">
        <v>37</v>
      </c>
      <c r="M622" s="16">
        <v>43395</v>
      </c>
      <c r="N622" s="16">
        <v>43396</v>
      </c>
      <c r="R622" s="275"/>
    </row>
    <row r="623" spans="1:18">
      <c r="A623" t="s">
        <v>352</v>
      </c>
      <c r="C623" t="s">
        <v>3009</v>
      </c>
      <c r="D623">
        <v>1.7058</v>
      </c>
      <c r="E623">
        <v>9.5202000000000009</v>
      </c>
      <c r="F623">
        <v>0.221</v>
      </c>
      <c r="G623" s="274">
        <f t="shared" si="80"/>
        <v>9.741200000000001</v>
      </c>
      <c r="H623" s="274">
        <v>9.5281000000000002</v>
      </c>
      <c r="I623" s="274">
        <f t="shared" si="83"/>
        <v>0.21310000000000073</v>
      </c>
      <c r="J623" s="273">
        <f t="shared" si="81"/>
        <v>7.8999999999992687E-3</v>
      </c>
      <c r="K623" s="275">
        <f t="shared" si="82"/>
        <v>3.5746606334838318</v>
      </c>
      <c r="L623">
        <v>18</v>
      </c>
      <c r="M623" s="16">
        <v>43381</v>
      </c>
      <c r="N623" s="16">
        <v>43382</v>
      </c>
      <c r="R623" s="275"/>
    </row>
    <row r="624" spans="1:18">
      <c r="A624" t="s">
        <v>351</v>
      </c>
      <c r="C624" t="s">
        <v>2776</v>
      </c>
      <c r="D624">
        <v>0.33750000000000002</v>
      </c>
      <c r="E624">
        <v>9.7756000000000007</v>
      </c>
      <c r="F624">
        <v>0.2142</v>
      </c>
      <c r="G624" s="274">
        <f t="shared" si="80"/>
        <v>9.9898000000000007</v>
      </c>
      <c r="H624" s="274">
        <v>9.9679000000000002</v>
      </c>
      <c r="I624" s="274">
        <f t="shared" si="83"/>
        <v>2.1900000000000475E-2</v>
      </c>
      <c r="J624" s="273">
        <f t="shared" si="81"/>
        <v>0.19229999999999953</v>
      </c>
      <c r="K624" s="275">
        <f t="shared" si="82"/>
        <v>89.775910364145446</v>
      </c>
      <c r="L624">
        <v>28</v>
      </c>
      <c r="M624" s="276">
        <v>43363</v>
      </c>
      <c r="N624" s="276">
        <v>43364</v>
      </c>
      <c r="O624" s="273" t="s">
        <v>3033</v>
      </c>
      <c r="R624" s="275"/>
    </row>
    <row r="625" spans="1:18">
      <c r="A625" t="s">
        <v>350</v>
      </c>
      <c r="C625" t="s">
        <v>2717</v>
      </c>
      <c r="D625">
        <v>1.9995000000000001</v>
      </c>
      <c r="E625">
        <v>11.4442</v>
      </c>
      <c r="F625">
        <v>0.21110000000000001</v>
      </c>
      <c r="G625" s="278">
        <f t="shared" si="80"/>
        <v>11.6553</v>
      </c>
      <c r="H625" s="274">
        <v>11.638</v>
      </c>
      <c r="I625" s="278">
        <f t="shared" si="83"/>
        <v>1.7300000000000537E-2</v>
      </c>
      <c r="J625" s="273">
        <f t="shared" si="81"/>
        <v>0.19379999999999947</v>
      </c>
      <c r="K625" s="275">
        <f t="shared" si="82"/>
        <v>91.804831833254127</v>
      </c>
      <c r="L625">
        <v>21</v>
      </c>
      <c r="M625" s="276">
        <v>43379</v>
      </c>
      <c r="N625" s="276">
        <v>43379</v>
      </c>
      <c r="R625" s="275"/>
    </row>
    <row r="626" spans="1:18">
      <c r="A626" t="s">
        <v>349</v>
      </c>
      <c r="C626" t="s">
        <v>2997</v>
      </c>
      <c r="D626">
        <v>2.0394999999999999</v>
      </c>
      <c r="E626">
        <v>9.8217999999999996</v>
      </c>
      <c r="F626">
        <v>0.20469999999999999</v>
      </c>
      <c r="G626" s="274">
        <f t="shared" si="80"/>
        <v>10.0265</v>
      </c>
      <c r="H626" s="274">
        <v>9.9885999999999999</v>
      </c>
      <c r="I626" s="274">
        <f t="shared" si="83"/>
        <v>3.7900000000000489E-2</v>
      </c>
      <c r="J626" s="273">
        <f t="shared" si="81"/>
        <v>0.1667999999999995</v>
      </c>
      <c r="K626" s="275">
        <f t="shared" si="82"/>
        <v>81.485100146555695</v>
      </c>
      <c r="L626">
        <v>14</v>
      </c>
      <c r="M626" s="276">
        <v>43363</v>
      </c>
      <c r="N626" s="276">
        <v>43364</v>
      </c>
      <c r="O626" s="273"/>
      <c r="R626" s="275"/>
    </row>
    <row r="627" spans="1:18">
      <c r="A627" t="s">
        <v>348</v>
      </c>
      <c r="C627" t="s">
        <v>3040</v>
      </c>
      <c r="D627">
        <v>1.504</v>
      </c>
      <c r="E627">
        <v>10.2035</v>
      </c>
      <c r="F627">
        <v>0.21920000000000001</v>
      </c>
      <c r="G627" s="274">
        <f t="shared" si="80"/>
        <v>10.422700000000001</v>
      </c>
      <c r="H627" s="274">
        <v>10.219099999999999</v>
      </c>
      <c r="I627" s="274">
        <f t="shared" si="83"/>
        <v>0.20360000000000156</v>
      </c>
      <c r="J627" s="273">
        <f t="shared" si="81"/>
        <v>1.5599999999998448E-2</v>
      </c>
      <c r="K627" s="275">
        <f t="shared" si="82"/>
        <v>7.1167883211671752</v>
      </c>
      <c r="L627">
        <v>32</v>
      </c>
      <c r="M627" s="276">
        <v>43374</v>
      </c>
      <c r="N627" s="276">
        <v>43375</v>
      </c>
      <c r="O627" s="273" t="s">
        <v>3008</v>
      </c>
      <c r="R627" s="275"/>
    </row>
    <row r="628" spans="1:18">
      <c r="A628" t="s">
        <v>347</v>
      </c>
      <c r="C628" t="s">
        <v>3014</v>
      </c>
      <c r="D628">
        <v>0</v>
      </c>
      <c r="E628">
        <v>0</v>
      </c>
      <c r="F628">
        <v>0</v>
      </c>
      <c r="G628">
        <v>0</v>
      </c>
      <c r="H628">
        <v>0</v>
      </c>
      <c r="I628">
        <v>0</v>
      </c>
      <c r="J628">
        <v>0</v>
      </c>
      <c r="K628">
        <v>0</v>
      </c>
    </row>
    <row r="629" spans="1:18">
      <c r="A629" t="s">
        <v>346</v>
      </c>
      <c r="C629" t="s">
        <v>3049</v>
      </c>
      <c r="D629">
        <v>0</v>
      </c>
      <c r="E629">
        <v>0</v>
      </c>
      <c r="F629">
        <v>0</v>
      </c>
      <c r="G629">
        <v>0</v>
      </c>
      <c r="H629">
        <v>0</v>
      </c>
      <c r="I629">
        <v>0</v>
      </c>
      <c r="J629">
        <v>0</v>
      </c>
      <c r="K629">
        <v>0</v>
      </c>
    </row>
    <row r="630" spans="1:18">
      <c r="A630" t="s">
        <v>345</v>
      </c>
      <c r="C630" t="s">
        <v>2946</v>
      </c>
      <c r="D630">
        <v>1.7927</v>
      </c>
      <c r="E630">
        <v>10.9215</v>
      </c>
      <c r="F630">
        <v>0.20230000000000001</v>
      </c>
      <c r="G630" s="274">
        <f t="shared" ref="G630:G640" si="84">E630+F630</f>
        <v>11.123799999999999</v>
      </c>
      <c r="H630" s="274">
        <v>10.9269</v>
      </c>
      <c r="I630" s="274">
        <f>(G630-H630)</f>
        <v>0.19689999999999941</v>
      </c>
      <c r="J630" s="273">
        <f t="shared" ref="J630:J640" si="85">F630-I630</f>
        <v>5.4000000000005988E-3</v>
      </c>
      <c r="K630" s="275">
        <f t="shared" ref="K630:K640" si="86">(J630/F630)*100</f>
        <v>2.6693030153240724</v>
      </c>
      <c r="L630">
        <v>2</v>
      </c>
      <c r="M630" s="16">
        <v>43358</v>
      </c>
      <c r="N630" s="16">
        <v>43358</v>
      </c>
      <c r="R630" s="275"/>
    </row>
    <row r="631" spans="1:18">
      <c r="A631" t="s">
        <v>344</v>
      </c>
      <c r="C631" t="s">
        <v>3061</v>
      </c>
      <c r="D631">
        <v>0.55049999999999999</v>
      </c>
      <c r="E631">
        <v>10.699199999999999</v>
      </c>
      <c r="F631">
        <v>0.2</v>
      </c>
      <c r="G631" s="274">
        <f t="shared" si="84"/>
        <v>10.899199999999999</v>
      </c>
      <c r="H631" s="274">
        <v>10.883100000000001</v>
      </c>
      <c r="I631" s="274">
        <f>G631-H631</f>
        <v>1.6099999999998005E-2</v>
      </c>
      <c r="J631" s="273">
        <f t="shared" si="85"/>
        <v>0.18390000000000201</v>
      </c>
      <c r="K631" s="275">
        <f t="shared" si="86"/>
        <v>91.950000000000998</v>
      </c>
      <c r="L631">
        <v>33</v>
      </c>
      <c r="M631" s="16">
        <v>43395</v>
      </c>
      <c r="N631" s="16">
        <v>43396</v>
      </c>
      <c r="R631" s="275"/>
    </row>
    <row r="632" spans="1:18">
      <c r="A632" t="s">
        <v>343</v>
      </c>
      <c r="C632" t="s">
        <v>2996</v>
      </c>
      <c r="D632">
        <v>1.7378</v>
      </c>
      <c r="E632">
        <v>19.390799999999999</v>
      </c>
      <c r="F632">
        <v>0.2079</v>
      </c>
      <c r="G632" s="274">
        <f t="shared" si="84"/>
        <v>19.598699999999997</v>
      </c>
      <c r="H632" s="274">
        <v>19.4008</v>
      </c>
      <c r="I632" s="274">
        <f>G632-H632</f>
        <v>0.19789999999999708</v>
      </c>
      <c r="J632" s="273">
        <f t="shared" si="85"/>
        <v>1.0000000000002923E-2</v>
      </c>
      <c r="K632" s="275">
        <f t="shared" si="86"/>
        <v>4.810004810006216</v>
      </c>
      <c r="L632">
        <v>28</v>
      </c>
      <c r="M632" s="276">
        <v>43361</v>
      </c>
      <c r="N632" s="276">
        <v>43362</v>
      </c>
      <c r="O632" s="273" t="s">
        <v>3008</v>
      </c>
      <c r="R632" s="275"/>
    </row>
    <row r="633" spans="1:18">
      <c r="A633" t="s">
        <v>342</v>
      </c>
      <c r="C633" t="s">
        <v>2960</v>
      </c>
      <c r="D633">
        <v>1.4207000000000001</v>
      </c>
      <c r="E633">
        <v>7.1912000000000003</v>
      </c>
      <c r="F633">
        <v>0.21629999999999999</v>
      </c>
      <c r="G633">
        <f t="shared" si="84"/>
        <v>7.4075000000000006</v>
      </c>
      <c r="H633">
        <v>7.1985999999999999</v>
      </c>
      <c r="I633" s="274">
        <f>G633-H633</f>
        <v>0.20890000000000075</v>
      </c>
      <c r="J633" s="273">
        <f t="shared" si="85"/>
        <v>7.3999999999992405E-3</v>
      </c>
      <c r="K633" s="275">
        <f t="shared" si="86"/>
        <v>3.4211742949603519</v>
      </c>
      <c r="L633">
        <v>25</v>
      </c>
      <c r="M633" s="16">
        <v>43399</v>
      </c>
      <c r="N633" s="16">
        <v>43400</v>
      </c>
      <c r="R633" s="275"/>
    </row>
    <row r="634" spans="1:18">
      <c r="A634" t="s">
        <v>341</v>
      </c>
      <c r="C634" t="s">
        <v>2959</v>
      </c>
      <c r="D634">
        <v>1.7402</v>
      </c>
      <c r="E634">
        <v>10.921900000000001</v>
      </c>
      <c r="F634">
        <v>0.21279999999999999</v>
      </c>
      <c r="G634" s="274">
        <f t="shared" si="84"/>
        <v>11.1347</v>
      </c>
      <c r="H634" s="274">
        <v>10.928699999999999</v>
      </c>
      <c r="I634" s="274">
        <f>(G634-H634)</f>
        <v>0.20600000000000129</v>
      </c>
      <c r="J634" s="273">
        <f t="shared" si="85"/>
        <v>6.799999999998696E-3</v>
      </c>
      <c r="K634" s="275">
        <f t="shared" si="86"/>
        <v>3.1954887218038985</v>
      </c>
      <c r="L634">
        <v>35</v>
      </c>
      <c r="M634" s="276">
        <v>43360</v>
      </c>
      <c r="N634" s="276">
        <v>43361</v>
      </c>
      <c r="R634" s="275"/>
    </row>
    <row r="635" spans="1:18">
      <c r="A635" t="s">
        <v>340</v>
      </c>
      <c r="C635" t="s">
        <v>2993</v>
      </c>
      <c r="D635">
        <v>1.1197999999999999</v>
      </c>
      <c r="E635">
        <v>10.636100000000001</v>
      </c>
      <c r="F635">
        <v>0.21279999999999999</v>
      </c>
      <c r="G635" s="274">
        <f t="shared" si="84"/>
        <v>10.8489</v>
      </c>
      <c r="H635" s="274">
        <v>10.841699999999999</v>
      </c>
      <c r="I635" s="274">
        <f>(G635-H635)</f>
        <v>7.2000000000009834E-3</v>
      </c>
      <c r="J635" s="273">
        <f t="shared" si="85"/>
        <v>0.20559999999999901</v>
      </c>
      <c r="K635" s="275">
        <f t="shared" si="86"/>
        <v>96.616541353382999</v>
      </c>
      <c r="L635">
        <v>14</v>
      </c>
      <c r="M635" s="276">
        <v>43360</v>
      </c>
      <c r="N635" s="276">
        <v>43361</v>
      </c>
      <c r="O635" s="273" t="s">
        <v>2985</v>
      </c>
      <c r="R635" s="275"/>
    </row>
    <row r="636" spans="1:18">
      <c r="A636" t="s">
        <v>1061</v>
      </c>
      <c r="C636" t="s">
        <v>2750</v>
      </c>
      <c r="D636">
        <v>1.6708000000000001</v>
      </c>
      <c r="E636">
        <v>8.3566000000000003</v>
      </c>
      <c r="F636">
        <v>0.21190000000000001</v>
      </c>
      <c r="G636" s="274">
        <f t="shared" si="84"/>
        <v>8.5685000000000002</v>
      </c>
      <c r="H636" s="274">
        <v>8.3829999999999991</v>
      </c>
      <c r="I636" s="274">
        <f>G636-H636</f>
        <v>0.18550000000000111</v>
      </c>
      <c r="J636" s="273">
        <f t="shared" si="85"/>
        <v>2.6399999999998897E-2</v>
      </c>
      <c r="K636" s="275">
        <f t="shared" si="86"/>
        <v>12.458706937234023</v>
      </c>
      <c r="L636">
        <v>22</v>
      </c>
      <c r="M636" s="276">
        <v>43362</v>
      </c>
      <c r="N636" s="276">
        <v>43363</v>
      </c>
      <c r="R636" s="275"/>
    </row>
    <row r="637" spans="1:18">
      <c r="A637" t="s">
        <v>339</v>
      </c>
      <c r="C637" t="s">
        <v>2999</v>
      </c>
      <c r="D637">
        <v>1.7824</v>
      </c>
      <c r="E637">
        <v>9.9177999999999997</v>
      </c>
      <c r="F637">
        <v>0.2228</v>
      </c>
      <c r="G637" s="274">
        <f t="shared" si="84"/>
        <v>10.140599999999999</v>
      </c>
      <c r="H637" s="274">
        <v>9.9242000000000008</v>
      </c>
      <c r="I637" s="274">
        <f>G637-H637</f>
        <v>0.21639999999999837</v>
      </c>
      <c r="J637" s="273">
        <f t="shared" si="85"/>
        <v>6.4000000000016266E-3</v>
      </c>
      <c r="K637" s="275">
        <f t="shared" si="86"/>
        <v>2.8725314183131179</v>
      </c>
      <c r="L637">
        <v>10</v>
      </c>
      <c r="M637" s="276">
        <v>43361</v>
      </c>
      <c r="N637" s="276">
        <v>43362</v>
      </c>
      <c r="O637" s="273" t="s">
        <v>3008</v>
      </c>
      <c r="R637" s="275"/>
    </row>
    <row r="638" spans="1:18">
      <c r="A638" t="s">
        <v>337</v>
      </c>
      <c r="C638" t="s">
        <v>2971</v>
      </c>
      <c r="D638">
        <v>1.5168999999999999</v>
      </c>
      <c r="E638">
        <v>10.510199999999999</v>
      </c>
      <c r="F638">
        <v>0.2107</v>
      </c>
      <c r="G638" s="274">
        <f t="shared" si="84"/>
        <v>10.720899999999999</v>
      </c>
      <c r="H638" s="274">
        <v>10.529299999999999</v>
      </c>
      <c r="I638" s="274">
        <f>G638-H638</f>
        <v>0.19159999999999933</v>
      </c>
      <c r="J638" s="273">
        <f t="shared" si="85"/>
        <v>1.9100000000000672E-2</v>
      </c>
      <c r="K638" s="275">
        <f t="shared" si="86"/>
        <v>9.0650213573804805</v>
      </c>
      <c r="L638">
        <v>9</v>
      </c>
      <c r="M638" s="276">
        <v>43361</v>
      </c>
      <c r="N638" s="276">
        <v>43362</v>
      </c>
      <c r="O638" s="273" t="s">
        <v>3008</v>
      </c>
      <c r="R638" s="275"/>
    </row>
    <row r="639" spans="1:18">
      <c r="A639" t="s">
        <v>336</v>
      </c>
      <c r="B639">
        <v>212</v>
      </c>
      <c r="D639">
        <v>0.6573</v>
      </c>
      <c r="E639">
        <v>9.9193999999999996</v>
      </c>
      <c r="F639">
        <v>0.2041</v>
      </c>
      <c r="G639" s="274">
        <f t="shared" si="84"/>
        <v>10.1235</v>
      </c>
      <c r="H639" s="274">
        <v>9.9436</v>
      </c>
      <c r="I639" s="274">
        <f>G639-H639</f>
        <v>0.17989999999999995</v>
      </c>
      <c r="J639" s="273">
        <f t="shared" si="85"/>
        <v>2.4200000000000055E-2</v>
      </c>
      <c r="K639" s="275">
        <f t="shared" si="86"/>
        <v>11.856932876041183</v>
      </c>
      <c r="L639">
        <v>15</v>
      </c>
      <c r="M639" s="16">
        <v>43395</v>
      </c>
      <c r="N639" s="16">
        <v>43396</v>
      </c>
      <c r="R639" s="275"/>
    </row>
    <row r="640" spans="1:18">
      <c r="A640" t="s">
        <v>335</v>
      </c>
      <c r="C640" t="s">
        <v>3012</v>
      </c>
      <c r="D640">
        <v>1.1969000000000001</v>
      </c>
      <c r="E640">
        <v>9.8870000000000005</v>
      </c>
      <c r="F640">
        <v>0.2019</v>
      </c>
      <c r="G640" s="274">
        <f t="shared" si="84"/>
        <v>10.088900000000001</v>
      </c>
      <c r="H640" s="274">
        <v>10.0314</v>
      </c>
      <c r="I640" s="274">
        <f>G640-H640</f>
        <v>5.7500000000000995E-2</v>
      </c>
      <c r="J640" s="273">
        <f t="shared" si="85"/>
        <v>0.144399999999999</v>
      </c>
      <c r="K640" s="275">
        <f t="shared" si="86"/>
        <v>71.520554730063893</v>
      </c>
      <c r="L640">
        <v>22</v>
      </c>
      <c r="M640" s="276">
        <v>43361</v>
      </c>
      <c r="N640" s="276">
        <v>43362</v>
      </c>
      <c r="O640" s="273" t="s">
        <v>3008</v>
      </c>
      <c r="R640" s="275"/>
    </row>
    <row r="641" spans="1:18">
      <c r="A641" t="s">
        <v>333</v>
      </c>
      <c r="C641" t="s">
        <v>3004</v>
      </c>
      <c r="D641">
        <v>0</v>
      </c>
      <c r="E641">
        <v>0</v>
      </c>
      <c r="F641">
        <v>0</v>
      </c>
      <c r="G641">
        <v>0</v>
      </c>
      <c r="H641">
        <v>0</v>
      </c>
      <c r="I641">
        <v>0</v>
      </c>
      <c r="J641">
        <v>0</v>
      </c>
      <c r="K641">
        <v>0</v>
      </c>
    </row>
    <row r="642" spans="1:18">
      <c r="A642" t="s">
        <v>332</v>
      </c>
      <c r="C642" t="s">
        <v>3041</v>
      </c>
      <c r="D642">
        <v>1.3797999999999999</v>
      </c>
      <c r="E642">
        <v>11.0345</v>
      </c>
      <c r="F642">
        <v>0.20519999999999999</v>
      </c>
      <c r="G642">
        <f>E642+F642</f>
        <v>11.239699999999999</v>
      </c>
      <c r="H642">
        <v>11.053800000000001</v>
      </c>
      <c r="I642" s="274">
        <f>G642-H642</f>
        <v>0.1858999999999984</v>
      </c>
      <c r="J642" s="273">
        <f>F642-I642</f>
        <v>1.9300000000001594E-2</v>
      </c>
      <c r="K642" s="275">
        <f>(J642/F642)*100</f>
        <v>9.4054580896693931</v>
      </c>
      <c r="L642">
        <v>1</v>
      </c>
      <c r="M642" s="16">
        <v>43402</v>
      </c>
      <c r="N642" s="16">
        <v>43403</v>
      </c>
      <c r="R642" s="275"/>
    </row>
    <row r="643" spans="1:18">
      <c r="A643" t="s">
        <v>331</v>
      </c>
      <c r="C643" t="s">
        <v>3035</v>
      </c>
      <c r="D643">
        <v>0</v>
      </c>
      <c r="E643">
        <v>0</v>
      </c>
      <c r="F643">
        <v>0</v>
      </c>
      <c r="G643">
        <v>0</v>
      </c>
      <c r="H643">
        <v>0</v>
      </c>
      <c r="I643">
        <v>0</v>
      </c>
      <c r="J643">
        <v>0</v>
      </c>
      <c r="K643">
        <v>0</v>
      </c>
    </row>
    <row r="644" spans="1:18">
      <c r="A644" t="s">
        <v>329</v>
      </c>
      <c r="C644" t="s">
        <v>2976</v>
      </c>
      <c r="D644">
        <v>1.8092999999999999</v>
      </c>
      <c r="E644">
        <v>9.8216000000000001</v>
      </c>
      <c r="F644">
        <v>0.2099</v>
      </c>
      <c r="G644" s="274">
        <f t="shared" ref="G644:G653" si="87">E644+F644</f>
        <v>10.031499999999999</v>
      </c>
      <c r="H644" s="274">
        <v>9.8270999999999997</v>
      </c>
      <c r="I644" s="274">
        <f>(G644-H644)</f>
        <v>0.20439999999999969</v>
      </c>
      <c r="J644" s="273">
        <f t="shared" ref="J644:J653" si="88">F644-I644</f>
        <v>5.5000000000003102E-3</v>
      </c>
      <c r="K644" s="275">
        <f t="shared" ref="K644:K653" si="89">(J644/F644)*100</f>
        <v>2.6202953787519343</v>
      </c>
      <c r="L644">
        <v>25</v>
      </c>
      <c r="M644" s="276">
        <v>43360</v>
      </c>
      <c r="N644" s="276">
        <v>43361</v>
      </c>
      <c r="O644" s="273" t="s">
        <v>2985</v>
      </c>
      <c r="R644" s="275"/>
    </row>
    <row r="645" spans="1:18">
      <c r="A645" t="s">
        <v>328</v>
      </c>
      <c r="C645" t="s">
        <v>3045</v>
      </c>
      <c r="D645">
        <v>1.7222</v>
      </c>
      <c r="E645">
        <v>9.5569000000000006</v>
      </c>
      <c r="F645">
        <v>0.21920000000000001</v>
      </c>
      <c r="G645" s="274">
        <f t="shared" si="87"/>
        <v>9.7761000000000013</v>
      </c>
      <c r="H645" s="274">
        <v>9.5655000000000001</v>
      </c>
      <c r="I645" s="274">
        <f>G645-H645</f>
        <v>0.21060000000000123</v>
      </c>
      <c r="J645" s="273">
        <f t="shared" si="88"/>
        <v>8.5999999999987753E-3</v>
      </c>
      <c r="K645" s="275">
        <f t="shared" si="89"/>
        <v>3.9233576642330181</v>
      </c>
      <c r="L645">
        <v>19</v>
      </c>
      <c r="M645" s="16">
        <v>43399</v>
      </c>
      <c r="N645" s="16">
        <v>43400</v>
      </c>
      <c r="R645" s="275"/>
    </row>
    <row r="646" spans="1:18">
      <c r="A646" t="s">
        <v>327</v>
      </c>
      <c r="C646" t="s">
        <v>2977</v>
      </c>
      <c r="D646">
        <v>1.7769999999999999</v>
      </c>
      <c r="E646">
        <v>10.1456</v>
      </c>
      <c r="F646">
        <v>0.20050000000000001</v>
      </c>
      <c r="G646" s="274">
        <f t="shared" si="87"/>
        <v>10.3461</v>
      </c>
      <c r="H646" s="274">
        <v>10.1494</v>
      </c>
      <c r="I646" s="274">
        <f>(G646-H646)</f>
        <v>0.19669999999999987</v>
      </c>
      <c r="J646" s="273">
        <f t="shared" si="88"/>
        <v>3.8000000000001366E-3</v>
      </c>
      <c r="K646" s="275">
        <f t="shared" si="89"/>
        <v>1.8952618453866015</v>
      </c>
      <c r="L646">
        <v>24</v>
      </c>
      <c r="M646" s="276">
        <v>43360</v>
      </c>
      <c r="N646" s="276">
        <v>43361</v>
      </c>
      <c r="O646" s="273" t="s">
        <v>2985</v>
      </c>
      <c r="R646" s="275"/>
    </row>
    <row r="647" spans="1:18">
      <c r="A647" t="s">
        <v>326</v>
      </c>
      <c r="C647" t="s">
        <v>2712</v>
      </c>
      <c r="D647">
        <v>1.8137000000000001</v>
      </c>
      <c r="E647">
        <v>8.3558000000000003</v>
      </c>
      <c r="F647">
        <v>0.2049</v>
      </c>
      <c r="G647">
        <f t="shared" si="87"/>
        <v>8.5607000000000006</v>
      </c>
      <c r="H647">
        <v>8.5378000000000007</v>
      </c>
      <c r="I647" s="274">
        <f>G647-H647</f>
        <v>2.289999999999992E-2</v>
      </c>
      <c r="J647" s="273">
        <f t="shared" si="88"/>
        <v>0.18200000000000008</v>
      </c>
      <c r="K647" s="275">
        <f t="shared" si="89"/>
        <v>88.823816495851673</v>
      </c>
      <c r="L647">
        <v>6</v>
      </c>
      <c r="M647" s="16">
        <v>43402</v>
      </c>
      <c r="N647" s="16">
        <v>43403</v>
      </c>
      <c r="R647" s="275"/>
    </row>
    <row r="648" spans="1:18">
      <c r="A648" t="s">
        <v>325</v>
      </c>
      <c r="C648" t="s">
        <v>2709</v>
      </c>
      <c r="D648">
        <v>2.0939999999999999</v>
      </c>
      <c r="E648">
        <v>9.1386000000000003</v>
      </c>
      <c r="F648">
        <v>0.2465</v>
      </c>
      <c r="G648">
        <f t="shared" si="87"/>
        <v>9.3850999999999996</v>
      </c>
      <c r="H648">
        <v>9.3635000000000002</v>
      </c>
      <c r="I648" s="274">
        <f>G648-H648</f>
        <v>2.1599999999999397E-2</v>
      </c>
      <c r="J648" s="273">
        <f t="shared" si="88"/>
        <v>0.2249000000000006</v>
      </c>
      <c r="K648" s="275">
        <f t="shared" si="89"/>
        <v>91.237322515213222</v>
      </c>
      <c r="L648">
        <v>26</v>
      </c>
      <c r="M648" s="16">
        <v>43399</v>
      </c>
      <c r="N648" s="16">
        <v>43400</v>
      </c>
      <c r="R648" s="275"/>
    </row>
    <row r="649" spans="1:18">
      <c r="A649" t="s">
        <v>324</v>
      </c>
      <c r="C649" t="s">
        <v>2970</v>
      </c>
      <c r="D649">
        <v>1.833</v>
      </c>
      <c r="E649">
        <v>10.5105</v>
      </c>
      <c r="F649">
        <v>0.2198</v>
      </c>
      <c r="G649" s="274">
        <f t="shared" si="87"/>
        <v>10.7303</v>
      </c>
      <c r="H649" s="274">
        <v>10.5167</v>
      </c>
      <c r="I649" s="274">
        <f>G649-H649</f>
        <v>0.21359999999999957</v>
      </c>
      <c r="J649" s="273">
        <f t="shared" si="88"/>
        <v>6.2000000000004274E-3</v>
      </c>
      <c r="K649" s="275">
        <f t="shared" si="89"/>
        <v>2.8207461328482384</v>
      </c>
      <c r="L649">
        <v>41</v>
      </c>
      <c r="M649" s="16">
        <v>43381</v>
      </c>
      <c r="N649" s="16">
        <v>43382</v>
      </c>
      <c r="R649" s="275"/>
    </row>
    <row r="650" spans="1:18">
      <c r="A650" t="s">
        <v>323</v>
      </c>
      <c r="C650" t="s">
        <v>2968</v>
      </c>
      <c r="D650">
        <v>1.7952999999999999</v>
      </c>
      <c r="E650">
        <v>11.745900000000001</v>
      </c>
      <c r="F650">
        <v>0.22670000000000001</v>
      </c>
      <c r="G650" s="274">
        <f t="shared" si="87"/>
        <v>11.9726</v>
      </c>
      <c r="H650" s="274">
        <v>11.753500000000001</v>
      </c>
      <c r="I650" s="274">
        <f>(G650-H650)</f>
        <v>0.21909999999999918</v>
      </c>
      <c r="J650" s="273">
        <f t="shared" si="88"/>
        <v>7.6000000000008283E-3</v>
      </c>
      <c r="K650" s="275">
        <f t="shared" si="89"/>
        <v>3.3524481693872197</v>
      </c>
      <c r="L650">
        <v>38</v>
      </c>
      <c r="M650" s="276">
        <v>43360</v>
      </c>
      <c r="N650" s="276">
        <v>43361</v>
      </c>
      <c r="R650" s="275"/>
    </row>
    <row r="651" spans="1:18">
      <c r="A651" t="s">
        <v>321</v>
      </c>
      <c r="C651" t="s">
        <v>2951</v>
      </c>
      <c r="D651">
        <v>1.7662</v>
      </c>
      <c r="E651">
        <v>9.3425999999999991</v>
      </c>
      <c r="F651">
        <v>0.20630000000000001</v>
      </c>
      <c r="G651" s="274">
        <f t="shared" si="87"/>
        <v>9.5488999999999997</v>
      </c>
      <c r="H651" s="274">
        <v>9.3483999999999998</v>
      </c>
      <c r="I651" s="274">
        <f>(G651-H651)</f>
        <v>0.2004999999999999</v>
      </c>
      <c r="J651" s="273">
        <f t="shared" si="88"/>
        <v>5.8000000000001106E-3</v>
      </c>
      <c r="K651" s="275">
        <f t="shared" si="89"/>
        <v>2.8114396509937518</v>
      </c>
      <c r="L651">
        <v>38</v>
      </c>
      <c r="M651" s="16">
        <v>43358</v>
      </c>
      <c r="N651" s="16">
        <v>43358</v>
      </c>
      <c r="R651" s="275"/>
    </row>
    <row r="652" spans="1:18">
      <c r="A652" t="s">
        <v>320</v>
      </c>
      <c r="C652" t="s">
        <v>3007</v>
      </c>
      <c r="D652">
        <v>2.5222000000000002</v>
      </c>
      <c r="E652">
        <v>20.8978</v>
      </c>
      <c r="F652">
        <v>0.21820000000000001</v>
      </c>
      <c r="G652" s="274">
        <f t="shared" si="87"/>
        <v>21.116</v>
      </c>
      <c r="H652" s="274">
        <v>21.087499999999999</v>
      </c>
      <c r="I652" s="274">
        <f>G652-H652</f>
        <v>2.850000000000108E-2</v>
      </c>
      <c r="J652" s="273">
        <f t="shared" si="88"/>
        <v>0.18969999999999893</v>
      </c>
      <c r="K652" s="275">
        <f t="shared" si="89"/>
        <v>86.93858845096193</v>
      </c>
      <c r="L652">
        <v>37</v>
      </c>
      <c r="M652" s="276">
        <v>43361</v>
      </c>
      <c r="N652" s="276">
        <v>43362</v>
      </c>
      <c r="O652" s="273" t="s">
        <v>3008</v>
      </c>
      <c r="R652" s="275"/>
    </row>
    <row r="653" spans="1:18">
      <c r="A653" t="s">
        <v>319</v>
      </c>
      <c r="C653" t="s">
        <v>2991</v>
      </c>
      <c r="D653">
        <v>1.1264000000000001</v>
      </c>
      <c r="E653">
        <v>8.0643999999999991</v>
      </c>
      <c r="F653">
        <v>0.20050000000000001</v>
      </c>
      <c r="G653" s="274">
        <f t="shared" si="87"/>
        <v>8.264899999999999</v>
      </c>
      <c r="H653" s="274">
        <v>8.0708000000000002</v>
      </c>
      <c r="I653" s="274">
        <f>G653-H653</f>
        <v>0.19409999999999883</v>
      </c>
      <c r="J653" s="273">
        <f t="shared" si="88"/>
        <v>6.4000000000011825E-3</v>
      </c>
      <c r="K653" s="275">
        <f t="shared" si="89"/>
        <v>3.1920199501252777</v>
      </c>
      <c r="L653">
        <v>7</v>
      </c>
      <c r="M653" s="276">
        <v>43361</v>
      </c>
      <c r="N653" s="276">
        <v>43362</v>
      </c>
      <c r="O653" s="273" t="s">
        <v>3008</v>
      </c>
      <c r="R653" s="275"/>
    </row>
    <row r="654" spans="1:18">
      <c r="A654" t="s">
        <v>318</v>
      </c>
      <c r="C654" t="s">
        <v>2701</v>
      </c>
      <c r="D654">
        <v>0</v>
      </c>
      <c r="E654">
        <v>0</v>
      </c>
      <c r="F654">
        <v>0</v>
      </c>
      <c r="G654">
        <v>0</v>
      </c>
      <c r="H654">
        <v>0</v>
      </c>
      <c r="I654">
        <v>0</v>
      </c>
      <c r="J654">
        <v>0</v>
      </c>
      <c r="K654">
        <v>0</v>
      </c>
    </row>
    <row r="655" spans="1:18">
      <c r="A655" t="s">
        <v>316</v>
      </c>
      <c r="C655" t="s">
        <v>2780</v>
      </c>
      <c r="D655">
        <v>2.2692000000000001</v>
      </c>
      <c r="E655">
        <v>11.9041</v>
      </c>
      <c r="F655">
        <v>0.21560000000000001</v>
      </c>
      <c r="G655" s="274">
        <f t="shared" ref="G655:G671" si="90">E655+F655</f>
        <v>12.1197</v>
      </c>
      <c r="H655" s="274">
        <v>12.098699999999999</v>
      </c>
      <c r="I655" s="274">
        <f>G655-H655</f>
        <v>2.1000000000000796E-2</v>
      </c>
      <c r="J655" s="273">
        <f t="shared" ref="J655:J671" si="91">F655-I655</f>
        <v>0.19459999999999922</v>
      </c>
      <c r="K655" s="275">
        <f t="shared" ref="K655:K671" si="92">(J655/F655)*100</f>
        <v>90.2597402597399</v>
      </c>
      <c r="L655">
        <v>29</v>
      </c>
      <c r="M655" s="276">
        <v>43363</v>
      </c>
      <c r="N655" s="276">
        <v>43364</v>
      </c>
      <c r="O655" s="273" t="s">
        <v>3033</v>
      </c>
      <c r="R655" s="275"/>
    </row>
    <row r="656" spans="1:18">
      <c r="A656" t="s">
        <v>315</v>
      </c>
      <c r="C656" t="s">
        <v>2963</v>
      </c>
      <c r="D656">
        <v>1.4730000000000001</v>
      </c>
      <c r="E656">
        <v>7.8400999999999996</v>
      </c>
      <c r="F656">
        <v>0.22159999999999999</v>
      </c>
      <c r="G656" s="274">
        <f t="shared" si="90"/>
        <v>8.0617000000000001</v>
      </c>
      <c r="H656" s="274">
        <v>8.0248000000000008</v>
      </c>
      <c r="I656" s="274">
        <f>(G656-H656)</f>
        <v>3.6899999999999267E-2</v>
      </c>
      <c r="J656" s="273">
        <f t="shared" si="91"/>
        <v>0.18470000000000072</v>
      </c>
      <c r="K656" s="275">
        <f t="shared" si="92"/>
        <v>83.348375451263863</v>
      </c>
      <c r="L656">
        <v>8</v>
      </c>
      <c r="M656" s="276">
        <v>43360</v>
      </c>
      <c r="N656" s="276">
        <v>43361</v>
      </c>
      <c r="O656" s="273"/>
      <c r="R656" s="275"/>
    </row>
    <row r="657" spans="1:18">
      <c r="A657" t="s">
        <v>314</v>
      </c>
      <c r="C657" t="s">
        <v>2975</v>
      </c>
      <c r="D657">
        <v>1.7524999999999999</v>
      </c>
      <c r="E657">
        <v>11.443899999999999</v>
      </c>
      <c r="F657">
        <v>0.23069999999999999</v>
      </c>
      <c r="G657" s="274">
        <f t="shared" si="90"/>
        <v>11.6746</v>
      </c>
      <c r="H657" s="274">
        <v>11.4503</v>
      </c>
      <c r="I657" s="274">
        <f>(G657-H657)</f>
        <v>0.2242999999999995</v>
      </c>
      <c r="J657" s="273">
        <f t="shared" si="91"/>
        <v>6.4000000000004886E-3</v>
      </c>
      <c r="K657" s="275">
        <f t="shared" si="92"/>
        <v>2.7741655830084477</v>
      </c>
      <c r="L657">
        <v>23</v>
      </c>
      <c r="M657" s="276">
        <v>43360</v>
      </c>
      <c r="N657" s="276">
        <v>43361</v>
      </c>
      <c r="R657" s="275"/>
    </row>
    <row r="658" spans="1:18">
      <c r="A658" t="s">
        <v>313</v>
      </c>
      <c r="C658" t="s">
        <v>3028</v>
      </c>
      <c r="D658">
        <v>1.7721</v>
      </c>
      <c r="E658">
        <v>10.698700000000001</v>
      </c>
      <c r="F658">
        <v>0.2084</v>
      </c>
      <c r="G658" s="274">
        <f t="shared" si="90"/>
        <v>10.9071</v>
      </c>
      <c r="H658" s="274">
        <v>10.705399999999999</v>
      </c>
      <c r="I658" s="274">
        <f>G658-H658</f>
        <v>0.20170000000000066</v>
      </c>
      <c r="J658" s="273">
        <f t="shared" si="91"/>
        <v>6.6999999999993454E-3</v>
      </c>
      <c r="K658" s="275">
        <f t="shared" si="92"/>
        <v>3.214971209212738</v>
      </c>
      <c r="L658">
        <v>9</v>
      </c>
      <c r="M658" s="16">
        <v>43381</v>
      </c>
      <c r="N658" s="16">
        <v>43382</v>
      </c>
      <c r="R658" s="275"/>
    </row>
    <row r="659" spans="1:18">
      <c r="A659" t="s">
        <v>311</v>
      </c>
      <c r="C659" t="s">
        <v>2994</v>
      </c>
      <c r="D659">
        <v>1.6318999999999999</v>
      </c>
      <c r="E659">
        <v>11.8645</v>
      </c>
      <c r="F659">
        <v>0.20219999999999999</v>
      </c>
      <c r="G659" s="274">
        <f t="shared" si="90"/>
        <v>12.066699999999999</v>
      </c>
      <c r="H659" s="274">
        <v>11.868600000000001</v>
      </c>
      <c r="I659" s="274">
        <f>(G659-H659)</f>
        <v>0.19809999999999839</v>
      </c>
      <c r="J659" s="273">
        <f t="shared" si="91"/>
        <v>4.1000000000016024E-3</v>
      </c>
      <c r="K659" s="275">
        <f t="shared" si="92"/>
        <v>2.0276953511382803</v>
      </c>
      <c r="L659">
        <v>16</v>
      </c>
      <c r="M659" s="276">
        <v>43360</v>
      </c>
      <c r="N659" s="276">
        <v>43361</v>
      </c>
      <c r="O659" s="273" t="s">
        <v>2985</v>
      </c>
      <c r="R659" s="275"/>
    </row>
    <row r="660" spans="1:18">
      <c r="A660" t="s">
        <v>310</v>
      </c>
      <c r="C660" t="s">
        <v>2995</v>
      </c>
      <c r="D660">
        <v>0.75860000000000005</v>
      </c>
      <c r="E660">
        <v>8.9598999999999993</v>
      </c>
      <c r="F660">
        <v>0.2281</v>
      </c>
      <c r="G660" s="274">
        <f t="shared" si="90"/>
        <v>9.1879999999999988</v>
      </c>
      <c r="H660" s="274">
        <v>9.1618999999999993</v>
      </c>
      <c r="I660" s="274">
        <f>G660-H660</f>
        <v>2.6099999999999568E-2</v>
      </c>
      <c r="J660" s="273">
        <f t="shared" si="91"/>
        <v>0.20200000000000043</v>
      </c>
      <c r="K660" s="275">
        <f t="shared" si="92"/>
        <v>88.557650153441656</v>
      </c>
      <c r="L660">
        <v>38</v>
      </c>
      <c r="M660" s="16">
        <v>43381</v>
      </c>
      <c r="N660" s="16">
        <v>43382</v>
      </c>
      <c r="R660" s="275"/>
    </row>
    <row r="661" spans="1:18">
      <c r="A661" t="s">
        <v>309</v>
      </c>
      <c r="C661" t="s">
        <v>3003</v>
      </c>
      <c r="D661">
        <v>1.8205</v>
      </c>
      <c r="E661">
        <v>9.1992999999999991</v>
      </c>
      <c r="F661">
        <v>0.2336</v>
      </c>
      <c r="G661" s="278">
        <f t="shared" si="90"/>
        <v>9.4328999999999983</v>
      </c>
      <c r="H661" s="274">
        <v>9.2043999999999997</v>
      </c>
      <c r="I661" s="278">
        <f>G661-H661</f>
        <v>0.22849999999999859</v>
      </c>
      <c r="J661" s="273">
        <f t="shared" si="91"/>
        <v>5.100000000001409E-3</v>
      </c>
      <c r="K661" s="275">
        <f t="shared" si="92"/>
        <v>2.183219178082795</v>
      </c>
      <c r="L661">
        <v>19</v>
      </c>
      <c r="M661" s="276">
        <v>43379</v>
      </c>
      <c r="N661" s="276">
        <v>43379</v>
      </c>
      <c r="R661" s="275"/>
    </row>
    <row r="662" spans="1:18">
      <c r="A662" t="s">
        <v>308</v>
      </c>
      <c r="C662" t="s">
        <v>2964</v>
      </c>
      <c r="D662">
        <v>1.7716000000000001</v>
      </c>
      <c r="E662">
        <v>11.120900000000001</v>
      </c>
      <c r="F662">
        <v>0.20280000000000001</v>
      </c>
      <c r="G662" s="274">
        <f t="shared" si="90"/>
        <v>11.323700000000001</v>
      </c>
      <c r="H662" s="274">
        <v>11.1302</v>
      </c>
      <c r="I662" s="274">
        <f>(G662-H662)</f>
        <v>0.19350000000000023</v>
      </c>
      <c r="J662" s="273">
        <f t="shared" si="91"/>
        <v>9.2999999999997807E-3</v>
      </c>
      <c r="K662" s="275">
        <f t="shared" si="92"/>
        <v>4.5857988165679391</v>
      </c>
      <c r="L662">
        <v>14</v>
      </c>
      <c r="M662" s="276">
        <v>43360</v>
      </c>
      <c r="N662" s="276">
        <v>43361</v>
      </c>
      <c r="O662" s="273"/>
      <c r="R662" s="275"/>
    </row>
    <row r="663" spans="1:18">
      <c r="A663" t="s">
        <v>307</v>
      </c>
      <c r="C663" t="s">
        <v>2770</v>
      </c>
      <c r="D663">
        <v>1.5866</v>
      </c>
      <c r="E663">
        <v>11.747299999999999</v>
      </c>
      <c r="F663">
        <v>0.21390000000000001</v>
      </c>
      <c r="G663" s="274">
        <f t="shared" si="90"/>
        <v>11.9612</v>
      </c>
      <c r="H663" s="274">
        <v>11.754099999999999</v>
      </c>
      <c r="I663" s="274">
        <f t="shared" ref="I663:I670" si="93">G663-H663</f>
        <v>0.20710000000000051</v>
      </c>
      <c r="J663" s="273">
        <f t="shared" si="91"/>
        <v>6.7999999999995009E-3</v>
      </c>
      <c r="K663" s="275">
        <f t="shared" si="92"/>
        <v>3.1790556334733524</v>
      </c>
      <c r="L663">
        <v>28</v>
      </c>
      <c r="M663" s="276">
        <v>43363</v>
      </c>
      <c r="N663" s="276">
        <v>43364</v>
      </c>
      <c r="R663" s="275"/>
    </row>
    <row r="664" spans="1:18">
      <c r="A664" t="s">
        <v>306</v>
      </c>
      <c r="C664" t="s">
        <v>3010</v>
      </c>
      <c r="D664">
        <v>1.871</v>
      </c>
      <c r="E664">
        <v>7.8597999999999999</v>
      </c>
      <c r="F664">
        <v>0.2097</v>
      </c>
      <c r="G664" s="274">
        <f t="shared" si="90"/>
        <v>8.0694999999999997</v>
      </c>
      <c r="H664" s="274">
        <v>7.8661000000000003</v>
      </c>
      <c r="I664" s="274">
        <f t="shared" si="93"/>
        <v>0.20339999999999936</v>
      </c>
      <c r="J664" s="273">
        <f t="shared" si="91"/>
        <v>6.3000000000006384E-3</v>
      </c>
      <c r="K664" s="275">
        <f t="shared" si="92"/>
        <v>3.0042918454938667</v>
      </c>
      <c r="L664">
        <v>13</v>
      </c>
      <c r="M664" s="276">
        <v>43361</v>
      </c>
      <c r="N664" s="276">
        <v>43362</v>
      </c>
      <c r="O664" s="273" t="s">
        <v>3008</v>
      </c>
      <c r="R664" s="275"/>
    </row>
    <row r="665" spans="1:18">
      <c r="A665" t="s">
        <v>304</v>
      </c>
      <c r="C665" t="s">
        <v>3052</v>
      </c>
      <c r="D665">
        <v>1.5912999999999999</v>
      </c>
      <c r="E665">
        <v>10.2033</v>
      </c>
      <c r="F665">
        <v>0.20910000000000001</v>
      </c>
      <c r="G665" s="274">
        <f t="shared" si="90"/>
        <v>10.4124</v>
      </c>
      <c r="H665" s="274">
        <v>10.2118</v>
      </c>
      <c r="I665" s="274">
        <f t="shared" si="93"/>
        <v>0.20059999999999967</v>
      </c>
      <c r="J665" s="273">
        <f t="shared" si="91"/>
        <v>8.5000000000003406E-3</v>
      </c>
      <c r="K665" s="275">
        <f t="shared" si="92"/>
        <v>4.065040650406667</v>
      </c>
      <c r="L665">
        <v>4</v>
      </c>
      <c r="M665" s="16">
        <v>43388</v>
      </c>
      <c r="N665" s="276">
        <v>43389</v>
      </c>
      <c r="O665" s="276"/>
      <c r="P665" s="273"/>
      <c r="R665" s="275"/>
    </row>
    <row r="666" spans="1:18">
      <c r="A666" t="s">
        <v>303</v>
      </c>
      <c r="C666" t="s">
        <v>2783</v>
      </c>
      <c r="D666">
        <v>0.375</v>
      </c>
      <c r="E666">
        <v>9.5196000000000005</v>
      </c>
      <c r="F666">
        <v>0.2044</v>
      </c>
      <c r="G666" s="274">
        <f t="shared" si="90"/>
        <v>9.7240000000000002</v>
      </c>
      <c r="H666" s="274">
        <v>9.6991999999999994</v>
      </c>
      <c r="I666" s="274">
        <f t="shared" si="93"/>
        <v>2.4800000000000821E-2</v>
      </c>
      <c r="J666" s="273">
        <f t="shared" si="91"/>
        <v>0.17959999999999918</v>
      </c>
      <c r="K666" s="275">
        <f t="shared" si="92"/>
        <v>87.866927592954596</v>
      </c>
      <c r="L666">
        <v>6</v>
      </c>
      <c r="M666" s="276">
        <v>43363</v>
      </c>
      <c r="N666" s="276">
        <v>43364</v>
      </c>
      <c r="O666" s="273"/>
      <c r="R666" s="275"/>
    </row>
    <row r="667" spans="1:18">
      <c r="A667" t="s">
        <v>302</v>
      </c>
      <c r="C667" t="s">
        <v>2767</v>
      </c>
      <c r="D667">
        <v>1.5733999999999999</v>
      </c>
      <c r="E667">
        <v>11.155900000000001</v>
      </c>
      <c r="F667">
        <v>0.22070000000000001</v>
      </c>
      <c r="G667" s="274">
        <f t="shared" si="90"/>
        <v>11.376600000000002</v>
      </c>
      <c r="H667" s="274">
        <v>11.1638</v>
      </c>
      <c r="I667" s="274">
        <f t="shared" si="93"/>
        <v>0.21280000000000143</v>
      </c>
      <c r="J667" s="273">
        <f t="shared" si="91"/>
        <v>7.8999999999985748E-3</v>
      </c>
      <c r="K667" s="275">
        <f t="shared" si="92"/>
        <v>3.5795197100129474</v>
      </c>
      <c r="L667">
        <v>27</v>
      </c>
      <c r="M667" s="276">
        <v>43363</v>
      </c>
      <c r="N667" s="276">
        <v>43364</v>
      </c>
      <c r="O667" s="273" t="s">
        <v>3033</v>
      </c>
      <c r="R667" s="275"/>
    </row>
    <row r="668" spans="1:18">
      <c r="A668" t="s">
        <v>301</v>
      </c>
      <c r="C668" t="s">
        <v>3029</v>
      </c>
      <c r="D668">
        <v>0.86339999999999995</v>
      </c>
      <c r="E668">
        <v>8.8617000000000008</v>
      </c>
      <c r="F668">
        <v>0.21929999999999999</v>
      </c>
      <c r="G668" s="274">
        <f t="shared" si="90"/>
        <v>9.0810000000000013</v>
      </c>
      <c r="H668" s="274">
        <v>9.0742999999999991</v>
      </c>
      <c r="I668" s="274">
        <f t="shared" si="93"/>
        <v>6.7000000000021487E-3</v>
      </c>
      <c r="J668" s="273">
        <f t="shared" si="91"/>
        <v>0.21259999999999785</v>
      </c>
      <c r="K668" s="275">
        <f t="shared" si="92"/>
        <v>96.944824441403483</v>
      </c>
      <c r="L668">
        <v>7</v>
      </c>
      <c r="M668" s="16">
        <v>43388</v>
      </c>
      <c r="N668" s="276">
        <v>43389</v>
      </c>
      <c r="O668" s="276"/>
      <c r="P668" s="273"/>
      <c r="R668" s="275"/>
    </row>
    <row r="669" spans="1:18">
      <c r="A669" t="s">
        <v>300</v>
      </c>
      <c r="C669" t="s">
        <v>3006</v>
      </c>
      <c r="D669" s="273">
        <v>1.8141</v>
      </c>
      <c r="E669" s="274">
        <v>10.109500000000001</v>
      </c>
      <c r="F669" s="274">
        <v>0.2167</v>
      </c>
      <c r="G669" s="274">
        <f t="shared" si="90"/>
        <v>10.3262</v>
      </c>
      <c r="H669" s="274">
        <v>10.115399999999999</v>
      </c>
      <c r="I669" s="274">
        <f t="shared" si="93"/>
        <v>0.21080000000000076</v>
      </c>
      <c r="J669" s="273">
        <f t="shared" si="91"/>
        <v>5.8999999999992392E-3</v>
      </c>
      <c r="K669" s="275">
        <f t="shared" si="92"/>
        <v>2.7226580526069402</v>
      </c>
      <c r="L669" s="273">
        <v>1</v>
      </c>
      <c r="M669" s="16">
        <v>43381</v>
      </c>
      <c r="N669" s="16">
        <v>43382</v>
      </c>
      <c r="R669" s="275"/>
    </row>
    <row r="670" spans="1:18">
      <c r="A670" t="s">
        <v>1057</v>
      </c>
      <c r="C670" t="s">
        <v>2782</v>
      </c>
      <c r="D670">
        <v>1.6523000000000001</v>
      </c>
      <c r="E670">
        <v>8.7696000000000005</v>
      </c>
      <c r="F670">
        <v>0.2402</v>
      </c>
      <c r="G670" s="274">
        <f t="shared" si="90"/>
        <v>9.0098000000000003</v>
      </c>
      <c r="H670" s="274">
        <v>8.7871000000000006</v>
      </c>
      <c r="I670" s="274">
        <f t="shared" si="93"/>
        <v>0.22269999999999968</v>
      </c>
      <c r="J670" s="273">
        <f t="shared" si="91"/>
        <v>1.7500000000000321E-2</v>
      </c>
      <c r="K670" s="275">
        <f t="shared" si="92"/>
        <v>7.2855953372191182</v>
      </c>
      <c r="L670">
        <v>3</v>
      </c>
      <c r="M670" s="276">
        <v>43363</v>
      </c>
      <c r="N670" s="276">
        <v>43364</v>
      </c>
      <c r="O670" s="273"/>
      <c r="R670" s="275"/>
    </row>
    <row r="671" spans="1:18">
      <c r="A671" t="s">
        <v>299</v>
      </c>
      <c r="C671" t="s">
        <v>2941</v>
      </c>
      <c r="D671">
        <v>1.8818999999999999</v>
      </c>
      <c r="E671">
        <v>10.6968</v>
      </c>
      <c r="F671">
        <v>0.2092</v>
      </c>
      <c r="G671" s="274">
        <f t="shared" si="90"/>
        <v>10.905999999999999</v>
      </c>
      <c r="H671" s="274">
        <v>10.7036</v>
      </c>
      <c r="I671" s="274">
        <f>(G671-H671)</f>
        <v>0.20239999999999903</v>
      </c>
      <c r="J671" s="273">
        <f t="shared" si="91"/>
        <v>6.8000000000009719E-3</v>
      </c>
      <c r="K671" s="275">
        <f t="shared" si="92"/>
        <v>3.2504780114727398</v>
      </c>
      <c r="L671">
        <v>8</v>
      </c>
      <c r="M671" s="16">
        <v>43358</v>
      </c>
      <c r="N671" s="16">
        <v>43358</v>
      </c>
      <c r="R671" s="275"/>
    </row>
  </sheetData>
  <sortState ref="A2:AD671">
    <sortCondition ref="A2"/>
  </sortState>
  <pageMargins left="0.7" right="0.7" top="0.75" bottom="0.75" header="0.3" footer="0.3"/>
  <legacyDrawing r:id="rId1"/>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A58591D-DF60-40BD-9286-84D46089340B}">
  <dimension ref="A1:X222"/>
  <sheetViews>
    <sheetView zoomScale="85" zoomScaleNormal="85" workbookViewId="0">
      <pane xSplit="1" ySplit="2" topLeftCell="J207" activePane="bottomRight" state="frozen"/>
      <selection pane="topRight" activeCell="B1" sqref="B1"/>
      <selection pane="bottomLeft" activeCell="A3" sqref="A3"/>
      <selection pane="bottomRight" activeCell="U222" sqref="U222"/>
    </sheetView>
  </sheetViews>
  <sheetFormatPr baseColWidth="10" defaultColWidth="11.44140625" defaultRowHeight="14.4"/>
  <cols>
    <col min="1" max="1" width="4.5546875" style="245" customWidth="1"/>
    <col min="16" max="16" width="25.88671875" customWidth="1"/>
    <col min="23" max="23" width="24" customWidth="1"/>
  </cols>
  <sheetData>
    <row r="1" spans="1:23">
      <c r="A1" s="432" t="s">
        <v>2149</v>
      </c>
      <c r="B1" s="436"/>
      <c r="C1" s="436"/>
      <c r="D1" s="433"/>
      <c r="E1" s="432" t="s">
        <v>2150</v>
      </c>
      <c r="F1" s="433"/>
      <c r="G1" s="432" t="s">
        <v>2151</v>
      </c>
      <c r="H1" s="433"/>
      <c r="I1" s="117" t="s">
        <v>2152</v>
      </c>
      <c r="J1" s="432" t="s">
        <v>2153</v>
      </c>
      <c r="K1" s="436"/>
      <c r="L1" s="436"/>
      <c r="M1" s="433"/>
      <c r="N1" s="432" t="s">
        <v>2453</v>
      </c>
      <c r="O1" s="433"/>
      <c r="P1" s="434" t="s">
        <v>2513</v>
      </c>
      <c r="Q1" s="432" t="s">
        <v>2452</v>
      </c>
      <c r="R1" s="433"/>
      <c r="S1" s="437" t="s">
        <v>2806</v>
      </c>
      <c r="T1" s="438"/>
      <c r="U1" s="438"/>
      <c r="V1" s="439"/>
      <c r="W1" s="434" t="s">
        <v>2514</v>
      </c>
    </row>
    <row r="2" spans="1:23">
      <c r="A2" s="118" t="s">
        <v>2159</v>
      </c>
      <c r="B2" s="119" t="s">
        <v>2160</v>
      </c>
      <c r="C2" s="119" t="s">
        <v>2161</v>
      </c>
      <c r="D2" s="119" t="s">
        <v>2162</v>
      </c>
      <c r="E2" s="117" t="s">
        <v>1141</v>
      </c>
      <c r="F2" s="117" t="s">
        <v>2163</v>
      </c>
      <c r="G2" s="117" t="s">
        <v>1141</v>
      </c>
      <c r="H2" s="117" t="s">
        <v>2163</v>
      </c>
      <c r="I2" s="117" t="s">
        <v>2164</v>
      </c>
      <c r="J2" s="117" t="s">
        <v>1147</v>
      </c>
      <c r="K2" s="117" t="s">
        <v>298</v>
      </c>
      <c r="L2" s="117" t="s">
        <v>2165</v>
      </c>
      <c r="M2" s="117" t="s">
        <v>2166</v>
      </c>
      <c r="N2" s="118" t="s">
        <v>2167</v>
      </c>
      <c r="O2" s="118" t="s">
        <v>2168</v>
      </c>
      <c r="P2" s="435"/>
      <c r="Q2" s="118" t="s">
        <v>2167</v>
      </c>
      <c r="R2" s="118" t="s">
        <v>2168</v>
      </c>
      <c r="S2" s="243" t="s">
        <v>1147</v>
      </c>
      <c r="T2" s="243" t="s">
        <v>298</v>
      </c>
      <c r="U2" s="243" t="s">
        <v>2169</v>
      </c>
      <c r="V2" s="243" t="s">
        <v>2166</v>
      </c>
      <c r="W2" s="435"/>
    </row>
    <row r="3" spans="1:23">
      <c r="A3" s="407">
        <v>1</v>
      </c>
      <c r="B3" s="184" t="s">
        <v>2171</v>
      </c>
      <c r="C3" s="184" t="s">
        <v>2172</v>
      </c>
      <c r="D3" s="122" t="s">
        <v>2173</v>
      </c>
      <c r="E3" s="124">
        <v>42938</v>
      </c>
      <c r="F3" s="125"/>
      <c r="G3" s="124">
        <v>43007</v>
      </c>
      <c r="H3" s="125">
        <v>0.35694444444444445</v>
      </c>
      <c r="I3" s="121">
        <v>1250</v>
      </c>
      <c r="J3" s="123">
        <v>407</v>
      </c>
      <c r="K3" s="123">
        <v>811</v>
      </c>
      <c r="L3" s="123">
        <v>377</v>
      </c>
      <c r="M3" s="123">
        <v>204</v>
      </c>
      <c r="N3" s="123">
        <v>26.4</v>
      </c>
      <c r="O3" s="123">
        <v>4</v>
      </c>
      <c r="P3" s="123" t="s">
        <v>2498</v>
      </c>
      <c r="Q3" s="242">
        <v>27.4</v>
      </c>
      <c r="R3" s="127">
        <v>3.6</v>
      </c>
      <c r="S3" s="127" t="s">
        <v>2174</v>
      </c>
      <c r="T3" s="127" t="s">
        <v>2174</v>
      </c>
      <c r="U3" s="127" t="s">
        <v>2182</v>
      </c>
      <c r="V3" s="127"/>
      <c r="W3" s="123"/>
    </row>
    <row r="4" spans="1:23">
      <c r="A4" s="407">
        <v>2</v>
      </c>
      <c r="B4" s="184" t="s">
        <v>2171</v>
      </c>
      <c r="C4" s="184" t="s">
        <v>2178</v>
      </c>
      <c r="D4" s="122" t="s">
        <v>2173</v>
      </c>
      <c r="E4" s="124"/>
      <c r="F4" s="123"/>
      <c r="G4" s="125"/>
      <c r="H4" s="125"/>
      <c r="I4" s="123">
        <v>855</v>
      </c>
      <c r="J4" s="123"/>
      <c r="K4" s="123"/>
      <c r="L4" s="123"/>
      <c r="M4" s="123"/>
      <c r="N4" s="123"/>
      <c r="O4" s="123"/>
      <c r="P4" s="123"/>
      <c r="Q4" s="123"/>
      <c r="R4" s="123"/>
      <c r="S4" s="123"/>
      <c r="T4" s="123"/>
      <c r="U4" s="123"/>
      <c r="V4" s="123"/>
      <c r="W4" s="123"/>
    </row>
    <row r="5" spans="1:23">
      <c r="A5" s="407">
        <v>3</v>
      </c>
      <c r="B5" s="184" t="s">
        <v>2171</v>
      </c>
      <c r="C5" s="184" t="s">
        <v>2179</v>
      </c>
      <c r="D5" s="122" t="s">
        <v>2173</v>
      </c>
      <c r="E5" s="124">
        <v>42938</v>
      </c>
      <c r="F5" s="125">
        <v>0.3125</v>
      </c>
      <c r="G5" s="124">
        <v>43007</v>
      </c>
      <c r="H5" s="125" t="s">
        <v>2814</v>
      </c>
      <c r="I5" s="132">
        <v>1249</v>
      </c>
      <c r="J5" s="123">
        <v>259</v>
      </c>
      <c r="K5" s="123">
        <v>742</v>
      </c>
      <c r="L5" s="123">
        <v>44</v>
      </c>
      <c r="M5" s="123">
        <v>283</v>
      </c>
      <c r="N5" s="127">
        <v>23.9</v>
      </c>
      <c r="O5" s="123">
        <v>2.9</v>
      </c>
      <c r="P5" s="123" t="s">
        <v>2498</v>
      </c>
      <c r="Q5" s="123">
        <v>26.1</v>
      </c>
      <c r="R5" s="123">
        <v>3.7</v>
      </c>
      <c r="S5" s="123" t="s">
        <v>2190</v>
      </c>
      <c r="T5" s="123" t="s">
        <v>2190</v>
      </c>
      <c r="U5" s="123" t="s">
        <v>2182</v>
      </c>
      <c r="V5" s="123"/>
      <c r="W5" s="123"/>
    </row>
    <row r="6" spans="1:23">
      <c r="A6" s="407">
        <v>4</v>
      </c>
      <c r="B6" s="184" t="s">
        <v>2171</v>
      </c>
      <c r="C6" s="184" t="s">
        <v>2181</v>
      </c>
      <c r="D6" s="122" t="s">
        <v>2173</v>
      </c>
      <c r="E6" s="124">
        <v>42938</v>
      </c>
      <c r="F6" s="125">
        <v>0.30902777777777779</v>
      </c>
      <c r="G6" s="124">
        <v>43007</v>
      </c>
      <c r="H6" s="125">
        <v>0.35138888888888892</v>
      </c>
      <c r="I6" s="123">
        <v>857</v>
      </c>
      <c r="J6" s="123">
        <v>255</v>
      </c>
      <c r="K6" s="123">
        <v>661</v>
      </c>
      <c r="L6" s="123">
        <v>357</v>
      </c>
      <c r="M6" s="123">
        <v>298</v>
      </c>
      <c r="N6" s="127">
        <v>26.8</v>
      </c>
      <c r="O6" s="123">
        <v>1.3</v>
      </c>
      <c r="P6" s="123" t="s">
        <v>2498</v>
      </c>
      <c r="Q6" s="123">
        <v>27.9</v>
      </c>
      <c r="R6" s="123">
        <v>3.2</v>
      </c>
      <c r="S6" s="123"/>
      <c r="T6" s="123" t="s">
        <v>2174</v>
      </c>
      <c r="U6" s="123"/>
      <c r="V6" s="123"/>
      <c r="W6" s="123"/>
    </row>
    <row r="7" spans="1:23">
      <c r="A7" s="407">
        <v>5</v>
      </c>
      <c r="B7" s="184" t="s">
        <v>2171</v>
      </c>
      <c r="C7" s="184" t="s">
        <v>2184</v>
      </c>
      <c r="D7" s="122" t="s">
        <v>2173</v>
      </c>
      <c r="E7" s="124">
        <v>42938</v>
      </c>
      <c r="F7" s="125">
        <v>0.3125</v>
      </c>
      <c r="G7" s="123"/>
      <c r="H7" s="123"/>
      <c r="I7" s="123">
        <v>858</v>
      </c>
      <c r="J7" s="123">
        <v>122</v>
      </c>
      <c r="K7" s="123">
        <v>724</v>
      </c>
      <c r="L7" s="163">
        <v>734</v>
      </c>
      <c r="M7" s="123">
        <v>226</v>
      </c>
      <c r="N7" s="123">
        <v>26.7</v>
      </c>
      <c r="O7" s="127">
        <v>3.2</v>
      </c>
      <c r="P7" s="123" t="s">
        <v>2498</v>
      </c>
      <c r="Q7" s="123"/>
      <c r="R7" s="123"/>
      <c r="S7" s="123"/>
      <c r="T7" s="123"/>
      <c r="U7" s="123"/>
      <c r="V7" s="123"/>
      <c r="W7" s="123" t="s">
        <v>2808</v>
      </c>
    </row>
    <row r="8" spans="1:23">
      <c r="A8" s="407">
        <v>6</v>
      </c>
      <c r="B8" s="184" t="s">
        <v>2171</v>
      </c>
      <c r="C8" s="184" t="s">
        <v>2185</v>
      </c>
      <c r="D8" s="122" t="s">
        <v>2173</v>
      </c>
      <c r="E8" s="124">
        <v>42938</v>
      </c>
      <c r="F8" s="125">
        <v>0.30555555555555552</v>
      </c>
      <c r="G8" s="124">
        <v>43007</v>
      </c>
      <c r="H8" s="125">
        <v>0.34791666666666665</v>
      </c>
      <c r="I8" s="123">
        <v>859</v>
      </c>
      <c r="J8" s="123">
        <v>478</v>
      </c>
      <c r="K8" s="123">
        <v>688</v>
      </c>
      <c r="L8" s="123">
        <v>164</v>
      </c>
      <c r="M8" s="123">
        <v>286</v>
      </c>
      <c r="N8" s="123">
        <v>26.6</v>
      </c>
      <c r="O8" s="123">
        <v>6.5</v>
      </c>
      <c r="P8" s="123" t="s">
        <v>2498</v>
      </c>
      <c r="Q8" s="123">
        <v>26.6</v>
      </c>
      <c r="R8" s="123">
        <v>4.2</v>
      </c>
      <c r="S8" s="123"/>
      <c r="T8" s="123"/>
      <c r="U8" s="123"/>
      <c r="V8" s="123"/>
      <c r="W8" s="123" t="s">
        <v>2809</v>
      </c>
    </row>
    <row r="9" spans="1:23">
      <c r="A9" s="407">
        <v>7</v>
      </c>
      <c r="B9" s="184" t="s">
        <v>2171</v>
      </c>
      <c r="C9" s="184" t="s">
        <v>2186</v>
      </c>
      <c r="D9" s="122" t="s">
        <v>2173</v>
      </c>
      <c r="E9" s="124">
        <v>42938</v>
      </c>
      <c r="F9" s="125">
        <v>0.30208333333333331</v>
      </c>
      <c r="G9" s="124">
        <v>43007</v>
      </c>
      <c r="H9" s="125">
        <v>0.35833333333333334</v>
      </c>
      <c r="I9" s="163">
        <v>860</v>
      </c>
      <c r="J9" s="123">
        <v>106</v>
      </c>
      <c r="K9" s="123">
        <v>762</v>
      </c>
      <c r="L9" s="123">
        <v>776</v>
      </c>
      <c r="M9" s="123">
        <v>210</v>
      </c>
      <c r="N9" s="123">
        <v>23.3</v>
      </c>
      <c r="O9" s="123">
        <v>2.2000000000000002</v>
      </c>
      <c r="P9" s="123" t="s">
        <v>2498</v>
      </c>
      <c r="Q9" s="123">
        <v>26.2</v>
      </c>
      <c r="R9" s="123">
        <v>3.7</v>
      </c>
      <c r="S9" s="191" t="s">
        <v>2174</v>
      </c>
      <c r="T9" s="123" t="s">
        <v>2807</v>
      </c>
      <c r="U9" s="123"/>
      <c r="V9" s="123"/>
      <c r="W9" s="123"/>
    </row>
    <row r="10" spans="1:23">
      <c r="A10" s="407">
        <v>8</v>
      </c>
      <c r="B10" s="184" t="s">
        <v>2171</v>
      </c>
      <c r="C10" s="184" t="s">
        <v>2187</v>
      </c>
      <c r="D10" s="122" t="s">
        <v>2173</v>
      </c>
      <c r="E10" s="124">
        <v>42938</v>
      </c>
      <c r="F10" s="125">
        <v>0.30555555555555552</v>
      </c>
      <c r="G10" s="124">
        <v>43007</v>
      </c>
      <c r="H10" s="125">
        <v>0.36041666666666666</v>
      </c>
      <c r="I10" s="123">
        <v>861</v>
      </c>
      <c r="J10" s="123">
        <v>228</v>
      </c>
      <c r="K10" s="123">
        <v>727</v>
      </c>
      <c r="L10" s="123">
        <v>23</v>
      </c>
      <c r="M10" s="123">
        <v>213</v>
      </c>
      <c r="N10" s="123">
        <v>25.6</v>
      </c>
      <c r="O10" s="123">
        <v>2.4</v>
      </c>
      <c r="P10" s="123" t="s">
        <v>2498</v>
      </c>
      <c r="Q10" s="123">
        <v>26.4</v>
      </c>
      <c r="R10" s="123">
        <v>2.8</v>
      </c>
      <c r="S10" s="123" t="s">
        <v>2182</v>
      </c>
      <c r="T10" s="123"/>
      <c r="U10" s="123" t="s">
        <v>2182</v>
      </c>
      <c r="V10" s="123"/>
      <c r="W10" s="123"/>
    </row>
    <row r="11" spans="1:23">
      <c r="A11" s="407">
        <v>9</v>
      </c>
      <c r="B11" s="184" t="s">
        <v>2171</v>
      </c>
      <c r="C11" s="184" t="s">
        <v>2188</v>
      </c>
      <c r="D11" s="122" t="s">
        <v>2189</v>
      </c>
      <c r="E11" s="124">
        <v>42938</v>
      </c>
      <c r="F11" s="125">
        <v>0.33333333333333331</v>
      </c>
      <c r="G11" s="124">
        <v>43007</v>
      </c>
      <c r="H11" s="125">
        <v>0.37361111111111112</v>
      </c>
      <c r="I11" s="123">
        <v>862</v>
      </c>
      <c r="J11" s="123">
        <v>277</v>
      </c>
      <c r="K11" s="123">
        <v>785</v>
      </c>
      <c r="L11" s="123">
        <v>570</v>
      </c>
      <c r="M11" s="123">
        <v>704</v>
      </c>
      <c r="N11" s="123">
        <v>25.6</v>
      </c>
      <c r="O11" s="123">
        <v>3.5</v>
      </c>
      <c r="P11" s="123" t="s">
        <v>2498</v>
      </c>
      <c r="Q11" s="123">
        <v>26.7</v>
      </c>
      <c r="R11" s="123">
        <v>3.1</v>
      </c>
      <c r="S11" s="123" t="s">
        <v>2190</v>
      </c>
      <c r="T11" s="123" t="s">
        <v>2314</v>
      </c>
      <c r="U11" s="123"/>
      <c r="V11" s="123"/>
      <c r="W11" s="123" t="s">
        <v>2810</v>
      </c>
    </row>
    <row r="12" spans="1:23">
      <c r="A12" s="407">
        <v>10</v>
      </c>
      <c r="B12" s="184" t="s">
        <v>2171</v>
      </c>
      <c r="C12" s="184" t="s">
        <v>2191</v>
      </c>
      <c r="D12" s="122" t="s">
        <v>2189</v>
      </c>
      <c r="E12" s="124">
        <v>42938</v>
      </c>
      <c r="F12" s="125">
        <v>0.3298611111111111</v>
      </c>
      <c r="G12" s="124"/>
      <c r="H12" s="125"/>
      <c r="I12" s="123">
        <v>863</v>
      </c>
      <c r="J12" s="123">
        <v>310</v>
      </c>
      <c r="K12" s="123">
        <v>747</v>
      </c>
      <c r="L12" s="123">
        <v>642</v>
      </c>
      <c r="M12" s="123">
        <v>355</v>
      </c>
      <c r="N12" s="123">
        <v>26.1</v>
      </c>
      <c r="O12" s="123">
        <v>1.5</v>
      </c>
      <c r="P12" s="123" t="s">
        <v>2498</v>
      </c>
      <c r="Q12" s="123"/>
      <c r="R12" s="92"/>
      <c r="S12" s="92"/>
      <c r="T12" s="92"/>
      <c r="U12" s="92"/>
      <c r="V12" s="92"/>
      <c r="W12" s="123" t="s">
        <v>2811</v>
      </c>
    </row>
    <row r="13" spans="1:23">
      <c r="A13" s="407">
        <v>11</v>
      </c>
      <c r="B13" s="184" t="s">
        <v>2171</v>
      </c>
      <c r="C13" s="184" t="s">
        <v>2192</v>
      </c>
      <c r="D13" s="122" t="s">
        <v>2189</v>
      </c>
      <c r="E13" s="124">
        <v>42938</v>
      </c>
      <c r="F13" s="125">
        <v>0.3263888888888889</v>
      </c>
      <c r="G13" s="124">
        <v>43007</v>
      </c>
      <c r="H13" s="125">
        <v>0.36805555555555558</v>
      </c>
      <c r="I13" s="123">
        <v>864</v>
      </c>
      <c r="J13" s="123">
        <v>435</v>
      </c>
      <c r="K13" s="129">
        <v>748</v>
      </c>
      <c r="L13" s="123">
        <v>663</v>
      </c>
      <c r="M13" s="123">
        <v>616</v>
      </c>
      <c r="N13" s="123">
        <v>26.1</v>
      </c>
      <c r="O13" s="123">
        <v>6</v>
      </c>
      <c r="P13" s="123" t="s">
        <v>2498</v>
      </c>
      <c r="Q13" s="123">
        <v>26.8</v>
      </c>
      <c r="R13" s="123">
        <v>4.5999999999999996</v>
      </c>
      <c r="S13" s="123" t="s">
        <v>2190</v>
      </c>
      <c r="T13" s="123" t="s">
        <v>2190</v>
      </c>
      <c r="U13" s="123"/>
      <c r="V13" s="123"/>
      <c r="W13" s="123"/>
    </row>
    <row r="14" spans="1:23">
      <c r="A14" s="407">
        <v>12</v>
      </c>
      <c r="B14" s="184" t="s">
        <v>2171</v>
      </c>
      <c r="C14" s="184" t="s">
        <v>2193</v>
      </c>
      <c r="D14" s="122" t="s">
        <v>2189</v>
      </c>
      <c r="E14" s="124"/>
      <c r="F14" s="123"/>
      <c r="G14" s="124"/>
      <c r="H14" s="125"/>
      <c r="I14" s="185">
        <v>865</v>
      </c>
      <c r="J14" s="123"/>
      <c r="K14" s="123"/>
      <c r="L14" s="123"/>
      <c r="M14" s="123"/>
      <c r="N14" s="123"/>
      <c r="O14" s="123"/>
      <c r="P14" s="123"/>
      <c r="Q14" s="123"/>
      <c r="W14" s="123"/>
    </row>
    <row r="15" spans="1:23">
      <c r="A15" s="407">
        <v>13</v>
      </c>
      <c r="B15" s="184" t="s">
        <v>2171</v>
      </c>
      <c r="C15" s="184" t="s">
        <v>2194</v>
      </c>
      <c r="D15" s="122" t="s">
        <v>2189</v>
      </c>
      <c r="E15" s="124">
        <v>42938</v>
      </c>
      <c r="F15" s="125">
        <v>0.33680555555555558</v>
      </c>
      <c r="G15" s="124">
        <v>43007</v>
      </c>
      <c r="H15" s="125">
        <v>0.3756944444444445</v>
      </c>
      <c r="I15" s="123">
        <v>866</v>
      </c>
      <c r="J15" s="123">
        <v>2</v>
      </c>
      <c r="K15" s="123">
        <v>784</v>
      </c>
      <c r="L15" s="123">
        <v>874</v>
      </c>
      <c r="M15" s="123">
        <v>603</v>
      </c>
      <c r="N15" s="123">
        <v>25.7</v>
      </c>
      <c r="O15" s="123">
        <v>5.8</v>
      </c>
      <c r="P15" s="123" t="s">
        <v>2499</v>
      </c>
      <c r="Q15" s="123">
        <v>26.5</v>
      </c>
      <c r="R15" s="123">
        <v>3.8</v>
      </c>
      <c r="S15" s="123" t="s">
        <v>2314</v>
      </c>
      <c r="T15" s="123" t="s">
        <v>2233</v>
      </c>
      <c r="U15" s="123"/>
      <c r="V15" s="123"/>
      <c r="W15" s="123"/>
    </row>
    <row r="16" spans="1:23">
      <c r="A16" s="407">
        <v>14</v>
      </c>
      <c r="B16" s="184" t="s">
        <v>2171</v>
      </c>
      <c r="C16" s="184" t="s">
        <v>2196</v>
      </c>
      <c r="D16" s="122" t="s">
        <v>2189</v>
      </c>
      <c r="E16" s="124">
        <v>42938</v>
      </c>
      <c r="F16" s="125">
        <v>0.33333333333333331</v>
      </c>
      <c r="G16" s="124">
        <v>43007</v>
      </c>
      <c r="H16" s="125">
        <v>0.37847222222222227</v>
      </c>
      <c r="I16" s="123">
        <v>867</v>
      </c>
      <c r="J16" s="123">
        <v>225</v>
      </c>
      <c r="K16" s="123">
        <v>838</v>
      </c>
      <c r="L16" s="129">
        <v>219</v>
      </c>
      <c r="M16" s="123">
        <v>652</v>
      </c>
      <c r="N16" s="123">
        <v>25.3</v>
      </c>
      <c r="O16" s="123">
        <v>3.9</v>
      </c>
      <c r="P16" s="123" t="s">
        <v>2498</v>
      </c>
      <c r="Q16" s="123">
        <v>25.8</v>
      </c>
      <c r="R16" s="123">
        <v>2.9</v>
      </c>
      <c r="S16" s="123" t="s">
        <v>2174</v>
      </c>
      <c r="T16" s="123" t="s">
        <v>2233</v>
      </c>
      <c r="U16" s="123" t="s">
        <v>2182</v>
      </c>
      <c r="V16" s="123"/>
      <c r="W16" s="123"/>
    </row>
    <row r="17" spans="1:23">
      <c r="A17" s="407">
        <v>15</v>
      </c>
      <c r="B17" s="184" t="s">
        <v>2171</v>
      </c>
      <c r="C17" s="184" t="s">
        <v>2197</v>
      </c>
      <c r="D17" s="122" t="s">
        <v>2189</v>
      </c>
      <c r="E17" s="124">
        <v>42938</v>
      </c>
      <c r="F17" s="125">
        <v>0.3298611111111111</v>
      </c>
      <c r="G17" s="124">
        <v>43007</v>
      </c>
      <c r="H17" s="125">
        <v>0.37083333333333335</v>
      </c>
      <c r="I17" s="123">
        <v>868</v>
      </c>
      <c r="J17" s="123">
        <v>444</v>
      </c>
      <c r="K17" s="123">
        <v>793</v>
      </c>
      <c r="L17" s="123">
        <v>630</v>
      </c>
      <c r="M17" s="123">
        <v>304</v>
      </c>
      <c r="N17" s="123"/>
      <c r="O17" s="123">
        <v>3.3</v>
      </c>
      <c r="P17" s="123" t="s">
        <v>2498</v>
      </c>
      <c r="Q17" s="123">
        <v>28</v>
      </c>
      <c r="R17" s="123">
        <v>2.9</v>
      </c>
      <c r="S17" s="123" t="s">
        <v>2190</v>
      </c>
      <c r="T17" s="123" t="s">
        <v>2190</v>
      </c>
      <c r="U17" s="123"/>
      <c r="V17" s="123"/>
      <c r="W17" s="123"/>
    </row>
    <row r="18" spans="1:23">
      <c r="A18" s="407">
        <v>16</v>
      </c>
      <c r="B18" s="184" t="s">
        <v>2171</v>
      </c>
      <c r="C18" s="184" t="s">
        <v>2200</v>
      </c>
      <c r="D18" s="122" t="s">
        <v>2189</v>
      </c>
      <c r="E18" s="124">
        <v>42938</v>
      </c>
      <c r="F18" s="125">
        <v>0.3263888888888889</v>
      </c>
      <c r="G18" s="124">
        <v>43007</v>
      </c>
      <c r="H18" s="125">
        <v>0.36527777777777781</v>
      </c>
      <c r="I18" s="123">
        <v>869</v>
      </c>
      <c r="J18" s="123">
        <v>376</v>
      </c>
      <c r="K18" s="123">
        <v>755</v>
      </c>
      <c r="L18" s="123">
        <v>662</v>
      </c>
      <c r="M18" s="123">
        <v>687</v>
      </c>
      <c r="N18" s="123">
        <v>26.9</v>
      </c>
      <c r="O18" s="123">
        <v>9.8000000000000007</v>
      </c>
      <c r="P18" s="123" t="s">
        <v>2498</v>
      </c>
      <c r="Q18" s="123">
        <v>27.2</v>
      </c>
      <c r="R18" s="123">
        <v>8.6</v>
      </c>
      <c r="S18" s="123" t="s">
        <v>2190</v>
      </c>
      <c r="T18" s="123" t="s">
        <v>2190</v>
      </c>
      <c r="U18" s="123" t="s">
        <v>2182</v>
      </c>
      <c r="V18" s="123"/>
      <c r="W18" s="123" t="s">
        <v>2812</v>
      </c>
    </row>
    <row r="19" spans="1:23">
      <c r="A19" s="407">
        <v>17</v>
      </c>
      <c r="B19" s="184" t="s">
        <v>2171</v>
      </c>
      <c r="C19" s="184" t="s">
        <v>2202</v>
      </c>
      <c r="D19" s="122" t="s">
        <v>2203</v>
      </c>
      <c r="E19" s="124">
        <v>42936</v>
      </c>
      <c r="F19" s="125">
        <v>0.73611111111111116</v>
      </c>
      <c r="G19" s="124">
        <v>43007</v>
      </c>
      <c r="H19" s="125">
        <v>0.45277777777777778</v>
      </c>
      <c r="I19" s="123">
        <v>870</v>
      </c>
      <c r="J19" s="123">
        <v>209</v>
      </c>
      <c r="K19" s="123">
        <v>826</v>
      </c>
      <c r="L19" s="123">
        <v>349</v>
      </c>
      <c r="M19" s="123">
        <v>407</v>
      </c>
      <c r="N19" s="123">
        <v>25.9</v>
      </c>
      <c r="O19" s="123">
        <v>18.100000000000001</v>
      </c>
      <c r="P19" s="123" t="s">
        <v>2500</v>
      </c>
      <c r="Q19" s="123">
        <v>26.5</v>
      </c>
      <c r="R19" s="123">
        <v>7.7</v>
      </c>
      <c r="S19" s="123"/>
      <c r="T19" s="123"/>
      <c r="U19" s="123"/>
      <c r="V19" s="123"/>
      <c r="W19" s="123"/>
    </row>
    <row r="20" spans="1:23">
      <c r="A20" s="407">
        <v>18</v>
      </c>
      <c r="B20" s="184" t="s">
        <v>2171</v>
      </c>
      <c r="C20" s="184" t="s">
        <v>2205</v>
      </c>
      <c r="D20" s="122" t="s">
        <v>2203</v>
      </c>
      <c r="E20" s="124">
        <v>42936</v>
      </c>
      <c r="F20" s="125">
        <v>0.75</v>
      </c>
      <c r="G20" s="124">
        <v>43007</v>
      </c>
      <c r="H20" s="125">
        <v>0.44791666666666669</v>
      </c>
      <c r="I20" s="123">
        <v>871</v>
      </c>
      <c r="J20" s="123">
        <v>10</v>
      </c>
      <c r="K20" s="123">
        <v>732</v>
      </c>
      <c r="L20" s="123">
        <v>113</v>
      </c>
      <c r="M20" s="123">
        <v>361</v>
      </c>
      <c r="N20" s="123">
        <v>25.7</v>
      </c>
      <c r="O20" s="123">
        <v>11.8</v>
      </c>
      <c r="P20" s="123" t="s">
        <v>2501</v>
      </c>
      <c r="Q20" s="123">
        <v>26.5</v>
      </c>
      <c r="R20" s="123">
        <v>10.5</v>
      </c>
      <c r="S20" s="123"/>
      <c r="T20" s="123" t="s">
        <v>2174</v>
      </c>
      <c r="U20" s="123"/>
      <c r="V20" s="123"/>
      <c r="W20" s="123"/>
    </row>
    <row r="21" spans="1:23">
      <c r="A21" s="407">
        <v>19</v>
      </c>
      <c r="B21" s="184" t="s">
        <v>2171</v>
      </c>
      <c r="C21" s="184" t="s">
        <v>2206</v>
      </c>
      <c r="D21" s="122" t="s">
        <v>2203</v>
      </c>
      <c r="E21" s="124">
        <v>42936</v>
      </c>
      <c r="F21" s="125">
        <v>0.75</v>
      </c>
      <c r="G21" s="124">
        <v>43007</v>
      </c>
      <c r="H21" s="125">
        <v>0.45069444444444445</v>
      </c>
      <c r="I21" s="123">
        <v>872</v>
      </c>
      <c r="J21" s="123">
        <v>190</v>
      </c>
      <c r="K21" s="123">
        <v>749</v>
      </c>
      <c r="L21" s="123">
        <v>394</v>
      </c>
      <c r="M21" s="123">
        <v>280</v>
      </c>
      <c r="N21" s="123">
        <v>25.6</v>
      </c>
      <c r="O21" s="123">
        <v>19.399999999999999</v>
      </c>
      <c r="P21" s="123" t="s">
        <v>2501</v>
      </c>
      <c r="Q21" s="123">
        <v>25.8</v>
      </c>
      <c r="R21" s="123">
        <v>12.1</v>
      </c>
      <c r="S21" s="123" t="s">
        <v>2174</v>
      </c>
      <c r="T21" s="123"/>
      <c r="U21" s="123"/>
      <c r="V21" s="123"/>
      <c r="W21" s="123"/>
    </row>
    <row r="22" spans="1:23">
      <c r="A22" s="407">
        <v>20</v>
      </c>
      <c r="B22" s="184" t="s">
        <v>2171</v>
      </c>
      <c r="C22" s="184" t="s">
        <v>2207</v>
      </c>
      <c r="D22" s="122" t="s">
        <v>2203</v>
      </c>
      <c r="E22" s="124">
        <v>42936</v>
      </c>
      <c r="F22" s="125">
        <v>0.74305555555555547</v>
      </c>
      <c r="G22" s="124">
        <v>43007</v>
      </c>
      <c r="H22" s="125">
        <v>0.44930555555555557</v>
      </c>
      <c r="I22" s="123">
        <v>873</v>
      </c>
      <c r="J22" s="123">
        <v>38</v>
      </c>
      <c r="K22" s="123">
        <v>632</v>
      </c>
      <c r="L22" s="123">
        <v>79</v>
      </c>
      <c r="M22" s="123">
        <v>320</v>
      </c>
      <c r="N22" s="123">
        <v>26</v>
      </c>
      <c r="O22" s="123">
        <v>20.3</v>
      </c>
      <c r="P22" s="123" t="s">
        <v>2501</v>
      </c>
      <c r="Q22" s="123">
        <v>26.6</v>
      </c>
      <c r="R22" s="123">
        <v>11.7</v>
      </c>
      <c r="S22" s="123" t="s">
        <v>2174</v>
      </c>
      <c r="T22" s="123"/>
      <c r="U22" s="123"/>
      <c r="V22" s="123"/>
      <c r="W22" s="123"/>
    </row>
    <row r="23" spans="1:23">
      <c r="A23" s="407">
        <v>21</v>
      </c>
      <c r="B23" s="184" t="s">
        <v>2171</v>
      </c>
      <c r="C23" s="184" t="s">
        <v>2208</v>
      </c>
      <c r="D23" s="122" t="s">
        <v>2203</v>
      </c>
      <c r="E23" s="124">
        <v>42936</v>
      </c>
      <c r="F23" s="125">
        <v>0.74652777777777779</v>
      </c>
      <c r="G23" s="124">
        <v>43007</v>
      </c>
      <c r="H23" s="125">
        <v>0.4458333333333333</v>
      </c>
      <c r="I23" s="123">
        <v>874</v>
      </c>
      <c r="J23" s="123">
        <v>468</v>
      </c>
      <c r="K23" s="123">
        <v>630</v>
      </c>
      <c r="L23" s="123">
        <v>488</v>
      </c>
      <c r="M23" s="123">
        <v>209</v>
      </c>
      <c r="N23" s="123">
        <v>26.2</v>
      </c>
      <c r="O23" s="123">
        <v>15</v>
      </c>
      <c r="P23" s="123" t="s">
        <v>2501</v>
      </c>
      <c r="Q23" s="123">
        <v>26</v>
      </c>
      <c r="R23" s="123">
        <v>11.4</v>
      </c>
      <c r="S23" s="123"/>
      <c r="T23" s="123"/>
      <c r="U23" s="123"/>
      <c r="V23" s="123"/>
      <c r="W23" s="123" t="s">
        <v>3197</v>
      </c>
    </row>
    <row r="24" spans="1:23">
      <c r="A24" s="407">
        <v>22</v>
      </c>
      <c r="B24" s="184" t="s">
        <v>2171</v>
      </c>
      <c r="C24" s="184" t="s">
        <v>2209</v>
      </c>
      <c r="D24" s="122" t="s">
        <v>2203</v>
      </c>
      <c r="E24" s="124">
        <v>42936</v>
      </c>
      <c r="F24" s="125">
        <v>0.72916666666666663</v>
      </c>
      <c r="G24" s="124">
        <v>43007</v>
      </c>
      <c r="H24" s="125">
        <v>0.4548611111111111</v>
      </c>
      <c r="I24" s="123">
        <v>876</v>
      </c>
      <c r="J24" s="123">
        <v>8</v>
      </c>
      <c r="K24" s="123">
        <v>723</v>
      </c>
      <c r="L24" s="123">
        <v>750</v>
      </c>
      <c r="M24" s="123">
        <v>646</v>
      </c>
      <c r="N24" s="123">
        <v>25</v>
      </c>
      <c r="O24" s="123">
        <v>25.2</v>
      </c>
      <c r="P24" s="123" t="s">
        <v>2501</v>
      </c>
      <c r="Q24" s="123">
        <v>26.5</v>
      </c>
      <c r="R24" s="123">
        <v>12.9</v>
      </c>
      <c r="S24" s="123"/>
      <c r="T24" s="123" t="s">
        <v>2174</v>
      </c>
      <c r="U24" s="123"/>
      <c r="V24" s="123"/>
      <c r="W24" s="123"/>
    </row>
    <row r="25" spans="1:23">
      <c r="A25" s="407">
        <v>23</v>
      </c>
      <c r="B25" s="184" t="s">
        <v>2171</v>
      </c>
      <c r="C25" s="184" t="s">
        <v>2210</v>
      </c>
      <c r="D25" s="122" t="s">
        <v>2203</v>
      </c>
      <c r="E25" s="125"/>
      <c r="F25" s="125"/>
      <c r="G25" s="125"/>
      <c r="H25" s="125"/>
      <c r="I25" s="123">
        <v>875</v>
      </c>
      <c r="J25" s="125"/>
      <c r="K25" s="125"/>
      <c r="L25" s="125"/>
      <c r="M25" s="125"/>
      <c r="N25" s="125"/>
      <c r="O25" s="125"/>
      <c r="P25" s="125"/>
      <c r="Q25" s="123"/>
      <c r="R25" s="92"/>
      <c r="S25" s="92"/>
      <c r="T25" s="92"/>
      <c r="U25" s="92"/>
      <c r="V25" s="92"/>
      <c r="W25" s="123"/>
    </row>
    <row r="26" spans="1:23">
      <c r="A26" s="407">
        <v>24</v>
      </c>
      <c r="B26" s="184" t="s">
        <v>2171</v>
      </c>
      <c r="C26" s="184" t="s">
        <v>2211</v>
      </c>
      <c r="D26" s="122" t="s">
        <v>2203</v>
      </c>
      <c r="E26" s="124">
        <v>42936</v>
      </c>
      <c r="F26" s="125">
        <v>0.75347222222222221</v>
      </c>
      <c r="G26" s="124">
        <v>43007</v>
      </c>
      <c r="H26" s="125">
        <v>0.45763888888888887</v>
      </c>
      <c r="I26" s="123">
        <v>877</v>
      </c>
      <c r="J26" s="123">
        <v>320</v>
      </c>
      <c r="K26" s="123">
        <v>225</v>
      </c>
      <c r="L26" s="123">
        <v>562</v>
      </c>
      <c r="M26" s="123">
        <v>650</v>
      </c>
      <c r="N26" s="123">
        <v>25.5</v>
      </c>
      <c r="O26" s="123">
        <v>23.9</v>
      </c>
      <c r="P26" s="123" t="s">
        <v>2501</v>
      </c>
      <c r="Q26" s="123">
        <v>25.5</v>
      </c>
      <c r="R26" s="123">
        <v>7.3</v>
      </c>
      <c r="S26" s="123"/>
      <c r="T26" s="123"/>
      <c r="U26" s="123"/>
      <c r="V26" s="123"/>
      <c r="W26" s="123"/>
    </row>
    <row r="27" spans="1:23">
      <c r="A27" s="407">
        <v>25</v>
      </c>
      <c r="B27" s="184" t="s">
        <v>2171</v>
      </c>
      <c r="C27" s="184" t="s">
        <v>2212</v>
      </c>
      <c r="D27" s="122" t="s">
        <v>2213</v>
      </c>
      <c r="E27" s="124">
        <v>42936</v>
      </c>
      <c r="F27" s="125">
        <v>0.77083333333333337</v>
      </c>
      <c r="G27" s="124">
        <v>43007</v>
      </c>
      <c r="H27" s="125">
        <v>0.47083333333333338</v>
      </c>
      <c r="I27" s="163">
        <v>878</v>
      </c>
      <c r="J27" s="123">
        <v>322</v>
      </c>
      <c r="K27" s="123">
        <v>43</v>
      </c>
      <c r="L27" s="123">
        <v>156</v>
      </c>
      <c r="M27" s="123">
        <v>230</v>
      </c>
      <c r="N27" s="123">
        <v>25.6</v>
      </c>
      <c r="O27" s="123">
        <v>15.8</v>
      </c>
      <c r="P27" s="123" t="s">
        <v>2501</v>
      </c>
      <c r="Q27" s="123">
        <v>25.2</v>
      </c>
      <c r="R27" s="123">
        <v>3.9</v>
      </c>
      <c r="S27" s="123"/>
      <c r="T27" s="123"/>
      <c r="U27" s="123"/>
      <c r="V27" s="123"/>
      <c r="W27" s="123" t="s">
        <v>2813</v>
      </c>
    </row>
    <row r="28" spans="1:23">
      <c r="A28" s="407">
        <v>26</v>
      </c>
      <c r="B28" s="184" t="s">
        <v>2171</v>
      </c>
      <c r="C28" s="184" t="s">
        <v>2214</v>
      </c>
      <c r="D28" s="122" t="s">
        <v>2213</v>
      </c>
      <c r="E28" s="124">
        <v>42936</v>
      </c>
      <c r="F28" s="125">
        <v>0.76388888888888884</v>
      </c>
      <c r="G28" s="124">
        <v>43007</v>
      </c>
      <c r="H28" s="125">
        <v>0.4694444444444445</v>
      </c>
      <c r="I28" s="121">
        <v>1245</v>
      </c>
      <c r="J28" s="123">
        <v>58</v>
      </c>
      <c r="K28" s="123">
        <v>602</v>
      </c>
      <c r="L28" s="123">
        <v>555</v>
      </c>
      <c r="M28" s="123">
        <v>642</v>
      </c>
      <c r="N28" s="123">
        <v>25.5</v>
      </c>
      <c r="O28" s="123">
        <v>10.4</v>
      </c>
      <c r="P28" s="123" t="s">
        <v>2501</v>
      </c>
      <c r="Q28" s="123">
        <v>26.2</v>
      </c>
      <c r="R28" s="123">
        <v>5.8</v>
      </c>
      <c r="S28" s="123"/>
      <c r="T28" s="123"/>
      <c r="U28" s="123"/>
      <c r="V28" s="123"/>
      <c r="W28" s="123"/>
    </row>
    <row r="29" spans="1:23">
      <c r="A29" s="407">
        <v>27</v>
      </c>
      <c r="B29" s="184" t="s">
        <v>2171</v>
      </c>
      <c r="C29" s="184" t="s">
        <v>2215</v>
      </c>
      <c r="D29" s="122" t="s">
        <v>2213</v>
      </c>
      <c r="E29" s="124">
        <v>42936</v>
      </c>
      <c r="F29" s="125">
        <v>0.76736111111111116</v>
      </c>
      <c r="G29" s="124">
        <v>43007</v>
      </c>
      <c r="H29" s="125">
        <v>0.46249999999999997</v>
      </c>
      <c r="I29" s="123">
        <v>879</v>
      </c>
      <c r="J29" s="123">
        <v>340</v>
      </c>
      <c r="K29" s="123">
        <v>666</v>
      </c>
      <c r="L29" s="123">
        <v>378</v>
      </c>
      <c r="M29" s="123">
        <v>199</v>
      </c>
      <c r="N29" s="123">
        <v>25.9</v>
      </c>
      <c r="O29" s="123">
        <v>17.899999999999999</v>
      </c>
      <c r="P29" s="123" t="s">
        <v>2501</v>
      </c>
      <c r="Q29" s="123">
        <v>26.4</v>
      </c>
      <c r="R29" s="123">
        <v>10.3</v>
      </c>
      <c r="S29" s="123"/>
      <c r="T29" s="123"/>
      <c r="U29" s="123"/>
      <c r="V29" s="123"/>
      <c r="W29" s="123" t="s">
        <v>2809</v>
      </c>
    </row>
    <row r="30" spans="1:23">
      <c r="A30" s="407">
        <v>28</v>
      </c>
      <c r="B30" s="184" t="s">
        <v>2171</v>
      </c>
      <c r="C30" s="184" t="s">
        <v>2216</v>
      </c>
      <c r="D30" s="122" t="s">
        <v>2213</v>
      </c>
      <c r="E30" s="124">
        <v>42936</v>
      </c>
      <c r="F30" s="125">
        <v>0.76388888888888884</v>
      </c>
      <c r="G30" s="124">
        <v>43007</v>
      </c>
      <c r="H30" s="125">
        <v>0.46875</v>
      </c>
      <c r="I30" s="123">
        <v>881</v>
      </c>
      <c r="J30" s="123">
        <v>61</v>
      </c>
      <c r="K30" s="123">
        <v>705</v>
      </c>
      <c r="L30" s="123">
        <v>46</v>
      </c>
      <c r="M30" s="123">
        <v>162</v>
      </c>
      <c r="N30" s="123">
        <v>25.1</v>
      </c>
      <c r="O30" s="123">
        <v>11.8</v>
      </c>
      <c r="P30" s="123" t="s">
        <v>2501</v>
      </c>
      <c r="Q30" s="123">
        <v>26.3</v>
      </c>
      <c r="R30" s="123">
        <v>6.4</v>
      </c>
      <c r="S30" s="123"/>
      <c r="T30" s="123"/>
      <c r="U30" s="123"/>
      <c r="V30" s="123"/>
      <c r="W30" s="123"/>
    </row>
    <row r="31" spans="1:23">
      <c r="A31" s="407">
        <v>29</v>
      </c>
      <c r="B31" s="184" t="s">
        <v>2171</v>
      </c>
      <c r="C31" s="184" t="s">
        <v>2217</v>
      </c>
      <c r="D31" s="122" t="s">
        <v>2213</v>
      </c>
      <c r="E31" s="124">
        <v>42936</v>
      </c>
      <c r="F31" s="125">
        <v>0.76041666666666663</v>
      </c>
      <c r="G31" s="124">
        <v>43007</v>
      </c>
      <c r="H31" s="125">
        <v>0.46597222222222223</v>
      </c>
      <c r="I31" s="123">
        <v>882</v>
      </c>
      <c r="J31" s="123">
        <v>319</v>
      </c>
      <c r="K31" s="123">
        <v>305</v>
      </c>
      <c r="L31" s="123">
        <v>397</v>
      </c>
      <c r="M31" s="123">
        <v>163</v>
      </c>
      <c r="N31" s="123">
        <v>25.3</v>
      </c>
      <c r="O31" s="123">
        <v>21</v>
      </c>
      <c r="P31" s="123" t="s">
        <v>2501</v>
      </c>
      <c r="Q31" s="123">
        <v>26</v>
      </c>
      <c r="R31" s="123">
        <v>9.3000000000000007</v>
      </c>
      <c r="S31" s="123"/>
      <c r="T31" s="123"/>
      <c r="U31" s="123"/>
      <c r="V31" s="123"/>
      <c r="W31" s="123"/>
    </row>
    <row r="32" spans="1:23">
      <c r="A32" s="407">
        <v>30</v>
      </c>
      <c r="B32" s="184" t="s">
        <v>2171</v>
      </c>
      <c r="C32" s="184" t="s">
        <v>2218</v>
      </c>
      <c r="D32" s="122" t="s">
        <v>2213</v>
      </c>
      <c r="E32" s="124">
        <v>42936</v>
      </c>
      <c r="F32" s="125">
        <v>0.76041666666666663</v>
      </c>
      <c r="G32" s="124">
        <v>43007</v>
      </c>
      <c r="H32" s="125">
        <v>0.46736111111111112</v>
      </c>
      <c r="I32" s="123">
        <v>883</v>
      </c>
      <c r="J32" s="123">
        <v>273</v>
      </c>
      <c r="K32" s="123">
        <v>667</v>
      </c>
      <c r="L32" s="123">
        <v>166</v>
      </c>
      <c r="M32" s="123">
        <v>345</v>
      </c>
      <c r="N32" s="123">
        <v>24.6</v>
      </c>
      <c r="O32" s="123">
        <v>11.8</v>
      </c>
      <c r="P32" s="123" t="s">
        <v>2501</v>
      </c>
      <c r="Q32" s="123">
        <v>23.4</v>
      </c>
      <c r="R32" s="123">
        <v>6.8</v>
      </c>
      <c r="S32" s="123"/>
      <c r="T32" s="123"/>
      <c r="U32" s="123"/>
      <c r="V32" s="123"/>
      <c r="W32" s="123"/>
    </row>
    <row r="33" spans="1:23">
      <c r="A33" s="407">
        <v>31</v>
      </c>
      <c r="B33" s="184" t="s">
        <v>2171</v>
      </c>
      <c r="C33" s="184" t="s">
        <v>2219</v>
      </c>
      <c r="D33" s="122" t="s">
        <v>2213</v>
      </c>
      <c r="E33" s="125"/>
      <c r="F33" s="125"/>
      <c r="G33" s="125"/>
      <c r="H33" s="125"/>
      <c r="I33" s="123">
        <v>884</v>
      </c>
      <c r="J33" s="125"/>
      <c r="K33" s="125"/>
      <c r="L33" s="125"/>
      <c r="M33" s="125"/>
      <c r="N33" s="125"/>
      <c r="O33" s="125"/>
      <c r="P33" s="125"/>
      <c r="Q33" s="123"/>
      <c r="R33" s="123"/>
      <c r="S33" s="123"/>
      <c r="T33" s="123"/>
      <c r="U33" s="123"/>
      <c r="V33" s="123"/>
      <c r="W33" s="123"/>
    </row>
    <row r="34" spans="1:23">
      <c r="A34" s="407">
        <v>32</v>
      </c>
      <c r="B34" s="184" t="s">
        <v>2171</v>
      </c>
      <c r="C34" s="184" t="s">
        <v>2220</v>
      </c>
      <c r="D34" s="122" t="s">
        <v>2213</v>
      </c>
      <c r="E34" s="124">
        <v>42936</v>
      </c>
      <c r="F34" s="125">
        <v>0.76388888888888884</v>
      </c>
      <c r="G34" s="124">
        <v>43007</v>
      </c>
      <c r="H34" s="125">
        <v>0.47222222222222227</v>
      </c>
      <c r="I34" s="123">
        <v>885</v>
      </c>
      <c r="J34" s="123">
        <v>193</v>
      </c>
      <c r="K34" s="123">
        <v>743</v>
      </c>
      <c r="L34" s="123">
        <v>293</v>
      </c>
      <c r="M34" s="123">
        <v>660</v>
      </c>
      <c r="N34" s="123">
        <v>24.9</v>
      </c>
      <c r="O34" s="123">
        <v>14.9</v>
      </c>
      <c r="P34" s="123" t="s">
        <v>2501</v>
      </c>
      <c r="Q34" s="123">
        <v>26</v>
      </c>
      <c r="R34" s="123">
        <v>8.8000000000000007</v>
      </c>
      <c r="S34" s="123"/>
      <c r="T34" s="123"/>
      <c r="U34" s="123"/>
      <c r="V34" s="123"/>
      <c r="W34" s="123"/>
    </row>
    <row r="35" spans="1:23">
      <c r="A35" s="407">
        <v>33</v>
      </c>
      <c r="B35" s="184" t="s">
        <v>2171</v>
      </c>
      <c r="C35" s="184" t="s">
        <v>2221</v>
      </c>
      <c r="D35" s="122" t="s">
        <v>2222</v>
      </c>
      <c r="E35" s="124">
        <v>42938</v>
      </c>
      <c r="F35" s="125">
        <v>0.37152777777777773</v>
      </c>
      <c r="G35" s="124">
        <v>43005</v>
      </c>
      <c r="H35" s="125">
        <v>0.39583333333333331</v>
      </c>
      <c r="I35" s="163">
        <v>813</v>
      </c>
      <c r="J35" s="123">
        <v>218</v>
      </c>
      <c r="K35" s="123">
        <v>769</v>
      </c>
      <c r="L35" s="123">
        <v>139</v>
      </c>
      <c r="M35" s="123">
        <v>712</v>
      </c>
      <c r="N35" s="123">
        <v>24.6</v>
      </c>
      <c r="O35" s="123">
        <v>1.9</v>
      </c>
      <c r="P35" s="123"/>
      <c r="Q35" s="123">
        <v>27.7</v>
      </c>
      <c r="R35" s="123">
        <v>1.4</v>
      </c>
      <c r="S35" s="123"/>
      <c r="T35" s="123"/>
      <c r="U35" s="123"/>
      <c r="V35" s="123"/>
      <c r="W35" s="123"/>
    </row>
    <row r="36" spans="1:23">
      <c r="A36" s="407">
        <v>34</v>
      </c>
      <c r="B36" s="184" t="s">
        <v>2171</v>
      </c>
      <c r="C36" s="184" t="s">
        <v>2224</v>
      </c>
      <c r="D36" s="122" t="s">
        <v>2222</v>
      </c>
      <c r="E36" s="124">
        <v>42938</v>
      </c>
      <c r="F36" s="125">
        <v>0.37152777777777773</v>
      </c>
      <c r="G36" s="124">
        <v>43005</v>
      </c>
      <c r="H36" s="125">
        <v>0.38750000000000001</v>
      </c>
      <c r="I36" s="123">
        <v>822</v>
      </c>
      <c r="J36" s="123">
        <v>104</v>
      </c>
      <c r="K36" s="123">
        <v>753</v>
      </c>
      <c r="L36" s="123">
        <v>487</v>
      </c>
      <c r="M36" s="123">
        <v>324</v>
      </c>
      <c r="N36" s="123">
        <v>25.7</v>
      </c>
      <c r="O36" s="123">
        <v>4</v>
      </c>
      <c r="P36" s="123"/>
      <c r="Q36" s="123">
        <v>28.1</v>
      </c>
      <c r="R36" s="123">
        <v>2.5</v>
      </c>
      <c r="S36" s="123" t="s">
        <v>2174</v>
      </c>
      <c r="T36" s="123"/>
      <c r="U36" s="123"/>
      <c r="V36" s="123"/>
      <c r="W36" s="123" t="s">
        <v>2816</v>
      </c>
    </row>
    <row r="37" spans="1:23">
      <c r="A37" s="407">
        <v>35</v>
      </c>
      <c r="B37" s="184" t="s">
        <v>2171</v>
      </c>
      <c r="C37" s="184" t="s">
        <v>2227</v>
      </c>
      <c r="D37" s="122" t="s">
        <v>2222</v>
      </c>
      <c r="E37" s="124">
        <v>42938</v>
      </c>
      <c r="F37" s="125">
        <v>0.37152777777777773</v>
      </c>
      <c r="G37" s="124">
        <v>43005</v>
      </c>
      <c r="H37" s="125">
        <v>0.40347222222222223</v>
      </c>
      <c r="I37" s="123">
        <v>823</v>
      </c>
      <c r="J37" s="123">
        <v>188</v>
      </c>
      <c r="K37" s="123">
        <v>776</v>
      </c>
      <c r="L37" s="123">
        <v>717</v>
      </c>
      <c r="M37" s="123">
        <v>108</v>
      </c>
      <c r="N37" s="123">
        <v>25.2</v>
      </c>
      <c r="O37" s="123">
        <v>3.6</v>
      </c>
      <c r="P37" s="123"/>
      <c r="Q37" s="123">
        <v>28.7</v>
      </c>
      <c r="R37" s="123">
        <v>3.1</v>
      </c>
      <c r="S37" s="123"/>
      <c r="T37" s="123"/>
      <c r="U37" s="123"/>
      <c r="V37" s="123"/>
      <c r="W37" s="123"/>
    </row>
    <row r="38" spans="1:23">
      <c r="A38" s="407">
        <v>36</v>
      </c>
      <c r="B38" s="184" t="s">
        <v>2171</v>
      </c>
      <c r="C38" s="184" t="s">
        <v>2228</v>
      </c>
      <c r="D38" s="122" t="s">
        <v>2222</v>
      </c>
      <c r="E38" s="124">
        <v>42938</v>
      </c>
      <c r="F38" s="125">
        <v>0.36805555555555558</v>
      </c>
      <c r="G38" s="124">
        <v>43005</v>
      </c>
      <c r="H38" s="125">
        <v>0.40486111111111112</v>
      </c>
      <c r="I38" s="123">
        <v>824</v>
      </c>
      <c r="J38" s="123">
        <v>379</v>
      </c>
      <c r="K38" s="123">
        <v>799</v>
      </c>
      <c r="L38" s="123">
        <v>767</v>
      </c>
      <c r="M38" s="123">
        <v>152</v>
      </c>
      <c r="N38" s="123">
        <v>23.4</v>
      </c>
      <c r="O38" s="123">
        <v>3.7</v>
      </c>
      <c r="P38" s="123"/>
      <c r="Q38" s="123">
        <v>28.3</v>
      </c>
      <c r="R38" s="123">
        <v>2.2999999999999998</v>
      </c>
      <c r="S38" s="123"/>
      <c r="T38" s="123" t="s">
        <v>2233</v>
      </c>
      <c r="U38" s="123" t="s">
        <v>2182</v>
      </c>
      <c r="V38" s="123"/>
      <c r="W38" s="123" t="s">
        <v>2817</v>
      </c>
    </row>
    <row r="39" spans="1:23">
      <c r="A39" s="407">
        <v>37</v>
      </c>
      <c r="B39" s="184" t="s">
        <v>2171</v>
      </c>
      <c r="C39" s="184" t="s">
        <v>2230</v>
      </c>
      <c r="D39" s="122" t="s">
        <v>2222</v>
      </c>
      <c r="E39" s="124">
        <v>42938</v>
      </c>
      <c r="F39" s="125">
        <v>0.36805555555555558</v>
      </c>
      <c r="G39" s="124">
        <v>43005</v>
      </c>
      <c r="H39" s="125">
        <v>0.40902777777777777</v>
      </c>
      <c r="I39" s="123">
        <v>825</v>
      </c>
      <c r="J39" s="123">
        <v>66</v>
      </c>
      <c r="K39" s="123">
        <v>722</v>
      </c>
      <c r="L39" s="123">
        <v>473</v>
      </c>
      <c r="M39" s="123">
        <v>681</v>
      </c>
      <c r="N39" s="123">
        <v>23.8</v>
      </c>
      <c r="O39" s="123">
        <v>4.4000000000000004</v>
      </c>
      <c r="P39" s="123" t="s">
        <v>2502</v>
      </c>
      <c r="Q39" s="123">
        <v>28.4</v>
      </c>
      <c r="R39" s="123">
        <v>4.0999999999999996</v>
      </c>
      <c r="S39" s="123" t="s">
        <v>2233</v>
      </c>
      <c r="T39" s="123" t="s">
        <v>2233</v>
      </c>
      <c r="U39" s="123"/>
      <c r="V39" s="123"/>
      <c r="W39" s="123" t="s">
        <v>2818</v>
      </c>
    </row>
    <row r="40" spans="1:23">
      <c r="A40" s="407">
        <v>38</v>
      </c>
      <c r="B40" s="184" t="s">
        <v>2171</v>
      </c>
      <c r="C40" s="184" t="s">
        <v>2232</v>
      </c>
      <c r="D40" s="122" t="s">
        <v>2222</v>
      </c>
      <c r="E40" s="124">
        <v>42938</v>
      </c>
      <c r="F40" s="125">
        <v>0.375</v>
      </c>
      <c r="G40" s="124">
        <v>43005</v>
      </c>
      <c r="H40" s="125">
        <v>0.39861111111111108</v>
      </c>
      <c r="I40" s="123">
        <v>826</v>
      </c>
      <c r="J40" s="123">
        <v>625</v>
      </c>
      <c r="K40" s="123">
        <v>796</v>
      </c>
      <c r="L40" s="123">
        <v>111</v>
      </c>
      <c r="M40" s="129">
        <v>260</v>
      </c>
      <c r="N40" s="123">
        <v>24.7</v>
      </c>
      <c r="O40" s="123">
        <v>2.6</v>
      </c>
      <c r="P40" s="123"/>
      <c r="Q40" s="123">
        <v>28.7</v>
      </c>
      <c r="R40" s="123">
        <v>3.1</v>
      </c>
      <c r="S40" s="123" t="s">
        <v>2190</v>
      </c>
      <c r="T40" s="123"/>
      <c r="U40" s="123"/>
      <c r="V40" s="123"/>
      <c r="W40" s="123"/>
    </row>
    <row r="41" spans="1:23">
      <c r="A41" s="407">
        <v>39</v>
      </c>
      <c r="B41" s="184" t="s">
        <v>2171</v>
      </c>
      <c r="C41" s="184" t="s">
        <v>2234</v>
      </c>
      <c r="D41" s="122" t="s">
        <v>2222</v>
      </c>
      <c r="E41" s="124">
        <v>42938</v>
      </c>
      <c r="F41" s="125"/>
      <c r="G41" s="123"/>
      <c r="H41" s="123"/>
      <c r="I41" s="123">
        <v>827</v>
      </c>
      <c r="J41" s="125"/>
      <c r="K41" s="125"/>
      <c r="L41" s="125"/>
      <c r="M41" s="125"/>
      <c r="N41" s="125"/>
      <c r="O41" s="125"/>
      <c r="P41" s="125"/>
      <c r="Q41" s="123"/>
      <c r="R41" s="123"/>
      <c r="S41" s="123"/>
      <c r="T41" s="123"/>
      <c r="U41" s="123"/>
      <c r="V41" s="123"/>
      <c r="W41" s="123" t="s">
        <v>2819</v>
      </c>
    </row>
    <row r="42" spans="1:23">
      <c r="A42" s="407">
        <v>40</v>
      </c>
      <c r="B42" s="184" t="s">
        <v>2171</v>
      </c>
      <c r="C42" s="184" t="s">
        <v>2236</v>
      </c>
      <c r="D42" s="122" t="s">
        <v>2222</v>
      </c>
      <c r="E42" s="124">
        <v>42938</v>
      </c>
      <c r="F42" s="125">
        <v>0.36805555555555558</v>
      </c>
      <c r="G42" s="124">
        <v>43005</v>
      </c>
      <c r="H42" s="125">
        <v>0.40069444444444446</v>
      </c>
      <c r="I42" s="123">
        <v>828</v>
      </c>
      <c r="J42" s="123">
        <v>88</v>
      </c>
      <c r="K42" s="123">
        <v>782</v>
      </c>
      <c r="L42" s="123">
        <v>646</v>
      </c>
      <c r="M42" s="123">
        <v>402</v>
      </c>
      <c r="N42" s="123">
        <v>24.2</v>
      </c>
      <c r="O42" s="123">
        <v>5.4</v>
      </c>
      <c r="P42" s="123"/>
      <c r="Q42" s="123">
        <v>28.2</v>
      </c>
      <c r="R42" s="123">
        <v>3.8</v>
      </c>
      <c r="S42" s="123" t="s">
        <v>2233</v>
      </c>
      <c r="T42" s="123"/>
      <c r="U42" s="123"/>
      <c r="V42" s="123"/>
      <c r="W42" s="123"/>
    </row>
    <row r="43" spans="1:23">
      <c r="A43" s="407">
        <v>41</v>
      </c>
      <c r="B43" s="184" t="s">
        <v>2171</v>
      </c>
      <c r="C43" s="184" t="s">
        <v>2238</v>
      </c>
      <c r="D43" s="122" t="s">
        <v>2239</v>
      </c>
      <c r="E43" s="124">
        <v>42938</v>
      </c>
      <c r="F43" s="125">
        <v>0.43055555555555558</v>
      </c>
      <c r="G43" s="124">
        <v>43005</v>
      </c>
      <c r="H43" s="125">
        <v>0.46388888888888885</v>
      </c>
      <c r="I43" s="123">
        <v>830</v>
      </c>
      <c r="J43" s="123">
        <v>256</v>
      </c>
      <c r="K43" s="123">
        <v>820</v>
      </c>
      <c r="L43" s="123">
        <v>43</v>
      </c>
      <c r="M43" s="123">
        <v>648</v>
      </c>
      <c r="N43" s="123">
        <v>26.5</v>
      </c>
      <c r="O43" s="123">
        <v>5.0999999999999996</v>
      </c>
      <c r="P43" s="123"/>
      <c r="Q43" s="123">
        <v>29.2</v>
      </c>
      <c r="R43" s="123">
        <v>4.2</v>
      </c>
      <c r="S43" s="123" t="s">
        <v>2174</v>
      </c>
      <c r="T43" s="123" t="s">
        <v>2174</v>
      </c>
      <c r="U43" s="123"/>
      <c r="V43" s="123"/>
      <c r="W43" s="123"/>
    </row>
    <row r="44" spans="1:23">
      <c r="A44" s="407">
        <v>42</v>
      </c>
      <c r="B44" s="184" t="s">
        <v>2171</v>
      </c>
      <c r="C44" s="184" t="s">
        <v>2240</v>
      </c>
      <c r="D44" s="122" t="s">
        <v>2239</v>
      </c>
      <c r="E44" s="124">
        <v>42938</v>
      </c>
      <c r="F44" s="125">
        <v>0.42708333333333331</v>
      </c>
      <c r="G44" s="124">
        <v>43005</v>
      </c>
      <c r="H44" s="125">
        <v>0.46597222222222223</v>
      </c>
      <c r="I44" s="123">
        <v>831</v>
      </c>
      <c r="J44" s="123">
        <v>341</v>
      </c>
      <c r="K44" s="123">
        <v>806</v>
      </c>
      <c r="L44" s="123">
        <v>268</v>
      </c>
      <c r="M44" s="123">
        <v>257</v>
      </c>
      <c r="N44" s="123">
        <v>25.9</v>
      </c>
      <c r="O44" s="123">
        <v>5.3</v>
      </c>
      <c r="P44" s="123"/>
      <c r="Q44" s="123">
        <v>28.4</v>
      </c>
      <c r="R44" s="123">
        <v>5.0999999999999996</v>
      </c>
      <c r="S44" s="123" t="s">
        <v>2190</v>
      </c>
      <c r="T44" s="123" t="s">
        <v>2190</v>
      </c>
      <c r="U44" s="123" t="s">
        <v>2182</v>
      </c>
      <c r="V44" s="123"/>
      <c r="W44" s="123"/>
    </row>
    <row r="45" spans="1:23">
      <c r="A45" s="407">
        <v>43</v>
      </c>
      <c r="B45" s="184" t="s">
        <v>2171</v>
      </c>
      <c r="C45" s="184" t="s">
        <v>2242</v>
      </c>
      <c r="D45" s="122" t="s">
        <v>2239</v>
      </c>
      <c r="E45" s="124">
        <v>42938</v>
      </c>
      <c r="F45" s="125">
        <v>0.43055555555555558</v>
      </c>
      <c r="G45" s="124">
        <v>43005</v>
      </c>
      <c r="H45" s="125">
        <v>0.45416666666666666</v>
      </c>
      <c r="I45" s="123">
        <v>832</v>
      </c>
      <c r="J45" s="123">
        <v>246</v>
      </c>
      <c r="K45" s="123">
        <v>758</v>
      </c>
      <c r="L45" s="123">
        <v>300</v>
      </c>
      <c r="M45" s="123">
        <v>691</v>
      </c>
      <c r="N45" s="123">
        <v>23.7</v>
      </c>
      <c r="O45" s="123">
        <v>1.4</v>
      </c>
      <c r="P45" s="123"/>
      <c r="Q45" s="123">
        <v>28.5</v>
      </c>
      <c r="R45" s="123">
        <v>3.5</v>
      </c>
      <c r="S45" s="123" t="s">
        <v>2190</v>
      </c>
      <c r="T45" s="123" t="s">
        <v>2190</v>
      </c>
      <c r="U45" s="123"/>
      <c r="V45" s="123"/>
      <c r="W45" s="123"/>
    </row>
    <row r="46" spans="1:23">
      <c r="A46" s="407">
        <v>44</v>
      </c>
      <c r="B46" s="184" t="s">
        <v>2171</v>
      </c>
      <c r="C46" s="184" t="s">
        <v>2243</v>
      </c>
      <c r="D46" s="122" t="s">
        <v>2239</v>
      </c>
      <c r="E46" s="124">
        <v>42938</v>
      </c>
      <c r="F46" s="125">
        <v>0.4375</v>
      </c>
      <c r="G46" s="124">
        <v>43005</v>
      </c>
      <c r="H46" s="125">
        <v>0.45902777777777781</v>
      </c>
      <c r="I46" s="123">
        <v>1142</v>
      </c>
      <c r="J46" s="123">
        <v>115</v>
      </c>
      <c r="K46" s="123">
        <v>783</v>
      </c>
      <c r="L46" s="123">
        <v>823</v>
      </c>
      <c r="M46" s="123">
        <v>716</v>
      </c>
      <c r="N46" s="123">
        <v>25.3</v>
      </c>
      <c r="O46" s="123">
        <v>2.9</v>
      </c>
      <c r="P46" s="123"/>
      <c r="Q46" s="123">
        <v>27.7</v>
      </c>
      <c r="R46" s="123">
        <v>4.8</v>
      </c>
      <c r="S46" s="123"/>
      <c r="T46" s="123"/>
      <c r="U46" s="123"/>
      <c r="V46" s="123"/>
      <c r="W46" s="123"/>
    </row>
    <row r="47" spans="1:23">
      <c r="A47" s="407">
        <v>45</v>
      </c>
      <c r="B47" s="184" t="s">
        <v>2171</v>
      </c>
      <c r="C47" s="184" t="s">
        <v>2244</v>
      </c>
      <c r="D47" s="122" t="s">
        <v>2239</v>
      </c>
      <c r="E47" s="124">
        <v>42938</v>
      </c>
      <c r="F47" s="125">
        <v>0.4375</v>
      </c>
      <c r="G47" s="124">
        <v>43005</v>
      </c>
      <c r="H47" s="125">
        <v>0.44791666666666669</v>
      </c>
      <c r="I47" s="123">
        <v>1147</v>
      </c>
      <c r="J47" s="123">
        <v>480</v>
      </c>
      <c r="K47" s="123">
        <v>827</v>
      </c>
      <c r="L47" s="123">
        <v>354</v>
      </c>
      <c r="M47" s="123">
        <v>631</v>
      </c>
      <c r="N47" s="123">
        <v>26.8</v>
      </c>
      <c r="O47" s="123">
        <v>5.8</v>
      </c>
      <c r="P47" s="123"/>
      <c r="Q47" s="123">
        <v>27.7</v>
      </c>
      <c r="R47" s="123">
        <v>2.4</v>
      </c>
      <c r="S47" s="123" t="s">
        <v>2233</v>
      </c>
      <c r="T47" s="123" t="s">
        <v>2233</v>
      </c>
      <c r="U47" s="123"/>
      <c r="V47" s="123"/>
      <c r="W47" s="123" t="s">
        <v>2820</v>
      </c>
    </row>
    <row r="48" spans="1:23">
      <c r="A48" s="407">
        <v>46</v>
      </c>
      <c r="B48" s="184" t="s">
        <v>2171</v>
      </c>
      <c r="C48" s="184" t="s">
        <v>2246</v>
      </c>
      <c r="D48" s="122" t="s">
        <v>2239</v>
      </c>
      <c r="E48" s="123"/>
      <c r="F48" s="123"/>
      <c r="G48" s="124"/>
      <c r="H48" s="125"/>
      <c r="I48" s="123">
        <v>835</v>
      </c>
      <c r="J48" s="123"/>
      <c r="K48" s="123"/>
      <c r="L48" s="123"/>
      <c r="M48" s="123"/>
      <c r="N48" s="123"/>
      <c r="O48" s="123"/>
      <c r="P48" s="123"/>
      <c r="Q48" s="123"/>
      <c r="R48" s="123"/>
      <c r="S48" s="123"/>
      <c r="T48" s="123"/>
      <c r="U48" s="123"/>
      <c r="V48" s="123"/>
      <c r="W48" s="123"/>
    </row>
    <row r="49" spans="1:23">
      <c r="A49" s="407">
        <v>47</v>
      </c>
      <c r="B49" s="184" t="s">
        <v>2171</v>
      </c>
      <c r="C49" s="184" t="s">
        <v>2247</v>
      </c>
      <c r="D49" s="122" t="s">
        <v>2239</v>
      </c>
      <c r="E49" s="124">
        <v>42938</v>
      </c>
      <c r="F49" s="125">
        <v>0.44097222222222227</v>
      </c>
      <c r="G49" s="124">
        <v>43005</v>
      </c>
      <c r="H49" s="125">
        <v>0.46180555555555558</v>
      </c>
      <c r="I49" s="123">
        <v>836</v>
      </c>
      <c r="J49" s="123">
        <v>110</v>
      </c>
      <c r="K49" s="123">
        <v>831</v>
      </c>
      <c r="L49" s="123">
        <v>659</v>
      </c>
      <c r="M49" s="123">
        <v>606</v>
      </c>
      <c r="N49" s="123">
        <v>25.1</v>
      </c>
      <c r="O49" s="123">
        <v>6.4</v>
      </c>
      <c r="P49" s="123"/>
      <c r="Q49" s="123">
        <v>27.7</v>
      </c>
      <c r="R49" s="123">
        <v>4.3</v>
      </c>
      <c r="S49" s="123"/>
      <c r="T49" s="123" t="s">
        <v>2174</v>
      </c>
      <c r="U49" s="123"/>
      <c r="V49" s="123"/>
      <c r="W49" s="123"/>
    </row>
    <row r="50" spans="1:23">
      <c r="A50" s="407">
        <v>48</v>
      </c>
      <c r="B50" s="184" t="s">
        <v>2171</v>
      </c>
      <c r="C50" s="184" t="s">
        <v>2249</v>
      </c>
      <c r="D50" s="122" t="s">
        <v>2239</v>
      </c>
      <c r="E50" s="124">
        <v>42938</v>
      </c>
      <c r="F50" s="125">
        <v>0.4375</v>
      </c>
      <c r="G50" s="124">
        <v>43005</v>
      </c>
      <c r="H50" s="125">
        <v>0.45208333333333334</v>
      </c>
      <c r="I50" s="123">
        <v>837</v>
      </c>
      <c r="J50" s="123">
        <v>233</v>
      </c>
      <c r="K50" s="123">
        <v>828</v>
      </c>
      <c r="L50" s="123">
        <v>267</v>
      </c>
      <c r="M50" s="123">
        <v>221</v>
      </c>
      <c r="N50" s="123">
        <v>24.6</v>
      </c>
      <c r="O50" s="123">
        <v>3.6</v>
      </c>
      <c r="P50" s="123"/>
      <c r="Q50" s="123">
        <v>27.3</v>
      </c>
      <c r="R50" s="123">
        <v>4.3</v>
      </c>
      <c r="S50" s="123"/>
      <c r="T50" s="123"/>
      <c r="U50" s="123"/>
      <c r="V50" s="123"/>
      <c r="W50" s="123"/>
    </row>
    <row r="51" spans="1:23">
      <c r="A51" s="407">
        <v>49</v>
      </c>
      <c r="B51" s="184" t="s">
        <v>2171</v>
      </c>
      <c r="C51" s="184" t="s">
        <v>2250</v>
      </c>
      <c r="D51" s="122" t="s">
        <v>2251</v>
      </c>
      <c r="E51" s="124">
        <v>42938</v>
      </c>
      <c r="F51" s="125">
        <v>0.51041666666666663</v>
      </c>
      <c r="G51" s="124">
        <v>43005</v>
      </c>
      <c r="H51" s="125">
        <v>0.6958333333333333</v>
      </c>
      <c r="I51" s="123">
        <v>838</v>
      </c>
      <c r="J51" s="123">
        <v>54</v>
      </c>
      <c r="K51" s="123">
        <v>805</v>
      </c>
      <c r="L51" s="123">
        <v>812</v>
      </c>
      <c r="M51" s="123">
        <v>308</v>
      </c>
      <c r="N51" s="123">
        <v>28.6</v>
      </c>
      <c r="O51" s="123">
        <v>6.3</v>
      </c>
      <c r="P51" s="123"/>
      <c r="Q51" s="123">
        <v>34.4</v>
      </c>
      <c r="R51" s="123">
        <v>7.8</v>
      </c>
      <c r="S51" s="123"/>
      <c r="T51" s="123"/>
      <c r="U51" s="123"/>
      <c r="V51" s="123"/>
      <c r="W51" s="123" t="s">
        <v>2809</v>
      </c>
    </row>
    <row r="52" spans="1:23">
      <c r="A52" s="407">
        <v>50</v>
      </c>
      <c r="B52" s="184" t="s">
        <v>2171</v>
      </c>
      <c r="C52" s="184" t="s">
        <v>2252</v>
      </c>
      <c r="D52" s="122" t="s">
        <v>2251</v>
      </c>
      <c r="E52" s="124">
        <v>42938</v>
      </c>
      <c r="F52" s="125">
        <v>0.51041666666666663</v>
      </c>
      <c r="G52" s="124"/>
      <c r="H52" s="125"/>
      <c r="I52" s="123">
        <v>839</v>
      </c>
      <c r="J52" s="123">
        <v>276</v>
      </c>
      <c r="K52" s="123">
        <v>754</v>
      </c>
      <c r="L52" s="123">
        <v>212</v>
      </c>
      <c r="M52" s="123">
        <v>644</v>
      </c>
      <c r="N52" s="123">
        <v>27.6</v>
      </c>
      <c r="O52" s="123">
        <v>6.4</v>
      </c>
      <c r="P52" s="123" t="s">
        <v>2503</v>
      </c>
      <c r="Q52" s="123"/>
      <c r="R52" s="123"/>
      <c r="S52" s="123"/>
      <c r="T52" s="123"/>
      <c r="U52" s="123"/>
      <c r="V52" s="123"/>
      <c r="W52" s="123" t="s">
        <v>2821</v>
      </c>
    </row>
    <row r="53" spans="1:23">
      <c r="A53" s="407">
        <v>51</v>
      </c>
      <c r="B53" s="184" t="s">
        <v>2171</v>
      </c>
      <c r="C53" s="184" t="s">
        <v>2253</v>
      </c>
      <c r="D53" s="122" t="s">
        <v>2251</v>
      </c>
      <c r="E53" s="124">
        <v>42938</v>
      </c>
      <c r="F53" s="125">
        <v>0.50694444444444442</v>
      </c>
      <c r="G53" s="124">
        <v>43005</v>
      </c>
      <c r="H53" s="125">
        <v>0.70833333333333337</v>
      </c>
      <c r="I53" s="123">
        <v>840</v>
      </c>
      <c r="J53" s="123">
        <v>227</v>
      </c>
      <c r="K53" s="123">
        <v>798</v>
      </c>
      <c r="L53" s="123">
        <v>598</v>
      </c>
      <c r="M53" s="123">
        <v>242</v>
      </c>
      <c r="N53" s="123">
        <v>34</v>
      </c>
      <c r="O53" s="123">
        <v>3.2</v>
      </c>
      <c r="P53" s="123"/>
      <c r="Q53" s="123">
        <v>34.9</v>
      </c>
      <c r="R53" s="123">
        <v>1.7</v>
      </c>
      <c r="S53" s="123"/>
      <c r="T53" s="123"/>
      <c r="U53" s="123"/>
      <c r="V53" s="123"/>
      <c r="W53" s="123"/>
    </row>
    <row r="54" spans="1:23">
      <c r="A54" s="407">
        <v>52</v>
      </c>
      <c r="B54" s="184" t="s">
        <v>2171</v>
      </c>
      <c r="C54" s="184" t="s">
        <v>2254</v>
      </c>
      <c r="D54" s="122" t="s">
        <v>2251</v>
      </c>
      <c r="E54" s="124">
        <v>42938</v>
      </c>
      <c r="F54" s="125">
        <v>0.51388888888888895</v>
      </c>
      <c r="G54" s="124">
        <v>43005</v>
      </c>
      <c r="H54" s="125">
        <v>0.70416666666666661</v>
      </c>
      <c r="I54" s="121">
        <v>1253</v>
      </c>
      <c r="J54" s="123">
        <v>237</v>
      </c>
      <c r="K54" s="123">
        <v>833</v>
      </c>
      <c r="L54" s="123">
        <v>848</v>
      </c>
      <c r="M54" s="123">
        <v>618</v>
      </c>
      <c r="N54" s="123">
        <v>28.2</v>
      </c>
      <c r="O54" s="123">
        <v>8.6</v>
      </c>
      <c r="P54" s="123"/>
      <c r="Q54" s="123">
        <v>33.299999999999997</v>
      </c>
      <c r="R54" s="123">
        <v>2.9</v>
      </c>
      <c r="S54" s="123"/>
      <c r="T54" s="123"/>
      <c r="U54" s="123"/>
      <c r="V54" s="123"/>
      <c r="W54" s="123"/>
    </row>
    <row r="55" spans="1:23">
      <c r="A55" s="407">
        <v>53</v>
      </c>
      <c r="B55" s="184" t="s">
        <v>2171</v>
      </c>
      <c r="C55" s="184" t="s">
        <v>2255</v>
      </c>
      <c r="D55" s="122" t="s">
        <v>2251</v>
      </c>
      <c r="E55" s="124">
        <v>42938</v>
      </c>
      <c r="F55" s="125">
        <v>0.51736111111111105</v>
      </c>
      <c r="G55" s="124">
        <v>43005</v>
      </c>
      <c r="H55" s="125">
        <v>0.70208333333333339</v>
      </c>
      <c r="I55" s="132">
        <v>1252</v>
      </c>
      <c r="J55" s="123">
        <v>172</v>
      </c>
      <c r="K55" s="123">
        <v>734</v>
      </c>
      <c r="L55" s="123">
        <v>759</v>
      </c>
      <c r="M55" s="123">
        <v>140</v>
      </c>
      <c r="N55" s="123">
        <v>27.3</v>
      </c>
      <c r="O55" s="123">
        <v>8.9</v>
      </c>
      <c r="P55" s="123"/>
      <c r="Q55" s="123">
        <v>33.5</v>
      </c>
      <c r="R55" s="123">
        <v>4.0999999999999996</v>
      </c>
      <c r="S55" s="123"/>
      <c r="T55" s="123"/>
      <c r="U55" s="123"/>
      <c r="V55" s="123"/>
      <c r="W55" s="123"/>
    </row>
    <row r="56" spans="1:23">
      <c r="A56" s="407">
        <v>54</v>
      </c>
      <c r="B56" s="184" t="s">
        <v>2171</v>
      </c>
      <c r="C56" s="184" t="s">
        <v>2256</v>
      </c>
      <c r="D56" s="122" t="s">
        <v>2251</v>
      </c>
      <c r="E56" s="123"/>
      <c r="F56" s="123"/>
      <c r="G56" s="123"/>
      <c r="H56" s="123"/>
      <c r="I56" s="185">
        <v>843</v>
      </c>
      <c r="J56" s="123"/>
      <c r="K56" s="123"/>
      <c r="L56" s="123"/>
      <c r="M56" s="123"/>
      <c r="N56" s="123"/>
      <c r="O56" s="123"/>
      <c r="P56" s="123"/>
      <c r="Q56" s="123"/>
      <c r="R56" s="123"/>
      <c r="S56" s="123"/>
      <c r="T56" s="123"/>
      <c r="U56" s="123"/>
      <c r="V56" s="123"/>
      <c r="W56" s="123"/>
    </row>
    <row r="57" spans="1:23">
      <c r="A57" s="407">
        <v>55</v>
      </c>
      <c r="B57" s="184" t="s">
        <v>2171</v>
      </c>
      <c r="C57" s="184" t="s">
        <v>2257</v>
      </c>
      <c r="D57" s="122" t="s">
        <v>2251</v>
      </c>
      <c r="E57" s="124">
        <v>42938</v>
      </c>
      <c r="F57" s="125">
        <v>0.51041666666666663</v>
      </c>
      <c r="G57" s="124">
        <v>43005</v>
      </c>
      <c r="H57" s="125">
        <v>0.69930555555555562</v>
      </c>
      <c r="I57" s="123">
        <v>844</v>
      </c>
      <c r="J57" s="123">
        <v>86</v>
      </c>
      <c r="K57" s="129">
        <v>839</v>
      </c>
      <c r="L57" s="123">
        <v>260</v>
      </c>
      <c r="M57" s="123">
        <v>192</v>
      </c>
      <c r="N57" s="123">
        <v>28.3</v>
      </c>
      <c r="O57" s="123">
        <v>4.5999999999999996</v>
      </c>
      <c r="P57" s="123" t="s">
        <v>2504</v>
      </c>
      <c r="Q57" s="123">
        <v>35.5</v>
      </c>
      <c r="R57" s="123">
        <v>5</v>
      </c>
      <c r="S57" s="123" t="s">
        <v>2233</v>
      </c>
      <c r="T57" s="123" t="s">
        <v>2233</v>
      </c>
      <c r="U57" s="123"/>
      <c r="V57" s="123"/>
      <c r="W57" s="123"/>
    </row>
    <row r="58" spans="1:23">
      <c r="A58" s="407">
        <v>56</v>
      </c>
      <c r="B58" s="184" t="s">
        <v>2171</v>
      </c>
      <c r="C58" s="184" t="s">
        <v>2258</v>
      </c>
      <c r="D58" s="122" t="s">
        <v>2251</v>
      </c>
      <c r="E58" s="124">
        <v>42938</v>
      </c>
      <c r="F58" s="125">
        <v>0.50694444444444442</v>
      </c>
      <c r="G58" s="124">
        <v>43005</v>
      </c>
      <c r="H58" s="125">
        <v>0.70624999999999993</v>
      </c>
      <c r="I58" s="123">
        <v>845</v>
      </c>
      <c r="J58" s="123">
        <v>107</v>
      </c>
      <c r="K58" s="123">
        <v>760</v>
      </c>
      <c r="L58" s="123">
        <v>493</v>
      </c>
      <c r="M58" s="123">
        <v>227</v>
      </c>
      <c r="N58" s="123">
        <v>27.7</v>
      </c>
      <c r="O58" s="123">
        <v>9.1</v>
      </c>
      <c r="P58" s="123"/>
      <c r="Q58" s="123">
        <v>32.4</v>
      </c>
      <c r="R58" s="123">
        <v>7.5</v>
      </c>
      <c r="S58" s="123"/>
      <c r="T58" s="123"/>
      <c r="U58" s="123"/>
      <c r="V58" s="123"/>
      <c r="W58" s="123"/>
    </row>
    <row r="59" spans="1:23">
      <c r="A59" s="407">
        <v>57</v>
      </c>
      <c r="B59" s="184" t="s">
        <v>2171</v>
      </c>
      <c r="C59" s="186" t="s">
        <v>2259</v>
      </c>
      <c r="D59" s="122" t="s">
        <v>2260</v>
      </c>
      <c r="E59" s="124">
        <v>42938</v>
      </c>
      <c r="F59" s="125">
        <v>0.54513888888888895</v>
      </c>
      <c r="G59" s="124">
        <v>43005</v>
      </c>
      <c r="H59" s="125">
        <v>0.66041666666666665</v>
      </c>
      <c r="I59" s="123">
        <v>1150</v>
      </c>
      <c r="J59" s="123">
        <v>41</v>
      </c>
      <c r="K59" s="123">
        <v>830</v>
      </c>
      <c r="L59" s="123">
        <v>342</v>
      </c>
      <c r="M59" s="123">
        <v>416</v>
      </c>
      <c r="N59" s="123">
        <v>32.6</v>
      </c>
      <c r="O59" s="123">
        <v>6.2</v>
      </c>
      <c r="P59" s="123"/>
      <c r="Q59" s="123">
        <v>33.9</v>
      </c>
      <c r="R59" s="123">
        <v>1.7</v>
      </c>
      <c r="S59" s="123"/>
      <c r="T59" s="123"/>
      <c r="U59" s="123"/>
      <c r="V59" s="123"/>
      <c r="W59" s="123"/>
    </row>
    <row r="60" spans="1:23">
      <c r="A60" s="407">
        <v>58</v>
      </c>
      <c r="B60" s="184" t="s">
        <v>2171</v>
      </c>
      <c r="C60" s="186" t="s">
        <v>2262</v>
      </c>
      <c r="D60" s="122" t="s">
        <v>2260</v>
      </c>
      <c r="E60" s="124">
        <v>42938</v>
      </c>
      <c r="F60" s="125">
        <v>0.54861111111111105</v>
      </c>
      <c r="G60" s="124">
        <v>43005</v>
      </c>
      <c r="H60" s="125">
        <v>0.65763888888888888</v>
      </c>
      <c r="I60" s="123">
        <v>1148</v>
      </c>
      <c r="J60" s="123">
        <v>481</v>
      </c>
      <c r="K60" s="123">
        <v>725</v>
      </c>
      <c r="L60" s="123">
        <v>735</v>
      </c>
      <c r="M60" s="123">
        <v>689</v>
      </c>
      <c r="N60" s="123">
        <v>31.1</v>
      </c>
      <c r="O60" s="123">
        <v>9.6</v>
      </c>
      <c r="P60" s="123"/>
      <c r="Q60" s="123">
        <v>33.6</v>
      </c>
      <c r="R60" s="123">
        <v>1.8</v>
      </c>
      <c r="S60" s="123" t="s">
        <v>2174</v>
      </c>
      <c r="T60" s="123" t="s">
        <v>2174</v>
      </c>
      <c r="U60" s="123"/>
      <c r="V60" s="123"/>
      <c r="W60" s="123"/>
    </row>
    <row r="61" spans="1:23">
      <c r="A61" s="407">
        <v>59</v>
      </c>
      <c r="B61" s="184" t="s">
        <v>2171</v>
      </c>
      <c r="C61" s="186" t="s">
        <v>2263</v>
      </c>
      <c r="D61" s="122" t="s">
        <v>2260</v>
      </c>
      <c r="E61" s="124">
        <v>42938</v>
      </c>
      <c r="F61" s="125">
        <v>0.55208333333333337</v>
      </c>
      <c r="G61" s="124">
        <v>43005</v>
      </c>
      <c r="H61" s="125">
        <v>0.66666666666666663</v>
      </c>
      <c r="I61" s="123">
        <v>848</v>
      </c>
      <c r="J61" s="123">
        <v>261</v>
      </c>
      <c r="K61" s="123">
        <v>721</v>
      </c>
      <c r="L61" s="123">
        <v>558</v>
      </c>
      <c r="M61">
        <v>231</v>
      </c>
      <c r="N61" s="123">
        <v>31.6</v>
      </c>
      <c r="O61" s="123">
        <v>7.6</v>
      </c>
      <c r="P61" s="123"/>
      <c r="Q61" s="123">
        <v>32</v>
      </c>
      <c r="R61" s="123">
        <v>7.8</v>
      </c>
      <c r="S61" s="123"/>
      <c r="T61" s="123"/>
      <c r="U61" s="123"/>
      <c r="V61" s="123"/>
      <c r="W61" s="123"/>
    </row>
    <row r="62" spans="1:23">
      <c r="A62" s="407">
        <v>60</v>
      </c>
      <c r="B62" s="184" t="s">
        <v>2171</v>
      </c>
      <c r="C62" s="186" t="s">
        <v>2264</v>
      </c>
      <c r="D62" s="122" t="s">
        <v>2260</v>
      </c>
      <c r="E62" s="124">
        <v>42938</v>
      </c>
      <c r="F62" s="125">
        <v>0.55555555555555558</v>
      </c>
      <c r="G62" s="124">
        <v>43005</v>
      </c>
      <c r="H62" s="125">
        <v>0.66527777777777775</v>
      </c>
      <c r="I62" s="123">
        <v>849</v>
      </c>
      <c r="J62" s="123">
        <v>152</v>
      </c>
      <c r="K62" s="123">
        <v>763</v>
      </c>
      <c r="L62" s="123">
        <v>751</v>
      </c>
      <c r="M62" s="123">
        <v>297</v>
      </c>
      <c r="N62" s="123">
        <v>33.1</v>
      </c>
      <c r="O62" s="123">
        <v>7.4</v>
      </c>
      <c r="P62" s="123"/>
      <c r="Q62" s="123">
        <v>32.200000000000003</v>
      </c>
      <c r="R62" s="123">
        <v>3.9</v>
      </c>
      <c r="S62" s="123"/>
      <c r="T62" s="123"/>
      <c r="U62" s="123"/>
      <c r="V62" s="123"/>
      <c r="W62" s="123" t="s">
        <v>2815</v>
      </c>
    </row>
    <row r="63" spans="1:23">
      <c r="A63" s="407">
        <v>61</v>
      </c>
      <c r="B63" s="184" t="s">
        <v>2171</v>
      </c>
      <c r="C63" s="186" t="s">
        <v>2266</v>
      </c>
      <c r="D63" s="122" t="s">
        <v>2260</v>
      </c>
      <c r="E63" s="124">
        <v>42938</v>
      </c>
      <c r="F63" s="125">
        <v>0.55902777777777779</v>
      </c>
      <c r="G63" s="124">
        <v>43005</v>
      </c>
      <c r="H63" s="125">
        <v>0.65347222222222223</v>
      </c>
      <c r="I63" s="123">
        <v>1149</v>
      </c>
      <c r="J63" s="123">
        <v>191</v>
      </c>
      <c r="K63" s="123">
        <v>775</v>
      </c>
      <c r="L63" s="123">
        <v>748</v>
      </c>
      <c r="M63" s="123">
        <v>200</v>
      </c>
      <c r="N63" s="123">
        <v>33</v>
      </c>
      <c r="O63" s="123">
        <v>4.9000000000000004</v>
      </c>
      <c r="P63" s="123"/>
      <c r="Q63" s="123">
        <v>35</v>
      </c>
      <c r="R63" s="163">
        <v>4.0999999999999996</v>
      </c>
      <c r="S63" s="123"/>
      <c r="T63" s="123"/>
      <c r="U63" s="123"/>
      <c r="V63" s="123"/>
      <c r="W63" s="123" t="s">
        <v>2809</v>
      </c>
    </row>
    <row r="64" spans="1:23">
      <c r="A64" s="407">
        <v>62</v>
      </c>
      <c r="B64" s="184" t="s">
        <v>2171</v>
      </c>
      <c r="C64" s="186" t="s">
        <v>2267</v>
      </c>
      <c r="D64" s="122" t="s">
        <v>2260</v>
      </c>
      <c r="E64" s="125"/>
      <c r="F64" s="125"/>
      <c r="G64" s="124"/>
      <c r="H64" s="125"/>
      <c r="I64" s="123">
        <v>1151</v>
      </c>
      <c r="J64" s="125"/>
      <c r="K64" s="125"/>
      <c r="L64" s="125"/>
      <c r="M64" s="125"/>
      <c r="N64" s="125"/>
      <c r="O64" s="125"/>
      <c r="P64" s="125"/>
      <c r="Q64" s="123"/>
      <c r="R64" s="123"/>
      <c r="S64" s="123"/>
      <c r="T64" s="123"/>
      <c r="U64" s="123"/>
      <c r="V64" s="123"/>
      <c r="W64" s="123"/>
    </row>
    <row r="65" spans="1:23">
      <c r="A65" s="407">
        <v>63</v>
      </c>
      <c r="B65" s="184" t="s">
        <v>2171</v>
      </c>
      <c r="C65" s="186" t="s">
        <v>2269</v>
      </c>
      <c r="D65" s="122" t="s">
        <v>2260</v>
      </c>
      <c r="E65" s="124">
        <v>42938</v>
      </c>
      <c r="F65" s="125">
        <v>0.54861111111111105</v>
      </c>
      <c r="G65" s="124">
        <v>43005</v>
      </c>
      <c r="H65" s="125">
        <v>0.66180555555555554</v>
      </c>
      <c r="I65" s="123">
        <v>852</v>
      </c>
      <c r="J65" s="123">
        <v>49</v>
      </c>
      <c r="K65" s="123">
        <v>733</v>
      </c>
      <c r="L65" s="123">
        <v>629</v>
      </c>
      <c r="M65" s="123">
        <v>713</v>
      </c>
      <c r="N65" s="123">
        <v>30.5</v>
      </c>
      <c r="O65" s="123">
        <v>4.7</v>
      </c>
      <c r="P65" s="123"/>
      <c r="Q65" s="123">
        <v>32.1</v>
      </c>
      <c r="R65" s="123">
        <v>4.8</v>
      </c>
      <c r="S65" s="123"/>
      <c r="T65" s="123"/>
      <c r="U65" s="123"/>
      <c r="V65" s="123"/>
      <c r="W65" s="123"/>
    </row>
    <row r="66" spans="1:23">
      <c r="A66" s="407">
        <v>64</v>
      </c>
      <c r="B66" s="184" t="s">
        <v>2171</v>
      </c>
      <c r="C66" s="186" t="s">
        <v>2270</v>
      </c>
      <c r="D66" s="122" t="s">
        <v>2260</v>
      </c>
      <c r="E66" s="124">
        <v>42938</v>
      </c>
      <c r="F66" s="125">
        <v>0.55555555555555558</v>
      </c>
      <c r="G66" s="124">
        <v>43005</v>
      </c>
      <c r="H66" s="125">
        <v>0.66319444444444442</v>
      </c>
      <c r="I66" s="123">
        <v>853</v>
      </c>
      <c r="J66" s="129">
        <v>347</v>
      </c>
      <c r="K66" s="123">
        <v>765</v>
      </c>
      <c r="L66" s="123">
        <v>84</v>
      </c>
      <c r="M66" s="129">
        <v>237</v>
      </c>
      <c r="N66" s="123">
        <v>30.4</v>
      </c>
      <c r="O66" s="123">
        <v>3.5</v>
      </c>
      <c r="P66" s="123"/>
      <c r="Q66" s="123">
        <v>32.6</v>
      </c>
      <c r="R66" s="123">
        <v>7.6</v>
      </c>
      <c r="S66" s="123"/>
      <c r="T66" s="123"/>
      <c r="U66" s="123"/>
      <c r="V66" s="123"/>
      <c r="W66" s="123"/>
    </row>
    <row r="67" spans="1:23">
      <c r="A67" s="407">
        <v>65</v>
      </c>
      <c r="B67" s="184" t="s">
        <v>2271</v>
      </c>
      <c r="C67" s="184" t="s">
        <v>2272</v>
      </c>
      <c r="D67" s="122" t="s">
        <v>2273</v>
      </c>
      <c r="E67" s="124">
        <v>42937</v>
      </c>
      <c r="F67" s="125">
        <v>0.50347222222222221</v>
      </c>
      <c r="G67" s="124">
        <v>43005</v>
      </c>
      <c r="H67" s="125">
        <v>0.58472222222222225</v>
      </c>
      <c r="I67" s="123">
        <v>906</v>
      </c>
      <c r="J67" s="123">
        <v>495</v>
      </c>
      <c r="K67" s="123">
        <v>731</v>
      </c>
      <c r="L67" s="163">
        <v>586</v>
      </c>
      <c r="M67" s="163">
        <v>654</v>
      </c>
      <c r="N67" s="123">
        <v>27.1</v>
      </c>
      <c r="O67" s="123">
        <v>11.5</v>
      </c>
      <c r="P67" s="123"/>
      <c r="Q67" s="123">
        <v>28.9</v>
      </c>
      <c r="R67" s="123">
        <v>9.8000000000000007</v>
      </c>
      <c r="S67" s="123"/>
      <c r="T67" s="123"/>
      <c r="U67" s="123"/>
      <c r="V67" s="123"/>
      <c r="W67" s="123" t="s">
        <v>2822</v>
      </c>
    </row>
    <row r="68" spans="1:23">
      <c r="A68" s="407">
        <v>66</v>
      </c>
      <c r="B68" s="184" t="s">
        <v>2271</v>
      </c>
      <c r="C68" s="184" t="s">
        <v>2274</v>
      </c>
      <c r="D68" s="122" t="s">
        <v>2273</v>
      </c>
      <c r="E68" s="124">
        <v>42937</v>
      </c>
      <c r="F68" s="125">
        <v>0.49652777777777773</v>
      </c>
      <c r="G68" s="124">
        <v>43005</v>
      </c>
      <c r="H68" s="125">
        <v>0.59722222222222221</v>
      </c>
      <c r="I68" s="123">
        <v>1096</v>
      </c>
      <c r="J68" s="123">
        <v>247</v>
      </c>
      <c r="K68" s="123">
        <v>816</v>
      </c>
      <c r="L68" s="123">
        <v>851</v>
      </c>
      <c r="M68" s="123">
        <v>634</v>
      </c>
      <c r="N68" s="123">
        <v>21.3</v>
      </c>
      <c r="O68" s="123">
        <v>11.3</v>
      </c>
      <c r="P68" s="123"/>
      <c r="Q68" s="123">
        <v>25.9</v>
      </c>
      <c r="R68" s="123">
        <v>8.9</v>
      </c>
      <c r="S68" s="123" t="s">
        <v>2190</v>
      </c>
      <c r="T68" s="123"/>
      <c r="U68" s="123"/>
      <c r="V68" s="123"/>
      <c r="W68" s="123"/>
    </row>
    <row r="69" spans="1:23">
      <c r="A69" s="407">
        <v>67</v>
      </c>
      <c r="B69" s="184" t="s">
        <v>2271</v>
      </c>
      <c r="C69" s="184" t="s">
        <v>2275</v>
      </c>
      <c r="D69" s="122" t="s">
        <v>2273</v>
      </c>
      <c r="E69" s="125"/>
      <c r="F69" s="125"/>
      <c r="G69" s="124"/>
      <c r="H69" s="125"/>
      <c r="I69" s="123">
        <v>908</v>
      </c>
      <c r="J69" s="125"/>
      <c r="K69" s="125"/>
      <c r="L69" s="125"/>
      <c r="M69" s="125"/>
      <c r="N69" s="125"/>
      <c r="O69" s="125"/>
      <c r="P69" s="125"/>
      <c r="Q69" s="123"/>
      <c r="R69" s="123"/>
      <c r="S69" s="123"/>
      <c r="T69" s="123"/>
      <c r="U69" s="123"/>
      <c r="V69" s="123"/>
      <c r="W69" s="123"/>
    </row>
    <row r="70" spans="1:23">
      <c r="A70" s="407">
        <v>68</v>
      </c>
      <c r="B70" s="184" t="s">
        <v>2271</v>
      </c>
      <c r="C70" s="184" t="s">
        <v>2276</v>
      </c>
      <c r="D70" s="122" t="s">
        <v>2273</v>
      </c>
      <c r="E70" s="124">
        <v>42937</v>
      </c>
      <c r="F70" s="125">
        <v>0.49652777777777773</v>
      </c>
      <c r="G70" s="124">
        <v>43005</v>
      </c>
      <c r="H70" s="125">
        <v>0.59513888888888888</v>
      </c>
      <c r="I70" s="123">
        <v>1102</v>
      </c>
      <c r="J70" s="123">
        <v>63</v>
      </c>
      <c r="K70" s="123">
        <v>815</v>
      </c>
      <c r="L70" s="123">
        <v>467</v>
      </c>
      <c r="M70" s="123">
        <v>201</v>
      </c>
      <c r="N70" s="123">
        <v>25.6</v>
      </c>
      <c r="O70" s="123">
        <v>7.9</v>
      </c>
      <c r="P70" s="123"/>
      <c r="Q70" s="123">
        <v>28.1</v>
      </c>
      <c r="R70" s="123">
        <v>7.6</v>
      </c>
      <c r="S70" s="123"/>
      <c r="T70" s="123"/>
      <c r="U70" s="123"/>
      <c r="V70" s="123"/>
      <c r="W70" s="123"/>
    </row>
    <row r="71" spans="1:23">
      <c r="A71" s="407">
        <v>69</v>
      </c>
      <c r="B71" s="184" t="s">
        <v>2271</v>
      </c>
      <c r="C71" s="184" t="s">
        <v>2277</v>
      </c>
      <c r="D71" s="122" t="s">
        <v>2273</v>
      </c>
      <c r="E71" s="124">
        <v>42937</v>
      </c>
      <c r="F71" s="125">
        <v>0.50347222222222221</v>
      </c>
      <c r="G71" s="124">
        <v>43006</v>
      </c>
      <c r="H71" s="125">
        <v>0.58958333333333335</v>
      </c>
      <c r="I71" s="123">
        <v>910</v>
      </c>
      <c r="J71" s="123">
        <v>382</v>
      </c>
      <c r="K71" s="123">
        <v>741</v>
      </c>
      <c r="L71" s="123">
        <v>766</v>
      </c>
      <c r="M71" s="123">
        <v>174</v>
      </c>
      <c r="N71" s="123">
        <v>25</v>
      </c>
      <c r="O71" s="123">
        <v>7.6</v>
      </c>
      <c r="P71" s="92"/>
      <c r="Q71" s="123">
        <v>28.1</v>
      </c>
      <c r="R71" s="123">
        <v>8.3000000000000007</v>
      </c>
      <c r="S71" s="123"/>
      <c r="T71" s="123" t="s">
        <v>2314</v>
      </c>
      <c r="U71" s="123"/>
      <c r="V71" s="123"/>
      <c r="W71" s="123"/>
    </row>
    <row r="72" spans="1:23">
      <c r="A72" s="407">
        <v>70</v>
      </c>
      <c r="B72" s="184" t="s">
        <v>2271</v>
      </c>
      <c r="C72" s="184" t="s">
        <v>2278</v>
      </c>
      <c r="D72" s="122" t="s">
        <v>2273</v>
      </c>
      <c r="E72" s="124">
        <v>42937</v>
      </c>
      <c r="F72" s="125">
        <v>0.5</v>
      </c>
      <c r="G72" s="124">
        <v>43006</v>
      </c>
      <c r="H72" s="125">
        <v>0.58750000000000002</v>
      </c>
      <c r="I72" s="123">
        <v>911</v>
      </c>
      <c r="J72" s="123">
        <v>278</v>
      </c>
      <c r="K72" s="123">
        <v>294</v>
      </c>
      <c r="L72" s="129">
        <v>430</v>
      </c>
      <c r="M72" s="123">
        <v>261</v>
      </c>
      <c r="N72" s="123">
        <v>25.8</v>
      </c>
      <c r="O72" s="123">
        <v>10.199999999999999</v>
      </c>
      <c r="P72" s="123"/>
      <c r="Q72" s="123">
        <v>28.6</v>
      </c>
      <c r="R72" s="123">
        <v>7.4</v>
      </c>
      <c r="S72" s="123"/>
      <c r="T72" s="123" t="s">
        <v>2190</v>
      </c>
      <c r="U72" s="123"/>
      <c r="V72" s="123"/>
      <c r="W72" s="123"/>
    </row>
    <row r="73" spans="1:23">
      <c r="A73" s="407">
        <v>71</v>
      </c>
      <c r="B73" s="184" t="s">
        <v>2271</v>
      </c>
      <c r="C73" s="184" t="s">
        <v>2279</v>
      </c>
      <c r="D73" s="122" t="s">
        <v>2273</v>
      </c>
      <c r="E73" s="124">
        <v>42937</v>
      </c>
      <c r="F73" s="125">
        <v>0.49305555555555558</v>
      </c>
      <c r="G73" s="124">
        <v>43006</v>
      </c>
      <c r="H73" s="125">
        <v>0.59097222222222223</v>
      </c>
      <c r="I73" s="123">
        <v>912</v>
      </c>
      <c r="J73" s="123">
        <v>138</v>
      </c>
      <c r="K73" s="123">
        <v>761</v>
      </c>
      <c r="L73" s="123">
        <v>174</v>
      </c>
      <c r="M73" s="123">
        <v>203</v>
      </c>
      <c r="N73" s="123">
        <v>26.8</v>
      </c>
      <c r="O73" s="123">
        <v>8.8000000000000007</v>
      </c>
      <c r="P73" s="123"/>
      <c r="Q73" s="123">
        <v>28.4</v>
      </c>
      <c r="R73" s="123">
        <v>11.1</v>
      </c>
      <c r="S73" s="123"/>
      <c r="T73" s="123"/>
      <c r="U73" s="123"/>
      <c r="V73" s="123"/>
      <c r="W73" s="123"/>
    </row>
    <row r="74" spans="1:23">
      <c r="A74" s="407">
        <v>72</v>
      </c>
      <c r="B74" s="184" t="s">
        <v>2271</v>
      </c>
      <c r="C74" s="184" t="s">
        <v>2280</v>
      </c>
      <c r="D74" s="122" t="s">
        <v>2273</v>
      </c>
      <c r="E74" s="124">
        <v>42937</v>
      </c>
      <c r="F74" s="125">
        <v>0.49305555555555558</v>
      </c>
      <c r="G74" s="124">
        <v>43006</v>
      </c>
      <c r="H74" s="125">
        <v>0.59305555555555556</v>
      </c>
      <c r="I74" s="123">
        <v>913</v>
      </c>
      <c r="J74" s="123">
        <v>431</v>
      </c>
      <c r="K74" s="123">
        <v>780</v>
      </c>
      <c r="L74" s="123">
        <v>714</v>
      </c>
      <c r="M74" s="123">
        <v>191</v>
      </c>
      <c r="N74" s="123">
        <v>25.6</v>
      </c>
      <c r="O74" s="123">
        <v>9.1999999999999993</v>
      </c>
      <c r="P74" s="123"/>
      <c r="Q74" s="123">
        <v>27.1</v>
      </c>
      <c r="R74" s="123">
        <v>9.8000000000000007</v>
      </c>
      <c r="S74" s="123"/>
      <c r="T74" s="123"/>
      <c r="U74" s="123"/>
      <c r="V74" s="123"/>
      <c r="W74" s="123"/>
    </row>
    <row r="75" spans="1:23">
      <c r="A75" s="407">
        <v>73</v>
      </c>
      <c r="B75" s="184" t="s">
        <v>2271</v>
      </c>
      <c r="C75" s="184" t="s">
        <v>2281</v>
      </c>
      <c r="D75" s="122" t="s">
        <v>2282</v>
      </c>
      <c r="E75" s="124">
        <v>42937</v>
      </c>
      <c r="F75" s="125">
        <v>0.66319444444444442</v>
      </c>
      <c r="G75" s="124">
        <v>43006</v>
      </c>
      <c r="H75" s="125">
        <v>0.65</v>
      </c>
      <c r="I75" s="123">
        <v>1132</v>
      </c>
      <c r="J75" s="123">
        <v>321</v>
      </c>
      <c r="K75" s="123">
        <v>730</v>
      </c>
      <c r="L75" s="123">
        <v>726</v>
      </c>
      <c r="M75" s="123">
        <v>160</v>
      </c>
      <c r="N75" s="123">
        <v>27.8</v>
      </c>
      <c r="O75" s="123">
        <v>10.4</v>
      </c>
      <c r="P75" s="123"/>
      <c r="Q75" s="123">
        <v>28.9</v>
      </c>
      <c r="R75" s="123">
        <v>8.6999999999999993</v>
      </c>
      <c r="S75" s="123"/>
      <c r="T75" s="123"/>
      <c r="U75" s="123"/>
      <c r="V75" s="123"/>
      <c r="W75" s="123" t="s">
        <v>2822</v>
      </c>
    </row>
    <row r="76" spans="1:23">
      <c r="A76" s="407">
        <v>74</v>
      </c>
      <c r="B76" s="184" t="s">
        <v>2271</v>
      </c>
      <c r="C76" s="184" t="s">
        <v>2283</v>
      </c>
      <c r="D76" s="122" t="s">
        <v>2282</v>
      </c>
      <c r="E76" s="124">
        <v>42937</v>
      </c>
      <c r="F76" s="125">
        <v>0.65972222222222221</v>
      </c>
      <c r="G76" s="124">
        <v>43006</v>
      </c>
      <c r="H76" s="125">
        <v>0.6430555555555556</v>
      </c>
      <c r="I76" s="123">
        <v>1129</v>
      </c>
      <c r="J76" s="123">
        <v>329</v>
      </c>
      <c r="K76" s="123">
        <v>825</v>
      </c>
      <c r="L76" s="123">
        <v>866</v>
      </c>
      <c r="M76" s="123">
        <v>275</v>
      </c>
      <c r="N76" s="123">
        <v>27.3</v>
      </c>
      <c r="O76" s="123">
        <v>10.8</v>
      </c>
      <c r="P76" s="123" t="s">
        <v>2506</v>
      </c>
      <c r="Q76" s="123">
        <v>28.9</v>
      </c>
      <c r="R76" s="123">
        <v>10.8</v>
      </c>
      <c r="S76" s="123"/>
      <c r="T76" s="123"/>
      <c r="U76" s="123"/>
      <c r="V76" s="123"/>
      <c r="W76" s="123"/>
    </row>
    <row r="77" spans="1:23">
      <c r="A77" s="407">
        <v>75</v>
      </c>
      <c r="B77" s="184" t="s">
        <v>2271</v>
      </c>
      <c r="C77" s="184" t="s">
        <v>2284</v>
      </c>
      <c r="D77" s="122" t="s">
        <v>2282</v>
      </c>
      <c r="E77" s="124">
        <v>42937</v>
      </c>
      <c r="F77" s="125">
        <v>0.65972222222222221</v>
      </c>
      <c r="G77" s="124">
        <v>43006</v>
      </c>
      <c r="H77" s="125">
        <v>0.65972222222222221</v>
      </c>
      <c r="I77" s="123">
        <v>1133</v>
      </c>
      <c r="J77" s="123">
        <v>215</v>
      </c>
      <c r="K77" s="123">
        <v>840</v>
      </c>
      <c r="L77" s="123">
        <v>705</v>
      </c>
      <c r="M77" s="123">
        <v>657</v>
      </c>
      <c r="N77" s="123">
        <v>25.1</v>
      </c>
      <c r="O77" s="123">
        <v>13</v>
      </c>
      <c r="P77" s="123"/>
      <c r="Q77" s="123">
        <v>29.3</v>
      </c>
      <c r="R77" s="123">
        <v>11.6</v>
      </c>
      <c r="S77" s="123" t="s">
        <v>2174</v>
      </c>
      <c r="T77" s="123"/>
      <c r="U77" s="123"/>
      <c r="V77" s="123"/>
      <c r="W77" s="123"/>
    </row>
    <row r="78" spans="1:23">
      <c r="A78" s="407">
        <v>76</v>
      </c>
      <c r="B78" s="184" t="s">
        <v>2271</v>
      </c>
      <c r="C78" s="184" t="s">
        <v>2285</v>
      </c>
      <c r="D78" s="122" t="s">
        <v>2282</v>
      </c>
      <c r="E78" s="124">
        <v>42937</v>
      </c>
      <c r="F78" s="125">
        <v>0.65625</v>
      </c>
      <c r="G78" s="124">
        <v>43006</v>
      </c>
      <c r="H78" s="125">
        <v>0.66111111111111109</v>
      </c>
      <c r="I78" s="123">
        <v>917</v>
      </c>
      <c r="J78" s="132">
        <v>60</v>
      </c>
      <c r="K78" s="123">
        <v>770</v>
      </c>
      <c r="L78" s="123">
        <v>601</v>
      </c>
      <c r="M78" s="123">
        <v>306</v>
      </c>
      <c r="N78" s="123">
        <v>27.5</v>
      </c>
      <c r="O78" s="123">
        <v>11.2</v>
      </c>
      <c r="P78" s="123"/>
      <c r="Q78" s="123">
        <v>28</v>
      </c>
      <c r="R78" s="123">
        <v>11</v>
      </c>
      <c r="S78" s="123"/>
      <c r="T78" s="123"/>
      <c r="U78" s="123"/>
      <c r="V78" s="123"/>
      <c r="W78" s="123"/>
    </row>
    <row r="79" spans="1:23">
      <c r="A79" s="407">
        <v>77</v>
      </c>
      <c r="B79" s="184" t="s">
        <v>2271</v>
      </c>
      <c r="C79" s="184" t="s">
        <v>2286</v>
      </c>
      <c r="D79" s="122" t="s">
        <v>2282</v>
      </c>
      <c r="E79" s="123"/>
      <c r="F79" s="123"/>
      <c r="G79" s="123"/>
      <c r="H79" s="125"/>
      <c r="I79" s="123">
        <v>1134</v>
      </c>
      <c r="J79" s="123"/>
      <c r="K79" s="123"/>
      <c r="L79" s="123"/>
      <c r="M79" s="123"/>
      <c r="N79" s="123"/>
      <c r="O79" s="123"/>
      <c r="P79" s="123"/>
      <c r="Q79" s="123"/>
      <c r="R79" s="123"/>
      <c r="S79" s="123"/>
      <c r="T79" s="123"/>
      <c r="U79" s="123"/>
      <c r="V79" s="123"/>
      <c r="W79" s="123"/>
    </row>
    <row r="80" spans="1:23">
      <c r="A80" s="407">
        <v>78</v>
      </c>
      <c r="B80" s="184" t="s">
        <v>2271</v>
      </c>
      <c r="C80" s="184" t="s">
        <v>2287</v>
      </c>
      <c r="D80" s="122" t="s">
        <v>2282</v>
      </c>
      <c r="E80" s="124">
        <v>42937</v>
      </c>
      <c r="F80" s="125">
        <v>0.66319444444444442</v>
      </c>
      <c r="G80" s="124">
        <v>43006</v>
      </c>
      <c r="H80" s="125">
        <v>0.65138888888888891</v>
      </c>
      <c r="I80" s="123">
        <v>1135</v>
      </c>
      <c r="J80" s="123">
        <v>97</v>
      </c>
      <c r="K80" s="123">
        <v>696</v>
      </c>
      <c r="L80" s="123">
        <v>157</v>
      </c>
      <c r="M80" s="123">
        <v>377</v>
      </c>
      <c r="N80" s="123">
        <v>27.1</v>
      </c>
      <c r="O80" s="123">
        <v>13.2</v>
      </c>
      <c r="P80" s="123"/>
      <c r="Q80" s="123">
        <v>29.6</v>
      </c>
      <c r="R80" s="123">
        <v>9.1</v>
      </c>
      <c r="S80" s="123" t="s">
        <v>2174</v>
      </c>
      <c r="T80" s="123" t="s">
        <v>2174</v>
      </c>
      <c r="U80" s="123"/>
      <c r="V80" s="123"/>
      <c r="W80" s="123"/>
    </row>
    <row r="81" spans="1:23">
      <c r="A81" s="407">
        <v>79</v>
      </c>
      <c r="B81" s="184" t="s">
        <v>2271</v>
      </c>
      <c r="C81" s="184" t="s">
        <v>2288</v>
      </c>
      <c r="D81" s="122" t="s">
        <v>2282</v>
      </c>
      <c r="E81" s="124">
        <v>42937</v>
      </c>
      <c r="F81" s="125">
        <v>0.66666666666666663</v>
      </c>
      <c r="G81" s="124">
        <v>43006</v>
      </c>
      <c r="H81" s="125">
        <v>0.65486111111111112</v>
      </c>
      <c r="I81" s="123">
        <v>920</v>
      </c>
      <c r="J81" s="123">
        <v>130</v>
      </c>
      <c r="K81" s="123">
        <v>270</v>
      </c>
      <c r="L81" s="123">
        <v>226</v>
      </c>
      <c r="M81" s="123">
        <v>61</v>
      </c>
      <c r="N81" s="123">
        <v>23.8</v>
      </c>
      <c r="O81" s="123">
        <v>7.5</v>
      </c>
      <c r="P81" s="123"/>
      <c r="Q81" s="123">
        <v>28.7</v>
      </c>
      <c r="R81" s="123">
        <v>10.9</v>
      </c>
      <c r="S81" s="123"/>
      <c r="T81" s="123"/>
      <c r="U81" s="123"/>
      <c r="V81" s="123"/>
      <c r="W81" s="123"/>
    </row>
    <row r="82" spans="1:23">
      <c r="A82" s="407">
        <v>80</v>
      </c>
      <c r="B82" s="184" t="s">
        <v>2271</v>
      </c>
      <c r="C82" s="184" t="s">
        <v>2289</v>
      </c>
      <c r="D82" s="122" t="s">
        <v>2282</v>
      </c>
      <c r="E82" s="124">
        <v>42937</v>
      </c>
      <c r="F82" s="125">
        <v>0.65972222222222221</v>
      </c>
      <c r="G82" s="124">
        <v>43006</v>
      </c>
      <c r="H82" s="125">
        <v>0.65763888888888888</v>
      </c>
      <c r="I82" s="123">
        <v>1103</v>
      </c>
      <c r="J82" s="123">
        <v>24</v>
      </c>
      <c r="K82" s="123">
        <v>726</v>
      </c>
      <c r="L82" s="123">
        <v>855</v>
      </c>
      <c r="M82" s="129">
        <v>620</v>
      </c>
      <c r="N82" s="123">
        <v>26.5</v>
      </c>
      <c r="O82" s="123">
        <v>12.4</v>
      </c>
      <c r="P82" s="123"/>
      <c r="Q82" s="123">
        <v>28.9</v>
      </c>
      <c r="R82" s="123">
        <v>11.1</v>
      </c>
      <c r="S82" s="123"/>
      <c r="T82" s="123"/>
      <c r="U82" s="123"/>
      <c r="V82" s="123"/>
      <c r="W82" s="123"/>
    </row>
    <row r="83" spans="1:23">
      <c r="A83" s="407">
        <v>81</v>
      </c>
      <c r="B83" s="184" t="s">
        <v>2271</v>
      </c>
      <c r="C83" s="184" t="s">
        <v>2290</v>
      </c>
      <c r="D83" s="122" t="s">
        <v>2291</v>
      </c>
      <c r="E83" s="124">
        <v>42937</v>
      </c>
      <c r="F83" s="125">
        <v>0.3298611111111111</v>
      </c>
      <c r="G83" s="124">
        <v>43006</v>
      </c>
      <c r="H83" s="125">
        <v>0.49513888888888885</v>
      </c>
      <c r="I83" s="123">
        <v>892</v>
      </c>
      <c r="J83" s="123">
        <v>312</v>
      </c>
      <c r="K83" s="123">
        <v>739</v>
      </c>
      <c r="L83" s="123">
        <v>413</v>
      </c>
      <c r="M83" s="123">
        <v>366</v>
      </c>
      <c r="N83" s="123">
        <v>24.9</v>
      </c>
      <c r="O83" s="123">
        <v>11.3</v>
      </c>
      <c r="P83" s="123"/>
      <c r="Q83" s="123">
        <v>27.8</v>
      </c>
      <c r="R83" s="123">
        <v>12.4</v>
      </c>
      <c r="S83" s="123"/>
      <c r="T83" s="123"/>
      <c r="U83" s="123"/>
      <c r="V83" s="123"/>
      <c r="W83" s="123"/>
    </row>
    <row r="84" spans="1:23">
      <c r="A84" s="407">
        <v>82</v>
      </c>
      <c r="B84" s="184" t="s">
        <v>2271</v>
      </c>
      <c r="C84" s="184" t="s">
        <v>2293</v>
      </c>
      <c r="D84" s="122" t="s">
        <v>2291</v>
      </c>
      <c r="E84" s="124">
        <v>42937</v>
      </c>
      <c r="F84" s="125">
        <v>0.31944444444444448</v>
      </c>
      <c r="G84" s="124">
        <v>43006</v>
      </c>
      <c r="H84" s="125">
        <v>0.49374999999999997</v>
      </c>
      <c r="I84" s="187">
        <v>1128</v>
      </c>
      <c r="J84" s="123">
        <v>356</v>
      </c>
      <c r="K84" s="123">
        <v>800</v>
      </c>
      <c r="L84" s="123">
        <v>370</v>
      </c>
      <c r="M84" s="123">
        <v>610</v>
      </c>
      <c r="N84" s="123">
        <v>24.2</v>
      </c>
      <c r="O84" s="123">
        <v>10.7</v>
      </c>
      <c r="P84" s="123"/>
      <c r="Q84" s="123">
        <v>26.8</v>
      </c>
      <c r="R84" s="123">
        <v>9.1999999999999993</v>
      </c>
      <c r="S84" s="123"/>
      <c r="T84" s="123"/>
      <c r="U84" s="123"/>
      <c r="V84" s="123"/>
      <c r="W84" s="123"/>
    </row>
    <row r="85" spans="1:23">
      <c r="A85" s="407">
        <v>83</v>
      </c>
      <c r="B85" s="184" t="s">
        <v>2271</v>
      </c>
      <c r="C85" s="184" t="s">
        <v>2294</v>
      </c>
      <c r="D85" s="122" t="s">
        <v>2291</v>
      </c>
      <c r="E85" s="124">
        <v>42937</v>
      </c>
      <c r="F85" s="125">
        <v>0.3125</v>
      </c>
      <c r="G85" s="124">
        <v>43006</v>
      </c>
      <c r="H85" s="125">
        <v>0.4909722222222222</v>
      </c>
      <c r="I85" s="123">
        <v>886</v>
      </c>
      <c r="J85" s="123">
        <v>331</v>
      </c>
      <c r="K85" s="123">
        <v>764</v>
      </c>
      <c r="L85" s="123">
        <v>879</v>
      </c>
      <c r="M85" s="123">
        <v>614</v>
      </c>
      <c r="N85" s="123">
        <v>23.8</v>
      </c>
      <c r="O85" s="123">
        <v>11.1</v>
      </c>
      <c r="P85" s="123"/>
      <c r="Q85" s="123">
        <v>28.3</v>
      </c>
      <c r="R85" s="123">
        <v>9</v>
      </c>
      <c r="S85" s="123" t="s">
        <v>2174</v>
      </c>
      <c r="T85" s="123"/>
      <c r="U85" s="123"/>
      <c r="V85" s="123"/>
      <c r="W85" s="123"/>
    </row>
    <row r="86" spans="1:23">
      <c r="A86" s="407">
        <v>84</v>
      </c>
      <c r="B86" s="184" t="s">
        <v>2271</v>
      </c>
      <c r="C86" s="184" t="s">
        <v>2295</v>
      </c>
      <c r="D86" s="122" t="s">
        <v>2291</v>
      </c>
      <c r="E86" s="124">
        <v>42937</v>
      </c>
      <c r="F86" s="125">
        <v>0.31944444444444448</v>
      </c>
      <c r="G86" s="124">
        <v>43006</v>
      </c>
      <c r="H86" s="125">
        <v>0.49236111111111108</v>
      </c>
      <c r="I86" s="123">
        <v>887</v>
      </c>
      <c r="J86" s="129">
        <v>101</v>
      </c>
      <c r="K86" s="123">
        <v>778</v>
      </c>
      <c r="L86" s="123">
        <v>854</v>
      </c>
      <c r="M86" s="123">
        <v>720</v>
      </c>
      <c r="N86" s="123">
        <v>24.9</v>
      </c>
      <c r="O86" s="123">
        <v>8.8000000000000007</v>
      </c>
      <c r="P86" s="123"/>
      <c r="Q86" s="123">
        <v>28.2</v>
      </c>
      <c r="R86" s="123">
        <v>11.5</v>
      </c>
      <c r="S86" s="123" t="s">
        <v>2174</v>
      </c>
      <c r="T86" s="123"/>
      <c r="U86" s="123"/>
      <c r="V86" s="123"/>
      <c r="W86" s="123"/>
    </row>
    <row r="87" spans="1:23">
      <c r="A87" s="407">
        <v>85</v>
      </c>
      <c r="B87" s="184" t="s">
        <v>2271</v>
      </c>
      <c r="C87" s="184" t="s">
        <v>2296</v>
      </c>
      <c r="D87" s="122" t="s">
        <v>2291</v>
      </c>
      <c r="E87" s="123"/>
      <c r="F87" s="123"/>
      <c r="G87" s="123"/>
      <c r="H87" s="123"/>
      <c r="I87" s="123">
        <v>888</v>
      </c>
      <c r="J87" s="123"/>
      <c r="K87" s="123"/>
      <c r="L87" s="123"/>
      <c r="M87" s="123"/>
      <c r="N87" s="123"/>
      <c r="O87" s="123"/>
      <c r="P87" s="123"/>
      <c r="Q87" s="123"/>
      <c r="R87" s="123"/>
      <c r="S87" s="123"/>
      <c r="T87" s="123"/>
      <c r="U87" s="123"/>
      <c r="V87" s="123"/>
      <c r="W87" s="123"/>
    </row>
    <row r="88" spans="1:23">
      <c r="A88" s="407">
        <v>86</v>
      </c>
      <c r="B88" s="184" t="s">
        <v>2271</v>
      </c>
      <c r="C88" s="184" t="s">
        <v>2297</v>
      </c>
      <c r="D88" s="122" t="s">
        <v>2291</v>
      </c>
      <c r="E88" s="124">
        <v>42937</v>
      </c>
      <c r="F88" s="125">
        <v>0.3125</v>
      </c>
      <c r="G88" s="124">
        <v>43006</v>
      </c>
      <c r="H88" s="125">
        <v>0.4861111111111111</v>
      </c>
      <c r="I88" s="123">
        <v>889</v>
      </c>
      <c r="J88" s="123">
        <v>31</v>
      </c>
      <c r="K88" s="123">
        <v>738</v>
      </c>
      <c r="L88" s="123">
        <v>788</v>
      </c>
      <c r="M88" s="123">
        <v>643</v>
      </c>
      <c r="N88" s="123">
        <v>25.8</v>
      </c>
      <c r="O88" s="123">
        <v>13.4</v>
      </c>
      <c r="P88" s="123"/>
      <c r="Q88" s="123">
        <v>28</v>
      </c>
      <c r="R88" s="123">
        <v>10.1</v>
      </c>
      <c r="S88" s="123" t="s">
        <v>2174</v>
      </c>
      <c r="T88" s="123"/>
      <c r="U88" s="123"/>
      <c r="V88" s="123"/>
      <c r="W88" s="123" t="s">
        <v>2822</v>
      </c>
    </row>
    <row r="89" spans="1:23">
      <c r="A89" s="407">
        <v>87</v>
      </c>
      <c r="B89" s="184" t="s">
        <v>2271</v>
      </c>
      <c r="C89" s="184" t="s">
        <v>2298</v>
      </c>
      <c r="D89" s="122" t="s">
        <v>2291</v>
      </c>
      <c r="E89" s="124">
        <v>42937</v>
      </c>
      <c r="F89" s="125">
        <v>0.3263888888888889</v>
      </c>
      <c r="G89" s="124">
        <v>43006</v>
      </c>
      <c r="H89" s="125">
        <v>0.49861111111111112</v>
      </c>
      <c r="I89" s="123">
        <v>890</v>
      </c>
      <c r="J89" s="123">
        <v>220</v>
      </c>
      <c r="K89" s="123">
        <v>394</v>
      </c>
      <c r="L89" s="123">
        <v>91</v>
      </c>
      <c r="M89" s="123">
        <v>277</v>
      </c>
      <c r="N89" s="123">
        <v>21.6</v>
      </c>
      <c r="O89" s="123">
        <v>11.3</v>
      </c>
      <c r="P89" s="123"/>
      <c r="Q89" s="123">
        <v>27</v>
      </c>
      <c r="R89" s="123">
        <v>10</v>
      </c>
      <c r="S89" s="123"/>
      <c r="T89" s="123"/>
      <c r="U89" s="123"/>
      <c r="V89" s="123"/>
      <c r="W89" s="123"/>
    </row>
    <row r="90" spans="1:23">
      <c r="A90" s="407">
        <v>88</v>
      </c>
      <c r="B90" s="184" t="s">
        <v>2271</v>
      </c>
      <c r="C90" s="184" t="s">
        <v>2299</v>
      </c>
      <c r="D90" s="122" t="s">
        <v>2291</v>
      </c>
      <c r="E90" s="124">
        <v>42937</v>
      </c>
      <c r="F90" s="125">
        <v>0.32291666666666669</v>
      </c>
      <c r="G90" s="124">
        <v>43006</v>
      </c>
      <c r="H90" s="125">
        <v>0.49722222222222223</v>
      </c>
      <c r="I90" s="129">
        <v>891</v>
      </c>
      <c r="J90" s="123">
        <v>531</v>
      </c>
      <c r="K90" s="123">
        <v>810</v>
      </c>
      <c r="L90" s="123">
        <v>364</v>
      </c>
      <c r="M90" s="123">
        <v>197</v>
      </c>
      <c r="N90" s="123">
        <v>24.7</v>
      </c>
      <c r="O90" s="123">
        <v>11.1</v>
      </c>
      <c r="P90" s="123"/>
      <c r="Q90" s="123">
        <v>27.4</v>
      </c>
      <c r="R90" s="123">
        <v>12.3</v>
      </c>
      <c r="S90" s="123"/>
      <c r="T90" s="123"/>
      <c r="U90" s="123"/>
      <c r="V90" s="123"/>
      <c r="W90" s="123"/>
    </row>
    <row r="91" spans="1:23">
      <c r="A91" s="407">
        <v>89</v>
      </c>
      <c r="B91" s="184" t="s">
        <v>2271</v>
      </c>
      <c r="C91" s="184" t="s">
        <v>2300</v>
      </c>
      <c r="D91" s="122" t="s">
        <v>2301</v>
      </c>
      <c r="E91" s="124">
        <v>42937</v>
      </c>
      <c r="F91" s="125">
        <v>0.40972222222222227</v>
      </c>
      <c r="G91" s="124">
        <v>43006</v>
      </c>
      <c r="H91" s="125">
        <v>0.42083333333333334</v>
      </c>
      <c r="I91" s="123">
        <v>898</v>
      </c>
      <c r="J91" s="123">
        <v>35</v>
      </c>
      <c r="K91" s="123">
        <v>818</v>
      </c>
      <c r="L91" s="123">
        <v>862</v>
      </c>
      <c r="M91" s="123">
        <v>841</v>
      </c>
      <c r="N91" s="123">
        <v>25.2</v>
      </c>
      <c r="O91" s="123">
        <v>11.6</v>
      </c>
      <c r="P91" s="123"/>
      <c r="Q91" s="123">
        <v>28</v>
      </c>
      <c r="R91" s="123">
        <v>9.4</v>
      </c>
      <c r="S91" s="123"/>
      <c r="T91" s="123"/>
      <c r="U91" s="123"/>
      <c r="V91" s="123"/>
      <c r="W91" s="123"/>
    </row>
    <row r="92" spans="1:23">
      <c r="A92" s="407">
        <v>90</v>
      </c>
      <c r="B92" s="184" t="s">
        <v>2271</v>
      </c>
      <c r="C92" s="184" t="s">
        <v>2302</v>
      </c>
      <c r="D92" s="122" t="s">
        <v>2301</v>
      </c>
      <c r="E92" s="124">
        <v>42937</v>
      </c>
      <c r="F92" s="125">
        <v>0.41666666666666669</v>
      </c>
      <c r="G92" s="124">
        <v>43006</v>
      </c>
      <c r="H92" s="125">
        <v>0.4152777777777778</v>
      </c>
      <c r="I92" s="123">
        <v>899</v>
      </c>
      <c r="J92" s="123">
        <v>264</v>
      </c>
      <c r="K92" s="123">
        <v>767</v>
      </c>
      <c r="L92" s="123">
        <v>330</v>
      </c>
      <c r="M92" s="123">
        <v>220</v>
      </c>
      <c r="N92" s="123">
        <v>24.9</v>
      </c>
      <c r="O92" s="123">
        <v>9.6999999999999993</v>
      </c>
      <c r="P92" s="123"/>
      <c r="Q92" s="123">
        <v>28</v>
      </c>
      <c r="R92" s="123">
        <v>10</v>
      </c>
      <c r="S92" s="123"/>
      <c r="T92" s="123"/>
      <c r="U92" s="123"/>
      <c r="V92" s="123"/>
      <c r="W92" s="123" t="s">
        <v>2822</v>
      </c>
    </row>
    <row r="93" spans="1:23">
      <c r="A93" s="407">
        <v>91</v>
      </c>
      <c r="B93" s="184" t="s">
        <v>2271</v>
      </c>
      <c r="C93" s="184" t="s">
        <v>2303</v>
      </c>
      <c r="D93" s="122" t="s">
        <v>2301</v>
      </c>
      <c r="E93" s="124">
        <v>42937</v>
      </c>
      <c r="F93" s="125">
        <v>0.41319444444444442</v>
      </c>
      <c r="G93" s="124">
        <v>43006</v>
      </c>
      <c r="H93" s="125">
        <v>0.42222222222222222</v>
      </c>
      <c r="I93" s="123">
        <v>900</v>
      </c>
      <c r="J93" s="123">
        <v>13</v>
      </c>
      <c r="K93" s="123">
        <v>787</v>
      </c>
      <c r="L93" s="123">
        <v>596</v>
      </c>
      <c r="M93" s="123">
        <v>659</v>
      </c>
      <c r="N93" s="123">
        <v>24</v>
      </c>
      <c r="O93" s="123">
        <v>11.5</v>
      </c>
      <c r="P93" s="123"/>
      <c r="Q93" s="123">
        <v>27.9</v>
      </c>
      <c r="R93" s="123">
        <v>10.4</v>
      </c>
      <c r="S93" s="123"/>
      <c r="T93" s="123"/>
      <c r="U93" s="123"/>
      <c r="V93" s="123"/>
      <c r="W93" s="123"/>
    </row>
    <row r="94" spans="1:23">
      <c r="A94" s="407">
        <v>92</v>
      </c>
      <c r="B94" s="184" t="s">
        <v>2271</v>
      </c>
      <c r="C94" s="184" t="s">
        <v>2304</v>
      </c>
      <c r="D94" s="122" t="s">
        <v>2301</v>
      </c>
      <c r="E94" s="124">
        <v>42937</v>
      </c>
      <c r="F94" s="125">
        <v>0.41666666666666669</v>
      </c>
      <c r="G94" s="124">
        <v>43006</v>
      </c>
      <c r="H94" s="125">
        <v>0.42291666666666666</v>
      </c>
      <c r="I94" s="123">
        <v>901</v>
      </c>
      <c r="J94" s="123">
        <v>324</v>
      </c>
      <c r="K94" s="123">
        <v>812</v>
      </c>
      <c r="L94" s="123">
        <v>380</v>
      </c>
      <c r="M94" s="129">
        <v>619</v>
      </c>
      <c r="N94" s="123">
        <v>24.4</v>
      </c>
      <c r="O94" s="123">
        <v>7.5</v>
      </c>
      <c r="P94" s="123"/>
      <c r="Q94" s="123">
        <v>27.6</v>
      </c>
      <c r="R94" s="123">
        <v>13</v>
      </c>
      <c r="S94" s="123" t="s">
        <v>2174</v>
      </c>
      <c r="T94" s="123"/>
      <c r="U94" s="123"/>
      <c r="V94" s="123"/>
      <c r="W94" s="123"/>
    </row>
    <row r="95" spans="1:23">
      <c r="A95" s="407">
        <v>93</v>
      </c>
      <c r="B95" s="184" t="s">
        <v>2271</v>
      </c>
      <c r="C95" s="184" t="s">
        <v>2305</v>
      </c>
      <c r="D95" s="122" t="s">
        <v>2301</v>
      </c>
      <c r="E95" s="124">
        <v>42937</v>
      </c>
      <c r="F95" s="125">
        <v>0.4201388888888889</v>
      </c>
      <c r="G95" s="124">
        <v>43006</v>
      </c>
      <c r="H95" s="125">
        <v>0.42499999999999999</v>
      </c>
      <c r="I95" s="123">
        <v>902</v>
      </c>
      <c r="J95" s="123">
        <v>99</v>
      </c>
      <c r="K95" s="123">
        <v>675</v>
      </c>
      <c r="L95" s="123">
        <v>872</v>
      </c>
      <c r="M95" s="123">
        <v>106</v>
      </c>
      <c r="N95" s="123">
        <v>24.8</v>
      </c>
      <c r="O95" s="123">
        <v>10.5</v>
      </c>
      <c r="P95" s="123"/>
      <c r="Q95" s="123">
        <v>28</v>
      </c>
      <c r="R95" s="123">
        <v>10.4</v>
      </c>
      <c r="S95" s="123" t="s">
        <v>2174</v>
      </c>
      <c r="T95" s="123" t="s">
        <v>2174</v>
      </c>
      <c r="U95" s="123"/>
      <c r="V95" s="123"/>
      <c r="W95" s="123"/>
    </row>
    <row r="96" spans="1:23">
      <c r="A96" s="407">
        <v>94</v>
      </c>
      <c r="B96" s="184" t="s">
        <v>2271</v>
      </c>
      <c r="C96" s="184" t="s">
        <v>2306</v>
      </c>
      <c r="D96" s="122" t="s">
        <v>2301</v>
      </c>
      <c r="E96" s="123"/>
      <c r="F96" s="123"/>
      <c r="G96" s="123"/>
      <c r="H96" s="123"/>
      <c r="I96" s="123">
        <v>903</v>
      </c>
      <c r="J96" s="123"/>
      <c r="K96" s="123"/>
      <c r="L96" s="123"/>
      <c r="M96" s="123"/>
      <c r="N96" s="123"/>
      <c r="O96" s="123"/>
      <c r="P96" s="123"/>
      <c r="Q96" s="123"/>
      <c r="R96" s="123"/>
      <c r="S96" s="123"/>
      <c r="T96" s="123"/>
      <c r="U96" s="123"/>
      <c r="V96" s="123"/>
      <c r="W96" s="123"/>
    </row>
    <row r="97" spans="1:23">
      <c r="A97" s="407">
        <v>95</v>
      </c>
      <c r="B97" s="184" t="s">
        <v>2271</v>
      </c>
      <c r="C97" s="184" t="s">
        <v>2307</v>
      </c>
      <c r="D97" s="122" t="s">
        <v>2301</v>
      </c>
      <c r="E97" s="124">
        <v>42937</v>
      </c>
      <c r="F97" s="125">
        <v>0.41666666666666669</v>
      </c>
      <c r="G97" s="124">
        <v>43006</v>
      </c>
      <c r="H97" s="125">
        <v>0.42638888888888887</v>
      </c>
      <c r="I97" s="123">
        <v>904</v>
      </c>
      <c r="J97" s="123">
        <v>126</v>
      </c>
      <c r="K97" s="123">
        <v>794</v>
      </c>
      <c r="L97" s="123">
        <v>844</v>
      </c>
      <c r="M97" s="123">
        <v>233</v>
      </c>
      <c r="N97" s="123">
        <v>25.9</v>
      </c>
      <c r="O97" s="123">
        <v>9.1</v>
      </c>
      <c r="P97" s="123"/>
      <c r="Q97" s="123">
        <v>28.8</v>
      </c>
      <c r="R97" s="123">
        <v>8.4</v>
      </c>
      <c r="S97" s="92"/>
      <c r="T97" s="92"/>
      <c r="U97" s="92"/>
      <c r="V97" s="92"/>
      <c r="W97" s="92"/>
    </row>
    <row r="98" spans="1:23">
      <c r="A98" s="407">
        <v>96</v>
      </c>
      <c r="B98" s="184" t="s">
        <v>2271</v>
      </c>
      <c r="C98" s="184" t="s">
        <v>2308</v>
      </c>
      <c r="D98" s="122" t="s">
        <v>2301</v>
      </c>
      <c r="E98" s="124">
        <v>42937</v>
      </c>
      <c r="F98" s="125">
        <v>0.41666666666666669</v>
      </c>
      <c r="G98" s="124">
        <v>43006</v>
      </c>
      <c r="H98" s="125">
        <v>0.42777777777777781</v>
      </c>
      <c r="I98" s="123">
        <v>905</v>
      </c>
      <c r="J98" s="123">
        <v>244</v>
      </c>
      <c r="K98" s="123">
        <v>737</v>
      </c>
      <c r="L98" s="123">
        <v>372</v>
      </c>
      <c r="M98" s="123">
        <v>698</v>
      </c>
      <c r="N98" s="123">
        <v>23.6</v>
      </c>
      <c r="O98" s="123">
        <v>3.3</v>
      </c>
      <c r="P98" s="123"/>
      <c r="Q98" s="123">
        <v>28.3</v>
      </c>
      <c r="R98" s="123">
        <v>6.9</v>
      </c>
      <c r="S98" s="92"/>
      <c r="T98" s="92"/>
      <c r="U98" s="92"/>
      <c r="V98" s="92"/>
      <c r="W98" s="92"/>
    </row>
    <row r="99" spans="1:23">
      <c r="A99" s="407">
        <v>97</v>
      </c>
      <c r="B99" s="184" t="s">
        <v>2309</v>
      </c>
      <c r="C99" s="184" t="s">
        <v>2310</v>
      </c>
      <c r="D99" s="122" t="s">
        <v>2173</v>
      </c>
      <c r="E99" s="124">
        <v>42939</v>
      </c>
      <c r="F99" s="125">
        <v>0.57291666666666663</v>
      </c>
      <c r="G99" s="124">
        <v>43010</v>
      </c>
      <c r="H99" s="125">
        <v>0.44791666666666669</v>
      </c>
      <c r="I99" s="123">
        <v>718</v>
      </c>
      <c r="J99" s="123">
        <v>432</v>
      </c>
      <c r="K99" s="123">
        <v>801</v>
      </c>
      <c r="L99" s="123">
        <v>3</v>
      </c>
      <c r="M99" s="123">
        <v>47</v>
      </c>
      <c r="N99" s="123">
        <v>29.1</v>
      </c>
      <c r="O99" s="123">
        <v>5.6</v>
      </c>
      <c r="P99" s="123" t="s">
        <v>2507</v>
      </c>
      <c r="Q99" s="123">
        <v>27.9</v>
      </c>
      <c r="R99" s="123">
        <v>7.6</v>
      </c>
      <c r="S99" s="123" t="s">
        <v>2233</v>
      </c>
      <c r="T99" s="123" t="s">
        <v>2233</v>
      </c>
      <c r="U99" s="123"/>
      <c r="V99" s="123"/>
      <c r="W99" s="123" t="s">
        <v>2824</v>
      </c>
    </row>
    <row r="100" spans="1:23">
      <c r="A100" s="407">
        <v>98</v>
      </c>
      <c r="B100" s="184" t="s">
        <v>2309</v>
      </c>
      <c r="C100" s="184" t="s">
        <v>2311</v>
      </c>
      <c r="D100" s="122" t="s">
        <v>2173</v>
      </c>
      <c r="E100" s="124">
        <v>42939</v>
      </c>
      <c r="F100" s="125">
        <v>0.57291666666666663</v>
      </c>
      <c r="G100" s="124">
        <v>43010</v>
      </c>
      <c r="H100" s="125">
        <v>0.4548611111111111</v>
      </c>
      <c r="I100" s="123">
        <v>719</v>
      </c>
      <c r="J100" s="123">
        <v>184</v>
      </c>
      <c r="K100" s="123">
        <v>808</v>
      </c>
      <c r="L100" s="123">
        <v>25</v>
      </c>
      <c r="M100" s="123">
        <v>707</v>
      </c>
      <c r="N100" s="123">
        <v>30.1</v>
      </c>
      <c r="O100" s="123">
        <v>5.4</v>
      </c>
      <c r="P100" s="123" t="s">
        <v>2507</v>
      </c>
      <c r="Q100" s="123">
        <v>28.5</v>
      </c>
      <c r="R100" s="123">
        <v>9.1</v>
      </c>
      <c r="S100" s="123" t="s">
        <v>2233</v>
      </c>
      <c r="T100" s="123" t="s">
        <v>2233</v>
      </c>
      <c r="U100" s="123"/>
      <c r="V100" s="123"/>
      <c r="W100" s="123" t="s">
        <v>2825</v>
      </c>
    </row>
    <row r="101" spans="1:23">
      <c r="A101" s="407">
        <v>99</v>
      </c>
      <c r="B101" s="184" t="s">
        <v>2309</v>
      </c>
      <c r="C101" s="184" t="s">
        <v>2312</v>
      </c>
      <c r="D101" s="122" t="s">
        <v>2173</v>
      </c>
      <c r="E101" s="123"/>
      <c r="F101" s="123"/>
      <c r="G101" s="123"/>
      <c r="H101" s="125"/>
      <c r="I101" s="123">
        <v>720</v>
      </c>
      <c r="J101" s="123"/>
      <c r="K101" s="123"/>
      <c r="L101" s="123"/>
      <c r="M101" s="123"/>
      <c r="N101" s="123"/>
      <c r="O101" s="123"/>
      <c r="P101" s="123"/>
      <c r="Q101" s="123"/>
      <c r="R101" s="123"/>
      <c r="S101" s="123"/>
      <c r="T101" s="123"/>
      <c r="U101" s="123"/>
      <c r="V101" s="123"/>
      <c r="W101" s="123"/>
    </row>
    <row r="102" spans="1:23">
      <c r="A102" s="407">
        <v>100</v>
      </c>
      <c r="B102" s="184" t="s">
        <v>2309</v>
      </c>
      <c r="C102" s="184" t="s">
        <v>2313</v>
      </c>
      <c r="D102" s="122" t="s">
        <v>2173</v>
      </c>
      <c r="E102" s="124">
        <v>42939</v>
      </c>
      <c r="F102" s="125">
        <v>0.57638888888888895</v>
      </c>
      <c r="G102" s="124">
        <v>43010</v>
      </c>
      <c r="H102" s="123" t="s">
        <v>2823</v>
      </c>
      <c r="I102" s="123">
        <v>721</v>
      </c>
      <c r="J102" s="123">
        <v>176</v>
      </c>
      <c r="K102" s="123">
        <v>276</v>
      </c>
      <c r="L102" s="123">
        <v>187</v>
      </c>
      <c r="M102" s="123">
        <v>641</v>
      </c>
      <c r="N102" s="123">
        <v>31.3</v>
      </c>
      <c r="O102" s="123">
        <v>5.5</v>
      </c>
      <c r="P102" s="123" t="s">
        <v>2507</v>
      </c>
      <c r="Q102" s="123">
        <v>26.9</v>
      </c>
      <c r="R102" s="123">
        <v>8</v>
      </c>
      <c r="S102" s="123" t="s">
        <v>2233</v>
      </c>
      <c r="T102" s="123" t="s">
        <v>2233</v>
      </c>
      <c r="U102" s="123"/>
      <c r="V102" s="123"/>
      <c r="W102" s="123"/>
    </row>
    <row r="103" spans="1:23">
      <c r="A103" s="407">
        <v>101</v>
      </c>
      <c r="B103" s="184" t="s">
        <v>2309</v>
      </c>
      <c r="C103" s="184" t="s">
        <v>2315</v>
      </c>
      <c r="D103" s="122" t="s">
        <v>2173</v>
      </c>
      <c r="E103" s="124">
        <v>42939</v>
      </c>
      <c r="F103" s="125">
        <v>0.57638888888888895</v>
      </c>
      <c r="G103" s="124">
        <v>43010</v>
      </c>
      <c r="H103" s="125">
        <v>0.45833333333333331</v>
      </c>
      <c r="I103" s="123">
        <v>722</v>
      </c>
      <c r="J103" s="123">
        <v>11</v>
      </c>
      <c r="K103" s="123">
        <v>624</v>
      </c>
      <c r="L103" s="123">
        <v>398</v>
      </c>
      <c r="M103" s="123">
        <v>245</v>
      </c>
      <c r="N103" s="123">
        <v>31.2</v>
      </c>
      <c r="O103" s="123">
        <v>6</v>
      </c>
      <c r="P103" s="123" t="s">
        <v>2507</v>
      </c>
      <c r="Q103" s="123">
        <v>27.9</v>
      </c>
      <c r="R103" s="123">
        <v>9.5</v>
      </c>
      <c r="S103" s="123" t="s">
        <v>2314</v>
      </c>
      <c r="T103" s="123" t="s">
        <v>2233</v>
      </c>
      <c r="U103" s="123"/>
      <c r="V103" s="123"/>
      <c r="W103" s="123"/>
    </row>
    <row r="104" spans="1:23">
      <c r="A104" s="407">
        <v>102</v>
      </c>
      <c r="B104" s="184" t="s">
        <v>2309</v>
      </c>
      <c r="C104" s="184" t="s">
        <v>2316</v>
      </c>
      <c r="D104" s="122" t="s">
        <v>2173</v>
      </c>
      <c r="E104" s="124">
        <v>42939</v>
      </c>
      <c r="F104" s="125">
        <v>0.56944444444444442</v>
      </c>
      <c r="G104" s="124">
        <v>43010</v>
      </c>
      <c r="H104" s="125">
        <v>0.4604166666666667</v>
      </c>
      <c r="I104" s="123">
        <v>723</v>
      </c>
      <c r="J104" s="123">
        <v>284</v>
      </c>
      <c r="K104" s="123">
        <v>781</v>
      </c>
      <c r="L104" s="123">
        <v>120</v>
      </c>
      <c r="M104" s="123">
        <v>714</v>
      </c>
      <c r="N104" s="123">
        <v>30.1</v>
      </c>
      <c r="O104" s="123">
        <v>5.8</v>
      </c>
      <c r="P104" s="123" t="s">
        <v>2507</v>
      </c>
      <c r="Q104" s="123">
        <v>28</v>
      </c>
      <c r="R104" s="123">
        <v>8.8000000000000007</v>
      </c>
      <c r="S104" s="123" t="s">
        <v>2190</v>
      </c>
      <c r="T104" s="123" t="s">
        <v>2190</v>
      </c>
      <c r="U104" s="123"/>
      <c r="V104" s="123"/>
      <c r="W104" s="123"/>
    </row>
    <row r="105" spans="1:23">
      <c r="A105" s="407">
        <v>103</v>
      </c>
      <c r="B105" s="184" t="s">
        <v>2309</v>
      </c>
      <c r="C105" s="184" t="s">
        <v>2317</v>
      </c>
      <c r="D105" s="122" t="s">
        <v>2173</v>
      </c>
      <c r="E105" s="124">
        <v>42939</v>
      </c>
      <c r="F105" s="125">
        <v>0.56944444444444442</v>
      </c>
      <c r="G105" s="124">
        <v>43010</v>
      </c>
      <c r="H105" s="125">
        <v>0.46249999999999997</v>
      </c>
      <c r="I105" s="123">
        <v>724</v>
      </c>
      <c r="J105" s="123">
        <v>326</v>
      </c>
      <c r="K105" s="123">
        <v>772</v>
      </c>
      <c r="L105" s="123">
        <v>145</v>
      </c>
      <c r="M105" s="123">
        <v>701</v>
      </c>
      <c r="N105" s="123">
        <v>30.2</v>
      </c>
      <c r="O105" s="123">
        <v>52</v>
      </c>
      <c r="P105" s="123" t="s">
        <v>2507</v>
      </c>
      <c r="Q105" s="123">
        <v>27.4</v>
      </c>
      <c r="R105" s="123">
        <v>9.8000000000000007</v>
      </c>
      <c r="S105" s="123" t="s">
        <v>2190</v>
      </c>
      <c r="T105" s="123" t="s">
        <v>2190</v>
      </c>
      <c r="U105" s="123"/>
      <c r="V105" s="123"/>
      <c r="W105" s="123" t="s">
        <v>2826</v>
      </c>
    </row>
    <row r="106" spans="1:23">
      <c r="A106" s="407">
        <v>104</v>
      </c>
      <c r="B106" s="184" t="s">
        <v>2309</v>
      </c>
      <c r="C106" s="184" t="s">
        <v>2318</v>
      </c>
      <c r="D106" s="122" t="s">
        <v>2173</v>
      </c>
      <c r="E106" s="124">
        <v>42939</v>
      </c>
      <c r="F106" s="125">
        <v>0.57638888888888895</v>
      </c>
      <c r="G106" s="124">
        <v>43010</v>
      </c>
      <c r="H106" s="125">
        <v>0.46458333333333335</v>
      </c>
      <c r="I106" s="123">
        <v>725</v>
      </c>
      <c r="J106" s="123">
        <v>162</v>
      </c>
      <c r="K106" s="123">
        <v>744</v>
      </c>
      <c r="L106" s="123">
        <v>76</v>
      </c>
      <c r="M106" s="163">
        <v>365</v>
      </c>
      <c r="N106" s="123">
        <v>28.6</v>
      </c>
      <c r="O106" s="123">
        <v>7.6</v>
      </c>
      <c r="P106" s="123" t="s">
        <v>2507</v>
      </c>
      <c r="Q106" s="123">
        <v>27.5</v>
      </c>
      <c r="R106" s="123">
        <v>11</v>
      </c>
      <c r="S106" s="123" t="s">
        <v>2314</v>
      </c>
      <c r="T106" s="123" t="s">
        <v>2190</v>
      </c>
      <c r="U106" s="123"/>
      <c r="V106" s="123"/>
      <c r="W106" s="123"/>
    </row>
    <row r="107" spans="1:23">
      <c r="A107" s="407">
        <v>105</v>
      </c>
      <c r="B107" s="184" t="s">
        <v>2309</v>
      </c>
      <c r="C107" s="184" t="s">
        <v>2319</v>
      </c>
      <c r="D107" s="122" t="s">
        <v>2189</v>
      </c>
      <c r="E107" s="124">
        <v>42939</v>
      </c>
      <c r="F107" s="125">
        <v>0.58333333333333337</v>
      </c>
      <c r="G107" s="124">
        <v>43010</v>
      </c>
      <c r="H107" s="125">
        <v>0.47847222222222219</v>
      </c>
      <c r="I107" s="123">
        <v>726</v>
      </c>
      <c r="J107" s="123">
        <v>6</v>
      </c>
      <c r="K107" s="123">
        <v>824</v>
      </c>
      <c r="L107" s="123">
        <v>57</v>
      </c>
      <c r="M107" s="123">
        <v>212</v>
      </c>
      <c r="N107" s="123">
        <v>32.799999999999997</v>
      </c>
      <c r="O107" s="123">
        <v>5.7</v>
      </c>
      <c r="P107" s="123" t="s">
        <v>2507</v>
      </c>
      <c r="Q107" s="123">
        <v>28.3</v>
      </c>
      <c r="R107" s="123">
        <v>9.4</v>
      </c>
      <c r="S107" s="123"/>
      <c r="T107" s="123" t="s">
        <v>2190</v>
      </c>
      <c r="U107" s="123"/>
      <c r="V107" s="123"/>
      <c r="W107" s="123"/>
    </row>
    <row r="108" spans="1:23">
      <c r="A108" s="407">
        <v>106</v>
      </c>
      <c r="B108" s="184" t="s">
        <v>2309</v>
      </c>
      <c r="C108" s="184" t="s">
        <v>2320</v>
      </c>
      <c r="D108" s="122" t="s">
        <v>2189</v>
      </c>
      <c r="E108" s="124">
        <v>42939</v>
      </c>
      <c r="F108" s="125">
        <v>0.58333333333333337</v>
      </c>
      <c r="G108" s="124">
        <v>43010</v>
      </c>
      <c r="H108" s="125">
        <v>0.48194444444444445</v>
      </c>
      <c r="I108" s="123">
        <v>727</v>
      </c>
      <c r="J108" s="123">
        <v>20</v>
      </c>
      <c r="K108" s="123">
        <v>790</v>
      </c>
      <c r="L108" s="123">
        <v>167</v>
      </c>
      <c r="M108" s="123">
        <v>66</v>
      </c>
      <c r="N108" s="123">
        <v>31.1</v>
      </c>
      <c r="O108" s="123">
        <v>5.7</v>
      </c>
      <c r="P108" s="123" t="s">
        <v>2507</v>
      </c>
      <c r="Q108" s="123">
        <v>31.5</v>
      </c>
      <c r="R108" s="123">
        <v>6.5</v>
      </c>
      <c r="S108" s="123" t="s">
        <v>2174</v>
      </c>
      <c r="T108" s="123" t="s">
        <v>2190</v>
      </c>
      <c r="U108" s="123"/>
      <c r="V108" s="123"/>
      <c r="W108" s="123"/>
    </row>
    <row r="109" spans="1:23">
      <c r="A109" s="407">
        <v>107</v>
      </c>
      <c r="B109" s="184" t="s">
        <v>2309</v>
      </c>
      <c r="C109" s="184" t="s">
        <v>2321</v>
      </c>
      <c r="D109" s="122" t="s">
        <v>2189</v>
      </c>
      <c r="E109" s="124">
        <v>42939</v>
      </c>
      <c r="F109" s="125">
        <v>0.58333333333333337</v>
      </c>
      <c r="G109" s="124">
        <v>43010</v>
      </c>
      <c r="H109" s="125">
        <v>0.47152777777777777</v>
      </c>
      <c r="I109" s="123">
        <v>728</v>
      </c>
      <c r="J109" s="123">
        <v>129</v>
      </c>
      <c r="K109" s="123">
        <v>809</v>
      </c>
      <c r="L109" s="123">
        <v>208</v>
      </c>
      <c r="M109" s="123">
        <v>347</v>
      </c>
      <c r="N109" s="123">
        <v>31.3</v>
      </c>
      <c r="O109" s="123">
        <v>5.6</v>
      </c>
      <c r="P109" s="123" t="s">
        <v>2507</v>
      </c>
      <c r="Q109" s="123">
        <v>29.1</v>
      </c>
      <c r="R109" s="123">
        <v>5</v>
      </c>
      <c r="S109" s="123" t="s">
        <v>2233</v>
      </c>
      <c r="T109" s="123" t="s">
        <v>2233</v>
      </c>
      <c r="U109" s="123"/>
      <c r="V109" s="123"/>
      <c r="W109" t="s">
        <v>2809</v>
      </c>
    </row>
    <row r="110" spans="1:23">
      <c r="A110" s="407">
        <v>108</v>
      </c>
      <c r="B110" s="184" t="s">
        <v>2309</v>
      </c>
      <c r="C110" s="184" t="s">
        <v>2322</v>
      </c>
      <c r="D110" s="122" t="s">
        <v>2189</v>
      </c>
      <c r="E110" s="124">
        <v>42939</v>
      </c>
      <c r="F110" s="125">
        <v>0.57986111111111105</v>
      </c>
      <c r="G110" s="124">
        <v>43010</v>
      </c>
      <c r="H110" s="125">
        <v>0.47569444444444442</v>
      </c>
      <c r="I110" s="123">
        <v>729</v>
      </c>
      <c r="J110" s="123">
        <v>258</v>
      </c>
      <c r="K110" s="123">
        <v>777</v>
      </c>
      <c r="L110" s="123">
        <v>62</v>
      </c>
      <c r="M110" s="123">
        <v>206</v>
      </c>
      <c r="N110" s="123">
        <v>33.700000000000003</v>
      </c>
      <c r="O110" s="123">
        <v>5.5</v>
      </c>
      <c r="P110" s="123" t="s">
        <v>2507</v>
      </c>
      <c r="Q110" s="123">
        <v>29.9</v>
      </c>
      <c r="R110" s="123">
        <v>9.8000000000000007</v>
      </c>
      <c r="S110" s="123" t="s">
        <v>2314</v>
      </c>
      <c r="T110" s="123"/>
      <c r="U110" s="123"/>
      <c r="V110" s="123"/>
      <c r="W110" s="123"/>
    </row>
    <row r="111" spans="1:23">
      <c r="A111" s="407">
        <v>109</v>
      </c>
      <c r="B111" s="184" t="s">
        <v>2309</v>
      </c>
      <c r="C111" s="184" t="s">
        <v>2324</v>
      </c>
      <c r="D111" s="122" t="s">
        <v>2189</v>
      </c>
      <c r="E111" s="124">
        <v>42939</v>
      </c>
      <c r="F111" s="125">
        <v>0.57986111111111105</v>
      </c>
      <c r="G111" s="124">
        <v>43010</v>
      </c>
      <c r="H111" s="125">
        <v>0.4770833333333333</v>
      </c>
      <c r="I111" s="123">
        <v>730</v>
      </c>
      <c r="J111" s="123">
        <v>294</v>
      </c>
      <c r="K111" s="123">
        <v>804</v>
      </c>
      <c r="L111" s="123">
        <v>102</v>
      </c>
      <c r="M111" s="123">
        <v>299</v>
      </c>
      <c r="N111" s="123">
        <v>32.4</v>
      </c>
      <c r="O111" s="123">
        <v>5.0999999999999996</v>
      </c>
      <c r="P111" s="123" t="s">
        <v>2507</v>
      </c>
      <c r="Q111" s="123">
        <v>28.9</v>
      </c>
      <c r="R111" s="123">
        <v>9.9</v>
      </c>
      <c r="S111" s="123"/>
      <c r="T111" s="123" t="s">
        <v>2190</v>
      </c>
      <c r="U111" s="123"/>
      <c r="V111" s="123"/>
      <c r="W111" s="123" t="s">
        <v>2827</v>
      </c>
    </row>
    <row r="112" spans="1:23">
      <c r="A112" s="407">
        <v>110</v>
      </c>
      <c r="B112" s="184" t="s">
        <v>2309</v>
      </c>
      <c r="C112" s="184" t="s">
        <v>2325</v>
      </c>
      <c r="D112" s="122" t="s">
        <v>2189</v>
      </c>
      <c r="E112" s="124">
        <v>42939</v>
      </c>
      <c r="F112" s="125">
        <v>0.58333333333333337</v>
      </c>
      <c r="G112" s="124">
        <v>43010</v>
      </c>
      <c r="H112" s="125">
        <v>0.47986111111111113</v>
      </c>
      <c r="I112" s="123">
        <v>731</v>
      </c>
      <c r="J112" s="123">
        <v>350</v>
      </c>
      <c r="K112" s="123">
        <v>786</v>
      </c>
      <c r="L112" s="123">
        <v>265</v>
      </c>
      <c r="M112" s="123">
        <v>636</v>
      </c>
      <c r="N112" s="123">
        <v>32.700000000000003</v>
      </c>
      <c r="O112" s="123">
        <v>5.9</v>
      </c>
      <c r="P112" s="123" t="s">
        <v>2507</v>
      </c>
      <c r="Q112" s="123">
        <v>29.6</v>
      </c>
      <c r="R112" s="123">
        <v>8.8000000000000007</v>
      </c>
      <c r="S112" s="123" t="s">
        <v>2233</v>
      </c>
      <c r="T112" s="123" t="s">
        <v>2233</v>
      </c>
      <c r="U112" s="123"/>
      <c r="V112" s="123"/>
      <c r="W112" s="123"/>
    </row>
    <row r="113" spans="1:23">
      <c r="A113" s="407">
        <v>111</v>
      </c>
      <c r="B113" s="184" t="s">
        <v>2309</v>
      </c>
      <c r="C113" s="184" t="s">
        <v>2326</v>
      </c>
      <c r="D113" s="122" t="s">
        <v>2189</v>
      </c>
      <c r="E113" s="124">
        <v>42939</v>
      </c>
      <c r="F113" s="125">
        <v>0.58680555555555558</v>
      </c>
      <c r="G113" s="124">
        <v>43010</v>
      </c>
      <c r="H113" s="125">
        <v>0.48055555555555557</v>
      </c>
      <c r="I113" s="123">
        <v>732</v>
      </c>
      <c r="J113" s="123">
        <v>274</v>
      </c>
      <c r="K113" s="123">
        <v>835</v>
      </c>
      <c r="L113" s="123">
        <v>455</v>
      </c>
      <c r="M113" s="123">
        <v>239</v>
      </c>
      <c r="N113" s="123">
        <v>31.2</v>
      </c>
      <c r="O113" s="123">
        <v>7.1</v>
      </c>
      <c r="P113" s="123" t="s">
        <v>2508</v>
      </c>
      <c r="Q113" s="123">
        <v>27.9</v>
      </c>
      <c r="R113" s="123">
        <v>9.5</v>
      </c>
      <c r="S113" s="123" t="s">
        <v>2314</v>
      </c>
      <c r="T113" s="123"/>
      <c r="U113" s="123"/>
      <c r="V113" s="123"/>
      <c r="W113" s="123"/>
    </row>
    <row r="114" spans="1:23">
      <c r="A114" s="407">
        <v>112</v>
      </c>
      <c r="B114" s="184" t="s">
        <v>2309</v>
      </c>
      <c r="C114" s="184" t="s">
        <v>2327</v>
      </c>
      <c r="D114" s="122" t="s">
        <v>2189</v>
      </c>
      <c r="E114" s="124"/>
      <c r="F114" s="124"/>
      <c r="G114" s="124"/>
      <c r="H114" s="125"/>
      <c r="I114" s="123">
        <v>733</v>
      </c>
      <c r="J114" s="124"/>
      <c r="K114" s="124"/>
      <c r="L114" s="124"/>
      <c r="M114" s="124"/>
      <c r="N114" s="124"/>
      <c r="O114" s="124"/>
      <c r="P114" s="124"/>
      <c r="Q114" s="123"/>
      <c r="R114" s="123"/>
      <c r="S114" s="123"/>
      <c r="T114" s="123"/>
      <c r="U114" s="123"/>
      <c r="V114" s="123"/>
      <c r="W114" s="123"/>
    </row>
    <row r="115" spans="1:23">
      <c r="A115" s="407">
        <v>113</v>
      </c>
      <c r="B115" s="184" t="s">
        <v>2309</v>
      </c>
      <c r="C115" s="184" t="s">
        <v>2328</v>
      </c>
      <c r="D115" s="122" t="s">
        <v>2203</v>
      </c>
      <c r="E115" s="124">
        <v>42939</v>
      </c>
      <c r="F115" s="123"/>
      <c r="G115" s="124">
        <v>43008</v>
      </c>
      <c r="H115" s="125">
        <v>0.56736111111111109</v>
      </c>
      <c r="I115" s="123">
        <v>739</v>
      </c>
      <c r="J115" s="123">
        <v>314</v>
      </c>
      <c r="K115" s="123">
        <v>807</v>
      </c>
      <c r="L115" s="123">
        <v>490</v>
      </c>
      <c r="M115" s="123">
        <v>313</v>
      </c>
      <c r="N115" s="123">
        <v>26.8</v>
      </c>
      <c r="O115" s="123">
        <v>5.8</v>
      </c>
      <c r="P115" s="123" t="s">
        <v>2507</v>
      </c>
      <c r="Q115" s="123">
        <v>31</v>
      </c>
      <c r="R115" s="123">
        <v>6.9</v>
      </c>
      <c r="S115" s="123" t="s">
        <v>2182</v>
      </c>
      <c r="T115" s="123"/>
      <c r="U115" s="123"/>
      <c r="V115" s="123"/>
      <c r="W115" s="123"/>
    </row>
    <row r="116" spans="1:23">
      <c r="A116" s="407">
        <v>114</v>
      </c>
      <c r="B116" s="184" t="s">
        <v>2309</v>
      </c>
      <c r="C116" s="184" t="s">
        <v>2329</v>
      </c>
      <c r="D116" s="122" t="s">
        <v>2203</v>
      </c>
      <c r="E116" s="124">
        <v>42939</v>
      </c>
      <c r="F116" s="123"/>
      <c r="G116" s="124">
        <v>43008</v>
      </c>
      <c r="H116" s="125">
        <v>0.56874999999999998</v>
      </c>
      <c r="I116" s="123">
        <v>740</v>
      </c>
      <c r="J116" s="123">
        <v>263</v>
      </c>
      <c r="K116" s="123">
        <v>829</v>
      </c>
      <c r="L116" s="123">
        <v>650</v>
      </c>
      <c r="M116" s="123">
        <v>247</v>
      </c>
      <c r="N116" s="123">
        <v>26.6</v>
      </c>
      <c r="O116" s="123">
        <v>7.2</v>
      </c>
      <c r="P116" s="123" t="s">
        <v>2507</v>
      </c>
      <c r="Q116" s="123">
        <v>29.6</v>
      </c>
      <c r="R116" s="123">
        <v>17</v>
      </c>
      <c r="S116" s="123"/>
      <c r="T116" s="123" t="s">
        <v>2174</v>
      </c>
      <c r="U116" s="123"/>
      <c r="V116" s="123"/>
      <c r="W116" s="123"/>
    </row>
    <row r="117" spans="1:23">
      <c r="A117" s="407">
        <v>115</v>
      </c>
      <c r="B117" s="184" t="s">
        <v>2309</v>
      </c>
      <c r="C117" s="184" t="s">
        <v>2330</v>
      </c>
      <c r="D117" s="122" t="s">
        <v>2203</v>
      </c>
      <c r="E117" s="124">
        <v>42939</v>
      </c>
      <c r="F117" s="123"/>
      <c r="G117" s="124">
        <v>43008</v>
      </c>
      <c r="H117" s="125">
        <v>0.57013888888888886</v>
      </c>
      <c r="I117" s="123">
        <v>741</v>
      </c>
      <c r="J117" s="123">
        <v>125</v>
      </c>
      <c r="K117" s="123">
        <v>766</v>
      </c>
      <c r="L117" s="123">
        <v>873</v>
      </c>
      <c r="M117" s="123">
        <v>671</v>
      </c>
      <c r="N117" s="123">
        <v>27</v>
      </c>
      <c r="O117" s="123">
        <v>4</v>
      </c>
      <c r="P117" s="123" t="s">
        <v>2507</v>
      </c>
      <c r="Q117" s="123">
        <v>30.9</v>
      </c>
      <c r="R117" s="123">
        <v>9.8000000000000007</v>
      </c>
      <c r="S117" s="123" t="s">
        <v>2182</v>
      </c>
      <c r="T117" s="123" t="s">
        <v>2201</v>
      </c>
      <c r="U117" s="123"/>
      <c r="V117" s="123"/>
      <c r="W117" s="123"/>
    </row>
    <row r="118" spans="1:23">
      <c r="A118" s="407">
        <v>116</v>
      </c>
      <c r="B118" s="184" t="s">
        <v>2309</v>
      </c>
      <c r="C118" s="184" t="s">
        <v>2331</v>
      </c>
      <c r="D118" s="122" t="s">
        <v>2203</v>
      </c>
      <c r="E118" s="124">
        <v>42939</v>
      </c>
      <c r="F118" s="123"/>
      <c r="G118" s="124">
        <v>43008</v>
      </c>
      <c r="H118" s="125">
        <v>0.5625</v>
      </c>
      <c r="I118" s="123">
        <v>742</v>
      </c>
      <c r="J118" s="123">
        <v>189</v>
      </c>
      <c r="K118" s="123">
        <v>757</v>
      </c>
      <c r="L118" s="123">
        <v>206</v>
      </c>
      <c r="M118" s="123">
        <v>638</v>
      </c>
      <c r="N118" s="123">
        <v>28.7</v>
      </c>
      <c r="O118" s="123">
        <v>5.8</v>
      </c>
      <c r="P118" s="123" t="s">
        <v>2507</v>
      </c>
      <c r="Q118" s="123">
        <v>30.9</v>
      </c>
      <c r="R118" s="123">
        <v>11.5</v>
      </c>
      <c r="S118" s="123" t="s">
        <v>2182</v>
      </c>
      <c r="T118" s="123"/>
      <c r="U118" s="123"/>
      <c r="V118" s="123"/>
      <c r="W118" s="123"/>
    </row>
    <row r="119" spans="1:23">
      <c r="A119" s="407">
        <v>117</v>
      </c>
      <c r="B119" s="184" t="s">
        <v>2309</v>
      </c>
      <c r="C119" s="184" t="s">
        <v>2332</v>
      </c>
      <c r="D119" s="122" t="s">
        <v>2203</v>
      </c>
      <c r="E119" s="124">
        <v>42939</v>
      </c>
      <c r="F119" s="123"/>
      <c r="G119" s="124">
        <v>43008</v>
      </c>
      <c r="H119" s="125">
        <v>0.55763888888888891</v>
      </c>
      <c r="I119" s="123">
        <v>743</v>
      </c>
      <c r="J119" s="123">
        <v>533</v>
      </c>
      <c r="K119" s="123">
        <v>745</v>
      </c>
      <c r="L119" s="123">
        <v>163</v>
      </c>
      <c r="M119" s="123">
        <v>719</v>
      </c>
      <c r="N119" s="123">
        <v>27.6</v>
      </c>
      <c r="O119" s="123">
        <v>5.6</v>
      </c>
      <c r="P119" s="123" t="s">
        <v>2507</v>
      </c>
      <c r="Q119" s="123">
        <v>30.5</v>
      </c>
      <c r="R119" s="123">
        <v>14.7</v>
      </c>
      <c r="S119" s="123" t="s">
        <v>2182</v>
      </c>
      <c r="T119" s="123"/>
      <c r="U119" s="123"/>
      <c r="V119" s="123"/>
      <c r="W119" s="123" t="s">
        <v>2822</v>
      </c>
    </row>
    <row r="120" spans="1:23">
      <c r="A120" s="407">
        <v>118</v>
      </c>
      <c r="B120" s="184" t="s">
        <v>2309</v>
      </c>
      <c r="C120" s="184" t="s">
        <v>2333</v>
      </c>
      <c r="D120" s="122" t="s">
        <v>2203</v>
      </c>
      <c r="E120" s="124">
        <v>42939</v>
      </c>
      <c r="F120" s="123"/>
      <c r="G120" s="124">
        <v>43008</v>
      </c>
      <c r="H120" s="125">
        <v>0.56388888888888888</v>
      </c>
      <c r="I120" s="123">
        <v>744</v>
      </c>
      <c r="J120" s="123">
        <v>200</v>
      </c>
      <c r="K120" s="123">
        <v>791</v>
      </c>
      <c r="L120" s="123">
        <v>83</v>
      </c>
      <c r="M120" s="123">
        <v>173</v>
      </c>
      <c r="N120" s="123">
        <v>26.8</v>
      </c>
      <c r="O120" s="123">
        <v>5.3</v>
      </c>
      <c r="P120" s="123" t="s">
        <v>2507</v>
      </c>
      <c r="Q120" s="123">
        <v>29.7</v>
      </c>
      <c r="R120" s="123">
        <v>10.3</v>
      </c>
      <c r="S120" s="123" t="s">
        <v>2201</v>
      </c>
      <c r="T120" s="123"/>
      <c r="U120" s="123" t="s">
        <v>2182</v>
      </c>
      <c r="V120" s="123"/>
      <c r="W120" s="123"/>
    </row>
    <row r="121" spans="1:23">
      <c r="A121" s="407">
        <v>119</v>
      </c>
      <c r="B121" s="184" t="s">
        <v>2309</v>
      </c>
      <c r="C121" s="184" t="s">
        <v>2334</v>
      </c>
      <c r="D121" s="122" t="s">
        <v>2203</v>
      </c>
      <c r="E121" s="124">
        <v>42939</v>
      </c>
      <c r="F121" s="125">
        <v>0.30208333333333331</v>
      </c>
      <c r="G121" s="124">
        <v>43008</v>
      </c>
      <c r="H121" s="125">
        <v>0.56527777777777777</v>
      </c>
      <c r="I121" s="123">
        <v>745</v>
      </c>
      <c r="J121" s="123">
        <v>236</v>
      </c>
      <c r="K121" s="123">
        <v>802</v>
      </c>
      <c r="L121" s="123">
        <v>159</v>
      </c>
      <c r="M121" s="123">
        <v>373</v>
      </c>
      <c r="N121" s="123">
        <v>26.4</v>
      </c>
      <c r="O121" s="123">
        <v>9.1</v>
      </c>
      <c r="P121" s="123" t="s">
        <v>2507</v>
      </c>
      <c r="Q121" s="123">
        <v>29.5</v>
      </c>
      <c r="R121" s="123">
        <v>11</v>
      </c>
      <c r="S121" s="123" t="s">
        <v>2174</v>
      </c>
      <c r="T121" s="123"/>
      <c r="U121" s="123" t="s">
        <v>2182</v>
      </c>
      <c r="V121" s="123"/>
      <c r="W121" s="123"/>
    </row>
    <row r="122" spans="1:23">
      <c r="A122" s="407">
        <v>120</v>
      </c>
      <c r="B122" s="184" t="s">
        <v>2309</v>
      </c>
      <c r="C122" s="184" t="s">
        <v>2335</v>
      </c>
      <c r="D122" s="122" t="s">
        <v>2203</v>
      </c>
      <c r="E122" s="124"/>
      <c r="F122" s="124"/>
      <c r="G122" s="124"/>
      <c r="H122" s="125"/>
      <c r="I122" s="123">
        <v>746</v>
      </c>
      <c r="J122" s="124"/>
      <c r="K122" s="124"/>
      <c r="L122" s="124"/>
      <c r="M122" s="124"/>
      <c r="N122" s="124"/>
      <c r="O122" s="124"/>
      <c r="P122" s="124"/>
      <c r="Q122" s="123"/>
      <c r="R122" s="123"/>
      <c r="S122" s="123"/>
      <c r="T122" s="123"/>
      <c r="U122" s="123"/>
      <c r="V122" s="123"/>
      <c r="W122" s="123"/>
    </row>
    <row r="123" spans="1:23">
      <c r="A123" s="407">
        <v>121</v>
      </c>
      <c r="B123" s="184" t="s">
        <v>2309</v>
      </c>
      <c r="C123" s="184" t="s">
        <v>2336</v>
      </c>
      <c r="D123" s="122" t="s">
        <v>2213</v>
      </c>
      <c r="E123" s="124">
        <v>42939</v>
      </c>
      <c r="F123" s="125">
        <v>0.3263888888888889</v>
      </c>
      <c r="G123" s="124">
        <v>43008</v>
      </c>
      <c r="H123" s="125">
        <v>0.53611111111111109</v>
      </c>
      <c r="I123" s="123">
        <v>748</v>
      </c>
      <c r="J123" s="123">
        <v>280</v>
      </c>
      <c r="K123" s="123">
        <v>822</v>
      </c>
      <c r="L123" s="123">
        <v>16</v>
      </c>
      <c r="M123" s="123">
        <v>374</v>
      </c>
      <c r="N123" s="123">
        <v>26.7</v>
      </c>
      <c r="O123" s="123">
        <v>3.7</v>
      </c>
      <c r="P123" s="123" t="s">
        <v>2507</v>
      </c>
      <c r="Q123" s="123">
        <v>31.5</v>
      </c>
      <c r="R123" s="123">
        <v>7.3</v>
      </c>
      <c r="S123" s="123"/>
      <c r="T123" s="123"/>
      <c r="U123" s="123"/>
      <c r="V123" s="123"/>
      <c r="W123" s="123" t="s">
        <v>2809</v>
      </c>
    </row>
    <row r="124" spans="1:23">
      <c r="A124" s="407">
        <v>122</v>
      </c>
      <c r="B124" s="184" t="s">
        <v>2309</v>
      </c>
      <c r="C124" s="184" t="s">
        <v>2337</v>
      </c>
      <c r="D124" s="122" t="s">
        <v>2213</v>
      </c>
      <c r="E124" s="124">
        <v>42939</v>
      </c>
      <c r="F124" s="123"/>
      <c r="G124" s="124">
        <v>43008</v>
      </c>
      <c r="H124" s="125">
        <v>0.54375000000000007</v>
      </c>
      <c r="I124" s="123">
        <v>749</v>
      </c>
      <c r="J124">
        <v>231</v>
      </c>
      <c r="K124" s="123">
        <v>792</v>
      </c>
      <c r="L124" s="123">
        <v>109</v>
      </c>
      <c r="M124" s="123">
        <v>388</v>
      </c>
      <c r="N124" s="123">
        <v>26.8</v>
      </c>
      <c r="O124" s="123">
        <v>3.8</v>
      </c>
      <c r="P124" s="123" t="s">
        <v>2507</v>
      </c>
      <c r="Q124" s="123">
        <v>30.3</v>
      </c>
      <c r="R124" s="123">
        <v>14.3</v>
      </c>
      <c r="S124" s="123" t="s">
        <v>2174</v>
      </c>
      <c r="T124" s="123" t="s">
        <v>2190</v>
      </c>
      <c r="U124" s="123"/>
      <c r="V124" s="123"/>
      <c r="W124" s="123"/>
    </row>
    <row r="125" spans="1:23">
      <c r="A125" s="407">
        <v>123</v>
      </c>
      <c r="B125" s="184" t="s">
        <v>2309</v>
      </c>
      <c r="C125" s="184" t="s">
        <v>2338</v>
      </c>
      <c r="D125" s="122" t="s">
        <v>2213</v>
      </c>
      <c r="E125" s="124">
        <v>42939</v>
      </c>
      <c r="F125" s="123"/>
      <c r="G125" s="124">
        <v>43008</v>
      </c>
      <c r="H125" s="125">
        <v>0.55138888888888882</v>
      </c>
      <c r="I125" s="123">
        <v>751</v>
      </c>
      <c r="J125" s="123">
        <v>292</v>
      </c>
      <c r="K125" s="129">
        <v>740</v>
      </c>
      <c r="L125" s="123">
        <v>344</v>
      </c>
      <c r="M125" s="123">
        <v>281</v>
      </c>
      <c r="N125" s="123">
        <v>25.9</v>
      </c>
      <c r="O125" s="123">
        <v>7.8</v>
      </c>
      <c r="P125" s="123" t="s">
        <v>2507</v>
      </c>
      <c r="Q125" s="123">
        <v>28.3</v>
      </c>
      <c r="R125" s="123">
        <v>13.6</v>
      </c>
      <c r="S125" s="123" t="s">
        <v>2182</v>
      </c>
      <c r="T125" s="123"/>
      <c r="U125" s="123"/>
      <c r="V125" s="123"/>
      <c r="W125" s="123"/>
    </row>
    <row r="126" spans="1:23">
      <c r="A126" s="407">
        <v>124</v>
      </c>
      <c r="B126" s="184" t="s">
        <v>2309</v>
      </c>
      <c r="C126" s="184" t="s">
        <v>2340</v>
      </c>
      <c r="D126" s="122" t="s">
        <v>2213</v>
      </c>
      <c r="E126" s="124">
        <v>42939</v>
      </c>
      <c r="F126" s="123"/>
      <c r="G126" s="124">
        <v>43008</v>
      </c>
      <c r="H126" s="125">
        <v>0.5493055555555556</v>
      </c>
      <c r="I126" s="123">
        <v>750</v>
      </c>
      <c r="J126" s="123">
        <v>116</v>
      </c>
      <c r="K126" s="123">
        <v>797</v>
      </c>
      <c r="L126" s="123">
        <v>221</v>
      </c>
      <c r="M126" s="123">
        <v>443</v>
      </c>
      <c r="N126" s="123">
        <v>28.1</v>
      </c>
      <c r="O126" s="123">
        <v>6.7</v>
      </c>
      <c r="P126" s="123" t="s">
        <v>2507</v>
      </c>
      <c r="Q126" s="123">
        <v>28</v>
      </c>
      <c r="R126" s="123">
        <v>11.6</v>
      </c>
      <c r="S126" s="123" t="s">
        <v>2201</v>
      </c>
      <c r="T126" s="123" t="s">
        <v>2201</v>
      </c>
      <c r="U126" s="123"/>
      <c r="V126" s="123"/>
      <c r="W126" s="123"/>
    </row>
    <row r="127" spans="1:23">
      <c r="A127" s="407">
        <v>125</v>
      </c>
      <c r="B127" s="184" t="s">
        <v>2309</v>
      </c>
      <c r="C127" s="184" t="s">
        <v>2341</v>
      </c>
      <c r="D127" s="122" t="s">
        <v>2213</v>
      </c>
      <c r="E127" s="124">
        <v>42939</v>
      </c>
      <c r="F127" s="123"/>
      <c r="G127" s="124">
        <v>43008</v>
      </c>
      <c r="H127" s="125">
        <v>0.54791666666666672</v>
      </c>
      <c r="I127" s="123">
        <v>752</v>
      </c>
      <c r="J127" s="123">
        <v>50</v>
      </c>
      <c r="K127" s="123">
        <v>795</v>
      </c>
      <c r="L127" s="123">
        <v>757</v>
      </c>
      <c r="M127" s="123">
        <v>180</v>
      </c>
      <c r="N127" s="123">
        <v>27.5</v>
      </c>
      <c r="O127" s="123">
        <v>4.2</v>
      </c>
      <c r="P127" s="123" t="s">
        <v>2507</v>
      </c>
      <c r="Q127" s="123">
        <v>28.6</v>
      </c>
      <c r="R127" s="123">
        <v>17.5</v>
      </c>
      <c r="S127" s="123"/>
      <c r="T127" s="123" t="s">
        <v>2233</v>
      </c>
      <c r="U127" s="123"/>
      <c r="V127" s="123"/>
      <c r="W127" s="123"/>
    </row>
    <row r="128" spans="1:23">
      <c r="A128" s="407">
        <v>126</v>
      </c>
      <c r="B128" s="184" t="s">
        <v>2309</v>
      </c>
      <c r="C128" s="184" t="s">
        <v>2342</v>
      </c>
      <c r="D128" s="122" t="s">
        <v>2213</v>
      </c>
      <c r="E128" s="124"/>
      <c r="F128" s="124"/>
      <c r="G128" s="124"/>
      <c r="H128" s="125"/>
      <c r="I128" s="123">
        <v>753</v>
      </c>
      <c r="J128" s="124"/>
      <c r="K128" s="124"/>
      <c r="L128" s="124"/>
      <c r="M128" s="124"/>
      <c r="N128" s="124"/>
      <c r="O128" s="124"/>
      <c r="P128" s="124"/>
      <c r="Q128" s="123"/>
      <c r="R128" s="123"/>
      <c r="S128" s="123"/>
      <c r="T128" s="123"/>
      <c r="U128" s="123"/>
      <c r="V128" s="123"/>
      <c r="W128" s="123"/>
    </row>
    <row r="129" spans="1:23">
      <c r="A129" s="407">
        <v>127</v>
      </c>
      <c r="B129" s="184" t="s">
        <v>2309</v>
      </c>
      <c r="C129" s="184" t="s">
        <v>2343</v>
      </c>
      <c r="D129" s="122" t="s">
        <v>2213</v>
      </c>
      <c r="E129" s="124">
        <v>42939</v>
      </c>
      <c r="F129" s="123"/>
      <c r="G129" s="124">
        <v>43008</v>
      </c>
      <c r="H129" s="125">
        <v>0.55277777777777781</v>
      </c>
      <c r="I129" s="123">
        <v>754</v>
      </c>
      <c r="J129" s="123">
        <v>318</v>
      </c>
      <c r="K129" s="123">
        <v>751</v>
      </c>
      <c r="L129" s="123">
        <v>96</v>
      </c>
      <c r="M129" s="123">
        <v>229</v>
      </c>
      <c r="N129" s="123">
        <v>27.5</v>
      </c>
      <c r="O129" s="123">
        <v>5.8</v>
      </c>
      <c r="P129" s="123" t="s">
        <v>2507</v>
      </c>
      <c r="Q129" s="123">
        <v>28.7</v>
      </c>
      <c r="R129" s="123">
        <v>13.6</v>
      </c>
      <c r="S129" s="123" t="s">
        <v>2182</v>
      </c>
      <c r="T129" s="123"/>
      <c r="U129" s="123" t="s">
        <v>2182</v>
      </c>
      <c r="V129" s="123"/>
      <c r="W129" s="123"/>
    </row>
    <row r="130" spans="1:23">
      <c r="A130" s="407">
        <v>128</v>
      </c>
      <c r="B130" s="184" t="s">
        <v>2309</v>
      </c>
      <c r="C130" s="184" t="s">
        <v>2344</v>
      </c>
      <c r="D130" s="122" t="s">
        <v>2213</v>
      </c>
      <c r="E130" s="124">
        <v>42939</v>
      </c>
      <c r="F130" s="123"/>
      <c r="G130" s="124">
        <v>43008</v>
      </c>
      <c r="H130" s="125">
        <v>0.54513888888888895</v>
      </c>
      <c r="I130" s="123">
        <v>755</v>
      </c>
      <c r="J130" s="123">
        <v>34</v>
      </c>
      <c r="K130" s="123">
        <v>819</v>
      </c>
      <c r="L130" s="123">
        <v>134</v>
      </c>
      <c r="M130" s="123">
        <v>272</v>
      </c>
      <c r="N130" s="123">
        <v>26.3</v>
      </c>
      <c r="O130" s="123">
        <v>3</v>
      </c>
      <c r="P130" s="123" t="s">
        <v>2507</v>
      </c>
      <c r="Q130" s="123">
        <v>30.5</v>
      </c>
      <c r="R130" s="123">
        <v>13.9</v>
      </c>
      <c r="S130" s="123"/>
      <c r="T130" s="123" t="s">
        <v>2233</v>
      </c>
      <c r="U130" s="123"/>
      <c r="V130" s="123"/>
      <c r="W130" s="123"/>
    </row>
    <row r="131" spans="1:23">
      <c r="A131" s="407">
        <v>129</v>
      </c>
      <c r="B131" s="184" t="s">
        <v>2309</v>
      </c>
      <c r="C131" s="184" t="s">
        <v>2345</v>
      </c>
      <c r="D131" s="122" t="s">
        <v>2222</v>
      </c>
      <c r="E131" s="124">
        <v>42939</v>
      </c>
      <c r="F131" s="125">
        <v>0.45833333333333331</v>
      </c>
      <c r="G131" s="124">
        <v>43008</v>
      </c>
      <c r="H131" s="125">
        <v>0.43402777777777773</v>
      </c>
      <c r="I131" s="123">
        <v>669</v>
      </c>
      <c r="J131" s="123">
        <v>80</v>
      </c>
      <c r="K131" s="123">
        <v>768</v>
      </c>
      <c r="L131" s="123">
        <v>671</v>
      </c>
      <c r="M131" s="123">
        <v>207</v>
      </c>
      <c r="N131" s="123">
        <v>30.5</v>
      </c>
      <c r="O131" s="123">
        <v>6.1</v>
      </c>
      <c r="P131" s="123" t="s">
        <v>2507</v>
      </c>
      <c r="Q131" s="123">
        <v>27.6</v>
      </c>
      <c r="R131" s="123">
        <v>17.5</v>
      </c>
      <c r="S131" s="123" t="s">
        <v>2190</v>
      </c>
      <c r="T131" s="123" t="s">
        <v>2190</v>
      </c>
      <c r="U131" s="123"/>
      <c r="V131" s="123"/>
      <c r="W131" s="123"/>
    </row>
    <row r="132" spans="1:23">
      <c r="A132" s="407">
        <v>130</v>
      </c>
      <c r="B132" s="184" t="s">
        <v>2309</v>
      </c>
      <c r="C132" s="184" t="s">
        <v>2346</v>
      </c>
      <c r="D132" s="122" t="s">
        <v>2222</v>
      </c>
      <c r="E132" s="124">
        <v>42939</v>
      </c>
      <c r="F132" s="125">
        <v>0.45833333333333331</v>
      </c>
      <c r="G132" s="124">
        <v>43008</v>
      </c>
      <c r="H132" s="125">
        <v>0.43541666666666662</v>
      </c>
      <c r="I132" s="123">
        <v>670</v>
      </c>
      <c r="J132" s="123">
        <v>64</v>
      </c>
      <c r="K132" s="123">
        <v>789</v>
      </c>
      <c r="L132" s="123">
        <v>400</v>
      </c>
      <c r="M132" s="123">
        <v>193</v>
      </c>
      <c r="N132" s="123">
        <v>29.8</v>
      </c>
      <c r="O132" s="123">
        <v>5.5</v>
      </c>
      <c r="P132" s="123" t="s">
        <v>2507</v>
      </c>
      <c r="Q132" s="123">
        <v>27.3</v>
      </c>
      <c r="R132" s="123">
        <v>12.4</v>
      </c>
      <c r="S132" s="123" t="s">
        <v>2314</v>
      </c>
      <c r="T132" s="123" t="s">
        <v>2190</v>
      </c>
      <c r="U132" s="123" t="s">
        <v>2182</v>
      </c>
      <c r="V132" s="123"/>
      <c r="W132" s="123"/>
    </row>
    <row r="133" spans="1:23">
      <c r="A133" s="407">
        <v>131</v>
      </c>
      <c r="B133" s="184" t="s">
        <v>2309</v>
      </c>
      <c r="C133" s="184" t="s">
        <v>2347</v>
      </c>
      <c r="D133" s="122" t="s">
        <v>2222</v>
      </c>
      <c r="E133" s="124">
        <v>42939</v>
      </c>
      <c r="F133" s="125">
        <v>0.46180555555555558</v>
      </c>
      <c r="G133" s="124">
        <v>43008</v>
      </c>
      <c r="H133" s="125">
        <v>0.4375</v>
      </c>
      <c r="I133" s="123">
        <v>672</v>
      </c>
      <c r="J133" s="123">
        <v>118</v>
      </c>
      <c r="K133" s="123">
        <v>586</v>
      </c>
      <c r="L133" s="123">
        <v>48</v>
      </c>
      <c r="M133" s="123">
        <v>188</v>
      </c>
      <c r="N133" s="123">
        <v>29</v>
      </c>
      <c r="O133" s="123">
        <v>5.5</v>
      </c>
      <c r="P133" s="123" t="s">
        <v>2507</v>
      </c>
      <c r="Q133" s="123">
        <v>28.2</v>
      </c>
      <c r="R133" s="123">
        <v>12.4</v>
      </c>
      <c r="S133" s="123" t="s">
        <v>2314</v>
      </c>
      <c r="T133" s="123" t="s">
        <v>2233</v>
      </c>
      <c r="U133" s="123" t="s">
        <v>2182</v>
      </c>
      <c r="V133" s="123" t="s">
        <v>2182</v>
      </c>
      <c r="W133" s="123"/>
    </row>
    <row r="134" spans="1:23">
      <c r="A134" s="407">
        <v>132</v>
      </c>
      <c r="B134" s="184" t="s">
        <v>2309</v>
      </c>
      <c r="C134" s="184" t="s">
        <v>2348</v>
      </c>
      <c r="D134" s="122" t="s">
        <v>2222</v>
      </c>
      <c r="E134" s="124"/>
      <c r="F134" s="124"/>
      <c r="G134" s="124"/>
      <c r="H134" s="125"/>
      <c r="I134" s="123">
        <v>1077</v>
      </c>
      <c r="J134" s="124"/>
      <c r="K134" s="124"/>
      <c r="L134" s="124"/>
      <c r="M134" s="124"/>
      <c r="N134" s="124"/>
      <c r="O134" s="124"/>
      <c r="P134" s="124"/>
      <c r="Q134" s="123"/>
      <c r="R134" s="123"/>
      <c r="S134" s="123"/>
      <c r="T134" s="123"/>
      <c r="U134" s="123"/>
      <c r="V134" s="123"/>
      <c r="W134" s="123"/>
    </row>
    <row r="135" spans="1:23">
      <c r="A135" s="407">
        <v>133</v>
      </c>
      <c r="B135" s="184" t="s">
        <v>2309</v>
      </c>
      <c r="C135" s="184" t="s">
        <v>2349</v>
      </c>
      <c r="D135" s="122" t="s">
        <v>2222</v>
      </c>
      <c r="E135" s="124">
        <v>42939</v>
      </c>
      <c r="F135" s="125">
        <v>0.46527777777777773</v>
      </c>
      <c r="G135" s="124">
        <v>43008</v>
      </c>
      <c r="H135" s="125">
        <v>0.42569444444444443</v>
      </c>
      <c r="I135" s="123">
        <v>674</v>
      </c>
      <c r="J135" s="123">
        <v>270</v>
      </c>
      <c r="K135" s="123">
        <v>817</v>
      </c>
      <c r="L135" s="123">
        <v>210</v>
      </c>
      <c r="M135" s="123">
        <v>683</v>
      </c>
      <c r="N135" s="123">
        <v>33.700000000000003</v>
      </c>
      <c r="O135" s="123">
        <v>5.9</v>
      </c>
      <c r="P135" s="123" t="s">
        <v>2507</v>
      </c>
      <c r="Q135" s="123">
        <v>28.9</v>
      </c>
      <c r="R135" s="123">
        <v>11.6</v>
      </c>
      <c r="S135" s="123" t="s">
        <v>2314</v>
      </c>
      <c r="T135" s="123" t="s">
        <v>2314</v>
      </c>
      <c r="U135" s="123" t="s">
        <v>2182</v>
      </c>
      <c r="V135" s="123"/>
      <c r="W135" s="123" t="s">
        <v>2822</v>
      </c>
    </row>
    <row r="136" spans="1:23">
      <c r="A136" s="407">
        <v>134</v>
      </c>
      <c r="B136" s="184" t="s">
        <v>2309</v>
      </c>
      <c r="C136" s="184" t="s">
        <v>2350</v>
      </c>
      <c r="D136" s="122" t="s">
        <v>2222</v>
      </c>
      <c r="E136" s="124">
        <v>42939</v>
      </c>
      <c r="F136" s="125">
        <v>0.46527777777777773</v>
      </c>
      <c r="G136" s="124">
        <v>43008</v>
      </c>
      <c r="H136" s="125">
        <v>0.4291666666666667</v>
      </c>
      <c r="I136" s="123">
        <v>675</v>
      </c>
      <c r="J136" s="123">
        <v>316</v>
      </c>
      <c r="K136" s="123">
        <v>837</v>
      </c>
      <c r="L136" s="123">
        <v>40</v>
      </c>
      <c r="M136" s="123">
        <v>649</v>
      </c>
      <c r="N136" s="123">
        <v>29.8</v>
      </c>
      <c r="O136" s="123">
        <v>5.5</v>
      </c>
      <c r="P136" s="123" t="s">
        <v>2507</v>
      </c>
      <c r="Q136" s="123">
        <v>28.6</v>
      </c>
      <c r="R136" s="123">
        <v>7.8</v>
      </c>
      <c r="S136" s="123" t="s">
        <v>2182</v>
      </c>
      <c r="T136" s="123" t="s">
        <v>2314</v>
      </c>
      <c r="U136" s="123" t="s">
        <v>2182</v>
      </c>
      <c r="V136" s="123" t="s">
        <v>2182</v>
      </c>
      <c r="W136" s="123"/>
    </row>
    <row r="137" spans="1:23">
      <c r="A137" s="407">
        <v>135</v>
      </c>
      <c r="B137" s="184" t="s">
        <v>2309</v>
      </c>
      <c r="C137" s="184" t="s">
        <v>2351</v>
      </c>
      <c r="D137" s="122" t="s">
        <v>2222</v>
      </c>
      <c r="E137" s="124">
        <v>42939</v>
      </c>
      <c r="F137" s="125">
        <v>0.45833333333333331</v>
      </c>
      <c r="G137" s="124">
        <v>43008</v>
      </c>
      <c r="H137" s="125">
        <v>0.43333333333333335</v>
      </c>
      <c r="I137" s="123">
        <v>677</v>
      </c>
      <c r="J137" s="123">
        <v>77</v>
      </c>
      <c r="K137" s="123">
        <v>756</v>
      </c>
      <c r="L137" s="123">
        <v>517</v>
      </c>
      <c r="M137" s="123">
        <v>223</v>
      </c>
      <c r="N137" s="123">
        <v>34.4</v>
      </c>
      <c r="O137" s="123">
        <v>5.3</v>
      </c>
      <c r="P137" s="123" t="s">
        <v>2507</v>
      </c>
      <c r="Q137" s="123">
        <v>28.3</v>
      </c>
      <c r="R137" s="123">
        <v>11.8</v>
      </c>
      <c r="S137" s="123" t="s">
        <v>2190</v>
      </c>
      <c r="T137" s="123" t="s">
        <v>2190</v>
      </c>
      <c r="U137" s="123"/>
      <c r="V137" s="123"/>
      <c r="W137" s="123"/>
    </row>
    <row r="138" spans="1:23">
      <c r="A138" s="407">
        <v>136</v>
      </c>
      <c r="B138" s="184" t="s">
        <v>2309</v>
      </c>
      <c r="C138" s="184" t="s">
        <v>2352</v>
      </c>
      <c r="D138" s="122" t="s">
        <v>2222</v>
      </c>
      <c r="E138" s="124">
        <v>42939</v>
      </c>
      <c r="F138" s="125">
        <v>0.46527777777777773</v>
      </c>
      <c r="G138" s="124">
        <v>43008</v>
      </c>
      <c r="H138" s="125">
        <v>0.43194444444444446</v>
      </c>
      <c r="I138" s="123">
        <v>678</v>
      </c>
      <c r="J138" s="123">
        <v>332</v>
      </c>
      <c r="K138" s="123">
        <v>184</v>
      </c>
      <c r="L138" s="123">
        <v>67</v>
      </c>
      <c r="M138" s="123">
        <v>214</v>
      </c>
      <c r="N138" s="123">
        <v>30.7</v>
      </c>
      <c r="O138" s="123">
        <v>5.3</v>
      </c>
      <c r="P138" s="123" t="s">
        <v>2507</v>
      </c>
      <c r="Q138" s="123">
        <v>29.1</v>
      </c>
      <c r="R138" s="123">
        <v>6.5</v>
      </c>
      <c r="S138" s="123" t="s">
        <v>2314</v>
      </c>
      <c r="T138" s="123"/>
      <c r="U138" s="123" t="s">
        <v>2182</v>
      </c>
      <c r="V138" s="123"/>
      <c r="W138" s="123"/>
    </row>
    <row r="139" spans="1:23">
      <c r="A139" s="407">
        <v>137</v>
      </c>
      <c r="B139" s="184" t="s">
        <v>2309</v>
      </c>
      <c r="C139" s="184" t="s">
        <v>2353</v>
      </c>
      <c r="D139" s="122" t="s">
        <v>2239</v>
      </c>
      <c r="E139" s="124">
        <v>42939</v>
      </c>
      <c r="F139" s="125">
        <v>0.3611111111111111</v>
      </c>
      <c r="G139" s="124">
        <v>43008</v>
      </c>
      <c r="H139" s="125">
        <v>0.48888888888888887</v>
      </c>
      <c r="I139" s="123">
        <v>681</v>
      </c>
      <c r="J139" s="123">
        <v>30</v>
      </c>
      <c r="K139" s="123">
        <v>746</v>
      </c>
      <c r="L139" s="123">
        <v>335</v>
      </c>
      <c r="M139" s="123">
        <v>628</v>
      </c>
      <c r="N139" s="123">
        <v>26.5</v>
      </c>
      <c r="O139" s="123">
        <v>5.7</v>
      </c>
      <c r="P139" s="123" t="s">
        <v>2507</v>
      </c>
      <c r="Q139" s="123">
        <v>28.6</v>
      </c>
      <c r="R139" s="123">
        <v>12.1</v>
      </c>
      <c r="S139" s="123" t="s">
        <v>2174</v>
      </c>
      <c r="T139" s="123" t="s">
        <v>2190</v>
      </c>
      <c r="U139" s="123"/>
      <c r="V139" s="123"/>
      <c r="W139" s="123"/>
    </row>
    <row r="140" spans="1:23">
      <c r="A140" s="407">
        <v>138</v>
      </c>
      <c r="B140" s="184" t="s">
        <v>2309</v>
      </c>
      <c r="C140" s="184" t="s">
        <v>2354</v>
      </c>
      <c r="D140" s="122" t="s">
        <v>2239</v>
      </c>
      <c r="E140" s="124">
        <v>42939</v>
      </c>
      <c r="F140" s="125">
        <v>0.3611111111111111</v>
      </c>
      <c r="G140" s="124">
        <v>43008</v>
      </c>
      <c r="H140" s="125">
        <v>0.5</v>
      </c>
      <c r="I140" s="123">
        <v>682</v>
      </c>
      <c r="J140" s="123">
        <v>213</v>
      </c>
      <c r="K140" s="123">
        <v>821</v>
      </c>
      <c r="L140" s="123">
        <v>484</v>
      </c>
      <c r="M140" s="123">
        <v>198</v>
      </c>
      <c r="N140" s="123">
        <v>28.7</v>
      </c>
      <c r="O140" s="123">
        <v>5</v>
      </c>
      <c r="P140" s="123" t="s">
        <v>2507</v>
      </c>
      <c r="Q140" s="123">
        <v>28.9</v>
      </c>
      <c r="R140" s="123">
        <v>9.1</v>
      </c>
      <c r="S140" s="123" t="s">
        <v>2190</v>
      </c>
      <c r="T140" s="123" t="s">
        <v>2190</v>
      </c>
      <c r="U140" s="123"/>
      <c r="V140" s="123"/>
      <c r="W140" s="123"/>
    </row>
    <row r="141" spans="1:23">
      <c r="A141" s="407">
        <v>139</v>
      </c>
      <c r="B141" s="184" t="s">
        <v>2309</v>
      </c>
      <c r="C141" s="184" t="s">
        <v>2355</v>
      </c>
      <c r="D141" s="122" t="s">
        <v>2239</v>
      </c>
      <c r="E141" s="124">
        <v>42939</v>
      </c>
      <c r="F141" s="125">
        <v>0.3611111111111111</v>
      </c>
      <c r="G141" s="124">
        <v>43008</v>
      </c>
      <c r="H141" s="125">
        <v>0.50347222222222221</v>
      </c>
      <c r="I141" s="123">
        <v>683</v>
      </c>
      <c r="J141" s="129">
        <v>17</v>
      </c>
      <c r="K141" s="123">
        <v>813</v>
      </c>
      <c r="L141" s="123">
        <v>868</v>
      </c>
      <c r="M141" s="123">
        <v>706</v>
      </c>
      <c r="N141" s="123">
        <v>27.3</v>
      </c>
      <c r="O141" s="123">
        <v>5.3</v>
      </c>
      <c r="P141" s="123" t="s">
        <v>2507</v>
      </c>
      <c r="Q141" s="123">
        <v>29</v>
      </c>
      <c r="R141" s="123">
        <v>17.100000000000001</v>
      </c>
      <c r="S141" s="123" t="s">
        <v>2190</v>
      </c>
      <c r="T141" s="123" t="s">
        <v>2190</v>
      </c>
      <c r="U141" s="123"/>
      <c r="V141" s="123"/>
      <c r="W141" s="123"/>
    </row>
    <row r="142" spans="1:23">
      <c r="A142" s="407">
        <v>140</v>
      </c>
      <c r="B142" s="184" t="s">
        <v>2309</v>
      </c>
      <c r="C142" s="184" t="s">
        <v>2357</v>
      </c>
      <c r="D142" s="122" t="s">
        <v>2239</v>
      </c>
      <c r="E142" s="124">
        <v>42939</v>
      </c>
      <c r="F142" s="125">
        <v>0.36458333333333331</v>
      </c>
      <c r="G142" s="124">
        <v>43008</v>
      </c>
      <c r="H142" s="125">
        <v>0.49305555555555558</v>
      </c>
      <c r="I142" s="123">
        <v>684</v>
      </c>
      <c r="J142" s="123">
        <v>401</v>
      </c>
      <c r="K142" s="123">
        <v>729</v>
      </c>
      <c r="L142" s="123">
        <v>792</v>
      </c>
      <c r="M142" s="123">
        <v>710</v>
      </c>
      <c r="N142" s="123">
        <v>25.4</v>
      </c>
      <c r="O142" s="123">
        <v>5.3</v>
      </c>
      <c r="P142" s="123" t="s">
        <v>2507</v>
      </c>
      <c r="Q142" s="123">
        <v>30.6</v>
      </c>
      <c r="R142" s="123">
        <v>9.3000000000000007</v>
      </c>
      <c r="S142" s="123" t="s">
        <v>2182</v>
      </c>
      <c r="T142" s="123" t="s">
        <v>2190</v>
      </c>
      <c r="U142" s="123"/>
      <c r="V142" s="123"/>
      <c r="W142" s="123" t="s">
        <v>2828</v>
      </c>
    </row>
    <row r="143" spans="1:23">
      <c r="A143" s="407">
        <v>141</v>
      </c>
      <c r="B143" s="184" t="s">
        <v>2309</v>
      </c>
      <c r="C143" s="184" t="s">
        <v>2358</v>
      </c>
      <c r="D143" s="122" t="s">
        <v>2239</v>
      </c>
      <c r="E143" s="124"/>
      <c r="F143" s="124"/>
      <c r="G143" s="124"/>
      <c r="H143" s="125"/>
      <c r="I143" s="123">
        <v>685</v>
      </c>
      <c r="J143" s="124"/>
      <c r="K143" s="124"/>
      <c r="L143" s="124"/>
      <c r="M143" s="124"/>
      <c r="N143" s="124"/>
      <c r="O143" s="124"/>
      <c r="P143" s="124"/>
      <c r="Q143" s="123"/>
      <c r="R143" s="123"/>
      <c r="S143" s="123"/>
      <c r="T143" s="123"/>
      <c r="U143" s="123"/>
      <c r="V143" s="123"/>
      <c r="W143" s="123"/>
    </row>
    <row r="144" spans="1:23">
      <c r="A144" s="407">
        <v>142</v>
      </c>
      <c r="B144" s="184" t="s">
        <v>2309</v>
      </c>
      <c r="C144" s="184" t="s">
        <v>2359</v>
      </c>
      <c r="D144" s="122" t="s">
        <v>2239</v>
      </c>
      <c r="E144" s="124">
        <v>42939</v>
      </c>
      <c r="F144" s="125">
        <v>0.38194444444444442</v>
      </c>
      <c r="G144" s="124">
        <v>43008</v>
      </c>
      <c r="H144" s="125">
        <v>0.48472222222222222</v>
      </c>
      <c r="I144" s="123">
        <v>686</v>
      </c>
      <c r="J144" s="123">
        <v>87</v>
      </c>
      <c r="K144" s="123">
        <v>834</v>
      </c>
      <c r="L144" s="123">
        <v>711</v>
      </c>
      <c r="M144" s="123">
        <v>626</v>
      </c>
      <c r="N144" s="123">
        <v>27</v>
      </c>
      <c r="O144" s="123">
        <v>6.2</v>
      </c>
      <c r="P144" s="123" t="s">
        <v>2507</v>
      </c>
      <c r="Q144" s="123">
        <v>29.8</v>
      </c>
      <c r="R144" s="123">
        <v>10.7</v>
      </c>
      <c r="S144" s="123" t="s">
        <v>2829</v>
      </c>
      <c r="T144" s="123"/>
      <c r="U144" s="123" t="s">
        <v>2182</v>
      </c>
      <c r="V144" s="123"/>
      <c r="W144" s="123" t="s">
        <v>2822</v>
      </c>
    </row>
    <row r="145" spans="1:23">
      <c r="A145" s="407">
        <v>143</v>
      </c>
      <c r="B145" s="184" t="s">
        <v>2309</v>
      </c>
      <c r="C145" s="184" t="s">
        <v>2360</v>
      </c>
      <c r="D145" s="122" t="s">
        <v>2239</v>
      </c>
      <c r="E145" s="124">
        <v>42939</v>
      </c>
      <c r="F145" s="125">
        <v>0.38541666666666669</v>
      </c>
      <c r="G145" s="124">
        <v>43008</v>
      </c>
      <c r="H145" s="125">
        <v>0.49722222222222223</v>
      </c>
      <c r="I145" s="123">
        <v>687</v>
      </c>
      <c r="J145" s="123">
        <v>501</v>
      </c>
      <c r="K145" s="123">
        <v>774</v>
      </c>
      <c r="L145" s="123">
        <v>205</v>
      </c>
      <c r="M145" s="123">
        <v>195</v>
      </c>
      <c r="N145" s="123">
        <v>27.2</v>
      </c>
      <c r="O145" s="123">
        <v>6.3</v>
      </c>
      <c r="P145" s="123" t="s">
        <v>2507</v>
      </c>
      <c r="Q145" s="123">
        <v>28.8</v>
      </c>
      <c r="R145" s="123">
        <v>18.7</v>
      </c>
      <c r="S145" s="123"/>
      <c r="T145" s="123"/>
      <c r="U145" s="123" t="s">
        <v>2182</v>
      </c>
      <c r="V145" s="123"/>
      <c r="W145" s="123"/>
    </row>
    <row r="146" spans="1:23">
      <c r="A146" s="407">
        <v>144</v>
      </c>
      <c r="B146" s="184" t="s">
        <v>2309</v>
      </c>
      <c r="C146" s="184" t="s">
        <v>2361</v>
      </c>
      <c r="D146" s="122" t="s">
        <v>2239</v>
      </c>
      <c r="E146" s="124">
        <v>42939</v>
      </c>
      <c r="F146" s="125">
        <v>0.38541666666666669</v>
      </c>
      <c r="G146" s="124">
        <v>43008</v>
      </c>
      <c r="H146" s="125">
        <v>0.49513888888888885</v>
      </c>
      <c r="I146" s="123">
        <v>688</v>
      </c>
      <c r="J146" s="123">
        <v>141</v>
      </c>
      <c r="K146" s="123">
        <v>779</v>
      </c>
      <c r="L146" s="123">
        <v>384</v>
      </c>
      <c r="M146" s="123">
        <v>295</v>
      </c>
      <c r="N146" s="123">
        <v>27.8</v>
      </c>
      <c r="O146" s="123">
        <v>2.9</v>
      </c>
      <c r="P146" s="123" t="s">
        <v>2507</v>
      </c>
      <c r="Q146" s="123">
        <v>30.5</v>
      </c>
      <c r="R146" s="123">
        <v>16</v>
      </c>
      <c r="S146" s="123" t="s">
        <v>2174</v>
      </c>
      <c r="T146" s="123" t="s">
        <v>2190</v>
      </c>
      <c r="U146" s="123"/>
      <c r="V146" s="123"/>
      <c r="W146" s="123" t="s">
        <v>2831</v>
      </c>
    </row>
    <row r="147" spans="1:23">
      <c r="A147" s="407">
        <v>145</v>
      </c>
      <c r="B147" s="184" t="s">
        <v>2309</v>
      </c>
      <c r="C147" s="184" t="s">
        <v>2362</v>
      </c>
      <c r="D147" s="122" t="s">
        <v>2251</v>
      </c>
      <c r="E147" s="124">
        <v>42939</v>
      </c>
      <c r="F147" s="125">
        <v>0.62847222222222221</v>
      </c>
      <c r="G147" s="124">
        <v>43010</v>
      </c>
      <c r="H147" s="125">
        <v>0.40763888888888888</v>
      </c>
      <c r="I147" s="123">
        <v>698</v>
      </c>
      <c r="J147" s="123">
        <v>131</v>
      </c>
      <c r="K147" s="123">
        <v>728</v>
      </c>
      <c r="L147" s="129">
        <v>72</v>
      </c>
      <c r="M147" s="123">
        <v>609</v>
      </c>
      <c r="N147" s="123">
        <v>31.2</v>
      </c>
      <c r="O147" s="123">
        <v>5.6</v>
      </c>
      <c r="P147" s="123" t="s">
        <v>2507</v>
      </c>
      <c r="Q147" s="123">
        <v>28.8</v>
      </c>
      <c r="R147" s="123">
        <v>7.1</v>
      </c>
      <c r="S147" s="123"/>
      <c r="T147" s="123"/>
      <c r="U147" s="123"/>
      <c r="V147" s="123"/>
      <c r="W147" s="123"/>
    </row>
    <row r="148" spans="1:23">
      <c r="A148" s="407">
        <v>146</v>
      </c>
      <c r="B148" s="184" t="s">
        <v>2309</v>
      </c>
      <c r="C148" s="184" t="s">
        <v>2363</v>
      </c>
      <c r="D148" s="122" t="s">
        <v>2251</v>
      </c>
      <c r="E148" s="124">
        <v>42939</v>
      </c>
      <c r="F148" s="125">
        <v>0.63194444444444442</v>
      </c>
      <c r="G148" s="124">
        <v>43010</v>
      </c>
      <c r="H148" s="125">
        <v>0.40416666666666662</v>
      </c>
      <c r="I148" s="123">
        <v>699</v>
      </c>
      <c r="J148" s="123">
        <v>465</v>
      </c>
      <c r="K148" s="123">
        <v>13</v>
      </c>
      <c r="L148" s="123">
        <v>336</v>
      </c>
      <c r="M148" s="123">
        <v>292</v>
      </c>
      <c r="N148" s="123">
        <v>34.1</v>
      </c>
      <c r="O148" s="123">
        <v>2.6</v>
      </c>
      <c r="P148" s="123" t="s">
        <v>2507</v>
      </c>
      <c r="Q148" s="123">
        <v>27.9</v>
      </c>
      <c r="R148" s="123">
        <v>9.6</v>
      </c>
      <c r="S148" s="123"/>
      <c r="T148" s="123" t="s">
        <v>2174</v>
      </c>
      <c r="U148" s="123"/>
      <c r="V148" s="123"/>
      <c r="W148" s="123" t="s">
        <v>2832</v>
      </c>
    </row>
    <row r="149" spans="1:23">
      <c r="A149" s="407">
        <v>147</v>
      </c>
      <c r="B149" s="184" t="s">
        <v>2309</v>
      </c>
      <c r="C149" s="184" t="s">
        <v>2364</v>
      </c>
      <c r="D149" s="122" t="s">
        <v>2251</v>
      </c>
      <c r="E149" s="124">
        <v>42939</v>
      </c>
      <c r="F149" s="125">
        <v>0.625</v>
      </c>
      <c r="G149" s="124">
        <v>43010</v>
      </c>
      <c r="H149" s="125">
        <v>0.40902777777777777</v>
      </c>
      <c r="I149" s="123">
        <v>700</v>
      </c>
      <c r="J149" s="123">
        <v>15</v>
      </c>
      <c r="K149" s="123">
        <v>832</v>
      </c>
      <c r="L149" s="123">
        <v>303</v>
      </c>
      <c r="M149" s="123">
        <v>243</v>
      </c>
      <c r="N149" s="123">
        <v>32.200000000000003</v>
      </c>
      <c r="O149" s="123">
        <v>5</v>
      </c>
      <c r="P149" s="123" t="s">
        <v>2507</v>
      </c>
      <c r="Q149" s="123">
        <v>27.6</v>
      </c>
      <c r="R149" s="123">
        <v>6.2</v>
      </c>
      <c r="S149" s="123"/>
      <c r="T149" s="123" t="s">
        <v>2174</v>
      </c>
      <c r="U149" s="123"/>
      <c r="V149" s="123"/>
      <c r="W149" s="123"/>
    </row>
    <row r="150" spans="1:23">
      <c r="A150" s="407">
        <v>148</v>
      </c>
      <c r="B150" s="184" t="s">
        <v>2309</v>
      </c>
      <c r="C150" s="184" t="s">
        <v>2365</v>
      </c>
      <c r="D150" s="122" t="s">
        <v>2251</v>
      </c>
      <c r="E150" s="124">
        <v>42939</v>
      </c>
      <c r="F150" s="125">
        <v>0.62847222222222221</v>
      </c>
      <c r="G150" s="124">
        <v>43010</v>
      </c>
      <c r="H150" s="125">
        <v>0.40972222222222227</v>
      </c>
      <c r="I150" s="123">
        <v>701</v>
      </c>
      <c r="J150" s="123">
        <v>290</v>
      </c>
      <c r="K150" s="123">
        <v>823</v>
      </c>
      <c r="L150" s="123">
        <v>161</v>
      </c>
      <c r="M150" s="123">
        <v>422</v>
      </c>
      <c r="N150" s="123">
        <v>34.200000000000003</v>
      </c>
      <c r="O150" s="123">
        <v>4.5999999999999996</v>
      </c>
      <c r="P150" s="123" t="s">
        <v>2507</v>
      </c>
      <c r="Q150" s="123">
        <v>29</v>
      </c>
      <c r="R150" s="123">
        <v>8.4</v>
      </c>
      <c r="S150" s="123"/>
      <c r="T150" s="123" t="s">
        <v>2190</v>
      </c>
      <c r="U150" s="123" t="s">
        <v>2314</v>
      </c>
      <c r="V150" s="123"/>
      <c r="W150" s="123"/>
    </row>
    <row r="151" spans="1:23">
      <c r="A151" s="407">
        <v>149</v>
      </c>
      <c r="B151" s="184" t="s">
        <v>2309</v>
      </c>
      <c r="C151" s="184" t="s">
        <v>2366</v>
      </c>
      <c r="D151" s="122" t="s">
        <v>2251</v>
      </c>
      <c r="E151" s="124">
        <v>42939</v>
      </c>
      <c r="F151" s="125">
        <v>0.62847222222222221</v>
      </c>
      <c r="G151" s="124">
        <v>43010</v>
      </c>
      <c r="H151" s="125">
        <v>0.41111111111111115</v>
      </c>
      <c r="I151" s="123">
        <v>702</v>
      </c>
      <c r="J151" s="129">
        <v>194</v>
      </c>
      <c r="K151" s="123">
        <v>703</v>
      </c>
      <c r="L151" s="123">
        <v>464</v>
      </c>
      <c r="M151" s="123">
        <v>664</v>
      </c>
      <c r="N151" s="123">
        <v>34.299999999999997</v>
      </c>
      <c r="O151" s="123">
        <v>5.2</v>
      </c>
      <c r="P151" s="123" t="s">
        <v>2507</v>
      </c>
      <c r="Q151" s="123">
        <v>27.7</v>
      </c>
      <c r="R151" s="123">
        <v>7.4</v>
      </c>
      <c r="S151" s="123"/>
      <c r="T151" s="123"/>
      <c r="U151" s="123"/>
      <c r="V151" s="123"/>
      <c r="W151" s="123"/>
    </row>
    <row r="152" spans="1:23">
      <c r="A152" s="407">
        <v>150</v>
      </c>
      <c r="B152" s="184" t="s">
        <v>2309</v>
      </c>
      <c r="C152" s="184" t="s">
        <v>2367</v>
      </c>
      <c r="D152" s="122" t="s">
        <v>2251</v>
      </c>
      <c r="E152" s="124">
        <v>42939</v>
      </c>
      <c r="F152" s="125">
        <v>0.63194444444444442</v>
      </c>
      <c r="G152" s="124">
        <v>43010</v>
      </c>
      <c r="H152" s="125">
        <v>0.40208333333333335</v>
      </c>
      <c r="I152" s="123">
        <v>703</v>
      </c>
      <c r="J152" s="123">
        <v>272</v>
      </c>
      <c r="K152" s="123">
        <v>668</v>
      </c>
      <c r="L152" s="123">
        <v>843</v>
      </c>
      <c r="M152" s="123">
        <v>316</v>
      </c>
      <c r="N152" s="123">
        <v>34.1</v>
      </c>
      <c r="O152" s="123">
        <v>4.3</v>
      </c>
      <c r="P152" s="123" t="s">
        <v>2507</v>
      </c>
      <c r="Q152" s="123">
        <v>27.5</v>
      </c>
      <c r="R152" s="123">
        <v>8.1</v>
      </c>
      <c r="S152" s="123" t="s">
        <v>2174</v>
      </c>
      <c r="T152" s="123" t="s">
        <v>2174</v>
      </c>
      <c r="U152" s="123"/>
      <c r="V152" s="123"/>
      <c r="W152" s="123" t="s">
        <v>2822</v>
      </c>
    </row>
    <row r="153" spans="1:23">
      <c r="A153" s="407">
        <v>151</v>
      </c>
      <c r="B153" s="184" t="s">
        <v>2309</v>
      </c>
      <c r="C153" s="184" t="s">
        <v>2368</v>
      </c>
      <c r="D153" s="122" t="s">
        <v>2251</v>
      </c>
      <c r="E153" s="123"/>
      <c r="F153" s="123"/>
      <c r="G153" s="123"/>
      <c r="H153" s="123"/>
      <c r="I153" s="123">
        <v>704</v>
      </c>
      <c r="J153" s="123"/>
      <c r="K153" s="123"/>
      <c r="L153" s="123"/>
      <c r="M153" s="123"/>
      <c r="N153" s="123"/>
      <c r="O153" s="123"/>
      <c r="P153" s="123"/>
      <c r="Q153" s="123"/>
      <c r="R153" s="123"/>
      <c r="S153" s="123"/>
      <c r="T153" s="123"/>
      <c r="U153" s="123"/>
      <c r="V153" s="123"/>
      <c r="W153" s="123"/>
    </row>
    <row r="154" spans="1:23">
      <c r="A154" s="407">
        <v>152</v>
      </c>
      <c r="B154" s="184" t="s">
        <v>2309</v>
      </c>
      <c r="C154" s="184" t="s">
        <v>2369</v>
      </c>
      <c r="D154" s="122" t="s">
        <v>2251</v>
      </c>
      <c r="E154" s="124">
        <v>42939</v>
      </c>
      <c r="F154" s="125">
        <v>0.63194444444444442</v>
      </c>
      <c r="G154" s="124">
        <v>43010</v>
      </c>
      <c r="H154" s="125">
        <v>0.4145833333333333</v>
      </c>
      <c r="I154" s="123">
        <v>705</v>
      </c>
      <c r="J154" s="123">
        <v>198</v>
      </c>
      <c r="K154" s="123">
        <v>788</v>
      </c>
      <c r="L154" s="123">
        <v>617</v>
      </c>
      <c r="M154" s="123">
        <v>635</v>
      </c>
      <c r="N154" s="123">
        <v>30.9</v>
      </c>
      <c r="O154" s="123">
        <v>6.4</v>
      </c>
      <c r="P154" s="123" t="s">
        <v>2507</v>
      </c>
      <c r="Q154" s="123">
        <v>26</v>
      </c>
      <c r="R154" s="123">
        <v>6.4</v>
      </c>
      <c r="S154" s="123" t="s">
        <v>2190</v>
      </c>
      <c r="T154" s="123" t="s">
        <v>2174</v>
      </c>
      <c r="U154" s="123"/>
      <c r="V154" s="123"/>
      <c r="W154" s="123" t="s">
        <v>2833</v>
      </c>
    </row>
    <row r="155" spans="1:23">
      <c r="A155" s="407">
        <v>153</v>
      </c>
      <c r="B155" s="184" t="s">
        <v>2309</v>
      </c>
      <c r="C155" s="184" t="s">
        <v>2371</v>
      </c>
      <c r="D155" s="122" t="s">
        <v>2260</v>
      </c>
      <c r="E155" s="124">
        <v>42939</v>
      </c>
      <c r="F155" s="125">
        <v>0.61111111111111105</v>
      </c>
      <c r="G155" s="124">
        <v>43010</v>
      </c>
      <c r="H155" s="125">
        <v>0.42777777777777781</v>
      </c>
      <c r="I155" s="123">
        <v>710</v>
      </c>
      <c r="J155" s="123">
        <v>197</v>
      </c>
      <c r="K155" s="123">
        <v>735</v>
      </c>
      <c r="L155" s="123">
        <v>19</v>
      </c>
      <c r="M155" s="123">
        <v>651</v>
      </c>
      <c r="N155" s="123">
        <v>35.5</v>
      </c>
      <c r="O155" s="123">
        <v>4.9000000000000004</v>
      </c>
      <c r="P155" s="123" t="s">
        <v>2507</v>
      </c>
      <c r="Q155" s="123">
        <v>27.8</v>
      </c>
      <c r="R155" s="123">
        <v>6.4</v>
      </c>
      <c r="S155" s="123" t="s">
        <v>2190</v>
      </c>
      <c r="T155" s="123" t="s">
        <v>2190</v>
      </c>
      <c r="U155" s="123"/>
      <c r="V155" s="123"/>
      <c r="W155" s="123"/>
    </row>
    <row r="156" spans="1:23">
      <c r="A156" s="407">
        <v>154</v>
      </c>
      <c r="B156" s="184" t="s">
        <v>2309</v>
      </c>
      <c r="C156" s="184" t="s">
        <v>2372</v>
      </c>
      <c r="D156" s="122" t="s">
        <v>2260</v>
      </c>
      <c r="E156" s="124">
        <v>42939</v>
      </c>
      <c r="F156" s="125">
        <v>0.61111111111111105</v>
      </c>
      <c r="G156" s="124">
        <v>43010</v>
      </c>
      <c r="H156" s="125">
        <v>0.42499999999999999</v>
      </c>
      <c r="I156" s="123">
        <v>711</v>
      </c>
      <c r="J156" s="123">
        <v>127</v>
      </c>
      <c r="K156" s="123">
        <v>836</v>
      </c>
      <c r="L156" s="123">
        <v>275</v>
      </c>
      <c r="M156" s="123">
        <v>367</v>
      </c>
      <c r="N156" s="123">
        <v>32.9</v>
      </c>
      <c r="O156" s="123">
        <v>3.8</v>
      </c>
      <c r="P156" s="123" t="s">
        <v>2507</v>
      </c>
      <c r="Q156" s="123">
        <v>28</v>
      </c>
      <c r="R156" s="123">
        <v>4.3</v>
      </c>
      <c r="S156" s="123" t="s">
        <v>2233</v>
      </c>
      <c r="T156" s="123" t="s">
        <v>2174</v>
      </c>
      <c r="U156" s="123"/>
      <c r="V156" s="123"/>
      <c r="W156" s="123"/>
    </row>
    <row r="157" spans="1:23">
      <c r="A157" s="407">
        <v>155</v>
      </c>
      <c r="B157" s="184" t="s">
        <v>2309</v>
      </c>
      <c r="C157" s="184" t="s">
        <v>2373</v>
      </c>
      <c r="D157" s="122" t="s">
        <v>2260</v>
      </c>
      <c r="E157" s="124">
        <v>42939</v>
      </c>
      <c r="F157" s="125">
        <v>0.61111111111111105</v>
      </c>
      <c r="G157" s="124">
        <v>43010</v>
      </c>
      <c r="H157" s="125">
        <v>0.42638888888888887</v>
      </c>
      <c r="I157" s="123">
        <v>712</v>
      </c>
      <c r="J157" s="123">
        <v>253</v>
      </c>
      <c r="K157" s="123">
        <v>337</v>
      </c>
      <c r="L157" s="123">
        <v>289</v>
      </c>
      <c r="M157" s="123">
        <v>617</v>
      </c>
      <c r="N157" s="123">
        <v>31.2</v>
      </c>
      <c r="O157" s="123">
        <v>4.9000000000000004</v>
      </c>
      <c r="P157" s="123" t="s">
        <v>2507</v>
      </c>
      <c r="Q157" s="123">
        <v>27.6</v>
      </c>
      <c r="R157" s="123">
        <v>5.3</v>
      </c>
      <c r="S157" s="123" t="s">
        <v>2174</v>
      </c>
      <c r="T157" s="123" t="s">
        <v>2233</v>
      </c>
      <c r="U157" s="123"/>
      <c r="V157" s="123"/>
      <c r="W157" s="123"/>
    </row>
    <row r="158" spans="1:23">
      <c r="A158" s="407">
        <v>156</v>
      </c>
      <c r="B158" s="184" t="s">
        <v>2309</v>
      </c>
      <c r="C158" s="184" t="s">
        <v>2374</v>
      </c>
      <c r="D158" s="122" t="s">
        <v>2260</v>
      </c>
      <c r="E158" s="124">
        <v>42939</v>
      </c>
      <c r="F158" s="125">
        <v>0.60416666666666663</v>
      </c>
      <c r="G158" s="124">
        <v>43010</v>
      </c>
      <c r="H158" s="125">
        <v>0.43472222222222223</v>
      </c>
      <c r="I158" s="123">
        <v>713</v>
      </c>
      <c r="J158" s="123">
        <v>47</v>
      </c>
      <c r="K158" s="123">
        <v>118</v>
      </c>
      <c r="L158" s="123">
        <v>65</v>
      </c>
      <c r="M158" s="123">
        <v>84</v>
      </c>
      <c r="N158" s="123">
        <v>32.200000000000003</v>
      </c>
      <c r="O158" s="123">
        <v>4.7</v>
      </c>
      <c r="P158" s="123" t="s">
        <v>2507</v>
      </c>
      <c r="Q158" s="123">
        <v>28.5</v>
      </c>
      <c r="R158" s="123">
        <v>4.3</v>
      </c>
      <c r="S158" s="123" t="s">
        <v>2195</v>
      </c>
      <c r="T158" s="123" t="s">
        <v>2190</v>
      </c>
      <c r="U158" s="123"/>
      <c r="V158" s="123"/>
      <c r="W158" s="123" t="s">
        <v>2834</v>
      </c>
    </row>
    <row r="159" spans="1:23">
      <c r="A159" s="407">
        <v>157</v>
      </c>
      <c r="B159" s="184" t="s">
        <v>2309</v>
      </c>
      <c r="C159" s="184" t="s">
        <v>2376</v>
      </c>
      <c r="D159" s="122" t="s">
        <v>2260</v>
      </c>
      <c r="E159" s="124">
        <v>42939</v>
      </c>
      <c r="F159" s="125">
        <v>0.60416666666666663</v>
      </c>
      <c r="G159" s="124">
        <v>43010</v>
      </c>
      <c r="H159" s="125">
        <v>0.42152777777777778</v>
      </c>
      <c r="I159" s="123">
        <v>714</v>
      </c>
      <c r="J159" s="123">
        <v>328</v>
      </c>
      <c r="K159" s="123">
        <v>478</v>
      </c>
      <c r="L159" s="123">
        <v>33</v>
      </c>
      <c r="M159" s="123">
        <v>248</v>
      </c>
      <c r="N159" s="123">
        <v>31.3</v>
      </c>
      <c r="O159" s="123">
        <v>5.6</v>
      </c>
      <c r="P159" s="123" t="s">
        <v>2507</v>
      </c>
      <c r="Q159" s="123">
        <v>28.4</v>
      </c>
      <c r="R159" s="123">
        <v>5.7</v>
      </c>
      <c r="S159" s="123" t="s">
        <v>2830</v>
      </c>
      <c r="T159" s="123" t="s">
        <v>2829</v>
      </c>
      <c r="U159" s="123"/>
      <c r="V159" s="123"/>
      <c r="W159" s="123" t="s">
        <v>2822</v>
      </c>
    </row>
    <row r="160" spans="1:23">
      <c r="A160" s="407">
        <v>158</v>
      </c>
      <c r="B160" s="184" t="s">
        <v>2309</v>
      </c>
      <c r="C160" s="184" t="s">
        <v>2377</v>
      </c>
      <c r="D160" s="122" t="s">
        <v>2260</v>
      </c>
      <c r="E160" s="124">
        <v>42939</v>
      </c>
      <c r="F160" s="125">
        <v>0.60069444444444442</v>
      </c>
      <c r="G160" s="124">
        <v>43010</v>
      </c>
      <c r="H160" s="125">
        <v>0.43194444444444446</v>
      </c>
      <c r="I160" s="123">
        <v>715</v>
      </c>
      <c r="J160" s="123">
        <v>21</v>
      </c>
      <c r="K160" s="123">
        <v>773</v>
      </c>
      <c r="L160" s="123">
        <v>153</v>
      </c>
      <c r="M160" s="123">
        <v>238</v>
      </c>
      <c r="N160" s="123">
        <v>35.700000000000003</v>
      </c>
      <c r="O160" s="123">
        <v>6.9</v>
      </c>
      <c r="P160" s="123" t="s">
        <v>2507</v>
      </c>
      <c r="Q160" s="123">
        <v>27.9</v>
      </c>
      <c r="R160" s="123">
        <v>5</v>
      </c>
      <c r="S160" s="123" t="s">
        <v>2190</v>
      </c>
      <c r="T160" s="123" t="s">
        <v>2233</v>
      </c>
      <c r="U160" s="123"/>
      <c r="V160" s="123"/>
      <c r="W160" s="123" t="s">
        <v>2835</v>
      </c>
    </row>
    <row r="161" spans="1:23">
      <c r="A161" s="407">
        <v>159</v>
      </c>
      <c r="B161" s="184" t="s">
        <v>2309</v>
      </c>
      <c r="C161" s="184" t="s">
        <v>2378</v>
      </c>
      <c r="D161" s="122" t="s">
        <v>2260</v>
      </c>
      <c r="E161" s="123"/>
      <c r="F161" s="123"/>
      <c r="G161" s="123"/>
      <c r="H161" s="125"/>
      <c r="I161" s="123">
        <v>716</v>
      </c>
      <c r="J161" s="123"/>
      <c r="K161" s="123"/>
      <c r="L161" s="123"/>
      <c r="M161" s="123"/>
      <c r="N161" s="123"/>
      <c r="O161" s="123"/>
      <c r="P161" s="123"/>
      <c r="Q161" s="123"/>
      <c r="R161" s="123"/>
      <c r="S161" s="123"/>
      <c r="T161" s="123"/>
      <c r="U161" s="123"/>
      <c r="V161" s="123"/>
      <c r="W161" s="123"/>
    </row>
    <row r="162" spans="1:23">
      <c r="A162" s="407">
        <v>160</v>
      </c>
      <c r="B162" s="184" t="s">
        <v>2309</v>
      </c>
      <c r="C162" s="184" t="s">
        <v>2379</v>
      </c>
      <c r="D162" s="122" t="s">
        <v>2260</v>
      </c>
      <c r="E162" s="124">
        <v>42939</v>
      </c>
      <c r="F162" s="125">
        <v>0.60763888888888895</v>
      </c>
      <c r="G162" s="124">
        <v>43010</v>
      </c>
      <c r="H162" s="125">
        <v>0.43611111111111112</v>
      </c>
      <c r="I162" s="123">
        <v>717</v>
      </c>
      <c r="J162" s="123">
        <v>482</v>
      </c>
      <c r="K162" s="123">
        <v>401</v>
      </c>
      <c r="L162" s="123">
        <v>175</v>
      </c>
      <c r="M162" s="123">
        <v>350</v>
      </c>
      <c r="N162" s="123">
        <v>29.8</v>
      </c>
      <c r="O162" s="123">
        <v>6.1</v>
      </c>
      <c r="P162" s="123" t="s">
        <v>2507</v>
      </c>
      <c r="Q162" s="123">
        <v>28.6</v>
      </c>
      <c r="R162" s="123">
        <v>6.4</v>
      </c>
      <c r="S162" s="123" t="s">
        <v>2190</v>
      </c>
      <c r="T162" s="123" t="s">
        <v>2174</v>
      </c>
      <c r="U162" s="123"/>
      <c r="V162" s="123"/>
      <c r="W162" s="123"/>
    </row>
    <row r="163" spans="1:23">
      <c r="A163" s="407">
        <v>161</v>
      </c>
      <c r="B163" s="184" t="s">
        <v>2380</v>
      </c>
      <c r="C163" s="184" t="s">
        <v>2381</v>
      </c>
      <c r="D163" s="122" t="s">
        <v>2273</v>
      </c>
      <c r="E163" s="124">
        <v>42940</v>
      </c>
      <c r="F163" s="125">
        <v>0.51388888888888895</v>
      </c>
      <c r="G163" s="124">
        <v>43009</v>
      </c>
      <c r="H163" s="125">
        <v>0.4284722222222222</v>
      </c>
      <c r="I163" s="123">
        <v>756</v>
      </c>
      <c r="J163" s="123">
        <v>51</v>
      </c>
      <c r="K163" s="123">
        <v>673</v>
      </c>
      <c r="L163" s="123">
        <v>207</v>
      </c>
      <c r="M163" s="123">
        <v>314</v>
      </c>
      <c r="N163" s="123">
        <v>33.299999999999997</v>
      </c>
      <c r="O163" s="123">
        <v>3.6</v>
      </c>
      <c r="P163" s="123" t="s">
        <v>2509</v>
      </c>
      <c r="Q163" s="123">
        <v>30.1</v>
      </c>
      <c r="R163" s="123">
        <v>7.7</v>
      </c>
      <c r="S163" s="123" t="s">
        <v>2201</v>
      </c>
      <c r="T163" s="123" t="s">
        <v>2174</v>
      </c>
      <c r="U163" s="123"/>
      <c r="V163" s="123"/>
      <c r="W163" s="123"/>
    </row>
    <row r="164" spans="1:23">
      <c r="A164" s="407">
        <v>162</v>
      </c>
      <c r="B164" s="184" t="s">
        <v>2380</v>
      </c>
      <c r="C164" s="184" t="s">
        <v>2382</v>
      </c>
      <c r="D164" s="122" t="s">
        <v>2273</v>
      </c>
      <c r="E164" s="124">
        <v>42940</v>
      </c>
      <c r="F164" s="125">
        <v>0.51388888888888895</v>
      </c>
      <c r="G164" s="124">
        <v>43009</v>
      </c>
      <c r="H164" s="125">
        <v>0.43055555555555558</v>
      </c>
      <c r="I164" s="123">
        <v>757</v>
      </c>
      <c r="J164" s="123">
        <v>238</v>
      </c>
      <c r="K164" s="123">
        <v>814</v>
      </c>
      <c r="L164" s="123">
        <v>580</v>
      </c>
      <c r="M164" s="123">
        <v>425</v>
      </c>
      <c r="N164" s="123">
        <v>33.200000000000003</v>
      </c>
      <c r="O164" s="123">
        <v>4.5999999999999996</v>
      </c>
      <c r="P164" s="123" t="s">
        <v>2509</v>
      </c>
      <c r="Q164" s="123">
        <v>30.1</v>
      </c>
      <c r="R164" s="123">
        <v>4.3</v>
      </c>
      <c r="S164" s="123" t="s">
        <v>2182</v>
      </c>
      <c r="T164" s="123" t="s">
        <v>2190</v>
      </c>
      <c r="U164" s="123"/>
      <c r="V164" s="123"/>
      <c r="W164" s="123"/>
    </row>
    <row r="165" spans="1:23">
      <c r="A165" s="407">
        <v>163</v>
      </c>
      <c r="B165" s="184" t="s">
        <v>2380</v>
      </c>
      <c r="C165" s="184" t="s">
        <v>2383</v>
      </c>
      <c r="D165" s="122" t="s">
        <v>2273</v>
      </c>
      <c r="E165" s="124">
        <v>42940</v>
      </c>
      <c r="F165" s="125">
        <v>0.51388888888888895</v>
      </c>
      <c r="G165" s="124">
        <v>43009</v>
      </c>
      <c r="H165" s="125">
        <v>0.43263888888888885</v>
      </c>
      <c r="I165" s="123">
        <v>758</v>
      </c>
      <c r="J165" s="123">
        <v>59</v>
      </c>
      <c r="K165" s="123">
        <v>615</v>
      </c>
      <c r="L165" s="123">
        <v>722</v>
      </c>
      <c r="M165" s="123">
        <v>267</v>
      </c>
      <c r="N165" s="123">
        <v>35.4</v>
      </c>
      <c r="O165" s="123">
        <v>4</v>
      </c>
      <c r="P165" s="123" t="s">
        <v>2509</v>
      </c>
      <c r="Q165" s="123">
        <v>30.1</v>
      </c>
      <c r="R165" s="123">
        <v>4.9000000000000004</v>
      </c>
      <c r="S165" s="123" t="s">
        <v>2182</v>
      </c>
      <c r="T165" s="123" t="s">
        <v>2174</v>
      </c>
      <c r="U165" s="123"/>
      <c r="V165" s="123"/>
      <c r="W165" s="123"/>
    </row>
    <row r="166" spans="1:23">
      <c r="A166" s="407">
        <v>164</v>
      </c>
      <c r="B166" s="184" t="s">
        <v>2380</v>
      </c>
      <c r="C166" s="184" t="s">
        <v>2384</v>
      </c>
      <c r="D166" s="122" t="s">
        <v>2273</v>
      </c>
      <c r="E166" s="124">
        <v>42940</v>
      </c>
      <c r="F166" s="125">
        <v>0.51736111111111105</v>
      </c>
      <c r="G166" s="124">
        <v>43009</v>
      </c>
      <c r="H166" s="125">
        <v>0.43402777777777773</v>
      </c>
      <c r="I166" s="123">
        <v>759</v>
      </c>
      <c r="J166" s="123">
        <v>7</v>
      </c>
      <c r="K166" s="123">
        <v>514</v>
      </c>
      <c r="L166" s="123">
        <v>239</v>
      </c>
      <c r="M166" s="129">
        <v>211</v>
      </c>
      <c r="N166" s="123">
        <v>33.1</v>
      </c>
      <c r="O166" s="123">
        <v>3.2</v>
      </c>
      <c r="P166" s="123" t="s">
        <v>2509</v>
      </c>
      <c r="Q166" s="123">
        <v>29.5</v>
      </c>
      <c r="R166" s="123">
        <v>6.9</v>
      </c>
      <c r="S166" s="123" t="s">
        <v>2182</v>
      </c>
      <c r="T166" s="123"/>
      <c r="U166" s="123" t="s">
        <v>2182</v>
      </c>
      <c r="V166" s="123" t="s">
        <v>2182</v>
      </c>
      <c r="W166" s="123"/>
    </row>
    <row r="167" spans="1:23">
      <c r="A167" s="407">
        <v>165</v>
      </c>
      <c r="B167" s="184" t="s">
        <v>2380</v>
      </c>
      <c r="C167" s="184" t="s">
        <v>2385</v>
      </c>
      <c r="D167" s="122" t="s">
        <v>2273</v>
      </c>
      <c r="E167" s="124">
        <v>42940</v>
      </c>
      <c r="F167" s="125">
        <v>0.52083333333333337</v>
      </c>
      <c r="G167" s="124">
        <v>43009</v>
      </c>
      <c r="H167" s="125">
        <v>0.44305555555555554</v>
      </c>
      <c r="I167" s="123">
        <v>760</v>
      </c>
      <c r="J167" s="123">
        <v>85</v>
      </c>
      <c r="K167" s="123">
        <v>127</v>
      </c>
      <c r="L167" s="123">
        <v>343</v>
      </c>
      <c r="M167" s="123">
        <v>310</v>
      </c>
      <c r="N167" s="123">
        <v>33.6</v>
      </c>
      <c r="O167" s="123">
        <v>3.7</v>
      </c>
      <c r="P167" s="123" t="s">
        <v>2509</v>
      </c>
      <c r="Q167" s="123">
        <v>30.5</v>
      </c>
      <c r="R167" s="123">
        <v>6.9</v>
      </c>
      <c r="S167" s="123"/>
      <c r="T167" s="123"/>
      <c r="U167" s="123"/>
      <c r="V167" s="123"/>
      <c r="W167" s="123" t="s">
        <v>2836</v>
      </c>
    </row>
    <row r="168" spans="1:23">
      <c r="A168" s="407">
        <v>166</v>
      </c>
      <c r="B168" s="184" t="s">
        <v>2380</v>
      </c>
      <c r="C168" s="184" t="s">
        <v>2386</v>
      </c>
      <c r="D168" s="122" t="s">
        <v>2273</v>
      </c>
      <c r="E168" s="124">
        <v>42940</v>
      </c>
      <c r="F168" s="125">
        <v>0.52430555555555558</v>
      </c>
      <c r="G168" s="124">
        <v>43009</v>
      </c>
      <c r="H168" s="125">
        <v>0.43611111111111112</v>
      </c>
      <c r="I168" s="123">
        <v>761</v>
      </c>
      <c r="J168" s="123">
        <v>1</v>
      </c>
      <c r="K168" s="123">
        <v>752</v>
      </c>
      <c r="L168" s="123">
        <v>409</v>
      </c>
      <c r="M168" s="123">
        <v>269</v>
      </c>
      <c r="N168" s="123">
        <v>38.700000000000003</v>
      </c>
      <c r="O168" s="123">
        <v>5.0999999999999996</v>
      </c>
      <c r="P168" s="123" t="s">
        <v>2509</v>
      </c>
      <c r="Q168" s="123">
        <v>27.8</v>
      </c>
      <c r="R168" s="123">
        <v>5.2</v>
      </c>
      <c r="S168" s="123" t="s">
        <v>2182</v>
      </c>
      <c r="T168" s="123"/>
      <c r="U168" s="123"/>
      <c r="V168" s="123"/>
      <c r="W168" s="123"/>
    </row>
    <row r="169" spans="1:23">
      <c r="A169" s="407">
        <v>167</v>
      </c>
      <c r="B169" s="184" t="s">
        <v>2380</v>
      </c>
      <c r="C169" s="184" t="s">
        <v>2388</v>
      </c>
      <c r="D169" s="122" t="s">
        <v>2273</v>
      </c>
      <c r="E169" s="123"/>
      <c r="F169" s="123"/>
      <c r="G169" s="123"/>
      <c r="H169" s="125"/>
      <c r="I169" s="123">
        <v>762</v>
      </c>
      <c r="J169" s="123"/>
      <c r="K169" s="123"/>
      <c r="L169" s="123"/>
      <c r="M169" s="123"/>
      <c r="N169" s="123"/>
      <c r="O169" s="123"/>
      <c r="P169" s="123"/>
      <c r="Q169" s="123"/>
      <c r="R169" s="123"/>
      <c r="S169" s="123"/>
      <c r="T169" s="123"/>
      <c r="U169" s="123"/>
      <c r="V169" s="123"/>
      <c r="W169" s="123"/>
    </row>
    <row r="170" spans="1:23">
      <c r="A170" s="407">
        <v>168</v>
      </c>
      <c r="B170" s="184" t="s">
        <v>2380</v>
      </c>
      <c r="C170" s="184" t="s">
        <v>2389</v>
      </c>
      <c r="D170" s="122" t="s">
        <v>2273</v>
      </c>
      <c r="E170" s="124">
        <v>42940</v>
      </c>
      <c r="F170" s="125">
        <v>0.52083333333333337</v>
      </c>
      <c r="G170" s="124">
        <v>43009</v>
      </c>
      <c r="H170" s="125">
        <v>0.42222222222222222</v>
      </c>
      <c r="I170" s="123">
        <v>763</v>
      </c>
      <c r="J170" s="123">
        <v>70</v>
      </c>
      <c r="K170" s="123">
        <v>690</v>
      </c>
      <c r="L170" s="123">
        <v>304</v>
      </c>
      <c r="M170" s="123">
        <v>413</v>
      </c>
      <c r="N170" s="123">
        <v>32</v>
      </c>
      <c r="O170" s="123">
        <v>5</v>
      </c>
      <c r="P170" s="123" t="s">
        <v>2509</v>
      </c>
      <c r="Q170" s="123">
        <v>28.3</v>
      </c>
      <c r="R170" s="123">
        <v>3.2</v>
      </c>
      <c r="S170" s="123" t="s">
        <v>2182</v>
      </c>
      <c r="T170" s="123" t="s">
        <v>2174</v>
      </c>
      <c r="U170" s="123"/>
      <c r="V170" s="123" t="s">
        <v>2182</v>
      </c>
      <c r="W170" s="123" t="s">
        <v>2822</v>
      </c>
    </row>
    <row r="171" spans="1:23">
      <c r="A171" s="407">
        <v>169</v>
      </c>
      <c r="B171" s="184" t="s">
        <v>2380</v>
      </c>
      <c r="C171" s="184" t="s">
        <v>2390</v>
      </c>
      <c r="D171" s="122" t="s">
        <v>2282</v>
      </c>
      <c r="E171" s="124">
        <v>42940</v>
      </c>
      <c r="F171" s="125">
        <v>0.57291666666666663</v>
      </c>
      <c r="G171" s="124">
        <v>43009</v>
      </c>
      <c r="H171" s="125">
        <v>0.4993055555555555</v>
      </c>
      <c r="I171" s="123">
        <v>782</v>
      </c>
      <c r="J171" s="123">
        <v>250</v>
      </c>
      <c r="K171" s="123">
        <v>684</v>
      </c>
      <c r="L171" s="123">
        <v>135</v>
      </c>
      <c r="M171" s="123">
        <v>80</v>
      </c>
      <c r="N171" s="123">
        <v>38.6</v>
      </c>
      <c r="O171" s="123">
        <v>5.6</v>
      </c>
      <c r="P171" s="123" t="s">
        <v>2509</v>
      </c>
      <c r="Q171" s="123">
        <v>31.5</v>
      </c>
      <c r="R171" s="123">
        <v>7.7</v>
      </c>
      <c r="S171" s="123" t="s">
        <v>2182</v>
      </c>
      <c r="T171" s="123" t="s">
        <v>2314</v>
      </c>
      <c r="U171" s="123" t="s">
        <v>2182</v>
      </c>
      <c r="V171" s="123" t="s">
        <v>2182</v>
      </c>
      <c r="W171" s="123"/>
    </row>
    <row r="172" spans="1:23">
      <c r="A172" s="407">
        <v>170</v>
      </c>
      <c r="B172" s="184" t="s">
        <v>2380</v>
      </c>
      <c r="C172" s="184" t="s">
        <v>2391</v>
      </c>
      <c r="D172" s="122" t="s">
        <v>2282</v>
      </c>
      <c r="E172" s="124">
        <v>42940</v>
      </c>
      <c r="F172" s="125">
        <v>0.57638888888888895</v>
      </c>
      <c r="G172" s="124">
        <v>43009</v>
      </c>
      <c r="H172" s="125">
        <v>0.49722222222222223</v>
      </c>
      <c r="I172" s="123">
        <v>783</v>
      </c>
      <c r="J172" s="123">
        <v>624</v>
      </c>
      <c r="K172" s="123">
        <v>694</v>
      </c>
      <c r="L172" s="123">
        <v>515</v>
      </c>
      <c r="M172" s="123">
        <v>208</v>
      </c>
      <c r="N172" s="123">
        <v>37</v>
      </c>
      <c r="O172" s="123">
        <v>5</v>
      </c>
      <c r="P172" s="123" t="s">
        <v>2509</v>
      </c>
      <c r="Q172" s="123">
        <v>30.9</v>
      </c>
      <c r="R172" s="123">
        <v>7.2</v>
      </c>
      <c r="S172" s="123" t="s">
        <v>2201</v>
      </c>
      <c r="T172" s="123" t="s">
        <v>2182</v>
      </c>
      <c r="U172" s="123" t="s">
        <v>2182</v>
      </c>
      <c r="V172" s="123"/>
      <c r="W172" s="123"/>
    </row>
    <row r="173" spans="1:23">
      <c r="A173" s="407">
        <v>171</v>
      </c>
      <c r="B173" s="184" t="s">
        <v>2380</v>
      </c>
      <c r="C173" s="184" t="s">
        <v>2392</v>
      </c>
      <c r="D173" s="122" t="s">
        <v>2282</v>
      </c>
      <c r="E173" s="124">
        <v>42940</v>
      </c>
      <c r="F173" s="125">
        <v>0.56597222222222221</v>
      </c>
      <c r="G173" s="124">
        <v>43009</v>
      </c>
      <c r="H173" s="125">
        <v>0.50138888888888888</v>
      </c>
      <c r="I173" s="123">
        <v>784</v>
      </c>
      <c r="J173" s="123">
        <v>149</v>
      </c>
      <c r="K173" s="123">
        <v>655</v>
      </c>
      <c r="L173" s="123">
        <v>348</v>
      </c>
      <c r="M173" s="123">
        <v>633</v>
      </c>
      <c r="N173" s="123">
        <v>35.1</v>
      </c>
      <c r="O173" s="123">
        <v>4.5</v>
      </c>
      <c r="P173" s="123" t="s">
        <v>2509</v>
      </c>
      <c r="Q173" s="123">
        <v>30.9</v>
      </c>
      <c r="R173" s="123">
        <v>6.7</v>
      </c>
      <c r="S173" s="123" t="s">
        <v>2182</v>
      </c>
      <c r="T173" s="123" t="s">
        <v>2201</v>
      </c>
      <c r="U173" s="123" t="s">
        <v>2182</v>
      </c>
      <c r="V173" s="123"/>
      <c r="W173" s="123"/>
    </row>
    <row r="174" spans="1:23">
      <c r="A174" s="407">
        <v>172</v>
      </c>
      <c r="B174" s="184" t="s">
        <v>2380</v>
      </c>
      <c r="C174" s="184" t="s">
        <v>2393</v>
      </c>
      <c r="D174" s="122" t="s">
        <v>2282</v>
      </c>
      <c r="E174" s="124"/>
      <c r="F174" s="124"/>
      <c r="G174" s="124"/>
      <c r="H174" s="123"/>
      <c r="I174" s="123">
        <v>789</v>
      </c>
      <c r="J174" s="124"/>
      <c r="K174" s="124"/>
      <c r="L174" s="124"/>
      <c r="M174" s="124"/>
      <c r="N174" s="124"/>
      <c r="O174" s="124"/>
      <c r="P174" s="124"/>
      <c r="Q174" s="123"/>
      <c r="R174" s="123"/>
      <c r="S174" s="123"/>
      <c r="T174" s="123"/>
      <c r="U174" s="123"/>
      <c r="V174" s="123"/>
      <c r="W174" s="123"/>
    </row>
    <row r="175" spans="1:23">
      <c r="A175" s="407">
        <v>173</v>
      </c>
      <c r="B175" s="184" t="s">
        <v>2380</v>
      </c>
      <c r="C175" s="184" t="s">
        <v>2394</v>
      </c>
      <c r="D175" s="122" t="s">
        <v>2282</v>
      </c>
      <c r="E175" s="124">
        <v>42940</v>
      </c>
      <c r="F175" s="125">
        <v>0.57291666666666663</v>
      </c>
      <c r="G175" s="124">
        <v>43009</v>
      </c>
      <c r="H175" s="125">
        <v>0.49305555555555558</v>
      </c>
      <c r="I175" s="123">
        <v>790</v>
      </c>
      <c r="J175" s="123">
        <v>597</v>
      </c>
      <c r="K175" s="123">
        <v>405</v>
      </c>
      <c r="L175" s="123">
        <v>307</v>
      </c>
      <c r="M175" s="123">
        <v>473</v>
      </c>
      <c r="N175" s="123">
        <v>37.200000000000003</v>
      </c>
      <c r="O175" s="123">
        <v>4.5</v>
      </c>
      <c r="P175" s="123" t="s">
        <v>2509</v>
      </c>
      <c r="Q175" s="123">
        <v>30.9</v>
      </c>
      <c r="R175" s="123">
        <v>8.1</v>
      </c>
      <c r="S175" s="123" t="s">
        <v>2201</v>
      </c>
      <c r="T175" s="123" t="s">
        <v>2195</v>
      </c>
      <c r="U175" s="123"/>
      <c r="V175" s="123"/>
      <c r="W175" s="123" t="s">
        <v>2822</v>
      </c>
    </row>
    <row r="176" spans="1:23">
      <c r="A176" s="407">
        <v>174</v>
      </c>
      <c r="B176" s="184" t="s">
        <v>2380</v>
      </c>
      <c r="C176" s="184" t="s">
        <v>2395</v>
      </c>
      <c r="D176" s="122" t="s">
        <v>2282</v>
      </c>
      <c r="E176" s="124">
        <v>42940</v>
      </c>
      <c r="F176" s="125">
        <v>0.56944444444444442</v>
      </c>
      <c r="G176" s="124">
        <v>43009</v>
      </c>
      <c r="H176" s="125">
        <v>0.51180555555555551</v>
      </c>
      <c r="I176" s="123">
        <v>791</v>
      </c>
      <c r="J176" s="123">
        <v>396</v>
      </c>
      <c r="K176" s="123">
        <v>736</v>
      </c>
      <c r="L176" s="123">
        <v>155</v>
      </c>
      <c r="M176" s="123">
        <v>702</v>
      </c>
      <c r="N176" s="123">
        <v>37</v>
      </c>
      <c r="O176" s="123">
        <v>4.5999999999999996</v>
      </c>
      <c r="P176" s="123" t="s">
        <v>2509</v>
      </c>
      <c r="Q176" s="123">
        <v>29.4</v>
      </c>
      <c r="R176" s="123">
        <v>7.2</v>
      </c>
      <c r="S176" s="123" t="s">
        <v>2201</v>
      </c>
      <c r="T176" s="123" t="s">
        <v>2182</v>
      </c>
      <c r="U176" s="123"/>
      <c r="V176" s="123"/>
      <c r="W176" s="123"/>
    </row>
    <row r="177" spans="1:23">
      <c r="A177" s="407">
        <v>175</v>
      </c>
      <c r="B177" s="184" t="s">
        <v>2380</v>
      </c>
      <c r="C177" s="184" t="s">
        <v>2396</v>
      </c>
      <c r="D177" s="122" t="s">
        <v>2282</v>
      </c>
      <c r="E177" s="124">
        <v>42940</v>
      </c>
      <c r="F177" s="125">
        <v>0.5625</v>
      </c>
      <c r="G177" s="124">
        <v>43009</v>
      </c>
      <c r="H177" s="125">
        <v>0.50486111111111109</v>
      </c>
      <c r="I177" s="123">
        <v>792</v>
      </c>
      <c r="J177" s="123">
        <v>612</v>
      </c>
      <c r="K177" s="123">
        <v>338</v>
      </c>
      <c r="L177" s="123">
        <v>719</v>
      </c>
      <c r="M177" s="123">
        <v>175</v>
      </c>
      <c r="N177" s="123">
        <v>37.1</v>
      </c>
      <c r="O177" s="123">
        <v>4.0999999999999996</v>
      </c>
      <c r="P177" s="123" t="s">
        <v>2509</v>
      </c>
      <c r="Q177" s="123">
        <v>31</v>
      </c>
      <c r="R177" s="123">
        <v>7.8</v>
      </c>
      <c r="S177" s="123" t="s">
        <v>2201</v>
      </c>
      <c r="T177" s="123"/>
      <c r="U177" s="123"/>
      <c r="V177" s="123" t="s">
        <v>2182</v>
      </c>
      <c r="W177" s="123"/>
    </row>
    <row r="178" spans="1:23">
      <c r="A178" s="407">
        <v>176</v>
      </c>
      <c r="B178" s="184" t="s">
        <v>2380</v>
      </c>
      <c r="C178" s="184" t="s">
        <v>2397</v>
      </c>
      <c r="D178" s="122" t="s">
        <v>2282</v>
      </c>
      <c r="E178" s="124">
        <v>42940</v>
      </c>
      <c r="F178" s="125">
        <v>0.5625</v>
      </c>
      <c r="G178" s="124">
        <v>43009</v>
      </c>
      <c r="H178" s="125">
        <v>0.5083333333333333</v>
      </c>
      <c r="I178" s="123">
        <v>793</v>
      </c>
      <c r="J178" s="123">
        <v>183</v>
      </c>
      <c r="K178" s="123">
        <v>52</v>
      </c>
      <c r="L178" s="123">
        <v>323</v>
      </c>
      <c r="M178" s="123">
        <v>332</v>
      </c>
      <c r="N178" s="123">
        <v>37.4</v>
      </c>
      <c r="O178" s="123">
        <v>3.7</v>
      </c>
      <c r="P178" s="123" t="s">
        <v>2509</v>
      </c>
      <c r="Q178" s="123">
        <v>31.6</v>
      </c>
      <c r="R178" s="123">
        <v>5.5</v>
      </c>
      <c r="S178" s="123" t="s">
        <v>2201</v>
      </c>
      <c r="T178" s="123" t="s">
        <v>2201</v>
      </c>
      <c r="U178" s="123" t="s">
        <v>2182</v>
      </c>
      <c r="V178" s="123" t="s">
        <v>2182</v>
      </c>
      <c r="W178" s="123"/>
    </row>
    <row r="179" spans="1:23">
      <c r="A179" s="407">
        <v>177</v>
      </c>
      <c r="B179" s="184" t="s">
        <v>2380</v>
      </c>
      <c r="C179" s="184" t="s">
        <v>2398</v>
      </c>
      <c r="D179" s="122" t="s">
        <v>2291</v>
      </c>
      <c r="E179" s="124">
        <v>42940</v>
      </c>
      <c r="F179" s="125">
        <v>0.64583333333333337</v>
      </c>
      <c r="G179" s="124">
        <v>43009</v>
      </c>
      <c r="H179" s="125">
        <v>0.62986111111111109</v>
      </c>
      <c r="I179" s="123">
        <v>794</v>
      </c>
      <c r="J179" s="123">
        <v>98</v>
      </c>
      <c r="K179" s="123">
        <v>750</v>
      </c>
      <c r="L179" s="123">
        <v>14</v>
      </c>
      <c r="M179" s="123">
        <v>70</v>
      </c>
      <c r="N179" s="123">
        <v>36.1</v>
      </c>
      <c r="O179" s="123">
        <v>3.8</v>
      </c>
      <c r="P179" s="123" t="s">
        <v>2510</v>
      </c>
      <c r="Q179" s="123">
        <v>32.200000000000003</v>
      </c>
      <c r="R179" s="123">
        <v>5.6</v>
      </c>
      <c r="S179" s="123" t="s">
        <v>2195</v>
      </c>
      <c r="T179" s="123" t="s">
        <v>2830</v>
      </c>
      <c r="U179" s="123"/>
      <c r="V179" s="123" t="s">
        <v>2182</v>
      </c>
      <c r="W179" s="123" t="s">
        <v>2822</v>
      </c>
    </row>
    <row r="180" spans="1:23">
      <c r="A180" s="407">
        <v>178</v>
      </c>
      <c r="B180" s="184" t="s">
        <v>2380</v>
      </c>
      <c r="C180" s="184" t="s">
        <v>2399</v>
      </c>
      <c r="D180" s="122" t="s">
        <v>2291</v>
      </c>
      <c r="E180" s="124">
        <v>42940</v>
      </c>
      <c r="F180" s="125">
        <v>0.64236111111111105</v>
      </c>
      <c r="G180" s="124">
        <v>43009</v>
      </c>
      <c r="H180" s="125">
        <v>0.63402777777777775</v>
      </c>
      <c r="I180" s="123">
        <v>795</v>
      </c>
      <c r="J180" s="129">
        <v>353</v>
      </c>
      <c r="K180" s="123">
        <v>612</v>
      </c>
      <c r="L180" s="123">
        <v>410</v>
      </c>
      <c r="M180" s="123">
        <v>718</v>
      </c>
      <c r="N180" s="123">
        <v>37.9</v>
      </c>
      <c r="O180" s="123">
        <v>6.2</v>
      </c>
      <c r="P180" s="123" t="s">
        <v>2510</v>
      </c>
      <c r="Q180" s="123">
        <v>33.700000000000003</v>
      </c>
      <c r="R180" s="123">
        <v>2.8</v>
      </c>
      <c r="S180" s="123" t="s">
        <v>2182</v>
      </c>
      <c r="T180" s="123" t="s">
        <v>2233</v>
      </c>
      <c r="U180" s="123"/>
      <c r="V180" s="123"/>
      <c r="W180" s="123"/>
    </row>
    <row r="181" spans="1:23">
      <c r="A181" s="407">
        <v>179</v>
      </c>
      <c r="B181" s="184" t="s">
        <v>2380</v>
      </c>
      <c r="C181" s="184" t="s">
        <v>2400</v>
      </c>
      <c r="D181" s="122" t="s">
        <v>2291</v>
      </c>
      <c r="E181" s="124">
        <v>42940</v>
      </c>
      <c r="F181" s="125">
        <v>0.64236111111111105</v>
      </c>
      <c r="G181" s="124">
        <v>43009</v>
      </c>
      <c r="H181" s="125">
        <v>0.63541666666666663</v>
      </c>
      <c r="I181" s="123">
        <v>796</v>
      </c>
      <c r="J181" s="123">
        <v>42</v>
      </c>
      <c r="K181" s="123">
        <v>491</v>
      </c>
      <c r="L181" s="123">
        <v>78</v>
      </c>
      <c r="M181" s="123">
        <v>640</v>
      </c>
      <c r="N181" s="123">
        <v>35.9</v>
      </c>
      <c r="O181" s="123">
        <v>8.6</v>
      </c>
      <c r="P181" s="123" t="s">
        <v>2510</v>
      </c>
      <c r="Q181" s="123">
        <v>33.6</v>
      </c>
      <c r="R181" s="123">
        <v>3</v>
      </c>
      <c r="S181" s="123" t="s">
        <v>2182</v>
      </c>
      <c r="T181" s="123" t="s">
        <v>2182</v>
      </c>
      <c r="U181" s="123" t="s">
        <v>2182</v>
      </c>
      <c r="V181" s="123"/>
      <c r="W181" s="123"/>
    </row>
    <row r="182" spans="1:23">
      <c r="A182" s="407">
        <v>180</v>
      </c>
      <c r="B182" s="184" t="s">
        <v>2380</v>
      </c>
      <c r="C182" s="184" t="s">
        <v>2401</v>
      </c>
      <c r="D182" s="122" t="s">
        <v>2291</v>
      </c>
      <c r="E182" s="124">
        <v>42940</v>
      </c>
      <c r="F182" s="125">
        <v>0.63888888888888895</v>
      </c>
      <c r="G182" s="124">
        <v>43009</v>
      </c>
      <c r="H182" s="125">
        <v>0.64444444444444449</v>
      </c>
      <c r="I182" s="163">
        <v>797</v>
      </c>
      <c r="J182" s="123">
        <v>245</v>
      </c>
      <c r="K182" s="123">
        <v>325</v>
      </c>
      <c r="L182" s="123">
        <v>422</v>
      </c>
      <c r="M182" s="123">
        <v>669</v>
      </c>
      <c r="N182" s="123">
        <v>28.4</v>
      </c>
      <c r="O182" s="123">
        <v>2.9</v>
      </c>
      <c r="P182" s="123" t="s">
        <v>2510</v>
      </c>
      <c r="Q182" s="123">
        <v>33.6</v>
      </c>
      <c r="R182" s="123">
        <v>7.7</v>
      </c>
      <c r="S182" s="123" t="s">
        <v>2182</v>
      </c>
      <c r="T182" s="123"/>
      <c r="U182" s="123" t="s">
        <v>2182</v>
      </c>
      <c r="V182" s="123"/>
      <c r="W182" s="123"/>
    </row>
    <row r="183" spans="1:23">
      <c r="A183" s="407">
        <v>181</v>
      </c>
      <c r="B183" s="184" t="s">
        <v>2380</v>
      </c>
      <c r="C183" s="184" t="s">
        <v>2402</v>
      </c>
      <c r="D183" s="122" t="s">
        <v>2291</v>
      </c>
      <c r="E183" s="124">
        <v>42940</v>
      </c>
      <c r="F183" s="125">
        <v>0.64583333333333337</v>
      </c>
      <c r="G183" s="124">
        <v>43009</v>
      </c>
      <c r="H183" s="125">
        <v>0.64166666666666672</v>
      </c>
      <c r="I183" s="123">
        <v>798</v>
      </c>
      <c r="J183" s="123">
        <v>411</v>
      </c>
      <c r="K183" s="123">
        <v>116</v>
      </c>
      <c r="L183" s="123">
        <v>870</v>
      </c>
      <c r="M183" s="123">
        <v>170</v>
      </c>
      <c r="N183" s="123">
        <v>36.799999999999997</v>
      </c>
      <c r="O183" s="123">
        <v>4.2</v>
      </c>
      <c r="P183" s="123" t="s">
        <v>2510</v>
      </c>
      <c r="Q183" s="123">
        <v>33.4</v>
      </c>
      <c r="R183" s="123">
        <v>4.4000000000000004</v>
      </c>
      <c r="S183" s="123" t="s">
        <v>2182</v>
      </c>
      <c r="T183" s="123" t="s">
        <v>2182</v>
      </c>
      <c r="U183" s="123"/>
      <c r="V183" s="123"/>
      <c r="W183" s="123"/>
    </row>
    <row r="184" spans="1:23">
      <c r="A184" s="407">
        <v>182</v>
      </c>
      <c r="B184" s="184" t="s">
        <v>2380</v>
      </c>
      <c r="C184" s="184" t="s">
        <v>2403</v>
      </c>
      <c r="D184" s="122" t="s">
        <v>2291</v>
      </c>
      <c r="E184" s="124">
        <v>42940</v>
      </c>
      <c r="F184" s="125">
        <v>0.64930555555555558</v>
      </c>
      <c r="G184" s="124">
        <v>43009</v>
      </c>
      <c r="H184" s="125">
        <v>0.64236111111111105</v>
      </c>
      <c r="I184" s="123">
        <v>799</v>
      </c>
      <c r="J184" s="123">
        <v>309</v>
      </c>
      <c r="K184" s="123">
        <v>613</v>
      </c>
      <c r="L184" s="123">
        <v>136</v>
      </c>
      <c r="M184" s="123">
        <v>697</v>
      </c>
      <c r="N184" s="123">
        <v>38.1</v>
      </c>
      <c r="O184" s="123">
        <v>5.5</v>
      </c>
      <c r="P184" s="123" t="s">
        <v>2510</v>
      </c>
      <c r="Q184" s="123">
        <v>34.700000000000003</v>
      </c>
      <c r="R184" s="123">
        <v>7.6</v>
      </c>
      <c r="S184" s="123"/>
      <c r="T184" s="123" t="s">
        <v>2198</v>
      </c>
      <c r="U184" s="123" t="s">
        <v>2182</v>
      </c>
      <c r="V184" s="123"/>
      <c r="W184" s="123"/>
    </row>
    <row r="185" spans="1:23">
      <c r="A185" s="407">
        <v>183</v>
      </c>
      <c r="B185" s="184" t="s">
        <v>2380</v>
      </c>
      <c r="C185" s="184" t="s">
        <v>2404</v>
      </c>
      <c r="D185" s="122" t="s">
        <v>2291</v>
      </c>
      <c r="E185" s="124"/>
      <c r="F185" s="124"/>
      <c r="G185" s="124"/>
      <c r="H185" s="123"/>
      <c r="I185" s="123">
        <v>800</v>
      </c>
      <c r="J185" s="124"/>
      <c r="K185" s="124"/>
      <c r="L185" s="124"/>
      <c r="M185" s="124"/>
      <c r="N185" s="124"/>
      <c r="O185" s="124"/>
      <c r="P185" s="123"/>
      <c r="Q185" s="123"/>
      <c r="R185" s="123"/>
      <c r="S185" s="123"/>
      <c r="T185" s="123"/>
      <c r="U185" s="123"/>
      <c r="V185" s="123"/>
      <c r="W185" s="123"/>
    </row>
    <row r="186" spans="1:23">
      <c r="A186" s="407">
        <v>184</v>
      </c>
      <c r="B186" s="184" t="s">
        <v>2380</v>
      </c>
      <c r="C186" s="184" t="s">
        <v>2405</v>
      </c>
      <c r="D186" s="122" t="s">
        <v>2291</v>
      </c>
      <c r="E186" s="124">
        <v>42940</v>
      </c>
      <c r="F186" s="123"/>
      <c r="G186" s="124">
        <v>43009</v>
      </c>
      <c r="H186" s="125">
        <v>0.63958333333333328</v>
      </c>
      <c r="I186" s="123">
        <v>801</v>
      </c>
      <c r="J186" s="123">
        <v>235</v>
      </c>
      <c r="K186" s="129">
        <v>179</v>
      </c>
      <c r="L186" s="123">
        <v>266</v>
      </c>
      <c r="M186" s="123">
        <v>674</v>
      </c>
      <c r="N186" s="123">
        <v>28.3</v>
      </c>
      <c r="O186" s="123">
        <v>4.3</v>
      </c>
      <c r="P186" s="123" t="s">
        <v>2511</v>
      </c>
      <c r="Q186" s="123">
        <v>27.8</v>
      </c>
      <c r="R186" s="123">
        <v>4.3</v>
      </c>
      <c r="S186" s="123" t="s">
        <v>2182</v>
      </c>
      <c r="T186" s="123" t="s">
        <v>2182</v>
      </c>
      <c r="U186" s="123" t="s">
        <v>2182</v>
      </c>
      <c r="V186" s="123"/>
      <c r="W186" s="123"/>
    </row>
    <row r="187" spans="1:23">
      <c r="A187" s="407">
        <v>185</v>
      </c>
      <c r="B187" s="184" t="s">
        <v>2380</v>
      </c>
      <c r="C187" s="184" t="s">
        <v>2407</v>
      </c>
      <c r="D187" s="122" t="s">
        <v>2301</v>
      </c>
      <c r="E187" s="124">
        <v>42940</v>
      </c>
      <c r="F187" s="125">
        <v>0.6875</v>
      </c>
      <c r="G187" s="124">
        <v>43009</v>
      </c>
      <c r="H187" s="125">
        <v>0.68194444444444446</v>
      </c>
      <c r="I187" s="123">
        <v>802</v>
      </c>
      <c r="J187" s="123">
        <v>369</v>
      </c>
      <c r="K187" s="123">
        <v>300</v>
      </c>
      <c r="L187" s="123">
        <v>165</v>
      </c>
      <c r="M187" s="123">
        <v>607</v>
      </c>
      <c r="N187" s="123">
        <v>36</v>
      </c>
      <c r="O187" s="123">
        <v>4.4000000000000004</v>
      </c>
      <c r="P187" s="123" t="s">
        <v>2509</v>
      </c>
      <c r="Q187" s="123">
        <v>34</v>
      </c>
      <c r="R187" s="123">
        <v>5.4</v>
      </c>
      <c r="S187" s="123"/>
      <c r="T187" s="123" t="s">
        <v>2174</v>
      </c>
      <c r="U187" s="123" t="s">
        <v>2182</v>
      </c>
      <c r="V187" s="123"/>
      <c r="W187" s="123" t="s">
        <v>2822</v>
      </c>
    </row>
    <row r="188" spans="1:23">
      <c r="A188" s="407">
        <v>186</v>
      </c>
      <c r="B188" s="184" t="s">
        <v>2380</v>
      </c>
      <c r="C188" s="184" t="s">
        <v>2408</v>
      </c>
      <c r="D188" s="122" t="s">
        <v>2301</v>
      </c>
      <c r="E188" s="124">
        <v>42940</v>
      </c>
      <c r="F188" s="125">
        <v>0.6875</v>
      </c>
      <c r="G188" s="124">
        <v>43009</v>
      </c>
      <c r="H188" s="125">
        <v>0.69444444444444453</v>
      </c>
      <c r="I188" s="123">
        <v>803</v>
      </c>
      <c r="J188" s="123">
        <v>295</v>
      </c>
      <c r="K188" s="123">
        <v>717</v>
      </c>
      <c r="L188" s="123">
        <v>22</v>
      </c>
      <c r="M188" s="123">
        <v>629</v>
      </c>
      <c r="N188" s="123">
        <v>36.9</v>
      </c>
      <c r="O188" s="123">
        <v>4.4000000000000004</v>
      </c>
      <c r="P188" s="123" t="s">
        <v>2509</v>
      </c>
      <c r="Q188" s="123">
        <v>33.700000000000003</v>
      </c>
      <c r="R188" s="123">
        <v>10.7</v>
      </c>
      <c r="S188" s="123" t="s">
        <v>2201</v>
      </c>
      <c r="T188" s="123" t="s">
        <v>2233</v>
      </c>
      <c r="U188" s="123"/>
      <c r="V188" s="123"/>
      <c r="W188" s="123"/>
    </row>
    <row r="189" spans="1:23">
      <c r="A189" s="407">
        <v>187</v>
      </c>
      <c r="B189" s="184" t="s">
        <v>2380</v>
      </c>
      <c r="C189" s="184" t="s">
        <v>2409</v>
      </c>
      <c r="D189" s="122" t="s">
        <v>2301</v>
      </c>
      <c r="E189" s="124">
        <v>42940</v>
      </c>
      <c r="F189" s="125">
        <v>0.70833333333333337</v>
      </c>
      <c r="G189" s="124">
        <v>43009</v>
      </c>
      <c r="H189" s="125">
        <v>0.6958333333333333</v>
      </c>
      <c r="I189" s="123">
        <v>804</v>
      </c>
      <c r="J189" s="123">
        <v>242</v>
      </c>
      <c r="K189" s="123">
        <v>759</v>
      </c>
      <c r="L189" s="123">
        <v>371</v>
      </c>
      <c r="M189" s="123">
        <v>679</v>
      </c>
      <c r="N189" s="123">
        <v>35.1</v>
      </c>
      <c r="O189" s="123">
        <v>3.5</v>
      </c>
      <c r="P189" s="123" t="s">
        <v>2509</v>
      </c>
      <c r="Q189" s="123">
        <v>35.200000000000003</v>
      </c>
      <c r="R189" s="123">
        <v>6.6</v>
      </c>
      <c r="S189" s="123" t="s">
        <v>2182</v>
      </c>
      <c r="T189" s="123"/>
      <c r="U189" s="123"/>
      <c r="V189" s="123"/>
      <c r="W189" s="123"/>
    </row>
    <row r="190" spans="1:23">
      <c r="A190" s="407">
        <v>188</v>
      </c>
      <c r="B190" s="184" t="s">
        <v>2380</v>
      </c>
      <c r="C190" s="184" t="s">
        <v>2410</v>
      </c>
      <c r="D190" s="122" t="s">
        <v>2301</v>
      </c>
      <c r="E190" s="124">
        <v>42940</v>
      </c>
      <c r="F190" s="125">
        <v>0.69444444444444453</v>
      </c>
      <c r="G190" s="124">
        <v>43009</v>
      </c>
      <c r="H190" s="125">
        <v>0.69027777777777777</v>
      </c>
      <c r="I190" s="123">
        <v>805</v>
      </c>
      <c r="J190" s="123">
        <v>146</v>
      </c>
      <c r="K190" s="123">
        <v>357</v>
      </c>
      <c r="L190" s="123">
        <v>185</v>
      </c>
      <c r="M190" s="123">
        <v>682</v>
      </c>
      <c r="N190" s="123">
        <v>35.1</v>
      </c>
      <c r="O190" s="123">
        <v>6.3</v>
      </c>
      <c r="P190" s="123" t="s">
        <v>2509</v>
      </c>
      <c r="Q190" s="123">
        <v>33.200000000000003</v>
      </c>
      <c r="R190" s="123">
        <v>8.4</v>
      </c>
      <c r="S190" s="123" t="s">
        <v>2201</v>
      </c>
      <c r="T190" s="123" t="s">
        <v>2225</v>
      </c>
      <c r="U190" s="123"/>
      <c r="V190" s="123"/>
      <c r="W190" s="123"/>
    </row>
    <row r="191" spans="1:23">
      <c r="A191" s="407">
        <v>189</v>
      </c>
      <c r="B191" s="184" t="s">
        <v>2380</v>
      </c>
      <c r="C191" s="184" t="s">
        <v>2412</v>
      </c>
      <c r="D191" s="122" t="s">
        <v>2301</v>
      </c>
      <c r="E191" s="124">
        <v>42940</v>
      </c>
      <c r="F191" s="125">
        <v>0.70138888888888884</v>
      </c>
      <c r="G191" s="124">
        <v>43009</v>
      </c>
      <c r="H191" s="125">
        <v>0.68888888888888899</v>
      </c>
      <c r="I191" s="123">
        <v>806</v>
      </c>
      <c r="J191" s="129">
        <v>144</v>
      </c>
      <c r="K191" s="123">
        <v>18</v>
      </c>
      <c r="L191" s="123">
        <v>301</v>
      </c>
      <c r="M191" s="123">
        <v>693</v>
      </c>
      <c r="N191" s="123">
        <v>35.1</v>
      </c>
      <c r="O191" s="123">
        <v>5.8</v>
      </c>
      <c r="P191" s="123" t="s">
        <v>2509</v>
      </c>
      <c r="Q191" s="123">
        <v>30.9</v>
      </c>
      <c r="R191" s="123">
        <v>5.2</v>
      </c>
      <c r="S191" s="123" t="s">
        <v>2182</v>
      </c>
      <c r="T191" s="123" t="s">
        <v>2201</v>
      </c>
      <c r="U191" s="123" t="s">
        <v>2182</v>
      </c>
      <c r="V191" s="123"/>
      <c r="W191" s="123"/>
    </row>
    <row r="192" spans="1:23">
      <c r="A192" s="407">
        <v>190</v>
      </c>
      <c r="B192" s="184" t="s">
        <v>2380</v>
      </c>
      <c r="C192" s="184" t="s">
        <v>2413</v>
      </c>
      <c r="D192" s="122" t="s">
        <v>2301</v>
      </c>
      <c r="E192" s="124">
        <v>42940</v>
      </c>
      <c r="F192" s="125">
        <v>0.69791666666666663</v>
      </c>
      <c r="G192" s="124">
        <v>43009</v>
      </c>
      <c r="H192" s="125">
        <v>0.68819444444444444</v>
      </c>
      <c r="I192" s="123">
        <v>807</v>
      </c>
      <c r="J192" s="123">
        <v>171</v>
      </c>
      <c r="K192" s="123">
        <v>397</v>
      </c>
      <c r="L192" s="123">
        <v>466</v>
      </c>
      <c r="M192" s="123">
        <v>605</v>
      </c>
      <c r="N192" s="123">
        <v>35.799999999999997</v>
      </c>
      <c r="O192" s="123">
        <v>5.7</v>
      </c>
      <c r="P192" s="123" t="s">
        <v>2509</v>
      </c>
      <c r="Q192" s="123">
        <v>36.299999999999997</v>
      </c>
      <c r="R192" s="123">
        <v>4.4000000000000004</v>
      </c>
      <c r="S192" s="123"/>
      <c r="T192" s="123"/>
      <c r="U192" s="123"/>
      <c r="V192" s="123"/>
      <c r="W192" s="123"/>
    </row>
    <row r="193" spans="1:23">
      <c r="A193" s="407">
        <v>191</v>
      </c>
      <c r="B193" s="184" t="s">
        <v>2380</v>
      </c>
      <c r="C193" s="184" t="s">
        <v>2414</v>
      </c>
      <c r="D193" s="122" t="s">
        <v>2301</v>
      </c>
      <c r="E193" s="124">
        <v>42940</v>
      </c>
      <c r="F193" s="125">
        <v>0.69097222222222221</v>
      </c>
      <c r="G193" s="124">
        <v>43009</v>
      </c>
      <c r="H193" s="125">
        <v>0.68541666666666667</v>
      </c>
      <c r="I193" s="123">
        <v>808</v>
      </c>
      <c r="J193" s="123">
        <v>232</v>
      </c>
      <c r="K193" s="123">
        <v>715</v>
      </c>
      <c r="L193" s="123">
        <v>32</v>
      </c>
      <c r="M193" s="123">
        <v>240</v>
      </c>
      <c r="N193" s="123">
        <v>36.9</v>
      </c>
      <c r="O193" s="123">
        <v>5.4</v>
      </c>
      <c r="P193" s="123" t="s">
        <v>2509</v>
      </c>
      <c r="Q193" s="123">
        <v>35.799999999999997</v>
      </c>
      <c r="R193" s="123">
        <v>7.5</v>
      </c>
      <c r="S193" s="123"/>
      <c r="T193" s="123"/>
      <c r="U193" s="123"/>
      <c r="V193" s="123"/>
      <c r="W193" s="123"/>
    </row>
    <row r="194" spans="1:23">
      <c r="A194" s="407">
        <v>192</v>
      </c>
      <c r="B194" s="184" t="s">
        <v>2380</v>
      </c>
      <c r="C194" s="184" t="s">
        <v>2415</v>
      </c>
      <c r="D194" s="122" t="s">
        <v>2301</v>
      </c>
      <c r="E194" s="123"/>
      <c r="F194" s="123"/>
      <c r="G194" s="123"/>
      <c r="H194" s="125"/>
      <c r="I194" s="123">
        <v>809</v>
      </c>
      <c r="J194" s="123"/>
      <c r="K194" s="123"/>
      <c r="L194" s="123"/>
      <c r="M194" s="123"/>
      <c r="N194" s="123"/>
      <c r="O194" s="123"/>
      <c r="P194" s="123"/>
      <c r="Q194" s="123"/>
      <c r="R194" s="123"/>
      <c r="S194" s="123"/>
      <c r="T194" s="123"/>
      <c r="U194" s="123"/>
      <c r="V194" s="123"/>
      <c r="W194" s="123"/>
    </row>
    <row r="195" spans="1:23">
      <c r="A195" s="407">
        <v>193</v>
      </c>
      <c r="B195" s="189" t="s">
        <v>2171</v>
      </c>
      <c r="C195" s="189" t="s">
        <v>2440</v>
      </c>
      <c r="D195" s="122">
        <v>3</v>
      </c>
      <c r="E195" s="124">
        <v>42942</v>
      </c>
      <c r="F195" s="125">
        <v>0.64930555555555558</v>
      </c>
      <c r="G195" s="124">
        <v>43004</v>
      </c>
      <c r="H195" s="125">
        <v>0.46249999999999997</v>
      </c>
      <c r="I195" s="123">
        <v>933</v>
      </c>
      <c r="J195" s="123">
        <v>257</v>
      </c>
      <c r="K195" s="123">
        <v>695</v>
      </c>
      <c r="L195" s="123">
        <v>45</v>
      </c>
      <c r="M195" s="123">
        <v>623</v>
      </c>
      <c r="N195" s="123">
        <v>29.2</v>
      </c>
      <c r="O195" s="123">
        <v>4.4000000000000004</v>
      </c>
      <c r="P195" s="153"/>
      <c r="Q195" s="123">
        <v>28.4</v>
      </c>
      <c r="R195" s="123">
        <v>5.8</v>
      </c>
      <c r="S195" s="123" t="s">
        <v>2182</v>
      </c>
      <c r="T195" s="123"/>
      <c r="U195" s="123" t="s">
        <v>2182</v>
      </c>
      <c r="V195" s="123"/>
      <c r="W195" s="123"/>
    </row>
    <row r="196" spans="1:23">
      <c r="A196" s="407">
        <v>194</v>
      </c>
      <c r="B196" s="189" t="s">
        <v>2171</v>
      </c>
      <c r="C196" s="189" t="s">
        <v>2433</v>
      </c>
      <c r="D196" s="133">
        <v>6</v>
      </c>
      <c r="E196" s="124">
        <v>42942</v>
      </c>
      <c r="F196" s="125">
        <v>0.64583333333333337</v>
      </c>
      <c r="G196" s="124">
        <v>43004</v>
      </c>
      <c r="H196" s="125">
        <v>0.45208333333333334</v>
      </c>
      <c r="I196" s="123">
        <v>929</v>
      </c>
      <c r="J196" s="123">
        <v>148</v>
      </c>
      <c r="K196" s="123">
        <v>653</v>
      </c>
      <c r="L196" s="123">
        <v>90</v>
      </c>
      <c r="M196" s="123">
        <v>611</v>
      </c>
      <c r="N196" s="123">
        <v>32.799999999999997</v>
      </c>
      <c r="O196" s="123">
        <v>6</v>
      </c>
      <c r="P196" s="123"/>
      <c r="Q196" s="123">
        <v>28.9</v>
      </c>
      <c r="R196" s="123">
        <v>4.8</v>
      </c>
      <c r="S196" s="123" t="s">
        <v>2195</v>
      </c>
      <c r="T196" s="123" t="s">
        <v>2182</v>
      </c>
      <c r="U196" s="123" t="s">
        <v>2182</v>
      </c>
      <c r="V196" s="123" t="s">
        <v>2182</v>
      </c>
      <c r="W196" s="123"/>
    </row>
    <row r="197" spans="1:23">
      <c r="A197" s="407">
        <v>195</v>
      </c>
      <c r="B197" s="189" t="s">
        <v>2171</v>
      </c>
      <c r="C197" s="189" t="s">
        <v>2425</v>
      </c>
      <c r="D197" s="133">
        <v>4</v>
      </c>
      <c r="E197" s="124">
        <v>42942</v>
      </c>
      <c r="F197" s="125">
        <v>0.63888888888888895</v>
      </c>
      <c r="G197" s="124">
        <v>43004</v>
      </c>
      <c r="H197" s="125">
        <v>0.43194444444444446</v>
      </c>
      <c r="I197" s="123">
        <v>935</v>
      </c>
      <c r="J197" s="123">
        <v>105</v>
      </c>
      <c r="K197" s="123">
        <v>389</v>
      </c>
      <c r="L197" s="123">
        <v>338</v>
      </c>
      <c r="M197" s="123">
        <v>645</v>
      </c>
      <c r="N197" s="123">
        <v>29.1</v>
      </c>
      <c r="O197" s="123">
        <v>9.9</v>
      </c>
      <c r="P197" s="123"/>
      <c r="Q197" s="123">
        <v>27.1</v>
      </c>
      <c r="R197" s="123">
        <v>12.9</v>
      </c>
      <c r="S197" s="123" t="s">
        <v>2201</v>
      </c>
      <c r="T197" s="123" t="s">
        <v>2182</v>
      </c>
      <c r="U197" s="123" t="s">
        <v>2182</v>
      </c>
      <c r="V197" s="123"/>
      <c r="W197" s="123" t="s">
        <v>2837</v>
      </c>
    </row>
    <row r="198" spans="1:23">
      <c r="A198" s="407">
        <v>196</v>
      </c>
      <c r="B198" s="189" t="s">
        <v>2171</v>
      </c>
      <c r="C198" s="184" t="s">
        <v>2416</v>
      </c>
      <c r="D198" s="133">
        <v>4</v>
      </c>
      <c r="E198" s="124">
        <v>42942</v>
      </c>
      <c r="F198" s="125">
        <v>0.63194444444444442</v>
      </c>
      <c r="G198" s="124">
        <v>43004</v>
      </c>
      <c r="H198" s="125">
        <v>0.4145833333333333</v>
      </c>
      <c r="I198" s="123">
        <v>934</v>
      </c>
      <c r="J198" s="123">
        <v>12</v>
      </c>
      <c r="K198" s="123">
        <v>455</v>
      </c>
      <c r="L198" s="123">
        <v>243</v>
      </c>
      <c r="M198" s="123">
        <v>709</v>
      </c>
      <c r="N198" s="123">
        <v>26.2</v>
      </c>
      <c r="O198" s="123">
        <v>9.9</v>
      </c>
      <c r="P198" s="123"/>
      <c r="Q198" s="123">
        <v>27.1</v>
      </c>
      <c r="R198" s="123">
        <v>15</v>
      </c>
      <c r="S198" s="123" t="s">
        <v>2174</v>
      </c>
      <c r="T198" s="123" t="s">
        <v>2174</v>
      </c>
      <c r="U198" s="123" t="s">
        <v>2182</v>
      </c>
      <c r="V198" s="123"/>
      <c r="W198" s="123" t="s">
        <v>2838</v>
      </c>
    </row>
    <row r="199" spans="1:23">
      <c r="A199" s="407">
        <v>197</v>
      </c>
      <c r="B199" s="189" t="s">
        <v>2171</v>
      </c>
      <c r="C199" s="189" t="s">
        <v>2426</v>
      </c>
      <c r="D199" s="133">
        <v>1</v>
      </c>
      <c r="E199" s="124">
        <v>42942</v>
      </c>
      <c r="F199" s="125">
        <v>0.63541666666666663</v>
      </c>
      <c r="G199" s="124">
        <v>43004</v>
      </c>
      <c r="H199" s="125">
        <v>0.42638888888888887</v>
      </c>
      <c r="I199" s="123">
        <v>935</v>
      </c>
      <c r="J199" s="123">
        <v>399</v>
      </c>
      <c r="K199" s="123">
        <v>692</v>
      </c>
      <c r="L199" s="123">
        <v>254</v>
      </c>
      <c r="M199" s="123">
        <v>131</v>
      </c>
      <c r="N199" s="123">
        <v>29.6</v>
      </c>
      <c r="O199" s="123">
        <v>5.7</v>
      </c>
      <c r="P199" s="123"/>
      <c r="Q199" s="123">
        <v>28.5</v>
      </c>
      <c r="R199" s="123">
        <v>6.9</v>
      </c>
      <c r="S199" s="123" t="s">
        <v>2182</v>
      </c>
      <c r="T199" s="123" t="s">
        <v>2182</v>
      </c>
      <c r="U199" s="123" t="s">
        <v>2182</v>
      </c>
      <c r="V199" s="123" t="s">
        <v>2182</v>
      </c>
      <c r="W199" s="123"/>
    </row>
    <row r="200" spans="1:23">
      <c r="A200" s="407">
        <v>198</v>
      </c>
      <c r="B200" s="189" t="s">
        <v>2171</v>
      </c>
      <c r="C200" s="189" t="s">
        <v>2434</v>
      </c>
      <c r="D200" s="133">
        <v>2</v>
      </c>
      <c r="E200" s="124">
        <v>42942</v>
      </c>
      <c r="F200" s="125">
        <v>0.64236111111111105</v>
      </c>
      <c r="G200" s="124">
        <v>43004</v>
      </c>
      <c r="H200" s="125">
        <v>0.44513888888888892</v>
      </c>
      <c r="I200" s="123">
        <v>929</v>
      </c>
      <c r="J200" s="123">
        <v>27</v>
      </c>
      <c r="K200" s="123">
        <v>352</v>
      </c>
      <c r="L200" s="123">
        <v>780</v>
      </c>
      <c r="M200" s="123">
        <v>711</v>
      </c>
      <c r="N200" s="123">
        <v>32.1</v>
      </c>
      <c r="O200" s="123">
        <v>4.3</v>
      </c>
      <c r="P200" s="123"/>
      <c r="Q200" s="123">
        <v>28.4</v>
      </c>
      <c r="R200" s="123">
        <v>5.4</v>
      </c>
      <c r="S200" s="123" t="s">
        <v>2182</v>
      </c>
      <c r="T200" s="123" t="s">
        <v>2201</v>
      </c>
      <c r="U200" s="123" t="s">
        <v>2182</v>
      </c>
      <c r="V200" s="123" t="s">
        <v>2182</v>
      </c>
      <c r="W200" s="123"/>
    </row>
    <row r="201" spans="1:23">
      <c r="A201" s="407">
        <v>199</v>
      </c>
      <c r="B201" s="189" t="s">
        <v>2171</v>
      </c>
      <c r="C201" s="189" t="s">
        <v>2418</v>
      </c>
      <c r="D201" s="190">
        <v>1</v>
      </c>
      <c r="E201" s="124">
        <v>42942</v>
      </c>
      <c r="F201" s="125">
        <v>0.63194444444444442</v>
      </c>
      <c r="G201" s="124">
        <v>43004</v>
      </c>
      <c r="H201" s="125">
        <v>0.4055555555555555</v>
      </c>
      <c r="I201" s="123">
        <v>934</v>
      </c>
      <c r="J201" s="123">
        <v>224</v>
      </c>
      <c r="K201" s="123">
        <v>327</v>
      </c>
      <c r="L201" s="123">
        <v>182</v>
      </c>
      <c r="M201" s="123">
        <v>236</v>
      </c>
      <c r="N201" s="123">
        <v>27.1</v>
      </c>
      <c r="O201" s="123">
        <v>5.6</v>
      </c>
      <c r="P201" s="123"/>
      <c r="Q201" s="123">
        <v>27.3</v>
      </c>
      <c r="R201" s="123">
        <v>6.8</v>
      </c>
      <c r="S201" s="123" t="s">
        <v>2174</v>
      </c>
      <c r="T201" s="123" t="s">
        <v>2174</v>
      </c>
      <c r="U201" s="123" t="s">
        <v>2182</v>
      </c>
      <c r="V201" s="123" t="s">
        <v>2182</v>
      </c>
      <c r="W201" s="123"/>
    </row>
    <row r="202" spans="1:23">
      <c r="A202" s="407">
        <v>200</v>
      </c>
      <c r="B202" s="189" t="s">
        <v>2171</v>
      </c>
      <c r="C202" s="189" t="s">
        <v>2441</v>
      </c>
      <c r="D202" s="133">
        <v>7</v>
      </c>
      <c r="E202" s="124">
        <v>42942</v>
      </c>
      <c r="F202" s="125">
        <v>0.65277777777777779</v>
      </c>
      <c r="G202" s="124">
        <v>43004</v>
      </c>
      <c r="H202" s="125">
        <v>0.4680555555555555</v>
      </c>
      <c r="I202" s="123">
        <v>933</v>
      </c>
      <c r="J202" s="123">
        <v>158</v>
      </c>
      <c r="K202" s="123">
        <v>75</v>
      </c>
      <c r="L202" s="123">
        <v>186</v>
      </c>
      <c r="M202" s="123">
        <v>205</v>
      </c>
      <c r="N202" s="123">
        <v>32.9</v>
      </c>
      <c r="O202" s="123">
        <v>5.5</v>
      </c>
      <c r="P202" s="123"/>
      <c r="Q202" s="123"/>
      <c r="R202" s="123">
        <v>8.5</v>
      </c>
      <c r="S202" s="123" t="s">
        <v>2182</v>
      </c>
      <c r="T202" s="123" t="s">
        <v>2195</v>
      </c>
      <c r="U202" s="123" t="s">
        <v>2182</v>
      </c>
      <c r="V202" s="123" t="s">
        <v>2182</v>
      </c>
      <c r="W202" s="123" t="s">
        <v>2839</v>
      </c>
    </row>
    <row r="203" spans="1:23">
      <c r="A203" s="407">
        <v>201</v>
      </c>
      <c r="B203" s="189" t="s">
        <v>2271</v>
      </c>
      <c r="C203" s="189" t="s">
        <v>2442</v>
      </c>
      <c r="D203" s="133">
        <v>5</v>
      </c>
      <c r="E203" s="124">
        <v>42942</v>
      </c>
      <c r="F203" s="125">
        <v>0.65277777777777779</v>
      </c>
      <c r="G203" s="124">
        <v>43004</v>
      </c>
      <c r="H203" s="125">
        <v>0.46458333333333335</v>
      </c>
      <c r="I203" s="123">
        <v>933</v>
      </c>
      <c r="J203" s="123">
        <v>211</v>
      </c>
      <c r="K203" s="123">
        <v>36</v>
      </c>
      <c r="L203" s="123">
        <v>315</v>
      </c>
      <c r="M203" s="123">
        <v>665</v>
      </c>
      <c r="N203" s="123">
        <v>30.7</v>
      </c>
      <c r="O203" s="123">
        <v>8.3000000000000007</v>
      </c>
      <c r="P203" s="123"/>
      <c r="Q203" s="123">
        <v>27.6</v>
      </c>
      <c r="R203" s="123">
        <v>9.5</v>
      </c>
      <c r="S203" s="123" t="s">
        <v>2195</v>
      </c>
      <c r="T203" s="123" t="s">
        <v>2225</v>
      </c>
      <c r="U203" s="123" t="s">
        <v>2182</v>
      </c>
      <c r="V203" s="123" t="s">
        <v>2182</v>
      </c>
      <c r="W203" s="123" t="s">
        <v>2840</v>
      </c>
    </row>
    <row r="204" spans="1:23">
      <c r="A204" s="407">
        <v>202</v>
      </c>
      <c r="B204" s="189" t="s">
        <v>2271</v>
      </c>
      <c r="C204" s="189" t="s">
        <v>2419</v>
      </c>
      <c r="D204" s="133">
        <v>5</v>
      </c>
      <c r="E204" s="124">
        <v>42942</v>
      </c>
      <c r="F204" s="125">
        <v>0.63194444444444442</v>
      </c>
      <c r="G204" s="124">
        <v>43004</v>
      </c>
      <c r="H204" s="125">
        <v>0.42222222222222222</v>
      </c>
      <c r="I204" s="123">
        <v>934</v>
      </c>
      <c r="J204" s="123">
        <v>181</v>
      </c>
      <c r="K204" s="123">
        <v>676</v>
      </c>
      <c r="L204" s="123">
        <v>147</v>
      </c>
      <c r="M204" s="123">
        <v>224</v>
      </c>
      <c r="N204" s="123">
        <v>30.5</v>
      </c>
      <c r="O204" s="123">
        <v>7.3</v>
      </c>
      <c r="P204" s="123"/>
      <c r="Q204" s="123">
        <v>27.2</v>
      </c>
      <c r="R204" s="123">
        <v>5.3</v>
      </c>
      <c r="S204" s="123" t="s">
        <v>2182</v>
      </c>
      <c r="T204" s="123" t="s">
        <v>2195</v>
      </c>
      <c r="U204" s="123" t="s">
        <v>2182</v>
      </c>
      <c r="V204" s="123" t="s">
        <v>2182</v>
      </c>
      <c r="W204" s="123" t="s">
        <v>2841</v>
      </c>
    </row>
    <row r="205" spans="1:23">
      <c r="A205" s="407">
        <v>203</v>
      </c>
      <c r="B205" s="189" t="s">
        <v>2271</v>
      </c>
      <c r="C205" s="189" t="s">
        <v>2428</v>
      </c>
      <c r="D205" s="133">
        <v>7</v>
      </c>
      <c r="E205" s="124">
        <v>42942</v>
      </c>
      <c r="F205" s="125">
        <v>0.63888888888888895</v>
      </c>
      <c r="G205" s="124">
        <v>43004</v>
      </c>
      <c r="H205" s="125">
        <v>0.43888888888888888</v>
      </c>
      <c r="I205" s="123">
        <v>935</v>
      </c>
      <c r="J205" s="123">
        <v>179</v>
      </c>
      <c r="K205" s="123">
        <v>685</v>
      </c>
      <c r="L205" s="123">
        <v>168</v>
      </c>
      <c r="M205" s="123">
        <v>621</v>
      </c>
      <c r="N205" s="123">
        <v>29.4</v>
      </c>
      <c r="O205" s="123">
        <v>9.3000000000000007</v>
      </c>
      <c r="P205" s="123"/>
      <c r="Q205" s="123">
        <v>27.2</v>
      </c>
      <c r="R205" s="123">
        <v>10.9</v>
      </c>
      <c r="S205" s="123" t="s">
        <v>2195</v>
      </c>
      <c r="T205" s="123" t="s">
        <v>2182</v>
      </c>
      <c r="U205" s="123" t="s">
        <v>2182</v>
      </c>
      <c r="V205" s="123" t="s">
        <v>2182</v>
      </c>
      <c r="W205" s="123" t="s">
        <v>2840</v>
      </c>
    </row>
    <row r="206" spans="1:23">
      <c r="A206" s="407">
        <v>204</v>
      </c>
      <c r="B206" s="189" t="s">
        <v>2271</v>
      </c>
      <c r="C206" s="189" t="s">
        <v>2435</v>
      </c>
      <c r="D206" s="133">
        <v>4</v>
      </c>
      <c r="E206" s="124">
        <v>42942</v>
      </c>
      <c r="F206" s="125">
        <v>0.64236111111111105</v>
      </c>
      <c r="G206" s="124">
        <v>43004</v>
      </c>
      <c r="H206" s="125">
        <v>0.44722222222222219</v>
      </c>
      <c r="I206" s="123">
        <v>929</v>
      </c>
      <c r="J206" s="123">
        <v>248</v>
      </c>
      <c r="K206" s="123">
        <v>254</v>
      </c>
      <c r="L206" s="123">
        <v>672</v>
      </c>
      <c r="M206" s="123">
        <v>708</v>
      </c>
      <c r="N206" s="123">
        <v>26.9</v>
      </c>
      <c r="O206" s="123">
        <v>7.4</v>
      </c>
      <c r="P206" s="123"/>
      <c r="Q206" s="123">
        <v>27.7</v>
      </c>
      <c r="R206" s="123">
        <v>9.3000000000000007</v>
      </c>
      <c r="S206" s="123" t="s">
        <v>2201</v>
      </c>
      <c r="T206" s="123" t="s">
        <v>2201</v>
      </c>
      <c r="U206" s="123"/>
      <c r="V206" s="123"/>
      <c r="W206" s="123"/>
    </row>
    <row r="207" spans="1:23">
      <c r="A207" s="407">
        <v>205</v>
      </c>
      <c r="B207" s="189" t="s">
        <v>2309</v>
      </c>
      <c r="C207" s="189" t="s">
        <v>2429</v>
      </c>
      <c r="D207" s="133">
        <v>6</v>
      </c>
      <c r="E207" s="124">
        <v>42942</v>
      </c>
      <c r="F207" s="125">
        <v>0.63888888888888895</v>
      </c>
      <c r="G207" s="124">
        <v>43004</v>
      </c>
      <c r="H207" s="125">
        <v>0.45</v>
      </c>
      <c r="I207" s="123">
        <v>935</v>
      </c>
      <c r="J207" s="123">
        <v>55</v>
      </c>
      <c r="K207" s="123">
        <v>348</v>
      </c>
      <c r="L207" s="123">
        <v>173</v>
      </c>
      <c r="M207" s="123">
        <v>637</v>
      </c>
      <c r="N207" s="123">
        <v>30.6</v>
      </c>
      <c r="O207" s="123">
        <v>7.8</v>
      </c>
      <c r="P207" s="123"/>
      <c r="Q207" s="123">
        <v>27.5</v>
      </c>
      <c r="R207" s="123">
        <v>8.1</v>
      </c>
      <c r="S207" s="123" t="s">
        <v>2201</v>
      </c>
      <c r="T207" s="123" t="s">
        <v>2201</v>
      </c>
      <c r="U207" s="123" t="s">
        <v>2182</v>
      </c>
      <c r="V207" s="123" t="s">
        <v>2182</v>
      </c>
      <c r="W207" s="123" t="s">
        <v>2842</v>
      </c>
    </row>
    <row r="208" spans="1:23">
      <c r="A208" s="407">
        <v>206</v>
      </c>
      <c r="B208" s="189" t="s">
        <v>2309</v>
      </c>
      <c r="C208" s="189" t="s">
        <v>2420</v>
      </c>
      <c r="D208" s="133">
        <v>3</v>
      </c>
      <c r="E208" s="124">
        <v>42942</v>
      </c>
      <c r="F208" s="125">
        <v>0.63194444444444442</v>
      </c>
      <c r="G208" s="124">
        <v>43004</v>
      </c>
      <c r="H208" s="125">
        <v>0.40833333333333338</v>
      </c>
      <c r="I208" s="123">
        <v>934</v>
      </c>
      <c r="J208" s="123">
        <v>124</v>
      </c>
      <c r="K208" s="123">
        <v>686</v>
      </c>
      <c r="L208" s="123">
        <v>262</v>
      </c>
      <c r="M208" s="123">
        <v>284</v>
      </c>
      <c r="N208" s="123">
        <v>28.9</v>
      </c>
      <c r="O208" s="123">
        <v>6.9</v>
      </c>
      <c r="P208" s="123"/>
      <c r="Q208" s="123">
        <v>26.7</v>
      </c>
      <c r="R208" s="123">
        <v>5.9</v>
      </c>
      <c r="S208" s="123" t="s">
        <v>2182</v>
      </c>
      <c r="T208" s="123" t="s">
        <v>2201</v>
      </c>
      <c r="U208" s="123" t="s">
        <v>2182</v>
      </c>
      <c r="V208" s="123" t="s">
        <v>2182</v>
      </c>
      <c r="W208" s="123" t="s">
        <v>2843</v>
      </c>
    </row>
    <row r="209" spans="1:24">
      <c r="A209" s="407">
        <v>207</v>
      </c>
      <c r="B209" s="189" t="s">
        <v>2309</v>
      </c>
      <c r="C209" s="189" t="s">
        <v>2443</v>
      </c>
      <c r="D209" s="133">
        <v>1</v>
      </c>
      <c r="E209" s="124">
        <v>42942</v>
      </c>
      <c r="F209" s="125">
        <v>0.64583333333333337</v>
      </c>
      <c r="G209" s="124">
        <v>43004</v>
      </c>
      <c r="H209" s="125">
        <v>0.45833333333333331</v>
      </c>
      <c r="I209" s="123">
        <v>933</v>
      </c>
      <c r="J209" s="123">
        <v>234</v>
      </c>
      <c r="K209" s="123">
        <v>551</v>
      </c>
      <c r="L209" s="123">
        <v>230</v>
      </c>
      <c r="M209" s="123">
        <v>604</v>
      </c>
      <c r="N209" s="123">
        <v>31.1</v>
      </c>
      <c r="O209" s="123">
        <v>5</v>
      </c>
      <c r="P209" s="123"/>
      <c r="Q209" s="123">
        <v>28.1</v>
      </c>
      <c r="R209" s="123">
        <v>3.6</v>
      </c>
      <c r="S209" s="123" t="s">
        <v>2182</v>
      </c>
      <c r="T209" s="123" t="s">
        <v>2182</v>
      </c>
      <c r="U209" s="123"/>
      <c r="V209" s="123" t="s">
        <v>2182</v>
      </c>
      <c r="W209" s="123"/>
    </row>
    <row r="210" spans="1:24">
      <c r="A210" s="407">
        <v>208</v>
      </c>
      <c r="B210" s="189" t="s">
        <v>2309</v>
      </c>
      <c r="C210" s="189" t="s">
        <v>2436</v>
      </c>
      <c r="D210" s="133">
        <v>3</v>
      </c>
      <c r="E210" s="124">
        <v>42942</v>
      </c>
      <c r="F210" s="125">
        <v>0.64236111111111105</v>
      </c>
      <c r="G210" s="124">
        <v>43004</v>
      </c>
      <c r="H210" s="125">
        <v>0.4458333333333333</v>
      </c>
      <c r="I210" s="123">
        <v>929</v>
      </c>
      <c r="J210" s="123">
        <v>412</v>
      </c>
      <c r="K210" s="144">
        <v>516</v>
      </c>
      <c r="L210" s="144">
        <v>140</v>
      </c>
      <c r="M210" s="123">
        <v>625</v>
      </c>
      <c r="N210" s="123">
        <v>29.6</v>
      </c>
      <c r="O210" s="123">
        <v>4.7</v>
      </c>
      <c r="P210" s="123"/>
      <c r="Q210" s="123">
        <v>28.6</v>
      </c>
      <c r="R210" s="123">
        <v>7.7</v>
      </c>
      <c r="S210" s="123" t="s">
        <v>2195</v>
      </c>
      <c r="T210" s="123" t="s">
        <v>2314</v>
      </c>
      <c r="U210" s="123" t="s">
        <v>2182</v>
      </c>
      <c r="V210" s="123" t="s">
        <v>2182</v>
      </c>
      <c r="W210" s="123" t="s">
        <v>2844</v>
      </c>
    </row>
    <row r="211" spans="1:24">
      <c r="A211" s="407">
        <v>209</v>
      </c>
      <c r="B211" s="189" t="s">
        <v>2309</v>
      </c>
      <c r="C211" s="189" t="s">
        <v>2430</v>
      </c>
      <c r="D211" s="133">
        <v>3</v>
      </c>
      <c r="E211" s="124">
        <v>42942</v>
      </c>
      <c r="F211" s="125">
        <v>0.63541666666666663</v>
      </c>
      <c r="G211" s="124">
        <v>43004</v>
      </c>
      <c r="H211" s="125">
        <v>0.4284722222222222</v>
      </c>
      <c r="I211" s="123">
        <v>935</v>
      </c>
      <c r="J211" s="123">
        <v>94</v>
      </c>
      <c r="K211" s="123">
        <v>678</v>
      </c>
      <c r="L211" s="123">
        <v>92</v>
      </c>
      <c r="M211" s="123">
        <v>647</v>
      </c>
      <c r="N211" s="123">
        <v>31.1</v>
      </c>
      <c r="O211" s="123">
        <v>8.4</v>
      </c>
      <c r="P211" s="123"/>
      <c r="Q211" s="123">
        <v>28.1</v>
      </c>
      <c r="R211" s="123">
        <v>8.8000000000000007</v>
      </c>
      <c r="S211" s="123" t="s">
        <v>2182</v>
      </c>
      <c r="T211" s="123"/>
      <c r="U211" s="123" t="s">
        <v>2182</v>
      </c>
      <c r="V211" s="123" t="s">
        <v>2182</v>
      </c>
      <c r="W211" s="123"/>
    </row>
    <row r="212" spans="1:24">
      <c r="A212" s="407">
        <v>210</v>
      </c>
      <c r="B212" s="189" t="s">
        <v>2309</v>
      </c>
      <c r="C212" s="189" t="s">
        <v>2444</v>
      </c>
      <c r="D212" s="133">
        <v>2</v>
      </c>
      <c r="E212" s="124">
        <v>42942</v>
      </c>
      <c r="F212" s="125">
        <v>0.64930555555555558</v>
      </c>
      <c r="G212" s="124">
        <v>43004</v>
      </c>
      <c r="H212" s="125">
        <v>0.4597222222222222</v>
      </c>
      <c r="I212" s="123">
        <v>933</v>
      </c>
      <c r="J212" s="123">
        <v>93</v>
      </c>
      <c r="K212" s="123">
        <v>335</v>
      </c>
      <c r="L212" s="123">
        <v>36</v>
      </c>
      <c r="M212" s="123">
        <v>599</v>
      </c>
      <c r="N212" s="123">
        <v>27.1</v>
      </c>
      <c r="O212" s="123">
        <v>5.8</v>
      </c>
      <c r="P212" s="123"/>
      <c r="Q212" s="123">
        <v>27.9</v>
      </c>
      <c r="R212" s="123">
        <v>6.4</v>
      </c>
      <c r="S212" s="123" t="s">
        <v>2229</v>
      </c>
      <c r="T212" s="123" t="s">
        <v>2190</v>
      </c>
      <c r="U212" s="123"/>
      <c r="V212" s="123"/>
      <c r="W212" s="123" t="s">
        <v>2845</v>
      </c>
      <c r="X212" s="163"/>
    </row>
    <row r="213" spans="1:24">
      <c r="A213" s="407">
        <v>211</v>
      </c>
      <c r="B213" s="189" t="s">
        <v>2309</v>
      </c>
      <c r="C213" s="189" t="s">
        <v>2421</v>
      </c>
      <c r="D213" s="133">
        <v>2</v>
      </c>
      <c r="E213" s="124">
        <v>42942</v>
      </c>
      <c r="F213" s="125">
        <v>0.59375</v>
      </c>
      <c r="G213" s="124">
        <v>43004</v>
      </c>
      <c r="H213" s="125">
        <v>0.40763888888888888</v>
      </c>
      <c r="I213" s="123">
        <v>934</v>
      </c>
      <c r="J213" s="123">
        <v>26</v>
      </c>
      <c r="K213" s="123">
        <v>249</v>
      </c>
      <c r="L213" s="123">
        <v>434</v>
      </c>
      <c r="M213" s="123">
        <v>670</v>
      </c>
      <c r="N213" s="123">
        <v>28.3</v>
      </c>
      <c r="O213" s="123">
        <v>7</v>
      </c>
      <c r="P213" s="123"/>
      <c r="Q213" s="123">
        <v>27.7</v>
      </c>
      <c r="R213" s="123">
        <v>8.1</v>
      </c>
      <c r="S213" s="123" t="s">
        <v>2174</v>
      </c>
      <c r="T213" s="123" t="s">
        <v>2231</v>
      </c>
      <c r="U213" s="123" t="s">
        <v>2182</v>
      </c>
      <c r="V213" s="123"/>
      <c r="W213" s="123"/>
    </row>
    <row r="214" spans="1:24">
      <c r="A214" s="407">
        <v>215</v>
      </c>
      <c r="B214" s="189" t="s">
        <v>2309</v>
      </c>
      <c r="C214" s="189" t="s">
        <v>2422</v>
      </c>
      <c r="D214" s="133">
        <v>7</v>
      </c>
      <c r="E214" s="124">
        <v>42942</v>
      </c>
      <c r="F214" s="125">
        <v>0.63194444444444442</v>
      </c>
      <c r="G214" s="124">
        <v>43004</v>
      </c>
      <c r="H214" s="125">
        <v>0.41875000000000001</v>
      </c>
      <c r="I214" s="123">
        <v>934</v>
      </c>
      <c r="J214" s="123">
        <v>169</v>
      </c>
      <c r="K214" s="123">
        <v>627</v>
      </c>
      <c r="L214" s="191">
        <v>56</v>
      </c>
      <c r="M214" s="123">
        <v>256</v>
      </c>
      <c r="N214" s="123">
        <v>30.2</v>
      </c>
      <c r="O214" s="123">
        <v>4.3</v>
      </c>
      <c r="P214" s="123"/>
      <c r="Q214" s="123">
        <v>27.3</v>
      </c>
      <c r="R214" s="123">
        <v>4.3</v>
      </c>
      <c r="S214" s="123"/>
      <c r="T214" s="123" t="s">
        <v>2182</v>
      </c>
      <c r="U214" s="123" t="s">
        <v>2182</v>
      </c>
      <c r="V214" s="123" t="s">
        <v>2182</v>
      </c>
      <c r="W214" s="123"/>
    </row>
    <row r="215" spans="1:24">
      <c r="A215" s="407">
        <v>212</v>
      </c>
      <c r="B215" s="189" t="s">
        <v>2309</v>
      </c>
      <c r="C215" s="189" t="s">
        <v>2437</v>
      </c>
      <c r="D215" s="133">
        <v>5</v>
      </c>
      <c r="E215" s="124">
        <v>42942</v>
      </c>
      <c r="F215" s="125">
        <v>0.64583333333333337</v>
      </c>
      <c r="G215" s="124">
        <v>43004</v>
      </c>
      <c r="H215" s="125">
        <v>0.45</v>
      </c>
      <c r="I215" s="123">
        <v>929</v>
      </c>
      <c r="J215" s="123">
        <v>68</v>
      </c>
      <c r="K215" s="123">
        <v>803</v>
      </c>
      <c r="L215" s="123">
        <v>363</v>
      </c>
      <c r="M215" s="123">
        <v>658</v>
      </c>
      <c r="N215" s="123">
        <v>29</v>
      </c>
      <c r="O215" s="123">
        <v>8.1999999999999993</v>
      </c>
      <c r="P215" s="123"/>
      <c r="Q215" s="123">
        <v>27.5</v>
      </c>
      <c r="R215" s="123">
        <v>8.1</v>
      </c>
      <c r="S215" s="123" t="s">
        <v>2201</v>
      </c>
      <c r="T215" s="123" t="s">
        <v>2201</v>
      </c>
      <c r="U215" s="123" t="s">
        <v>2182</v>
      </c>
      <c r="V215" s="123" t="s">
        <v>2182</v>
      </c>
      <c r="W215" s="123" t="s">
        <v>2846</v>
      </c>
    </row>
    <row r="216" spans="1:24">
      <c r="A216" s="407">
        <v>213</v>
      </c>
      <c r="B216" s="189" t="s">
        <v>2380</v>
      </c>
      <c r="C216" s="189" t="s">
        <v>2445</v>
      </c>
      <c r="D216" s="133">
        <v>6</v>
      </c>
      <c r="E216" s="124">
        <v>42942</v>
      </c>
      <c r="F216" s="125">
        <v>0.65277777777777779</v>
      </c>
      <c r="G216" s="124">
        <v>43004</v>
      </c>
      <c r="H216" s="125">
        <v>0.46736111111111112</v>
      </c>
      <c r="I216" s="123">
        <v>933</v>
      </c>
      <c r="J216" s="123">
        <v>143</v>
      </c>
      <c r="K216" s="123">
        <v>321</v>
      </c>
      <c r="L216" s="123">
        <v>5</v>
      </c>
      <c r="M216" s="123">
        <v>699</v>
      </c>
      <c r="N216" s="123">
        <v>30</v>
      </c>
      <c r="O216" s="123">
        <v>5.0999999999999996</v>
      </c>
      <c r="P216" s="123"/>
      <c r="Q216" s="123">
        <v>28.2</v>
      </c>
      <c r="R216" s="123">
        <v>3.6</v>
      </c>
      <c r="S216" s="123" t="s">
        <v>2182</v>
      </c>
      <c r="T216" s="123" t="s">
        <v>2182</v>
      </c>
      <c r="U216" s="123"/>
      <c r="V216" s="123"/>
      <c r="W216" s="123"/>
    </row>
    <row r="217" spans="1:24">
      <c r="A217" s="407">
        <v>214</v>
      </c>
      <c r="B217" s="189" t="s">
        <v>2380</v>
      </c>
      <c r="C217" s="189" t="s">
        <v>2438</v>
      </c>
      <c r="D217" s="133">
        <v>7</v>
      </c>
      <c r="E217" s="124">
        <v>42942</v>
      </c>
      <c r="F217" s="125">
        <v>0.64583333333333337</v>
      </c>
      <c r="G217" s="124">
        <v>43004</v>
      </c>
      <c r="H217" s="125">
        <v>0.45555555555555555</v>
      </c>
      <c r="I217" s="123">
        <v>929</v>
      </c>
      <c r="J217" s="123">
        <v>128</v>
      </c>
      <c r="K217" s="123">
        <v>677</v>
      </c>
      <c r="L217" s="163">
        <v>771</v>
      </c>
      <c r="M217" s="123">
        <v>663</v>
      </c>
      <c r="N217" s="123">
        <v>31.3</v>
      </c>
      <c r="O217" s="123">
        <v>4.8</v>
      </c>
      <c r="P217" s="123"/>
      <c r="Q217" s="123">
        <v>28.3</v>
      </c>
      <c r="R217" s="123">
        <v>7.8</v>
      </c>
      <c r="S217" s="123" t="s">
        <v>2174</v>
      </c>
      <c r="T217" s="123" t="s">
        <v>2201</v>
      </c>
      <c r="U217" s="123" t="s">
        <v>2182</v>
      </c>
      <c r="V217" s="123"/>
      <c r="W217" s="123"/>
    </row>
    <row r="218" spans="1:24">
      <c r="A218" s="407">
        <v>216</v>
      </c>
      <c r="B218" s="189" t="s">
        <v>2380</v>
      </c>
      <c r="C218" s="189" t="s">
        <v>2431</v>
      </c>
      <c r="D218" s="133">
        <v>2</v>
      </c>
      <c r="E218" s="124">
        <v>42942</v>
      </c>
      <c r="F218" s="125">
        <v>0.63541666666666663</v>
      </c>
      <c r="G218" s="124">
        <v>43004</v>
      </c>
      <c r="H218" s="125">
        <v>0.42777777777777781</v>
      </c>
      <c r="I218" s="123">
        <v>935</v>
      </c>
      <c r="J218" s="123">
        <v>95</v>
      </c>
      <c r="K218" s="123">
        <v>379</v>
      </c>
      <c r="L218" s="123">
        <v>361</v>
      </c>
      <c r="M218" s="123">
        <v>622</v>
      </c>
      <c r="N218" s="123">
        <v>30.5</v>
      </c>
      <c r="O218" s="123">
        <v>6.4</v>
      </c>
      <c r="P218" s="123"/>
      <c r="Q218" s="123">
        <v>29.2</v>
      </c>
      <c r="R218" s="123">
        <v>7.7</v>
      </c>
      <c r="S218" s="123"/>
      <c r="T218" s="123"/>
      <c r="U218" s="123"/>
      <c r="V218" s="123"/>
      <c r="W218" s="123"/>
    </row>
    <row r="219" spans="1:24">
      <c r="A219" s="407">
        <v>217</v>
      </c>
      <c r="B219" s="189" t="s">
        <v>2423</v>
      </c>
      <c r="C219" s="189" t="s">
        <v>2424</v>
      </c>
      <c r="D219" s="133">
        <v>6</v>
      </c>
      <c r="E219" s="124">
        <v>42942</v>
      </c>
      <c r="F219" s="125">
        <v>0.63194444444444442</v>
      </c>
      <c r="G219" s="124">
        <v>43004</v>
      </c>
      <c r="H219" s="125">
        <v>0.41805555555555557</v>
      </c>
      <c r="I219" s="123">
        <v>934</v>
      </c>
      <c r="J219" s="123">
        <v>313</v>
      </c>
      <c r="K219" s="123">
        <v>771</v>
      </c>
      <c r="L219" s="123">
        <v>204</v>
      </c>
      <c r="M219" s="123">
        <v>608</v>
      </c>
      <c r="N219" s="123">
        <v>35.6</v>
      </c>
      <c r="O219" s="123">
        <v>5.7</v>
      </c>
      <c r="P219" s="123"/>
      <c r="Q219" s="123">
        <v>26.9</v>
      </c>
      <c r="R219" s="123">
        <v>8.6999999999999993</v>
      </c>
      <c r="S219" s="123" t="s">
        <v>2201</v>
      </c>
      <c r="T219" s="123" t="s">
        <v>2201</v>
      </c>
      <c r="U219" s="123" t="s">
        <v>2182</v>
      </c>
      <c r="V219" s="123"/>
      <c r="W219" s="123"/>
    </row>
    <row r="220" spans="1:24">
      <c r="A220" s="407">
        <v>218</v>
      </c>
      <c r="B220" s="189" t="s">
        <v>2423</v>
      </c>
      <c r="C220" s="189" t="s">
        <v>2432</v>
      </c>
      <c r="D220" s="133">
        <v>5</v>
      </c>
      <c r="E220" s="124">
        <v>42942</v>
      </c>
      <c r="F220" s="125">
        <v>0.63888888888888895</v>
      </c>
      <c r="G220" s="124">
        <v>43004</v>
      </c>
      <c r="H220" s="125">
        <v>0.43611111111111112</v>
      </c>
      <c r="I220" s="123">
        <v>935</v>
      </c>
      <c r="J220" s="123">
        <v>485</v>
      </c>
      <c r="K220" s="123">
        <v>680</v>
      </c>
      <c r="L220" s="123">
        <v>170</v>
      </c>
      <c r="M220" s="123">
        <v>639</v>
      </c>
      <c r="N220" s="123">
        <v>30</v>
      </c>
      <c r="O220" s="123">
        <v>4.5</v>
      </c>
      <c r="P220" s="123"/>
      <c r="Q220" s="123">
        <v>28.3</v>
      </c>
      <c r="R220" s="123">
        <v>8.4</v>
      </c>
      <c r="S220" s="123" t="s">
        <v>2182</v>
      </c>
      <c r="T220" s="123" t="s">
        <v>2201</v>
      </c>
      <c r="U220" s="123" t="s">
        <v>2182</v>
      </c>
      <c r="V220" s="123" t="s">
        <v>2182</v>
      </c>
      <c r="W220" s="123" t="s">
        <v>2847</v>
      </c>
    </row>
    <row r="221" spans="1:24">
      <c r="A221" s="407">
        <v>219</v>
      </c>
      <c r="B221" s="189" t="s">
        <v>2423</v>
      </c>
      <c r="C221" s="189" t="s">
        <v>2439</v>
      </c>
      <c r="D221" s="133">
        <v>1</v>
      </c>
      <c r="E221" s="124">
        <v>42942</v>
      </c>
      <c r="F221" s="125">
        <v>0.63888888888888895</v>
      </c>
      <c r="G221" s="124">
        <v>43004</v>
      </c>
      <c r="H221" s="125">
        <v>0.44305555555555554</v>
      </c>
      <c r="I221" s="123">
        <v>929</v>
      </c>
      <c r="J221" s="123">
        <v>196</v>
      </c>
      <c r="K221" s="145">
        <v>178</v>
      </c>
      <c r="L221" s="145">
        <v>123</v>
      </c>
      <c r="M221" s="123">
        <v>246</v>
      </c>
      <c r="N221" s="123">
        <v>37.6</v>
      </c>
      <c r="O221" s="123">
        <v>2.9</v>
      </c>
      <c r="P221" s="123"/>
      <c r="Q221" s="123">
        <v>27.9</v>
      </c>
      <c r="R221" s="123">
        <v>8.6</v>
      </c>
      <c r="S221" s="123" t="s">
        <v>2201</v>
      </c>
      <c r="T221" s="123" t="s">
        <v>2182</v>
      </c>
      <c r="U221" s="123" t="s">
        <v>2182</v>
      </c>
      <c r="V221" s="123"/>
      <c r="W221" s="123"/>
    </row>
    <row r="222" spans="1:24">
      <c r="A222" s="407">
        <v>220</v>
      </c>
      <c r="B222" s="189" t="s">
        <v>2423</v>
      </c>
      <c r="C222" s="189" t="s">
        <v>2446</v>
      </c>
      <c r="D222" s="133">
        <v>4</v>
      </c>
      <c r="E222" s="124">
        <v>42942</v>
      </c>
      <c r="F222" s="125">
        <v>0.64930555555555558</v>
      </c>
      <c r="G222" s="124">
        <v>43004</v>
      </c>
      <c r="H222" s="125">
        <v>0.4694444444444445</v>
      </c>
      <c r="I222" s="123">
        <v>933</v>
      </c>
      <c r="J222" s="123">
        <v>39</v>
      </c>
      <c r="K222" s="123">
        <v>194</v>
      </c>
      <c r="L222" s="123">
        <v>53</v>
      </c>
      <c r="M222" s="123">
        <v>672</v>
      </c>
      <c r="N222" s="123">
        <v>39</v>
      </c>
      <c r="O222" s="123">
        <v>4.5999999999999996</v>
      </c>
      <c r="P222" s="123"/>
      <c r="Q222" s="123">
        <v>28.3</v>
      </c>
      <c r="R222" s="123">
        <v>6</v>
      </c>
      <c r="S222" s="123" t="s">
        <v>2182</v>
      </c>
      <c r="T222" s="123" t="s">
        <v>2830</v>
      </c>
      <c r="U222" s="123" t="s">
        <v>2182</v>
      </c>
      <c r="V222" s="123"/>
      <c r="W222" s="123" t="s">
        <v>2822</v>
      </c>
    </row>
  </sheetData>
  <mergeCells count="9">
    <mergeCell ref="Q1:R1"/>
    <mergeCell ref="W1:W2"/>
    <mergeCell ref="A1:D1"/>
    <mergeCell ref="E1:F1"/>
    <mergeCell ref="G1:H1"/>
    <mergeCell ref="J1:M1"/>
    <mergeCell ref="N1:O1"/>
    <mergeCell ref="P1:P2"/>
    <mergeCell ref="S1:V1"/>
  </mergeCells>
  <pageMargins left="0.7" right="0.7" top="0.75" bottom="0.75" header="0.3" footer="0.3"/>
  <pageSetup paperSize="9" orientation="portrait" r:id="rId1"/>
  <legacyDrawing r:id="rId2"/>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B705753-36E7-4723-A7BF-0D06796C003A}">
  <dimension ref="A1:K672"/>
  <sheetViews>
    <sheetView topLeftCell="A452" zoomScale="115" zoomScaleNormal="115" workbookViewId="0">
      <selection activeCell="A452" sqref="A1:A1048576"/>
    </sheetView>
  </sheetViews>
  <sheetFormatPr baseColWidth="10" defaultColWidth="11.44140625" defaultRowHeight="14.4"/>
  <cols>
    <col min="5" max="5" width="11.44140625" style="221"/>
    <col min="11" max="11" width="11.44140625" style="165"/>
  </cols>
  <sheetData>
    <row r="1" spans="1:6">
      <c r="A1" s="165" t="s">
        <v>1144</v>
      </c>
      <c r="B1" s="165" t="s">
        <v>2159</v>
      </c>
      <c r="C1" s="165"/>
      <c r="D1" s="165" t="s">
        <v>2489</v>
      </c>
      <c r="E1" s="379" t="s">
        <v>2143</v>
      </c>
      <c r="F1" s="165" t="s">
        <v>1141</v>
      </c>
    </row>
    <row r="2" spans="1:6">
      <c r="A2" t="s">
        <v>2049</v>
      </c>
      <c r="B2" t="s">
        <v>2759</v>
      </c>
      <c r="D2">
        <v>0.85040000000000004</v>
      </c>
      <c r="E2" s="244"/>
      <c r="F2" s="238">
        <v>43009</v>
      </c>
    </row>
    <row r="3" spans="1:6">
      <c r="A3" t="s">
        <v>2040</v>
      </c>
      <c r="B3" t="s">
        <v>2730</v>
      </c>
      <c r="D3">
        <v>1.7706999999999999</v>
      </c>
      <c r="E3" s="244"/>
      <c r="F3" s="238">
        <v>43007</v>
      </c>
    </row>
    <row r="4" spans="1:6">
      <c r="A4" t="s">
        <v>1949</v>
      </c>
      <c r="B4" t="s">
        <v>2903</v>
      </c>
      <c r="D4" s="245">
        <v>1.9434</v>
      </c>
      <c r="E4" t="s">
        <v>2115</v>
      </c>
      <c r="F4" s="238">
        <v>43337</v>
      </c>
    </row>
    <row r="5" spans="1:6">
      <c r="A5" t="s">
        <v>1948</v>
      </c>
      <c r="B5" t="s">
        <v>2789</v>
      </c>
      <c r="D5" s="237">
        <v>1.0327999999999999</v>
      </c>
      <c r="E5"/>
      <c r="F5" s="238">
        <v>43010</v>
      </c>
    </row>
    <row r="6" spans="1:6">
      <c r="A6" t="s">
        <v>1945</v>
      </c>
      <c r="B6">
        <v>195</v>
      </c>
      <c r="C6" t="s">
        <v>2490</v>
      </c>
      <c r="D6">
        <v>1.2050000000000001</v>
      </c>
      <c r="E6" s="221" t="s">
        <v>2450</v>
      </c>
      <c r="F6" s="16">
        <v>43208</v>
      </c>
    </row>
    <row r="7" spans="1:6">
      <c r="A7" t="s">
        <v>1944</v>
      </c>
      <c r="B7" t="s">
        <v>2764</v>
      </c>
      <c r="D7">
        <v>2.0188999999999999</v>
      </c>
      <c r="E7" s="244"/>
      <c r="F7" s="238">
        <v>43007</v>
      </c>
    </row>
    <row r="8" spans="1:6">
      <c r="A8" t="s">
        <v>1943</v>
      </c>
      <c r="B8" t="s">
        <v>2876</v>
      </c>
      <c r="D8" s="245">
        <v>2.0276000000000001</v>
      </c>
      <c r="E8"/>
      <c r="F8" s="238">
        <v>43334</v>
      </c>
    </row>
    <row r="9" spans="1:6">
      <c r="A9" t="s">
        <v>1941</v>
      </c>
      <c r="B9" t="s">
        <v>2791</v>
      </c>
      <c r="D9" s="237">
        <v>0.67359999999999998</v>
      </c>
      <c r="E9"/>
      <c r="F9" s="238">
        <v>43008</v>
      </c>
    </row>
    <row r="10" spans="1:6">
      <c r="A10" t="s">
        <v>2039</v>
      </c>
      <c r="B10" t="s">
        <v>2769</v>
      </c>
      <c r="D10">
        <v>1.0169999999999999</v>
      </c>
      <c r="E10" s="244"/>
      <c r="F10" s="238">
        <v>43010</v>
      </c>
    </row>
    <row r="11" spans="1:6">
      <c r="A11" t="s">
        <v>1940</v>
      </c>
      <c r="B11" t="s">
        <v>2870</v>
      </c>
      <c r="D11" s="245">
        <v>1.8372999999999999</v>
      </c>
      <c r="E11" t="s">
        <v>2115</v>
      </c>
      <c r="F11" s="238">
        <v>43334</v>
      </c>
    </row>
    <row r="12" spans="1:6">
      <c r="A12" t="s">
        <v>1939</v>
      </c>
      <c r="B12" t="s">
        <v>2867</v>
      </c>
      <c r="D12" s="245">
        <v>1.8357000000000001</v>
      </c>
      <c r="E12"/>
      <c r="F12" s="238">
        <v>43333</v>
      </c>
    </row>
    <row r="13" spans="1:6">
      <c r="A13" t="s">
        <v>1937</v>
      </c>
      <c r="B13" t="s">
        <v>2730</v>
      </c>
      <c r="D13">
        <v>1.8204</v>
      </c>
      <c r="E13" s="244"/>
      <c r="F13" s="238">
        <v>43007</v>
      </c>
    </row>
    <row r="14" spans="1:6">
      <c r="A14" t="s">
        <v>1935</v>
      </c>
      <c r="B14" t="s">
        <v>2863</v>
      </c>
      <c r="D14" s="245">
        <v>1.7069000000000001</v>
      </c>
      <c r="E14" t="s">
        <v>2115</v>
      </c>
      <c r="F14" s="238">
        <v>43333</v>
      </c>
    </row>
    <row r="15" spans="1:6">
      <c r="A15" t="s">
        <v>1934</v>
      </c>
      <c r="B15" t="s">
        <v>2898</v>
      </c>
      <c r="D15" s="245">
        <v>0.63749999999999996</v>
      </c>
      <c r="E15"/>
      <c r="F15" s="238">
        <v>43334</v>
      </c>
    </row>
    <row r="16" spans="1:6">
      <c r="A16" t="s">
        <v>1932</v>
      </c>
      <c r="B16" t="s">
        <v>2707</v>
      </c>
      <c r="D16">
        <v>0.87509999999999999</v>
      </c>
      <c r="E16" s="244"/>
      <c r="F16" s="238">
        <v>43008</v>
      </c>
    </row>
    <row r="17" spans="1:6">
      <c r="A17" t="s">
        <v>2038</v>
      </c>
      <c r="B17">
        <v>196</v>
      </c>
      <c r="C17" t="s">
        <v>2490</v>
      </c>
      <c r="D17">
        <v>0.748</v>
      </c>
      <c r="E17" s="221" t="s">
        <v>2450</v>
      </c>
      <c r="F17" s="16">
        <v>43208</v>
      </c>
    </row>
    <row r="18" spans="1:6">
      <c r="A18" t="s">
        <v>1930</v>
      </c>
      <c r="B18" t="s">
        <v>2788</v>
      </c>
      <c r="D18" s="239">
        <v>1.0569999999999999</v>
      </c>
      <c r="E18"/>
      <c r="F18" s="238">
        <v>43010</v>
      </c>
    </row>
    <row r="19" spans="1:6">
      <c r="A19" t="s">
        <v>1927</v>
      </c>
      <c r="B19" t="s">
        <v>2694</v>
      </c>
      <c r="D19">
        <v>0.82250000000000001</v>
      </c>
      <c r="E19" s="244"/>
      <c r="F19" s="237"/>
    </row>
    <row r="20" spans="1:6">
      <c r="A20" t="s">
        <v>1926</v>
      </c>
      <c r="B20" t="s">
        <v>2690</v>
      </c>
      <c r="D20">
        <v>0.66969999999999996</v>
      </c>
      <c r="E20" s="244"/>
      <c r="F20" s="237"/>
    </row>
    <row r="21" spans="1:6">
      <c r="A21" t="s">
        <v>1925</v>
      </c>
      <c r="B21" t="s">
        <v>2891</v>
      </c>
      <c r="D21" s="245">
        <v>0.78120000000000001</v>
      </c>
      <c r="E21"/>
      <c r="F21" s="238">
        <v>43334</v>
      </c>
    </row>
    <row r="22" spans="1:6">
      <c r="A22" t="s">
        <v>1924</v>
      </c>
      <c r="B22" t="s">
        <v>2928</v>
      </c>
      <c r="D22" s="245">
        <v>1.8705000000000001</v>
      </c>
      <c r="E22"/>
      <c r="F22" s="238">
        <v>43338</v>
      </c>
    </row>
    <row r="23" spans="1:6">
      <c r="A23" t="s">
        <v>1923</v>
      </c>
      <c r="B23" t="s">
        <v>2783</v>
      </c>
      <c r="D23" s="237">
        <v>1.1896</v>
      </c>
      <c r="E23"/>
      <c r="F23" s="238">
        <v>43010</v>
      </c>
    </row>
    <row r="24" spans="1:6">
      <c r="A24" t="s">
        <v>1922</v>
      </c>
      <c r="B24">
        <v>214</v>
      </c>
      <c r="C24" t="s">
        <v>2490</v>
      </c>
      <c r="D24">
        <v>0.70599999999999996</v>
      </c>
      <c r="E24" s="221" t="s">
        <v>2494</v>
      </c>
      <c r="F24" s="16">
        <v>43208</v>
      </c>
    </row>
    <row r="25" spans="1:6">
      <c r="A25" t="s">
        <v>2037</v>
      </c>
      <c r="B25" t="s">
        <v>2917</v>
      </c>
      <c r="D25" s="245">
        <v>1.9104000000000001</v>
      </c>
      <c r="E25"/>
      <c r="F25" s="238">
        <v>43337</v>
      </c>
    </row>
    <row r="26" spans="1:6">
      <c r="A26" t="s">
        <v>1920</v>
      </c>
      <c r="B26" t="s">
        <v>2874</v>
      </c>
      <c r="D26" s="245">
        <v>1.8545</v>
      </c>
      <c r="E26" t="s">
        <v>2875</v>
      </c>
      <c r="F26" s="238">
        <v>43334</v>
      </c>
    </row>
    <row r="27" spans="1:6">
      <c r="A27" t="s">
        <v>1919</v>
      </c>
      <c r="B27" t="s">
        <v>2784</v>
      </c>
      <c r="D27" s="239">
        <v>1.544</v>
      </c>
      <c r="E27"/>
      <c r="F27" s="238">
        <v>43010</v>
      </c>
    </row>
    <row r="28" spans="1:6">
      <c r="A28" t="s">
        <v>1916</v>
      </c>
      <c r="B28" t="s">
        <v>2793</v>
      </c>
      <c r="D28" s="237">
        <v>0.82289999999999996</v>
      </c>
      <c r="E28"/>
      <c r="F28" s="238">
        <v>43008</v>
      </c>
    </row>
    <row r="29" spans="1:6">
      <c r="A29" t="s">
        <v>1915</v>
      </c>
      <c r="B29" t="s">
        <v>2750</v>
      </c>
      <c r="D29">
        <v>0.78129999999999999</v>
      </c>
      <c r="E29" s="244"/>
      <c r="F29" s="238">
        <v>43009</v>
      </c>
    </row>
    <row r="30" spans="1:6">
      <c r="A30" t="s">
        <v>1914</v>
      </c>
      <c r="B30" t="s">
        <v>2752</v>
      </c>
      <c r="D30">
        <v>0.71589999999999998</v>
      </c>
      <c r="E30" s="244"/>
      <c r="F30" s="238">
        <v>43009</v>
      </c>
    </row>
    <row r="31" spans="1:6">
      <c r="A31" t="s">
        <v>1912</v>
      </c>
      <c r="B31" t="s">
        <v>2929</v>
      </c>
      <c r="D31" s="245">
        <v>1.782</v>
      </c>
      <c r="E31"/>
      <c r="F31" s="238">
        <v>43338</v>
      </c>
    </row>
    <row r="32" spans="1:6">
      <c r="A32" t="s">
        <v>1911</v>
      </c>
      <c r="B32" t="s">
        <v>2910</v>
      </c>
      <c r="D32" s="245">
        <v>1.8048</v>
      </c>
      <c r="E32" t="s">
        <v>2111</v>
      </c>
      <c r="F32" s="238">
        <v>43337</v>
      </c>
    </row>
    <row r="33" spans="1:6">
      <c r="A33" t="s">
        <v>1910</v>
      </c>
      <c r="B33">
        <v>208</v>
      </c>
      <c r="C33" t="s">
        <v>2490</v>
      </c>
      <c r="D33">
        <v>0.74199999999999999</v>
      </c>
      <c r="E33" s="221" t="s">
        <v>2449</v>
      </c>
      <c r="F33" s="16">
        <v>43208</v>
      </c>
    </row>
    <row r="34" spans="1:6">
      <c r="A34" t="s">
        <v>1909</v>
      </c>
      <c r="B34" t="s">
        <v>2702</v>
      </c>
      <c r="D34">
        <v>0.66180000000000005</v>
      </c>
      <c r="E34" s="244"/>
      <c r="F34" s="238">
        <v>43008</v>
      </c>
    </row>
    <row r="35" spans="1:6">
      <c r="A35" t="s">
        <v>1907</v>
      </c>
      <c r="B35">
        <v>213</v>
      </c>
      <c r="C35" t="s">
        <v>2490</v>
      </c>
      <c r="D35">
        <v>0.57899999999999996</v>
      </c>
      <c r="E35" s="221" t="s">
        <v>2491</v>
      </c>
      <c r="F35" s="16">
        <v>43208</v>
      </c>
    </row>
    <row r="36" spans="1:6">
      <c r="A36" t="s">
        <v>1906</v>
      </c>
      <c r="B36" t="s">
        <v>2756</v>
      </c>
      <c r="D36">
        <v>0.68520000000000003</v>
      </c>
      <c r="E36" s="244"/>
      <c r="F36" s="238">
        <v>43009</v>
      </c>
    </row>
    <row r="37" spans="1:6">
      <c r="A37" t="s">
        <v>1905</v>
      </c>
      <c r="B37" t="s">
        <v>2785</v>
      </c>
      <c r="D37" s="237">
        <v>1.0654999999999999</v>
      </c>
      <c r="E37"/>
      <c r="F37" s="238">
        <v>43010</v>
      </c>
    </row>
    <row r="38" spans="1:6">
      <c r="A38" t="s">
        <v>1904</v>
      </c>
      <c r="B38" t="s">
        <v>2753</v>
      </c>
      <c r="D38">
        <v>0.91069999999999995</v>
      </c>
      <c r="E38" s="244" t="s">
        <v>2692</v>
      </c>
      <c r="F38" s="238">
        <v>43009</v>
      </c>
    </row>
    <row r="39" spans="1:6">
      <c r="A39" t="s">
        <v>1903</v>
      </c>
      <c r="B39" t="s">
        <v>2685</v>
      </c>
      <c r="D39">
        <v>0.71709999999999996</v>
      </c>
      <c r="E39" s="244"/>
      <c r="F39" s="237"/>
    </row>
    <row r="40" spans="1:6">
      <c r="A40" t="s">
        <v>1902</v>
      </c>
      <c r="B40">
        <v>194</v>
      </c>
      <c r="C40" t="s">
        <v>2490</v>
      </c>
      <c r="D40">
        <v>0.433</v>
      </c>
      <c r="E40" s="221" t="s">
        <v>2491</v>
      </c>
      <c r="F40" s="16">
        <v>43208</v>
      </c>
    </row>
    <row r="41" spans="1:6">
      <c r="A41" t="s">
        <v>1901</v>
      </c>
      <c r="B41" t="s">
        <v>2706</v>
      </c>
      <c r="D41">
        <v>0.75890000000000002</v>
      </c>
      <c r="E41" s="244"/>
      <c r="F41" s="238">
        <v>43009</v>
      </c>
    </row>
    <row r="42" spans="1:6">
      <c r="A42" t="s">
        <v>2035</v>
      </c>
      <c r="B42" t="s">
        <v>2770</v>
      </c>
      <c r="D42">
        <v>1.6711</v>
      </c>
      <c r="E42" s="244"/>
      <c r="F42" s="238">
        <v>43010</v>
      </c>
    </row>
    <row r="43" spans="1:6">
      <c r="A43" t="s">
        <v>1898</v>
      </c>
      <c r="B43" t="s">
        <v>2866</v>
      </c>
      <c r="D43" s="245">
        <v>1.8697999999999999</v>
      </c>
      <c r="E43"/>
      <c r="F43" s="238">
        <v>43333</v>
      </c>
    </row>
    <row r="44" spans="1:6">
      <c r="A44" t="s">
        <v>1897</v>
      </c>
      <c r="B44" t="s">
        <v>2772</v>
      </c>
      <c r="D44">
        <v>0.87609999999999999</v>
      </c>
      <c r="E44"/>
      <c r="F44" s="238">
        <v>43010</v>
      </c>
    </row>
    <row r="45" spans="1:6">
      <c r="A45" t="s">
        <v>1895</v>
      </c>
      <c r="B45" t="s">
        <v>2715</v>
      </c>
      <c r="D45">
        <v>0.78239999999999998</v>
      </c>
      <c r="E45" s="244"/>
      <c r="F45" s="238">
        <v>43009</v>
      </c>
    </row>
    <row r="46" spans="1:6">
      <c r="A46" t="s">
        <v>1894</v>
      </c>
      <c r="B46" t="s">
        <v>2722</v>
      </c>
      <c r="D46">
        <v>1.8079000000000001</v>
      </c>
      <c r="E46" s="244"/>
      <c r="F46" s="238">
        <v>43007</v>
      </c>
    </row>
    <row r="47" spans="1:6">
      <c r="A47" t="s">
        <v>1893</v>
      </c>
      <c r="B47" t="s">
        <v>2919</v>
      </c>
      <c r="D47" s="245">
        <v>1.8103</v>
      </c>
      <c r="E47"/>
      <c r="F47" s="238">
        <v>43338</v>
      </c>
    </row>
    <row r="48" spans="1:6">
      <c r="A48" t="s">
        <v>1892</v>
      </c>
      <c r="B48" t="s">
        <v>2687</v>
      </c>
      <c r="D48">
        <v>0.71050000000000002</v>
      </c>
      <c r="E48" s="244" t="s">
        <v>2132</v>
      </c>
      <c r="F48" s="237"/>
    </row>
    <row r="49" spans="1:6">
      <c r="A49" t="s">
        <v>1891</v>
      </c>
      <c r="B49" t="s">
        <v>2885</v>
      </c>
      <c r="D49" s="245">
        <v>0.76990000000000003</v>
      </c>
      <c r="E49"/>
      <c r="F49" s="238">
        <v>43334</v>
      </c>
    </row>
    <row r="50" spans="1:6">
      <c r="A50" t="s">
        <v>1889</v>
      </c>
      <c r="B50" t="s">
        <v>2780</v>
      </c>
      <c r="D50" s="237">
        <v>1.7174</v>
      </c>
      <c r="E50"/>
      <c r="F50" s="238">
        <v>43010</v>
      </c>
    </row>
    <row r="51" spans="1:6">
      <c r="A51" t="s">
        <v>1888</v>
      </c>
      <c r="B51" t="s">
        <v>2768</v>
      </c>
      <c r="D51">
        <v>1.4899</v>
      </c>
      <c r="E51" s="244"/>
      <c r="F51" s="238">
        <v>43010</v>
      </c>
    </row>
    <row r="52" spans="1:6">
      <c r="A52" t="s">
        <v>1884</v>
      </c>
      <c r="B52" t="s">
        <v>2735</v>
      </c>
      <c r="D52">
        <v>1.8809</v>
      </c>
      <c r="E52" s="244"/>
      <c r="F52" s="238">
        <v>43007</v>
      </c>
    </row>
    <row r="53" spans="1:6">
      <c r="A53" t="s">
        <v>1883</v>
      </c>
      <c r="B53" t="s">
        <v>2786</v>
      </c>
      <c r="D53" s="237">
        <v>0.98309999999999997</v>
      </c>
      <c r="E53"/>
      <c r="F53" s="238">
        <v>43010</v>
      </c>
    </row>
    <row r="54" spans="1:6">
      <c r="A54" t="s">
        <v>1882</v>
      </c>
      <c r="B54" t="s">
        <v>2676</v>
      </c>
      <c r="D54">
        <v>0.72609999999999997</v>
      </c>
      <c r="E54" s="244"/>
      <c r="F54" s="237"/>
    </row>
    <row r="55" spans="1:6">
      <c r="A55" t="s">
        <v>1881</v>
      </c>
      <c r="B55" t="s">
        <v>2678</v>
      </c>
      <c r="D55">
        <v>0.70899999999999996</v>
      </c>
      <c r="E55" s="244"/>
      <c r="F55" s="237"/>
    </row>
    <row r="56" spans="1:6">
      <c r="A56" t="s">
        <v>2033</v>
      </c>
      <c r="B56" t="s">
        <v>2712</v>
      </c>
      <c r="D56">
        <v>0.73580000000000001</v>
      </c>
      <c r="E56" s="244"/>
      <c r="F56" s="238">
        <v>43008</v>
      </c>
    </row>
    <row r="57" spans="1:6">
      <c r="A57" t="s">
        <v>1880</v>
      </c>
      <c r="B57">
        <v>218</v>
      </c>
      <c r="C57" t="s">
        <v>2490</v>
      </c>
      <c r="D57">
        <v>0.66100000000000003</v>
      </c>
      <c r="E57" s="221" t="s">
        <v>2495</v>
      </c>
      <c r="F57" s="16">
        <v>43208</v>
      </c>
    </row>
    <row r="58" spans="1:6">
      <c r="A58" t="s">
        <v>1879</v>
      </c>
      <c r="B58" t="s">
        <v>2751</v>
      </c>
      <c r="D58">
        <v>0.75309999999999999</v>
      </c>
      <c r="E58" s="244"/>
      <c r="F58" s="238">
        <v>43009</v>
      </c>
    </row>
    <row r="59" spans="1:6">
      <c r="A59" t="s">
        <v>1878</v>
      </c>
      <c r="B59" t="s">
        <v>2904</v>
      </c>
      <c r="D59" s="245">
        <v>1.8197000000000001</v>
      </c>
      <c r="E59"/>
      <c r="F59" s="238">
        <v>43337</v>
      </c>
    </row>
    <row r="60" spans="1:6">
      <c r="A60" t="s">
        <v>1877</v>
      </c>
      <c r="B60" t="s">
        <v>2691</v>
      </c>
      <c r="D60">
        <v>0.79190000000000005</v>
      </c>
      <c r="E60" s="244" t="s">
        <v>2132</v>
      </c>
      <c r="F60" s="237"/>
    </row>
    <row r="61" spans="1:6">
      <c r="A61" t="s">
        <v>1876</v>
      </c>
      <c r="B61" t="s">
        <v>2929</v>
      </c>
      <c r="D61" s="245">
        <v>1.8838999999999999</v>
      </c>
      <c r="E61"/>
      <c r="F61" s="238">
        <v>43338</v>
      </c>
    </row>
    <row r="62" spans="1:6">
      <c r="A62" t="s">
        <v>1875</v>
      </c>
      <c r="B62" t="s">
        <v>2774</v>
      </c>
      <c r="D62" s="237">
        <v>1.2042999999999999</v>
      </c>
      <c r="E62"/>
      <c r="F62" s="238">
        <v>43010</v>
      </c>
    </row>
    <row r="63" spans="1:6">
      <c r="A63" t="s">
        <v>1874</v>
      </c>
      <c r="B63" t="s">
        <v>2895</v>
      </c>
      <c r="D63" s="245">
        <v>1.3146</v>
      </c>
      <c r="E63" t="s">
        <v>2897</v>
      </c>
      <c r="F63" s="238">
        <v>43334</v>
      </c>
    </row>
    <row r="64" spans="1:6">
      <c r="A64" t="s">
        <v>1871</v>
      </c>
      <c r="B64" t="s">
        <v>2676</v>
      </c>
      <c r="D64">
        <v>0.59770000000000001</v>
      </c>
      <c r="E64" s="244"/>
      <c r="F64" s="237"/>
    </row>
    <row r="65" spans="1:6">
      <c r="A65" t="s">
        <v>1869</v>
      </c>
      <c r="B65" t="s">
        <v>2685</v>
      </c>
      <c r="D65">
        <v>0.80740000000000001</v>
      </c>
      <c r="E65" s="244"/>
      <c r="F65" s="237"/>
    </row>
    <row r="66" spans="1:6">
      <c r="A66" t="s">
        <v>1868</v>
      </c>
      <c r="B66" t="s">
        <v>2693</v>
      </c>
      <c r="D66">
        <v>0.62490000000000001</v>
      </c>
      <c r="E66" s="244"/>
      <c r="F66" s="237"/>
    </row>
    <row r="67" spans="1:6">
      <c r="A67" t="s">
        <v>1867</v>
      </c>
      <c r="B67" t="s">
        <v>2757</v>
      </c>
      <c r="D67">
        <v>0.92459999999999998</v>
      </c>
      <c r="E67" s="244"/>
      <c r="F67" s="238">
        <v>43009</v>
      </c>
    </row>
    <row r="68" spans="1:6">
      <c r="A68" t="s">
        <v>1866</v>
      </c>
      <c r="B68" t="s">
        <v>2777</v>
      </c>
      <c r="D68" s="237">
        <v>0.99180000000000001</v>
      </c>
      <c r="E68"/>
      <c r="F68" s="238">
        <v>43010</v>
      </c>
    </row>
    <row r="69" spans="1:6">
      <c r="A69" t="s">
        <v>1865</v>
      </c>
      <c r="B69" t="s">
        <v>2753</v>
      </c>
      <c r="D69">
        <v>0.74670000000000003</v>
      </c>
      <c r="E69" s="244"/>
      <c r="F69" s="238">
        <v>43009</v>
      </c>
    </row>
    <row r="70" spans="1:6">
      <c r="A70" t="s">
        <v>1864</v>
      </c>
      <c r="B70" t="s">
        <v>2687</v>
      </c>
      <c r="D70">
        <v>0.6643</v>
      </c>
      <c r="E70" s="244" t="s">
        <v>2132</v>
      </c>
      <c r="F70" s="237"/>
    </row>
    <row r="71" spans="1:6">
      <c r="A71" t="s">
        <v>1863</v>
      </c>
      <c r="B71" t="s">
        <v>2895</v>
      </c>
      <c r="D71" s="245">
        <v>1.1655</v>
      </c>
      <c r="E71"/>
      <c r="F71" s="238">
        <v>43334</v>
      </c>
    </row>
    <row r="72" spans="1:6">
      <c r="A72" t="s">
        <v>1862</v>
      </c>
      <c r="B72" t="s">
        <v>2906</v>
      </c>
      <c r="D72" s="245">
        <v>1.7849999999999999</v>
      </c>
      <c r="E72"/>
      <c r="F72" s="238">
        <v>43337</v>
      </c>
    </row>
    <row r="73" spans="1:6">
      <c r="A73" t="s">
        <v>1861</v>
      </c>
      <c r="B73" t="s">
        <v>2795</v>
      </c>
      <c r="D73" s="237">
        <v>0.76890000000000003</v>
      </c>
      <c r="E73"/>
      <c r="F73" s="238">
        <v>43008</v>
      </c>
    </row>
    <row r="74" spans="1:6">
      <c r="A74" t="s">
        <v>2031</v>
      </c>
      <c r="B74" t="s">
        <v>2771</v>
      </c>
      <c r="D74">
        <v>1.0404</v>
      </c>
      <c r="E74" s="244"/>
      <c r="F74" s="238">
        <v>43010</v>
      </c>
    </row>
    <row r="75" spans="1:6">
      <c r="A75" t="s">
        <v>1860</v>
      </c>
      <c r="B75" t="s">
        <v>2728</v>
      </c>
      <c r="D75">
        <v>1.7041999999999999</v>
      </c>
      <c r="E75" s="244"/>
      <c r="F75" s="238">
        <v>43007</v>
      </c>
    </row>
    <row r="76" spans="1:6">
      <c r="A76" t="s">
        <v>1857</v>
      </c>
      <c r="B76" t="s">
        <v>2726</v>
      </c>
      <c r="D76">
        <v>1.8848</v>
      </c>
      <c r="E76" s="244"/>
      <c r="F76" s="238">
        <v>43007</v>
      </c>
    </row>
    <row r="77" spans="1:6">
      <c r="A77" t="s">
        <v>1856</v>
      </c>
      <c r="B77" t="s">
        <v>2773</v>
      </c>
      <c r="D77" s="239">
        <v>1.56</v>
      </c>
      <c r="E77"/>
      <c r="F77" s="238">
        <v>43010</v>
      </c>
    </row>
    <row r="78" spans="1:6">
      <c r="A78" t="s">
        <v>1854</v>
      </c>
      <c r="B78" t="s">
        <v>2694</v>
      </c>
      <c r="D78">
        <v>0.5756</v>
      </c>
      <c r="E78" s="244"/>
      <c r="F78" s="237"/>
    </row>
    <row r="79" spans="1:6">
      <c r="A79" t="s">
        <v>1853</v>
      </c>
      <c r="B79" t="s">
        <v>2771</v>
      </c>
      <c r="D79">
        <v>1.2847</v>
      </c>
      <c r="E79" s="244"/>
      <c r="F79" s="238">
        <v>43010</v>
      </c>
    </row>
    <row r="80" spans="1:6">
      <c r="A80" t="s">
        <v>1852</v>
      </c>
      <c r="B80" t="s">
        <v>2776</v>
      </c>
      <c r="D80" s="237">
        <v>1.3654999999999999</v>
      </c>
      <c r="E80"/>
      <c r="F80" s="238">
        <v>43010</v>
      </c>
    </row>
    <row r="81" spans="1:6">
      <c r="A81" t="s">
        <v>2048</v>
      </c>
      <c r="B81" t="s">
        <v>2762</v>
      </c>
      <c r="D81">
        <v>1.7587999999999999</v>
      </c>
      <c r="E81" s="244"/>
      <c r="F81" s="238">
        <v>43007</v>
      </c>
    </row>
    <row r="82" spans="1:6">
      <c r="A82" t="s">
        <v>2030</v>
      </c>
      <c r="B82" t="s">
        <v>2786</v>
      </c>
      <c r="D82" s="237">
        <v>1.0826</v>
      </c>
      <c r="E82"/>
      <c r="F82" s="238">
        <v>43010</v>
      </c>
    </row>
    <row r="83" spans="1:6">
      <c r="A83" t="s">
        <v>1850</v>
      </c>
      <c r="B83" t="s">
        <v>2794</v>
      </c>
      <c r="D83" s="237">
        <v>0.71760000000000002</v>
      </c>
      <c r="E83" t="s">
        <v>2747</v>
      </c>
      <c r="F83" s="238">
        <v>43008</v>
      </c>
    </row>
    <row r="84" spans="1:6">
      <c r="A84" t="s">
        <v>1846</v>
      </c>
      <c r="B84" t="s">
        <v>2686</v>
      </c>
      <c r="D84">
        <v>0.80579999999999996</v>
      </c>
      <c r="E84" s="244"/>
      <c r="F84" s="237"/>
    </row>
    <row r="85" spans="1:6">
      <c r="A85" t="s">
        <v>1845</v>
      </c>
      <c r="B85" t="s">
        <v>2701</v>
      </c>
      <c r="D85">
        <v>0.82040000000000002</v>
      </c>
      <c r="E85" s="244"/>
      <c r="F85" s="238">
        <v>43008</v>
      </c>
    </row>
    <row r="86" spans="1:6">
      <c r="A86" t="s">
        <v>1844</v>
      </c>
      <c r="B86" t="s">
        <v>2795</v>
      </c>
      <c r="D86" s="237">
        <v>0.75260000000000005</v>
      </c>
      <c r="E86"/>
      <c r="F86" s="238">
        <v>43008</v>
      </c>
    </row>
    <row r="87" spans="1:6">
      <c r="A87" t="s">
        <v>1843</v>
      </c>
      <c r="B87" t="s">
        <v>2704</v>
      </c>
      <c r="D87">
        <v>0.76570000000000005</v>
      </c>
      <c r="E87" s="244"/>
      <c r="F87" s="238">
        <v>43008</v>
      </c>
    </row>
    <row r="88" spans="1:6">
      <c r="A88" t="s">
        <v>1841</v>
      </c>
      <c r="B88" t="s">
        <v>2727</v>
      </c>
      <c r="D88">
        <v>1.9087000000000001</v>
      </c>
      <c r="E88" s="244"/>
      <c r="F88" s="238">
        <v>43007</v>
      </c>
    </row>
    <row r="89" spans="1:6">
      <c r="A89" t="s">
        <v>2029</v>
      </c>
      <c r="B89" t="s">
        <v>2772</v>
      </c>
      <c r="E89" t="s">
        <v>2755</v>
      </c>
      <c r="F89" s="238">
        <v>43010</v>
      </c>
    </row>
    <row r="90" spans="1:6">
      <c r="A90" t="s">
        <v>1839</v>
      </c>
      <c r="B90">
        <v>201</v>
      </c>
      <c r="C90" t="s">
        <v>2490</v>
      </c>
      <c r="D90">
        <v>0.67300000000000004</v>
      </c>
      <c r="E90" s="221" t="s">
        <v>2495</v>
      </c>
      <c r="F90" s="16">
        <v>43208</v>
      </c>
    </row>
    <row r="91" spans="1:6">
      <c r="A91" t="s">
        <v>1837</v>
      </c>
      <c r="B91" t="s">
        <v>2701</v>
      </c>
      <c r="D91">
        <v>0.66200000000000003</v>
      </c>
      <c r="E91" s="244"/>
      <c r="F91" s="238">
        <v>43008</v>
      </c>
    </row>
    <row r="92" spans="1:6">
      <c r="A92" t="s">
        <v>1835</v>
      </c>
      <c r="B92" t="s">
        <v>2924</v>
      </c>
      <c r="D92" s="245">
        <v>1.9146000000000001</v>
      </c>
      <c r="E92"/>
      <c r="F92" s="238">
        <v>43338</v>
      </c>
    </row>
    <row r="93" spans="1:6">
      <c r="A93" t="s">
        <v>1832</v>
      </c>
      <c r="B93" t="s">
        <v>2910</v>
      </c>
      <c r="D93" s="245">
        <v>1.7766</v>
      </c>
      <c r="E93"/>
      <c r="F93" s="238">
        <v>43337</v>
      </c>
    </row>
    <row r="94" spans="1:6">
      <c r="A94" t="s">
        <v>1831</v>
      </c>
      <c r="B94" t="s">
        <v>2725</v>
      </c>
      <c r="D94">
        <v>0.76939999999999997</v>
      </c>
      <c r="E94" s="244"/>
      <c r="F94" s="238">
        <v>43007</v>
      </c>
    </row>
    <row r="95" spans="1:6">
      <c r="A95" t="s">
        <v>2028</v>
      </c>
      <c r="B95" t="s">
        <v>2698</v>
      </c>
      <c r="D95">
        <v>0.7238</v>
      </c>
      <c r="E95" s="244"/>
      <c r="F95" s="238">
        <v>43009</v>
      </c>
    </row>
    <row r="96" spans="1:6">
      <c r="A96" t="s">
        <v>1830</v>
      </c>
      <c r="B96" t="s">
        <v>2869</v>
      </c>
      <c r="D96" s="245">
        <v>1.9671000000000001</v>
      </c>
      <c r="E96" t="s">
        <v>2115</v>
      </c>
      <c r="F96" s="238">
        <v>43334</v>
      </c>
    </row>
    <row r="97" spans="1:6">
      <c r="A97" t="s">
        <v>1829</v>
      </c>
      <c r="B97" t="s">
        <v>2898</v>
      </c>
      <c r="D97" s="245">
        <v>0.66700000000000004</v>
      </c>
      <c r="E97" t="s">
        <v>2899</v>
      </c>
      <c r="F97" s="238">
        <v>43334</v>
      </c>
    </row>
    <row r="98" spans="1:6">
      <c r="A98" t="s">
        <v>1826</v>
      </c>
      <c r="B98" t="s">
        <v>2693</v>
      </c>
      <c r="D98">
        <v>0.53049999999999997</v>
      </c>
      <c r="E98" s="244"/>
      <c r="F98" s="237"/>
    </row>
    <row r="99" spans="1:6">
      <c r="A99" t="s">
        <v>1825</v>
      </c>
      <c r="B99" t="s">
        <v>2725</v>
      </c>
      <c r="D99">
        <v>1.25</v>
      </c>
      <c r="E99" s="244" t="s">
        <v>2497</v>
      </c>
      <c r="F99" s="238">
        <v>43007</v>
      </c>
    </row>
    <row r="100" spans="1:6">
      <c r="A100" t="s">
        <v>1824</v>
      </c>
      <c r="B100" t="s">
        <v>2874</v>
      </c>
      <c r="D100" s="245">
        <v>1.7826</v>
      </c>
      <c r="E100"/>
      <c r="F100" s="238">
        <v>43334</v>
      </c>
    </row>
    <row r="101" spans="1:6">
      <c r="A101" t="s">
        <v>1823</v>
      </c>
      <c r="B101" t="s">
        <v>2878</v>
      </c>
      <c r="D101" s="245">
        <v>1.7715000000000001</v>
      </c>
      <c r="E101"/>
      <c r="F101" s="238">
        <v>43334</v>
      </c>
    </row>
    <row r="102" spans="1:6">
      <c r="A102" t="s">
        <v>1822</v>
      </c>
      <c r="B102" t="s">
        <v>2765</v>
      </c>
      <c r="D102">
        <v>0.83330000000000004</v>
      </c>
      <c r="E102" s="244"/>
      <c r="F102" s="238">
        <v>43007</v>
      </c>
    </row>
    <row r="103" spans="1:6">
      <c r="A103" t="s">
        <v>2027</v>
      </c>
      <c r="B103" t="s">
        <v>2765</v>
      </c>
      <c r="D103">
        <v>0.94159999999999999</v>
      </c>
      <c r="E103" s="244"/>
      <c r="F103" s="238">
        <v>43007</v>
      </c>
    </row>
    <row r="104" spans="1:6">
      <c r="A104" t="s">
        <v>1820</v>
      </c>
      <c r="B104">
        <v>207</v>
      </c>
      <c r="C104" t="s">
        <v>2490</v>
      </c>
      <c r="D104">
        <v>0.73299999999999998</v>
      </c>
      <c r="E104" s="221" t="s">
        <v>2447</v>
      </c>
      <c r="F104" s="16">
        <v>43208</v>
      </c>
    </row>
    <row r="105" spans="1:6">
      <c r="A105" t="s">
        <v>1819</v>
      </c>
      <c r="B105" t="s">
        <v>2791</v>
      </c>
      <c r="D105" s="237">
        <v>0.78859999999999997</v>
      </c>
      <c r="E105"/>
      <c r="F105" s="238">
        <v>43008</v>
      </c>
    </row>
    <row r="106" spans="1:6">
      <c r="A106" t="s">
        <v>1818</v>
      </c>
      <c r="B106" t="s">
        <v>2696</v>
      </c>
      <c r="D106">
        <v>0.80369999999999997</v>
      </c>
      <c r="E106" s="244"/>
      <c r="F106" s="238">
        <v>43009</v>
      </c>
    </row>
    <row r="107" spans="1:6">
      <c r="A107" t="s">
        <v>1817</v>
      </c>
      <c r="B107" t="s">
        <v>2918</v>
      </c>
      <c r="D107" s="245">
        <v>1.6727000000000001</v>
      </c>
      <c r="E107" t="s">
        <v>2115</v>
      </c>
      <c r="F107" s="238">
        <v>43337</v>
      </c>
    </row>
    <row r="108" spans="1:6">
      <c r="A108" t="s">
        <v>1816</v>
      </c>
      <c r="B108">
        <v>207</v>
      </c>
      <c r="C108" t="s">
        <v>2490</v>
      </c>
      <c r="D108">
        <v>0.745</v>
      </c>
      <c r="E108" s="221" t="s">
        <v>2447</v>
      </c>
      <c r="F108" s="16">
        <v>43208</v>
      </c>
    </row>
    <row r="109" spans="1:6">
      <c r="A109" t="s">
        <v>1815</v>
      </c>
      <c r="B109" t="s">
        <v>2743</v>
      </c>
      <c r="D109">
        <v>0.66620000000000001</v>
      </c>
      <c r="E109" s="244"/>
      <c r="F109" s="238">
        <v>43009</v>
      </c>
    </row>
    <row r="110" spans="1:6">
      <c r="A110" t="s">
        <v>1814</v>
      </c>
      <c r="B110" t="s">
        <v>2885</v>
      </c>
      <c r="D110" s="245">
        <v>0.81489999999999996</v>
      </c>
      <c r="E110" t="s">
        <v>2875</v>
      </c>
      <c r="F110" s="238">
        <v>43334</v>
      </c>
    </row>
    <row r="111" spans="1:6">
      <c r="A111" t="s">
        <v>1813</v>
      </c>
      <c r="B111" t="s">
        <v>2849</v>
      </c>
      <c r="D111" s="245">
        <v>1.8220000000000001</v>
      </c>
      <c r="E111"/>
      <c r="F111" s="238">
        <v>43333</v>
      </c>
    </row>
    <row r="112" spans="1:6">
      <c r="A112" t="s">
        <v>1812</v>
      </c>
      <c r="B112" t="s">
        <v>2709</v>
      </c>
      <c r="D112">
        <v>0.81089999999999995</v>
      </c>
      <c r="E112" s="244"/>
      <c r="F112" s="238">
        <v>43009</v>
      </c>
    </row>
    <row r="113" spans="1:6">
      <c r="A113" t="s">
        <v>1811</v>
      </c>
      <c r="B113" t="s">
        <v>2720</v>
      </c>
      <c r="D113">
        <v>0.73950000000000005</v>
      </c>
      <c r="E113" s="244"/>
      <c r="F113" s="238">
        <v>43009</v>
      </c>
    </row>
    <row r="114" spans="1:6" ht="15.6" customHeight="1">
      <c r="A114" t="s">
        <v>2026</v>
      </c>
      <c r="B114" t="s">
        <v>2926</v>
      </c>
      <c r="D114" s="245">
        <v>1.9084000000000001</v>
      </c>
      <c r="E114"/>
      <c r="F114" s="238">
        <v>43338</v>
      </c>
    </row>
    <row r="115" spans="1:6" ht="15" customHeight="1">
      <c r="A115" t="s">
        <v>1808</v>
      </c>
      <c r="B115" t="s">
        <v>2699</v>
      </c>
      <c r="D115">
        <v>0.70840000000000003</v>
      </c>
      <c r="E115" s="244"/>
      <c r="F115" s="238">
        <v>43009</v>
      </c>
    </row>
    <row r="116" spans="1:6">
      <c r="A116" t="s">
        <v>1807</v>
      </c>
      <c r="B116">
        <v>196</v>
      </c>
      <c r="C116" t="s">
        <v>2490</v>
      </c>
      <c r="D116">
        <v>1.04</v>
      </c>
      <c r="E116" s="221" t="s">
        <v>2450</v>
      </c>
      <c r="F116" s="16">
        <v>43208</v>
      </c>
    </row>
    <row r="117" spans="1:6">
      <c r="A117" t="s">
        <v>1806</v>
      </c>
      <c r="B117" t="s">
        <v>2921</v>
      </c>
      <c r="D117" s="245">
        <v>1.8649</v>
      </c>
      <c r="E117"/>
      <c r="F117" s="238">
        <v>43338</v>
      </c>
    </row>
    <row r="118" spans="1:6">
      <c r="A118" t="s">
        <v>1805</v>
      </c>
      <c r="B118" t="s">
        <v>2719</v>
      </c>
      <c r="D118">
        <v>0.81240000000000001</v>
      </c>
      <c r="E118" s="244"/>
      <c r="F118" s="238">
        <v>43009</v>
      </c>
    </row>
    <row r="119" spans="1:6">
      <c r="A119" t="s">
        <v>1804</v>
      </c>
      <c r="B119" t="s">
        <v>2850</v>
      </c>
      <c r="D119" s="245">
        <v>1.9577</v>
      </c>
      <c r="E119" t="s">
        <v>2853</v>
      </c>
      <c r="F119" s="238">
        <v>43333</v>
      </c>
    </row>
    <row r="120" spans="1:6" ht="15" customHeight="1">
      <c r="A120" t="s">
        <v>1803</v>
      </c>
      <c r="B120" t="s">
        <v>2877</v>
      </c>
      <c r="D120" s="245">
        <v>1.9853000000000001</v>
      </c>
      <c r="E120"/>
      <c r="F120" s="238">
        <v>43334</v>
      </c>
    </row>
    <row r="121" spans="1:6" ht="15" customHeight="1">
      <c r="A121" t="s">
        <v>1802</v>
      </c>
      <c r="B121" t="s">
        <v>2695</v>
      </c>
      <c r="D121">
        <v>1.7124999999999999</v>
      </c>
      <c r="E121" s="244"/>
      <c r="F121" s="237"/>
    </row>
    <row r="122" spans="1:6">
      <c r="A122" t="s">
        <v>2025</v>
      </c>
      <c r="B122" t="s">
        <v>2777</v>
      </c>
      <c r="D122" s="239">
        <v>0.995</v>
      </c>
      <c r="E122"/>
      <c r="F122" s="238">
        <v>43010</v>
      </c>
    </row>
    <row r="123" spans="1:6">
      <c r="A123" t="s">
        <v>1800</v>
      </c>
      <c r="B123" t="s">
        <v>2750</v>
      </c>
      <c r="D123">
        <v>0.80610000000000004</v>
      </c>
      <c r="E123" s="244"/>
      <c r="F123" s="238">
        <v>43009</v>
      </c>
    </row>
    <row r="124" spans="1:6">
      <c r="A124" t="s">
        <v>1797</v>
      </c>
      <c r="B124" t="s">
        <v>2775</v>
      </c>
      <c r="D124" s="237">
        <v>1.2484</v>
      </c>
      <c r="E124"/>
      <c r="F124" s="238">
        <v>43010</v>
      </c>
    </row>
    <row r="125" spans="1:6">
      <c r="A125" t="s">
        <v>1796</v>
      </c>
      <c r="B125">
        <v>197</v>
      </c>
      <c r="C125" t="s">
        <v>2490</v>
      </c>
      <c r="D125">
        <v>0.82399999999999995</v>
      </c>
      <c r="E125" s="221" t="s">
        <v>2447</v>
      </c>
      <c r="F125" s="16">
        <v>43208</v>
      </c>
    </row>
    <row r="126" spans="1:6">
      <c r="A126" t="s">
        <v>1795</v>
      </c>
      <c r="B126" t="s">
        <v>2731</v>
      </c>
      <c r="D126">
        <v>1.6215999999999999</v>
      </c>
      <c r="E126" s="244"/>
      <c r="F126" s="238">
        <v>43007</v>
      </c>
    </row>
    <row r="127" spans="1:6">
      <c r="A127" t="s">
        <v>1794</v>
      </c>
      <c r="B127" t="s">
        <v>2880</v>
      </c>
      <c r="D127" s="245">
        <v>1.6208</v>
      </c>
      <c r="E127" t="s">
        <v>2881</v>
      </c>
      <c r="F127" s="238">
        <v>43334</v>
      </c>
    </row>
    <row r="128" spans="1:6">
      <c r="A128" t="s">
        <v>1793</v>
      </c>
      <c r="B128">
        <v>193</v>
      </c>
      <c r="C128" t="s">
        <v>2490</v>
      </c>
      <c r="D128">
        <v>0.67</v>
      </c>
      <c r="E128" s="221" t="s">
        <v>2449</v>
      </c>
      <c r="F128" s="16">
        <v>43208</v>
      </c>
    </row>
    <row r="129" spans="1:6">
      <c r="A129" t="s">
        <v>1792</v>
      </c>
      <c r="B129" t="s">
        <v>2779</v>
      </c>
      <c r="D129" s="237">
        <v>0.92730000000000001</v>
      </c>
      <c r="E129" t="s">
        <v>2692</v>
      </c>
      <c r="F129" s="238">
        <v>43010</v>
      </c>
    </row>
    <row r="130" spans="1:6">
      <c r="A130" t="s">
        <v>1791</v>
      </c>
      <c r="B130" t="s">
        <v>2723</v>
      </c>
      <c r="D130">
        <v>1.5964</v>
      </c>
      <c r="E130" s="244"/>
      <c r="F130" s="238">
        <v>43007</v>
      </c>
    </row>
    <row r="131" spans="1:6">
      <c r="A131" t="s">
        <v>2024</v>
      </c>
      <c r="B131">
        <v>211</v>
      </c>
      <c r="C131" t="s">
        <v>2490</v>
      </c>
      <c r="D131">
        <v>0.38400000000000001</v>
      </c>
      <c r="F131" s="16">
        <v>43208</v>
      </c>
    </row>
    <row r="132" spans="1:6">
      <c r="A132" t="s">
        <v>1790</v>
      </c>
      <c r="B132" t="s">
        <v>2864</v>
      </c>
      <c r="D132" s="245">
        <v>1.9074</v>
      </c>
      <c r="E132"/>
      <c r="F132" s="238">
        <v>43333</v>
      </c>
    </row>
    <row r="133" spans="1:6">
      <c r="A133" t="s">
        <v>1789</v>
      </c>
      <c r="B133" t="s">
        <v>2907</v>
      </c>
      <c r="D133" s="245">
        <v>1.8041</v>
      </c>
      <c r="E133"/>
      <c r="F133" s="238">
        <v>43337</v>
      </c>
    </row>
    <row r="134" spans="1:6">
      <c r="A134" t="s">
        <v>1788</v>
      </c>
      <c r="B134" t="s">
        <v>2690</v>
      </c>
      <c r="D134">
        <v>0.59640000000000004</v>
      </c>
      <c r="E134" s="244"/>
      <c r="F134" s="237"/>
    </row>
    <row r="135" spans="1:6">
      <c r="A135" t="s">
        <v>1787</v>
      </c>
      <c r="B135" t="s">
        <v>2893</v>
      </c>
      <c r="D135" s="245">
        <v>0.83330000000000004</v>
      </c>
      <c r="E135" t="s">
        <v>2894</v>
      </c>
      <c r="F135" s="238">
        <v>43334</v>
      </c>
    </row>
    <row r="136" spans="1:6">
      <c r="A136" t="s">
        <v>1785</v>
      </c>
      <c r="B136" t="s">
        <v>2683</v>
      </c>
      <c r="D136">
        <v>0.93579999999999997</v>
      </c>
      <c r="E136" s="244"/>
      <c r="F136" s="238">
        <v>43008</v>
      </c>
    </row>
    <row r="137" spans="1:6">
      <c r="A137" t="s">
        <v>1784</v>
      </c>
      <c r="B137" t="s">
        <v>2743</v>
      </c>
      <c r="D137">
        <v>0.69879999999999998</v>
      </c>
      <c r="E137" s="244"/>
      <c r="F137" s="238">
        <v>43009</v>
      </c>
    </row>
    <row r="138" spans="1:6">
      <c r="A138" t="s">
        <v>1783</v>
      </c>
      <c r="B138" t="s">
        <v>2918</v>
      </c>
      <c r="D138" s="245">
        <v>1.8248</v>
      </c>
      <c r="E138" t="s">
        <v>2115</v>
      </c>
      <c r="F138" s="238">
        <v>43337</v>
      </c>
    </row>
    <row r="139" spans="1:6">
      <c r="A139" t="s">
        <v>1782</v>
      </c>
      <c r="B139" t="s">
        <v>2854</v>
      </c>
      <c r="D139" s="245">
        <v>1.7633000000000001</v>
      </c>
      <c r="E139" t="s">
        <v>2115</v>
      </c>
      <c r="F139" s="238">
        <v>43333</v>
      </c>
    </row>
    <row r="140" spans="1:6">
      <c r="A140" t="s">
        <v>2023</v>
      </c>
      <c r="B140">
        <v>198</v>
      </c>
      <c r="C140" t="s">
        <v>2490</v>
      </c>
      <c r="D140">
        <v>0.73799999999999999</v>
      </c>
      <c r="E140" s="221" t="s">
        <v>2448</v>
      </c>
      <c r="F140" s="16">
        <v>43208</v>
      </c>
    </row>
    <row r="141" spans="1:6">
      <c r="A141" t="s">
        <v>1777</v>
      </c>
      <c r="B141" t="s">
        <v>2735</v>
      </c>
      <c r="D141">
        <v>1.9318</v>
      </c>
      <c r="E141" s="244"/>
      <c r="F141" s="238">
        <v>43007</v>
      </c>
    </row>
    <row r="142" spans="1:6">
      <c r="A142" t="s">
        <v>1776</v>
      </c>
      <c r="B142" t="s">
        <v>2683</v>
      </c>
      <c r="D142">
        <v>1.0779000000000001</v>
      </c>
      <c r="E142" s="244"/>
      <c r="F142" s="238">
        <v>43008</v>
      </c>
    </row>
    <row r="143" spans="1:6">
      <c r="A143" t="s">
        <v>1775</v>
      </c>
      <c r="B143" t="s">
        <v>2783</v>
      </c>
      <c r="D143" s="237">
        <v>1.2171000000000001</v>
      </c>
      <c r="E143"/>
      <c r="F143" s="238">
        <v>43010</v>
      </c>
    </row>
    <row r="144" spans="1:6">
      <c r="A144" t="s">
        <v>1773</v>
      </c>
      <c r="B144" t="s">
        <v>2732</v>
      </c>
      <c r="D144">
        <v>1.9345000000000001</v>
      </c>
      <c r="E144" s="244"/>
      <c r="F144" s="238">
        <v>43007</v>
      </c>
    </row>
    <row r="145" spans="1:6">
      <c r="A145" t="s">
        <v>1772</v>
      </c>
      <c r="B145" t="s">
        <v>2883</v>
      </c>
      <c r="D145" s="245">
        <v>1.8243</v>
      </c>
      <c r="E145"/>
      <c r="F145" s="238">
        <v>43334</v>
      </c>
    </row>
    <row r="146" spans="1:6">
      <c r="A146" t="s">
        <v>1766</v>
      </c>
      <c r="B146" t="s">
        <v>2788</v>
      </c>
      <c r="D146" s="237">
        <v>1.1585000000000001</v>
      </c>
      <c r="E146"/>
      <c r="F146" s="238">
        <v>43010</v>
      </c>
    </row>
    <row r="147" spans="1:6">
      <c r="A147" t="s">
        <v>1761</v>
      </c>
      <c r="B147" t="s">
        <v>2775</v>
      </c>
      <c r="D147" s="237">
        <v>1.2491000000000001</v>
      </c>
      <c r="E147"/>
      <c r="F147" s="238">
        <v>43010</v>
      </c>
    </row>
    <row r="148" spans="1:6">
      <c r="A148" t="s">
        <v>1760</v>
      </c>
      <c r="B148" t="s">
        <v>2780</v>
      </c>
      <c r="D148" s="237">
        <v>1.6564000000000001</v>
      </c>
      <c r="E148"/>
      <c r="F148" s="238">
        <v>43010</v>
      </c>
    </row>
    <row r="149" spans="1:6">
      <c r="A149" t="s">
        <v>1758</v>
      </c>
      <c r="B149" t="s">
        <v>2792</v>
      </c>
      <c r="D149" s="237">
        <v>0.88980000000000004</v>
      </c>
      <c r="E149"/>
      <c r="F149" s="238">
        <v>43008</v>
      </c>
    </row>
    <row r="150" spans="1:6">
      <c r="A150" t="s">
        <v>1757</v>
      </c>
      <c r="B150" t="s">
        <v>2726</v>
      </c>
      <c r="D150">
        <v>1.8129</v>
      </c>
      <c r="E150" s="244"/>
      <c r="F150" s="238">
        <v>43007</v>
      </c>
    </row>
    <row r="151" spans="1:6">
      <c r="A151" t="s">
        <v>1756</v>
      </c>
      <c r="B151" t="s">
        <v>2789</v>
      </c>
      <c r="D151" s="237">
        <v>0.93010000000000004</v>
      </c>
      <c r="E151"/>
      <c r="F151" s="238">
        <v>43010</v>
      </c>
    </row>
    <row r="152" spans="1:6">
      <c r="A152" t="s">
        <v>1755</v>
      </c>
      <c r="B152" t="s">
        <v>2698</v>
      </c>
      <c r="D152">
        <v>0.92659999999999998</v>
      </c>
      <c r="E152" s="244" t="s">
        <v>2692</v>
      </c>
      <c r="F152" s="238">
        <v>43009</v>
      </c>
    </row>
    <row r="153" spans="1:6">
      <c r="A153" t="s">
        <v>2020</v>
      </c>
      <c r="B153" t="s">
        <v>2711</v>
      </c>
      <c r="D153">
        <v>0.80879999999999996</v>
      </c>
      <c r="E153" s="244"/>
      <c r="F153" s="238">
        <v>43008</v>
      </c>
    </row>
    <row r="154" spans="1:6">
      <c r="A154" t="s">
        <v>1750</v>
      </c>
      <c r="B154" t="s">
        <v>2850</v>
      </c>
      <c r="D154" s="245">
        <v>1.8340000000000001</v>
      </c>
      <c r="E154" t="s">
        <v>2677</v>
      </c>
      <c r="F154" s="238">
        <v>43333</v>
      </c>
    </row>
    <row r="155" spans="1:6">
      <c r="A155" t="s">
        <v>1749</v>
      </c>
      <c r="B155" t="s">
        <v>2756</v>
      </c>
      <c r="D155">
        <v>0.66849999999999998</v>
      </c>
      <c r="E155" s="244"/>
      <c r="F155" s="238">
        <v>43009</v>
      </c>
    </row>
    <row r="156" spans="1:6">
      <c r="A156" t="s">
        <v>1747</v>
      </c>
      <c r="B156" t="s">
        <v>2770</v>
      </c>
      <c r="D156">
        <v>1.6654</v>
      </c>
      <c r="E156" s="244"/>
      <c r="F156" s="238">
        <v>43010</v>
      </c>
    </row>
    <row r="157" spans="1:6">
      <c r="A157" t="s">
        <v>1741</v>
      </c>
      <c r="B157" t="s">
        <v>2752</v>
      </c>
      <c r="D157">
        <v>0.88170000000000004</v>
      </c>
      <c r="E157" s="244"/>
      <c r="F157" s="238">
        <v>43009</v>
      </c>
    </row>
    <row r="158" spans="1:6">
      <c r="A158" t="s">
        <v>1738</v>
      </c>
      <c r="B158" t="s">
        <v>2868</v>
      </c>
      <c r="D158" s="245">
        <v>1.7978000000000001</v>
      </c>
      <c r="E158" t="s">
        <v>2115</v>
      </c>
      <c r="F158" s="238">
        <v>43334</v>
      </c>
    </row>
    <row r="159" spans="1:6">
      <c r="A159" t="s">
        <v>1737</v>
      </c>
      <c r="B159" t="s">
        <v>2686</v>
      </c>
      <c r="D159">
        <v>0.74719999999999998</v>
      </c>
      <c r="E159" s="244"/>
      <c r="F159" s="237"/>
    </row>
    <row r="160" spans="1:6">
      <c r="A160" t="s">
        <v>1736</v>
      </c>
      <c r="B160" t="s">
        <v>2697</v>
      </c>
      <c r="D160">
        <v>0.78080000000000005</v>
      </c>
      <c r="E160" s="244"/>
      <c r="F160" s="238">
        <v>43008</v>
      </c>
    </row>
    <row r="161" spans="1:6">
      <c r="A161" t="s">
        <v>1735</v>
      </c>
      <c r="B161">
        <v>201</v>
      </c>
      <c r="C161" t="s">
        <v>2490</v>
      </c>
      <c r="D161">
        <v>0.84</v>
      </c>
      <c r="E161" s="221" t="s">
        <v>2495</v>
      </c>
      <c r="F161" s="16">
        <v>43208</v>
      </c>
    </row>
    <row r="162" spans="1:6">
      <c r="A162" t="s">
        <v>1734</v>
      </c>
      <c r="B162" t="s">
        <v>2767</v>
      </c>
      <c r="D162">
        <v>0.6512</v>
      </c>
      <c r="E162" s="244" t="s">
        <v>2692</v>
      </c>
      <c r="F162" s="238">
        <v>43008</v>
      </c>
    </row>
    <row r="163" spans="1:6">
      <c r="A163" t="s">
        <v>1732</v>
      </c>
      <c r="B163" t="s">
        <v>2886</v>
      </c>
      <c r="D163" s="245">
        <v>0.70609999999999995</v>
      </c>
      <c r="E163" t="s">
        <v>2111</v>
      </c>
      <c r="F163" s="238">
        <v>43334</v>
      </c>
    </row>
    <row r="164" spans="1:6">
      <c r="A164" t="s">
        <v>1731</v>
      </c>
      <c r="B164" t="s">
        <v>2729</v>
      </c>
      <c r="D164">
        <v>1.8162</v>
      </c>
      <c r="E164" s="244"/>
      <c r="F164" s="238">
        <v>43007</v>
      </c>
    </row>
    <row r="165" spans="1:6">
      <c r="A165" t="s">
        <v>2018</v>
      </c>
      <c r="B165" t="s">
        <v>2696</v>
      </c>
      <c r="D165">
        <v>0.77580000000000005</v>
      </c>
      <c r="E165" s="244"/>
      <c r="F165" s="238">
        <v>43009</v>
      </c>
    </row>
    <row r="166" spans="1:6">
      <c r="A166" t="s">
        <v>1730</v>
      </c>
      <c r="B166" t="s">
        <v>2739</v>
      </c>
      <c r="D166">
        <v>1.7525999999999999</v>
      </c>
      <c r="E166" s="244"/>
      <c r="F166" s="238">
        <v>43007</v>
      </c>
    </row>
    <row r="167" spans="1:6">
      <c r="A167" t="s">
        <v>1728</v>
      </c>
      <c r="B167" t="s">
        <v>2722</v>
      </c>
      <c r="D167">
        <v>1.8697999999999999</v>
      </c>
      <c r="E167" s="244"/>
      <c r="F167" s="238">
        <v>43007</v>
      </c>
    </row>
    <row r="168" spans="1:6">
      <c r="A168" t="s">
        <v>1727</v>
      </c>
      <c r="B168" t="s">
        <v>2757</v>
      </c>
      <c r="D168">
        <v>0.74829999999999997</v>
      </c>
      <c r="E168" s="244"/>
      <c r="F168" s="238">
        <v>43009</v>
      </c>
    </row>
    <row r="169" spans="1:6">
      <c r="A169" t="s">
        <v>1726</v>
      </c>
      <c r="B169" t="s">
        <v>2913</v>
      </c>
      <c r="D169" s="245">
        <v>1.6847000000000001</v>
      </c>
      <c r="E169" t="s">
        <v>2901</v>
      </c>
      <c r="F169" s="238">
        <v>43337</v>
      </c>
    </row>
    <row r="170" spans="1:6">
      <c r="A170" t="s">
        <v>1724</v>
      </c>
      <c r="B170" t="s">
        <v>2785</v>
      </c>
      <c r="D170" s="237">
        <v>1.0625</v>
      </c>
      <c r="E170"/>
      <c r="F170" s="238">
        <v>43010</v>
      </c>
    </row>
    <row r="171" spans="1:6">
      <c r="A171" t="s">
        <v>1721</v>
      </c>
      <c r="B171" t="s">
        <v>2925</v>
      </c>
      <c r="D171" s="245">
        <v>1.7850999999999999</v>
      </c>
      <c r="E171"/>
      <c r="F171" s="238">
        <v>43338</v>
      </c>
    </row>
    <row r="172" spans="1:6">
      <c r="A172" t="s">
        <v>1719</v>
      </c>
      <c r="B172" t="s">
        <v>2911</v>
      </c>
      <c r="D172" s="245">
        <v>1.8354999999999999</v>
      </c>
      <c r="E172" t="s">
        <v>2115</v>
      </c>
      <c r="F172" s="238">
        <v>43337</v>
      </c>
    </row>
    <row r="173" spans="1:6">
      <c r="A173" t="s">
        <v>1718</v>
      </c>
      <c r="B173" t="s">
        <v>2714</v>
      </c>
      <c r="D173">
        <v>0.98260000000000003</v>
      </c>
      <c r="E173" s="244"/>
      <c r="F173" s="238">
        <v>43008</v>
      </c>
    </row>
    <row r="174" spans="1:6">
      <c r="A174" t="s">
        <v>1715</v>
      </c>
      <c r="B174" t="s">
        <v>2711</v>
      </c>
      <c r="D174">
        <v>0.85829999999999995</v>
      </c>
      <c r="E174" s="244"/>
      <c r="F174" s="238">
        <v>43008</v>
      </c>
    </row>
    <row r="175" spans="1:6">
      <c r="A175" t="s">
        <v>1714</v>
      </c>
      <c r="B175" t="s">
        <v>2888</v>
      </c>
      <c r="D175" s="245">
        <v>1.6466000000000001</v>
      </c>
      <c r="E175" t="s">
        <v>2890</v>
      </c>
      <c r="F175" s="238">
        <v>43334</v>
      </c>
    </row>
    <row r="176" spans="1:6">
      <c r="A176" t="s">
        <v>1712</v>
      </c>
      <c r="B176">
        <v>195</v>
      </c>
      <c r="C176" t="s">
        <v>2490</v>
      </c>
      <c r="D176">
        <v>0.83299999999999996</v>
      </c>
      <c r="E176" s="221" t="s">
        <v>2450</v>
      </c>
      <c r="F176" s="16">
        <v>43208</v>
      </c>
    </row>
    <row r="177" spans="1:6">
      <c r="A177" t="s">
        <v>2016</v>
      </c>
      <c r="B177" t="s">
        <v>2793</v>
      </c>
      <c r="D177" s="237">
        <v>0.92579999999999996</v>
      </c>
      <c r="E177"/>
      <c r="F177" s="238">
        <v>43008</v>
      </c>
    </row>
    <row r="178" spans="1:6">
      <c r="A178" t="s">
        <v>1709</v>
      </c>
      <c r="B178" t="s">
        <v>2854</v>
      </c>
      <c r="D178" s="245">
        <v>1.7267999999999999</v>
      </c>
      <c r="E178" t="s">
        <v>2856</v>
      </c>
      <c r="F178" s="238">
        <v>43333</v>
      </c>
    </row>
    <row r="179" spans="1:6">
      <c r="A179" t="s">
        <v>1708</v>
      </c>
      <c r="B179" t="s">
        <v>2879</v>
      </c>
      <c r="D179" s="245">
        <v>1.7556</v>
      </c>
      <c r="E179"/>
      <c r="F179" s="238">
        <v>43334</v>
      </c>
    </row>
    <row r="180" spans="1:6">
      <c r="A180" t="s">
        <v>1707</v>
      </c>
      <c r="B180" t="s">
        <v>2700</v>
      </c>
      <c r="D180">
        <v>0.68059999999999998</v>
      </c>
      <c r="E180" s="244"/>
      <c r="F180" s="238">
        <v>43009</v>
      </c>
    </row>
    <row r="181" spans="1:6">
      <c r="A181" t="s">
        <v>1706</v>
      </c>
      <c r="B181" t="s">
        <v>2792</v>
      </c>
      <c r="D181" s="237">
        <v>0.78580000000000005</v>
      </c>
      <c r="E181"/>
      <c r="F181" s="238">
        <v>43008</v>
      </c>
    </row>
    <row r="182" spans="1:6">
      <c r="A182" t="s">
        <v>1703</v>
      </c>
      <c r="B182" t="s">
        <v>2923</v>
      </c>
      <c r="D182" s="245">
        <v>1.6924999999999999</v>
      </c>
      <c r="E182" t="s">
        <v>2909</v>
      </c>
      <c r="F182" s="238">
        <v>43338</v>
      </c>
    </row>
    <row r="183" spans="1:6">
      <c r="A183" t="s">
        <v>1702</v>
      </c>
      <c r="B183" t="s">
        <v>2706</v>
      </c>
      <c r="D183">
        <v>0.69310000000000005</v>
      </c>
      <c r="E183" s="244"/>
      <c r="F183" s="238">
        <v>43009</v>
      </c>
    </row>
    <row r="184" spans="1:6">
      <c r="A184" t="s">
        <v>1701</v>
      </c>
      <c r="B184" t="s">
        <v>2727</v>
      </c>
      <c r="D184">
        <v>1.7968</v>
      </c>
      <c r="E184" s="244"/>
      <c r="F184" s="238">
        <v>43007</v>
      </c>
    </row>
    <row r="185" spans="1:6">
      <c r="A185" t="s">
        <v>2015</v>
      </c>
      <c r="B185" t="s">
        <v>2905</v>
      </c>
      <c r="D185" s="245">
        <v>1.8633999999999999</v>
      </c>
      <c r="E185"/>
      <c r="F185" s="238">
        <v>43337</v>
      </c>
    </row>
    <row r="186" spans="1:6">
      <c r="A186" t="s">
        <v>1700</v>
      </c>
      <c r="B186" t="s">
        <v>2682</v>
      </c>
      <c r="D186">
        <v>0.95640000000000003</v>
      </c>
      <c r="E186" s="244"/>
      <c r="F186" s="238">
        <v>43008</v>
      </c>
    </row>
    <row r="187" spans="1:6">
      <c r="A187" t="s">
        <v>1697</v>
      </c>
      <c r="B187" t="s">
        <v>2748</v>
      </c>
      <c r="D187">
        <v>0.80569999999999997</v>
      </c>
      <c r="E187" s="244"/>
      <c r="F187" s="238">
        <v>43009</v>
      </c>
    </row>
    <row r="188" spans="1:6">
      <c r="A188" t="s">
        <v>1694</v>
      </c>
      <c r="B188" t="s">
        <v>2915</v>
      </c>
      <c r="D188" s="245">
        <v>1.7767999999999999</v>
      </c>
      <c r="E188" t="s">
        <v>2115</v>
      </c>
      <c r="F188" s="238">
        <v>43337</v>
      </c>
    </row>
    <row r="189" spans="1:6">
      <c r="A189" t="s">
        <v>1693</v>
      </c>
      <c r="B189" t="s">
        <v>2731</v>
      </c>
      <c r="D189">
        <v>1.6417999999999999</v>
      </c>
      <c r="E189" s="244"/>
      <c r="F189" s="238">
        <v>43007</v>
      </c>
    </row>
    <row r="190" spans="1:6">
      <c r="A190" t="s">
        <v>2014</v>
      </c>
      <c r="B190">
        <v>210</v>
      </c>
      <c r="C190" t="s">
        <v>2490</v>
      </c>
      <c r="D190">
        <v>0.84599999999999997</v>
      </c>
      <c r="E190" s="221" t="s">
        <v>2448</v>
      </c>
      <c r="F190" s="16">
        <v>43208</v>
      </c>
    </row>
    <row r="191" spans="1:6">
      <c r="A191" t="s">
        <v>1689</v>
      </c>
      <c r="B191">
        <v>216</v>
      </c>
      <c r="C191" t="s">
        <v>2490</v>
      </c>
      <c r="D191">
        <v>0.73499999999999999</v>
      </c>
      <c r="E191" s="221" t="s">
        <v>2448</v>
      </c>
      <c r="F191" s="16">
        <v>43208</v>
      </c>
    </row>
    <row r="192" spans="1:6">
      <c r="A192" t="s">
        <v>1687</v>
      </c>
      <c r="B192">
        <v>212</v>
      </c>
      <c r="C192" t="s">
        <v>2490</v>
      </c>
      <c r="D192">
        <v>0.753</v>
      </c>
      <c r="E192" s="221" t="s">
        <v>2495</v>
      </c>
      <c r="F192" s="16">
        <v>43208</v>
      </c>
    </row>
    <row r="193" spans="1:6">
      <c r="A193" t="s">
        <v>1686</v>
      </c>
      <c r="B193" t="s">
        <v>2914</v>
      </c>
      <c r="D193" s="245">
        <v>1.8589</v>
      </c>
      <c r="E193" t="s">
        <v>2115</v>
      </c>
      <c r="F193" s="238">
        <v>43337</v>
      </c>
    </row>
    <row r="194" spans="1:6">
      <c r="A194" t="s">
        <v>1680</v>
      </c>
      <c r="B194" t="s">
        <v>2915</v>
      </c>
      <c r="D194" s="245">
        <v>1.8433999999999999</v>
      </c>
      <c r="E194" t="s">
        <v>2115</v>
      </c>
      <c r="F194" s="238">
        <v>43337</v>
      </c>
    </row>
    <row r="195" spans="1:6">
      <c r="A195" t="s">
        <v>1679</v>
      </c>
      <c r="B195" t="s">
        <v>2699</v>
      </c>
      <c r="D195">
        <v>0.81369999999999998</v>
      </c>
      <c r="E195" s="244"/>
      <c r="F195" s="238">
        <v>43009</v>
      </c>
    </row>
    <row r="196" spans="1:6">
      <c r="A196" t="s">
        <v>1678</v>
      </c>
      <c r="B196" t="s">
        <v>2921</v>
      </c>
      <c r="D196" s="245">
        <v>1.9605999999999999</v>
      </c>
      <c r="E196"/>
      <c r="F196" s="238">
        <v>43338</v>
      </c>
    </row>
    <row r="197" spans="1:6">
      <c r="A197" t="s">
        <v>1673</v>
      </c>
      <c r="B197" t="s">
        <v>2734</v>
      </c>
      <c r="D197">
        <v>1.3894</v>
      </c>
      <c r="E197" s="244" t="s">
        <v>2692</v>
      </c>
      <c r="F197" s="238">
        <v>43007</v>
      </c>
    </row>
    <row r="198" spans="1:6">
      <c r="A198" t="s">
        <v>1671</v>
      </c>
      <c r="B198" t="s">
        <v>2228</v>
      </c>
      <c r="D198" s="245">
        <v>1.65</v>
      </c>
      <c r="E198"/>
      <c r="F198" s="238">
        <v>43334</v>
      </c>
    </row>
    <row r="199" spans="1:6">
      <c r="A199" t="s">
        <v>2012</v>
      </c>
      <c r="B199" t="s">
        <v>2737</v>
      </c>
      <c r="D199">
        <v>1.6738</v>
      </c>
      <c r="E199" s="244"/>
      <c r="F199" s="238">
        <v>43007</v>
      </c>
    </row>
    <row r="200" spans="1:6">
      <c r="A200" t="s">
        <v>1670</v>
      </c>
      <c r="B200" t="s">
        <v>2913</v>
      </c>
      <c r="D200" s="245">
        <v>1.8685</v>
      </c>
      <c r="E200"/>
      <c r="F200" s="238">
        <v>43337</v>
      </c>
    </row>
    <row r="201" spans="1:6">
      <c r="A201" t="s">
        <v>1668</v>
      </c>
      <c r="B201" t="s">
        <v>2922</v>
      </c>
      <c r="D201" s="245">
        <v>1.8677999999999999</v>
      </c>
      <c r="E201" t="s">
        <v>2111</v>
      </c>
      <c r="F201" s="238">
        <v>43338</v>
      </c>
    </row>
    <row r="202" spans="1:6">
      <c r="A202" t="s">
        <v>1666</v>
      </c>
      <c r="B202" t="s">
        <v>2702</v>
      </c>
      <c r="D202">
        <v>0.73660000000000003</v>
      </c>
      <c r="E202" s="244" t="s">
        <v>2703</v>
      </c>
      <c r="F202" s="238">
        <v>43008</v>
      </c>
    </row>
    <row r="203" spans="1:6">
      <c r="A203" t="s">
        <v>1656</v>
      </c>
      <c r="B203" t="s">
        <v>2728</v>
      </c>
      <c r="D203">
        <v>1.8532999999999999</v>
      </c>
      <c r="E203" s="244"/>
      <c r="F203" s="238">
        <v>43007</v>
      </c>
    </row>
    <row r="204" spans="1:6">
      <c r="A204" t="s">
        <v>1654</v>
      </c>
      <c r="B204" t="s">
        <v>2715</v>
      </c>
      <c r="D204">
        <v>0.80349999999999999</v>
      </c>
      <c r="E204" s="244" t="s">
        <v>2716</v>
      </c>
      <c r="F204" s="238">
        <v>43009</v>
      </c>
    </row>
    <row r="205" spans="1:6">
      <c r="A205" t="s">
        <v>1653</v>
      </c>
      <c r="B205" t="s">
        <v>2729</v>
      </c>
      <c r="D205">
        <v>1.7436</v>
      </c>
      <c r="E205" s="244"/>
      <c r="F205" s="238">
        <v>43007</v>
      </c>
    </row>
    <row r="206" spans="1:6">
      <c r="A206" t="s">
        <v>1652</v>
      </c>
      <c r="B206" t="s">
        <v>2769</v>
      </c>
      <c r="D206">
        <v>1.0217000000000001</v>
      </c>
      <c r="E206" s="244"/>
      <c r="F206" s="238">
        <v>43010</v>
      </c>
    </row>
    <row r="207" spans="1:6">
      <c r="A207" t="s">
        <v>1651</v>
      </c>
      <c r="B207">
        <v>197</v>
      </c>
      <c r="C207" t="s">
        <v>2490</v>
      </c>
      <c r="D207">
        <v>0.69</v>
      </c>
      <c r="E207" s="221" t="s">
        <v>2447</v>
      </c>
      <c r="F207" s="16">
        <v>43208</v>
      </c>
    </row>
    <row r="208" spans="1:6">
      <c r="A208" t="s">
        <v>2010</v>
      </c>
      <c r="B208" t="s">
        <v>2767</v>
      </c>
      <c r="D208">
        <v>0.68400000000000005</v>
      </c>
      <c r="E208" s="244" t="s">
        <v>2692</v>
      </c>
      <c r="F208" s="238">
        <v>43008</v>
      </c>
    </row>
    <row r="209" spans="1:6">
      <c r="A209" t="s">
        <v>1650</v>
      </c>
      <c r="B209" t="s">
        <v>2717</v>
      </c>
      <c r="D209">
        <v>0.86</v>
      </c>
      <c r="E209" s="244" t="s">
        <v>2718</v>
      </c>
      <c r="F209" s="238">
        <v>43008</v>
      </c>
    </row>
    <row r="210" spans="1:6">
      <c r="A210" t="s">
        <v>1649</v>
      </c>
      <c r="B210" t="s">
        <v>2742</v>
      </c>
      <c r="D210">
        <v>0.9304</v>
      </c>
      <c r="E210" s="244"/>
      <c r="F210" s="238">
        <v>43008</v>
      </c>
    </row>
    <row r="211" spans="1:6">
      <c r="A211" t="s">
        <v>1643</v>
      </c>
      <c r="B211" t="s">
        <v>2734</v>
      </c>
      <c r="D211">
        <v>1.278</v>
      </c>
      <c r="E211" s="244"/>
      <c r="F211" s="238">
        <v>43007</v>
      </c>
    </row>
    <row r="212" spans="1:6">
      <c r="A212" t="s">
        <v>1641</v>
      </c>
      <c r="B212" t="s">
        <v>2759</v>
      </c>
      <c r="D212">
        <v>0.77039999999999997</v>
      </c>
      <c r="E212" s="244"/>
      <c r="F212" s="238">
        <v>43009</v>
      </c>
    </row>
    <row r="213" spans="1:6">
      <c r="A213" t="s">
        <v>2009</v>
      </c>
      <c r="B213" t="s">
        <v>2879</v>
      </c>
      <c r="D213" s="245">
        <v>1.7847</v>
      </c>
      <c r="E213" t="s">
        <v>2111</v>
      </c>
      <c r="F213" s="238">
        <v>43334</v>
      </c>
    </row>
    <row r="214" spans="1:6">
      <c r="A214" t="s">
        <v>1640</v>
      </c>
      <c r="B214" t="s">
        <v>2748</v>
      </c>
      <c r="D214">
        <v>0.71050000000000002</v>
      </c>
      <c r="E214" s="244"/>
      <c r="F214" s="238">
        <v>43009</v>
      </c>
    </row>
    <row r="215" spans="1:6">
      <c r="A215" t="s">
        <v>1639</v>
      </c>
      <c r="B215" t="s">
        <v>2760</v>
      </c>
      <c r="D215">
        <v>0.76629999999999998</v>
      </c>
      <c r="E215" s="244"/>
      <c r="F215" s="238">
        <v>43009</v>
      </c>
    </row>
    <row r="216" spans="1:6">
      <c r="A216" t="s">
        <v>1638</v>
      </c>
      <c r="B216">
        <v>208</v>
      </c>
      <c r="C216" t="s">
        <v>2490</v>
      </c>
      <c r="D216">
        <v>0.72499999999999998</v>
      </c>
      <c r="E216" s="221" t="s">
        <v>2449</v>
      </c>
      <c r="F216" s="16">
        <v>43208</v>
      </c>
    </row>
    <row r="217" spans="1:6">
      <c r="A217" t="s">
        <v>1637</v>
      </c>
      <c r="B217" t="s">
        <v>2868</v>
      </c>
      <c r="D217" s="245">
        <v>1.9466000000000001</v>
      </c>
      <c r="E217" t="s">
        <v>2115</v>
      </c>
      <c r="F217" s="238">
        <v>43334</v>
      </c>
    </row>
    <row r="218" spans="1:6">
      <c r="A218" t="s">
        <v>2008</v>
      </c>
      <c r="B218" t="s">
        <v>2710</v>
      </c>
      <c r="D218">
        <v>1.0448</v>
      </c>
      <c r="E218" s="244"/>
      <c r="F218" s="238">
        <v>43009</v>
      </c>
    </row>
    <row r="219" spans="1:6">
      <c r="A219" t="s">
        <v>1628</v>
      </c>
      <c r="B219" t="s">
        <v>2719</v>
      </c>
      <c r="D219">
        <v>0.751</v>
      </c>
      <c r="E219" s="244"/>
      <c r="F219" s="238">
        <v>43009</v>
      </c>
    </row>
    <row r="220" spans="1:6">
      <c r="A220" t="s">
        <v>2007</v>
      </c>
      <c r="B220" t="s">
        <v>2880</v>
      </c>
      <c r="D220" s="245">
        <v>1.7821</v>
      </c>
      <c r="E220" t="s">
        <v>2111</v>
      </c>
      <c r="F220" s="238">
        <v>43334</v>
      </c>
    </row>
    <row r="221" spans="1:6">
      <c r="A221" t="s">
        <v>1620</v>
      </c>
      <c r="B221" t="s">
        <v>2883</v>
      </c>
      <c r="D221" s="245">
        <v>1.8875999999999999</v>
      </c>
      <c r="E221" t="s">
        <v>2111</v>
      </c>
      <c r="F221" s="238">
        <v>43334</v>
      </c>
    </row>
    <row r="222" spans="1:6">
      <c r="A222" t="s">
        <v>1619</v>
      </c>
      <c r="B222" t="s">
        <v>2927</v>
      </c>
      <c r="D222" s="245">
        <v>1.8758999999999999</v>
      </c>
      <c r="E222"/>
      <c r="F222" s="238">
        <v>43338</v>
      </c>
    </row>
    <row r="223" spans="1:6">
      <c r="A223" t="s">
        <v>1616</v>
      </c>
      <c r="B223">
        <v>211</v>
      </c>
      <c r="C223" t="s">
        <v>2490</v>
      </c>
      <c r="D223">
        <v>0.74099999999999999</v>
      </c>
      <c r="F223" s="16">
        <v>43208</v>
      </c>
    </row>
    <row r="224" spans="1:6">
      <c r="A224" t="s">
        <v>1615</v>
      </c>
      <c r="B224" t="s">
        <v>2736</v>
      </c>
      <c r="D224">
        <v>1.7934000000000001</v>
      </c>
      <c r="E224" s="244" t="s">
        <v>2497</v>
      </c>
      <c r="F224" s="238">
        <v>43007</v>
      </c>
    </row>
    <row r="225" spans="1:6">
      <c r="A225" t="s">
        <v>2006</v>
      </c>
      <c r="B225" t="s">
        <v>2723</v>
      </c>
      <c r="D225">
        <v>1.5553999999999999</v>
      </c>
      <c r="E225" s="244" t="s">
        <v>2724</v>
      </c>
      <c r="F225" s="238">
        <v>43007</v>
      </c>
    </row>
    <row r="226" spans="1:6">
      <c r="A226" t="s">
        <v>1606</v>
      </c>
      <c r="B226" t="s">
        <v>2721</v>
      </c>
      <c r="D226">
        <v>1.3574999999999999</v>
      </c>
      <c r="E226" s="244"/>
      <c r="F226" s="238">
        <v>43007</v>
      </c>
    </row>
    <row r="227" spans="1:6">
      <c r="A227" t="s">
        <v>2005</v>
      </c>
      <c r="B227">
        <v>193</v>
      </c>
      <c r="C227" t="s">
        <v>2490</v>
      </c>
      <c r="D227">
        <v>0.82699999999999996</v>
      </c>
      <c r="E227" s="221" t="s">
        <v>2449</v>
      </c>
      <c r="F227" s="16">
        <v>43208</v>
      </c>
    </row>
    <row r="228" spans="1:6">
      <c r="A228" t="s">
        <v>1595</v>
      </c>
      <c r="B228" t="s">
        <v>2682</v>
      </c>
      <c r="D228">
        <v>0.92169999999999996</v>
      </c>
      <c r="E228" s="244"/>
      <c r="F228" s="238">
        <v>43008</v>
      </c>
    </row>
    <row r="229" spans="1:6">
      <c r="A229" t="s">
        <v>2004</v>
      </c>
      <c r="B229" t="s">
        <v>2738</v>
      </c>
      <c r="D229">
        <v>1.5884</v>
      </c>
      <c r="E229" s="244" t="s">
        <v>2692</v>
      </c>
      <c r="F229" s="238">
        <v>43007</v>
      </c>
    </row>
    <row r="230" spans="1:6">
      <c r="A230" t="s">
        <v>1586</v>
      </c>
      <c r="B230" t="s">
        <v>2773</v>
      </c>
      <c r="D230" s="239">
        <v>1.571</v>
      </c>
      <c r="E230"/>
      <c r="F230" s="238">
        <v>43010</v>
      </c>
    </row>
    <row r="231" spans="1:6">
      <c r="A231" t="s">
        <v>1585</v>
      </c>
      <c r="B231" t="s">
        <v>2888</v>
      </c>
      <c r="D231" s="245">
        <v>1.6845000000000001</v>
      </c>
      <c r="E231"/>
      <c r="F231" s="238">
        <v>43334</v>
      </c>
    </row>
    <row r="232" spans="1:6">
      <c r="A232" t="s">
        <v>1584</v>
      </c>
      <c r="B232" t="s">
        <v>2751</v>
      </c>
      <c r="D232">
        <v>0.81599999999999995</v>
      </c>
      <c r="E232" s="244"/>
      <c r="F232" s="238">
        <v>43009</v>
      </c>
    </row>
    <row r="233" spans="1:6">
      <c r="A233" t="s">
        <v>1583</v>
      </c>
      <c r="B233" t="s">
        <v>2916</v>
      </c>
      <c r="D233" s="245">
        <v>1.8359000000000001</v>
      </c>
      <c r="E233"/>
      <c r="F233" s="238">
        <v>43337</v>
      </c>
    </row>
    <row r="234" spans="1:6">
      <c r="A234" t="s">
        <v>2003</v>
      </c>
      <c r="B234" t="s">
        <v>2782</v>
      </c>
      <c r="D234" s="237">
        <v>1.1167</v>
      </c>
      <c r="E234"/>
      <c r="F234" s="238">
        <v>43010</v>
      </c>
    </row>
    <row r="235" spans="1:6">
      <c r="A235" t="s">
        <v>1577</v>
      </c>
      <c r="B235" t="s">
        <v>2860</v>
      </c>
      <c r="D235" s="245">
        <v>1.8992</v>
      </c>
      <c r="E235"/>
      <c r="F235" s="238">
        <v>43333</v>
      </c>
    </row>
    <row r="236" spans="1:6">
      <c r="A236" t="s">
        <v>2002</v>
      </c>
      <c r="B236" t="s">
        <v>2707</v>
      </c>
      <c r="D236">
        <v>0.84750000000000003</v>
      </c>
      <c r="E236" s="244"/>
      <c r="F236" s="238">
        <v>43008</v>
      </c>
    </row>
    <row r="237" spans="1:6">
      <c r="A237" t="s">
        <v>1569</v>
      </c>
      <c r="B237" t="s">
        <v>2859</v>
      </c>
      <c r="D237" s="245">
        <v>1.7612000000000001</v>
      </c>
      <c r="E237"/>
      <c r="F237" s="238">
        <v>43333</v>
      </c>
    </row>
    <row r="238" spans="1:6">
      <c r="A238" t="s">
        <v>1568</v>
      </c>
      <c r="B238" t="s">
        <v>2774</v>
      </c>
      <c r="D238" s="237">
        <v>1.4819</v>
      </c>
      <c r="E238"/>
      <c r="F238" s="238">
        <v>43010</v>
      </c>
    </row>
    <row r="239" spans="1:6">
      <c r="A239" t="s">
        <v>1566</v>
      </c>
      <c r="B239" t="s">
        <v>2701</v>
      </c>
      <c r="D239">
        <v>0.66439999999999999</v>
      </c>
      <c r="E239" s="244"/>
      <c r="F239" s="238">
        <v>43008</v>
      </c>
    </row>
    <row r="240" spans="1:6">
      <c r="A240" t="s">
        <v>1565</v>
      </c>
      <c r="B240">
        <v>218</v>
      </c>
      <c r="C240" t="s">
        <v>2490</v>
      </c>
      <c r="D240">
        <v>0.66900000000000004</v>
      </c>
      <c r="E240" s="221" t="s">
        <v>2495</v>
      </c>
      <c r="F240" s="16">
        <v>43208</v>
      </c>
    </row>
    <row r="241" spans="1:6">
      <c r="A241" t="s">
        <v>2001</v>
      </c>
      <c r="B241" t="s">
        <v>2872</v>
      </c>
      <c r="D241" s="245">
        <v>1.9326000000000001</v>
      </c>
      <c r="E241"/>
      <c r="F241" s="238">
        <v>43334</v>
      </c>
    </row>
    <row r="242" spans="1:6">
      <c r="A242" t="s">
        <v>1560</v>
      </c>
      <c r="B242" t="s">
        <v>2697</v>
      </c>
      <c r="D242">
        <v>0.72760000000000002</v>
      </c>
      <c r="E242" s="244" t="s">
        <v>2679</v>
      </c>
      <c r="F242" s="238">
        <v>43008</v>
      </c>
    </row>
    <row r="243" spans="1:6">
      <c r="A243" t="s">
        <v>1557</v>
      </c>
      <c r="B243" t="s">
        <v>2876</v>
      </c>
      <c r="D243" s="245">
        <v>1.8869</v>
      </c>
      <c r="E243"/>
      <c r="F243" s="238">
        <v>43334</v>
      </c>
    </row>
    <row r="244" spans="1:6">
      <c r="A244" t="s">
        <v>2045</v>
      </c>
      <c r="B244">
        <v>213</v>
      </c>
      <c r="C244" t="s">
        <v>2490</v>
      </c>
      <c r="D244">
        <v>0.67</v>
      </c>
      <c r="E244" s="221" t="s">
        <v>2491</v>
      </c>
      <c r="F244" s="16">
        <v>43208</v>
      </c>
    </row>
    <row r="245" spans="1:6">
      <c r="A245" t="s">
        <v>2000</v>
      </c>
      <c r="B245" t="s">
        <v>2900</v>
      </c>
      <c r="D245" s="245">
        <v>0.8911</v>
      </c>
      <c r="E245" t="s">
        <v>2901</v>
      </c>
      <c r="F245" s="238">
        <v>43334</v>
      </c>
    </row>
    <row r="246" spans="1:6">
      <c r="A246" t="s">
        <v>1549</v>
      </c>
      <c r="B246" t="s">
        <v>2701</v>
      </c>
      <c r="D246">
        <v>0.78680000000000005</v>
      </c>
      <c r="E246" s="244"/>
      <c r="F246" s="238">
        <v>43008</v>
      </c>
    </row>
    <row r="247" spans="1:6">
      <c r="A247" t="s">
        <v>1999</v>
      </c>
      <c r="B247" t="s">
        <v>2704</v>
      </c>
      <c r="D247">
        <v>0.81589999999999996</v>
      </c>
      <c r="E247" s="244"/>
      <c r="F247" s="238">
        <v>43008</v>
      </c>
    </row>
    <row r="248" spans="1:6">
      <c r="A248" t="s">
        <v>1535</v>
      </c>
      <c r="B248" t="s">
        <v>2746</v>
      </c>
      <c r="D248">
        <v>0.77959999999999996</v>
      </c>
      <c r="E248" s="244"/>
      <c r="F248" s="238">
        <v>43009</v>
      </c>
    </row>
    <row r="249" spans="1:6">
      <c r="A249" t="s">
        <v>1533</v>
      </c>
      <c r="B249" t="s">
        <v>2705</v>
      </c>
      <c r="D249">
        <v>0.7097</v>
      </c>
      <c r="E249" s="244" t="s">
        <v>2692</v>
      </c>
      <c r="F249" s="238">
        <v>43008</v>
      </c>
    </row>
    <row r="250" spans="1:6">
      <c r="A250" t="s">
        <v>1519</v>
      </c>
      <c r="B250" t="s">
        <v>2914</v>
      </c>
      <c r="D250" s="245">
        <v>1.8593999999999999</v>
      </c>
      <c r="E250"/>
      <c r="F250" s="238">
        <v>43337</v>
      </c>
    </row>
    <row r="251" spans="1:6">
      <c r="A251" t="s">
        <v>1995</v>
      </c>
      <c r="B251" t="s">
        <v>2691</v>
      </c>
      <c r="D251">
        <v>0.86550000000000005</v>
      </c>
      <c r="E251" s="244"/>
      <c r="F251" s="237"/>
    </row>
    <row r="252" spans="1:6">
      <c r="A252" t="s">
        <v>1495</v>
      </c>
      <c r="B252" t="s">
        <v>2733</v>
      </c>
      <c r="D252">
        <v>2.0030000000000001</v>
      </c>
      <c r="E252" s="244"/>
      <c r="F252" s="238">
        <v>43007</v>
      </c>
    </row>
    <row r="253" spans="1:6">
      <c r="A253" t="s">
        <v>1492</v>
      </c>
      <c r="B253" t="s">
        <v>2907</v>
      </c>
      <c r="D253" s="245">
        <v>1.9415</v>
      </c>
      <c r="E253"/>
      <c r="F253" s="238">
        <v>43337</v>
      </c>
    </row>
    <row r="254" spans="1:6">
      <c r="A254" t="s">
        <v>1994</v>
      </c>
      <c r="B254" t="s">
        <v>2678</v>
      </c>
      <c r="D254">
        <v>0.7238</v>
      </c>
      <c r="E254" s="244"/>
      <c r="F254" s="237"/>
    </row>
    <row r="255" spans="1:6">
      <c r="A255" t="s">
        <v>1488</v>
      </c>
      <c r="B255" t="s">
        <v>2738</v>
      </c>
      <c r="D255">
        <v>1.8862000000000001</v>
      </c>
      <c r="E255" s="244"/>
      <c r="F255" s="238">
        <v>43007</v>
      </c>
    </row>
    <row r="256" spans="1:6">
      <c r="A256" t="s">
        <v>1993</v>
      </c>
      <c r="B256" t="s">
        <v>2790</v>
      </c>
      <c r="D256" s="237">
        <v>1.0114000000000001</v>
      </c>
      <c r="E256"/>
      <c r="F256" s="238">
        <v>43010</v>
      </c>
    </row>
    <row r="257" spans="1:6">
      <c r="A257" t="s">
        <v>1480</v>
      </c>
      <c r="B257" t="s">
        <v>2732</v>
      </c>
      <c r="D257">
        <v>1.9100999999999999</v>
      </c>
      <c r="E257" s="244"/>
      <c r="F257" s="238">
        <v>43007</v>
      </c>
    </row>
    <row r="258" spans="1:6">
      <c r="A258" t="s">
        <v>1992</v>
      </c>
      <c r="B258" t="s">
        <v>2733</v>
      </c>
      <c r="D258">
        <v>1.7357</v>
      </c>
      <c r="E258" s="244"/>
      <c r="F258" s="238">
        <v>43007</v>
      </c>
    </row>
    <row r="259" spans="1:6">
      <c r="A259" t="s">
        <v>1470</v>
      </c>
      <c r="B259" t="s">
        <v>2709</v>
      </c>
      <c r="D259">
        <v>0.84409999999999996</v>
      </c>
      <c r="E259" s="244"/>
      <c r="F259" s="238">
        <v>43009</v>
      </c>
    </row>
    <row r="260" spans="1:6">
      <c r="A260" t="s">
        <v>1991</v>
      </c>
      <c r="B260" t="s">
        <v>2740</v>
      </c>
      <c r="D260">
        <v>0.95679999999999998</v>
      </c>
      <c r="E260" s="244"/>
      <c r="F260" s="238">
        <v>43009</v>
      </c>
    </row>
    <row r="261" spans="1:6">
      <c r="A261" t="s">
        <v>1454</v>
      </c>
      <c r="B261" t="s">
        <v>2917</v>
      </c>
      <c r="D261" s="245">
        <v>1.8642000000000001</v>
      </c>
      <c r="E261"/>
      <c r="F261" s="238">
        <v>43337</v>
      </c>
    </row>
    <row r="262" spans="1:6">
      <c r="A262" t="s">
        <v>1452</v>
      </c>
      <c r="B262" t="s">
        <v>2878</v>
      </c>
      <c r="D262" s="245">
        <v>1.9169</v>
      </c>
      <c r="E262"/>
      <c r="F262" s="238">
        <v>43334</v>
      </c>
    </row>
    <row r="263" spans="1:6">
      <c r="A263" t="s">
        <v>2044</v>
      </c>
      <c r="B263" t="s">
        <v>2790</v>
      </c>
      <c r="D263" s="237">
        <v>1.1637</v>
      </c>
      <c r="E263"/>
      <c r="F263" s="238">
        <v>43010</v>
      </c>
    </row>
    <row r="264" spans="1:6">
      <c r="A264" t="s">
        <v>1990</v>
      </c>
      <c r="B264" t="s">
        <v>2912</v>
      </c>
      <c r="D264" s="245">
        <v>1.9540999999999999</v>
      </c>
      <c r="E264"/>
      <c r="F264" s="238">
        <v>43337</v>
      </c>
    </row>
    <row r="265" spans="1:6">
      <c r="A265" t="s">
        <v>1449</v>
      </c>
      <c r="B265" t="s">
        <v>2912</v>
      </c>
      <c r="D265" s="245">
        <v>1.8379000000000001</v>
      </c>
      <c r="E265"/>
      <c r="F265" s="238">
        <v>43337</v>
      </c>
    </row>
    <row r="266" spans="1:6">
      <c r="A266" t="s">
        <v>1989</v>
      </c>
      <c r="B266" t="s">
        <v>2738</v>
      </c>
      <c r="D266">
        <v>1.4991000000000001</v>
      </c>
      <c r="E266" s="244"/>
      <c r="F266" s="238">
        <v>43007</v>
      </c>
    </row>
    <row r="267" spans="1:6">
      <c r="A267" t="s">
        <v>1438</v>
      </c>
      <c r="B267" t="s">
        <v>2745</v>
      </c>
      <c r="D267">
        <v>0.83</v>
      </c>
      <c r="E267" s="244"/>
      <c r="F267" s="238">
        <v>43009</v>
      </c>
    </row>
    <row r="268" spans="1:6">
      <c r="A268" t="s">
        <v>1433</v>
      </c>
      <c r="B268" t="s">
        <v>2776</v>
      </c>
      <c r="D268" s="237">
        <v>1.3632</v>
      </c>
      <c r="E268"/>
      <c r="F268" s="238">
        <v>43010</v>
      </c>
    </row>
    <row r="269" spans="1:6">
      <c r="A269" t="s">
        <v>1988</v>
      </c>
      <c r="B269" t="s">
        <v>2779</v>
      </c>
      <c r="D269" s="237">
        <v>1.0947</v>
      </c>
      <c r="E269"/>
      <c r="F269" s="238">
        <v>43010</v>
      </c>
    </row>
    <row r="270" spans="1:6">
      <c r="A270" t="s">
        <v>1426</v>
      </c>
      <c r="B270" t="s">
        <v>2746</v>
      </c>
      <c r="D270">
        <v>0.94779999999999998</v>
      </c>
      <c r="E270" s="244"/>
      <c r="F270" s="238">
        <v>43009</v>
      </c>
    </row>
    <row r="271" spans="1:6">
      <c r="A271" t="s">
        <v>1425</v>
      </c>
      <c r="B271" t="s">
        <v>2867</v>
      </c>
      <c r="D271" s="245">
        <v>1.8379000000000001</v>
      </c>
      <c r="E271" t="s">
        <v>2856</v>
      </c>
      <c r="F271" s="238">
        <v>43333</v>
      </c>
    </row>
    <row r="272" spans="1:6">
      <c r="A272" t="s">
        <v>1421</v>
      </c>
      <c r="B272" t="s">
        <v>2872</v>
      </c>
      <c r="D272" s="245">
        <v>1.8411</v>
      </c>
      <c r="E272"/>
      <c r="F272" s="238">
        <v>43334</v>
      </c>
    </row>
    <row r="273" spans="1:6">
      <c r="A273" t="s">
        <v>1987</v>
      </c>
      <c r="B273" t="s">
        <v>2916</v>
      </c>
      <c r="D273" s="245">
        <v>1.8152999999999999</v>
      </c>
      <c r="E273"/>
      <c r="F273" s="238">
        <v>43337</v>
      </c>
    </row>
    <row r="274" spans="1:6">
      <c r="A274" t="s">
        <v>1420</v>
      </c>
      <c r="B274" t="s">
        <v>2721</v>
      </c>
      <c r="D274">
        <v>1.8631</v>
      </c>
      <c r="E274" s="244"/>
      <c r="F274" s="238">
        <v>43007</v>
      </c>
    </row>
    <row r="275" spans="1:6">
      <c r="A275" t="s">
        <v>1986</v>
      </c>
      <c r="B275" t="s">
        <v>2717</v>
      </c>
      <c r="D275">
        <v>0.83650000000000002</v>
      </c>
      <c r="E275" s="244"/>
      <c r="F275" s="238">
        <v>43008</v>
      </c>
    </row>
    <row r="276" spans="1:6">
      <c r="A276" t="s">
        <v>1404</v>
      </c>
      <c r="B276" t="s">
        <v>2857</v>
      </c>
      <c r="D276" s="245">
        <v>1.9007000000000001</v>
      </c>
      <c r="E276" t="s">
        <v>2111</v>
      </c>
      <c r="F276" s="238">
        <v>43333</v>
      </c>
    </row>
    <row r="277" spans="1:6">
      <c r="A277" t="s">
        <v>1985</v>
      </c>
      <c r="B277" t="s">
        <v>2782</v>
      </c>
      <c r="D277" s="237">
        <v>1.0561</v>
      </c>
      <c r="E277"/>
      <c r="F277" s="238">
        <v>43010</v>
      </c>
    </row>
    <row r="278" spans="1:6">
      <c r="A278" t="s">
        <v>1400</v>
      </c>
      <c r="B278" t="s">
        <v>2893</v>
      </c>
      <c r="D278" s="245">
        <v>0.86890000000000001</v>
      </c>
      <c r="E278"/>
      <c r="F278" s="238">
        <v>43334</v>
      </c>
    </row>
    <row r="279" spans="1:6">
      <c r="A279" t="s">
        <v>1391</v>
      </c>
      <c r="B279" t="s">
        <v>2870</v>
      </c>
      <c r="D279" s="245">
        <v>1.8913</v>
      </c>
      <c r="E279" t="s">
        <v>2115</v>
      </c>
      <c r="F279" s="238">
        <v>43334</v>
      </c>
    </row>
    <row r="280" spans="1:6">
      <c r="A280" t="s">
        <v>1984</v>
      </c>
      <c r="B280" t="s">
        <v>2860</v>
      </c>
      <c r="D280" s="245">
        <v>3.3298000000000001</v>
      </c>
      <c r="E280" t="s">
        <v>2862</v>
      </c>
      <c r="F280" s="238">
        <v>43333</v>
      </c>
    </row>
    <row r="281" spans="1:6">
      <c r="A281" t="s">
        <v>1387</v>
      </c>
      <c r="B281" t="s">
        <v>2736</v>
      </c>
      <c r="D281">
        <v>1.6718</v>
      </c>
      <c r="E281" s="244"/>
      <c r="F281" s="238">
        <v>43007</v>
      </c>
    </row>
    <row r="282" spans="1:6">
      <c r="A282" t="s">
        <v>1983</v>
      </c>
      <c r="B282" t="s">
        <v>2714</v>
      </c>
      <c r="D282">
        <v>0.77739999999999998</v>
      </c>
      <c r="E282" s="244"/>
      <c r="F282" s="238">
        <v>43008</v>
      </c>
    </row>
    <row r="283" spans="1:6">
      <c r="A283" t="s">
        <v>1379</v>
      </c>
      <c r="B283" t="s">
        <v>2708</v>
      </c>
      <c r="D283">
        <v>0.68540000000000001</v>
      </c>
      <c r="E283" s="244"/>
      <c r="F283" s="238">
        <v>43008</v>
      </c>
    </row>
    <row r="284" spans="1:6">
      <c r="A284" t="s">
        <v>1378</v>
      </c>
      <c r="B284" t="s">
        <v>2695</v>
      </c>
      <c r="D284">
        <v>0.75690000000000002</v>
      </c>
      <c r="E284" s="244"/>
      <c r="F284" s="237"/>
    </row>
    <row r="285" spans="1:6">
      <c r="A285" t="s">
        <v>1982</v>
      </c>
      <c r="B285">
        <v>212</v>
      </c>
      <c r="C285" t="s">
        <v>2490</v>
      </c>
      <c r="D285">
        <v>0.71</v>
      </c>
      <c r="E285" s="221" t="s">
        <v>2495</v>
      </c>
      <c r="F285" s="16">
        <v>43208</v>
      </c>
    </row>
    <row r="286" spans="1:6">
      <c r="A286" t="s">
        <v>2043</v>
      </c>
      <c r="B286" t="s">
        <v>2720</v>
      </c>
      <c r="D286">
        <v>0.82040000000000002</v>
      </c>
      <c r="E286" s="244"/>
      <c r="F286" s="238">
        <v>43009</v>
      </c>
    </row>
    <row r="287" spans="1:6">
      <c r="A287" t="s">
        <v>1345</v>
      </c>
      <c r="B287" t="s">
        <v>2924</v>
      </c>
      <c r="D287" s="245">
        <v>1.8152999999999999</v>
      </c>
      <c r="E287"/>
      <c r="F287" s="238">
        <v>43338</v>
      </c>
    </row>
    <row r="288" spans="1:6">
      <c r="A288" t="s">
        <v>1336</v>
      </c>
      <c r="B288" t="s">
        <v>2927</v>
      </c>
      <c r="D288" s="245">
        <v>1.8528</v>
      </c>
      <c r="E288"/>
      <c r="F288" s="238">
        <v>43338</v>
      </c>
    </row>
    <row r="289" spans="1:6">
      <c r="A289" t="s">
        <v>1333</v>
      </c>
      <c r="B289" t="s">
        <v>2906</v>
      </c>
      <c r="D289" s="245">
        <v>1.8165</v>
      </c>
      <c r="E289"/>
      <c r="F289" s="238">
        <v>43337</v>
      </c>
    </row>
    <row r="290" spans="1:6">
      <c r="A290" t="s">
        <v>1331</v>
      </c>
      <c r="B290" t="s">
        <v>2745</v>
      </c>
      <c r="D290">
        <v>0.80269999999999997</v>
      </c>
      <c r="E290" s="244"/>
      <c r="F290" s="238">
        <v>43009</v>
      </c>
    </row>
    <row r="291" spans="1:6">
      <c r="A291" t="s">
        <v>1978</v>
      </c>
      <c r="B291" t="s">
        <v>2784</v>
      </c>
      <c r="D291" s="237">
        <v>1.7161999999999999</v>
      </c>
      <c r="E291"/>
      <c r="F291" s="238">
        <v>43010</v>
      </c>
    </row>
    <row r="292" spans="1:6">
      <c r="A292" t="s">
        <v>1328</v>
      </c>
      <c r="B292" t="s">
        <v>2740</v>
      </c>
      <c r="D292">
        <v>0.86109999999999998</v>
      </c>
      <c r="E292" s="244"/>
      <c r="F292" s="238">
        <v>43009</v>
      </c>
    </row>
    <row r="293" spans="1:6">
      <c r="A293" t="s">
        <v>1315</v>
      </c>
      <c r="B293" t="s">
        <v>2859</v>
      </c>
      <c r="D293" s="245">
        <v>1.9036</v>
      </c>
      <c r="E293"/>
      <c r="F293" s="238">
        <v>43333</v>
      </c>
    </row>
    <row r="294" spans="1:6">
      <c r="A294" t="s">
        <v>1300</v>
      </c>
      <c r="B294" t="s">
        <v>2761</v>
      </c>
      <c r="D294">
        <v>1.3833</v>
      </c>
      <c r="E294" s="244"/>
      <c r="F294" s="238">
        <v>43007</v>
      </c>
    </row>
    <row r="295" spans="1:6">
      <c r="A295" t="s">
        <v>1293</v>
      </c>
      <c r="B295" t="s">
        <v>2900</v>
      </c>
      <c r="D295" s="245">
        <v>0.92230000000000001</v>
      </c>
      <c r="E295"/>
      <c r="F295" s="238">
        <v>43334</v>
      </c>
    </row>
    <row r="296" spans="1:6">
      <c r="A296" t="s">
        <v>1291</v>
      </c>
      <c r="B296" t="s">
        <v>2904</v>
      </c>
      <c r="D296" s="245">
        <v>1.8980999999999999</v>
      </c>
      <c r="E296"/>
      <c r="F296" s="238">
        <v>43337</v>
      </c>
    </row>
    <row r="297" spans="1:6">
      <c r="A297" t="s">
        <v>1974</v>
      </c>
      <c r="B297" t="s">
        <v>2768</v>
      </c>
      <c r="D297">
        <v>1.2876000000000001</v>
      </c>
      <c r="E297" s="244"/>
      <c r="F297" s="238">
        <v>43010</v>
      </c>
    </row>
    <row r="298" spans="1:6">
      <c r="A298" t="s">
        <v>1284</v>
      </c>
      <c r="B298" t="s">
        <v>2922</v>
      </c>
      <c r="D298" s="245">
        <v>1.8654999999999999</v>
      </c>
      <c r="E298"/>
      <c r="F298" s="238">
        <v>43338</v>
      </c>
    </row>
    <row r="299" spans="1:6">
      <c r="A299" t="s">
        <v>1283</v>
      </c>
      <c r="B299" t="s">
        <v>2228</v>
      </c>
      <c r="D299" s="245">
        <v>1.4665999999999999</v>
      </c>
      <c r="E299"/>
      <c r="F299" s="238">
        <v>43334</v>
      </c>
    </row>
    <row r="300" spans="1:6">
      <c r="A300" t="s">
        <v>1973</v>
      </c>
      <c r="B300" t="s">
        <v>2705</v>
      </c>
      <c r="D300">
        <v>0.94330000000000003</v>
      </c>
      <c r="E300" s="244"/>
      <c r="F300" s="238">
        <v>43008</v>
      </c>
    </row>
    <row r="301" spans="1:6">
      <c r="A301" t="s">
        <v>1279</v>
      </c>
      <c r="B301">
        <v>214</v>
      </c>
      <c r="C301" t="s">
        <v>2490</v>
      </c>
      <c r="D301">
        <v>0.65300000000000002</v>
      </c>
      <c r="E301" s="221" t="s">
        <v>2494</v>
      </c>
      <c r="F301" s="16">
        <v>43208</v>
      </c>
    </row>
    <row r="302" spans="1:6">
      <c r="A302" t="s">
        <v>1274</v>
      </c>
      <c r="B302" t="s">
        <v>2764</v>
      </c>
      <c r="D302">
        <v>1.8093999999999999</v>
      </c>
      <c r="E302" s="244"/>
      <c r="F302" s="238">
        <v>43007</v>
      </c>
    </row>
    <row r="303" spans="1:6">
      <c r="A303" t="s">
        <v>1972</v>
      </c>
      <c r="B303" t="s">
        <v>2710</v>
      </c>
      <c r="D303">
        <v>0.871</v>
      </c>
      <c r="E303" s="244"/>
      <c r="F303" s="238">
        <v>43009</v>
      </c>
    </row>
    <row r="304" spans="1:6">
      <c r="A304" t="s">
        <v>1270</v>
      </c>
      <c r="B304">
        <v>198</v>
      </c>
      <c r="C304" t="s">
        <v>2490</v>
      </c>
      <c r="D304">
        <v>0.69899999999999995</v>
      </c>
      <c r="E304" s="221" t="s">
        <v>2448</v>
      </c>
      <c r="F304" s="16">
        <v>43208</v>
      </c>
    </row>
    <row r="305" spans="1:6">
      <c r="A305" t="s">
        <v>1971</v>
      </c>
      <c r="B305" t="s">
        <v>2729</v>
      </c>
      <c r="D305">
        <v>1.8559000000000001</v>
      </c>
      <c r="E305" s="244"/>
      <c r="F305" s="238">
        <v>43007</v>
      </c>
    </row>
    <row r="306" spans="1:6">
      <c r="A306" t="s">
        <v>1258</v>
      </c>
      <c r="B306" t="s">
        <v>2742</v>
      </c>
      <c r="D306">
        <v>0.87409999999999999</v>
      </c>
      <c r="E306" s="244"/>
      <c r="F306" s="238">
        <v>43008</v>
      </c>
    </row>
    <row r="307" spans="1:6">
      <c r="A307" t="s">
        <v>2042</v>
      </c>
      <c r="B307" t="s">
        <v>2761</v>
      </c>
      <c r="D307">
        <v>1.4722999999999999</v>
      </c>
      <c r="E307" s="244"/>
      <c r="F307" s="238">
        <v>43007</v>
      </c>
    </row>
    <row r="308" spans="1:6">
      <c r="A308" t="s">
        <v>1970</v>
      </c>
      <c r="B308" t="s">
        <v>2708</v>
      </c>
      <c r="D308">
        <v>0.72970000000000002</v>
      </c>
      <c r="E308" s="244"/>
      <c r="F308" s="238">
        <v>43008</v>
      </c>
    </row>
    <row r="309" spans="1:6">
      <c r="A309" t="s">
        <v>1227</v>
      </c>
      <c r="B309" t="s">
        <v>2863</v>
      </c>
      <c r="D309" s="245">
        <v>1.8245</v>
      </c>
      <c r="E309" t="s">
        <v>2121</v>
      </c>
      <c r="F309" s="238">
        <v>43333</v>
      </c>
    </row>
    <row r="310" spans="1:6">
      <c r="A310" t="s">
        <v>1967</v>
      </c>
      <c r="B310" t="s">
        <v>2794</v>
      </c>
      <c r="D310" s="237">
        <v>0.81779999999999997</v>
      </c>
      <c r="E310"/>
      <c r="F310" s="238">
        <v>43008</v>
      </c>
    </row>
    <row r="311" spans="1:6">
      <c r="A311" t="s">
        <v>1966</v>
      </c>
      <c r="B311" t="s">
        <v>2923</v>
      </c>
      <c r="D311" s="245">
        <v>1.9314</v>
      </c>
      <c r="E311" t="s">
        <v>2111</v>
      </c>
      <c r="F311" s="238">
        <v>43338</v>
      </c>
    </row>
    <row r="312" spans="1:6">
      <c r="A312" t="s">
        <v>1206</v>
      </c>
      <c r="B312" t="s">
        <v>2928</v>
      </c>
      <c r="D312" s="245">
        <v>1.7751999999999999</v>
      </c>
      <c r="E312"/>
      <c r="F312" s="238">
        <v>43338</v>
      </c>
    </row>
    <row r="313" spans="1:6">
      <c r="A313" t="s">
        <v>1202</v>
      </c>
      <c r="B313" t="s">
        <v>2849</v>
      </c>
      <c r="D313" s="245">
        <v>1.8361000000000001</v>
      </c>
      <c r="E313"/>
      <c r="F313" s="238">
        <v>43333</v>
      </c>
    </row>
    <row r="314" spans="1:6">
      <c r="A314" t="s">
        <v>1965</v>
      </c>
      <c r="B314" t="s">
        <v>2700</v>
      </c>
      <c r="D314">
        <v>0.84360000000000002</v>
      </c>
      <c r="E314" s="244"/>
      <c r="F314" s="238">
        <v>43009</v>
      </c>
    </row>
    <row r="315" spans="1:6">
      <c r="A315" t="s">
        <v>1199</v>
      </c>
      <c r="B315" t="s">
        <v>2877</v>
      </c>
      <c r="D315" s="245">
        <v>1.8367</v>
      </c>
      <c r="E315"/>
      <c r="F315" s="238">
        <v>43334</v>
      </c>
    </row>
    <row r="316" spans="1:6">
      <c r="A316" t="s">
        <v>1196</v>
      </c>
      <c r="B316" t="s">
        <v>2903</v>
      </c>
      <c r="D316" s="245">
        <v>1.8062</v>
      </c>
      <c r="E316" t="s">
        <v>2115</v>
      </c>
      <c r="F316" s="238">
        <v>43337</v>
      </c>
    </row>
    <row r="317" spans="1:6">
      <c r="A317" t="s">
        <v>1195</v>
      </c>
      <c r="B317" t="s">
        <v>2926</v>
      </c>
      <c r="D317" s="245">
        <v>1.7664</v>
      </c>
      <c r="E317"/>
      <c r="F317" s="238">
        <v>43338</v>
      </c>
    </row>
    <row r="318" spans="1:6">
      <c r="A318" t="s">
        <v>1964</v>
      </c>
      <c r="B318" t="s">
        <v>2864</v>
      </c>
      <c r="D318" s="245">
        <v>1.8914</v>
      </c>
      <c r="E318" t="s">
        <v>2865</v>
      </c>
      <c r="F318" s="238">
        <v>43333</v>
      </c>
    </row>
    <row r="319" spans="1:6">
      <c r="A319" t="s">
        <v>1188</v>
      </c>
      <c r="B319" t="s">
        <v>2905</v>
      </c>
      <c r="D319" s="245">
        <v>1.8160000000000001</v>
      </c>
      <c r="E319"/>
      <c r="F319" s="238">
        <v>43337</v>
      </c>
    </row>
    <row r="320" spans="1:6">
      <c r="A320" t="s">
        <v>1184</v>
      </c>
      <c r="B320" t="s">
        <v>2925</v>
      </c>
      <c r="D320" s="245">
        <v>1.8541000000000001</v>
      </c>
      <c r="E320"/>
      <c r="F320" s="238">
        <v>43338</v>
      </c>
    </row>
    <row r="321" spans="1:6">
      <c r="A321" t="s">
        <v>1182</v>
      </c>
      <c r="B321" t="s">
        <v>2712</v>
      </c>
      <c r="D321">
        <v>0.71699999999999997</v>
      </c>
      <c r="E321" s="244"/>
      <c r="F321" s="238">
        <v>43008</v>
      </c>
    </row>
    <row r="322" spans="1:6">
      <c r="A322" t="s">
        <v>1180</v>
      </c>
      <c r="B322" t="s">
        <v>2760</v>
      </c>
      <c r="D322">
        <v>0.75219999999999998</v>
      </c>
      <c r="E322" s="244"/>
      <c r="F322" s="238">
        <v>43009</v>
      </c>
    </row>
    <row r="323" spans="1:6">
      <c r="A323" t="s">
        <v>1178</v>
      </c>
      <c r="B323" t="s">
        <v>2908</v>
      </c>
      <c r="D323" s="245">
        <v>1.8389</v>
      </c>
      <c r="E323"/>
      <c r="F323" s="238">
        <v>43337</v>
      </c>
    </row>
    <row r="324" spans="1:6">
      <c r="A324" t="s">
        <v>1177</v>
      </c>
      <c r="B324" t="s">
        <v>2891</v>
      </c>
      <c r="D324" s="245">
        <v>0.68469999999999998</v>
      </c>
      <c r="E324"/>
      <c r="F324" s="238">
        <v>43334</v>
      </c>
    </row>
    <row r="325" spans="1:6">
      <c r="A325" t="s">
        <v>1176</v>
      </c>
      <c r="B325" t="s">
        <v>2762</v>
      </c>
      <c r="D325">
        <v>1.361</v>
      </c>
      <c r="E325" s="244"/>
      <c r="F325" s="238">
        <v>43007</v>
      </c>
    </row>
    <row r="326" spans="1:6">
      <c r="A326" t="s">
        <v>1171</v>
      </c>
      <c r="B326" t="s">
        <v>2911</v>
      </c>
      <c r="D326" s="245">
        <v>1.8814</v>
      </c>
      <c r="E326" t="s">
        <v>2115</v>
      </c>
      <c r="F326" s="238">
        <v>43337</v>
      </c>
    </row>
    <row r="327" spans="1:6">
      <c r="A327" t="s">
        <v>1962</v>
      </c>
      <c r="B327" t="s">
        <v>2857</v>
      </c>
      <c r="D327" s="245">
        <v>1.9495</v>
      </c>
      <c r="E327" t="s">
        <v>2858</v>
      </c>
      <c r="F327" s="238">
        <v>43333</v>
      </c>
    </row>
    <row r="328" spans="1:6">
      <c r="A328" t="s">
        <v>1960</v>
      </c>
      <c r="B328">
        <v>194</v>
      </c>
      <c r="C328" t="s">
        <v>2490</v>
      </c>
      <c r="D328">
        <v>0.74199999999999999</v>
      </c>
      <c r="E328" s="221" t="s">
        <v>2491</v>
      </c>
      <c r="F328" s="16">
        <v>43208</v>
      </c>
    </row>
    <row r="329" spans="1:6">
      <c r="A329" t="s">
        <v>1959</v>
      </c>
      <c r="B329" t="s">
        <v>2869</v>
      </c>
      <c r="D329" s="245">
        <v>1.8609</v>
      </c>
      <c r="E329"/>
      <c r="F329" s="238">
        <v>43334</v>
      </c>
    </row>
    <row r="330" spans="1:6">
      <c r="A330" t="s">
        <v>1958</v>
      </c>
      <c r="B330" t="s">
        <v>2689</v>
      </c>
      <c r="D330">
        <v>0.73619999999999997</v>
      </c>
      <c r="E330" s="244"/>
      <c r="F330" s="237"/>
    </row>
    <row r="331" spans="1:6">
      <c r="A331" t="s">
        <v>1957</v>
      </c>
      <c r="B331">
        <v>210</v>
      </c>
      <c r="C331" t="s">
        <v>2490</v>
      </c>
      <c r="D331">
        <v>0.80600000000000005</v>
      </c>
      <c r="E331" s="221" t="s">
        <v>2448</v>
      </c>
      <c r="F331" s="16">
        <v>43208</v>
      </c>
    </row>
    <row r="332" spans="1:6">
      <c r="A332" t="s">
        <v>1956</v>
      </c>
      <c r="B332" t="s">
        <v>2689</v>
      </c>
      <c r="D332">
        <v>0.76</v>
      </c>
      <c r="E332" s="244" t="s">
        <v>2132</v>
      </c>
      <c r="F332" s="237"/>
    </row>
    <row r="333" spans="1:6">
      <c r="A333" t="s">
        <v>1955</v>
      </c>
      <c r="B333">
        <v>216</v>
      </c>
      <c r="C333" t="s">
        <v>2490</v>
      </c>
      <c r="D333">
        <v>0.80600000000000005</v>
      </c>
      <c r="E333" s="221" t="s">
        <v>2448</v>
      </c>
      <c r="F333" s="16">
        <v>43208</v>
      </c>
    </row>
    <row r="334" spans="1:6">
      <c r="A334" t="s">
        <v>1954</v>
      </c>
      <c r="B334" t="s">
        <v>2886</v>
      </c>
      <c r="D334" s="245">
        <v>0.77790000000000004</v>
      </c>
      <c r="E334"/>
      <c r="F334" s="238">
        <v>43334</v>
      </c>
    </row>
    <row r="335" spans="1:6">
      <c r="A335" t="s">
        <v>1953</v>
      </c>
      <c r="B335" t="s">
        <v>2919</v>
      </c>
      <c r="D335" s="245">
        <v>1.7647999999999999</v>
      </c>
      <c r="E335" t="s">
        <v>2920</v>
      </c>
      <c r="F335" s="238">
        <v>43338</v>
      </c>
    </row>
    <row r="336" spans="1:6">
      <c r="A336" t="s">
        <v>1951</v>
      </c>
      <c r="B336" t="s">
        <v>2908</v>
      </c>
      <c r="D336" s="245">
        <v>1.9186000000000001</v>
      </c>
      <c r="E336" t="s">
        <v>2909</v>
      </c>
      <c r="F336" s="238">
        <v>43337</v>
      </c>
    </row>
    <row r="337" spans="1:6">
      <c r="A337" t="s">
        <v>1035</v>
      </c>
      <c r="B337" t="s">
        <v>2908</v>
      </c>
      <c r="D337" s="245">
        <v>2.0352999999999999</v>
      </c>
      <c r="E337"/>
      <c r="F337" s="238">
        <v>43337</v>
      </c>
    </row>
    <row r="338" spans="1:6">
      <c r="A338" t="s">
        <v>1033</v>
      </c>
      <c r="B338" t="s">
        <v>2906</v>
      </c>
      <c r="D338" s="245">
        <v>1.9638</v>
      </c>
      <c r="E338"/>
      <c r="F338" s="238">
        <v>43337</v>
      </c>
    </row>
    <row r="339" spans="1:6">
      <c r="A339" t="s">
        <v>1025</v>
      </c>
      <c r="B339" t="s">
        <v>2760</v>
      </c>
      <c r="D339">
        <v>2.0322</v>
      </c>
      <c r="E339" s="244"/>
      <c r="F339" s="238">
        <v>43009</v>
      </c>
    </row>
    <row r="340" spans="1:6">
      <c r="A340" t="s">
        <v>1023</v>
      </c>
      <c r="B340" t="s">
        <v>2782</v>
      </c>
      <c r="D340" s="237">
        <v>0.79290000000000005</v>
      </c>
      <c r="E340"/>
      <c r="F340" s="238">
        <v>43010</v>
      </c>
    </row>
    <row r="341" spans="1:6">
      <c r="A341" t="s">
        <v>1014</v>
      </c>
      <c r="B341" t="s">
        <v>2700</v>
      </c>
      <c r="D341">
        <v>1.7946</v>
      </c>
      <c r="E341" s="244"/>
      <c r="F341" s="238">
        <v>43009</v>
      </c>
    </row>
    <row r="342" spans="1:6">
      <c r="A342" t="s">
        <v>1128</v>
      </c>
      <c r="B342" t="s">
        <v>2888</v>
      </c>
      <c r="D342" s="245">
        <v>0.68400000000000005</v>
      </c>
      <c r="E342" t="s">
        <v>2889</v>
      </c>
      <c r="F342" s="238">
        <v>43334</v>
      </c>
    </row>
    <row r="343" spans="1:6">
      <c r="A343" t="s">
        <v>1010</v>
      </c>
      <c r="B343">
        <v>197</v>
      </c>
      <c r="C343" t="s">
        <v>2490</v>
      </c>
      <c r="D343">
        <v>1.577</v>
      </c>
      <c r="E343" s="221" t="s">
        <v>2447</v>
      </c>
      <c r="F343" s="16">
        <v>43208</v>
      </c>
    </row>
    <row r="344" spans="1:6">
      <c r="A344" t="s">
        <v>1001</v>
      </c>
      <c r="B344" t="s">
        <v>2904</v>
      </c>
      <c r="D344" s="245">
        <v>1.9561999999999999</v>
      </c>
      <c r="E344"/>
      <c r="F344" s="238">
        <v>43337</v>
      </c>
    </row>
    <row r="345" spans="1:6">
      <c r="A345" t="s">
        <v>979</v>
      </c>
      <c r="B345" t="s">
        <v>2738</v>
      </c>
      <c r="D345">
        <v>1.964</v>
      </c>
      <c r="E345" s="244"/>
      <c r="F345" s="238">
        <v>43007</v>
      </c>
    </row>
    <row r="346" spans="1:6">
      <c r="A346" t="s">
        <v>978</v>
      </c>
      <c r="B346" t="s">
        <v>2729</v>
      </c>
      <c r="D346">
        <v>1.9955000000000001</v>
      </c>
      <c r="E346" s="244"/>
      <c r="F346" s="238">
        <v>43007</v>
      </c>
    </row>
    <row r="347" spans="1:6">
      <c r="A347" t="s">
        <v>971</v>
      </c>
      <c r="B347" t="s">
        <v>2760</v>
      </c>
      <c r="D347">
        <v>1.7410000000000001</v>
      </c>
      <c r="E347" s="244"/>
      <c r="F347" s="238">
        <v>43009</v>
      </c>
    </row>
    <row r="348" spans="1:6">
      <c r="A348" t="s">
        <v>968</v>
      </c>
      <c r="B348" t="s">
        <v>2794</v>
      </c>
      <c r="D348" s="237">
        <v>1.5261</v>
      </c>
      <c r="E348" t="s">
        <v>2747</v>
      </c>
      <c r="F348" s="238">
        <v>43008</v>
      </c>
    </row>
    <row r="349" spans="1:6">
      <c r="A349" t="s">
        <v>967</v>
      </c>
      <c r="B349" t="s">
        <v>2922</v>
      </c>
      <c r="D349" s="245">
        <v>1.9946999999999999</v>
      </c>
      <c r="E349"/>
      <c r="F349" s="238">
        <v>43338</v>
      </c>
    </row>
    <row r="350" spans="1:6">
      <c r="A350" t="s">
        <v>966</v>
      </c>
      <c r="B350" t="s">
        <v>2745</v>
      </c>
      <c r="D350">
        <v>1.8721000000000001</v>
      </c>
      <c r="E350" s="244"/>
      <c r="F350" s="238">
        <v>43009</v>
      </c>
    </row>
    <row r="351" spans="1:6">
      <c r="A351" t="s">
        <v>963</v>
      </c>
      <c r="B351" t="s">
        <v>2694</v>
      </c>
      <c r="D351">
        <v>1.8229</v>
      </c>
      <c r="E351" s="244"/>
      <c r="F351" s="237"/>
    </row>
    <row r="352" spans="1:6">
      <c r="A352" t="s">
        <v>962</v>
      </c>
      <c r="B352" t="s">
        <v>2743</v>
      </c>
      <c r="D352">
        <v>1.7174</v>
      </c>
      <c r="E352" s="244"/>
      <c r="F352" s="238">
        <v>43009</v>
      </c>
    </row>
    <row r="353" spans="1:6">
      <c r="A353" t="s">
        <v>1123</v>
      </c>
      <c r="B353" t="s">
        <v>2756</v>
      </c>
      <c r="E353" s="244" t="s">
        <v>2749</v>
      </c>
      <c r="F353" s="238">
        <v>43009</v>
      </c>
    </row>
    <row r="354" spans="1:6">
      <c r="A354" t="s">
        <v>961</v>
      </c>
      <c r="B354" t="s">
        <v>2900</v>
      </c>
      <c r="D354" s="245">
        <v>1.595</v>
      </c>
      <c r="E354"/>
      <c r="F354" s="238">
        <v>43334</v>
      </c>
    </row>
    <row r="355" spans="1:6">
      <c r="A355" t="s">
        <v>957</v>
      </c>
      <c r="B355" t="s">
        <v>2714</v>
      </c>
      <c r="D355">
        <v>1.7850999999999999</v>
      </c>
      <c r="E355" s="244"/>
      <c r="F355" s="238">
        <v>43008</v>
      </c>
    </row>
    <row r="356" spans="1:6">
      <c r="A356" t="s">
        <v>953</v>
      </c>
      <c r="B356" t="s">
        <v>2707</v>
      </c>
      <c r="D356">
        <v>1.7876000000000001</v>
      </c>
      <c r="E356" s="244"/>
      <c r="F356" s="238">
        <v>43008</v>
      </c>
    </row>
    <row r="357" spans="1:6">
      <c r="A357" t="s">
        <v>950</v>
      </c>
      <c r="B357" t="s">
        <v>2927</v>
      </c>
      <c r="D357" s="245">
        <v>1.9675</v>
      </c>
      <c r="E357"/>
      <c r="F357" s="238">
        <v>43338</v>
      </c>
    </row>
    <row r="358" spans="1:6">
      <c r="A358" t="s">
        <v>949</v>
      </c>
      <c r="B358" t="s">
        <v>2864</v>
      </c>
      <c r="D358" s="245">
        <v>1.9886999999999999</v>
      </c>
      <c r="E358"/>
      <c r="F358" s="238">
        <v>43333</v>
      </c>
    </row>
    <row r="359" spans="1:6">
      <c r="A359" t="s">
        <v>948</v>
      </c>
      <c r="B359" t="s">
        <v>2717</v>
      </c>
      <c r="D359">
        <v>1.7978000000000001</v>
      </c>
      <c r="E359" s="244"/>
      <c r="F359" s="238">
        <v>43008</v>
      </c>
    </row>
    <row r="360" spans="1:6">
      <c r="A360" t="s">
        <v>946</v>
      </c>
      <c r="B360" t="s">
        <v>2701</v>
      </c>
      <c r="D360">
        <v>1.6592</v>
      </c>
      <c r="E360" s="244"/>
      <c r="F360" s="238">
        <v>43008</v>
      </c>
    </row>
    <row r="361" spans="1:6">
      <c r="A361" t="s">
        <v>944</v>
      </c>
      <c r="B361" t="s">
        <v>2914</v>
      </c>
      <c r="D361" s="245">
        <v>1.9945999999999999</v>
      </c>
      <c r="E361" t="s">
        <v>2115</v>
      </c>
      <c r="F361" s="238">
        <v>43337</v>
      </c>
    </row>
    <row r="362" spans="1:6">
      <c r="A362" t="s">
        <v>943</v>
      </c>
      <c r="B362" t="s">
        <v>2701</v>
      </c>
      <c r="D362">
        <v>1.7765</v>
      </c>
      <c r="E362" s="244"/>
      <c r="F362" s="238">
        <v>43008</v>
      </c>
    </row>
    <row r="363" spans="1:6">
      <c r="A363" t="s">
        <v>940</v>
      </c>
      <c r="B363" t="s">
        <v>2916</v>
      </c>
      <c r="D363" s="245">
        <v>2.0015000000000001</v>
      </c>
      <c r="E363"/>
      <c r="F363" s="238">
        <v>43337</v>
      </c>
    </row>
    <row r="364" spans="1:6">
      <c r="A364" t="s">
        <v>938</v>
      </c>
      <c r="B364" t="s">
        <v>2929</v>
      </c>
      <c r="D364" s="245">
        <v>2.0466000000000002</v>
      </c>
      <c r="E364"/>
      <c r="F364" s="238">
        <v>43338</v>
      </c>
    </row>
    <row r="365" spans="1:6">
      <c r="A365" t="s">
        <v>937</v>
      </c>
      <c r="B365" t="s">
        <v>2734</v>
      </c>
      <c r="D365">
        <v>1.8874</v>
      </c>
      <c r="E365" s="244"/>
      <c r="F365" s="238">
        <v>43007</v>
      </c>
    </row>
    <row r="366" spans="1:6">
      <c r="A366" t="s">
        <v>936</v>
      </c>
      <c r="B366" t="s">
        <v>2687</v>
      </c>
      <c r="D366">
        <v>1.6595</v>
      </c>
      <c r="E366" s="244"/>
      <c r="F366" s="237"/>
    </row>
    <row r="367" spans="1:6">
      <c r="A367" t="s">
        <v>935</v>
      </c>
      <c r="B367" t="s">
        <v>2779</v>
      </c>
      <c r="D367" s="237">
        <v>1.9655</v>
      </c>
      <c r="E367"/>
      <c r="F367" s="238">
        <v>43010</v>
      </c>
    </row>
    <row r="368" spans="1:6">
      <c r="A368" t="s">
        <v>934</v>
      </c>
      <c r="B368" t="s">
        <v>2708</v>
      </c>
      <c r="D368">
        <v>1.6962999999999999</v>
      </c>
      <c r="E368" s="244"/>
      <c r="F368" s="238">
        <v>43008</v>
      </c>
    </row>
    <row r="369" spans="1:6">
      <c r="A369" t="s">
        <v>933</v>
      </c>
      <c r="B369" t="s">
        <v>2746</v>
      </c>
      <c r="D369">
        <v>1.8463000000000001</v>
      </c>
      <c r="E369" s="244"/>
      <c r="F369" s="238">
        <v>43009</v>
      </c>
    </row>
    <row r="370" spans="1:6">
      <c r="A370" t="s">
        <v>931</v>
      </c>
      <c r="B370" t="s">
        <v>2764</v>
      </c>
      <c r="D370">
        <v>2.0261</v>
      </c>
      <c r="E370" s="244"/>
      <c r="F370" s="238">
        <v>43007</v>
      </c>
    </row>
    <row r="371" spans="1:6">
      <c r="A371" t="s">
        <v>930</v>
      </c>
      <c r="B371" t="s">
        <v>2720</v>
      </c>
      <c r="D371">
        <v>1.7732000000000001</v>
      </c>
      <c r="E371" s="244"/>
      <c r="F371" s="238">
        <v>43009</v>
      </c>
    </row>
    <row r="372" spans="1:6">
      <c r="A372" t="s">
        <v>929</v>
      </c>
      <c r="B372" t="s">
        <v>2790</v>
      </c>
      <c r="D372" s="237">
        <v>1.9135</v>
      </c>
      <c r="E372"/>
      <c r="F372" s="238">
        <v>43010</v>
      </c>
    </row>
    <row r="373" spans="1:6">
      <c r="A373" t="s">
        <v>928</v>
      </c>
      <c r="B373" t="s">
        <v>2765</v>
      </c>
      <c r="D373">
        <v>1.7698</v>
      </c>
      <c r="E373" s="244"/>
      <c r="F373" s="238">
        <v>43007</v>
      </c>
    </row>
    <row r="374" spans="1:6">
      <c r="A374" t="s">
        <v>927</v>
      </c>
      <c r="B374" t="s">
        <v>2714</v>
      </c>
      <c r="D374">
        <v>1.7265999999999999</v>
      </c>
      <c r="E374" s="244"/>
      <c r="F374" s="238">
        <v>43008</v>
      </c>
    </row>
    <row r="375" spans="1:6">
      <c r="A375" t="s">
        <v>920</v>
      </c>
      <c r="B375" t="s">
        <v>2918</v>
      </c>
      <c r="D375" s="245">
        <v>1.8791</v>
      </c>
      <c r="E375" t="s">
        <v>2115</v>
      </c>
      <c r="F375" s="238">
        <v>43337</v>
      </c>
    </row>
    <row r="376" spans="1:6">
      <c r="A376" t="s">
        <v>918</v>
      </c>
      <c r="B376" t="s">
        <v>2705</v>
      </c>
      <c r="D376">
        <v>1.7884</v>
      </c>
      <c r="E376" s="244"/>
      <c r="F376" s="238">
        <v>43008</v>
      </c>
    </row>
    <row r="377" spans="1:6">
      <c r="A377" t="s">
        <v>917</v>
      </c>
      <c r="B377" t="s">
        <v>2685</v>
      </c>
      <c r="D377">
        <v>1.8384</v>
      </c>
      <c r="E377" s="244"/>
      <c r="F377" s="238"/>
    </row>
    <row r="378" spans="1:6">
      <c r="A378" t="s">
        <v>916</v>
      </c>
      <c r="B378" t="s">
        <v>2739</v>
      </c>
      <c r="D378">
        <v>1.9572000000000001</v>
      </c>
      <c r="E378" s="244"/>
      <c r="F378" s="238">
        <v>43007</v>
      </c>
    </row>
    <row r="379" spans="1:6">
      <c r="A379" t="s">
        <v>914</v>
      </c>
      <c r="B379" t="s">
        <v>2876</v>
      </c>
      <c r="D379" s="245">
        <v>2.0263</v>
      </c>
      <c r="E379"/>
      <c r="F379" s="238">
        <v>43334</v>
      </c>
    </row>
    <row r="380" spans="1:6">
      <c r="A380" t="s">
        <v>912</v>
      </c>
      <c r="B380" t="s">
        <v>2886</v>
      </c>
      <c r="D380" s="245">
        <v>1.5876999999999999</v>
      </c>
      <c r="E380" t="s">
        <v>2121</v>
      </c>
      <c r="F380" s="238">
        <v>43334</v>
      </c>
    </row>
    <row r="381" spans="1:6">
      <c r="A381" t="s">
        <v>911</v>
      </c>
      <c r="B381" t="s">
        <v>2722</v>
      </c>
      <c r="D381">
        <v>2.0360999999999998</v>
      </c>
      <c r="E381" s="244"/>
      <c r="F381" s="238">
        <v>43007</v>
      </c>
    </row>
    <row r="382" spans="1:6">
      <c r="A382" t="s">
        <v>910</v>
      </c>
      <c r="B382" t="s">
        <v>2907</v>
      </c>
      <c r="D382" s="245">
        <v>1.8747</v>
      </c>
      <c r="E382"/>
      <c r="F382" s="238">
        <v>43337</v>
      </c>
    </row>
    <row r="383" spans="1:6">
      <c r="A383" t="s">
        <v>908</v>
      </c>
      <c r="B383" t="s">
        <v>2928</v>
      </c>
      <c r="D383" s="245">
        <v>1.9479</v>
      </c>
      <c r="E383"/>
      <c r="F383" s="238">
        <v>43338</v>
      </c>
    </row>
    <row r="384" spans="1:6">
      <c r="A384" t="s">
        <v>905</v>
      </c>
      <c r="B384" t="s">
        <v>2693</v>
      </c>
      <c r="D384">
        <v>1.62</v>
      </c>
      <c r="E384" s="244"/>
      <c r="F384" s="237"/>
    </row>
    <row r="385" spans="1:6">
      <c r="A385" t="s">
        <v>904</v>
      </c>
      <c r="B385" t="s">
        <v>2923</v>
      </c>
      <c r="D385" s="245">
        <v>1.9715</v>
      </c>
      <c r="E385"/>
      <c r="F385" s="238">
        <v>43338</v>
      </c>
    </row>
    <row r="386" spans="1:6">
      <c r="A386" t="s">
        <v>903</v>
      </c>
      <c r="B386" t="s">
        <v>2772</v>
      </c>
      <c r="D386">
        <v>1.7898000000000001</v>
      </c>
      <c r="E386" s="244"/>
      <c r="F386" s="238">
        <v>43010</v>
      </c>
    </row>
    <row r="387" spans="1:6">
      <c r="A387" t="s">
        <v>902</v>
      </c>
      <c r="B387" t="s">
        <v>2684</v>
      </c>
      <c r="D387">
        <v>1.8743000000000001</v>
      </c>
      <c r="E387" s="244"/>
      <c r="F387" s="238">
        <v>43008</v>
      </c>
    </row>
    <row r="388" spans="1:6">
      <c r="A388" t="s">
        <v>901</v>
      </c>
      <c r="B388" t="s">
        <v>2696</v>
      </c>
      <c r="D388">
        <v>1.7597</v>
      </c>
      <c r="E388" s="244"/>
      <c r="F388" s="238">
        <v>43009</v>
      </c>
    </row>
    <row r="389" spans="1:6">
      <c r="A389" t="s">
        <v>899</v>
      </c>
      <c r="B389" t="s">
        <v>2878</v>
      </c>
      <c r="D389" s="245">
        <v>1.9262999999999999</v>
      </c>
      <c r="E389"/>
      <c r="F389" s="238">
        <v>43334</v>
      </c>
    </row>
    <row r="390" spans="1:6">
      <c r="A390" t="s">
        <v>898</v>
      </c>
      <c r="B390" t="s">
        <v>2770</v>
      </c>
      <c r="D390">
        <v>1.9182999999999999</v>
      </c>
      <c r="E390" s="244"/>
      <c r="F390" s="238">
        <v>43010</v>
      </c>
    </row>
    <row r="391" spans="1:6">
      <c r="A391" t="s">
        <v>896</v>
      </c>
      <c r="B391" t="s">
        <v>2769</v>
      </c>
      <c r="D391">
        <v>1.8418000000000001</v>
      </c>
      <c r="E391" s="244"/>
      <c r="F391" s="238">
        <v>43010</v>
      </c>
    </row>
    <row r="392" spans="1:6">
      <c r="A392" t="s">
        <v>895</v>
      </c>
      <c r="B392" t="s">
        <v>2694</v>
      </c>
      <c r="D392">
        <v>1.639</v>
      </c>
      <c r="E392" s="244"/>
      <c r="F392" s="237"/>
    </row>
    <row r="393" spans="1:6">
      <c r="A393" t="s">
        <v>894</v>
      </c>
      <c r="B393" t="s">
        <v>2893</v>
      </c>
      <c r="D393" s="245">
        <v>1.7551000000000001</v>
      </c>
      <c r="E393"/>
      <c r="F393" s="238">
        <v>43334</v>
      </c>
    </row>
    <row r="394" spans="1:6">
      <c r="A394" t="s">
        <v>892</v>
      </c>
      <c r="B394">
        <v>211</v>
      </c>
      <c r="C394" t="s">
        <v>2490</v>
      </c>
      <c r="D394">
        <v>1.1160000000000001</v>
      </c>
      <c r="E394" s="221" t="s">
        <v>2493</v>
      </c>
      <c r="F394" s="16">
        <v>43208</v>
      </c>
    </row>
    <row r="395" spans="1:6">
      <c r="A395" t="s">
        <v>887</v>
      </c>
      <c r="B395" t="s">
        <v>2695</v>
      </c>
      <c r="D395">
        <v>1.8010999999999999</v>
      </c>
      <c r="E395" s="244"/>
      <c r="F395" s="237"/>
    </row>
    <row r="396" spans="1:6">
      <c r="A396" t="s">
        <v>885</v>
      </c>
      <c r="B396" t="s">
        <v>2678</v>
      </c>
      <c r="D396">
        <v>1.5882000000000001</v>
      </c>
      <c r="E396" s="244"/>
      <c r="F396" s="237"/>
    </row>
    <row r="397" spans="1:6">
      <c r="A397" t="s">
        <v>884</v>
      </c>
      <c r="B397" t="s">
        <v>2854</v>
      </c>
      <c r="D397" s="245">
        <v>1.956</v>
      </c>
      <c r="E397" t="s">
        <v>2115</v>
      </c>
      <c r="F397" s="238">
        <v>43333</v>
      </c>
    </row>
    <row r="398" spans="1:6">
      <c r="A398" t="s">
        <v>881</v>
      </c>
      <c r="B398" t="s">
        <v>2867</v>
      </c>
      <c r="D398" s="245">
        <v>1.8734</v>
      </c>
      <c r="E398"/>
      <c r="F398" s="238">
        <v>43333</v>
      </c>
    </row>
    <row r="399" spans="1:6">
      <c r="A399" t="s">
        <v>880</v>
      </c>
      <c r="B399" t="s">
        <v>2883</v>
      </c>
      <c r="D399" s="245">
        <v>1.9642999999999999</v>
      </c>
      <c r="E399" t="s">
        <v>2115</v>
      </c>
      <c r="F399" s="238">
        <v>43334</v>
      </c>
    </row>
    <row r="400" spans="1:6">
      <c r="A400" t="s">
        <v>874</v>
      </c>
      <c r="B400" t="s">
        <v>2740</v>
      </c>
      <c r="D400">
        <v>1.7754000000000001</v>
      </c>
      <c r="E400" s="244"/>
      <c r="F400" s="238">
        <v>43009</v>
      </c>
    </row>
    <row r="401" spans="1:6">
      <c r="A401" t="s">
        <v>872</v>
      </c>
      <c r="B401" t="s">
        <v>2759</v>
      </c>
      <c r="D401">
        <v>1.8042</v>
      </c>
      <c r="E401" s="244"/>
      <c r="F401" s="238">
        <v>43009</v>
      </c>
    </row>
    <row r="402" spans="1:6">
      <c r="A402" t="s">
        <v>871</v>
      </c>
      <c r="B402" t="s">
        <v>2874</v>
      </c>
      <c r="D402" s="245">
        <v>1.9970000000000001</v>
      </c>
      <c r="E402"/>
      <c r="F402" s="238">
        <v>43334</v>
      </c>
    </row>
    <row r="403" spans="1:6">
      <c r="A403" t="s">
        <v>869</v>
      </c>
      <c r="B403" t="s">
        <v>2793</v>
      </c>
      <c r="D403" s="237">
        <v>1.6163000000000001</v>
      </c>
      <c r="E403"/>
      <c r="F403" s="238">
        <v>43008</v>
      </c>
    </row>
    <row r="404" spans="1:6">
      <c r="A404" t="s">
        <v>866</v>
      </c>
      <c r="B404" t="s">
        <v>2925</v>
      </c>
      <c r="D404" s="245">
        <v>1.9981</v>
      </c>
      <c r="E404"/>
      <c r="F404" s="238">
        <v>43338</v>
      </c>
    </row>
    <row r="405" spans="1:6">
      <c r="A405" t="s">
        <v>865</v>
      </c>
      <c r="B405" t="s">
        <v>2895</v>
      </c>
      <c r="D405" s="245">
        <v>1.4581</v>
      </c>
      <c r="E405" t="s">
        <v>2896</v>
      </c>
      <c r="F405" s="238">
        <v>43334</v>
      </c>
    </row>
    <row r="406" spans="1:6">
      <c r="A406" t="s">
        <v>864</v>
      </c>
      <c r="B406" t="s">
        <v>2869</v>
      </c>
      <c r="D406" s="245">
        <v>1.9473</v>
      </c>
      <c r="E406" t="s">
        <v>2115</v>
      </c>
      <c r="F406" s="238">
        <v>43334</v>
      </c>
    </row>
    <row r="407" spans="1:6">
      <c r="A407" t="s">
        <v>861</v>
      </c>
      <c r="B407" t="s">
        <v>2728</v>
      </c>
      <c r="D407">
        <v>1.9007000000000001</v>
      </c>
      <c r="E407" s="244"/>
      <c r="F407" s="238">
        <v>43007</v>
      </c>
    </row>
    <row r="408" spans="1:6">
      <c r="A408" t="s">
        <v>860</v>
      </c>
      <c r="B408" t="s">
        <v>2792</v>
      </c>
      <c r="D408" s="237">
        <v>1.7361</v>
      </c>
      <c r="E408"/>
      <c r="F408" s="238">
        <v>43008</v>
      </c>
    </row>
    <row r="409" spans="1:6">
      <c r="A409" t="s">
        <v>858</v>
      </c>
      <c r="B409" t="s">
        <v>2723</v>
      </c>
      <c r="D409">
        <v>1.9180999999999999</v>
      </c>
      <c r="E409" s="244"/>
      <c r="F409" s="238">
        <v>43007</v>
      </c>
    </row>
    <row r="410" spans="1:6">
      <c r="A410" t="s">
        <v>857</v>
      </c>
      <c r="B410" t="s">
        <v>2690</v>
      </c>
      <c r="D410">
        <v>1.6192</v>
      </c>
      <c r="E410" s="244"/>
      <c r="F410" s="237"/>
    </row>
    <row r="411" spans="1:6">
      <c r="A411" t="s">
        <v>849</v>
      </c>
      <c r="B411" t="s">
        <v>2888</v>
      </c>
      <c r="D411" s="245">
        <v>2.0505</v>
      </c>
      <c r="E411"/>
      <c r="F411" s="238">
        <v>43334</v>
      </c>
    </row>
    <row r="412" spans="1:6">
      <c r="A412" t="s">
        <v>847</v>
      </c>
      <c r="B412" t="s">
        <v>2883</v>
      </c>
      <c r="D412" s="245">
        <v>0.51</v>
      </c>
      <c r="E412" t="s">
        <v>2884</v>
      </c>
      <c r="F412" s="238">
        <v>43334</v>
      </c>
    </row>
    <row r="413" spans="1:6">
      <c r="A413" t="s">
        <v>846</v>
      </c>
      <c r="B413" t="s">
        <v>2702</v>
      </c>
      <c r="D413">
        <v>1.7096</v>
      </c>
      <c r="E413" s="244" t="s">
        <v>2692</v>
      </c>
      <c r="F413" s="238">
        <v>43008</v>
      </c>
    </row>
    <row r="414" spans="1:6">
      <c r="A414" t="s">
        <v>844</v>
      </c>
      <c r="B414" t="s">
        <v>2866</v>
      </c>
      <c r="D414" s="245">
        <v>1.9569000000000001</v>
      </c>
      <c r="E414"/>
      <c r="F414" s="238">
        <v>43333</v>
      </c>
    </row>
    <row r="415" spans="1:6">
      <c r="A415" t="s">
        <v>843</v>
      </c>
      <c r="B415" t="s">
        <v>2731</v>
      </c>
      <c r="D415">
        <v>1.9487000000000001</v>
      </c>
      <c r="E415" s="244" t="s">
        <v>2692</v>
      </c>
      <c r="F415" s="238">
        <v>43007</v>
      </c>
    </row>
    <row r="416" spans="1:6">
      <c r="A416" t="s">
        <v>842</v>
      </c>
      <c r="B416" t="s">
        <v>2789</v>
      </c>
      <c r="D416" s="237">
        <v>1.8811</v>
      </c>
      <c r="E416"/>
      <c r="F416" s="238">
        <v>43010</v>
      </c>
    </row>
    <row r="417" spans="1:6">
      <c r="A417" t="s">
        <v>837</v>
      </c>
      <c r="B417" t="s">
        <v>2721</v>
      </c>
      <c r="D417">
        <v>1.8989</v>
      </c>
      <c r="E417" s="244"/>
      <c r="F417" s="238">
        <v>43007</v>
      </c>
    </row>
    <row r="418" spans="1:6">
      <c r="A418" t="s">
        <v>836</v>
      </c>
      <c r="B418" t="s">
        <v>2729</v>
      </c>
      <c r="D418">
        <v>2.0718999999999999</v>
      </c>
      <c r="E418" s="244"/>
      <c r="F418" s="238">
        <v>43007</v>
      </c>
    </row>
    <row r="419" spans="1:6">
      <c r="A419" t="s">
        <v>835</v>
      </c>
      <c r="B419" t="s">
        <v>2912</v>
      </c>
      <c r="D419" s="245">
        <v>2.0337999999999998</v>
      </c>
      <c r="E419"/>
      <c r="F419" s="238">
        <v>43337</v>
      </c>
    </row>
    <row r="420" spans="1:6">
      <c r="A420" t="s">
        <v>831</v>
      </c>
      <c r="B420" t="s">
        <v>2700</v>
      </c>
      <c r="D420">
        <v>1.7559</v>
      </c>
      <c r="E420" s="244"/>
      <c r="F420" s="238">
        <v>43009</v>
      </c>
    </row>
    <row r="421" spans="1:6">
      <c r="A421" t="s">
        <v>828</v>
      </c>
      <c r="B421" t="s">
        <v>2697</v>
      </c>
      <c r="D421">
        <v>1.6048</v>
      </c>
      <c r="E421" s="244"/>
      <c r="F421" s="238">
        <v>43008</v>
      </c>
    </row>
    <row r="422" spans="1:6">
      <c r="A422" t="s">
        <v>827</v>
      </c>
      <c r="B422" t="s">
        <v>2704</v>
      </c>
      <c r="D422">
        <v>1.7397</v>
      </c>
      <c r="E422" s="244"/>
      <c r="F422" s="238">
        <v>43008</v>
      </c>
    </row>
    <row r="423" spans="1:6">
      <c r="A423" t="s">
        <v>821</v>
      </c>
      <c r="B423" t="s">
        <v>2737</v>
      </c>
      <c r="D423">
        <v>1.9332</v>
      </c>
      <c r="E423" s="244"/>
      <c r="F423" s="238">
        <v>43007</v>
      </c>
    </row>
    <row r="424" spans="1:6">
      <c r="A424" t="s">
        <v>820</v>
      </c>
      <c r="B424">
        <v>213</v>
      </c>
      <c r="C424" t="s">
        <v>2490</v>
      </c>
      <c r="D424">
        <v>1.6859999999999999</v>
      </c>
      <c r="E424" s="221" t="s">
        <v>2491</v>
      </c>
      <c r="F424" s="16">
        <v>43208</v>
      </c>
    </row>
    <row r="425" spans="1:6">
      <c r="A425" t="s">
        <v>816</v>
      </c>
      <c r="B425" t="s">
        <v>2719</v>
      </c>
      <c r="D425">
        <v>1.6720999999999999</v>
      </c>
      <c r="E425" s="244"/>
      <c r="F425" s="238">
        <v>43009</v>
      </c>
    </row>
    <row r="426" spans="1:6">
      <c r="A426" t="s">
        <v>814</v>
      </c>
      <c r="B426" t="s">
        <v>2693</v>
      </c>
      <c r="D426">
        <v>1.5642</v>
      </c>
      <c r="E426" s="244"/>
      <c r="F426" s="237"/>
    </row>
    <row r="427" spans="1:6">
      <c r="A427" t="s">
        <v>809</v>
      </c>
      <c r="B427" t="s">
        <v>2757</v>
      </c>
      <c r="D427">
        <v>1.8720000000000001</v>
      </c>
      <c r="E427" s="244"/>
      <c r="F427" s="238">
        <v>43009</v>
      </c>
    </row>
    <row r="428" spans="1:6">
      <c r="A428" t="s">
        <v>806</v>
      </c>
      <c r="B428">
        <v>210</v>
      </c>
      <c r="C428" t="s">
        <v>2490</v>
      </c>
      <c r="D428">
        <v>1.716</v>
      </c>
      <c r="E428" s="221" t="s">
        <v>2448</v>
      </c>
      <c r="F428" s="16">
        <v>43208</v>
      </c>
    </row>
    <row r="429" spans="1:6">
      <c r="A429" t="s">
        <v>804</v>
      </c>
      <c r="B429" t="s">
        <v>2775</v>
      </c>
      <c r="D429" s="237">
        <v>1.8893</v>
      </c>
      <c r="E429"/>
      <c r="F429" s="238">
        <v>43010</v>
      </c>
    </row>
    <row r="430" spans="1:6">
      <c r="A430" t="s">
        <v>803</v>
      </c>
      <c r="B430" t="s">
        <v>2745</v>
      </c>
      <c r="D430">
        <v>1.8117000000000001</v>
      </c>
      <c r="E430" s="244"/>
      <c r="F430" s="238">
        <v>43009</v>
      </c>
    </row>
    <row r="431" spans="1:6">
      <c r="A431" t="s">
        <v>796</v>
      </c>
      <c r="B431" t="s">
        <v>2735</v>
      </c>
      <c r="D431">
        <v>2.0409000000000002</v>
      </c>
      <c r="E431" s="244"/>
      <c r="F431" s="238">
        <v>43007</v>
      </c>
    </row>
    <row r="432" spans="1:6">
      <c r="A432" t="s">
        <v>793</v>
      </c>
      <c r="B432" t="s">
        <v>2691</v>
      </c>
      <c r="D432">
        <v>1.7168000000000001</v>
      </c>
      <c r="E432" s="244" t="s">
        <v>2692</v>
      </c>
      <c r="F432" s="237"/>
    </row>
    <row r="433" spans="1:6">
      <c r="A433" t="s">
        <v>791</v>
      </c>
      <c r="B433" t="s">
        <v>2774</v>
      </c>
      <c r="D433" s="237">
        <v>1.9824999999999999</v>
      </c>
      <c r="E433"/>
      <c r="F433" s="238">
        <v>43010</v>
      </c>
    </row>
    <row r="434" spans="1:6">
      <c r="A434" t="s">
        <v>789</v>
      </c>
      <c r="B434">
        <v>198</v>
      </c>
      <c r="C434" t="s">
        <v>2490</v>
      </c>
      <c r="D434">
        <v>1.615</v>
      </c>
      <c r="E434" s="221" t="s">
        <v>2448</v>
      </c>
      <c r="F434" s="16">
        <v>43208</v>
      </c>
    </row>
    <row r="435" spans="1:6">
      <c r="A435" t="s">
        <v>784</v>
      </c>
      <c r="B435" t="s">
        <v>2753</v>
      </c>
      <c r="E435" s="244" t="s">
        <v>2755</v>
      </c>
      <c r="F435" s="238">
        <v>43009</v>
      </c>
    </row>
    <row r="436" spans="1:6">
      <c r="A436" t="s">
        <v>1105</v>
      </c>
      <c r="B436">
        <v>201</v>
      </c>
      <c r="C436" t="s">
        <v>2490</v>
      </c>
      <c r="D436">
        <v>1.968</v>
      </c>
      <c r="E436" s="221" t="s">
        <v>2495</v>
      </c>
      <c r="F436" s="16">
        <v>43208</v>
      </c>
    </row>
    <row r="437" spans="1:6">
      <c r="A437" t="s">
        <v>780</v>
      </c>
      <c r="B437" t="s">
        <v>2730</v>
      </c>
      <c r="D437">
        <v>2.0156999999999998</v>
      </c>
      <c r="E437" s="244"/>
      <c r="F437" s="238">
        <v>43007</v>
      </c>
    </row>
    <row r="438" spans="1:6">
      <c r="A438" t="s">
        <v>776</v>
      </c>
      <c r="B438" t="s">
        <v>2768</v>
      </c>
      <c r="D438">
        <v>1.9468000000000001</v>
      </c>
      <c r="E438" s="244"/>
      <c r="F438" s="238">
        <v>43010</v>
      </c>
    </row>
    <row r="439" spans="1:6">
      <c r="A439" t="s">
        <v>775</v>
      </c>
      <c r="B439" t="s">
        <v>2868</v>
      </c>
      <c r="D439" s="245">
        <v>1.9832000000000001</v>
      </c>
      <c r="E439" t="s">
        <v>2115</v>
      </c>
      <c r="F439" s="238">
        <v>43334</v>
      </c>
    </row>
    <row r="440" spans="1:6">
      <c r="A440" t="s">
        <v>774</v>
      </c>
      <c r="B440" t="s">
        <v>2783</v>
      </c>
      <c r="D440" s="237">
        <v>1.8496999999999999</v>
      </c>
      <c r="E440"/>
      <c r="F440" s="238">
        <v>43010</v>
      </c>
    </row>
    <row r="441" spans="1:6">
      <c r="A441" t="s">
        <v>768</v>
      </c>
      <c r="B441" t="s">
        <v>2885</v>
      </c>
      <c r="D441" s="245">
        <v>1.5419</v>
      </c>
      <c r="E441"/>
      <c r="F441" s="238">
        <v>43334</v>
      </c>
    </row>
    <row r="442" spans="1:6">
      <c r="A442" t="s">
        <v>764</v>
      </c>
      <c r="B442" t="s">
        <v>2919</v>
      </c>
      <c r="D442" s="245">
        <v>1.9925999999999999</v>
      </c>
      <c r="E442"/>
      <c r="F442" s="238">
        <v>43338</v>
      </c>
    </row>
    <row r="443" spans="1:6">
      <c r="A443" t="s">
        <v>762</v>
      </c>
      <c r="B443">
        <v>216</v>
      </c>
      <c r="C443" t="s">
        <v>2490</v>
      </c>
      <c r="D443">
        <v>1.736</v>
      </c>
      <c r="E443" s="221" t="s">
        <v>2448</v>
      </c>
      <c r="F443" s="16">
        <v>43208</v>
      </c>
    </row>
    <row r="444" spans="1:6">
      <c r="A444" t="s">
        <v>753</v>
      </c>
      <c r="B444" t="s">
        <v>2791</v>
      </c>
      <c r="D444" s="237">
        <v>1.4536</v>
      </c>
      <c r="E444"/>
      <c r="F444" s="238">
        <v>43008</v>
      </c>
    </row>
    <row r="445" spans="1:6">
      <c r="A445" t="s">
        <v>752</v>
      </c>
      <c r="B445">
        <v>195</v>
      </c>
      <c r="C445" t="s">
        <v>2490</v>
      </c>
      <c r="D445">
        <v>0.78200000000000003</v>
      </c>
      <c r="E445" s="221" t="s">
        <v>2450</v>
      </c>
      <c r="F445" s="16">
        <v>43208</v>
      </c>
    </row>
    <row r="446" spans="1:6">
      <c r="A446" t="s">
        <v>747</v>
      </c>
      <c r="B446" t="s">
        <v>2869</v>
      </c>
      <c r="D446" s="245">
        <v>1.9392</v>
      </c>
      <c r="E446" t="s">
        <v>2115</v>
      </c>
      <c r="F446" s="238">
        <v>43334</v>
      </c>
    </row>
    <row r="447" spans="1:6">
      <c r="A447" t="s">
        <v>744</v>
      </c>
      <c r="B447" t="s">
        <v>2751</v>
      </c>
      <c r="D447">
        <v>1.7444999999999999</v>
      </c>
      <c r="E447" s="244" t="s">
        <v>2747</v>
      </c>
      <c r="F447" s="238">
        <v>43009</v>
      </c>
    </row>
    <row r="448" spans="1:6">
      <c r="A448" t="s">
        <v>740</v>
      </c>
      <c r="B448" t="s">
        <v>2774</v>
      </c>
      <c r="D448" s="237">
        <v>1.7884</v>
      </c>
      <c r="E448"/>
      <c r="F448" s="238">
        <v>43010</v>
      </c>
    </row>
    <row r="449" spans="1:6">
      <c r="A449" t="s">
        <v>739</v>
      </c>
      <c r="B449" t="s">
        <v>2857</v>
      </c>
      <c r="D449" s="245">
        <v>1.9192</v>
      </c>
      <c r="E449"/>
      <c r="F449" s="238">
        <v>43333</v>
      </c>
    </row>
    <row r="450" spans="1:6">
      <c r="A450" t="s">
        <v>734</v>
      </c>
      <c r="B450" t="s">
        <v>2727</v>
      </c>
      <c r="D450">
        <v>2.0062000000000002</v>
      </c>
      <c r="E450" s="244"/>
      <c r="F450" s="238">
        <v>43007</v>
      </c>
    </row>
    <row r="451" spans="1:6">
      <c r="A451" t="s">
        <v>725</v>
      </c>
      <c r="B451" t="s">
        <v>2879</v>
      </c>
      <c r="D451" s="245">
        <v>2.0192999999999999</v>
      </c>
      <c r="E451"/>
      <c r="F451" s="238">
        <v>43334</v>
      </c>
    </row>
    <row r="452" spans="1:6">
      <c r="A452" t="s">
        <v>719</v>
      </c>
      <c r="B452" t="s">
        <v>2780</v>
      </c>
      <c r="D452" s="237">
        <v>1.9601999999999999</v>
      </c>
      <c r="E452"/>
      <c r="F452" s="238">
        <v>43010</v>
      </c>
    </row>
    <row r="453" spans="1:6">
      <c r="A453" t="s">
        <v>716</v>
      </c>
      <c r="B453" t="s">
        <v>2709</v>
      </c>
      <c r="D453">
        <v>1.8856999999999999</v>
      </c>
      <c r="E453" s="244"/>
      <c r="F453" s="238">
        <v>43009</v>
      </c>
    </row>
    <row r="454" spans="1:6">
      <c r="A454" t="s">
        <v>1098</v>
      </c>
      <c r="B454" t="s">
        <v>2722</v>
      </c>
      <c r="D454">
        <v>2.0165999999999999</v>
      </c>
      <c r="E454" s="244"/>
      <c r="F454" s="238">
        <v>43007</v>
      </c>
    </row>
    <row r="455" spans="1:6">
      <c r="A455" t="s">
        <v>698</v>
      </c>
      <c r="B455" t="s">
        <v>2898</v>
      </c>
      <c r="D455" s="245">
        <v>1.5766</v>
      </c>
      <c r="E455"/>
      <c r="F455" s="238">
        <v>43334</v>
      </c>
    </row>
    <row r="456" spans="1:6">
      <c r="A456" t="s">
        <v>686</v>
      </c>
      <c r="B456">
        <v>196</v>
      </c>
      <c r="C456" t="s">
        <v>2490</v>
      </c>
      <c r="D456">
        <v>0.19900000000000001</v>
      </c>
      <c r="E456" s="221" t="s">
        <v>2450</v>
      </c>
      <c r="F456" s="16">
        <v>43208</v>
      </c>
    </row>
    <row r="457" spans="1:6">
      <c r="A457" t="s">
        <v>650</v>
      </c>
      <c r="B457" t="s">
        <v>2710</v>
      </c>
      <c r="D457">
        <v>2.0198</v>
      </c>
      <c r="E457" s="244"/>
      <c r="F457" s="238">
        <v>43009</v>
      </c>
    </row>
    <row r="458" spans="1:6">
      <c r="A458" t="s">
        <v>627</v>
      </c>
      <c r="B458" t="s">
        <v>2720</v>
      </c>
      <c r="D458">
        <v>1.8293999999999999</v>
      </c>
      <c r="E458" s="244"/>
      <c r="F458" s="238">
        <v>43009</v>
      </c>
    </row>
    <row r="459" spans="1:6">
      <c r="A459" t="s">
        <v>625</v>
      </c>
      <c r="B459">
        <v>208</v>
      </c>
      <c r="C459" t="s">
        <v>2490</v>
      </c>
      <c r="D459">
        <v>1.7749999999999999</v>
      </c>
      <c r="E459" s="221" t="s">
        <v>2449</v>
      </c>
      <c r="F459" s="16">
        <v>43208</v>
      </c>
    </row>
    <row r="460" spans="1:6">
      <c r="A460" t="s">
        <v>1089</v>
      </c>
      <c r="B460" t="s">
        <v>2757</v>
      </c>
      <c r="E460" s="244" t="s">
        <v>2758</v>
      </c>
      <c r="F460" s="238">
        <v>43009</v>
      </c>
    </row>
    <row r="461" spans="1:6">
      <c r="A461" t="s">
        <v>590</v>
      </c>
      <c r="B461">
        <v>207</v>
      </c>
      <c r="C461" t="s">
        <v>2490</v>
      </c>
      <c r="D461">
        <v>8.3109999999999999</v>
      </c>
      <c r="E461" s="221" t="s">
        <v>2447</v>
      </c>
      <c r="F461" s="16">
        <v>43208</v>
      </c>
    </row>
    <row r="462" spans="1:6">
      <c r="A462" t="s">
        <v>555</v>
      </c>
      <c r="B462" t="s">
        <v>2707</v>
      </c>
      <c r="D462">
        <v>2.2069000000000001</v>
      </c>
      <c r="E462" s="244"/>
      <c r="F462" s="238">
        <v>43008</v>
      </c>
    </row>
    <row r="463" spans="1:6">
      <c r="A463" t="s">
        <v>542</v>
      </c>
      <c r="B463">
        <v>210</v>
      </c>
      <c r="C463" t="s">
        <v>2490</v>
      </c>
      <c r="D463">
        <v>1.742</v>
      </c>
      <c r="E463" s="221" t="s">
        <v>2448</v>
      </c>
      <c r="F463" s="16">
        <v>43208</v>
      </c>
    </row>
    <row r="464" spans="1:6">
      <c r="A464" t="s">
        <v>3173</v>
      </c>
      <c r="B464" t="s">
        <v>2905</v>
      </c>
      <c r="D464" s="245">
        <v>1.9592000000000001</v>
      </c>
      <c r="E464"/>
      <c r="F464" s="238">
        <v>43337</v>
      </c>
    </row>
    <row r="465" spans="1:6">
      <c r="A465" t="s">
        <v>537</v>
      </c>
      <c r="B465" t="s">
        <v>2733</v>
      </c>
      <c r="D465">
        <v>1.9849000000000001</v>
      </c>
      <c r="E465" s="244" t="s">
        <v>2692</v>
      </c>
      <c r="F465" s="238">
        <v>43007</v>
      </c>
    </row>
    <row r="466" spans="1:6">
      <c r="A466" t="s">
        <v>536</v>
      </c>
      <c r="B466" t="s">
        <v>2762</v>
      </c>
      <c r="D466">
        <v>1.9094</v>
      </c>
      <c r="E466" s="244"/>
      <c r="F466" s="238">
        <v>43007</v>
      </c>
    </row>
    <row r="467" spans="1:6">
      <c r="A467" t="s">
        <v>535</v>
      </c>
      <c r="B467">
        <v>207</v>
      </c>
      <c r="C467" t="s">
        <v>2490</v>
      </c>
      <c r="D467">
        <v>1.615</v>
      </c>
      <c r="E467" s="221" t="s">
        <v>2447</v>
      </c>
      <c r="F467" s="16">
        <v>43208</v>
      </c>
    </row>
    <row r="468" spans="1:6">
      <c r="A468" t="s">
        <v>534</v>
      </c>
      <c r="B468" t="s">
        <v>2751</v>
      </c>
      <c r="D468">
        <v>1.8051999999999999</v>
      </c>
      <c r="E468" s="244"/>
      <c r="F468" s="238">
        <v>43009</v>
      </c>
    </row>
    <row r="469" spans="1:6">
      <c r="A469" t="s">
        <v>533</v>
      </c>
      <c r="B469" t="s">
        <v>2870</v>
      </c>
      <c r="D469" s="245">
        <v>1.9615</v>
      </c>
      <c r="E469" t="s">
        <v>2115</v>
      </c>
      <c r="F469" s="238">
        <v>43334</v>
      </c>
    </row>
    <row r="470" spans="1:6">
      <c r="A470" t="s">
        <v>531</v>
      </c>
      <c r="B470" t="s">
        <v>2686</v>
      </c>
      <c r="D470">
        <v>1.6455</v>
      </c>
      <c r="E470" s="244"/>
      <c r="F470" s="237"/>
    </row>
    <row r="471" spans="1:6">
      <c r="A471" t="s">
        <v>530</v>
      </c>
      <c r="B471" t="s">
        <v>2784</v>
      </c>
      <c r="D471" s="237">
        <v>1.9753000000000001</v>
      </c>
      <c r="E471"/>
      <c r="F471" s="238">
        <v>43010</v>
      </c>
    </row>
    <row r="472" spans="1:6">
      <c r="A472" t="s">
        <v>1080</v>
      </c>
      <c r="B472" t="s">
        <v>2874</v>
      </c>
      <c r="D472" s="245">
        <v>1.9782999999999999</v>
      </c>
      <c r="E472"/>
      <c r="F472" s="238">
        <v>43334</v>
      </c>
    </row>
    <row r="473" spans="1:6">
      <c r="A473" t="s">
        <v>529</v>
      </c>
      <c r="B473" t="s">
        <v>2915</v>
      </c>
      <c r="D473" s="245">
        <v>1.9097999999999999</v>
      </c>
      <c r="E473" t="s">
        <v>2115</v>
      </c>
      <c r="F473" s="238">
        <v>43337</v>
      </c>
    </row>
    <row r="474" spans="1:6">
      <c r="A474" t="s">
        <v>528</v>
      </c>
      <c r="B474">
        <v>194</v>
      </c>
      <c r="C474" t="s">
        <v>2490</v>
      </c>
      <c r="D474">
        <v>1.593</v>
      </c>
      <c r="E474" s="221" t="s">
        <v>2491</v>
      </c>
      <c r="F474" s="16">
        <v>43208</v>
      </c>
    </row>
    <row r="475" spans="1:6">
      <c r="A475" t="s">
        <v>527</v>
      </c>
      <c r="B475" t="s">
        <v>2748</v>
      </c>
      <c r="E475" s="244" t="s">
        <v>2749</v>
      </c>
      <c r="F475" s="238">
        <v>43009</v>
      </c>
    </row>
    <row r="476" spans="1:6">
      <c r="A476" t="s">
        <v>526</v>
      </c>
      <c r="B476" t="s">
        <v>2752</v>
      </c>
      <c r="D476">
        <v>1.7827</v>
      </c>
      <c r="E476" s="244"/>
      <c r="F476" s="238">
        <v>43009</v>
      </c>
    </row>
    <row r="477" spans="1:6">
      <c r="A477" t="s">
        <v>525</v>
      </c>
      <c r="B477" t="s">
        <v>2911</v>
      </c>
      <c r="D477" s="245">
        <v>1.9262999999999999</v>
      </c>
      <c r="E477" t="s">
        <v>2115</v>
      </c>
      <c r="F477" s="238">
        <v>43337</v>
      </c>
    </row>
    <row r="478" spans="1:6">
      <c r="A478" t="s">
        <v>524</v>
      </c>
      <c r="B478" t="s">
        <v>2740</v>
      </c>
      <c r="D478">
        <v>1.4872000000000001</v>
      </c>
      <c r="E478" s="244" t="s">
        <v>2741</v>
      </c>
      <c r="F478" s="238">
        <v>43009</v>
      </c>
    </row>
    <row r="479" spans="1:6">
      <c r="A479" t="s">
        <v>523</v>
      </c>
      <c r="B479" t="s">
        <v>2736</v>
      </c>
      <c r="D479">
        <v>1.9423999999999999</v>
      </c>
      <c r="E479" s="244"/>
      <c r="F479" s="238">
        <v>43007</v>
      </c>
    </row>
    <row r="480" spans="1:6">
      <c r="A480" t="s">
        <v>522</v>
      </c>
      <c r="B480" t="s">
        <v>2775</v>
      </c>
      <c r="D480" s="237">
        <v>1.8621000000000001</v>
      </c>
      <c r="E480"/>
      <c r="F480" s="238">
        <v>43010</v>
      </c>
    </row>
    <row r="481" spans="1:6">
      <c r="A481" t="s">
        <v>521</v>
      </c>
      <c r="B481" t="s">
        <v>2849</v>
      </c>
      <c r="D481" s="245">
        <v>1.9595</v>
      </c>
      <c r="E481"/>
      <c r="F481" s="238">
        <v>43333</v>
      </c>
    </row>
    <row r="482" spans="1:6">
      <c r="A482" t="s">
        <v>520</v>
      </c>
      <c r="B482" t="s">
        <v>2913</v>
      </c>
      <c r="D482" s="245">
        <v>1.9713000000000001</v>
      </c>
      <c r="E482"/>
      <c r="F482" s="238">
        <v>43337</v>
      </c>
    </row>
    <row r="483" spans="1:6">
      <c r="A483" t="s">
        <v>519</v>
      </c>
      <c r="B483" t="s">
        <v>2926</v>
      </c>
      <c r="D483" s="245">
        <v>2.0047999999999999</v>
      </c>
      <c r="E483"/>
      <c r="F483" s="238">
        <v>43338</v>
      </c>
    </row>
    <row r="484" spans="1:6">
      <c r="A484" t="s">
        <v>518</v>
      </c>
      <c r="B484" t="s">
        <v>2676</v>
      </c>
      <c r="D484">
        <v>1.6888000000000001</v>
      </c>
      <c r="F484" s="237"/>
    </row>
    <row r="485" spans="1:6">
      <c r="A485" t="s">
        <v>517</v>
      </c>
      <c r="B485">
        <v>216</v>
      </c>
      <c r="C485" t="s">
        <v>2490</v>
      </c>
      <c r="D485">
        <v>1.6419999999999999</v>
      </c>
      <c r="E485" s="221" t="s">
        <v>2491</v>
      </c>
      <c r="F485" s="16">
        <v>43208</v>
      </c>
    </row>
    <row r="486" spans="1:6">
      <c r="A486" t="s">
        <v>516</v>
      </c>
      <c r="B486">
        <v>193</v>
      </c>
      <c r="C486" t="s">
        <v>2490</v>
      </c>
      <c r="D486">
        <v>1.397</v>
      </c>
      <c r="E486" s="221" t="s">
        <v>2449</v>
      </c>
      <c r="F486" s="16">
        <v>43208</v>
      </c>
    </row>
    <row r="487" spans="1:6">
      <c r="A487" t="s">
        <v>515</v>
      </c>
      <c r="B487" t="s">
        <v>2769</v>
      </c>
      <c r="E487" s="244" t="s">
        <v>2763</v>
      </c>
      <c r="F487" s="238">
        <v>43010</v>
      </c>
    </row>
    <row r="488" spans="1:6">
      <c r="A488" t="s">
        <v>514</v>
      </c>
      <c r="B488">
        <v>208</v>
      </c>
      <c r="C488" t="s">
        <v>2490</v>
      </c>
      <c r="D488">
        <v>1.6539999999999999</v>
      </c>
      <c r="E488" s="221" t="s">
        <v>2449</v>
      </c>
      <c r="F488" s="16">
        <v>43208</v>
      </c>
    </row>
    <row r="489" spans="1:6">
      <c r="A489" t="s">
        <v>512</v>
      </c>
      <c r="B489" t="s">
        <v>2678</v>
      </c>
      <c r="D489">
        <v>1.7356</v>
      </c>
      <c r="E489" s="244" t="s">
        <v>2679</v>
      </c>
      <c r="F489" s="237"/>
    </row>
    <row r="490" spans="1:6">
      <c r="A490" t="s">
        <v>511</v>
      </c>
      <c r="B490" t="s">
        <v>2711</v>
      </c>
      <c r="D490">
        <v>1.7652000000000001</v>
      </c>
      <c r="E490" s="244" t="s">
        <v>2679</v>
      </c>
      <c r="F490" s="238">
        <v>43008</v>
      </c>
    </row>
    <row r="491" spans="1:6">
      <c r="A491" t="s">
        <v>510</v>
      </c>
      <c r="B491" t="s">
        <v>2698</v>
      </c>
      <c r="D491">
        <v>1.8498000000000001</v>
      </c>
      <c r="E491" s="244"/>
      <c r="F491" s="238">
        <v>43009</v>
      </c>
    </row>
    <row r="492" spans="1:6">
      <c r="A492" t="s">
        <v>507</v>
      </c>
      <c r="B492" t="s">
        <v>2737</v>
      </c>
      <c r="D492">
        <v>1.9161999999999999</v>
      </c>
      <c r="E492" s="244"/>
      <c r="F492" s="238">
        <v>43007</v>
      </c>
    </row>
    <row r="493" spans="1:6">
      <c r="A493" t="s">
        <v>506</v>
      </c>
      <c r="B493" t="s">
        <v>2706</v>
      </c>
      <c r="D493">
        <v>1.6096999999999999</v>
      </c>
      <c r="E493" s="244"/>
      <c r="F493" s="238">
        <v>43009</v>
      </c>
    </row>
    <row r="494" spans="1:6">
      <c r="A494" t="s">
        <v>505</v>
      </c>
      <c r="B494" t="s">
        <v>2877</v>
      </c>
      <c r="D494" s="245">
        <v>1.9177</v>
      </c>
      <c r="E494"/>
      <c r="F494" s="238">
        <v>43334</v>
      </c>
    </row>
    <row r="495" spans="1:6">
      <c r="A495" t="s">
        <v>504</v>
      </c>
      <c r="B495" t="s">
        <v>2776</v>
      </c>
      <c r="D495" s="237">
        <v>1.9524999999999999</v>
      </c>
      <c r="E495"/>
      <c r="F495" s="238">
        <v>43010</v>
      </c>
    </row>
    <row r="496" spans="1:6">
      <c r="A496" t="s">
        <v>503</v>
      </c>
      <c r="B496" t="s">
        <v>2681</v>
      </c>
      <c r="D496">
        <v>1.8521000000000001</v>
      </c>
      <c r="E496" s="244"/>
      <c r="F496" s="238">
        <v>43008</v>
      </c>
    </row>
    <row r="497" spans="1:6">
      <c r="A497" t="s">
        <v>502</v>
      </c>
      <c r="B497" t="s">
        <v>2691</v>
      </c>
      <c r="D497">
        <v>1.6534</v>
      </c>
      <c r="E497" s="244"/>
      <c r="F497" s="237"/>
    </row>
    <row r="498" spans="1:6">
      <c r="A498" t="s">
        <v>501</v>
      </c>
      <c r="B498" t="s">
        <v>2795</v>
      </c>
      <c r="D498" s="237">
        <v>1.5814999999999999</v>
      </c>
      <c r="E498"/>
      <c r="F498" s="238">
        <v>43008</v>
      </c>
    </row>
    <row r="499" spans="1:6">
      <c r="A499" t="s">
        <v>500</v>
      </c>
      <c r="B499">
        <v>218</v>
      </c>
      <c r="C499" t="s">
        <v>2490</v>
      </c>
      <c r="D499">
        <v>1.6519999999999999</v>
      </c>
      <c r="E499" s="221" t="s">
        <v>2495</v>
      </c>
      <c r="F499" s="16">
        <v>43208</v>
      </c>
    </row>
    <row r="500" spans="1:6">
      <c r="A500" t="s">
        <v>499</v>
      </c>
      <c r="B500" t="s">
        <v>2710</v>
      </c>
      <c r="D500">
        <v>1.6580999999999999</v>
      </c>
      <c r="E500" s="244"/>
      <c r="F500" s="238">
        <v>43009</v>
      </c>
    </row>
    <row r="501" spans="1:6">
      <c r="A501" t="s">
        <v>498</v>
      </c>
      <c r="B501" t="s">
        <v>2895</v>
      </c>
      <c r="D501" s="245">
        <v>1.9777</v>
      </c>
      <c r="E501"/>
      <c r="F501" s="238">
        <v>43334</v>
      </c>
    </row>
    <row r="502" spans="1:6">
      <c r="A502" t="s">
        <v>497</v>
      </c>
      <c r="B502" t="s">
        <v>2733</v>
      </c>
      <c r="D502">
        <v>1.9686999999999999</v>
      </c>
      <c r="E502" s="244"/>
      <c r="F502" s="238">
        <v>43007</v>
      </c>
    </row>
    <row r="503" spans="1:6">
      <c r="A503" t="s">
        <v>494</v>
      </c>
      <c r="B503">
        <v>195</v>
      </c>
      <c r="C503" t="s">
        <v>2490</v>
      </c>
      <c r="D503">
        <v>1.7509999999999999</v>
      </c>
      <c r="E503" s="221" t="s">
        <v>2111</v>
      </c>
      <c r="F503" s="16">
        <v>43208</v>
      </c>
    </row>
    <row r="504" spans="1:6">
      <c r="A504" t="s">
        <v>493</v>
      </c>
      <c r="B504" t="s">
        <v>2761</v>
      </c>
      <c r="D504">
        <v>1.8704000000000001</v>
      </c>
      <c r="E504" s="244"/>
      <c r="F504" s="238">
        <v>43007</v>
      </c>
    </row>
    <row r="505" spans="1:6">
      <c r="A505" t="s">
        <v>492</v>
      </c>
      <c r="B505" t="s">
        <v>2689</v>
      </c>
      <c r="D505">
        <v>1.6881999999999999</v>
      </c>
      <c r="E505" s="244"/>
      <c r="F505" s="237"/>
    </row>
    <row r="506" spans="1:6">
      <c r="A506" t="s">
        <v>491</v>
      </c>
      <c r="B506" t="s">
        <v>2880</v>
      </c>
      <c r="D506" s="245">
        <v>1.9649000000000001</v>
      </c>
      <c r="E506" t="s">
        <v>2115</v>
      </c>
      <c r="F506" s="238">
        <v>43334</v>
      </c>
    </row>
    <row r="507" spans="1:6">
      <c r="A507" t="s">
        <v>490</v>
      </c>
      <c r="B507" t="s">
        <v>2767</v>
      </c>
      <c r="D507">
        <v>1.7554000000000001</v>
      </c>
      <c r="E507" s="244" t="s">
        <v>2692</v>
      </c>
      <c r="F507" s="238">
        <v>43008</v>
      </c>
    </row>
    <row r="508" spans="1:6">
      <c r="A508" t="s">
        <v>489</v>
      </c>
      <c r="B508" t="s">
        <v>2739</v>
      </c>
      <c r="D508">
        <v>1.9756</v>
      </c>
      <c r="E508" s="244"/>
      <c r="F508" s="238">
        <v>43007</v>
      </c>
    </row>
    <row r="509" spans="1:6">
      <c r="A509" t="s">
        <v>488</v>
      </c>
      <c r="B509" t="s">
        <v>2771</v>
      </c>
      <c r="D509">
        <v>2.0049000000000001</v>
      </c>
      <c r="E509" s="244"/>
      <c r="F509" s="238">
        <v>43010</v>
      </c>
    </row>
    <row r="510" spans="1:6">
      <c r="A510" t="s">
        <v>487</v>
      </c>
      <c r="B510" t="s">
        <v>2725</v>
      </c>
      <c r="D510">
        <v>1.9245000000000001</v>
      </c>
      <c r="E510" s="244"/>
      <c r="F510" s="238">
        <v>43007</v>
      </c>
    </row>
    <row r="511" spans="1:6">
      <c r="A511" t="s">
        <v>486</v>
      </c>
      <c r="B511">
        <v>194</v>
      </c>
      <c r="C511" t="s">
        <v>2490</v>
      </c>
      <c r="D511">
        <v>1.613</v>
      </c>
      <c r="E511" s="221" t="s">
        <v>2492</v>
      </c>
      <c r="F511" s="16">
        <v>43208</v>
      </c>
    </row>
    <row r="512" spans="1:6">
      <c r="A512" t="s">
        <v>484</v>
      </c>
      <c r="B512" t="s">
        <v>2706</v>
      </c>
      <c r="D512">
        <v>3.7545000000000002</v>
      </c>
      <c r="E512" s="244" t="s">
        <v>2497</v>
      </c>
      <c r="F512" s="238">
        <v>43009</v>
      </c>
    </row>
    <row r="513" spans="1:6">
      <c r="A513" t="s">
        <v>482</v>
      </c>
      <c r="B513" t="s">
        <v>2924</v>
      </c>
      <c r="D513" s="245">
        <v>2.0581999999999998</v>
      </c>
      <c r="E513"/>
      <c r="F513" s="238">
        <v>43338</v>
      </c>
    </row>
    <row r="514" spans="1:6">
      <c r="A514" t="s">
        <v>481</v>
      </c>
      <c r="B514">
        <v>212</v>
      </c>
      <c r="C514" t="s">
        <v>2490</v>
      </c>
      <c r="D514">
        <v>1.655</v>
      </c>
      <c r="E514" s="221" t="s">
        <v>2495</v>
      </c>
      <c r="F514" s="16">
        <v>43208</v>
      </c>
    </row>
    <row r="515" spans="1:6">
      <c r="A515" t="s">
        <v>480</v>
      </c>
      <c r="B515" t="s">
        <v>2917</v>
      </c>
      <c r="D515" s="245">
        <v>2.0495999999999999</v>
      </c>
      <c r="E515"/>
      <c r="F515" s="238">
        <v>43337</v>
      </c>
    </row>
    <row r="516" spans="1:6">
      <c r="A516" t="s">
        <v>1075</v>
      </c>
      <c r="B516" t="s">
        <v>2786</v>
      </c>
      <c r="D516" s="237">
        <v>1.7972999999999999</v>
      </c>
      <c r="E516"/>
      <c r="F516" s="238">
        <v>43010</v>
      </c>
    </row>
    <row r="517" spans="1:6">
      <c r="A517" t="s">
        <v>479</v>
      </c>
      <c r="B517" t="s">
        <v>2726</v>
      </c>
      <c r="D517">
        <v>2.0331000000000001</v>
      </c>
      <c r="E517" s="244"/>
      <c r="F517" s="238">
        <v>43007</v>
      </c>
    </row>
    <row r="518" spans="1:6">
      <c r="A518" t="s">
        <v>478</v>
      </c>
      <c r="B518" t="s">
        <v>2731</v>
      </c>
      <c r="D518">
        <v>1.837</v>
      </c>
      <c r="E518" s="244" t="s">
        <v>2679</v>
      </c>
      <c r="F518" s="238">
        <v>43007</v>
      </c>
    </row>
    <row r="519" spans="1:6">
      <c r="A519" t="s">
        <v>476</v>
      </c>
      <c r="B519">
        <v>214</v>
      </c>
      <c r="C519" t="s">
        <v>2490</v>
      </c>
      <c r="D519">
        <v>1.6679999999999999</v>
      </c>
      <c r="E519" s="221" t="s">
        <v>2494</v>
      </c>
      <c r="F519" s="16">
        <v>43208</v>
      </c>
    </row>
    <row r="520" spans="1:6">
      <c r="A520" t="s">
        <v>475</v>
      </c>
      <c r="B520" t="s">
        <v>2773</v>
      </c>
      <c r="D520" s="237">
        <v>1.8895999999999999</v>
      </c>
      <c r="E520"/>
      <c r="F520" s="238">
        <v>43010</v>
      </c>
    </row>
    <row r="521" spans="1:6">
      <c r="A521" t="s">
        <v>474</v>
      </c>
      <c r="B521">
        <v>201</v>
      </c>
      <c r="C521" t="s">
        <v>2490</v>
      </c>
      <c r="D521">
        <v>1.7869999999999999</v>
      </c>
      <c r="E521" s="221" t="s">
        <v>2495</v>
      </c>
      <c r="F521" s="16">
        <v>43208</v>
      </c>
    </row>
    <row r="522" spans="1:6">
      <c r="A522" t="s">
        <v>472</v>
      </c>
      <c r="B522" t="s">
        <v>2735</v>
      </c>
      <c r="D522">
        <v>2.0158999999999998</v>
      </c>
      <c r="E522" s="244"/>
      <c r="F522" s="238">
        <v>43007</v>
      </c>
    </row>
    <row r="523" spans="1:6">
      <c r="A523" t="s">
        <v>470</v>
      </c>
      <c r="B523" t="s">
        <v>2719</v>
      </c>
      <c r="D523">
        <v>1.6716</v>
      </c>
      <c r="E523" s="244"/>
      <c r="F523" s="238">
        <v>43009</v>
      </c>
    </row>
    <row r="524" spans="1:6">
      <c r="A524" t="s">
        <v>469</v>
      </c>
      <c r="B524">
        <v>211</v>
      </c>
      <c r="C524" t="s">
        <v>2490</v>
      </c>
      <c r="D524">
        <v>1.4770000000000001</v>
      </c>
      <c r="F524" s="16">
        <v>43208</v>
      </c>
    </row>
    <row r="525" spans="1:6">
      <c r="A525" t="s">
        <v>468</v>
      </c>
      <c r="B525" t="s">
        <v>2891</v>
      </c>
      <c r="D525" s="245">
        <v>1.6099000000000001</v>
      </c>
      <c r="E525"/>
      <c r="F525" s="238">
        <v>43334</v>
      </c>
    </row>
    <row r="526" spans="1:6">
      <c r="A526" t="s">
        <v>466</v>
      </c>
      <c r="B526" t="s">
        <v>2704</v>
      </c>
      <c r="D526">
        <v>1.1623000000000001</v>
      </c>
      <c r="E526" s="244" t="s">
        <v>2497</v>
      </c>
      <c r="F526" s="238">
        <v>43008</v>
      </c>
    </row>
    <row r="527" spans="1:6">
      <c r="A527" t="s">
        <v>465</v>
      </c>
      <c r="B527" t="s">
        <v>2743</v>
      </c>
      <c r="D527">
        <v>1.6498999999999999</v>
      </c>
      <c r="E527" s="244" t="s">
        <v>2744</v>
      </c>
      <c r="F527" s="238">
        <v>43009</v>
      </c>
    </row>
    <row r="528" spans="1:6">
      <c r="A528" t="s">
        <v>464</v>
      </c>
      <c r="B528" t="s">
        <v>2908</v>
      </c>
      <c r="D528" s="245">
        <v>2.0310000000000001</v>
      </c>
      <c r="E528" t="s">
        <v>2713</v>
      </c>
      <c r="F528" s="238">
        <v>43337</v>
      </c>
    </row>
    <row r="529" spans="1:6">
      <c r="A529" t="s">
        <v>463</v>
      </c>
      <c r="B529" t="s">
        <v>2685</v>
      </c>
      <c r="D529">
        <v>1.6712</v>
      </c>
      <c r="E529" s="244"/>
      <c r="F529" s="238"/>
    </row>
    <row r="530" spans="1:6">
      <c r="A530" t="s">
        <v>462</v>
      </c>
      <c r="B530">
        <v>214</v>
      </c>
      <c r="C530" t="s">
        <v>2490</v>
      </c>
      <c r="D530">
        <v>1.7569999999999999</v>
      </c>
      <c r="E530" s="221" t="s">
        <v>2494</v>
      </c>
      <c r="F530" s="16">
        <v>43208</v>
      </c>
    </row>
    <row r="531" spans="1:6">
      <c r="A531" t="s">
        <v>461</v>
      </c>
      <c r="B531" t="s">
        <v>2689</v>
      </c>
      <c r="D531">
        <v>1.6856</v>
      </c>
      <c r="E531" s="244"/>
      <c r="F531" s="237"/>
    </row>
    <row r="532" spans="1:6">
      <c r="A532" t="s">
        <v>460</v>
      </c>
      <c r="B532" t="s">
        <v>2699</v>
      </c>
      <c r="D532">
        <v>1.7021999999999999</v>
      </c>
      <c r="E532" s="244"/>
      <c r="F532" s="238">
        <v>43009</v>
      </c>
    </row>
    <row r="533" spans="1:6">
      <c r="A533" t="s">
        <v>459</v>
      </c>
      <c r="B533">
        <v>218</v>
      </c>
      <c r="C533" t="s">
        <v>2490</v>
      </c>
      <c r="D533">
        <v>0.17100000000000001</v>
      </c>
      <c r="E533" s="221" t="s">
        <v>2495</v>
      </c>
      <c r="F533" s="16">
        <v>43208</v>
      </c>
    </row>
    <row r="534" spans="1:6">
      <c r="A534" t="s">
        <v>458</v>
      </c>
      <c r="B534" t="s">
        <v>2860</v>
      </c>
      <c r="D534" s="245">
        <v>1.9663999999999999</v>
      </c>
      <c r="E534" t="s">
        <v>2111</v>
      </c>
      <c r="F534" s="238">
        <v>43333</v>
      </c>
    </row>
    <row r="535" spans="1:6">
      <c r="A535" t="s">
        <v>457</v>
      </c>
      <c r="B535" t="s">
        <v>2753</v>
      </c>
      <c r="D535">
        <v>1.7353000000000001</v>
      </c>
      <c r="E535" s="244" t="s">
        <v>2754</v>
      </c>
      <c r="F535" s="238">
        <v>43009</v>
      </c>
    </row>
    <row r="536" spans="1:6">
      <c r="A536" t="s">
        <v>455</v>
      </c>
      <c r="B536" t="s">
        <v>2750</v>
      </c>
      <c r="D536">
        <v>1.8154999999999999</v>
      </c>
      <c r="E536" s="244"/>
      <c r="F536" s="238">
        <v>43009</v>
      </c>
    </row>
    <row r="537" spans="1:6">
      <c r="A537" t="s">
        <v>454</v>
      </c>
      <c r="B537" t="s">
        <v>2676</v>
      </c>
      <c r="D537">
        <v>1.7919</v>
      </c>
      <c r="E537" s="221" t="s">
        <v>2677</v>
      </c>
      <c r="F537" s="237"/>
    </row>
    <row r="538" spans="1:6">
      <c r="A538" t="s">
        <v>453</v>
      </c>
      <c r="B538" t="s">
        <v>2690</v>
      </c>
      <c r="D538">
        <v>3.4599000000000002</v>
      </c>
      <c r="E538" s="244" t="s">
        <v>2497</v>
      </c>
      <c r="F538" s="237"/>
    </row>
    <row r="539" spans="1:6">
      <c r="A539" t="s">
        <v>450</v>
      </c>
      <c r="B539" t="s">
        <v>2859</v>
      </c>
      <c r="D539" s="245">
        <v>1.9226000000000001</v>
      </c>
      <c r="E539"/>
      <c r="F539" s="238">
        <v>43333</v>
      </c>
    </row>
    <row r="540" spans="1:6">
      <c r="A540" t="s">
        <v>448</v>
      </c>
      <c r="B540" t="s">
        <v>2850</v>
      </c>
      <c r="D540" s="245">
        <v>1.9609000000000001</v>
      </c>
      <c r="E540" t="s">
        <v>2851</v>
      </c>
      <c r="F540" s="238">
        <v>43333</v>
      </c>
    </row>
    <row r="541" spans="1:6">
      <c r="A541" t="s">
        <v>447</v>
      </c>
      <c r="B541">
        <v>197</v>
      </c>
      <c r="C541" t="s">
        <v>2490</v>
      </c>
      <c r="D541">
        <v>1.6160000000000001</v>
      </c>
      <c r="E541" s="221" t="s">
        <v>2447</v>
      </c>
      <c r="F541" s="16">
        <v>43208</v>
      </c>
    </row>
    <row r="542" spans="1:6">
      <c r="A542" t="s">
        <v>446</v>
      </c>
      <c r="B542" t="s">
        <v>2756</v>
      </c>
      <c r="D542">
        <v>1.919</v>
      </c>
      <c r="E542" s="244"/>
      <c r="F542" s="238">
        <v>43009</v>
      </c>
    </row>
    <row r="543" spans="1:6">
      <c r="A543" t="s">
        <v>445</v>
      </c>
      <c r="B543" t="s">
        <v>2746</v>
      </c>
      <c r="D543">
        <v>1.7605</v>
      </c>
      <c r="E543" s="244" t="s">
        <v>2747</v>
      </c>
      <c r="F543" s="238">
        <v>43009</v>
      </c>
    </row>
    <row r="544" spans="1:6">
      <c r="A544" t="s">
        <v>444</v>
      </c>
      <c r="B544">
        <v>193</v>
      </c>
      <c r="C544" t="s">
        <v>2490</v>
      </c>
      <c r="D544">
        <v>1.42</v>
      </c>
      <c r="E544" s="221" t="s">
        <v>2449</v>
      </c>
      <c r="F544" s="16">
        <v>43208</v>
      </c>
    </row>
    <row r="545" spans="1:6">
      <c r="A545" t="s">
        <v>443</v>
      </c>
      <c r="B545" t="s">
        <v>2919</v>
      </c>
      <c r="D545" s="245">
        <v>1.9605999999999999</v>
      </c>
      <c r="E545"/>
      <c r="F545" s="238">
        <v>43338</v>
      </c>
    </row>
    <row r="546" spans="1:6">
      <c r="A546" t="s">
        <v>442</v>
      </c>
      <c r="B546" t="s">
        <v>2752</v>
      </c>
      <c r="D546">
        <v>1.8089</v>
      </c>
      <c r="E546" s="244"/>
      <c r="F546" s="238">
        <v>43009</v>
      </c>
    </row>
    <row r="547" spans="1:6">
      <c r="A547" t="s">
        <v>441</v>
      </c>
      <c r="B547" t="s">
        <v>2921</v>
      </c>
      <c r="D547" s="245">
        <v>2.0065</v>
      </c>
      <c r="E547"/>
      <c r="F547" s="238">
        <v>43338</v>
      </c>
    </row>
    <row r="548" spans="1:6">
      <c r="A548" t="s">
        <v>440</v>
      </c>
      <c r="B548">
        <v>213</v>
      </c>
      <c r="C548" t="s">
        <v>2490</v>
      </c>
      <c r="D548">
        <v>1.748</v>
      </c>
      <c r="E548" s="221" t="s">
        <v>2491</v>
      </c>
      <c r="F548" s="16">
        <v>43208</v>
      </c>
    </row>
    <row r="549" spans="1:6">
      <c r="A549" t="s">
        <v>438</v>
      </c>
      <c r="B549" t="s">
        <v>2785</v>
      </c>
      <c r="D549" s="237">
        <v>1.8272999999999999</v>
      </c>
      <c r="E549"/>
      <c r="F549" s="238">
        <v>43010</v>
      </c>
    </row>
    <row r="550" spans="1:6">
      <c r="A550" t="s">
        <v>437</v>
      </c>
      <c r="B550" t="s">
        <v>2715</v>
      </c>
      <c r="D550">
        <v>1.7047000000000001</v>
      </c>
      <c r="E550" s="244"/>
      <c r="F550" s="238">
        <v>43009</v>
      </c>
    </row>
    <row r="551" spans="1:6">
      <c r="A551" t="s">
        <v>436</v>
      </c>
      <c r="B551" t="s">
        <v>2773</v>
      </c>
      <c r="D551" s="237">
        <v>1.9032</v>
      </c>
      <c r="E551"/>
      <c r="F551" s="238">
        <v>43010</v>
      </c>
    </row>
    <row r="552" spans="1:6">
      <c r="A552" t="s">
        <v>435</v>
      </c>
      <c r="B552" t="s">
        <v>2732</v>
      </c>
      <c r="D552">
        <v>1.9311</v>
      </c>
      <c r="E552" s="244"/>
      <c r="F552" s="238">
        <v>43007</v>
      </c>
    </row>
    <row r="553" spans="1:6">
      <c r="A553" t="s">
        <v>434</v>
      </c>
      <c r="B553" t="s">
        <v>2738</v>
      </c>
      <c r="D553">
        <v>2.0167999999999999</v>
      </c>
      <c r="E553" s="244"/>
      <c r="F553" s="238">
        <v>43007</v>
      </c>
    </row>
    <row r="554" spans="1:6">
      <c r="A554" t="s">
        <v>433</v>
      </c>
      <c r="B554" t="s">
        <v>2712</v>
      </c>
      <c r="D554">
        <v>1.5846</v>
      </c>
      <c r="E554" s="244"/>
      <c r="F554" s="238">
        <v>43008</v>
      </c>
    </row>
    <row r="555" spans="1:6">
      <c r="A555" t="s">
        <v>432</v>
      </c>
      <c r="B555" t="s">
        <v>2777</v>
      </c>
      <c r="D555" s="237">
        <v>1.8146</v>
      </c>
      <c r="E555"/>
      <c r="F555" s="238">
        <v>43010</v>
      </c>
    </row>
    <row r="556" spans="1:6">
      <c r="A556" t="s">
        <v>431</v>
      </c>
      <c r="B556" t="s">
        <v>2695</v>
      </c>
      <c r="D556">
        <v>1.7259</v>
      </c>
      <c r="E556" s="244"/>
      <c r="F556" s="237"/>
    </row>
    <row r="557" spans="1:6">
      <c r="A557" t="s">
        <v>430</v>
      </c>
      <c r="B557">
        <v>196</v>
      </c>
      <c r="C557" t="s">
        <v>2490</v>
      </c>
      <c r="D557">
        <v>1.863</v>
      </c>
      <c r="E557" s="221" t="s">
        <v>2450</v>
      </c>
      <c r="F557" s="16">
        <v>43208</v>
      </c>
    </row>
    <row r="558" spans="1:6">
      <c r="A558" t="s">
        <v>429</v>
      </c>
      <c r="B558" t="s">
        <v>2742</v>
      </c>
      <c r="D558">
        <v>1.7403999999999999</v>
      </c>
      <c r="E558" s="244"/>
      <c r="F558" s="238">
        <v>43008</v>
      </c>
    </row>
    <row r="559" spans="1:6">
      <c r="A559" t="s">
        <v>428</v>
      </c>
      <c r="B559">
        <v>198</v>
      </c>
      <c r="C559" t="s">
        <v>2490</v>
      </c>
      <c r="D559">
        <v>1.7210000000000001</v>
      </c>
      <c r="E559" s="221" t="s">
        <v>2448</v>
      </c>
      <c r="F559" s="16">
        <v>43208</v>
      </c>
    </row>
    <row r="560" spans="1:6">
      <c r="A560" t="s">
        <v>427</v>
      </c>
      <c r="B560" t="s">
        <v>2910</v>
      </c>
      <c r="D560" s="245">
        <v>1.9524999999999999</v>
      </c>
      <c r="E560" t="s">
        <v>2111</v>
      </c>
      <c r="F560" s="238">
        <v>43337</v>
      </c>
    </row>
    <row r="561" spans="1:11">
      <c r="A561" t="s">
        <v>426</v>
      </c>
      <c r="B561" t="s">
        <v>2872</v>
      </c>
      <c r="D561" s="245">
        <v>1.9921</v>
      </c>
      <c r="E561" t="s">
        <v>2873</v>
      </c>
      <c r="F561" s="238">
        <v>43334</v>
      </c>
    </row>
    <row r="562" spans="1:11">
      <c r="A562" t="s">
        <v>425</v>
      </c>
      <c r="B562" t="s">
        <v>2788</v>
      </c>
      <c r="D562" s="237">
        <v>1.8105</v>
      </c>
      <c r="E562"/>
      <c r="F562" s="238">
        <v>43010</v>
      </c>
    </row>
    <row r="563" spans="1:11">
      <c r="A563" t="s">
        <v>424</v>
      </c>
      <c r="B563" t="s">
        <v>2696</v>
      </c>
      <c r="D563">
        <v>1.9014</v>
      </c>
      <c r="E563" s="244"/>
      <c r="F563" s="238">
        <v>43009</v>
      </c>
    </row>
    <row r="564" spans="1:11">
      <c r="A564" t="s">
        <v>423</v>
      </c>
      <c r="B564" t="s">
        <v>2863</v>
      </c>
      <c r="D564" s="245">
        <v>1.9879</v>
      </c>
      <c r="E564" t="s">
        <v>2115</v>
      </c>
      <c r="F564" s="238">
        <v>43333</v>
      </c>
      <c r="K564" s="246"/>
    </row>
    <row r="565" spans="1:11">
      <c r="A565" t="s">
        <v>422</v>
      </c>
      <c r="B565" t="s">
        <v>2698</v>
      </c>
      <c r="D565">
        <v>1.7592000000000001</v>
      </c>
      <c r="E565" s="244"/>
      <c r="F565" s="238">
        <v>43009</v>
      </c>
    </row>
    <row r="566" spans="1:11">
      <c r="A566" t="s">
        <v>421</v>
      </c>
      <c r="B566" t="s">
        <v>2748</v>
      </c>
      <c r="D566">
        <v>1.8359000000000001</v>
      </c>
      <c r="E566" s="244"/>
      <c r="F566" s="238">
        <v>43009</v>
      </c>
    </row>
    <row r="567" spans="1:11">
      <c r="A567" t="s">
        <v>419</v>
      </c>
      <c r="B567" t="s">
        <v>2903</v>
      </c>
      <c r="D567" s="245">
        <v>1.9978</v>
      </c>
      <c r="E567" t="s">
        <v>2115</v>
      </c>
      <c r="F567" s="238">
        <v>43337</v>
      </c>
      <c r="K567" s="246"/>
    </row>
    <row r="568" spans="1:11">
      <c r="A568" t="s">
        <v>418</v>
      </c>
      <c r="B568" t="s">
        <v>2907</v>
      </c>
      <c r="D568" s="245">
        <v>1.9549000000000001</v>
      </c>
      <c r="E568"/>
      <c r="F568" s="238">
        <v>43337</v>
      </c>
      <c r="K568" s="246"/>
    </row>
    <row r="569" spans="1:11">
      <c r="A569" t="s">
        <v>417</v>
      </c>
      <c r="B569" t="s">
        <v>2860</v>
      </c>
      <c r="D569" s="245">
        <v>0.13320000000000001</v>
      </c>
      <c r="E569" t="s">
        <v>2861</v>
      </c>
      <c r="F569" s="238">
        <v>43333</v>
      </c>
    </row>
    <row r="570" spans="1:11">
      <c r="A570" t="s">
        <v>416</v>
      </c>
      <c r="B570" t="s">
        <v>2761</v>
      </c>
      <c r="D570">
        <v>1.8997999999999999</v>
      </c>
      <c r="E570" s="244"/>
      <c r="F570" s="238">
        <v>43007</v>
      </c>
    </row>
    <row r="571" spans="1:11">
      <c r="A571" t="s">
        <v>414</v>
      </c>
      <c r="B571" t="s">
        <v>2859</v>
      </c>
      <c r="D571" s="245">
        <f>0.7145+0.685</f>
        <v>1.3995000000000002</v>
      </c>
      <c r="E571" t="s">
        <v>3239</v>
      </c>
      <c r="F571" s="238">
        <v>43333</v>
      </c>
    </row>
    <row r="572" spans="1:11">
      <c r="A572" t="s">
        <v>413</v>
      </c>
      <c r="B572" t="s">
        <v>2926</v>
      </c>
      <c r="D572" s="245">
        <v>1.9471000000000001</v>
      </c>
      <c r="E572"/>
      <c r="F572" s="238">
        <v>43338</v>
      </c>
    </row>
    <row r="573" spans="1:11">
      <c r="A573" t="s">
        <v>412</v>
      </c>
      <c r="B573" t="s">
        <v>2765</v>
      </c>
      <c r="E573" s="244" t="s">
        <v>2766</v>
      </c>
      <c r="F573" s="238">
        <v>43007</v>
      </c>
    </row>
    <row r="574" spans="1:11">
      <c r="A574" t="s">
        <v>411</v>
      </c>
      <c r="B574" t="s">
        <v>2784</v>
      </c>
      <c r="D574" s="237">
        <v>1.9579</v>
      </c>
      <c r="E574"/>
      <c r="F574" s="238">
        <v>43010</v>
      </c>
    </row>
    <row r="575" spans="1:11">
      <c r="A575" t="s">
        <v>410</v>
      </c>
      <c r="B575" t="s">
        <v>2742</v>
      </c>
      <c r="D575">
        <v>1.7859</v>
      </c>
      <c r="E575" s="244"/>
      <c r="F575" s="238">
        <v>43008</v>
      </c>
    </row>
    <row r="576" spans="1:11">
      <c r="A576" t="s">
        <v>407</v>
      </c>
      <c r="B576" t="s">
        <v>2730</v>
      </c>
      <c r="D576">
        <v>1.9874000000000001</v>
      </c>
      <c r="E576" s="244"/>
      <c r="F576" s="238">
        <v>43007</v>
      </c>
    </row>
    <row r="577" spans="1:11">
      <c r="A577" t="s">
        <v>406</v>
      </c>
      <c r="B577" t="s">
        <v>2872</v>
      </c>
      <c r="D577" s="245">
        <v>1.9025000000000001</v>
      </c>
      <c r="E577" t="s">
        <v>2111</v>
      </c>
      <c r="F577" s="238">
        <v>43334</v>
      </c>
    </row>
    <row r="578" spans="1:11">
      <c r="A578" t="s">
        <v>405</v>
      </c>
      <c r="B578" t="s">
        <v>2904</v>
      </c>
      <c r="D578" s="245">
        <v>1.8914</v>
      </c>
      <c r="E578"/>
      <c r="F578" s="238">
        <v>43337</v>
      </c>
    </row>
    <row r="579" spans="1:11">
      <c r="A579" t="s">
        <v>404</v>
      </c>
      <c r="B579" t="s">
        <v>2771</v>
      </c>
      <c r="D579">
        <v>1.0566</v>
      </c>
      <c r="E579" s="244"/>
      <c r="F579" s="238">
        <v>43010</v>
      </c>
    </row>
    <row r="580" spans="1:11">
      <c r="A580" t="s">
        <v>403</v>
      </c>
      <c r="B580" t="s">
        <v>2715</v>
      </c>
      <c r="D580">
        <v>1.6238999999999999</v>
      </c>
      <c r="E580" s="244"/>
      <c r="F580" s="238">
        <v>43009</v>
      </c>
    </row>
    <row r="581" spans="1:11">
      <c r="A581" t="s">
        <v>402</v>
      </c>
      <c r="B581" t="s">
        <v>2921</v>
      </c>
      <c r="D581" s="245">
        <v>1.9686999999999999</v>
      </c>
      <c r="E581"/>
      <c r="F581" s="238">
        <v>43338</v>
      </c>
    </row>
    <row r="582" spans="1:11">
      <c r="A582" t="s">
        <v>400</v>
      </c>
      <c r="B582" t="s">
        <v>2868</v>
      </c>
      <c r="D582" s="245">
        <v>1.9457</v>
      </c>
      <c r="E582" t="s">
        <v>2115</v>
      </c>
      <c r="F582" s="238">
        <v>43334</v>
      </c>
    </row>
    <row r="583" spans="1:11">
      <c r="A583" t="s">
        <v>399</v>
      </c>
      <c r="B583" t="s">
        <v>2792</v>
      </c>
      <c r="D583" s="237">
        <v>1.6575</v>
      </c>
      <c r="E583"/>
      <c r="F583" s="238">
        <v>43008</v>
      </c>
    </row>
    <row r="584" spans="1:11">
      <c r="A584" t="s">
        <v>398</v>
      </c>
      <c r="B584" t="s">
        <v>2922</v>
      </c>
      <c r="D584" s="245">
        <v>1.9702999999999999</v>
      </c>
      <c r="E584" t="s">
        <v>2909</v>
      </c>
      <c r="F584" s="238">
        <v>43338</v>
      </c>
    </row>
    <row r="585" spans="1:11">
      <c r="A585" t="s">
        <v>397</v>
      </c>
      <c r="B585" t="s">
        <v>2723</v>
      </c>
      <c r="D585">
        <v>1.8767</v>
      </c>
      <c r="E585" s="244"/>
      <c r="F585" s="238">
        <v>43007</v>
      </c>
    </row>
    <row r="586" spans="1:11">
      <c r="A586" t="s">
        <v>396</v>
      </c>
      <c r="B586" t="s">
        <v>2726</v>
      </c>
      <c r="D586">
        <v>1.9944999999999999</v>
      </c>
      <c r="E586" s="244"/>
      <c r="F586" s="238">
        <v>43007</v>
      </c>
    </row>
    <row r="587" spans="1:11">
      <c r="A587" t="s">
        <v>395</v>
      </c>
      <c r="B587" t="s">
        <v>2768</v>
      </c>
      <c r="E587" s="244" t="s">
        <v>2763</v>
      </c>
      <c r="F587" s="238">
        <v>43010</v>
      </c>
    </row>
    <row r="588" spans="1:11">
      <c r="A588" t="s">
        <v>393</v>
      </c>
      <c r="B588" t="s">
        <v>2711</v>
      </c>
      <c r="D588">
        <v>5.0305999999999997</v>
      </c>
      <c r="E588" s="244"/>
      <c r="F588" s="238">
        <v>43008</v>
      </c>
      <c r="K588" s="246"/>
    </row>
    <row r="589" spans="1:11">
      <c r="A589" t="s">
        <v>391</v>
      </c>
      <c r="B589" t="s">
        <v>2736</v>
      </c>
      <c r="D589">
        <v>0.98360000000000003</v>
      </c>
      <c r="E589" s="244" t="s">
        <v>2497</v>
      </c>
      <c r="F589" s="238">
        <v>43007</v>
      </c>
    </row>
    <row r="590" spans="1:11">
      <c r="A590" t="s">
        <v>390</v>
      </c>
      <c r="B590" t="s">
        <v>2728</v>
      </c>
      <c r="D590">
        <v>1.9492</v>
      </c>
      <c r="E590" s="244"/>
      <c r="F590" s="238">
        <v>43007</v>
      </c>
    </row>
    <row r="591" spans="1:11">
      <c r="A591" t="s">
        <v>1066</v>
      </c>
      <c r="B591" t="s">
        <v>2687</v>
      </c>
      <c r="D591">
        <v>0.1565</v>
      </c>
      <c r="E591" s="244" t="s">
        <v>2688</v>
      </c>
      <c r="F591" s="237"/>
    </row>
    <row r="592" spans="1:11">
      <c r="A592" t="s">
        <v>388</v>
      </c>
      <c r="B592" t="s">
        <v>2886</v>
      </c>
      <c r="D592" s="245">
        <v>1.6394</v>
      </c>
      <c r="E592"/>
      <c r="F592" s="238">
        <v>43334</v>
      </c>
    </row>
    <row r="593" spans="1:6">
      <c r="A593" t="s">
        <v>387</v>
      </c>
      <c r="B593" t="s">
        <v>2759</v>
      </c>
      <c r="D593">
        <v>1.6897</v>
      </c>
      <c r="E593" s="244"/>
      <c r="F593" s="238">
        <v>43009</v>
      </c>
    </row>
    <row r="594" spans="1:6">
      <c r="A594" t="s">
        <v>383</v>
      </c>
      <c r="B594" t="s">
        <v>2705</v>
      </c>
      <c r="D594">
        <v>2.0406</v>
      </c>
      <c r="E594" s="244" t="s">
        <v>2497</v>
      </c>
      <c r="F594" s="238">
        <v>43008</v>
      </c>
    </row>
    <row r="595" spans="1:6">
      <c r="A595" t="s">
        <v>382</v>
      </c>
      <c r="B595" t="s">
        <v>2795</v>
      </c>
      <c r="D595" s="237">
        <v>1.7337</v>
      </c>
      <c r="E595"/>
      <c r="F595" s="238">
        <v>43008</v>
      </c>
    </row>
    <row r="596" spans="1:6">
      <c r="A596" t="s">
        <v>381</v>
      </c>
      <c r="B596" t="s">
        <v>2850</v>
      </c>
      <c r="D596" s="245">
        <v>1.6818</v>
      </c>
      <c r="E596" t="s">
        <v>2852</v>
      </c>
      <c r="F596" s="238">
        <v>43333</v>
      </c>
    </row>
    <row r="597" spans="1:6">
      <c r="A597" t="s">
        <v>380</v>
      </c>
      <c r="B597" t="s">
        <v>2699</v>
      </c>
      <c r="D597">
        <v>1.7075</v>
      </c>
      <c r="E597" s="244"/>
      <c r="F597" s="238">
        <v>43009</v>
      </c>
    </row>
    <row r="598" spans="1:6">
      <c r="A598" t="s">
        <v>379</v>
      </c>
      <c r="B598" t="s">
        <v>2876</v>
      </c>
      <c r="D598" s="245">
        <v>1.9821</v>
      </c>
      <c r="E598"/>
      <c r="F598" s="238">
        <v>43334</v>
      </c>
    </row>
    <row r="599" spans="1:6">
      <c r="A599" t="s">
        <v>378</v>
      </c>
      <c r="B599" t="s">
        <v>2929</v>
      </c>
      <c r="D599" s="245">
        <v>1.9017999999999999</v>
      </c>
      <c r="E599"/>
      <c r="F599" s="238">
        <v>43338</v>
      </c>
    </row>
    <row r="600" spans="1:6">
      <c r="A600" t="s">
        <v>377</v>
      </c>
      <c r="B600" t="s">
        <v>2764</v>
      </c>
      <c r="D600">
        <v>1.7052</v>
      </c>
      <c r="E600" s="244"/>
      <c r="F600" s="238">
        <v>43007</v>
      </c>
    </row>
    <row r="601" spans="1:6">
      <c r="A601" t="s">
        <v>376</v>
      </c>
      <c r="B601" t="s">
        <v>2866</v>
      </c>
      <c r="D601" s="245">
        <v>1.9797</v>
      </c>
      <c r="E601"/>
      <c r="F601" s="238">
        <v>43333</v>
      </c>
    </row>
    <row r="602" spans="1:6">
      <c r="A602" t="s">
        <v>375</v>
      </c>
      <c r="B602" t="s">
        <v>2911</v>
      </c>
      <c r="D602" s="245">
        <v>1.9178999999999999</v>
      </c>
      <c r="E602" t="s">
        <v>2115</v>
      </c>
      <c r="F602" s="238">
        <v>43337</v>
      </c>
    </row>
    <row r="603" spans="1:6">
      <c r="A603" t="s">
        <v>374</v>
      </c>
      <c r="B603" t="s">
        <v>2923</v>
      </c>
      <c r="D603" s="245">
        <v>1.9783999999999999</v>
      </c>
      <c r="E603"/>
      <c r="F603" s="238">
        <v>43338</v>
      </c>
    </row>
    <row r="604" spans="1:6">
      <c r="A604" t="s">
        <v>373</v>
      </c>
      <c r="B604" t="s">
        <v>2891</v>
      </c>
      <c r="D604" s="245">
        <v>1.6694</v>
      </c>
      <c r="E604" t="s">
        <v>2892</v>
      </c>
      <c r="F604" s="238">
        <v>43334</v>
      </c>
    </row>
    <row r="605" spans="1:6">
      <c r="A605" t="s">
        <v>371</v>
      </c>
      <c r="B605" t="s">
        <v>2708</v>
      </c>
      <c r="D605">
        <v>0.67179999999999995</v>
      </c>
      <c r="E605" s="244"/>
      <c r="F605" s="238">
        <v>43008</v>
      </c>
    </row>
    <row r="606" spans="1:6">
      <c r="A606" t="s">
        <v>370</v>
      </c>
      <c r="B606" t="s">
        <v>2910</v>
      </c>
      <c r="D606" s="245">
        <v>1.9911000000000001</v>
      </c>
      <c r="E606"/>
      <c r="F606" s="238">
        <v>43337</v>
      </c>
    </row>
    <row r="607" spans="1:6">
      <c r="A607" t="s">
        <v>369</v>
      </c>
      <c r="B607" t="s">
        <v>2912</v>
      </c>
      <c r="D607" s="245">
        <v>1.9444999999999999</v>
      </c>
      <c r="E607"/>
      <c r="F607" s="238">
        <v>43337</v>
      </c>
    </row>
    <row r="608" spans="1:6">
      <c r="A608" t="s">
        <v>368</v>
      </c>
      <c r="B608" t="s">
        <v>2686</v>
      </c>
      <c r="D608">
        <v>1.0895999999999999</v>
      </c>
      <c r="E608" s="244" t="s">
        <v>2677</v>
      </c>
      <c r="F608" s="237"/>
    </row>
    <row r="609" spans="1:11">
      <c r="A609" t="s">
        <v>367</v>
      </c>
      <c r="B609" t="s">
        <v>2785</v>
      </c>
      <c r="D609" s="237">
        <v>1.5579000000000001</v>
      </c>
      <c r="E609"/>
      <c r="F609" s="238">
        <v>43010</v>
      </c>
    </row>
    <row r="610" spans="1:11">
      <c r="A610" t="s">
        <v>366</v>
      </c>
      <c r="B610" t="s">
        <v>2772</v>
      </c>
      <c r="D610" s="237">
        <v>1.3551</v>
      </c>
      <c r="E610"/>
      <c r="F610" s="238">
        <v>43010</v>
      </c>
    </row>
    <row r="611" spans="1:11">
      <c r="A611" t="s">
        <v>365</v>
      </c>
      <c r="B611" t="s">
        <v>2701</v>
      </c>
      <c r="D611">
        <v>1.5979000000000001</v>
      </c>
      <c r="E611" s="244"/>
      <c r="F611" s="238">
        <v>43008</v>
      </c>
    </row>
    <row r="612" spans="1:11">
      <c r="A612" t="s">
        <v>363</v>
      </c>
      <c r="B612" t="s">
        <v>2906</v>
      </c>
      <c r="D612" s="245">
        <v>1.9447000000000001</v>
      </c>
      <c r="E612"/>
      <c r="F612" s="238">
        <v>43337</v>
      </c>
      <c r="K612" s="246"/>
    </row>
    <row r="613" spans="1:11">
      <c r="A613" t="s">
        <v>362</v>
      </c>
      <c r="B613" t="s">
        <v>2779</v>
      </c>
      <c r="D613" s="239">
        <v>1.8240000000000001</v>
      </c>
      <c r="E613"/>
      <c r="F613" s="238">
        <v>43010</v>
      </c>
    </row>
    <row r="614" spans="1:11">
      <c r="A614" t="s">
        <v>361</v>
      </c>
      <c r="B614" t="s">
        <v>2903</v>
      </c>
      <c r="D614" s="245">
        <v>1.9495</v>
      </c>
      <c r="E614" t="s">
        <v>2111</v>
      </c>
      <c r="F614" s="238">
        <v>43337</v>
      </c>
    </row>
    <row r="615" spans="1:11">
      <c r="A615" t="s">
        <v>360</v>
      </c>
      <c r="B615" t="s">
        <v>2702</v>
      </c>
      <c r="D615">
        <v>0.17680000000000001</v>
      </c>
      <c r="E615" s="244" t="s">
        <v>2141</v>
      </c>
      <c r="F615" s="238">
        <v>43008</v>
      </c>
    </row>
    <row r="616" spans="1:11">
      <c r="A616" t="s">
        <v>359</v>
      </c>
      <c r="B616" t="s">
        <v>2927</v>
      </c>
      <c r="D616" s="245">
        <v>1.9477</v>
      </c>
      <c r="E616"/>
      <c r="F616" s="238">
        <v>43338</v>
      </c>
    </row>
    <row r="617" spans="1:11">
      <c r="A617" t="s">
        <v>358</v>
      </c>
      <c r="B617" t="s">
        <v>2788</v>
      </c>
      <c r="D617" s="237">
        <v>1.8687</v>
      </c>
      <c r="E617"/>
      <c r="F617" s="238">
        <v>43010</v>
      </c>
    </row>
    <row r="618" spans="1:11">
      <c r="A618" t="s">
        <v>357</v>
      </c>
      <c r="B618" t="s">
        <v>2857</v>
      </c>
      <c r="D618" s="245">
        <v>1.992</v>
      </c>
      <c r="E618"/>
      <c r="F618" s="238">
        <v>43333</v>
      </c>
    </row>
    <row r="619" spans="1:11">
      <c r="A619" t="s">
        <v>356</v>
      </c>
      <c r="B619" t="s">
        <v>2863</v>
      </c>
      <c r="D619" s="245">
        <v>1.8973</v>
      </c>
      <c r="E619" t="s">
        <v>2111</v>
      </c>
      <c r="F619" s="238">
        <v>43333</v>
      </c>
    </row>
    <row r="620" spans="1:11">
      <c r="A620" t="s">
        <v>355</v>
      </c>
      <c r="B620" t="s">
        <v>2762</v>
      </c>
      <c r="E620" s="244" t="s">
        <v>2763</v>
      </c>
      <c r="F620" s="238">
        <v>43007</v>
      </c>
    </row>
    <row r="621" spans="1:11">
      <c r="A621" t="s">
        <v>354</v>
      </c>
      <c r="B621" t="s">
        <v>2732</v>
      </c>
      <c r="D621">
        <v>3.7812999999999999</v>
      </c>
      <c r="E621" s="244" t="s">
        <v>2497</v>
      </c>
      <c r="F621" s="238">
        <v>43007</v>
      </c>
    </row>
    <row r="622" spans="1:11">
      <c r="A622" t="s">
        <v>353</v>
      </c>
      <c r="B622" t="s">
        <v>2680</v>
      </c>
      <c r="D622">
        <v>1.7806</v>
      </c>
      <c r="E622" s="244" t="s">
        <v>2497</v>
      </c>
      <c r="F622" s="238">
        <v>43008</v>
      </c>
    </row>
    <row r="623" spans="1:11">
      <c r="A623" t="s">
        <v>352</v>
      </c>
      <c r="B623" t="s">
        <v>2917</v>
      </c>
      <c r="D623" s="245">
        <v>1.8551</v>
      </c>
      <c r="E623"/>
      <c r="F623" s="238">
        <v>43337</v>
      </c>
    </row>
    <row r="624" spans="1:11">
      <c r="A624" t="s">
        <v>351</v>
      </c>
      <c r="B624" t="s">
        <v>2776</v>
      </c>
      <c r="D624" s="237">
        <v>0.43190000000000001</v>
      </c>
      <c r="E624" t="s">
        <v>2763</v>
      </c>
      <c r="F624" s="238">
        <v>43010</v>
      </c>
    </row>
    <row r="625" spans="1:6">
      <c r="A625" t="s">
        <v>350</v>
      </c>
      <c r="B625" t="s">
        <v>2717</v>
      </c>
      <c r="D625">
        <v>2.4607999999999999</v>
      </c>
      <c r="E625" s="244" t="s">
        <v>2713</v>
      </c>
      <c r="F625" s="238">
        <v>43008</v>
      </c>
    </row>
    <row r="626" spans="1:6">
      <c r="A626" t="s">
        <v>349</v>
      </c>
      <c r="B626" t="s">
        <v>2786</v>
      </c>
      <c r="D626" s="237">
        <v>2.2315</v>
      </c>
      <c r="E626" t="s">
        <v>2787</v>
      </c>
      <c r="F626" s="238">
        <v>43010</v>
      </c>
    </row>
    <row r="627" spans="1:6">
      <c r="A627" t="s">
        <v>348</v>
      </c>
      <c r="B627" t="s">
        <v>2794</v>
      </c>
      <c r="D627" s="239">
        <v>1.629</v>
      </c>
      <c r="E627" t="s">
        <v>2747</v>
      </c>
      <c r="F627" s="238">
        <v>43008</v>
      </c>
    </row>
    <row r="628" spans="1:6">
      <c r="A628" t="s">
        <v>347</v>
      </c>
      <c r="B628" t="s">
        <v>2791</v>
      </c>
      <c r="D628" s="237"/>
      <c r="E628" t="s">
        <v>2848</v>
      </c>
      <c r="F628" s="238">
        <v>43008</v>
      </c>
    </row>
    <row r="629" spans="1:6">
      <c r="A629" t="s">
        <v>346</v>
      </c>
      <c r="B629" t="s">
        <v>2721</v>
      </c>
      <c r="D629">
        <v>0.24560000000000001</v>
      </c>
      <c r="E629" s="244" t="s">
        <v>2141</v>
      </c>
      <c r="F629" s="238">
        <v>43007</v>
      </c>
    </row>
    <row r="630" spans="1:6">
      <c r="A630" t="s">
        <v>345</v>
      </c>
      <c r="B630" t="s">
        <v>2928</v>
      </c>
      <c r="D630" s="245">
        <v>1.9469000000000001</v>
      </c>
      <c r="E630"/>
      <c r="F630" s="238">
        <v>43338</v>
      </c>
    </row>
    <row r="631" spans="1:6">
      <c r="A631" t="s">
        <v>344</v>
      </c>
      <c r="B631" t="s">
        <v>2900</v>
      </c>
      <c r="D631" s="245">
        <v>0.83220000000000005</v>
      </c>
      <c r="E631" t="s">
        <v>2902</v>
      </c>
      <c r="F631" s="238">
        <v>43334</v>
      </c>
    </row>
    <row r="632" spans="1:6">
      <c r="A632" t="s">
        <v>343</v>
      </c>
      <c r="B632" t="s">
        <v>2867</v>
      </c>
      <c r="D632" s="245">
        <v>1.9076</v>
      </c>
      <c r="E632"/>
      <c r="F632" s="238">
        <v>43333</v>
      </c>
    </row>
    <row r="633" spans="1:6">
      <c r="A633" t="s">
        <v>342</v>
      </c>
      <c r="B633" t="s">
        <v>2898</v>
      </c>
      <c r="D633" s="245">
        <v>1.5708</v>
      </c>
      <c r="E633"/>
      <c r="F633" s="238">
        <v>43334</v>
      </c>
    </row>
    <row r="634" spans="1:6">
      <c r="A634" t="s">
        <v>341</v>
      </c>
      <c r="B634" t="s">
        <v>2878</v>
      </c>
      <c r="D634" s="245">
        <v>1.8956999999999999</v>
      </c>
      <c r="E634"/>
      <c r="F634" s="238">
        <v>43334</v>
      </c>
    </row>
    <row r="635" spans="1:6">
      <c r="A635" t="s">
        <v>340</v>
      </c>
      <c r="B635" t="s">
        <v>2228</v>
      </c>
      <c r="D635" s="245">
        <v>1.3494999999999999</v>
      </c>
      <c r="E635" t="s">
        <v>2887</v>
      </c>
      <c r="F635" s="238">
        <v>43334</v>
      </c>
    </row>
    <row r="636" spans="1:6">
      <c r="A636" t="s">
        <v>1061</v>
      </c>
      <c r="B636" t="s">
        <v>2750</v>
      </c>
      <c r="D636">
        <v>1.8815999999999999</v>
      </c>
      <c r="E636" s="244"/>
      <c r="F636" s="238">
        <v>43009</v>
      </c>
    </row>
    <row r="637" spans="1:6">
      <c r="A637" t="s">
        <v>339</v>
      </c>
      <c r="B637" t="s">
        <v>2915</v>
      </c>
      <c r="D637" s="245">
        <v>1.8712</v>
      </c>
      <c r="E637" t="s">
        <v>2115</v>
      </c>
      <c r="F637" s="238">
        <v>43337</v>
      </c>
    </row>
    <row r="638" spans="1:6">
      <c r="A638" t="s">
        <v>337</v>
      </c>
      <c r="B638" t="s">
        <v>2885</v>
      </c>
      <c r="D638" s="245">
        <v>1.6778</v>
      </c>
      <c r="E638"/>
      <c r="F638" s="238">
        <v>43334</v>
      </c>
    </row>
    <row r="639" spans="1:6">
      <c r="A639" t="s">
        <v>336</v>
      </c>
      <c r="B639">
        <v>212</v>
      </c>
      <c r="C639" t="s">
        <v>2490</v>
      </c>
      <c r="D639">
        <v>0.78500000000000003</v>
      </c>
      <c r="E639" s="221" t="s">
        <v>2496</v>
      </c>
      <c r="F639" s="16">
        <v>43208</v>
      </c>
    </row>
    <row r="640" spans="1:6">
      <c r="A640" t="s">
        <v>335</v>
      </c>
      <c r="B640" t="s">
        <v>2789</v>
      </c>
      <c r="D640" s="237">
        <v>1.3936999999999999</v>
      </c>
      <c r="E640"/>
      <c r="F640" s="238">
        <v>43010</v>
      </c>
    </row>
    <row r="641" spans="1:11">
      <c r="A641" t="s">
        <v>333</v>
      </c>
      <c r="B641" t="s">
        <v>2854</v>
      </c>
      <c r="D641" s="245">
        <v>0.14760000000000001</v>
      </c>
      <c r="E641" t="s">
        <v>2855</v>
      </c>
      <c r="F641" s="238">
        <v>43333</v>
      </c>
    </row>
    <row r="642" spans="1:11">
      <c r="A642" t="s">
        <v>332</v>
      </c>
      <c r="B642" t="s">
        <v>2697</v>
      </c>
      <c r="D642">
        <v>1.5793999999999999</v>
      </c>
      <c r="E642" s="244" t="s">
        <v>2692</v>
      </c>
      <c r="F642" s="238">
        <v>43008</v>
      </c>
    </row>
    <row r="643" spans="1:11">
      <c r="A643" t="s">
        <v>331</v>
      </c>
      <c r="B643" t="s">
        <v>2777</v>
      </c>
      <c r="D643" s="237">
        <v>0</v>
      </c>
      <c r="E643" t="s">
        <v>2778</v>
      </c>
      <c r="F643" s="238">
        <v>43010</v>
      </c>
    </row>
    <row r="644" spans="1:11">
      <c r="A644" t="s">
        <v>329</v>
      </c>
      <c r="B644" t="s">
        <v>2914</v>
      </c>
      <c r="D644" s="245">
        <v>1.9188000000000001</v>
      </c>
      <c r="E644" t="s">
        <v>2115</v>
      </c>
      <c r="F644" s="238">
        <v>43337</v>
      </c>
      <c r="K644" s="246"/>
    </row>
    <row r="645" spans="1:11">
      <c r="A645" t="s">
        <v>328</v>
      </c>
      <c r="B645" t="s">
        <v>2734</v>
      </c>
      <c r="D645">
        <v>1.8292999999999999</v>
      </c>
      <c r="E645" s="244" t="s">
        <v>2692</v>
      </c>
      <c r="F645" s="238">
        <v>43007</v>
      </c>
    </row>
    <row r="646" spans="1:11">
      <c r="A646" t="s">
        <v>327</v>
      </c>
      <c r="B646" t="s">
        <v>2913</v>
      </c>
      <c r="D646" s="245">
        <v>1.8855</v>
      </c>
      <c r="E646"/>
      <c r="F646" s="238">
        <v>43337</v>
      </c>
    </row>
    <row r="647" spans="1:11">
      <c r="A647" t="s">
        <v>326</v>
      </c>
      <c r="B647" t="s">
        <v>2712</v>
      </c>
      <c r="D647">
        <v>2.1772999999999998</v>
      </c>
      <c r="E647" s="244" t="s">
        <v>2713</v>
      </c>
      <c r="F647" s="238">
        <v>43008</v>
      </c>
    </row>
    <row r="648" spans="1:11">
      <c r="A648" t="s">
        <v>325</v>
      </c>
      <c r="B648" t="s">
        <v>2709</v>
      </c>
      <c r="D648">
        <v>2.4714999999999998</v>
      </c>
      <c r="E648" s="244"/>
      <c r="F648" s="238">
        <v>43009</v>
      </c>
    </row>
    <row r="649" spans="1:11">
      <c r="A649" t="s">
        <v>324</v>
      </c>
      <c r="B649" t="s">
        <v>2916</v>
      </c>
      <c r="D649" s="245">
        <v>1.9467000000000001</v>
      </c>
      <c r="E649"/>
      <c r="F649" s="238">
        <v>43337</v>
      </c>
    </row>
    <row r="650" spans="1:11">
      <c r="A650" t="s">
        <v>323</v>
      </c>
      <c r="B650" t="s">
        <v>2877</v>
      </c>
      <c r="D650" s="245">
        <v>1.9451000000000001</v>
      </c>
      <c r="E650"/>
      <c r="F650" s="238">
        <v>43334</v>
      </c>
    </row>
    <row r="651" spans="1:11">
      <c r="A651" t="s">
        <v>321</v>
      </c>
      <c r="B651" t="s">
        <v>2905</v>
      </c>
      <c r="D651" s="245">
        <v>1.9155</v>
      </c>
      <c r="E651"/>
      <c r="F651" s="238">
        <v>43337</v>
      </c>
    </row>
    <row r="652" spans="1:11">
      <c r="A652" t="s">
        <v>320</v>
      </c>
      <c r="B652" t="s">
        <v>2793</v>
      </c>
      <c r="D652" s="237">
        <v>2.8028</v>
      </c>
      <c r="E652"/>
      <c r="F652" s="238">
        <v>43008</v>
      </c>
    </row>
    <row r="653" spans="1:11">
      <c r="A653" t="s">
        <v>319</v>
      </c>
      <c r="B653" t="s">
        <v>2880</v>
      </c>
      <c r="D653" s="245">
        <v>1.2708999999999999</v>
      </c>
      <c r="E653" t="s">
        <v>2882</v>
      </c>
      <c r="F653" s="238">
        <v>43334</v>
      </c>
    </row>
    <row r="654" spans="1:11">
      <c r="A654" t="s">
        <v>318</v>
      </c>
      <c r="B654" t="s">
        <v>2701</v>
      </c>
      <c r="D654">
        <v>0.2059</v>
      </c>
      <c r="E654" s="244" t="s">
        <v>2692</v>
      </c>
      <c r="F654" s="238">
        <v>43008</v>
      </c>
    </row>
    <row r="655" spans="1:11">
      <c r="A655" t="s">
        <v>316</v>
      </c>
      <c r="B655" t="s">
        <v>2780</v>
      </c>
      <c r="D655" s="237"/>
      <c r="E655" t="s">
        <v>2781</v>
      </c>
      <c r="F655" s="238">
        <v>43010</v>
      </c>
    </row>
    <row r="656" spans="1:11">
      <c r="A656" t="s">
        <v>315</v>
      </c>
      <c r="B656" t="s">
        <v>2790</v>
      </c>
      <c r="D656" s="237">
        <v>1.7653000000000001</v>
      </c>
      <c r="E656"/>
      <c r="F656" s="238">
        <v>43010</v>
      </c>
    </row>
    <row r="657" spans="1:6">
      <c r="A657" t="s">
        <v>314</v>
      </c>
      <c r="B657" t="s">
        <v>2925</v>
      </c>
      <c r="D657" s="245">
        <v>1.8925000000000001</v>
      </c>
      <c r="E657"/>
      <c r="F657" s="238">
        <v>43338</v>
      </c>
    </row>
    <row r="658" spans="1:6">
      <c r="A658" t="s">
        <v>313</v>
      </c>
      <c r="B658" t="s">
        <v>2727</v>
      </c>
      <c r="D658">
        <v>1.9086000000000001</v>
      </c>
      <c r="E658" s="244"/>
      <c r="F658" s="238">
        <v>43007</v>
      </c>
    </row>
    <row r="659" spans="1:6">
      <c r="A659" t="s">
        <v>311</v>
      </c>
      <c r="B659" t="s">
        <v>2918</v>
      </c>
      <c r="D659" s="245">
        <v>1.7596000000000001</v>
      </c>
      <c r="E659" t="s">
        <v>2115</v>
      </c>
      <c r="F659" s="238">
        <v>43337</v>
      </c>
    </row>
    <row r="660" spans="1:6">
      <c r="A660" t="s">
        <v>310</v>
      </c>
      <c r="B660" t="s">
        <v>2893</v>
      </c>
      <c r="D660" s="245">
        <v>1.1127</v>
      </c>
      <c r="E660" t="s">
        <v>2884</v>
      </c>
      <c r="F660" s="238">
        <v>43334</v>
      </c>
    </row>
    <row r="661" spans="1:6">
      <c r="A661" t="s">
        <v>309</v>
      </c>
      <c r="B661" t="s">
        <v>2879</v>
      </c>
      <c r="D661" s="245">
        <v>1.9719</v>
      </c>
      <c r="E661"/>
      <c r="F661" s="238">
        <v>43334</v>
      </c>
    </row>
    <row r="662" spans="1:6">
      <c r="A662" t="s">
        <v>308</v>
      </c>
      <c r="B662" t="s">
        <v>2870</v>
      </c>
      <c r="D662" s="245">
        <v>1.9105000000000001</v>
      </c>
      <c r="E662" t="s">
        <v>2871</v>
      </c>
      <c r="F662" s="238">
        <v>43334</v>
      </c>
    </row>
    <row r="663" spans="1:6">
      <c r="A663" t="s">
        <v>307</v>
      </c>
      <c r="B663" t="s">
        <v>2770</v>
      </c>
      <c r="D663">
        <v>1.7279</v>
      </c>
      <c r="E663" s="244"/>
      <c r="F663" s="238">
        <v>43010</v>
      </c>
    </row>
    <row r="664" spans="1:6">
      <c r="A664" t="s">
        <v>306</v>
      </c>
      <c r="B664" t="s">
        <v>2849</v>
      </c>
      <c r="D664" s="245">
        <v>1.9791000000000001</v>
      </c>
      <c r="E664"/>
      <c r="F664" s="238">
        <v>43333</v>
      </c>
    </row>
    <row r="665" spans="1:6">
      <c r="A665" t="s">
        <v>304</v>
      </c>
      <c r="B665" t="s">
        <v>2681</v>
      </c>
      <c r="D665">
        <v>1.7563</v>
      </c>
      <c r="E665" s="244"/>
      <c r="F665" s="238">
        <v>43008</v>
      </c>
    </row>
    <row r="666" spans="1:6">
      <c r="A666" t="s">
        <v>303</v>
      </c>
      <c r="B666" t="s">
        <v>2783</v>
      </c>
      <c r="D666" s="237">
        <v>0.62509999999999999</v>
      </c>
      <c r="E666"/>
      <c r="F666" s="238">
        <v>43010</v>
      </c>
    </row>
    <row r="667" spans="1:6">
      <c r="A667" t="s">
        <v>302</v>
      </c>
      <c r="B667" t="s">
        <v>2767</v>
      </c>
      <c r="D667">
        <v>1.7436</v>
      </c>
      <c r="E667" s="244"/>
      <c r="F667" s="238">
        <v>43008</v>
      </c>
    </row>
    <row r="668" spans="1:6">
      <c r="A668" t="s">
        <v>301</v>
      </c>
      <c r="B668" t="s">
        <v>2725</v>
      </c>
      <c r="D668">
        <v>1.0848</v>
      </c>
      <c r="E668" s="244" t="s">
        <v>2933</v>
      </c>
      <c r="F668" s="238">
        <v>43007</v>
      </c>
    </row>
    <row r="669" spans="1:6">
      <c r="A669" t="s">
        <v>300</v>
      </c>
      <c r="B669" t="s">
        <v>2864</v>
      </c>
      <c r="D669" s="245">
        <v>1.9775</v>
      </c>
      <c r="E669"/>
      <c r="F669" s="238">
        <v>43333</v>
      </c>
    </row>
    <row r="670" spans="1:6">
      <c r="A670" t="s">
        <v>1057</v>
      </c>
      <c r="B670" t="s">
        <v>2782</v>
      </c>
      <c r="D670" s="237">
        <v>1.8827</v>
      </c>
      <c r="E670"/>
      <c r="F670" s="238">
        <v>43010</v>
      </c>
    </row>
    <row r="671" spans="1:6">
      <c r="A671" t="s">
        <v>299</v>
      </c>
      <c r="B671" t="s">
        <v>2924</v>
      </c>
      <c r="D671" s="245">
        <v>2.0405000000000002</v>
      </c>
      <c r="E671"/>
      <c r="F671" s="238">
        <v>43338</v>
      </c>
    </row>
    <row r="672" spans="1:6">
      <c r="C672" s="245"/>
      <c r="E672"/>
    </row>
  </sheetData>
  <sortState ref="A2:K671">
    <sortCondition ref="A2"/>
  </sortState>
  <pageMargins left="0.7" right="0.7" top="0.75" bottom="0.75" header="0.3" footer="0.3"/>
  <pageSetup paperSize="9" orientation="portrait" r:id="rId1"/>
  <legacyDrawing r:id="rId2"/>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B46E8A1-3965-4997-AB9A-91E8FFC1B788}">
  <dimension ref="A1:AG363"/>
  <sheetViews>
    <sheetView zoomScale="85" zoomScaleNormal="85" workbookViewId="0">
      <pane xSplit="3" ySplit="2" topLeftCell="Q3" activePane="bottomRight" state="frozen"/>
      <selection pane="topRight" activeCell="D1" sqref="D1"/>
      <selection pane="bottomLeft" activeCell="A3" sqref="A3"/>
      <selection pane="bottomRight" activeCell="Y20" sqref="Y20"/>
    </sheetView>
  </sheetViews>
  <sheetFormatPr baseColWidth="10" defaultColWidth="11.44140625" defaultRowHeight="14.4"/>
  <cols>
    <col min="3" max="3" width="14.6640625" customWidth="1"/>
    <col min="11" max="11" width="11.44140625" customWidth="1"/>
    <col min="27" max="27" width="24.44140625" customWidth="1"/>
    <col min="30" max="30" width="37.77734375" customWidth="1"/>
  </cols>
  <sheetData>
    <row r="1" spans="1:33">
      <c r="A1" s="118" t="s">
        <v>2159</v>
      </c>
      <c r="B1" s="119" t="s">
        <v>2627</v>
      </c>
      <c r="C1" s="119" t="s">
        <v>2161</v>
      </c>
      <c r="D1" s="119" t="s">
        <v>2625</v>
      </c>
      <c r="E1" s="117" t="s">
        <v>1141</v>
      </c>
      <c r="F1" s="117" t="s">
        <v>2163</v>
      </c>
      <c r="G1" s="117" t="s">
        <v>1141</v>
      </c>
      <c r="H1" s="117" t="s">
        <v>2163</v>
      </c>
      <c r="I1" s="117" t="s">
        <v>2164</v>
      </c>
      <c r="J1" s="117" t="s">
        <v>1147</v>
      </c>
      <c r="K1" s="117"/>
      <c r="L1" s="117" t="s">
        <v>298</v>
      </c>
      <c r="M1" s="117"/>
      <c r="N1" s="117" t="s">
        <v>2165</v>
      </c>
      <c r="O1" s="117"/>
      <c r="P1" s="117" t="s">
        <v>2166</v>
      </c>
      <c r="Q1" s="117"/>
      <c r="R1" s="118" t="s">
        <v>2167</v>
      </c>
      <c r="S1" s="118" t="s">
        <v>2168</v>
      </c>
      <c r="T1" s="118" t="s">
        <v>2167</v>
      </c>
      <c r="U1" s="118" t="s">
        <v>2168</v>
      </c>
      <c r="V1" s="119" t="s">
        <v>1147</v>
      </c>
      <c r="W1" s="119" t="s">
        <v>298</v>
      </c>
      <c r="X1" s="119" t="s">
        <v>2169</v>
      </c>
      <c r="Y1" s="119" t="s">
        <v>2166</v>
      </c>
      <c r="Z1" s="120" t="s">
        <v>2170</v>
      </c>
      <c r="AA1" s="120" t="s">
        <v>2675</v>
      </c>
      <c r="AB1" s="120" t="s">
        <v>2170</v>
      </c>
      <c r="AC1" s="120" t="s">
        <v>2931</v>
      </c>
      <c r="AD1" s="155"/>
      <c r="AE1" s="158"/>
    </row>
    <row r="2" spans="1:33">
      <c r="A2" s="135" t="s">
        <v>2149</v>
      </c>
      <c r="B2" s="135"/>
      <c r="C2" s="135"/>
      <c r="D2" s="135"/>
      <c r="E2" s="135" t="s">
        <v>2150</v>
      </c>
      <c r="F2" s="135"/>
      <c r="G2" s="135" t="s">
        <v>2151</v>
      </c>
      <c r="H2" s="135"/>
      <c r="I2" s="117" t="s">
        <v>2152</v>
      </c>
      <c r="J2" s="135" t="s">
        <v>2153</v>
      </c>
      <c r="K2" s="135"/>
      <c r="L2" s="135" t="s">
        <v>2153</v>
      </c>
      <c r="M2" s="135"/>
      <c r="N2" s="135" t="s">
        <v>2153</v>
      </c>
      <c r="O2" s="135"/>
      <c r="P2" s="135" t="s">
        <v>2153</v>
      </c>
      <c r="Q2" s="135"/>
      <c r="R2" s="135" t="s">
        <v>2453</v>
      </c>
      <c r="S2" s="135"/>
      <c r="T2" s="135" t="s">
        <v>2452</v>
      </c>
      <c r="U2" s="135"/>
      <c r="V2" s="147" t="s">
        <v>2154</v>
      </c>
      <c r="W2" s="147"/>
      <c r="X2" s="147"/>
      <c r="Y2" s="147"/>
      <c r="Z2" s="150" t="s">
        <v>2155</v>
      </c>
      <c r="AA2" s="150"/>
      <c r="AB2" s="150" t="s">
        <v>2156</v>
      </c>
      <c r="AC2" s="150"/>
      <c r="AD2" s="155" t="s">
        <v>2157</v>
      </c>
      <c r="AE2" s="158" t="s">
        <v>2158</v>
      </c>
      <c r="AG2" s="165"/>
    </row>
    <row r="3" spans="1:33">
      <c r="A3" s="134">
        <v>1</v>
      </c>
      <c r="B3" s="136" t="s">
        <v>2171</v>
      </c>
      <c r="C3" s="136" t="s">
        <v>2172</v>
      </c>
      <c r="D3" s="137" t="s">
        <v>2173</v>
      </c>
      <c r="E3" s="140">
        <v>42766</v>
      </c>
      <c r="F3" s="141">
        <v>0.52083333333333337</v>
      </c>
      <c r="G3" s="140">
        <v>42818</v>
      </c>
      <c r="H3" s="141">
        <v>0.37847222222222227</v>
      </c>
      <c r="I3" s="123">
        <v>854</v>
      </c>
      <c r="J3" s="123">
        <v>436</v>
      </c>
      <c r="K3" s="142" t="str">
        <f>_xlfn.TEXTJOIN(,TRUE, "G",J3)</f>
        <v>G436</v>
      </c>
      <c r="L3" s="123">
        <v>17</v>
      </c>
      <c r="M3" s="142" t="str">
        <f>_xlfn.TEXTJOIN(,TRUE, "R",L3)</f>
        <v>R17</v>
      </c>
      <c r="N3" s="123">
        <v>752</v>
      </c>
      <c r="O3" s="142" t="str">
        <f>_xlfn.TEXTJOIN(,TRUE, "G",N3)</f>
        <v>G752</v>
      </c>
      <c r="P3" s="123">
        <v>133</v>
      </c>
      <c r="Q3" s="142" t="str">
        <f>_xlfn.TEXTJOIN(,TRUE, "R",P3)</f>
        <v>R133</v>
      </c>
      <c r="R3" s="123">
        <v>23.4</v>
      </c>
      <c r="S3" s="123">
        <v>17.3</v>
      </c>
      <c r="T3" s="138">
        <v>26</v>
      </c>
      <c r="U3" s="139">
        <v>12.2</v>
      </c>
      <c r="V3" s="160" t="s">
        <v>2174</v>
      </c>
      <c r="W3" s="148" t="s">
        <v>2174</v>
      </c>
      <c r="X3" s="126"/>
      <c r="Y3" s="126"/>
      <c r="Z3" s="146">
        <v>41</v>
      </c>
      <c r="AA3" s="149" t="s">
        <v>2175</v>
      </c>
      <c r="AB3" s="161">
        <v>26.4</v>
      </c>
      <c r="AC3" s="149">
        <v>1</v>
      </c>
      <c r="AD3" s="154" t="s">
        <v>2176</v>
      </c>
      <c r="AE3" s="414" t="s">
        <v>2177</v>
      </c>
    </row>
    <row r="4" spans="1:33">
      <c r="A4" s="121">
        <v>2</v>
      </c>
      <c r="B4" s="122" t="s">
        <v>2171</v>
      </c>
      <c r="C4" s="122" t="s">
        <v>2178</v>
      </c>
      <c r="D4" s="122" t="s">
        <v>2173</v>
      </c>
      <c r="E4" s="140">
        <v>42766</v>
      </c>
      <c r="F4" s="125">
        <v>0.52083333333333337</v>
      </c>
      <c r="G4" s="124">
        <v>42818</v>
      </c>
      <c r="H4" s="125">
        <v>0.38194444444444442</v>
      </c>
      <c r="I4" s="123">
        <v>855</v>
      </c>
      <c r="J4" s="123">
        <v>568</v>
      </c>
      <c r="K4" s="142" t="str">
        <f>_xlfn.TEXTJOIN(,TRUE, "G",J4)</f>
        <v>G568</v>
      </c>
      <c r="L4" s="123">
        <v>121</v>
      </c>
      <c r="M4" s="142" t="str">
        <f t="shared" ref="M4:M67" si="0">_xlfn.TEXTJOIN(,TRUE, "R",L4)</f>
        <v>R121</v>
      </c>
      <c r="N4" s="123">
        <v>737</v>
      </c>
      <c r="O4" s="142" t="str">
        <f t="shared" ref="O4:O67" si="1">_xlfn.TEXTJOIN(,TRUE, "G",N4)</f>
        <v>G737</v>
      </c>
      <c r="P4" s="123">
        <v>527</v>
      </c>
      <c r="Q4" s="142" t="str">
        <f t="shared" ref="Q4:Q67" si="2">_xlfn.TEXTJOIN(,TRUE, "R",P4)</f>
        <v>R527</v>
      </c>
      <c r="R4" s="123">
        <v>23.5</v>
      </c>
      <c r="S4" s="123">
        <v>17.399999999999999</v>
      </c>
      <c r="T4" s="128">
        <v>26.3</v>
      </c>
      <c r="U4" s="123">
        <v>8.8000000000000007</v>
      </c>
      <c r="V4" s="126"/>
      <c r="W4" s="126"/>
      <c r="X4" s="126"/>
      <c r="Y4" s="126"/>
      <c r="Z4" s="123">
        <v>39.799999999999997</v>
      </c>
      <c r="AA4" s="126" t="s">
        <v>2175</v>
      </c>
      <c r="AB4" s="153">
        <v>22.4</v>
      </c>
      <c r="AC4" s="162">
        <v>1</v>
      </c>
      <c r="AD4" s="153"/>
      <c r="AE4" s="156" t="s">
        <v>2674</v>
      </c>
    </row>
    <row r="5" spans="1:33">
      <c r="A5" s="168">
        <v>3</v>
      </c>
      <c r="B5" s="169" t="s">
        <v>2171</v>
      </c>
      <c r="C5" s="169" t="s">
        <v>2179</v>
      </c>
      <c r="D5" s="169" t="s">
        <v>2173</v>
      </c>
      <c r="E5" s="172">
        <v>42766</v>
      </c>
      <c r="F5" s="173">
        <v>0.52430555555555558</v>
      </c>
      <c r="G5" s="124">
        <v>42819</v>
      </c>
      <c r="H5" s="168"/>
      <c r="I5" s="168">
        <v>856</v>
      </c>
      <c r="J5" s="168">
        <v>631</v>
      </c>
      <c r="K5" s="142" t="str">
        <f t="shared" ref="K5:K67" si="3">_xlfn.TEXTJOIN(,TRUE, "G",J5)</f>
        <v>G631</v>
      </c>
      <c r="L5" s="168">
        <v>158</v>
      </c>
      <c r="M5" s="142" t="str">
        <f t="shared" si="0"/>
        <v>R158</v>
      </c>
      <c r="N5" s="168">
        <v>661</v>
      </c>
      <c r="O5" s="142" t="str">
        <f t="shared" si="1"/>
        <v>G661</v>
      </c>
      <c r="P5" s="168">
        <v>498</v>
      </c>
      <c r="Q5" s="142" t="str">
        <f t="shared" si="2"/>
        <v>R498</v>
      </c>
      <c r="R5" s="168">
        <v>24.7</v>
      </c>
      <c r="S5" s="168">
        <v>17.399999999999999</v>
      </c>
      <c r="T5" s="174"/>
      <c r="U5" s="168">
        <v>11.9</v>
      </c>
      <c r="V5" s="171"/>
      <c r="W5" s="171"/>
      <c r="X5" s="171"/>
      <c r="Y5" s="171"/>
      <c r="Z5" s="168"/>
      <c r="AA5" s="171"/>
      <c r="AB5" s="168"/>
      <c r="AC5" s="171"/>
      <c r="AD5" s="168"/>
      <c r="AE5" t="s">
        <v>2180</v>
      </c>
    </row>
    <row r="6" spans="1:33">
      <c r="A6" s="121">
        <v>4</v>
      </c>
      <c r="B6" s="122" t="s">
        <v>2171</v>
      </c>
      <c r="C6" s="122" t="s">
        <v>2181</v>
      </c>
      <c r="D6" s="122" t="s">
        <v>2173</v>
      </c>
      <c r="E6" s="140">
        <v>42766</v>
      </c>
      <c r="F6" s="125">
        <v>0.52777777777777779</v>
      </c>
      <c r="G6" s="124">
        <v>42818</v>
      </c>
      <c r="H6" s="125">
        <v>0.375</v>
      </c>
      <c r="I6" s="123">
        <v>857</v>
      </c>
      <c r="J6" s="123">
        <v>652</v>
      </c>
      <c r="K6" s="142" t="str">
        <f t="shared" si="3"/>
        <v>G652</v>
      </c>
      <c r="L6" s="123">
        <v>115</v>
      </c>
      <c r="M6" s="142" t="str">
        <f t="shared" si="0"/>
        <v>R115</v>
      </c>
      <c r="N6" s="123">
        <v>532</v>
      </c>
      <c r="O6" s="142" t="str">
        <f t="shared" si="1"/>
        <v>G532</v>
      </c>
      <c r="P6" s="123">
        <v>508</v>
      </c>
      <c r="Q6" s="142" t="str">
        <f t="shared" si="2"/>
        <v>R508</v>
      </c>
      <c r="R6" s="123">
        <v>25.4</v>
      </c>
      <c r="S6" s="123">
        <v>17.399999999999999</v>
      </c>
      <c r="T6" s="127">
        <v>25.7</v>
      </c>
      <c r="U6" s="123"/>
      <c r="V6" s="126"/>
      <c r="W6" s="126" t="s">
        <v>2182</v>
      </c>
      <c r="X6" s="126"/>
      <c r="Y6" s="126"/>
      <c r="Z6" s="123"/>
      <c r="AA6" s="151"/>
      <c r="AB6" s="123"/>
      <c r="AC6" s="126"/>
      <c r="AD6" s="123"/>
      <c r="AE6" s="157" t="s">
        <v>2183</v>
      </c>
    </row>
    <row r="7" spans="1:33">
      <c r="A7" s="121">
        <v>5</v>
      </c>
      <c r="B7" s="122" t="s">
        <v>2171</v>
      </c>
      <c r="C7" s="122" t="s">
        <v>2184</v>
      </c>
      <c r="D7" s="122" t="s">
        <v>2173</v>
      </c>
      <c r="E7" s="140">
        <v>42766</v>
      </c>
      <c r="F7" s="125">
        <v>0.53125</v>
      </c>
      <c r="G7" s="124">
        <v>42818</v>
      </c>
      <c r="H7" s="125">
        <v>0.375</v>
      </c>
      <c r="I7" s="123">
        <v>858</v>
      </c>
      <c r="J7" s="123">
        <v>497</v>
      </c>
      <c r="K7" s="142" t="str">
        <f t="shared" si="3"/>
        <v>G497</v>
      </c>
      <c r="L7" s="123">
        <v>502</v>
      </c>
      <c r="M7" s="142" t="str">
        <f t="shared" si="0"/>
        <v>R502</v>
      </c>
      <c r="N7" s="123">
        <v>577</v>
      </c>
      <c r="O7" s="142" t="str">
        <f t="shared" si="1"/>
        <v>G577</v>
      </c>
      <c r="P7" s="123">
        <v>38</v>
      </c>
      <c r="Q7" s="142" t="str">
        <f t="shared" si="2"/>
        <v>R38</v>
      </c>
      <c r="R7" s="123">
        <v>24.3</v>
      </c>
      <c r="S7" s="123">
        <v>13.8</v>
      </c>
      <c r="T7" s="127">
        <v>25.9</v>
      </c>
      <c r="U7" s="123">
        <v>10.4</v>
      </c>
      <c r="V7" s="126"/>
      <c r="W7" s="126"/>
      <c r="X7" s="126"/>
      <c r="Y7" s="126"/>
      <c r="Z7" s="123">
        <v>36.4</v>
      </c>
      <c r="AA7" s="126" t="s">
        <v>2175</v>
      </c>
      <c r="AB7" s="123">
        <v>28.4</v>
      </c>
      <c r="AC7" s="126">
        <v>1</v>
      </c>
      <c r="AD7" s="123"/>
    </row>
    <row r="8" spans="1:33">
      <c r="A8" s="121">
        <v>6</v>
      </c>
      <c r="B8" s="122" t="s">
        <v>2171</v>
      </c>
      <c r="C8" s="122" t="s">
        <v>2185</v>
      </c>
      <c r="D8" s="122" t="s">
        <v>2173</v>
      </c>
      <c r="E8" s="140">
        <v>42766</v>
      </c>
      <c r="F8" s="125">
        <v>0.53125</v>
      </c>
      <c r="G8" s="124">
        <v>42818</v>
      </c>
      <c r="H8" s="125">
        <v>0.38541666666666669</v>
      </c>
      <c r="I8" s="123">
        <v>859</v>
      </c>
      <c r="J8" s="123">
        <v>447</v>
      </c>
      <c r="K8" s="142" t="str">
        <f t="shared" si="3"/>
        <v>G447</v>
      </c>
      <c r="L8" s="123">
        <v>177</v>
      </c>
      <c r="M8" s="142" t="str">
        <f t="shared" si="0"/>
        <v>R177</v>
      </c>
      <c r="N8" s="123">
        <v>634</v>
      </c>
      <c r="O8" s="142" t="str">
        <f t="shared" si="1"/>
        <v>G634</v>
      </c>
      <c r="P8" s="123">
        <v>59</v>
      </c>
      <c r="Q8" s="142" t="str">
        <f t="shared" si="2"/>
        <v>R59</v>
      </c>
      <c r="R8" s="123">
        <v>23.4</v>
      </c>
      <c r="S8" s="123">
        <v>13.8</v>
      </c>
      <c r="T8" s="123">
        <v>26.8</v>
      </c>
      <c r="U8" s="123">
        <v>13.1</v>
      </c>
      <c r="V8" s="126"/>
      <c r="W8" s="126" t="s">
        <v>2182</v>
      </c>
      <c r="X8" s="126" t="s">
        <v>2182</v>
      </c>
      <c r="Y8" s="126" t="s">
        <v>2182</v>
      </c>
      <c r="Z8" s="92">
        <v>31</v>
      </c>
      <c r="AA8" s="152" t="s">
        <v>2175</v>
      </c>
      <c r="AB8" s="123">
        <v>32.4</v>
      </c>
      <c r="AC8" s="126">
        <v>1</v>
      </c>
      <c r="AD8" s="123"/>
      <c r="AE8" s="144"/>
    </row>
    <row r="9" spans="1:33">
      <c r="A9" s="121">
        <v>7</v>
      </c>
      <c r="B9" s="122" t="s">
        <v>2171</v>
      </c>
      <c r="C9" s="122" t="s">
        <v>2186</v>
      </c>
      <c r="D9" s="122" t="s">
        <v>2173</v>
      </c>
      <c r="E9" s="140">
        <v>42766</v>
      </c>
      <c r="F9" s="125">
        <v>0.53125</v>
      </c>
      <c r="G9" s="124">
        <v>42818</v>
      </c>
      <c r="H9" s="125">
        <v>0.3888888888888889</v>
      </c>
      <c r="I9" s="123">
        <v>860</v>
      </c>
      <c r="J9" s="123">
        <v>452</v>
      </c>
      <c r="K9" s="142" t="str">
        <f t="shared" si="3"/>
        <v>G452</v>
      </c>
      <c r="L9" s="123">
        <v>531</v>
      </c>
      <c r="M9" s="142" t="str">
        <f t="shared" si="0"/>
        <v>R531</v>
      </c>
      <c r="N9" s="123">
        <v>665</v>
      </c>
      <c r="O9" s="142" t="str">
        <f t="shared" si="1"/>
        <v>G665</v>
      </c>
      <c r="P9" s="123">
        <v>398</v>
      </c>
      <c r="Q9" s="142" t="str">
        <f t="shared" si="2"/>
        <v>R398</v>
      </c>
      <c r="R9" s="123">
        <v>26.4</v>
      </c>
      <c r="S9" s="123">
        <v>9.8000000000000007</v>
      </c>
      <c r="T9" s="123">
        <v>26</v>
      </c>
      <c r="U9" s="123">
        <v>9.9</v>
      </c>
      <c r="V9" s="126"/>
      <c r="W9" s="126"/>
      <c r="X9" s="126" t="s">
        <v>2182</v>
      </c>
      <c r="Y9" s="126" t="s">
        <v>2182</v>
      </c>
      <c r="Z9" s="123">
        <v>43.4</v>
      </c>
      <c r="AA9" s="126" t="s">
        <v>2175</v>
      </c>
      <c r="AB9" s="123">
        <v>36</v>
      </c>
      <c r="AC9" s="126">
        <v>1</v>
      </c>
      <c r="AD9" s="123"/>
    </row>
    <row r="10" spans="1:33">
      <c r="A10" s="121">
        <v>8</v>
      </c>
      <c r="B10" s="122" t="s">
        <v>2171</v>
      </c>
      <c r="C10" s="122" t="s">
        <v>2187</v>
      </c>
      <c r="D10" s="122" t="s">
        <v>2173</v>
      </c>
      <c r="E10" s="140">
        <v>42766</v>
      </c>
      <c r="F10" s="125">
        <v>0.53472222222222221</v>
      </c>
      <c r="G10" s="124">
        <v>42818</v>
      </c>
      <c r="H10" s="125">
        <v>0.38541666666666669</v>
      </c>
      <c r="I10" s="123">
        <v>861</v>
      </c>
      <c r="J10" s="123">
        <v>389</v>
      </c>
      <c r="K10" s="142" t="str">
        <f t="shared" si="3"/>
        <v>G389</v>
      </c>
      <c r="L10" s="123">
        <v>406</v>
      </c>
      <c r="M10" s="142" t="str">
        <f t="shared" si="0"/>
        <v>R406</v>
      </c>
      <c r="N10" s="123">
        <v>701</v>
      </c>
      <c r="O10" s="142" t="str">
        <f t="shared" si="1"/>
        <v>G701</v>
      </c>
      <c r="P10" s="123">
        <v>512</v>
      </c>
      <c r="Q10" s="142" t="str">
        <f t="shared" si="2"/>
        <v>R512</v>
      </c>
      <c r="R10" s="123">
        <v>24.9</v>
      </c>
      <c r="S10" s="123">
        <v>12.4</v>
      </c>
      <c r="T10" s="123">
        <v>26.1</v>
      </c>
      <c r="U10" s="123">
        <v>8.8000000000000007</v>
      </c>
      <c r="V10" s="126" t="s">
        <v>2174</v>
      </c>
      <c r="W10" s="126" t="s">
        <v>2182</v>
      </c>
      <c r="X10" s="126"/>
      <c r="Y10" s="126"/>
      <c r="Z10" s="123">
        <v>38.4</v>
      </c>
      <c r="AA10" s="126" t="s">
        <v>2175</v>
      </c>
      <c r="AB10" s="123">
        <v>36</v>
      </c>
      <c r="AC10" s="126"/>
      <c r="AD10" s="123"/>
    </row>
    <row r="11" spans="1:33">
      <c r="A11" s="121">
        <v>9</v>
      </c>
      <c r="B11" s="122" t="s">
        <v>2171</v>
      </c>
      <c r="C11" s="122" t="s">
        <v>2188</v>
      </c>
      <c r="D11" s="122" t="s">
        <v>2189</v>
      </c>
      <c r="E11" s="140">
        <v>42766</v>
      </c>
      <c r="F11" s="125">
        <v>0.64027777777777783</v>
      </c>
      <c r="G11" s="124">
        <v>42818</v>
      </c>
      <c r="H11" s="125">
        <v>0.40625</v>
      </c>
      <c r="I11" s="123">
        <v>862</v>
      </c>
      <c r="J11">
        <v>514</v>
      </c>
      <c r="K11" s="142" t="str">
        <f t="shared" si="3"/>
        <v>G514</v>
      </c>
      <c r="L11" s="123">
        <v>169</v>
      </c>
      <c r="M11" s="142" t="str">
        <f t="shared" si="0"/>
        <v>R169</v>
      </c>
      <c r="N11" s="123">
        <v>476</v>
      </c>
      <c r="O11" s="142" t="str">
        <f t="shared" si="1"/>
        <v>G476</v>
      </c>
      <c r="P11" s="123">
        <v>101</v>
      </c>
      <c r="Q11" s="142" t="str">
        <f t="shared" si="2"/>
        <v>R101</v>
      </c>
      <c r="R11" s="123">
        <v>22.6</v>
      </c>
      <c r="S11" s="123">
        <v>19.5</v>
      </c>
      <c r="T11" s="123">
        <v>26.2</v>
      </c>
      <c r="U11" s="123">
        <v>9.5</v>
      </c>
      <c r="V11" s="126" t="s">
        <v>2182</v>
      </c>
      <c r="W11" s="126" t="s">
        <v>2190</v>
      </c>
      <c r="X11" s="126"/>
      <c r="Y11" s="126"/>
      <c r="Z11" s="123">
        <v>28.4</v>
      </c>
      <c r="AA11" s="126" t="s">
        <v>2175</v>
      </c>
      <c r="AB11" s="123">
        <v>10.8</v>
      </c>
      <c r="AC11" s="126">
        <v>0</v>
      </c>
      <c r="AD11" s="123"/>
    </row>
    <row r="12" spans="1:33">
      <c r="A12" s="121">
        <v>10</v>
      </c>
      <c r="B12" s="122" t="s">
        <v>2171</v>
      </c>
      <c r="C12" s="122" t="s">
        <v>2191</v>
      </c>
      <c r="D12" s="122" t="s">
        <v>2189</v>
      </c>
      <c r="E12" s="140">
        <v>42766</v>
      </c>
      <c r="F12" s="125">
        <v>0.64236111111111105</v>
      </c>
      <c r="G12" s="124">
        <v>42818</v>
      </c>
      <c r="H12" s="125">
        <v>0.41666666666666669</v>
      </c>
      <c r="I12" s="123">
        <v>863</v>
      </c>
      <c r="J12" s="123">
        <v>286</v>
      </c>
      <c r="K12" s="142" t="str">
        <f t="shared" si="3"/>
        <v>G286</v>
      </c>
      <c r="L12" s="123">
        <v>91</v>
      </c>
      <c r="M12" s="142" t="str">
        <f t="shared" si="0"/>
        <v>R91</v>
      </c>
      <c r="N12" s="123">
        <v>606</v>
      </c>
      <c r="O12" s="142" t="str">
        <f t="shared" si="1"/>
        <v>G606</v>
      </c>
      <c r="P12" s="123">
        <v>515</v>
      </c>
      <c r="Q12" s="142" t="str">
        <f t="shared" si="2"/>
        <v>R515</v>
      </c>
      <c r="R12" s="123">
        <v>22.2</v>
      </c>
      <c r="S12" s="123">
        <v>20.7</v>
      </c>
      <c r="T12" s="123">
        <v>26.4</v>
      </c>
      <c r="U12" s="123">
        <v>8.6</v>
      </c>
      <c r="V12" s="126"/>
      <c r="W12" s="126"/>
      <c r="X12" s="126"/>
      <c r="Y12" s="126"/>
      <c r="Z12" s="123">
        <v>30</v>
      </c>
      <c r="AA12" s="126" t="s">
        <v>2175</v>
      </c>
      <c r="AB12" s="123">
        <v>16.8</v>
      </c>
      <c r="AC12" s="126">
        <v>0</v>
      </c>
      <c r="AD12" s="123"/>
    </row>
    <row r="13" spans="1:33">
      <c r="A13" s="121">
        <v>11</v>
      </c>
      <c r="B13" s="122" t="s">
        <v>2171</v>
      </c>
      <c r="C13" s="122" t="s">
        <v>2192</v>
      </c>
      <c r="D13" s="122" t="s">
        <v>2189</v>
      </c>
      <c r="E13" s="140">
        <v>42766</v>
      </c>
      <c r="F13" s="125">
        <v>0.64583333333333337</v>
      </c>
      <c r="G13" s="124">
        <v>42818</v>
      </c>
      <c r="H13" s="125">
        <v>0.4236111111111111</v>
      </c>
      <c r="I13" s="123">
        <v>864</v>
      </c>
      <c r="J13" s="123">
        <v>543</v>
      </c>
      <c r="K13" s="142" t="str">
        <f t="shared" si="3"/>
        <v>G543</v>
      </c>
      <c r="L13" s="129">
        <v>446</v>
      </c>
      <c r="M13" s="142" t="str">
        <f t="shared" si="0"/>
        <v>R446</v>
      </c>
      <c r="N13" s="123">
        <v>523</v>
      </c>
      <c r="O13" s="142" t="str">
        <f t="shared" si="1"/>
        <v>G523</v>
      </c>
      <c r="P13" s="123">
        <v>2</v>
      </c>
      <c r="Q13" s="142" t="str">
        <f t="shared" si="2"/>
        <v>R2</v>
      </c>
      <c r="R13" s="123">
        <v>22.3</v>
      </c>
      <c r="S13" s="123">
        <v>31.2</v>
      </c>
      <c r="T13" s="123">
        <v>25.8</v>
      </c>
      <c r="U13" s="123">
        <v>11</v>
      </c>
      <c r="V13" s="126" t="s">
        <v>2182</v>
      </c>
      <c r="W13" s="126"/>
      <c r="X13" s="126"/>
      <c r="Y13" s="126"/>
      <c r="Z13" s="123">
        <v>24.4</v>
      </c>
      <c r="AA13" s="126" t="s">
        <v>2175</v>
      </c>
      <c r="AB13" s="123">
        <v>11.4</v>
      </c>
      <c r="AC13" s="126">
        <v>0</v>
      </c>
      <c r="AD13" s="123"/>
    </row>
    <row r="14" spans="1:33">
      <c r="A14" s="168">
        <v>12</v>
      </c>
      <c r="B14" s="169" t="s">
        <v>2171</v>
      </c>
      <c r="C14" s="169" t="s">
        <v>2193</v>
      </c>
      <c r="D14" s="169" t="s">
        <v>2189</v>
      </c>
      <c r="E14" s="172">
        <v>42766</v>
      </c>
      <c r="F14" s="173">
        <v>0.64930555555555558</v>
      </c>
      <c r="G14" s="124">
        <v>42818</v>
      </c>
      <c r="H14" s="168"/>
      <c r="I14" s="168">
        <v>865</v>
      </c>
      <c r="J14" s="168">
        <v>590</v>
      </c>
      <c r="K14" s="142" t="str">
        <f t="shared" si="3"/>
        <v>G590</v>
      </c>
      <c r="L14" s="168">
        <v>409</v>
      </c>
      <c r="M14" s="142" t="str">
        <f t="shared" si="0"/>
        <v>R409</v>
      </c>
      <c r="N14" s="168">
        <v>510</v>
      </c>
      <c r="O14" s="142" t="str">
        <f t="shared" si="1"/>
        <v>G510</v>
      </c>
      <c r="P14" s="168">
        <v>123</v>
      </c>
      <c r="Q14" s="142" t="str">
        <f t="shared" si="2"/>
        <v>R123</v>
      </c>
      <c r="R14" s="168">
        <v>21.7</v>
      </c>
      <c r="S14" s="168">
        <v>25.8</v>
      </c>
      <c r="T14" s="168"/>
      <c r="U14" s="168"/>
      <c r="V14" s="171"/>
      <c r="W14" s="171"/>
      <c r="X14" s="171"/>
      <c r="Y14" s="171"/>
      <c r="Z14" s="168"/>
      <c r="AA14" s="171"/>
      <c r="AB14" s="168"/>
      <c r="AC14" s="171"/>
      <c r="AD14" s="168"/>
    </row>
    <row r="15" spans="1:33">
      <c r="A15" s="121">
        <v>13</v>
      </c>
      <c r="B15" s="122" t="s">
        <v>2171</v>
      </c>
      <c r="C15" s="122" t="s">
        <v>2194</v>
      </c>
      <c r="D15" s="122" t="s">
        <v>2189</v>
      </c>
      <c r="E15" s="140">
        <v>42766</v>
      </c>
      <c r="F15" s="125">
        <v>0.65277777777777779</v>
      </c>
      <c r="G15" s="124">
        <v>42818</v>
      </c>
      <c r="H15" s="125">
        <v>0.41666666666666669</v>
      </c>
      <c r="I15" s="123">
        <v>866</v>
      </c>
      <c r="J15" s="123">
        <v>595</v>
      </c>
      <c r="K15" s="142" t="str">
        <f t="shared" si="3"/>
        <v>G595</v>
      </c>
      <c r="L15" s="123">
        <v>450</v>
      </c>
      <c r="M15" s="142" t="str">
        <f t="shared" si="0"/>
        <v>R450</v>
      </c>
      <c r="N15" s="123">
        <v>241</v>
      </c>
      <c r="O15" s="142" t="str">
        <f t="shared" si="1"/>
        <v>G241</v>
      </c>
      <c r="P15" s="123">
        <v>3</v>
      </c>
      <c r="Q15" s="142" t="str">
        <f t="shared" si="2"/>
        <v>R3</v>
      </c>
      <c r="R15" s="123">
        <v>22.1</v>
      </c>
      <c r="S15" s="123">
        <v>31.1</v>
      </c>
      <c r="T15" s="123">
        <v>24.7</v>
      </c>
      <c r="U15" s="123">
        <v>10.5</v>
      </c>
      <c r="V15" s="126" t="s">
        <v>2174</v>
      </c>
      <c r="W15" s="126" t="s">
        <v>2195</v>
      </c>
      <c r="X15" s="126"/>
      <c r="Y15" s="126"/>
      <c r="Z15" s="123">
        <v>31</v>
      </c>
      <c r="AA15" s="126" t="s">
        <v>2175</v>
      </c>
      <c r="AB15" s="123">
        <v>11.4</v>
      </c>
      <c r="AC15" s="126">
        <v>0</v>
      </c>
      <c r="AD15" s="123"/>
    </row>
    <row r="16" spans="1:33">
      <c r="A16" s="121">
        <v>14</v>
      </c>
      <c r="B16" s="122" t="s">
        <v>2171</v>
      </c>
      <c r="C16" s="122" t="s">
        <v>2196</v>
      </c>
      <c r="D16" s="122" t="s">
        <v>2189</v>
      </c>
      <c r="E16" s="140">
        <v>42766</v>
      </c>
      <c r="F16" s="125">
        <v>0.65347222222222223</v>
      </c>
      <c r="G16" s="124">
        <v>42818</v>
      </c>
      <c r="H16" s="125">
        <v>0.4201388888888889</v>
      </c>
      <c r="I16" s="123">
        <v>867</v>
      </c>
      <c r="J16" s="123">
        <v>609</v>
      </c>
      <c r="K16" s="142" t="str">
        <f t="shared" si="3"/>
        <v>G609</v>
      </c>
      <c r="L16" s="123">
        <v>382</v>
      </c>
      <c r="M16" s="142" t="str">
        <f t="shared" si="0"/>
        <v>R382</v>
      </c>
      <c r="N16" s="129">
        <v>503</v>
      </c>
      <c r="O16" s="142" t="str">
        <f t="shared" si="1"/>
        <v>G503</v>
      </c>
      <c r="P16" s="123">
        <v>282</v>
      </c>
      <c r="Q16" s="142" t="str">
        <f t="shared" si="2"/>
        <v>R282</v>
      </c>
      <c r="R16" s="123">
        <v>21.7</v>
      </c>
      <c r="S16" s="123">
        <v>22.4</v>
      </c>
      <c r="T16" s="123">
        <v>26.5</v>
      </c>
      <c r="U16" s="123">
        <v>9</v>
      </c>
      <c r="V16" s="126"/>
      <c r="W16" s="126" t="s">
        <v>2195</v>
      </c>
      <c r="X16" s="126"/>
      <c r="Y16" s="126"/>
      <c r="Z16" s="123">
        <v>42.4</v>
      </c>
      <c r="AA16" s="126" t="s">
        <v>2175</v>
      </c>
      <c r="AB16" s="123">
        <v>28.4</v>
      </c>
      <c r="AC16" s="126">
        <v>0</v>
      </c>
      <c r="AD16" s="123"/>
    </row>
    <row r="17" spans="1:31">
      <c r="A17" s="121">
        <v>15</v>
      </c>
      <c r="B17" s="122" t="s">
        <v>2171</v>
      </c>
      <c r="C17" s="122" t="s">
        <v>2197</v>
      </c>
      <c r="D17" s="122" t="s">
        <v>2189</v>
      </c>
      <c r="E17" s="140">
        <v>42766</v>
      </c>
      <c r="F17" s="125">
        <v>0.65972222222222221</v>
      </c>
      <c r="G17" s="124">
        <v>42818</v>
      </c>
      <c r="H17" s="125">
        <v>0.40972222222222227</v>
      </c>
      <c r="I17" s="123">
        <v>868</v>
      </c>
      <c r="J17" s="123">
        <v>222</v>
      </c>
      <c r="K17" s="142" t="str">
        <f t="shared" si="3"/>
        <v>G222</v>
      </c>
      <c r="L17" s="123">
        <v>415</v>
      </c>
      <c r="M17" s="142" t="str">
        <f t="shared" si="0"/>
        <v>R415</v>
      </c>
      <c r="N17" s="123">
        <v>685</v>
      </c>
      <c r="O17" s="142" t="str">
        <f t="shared" si="1"/>
        <v>G685</v>
      </c>
      <c r="P17" s="123">
        <v>99</v>
      </c>
      <c r="Q17" s="142" t="str">
        <f t="shared" si="2"/>
        <v>R99</v>
      </c>
      <c r="R17" s="123">
        <v>21.9</v>
      </c>
      <c r="S17" s="123">
        <v>35.1</v>
      </c>
      <c r="T17" s="123">
        <v>26</v>
      </c>
      <c r="U17" s="123">
        <v>12.7</v>
      </c>
      <c r="V17" s="126"/>
      <c r="W17" s="126" t="s">
        <v>2198</v>
      </c>
      <c r="X17" s="126" t="s">
        <v>2182</v>
      </c>
      <c r="Y17" s="126" t="s">
        <v>2182</v>
      </c>
      <c r="Z17" s="123">
        <v>30.4</v>
      </c>
      <c r="AA17" s="126" t="s">
        <v>2175</v>
      </c>
      <c r="AB17" s="123">
        <v>15.8</v>
      </c>
      <c r="AC17" s="126">
        <v>0</v>
      </c>
      <c r="AD17" s="123" t="s">
        <v>2199</v>
      </c>
      <c r="AE17" s="92"/>
    </row>
    <row r="18" spans="1:31">
      <c r="A18" s="121">
        <v>16</v>
      </c>
      <c r="B18" s="122" t="s">
        <v>2171</v>
      </c>
      <c r="C18" s="122" t="s">
        <v>2200</v>
      </c>
      <c r="D18" s="122" t="s">
        <v>2189</v>
      </c>
      <c r="E18" s="140">
        <v>42766</v>
      </c>
      <c r="F18" s="125">
        <v>0.66319444444444442</v>
      </c>
      <c r="G18" s="124">
        <v>42818</v>
      </c>
      <c r="H18" s="125">
        <v>0.43055555555555558</v>
      </c>
      <c r="I18" s="123">
        <v>869</v>
      </c>
      <c r="J18" s="123">
        <v>405</v>
      </c>
      <c r="K18" s="142" t="str">
        <f t="shared" si="3"/>
        <v>G405</v>
      </c>
      <c r="L18" s="123">
        <v>519</v>
      </c>
      <c r="M18" s="142" t="str">
        <f t="shared" si="0"/>
        <v>R519</v>
      </c>
      <c r="N18" s="123">
        <v>644</v>
      </c>
      <c r="O18" s="142" t="str">
        <f t="shared" si="1"/>
        <v>G644</v>
      </c>
      <c r="P18" s="123">
        <v>154</v>
      </c>
      <c r="Q18" s="142" t="str">
        <f t="shared" si="2"/>
        <v>R154</v>
      </c>
      <c r="R18" s="123">
        <v>22.3</v>
      </c>
      <c r="S18" s="123">
        <v>22.3</v>
      </c>
      <c r="T18" s="123">
        <v>25.8</v>
      </c>
      <c r="U18" s="123">
        <v>12.7</v>
      </c>
      <c r="V18" s="126" t="s">
        <v>2201</v>
      </c>
      <c r="W18" s="126" t="s">
        <v>2201</v>
      </c>
      <c r="X18" s="126" t="s">
        <v>2182</v>
      </c>
      <c r="Y18" s="126" t="s">
        <v>2182</v>
      </c>
      <c r="Z18" s="123">
        <v>12.4</v>
      </c>
      <c r="AA18" s="126" t="s">
        <v>2175</v>
      </c>
      <c r="AB18" s="123">
        <v>8</v>
      </c>
      <c r="AC18" s="126">
        <v>0</v>
      </c>
      <c r="AD18" s="123"/>
    </row>
    <row r="19" spans="1:31">
      <c r="A19" s="121">
        <v>17</v>
      </c>
      <c r="B19" s="122" t="s">
        <v>2171</v>
      </c>
      <c r="C19" s="122" t="s">
        <v>2202</v>
      </c>
      <c r="D19" s="122" t="s">
        <v>2203</v>
      </c>
      <c r="E19" s="124">
        <v>42767</v>
      </c>
      <c r="F19" s="125">
        <v>0.30208333333333331</v>
      </c>
      <c r="G19" s="124">
        <v>42818</v>
      </c>
      <c r="H19" s="125">
        <v>0.34027777777777773</v>
      </c>
      <c r="I19" s="123">
        <v>870</v>
      </c>
      <c r="J19" s="123">
        <v>571</v>
      </c>
      <c r="K19" s="142" t="str">
        <f t="shared" si="3"/>
        <v>G571</v>
      </c>
      <c r="L19" s="123">
        <v>542</v>
      </c>
      <c r="M19" s="142" t="str">
        <f t="shared" si="0"/>
        <v>R542</v>
      </c>
      <c r="N19" s="123">
        <v>648</v>
      </c>
      <c r="O19" s="142" t="str">
        <f t="shared" si="1"/>
        <v>G648</v>
      </c>
      <c r="P19" s="123">
        <v>380</v>
      </c>
      <c r="Q19" s="142" t="str">
        <f t="shared" si="2"/>
        <v>R380</v>
      </c>
      <c r="R19" s="123">
        <v>19.600000000000001</v>
      </c>
      <c r="S19" s="123">
        <v>37.4</v>
      </c>
      <c r="T19" s="123">
        <v>23.1</v>
      </c>
      <c r="U19" s="123">
        <v>34.4</v>
      </c>
      <c r="V19" s="126"/>
      <c r="W19" s="126" t="s">
        <v>2182</v>
      </c>
      <c r="X19" s="126" t="s">
        <v>2182</v>
      </c>
      <c r="Y19" s="126" t="s">
        <v>2182</v>
      </c>
      <c r="Z19" s="123"/>
      <c r="AA19" s="123"/>
      <c r="AB19" s="123"/>
      <c r="AC19" s="123"/>
      <c r="AD19" s="123" t="s">
        <v>2204</v>
      </c>
    </row>
    <row r="20" spans="1:31">
      <c r="A20" s="121">
        <v>18</v>
      </c>
      <c r="B20" s="122" t="s">
        <v>2171</v>
      </c>
      <c r="C20" s="122" t="s">
        <v>2205</v>
      </c>
      <c r="D20" s="122" t="s">
        <v>2203</v>
      </c>
      <c r="E20" s="124">
        <v>42767</v>
      </c>
      <c r="F20" s="125">
        <v>0.30555555555555552</v>
      </c>
      <c r="G20" s="124">
        <v>42818</v>
      </c>
      <c r="H20" s="125">
        <v>0.3576388888888889</v>
      </c>
      <c r="I20" s="123">
        <v>871</v>
      </c>
      <c r="J20" s="123">
        <v>419</v>
      </c>
      <c r="K20" s="142" t="str">
        <f t="shared" si="3"/>
        <v>G419</v>
      </c>
      <c r="L20" s="123">
        <v>128</v>
      </c>
      <c r="M20" s="142" t="str">
        <f t="shared" si="0"/>
        <v>R128</v>
      </c>
      <c r="N20" s="123">
        <v>573</v>
      </c>
      <c r="O20" s="142" t="str">
        <f t="shared" si="1"/>
        <v>G573</v>
      </c>
      <c r="P20" s="123">
        <v>274</v>
      </c>
      <c r="Q20" s="142" t="str">
        <f t="shared" si="2"/>
        <v>R274</v>
      </c>
      <c r="R20" s="123">
        <v>19.399999999999999</v>
      </c>
      <c r="S20" s="123">
        <v>38.4</v>
      </c>
      <c r="T20" s="123">
        <v>23.3</v>
      </c>
      <c r="U20" s="123">
        <v>35.5</v>
      </c>
      <c r="V20" s="126" t="s">
        <v>2182</v>
      </c>
      <c r="W20" s="126"/>
      <c r="X20" s="126" t="s">
        <v>2182</v>
      </c>
      <c r="Y20" s="126" t="s">
        <v>2182</v>
      </c>
      <c r="Z20" s="123"/>
      <c r="AA20" s="123"/>
      <c r="AB20" s="123"/>
      <c r="AC20" s="123"/>
      <c r="AD20" s="123" t="s">
        <v>2204</v>
      </c>
    </row>
    <row r="21" spans="1:31">
      <c r="A21" s="121">
        <v>19</v>
      </c>
      <c r="B21" s="122" t="s">
        <v>2171</v>
      </c>
      <c r="C21" s="122" t="s">
        <v>2206</v>
      </c>
      <c r="D21" s="122" t="s">
        <v>2203</v>
      </c>
      <c r="E21" s="124">
        <v>42767</v>
      </c>
      <c r="F21" s="125">
        <v>0.30555555555555552</v>
      </c>
      <c r="G21" s="124">
        <v>42818</v>
      </c>
      <c r="H21" s="125">
        <v>0.3611111111111111</v>
      </c>
      <c r="I21" s="123">
        <v>872</v>
      </c>
      <c r="J21" s="123">
        <v>240</v>
      </c>
      <c r="K21" s="142" t="str">
        <f t="shared" si="3"/>
        <v>G240</v>
      </c>
      <c r="L21" s="123">
        <v>82</v>
      </c>
      <c r="M21" s="142" t="str">
        <f t="shared" si="0"/>
        <v>R82</v>
      </c>
      <c r="N21" s="123">
        <v>639</v>
      </c>
      <c r="O21" s="142" t="str">
        <f t="shared" si="1"/>
        <v>G639</v>
      </c>
      <c r="P21" s="123">
        <v>566</v>
      </c>
      <c r="Q21" s="142" t="str">
        <f t="shared" si="2"/>
        <v>R566</v>
      </c>
      <c r="R21" s="123">
        <v>18.899999999999999</v>
      </c>
      <c r="S21" s="123">
        <v>41.2</v>
      </c>
      <c r="T21" s="123">
        <v>23.3</v>
      </c>
      <c r="U21" s="123">
        <v>37.4</v>
      </c>
      <c r="V21" s="126"/>
      <c r="W21" s="126"/>
      <c r="X21" s="126"/>
      <c r="Y21" s="126"/>
      <c r="Z21" s="123"/>
      <c r="AA21" s="123"/>
      <c r="AB21" s="123"/>
      <c r="AC21" s="123"/>
      <c r="AD21" s="123" t="s">
        <v>2204</v>
      </c>
    </row>
    <row r="22" spans="1:31">
      <c r="A22" s="121">
        <v>20</v>
      </c>
      <c r="B22" s="122" t="s">
        <v>2171</v>
      </c>
      <c r="C22" s="122" t="s">
        <v>2207</v>
      </c>
      <c r="D22" s="122" t="s">
        <v>2203</v>
      </c>
      <c r="E22" s="124">
        <v>42767</v>
      </c>
      <c r="F22" s="125">
        <v>0.30902777777777779</v>
      </c>
      <c r="G22" s="124">
        <v>42818</v>
      </c>
      <c r="H22" s="125">
        <v>0.36388888888888887</v>
      </c>
      <c r="I22" s="123">
        <v>873</v>
      </c>
      <c r="J22" s="123">
        <v>524</v>
      </c>
      <c r="K22" s="142" t="str">
        <f t="shared" si="3"/>
        <v>G524</v>
      </c>
      <c r="L22" s="123">
        <v>50</v>
      </c>
      <c r="M22" s="142" t="str">
        <f t="shared" si="0"/>
        <v>R50</v>
      </c>
      <c r="N22" s="123">
        <v>505</v>
      </c>
      <c r="O22" s="142" t="str">
        <f t="shared" si="1"/>
        <v>G505</v>
      </c>
      <c r="P22" s="123">
        <v>110</v>
      </c>
      <c r="Q22" s="142" t="str">
        <f t="shared" si="2"/>
        <v>R110</v>
      </c>
      <c r="R22" s="123">
        <v>19</v>
      </c>
      <c r="S22" s="123">
        <v>43.1</v>
      </c>
      <c r="T22" s="123">
        <v>23.7</v>
      </c>
      <c r="U22" s="123">
        <v>37</v>
      </c>
      <c r="V22" s="126"/>
      <c r="W22" s="126"/>
      <c r="X22" s="126"/>
      <c r="Y22" s="126"/>
      <c r="Z22" s="123"/>
      <c r="AA22" s="123"/>
      <c r="AB22" s="123"/>
      <c r="AC22" s="123"/>
      <c r="AD22" s="123" t="s">
        <v>2204</v>
      </c>
    </row>
    <row r="23" spans="1:31" ht="13.95" customHeight="1">
      <c r="A23" s="121">
        <v>21</v>
      </c>
      <c r="B23" s="122" t="s">
        <v>2171</v>
      </c>
      <c r="C23" s="122" t="s">
        <v>2208</v>
      </c>
      <c r="D23" s="122" t="s">
        <v>2203</v>
      </c>
      <c r="E23" s="124">
        <v>42767</v>
      </c>
      <c r="F23" s="125">
        <v>0.3125</v>
      </c>
      <c r="G23" s="124">
        <v>42818</v>
      </c>
      <c r="H23" s="125">
        <v>0.35416666666666669</v>
      </c>
      <c r="I23" s="123">
        <v>874</v>
      </c>
      <c r="J23" s="123">
        <v>699</v>
      </c>
      <c r="K23" s="142" t="str">
        <f t="shared" si="3"/>
        <v>G699</v>
      </c>
      <c r="L23" s="123">
        <v>529</v>
      </c>
      <c r="M23" s="142" t="str">
        <f t="shared" si="0"/>
        <v>R529</v>
      </c>
      <c r="N23" s="123">
        <v>721</v>
      </c>
      <c r="O23" s="142" t="str">
        <f t="shared" si="1"/>
        <v>G721</v>
      </c>
      <c r="P23" s="123">
        <v>79</v>
      </c>
      <c r="Q23" s="142" t="str">
        <f t="shared" si="2"/>
        <v>R79</v>
      </c>
      <c r="R23" s="123">
        <v>19</v>
      </c>
      <c r="S23" s="123">
        <v>33.700000000000003</v>
      </c>
      <c r="T23" s="123">
        <v>22.2</v>
      </c>
      <c r="U23" s="123">
        <v>34.6</v>
      </c>
      <c r="V23" s="126" t="s">
        <v>2182</v>
      </c>
      <c r="W23" s="126" t="s">
        <v>2182</v>
      </c>
      <c r="X23" s="126"/>
      <c r="Y23" s="126"/>
      <c r="Z23" s="123"/>
      <c r="AA23" s="123"/>
      <c r="AB23" s="123"/>
      <c r="AC23" s="123"/>
      <c r="AD23" s="130" t="s">
        <v>2650</v>
      </c>
    </row>
    <row r="24" spans="1:31">
      <c r="A24" s="121">
        <v>22</v>
      </c>
      <c r="B24" s="122" t="s">
        <v>2171</v>
      </c>
      <c r="C24" s="122" t="s">
        <v>2209</v>
      </c>
      <c r="D24" s="122" t="s">
        <v>2203</v>
      </c>
      <c r="E24" s="124">
        <v>42767</v>
      </c>
      <c r="F24" s="125">
        <v>0.31597222222222221</v>
      </c>
      <c r="G24" s="124">
        <v>42818</v>
      </c>
      <c r="H24" s="125">
        <v>0.37152777777777773</v>
      </c>
      <c r="I24" s="123">
        <v>876</v>
      </c>
      <c r="J24" s="123">
        <v>575</v>
      </c>
      <c r="K24" s="142" t="str">
        <f t="shared" si="3"/>
        <v>G575</v>
      </c>
      <c r="L24" s="123">
        <v>363</v>
      </c>
      <c r="M24" s="142" t="str">
        <f t="shared" si="0"/>
        <v>R363</v>
      </c>
      <c r="N24" s="123">
        <v>552</v>
      </c>
      <c r="O24" s="142" t="str">
        <f t="shared" si="1"/>
        <v>G552</v>
      </c>
      <c r="P24" s="123">
        <v>45</v>
      </c>
      <c r="Q24" s="142" t="str">
        <f t="shared" si="2"/>
        <v>R45</v>
      </c>
      <c r="R24" s="123">
        <v>19.100000000000001</v>
      </c>
      <c r="S24" s="123">
        <v>38.1</v>
      </c>
      <c r="T24" s="123">
        <v>23.9</v>
      </c>
      <c r="U24" s="123">
        <v>31</v>
      </c>
      <c r="V24" s="126" t="s">
        <v>2182</v>
      </c>
      <c r="W24" s="126"/>
      <c r="X24" s="126"/>
      <c r="Y24" s="126"/>
      <c r="Z24" s="123"/>
      <c r="AA24" s="123"/>
      <c r="AB24" s="123"/>
      <c r="AC24" s="123"/>
      <c r="AD24" s="123" t="s">
        <v>2204</v>
      </c>
    </row>
    <row r="25" spans="1:31">
      <c r="A25" s="121">
        <v>23</v>
      </c>
      <c r="B25" s="122" t="s">
        <v>2171</v>
      </c>
      <c r="C25" s="122" t="s">
        <v>2210</v>
      </c>
      <c r="D25" s="122" t="s">
        <v>2203</v>
      </c>
      <c r="E25" s="124">
        <v>42767</v>
      </c>
      <c r="F25" s="125">
        <v>0.31597222222222221</v>
      </c>
      <c r="G25" s="124">
        <v>42818</v>
      </c>
      <c r="H25" s="125">
        <v>0.33333333333333331</v>
      </c>
      <c r="I25" s="123">
        <v>875</v>
      </c>
      <c r="J25" s="123">
        <v>492</v>
      </c>
      <c r="K25" s="142" t="str">
        <f t="shared" si="3"/>
        <v>G492</v>
      </c>
      <c r="L25" s="123">
        <v>190</v>
      </c>
      <c r="M25" s="142" t="str">
        <f t="shared" si="0"/>
        <v>R190</v>
      </c>
      <c r="N25" s="123">
        <v>456</v>
      </c>
      <c r="O25" s="142" t="str">
        <f t="shared" si="1"/>
        <v>G456</v>
      </c>
      <c r="P25" s="123">
        <v>132</v>
      </c>
      <c r="Q25" s="142" t="str">
        <f t="shared" si="2"/>
        <v>R132</v>
      </c>
      <c r="R25" s="123">
        <v>19.100000000000001</v>
      </c>
      <c r="S25" s="123">
        <v>37.200000000000003</v>
      </c>
      <c r="T25" s="123">
        <v>22.2</v>
      </c>
      <c r="U25" s="123">
        <v>31.8</v>
      </c>
      <c r="V25" s="126" t="s">
        <v>2182</v>
      </c>
      <c r="W25" s="126"/>
      <c r="X25" s="126"/>
      <c r="Y25" s="126"/>
      <c r="Z25" s="123"/>
      <c r="AA25" s="123"/>
      <c r="AB25" s="123"/>
      <c r="AC25" s="123"/>
      <c r="AD25" s="123" t="s">
        <v>2204</v>
      </c>
    </row>
    <row r="26" spans="1:31">
      <c r="A26" s="121">
        <v>24</v>
      </c>
      <c r="B26" s="122" t="s">
        <v>2171</v>
      </c>
      <c r="C26" s="122" t="s">
        <v>2211</v>
      </c>
      <c r="D26" s="122" t="s">
        <v>2203</v>
      </c>
      <c r="E26" s="124">
        <v>42767</v>
      </c>
      <c r="F26" s="125">
        <v>0.31944444444444448</v>
      </c>
      <c r="G26" s="124">
        <v>42818</v>
      </c>
      <c r="H26" s="125">
        <v>0.34722222222222227</v>
      </c>
      <c r="I26" s="123">
        <v>877</v>
      </c>
      <c r="J26" s="123">
        <v>813</v>
      </c>
      <c r="K26" s="142" t="str">
        <f t="shared" si="3"/>
        <v>G813</v>
      </c>
      <c r="L26" s="123">
        <v>144</v>
      </c>
      <c r="M26" s="142" t="str">
        <f t="shared" si="0"/>
        <v>R144</v>
      </c>
      <c r="N26" s="123">
        <v>421</v>
      </c>
      <c r="O26" s="142" t="str">
        <f t="shared" si="1"/>
        <v>G421</v>
      </c>
      <c r="P26" s="123">
        <v>71</v>
      </c>
      <c r="Q26" s="142" t="str">
        <f t="shared" si="2"/>
        <v>R71</v>
      </c>
      <c r="R26" s="123">
        <v>18.899999999999999</v>
      </c>
      <c r="S26" s="123">
        <v>39.9</v>
      </c>
      <c r="T26" s="123">
        <v>23.3</v>
      </c>
      <c r="U26" s="123">
        <v>34</v>
      </c>
      <c r="V26" s="126" t="s">
        <v>2182</v>
      </c>
      <c r="W26" s="126" t="s">
        <v>2182</v>
      </c>
      <c r="X26" s="126"/>
      <c r="Y26" s="126"/>
      <c r="Z26" s="123"/>
      <c r="AA26" s="123"/>
      <c r="AB26" s="123"/>
      <c r="AC26" s="123"/>
      <c r="AD26" s="123" t="s">
        <v>2204</v>
      </c>
    </row>
    <row r="27" spans="1:31">
      <c r="A27" s="121">
        <v>25</v>
      </c>
      <c r="B27" s="122" t="s">
        <v>2171</v>
      </c>
      <c r="C27" s="122" t="s">
        <v>2212</v>
      </c>
      <c r="D27" s="122" t="s">
        <v>2213</v>
      </c>
      <c r="E27" s="124">
        <v>42767</v>
      </c>
      <c r="F27" s="125">
        <v>0.31944444444444448</v>
      </c>
      <c r="G27" s="124">
        <v>42818</v>
      </c>
      <c r="H27" s="125">
        <v>0.3888888888888889</v>
      </c>
      <c r="I27" s="123">
        <v>878</v>
      </c>
      <c r="J27" s="123">
        <v>406</v>
      </c>
      <c r="K27" s="142" t="str">
        <f t="shared" si="3"/>
        <v>G406</v>
      </c>
      <c r="L27" s="123">
        <v>279</v>
      </c>
      <c r="M27" s="142" t="str">
        <f t="shared" si="0"/>
        <v>R279</v>
      </c>
      <c r="N27" s="123">
        <v>864</v>
      </c>
      <c r="O27" s="142" t="str">
        <f t="shared" si="1"/>
        <v>G864</v>
      </c>
      <c r="P27" s="123">
        <v>104</v>
      </c>
      <c r="Q27" s="142" t="str">
        <f t="shared" si="2"/>
        <v>R104</v>
      </c>
      <c r="R27" s="123">
        <v>19</v>
      </c>
      <c r="S27" s="123">
        <v>39.700000000000003</v>
      </c>
      <c r="T27" s="123">
        <v>23.7</v>
      </c>
      <c r="U27" s="123">
        <v>34</v>
      </c>
      <c r="V27" s="126"/>
      <c r="W27" s="126"/>
      <c r="X27" s="126"/>
      <c r="Y27" s="126"/>
      <c r="Z27" s="123"/>
      <c r="AA27" s="123"/>
      <c r="AB27" s="123"/>
      <c r="AC27" s="123"/>
      <c r="AD27" s="123" t="s">
        <v>2204</v>
      </c>
    </row>
    <row r="28" spans="1:31">
      <c r="A28" s="121">
        <v>26</v>
      </c>
      <c r="B28" s="122" t="s">
        <v>2171</v>
      </c>
      <c r="C28" s="122" t="s">
        <v>2214</v>
      </c>
      <c r="D28" s="122" t="s">
        <v>2213</v>
      </c>
      <c r="E28" s="124">
        <v>42767</v>
      </c>
      <c r="F28" s="125">
        <v>0.32291666666666669</v>
      </c>
      <c r="G28" s="124">
        <v>42818</v>
      </c>
      <c r="H28" s="125">
        <v>0.37847222222222227</v>
      </c>
      <c r="I28" s="123">
        <v>879</v>
      </c>
      <c r="J28" s="123">
        <v>651</v>
      </c>
      <c r="K28" s="142" t="str">
        <f t="shared" si="3"/>
        <v>G651</v>
      </c>
      <c r="L28" s="123">
        <v>148</v>
      </c>
      <c r="M28" s="142" t="str">
        <f t="shared" si="0"/>
        <v>R148</v>
      </c>
      <c r="N28" s="123">
        <v>506</v>
      </c>
      <c r="O28" s="142" t="str">
        <f t="shared" si="1"/>
        <v>G506</v>
      </c>
      <c r="P28" s="123">
        <v>189</v>
      </c>
      <c r="Q28" s="142" t="str">
        <f t="shared" si="2"/>
        <v>R189</v>
      </c>
      <c r="R28" s="123">
        <v>18.7</v>
      </c>
      <c r="S28" s="123">
        <v>38</v>
      </c>
      <c r="T28" s="123">
        <v>22.7</v>
      </c>
      <c r="U28" s="123">
        <v>24.6</v>
      </c>
      <c r="V28" s="126" t="s">
        <v>2182</v>
      </c>
      <c r="W28" s="126"/>
      <c r="X28" s="126"/>
      <c r="Y28" s="126"/>
      <c r="Z28" s="123"/>
      <c r="AA28" s="123"/>
      <c r="AB28" s="123"/>
      <c r="AC28" s="123"/>
      <c r="AD28" s="123" t="s">
        <v>2204</v>
      </c>
    </row>
    <row r="29" spans="1:31">
      <c r="A29" s="121">
        <v>27</v>
      </c>
      <c r="B29" s="122" t="s">
        <v>2171</v>
      </c>
      <c r="C29" s="122" t="s">
        <v>2215</v>
      </c>
      <c r="D29" s="122" t="s">
        <v>2213</v>
      </c>
      <c r="E29" s="124">
        <v>42767</v>
      </c>
      <c r="F29" s="125">
        <v>0.32291666666666669</v>
      </c>
      <c r="G29" s="124">
        <v>42818</v>
      </c>
      <c r="H29" s="125">
        <v>0.38194444444444442</v>
      </c>
      <c r="I29" s="123">
        <v>880</v>
      </c>
      <c r="J29" s="123">
        <v>583</v>
      </c>
      <c r="K29" s="142" t="str">
        <f t="shared" si="3"/>
        <v>G583</v>
      </c>
      <c r="L29" s="123">
        <v>112</v>
      </c>
      <c r="M29" s="142" t="str">
        <f t="shared" si="0"/>
        <v>R112</v>
      </c>
      <c r="N29" s="123">
        <v>449</v>
      </c>
      <c r="O29" s="142" t="str">
        <f t="shared" si="1"/>
        <v>G449</v>
      </c>
      <c r="P29" s="123">
        <v>217</v>
      </c>
      <c r="Q29" s="142" t="str">
        <f t="shared" si="2"/>
        <v>R217</v>
      </c>
      <c r="R29" s="123">
        <v>19</v>
      </c>
      <c r="S29" s="123">
        <v>36.700000000000003</v>
      </c>
      <c r="T29" s="123">
        <v>23.8</v>
      </c>
      <c r="U29" s="123">
        <v>21.1</v>
      </c>
      <c r="V29" s="126"/>
      <c r="W29" s="126"/>
      <c r="X29" s="126"/>
      <c r="Y29" s="126"/>
      <c r="Z29" s="123"/>
      <c r="AA29" s="123"/>
      <c r="AB29" s="123"/>
      <c r="AC29" s="123"/>
      <c r="AD29" s="123" t="s">
        <v>2204</v>
      </c>
    </row>
    <row r="30" spans="1:31">
      <c r="A30" s="121">
        <v>28</v>
      </c>
      <c r="B30" s="122" t="s">
        <v>2171</v>
      </c>
      <c r="C30" s="122" t="s">
        <v>2216</v>
      </c>
      <c r="D30" s="122" t="s">
        <v>2213</v>
      </c>
      <c r="E30" s="124">
        <v>42767</v>
      </c>
      <c r="F30" s="125">
        <v>0.3263888888888889</v>
      </c>
      <c r="G30" s="124">
        <v>42818</v>
      </c>
      <c r="H30" s="125">
        <v>0.38194444444444442</v>
      </c>
      <c r="I30" s="123">
        <v>881</v>
      </c>
      <c r="J30" s="123">
        <v>702</v>
      </c>
      <c r="K30" s="142" t="str">
        <f t="shared" si="3"/>
        <v>G702</v>
      </c>
      <c r="L30" s="123">
        <v>436</v>
      </c>
      <c r="M30" s="142" t="str">
        <f t="shared" si="0"/>
        <v>R436</v>
      </c>
      <c r="N30" s="123">
        <v>502</v>
      </c>
      <c r="O30" s="142" t="str">
        <f t="shared" si="1"/>
        <v>G502</v>
      </c>
      <c r="P30" s="123">
        <v>172</v>
      </c>
      <c r="Q30" s="142" t="str">
        <f t="shared" si="2"/>
        <v>R172</v>
      </c>
      <c r="R30" s="123">
        <v>19.399999999999999</v>
      </c>
      <c r="S30" s="123">
        <v>41.5</v>
      </c>
      <c r="T30" s="123">
        <v>21.8</v>
      </c>
      <c r="U30" s="123">
        <v>25.3</v>
      </c>
      <c r="V30" s="126"/>
      <c r="W30" s="126"/>
      <c r="X30" s="126"/>
      <c r="Y30" s="126"/>
      <c r="Z30" s="123"/>
      <c r="AA30" s="123"/>
      <c r="AB30" s="123"/>
      <c r="AC30" s="123"/>
      <c r="AD30" s="123" t="s">
        <v>2204</v>
      </c>
    </row>
    <row r="31" spans="1:31">
      <c r="A31" s="121">
        <v>29</v>
      </c>
      <c r="B31" s="122" t="s">
        <v>2171</v>
      </c>
      <c r="C31" s="122" t="s">
        <v>2217</v>
      </c>
      <c r="D31" s="122" t="s">
        <v>2213</v>
      </c>
      <c r="E31" s="124">
        <v>42767</v>
      </c>
      <c r="F31" s="125">
        <v>0.3263888888888889</v>
      </c>
      <c r="G31" s="124">
        <v>42818</v>
      </c>
      <c r="H31" s="125">
        <v>0.3923611111111111</v>
      </c>
      <c r="I31" s="123">
        <v>882</v>
      </c>
      <c r="J31" s="123">
        <v>838</v>
      </c>
      <c r="K31" s="142" t="str">
        <f t="shared" si="3"/>
        <v>G838</v>
      </c>
      <c r="L31" s="123">
        <v>386</v>
      </c>
      <c r="M31" s="142" t="str">
        <f t="shared" si="0"/>
        <v>R386</v>
      </c>
      <c r="N31" s="123">
        <v>345</v>
      </c>
      <c r="O31" s="142" t="str">
        <f t="shared" si="1"/>
        <v>G345</v>
      </c>
      <c r="P31" s="123">
        <v>349</v>
      </c>
      <c r="Q31" s="142" t="str">
        <f t="shared" si="2"/>
        <v>R349</v>
      </c>
      <c r="R31" s="123">
        <v>18.899999999999999</v>
      </c>
      <c r="S31" s="123">
        <v>32.5</v>
      </c>
      <c r="T31" s="123">
        <v>23.2</v>
      </c>
      <c r="U31" s="123">
        <v>24.3</v>
      </c>
      <c r="V31" s="126" t="s">
        <v>2182</v>
      </c>
      <c r="W31" s="126" t="s">
        <v>2201</v>
      </c>
      <c r="X31" s="126"/>
      <c r="Y31" s="126"/>
      <c r="Z31" s="123"/>
      <c r="AA31" s="123"/>
      <c r="AB31" s="123"/>
      <c r="AC31" s="123"/>
      <c r="AD31" s="123" t="s">
        <v>2204</v>
      </c>
    </row>
    <row r="32" spans="1:31">
      <c r="A32" s="121">
        <v>30</v>
      </c>
      <c r="B32" s="122" t="s">
        <v>2171</v>
      </c>
      <c r="C32" s="122" t="s">
        <v>2218</v>
      </c>
      <c r="D32" s="122" t="s">
        <v>2213</v>
      </c>
      <c r="E32" s="124">
        <v>42767</v>
      </c>
      <c r="F32" s="125">
        <v>0.3298611111111111</v>
      </c>
      <c r="G32" s="124">
        <v>42818</v>
      </c>
      <c r="H32" s="125">
        <v>0.3923611111111111</v>
      </c>
      <c r="I32" s="123">
        <v>883</v>
      </c>
      <c r="J32" s="123">
        <v>518</v>
      </c>
      <c r="K32" s="142" t="str">
        <f t="shared" si="3"/>
        <v>G518</v>
      </c>
      <c r="L32">
        <v>507</v>
      </c>
      <c r="M32" s="142" t="str">
        <f t="shared" si="0"/>
        <v>R507</v>
      </c>
      <c r="N32" s="123">
        <v>500</v>
      </c>
      <c r="O32" s="142" t="str">
        <f t="shared" si="1"/>
        <v>G500</v>
      </c>
      <c r="P32" s="123">
        <v>296</v>
      </c>
      <c r="Q32" s="142" t="str">
        <f t="shared" si="2"/>
        <v>R296</v>
      </c>
      <c r="R32" s="123">
        <v>18.7</v>
      </c>
      <c r="S32" s="123">
        <v>30.7</v>
      </c>
      <c r="T32" s="123">
        <v>22.7</v>
      </c>
      <c r="U32" s="123">
        <v>23.1</v>
      </c>
      <c r="V32" s="126" t="s">
        <v>2182</v>
      </c>
      <c r="W32" s="126" t="s">
        <v>2182</v>
      </c>
      <c r="X32" s="126"/>
      <c r="Y32" s="126"/>
      <c r="Z32" s="123"/>
      <c r="AA32" s="123"/>
      <c r="AB32" s="123"/>
      <c r="AC32" s="123"/>
      <c r="AD32" s="123" t="s">
        <v>2204</v>
      </c>
    </row>
    <row r="33" spans="1:31">
      <c r="A33" s="121">
        <v>31</v>
      </c>
      <c r="B33" s="122" t="s">
        <v>2171</v>
      </c>
      <c r="C33" s="122" t="s">
        <v>2219</v>
      </c>
      <c r="D33" s="122" t="s">
        <v>2213</v>
      </c>
      <c r="E33" s="124">
        <v>42767</v>
      </c>
      <c r="F33" s="125">
        <v>0.3298611111111111</v>
      </c>
      <c r="G33" s="124">
        <v>42818</v>
      </c>
      <c r="H33" s="125">
        <v>0.39583333333333331</v>
      </c>
      <c r="I33" s="123">
        <v>884</v>
      </c>
      <c r="J33" s="129">
        <v>404</v>
      </c>
      <c r="K33" s="142" t="str">
        <f t="shared" si="3"/>
        <v>G404</v>
      </c>
      <c r="L33" s="123">
        <v>141</v>
      </c>
      <c r="M33" s="142" t="str">
        <f t="shared" si="0"/>
        <v>R141</v>
      </c>
      <c r="N33" s="123">
        <v>521</v>
      </c>
      <c r="O33" s="142" t="str">
        <f t="shared" si="1"/>
        <v>G521</v>
      </c>
      <c r="P33" s="123">
        <v>323</v>
      </c>
      <c r="Q33" s="142" t="str">
        <f t="shared" si="2"/>
        <v>R323</v>
      </c>
      <c r="R33" s="123">
        <v>19.8</v>
      </c>
      <c r="S33" s="123">
        <v>36.6</v>
      </c>
      <c r="T33" s="123">
        <v>22.1</v>
      </c>
      <c r="U33" s="123">
        <v>29.4</v>
      </c>
      <c r="V33" s="126" t="s">
        <v>2182</v>
      </c>
      <c r="W33" s="126" t="s">
        <v>2182</v>
      </c>
      <c r="X33" s="126" t="s">
        <v>2182</v>
      </c>
      <c r="Y33" s="126" t="s">
        <v>2182</v>
      </c>
      <c r="Z33" s="123"/>
      <c r="AA33" s="123"/>
      <c r="AB33" s="123"/>
      <c r="AC33" s="123"/>
      <c r="AD33" s="123" t="s">
        <v>2204</v>
      </c>
    </row>
    <row r="34" spans="1:31">
      <c r="A34" s="121">
        <v>32</v>
      </c>
      <c r="B34" s="122" t="s">
        <v>2171</v>
      </c>
      <c r="C34" s="122" t="s">
        <v>2220</v>
      </c>
      <c r="D34" s="122" t="s">
        <v>2213</v>
      </c>
      <c r="E34" s="124">
        <v>42767</v>
      </c>
      <c r="F34" s="125">
        <v>0.33333333333333331</v>
      </c>
      <c r="G34" s="124">
        <v>42818</v>
      </c>
      <c r="H34" s="125">
        <v>0.38541666666666669</v>
      </c>
      <c r="I34" s="123">
        <v>885</v>
      </c>
      <c r="J34" s="123">
        <v>527</v>
      </c>
      <c r="K34" s="142" t="str">
        <f t="shared" si="3"/>
        <v>G527</v>
      </c>
      <c r="L34" s="123">
        <v>396</v>
      </c>
      <c r="M34" s="142" t="str">
        <f t="shared" si="0"/>
        <v>R396</v>
      </c>
      <c r="N34" s="123">
        <v>201</v>
      </c>
      <c r="O34" s="142" t="str">
        <f t="shared" si="1"/>
        <v>G201</v>
      </c>
      <c r="P34" s="123">
        <v>156</v>
      </c>
      <c r="Q34" s="142" t="str">
        <f t="shared" si="2"/>
        <v>R156</v>
      </c>
      <c r="R34" s="123">
        <v>18.8</v>
      </c>
      <c r="S34" s="123">
        <v>36.299999999999997</v>
      </c>
      <c r="T34" s="123">
        <v>23</v>
      </c>
      <c r="U34" s="123">
        <v>29.4</v>
      </c>
      <c r="V34" s="126" t="s">
        <v>2182</v>
      </c>
      <c r="W34" s="126" t="s">
        <v>2182</v>
      </c>
      <c r="X34" s="126" t="s">
        <v>2182</v>
      </c>
      <c r="Y34" s="126" t="s">
        <v>2182</v>
      </c>
      <c r="Z34" s="123"/>
      <c r="AA34" s="123"/>
      <c r="AB34" s="123"/>
      <c r="AC34" s="123"/>
      <c r="AD34" s="123" t="s">
        <v>2204</v>
      </c>
    </row>
    <row r="35" spans="1:31">
      <c r="A35" s="121">
        <v>33</v>
      </c>
      <c r="B35" s="122" t="s">
        <v>2171</v>
      </c>
      <c r="C35" s="122" t="s">
        <v>2221</v>
      </c>
      <c r="D35" s="122" t="s">
        <v>2222</v>
      </c>
      <c r="E35" s="124">
        <v>42765</v>
      </c>
      <c r="F35" s="125">
        <v>0.67361111111111116</v>
      </c>
      <c r="G35" s="124">
        <v>42820</v>
      </c>
      <c r="H35" s="125">
        <v>0.4548611111111111</v>
      </c>
      <c r="I35" s="123">
        <v>813</v>
      </c>
      <c r="J35" s="123">
        <v>366</v>
      </c>
      <c r="K35" s="142" t="str">
        <f t="shared" si="3"/>
        <v>G366</v>
      </c>
      <c r="L35" s="123">
        <v>109</v>
      </c>
      <c r="M35" s="142" t="str">
        <f t="shared" si="0"/>
        <v>R109</v>
      </c>
      <c r="N35" s="123">
        <v>556</v>
      </c>
      <c r="O35" s="142" t="str">
        <f t="shared" si="1"/>
        <v>G556</v>
      </c>
      <c r="P35" s="123">
        <v>452</v>
      </c>
      <c r="Q35" s="142" t="str">
        <f t="shared" si="2"/>
        <v>R452</v>
      </c>
      <c r="R35" s="123">
        <v>25.1</v>
      </c>
      <c r="S35" s="123">
        <v>30.5</v>
      </c>
      <c r="T35" s="123">
        <v>25.4</v>
      </c>
      <c r="U35" s="123"/>
      <c r="V35" s="126" t="s">
        <v>2182</v>
      </c>
      <c r="W35" s="126" t="s">
        <v>2190</v>
      </c>
      <c r="X35" s="126" t="s">
        <v>2182</v>
      </c>
      <c r="Y35" s="126" t="s">
        <v>2182</v>
      </c>
      <c r="Z35" s="123">
        <v>17.2</v>
      </c>
      <c r="AA35" s="126" t="s">
        <v>2223</v>
      </c>
      <c r="AB35" s="123">
        <v>9.5</v>
      </c>
      <c r="AC35" s="126">
        <v>0</v>
      </c>
      <c r="AD35" s="123"/>
    </row>
    <row r="36" spans="1:31">
      <c r="A36" s="121">
        <v>34</v>
      </c>
      <c r="B36" s="122" t="s">
        <v>2171</v>
      </c>
      <c r="C36" s="122" t="s">
        <v>2224</v>
      </c>
      <c r="D36" s="122" t="s">
        <v>2222</v>
      </c>
      <c r="E36" s="124">
        <v>42765</v>
      </c>
      <c r="F36" s="125">
        <v>0.71875</v>
      </c>
      <c r="G36" s="124">
        <v>42820</v>
      </c>
      <c r="H36" s="125">
        <v>0.4513888888888889</v>
      </c>
      <c r="I36" s="123">
        <v>822</v>
      </c>
      <c r="J36" s="123">
        <v>516</v>
      </c>
      <c r="K36" s="142" t="str">
        <f t="shared" si="3"/>
        <v>G516</v>
      </c>
      <c r="L36" s="123">
        <v>153</v>
      </c>
      <c r="M36" s="142" t="str">
        <f t="shared" si="0"/>
        <v>R153</v>
      </c>
      <c r="N36" s="123">
        <v>649</v>
      </c>
      <c r="O36" s="142" t="str">
        <f t="shared" si="1"/>
        <v>G649</v>
      </c>
      <c r="P36" s="123">
        <v>24</v>
      </c>
      <c r="Q36" s="142" t="str">
        <f t="shared" si="2"/>
        <v>R24</v>
      </c>
      <c r="R36" s="123">
        <v>24.6</v>
      </c>
      <c r="S36" s="123">
        <v>21</v>
      </c>
      <c r="T36" s="123">
        <v>26.5</v>
      </c>
      <c r="U36" s="123"/>
      <c r="V36" s="126" t="s">
        <v>2225</v>
      </c>
      <c r="W36" s="126" t="s">
        <v>2190</v>
      </c>
      <c r="X36" s="126" t="s">
        <v>2182</v>
      </c>
      <c r="Y36" s="126" t="s">
        <v>2182</v>
      </c>
      <c r="Z36" s="123">
        <v>14.2</v>
      </c>
      <c r="AA36" s="126" t="s">
        <v>2223</v>
      </c>
      <c r="AB36" s="123">
        <v>6.5</v>
      </c>
      <c r="AC36" s="126">
        <v>0</v>
      </c>
      <c r="AD36" s="123" t="s">
        <v>2226</v>
      </c>
    </row>
    <row r="37" spans="1:31">
      <c r="A37" s="121">
        <v>35</v>
      </c>
      <c r="B37" s="122" t="s">
        <v>2171</v>
      </c>
      <c r="C37" s="122" t="s">
        <v>2227</v>
      </c>
      <c r="D37" s="122" t="s">
        <v>2222</v>
      </c>
      <c r="E37" s="124">
        <v>42765</v>
      </c>
      <c r="F37" s="125">
        <v>0.71875</v>
      </c>
      <c r="G37" s="124">
        <v>42820</v>
      </c>
      <c r="H37" s="125">
        <v>0.44444444444444442</v>
      </c>
      <c r="I37" s="123">
        <v>823</v>
      </c>
      <c r="J37" s="123">
        <v>670</v>
      </c>
      <c r="K37" s="142" t="str">
        <f t="shared" si="3"/>
        <v>G670</v>
      </c>
      <c r="L37" s="123">
        <v>64</v>
      </c>
      <c r="M37" s="142" t="str">
        <f t="shared" si="0"/>
        <v>R64</v>
      </c>
      <c r="N37" s="123">
        <v>732</v>
      </c>
      <c r="O37" s="142" t="str">
        <f t="shared" si="1"/>
        <v>G732</v>
      </c>
      <c r="P37" s="123">
        <v>69</v>
      </c>
      <c r="Q37" s="142" t="str">
        <f t="shared" si="2"/>
        <v>R69</v>
      </c>
      <c r="R37" s="123">
        <v>24.2</v>
      </c>
      <c r="S37" s="123">
        <v>10.9</v>
      </c>
      <c r="T37" s="123">
        <v>24.7</v>
      </c>
      <c r="U37" s="123"/>
      <c r="V37" s="126"/>
      <c r="W37" s="126"/>
      <c r="X37" s="126" t="s">
        <v>2182</v>
      </c>
      <c r="Y37" s="126" t="s">
        <v>2182</v>
      </c>
      <c r="Z37" s="123">
        <v>10.6</v>
      </c>
      <c r="AA37" s="126" t="s">
        <v>2223</v>
      </c>
      <c r="AB37" s="123">
        <v>0.7</v>
      </c>
      <c r="AC37" s="126">
        <v>0</v>
      </c>
      <c r="AD37" s="123"/>
    </row>
    <row r="38" spans="1:31">
      <c r="A38" s="121">
        <v>36</v>
      </c>
      <c r="B38" s="122" t="s">
        <v>2171</v>
      </c>
      <c r="C38" s="122" t="s">
        <v>2228</v>
      </c>
      <c r="D38" s="122" t="s">
        <v>2222</v>
      </c>
      <c r="E38" s="124">
        <v>42765</v>
      </c>
      <c r="F38" s="125">
        <v>0.74305555555555547</v>
      </c>
      <c r="G38" s="124">
        <v>42820</v>
      </c>
      <c r="H38" s="125">
        <v>0.4375</v>
      </c>
      <c r="I38" s="123">
        <v>824</v>
      </c>
      <c r="J38" s="123">
        <v>507</v>
      </c>
      <c r="K38" s="142" t="str">
        <f t="shared" si="3"/>
        <v>G507</v>
      </c>
      <c r="L38" s="123">
        <v>126</v>
      </c>
      <c r="M38" s="142" t="str">
        <f t="shared" si="0"/>
        <v>R126</v>
      </c>
      <c r="N38" s="123">
        <v>550</v>
      </c>
      <c r="O38" s="142" t="str">
        <f t="shared" si="1"/>
        <v>G550</v>
      </c>
      <c r="P38" s="123">
        <v>97</v>
      </c>
      <c r="Q38" s="142" t="str">
        <f t="shared" si="2"/>
        <v>R97</v>
      </c>
      <c r="R38" s="123">
        <v>24.8</v>
      </c>
      <c r="S38" s="123">
        <v>14.1</v>
      </c>
      <c r="T38" s="123">
        <v>24.7</v>
      </c>
      <c r="U38" s="123"/>
      <c r="V38" s="126" t="s">
        <v>2182</v>
      </c>
      <c r="W38" s="126" t="s">
        <v>2229</v>
      </c>
      <c r="X38" s="126" t="s">
        <v>2182</v>
      </c>
      <c r="Y38" s="126" t="s">
        <v>2182</v>
      </c>
      <c r="Z38" s="123">
        <v>4.9000000000000004</v>
      </c>
      <c r="AA38" s="126" t="s">
        <v>2223</v>
      </c>
      <c r="AB38" s="123">
        <v>3.3</v>
      </c>
      <c r="AC38" s="126">
        <v>1</v>
      </c>
      <c r="AD38" s="123"/>
    </row>
    <row r="39" spans="1:31">
      <c r="A39" s="121">
        <v>37</v>
      </c>
      <c r="B39" s="122" t="s">
        <v>2171</v>
      </c>
      <c r="C39" s="122" t="s">
        <v>2230</v>
      </c>
      <c r="D39" s="122" t="s">
        <v>2222</v>
      </c>
      <c r="E39" s="124">
        <v>42765</v>
      </c>
      <c r="F39" s="125">
        <v>0.74652777777777779</v>
      </c>
      <c r="G39" s="124">
        <v>42820</v>
      </c>
      <c r="H39" s="125">
        <v>0.375</v>
      </c>
      <c r="I39" s="123">
        <v>825</v>
      </c>
      <c r="J39" s="123">
        <v>359</v>
      </c>
      <c r="K39" s="142" t="str">
        <f t="shared" si="3"/>
        <v>G359</v>
      </c>
      <c r="L39" s="123">
        <v>63</v>
      </c>
      <c r="M39" s="142" t="str">
        <f t="shared" si="0"/>
        <v>R63</v>
      </c>
      <c r="N39" s="123">
        <v>528</v>
      </c>
      <c r="O39" s="142" t="str">
        <f t="shared" si="1"/>
        <v>G528</v>
      </c>
      <c r="P39" s="123">
        <v>89</v>
      </c>
      <c r="Q39" s="142" t="str">
        <f t="shared" si="2"/>
        <v>R89</v>
      </c>
      <c r="R39" s="123">
        <v>24.8</v>
      </c>
      <c r="S39" s="123">
        <v>16.2</v>
      </c>
      <c r="T39" s="123">
        <v>24.3</v>
      </c>
      <c r="U39" s="123">
        <v>22.4</v>
      </c>
      <c r="V39" s="126" t="s">
        <v>2190</v>
      </c>
      <c r="W39" s="126" t="s">
        <v>2231</v>
      </c>
      <c r="X39" s="126" t="s">
        <v>2182</v>
      </c>
      <c r="Y39" s="126" t="s">
        <v>2182</v>
      </c>
      <c r="Z39" s="123">
        <v>27.8</v>
      </c>
      <c r="AA39" s="126" t="s">
        <v>2223</v>
      </c>
      <c r="AB39" s="123">
        <v>8.3000000000000007</v>
      </c>
      <c r="AC39" s="123">
        <v>0</v>
      </c>
      <c r="AD39" s="123"/>
    </row>
    <row r="40" spans="1:31">
      <c r="A40" s="121">
        <v>38</v>
      </c>
      <c r="B40" s="122" t="s">
        <v>2171</v>
      </c>
      <c r="C40" s="122" t="s">
        <v>2232</v>
      </c>
      <c r="D40" s="122" t="s">
        <v>2222</v>
      </c>
      <c r="E40" s="124">
        <v>42765</v>
      </c>
      <c r="F40" s="125">
        <v>0.71875</v>
      </c>
      <c r="G40" s="124">
        <v>42820</v>
      </c>
      <c r="H40" s="125">
        <v>0.38194444444444442</v>
      </c>
      <c r="I40" s="123">
        <v>826</v>
      </c>
      <c r="J40" s="123">
        <v>499</v>
      </c>
      <c r="K40" s="142" t="str">
        <f t="shared" si="3"/>
        <v>G499</v>
      </c>
      <c r="L40" s="123">
        <v>87</v>
      </c>
      <c r="M40" s="142" t="str">
        <f t="shared" si="0"/>
        <v>R87</v>
      </c>
      <c r="N40" s="123">
        <v>703</v>
      </c>
      <c r="O40" s="142" t="str">
        <f t="shared" si="1"/>
        <v>G703</v>
      </c>
      <c r="P40" s="129">
        <v>147</v>
      </c>
      <c r="Q40" s="142" t="str">
        <f t="shared" si="2"/>
        <v>R147</v>
      </c>
      <c r="R40" s="129">
        <v>23.2</v>
      </c>
      <c r="S40" s="129">
        <v>20.9</v>
      </c>
      <c r="T40" s="123">
        <v>25</v>
      </c>
      <c r="U40" s="123"/>
      <c r="V40" s="126" t="s">
        <v>2198</v>
      </c>
      <c r="W40" s="126" t="s">
        <v>2233</v>
      </c>
      <c r="X40" s="126" t="s">
        <v>2182</v>
      </c>
      <c r="Y40" s="126"/>
      <c r="Z40" s="123">
        <v>20.399999999999999</v>
      </c>
      <c r="AA40" s="126" t="s">
        <v>2245</v>
      </c>
      <c r="AB40" s="123">
        <v>2</v>
      </c>
      <c r="AC40" s="123">
        <v>0</v>
      </c>
      <c r="AD40" s="123"/>
    </row>
    <row r="41" spans="1:31">
      <c r="A41" s="121">
        <v>39</v>
      </c>
      <c r="B41" s="122" t="s">
        <v>2171</v>
      </c>
      <c r="C41" s="122" t="s">
        <v>2234</v>
      </c>
      <c r="D41" s="122" t="s">
        <v>2222</v>
      </c>
      <c r="E41" s="124">
        <v>42765</v>
      </c>
      <c r="F41" s="125">
        <v>0.75</v>
      </c>
      <c r="G41" s="124">
        <v>42820</v>
      </c>
      <c r="H41" s="125">
        <v>0.39930555555555558</v>
      </c>
      <c r="I41" s="123">
        <v>827</v>
      </c>
      <c r="J41" s="123">
        <v>214</v>
      </c>
      <c r="K41" s="142" t="str">
        <f t="shared" si="3"/>
        <v>G214</v>
      </c>
      <c r="L41" s="123">
        <v>437</v>
      </c>
      <c r="M41" s="142" t="str">
        <f t="shared" si="0"/>
        <v>R437</v>
      </c>
      <c r="N41" s="123">
        <v>566</v>
      </c>
      <c r="O41" s="142" t="str">
        <f t="shared" si="1"/>
        <v>G566</v>
      </c>
      <c r="P41" s="123">
        <v>65</v>
      </c>
      <c r="Q41" s="142" t="str">
        <f t="shared" si="2"/>
        <v>R65</v>
      </c>
      <c r="R41" s="123">
        <v>23.7</v>
      </c>
      <c r="S41" s="123">
        <v>26.9</v>
      </c>
      <c r="T41" s="123">
        <v>22.9</v>
      </c>
      <c r="U41" s="123"/>
      <c r="V41" s="126" t="s">
        <v>2182</v>
      </c>
      <c r="W41" s="126" t="s">
        <v>2182</v>
      </c>
      <c r="X41" s="126" t="s">
        <v>2182</v>
      </c>
      <c r="Y41" s="126" t="s">
        <v>2182</v>
      </c>
      <c r="Z41" s="123">
        <v>18</v>
      </c>
      <c r="AA41" s="126" t="s">
        <v>2223</v>
      </c>
      <c r="AB41" s="123">
        <v>2.4</v>
      </c>
      <c r="AC41" s="123">
        <v>1</v>
      </c>
      <c r="AD41" s="123" t="s">
        <v>2235</v>
      </c>
      <c r="AE41" s="92"/>
    </row>
    <row r="42" spans="1:31">
      <c r="A42" s="121">
        <v>40</v>
      </c>
      <c r="B42" s="122" t="s">
        <v>2171</v>
      </c>
      <c r="C42" s="122" t="s">
        <v>2236</v>
      </c>
      <c r="D42" s="122" t="s">
        <v>2222</v>
      </c>
      <c r="E42" s="124">
        <v>42765</v>
      </c>
      <c r="F42" s="125">
        <v>0.75347222222222221</v>
      </c>
      <c r="G42" s="124">
        <v>42820</v>
      </c>
      <c r="H42" s="125">
        <v>0.40625</v>
      </c>
      <c r="I42" s="123">
        <v>828</v>
      </c>
      <c r="J42" s="123">
        <v>582</v>
      </c>
      <c r="K42" s="142" t="str">
        <f t="shared" si="3"/>
        <v>G582</v>
      </c>
      <c r="L42" s="123">
        <v>114</v>
      </c>
      <c r="M42" s="142" t="str">
        <f t="shared" si="0"/>
        <v>R114</v>
      </c>
      <c r="N42" s="123">
        <v>619</v>
      </c>
      <c r="O42" s="142" t="str">
        <f t="shared" si="1"/>
        <v>G619</v>
      </c>
      <c r="P42" s="123">
        <v>420</v>
      </c>
      <c r="Q42" s="142" t="str">
        <f t="shared" si="2"/>
        <v>R420</v>
      </c>
      <c r="R42" s="123">
        <v>24.3</v>
      </c>
      <c r="S42" s="123">
        <v>31.9</v>
      </c>
      <c r="T42" s="123">
        <v>23.5</v>
      </c>
      <c r="U42" s="123"/>
      <c r="V42" s="126" t="s">
        <v>2174</v>
      </c>
      <c r="W42" s="126" t="s">
        <v>2174</v>
      </c>
      <c r="X42" s="126" t="s">
        <v>2182</v>
      </c>
      <c r="Y42" s="126"/>
      <c r="Z42" s="123">
        <v>19.3</v>
      </c>
      <c r="AA42" s="123" t="s">
        <v>2223</v>
      </c>
      <c r="AB42" s="123">
        <v>8.6999999999999993</v>
      </c>
      <c r="AC42" s="123">
        <v>0</v>
      </c>
      <c r="AD42" s="123" t="s">
        <v>2237</v>
      </c>
    </row>
    <row r="43" spans="1:31">
      <c r="A43" s="121">
        <v>41</v>
      </c>
      <c r="B43" s="122" t="s">
        <v>2171</v>
      </c>
      <c r="C43" s="122" t="s">
        <v>2238</v>
      </c>
      <c r="D43" s="122" t="s">
        <v>2239</v>
      </c>
      <c r="E43" s="124">
        <v>42766</v>
      </c>
      <c r="F43" s="125">
        <v>0.40972222222222227</v>
      </c>
      <c r="G43" s="124">
        <v>42820</v>
      </c>
      <c r="H43" s="125">
        <v>0.52083333333333337</v>
      </c>
      <c r="I43" s="123">
        <v>830</v>
      </c>
      <c r="J43" s="123">
        <v>453</v>
      </c>
      <c r="K43" s="142" t="str">
        <f t="shared" si="3"/>
        <v>G453</v>
      </c>
      <c r="L43" s="123">
        <v>521</v>
      </c>
      <c r="M43" s="142" t="str">
        <f t="shared" si="0"/>
        <v>R521</v>
      </c>
      <c r="N43" s="123">
        <v>626</v>
      </c>
      <c r="O43" s="142" t="str">
        <f t="shared" si="1"/>
        <v>G626</v>
      </c>
      <c r="P43" s="123">
        <v>77</v>
      </c>
      <c r="Q43" s="142" t="str">
        <f t="shared" si="2"/>
        <v>R77</v>
      </c>
      <c r="R43" s="123">
        <v>20.9</v>
      </c>
      <c r="S43" s="123">
        <v>21.9</v>
      </c>
      <c r="T43" s="123">
        <v>28.1</v>
      </c>
      <c r="U43" s="123"/>
      <c r="V43" s="126" t="s">
        <v>2195</v>
      </c>
      <c r="W43" s="126"/>
      <c r="X43" s="126" t="s">
        <v>2182</v>
      </c>
      <c r="Y43" s="126" t="s">
        <v>2182</v>
      </c>
      <c r="Z43" s="123">
        <v>19.100000000000001</v>
      </c>
      <c r="AA43" s="123" t="s">
        <v>2223</v>
      </c>
      <c r="AB43" s="123">
        <v>4</v>
      </c>
      <c r="AC43" s="123">
        <v>0</v>
      </c>
      <c r="AD43" s="123"/>
    </row>
    <row r="44" spans="1:31">
      <c r="A44" s="121">
        <v>42</v>
      </c>
      <c r="B44" s="122" t="s">
        <v>2171</v>
      </c>
      <c r="C44" s="122" t="s">
        <v>2240</v>
      </c>
      <c r="D44" s="122" t="s">
        <v>2239</v>
      </c>
      <c r="E44" s="124">
        <v>42766</v>
      </c>
      <c r="F44" s="125">
        <v>0.41319444444444442</v>
      </c>
      <c r="G44" s="124">
        <v>42820</v>
      </c>
      <c r="H44" s="125">
        <v>0.47222222222222227</v>
      </c>
      <c r="I44" s="123">
        <v>831</v>
      </c>
      <c r="J44" s="123">
        <v>764</v>
      </c>
      <c r="K44" s="142" t="str">
        <f t="shared" si="3"/>
        <v>G764</v>
      </c>
      <c r="L44" s="123">
        <v>371</v>
      </c>
      <c r="M44" s="142" t="str">
        <f t="shared" si="0"/>
        <v>R371</v>
      </c>
      <c r="N44" s="123">
        <v>437</v>
      </c>
      <c r="O44" s="142" t="str">
        <f t="shared" si="1"/>
        <v>G437</v>
      </c>
      <c r="P44" s="123">
        <v>81</v>
      </c>
      <c r="Q44" s="142" t="str">
        <f t="shared" si="2"/>
        <v>R81</v>
      </c>
      <c r="R44" s="123">
        <v>20.3</v>
      </c>
      <c r="S44" s="123">
        <v>19</v>
      </c>
      <c r="T44" s="123">
        <v>25.6</v>
      </c>
      <c r="U44" s="123"/>
      <c r="V44" s="123" t="s">
        <v>2174</v>
      </c>
      <c r="W44" s="126"/>
      <c r="X44" s="126"/>
      <c r="Y44" s="126"/>
      <c r="Z44" s="123">
        <v>12.7</v>
      </c>
      <c r="AA44" s="123" t="s">
        <v>2223</v>
      </c>
      <c r="AB44" s="123">
        <v>5.9</v>
      </c>
      <c r="AC44" s="123">
        <v>0</v>
      </c>
      <c r="AD44" s="123" t="s">
        <v>2241</v>
      </c>
    </row>
    <row r="45" spans="1:31">
      <c r="A45" s="121">
        <v>43</v>
      </c>
      <c r="B45" s="122" t="s">
        <v>2171</v>
      </c>
      <c r="C45" s="122" t="s">
        <v>2242</v>
      </c>
      <c r="D45" s="122" t="s">
        <v>2239</v>
      </c>
      <c r="E45" s="124">
        <v>42766</v>
      </c>
      <c r="F45" s="125">
        <v>0.41666666666666669</v>
      </c>
      <c r="G45" s="124">
        <v>42820</v>
      </c>
      <c r="H45" s="125">
        <v>0.47916666666666669</v>
      </c>
      <c r="I45" s="123">
        <v>832</v>
      </c>
      <c r="J45" s="123">
        <v>690</v>
      </c>
      <c r="K45" s="142" t="str">
        <f t="shared" si="3"/>
        <v>G690</v>
      </c>
      <c r="L45" s="123">
        <v>376</v>
      </c>
      <c r="M45" s="142" t="str">
        <f t="shared" si="0"/>
        <v>R376</v>
      </c>
      <c r="N45" s="123">
        <v>643</v>
      </c>
      <c r="O45" s="142" t="str">
        <f t="shared" si="1"/>
        <v>G643</v>
      </c>
      <c r="P45" s="123">
        <v>117</v>
      </c>
      <c r="Q45" s="142" t="str">
        <f t="shared" si="2"/>
        <v>R117</v>
      </c>
      <c r="R45" s="123">
        <v>20.9</v>
      </c>
      <c r="S45" s="123">
        <v>18.3</v>
      </c>
      <c r="T45" s="123">
        <v>22.7</v>
      </c>
      <c r="U45" s="123"/>
      <c r="V45" s="123" t="s">
        <v>2201</v>
      </c>
      <c r="W45" s="126" t="s">
        <v>2190</v>
      </c>
      <c r="X45" s="126" t="s">
        <v>2182</v>
      </c>
      <c r="Y45" s="126" t="s">
        <v>2182</v>
      </c>
      <c r="Z45" s="123">
        <v>26.3</v>
      </c>
      <c r="AA45" s="123" t="s">
        <v>2223</v>
      </c>
      <c r="AB45" s="123">
        <v>5</v>
      </c>
      <c r="AC45" s="123">
        <v>0</v>
      </c>
      <c r="AD45" s="123"/>
    </row>
    <row r="46" spans="1:31">
      <c r="A46" s="121">
        <v>44</v>
      </c>
      <c r="B46" s="122" t="s">
        <v>2171</v>
      </c>
      <c r="C46" s="122" t="s">
        <v>2243</v>
      </c>
      <c r="D46" s="122" t="s">
        <v>2239</v>
      </c>
      <c r="E46" s="124">
        <v>42766</v>
      </c>
      <c r="F46" s="125">
        <v>0.42708333333333331</v>
      </c>
      <c r="G46" s="124">
        <v>42820</v>
      </c>
      <c r="H46" s="125">
        <v>0.51736111111111105</v>
      </c>
      <c r="I46" s="123">
        <v>1142</v>
      </c>
      <c r="J46" s="123">
        <v>774</v>
      </c>
      <c r="K46" s="142" t="str">
        <f t="shared" si="3"/>
        <v>G774</v>
      </c>
      <c r="L46" s="123">
        <v>166</v>
      </c>
      <c r="M46" s="142" t="str">
        <f t="shared" si="0"/>
        <v>R166</v>
      </c>
      <c r="N46">
        <v>283</v>
      </c>
      <c r="O46" s="142" t="str">
        <f t="shared" si="1"/>
        <v>G283</v>
      </c>
      <c r="P46" s="123">
        <v>6</v>
      </c>
      <c r="Q46" s="142" t="str">
        <f t="shared" si="2"/>
        <v>R6</v>
      </c>
      <c r="R46" s="123">
        <v>20.9</v>
      </c>
      <c r="S46" s="123">
        <v>20.6</v>
      </c>
      <c r="T46" s="123">
        <v>24.4</v>
      </c>
      <c r="U46" s="123"/>
      <c r="V46" s="123" t="s">
        <v>2182</v>
      </c>
      <c r="W46" s="126" t="s">
        <v>2182</v>
      </c>
      <c r="X46" s="126" t="s">
        <v>2182</v>
      </c>
      <c r="Y46" s="126"/>
      <c r="Z46" s="123">
        <v>39.200000000000003</v>
      </c>
      <c r="AA46" s="123" t="s">
        <v>2223</v>
      </c>
      <c r="AB46" s="123">
        <v>2.6</v>
      </c>
      <c r="AC46" s="123">
        <v>0</v>
      </c>
      <c r="AD46" s="123"/>
    </row>
    <row r="47" spans="1:31">
      <c r="A47" s="121">
        <v>45</v>
      </c>
      <c r="B47" s="122" t="s">
        <v>2171</v>
      </c>
      <c r="C47" s="122" t="s">
        <v>2244</v>
      </c>
      <c r="D47" s="122" t="s">
        <v>2239</v>
      </c>
      <c r="E47" s="124">
        <v>42766</v>
      </c>
      <c r="F47" s="125">
        <v>0.43055555555555558</v>
      </c>
      <c r="G47" s="124">
        <v>42820</v>
      </c>
      <c r="H47" s="125">
        <v>0.48958333333333331</v>
      </c>
      <c r="I47" s="123">
        <v>1147</v>
      </c>
      <c r="J47" s="123">
        <v>519</v>
      </c>
      <c r="K47" s="142" t="str">
        <f t="shared" si="3"/>
        <v>G519</v>
      </c>
      <c r="L47" s="123">
        <v>469</v>
      </c>
      <c r="M47" s="142" t="str">
        <f t="shared" si="0"/>
        <v>R469</v>
      </c>
      <c r="N47" s="123">
        <v>602</v>
      </c>
      <c r="O47" s="142" t="str">
        <f t="shared" si="1"/>
        <v>G602</v>
      </c>
      <c r="P47" s="123">
        <v>74</v>
      </c>
      <c r="Q47" s="142" t="str">
        <f t="shared" si="2"/>
        <v>R74</v>
      </c>
      <c r="R47" s="123">
        <v>20.100000000000001</v>
      </c>
      <c r="S47" s="123">
        <v>24.4</v>
      </c>
      <c r="T47" s="123">
        <v>24.2</v>
      </c>
      <c r="U47" s="123"/>
      <c r="V47" s="123" t="s">
        <v>2182</v>
      </c>
      <c r="W47" s="126"/>
      <c r="X47" s="126" t="s">
        <v>2182</v>
      </c>
      <c r="Y47" s="126"/>
      <c r="Z47" s="123">
        <v>9.3000000000000007</v>
      </c>
      <c r="AA47" s="123" t="s">
        <v>2245</v>
      </c>
      <c r="AB47" s="123">
        <v>2.2999999999999998</v>
      </c>
      <c r="AC47" s="123">
        <v>0</v>
      </c>
      <c r="AD47" s="123"/>
    </row>
    <row r="48" spans="1:31">
      <c r="A48" s="168">
        <v>46</v>
      </c>
      <c r="B48" s="169" t="s">
        <v>2171</v>
      </c>
      <c r="C48" s="169" t="s">
        <v>2246</v>
      </c>
      <c r="D48" s="169" t="s">
        <v>2239</v>
      </c>
      <c r="E48" s="170">
        <v>42766</v>
      </c>
      <c r="F48" s="173">
        <v>0.43402777777777773</v>
      </c>
      <c r="G48" s="170">
        <v>42820</v>
      </c>
      <c r="H48" s="168"/>
      <c r="I48" s="168">
        <v>835</v>
      </c>
      <c r="J48" s="168">
        <v>635</v>
      </c>
      <c r="K48" s="142" t="str">
        <f t="shared" si="3"/>
        <v>G635</v>
      </c>
      <c r="L48" s="168">
        <v>86</v>
      </c>
      <c r="M48" s="142" t="str">
        <f t="shared" si="0"/>
        <v>R86</v>
      </c>
      <c r="N48" s="168">
        <v>427</v>
      </c>
      <c r="O48" s="142" t="str">
        <f t="shared" si="1"/>
        <v>G427</v>
      </c>
      <c r="P48" s="168">
        <v>102</v>
      </c>
      <c r="Q48" s="142" t="str">
        <f t="shared" si="2"/>
        <v>R102</v>
      </c>
      <c r="R48" s="168">
        <v>20.100000000000001</v>
      </c>
      <c r="S48" s="168">
        <v>22.5</v>
      </c>
      <c r="T48" s="168"/>
      <c r="U48" s="168"/>
      <c r="V48" s="168"/>
      <c r="W48" s="171"/>
      <c r="X48" s="171"/>
      <c r="Y48" s="171"/>
      <c r="Z48" s="168"/>
      <c r="AA48" s="168"/>
      <c r="AB48" s="168"/>
      <c r="AC48" s="168"/>
      <c r="AD48" s="168"/>
    </row>
    <row r="49" spans="1:30">
      <c r="A49" s="121">
        <v>47</v>
      </c>
      <c r="B49" s="122" t="s">
        <v>2171</v>
      </c>
      <c r="C49" s="122" t="s">
        <v>2247</v>
      </c>
      <c r="D49" s="122" t="s">
        <v>2239</v>
      </c>
      <c r="E49" s="124">
        <v>42766</v>
      </c>
      <c r="F49" s="125">
        <v>0.4375</v>
      </c>
      <c r="G49" s="124">
        <v>42820</v>
      </c>
      <c r="H49" s="125">
        <v>0.50347222222222221</v>
      </c>
      <c r="I49" s="123">
        <v>836</v>
      </c>
      <c r="J49" s="123">
        <v>539</v>
      </c>
      <c r="K49" s="142" t="str">
        <f t="shared" si="3"/>
        <v>G539</v>
      </c>
      <c r="L49" s="123">
        <v>146</v>
      </c>
      <c r="M49" s="142" t="str">
        <f t="shared" si="0"/>
        <v>R146</v>
      </c>
      <c r="N49" s="123">
        <v>512</v>
      </c>
      <c r="O49" s="142" t="str">
        <f t="shared" si="1"/>
        <v>G512</v>
      </c>
      <c r="P49" s="123">
        <v>76</v>
      </c>
      <c r="Q49" s="142" t="str">
        <f t="shared" si="2"/>
        <v>R76</v>
      </c>
      <c r="R49" s="123">
        <v>20.3</v>
      </c>
      <c r="S49" s="123">
        <v>23.7</v>
      </c>
      <c r="T49" s="123">
        <v>24.9</v>
      </c>
      <c r="U49" s="123"/>
      <c r="V49" s="123" t="s">
        <v>2182</v>
      </c>
      <c r="W49" s="126" t="s">
        <v>2201</v>
      </c>
      <c r="X49" s="126" t="s">
        <v>2182</v>
      </c>
      <c r="Y49" s="126"/>
      <c r="Z49" s="123">
        <v>5.2</v>
      </c>
      <c r="AA49" s="123" t="s">
        <v>2223</v>
      </c>
      <c r="AB49" s="123">
        <v>5.2</v>
      </c>
      <c r="AC49" s="123">
        <v>0</v>
      </c>
      <c r="AD49" s="123" t="s">
        <v>2248</v>
      </c>
    </row>
    <row r="50" spans="1:30">
      <c r="A50" s="121">
        <v>48</v>
      </c>
      <c r="B50" s="122" t="s">
        <v>2171</v>
      </c>
      <c r="C50" s="122" t="s">
        <v>2249</v>
      </c>
      <c r="D50" s="122" t="s">
        <v>2239</v>
      </c>
      <c r="E50" s="124">
        <v>42766</v>
      </c>
      <c r="F50" s="125">
        <v>0.44097222222222227</v>
      </c>
      <c r="G50" s="124">
        <v>42820</v>
      </c>
      <c r="H50" s="125">
        <v>0.50694444444444442</v>
      </c>
      <c r="I50" s="123">
        <v>837</v>
      </c>
      <c r="J50" s="123">
        <v>679</v>
      </c>
      <c r="K50" s="142" t="str">
        <f t="shared" si="3"/>
        <v>G679</v>
      </c>
      <c r="L50" s="123">
        <v>72</v>
      </c>
      <c r="M50" s="142" t="str">
        <f t="shared" si="0"/>
        <v>R72</v>
      </c>
      <c r="N50" s="123">
        <v>299</v>
      </c>
      <c r="O50" s="142" t="str">
        <f t="shared" si="1"/>
        <v>G299</v>
      </c>
      <c r="P50" s="123">
        <v>107</v>
      </c>
      <c r="Q50" s="142" t="str">
        <f t="shared" si="2"/>
        <v>R107</v>
      </c>
      <c r="R50" s="123">
        <v>20.5</v>
      </c>
      <c r="S50" s="123">
        <v>21.8</v>
      </c>
      <c r="T50" s="123">
        <v>22.8</v>
      </c>
      <c r="U50" s="123"/>
      <c r="V50" s="123" t="s">
        <v>2182</v>
      </c>
      <c r="W50" s="126" t="s">
        <v>2182</v>
      </c>
      <c r="X50" s="126" t="s">
        <v>2182</v>
      </c>
      <c r="Y50" s="126"/>
      <c r="Z50" s="123">
        <v>27.2</v>
      </c>
      <c r="AA50" s="123" t="s">
        <v>2175</v>
      </c>
      <c r="AB50" s="123">
        <v>7.3</v>
      </c>
      <c r="AC50" s="123">
        <v>0</v>
      </c>
      <c r="AD50" s="123"/>
    </row>
    <row r="51" spans="1:30">
      <c r="A51" s="121">
        <v>49</v>
      </c>
      <c r="B51" s="122" t="s">
        <v>2171</v>
      </c>
      <c r="C51" s="122" t="s">
        <v>2250</v>
      </c>
      <c r="D51" s="122" t="s">
        <v>2251</v>
      </c>
      <c r="E51" s="124">
        <v>42766</v>
      </c>
      <c r="F51" s="125">
        <v>0.4513888888888889</v>
      </c>
      <c r="G51" s="124">
        <v>42820</v>
      </c>
      <c r="H51" s="125">
        <v>0.625</v>
      </c>
      <c r="I51" s="123">
        <v>838</v>
      </c>
      <c r="J51" s="123">
        <v>346</v>
      </c>
      <c r="K51" s="142" t="str">
        <f t="shared" si="3"/>
        <v>G346</v>
      </c>
      <c r="L51" s="123">
        <v>28</v>
      </c>
      <c r="M51" s="142" t="str">
        <f t="shared" si="0"/>
        <v>R28</v>
      </c>
      <c r="N51" s="123">
        <v>739</v>
      </c>
      <c r="O51" s="142" t="str">
        <f t="shared" si="1"/>
        <v>G739</v>
      </c>
      <c r="P51" s="123">
        <v>155</v>
      </c>
      <c r="Q51" s="142" t="str">
        <f t="shared" si="2"/>
        <v>R155</v>
      </c>
      <c r="R51" s="123">
        <v>22</v>
      </c>
      <c r="S51" s="123">
        <v>26.2</v>
      </c>
      <c r="T51" s="123">
        <v>31.1</v>
      </c>
      <c r="U51" s="123"/>
      <c r="V51" s="123" t="s">
        <v>2182</v>
      </c>
      <c r="W51" s="126" t="s">
        <v>2201</v>
      </c>
      <c r="X51" s="126" t="s">
        <v>2182</v>
      </c>
      <c r="Y51" s="126" t="s">
        <v>2182</v>
      </c>
      <c r="Z51" s="123">
        <v>36</v>
      </c>
      <c r="AA51" s="123" t="s">
        <v>2175</v>
      </c>
      <c r="AB51" s="123">
        <v>10.4</v>
      </c>
      <c r="AC51" s="123">
        <v>1</v>
      </c>
      <c r="AD51" s="123" t="s">
        <v>2248</v>
      </c>
    </row>
    <row r="52" spans="1:30">
      <c r="A52" s="121">
        <v>50</v>
      </c>
      <c r="B52" s="122" t="s">
        <v>2171</v>
      </c>
      <c r="C52" s="122" t="s">
        <v>2252</v>
      </c>
      <c r="D52" s="122" t="s">
        <v>2251</v>
      </c>
      <c r="E52" s="124">
        <v>42766</v>
      </c>
      <c r="F52" s="125">
        <v>0.4548611111111111</v>
      </c>
      <c r="G52" s="124">
        <v>42820</v>
      </c>
      <c r="H52" s="123"/>
      <c r="I52" s="123">
        <v>839</v>
      </c>
      <c r="J52" s="123">
        <v>418</v>
      </c>
      <c r="K52" s="142" t="str">
        <f t="shared" si="3"/>
        <v>G418</v>
      </c>
      <c r="L52" s="123">
        <v>5</v>
      </c>
      <c r="M52" s="142" t="str">
        <f t="shared" si="0"/>
        <v>R5</v>
      </c>
      <c r="N52" s="123">
        <v>559</v>
      </c>
      <c r="O52" s="142" t="str">
        <f t="shared" si="1"/>
        <v>G559</v>
      </c>
      <c r="P52" s="123">
        <v>98</v>
      </c>
      <c r="Q52" s="142" t="str">
        <f t="shared" si="2"/>
        <v>R98</v>
      </c>
      <c r="R52" s="123">
        <v>22.4</v>
      </c>
      <c r="S52" s="123">
        <v>31.4</v>
      </c>
      <c r="T52" s="123"/>
      <c r="U52" s="123"/>
      <c r="V52" s="123"/>
      <c r="W52" s="126"/>
      <c r="X52" s="126"/>
      <c r="Y52" s="126"/>
      <c r="Z52" s="123">
        <v>22.5</v>
      </c>
      <c r="AA52" s="123" t="s">
        <v>2175</v>
      </c>
      <c r="AB52" s="123">
        <v>10</v>
      </c>
      <c r="AC52" s="123">
        <v>1</v>
      </c>
      <c r="AD52" s="123"/>
    </row>
    <row r="53" spans="1:30">
      <c r="A53" s="121">
        <v>51</v>
      </c>
      <c r="B53" s="122" t="s">
        <v>2171</v>
      </c>
      <c r="C53" s="122" t="s">
        <v>2253</v>
      </c>
      <c r="D53" s="122" t="s">
        <v>2251</v>
      </c>
      <c r="E53" s="124">
        <v>42766</v>
      </c>
      <c r="F53" s="125">
        <v>0.45833333333333331</v>
      </c>
      <c r="G53" s="124">
        <v>42820</v>
      </c>
      <c r="H53" s="125">
        <v>0.63888888888888895</v>
      </c>
      <c r="I53" s="123">
        <v>840</v>
      </c>
      <c r="J53" s="123">
        <v>548</v>
      </c>
      <c r="K53" s="142" t="str">
        <f t="shared" si="3"/>
        <v>G548</v>
      </c>
      <c r="L53" s="123">
        <v>85</v>
      </c>
      <c r="M53" s="142" t="str">
        <f t="shared" si="0"/>
        <v>R85</v>
      </c>
      <c r="N53" s="123">
        <v>856</v>
      </c>
      <c r="O53" s="142" t="str">
        <f t="shared" si="1"/>
        <v>G856</v>
      </c>
      <c r="P53" s="123">
        <v>29</v>
      </c>
      <c r="Q53" s="142" t="str">
        <f t="shared" si="2"/>
        <v>R29</v>
      </c>
      <c r="R53" s="123">
        <v>22.8</v>
      </c>
      <c r="S53" s="123">
        <v>20.2</v>
      </c>
      <c r="T53" s="123">
        <v>32</v>
      </c>
      <c r="U53" s="123"/>
      <c r="V53" s="123" t="s">
        <v>2182</v>
      </c>
      <c r="W53" s="126" t="s">
        <v>2182</v>
      </c>
      <c r="X53" s="126" t="s">
        <v>2182</v>
      </c>
      <c r="Y53" s="126" t="s">
        <v>2182</v>
      </c>
      <c r="Z53" s="123">
        <v>18</v>
      </c>
      <c r="AA53" s="123" t="s">
        <v>2245</v>
      </c>
      <c r="AB53" s="123">
        <v>3</v>
      </c>
      <c r="AC53" s="123">
        <v>0</v>
      </c>
      <c r="AD53" s="123"/>
    </row>
    <row r="54" spans="1:30">
      <c r="A54" s="121">
        <v>52</v>
      </c>
      <c r="B54" s="122" t="s">
        <v>2171</v>
      </c>
      <c r="C54" s="122" t="s">
        <v>2254</v>
      </c>
      <c r="D54" s="122" t="s">
        <v>2251</v>
      </c>
      <c r="E54" s="124">
        <v>42766</v>
      </c>
      <c r="F54" s="125">
        <v>0.46180555555555558</v>
      </c>
      <c r="G54" s="124">
        <v>42820</v>
      </c>
      <c r="H54" s="125">
        <v>0.64583333333333337</v>
      </c>
      <c r="I54" s="123">
        <v>841</v>
      </c>
      <c r="J54" s="123">
        <v>638</v>
      </c>
      <c r="K54" s="142" t="str">
        <f t="shared" si="3"/>
        <v>G638</v>
      </c>
      <c r="L54" s="123">
        <v>513</v>
      </c>
      <c r="M54" s="142" t="str">
        <f t="shared" si="0"/>
        <v>R513</v>
      </c>
      <c r="N54" s="123">
        <v>599</v>
      </c>
      <c r="O54" s="142" t="str">
        <f t="shared" si="1"/>
        <v>G599</v>
      </c>
      <c r="P54" s="123">
        <v>312</v>
      </c>
      <c r="Q54" s="142" t="str">
        <f t="shared" si="2"/>
        <v>R312</v>
      </c>
      <c r="R54" s="123">
        <v>22.2</v>
      </c>
      <c r="S54" s="123">
        <v>29.8</v>
      </c>
      <c r="T54" s="123">
        <v>29.4</v>
      </c>
      <c r="U54" s="123"/>
      <c r="V54" s="123" t="s">
        <v>2201</v>
      </c>
      <c r="W54" s="126" t="s">
        <v>2174</v>
      </c>
      <c r="X54" s="126" t="s">
        <v>2182</v>
      </c>
      <c r="Y54" s="126" t="s">
        <v>2182</v>
      </c>
      <c r="Z54" s="123">
        <v>67</v>
      </c>
      <c r="AA54" s="123" t="s">
        <v>2175</v>
      </c>
      <c r="AB54" s="123">
        <v>13.4</v>
      </c>
      <c r="AC54" s="123">
        <v>1</v>
      </c>
      <c r="AD54" s="123" t="s">
        <v>2248</v>
      </c>
    </row>
    <row r="55" spans="1:30">
      <c r="A55" s="168">
        <v>53</v>
      </c>
      <c r="B55" s="169" t="s">
        <v>2171</v>
      </c>
      <c r="C55" s="169" t="s">
        <v>2255</v>
      </c>
      <c r="D55" s="169" t="s">
        <v>2251</v>
      </c>
      <c r="E55" s="170">
        <v>42766</v>
      </c>
      <c r="F55" s="173">
        <v>0.46527777777777773</v>
      </c>
      <c r="G55" s="170">
        <v>42820</v>
      </c>
      <c r="H55" s="168"/>
      <c r="I55" s="168">
        <v>842</v>
      </c>
      <c r="J55" s="168">
        <v>426</v>
      </c>
      <c r="K55" s="142" t="str">
        <f t="shared" si="3"/>
        <v>G426</v>
      </c>
      <c r="L55" s="168">
        <v>399</v>
      </c>
      <c r="M55" s="142" t="str">
        <f t="shared" si="0"/>
        <v>R399</v>
      </c>
      <c r="N55" s="168">
        <v>683</v>
      </c>
      <c r="O55" s="142" t="str">
        <f t="shared" si="1"/>
        <v>G683</v>
      </c>
      <c r="P55" s="168">
        <v>113</v>
      </c>
      <c r="Q55" s="142" t="str">
        <f t="shared" si="2"/>
        <v>R113</v>
      </c>
      <c r="R55" s="168">
        <v>22.2</v>
      </c>
      <c r="S55" s="168">
        <v>20.2</v>
      </c>
      <c r="T55" s="168"/>
      <c r="U55" s="168"/>
      <c r="V55" s="168"/>
      <c r="W55" s="171"/>
      <c r="X55" s="171"/>
      <c r="Y55" s="171"/>
      <c r="Z55" s="168"/>
      <c r="AA55" s="168"/>
      <c r="AB55" s="168"/>
      <c r="AC55" s="168"/>
      <c r="AD55" s="168"/>
    </row>
    <row r="56" spans="1:30">
      <c r="A56" s="168">
        <v>54</v>
      </c>
      <c r="B56" s="169" t="s">
        <v>2171</v>
      </c>
      <c r="C56" s="169" t="s">
        <v>2256</v>
      </c>
      <c r="D56" s="169" t="s">
        <v>2251</v>
      </c>
      <c r="E56" s="170">
        <v>42766</v>
      </c>
      <c r="F56" s="173">
        <v>0.46875</v>
      </c>
      <c r="G56" s="170">
        <v>42820</v>
      </c>
      <c r="H56" s="168"/>
      <c r="I56" s="168">
        <v>843</v>
      </c>
      <c r="J56" s="168">
        <v>589</v>
      </c>
      <c r="K56" s="142" t="str">
        <f t="shared" si="3"/>
        <v>G589</v>
      </c>
      <c r="L56" s="168">
        <v>400</v>
      </c>
      <c r="M56" s="142" t="str">
        <f t="shared" si="0"/>
        <v>R400</v>
      </c>
      <c r="N56" s="168">
        <v>288</v>
      </c>
      <c r="O56" s="142" t="str">
        <f t="shared" si="1"/>
        <v>G288</v>
      </c>
      <c r="P56" s="168">
        <v>441</v>
      </c>
      <c r="Q56" s="142" t="str">
        <f t="shared" si="2"/>
        <v>R441</v>
      </c>
      <c r="R56" s="168">
        <v>22.2</v>
      </c>
      <c r="S56" s="168">
        <v>30.1</v>
      </c>
      <c r="T56" s="168"/>
      <c r="U56" s="168"/>
      <c r="V56" s="168"/>
      <c r="W56" s="171"/>
      <c r="X56" s="171"/>
      <c r="Y56" s="171"/>
      <c r="Z56" s="168"/>
      <c r="AA56" s="168"/>
      <c r="AB56" s="168"/>
      <c r="AC56" s="168"/>
      <c r="AD56" s="168"/>
    </row>
    <row r="57" spans="1:30">
      <c r="A57" s="121">
        <v>55</v>
      </c>
      <c r="B57" s="122" t="s">
        <v>2171</v>
      </c>
      <c r="C57" s="122" t="s">
        <v>2257</v>
      </c>
      <c r="D57" s="122" t="s">
        <v>2251</v>
      </c>
      <c r="E57" s="124">
        <v>42766</v>
      </c>
      <c r="F57" s="125">
        <v>0.47222222222222227</v>
      </c>
      <c r="G57" s="124">
        <v>42820</v>
      </c>
      <c r="H57" s="125">
        <v>0.63194444444444442</v>
      </c>
      <c r="I57" s="123">
        <v>844</v>
      </c>
      <c r="J57" s="123">
        <v>622</v>
      </c>
      <c r="K57" s="142" t="str">
        <f t="shared" si="3"/>
        <v>G622</v>
      </c>
      <c r="L57">
        <v>19</v>
      </c>
      <c r="M57" s="142" t="str">
        <f t="shared" si="0"/>
        <v>R19</v>
      </c>
      <c r="N57" s="123">
        <v>616</v>
      </c>
      <c r="O57" s="142" t="str">
        <f t="shared" si="1"/>
        <v>G616</v>
      </c>
      <c r="P57">
        <v>53</v>
      </c>
      <c r="Q57" s="142" t="str">
        <f t="shared" si="2"/>
        <v>R53</v>
      </c>
      <c r="R57" s="123">
        <v>22.1</v>
      </c>
      <c r="S57" s="123">
        <v>33</v>
      </c>
      <c r="T57" s="123">
        <v>29.7</v>
      </c>
      <c r="U57" s="123"/>
      <c r="V57" s="123"/>
      <c r="W57" s="126" t="s">
        <v>2174</v>
      </c>
      <c r="X57" s="126" t="s">
        <v>2182</v>
      </c>
      <c r="Y57" s="126"/>
      <c r="Z57" s="123">
        <v>45</v>
      </c>
      <c r="AA57" s="123" t="s">
        <v>2175</v>
      </c>
      <c r="AB57" s="123">
        <v>15.8</v>
      </c>
      <c r="AC57" s="123">
        <v>1</v>
      </c>
      <c r="AD57" s="123"/>
    </row>
    <row r="58" spans="1:30">
      <c r="A58" s="121">
        <v>56</v>
      </c>
      <c r="B58" s="122" t="s">
        <v>2171</v>
      </c>
      <c r="C58" s="122" t="s">
        <v>2258</v>
      </c>
      <c r="D58" s="122" t="s">
        <v>2251</v>
      </c>
      <c r="E58" s="124">
        <v>42766</v>
      </c>
      <c r="F58" s="125">
        <v>0.47222222222222227</v>
      </c>
      <c r="G58" s="124">
        <v>42820</v>
      </c>
      <c r="H58" s="125">
        <v>0.65625</v>
      </c>
      <c r="I58" s="123">
        <v>845</v>
      </c>
      <c r="J58" s="177">
        <v>538</v>
      </c>
      <c r="K58" s="142" t="str">
        <f t="shared" si="3"/>
        <v>G538</v>
      </c>
      <c r="L58" s="123">
        <v>60</v>
      </c>
      <c r="M58" s="142" t="str">
        <f t="shared" si="0"/>
        <v>R60</v>
      </c>
      <c r="N58" s="123">
        <v>557</v>
      </c>
      <c r="O58" s="142" t="str">
        <f t="shared" si="1"/>
        <v>G557</v>
      </c>
      <c r="P58" s="123">
        <v>58</v>
      </c>
      <c r="Q58" s="142" t="str">
        <f t="shared" si="2"/>
        <v>R58</v>
      </c>
      <c r="R58" s="123">
        <v>22</v>
      </c>
      <c r="S58" s="123">
        <v>29.5</v>
      </c>
      <c r="T58" s="92">
        <v>33.200000000000003</v>
      </c>
      <c r="U58" s="123"/>
      <c r="V58" s="123" t="s">
        <v>2195</v>
      </c>
      <c r="W58" s="126" t="s">
        <v>2190</v>
      </c>
      <c r="X58" s="126" t="s">
        <v>2182</v>
      </c>
      <c r="Y58" s="126"/>
      <c r="Z58" s="123">
        <v>30.8</v>
      </c>
      <c r="AA58" s="123" t="s">
        <v>2175</v>
      </c>
      <c r="AB58" s="123">
        <v>15.4</v>
      </c>
      <c r="AC58" s="123">
        <v>0</v>
      </c>
      <c r="AD58" s="123"/>
    </row>
    <row r="59" spans="1:30">
      <c r="A59" s="121">
        <v>57</v>
      </c>
      <c r="B59" s="122" t="s">
        <v>2171</v>
      </c>
      <c r="C59" s="131" t="s">
        <v>2259</v>
      </c>
      <c r="D59" s="122" t="s">
        <v>2260</v>
      </c>
      <c r="E59" s="124">
        <v>42766</v>
      </c>
      <c r="F59" s="125">
        <v>0.47916666666666669</v>
      </c>
      <c r="G59" s="124">
        <v>42820</v>
      </c>
      <c r="H59" s="125">
        <v>0.59722222222222221</v>
      </c>
      <c r="I59" s="123">
        <v>1150</v>
      </c>
      <c r="J59">
        <v>546</v>
      </c>
      <c r="K59" s="142" t="str">
        <f t="shared" si="3"/>
        <v>G546</v>
      </c>
      <c r="L59" s="123">
        <v>161</v>
      </c>
      <c r="M59" s="142" t="str">
        <f t="shared" si="0"/>
        <v>R161</v>
      </c>
      <c r="N59" s="123">
        <v>618</v>
      </c>
      <c r="O59" s="142" t="str">
        <f t="shared" si="1"/>
        <v>G618</v>
      </c>
      <c r="P59" s="123">
        <v>435</v>
      </c>
      <c r="Q59" s="142" t="str">
        <f t="shared" si="2"/>
        <v>R435</v>
      </c>
      <c r="R59" s="123">
        <v>21.7</v>
      </c>
      <c r="S59" s="123">
        <v>31.6</v>
      </c>
      <c r="T59" s="123">
        <v>32.1</v>
      </c>
      <c r="U59" s="123"/>
      <c r="V59" s="123" t="s">
        <v>2182</v>
      </c>
      <c r="W59" s="126" t="s">
        <v>2201</v>
      </c>
      <c r="X59" s="126" t="s">
        <v>2182</v>
      </c>
      <c r="Y59" s="126" t="s">
        <v>2182</v>
      </c>
      <c r="Z59" s="123">
        <v>28.4</v>
      </c>
      <c r="AA59" s="123" t="s">
        <v>2245</v>
      </c>
      <c r="AB59" s="123">
        <v>3.3</v>
      </c>
      <c r="AC59" s="123">
        <v>1</v>
      </c>
      <c r="AD59" s="123" t="s">
        <v>2261</v>
      </c>
    </row>
    <row r="60" spans="1:30">
      <c r="A60" s="121">
        <v>58</v>
      </c>
      <c r="B60" s="122" t="s">
        <v>2171</v>
      </c>
      <c r="C60" s="131" t="s">
        <v>2262</v>
      </c>
      <c r="D60" s="122" t="s">
        <v>2260</v>
      </c>
      <c r="E60" s="124">
        <v>42766</v>
      </c>
      <c r="F60" s="125">
        <v>0.4826388888888889</v>
      </c>
      <c r="G60" s="124">
        <v>42820</v>
      </c>
      <c r="H60" s="125">
        <v>0.56597222222222221</v>
      </c>
      <c r="I60" s="123">
        <v>1148</v>
      </c>
      <c r="J60" s="123">
        <v>513</v>
      </c>
      <c r="K60" s="142" t="str">
        <f t="shared" si="3"/>
        <v>G513</v>
      </c>
      <c r="L60" s="123">
        <v>48</v>
      </c>
      <c r="M60" s="142" t="str">
        <f t="shared" si="0"/>
        <v>R48</v>
      </c>
      <c r="N60" s="123">
        <v>593</v>
      </c>
      <c r="O60" s="142" t="str">
        <f t="shared" si="1"/>
        <v>G593</v>
      </c>
      <c r="P60" s="123">
        <v>31</v>
      </c>
      <c r="Q60" s="142" t="str">
        <f t="shared" si="2"/>
        <v>R31</v>
      </c>
      <c r="R60" s="123">
        <v>22.6</v>
      </c>
      <c r="S60" s="123">
        <v>31.6</v>
      </c>
      <c r="T60" s="123">
        <v>30.8</v>
      </c>
      <c r="U60" s="123"/>
      <c r="V60" s="123" t="s">
        <v>2195</v>
      </c>
      <c r="W60" s="126" t="s">
        <v>2174</v>
      </c>
      <c r="X60" s="126" t="s">
        <v>2182</v>
      </c>
      <c r="Y60" s="126"/>
      <c r="Z60" s="123">
        <v>54.4</v>
      </c>
      <c r="AA60" s="123" t="s">
        <v>2245</v>
      </c>
      <c r="AB60" s="123">
        <v>1.4</v>
      </c>
      <c r="AC60" s="123">
        <v>0</v>
      </c>
      <c r="AD60" s="123"/>
    </row>
    <row r="61" spans="1:30">
      <c r="A61" s="121">
        <v>59</v>
      </c>
      <c r="B61" s="122" t="s">
        <v>2171</v>
      </c>
      <c r="C61" s="131" t="s">
        <v>2263</v>
      </c>
      <c r="D61" s="122" t="s">
        <v>2260</v>
      </c>
      <c r="E61" s="124">
        <v>42766</v>
      </c>
      <c r="F61" s="125">
        <v>0.4861111111111111</v>
      </c>
      <c r="G61" s="124">
        <v>42820</v>
      </c>
      <c r="H61" s="125">
        <v>0.60416666666666663</v>
      </c>
      <c r="I61" s="123">
        <v>848</v>
      </c>
      <c r="J61" s="123">
        <v>489</v>
      </c>
      <c r="K61" s="142" t="str">
        <f t="shared" si="3"/>
        <v>G489</v>
      </c>
      <c r="L61" s="123">
        <v>23</v>
      </c>
      <c r="M61" s="142" t="str">
        <f t="shared" si="0"/>
        <v>R23</v>
      </c>
      <c r="N61" s="123">
        <v>600</v>
      </c>
      <c r="O61" s="142" t="str">
        <f t="shared" si="1"/>
        <v>G600</v>
      </c>
      <c r="P61" s="123">
        <v>120</v>
      </c>
      <c r="Q61" s="142" t="str">
        <f t="shared" si="2"/>
        <v>R120</v>
      </c>
      <c r="R61" s="123">
        <v>22.4</v>
      </c>
      <c r="S61" s="123">
        <v>27.9</v>
      </c>
      <c r="T61" s="123">
        <v>31.7</v>
      </c>
      <c r="U61" s="123"/>
      <c r="V61" s="123"/>
      <c r="W61" s="126"/>
      <c r="X61" s="126"/>
      <c r="Y61" s="126"/>
      <c r="Z61" s="123">
        <v>46</v>
      </c>
      <c r="AA61" s="123" t="s">
        <v>2245</v>
      </c>
      <c r="AB61" s="123">
        <v>3.3</v>
      </c>
      <c r="AC61" s="123">
        <v>0</v>
      </c>
      <c r="AD61" s="123"/>
    </row>
    <row r="62" spans="1:30">
      <c r="A62" s="121">
        <v>60</v>
      </c>
      <c r="B62" s="122" t="s">
        <v>2171</v>
      </c>
      <c r="C62" s="131" t="s">
        <v>2264</v>
      </c>
      <c r="D62" s="122" t="s">
        <v>2260</v>
      </c>
      <c r="E62" s="124">
        <v>42766</v>
      </c>
      <c r="F62" s="125">
        <v>0.48958333333333331</v>
      </c>
      <c r="G62" s="124">
        <v>42820</v>
      </c>
      <c r="H62" s="125">
        <v>0.57638888888888895</v>
      </c>
      <c r="I62" s="123">
        <v>849</v>
      </c>
      <c r="J62" s="123">
        <v>633</v>
      </c>
      <c r="K62" s="142" t="str">
        <f t="shared" si="3"/>
        <v>G633</v>
      </c>
      <c r="L62" s="123">
        <v>78</v>
      </c>
      <c r="M62" s="142" t="str">
        <f t="shared" si="0"/>
        <v>R78</v>
      </c>
      <c r="N62" s="123">
        <v>535</v>
      </c>
      <c r="O62" s="142" t="str">
        <f t="shared" si="1"/>
        <v>G535</v>
      </c>
      <c r="P62" s="123">
        <v>390</v>
      </c>
      <c r="Q62" s="142" t="str">
        <f t="shared" si="2"/>
        <v>R390</v>
      </c>
      <c r="R62" s="123">
        <v>23.5</v>
      </c>
      <c r="S62" s="123">
        <v>22.5</v>
      </c>
      <c r="T62" s="123">
        <v>33.700000000000003</v>
      </c>
      <c r="U62" s="123"/>
      <c r="V62" s="123" t="s">
        <v>2182</v>
      </c>
      <c r="W62" s="126"/>
      <c r="X62" s="126"/>
      <c r="Y62" s="126" t="s">
        <v>2174</v>
      </c>
      <c r="Z62" s="123">
        <v>10.199999999999999</v>
      </c>
      <c r="AA62" s="123" t="s">
        <v>2245</v>
      </c>
      <c r="AB62" s="123">
        <v>2.4</v>
      </c>
      <c r="AC62" s="123">
        <v>0</v>
      </c>
      <c r="AD62" s="123" t="s">
        <v>2265</v>
      </c>
    </row>
    <row r="63" spans="1:30">
      <c r="A63" s="121">
        <v>61</v>
      </c>
      <c r="B63" s="122" t="s">
        <v>2171</v>
      </c>
      <c r="C63" s="131" t="s">
        <v>2266</v>
      </c>
      <c r="D63" s="122" t="s">
        <v>2260</v>
      </c>
      <c r="E63" s="124">
        <v>42766</v>
      </c>
      <c r="F63" s="125">
        <v>0.49305555555555558</v>
      </c>
      <c r="G63" s="124">
        <v>42820</v>
      </c>
      <c r="H63" s="125">
        <v>0.58333333333333337</v>
      </c>
      <c r="I63" s="123">
        <v>1149</v>
      </c>
      <c r="J63" s="123">
        <v>541</v>
      </c>
      <c r="K63" s="142" t="str">
        <f t="shared" si="3"/>
        <v>G541</v>
      </c>
      <c r="L63" s="123">
        <v>42</v>
      </c>
      <c r="M63" s="142" t="str">
        <f t="shared" si="0"/>
        <v>R42</v>
      </c>
      <c r="N63" s="123">
        <v>391</v>
      </c>
      <c r="O63" s="142" t="str">
        <f t="shared" si="1"/>
        <v>G391</v>
      </c>
      <c r="P63" s="123">
        <v>143</v>
      </c>
      <c r="Q63" s="142" t="str">
        <f t="shared" si="2"/>
        <v>R143</v>
      </c>
      <c r="R63" s="123">
        <v>22.7</v>
      </c>
      <c r="S63" s="123">
        <v>20.399999999999999</v>
      </c>
      <c r="T63" s="123">
        <v>32.200000000000003</v>
      </c>
      <c r="U63" s="123"/>
      <c r="V63" s="123" t="s">
        <v>2190</v>
      </c>
      <c r="W63" s="126" t="s">
        <v>2190</v>
      </c>
      <c r="X63" s="126" t="s">
        <v>2182</v>
      </c>
      <c r="Y63" s="126"/>
      <c r="Z63" s="123">
        <v>34.200000000000003</v>
      </c>
      <c r="AA63" s="123" t="s">
        <v>2245</v>
      </c>
      <c r="AB63" s="123">
        <v>5.6</v>
      </c>
      <c r="AC63" s="123">
        <v>0</v>
      </c>
      <c r="AD63" s="123"/>
    </row>
    <row r="64" spans="1:30">
      <c r="A64" s="121">
        <v>62</v>
      </c>
      <c r="B64" s="122" t="s">
        <v>2171</v>
      </c>
      <c r="C64" s="131" t="s">
        <v>2267</v>
      </c>
      <c r="D64" s="122" t="s">
        <v>2260</v>
      </c>
      <c r="E64" s="124">
        <v>42766</v>
      </c>
      <c r="F64" s="125">
        <v>0.49305555555555558</v>
      </c>
      <c r="G64" s="124">
        <v>42820</v>
      </c>
      <c r="H64" s="125">
        <v>0.58680555555555558</v>
      </c>
      <c r="I64" s="123">
        <v>1151</v>
      </c>
      <c r="J64" s="123">
        <v>565</v>
      </c>
      <c r="K64" s="142" t="str">
        <f t="shared" si="3"/>
        <v>G565</v>
      </c>
      <c r="L64" s="123">
        <v>119</v>
      </c>
      <c r="M64" s="142" t="str">
        <f t="shared" si="0"/>
        <v>R119</v>
      </c>
      <c r="N64" s="123">
        <v>445</v>
      </c>
      <c r="O64" s="142" t="str">
        <f t="shared" si="1"/>
        <v>G445</v>
      </c>
      <c r="P64" s="123">
        <v>448</v>
      </c>
      <c r="Q64" s="142" t="str">
        <f t="shared" si="2"/>
        <v>R448</v>
      </c>
      <c r="R64" s="123">
        <v>22.7</v>
      </c>
      <c r="S64" s="123">
        <v>24.7</v>
      </c>
      <c r="T64" s="123">
        <v>30.9</v>
      </c>
      <c r="U64" s="123"/>
      <c r="V64" s="123" t="s">
        <v>2174</v>
      </c>
      <c r="W64" s="126" t="s">
        <v>2174</v>
      </c>
      <c r="X64" s="126"/>
      <c r="Y64" s="126"/>
      <c r="Z64" s="123">
        <v>40.4</v>
      </c>
      <c r="AA64" s="123" t="s">
        <v>2245</v>
      </c>
      <c r="AB64" s="123">
        <v>4.2</v>
      </c>
      <c r="AC64" s="123">
        <v>0</v>
      </c>
      <c r="AD64" s="123" t="s">
        <v>2268</v>
      </c>
    </row>
    <row r="65" spans="1:30">
      <c r="A65" s="121">
        <v>63</v>
      </c>
      <c r="B65" s="122" t="s">
        <v>2171</v>
      </c>
      <c r="C65" s="131" t="s">
        <v>2269</v>
      </c>
      <c r="D65" s="122" t="s">
        <v>2260</v>
      </c>
      <c r="E65" s="124">
        <v>42766</v>
      </c>
      <c r="F65" s="125">
        <v>0.49652777777777773</v>
      </c>
      <c r="G65" s="124">
        <v>42820</v>
      </c>
      <c r="H65" s="125">
        <v>0.55902777777777779</v>
      </c>
      <c r="I65" s="123">
        <v>852</v>
      </c>
      <c r="J65" s="123">
        <v>387</v>
      </c>
      <c r="K65" s="142" t="str">
        <f t="shared" si="3"/>
        <v>G387</v>
      </c>
      <c r="L65" s="123">
        <v>185</v>
      </c>
      <c r="M65" s="142" t="str">
        <f t="shared" si="0"/>
        <v>R185</v>
      </c>
      <c r="N65" s="123">
        <v>440</v>
      </c>
      <c r="O65" s="142" t="str">
        <f t="shared" si="1"/>
        <v>G440</v>
      </c>
      <c r="P65" s="123">
        <v>423</v>
      </c>
      <c r="Q65" s="142" t="str">
        <f t="shared" si="2"/>
        <v>R423</v>
      </c>
      <c r="R65" s="123">
        <v>25.6</v>
      </c>
      <c r="S65" s="123">
        <v>22.9</v>
      </c>
      <c r="T65" s="123">
        <v>30.9</v>
      </c>
      <c r="U65" s="123"/>
      <c r="V65" s="123" t="s">
        <v>2182</v>
      </c>
      <c r="W65" s="126" t="s">
        <v>2182</v>
      </c>
      <c r="X65" s="126" t="s">
        <v>2182</v>
      </c>
      <c r="Y65" s="126" t="s">
        <v>2182</v>
      </c>
      <c r="Z65" s="123">
        <v>45</v>
      </c>
      <c r="AA65" s="123" t="s">
        <v>2245</v>
      </c>
      <c r="AB65" s="123">
        <v>4.9000000000000004</v>
      </c>
      <c r="AC65" s="123">
        <v>0</v>
      </c>
      <c r="AD65" s="123"/>
    </row>
    <row r="66" spans="1:30">
      <c r="A66" s="121">
        <v>64</v>
      </c>
      <c r="B66" s="122" t="s">
        <v>2171</v>
      </c>
      <c r="C66" s="131" t="s">
        <v>2270</v>
      </c>
      <c r="D66" s="122" t="s">
        <v>2260</v>
      </c>
      <c r="E66" s="124">
        <v>42766</v>
      </c>
      <c r="F66" s="125">
        <v>0.50694444444444442</v>
      </c>
      <c r="G66" s="124">
        <v>42820</v>
      </c>
      <c r="H66" s="125">
        <v>0.60763888888888895</v>
      </c>
      <c r="I66" s="123">
        <v>853</v>
      </c>
      <c r="J66" s="129">
        <v>554</v>
      </c>
      <c r="K66" s="142" t="str">
        <f t="shared" si="3"/>
        <v>G554</v>
      </c>
      <c r="L66" s="123">
        <v>159</v>
      </c>
      <c r="M66" s="142" t="str">
        <f t="shared" si="0"/>
        <v>R159</v>
      </c>
      <c r="N66" s="123">
        <v>673</v>
      </c>
      <c r="O66" s="142" t="str">
        <f t="shared" si="1"/>
        <v>G673</v>
      </c>
      <c r="P66" s="129">
        <v>550</v>
      </c>
      <c r="Q66" s="142" t="str">
        <f t="shared" si="2"/>
        <v>R550</v>
      </c>
      <c r="R66" s="129">
        <v>22.7</v>
      </c>
      <c r="S66" s="129">
        <v>34.6</v>
      </c>
      <c r="T66" s="123"/>
      <c r="U66" s="123"/>
      <c r="V66" s="123" t="s">
        <v>2201</v>
      </c>
      <c r="W66" s="126" t="s">
        <v>2190</v>
      </c>
      <c r="X66" s="126"/>
      <c r="Y66" s="126"/>
      <c r="Z66" s="123">
        <v>22.8</v>
      </c>
      <c r="AA66" s="123" t="s">
        <v>2245</v>
      </c>
      <c r="AB66" s="123">
        <v>3</v>
      </c>
      <c r="AC66" s="123">
        <v>1</v>
      </c>
      <c r="AD66" s="123"/>
    </row>
    <row r="67" spans="1:30">
      <c r="A67" s="121">
        <v>65</v>
      </c>
      <c r="B67" s="122" t="s">
        <v>2271</v>
      </c>
      <c r="C67" s="122" t="s">
        <v>2272</v>
      </c>
      <c r="D67" s="122" t="s">
        <v>2273</v>
      </c>
      <c r="E67" s="124">
        <v>42767</v>
      </c>
      <c r="F67" s="125">
        <v>0.51041666666666663</v>
      </c>
      <c r="G67" s="124">
        <v>42818</v>
      </c>
      <c r="H67" s="125">
        <v>0.4375</v>
      </c>
      <c r="I67" s="123">
        <v>906</v>
      </c>
      <c r="J67" s="123">
        <v>614</v>
      </c>
      <c r="K67" s="142" t="str">
        <f t="shared" si="3"/>
        <v>G614</v>
      </c>
      <c r="L67" s="123">
        <v>525</v>
      </c>
      <c r="M67" s="142" t="str">
        <f t="shared" si="0"/>
        <v>R525</v>
      </c>
      <c r="N67" s="123">
        <v>700</v>
      </c>
      <c r="O67" s="142" t="str">
        <f t="shared" si="1"/>
        <v>G700</v>
      </c>
      <c r="P67" s="123">
        <v>333</v>
      </c>
      <c r="Q67" s="142" t="str">
        <f t="shared" si="2"/>
        <v>R333</v>
      </c>
      <c r="R67" s="123">
        <v>22.5</v>
      </c>
      <c r="S67" s="123">
        <v>35.6</v>
      </c>
      <c r="T67" s="123">
        <v>23</v>
      </c>
      <c r="U67" s="123">
        <v>29</v>
      </c>
      <c r="V67" s="123" t="s">
        <v>2182</v>
      </c>
      <c r="W67" s="126"/>
      <c r="X67" s="126" t="s">
        <v>2182</v>
      </c>
      <c r="Y67" s="126" t="s">
        <v>2182</v>
      </c>
      <c r="Z67" s="123">
        <v>13.8</v>
      </c>
      <c r="AA67" s="123" t="s">
        <v>2245</v>
      </c>
      <c r="AB67" s="123">
        <v>13.8</v>
      </c>
      <c r="AC67" s="123">
        <v>1</v>
      </c>
      <c r="AD67" s="123"/>
    </row>
    <row r="68" spans="1:30">
      <c r="A68" s="121">
        <v>66</v>
      </c>
      <c r="B68" s="122" t="s">
        <v>2271</v>
      </c>
      <c r="C68" s="122" t="s">
        <v>2274</v>
      </c>
      <c r="D68" s="122" t="s">
        <v>2273</v>
      </c>
      <c r="E68" s="124">
        <v>42767</v>
      </c>
      <c r="F68" s="125">
        <v>0.51388888888888895</v>
      </c>
      <c r="G68" s="124">
        <v>42818</v>
      </c>
      <c r="H68" s="125">
        <v>0.51388888888888895</v>
      </c>
      <c r="I68" s="123">
        <v>1096</v>
      </c>
      <c r="J68" s="123">
        <v>282</v>
      </c>
      <c r="K68" s="142" t="str">
        <f t="shared" ref="K68:K131" si="4">_xlfn.TEXTJOIN(,TRUE, "G",J68)</f>
        <v>G282</v>
      </c>
      <c r="L68" s="123">
        <v>150</v>
      </c>
      <c r="M68" s="142" t="str">
        <f t="shared" ref="M68:M131" si="5">_xlfn.TEXTJOIN(,TRUE, "R",L68)</f>
        <v>R150</v>
      </c>
      <c r="N68" s="123">
        <v>760</v>
      </c>
      <c r="O68" s="142" t="str">
        <f t="shared" ref="O68:O131" si="6">_xlfn.TEXTJOIN(,TRUE, "G",N68)</f>
        <v>G760</v>
      </c>
      <c r="P68" s="123">
        <v>252</v>
      </c>
      <c r="Q68" s="142" t="str">
        <f t="shared" ref="Q68:Q131" si="7">_xlfn.TEXTJOIN(,TRUE, "R",P68)</f>
        <v>R252</v>
      </c>
      <c r="R68" s="123">
        <v>22.4</v>
      </c>
      <c r="S68" s="123">
        <v>39.9</v>
      </c>
      <c r="T68" s="123">
        <v>21.5</v>
      </c>
      <c r="U68" s="123">
        <v>21.3</v>
      </c>
      <c r="V68" s="123" t="s">
        <v>2182</v>
      </c>
      <c r="W68" s="126" t="s">
        <v>2174</v>
      </c>
      <c r="X68" s="126" t="s">
        <v>2182</v>
      </c>
      <c r="Y68" s="126"/>
      <c r="Z68" s="123">
        <v>19.8</v>
      </c>
      <c r="AA68" s="123" t="s">
        <v>2245</v>
      </c>
      <c r="AB68" s="123">
        <v>8</v>
      </c>
      <c r="AC68" s="123">
        <v>1</v>
      </c>
      <c r="AD68" s="123"/>
    </row>
    <row r="69" spans="1:30">
      <c r="A69" s="121">
        <v>67</v>
      </c>
      <c r="B69" s="122" t="s">
        <v>2271</v>
      </c>
      <c r="C69" s="122" t="s">
        <v>2275</v>
      </c>
      <c r="D69" s="122" t="s">
        <v>2273</v>
      </c>
      <c r="E69" s="124">
        <v>42767</v>
      </c>
      <c r="F69" s="125">
        <v>0.51736111111111105</v>
      </c>
      <c r="G69" s="124">
        <v>42818</v>
      </c>
      <c r="H69" s="125">
        <v>0.4548611111111111</v>
      </c>
      <c r="I69" s="123">
        <v>908</v>
      </c>
      <c r="J69" s="123">
        <v>450</v>
      </c>
      <c r="K69" s="142" t="str">
        <f t="shared" si="4"/>
        <v>G450</v>
      </c>
      <c r="L69" s="123">
        <v>165</v>
      </c>
      <c r="M69" s="142" t="str">
        <f t="shared" si="5"/>
        <v>R165</v>
      </c>
      <c r="N69" s="123">
        <v>660</v>
      </c>
      <c r="O69" s="142" t="str">
        <f t="shared" si="6"/>
        <v>G660</v>
      </c>
      <c r="P69" s="123">
        <v>44</v>
      </c>
      <c r="Q69" s="142" t="str">
        <f t="shared" si="7"/>
        <v>R44</v>
      </c>
      <c r="R69" s="123">
        <v>19.899999999999999</v>
      </c>
      <c r="S69" s="123">
        <v>36.799999999999997</v>
      </c>
      <c r="T69" s="123">
        <v>21.5</v>
      </c>
      <c r="U69" s="123">
        <v>23</v>
      </c>
      <c r="V69" s="123" t="s">
        <v>2201</v>
      </c>
      <c r="W69" s="126"/>
      <c r="X69" s="126" t="s">
        <v>2182</v>
      </c>
      <c r="Y69" s="126"/>
      <c r="Z69" s="123">
        <v>5.5</v>
      </c>
      <c r="AA69" s="123" t="s">
        <v>2245</v>
      </c>
      <c r="AB69" s="123">
        <v>5.5</v>
      </c>
      <c r="AC69" s="123">
        <v>1</v>
      </c>
      <c r="AD69" s="123"/>
    </row>
    <row r="70" spans="1:30">
      <c r="A70" s="121">
        <v>68</v>
      </c>
      <c r="B70" s="122" t="s">
        <v>2271</v>
      </c>
      <c r="C70" s="122" t="s">
        <v>2276</v>
      </c>
      <c r="D70" s="122" t="s">
        <v>2273</v>
      </c>
      <c r="E70" s="124">
        <v>42767</v>
      </c>
      <c r="F70" s="125">
        <v>0.52083333333333337</v>
      </c>
      <c r="G70" s="124">
        <v>42818</v>
      </c>
      <c r="H70" s="125">
        <v>0.53611111111111109</v>
      </c>
      <c r="I70" s="123">
        <v>1102</v>
      </c>
      <c r="J70" s="123">
        <v>269</v>
      </c>
      <c r="K70" s="142" t="str">
        <f t="shared" si="4"/>
        <v>G269</v>
      </c>
      <c r="L70" s="123">
        <v>129</v>
      </c>
      <c r="M70" s="142" t="str">
        <f t="shared" si="5"/>
        <v>R129</v>
      </c>
      <c r="N70" s="123">
        <v>477</v>
      </c>
      <c r="O70" s="142" t="str">
        <f t="shared" si="6"/>
        <v>G477</v>
      </c>
      <c r="P70" s="123">
        <v>9</v>
      </c>
      <c r="Q70" s="142" t="str">
        <f t="shared" si="7"/>
        <v>R9</v>
      </c>
      <c r="R70" s="123">
        <v>20.5</v>
      </c>
      <c r="S70" s="163">
        <v>37.6</v>
      </c>
      <c r="T70" s="123">
        <v>21.9</v>
      </c>
      <c r="U70" s="123">
        <v>22.1</v>
      </c>
      <c r="V70" s="123" t="s">
        <v>2182</v>
      </c>
      <c r="W70" s="126"/>
      <c r="X70" s="126" t="s">
        <v>2182</v>
      </c>
      <c r="Y70" s="126"/>
      <c r="Z70" s="123">
        <v>23.4</v>
      </c>
      <c r="AA70" s="123" t="s">
        <v>2245</v>
      </c>
      <c r="AB70" s="123">
        <v>9.6999999999999993</v>
      </c>
      <c r="AC70" s="123">
        <v>1</v>
      </c>
      <c r="AD70" s="123"/>
    </row>
    <row r="71" spans="1:30">
      <c r="A71" s="121">
        <v>69</v>
      </c>
      <c r="B71" s="122" t="s">
        <v>2271</v>
      </c>
      <c r="C71" s="122" t="s">
        <v>2277</v>
      </c>
      <c r="D71" s="122" t="s">
        <v>2273</v>
      </c>
      <c r="E71" s="124">
        <v>42767</v>
      </c>
      <c r="F71" s="125">
        <v>0.52430555555555558</v>
      </c>
      <c r="G71" s="124">
        <v>42818</v>
      </c>
      <c r="H71" s="125">
        <v>0.47916666666666669</v>
      </c>
      <c r="I71" s="123">
        <v>910</v>
      </c>
      <c r="J71" s="123">
        <v>448</v>
      </c>
      <c r="K71" s="142" t="str">
        <f t="shared" si="4"/>
        <v>G448</v>
      </c>
      <c r="L71" s="123">
        <v>414</v>
      </c>
      <c r="M71" s="142" t="str">
        <f t="shared" si="5"/>
        <v>R414</v>
      </c>
      <c r="N71" s="123">
        <v>386</v>
      </c>
      <c r="O71" s="142" t="str">
        <f t="shared" si="6"/>
        <v>G386</v>
      </c>
      <c r="P71" s="123">
        <v>251</v>
      </c>
      <c r="Q71" s="142" t="str">
        <f t="shared" si="7"/>
        <v>R251</v>
      </c>
      <c r="R71" s="123">
        <v>23.6</v>
      </c>
      <c r="S71" s="123">
        <v>37.9</v>
      </c>
      <c r="T71" s="123">
        <v>23.3</v>
      </c>
      <c r="U71" s="123">
        <v>24.6</v>
      </c>
      <c r="V71" s="123"/>
      <c r="W71" s="126"/>
      <c r="X71" s="126" t="s">
        <v>2182</v>
      </c>
      <c r="Y71" s="126" t="s">
        <v>2182</v>
      </c>
      <c r="Z71" s="123">
        <v>24.4</v>
      </c>
      <c r="AA71" s="123" t="s">
        <v>2245</v>
      </c>
      <c r="AB71" s="123">
        <v>14.4</v>
      </c>
      <c r="AC71" s="123">
        <v>1</v>
      </c>
      <c r="AD71" s="123"/>
    </row>
    <row r="72" spans="1:30">
      <c r="A72" s="121">
        <v>70</v>
      </c>
      <c r="B72" s="122" t="s">
        <v>2271</v>
      </c>
      <c r="C72" s="122" t="s">
        <v>2278</v>
      </c>
      <c r="D72" s="122" t="s">
        <v>2273</v>
      </c>
      <c r="E72" s="124">
        <v>42767</v>
      </c>
      <c r="F72" s="125">
        <v>0.52777777777777779</v>
      </c>
      <c r="G72" s="124">
        <v>42818</v>
      </c>
      <c r="H72" s="125">
        <v>0.48958333333333331</v>
      </c>
      <c r="I72" s="123">
        <v>911</v>
      </c>
      <c r="J72" s="177">
        <v>358</v>
      </c>
      <c r="K72" s="142" t="str">
        <f t="shared" si="4"/>
        <v>G358</v>
      </c>
      <c r="L72" s="123">
        <v>151</v>
      </c>
      <c r="M72" s="142" t="str">
        <f t="shared" si="5"/>
        <v>R151</v>
      </c>
      <c r="N72" s="129">
        <v>414</v>
      </c>
      <c r="O72" s="142" t="str">
        <f t="shared" si="6"/>
        <v>G414</v>
      </c>
      <c r="P72" s="123">
        <v>266</v>
      </c>
      <c r="Q72" s="142" t="str">
        <f t="shared" si="7"/>
        <v>R266</v>
      </c>
      <c r="R72" s="123">
        <v>22.5</v>
      </c>
      <c r="S72" s="123">
        <v>40.799999999999997</v>
      </c>
      <c r="T72" s="123">
        <v>24.9</v>
      </c>
      <c r="U72" s="123">
        <v>23.5</v>
      </c>
      <c r="V72" s="123" t="s">
        <v>2225</v>
      </c>
      <c r="W72" s="126" t="s">
        <v>2225</v>
      </c>
      <c r="X72" s="126" t="s">
        <v>2182</v>
      </c>
      <c r="Y72" s="126" t="s">
        <v>2182</v>
      </c>
      <c r="Z72" s="123">
        <v>28</v>
      </c>
      <c r="AA72" s="123" t="s">
        <v>2245</v>
      </c>
      <c r="AB72" s="123">
        <v>15</v>
      </c>
      <c r="AC72" s="123">
        <v>0</v>
      </c>
      <c r="AD72" s="123"/>
    </row>
    <row r="73" spans="1:30">
      <c r="A73" s="121">
        <v>71</v>
      </c>
      <c r="B73" s="122" t="s">
        <v>2271</v>
      </c>
      <c r="C73" s="122" t="s">
        <v>2279</v>
      </c>
      <c r="D73" s="122" t="s">
        <v>2273</v>
      </c>
      <c r="E73" s="124">
        <v>42767</v>
      </c>
      <c r="F73" s="125">
        <v>0.52777777777777779</v>
      </c>
      <c r="G73" s="124">
        <v>42818</v>
      </c>
      <c r="H73" s="125">
        <v>0.5</v>
      </c>
      <c r="I73" s="123">
        <v>912</v>
      </c>
      <c r="J73" s="123">
        <v>511</v>
      </c>
      <c r="K73" s="142" t="str">
        <f t="shared" si="4"/>
        <v>G511</v>
      </c>
      <c r="L73" s="123">
        <v>95</v>
      </c>
      <c r="M73" s="142" t="str">
        <f t="shared" si="5"/>
        <v>R95</v>
      </c>
      <c r="N73" s="123">
        <v>459</v>
      </c>
      <c r="O73" s="142" t="str">
        <f t="shared" si="6"/>
        <v>G459</v>
      </c>
      <c r="P73" s="123">
        <v>528</v>
      </c>
      <c r="Q73" s="142" t="str">
        <f t="shared" si="7"/>
        <v>R528</v>
      </c>
      <c r="R73" s="123">
        <v>21</v>
      </c>
      <c r="S73" s="123">
        <v>35.1</v>
      </c>
      <c r="T73" s="123">
        <v>22.9</v>
      </c>
      <c r="U73" s="123">
        <v>23.6</v>
      </c>
      <c r="V73" s="123" t="s">
        <v>2182</v>
      </c>
      <c r="W73" s="126" t="s">
        <v>2182</v>
      </c>
      <c r="X73" s="126" t="s">
        <v>2182</v>
      </c>
      <c r="Y73" s="126"/>
      <c r="Z73" s="123">
        <v>32</v>
      </c>
      <c r="AA73" s="123" t="s">
        <v>2245</v>
      </c>
      <c r="AB73" s="123">
        <v>15.5</v>
      </c>
      <c r="AC73" s="123">
        <v>1</v>
      </c>
      <c r="AD73" s="123"/>
    </row>
    <row r="74" spans="1:30">
      <c r="A74" s="121">
        <v>72</v>
      </c>
      <c r="B74" s="122" t="s">
        <v>2271</v>
      </c>
      <c r="C74" s="122" t="s">
        <v>2280</v>
      </c>
      <c r="D74" s="122" t="s">
        <v>2273</v>
      </c>
      <c r="E74" s="124">
        <v>42767</v>
      </c>
      <c r="F74" s="125">
        <v>0.53125</v>
      </c>
      <c r="G74" s="124">
        <v>42818</v>
      </c>
      <c r="H74" s="125">
        <v>0.50347222222222221</v>
      </c>
      <c r="I74" s="123">
        <v>913</v>
      </c>
      <c r="J74" s="123">
        <v>383</v>
      </c>
      <c r="K74" s="142" t="str">
        <f t="shared" si="4"/>
        <v>G383</v>
      </c>
      <c r="L74" s="123">
        <v>546</v>
      </c>
      <c r="M74" s="142" t="str">
        <f t="shared" si="5"/>
        <v>R546</v>
      </c>
      <c r="N74" s="123">
        <v>627</v>
      </c>
      <c r="O74" s="142" t="str">
        <f t="shared" si="6"/>
        <v>G627</v>
      </c>
      <c r="P74" s="177">
        <v>14</v>
      </c>
      <c r="Q74" s="142" t="str">
        <f t="shared" si="7"/>
        <v>R14</v>
      </c>
      <c r="R74" s="163">
        <v>21.2</v>
      </c>
      <c r="S74" s="163">
        <v>37.799999999999997</v>
      </c>
      <c r="T74" s="123">
        <v>22.6</v>
      </c>
      <c r="U74" s="123">
        <v>26.2</v>
      </c>
      <c r="V74" s="123" t="s">
        <v>2182</v>
      </c>
      <c r="W74" s="126"/>
      <c r="X74" s="126" t="s">
        <v>2182</v>
      </c>
      <c r="Y74" s="126"/>
      <c r="Z74" s="123">
        <v>44</v>
      </c>
      <c r="AA74" s="123" t="s">
        <v>2245</v>
      </c>
      <c r="AB74" s="123">
        <v>2.6</v>
      </c>
      <c r="AC74" s="123">
        <v>1</v>
      </c>
      <c r="AD74" s="123" t="s">
        <v>2248</v>
      </c>
    </row>
    <row r="75" spans="1:30">
      <c r="A75" s="121">
        <v>73</v>
      </c>
      <c r="B75" s="122" t="s">
        <v>2271</v>
      </c>
      <c r="C75" s="122" t="s">
        <v>2281</v>
      </c>
      <c r="D75" s="122" t="s">
        <v>2282</v>
      </c>
      <c r="E75" s="124">
        <v>42767</v>
      </c>
      <c r="F75" s="125">
        <v>0.54166666666666663</v>
      </c>
      <c r="G75" s="124">
        <v>42818</v>
      </c>
      <c r="H75" s="125">
        <v>0.57291666666666663</v>
      </c>
      <c r="I75" s="123">
        <v>1132</v>
      </c>
      <c r="J75" s="123">
        <v>549</v>
      </c>
      <c r="K75" s="142" t="str">
        <f t="shared" si="4"/>
        <v>G549</v>
      </c>
      <c r="L75" s="123">
        <v>438</v>
      </c>
      <c r="M75" s="142" t="str">
        <f t="shared" si="5"/>
        <v>R438</v>
      </c>
      <c r="N75" s="123">
        <v>498</v>
      </c>
      <c r="O75" s="142" t="str">
        <f t="shared" si="6"/>
        <v>G498</v>
      </c>
      <c r="P75" s="123">
        <v>393</v>
      </c>
      <c r="Q75" s="142" t="str">
        <f t="shared" si="7"/>
        <v>R393</v>
      </c>
      <c r="R75" s="123">
        <v>23.1</v>
      </c>
      <c r="S75" s="123">
        <v>35.200000000000003</v>
      </c>
      <c r="T75" s="123">
        <v>29.2</v>
      </c>
      <c r="U75" s="123">
        <v>20.5</v>
      </c>
      <c r="V75" s="123" t="s">
        <v>2201</v>
      </c>
      <c r="W75" s="126" t="s">
        <v>2201</v>
      </c>
      <c r="X75" s="126" t="s">
        <v>2182</v>
      </c>
      <c r="Y75" s="126" t="s">
        <v>2182</v>
      </c>
      <c r="Z75" s="123">
        <v>10</v>
      </c>
      <c r="AA75" s="123" t="s">
        <v>2175</v>
      </c>
      <c r="AB75" s="123">
        <v>9.1</v>
      </c>
      <c r="AC75" s="123">
        <v>1</v>
      </c>
      <c r="AD75" s="123"/>
    </row>
    <row r="76" spans="1:30">
      <c r="A76" s="121">
        <v>74</v>
      </c>
      <c r="B76" s="122" t="s">
        <v>2271</v>
      </c>
      <c r="C76" s="122" t="s">
        <v>2283</v>
      </c>
      <c r="D76" s="122" t="s">
        <v>2282</v>
      </c>
      <c r="E76" s="124">
        <v>42767</v>
      </c>
      <c r="F76" s="125">
        <v>0.54166666666666663</v>
      </c>
      <c r="G76" s="124">
        <v>42818</v>
      </c>
      <c r="H76" s="125">
        <v>0.55555555555555558</v>
      </c>
      <c r="I76" s="123">
        <v>1129</v>
      </c>
      <c r="J76" s="123">
        <v>605</v>
      </c>
      <c r="K76" s="142" t="str">
        <f t="shared" si="4"/>
        <v>G605</v>
      </c>
      <c r="L76" s="123">
        <v>122</v>
      </c>
      <c r="M76" s="142" t="str">
        <f t="shared" si="5"/>
        <v>R122</v>
      </c>
      <c r="N76" s="123">
        <v>579</v>
      </c>
      <c r="O76" s="142" t="str">
        <f t="shared" si="6"/>
        <v>G579</v>
      </c>
      <c r="P76" s="123">
        <v>138</v>
      </c>
      <c r="Q76" s="142" t="str">
        <f t="shared" si="7"/>
        <v>R138</v>
      </c>
      <c r="R76" s="123">
        <v>23</v>
      </c>
      <c r="S76" s="123">
        <v>29</v>
      </c>
      <c r="T76" s="123">
        <v>25.7</v>
      </c>
      <c r="U76" s="123">
        <v>20.3</v>
      </c>
      <c r="V76" s="123" t="s">
        <v>2201</v>
      </c>
      <c r="W76" s="126" t="s">
        <v>2190</v>
      </c>
      <c r="X76" s="126" t="s">
        <v>2182</v>
      </c>
      <c r="Y76" s="126"/>
      <c r="Z76" s="123">
        <v>9.4</v>
      </c>
      <c r="AA76" s="123" t="s">
        <v>2175</v>
      </c>
      <c r="AB76" s="123">
        <v>7.7</v>
      </c>
      <c r="AC76" s="123">
        <v>1</v>
      </c>
      <c r="AD76" s="123"/>
    </row>
    <row r="77" spans="1:30">
      <c r="A77" s="121">
        <v>75</v>
      </c>
      <c r="B77" s="122" t="s">
        <v>2271</v>
      </c>
      <c r="C77" s="122" t="s">
        <v>2284</v>
      </c>
      <c r="D77" s="122" t="s">
        <v>2282</v>
      </c>
      <c r="E77" s="124">
        <v>42767</v>
      </c>
      <c r="F77" s="125">
        <v>0.54513888888888895</v>
      </c>
      <c r="G77" s="124">
        <v>42818</v>
      </c>
      <c r="H77" s="125">
        <v>0.625</v>
      </c>
      <c r="I77" s="123">
        <v>1133</v>
      </c>
      <c r="J77" s="123">
        <v>408</v>
      </c>
      <c r="K77" s="142" t="str">
        <f t="shared" si="4"/>
        <v>G408</v>
      </c>
      <c r="L77" s="123">
        <v>404</v>
      </c>
      <c r="M77" s="142" t="str">
        <f t="shared" si="5"/>
        <v>R404</v>
      </c>
      <c r="N77" s="123">
        <v>373</v>
      </c>
      <c r="O77" s="142" t="str">
        <f t="shared" si="6"/>
        <v>G373</v>
      </c>
      <c r="P77">
        <v>311</v>
      </c>
      <c r="Q77" s="142" t="str">
        <f t="shared" si="7"/>
        <v>R311</v>
      </c>
      <c r="R77" s="123">
        <v>20.8</v>
      </c>
      <c r="S77" s="123">
        <v>34.200000000000003</v>
      </c>
      <c r="T77" s="123">
        <v>30.5</v>
      </c>
      <c r="U77" s="123">
        <v>20.100000000000001</v>
      </c>
      <c r="V77" s="123" t="s">
        <v>2201</v>
      </c>
      <c r="W77" s="126" t="s">
        <v>2195</v>
      </c>
      <c r="X77" s="126" t="s">
        <v>2182</v>
      </c>
      <c r="Y77" s="126"/>
      <c r="Z77" s="123">
        <v>13.8</v>
      </c>
      <c r="AA77" s="123" t="s">
        <v>2245</v>
      </c>
      <c r="AB77" s="123">
        <v>6.1</v>
      </c>
      <c r="AC77" s="123">
        <v>0</v>
      </c>
      <c r="AD77" s="123"/>
    </row>
    <row r="78" spans="1:30">
      <c r="A78" s="121">
        <v>76</v>
      </c>
      <c r="B78" s="122" t="s">
        <v>2271</v>
      </c>
      <c r="C78" s="122" t="s">
        <v>2285</v>
      </c>
      <c r="D78" s="122" t="s">
        <v>2282</v>
      </c>
      <c r="E78" s="124">
        <v>42767</v>
      </c>
      <c r="F78" s="125">
        <v>0.54861111111111105</v>
      </c>
      <c r="G78" s="124">
        <v>42818</v>
      </c>
      <c r="H78" s="125">
        <v>0.58333333333333337</v>
      </c>
      <c r="I78" s="123">
        <v>917</v>
      </c>
      <c r="J78">
        <v>416</v>
      </c>
      <c r="K78" s="142" t="str">
        <f t="shared" si="4"/>
        <v>G416</v>
      </c>
      <c r="L78" s="123">
        <v>501</v>
      </c>
      <c r="M78" s="142" t="str">
        <f t="shared" si="5"/>
        <v>R501</v>
      </c>
      <c r="N78" s="123">
        <v>603</v>
      </c>
      <c r="O78" s="142" t="str">
        <f t="shared" si="6"/>
        <v>G603</v>
      </c>
      <c r="P78" s="123">
        <v>183</v>
      </c>
      <c r="Q78" s="142" t="str">
        <f t="shared" si="7"/>
        <v>R183</v>
      </c>
      <c r="R78" s="123">
        <v>22.4</v>
      </c>
      <c r="S78" s="123">
        <v>34.1</v>
      </c>
      <c r="T78" s="123">
        <v>25</v>
      </c>
      <c r="U78" s="123">
        <v>19.5</v>
      </c>
      <c r="V78" s="123" t="s">
        <v>2174</v>
      </c>
      <c r="W78" s="126" t="s">
        <v>2174</v>
      </c>
      <c r="X78" s="126" t="s">
        <v>2182</v>
      </c>
      <c r="Y78" s="126"/>
      <c r="Z78" s="123">
        <v>19.3</v>
      </c>
      <c r="AA78" s="123" t="s">
        <v>2175</v>
      </c>
      <c r="AB78" s="123">
        <v>6.7</v>
      </c>
      <c r="AC78" s="123">
        <v>1</v>
      </c>
      <c r="AD78" s="123"/>
    </row>
    <row r="79" spans="1:30">
      <c r="A79" s="121">
        <v>77</v>
      </c>
      <c r="B79" s="122" t="s">
        <v>2271</v>
      </c>
      <c r="C79" s="122" t="s">
        <v>2286</v>
      </c>
      <c r="D79" s="122" t="s">
        <v>2282</v>
      </c>
      <c r="E79" s="124">
        <v>42767</v>
      </c>
      <c r="F79" s="125">
        <v>0.55208333333333337</v>
      </c>
      <c r="G79" s="124">
        <v>42818</v>
      </c>
      <c r="H79" s="125">
        <v>0.67708333333333337</v>
      </c>
      <c r="I79" s="123">
        <v>1134</v>
      </c>
      <c r="J79">
        <v>594</v>
      </c>
      <c r="K79" s="142" t="str">
        <f t="shared" si="4"/>
        <v>G594</v>
      </c>
      <c r="L79" s="123">
        <v>137</v>
      </c>
      <c r="M79" s="142" t="str">
        <f t="shared" si="5"/>
        <v>R137</v>
      </c>
      <c r="N79" s="123">
        <v>509</v>
      </c>
      <c r="O79" s="142" t="str">
        <f t="shared" si="6"/>
        <v>G509</v>
      </c>
      <c r="P79" s="123">
        <v>228</v>
      </c>
      <c r="Q79" s="142" t="str">
        <f t="shared" si="7"/>
        <v>R228</v>
      </c>
      <c r="R79" s="123">
        <v>23.6</v>
      </c>
      <c r="S79" s="123">
        <v>27.6</v>
      </c>
      <c r="T79" s="123">
        <v>28.3</v>
      </c>
      <c r="U79" s="123">
        <v>24.3</v>
      </c>
      <c r="V79" s="123" t="s">
        <v>2182</v>
      </c>
      <c r="W79" s="126" t="s">
        <v>2182</v>
      </c>
      <c r="X79" s="126" t="s">
        <v>2182</v>
      </c>
      <c r="Y79" s="126"/>
      <c r="Z79" s="123">
        <v>9.8000000000000007</v>
      </c>
      <c r="AA79" s="123" t="s">
        <v>2245</v>
      </c>
      <c r="AB79" s="123">
        <v>3.1</v>
      </c>
      <c r="AC79" s="123">
        <v>1</v>
      </c>
      <c r="AD79" s="123"/>
    </row>
    <row r="80" spans="1:30">
      <c r="A80" s="121">
        <v>78</v>
      </c>
      <c r="B80" s="122" t="s">
        <v>2271</v>
      </c>
      <c r="C80" s="122" t="s">
        <v>2287</v>
      </c>
      <c r="D80" s="122" t="s">
        <v>2282</v>
      </c>
      <c r="E80" s="124">
        <v>42767</v>
      </c>
      <c r="F80" s="125">
        <v>0.55208333333333337</v>
      </c>
      <c r="G80" s="124">
        <v>42818</v>
      </c>
      <c r="H80" s="125">
        <v>0.66319444444444442</v>
      </c>
      <c r="I80" s="123">
        <v>1135</v>
      </c>
      <c r="J80" s="123">
        <v>460</v>
      </c>
      <c r="K80" s="142" t="str">
        <f t="shared" si="4"/>
        <v>G460</v>
      </c>
      <c r="L80" s="123">
        <v>278</v>
      </c>
      <c r="M80" s="142" t="str">
        <f t="shared" si="5"/>
        <v>R278</v>
      </c>
      <c r="N80" s="123">
        <v>446</v>
      </c>
      <c r="O80" s="142" t="str">
        <f t="shared" si="6"/>
        <v>G446</v>
      </c>
      <c r="P80" s="123">
        <v>100</v>
      </c>
      <c r="Q80" s="142" t="str">
        <f t="shared" si="7"/>
        <v>R100</v>
      </c>
      <c r="R80" s="123">
        <v>23.5</v>
      </c>
      <c r="S80" s="123">
        <v>27.7</v>
      </c>
      <c r="T80" s="123">
        <v>32</v>
      </c>
      <c r="U80" s="123">
        <v>20.6</v>
      </c>
      <c r="V80" s="123" t="s">
        <v>2182</v>
      </c>
      <c r="W80" s="126" t="s">
        <v>2182</v>
      </c>
      <c r="X80" s="126" t="s">
        <v>2182</v>
      </c>
      <c r="Y80" s="126"/>
      <c r="Z80" s="123">
        <v>15.4</v>
      </c>
      <c r="AA80" s="123" t="s">
        <v>2175</v>
      </c>
      <c r="AB80" s="123">
        <v>10.4</v>
      </c>
      <c r="AC80" s="123">
        <v>1</v>
      </c>
      <c r="AD80" s="123"/>
    </row>
    <row r="81" spans="1:30">
      <c r="A81" s="121">
        <v>79</v>
      </c>
      <c r="B81" s="122" t="s">
        <v>2271</v>
      </c>
      <c r="C81" s="122" t="s">
        <v>2288</v>
      </c>
      <c r="D81" s="122" t="s">
        <v>2282</v>
      </c>
      <c r="E81" s="124">
        <v>42767</v>
      </c>
      <c r="F81" s="125">
        <v>0.55555555555555558</v>
      </c>
      <c r="G81" s="124">
        <v>42818</v>
      </c>
      <c r="H81" s="125">
        <v>0.60416666666666663</v>
      </c>
      <c r="I81" s="123">
        <v>920</v>
      </c>
      <c r="J81" s="123">
        <v>217</v>
      </c>
      <c r="K81" s="142" t="str">
        <f t="shared" si="4"/>
        <v>G217</v>
      </c>
      <c r="L81" s="123">
        <v>235</v>
      </c>
      <c r="M81" s="142" t="str">
        <f t="shared" si="5"/>
        <v>R235</v>
      </c>
      <c r="N81" s="123">
        <v>249</v>
      </c>
      <c r="O81" s="142" t="str">
        <f t="shared" si="6"/>
        <v>G249</v>
      </c>
      <c r="P81" s="123">
        <v>56</v>
      </c>
      <c r="Q81" s="142" t="str">
        <f t="shared" si="7"/>
        <v>R56</v>
      </c>
      <c r="R81" s="123">
        <v>21.9</v>
      </c>
      <c r="S81" s="123">
        <v>35.299999999999997</v>
      </c>
      <c r="T81" s="123">
        <v>30.6</v>
      </c>
      <c r="U81" s="123">
        <v>18.5</v>
      </c>
      <c r="V81" s="123" t="s">
        <v>2182</v>
      </c>
      <c r="W81" s="126" t="s">
        <v>2182</v>
      </c>
      <c r="X81" s="126" t="s">
        <v>2182</v>
      </c>
      <c r="Y81" s="126"/>
      <c r="Z81" s="123">
        <v>5</v>
      </c>
      <c r="AA81" s="123" t="s">
        <v>2223</v>
      </c>
      <c r="AB81" s="123">
        <v>3</v>
      </c>
      <c r="AC81" s="123">
        <v>1</v>
      </c>
      <c r="AD81" s="123"/>
    </row>
    <row r="82" spans="1:30">
      <c r="A82" s="121">
        <v>80</v>
      </c>
      <c r="B82" s="122" t="s">
        <v>2271</v>
      </c>
      <c r="C82" s="122" t="s">
        <v>2289</v>
      </c>
      <c r="D82" s="122" t="s">
        <v>2282</v>
      </c>
      <c r="E82" s="124">
        <v>42767</v>
      </c>
      <c r="F82" s="125">
        <v>0.5625</v>
      </c>
      <c r="G82" s="124">
        <v>42818</v>
      </c>
      <c r="H82" s="125">
        <v>0.61458333333333337</v>
      </c>
      <c r="I82" s="123">
        <v>1103</v>
      </c>
      <c r="J82" s="123">
        <v>607</v>
      </c>
      <c r="K82" s="142" t="str">
        <f t="shared" si="4"/>
        <v>G607</v>
      </c>
      <c r="L82" s="123">
        <v>181</v>
      </c>
      <c r="M82" s="142" t="str">
        <f t="shared" si="5"/>
        <v>R181</v>
      </c>
      <c r="N82" s="123">
        <v>474</v>
      </c>
      <c r="O82" s="142" t="str">
        <f t="shared" si="6"/>
        <v>G474</v>
      </c>
      <c r="P82" s="129">
        <v>68</v>
      </c>
      <c r="Q82" s="142" t="str">
        <f t="shared" si="7"/>
        <v>R68</v>
      </c>
      <c r="R82" s="123">
        <v>23.1</v>
      </c>
      <c r="S82" s="123">
        <v>35.200000000000003</v>
      </c>
      <c r="T82" s="123">
        <v>31.8</v>
      </c>
      <c r="U82" s="123">
        <v>21.9</v>
      </c>
      <c r="V82" s="123" t="s">
        <v>2190</v>
      </c>
      <c r="W82" s="126" t="s">
        <v>2174</v>
      </c>
      <c r="X82" s="126" t="s">
        <v>2182</v>
      </c>
      <c r="Y82" s="126"/>
      <c r="Z82" s="123">
        <v>12.4</v>
      </c>
      <c r="AA82" s="123" t="s">
        <v>2245</v>
      </c>
      <c r="AB82" s="123">
        <v>2.7</v>
      </c>
      <c r="AC82" s="123">
        <v>1</v>
      </c>
      <c r="AD82" s="123"/>
    </row>
    <row r="83" spans="1:30">
      <c r="A83" s="121">
        <v>81</v>
      </c>
      <c r="B83" s="122" t="s">
        <v>2271</v>
      </c>
      <c r="C83" s="122" t="s">
        <v>2290</v>
      </c>
      <c r="D83" s="122" t="s">
        <v>2291</v>
      </c>
      <c r="E83" s="124">
        <v>42767</v>
      </c>
      <c r="F83" s="125">
        <v>0.4548611111111111</v>
      </c>
      <c r="G83" s="124">
        <v>42818</v>
      </c>
      <c r="H83" s="125">
        <v>0.69444444444444453</v>
      </c>
      <c r="I83" s="123">
        <v>892</v>
      </c>
      <c r="J83" s="123">
        <v>542</v>
      </c>
      <c r="K83" s="142" t="str">
        <f t="shared" si="4"/>
        <v>G542</v>
      </c>
      <c r="L83" s="123">
        <v>187</v>
      </c>
      <c r="M83" s="142" t="str">
        <f t="shared" si="5"/>
        <v>R187</v>
      </c>
      <c r="N83" s="123">
        <v>475</v>
      </c>
      <c r="O83" s="142" t="str">
        <f t="shared" si="6"/>
        <v>G475</v>
      </c>
      <c r="P83" s="123">
        <v>293</v>
      </c>
      <c r="Q83" s="142" t="str">
        <f t="shared" si="7"/>
        <v>R293</v>
      </c>
      <c r="R83" s="129">
        <v>22.8</v>
      </c>
      <c r="S83" s="129">
        <v>29.4</v>
      </c>
      <c r="T83" s="123">
        <v>30.5</v>
      </c>
      <c r="U83" s="123">
        <v>23.3</v>
      </c>
      <c r="V83" s="123" t="s">
        <v>2195</v>
      </c>
      <c r="W83" s="126"/>
      <c r="X83" s="126" t="s">
        <v>2182</v>
      </c>
      <c r="Y83" s="126" t="s">
        <v>2182</v>
      </c>
      <c r="Z83" s="123">
        <v>13.3</v>
      </c>
      <c r="AA83" s="123" t="s">
        <v>2245</v>
      </c>
      <c r="AB83" s="123">
        <v>6.2</v>
      </c>
      <c r="AC83" s="123">
        <v>0</v>
      </c>
      <c r="AD83" s="123"/>
    </row>
    <row r="84" spans="1:30">
      <c r="A84" s="121">
        <v>82</v>
      </c>
      <c r="B84" s="122" t="s">
        <v>2271</v>
      </c>
      <c r="C84" s="122" t="s">
        <v>2293</v>
      </c>
      <c r="D84" s="122" t="s">
        <v>2291</v>
      </c>
      <c r="E84" s="124">
        <v>42767</v>
      </c>
      <c r="F84" s="125">
        <v>0.45833333333333331</v>
      </c>
      <c r="G84" s="124">
        <v>42819</v>
      </c>
      <c r="H84" s="125">
        <v>0.54861111111111105</v>
      </c>
      <c r="I84" s="123">
        <v>1128</v>
      </c>
      <c r="J84" s="123">
        <v>536</v>
      </c>
      <c r="K84" s="142" t="str">
        <f t="shared" si="4"/>
        <v>G536</v>
      </c>
      <c r="L84" s="123">
        <v>83</v>
      </c>
      <c r="M84" s="142" t="str">
        <f t="shared" si="5"/>
        <v>R83</v>
      </c>
      <c r="N84" s="123">
        <v>840</v>
      </c>
      <c r="O84" s="142" t="str">
        <f t="shared" si="6"/>
        <v>G840</v>
      </c>
      <c r="P84" s="123">
        <v>368</v>
      </c>
      <c r="Q84" s="142" t="str">
        <f t="shared" si="7"/>
        <v>R368</v>
      </c>
      <c r="R84" s="123">
        <v>22.1</v>
      </c>
      <c r="S84" s="123">
        <v>34.6</v>
      </c>
      <c r="T84" s="123">
        <v>24</v>
      </c>
      <c r="U84" s="123">
        <v>18.600000000000001</v>
      </c>
      <c r="V84" s="123" t="s">
        <v>2195</v>
      </c>
      <c r="W84" s="126" t="s">
        <v>2195</v>
      </c>
      <c r="X84" s="126" t="s">
        <v>2182</v>
      </c>
      <c r="Y84" s="126"/>
      <c r="Z84" s="123">
        <v>16.600000000000001</v>
      </c>
      <c r="AA84" s="123" t="s">
        <v>2245</v>
      </c>
      <c r="AB84" s="123">
        <v>2.4</v>
      </c>
      <c r="AC84" s="123"/>
      <c r="AD84" s="123"/>
    </row>
    <row r="85" spans="1:30">
      <c r="A85" s="121">
        <v>83</v>
      </c>
      <c r="B85" s="122" t="s">
        <v>2271</v>
      </c>
      <c r="C85" s="122" t="s">
        <v>2294</v>
      </c>
      <c r="D85" s="122" t="s">
        <v>2291</v>
      </c>
      <c r="E85" s="124">
        <v>42767</v>
      </c>
      <c r="F85" s="125">
        <v>0.43402777777777773</v>
      </c>
      <c r="G85" s="124">
        <v>42819</v>
      </c>
      <c r="H85" s="125">
        <v>0.70833333333333337</v>
      </c>
      <c r="I85" s="123">
        <v>886</v>
      </c>
      <c r="J85" s="123">
        <v>494</v>
      </c>
      <c r="K85" s="142" t="str">
        <f t="shared" si="4"/>
        <v>G494</v>
      </c>
      <c r="L85" s="123">
        <v>134</v>
      </c>
      <c r="M85" s="142" t="str">
        <f t="shared" si="5"/>
        <v>R134</v>
      </c>
      <c r="N85" s="123">
        <v>298</v>
      </c>
      <c r="O85" s="142" t="str">
        <f t="shared" si="6"/>
        <v>G298</v>
      </c>
      <c r="P85" s="123">
        <v>22</v>
      </c>
      <c r="Q85" s="142" t="str">
        <f t="shared" si="7"/>
        <v>R22</v>
      </c>
      <c r="R85" s="123">
        <v>20.5</v>
      </c>
      <c r="S85" s="123">
        <v>37.299999999999997</v>
      </c>
      <c r="T85" s="123">
        <v>29.6</v>
      </c>
      <c r="U85" s="123">
        <v>22.9</v>
      </c>
      <c r="V85" s="123" t="s">
        <v>2182</v>
      </c>
      <c r="W85" s="126" t="s">
        <v>2174</v>
      </c>
      <c r="X85" s="126" t="s">
        <v>2182</v>
      </c>
      <c r="Y85" s="126"/>
      <c r="Z85" s="123">
        <v>42</v>
      </c>
      <c r="AA85" s="123" t="s">
        <v>2175</v>
      </c>
      <c r="AB85" s="123">
        <v>6.4</v>
      </c>
      <c r="AC85" s="123">
        <v>1</v>
      </c>
      <c r="AD85" s="123"/>
    </row>
    <row r="86" spans="1:30">
      <c r="A86" s="121">
        <v>84</v>
      </c>
      <c r="B86" s="122" t="s">
        <v>2271</v>
      </c>
      <c r="C86" s="122" t="s">
        <v>2295</v>
      </c>
      <c r="D86" s="122" t="s">
        <v>2291</v>
      </c>
      <c r="E86" s="124">
        <v>42767</v>
      </c>
      <c r="F86" s="125">
        <v>0.4375</v>
      </c>
      <c r="G86" s="124">
        <v>42819</v>
      </c>
      <c r="H86" s="125">
        <v>0.71527777777777779</v>
      </c>
      <c r="I86" s="123">
        <v>887</v>
      </c>
      <c r="J86" s="132">
        <v>291</v>
      </c>
      <c r="K86" s="142" t="str">
        <f t="shared" si="4"/>
        <v>G291</v>
      </c>
      <c r="L86" s="123">
        <v>49</v>
      </c>
      <c r="M86" s="142" t="str">
        <f t="shared" si="5"/>
        <v>R49</v>
      </c>
      <c r="N86" s="123">
        <v>520</v>
      </c>
      <c r="O86" s="142" t="str">
        <f t="shared" si="6"/>
        <v>G520</v>
      </c>
      <c r="P86" s="123">
        <v>417</v>
      </c>
      <c r="Q86" s="142" t="str">
        <f t="shared" si="7"/>
        <v>R417</v>
      </c>
      <c r="R86" s="123">
        <v>19.8</v>
      </c>
      <c r="S86" s="123">
        <v>33.6</v>
      </c>
      <c r="T86" s="123">
        <v>27.4</v>
      </c>
      <c r="U86" s="123">
        <v>21.9</v>
      </c>
      <c r="V86" s="123" t="s">
        <v>2182</v>
      </c>
      <c r="W86" s="126" t="s">
        <v>2182</v>
      </c>
      <c r="X86" s="126" t="s">
        <v>2182</v>
      </c>
      <c r="Y86" s="126" t="s">
        <v>2182</v>
      </c>
      <c r="Z86" s="123">
        <v>55.8</v>
      </c>
      <c r="AA86" s="123" t="s">
        <v>2175</v>
      </c>
      <c r="AB86" s="123">
        <v>5.5</v>
      </c>
      <c r="AC86" s="123">
        <v>1</v>
      </c>
      <c r="AD86" s="123"/>
    </row>
    <row r="87" spans="1:30">
      <c r="A87" s="121">
        <v>85</v>
      </c>
      <c r="B87" s="122" t="s">
        <v>2271</v>
      </c>
      <c r="C87" s="122" t="s">
        <v>2296</v>
      </c>
      <c r="D87" s="122" t="s">
        <v>2291</v>
      </c>
      <c r="E87" s="124">
        <v>42767</v>
      </c>
      <c r="F87" s="125">
        <v>0.44097222222222227</v>
      </c>
      <c r="G87" s="124">
        <v>42819</v>
      </c>
      <c r="H87" s="125">
        <v>0.71875</v>
      </c>
      <c r="I87" s="123">
        <v>888</v>
      </c>
      <c r="J87" s="123">
        <v>308</v>
      </c>
      <c r="K87" s="142" t="str">
        <f t="shared" si="4"/>
        <v>G308</v>
      </c>
      <c r="L87" s="123">
        <v>315</v>
      </c>
      <c r="M87" s="142" t="str">
        <f t="shared" si="5"/>
        <v>R315</v>
      </c>
      <c r="N87" s="123">
        <v>441</v>
      </c>
      <c r="O87" s="142" t="str">
        <f t="shared" si="6"/>
        <v>G441</v>
      </c>
      <c r="P87" s="123">
        <v>391</v>
      </c>
      <c r="Q87" s="142" t="str">
        <f t="shared" si="7"/>
        <v>R391</v>
      </c>
      <c r="R87" s="123">
        <v>20.2</v>
      </c>
      <c r="S87" s="123">
        <v>33.5</v>
      </c>
      <c r="T87" s="123">
        <v>26.1</v>
      </c>
      <c r="U87" s="123">
        <v>19.600000000000001</v>
      </c>
      <c r="V87" s="123" t="s">
        <v>2201</v>
      </c>
      <c r="W87" s="126" t="s">
        <v>2198</v>
      </c>
      <c r="X87" s="126" t="s">
        <v>2182</v>
      </c>
      <c r="Y87" s="126"/>
      <c r="Z87" s="123">
        <v>3.8</v>
      </c>
      <c r="AA87" s="123" t="s">
        <v>2245</v>
      </c>
      <c r="AB87" s="123">
        <v>8.6</v>
      </c>
      <c r="AC87" s="123">
        <v>0</v>
      </c>
      <c r="AD87" s="123"/>
    </row>
    <row r="88" spans="1:30">
      <c r="A88" s="121">
        <v>86</v>
      </c>
      <c r="B88" s="122" t="s">
        <v>2271</v>
      </c>
      <c r="C88" s="122" t="s">
        <v>2297</v>
      </c>
      <c r="D88" s="122" t="s">
        <v>2291</v>
      </c>
      <c r="E88" s="124">
        <v>42767</v>
      </c>
      <c r="F88" s="125">
        <v>0.44444444444444442</v>
      </c>
      <c r="G88" s="124">
        <v>42819</v>
      </c>
      <c r="H88" s="125">
        <v>0.72916666666666663</v>
      </c>
      <c r="I88" s="123">
        <v>889</v>
      </c>
      <c r="J88" s="123">
        <v>723</v>
      </c>
      <c r="K88" s="142" t="str">
        <f t="shared" si="4"/>
        <v>G723</v>
      </c>
      <c r="L88" s="123">
        <v>1</v>
      </c>
      <c r="M88" s="142" t="str">
        <f t="shared" si="5"/>
        <v>R1</v>
      </c>
      <c r="N88" s="123">
        <v>561</v>
      </c>
      <c r="O88" s="142" t="str">
        <f t="shared" si="6"/>
        <v>G561</v>
      </c>
      <c r="P88" s="123">
        <v>62</v>
      </c>
      <c r="Q88" s="142" t="str">
        <f t="shared" si="7"/>
        <v>R62</v>
      </c>
      <c r="R88" s="123">
        <v>21.2</v>
      </c>
      <c r="S88" s="123">
        <v>29.3</v>
      </c>
      <c r="T88" s="123">
        <v>30.4</v>
      </c>
      <c r="U88" s="123">
        <v>18.8</v>
      </c>
      <c r="V88" s="123" t="s">
        <v>2182</v>
      </c>
      <c r="W88" s="126" t="s">
        <v>2225</v>
      </c>
      <c r="X88" s="126" t="s">
        <v>2182</v>
      </c>
      <c r="Y88" s="126"/>
      <c r="Z88" s="123">
        <v>7.5</v>
      </c>
      <c r="AA88" s="123" t="s">
        <v>2245</v>
      </c>
      <c r="AB88" s="123">
        <v>3.7</v>
      </c>
      <c r="AC88" s="123">
        <v>0</v>
      </c>
      <c r="AD88" s="123"/>
    </row>
    <row r="89" spans="1:30">
      <c r="A89" s="121">
        <v>87</v>
      </c>
      <c r="B89" s="122" t="s">
        <v>2271</v>
      </c>
      <c r="C89" s="122" t="s">
        <v>2298</v>
      </c>
      <c r="D89" s="122" t="s">
        <v>2291</v>
      </c>
      <c r="E89" s="124">
        <v>42767</v>
      </c>
      <c r="F89" s="125">
        <v>0.4513888888888889</v>
      </c>
      <c r="G89" s="124">
        <v>42819</v>
      </c>
      <c r="H89" s="125">
        <v>0.55555555555555558</v>
      </c>
      <c r="I89" s="123">
        <v>890</v>
      </c>
      <c r="J89" s="123">
        <v>628</v>
      </c>
      <c r="K89" s="142" t="str">
        <f t="shared" si="4"/>
        <v>G628</v>
      </c>
      <c r="L89" s="123">
        <v>408</v>
      </c>
      <c r="M89" s="142" t="str">
        <f t="shared" si="5"/>
        <v>R408</v>
      </c>
      <c r="N89" s="123">
        <v>632</v>
      </c>
      <c r="O89" s="142" t="str">
        <f t="shared" si="6"/>
        <v>G632</v>
      </c>
      <c r="P89" s="123">
        <v>329</v>
      </c>
      <c r="Q89" s="142" t="str">
        <f t="shared" si="7"/>
        <v>R329</v>
      </c>
      <c r="R89" s="123">
        <v>20.100000000000001</v>
      </c>
      <c r="S89" s="123">
        <v>29.3</v>
      </c>
      <c r="T89" s="123">
        <v>23</v>
      </c>
      <c r="U89" s="123">
        <v>22.4</v>
      </c>
      <c r="V89" s="123" t="s">
        <v>2198</v>
      </c>
      <c r="W89" s="126" t="s">
        <v>2229</v>
      </c>
      <c r="X89" s="126" t="s">
        <v>2182</v>
      </c>
      <c r="Y89" s="126"/>
      <c r="Z89" s="123">
        <v>12.6</v>
      </c>
      <c r="AA89" s="123" t="s">
        <v>2245</v>
      </c>
      <c r="AB89" s="123">
        <v>7.5</v>
      </c>
      <c r="AC89" s="123">
        <v>1</v>
      </c>
      <c r="AD89" s="123"/>
    </row>
    <row r="90" spans="1:30">
      <c r="A90" s="168">
        <v>88</v>
      </c>
      <c r="B90" s="169" t="s">
        <v>2271</v>
      </c>
      <c r="C90" s="169" t="s">
        <v>2299</v>
      </c>
      <c r="D90" s="169" t="s">
        <v>2291</v>
      </c>
      <c r="E90" s="170">
        <v>42767</v>
      </c>
      <c r="F90" s="173">
        <v>0.4513888888888889</v>
      </c>
      <c r="G90" s="124">
        <v>42819</v>
      </c>
      <c r="H90" s="168"/>
      <c r="I90" s="168">
        <v>891</v>
      </c>
      <c r="J90" s="168">
        <v>569</v>
      </c>
      <c r="K90" s="142" t="str">
        <f t="shared" si="4"/>
        <v>G569</v>
      </c>
      <c r="L90" s="168">
        <v>385</v>
      </c>
      <c r="M90" s="142" t="str">
        <f t="shared" si="5"/>
        <v>R385</v>
      </c>
      <c r="N90" s="168">
        <v>611</v>
      </c>
      <c r="O90" s="142" t="str">
        <f t="shared" si="6"/>
        <v>G611</v>
      </c>
      <c r="P90" s="168">
        <v>288</v>
      </c>
      <c r="Q90" s="142" t="str">
        <f t="shared" si="7"/>
        <v>R288</v>
      </c>
      <c r="R90" s="168">
        <v>21.4</v>
      </c>
      <c r="S90" s="168">
        <v>29.7</v>
      </c>
      <c r="T90" s="168"/>
      <c r="U90" s="168"/>
      <c r="V90" s="168"/>
      <c r="W90" s="171"/>
      <c r="X90" s="171"/>
      <c r="Y90" s="171"/>
      <c r="Z90" s="168"/>
      <c r="AA90" s="168"/>
      <c r="AB90" s="168"/>
      <c r="AC90" s="168"/>
      <c r="AD90" s="168"/>
    </row>
    <row r="91" spans="1:30">
      <c r="A91" s="121">
        <v>89</v>
      </c>
      <c r="B91" s="122" t="s">
        <v>2271</v>
      </c>
      <c r="C91" s="122" t="s">
        <v>2300</v>
      </c>
      <c r="D91" s="122" t="s">
        <v>2301</v>
      </c>
      <c r="E91" s="124">
        <v>42767</v>
      </c>
      <c r="F91" s="125">
        <v>0.4861111111111111</v>
      </c>
      <c r="G91" s="124">
        <v>42819</v>
      </c>
      <c r="H91" s="125">
        <v>0.42708333333333331</v>
      </c>
      <c r="I91" s="123">
        <v>898</v>
      </c>
      <c r="J91" s="123">
        <v>339</v>
      </c>
      <c r="K91" s="142" t="str">
        <f t="shared" si="4"/>
        <v>G339</v>
      </c>
      <c r="L91" s="123">
        <v>196</v>
      </c>
      <c r="M91" s="142" t="str">
        <f t="shared" si="5"/>
        <v>R196</v>
      </c>
      <c r="N91" s="123">
        <v>469</v>
      </c>
      <c r="O91" s="142" t="str">
        <f t="shared" si="6"/>
        <v>G469</v>
      </c>
      <c r="P91" s="123">
        <v>171</v>
      </c>
      <c r="Q91" s="142" t="str">
        <f t="shared" si="7"/>
        <v>R171</v>
      </c>
      <c r="R91" s="123">
        <v>24</v>
      </c>
      <c r="S91" s="123">
        <v>23.2</v>
      </c>
      <c r="T91" s="123">
        <v>24.9</v>
      </c>
      <c r="U91" s="123">
        <v>18.7</v>
      </c>
      <c r="V91" s="123"/>
      <c r="W91" s="126" t="s">
        <v>2195</v>
      </c>
      <c r="X91" s="126" t="s">
        <v>2182</v>
      </c>
      <c r="Y91" s="126"/>
      <c r="Z91" s="123">
        <v>35.799999999999997</v>
      </c>
      <c r="AA91" s="123" t="s">
        <v>2245</v>
      </c>
      <c r="AB91" s="123">
        <v>7.3</v>
      </c>
      <c r="AC91" s="123">
        <v>0</v>
      </c>
      <c r="AD91" s="123"/>
    </row>
    <row r="92" spans="1:30">
      <c r="A92" s="121">
        <v>90</v>
      </c>
      <c r="B92" s="122" t="s">
        <v>2271</v>
      </c>
      <c r="C92" s="122" t="s">
        <v>2302</v>
      </c>
      <c r="D92" s="122" t="s">
        <v>2301</v>
      </c>
      <c r="E92" s="124">
        <v>42767</v>
      </c>
      <c r="F92" s="125">
        <v>0.4861111111111111</v>
      </c>
      <c r="G92" s="124">
        <v>42819</v>
      </c>
      <c r="H92" s="125">
        <v>0.43055555555555558</v>
      </c>
      <c r="I92" s="123">
        <v>899</v>
      </c>
      <c r="J92" s="123">
        <v>592</v>
      </c>
      <c r="K92" s="142" t="str">
        <f t="shared" si="4"/>
        <v>G592</v>
      </c>
      <c r="L92" s="123">
        <v>94</v>
      </c>
      <c r="M92" s="142" t="str">
        <f t="shared" si="5"/>
        <v>R94</v>
      </c>
      <c r="N92" s="123">
        <v>355</v>
      </c>
      <c r="O92" s="142" t="str">
        <f t="shared" si="6"/>
        <v>G355</v>
      </c>
      <c r="P92">
        <v>517</v>
      </c>
      <c r="Q92" s="142" t="str">
        <f t="shared" si="7"/>
        <v>R517</v>
      </c>
      <c r="R92" s="123">
        <v>23.5</v>
      </c>
      <c r="S92" s="123">
        <v>30.4</v>
      </c>
      <c r="T92" s="123">
        <v>24.2</v>
      </c>
      <c r="U92" s="123">
        <v>24.6</v>
      </c>
      <c r="V92" s="123"/>
      <c r="W92" s="126" t="s">
        <v>2182</v>
      </c>
      <c r="X92" s="126"/>
      <c r="Y92" s="126" t="s">
        <v>2182</v>
      </c>
      <c r="Z92" s="123">
        <v>30.4</v>
      </c>
      <c r="AA92" s="123" t="s">
        <v>2245</v>
      </c>
      <c r="AB92" s="123">
        <v>7.7</v>
      </c>
      <c r="AC92" s="123">
        <v>0</v>
      </c>
      <c r="AD92" s="123"/>
    </row>
    <row r="93" spans="1:30">
      <c r="A93" s="121">
        <v>91</v>
      </c>
      <c r="B93" s="122" t="s">
        <v>2271</v>
      </c>
      <c r="C93" s="122" t="s">
        <v>2303</v>
      </c>
      <c r="D93" s="122" t="s">
        <v>2301</v>
      </c>
      <c r="E93" s="124">
        <v>42767</v>
      </c>
      <c r="F93" s="125">
        <v>0.48958333333333331</v>
      </c>
      <c r="G93" s="124">
        <v>42819</v>
      </c>
      <c r="H93" s="125">
        <v>0.45833333333333331</v>
      </c>
      <c r="I93" s="123">
        <v>900</v>
      </c>
      <c r="J93">
        <v>472</v>
      </c>
      <c r="K93" s="142" t="str">
        <f t="shared" si="4"/>
        <v>G472</v>
      </c>
      <c r="L93" s="123">
        <v>343</v>
      </c>
      <c r="M93" s="142" t="str">
        <f t="shared" si="5"/>
        <v>R343</v>
      </c>
      <c r="N93" s="123">
        <v>547</v>
      </c>
      <c r="O93" s="142" t="str">
        <f t="shared" si="6"/>
        <v>G547</v>
      </c>
      <c r="P93" s="123">
        <v>73</v>
      </c>
      <c r="Q93" s="142" t="str">
        <f t="shared" si="7"/>
        <v>R73</v>
      </c>
      <c r="R93" s="123">
        <v>23.9</v>
      </c>
      <c r="S93" s="123">
        <v>30.9</v>
      </c>
      <c r="T93" s="123">
        <v>24.8</v>
      </c>
      <c r="U93" s="123">
        <v>21.9</v>
      </c>
      <c r="V93" s="123" t="s">
        <v>2201</v>
      </c>
      <c r="W93" s="126" t="s">
        <v>2190</v>
      </c>
      <c r="X93" s="126" t="s">
        <v>2182</v>
      </c>
      <c r="Y93" s="126"/>
      <c r="Z93" s="123">
        <v>39.4</v>
      </c>
      <c r="AA93" s="123" t="s">
        <v>2245</v>
      </c>
      <c r="AB93" s="123">
        <v>6.1</v>
      </c>
      <c r="AC93" s="123">
        <v>1</v>
      </c>
      <c r="AD93" s="123"/>
    </row>
    <row r="94" spans="1:30">
      <c r="A94" s="121">
        <v>92</v>
      </c>
      <c r="B94" s="122" t="s">
        <v>2271</v>
      </c>
      <c r="C94" s="122" t="s">
        <v>2304</v>
      </c>
      <c r="D94" s="122" t="s">
        <v>2301</v>
      </c>
      <c r="E94" s="124">
        <v>42767</v>
      </c>
      <c r="F94" s="125">
        <v>0.49305555555555558</v>
      </c>
      <c r="G94" s="124">
        <v>42819</v>
      </c>
      <c r="H94" s="125">
        <v>0.40277777777777773</v>
      </c>
      <c r="I94" s="123">
        <v>901</v>
      </c>
      <c r="J94" s="123">
        <v>529</v>
      </c>
      <c r="K94" s="142" t="str">
        <f t="shared" si="4"/>
        <v>G529</v>
      </c>
      <c r="L94" s="123">
        <v>445</v>
      </c>
      <c r="M94" s="142" t="str">
        <f t="shared" si="5"/>
        <v>R445</v>
      </c>
      <c r="N94" s="123">
        <v>763</v>
      </c>
      <c r="O94" s="142" t="str">
        <f t="shared" si="6"/>
        <v>G763</v>
      </c>
      <c r="P94" s="129">
        <v>4</v>
      </c>
      <c r="Q94" s="142" t="str">
        <f t="shared" si="7"/>
        <v>R4</v>
      </c>
      <c r="R94" s="129">
        <v>22.3</v>
      </c>
      <c r="S94" s="129">
        <v>31.7</v>
      </c>
      <c r="T94" s="123">
        <v>22.9</v>
      </c>
      <c r="U94" s="123">
        <v>21.2</v>
      </c>
      <c r="V94" s="123" t="s">
        <v>2190</v>
      </c>
      <c r="W94" s="126" t="s">
        <v>2190</v>
      </c>
      <c r="X94" s="126" t="s">
        <v>2182</v>
      </c>
      <c r="Y94" s="126" t="s">
        <v>2182</v>
      </c>
      <c r="Z94" s="123">
        <v>24.8</v>
      </c>
      <c r="AA94" s="123" t="s">
        <v>2245</v>
      </c>
      <c r="AB94" s="123">
        <v>7.7</v>
      </c>
      <c r="AC94" s="123">
        <v>1</v>
      </c>
      <c r="AD94" s="123"/>
    </row>
    <row r="95" spans="1:30">
      <c r="A95" s="121">
        <v>93</v>
      </c>
      <c r="B95" s="122" t="s">
        <v>2271</v>
      </c>
      <c r="C95" s="122" t="s">
        <v>2305</v>
      </c>
      <c r="D95" s="122" t="s">
        <v>2301</v>
      </c>
      <c r="E95" s="124">
        <v>42767</v>
      </c>
      <c r="F95" s="125">
        <v>0.49652777777777773</v>
      </c>
      <c r="G95" s="124">
        <v>42819</v>
      </c>
      <c r="H95" s="125">
        <v>0.4375</v>
      </c>
      <c r="I95" s="123">
        <v>902</v>
      </c>
      <c r="J95" s="123">
        <v>636</v>
      </c>
      <c r="K95" s="142" t="str">
        <f t="shared" si="4"/>
        <v>G636</v>
      </c>
      <c r="L95" s="123">
        <v>12</v>
      </c>
      <c r="M95" s="142" t="str">
        <f t="shared" si="5"/>
        <v>R12</v>
      </c>
      <c r="N95" s="123">
        <v>424</v>
      </c>
      <c r="O95" s="142" t="str">
        <f t="shared" si="6"/>
        <v>G424</v>
      </c>
      <c r="P95" s="123">
        <v>136</v>
      </c>
      <c r="Q95" s="142" t="str">
        <f t="shared" si="7"/>
        <v>R136</v>
      </c>
      <c r="R95" s="123">
        <v>22.9</v>
      </c>
      <c r="S95" s="123">
        <v>29.6</v>
      </c>
      <c r="T95" s="123">
        <v>24.1</v>
      </c>
      <c r="U95" s="123">
        <v>20.9</v>
      </c>
      <c r="V95" s="123" t="s">
        <v>2182</v>
      </c>
      <c r="W95" s="126" t="s">
        <v>2174</v>
      </c>
      <c r="X95" s="126" t="s">
        <v>2182</v>
      </c>
      <c r="Y95" s="126" t="s">
        <v>2182</v>
      </c>
      <c r="Z95" s="123">
        <v>40</v>
      </c>
      <c r="AA95" s="123" t="s">
        <v>2245</v>
      </c>
      <c r="AB95" s="123">
        <v>6.6</v>
      </c>
      <c r="AC95" s="123">
        <v>1</v>
      </c>
      <c r="AD95" s="123"/>
    </row>
    <row r="96" spans="1:30">
      <c r="A96" s="168">
        <v>94</v>
      </c>
      <c r="B96" s="169" t="s">
        <v>2271</v>
      </c>
      <c r="C96" s="169" t="s">
        <v>2306</v>
      </c>
      <c r="D96" s="169" t="s">
        <v>2301</v>
      </c>
      <c r="E96" s="170">
        <v>42767</v>
      </c>
      <c r="F96" s="173">
        <v>0.5</v>
      </c>
      <c r="G96" s="124">
        <v>42819</v>
      </c>
      <c r="H96" s="168"/>
      <c r="I96" s="168">
        <v>903</v>
      </c>
      <c r="J96" s="168">
        <v>534</v>
      </c>
      <c r="K96" s="142" t="str">
        <f t="shared" si="4"/>
        <v>G534</v>
      </c>
      <c r="L96" s="168">
        <v>244</v>
      </c>
      <c r="M96" s="142" t="str">
        <f t="shared" si="5"/>
        <v>R244</v>
      </c>
      <c r="N96" s="168">
        <v>588</v>
      </c>
      <c r="O96" s="142" t="str">
        <f t="shared" si="6"/>
        <v>G588</v>
      </c>
      <c r="P96" s="168">
        <v>358</v>
      </c>
      <c r="Q96" s="142" t="str">
        <f t="shared" si="7"/>
        <v>R358</v>
      </c>
      <c r="R96" s="168">
        <v>22</v>
      </c>
      <c r="S96" s="168">
        <v>36.200000000000003</v>
      </c>
      <c r="T96" s="168"/>
      <c r="U96" s="168"/>
      <c r="V96" s="168"/>
      <c r="W96" s="171"/>
      <c r="X96" s="171"/>
      <c r="Y96" s="171"/>
      <c r="Z96" s="168"/>
      <c r="AA96" s="168"/>
      <c r="AB96" s="168"/>
      <c r="AC96" s="168"/>
      <c r="AD96" s="168"/>
    </row>
    <row r="97" spans="1:31">
      <c r="A97" s="121">
        <v>95</v>
      </c>
      <c r="B97" s="122" t="s">
        <v>2271</v>
      </c>
      <c r="C97" s="122" t="s">
        <v>2307</v>
      </c>
      <c r="D97" s="122" t="s">
        <v>2301</v>
      </c>
      <c r="E97" s="124">
        <v>42767</v>
      </c>
      <c r="F97" s="125">
        <v>0.5</v>
      </c>
      <c r="G97" s="124">
        <v>42819</v>
      </c>
      <c r="H97" s="125">
        <v>0.44444444444444442</v>
      </c>
      <c r="I97" s="123">
        <v>904</v>
      </c>
      <c r="J97" s="123">
        <v>641</v>
      </c>
      <c r="K97" s="142" t="str">
        <f t="shared" si="4"/>
        <v>G641</v>
      </c>
      <c r="L97" s="123">
        <v>360</v>
      </c>
      <c r="M97" s="142" t="str">
        <f t="shared" si="5"/>
        <v>R360</v>
      </c>
      <c r="N97" s="123">
        <v>486</v>
      </c>
      <c r="O97" s="142" t="str">
        <f t="shared" si="6"/>
        <v>G486</v>
      </c>
      <c r="P97" s="123">
        <v>547</v>
      </c>
      <c r="Q97" s="142" t="str">
        <f t="shared" si="7"/>
        <v>R547</v>
      </c>
      <c r="R97" s="123">
        <v>23</v>
      </c>
      <c r="S97" s="123">
        <v>37.6</v>
      </c>
      <c r="T97" s="123">
        <v>23.4</v>
      </c>
      <c r="U97" s="123">
        <v>20.100000000000001</v>
      </c>
      <c r="V97" s="123" t="s">
        <v>2225</v>
      </c>
      <c r="W97" s="126" t="s">
        <v>2195</v>
      </c>
      <c r="X97" s="126" t="s">
        <v>2182</v>
      </c>
      <c r="Y97" s="126" t="s">
        <v>2182</v>
      </c>
      <c r="Z97" s="123">
        <v>15.2</v>
      </c>
      <c r="AA97" s="123" t="s">
        <v>2245</v>
      </c>
      <c r="AB97" s="123">
        <v>5.4</v>
      </c>
      <c r="AC97" s="123">
        <v>0</v>
      </c>
      <c r="AD97" s="123"/>
    </row>
    <row r="98" spans="1:31">
      <c r="A98" s="121">
        <v>96</v>
      </c>
      <c r="B98" s="122" t="s">
        <v>2271</v>
      </c>
      <c r="C98" s="122" t="s">
        <v>2308</v>
      </c>
      <c r="D98" s="122" t="s">
        <v>2301</v>
      </c>
      <c r="E98" s="124">
        <v>42767</v>
      </c>
      <c r="F98" s="125">
        <v>0.50347222222222221</v>
      </c>
      <c r="G98" s="124">
        <v>42819</v>
      </c>
      <c r="H98" s="125">
        <v>0.4513888888888889</v>
      </c>
      <c r="I98" s="123">
        <v>905</v>
      </c>
      <c r="J98" s="123">
        <v>479</v>
      </c>
      <c r="K98" s="142" t="str">
        <f t="shared" si="4"/>
        <v>G479</v>
      </c>
      <c r="L98" s="123">
        <v>318</v>
      </c>
      <c r="M98" s="142" t="str">
        <f t="shared" si="5"/>
        <v>R318</v>
      </c>
      <c r="N98" s="123">
        <v>545</v>
      </c>
      <c r="O98" s="142" t="str">
        <f t="shared" si="6"/>
        <v>G545</v>
      </c>
      <c r="P98" s="123">
        <v>588</v>
      </c>
      <c r="Q98" s="142" t="str">
        <f t="shared" si="7"/>
        <v>R588</v>
      </c>
      <c r="R98" s="123">
        <v>24.6</v>
      </c>
      <c r="S98" s="123">
        <v>13.2</v>
      </c>
      <c r="T98" s="123">
        <v>24</v>
      </c>
      <c r="U98" s="123">
        <v>20.399999999999999</v>
      </c>
      <c r="V98" s="123" t="s">
        <v>2182</v>
      </c>
      <c r="W98" s="126" t="s">
        <v>2190</v>
      </c>
      <c r="X98" s="126" t="s">
        <v>2182</v>
      </c>
      <c r="Y98" s="126"/>
      <c r="Z98" s="123">
        <v>34.4</v>
      </c>
      <c r="AA98" s="123" t="s">
        <v>2245</v>
      </c>
      <c r="AB98" s="123">
        <v>4</v>
      </c>
      <c r="AC98" s="123">
        <v>0</v>
      </c>
      <c r="AD98" s="123"/>
    </row>
    <row r="99" spans="1:31">
      <c r="A99" s="121">
        <v>97</v>
      </c>
      <c r="B99" s="122" t="s">
        <v>2649</v>
      </c>
      <c r="C99" s="122" t="s">
        <v>2310</v>
      </c>
      <c r="D99" s="122" t="s">
        <v>2173</v>
      </c>
      <c r="E99" s="124">
        <v>42762</v>
      </c>
      <c r="F99" s="125">
        <v>0.61111111111111105</v>
      </c>
      <c r="G99" s="124">
        <v>42816</v>
      </c>
      <c r="H99" s="125">
        <v>0.53472222222222221</v>
      </c>
      <c r="I99" s="123">
        <v>718</v>
      </c>
      <c r="J99" s="123">
        <v>741</v>
      </c>
      <c r="K99" s="142" t="str">
        <f t="shared" si="4"/>
        <v>G741</v>
      </c>
      <c r="L99" s="123">
        <v>518</v>
      </c>
      <c r="M99" s="142" t="str">
        <f t="shared" si="5"/>
        <v>R518</v>
      </c>
      <c r="N99" s="123">
        <v>847</v>
      </c>
      <c r="O99" s="142" t="str">
        <f t="shared" si="6"/>
        <v>G847</v>
      </c>
      <c r="P99" s="123">
        <v>576</v>
      </c>
      <c r="Q99" s="142" t="str">
        <f t="shared" si="7"/>
        <v>R576</v>
      </c>
      <c r="R99" s="123">
        <v>30.3</v>
      </c>
      <c r="S99" s="123">
        <v>10</v>
      </c>
      <c r="T99" s="123">
        <v>27.2</v>
      </c>
      <c r="U99" s="123">
        <v>28.5</v>
      </c>
      <c r="V99" s="123"/>
      <c r="W99" s="126" t="s">
        <v>2190</v>
      </c>
      <c r="X99" s="126"/>
      <c r="Y99" s="126"/>
      <c r="Z99" s="123">
        <v>8.9</v>
      </c>
      <c r="AA99" s="123" t="s">
        <v>2223</v>
      </c>
      <c r="AB99" s="123">
        <v>2.4</v>
      </c>
      <c r="AC99" s="123">
        <v>1</v>
      </c>
      <c r="AD99" s="123"/>
    </row>
    <row r="100" spans="1:31">
      <c r="A100" s="121">
        <v>98</v>
      </c>
      <c r="B100" s="122" t="s">
        <v>2649</v>
      </c>
      <c r="C100" s="122" t="s">
        <v>2311</v>
      </c>
      <c r="D100" s="122" t="s">
        <v>2173</v>
      </c>
      <c r="E100" s="124">
        <v>42762</v>
      </c>
      <c r="F100" s="125">
        <v>0.61111111111111105</v>
      </c>
      <c r="G100" s="124">
        <v>42816</v>
      </c>
      <c r="H100" s="125">
        <v>0.53819444444444442</v>
      </c>
      <c r="I100" s="123">
        <v>719</v>
      </c>
      <c r="J100" s="123">
        <v>610</v>
      </c>
      <c r="K100" s="142" t="str">
        <f t="shared" si="4"/>
        <v>G610</v>
      </c>
      <c r="L100" s="123">
        <v>489</v>
      </c>
      <c r="M100" s="142" t="str">
        <f t="shared" si="5"/>
        <v>R489</v>
      </c>
      <c r="N100" s="123">
        <v>730</v>
      </c>
      <c r="O100" s="142" t="str">
        <f t="shared" si="6"/>
        <v>G730</v>
      </c>
      <c r="P100" s="123">
        <v>561</v>
      </c>
      <c r="Q100" s="142" t="str">
        <f t="shared" si="7"/>
        <v>R561</v>
      </c>
      <c r="R100" s="123">
        <v>32.6</v>
      </c>
      <c r="S100" s="123">
        <v>9.8000000000000007</v>
      </c>
      <c r="T100" s="123">
        <v>27.1</v>
      </c>
      <c r="U100" s="123">
        <v>34.700000000000003</v>
      </c>
      <c r="V100" s="123"/>
      <c r="W100" s="126"/>
      <c r="X100" s="126"/>
      <c r="Y100" s="126"/>
      <c r="Z100" s="123">
        <v>4.45</v>
      </c>
      <c r="AA100" s="123" t="s">
        <v>2223</v>
      </c>
      <c r="AB100" s="123">
        <v>7.8</v>
      </c>
      <c r="AC100" s="123">
        <v>1</v>
      </c>
      <c r="AD100" s="123"/>
    </row>
    <row r="101" spans="1:31">
      <c r="A101" s="121">
        <v>99</v>
      </c>
      <c r="B101" s="122" t="s">
        <v>2649</v>
      </c>
      <c r="C101" s="122" t="s">
        <v>2312</v>
      </c>
      <c r="D101" s="122" t="s">
        <v>2173</v>
      </c>
      <c r="E101" s="124">
        <v>42762</v>
      </c>
      <c r="F101" s="125">
        <v>0.61458333333333337</v>
      </c>
      <c r="G101" s="124">
        <v>42816</v>
      </c>
      <c r="H101" s="125">
        <v>0.54166666666666663</v>
      </c>
      <c r="I101" s="123">
        <v>720</v>
      </c>
      <c r="J101" s="123">
        <v>765</v>
      </c>
      <c r="K101" s="142" t="str">
        <f t="shared" si="4"/>
        <v>G765</v>
      </c>
      <c r="L101" s="123">
        <v>549</v>
      </c>
      <c r="M101" s="142" t="str">
        <f t="shared" si="5"/>
        <v>R549</v>
      </c>
      <c r="N101" s="123">
        <v>691</v>
      </c>
      <c r="O101" s="142" t="str">
        <f t="shared" si="6"/>
        <v>G691</v>
      </c>
      <c r="P101" s="123">
        <v>496</v>
      </c>
      <c r="Q101" s="142" t="str">
        <f t="shared" si="7"/>
        <v>R496</v>
      </c>
      <c r="R101" s="123">
        <v>35.6</v>
      </c>
      <c r="S101" s="123">
        <v>8.9</v>
      </c>
      <c r="T101" s="123">
        <v>26.1</v>
      </c>
      <c r="U101" s="123">
        <v>27</v>
      </c>
      <c r="V101" s="123" t="s">
        <v>2182</v>
      </c>
      <c r="W101" s="126" t="s">
        <v>2182</v>
      </c>
      <c r="X101" s="126"/>
      <c r="Y101" s="126"/>
      <c r="Z101" s="123">
        <v>2.2999999999999998</v>
      </c>
      <c r="AA101" s="123" t="s">
        <v>2223</v>
      </c>
      <c r="AB101" s="123">
        <v>5.0999999999999996</v>
      </c>
      <c r="AC101" s="123">
        <v>0</v>
      </c>
      <c r="AD101" s="123"/>
    </row>
    <row r="102" spans="1:31">
      <c r="A102" s="121">
        <v>100</v>
      </c>
      <c r="B102" s="122" t="s">
        <v>2649</v>
      </c>
      <c r="C102" s="122" t="s">
        <v>2313</v>
      </c>
      <c r="D102" s="122" t="s">
        <v>2173</v>
      </c>
      <c r="E102" s="124">
        <v>42762</v>
      </c>
      <c r="F102" s="125">
        <v>0.61805555555555558</v>
      </c>
      <c r="G102" s="124">
        <v>42816</v>
      </c>
      <c r="H102" s="125">
        <v>0.54513888888888895</v>
      </c>
      <c r="I102" s="123">
        <v>721</v>
      </c>
      <c r="J102" s="123">
        <v>728</v>
      </c>
      <c r="K102" s="142" t="str">
        <f t="shared" si="4"/>
        <v>G728</v>
      </c>
      <c r="L102" s="123">
        <v>500</v>
      </c>
      <c r="M102" s="142" t="str">
        <f t="shared" si="5"/>
        <v>R500</v>
      </c>
      <c r="N102" s="123">
        <v>828</v>
      </c>
      <c r="O102" s="142" t="str">
        <f t="shared" si="6"/>
        <v>G828</v>
      </c>
      <c r="P102" s="123">
        <v>497</v>
      </c>
      <c r="Q102" s="142" t="str">
        <f t="shared" si="7"/>
        <v>R497</v>
      </c>
      <c r="R102" s="123">
        <v>34.4</v>
      </c>
      <c r="S102" s="123">
        <v>8.9</v>
      </c>
      <c r="T102" s="123">
        <v>25.3</v>
      </c>
      <c r="U102" s="123">
        <v>24.1</v>
      </c>
      <c r="V102" s="123" t="s">
        <v>2314</v>
      </c>
      <c r="W102" s="126" t="s">
        <v>2190</v>
      </c>
      <c r="X102" s="126"/>
      <c r="Y102" s="126"/>
      <c r="Z102" s="123">
        <v>15</v>
      </c>
      <c r="AA102" s="123" t="s">
        <v>2223</v>
      </c>
      <c r="AB102" s="123">
        <v>1.6</v>
      </c>
      <c r="AC102" s="123">
        <v>1</v>
      </c>
      <c r="AD102" s="123"/>
    </row>
    <row r="103" spans="1:31">
      <c r="A103" s="121">
        <v>101</v>
      </c>
      <c r="B103" s="122" t="s">
        <v>2649</v>
      </c>
      <c r="C103" s="122" t="s">
        <v>2315</v>
      </c>
      <c r="D103" s="122" t="s">
        <v>2173</v>
      </c>
      <c r="E103" s="124">
        <v>42762</v>
      </c>
      <c r="F103" s="125">
        <v>0.61805555555555558</v>
      </c>
      <c r="G103" s="124">
        <v>42816</v>
      </c>
      <c r="H103" s="125">
        <v>0.54861111111111105</v>
      </c>
      <c r="I103" s="123">
        <v>722</v>
      </c>
      <c r="J103" s="123">
        <v>808</v>
      </c>
      <c r="K103" s="142" t="str">
        <f t="shared" si="4"/>
        <v>G808</v>
      </c>
      <c r="L103" s="123">
        <v>482</v>
      </c>
      <c r="M103" s="142" t="str">
        <f t="shared" si="5"/>
        <v>R482</v>
      </c>
      <c r="N103" s="123">
        <v>875</v>
      </c>
      <c r="O103" s="142" t="str">
        <f t="shared" si="6"/>
        <v>G875</v>
      </c>
      <c r="P103" s="123">
        <v>10</v>
      </c>
      <c r="Q103" s="142" t="str">
        <f t="shared" si="7"/>
        <v>R10</v>
      </c>
      <c r="R103" s="123">
        <v>34.700000000000003</v>
      </c>
      <c r="S103" s="123">
        <v>11.3</v>
      </c>
      <c r="T103" s="123">
        <v>27.6</v>
      </c>
      <c r="U103" s="123">
        <v>33.799999999999997</v>
      </c>
      <c r="V103" s="123" t="s">
        <v>2174</v>
      </c>
      <c r="W103" s="126"/>
      <c r="X103" s="126"/>
      <c r="Y103" s="126"/>
      <c r="Z103" s="123">
        <v>17</v>
      </c>
      <c r="AA103" s="123" t="s">
        <v>2223</v>
      </c>
      <c r="AB103" s="123">
        <v>4.3499999999999996</v>
      </c>
      <c r="AC103" s="123">
        <v>1</v>
      </c>
      <c r="AD103" s="123"/>
    </row>
    <row r="104" spans="1:31">
      <c r="A104" s="121">
        <v>102</v>
      </c>
      <c r="B104" s="122" t="s">
        <v>2649</v>
      </c>
      <c r="C104" s="122" t="s">
        <v>2316</v>
      </c>
      <c r="D104" s="122" t="s">
        <v>2173</v>
      </c>
      <c r="E104" s="124">
        <v>42762</v>
      </c>
      <c r="F104" s="125">
        <v>0.62152777777777779</v>
      </c>
      <c r="G104" s="124">
        <v>42816</v>
      </c>
      <c r="H104" s="125">
        <v>0.54861111111111105</v>
      </c>
      <c r="I104" s="123">
        <v>723</v>
      </c>
      <c r="J104" s="123">
        <v>892</v>
      </c>
      <c r="K104" s="142" t="str">
        <f t="shared" si="4"/>
        <v>G892</v>
      </c>
      <c r="L104" s="123">
        <v>569</v>
      </c>
      <c r="M104" s="142" t="str">
        <f t="shared" si="5"/>
        <v>R569</v>
      </c>
      <c r="N104" s="123">
        <v>824</v>
      </c>
      <c r="O104" s="142" t="str">
        <f t="shared" si="6"/>
        <v>G824</v>
      </c>
      <c r="P104" s="123">
        <v>26</v>
      </c>
      <c r="Q104" s="142" t="str">
        <f t="shared" si="7"/>
        <v>R26</v>
      </c>
      <c r="R104" s="123">
        <v>36.6</v>
      </c>
      <c r="S104" s="123">
        <v>7.4</v>
      </c>
      <c r="T104" s="123">
        <v>27</v>
      </c>
      <c r="U104" s="123">
        <v>34.799999999999997</v>
      </c>
      <c r="V104" s="123"/>
      <c r="W104" s="126"/>
      <c r="X104" s="126"/>
      <c r="Y104" s="126"/>
      <c r="Z104" s="123">
        <v>21</v>
      </c>
      <c r="AA104" s="123" t="s">
        <v>2223</v>
      </c>
      <c r="AB104" s="123">
        <v>7.7</v>
      </c>
      <c r="AC104" s="123">
        <v>1</v>
      </c>
      <c r="AD104" s="123"/>
    </row>
    <row r="105" spans="1:31">
      <c r="A105" s="121">
        <v>103</v>
      </c>
      <c r="B105" s="122" t="s">
        <v>2649</v>
      </c>
      <c r="C105" s="122" t="s">
        <v>2317</v>
      </c>
      <c r="D105" s="122" t="s">
        <v>2173</v>
      </c>
      <c r="E105" s="124">
        <v>42762</v>
      </c>
      <c r="F105" s="125">
        <v>0.62152777777777779</v>
      </c>
      <c r="G105" s="124">
        <v>42816</v>
      </c>
      <c r="H105" s="125">
        <v>0.54861111111111105</v>
      </c>
      <c r="I105" s="123">
        <v>724</v>
      </c>
      <c r="J105" s="123">
        <v>869</v>
      </c>
      <c r="K105" s="142" t="str">
        <f t="shared" si="4"/>
        <v>G869</v>
      </c>
      <c r="L105" s="123">
        <v>430</v>
      </c>
      <c r="M105" s="142" t="str">
        <f t="shared" si="5"/>
        <v>R430</v>
      </c>
      <c r="N105" s="123">
        <v>692</v>
      </c>
      <c r="O105" s="142" t="str">
        <f t="shared" si="6"/>
        <v>G692</v>
      </c>
      <c r="P105" s="123">
        <v>494</v>
      </c>
      <c r="Q105" s="142" t="str">
        <f t="shared" si="7"/>
        <v>R494</v>
      </c>
      <c r="R105" s="123">
        <v>34.299999999999997</v>
      </c>
      <c r="S105" s="123">
        <v>9.8000000000000007</v>
      </c>
      <c r="T105" s="123">
        <v>26.2</v>
      </c>
      <c r="U105" s="123">
        <v>31.1</v>
      </c>
      <c r="V105" s="123"/>
      <c r="W105" s="126"/>
      <c r="X105" s="126"/>
      <c r="Y105" s="126" t="s">
        <v>2182</v>
      </c>
      <c r="Z105" s="123">
        <v>16</v>
      </c>
      <c r="AA105" s="123" t="s">
        <v>2223</v>
      </c>
      <c r="AB105" s="123">
        <v>3.25</v>
      </c>
      <c r="AC105" s="123">
        <v>1</v>
      </c>
      <c r="AD105" s="123"/>
      <c r="AE105" s="92"/>
    </row>
    <row r="106" spans="1:31">
      <c r="A106" s="121">
        <v>104</v>
      </c>
      <c r="B106" s="122" t="s">
        <v>2649</v>
      </c>
      <c r="C106" s="122" t="s">
        <v>2318</v>
      </c>
      <c r="D106" s="122" t="s">
        <v>2173</v>
      </c>
      <c r="E106" s="124">
        <v>42762</v>
      </c>
      <c r="F106" s="125">
        <v>0.625</v>
      </c>
      <c r="G106" s="124">
        <v>42816</v>
      </c>
      <c r="H106" s="125">
        <v>0.54861111111111105</v>
      </c>
      <c r="I106" s="123">
        <v>725</v>
      </c>
      <c r="J106" s="123">
        <v>881</v>
      </c>
      <c r="K106" s="142" t="str">
        <f t="shared" si="4"/>
        <v>G881</v>
      </c>
      <c r="L106" s="123">
        <v>577</v>
      </c>
      <c r="M106" s="142" t="str">
        <f t="shared" si="5"/>
        <v>R577</v>
      </c>
      <c r="N106" s="123">
        <v>806</v>
      </c>
      <c r="O106" s="142" t="str">
        <f t="shared" si="6"/>
        <v>G806</v>
      </c>
      <c r="P106" s="123">
        <v>475</v>
      </c>
      <c r="Q106" s="142" t="str">
        <f t="shared" si="7"/>
        <v>R475</v>
      </c>
      <c r="R106" s="123">
        <v>32.5</v>
      </c>
      <c r="S106" s="123">
        <v>10</v>
      </c>
      <c r="T106" s="123">
        <v>26.1</v>
      </c>
      <c r="U106" s="123">
        <v>33.200000000000003</v>
      </c>
      <c r="V106" s="123"/>
      <c r="W106" s="126"/>
      <c r="X106" s="126"/>
      <c r="Y106" s="126"/>
      <c r="Z106" s="123">
        <v>17</v>
      </c>
      <c r="AA106" s="123" t="s">
        <v>2223</v>
      </c>
      <c r="AB106" s="123">
        <v>10.5</v>
      </c>
      <c r="AC106" s="123">
        <v>1</v>
      </c>
      <c r="AD106" s="123"/>
    </row>
    <row r="107" spans="1:31">
      <c r="A107" s="121">
        <v>105</v>
      </c>
      <c r="B107" s="122" t="s">
        <v>2649</v>
      </c>
      <c r="C107" s="122" t="s">
        <v>2319</v>
      </c>
      <c r="D107" s="122" t="s">
        <v>2189</v>
      </c>
      <c r="E107" s="124">
        <v>42762</v>
      </c>
      <c r="F107" s="125">
        <v>0.63194444444444442</v>
      </c>
      <c r="G107" s="124">
        <v>42816</v>
      </c>
      <c r="H107" s="125">
        <v>0.52083333333333337</v>
      </c>
      <c r="I107" s="123">
        <v>726</v>
      </c>
      <c r="J107" s="123">
        <v>729</v>
      </c>
      <c r="K107" s="142" t="str">
        <f t="shared" si="4"/>
        <v>G729</v>
      </c>
      <c r="L107" s="123">
        <v>548</v>
      </c>
      <c r="M107" s="142" t="str">
        <f t="shared" si="5"/>
        <v>R548</v>
      </c>
      <c r="N107" s="123">
        <v>861</v>
      </c>
      <c r="O107" s="142" t="str">
        <f t="shared" si="6"/>
        <v>G861</v>
      </c>
      <c r="P107">
        <v>540</v>
      </c>
      <c r="Q107" s="142" t="str">
        <f t="shared" si="7"/>
        <v>R540</v>
      </c>
      <c r="R107" s="123">
        <v>36.200000000000003</v>
      </c>
      <c r="S107" s="123">
        <v>4.5999999999999996</v>
      </c>
      <c r="T107" s="123">
        <v>28.1</v>
      </c>
      <c r="U107" s="123">
        <v>18.100000000000001</v>
      </c>
      <c r="V107" s="123"/>
      <c r="W107" s="126" t="s">
        <v>2182</v>
      </c>
      <c r="X107" s="126"/>
      <c r="Y107" s="126" t="s">
        <v>2182</v>
      </c>
      <c r="Z107" s="123">
        <v>23.5</v>
      </c>
      <c r="AA107" s="123" t="s">
        <v>2175</v>
      </c>
      <c r="AB107" s="123">
        <v>5.5</v>
      </c>
      <c r="AC107" s="123">
        <v>0</v>
      </c>
      <c r="AD107" s="123"/>
    </row>
    <row r="108" spans="1:31">
      <c r="A108" s="121">
        <v>106</v>
      </c>
      <c r="B108" s="122" t="s">
        <v>2649</v>
      </c>
      <c r="C108" s="122" t="s">
        <v>2320</v>
      </c>
      <c r="D108" s="122" t="s">
        <v>2189</v>
      </c>
      <c r="E108" s="124">
        <v>42762</v>
      </c>
      <c r="F108" s="125">
        <v>0.63194444444444442</v>
      </c>
      <c r="G108" s="124">
        <v>42816</v>
      </c>
      <c r="H108" s="125">
        <v>0.51736111111111105</v>
      </c>
      <c r="I108" s="123">
        <v>727</v>
      </c>
      <c r="J108" s="123">
        <v>837</v>
      </c>
      <c r="K108" s="142" t="str">
        <f t="shared" si="4"/>
        <v>G837</v>
      </c>
      <c r="L108" s="123">
        <v>590</v>
      </c>
      <c r="M108" s="142" t="str">
        <f t="shared" si="5"/>
        <v>R590</v>
      </c>
      <c r="N108" s="123">
        <v>738</v>
      </c>
      <c r="O108" s="142" t="str">
        <f t="shared" si="6"/>
        <v>G738</v>
      </c>
      <c r="P108" s="123">
        <v>593</v>
      </c>
      <c r="Q108" s="142" t="str">
        <f t="shared" si="7"/>
        <v>R593</v>
      </c>
      <c r="R108" s="123">
        <v>37.1</v>
      </c>
      <c r="S108" s="123">
        <v>8.3000000000000007</v>
      </c>
      <c r="T108" s="123">
        <v>28.8</v>
      </c>
      <c r="U108" s="123">
        <v>16.5</v>
      </c>
      <c r="V108" s="123" t="s">
        <v>2182</v>
      </c>
      <c r="W108" s="126" t="s">
        <v>2182</v>
      </c>
      <c r="X108" s="126" t="s">
        <v>2182</v>
      </c>
      <c r="Y108" s="126" t="s">
        <v>2182</v>
      </c>
      <c r="Z108" s="123">
        <v>17</v>
      </c>
      <c r="AA108" s="123" t="s">
        <v>2175</v>
      </c>
      <c r="AB108" s="123">
        <v>8.6</v>
      </c>
      <c r="AC108" s="123">
        <v>0</v>
      </c>
      <c r="AD108" s="123"/>
    </row>
    <row r="109" spans="1:31">
      <c r="A109" s="121">
        <v>107</v>
      </c>
      <c r="B109" s="122" t="s">
        <v>2649</v>
      </c>
      <c r="C109" s="122" t="s">
        <v>2321</v>
      </c>
      <c r="D109" s="122" t="s">
        <v>2189</v>
      </c>
      <c r="E109" s="124">
        <v>42762</v>
      </c>
      <c r="F109" s="125">
        <v>0.63541666666666663</v>
      </c>
      <c r="G109" s="124">
        <v>42816</v>
      </c>
      <c r="H109" s="125">
        <v>0.52430555555555558</v>
      </c>
      <c r="I109" s="123">
        <v>728</v>
      </c>
      <c r="J109" s="123">
        <v>688</v>
      </c>
      <c r="K109" s="142" t="str">
        <f t="shared" si="4"/>
        <v>G688</v>
      </c>
      <c r="L109" s="123">
        <v>574</v>
      </c>
      <c r="M109" s="142" t="str">
        <f t="shared" si="5"/>
        <v>R574</v>
      </c>
      <c r="N109" s="123">
        <v>676</v>
      </c>
      <c r="O109" s="142" t="str">
        <f t="shared" si="6"/>
        <v>G676</v>
      </c>
      <c r="P109" s="123">
        <v>510</v>
      </c>
      <c r="Q109" s="142" t="str">
        <f t="shared" si="7"/>
        <v>R510</v>
      </c>
      <c r="R109" s="123">
        <v>35.299999999999997</v>
      </c>
      <c r="S109" s="123">
        <v>4.7</v>
      </c>
      <c r="T109" s="123">
        <v>29.6</v>
      </c>
      <c r="U109" s="123">
        <v>17.899999999999999</v>
      </c>
      <c r="V109" s="123" t="s">
        <v>2182</v>
      </c>
      <c r="W109" s="126"/>
      <c r="X109" s="126" t="s">
        <v>2182</v>
      </c>
      <c r="Y109" s="126"/>
      <c r="Z109" s="123">
        <v>15.5</v>
      </c>
      <c r="AA109" s="123" t="s">
        <v>2175</v>
      </c>
      <c r="AB109" s="123">
        <v>3.85</v>
      </c>
      <c r="AC109" s="123">
        <v>0</v>
      </c>
      <c r="AD109" s="123"/>
    </row>
    <row r="110" spans="1:31">
      <c r="A110" s="121">
        <v>108</v>
      </c>
      <c r="B110" s="122" t="s">
        <v>2649</v>
      </c>
      <c r="C110" s="122" t="s">
        <v>2322</v>
      </c>
      <c r="D110" s="122" t="s">
        <v>2189</v>
      </c>
      <c r="E110" s="124">
        <v>42762</v>
      </c>
      <c r="F110" s="125">
        <v>0.63541666666666663</v>
      </c>
      <c r="G110" s="124">
        <v>42816</v>
      </c>
      <c r="H110" s="125">
        <v>0.52430555555555558</v>
      </c>
      <c r="I110" s="123">
        <v>729</v>
      </c>
      <c r="J110" s="123">
        <v>883</v>
      </c>
      <c r="K110" s="142" t="str">
        <f t="shared" si="4"/>
        <v>G883</v>
      </c>
      <c r="L110" s="123">
        <v>8</v>
      </c>
      <c r="M110" s="142" t="str">
        <f t="shared" si="5"/>
        <v>R8</v>
      </c>
      <c r="N110" s="123">
        <v>845</v>
      </c>
      <c r="O110" s="142" t="str">
        <f t="shared" si="6"/>
        <v>G845</v>
      </c>
      <c r="P110" s="123">
        <v>509</v>
      </c>
      <c r="Q110" s="142" t="str">
        <f t="shared" si="7"/>
        <v>R509</v>
      </c>
      <c r="R110" s="123">
        <v>35.1</v>
      </c>
      <c r="S110" s="123">
        <v>5.5</v>
      </c>
      <c r="T110" s="123">
        <v>28</v>
      </c>
      <c r="U110" s="123">
        <v>24.7</v>
      </c>
      <c r="V110" s="123" t="s">
        <v>2182</v>
      </c>
      <c r="W110" s="126" t="s">
        <v>2174</v>
      </c>
      <c r="X110" s="126" t="s">
        <v>2182</v>
      </c>
      <c r="Y110" s="126" t="s">
        <v>2182</v>
      </c>
      <c r="Z110" s="123">
        <v>22.5</v>
      </c>
      <c r="AA110" s="123" t="s">
        <v>2175</v>
      </c>
      <c r="AB110" s="123">
        <v>9.6999999999999993</v>
      </c>
      <c r="AC110" s="123">
        <v>0</v>
      </c>
      <c r="AD110" s="123" t="s">
        <v>2323</v>
      </c>
    </row>
    <row r="111" spans="1:31">
      <c r="A111" s="121">
        <v>109</v>
      </c>
      <c r="B111" s="122" t="s">
        <v>2649</v>
      </c>
      <c r="C111" s="122" t="s">
        <v>2324</v>
      </c>
      <c r="D111" s="122" t="s">
        <v>2189</v>
      </c>
      <c r="E111" s="124">
        <v>42762</v>
      </c>
      <c r="F111" s="125">
        <v>0.63888888888888895</v>
      </c>
      <c r="G111" s="124">
        <v>42816</v>
      </c>
      <c r="H111" s="125">
        <v>0.52847222222222223</v>
      </c>
      <c r="I111" s="123">
        <v>730</v>
      </c>
      <c r="J111" s="123">
        <v>704</v>
      </c>
      <c r="K111" s="142" t="str">
        <f t="shared" si="4"/>
        <v>G704</v>
      </c>
      <c r="L111" s="123">
        <v>552</v>
      </c>
      <c r="M111" s="142" t="str">
        <f t="shared" si="5"/>
        <v>R552</v>
      </c>
      <c r="N111" s="123">
        <v>887</v>
      </c>
      <c r="O111" s="142" t="str">
        <f t="shared" si="6"/>
        <v>G887</v>
      </c>
      <c r="P111" s="123">
        <v>33</v>
      </c>
      <c r="Q111" s="142" t="str">
        <f t="shared" si="7"/>
        <v>R33</v>
      </c>
      <c r="R111" s="123">
        <v>38.200000000000003</v>
      </c>
      <c r="S111" s="123">
        <v>8.3000000000000007</v>
      </c>
      <c r="T111" s="123">
        <v>28.8</v>
      </c>
      <c r="U111" s="123">
        <v>9.6999999999999993</v>
      </c>
      <c r="V111" s="123" t="s">
        <v>2174</v>
      </c>
      <c r="W111" s="126"/>
      <c r="X111" s="126"/>
      <c r="Y111" s="126"/>
      <c r="Z111" s="123">
        <v>22.5</v>
      </c>
      <c r="AA111" s="123" t="s">
        <v>2175</v>
      </c>
      <c r="AB111" s="123">
        <v>10.5</v>
      </c>
      <c r="AC111" s="123">
        <v>0</v>
      </c>
      <c r="AD111" s="123"/>
    </row>
    <row r="112" spans="1:31">
      <c r="A112" s="121">
        <v>110</v>
      </c>
      <c r="B112" s="122" t="s">
        <v>2649</v>
      </c>
      <c r="C112" s="122" t="s">
        <v>2325</v>
      </c>
      <c r="D112" s="122" t="s">
        <v>2189</v>
      </c>
      <c r="E112" s="124">
        <v>42762</v>
      </c>
      <c r="F112" s="125">
        <v>0.64236111111111105</v>
      </c>
      <c r="G112" s="124">
        <v>42816</v>
      </c>
      <c r="H112" s="125">
        <v>0.51388888888888895</v>
      </c>
      <c r="I112" s="123">
        <v>731</v>
      </c>
      <c r="J112" s="123">
        <v>742</v>
      </c>
      <c r="K112" s="142" t="str">
        <f t="shared" si="4"/>
        <v>G742</v>
      </c>
      <c r="L112" s="123">
        <v>462</v>
      </c>
      <c r="M112" s="142" t="str">
        <f t="shared" si="5"/>
        <v>R462</v>
      </c>
      <c r="N112" s="177">
        <v>882</v>
      </c>
      <c r="O112" s="142" t="str">
        <f t="shared" si="6"/>
        <v>G882</v>
      </c>
      <c r="P112">
        <v>54</v>
      </c>
      <c r="Q112" s="142" t="str">
        <f t="shared" si="7"/>
        <v>R54</v>
      </c>
      <c r="R112" s="123">
        <v>33.6</v>
      </c>
      <c r="S112" s="123">
        <v>9.3000000000000007</v>
      </c>
      <c r="T112" s="123">
        <v>27.4</v>
      </c>
      <c r="U112" s="123">
        <v>24.6</v>
      </c>
      <c r="V112" s="123"/>
      <c r="W112" s="126"/>
      <c r="X112" s="126"/>
      <c r="Y112" s="126" t="s">
        <v>2182</v>
      </c>
      <c r="Z112" s="123">
        <v>22.5</v>
      </c>
      <c r="AA112" s="123" t="s">
        <v>2175</v>
      </c>
      <c r="AB112" s="123">
        <v>5.75</v>
      </c>
      <c r="AC112" s="123">
        <v>0</v>
      </c>
      <c r="AD112" s="123"/>
    </row>
    <row r="113" spans="1:30">
      <c r="A113" s="121">
        <v>111</v>
      </c>
      <c r="B113" s="122" t="s">
        <v>2649</v>
      </c>
      <c r="C113" s="122" t="s">
        <v>2326</v>
      </c>
      <c r="D113" s="122" t="s">
        <v>2189</v>
      </c>
      <c r="E113" s="124">
        <v>42762</v>
      </c>
      <c r="F113" s="125">
        <v>0.64236111111111105</v>
      </c>
      <c r="G113" s="124">
        <v>42816</v>
      </c>
      <c r="H113" s="125">
        <v>0.53125</v>
      </c>
      <c r="I113" s="123">
        <v>732</v>
      </c>
      <c r="J113" s="123">
        <v>831</v>
      </c>
      <c r="K113" s="142" t="str">
        <f t="shared" si="4"/>
        <v>G831</v>
      </c>
      <c r="L113" s="123">
        <v>505</v>
      </c>
      <c r="M113" s="142" t="str">
        <f t="shared" si="5"/>
        <v>R505</v>
      </c>
      <c r="N113" s="123">
        <v>695</v>
      </c>
      <c r="O113" s="142" t="str">
        <f t="shared" si="6"/>
        <v>G695</v>
      </c>
      <c r="P113" s="123">
        <v>487</v>
      </c>
      <c r="Q113" s="142" t="str">
        <f t="shared" si="7"/>
        <v>R487</v>
      </c>
      <c r="R113" s="123">
        <v>35.9</v>
      </c>
      <c r="S113" s="123">
        <v>9.5</v>
      </c>
      <c r="T113" s="123">
        <v>29.4</v>
      </c>
      <c r="U113" s="123">
        <v>12.7</v>
      </c>
      <c r="V113" s="123"/>
      <c r="W113" s="126"/>
      <c r="X113" s="126" t="s">
        <v>2182</v>
      </c>
      <c r="Y113" s="126"/>
      <c r="Z113" s="123">
        <v>26</v>
      </c>
      <c r="AA113" s="123" t="s">
        <v>2175</v>
      </c>
      <c r="AB113" s="123">
        <v>6.1</v>
      </c>
      <c r="AC113" s="123">
        <v>0</v>
      </c>
      <c r="AD113" s="123"/>
    </row>
    <row r="114" spans="1:30">
      <c r="A114" s="121">
        <v>112</v>
      </c>
      <c r="B114" s="122" t="s">
        <v>2649</v>
      </c>
      <c r="C114" s="122" t="s">
        <v>2327</v>
      </c>
      <c r="D114" s="122" t="s">
        <v>2189</v>
      </c>
      <c r="E114" s="124">
        <v>42762</v>
      </c>
      <c r="F114" s="125">
        <v>0.64583333333333337</v>
      </c>
      <c r="G114" s="124">
        <v>42816</v>
      </c>
      <c r="H114" s="125">
        <v>0.53472222222222221</v>
      </c>
      <c r="I114" s="123">
        <v>733</v>
      </c>
      <c r="J114" s="123">
        <v>899</v>
      </c>
      <c r="K114" s="142" t="str">
        <f t="shared" si="4"/>
        <v>G899</v>
      </c>
      <c r="L114" s="123">
        <v>41</v>
      </c>
      <c r="M114" s="142" t="str">
        <f t="shared" si="5"/>
        <v>R41</v>
      </c>
      <c r="N114" s="123">
        <v>852</v>
      </c>
      <c r="O114" s="142" t="str">
        <f t="shared" si="6"/>
        <v>G852</v>
      </c>
      <c r="P114" s="123">
        <v>530</v>
      </c>
      <c r="Q114" s="142" t="str">
        <f t="shared" si="7"/>
        <v>R530</v>
      </c>
      <c r="R114" s="123">
        <v>34.200000000000003</v>
      </c>
      <c r="S114" s="123">
        <v>8.6999999999999993</v>
      </c>
      <c r="T114" s="123">
        <v>28.7</v>
      </c>
      <c r="U114" s="123">
        <v>21.7</v>
      </c>
      <c r="V114" s="123" t="s">
        <v>2174</v>
      </c>
      <c r="W114" s="126" t="s">
        <v>2182</v>
      </c>
      <c r="X114" s="126"/>
      <c r="Y114" s="126"/>
      <c r="Z114" s="123">
        <v>15</v>
      </c>
      <c r="AA114" s="123" t="s">
        <v>2175</v>
      </c>
      <c r="AB114" s="123">
        <v>11.5</v>
      </c>
      <c r="AC114" s="123">
        <v>0</v>
      </c>
      <c r="AD114" s="123"/>
    </row>
    <row r="115" spans="1:30">
      <c r="A115" s="121">
        <v>113</v>
      </c>
      <c r="B115" s="122" t="s">
        <v>2649</v>
      </c>
      <c r="C115" s="122" t="s">
        <v>2328</v>
      </c>
      <c r="D115" s="122" t="s">
        <v>2203</v>
      </c>
      <c r="E115" s="124">
        <v>42762</v>
      </c>
      <c r="F115" s="125">
        <v>0.67708333333333337</v>
      </c>
      <c r="G115" s="124">
        <v>42816</v>
      </c>
      <c r="H115" s="124"/>
      <c r="I115" s="123">
        <v>739</v>
      </c>
      <c r="J115" s="123">
        <v>724</v>
      </c>
      <c r="K115" s="142" t="str">
        <f t="shared" si="4"/>
        <v>G724</v>
      </c>
      <c r="L115" s="123">
        <v>428</v>
      </c>
      <c r="M115" s="142" t="str">
        <f t="shared" si="5"/>
        <v>R428</v>
      </c>
      <c r="N115" s="123">
        <v>769</v>
      </c>
      <c r="O115" s="142" t="str">
        <f t="shared" si="6"/>
        <v>G769</v>
      </c>
      <c r="P115" s="123">
        <v>578</v>
      </c>
      <c r="Q115" s="142" t="str">
        <f t="shared" si="7"/>
        <v>R578</v>
      </c>
      <c r="R115" s="123">
        <v>32.299999999999997</v>
      </c>
      <c r="S115" s="123">
        <v>7.7</v>
      </c>
      <c r="T115" s="123">
        <v>32.5</v>
      </c>
      <c r="U115" s="123">
        <v>9.6999999999999993</v>
      </c>
      <c r="V115" s="123" t="s">
        <v>2229</v>
      </c>
      <c r="W115" s="126" t="s">
        <v>2195</v>
      </c>
      <c r="X115" s="126" t="s">
        <v>2182</v>
      </c>
      <c r="Y115" s="126" t="s">
        <v>2182</v>
      </c>
      <c r="Z115" s="123">
        <v>88.5</v>
      </c>
      <c r="AA115" s="123" t="s">
        <v>2223</v>
      </c>
      <c r="AB115" s="123">
        <v>26</v>
      </c>
      <c r="AC115" s="123">
        <v>0</v>
      </c>
      <c r="AD115" s="123"/>
    </row>
    <row r="116" spans="1:30">
      <c r="A116" s="121">
        <v>114</v>
      </c>
      <c r="B116" s="122" t="s">
        <v>2649</v>
      </c>
      <c r="C116" s="122" t="s">
        <v>2329</v>
      </c>
      <c r="D116" s="122" t="s">
        <v>2203</v>
      </c>
      <c r="E116" s="124">
        <v>42762</v>
      </c>
      <c r="F116" s="125">
        <v>0.67708333333333337</v>
      </c>
      <c r="G116" s="124">
        <v>42816</v>
      </c>
      <c r="H116" s="125">
        <v>0.72916666666666663</v>
      </c>
      <c r="I116" s="123">
        <v>740</v>
      </c>
      <c r="J116" s="123">
        <v>803</v>
      </c>
      <c r="K116" s="142" t="str">
        <f t="shared" si="4"/>
        <v>G803</v>
      </c>
      <c r="L116" s="123">
        <v>601</v>
      </c>
      <c r="M116" s="142" t="str">
        <f t="shared" si="5"/>
        <v>R601</v>
      </c>
      <c r="N116" s="123">
        <v>889</v>
      </c>
      <c r="O116" s="142" t="str">
        <f t="shared" si="6"/>
        <v>G889</v>
      </c>
      <c r="P116" s="123">
        <v>37</v>
      </c>
      <c r="Q116" s="142" t="str">
        <f t="shared" si="7"/>
        <v>R37</v>
      </c>
      <c r="R116" s="123">
        <v>30.6</v>
      </c>
      <c r="S116" s="123">
        <v>8.1</v>
      </c>
      <c r="T116" s="123">
        <v>30.3</v>
      </c>
      <c r="U116" s="145">
        <v>17.7</v>
      </c>
      <c r="V116" s="126" t="s">
        <v>2195</v>
      </c>
      <c r="W116" s="126" t="s">
        <v>2195</v>
      </c>
      <c r="X116" s="126" t="s">
        <v>2182</v>
      </c>
      <c r="Y116" s="123"/>
      <c r="Z116" s="123">
        <v>87.5</v>
      </c>
      <c r="AA116" s="123" t="s">
        <v>2223</v>
      </c>
      <c r="AB116" s="123">
        <v>16.5</v>
      </c>
      <c r="AC116" s="123">
        <v>0</v>
      </c>
      <c r="AD116" s="123"/>
    </row>
    <row r="117" spans="1:30">
      <c r="A117" s="121">
        <v>115</v>
      </c>
      <c r="B117" s="122" t="s">
        <v>2649</v>
      </c>
      <c r="C117" s="122" t="s">
        <v>2330</v>
      </c>
      <c r="D117" s="122" t="s">
        <v>2203</v>
      </c>
      <c r="E117" s="124">
        <v>42762</v>
      </c>
      <c r="F117" s="125">
        <v>0.6875</v>
      </c>
      <c r="G117" s="124">
        <v>42816</v>
      </c>
      <c r="H117" s="125">
        <v>0.72916666666666663</v>
      </c>
      <c r="I117" s="123">
        <v>741</v>
      </c>
      <c r="J117" s="123">
        <v>693</v>
      </c>
      <c r="K117" s="142" t="str">
        <f t="shared" si="4"/>
        <v>G693</v>
      </c>
      <c r="L117" s="123">
        <v>553</v>
      </c>
      <c r="M117" s="142" t="str">
        <f t="shared" si="5"/>
        <v>R553</v>
      </c>
      <c r="N117" s="123">
        <v>778</v>
      </c>
      <c r="O117" s="142" t="str">
        <f t="shared" si="6"/>
        <v>G778</v>
      </c>
      <c r="P117" s="123">
        <v>522</v>
      </c>
      <c r="Q117" s="142" t="str">
        <f t="shared" si="7"/>
        <v>R522</v>
      </c>
      <c r="R117" s="123">
        <v>32.9</v>
      </c>
      <c r="S117" s="123">
        <v>8.6999999999999993</v>
      </c>
      <c r="T117" s="123">
        <v>30.5</v>
      </c>
      <c r="U117" s="123">
        <v>11.2</v>
      </c>
      <c r="V117" s="126" t="s">
        <v>2182</v>
      </c>
      <c r="W117" s="126" t="s">
        <v>2195</v>
      </c>
      <c r="X117" s="126" t="s">
        <v>2182</v>
      </c>
      <c r="Y117" s="123" t="s">
        <v>2182</v>
      </c>
      <c r="Z117" s="123">
        <v>79.5</v>
      </c>
      <c r="AA117" s="123" t="s">
        <v>2223</v>
      </c>
      <c r="AB117" s="123">
        <v>19</v>
      </c>
      <c r="AC117" s="123">
        <v>1</v>
      </c>
      <c r="AD117" s="123"/>
    </row>
    <row r="118" spans="1:30">
      <c r="A118" s="121">
        <v>116</v>
      </c>
      <c r="B118" s="122" t="s">
        <v>2649</v>
      </c>
      <c r="C118" s="122" t="s">
        <v>2331</v>
      </c>
      <c r="D118" s="122" t="s">
        <v>2203</v>
      </c>
      <c r="E118" s="124">
        <v>42762</v>
      </c>
      <c r="F118" s="125">
        <v>0.6875</v>
      </c>
      <c r="G118" s="124">
        <v>42816</v>
      </c>
      <c r="H118" s="125">
        <v>0.72569444444444453</v>
      </c>
      <c r="I118" s="123">
        <v>742</v>
      </c>
      <c r="J118" s="123">
        <v>897</v>
      </c>
      <c r="K118" s="142" t="str">
        <f t="shared" si="4"/>
        <v>G897</v>
      </c>
      <c r="L118" s="123">
        <v>459</v>
      </c>
      <c r="M118" s="142" t="str">
        <f t="shared" si="5"/>
        <v>R459</v>
      </c>
      <c r="N118" s="123">
        <v>563</v>
      </c>
      <c r="O118" s="142" t="str">
        <f t="shared" si="6"/>
        <v>G563</v>
      </c>
      <c r="P118" s="123">
        <v>480</v>
      </c>
      <c r="Q118" s="142" t="str">
        <f t="shared" si="7"/>
        <v>R480</v>
      </c>
      <c r="R118" s="123">
        <v>20.8</v>
      </c>
      <c r="S118" s="123">
        <v>7.4</v>
      </c>
      <c r="T118" s="123">
        <v>30.4</v>
      </c>
      <c r="U118" s="144">
        <v>10.1</v>
      </c>
      <c r="V118" s="126"/>
      <c r="W118" s="126" t="s">
        <v>2195</v>
      </c>
      <c r="X118" s="126" t="s">
        <v>2182</v>
      </c>
      <c r="Y118" s="123" t="s">
        <v>2182</v>
      </c>
      <c r="Z118" s="123">
        <v>76</v>
      </c>
      <c r="AA118" s="123" t="s">
        <v>2223</v>
      </c>
      <c r="AB118" s="123">
        <v>22.5</v>
      </c>
      <c r="AC118" s="123">
        <v>1</v>
      </c>
      <c r="AD118" s="123"/>
    </row>
    <row r="119" spans="1:30">
      <c r="A119" s="121">
        <v>117</v>
      </c>
      <c r="B119" s="122" t="s">
        <v>2649</v>
      </c>
      <c r="C119" s="122" t="s">
        <v>2332</v>
      </c>
      <c r="D119" s="122" t="s">
        <v>2203</v>
      </c>
      <c r="E119" s="124">
        <v>42762</v>
      </c>
      <c r="F119" s="125">
        <v>0.70833333333333337</v>
      </c>
      <c r="G119" s="124">
        <v>42816</v>
      </c>
      <c r="H119" s="125">
        <v>0.72222222222222221</v>
      </c>
      <c r="I119" s="123">
        <v>743</v>
      </c>
      <c r="J119" s="123">
        <v>789</v>
      </c>
      <c r="K119" s="142" t="str">
        <f t="shared" si="4"/>
        <v>G789</v>
      </c>
      <c r="L119" s="123">
        <v>511</v>
      </c>
      <c r="M119" s="142" t="str">
        <f t="shared" si="5"/>
        <v>R511</v>
      </c>
      <c r="N119" s="123">
        <v>901</v>
      </c>
      <c r="O119" s="142" t="str">
        <f t="shared" si="6"/>
        <v>G901</v>
      </c>
      <c r="P119" s="123">
        <v>565</v>
      </c>
      <c r="Q119" s="142" t="str">
        <f t="shared" si="7"/>
        <v>R565</v>
      </c>
      <c r="R119" s="123">
        <v>31.6</v>
      </c>
      <c r="S119" s="123">
        <v>5.6</v>
      </c>
      <c r="T119" s="123">
        <v>31.9</v>
      </c>
      <c r="U119" s="123">
        <v>5.8</v>
      </c>
      <c r="V119" s="126" t="s">
        <v>2201</v>
      </c>
      <c r="W119" s="126" t="s">
        <v>2201</v>
      </c>
      <c r="X119" s="126" t="s">
        <v>2182</v>
      </c>
      <c r="Y119" s="123"/>
      <c r="Z119" s="123">
        <v>76</v>
      </c>
      <c r="AA119" s="123" t="s">
        <v>2223</v>
      </c>
      <c r="AB119" s="123">
        <v>23.5</v>
      </c>
      <c r="AC119" s="123">
        <v>1</v>
      </c>
      <c r="AD119" s="123"/>
    </row>
    <row r="120" spans="1:30">
      <c r="A120" s="121">
        <v>118</v>
      </c>
      <c r="B120" s="122" t="s">
        <v>2649</v>
      </c>
      <c r="C120" s="122" t="s">
        <v>2333</v>
      </c>
      <c r="D120" s="122" t="s">
        <v>2203</v>
      </c>
      <c r="E120" s="124">
        <v>42762</v>
      </c>
      <c r="F120" s="125">
        <v>0.70833333333333337</v>
      </c>
      <c r="G120" s="124">
        <v>42816</v>
      </c>
      <c r="H120" s="125">
        <v>0.71875</v>
      </c>
      <c r="I120" s="123">
        <v>744</v>
      </c>
      <c r="J120" s="123">
        <v>681</v>
      </c>
      <c r="K120" s="142" t="str">
        <f t="shared" si="4"/>
        <v>G681</v>
      </c>
      <c r="L120" s="123">
        <v>495</v>
      </c>
      <c r="M120" s="142" t="str">
        <f t="shared" si="5"/>
        <v>R495</v>
      </c>
      <c r="N120" s="123">
        <v>791</v>
      </c>
      <c r="O120" s="142" t="str">
        <f t="shared" si="6"/>
        <v>G791</v>
      </c>
      <c r="P120" s="123">
        <v>544</v>
      </c>
      <c r="Q120" s="142" t="str">
        <f t="shared" si="7"/>
        <v>R544</v>
      </c>
      <c r="R120" s="123">
        <v>32</v>
      </c>
      <c r="S120" s="123">
        <v>6.7</v>
      </c>
      <c r="T120" s="123">
        <v>29.7</v>
      </c>
      <c r="U120" s="123">
        <v>14.7</v>
      </c>
      <c r="V120" s="126" t="s">
        <v>2225</v>
      </c>
      <c r="W120" s="126" t="s">
        <v>2174</v>
      </c>
      <c r="X120" s="126" t="s">
        <v>2182</v>
      </c>
      <c r="Y120" s="123"/>
      <c r="Z120" s="123">
        <v>70.5</v>
      </c>
      <c r="AA120" s="123" t="s">
        <v>2223</v>
      </c>
      <c r="AB120" s="123">
        <v>17.5</v>
      </c>
      <c r="AC120" s="123">
        <v>1</v>
      </c>
      <c r="AD120" s="123"/>
    </row>
    <row r="121" spans="1:30">
      <c r="A121" s="121">
        <v>119</v>
      </c>
      <c r="B121" s="122" t="s">
        <v>2649</v>
      </c>
      <c r="C121" s="122" t="s">
        <v>2334</v>
      </c>
      <c r="D121" s="122" t="s">
        <v>2203</v>
      </c>
      <c r="E121" s="124">
        <v>42762</v>
      </c>
      <c r="F121" s="125">
        <v>0.70833333333333337</v>
      </c>
      <c r="G121" s="124">
        <v>42816</v>
      </c>
      <c r="H121" s="125">
        <v>0.71875</v>
      </c>
      <c r="I121" s="123">
        <v>745</v>
      </c>
      <c r="J121" s="123">
        <v>657</v>
      </c>
      <c r="K121" s="142" t="str">
        <f t="shared" si="4"/>
        <v>G657</v>
      </c>
      <c r="L121" s="123">
        <v>584</v>
      </c>
      <c r="M121" s="142" t="str">
        <f t="shared" si="5"/>
        <v>R584</v>
      </c>
      <c r="N121" s="123">
        <v>802</v>
      </c>
      <c r="O121" s="142" t="str">
        <f t="shared" si="6"/>
        <v>G802</v>
      </c>
      <c r="P121" s="123">
        <v>526</v>
      </c>
      <c r="Q121" s="142" t="str">
        <f t="shared" si="7"/>
        <v>R526</v>
      </c>
      <c r="R121" s="123">
        <v>29.8</v>
      </c>
      <c r="S121" s="123">
        <v>8</v>
      </c>
      <c r="T121" s="123">
        <v>31.1</v>
      </c>
      <c r="U121" s="123">
        <v>14.1</v>
      </c>
      <c r="V121" s="126" t="s">
        <v>2182</v>
      </c>
      <c r="W121" s="126" t="s">
        <v>2174</v>
      </c>
      <c r="X121" s="126" t="s">
        <v>2182</v>
      </c>
      <c r="Y121" s="123" t="s">
        <v>2182</v>
      </c>
      <c r="Z121" s="123">
        <v>74.5</v>
      </c>
      <c r="AA121" s="123" t="s">
        <v>2223</v>
      </c>
      <c r="AB121" s="123">
        <v>18.5</v>
      </c>
      <c r="AC121" s="123">
        <v>1</v>
      </c>
      <c r="AD121" s="123"/>
    </row>
    <row r="122" spans="1:30">
      <c r="A122" s="121">
        <v>120</v>
      </c>
      <c r="B122" s="122" t="s">
        <v>2649</v>
      </c>
      <c r="C122" s="122" t="s">
        <v>2335</v>
      </c>
      <c r="D122" s="122" t="s">
        <v>2203</v>
      </c>
      <c r="E122" s="124">
        <v>42762</v>
      </c>
      <c r="F122" s="125">
        <v>0.70833333333333337</v>
      </c>
      <c r="G122" s="124">
        <v>42816</v>
      </c>
      <c r="H122" s="125">
        <v>0.73263888888888884</v>
      </c>
      <c r="I122" s="123">
        <v>746</v>
      </c>
      <c r="J122" s="123">
        <v>758</v>
      </c>
      <c r="K122" s="142" t="str">
        <f t="shared" si="4"/>
        <v>G758</v>
      </c>
      <c r="L122" s="123">
        <v>454</v>
      </c>
      <c r="M122" s="142" t="str">
        <f t="shared" si="5"/>
        <v>R454</v>
      </c>
      <c r="N122" s="123">
        <v>698</v>
      </c>
      <c r="O122" s="142" t="str">
        <f t="shared" si="6"/>
        <v>G698</v>
      </c>
      <c r="P122" s="123">
        <v>594</v>
      </c>
      <c r="Q122" s="142" t="str">
        <f t="shared" si="7"/>
        <v>R594</v>
      </c>
      <c r="R122" s="123">
        <v>30.2</v>
      </c>
      <c r="S122" s="123">
        <v>9.4</v>
      </c>
      <c r="T122" s="123">
        <v>30.4</v>
      </c>
      <c r="U122" s="123">
        <v>20.5</v>
      </c>
      <c r="V122" s="126" t="s">
        <v>2174</v>
      </c>
      <c r="W122" s="126" t="s">
        <v>2174</v>
      </c>
      <c r="X122" s="126"/>
      <c r="Y122" s="123" t="s">
        <v>2182</v>
      </c>
      <c r="Z122" s="123">
        <v>98.5</v>
      </c>
      <c r="AA122" s="123" t="s">
        <v>2223</v>
      </c>
      <c r="AB122" s="123">
        <v>19</v>
      </c>
      <c r="AC122" s="123">
        <v>0</v>
      </c>
      <c r="AD122" s="123"/>
    </row>
    <row r="123" spans="1:30">
      <c r="A123" s="121">
        <v>121</v>
      </c>
      <c r="B123" s="122" t="s">
        <v>2649</v>
      </c>
      <c r="C123" s="122" t="s">
        <v>2336</v>
      </c>
      <c r="D123" s="122" t="s">
        <v>2213</v>
      </c>
      <c r="E123" s="124">
        <v>42762</v>
      </c>
      <c r="F123" s="125">
        <v>0.71527777777777779</v>
      </c>
      <c r="G123" s="124">
        <v>42816</v>
      </c>
      <c r="H123" s="125">
        <v>0.73611111111111116</v>
      </c>
      <c r="I123" s="123">
        <v>748</v>
      </c>
      <c r="J123" s="123">
        <v>666</v>
      </c>
      <c r="K123" s="142" t="str">
        <f t="shared" si="4"/>
        <v>G666</v>
      </c>
      <c r="L123" s="123">
        <v>532</v>
      </c>
      <c r="M123" s="142" t="str">
        <f t="shared" si="5"/>
        <v>R532</v>
      </c>
      <c r="N123" s="123">
        <v>825</v>
      </c>
      <c r="O123" s="142" t="str">
        <f t="shared" si="6"/>
        <v>G825</v>
      </c>
      <c r="P123" s="123">
        <v>564</v>
      </c>
      <c r="Q123" s="142" t="str">
        <f t="shared" si="7"/>
        <v>R564</v>
      </c>
      <c r="R123" s="123">
        <v>32.4</v>
      </c>
      <c r="S123" s="123">
        <v>6.6</v>
      </c>
      <c r="T123" s="123">
        <v>29.1</v>
      </c>
      <c r="U123" s="123">
        <v>12.5</v>
      </c>
      <c r="V123" s="126" t="s">
        <v>2182</v>
      </c>
      <c r="W123" s="126" t="s">
        <v>2229</v>
      </c>
      <c r="X123" s="126" t="s">
        <v>2182</v>
      </c>
      <c r="Y123" s="123" t="s">
        <v>2182</v>
      </c>
      <c r="Z123" s="123">
        <v>63</v>
      </c>
      <c r="AA123" s="123" t="s">
        <v>2223</v>
      </c>
      <c r="AB123" s="123">
        <v>9.65</v>
      </c>
      <c r="AC123" s="123">
        <v>0</v>
      </c>
      <c r="AD123" s="123"/>
    </row>
    <row r="124" spans="1:30">
      <c r="A124" s="121">
        <v>122</v>
      </c>
      <c r="B124" s="122" t="s">
        <v>2649</v>
      </c>
      <c r="C124" s="122" t="s">
        <v>2337</v>
      </c>
      <c r="D124" s="122" t="s">
        <v>2213</v>
      </c>
      <c r="E124" s="124">
        <v>42762</v>
      </c>
      <c r="F124" s="125">
        <v>0.71875</v>
      </c>
      <c r="G124" s="124">
        <v>42816</v>
      </c>
      <c r="H124" s="125">
        <v>0.73958333333333337</v>
      </c>
      <c r="I124" s="123">
        <v>749</v>
      </c>
      <c r="J124" s="123">
        <v>860</v>
      </c>
      <c r="K124" s="142" t="str">
        <f t="shared" si="4"/>
        <v>G860</v>
      </c>
      <c r="L124" s="123">
        <v>11</v>
      </c>
      <c r="M124" s="142" t="str">
        <f t="shared" si="5"/>
        <v>R11</v>
      </c>
      <c r="N124" s="123">
        <v>839</v>
      </c>
      <c r="O124" s="142" t="str">
        <f t="shared" si="6"/>
        <v>G839</v>
      </c>
      <c r="P124" s="123">
        <v>429</v>
      </c>
      <c r="Q124" s="142" t="str">
        <f t="shared" si="7"/>
        <v>R429</v>
      </c>
      <c r="R124" s="123">
        <v>33.700000000000003</v>
      </c>
      <c r="S124" s="123">
        <v>8.5</v>
      </c>
      <c r="T124" s="123">
        <v>27.6</v>
      </c>
      <c r="U124" s="123">
        <v>15.1</v>
      </c>
      <c r="V124" s="126" t="s">
        <v>2201</v>
      </c>
      <c r="W124" s="126" t="s">
        <v>2182</v>
      </c>
      <c r="X124" s="126" t="s">
        <v>2182</v>
      </c>
      <c r="Y124" s="123" t="s">
        <v>2182</v>
      </c>
      <c r="Z124" s="123">
        <v>53</v>
      </c>
      <c r="AA124" s="123" t="s">
        <v>2223</v>
      </c>
      <c r="AB124" s="123">
        <v>3.1</v>
      </c>
      <c r="AC124" s="123">
        <v>0</v>
      </c>
      <c r="AD124" s="123"/>
    </row>
    <row r="125" spans="1:30">
      <c r="A125" s="121">
        <v>123</v>
      </c>
      <c r="B125" s="122" t="s">
        <v>2649</v>
      </c>
      <c r="C125" s="122" t="s">
        <v>2338</v>
      </c>
      <c r="D125" s="122" t="s">
        <v>2213</v>
      </c>
      <c r="E125" s="124">
        <v>42762</v>
      </c>
      <c r="F125" s="125">
        <v>0.72569444444444453</v>
      </c>
      <c r="G125" s="124">
        <v>42816</v>
      </c>
      <c r="H125" s="125">
        <v>0.75</v>
      </c>
      <c r="I125" s="123">
        <v>751</v>
      </c>
      <c r="J125" s="123">
        <v>694</v>
      </c>
      <c r="K125" s="142" t="str">
        <f t="shared" si="4"/>
        <v>G694</v>
      </c>
      <c r="L125" s="129">
        <v>575</v>
      </c>
      <c r="M125" s="142" t="str">
        <f t="shared" si="5"/>
        <v>R575</v>
      </c>
      <c r="N125" s="123">
        <v>895</v>
      </c>
      <c r="O125" s="142" t="str">
        <f t="shared" si="6"/>
        <v>G895</v>
      </c>
      <c r="P125" s="123">
        <v>466</v>
      </c>
      <c r="Q125" s="142" t="str">
        <f t="shared" si="7"/>
        <v>R466</v>
      </c>
      <c r="R125" s="123">
        <v>33.200000000000003</v>
      </c>
      <c r="S125" s="123">
        <v>11.4</v>
      </c>
      <c r="T125" s="123">
        <v>30.5</v>
      </c>
      <c r="U125" s="123">
        <v>15</v>
      </c>
      <c r="V125" s="126" t="s">
        <v>2182</v>
      </c>
      <c r="W125" s="126" t="s">
        <v>2190</v>
      </c>
      <c r="X125" s="126"/>
      <c r="Y125" s="123"/>
      <c r="Z125" s="123">
        <v>51</v>
      </c>
      <c r="AA125" s="123" t="s">
        <v>2223</v>
      </c>
      <c r="AB125" s="123">
        <v>3.9</v>
      </c>
      <c r="AC125" s="123">
        <v>1</v>
      </c>
      <c r="AD125" s="123" t="s">
        <v>2339</v>
      </c>
    </row>
    <row r="126" spans="1:30">
      <c r="A126" s="121">
        <v>124</v>
      </c>
      <c r="B126" s="122" t="s">
        <v>2649</v>
      </c>
      <c r="C126" s="122" t="s">
        <v>2340</v>
      </c>
      <c r="D126" s="122" t="s">
        <v>2213</v>
      </c>
      <c r="E126" s="124">
        <v>42762</v>
      </c>
      <c r="F126" s="125">
        <v>0.72569444444444453</v>
      </c>
      <c r="G126" s="124">
        <v>42816</v>
      </c>
      <c r="H126" s="125">
        <v>0.75</v>
      </c>
      <c r="I126" s="123">
        <v>750</v>
      </c>
      <c r="J126" s="123">
        <v>867</v>
      </c>
      <c r="K126" s="142" t="str">
        <f t="shared" si="4"/>
        <v>G867</v>
      </c>
      <c r="L126" s="123">
        <v>39</v>
      </c>
      <c r="M126" s="142" t="str">
        <f t="shared" si="5"/>
        <v>R39</v>
      </c>
      <c r="N126" s="123">
        <v>682</v>
      </c>
      <c r="O126" s="142" t="str">
        <f t="shared" si="6"/>
        <v>G682</v>
      </c>
      <c r="P126" s="123">
        <v>471</v>
      </c>
      <c r="Q126" s="142" t="str">
        <f t="shared" si="7"/>
        <v>R471</v>
      </c>
      <c r="R126" s="123">
        <v>31.4</v>
      </c>
      <c r="S126" s="123">
        <v>11.1</v>
      </c>
      <c r="T126" s="123">
        <v>30.8</v>
      </c>
      <c r="U126" s="123">
        <v>25.3</v>
      </c>
      <c r="V126" s="126" t="s">
        <v>2195</v>
      </c>
      <c r="W126" s="126" t="s">
        <v>2182</v>
      </c>
      <c r="X126" s="126"/>
      <c r="Y126" s="123"/>
      <c r="Z126" s="123">
        <v>47</v>
      </c>
      <c r="AA126" s="123" t="s">
        <v>2223</v>
      </c>
      <c r="AB126" s="123">
        <v>5.45</v>
      </c>
      <c r="AC126" s="123">
        <v>1</v>
      </c>
      <c r="AD126" s="123"/>
    </row>
    <row r="127" spans="1:30">
      <c r="A127" s="121">
        <v>125</v>
      </c>
      <c r="B127" s="122" t="s">
        <v>2649</v>
      </c>
      <c r="C127" s="122" t="s">
        <v>2341</v>
      </c>
      <c r="D127" s="122" t="s">
        <v>2213</v>
      </c>
      <c r="E127" s="124">
        <v>42762</v>
      </c>
      <c r="F127" s="125">
        <v>0.72569444444444453</v>
      </c>
      <c r="G127" s="124">
        <v>42816</v>
      </c>
      <c r="H127" s="125">
        <v>0.74305555555555547</v>
      </c>
      <c r="I127" s="123">
        <v>752</v>
      </c>
      <c r="J127" s="123">
        <v>793</v>
      </c>
      <c r="K127" s="142" t="str">
        <f t="shared" si="4"/>
        <v>G793</v>
      </c>
      <c r="L127" s="123">
        <v>560</v>
      </c>
      <c r="M127" s="142" t="str">
        <f t="shared" si="5"/>
        <v>R560</v>
      </c>
      <c r="N127" s="123">
        <v>740</v>
      </c>
      <c r="O127" s="142" t="str">
        <f t="shared" si="6"/>
        <v>G740</v>
      </c>
      <c r="P127" s="123">
        <v>486</v>
      </c>
      <c r="Q127" s="142" t="str">
        <f t="shared" si="7"/>
        <v>R486</v>
      </c>
      <c r="R127" s="123">
        <v>31.8</v>
      </c>
      <c r="S127" s="123">
        <v>12.3</v>
      </c>
      <c r="T127" s="123">
        <v>32.299999999999997</v>
      </c>
      <c r="U127" s="123">
        <v>26.2</v>
      </c>
      <c r="V127" s="126" t="s">
        <v>2195</v>
      </c>
      <c r="W127" s="126" t="s">
        <v>2195</v>
      </c>
      <c r="X127" s="126" t="s">
        <v>2182</v>
      </c>
      <c r="Y127" s="123" t="s">
        <v>2182</v>
      </c>
      <c r="Z127" s="123">
        <v>43</v>
      </c>
      <c r="AA127" s="123" t="s">
        <v>2223</v>
      </c>
      <c r="AB127" s="123">
        <v>9.3000000000000007</v>
      </c>
      <c r="AC127" s="123">
        <v>1</v>
      </c>
      <c r="AD127" s="123"/>
    </row>
    <row r="128" spans="1:30">
      <c r="A128" s="121">
        <v>126</v>
      </c>
      <c r="B128" s="122" t="s">
        <v>2649</v>
      </c>
      <c r="C128" s="122" t="s">
        <v>2342</v>
      </c>
      <c r="D128" s="122" t="s">
        <v>2213</v>
      </c>
      <c r="E128" s="124">
        <v>42762</v>
      </c>
      <c r="F128" s="125">
        <v>0.72916666666666663</v>
      </c>
      <c r="G128" s="124">
        <v>42816</v>
      </c>
      <c r="H128" s="125">
        <v>0.74652777777777779</v>
      </c>
      <c r="I128" s="123">
        <v>753</v>
      </c>
      <c r="J128" s="123">
        <v>749</v>
      </c>
      <c r="K128" s="142" t="str">
        <f t="shared" si="4"/>
        <v>G749</v>
      </c>
      <c r="L128" s="123">
        <v>562</v>
      </c>
      <c r="M128" s="142" t="str">
        <f t="shared" si="5"/>
        <v>R562</v>
      </c>
      <c r="N128" s="123">
        <v>841</v>
      </c>
      <c r="O128" s="142" t="str">
        <f t="shared" si="6"/>
        <v>G841</v>
      </c>
      <c r="P128" s="129">
        <v>55</v>
      </c>
      <c r="Q128" s="142" t="str">
        <f t="shared" si="7"/>
        <v>R55</v>
      </c>
      <c r="R128" s="129">
        <v>31.5</v>
      </c>
      <c r="S128" s="129">
        <v>10.5</v>
      </c>
      <c r="T128" s="123">
        <v>32.5</v>
      </c>
      <c r="U128" s="123">
        <v>22.8</v>
      </c>
      <c r="V128" s="126" t="s">
        <v>2195</v>
      </c>
      <c r="W128" s="126"/>
      <c r="X128" s="126" t="s">
        <v>2182</v>
      </c>
      <c r="Y128" s="123" t="s">
        <v>2182</v>
      </c>
      <c r="Z128" s="123">
        <v>40</v>
      </c>
      <c r="AA128" s="123" t="s">
        <v>2223</v>
      </c>
      <c r="AB128" s="123">
        <v>10.85</v>
      </c>
      <c r="AC128" s="123">
        <v>1</v>
      </c>
      <c r="AD128" s="123"/>
    </row>
    <row r="129" spans="1:30">
      <c r="A129" s="121">
        <v>127</v>
      </c>
      <c r="B129" s="122" t="s">
        <v>2649</v>
      </c>
      <c r="C129" s="122" t="s">
        <v>2343</v>
      </c>
      <c r="D129" s="122" t="s">
        <v>2213</v>
      </c>
      <c r="E129" s="124">
        <v>42762</v>
      </c>
      <c r="F129" s="125">
        <v>0.73263888888888884</v>
      </c>
      <c r="G129" s="124">
        <v>42816</v>
      </c>
      <c r="H129" s="125">
        <v>0.75347222222222221</v>
      </c>
      <c r="I129" s="123">
        <v>754</v>
      </c>
      <c r="J129" s="123">
        <v>898</v>
      </c>
      <c r="K129" s="142" t="str">
        <f t="shared" si="4"/>
        <v>G898</v>
      </c>
      <c r="L129" s="123">
        <v>506</v>
      </c>
      <c r="M129" s="142" t="str">
        <f t="shared" si="5"/>
        <v>R506</v>
      </c>
      <c r="N129" s="123">
        <v>687</v>
      </c>
      <c r="O129" s="142" t="str">
        <f t="shared" si="6"/>
        <v>G687</v>
      </c>
      <c r="P129" s="123">
        <v>424</v>
      </c>
      <c r="Q129" s="142" t="str">
        <f t="shared" si="7"/>
        <v>R424</v>
      </c>
      <c r="R129" s="123">
        <v>31.3</v>
      </c>
      <c r="S129" s="123">
        <v>10.5</v>
      </c>
      <c r="T129" s="123">
        <v>31.8</v>
      </c>
      <c r="U129" s="123">
        <v>21.1</v>
      </c>
      <c r="V129" s="126" t="s">
        <v>2195</v>
      </c>
      <c r="W129" s="126"/>
      <c r="X129" s="126" t="s">
        <v>2182</v>
      </c>
      <c r="Y129" s="123" t="s">
        <v>2182</v>
      </c>
      <c r="Z129" s="123">
        <v>58</v>
      </c>
      <c r="AA129" s="123" t="s">
        <v>2223</v>
      </c>
      <c r="AB129" s="123">
        <v>5.35</v>
      </c>
      <c r="AC129" s="123">
        <v>1</v>
      </c>
      <c r="AD129" s="123"/>
    </row>
    <row r="130" spans="1:30">
      <c r="A130" s="121">
        <v>128</v>
      </c>
      <c r="B130" s="122" t="s">
        <v>2649</v>
      </c>
      <c r="C130" s="122" t="s">
        <v>2344</v>
      </c>
      <c r="D130" s="122" t="s">
        <v>2213</v>
      </c>
      <c r="E130" s="124">
        <v>42762</v>
      </c>
      <c r="F130" s="125">
        <v>0.73263888888888884</v>
      </c>
      <c r="G130" s="124">
        <v>42816</v>
      </c>
      <c r="H130" s="123"/>
      <c r="I130" s="123">
        <v>755</v>
      </c>
      <c r="J130" s="123">
        <v>834</v>
      </c>
      <c r="K130" s="142" t="str">
        <f t="shared" si="4"/>
        <v>G834</v>
      </c>
      <c r="L130" s="123">
        <v>554</v>
      </c>
      <c r="M130" s="142" t="str">
        <f t="shared" si="5"/>
        <v>R554</v>
      </c>
      <c r="N130" s="123">
        <v>833</v>
      </c>
      <c r="O130" s="142" t="str">
        <f t="shared" si="6"/>
        <v>G833</v>
      </c>
      <c r="P130" s="123">
        <v>418</v>
      </c>
      <c r="Q130" s="142" t="str">
        <f t="shared" si="7"/>
        <v>R418</v>
      </c>
      <c r="R130" s="123">
        <v>32.700000000000003</v>
      </c>
      <c r="S130" s="123">
        <v>8.9</v>
      </c>
      <c r="T130" s="123">
        <v>30.6</v>
      </c>
      <c r="U130" s="123">
        <v>7.4</v>
      </c>
      <c r="V130" s="126" t="s">
        <v>2182</v>
      </c>
      <c r="W130" s="126" t="s">
        <v>2198</v>
      </c>
      <c r="X130" s="126" t="s">
        <v>2182</v>
      </c>
      <c r="Y130" s="123" t="s">
        <v>2182</v>
      </c>
      <c r="Z130" s="123">
        <v>44</v>
      </c>
      <c r="AA130" s="123" t="s">
        <v>2223</v>
      </c>
      <c r="AB130" s="123">
        <v>10.9</v>
      </c>
      <c r="AC130" s="123">
        <v>0</v>
      </c>
      <c r="AD130" s="123"/>
    </row>
    <row r="131" spans="1:30">
      <c r="A131" s="121">
        <v>129</v>
      </c>
      <c r="B131" s="122" t="s">
        <v>2649</v>
      </c>
      <c r="C131" s="122" t="s">
        <v>2345</v>
      </c>
      <c r="D131" s="122" t="s">
        <v>2222</v>
      </c>
      <c r="E131" s="124">
        <v>42762</v>
      </c>
      <c r="F131" s="125">
        <v>0.36805555555555558</v>
      </c>
      <c r="G131" s="124">
        <v>42816</v>
      </c>
      <c r="H131" s="125">
        <v>0.59375</v>
      </c>
      <c r="I131" s="123">
        <v>669</v>
      </c>
      <c r="J131" s="123">
        <v>819</v>
      </c>
      <c r="K131" s="142" t="str">
        <f t="shared" si="4"/>
        <v>G819</v>
      </c>
      <c r="L131" s="123">
        <v>46</v>
      </c>
      <c r="M131" s="142" t="str">
        <f t="shared" si="5"/>
        <v>R46</v>
      </c>
      <c r="N131" s="123">
        <v>888</v>
      </c>
      <c r="O131" s="142" t="str">
        <f t="shared" si="6"/>
        <v>G888</v>
      </c>
      <c r="P131" s="123">
        <v>520</v>
      </c>
      <c r="Q131" s="142" t="str">
        <f t="shared" si="7"/>
        <v>R520</v>
      </c>
      <c r="R131" s="123">
        <v>25</v>
      </c>
      <c r="S131" s="123">
        <v>7.1</v>
      </c>
      <c r="T131" s="123">
        <v>31</v>
      </c>
      <c r="U131" s="123">
        <v>23</v>
      </c>
      <c r="V131" s="126"/>
      <c r="W131" s="126" t="s">
        <v>2174</v>
      </c>
      <c r="X131" s="126" t="s">
        <v>2182</v>
      </c>
      <c r="Y131" s="123"/>
      <c r="Z131" s="123">
        <v>2.4</v>
      </c>
      <c r="AA131" s="123" t="s">
        <v>2245</v>
      </c>
      <c r="AB131" s="123">
        <v>2.4</v>
      </c>
      <c r="AC131" s="123">
        <v>1</v>
      </c>
      <c r="AD131" s="123"/>
    </row>
    <row r="132" spans="1:30">
      <c r="A132" s="121">
        <v>130</v>
      </c>
      <c r="B132" s="122" t="s">
        <v>2649</v>
      </c>
      <c r="C132" s="122" t="s">
        <v>2346</v>
      </c>
      <c r="D132" s="122" t="s">
        <v>2222</v>
      </c>
      <c r="E132" s="124">
        <v>42762</v>
      </c>
      <c r="F132" s="125">
        <v>0.36805555555555558</v>
      </c>
      <c r="G132" s="124">
        <v>42816</v>
      </c>
      <c r="H132" s="125">
        <v>0.60069444444444442</v>
      </c>
      <c r="I132" s="123">
        <v>670</v>
      </c>
      <c r="J132" s="123">
        <v>830</v>
      </c>
      <c r="K132" s="142" t="str">
        <f t="shared" ref="K132:K195" si="8">_xlfn.TEXTJOIN(,TRUE, "G",J132)</f>
        <v>G830</v>
      </c>
      <c r="L132" s="123">
        <v>585</v>
      </c>
      <c r="M132" s="142" t="str">
        <f t="shared" ref="M132:M195" si="9">_xlfn.TEXTJOIN(,TRUE, "R",L132)</f>
        <v>R585</v>
      </c>
      <c r="N132" s="123">
        <v>708</v>
      </c>
      <c r="O132" s="142" t="str">
        <f t="shared" ref="O132:O195" si="10">_xlfn.TEXTJOIN(,TRUE, "G",N132)</f>
        <v>G708</v>
      </c>
      <c r="P132" s="123">
        <v>433</v>
      </c>
      <c r="Q132" s="142" t="str">
        <f t="shared" ref="Q132:Q195" si="11">_xlfn.TEXTJOIN(,TRUE, "R",P132)</f>
        <v>R433</v>
      </c>
      <c r="R132" s="123">
        <v>25</v>
      </c>
      <c r="S132" s="123">
        <v>6.4</v>
      </c>
      <c r="T132" s="123">
        <v>32</v>
      </c>
      <c r="U132" s="123">
        <v>26.2</v>
      </c>
      <c r="V132" s="126" t="s">
        <v>2182</v>
      </c>
      <c r="W132" s="126"/>
      <c r="X132" s="126"/>
      <c r="Y132" s="123"/>
      <c r="Z132" s="123">
        <v>3.5</v>
      </c>
      <c r="AA132" s="123" t="s">
        <v>2245</v>
      </c>
      <c r="AB132" s="123">
        <v>2.1</v>
      </c>
      <c r="AC132" s="123">
        <v>0</v>
      </c>
      <c r="AD132" s="123"/>
    </row>
    <row r="133" spans="1:30">
      <c r="A133" s="121">
        <v>131</v>
      </c>
      <c r="B133" s="122" t="s">
        <v>2649</v>
      </c>
      <c r="C133" s="122" t="s">
        <v>2347</v>
      </c>
      <c r="D133" s="122" t="s">
        <v>2222</v>
      </c>
      <c r="E133" s="124">
        <v>42762</v>
      </c>
      <c r="F133" s="125">
        <v>0.37152777777777773</v>
      </c>
      <c r="G133" s="124">
        <v>42816</v>
      </c>
      <c r="H133" s="125">
        <v>0.60416666666666663</v>
      </c>
      <c r="I133" s="123">
        <v>672</v>
      </c>
      <c r="J133" s="123">
        <v>746</v>
      </c>
      <c r="K133" s="142" t="str">
        <f t="shared" si="8"/>
        <v>G746</v>
      </c>
      <c r="L133" s="123">
        <v>476</v>
      </c>
      <c r="M133" s="142" t="str">
        <f t="shared" si="9"/>
        <v>R476</v>
      </c>
      <c r="N133" s="123">
        <v>768</v>
      </c>
      <c r="O133" s="142" t="str">
        <f t="shared" si="10"/>
        <v>G768</v>
      </c>
      <c r="P133" s="123">
        <v>592</v>
      </c>
      <c r="Q133" s="142" t="str">
        <f t="shared" si="11"/>
        <v>R592</v>
      </c>
      <c r="R133" s="123">
        <v>24.7</v>
      </c>
      <c r="S133" s="123">
        <v>2.5</v>
      </c>
      <c r="T133" s="123">
        <v>33.200000000000003</v>
      </c>
      <c r="U133" s="123">
        <v>16.100000000000001</v>
      </c>
      <c r="V133" s="126" t="s">
        <v>2174</v>
      </c>
      <c r="W133" s="126" t="s">
        <v>2190</v>
      </c>
      <c r="X133" s="126"/>
      <c r="Y133" s="123"/>
      <c r="Z133" s="123">
        <v>7.5</v>
      </c>
      <c r="AA133" s="123" t="s">
        <v>2245</v>
      </c>
      <c r="AB133" s="123">
        <v>4.5</v>
      </c>
      <c r="AC133" s="123">
        <v>0</v>
      </c>
      <c r="AD133" s="123"/>
    </row>
    <row r="134" spans="1:30">
      <c r="A134" s="121">
        <v>132</v>
      </c>
      <c r="B134" s="122" t="s">
        <v>2649</v>
      </c>
      <c r="C134" s="122" t="s">
        <v>2348</v>
      </c>
      <c r="D134" s="122" t="s">
        <v>2222</v>
      </c>
      <c r="E134" s="124">
        <v>42762</v>
      </c>
      <c r="F134" s="125">
        <v>0.37847222222222227</v>
      </c>
      <c r="G134" s="124">
        <v>42816</v>
      </c>
      <c r="H134" s="125">
        <v>0.64583333333333337</v>
      </c>
      <c r="I134" s="123">
        <v>1077</v>
      </c>
      <c r="J134" s="123">
        <v>725</v>
      </c>
      <c r="K134" s="142" t="str">
        <f t="shared" si="8"/>
        <v>G725</v>
      </c>
      <c r="L134" s="123">
        <v>536</v>
      </c>
      <c r="M134" s="142" t="str">
        <f t="shared" si="9"/>
        <v>R536</v>
      </c>
      <c r="N134" s="123">
        <v>779</v>
      </c>
      <c r="O134" s="142" t="str">
        <f t="shared" si="10"/>
        <v>G779</v>
      </c>
      <c r="P134" s="123">
        <v>477</v>
      </c>
      <c r="Q134" s="142" t="str">
        <f t="shared" si="11"/>
        <v>R477</v>
      </c>
      <c r="R134" s="123">
        <v>24.5</v>
      </c>
      <c r="S134" s="123">
        <v>7.6</v>
      </c>
      <c r="T134" s="123">
        <v>33.4</v>
      </c>
      <c r="U134" s="123">
        <v>29.5</v>
      </c>
      <c r="V134" s="126"/>
      <c r="W134" s="126" t="s">
        <v>2190</v>
      </c>
      <c r="X134" s="126"/>
      <c r="Y134" s="123"/>
      <c r="Z134" s="123">
        <v>9.8000000000000007</v>
      </c>
      <c r="AA134" s="123" t="s">
        <v>2223</v>
      </c>
      <c r="AB134" s="123">
        <v>0.7</v>
      </c>
      <c r="AC134" s="123">
        <v>1</v>
      </c>
      <c r="AD134" s="123"/>
    </row>
    <row r="135" spans="1:30">
      <c r="A135" s="121">
        <v>133</v>
      </c>
      <c r="B135" s="122" t="s">
        <v>2649</v>
      </c>
      <c r="C135" s="122" t="s">
        <v>2349</v>
      </c>
      <c r="D135" s="122" t="s">
        <v>2222</v>
      </c>
      <c r="E135" s="124">
        <v>42762</v>
      </c>
      <c r="F135" s="125">
        <v>0.3888888888888889</v>
      </c>
      <c r="G135" s="124">
        <v>42816</v>
      </c>
      <c r="H135" s="125">
        <v>0.625</v>
      </c>
      <c r="I135" s="123">
        <v>674</v>
      </c>
      <c r="J135" s="123">
        <v>846</v>
      </c>
      <c r="K135" s="142" t="str">
        <f t="shared" si="8"/>
        <v>G846</v>
      </c>
      <c r="L135" s="123">
        <v>524</v>
      </c>
      <c r="M135" s="142" t="str">
        <f t="shared" si="9"/>
        <v>R524</v>
      </c>
      <c r="N135" s="123">
        <v>799</v>
      </c>
      <c r="O135" s="142" t="str">
        <f t="shared" si="10"/>
        <v>G799</v>
      </c>
      <c r="P135" s="123">
        <v>597</v>
      </c>
      <c r="Q135" s="142" t="str">
        <f t="shared" si="11"/>
        <v>R597</v>
      </c>
      <c r="R135" s="123">
        <v>23.9</v>
      </c>
      <c r="S135" s="123">
        <v>6.1</v>
      </c>
      <c r="T135" s="123">
        <v>38.799999999999997</v>
      </c>
      <c r="U135" s="123">
        <v>20.7</v>
      </c>
      <c r="V135" s="126"/>
      <c r="W135" s="126"/>
      <c r="X135" s="126"/>
      <c r="Y135" s="123"/>
      <c r="Z135" s="123">
        <v>10</v>
      </c>
      <c r="AA135" s="123" t="s">
        <v>2245</v>
      </c>
      <c r="AB135" s="123">
        <v>2.2000000000000002</v>
      </c>
      <c r="AC135" s="123">
        <v>1</v>
      </c>
      <c r="AD135" s="123"/>
    </row>
    <row r="136" spans="1:30">
      <c r="A136" s="121">
        <v>134</v>
      </c>
      <c r="B136" s="122" t="s">
        <v>2649</v>
      </c>
      <c r="C136" s="122" t="s">
        <v>2350</v>
      </c>
      <c r="D136" s="122" t="s">
        <v>2222</v>
      </c>
      <c r="E136" s="124">
        <v>42762</v>
      </c>
      <c r="F136" s="125">
        <v>0.3888888888888889</v>
      </c>
      <c r="G136" s="124">
        <v>42816</v>
      </c>
      <c r="H136" s="125">
        <v>0.63194444444444442</v>
      </c>
      <c r="I136" s="123">
        <v>675</v>
      </c>
      <c r="J136" s="123">
        <v>756</v>
      </c>
      <c r="K136" s="142" t="str">
        <f t="shared" si="8"/>
        <v>G756</v>
      </c>
      <c r="L136" s="123">
        <v>600</v>
      </c>
      <c r="M136" s="142" t="str">
        <f t="shared" si="9"/>
        <v>R600</v>
      </c>
      <c r="N136" s="123">
        <v>820</v>
      </c>
      <c r="O136" s="142" t="str">
        <f t="shared" si="10"/>
        <v>G820</v>
      </c>
      <c r="P136" s="123">
        <v>467</v>
      </c>
      <c r="Q136" s="142" t="str">
        <f t="shared" si="11"/>
        <v>R467</v>
      </c>
      <c r="R136" s="123">
        <v>23.7</v>
      </c>
      <c r="S136" s="123">
        <v>4.0999999999999996</v>
      </c>
      <c r="T136" s="123">
        <v>36.6</v>
      </c>
      <c r="U136" s="123">
        <v>21.3</v>
      </c>
      <c r="V136" s="126" t="s">
        <v>2182</v>
      </c>
      <c r="W136" s="126"/>
      <c r="X136" s="126"/>
      <c r="Y136" s="123"/>
      <c r="Z136" s="123">
        <v>15.4</v>
      </c>
      <c r="AA136" s="123" t="s">
        <v>2245</v>
      </c>
      <c r="AB136" s="123">
        <v>1.1000000000000001</v>
      </c>
      <c r="AC136" s="123">
        <v>1</v>
      </c>
      <c r="AD136" s="123"/>
    </row>
    <row r="137" spans="1:30">
      <c r="A137" s="121">
        <v>135</v>
      </c>
      <c r="B137" s="122" t="s">
        <v>2649</v>
      </c>
      <c r="C137" s="122" t="s">
        <v>2351</v>
      </c>
      <c r="D137" s="122" t="s">
        <v>2222</v>
      </c>
      <c r="E137" s="124">
        <v>42762</v>
      </c>
      <c r="F137" s="125">
        <v>0.3888888888888889</v>
      </c>
      <c r="G137" s="124">
        <v>42816</v>
      </c>
      <c r="H137" s="125">
        <v>0.63888888888888895</v>
      </c>
      <c r="I137" s="123">
        <v>677</v>
      </c>
      <c r="J137" s="123">
        <v>745</v>
      </c>
      <c r="K137" s="142" t="str">
        <f t="shared" si="8"/>
        <v>G745</v>
      </c>
      <c r="L137" s="123">
        <v>432</v>
      </c>
      <c r="M137" s="142" t="str">
        <f t="shared" si="9"/>
        <v>R432</v>
      </c>
      <c r="N137" s="123">
        <v>842</v>
      </c>
      <c r="O137" s="142" t="str">
        <f t="shared" si="10"/>
        <v>G842</v>
      </c>
      <c r="P137" s="123">
        <v>596</v>
      </c>
      <c r="Q137" s="142" t="str">
        <f t="shared" si="11"/>
        <v>R596</v>
      </c>
      <c r="R137" s="123">
        <v>25.2</v>
      </c>
      <c r="S137" s="123">
        <v>4.0999999999999996</v>
      </c>
      <c r="T137" s="123">
        <v>34.1</v>
      </c>
      <c r="U137" s="123">
        <v>24.9</v>
      </c>
      <c r="V137" s="126" t="s">
        <v>2182</v>
      </c>
      <c r="W137" s="126" t="s">
        <v>2182</v>
      </c>
      <c r="X137" s="126"/>
      <c r="Y137" s="123"/>
      <c r="Z137" s="123">
        <v>5.6</v>
      </c>
      <c r="AA137" s="123" t="s">
        <v>2245</v>
      </c>
      <c r="AB137" s="123">
        <v>2.1</v>
      </c>
      <c r="AC137" s="123">
        <v>1</v>
      </c>
      <c r="AD137" s="123"/>
    </row>
    <row r="138" spans="1:30">
      <c r="A138" s="121">
        <v>136</v>
      </c>
      <c r="B138" s="122" t="s">
        <v>2649</v>
      </c>
      <c r="C138" s="122" t="s">
        <v>2352</v>
      </c>
      <c r="D138" s="122" t="s">
        <v>2222</v>
      </c>
      <c r="E138" s="124">
        <v>42762</v>
      </c>
      <c r="F138" s="125">
        <v>0.39583333333333331</v>
      </c>
      <c r="G138" s="124">
        <v>42816</v>
      </c>
      <c r="H138" s="125">
        <v>0.63888888888888895</v>
      </c>
      <c r="I138" s="123">
        <v>678</v>
      </c>
      <c r="J138" s="123">
        <v>832</v>
      </c>
      <c r="K138" s="142" t="str">
        <f t="shared" si="8"/>
        <v>G832</v>
      </c>
      <c r="L138" s="123">
        <v>474</v>
      </c>
      <c r="M138" s="142" t="str">
        <f t="shared" si="9"/>
        <v>R474</v>
      </c>
      <c r="N138" s="123">
        <v>747</v>
      </c>
      <c r="O138" s="142" t="str">
        <f t="shared" si="10"/>
        <v>G747</v>
      </c>
      <c r="P138" s="123">
        <v>543</v>
      </c>
      <c r="Q138" s="142" t="str">
        <f t="shared" si="11"/>
        <v>R543</v>
      </c>
      <c r="R138" s="123">
        <v>25.2</v>
      </c>
      <c r="S138" s="123">
        <v>8.6999999999999993</v>
      </c>
      <c r="T138" s="123">
        <v>36</v>
      </c>
      <c r="U138" s="123">
        <v>20.6</v>
      </c>
      <c r="V138" s="126" t="s">
        <v>2182</v>
      </c>
      <c r="W138" s="126" t="s">
        <v>2182</v>
      </c>
      <c r="X138" s="126" t="s">
        <v>2182</v>
      </c>
      <c r="Y138" s="123" t="s">
        <v>2182</v>
      </c>
      <c r="Z138" s="123">
        <v>16.3</v>
      </c>
      <c r="AA138" s="123" t="s">
        <v>2223</v>
      </c>
      <c r="AB138" s="123">
        <v>2.2999999999999998</v>
      </c>
      <c r="AC138" s="123">
        <v>1</v>
      </c>
      <c r="AD138" s="123"/>
    </row>
    <row r="139" spans="1:30">
      <c r="A139" s="121">
        <v>137</v>
      </c>
      <c r="B139" s="122" t="s">
        <v>2649</v>
      </c>
      <c r="C139" s="122" t="s">
        <v>2353</v>
      </c>
      <c r="D139" s="122" t="s">
        <v>2239</v>
      </c>
      <c r="E139" s="124">
        <v>42762</v>
      </c>
      <c r="F139" s="125">
        <v>0.41666666666666669</v>
      </c>
      <c r="G139" s="124">
        <v>42816</v>
      </c>
      <c r="H139" s="125">
        <v>0.67361111111111116</v>
      </c>
      <c r="I139" s="123">
        <v>681</v>
      </c>
      <c r="J139" s="123">
        <v>805</v>
      </c>
      <c r="K139" s="142" t="str">
        <f t="shared" si="8"/>
        <v>G805</v>
      </c>
      <c r="L139" s="123">
        <v>34</v>
      </c>
      <c r="M139" s="142" t="str">
        <f t="shared" si="9"/>
        <v>R34</v>
      </c>
      <c r="N139" s="123">
        <v>857</v>
      </c>
      <c r="O139" s="142" t="str">
        <f t="shared" si="10"/>
        <v>G857</v>
      </c>
      <c r="P139" s="123">
        <v>483</v>
      </c>
      <c r="Q139" s="142" t="str">
        <f t="shared" si="11"/>
        <v>R483</v>
      </c>
      <c r="R139" s="123">
        <v>26.3</v>
      </c>
      <c r="S139" s="123">
        <v>1.5</v>
      </c>
      <c r="T139" s="123">
        <v>30.7</v>
      </c>
      <c r="U139" s="123">
        <v>29.5</v>
      </c>
      <c r="V139" s="126" t="s">
        <v>2182</v>
      </c>
      <c r="W139" s="126" t="s">
        <v>2314</v>
      </c>
      <c r="X139" s="126"/>
      <c r="Y139" s="123"/>
      <c r="Z139" s="123">
        <v>32.4</v>
      </c>
      <c r="AA139" s="123" t="s">
        <v>2223</v>
      </c>
      <c r="AB139" s="123">
        <v>1.2</v>
      </c>
      <c r="AC139" s="123">
        <v>1</v>
      </c>
      <c r="AD139" s="123"/>
    </row>
    <row r="140" spans="1:30">
      <c r="A140" s="121">
        <v>138</v>
      </c>
      <c r="B140" s="122" t="s">
        <v>2649</v>
      </c>
      <c r="C140" s="122" t="s">
        <v>2354</v>
      </c>
      <c r="D140" s="122" t="s">
        <v>2239</v>
      </c>
      <c r="E140" s="124">
        <v>42762</v>
      </c>
      <c r="F140" s="125">
        <v>0.4201388888888889</v>
      </c>
      <c r="G140" s="124">
        <v>42816</v>
      </c>
      <c r="H140" s="125">
        <v>0.67708333333333337</v>
      </c>
      <c r="I140" s="123">
        <v>682</v>
      </c>
      <c r="J140" s="123">
        <v>815</v>
      </c>
      <c r="K140" s="142" t="str">
        <f t="shared" si="8"/>
        <v>G815</v>
      </c>
      <c r="L140" s="123">
        <v>426</v>
      </c>
      <c r="M140" s="142" t="str">
        <f t="shared" si="9"/>
        <v>R426</v>
      </c>
      <c r="N140" s="123">
        <v>623</v>
      </c>
      <c r="O140" s="142" t="str">
        <f t="shared" si="10"/>
        <v>G623</v>
      </c>
      <c r="P140" s="123">
        <v>21</v>
      </c>
      <c r="Q140" s="142" t="str">
        <f t="shared" si="11"/>
        <v>R21</v>
      </c>
      <c r="R140" s="123">
        <v>24.8</v>
      </c>
      <c r="S140" s="123">
        <v>6.9</v>
      </c>
      <c r="T140" s="123">
        <v>33.9</v>
      </c>
      <c r="U140" s="123">
        <v>24.1</v>
      </c>
      <c r="V140" s="126" t="s">
        <v>2182</v>
      </c>
      <c r="W140" s="126"/>
      <c r="X140" s="126" t="s">
        <v>2182</v>
      </c>
      <c r="Y140" s="123"/>
      <c r="Z140" s="123">
        <v>26.4</v>
      </c>
      <c r="AA140" s="123" t="s">
        <v>2223</v>
      </c>
      <c r="AB140" s="123">
        <v>2.8</v>
      </c>
      <c r="AC140" s="123">
        <v>1</v>
      </c>
      <c r="AD140" s="123"/>
    </row>
    <row r="141" spans="1:30">
      <c r="A141" s="121">
        <v>139</v>
      </c>
      <c r="B141" s="122" t="s">
        <v>2649</v>
      </c>
      <c r="C141" s="122" t="s">
        <v>2355</v>
      </c>
      <c r="D141" s="122" t="s">
        <v>2239</v>
      </c>
      <c r="E141" s="124">
        <v>42762</v>
      </c>
      <c r="F141" s="125">
        <v>0.4236111111111111</v>
      </c>
      <c r="G141" s="124">
        <v>42816</v>
      </c>
      <c r="H141" s="125">
        <v>0.68055555555555547</v>
      </c>
      <c r="I141" s="123">
        <v>683</v>
      </c>
      <c r="J141" s="129">
        <v>798</v>
      </c>
      <c r="K141" s="142" t="str">
        <f t="shared" si="8"/>
        <v>G798</v>
      </c>
      <c r="L141" s="123">
        <v>563</v>
      </c>
      <c r="M141" s="142" t="str">
        <f t="shared" si="9"/>
        <v>R563</v>
      </c>
      <c r="N141" s="123">
        <v>880</v>
      </c>
      <c r="O141" s="142" t="str">
        <f t="shared" si="10"/>
        <v>G880</v>
      </c>
      <c r="P141" s="123">
        <v>538</v>
      </c>
      <c r="Q141" s="142" t="str">
        <f t="shared" si="11"/>
        <v>R538</v>
      </c>
      <c r="R141" s="123">
        <v>26.7</v>
      </c>
      <c r="S141" s="123">
        <v>4.9000000000000004</v>
      </c>
      <c r="T141" s="123">
        <v>30.6</v>
      </c>
      <c r="U141" s="123">
        <v>28.8</v>
      </c>
      <c r="V141" s="126"/>
      <c r="W141" s="126" t="s">
        <v>2356</v>
      </c>
      <c r="X141" s="126" t="s">
        <v>2182</v>
      </c>
      <c r="Y141" s="123"/>
      <c r="Z141" s="123">
        <v>19.399999999999999</v>
      </c>
      <c r="AA141" s="123" t="s">
        <v>2223</v>
      </c>
      <c r="AB141" s="123">
        <v>5.7</v>
      </c>
      <c r="AC141" s="123">
        <v>1</v>
      </c>
      <c r="AD141" s="123"/>
    </row>
    <row r="142" spans="1:30">
      <c r="A142" s="121">
        <v>140</v>
      </c>
      <c r="B142" s="122" t="s">
        <v>2649</v>
      </c>
      <c r="C142" s="122" t="s">
        <v>2357</v>
      </c>
      <c r="D142" s="122" t="s">
        <v>2239</v>
      </c>
      <c r="E142" s="124">
        <v>42762</v>
      </c>
      <c r="F142" s="125">
        <v>0.43055555555555558</v>
      </c>
      <c r="G142" s="124">
        <v>42816</v>
      </c>
      <c r="H142" s="125">
        <v>0.68402777777777779</v>
      </c>
      <c r="I142" s="123">
        <v>684</v>
      </c>
      <c r="J142" s="123">
        <v>787</v>
      </c>
      <c r="K142" s="142" t="str">
        <f t="shared" si="8"/>
        <v>G787</v>
      </c>
      <c r="L142" s="123">
        <v>535</v>
      </c>
      <c r="M142" s="142" t="str">
        <f t="shared" si="9"/>
        <v>R535</v>
      </c>
      <c r="N142" s="123">
        <v>706</v>
      </c>
      <c r="O142" s="142" t="str">
        <f t="shared" si="10"/>
        <v>G706</v>
      </c>
      <c r="P142" s="123">
        <v>559</v>
      </c>
      <c r="Q142" s="142" t="str">
        <f t="shared" si="11"/>
        <v>R559</v>
      </c>
      <c r="R142" s="123">
        <v>27.6</v>
      </c>
      <c r="S142" s="123">
        <v>3.1</v>
      </c>
      <c r="T142" s="123">
        <v>34.1</v>
      </c>
      <c r="U142" s="123">
        <v>20</v>
      </c>
      <c r="V142" s="126"/>
      <c r="W142" s="126" t="s">
        <v>2182</v>
      </c>
      <c r="X142" s="126"/>
      <c r="Y142" s="123"/>
      <c r="Z142" s="123">
        <v>33.4</v>
      </c>
      <c r="AA142" s="123" t="s">
        <v>2223</v>
      </c>
      <c r="AB142" s="123">
        <v>1.4</v>
      </c>
      <c r="AC142" s="123">
        <v>1</v>
      </c>
      <c r="AD142" s="123"/>
    </row>
    <row r="143" spans="1:30">
      <c r="A143" s="121">
        <v>141</v>
      </c>
      <c r="B143" s="122" t="s">
        <v>2649</v>
      </c>
      <c r="C143" s="122" t="s">
        <v>2358</v>
      </c>
      <c r="D143" s="122" t="s">
        <v>2239</v>
      </c>
      <c r="E143" s="124">
        <v>42762</v>
      </c>
      <c r="F143" s="125">
        <v>0.43402777777777773</v>
      </c>
      <c r="G143" s="124">
        <v>42816</v>
      </c>
      <c r="H143" s="125">
        <v>0.6875</v>
      </c>
      <c r="I143" s="123">
        <v>685</v>
      </c>
      <c r="J143" s="123">
        <v>900</v>
      </c>
      <c r="K143" s="142" t="str">
        <f t="shared" si="8"/>
        <v>G900</v>
      </c>
      <c r="L143" s="123">
        <v>581</v>
      </c>
      <c r="M143" s="142" t="str">
        <f t="shared" si="9"/>
        <v>R581</v>
      </c>
      <c r="N143" s="123">
        <v>775</v>
      </c>
      <c r="O143" s="142" t="str">
        <f t="shared" si="10"/>
        <v>G775</v>
      </c>
      <c r="P143" s="123">
        <v>465</v>
      </c>
      <c r="Q143" s="142" t="str">
        <f t="shared" si="11"/>
        <v>R465</v>
      </c>
      <c r="R143" s="123">
        <v>26.1</v>
      </c>
      <c r="S143" s="123">
        <v>5.3</v>
      </c>
      <c r="T143" s="123">
        <v>35.4</v>
      </c>
      <c r="U143" s="123">
        <v>14.1</v>
      </c>
      <c r="V143" s="126" t="s">
        <v>2201</v>
      </c>
      <c r="W143" s="126" t="s">
        <v>2198</v>
      </c>
      <c r="X143" s="126"/>
      <c r="Y143" s="123"/>
      <c r="Z143" s="123">
        <v>28.4</v>
      </c>
      <c r="AA143" s="123" t="s">
        <v>2223</v>
      </c>
      <c r="AB143" s="123">
        <v>1.4</v>
      </c>
      <c r="AC143" s="123">
        <v>1</v>
      </c>
      <c r="AD143" s="123"/>
    </row>
    <row r="144" spans="1:30">
      <c r="A144" s="121">
        <v>142</v>
      </c>
      <c r="B144" s="122" t="s">
        <v>2649</v>
      </c>
      <c r="C144" s="122" t="s">
        <v>2359</v>
      </c>
      <c r="D144" s="122" t="s">
        <v>2239</v>
      </c>
      <c r="E144" s="124">
        <v>42762</v>
      </c>
      <c r="F144" s="125">
        <v>0.44097222222222227</v>
      </c>
      <c r="G144" s="124">
        <v>42816</v>
      </c>
      <c r="H144" s="125">
        <v>0.69444444444444453</v>
      </c>
      <c r="I144" s="123">
        <v>686</v>
      </c>
      <c r="J144" s="123">
        <v>817</v>
      </c>
      <c r="K144" s="142" t="str">
        <f t="shared" si="8"/>
        <v>G817</v>
      </c>
      <c r="L144" s="123">
        <v>460</v>
      </c>
      <c r="M144" s="142" t="str">
        <f t="shared" si="9"/>
        <v>R460</v>
      </c>
      <c r="N144" s="123">
        <v>850</v>
      </c>
      <c r="O144" s="142" t="str">
        <f t="shared" si="10"/>
        <v>G850</v>
      </c>
      <c r="P144" s="123">
        <v>503</v>
      </c>
      <c r="Q144" s="142" t="str">
        <f t="shared" si="11"/>
        <v>R503</v>
      </c>
      <c r="R144" s="123">
        <v>28.5</v>
      </c>
      <c r="S144" s="123">
        <v>7.4</v>
      </c>
      <c r="T144" s="123">
        <v>29</v>
      </c>
      <c r="U144" s="123">
        <v>23.6</v>
      </c>
      <c r="V144" s="126" t="s">
        <v>2174</v>
      </c>
      <c r="W144" s="126" t="s">
        <v>2174</v>
      </c>
      <c r="X144" s="126"/>
      <c r="Y144" s="123" t="s">
        <v>2182</v>
      </c>
      <c r="Z144" s="123">
        <v>33.799999999999997</v>
      </c>
      <c r="AA144" s="123" t="s">
        <v>2223</v>
      </c>
      <c r="AB144" s="123">
        <v>1.7</v>
      </c>
      <c r="AC144" s="123">
        <v>1</v>
      </c>
      <c r="AD144" s="123"/>
    </row>
    <row r="145" spans="1:30">
      <c r="A145" s="121">
        <v>143</v>
      </c>
      <c r="B145" s="122" t="s">
        <v>2649</v>
      </c>
      <c r="C145" s="122" t="s">
        <v>2360</v>
      </c>
      <c r="D145" s="122" t="s">
        <v>2239</v>
      </c>
      <c r="E145" s="124">
        <v>42762</v>
      </c>
      <c r="F145" s="125">
        <v>0.44444444444444442</v>
      </c>
      <c r="G145" s="124">
        <v>42816</v>
      </c>
      <c r="H145" s="125">
        <v>0.69791666666666663</v>
      </c>
      <c r="I145" s="123">
        <v>687</v>
      </c>
      <c r="J145" s="123">
        <v>836</v>
      </c>
      <c r="K145" s="142" t="str">
        <f t="shared" si="8"/>
        <v>G836</v>
      </c>
      <c r="L145" s="123">
        <v>456</v>
      </c>
      <c r="M145" s="142" t="str">
        <f t="shared" si="9"/>
        <v>R456</v>
      </c>
      <c r="N145" s="123">
        <v>697</v>
      </c>
      <c r="O145" s="142" t="str">
        <f t="shared" si="10"/>
        <v>G697</v>
      </c>
      <c r="P145" s="123">
        <v>567</v>
      </c>
      <c r="Q145" s="142" t="str">
        <f t="shared" si="11"/>
        <v>R567</v>
      </c>
      <c r="R145" s="123">
        <v>29</v>
      </c>
      <c r="S145" s="123">
        <v>5.6</v>
      </c>
      <c r="T145" s="123">
        <v>32.799999999999997</v>
      </c>
      <c r="U145" s="123">
        <v>23.4</v>
      </c>
      <c r="V145" s="126" t="s">
        <v>2182</v>
      </c>
      <c r="W145" s="126"/>
      <c r="X145" s="126" t="s">
        <v>2182</v>
      </c>
      <c r="Y145" s="123"/>
      <c r="Z145" s="123">
        <v>23.4</v>
      </c>
      <c r="AA145" s="123" t="s">
        <v>2223</v>
      </c>
      <c r="AB145" s="123">
        <v>2</v>
      </c>
      <c r="AC145" s="123">
        <v>1</v>
      </c>
      <c r="AD145" s="123"/>
    </row>
    <row r="146" spans="1:30">
      <c r="A146" s="121">
        <v>144</v>
      </c>
      <c r="B146" s="122" t="s">
        <v>2649</v>
      </c>
      <c r="C146" s="122" t="s">
        <v>2361</v>
      </c>
      <c r="D146" s="122" t="s">
        <v>2239</v>
      </c>
      <c r="E146" s="124">
        <v>42762</v>
      </c>
      <c r="F146" s="125">
        <v>0.44791666666666669</v>
      </c>
      <c r="G146" s="124">
        <v>42816</v>
      </c>
      <c r="H146" s="125">
        <v>0.70138888888888884</v>
      </c>
      <c r="I146" s="123">
        <v>688</v>
      </c>
      <c r="J146" s="123">
        <v>784</v>
      </c>
      <c r="K146" s="142" t="str">
        <f t="shared" si="8"/>
        <v>G784</v>
      </c>
      <c r="L146" s="123">
        <v>571</v>
      </c>
      <c r="M146" s="142" t="str">
        <f t="shared" si="9"/>
        <v>R571</v>
      </c>
      <c r="N146" s="123">
        <v>894</v>
      </c>
      <c r="O146" s="142" t="str">
        <f t="shared" si="10"/>
        <v>G894</v>
      </c>
      <c r="P146" s="123">
        <v>15</v>
      </c>
      <c r="Q146" s="142" t="str">
        <f t="shared" si="11"/>
        <v>R15</v>
      </c>
      <c r="R146" s="123">
        <v>28.3</v>
      </c>
      <c r="S146" s="123">
        <v>6.5</v>
      </c>
      <c r="T146" s="123">
        <v>34.5</v>
      </c>
      <c r="U146" s="123">
        <v>27.8</v>
      </c>
      <c r="V146" s="126" t="s">
        <v>2182</v>
      </c>
      <c r="W146" s="126" t="s">
        <v>2174</v>
      </c>
      <c r="X146" s="126" t="s">
        <v>2182</v>
      </c>
      <c r="Y146" s="123"/>
      <c r="Z146" s="123">
        <v>19.8</v>
      </c>
      <c r="AA146" s="123" t="s">
        <v>2223</v>
      </c>
      <c r="AB146" s="123">
        <v>2.5</v>
      </c>
      <c r="AC146" s="123">
        <v>1</v>
      </c>
      <c r="AD146" s="123"/>
    </row>
    <row r="147" spans="1:30">
      <c r="A147" s="121">
        <v>145</v>
      </c>
      <c r="B147" s="122" t="s">
        <v>2649</v>
      </c>
      <c r="C147" s="122" t="s">
        <v>2362</v>
      </c>
      <c r="D147" s="122" t="s">
        <v>2251</v>
      </c>
      <c r="E147" s="124">
        <v>42762</v>
      </c>
      <c r="F147" s="125">
        <v>0.4548611111111111</v>
      </c>
      <c r="G147" s="124">
        <v>42815</v>
      </c>
      <c r="H147" s="125">
        <v>0.69097222222222221</v>
      </c>
      <c r="I147" s="123">
        <v>698</v>
      </c>
      <c r="J147" s="123">
        <v>902</v>
      </c>
      <c r="K147" s="142" t="str">
        <f t="shared" si="8"/>
        <v>G902</v>
      </c>
      <c r="L147" s="123">
        <v>27</v>
      </c>
      <c r="M147" s="142" t="str">
        <f t="shared" si="9"/>
        <v>R27</v>
      </c>
      <c r="N147" s="129">
        <v>653</v>
      </c>
      <c r="O147" s="142" t="str">
        <f t="shared" si="10"/>
        <v>G653</v>
      </c>
      <c r="P147" s="123">
        <v>40</v>
      </c>
      <c r="Q147" s="142" t="str">
        <f t="shared" si="11"/>
        <v>R40</v>
      </c>
      <c r="R147" s="123">
        <v>27.4</v>
      </c>
      <c r="S147" s="123">
        <v>16.8</v>
      </c>
      <c r="T147" s="123">
        <v>34.4</v>
      </c>
      <c r="U147" s="123">
        <v>37.6</v>
      </c>
      <c r="V147" s="123" t="s">
        <v>2182</v>
      </c>
      <c r="W147" s="126"/>
      <c r="X147" s="126"/>
      <c r="Y147" s="126"/>
      <c r="Z147" s="123">
        <v>13</v>
      </c>
      <c r="AA147" s="123" t="s">
        <v>2245</v>
      </c>
      <c r="AB147" s="123">
        <v>3.95</v>
      </c>
      <c r="AC147" s="123">
        <v>0</v>
      </c>
      <c r="AD147" s="123"/>
    </row>
    <row r="148" spans="1:30">
      <c r="A148" s="121">
        <v>146</v>
      </c>
      <c r="B148" s="122" t="s">
        <v>2649</v>
      </c>
      <c r="C148" s="122" t="s">
        <v>2363</v>
      </c>
      <c r="D148" s="122" t="s">
        <v>2251</v>
      </c>
      <c r="E148" s="124">
        <v>42762</v>
      </c>
      <c r="F148" s="125">
        <v>0.5</v>
      </c>
      <c r="G148" s="124">
        <v>42815</v>
      </c>
      <c r="H148" s="125">
        <v>0.69444444444444453</v>
      </c>
      <c r="I148" s="123">
        <v>699</v>
      </c>
      <c r="J148" s="123">
        <v>689</v>
      </c>
      <c r="K148" s="142" t="str">
        <f t="shared" si="8"/>
        <v>G689</v>
      </c>
      <c r="L148" s="123">
        <v>492</v>
      </c>
      <c r="M148" s="142" t="str">
        <f t="shared" si="9"/>
        <v>R492</v>
      </c>
      <c r="N148" s="123">
        <v>762</v>
      </c>
      <c r="O148" s="142" t="str">
        <f t="shared" si="10"/>
        <v>G762</v>
      </c>
      <c r="P148" s="123">
        <v>468</v>
      </c>
      <c r="Q148" s="142" t="str">
        <f t="shared" si="11"/>
        <v>R468</v>
      </c>
      <c r="R148" s="123">
        <v>27.2</v>
      </c>
      <c r="S148" s="123">
        <v>15.7</v>
      </c>
      <c r="T148" s="123">
        <v>33.9</v>
      </c>
      <c r="U148" s="123">
        <v>29.6</v>
      </c>
      <c r="V148" s="123" t="s">
        <v>2201</v>
      </c>
      <c r="W148" s="126"/>
      <c r="X148" s="126" t="s">
        <v>2182</v>
      </c>
      <c r="Y148" s="126"/>
      <c r="Z148" s="123">
        <v>17.7</v>
      </c>
      <c r="AA148" s="123" t="s">
        <v>2245</v>
      </c>
      <c r="AB148" s="123">
        <v>2.75</v>
      </c>
      <c r="AC148" s="123">
        <v>1</v>
      </c>
      <c r="AD148" s="123"/>
    </row>
    <row r="149" spans="1:30">
      <c r="A149" s="121">
        <v>147</v>
      </c>
      <c r="B149" s="122" t="s">
        <v>2649</v>
      </c>
      <c r="C149" s="122" t="s">
        <v>2364</v>
      </c>
      <c r="D149" s="122" t="s">
        <v>2251</v>
      </c>
      <c r="E149" s="124">
        <v>42762</v>
      </c>
      <c r="F149" s="125">
        <v>0.50347222222222221</v>
      </c>
      <c r="G149" s="124">
        <v>42816</v>
      </c>
      <c r="H149" s="125">
        <v>0.70138888888888884</v>
      </c>
      <c r="I149" s="123">
        <v>700</v>
      </c>
      <c r="J149" s="123">
        <v>678</v>
      </c>
      <c r="K149" s="142" t="str">
        <f t="shared" si="8"/>
        <v>G678</v>
      </c>
      <c r="L149" s="123">
        <v>573</v>
      </c>
      <c r="M149" s="142" t="str">
        <f t="shared" si="9"/>
        <v>R573</v>
      </c>
      <c r="N149" s="123">
        <v>878</v>
      </c>
      <c r="O149" s="142" t="str">
        <f t="shared" si="10"/>
        <v>G878</v>
      </c>
      <c r="P149" s="123">
        <v>582</v>
      </c>
      <c r="Q149" s="142" t="str">
        <f t="shared" si="11"/>
        <v>R582</v>
      </c>
      <c r="R149" s="123">
        <v>27.3</v>
      </c>
      <c r="S149" s="123">
        <v>9.6</v>
      </c>
      <c r="T149" s="123">
        <v>32.5</v>
      </c>
      <c r="U149" s="123">
        <v>37.1</v>
      </c>
      <c r="V149" s="123"/>
      <c r="W149" s="126"/>
      <c r="X149" s="126"/>
      <c r="Y149" s="126"/>
      <c r="Z149" s="123">
        <v>19</v>
      </c>
      <c r="AA149" s="123" t="s">
        <v>2175</v>
      </c>
      <c r="AB149" s="123">
        <v>3.6</v>
      </c>
      <c r="AC149" s="123">
        <v>1</v>
      </c>
      <c r="AD149" s="123"/>
    </row>
    <row r="150" spans="1:30">
      <c r="A150" s="121">
        <v>148</v>
      </c>
      <c r="B150" s="122" t="s">
        <v>2649</v>
      </c>
      <c r="C150" s="122" t="s">
        <v>2365</v>
      </c>
      <c r="D150" s="122" t="s">
        <v>2251</v>
      </c>
      <c r="E150" s="124">
        <v>42762</v>
      </c>
      <c r="F150" s="125">
        <v>0.50694444444444442</v>
      </c>
      <c r="G150" s="124">
        <v>42816</v>
      </c>
      <c r="H150" s="125">
        <v>0.37847222222222227</v>
      </c>
      <c r="I150" s="123">
        <v>701</v>
      </c>
      <c r="J150" s="123">
        <v>835</v>
      </c>
      <c r="K150" s="142" t="str">
        <f t="shared" si="8"/>
        <v>G835</v>
      </c>
      <c r="L150" s="123">
        <v>472</v>
      </c>
      <c r="M150" s="142" t="str">
        <f t="shared" si="9"/>
        <v>R472</v>
      </c>
      <c r="N150" s="123">
        <v>807</v>
      </c>
      <c r="O150" s="142" t="str">
        <f t="shared" si="10"/>
        <v>G807</v>
      </c>
      <c r="P150" s="123">
        <v>20</v>
      </c>
      <c r="Q150" s="142" t="str">
        <f t="shared" si="11"/>
        <v>R20</v>
      </c>
      <c r="R150" s="123">
        <v>27.4</v>
      </c>
      <c r="S150" s="123">
        <v>18.100000000000001</v>
      </c>
      <c r="T150" s="123">
        <v>23.2</v>
      </c>
      <c r="U150" s="123">
        <v>38.299999999999997</v>
      </c>
      <c r="V150" s="123" t="s">
        <v>2174</v>
      </c>
      <c r="W150" s="126" t="s">
        <v>2174</v>
      </c>
      <c r="X150" s="126" t="s">
        <v>2182</v>
      </c>
      <c r="Y150" s="126"/>
      <c r="Z150" s="123">
        <v>17.489999999999998</v>
      </c>
      <c r="AA150" s="123" t="s">
        <v>2175</v>
      </c>
      <c r="AB150" s="123">
        <v>4.9000000000000004</v>
      </c>
      <c r="AC150" s="123">
        <v>1</v>
      </c>
      <c r="AD150" s="123"/>
    </row>
    <row r="151" spans="1:30">
      <c r="A151" s="121">
        <v>149</v>
      </c>
      <c r="B151" s="122" t="s">
        <v>2649</v>
      </c>
      <c r="C151" s="122" t="s">
        <v>2366</v>
      </c>
      <c r="D151" s="122" t="s">
        <v>2251</v>
      </c>
      <c r="E151" s="124">
        <v>42762</v>
      </c>
      <c r="F151" s="125">
        <v>0.51041666666666663</v>
      </c>
      <c r="G151" s="124">
        <v>42816</v>
      </c>
      <c r="H151" s="125">
        <v>0.38541666666666669</v>
      </c>
      <c r="I151" s="123">
        <v>702</v>
      </c>
      <c r="J151" s="129">
        <v>733</v>
      </c>
      <c r="K151" s="142" t="str">
        <f t="shared" si="8"/>
        <v>G733</v>
      </c>
      <c r="L151" s="123">
        <v>545</v>
      </c>
      <c r="M151" s="142" t="str">
        <f t="shared" si="9"/>
        <v>R545</v>
      </c>
      <c r="N151" s="123">
        <v>696</v>
      </c>
      <c r="O151" s="142" t="str">
        <f t="shared" si="10"/>
        <v>G696</v>
      </c>
      <c r="P151" s="123">
        <v>533</v>
      </c>
      <c r="Q151" s="142" t="str">
        <f t="shared" si="11"/>
        <v>R533</v>
      </c>
      <c r="R151" s="123">
        <v>29.7</v>
      </c>
      <c r="S151" s="123">
        <v>11.7</v>
      </c>
      <c r="T151" s="123">
        <v>24.1</v>
      </c>
      <c r="U151" s="123">
        <v>39.1</v>
      </c>
      <c r="V151" s="123"/>
      <c r="W151" s="126"/>
      <c r="X151" s="126"/>
      <c r="Y151" s="126"/>
      <c r="Z151" s="123">
        <v>13</v>
      </c>
      <c r="AA151" s="123" t="s">
        <v>2175</v>
      </c>
      <c r="AB151" s="123">
        <v>2.8</v>
      </c>
      <c r="AC151" s="123">
        <v>1</v>
      </c>
      <c r="AD151" s="123"/>
    </row>
    <row r="152" spans="1:30">
      <c r="A152" s="121">
        <v>150</v>
      </c>
      <c r="B152" s="122" t="s">
        <v>2649</v>
      </c>
      <c r="C152" s="122" t="s">
        <v>2367</v>
      </c>
      <c r="D152" s="122" t="s">
        <v>2251</v>
      </c>
      <c r="E152" s="124">
        <v>42762</v>
      </c>
      <c r="F152" s="125">
        <v>0.51388888888888895</v>
      </c>
      <c r="G152" s="124">
        <v>42816</v>
      </c>
      <c r="H152" s="125">
        <v>0.3923611111111111</v>
      </c>
      <c r="I152" s="123">
        <v>703</v>
      </c>
      <c r="J152" s="123">
        <v>658</v>
      </c>
      <c r="K152" s="142" t="str">
        <f t="shared" si="8"/>
        <v>G658</v>
      </c>
      <c r="L152" s="123">
        <v>7</v>
      </c>
      <c r="M152" s="142" t="str">
        <f t="shared" si="9"/>
        <v>R7</v>
      </c>
      <c r="N152" s="123">
        <v>801</v>
      </c>
      <c r="O152" s="142" t="str">
        <f t="shared" si="10"/>
        <v>G801</v>
      </c>
      <c r="P152" s="123">
        <v>572</v>
      </c>
      <c r="Q152" s="142" t="str">
        <f t="shared" si="11"/>
        <v>R572</v>
      </c>
      <c r="R152" s="123">
        <v>26.5</v>
      </c>
      <c r="S152" s="123">
        <v>9.1</v>
      </c>
      <c r="T152" s="123">
        <v>23</v>
      </c>
      <c r="U152" s="123">
        <v>36</v>
      </c>
      <c r="V152" s="123"/>
      <c r="W152" s="126"/>
      <c r="X152" s="126"/>
      <c r="Y152" s="126"/>
      <c r="Z152" s="123">
        <v>19</v>
      </c>
      <c r="AA152" s="123" t="s">
        <v>2245</v>
      </c>
      <c r="AB152" s="123">
        <v>2.75</v>
      </c>
      <c r="AC152" s="123">
        <v>0</v>
      </c>
      <c r="AD152" s="123"/>
    </row>
    <row r="153" spans="1:30">
      <c r="A153" s="121">
        <v>151</v>
      </c>
      <c r="B153" s="122" t="s">
        <v>2649</v>
      </c>
      <c r="C153" s="122" t="s">
        <v>2368</v>
      </c>
      <c r="D153" s="122" t="s">
        <v>2251</v>
      </c>
      <c r="E153" s="124">
        <v>42762</v>
      </c>
      <c r="F153" s="125">
        <v>0.52083333333333337</v>
      </c>
      <c r="G153" s="124">
        <v>42816</v>
      </c>
      <c r="H153" s="125">
        <v>0.39930555555555558</v>
      </c>
      <c r="I153" s="123">
        <v>704</v>
      </c>
      <c r="J153" s="123">
        <v>567</v>
      </c>
      <c r="K153" s="142" t="str">
        <f t="shared" si="8"/>
        <v>G567</v>
      </c>
      <c r="L153" s="123">
        <v>447</v>
      </c>
      <c r="M153" s="142" t="str">
        <f t="shared" si="9"/>
        <v>R447</v>
      </c>
      <c r="N153" s="123">
        <v>647</v>
      </c>
      <c r="O153" s="142" t="str">
        <f t="shared" si="10"/>
        <v>G647</v>
      </c>
      <c r="P153" s="123">
        <v>504</v>
      </c>
      <c r="Q153" s="142" t="str">
        <f t="shared" si="11"/>
        <v>R504</v>
      </c>
      <c r="R153" s="123">
        <v>29</v>
      </c>
      <c r="S153" s="123">
        <v>17.3</v>
      </c>
      <c r="T153" s="123">
        <v>24</v>
      </c>
      <c r="U153" s="123">
        <v>34.799999999999997</v>
      </c>
      <c r="V153" s="123" t="s">
        <v>2182</v>
      </c>
      <c r="W153" s="126"/>
      <c r="X153" s="126" t="s">
        <v>2182</v>
      </c>
      <c r="Y153" s="126"/>
      <c r="Z153" s="123">
        <v>7.9</v>
      </c>
      <c r="AA153" s="123" t="s">
        <v>2245</v>
      </c>
      <c r="AB153" s="123">
        <v>1.4</v>
      </c>
      <c r="AC153" s="123">
        <v>1</v>
      </c>
      <c r="AD153" s="123"/>
    </row>
    <row r="154" spans="1:30">
      <c r="A154" s="121">
        <v>152</v>
      </c>
      <c r="B154" s="122" t="s">
        <v>2649</v>
      </c>
      <c r="C154" s="122" t="s">
        <v>2369</v>
      </c>
      <c r="D154" s="122" t="s">
        <v>2251</v>
      </c>
      <c r="E154" s="124">
        <v>42762</v>
      </c>
      <c r="F154" s="125">
        <v>0.52430555555555558</v>
      </c>
      <c r="G154" s="124">
        <v>42816</v>
      </c>
      <c r="H154" s="125">
        <v>0.40625</v>
      </c>
      <c r="I154" s="123">
        <v>705</v>
      </c>
      <c r="J154" s="123">
        <v>853</v>
      </c>
      <c r="K154" s="142" t="str">
        <f t="shared" si="8"/>
        <v>G853</v>
      </c>
      <c r="L154" s="123">
        <v>591</v>
      </c>
      <c r="M154" s="142" t="str">
        <f t="shared" si="9"/>
        <v>R591</v>
      </c>
      <c r="N154" s="123">
        <v>744</v>
      </c>
      <c r="O154" s="142" t="str">
        <f t="shared" si="10"/>
        <v>G744</v>
      </c>
      <c r="P154" s="123">
        <v>579</v>
      </c>
      <c r="Q154" s="142" t="str">
        <f t="shared" si="11"/>
        <v>R579</v>
      </c>
      <c r="R154" s="123">
        <v>24.9</v>
      </c>
      <c r="S154" s="123">
        <v>10</v>
      </c>
      <c r="T154" s="123">
        <v>22.5</v>
      </c>
      <c r="U154" s="123">
        <v>27.6</v>
      </c>
      <c r="V154" s="123"/>
      <c r="W154" s="126" t="s">
        <v>2182</v>
      </c>
      <c r="X154" s="126" t="s">
        <v>2182</v>
      </c>
      <c r="Y154" s="126"/>
      <c r="Z154" s="123">
        <v>15</v>
      </c>
      <c r="AA154" s="123" t="s">
        <v>2175</v>
      </c>
      <c r="AB154" s="123">
        <v>2.2000000000000002</v>
      </c>
      <c r="AC154" s="123">
        <v>0</v>
      </c>
      <c r="AD154" s="123" t="s">
        <v>2370</v>
      </c>
    </row>
    <row r="155" spans="1:30">
      <c r="A155" s="121">
        <v>153</v>
      </c>
      <c r="B155" s="122" t="s">
        <v>2649</v>
      </c>
      <c r="C155" s="122" t="s">
        <v>2371</v>
      </c>
      <c r="D155" s="122" t="s">
        <v>2260</v>
      </c>
      <c r="E155" s="124">
        <v>42762</v>
      </c>
      <c r="F155" s="125">
        <v>0.53125</v>
      </c>
      <c r="G155" s="124">
        <v>42816</v>
      </c>
      <c r="H155" s="125">
        <v>0.41666666666666669</v>
      </c>
      <c r="I155" s="123">
        <v>710</v>
      </c>
      <c r="J155" s="123">
        <v>800</v>
      </c>
      <c r="K155" s="142" t="str">
        <f t="shared" si="8"/>
        <v>G800</v>
      </c>
      <c r="L155" s="123">
        <v>479</v>
      </c>
      <c r="M155" s="142" t="str">
        <f t="shared" si="9"/>
        <v>R479</v>
      </c>
      <c r="N155" s="123">
        <v>885</v>
      </c>
      <c r="O155" s="142" t="str">
        <f t="shared" si="10"/>
        <v>G885</v>
      </c>
      <c r="P155" s="123">
        <v>440</v>
      </c>
      <c r="Q155" s="142" t="str">
        <f t="shared" si="11"/>
        <v>R440</v>
      </c>
      <c r="R155" s="123">
        <v>28.6</v>
      </c>
      <c r="S155" s="123">
        <v>11.4</v>
      </c>
      <c r="T155" s="123">
        <v>24.8</v>
      </c>
      <c r="U155" s="123">
        <v>31.3</v>
      </c>
      <c r="V155" s="123" t="s">
        <v>2182</v>
      </c>
      <c r="W155" s="126" t="s">
        <v>2195</v>
      </c>
      <c r="X155" s="126" t="s">
        <v>2182</v>
      </c>
      <c r="Y155" s="126"/>
      <c r="Z155" s="123">
        <v>16.399999999999999</v>
      </c>
      <c r="AA155" s="123" t="s">
        <v>2223</v>
      </c>
      <c r="AB155" s="123">
        <v>2.1</v>
      </c>
      <c r="AC155" s="123">
        <v>0</v>
      </c>
      <c r="AD155" s="123"/>
    </row>
    <row r="156" spans="1:30">
      <c r="A156" s="121">
        <v>154</v>
      </c>
      <c r="B156" s="122" t="s">
        <v>2649</v>
      </c>
      <c r="C156" s="122" t="s">
        <v>2372</v>
      </c>
      <c r="D156" s="122" t="s">
        <v>2260</v>
      </c>
      <c r="E156" s="124">
        <v>42762</v>
      </c>
      <c r="F156" s="125">
        <v>0.53819444444444442</v>
      </c>
      <c r="G156" s="124">
        <v>42816</v>
      </c>
      <c r="H156" s="125">
        <v>0.4236111111111111</v>
      </c>
      <c r="I156" s="123">
        <v>711</v>
      </c>
      <c r="J156" s="123">
        <v>675</v>
      </c>
      <c r="K156" s="142" t="str">
        <f t="shared" si="8"/>
        <v>G675</v>
      </c>
      <c r="L156" s="123">
        <v>493</v>
      </c>
      <c r="M156" s="142" t="str">
        <f t="shared" si="9"/>
        <v>R493</v>
      </c>
      <c r="N156" s="123">
        <v>684</v>
      </c>
      <c r="O156" s="142" t="str">
        <f t="shared" si="10"/>
        <v>G684</v>
      </c>
      <c r="P156" s="123">
        <v>485</v>
      </c>
      <c r="Q156" s="142" t="str">
        <f t="shared" si="11"/>
        <v>R485</v>
      </c>
      <c r="R156" s="123">
        <v>28.5</v>
      </c>
      <c r="S156" s="123">
        <v>7.8</v>
      </c>
      <c r="T156" s="123">
        <v>22.9</v>
      </c>
      <c r="U156" s="123">
        <v>39.200000000000003</v>
      </c>
      <c r="V156" s="123" t="s">
        <v>2190</v>
      </c>
      <c r="W156" s="126" t="s">
        <v>2190</v>
      </c>
      <c r="X156" s="126" t="s">
        <v>2182</v>
      </c>
      <c r="Y156" s="126"/>
      <c r="Z156" s="123">
        <v>9</v>
      </c>
      <c r="AA156" s="123" t="s">
        <v>2223</v>
      </c>
      <c r="AB156" s="123">
        <v>2.15</v>
      </c>
      <c r="AC156" s="123">
        <v>0</v>
      </c>
      <c r="AD156" s="123"/>
    </row>
    <row r="157" spans="1:30">
      <c r="A157" s="121">
        <v>155</v>
      </c>
      <c r="B157" s="122" t="s">
        <v>2649</v>
      </c>
      <c r="C157" s="122" t="s">
        <v>2373</v>
      </c>
      <c r="D157" s="122" t="s">
        <v>2260</v>
      </c>
      <c r="E157" s="124">
        <v>42762</v>
      </c>
      <c r="F157" s="125">
        <v>0.54166666666666663</v>
      </c>
      <c r="G157" s="124">
        <v>42816</v>
      </c>
      <c r="H157" s="125">
        <v>0.43055555555555558</v>
      </c>
      <c r="I157" s="123">
        <v>712</v>
      </c>
      <c r="J157" s="123">
        <v>859</v>
      </c>
      <c r="K157" s="142" t="str">
        <f t="shared" si="8"/>
        <v>G859</v>
      </c>
      <c r="L157" s="123">
        <v>484</v>
      </c>
      <c r="M157" s="142" t="str">
        <f t="shared" si="9"/>
        <v>R484</v>
      </c>
      <c r="N157" s="123">
        <v>827</v>
      </c>
      <c r="O157" s="142" t="str">
        <f t="shared" si="10"/>
        <v>G827</v>
      </c>
      <c r="P157" s="123">
        <v>556</v>
      </c>
      <c r="Q157" s="142" t="str">
        <f t="shared" si="11"/>
        <v>R556</v>
      </c>
      <c r="R157" s="123">
        <v>30.4</v>
      </c>
      <c r="S157" s="123">
        <v>14.8</v>
      </c>
      <c r="T157" s="123">
        <v>23.2</v>
      </c>
      <c r="U157" s="123">
        <v>32.700000000000003</v>
      </c>
      <c r="V157" s="123" t="s">
        <v>2182</v>
      </c>
      <c r="W157" s="126" t="s">
        <v>2182</v>
      </c>
      <c r="X157" s="126"/>
      <c r="Y157" s="126"/>
      <c r="Z157" s="123">
        <v>11</v>
      </c>
      <c r="AA157" s="123" t="s">
        <v>2223</v>
      </c>
      <c r="AB157" s="123">
        <v>1.2</v>
      </c>
      <c r="AC157" s="123">
        <v>0</v>
      </c>
      <c r="AD157" s="123"/>
    </row>
    <row r="158" spans="1:30">
      <c r="A158" s="121">
        <v>156</v>
      </c>
      <c r="B158" s="122" t="s">
        <v>2649</v>
      </c>
      <c r="C158" s="122" t="s">
        <v>2374</v>
      </c>
      <c r="D158" s="122" t="s">
        <v>2260</v>
      </c>
      <c r="E158" s="124">
        <v>42762</v>
      </c>
      <c r="F158" s="125">
        <v>0.54513888888888895</v>
      </c>
      <c r="G158" s="124">
        <v>42816</v>
      </c>
      <c r="H158" s="125">
        <v>0.4375</v>
      </c>
      <c r="I158" s="123">
        <v>713</v>
      </c>
      <c r="J158" s="123">
        <v>654</v>
      </c>
      <c r="K158" s="142" t="str">
        <f t="shared" si="8"/>
        <v>G654</v>
      </c>
      <c r="L158" s="123">
        <v>598</v>
      </c>
      <c r="M158" s="142" t="str">
        <f t="shared" si="9"/>
        <v>R598</v>
      </c>
      <c r="N158" s="123">
        <v>667</v>
      </c>
      <c r="O158" s="142" t="str">
        <f t="shared" si="10"/>
        <v>G667</v>
      </c>
      <c r="P158" s="123">
        <v>464</v>
      </c>
      <c r="Q158" s="142" t="str">
        <f t="shared" si="11"/>
        <v>R464</v>
      </c>
      <c r="R158" s="123">
        <v>29.5</v>
      </c>
      <c r="S158" s="123">
        <v>10.8</v>
      </c>
      <c r="T158" s="123">
        <v>24.4</v>
      </c>
      <c r="U158" s="123">
        <v>32.6</v>
      </c>
      <c r="V158" s="123" t="s">
        <v>2174</v>
      </c>
      <c r="W158" s="126" t="s">
        <v>2182</v>
      </c>
      <c r="X158" s="126" t="s">
        <v>2182</v>
      </c>
      <c r="Y158" s="126" t="s">
        <v>2182</v>
      </c>
      <c r="Z158" s="123">
        <v>9.1</v>
      </c>
      <c r="AA158" s="123" t="s">
        <v>2245</v>
      </c>
      <c r="AB158" s="123">
        <v>1.55</v>
      </c>
      <c r="AC158" s="123">
        <v>0</v>
      </c>
      <c r="AD158" s="123" t="s">
        <v>2375</v>
      </c>
    </row>
    <row r="159" spans="1:30">
      <c r="A159" s="121">
        <v>157</v>
      </c>
      <c r="B159" s="122" t="s">
        <v>2649</v>
      </c>
      <c r="C159" s="122" t="s">
        <v>2376</v>
      </c>
      <c r="D159" s="122" t="s">
        <v>2260</v>
      </c>
      <c r="E159" s="124">
        <v>42762</v>
      </c>
      <c r="F159" s="125">
        <v>0.54513888888888895</v>
      </c>
      <c r="G159" s="124">
        <v>42816</v>
      </c>
      <c r="H159" s="125">
        <v>0.44097222222222227</v>
      </c>
      <c r="I159" s="123">
        <v>714</v>
      </c>
      <c r="J159" s="123">
        <v>890</v>
      </c>
      <c r="K159" s="142" t="str">
        <f t="shared" si="8"/>
        <v>G890</v>
      </c>
      <c r="L159" s="123">
        <v>30</v>
      </c>
      <c r="M159" s="142" t="str">
        <f t="shared" si="9"/>
        <v>R30</v>
      </c>
      <c r="N159" s="123">
        <v>777</v>
      </c>
      <c r="O159" s="142" t="str">
        <f t="shared" si="10"/>
        <v>G777</v>
      </c>
      <c r="P159" s="123">
        <v>35</v>
      </c>
      <c r="Q159" s="142" t="str">
        <f t="shared" si="11"/>
        <v>R35</v>
      </c>
      <c r="R159" s="123">
        <v>32</v>
      </c>
      <c r="S159" s="123">
        <v>10.199999999999999</v>
      </c>
      <c r="T159" s="123">
        <v>26.4</v>
      </c>
      <c r="U159" s="123">
        <v>35</v>
      </c>
      <c r="V159" s="123" t="s">
        <v>2182</v>
      </c>
      <c r="W159" s="126" t="s">
        <v>2229</v>
      </c>
      <c r="X159" s="126" t="s">
        <v>2182</v>
      </c>
      <c r="Y159" s="126"/>
      <c r="Z159" s="123">
        <v>7.7</v>
      </c>
      <c r="AA159" s="123" t="s">
        <v>2245</v>
      </c>
      <c r="AB159" s="123">
        <v>2.2999999999999998</v>
      </c>
      <c r="AC159" s="123">
        <v>0</v>
      </c>
      <c r="AD159" s="123"/>
    </row>
    <row r="160" spans="1:30">
      <c r="A160" s="121">
        <v>158</v>
      </c>
      <c r="B160" s="122" t="s">
        <v>2649</v>
      </c>
      <c r="C160" s="122" t="s">
        <v>2377</v>
      </c>
      <c r="D160" s="122" t="s">
        <v>2260</v>
      </c>
      <c r="E160" s="124">
        <v>42762</v>
      </c>
      <c r="F160" s="125">
        <v>0.55208333333333337</v>
      </c>
      <c r="G160" s="124">
        <v>42816</v>
      </c>
      <c r="H160" s="125">
        <v>0.44791666666666669</v>
      </c>
      <c r="I160" s="123">
        <v>715</v>
      </c>
      <c r="J160" s="123">
        <v>576</v>
      </c>
      <c r="K160" s="142" t="str">
        <f t="shared" si="8"/>
        <v>G576</v>
      </c>
      <c r="L160" s="123">
        <v>16</v>
      </c>
      <c r="M160" s="142" t="str">
        <f t="shared" si="9"/>
        <v>R16</v>
      </c>
      <c r="N160" s="123">
        <v>884</v>
      </c>
      <c r="O160" s="142" t="str">
        <f t="shared" si="10"/>
        <v>G884</v>
      </c>
      <c r="P160" s="123">
        <v>570</v>
      </c>
      <c r="Q160" s="142" t="str">
        <f t="shared" si="11"/>
        <v>R570</v>
      </c>
      <c r="R160" s="123">
        <v>27.4</v>
      </c>
      <c r="S160" s="123">
        <v>12.4</v>
      </c>
      <c r="T160" s="123">
        <v>25.3</v>
      </c>
      <c r="U160" s="123">
        <v>32.5</v>
      </c>
      <c r="V160" s="123" t="s">
        <v>2201</v>
      </c>
      <c r="W160" s="126" t="s">
        <v>2182</v>
      </c>
      <c r="X160" s="126" t="s">
        <v>2182</v>
      </c>
      <c r="Y160" s="126"/>
      <c r="Z160" s="123">
        <v>4.3</v>
      </c>
      <c r="AA160" s="123" t="s">
        <v>2245</v>
      </c>
      <c r="AB160" s="123">
        <v>1.9</v>
      </c>
      <c r="AC160" s="123">
        <v>0</v>
      </c>
      <c r="AD160" s="123"/>
    </row>
    <row r="161" spans="1:31">
      <c r="A161" s="168">
        <v>159</v>
      </c>
      <c r="B161" s="169" t="s">
        <v>2649</v>
      </c>
      <c r="C161" s="169" t="s">
        <v>2378</v>
      </c>
      <c r="D161" s="169" t="s">
        <v>2260</v>
      </c>
      <c r="E161" s="170">
        <v>42762</v>
      </c>
      <c r="F161" s="173">
        <v>0.55555555555555558</v>
      </c>
      <c r="G161" s="170">
        <v>42816</v>
      </c>
      <c r="H161" s="168"/>
      <c r="I161" s="168">
        <v>716</v>
      </c>
      <c r="J161" s="168">
        <v>829</v>
      </c>
      <c r="K161" s="142" t="str">
        <f t="shared" si="8"/>
        <v>G829</v>
      </c>
      <c r="L161" s="168">
        <v>499</v>
      </c>
      <c r="M161" s="142" t="str">
        <f t="shared" si="9"/>
        <v>R499</v>
      </c>
      <c r="N161" s="168">
        <v>731</v>
      </c>
      <c r="O161" s="142" t="str">
        <f t="shared" si="10"/>
        <v>G731</v>
      </c>
      <c r="P161" s="168">
        <v>439</v>
      </c>
      <c r="Q161" s="142" t="str">
        <f t="shared" si="11"/>
        <v>R439</v>
      </c>
      <c r="R161" s="168">
        <v>28</v>
      </c>
      <c r="S161" s="168">
        <v>14.4</v>
      </c>
      <c r="T161" s="168"/>
      <c r="U161" s="168"/>
      <c r="V161" s="168"/>
      <c r="W161" s="168"/>
      <c r="X161" s="168"/>
      <c r="Y161" s="168"/>
      <c r="Z161" s="168">
        <v>0</v>
      </c>
      <c r="AA161" s="168" t="s">
        <v>2223</v>
      </c>
      <c r="AB161" s="168">
        <v>2.65</v>
      </c>
      <c r="AC161" s="168">
        <v>1</v>
      </c>
      <c r="AD161" s="168"/>
    </row>
    <row r="162" spans="1:31">
      <c r="A162" s="121">
        <v>160</v>
      </c>
      <c r="B162" s="122" t="s">
        <v>2649</v>
      </c>
      <c r="C162" s="122" t="s">
        <v>2379</v>
      </c>
      <c r="D162" s="122" t="s">
        <v>2260</v>
      </c>
      <c r="E162" s="124">
        <v>42762</v>
      </c>
      <c r="F162" s="125">
        <v>0.55555555555555558</v>
      </c>
      <c r="G162" s="124">
        <v>42816</v>
      </c>
      <c r="H162" s="125">
        <v>0.46875</v>
      </c>
      <c r="I162" s="123">
        <v>717</v>
      </c>
      <c r="J162" s="123">
        <v>809</v>
      </c>
      <c r="K162" s="142" t="str">
        <f t="shared" si="8"/>
        <v>G809</v>
      </c>
      <c r="L162" s="123">
        <v>421</v>
      </c>
      <c r="M162" s="142" t="str">
        <f t="shared" si="9"/>
        <v>R421</v>
      </c>
      <c r="N162" s="123">
        <v>876</v>
      </c>
      <c r="O162" s="142" t="str">
        <f t="shared" si="10"/>
        <v>G876</v>
      </c>
      <c r="P162" s="123">
        <v>461</v>
      </c>
      <c r="Q162" s="142" t="str">
        <f t="shared" si="11"/>
        <v>R461</v>
      </c>
      <c r="R162" s="123">
        <v>28.7</v>
      </c>
      <c r="S162" s="123">
        <v>12.1</v>
      </c>
      <c r="T162" s="123">
        <v>25.6</v>
      </c>
      <c r="U162" s="123">
        <v>20.9</v>
      </c>
      <c r="V162" s="123" t="s">
        <v>2182</v>
      </c>
      <c r="W162" s="126" t="s">
        <v>2182</v>
      </c>
      <c r="X162" s="126" t="s">
        <v>2182</v>
      </c>
      <c r="Y162" s="126"/>
      <c r="Z162" s="123">
        <v>10.8</v>
      </c>
      <c r="AA162" s="123" t="s">
        <v>2245</v>
      </c>
      <c r="AB162" s="123">
        <v>0.8</v>
      </c>
      <c r="AC162" s="123">
        <v>0</v>
      </c>
      <c r="AD162" s="123"/>
    </row>
    <row r="163" spans="1:31">
      <c r="A163" s="121">
        <v>161</v>
      </c>
      <c r="B163" s="122" t="s">
        <v>2380</v>
      </c>
      <c r="C163" s="122" t="s">
        <v>2381</v>
      </c>
      <c r="D163" s="122" t="s">
        <v>2273</v>
      </c>
      <c r="E163" s="124">
        <v>42763</v>
      </c>
      <c r="F163" s="125">
        <v>0.44097222222222227</v>
      </c>
      <c r="G163" s="124">
        <v>42814</v>
      </c>
      <c r="H163" s="125">
        <v>0.55902777777777779</v>
      </c>
      <c r="I163" s="123">
        <v>756</v>
      </c>
      <c r="J163" s="123">
        <v>352</v>
      </c>
      <c r="K163" s="142" t="str">
        <f>_xlfn.TEXTJOIN(,TRUE, "G",J163)</f>
        <v>G352</v>
      </c>
      <c r="L163" s="123">
        <v>124</v>
      </c>
      <c r="M163" s="142" t="str">
        <f t="shared" si="9"/>
        <v>R124</v>
      </c>
      <c r="N163" s="123">
        <v>351</v>
      </c>
      <c r="O163" s="142" t="str">
        <f t="shared" si="10"/>
        <v>G351</v>
      </c>
      <c r="P163" s="123">
        <v>253</v>
      </c>
      <c r="Q163" s="142" t="str">
        <f t="shared" si="11"/>
        <v>R253</v>
      </c>
      <c r="R163" s="123">
        <v>26</v>
      </c>
      <c r="S163" s="123">
        <v>18.600000000000001</v>
      </c>
      <c r="T163" s="123">
        <v>41.2</v>
      </c>
      <c r="U163" s="123">
        <v>3.6</v>
      </c>
      <c r="V163" s="123"/>
      <c r="W163" s="126"/>
      <c r="X163" s="126"/>
      <c r="Y163" s="126"/>
      <c r="Z163" s="123">
        <v>35.799999999999997</v>
      </c>
      <c r="AA163" s="123" t="s">
        <v>2175</v>
      </c>
      <c r="AB163" s="123">
        <v>7.6</v>
      </c>
      <c r="AC163" s="123">
        <v>0</v>
      </c>
      <c r="AD163" s="123"/>
    </row>
    <row r="164" spans="1:31">
      <c r="A164" s="121">
        <v>162</v>
      </c>
      <c r="B164" s="122" t="s">
        <v>2380</v>
      </c>
      <c r="C164" s="122" t="s">
        <v>2382</v>
      </c>
      <c r="D164" s="122" t="s">
        <v>2273</v>
      </c>
      <c r="E164" s="124">
        <v>42763</v>
      </c>
      <c r="F164" s="125">
        <v>0.44791666666666669</v>
      </c>
      <c r="G164" s="124">
        <v>42814</v>
      </c>
      <c r="H164" s="125">
        <v>0.56458333333333333</v>
      </c>
      <c r="I164" s="123">
        <v>757</v>
      </c>
      <c r="J164" s="123">
        <v>385</v>
      </c>
      <c r="K164" s="142" t="str">
        <f t="shared" si="8"/>
        <v>G385</v>
      </c>
      <c r="L164" s="123">
        <v>202</v>
      </c>
      <c r="M164" s="142" t="str">
        <f t="shared" si="9"/>
        <v>R202</v>
      </c>
      <c r="N164" s="123">
        <v>442</v>
      </c>
      <c r="O164" s="142" t="str">
        <f t="shared" si="10"/>
        <v>G442</v>
      </c>
      <c r="P164" s="123">
        <v>285</v>
      </c>
      <c r="Q164" s="142" t="str">
        <f t="shared" si="11"/>
        <v>R285</v>
      </c>
      <c r="R164" s="123">
        <v>27.2</v>
      </c>
      <c r="S164" s="123">
        <v>14.6</v>
      </c>
      <c r="T164" s="123">
        <v>41.7</v>
      </c>
      <c r="U164" s="123">
        <v>4.0999999999999996</v>
      </c>
      <c r="V164" s="123"/>
      <c r="W164" s="126" t="s">
        <v>2174</v>
      </c>
      <c r="X164" s="126"/>
      <c r="Y164" s="126" t="s">
        <v>2182</v>
      </c>
      <c r="Z164" s="123">
        <v>31.4</v>
      </c>
      <c r="AA164" s="123" t="s">
        <v>2175</v>
      </c>
      <c r="AB164" s="123">
        <v>4.0999999999999996</v>
      </c>
      <c r="AC164" s="123">
        <v>0</v>
      </c>
      <c r="AD164" s="123"/>
    </row>
    <row r="165" spans="1:31">
      <c r="A165" s="121">
        <v>163</v>
      </c>
      <c r="B165" s="122" t="s">
        <v>2380</v>
      </c>
      <c r="C165" s="122" t="s">
        <v>2383</v>
      </c>
      <c r="D165" s="122" t="s">
        <v>2273</v>
      </c>
      <c r="E165" s="124">
        <v>42763</v>
      </c>
      <c r="F165" s="125">
        <v>0.45833333333333331</v>
      </c>
      <c r="G165" s="124">
        <v>42814</v>
      </c>
      <c r="H165" s="125">
        <v>0.57291666666666663</v>
      </c>
      <c r="I165" s="123">
        <v>758</v>
      </c>
      <c r="J165" s="123">
        <v>202</v>
      </c>
      <c r="K165" s="142" t="str">
        <f t="shared" si="8"/>
        <v>G202</v>
      </c>
      <c r="L165" s="123">
        <v>96</v>
      </c>
      <c r="M165" s="142" t="str">
        <f t="shared" si="9"/>
        <v>R96</v>
      </c>
      <c r="N165" s="123">
        <v>743</v>
      </c>
      <c r="O165" s="142" t="str">
        <f t="shared" si="10"/>
        <v>G743</v>
      </c>
      <c r="P165" s="123">
        <v>341</v>
      </c>
      <c r="Q165" s="142" t="str">
        <f t="shared" si="11"/>
        <v>R341</v>
      </c>
      <c r="R165" s="123">
        <v>27.4</v>
      </c>
      <c r="S165" s="163">
        <v>14.2</v>
      </c>
      <c r="T165" s="123">
        <v>39.6</v>
      </c>
      <c r="U165" s="123">
        <v>4.4000000000000004</v>
      </c>
      <c r="V165" s="123" t="s">
        <v>2174</v>
      </c>
      <c r="W165" s="126"/>
      <c r="X165" s="126"/>
      <c r="Y165" s="126"/>
      <c r="Z165" s="123">
        <v>28.8</v>
      </c>
      <c r="AA165" s="123" t="s">
        <v>2175</v>
      </c>
      <c r="AB165" s="123">
        <v>7.8</v>
      </c>
      <c r="AC165" s="123">
        <v>0</v>
      </c>
      <c r="AD165" s="123"/>
      <c r="AE165" s="92"/>
    </row>
    <row r="166" spans="1:31">
      <c r="A166" s="121">
        <v>164</v>
      </c>
      <c r="B166" s="122" t="s">
        <v>2380</v>
      </c>
      <c r="C166" s="122" t="s">
        <v>2384</v>
      </c>
      <c r="D166" s="122" t="s">
        <v>2273</v>
      </c>
      <c r="E166" s="124">
        <v>42763</v>
      </c>
      <c r="F166" s="125">
        <v>0.46180555555555558</v>
      </c>
      <c r="G166" s="124">
        <v>42814</v>
      </c>
      <c r="H166" s="125">
        <v>0.57986111111111105</v>
      </c>
      <c r="I166" s="123">
        <v>759</v>
      </c>
      <c r="J166" s="123">
        <v>686</v>
      </c>
      <c r="K166" s="142" t="str">
        <f t="shared" si="8"/>
        <v>G686</v>
      </c>
      <c r="L166" s="123">
        <v>317</v>
      </c>
      <c r="M166" s="142" t="str">
        <f t="shared" si="9"/>
        <v>R317</v>
      </c>
      <c r="N166" s="123">
        <v>390</v>
      </c>
      <c r="O166" s="142" t="str">
        <f t="shared" si="10"/>
        <v>G390</v>
      </c>
      <c r="P166" s="129">
        <v>264</v>
      </c>
      <c r="Q166" s="142" t="str">
        <f t="shared" si="11"/>
        <v>R264</v>
      </c>
      <c r="R166" s="123">
        <v>27.4</v>
      </c>
      <c r="S166" s="123">
        <v>15.2</v>
      </c>
      <c r="T166" s="163">
        <v>40.200000000000003</v>
      </c>
      <c r="U166" s="123">
        <v>3.3</v>
      </c>
      <c r="V166" s="123"/>
      <c r="W166" s="126"/>
      <c r="X166" s="126"/>
      <c r="Y166" s="126"/>
      <c r="Z166" s="123">
        <v>20.8</v>
      </c>
      <c r="AA166" s="123" t="s">
        <v>2175</v>
      </c>
      <c r="AB166" s="123">
        <v>9.5</v>
      </c>
      <c r="AC166" s="123">
        <v>0</v>
      </c>
      <c r="AD166" s="123"/>
    </row>
    <row r="167" spans="1:31">
      <c r="A167" s="121">
        <v>165</v>
      </c>
      <c r="B167" s="122" t="s">
        <v>2380</v>
      </c>
      <c r="C167" s="122" t="s">
        <v>2385</v>
      </c>
      <c r="D167" s="122" t="s">
        <v>2273</v>
      </c>
      <c r="E167" s="124">
        <v>42763</v>
      </c>
      <c r="F167" s="125">
        <v>0.46527777777777773</v>
      </c>
      <c r="G167" s="124">
        <v>42814</v>
      </c>
      <c r="H167" s="125">
        <v>0.59027777777777779</v>
      </c>
      <c r="I167" s="123">
        <v>760</v>
      </c>
      <c r="J167" s="123">
        <v>368</v>
      </c>
      <c r="K167" s="142" t="str">
        <f t="shared" si="8"/>
        <v>G368</v>
      </c>
      <c r="L167" s="123">
        <v>331</v>
      </c>
      <c r="M167" s="142" t="str">
        <f t="shared" si="9"/>
        <v>R331</v>
      </c>
      <c r="N167" s="123">
        <v>810</v>
      </c>
      <c r="O167" s="142" t="str">
        <f t="shared" si="10"/>
        <v>G810</v>
      </c>
      <c r="P167" s="123">
        <v>411</v>
      </c>
      <c r="Q167" s="142" t="str">
        <f t="shared" si="11"/>
        <v>R411</v>
      </c>
      <c r="R167" s="123">
        <v>24.7</v>
      </c>
      <c r="S167" s="123">
        <v>19.2</v>
      </c>
      <c r="T167" s="123">
        <v>38.299999999999997</v>
      </c>
      <c r="U167" s="123">
        <v>4.8</v>
      </c>
      <c r="V167" s="123"/>
      <c r="W167" s="126" t="s">
        <v>2174</v>
      </c>
      <c r="X167" s="126"/>
      <c r="Y167" s="126"/>
      <c r="Z167" s="123">
        <v>13.8</v>
      </c>
      <c r="AA167" s="123" t="s">
        <v>2175</v>
      </c>
      <c r="AB167" s="123">
        <v>10.4</v>
      </c>
      <c r="AC167" s="123">
        <v>0</v>
      </c>
      <c r="AD167" s="123"/>
    </row>
    <row r="168" spans="1:31">
      <c r="A168" s="121">
        <v>166</v>
      </c>
      <c r="B168" s="122" t="s">
        <v>2380</v>
      </c>
      <c r="C168" s="122" t="s">
        <v>2386</v>
      </c>
      <c r="D168" s="122" t="s">
        <v>2273</v>
      </c>
      <c r="E168" s="124">
        <v>42763</v>
      </c>
      <c r="F168" s="125">
        <v>0.46875</v>
      </c>
      <c r="G168" s="124">
        <v>42814</v>
      </c>
      <c r="H168" s="125">
        <v>0.59722222222222221</v>
      </c>
      <c r="I168" s="123">
        <v>761</v>
      </c>
      <c r="J168" s="123">
        <v>334</v>
      </c>
      <c r="K168" s="142" t="str">
        <f t="shared" si="8"/>
        <v>G334</v>
      </c>
      <c r="L168" s="123">
        <v>287</v>
      </c>
      <c r="M168" s="142" t="str">
        <f t="shared" si="9"/>
        <v>R287</v>
      </c>
      <c r="N168" s="123">
        <v>287</v>
      </c>
      <c r="O168" s="142" t="str">
        <f t="shared" si="10"/>
        <v>G287</v>
      </c>
      <c r="P168" s="123">
        <v>259</v>
      </c>
      <c r="Q168" s="142" t="str">
        <f t="shared" si="11"/>
        <v>R259</v>
      </c>
      <c r="R168" s="123">
        <v>25.6</v>
      </c>
      <c r="S168" s="123">
        <v>18.3</v>
      </c>
      <c r="T168" s="123">
        <v>37.4</v>
      </c>
      <c r="U168" s="123">
        <v>3.7</v>
      </c>
      <c r="V168" s="123"/>
      <c r="W168" s="126"/>
      <c r="X168" s="126"/>
      <c r="Y168" s="126"/>
      <c r="Z168" s="123">
        <v>4.7</v>
      </c>
      <c r="AA168" s="123" t="s">
        <v>2175</v>
      </c>
      <c r="AB168" s="123">
        <v>2.1</v>
      </c>
      <c r="AC168" s="123">
        <v>0</v>
      </c>
      <c r="AD168" s="123" t="s">
        <v>2387</v>
      </c>
    </row>
    <row r="169" spans="1:31">
      <c r="A169" s="121">
        <v>167</v>
      </c>
      <c r="B169" s="122" t="s">
        <v>2380</v>
      </c>
      <c r="C169" s="122" t="s">
        <v>2388</v>
      </c>
      <c r="D169" s="122" t="s">
        <v>2273</v>
      </c>
      <c r="E169" s="124">
        <v>42763</v>
      </c>
      <c r="F169" s="125">
        <v>0.47569444444444442</v>
      </c>
      <c r="G169" s="124">
        <v>42814</v>
      </c>
      <c r="H169" s="125">
        <v>0.60416666666666663</v>
      </c>
      <c r="I169" s="123">
        <v>762</v>
      </c>
      <c r="J169" s="123">
        <v>429</v>
      </c>
      <c r="K169" s="142" t="str">
        <f t="shared" si="8"/>
        <v>G429</v>
      </c>
      <c r="L169" s="123">
        <v>255</v>
      </c>
      <c r="M169" s="142" t="str">
        <f t="shared" si="9"/>
        <v>R255</v>
      </c>
      <c r="N169" s="123">
        <v>443</v>
      </c>
      <c r="O169" s="142" t="str">
        <f t="shared" si="10"/>
        <v>G443</v>
      </c>
      <c r="P169" s="123">
        <v>215</v>
      </c>
      <c r="Q169" s="142" t="str">
        <f t="shared" si="11"/>
        <v>R215</v>
      </c>
      <c r="R169" s="123">
        <v>26.7</v>
      </c>
      <c r="S169" s="123">
        <v>16</v>
      </c>
      <c r="T169" s="123">
        <v>35.299999999999997</v>
      </c>
      <c r="U169" s="123">
        <v>4.9000000000000004</v>
      </c>
      <c r="V169" s="123"/>
      <c r="W169" s="126"/>
      <c r="X169" s="126"/>
      <c r="Y169" s="126"/>
      <c r="Z169" s="123">
        <v>4.2</v>
      </c>
      <c r="AA169" s="123" t="s">
        <v>2175</v>
      </c>
      <c r="AB169" s="123">
        <v>5.6</v>
      </c>
      <c r="AC169" s="123">
        <v>1</v>
      </c>
      <c r="AD169" s="123"/>
    </row>
    <row r="170" spans="1:31">
      <c r="A170" s="121">
        <v>168</v>
      </c>
      <c r="B170" s="122" t="s">
        <v>2380</v>
      </c>
      <c r="C170" s="122" t="s">
        <v>2389</v>
      </c>
      <c r="D170" s="122" t="s">
        <v>2273</v>
      </c>
      <c r="E170" s="124">
        <v>42763</v>
      </c>
      <c r="F170" s="125">
        <v>0.47916666666666669</v>
      </c>
      <c r="G170" s="124">
        <v>42814</v>
      </c>
      <c r="H170" s="125">
        <v>0.61111111111111105</v>
      </c>
      <c r="I170" s="123">
        <v>763</v>
      </c>
      <c r="J170" s="123">
        <v>461</v>
      </c>
      <c r="K170" s="142" t="str">
        <f t="shared" si="8"/>
        <v>G461</v>
      </c>
      <c r="L170" s="123">
        <v>534</v>
      </c>
      <c r="M170" s="142" t="str">
        <f t="shared" si="9"/>
        <v>R534</v>
      </c>
      <c r="N170" s="123">
        <v>680</v>
      </c>
      <c r="O170" s="142" t="str">
        <f t="shared" si="10"/>
        <v>G680</v>
      </c>
      <c r="P170" s="123">
        <v>322</v>
      </c>
      <c r="Q170" s="142" t="str">
        <f t="shared" si="11"/>
        <v>R322</v>
      </c>
      <c r="R170" s="123">
        <v>27.7</v>
      </c>
      <c r="S170" s="123">
        <v>17.399999999999999</v>
      </c>
      <c r="T170" s="123">
        <v>38.9</v>
      </c>
      <c r="U170" s="123">
        <v>5.0999999999999996</v>
      </c>
      <c r="V170" s="123" t="s">
        <v>2190</v>
      </c>
      <c r="W170" s="126"/>
      <c r="X170" s="126"/>
      <c r="Y170" s="126"/>
      <c r="Z170" s="123">
        <v>46</v>
      </c>
      <c r="AA170" s="123" t="s">
        <v>2175</v>
      </c>
      <c r="AB170" s="123">
        <v>2.4</v>
      </c>
      <c r="AC170" s="123">
        <v>0</v>
      </c>
      <c r="AD170" s="123"/>
    </row>
    <row r="171" spans="1:31">
      <c r="A171" s="121">
        <v>169</v>
      </c>
      <c r="B171" s="122" t="s">
        <v>2380</v>
      </c>
      <c r="C171" s="122" t="s">
        <v>2390</v>
      </c>
      <c r="D171" s="122" t="s">
        <v>2282</v>
      </c>
      <c r="E171" s="124">
        <v>42763</v>
      </c>
      <c r="F171" s="125">
        <v>0.50694444444444442</v>
      </c>
      <c r="G171" s="124">
        <v>42814</v>
      </c>
      <c r="H171" s="125">
        <v>0.63888888888888895</v>
      </c>
      <c r="I171" s="123">
        <v>782</v>
      </c>
      <c r="J171" s="123">
        <v>425</v>
      </c>
      <c r="K171" s="142" t="str">
        <f t="shared" si="8"/>
        <v>G425</v>
      </c>
      <c r="L171" s="123">
        <v>453</v>
      </c>
      <c r="M171" s="142" t="str">
        <f t="shared" si="9"/>
        <v>R453</v>
      </c>
      <c r="N171" s="123">
        <v>496</v>
      </c>
      <c r="O171" s="142" t="str">
        <f t="shared" si="10"/>
        <v>G496</v>
      </c>
      <c r="P171" s="123">
        <v>403</v>
      </c>
      <c r="Q171" s="142" t="str">
        <f t="shared" si="11"/>
        <v>R403</v>
      </c>
      <c r="R171" s="123">
        <v>30.2</v>
      </c>
      <c r="S171" s="123">
        <v>14.5</v>
      </c>
      <c r="T171" s="123">
        <v>42.2</v>
      </c>
      <c r="U171" s="123">
        <v>4.8</v>
      </c>
      <c r="V171" s="123"/>
      <c r="W171" s="126" t="s">
        <v>2190</v>
      </c>
      <c r="X171" s="126"/>
      <c r="Y171" s="126"/>
      <c r="Z171" s="123">
        <v>11.4</v>
      </c>
      <c r="AA171" s="123" t="s">
        <v>2245</v>
      </c>
      <c r="AB171" s="123">
        <v>8.1999999999999993</v>
      </c>
      <c r="AC171" s="123">
        <v>1</v>
      </c>
      <c r="AD171" s="123" t="s">
        <v>2668</v>
      </c>
    </row>
    <row r="172" spans="1:31">
      <c r="A172" s="121">
        <v>170</v>
      </c>
      <c r="B172" s="122" t="s">
        <v>2380</v>
      </c>
      <c r="C172" s="122" t="s">
        <v>2391</v>
      </c>
      <c r="D172" s="122" t="s">
        <v>2282</v>
      </c>
      <c r="E172" s="124">
        <v>42763</v>
      </c>
      <c r="F172" s="125">
        <v>0.51388888888888895</v>
      </c>
      <c r="G172" s="124">
        <v>42814</v>
      </c>
      <c r="H172" s="125">
        <v>0.64930555555555558</v>
      </c>
      <c r="I172" s="123">
        <v>783</v>
      </c>
      <c r="J172" s="123">
        <v>433</v>
      </c>
      <c r="K172" s="142" t="str">
        <f t="shared" si="8"/>
        <v>G433</v>
      </c>
      <c r="L172" s="123">
        <v>330</v>
      </c>
      <c r="M172" s="142" t="str">
        <f t="shared" si="9"/>
        <v>R330</v>
      </c>
      <c r="N172" s="123">
        <v>674</v>
      </c>
      <c r="O172" s="142" t="str">
        <f t="shared" si="10"/>
        <v>G674</v>
      </c>
      <c r="P172" s="123">
        <v>583</v>
      </c>
      <c r="Q172" s="142" t="str">
        <f t="shared" si="11"/>
        <v>R583</v>
      </c>
      <c r="R172" s="123">
        <v>27.9</v>
      </c>
      <c r="S172" s="123">
        <v>7.7</v>
      </c>
      <c r="T172" s="123">
        <v>39.299999999999997</v>
      </c>
      <c r="U172" s="123">
        <v>8.5</v>
      </c>
      <c r="V172" s="123"/>
      <c r="W172" s="126"/>
      <c r="X172" s="126"/>
      <c r="Y172" s="126"/>
      <c r="Z172" s="123">
        <v>15.8</v>
      </c>
      <c r="AA172" s="123" t="s">
        <v>2245</v>
      </c>
      <c r="AB172" s="123">
        <v>7.7</v>
      </c>
      <c r="AC172" s="123">
        <v>1</v>
      </c>
      <c r="AD172" s="123"/>
    </row>
    <row r="173" spans="1:31">
      <c r="A173" s="121">
        <v>171</v>
      </c>
      <c r="B173" s="122" t="s">
        <v>2380</v>
      </c>
      <c r="C173" s="122" t="s">
        <v>2392</v>
      </c>
      <c r="D173" s="122" t="s">
        <v>2282</v>
      </c>
      <c r="E173" s="124">
        <v>42763</v>
      </c>
      <c r="F173" s="125">
        <v>0.52083333333333337</v>
      </c>
      <c r="G173" s="124">
        <v>42814</v>
      </c>
      <c r="H173" s="125">
        <v>0.65277777777777779</v>
      </c>
      <c r="I173" s="123">
        <v>784</v>
      </c>
      <c r="J173" s="123">
        <v>656</v>
      </c>
      <c r="K173" s="142" t="str">
        <f t="shared" si="8"/>
        <v>G656</v>
      </c>
      <c r="L173" s="123">
        <v>558</v>
      </c>
      <c r="M173" s="142" t="str">
        <f t="shared" si="9"/>
        <v>R558</v>
      </c>
      <c r="N173" s="123">
        <v>504</v>
      </c>
      <c r="O173" s="142" t="str">
        <f t="shared" si="10"/>
        <v>G504</v>
      </c>
      <c r="P173" s="123">
        <v>451</v>
      </c>
      <c r="Q173" s="142" t="str">
        <f t="shared" si="11"/>
        <v>R451</v>
      </c>
      <c r="R173" s="123">
        <v>28.9</v>
      </c>
      <c r="S173" s="123">
        <v>15.1</v>
      </c>
      <c r="T173" s="123">
        <v>39.4</v>
      </c>
      <c r="U173" s="123">
        <v>5.9</v>
      </c>
      <c r="V173" s="123" t="s">
        <v>2182</v>
      </c>
      <c r="W173" s="126"/>
      <c r="X173" s="126"/>
      <c r="Y173" s="126"/>
      <c r="Z173" s="123">
        <v>7.6</v>
      </c>
      <c r="AA173" s="123" t="s">
        <v>2245</v>
      </c>
      <c r="AB173" s="123">
        <v>13.4</v>
      </c>
      <c r="AC173" s="123">
        <v>1</v>
      </c>
      <c r="AD173" s="123"/>
    </row>
    <row r="174" spans="1:31">
      <c r="A174" s="121">
        <v>172</v>
      </c>
      <c r="B174" s="122" t="s">
        <v>2380</v>
      </c>
      <c r="C174" s="122" t="s">
        <v>2393</v>
      </c>
      <c r="D174" s="122" t="s">
        <v>2282</v>
      </c>
      <c r="E174" s="124">
        <v>42763</v>
      </c>
      <c r="F174" s="125">
        <v>0.53125</v>
      </c>
      <c r="G174" s="124">
        <v>42814</v>
      </c>
      <c r="H174" s="125">
        <v>0.65972222222222221</v>
      </c>
      <c r="I174" s="123">
        <v>789</v>
      </c>
      <c r="J174" s="123">
        <v>281</v>
      </c>
      <c r="K174" s="142" t="str">
        <f t="shared" si="8"/>
        <v>G281</v>
      </c>
      <c r="L174" s="123">
        <v>157</v>
      </c>
      <c r="M174" s="142" t="str">
        <f t="shared" si="9"/>
        <v>R157</v>
      </c>
      <c r="N174" s="123">
        <v>439</v>
      </c>
      <c r="O174" s="142" t="str">
        <f t="shared" si="10"/>
        <v>G439</v>
      </c>
      <c r="P174" s="123">
        <v>353</v>
      </c>
      <c r="Q174" s="142" t="str">
        <f t="shared" si="11"/>
        <v>R353</v>
      </c>
      <c r="R174" s="123">
        <v>29.8</v>
      </c>
      <c r="S174" s="123">
        <v>14.2</v>
      </c>
      <c r="T174" s="123">
        <v>40.4</v>
      </c>
      <c r="U174" s="123">
        <v>5.0999999999999996</v>
      </c>
      <c r="V174" s="123" t="s">
        <v>2182</v>
      </c>
      <c r="W174" s="126" t="s">
        <v>2182</v>
      </c>
      <c r="X174" s="126"/>
      <c r="Y174" s="126"/>
      <c r="Z174" s="123">
        <v>28.4</v>
      </c>
      <c r="AA174" s="123" t="s">
        <v>2223</v>
      </c>
      <c r="AB174" s="123">
        <v>3.3</v>
      </c>
      <c r="AC174" s="123">
        <v>1</v>
      </c>
      <c r="AD174" s="123"/>
    </row>
    <row r="175" spans="1:31">
      <c r="A175" s="121">
        <v>173</v>
      </c>
      <c r="B175" s="122" t="s">
        <v>2380</v>
      </c>
      <c r="C175" s="122" t="s">
        <v>2394</v>
      </c>
      <c r="D175" s="122" t="s">
        <v>2282</v>
      </c>
      <c r="E175" s="124">
        <v>42763</v>
      </c>
      <c r="F175" s="125">
        <v>0.54166666666666663</v>
      </c>
      <c r="G175" s="124">
        <v>42814</v>
      </c>
      <c r="H175" s="125">
        <v>0.66666666666666663</v>
      </c>
      <c r="I175" s="123">
        <v>790</v>
      </c>
      <c r="J175" s="123">
        <v>216</v>
      </c>
      <c r="K175" s="142" t="str">
        <f t="shared" si="8"/>
        <v>G216</v>
      </c>
      <c r="L175" s="123">
        <v>57</v>
      </c>
      <c r="M175" s="142" t="str">
        <f t="shared" si="9"/>
        <v>R57</v>
      </c>
      <c r="N175" s="123">
        <v>865</v>
      </c>
      <c r="O175" s="142" t="str">
        <f t="shared" si="10"/>
        <v>G865</v>
      </c>
      <c r="P175" s="123">
        <v>105</v>
      </c>
      <c r="Q175" s="142" t="str">
        <f t="shared" si="11"/>
        <v>R105</v>
      </c>
      <c r="R175" s="123">
        <v>30.9</v>
      </c>
      <c r="S175" s="123">
        <v>17.600000000000001</v>
      </c>
      <c r="T175" s="123">
        <v>41.8</v>
      </c>
      <c r="U175" s="123">
        <v>3.3</v>
      </c>
      <c r="V175" s="123" t="s">
        <v>2182</v>
      </c>
      <c r="W175" s="126" t="s">
        <v>2190</v>
      </c>
      <c r="X175" s="126"/>
      <c r="Y175" s="126"/>
      <c r="Z175" s="123">
        <v>12.4</v>
      </c>
      <c r="AA175" s="123" t="s">
        <v>2245</v>
      </c>
      <c r="AB175" s="123">
        <v>15.4</v>
      </c>
      <c r="AC175" s="123">
        <v>0</v>
      </c>
      <c r="AD175" s="123" t="s">
        <v>2668</v>
      </c>
    </row>
    <row r="176" spans="1:31">
      <c r="A176" s="121">
        <v>174</v>
      </c>
      <c r="B176" s="122" t="s">
        <v>2380</v>
      </c>
      <c r="C176" s="122" t="s">
        <v>2395</v>
      </c>
      <c r="D176" s="122" t="s">
        <v>2282</v>
      </c>
      <c r="E176" s="124">
        <v>42763</v>
      </c>
      <c r="F176" s="125">
        <v>0.54166666666666663</v>
      </c>
      <c r="G176" s="124">
        <v>42814</v>
      </c>
      <c r="H176" s="125">
        <v>0.67361111111111116</v>
      </c>
      <c r="I176" s="123">
        <v>791</v>
      </c>
      <c r="J176" s="123">
        <v>655</v>
      </c>
      <c r="K176" s="142" t="str">
        <f t="shared" si="8"/>
        <v>G655</v>
      </c>
      <c r="L176" s="123">
        <v>307</v>
      </c>
      <c r="M176" s="142" t="str">
        <f t="shared" si="9"/>
        <v>R307</v>
      </c>
      <c r="N176" s="123">
        <v>736</v>
      </c>
      <c r="O176" s="142" t="str">
        <f t="shared" si="10"/>
        <v>G736</v>
      </c>
      <c r="P176" s="123">
        <v>384</v>
      </c>
      <c r="Q176" s="142" t="str">
        <f t="shared" si="11"/>
        <v>R384</v>
      </c>
      <c r="R176" s="123">
        <v>30.8</v>
      </c>
      <c r="S176" s="123">
        <v>22</v>
      </c>
      <c r="T176" s="123">
        <v>38.9</v>
      </c>
      <c r="U176" s="123">
        <v>13.5</v>
      </c>
      <c r="V176" s="123" t="s">
        <v>2182</v>
      </c>
      <c r="W176" s="126" t="s">
        <v>2182</v>
      </c>
      <c r="X176" s="126"/>
      <c r="Y176" s="126"/>
      <c r="Z176" s="123">
        <v>7.4</v>
      </c>
      <c r="AA176" s="123" t="s">
        <v>2245</v>
      </c>
      <c r="AB176" s="123">
        <v>7.4</v>
      </c>
      <c r="AC176" s="123">
        <v>0</v>
      </c>
      <c r="AD176" s="123"/>
    </row>
    <row r="177" spans="1:30">
      <c r="A177" s="121">
        <v>175</v>
      </c>
      <c r="B177" s="122" t="s">
        <v>2380</v>
      </c>
      <c r="C177" s="122" t="s">
        <v>2396</v>
      </c>
      <c r="D177" s="122" t="s">
        <v>2282</v>
      </c>
      <c r="E177" s="124">
        <v>42763</v>
      </c>
      <c r="F177" s="125">
        <v>0.54166666666666663</v>
      </c>
      <c r="G177" s="124">
        <v>42814</v>
      </c>
      <c r="H177" s="125">
        <v>0.67708333333333337</v>
      </c>
      <c r="I177" s="123">
        <v>792</v>
      </c>
      <c r="J177" s="123">
        <v>457</v>
      </c>
      <c r="K177" s="142" t="str">
        <f t="shared" si="8"/>
        <v>G457</v>
      </c>
      <c r="L177" s="123">
        <v>458</v>
      </c>
      <c r="M177" s="142" t="str">
        <f t="shared" si="9"/>
        <v>R458</v>
      </c>
      <c r="N177" s="123">
        <v>772</v>
      </c>
      <c r="O177" s="142" t="str">
        <f t="shared" si="10"/>
        <v>G772</v>
      </c>
      <c r="P177" s="123">
        <v>481</v>
      </c>
      <c r="Q177" s="142" t="str">
        <f t="shared" si="11"/>
        <v>R481</v>
      </c>
      <c r="R177" s="123">
        <v>31.1</v>
      </c>
      <c r="S177" s="123">
        <v>17.8</v>
      </c>
      <c r="T177" s="123">
        <v>41.4</v>
      </c>
      <c r="U177" s="123">
        <v>5.3</v>
      </c>
      <c r="V177" s="123"/>
      <c r="W177" s="126" t="s">
        <v>2190</v>
      </c>
      <c r="X177" s="126"/>
      <c r="Y177" s="126"/>
      <c r="Z177" s="123">
        <v>9.8000000000000007</v>
      </c>
      <c r="AA177" s="123" t="s">
        <v>2245</v>
      </c>
      <c r="AB177" s="123">
        <v>15.4</v>
      </c>
      <c r="AC177" s="123">
        <v>1</v>
      </c>
      <c r="AD177" s="123"/>
    </row>
    <row r="178" spans="1:30">
      <c r="A178" s="121">
        <v>176</v>
      </c>
      <c r="B178" s="122" t="s">
        <v>2380</v>
      </c>
      <c r="C178" s="122" t="s">
        <v>2397</v>
      </c>
      <c r="D178" s="122" t="s">
        <v>2282</v>
      </c>
      <c r="E178" s="124">
        <v>42763</v>
      </c>
      <c r="F178" s="125">
        <v>0.54513888888888895</v>
      </c>
      <c r="G178" s="124">
        <v>42814</v>
      </c>
      <c r="H178" s="125">
        <v>0.68402777777777779</v>
      </c>
      <c r="I178" s="123">
        <v>793</v>
      </c>
      <c r="J178" s="123">
        <v>454</v>
      </c>
      <c r="K178" s="142" t="str">
        <f t="shared" si="8"/>
        <v>G454</v>
      </c>
      <c r="L178" s="123">
        <v>326</v>
      </c>
      <c r="M178" s="142" t="str">
        <f t="shared" si="9"/>
        <v>R326</v>
      </c>
      <c r="N178" s="123">
        <v>470</v>
      </c>
      <c r="O178" s="142" t="str">
        <f t="shared" si="10"/>
        <v>G470</v>
      </c>
      <c r="P178" s="123">
        <v>490</v>
      </c>
      <c r="Q178" s="142" t="str">
        <f t="shared" si="11"/>
        <v>R490</v>
      </c>
      <c r="R178" s="123">
        <v>29.9</v>
      </c>
      <c r="S178" s="123">
        <v>16.5</v>
      </c>
      <c r="T178" s="123">
        <v>38.4</v>
      </c>
      <c r="U178" s="123">
        <v>6.3</v>
      </c>
      <c r="V178" s="123"/>
      <c r="W178" s="126"/>
      <c r="X178" s="126"/>
      <c r="Y178" s="126"/>
      <c r="Z178" s="123">
        <v>6.9</v>
      </c>
      <c r="AA178" s="123" t="s">
        <v>2245</v>
      </c>
      <c r="AB178" s="123">
        <v>6.8</v>
      </c>
      <c r="AC178" s="123">
        <v>0</v>
      </c>
      <c r="AD178" s="123"/>
    </row>
    <row r="179" spans="1:30">
      <c r="A179" s="121">
        <v>177</v>
      </c>
      <c r="B179" s="122" t="s">
        <v>2380</v>
      </c>
      <c r="C179" s="122" t="s">
        <v>2398</v>
      </c>
      <c r="D179" s="122" t="s">
        <v>2291</v>
      </c>
      <c r="E179" s="124">
        <v>42763</v>
      </c>
      <c r="F179" s="125">
        <v>0.57986111111111105</v>
      </c>
      <c r="G179" s="124">
        <v>42815</v>
      </c>
      <c r="H179" s="125">
        <v>0.45833333333333331</v>
      </c>
      <c r="I179" s="123">
        <v>794</v>
      </c>
      <c r="J179" s="123">
        <v>362</v>
      </c>
      <c r="K179" s="142" t="str">
        <f t="shared" si="8"/>
        <v>G362</v>
      </c>
      <c r="L179" s="123">
        <v>262</v>
      </c>
      <c r="M179" s="142" t="str">
        <f t="shared" si="9"/>
        <v>R262</v>
      </c>
      <c r="N179" s="123">
        <v>483</v>
      </c>
      <c r="O179" s="142" t="str">
        <f t="shared" si="10"/>
        <v>G483</v>
      </c>
      <c r="P179" s="123">
        <v>470</v>
      </c>
      <c r="Q179" s="142" t="str">
        <f t="shared" si="11"/>
        <v>R470</v>
      </c>
      <c r="R179" s="123">
        <v>31.8</v>
      </c>
      <c r="S179" s="123">
        <v>25.1</v>
      </c>
      <c r="T179" s="123">
        <v>32.4</v>
      </c>
      <c r="U179" s="123">
        <v>13.3</v>
      </c>
      <c r="V179" s="123"/>
      <c r="W179" s="126" t="s">
        <v>2229</v>
      </c>
      <c r="X179" s="126"/>
      <c r="Y179" s="126"/>
      <c r="Z179" s="123">
        <v>25.8</v>
      </c>
      <c r="AA179" s="123" t="s">
        <v>2245</v>
      </c>
      <c r="AB179" s="123">
        <v>17.8</v>
      </c>
      <c r="AC179" s="123">
        <v>0</v>
      </c>
      <c r="AD179" s="123"/>
    </row>
    <row r="180" spans="1:30">
      <c r="A180" s="121">
        <v>178</v>
      </c>
      <c r="B180" s="122" t="s">
        <v>2380</v>
      </c>
      <c r="C180" s="122" t="s">
        <v>2399</v>
      </c>
      <c r="D180" s="122" t="s">
        <v>2291</v>
      </c>
      <c r="E180" s="124">
        <v>42763</v>
      </c>
      <c r="F180" s="125">
        <v>0.59027777777777779</v>
      </c>
      <c r="G180" s="124">
        <v>42815</v>
      </c>
      <c r="H180" s="125">
        <v>0.46527777777777773</v>
      </c>
      <c r="I180" s="123">
        <v>795</v>
      </c>
      <c r="J180" s="129">
        <v>781</v>
      </c>
      <c r="K180" s="142" t="str">
        <f t="shared" si="8"/>
        <v>G781</v>
      </c>
      <c r="L180" s="123">
        <v>309</v>
      </c>
      <c r="M180" s="142" t="str">
        <f t="shared" si="9"/>
        <v>R309</v>
      </c>
      <c r="N180" s="123">
        <v>893</v>
      </c>
      <c r="O180" s="142" t="str">
        <f t="shared" si="10"/>
        <v>G893</v>
      </c>
      <c r="P180" s="123">
        <v>488</v>
      </c>
      <c r="Q180" s="142" t="str">
        <f t="shared" si="11"/>
        <v>R488</v>
      </c>
      <c r="R180" s="123">
        <v>31.1</v>
      </c>
      <c r="S180" s="123">
        <v>26.2</v>
      </c>
      <c r="T180" s="123">
        <v>34.799999999999997</v>
      </c>
      <c r="U180" s="123">
        <v>8.1</v>
      </c>
      <c r="V180" s="123" t="s">
        <v>2190</v>
      </c>
      <c r="W180" s="126"/>
      <c r="X180" s="126" t="s">
        <v>2182</v>
      </c>
      <c r="Y180" s="126"/>
      <c r="Z180" s="123">
        <v>18.8</v>
      </c>
      <c r="AA180" s="123" t="s">
        <v>2245</v>
      </c>
      <c r="AB180" s="123">
        <v>15.4</v>
      </c>
      <c r="AC180" s="123">
        <v>1</v>
      </c>
      <c r="AD180" s="123"/>
    </row>
    <row r="181" spans="1:30">
      <c r="A181" s="121">
        <v>179</v>
      </c>
      <c r="B181" s="122" t="s">
        <v>2380</v>
      </c>
      <c r="C181" s="122" t="s">
        <v>2400</v>
      </c>
      <c r="D181" s="122" t="s">
        <v>2291</v>
      </c>
      <c r="E181" s="124">
        <v>42763</v>
      </c>
      <c r="F181" s="125">
        <v>0.59027777777777779</v>
      </c>
      <c r="G181" s="124">
        <v>42815</v>
      </c>
      <c r="H181" s="125">
        <v>0.46875</v>
      </c>
      <c r="I181" s="123">
        <v>796</v>
      </c>
      <c r="J181" s="123">
        <v>451</v>
      </c>
      <c r="K181" s="142" t="str">
        <f t="shared" si="8"/>
        <v>G451</v>
      </c>
      <c r="L181" s="123">
        <v>32</v>
      </c>
      <c r="M181" s="142" t="str">
        <f t="shared" si="9"/>
        <v>R32</v>
      </c>
      <c r="N181" s="123">
        <v>826</v>
      </c>
      <c r="O181" s="142" t="str">
        <f t="shared" si="10"/>
        <v>G826</v>
      </c>
      <c r="P181" s="123">
        <v>273</v>
      </c>
      <c r="Q181" s="142" t="str">
        <f t="shared" si="11"/>
        <v>R273</v>
      </c>
      <c r="R181" s="123">
        <v>31.1</v>
      </c>
      <c r="S181" s="123">
        <v>22.5</v>
      </c>
      <c r="T181" s="123">
        <v>33.200000000000003</v>
      </c>
      <c r="U181" s="123">
        <v>7.1</v>
      </c>
      <c r="V181" s="123" t="s">
        <v>2182</v>
      </c>
      <c r="W181" s="126" t="s">
        <v>2182</v>
      </c>
      <c r="X181" s="126"/>
      <c r="Y181" s="126"/>
      <c r="Z181" s="123">
        <v>15.4</v>
      </c>
      <c r="AA181" s="123" t="s">
        <v>2245</v>
      </c>
      <c r="AB181" s="123">
        <v>11.8</v>
      </c>
      <c r="AC181" s="123">
        <v>1</v>
      </c>
      <c r="AD181" s="123"/>
    </row>
    <row r="182" spans="1:30">
      <c r="A182" s="121">
        <v>180</v>
      </c>
      <c r="B182" s="122" t="s">
        <v>2380</v>
      </c>
      <c r="C182" s="122" t="s">
        <v>2401</v>
      </c>
      <c r="D182" s="122" t="s">
        <v>2291</v>
      </c>
      <c r="E182" s="124">
        <v>42763</v>
      </c>
      <c r="F182" s="125">
        <v>0.59375</v>
      </c>
      <c r="G182" s="124">
        <v>42815</v>
      </c>
      <c r="H182" s="125">
        <v>0.47916666666666669</v>
      </c>
      <c r="I182" s="123">
        <v>797</v>
      </c>
      <c r="J182" s="123">
        <v>360</v>
      </c>
      <c r="K182" s="142" t="str">
        <f t="shared" si="8"/>
        <v>G360</v>
      </c>
      <c r="L182" s="123">
        <v>268</v>
      </c>
      <c r="M182" s="142" t="str">
        <f t="shared" si="9"/>
        <v>R268</v>
      </c>
      <c r="N182" s="123">
        <v>783</v>
      </c>
      <c r="O182" s="142" t="str">
        <f t="shared" si="10"/>
        <v>G783</v>
      </c>
      <c r="P182" s="123">
        <v>301</v>
      </c>
      <c r="Q182" s="142" t="str">
        <f t="shared" si="11"/>
        <v>R301</v>
      </c>
      <c r="R182" s="123">
        <v>31.3</v>
      </c>
      <c r="S182" s="123">
        <v>20.399999999999999</v>
      </c>
      <c r="T182" s="123">
        <v>33.6</v>
      </c>
      <c r="U182" s="123">
        <v>5.3</v>
      </c>
      <c r="V182" s="123"/>
      <c r="W182" s="126"/>
      <c r="X182" s="126"/>
      <c r="Y182" s="126" t="s">
        <v>2182</v>
      </c>
      <c r="Z182" s="123">
        <v>35</v>
      </c>
      <c r="AA182" s="123" t="s">
        <v>2245</v>
      </c>
      <c r="AB182" s="123">
        <v>8.3000000000000007</v>
      </c>
      <c r="AC182" s="123">
        <v>0</v>
      </c>
      <c r="AD182" s="123"/>
    </row>
    <row r="183" spans="1:30">
      <c r="A183" s="121">
        <v>181</v>
      </c>
      <c r="B183" s="122" t="s">
        <v>2380</v>
      </c>
      <c r="C183" s="122" t="s">
        <v>2402</v>
      </c>
      <c r="D183" s="122" t="s">
        <v>2291</v>
      </c>
      <c r="E183" s="124">
        <v>42763</v>
      </c>
      <c r="F183" s="125">
        <v>0.59722222222222221</v>
      </c>
      <c r="G183" s="124">
        <v>42815</v>
      </c>
      <c r="H183" s="125">
        <v>0.4826388888888889</v>
      </c>
      <c r="I183" s="123">
        <v>798</v>
      </c>
      <c r="J183" s="123">
        <v>458</v>
      </c>
      <c r="K183" s="142" t="str">
        <f t="shared" si="8"/>
        <v>G458</v>
      </c>
      <c r="L183" s="123">
        <v>587</v>
      </c>
      <c r="M183" s="142" t="str">
        <f t="shared" si="9"/>
        <v>R587</v>
      </c>
      <c r="N183" s="123">
        <v>551</v>
      </c>
      <c r="O183" s="142" t="str">
        <f t="shared" si="10"/>
        <v>G551</v>
      </c>
      <c r="P183" s="123">
        <v>291</v>
      </c>
      <c r="Q183" s="142" t="str">
        <f t="shared" si="11"/>
        <v>R291</v>
      </c>
      <c r="R183" s="123">
        <v>32.200000000000003</v>
      </c>
      <c r="S183" s="123">
        <v>19.8</v>
      </c>
      <c r="T183" s="123">
        <v>33.1</v>
      </c>
      <c r="U183" s="123">
        <v>7.7</v>
      </c>
      <c r="V183" s="123"/>
      <c r="W183" s="126"/>
      <c r="X183" s="126"/>
      <c r="Y183" s="126"/>
      <c r="Z183" s="123">
        <v>15.8</v>
      </c>
      <c r="AA183" s="123" t="s">
        <v>2245</v>
      </c>
      <c r="AB183" s="123">
        <v>11.4</v>
      </c>
      <c r="AC183" s="123">
        <v>1</v>
      </c>
      <c r="AD183" s="123"/>
    </row>
    <row r="184" spans="1:30">
      <c r="A184" s="121">
        <v>182</v>
      </c>
      <c r="B184" s="122" t="s">
        <v>2380</v>
      </c>
      <c r="C184" s="122" t="s">
        <v>2403</v>
      </c>
      <c r="D184" s="122" t="s">
        <v>2291</v>
      </c>
      <c r="E184" s="124">
        <v>42763</v>
      </c>
      <c r="F184" s="125">
        <v>0.60069444444444442</v>
      </c>
      <c r="G184" s="124">
        <v>42815</v>
      </c>
      <c r="H184" s="125">
        <v>0.4861111111111111</v>
      </c>
      <c r="I184" s="123">
        <v>799</v>
      </c>
      <c r="J184" s="123">
        <v>403</v>
      </c>
      <c r="K184" s="142" t="str">
        <f t="shared" si="8"/>
        <v>G403</v>
      </c>
      <c r="L184" s="123">
        <v>444</v>
      </c>
      <c r="M184" s="142" t="str">
        <f t="shared" si="9"/>
        <v>R444</v>
      </c>
      <c r="N184" s="123">
        <v>818</v>
      </c>
      <c r="O184" s="142" t="str">
        <f t="shared" si="10"/>
        <v>G818</v>
      </c>
      <c r="P184" s="123">
        <v>537</v>
      </c>
      <c r="Q184" s="142" t="str">
        <f t="shared" si="11"/>
        <v>R537</v>
      </c>
      <c r="R184" s="123">
        <v>33.4</v>
      </c>
      <c r="S184" s="123">
        <v>16</v>
      </c>
      <c r="T184" s="123">
        <v>33.200000000000003</v>
      </c>
      <c r="U184" s="123">
        <v>7.1</v>
      </c>
      <c r="V184" s="123" t="s">
        <v>2201</v>
      </c>
      <c r="W184" s="126"/>
      <c r="X184" s="126"/>
      <c r="Y184" s="126"/>
      <c r="Z184" s="123">
        <v>15.8</v>
      </c>
      <c r="AA184" s="123" t="s">
        <v>2245</v>
      </c>
      <c r="AB184" s="123">
        <v>8.8000000000000007</v>
      </c>
      <c r="AC184" s="123">
        <v>1</v>
      </c>
      <c r="AD184" s="123"/>
    </row>
    <row r="185" spans="1:30">
      <c r="A185" s="121">
        <v>183</v>
      </c>
      <c r="B185" s="122" t="s">
        <v>2380</v>
      </c>
      <c r="C185" s="122" t="s">
        <v>2404</v>
      </c>
      <c r="D185" s="122" t="s">
        <v>2291</v>
      </c>
      <c r="E185" s="124">
        <v>42763</v>
      </c>
      <c r="F185" s="125">
        <v>0.60416666666666663</v>
      </c>
      <c r="G185" s="124">
        <v>42815</v>
      </c>
      <c r="H185" s="125">
        <v>0.49305555555555558</v>
      </c>
      <c r="I185" s="123">
        <v>800</v>
      </c>
      <c r="J185" s="123">
        <v>585</v>
      </c>
      <c r="K185" s="142" t="str">
        <f t="shared" si="8"/>
        <v>G585</v>
      </c>
      <c r="L185" s="123">
        <v>568</v>
      </c>
      <c r="M185" s="142" t="str">
        <f t="shared" si="9"/>
        <v>R568</v>
      </c>
      <c r="N185" s="123">
        <v>896</v>
      </c>
      <c r="O185" s="142" t="str">
        <f t="shared" si="10"/>
        <v>G896</v>
      </c>
      <c r="P185" s="123">
        <v>290</v>
      </c>
      <c r="Q185" s="142" t="str">
        <f t="shared" si="11"/>
        <v>R290</v>
      </c>
      <c r="R185" s="123">
        <v>32.799999999999997</v>
      </c>
      <c r="S185" s="123">
        <v>21.1</v>
      </c>
      <c r="T185" s="123">
        <v>34.200000000000003</v>
      </c>
      <c r="U185" s="123">
        <v>5.7</v>
      </c>
      <c r="V185" s="123" t="s">
        <v>2314</v>
      </c>
      <c r="W185" s="126" t="s">
        <v>2233</v>
      </c>
      <c r="X185" s="126"/>
      <c r="Y185" s="126"/>
      <c r="Z185" s="123">
        <v>35.799999999999997</v>
      </c>
      <c r="AA185" s="123" t="s">
        <v>2223</v>
      </c>
      <c r="AB185" s="123">
        <v>11.4</v>
      </c>
      <c r="AC185" s="123">
        <v>1</v>
      </c>
      <c r="AD185" s="123"/>
    </row>
    <row r="186" spans="1:30">
      <c r="A186" s="121">
        <v>184</v>
      </c>
      <c r="B186" s="122" t="s">
        <v>2380</v>
      </c>
      <c r="C186" s="122" t="s">
        <v>2405</v>
      </c>
      <c r="D186" s="122" t="s">
        <v>2291</v>
      </c>
      <c r="E186" s="124">
        <v>42763</v>
      </c>
      <c r="F186" s="125">
        <v>0.61111111111111105</v>
      </c>
      <c r="G186" s="124">
        <v>42815</v>
      </c>
      <c r="H186" s="125">
        <v>0.5</v>
      </c>
      <c r="I186" s="123">
        <v>801</v>
      </c>
      <c r="J186" s="123">
        <v>669</v>
      </c>
      <c r="K186" s="142" t="str">
        <f t="shared" si="8"/>
        <v>G669</v>
      </c>
      <c r="L186" s="129">
        <v>541</v>
      </c>
      <c r="M186" s="142" t="str">
        <f t="shared" si="9"/>
        <v>R541</v>
      </c>
      <c r="N186" s="123">
        <v>337</v>
      </c>
      <c r="O186" s="142" t="str">
        <f t="shared" si="10"/>
        <v>G337</v>
      </c>
      <c r="P186" s="123">
        <v>555</v>
      </c>
      <c r="Q186" s="142" t="str">
        <f t="shared" si="11"/>
        <v>R555</v>
      </c>
      <c r="R186" s="123">
        <v>27.3</v>
      </c>
      <c r="S186" s="123">
        <v>19</v>
      </c>
      <c r="T186" s="123">
        <v>32.6</v>
      </c>
      <c r="U186" s="123">
        <v>7.6</v>
      </c>
      <c r="V186" s="123" t="s">
        <v>2182</v>
      </c>
      <c r="W186" s="126"/>
      <c r="X186" s="126" t="s">
        <v>2174</v>
      </c>
      <c r="Y186" s="126"/>
      <c r="Z186" s="123">
        <v>16.399999999999999</v>
      </c>
      <c r="AA186" s="123" t="s">
        <v>2245</v>
      </c>
      <c r="AB186" s="123">
        <v>3.7</v>
      </c>
      <c r="AC186" s="123">
        <v>0</v>
      </c>
      <c r="AD186" s="123" t="s">
        <v>2406</v>
      </c>
    </row>
    <row r="187" spans="1:30">
      <c r="A187" s="121">
        <v>185</v>
      </c>
      <c r="B187" s="122" t="s">
        <v>2380</v>
      </c>
      <c r="C187" s="122" t="s">
        <v>2407</v>
      </c>
      <c r="D187" s="122" t="s">
        <v>2301</v>
      </c>
      <c r="E187" s="124">
        <v>42763</v>
      </c>
      <c r="F187" s="125">
        <v>0.61805555555555558</v>
      </c>
      <c r="G187" s="124">
        <v>42815</v>
      </c>
      <c r="H187" s="125">
        <v>0.55555555555555558</v>
      </c>
      <c r="I187" s="123">
        <v>802</v>
      </c>
      <c r="J187" s="123">
        <v>423</v>
      </c>
      <c r="K187" s="142" t="str">
        <f t="shared" si="8"/>
        <v>G423</v>
      </c>
      <c r="L187" s="123">
        <v>51</v>
      </c>
      <c r="M187" s="142" t="str">
        <f t="shared" si="9"/>
        <v>R51</v>
      </c>
      <c r="N187" s="123">
        <v>564</v>
      </c>
      <c r="O187" s="142" t="str">
        <f t="shared" si="10"/>
        <v>G564</v>
      </c>
      <c r="P187" s="123">
        <v>539</v>
      </c>
      <c r="Q187" s="142" t="str">
        <f t="shared" si="11"/>
        <v>R539</v>
      </c>
      <c r="R187" s="123">
        <v>32.1</v>
      </c>
      <c r="S187" s="123">
        <v>26.1</v>
      </c>
      <c r="T187" s="123">
        <v>38.700000000000003</v>
      </c>
      <c r="U187" s="123">
        <v>9.6</v>
      </c>
      <c r="V187" s="123"/>
      <c r="W187" s="126" t="s">
        <v>2190</v>
      </c>
      <c r="X187" s="126"/>
      <c r="Y187" s="126"/>
      <c r="Z187" s="123">
        <v>29.4</v>
      </c>
      <c r="AA187" s="123" t="s">
        <v>2245</v>
      </c>
      <c r="AB187" s="123">
        <v>9.8000000000000007</v>
      </c>
      <c r="AC187" s="123">
        <v>0</v>
      </c>
      <c r="AD187" s="123"/>
    </row>
    <row r="188" spans="1:30">
      <c r="A188" s="121">
        <v>186</v>
      </c>
      <c r="B188" s="122" t="s">
        <v>2380</v>
      </c>
      <c r="C188" s="122" t="s">
        <v>2408</v>
      </c>
      <c r="D188" s="122" t="s">
        <v>2301</v>
      </c>
      <c r="E188" s="124">
        <v>42763</v>
      </c>
      <c r="F188" s="125">
        <v>0.625</v>
      </c>
      <c r="G188" s="124">
        <v>42815</v>
      </c>
      <c r="H188" s="125">
        <v>0.5625</v>
      </c>
      <c r="I188" s="123">
        <v>803</v>
      </c>
      <c r="J188" s="123">
        <v>544</v>
      </c>
      <c r="K188" s="142" t="str">
        <f t="shared" si="8"/>
        <v>G544</v>
      </c>
      <c r="L188" s="123">
        <v>557</v>
      </c>
      <c r="M188" s="142" t="str">
        <f t="shared" si="9"/>
        <v>R557</v>
      </c>
      <c r="N188" s="123">
        <v>608</v>
      </c>
      <c r="O188" s="142" t="str">
        <f t="shared" si="10"/>
        <v>G608</v>
      </c>
      <c r="P188" s="123">
        <v>186</v>
      </c>
      <c r="Q188" s="142" t="str">
        <f t="shared" si="11"/>
        <v>R186</v>
      </c>
      <c r="R188" s="123">
        <v>31.3</v>
      </c>
      <c r="S188" s="123">
        <v>26.8</v>
      </c>
      <c r="T188" s="123">
        <v>36.5</v>
      </c>
      <c r="U188" s="123">
        <v>7</v>
      </c>
      <c r="V188" s="123" t="s">
        <v>2182</v>
      </c>
      <c r="W188" s="126" t="s">
        <v>2174</v>
      </c>
      <c r="X188" s="126"/>
      <c r="Y188" s="126"/>
      <c r="Z188" s="123">
        <v>45.4</v>
      </c>
      <c r="AA188" s="123" t="s">
        <v>2245</v>
      </c>
      <c r="AB188" s="123">
        <v>11.4</v>
      </c>
      <c r="AC188" s="123">
        <v>0</v>
      </c>
      <c r="AD188" s="123"/>
    </row>
    <row r="189" spans="1:30">
      <c r="A189" s="121">
        <v>187</v>
      </c>
      <c r="B189" s="122" t="s">
        <v>2380</v>
      </c>
      <c r="C189" s="122" t="s">
        <v>2409</v>
      </c>
      <c r="D189" s="122" t="s">
        <v>2301</v>
      </c>
      <c r="E189" s="124">
        <v>42763</v>
      </c>
      <c r="F189" s="125">
        <v>0.62847222222222221</v>
      </c>
      <c r="G189" s="124">
        <v>42815</v>
      </c>
      <c r="H189" s="125">
        <v>0.56944444444444442</v>
      </c>
      <c r="I189" s="123">
        <v>804</v>
      </c>
      <c r="J189" s="123">
        <v>620</v>
      </c>
      <c r="K189" s="142" t="str">
        <f t="shared" si="8"/>
        <v>G620</v>
      </c>
      <c r="L189" s="123">
        <v>427</v>
      </c>
      <c r="M189" s="142" t="str">
        <f t="shared" si="9"/>
        <v>R427</v>
      </c>
      <c r="N189" s="123">
        <v>365</v>
      </c>
      <c r="O189" s="142" t="str">
        <f t="shared" si="10"/>
        <v>G365</v>
      </c>
      <c r="P189" s="182">
        <v>580</v>
      </c>
      <c r="Q189" s="142" t="str">
        <f t="shared" si="11"/>
        <v>R580</v>
      </c>
      <c r="R189" s="234">
        <v>31.3</v>
      </c>
      <c r="S189" s="234">
        <v>18.2</v>
      </c>
      <c r="T189" s="123">
        <v>34.700000000000003</v>
      </c>
      <c r="U189" s="123">
        <v>10.199999999999999</v>
      </c>
      <c r="V189" s="123"/>
      <c r="W189" s="126"/>
      <c r="X189" s="126"/>
      <c r="Y189" s="126"/>
      <c r="Z189" s="123">
        <v>39.4</v>
      </c>
      <c r="AA189" s="123" t="s">
        <v>2245</v>
      </c>
      <c r="AB189" s="123">
        <v>0.6</v>
      </c>
      <c r="AC189" s="123">
        <v>1</v>
      </c>
      <c r="AD189" s="123"/>
    </row>
    <row r="190" spans="1:30">
      <c r="A190" s="121">
        <v>188</v>
      </c>
      <c r="B190" s="122" t="s">
        <v>2380</v>
      </c>
      <c r="C190" s="122" t="s">
        <v>2410</v>
      </c>
      <c r="D190" s="122" t="s">
        <v>2301</v>
      </c>
      <c r="E190" s="124">
        <v>42763</v>
      </c>
      <c r="F190" s="125">
        <v>0.63888888888888895</v>
      </c>
      <c r="G190" s="124">
        <v>42815</v>
      </c>
      <c r="H190" s="125">
        <v>0.57291666666666663</v>
      </c>
      <c r="I190" s="123">
        <v>805</v>
      </c>
      <c r="J190" s="123">
        <v>420</v>
      </c>
      <c r="K190" s="142" t="str">
        <f t="shared" si="8"/>
        <v>G420</v>
      </c>
      <c r="L190" s="123">
        <v>523</v>
      </c>
      <c r="M190" s="142" t="str">
        <f t="shared" si="9"/>
        <v>R523</v>
      </c>
      <c r="N190" s="123">
        <v>375</v>
      </c>
      <c r="O190" s="142" t="str">
        <f t="shared" si="10"/>
        <v>G375</v>
      </c>
      <c r="P190" s="123">
        <v>222</v>
      </c>
      <c r="Q190" s="142" t="str">
        <f t="shared" si="11"/>
        <v>R222</v>
      </c>
      <c r="R190" s="123">
        <v>31.8</v>
      </c>
      <c r="S190" s="123">
        <v>10.6</v>
      </c>
      <c r="T190" s="123">
        <v>36.5</v>
      </c>
      <c r="U190" s="123">
        <v>10.3</v>
      </c>
      <c r="V190" s="123" t="s">
        <v>2174</v>
      </c>
      <c r="W190" s="126" t="s">
        <v>2198</v>
      </c>
      <c r="X190" s="126"/>
      <c r="Y190" s="126"/>
      <c r="Z190" s="123">
        <v>14.4</v>
      </c>
      <c r="AA190" s="123" t="s">
        <v>2245</v>
      </c>
      <c r="AB190" s="123">
        <v>2.2999999999999998</v>
      </c>
      <c r="AC190" s="123">
        <v>0</v>
      </c>
      <c r="AD190" s="123" t="s">
        <v>2411</v>
      </c>
    </row>
    <row r="191" spans="1:30">
      <c r="A191" s="121">
        <v>189</v>
      </c>
      <c r="B191" s="122" t="s">
        <v>2380</v>
      </c>
      <c r="C191" s="122" t="s">
        <v>2412</v>
      </c>
      <c r="D191" s="122" t="s">
        <v>2301</v>
      </c>
      <c r="E191" s="124">
        <v>42763</v>
      </c>
      <c r="F191" s="125">
        <v>0.64583333333333337</v>
      </c>
      <c r="G191" s="124">
        <v>42815</v>
      </c>
      <c r="H191" s="125">
        <v>0.57986111111111105</v>
      </c>
      <c r="I191" s="123">
        <v>806</v>
      </c>
      <c r="J191" s="129">
        <v>367</v>
      </c>
      <c r="K191" s="142" t="str">
        <f t="shared" si="8"/>
        <v>G367</v>
      </c>
      <c r="L191" s="123">
        <v>354</v>
      </c>
      <c r="M191" s="142" t="str">
        <f t="shared" si="9"/>
        <v>R354</v>
      </c>
      <c r="N191" s="123">
        <v>537</v>
      </c>
      <c r="O191" s="142" t="str">
        <f t="shared" si="10"/>
        <v>G537</v>
      </c>
      <c r="P191" s="123">
        <v>216</v>
      </c>
      <c r="Q191" s="142" t="str">
        <f t="shared" si="11"/>
        <v>R216</v>
      </c>
      <c r="R191" s="123">
        <v>27.3</v>
      </c>
      <c r="S191" s="123">
        <v>19.7</v>
      </c>
      <c r="T191" s="123">
        <v>33.9</v>
      </c>
      <c r="U191" s="123">
        <v>7.5</v>
      </c>
      <c r="V191" s="123" t="s">
        <v>2229</v>
      </c>
      <c r="W191" s="126" t="s">
        <v>2182</v>
      </c>
      <c r="X191" s="126"/>
      <c r="Y191" s="126" t="s">
        <v>2182</v>
      </c>
      <c r="Z191" s="123">
        <v>7</v>
      </c>
      <c r="AA191" s="123" t="s">
        <v>2245</v>
      </c>
      <c r="AB191" s="123">
        <v>0.6</v>
      </c>
      <c r="AC191" s="123">
        <v>1</v>
      </c>
      <c r="AD191" s="123"/>
    </row>
    <row r="192" spans="1:30">
      <c r="A192" s="121">
        <v>190</v>
      </c>
      <c r="B192" s="122" t="s">
        <v>2380</v>
      </c>
      <c r="C192" s="122" t="s">
        <v>2413</v>
      </c>
      <c r="D192" s="122" t="s">
        <v>2301</v>
      </c>
      <c r="E192" s="124">
        <v>42763</v>
      </c>
      <c r="F192" s="125">
        <v>0.64583333333333337</v>
      </c>
      <c r="G192" s="124">
        <v>42815</v>
      </c>
      <c r="H192" s="125">
        <v>0.58680555555555558</v>
      </c>
      <c r="I192" s="123">
        <v>807</v>
      </c>
      <c r="J192" s="123">
        <v>526</v>
      </c>
      <c r="K192" s="142" t="str">
        <f t="shared" si="8"/>
        <v>G526</v>
      </c>
      <c r="L192" s="123">
        <v>164</v>
      </c>
      <c r="M192" s="142" t="str">
        <f t="shared" si="9"/>
        <v>R164</v>
      </c>
      <c r="N192" s="123">
        <v>393</v>
      </c>
      <c r="O192" s="142" t="str">
        <f t="shared" si="10"/>
        <v>G393</v>
      </c>
      <c r="P192" s="123">
        <v>232</v>
      </c>
      <c r="Q192" s="142" t="str">
        <f t="shared" si="11"/>
        <v>R232</v>
      </c>
      <c r="R192" s="123">
        <v>31.4</v>
      </c>
      <c r="S192" s="123">
        <v>15.3</v>
      </c>
      <c r="T192" s="123">
        <v>36.700000000000003</v>
      </c>
      <c r="U192" s="123">
        <v>11.8</v>
      </c>
      <c r="V192" s="123"/>
      <c r="W192" s="126" t="s">
        <v>2190</v>
      </c>
      <c r="X192" s="126"/>
      <c r="Y192" s="126"/>
      <c r="Z192" s="123">
        <v>17.399999999999999</v>
      </c>
      <c r="AA192" s="123" t="s">
        <v>2245</v>
      </c>
      <c r="AB192" s="123">
        <v>9.5</v>
      </c>
      <c r="AC192" s="123">
        <v>0</v>
      </c>
      <c r="AD192" s="123"/>
    </row>
    <row r="193" spans="1:31">
      <c r="A193" s="121">
        <v>191</v>
      </c>
      <c r="B193" s="122" t="s">
        <v>2380</v>
      </c>
      <c r="C193" s="122" t="s">
        <v>2414</v>
      </c>
      <c r="D193" s="122" t="s">
        <v>2301</v>
      </c>
      <c r="E193" s="124">
        <v>42763</v>
      </c>
      <c r="F193" s="125">
        <v>0.66319444444444442</v>
      </c>
      <c r="G193" s="124">
        <v>42815</v>
      </c>
      <c r="H193" s="125">
        <v>0.59027777777777779</v>
      </c>
      <c r="I193" s="123">
        <v>808</v>
      </c>
      <c r="J193" s="123">
        <v>522</v>
      </c>
      <c r="K193" s="142" t="str">
        <f t="shared" si="8"/>
        <v>G522</v>
      </c>
      <c r="L193" s="123">
        <v>336</v>
      </c>
      <c r="M193" s="142" t="str">
        <f t="shared" si="9"/>
        <v>R336</v>
      </c>
      <c r="N193" s="123">
        <v>417</v>
      </c>
      <c r="O193" s="142" t="str">
        <f t="shared" si="10"/>
        <v>G417</v>
      </c>
      <c r="P193" s="123">
        <v>387</v>
      </c>
      <c r="Q193" s="142" t="str">
        <f t="shared" si="11"/>
        <v>R387</v>
      </c>
      <c r="R193" s="123">
        <v>31.5</v>
      </c>
      <c r="S193" s="123">
        <v>15.4</v>
      </c>
      <c r="T193" s="123">
        <v>38.5</v>
      </c>
      <c r="U193" s="123">
        <v>9.3000000000000007</v>
      </c>
      <c r="V193" s="123"/>
      <c r="W193" s="126" t="s">
        <v>2190</v>
      </c>
      <c r="X193" s="126"/>
      <c r="Y193" s="126"/>
      <c r="Z193" s="123">
        <v>29.8</v>
      </c>
      <c r="AA193" s="123" t="s">
        <v>2245</v>
      </c>
      <c r="AB193" s="123">
        <v>12.4</v>
      </c>
      <c r="AC193" s="123">
        <v>0</v>
      </c>
      <c r="AD193" s="123"/>
    </row>
    <row r="194" spans="1:31">
      <c r="A194" s="121">
        <v>192</v>
      </c>
      <c r="B194" s="122" t="s">
        <v>2380</v>
      </c>
      <c r="C194" s="122" t="s">
        <v>2415</v>
      </c>
      <c r="D194" s="122" t="s">
        <v>2301</v>
      </c>
      <c r="E194" s="124">
        <v>42763</v>
      </c>
      <c r="F194" s="125">
        <v>0.64930555555555558</v>
      </c>
      <c r="G194" s="124">
        <v>42815</v>
      </c>
      <c r="H194" s="125">
        <v>0.59722222222222221</v>
      </c>
      <c r="I194" s="123">
        <v>809</v>
      </c>
      <c r="J194" s="123">
        <v>591</v>
      </c>
      <c r="K194" s="142" t="str">
        <f t="shared" si="8"/>
        <v>G591</v>
      </c>
      <c r="L194" s="123">
        <v>263</v>
      </c>
      <c r="M194" s="142" t="str">
        <f t="shared" si="9"/>
        <v>R263</v>
      </c>
      <c r="N194" s="129">
        <v>297</v>
      </c>
      <c r="O194" s="142" t="str">
        <f t="shared" si="10"/>
        <v>G297</v>
      </c>
      <c r="P194" s="123">
        <v>346</v>
      </c>
      <c r="Q194" s="142" t="str">
        <f t="shared" si="11"/>
        <v>R346</v>
      </c>
      <c r="R194" s="123">
        <v>33.1</v>
      </c>
      <c r="S194" s="123">
        <v>8.6999999999999993</v>
      </c>
      <c r="T194" s="123">
        <v>33.5</v>
      </c>
      <c r="U194" s="123">
        <v>9.8000000000000007</v>
      </c>
      <c r="V194" s="123"/>
      <c r="W194" s="126" t="s">
        <v>2190</v>
      </c>
      <c r="X194" s="126"/>
      <c r="Y194" s="126"/>
      <c r="Z194" s="123">
        <v>37.799999999999997</v>
      </c>
      <c r="AA194" s="123" t="s">
        <v>2245</v>
      </c>
      <c r="AB194" s="123">
        <v>3.6</v>
      </c>
      <c r="AC194" s="123">
        <v>0</v>
      </c>
      <c r="AD194" s="123"/>
    </row>
    <row r="195" spans="1:31">
      <c r="A195" s="121">
        <v>193</v>
      </c>
      <c r="B195" s="133" t="s">
        <v>2171</v>
      </c>
      <c r="C195" s="133" t="s">
        <v>2440</v>
      </c>
      <c r="D195" s="122" t="s">
        <v>2450</v>
      </c>
      <c r="E195" s="124">
        <v>42769</v>
      </c>
      <c r="F195" s="125">
        <v>0.4375</v>
      </c>
      <c r="G195" s="124">
        <v>42813</v>
      </c>
      <c r="H195" s="125">
        <v>0.68055555555555547</v>
      </c>
      <c r="I195" s="123">
        <v>933</v>
      </c>
      <c r="J195" s="123">
        <v>863</v>
      </c>
      <c r="K195" s="142" t="str">
        <f t="shared" si="8"/>
        <v>G863</v>
      </c>
      <c r="L195" s="123">
        <v>125</v>
      </c>
      <c r="M195" s="142" t="str">
        <f t="shared" si="9"/>
        <v>R125</v>
      </c>
      <c r="N195" s="123">
        <v>584</v>
      </c>
      <c r="O195" s="142" t="str">
        <f t="shared" si="10"/>
        <v>G584</v>
      </c>
      <c r="P195" s="123">
        <v>364</v>
      </c>
      <c r="Q195" s="142" t="str">
        <f t="shared" si="11"/>
        <v>R364</v>
      </c>
      <c r="R195" s="123">
        <v>23.9</v>
      </c>
      <c r="S195" s="123">
        <v>28</v>
      </c>
      <c r="T195" s="123">
        <v>34</v>
      </c>
      <c r="U195" s="123">
        <v>16.8</v>
      </c>
      <c r="V195" s="123" t="s">
        <v>2182</v>
      </c>
      <c r="W195" s="126"/>
      <c r="X195" s="126" t="s">
        <v>2182</v>
      </c>
      <c r="Y195" s="126"/>
      <c r="Z195" s="123">
        <v>12.2</v>
      </c>
      <c r="AA195" s="123" t="s">
        <v>2245</v>
      </c>
      <c r="AB195" s="123">
        <v>15.2</v>
      </c>
      <c r="AC195" s="123">
        <v>1</v>
      </c>
      <c r="AD195" s="123"/>
    </row>
    <row r="196" spans="1:31">
      <c r="A196" s="121">
        <v>194</v>
      </c>
      <c r="B196" s="133" t="s">
        <v>2171</v>
      </c>
      <c r="C196" s="133" t="s">
        <v>2433</v>
      </c>
      <c r="D196" s="133" t="s">
        <v>2449</v>
      </c>
      <c r="E196" s="124">
        <v>42769</v>
      </c>
      <c r="F196" s="125">
        <v>0.41319444444444442</v>
      </c>
      <c r="G196" s="124">
        <v>42813</v>
      </c>
      <c r="H196" s="125">
        <v>0.71875</v>
      </c>
      <c r="I196" s="123">
        <v>929</v>
      </c>
      <c r="J196" s="123">
        <v>615</v>
      </c>
      <c r="K196" s="142" t="str">
        <f t="shared" ref="K196:K222" si="12">_xlfn.TEXTJOIN(,TRUE, "G",J196)</f>
        <v>G615</v>
      </c>
      <c r="L196" s="123">
        <v>289</v>
      </c>
      <c r="M196" s="142" t="str">
        <f t="shared" ref="M196:M222" si="13">_xlfn.TEXTJOIN(,TRUE, "R",L196)</f>
        <v>R289</v>
      </c>
      <c r="N196" s="123">
        <v>713</v>
      </c>
      <c r="O196" s="142" t="str">
        <f t="shared" ref="O196:O222" si="14">_xlfn.TEXTJOIN(,TRUE, "G",N196)</f>
        <v>G713</v>
      </c>
      <c r="P196" s="123">
        <v>167</v>
      </c>
      <c r="Q196" s="142" t="str">
        <f t="shared" ref="Q196:Q222" si="15">_xlfn.TEXTJOIN(,TRUE, "R",P196)</f>
        <v>R167</v>
      </c>
      <c r="R196" s="123">
        <v>23.9</v>
      </c>
      <c r="S196" s="123">
        <v>25.1</v>
      </c>
      <c r="T196" s="123">
        <v>34.700000000000003</v>
      </c>
      <c r="U196" s="123">
        <v>14.1</v>
      </c>
      <c r="V196" s="123" t="s">
        <v>2182</v>
      </c>
      <c r="W196" s="126" t="s">
        <v>2182</v>
      </c>
      <c r="X196" s="126" t="s">
        <v>2182</v>
      </c>
      <c r="Y196" s="126" t="s">
        <v>2182</v>
      </c>
      <c r="Z196" s="123">
        <v>7.9</v>
      </c>
      <c r="AA196" s="123" t="s">
        <v>2245</v>
      </c>
      <c r="AB196" s="123">
        <v>7.9</v>
      </c>
      <c r="AC196" s="123">
        <v>1</v>
      </c>
      <c r="AD196" s="123"/>
    </row>
    <row r="197" spans="1:31">
      <c r="A197" s="121">
        <v>195</v>
      </c>
      <c r="B197" s="133" t="s">
        <v>2171</v>
      </c>
      <c r="C197" s="133" t="s">
        <v>2425</v>
      </c>
      <c r="D197" s="133" t="s">
        <v>2448</v>
      </c>
      <c r="E197" s="124">
        <v>42769</v>
      </c>
      <c r="F197" s="125">
        <v>0.46180555555555558</v>
      </c>
      <c r="G197" s="124">
        <v>42814</v>
      </c>
      <c r="H197" s="125">
        <v>0.42708333333333331</v>
      </c>
      <c r="I197" s="123">
        <v>935</v>
      </c>
      <c r="J197" s="123">
        <v>821</v>
      </c>
      <c r="K197" s="142" t="str">
        <f t="shared" si="12"/>
        <v>G821</v>
      </c>
      <c r="L197" s="123">
        <v>378</v>
      </c>
      <c r="M197" s="142" t="str">
        <f t="shared" si="13"/>
        <v>R378</v>
      </c>
      <c r="N197" s="123">
        <v>525</v>
      </c>
      <c r="O197" s="142" t="str">
        <f t="shared" si="14"/>
        <v>G525</v>
      </c>
      <c r="P197" s="123">
        <v>25</v>
      </c>
      <c r="Q197" s="142" t="str">
        <f t="shared" si="15"/>
        <v>R25</v>
      </c>
      <c r="R197" s="123">
        <v>25.3</v>
      </c>
      <c r="S197" s="123">
        <v>26.7</v>
      </c>
      <c r="T197" s="129">
        <v>23.4</v>
      </c>
      <c r="U197" s="129">
        <v>32.700000000000003</v>
      </c>
      <c r="V197" s="123" t="s">
        <v>2182</v>
      </c>
      <c r="W197" s="126" t="s">
        <v>2229</v>
      </c>
      <c r="X197" s="126" t="s">
        <v>2182</v>
      </c>
      <c r="Y197" s="126"/>
      <c r="Z197" s="123">
        <v>5.13</v>
      </c>
      <c r="AA197" s="123" t="s">
        <v>2245</v>
      </c>
      <c r="AB197" s="123">
        <v>5.13</v>
      </c>
      <c r="AC197" s="123">
        <v>1</v>
      </c>
      <c r="AD197" s="123"/>
    </row>
    <row r="198" spans="1:31">
      <c r="A198" s="121">
        <v>196</v>
      </c>
      <c r="B198" s="133" t="s">
        <v>2171</v>
      </c>
      <c r="C198" s="122" t="s">
        <v>2416</v>
      </c>
      <c r="D198" s="133" t="s">
        <v>2447</v>
      </c>
      <c r="E198" s="124">
        <v>42769</v>
      </c>
      <c r="F198" s="125">
        <v>0.44791666666666669</v>
      </c>
      <c r="G198" s="124">
        <v>42814</v>
      </c>
      <c r="H198" s="125">
        <v>0.39583333333333331</v>
      </c>
      <c r="I198" s="123">
        <v>934</v>
      </c>
      <c r="J198" s="123">
        <v>754</v>
      </c>
      <c r="K198" s="142" t="str">
        <f t="shared" si="12"/>
        <v>G754</v>
      </c>
      <c r="L198" s="123">
        <v>375</v>
      </c>
      <c r="M198" s="142" t="str">
        <f t="shared" si="13"/>
        <v>R375</v>
      </c>
      <c r="N198" s="123">
        <v>886</v>
      </c>
      <c r="O198" s="142" t="str">
        <f t="shared" si="14"/>
        <v>G886</v>
      </c>
      <c r="P198" s="123">
        <v>362</v>
      </c>
      <c r="Q198" s="142" t="str">
        <f t="shared" si="15"/>
        <v>R362</v>
      </c>
      <c r="R198" s="123">
        <v>26.9</v>
      </c>
      <c r="S198" s="123">
        <v>20.100000000000001</v>
      </c>
      <c r="T198" s="123">
        <v>23.6</v>
      </c>
      <c r="U198" s="123">
        <v>27.4</v>
      </c>
      <c r="V198" s="123" t="s">
        <v>2182</v>
      </c>
      <c r="W198" s="126"/>
      <c r="X198" s="126"/>
      <c r="Y198" s="126"/>
      <c r="Z198" s="123">
        <v>17.399999999999999</v>
      </c>
      <c r="AA198" s="123" t="s">
        <v>2245</v>
      </c>
      <c r="AB198" s="123">
        <v>13.8</v>
      </c>
      <c r="AC198" s="123">
        <v>1</v>
      </c>
      <c r="AD198" s="123" t="s">
        <v>2417</v>
      </c>
    </row>
    <row r="199" spans="1:31">
      <c r="A199" s="121">
        <v>197</v>
      </c>
      <c r="B199" s="133" t="s">
        <v>2171</v>
      </c>
      <c r="C199" s="133" t="s">
        <v>2426</v>
      </c>
      <c r="D199" s="133" t="s">
        <v>2448</v>
      </c>
      <c r="E199" s="124">
        <v>42769</v>
      </c>
      <c r="F199" s="125">
        <v>0.45833333333333331</v>
      </c>
      <c r="G199" s="124">
        <v>42814</v>
      </c>
      <c r="H199" s="125">
        <v>0.42708333333333331</v>
      </c>
      <c r="I199" s="123">
        <v>935</v>
      </c>
      <c r="J199" s="123">
        <v>715</v>
      </c>
      <c r="K199" s="142" t="str">
        <f t="shared" si="12"/>
        <v>G715</v>
      </c>
      <c r="L199" s="123">
        <v>219</v>
      </c>
      <c r="M199" s="142" t="str">
        <f t="shared" si="13"/>
        <v>R219</v>
      </c>
      <c r="N199" s="123">
        <v>388</v>
      </c>
      <c r="O199" s="142" t="str">
        <f t="shared" si="14"/>
        <v>G388</v>
      </c>
      <c r="P199" s="123">
        <v>370</v>
      </c>
      <c r="Q199" s="142" t="str">
        <f t="shared" si="15"/>
        <v>R370</v>
      </c>
      <c r="R199" s="123">
        <v>24.5</v>
      </c>
      <c r="S199" s="123">
        <v>26.6</v>
      </c>
      <c r="T199" s="143">
        <v>24.3</v>
      </c>
      <c r="U199" s="129">
        <v>19.100000000000001</v>
      </c>
      <c r="V199" s="123" t="s">
        <v>2182</v>
      </c>
      <c r="W199" s="126" t="s">
        <v>2225</v>
      </c>
      <c r="X199" s="126" t="s">
        <v>2182</v>
      </c>
      <c r="Y199" s="126" t="s">
        <v>2182</v>
      </c>
      <c r="Z199" s="123">
        <v>5.13</v>
      </c>
      <c r="AA199" s="123" t="s">
        <v>2245</v>
      </c>
      <c r="AB199" s="123">
        <v>5.13</v>
      </c>
      <c r="AC199" s="123">
        <v>1</v>
      </c>
      <c r="AD199" s="123"/>
    </row>
    <row r="200" spans="1:31">
      <c r="A200" s="121">
        <v>198</v>
      </c>
      <c r="B200" s="133" t="s">
        <v>2171</v>
      </c>
      <c r="C200" s="133" t="s">
        <v>2434</v>
      </c>
      <c r="D200" s="133" t="s">
        <v>2449</v>
      </c>
      <c r="E200" s="124">
        <v>42769</v>
      </c>
      <c r="F200" s="125">
        <v>0.40625</v>
      </c>
      <c r="G200" s="124">
        <v>42813</v>
      </c>
      <c r="H200" s="125">
        <v>0.71875</v>
      </c>
      <c r="I200" s="123">
        <v>929</v>
      </c>
      <c r="J200" s="123">
        <v>785</v>
      </c>
      <c r="K200" s="142" t="str">
        <f t="shared" si="12"/>
        <v>G785</v>
      </c>
      <c r="L200" s="123">
        <v>463</v>
      </c>
      <c r="M200" s="142" t="str">
        <f t="shared" si="13"/>
        <v>R463</v>
      </c>
      <c r="N200" s="123">
        <v>462</v>
      </c>
      <c r="O200" s="142" t="str">
        <f t="shared" si="14"/>
        <v>G462</v>
      </c>
      <c r="P200" s="123">
        <v>168</v>
      </c>
      <c r="Q200" s="142" t="str">
        <f t="shared" si="15"/>
        <v>R168</v>
      </c>
      <c r="R200" s="123">
        <v>22.9</v>
      </c>
      <c r="S200" s="123">
        <v>26.9</v>
      </c>
      <c r="T200" s="123">
        <v>32</v>
      </c>
      <c r="U200" s="123">
        <v>14.9</v>
      </c>
      <c r="V200" s="123" t="s">
        <v>2182</v>
      </c>
      <c r="W200" s="126"/>
      <c r="X200" s="126" t="s">
        <v>2182</v>
      </c>
      <c r="Y200" s="126" t="s">
        <v>2182</v>
      </c>
      <c r="Z200" s="123">
        <v>7.9</v>
      </c>
      <c r="AA200" s="123" t="s">
        <v>2245</v>
      </c>
      <c r="AB200" s="123">
        <v>7.9</v>
      </c>
      <c r="AC200" s="123">
        <v>1</v>
      </c>
      <c r="AD200" s="123"/>
    </row>
    <row r="201" spans="1:31">
      <c r="A201" s="121">
        <v>199</v>
      </c>
      <c r="B201" s="133" t="s">
        <v>2171</v>
      </c>
      <c r="C201" s="133" t="s">
        <v>2418</v>
      </c>
      <c r="D201" s="133" t="s">
        <v>2447</v>
      </c>
      <c r="E201" s="124">
        <v>42769</v>
      </c>
      <c r="F201" s="125">
        <v>0.44444444444444442</v>
      </c>
      <c r="G201" s="124">
        <v>42814</v>
      </c>
      <c r="H201" s="125">
        <v>0.39583333333333331</v>
      </c>
      <c r="I201" s="123">
        <v>934</v>
      </c>
      <c r="J201" s="123">
        <v>877</v>
      </c>
      <c r="K201" s="142" t="str">
        <f t="shared" si="12"/>
        <v>G877</v>
      </c>
      <c r="L201" s="123">
        <v>339</v>
      </c>
      <c r="M201" s="142" t="str">
        <f t="shared" si="13"/>
        <v>R339</v>
      </c>
      <c r="N201" s="123">
        <v>712</v>
      </c>
      <c r="O201" s="142" t="str">
        <f t="shared" si="14"/>
        <v>G712</v>
      </c>
      <c r="P201" s="123">
        <v>369</v>
      </c>
      <c r="Q201" s="142" t="str">
        <f t="shared" si="15"/>
        <v>R369</v>
      </c>
      <c r="R201" s="123">
        <v>25.4</v>
      </c>
      <c r="S201" s="123">
        <v>26.6</v>
      </c>
      <c r="T201" s="123">
        <v>23.7</v>
      </c>
      <c r="U201" s="123">
        <v>9.6999999999999993</v>
      </c>
      <c r="V201" s="123" t="s">
        <v>2182</v>
      </c>
      <c r="W201" s="126" t="s">
        <v>2182</v>
      </c>
      <c r="X201" s="126"/>
      <c r="Y201" s="126" t="s">
        <v>2182</v>
      </c>
      <c r="Z201" s="123">
        <v>17.399999999999999</v>
      </c>
      <c r="AA201" s="123" t="s">
        <v>2245</v>
      </c>
      <c r="AB201" s="123">
        <v>13.8</v>
      </c>
      <c r="AC201" s="123">
        <v>1</v>
      </c>
      <c r="AD201" s="123"/>
    </row>
    <row r="202" spans="1:31">
      <c r="A202" s="121">
        <v>200</v>
      </c>
      <c r="B202" s="133" t="s">
        <v>2171</v>
      </c>
      <c r="C202" s="133" t="s">
        <v>2441</v>
      </c>
      <c r="D202" s="122" t="s">
        <v>2450</v>
      </c>
      <c r="E202" s="124">
        <v>42769</v>
      </c>
      <c r="F202" s="125">
        <v>0.44097222222222227</v>
      </c>
      <c r="G202" s="124">
        <v>42813</v>
      </c>
      <c r="H202" s="125">
        <v>0.68055555555555547</v>
      </c>
      <c r="I202" s="123">
        <v>933</v>
      </c>
      <c r="J202" s="123">
        <v>816</v>
      </c>
      <c r="K202" s="142" t="str">
        <f t="shared" si="12"/>
        <v>G816</v>
      </c>
      <c r="L202" s="123">
        <v>303</v>
      </c>
      <c r="M202" s="142" t="str">
        <f t="shared" si="13"/>
        <v>R303</v>
      </c>
      <c r="N202" s="123">
        <v>709</v>
      </c>
      <c r="O202" s="142" t="str">
        <f t="shared" si="14"/>
        <v>G709</v>
      </c>
      <c r="P202" s="123">
        <v>359</v>
      </c>
      <c r="Q202" s="142" t="str">
        <f t="shared" si="15"/>
        <v>R359</v>
      </c>
      <c r="R202" s="123">
        <v>25.7</v>
      </c>
      <c r="S202" s="123">
        <v>27.2</v>
      </c>
      <c r="T202" s="123">
        <v>30.1</v>
      </c>
      <c r="U202" s="123">
        <v>18.399999999999999</v>
      </c>
      <c r="V202" s="123" t="s">
        <v>2182</v>
      </c>
      <c r="W202" s="126" t="s">
        <v>2182</v>
      </c>
      <c r="X202" s="126" t="s">
        <v>2182</v>
      </c>
      <c r="Y202" s="126" t="s">
        <v>2182</v>
      </c>
      <c r="Z202" s="123">
        <v>12.2</v>
      </c>
      <c r="AA202" s="123" t="s">
        <v>2245</v>
      </c>
      <c r="AB202" s="123">
        <v>15.2</v>
      </c>
      <c r="AC202" s="123">
        <v>1</v>
      </c>
      <c r="AD202" s="123"/>
    </row>
    <row r="203" spans="1:31">
      <c r="A203" s="121">
        <v>201</v>
      </c>
      <c r="B203" s="133" t="s">
        <v>2271</v>
      </c>
      <c r="C203" s="133" t="s">
        <v>2442</v>
      </c>
      <c r="D203" s="122" t="s">
        <v>2450</v>
      </c>
      <c r="E203" s="124">
        <v>42769</v>
      </c>
      <c r="F203" s="125">
        <v>0.47916666666666669</v>
      </c>
      <c r="G203" s="124">
        <v>42813</v>
      </c>
      <c r="H203" s="125">
        <v>0.68055555555555547</v>
      </c>
      <c r="I203" s="123">
        <v>933</v>
      </c>
      <c r="J203" s="123">
        <v>811</v>
      </c>
      <c r="K203" s="142" t="str">
        <f t="shared" si="12"/>
        <v>G811</v>
      </c>
      <c r="L203" s="123">
        <v>218</v>
      </c>
      <c r="M203" s="142" t="str">
        <f t="shared" si="13"/>
        <v>R218</v>
      </c>
      <c r="N203" s="123">
        <v>707</v>
      </c>
      <c r="O203" s="142" t="str">
        <f t="shared" si="14"/>
        <v>G707</v>
      </c>
      <c r="P203" s="123">
        <v>395</v>
      </c>
      <c r="Q203" s="142" t="str">
        <f t="shared" si="15"/>
        <v>R395</v>
      </c>
      <c r="R203" s="123">
        <v>25.6</v>
      </c>
      <c r="S203" s="123">
        <v>25.1</v>
      </c>
      <c r="T203" s="123">
        <v>30.4</v>
      </c>
      <c r="U203" s="123">
        <v>18.899999999999999</v>
      </c>
      <c r="V203" s="123" t="s">
        <v>2182</v>
      </c>
      <c r="W203" s="126" t="s">
        <v>2182</v>
      </c>
      <c r="X203" s="126" t="s">
        <v>2182</v>
      </c>
      <c r="Y203" s="126"/>
      <c r="Z203" s="123">
        <v>12.2</v>
      </c>
      <c r="AA203" s="123" t="s">
        <v>2245</v>
      </c>
      <c r="AB203" s="123">
        <v>15.2</v>
      </c>
      <c r="AC203" s="123">
        <v>1</v>
      </c>
      <c r="AD203" s="123"/>
    </row>
    <row r="204" spans="1:31">
      <c r="A204" s="121">
        <v>202</v>
      </c>
      <c r="B204" s="133" t="s">
        <v>2271</v>
      </c>
      <c r="C204" s="133" t="s">
        <v>2419</v>
      </c>
      <c r="D204" s="133" t="s">
        <v>2447</v>
      </c>
      <c r="E204" s="124">
        <v>42769</v>
      </c>
      <c r="F204" s="125">
        <v>0.44791666666666669</v>
      </c>
      <c r="G204" s="124">
        <v>42814</v>
      </c>
      <c r="H204" s="125">
        <v>0.39583333333333331</v>
      </c>
      <c r="I204" s="123">
        <v>934</v>
      </c>
      <c r="J204" s="123">
        <v>773</v>
      </c>
      <c r="K204" s="142" t="str">
        <f t="shared" si="12"/>
        <v>G773</v>
      </c>
      <c r="L204" s="123">
        <v>135</v>
      </c>
      <c r="M204" s="142" t="str">
        <f t="shared" si="13"/>
        <v>R135</v>
      </c>
      <c r="N204" s="123">
        <v>770</v>
      </c>
      <c r="O204" s="142" t="str">
        <f t="shared" si="14"/>
        <v>G770</v>
      </c>
      <c r="P204" s="123">
        <v>182</v>
      </c>
      <c r="Q204" s="142" t="str">
        <f t="shared" si="15"/>
        <v>R182</v>
      </c>
      <c r="R204" s="123">
        <v>24.9</v>
      </c>
      <c r="S204" s="123">
        <v>24.9</v>
      </c>
      <c r="T204" s="123">
        <v>23.3</v>
      </c>
      <c r="U204" s="123">
        <v>16.399999999999999</v>
      </c>
      <c r="V204" s="123" t="s">
        <v>2182</v>
      </c>
      <c r="W204" s="126" t="s">
        <v>2182</v>
      </c>
      <c r="X204" s="126" t="s">
        <v>2182</v>
      </c>
      <c r="Y204" s="126"/>
      <c r="Z204" s="123">
        <v>17.399999999999999</v>
      </c>
      <c r="AA204" s="123" t="s">
        <v>2245</v>
      </c>
      <c r="AB204" s="123">
        <v>13.8</v>
      </c>
      <c r="AC204" s="123">
        <v>1</v>
      </c>
      <c r="AD204" s="123"/>
    </row>
    <row r="205" spans="1:31">
      <c r="A205" s="121">
        <v>203</v>
      </c>
      <c r="B205" s="133" t="s">
        <v>2271</v>
      </c>
      <c r="C205" s="133" t="s">
        <v>2428</v>
      </c>
      <c r="D205" s="133" t="s">
        <v>2448</v>
      </c>
      <c r="E205" s="124">
        <v>42769</v>
      </c>
      <c r="F205" s="125">
        <v>0.47222222222222227</v>
      </c>
      <c r="G205" s="124">
        <v>42814</v>
      </c>
      <c r="H205" s="125">
        <v>0.42708333333333331</v>
      </c>
      <c r="I205" s="123">
        <v>935</v>
      </c>
      <c r="J205" s="123">
        <v>645</v>
      </c>
      <c r="K205" s="142" t="str">
        <f t="shared" si="12"/>
        <v>G645</v>
      </c>
      <c r="L205" s="123">
        <v>372</v>
      </c>
      <c r="M205" s="142" t="str">
        <f t="shared" si="13"/>
        <v>R372</v>
      </c>
      <c r="N205" s="123">
        <v>753</v>
      </c>
      <c r="O205" s="142" t="str">
        <f t="shared" si="14"/>
        <v>G753</v>
      </c>
      <c r="P205" s="123">
        <v>342</v>
      </c>
      <c r="Q205" s="142" t="str">
        <f t="shared" si="15"/>
        <v>R342</v>
      </c>
      <c r="R205" s="144">
        <v>25.7</v>
      </c>
      <c r="S205" s="144">
        <v>30.7</v>
      </c>
      <c r="T205" s="159">
        <v>31.1</v>
      </c>
      <c r="U205" s="129">
        <v>23.3</v>
      </c>
      <c r="V205" s="123" t="s">
        <v>2182</v>
      </c>
      <c r="W205" s="126" t="s">
        <v>2174</v>
      </c>
      <c r="X205" s="126" t="s">
        <v>2182</v>
      </c>
      <c r="Y205" s="126"/>
      <c r="Z205" s="123">
        <v>5.13</v>
      </c>
      <c r="AA205" s="123" t="s">
        <v>2245</v>
      </c>
      <c r="AB205" s="123">
        <v>5.13</v>
      </c>
      <c r="AC205" s="123">
        <v>1</v>
      </c>
      <c r="AD205" s="123"/>
    </row>
    <row r="206" spans="1:31">
      <c r="A206" s="121">
        <v>204</v>
      </c>
      <c r="B206" s="133" t="s">
        <v>2271</v>
      </c>
      <c r="C206" s="133" t="s">
        <v>2435</v>
      </c>
      <c r="D206" s="133" t="s">
        <v>2449</v>
      </c>
      <c r="E206" s="124">
        <v>42769</v>
      </c>
      <c r="F206" s="125">
        <v>0.46875</v>
      </c>
      <c r="G206" s="124">
        <v>42813</v>
      </c>
      <c r="H206" s="125">
        <v>0.71875</v>
      </c>
      <c r="I206" s="123">
        <v>935</v>
      </c>
      <c r="J206" s="123">
        <v>814</v>
      </c>
      <c r="K206" s="123" t="str">
        <f t="shared" si="12"/>
        <v>G814</v>
      </c>
      <c r="L206" s="123">
        <v>334</v>
      </c>
      <c r="M206" s="123" t="str">
        <f t="shared" si="13"/>
        <v>R334</v>
      </c>
      <c r="N206" s="123">
        <v>640</v>
      </c>
      <c r="O206" s="123" t="str">
        <f t="shared" si="14"/>
        <v>G640</v>
      </c>
      <c r="P206" s="123">
        <v>139</v>
      </c>
      <c r="Q206" s="123" t="str">
        <f t="shared" si="15"/>
        <v>R139</v>
      </c>
      <c r="R206" s="123">
        <v>29.2</v>
      </c>
      <c r="S206" s="123">
        <v>26.8</v>
      </c>
      <c r="T206" s="123">
        <v>32.700000000000003</v>
      </c>
      <c r="U206" s="123">
        <v>16.399999999999999</v>
      </c>
      <c r="V206" s="123" t="s">
        <v>2182</v>
      </c>
      <c r="W206" s="126" t="s">
        <v>2182</v>
      </c>
      <c r="X206" s="126" t="s">
        <v>2182</v>
      </c>
      <c r="Y206" s="126"/>
      <c r="Z206" s="123">
        <v>7.9</v>
      </c>
      <c r="AA206" s="123" t="s">
        <v>2245</v>
      </c>
      <c r="AB206" s="123">
        <v>7.9</v>
      </c>
      <c r="AC206" s="123">
        <v>1</v>
      </c>
      <c r="AD206" s="123"/>
    </row>
    <row r="207" spans="1:31">
      <c r="A207" s="121">
        <v>205</v>
      </c>
      <c r="B207" s="133" t="s">
        <v>2649</v>
      </c>
      <c r="C207" s="133" t="s">
        <v>2429</v>
      </c>
      <c r="D207" s="133" t="s">
        <v>2448</v>
      </c>
      <c r="E207" s="124">
        <v>42769</v>
      </c>
      <c r="F207" s="125">
        <v>0.46180555555555558</v>
      </c>
      <c r="G207" s="124">
        <v>42814</v>
      </c>
      <c r="H207" s="125">
        <v>0.42708333333333331</v>
      </c>
      <c r="I207" s="123">
        <v>935</v>
      </c>
      <c r="J207" s="123">
        <v>621</v>
      </c>
      <c r="K207" s="142" t="str">
        <f t="shared" si="12"/>
        <v>G621</v>
      </c>
      <c r="L207" s="123">
        <v>265</v>
      </c>
      <c r="M207" s="142" t="str">
        <f t="shared" si="13"/>
        <v>R265</v>
      </c>
      <c r="N207" s="123">
        <v>668</v>
      </c>
      <c r="O207" s="142" t="str">
        <f t="shared" si="14"/>
        <v>G668</v>
      </c>
      <c r="P207" s="123">
        <v>92</v>
      </c>
      <c r="Q207" s="142" t="str">
        <f t="shared" si="15"/>
        <v>R92</v>
      </c>
      <c r="R207" s="123">
        <v>29.4</v>
      </c>
      <c r="S207" s="123">
        <v>25.5</v>
      </c>
      <c r="T207" s="129">
        <v>23.2</v>
      </c>
      <c r="U207" s="129">
        <v>23.4</v>
      </c>
      <c r="V207" s="123" t="s">
        <v>2195</v>
      </c>
      <c r="W207" s="126" t="s">
        <v>2182</v>
      </c>
      <c r="X207" s="126" t="s">
        <v>2182</v>
      </c>
      <c r="Y207" s="126"/>
      <c r="Z207" s="123">
        <v>5.13</v>
      </c>
      <c r="AA207" s="123" t="s">
        <v>2245</v>
      </c>
      <c r="AB207" s="123">
        <v>5.13</v>
      </c>
      <c r="AC207" s="123">
        <v>1</v>
      </c>
      <c r="AD207" s="123"/>
      <c r="AE207" s="163" t="s">
        <v>2427</v>
      </c>
    </row>
    <row r="208" spans="1:31">
      <c r="A208" s="121">
        <v>206</v>
      </c>
      <c r="B208" s="133" t="s">
        <v>2649</v>
      </c>
      <c r="C208" s="133" t="s">
        <v>2420</v>
      </c>
      <c r="D208" s="133" t="s">
        <v>2447</v>
      </c>
      <c r="E208" s="124">
        <v>42769</v>
      </c>
      <c r="F208" s="125">
        <v>0.44791666666666669</v>
      </c>
      <c r="G208" s="124">
        <v>42814</v>
      </c>
      <c r="H208" s="125">
        <v>0.39583333333333331</v>
      </c>
      <c r="I208" s="123">
        <v>934</v>
      </c>
      <c r="J208" s="123">
        <v>677</v>
      </c>
      <c r="K208" s="142" t="str">
        <f t="shared" si="12"/>
        <v>G677</v>
      </c>
      <c r="L208" s="123">
        <v>234</v>
      </c>
      <c r="M208" s="142" t="str">
        <f t="shared" si="13"/>
        <v>R234</v>
      </c>
      <c r="N208" s="123">
        <v>891</v>
      </c>
      <c r="O208" s="142" t="str">
        <f t="shared" si="14"/>
        <v>G891</v>
      </c>
      <c r="P208" s="123">
        <v>328</v>
      </c>
      <c r="Q208" s="142" t="str">
        <f t="shared" si="15"/>
        <v>R328</v>
      </c>
      <c r="R208" s="123">
        <v>24.2</v>
      </c>
      <c r="S208" s="123">
        <v>25.7</v>
      </c>
      <c r="T208" s="123">
        <v>24.1</v>
      </c>
      <c r="U208" s="123">
        <v>12.4</v>
      </c>
      <c r="V208" s="123" t="s">
        <v>2182</v>
      </c>
      <c r="W208" s="126"/>
      <c r="X208" s="126" t="s">
        <v>2182</v>
      </c>
      <c r="Y208" s="126" t="s">
        <v>2182</v>
      </c>
      <c r="Z208" s="123">
        <v>17.399999999999999</v>
      </c>
      <c r="AA208" s="123" t="s">
        <v>2245</v>
      </c>
      <c r="AB208" s="123">
        <v>13.8</v>
      </c>
      <c r="AC208" s="123">
        <v>1</v>
      </c>
      <c r="AD208" s="123"/>
    </row>
    <row r="209" spans="1:31">
      <c r="A209" s="121">
        <v>207</v>
      </c>
      <c r="B209" s="133" t="s">
        <v>2649</v>
      </c>
      <c r="C209" s="133" t="s">
        <v>2443</v>
      </c>
      <c r="D209" s="122" t="s">
        <v>2450</v>
      </c>
      <c r="E209" s="124">
        <v>42769</v>
      </c>
      <c r="F209" s="125">
        <v>0.43055555555555558</v>
      </c>
      <c r="G209" s="124">
        <v>42813</v>
      </c>
      <c r="H209" s="125">
        <v>0.68055555555555547</v>
      </c>
      <c r="I209" s="123">
        <v>933</v>
      </c>
      <c r="J209" s="123">
        <v>574</v>
      </c>
      <c r="K209" s="142" t="str">
        <f t="shared" si="12"/>
        <v>G574</v>
      </c>
      <c r="L209" s="123">
        <v>258</v>
      </c>
      <c r="M209" s="142" t="str">
        <f t="shared" si="13"/>
        <v>R258</v>
      </c>
      <c r="N209" s="123">
        <v>540</v>
      </c>
      <c r="O209" s="142" t="str">
        <f t="shared" si="14"/>
        <v>G540</v>
      </c>
      <c r="P209" s="123">
        <v>149</v>
      </c>
      <c r="Q209" s="142" t="str">
        <f t="shared" si="15"/>
        <v>R149</v>
      </c>
      <c r="R209" s="123">
        <v>25</v>
      </c>
      <c r="S209" s="123">
        <v>23.3</v>
      </c>
      <c r="T209" s="123">
        <v>33.1</v>
      </c>
      <c r="U209" s="123">
        <v>16.3</v>
      </c>
      <c r="V209" s="123" t="s">
        <v>2182</v>
      </c>
      <c r="W209" s="126" t="s">
        <v>2190</v>
      </c>
      <c r="X209" s="126" t="s">
        <v>2182</v>
      </c>
      <c r="Y209" s="126"/>
      <c r="Z209" s="123">
        <v>12.2</v>
      </c>
      <c r="AA209" s="123" t="s">
        <v>2245</v>
      </c>
      <c r="AB209" s="123">
        <v>15.2</v>
      </c>
      <c r="AC209" s="123">
        <v>1</v>
      </c>
      <c r="AD209" s="123"/>
    </row>
    <row r="210" spans="1:31">
      <c r="A210" s="121">
        <v>208</v>
      </c>
      <c r="B210" s="133" t="s">
        <v>2649</v>
      </c>
      <c r="C210" s="133" t="s">
        <v>2436</v>
      </c>
      <c r="D210" s="133" t="s">
        <v>2449</v>
      </c>
      <c r="E210" s="124">
        <v>42769</v>
      </c>
      <c r="F210" s="125">
        <v>0.40972222222222227</v>
      </c>
      <c r="G210" s="124">
        <v>42813</v>
      </c>
      <c r="H210" s="125">
        <v>0.71875</v>
      </c>
      <c r="I210" s="123">
        <v>929</v>
      </c>
      <c r="J210" s="123">
        <v>710</v>
      </c>
      <c r="K210" s="142" t="str">
        <f t="shared" si="12"/>
        <v>G710</v>
      </c>
      <c r="L210" s="123">
        <v>344</v>
      </c>
      <c r="M210" s="142" t="str">
        <f t="shared" si="13"/>
        <v>R344</v>
      </c>
      <c r="N210" s="123">
        <v>508</v>
      </c>
      <c r="O210" s="142" t="str">
        <f t="shared" si="14"/>
        <v>G508</v>
      </c>
      <c r="P210" s="123">
        <v>449</v>
      </c>
      <c r="Q210" s="142" t="str">
        <f t="shared" si="15"/>
        <v>R449</v>
      </c>
      <c r="R210" s="123">
        <v>23</v>
      </c>
      <c r="S210" s="123">
        <v>28.1</v>
      </c>
      <c r="T210" s="123">
        <v>31.9</v>
      </c>
      <c r="U210" s="123">
        <v>16.3</v>
      </c>
      <c r="V210" s="123" t="s">
        <v>2182</v>
      </c>
      <c r="W210" s="126" t="s">
        <v>2182</v>
      </c>
      <c r="X210" s="126" t="s">
        <v>2182</v>
      </c>
      <c r="Y210" s="126" t="s">
        <v>2182</v>
      </c>
      <c r="Z210" s="123">
        <v>7.9</v>
      </c>
      <c r="AA210" s="123" t="s">
        <v>2245</v>
      </c>
      <c r="AB210" s="123">
        <v>7.9</v>
      </c>
      <c r="AC210" s="123">
        <v>1</v>
      </c>
      <c r="AD210" s="123"/>
    </row>
    <row r="211" spans="1:31">
      <c r="A211" s="121">
        <v>209</v>
      </c>
      <c r="B211" s="133" t="s">
        <v>2649</v>
      </c>
      <c r="C211" s="133" t="s">
        <v>2430</v>
      </c>
      <c r="D211" s="133" t="s">
        <v>2448</v>
      </c>
      <c r="E211" s="124">
        <v>42769</v>
      </c>
      <c r="F211" s="125">
        <v>0.45833333333333331</v>
      </c>
      <c r="G211" s="124">
        <v>42814</v>
      </c>
      <c r="H211" s="125">
        <v>0.42708333333333331</v>
      </c>
      <c r="I211" s="123">
        <v>935</v>
      </c>
      <c r="J211" s="123">
        <v>604</v>
      </c>
      <c r="K211" s="142" t="str">
        <f t="shared" si="12"/>
        <v>G604</v>
      </c>
      <c r="L211" s="123">
        <v>271</v>
      </c>
      <c r="M211" s="142" t="str">
        <f t="shared" si="13"/>
        <v>R271</v>
      </c>
      <c r="N211" s="123">
        <v>637</v>
      </c>
      <c r="O211" s="142" t="str">
        <f t="shared" si="14"/>
        <v>G637</v>
      </c>
      <c r="P211" s="123">
        <v>142</v>
      </c>
      <c r="Q211" s="142" t="str">
        <f t="shared" si="15"/>
        <v>R142</v>
      </c>
      <c r="R211" s="123">
        <v>25.8</v>
      </c>
      <c r="S211" s="123">
        <v>29.9</v>
      </c>
      <c r="T211" s="129">
        <v>23</v>
      </c>
      <c r="U211" s="129">
        <v>19.100000000000001</v>
      </c>
      <c r="V211" s="123" t="s">
        <v>2182</v>
      </c>
      <c r="W211" s="126" t="s">
        <v>2182</v>
      </c>
      <c r="X211" s="126" t="s">
        <v>2229</v>
      </c>
      <c r="Y211" s="126" t="s">
        <v>2182</v>
      </c>
      <c r="Z211" s="123">
        <v>5.13</v>
      </c>
      <c r="AA211" s="123" t="s">
        <v>2245</v>
      </c>
      <c r="AB211" s="123">
        <v>5.13</v>
      </c>
      <c r="AC211" s="123">
        <v>1</v>
      </c>
      <c r="AD211" s="123"/>
    </row>
    <row r="212" spans="1:31">
      <c r="A212" s="121">
        <v>210</v>
      </c>
      <c r="B212" s="133" t="s">
        <v>2649</v>
      </c>
      <c r="C212" s="133" t="s">
        <v>2444</v>
      </c>
      <c r="D212" s="122" t="s">
        <v>2450</v>
      </c>
      <c r="E212" s="124">
        <v>42769</v>
      </c>
      <c r="F212" s="125">
        <v>0.43055555555555558</v>
      </c>
      <c r="G212" s="124">
        <v>42813</v>
      </c>
      <c r="H212" s="125">
        <v>0.68055555555555547</v>
      </c>
      <c r="I212" s="123">
        <v>933</v>
      </c>
      <c r="J212" s="123">
        <v>871</v>
      </c>
      <c r="K212" s="142" t="str">
        <f t="shared" si="12"/>
        <v>G871</v>
      </c>
      <c r="L212" s="123">
        <v>340</v>
      </c>
      <c r="M212" s="142" t="str">
        <f t="shared" si="13"/>
        <v>R340</v>
      </c>
      <c r="N212" s="123">
        <v>720</v>
      </c>
      <c r="O212" s="142" t="str">
        <f t="shared" si="14"/>
        <v>G720</v>
      </c>
      <c r="P212" s="123">
        <v>392</v>
      </c>
      <c r="Q212" s="142" t="str">
        <f t="shared" si="15"/>
        <v>R392</v>
      </c>
      <c r="R212" s="123">
        <v>24.6</v>
      </c>
      <c r="S212" s="123">
        <v>26.3</v>
      </c>
      <c r="T212" s="123">
        <v>32.200000000000003</v>
      </c>
      <c r="U212" s="123">
        <v>18.5</v>
      </c>
      <c r="V212" s="123" t="s">
        <v>2182</v>
      </c>
      <c r="W212" s="126" t="s">
        <v>2182</v>
      </c>
      <c r="X212" s="126" t="s">
        <v>2182</v>
      </c>
      <c r="Y212" s="126"/>
      <c r="Z212" s="123">
        <v>12.2</v>
      </c>
      <c r="AA212" s="123" t="s">
        <v>2245</v>
      </c>
      <c r="AB212" s="123">
        <v>15.2</v>
      </c>
      <c r="AC212" s="123">
        <v>1</v>
      </c>
      <c r="AD212" s="123"/>
    </row>
    <row r="213" spans="1:31">
      <c r="A213" s="121">
        <v>211</v>
      </c>
      <c r="B213" s="133" t="s">
        <v>2649</v>
      </c>
      <c r="C213" s="133" t="s">
        <v>2421</v>
      </c>
      <c r="D213" s="133" t="s">
        <v>2447</v>
      </c>
      <c r="E213" s="124">
        <v>42769</v>
      </c>
      <c r="F213" s="125">
        <v>0.44444444444444442</v>
      </c>
      <c r="G213" s="124">
        <v>42814</v>
      </c>
      <c r="H213" s="125">
        <v>0.39583333333333331</v>
      </c>
      <c r="I213" s="123">
        <v>934</v>
      </c>
      <c r="J213" s="123">
        <v>822</v>
      </c>
      <c r="K213" s="142" t="str">
        <f t="shared" si="12"/>
        <v>G822</v>
      </c>
      <c r="L213" s="123">
        <v>381</v>
      </c>
      <c r="M213" s="142" t="str">
        <f t="shared" si="13"/>
        <v>R381</v>
      </c>
      <c r="N213" s="123">
        <v>796</v>
      </c>
      <c r="O213" s="142" t="str">
        <f t="shared" si="14"/>
        <v>G796</v>
      </c>
      <c r="P213" s="123">
        <v>589</v>
      </c>
      <c r="Q213" s="142" t="str">
        <f t="shared" si="15"/>
        <v>R589</v>
      </c>
      <c r="R213" s="123">
        <v>24.4</v>
      </c>
      <c r="S213" s="123">
        <v>23.1</v>
      </c>
      <c r="T213" s="123">
        <v>23.5</v>
      </c>
      <c r="U213" s="123">
        <v>10.6</v>
      </c>
      <c r="V213" s="123" t="s">
        <v>2182</v>
      </c>
      <c r="W213" s="126" t="s">
        <v>2182</v>
      </c>
      <c r="X213" s="126" t="s">
        <v>2182</v>
      </c>
      <c r="Y213" s="126" t="s">
        <v>2182</v>
      </c>
      <c r="Z213" s="123">
        <v>17.399999999999999</v>
      </c>
      <c r="AA213" s="123" t="s">
        <v>2245</v>
      </c>
      <c r="AB213" s="123">
        <v>13.8</v>
      </c>
      <c r="AC213" s="123">
        <v>1</v>
      </c>
      <c r="AD213" s="123"/>
    </row>
    <row r="214" spans="1:31">
      <c r="A214" s="121">
        <v>212</v>
      </c>
      <c r="B214" s="133" t="s">
        <v>2649</v>
      </c>
      <c r="C214" s="133" t="s">
        <v>2437</v>
      </c>
      <c r="D214" s="133" t="s">
        <v>2449</v>
      </c>
      <c r="E214" s="124">
        <v>42769</v>
      </c>
      <c r="F214" s="125">
        <v>0.39930555555555558</v>
      </c>
      <c r="G214" s="124">
        <v>42813</v>
      </c>
      <c r="H214" s="125">
        <v>0.71875</v>
      </c>
      <c r="I214" s="123">
        <v>929</v>
      </c>
      <c r="J214" s="123">
        <v>786</v>
      </c>
      <c r="K214" s="142" t="str">
        <f t="shared" si="12"/>
        <v>G786</v>
      </c>
      <c r="L214" s="123">
        <v>93</v>
      </c>
      <c r="M214" s="142" t="str">
        <f t="shared" si="13"/>
        <v>R93</v>
      </c>
      <c r="N214" s="123">
        <v>560</v>
      </c>
      <c r="O214" s="142" t="str">
        <f t="shared" si="14"/>
        <v>G560</v>
      </c>
      <c r="P214" s="123">
        <v>130</v>
      </c>
      <c r="Q214" s="142" t="str">
        <f t="shared" si="15"/>
        <v>R130</v>
      </c>
      <c r="R214" s="123">
        <v>23.3</v>
      </c>
      <c r="S214" s="123">
        <v>28.5</v>
      </c>
      <c r="T214" s="123">
        <v>31.6</v>
      </c>
      <c r="U214" s="123">
        <v>16.399999999999999</v>
      </c>
      <c r="V214" s="123"/>
      <c r="W214" s="126" t="s">
        <v>2229</v>
      </c>
      <c r="X214" s="126" t="s">
        <v>2182</v>
      </c>
      <c r="Y214" s="126" t="s">
        <v>2182</v>
      </c>
      <c r="Z214" s="123">
        <v>7.9</v>
      </c>
      <c r="AA214" s="123" t="s">
        <v>2245</v>
      </c>
      <c r="AB214" s="123">
        <v>7.9</v>
      </c>
      <c r="AC214" s="123">
        <v>1</v>
      </c>
      <c r="AD214" s="123"/>
    </row>
    <row r="215" spans="1:31">
      <c r="A215" s="121">
        <v>213</v>
      </c>
      <c r="B215" s="133" t="s">
        <v>2380</v>
      </c>
      <c r="C215" s="133" t="s">
        <v>2445</v>
      </c>
      <c r="D215" s="122" t="s">
        <v>2450</v>
      </c>
      <c r="E215" s="124">
        <v>42769</v>
      </c>
      <c r="F215" s="125">
        <v>0.4375</v>
      </c>
      <c r="G215" s="124">
        <v>42813</v>
      </c>
      <c r="H215" s="125">
        <v>0.68055555555555547</v>
      </c>
      <c r="I215" s="123">
        <v>933</v>
      </c>
      <c r="J215" s="123">
        <v>572</v>
      </c>
      <c r="K215" s="142" t="str">
        <f t="shared" si="12"/>
        <v>G572</v>
      </c>
      <c r="L215" s="123">
        <v>88</v>
      </c>
      <c r="M215" s="142" t="str">
        <f t="shared" si="13"/>
        <v>R88</v>
      </c>
      <c r="N215" s="123">
        <v>716</v>
      </c>
      <c r="O215" s="142" t="str">
        <f t="shared" si="14"/>
        <v>G716</v>
      </c>
      <c r="P215" s="123">
        <v>111</v>
      </c>
      <c r="Q215" s="142" t="str">
        <f t="shared" si="15"/>
        <v>R111</v>
      </c>
      <c r="R215" s="123">
        <v>25</v>
      </c>
      <c r="S215" s="123">
        <v>24</v>
      </c>
      <c r="T215" s="123">
        <v>31.3</v>
      </c>
      <c r="U215" s="123">
        <v>15.5</v>
      </c>
      <c r="V215" s="123" t="s">
        <v>2182</v>
      </c>
      <c r="W215" s="126" t="s">
        <v>2182</v>
      </c>
      <c r="X215" s="126" t="s">
        <v>2182</v>
      </c>
      <c r="Y215" s="126"/>
      <c r="Z215" s="123">
        <v>12.2</v>
      </c>
      <c r="AA215" s="123" t="s">
        <v>2245</v>
      </c>
      <c r="AB215" s="123">
        <v>15.2</v>
      </c>
      <c r="AC215" s="123">
        <v>1</v>
      </c>
      <c r="AD215" s="123"/>
    </row>
    <row r="216" spans="1:31">
      <c r="A216" s="121">
        <v>214</v>
      </c>
      <c r="B216" s="133" t="s">
        <v>2380</v>
      </c>
      <c r="C216" s="133" t="s">
        <v>2438</v>
      </c>
      <c r="D216" s="133" t="s">
        <v>2449</v>
      </c>
      <c r="E216" s="124">
        <v>42769</v>
      </c>
      <c r="F216" s="125">
        <v>0.41319444444444442</v>
      </c>
      <c r="G216" s="124">
        <v>42813</v>
      </c>
      <c r="H216" s="125">
        <v>0.71875</v>
      </c>
      <c r="I216" s="123">
        <v>929</v>
      </c>
      <c r="J216" s="123">
        <v>761</v>
      </c>
      <c r="K216" s="142" t="str">
        <f t="shared" si="12"/>
        <v>G761</v>
      </c>
      <c r="L216" s="123">
        <v>383</v>
      </c>
      <c r="M216" s="142" t="str">
        <f t="shared" si="13"/>
        <v>R383</v>
      </c>
      <c r="N216" s="123">
        <v>581</v>
      </c>
      <c r="O216" s="142" t="str">
        <f t="shared" si="14"/>
        <v>G581</v>
      </c>
      <c r="P216" s="123">
        <v>412</v>
      </c>
      <c r="Q216" s="142" t="str">
        <f t="shared" si="15"/>
        <v>R412</v>
      </c>
      <c r="R216" s="123">
        <v>24.2</v>
      </c>
      <c r="S216" s="123">
        <v>26.9</v>
      </c>
      <c r="T216" s="123">
        <v>34.200000000000003</v>
      </c>
      <c r="U216" s="123">
        <v>12</v>
      </c>
      <c r="V216" s="123" t="s">
        <v>2182</v>
      </c>
      <c r="W216" s="126" t="s">
        <v>2182</v>
      </c>
      <c r="X216" s="126" t="s">
        <v>2182</v>
      </c>
      <c r="Y216" s="126" t="s">
        <v>2182</v>
      </c>
      <c r="Z216" s="123">
        <v>7.9</v>
      </c>
      <c r="AA216" s="123" t="s">
        <v>2245</v>
      </c>
      <c r="AB216" s="123">
        <v>7.9</v>
      </c>
      <c r="AC216" s="123">
        <v>1</v>
      </c>
      <c r="AD216" s="123"/>
    </row>
    <row r="217" spans="1:31">
      <c r="A217" s="121">
        <v>215</v>
      </c>
      <c r="B217" s="133" t="s">
        <v>2380</v>
      </c>
      <c r="C217" s="133" t="s">
        <v>2422</v>
      </c>
      <c r="D217" s="133" t="s">
        <v>2447</v>
      </c>
      <c r="E217" s="124">
        <v>42769</v>
      </c>
      <c r="F217" s="125">
        <v>0.47916666666666669</v>
      </c>
      <c r="G217" s="124">
        <v>42814</v>
      </c>
      <c r="H217" s="125">
        <v>0.39583333333333331</v>
      </c>
      <c r="I217" s="123">
        <v>934</v>
      </c>
      <c r="J217" s="123">
        <v>858</v>
      </c>
      <c r="K217" s="142" t="str">
        <f t="shared" si="12"/>
        <v>G858</v>
      </c>
      <c r="L217" s="123">
        <v>145</v>
      </c>
      <c r="M217" s="142" t="str">
        <f t="shared" si="13"/>
        <v>R145</v>
      </c>
      <c r="N217" s="123">
        <v>718</v>
      </c>
      <c r="O217" s="142" t="str">
        <f t="shared" si="14"/>
        <v>G718</v>
      </c>
      <c r="P217" s="123">
        <v>434</v>
      </c>
      <c r="Q217" s="142" t="str">
        <f t="shared" si="15"/>
        <v>R434</v>
      </c>
      <c r="R217" s="123">
        <v>27.6</v>
      </c>
      <c r="S217" s="123">
        <v>27.2</v>
      </c>
      <c r="T217" s="123">
        <v>24.9</v>
      </c>
      <c r="U217" s="123">
        <v>13.4</v>
      </c>
      <c r="V217" s="123" t="s">
        <v>2182</v>
      </c>
      <c r="W217" s="126"/>
      <c r="X217" s="126" t="s">
        <v>2182</v>
      </c>
      <c r="Y217" s="126" t="s">
        <v>2182</v>
      </c>
      <c r="Z217" s="123">
        <v>17.399999999999999</v>
      </c>
      <c r="AA217" s="123" t="s">
        <v>2245</v>
      </c>
      <c r="AB217" s="123">
        <v>13.8</v>
      </c>
      <c r="AC217" s="123">
        <v>1</v>
      </c>
      <c r="AD217" s="123"/>
    </row>
    <row r="218" spans="1:31">
      <c r="A218" s="121">
        <v>216</v>
      </c>
      <c r="B218" s="133" t="s">
        <v>2380</v>
      </c>
      <c r="C218" s="133" t="s">
        <v>2431</v>
      </c>
      <c r="D218" s="133" t="s">
        <v>2448</v>
      </c>
      <c r="E218" s="124">
        <v>42769</v>
      </c>
      <c r="F218" s="125">
        <v>0.46180555555555558</v>
      </c>
      <c r="G218" s="124">
        <v>42814</v>
      </c>
      <c r="H218" s="125">
        <v>0.42708333333333331</v>
      </c>
      <c r="I218" s="123">
        <v>935</v>
      </c>
      <c r="J218" s="123">
        <v>755</v>
      </c>
      <c r="K218" s="142" t="str">
        <f t="shared" si="12"/>
        <v>G755</v>
      </c>
      <c r="L218" s="123">
        <v>241</v>
      </c>
      <c r="M218" s="142" t="str">
        <f t="shared" si="13"/>
        <v>R241</v>
      </c>
      <c r="N218" s="123">
        <v>613</v>
      </c>
      <c r="O218" s="142" t="str">
        <f t="shared" si="14"/>
        <v>G613</v>
      </c>
      <c r="P218" s="123">
        <v>457</v>
      </c>
      <c r="Q218" s="142" t="str">
        <f t="shared" si="15"/>
        <v>R457</v>
      </c>
      <c r="R218" s="123">
        <v>25.6</v>
      </c>
      <c r="S218" s="123">
        <v>25.3</v>
      </c>
      <c r="T218" s="129">
        <v>24.5</v>
      </c>
      <c r="U218" s="129">
        <v>16</v>
      </c>
      <c r="V218" s="123" t="s">
        <v>2225</v>
      </c>
      <c r="W218" s="126" t="s">
        <v>2174</v>
      </c>
      <c r="X218" s="126" t="s">
        <v>2182</v>
      </c>
      <c r="Y218" s="126" t="s">
        <v>2182</v>
      </c>
      <c r="Z218" s="123">
        <v>5.13</v>
      </c>
      <c r="AA218" s="123" t="s">
        <v>2245</v>
      </c>
      <c r="AB218" s="123">
        <v>5.13</v>
      </c>
      <c r="AC218" s="123">
        <v>1</v>
      </c>
      <c r="AD218" s="123"/>
    </row>
    <row r="219" spans="1:31">
      <c r="A219" s="121">
        <v>217</v>
      </c>
      <c r="B219" s="133" t="s">
        <v>2423</v>
      </c>
      <c r="C219" s="133" t="s">
        <v>2424</v>
      </c>
      <c r="D219" s="133" t="s">
        <v>2447</v>
      </c>
      <c r="E219" s="124">
        <v>42769</v>
      </c>
      <c r="F219" s="125">
        <v>0.4513888888888889</v>
      </c>
      <c r="G219" s="124">
        <v>42814</v>
      </c>
      <c r="H219" s="125">
        <v>0.39583333333333331</v>
      </c>
      <c r="I219" s="123">
        <v>934</v>
      </c>
      <c r="J219" s="123">
        <v>795</v>
      </c>
      <c r="K219" s="142" t="str">
        <f t="shared" si="12"/>
        <v>G795</v>
      </c>
      <c r="L219" s="123">
        <v>302</v>
      </c>
      <c r="M219" s="142" t="str">
        <f t="shared" si="13"/>
        <v>R302</v>
      </c>
      <c r="N219" s="123">
        <v>804</v>
      </c>
      <c r="O219" s="142" t="str">
        <f t="shared" si="14"/>
        <v>G804</v>
      </c>
      <c r="P219" s="123">
        <v>410</v>
      </c>
      <c r="Q219" s="142" t="str">
        <f t="shared" si="15"/>
        <v>R410</v>
      </c>
      <c r="R219" s="123">
        <v>26.7</v>
      </c>
      <c r="S219" s="123">
        <v>24.4</v>
      </c>
      <c r="T219" s="123">
        <v>24.3</v>
      </c>
      <c r="U219" s="123">
        <v>15.7</v>
      </c>
      <c r="V219" s="123" t="s">
        <v>2182</v>
      </c>
      <c r="W219" s="126" t="s">
        <v>2182</v>
      </c>
      <c r="X219" s="126" t="s">
        <v>2182</v>
      </c>
      <c r="Y219" s="126"/>
      <c r="Z219" s="123">
        <v>17.399999999999999</v>
      </c>
      <c r="AA219" s="123" t="s">
        <v>2245</v>
      </c>
      <c r="AB219" s="123">
        <v>13.8</v>
      </c>
      <c r="AC219" s="123">
        <v>1</v>
      </c>
      <c r="AD219" s="123"/>
    </row>
    <row r="220" spans="1:31">
      <c r="A220" s="121">
        <v>218</v>
      </c>
      <c r="B220" s="133" t="s">
        <v>2423</v>
      </c>
      <c r="C220" s="133" t="s">
        <v>2432</v>
      </c>
      <c r="D220" s="133" t="s">
        <v>2448</v>
      </c>
      <c r="E220" s="124">
        <v>42769</v>
      </c>
      <c r="F220" s="125">
        <v>0.47222222222222227</v>
      </c>
      <c r="G220" s="124">
        <v>42814</v>
      </c>
      <c r="H220" s="125">
        <v>0.42708333333333331</v>
      </c>
      <c r="I220" s="123">
        <v>935</v>
      </c>
      <c r="J220" s="123">
        <v>251</v>
      </c>
      <c r="K220" s="142" t="str">
        <f t="shared" si="12"/>
        <v>G251</v>
      </c>
      <c r="L220" s="123">
        <v>442</v>
      </c>
      <c r="M220" s="142" t="str">
        <f t="shared" si="13"/>
        <v>R442</v>
      </c>
      <c r="N220" s="123">
        <v>587</v>
      </c>
      <c r="O220" s="142" t="str">
        <f t="shared" si="14"/>
        <v>G587</v>
      </c>
      <c r="P220" s="123">
        <v>103</v>
      </c>
      <c r="Q220" s="142" t="str">
        <f t="shared" si="15"/>
        <v>R103</v>
      </c>
      <c r="R220" s="123">
        <v>25.5</v>
      </c>
      <c r="S220" s="123">
        <v>24.7</v>
      </c>
      <c r="T220" s="129">
        <v>23.5</v>
      </c>
      <c r="U220" s="129">
        <v>19.5</v>
      </c>
      <c r="V220" s="123" t="s">
        <v>2182</v>
      </c>
      <c r="W220" s="126" t="s">
        <v>2182</v>
      </c>
      <c r="X220" s="126" t="s">
        <v>2182</v>
      </c>
      <c r="Y220" s="126" t="s">
        <v>2182</v>
      </c>
      <c r="Z220" s="123">
        <v>5.13</v>
      </c>
      <c r="AA220" s="123" t="s">
        <v>2245</v>
      </c>
      <c r="AB220" s="123">
        <v>5.13</v>
      </c>
      <c r="AC220" s="123">
        <v>1</v>
      </c>
      <c r="AD220" s="123"/>
    </row>
    <row r="221" spans="1:31">
      <c r="A221" s="121">
        <v>219</v>
      </c>
      <c r="B221" s="133" t="s">
        <v>2423</v>
      </c>
      <c r="C221" s="133" t="s">
        <v>2439</v>
      </c>
      <c r="D221" s="133" t="s">
        <v>2449</v>
      </c>
      <c r="E221" s="124">
        <v>42769</v>
      </c>
      <c r="F221" s="125">
        <v>0.40972222222222227</v>
      </c>
      <c r="G221" s="124">
        <v>42813</v>
      </c>
      <c r="H221" s="125">
        <v>0.71875</v>
      </c>
      <c r="I221" s="123">
        <v>929</v>
      </c>
      <c r="J221" s="163">
        <v>727</v>
      </c>
      <c r="K221" s="142" t="str">
        <f t="shared" si="12"/>
        <v>G727</v>
      </c>
      <c r="L221" s="163">
        <v>176</v>
      </c>
      <c r="M221" s="142" t="str">
        <f t="shared" si="13"/>
        <v>R176</v>
      </c>
      <c r="N221" s="163">
        <v>491</v>
      </c>
      <c r="O221" s="142" t="str">
        <f t="shared" si="14"/>
        <v>G491</v>
      </c>
      <c r="P221" s="163">
        <v>356</v>
      </c>
      <c r="Q221" s="142" t="str">
        <f t="shared" si="15"/>
        <v>R356</v>
      </c>
      <c r="R221" s="123">
        <v>23.3</v>
      </c>
      <c r="S221" s="123">
        <v>29.5</v>
      </c>
      <c r="T221" s="123">
        <v>31.8</v>
      </c>
      <c r="U221" s="123">
        <v>14</v>
      </c>
      <c r="V221" s="123" t="s">
        <v>2195</v>
      </c>
      <c r="W221" s="126" t="s">
        <v>2182</v>
      </c>
      <c r="X221" s="126" t="s">
        <v>2182</v>
      </c>
      <c r="Y221" s="126"/>
      <c r="Z221" s="123">
        <v>7.9</v>
      </c>
      <c r="AA221" s="123" t="s">
        <v>2245</v>
      </c>
      <c r="AB221" s="123">
        <v>7.9</v>
      </c>
      <c r="AC221" s="123">
        <v>1</v>
      </c>
      <c r="AD221" s="123"/>
    </row>
    <row r="222" spans="1:31">
      <c r="A222" s="121">
        <v>220</v>
      </c>
      <c r="B222" s="133" t="s">
        <v>2423</v>
      </c>
      <c r="C222" s="133" t="s">
        <v>2446</v>
      </c>
      <c r="D222" s="122" t="s">
        <v>2450</v>
      </c>
      <c r="E222" s="124">
        <v>42769</v>
      </c>
      <c r="F222" s="125">
        <v>0.4375</v>
      </c>
      <c r="G222" s="124">
        <v>42813</v>
      </c>
      <c r="H222" s="125">
        <v>0.68055555555555547</v>
      </c>
      <c r="I222" s="123">
        <v>933</v>
      </c>
      <c r="J222" s="123">
        <v>782</v>
      </c>
      <c r="K222" s="142" t="str">
        <f t="shared" si="12"/>
        <v>G782</v>
      </c>
      <c r="L222" s="123">
        <v>250</v>
      </c>
      <c r="M222" s="142" t="str">
        <f t="shared" si="13"/>
        <v>R250</v>
      </c>
      <c r="N222" s="123">
        <v>849</v>
      </c>
      <c r="O222" s="142" t="str">
        <f t="shared" si="14"/>
        <v>G849</v>
      </c>
      <c r="P222" s="123">
        <v>319</v>
      </c>
      <c r="Q222" s="142" t="str">
        <f t="shared" si="15"/>
        <v>R319</v>
      </c>
      <c r="R222" s="123">
        <v>23.8</v>
      </c>
      <c r="S222" s="123">
        <v>25.9</v>
      </c>
      <c r="T222" s="123">
        <v>32.1</v>
      </c>
      <c r="U222" s="123">
        <v>15.8</v>
      </c>
      <c r="V222" s="123" t="s">
        <v>2182</v>
      </c>
      <c r="W222" s="126" t="s">
        <v>2174</v>
      </c>
      <c r="X222" s="126" t="s">
        <v>2182</v>
      </c>
      <c r="Y222" s="126"/>
      <c r="Z222" s="123">
        <v>12.2</v>
      </c>
      <c r="AA222" s="123" t="s">
        <v>2245</v>
      </c>
      <c r="AB222" s="123">
        <v>15.2</v>
      </c>
      <c r="AC222" s="123">
        <v>1</v>
      </c>
      <c r="AD222" s="123"/>
    </row>
    <row r="223" spans="1:31">
      <c r="A223" s="118" t="s">
        <v>2159</v>
      </c>
      <c r="B223" s="119" t="s">
        <v>2160</v>
      </c>
      <c r="C223" s="119" t="s">
        <v>2161</v>
      </c>
      <c r="D223" s="119" t="s">
        <v>2162</v>
      </c>
      <c r="E223" s="117" t="s">
        <v>1141</v>
      </c>
      <c r="F223" s="117" t="s">
        <v>2163</v>
      </c>
      <c r="G223" s="117" t="s">
        <v>1141</v>
      </c>
      <c r="H223" s="117" t="s">
        <v>2163</v>
      </c>
      <c r="I223" s="117" t="s">
        <v>2164</v>
      </c>
      <c r="J223" s="117" t="s">
        <v>1147</v>
      </c>
      <c r="K223" s="117"/>
      <c r="L223" s="117" t="s">
        <v>298</v>
      </c>
      <c r="M223" s="117"/>
      <c r="N223" s="117" t="s">
        <v>2165</v>
      </c>
      <c r="O223" s="117"/>
      <c r="P223" s="117" t="s">
        <v>2166</v>
      </c>
      <c r="Q223" s="117"/>
      <c r="R223" s="118" t="s">
        <v>2167</v>
      </c>
      <c r="S223" s="118" t="s">
        <v>2168</v>
      </c>
      <c r="T223" s="118" t="s">
        <v>2167</v>
      </c>
      <c r="U223" s="118" t="s">
        <v>2168</v>
      </c>
      <c r="V223" s="119" t="s">
        <v>1147</v>
      </c>
      <c r="W223" s="119" t="s">
        <v>298</v>
      </c>
      <c r="X223" s="119" t="s">
        <v>2169</v>
      </c>
      <c r="Y223" s="119" t="s">
        <v>2166</v>
      </c>
      <c r="Z223" s="120" t="s">
        <v>2170</v>
      </c>
      <c r="AA223" s="120" t="s">
        <v>2669</v>
      </c>
      <c r="AB223" s="120" t="s">
        <v>2170</v>
      </c>
      <c r="AC223" s="120" t="s">
        <v>2667</v>
      </c>
      <c r="AD223" s="155"/>
      <c r="AE223" s="158"/>
    </row>
    <row r="224" spans="1:31">
      <c r="A224" s="135" t="s">
        <v>2149</v>
      </c>
      <c r="B224" s="135"/>
      <c r="C224" s="135"/>
      <c r="D224" s="135"/>
      <c r="E224" s="135" t="s">
        <v>2150</v>
      </c>
      <c r="F224" s="135"/>
      <c r="G224" s="135" t="s">
        <v>2151</v>
      </c>
      <c r="H224" s="135"/>
      <c r="I224" s="117" t="s">
        <v>2152</v>
      </c>
      <c r="J224" s="135" t="s">
        <v>2153</v>
      </c>
      <c r="K224" s="135"/>
      <c r="L224" s="135"/>
      <c r="M224" s="135"/>
      <c r="N224" s="135"/>
      <c r="O224" s="135"/>
      <c r="P224" s="135"/>
      <c r="Q224" s="135"/>
      <c r="R224" s="135" t="s">
        <v>2453</v>
      </c>
      <c r="S224" s="135"/>
      <c r="T224" s="135" t="s">
        <v>2452</v>
      </c>
      <c r="U224" s="135"/>
      <c r="V224" s="147" t="s">
        <v>2154</v>
      </c>
      <c r="W224" s="147"/>
      <c r="X224" s="147"/>
      <c r="Y224" s="147"/>
      <c r="Z224" s="150" t="s">
        <v>2155</v>
      </c>
      <c r="AA224" s="150"/>
      <c r="AB224" s="150" t="s">
        <v>2156</v>
      </c>
      <c r="AC224" s="150"/>
      <c r="AD224" s="155" t="s">
        <v>2157</v>
      </c>
      <c r="AE224" s="158" t="s">
        <v>2158</v>
      </c>
    </row>
    <row r="226" spans="1:1">
      <c r="A226" t="s">
        <v>2464</v>
      </c>
    </row>
    <row r="255" spans="2:7">
      <c r="B255" s="92"/>
      <c r="C255" s="92"/>
      <c r="D255" s="92"/>
      <c r="E255" s="92"/>
      <c r="F255" s="92"/>
      <c r="G255" s="92"/>
    </row>
    <row r="335" spans="4:30">
      <c r="D335" t="s">
        <v>2930</v>
      </c>
    </row>
    <row r="336" spans="4:30">
      <c r="D336" s="122" t="s">
        <v>2450</v>
      </c>
      <c r="E336" s="124">
        <v>42769</v>
      </c>
      <c r="F336" s="123"/>
      <c r="G336" s="124">
        <v>42844</v>
      </c>
      <c r="H336" s="124"/>
      <c r="I336" s="125">
        <v>0.68055555555555547</v>
      </c>
      <c r="J336" s="125"/>
      <c r="K336" s="123">
        <v>933</v>
      </c>
      <c r="L336" s="123"/>
      <c r="M336" s="123">
        <v>863</v>
      </c>
      <c r="N336" s="123"/>
      <c r="O336" s="123">
        <v>125</v>
      </c>
      <c r="P336" s="123">
        <v>584</v>
      </c>
      <c r="Q336" s="123">
        <v>364</v>
      </c>
      <c r="R336" s="123"/>
      <c r="S336" s="123"/>
      <c r="T336" s="123">
        <v>34</v>
      </c>
      <c r="U336" s="123">
        <v>16.8</v>
      </c>
      <c r="V336" s="123" t="s">
        <v>2182</v>
      </c>
      <c r="W336" s="126"/>
      <c r="X336" s="126" t="s">
        <v>2182</v>
      </c>
      <c r="Y336" s="126"/>
      <c r="Z336" s="123">
        <v>12.2</v>
      </c>
      <c r="AA336" s="123" t="s">
        <v>2245</v>
      </c>
      <c r="AB336" s="123">
        <v>15.2</v>
      </c>
      <c r="AC336" s="123">
        <v>1</v>
      </c>
      <c r="AD336" s="123"/>
    </row>
    <row r="337" spans="4:30">
      <c r="D337" s="133" t="s">
        <v>2449</v>
      </c>
      <c r="E337" s="124">
        <v>42769</v>
      </c>
      <c r="F337" s="123"/>
      <c r="G337" s="124">
        <v>42844</v>
      </c>
      <c r="H337" s="124"/>
      <c r="I337" s="125">
        <v>0.71875</v>
      </c>
      <c r="J337" s="125"/>
      <c r="K337" s="123">
        <v>929</v>
      </c>
      <c r="L337" s="123"/>
      <c r="M337" s="123">
        <v>615</v>
      </c>
      <c r="N337" s="123"/>
      <c r="O337" s="123">
        <v>289</v>
      </c>
      <c r="P337" s="123">
        <v>713</v>
      </c>
      <c r="Q337" s="123">
        <v>167</v>
      </c>
      <c r="R337" s="123"/>
      <c r="S337" s="123"/>
      <c r="T337" s="123">
        <v>34.700000000000003</v>
      </c>
      <c r="U337" s="123">
        <v>14.1</v>
      </c>
      <c r="V337" s="123" t="s">
        <v>2182</v>
      </c>
      <c r="W337" s="126" t="s">
        <v>2182</v>
      </c>
      <c r="X337" s="126" t="s">
        <v>2182</v>
      </c>
      <c r="Y337" s="126" t="s">
        <v>2182</v>
      </c>
      <c r="Z337" s="123">
        <v>7.9</v>
      </c>
      <c r="AA337" s="123" t="s">
        <v>2245</v>
      </c>
      <c r="AB337" s="123">
        <v>7.9</v>
      </c>
      <c r="AC337" s="123">
        <v>1</v>
      </c>
      <c r="AD337" s="123"/>
    </row>
    <row r="338" spans="4:30">
      <c r="D338" s="133" t="s">
        <v>2448</v>
      </c>
      <c r="E338" s="124">
        <v>42769</v>
      </c>
      <c r="F338" s="123"/>
      <c r="G338" s="124">
        <v>42845</v>
      </c>
      <c r="H338" s="124"/>
      <c r="I338" s="125">
        <v>0.42708333333333331</v>
      </c>
      <c r="J338" s="125"/>
      <c r="K338" s="123">
        <v>935</v>
      </c>
      <c r="L338" s="123"/>
      <c r="M338" s="123">
        <v>821</v>
      </c>
      <c r="N338" s="123"/>
      <c r="O338" s="123">
        <v>378</v>
      </c>
      <c r="P338" s="123">
        <v>525</v>
      </c>
      <c r="Q338" s="123">
        <v>25</v>
      </c>
      <c r="R338" s="123"/>
      <c r="S338" s="123"/>
      <c r="T338" s="129">
        <v>23.4</v>
      </c>
      <c r="U338" s="129">
        <v>32.700000000000003</v>
      </c>
      <c r="V338" s="123" t="s">
        <v>2182</v>
      </c>
      <c r="W338" s="126" t="s">
        <v>2229</v>
      </c>
      <c r="X338" s="126" t="s">
        <v>2182</v>
      </c>
      <c r="Y338" s="126"/>
      <c r="Z338" s="123">
        <v>5.13</v>
      </c>
      <c r="AA338" s="123" t="s">
        <v>2245</v>
      </c>
      <c r="AB338" s="123">
        <v>5.13</v>
      </c>
      <c r="AC338" s="123">
        <v>1</v>
      </c>
      <c r="AD338" s="123"/>
    </row>
    <row r="339" spans="4:30">
      <c r="D339" s="133" t="s">
        <v>2447</v>
      </c>
      <c r="E339" s="124">
        <v>42769</v>
      </c>
      <c r="F339" s="123"/>
      <c r="G339" s="124">
        <v>42845</v>
      </c>
      <c r="H339" s="124"/>
      <c r="I339" s="125">
        <v>0.39583333333333331</v>
      </c>
      <c r="J339" s="125"/>
      <c r="K339" s="123">
        <v>934</v>
      </c>
      <c r="L339" s="123"/>
      <c r="M339" s="123">
        <v>754</v>
      </c>
      <c r="N339" s="123"/>
      <c r="O339" s="123">
        <v>375</v>
      </c>
      <c r="P339" s="123">
        <v>886</v>
      </c>
      <c r="Q339" s="123">
        <v>362</v>
      </c>
      <c r="R339" s="123"/>
      <c r="S339" s="123"/>
      <c r="T339" s="123">
        <v>23.6</v>
      </c>
      <c r="U339" s="123">
        <v>27.4</v>
      </c>
      <c r="V339" s="123" t="s">
        <v>2182</v>
      </c>
      <c r="W339" s="126"/>
      <c r="X339" s="126"/>
      <c r="Y339" s="126"/>
      <c r="Z339" s="123">
        <v>17.399999999999999</v>
      </c>
      <c r="AA339" s="123" t="s">
        <v>2245</v>
      </c>
      <c r="AB339" s="123">
        <v>13.8</v>
      </c>
      <c r="AC339" s="123">
        <v>1</v>
      </c>
      <c r="AD339" s="123" t="s">
        <v>2417</v>
      </c>
    </row>
    <row r="340" spans="4:30">
      <c r="D340" s="133" t="s">
        <v>2448</v>
      </c>
      <c r="E340" s="124">
        <v>42769</v>
      </c>
      <c r="F340" s="123"/>
      <c r="G340" s="124">
        <v>42845</v>
      </c>
      <c r="H340" s="124"/>
      <c r="I340" s="125">
        <v>0.42708333333333331</v>
      </c>
      <c r="J340" s="125"/>
      <c r="K340" s="123">
        <v>935</v>
      </c>
      <c r="L340" s="123"/>
      <c r="M340" s="123">
        <v>715</v>
      </c>
      <c r="N340" s="123"/>
      <c r="O340" s="123">
        <v>219</v>
      </c>
      <c r="P340" s="123">
        <v>388</v>
      </c>
      <c r="Q340" s="123">
        <v>370</v>
      </c>
      <c r="R340" s="123"/>
      <c r="S340" s="123"/>
      <c r="T340" s="143">
        <v>24.3</v>
      </c>
      <c r="U340" s="129">
        <v>19.100000000000001</v>
      </c>
      <c r="V340" s="123" t="s">
        <v>2182</v>
      </c>
      <c r="W340" s="126" t="s">
        <v>2225</v>
      </c>
      <c r="X340" s="126" t="s">
        <v>2182</v>
      </c>
      <c r="Y340" s="126" t="s">
        <v>2182</v>
      </c>
      <c r="Z340" s="123">
        <v>5.13</v>
      </c>
      <c r="AA340" s="123" t="s">
        <v>2245</v>
      </c>
      <c r="AB340" s="123">
        <v>5.13</v>
      </c>
      <c r="AC340" s="123">
        <v>1</v>
      </c>
      <c r="AD340" s="123"/>
    </row>
    <row r="341" spans="4:30">
      <c r="D341" s="133" t="s">
        <v>2449</v>
      </c>
      <c r="E341" s="124">
        <v>42769</v>
      </c>
      <c r="F341" s="123"/>
      <c r="G341" s="124">
        <v>42844</v>
      </c>
      <c r="H341" s="124"/>
      <c r="I341" s="125">
        <v>0.71875</v>
      </c>
      <c r="J341" s="125"/>
      <c r="K341" s="123">
        <v>929</v>
      </c>
      <c r="L341" s="123"/>
      <c r="M341" s="123">
        <v>785</v>
      </c>
      <c r="N341" s="123"/>
      <c r="O341" s="123">
        <v>463</v>
      </c>
      <c r="P341" s="123">
        <v>462</v>
      </c>
      <c r="Q341" s="123">
        <v>168</v>
      </c>
      <c r="R341" s="123"/>
      <c r="S341" s="123"/>
      <c r="T341" s="123">
        <v>32</v>
      </c>
      <c r="U341" s="123">
        <v>14.9</v>
      </c>
      <c r="V341" s="123" t="s">
        <v>2182</v>
      </c>
      <c r="W341" s="126"/>
      <c r="X341" s="126" t="s">
        <v>2182</v>
      </c>
      <c r="Y341" s="126" t="s">
        <v>2182</v>
      </c>
      <c r="Z341" s="123">
        <v>7.9</v>
      </c>
      <c r="AA341" s="123" t="s">
        <v>2245</v>
      </c>
      <c r="AB341" s="123">
        <v>7.9</v>
      </c>
      <c r="AC341" s="123">
        <v>1</v>
      </c>
      <c r="AD341" s="123"/>
    </row>
    <row r="342" spans="4:30">
      <c r="D342" s="133" t="s">
        <v>2447</v>
      </c>
      <c r="E342" s="124">
        <v>42769</v>
      </c>
      <c r="F342" s="123"/>
      <c r="G342" s="124">
        <v>42845</v>
      </c>
      <c r="H342" s="124"/>
      <c r="I342" s="125">
        <v>0.39583333333333331</v>
      </c>
      <c r="J342" s="125"/>
      <c r="K342" s="123">
        <v>934</v>
      </c>
      <c r="L342" s="123"/>
      <c r="M342" s="123">
        <v>877</v>
      </c>
      <c r="N342" s="123"/>
      <c r="O342" s="123">
        <v>339</v>
      </c>
      <c r="P342" s="123">
        <v>712</v>
      </c>
      <c r="Q342" s="123">
        <v>269</v>
      </c>
      <c r="R342" s="123"/>
      <c r="S342" s="123"/>
      <c r="T342" s="123">
        <v>23.7</v>
      </c>
      <c r="U342" s="123">
        <v>9.6999999999999993</v>
      </c>
      <c r="V342" s="123" t="s">
        <v>2182</v>
      </c>
      <c r="W342" s="126" t="s">
        <v>2182</v>
      </c>
      <c r="X342" s="126"/>
      <c r="Y342" s="126" t="s">
        <v>2182</v>
      </c>
      <c r="Z342" s="123">
        <v>17.399999999999999</v>
      </c>
      <c r="AA342" s="123" t="s">
        <v>2245</v>
      </c>
      <c r="AB342" s="123">
        <v>13.8</v>
      </c>
      <c r="AC342" s="123">
        <v>1</v>
      </c>
      <c r="AD342" s="123"/>
    </row>
    <row r="343" spans="4:30">
      <c r="D343" s="122" t="s">
        <v>2450</v>
      </c>
      <c r="E343" s="124">
        <v>42769</v>
      </c>
      <c r="F343" s="123"/>
      <c r="G343" s="124">
        <v>42844</v>
      </c>
      <c r="H343" s="124"/>
      <c r="I343" s="125">
        <v>0.68055555555555547</v>
      </c>
      <c r="J343" s="125"/>
      <c r="K343" s="123">
        <v>933</v>
      </c>
      <c r="L343" s="123"/>
      <c r="M343" s="123">
        <v>816</v>
      </c>
      <c r="N343" s="123"/>
      <c r="O343" s="123">
        <v>303</v>
      </c>
      <c r="P343" s="123">
        <v>709</v>
      </c>
      <c r="Q343" s="123">
        <v>359</v>
      </c>
      <c r="R343" s="123"/>
      <c r="S343" s="123"/>
      <c r="T343" s="123">
        <v>30.1</v>
      </c>
      <c r="U343" s="123">
        <v>18.399999999999999</v>
      </c>
      <c r="V343" s="123" t="s">
        <v>2182</v>
      </c>
      <c r="W343" s="126" t="s">
        <v>2182</v>
      </c>
      <c r="X343" s="126" t="s">
        <v>2182</v>
      </c>
      <c r="Y343" s="126" t="s">
        <v>2182</v>
      </c>
      <c r="Z343" s="123">
        <v>12.2</v>
      </c>
      <c r="AA343" s="123" t="s">
        <v>2245</v>
      </c>
      <c r="AB343" s="123">
        <v>15.2</v>
      </c>
      <c r="AC343" s="123">
        <v>1</v>
      </c>
      <c r="AD343" s="123"/>
    </row>
    <row r="344" spans="4:30">
      <c r="D344" s="122" t="s">
        <v>2450</v>
      </c>
      <c r="E344" s="124">
        <v>42769</v>
      </c>
      <c r="F344" s="123"/>
      <c r="G344" s="124">
        <v>42844</v>
      </c>
      <c r="H344" s="124"/>
      <c r="I344" s="125">
        <v>0.68055555555555547</v>
      </c>
      <c r="J344" s="125"/>
      <c r="K344" s="123">
        <v>933</v>
      </c>
      <c r="L344" s="123"/>
      <c r="M344" s="123">
        <v>811</v>
      </c>
      <c r="N344" s="123"/>
      <c r="O344" s="123">
        <v>218</v>
      </c>
      <c r="P344" s="123">
        <v>707</v>
      </c>
      <c r="Q344" s="123">
        <v>395</v>
      </c>
      <c r="R344" s="123"/>
      <c r="S344" s="123"/>
      <c r="T344" s="123">
        <v>30.4</v>
      </c>
      <c r="U344" s="123">
        <v>18.899999999999999</v>
      </c>
      <c r="V344" s="123" t="s">
        <v>2182</v>
      </c>
      <c r="W344" s="126" t="s">
        <v>2182</v>
      </c>
      <c r="X344" s="126" t="s">
        <v>2182</v>
      </c>
      <c r="Y344" s="126"/>
      <c r="Z344" s="123">
        <v>12.2</v>
      </c>
      <c r="AA344" s="123" t="s">
        <v>2245</v>
      </c>
      <c r="AB344" s="123">
        <v>15.2</v>
      </c>
      <c r="AC344" s="123">
        <v>1</v>
      </c>
      <c r="AD344" s="123"/>
    </row>
    <row r="345" spans="4:30">
      <c r="D345" s="133" t="s">
        <v>2447</v>
      </c>
      <c r="E345" s="124">
        <v>42769</v>
      </c>
      <c r="F345" s="123"/>
      <c r="G345" s="124">
        <v>42845</v>
      </c>
      <c r="H345" s="124"/>
      <c r="I345" s="125">
        <v>0.39583333333333331</v>
      </c>
      <c r="J345" s="125"/>
      <c r="K345" s="123">
        <v>934</v>
      </c>
      <c r="L345" s="123"/>
      <c r="M345" s="123">
        <v>773</v>
      </c>
      <c r="N345" s="123"/>
      <c r="O345" s="123">
        <v>135</v>
      </c>
      <c r="P345" s="123">
        <v>770</v>
      </c>
      <c r="Q345" s="123">
        <v>182</v>
      </c>
      <c r="R345" s="123"/>
      <c r="S345" s="123"/>
      <c r="T345" s="123">
        <v>23.3</v>
      </c>
      <c r="U345" s="123">
        <v>16.399999999999999</v>
      </c>
      <c r="V345" s="123" t="s">
        <v>2182</v>
      </c>
      <c r="W345" s="126" t="s">
        <v>2182</v>
      </c>
      <c r="X345" s="126" t="s">
        <v>2182</v>
      </c>
      <c r="Y345" s="126"/>
      <c r="Z345" s="123">
        <v>17.399999999999999</v>
      </c>
      <c r="AA345" s="123" t="s">
        <v>2245</v>
      </c>
      <c r="AB345" s="123">
        <v>13.8</v>
      </c>
      <c r="AC345" s="123">
        <v>1</v>
      </c>
      <c r="AD345" s="123"/>
    </row>
    <row r="346" spans="4:30">
      <c r="D346" s="133" t="s">
        <v>2448</v>
      </c>
      <c r="E346" s="124">
        <v>42769</v>
      </c>
      <c r="F346" s="123"/>
      <c r="G346" s="124">
        <v>42845</v>
      </c>
      <c r="H346" s="124"/>
      <c r="I346" s="125">
        <v>0.42708333333333331</v>
      </c>
      <c r="J346" s="125"/>
      <c r="K346" s="123">
        <v>935</v>
      </c>
      <c r="L346" s="123"/>
      <c r="M346" s="123">
        <v>645</v>
      </c>
      <c r="N346" s="123"/>
      <c r="O346" s="123">
        <v>372</v>
      </c>
      <c r="P346" s="123">
        <v>753</v>
      </c>
      <c r="Q346" s="123">
        <v>342</v>
      </c>
      <c r="R346" s="144"/>
      <c r="S346" s="144"/>
      <c r="T346" s="159">
        <v>31.1</v>
      </c>
      <c r="U346" s="129">
        <v>23.3</v>
      </c>
      <c r="V346" s="123" t="s">
        <v>2182</v>
      </c>
      <c r="W346" s="126" t="s">
        <v>2174</v>
      </c>
      <c r="X346" s="126" t="s">
        <v>2182</v>
      </c>
      <c r="Y346" s="126"/>
      <c r="Z346" s="123">
        <v>5.13</v>
      </c>
      <c r="AA346" s="123" t="s">
        <v>2245</v>
      </c>
      <c r="AB346" s="123">
        <v>5.13</v>
      </c>
      <c r="AC346" s="123">
        <v>1</v>
      </c>
      <c r="AD346" s="123"/>
    </row>
    <row r="347" spans="4:30">
      <c r="D347" s="133" t="s">
        <v>2449</v>
      </c>
      <c r="E347" s="124">
        <v>42769</v>
      </c>
      <c r="F347" s="123"/>
      <c r="G347" s="124">
        <v>42844</v>
      </c>
      <c r="H347" s="124"/>
      <c r="I347" s="125">
        <v>0.71875</v>
      </c>
      <c r="J347" s="125"/>
      <c r="K347" s="123">
        <v>929</v>
      </c>
      <c r="L347" s="123"/>
      <c r="M347" s="164">
        <v>814</v>
      </c>
      <c r="N347" s="164"/>
      <c r="O347" s="164">
        <v>334</v>
      </c>
      <c r="P347" s="164">
        <v>640</v>
      </c>
      <c r="Q347" s="164">
        <v>139</v>
      </c>
      <c r="R347" s="123"/>
      <c r="S347" s="123"/>
      <c r="T347" s="123">
        <v>32.700000000000003</v>
      </c>
      <c r="U347" s="123">
        <v>16.399999999999999</v>
      </c>
      <c r="V347" s="123" t="s">
        <v>2182</v>
      </c>
      <c r="W347" s="126" t="s">
        <v>2182</v>
      </c>
      <c r="X347" s="126" t="s">
        <v>2182</v>
      </c>
      <c r="Y347" s="126"/>
      <c r="Z347" s="123">
        <v>7.9</v>
      </c>
      <c r="AA347" s="123" t="s">
        <v>2245</v>
      </c>
      <c r="AB347" s="123">
        <v>7.9</v>
      </c>
      <c r="AC347" s="123">
        <v>1</v>
      </c>
      <c r="AD347" s="123"/>
    </row>
    <row r="348" spans="4:30">
      <c r="D348" s="133" t="s">
        <v>2448</v>
      </c>
      <c r="E348" s="124">
        <v>42769</v>
      </c>
      <c r="F348" s="123"/>
      <c r="G348" s="124">
        <v>42845</v>
      </c>
      <c r="H348" s="124"/>
      <c r="I348" s="125">
        <v>0.42708333333333331</v>
      </c>
      <c r="J348" s="125"/>
      <c r="K348" s="123">
        <v>935</v>
      </c>
      <c r="L348" s="123"/>
      <c r="M348" s="164">
        <v>814</v>
      </c>
      <c r="N348" s="164"/>
      <c r="O348" s="164">
        <v>334</v>
      </c>
      <c r="P348" s="164">
        <v>640</v>
      </c>
      <c r="Q348" s="164">
        <v>139</v>
      </c>
      <c r="R348" s="123"/>
      <c r="S348" s="123"/>
      <c r="T348" s="129">
        <v>23.2</v>
      </c>
      <c r="U348" s="129">
        <v>23.4</v>
      </c>
      <c r="V348" s="123" t="s">
        <v>2195</v>
      </c>
      <c r="W348" s="126" t="s">
        <v>2182</v>
      </c>
      <c r="X348" s="126" t="s">
        <v>2182</v>
      </c>
      <c r="Y348" s="126"/>
      <c r="Z348" s="123">
        <v>5.13</v>
      </c>
      <c r="AA348" s="123" t="s">
        <v>2245</v>
      </c>
      <c r="AB348" s="123">
        <v>5.13</v>
      </c>
      <c r="AC348" s="123">
        <v>1</v>
      </c>
      <c r="AD348" s="123"/>
    </row>
    <row r="349" spans="4:30">
      <c r="D349" s="133" t="s">
        <v>2447</v>
      </c>
      <c r="E349" s="124">
        <v>42769</v>
      </c>
      <c r="F349" s="123"/>
      <c r="G349" s="124">
        <v>42845</v>
      </c>
      <c r="H349" s="124"/>
      <c r="I349" s="125">
        <v>0.39583333333333331</v>
      </c>
      <c r="J349" s="125"/>
      <c r="K349" s="123">
        <v>934</v>
      </c>
      <c r="L349" s="123"/>
      <c r="M349" s="123">
        <v>621</v>
      </c>
      <c r="N349" s="123"/>
      <c r="O349" s="123">
        <v>265</v>
      </c>
      <c r="P349" s="123">
        <v>668</v>
      </c>
      <c r="Q349" s="123">
        <v>92</v>
      </c>
      <c r="R349" s="123"/>
      <c r="S349" s="123"/>
      <c r="T349" s="123">
        <v>24.1</v>
      </c>
      <c r="U349" s="123">
        <v>12.4</v>
      </c>
      <c r="V349" s="123" t="s">
        <v>2182</v>
      </c>
      <c r="W349" s="126"/>
      <c r="X349" s="126" t="s">
        <v>2182</v>
      </c>
      <c r="Y349" s="126" t="s">
        <v>2182</v>
      </c>
      <c r="Z349" s="123">
        <v>17.399999999999999</v>
      </c>
      <c r="AA349" s="123" t="s">
        <v>2245</v>
      </c>
      <c r="AB349" s="123">
        <v>13.8</v>
      </c>
      <c r="AC349" s="123">
        <v>1</v>
      </c>
      <c r="AD349" s="123"/>
    </row>
    <row r="350" spans="4:30">
      <c r="D350" s="122" t="s">
        <v>2450</v>
      </c>
      <c r="E350" s="124">
        <v>42769</v>
      </c>
      <c r="F350" s="123"/>
      <c r="G350" s="124">
        <v>42844</v>
      </c>
      <c r="H350" s="124"/>
      <c r="I350" s="125">
        <v>0.68055555555555547</v>
      </c>
      <c r="J350" s="125"/>
      <c r="K350" s="123">
        <v>933</v>
      </c>
      <c r="L350" s="123"/>
      <c r="M350" s="123">
        <v>677</v>
      </c>
      <c r="N350" s="123"/>
      <c r="O350" s="123">
        <v>234</v>
      </c>
      <c r="P350" s="123">
        <v>891</v>
      </c>
      <c r="Q350" s="123">
        <v>328</v>
      </c>
      <c r="R350" s="123"/>
      <c r="S350" s="123"/>
      <c r="T350" s="123">
        <v>33.1</v>
      </c>
      <c r="U350" s="123">
        <v>16.3</v>
      </c>
      <c r="V350" s="123" t="s">
        <v>2182</v>
      </c>
      <c r="W350" s="126" t="s">
        <v>2190</v>
      </c>
      <c r="X350" s="126" t="s">
        <v>2182</v>
      </c>
      <c r="Y350" s="126"/>
      <c r="Z350" s="123">
        <v>12.2</v>
      </c>
      <c r="AA350" s="123" t="s">
        <v>2245</v>
      </c>
      <c r="AB350" s="123">
        <v>15.2</v>
      </c>
      <c r="AC350" s="123">
        <v>1</v>
      </c>
      <c r="AD350" s="123"/>
    </row>
    <row r="351" spans="4:30">
      <c r="D351" s="133" t="s">
        <v>2449</v>
      </c>
      <c r="E351" s="124">
        <v>42769</v>
      </c>
      <c r="F351" s="123"/>
      <c r="G351" s="124">
        <v>42844</v>
      </c>
      <c r="H351" s="124"/>
      <c r="I351" s="125">
        <v>0.71875</v>
      </c>
      <c r="J351" s="125"/>
      <c r="K351" s="123">
        <v>929</v>
      </c>
      <c r="L351" s="123"/>
      <c r="M351" s="123">
        <v>574</v>
      </c>
      <c r="N351" s="123"/>
      <c r="O351" s="123">
        <v>258</v>
      </c>
      <c r="P351" s="164">
        <v>540</v>
      </c>
      <c r="Q351" s="123">
        <v>149</v>
      </c>
      <c r="R351" s="123"/>
      <c r="S351" s="123"/>
      <c r="T351" s="123">
        <v>31.9</v>
      </c>
      <c r="U351" s="123">
        <v>16.3</v>
      </c>
      <c r="V351" s="123" t="s">
        <v>2182</v>
      </c>
      <c r="W351" s="126" t="s">
        <v>2182</v>
      </c>
      <c r="X351" s="126" t="s">
        <v>2182</v>
      </c>
      <c r="Y351" s="126" t="s">
        <v>2182</v>
      </c>
      <c r="Z351" s="123">
        <v>7.9</v>
      </c>
      <c r="AA351" s="123" t="s">
        <v>2245</v>
      </c>
      <c r="AB351" s="123">
        <v>7.9</v>
      </c>
      <c r="AC351" s="123">
        <v>1</v>
      </c>
      <c r="AD351" s="123"/>
    </row>
    <row r="352" spans="4:30">
      <c r="D352" s="133" t="s">
        <v>2448</v>
      </c>
      <c r="E352" s="124">
        <v>42769</v>
      </c>
      <c r="F352" s="123"/>
      <c r="G352" s="124">
        <v>42845</v>
      </c>
      <c r="H352" s="124"/>
      <c r="I352" s="125">
        <v>0.42708333333333331</v>
      </c>
      <c r="J352" s="125"/>
      <c r="K352" s="123">
        <v>935</v>
      </c>
      <c r="L352" s="123"/>
      <c r="M352" s="123">
        <v>710</v>
      </c>
      <c r="N352" s="123"/>
      <c r="O352" s="123">
        <v>344</v>
      </c>
      <c r="P352" s="123">
        <v>508</v>
      </c>
      <c r="Q352" s="123">
        <v>449</v>
      </c>
      <c r="R352" s="123"/>
      <c r="S352" s="123"/>
      <c r="T352" s="129">
        <v>23</v>
      </c>
      <c r="U352" s="129">
        <v>19.100000000000001</v>
      </c>
      <c r="V352" s="123" t="s">
        <v>2182</v>
      </c>
      <c r="W352" s="126" t="s">
        <v>2182</v>
      </c>
      <c r="X352" s="126" t="s">
        <v>2229</v>
      </c>
      <c r="Y352" s="126" t="s">
        <v>2182</v>
      </c>
      <c r="Z352" s="123">
        <v>5.13</v>
      </c>
      <c r="AA352" s="123" t="s">
        <v>2245</v>
      </c>
      <c r="AB352" s="123">
        <v>5.13</v>
      </c>
      <c r="AC352" s="123">
        <v>1</v>
      </c>
      <c r="AD352" s="123"/>
    </row>
    <row r="353" spans="4:30">
      <c r="D353" s="122" t="s">
        <v>2450</v>
      </c>
      <c r="E353" s="124">
        <v>42769</v>
      </c>
      <c r="F353" s="123"/>
      <c r="G353" s="124">
        <v>42844</v>
      </c>
      <c r="H353" s="124"/>
      <c r="I353" s="125">
        <v>0.68055555555555547</v>
      </c>
      <c r="J353" s="125"/>
      <c r="K353" s="123">
        <v>933</v>
      </c>
      <c r="L353" s="123"/>
      <c r="M353" s="123">
        <v>604</v>
      </c>
      <c r="N353" s="123"/>
      <c r="O353" s="123">
        <v>271</v>
      </c>
      <c r="P353" s="123">
        <v>637</v>
      </c>
      <c r="Q353" s="123">
        <v>142</v>
      </c>
      <c r="R353" s="123"/>
      <c r="S353" s="123"/>
      <c r="T353" s="123">
        <v>32.200000000000003</v>
      </c>
      <c r="U353" s="123">
        <v>18.5</v>
      </c>
      <c r="V353" s="123" t="s">
        <v>2182</v>
      </c>
      <c r="W353" s="126" t="s">
        <v>2182</v>
      </c>
      <c r="X353" s="126" t="s">
        <v>2182</v>
      </c>
      <c r="Y353" s="126"/>
      <c r="Z353" s="123">
        <v>12.2</v>
      </c>
      <c r="AA353" s="123" t="s">
        <v>2245</v>
      </c>
      <c r="AB353" s="123">
        <v>15.2</v>
      </c>
      <c r="AC353" s="123">
        <v>1</v>
      </c>
      <c r="AD353" s="123"/>
    </row>
    <row r="354" spans="4:30">
      <c r="D354" s="133" t="s">
        <v>2447</v>
      </c>
      <c r="E354" s="124">
        <v>42769</v>
      </c>
      <c r="F354" s="123"/>
      <c r="G354" s="124">
        <v>42845</v>
      </c>
      <c r="H354" s="124"/>
      <c r="I354" s="125">
        <v>0.39583333333333331</v>
      </c>
      <c r="J354" s="125"/>
      <c r="K354" s="123">
        <v>934</v>
      </c>
      <c r="L354" s="123"/>
      <c r="M354" s="123">
        <v>871</v>
      </c>
      <c r="N354" s="123"/>
      <c r="O354" s="123">
        <v>340</v>
      </c>
      <c r="P354" s="123">
        <v>720</v>
      </c>
      <c r="Q354" s="123">
        <v>392</v>
      </c>
      <c r="R354" s="123"/>
      <c r="S354" s="123"/>
      <c r="T354" s="123">
        <v>23.5</v>
      </c>
      <c r="U354" s="123">
        <v>10.6</v>
      </c>
      <c r="V354" s="123" t="s">
        <v>2182</v>
      </c>
      <c r="W354" s="126" t="s">
        <v>2182</v>
      </c>
      <c r="X354" s="126" t="s">
        <v>2182</v>
      </c>
      <c r="Y354" s="126" t="s">
        <v>2182</v>
      </c>
      <c r="Z354" s="123">
        <v>17.399999999999999</v>
      </c>
      <c r="AA354" s="123" t="s">
        <v>2245</v>
      </c>
      <c r="AB354" s="123">
        <v>13.8</v>
      </c>
      <c r="AC354" s="123">
        <v>1</v>
      </c>
      <c r="AD354" s="123"/>
    </row>
    <row r="355" spans="4:30">
      <c r="D355" s="133" t="s">
        <v>2449</v>
      </c>
      <c r="E355" s="124">
        <v>42769</v>
      </c>
      <c r="F355" s="123"/>
      <c r="G355" s="124">
        <v>42844</v>
      </c>
      <c r="H355" s="124"/>
      <c r="I355" s="125">
        <v>0.71875</v>
      </c>
      <c r="J355" s="125"/>
      <c r="K355" s="123">
        <v>929</v>
      </c>
      <c r="L355" s="123"/>
      <c r="M355" s="123">
        <v>822</v>
      </c>
      <c r="N355" s="123"/>
      <c r="O355" s="123">
        <v>381</v>
      </c>
      <c r="P355" s="123">
        <v>796</v>
      </c>
      <c r="Q355">
        <v>589</v>
      </c>
      <c r="R355" s="123"/>
      <c r="S355" s="123"/>
      <c r="T355" s="123">
        <v>31.6</v>
      </c>
      <c r="U355" s="123">
        <v>16.399999999999999</v>
      </c>
      <c r="V355" s="123"/>
      <c r="W355" s="126" t="s">
        <v>2229</v>
      </c>
      <c r="X355" s="126" t="s">
        <v>2182</v>
      </c>
      <c r="Y355" s="126" t="s">
        <v>2182</v>
      </c>
      <c r="Z355" s="123">
        <v>7.9</v>
      </c>
      <c r="AA355" s="123" t="s">
        <v>2245</v>
      </c>
      <c r="AB355" s="123">
        <v>7.9</v>
      </c>
      <c r="AC355" s="123">
        <v>1</v>
      </c>
      <c r="AD355" s="123"/>
    </row>
    <row r="356" spans="4:30">
      <c r="D356" s="122" t="s">
        <v>2450</v>
      </c>
      <c r="E356" s="124">
        <v>42769</v>
      </c>
      <c r="F356" s="123"/>
      <c r="G356" s="124">
        <v>42844</v>
      </c>
      <c r="H356" s="124"/>
      <c r="I356" s="125">
        <v>0.68055555555555547</v>
      </c>
      <c r="J356" s="125"/>
      <c r="K356" s="123">
        <v>933</v>
      </c>
      <c r="L356" s="123"/>
      <c r="M356" s="123">
        <v>786</v>
      </c>
      <c r="N356" s="92"/>
      <c r="O356">
        <v>93</v>
      </c>
      <c r="P356" s="123">
        <v>560</v>
      </c>
      <c r="Q356" s="123">
        <v>130</v>
      </c>
      <c r="R356" s="123"/>
      <c r="S356" s="123"/>
      <c r="T356" s="123">
        <v>31.3</v>
      </c>
      <c r="U356" s="123">
        <v>15.5</v>
      </c>
      <c r="V356" s="123" t="s">
        <v>2182</v>
      </c>
      <c r="W356" s="126" t="s">
        <v>2182</v>
      </c>
      <c r="X356" s="126" t="s">
        <v>2182</v>
      </c>
      <c r="Y356" s="126"/>
      <c r="Z356" s="123">
        <v>12.2</v>
      </c>
      <c r="AA356" s="123" t="s">
        <v>2245</v>
      </c>
      <c r="AB356" s="123">
        <v>15.2</v>
      </c>
      <c r="AC356" s="123">
        <v>1</v>
      </c>
      <c r="AD356" s="123"/>
    </row>
    <row r="357" spans="4:30">
      <c r="D357" s="133" t="s">
        <v>2449</v>
      </c>
      <c r="E357" s="124">
        <v>42769</v>
      </c>
      <c r="F357" s="123"/>
      <c r="G357" s="124">
        <v>42844</v>
      </c>
      <c r="H357" s="124"/>
      <c r="I357" s="125">
        <v>0.71875</v>
      </c>
      <c r="J357" s="125"/>
      <c r="K357" s="123">
        <v>929</v>
      </c>
      <c r="L357" s="123"/>
      <c r="M357" s="123">
        <v>572</v>
      </c>
      <c r="N357" s="123"/>
      <c r="O357" s="123">
        <v>88</v>
      </c>
      <c r="P357" s="123">
        <v>716</v>
      </c>
      <c r="Q357" s="123">
        <v>111</v>
      </c>
      <c r="R357" s="123"/>
      <c r="S357" s="123"/>
      <c r="T357" s="123">
        <v>34.200000000000003</v>
      </c>
      <c r="U357" s="123">
        <v>12</v>
      </c>
      <c r="V357" s="123" t="s">
        <v>2182</v>
      </c>
      <c r="W357" s="126" t="s">
        <v>2182</v>
      </c>
      <c r="X357" s="126" t="s">
        <v>2182</v>
      </c>
      <c r="Y357" s="126" t="s">
        <v>2182</v>
      </c>
      <c r="Z357" s="123">
        <v>7.9</v>
      </c>
      <c r="AA357" s="123" t="s">
        <v>2245</v>
      </c>
      <c r="AB357" s="123">
        <v>7.9</v>
      </c>
      <c r="AC357" s="123">
        <v>1</v>
      </c>
      <c r="AD357" s="123"/>
    </row>
    <row r="358" spans="4:30">
      <c r="D358" s="133" t="s">
        <v>2447</v>
      </c>
      <c r="E358" s="124">
        <v>42769</v>
      </c>
      <c r="F358" s="123"/>
      <c r="G358" s="124">
        <v>42845</v>
      </c>
      <c r="H358" s="124"/>
      <c r="I358" s="125">
        <v>0.39583333333333331</v>
      </c>
      <c r="J358" s="125"/>
      <c r="K358" s="123">
        <v>934</v>
      </c>
      <c r="L358" s="123"/>
      <c r="M358" s="123">
        <v>761</v>
      </c>
      <c r="N358" s="123"/>
      <c r="O358" s="123">
        <v>383</v>
      </c>
      <c r="P358" s="123">
        <v>581</v>
      </c>
      <c r="Q358" s="123">
        <v>412</v>
      </c>
      <c r="R358" s="123"/>
      <c r="S358" s="123"/>
      <c r="T358" s="123">
        <v>24.9</v>
      </c>
      <c r="U358" s="123">
        <v>13.4</v>
      </c>
      <c r="V358" s="123" t="s">
        <v>2182</v>
      </c>
      <c r="W358" s="126"/>
      <c r="X358" s="126" t="s">
        <v>2182</v>
      </c>
      <c r="Y358" s="126" t="s">
        <v>2182</v>
      </c>
      <c r="Z358" s="123">
        <v>17.399999999999999</v>
      </c>
      <c r="AA358" s="123" t="s">
        <v>2245</v>
      </c>
      <c r="AB358" s="123">
        <v>13.8</v>
      </c>
      <c r="AC358" s="123">
        <v>1</v>
      </c>
      <c r="AD358" s="123"/>
    </row>
    <row r="359" spans="4:30">
      <c r="D359" s="133" t="s">
        <v>2448</v>
      </c>
      <c r="E359" s="124">
        <v>42769</v>
      </c>
      <c r="F359" s="123"/>
      <c r="G359" s="124">
        <v>42845</v>
      </c>
      <c r="H359" s="124"/>
      <c r="I359" s="125">
        <v>0.42708333333333331</v>
      </c>
      <c r="J359" s="125"/>
      <c r="K359" s="123">
        <v>935</v>
      </c>
      <c r="L359" s="123"/>
      <c r="M359" s="123">
        <v>858</v>
      </c>
      <c r="N359" s="123"/>
      <c r="O359" s="123">
        <v>145</v>
      </c>
      <c r="P359" s="123">
        <v>718</v>
      </c>
      <c r="Q359" s="123">
        <v>434</v>
      </c>
      <c r="R359" s="123"/>
      <c r="S359" s="123"/>
      <c r="T359" s="129">
        <v>24.5</v>
      </c>
      <c r="U359" s="129">
        <v>16</v>
      </c>
      <c r="V359" s="123" t="s">
        <v>2225</v>
      </c>
      <c r="W359" s="126" t="s">
        <v>2174</v>
      </c>
      <c r="X359" s="126" t="s">
        <v>2182</v>
      </c>
      <c r="Y359" s="126" t="s">
        <v>2182</v>
      </c>
      <c r="Z359" s="123">
        <v>5.13</v>
      </c>
      <c r="AA359" s="123" t="s">
        <v>2245</v>
      </c>
      <c r="AB359" s="123">
        <v>5.13</v>
      </c>
      <c r="AC359" s="123">
        <v>1</v>
      </c>
      <c r="AD359" s="123"/>
    </row>
    <row r="360" spans="4:30">
      <c r="D360" s="133" t="s">
        <v>2447</v>
      </c>
      <c r="E360" s="124">
        <v>42769</v>
      </c>
      <c r="F360" s="123"/>
      <c r="G360" s="124">
        <v>42845</v>
      </c>
      <c r="H360" s="124"/>
      <c r="I360" s="125">
        <v>0.39583333333333331</v>
      </c>
      <c r="J360" s="125"/>
      <c r="K360" s="123">
        <v>934</v>
      </c>
      <c r="L360" s="123"/>
      <c r="M360" s="123">
        <v>755</v>
      </c>
      <c r="N360" s="123"/>
      <c r="O360" s="123">
        <v>241</v>
      </c>
      <c r="P360" s="123">
        <v>613</v>
      </c>
      <c r="Q360" s="123">
        <v>457</v>
      </c>
      <c r="R360" s="123"/>
      <c r="S360" s="123"/>
      <c r="T360" s="123">
        <v>24.3</v>
      </c>
      <c r="U360" s="123">
        <v>15.7</v>
      </c>
      <c r="V360" s="123" t="s">
        <v>2182</v>
      </c>
      <c r="W360" s="126" t="s">
        <v>2182</v>
      </c>
      <c r="X360" s="126" t="s">
        <v>2182</v>
      </c>
      <c r="Y360" s="126"/>
      <c r="Z360" s="123">
        <v>17.399999999999999</v>
      </c>
      <c r="AA360" s="123" t="s">
        <v>2245</v>
      </c>
      <c r="AB360" s="123">
        <v>13.8</v>
      </c>
      <c r="AC360" s="123">
        <v>1</v>
      </c>
      <c r="AD360" s="123"/>
    </row>
    <row r="361" spans="4:30">
      <c r="D361" s="133" t="s">
        <v>2448</v>
      </c>
      <c r="E361" s="124">
        <v>42769</v>
      </c>
      <c r="F361" s="123"/>
      <c r="G361" s="124">
        <v>42845</v>
      </c>
      <c r="H361" s="124"/>
      <c r="I361" s="125">
        <v>0.42708333333333331</v>
      </c>
      <c r="J361" s="125"/>
      <c r="K361" s="123">
        <v>935</v>
      </c>
      <c r="L361" s="123"/>
      <c r="M361" s="123">
        <v>795</v>
      </c>
      <c r="N361" s="123"/>
      <c r="O361" s="123">
        <v>302</v>
      </c>
      <c r="P361" s="123">
        <v>804</v>
      </c>
      <c r="Q361" s="123">
        <v>410</v>
      </c>
      <c r="R361" s="123"/>
      <c r="S361" s="123"/>
      <c r="T361" s="129">
        <v>23.5</v>
      </c>
      <c r="U361" s="129">
        <v>19.5</v>
      </c>
      <c r="V361" s="123" t="s">
        <v>2182</v>
      </c>
      <c r="W361" s="126" t="s">
        <v>2182</v>
      </c>
      <c r="X361" s="126" t="s">
        <v>2182</v>
      </c>
      <c r="Y361" s="126" t="s">
        <v>2182</v>
      </c>
      <c r="Z361" s="123">
        <v>5.13</v>
      </c>
      <c r="AA361" s="123" t="s">
        <v>2245</v>
      </c>
      <c r="AB361" s="123">
        <v>5.13</v>
      </c>
      <c r="AC361" s="123">
        <v>1</v>
      </c>
      <c r="AD361" s="123"/>
    </row>
    <row r="362" spans="4:30">
      <c r="D362" s="133" t="s">
        <v>2449</v>
      </c>
      <c r="E362" s="124">
        <v>42769</v>
      </c>
      <c r="F362" s="123"/>
      <c r="G362" s="124">
        <v>42844</v>
      </c>
      <c r="H362" s="124"/>
      <c r="I362" s="125">
        <v>0.71875</v>
      </c>
      <c r="J362" s="125"/>
      <c r="K362" s="123">
        <v>929</v>
      </c>
      <c r="L362" s="123"/>
      <c r="M362" s="123">
        <v>251</v>
      </c>
      <c r="N362" s="123"/>
      <c r="O362" s="123">
        <v>442</v>
      </c>
      <c r="P362" s="123">
        <v>587</v>
      </c>
      <c r="Q362" s="123">
        <v>103</v>
      </c>
      <c r="R362" s="123"/>
      <c r="S362" s="123"/>
      <c r="T362" s="123">
        <v>31.8</v>
      </c>
      <c r="U362" s="123">
        <v>14</v>
      </c>
      <c r="V362" s="123" t="s">
        <v>2195</v>
      </c>
      <c r="W362" s="126" t="s">
        <v>2182</v>
      </c>
      <c r="X362" s="126" t="s">
        <v>2182</v>
      </c>
      <c r="Y362" s="126"/>
      <c r="Z362" s="123">
        <v>7.9</v>
      </c>
      <c r="AA362" s="123" t="s">
        <v>2245</v>
      </c>
      <c r="AB362" s="123">
        <v>7.9</v>
      </c>
      <c r="AC362" s="123">
        <v>1</v>
      </c>
      <c r="AD362" s="123"/>
    </row>
    <row r="363" spans="4:30">
      <c r="D363" s="122" t="s">
        <v>2450</v>
      </c>
      <c r="E363" s="124">
        <v>42769</v>
      </c>
      <c r="F363" s="123"/>
      <c r="G363" s="124">
        <v>42844</v>
      </c>
      <c r="H363" s="124"/>
      <c r="I363" s="125">
        <v>0.68055555555555547</v>
      </c>
      <c r="J363" s="125"/>
      <c r="K363" s="123">
        <v>933</v>
      </c>
      <c r="L363" s="123"/>
      <c r="M363" s="123">
        <v>782</v>
      </c>
      <c r="N363" s="123"/>
      <c r="O363" s="123">
        <v>250</v>
      </c>
      <c r="P363" s="123">
        <v>849</v>
      </c>
      <c r="Q363" s="123">
        <v>319</v>
      </c>
      <c r="R363" s="123"/>
      <c r="S363" s="123"/>
      <c r="T363" s="123">
        <v>32.1</v>
      </c>
      <c r="U363" s="123">
        <v>15.8</v>
      </c>
      <c r="V363" s="123" t="s">
        <v>2182</v>
      </c>
      <c r="W363" s="126" t="s">
        <v>2174</v>
      </c>
      <c r="X363" s="126" t="s">
        <v>2182</v>
      </c>
      <c r="Y363" s="126"/>
      <c r="Z363" s="123">
        <v>12.2</v>
      </c>
      <c r="AA363" s="123" t="s">
        <v>2245</v>
      </c>
      <c r="AB363" s="123">
        <v>15.2</v>
      </c>
      <c r="AC363" s="123">
        <v>1</v>
      </c>
      <c r="AD363" s="123"/>
    </row>
  </sheetData>
  <sortState ref="A260:AD287">
    <sortCondition ref="A3:A224"/>
  </sortState>
  <pageMargins left="0.7" right="0.7" top="0.75" bottom="0.75" header="0.3" footer="0.3"/>
  <pageSetup paperSize="9" orientation="portrait" r:id="rId1"/>
  <legacyDrawing r:id="rId2"/>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7D3DAAD-46F1-42A3-B132-B1E41519BE1A}">
  <dimension ref="A1:AX845"/>
  <sheetViews>
    <sheetView topLeftCell="A335" zoomScale="85" zoomScaleNormal="85" workbookViewId="0">
      <selection activeCell="D352" sqref="D352"/>
    </sheetView>
  </sheetViews>
  <sheetFormatPr baseColWidth="10" defaultColWidth="11.44140625" defaultRowHeight="14.4"/>
  <cols>
    <col min="1" max="1" width="11.44140625" style="196" customWidth="1"/>
    <col min="3" max="3" width="21.109375" style="196" customWidth="1"/>
    <col min="4" max="5" width="11.44140625" style="196"/>
    <col min="6" max="6" width="17" style="196" customWidth="1"/>
    <col min="7" max="9" width="11.44140625" style="196"/>
    <col min="10" max="10" width="19.33203125" style="196" customWidth="1"/>
    <col min="11" max="12" width="11.44140625" style="196"/>
    <col min="13" max="13" width="15.6640625" style="196" customWidth="1"/>
    <col min="14" max="14" width="21.88671875" style="196" customWidth="1"/>
    <col min="15" max="15" width="11.44140625" style="196"/>
    <col min="16" max="16" width="22.44140625" style="196" bestFit="1" customWidth="1"/>
    <col min="17" max="16384" width="11.44140625" style="196"/>
  </cols>
  <sheetData>
    <row r="1" spans="1:50" ht="100.8">
      <c r="A1" s="210" t="s">
        <v>2593</v>
      </c>
      <c r="B1" s="165" t="s">
        <v>2471</v>
      </c>
      <c r="C1" s="210" t="s">
        <v>2594</v>
      </c>
      <c r="D1" s="210" t="s">
        <v>2573</v>
      </c>
      <c r="E1" s="210" t="s">
        <v>2592</v>
      </c>
      <c r="F1" s="210" t="s">
        <v>2591</v>
      </c>
      <c r="G1" s="210" t="s">
        <v>2590</v>
      </c>
      <c r="H1" s="210" t="s">
        <v>2589</v>
      </c>
      <c r="I1" s="209" t="s">
        <v>2628</v>
      </c>
      <c r="J1" s="209" t="s">
        <v>2629</v>
      </c>
      <c r="K1" s="209" t="s">
        <v>2630</v>
      </c>
      <c r="L1" s="209" t="s">
        <v>2588</v>
      </c>
      <c r="M1" s="209" t="s">
        <v>2587</v>
      </c>
      <c r="N1" s="209" t="s">
        <v>2586</v>
      </c>
      <c r="O1" s="209" t="s">
        <v>2585</v>
      </c>
      <c r="P1" s="209" t="s">
        <v>2143</v>
      </c>
      <c r="AA1" s="391"/>
      <c r="AB1" s="390"/>
      <c r="AC1" s="390"/>
      <c r="AD1" s="390"/>
      <c r="AE1" s="390"/>
    </row>
    <row r="2" spans="1:50">
      <c r="A2" s="396" t="s">
        <v>1849</v>
      </c>
      <c r="C2" s="397">
        <v>32</v>
      </c>
      <c r="D2" s="396">
        <v>0.48409999999999997</v>
      </c>
      <c r="E2" s="398">
        <v>7.4744999999999999</v>
      </c>
      <c r="F2" s="398">
        <v>0.20019999999999999</v>
      </c>
      <c r="G2" s="399">
        <f t="shared" ref="G2:G33" si="0">E2+F2</f>
        <v>7.6746999999999996</v>
      </c>
      <c r="H2" s="399">
        <v>7.4890999999999996</v>
      </c>
      <c r="I2" s="399">
        <f t="shared" ref="I2:I33" si="1">(G2-H2)</f>
        <v>0.18559999999999999</v>
      </c>
      <c r="J2" s="399">
        <f t="shared" ref="J2:J33" si="2">F2-I2</f>
        <v>1.4600000000000002E-2</v>
      </c>
      <c r="K2" s="400">
        <f t="shared" ref="K2:K33" si="3">(J2/F2)*100</f>
        <v>7.292707292707294</v>
      </c>
      <c r="L2" s="399">
        <v>26</v>
      </c>
      <c r="M2" s="401">
        <v>43221</v>
      </c>
      <c r="N2" s="401">
        <v>43221</v>
      </c>
      <c r="O2" s="396"/>
      <c r="P2" s="396"/>
      <c r="AA2" s="92"/>
      <c r="AB2" s="110"/>
      <c r="AC2" s="110"/>
      <c r="AD2" s="110"/>
      <c r="AE2" s="110"/>
    </row>
    <row r="3" spans="1:50">
      <c r="A3" s="200" t="s">
        <v>1848</v>
      </c>
      <c r="C3" s="200">
        <v>163</v>
      </c>
      <c r="D3" s="200">
        <v>0.45610000000000001</v>
      </c>
      <c r="E3" s="201">
        <v>10.503399999999999</v>
      </c>
      <c r="F3" s="201">
        <v>0.20180000000000001</v>
      </c>
      <c r="G3" s="200">
        <f t="shared" si="0"/>
        <v>10.7052</v>
      </c>
      <c r="H3" s="200">
        <v>10.522399999999999</v>
      </c>
      <c r="I3" s="200">
        <f t="shared" si="1"/>
        <v>0.1828000000000003</v>
      </c>
      <c r="J3" s="200">
        <f t="shared" si="2"/>
        <v>1.8999999999999712E-2</v>
      </c>
      <c r="K3" s="270">
        <f t="shared" si="3"/>
        <v>9.4152626362733951</v>
      </c>
      <c r="L3" s="200">
        <v>31</v>
      </c>
      <c r="M3" s="206">
        <v>43186.458333333336</v>
      </c>
      <c r="N3" s="206">
        <v>43186.625</v>
      </c>
      <c r="O3" s="196" t="s">
        <v>2534</v>
      </c>
      <c r="P3" s="200"/>
      <c r="AB3" s="110"/>
      <c r="AC3" s="110"/>
      <c r="AD3" s="110"/>
      <c r="AE3" s="110"/>
    </row>
    <row r="4" spans="1:50">
      <c r="A4" s="196" t="s">
        <v>1836</v>
      </c>
      <c r="C4" s="196">
        <v>39</v>
      </c>
      <c r="D4" s="196">
        <v>0.60909999999999997</v>
      </c>
      <c r="E4" s="196">
        <v>8.4418000000000006</v>
      </c>
      <c r="F4" s="196">
        <v>0.2041</v>
      </c>
      <c r="G4" s="196">
        <f t="shared" si="0"/>
        <v>8.645900000000001</v>
      </c>
      <c r="H4" s="196">
        <v>8.4620999999999995</v>
      </c>
      <c r="I4" s="196">
        <f t="shared" si="1"/>
        <v>0.18380000000000152</v>
      </c>
      <c r="J4" s="200">
        <f t="shared" si="2"/>
        <v>2.0299999999998486E-2</v>
      </c>
      <c r="K4" s="270">
        <f t="shared" si="3"/>
        <v>9.9461048505627083</v>
      </c>
      <c r="L4" s="196">
        <v>26</v>
      </c>
      <c r="M4" s="196" t="s">
        <v>2570</v>
      </c>
      <c r="N4" s="196" t="s">
        <v>2569</v>
      </c>
      <c r="O4" s="196" t="s">
        <v>2534</v>
      </c>
      <c r="AB4" s="110"/>
      <c r="AC4" s="110"/>
      <c r="AD4" s="110"/>
      <c r="AE4" s="110"/>
      <c r="AX4" s="196" t="str">
        <f>IFERROR(INDEX('Ashed teabags wet'!A2:$A$499,MATCH(A398,'WetLitterbags placem_collection'!$K$4:$K$500,0)),"")</f>
        <v/>
      </c>
    </row>
    <row r="5" spans="1:50">
      <c r="A5" s="200" t="s">
        <v>1834</v>
      </c>
      <c r="C5" s="200">
        <v>173</v>
      </c>
      <c r="D5" s="201">
        <v>0.39800000000000002</v>
      </c>
      <c r="E5" s="201">
        <v>7.7735000000000003</v>
      </c>
      <c r="F5" s="201">
        <v>0.20319999999999999</v>
      </c>
      <c r="G5" s="200">
        <f t="shared" si="0"/>
        <v>7.9767000000000001</v>
      </c>
      <c r="H5" s="200">
        <v>7.7927999999999997</v>
      </c>
      <c r="I5" s="200">
        <f t="shared" si="1"/>
        <v>0.1839000000000004</v>
      </c>
      <c r="J5" s="200">
        <f t="shared" si="2"/>
        <v>1.9299999999999595E-2</v>
      </c>
      <c r="K5" s="270">
        <f t="shared" si="3"/>
        <v>9.4980314960627936</v>
      </c>
      <c r="L5" s="200">
        <v>24</v>
      </c>
      <c r="M5" s="202">
        <v>43181.645833333336</v>
      </c>
      <c r="N5" s="202">
        <v>43181.833333333336</v>
      </c>
      <c r="O5" s="200" t="s">
        <v>2540</v>
      </c>
      <c r="P5" s="207" t="s">
        <v>2544</v>
      </c>
      <c r="AB5" s="110"/>
      <c r="AC5" s="110"/>
      <c r="AD5" s="110"/>
      <c r="AE5" s="110"/>
    </row>
    <row r="6" spans="1:50">
      <c r="A6" s="196" t="s">
        <v>1833</v>
      </c>
      <c r="C6" s="196">
        <v>79</v>
      </c>
      <c r="D6" s="196">
        <v>0.63249999999999995</v>
      </c>
      <c r="E6" s="196">
        <v>19.399899999999999</v>
      </c>
      <c r="F6" s="196">
        <v>0.2059</v>
      </c>
      <c r="G6" s="196">
        <f t="shared" si="0"/>
        <v>19.605799999999999</v>
      </c>
      <c r="H6" s="196">
        <v>19.431000000000001</v>
      </c>
      <c r="I6" s="196">
        <f t="shared" si="1"/>
        <v>0.17479999999999762</v>
      </c>
      <c r="J6" s="200">
        <f t="shared" si="2"/>
        <v>3.1100000000002376E-2</v>
      </c>
      <c r="K6" s="270">
        <f t="shared" si="3"/>
        <v>15.104419621176483</v>
      </c>
      <c r="L6" s="196">
        <v>1</v>
      </c>
      <c r="M6" s="196" t="s">
        <v>2560</v>
      </c>
      <c r="N6" s="196">
        <v>43153.729166666664</v>
      </c>
      <c r="O6" s="196" t="s">
        <v>2534</v>
      </c>
      <c r="P6" s="196" t="s">
        <v>2558</v>
      </c>
      <c r="AB6" s="110"/>
      <c r="AC6" s="110"/>
      <c r="AD6" s="110"/>
      <c r="AE6" s="110"/>
    </row>
    <row r="7" spans="1:50">
      <c r="A7" s="200" t="s">
        <v>1828</v>
      </c>
      <c r="C7" s="200">
        <v>15</v>
      </c>
      <c r="D7" s="200">
        <v>0.48280000000000001</v>
      </c>
      <c r="E7" s="201">
        <v>9.0032999999999994</v>
      </c>
      <c r="F7" s="201">
        <v>0.20119999999999999</v>
      </c>
      <c r="G7" s="200">
        <f t="shared" si="0"/>
        <v>9.2044999999999995</v>
      </c>
      <c r="H7" s="200">
        <v>9.0350999999999999</v>
      </c>
      <c r="I7" s="200">
        <f t="shared" si="1"/>
        <v>0.16939999999999955</v>
      </c>
      <c r="J7" s="200">
        <f t="shared" si="2"/>
        <v>3.1800000000000439E-2</v>
      </c>
      <c r="K7" s="270">
        <f t="shared" si="3"/>
        <v>15.805168986083718</v>
      </c>
      <c r="L7" s="200">
        <v>33</v>
      </c>
      <c r="M7" s="206">
        <v>43185.385416666664</v>
      </c>
      <c r="N7" s="200"/>
      <c r="O7" s="200" t="s">
        <v>2540</v>
      </c>
      <c r="P7" s="200"/>
      <c r="AB7" s="110"/>
      <c r="AC7" s="110"/>
      <c r="AD7" s="110"/>
      <c r="AE7" s="110"/>
    </row>
    <row r="8" spans="1:50">
      <c r="A8" s="196" t="s">
        <v>1810</v>
      </c>
      <c r="C8" s="197">
        <v>19</v>
      </c>
      <c r="D8" s="196">
        <v>0.65710000000000002</v>
      </c>
      <c r="E8" s="201">
        <v>8.1326000000000001</v>
      </c>
      <c r="F8" s="201">
        <v>0.20399999999999999</v>
      </c>
      <c r="G8" s="200">
        <f t="shared" si="0"/>
        <v>8.3366000000000007</v>
      </c>
      <c r="H8" s="200">
        <v>8.1702999999999992</v>
      </c>
      <c r="I8" s="200">
        <f t="shared" si="1"/>
        <v>0.16630000000000145</v>
      </c>
      <c r="J8" s="200">
        <f t="shared" si="2"/>
        <v>3.769999999999854E-2</v>
      </c>
      <c r="K8" s="270">
        <f t="shared" si="3"/>
        <v>18.480392156862031</v>
      </c>
      <c r="L8" s="200">
        <v>5</v>
      </c>
      <c r="M8" s="203">
        <v>43221</v>
      </c>
      <c r="N8" s="203">
        <v>43221</v>
      </c>
      <c r="AB8" s="110"/>
      <c r="AC8" s="110"/>
      <c r="AD8" s="110"/>
      <c r="AE8" s="110"/>
    </row>
    <row r="9" spans="1:50">
      <c r="A9" s="196" t="s">
        <v>1809</v>
      </c>
      <c r="C9" s="197">
        <v>13</v>
      </c>
      <c r="D9" s="196">
        <v>0.33510000000000001</v>
      </c>
      <c r="E9" s="201">
        <v>7.9612999999999996</v>
      </c>
      <c r="F9" s="201">
        <v>0.2031</v>
      </c>
      <c r="G9" s="200">
        <f t="shared" si="0"/>
        <v>8.1643999999999988</v>
      </c>
      <c r="H9" s="200">
        <v>7.9976000000000003</v>
      </c>
      <c r="I9" s="200">
        <f t="shared" si="1"/>
        <v>0.16679999999999851</v>
      </c>
      <c r="J9" s="200">
        <f t="shared" si="2"/>
        <v>3.6300000000001498E-2</v>
      </c>
      <c r="K9" s="270">
        <f t="shared" si="3"/>
        <v>17.872968980798372</v>
      </c>
      <c r="L9" s="200">
        <v>36</v>
      </c>
      <c r="M9" s="203">
        <v>43221</v>
      </c>
      <c r="N9" s="203">
        <v>43221</v>
      </c>
      <c r="AB9" s="110"/>
      <c r="AC9" s="110"/>
      <c r="AD9" s="110"/>
      <c r="AE9" s="110"/>
    </row>
    <row r="10" spans="1:50">
      <c r="A10" s="196" t="s">
        <v>1801</v>
      </c>
      <c r="C10" s="196">
        <v>79</v>
      </c>
      <c r="D10" s="196">
        <v>0.74250000000000005</v>
      </c>
      <c r="E10" s="196">
        <v>20.931899999999999</v>
      </c>
      <c r="F10" s="196">
        <v>0.19889999999999999</v>
      </c>
      <c r="G10" s="196">
        <f t="shared" si="0"/>
        <v>21.130799999999997</v>
      </c>
      <c r="H10" s="196">
        <v>20.969100000000001</v>
      </c>
      <c r="I10" s="196">
        <f t="shared" si="1"/>
        <v>0.16169999999999618</v>
      </c>
      <c r="J10" s="200">
        <f t="shared" si="2"/>
        <v>3.7200000000003813E-2</v>
      </c>
      <c r="K10" s="270">
        <f t="shared" si="3"/>
        <v>18.702865761691211</v>
      </c>
      <c r="L10" s="196">
        <v>23</v>
      </c>
      <c r="M10" s="196" t="s">
        <v>2564</v>
      </c>
      <c r="N10" s="196" t="s">
        <v>2563</v>
      </c>
      <c r="O10" s="196" t="s">
        <v>2540</v>
      </c>
      <c r="AB10" s="110"/>
      <c r="AC10" s="110"/>
      <c r="AD10" s="110"/>
      <c r="AE10" s="110"/>
    </row>
    <row r="11" spans="1:50">
      <c r="A11" s="196" t="s">
        <v>1799</v>
      </c>
      <c r="C11" s="197">
        <v>218</v>
      </c>
      <c r="D11" s="196">
        <v>0.56159999999999999</v>
      </c>
      <c r="E11" s="201">
        <v>11.032400000000001</v>
      </c>
      <c r="F11" s="201">
        <v>0.20150000000000001</v>
      </c>
      <c r="G11" s="200">
        <f t="shared" si="0"/>
        <v>11.2339</v>
      </c>
      <c r="H11" s="200">
        <v>11.058299999999999</v>
      </c>
      <c r="I11" s="200">
        <f t="shared" si="1"/>
        <v>0.17560000000000109</v>
      </c>
      <c r="J11" s="200">
        <f t="shared" si="2"/>
        <v>2.5899999999998924E-2</v>
      </c>
      <c r="K11" s="270">
        <f t="shared" si="3"/>
        <v>12.853598014887801</v>
      </c>
      <c r="L11" s="200">
        <v>5</v>
      </c>
      <c r="AB11" s="110"/>
      <c r="AC11" s="110"/>
      <c r="AD11" s="110"/>
      <c r="AE11" s="110"/>
    </row>
    <row r="12" spans="1:50">
      <c r="A12" s="205" t="s">
        <v>1781</v>
      </c>
      <c r="C12" s="200">
        <v>68</v>
      </c>
      <c r="D12" s="200">
        <v>0.74239999999999995</v>
      </c>
      <c r="E12" s="201">
        <v>11.4541</v>
      </c>
      <c r="F12" s="201">
        <v>0.20430000000000001</v>
      </c>
      <c r="G12" s="200">
        <f t="shared" si="0"/>
        <v>11.6584</v>
      </c>
      <c r="H12" s="200">
        <v>11.493</v>
      </c>
      <c r="I12" s="200">
        <f t="shared" si="1"/>
        <v>0.16539999999999999</v>
      </c>
      <c r="J12" s="200">
        <f t="shared" si="2"/>
        <v>3.8900000000000018E-2</v>
      </c>
      <c r="K12" s="270">
        <f t="shared" si="3"/>
        <v>19.040626529613323</v>
      </c>
      <c r="L12" s="200">
        <v>19</v>
      </c>
      <c r="M12" s="204">
        <v>43199</v>
      </c>
      <c r="N12" s="204">
        <v>43199</v>
      </c>
      <c r="O12" s="200"/>
      <c r="P12" s="200"/>
      <c r="AB12" s="110"/>
      <c r="AC12" s="110"/>
      <c r="AD12" s="110"/>
      <c r="AE12" s="110"/>
    </row>
    <row r="13" spans="1:50">
      <c r="A13" s="200" t="s">
        <v>1769</v>
      </c>
      <c r="C13" s="200">
        <v>172</v>
      </c>
      <c r="D13" s="200">
        <f>0.2997+F13</f>
        <v>0.50160000000000005</v>
      </c>
      <c r="E13" s="201">
        <v>10.1441</v>
      </c>
      <c r="F13" s="201">
        <v>0.2019</v>
      </c>
      <c r="G13" s="200">
        <f t="shared" si="0"/>
        <v>10.346</v>
      </c>
      <c r="H13" s="200">
        <v>10.1615</v>
      </c>
      <c r="I13" s="200">
        <f t="shared" si="1"/>
        <v>0.18449999999999989</v>
      </c>
      <c r="J13" s="200">
        <f t="shared" si="2"/>
        <v>1.740000000000011E-2</v>
      </c>
      <c r="K13" s="270">
        <f t="shared" si="3"/>
        <v>8.6181277860327441</v>
      </c>
      <c r="L13" s="200">
        <v>21</v>
      </c>
      <c r="M13" s="204">
        <v>43174</v>
      </c>
      <c r="N13" s="204">
        <v>43174</v>
      </c>
      <c r="O13" s="200" t="s">
        <v>2540</v>
      </c>
      <c r="P13" s="200" t="s">
        <v>2535</v>
      </c>
      <c r="AB13" s="110"/>
      <c r="AC13" s="110"/>
      <c r="AD13" s="110"/>
      <c r="AE13" s="110"/>
    </row>
    <row r="14" spans="1:50">
      <c r="A14" s="196" t="s">
        <v>1768</v>
      </c>
      <c r="C14" s="196">
        <v>66</v>
      </c>
      <c r="D14" s="196">
        <v>0.92320000000000002</v>
      </c>
      <c r="E14" s="201">
        <v>9.8215000000000003</v>
      </c>
      <c r="F14" s="201">
        <v>0.2084</v>
      </c>
      <c r="G14" s="200">
        <f t="shared" si="0"/>
        <v>10.0299</v>
      </c>
      <c r="H14" s="200">
        <v>9.8864999999999998</v>
      </c>
      <c r="I14" s="200">
        <f t="shared" si="1"/>
        <v>0.14339999999999975</v>
      </c>
      <c r="J14" s="200">
        <f t="shared" si="2"/>
        <v>6.5000000000000252E-2</v>
      </c>
      <c r="K14" s="270">
        <f t="shared" si="3"/>
        <v>31.190019193858088</v>
      </c>
      <c r="L14" s="200">
        <v>14</v>
      </c>
      <c r="AB14" s="110"/>
      <c r="AC14" s="110"/>
      <c r="AD14" s="110"/>
      <c r="AE14" s="110"/>
    </row>
    <row r="15" spans="1:50">
      <c r="A15" s="196" t="s">
        <v>1767</v>
      </c>
      <c r="C15" s="196">
        <v>44</v>
      </c>
      <c r="D15" s="196">
        <v>0.60719999999999996</v>
      </c>
      <c r="E15" s="196">
        <v>8.0626999999999995</v>
      </c>
      <c r="F15" s="196">
        <v>0.20580000000000001</v>
      </c>
      <c r="G15" s="196">
        <f t="shared" si="0"/>
        <v>8.2684999999999995</v>
      </c>
      <c r="H15" s="196">
        <v>8.0844000000000005</v>
      </c>
      <c r="I15" s="196">
        <f t="shared" si="1"/>
        <v>0.18409999999999904</v>
      </c>
      <c r="J15" s="200">
        <f t="shared" si="2"/>
        <v>2.1700000000000969E-2</v>
      </c>
      <c r="K15" s="270">
        <f t="shared" si="3"/>
        <v>10.544217687075299</v>
      </c>
      <c r="L15" s="196">
        <v>30</v>
      </c>
      <c r="M15" s="196" t="s">
        <v>2570</v>
      </c>
      <c r="N15" s="196" t="s">
        <v>2569</v>
      </c>
      <c r="O15" s="196" t="s">
        <v>2534</v>
      </c>
      <c r="AB15" s="110"/>
      <c r="AC15" s="110"/>
      <c r="AD15" s="110"/>
      <c r="AE15" s="110"/>
    </row>
    <row r="16" spans="1:50">
      <c r="A16" s="196" t="s">
        <v>1764</v>
      </c>
      <c r="C16" s="197">
        <v>10</v>
      </c>
      <c r="D16" s="196">
        <v>0.59770000000000001</v>
      </c>
      <c r="E16" s="200">
        <v>8.8447999999999993</v>
      </c>
      <c r="F16" s="201">
        <v>0.2011</v>
      </c>
      <c r="G16" s="200">
        <f t="shared" si="0"/>
        <v>9.0458999999999996</v>
      </c>
      <c r="H16" s="200">
        <v>8.8735999999999997</v>
      </c>
      <c r="I16" s="200">
        <f t="shared" si="1"/>
        <v>0.1722999999999999</v>
      </c>
      <c r="J16" s="200">
        <f t="shared" si="2"/>
        <v>2.8800000000000103E-2</v>
      </c>
      <c r="K16" s="270">
        <f t="shared" si="3"/>
        <v>14.321233217304874</v>
      </c>
      <c r="L16" s="200">
        <v>1</v>
      </c>
      <c r="M16" s="203">
        <v>43213</v>
      </c>
      <c r="N16" s="203">
        <v>43213</v>
      </c>
      <c r="AB16" s="110"/>
      <c r="AC16" s="110"/>
      <c r="AD16" s="110"/>
      <c r="AE16" s="110"/>
    </row>
    <row r="17" spans="1:31">
      <c r="A17" s="196" t="s">
        <v>1763</v>
      </c>
      <c r="C17" s="197">
        <v>166</v>
      </c>
      <c r="D17" s="196">
        <v>0.53959999999999997</v>
      </c>
      <c r="E17" s="200">
        <v>8.0640000000000001</v>
      </c>
      <c r="F17" s="201">
        <v>0.20080000000000001</v>
      </c>
      <c r="G17" s="200">
        <f t="shared" si="0"/>
        <v>8.2647999999999993</v>
      </c>
      <c r="H17" s="200">
        <v>8.0802999999999994</v>
      </c>
      <c r="I17" s="200">
        <f t="shared" si="1"/>
        <v>0.18449999999999989</v>
      </c>
      <c r="J17" s="200">
        <f t="shared" si="2"/>
        <v>1.630000000000012E-2</v>
      </c>
      <c r="K17" s="270">
        <f t="shared" si="3"/>
        <v>8.1175298804781466</v>
      </c>
      <c r="L17" s="200">
        <v>7</v>
      </c>
      <c r="M17" s="203">
        <v>43212</v>
      </c>
      <c r="AB17" s="110"/>
      <c r="AC17" s="110"/>
      <c r="AD17" s="110"/>
      <c r="AE17" s="110"/>
    </row>
    <row r="18" spans="1:31">
      <c r="A18" s="205" t="s">
        <v>1759</v>
      </c>
      <c r="C18" s="200">
        <v>84</v>
      </c>
      <c r="D18" s="200">
        <v>0.67900000000000005</v>
      </c>
      <c r="E18" s="201">
        <v>7.5281000000000002</v>
      </c>
      <c r="F18" s="201">
        <v>0.20130000000000001</v>
      </c>
      <c r="G18" s="200">
        <f t="shared" si="0"/>
        <v>7.7294</v>
      </c>
      <c r="H18" s="200">
        <v>7.5521000000000003</v>
      </c>
      <c r="I18" s="200">
        <f t="shared" si="1"/>
        <v>0.17729999999999979</v>
      </c>
      <c r="J18" s="200">
        <f t="shared" si="2"/>
        <v>2.4000000000000216E-2</v>
      </c>
      <c r="K18" s="270">
        <f t="shared" si="3"/>
        <v>11.922503725782521</v>
      </c>
      <c r="L18" s="200">
        <v>6</v>
      </c>
      <c r="M18" s="206">
        <v>43186.458333333336</v>
      </c>
      <c r="N18" s="206">
        <v>43186.625</v>
      </c>
      <c r="O18" s="196" t="s">
        <v>2534</v>
      </c>
      <c r="P18" s="200"/>
      <c r="AB18" s="110"/>
      <c r="AC18" s="110"/>
      <c r="AD18" s="110"/>
      <c r="AE18" s="110"/>
    </row>
    <row r="19" spans="1:31">
      <c r="A19" s="205" t="s">
        <v>1753</v>
      </c>
      <c r="C19" s="200">
        <v>192</v>
      </c>
      <c r="D19" s="200">
        <v>0.42030000000000001</v>
      </c>
      <c r="E19" s="201">
        <v>9.5191999999999997</v>
      </c>
      <c r="F19" s="201">
        <v>0.20019999999999999</v>
      </c>
      <c r="G19" s="200">
        <f t="shared" si="0"/>
        <v>9.7194000000000003</v>
      </c>
      <c r="H19" s="200">
        <v>9.5379000000000005</v>
      </c>
      <c r="I19" s="200">
        <f t="shared" si="1"/>
        <v>0.18149999999999977</v>
      </c>
      <c r="J19" s="200">
        <f t="shared" si="2"/>
        <v>1.8700000000000216E-2</v>
      </c>
      <c r="K19" s="270">
        <f t="shared" si="3"/>
        <v>9.3406593406594496</v>
      </c>
      <c r="L19" s="200">
        <v>16</v>
      </c>
      <c r="M19" s="206">
        <v>43185.385416666664</v>
      </c>
      <c r="N19" s="200"/>
      <c r="O19" s="200" t="s">
        <v>2540</v>
      </c>
      <c r="P19" s="200"/>
      <c r="AB19" s="110"/>
      <c r="AC19" s="110"/>
      <c r="AD19" s="110"/>
      <c r="AE19" s="110"/>
    </row>
    <row r="20" spans="1:31">
      <c r="A20" s="200" t="s">
        <v>1752</v>
      </c>
      <c r="C20" s="200">
        <v>83</v>
      </c>
      <c r="D20" s="201">
        <v>0.66410000000000002</v>
      </c>
      <c r="E20" s="200">
        <v>9.4853000000000005</v>
      </c>
      <c r="F20" s="201">
        <v>0.2054</v>
      </c>
      <c r="G20" s="200">
        <f t="shared" si="0"/>
        <v>9.6906999999999996</v>
      </c>
      <c r="H20" s="200">
        <v>9.5158000000000005</v>
      </c>
      <c r="I20" s="200">
        <f t="shared" si="1"/>
        <v>0.17489999999999917</v>
      </c>
      <c r="J20" s="200">
        <f t="shared" si="2"/>
        <v>3.0500000000000832E-2</v>
      </c>
      <c r="K20" s="270">
        <f t="shared" si="3"/>
        <v>14.849074975657658</v>
      </c>
      <c r="L20" s="200">
        <v>3</v>
      </c>
      <c r="M20" s="204">
        <v>43206</v>
      </c>
      <c r="N20" s="204">
        <v>43206</v>
      </c>
      <c r="O20" s="200"/>
      <c r="P20" s="200"/>
      <c r="AB20" s="110"/>
      <c r="AC20" s="110"/>
      <c r="AD20" s="110"/>
      <c r="AE20" s="110"/>
    </row>
    <row r="21" spans="1:31">
      <c r="A21" s="205" t="s">
        <v>1751</v>
      </c>
      <c r="C21" s="200">
        <v>48</v>
      </c>
      <c r="D21" s="200">
        <v>0.66920000000000002</v>
      </c>
      <c r="E21" s="200">
        <v>7.5284000000000004</v>
      </c>
      <c r="F21" s="201">
        <v>0.2036</v>
      </c>
      <c r="G21" s="200">
        <f t="shared" si="0"/>
        <v>7.7320000000000002</v>
      </c>
      <c r="H21" s="200">
        <v>7.5435999999999996</v>
      </c>
      <c r="I21" s="200">
        <f t="shared" si="1"/>
        <v>0.18840000000000057</v>
      </c>
      <c r="J21" s="200">
        <f t="shared" si="2"/>
        <v>1.5199999999999436E-2</v>
      </c>
      <c r="K21" s="270">
        <f t="shared" si="3"/>
        <v>7.4656188605105287</v>
      </c>
      <c r="L21" s="200">
        <v>13</v>
      </c>
      <c r="M21" s="204">
        <v>43211</v>
      </c>
      <c r="R21" s="196">
        <v>1</v>
      </c>
      <c r="S21" s="196">
        <v>0.65400000000000003</v>
      </c>
      <c r="T21" s="196">
        <f>AVERAGE(S21:S30)</f>
        <v>0.65125</v>
      </c>
      <c r="U21" s="201" t="s">
        <v>1593</v>
      </c>
      <c r="V21" s="196">
        <v>0.91849999999999998</v>
      </c>
      <c r="W21" s="196">
        <f>(V21-$T$175+F19)</f>
        <v>1.1187</v>
      </c>
      <c r="AB21" s="110"/>
      <c r="AC21" s="110"/>
      <c r="AD21" s="110"/>
      <c r="AE21" s="110"/>
    </row>
    <row r="22" spans="1:31">
      <c r="A22" s="200" t="s">
        <v>1742</v>
      </c>
      <c r="C22" s="200">
        <v>85</v>
      </c>
      <c r="D22" s="200">
        <v>0.98040000000000005</v>
      </c>
      <c r="E22" s="201">
        <v>8.1328999999999994</v>
      </c>
      <c r="F22" s="201">
        <v>0.20200000000000001</v>
      </c>
      <c r="G22" s="200">
        <f t="shared" si="0"/>
        <v>8.3348999999999993</v>
      </c>
      <c r="H22" s="200">
        <v>8.2133000000000003</v>
      </c>
      <c r="I22" s="200">
        <f t="shared" si="1"/>
        <v>0.12159999999999904</v>
      </c>
      <c r="J22" s="200">
        <f t="shared" si="2"/>
        <v>8.0400000000000971E-2</v>
      </c>
      <c r="K22" s="270">
        <f t="shared" si="3"/>
        <v>39.801980198020281</v>
      </c>
      <c r="L22" s="200">
        <v>43</v>
      </c>
      <c r="M22" s="206">
        <v>43186.458333333336</v>
      </c>
      <c r="N22" s="206">
        <v>43186.625</v>
      </c>
      <c r="O22" s="196" t="s">
        <v>2534</v>
      </c>
      <c r="P22" s="200"/>
      <c r="AB22" s="110"/>
      <c r="AC22" s="110"/>
      <c r="AD22" s="110"/>
      <c r="AE22" s="110"/>
    </row>
    <row r="23" spans="1:31">
      <c r="A23" s="196" t="s">
        <v>1716</v>
      </c>
      <c r="C23" s="197">
        <v>166</v>
      </c>
      <c r="D23" s="196">
        <v>0.60729999999999995</v>
      </c>
      <c r="E23" s="196">
        <v>8.0645000000000007</v>
      </c>
      <c r="F23" s="201">
        <v>0.20250000000000001</v>
      </c>
      <c r="G23" s="200">
        <f t="shared" si="0"/>
        <v>8.2670000000000012</v>
      </c>
      <c r="H23" s="200">
        <v>8.0913000000000004</v>
      </c>
      <c r="I23" s="200">
        <f t="shared" si="1"/>
        <v>0.17570000000000086</v>
      </c>
      <c r="J23" s="200">
        <f t="shared" si="2"/>
        <v>2.6799999999999158E-2</v>
      </c>
      <c r="K23" s="270">
        <f t="shared" si="3"/>
        <v>13.234567901234151</v>
      </c>
      <c r="L23" s="200">
        <v>3</v>
      </c>
      <c r="AB23" s="110"/>
      <c r="AC23" s="110"/>
      <c r="AD23" s="110"/>
      <c r="AE23" s="110"/>
    </row>
    <row r="24" spans="1:31">
      <c r="A24" s="196" t="s">
        <v>1713</v>
      </c>
      <c r="C24" s="197">
        <v>184</v>
      </c>
      <c r="D24" s="196">
        <v>0.46029999999999999</v>
      </c>
      <c r="E24" s="196">
        <v>8.1677999999999997</v>
      </c>
      <c r="F24" s="201">
        <v>0.2014</v>
      </c>
      <c r="G24" s="200">
        <f t="shared" si="0"/>
        <v>8.3691999999999993</v>
      </c>
      <c r="H24" s="200">
        <v>8.1896000000000004</v>
      </c>
      <c r="I24" s="200">
        <f t="shared" si="1"/>
        <v>0.17959999999999887</v>
      </c>
      <c r="J24" s="200">
        <f t="shared" si="2"/>
        <v>2.1800000000001124E-2</v>
      </c>
      <c r="K24" s="270">
        <f t="shared" si="3"/>
        <v>10.824230387289536</v>
      </c>
      <c r="L24" s="200">
        <v>20</v>
      </c>
      <c r="AB24" s="110"/>
      <c r="AC24" s="110"/>
      <c r="AD24" s="110"/>
      <c r="AE24" s="110"/>
    </row>
    <row r="25" spans="1:31">
      <c r="A25" s="196" t="s">
        <v>1705</v>
      </c>
      <c r="C25" s="197">
        <v>29</v>
      </c>
      <c r="D25" s="196">
        <v>0.45800000000000002</v>
      </c>
      <c r="E25" s="200">
        <v>11.154400000000001</v>
      </c>
      <c r="F25" s="201">
        <v>0.20430000000000001</v>
      </c>
      <c r="G25" s="200">
        <f t="shared" si="0"/>
        <v>11.358700000000001</v>
      </c>
      <c r="H25" s="200">
        <v>11.173999999999999</v>
      </c>
      <c r="I25" s="200">
        <f t="shared" si="1"/>
        <v>0.1847000000000012</v>
      </c>
      <c r="J25" s="200">
        <f t="shared" si="2"/>
        <v>1.9599999999998813E-2</v>
      </c>
      <c r="K25" s="270">
        <f t="shared" si="3"/>
        <v>9.5937347038662821</v>
      </c>
      <c r="L25" s="200">
        <v>8</v>
      </c>
      <c r="M25" s="203">
        <v>43212</v>
      </c>
      <c r="AB25" s="110"/>
      <c r="AC25" s="110"/>
      <c r="AD25" s="110"/>
      <c r="AE25" s="110"/>
    </row>
    <row r="26" spans="1:31">
      <c r="A26" s="196" t="s">
        <v>1704</v>
      </c>
      <c r="C26" s="200">
        <v>49</v>
      </c>
      <c r="D26" s="196">
        <v>0.75149999999999995</v>
      </c>
      <c r="E26" s="200">
        <v>10.634499999999999</v>
      </c>
      <c r="F26" s="201">
        <v>0.20230000000000001</v>
      </c>
      <c r="G26" s="200">
        <f t="shared" si="0"/>
        <v>10.836799999999998</v>
      </c>
      <c r="H26" s="200">
        <v>10.6754</v>
      </c>
      <c r="I26" s="200">
        <f t="shared" si="1"/>
        <v>0.16139999999999866</v>
      </c>
      <c r="J26" s="200">
        <f t="shared" si="2"/>
        <v>4.0900000000001352E-2</v>
      </c>
      <c r="K26" s="270">
        <f t="shared" si="3"/>
        <v>20.217498764212234</v>
      </c>
      <c r="L26" s="200">
        <v>34</v>
      </c>
      <c r="M26" s="204">
        <v>43211</v>
      </c>
      <c r="R26" s="196">
        <v>3</v>
      </c>
      <c r="S26" s="196">
        <v>0.64849999999999997</v>
      </c>
      <c r="U26" s="201" t="s">
        <v>1278</v>
      </c>
      <c r="V26" s="196">
        <v>0.83420000000000005</v>
      </c>
      <c r="W26" s="196">
        <f>(V26-$T$175+F24)</f>
        <v>1.0356000000000001</v>
      </c>
      <c r="AB26" s="110"/>
      <c r="AC26" s="110"/>
      <c r="AD26" s="110"/>
      <c r="AE26" s="110"/>
    </row>
    <row r="27" spans="1:31">
      <c r="A27" s="196" t="s">
        <v>1699</v>
      </c>
      <c r="C27" s="200">
        <v>161</v>
      </c>
      <c r="D27" s="196">
        <v>0.3921</v>
      </c>
      <c r="E27" s="196">
        <v>8.8637999999999995</v>
      </c>
      <c r="F27" s="196">
        <v>0.20130000000000001</v>
      </c>
      <c r="G27" s="196">
        <f t="shared" si="0"/>
        <v>9.0650999999999993</v>
      </c>
      <c r="H27" s="196">
        <v>8.8859999999999992</v>
      </c>
      <c r="I27" s="196">
        <f t="shared" si="1"/>
        <v>0.17910000000000004</v>
      </c>
      <c r="J27" s="200">
        <f t="shared" si="2"/>
        <v>2.219999999999997E-2</v>
      </c>
      <c r="K27" s="270">
        <f t="shared" si="3"/>
        <v>11.028315946348718</v>
      </c>
      <c r="L27" s="196">
        <v>3</v>
      </c>
      <c r="M27" s="206">
        <v>43160.520833333336</v>
      </c>
      <c r="N27" s="206">
        <v>43160.6875</v>
      </c>
      <c r="O27" s="196" t="s">
        <v>2534</v>
      </c>
      <c r="AB27" s="110"/>
      <c r="AC27" s="110"/>
      <c r="AD27" s="110"/>
      <c r="AE27" s="110"/>
    </row>
    <row r="28" spans="1:31">
      <c r="A28" s="196" t="s">
        <v>1698</v>
      </c>
      <c r="C28" s="200">
        <v>161</v>
      </c>
      <c r="D28" s="196">
        <v>0.39190000000000003</v>
      </c>
      <c r="E28" s="196">
        <v>8.1366999999999994</v>
      </c>
      <c r="F28" s="196">
        <v>0.20119999999999999</v>
      </c>
      <c r="G28" s="196">
        <f t="shared" si="0"/>
        <v>8.3378999999999994</v>
      </c>
      <c r="H28" s="196">
        <v>8.1506000000000007</v>
      </c>
      <c r="I28" s="196">
        <f t="shared" si="1"/>
        <v>0.18729999999999869</v>
      </c>
      <c r="J28" s="200">
        <f t="shared" si="2"/>
        <v>1.39000000000013E-2</v>
      </c>
      <c r="K28" s="270">
        <f t="shared" si="3"/>
        <v>6.9085487077541252</v>
      </c>
      <c r="L28" s="196">
        <v>4</v>
      </c>
      <c r="M28" s="206">
        <v>43160.520833333336</v>
      </c>
      <c r="N28" s="206">
        <v>43160.6875</v>
      </c>
      <c r="O28" s="196" t="s">
        <v>2534</v>
      </c>
      <c r="AB28" s="110"/>
      <c r="AC28" s="110"/>
      <c r="AD28" s="110"/>
      <c r="AE28" s="110"/>
    </row>
    <row r="29" spans="1:31">
      <c r="A29" s="196" t="s">
        <v>1695</v>
      </c>
      <c r="C29" s="196">
        <v>90</v>
      </c>
      <c r="D29" s="196">
        <v>0.54079999999999995</v>
      </c>
      <c r="E29" s="196">
        <v>20.934799999999999</v>
      </c>
      <c r="F29" s="196">
        <v>0.1933</v>
      </c>
      <c r="G29" s="196">
        <f t="shared" si="0"/>
        <v>21.1281</v>
      </c>
      <c r="H29" s="196">
        <v>20.947700000000001</v>
      </c>
      <c r="I29" s="196">
        <f t="shared" si="1"/>
        <v>0.18039999999999878</v>
      </c>
      <c r="J29" s="200">
        <f t="shared" si="2"/>
        <v>1.2900000000001216E-2</v>
      </c>
      <c r="K29" s="270">
        <f t="shared" si="3"/>
        <v>6.6735644076571221</v>
      </c>
      <c r="L29" s="196">
        <v>19</v>
      </c>
      <c r="M29" s="196" t="s">
        <v>2564</v>
      </c>
      <c r="N29" s="196" t="s">
        <v>2563</v>
      </c>
      <c r="O29" s="196" t="s">
        <v>2540</v>
      </c>
      <c r="AB29" s="110"/>
      <c r="AC29" s="110"/>
      <c r="AD29" s="110"/>
      <c r="AE29" s="110"/>
    </row>
    <row r="30" spans="1:31">
      <c r="A30" s="205" t="s">
        <v>1692</v>
      </c>
      <c r="C30" s="200">
        <v>70</v>
      </c>
      <c r="D30" s="200">
        <v>0.621</v>
      </c>
      <c r="E30" s="201">
        <v>8.7317999999999998</v>
      </c>
      <c r="F30" s="201">
        <v>0.20780000000000001</v>
      </c>
      <c r="G30" s="200">
        <f t="shared" si="0"/>
        <v>8.9396000000000004</v>
      </c>
      <c r="H30" s="200">
        <v>8.76</v>
      </c>
      <c r="I30" s="200">
        <f t="shared" si="1"/>
        <v>0.17960000000000065</v>
      </c>
      <c r="J30" s="200">
        <f t="shared" si="2"/>
        <v>2.8199999999999364E-2</v>
      </c>
      <c r="K30" s="270">
        <f t="shared" si="3"/>
        <v>13.570741097208547</v>
      </c>
      <c r="L30" s="200">
        <v>12</v>
      </c>
      <c r="M30" s="202">
        <v>43181.645833333336</v>
      </c>
      <c r="N30" s="202">
        <v>43181.833333333336</v>
      </c>
      <c r="O30" s="200" t="s">
        <v>2540</v>
      </c>
      <c r="P30" s="200" t="s">
        <v>2556</v>
      </c>
      <c r="AB30" s="110"/>
      <c r="AC30" s="110"/>
      <c r="AD30" s="110"/>
      <c r="AE30" s="110"/>
    </row>
    <row r="31" spans="1:31">
      <c r="A31" s="200" t="s">
        <v>1691</v>
      </c>
      <c r="C31" s="200">
        <v>37</v>
      </c>
      <c r="D31" s="200">
        <v>0.66649999999999998</v>
      </c>
      <c r="E31" s="200">
        <v>11.0029</v>
      </c>
      <c r="F31" s="200">
        <v>0.2034</v>
      </c>
      <c r="G31" s="200">
        <f t="shared" si="0"/>
        <v>11.206300000000001</v>
      </c>
      <c r="H31" s="200">
        <v>11.0541</v>
      </c>
      <c r="I31" s="200">
        <f t="shared" si="1"/>
        <v>0.15220000000000056</v>
      </c>
      <c r="J31" s="200">
        <f t="shared" si="2"/>
        <v>5.119999999999944E-2</v>
      </c>
      <c r="K31" s="270">
        <f t="shared" si="3"/>
        <v>25.172074729596577</v>
      </c>
      <c r="L31" s="200">
        <v>24</v>
      </c>
      <c r="M31" s="204">
        <v>43188</v>
      </c>
      <c r="N31" s="204">
        <v>43188</v>
      </c>
      <c r="O31" s="200"/>
      <c r="P31" s="200"/>
      <c r="AB31" s="110"/>
      <c r="AC31" s="110"/>
      <c r="AD31" s="110"/>
      <c r="AE31" s="110"/>
    </row>
    <row r="32" spans="1:31">
      <c r="A32" s="196" t="s">
        <v>1690</v>
      </c>
      <c r="C32" s="200">
        <v>180</v>
      </c>
      <c r="D32" s="196">
        <v>0.43020000000000003</v>
      </c>
      <c r="E32" s="200">
        <v>11.4535</v>
      </c>
      <c r="F32" s="201">
        <v>0.20649999999999999</v>
      </c>
      <c r="G32" s="200">
        <f t="shared" si="0"/>
        <v>11.66</v>
      </c>
      <c r="H32" s="200">
        <v>11.4724</v>
      </c>
      <c r="I32" s="200">
        <f t="shared" si="1"/>
        <v>0.18759999999999977</v>
      </c>
      <c r="J32" s="200">
        <f t="shared" si="2"/>
        <v>1.8900000000000222E-2</v>
      </c>
      <c r="K32" s="270">
        <f t="shared" si="3"/>
        <v>9.1525423728814648</v>
      </c>
      <c r="L32" s="200">
        <v>38</v>
      </c>
      <c r="M32" s="204">
        <v>43211</v>
      </c>
      <c r="AB32" s="110"/>
      <c r="AC32" s="110"/>
      <c r="AD32" s="110"/>
      <c r="AE32" s="110"/>
    </row>
    <row r="33" spans="1:31">
      <c r="A33" s="200" t="s">
        <v>1688</v>
      </c>
      <c r="C33" s="200">
        <v>177</v>
      </c>
      <c r="D33" s="200">
        <v>0.42699999999999999</v>
      </c>
      <c r="E33" s="200">
        <v>9.0031999999999996</v>
      </c>
      <c r="F33" s="201">
        <v>0.20569999999999999</v>
      </c>
      <c r="G33" s="200">
        <f t="shared" si="0"/>
        <v>9.2088999999999999</v>
      </c>
      <c r="H33" s="200">
        <v>9.0220000000000002</v>
      </c>
      <c r="I33" s="200">
        <f t="shared" si="1"/>
        <v>0.18689999999999962</v>
      </c>
      <c r="J33" s="200">
        <f t="shared" si="2"/>
        <v>1.8800000000000372E-2</v>
      </c>
      <c r="K33" s="270">
        <f t="shared" si="3"/>
        <v>9.1395235780264326</v>
      </c>
      <c r="L33" s="200">
        <v>39</v>
      </c>
      <c r="M33" s="204">
        <v>43187</v>
      </c>
      <c r="N33" s="204">
        <v>43187</v>
      </c>
      <c r="O33" s="200"/>
      <c r="P33" s="200"/>
      <c r="AB33" s="110"/>
      <c r="AC33" s="110"/>
      <c r="AD33" s="110"/>
      <c r="AE33" s="110"/>
    </row>
    <row r="34" spans="1:31">
      <c r="A34" s="196" t="s">
        <v>1685</v>
      </c>
      <c r="C34" s="196">
        <v>187</v>
      </c>
      <c r="D34" s="196">
        <v>0.46639999999999998</v>
      </c>
      <c r="E34" s="200">
        <v>11.1212</v>
      </c>
      <c r="F34" s="201">
        <v>0.2019</v>
      </c>
      <c r="G34" s="200">
        <f t="shared" ref="G34:G65" si="4">E34+F34</f>
        <v>11.3231</v>
      </c>
      <c r="H34" s="200">
        <v>11.138999999999999</v>
      </c>
      <c r="I34" s="200">
        <f t="shared" ref="I34:I65" si="5">(G34-H34)</f>
        <v>0.18410000000000082</v>
      </c>
      <c r="J34" s="200">
        <f t="shared" ref="J34:J65" si="6">F34-I34</f>
        <v>1.7799999999999178E-2</v>
      </c>
      <c r="K34" s="270">
        <f t="shared" ref="K34:K65" si="7">(J34/F34)*100</f>
        <v>8.8162456661709641</v>
      </c>
      <c r="L34" s="200">
        <v>37</v>
      </c>
      <c r="M34" s="203">
        <v>43212</v>
      </c>
      <c r="AB34" s="110"/>
      <c r="AC34" s="110"/>
      <c r="AD34" s="110"/>
      <c r="AE34" s="110"/>
    </row>
    <row r="35" spans="1:31">
      <c r="A35" s="200" t="s">
        <v>1684</v>
      </c>
      <c r="C35" s="196">
        <v>33</v>
      </c>
      <c r="D35" s="200">
        <v>0.54310000000000003</v>
      </c>
      <c r="E35" s="201">
        <v>9.2353000000000005</v>
      </c>
      <c r="F35" s="201">
        <v>0.20069999999999999</v>
      </c>
      <c r="G35" s="200">
        <f t="shared" si="4"/>
        <v>9.4359999999999999</v>
      </c>
      <c r="H35" s="200">
        <v>9.2540999999999993</v>
      </c>
      <c r="I35" s="200">
        <f t="shared" si="5"/>
        <v>0.18190000000000062</v>
      </c>
      <c r="J35" s="200">
        <f t="shared" si="6"/>
        <v>1.8799999999999373E-2</v>
      </c>
      <c r="K35" s="270">
        <f t="shared" si="7"/>
        <v>9.3672147483803556</v>
      </c>
      <c r="L35" s="200">
        <v>19</v>
      </c>
      <c r="M35" s="206">
        <v>43186.458333333336</v>
      </c>
      <c r="N35" s="206">
        <v>43186.625</v>
      </c>
      <c r="O35" s="196" t="s">
        <v>2534</v>
      </c>
      <c r="P35" s="200"/>
      <c r="AB35" s="110"/>
      <c r="AC35" s="110"/>
      <c r="AD35" s="110"/>
      <c r="AE35" s="110"/>
    </row>
    <row r="36" spans="1:31">
      <c r="A36" s="200" t="s">
        <v>1683</v>
      </c>
      <c r="C36" s="200">
        <v>189</v>
      </c>
      <c r="D36" s="201">
        <v>0.60070000000000001</v>
      </c>
      <c r="E36" s="201">
        <v>11.7463</v>
      </c>
      <c r="F36" s="201">
        <v>0.2014</v>
      </c>
      <c r="G36" s="200">
        <f t="shared" si="4"/>
        <v>11.947699999999999</v>
      </c>
      <c r="H36" s="200">
        <v>11.7652</v>
      </c>
      <c r="I36" s="200">
        <f t="shared" si="5"/>
        <v>0.18249999999999922</v>
      </c>
      <c r="J36" s="200">
        <f t="shared" si="6"/>
        <v>1.8900000000000777E-2</v>
      </c>
      <c r="K36" s="270">
        <f t="shared" si="7"/>
        <v>9.3843098311821134</v>
      </c>
      <c r="L36" s="200">
        <v>16</v>
      </c>
      <c r="M36" s="200"/>
      <c r="N36" s="200"/>
      <c r="O36" s="200"/>
      <c r="P36" s="200"/>
      <c r="AB36" s="110"/>
      <c r="AC36" s="110"/>
      <c r="AD36" s="110"/>
      <c r="AE36" s="110"/>
    </row>
    <row r="37" spans="1:31">
      <c r="A37" s="200" t="s">
        <v>1682</v>
      </c>
      <c r="C37" s="200">
        <v>165</v>
      </c>
      <c r="D37" s="200">
        <v>0.53839999999999999</v>
      </c>
      <c r="E37" s="200">
        <v>8.0638000000000005</v>
      </c>
      <c r="F37" s="200">
        <v>0.20449999999999999</v>
      </c>
      <c r="G37" s="200">
        <f t="shared" si="4"/>
        <v>8.2683</v>
      </c>
      <c r="H37" s="200">
        <v>8.0785999999999998</v>
      </c>
      <c r="I37" s="200">
        <f t="shared" si="5"/>
        <v>0.1897000000000002</v>
      </c>
      <c r="J37" s="200">
        <f t="shared" si="6"/>
        <v>1.4799999999999786E-2</v>
      </c>
      <c r="K37" s="270">
        <f t="shared" si="7"/>
        <v>7.2371638141808248</v>
      </c>
      <c r="L37" s="200">
        <v>20</v>
      </c>
      <c r="M37" s="202">
        <v>43164.628472222219</v>
      </c>
      <c r="N37" s="202">
        <v>43164.795138888891</v>
      </c>
      <c r="O37" s="196" t="s">
        <v>2534</v>
      </c>
      <c r="P37" s="200"/>
      <c r="AB37" s="110"/>
      <c r="AC37" s="110"/>
      <c r="AD37" s="110"/>
      <c r="AE37" s="110"/>
    </row>
    <row r="38" spans="1:31">
      <c r="A38" s="196" t="s">
        <v>1677</v>
      </c>
      <c r="C38" s="197">
        <v>75</v>
      </c>
      <c r="D38" s="196">
        <v>0.71379999999999999</v>
      </c>
      <c r="E38" s="200">
        <v>9.3428000000000004</v>
      </c>
      <c r="F38" s="201">
        <v>0.20100000000000001</v>
      </c>
      <c r="G38" s="200">
        <f t="shared" si="4"/>
        <v>9.5438000000000009</v>
      </c>
      <c r="H38" s="200">
        <v>9.3640000000000008</v>
      </c>
      <c r="I38" s="200">
        <f t="shared" si="5"/>
        <v>0.17980000000000018</v>
      </c>
      <c r="J38" s="200">
        <f t="shared" si="6"/>
        <v>2.119999999999983E-2</v>
      </c>
      <c r="K38" s="270">
        <f t="shared" si="7"/>
        <v>10.547263681591955</v>
      </c>
      <c r="L38" s="200">
        <v>19</v>
      </c>
      <c r="M38" s="203">
        <v>43213</v>
      </c>
      <c r="N38" s="203">
        <v>43213</v>
      </c>
      <c r="AB38" s="110"/>
      <c r="AC38" s="110"/>
      <c r="AD38" s="110"/>
      <c r="AE38" s="110"/>
    </row>
    <row r="39" spans="1:31">
      <c r="A39" s="196" t="s">
        <v>1675</v>
      </c>
      <c r="C39" s="197">
        <v>188</v>
      </c>
      <c r="D39" s="196">
        <v>0.37780000000000002</v>
      </c>
      <c r="E39" s="201">
        <v>7.0929000000000002</v>
      </c>
      <c r="F39" s="201">
        <v>0.20569999999999999</v>
      </c>
      <c r="G39" s="200">
        <f t="shared" si="4"/>
        <v>7.2986000000000004</v>
      </c>
      <c r="H39" s="200">
        <v>7.11</v>
      </c>
      <c r="I39" s="200">
        <f t="shared" si="5"/>
        <v>0.1886000000000001</v>
      </c>
      <c r="J39" s="200">
        <f t="shared" si="6"/>
        <v>1.7099999999999893E-2</v>
      </c>
      <c r="K39" s="270">
        <f t="shared" si="7"/>
        <v>8.3130772970344644</v>
      </c>
      <c r="L39" s="200">
        <v>33</v>
      </c>
      <c r="AB39" s="110"/>
      <c r="AC39" s="110"/>
      <c r="AD39" s="110"/>
      <c r="AE39" s="110"/>
    </row>
    <row r="40" spans="1:31">
      <c r="A40" s="196" t="s">
        <v>1667</v>
      </c>
      <c r="C40" s="197">
        <v>72</v>
      </c>
      <c r="D40" s="196">
        <v>0.65190000000000003</v>
      </c>
      <c r="E40" s="200">
        <v>10.675000000000001</v>
      </c>
      <c r="F40" s="201">
        <v>0.20200000000000001</v>
      </c>
      <c r="G40" s="200">
        <f t="shared" si="4"/>
        <v>10.877000000000001</v>
      </c>
      <c r="H40" s="200">
        <v>10.693099999999999</v>
      </c>
      <c r="I40" s="200">
        <f t="shared" si="5"/>
        <v>0.18390000000000128</v>
      </c>
      <c r="J40" s="200">
        <f t="shared" si="6"/>
        <v>1.8099999999998728E-2</v>
      </c>
      <c r="K40" s="270">
        <f t="shared" si="7"/>
        <v>8.9603960396033298</v>
      </c>
      <c r="L40" s="200">
        <v>2</v>
      </c>
      <c r="M40" s="203">
        <v>43213</v>
      </c>
      <c r="N40" s="203">
        <v>43213</v>
      </c>
      <c r="AB40" s="110"/>
      <c r="AC40" s="110"/>
      <c r="AD40" s="110"/>
      <c r="AE40" s="110"/>
    </row>
    <row r="41" spans="1:31">
      <c r="A41" s="196" t="s">
        <v>1665</v>
      </c>
      <c r="C41" s="197">
        <v>162</v>
      </c>
      <c r="D41" s="196">
        <v>0.44819999999999999</v>
      </c>
      <c r="E41" s="201">
        <v>10.635</v>
      </c>
      <c r="F41" s="201">
        <v>0.2034</v>
      </c>
      <c r="G41" s="200">
        <f t="shared" si="4"/>
        <v>10.8384</v>
      </c>
      <c r="H41" s="200">
        <v>10.6524</v>
      </c>
      <c r="I41" s="200">
        <f t="shared" si="5"/>
        <v>0.18599999999999994</v>
      </c>
      <c r="J41" s="200">
        <f t="shared" si="6"/>
        <v>1.7400000000000054E-2</v>
      </c>
      <c r="K41" s="270">
        <f t="shared" si="7"/>
        <v>8.5545722713864567</v>
      </c>
      <c r="L41" s="200">
        <v>28</v>
      </c>
      <c r="M41" s="203">
        <v>43221</v>
      </c>
      <c r="N41" s="203">
        <v>43221</v>
      </c>
      <c r="AB41" s="110"/>
      <c r="AC41" s="110"/>
      <c r="AD41" s="110"/>
      <c r="AE41" s="110"/>
    </row>
    <row r="42" spans="1:31">
      <c r="A42" s="200" t="s">
        <v>1664</v>
      </c>
      <c r="C42" s="200">
        <v>69</v>
      </c>
      <c r="D42" s="201">
        <v>0.74609999999999999</v>
      </c>
      <c r="E42" s="201">
        <v>8.9581</v>
      </c>
      <c r="F42" s="201">
        <v>0.2014</v>
      </c>
      <c r="G42" s="200">
        <f t="shared" si="4"/>
        <v>9.1594999999999995</v>
      </c>
      <c r="H42" s="200">
        <v>9.0158000000000005</v>
      </c>
      <c r="I42" s="200">
        <f t="shared" si="5"/>
        <v>0.14369999999999905</v>
      </c>
      <c r="J42" s="200">
        <f t="shared" si="6"/>
        <v>5.7700000000000945E-2</v>
      </c>
      <c r="K42" s="270">
        <f t="shared" si="7"/>
        <v>28.64945382323781</v>
      </c>
      <c r="L42" s="200">
        <v>19</v>
      </c>
      <c r="M42" s="202">
        <v>43181.645833333336</v>
      </c>
      <c r="N42" s="202">
        <v>43181.833333333336</v>
      </c>
      <c r="O42" s="200" t="s">
        <v>2540</v>
      </c>
      <c r="P42" s="200" t="s">
        <v>2553</v>
      </c>
      <c r="AB42" s="110"/>
      <c r="AC42" s="110"/>
      <c r="AD42" s="110"/>
      <c r="AE42" s="110"/>
    </row>
    <row r="43" spans="1:31">
      <c r="A43" s="196" t="s">
        <v>1663</v>
      </c>
      <c r="C43" s="200">
        <v>63</v>
      </c>
      <c r="D43" s="201">
        <v>0.8407</v>
      </c>
      <c r="E43" s="201">
        <v>11.106</v>
      </c>
      <c r="F43" s="201">
        <v>0.20569999999999999</v>
      </c>
      <c r="G43" s="200">
        <f t="shared" si="4"/>
        <v>11.3117</v>
      </c>
      <c r="H43" s="200">
        <v>11.148199999999999</v>
      </c>
      <c r="I43" s="200">
        <f t="shared" si="5"/>
        <v>0.16350000000000087</v>
      </c>
      <c r="J43" s="200">
        <f t="shared" si="6"/>
        <v>4.2199999999999127E-2</v>
      </c>
      <c r="K43" s="270">
        <f t="shared" si="7"/>
        <v>20.515313563441481</v>
      </c>
      <c r="L43" s="200">
        <v>8</v>
      </c>
      <c r="M43" s="200"/>
      <c r="N43" s="200"/>
      <c r="O43" s="200"/>
      <c r="P43" s="200"/>
      <c r="AB43" s="110"/>
      <c r="AC43" s="110"/>
      <c r="AD43" s="110"/>
      <c r="AE43" s="110"/>
    </row>
    <row r="44" spans="1:31">
      <c r="A44" s="196" t="s">
        <v>1662</v>
      </c>
      <c r="C44" s="197">
        <v>197</v>
      </c>
      <c r="D44" s="196">
        <v>0.50419999999999998</v>
      </c>
      <c r="E44" s="200">
        <v>8.9580000000000002</v>
      </c>
      <c r="F44" s="201">
        <v>0.20349999999999999</v>
      </c>
      <c r="G44" s="200">
        <f t="shared" si="4"/>
        <v>9.1615000000000002</v>
      </c>
      <c r="H44" s="200">
        <v>8.9794999999999998</v>
      </c>
      <c r="I44" s="200">
        <f t="shared" si="5"/>
        <v>0.18200000000000038</v>
      </c>
      <c r="J44" s="200">
        <f t="shared" si="6"/>
        <v>2.1499999999999603E-2</v>
      </c>
      <c r="K44" s="270">
        <f t="shared" si="7"/>
        <v>10.565110565110372</v>
      </c>
      <c r="L44" s="200">
        <v>3</v>
      </c>
      <c r="M44" s="203">
        <v>43213</v>
      </c>
      <c r="N44" s="203">
        <v>43213</v>
      </c>
      <c r="AB44" s="110"/>
      <c r="AC44" s="110"/>
      <c r="AD44" s="110"/>
      <c r="AE44" s="110"/>
    </row>
    <row r="45" spans="1:31">
      <c r="A45" s="196" t="s">
        <v>1661</v>
      </c>
      <c r="C45" s="196">
        <v>8</v>
      </c>
      <c r="D45" s="196">
        <v>0.42562</v>
      </c>
      <c r="E45" s="196">
        <v>8.1182999999999996</v>
      </c>
      <c r="F45" s="196">
        <v>0.2006</v>
      </c>
      <c r="G45" s="196">
        <f t="shared" si="4"/>
        <v>8.3188999999999993</v>
      </c>
      <c r="H45" s="196">
        <v>8.1379000000000001</v>
      </c>
      <c r="I45" s="196">
        <f t="shared" si="5"/>
        <v>0.18099999999999916</v>
      </c>
      <c r="J45" s="200">
        <f t="shared" si="6"/>
        <v>1.9600000000000839E-2</v>
      </c>
      <c r="K45" s="270">
        <f t="shared" si="7"/>
        <v>9.7706879361918428</v>
      </c>
      <c r="L45" s="196">
        <v>4</v>
      </c>
      <c r="M45" s="196" t="s">
        <v>2570</v>
      </c>
      <c r="N45" s="196" t="s">
        <v>2569</v>
      </c>
      <c r="O45" s="196" t="s">
        <v>2534</v>
      </c>
      <c r="AB45" s="110"/>
      <c r="AC45" s="110"/>
      <c r="AD45" s="110"/>
      <c r="AE45" s="110"/>
    </row>
    <row r="46" spans="1:31">
      <c r="A46" s="205" t="s">
        <v>1660</v>
      </c>
      <c r="C46" s="200">
        <v>164</v>
      </c>
      <c r="D46" s="200">
        <v>0.45400000000000001</v>
      </c>
      <c r="E46" s="200">
        <v>10.312900000000001</v>
      </c>
      <c r="F46" s="201">
        <v>0.20069999999999999</v>
      </c>
      <c r="G46" s="200">
        <f t="shared" si="4"/>
        <v>10.5136</v>
      </c>
      <c r="H46" s="200">
        <v>10.331200000000001</v>
      </c>
      <c r="I46" s="200">
        <f t="shared" si="5"/>
        <v>0.18239999999999945</v>
      </c>
      <c r="J46" s="200">
        <f t="shared" si="6"/>
        <v>1.8300000000000538E-2</v>
      </c>
      <c r="K46" s="270">
        <f t="shared" si="7"/>
        <v>9.1180866965623011</v>
      </c>
      <c r="L46" s="200">
        <v>26</v>
      </c>
      <c r="M46" s="204">
        <v>43187</v>
      </c>
      <c r="N46" s="204">
        <v>43187</v>
      </c>
      <c r="O46" s="200"/>
      <c r="P46" s="200"/>
      <c r="AB46" s="110"/>
      <c r="AC46" s="110"/>
      <c r="AD46" s="110"/>
      <c r="AE46" s="110"/>
    </row>
    <row r="47" spans="1:31">
      <c r="A47" s="196" t="s">
        <v>1659</v>
      </c>
      <c r="C47" s="196">
        <v>61</v>
      </c>
      <c r="D47" s="196">
        <v>0.43340000000000001</v>
      </c>
      <c r="E47" s="196">
        <v>7.8392999999999997</v>
      </c>
      <c r="F47" s="196">
        <v>0.2024</v>
      </c>
      <c r="G47" s="196">
        <f t="shared" si="4"/>
        <v>8.0417000000000005</v>
      </c>
      <c r="H47" s="196">
        <v>7.8555999999999999</v>
      </c>
      <c r="I47" s="196">
        <f t="shared" si="5"/>
        <v>0.1861000000000006</v>
      </c>
      <c r="J47" s="200">
        <f t="shared" si="6"/>
        <v>1.6299999999999398E-2</v>
      </c>
      <c r="K47" s="270">
        <f t="shared" si="7"/>
        <v>8.0533596837941683</v>
      </c>
      <c r="L47" s="196">
        <v>41</v>
      </c>
      <c r="M47" s="196" t="s">
        <v>2570</v>
      </c>
      <c r="N47" s="196" t="s">
        <v>2569</v>
      </c>
      <c r="O47" s="196" t="s">
        <v>2534</v>
      </c>
      <c r="AB47" s="110"/>
      <c r="AC47" s="110"/>
      <c r="AD47" s="110"/>
      <c r="AE47" s="110"/>
    </row>
    <row r="48" spans="1:31" s="200" customFormat="1">
      <c r="A48" s="196" t="s">
        <v>1657</v>
      </c>
      <c r="B48"/>
      <c r="C48" s="197">
        <v>190</v>
      </c>
      <c r="D48" s="196">
        <v>0.4425</v>
      </c>
      <c r="E48" s="201">
        <v>8.1195000000000004</v>
      </c>
      <c r="F48" s="201">
        <v>0.2021</v>
      </c>
      <c r="G48" s="200">
        <f t="shared" si="4"/>
        <v>8.3216000000000001</v>
      </c>
      <c r="H48" s="200">
        <v>8.1387999999999998</v>
      </c>
      <c r="I48" s="200">
        <f t="shared" si="5"/>
        <v>0.1828000000000003</v>
      </c>
      <c r="J48" s="200">
        <f t="shared" si="6"/>
        <v>1.9299999999999706E-2</v>
      </c>
      <c r="K48" s="270">
        <f t="shared" si="7"/>
        <v>9.5497278574961424</v>
      </c>
      <c r="L48" s="200">
        <v>39</v>
      </c>
      <c r="M48" s="203">
        <v>43221</v>
      </c>
      <c r="N48" s="203">
        <v>43221</v>
      </c>
      <c r="O48" s="196"/>
      <c r="P48" s="196"/>
      <c r="Q48" s="196"/>
      <c r="R48" s="196"/>
      <c r="S48" s="196"/>
      <c r="T48" s="196"/>
      <c r="U48" s="196"/>
      <c r="V48" s="196"/>
      <c r="W48" s="196"/>
      <c r="AB48" s="110"/>
      <c r="AC48" s="110"/>
      <c r="AD48" s="110"/>
      <c r="AE48" s="110"/>
    </row>
    <row r="49" spans="1:31" s="200" customFormat="1">
      <c r="A49" s="196" t="s">
        <v>1647</v>
      </c>
      <c r="B49"/>
      <c r="C49" s="197">
        <v>182</v>
      </c>
      <c r="D49" s="196">
        <v>0.50329999999999997</v>
      </c>
      <c r="E49" s="201">
        <v>9.8215000000000003</v>
      </c>
      <c r="F49" s="201">
        <v>0.2026</v>
      </c>
      <c r="G49" s="200">
        <f t="shared" si="4"/>
        <v>10.024100000000001</v>
      </c>
      <c r="H49" s="200">
        <v>9.8394999999999992</v>
      </c>
      <c r="I49" s="200">
        <f t="shared" si="5"/>
        <v>0.18460000000000143</v>
      </c>
      <c r="J49" s="200">
        <f t="shared" si="6"/>
        <v>1.7999999999998573E-2</v>
      </c>
      <c r="K49" s="270">
        <f t="shared" si="7"/>
        <v>8.8845014807495417</v>
      </c>
      <c r="L49" s="200">
        <v>16</v>
      </c>
      <c r="M49" s="203">
        <v>43221</v>
      </c>
      <c r="N49" s="203">
        <v>43221</v>
      </c>
      <c r="O49" s="196"/>
      <c r="P49" s="196"/>
      <c r="Q49" s="196"/>
      <c r="R49" s="196"/>
      <c r="S49" s="196"/>
      <c r="T49" s="196"/>
      <c r="U49" s="196"/>
      <c r="V49" s="196"/>
      <c r="W49" s="196"/>
      <c r="AB49" s="110"/>
      <c r="AC49" s="110"/>
      <c r="AD49" s="110"/>
      <c r="AE49" s="110"/>
    </row>
    <row r="50" spans="1:31">
      <c r="A50" s="205" t="s">
        <v>1646</v>
      </c>
      <c r="C50" s="200">
        <v>31</v>
      </c>
      <c r="D50" s="200">
        <v>0.56530000000000002</v>
      </c>
      <c r="E50" s="200">
        <v>9.8215000000000003</v>
      </c>
      <c r="F50" s="201">
        <v>0.2089</v>
      </c>
      <c r="G50" s="200">
        <f t="shared" si="4"/>
        <v>10.0304</v>
      </c>
      <c r="H50" s="200">
        <v>9.8506</v>
      </c>
      <c r="I50" s="200">
        <f t="shared" si="5"/>
        <v>0.17980000000000018</v>
      </c>
      <c r="J50" s="200">
        <f t="shared" si="6"/>
        <v>2.909999999999982E-2</v>
      </c>
      <c r="K50" s="270">
        <f t="shared" si="7"/>
        <v>13.930110100526482</v>
      </c>
      <c r="L50" s="200">
        <v>33</v>
      </c>
      <c r="M50" s="204">
        <v>43211</v>
      </c>
      <c r="AB50" s="110"/>
      <c r="AC50" s="110"/>
      <c r="AD50" s="110"/>
      <c r="AE50" s="110"/>
    </row>
    <row r="51" spans="1:31">
      <c r="A51" s="196" t="s">
        <v>1645</v>
      </c>
      <c r="C51" s="197">
        <v>16</v>
      </c>
      <c r="D51" s="196">
        <v>0.49869999999999998</v>
      </c>
      <c r="E51" s="196">
        <v>9.1374999999999993</v>
      </c>
      <c r="F51" s="201">
        <v>0.2054</v>
      </c>
      <c r="G51" s="200">
        <f t="shared" si="4"/>
        <v>9.3428999999999984</v>
      </c>
      <c r="H51" s="200">
        <v>9.1698000000000004</v>
      </c>
      <c r="I51" s="200">
        <f t="shared" si="5"/>
        <v>0.17309999999999803</v>
      </c>
      <c r="J51" s="200">
        <f t="shared" si="6"/>
        <v>3.2300000000001966E-2</v>
      </c>
      <c r="K51" s="270">
        <f t="shared" si="7"/>
        <v>15.725413826680606</v>
      </c>
      <c r="L51" s="200">
        <v>19</v>
      </c>
      <c r="AB51" s="110"/>
      <c r="AC51" s="110"/>
      <c r="AD51" s="110"/>
      <c r="AE51" s="110"/>
    </row>
    <row r="52" spans="1:31">
      <c r="A52" s="196" t="s">
        <v>1644</v>
      </c>
      <c r="C52" s="197">
        <v>25</v>
      </c>
      <c r="D52" s="196">
        <v>0.47620000000000001</v>
      </c>
      <c r="E52" s="200">
        <v>10.855700000000001</v>
      </c>
      <c r="F52" s="201">
        <v>0.20100000000000001</v>
      </c>
      <c r="G52" s="200">
        <f t="shared" si="4"/>
        <v>11.056700000000001</v>
      </c>
      <c r="H52" s="200">
        <v>10.8809</v>
      </c>
      <c r="I52" s="200">
        <f t="shared" si="5"/>
        <v>0.17580000000000062</v>
      </c>
      <c r="J52" s="200">
        <f t="shared" si="6"/>
        <v>2.519999999999939E-2</v>
      </c>
      <c r="K52" s="270">
        <f t="shared" si="7"/>
        <v>12.537313432835518</v>
      </c>
      <c r="L52" s="200">
        <v>33</v>
      </c>
      <c r="M52" s="203">
        <v>43212</v>
      </c>
      <c r="AB52" s="110"/>
      <c r="AC52" s="110"/>
      <c r="AD52" s="110"/>
      <c r="AE52" s="110"/>
    </row>
    <row r="53" spans="1:31">
      <c r="A53" s="196" t="s">
        <v>1642</v>
      </c>
      <c r="C53" s="196">
        <v>75</v>
      </c>
      <c r="D53" s="196">
        <v>0.64600000000000002</v>
      </c>
      <c r="E53" s="196">
        <v>7.9611000000000001</v>
      </c>
      <c r="F53" s="201">
        <v>0.20069999999999999</v>
      </c>
      <c r="G53" s="200">
        <f t="shared" si="4"/>
        <v>8.1617999999999995</v>
      </c>
      <c r="H53" s="200">
        <v>7.9828000000000001</v>
      </c>
      <c r="I53" s="200">
        <f t="shared" si="5"/>
        <v>0.17899999999999938</v>
      </c>
      <c r="J53" s="200">
        <f t="shared" si="6"/>
        <v>2.1700000000000608E-2</v>
      </c>
      <c r="K53" s="270">
        <f t="shared" si="7"/>
        <v>10.812157448929053</v>
      </c>
      <c r="L53" s="200">
        <v>8</v>
      </c>
      <c r="P53" s="196" t="s">
        <v>2566</v>
      </c>
      <c r="AB53" s="110"/>
      <c r="AC53" s="110"/>
      <c r="AD53" s="110"/>
      <c r="AE53" s="110"/>
    </row>
    <row r="54" spans="1:31">
      <c r="A54" s="205" t="s">
        <v>1636</v>
      </c>
      <c r="C54" s="200">
        <v>70</v>
      </c>
      <c r="D54" s="200">
        <v>0.63049999999999995</v>
      </c>
      <c r="E54" s="201">
        <v>8.0645000000000007</v>
      </c>
      <c r="F54" s="201">
        <v>0.20230000000000001</v>
      </c>
      <c r="G54" s="200">
        <f t="shared" si="4"/>
        <v>8.2667999999999999</v>
      </c>
      <c r="H54" s="200">
        <v>8.0822000000000003</v>
      </c>
      <c r="I54" s="200">
        <f t="shared" si="5"/>
        <v>0.18459999999999965</v>
      </c>
      <c r="J54" s="200">
        <f t="shared" si="6"/>
        <v>1.7700000000000354E-2</v>
      </c>
      <c r="K54" s="270">
        <f t="shared" si="7"/>
        <v>8.7493821057836652</v>
      </c>
      <c r="L54" s="200">
        <v>11</v>
      </c>
      <c r="M54" s="202">
        <v>43181.645833333336</v>
      </c>
      <c r="N54" s="202">
        <v>43181.833333333336</v>
      </c>
      <c r="O54" s="200" t="s">
        <v>2540</v>
      </c>
      <c r="P54" s="200"/>
      <c r="AB54" s="110"/>
      <c r="AC54" s="110"/>
      <c r="AD54" s="110"/>
      <c r="AE54" s="110"/>
    </row>
    <row r="55" spans="1:31">
      <c r="A55" s="201" t="s">
        <v>1634</v>
      </c>
      <c r="C55" s="200">
        <v>75</v>
      </c>
      <c r="D55" s="200">
        <v>0.69669999999999987</v>
      </c>
      <c r="E55" s="200">
        <v>9.3219999999999992</v>
      </c>
      <c r="F55" s="200">
        <v>0.20119999999999999</v>
      </c>
      <c r="G55" s="200">
        <f t="shared" si="4"/>
        <v>9.5231999999999992</v>
      </c>
      <c r="H55" s="200">
        <v>9.3515999999999995</v>
      </c>
      <c r="I55" s="200">
        <f t="shared" si="5"/>
        <v>0.17159999999999975</v>
      </c>
      <c r="J55" s="200">
        <f t="shared" si="6"/>
        <v>2.9600000000000237E-2</v>
      </c>
      <c r="K55" s="270">
        <f t="shared" si="7"/>
        <v>14.711729622266519</v>
      </c>
      <c r="L55" s="200">
        <v>12</v>
      </c>
      <c r="M55" s="204">
        <v>43173</v>
      </c>
      <c r="N55" s="204">
        <v>43173</v>
      </c>
      <c r="O55" s="200" t="s">
        <v>2540</v>
      </c>
      <c r="P55" s="200" t="s">
        <v>2539</v>
      </c>
      <c r="AB55" s="110"/>
      <c r="AC55" s="110"/>
      <c r="AD55" s="110"/>
      <c r="AE55" s="110"/>
    </row>
    <row r="56" spans="1:31">
      <c r="A56" s="196" t="s">
        <v>1633</v>
      </c>
      <c r="C56" s="200">
        <v>191</v>
      </c>
      <c r="D56" s="196">
        <v>0.44040000000000001</v>
      </c>
      <c r="E56" s="200">
        <v>9.5192999999999994</v>
      </c>
      <c r="F56" s="201">
        <v>0.20100000000000001</v>
      </c>
      <c r="G56" s="200">
        <f t="shared" si="4"/>
        <v>9.7202999999999999</v>
      </c>
      <c r="H56" s="200">
        <v>9.5374999999999996</v>
      </c>
      <c r="I56" s="200">
        <f t="shared" si="5"/>
        <v>0.1828000000000003</v>
      </c>
      <c r="J56" s="200">
        <f t="shared" si="6"/>
        <v>1.8199999999999716E-2</v>
      </c>
      <c r="K56" s="270">
        <f t="shared" si="7"/>
        <v>9.0547263681590628</v>
      </c>
      <c r="L56" s="200">
        <v>35</v>
      </c>
      <c r="M56" s="204">
        <v>43211</v>
      </c>
      <c r="AB56" s="110"/>
      <c r="AC56" s="110"/>
      <c r="AD56" s="110"/>
      <c r="AE56" s="110"/>
    </row>
    <row r="57" spans="1:31">
      <c r="A57" s="205" t="s">
        <v>1631</v>
      </c>
      <c r="C57" s="200">
        <v>18</v>
      </c>
      <c r="D57" s="200">
        <v>0.55220000000000002</v>
      </c>
      <c r="E57" s="200">
        <v>7.3170000000000002</v>
      </c>
      <c r="F57" s="201">
        <v>0.2044</v>
      </c>
      <c r="G57" s="200">
        <f t="shared" si="4"/>
        <v>7.5213999999999999</v>
      </c>
      <c r="H57" s="200">
        <v>7.3479999999999999</v>
      </c>
      <c r="I57" s="200">
        <f t="shared" si="5"/>
        <v>0.1734</v>
      </c>
      <c r="J57" s="200">
        <f t="shared" si="6"/>
        <v>3.1E-2</v>
      </c>
      <c r="K57" s="270">
        <f t="shared" si="7"/>
        <v>15.166340508806261</v>
      </c>
      <c r="L57" s="200">
        <v>10</v>
      </c>
      <c r="M57" s="204">
        <v>43187</v>
      </c>
      <c r="N57" s="204">
        <v>43187</v>
      </c>
      <c r="O57" s="200"/>
      <c r="P57" s="200"/>
      <c r="AB57" s="110"/>
      <c r="AC57" s="110"/>
      <c r="AD57" s="110"/>
      <c r="AE57" s="110"/>
    </row>
    <row r="58" spans="1:31">
      <c r="A58" s="196" t="s">
        <v>1630</v>
      </c>
      <c r="C58" s="197">
        <v>188</v>
      </c>
      <c r="D58" s="196">
        <v>0.18920000000000001</v>
      </c>
      <c r="E58" s="196">
        <v>10.1435</v>
      </c>
      <c r="F58" s="201">
        <v>0.17380000000000001</v>
      </c>
      <c r="G58" s="200">
        <f t="shared" si="4"/>
        <v>10.317299999999999</v>
      </c>
      <c r="H58" s="200">
        <v>10.164899999999999</v>
      </c>
      <c r="I58" s="200">
        <f t="shared" si="5"/>
        <v>0.15240000000000009</v>
      </c>
      <c r="J58" s="200">
        <f t="shared" si="6"/>
        <v>2.1399999999999919E-2</v>
      </c>
      <c r="K58" s="270">
        <f t="shared" si="7"/>
        <v>12.313003452243912</v>
      </c>
      <c r="L58" s="200">
        <v>5</v>
      </c>
      <c r="P58" s="196" t="s">
        <v>2543</v>
      </c>
      <c r="AB58" s="110"/>
      <c r="AC58" s="110"/>
      <c r="AD58" s="110"/>
      <c r="AE58" s="110"/>
    </row>
    <row r="59" spans="1:31">
      <c r="A59" s="196" t="s">
        <v>1629</v>
      </c>
      <c r="C59" s="200">
        <v>24</v>
      </c>
      <c r="D59" s="196">
        <v>0.46389999999999998</v>
      </c>
      <c r="E59" s="200">
        <v>9.0213000000000001</v>
      </c>
      <c r="F59" s="201">
        <v>0.2026</v>
      </c>
      <c r="G59" s="200">
        <f t="shared" si="4"/>
        <v>9.2239000000000004</v>
      </c>
      <c r="H59" s="200">
        <v>9.0434999999999999</v>
      </c>
      <c r="I59" s="200">
        <f t="shared" si="5"/>
        <v>0.18040000000000056</v>
      </c>
      <c r="J59" s="200">
        <f t="shared" si="6"/>
        <v>2.2199999999999442E-2</v>
      </c>
      <c r="K59" s="270">
        <f t="shared" si="7"/>
        <v>10.957551826258362</v>
      </c>
      <c r="L59" s="200">
        <v>39</v>
      </c>
      <c r="M59" s="204">
        <v>43211</v>
      </c>
      <c r="AB59" s="110"/>
      <c r="AC59" s="110"/>
      <c r="AD59" s="110"/>
      <c r="AE59" s="110"/>
    </row>
    <row r="60" spans="1:31">
      <c r="A60" s="205" t="s">
        <v>1627</v>
      </c>
      <c r="C60" s="200">
        <v>185</v>
      </c>
      <c r="D60" s="200">
        <v>0.44009999999999999</v>
      </c>
      <c r="E60" s="200">
        <v>10.1159</v>
      </c>
      <c r="F60" s="201">
        <v>0.2036</v>
      </c>
      <c r="G60" s="200">
        <f t="shared" si="4"/>
        <v>10.3195</v>
      </c>
      <c r="H60" s="200">
        <v>10.135199999999999</v>
      </c>
      <c r="I60" s="200">
        <f t="shared" si="5"/>
        <v>0.18430000000000035</v>
      </c>
      <c r="J60" s="200">
        <f t="shared" si="6"/>
        <v>1.9299999999999651E-2</v>
      </c>
      <c r="K60" s="270">
        <f t="shared" si="7"/>
        <v>9.4793713163063114</v>
      </c>
      <c r="L60" s="200">
        <v>28</v>
      </c>
      <c r="M60" s="204">
        <v>43211</v>
      </c>
      <c r="AB60" s="110"/>
      <c r="AC60" s="110"/>
      <c r="AD60" s="110"/>
      <c r="AE60" s="110"/>
    </row>
    <row r="61" spans="1:31">
      <c r="A61" s="196" t="s">
        <v>1626</v>
      </c>
      <c r="C61" s="197">
        <v>93</v>
      </c>
      <c r="D61" s="196">
        <v>0.47660000000000002</v>
      </c>
      <c r="E61" s="200">
        <v>10.313599999999999</v>
      </c>
      <c r="F61" s="201">
        <v>0.20069999999999999</v>
      </c>
      <c r="G61" s="200">
        <f t="shared" si="4"/>
        <v>10.514299999999999</v>
      </c>
      <c r="H61" s="200">
        <v>10.332700000000001</v>
      </c>
      <c r="I61" s="200">
        <f t="shared" si="5"/>
        <v>0.18159999999999776</v>
      </c>
      <c r="J61" s="200">
        <f t="shared" si="6"/>
        <v>1.9100000000002226E-2</v>
      </c>
      <c r="K61" s="270">
        <f t="shared" si="7"/>
        <v>9.5166915794729583</v>
      </c>
      <c r="L61" s="200">
        <v>15</v>
      </c>
      <c r="M61" s="203">
        <v>43213</v>
      </c>
      <c r="N61" s="203">
        <v>43213</v>
      </c>
      <c r="AB61" s="110"/>
      <c r="AC61" s="110"/>
      <c r="AD61" s="110"/>
      <c r="AE61" s="110"/>
    </row>
    <row r="62" spans="1:31">
      <c r="A62" s="200" t="s">
        <v>1625</v>
      </c>
      <c r="C62" s="200">
        <v>169</v>
      </c>
      <c r="D62" s="200">
        <v>0.4572</v>
      </c>
      <c r="E62" s="200">
        <v>9.3218999999999994</v>
      </c>
      <c r="F62" s="201">
        <v>0.20080000000000001</v>
      </c>
      <c r="G62" s="200">
        <f t="shared" si="4"/>
        <v>9.5226999999999986</v>
      </c>
      <c r="H62" s="200">
        <v>9.3447999999999993</v>
      </c>
      <c r="I62" s="196">
        <f t="shared" si="5"/>
        <v>0.17789999999999928</v>
      </c>
      <c r="J62" s="200">
        <f t="shared" si="6"/>
        <v>2.2900000000000725E-2</v>
      </c>
      <c r="K62" s="270">
        <f t="shared" si="7"/>
        <v>11.404382470119883</v>
      </c>
      <c r="L62" s="200">
        <v>23</v>
      </c>
      <c r="M62" s="204">
        <v>43187</v>
      </c>
      <c r="N62" s="204">
        <v>43187</v>
      </c>
      <c r="O62" s="200"/>
      <c r="P62" s="200"/>
      <c r="AB62" s="110"/>
      <c r="AC62" s="110"/>
      <c r="AD62" s="110"/>
      <c r="AE62" s="110"/>
    </row>
    <row r="63" spans="1:31">
      <c r="A63" s="196" t="s">
        <v>1621</v>
      </c>
      <c r="C63" s="196">
        <v>167</v>
      </c>
      <c r="D63" s="196">
        <v>0.48499999999999999</v>
      </c>
      <c r="E63" s="201">
        <v>10.202</v>
      </c>
      <c r="F63" s="201">
        <v>0.2014</v>
      </c>
      <c r="G63" s="200">
        <f t="shared" si="4"/>
        <v>10.4034</v>
      </c>
      <c r="H63" s="200">
        <v>10.218999999999999</v>
      </c>
      <c r="I63" s="200">
        <f t="shared" si="5"/>
        <v>0.18440000000000012</v>
      </c>
      <c r="J63" s="200">
        <f t="shared" si="6"/>
        <v>1.6999999999999876E-2</v>
      </c>
      <c r="K63" s="270">
        <f t="shared" si="7"/>
        <v>8.4409136047665729</v>
      </c>
      <c r="L63" s="200">
        <v>36</v>
      </c>
      <c r="AB63" s="110"/>
      <c r="AC63" s="110"/>
      <c r="AD63" s="110"/>
      <c r="AE63" s="110"/>
    </row>
    <row r="64" spans="1:31">
      <c r="A64" s="200" t="s">
        <v>1617</v>
      </c>
      <c r="C64" s="200">
        <v>170</v>
      </c>
      <c r="D64" s="200">
        <v>0.44679999999999997</v>
      </c>
      <c r="E64" s="200">
        <v>8.8449000000000009</v>
      </c>
      <c r="F64" s="201">
        <v>0.2014</v>
      </c>
      <c r="G64" s="200">
        <f t="shared" si="4"/>
        <v>9.0463000000000005</v>
      </c>
      <c r="H64" s="200">
        <v>8.8640000000000008</v>
      </c>
      <c r="I64" s="200">
        <f t="shared" si="5"/>
        <v>0.18229999999999968</v>
      </c>
      <c r="J64" s="200">
        <f t="shared" si="6"/>
        <v>1.9100000000000311E-2</v>
      </c>
      <c r="K64" s="270">
        <f t="shared" si="7"/>
        <v>9.4836146971203146</v>
      </c>
      <c r="L64" s="200">
        <v>4</v>
      </c>
      <c r="M64" s="204">
        <v>43187</v>
      </c>
      <c r="N64" s="204">
        <v>43187</v>
      </c>
      <c r="O64" s="200"/>
      <c r="P64" s="200"/>
      <c r="AB64" s="110"/>
      <c r="AC64" s="110"/>
      <c r="AD64" s="110"/>
      <c r="AE64" s="110"/>
    </row>
    <row r="65" spans="1:31">
      <c r="A65" s="196" t="s">
        <v>1614</v>
      </c>
      <c r="C65" s="196">
        <v>1</v>
      </c>
      <c r="D65" s="196">
        <v>0.28660000000000002</v>
      </c>
      <c r="E65" s="196">
        <v>9.9175000000000004</v>
      </c>
      <c r="F65" s="201">
        <v>0.20119999999999999</v>
      </c>
      <c r="G65" s="200">
        <f t="shared" si="4"/>
        <v>10.1187</v>
      </c>
      <c r="H65" s="200">
        <v>9.9732000000000003</v>
      </c>
      <c r="I65" s="200">
        <f t="shared" si="5"/>
        <v>0.14550000000000018</v>
      </c>
      <c r="J65" s="200">
        <f t="shared" si="6"/>
        <v>5.5699999999999805E-2</v>
      </c>
      <c r="K65" s="270">
        <f t="shared" si="7"/>
        <v>27.683896620278237</v>
      </c>
      <c r="L65" s="200">
        <v>11</v>
      </c>
      <c r="T65" s="203"/>
      <c r="U65" s="203"/>
      <c r="AB65" s="110"/>
      <c r="AC65" s="110"/>
      <c r="AD65" s="110"/>
      <c r="AE65" s="110"/>
    </row>
    <row r="66" spans="1:31">
      <c r="A66" s="205" t="s">
        <v>1613</v>
      </c>
      <c r="C66" s="200">
        <v>42</v>
      </c>
      <c r="D66" s="201">
        <v>0.42959999999999998</v>
      </c>
      <c r="E66" s="200">
        <v>8.0954999999999995</v>
      </c>
      <c r="F66" s="201">
        <v>0.2039</v>
      </c>
      <c r="G66" s="200">
        <f t="shared" ref="G66:G97" si="8">E66+F66</f>
        <v>8.2994000000000003</v>
      </c>
      <c r="H66" s="200">
        <v>8.1128999999999998</v>
      </c>
      <c r="I66" s="200">
        <f t="shared" ref="I66:I97" si="9">(G66-H66)</f>
        <v>0.18650000000000055</v>
      </c>
      <c r="J66" s="200">
        <f t="shared" ref="J66:J97" si="10">F66-I66</f>
        <v>1.7399999999999444E-2</v>
      </c>
      <c r="K66" s="270">
        <f t="shared" ref="K66:K97" si="11">(J66/F66)*100</f>
        <v>8.5335948994602457</v>
      </c>
      <c r="L66" s="200">
        <v>11</v>
      </c>
      <c r="M66" s="204">
        <v>43206</v>
      </c>
      <c r="N66" s="204">
        <v>43206</v>
      </c>
      <c r="O66" s="200"/>
      <c r="P66" s="200"/>
      <c r="AB66" s="110"/>
      <c r="AC66" s="110"/>
      <c r="AD66" s="110"/>
      <c r="AE66" s="110"/>
    </row>
    <row r="67" spans="1:31">
      <c r="A67" s="200" t="s">
        <v>1611</v>
      </c>
      <c r="C67" s="200">
        <v>172</v>
      </c>
      <c r="D67" s="200">
        <f>0.203+F67</f>
        <v>0.41049999999999998</v>
      </c>
      <c r="E67" s="201">
        <v>9.343</v>
      </c>
      <c r="F67" s="201">
        <v>0.20749999999999999</v>
      </c>
      <c r="G67" s="200">
        <f t="shared" si="8"/>
        <v>9.5504999999999995</v>
      </c>
      <c r="H67" s="200">
        <v>9.3618000000000006</v>
      </c>
      <c r="I67" s="200">
        <f t="shared" si="9"/>
        <v>0.18869999999999898</v>
      </c>
      <c r="J67" s="200">
        <f t="shared" si="10"/>
        <v>1.880000000000101E-2</v>
      </c>
      <c r="K67" s="270">
        <f t="shared" si="11"/>
        <v>9.0602409638559092</v>
      </c>
      <c r="L67" s="200">
        <v>19</v>
      </c>
      <c r="M67" s="204">
        <v>43174</v>
      </c>
      <c r="N67" s="204">
        <v>43174</v>
      </c>
      <c r="O67" s="200" t="s">
        <v>2540</v>
      </c>
      <c r="P67" s="200" t="s">
        <v>2535</v>
      </c>
      <c r="AB67" s="110"/>
      <c r="AC67" s="110"/>
      <c r="AD67" s="110"/>
      <c r="AE67" s="110"/>
    </row>
    <row r="68" spans="1:31">
      <c r="A68" s="196" t="s">
        <v>1610</v>
      </c>
      <c r="C68" s="200">
        <v>63</v>
      </c>
      <c r="D68" s="201">
        <v>0.72370000000000001</v>
      </c>
      <c r="E68" s="201">
        <v>10.0556</v>
      </c>
      <c r="F68" s="201">
        <v>0.20449999999999999</v>
      </c>
      <c r="G68" s="200">
        <f t="shared" si="8"/>
        <v>10.2601</v>
      </c>
      <c r="H68" s="200">
        <v>10.0848</v>
      </c>
      <c r="I68" s="200">
        <f t="shared" si="9"/>
        <v>0.17530000000000001</v>
      </c>
      <c r="J68" s="200">
        <f t="shared" si="10"/>
        <v>2.9199999999999976E-2</v>
      </c>
      <c r="K68" s="270">
        <f t="shared" si="11"/>
        <v>14.278728606356959</v>
      </c>
      <c r="L68" s="200">
        <v>7</v>
      </c>
      <c r="M68" s="200"/>
      <c r="N68" s="200"/>
      <c r="O68" s="200"/>
      <c r="P68" s="200"/>
      <c r="AB68" s="110"/>
      <c r="AC68" s="110"/>
      <c r="AD68" s="110"/>
      <c r="AE68" s="110"/>
    </row>
    <row r="69" spans="1:31">
      <c r="A69" s="200" t="s">
        <v>1609</v>
      </c>
      <c r="C69" s="200">
        <v>85</v>
      </c>
      <c r="D69" s="200">
        <v>0.73919999999999997</v>
      </c>
      <c r="E69" s="201">
        <v>9.0315999999999992</v>
      </c>
      <c r="F69" s="201">
        <v>0.20180000000000001</v>
      </c>
      <c r="G69" s="200">
        <f t="shared" si="8"/>
        <v>9.2333999999999996</v>
      </c>
      <c r="H69" s="200">
        <v>9.0549999999999997</v>
      </c>
      <c r="I69" s="200">
        <f t="shared" si="9"/>
        <v>0.17839999999999989</v>
      </c>
      <c r="J69" s="200">
        <f t="shared" si="10"/>
        <v>2.3400000000000115E-2</v>
      </c>
      <c r="K69" s="270">
        <f t="shared" si="11"/>
        <v>11.595639246779045</v>
      </c>
      <c r="L69" s="200">
        <v>42</v>
      </c>
      <c r="M69" s="206">
        <v>43186.458333333336</v>
      </c>
      <c r="N69" s="206">
        <v>43186.625</v>
      </c>
      <c r="O69" s="196" t="s">
        <v>2534</v>
      </c>
      <c r="P69" s="200"/>
      <c r="AB69" s="110"/>
      <c r="AC69" s="110"/>
      <c r="AD69" s="110"/>
      <c r="AE69" s="110"/>
    </row>
    <row r="70" spans="1:31">
      <c r="A70" s="196" t="s">
        <v>1608</v>
      </c>
      <c r="C70" s="196">
        <v>162</v>
      </c>
      <c r="D70" s="196">
        <v>0.47949999999999998</v>
      </c>
      <c r="E70" s="200">
        <v>9.6789000000000005</v>
      </c>
      <c r="F70" s="201">
        <v>0.2021</v>
      </c>
      <c r="G70" s="200">
        <f t="shared" si="8"/>
        <v>9.8810000000000002</v>
      </c>
      <c r="H70" s="200">
        <v>9.6943000000000001</v>
      </c>
      <c r="I70" s="200">
        <f t="shared" si="9"/>
        <v>0.18670000000000009</v>
      </c>
      <c r="J70" s="200">
        <f t="shared" si="10"/>
        <v>1.5399999999999914E-2</v>
      </c>
      <c r="K70" s="270">
        <f t="shared" si="11"/>
        <v>7.6199901039089131</v>
      </c>
      <c r="L70" s="200">
        <v>10</v>
      </c>
      <c r="M70" s="203">
        <v>43212</v>
      </c>
      <c r="AB70" s="110"/>
      <c r="AC70" s="110"/>
      <c r="AD70" s="110"/>
      <c r="AE70" s="110"/>
    </row>
    <row r="71" spans="1:31">
      <c r="A71" s="205" t="s">
        <v>1607</v>
      </c>
      <c r="C71" s="200">
        <v>167</v>
      </c>
      <c r="D71" s="200">
        <v>0.51249999999999996</v>
      </c>
      <c r="E71" s="200">
        <v>10.1244</v>
      </c>
      <c r="F71" s="201">
        <v>0.20119999999999999</v>
      </c>
      <c r="G71" s="200">
        <f t="shared" si="8"/>
        <v>10.3256</v>
      </c>
      <c r="H71" s="200">
        <v>10.1416</v>
      </c>
      <c r="I71" s="200">
        <f t="shared" si="9"/>
        <v>0.18399999999999928</v>
      </c>
      <c r="J71" s="200">
        <f t="shared" si="10"/>
        <v>1.7200000000000715E-2</v>
      </c>
      <c r="K71" s="270">
        <f t="shared" si="11"/>
        <v>8.5487077534794818</v>
      </c>
      <c r="L71" s="200">
        <v>31</v>
      </c>
      <c r="M71" s="204">
        <v>43211</v>
      </c>
      <c r="AB71" s="110"/>
      <c r="AC71" s="110"/>
      <c r="AD71" s="110"/>
      <c r="AE71" s="110"/>
    </row>
    <row r="72" spans="1:31">
      <c r="A72" s="196" t="s">
        <v>1605</v>
      </c>
      <c r="C72" s="196">
        <v>62</v>
      </c>
      <c r="D72" s="196">
        <v>0.59640000000000004</v>
      </c>
      <c r="E72" s="196">
        <v>7.9943999999999997</v>
      </c>
      <c r="F72" s="196">
        <v>0.1978</v>
      </c>
      <c r="G72" s="196">
        <f t="shared" si="8"/>
        <v>8.1921999999999997</v>
      </c>
      <c r="H72" s="196">
        <v>8.0189000000000004</v>
      </c>
      <c r="I72" s="196">
        <f t="shared" si="9"/>
        <v>0.17329999999999934</v>
      </c>
      <c r="J72" s="200">
        <f t="shared" si="10"/>
        <v>2.450000000000066E-2</v>
      </c>
      <c r="K72" s="270">
        <f t="shared" si="11"/>
        <v>12.3862487360974</v>
      </c>
      <c r="L72" s="196">
        <v>46</v>
      </c>
      <c r="M72" s="196" t="s">
        <v>2570</v>
      </c>
      <c r="N72" s="196" t="s">
        <v>2569</v>
      </c>
      <c r="O72" s="196" t="s">
        <v>2534</v>
      </c>
      <c r="AB72" s="110"/>
      <c r="AC72" s="110"/>
      <c r="AD72" s="110"/>
      <c r="AE72" s="110"/>
    </row>
    <row r="73" spans="1:31">
      <c r="A73" s="196" t="s">
        <v>1604</v>
      </c>
      <c r="C73" s="197">
        <v>78</v>
      </c>
      <c r="D73" s="196">
        <v>0.58260000000000001</v>
      </c>
      <c r="E73" s="201">
        <v>10.1439</v>
      </c>
      <c r="F73" s="201">
        <v>0.2001</v>
      </c>
      <c r="G73" s="200">
        <f t="shared" si="8"/>
        <v>10.344000000000001</v>
      </c>
      <c r="H73" s="200">
        <v>10.1632</v>
      </c>
      <c r="I73" s="200">
        <f t="shared" si="9"/>
        <v>0.1808000000000014</v>
      </c>
      <c r="J73" s="200">
        <f t="shared" si="10"/>
        <v>1.9299999999998596E-2</v>
      </c>
      <c r="K73" s="270">
        <f t="shared" si="11"/>
        <v>9.6451774112936519</v>
      </c>
      <c r="L73" s="200">
        <v>33</v>
      </c>
      <c r="M73" s="203">
        <v>43221</v>
      </c>
      <c r="N73" s="203">
        <v>43221</v>
      </c>
      <c r="AB73" s="110"/>
      <c r="AC73" s="110"/>
      <c r="AD73" s="110"/>
      <c r="AE73" s="110"/>
    </row>
    <row r="74" spans="1:31">
      <c r="A74" s="196" t="s">
        <v>1603</v>
      </c>
      <c r="C74" s="197">
        <v>6</v>
      </c>
      <c r="D74" s="196">
        <v>0.48459999999999998</v>
      </c>
      <c r="E74" s="201">
        <v>7.8593999999999999</v>
      </c>
      <c r="F74" s="201">
        <v>0.1996</v>
      </c>
      <c r="G74" s="200">
        <f t="shared" si="8"/>
        <v>8.0589999999999993</v>
      </c>
      <c r="H74" s="200">
        <v>7.8822999999999999</v>
      </c>
      <c r="I74" s="200">
        <f t="shared" si="9"/>
        <v>0.17669999999999941</v>
      </c>
      <c r="J74" s="200">
        <f t="shared" si="10"/>
        <v>2.2900000000000587E-2</v>
      </c>
      <c r="K74" s="270">
        <f t="shared" si="11"/>
        <v>11.472945891783862</v>
      </c>
      <c r="L74" s="200">
        <v>17</v>
      </c>
      <c r="AB74" s="110"/>
      <c r="AC74" s="110"/>
      <c r="AD74" s="110"/>
      <c r="AE74" s="110"/>
    </row>
    <row r="75" spans="1:31">
      <c r="A75" s="196" t="s">
        <v>1601</v>
      </c>
      <c r="C75" s="197">
        <v>27</v>
      </c>
      <c r="D75" s="196">
        <v>0.5333</v>
      </c>
      <c r="E75" s="201">
        <v>7.7735000000000003</v>
      </c>
      <c r="F75" s="201">
        <v>0.2001</v>
      </c>
      <c r="G75" s="200">
        <f t="shared" si="8"/>
        <v>7.9736000000000002</v>
      </c>
      <c r="H75" s="200">
        <v>7.7944000000000004</v>
      </c>
      <c r="I75" s="200">
        <f t="shared" si="9"/>
        <v>0.1791999999999998</v>
      </c>
      <c r="J75" s="200">
        <f t="shared" si="10"/>
        <v>2.0900000000000196E-2</v>
      </c>
      <c r="K75" s="270">
        <f t="shared" si="11"/>
        <v>10.444777611194501</v>
      </c>
      <c r="L75" s="200">
        <v>34</v>
      </c>
      <c r="M75" s="203">
        <v>43221</v>
      </c>
      <c r="N75" s="203">
        <v>43221</v>
      </c>
      <c r="AB75" s="110"/>
      <c r="AC75" s="110"/>
      <c r="AD75" s="110"/>
      <c r="AE75" s="110"/>
    </row>
    <row r="76" spans="1:31">
      <c r="A76" s="196" t="s">
        <v>1600</v>
      </c>
      <c r="C76" s="196">
        <v>67</v>
      </c>
      <c r="D76" s="196">
        <v>0.65029999999999999</v>
      </c>
      <c r="E76" s="196">
        <v>9.3425999999999991</v>
      </c>
      <c r="F76" s="196">
        <v>0.2049</v>
      </c>
      <c r="G76" s="196">
        <f t="shared" si="8"/>
        <v>9.5474999999999994</v>
      </c>
      <c r="H76" s="196">
        <v>9.3710000000000004</v>
      </c>
      <c r="I76" s="196">
        <f t="shared" si="9"/>
        <v>0.17649999999999899</v>
      </c>
      <c r="J76" s="200">
        <f t="shared" si="10"/>
        <v>2.8400000000001008E-2</v>
      </c>
      <c r="K76" s="270">
        <f t="shared" si="11"/>
        <v>13.860419716935581</v>
      </c>
      <c r="L76" s="196">
        <v>3</v>
      </c>
      <c r="M76" s="196" t="s">
        <v>2564</v>
      </c>
      <c r="N76" s="196" t="s">
        <v>2563</v>
      </c>
      <c r="O76" s="196" t="s">
        <v>2540</v>
      </c>
      <c r="AB76" s="110"/>
      <c r="AC76" s="110"/>
      <c r="AD76" s="110"/>
      <c r="AE76" s="110"/>
    </row>
    <row r="77" spans="1:31">
      <c r="A77" s="196" t="s">
        <v>1599</v>
      </c>
      <c r="C77" s="196">
        <v>179</v>
      </c>
      <c r="D77" s="196">
        <v>0.43290000000000001</v>
      </c>
      <c r="E77" s="201">
        <v>9.0517000000000003</v>
      </c>
      <c r="F77" s="201">
        <v>0.2079</v>
      </c>
      <c r="G77" s="200">
        <f t="shared" si="8"/>
        <v>9.2596000000000007</v>
      </c>
      <c r="H77" s="200">
        <v>9.0702999999999996</v>
      </c>
      <c r="I77" s="200">
        <f t="shared" si="9"/>
        <v>0.18930000000000113</v>
      </c>
      <c r="J77" s="200">
        <f t="shared" si="10"/>
        <v>1.8599999999998867E-2</v>
      </c>
      <c r="K77" s="270">
        <f t="shared" si="11"/>
        <v>8.9466089466084018</v>
      </c>
      <c r="L77" s="200">
        <v>18</v>
      </c>
      <c r="AB77" s="110"/>
      <c r="AC77" s="110"/>
      <c r="AD77" s="110"/>
      <c r="AE77" s="110"/>
    </row>
    <row r="78" spans="1:31">
      <c r="A78" s="200" t="s">
        <v>1598</v>
      </c>
      <c r="C78" s="200">
        <v>7</v>
      </c>
      <c r="D78" s="200">
        <v>0.46970000000000001</v>
      </c>
      <c r="E78" s="201">
        <v>11.0025</v>
      </c>
      <c r="F78" s="201">
        <v>0.19969999999999999</v>
      </c>
      <c r="G78" s="200">
        <f t="shared" si="8"/>
        <v>11.202199999999999</v>
      </c>
      <c r="H78" s="200">
        <v>11.0252</v>
      </c>
      <c r="I78" s="200">
        <f t="shared" si="9"/>
        <v>0.1769999999999996</v>
      </c>
      <c r="J78" s="200">
        <f t="shared" si="10"/>
        <v>2.2700000000000387E-2</v>
      </c>
      <c r="K78" s="270">
        <f t="shared" si="11"/>
        <v>11.36705057586399</v>
      </c>
      <c r="L78" s="200">
        <v>5</v>
      </c>
      <c r="M78" s="206">
        <v>43185.385416666664</v>
      </c>
      <c r="N78" s="200"/>
      <c r="O78" s="200" t="s">
        <v>2540</v>
      </c>
      <c r="P78" s="200"/>
      <c r="AB78" s="110"/>
      <c r="AC78" s="110"/>
      <c r="AD78" s="110"/>
      <c r="AE78" s="110"/>
    </row>
    <row r="79" spans="1:31">
      <c r="A79" s="200" t="s">
        <v>1597</v>
      </c>
      <c r="C79" s="200">
        <v>41</v>
      </c>
      <c r="D79" s="201">
        <v>0.82640000000000002</v>
      </c>
      <c r="E79" s="200">
        <v>8.1179000000000006</v>
      </c>
      <c r="F79" s="201">
        <v>0.20219999999999999</v>
      </c>
      <c r="G79" s="200">
        <f t="shared" si="8"/>
        <v>8.3201000000000001</v>
      </c>
      <c r="H79" s="200">
        <v>8.1584000000000003</v>
      </c>
      <c r="I79" s="200">
        <f t="shared" si="9"/>
        <v>0.16169999999999973</v>
      </c>
      <c r="J79" s="200">
        <f t="shared" si="10"/>
        <v>4.0500000000000258E-2</v>
      </c>
      <c r="K79" s="270">
        <f t="shared" si="11"/>
        <v>20.029673590504579</v>
      </c>
      <c r="L79" s="200">
        <v>32</v>
      </c>
      <c r="M79" s="200"/>
      <c r="N79" s="200"/>
      <c r="O79" s="200"/>
      <c r="P79" s="200"/>
      <c r="AB79" s="110"/>
      <c r="AC79" s="110"/>
      <c r="AD79" s="110"/>
      <c r="AE79" s="110"/>
    </row>
    <row r="80" spans="1:31">
      <c r="A80" s="201" t="s">
        <v>1596</v>
      </c>
      <c r="C80" s="200">
        <v>176</v>
      </c>
      <c r="D80" s="200">
        <v>0.46539999999999981</v>
      </c>
      <c r="E80" s="200">
        <v>9.1382999999999992</v>
      </c>
      <c r="F80" s="200">
        <v>0.20399999999999999</v>
      </c>
      <c r="G80" s="200">
        <f t="shared" si="8"/>
        <v>9.3422999999999998</v>
      </c>
      <c r="H80" s="200">
        <v>9.1598000000000006</v>
      </c>
      <c r="I80" s="200">
        <f t="shared" si="9"/>
        <v>0.18249999999999922</v>
      </c>
      <c r="J80" s="200">
        <f t="shared" si="10"/>
        <v>2.1500000000000768E-2</v>
      </c>
      <c r="K80" s="270">
        <f t="shared" si="11"/>
        <v>10.539215686274888</v>
      </c>
      <c r="L80" s="200">
        <v>19</v>
      </c>
      <c r="M80" s="204">
        <v>43173</v>
      </c>
      <c r="N80" s="204">
        <v>43173</v>
      </c>
      <c r="O80" s="200" t="s">
        <v>2540</v>
      </c>
      <c r="P80" s="200" t="s">
        <v>2539</v>
      </c>
      <c r="AB80" s="110"/>
      <c r="AC80" s="110"/>
      <c r="AD80" s="110"/>
      <c r="AE80" s="110"/>
    </row>
    <row r="81" spans="1:31">
      <c r="A81" s="196" t="s">
        <v>1594</v>
      </c>
      <c r="C81" s="196">
        <v>23</v>
      </c>
      <c r="D81" s="196">
        <v>0.51790000000000003</v>
      </c>
      <c r="E81" s="196">
        <v>8.7737999999999996</v>
      </c>
      <c r="F81" s="196">
        <v>0.1953</v>
      </c>
      <c r="G81" s="196">
        <f t="shared" si="8"/>
        <v>8.9690999999999992</v>
      </c>
      <c r="H81" s="196">
        <v>8.7844999999999995</v>
      </c>
      <c r="I81" s="196">
        <f t="shared" si="9"/>
        <v>0.18459999999999965</v>
      </c>
      <c r="J81" s="200">
        <f t="shared" si="10"/>
        <v>1.0700000000000348E-2</v>
      </c>
      <c r="K81" s="270">
        <f t="shared" si="11"/>
        <v>5.4787506400411408</v>
      </c>
      <c r="L81" s="196">
        <v>22</v>
      </c>
      <c r="M81" s="196" t="s">
        <v>2570</v>
      </c>
      <c r="N81" s="196" t="s">
        <v>2569</v>
      </c>
      <c r="O81" s="196" t="s">
        <v>2534</v>
      </c>
      <c r="AB81" s="110"/>
      <c r="AC81" s="110"/>
      <c r="AD81" s="110"/>
      <c r="AE81" s="110"/>
    </row>
    <row r="82" spans="1:31">
      <c r="A82" s="201" t="s">
        <v>1593</v>
      </c>
      <c r="C82" s="200">
        <v>175</v>
      </c>
      <c r="D82" s="200">
        <v>0.49159999999999987</v>
      </c>
      <c r="E82" s="200">
        <v>7.8007</v>
      </c>
      <c r="F82" s="200">
        <v>0.20119999999999999</v>
      </c>
      <c r="G82" s="200">
        <f t="shared" si="8"/>
        <v>8.0018999999999991</v>
      </c>
      <c r="H82" s="200">
        <v>7.8201999999999998</v>
      </c>
      <c r="I82" s="200">
        <f t="shared" si="9"/>
        <v>0.18169999999999931</v>
      </c>
      <c r="J82" s="200">
        <f t="shared" si="10"/>
        <v>1.9500000000000683E-2</v>
      </c>
      <c r="K82" s="270">
        <f t="shared" si="11"/>
        <v>9.6918489065609759</v>
      </c>
      <c r="L82" s="200">
        <v>1</v>
      </c>
      <c r="M82" s="204">
        <v>43173</v>
      </c>
      <c r="N82" s="204">
        <v>43173</v>
      </c>
      <c r="O82" s="200" t="s">
        <v>2540</v>
      </c>
      <c r="P82" s="200"/>
      <c r="AB82" s="110"/>
      <c r="AC82" s="110"/>
      <c r="AD82" s="110"/>
      <c r="AE82" s="110"/>
    </row>
    <row r="83" spans="1:31">
      <c r="A83" s="196" t="s">
        <v>1592</v>
      </c>
      <c r="C83" s="197">
        <v>181</v>
      </c>
      <c r="D83" s="196">
        <v>0.4042</v>
      </c>
      <c r="E83" s="196">
        <v>10.6159</v>
      </c>
      <c r="F83" s="201">
        <v>0.20250000000000001</v>
      </c>
      <c r="G83" s="200">
        <f t="shared" si="8"/>
        <v>10.8184</v>
      </c>
      <c r="H83" s="200">
        <v>10.634399999999999</v>
      </c>
      <c r="I83" s="200">
        <f t="shared" si="9"/>
        <v>0.18400000000000105</v>
      </c>
      <c r="J83" s="200">
        <f t="shared" si="10"/>
        <v>1.8499999999998962E-2</v>
      </c>
      <c r="K83" s="270">
        <f t="shared" si="11"/>
        <v>9.1358024691352888</v>
      </c>
      <c r="L83" s="200">
        <v>9</v>
      </c>
      <c r="AB83" s="110"/>
      <c r="AC83" s="110"/>
      <c r="AD83" s="110"/>
      <c r="AE83" s="110"/>
    </row>
    <row r="84" spans="1:31">
      <c r="A84" s="196" t="s">
        <v>1591</v>
      </c>
      <c r="C84" s="197">
        <v>71</v>
      </c>
      <c r="D84" s="196">
        <v>0.68149999999999999</v>
      </c>
      <c r="E84" s="200">
        <v>11.0892</v>
      </c>
      <c r="F84" s="201">
        <v>0.2064</v>
      </c>
      <c r="G84" s="200">
        <f t="shared" si="8"/>
        <v>11.2956</v>
      </c>
      <c r="H84" s="200">
        <v>11.1052</v>
      </c>
      <c r="I84" s="200">
        <f t="shared" si="9"/>
        <v>0.19040000000000035</v>
      </c>
      <c r="J84" s="200">
        <f t="shared" si="10"/>
        <v>1.5999999999999653E-2</v>
      </c>
      <c r="K84" s="270">
        <f t="shared" si="11"/>
        <v>7.7519379844959557</v>
      </c>
      <c r="L84" s="200">
        <v>9</v>
      </c>
      <c r="M84" s="203">
        <v>43213</v>
      </c>
      <c r="N84" s="203">
        <v>43213</v>
      </c>
      <c r="AB84" s="110"/>
      <c r="AC84" s="110"/>
      <c r="AD84" s="110"/>
      <c r="AE84" s="110"/>
    </row>
    <row r="85" spans="1:31">
      <c r="A85" s="196" t="s">
        <v>1590</v>
      </c>
      <c r="C85" s="197">
        <v>78</v>
      </c>
      <c r="D85" s="196">
        <v>0.69499999999999995</v>
      </c>
      <c r="E85" s="200">
        <v>10.9214</v>
      </c>
      <c r="F85" s="201">
        <v>0.2006</v>
      </c>
      <c r="G85" s="200">
        <f t="shared" si="8"/>
        <v>11.122</v>
      </c>
      <c r="H85" s="200">
        <v>10.941599999999999</v>
      </c>
      <c r="I85" s="200">
        <f t="shared" si="9"/>
        <v>0.18040000000000056</v>
      </c>
      <c r="J85" s="200">
        <f t="shared" si="10"/>
        <v>2.0199999999999441E-2</v>
      </c>
      <c r="K85" s="270">
        <f t="shared" si="11"/>
        <v>10.069790628115374</v>
      </c>
      <c r="L85" s="200">
        <v>7</v>
      </c>
      <c r="M85" s="203">
        <v>43213</v>
      </c>
      <c r="N85" s="203">
        <v>43213</v>
      </c>
      <c r="AB85" s="110"/>
      <c r="AC85" s="110"/>
      <c r="AD85" s="110"/>
      <c r="AE85" s="110"/>
    </row>
    <row r="86" spans="1:31">
      <c r="A86" s="205" t="s">
        <v>1589</v>
      </c>
      <c r="C86" s="200">
        <v>168</v>
      </c>
      <c r="D86" s="200">
        <v>0.5857</v>
      </c>
      <c r="E86" s="201">
        <v>9.8872999999999998</v>
      </c>
      <c r="F86" s="201">
        <v>0.20119999999999999</v>
      </c>
      <c r="G86" s="200">
        <f t="shared" si="8"/>
        <v>10.0885</v>
      </c>
      <c r="H86" s="200">
        <v>9.9053000000000004</v>
      </c>
      <c r="I86" s="200">
        <f t="shared" si="9"/>
        <v>0.18319999999999936</v>
      </c>
      <c r="J86" s="200">
        <f t="shared" si="10"/>
        <v>1.8000000000000627E-2</v>
      </c>
      <c r="K86" s="270">
        <f t="shared" si="11"/>
        <v>8.9463220675947444</v>
      </c>
      <c r="L86" s="200">
        <v>13</v>
      </c>
      <c r="M86" s="206">
        <v>43185.385416666664</v>
      </c>
      <c r="N86" s="200"/>
      <c r="O86" s="200" t="s">
        <v>2540</v>
      </c>
      <c r="P86" s="200"/>
      <c r="AB86" s="110"/>
      <c r="AC86" s="110"/>
      <c r="AD86" s="110"/>
      <c r="AE86" s="110"/>
    </row>
    <row r="87" spans="1:31">
      <c r="A87" s="205" t="s">
        <v>1588</v>
      </c>
      <c r="C87" s="200">
        <v>198</v>
      </c>
      <c r="D87" s="200">
        <v>0.52729999999999999</v>
      </c>
      <c r="E87" s="200">
        <v>7.8711000000000002</v>
      </c>
      <c r="F87" s="200">
        <v>0.20219999999999999</v>
      </c>
      <c r="G87" s="200">
        <f t="shared" si="8"/>
        <v>8.0732999999999997</v>
      </c>
      <c r="H87" s="200">
        <v>7.8887999999999998</v>
      </c>
      <c r="I87" s="200">
        <f t="shared" si="9"/>
        <v>0.18449999999999989</v>
      </c>
      <c r="J87" s="200">
        <f t="shared" si="10"/>
        <v>1.7700000000000105E-2</v>
      </c>
      <c r="K87" s="270">
        <f t="shared" si="11"/>
        <v>8.7537091988131088</v>
      </c>
      <c r="L87" s="200">
        <v>23</v>
      </c>
      <c r="M87" s="202">
        <v>43164.628472222219</v>
      </c>
      <c r="N87" s="202">
        <v>43164.795138888891</v>
      </c>
      <c r="O87" s="196" t="s">
        <v>2534</v>
      </c>
      <c r="P87" s="200"/>
      <c r="AB87" s="110"/>
      <c r="AC87" s="110"/>
      <c r="AD87" s="110"/>
      <c r="AE87" s="110"/>
    </row>
    <row r="88" spans="1:31">
      <c r="A88" s="200" t="s">
        <v>1581</v>
      </c>
      <c r="C88" s="200">
        <v>89</v>
      </c>
      <c r="D88" s="200">
        <v>1.1642999999999999</v>
      </c>
      <c r="E88" s="200">
        <v>8.1176999999999992</v>
      </c>
      <c r="F88" s="201">
        <v>0.2046</v>
      </c>
      <c r="G88" s="200">
        <f t="shared" si="8"/>
        <v>8.3222999999999985</v>
      </c>
      <c r="H88" s="200">
        <v>8.2159999999999993</v>
      </c>
      <c r="I88" s="200">
        <f t="shared" si="9"/>
        <v>0.10629999999999917</v>
      </c>
      <c r="J88" s="200">
        <f t="shared" si="10"/>
        <v>9.8300000000000831E-2</v>
      </c>
      <c r="K88" s="270">
        <f t="shared" si="11"/>
        <v>48.044965786901678</v>
      </c>
      <c r="L88" s="200">
        <v>6</v>
      </c>
      <c r="M88" s="204">
        <v>43187</v>
      </c>
      <c r="N88" s="204">
        <v>43187</v>
      </c>
      <c r="O88" s="200"/>
      <c r="P88" s="200"/>
      <c r="AB88" s="110"/>
      <c r="AC88" s="110"/>
      <c r="AD88" s="110"/>
      <c r="AE88" s="110"/>
    </row>
    <row r="89" spans="1:31">
      <c r="A89" s="201" t="s">
        <v>1580</v>
      </c>
      <c r="C89" s="200">
        <v>176</v>
      </c>
      <c r="D89" s="200">
        <v>0.42199999999999993</v>
      </c>
      <c r="E89" s="200">
        <v>8.1182999999999996</v>
      </c>
      <c r="F89" s="200">
        <v>0.1956</v>
      </c>
      <c r="G89" s="200">
        <f t="shared" si="8"/>
        <v>8.3139000000000003</v>
      </c>
      <c r="H89" s="200">
        <v>8.1365999999999996</v>
      </c>
      <c r="I89" s="200">
        <f t="shared" si="9"/>
        <v>0.17730000000000068</v>
      </c>
      <c r="J89" s="200">
        <f t="shared" si="10"/>
        <v>1.8299999999999317E-2</v>
      </c>
      <c r="K89" s="270">
        <f t="shared" si="11"/>
        <v>9.3558282208585464</v>
      </c>
      <c r="L89" s="200">
        <v>18</v>
      </c>
      <c r="M89" s="204">
        <v>43173</v>
      </c>
      <c r="N89" s="204">
        <v>43173</v>
      </c>
      <c r="O89" s="200" t="s">
        <v>2540</v>
      </c>
      <c r="P89" s="200" t="s">
        <v>2539</v>
      </c>
      <c r="AB89" s="110"/>
      <c r="AC89" s="110"/>
      <c r="AD89" s="110"/>
      <c r="AE89" s="110"/>
    </row>
    <row r="90" spans="1:31">
      <c r="A90" s="201" t="s">
        <v>1578</v>
      </c>
      <c r="C90" s="200">
        <v>91</v>
      </c>
      <c r="D90" s="200">
        <v>0.51639999999999986</v>
      </c>
      <c r="E90" s="200">
        <v>8.0459999999999994</v>
      </c>
      <c r="F90" s="200">
        <v>0.19969999999999999</v>
      </c>
      <c r="G90" s="200">
        <f t="shared" si="8"/>
        <v>8.2456999999999994</v>
      </c>
      <c r="H90" s="200">
        <v>8.0721000000000007</v>
      </c>
      <c r="I90" s="200">
        <f t="shared" si="9"/>
        <v>0.17359999999999864</v>
      </c>
      <c r="J90" s="200">
        <f t="shared" si="10"/>
        <v>2.6100000000001344E-2</v>
      </c>
      <c r="K90" s="270">
        <f t="shared" si="11"/>
        <v>13.069604406610589</v>
      </c>
      <c r="L90" s="200">
        <v>5</v>
      </c>
      <c r="M90" s="204">
        <v>43173</v>
      </c>
      <c r="N90" s="204">
        <v>43173</v>
      </c>
      <c r="O90" s="200" t="s">
        <v>2540</v>
      </c>
      <c r="P90" s="200" t="s">
        <v>2539</v>
      </c>
      <c r="AB90" s="110"/>
      <c r="AC90" s="110"/>
      <c r="AD90" s="110"/>
      <c r="AE90" s="110"/>
    </row>
    <row r="91" spans="1:31">
      <c r="A91" s="196" t="s">
        <v>1576</v>
      </c>
      <c r="C91" s="196">
        <v>80</v>
      </c>
      <c r="D91" s="196">
        <v>0.7772</v>
      </c>
      <c r="E91" s="196">
        <v>7.8582000000000001</v>
      </c>
      <c r="F91" s="196">
        <v>0.20050000000000001</v>
      </c>
      <c r="G91" s="196">
        <f t="shared" si="8"/>
        <v>8.0587</v>
      </c>
      <c r="H91" s="196">
        <v>7.8699000000000003</v>
      </c>
      <c r="I91" s="196">
        <f t="shared" si="9"/>
        <v>0.18879999999999963</v>
      </c>
      <c r="J91" s="200">
        <f t="shared" si="10"/>
        <v>1.1700000000000377E-2</v>
      </c>
      <c r="K91" s="270">
        <f t="shared" si="11"/>
        <v>5.8354114713218834</v>
      </c>
      <c r="L91" s="196">
        <v>9</v>
      </c>
      <c r="M91" s="196" t="s">
        <v>2564</v>
      </c>
      <c r="N91" s="196" t="s">
        <v>2563</v>
      </c>
      <c r="O91" s="196" t="s">
        <v>2540</v>
      </c>
      <c r="AB91" s="110"/>
      <c r="AC91" s="110"/>
      <c r="AD91" s="110"/>
      <c r="AE91" s="110"/>
    </row>
    <row r="92" spans="1:31">
      <c r="A92" s="200" t="s">
        <v>1575</v>
      </c>
      <c r="C92" s="200">
        <v>81</v>
      </c>
      <c r="D92" s="201">
        <v>0.45200000000000001</v>
      </c>
      <c r="E92" s="201">
        <v>10.739000000000001</v>
      </c>
      <c r="F92" s="201">
        <v>0.20030000000000001</v>
      </c>
      <c r="G92" s="200">
        <f t="shared" si="8"/>
        <v>10.939300000000001</v>
      </c>
      <c r="H92" s="200">
        <v>10.7622</v>
      </c>
      <c r="I92" s="200">
        <f t="shared" si="9"/>
        <v>0.17710000000000115</v>
      </c>
      <c r="J92" s="200">
        <f t="shared" si="10"/>
        <v>2.319999999999886E-2</v>
      </c>
      <c r="K92" s="270">
        <f t="shared" si="11"/>
        <v>11.582626060908067</v>
      </c>
      <c r="L92" s="200">
        <v>31</v>
      </c>
      <c r="M92" s="202">
        <v>43181.645833333336</v>
      </c>
      <c r="N92" s="202">
        <v>43181.833333333336</v>
      </c>
      <c r="O92" s="200" t="s">
        <v>2540</v>
      </c>
      <c r="P92" s="200"/>
      <c r="AB92" s="110"/>
      <c r="AC92" s="110"/>
      <c r="AD92" s="110"/>
      <c r="AE92" s="110"/>
    </row>
    <row r="93" spans="1:31">
      <c r="A93" s="196" t="s">
        <v>1574</v>
      </c>
      <c r="C93" s="197">
        <v>9</v>
      </c>
      <c r="D93" s="196">
        <v>0.46850000000000003</v>
      </c>
      <c r="E93" s="201">
        <v>10.519600000000001</v>
      </c>
      <c r="F93" s="201">
        <v>0.2016</v>
      </c>
      <c r="G93" s="200">
        <f t="shared" si="8"/>
        <v>10.7212</v>
      </c>
      <c r="H93" s="200">
        <v>10.555999999999999</v>
      </c>
      <c r="I93" s="200">
        <f t="shared" si="9"/>
        <v>0.16520000000000046</v>
      </c>
      <c r="J93" s="200">
        <f t="shared" si="10"/>
        <v>3.6399999999999544E-2</v>
      </c>
      <c r="K93" s="270">
        <f t="shared" si="11"/>
        <v>18.05555555555533</v>
      </c>
      <c r="L93" s="200">
        <v>9</v>
      </c>
      <c r="M93" s="203">
        <v>43221</v>
      </c>
      <c r="N93" s="203">
        <v>43221</v>
      </c>
      <c r="AB93" s="110"/>
      <c r="AC93" s="110"/>
      <c r="AD93" s="110"/>
      <c r="AE93" s="110"/>
    </row>
    <row r="94" spans="1:31">
      <c r="A94" s="205" t="s">
        <v>1573</v>
      </c>
      <c r="C94" s="200">
        <v>68</v>
      </c>
      <c r="D94" s="200">
        <v>0.7016</v>
      </c>
      <c r="E94" s="201">
        <v>8.8606999999999996</v>
      </c>
      <c r="F94" s="201">
        <v>0.20250000000000001</v>
      </c>
      <c r="G94" s="200">
        <f t="shared" si="8"/>
        <v>9.0632000000000001</v>
      </c>
      <c r="H94" s="200">
        <v>8.8945000000000007</v>
      </c>
      <c r="I94" s="200">
        <f t="shared" si="9"/>
        <v>0.16869999999999941</v>
      </c>
      <c r="J94" s="200">
        <f t="shared" si="10"/>
        <v>3.3800000000000607E-2</v>
      </c>
      <c r="K94" s="270">
        <f t="shared" si="11"/>
        <v>16.691358024691656</v>
      </c>
      <c r="L94" s="200">
        <v>18</v>
      </c>
      <c r="M94" s="204">
        <v>43199</v>
      </c>
      <c r="N94" s="204">
        <v>43199</v>
      </c>
      <c r="O94" s="200"/>
      <c r="P94" s="200"/>
      <c r="AB94" s="110"/>
      <c r="AC94" s="110"/>
      <c r="AD94" s="110"/>
      <c r="AE94" s="110"/>
    </row>
    <row r="95" spans="1:31">
      <c r="A95" s="196" t="s">
        <v>1571</v>
      </c>
      <c r="C95" s="197">
        <v>96</v>
      </c>
      <c r="D95" s="196">
        <v>0.73119999999999996</v>
      </c>
      <c r="E95" s="201">
        <v>8.8449000000000009</v>
      </c>
      <c r="F95" s="201">
        <v>0.20250000000000001</v>
      </c>
      <c r="G95" s="200">
        <f t="shared" si="8"/>
        <v>9.0474000000000014</v>
      </c>
      <c r="H95" s="200">
        <v>8.8789999999999996</v>
      </c>
      <c r="I95" s="200">
        <f t="shared" si="9"/>
        <v>0.16840000000000188</v>
      </c>
      <c r="J95" s="200">
        <f t="shared" si="10"/>
        <v>3.4099999999998132E-2</v>
      </c>
      <c r="K95" s="270">
        <f t="shared" si="11"/>
        <v>16.839506172838583</v>
      </c>
      <c r="L95" s="200">
        <v>38</v>
      </c>
      <c r="AB95" s="110"/>
      <c r="AC95" s="110"/>
      <c r="AD95" s="110"/>
      <c r="AE95" s="110"/>
    </row>
    <row r="96" spans="1:31">
      <c r="A96" s="200" t="s">
        <v>1567</v>
      </c>
      <c r="C96" s="200">
        <v>177</v>
      </c>
      <c r="D96" s="200">
        <v>0.39500000000000002</v>
      </c>
      <c r="E96" s="200">
        <v>7.7146999999999997</v>
      </c>
      <c r="F96" s="201">
        <v>0.1996</v>
      </c>
      <c r="G96" s="200">
        <f t="shared" si="8"/>
        <v>7.9142999999999999</v>
      </c>
      <c r="H96" s="200">
        <v>7.7317</v>
      </c>
      <c r="I96" s="200">
        <f t="shared" si="9"/>
        <v>0.18259999999999987</v>
      </c>
      <c r="J96" s="200">
        <f t="shared" si="10"/>
        <v>1.7000000000000126E-2</v>
      </c>
      <c r="K96" s="270">
        <f t="shared" si="11"/>
        <v>8.5170340681363346</v>
      </c>
      <c r="L96" s="200">
        <v>38</v>
      </c>
      <c r="M96" s="204">
        <v>43187</v>
      </c>
      <c r="N96" s="204">
        <v>43187</v>
      </c>
      <c r="O96" s="200"/>
      <c r="P96" s="200"/>
      <c r="AB96" s="110"/>
      <c r="AC96" s="110"/>
      <c r="AD96" s="110"/>
      <c r="AE96" s="110"/>
    </row>
    <row r="97" spans="1:31">
      <c r="A97" s="200" t="s">
        <v>1564</v>
      </c>
      <c r="C97" s="200">
        <v>95</v>
      </c>
      <c r="D97" s="200">
        <f>0.4463+F97</f>
        <v>0.65189999999999992</v>
      </c>
      <c r="E97" s="201">
        <v>7.7142999999999997</v>
      </c>
      <c r="F97" s="201">
        <v>0.2056</v>
      </c>
      <c r="G97" s="200">
        <f t="shared" si="8"/>
        <v>7.9199000000000002</v>
      </c>
      <c r="H97" s="200">
        <v>7.7495000000000003</v>
      </c>
      <c r="I97" s="200">
        <f t="shared" si="9"/>
        <v>0.17039999999999988</v>
      </c>
      <c r="J97" s="200">
        <f t="shared" si="10"/>
        <v>3.520000000000012E-2</v>
      </c>
      <c r="K97" s="270">
        <f t="shared" si="11"/>
        <v>17.120622568093445</v>
      </c>
      <c r="L97" s="200">
        <v>17</v>
      </c>
      <c r="M97" s="204">
        <v>43174</v>
      </c>
      <c r="N97" s="204">
        <v>43174</v>
      </c>
      <c r="O97" s="200" t="s">
        <v>2540</v>
      </c>
      <c r="P97" s="200" t="s">
        <v>2535</v>
      </c>
      <c r="AB97" s="110"/>
      <c r="AC97" s="110"/>
      <c r="AD97" s="110"/>
      <c r="AE97" s="110"/>
    </row>
    <row r="98" spans="1:31">
      <c r="A98" s="200" t="s">
        <v>1561</v>
      </c>
      <c r="C98" s="200">
        <v>59</v>
      </c>
      <c r="D98" s="200">
        <v>0.69230000000000003</v>
      </c>
      <c r="E98" s="200">
        <v>9.8870000000000005</v>
      </c>
      <c r="F98" s="200">
        <v>0.20100000000000001</v>
      </c>
      <c r="G98" s="200">
        <f t="shared" ref="G98:G113" si="12">E98+F98</f>
        <v>10.088000000000001</v>
      </c>
      <c r="H98" s="200">
        <v>9.9093999999999998</v>
      </c>
      <c r="I98" s="200">
        <f t="shared" ref="I98:I113" si="13">(G98-H98)</f>
        <v>0.1786000000000012</v>
      </c>
      <c r="J98" s="200">
        <f t="shared" ref="J98:J113" si="14">F98-I98</f>
        <v>2.239999999999881E-2</v>
      </c>
      <c r="K98" s="270">
        <f t="shared" ref="K98:K113" si="15">(J98/F98)*100</f>
        <v>11.144278606964582</v>
      </c>
      <c r="L98" s="200">
        <v>4</v>
      </c>
      <c r="M98" s="204">
        <v>43188</v>
      </c>
      <c r="N98" s="204">
        <v>43188</v>
      </c>
      <c r="O98" s="200"/>
      <c r="P98" s="200"/>
      <c r="U98" s="201" t="s">
        <v>630</v>
      </c>
      <c r="V98" s="196">
        <v>0.72919999999999996</v>
      </c>
      <c r="W98" s="196">
        <f>(V98-$T$175+F96)</f>
        <v>0.92879999999999996</v>
      </c>
      <c r="AB98" s="110"/>
      <c r="AC98" s="110"/>
      <c r="AD98" s="110"/>
      <c r="AE98" s="110"/>
    </row>
    <row r="99" spans="1:31">
      <c r="A99" s="196" t="s">
        <v>1559</v>
      </c>
      <c r="C99" s="200">
        <v>219</v>
      </c>
      <c r="D99" s="200">
        <v>0.4577</v>
      </c>
      <c r="E99" s="200">
        <v>7.8586999999999998</v>
      </c>
      <c r="F99" s="200">
        <v>0.2044</v>
      </c>
      <c r="G99" s="200">
        <f t="shared" si="12"/>
        <v>8.0631000000000004</v>
      </c>
      <c r="H99" s="200">
        <v>7.8825000000000003</v>
      </c>
      <c r="I99" s="200">
        <f t="shared" si="13"/>
        <v>0.18060000000000009</v>
      </c>
      <c r="J99" s="200">
        <f t="shared" si="14"/>
        <v>2.3799999999999905E-2</v>
      </c>
      <c r="K99" s="270">
        <f t="shared" si="15"/>
        <v>11.643835616438309</v>
      </c>
      <c r="L99" s="200">
        <v>11</v>
      </c>
      <c r="M99" s="202">
        <v>43164.628472222219</v>
      </c>
      <c r="N99" s="202">
        <v>43164.795138888891</v>
      </c>
      <c r="O99" s="196" t="s">
        <v>2534</v>
      </c>
      <c r="P99" s="200"/>
      <c r="AB99" s="110"/>
      <c r="AC99" s="110"/>
      <c r="AD99" s="110"/>
      <c r="AE99" s="110"/>
    </row>
    <row r="100" spans="1:31">
      <c r="A100" s="196" t="s">
        <v>1558</v>
      </c>
      <c r="C100" s="196">
        <v>23</v>
      </c>
      <c r="D100" s="196">
        <v>0.55379999999999996</v>
      </c>
      <c r="E100" s="196">
        <v>8.2187999999999999</v>
      </c>
      <c r="F100" s="196">
        <v>0.19950000000000001</v>
      </c>
      <c r="G100" s="196">
        <f t="shared" si="12"/>
        <v>8.4183000000000003</v>
      </c>
      <c r="H100" s="196">
        <v>8.2416999999999998</v>
      </c>
      <c r="I100" s="196">
        <f t="shared" si="13"/>
        <v>0.17660000000000053</v>
      </c>
      <c r="J100" s="200">
        <f t="shared" si="14"/>
        <v>2.2899999999999476E-2</v>
      </c>
      <c r="K100" s="270">
        <f t="shared" si="15"/>
        <v>11.478696741854373</v>
      </c>
      <c r="L100" s="196">
        <v>23</v>
      </c>
      <c r="M100" s="196" t="s">
        <v>2570</v>
      </c>
      <c r="N100" s="196" t="s">
        <v>2569</v>
      </c>
      <c r="O100" s="196" t="s">
        <v>2534</v>
      </c>
      <c r="AB100" s="110"/>
      <c r="AC100" s="110"/>
      <c r="AD100" s="110"/>
      <c r="AE100" s="110"/>
    </row>
    <row r="101" spans="1:31">
      <c r="A101" s="200" t="s">
        <v>1556</v>
      </c>
      <c r="C101" s="200">
        <v>83</v>
      </c>
      <c r="D101" s="201">
        <v>0.66449999999999998</v>
      </c>
      <c r="E101" s="200">
        <v>9.3219999999999992</v>
      </c>
      <c r="F101" s="201">
        <v>0.20349999999999999</v>
      </c>
      <c r="G101" s="200">
        <f t="shared" si="12"/>
        <v>9.5254999999999992</v>
      </c>
      <c r="H101" s="200">
        <v>9.3597000000000001</v>
      </c>
      <c r="I101" s="200">
        <f t="shared" si="13"/>
        <v>0.16579999999999906</v>
      </c>
      <c r="J101" s="200">
        <f t="shared" si="14"/>
        <v>3.7700000000000927E-2</v>
      </c>
      <c r="K101" s="270">
        <f t="shared" si="15"/>
        <v>18.525798525798983</v>
      </c>
      <c r="L101" s="200">
        <v>4</v>
      </c>
      <c r="M101" s="204">
        <v>43206</v>
      </c>
      <c r="N101" s="204">
        <v>43206</v>
      </c>
      <c r="O101" s="200"/>
      <c r="P101" s="200"/>
      <c r="AB101" s="110"/>
      <c r="AC101" s="110"/>
      <c r="AD101" s="110"/>
      <c r="AE101" s="110"/>
    </row>
    <row r="102" spans="1:31">
      <c r="A102" s="200" t="s">
        <v>1554</v>
      </c>
      <c r="C102" s="200">
        <v>169</v>
      </c>
      <c r="D102" s="200">
        <v>0.37340000000000001</v>
      </c>
      <c r="E102" s="200">
        <v>11.0869</v>
      </c>
      <c r="F102" s="201">
        <v>0.20369999999999999</v>
      </c>
      <c r="G102" s="200">
        <f t="shared" si="12"/>
        <v>11.2906</v>
      </c>
      <c r="H102" s="200">
        <v>11.1061</v>
      </c>
      <c r="I102" s="196">
        <f t="shared" si="13"/>
        <v>0.18449999999999989</v>
      </c>
      <c r="J102" s="200">
        <f t="shared" si="14"/>
        <v>1.9200000000000106E-2</v>
      </c>
      <c r="K102" s="270">
        <f t="shared" si="15"/>
        <v>9.4256259204713331</v>
      </c>
      <c r="L102" s="200">
        <v>22</v>
      </c>
      <c r="M102" s="204">
        <v>43187</v>
      </c>
      <c r="N102" s="204">
        <v>43187</v>
      </c>
      <c r="O102" s="200"/>
      <c r="P102" s="200"/>
      <c r="AB102" s="110"/>
      <c r="AC102" s="110"/>
      <c r="AD102" s="110"/>
      <c r="AE102" s="110"/>
    </row>
    <row r="103" spans="1:31">
      <c r="A103" s="196" t="s">
        <v>1553</v>
      </c>
      <c r="C103" s="196">
        <v>5</v>
      </c>
      <c r="D103" s="196">
        <v>0.27200000000000002</v>
      </c>
      <c r="E103" s="201">
        <v>8.7027000000000001</v>
      </c>
      <c r="F103" s="201">
        <v>0.20880000000000001</v>
      </c>
      <c r="G103" s="200">
        <f t="shared" si="12"/>
        <v>8.9115000000000002</v>
      </c>
      <c r="H103" s="200">
        <v>8.7432999999999996</v>
      </c>
      <c r="I103" s="200">
        <f t="shared" si="13"/>
        <v>0.16820000000000057</v>
      </c>
      <c r="J103" s="200">
        <f t="shared" si="14"/>
        <v>4.0599999999999442E-2</v>
      </c>
      <c r="K103" s="270">
        <f t="shared" si="15"/>
        <v>19.444444444444176</v>
      </c>
      <c r="L103" s="200">
        <v>12</v>
      </c>
      <c r="M103" s="203">
        <v>43221</v>
      </c>
      <c r="N103" s="203">
        <v>43221</v>
      </c>
      <c r="AB103" s="110"/>
      <c r="AC103" s="110"/>
      <c r="AD103" s="110"/>
      <c r="AE103" s="110"/>
    </row>
    <row r="104" spans="1:31">
      <c r="A104" s="196" t="s">
        <v>1552</v>
      </c>
      <c r="C104" s="197">
        <v>73</v>
      </c>
      <c r="D104" s="196">
        <v>0.52549999999999997</v>
      </c>
      <c r="E104" s="200">
        <v>11.033200000000001</v>
      </c>
      <c r="F104" s="201">
        <v>0.19969999999999999</v>
      </c>
      <c r="G104" s="200">
        <f t="shared" si="12"/>
        <v>11.232900000000001</v>
      </c>
      <c r="H104" s="200">
        <v>11.0496</v>
      </c>
      <c r="I104" s="200">
        <f t="shared" si="13"/>
        <v>0.18330000000000091</v>
      </c>
      <c r="J104" s="200">
        <f t="shared" si="14"/>
        <v>1.6399999999999082E-2</v>
      </c>
      <c r="K104" s="270">
        <f t="shared" si="15"/>
        <v>8.2123184777161153</v>
      </c>
      <c r="L104" s="200">
        <v>6</v>
      </c>
      <c r="M104" s="203">
        <v>43213</v>
      </c>
      <c r="N104" s="203">
        <v>43213</v>
      </c>
      <c r="AB104" s="110"/>
      <c r="AC104" s="110"/>
      <c r="AD104" s="110"/>
      <c r="AE104" s="110"/>
    </row>
    <row r="105" spans="1:31">
      <c r="A105" s="205" t="s">
        <v>1551</v>
      </c>
      <c r="C105" s="200">
        <v>38</v>
      </c>
      <c r="D105" s="200">
        <v>0.53339999999999999</v>
      </c>
      <c r="E105" s="201">
        <v>7.0739999999999998</v>
      </c>
      <c r="F105" s="201">
        <v>0.20050000000000001</v>
      </c>
      <c r="G105" s="200">
        <f t="shared" si="12"/>
        <v>7.2744999999999997</v>
      </c>
      <c r="H105" s="200">
        <v>7.1116999999999999</v>
      </c>
      <c r="I105" s="200">
        <f t="shared" si="13"/>
        <v>0.16279999999999983</v>
      </c>
      <c r="J105" s="200">
        <f t="shared" si="14"/>
        <v>3.7700000000000178E-2</v>
      </c>
      <c r="K105" s="270">
        <f t="shared" si="15"/>
        <v>18.802992518703331</v>
      </c>
      <c r="L105" s="200">
        <v>29</v>
      </c>
      <c r="M105" s="204">
        <v>43188</v>
      </c>
      <c r="N105" s="204">
        <v>43188</v>
      </c>
      <c r="O105" s="200"/>
      <c r="P105" s="200"/>
      <c r="AB105" s="110"/>
      <c r="AC105" s="110"/>
      <c r="AD105" s="110"/>
      <c r="AE105" s="110"/>
    </row>
    <row r="106" spans="1:31">
      <c r="A106" s="196" t="s">
        <v>1550</v>
      </c>
      <c r="C106" s="196">
        <v>30</v>
      </c>
      <c r="D106" s="196">
        <v>0.42280000000000001</v>
      </c>
      <c r="E106" s="201">
        <v>7.8388999999999998</v>
      </c>
      <c r="F106" s="201">
        <v>0.2036</v>
      </c>
      <c r="G106" s="200">
        <f t="shared" si="12"/>
        <v>8.0425000000000004</v>
      </c>
      <c r="H106" s="200">
        <v>7.8612000000000002</v>
      </c>
      <c r="I106" s="200">
        <f t="shared" si="13"/>
        <v>0.18130000000000024</v>
      </c>
      <c r="J106" s="200">
        <f t="shared" si="14"/>
        <v>2.2299999999999764E-2</v>
      </c>
      <c r="K106" s="270">
        <f t="shared" si="15"/>
        <v>10.952848722986133</v>
      </c>
      <c r="L106" s="200">
        <v>2</v>
      </c>
      <c r="AB106" s="110"/>
      <c r="AC106" s="110"/>
      <c r="AD106" s="110"/>
      <c r="AE106" s="110"/>
    </row>
    <row r="107" spans="1:31">
      <c r="A107" s="196" t="s">
        <v>1548</v>
      </c>
      <c r="C107" s="197">
        <v>28</v>
      </c>
      <c r="D107" s="196">
        <v>0.41510000000000002</v>
      </c>
      <c r="E107" s="201">
        <v>7.19</v>
      </c>
      <c r="F107" s="201">
        <v>0.20469999999999999</v>
      </c>
      <c r="G107" s="200">
        <f t="shared" si="12"/>
        <v>7.3947000000000003</v>
      </c>
      <c r="H107" s="200">
        <v>7.2107999999999999</v>
      </c>
      <c r="I107" s="200">
        <f t="shared" si="13"/>
        <v>0.1839000000000004</v>
      </c>
      <c r="J107" s="200">
        <f t="shared" si="14"/>
        <v>2.0799999999999597E-2</v>
      </c>
      <c r="K107" s="270">
        <f t="shared" si="15"/>
        <v>10.16121152906673</v>
      </c>
      <c r="L107" s="200">
        <v>1</v>
      </c>
      <c r="M107" s="203">
        <v>43221</v>
      </c>
      <c r="N107" s="203">
        <v>43221</v>
      </c>
      <c r="AB107" s="110"/>
      <c r="AC107" s="110"/>
      <c r="AD107" s="110"/>
      <c r="AE107" s="110"/>
    </row>
    <row r="108" spans="1:31">
      <c r="A108" s="205" t="s">
        <v>1547</v>
      </c>
      <c r="C108" s="196">
        <v>14</v>
      </c>
      <c r="D108" s="201">
        <v>0.31840000000000002</v>
      </c>
      <c r="E108" s="201">
        <v>9.2353000000000005</v>
      </c>
      <c r="F108" s="201">
        <v>0.20200000000000001</v>
      </c>
      <c r="G108" s="200">
        <f t="shared" si="12"/>
        <v>9.4373000000000005</v>
      </c>
      <c r="H108" s="200">
        <v>9.2614999999999998</v>
      </c>
      <c r="I108" s="200">
        <f t="shared" si="13"/>
        <v>0.17580000000000062</v>
      </c>
      <c r="J108" s="200">
        <f t="shared" si="14"/>
        <v>2.619999999999939E-2</v>
      </c>
      <c r="K108" s="270">
        <f t="shared" si="15"/>
        <v>12.970297029702667</v>
      </c>
      <c r="L108" s="200">
        <v>26</v>
      </c>
      <c r="M108" s="204">
        <v>43199</v>
      </c>
      <c r="N108" s="204">
        <v>43199</v>
      </c>
      <c r="O108" s="200"/>
      <c r="P108" s="200"/>
      <c r="AB108" s="110"/>
      <c r="AC108" s="110"/>
      <c r="AD108" s="110"/>
      <c r="AE108" s="110"/>
    </row>
    <row r="109" spans="1:31">
      <c r="A109" s="200" t="s">
        <v>1546</v>
      </c>
      <c r="C109" s="200">
        <v>171</v>
      </c>
      <c r="D109" s="200">
        <v>0.36259999999999998</v>
      </c>
      <c r="E109" s="201">
        <v>8.8628999999999998</v>
      </c>
      <c r="F109" s="201">
        <v>0.20030000000000001</v>
      </c>
      <c r="G109" s="200">
        <f t="shared" si="12"/>
        <v>9.0632000000000001</v>
      </c>
      <c r="H109" s="200">
        <v>8.8802000000000003</v>
      </c>
      <c r="I109" s="200">
        <f t="shared" si="13"/>
        <v>0.18299999999999983</v>
      </c>
      <c r="J109" s="200">
        <f t="shared" si="14"/>
        <v>1.7300000000000176E-2</v>
      </c>
      <c r="K109" s="270">
        <f t="shared" si="15"/>
        <v>8.6370444333500629</v>
      </c>
      <c r="L109" s="200">
        <v>10</v>
      </c>
      <c r="M109" s="204">
        <v>43174</v>
      </c>
      <c r="N109" s="204">
        <v>43174</v>
      </c>
      <c r="O109" s="200" t="s">
        <v>2540</v>
      </c>
      <c r="P109" s="200" t="s">
        <v>2535</v>
      </c>
      <c r="AB109" s="110"/>
      <c r="AC109" s="110"/>
      <c r="AD109" s="110"/>
      <c r="AE109" s="110"/>
    </row>
    <row r="110" spans="1:31">
      <c r="A110" s="196" t="s">
        <v>1545</v>
      </c>
      <c r="C110" s="196">
        <v>20</v>
      </c>
      <c r="D110" s="196">
        <v>0.4824</v>
      </c>
      <c r="E110" s="196">
        <v>7.7733999999999996</v>
      </c>
      <c r="F110" s="196">
        <v>0.20100000000000001</v>
      </c>
      <c r="G110" s="196">
        <f t="shared" si="12"/>
        <v>7.9743999999999993</v>
      </c>
      <c r="H110" s="196">
        <v>7.7953999999999999</v>
      </c>
      <c r="I110" s="196">
        <f t="shared" si="13"/>
        <v>0.17899999999999938</v>
      </c>
      <c r="J110" s="200">
        <f t="shared" si="14"/>
        <v>2.200000000000063E-2</v>
      </c>
      <c r="K110" s="270">
        <f t="shared" si="15"/>
        <v>10.945273631841108</v>
      </c>
      <c r="L110" s="196">
        <v>8</v>
      </c>
      <c r="M110" s="196" t="s">
        <v>2570</v>
      </c>
      <c r="N110" s="196" t="s">
        <v>2569</v>
      </c>
      <c r="O110" s="196" t="s">
        <v>2534</v>
      </c>
      <c r="AB110" s="110"/>
      <c r="AC110" s="110"/>
      <c r="AD110" s="110"/>
      <c r="AE110" s="110"/>
    </row>
    <row r="111" spans="1:31">
      <c r="A111" s="196" t="s">
        <v>1544</v>
      </c>
      <c r="C111" s="197">
        <v>26</v>
      </c>
      <c r="D111" s="196">
        <v>0.47610000000000002</v>
      </c>
      <c r="E111" s="201">
        <v>10.617699999999999</v>
      </c>
      <c r="F111" s="201">
        <v>0.2009</v>
      </c>
      <c r="G111" s="200">
        <f t="shared" si="12"/>
        <v>10.8186</v>
      </c>
      <c r="H111" s="200">
        <v>10.6349</v>
      </c>
      <c r="I111" s="200">
        <f t="shared" si="13"/>
        <v>0.18369999999999997</v>
      </c>
      <c r="J111" s="200">
        <f t="shared" si="14"/>
        <v>1.7200000000000021E-2</v>
      </c>
      <c r="K111" s="270">
        <f t="shared" si="15"/>
        <v>8.561473369835749</v>
      </c>
      <c r="L111" s="200">
        <v>31</v>
      </c>
      <c r="M111" s="203">
        <v>43221</v>
      </c>
      <c r="N111" s="203">
        <v>43221</v>
      </c>
      <c r="AB111" s="110"/>
      <c r="AC111" s="110"/>
      <c r="AD111" s="110"/>
      <c r="AE111" s="110"/>
    </row>
    <row r="112" spans="1:31">
      <c r="A112" s="205" t="s">
        <v>1543</v>
      </c>
      <c r="C112" s="200">
        <v>36</v>
      </c>
      <c r="D112" s="201">
        <v>0.48480000000000001</v>
      </c>
      <c r="E112" s="201">
        <v>10.521000000000001</v>
      </c>
      <c r="F112" s="201">
        <v>0.20599999999999999</v>
      </c>
      <c r="G112" s="200">
        <f t="shared" si="12"/>
        <v>10.727</v>
      </c>
      <c r="H112" s="200">
        <v>10.5381</v>
      </c>
      <c r="I112" s="200">
        <f t="shared" si="13"/>
        <v>0.18890000000000029</v>
      </c>
      <c r="J112" s="200">
        <f t="shared" si="14"/>
        <v>1.7099999999999699E-2</v>
      </c>
      <c r="K112" s="270">
        <f t="shared" si="15"/>
        <v>8.3009708737862624</v>
      </c>
      <c r="L112" s="200">
        <v>23</v>
      </c>
      <c r="M112" s="204">
        <v>43199</v>
      </c>
      <c r="N112" s="204">
        <v>43199</v>
      </c>
      <c r="O112" s="200"/>
      <c r="P112" s="205" t="s">
        <v>2579</v>
      </c>
      <c r="AB112" s="110"/>
      <c r="AC112" s="110"/>
      <c r="AD112" s="110"/>
      <c r="AE112" s="110"/>
    </row>
    <row r="113" spans="1:31">
      <c r="A113" s="205" t="s">
        <v>1542</v>
      </c>
      <c r="C113" s="200">
        <v>208</v>
      </c>
      <c r="D113" s="200">
        <v>0.60719999999999996</v>
      </c>
      <c r="E113" s="200">
        <v>7.0932000000000004</v>
      </c>
      <c r="F113" s="200">
        <v>0.20119999999999999</v>
      </c>
      <c r="G113" s="200">
        <f t="shared" si="12"/>
        <v>7.2944000000000004</v>
      </c>
      <c r="H113" s="200">
        <v>7.1178999999999997</v>
      </c>
      <c r="I113" s="200">
        <f t="shared" si="13"/>
        <v>0.17650000000000077</v>
      </c>
      <c r="J113" s="200">
        <f t="shared" si="14"/>
        <v>2.4699999999999223E-2</v>
      </c>
      <c r="K113" s="270">
        <f t="shared" si="15"/>
        <v>12.276341948309753</v>
      </c>
      <c r="L113" s="200">
        <v>7</v>
      </c>
      <c r="M113" s="202">
        <v>43171.520833333336</v>
      </c>
      <c r="N113" s="202">
        <v>43171.6875</v>
      </c>
      <c r="O113" s="196" t="s">
        <v>2534</v>
      </c>
      <c r="P113" s="200"/>
      <c r="AB113" s="110"/>
      <c r="AC113" s="110"/>
      <c r="AD113" s="110"/>
      <c r="AE113" s="110"/>
    </row>
    <row r="114" spans="1:31">
      <c r="A114" t="s">
        <v>1541</v>
      </c>
      <c r="C114">
        <v>77</v>
      </c>
      <c r="D114">
        <v>0.77639999999999998</v>
      </c>
      <c r="E114">
        <v>11.032999999999999</v>
      </c>
      <c r="F114">
        <v>0.20580000000000001</v>
      </c>
      <c r="G114">
        <v>9.0523000000000007</v>
      </c>
      <c r="H114">
        <v>0.21</v>
      </c>
      <c r="I114">
        <f>G114+H114</f>
        <v>9.2623000000000015</v>
      </c>
      <c r="J114">
        <v>9.0776000000000003</v>
      </c>
      <c r="K114">
        <f>I114-J114</f>
        <v>0.1847000000000012</v>
      </c>
      <c r="L114">
        <v>34</v>
      </c>
      <c r="M114">
        <v>43187</v>
      </c>
      <c r="N114">
        <v>43187</v>
      </c>
      <c r="O114"/>
      <c r="P114"/>
      <c r="Q114"/>
      <c r="R114"/>
      <c r="AB114" s="110"/>
      <c r="AC114" s="110"/>
      <c r="AD114" s="110"/>
      <c r="AE114" s="110"/>
    </row>
    <row r="115" spans="1:31">
      <c r="A115" s="196" t="s">
        <v>1539</v>
      </c>
      <c r="C115" s="196">
        <v>71</v>
      </c>
      <c r="D115" s="196">
        <v>0.65559999999999996</v>
      </c>
      <c r="E115" s="201">
        <v>8.1356999999999999</v>
      </c>
      <c r="F115" s="201">
        <v>0.20030000000000001</v>
      </c>
      <c r="G115" s="200">
        <f t="shared" ref="G115:G146" si="16">E115+F115</f>
        <v>8.3360000000000003</v>
      </c>
      <c r="H115" s="200">
        <v>8.1544000000000008</v>
      </c>
      <c r="I115" s="200">
        <f t="shared" ref="I115:I161" si="17">(G115-H115)</f>
        <v>0.18159999999999954</v>
      </c>
      <c r="J115" s="200">
        <f t="shared" ref="J115:J146" si="18">F115-I115</f>
        <v>1.8700000000000466E-2</v>
      </c>
      <c r="K115" s="270">
        <f t="shared" ref="K115:K146" si="19">(J115/F115)*100</f>
        <v>9.3359960059912463</v>
      </c>
      <c r="L115" s="200">
        <v>18</v>
      </c>
      <c r="AB115" s="110"/>
      <c r="AC115" s="110"/>
      <c r="AD115" s="110"/>
      <c r="AE115" s="110"/>
    </row>
    <row r="116" spans="1:31">
      <c r="A116" s="196" t="s">
        <v>1538</v>
      </c>
      <c r="C116" s="200">
        <v>47</v>
      </c>
      <c r="D116" s="200">
        <v>0.56459999999999999</v>
      </c>
      <c r="E116" s="200">
        <v>8.7022999999999993</v>
      </c>
      <c r="F116" s="201">
        <v>0.19969999999999999</v>
      </c>
      <c r="G116" s="200">
        <f t="shared" si="16"/>
        <v>8.9019999999999992</v>
      </c>
      <c r="H116" s="200">
        <v>8.7187000000000001</v>
      </c>
      <c r="I116" s="200">
        <f t="shared" si="17"/>
        <v>0.18329999999999913</v>
      </c>
      <c r="J116" s="200">
        <f t="shared" si="18"/>
        <v>1.6400000000000858E-2</v>
      </c>
      <c r="K116" s="270">
        <f t="shared" si="19"/>
        <v>8.2123184777170053</v>
      </c>
      <c r="L116" s="200">
        <v>20</v>
      </c>
      <c r="M116" s="204">
        <v>43211</v>
      </c>
      <c r="AB116" s="110"/>
      <c r="AC116" s="110"/>
      <c r="AD116" s="110"/>
      <c r="AE116" s="110"/>
    </row>
    <row r="117" spans="1:31">
      <c r="A117" s="196" t="s">
        <v>1537</v>
      </c>
      <c r="C117" s="196">
        <v>58</v>
      </c>
      <c r="D117" s="196">
        <v>0.69220000000000004</v>
      </c>
      <c r="E117" s="196">
        <v>7.0768000000000004</v>
      </c>
      <c r="F117" s="196">
        <v>0.2016</v>
      </c>
      <c r="G117" s="196">
        <f t="shared" si="16"/>
        <v>7.2784000000000004</v>
      </c>
      <c r="H117" s="196">
        <v>7.1125999999999996</v>
      </c>
      <c r="I117" s="196">
        <f t="shared" si="17"/>
        <v>0.16580000000000084</v>
      </c>
      <c r="J117" s="200">
        <f t="shared" si="18"/>
        <v>3.5799999999999166E-2</v>
      </c>
      <c r="K117" s="270">
        <f t="shared" si="19"/>
        <v>17.757936507936094</v>
      </c>
      <c r="L117" s="196">
        <v>38</v>
      </c>
      <c r="M117" s="196" t="s">
        <v>2570</v>
      </c>
      <c r="N117" s="196" t="s">
        <v>2569</v>
      </c>
      <c r="O117" s="196" t="s">
        <v>2534</v>
      </c>
      <c r="U117" s="201" t="s">
        <v>1101</v>
      </c>
      <c r="V117" s="196">
        <v>1.7727999999999999</v>
      </c>
      <c r="W117" s="196">
        <f>(V117-$T$175+F115)</f>
        <v>1.9730999999999999</v>
      </c>
      <c r="AB117" s="110"/>
      <c r="AC117" s="110"/>
      <c r="AD117" s="110"/>
      <c r="AE117" s="110"/>
    </row>
    <row r="118" spans="1:31">
      <c r="A118" s="196" t="s">
        <v>1536</v>
      </c>
      <c r="C118" s="197">
        <v>9</v>
      </c>
      <c r="D118" s="196">
        <v>0.43419999999999997</v>
      </c>
      <c r="E118" s="201">
        <v>9.7262000000000004</v>
      </c>
      <c r="F118" s="201">
        <v>0.20660000000000001</v>
      </c>
      <c r="G118" s="200">
        <f t="shared" si="16"/>
        <v>9.9328000000000003</v>
      </c>
      <c r="H118" s="200">
        <v>9.7454000000000001</v>
      </c>
      <c r="I118" s="200">
        <f t="shared" si="17"/>
        <v>0.18740000000000023</v>
      </c>
      <c r="J118" s="200">
        <f t="shared" si="18"/>
        <v>1.9199999999999773E-2</v>
      </c>
      <c r="K118" s="270">
        <f t="shared" si="19"/>
        <v>9.2933204259437421</v>
      </c>
      <c r="L118" s="200">
        <v>14</v>
      </c>
      <c r="M118" s="203">
        <v>43221</v>
      </c>
      <c r="N118" s="203">
        <v>43221</v>
      </c>
      <c r="AB118" s="110"/>
      <c r="AC118" s="110"/>
      <c r="AD118" s="110"/>
      <c r="AE118" s="110"/>
    </row>
    <row r="119" spans="1:31">
      <c r="A119" s="196" t="s">
        <v>1534</v>
      </c>
      <c r="C119" s="196">
        <v>34</v>
      </c>
      <c r="D119" s="196">
        <v>0.70489999999999997</v>
      </c>
      <c r="E119" s="196">
        <v>8.8455999999999992</v>
      </c>
      <c r="F119" s="196">
        <v>0.20119999999999999</v>
      </c>
      <c r="G119" s="196">
        <f t="shared" si="16"/>
        <v>9.0467999999999993</v>
      </c>
      <c r="H119" s="196">
        <v>8.9246999999999996</v>
      </c>
      <c r="I119" s="196">
        <f t="shared" si="17"/>
        <v>0.12209999999999965</v>
      </c>
      <c r="J119" s="200">
        <f t="shared" si="18"/>
        <v>7.9100000000000337E-2</v>
      </c>
      <c r="K119" s="270">
        <f t="shared" si="19"/>
        <v>39.314115308151266</v>
      </c>
      <c r="L119" s="196">
        <v>11</v>
      </c>
      <c r="M119" s="196" t="s">
        <v>2570</v>
      </c>
      <c r="N119" s="196" t="s">
        <v>2569</v>
      </c>
      <c r="O119" s="196" t="s">
        <v>2534</v>
      </c>
      <c r="AB119" s="110"/>
      <c r="AC119" s="110"/>
      <c r="AD119" s="110"/>
      <c r="AE119" s="110"/>
    </row>
    <row r="120" spans="1:31">
      <c r="A120" s="196" t="s">
        <v>1532</v>
      </c>
      <c r="C120" s="196">
        <v>30</v>
      </c>
      <c r="D120" s="196">
        <v>0.4824</v>
      </c>
      <c r="E120" s="201">
        <v>11.003</v>
      </c>
      <c r="F120" s="201">
        <v>0.20799999999999999</v>
      </c>
      <c r="G120" s="200">
        <f t="shared" si="16"/>
        <v>11.211</v>
      </c>
      <c r="H120" s="200">
        <v>11.0259</v>
      </c>
      <c r="I120" s="200">
        <f t="shared" si="17"/>
        <v>0.18510000000000026</v>
      </c>
      <c r="J120" s="200">
        <f t="shared" si="18"/>
        <v>2.2899999999999726E-2</v>
      </c>
      <c r="K120" s="270">
        <f t="shared" si="19"/>
        <v>11.009615384615254</v>
      </c>
      <c r="L120" s="200">
        <v>7</v>
      </c>
      <c r="M120" s="203">
        <v>43221</v>
      </c>
      <c r="N120" s="203">
        <v>43221</v>
      </c>
      <c r="AB120" s="110"/>
      <c r="AC120" s="110"/>
      <c r="AD120" s="110"/>
      <c r="AE120" s="110"/>
    </row>
    <row r="121" spans="1:31">
      <c r="A121" s="196" t="s">
        <v>1531</v>
      </c>
      <c r="C121" s="196">
        <v>45</v>
      </c>
      <c r="D121" s="196">
        <v>0.56710000000000005</v>
      </c>
      <c r="E121" s="196">
        <v>9.0525000000000002</v>
      </c>
      <c r="F121" s="196">
        <v>0.20050000000000001</v>
      </c>
      <c r="G121" s="196">
        <f t="shared" si="16"/>
        <v>9.2530000000000001</v>
      </c>
      <c r="H121" s="196">
        <v>9.0713000000000008</v>
      </c>
      <c r="I121" s="196">
        <f t="shared" si="17"/>
        <v>0.18169999999999931</v>
      </c>
      <c r="J121" s="200">
        <f t="shared" si="18"/>
        <v>1.8800000000000705E-2</v>
      </c>
      <c r="K121" s="270">
        <f t="shared" si="19"/>
        <v>9.376558603491624</v>
      </c>
      <c r="L121" s="196">
        <v>19</v>
      </c>
      <c r="M121" s="196" t="s">
        <v>2570</v>
      </c>
      <c r="N121" s="196" t="s">
        <v>2569</v>
      </c>
      <c r="O121" s="196" t="s">
        <v>2534</v>
      </c>
      <c r="AB121" s="110"/>
      <c r="AC121" s="110"/>
      <c r="AD121" s="110"/>
      <c r="AE121" s="110"/>
    </row>
    <row r="122" spans="1:31">
      <c r="A122" s="205" t="s">
        <v>1530</v>
      </c>
      <c r="C122" s="200">
        <v>84</v>
      </c>
      <c r="D122" s="200">
        <v>0.59250000000000003</v>
      </c>
      <c r="E122" s="201">
        <v>10.702500000000001</v>
      </c>
      <c r="F122" s="201">
        <v>0.20050000000000001</v>
      </c>
      <c r="G122" s="200">
        <f t="shared" si="16"/>
        <v>10.903</v>
      </c>
      <c r="H122" s="200">
        <v>10.724</v>
      </c>
      <c r="I122" s="200">
        <f t="shared" si="17"/>
        <v>0.17900000000000027</v>
      </c>
      <c r="J122" s="200">
        <f t="shared" si="18"/>
        <v>2.1499999999999742E-2</v>
      </c>
      <c r="K122" s="270">
        <f t="shared" si="19"/>
        <v>10.723192019949995</v>
      </c>
      <c r="L122" s="200">
        <v>5</v>
      </c>
      <c r="M122" s="206">
        <v>43186.458333333336</v>
      </c>
      <c r="N122" s="206">
        <v>43186.625</v>
      </c>
      <c r="O122" s="196" t="s">
        <v>2534</v>
      </c>
      <c r="P122" s="200"/>
      <c r="AB122" s="110"/>
      <c r="AC122" s="110"/>
      <c r="AD122" s="110"/>
      <c r="AE122" s="110"/>
    </row>
    <row r="123" spans="1:31">
      <c r="A123" s="196" t="s">
        <v>1529</v>
      </c>
      <c r="C123" s="197">
        <v>31</v>
      </c>
      <c r="D123" s="196">
        <v>0.50560000000000005</v>
      </c>
      <c r="E123" s="200">
        <v>10.201499999999999</v>
      </c>
      <c r="F123" s="201">
        <v>0.20619999999999999</v>
      </c>
      <c r="G123" s="200">
        <f t="shared" si="16"/>
        <v>10.4077</v>
      </c>
      <c r="H123" s="200">
        <v>10.230700000000001</v>
      </c>
      <c r="I123" s="200">
        <f t="shared" si="17"/>
        <v>0.1769999999999996</v>
      </c>
      <c r="J123" s="200">
        <f t="shared" si="18"/>
        <v>2.9200000000000392E-2</v>
      </c>
      <c r="K123" s="270">
        <f t="shared" si="19"/>
        <v>14.161008729389133</v>
      </c>
      <c r="L123" s="200">
        <v>11</v>
      </c>
      <c r="M123" s="203">
        <v>43213</v>
      </c>
      <c r="N123" s="203">
        <v>43213</v>
      </c>
      <c r="AB123" s="110"/>
      <c r="AC123" s="110"/>
      <c r="AD123" s="110"/>
      <c r="AE123" s="110"/>
    </row>
    <row r="124" spans="1:31">
      <c r="A124" s="196" t="s">
        <v>1528</v>
      </c>
      <c r="C124" s="197">
        <v>191</v>
      </c>
      <c r="D124" s="196">
        <v>0.43</v>
      </c>
      <c r="E124" s="200">
        <v>9.7736000000000001</v>
      </c>
      <c r="F124" s="201">
        <v>0.20030000000000001</v>
      </c>
      <c r="G124" s="200">
        <f t="shared" si="16"/>
        <v>9.9739000000000004</v>
      </c>
      <c r="H124" s="200">
        <v>9.7920999999999996</v>
      </c>
      <c r="I124" s="200">
        <f t="shared" si="17"/>
        <v>0.18180000000000085</v>
      </c>
      <c r="J124" s="200">
        <f t="shared" si="18"/>
        <v>1.8499999999999156E-2</v>
      </c>
      <c r="K124" s="270">
        <f t="shared" si="19"/>
        <v>9.2361457813275862</v>
      </c>
      <c r="L124" s="200">
        <v>36</v>
      </c>
      <c r="M124" s="203">
        <v>43212</v>
      </c>
      <c r="AB124" s="110"/>
      <c r="AC124" s="110"/>
      <c r="AD124" s="110"/>
      <c r="AE124" s="110"/>
    </row>
    <row r="125" spans="1:31">
      <c r="A125" s="196" t="s">
        <v>1527</v>
      </c>
      <c r="C125" s="196">
        <v>11</v>
      </c>
      <c r="D125" s="196">
        <v>0.4375</v>
      </c>
      <c r="E125" s="201">
        <v>7.9939999999999998</v>
      </c>
      <c r="F125" s="201">
        <v>0.2016</v>
      </c>
      <c r="G125" s="200">
        <f t="shared" si="16"/>
        <v>8.1955999999999989</v>
      </c>
      <c r="H125" s="200">
        <v>8.0132999999999992</v>
      </c>
      <c r="I125" s="200">
        <f t="shared" si="17"/>
        <v>0.18229999999999968</v>
      </c>
      <c r="J125" s="200">
        <f t="shared" si="18"/>
        <v>1.9300000000000317E-2</v>
      </c>
      <c r="K125" s="270">
        <f t="shared" si="19"/>
        <v>9.5734126984128558</v>
      </c>
      <c r="L125" s="200">
        <v>31</v>
      </c>
      <c r="M125" s="203">
        <v>43213</v>
      </c>
      <c r="N125" s="203">
        <v>43213</v>
      </c>
      <c r="AB125" s="110"/>
      <c r="AC125" s="110"/>
      <c r="AD125" s="110"/>
      <c r="AE125" s="110"/>
    </row>
    <row r="126" spans="1:31">
      <c r="A126" s="196" t="s">
        <v>1526</v>
      </c>
      <c r="C126" s="196">
        <v>20</v>
      </c>
      <c r="D126" s="196">
        <v>0.49459999999999998</v>
      </c>
      <c r="E126" s="196">
        <v>7.5282</v>
      </c>
      <c r="F126" s="196">
        <v>0.2056</v>
      </c>
      <c r="G126" s="196">
        <f t="shared" si="16"/>
        <v>7.7338000000000005</v>
      </c>
      <c r="H126" s="196">
        <v>7.5548999999999999</v>
      </c>
      <c r="I126" s="196">
        <f t="shared" si="17"/>
        <v>0.1789000000000005</v>
      </c>
      <c r="J126" s="200">
        <f t="shared" si="18"/>
        <v>2.6699999999999502E-2</v>
      </c>
      <c r="K126" s="270">
        <f t="shared" si="19"/>
        <v>12.986381322956955</v>
      </c>
      <c r="L126" s="196">
        <v>7</v>
      </c>
      <c r="M126" s="196" t="s">
        <v>2570</v>
      </c>
      <c r="N126" s="196" t="s">
        <v>2569</v>
      </c>
      <c r="O126" s="196" t="s">
        <v>2534</v>
      </c>
      <c r="AB126" s="110"/>
      <c r="AC126" s="110"/>
      <c r="AD126" s="110"/>
      <c r="AE126" s="110"/>
    </row>
    <row r="127" spans="1:31">
      <c r="A127" s="200" t="s">
        <v>1525</v>
      </c>
      <c r="C127" s="200">
        <v>195</v>
      </c>
      <c r="D127" s="200">
        <v>0.4844</v>
      </c>
      <c r="E127" s="200">
        <v>9.2359000000000009</v>
      </c>
      <c r="F127" s="200">
        <v>0.2001</v>
      </c>
      <c r="G127" s="200">
        <f t="shared" si="16"/>
        <v>9.4360000000000017</v>
      </c>
      <c r="H127" s="200">
        <v>9.2614999999999998</v>
      </c>
      <c r="I127" s="200">
        <f t="shared" si="17"/>
        <v>0.17450000000000188</v>
      </c>
      <c r="J127" s="200">
        <f t="shared" si="18"/>
        <v>2.5599999999998124E-2</v>
      </c>
      <c r="K127" s="270">
        <f t="shared" si="19"/>
        <v>12.793603198399861</v>
      </c>
      <c r="L127" s="200">
        <v>15</v>
      </c>
      <c r="M127" s="202">
        <v>43164.628472222219</v>
      </c>
      <c r="N127" s="202">
        <v>43164.795138888891</v>
      </c>
      <c r="O127" s="196" t="s">
        <v>2534</v>
      </c>
      <c r="P127" s="200"/>
      <c r="AB127" s="110"/>
      <c r="AC127" s="110"/>
      <c r="AD127" s="110"/>
      <c r="AE127" s="110"/>
    </row>
    <row r="128" spans="1:31">
      <c r="A128" s="196" t="s">
        <v>1524</v>
      </c>
      <c r="C128" s="197">
        <v>190</v>
      </c>
      <c r="D128" s="196">
        <v>0.43909999999999999</v>
      </c>
      <c r="E128" s="201">
        <v>9.2203999999999997</v>
      </c>
      <c r="F128" s="201">
        <v>0.20039999999999999</v>
      </c>
      <c r="G128" s="200">
        <f t="shared" si="16"/>
        <v>9.4207999999999998</v>
      </c>
      <c r="H128" s="200">
        <v>9.24</v>
      </c>
      <c r="I128" s="200">
        <f t="shared" si="17"/>
        <v>0.18079999999999963</v>
      </c>
      <c r="J128" s="200">
        <f t="shared" si="18"/>
        <v>1.9600000000000367E-2</v>
      </c>
      <c r="K128" s="270">
        <f t="shared" si="19"/>
        <v>9.78043912175667</v>
      </c>
      <c r="L128" s="200">
        <v>14</v>
      </c>
      <c r="AB128" s="110"/>
      <c r="AC128" s="110"/>
      <c r="AD128" s="110"/>
      <c r="AE128" s="110"/>
    </row>
    <row r="129" spans="1:31">
      <c r="A129" s="196" t="s">
        <v>1523</v>
      </c>
      <c r="C129" s="196">
        <v>32</v>
      </c>
      <c r="D129" s="196">
        <v>0.47810000000000002</v>
      </c>
      <c r="E129" s="201">
        <v>10.3132</v>
      </c>
      <c r="F129" s="201">
        <v>0.20019999999999999</v>
      </c>
      <c r="G129" s="200">
        <f t="shared" si="16"/>
        <v>10.513400000000001</v>
      </c>
      <c r="H129" s="200">
        <v>10.3302</v>
      </c>
      <c r="I129" s="200">
        <f t="shared" si="17"/>
        <v>0.18320000000000114</v>
      </c>
      <c r="J129" s="200">
        <f t="shared" si="18"/>
        <v>1.6999999999998849E-2</v>
      </c>
      <c r="K129" s="270">
        <f t="shared" si="19"/>
        <v>8.4915084915079166</v>
      </c>
      <c r="L129" s="200">
        <v>1</v>
      </c>
      <c r="AB129" s="110"/>
      <c r="AC129" s="110"/>
      <c r="AD129" s="110"/>
      <c r="AE129" s="110"/>
    </row>
    <row r="130" spans="1:31">
      <c r="A130" s="200" t="s">
        <v>1522</v>
      </c>
      <c r="C130" s="200">
        <v>37</v>
      </c>
      <c r="D130" s="200">
        <v>0.66790000000000005</v>
      </c>
      <c r="E130" s="200">
        <v>10.7432</v>
      </c>
      <c r="F130" s="200">
        <v>0.2009</v>
      </c>
      <c r="G130" s="200">
        <f t="shared" si="16"/>
        <v>10.944100000000001</v>
      </c>
      <c r="H130" s="200">
        <v>10.773400000000001</v>
      </c>
      <c r="I130" s="200">
        <f t="shared" si="17"/>
        <v>0.17070000000000007</v>
      </c>
      <c r="J130" s="200">
        <f t="shared" si="18"/>
        <v>3.0199999999999921E-2</v>
      </c>
      <c r="K130" s="270">
        <f t="shared" si="19"/>
        <v>15.032354405176665</v>
      </c>
      <c r="L130" s="200">
        <v>23</v>
      </c>
      <c r="M130" s="204">
        <v>43188</v>
      </c>
      <c r="N130" s="204">
        <v>43188</v>
      </c>
      <c r="O130" s="200"/>
      <c r="P130" s="200"/>
      <c r="AB130" s="110"/>
      <c r="AC130" s="110"/>
      <c r="AD130" s="110"/>
      <c r="AE130" s="110"/>
    </row>
    <row r="131" spans="1:31">
      <c r="A131" s="205" t="s">
        <v>1521</v>
      </c>
      <c r="C131" s="196">
        <v>92</v>
      </c>
      <c r="D131" s="200">
        <v>0.55920000000000003</v>
      </c>
      <c r="E131" s="201">
        <v>7.8711000000000002</v>
      </c>
      <c r="F131" s="201">
        <v>0.20979999999999999</v>
      </c>
      <c r="G131" s="200">
        <f t="shared" si="16"/>
        <v>8.0808999999999997</v>
      </c>
      <c r="H131" s="200">
        <v>7.8959999999999999</v>
      </c>
      <c r="I131" s="200">
        <f t="shared" si="17"/>
        <v>0.18489999999999984</v>
      </c>
      <c r="J131" s="200">
        <f t="shared" si="18"/>
        <v>2.4900000000000144E-2</v>
      </c>
      <c r="K131" s="270">
        <f t="shared" si="19"/>
        <v>11.868446139180241</v>
      </c>
      <c r="L131" s="200">
        <v>16</v>
      </c>
      <c r="M131" s="206">
        <v>43186.458333333336</v>
      </c>
      <c r="N131" s="206">
        <v>43186.625</v>
      </c>
      <c r="O131" s="196" t="s">
        <v>2534</v>
      </c>
      <c r="P131" s="200"/>
      <c r="AB131" s="110"/>
      <c r="AC131" s="110"/>
      <c r="AD131" s="110"/>
      <c r="AE131" s="110"/>
    </row>
    <row r="132" spans="1:31">
      <c r="A132" s="196" t="s">
        <v>1518</v>
      </c>
      <c r="C132" s="197">
        <v>4</v>
      </c>
      <c r="D132" s="196">
        <v>0.37980000000000003</v>
      </c>
      <c r="E132" s="200">
        <v>9.2204999999999995</v>
      </c>
      <c r="F132" s="201">
        <v>0.20780000000000001</v>
      </c>
      <c r="G132" s="200">
        <f t="shared" si="16"/>
        <v>9.4283000000000001</v>
      </c>
      <c r="H132" s="200">
        <v>9.2402999999999995</v>
      </c>
      <c r="I132" s="200">
        <f t="shared" si="17"/>
        <v>0.18800000000000061</v>
      </c>
      <c r="J132" s="200">
        <f t="shared" si="18"/>
        <v>1.9799999999999401E-2</v>
      </c>
      <c r="K132" s="270">
        <f t="shared" si="19"/>
        <v>9.5283926852740137</v>
      </c>
      <c r="L132" s="200">
        <v>3</v>
      </c>
      <c r="M132" s="203">
        <v>43212</v>
      </c>
      <c r="AB132" s="110"/>
      <c r="AC132" s="110"/>
      <c r="AD132" s="110"/>
      <c r="AE132" s="110"/>
    </row>
    <row r="133" spans="1:31">
      <c r="A133" s="196" t="s">
        <v>1515</v>
      </c>
      <c r="C133" s="200">
        <v>60</v>
      </c>
      <c r="D133" s="200">
        <v>0.56169999999999987</v>
      </c>
      <c r="E133" s="200">
        <v>8.1683000000000003</v>
      </c>
      <c r="F133" s="200">
        <v>0.20200000000000001</v>
      </c>
      <c r="G133" s="200">
        <f t="shared" si="16"/>
        <v>8.3703000000000003</v>
      </c>
      <c r="H133" s="200">
        <v>8.1887000000000008</v>
      </c>
      <c r="I133" s="200">
        <f t="shared" si="17"/>
        <v>0.18159999999999954</v>
      </c>
      <c r="J133" s="200">
        <f t="shared" si="18"/>
        <v>2.0400000000000473E-2</v>
      </c>
      <c r="K133" s="270">
        <f t="shared" si="19"/>
        <v>10.099009900990334</v>
      </c>
      <c r="L133" s="200">
        <v>21</v>
      </c>
      <c r="M133" s="204">
        <v>43173</v>
      </c>
      <c r="N133" s="204">
        <v>43173</v>
      </c>
      <c r="O133" s="200" t="s">
        <v>2540</v>
      </c>
      <c r="P133" s="200" t="s">
        <v>2539</v>
      </c>
      <c r="U133" s="201" t="s">
        <v>1261</v>
      </c>
      <c r="V133" s="196">
        <v>1.1045</v>
      </c>
      <c r="W133" s="196">
        <f>(V133-$T$175+F131)</f>
        <v>1.3143</v>
      </c>
      <c r="AB133" s="110"/>
      <c r="AC133" s="110"/>
      <c r="AD133" s="110"/>
      <c r="AE133" s="110"/>
    </row>
    <row r="134" spans="1:31">
      <c r="A134" s="205" t="s">
        <v>1514</v>
      </c>
      <c r="C134" s="200">
        <v>82</v>
      </c>
      <c r="D134" s="200">
        <v>0.57340000000000002</v>
      </c>
      <c r="E134" s="201">
        <v>9.0313999999999997</v>
      </c>
      <c r="F134" s="201">
        <v>0.20449999999999999</v>
      </c>
      <c r="G134" s="200">
        <f t="shared" si="16"/>
        <v>9.2358999999999991</v>
      </c>
      <c r="H134" s="200">
        <v>9.0525000000000002</v>
      </c>
      <c r="I134" s="200">
        <f t="shared" si="17"/>
        <v>0.1833999999999989</v>
      </c>
      <c r="J134" s="200">
        <f t="shared" si="18"/>
        <v>2.110000000000109E-2</v>
      </c>
      <c r="K134" s="270">
        <f t="shared" si="19"/>
        <v>10.317848410758481</v>
      </c>
      <c r="L134" s="200">
        <v>20</v>
      </c>
      <c r="M134" s="204">
        <v>43197</v>
      </c>
      <c r="N134" s="204">
        <v>43197</v>
      </c>
      <c r="O134" s="200"/>
      <c r="P134" s="200"/>
      <c r="AB134" s="110"/>
      <c r="AC134" s="110"/>
      <c r="AD134" s="110"/>
      <c r="AE134" s="110"/>
    </row>
    <row r="135" spans="1:31">
      <c r="A135" s="200" t="s">
        <v>1513</v>
      </c>
      <c r="C135" s="200">
        <v>189</v>
      </c>
      <c r="D135" s="201">
        <v>0.50870000000000004</v>
      </c>
      <c r="E135" s="201">
        <v>10.201499999999999</v>
      </c>
      <c r="F135" s="201">
        <v>0.20849999999999999</v>
      </c>
      <c r="G135" s="200">
        <f t="shared" si="16"/>
        <v>10.41</v>
      </c>
      <c r="H135" s="200">
        <v>10.2203</v>
      </c>
      <c r="I135" s="200">
        <f t="shared" si="17"/>
        <v>0.1897000000000002</v>
      </c>
      <c r="J135" s="200">
        <f t="shared" si="18"/>
        <v>1.8799999999999789E-2</v>
      </c>
      <c r="K135" s="270">
        <f t="shared" si="19"/>
        <v>9.0167865707433048</v>
      </c>
      <c r="L135" s="200">
        <v>15</v>
      </c>
      <c r="M135" s="200"/>
      <c r="N135" s="200"/>
      <c r="O135" s="200"/>
      <c r="P135" s="200"/>
      <c r="AB135" s="110"/>
      <c r="AC135" s="110"/>
      <c r="AD135" s="110"/>
      <c r="AE135" s="110"/>
    </row>
    <row r="136" spans="1:31">
      <c r="A136" s="205" t="s">
        <v>1512</v>
      </c>
      <c r="C136" s="200">
        <v>56</v>
      </c>
      <c r="D136" s="201">
        <v>0.65329999999999999</v>
      </c>
      <c r="E136" s="201">
        <v>10.1075</v>
      </c>
      <c r="F136" s="201">
        <v>0.20730000000000001</v>
      </c>
      <c r="G136" s="200">
        <f t="shared" si="16"/>
        <v>10.3148</v>
      </c>
      <c r="H136" s="200">
        <v>10.152799999999999</v>
      </c>
      <c r="I136" s="200">
        <f t="shared" si="17"/>
        <v>0.16200000000000081</v>
      </c>
      <c r="J136" s="200">
        <f t="shared" si="18"/>
        <v>4.5299999999999202E-2</v>
      </c>
      <c r="K136" s="270">
        <f t="shared" si="19"/>
        <v>21.852387843704392</v>
      </c>
      <c r="L136" s="200">
        <v>12</v>
      </c>
      <c r="M136" s="200"/>
      <c r="N136" s="200"/>
      <c r="O136" s="200"/>
      <c r="P136" s="200"/>
      <c r="U136" s="201" t="s">
        <v>815</v>
      </c>
      <c r="V136" s="196">
        <v>1.8678999999999999</v>
      </c>
      <c r="W136" s="196">
        <f>(V136-$T$175+F134)</f>
        <v>2.0724</v>
      </c>
      <c r="AB136" s="110"/>
      <c r="AC136" s="110"/>
      <c r="AD136" s="110"/>
      <c r="AE136" s="110"/>
    </row>
    <row r="137" spans="1:31">
      <c r="A137" s="196" t="s">
        <v>1511</v>
      </c>
      <c r="C137" s="200">
        <v>47</v>
      </c>
      <c r="D137" s="200">
        <v>0.58679999999999999</v>
      </c>
      <c r="E137" s="200">
        <v>9.9176000000000002</v>
      </c>
      <c r="F137" s="201">
        <v>0.20810000000000001</v>
      </c>
      <c r="G137" s="200">
        <f t="shared" si="16"/>
        <v>10.1257</v>
      </c>
      <c r="H137" s="200">
        <v>9.9423999999999992</v>
      </c>
      <c r="I137" s="200">
        <f t="shared" si="17"/>
        <v>0.18330000000000091</v>
      </c>
      <c r="J137" s="200">
        <f t="shared" si="18"/>
        <v>2.4799999999999101E-2</v>
      </c>
      <c r="K137" s="270">
        <f t="shared" si="19"/>
        <v>11.917347429120182</v>
      </c>
      <c r="L137" s="200">
        <v>21</v>
      </c>
      <c r="M137" s="204">
        <v>43211</v>
      </c>
      <c r="AB137" s="110"/>
      <c r="AC137" s="110"/>
      <c r="AD137" s="110"/>
      <c r="AE137" s="110"/>
    </row>
    <row r="138" spans="1:31">
      <c r="A138" s="200" t="s">
        <v>1510</v>
      </c>
      <c r="C138" s="200">
        <v>207</v>
      </c>
      <c r="D138" s="200">
        <v>0.51390000000000002</v>
      </c>
      <c r="E138" s="201">
        <v>9.0518999999999998</v>
      </c>
      <c r="F138" s="201">
        <v>0.2</v>
      </c>
      <c r="G138" s="200">
        <f t="shared" si="16"/>
        <v>9.2518999999999991</v>
      </c>
      <c r="H138" s="200">
        <v>9.0950000000000006</v>
      </c>
      <c r="I138" s="200">
        <f t="shared" si="17"/>
        <v>0.15689999999999849</v>
      </c>
      <c r="J138" s="200">
        <f t="shared" si="18"/>
        <v>4.3100000000001526E-2</v>
      </c>
      <c r="K138" s="270">
        <f t="shared" si="19"/>
        <v>21.550000000000765</v>
      </c>
      <c r="L138" s="200">
        <v>7</v>
      </c>
      <c r="M138" s="204">
        <v>43197</v>
      </c>
      <c r="N138" s="204">
        <v>43197</v>
      </c>
      <c r="O138" s="200"/>
      <c r="P138" s="200"/>
      <c r="AB138" s="110"/>
      <c r="AC138" s="110"/>
      <c r="AD138" s="110"/>
      <c r="AE138" s="110"/>
    </row>
    <row r="139" spans="1:31">
      <c r="A139" s="196" t="s">
        <v>1509</v>
      </c>
      <c r="C139" s="196">
        <v>61</v>
      </c>
      <c r="D139" s="196">
        <v>0.57769999999999999</v>
      </c>
      <c r="E139" s="196">
        <v>9.1861999999999995</v>
      </c>
      <c r="F139" s="196">
        <v>0.19719999999999999</v>
      </c>
      <c r="G139" s="196">
        <f t="shared" si="16"/>
        <v>9.3834</v>
      </c>
      <c r="H139" s="196">
        <v>9.2112999999999996</v>
      </c>
      <c r="I139" s="196">
        <f t="shared" si="17"/>
        <v>0.17210000000000036</v>
      </c>
      <c r="J139" s="200">
        <f t="shared" si="18"/>
        <v>2.5099999999999623E-2</v>
      </c>
      <c r="K139" s="270">
        <f t="shared" si="19"/>
        <v>12.728194726166139</v>
      </c>
      <c r="L139" s="196">
        <v>42</v>
      </c>
      <c r="M139" s="196" t="s">
        <v>2570</v>
      </c>
      <c r="N139" s="196" t="s">
        <v>2569</v>
      </c>
      <c r="O139" s="196" t="s">
        <v>2534</v>
      </c>
      <c r="AB139" s="110"/>
      <c r="AC139" s="110"/>
      <c r="AD139" s="110"/>
      <c r="AE139" s="110"/>
    </row>
    <row r="140" spans="1:31">
      <c r="A140" s="200" t="s">
        <v>1508</v>
      </c>
      <c r="C140" s="200">
        <v>81</v>
      </c>
      <c r="D140" s="201">
        <v>0.62009999999999998</v>
      </c>
      <c r="E140" s="201">
        <v>11.087400000000001</v>
      </c>
      <c r="F140" s="201">
        <v>0.20119999999999999</v>
      </c>
      <c r="G140" s="200">
        <f t="shared" si="16"/>
        <v>11.288600000000001</v>
      </c>
      <c r="H140" s="200">
        <v>11.117599999999999</v>
      </c>
      <c r="I140" s="200">
        <f t="shared" si="17"/>
        <v>0.17100000000000115</v>
      </c>
      <c r="J140" s="200">
        <f t="shared" si="18"/>
        <v>3.0199999999998839E-2</v>
      </c>
      <c r="K140" s="270">
        <f t="shared" si="19"/>
        <v>15.009940357852306</v>
      </c>
      <c r="L140" s="200">
        <v>32</v>
      </c>
      <c r="M140" s="202">
        <v>43181.645833333336</v>
      </c>
      <c r="N140" s="202">
        <v>43181.833333333336</v>
      </c>
      <c r="O140" s="200" t="s">
        <v>2540</v>
      </c>
      <c r="P140" s="200"/>
      <c r="AB140" s="110"/>
      <c r="AC140" s="110"/>
      <c r="AD140" s="110"/>
      <c r="AE140" s="110"/>
    </row>
    <row r="141" spans="1:31">
      <c r="A141" s="196" t="s">
        <v>1507</v>
      </c>
      <c r="C141" s="197">
        <v>11</v>
      </c>
      <c r="D141" s="196">
        <v>0.51180000000000003</v>
      </c>
      <c r="E141" s="201">
        <v>8.8618000000000006</v>
      </c>
      <c r="F141" s="201">
        <v>0.19919999999999999</v>
      </c>
      <c r="G141" s="200">
        <f t="shared" si="16"/>
        <v>9.0609999999999999</v>
      </c>
      <c r="H141" s="200">
        <v>8.8857999999999997</v>
      </c>
      <c r="I141" s="200">
        <f t="shared" si="17"/>
        <v>0.17520000000000024</v>
      </c>
      <c r="J141" s="200">
        <f t="shared" si="18"/>
        <v>2.3999999999999744E-2</v>
      </c>
      <c r="K141" s="270">
        <f t="shared" si="19"/>
        <v>12.04819277108421</v>
      </c>
      <c r="L141" s="200">
        <v>2</v>
      </c>
      <c r="M141" s="203">
        <v>43221</v>
      </c>
      <c r="N141" s="203">
        <v>43221</v>
      </c>
      <c r="AB141" s="110"/>
      <c r="AC141" s="110"/>
      <c r="AD141" s="110"/>
      <c r="AE141" s="110"/>
    </row>
    <row r="142" spans="1:31">
      <c r="A142" s="205" t="s">
        <v>1506</v>
      </c>
      <c r="C142" s="200">
        <v>186</v>
      </c>
      <c r="D142" s="200">
        <v>0.48909999999999998</v>
      </c>
      <c r="E142" s="200">
        <v>11.171799999999999</v>
      </c>
      <c r="F142" s="201">
        <v>0.2044</v>
      </c>
      <c r="G142" s="200">
        <f t="shared" si="16"/>
        <v>11.376199999999999</v>
      </c>
      <c r="H142" s="200">
        <v>11.1913</v>
      </c>
      <c r="I142" s="200">
        <f t="shared" si="17"/>
        <v>0.18489999999999895</v>
      </c>
      <c r="J142" s="200">
        <f t="shared" si="18"/>
        <v>1.9500000000001044E-2</v>
      </c>
      <c r="K142" s="270">
        <f t="shared" si="19"/>
        <v>9.5401174168302578</v>
      </c>
      <c r="L142" s="200">
        <v>31</v>
      </c>
      <c r="M142" s="204">
        <v>43187</v>
      </c>
      <c r="N142" s="204">
        <v>43187</v>
      </c>
      <c r="O142" s="200"/>
      <c r="P142" s="200"/>
      <c r="AB142" s="110"/>
      <c r="AC142" s="110"/>
      <c r="AD142" s="110"/>
      <c r="AE142" s="110"/>
    </row>
    <row r="143" spans="1:31">
      <c r="A143" s="196" t="s">
        <v>1505</v>
      </c>
      <c r="C143" s="197">
        <v>96</v>
      </c>
      <c r="D143" s="196">
        <v>0.57850000000000001</v>
      </c>
      <c r="E143" s="196">
        <v>8.4441000000000006</v>
      </c>
      <c r="F143" s="201">
        <v>0.2011</v>
      </c>
      <c r="G143" s="200">
        <f t="shared" si="16"/>
        <v>8.6452000000000009</v>
      </c>
      <c r="H143" s="200">
        <v>8.4710999999999999</v>
      </c>
      <c r="I143" s="200">
        <f t="shared" si="17"/>
        <v>0.17410000000000103</v>
      </c>
      <c r="J143" s="200">
        <f t="shared" si="18"/>
        <v>2.6999999999998969E-2</v>
      </c>
      <c r="K143" s="270">
        <f t="shared" si="19"/>
        <v>13.426156141222759</v>
      </c>
      <c r="L143" s="200">
        <v>22</v>
      </c>
      <c r="AB143" s="110"/>
      <c r="AC143" s="110"/>
      <c r="AD143" s="110"/>
      <c r="AE143" s="110"/>
    </row>
    <row r="144" spans="1:31">
      <c r="A144" t="s">
        <v>1504</v>
      </c>
      <c r="C144" s="197"/>
      <c r="D144" s="196">
        <v>0.67520000000000002</v>
      </c>
      <c r="E144" s="201">
        <v>9.3188999999999993</v>
      </c>
      <c r="F144" s="201">
        <v>0.20599999999999999</v>
      </c>
      <c r="G144" s="200">
        <f t="shared" si="16"/>
        <v>9.5248999999999988</v>
      </c>
      <c r="H144" s="200">
        <v>9.3529999999999998</v>
      </c>
      <c r="I144" s="200">
        <f t="shared" si="17"/>
        <v>0.17189999999999905</v>
      </c>
      <c r="J144" s="200">
        <f t="shared" si="18"/>
        <v>3.4100000000000935E-2</v>
      </c>
      <c r="K144" s="270">
        <f t="shared" si="19"/>
        <v>16.553398058252881</v>
      </c>
      <c r="L144" s="200">
        <v>10</v>
      </c>
      <c r="AB144" s="110"/>
      <c r="AC144" s="110"/>
      <c r="AD144" s="110"/>
      <c r="AE144" s="110"/>
    </row>
    <row r="145" spans="1:31">
      <c r="A145" s="201" t="s">
        <v>1503</v>
      </c>
      <c r="C145" s="200">
        <v>91</v>
      </c>
      <c r="D145" s="200">
        <v>0.81999999999999984</v>
      </c>
      <c r="E145" s="200">
        <v>7.9055</v>
      </c>
      <c r="F145" s="200">
        <v>0.20949999999999999</v>
      </c>
      <c r="G145" s="200">
        <f t="shared" si="16"/>
        <v>8.1150000000000002</v>
      </c>
      <c r="H145" s="200">
        <v>7.9607000000000001</v>
      </c>
      <c r="I145" s="200">
        <f t="shared" si="17"/>
        <v>0.1543000000000001</v>
      </c>
      <c r="J145" s="200">
        <f t="shared" si="18"/>
        <v>5.5199999999999888E-2</v>
      </c>
      <c r="K145" s="270">
        <f t="shared" si="19"/>
        <v>26.348448687350785</v>
      </c>
      <c r="L145" s="200">
        <v>7</v>
      </c>
      <c r="M145" s="204">
        <v>43173</v>
      </c>
      <c r="N145" s="204">
        <v>43173</v>
      </c>
      <c r="O145" s="200" t="s">
        <v>2540</v>
      </c>
      <c r="P145" s="200" t="s">
        <v>2539</v>
      </c>
      <c r="AB145" s="110"/>
      <c r="AC145" s="110"/>
      <c r="AD145" s="110"/>
      <c r="AE145" s="110"/>
    </row>
    <row r="146" spans="1:31">
      <c r="A146" s="200" t="s">
        <v>1502</v>
      </c>
      <c r="C146" s="200">
        <v>51</v>
      </c>
      <c r="D146" s="201">
        <v>0.63549999999999995</v>
      </c>
      <c r="E146" s="200">
        <v>8.2193000000000005</v>
      </c>
      <c r="F146" s="201">
        <v>0.2001</v>
      </c>
      <c r="G146" s="200">
        <f t="shared" si="16"/>
        <v>8.4194000000000013</v>
      </c>
      <c r="H146" s="200">
        <v>8.2372999999999994</v>
      </c>
      <c r="I146" s="200">
        <f t="shared" si="17"/>
        <v>0.18210000000000193</v>
      </c>
      <c r="J146" s="200">
        <f t="shared" si="18"/>
        <v>1.7999999999998073E-2</v>
      </c>
      <c r="K146" s="270">
        <f t="shared" si="19"/>
        <v>8.9955022488745993</v>
      </c>
      <c r="L146" s="200">
        <v>24</v>
      </c>
      <c r="M146" s="200"/>
      <c r="N146" s="200"/>
      <c r="O146" s="200"/>
      <c r="P146" s="200"/>
      <c r="R146" s="196">
        <v>10</v>
      </c>
      <c r="S146" s="196">
        <v>0.62980000000000003</v>
      </c>
      <c r="U146" s="201" t="s">
        <v>958</v>
      </c>
      <c r="V146" s="196">
        <v>1.9059999999999999</v>
      </c>
      <c r="W146" s="196">
        <f>(V146-$T$175+F144)</f>
        <v>2.1120000000000001</v>
      </c>
      <c r="AB146" s="110"/>
      <c r="AC146" s="110"/>
      <c r="AD146" s="110"/>
      <c r="AE146" s="110"/>
    </row>
    <row r="147" spans="1:31">
      <c r="A147" s="196" t="s">
        <v>1501</v>
      </c>
      <c r="C147" s="197">
        <v>73</v>
      </c>
      <c r="D147" s="196">
        <v>0.58309999999999995</v>
      </c>
      <c r="E147" s="196">
        <v>8.8618000000000006</v>
      </c>
      <c r="F147" s="201">
        <v>0.20399999999999999</v>
      </c>
      <c r="G147" s="200">
        <f t="shared" ref="G147:G167" si="20">E147+F147</f>
        <v>9.0658000000000012</v>
      </c>
      <c r="H147" s="200">
        <v>8.8841999999999999</v>
      </c>
      <c r="I147" s="200">
        <f t="shared" si="17"/>
        <v>0.18160000000000132</v>
      </c>
      <c r="J147" s="200">
        <f t="shared" ref="J147:J167" si="21">F147-I147</f>
        <v>2.2399999999998671E-2</v>
      </c>
      <c r="K147" s="270">
        <f t="shared" ref="K147:K167" si="22">(J147/F147)*100</f>
        <v>10.980392156862093</v>
      </c>
      <c r="L147" s="200">
        <v>14</v>
      </c>
      <c r="P147" s="196" t="s">
        <v>2567</v>
      </c>
      <c r="AB147" s="110"/>
      <c r="AC147" s="110"/>
      <c r="AD147" s="110"/>
      <c r="AE147" s="110"/>
    </row>
    <row r="148" spans="1:31">
      <c r="A148" s="205" t="s">
        <v>1500</v>
      </c>
      <c r="C148" s="200">
        <v>36</v>
      </c>
      <c r="D148" s="201">
        <v>0.51780000000000004</v>
      </c>
      <c r="E148" s="201">
        <v>10.1157</v>
      </c>
      <c r="F148" s="201">
        <v>0.20710000000000001</v>
      </c>
      <c r="G148" s="200">
        <f t="shared" si="20"/>
        <v>10.322800000000001</v>
      </c>
      <c r="H148" s="200">
        <v>10.1289</v>
      </c>
      <c r="I148" s="200">
        <f t="shared" si="17"/>
        <v>0.19390000000000107</v>
      </c>
      <c r="J148" s="200">
        <f t="shared" si="21"/>
        <v>1.3199999999998935E-2</v>
      </c>
      <c r="K148" s="270">
        <f t="shared" si="22"/>
        <v>6.3737324963780466</v>
      </c>
      <c r="L148" s="200">
        <v>22</v>
      </c>
      <c r="M148" s="204">
        <v>43199</v>
      </c>
      <c r="N148" s="204">
        <v>43199</v>
      </c>
      <c r="O148" s="200"/>
      <c r="P148" s="200"/>
      <c r="AB148" s="110"/>
      <c r="AC148" s="110"/>
      <c r="AD148" s="110"/>
      <c r="AE148" s="110"/>
    </row>
    <row r="149" spans="1:31">
      <c r="A149" s="196" t="s">
        <v>1499</v>
      </c>
      <c r="C149" s="197">
        <v>181</v>
      </c>
      <c r="D149" s="196">
        <v>0.42820000000000003</v>
      </c>
      <c r="E149" s="200">
        <v>7.9611000000000001</v>
      </c>
      <c r="F149" s="201">
        <v>0.2046</v>
      </c>
      <c r="G149" s="200">
        <f t="shared" si="20"/>
        <v>8.1656999999999993</v>
      </c>
      <c r="H149" s="200">
        <v>7.9786000000000001</v>
      </c>
      <c r="I149" s="200">
        <f t="shared" si="17"/>
        <v>0.18709999999999916</v>
      </c>
      <c r="J149" s="200">
        <f t="shared" si="21"/>
        <v>1.7500000000000848E-2</v>
      </c>
      <c r="K149" s="270">
        <f t="shared" si="22"/>
        <v>8.5532746823073538</v>
      </c>
      <c r="L149" s="200">
        <v>39</v>
      </c>
      <c r="M149" s="203">
        <v>43212</v>
      </c>
      <c r="AB149" s="110"/>
      <c r="AC149" s="110"/>
      <c r="AD149" s="110"/>
      <c r="AE149" s="110"/>
    </row>
    <row r="150" spans="1:31">
      <c r="A150" s="196" t="s">
        <v>1498</v>
      </c>
      <c r="C150" s="197">
        <v>22</v>
      </c>
      <c r="D150" s="196">
        <v>0.54759999999999998</v>
      </c>
      <c r="E150" s="201">
        <v>10.4162</v>
      </c>
      <c r="F150" s="201">
        <v>0.20300000000000001</v>
      </c>
      <c r="G150" s="200">
        <f t="shared" si="20"/>
        <v>10.619199999999999</v>
      </c>
      <c r="H150" s="200">
        <v>10.4407</v>
      </c>
      <c r="I150" s="200">
        <f t="shared" si="17"/>
        <v>0.17849999999999966</v>
      </c>
      <c r="J150" s="200">
        <f t="shared" si="21"/>
        <v>2.4500000000000355E-2</v>
      </c>
      <c r="K150" s="270">
        <f t="shared" si="22"/>
        <v>12.068965517241553</v>
      </c>
      <c r="L150" s="200">
        <v>39</v>
      </c>
      <c r="AB150" s="110"/>
      <c r="AC150" s="110"/>
      <c r="AD150" s="110"/>
      <c r="AE150" s="110"/>
    </row>
    <row r="151" spans="1:31">
      <c r="A151" s="205" t="s">
        <v>1496</v>
      </c>
      <c r="C151" s="200">
        <v>64</v>
      </c>
      <c r="D151" s="201">
        <v>1.0066999999999999</v>
      </c>
      <c r="E151" s="200">
        <v>10.675000000000001</v>
      </c>
      <c r="F151" s="201">
        <v>0.20100000000000001</v>
      </c>
      <c r="G151" s="200">
        <f t="shared" si="20"/>
        <v>10.876000000000001</v>
      </c>
      <c r="H151" s="200">
        <v>10.749000000000001</v>
      </c>
      <c r="I151" s="200">
        <f t="shared" si="17"/>
        <v>0.12700000000000067</v>
      </c>
      <c r="J151" s="200">
        <f t="shared" si="21"/>
        <v>7.3999999999999344E-2</v>
      </c>
      <c r="K151" s="270">
        <f t="shared" si="22"/>
        <v>36.815920398009624</v>
      </c>
      <c r="L151" s="200">
        <v>20</v>
      </c>
      <c r="M151" s="204">
        <v>43206</v>
      </c>
      <c r="N151" s="204">
        <v>43206</v>
      </c>
      <c r="O151" s="200"/>
      <c r="P151" s="200"/>
      <c r="AB151" s="110"/>
      <c r="AC151" s="110"/>
      <c r="AD151" s="110"/>
      <c r="AE151" s="110"/>
    </row>
    <row r="152" spans="1:31">
      <c r="A152" s="200" t="s">
        <v>1494</v>
      </c>
      <c r="C152" s="196">
        <v>33</v>
      </c>
      <c r="D152" s="200">
        <v>0.43240000000000001</v>
      </c>
      <c r="E152" s="201">
        <v>8.8607999999999993</v>
      </c>
      <c r="F152" s="201">
        <v>0.20230000000000001</v>
      </c>
      <c r="G152" s="200">
        <f t="shared" si="20"/>
        <v>9.0630999999999986</v>
      </c>
      <c r="H152" s="200">
        <v>8.8826000000000001</v>
      </c>
      <c r="I152" s="200">
        <f t="shared" si="17"/>
        <v>0.18049999999999855</v>
      </c>
      <c r="J152" s="200">
        <f t="shared" si="21"/>
        <v>2.1800000000001457E-2</v>
      </c>
      <c r="K152" s="270">
        <f t="shared" si="22"/>
        <v>10.776075135937448</v>
      </c>
      <c r="L152" s="200">
        <v>18</v>
      </c>
      <c r="M152" s="206">
        <v>43186.458333333336</v>
      </c>
      <c r="N152" s="206">
        <v>43186.625</v>
      </c>
      <c r="O152" s="196" t="s">
        <v>2534</v>
      </c>
      <c r="P152" s="200"/>
      <c r="AB152" s="110"/>
      <c r="AC152" s="110"/>
      <c r="AD152" s="110"/>
      <c r="AE152" s="110"/>
    </row>
    <row r="153" spans="1:31">
      <c r="A153" s="205" t="s">
        <v>1493</v>
      </c>
      <c r="C153" s="200">
        <v>56</v>
      </c>
      <c r="D153" s="201">
        <v>0.53510000000000002</v>
      </c>
      <c r="E153" s="201">
        <v>10.503500000000001</v>
      </c>
      <c r="F153" s="201">
        <v>0.2056</v>
      </c>
      <c r="G153" s="200">
        <f t="shared" si="20"/>
        <v>10.709100000000001</v>
      </c>
      <c r="H153" s="200">
        <v>10.5266</v>
      </c>
      <c r="I153" s="200">
        <f t="shared" si="17"/>
        <v>0.18250000000000099</v>
      </c>
      <c r="J153" s="200">
        <f t="shared" si="21"/>
        <v>2.309999999999901E-2</v>
      </c>
      <c r="K153" s="270">
        <f t="shared" si="22"/>
        <v>11.235408560310804</v>
      </c>
      <c r="L153" s="200">
        <v>11</v>
      </c>
      <c r="M153" s="200"/>
      <c r="N153" s="200"/>
      <c r="O153" s="200"/>
      <c r="P153" s="200"/>
      <c r="U153" s="201" t="s">
        <v>1596</v>
      </c>
      <c r="V153" s="196">
        <v>0.88949999999999996</v>
      </c>
      <c r="W153" s="196">
        <f>(V153-$T$175+F151)</f>
        <v>1.0905</v>
      </c>
      <c r="AB153" s="110"/>
      <c r="AC153" s="110"/>
      <c r="AD153" s="110"/>
      <c r="AE153" s="110"/>
    </row>
    <row r="154" spans="1:31">
      <c r="A154" s="205" t="s">
        <v>1490</v>
      </c>
      <c r="C154" s="200">
        <v>212</v>
      </c>
      <c r="D154" s="200">
        <v>1.1640999999999999</v>
      </c>
      <c r="E154" s="200">
        <v>8.1172000000000004</v>
      </c>
      <c r="F154" s="200">
        <v>0.20930000000000001</v>
      </c>
      <c r="G154" s="200">
        <f t="shared" si="20"/>
        <v>8.3265000000000011</v>
      </c>
      <c r="H154" s="200">
        <v>8.1989999999999998</v>
      </c>
      <c r="I154" s="200">
        <f t="shared" si="17"/>
        <v>0.12750000000000128</v>
      </c>
      <c r="J154" s="200">
        <f t="shared" si="21"/>
        <v>8.1799999999998735E-2</v>
      </c>
      <c r="K154" s="270">
        <f t="shared" si="22"/>
        <v>39.082656473960213</v>
      </c>
      <c r="L154" s="200">
        <v>3</v>
      </c>
      <c r="M154" s="202">
        <v>43171.520833333336</v>
      </c>
      <c r="N154" s="202">
        <v>43171.6875</v>
      </c>
      <c r="O154" s="196" t="s">
        <v>2534</v>
      </c>
      <c r="P154" s="200"/>
      <c r="AB154" s="110"/>
      <c r="AC154" s="110"/>
      <c r="AD154" s="110"/>
      <c r="AE154" s="110"/>
    </row>
    <row r="155" spans="1:31">
      <c r="A155" s="196" t="s">
        <v>1489</v>
      </c>
      <c r="C155" s="196">
        <v>86</v>
      </c>
      <c r="D155" s="196">
        <v>0.55600000000000005</v>
      </c>
      <c r="E155" s="196">
        <v>19.649999999999999</v>
      </c>
      <c r="F155" s="196">
        <v>0.20119999999999999</v>
      </c>
      <c r="G155" s="196">
        <f t="shared" si="20"/>
        <v>19.851199999999999</v>
      </c>
      <c r="H155" s="196">
        <v>19.6675</v>
      </c>
      <c r="I155" s="196">
        <f t="shared" si="17"/>
        <v>0.1836999999999982</v>
      </c>
      <c r="J155" s="200">
        <f t="shared" si="21"/>
        <v>1.7500000000001792E-2</v>
      </c>
      <c r="K155" s="270">
        <f t="shared" si="22"/>
        <v>8.6978131212732563</v>
      </c>
      <c r="L155" s="196">
        <v>12</v>
      </c>
      <c r="M155" s="196" t="s">
        <v>2564</v>
      </c>
      <c r="N155" s="196" t="s">
        <v>2563</v>
      </c>
      <c r="O155" s="196" t="s">
        <v>2540</v>
      </c>
      <c r="AB155" s="110"/>
      <c r="AC155" s="110"/>
      <c r="AD155" s="110"/>
      <c r="AE155" s="110"/>
    </row>
    <row r="156" spans="1:31">
      <c r="A156" s="205" t="s">
        <v>1487</v>
      </c>
      <c r="C156" s="200">
        <v>116</v>
      </c>
      <c r="D156" s="201">
        <v>0.43070000000000003</v>
      </c>
      <c r="E156" s="201">
        <v>7.1894999999999998</v>
      </c>
      <c r="F156" s="201">
        <v>0.20100000000000001</v>
      </c>
      <c r="G156" s="200">
        <f t="shared" si="20"/>
        <v>7.3904999999999994</v>
      </c>
      <c r="H156" s="200">
        <v>7.2225999999999999</v>
      </c>
      <c r="I156" s="200">
        <f t="shared" si="17"/>
        <v>0.16789999999999949</v>
      </c>
      <c r="J156" s="200">
        <f t="shared" si="21"/>
        <v>3.3100000000000518E-2</v>
      </c>
      <c r="K156" s="270">
        <f t="shared" si="22"/>
        <v>16.467661691542546</v>
      </c>
      <c r="L156" s="200">
        <v>15</v>
      </c>
      <c r="M156" s="202">
        <v>43181.645833333336</v>
      </c>
      <c r="N156" s="202">
        <v>43181.833333333336</v>
      </c>
      <c r="O156" s="200" t="s">
        <v>2540</v>
      </c>
      <c r="P156" s="200"/>
      <c r="AB156" s="110"/>
      <c r="AC156" s="110"/>
      <c r="AD156" s="110"/>
      <c r="AE156" s="110"/>
    </row>
    <row r="157" spans="1:31">
      <c r="A157" s="196" t="s">
        <v>1486</v>
      </c>
      <c r="C157" s="197">
        <v>185</v>
      </c>
      <c r="D157" s="196">
        <v>0.44240000000000002</v>
      </c>
      <c r="E157" s="201">
        <v>10.0556</v>
      </c>
      <c r="F157" s="201">
        <v>0.2016</v>
      </c>
      <c r="G157" s="200">
        <f t="shared" si="20"/>
        <v>10.257200000000001</v>
      </c>
      <c r="H157" s="200">
        <v>10.0726</v>
      </c>
      <c r="I157" s="200">
        <f t="shared" si="17"/>
        <v>0.18460000000000143</v>
      </c>
      <c r="J157" s="200">
        <f t="shared" si="21"/>
        <v>1.6999999999998572E-2</v>
      </c>
      <c r="K157" s="270">
        <f t="shared" si="22"/>
        <v>8.4325396825389731</v>
      </c>
      <c r="L157" s="200">
        <v>3</v>
      </c>
      <c r="AB157" s="110"/>
      <c r="AC157" s="110"/>
      <c r="AD157" s="110"/>
      <c r="AE157" s="110"/>
    </row>
    <row r="158" spans="1:31">
      <c r="A158" s="196" t="s">
        <v>1485</v>
      </c>
      <c r="C158" s="196">
        <v>62</v>
      </c>
      <c r="D158" s="196">
        <v>0.68069999999999997</v>
      </c>
      <c r="E158" s="196">
        <v>11.747999999999999</v>
      </c>
      <c r="F158" s="196">
        <v>0.20549999999999999</v>
      </c>
      <c r="G158" s="196">
        <f t="shared" si="20"/>
        <v>11.9535</v>
      </c>
      <c r="H158" s="196">
        <v>11.7906</v>
      </c>
      <c r="I158" s="196">
        <f t="shared" si="17"/>
        <v>0.16290000000000049</v>
      </c>
      <c r="J158" s="200">
        <f t="shared" si="21"/>
        <v>4.2599999999999499E-2</v>
      </c>
      <c r="K158" s="270">
        <f t="shared" si="22"/>
        <v>20.729927007299029</v>
      </c>
      <c r="L158" s="196">
        <v>45</v>
      </c>
      <c r="M158" s="196" t="s">
        <v>2570</v>
      </c>
      <c r="N158" s="196" t="s">
        <v>2569</v>
      </c>
      <c r="O158" s="196" t="s">
        <v>2534</v>
      </c>
      <c r="AB158" s="110"/>
      <c r="AC158" s="110"/>
      <c r="AD158" s="110"/>
      <c r="AE158" s="110"/>
    </row>
    <row r="159" spans="1:31">
      <c r="A159" s="196" t="s">
        <v>1484</v>
      </c>
      <c r="C159" s="196">
        <v>39</v>
      </c>
      <c r="D159" s="196">
        <v>0.57299999999999995</v>
      </c>
      <c r="E159" s="196">
        <v>7.8696000000000002</v>
      </c>
      <c r="F159" s="196">
        <v>0.20100000000000001</v>
      </c>
      <c r="G159" s="196">
        <f t="shared" si="20"/>
        <v>8.0706000000000007</v>
      </c>
      <c r="H159" s="196">
        <v>7.8784999999999998</v>
      </c>
      <c r="I159" s="196">
        <f t="shared" si="17"/>
        <v>0.19210000000000083</v>
      </c>
      <c r="J159" s="200">
        <f t="shared" si="21"/>
        <v>8.8999999999991863E-3</v>
      </c>
      <c r="K159" s="270">
        <f t="shared" si="22"/>
        <v>4.4278606965170084</v>
      </c>
      <c r="L159" s="196">
        <v>27</v>
      </c>
      <c r="M159" s="196" t="s">
        <v>2570</v>
      </c>
      <c r="N159" s="196" t="s">
        <v>2569</v>
      </c>
      <c r="O159" s="196" t="s">
        <v>2534</v>
      </c>
      <c r="AB159" s="110"/>
      <c r="AC159" s="110"/>
      <c r="AD159" s="110"/>
      <c r="AE159" s="110"/>
    </row>
    <row r="160" spans="1:31">
      <c r="A160" s="200" t="s">
        <v>1483</v>
      </c>
      <c r="C160" s="200">
        <v>151</v>
      </c>
      <c r="D160" s="196">
        <v>0.56779999999999997</v>
      </c>
      <c r="E160" s="196">
        <v>9.0214999999999996</v>
      </c>
      <c r="F160" s="196">
        <v>0.2077</v>
      </c>
      <c r="G160" s="196">
        <f t="shared" si="20"/>
        <v>9.2291999999999987</v>
      </c>
      <c r="H160" s="196">
        <v>9.0632000000000001</v>
      </c>
      <c r="I160" s="196">
        <f t="shared" si="17"/>
        <v>0.16599999999999859</v>
      </c>
      <c r="J160" s="200">
        <f t="shared" si="21"/>
        <v>4.1700000000001403E-2</v>
      </c>
      <c r="K160" s="270">
        <f t="shared" si="22"/>
        <v>20.077034183919789</v>
      </c>
      <c r="L160" s="196">
        <v>13</v>
      </c>
      <c r="M160" s="206">
        <v>43160.520833333336</v>
      </c>
      <c r="N160" s="206">
        <v>43160.6875</v>
      </c>
      <c r="O160" s="196" t="s">
        <v>2534</v>
      </c>
      <c r="AB160" s="110"/>
      <c r="AC160" s="110"/>
      <c r="AD160" s="110"/>
      <c r="AE160" s="110"/>
    </row>
    <row r="161" spans="1:50">
      <c r="A161" s="196" t="s">
        <v>1482</v>
      </c>
      <c r="C161" s="197">
        <v>2</v>
      </c>
      <c r="D161" s="196">
        <v>0.44080000000000003</v>
      </c>
      <c r="E161" s="201">
        <v>10.1248</v>
      </c>
      <c r="F161" s="201">
        <v>0.2011</v>
      </c>
      <c r="G161" s="200">
        <f t="shared" si="20"/>
        <v>10.325900000000001</v>
      </c>
      <c r="H161" s="200">
        <v>10.1419</v>
      </c>
      <c r="I161" s="200">
        <f t="shared" si="17"/>
        <v>0.18400000000000105</v>
      </c>
      <c r="J161" s="200">
        <f t="shared" si="21"/>
        <v>1.7099999999998949E-2</v>
      </c>
      <c r="K161" s="270">
        <f t="shared" si="22"/>
        <v>8.5032322227742174</v>
      </c>
      <c r="L161" s="200">
        <v>8</v>
      </c>
      <c r="M161" s="203">
        <v>43221</v>
      </c>
      <c r="N161" s="203">
        <v>43221</v>
      </c>
      <c r="T161" s="203"/>
      <c r="U161" s="203"/>
      <c r="AB161" s="110"/>
      <c r="AC161" s="110"/>
      <c r="AD161" s="110"/>
      <c r="AE161" s="110"/>
    </row>
    <row r="162" spans="1:50">
      <c r="A162" t="s">
        <v>1481</v>
      </c>
      <c r="C162"/>
      <c r="D162">
        <v>0.61140000000000005</v>
      </c>
      <c r="E162">
        <v>11.108000000000001</v>
      </c>
      <c r="F162">
        <v>0.22140000000000001</v>
      </c>
      <c r="G162" s="278">
        <f t="shared" si="20"/>
        <v>11.3294</v>
      </c>
      <c r="H162" s="274">
        <v>11.140599999999999</v>
      </c>
      <c r="I162" s="278">
        <f>G162-H162</f>
        <v>0.18880000000000052</v>
      </c>
      <c r="J162" s="273">
        <f t="shared" si="21"/>
        <v>3.259999999999949E-2</v>
      </c>
      <c r="K162" s="275">
        <f t="shared" si="22"/>
        <v>14.724480578138884</v>
      </c>
      <c r="L162">
        <v>15</v>
      </c>
      <c r="M162" s="276">
        <v>43379</v>
      </c>
      <c r="N162" s="276">
        <v>43379</v>
      </c>
      <c r="O162" s="273"/>
      <c r="P162" t="s">
        <v>3234</v>
      </c>
      <c r="Q162"/>
      <c r="R162" s="275"/>
      <c r="S162"/>
      <c r="T162"/>
      <c r="U162"/>
      <c r="V162"/>
      <c r="W162"/>
      <c r="X162"/>
      <c r="Y162"/>
      <c r="Z162"/>
      <c r="AA162"/>
      <c r="AB162"/>
      <c r="AC162"/>
      <c r="AD162"/>
      <c r="AE162"/>
      <c r="AF162"/>
      <c r="AG162"/>
      <c r="AH162"/>
      <c r="AI162"/>
      <c r="AJ162"/>
      <c r="AK162"/>
      <c r="AL162"/>
      <c r="AM162"/>
      <c r="AN162"/>
      <c r="AO162"/>
      <c r="AP162"/>
      <c r="AQ162"/>
      <c r="AR162"/>
      <c r="AS162"/>
      <c r="AT162"/>
      <c r="AU162"/>
      <c r="AV162"/>
      <c r="AW162"/>
      <c r="AX162"/>
    </row>
    <row r="163" spans="1:50">
      <c r="A163" s="196" t="s">
        <v>1479</v>
      </c>
      <c r="C163" s="196">
        <v>17</v>
      </c>
      <c r="D163" s="196">
        <v>0.50049999999999994</v>
      </c>
      <c r="E163" s="200">
        <v>11.171799999999999</v>
      </c>
      <c r="F163" s="201">
        <v>0.20369999999999999</v>
      </c>
      <c r="G163" s="200">
        <f t="shared" si="20"/>
        <v>11.375499999999999</v>
      </c>
      <c r="H163" s="200">
        <v>11.1915</v>
      </c>
      <c r="I163" s="200">
        <f>(G163-H163)</f>
        <v>0.18399999999999928</v>
      </c>
      <c r="J163" s="200">
        <f t="shared" si="21"/>
        <v>1.9700000000000717E-2</v>
      </c>
      <c r="K163" s="270">
        <f t="shared" si="22"/>
        <v>9.6710849288172405</v>
      </c>
      <c r="L163" s="200">
        <v>18</v>
      </c>
      <c r="M163" s="203">
        <v>43213</v>
      </c>
      <c r="N163" s="203">
        <v>43213</v>
      </c>
      <c r="AB163" s="110"/>
      <c r="AC163" s="110"/>
      <c r="AD163" s="110"/>
      <c r="AE163" s="110"/>
    </row>
    <row r="164" spans="1:50">
      <c r="A164" s="200" t="s">
        <v>1478</v>
      </c>
      <c r="C164" s="200">
        <v>213</v>
      </c>
      <c r="D164" s="200">
        <v>0.49080000000000001</v>
      </c>
      <c r="E164" s="200">
        <v>9.8213000000000008</v>
      </c>
      <c r="F164" s="200">
        <v>0.2019</v>
      </c>
      <c r="G164" s="200">
        <f t="shared" si="20"/>
        <v>10.023200000000001</v>
      </c>
      <c r="H164" s="200">
        <v>9.8420000000000005</v>
      </c>
      <c r="I164" s="200">
        <f>(G164-H164)</f>
        <v>0.18120000000000047</v>
      </c>
      <c r="J164" s="200">
        <f t="shared" si="21"/>
        <v>2.0699999999999524E-2</v>
      </c>
      <c r="K164" s="270">
        <f t="shared" si="22"/>
        <v>10.252600297176585</v>
      </c>
      <c r="L164" s="200">
        <v>8</v>
      </c>
      <c r="M164" s="204">
        <v>43188</v>
      </c>
      <c r="N164" s="204">
        <v>43188</v>
      </c>
      <c r="O164" s="200"/>
      <c r="P164" s="200"/>
      <c r="AB164" s="110"/>
      <c r="AC164" s="110"/>
      <c r="AD164" s="110"/>
      <c r="AE164" s="110"/>
    </row>
    <row r="165" spans="1:50">
      <c r="A165" s="205" t="s">
        <v>1477</v>
      </c>
      <c r="C165" s="200">
        <v>18</v>
      </c>
      <c r="D165" s="200">
        <v>0.4874</v>
      </c>
      <c r="E165" s="200">
        <v>7.9055</v>
      </c>
      <c r="F165" s="201">
        <v>0.20780000000000001</v>
      </c>
      <c r="G165" s="200">
        <f t="shared" si="20"/>
        <v>8.1133000000000006</v>
      </c>
      <c r="H165" s="200">
        <v>7.9348000000000001</v>
      </c>
      <c r="I165" s="200">
        <f>(G165-H165)</f>
        <v>0.17850000000000055</v>
      </c>
      <c r="J165" s="200">
        <f t="shared" si="21"/>
        <v>2.9299999999999465E-2</v>
      </c>
      <c r="K165" s="270">
        <f t="shared" si="22"/>
        <v>14.100096246390503</v>
      </c>
      <c r="L165" s="200">
        <v>9</v>
      </c>
      <c r="M165" s="204">
        <v>43187</v>
      </c>
      <c r="N165" s="204">
        <v>43187</v>
      </c>
      <c r="O165" s="200"/>
      <c r="P165" s="200" t="s">
        <v>2476</v>
      </c>
      <c r="AB165" s="110"/>
      <c r="AC165" s="110"/>
      <c r="AD165" s="110"/>
      <c r="AE165" s="110"/>
    </row>
    <row r="166" spans="1:50">
      <c r="A166" s="200" t="s">
        <v>1476</v>
      </c>
      <c r="C166" s="200">
        <v>207</v>
      </c>
      <c r="D166" s="200">
        <v>0.54110000000000003</v>
      </c>
      <c r="E166" s="201">
        <v>10.6175</v>
      </c>
      <c r="F166" s="201">
        <v>0.2</v>
      </c>
      <c r="G166" s="200">
        <f t="shared" si="20"/>
        <v>10.817499999999999</v>
      </c>
      <c r="H166" s="200">
        <v>10.6647</v>
      </c>
      <c r="I166" s="200">
        <f>(G166-H166)</f>
        <v>0.15279999999999916</v>
      </c>
      <c r="J166" s="200">
        <f t="shared" si="21"/>
        <v>4.7200000000000852E-2</v>
      </c>
      <c r="K166" s="270">
        <f t="shared" si="22"/>
        <v>23.600000000000428</v>
      </c>
      <c r="L166" s="200">
        <v>8</v>
      </c>
      <c r="M166" s="204">
        <v>43197</v>
      </c>
      <c r="N166" s="204">
        <v>43197</v>
      </c>
      <c r="O166" s="200"/>
      <c r="P166" s="200"/>
      <c r="AB166" s="110"/>
      <c r="AC166" s="110"/>
      <c r="AD166" s="110"/>
      <c r="AE166" s="110"/>
    </row>
    <row r="167" spans="1:50">
      <c r="A167" s="196" t="s">
        <v>1475</v>
      </c>
      <c r="C167" s="197">
        <v>22</v>
      </c>
      <c r="D167" s="196">
        <v>0.53739999999999999</v>
      </c>
      <c r="E167" s="201">
        <v>9.7211999999999996</v>
      </c>
      <c r="F167" s="201">
        <v>0.20150000000000001</v>
      </c>
      <c r="G167" s="200">
        <f t="shared" si="20"/>
        <v>9.922699999999999</v>
      </c>
      <c r="H167" s="200">
        <v>9.7409999999999997</v>
      </c>
      <c r="I167" s="200">
        <f>(G167-H167)</f>
        <v>0.18169999999999931</v>
      </c>
      <c r="J167" s="200">
        <f t="shared" si="21"/>
        <v>1.9800000000000706E-2</v>
      </c>
      <c r="K167" s="270">
        <f t="shared" si="22"/>
        <v>9.8263027295288854</v>
      </c>
      <c r="L167" s="200">
        <v>8</v>
      </c>
      <c r="AB167" s="110"/>
      <c r="AC167" s="110"/>
      <c r="AD167" s="110"/>
      <c r="AE167" s="110"/>
    </row>
    <row r="168" spans="1:50">
      <c r="A168" s="196" t="s">
        <v>1474</v>
      </c>
      <c r="P168" s="196" t="s">
        <v>3215</v>
      </c>
    </row>
    <row r="169" spans="1:50">
      <c r="A169" s="196" t="s">
        <v>1473</v>
      </c>
      <c r="C169" s="197">
        <v>5</v>
      </c>
      <c r="D169" s="196">
        <v>0.2429</v>
      </c>
      <c r="E169" s="201">
        <v>10.540100000000001</v>
      </c>
      <c r="F169" s="201">
        <v>0.20069999999999999</v>
      </c>
      <c r="G169" s="200">
        <f t="shared" ref="G169:G200" si="23">E169+F169</f>
        <v>10.7408</v>
      </c>
      <c r="H169" s="200">
        <v>10.568899999999999</v>
      </c>
      <c r="I169" s="200">
        <f t="shared" ref="I169:I192" si="24">(G169-H169)</f>
        <v>0.17190000000000083</v>
      </c>
      <c r="J169" s="200">
        <f t="shared" ref="J169:J200" si="25">F169-I169</f>
        <v>2.879999999999916E-2</v>
      </c>
      <c r="K169" s="270">
        <f t="shared" ref="K169:K200" si="26">(J169/F169)*100</f>
        <v>14.349775784752945</v>
      </c>
      <c r="L169" s="200">
        <v>22</v>
      </c>
      <c r="AB169" s="110"/>
      <c r="AC169" s="110"/>
      <c r="AD169" s="110"/>
      <c r="AE169" s="110"/>
    </row>
    <row r="170" spans="1:50">
      <c r="A170" s="196" t="s">
        <v>1471</v>
      </c>
      <c r="C170" s="196">
        <v>74</v>
      </c>
      <c r="D170" s="196">
        <v>0.52349999999999997</v>
      </c>
      <c r="E170" s="196">
        <v>7.9614000000000003</v>
      </c>
      <c r="F170" s="196">
        <v>0.1993</v>
      </c>
      <c r="G170" s="196">
        <f t="shared" si="23"/>
        <v>8.1607000000000003</v>
      </c>
      <c r="H170" s="196">
        <v>7.9794999999999998</v>
      </c>
      <c r="I170" s="196">
        <f t="shared" si="24"/>
        <v>0.18120000000000047</v>
      </c>
      <c r="J170" s="200">
        <f t="shared" si="25"/>
        <v>1.8099999999999533E-2</v>
      </c>
      <c r="K170" s="270">
        <f t="shared" si="26"/>
        <v>9.0817862518813506</v>
      </c>
      <c r="L170" s="196">
        <v>6</v>
      </c>
      <c r="M170" s="196" t="s">
        <v>2564</v>
      </c>
      <c r="N170" s="196" t="s">
        <v>2563</v>
      </c>
      <c r="O170" s="196" t="s">
        <v>2540</v>
      </c>
      <c r="AB170" s="110"/>
      <c r="AC170" s="110"/>
      <c r="AD170" s="110"/>
      <c r="AE170" s="110"/>
    </row>
    <row r="171" spans="1:50">
      <c r="A171" s="205" t="s">
        <v>1469</v>
      </c>
      <c r="C171" s="200">
        <v>214</v>
      </c>
      <c r="D171" s="200">
        <v>0.44280000000000003</v>
      </c>
      <c r="E171" s="200">
        <v>8.8611000000000004</v>
      </c>
      <c r="F171" s="200">
        <v>0.20580000000000001</v>
      </c>
      <c r="G171" s="200">
        <f t="shared" si="23"/>
        <v>9.0669000000000004</v>
      </c>
      <c r="H171" s="200">
        <v>8.8782999999999994</v>
      </c>
      <c r="I171" s="200">
        <f t="shared" si="24"/>
        <v>0.18860000000000099</v>
      </c>
      <c r="J171" s="200">
        <f t="shared" si="25"/>
        <v>1.7199999999999022E-2</v>
      </c>
      <c r="K171" s="270">
        <f t="shared" si="26"/>
        <v>8.3576287657915547</v>
      </c>
      <c r="L171" s="200">
        <v>7</v>
      </c>
      <c r="M171" s="202">
        <v>43164.628472222219</v>
      </c>
      <c r="N171" s="202">
        <v>43164.795138888891</v>
      </c>
      <c r="O171" s="196" t="s">
        <v>2534</v>
      </c>
      <c r="P171" s="200"/>
      <c r="AB171" s="110"/>
      <c r="AC171" s="110"/>
      <c r="AD171" s="110"/>
      <c r="AE171" s="110"/>
    </row>
    <row r="172" spans="1:50">
      <c r="A172" s="205" t="s">
        <v>1468</v>
      </c>
      <c r="C172" s="200">
        <v>40</v>
      </c>
      <c r="D172" s="200">
        <v>0.65359999999999996</v>
      </c>
      <c r="E172" s="200">
        <v>9.3191000000000006</v>
      </c>
      <c r="F172" s="201">
        <v>0.1993</v>
      </c>
      <c r="G172" s="200">
        <f t="shared" si="23"/>
        <v>9.5183999999999997</v>
      </c>
      <c r="H172" s="200">
        <v>9.3520000000000003</v>
      </c>
      <c r="I172" s="200">
        <f t="shared" si="24"/>
        <v>0.16639999999999944</v>
      </c>
      <c r="J172" s="200">
        <f t="shared" si="25"/>
        <v>3.2900000000000568E-2</v>
      </c>
      <c r="K172" s="270">
        <f t="shared" si="26"/>
        <v>16.507777220271233</v>
      </c>
      <c r="L172" s="200">
        <v>10</v>
      </c>
      <c r="M172" s="204">
        <v>43211</v>
      </c>
      <c r="P172" s="200"/>
      <c r="AB172" s="110"/>
      <c r="AC172" s="110"/>
      <c r="AD172" s="110"/>
      <c r="AE172" s="110"/>
    </row>
    <row r="173" spans="1:50">
      <c r="A173" s="196" t="s">
        <v>1467</v>
      </c>
      <c r="C173" s="196">
        <v>27</v>
      </c>
      <c r="D173" s="196">
        <v>0.45469999999999999</v>
      </c>
      <c r="E173" s="201">
        <v>7.9934000000000003</v>
      </c>
      <c r="F173" s="201">
        <v>0.2046</v>
      </c>
      <c r="G173" s="200">
        <f t="shared" si="23"/>
        <v>8.1980000000000004</v>
      </c>
      <c r="H173" s="200">
        <v>8.0195000000000007</v>
      </c>
      <c r="I173" s="200">
        <f t="shared" si="24"/>
        <v>0.17849999999999966</v>
      </c>
      <c r="J173" s="200">
        <f t="shared" si="25"/>
        <v>2.6100000000000345E-2</v>
      </c>
      <c r="K173" s="270">
        <f t="shared" si="26"/>
        <v>12.756598240469378</v>
      </c>
      <c r="L173" s="200">
        <v>10</v>
      </c>
      <c r="AB173" s="110"/>
      <c r="AC173" s="110"/>
      <c r="AD173" s="110"/>
      <c r="AE173" s="110"/>
    </row>
    <row r="174" spans="1:50">
      <c r="A174" s="196" t="s">
        <v>1466</v>
      </c>
      <c r="C174" s="197">
        <v>193</v>
      </c>
      <c r="D174" s="196">
        <v>0.45090000000000002</v>
      </c>
      <c r="E174" s="201">
        <v>11.023</v>
      </c>
      <c r="F174" s="201">
        <v>0.20319999999999999</v>
      </c>
      <c r="G174" s="200">
        <f t="shared" si="23"/>
        <v>11.2262</v>
      </c>
      <c r="H174" s="200">
        <v>11.039099999999999</v>
      </c>
      <c r="I174" s="200">
        <f t="shared" si="24"/>
        <v>0.18710000000000093</v>
      </c>
      <c r="J174" s="200">
        <f t="shared" si="25"/>
        <v>1.609999999999906E-2</v>
      </c>
      <c r="K174" s="270">
        <f t="shared" si="26"/>
        <v>7.9232283464562308</v>
      </c>
      <c r="L174" s="200">
        <v>19</v>
      </c>
      <c r="AB174" s="110"/>
      <c r="AC174" s="110"/>
      <c r="AD174" s="110"/>
      <c r="AE174" s="110"/>
    </row>
    <row r="175" spans="1:50">
      <c r="A175" s="200" t="s">
        <v>1465</v>
      </c>
      <c r="C175" s="196">
        <v>183</v>
      </c>
      <c r="D175" s="200">
        <v>0.51190000000000002</v>
      </c>
      <c r="E175" s="201">
        <v>10.1073</v>
      </c>
      <c r="F175" s="201">
        <v>0.20580000000000001</v>
      </c>
      <c r="G175" s="200">
        <f t="shared" si="23"/>
        <v>10.3131</v>
      </c>
      <c r="H175" s="200">
        <v>10.1282</v>
      </c>
      <c r="I175" s="200">
        <f t="shared" si="24"/>
        <v>0.18490000000000073</v>
      </c>
      <c r="J175" s="200">
        <f t="shared" si="25"/>
        <v>2.089999999999928E-2</v>
      </c>
      <c r="K175" s="270">
        <f t="shared" si="26"/>
        <v>10.155490767735316</v>
      </c>
      <c r="L175" s="200">
        <v>13</v>
      </c>
      <c r="M175" s="206">
        <v>43186.458333333336</v>
      </c>
      <c r="N175" s="206">
        <v>43186.625</v>
      </c>
      <c r="O175" s="196" t="s">
        <v>2534</v>
      </c>
      <c r="P175" s="200"/>
      <c r="AB175" s="110"/>
      <c r="AC175" s="110"/>
      <c r="AD175" s="110"/>
      <c r="AE175" s="110"/>
    </row>
    <row r="176" spans="1:50">
      <c r="A176" s="196" t="s">
        <v>1463</v>
      </c>
      <c r="C176" s="197">
        <v>218</v>
      </c>
      <c r="D176" s="196">
        <v>0.53339999999999999</v>
      </c>
      <c r="E176" s="201">
        <v>11.903499999999999</v>
      </c>
      <c r="F176" s="201">
        <v>0.20280000000000001</v>
      </c>
      <c r="G176" s="200">
        <f t="shared" si="23"/>
        <v>12.106299999999999</v>
      </c>
      <c r="H176" s="200">
        <v>11.93</v>
      </c>
      <c r="I176" s="200">
        <f t="shared" si="24"/>
        <v>0.17629999999999946</v>
      </c>
      <c r="J176" s="200">
        <f t="shared" si="25"/>
        <v>2.6500000000000551E-2</v>
      </c>
      <c r="K176" s="270">
        <f t="shared" si="26"/>
        <v>13.067061143984493</v>
      </c>
      <c r="L176" s="200">
        <v>16</v>
      </c>
      <c r="AB176" s="110"/>
      <c r="AC176" s="110"/>
      <c r="AD176" s="110"/>
      <c r="AE176" s="110"/>
    </row>
    <row r="177" spans="1:31">
      <c r="A177" s="205" t="s">
        <v>1459</v>
      </c>
      <c r="C177" s="200">
        <v>192</v>
      </c>
      <c r="D177" s="200">
        <v>0.45319999999999999</v>
      </c>
      <c r="E177" s="201">
        <v>10.115600000000001</v>
      </c>
      <c r="F177" s="201">
        <v>0.20150000000000001</v>
      </c>
      <c r="G177" s="200">
        <f t="shared" si="23"/>
        <v>10.3171</v>
      </c>
      <c r="H177" s="200">
        <v>10.1364</v>
      </c>
      <c r="I177" s="200">
        <f t="shared" si="24"/>
        <v>0.18069999999999986</v>
      </c>
      <c r="J177" s="200">
        <f t="shared" si="25"/>
        <v>2.0800000000000152E-2</v>
      </c>
      <c r="K177" s="270">
        <f t="shared" si="26"/>
        <v>10.322580645161365</v>
      </c>
      <c r="L177" s="200">
        <v>17</v>
      </c>
      <c r="M177" s="206">
        <v>43185.385416666664</v>
      </c>
      <c r="N177" s="200"/>
      <c r="O177" s="200" t="s">
        <v>2540</v>
      </c>
      <c r="P177" s="200"/>
      <c r="AB177" s="110"/>
      <c r="AC177" s="110"/>
      <c r="AD177" s="110"/>
      <c r="AE177" s="110"/>
    </row>
    <row r="178" spans="1:31">
      <c r="A178" s="196" t="s">
        <v>1458</v>
      </c>
      <c r="C178" s="196">
        <v>90</v>
      </c>
      <c r="D178" s="196">
        <v>0.80169999999999997</v>
      </c>
      <c r="E178" s="196">
        <v>20.895399999999999</v>
      </c>
      <c r="F178" s="196">
        <v>0.19989999999999999</v>
      </c>
      <c r="G178" s="196">
        <f t="shared" si="23"/>
        <v>21.095299999999998</v>
      </c>
      <c r="H178" s="196">
        <v>20.9617</v>
      </c>
      <c r="I178" s="196">
        <f t="shared" si="24"/>
        <v>0.13359999999999772</v>
      </c>
      <c r="J178" s="200">
        <f t="shared" si="25"/>
        <v>6.6300000000002274E-2</v>
      </c>
      <c r="K178" s="270">
        <f t="shared" si="26"/>
        <v>33.166583291646958</v>
      </c>
      <c r="L178" s="196">
        <v>20</v>
      </c>
      <c r="M178" s="196" t="s">
        <v>2564</v>
      </c>
      <c r="N178" s="196" t="s">
        <v>2563</v>
      </c>
      <c r="O178" s="196" t="s">
        <v>2540</v>
      </c>
      <c r="AB178" s="110"/>
      <c r="AC178" s="110"/>
      <c r="AD178" s="110"/>
      <c r="AE178" s="110"/>
    </row>
    <row r="179" spans="1:31">
      <c r="A179" s="196" t="s">
        <v>1457</v>
      </c>
      <c r="C179" s="196">
        <v>58</v>
      </c>
      <c r="D179" s="196">
        <v>0.74560000000000004</v>
      </c>
      <c r="E179" s="196">
        <v>7.1924000000000001</v>
      </c>
      <c r="F179" s="196">
        <v>0.2006</v>
      </c>
      <c r="G179" s="196">
        <f t="shared" si="23"/>
        <v>7.3929999999999998</v>
      </c>
      <c r="H179" s="196">
        <v>7.2172999999999998</v>
      </c>
      <c r="I179" s="196">
        <f t="shared" si="24"/>
        <v>0.17569999999999997</v>
      </c>
      <c r="J179" s="200">
        <f t="shared" si="25"/>
        <v>2.4900000000000033E-2</v>
      </c>
      <c r="K179" s="270">
        <f t="shared" si="26"/>
        <v>12.412761714855449</v>
      </c>
      <c r="L179" s="196">
        <v>39</v>
      </c>
      <c r="M179" s="196" t="s">
        <v>2570</v>
      </c>
      <c r="N179" s="196" t="s">
        <v>2569</v>
      </c>
      <c r="O179" s="196" t="s">
        <v>2534</v>
      </c>
      <c r="U179" s="201" t="s">
        <v>1114</v>
      </c>
      <c r="V179" s="196">
        <v>1.8498000000000001</v>
      </c>
      <c r="W179" s="196">
        <f>(V179-$T$175+F177)</f>
        <v>2.0513000000000003</v>
      </c>
      <c r="AB179" s="110"/>
      <c r="AC179" s="110"/>
      <c r="AD179" s="110"/>
      <c r="AE179" s="110"/>
    </row>
    <row r="180" spans="1:31">
      <c r="A180" s="200" t="s">
        <v>1456</v>
      </c>
      <c r="C180" s="200">
        <v>77</v>
      </c>
      <c r="D180" s="200">
        <v>0.72550000000000003</v>
      </c>
      <c r="E180" s="200">
        <v>10.143700000000001</v>
      </c>
      <c r="F180" s="201">
        <v>0.20519999999999999</v>
      </c>
      <c r="G180" s="200">
        <f t="shared" si="23"/>
        <v>10.3489</v>
      </c>
      <c r="H180" s="200">
        <v>10.1693</v>
      </c>
      <c r="I180" s="200">
        <f t="shared" si="24"/>
        <v>0.17960000000000065</v>
      </c>
      <c r="J180" s="200">
        <f t="shared" si="25"/>
        <v>2.5599999999999346E-2</v>
      </c>
      <c r="K180" s="270">
        <f t="shared" si="26"/>
        <v>12.475633528264789</v>
      </c>
      <c r="L180" s="200">
        <v>35</v>
      </c>
      <c r="M180" s="204">
        <v>43187</v>
      </c>
      <c r="N180" s="204">
        <v>43187</v>
      </c>
      <c r="O180" s="200"/>
      <c r="P180" s="200"/>
      <c r="AB180" s="110"/>
      <c r="AC180" s="110"/>
      <c r="AD180" s="110"/>
      <c r="AE180" s="110"/>
    </row>
    <row r="181" spans="1:31">
      <c r="A181" s="196" t="s">
        <v>1455</v>
      </c>
      <c r="C181" s="197">
        <v>13</v>
      </c>
      <c r="D181" s="196">
        <v>0.46210000000000001</v>
      </c>
      <c r="E181" s="196">
        <v>8.1326000000000001</v>
      </c>
      <c r="F181" s="201">
        <v>0.2009</v>
      </c>
      <c r="G181" s="200">
        <f t="shared" si="23"/>
        <v>8.3335000000000008</v>
      </c>
      <c r="H181" s="200">
        <v>8.1912000000000003</v>
      </c>
      <c r="I181" s="200">
        <f t="shared" si="24"/>
        <v>0.14230000000000054</v>
      </c>
      <c r="J181" s="200">
        <f t="shared" si="25"/>
        <v>5.8599999999999458E-2</v>
      </c>
      <c r="K181" s="270">
        <f t="shared" si="26"/>
        <v>29.168740666998239</v>
      </c>
      <c r="L181" s="200">
        <v>17</v>
      </c>
      <c r="AB181" s="110"/>
      <c r="AC181" s="110"/>
      <c r="AD181" s="110"/>
      <c r="AE181" s="110"/>
    </row>
    <row r="182" spans="1:31">
      <c r="A182" s="196" t="s">
        <v>1451</v>
      </c>
      <c r="C182" s="196">
        <v>52</v>
      </c>
      <c r="D182" s="196">
        <v>0.64810000000000001</v>
      </c>
      <c r="E182" s="196">
        <v>7.4747000000000003</v>
      </c>
      <c r="F182" s="196">
        <v>0.2009</v>
      </c>
      <c r="G182" s="196">
        <f t="shared" si="23"/>
        <v>7.6756000000000002</v>
      </c>
      <c r="H182" s="196">
        <v>7.5034000000000001</v>
      </c>
      <c r="I182" s="196">
        <f t="shared" si="24"/>
        <v>0.17220000000000013</v>
      </c>
      <c r="J182" s="200">
        <f t="shared" si="25"/>
        <v>2.8699999999999865E-2</v>
      </c>
      <c r="K182" s="270">
        <f t="shared" si="26"/>
        <v>14.285714285714219</v>
      </c>
      <c r="L182" s="196">
        <v>34</v>
      </c>
      <c r="M182" s="196" t="s">
        <v>2570</v>
      </c>
      <c r="N182" s="196" t="s">
        <v>2569</v>
      </c>
      <c r="O182" s="196" t="s">
        <v>2534</v>
      </c>
      <c r="U182" s="201" t="s">
        <v>760</v>
      </c>
      <c r="V182" s="196">
        <v>1.6607000000000001</v>
      </c>
      <c r="W182" s="196">
        <f>(V182-$T$175+F180)</f>
        <v>1.8659000000000001</v>
      </c>
      <c r="AB182" s="110"/>
      <c r="AC182" s="110"/>
      <c r="AD182" s="110"/>
      <c r="AE182" s="110"/>
    </row>
    <row r="183" spans="1:31">
      <c r="A183" s="200" t="s">
        <v>1450</v>
      </c>
      <c r="C183" s="200">
        <v>59</v>
      </c>
      <c r="D183" s="200">
        <v>0.66210000000000002</v>
      </c>
      <c r="E183" s="200">
        <v>10.634600000000001</v>
      </c>
      <c r="F183" s="200">
        <v>0.20369999999999999</v>
      </c>
      <c r="G183" s="200">
        <f t="shared" si="23"/>
        <v>10.8383</v>
      </c>
      <c r="H183" s="200">
        <v>10.663</v>
      </c>
      <c r="I183" s="200">
        <f t="shared" si="24"/>
        <v>0.17530000000000001</v>
      </c>
      <c r="J183" s="200">
        <f t="shared" si="25"/>
        <v>2.8399999999999981E-2</v>
      </c>
      <c r="K183" s="270">
        <f t="shared" si="26"/>
        <v>13.942071674030428</v>
      </c>
      <c r="L183" s="200">
        <v>3</v>
      </c>
      <c r="M183" s="204">
        <v>43188</v>
      </c>
      <c r="N183" s="204">
        <v>43188</v>
      </c>
      <c r="O183" s="200"/>
      <c r="P183" s="200"/>
      <c r="U183" s="201" t="s">
        <v>1485</v>
      </c>
      <c r="V183" s="196">
        <v>1.5843</v>
      </c>
      <c r="W183" s="196">
        <f>(V183-$T$175+F181)</f>
        <v>1.7852000000000001</v>
      </c>
      <c r="AB183" s="110"/>
      <c r="AC183" s="110"/>
      <c r="AD183" s="110"/>
      <c r="AE183" s="110"/>
    </row>
    <row r="184" spans="1:31">
      <c r="A184" s="196" t="s">
        <v>1448</v>
      </c>
      <c r="C184" s="196">
        <v>45</v>
      </c>
      <c r="D184" s="196">
        <v>0.56820000000000004</v>
      </c>
      <c r="E184" s="196">
        <v>8.9586000000000006</v>
      </c>
      <c r="F184" s="196">
        <v>0.2024</v>
      </c>
      <c r="G184" s="196">
        <f t="shared" si="23"/>
        <v>9.1610000000000014</v>
      </c>
      <c r="H184" s="196">
        <v>8.9705999999999992</v>
      </c>
      <c r="I184" s="196">
        <f t="shared" si="24"/>
        <v>0.19040000000000212</v>
      </c>
      <c r="J184" s="200">
        <f t="shared" si="25"/>
        <v>1.1999999999997873E-2</v>
      </c>
      <c r="K184" s="270">
        <f t="shared" si="26"/>
        <v>5.9288537549396603</v>
      </c>
      <c r="L184" s="196">
        <v>18</v>
      </c>
      <c r="M184" s="196" t="s">
        <v>2570</v>
      </c>
      <c r="N184" s="196" t="s">
        <v>2569</v>
      </c>
      <c r="O184" s="196" t="s">
        <v>2534</v>
      </c>
      <c r="AB184" s="110"/>
      <c r="AC184" s="110"/>
      <c r="AD184" s="110"/>
      <c r="AE184" s="110"/>
    </row>
    <row r="185" spans="1:31">
      <c r="A185" s="201" t="s">
        <v>1447</v>
      </c>
      <c r="C185" s="200">
        <v>75</v>
      </c>
      <c r="D185" s="200">
        <v>0.59799999999999986</v>
      </c>
      <c r="E185" s="200">
        <v>8.1327999999999996</v>
      </c>
      <c r="F185" s="200">
        <v>0.20150000000000001</v>
      </c>
      <c r="G185" s="200">
        <f t="shared" si="23"/>
        <v>8.3342999999999989</v>
      </c>
      <c r="H185" s="200">
        <v>8.1508000000000003</v>
      </c>
      <c r="I185" s="200">
        <f t="shared" si="24"/>
        <v>0.18349999999999866</v>
      </c>
      <c r="J185" s="200">
        <f t="shared" si="25"/>
        <v>1.8000000000001348E-2</v>
      </c>
      <c r="K185" s="270">
        <f t="shared" si="26"/>
        <v>8.9330024813902469</v>
      </c>
      <c r="L185" s="200">
        <v>11</v>
      </c>
      <c r="M185" s="204">
        <v>43173</v>
      </c>
      <c r="N185" s="204">
        <v>43173</v>
      </c>
      <c r="O185" s="200" t="s">
        <v>2540</v>
      </c>
      <c r="P185" s="200" t="s">
        <v>2539</v>
      </c>
      <c r="AB185" s="110"/>
      <c r="AC185" s="110"/>
      <c r="AD185" s="110"/>
      <c r="AE185" s="110"/>
    </row>
    <row r="186" spans="1:31">
      <c r="A186" s="200" t="s">
        <v>1446</v>
      </c>
      <c r="C186" s="200">
        <v>209</v>
      </c>
      <c r="D186" s="200">
        <v>0.55049999999999999</v>
      </c>
      <c r="E186" s="200">
        <v>8.7682000000000002</v>
      </c>
      <c r="F186" s="200">
        <v>0.20119999999999999</v>
      </c>
      <c r="G186" s="200">
        <f t="shared" si="23"/>
        <v>8.9694000000000003</v>
      </c>
      <c r="H186" s="200">
        <v>8.8010999999999999</v>
      </c>
      <c r="I186" s="200">
        <f t="shared" si="24"/>
        <v>0.16830000000000034</v>
      </c>
      <c r="J186" s="200">
        <f t="shared" si="25"/>
        <v>3.2899999999999652E-2</v>
      </c>
      <c r="K186" s="270">
        <f t="shared" si="26"/>
        <v>16.351888667991876</v>
      </c>
      <c r="L186" s="200">
        <v>4</v>
      </c>
      <c r="M186" s="204">
        <v>43174</v>
      </c>
      <c r="N186" s="204">
        <v>43174</v>
      </c>
      <c r="O186" s="200" t="s">
        <v>2540</v>
      </c>
      <c r="P186" s="200" t="s">
        <v>2535</v>
      </c>
      <c r="AB186" s="110"/>
      <c r="AC186" s="110"/>
      <c r="AD186" s="110"/>
      <c r="AE186" s="110"/>
    </row>
    <row r="187" spans="1:31">
      <c r="A187" s="196" t="s">
        <v>1445</v>
      </c>
      <c r="C187" s="196">
        <v>74</v>
      </c>
      <c r="D187" s="196">
        <v>0.7823</v>
      </c>
      <c r="E187" s="196">
        <v>8.7669999999999995</v>
      </c>
      <c r="F187" s="196">
        <v>0.20300000000000001</v>
      </c>
      <c r="G187" s="196">
        <f t="shared" si="23"/>
        <v>8.9699999999999989</v>
      </c>
      <c r="H187" s="196">
        <v>8.8939000000000004</v>
      </c>
      <c r="I187" s="196">
        <f t="shared" si="24"/>
        <v>7.6099999999998502E-2</v>
      </c>
      <c r="J187" s="200">
        <f t="shared" si="25"/>
        <v>0.12690000000000151</v>
      </c>
      <c r="K187" s="270">
        <f t="shared" si="26"/>
        <v>62.512315270936703</v>
      </c>
      <c r="L187" s="196">
        <v>7</v>
      </c>
      <c r="M187" s="196" t="s">
        <v>2564</v>
      </c>
      <c r="N187" s="196" t="s">
        <v>2563</v>
      </c>
      <c r="O187" s="196" t="s">
        <v>2540</v>
      </c>
      <c r="AB187" s="110"/>
      <c r="AC187" s="110"/>
      <c r="AD187" s="110"/>
      <c r="AE187" s="110"/>
    </row>
    <row r="188" spans="1:31">
      <c r="A188" s="196" t="s">
        <v>1444</v>
      </c>
      <c r="C188" s="197">
        <v>10</v>
      </c>
      <c r="D188" s="196">
        <v>0.44159999999999999</v>
      </c>
      <c r="E188" s="201">
        <v>9.3192000000000004</v>
      </c>
      <c r="F188" s="201">
        <v>0.2064</v>
      </c>
      <c r="G188" s="200">
        <f t="shared" si="23"/>
        <v>9.5256000000000007</v>
      </c>
      <c r="H188" s="200">
        <v>9.3407</v>
      </c>
      <c r="I188" s="200">
        <f t="shared" si="24"/>
        <v>0.18490000000000073</v>
      </c>
      <c r="J188" s="200">
        <f t="shared" si="25"/>
        <v>2.149999999999927E-2</v>
      </c>
      <c r="K188" s="270">
        <f t="shared" si="26"/>
        <v>10.416666666666313</v>
      </c>
      <c r="L188" s="200">
        <v>32</v>
      </c>
      <c r="M188" s="203">
        <v>43213</v>
      </c>
      <c r="N188" s="203">
        <v>43213</v>
      </c>
      <c r="AB188" s="110"/>
      <c r="AC188" s="110"/>
      <c r="AD188" s="110"/>
      <c r="AE188" s="110"/>
    </row>
    <row r="189" spans="1:31">
      <c r="A189" s="196" t="s">
        <v>1443</v>
      </c>
      <c r="C189" s="196">
        <v>80</v>
      </c>
      <c r="D189" s="196">
        <v>0.70750000000000002</v>
      </c>
      <c r="E189" s="196">
        <v>7.7138</v>
      </c>
      <c r="F189" s="196">
        <v>0.19089999999999999</v>
      </c>
      <c r="G189" s="196">
        <f t="shared" si="23"/>
        <v>7.9047000000000001</v>
      </c>
      <c r="H189" s="196">
        <v>7.7397999999999998</v>
      </c>
      <c r="I189" s="196">
        <f t="shared" si="24"/>
        <v>0.16490000000000027</v>
      </c>
      <c r="J189" s="200">
        <f t="shared" si="25"/>
        <v>2.5999999999999718E-2</v>
      </c>
      <c r="K189" s="270">
        <f t="shared" si="26"/>
        <v>13.619696176008233</v>
      </c>
      <c r="L189" s="196">
        <v>10</v>
      </c>
      <c r="M189" s="196" t="s">
        <v>2564</v>
      </c>
      <c r="N189" s="196" t="s">
        <v>2563</v>
      </c>
      <c r="O189" s="196" t="s">
        <v>2540</v>
      </c>
      <c r="AB189" s="110"/>
      <c r="AC189" s="110"/>
      <c r="AD189" s="110"/>
      <c r="AE189" s="110"/>
    </row>
    <row r="190" spans="1:31">
      <c r="A190" s="205" t="s">
        <v>1442</v>
      </c>
      <c r="C190" s="200">
        <v>186</v>
      </c>
      <c r="D190" s="200">
        <v>0.4279</v>
      </c>
      <c r="E190" s="200">
        <v>10.6746</v>
      </c>
      <c r="F190" s="201">
        <v>0.20050000000000001</v>
      </c>
      <c r="G190" s="200">
        <f t="shared" si="23"/>
        <v>10.8751</v>
      </c>
      <c r="H190" s="200">
        <v>10.6927</v>
      </c>
      <c r="I190" s="200">
        <f t="shared" si="24"/>
        <v>0.18239999999999945</v>
      </c>
      <c r="J190" s="200">
        <f t="shared" si="25"/>
        <v>1.810000000000056E-2</v>
      </c>
      <c r="K190" s="270">
        <f t="shared" si="26"/>
        <v>9.0274314214466642</v>
      </c>
      <c r="L190" s="200">
        <v>30</v>
      </c>
      <c r="M190" s="204">
        <v>43187</v>
      </c>
      <c r="N190" s="204">
        <v>43187</v>
      </c>
      <c r="O190" s="200"/>
      <c r="P190" s="200"/>
      <c r="AB190" s="110"/>
      <c r="AC190" s="110"/>
      <c r="AD190" s="110"/>
      <c r="AE190" s="110"/>
    </row>
    <row r="191" spans="1:31">
      <c r="A191" s="205" t="s">
        <v>1441</v>
      </c>
      <c r="C191" s="196">
        <v>14</v>
      </c>
      <c r="D191" s="201">
        <v>0.309</v>
      </c>
      <c r="E191" s="201">
        <v>11.023</v>
      </c>
      <c r="F191" s="201">
        <v>0.20019999999999999</v>
      </c>
      <c r="G191" s="200">
        <f t="shared" si="23"/>
        <v>11.2232</v>
      </c>
      <c r="H191" s="200">
        <v>11.055099999999999</v>
      </c>
      <c r="I191" s="200">
        <f t="shared" si="24"/>
        <v>0.1681000000000008</v>
      </c>
      <c r="J191" s="200">
        <f t="shared" si="25"/>
        <v>3.2099999999999185E-2</v>
      </c>
      <c r="K191" s="270">
        <f t="shared" si="26"/>
        <v>16.033966033965626</v>
      </c>
      <c r="L191" s="200">
        <v>27</v>
      </c>
      <c r="M191" s="204">
        <v>43199</v>
      </c>
      <c r="N191" s="204">
        <v>43199</v>
      </c>
      <c r="O191" s="200"/>
      <c r="P191" s="200"/>
      <c r="AB191" s="110"/>
      <c r="AC191" s="110"/>
      <c r="AD191" s="110"/>
      <c r="AE191" s="110"/>
    </row>
    <row r="192" spans="1:31">
      <c r="A192" s="205" t="s">
        <v>1440</v>
      </c>
      <c r="C192" s="200">
        <v>98</v>
      </c>
      <c r="D192" s="200">
        <v>0.37019999999999997</v>
      </c>
      <c r="E192" s="201">
        <v>9.2207000000000008</v>
      </c>
      <c r="F192" s="201">
        <v>0.2016</v>
      </c>
      <c r="G192" s="200">
        <f t="shared" si="23"/>
        <v>9.4222999999999999</v>
      </c>
      <c r="H192" s="200">
        <v>9.2502999999999993</v>
      </c>
      <c r="I192" s="200">
        <f t="shared" si="24"/>
        <v>0.1720000000000006</v>
      </c>
      <c r="J192" s="200">
        <f t="shared" si="25"/>
        <v>2.9599999999999405E-2</v>
      </c>
      <c r="K192" s="270">
        <f t="shared" si="26"/>
        <v>14.682539682539385</v>
      </c>
      <c r="L192" s="200">
        <v>25</v>
      </c>
      <c r="M192" s="206">
        <v>43185.385416666664</v>
      </c>
      <c r="N192" s="200"/>
      <c r="O192" s="200" t="s">
        <v>2540</v>
      </c>
      <c r="P192" s="200"/>
      <c r="AB192" s="110"/>
      <c r="AC192" s="110"/>
      <c r="AD192" s="110"/>
      <c r="AE192" s="110"/>
    </row>
    <row r="193" spans="1:50">
      <c r="A193" t="s">
        <v>1439</v>
      </c>
      <c r="C193"/>
      <c r="D193">
        <v>0.72619999999999996</v>
      </c>
      <c r="E193">
        <v>9.8224</v>
      </c>
      <c r="F193">
        <v>0.2034</v>
      </c>
      <c r="G193">
        <f t="shared" si="23"/>
        <v>10.0258</v>
      </c>
      <c r="H193">
        <v>9.8557000000000006</v>
      </c>
      <c r="I193" s="274">
        <f>G193-H193</f>
        <v>0.1700999999999997</v>
      </c>
      <c r="J193" s="273">
        <f t="shared" si="25"/>
        <v>3.3300000000000302E-2</v>
      </c>
      <c r="K193" s="275">
        <f t="shared" si="26"/>
        <v>16.371681415929352</v>
      </c>
      <c r="L193">
        <v>22</v>
      </c>
      <c r="M193" s="16">
        <v>43399</v>
      </c>
      <c r="N193" s="16">
        <v>43400</v>
      </c>
      <c r="O193"/>
      <c r="P193" t="s">
        <v>3234</v>
      </c>
      <c r="Q193"/>
      <c r="R193" s="275"/>
      <c r="S193"/>
      <c r="T193"/>
      <c r="U193"/>
      <c r="V193"/>
      <c r="W193"/>
      <c r="X193"/>
      <c r="Y193"/>
      <c r="Z193"/>
      <c r="AA193"/>
      <c r="AB193"/>
      <c r="AC193"/>
      <c r="AD193"/>
      <c r="AE193"/>
      <c r="AF193"/>
      <c r="AG193"/>
      <c r="AH193"/>
      <c r="AI193"/>
      <c r="AJ193"/>
      <c r="AK193"/>
      <c r="AL193"/>
      <c r="AM193"/>
      <c r="AN193"/>
      <c r="AO193"/>
      <c r="AP193"/>
      <c r="AQ193"/>
      <c r="AR193"/>
      <c r="AS193"/>
      <c r="AT193"/>
      <c r="AU193"/>
      <c r="AV193"/>
      <c r="AW193"/>
      <c r="AX193"/>
    </row>
    <row r="194" spans="1:50">
      <c r="A194" s="205" t="s">
        <v>1437</v>
      </c>
      <c r="C194" s="200">
        <v>216</v>
      </c>
      <c r="D194" s="200">
        <v>0.61939999999999995</v>
      </c>
      <c r="E194" s="200">
        <v>9.2355</v>
      </c>
      <c r="F194" s="201">
        <v>0.20699999999999999</v>
      </c>
      <c r="G194" s="200">
        <f t="shared" si="23"/>
        <v>9.4425000000000008</v>
      </c>
      <c r="H194" s="200">
        <v>9.2507000000000001</v>
      </c>
      <c r="I194" s="200">
        <f t="shared" ref="I194:I225" si="27">(G194-H194)</f>
        <v>0.19180000000000064</v>
      </c>
      <c r="J194" s="200">
        <f t="shared" si="25"/>
        <v>1.5199999999999353E-2</v>
      </c>
      <c r="K194" s="270">
        <f t="shared" si="26"/>
        <v>7.3429951690818136</v>
      </c>
      <c r="L194" s="200">
        <v>24</v>
      </c>
      <c r="M194" s="204">
        <v>43211</v>
      </c>
      <c r="AB194" s="110"/>
      <c r="AC194" s="110"/>
      <c r="AD194" s="110"/>
      <c r="AE194" s="110"/>
    </row>
    <row r="195" spans="1:50">
      <c r="A195" s="200" t="s">
        <v>1436</v>
      </c>
      <c r="C195" s="200">
        <v>65</v>
      </c>
      <c r="D195" s="200">
        <v>0.72089999999999999</v>
      </c>
      <c r="E195" s="201">
        <v>10.6349</v>
      </c>
      <c r="F195" s="201">
        <v>0.2016</v>
      </c>
      <c r="G195" s="200">
        <f t="shared" si="23"/>
        <v>10.836500000000001</v>
      </c>
      <c r="H195" s="200">
        <v>10.666499999999999</v>
      </c>
      <c r="I195" s="200">
        <f t="shared" si="27"/>
        <v>0.17000000000000171</v>
      </c>
      <c r="J195" s="200">
        <f t="shared" si="25"/>
        <v>3.1599999999998296E-2</v>
      </c>
      <c r="K195" s="270">
        <f t="shared" si="26"/>
        <v>15.67460317460233</v>
      </c>
      <c r="L195" s="200">
        <v>4</v>
      </c>
      <c r="M195" s="204">
        <v>43199</v>
      </c>
      <c r="N195" s="204">
        <v>43199</v>
      </c>
      <c r="O195" s="200"/>
      <c r="P195" s="200"/>
      <c r="AB195" s="110"/>
      <c r="AC195" s="110"/>
      <c r="AD195" s="110"/>
      <c r="AE195" s="110"/>
    </row>
    <row r="196" spans="1:50">
      <c r="A196" s="205" t="s">
        <v>1435</v>
      </c>
      <c r="C196" s="196">
        <v>194</v>
      </c>
      <c r="D196" s="200">
        <v>0.42880000000000001</v>
      </c>
      <c r="E196" s="201">
        <v>9.0518999999999998</v>
      </c>
      <c r="F196" s="201">
        <v>0.2029</v>
      </c>
      <c r="G196" s="200">
        <f t="shared" si="23"/>
        <v>9.2547999999999995</v>
      </c>
      <c r="H196" s="200">
        <v>9.0746000000000002</v>
      </c>
      <c r="I196" s="200">
        <f t="shared" si="27"/>
        <v>0.18019999999999925</v>
      </c>
      <c r="J196" s="200">
        <f t="shared" si="25"/>
        <v>2.2700000000000747E-2</v>
      </c>
      <c r="K196" s="270">
        <f t="shared" si="26"/>
        <v>11.187777230163009</v>
      </c>
      <c r="L196" s="200">
        <v>23</v>
      </c>
      <c r="M196" s="206">
        <v>43186.458333333336</v>
      </c>
      <c r="N196" s="206">
        <v>43186.625</v>
      </c>
      <c r="O196" s="196" t="s">
        <v>2534</v>
      </c>
      <c r="P196" s="200"/>
      <c r="AB196" s="110"/>
      <c r="AC196" s="110"/>
      <c r="AD196" s="110"/>
      <c r="AE196" s="110"/>
    </row>
    <row r="197" spans="1:50">
      <c r="A197" s="200" t="s">
        <v>1434</v>
      </c>
      <c r="C197" s="200">
        <v>55</v>
      </c>
      <c r="D197" s="200">
        <v>0.68020000000000003</v>
      </c>
      <c r="E197" s="200">
        <v>8.0879999999999992</v>
      </c>
      <c r="F197" s="201">
        <v>0.20480000000000001</v>
      </c>
      <c r="G197" s="200">
        <f t="shared" si="23"/>
        <v>8.2927999999999997</v>
      </c>
      <c r="H197" s="200">
        <v>8.1410999999999998</v>
      </c>
      <c r="I197" s="200">
        <f t="shared" si="27"/>
        <v>0.15169999999999995</v>
      </c>
      <c r="J197" s="200">
        <f t="shared" si="25"/>
        <v>5.3100000000000064E-2</v>
      </c>
      <c r="K197" s="270">
        <f t="shared" si="26"/>
        <v>25.927734375000028</v>
      </c>
      <c r="L197" s="200">
        <v>16</v>
      </c>
      <c r="M197" s="204">
        <v>43187</v>
      </c>
      <c r="N197" s="204">
        <v>43187</v>
      </c>
      <c r="O197" s="200"/>
      <c r="P197" s="200"/>
      <c r="U197" s="201" t="s">
        <v>552</v>
      </c>
      <c r="V197" s="196">
        <v>1.7441</v>
      </c>
      <c r="W197" s="196">
        <f>(V197-$T$175+F195)</f>
        <v>1.9457</v>
      </c>
      <c r="AB197" s="110"/>
      <c r="AC197" s="110"/>
      <c r="AD197" s="110"/>
      <c r="AE197" s="110"/>
    </row>
    <row r="198" spans="1:50">
      <c r="A198" s="196" t="s">
        <v>1432</v>
      </c>
      <c r="C198" s="197">
        <v>57</v>
      </c>
      <c r="D198" s="196">
        <v>0.70320000000000005</v>
      </c>
      <c r="E198" s="201">
        <v>10.115500000000001</v>
      </c>
      <c r="F198" s="201">
        <v>0.20200000000000001</v>
      </c>
      <c r="G198" s="200">
        <f t="shared" si="23"/>
        <v>10.317500000000001</v>
      </c>
      <c r="H198" s="200">
        <v>10.1388</v>
      </c>
      <c r="I198" s="200">
        <f t="shared" si="27"/>
        <v>0.17870000000000097</v>
      </c>
      <c r="J198" s="200">
        <f t="shared" si="25"/>
        <v>2.3299999999999044E-2</v>
      </c>
      <c r="K198" s="270">
        <f t="shared" si="26"/>
        <v>11.534653465346061</v>
      </c>
      <c r="L198" s="200">
        <v>1</v>
      </c>
      <c r="U198" s="113" t="s">
        <v>2571</v>
      </c>
      <c r="V198" s="196">
        <v>1.7248000000000001</v>
      </c>
      <c r="W198" s="196">
        <f>(V198-$T$175+F196)</f>
        <v>1.9277000000000002</v>
      </c>
      <c r="AB198" s="110"/>
      <c r="AC198" s="110"/>
      <c r="AD198" s="110"/>
      <c r="AE198" s="110"/>
    </row>
    <row r="199" spans="1:50">
      <c r="A199" s="205" t="s">
        <v>1431</v>
      </c>
      <c r="C199" s="200">
        <v>40</v>
      </c>
      <c r="D199" s="200">
        <v>0.50349999999999995</v>
      </c>
      <c r="E199" s="200">
        <v>7.774</v>
      </c>
      <c r="F199" s="201">
        <v>0.20580000000000001</v>
      </c>
      <c r="G199" s="200">
        <f t="shared" si="23"/>
        <v>7.9798</v>
      </c>
      <c r="H199" s="200">
        <v>7.7916999999999996</v>
      </c>
      <c r="I199" s="200">
        <f t="shared" si="27"/>
        <v>0.18810000000000038</v>
      </c>
      <c r="J199" s="200">
        <f t="shared" si="25"/>
        <v>1.7699999999999633E-2</v>
      </c>
      <c r="K199" s="270">
        <f t="shared" si="26"/>
        <v>8.6005830903788301</v>
      </c>
      <c r="L199" s="200">
        <v>9</v>
      </c>
      <c r="M199" s="204">
        <v>43211</v>
      </c>
      <c r="P199" s="200"/>
      <c r="AB199" s="110"/>
      <c r="AC199" s="110"/>
      <c r="AD199" s="110"/>
      <c r="AE199" s="110"/>
    </row>
    <row r="200" spans="1:50">
      <c r="A200" s="196" t="s">
        <v>1430</v>
      </c>
      <c r="C200" s="197">
        <v>187</v>
      </c>
      <c r="D200" s="196">
        <v>0.40920000000000001</v>
      </c>
      <c r="E200" s="201">
        <v>8.7684999999999995</v>
      </c>
      <c r="F200" s="201">
        <v>0.20630000000000001</v>
      </c>
      <c r="G200" s="200">
        <f t="shared" si="23"/>
        <v>8.9748000000000001</v>
      </c>
      <c r="H200" s="200">
        <v>8.7864000000000004</v>
      </c>
      <c r="I200" s="200">
        <f t="shared" si="27"/>
        <v>0.18839999999999968</v>
      </c>
      <c r="J200" s="200">
        <f t="shared" si="25"/>
        <v>1.7900000000000332E-2</v>
      </c>
      <c r="K200" s="270">
        <f t="shared" si="26"/>
        <v>8.6766844401358867</v>
      </c>
      <c r="L200" s="200">
        <v>22</v>
      </c>
      <c r="M200" s="203">
        <v>43221</v>
      </c>
      <c r="N200" s="203">
        <v>43221</v>
      </c>
      <c r="AB200" s="110"/>
      <c r="AC200" s="110"/>
      <c r="AD200" s="110"/>
      <c r="AE200" s="110"/>
    </row>
    <row r="201" spans="1:50">
      <c r="A201" s="200" t="s">
        <v>1429</v>
      </c>
      <c r="C201" s="200">
        <v>205</v>
      </c>
      <c r="D201" s="196">
        <v>0.52459999999999996</v>
      </c>
      <c r="E201" s="196">
        <v>11.0524</v>
      </c>
      <c r="F201" s="196">
        <v>0.20369999999999999</v>
      </c>
      <c r="G201" s="196">
        <f t="shared" ref="G201:G232" si="28">E201+F201</f>
        <v>11.2561</v>
      </c>
      <c r="H201" s="196">
        <v>11.097300000000001</v>
      </c>
      <c r="I201" s="196">
        <f t="shared" si="27"/>
        <v>0.15879999999999939</v>
      </c>
      <c r="J201" s="200">
        <f t="shared" ref="J201:J232" si="29">F201-I201</f>
        <v>4.4900000000000606E-2</v>
      </c>
      <c r="K201" s="270">
        <f t="shared" ref="K201:K232" si="30">(J201/F201)*100</f>
        <v>22.042218949435743</v>
      </c>
      <c r="L201" s="196">
        <v>8</v>
      </c>
      <c r="M201" s="206">
        <v>43160.520833333336</v>
      </c>
      <c r="N201" s="206">
        <v>43160.6875</v>
      </c>
      <c r="O201" s="196" t="s">
        <v>2534</v>
      </c>
      <c r="AB201" s="110"/>
      <c r="AC201" s="110"/>
      <c r="AD201" s="110"/>
      <c r="AE201" s="110"/>
    </row>
    <row r="202" spans="1:50">
      <c r="A202" s="205" t="s">
        <v>1427</v>
      </c>
      <c r="C202" s="200">
        <v>138</v>
      </c>
      <c r="D202" s="200">
        <v>0.45350000000000001</v>
      </c>
      <c r="E202" s="201">
        <v>10.6175</v>
      </c>
      <c r="F202" s="201">
        <v>0.2009</v>
      </c>
      <c r="G202" s="200">
        <f t="shared" si="28"/>
        <v>10.8184</v>
      </c>
      <c r="H202" s="200">
        <v>10.6435</v>
      </c>
      <c r="I202" s="200">
        <f t="shared" si="27"/>
        <v>0.17490000000000094</v>
      </c>
      <c r="J202" s="200">
        <f t="shared" si="29"/>
        <v>2.5999999999999052E-2</v>
      </c>
      <c r="K202" s="270">
        <f t="shared" si="30"/>
        <v>12.94176207068146</v>
      </c>
      <c r="L202" s="200">
        <v>34</v>
      </c>
      <c r="M202" s="206">
        <v>43186.458333333336</v>
      </c>
      <c r="N202" s="206">
        <v>43186.625</v>
      </c>
      <c r="O202" s="196" t="s">
        <v>2534</v>
      </c>
      <c r="P202" s="200"/>
      <c r="AB202" s="110"/>
      <c r="AC202" s="110"/>
      <c r="AD202" s="110"/>
      <c r="AE202" s="110"/>
    </row>
    <row r="203" spans="1:50">
      <c r="A203" s="200" t="s">
        <v>1424</v>
      </c>
      <c r="C203" s="200">
        <v>41</v>
      </c>
      <c r="D203" s="201">
        <v>0.62419999999999998</v>
      </c>
      <c r="E203" s="200">
        <v>10.3134</v>
      </c>
      <c r="F203" s="201">
        <v>0.2079</v>
      </c>
      <c r="G203" s="200">
        <f t="shared" si="28"/>
        <v>10.5213</v>
      </c>
      <c r="H203" s="200">
        <v>10.3363</v>
      </c>
      <c r="I203" s="200">
        <f t="shared" si="27"/>
        <v>0.1850000000000005</v>
      </c>
      <c r="J203" s="200">
        <f t="shared" si="29"/>
        <v>2.2899999999999504E-2</v>
      </c>
      <c r="K203" s="270">
        <f t="shared" si="30"/>
        <v>11.014911014910776</v>
      </c>
      <c r="L203" s="200">
        <v>31</v>
      </c>
      <c r="M203" s="200"/>
      <c r="N203" s="200"/>
      <c r="O203" s="200"/>
      <c r="P203" s="200"/>
      <c r="AB203" s="110"/>
      <c r="AC203" s="110"/>
      <c r="AD203" s="110"/>
      <c r="AE203" s="110"/>
    </row>
    <row r="204" spans="1:50">
      <c r="A204" s="196" t="s">
        <v>1423</v>
      </c>
      <c r="C204" s="197">
        <v>72</v>
      </c>
      <c r="D204" s="196">
        <v>0.66139999999999999</v>
      </c>
      <c r="E204" s="201">
        <v>8.9581</v>
      </c>
      <c r="F204" s="201">
        <v>0.2089</v>
      </c>
      <c r="G204" s="200">
        <f t="shared" si="28"/>
        <v>9.1669999999999998</v>
      </c>
      <c r="H204" s="200">
        <v>8.9749999999999996</v>
      </c>
      <c r="I204" s="200">
        <f t="shared" si="27"/>
        <v>0.19200000000000017</v>
      </c>
      <c r="J204" s="200">
        <f t="shared" si="29"/>
        <v>1.6899999999999832E-2</v>
      </c>
      <c r="K204" s="270">
        <f t="shared" si="30"/>
        <v>8.0899952130205044</v>
      </c>
      <c r="L204" s="200">
        <v>40</v>
      </c>
      <c r="AB204" s="110"/>
      <c r="AC204" s="110"/>
      <c r="AD204" s="110"/>
      <c r="AE204" s="110"/>
    </row>
    <row r="205" spans="1:50">
      <c r="A205" s="196" t="s">
        <v>1422</v>
      </c>
      <c r="C205" s="196">
        <v>87</v>
      </c>
      <c r="D205" s="196">
        <v>0.62929999999999997</v>
      </c>
      <c r="E205" s="196">
        <v>19.727699999999999</v>
      </c>
      <c r="F205" s="196">
        <v>0.20799999999999999</v>
      </c>
      <c r="G205" s="196">
        <f t="shared" si="28"/>
        <v>19.935699999999997</v>
      </c>
      <c r="H205" s="196">
        <v>19.754200000000001</v>
      </c>
      <c r="I205" s="196">
        <f t="shared" si="27"/>
        <v>0.18149999999999622</v>
      </c>
      <c r="J205" s="200">
        <f t="shared" si="29"/>
        <v>2.6500000000003771E-2</v>
      </c>
      <c r="K205" s="270">
        <f t="shared" si="30"/>
        <v>12.74038461538643</v>
      </c>
      <c r="L205" s="196">
        <v>15</v>
      </c>
      <c r="M205" s="196" t="s">
        <v>2564</v>
      </c>
      <c r="N205" s="196" t="s">
        <v>2563</v>
      </c>
      <c r="O205" s="196" t="s">
        <v>2540</v>
      </c>
      <c r="AB205" s="110"/>
      <c r="AC205" s="110"/>
      <c r="AD205" s="110"/>
      <c r="AE205" s="110"/>
    </row>
    <row r="206" spans="1:50">
      <c r="A206" s="196" t="s">
        <v>1418</v>
      </c>
      <c r="C206" s="196">
        <v>87</v>
      </c>
      <c r="D206" s="196">
        <v>0.59950000000000003</v>
      </c>
      <c r="E206" s="196">
        <v>20.7624</v>
      </c>
      <c r="F206" s="196">
        <v>0.21010000000000001</v>
      </c>
      <c r="G206" s="196">
        <f t="shared" si="28"/>
        <v>20.9725</v>
      </c>
      <c r="H206" s="196">
        <v>20.792999999999999</v>
      </c>
      <c r="I206" s="196">
        <f t="shared" si="27"/>
        <v>0.17950000000000088</v>
      </c>
      <c r="J206" s="200">
        <f t="shared" si="29"/>
        <v>3.0599999999999128E-2</v>
      </c>
      <c r="K206" s="270">
        <f t="shared" si="30"/>
        <v>14.564493098524098</v>
      </c>
      <c r="L206" s="196">
        <v>16</v>
      </c>
      <c r="M206" s="196" t="s">
        <v>2564</v>
      </c>
      <c r="N206" s="196" t="s">
        <v>2563</v>
      </c>
      <c r="O206" s="196" t="s">
        <v>2540</v>
      </c>
      <c r="AB206" s="110"/>
      <c r="AC206" s="110"/>
      <c r="AD206" s="110"/>
      <c r="AE206" s="110"/>
    </row>
    <row r="207" spans="1:50">
      <c r="A207" s="201" t="s">
        <v>1417</v>
      </c>
      <c r="C207" s="200">
        <v>60</v>
      </c>
      <c r="D207" s="200">
        <v>0.6016999999999999</v>
      </c>
      <c r="E207" s="200">
        <v>7.4808000000000003</v>
      </c>
      <c r="F207" s="200">
        <v>0.20580000000000001</v>
      </c>
      <c r="G207" s="200">
        <f t="shared" si="28"/>
        <v>7.6866000000000003</v>
      </c>
      <c r="H207" s="200">
        <v>7.5072000000000001</v>
      </c>
      <c r="I207" s="200">
        <f t="shared" si="27"/>
        <v>0.17940000000000023</v>
      </c>
      <c r="J207" s="200">
        <f t="shared" si="29"/>
        <v>2.6399999999999785E-2</v>
      </c>
      <c r="K207" s="270">
        <f t="shared" si="30"/>
        <v>12.827988338192315</v>
      </c>
      <c r="L207" s="200">
        <v>24</v>
      </c>
      <c r="M207" s="204">
        <v>43173</v>
      </c>
      <c r="N207" s="204">
        <v>43173</v>
      </c>
      <c r="O207" s="200" t="s">
        <v>2540</v>
      </c>
      <c r="P207" s="200" t="s">
        <v>2539</v>
      </c>
      <c r="AB207" s="110"/>
      <c r="AC207" s="110"/>
      <c r="AD207" s="110"/>
      <c r="AE207" s="110"/>
    </row>
    <row r="208" spans="1:50">
      <c r="A208" s="196" t="s">
        <v>1416</v>
      </c>
      <c r="C208" s="197">
        <v>6</v>
      </c>
      <c r="D208" s="196">
        <v>0.41160000000000002</v>
      </c>
      <c r="E208" s="201">
        <v>7.3536999999999999</v>
      </c>
      <c r="F208" s="201">
        <v>0.20180000000000001</v>
      </c>
      <c r="G208" s="200">
        <f t="shared" si="28"/>
        <v>7.5555000000000003</v>
      </c>
      <c r="H208" s="200">
        <v>7.3731999999999998</v>
      </c>
      <c r="I208" s="200">
        <f t="shared" si="27"/>
        <v>0.18230000000000057</v>
      </c>
      <c r="J208" s="200">
        <f t="shared" si="29"/>
        <v>1.9499999999999434E-2</v>
      </c>
      <c r="K208" s="270">
        <f t="shared" si="30"/>
        <v>9.6630327056488774</v>
      </c>
      <c r="L208" s="200">
        <v>13</v>
      </c>
      <c r="AB208" s="110"/>
      <c r="AC208" s="110"/>
      <c r="AD208" s="110"/>
      <c r="AE208" s="110"/>
    </row>
    <row r="209" spans="1:31">
      <c r="A209" s="196" t="s">
        <v>1414</v>
      </c>
      <c r="C209" s="197">
        <v>93</v>
      </c>
      <c r="D209" s="196">
        <v>0.5998</v>
      </c>
      <c r="E209" s="200">
        <v>11.8621</v>
      </c>
      <c r="F209" s="201">
        <v>0.20330000000000001</v>
      </c>
      <c r="G209" s="200">
        <f t="shared" si="28"/>
        <v>12.0654</v>
      </c>
      <c r="H209" s="200">
        <v>11.8895</v>
      </c>
      <c r="I209" s="200">
        <f t="shared" si="27"/>
        <v>0.17590000000000039</v>
      </c>
      <c r="J209" s="200">
        <f t="shared" si="29"/>
        <v>2.7399999999999619E-2</v>
      </c>
      <c r="K209" s="270">
        <f t="shared" si="30"/>
        <v>13.477619281849297</v>
      </c>
      <c r="L209" s="200">
        <v>25</v>
      </c>
      <c r="M209" s="203">
        <v>43212</v>
      </c>
      <c r="AB209" s="110"/>
      <c r="AC209" s="110"/>
      <c r="AD209" s="110"/>
      <c r="AE209" s="110"/>
    </row>
    <row r="210" spans="1:31">
      <c r="A210" s="200" t="s">
        <v>1413</v>
      </c>
      <c r="C210" s="200">
        <v>209</v>
      </c>
      <c r="D210" s="200">
        <v>0.6653</v>
      </c>
      <c r="E210" s="200">
        <v>7.0747</v>
      </c>
      <c r="F210" s="200">
        <v>0.2049</v>
      </c>
      <c r="G210" s="200">
        <f t="shared" si="28"/>
        <v>7.2796000000000003</v>
      </c>
      <c r="H210" s="200">
        <v>7.1105</v>
      </c>
      <c r="I210" s="200">
        <f t="shared" si="27"/>
        <v>0.16910000000000025</v>
      </c>
      <c r="J210" s="200">
        <f t="shared" si="29"/>
        <v>3.5799999999999749E-2</v>
      </c>
      <c r="K210" s="270">
        <f t="shared" si="30"/>
        <v>17.471937530502561</v>
      </c>
      <c r="L210" s="200">
        <v>3</v>
      </c>
      <c r="M210" s="204">
        <v>43174</v>
      </c>
      <c r="N210" s="204">
        <v>43174</v>
      </c>
      <c r="O210" s="200" t="s">
        <v>2540</v>
      </c>
      <c r="P210" s="200" t="s">
        <v>2535</v>
      </c>
      <c r="AB210" s="110"/>
      <c r="AC210" s="110"/>
      <c r="AD210" s="110"/>
      <c r="AE210" s="110"/>
    </row>
    <row r="211" spans="1:31">
      <c r="A211" s="196" t="s">
        <v>1412</v>
      </c>
      <c r="C211" s="196">
        <v>52</v>
      </c>
      <c r="D211" s="196">
        <v>0.76990000000000003</v>
      </c>
      <c r="E211" s="196">
        <v>7.9055</v>
      </c>
      <c r="F211" s="196">
        <v>0.2016</v>
      </c>
      <c r="G211" s="196">
        <f t="shared" si="28"/>
        <v>8.1070999999999991</v>
      </c>
      <c r="H211" s="196">
        <v>7.9672999999999998</v>
      </c>
      <c r="I211" s="196">
        <f t="shared" si="27"/>
        <v>0.13979999999999926</v>
      </c>
      <c r="J211" s="200">
        <f t="shared" si="29"/>
        <v>6.1800000000000743E-2</v>
      </c>
      <c r="K211" s="270">
        <f t="shared" si="30"/>
        <v>30.654761904762275</v>
      </c>
      <c r="L211" s="196">
        <v>35</v>
      </c>
      <c r="M211" s="196" t="s">
        <v>2570</v>
      </c>
      <c r="N211" s="196" t="s">
        <v>2569</v>
      </c>
      <c r="O211" s="196" t="s">
        <v>2534</v>
      </c>
      <c r="U211" s="201" t="s">
        <v>1228</v>
      </c>
      <c r="V211" s="196">
        <v>1.05</v>
      </c>
      <c r="W211" s="196">
        <f>(V211-$T$175+F209)</f>
        <v>1.2533000000000001</v>
      </c>
      <c r="AB211" s="110"/>
      <c r="AC211" s="110"/>
      <c r="AD211" s="110"/>
      <c r="AE211" s="110"/>
    </row>
    <row r="212" spans="1:31">
      <c r="A212" s="196" t="s">
        <v>1411</v>
      </c>
      <c r="C212" s="197">
        <v>19</v>
      </c>
      <c r="D212" s="196">
        <v>0.6804</v>
      </c>
      <c r="E212" s="201">
        <v>10.565799999999999</v>
      </c>
      <c r="F212" s="201">
        <v>0.19980000000000001</v>
      </c>
      <c r="G212" s="200">
        <f t="shared" si="28"/>
        <v>10.765599999999999</v>
      </c>
      <c r="H212" s="200">
        <v>10.599</v>
      </c>
      <c r="I212" s="200">
        <f t="shared" si="27"/>
        <v>0.16659999999999897</v>
      </c>
      <c r="J212" s="200">
        <f t="shared" si="29"/>
        <v>3.3200000000001034E-2</v>
      </c>
      <c r="K212" s="270">
        <f t="shared" si="30"/>
        <v>16.616616616617133</v>
      </c>
      <c r="L212" s="200">
        <v>30</v>
      </c>
      <c r="AB212" s="110"/>
      <c r="AC212" s="110"/>
      <c r="AD212" s="110"/>
      <c r="AE212" s="110"/>
    </row>
    <row r="213" spans="1:31">
      <c r="A213" s="196" t="s">
        <v>1410</v>
      </c>
      <c r="C213" s="197">
        <v>204</v>
      </c>
      <c r="D213" s="196">
        <v>0.52149999999999996</v>
      </c>
      <c r="E213" s="200">
        <v>9.0312999999999999</v>
      </c>
      <c r="F213" s="201">
        <v>0.20649999999999999</v>
      </c>
      <c r="G213" s="200">
        <f t="shared" si="28"/>
        <v>9.2378</v>
      </c>
      <c r="H213" s="200">
        <v>9.0551999999999992</v>
      </c>
      <c r="I213" s="200">
        <f t="shared" si="27"/>
        <v>0.18260000000000076</v>
      </c>
      <c r="J213" s="200">
        <f t="shared" si="29"/>
        <v>2.3899999999999227E-2</v>
      </c>
      <c r="K213" s="270">
        <f t="shared" si="30"/>
        <v>11.573849878934253</v>
      </c>
      <c r="L213" s="200">
        <v>17</v>
      </c>
      <c r="M213" s="203">
        <v>43212</v>
      </c>
      <c r="AB213" s="110"/>
      <c r="AC213" s="110"/>
      <c r="AD213" s="110"/>
      <c r="AE213" s="110"/>
    </row>
    <row r="214" spans="1:31">
      <c r="A214" s="200" t="s">
        <v>1409</v>
      </c>
      <c r="C214" s="200">
        <v>95</v>
      </c>
      <c r="D214" s="200">
        <f>0.7539+F214</f>
        <v>0.95789999999999997</v>
      </c>
      <c r="E214" s="201">
        <v>7.8712</v>
      </c>
      <c r="F214" s="201">
        <v>0.20399999999999999</v>
      </c>
      <c r="G214" s="200">
        <f t="shared" si="28"/>
        <v>8.0752000000000006</v>
      </c>
      <c r="H214" s="200">
        <v>7.9390000000000001</v>
      </c>
      <c r="I214" s="200">
        <f t="shared" si="27"/>
        <v>0.13620000000000054</v>
      </c>
      <c r="J214" s="200">
        <f t="shared" si="29"/>
        <v>6.7799999999999444E-2</v>
      </c>
      <c r="K214" s="270">
        <f t="shared" si="30"/>
        <v>33.235294117646788</v>
      </c>
      <c r="L214" s="200">
        <v>18</v>
      </c>
      <c r="M214" s="204">
        <v>43174</v>
      </c>
      <c r="N214" s="204">
        <v>43174</v>
      </c>
      <c r="O214" s="200" t="s">
        <v>2540</v>
      </c>
      <c r="P214" s="200" t="s">
        <v>2535</v>
      </c>
      <c r="AB214" s="110"/>
      <c r="AC214" s="110"/>
      <c r="AD214" s="110"/>
      <c r="AE214" s="110"/>
    </row>
    <row r="215" spans="1:31">
      <c r="A215" s="196" t="s">
        <v>1407</v>
      </c>
      <c r="C215" s="196">
        <v>43</v>
      </c>
      <c r="D215" s="196">
        <v>0.54469999999999996</v>
      </c>
      <c r="E215" s="196">
        <v>8.8613999999999997</v>
      </c>
      <c r="F215" s="196">
        <v>0.20349999999999999</v>
      </c>
      <c r="G215" s="196">
        <f t="shared" si="28"/>
        <v>9.0648999999999997</v>
      </c>
      <c r="H215" s="196">
        <v>8.8770000000000007</v>
      </c>
      <c r="I215" s="196">
        <f t="shared" si="27"/>
        <v>0.18789999999999907</v>
      </c>
      <c r="J215" s="200">
        <f t="shared" si="29"/>
        <v>1.5600000000000919E-2</v>
      </c>
      <c r="K215" s="270">
        <f t="shared" si="30"/>
        <v>7.6658476658481174</v>
      </c>
      <c r="L215" s="196">
        <v>14</v>
      </c>
      <c r="M215" s="196" t="s">
        <v>2570</v>
      </c>
      <c r="N215" s="196" t="s">
        <v>2569</v>
      </c>
      <c r="O215" s="196" t="s">
        <v>2534</v>
      </c>
      <c r="AB215" s="110"/>
      <c r="AC215" s="110"/>
      <c r="AD215" s="110"/>
      <c r="AE215" s="110"/>
    </row>
    <row r="216" spans="1:31">
      <c r="A216" s="196" t="s">
        <v>1406</v>
      </c>
      <c r="C216" s="197">
        <v>16</v>
      </c>
      <c r="D216" s="196">
        <v>0.40689999999999998</v>
      </c>
      <c r="E216" s="201">
        <v>11.1591</v>
      </c>
      <c r="F216" s="201">
        <v>0.2044</v>
      </c>
      <c r="G216" s="200">
        <f t="shared" si="28"/>
        <v>11.3635</v>
      </c>
      <c r="H216" s="200">
        <v>11.177199999999999</v>
      </c>
      <c r="I216" s="200">
        <f t="shared" si="27"/>
        <v>0.18630000000000102</v>
      </c>
      <c r="J216" s="200">
        <f t="shared" si="29"/>
        <v>1.8099999999998978E-2</v>
      </c>
      <c r="K216" s="270">
        <f t="shared" si="30"/>
        <v>8.8551859099799302</v>
      </c>
      <c r="L216" s="200">
        <v>8</v>
      </c>
      <c r="AB216" s="110"/>
      <c r="AC216" s="110"/>
      <c r="AD216" s="110"/>
      <c r="AE216" s="110"/>
    </row>
    <row r="217" spans="1:31">
      <c r="A217" s="196" t="s">
        <v>1405</v>
      </c>
      <c r="C217" s="197">
        <v>203</v>
      </c>
      <c r="D217" s="196">
        <v>0.60440000000000005</v>
      </c>
      <c r="E217" s="200">
        <v>10.271599999999999</v>
      </c>
      <c r="F217" s="201">
        <v>0.20330000000000001</v>
      </c>
      <c r="G217" s="200">
        <f t="shared" si="28"/>
        <v>10.4749</v>
      </c>
      <c r="H217" s="200">
        <v>10.2941</v>
      </c>
      <c r="I217" s="200">
        <f t="shared" si="27"/>
        <v>0.18079999999999963</v>
      </c>
      <c r="J217" s="200">
        <f t="shared" si="29"/>
        <v>2.2500000000000381E-2</v>
      </c>
      <c r="K217" s="270">
        <f t="shared" si="30"/>
        <v>11.067388096409434</v>
      </c>
      <c r="L217" s="200">
        <v>14</v>
      </c>
      <c r="M217" s="203">
        <v>43212</v>
      </c>
      <c r="AB217" s="110"/>
      <c r="AC217" s="110"/>
      <c r="AD217" s="110"/>
      <c r="AE217" s="110"/>
    </row>
    <row r="218" spans="1:31">
      <c r="A218" s="200" t="s">
        <v>1403</v>
      </c>
      <c r="C218" s="200">
        <v>151</v>
      </c>
      <c r="D218" s="196">
        <v>0.54200000000000004</v>
      </c>
      <c r="E218" s="196">
        <v>8.7667999999999999</v>
      </c>
      <c r="F218" s="196">
        <v>0.20930000000000001</v>
      </c>
      <c r="G218" s="196">
        <f t="shared" si="28"/>
        <v>8.9761000000000006</v>
      </c>
      <c r="H218" s="196">
        <v>8.8093000000000004</v>
      </c>
      <c r="I218" s="196">
        <f t="shared" si="27"/>
        <v>0.16680000000000028</v>
      </c>
      <c r="J218" s="200">
        <f t="shared" si="29"/>
        <v>4.2499999999999732E-2</v>
      </c>
      <c r="K218" s="270">
        <f t="shared" si="30"/>
        <v>20.305781175346262</v>
      </c>
      <c r="L218" s="196">
        <v>12</v>
      </c>
      <c r="M218" s="206">
        <v>43160.520833333336</v>
      </c>
      <c r="N218" s="206">
        <v>43160.6875</v>
      </c>
      <c r="O218" s="196" t="s">
        <v>2534</v>
      </c>
      <c r="AB218" s="110"/>
      <c r="AC218" s="110"/>
      <c r="AD218" s="110"/>
      <c r="AE218" s="110"/>
    </row>
    <row r="219" spans="1:31">
      <c r="A219" s="196" t="s">
        <v>1402</v>
      </c>
      <c r="C219" s="197">
        <v>17</v>
      </c>
      <c r="D219" s="196">
        <v>0.495</v>
      </c>
      <c r="E219" s="201">
        <v>9.3422000000000001</v>
      </c>
      <c r="F219" s="201">
        <v>0.20319999999999999</v>
      </c>
      <c r="G219" s="200">
        <f t="shared" si="28"/>
        <v>9.5454000000000008</v>
      </c>
      <c r="H219" s="200">
        <v>9.3627000000000002</v>
      </c>
      <c r="I219" s="200">
        <f t="shared" si="27"/>
        <v>0.18270000000000053</v>
      </c>
      <c r="J219" s="200">
        <f t="shared" si="29"/>
        <v>2.0499999999999463E-2</v>
      </c>
      <c r="K219" s="270">
        <f t="shared" si="30"/>
        <v>10.088582677165091</v>
      </c>
      <c r="L219" s="200">
        <v>1</v>
      </c>
      <c r="AB219" s="110"/>
      <c r="AC219" s="110"/>
      <c r="AD219" s="110"/>
      <c r="AE219" s="110"/>
    </row>
    <row r="220" spans="1:31">
      <c r="A220" s="196" t="s">
        <v>1401</v>
      </c>
      <c r="C220" s="196">
        <v>34</v>
      </c>
      <c r="D220" s="196">
        <v>0.58889999999999998</v>
      </c>
      <c r="E220" s="196">
        <v>9.2355</v>
      </c>
      <c r="F220" s="196">
        <v>0.20250000000000001</v>
      </c>
      <c r="G220" s="196">
        <f t="shared" si="28"/>
        <v>9.4380000000000006</v>
      </c>
      <c r="H220" s="196">
        <v>9.2577999999999996</v>
      </c>
      <c r="I220" s="196">
        <f t="shared" si="27"/>
        <v>0.18020000000000103</v>
      </c>
      <c r="J220" s="200">
        <f t="shared" si="29"/>
        <v>2.2299999999998987E-2</v>
      </c>
      <c r="K220" s="270">
        <f t="shared" si="30"/>
        <v>11.012345679011846</v>
      </c>
      <c r="L220" s="196">
        <v>10</v>
      </c>
      <c r="M220" s="196" t="s">
        <v>2570</v>
      </c>
      <c r="N220" s="196" t="s">
        <v>2569</v>
      </c>
      <c r="O220" s="196" t="s">
        <v>2534</v>
      </c>
      <c r="AB220" s="110"/>
      <c r="AC220" s="110"/>
      <c r="AD220" s="110"/>
      <c r="AE220" s="110"/>
    </row>
    <row r="221" spans="1:31">
      <c r="A221" s="196" t="s">
        <v>1399</v>
      </c>
      <c r="C221" s="197">
        <v>26</v>
      </c>
      <c r="D221" s="196">
        <v>0.57050000000000001</v>
      </c>
      <c r="E221" s="201">
        <v>8.2188999999999997</v>
      </c>
      <c r="F221" s="201">
        <v>0.2046</v>
      </c>
      <c r="G221" s="200">
        <f t="shared" si="28"/>
        <v>8.4234999999999989</v>
      </c>
      <c r="H221" s="200">
        <v>8.2445000000000004</v>
      </c>
      <c r="I221" s="200">
        <f t="shared" si="27"/>
        <v>0.17899999999999849</v>
      </c>
      <c r="J221" s="200">
        <f t="shared" si="29"/>
        <v>2.560000000000151E-2</v>
      </c>
      <c r="K221" s="270">
        <f t="shared" si="30"/>
        <v>12.512218963832606</v>
      </c>
      <c r="L221" s="200">
        <v>24</v>
      </c>
      <c r="AB221" s="110"/>
      <c r="AC221" s="110"/>
      <c r="AD221" s="110"/>
      <c r="AE221" s="110"/>
    </row>
    <row r="222" spans="1:31">
      <c r="A222" s="201" t="s">
        <v>1397</v>
      </c>
      <c r="C222" s="200">
        <v>145</v>
      </c>
      <c r="D222" s="200">
        <v>0.49199999999999988</v>
      </c>
      <c r="E222" s="200">
        <v>7.7736999999999998</v>
      </c>
      <c r="F222" s="200">
        <v>0.20580000000000001</v>
      </c>
      <c r="G222" s="200">
        <f t="shared" si="28"/>
        <v>7.9794999999999998</v>
      </c>
      <c r="H222" s="200">
        <v>7.8140999999999998</v>
      </c>
      <c r="I222" s="200">
        <f t="shared" si="27"/>
        <v>0.16539999999999999</v>
      </c>
      <c r="J222" s="200">
        <f t="shared" si="29"/>
        <v>4.0400000000000019E-2</v>
      </c>
      <c r="K222" s="270">
        <f t="shared" si="30"/>
        <v>19.630709426627803</v>
      </c>
      <c r="L222" s="200">
        <v>28</v>
      </c>
      <c r="M222" s="204">
        <v>43173</v>
      </c>
      <c r="N222" s="204">
        <v>43173</v>
      </c>
      <c r="O222" s="200" t="s">
        <v>2540</v>
      </c>
      <c r="P222" s="200" t="s">
        <v>2539</v>
      </c>
      <c r="AB222" s="110"/>
      <c r="AC222" s="110"/>
      <c r="AD222" s="110"/>
      <c r="AE222" s="110"/>
    </row>
    <row r="223" spans="1:31">
      <c r="A223" s="205" t="s">
        <v>1396</v>
      </c>
      <c r="C223" s="200">
        <v>156</v>
      </c>
      <c r="D223" s="200">
        <v>0.51719999999999999</v>
      </c>
      <c r="E223" s="200">
        <v>8.1660000000000004</v>
      </c>
      <c r="F223" s="200">
        <v>0.2077</v>
      </c>
      <c r="G223" s="200">
        <f t="shared" si="28"/>
        <v>8.3736999999999995</v>
      </c>
      <c r="H223" s="200">
        <v>8.218</v>
      </c>
      <c r="I223" s="200">
        <f t="shared" si="27"/>
        <v>0.15569999999999951</v>
      </c>
      <c r="J223" s="200">
        <f t="shared" si="29"/>
        <v>5.200000000000049E-2</v>
      </c>
      <c r="K223" s="270">
        <f t="shared" si="30"/>
        <v>25.036109773712322</v>
      </c>
      <c r="L223" s="200">
        <v>16</v>
      </c>
      <c r="M223" s="202">
        <v>43171.520833333336</v>
      </c>
      <c r="N223" s="202">
        <v>43171.6875</v>
      </c>
      <c r="O223" s="196" t="s">
        <v>2534</v>
      </c>
      <c r="P223" s="200"/>
      <c r="AB223" s="110"/>
      <c r="AC223" s="110"/>
      <c r="AD223" s="110"/>
      <c r="AE223" s="110"/>
    </row>
    <row r="224" spans="1:31">
      <c r="A224" s="205" t="s">
        <v>1395</v>
      </c>
      <c r="C224" s="200">
        <v>174</v>
      </c>
      <c r="D224" s="200">
        <v>0.48580000000000001</v>
      </c>
      <c r="E224" s="201">
        <v>8.1355000000000004</v>
      </c>
      <c r="F224" s="201">
        <v>0.20269999999999999</v>
      </c>
      <c r="G224" s="200">
        <f t="shared" si="28"/>
        <v>8.3382000000000005</v>
      </c>
      <c r="H224" s="200">
        <v>8.1510999999999996</v>
      </c>
      <c r="I224" s="200">
        <f t="shared" si="27"/>
        <v>0.18710000000000093</v>
      </c>
      <c r="J224" s="200">
        <f t="shared" si="29"/>
        <v>1.5599999999999059E-2</v>
      </c>
      <c r="K224" s="270">
        <f t="shared" si="30"/>
        <v>7.6961026147010658</v>
      </c>
      <c r="L224" s="200">
        <v>10</v>
      </c>
      <c r="M224" s="206">
        <v>43186.458333333336</v>
      </c>
      <c r="N224" s="206">
        <v>43186.625</v>
      </c>
      <c r="O224" s="196" t="s">
        <v>2534</v>
      </c>
      <c r="P224" s="200"/>
      <c r="AB224" s="110"/>
      <c r="AC224" s="110"/>
      <c r="AD224" s="110"/>
      <c r="AE224" s="110"/>
    </row>
    <row r="225" spans="1:31">
      <c r="A225" s="200" t="s">
        <v>1394</v>
      </c>
      <c r="C225" s="200">
        <v>171</v>
      </c>
      <c r="D225" s="200">
        <v>0.46429999999999999</v>
      </c>
      <c r="E225" s="201">
        <v>7.4753999999999996</v>
      </c>
      <c r="F225" s="201">
        <v>0.2019</v>
      </c>
      <c r="G225" s="200">
        <f t="shared" si="28"/>
        <v>7.6772999999999998</v>
      </c>
      <c r="H225" s="200">
        <v>7.5002000000000004</v>
      </c>
      <c r="I225" s="200">
        <f t="shared" si="27"/>
        <v>0.17709999999999937</v>
      </c>
      <c r="J225" s="200">
        <f t="shared" si="29"/>
        <v>2.4800000000000627E-2</v>
      </c>
      <c r="K225" s="270">
        <f t="shared" si="30"/>
        <v>12.283308568598626</v>
      </c>
      <c r="L225" s="200">
        <v>11</v>
      </c>
      <c r="M225" s="204">
        <v>43174</v>
      </c>
      <c r="N225" s="204">
        <v>43174</v>
      </c>
      <c r="O225" s="200" t="s">
        <v>2540</v>
      </c>
      <c r="P225" s="200" t="s">
        <v>2535</v>
      </c>
      <c r="AB225" s="110"/>
      <c r="AC225" s="110"/>
      <c r="AD225" s="110"/>
      <c r="AE225" s="110"/>
    </row>
    <row r="226" spans="1:31">
      <c r="A226" s="200" t="s">
        <v>1393</v>
      </c>
      <c r="C226" s="200">
        <v>119</v>
      </c>
      <c r="D226" s="200">
        <v>0.46510000000000001</v>
      </c>
      <c r="E226" s="201">
        <v>9.6732999999999993</v>
      </c>
      <c r="F226" s="201">
        <v>0.2094</v>
      </c>
      <c r="G226" s="200">
        <f t="shared" si="28"/>
        <v>9.8826999999999998</v>
      </c>
      <c r="H226" s="200">
        <v>9.7062000000000008</v>
      </c>
      <c r="I226" s="200">
        <f t="shared" ref="I226:I257" si="31">(G226-H226)</f>
        <v>0.17649999999999899</v>
      </c>
      <c r="J226" s="200">
        <f t="shared" si="29"/>
        <v>3.2900000000001012E-2</v>
      </c>
      <c r="K226" s="270">
        <f t="shared" si="30"/>
        <v>15.711556829035821</v>
      </c>
      <c r="L226" s="200">
        <v>27</v>
      </c>
      <c r="M226" s="204">
        <v>43197</v>
      </c>
      <c r="N226" s="204">
        <v>43197</v>
      </c>
      <c r="O226" s="200"/>
      <c r="P226" s="200"/>
      <c r="AB226" s="110"/>
      <c r="AC226" s="110"/>
      <c r="AD226" s="110"/>
      <c r="AE226" s="110"/>
    </row>
    <row r="227" spans="1:31">
      <c r="A227" s="205" t="s">
        <v>1392</v>
      </c>
      <c r="C227" s="200">
        <v>150</v>
      </c>
      <c r="D227" s="200">
        <v>0.48359999999999997</v>
      </c>
      <c r="E227" s="201">
        <v>10.539899999999999</v>
      </c>
      <c r="F227" s="201">
        <v>0.20069999999999999</v>
      </c>
      <c r="G227" s="200">
        <f t="shared" si="28"/>
        <v>10.740599999999999</v>
      </c>
      <c r="H227" s="200">
        <v>10.5875</v>
      </c>
      <c r="I227" s="200">
        <f t="shared" si="31"/>
        <v>0.15309999999999846</v>
      </c>
      <c r="J227" s="200">
        <f t="shared" si="29"/>
        <v>4.760000000000153E-2</v>
      </c>
      <c r="K227" s="270">
        <f t="shared" si="30"/>
        <v>23.716990533134794</v>
      </c>
      <c r="L227" s="200">
        <v>12</v>
      </c>
      <c r="M227" s="204">
        <v>43199</v>
      </c>
      <c r="N227" s="204">
        <v>43199</v>
      </c>
      <c r="O227" s="200"/>
      <c r="P227" s="200"/>
      <c r="AB227" s="110"/>
      <c r="AC227" s="110"/>
      <c r="AD227" s="110"/>
      <c r="AE227" s="110"/>
    </row>
    <row r="228" spans="1:31">
      <c r="A228" s="196" t="s">
        <v>1390</v>
      </c>
      <c r="C228" s="196">
        <v>67</v>
      </c>
      <c r="D228" s="196">
        <v>0.68069999999999997</v>
      </c>
      <c r="E228" s="196">
        <v>8.1334</v>
      </c>
      <c r="F228" s="196">
        <v>0.20860000000000001</v>
      </c>
      <c r="G228" s="196">
        <f t="shared" si="28"/>
        <v>8.3420000000000005</v>
      </c>
      <c r="H228" s="196">
        <v>8.1550999999999991</v>
      </c>
      <c r="I228" s="196">
        <f t="shared" si="31"/>
        <v>0.1869000000000014</v>
      </c>
      <c r="J228" s="200">
        <f t="shared" si="29"/>
        <v>2.1699999999998609E-2</v>
      </c>
      <c r="K228" s="270">
        <f t="shared" si="30"/>
        <v>10.402684563757722</v>
      </c>
      <c r="L228" s="196">
        <v>4</v>
      </c>
      <c r="M228" s="196" t="s">
        <v>2564</v>
      </c>
      <c r="N228" s="196" t="s">
        <v>2563</v>
      </c>
      <c r="O228" s="196" t="s">
        <v>2540</v>
      </c>
      <c r="AB228" s="110"/>
      <c r="AC228" s="110"/>
      <c r="AD228" s="110"/>
      <c r="AE228" s="110"/>
    </row>
    <row r="229" spans="1:31">
      <c r="A229" s="200" t="s">
        <v>1385</v>
      </c>
      <c r="C229" s="200">
        <v>7</v>
      </c>
      <c r="D229" s="200">
        <v>0.37419999999999998</v>
      </c>
      <c r="E229" s="201">
        <v>9.7736000000000001</v>
      </c>
      <c r="F229" s="201">
        <v>0.2029</v>
      </c>
      <c r="G229" s="200">
        <f t="shared" si="28"/>
        <v>9.9764999999999997</v>
      </c>
      <c r="H229" s="200">
        <v>9.7952999999999992</v>
      </c>
      <c r="I229" s="200">
        <f t="shared" si="31"/>
        <v>0.18120000000000047</v>
      </c>
      <c r="J229" s="200">
        <f t="shared" si="29"/>
        <v>2.1699999999999525E-2</v>
      </c>
      <c r="K229" s="270">
        <f t="shared" si="30"/>
        <v>10.694923607688283</v>
      </c>
      <c r="L229" s="200">
        <v>4</v>
      </c>
      <c r="M229" s="206">
        <v>43185.385416666664</v>
      </c>
      <c r="N229" s="200"/>
      <c r="O229" s="200" t="s">
        <v>2540</v>
      </c>
      <c r="P229" s="196" t="s">
        <v>2584</v>
      </c>
      <c r="AB229" s="110"/>
      <c r="AC229" s="110"/>
      <c r="AD229" s="110"/>
      <c r="AE229" s="110"/>
    </row>
    <row r="230" spans="1:31">
      <c r="A230" s="200" t="s">
        <v>1384</v>
      </c>
      <c r="C230" s="200">
        <v>121</v>
      </c>
      <c r="D230" s="200">
        <v>0.438</v>
      </c>
      <c r="E230" s="200">
        <v>11.453799999999999</v>
      </c>
      <c r="F230" s="200">
        <v>0.20799999999999999</v>
      </c>
      <c r="G230" s="200">
        <f t="shared" si="28"/>
        <v>11.661799999999999</v>
      </c>
      <c r="H230" s="200">
        <v>11.4787</v>
      </c>
      <c r="I230" s="200">
        <f t="shared" si="31"/>
        <v>0.1830999999999996</v>
      </c>
      <c r="J230" s="200">
        <f t="shared" si="29"/>
        <v>2.4900000000000394E-2</v>
      </c>
      <c r="K230" s="270">
        <f t="shared" si="30"/>
        <v>11.971153846154037</v>
      </c>
      <c r="L230" s="200">
        <v>12</v>
      </c>
      <c r="M230" s="204">
        <v>43188</v>
      </c>
      <c r="N230" s="204">
        <v>43188</v>
      </c>
      <c r="O230" s="200"/>
      <c r="P230" s="200"/>
      <c r="AB230" s="110"/>
      <c r="AC230" s="110"/>
      <c r="AD230" s="110"/>
      <c r="AE230" s="110"/>
    </row>
    <row r="231" spans="1:31">
      <c r="A231" s="200" t="s">
        <v>1383</v>
      </c>
      <c r="C231" s="200">
        <v>156</v>
      </c>
      <c r="D231" s="200">
        <v>0.43380000000000002</v>
      </c>
      <c r="E231" s="200">
        <v>8.7672000000000008</v>
      </c>
      <c r="F231" s="201">
        <v>0.16839999999999999</v>
      </c>
      <c r="G231" s="200">
        <f t="shared" si="28"/>
        <v>8.9356000000000009</v>
      </c>
      <c r="H231" s="200">
        <v>8.8134999999999994</v>
      </c>
      <c r="I231" s="200">
        <f t="shared" si="31"/>
        <v>0.12210000000000143</v>
      </c>
      <c r="J231" s="200">
        <f t="shared" si="29"/>
        <v>4.6299999999998565E-2</v>
      </c>
      <c r="K231" s="270">
        <f t="shared" si="30"/>
        <v>27.494061757718864</v>
      </c>
      <c r="L231" s="200">
        <v>2</v>
      </c>
      <c r="M231" s="204">
        <v>43211</v>
      </c>
      <c r="N231" s="200"/>
      <c r="O231" s="200"/>
      <c r="P231" s="200"/>
      <c r="AB231" s="110"/>
      <c r="AC231" s="110"/>
      <c r="AD231" s="110"/>
      <c r="AE231" s="110"/>
    </row>
    <row r="232" spans="1:31">
      <c r="A232" s="200" t="s">
        <v>1382</v>
      </c>
      <c r="C232" s="200">
        <v>205</v>
      </c>
      <c r="D232" s="196">
        <v>0.4955</v>
      </c>
      <c r="E232" s="196">
        <v>8.1356999999999999</v>
      </c>
      <c r="F232" s="196">
        <v>0.2049</v>
      </c>
      <c r="G232" s="196">
        <f t="shared" si="28"/>
        <v>8.3406000000000002</v>
      </c>
      <c r="H232" s="196">
        <v>8.1722000000000001</v>
      </c>
      <c r="I232" s="196">
        <f t="shared" si="31"/>
        <v>0.16840000000000011</v>
      </c>
      <c r="J232" s="200">
        <f t="shared" si="29"/>
        <v>3.6499999999999894E-2</v>
      </c>
      <c r="K232" s="270">
        <f t="shared" si="30"/>
        <v>17.813567593948214</v>
      </c>
      <c r="L232" s="196">
        <v>7</v>
      </c>
      <c r="M232" s="206">
        <v>43160.520833333336</v>
      </c>
      <c r="N232" s="206">
        <v>43160.6875</v>
      </c>
      <c r="O232" s="196" t="s">
        <v>2534</v>
      </c>
      <c r="AB232" s="110"/>
      <c r="AC232" s="110"/>
      <c r="AD232" s="110"/>
      <c r="AE232" s="110"/>
    </row>
    <row r="233" spans="1:31">
      <c r="A233" s="196" t="s">
        <v>1381</v>
      </c>
      <c r="C233" s="197">
        <v>184</v>
      </c>
      <c r="D233" s="196">
        <v>0.5524</v>
      </c>
      <c r="E233" s="200">
        <v>10.540100000000001</v>
      </c>
      <c r="F233" s="201">
        <v>0.2019</v>
      </c>
      <c r="G233" s="200">
        <f t="shared" ref="G233:G264" si="32">E233+F233</f>
        <v>10.742000000000001</v>
      </c>
      <c r="H233" s="200">
        <v>10.557700000000001</v>
      </c>
      <c r="I233" s="200">
        <f t="shared" si="31"/>
        <v>0.18430000000000035</v>
      </c>
      <c r="J233" s="200">
        <f t="shared" ref="J233:J264" si="33">F233-I233</f>
        <v>1.7599999999999644E-2</v>
      </c>
      <c r="K233" s="270">
        <f t="shared" ref="K233:K264" si="34">(J233/F233)*100</f>
        <v>8.7171867261018541</v>
      </c>
      <c r="L233" s="200">
        <v>2</v>
      </c>
      <c r="M233" s="203">
        <v>43212</v>
      </c>
      <c r="AB233" s="110"/>
      <c r="AC233" s="110"/>
      <c r="AD233" s="110"/>
      <c r="AE233" s="110"/>
    </row>
    <row r="234" spans="1:31">
      <c r="A234" s="200" t="s">
        <v>1380</v>
      </c>
      <c r="C234" s="200">
        <v>35</v>
      </c>
      <c r="D234" s="201">
        <v>0.61919999999999997</v>
      </c>
      <c r="E234" s="200">
        <v>8.1677999999999997</v>
      </c>
      <c r="F234" s="201">
        <v>0.20930000000000001</v>
      </c>
      <c r="G234" s="200">
        <f t="shared" si="32"/>
        <v>8.3771000000000004</v>
      </c>
      <c r="H234" s="200">
        <v>8.2066999999999997</v>
      </c>
      <c r="I234" s="200">
        <f t="shared" si="31"/>
        <v>0.17040000000000077</v>
      </c>
      <c r="J234" s="200">
        <f t="shared" si="33"/>
        <v>3.8899999999999241E-2</v>
      </c>
      <c r="K234" s="270">
        <f t="shared" si="34"/>
        <v>18.585762064022571</v>
      </c>
      <c r="L234" s="200">
        <v>16</v>
      </c>
      <c r="M234" s="204">
        <v>43206</v>
      </c>
      <c r="N234" s="204">
        <v>43206</v>
      </c>
      <c r="O234" s="200"/>
      <c r="P234" s="200"/>
      <c r="AB234" s="110"/>
      <c r="AC234" s="110"/>
      <c r="AD234" s="110"/>
      <c r="AE234" s="110"/>
    </row>
    <row r="235" spans="1:31">
      <c r="A235" s="205" t="s">
        <v>1377</v>
      </c>
      <c r="C235" s="200">
        <v>64</v>
      </c>
      <c r="D235" s="201">
        <v>0.78049999999999997</v>
      </c>
      <c r="E235" s="200">
        <v>8.7334999999999994</v>
      </c>
      <c r="F235" s="201">
        <v>0.20580000000000001</v>
      </c>
      <c r="G235" s="200">
        <f t="shared" si="32"/>
        <v>8.9392999999999994</v>
      </c>
      <c r="H235" s="200">
        <v>8.7824000000000009</v>
      </c>
      <c r="I235" s="200">
        <f t="shared" si="31"/>
        <v>0.15689999999999849</v>
      </c>
      <c r="J235" s="200">
        <f t="shared" si="33"/>
        <v>4.8900000000001526E-2</v>
      </c>
      <c r="K235" s="270">
        <f t="shared" si="34"/>
        <v>23.760932944607156</v>
      </c>
      <c r="L235" s="200">
        <v>19</v>
      </c>
      <c r="M235" s="204">
        <v>43206</v>
      </c>
      <c r="N235" s="204">
        <v>43206</v>
      </c>
      <c r="O235" s="200"/>
      <c r="P235" s="200"/>
      <c r="AB235" s="110"/>
      <c r="AC235" s="110"/>
      <c r="AD235" s="110"/>
      <c r="AE235" s="110"/>
    </row>
    <row r="236" spans="1:31">
      <c r="A236" s="200" t="s">
        <v>1376</v>
      </c>
      <c r="C236" s="200">
        <v>170</v>
      </c>
      <c r="D236" s="200">
        <v>0.42299999999999999</v>
      </c>
      <c r="E236" s="200">
        <v>10.739000000000001</v>
      </c>
      <c r="F236" s="201">
        <v>0.2026</v>
      </c>
      <c r="G236" s="200">
        <f t="shared" si="32"/>
        <v>10.941600000000001</v>
      </c>
      <c r="H236" s="200">
        <v>10.7568</v>
      </c>
      <c r="I236" s="200">
        <f t="shared" si="31"/>
        <v>0.18480000000000096</v>
      </c>
      <c r="J236" s="200">
        <f t="shared" si="33"/>
        <v>1.7799999999999039E-2</v>
      </c>
      <c r="K236" s="270">
        <f t="shared" si="34"/>
        <v>8.7857847976303241</v>
      </c>
      <c r="L236" s="200">
        <v>3</v>
      </c>
      <c r="M236" s="204">
        <v>43187</v>
      </c>
      <c r="N236" s="204">
        <v>43187</v>
      </c>
      <c r="O236" s="200"/>
      <c r="P236" s="200"/>
      <c r="AB236" s="110"/>
      <c r="AC236" s="110"/>
      <c r="AD236" s="110"/>
      <c r="AE236" s="110"/>
    </row>
    <row r="237" spans="1:31">
      <c r="A237" s="205" t="s">
        <v>1375</v>
      </c>
      <c r="C237" s="200">
        <v>154</v>
      </c>
      <c r="D237" s="200">
        <v>0.37</v>
      </c>
      <c r="E237" s="201">
        <v>7.4812000000000003</v>
      </c>
      <c r="F237" s="201">
        <v>0.20849999999999999</v>
      </c>
      <c r="G237" s="200">
        <f t="shared" si="32"/>
        <v>7.6897000000000002</v>
      </c>
      <c r="H237" s="200">
        <v>7.5187999999999997</v>
      </c>
      <c r="I237" s="200">
        <f t="shared" si="31"/>
        <v>0.1709000000000005</v>
      </c>
      <c r="J237" s="200">
        <f t="shared" si="33"/>
        <v>3.7599999999999495E-2</v>
      </c>
      <c r="K237" s="270">
        <f t="shared" si="34"/>
        <v>18.033573141486571</v>
      </c>
      <c r="L237" s="200">
        <v>26</v>
      </c>
      <c r="M237" s="206">
        <v>43186.458333333336</v>
      </c>
      <c r="N237" s="206">
        <v>43186.625</v>
      </c>
      <c r="O237" s="196" t="s">
        <v>2534</v>
      </c>
      <c r="P237" s="200"/>
      <c r="AB237" s="110"/>
      <c r="AC237" s="110"/>
      <c r="AD237" s="110"/>
      <c r="AE237" s="110"/>
    </row>
    <row r="238" spans="1:31">
      <c r="A238" s="200" t="s">
        <v>1374</v>
      </c>
      <c r="C238" s="200">
        <v>107</v>
      </c>
      <c r="D238" s="200">
        <v>0.45179999999999998</v>
      </c>
      <c r="E238" s="201">
        <v>11.1061</v>
      </c>
      <c r="F238" s="201">
        <v>0.20130000000000001</v>
      </c>
      <c r="G238" s="200">
        <f t="shared" si="32"/>
        <v>11.307399999999999</v>
      </c>
      <c r="H238" s="200">
        <v>11.139099999999999</v>
      </c>
      <c r="I238" s="200">
        <f t="shared" si="31"/>
        <v>0.16830000000000034</v>
      </c>
      <c r="J238" s="200">
        <f t="shared" si="33"/>
        <v>3.2999999999999668E-2</v>
      </c>
      <c r="K238" s="270">
        <f t="shared" si="34"/>
        <v>16.393442622950655</v>
      </c>
      <c r="L238" s="200">
        <v>4</v>
      </c>
      <c r="M238" s="202">
        <v>43178.395833333336</v>
      </c>
      <c r="N238" s="202">
        <v>43178.5625</v>
      </c>
      <c r="O238" s="196" t="s">
        <v>2534</v>
      </c>
      <c r="P238" s="200"/>
      <c r="AB238" s="110"/>
      <c r="AC238" s="110"/>
      <c r="AD238" s="110"/>
      <c r="AE238" s="110"/>
    </row>
    <row r="239" spans="1:31">
      <c r="A239" s="205" t="s">
        <v>1373</v>
      </c>
      <c r="C239" s="200">
        <v>206</v>
      </c>
      <c r="D239" s="200">
        <v>0.61060000000000003</v>
      </c>
      <c r="E239" s="200">
        <v>9.4850999999999992</v>
      </c>
      <c r="F239" s="201">
        <v>0.2019</v>
      </c>
      <c r="G239" s="200">
        <f t="shared" si="32"/>
        <v>9.6869999999999994</v>
      </c>
      <c r="H239" s="200">
        <v>9.5200999999999993</v>
      </c>
      <c r="I239" s="200">
        <f t="shared" si="31"/>
        <v>0.16690000000000005</v>
      </c>
      <c r="J239" s="200">
        <f t="shared" si="33"/>
        <v>3.4999999999999948E-2</v>
      </c>
      <c r="K239" s="270">
        <f t="shared" si="34"/>
        <v>17.335314512134694</v>
      </c>
      <c r="L239" s="200">
        <v>14</v>
      </c>
      <c r="M239" s="204">
        <v>43187</v>
      </c>
      <c r="N239" s="204">
        <v>43187</v>
      </c>
      <c r="O239" s="200"/>
      <c r="P239" s="200"/>
      <c r="AB239" s="110"/>
      <c r="AC239" s="110"/>
      <c r="AD239" s="110"/>
      <c r="AE239" s="110"/>
    </row>
    <row r="240" spans="1:31">
      <c r="A240" s="200" t="s">
        <v>1372</v>
      </c>
      <c r="C240" s="200">
        <v>147</v>
      </c>
      <c r="D240" s="200">
        <v>0.49569999999999997</v>
      </c>
      <c r="E240" s="201">
        <v>8.4428999999999998</v>
      </c>
      <c r="F240" s="201">
        <v>0.20019999999999999</v>
      </c>
      <c r="G240" s="200">
        <f t="shared" si="32"/>
        <v>8.6431000000000004</v>
      </c>
      <c r="H240" s="200">
        <v>8.4756</v>
      </c>
      <c r="I240" s="200">
        <f t="shared" si="31"/>
        <v>0.16750000000000043</v>
      </c>
      <c r="J240" s="200">
        <f t="shared" si="33"/>
        <v>3.2699999999999563E-2</v>
      </c>
      <c r="K240" s="270">
        <f t="shared" si="34"/>
        <v>16.333666333666116</v>
      </c>
      <c r="L240" s="200">
        <v>24</v>
      </c>
      <c r="M240" s="204">
        <v>43197</v>
      </c>
      <c r="N240" s="204">
        <v>43197</v>
      </c>
      <c r="O240" s="200"/>
      <c r="P240" s="200"/>
      <c r="AB240" s="110"/>
      <c r="AC240" s="110"/>
      <c r="AD240" s="110"/>
      <c r="AE240" s="110"/>
    </row>
    <row r="241" spans="1:31">
      <c r="A241" s="205" t="s">
        <v>1371</v>
      </c>
      <c r="C241" s="200">
        <v>48</v>
      </c>
      <c r="D241" s="200">
        <v>0.6129</v>
      </c>
      <c r="E241" s="200">
        <v>11.904299999999999</v>
      </c>
      <c r="F241" s="201">
        <v>0.20449999999999999</v>
      </c>
      <c r="G241" s="200">
        <f t="shared" si="32"/>
        <v>12.108799999999999</v>
      </c>
      <c r="H241" s="200">
        <v>11.9199</v>
      </c>
      <c r="I241" s="200">
        <f t="shared" si="31"/>
        <v>0.18889999999999851</v>
      </c>
      <c r="J241" s="200">
        <f t="shared" si="33"/>
        <v>1.5600000000001474E-2</v>
      </c>
      <c r="K241" s="270">
        <f t="shared" si="34"/>
        <v>7.6283618581914308</v>
      </c>
      <c r="L241" s="200">
        <v>14</v>
      </c>
      <c r="M241" s="204">
        <v>43211</v>
      </c>
      <c r="R241" s="196">
        <v>2</v>
      </c>
      <c r="S241" s="196">
        <v>0.61550000000000005</v>
      </c>
      <c r="U241" s="201" t="s">
        <v>660</v>
      </c>
      <c r="V241" s="196">
        <v>1.8808</v>
      </c>
      <c r="W241" s="196">
        <f>(V241-$T$175+F239)</f>
        <v>2.0827</v>
      </c>
      <c r="AB241" s="110"/>
      <c r="AC241" s="110"/>
      <c r="AD241" s="110"/>
      <c r="AE241" s="110"/>
    </row>
    <row r="242" spans="1:31">
      <c r="A242" s="205" t="s">
        <v>1370</v>
      </c>
      <c r="C242" s="200">
        <v>168</v>
      </c>
      <c r="D242" s="200">
        <v>0.76470000000000005</v>
      </c>
      <c r="E242" s="201">
        <v>10.2715</v>
      </c>
      <c r="F242" s="201">
        <v>0.2087</v>
      </c>
      <c r="G242" s="200">
        <f t="shared" si="32"/>
        <v>10.4802</v>
      </c>
      <c r="H242" s="200">
        <v>10.2873</v>
      </c>
      <c r="I242" s="200">
        <f t="shared" si="31"/>
        <v>0.19289999999999985</v>
      </c>
      <c r="J242" s="200">
        <f t="shared" si="33"/>
        <v>1.5800000000000147E-2</v>
      </c>
      <c r="K242" s="270">
        <f t="shared" si="34"/>
        <v>7.5706756109248428</v>
      </c>
      <c r="L242" s="200">
        <v>12</v>
      </c>
      <c r="M242" s="206">
        <v>43185.385416666664</v>
      </c>
      <c r="N242" s="200"/>
      <c r="O242" s="200" t="s">
        <v>2540</v>
      </c>
      <c r="P242" s="200"/>
      <c r="AB242" s="110"/>
      <c r="AC242" s="110"/>
      <c r="AD242" s="110"/>
      <c r="AE242" s="110"/>
    </row>
    <row r="243" spans="1:31">
      <c r="A243" s="205" t="s">
        <v>1369</v>
      </c>
      <c r="C243" s="200">
        <v>118</v>
      </c>
      <c r="D243" s="201">
        <v>0.379</v>
      </c>
      <c r="E243" s="200">
        <v>8.0647000000000002</v>
      </c>
      <c r="F243" s="201">
        <v>0.20280000000000001</v>
      </c>
      <c r="G243" s="200">
        <f t="shared" si="32"/>
        <v>8.2675000000000001</v>
      </c>
      <c r="H243" s="200">
        <v>8.0952000000000002</v>
      </c>
      <c r="I243" s="200">
        <f t="shared" si="31"/>
        <v>0.1722999999999999</v>
      </c>
      <c r="J243" s="200">
        <f t="shared" si="33"/>
        <v>3.050000000000011E-2</v>
      </c>
      <c r="K243" s="270">
        <f t="shared" si="34"/>
        <v>15.039447731755478</v>
      </c>
      <c r="L243" s="200">
        <v>20</v>
      </c>
      <c r="M243" s="200"/>
      <c r="N243" s="200"/>
      <c r="O243" s="200"/>
      <c r="P243" s="200"/>
      <c r="AB243" s="110"/>
      <c r="AC243" s="110"/>
      <c r="AD243" s="110"/>
      <c r="AE243" s="110"/>
    </row>
    <row r="244" spans="1:31">
      <c r="A244" s="205" t="s">
        <v>1368</v>
      </c>
      <c r="C244" s="200">
        <v>124</v>
      </c>
      <c r="D244" s="200">
        <v>0.40920000000000001</v>
      </c>
      <c r="E244" s="201">
        <v>10.0756</v>
      </c>
      <c r="F244" s="201">
        <v>0.20080000000000001</v>
      </c>
      <c r="G244" s="200">
        <f t="shared" si="32"/>
        <v>10.276399999999999</v>
      </c>
      <c r="H244" s="200">
        <v>10.100300000000001</v>
      </c>
      <c r="I244" s="200">
        <f t="shared" si="31"/>
        <v>0.17609999999999815</v>
      </c>
      <c r="J244" s="200">
        <f t="shared" si="33"/>
        <v>2.4700000000001859E-2</v>
      </c>
      <c r="K244" s="270">
        <f t="shared" si="34"/>
        <v>12.30079681274993</v>
      </c>
      <c r="L244" s="200">
        <v>8</v>
      </c>
      <c r="M244" s="206">
        <v>43185.385416666664</v>
      </c>
      <c r="N244" s="200"/>
      <c r="O244" s="200" t="s">
        <v>2540</v>
      </c>
      <c r="P244" s="200"/>
      <c r="AB244" s="110"/>
      <c r="AC244" s="110"/>
      <c r="AD244" s="110"/>
      <c r="AE244" s="110"/>
    </row>
    <row r="245" spans="1:31">
      <c r="A245" s="205" t="s">
        <v>1366</v>
      </c>
      <c r="C245" s="200">
        <v>154</v>
      </c>
      <c r="D245" s="200">
        <v>0.37980000000000003</v>
      </c>
      <c r="E245" s="201">
        <v>11.105499999999999</v>
      </c>
      <c r="F245" s="201">
        <v>0.19839999999999999</v>
      </c>
      <c r="G245" s="200">
        <f t="shared" si="32"/>
        <v>11.303899999999999</v>
      </c>
      <c r="H245" s="200">
        <v>11.1403</v>
      </c>
      <c r="I245" s="200">
        <f t="shared" si="31"/>
        <v>0.16359999999999886</v>
      </c>
      <c r="J245" s="200">
        <f t="shared" si="33"/>
        <v>3.4800000000001136E-2</v>
      </c>
      <c r="K245" s="270">
        <f t="shared" si="34"/>
        <v>17.540322580645736</v>
      </c>
      <c r="L245" s="200">
        <v>25</v>
      </c>
      <c r="M245" s="206">
        <v>43186.458333333336</v>
      </c>
      <c r="N245" s="206">
        <v>43186.625</v>
      </c>
      <c r="O245" s="196" t="s">
        <v>2534</v>
      </c>
      <c r="P245" s="200"/>
      <c r="AB245" s="110"/>
      <c r="AC245" s="110"/>
      <c r="AD245" s="110"/>
      <c r="AE245" s="110"/>
    </row>
    <row r="246" spans="1:31">
      <c r="A246" s="200" t="s">
        <v>1365</v>
      </c>
      <c r="C246" s="200">
        <v>15</v>
      </c>
      <c r="D246" s="200">
        <v>0.5202</v>
      </c>
      <c r="E246" s="201">
        <v>10.144500000000001</v>
      </c>
      <c r="F246" s="201">
        <v>0.20250000000000001</v>
      </c>
      <c r="G246" s="200">
        <f t="shared" si="32"/>
        <v>10.347000000000001</v>
      </c>
      <c r="H246" s="200">
        <v>10.1905</v>
      </c>
      <c r="I246" s="200">
        <f t="shared" si="31"/>
        <v>0.15650000000000119</v>
      </c>
      <c r="J246" s="200">
        <f t="shared" si="33"/>
        <v>4.599999999999882E-2</v>
      </c>
      <c r="K246" s="270">
        <f t="shared" si="34"/>
        <v>22.716049382715465</v>
      </c>
      <c r="L246" s="200">
        <v>32</v>
      </c>
      <c r="M246" s="206">
        <v>43185.385416666664</v>
      </c>
      <c r="N246" s="200"/>
      <c r="O246" s="200" t="s">
        <v>2540</v>
      </c>
      <c r="P246" s="200"/>
      <c r="AB246" s="110"/>
      <c r="AC246" s="110"/>
      <c r="AD246" s="110"/>
      <c r="AE246" s="110"/>
    </row>
    <row r="247" spans="1:31">
      <c r="A247" s="205" t="s">
        <v>1364</v>
      </c>
      <c r="C247" s="200">
        <v>164</v>
      </c>
      <c r="D247" s="200">
        <v>0.44059999999999999</v>
      </c>
      <c r="E247" s="200">
        <v>10.855700000000001</v>
      </c>
      <c r="F247" s="201">
        <v>0.2087</v>
      </c>
      <c r="G247" s="200">
        <f t="shared" si="32"/>
        <v>11.064400000000001</v>
      </c>
      <c r="H247" s="200">
        <v>10.875999999999999</v>
      </c>
      <c r="I247" s="200">
        <f t="shared" si="31"/>
        <v>0.18840000000000146</v>
      </c>
      <c r="J247" s="200">
        <f t="shared" si="33"/>
        <v>2.0299999999998541E-2</v>
      </c>
      <c r="K247" s="270">
        <f t="shared" si="34"/>
        <v>9.7268806899849256</v>
      </c>
      <c r="L247" s="200">
        <v>27</v>
      </c>
      <c r="M247" s="204">
        <v>43187</v>
      </c>
      <c r="N247" s="204">
        <v>43187</v>
      </c>
      <c r="O247" s="200"/>
      <c r="P247" s="200"/>
      <c r="AB247" s="110"/>
      <c r="AC247" s="110"/>
      <c r="AD247" s="110"/>
      <c r="AE247" s="110"/>
    </row>
    <row r="248" spans="1:31">
      <c r="A248" s="200" t="s">
        <v>1363</v>
      </c>
      <c r="C248" s="200">
        <v>127</v>
      </c>
      <c r="D248" s="201">
        <v>0.39150000000000001</v>
      </c>
      <c r="E248" s="200">
        <v>11.863099999999999</v>
      </c>
      <c r="F248" s="201">
        <v>0.20269999999999999</v>
      </c>
      <c r="G248" s="200">
        <f t="shared" si="32"/>
        <v>12.065799999999999</v>
      </c>
      <c r="H248" s="200">
        <v>11.8986</v>
      </c>
      <c r="I248" s="200">
        <f t="shared" si="31"/>
        <v>0.16719999999999935</v>
      </c>
      <c r="J248" s="200">
        <f t="shared" si="33"/>
        <v>3.5500000000000642E-2</v>
      </c>
      <c r="K248" s="270">
        <f t="shared" si="34"/>
        <v>17.513566847558284</v>
      </c>
      <c r="L248" s="200">
        <v>7</v>
      </c>
      <c r="M248" s="204">
        <v>43206</v>
      </c>
      <c r="N248" s="204">
        <v>43206</v>
      </c>
      <c r="O248" s="200"/>
      <c r="P248" s="200"/>
      <c r="AB248" s="110"/>
      <c r="AC248" s="110"/>
      <c r="AD248" s="110"/>
      <c r="AE248" s="110"/>
    </row>
    <row r="249" spans="1:31">
      <c r="A249" s="200" t="s">
        <v>1362</v>
      </c>
      <c r="C249" s="200">
        <v>107</v>
      </c>
      <c r="D249" s="200">
        <v>0.40689999999999998</v>
      </c>
      <c r="E249" s="201">
        <v>11.119</v>
      </c>
      <c r="F249" s="201">
        <v>0.20200000000000001</v>
      </c>
      <c r="G249" s="200">
        <f t="shared" si="32"/>
        <v>11.321</v>
      </c>
      <c r="H249" s="200">
        <v>11.148300000000001</v>
      </c>
      <c r="I249" s="200">
        <f t="shared" si="31"/>
        <v>0.17269999999999897</v>
      </c>
      <c r="J249" s="200">
        <f t="shared" si="33"/>
        <v>2.9300000000001047E-2</v>
      </c>
      <c r="K249" s="270">
        <f t="shared" si="34"/>
        <v>14.504950495050023</v>
      </c>
      <c r="L249" s="200">
        <v>5</v>
      </c>
      <c r="M249" s="202">
        <v>43178.395833333336</v>
      </c>
      <c r="N249" s="202">
        <v>43178.5625</v>
      </c>
      <c r="O249" s="196" t="s">
        <v>2534</v>
      </c>
      <c r="P249" s="200"/>
      <c r="AB249" s="110"/>
      <c r="AC249" s="110"/>
      <c r="AD249" s="110"/>
      <c r="AE249" s="110"/>
    </row>
    <row r="250" spans="1:31">
      <c r="A250" s="196" t="s">
        <v>1361</v>
      </c>
      <c r="C250" s="196">
        <v>146</v>
      </c>
      <c r="D250" s="196">
        <v>0.35870000000000002</v>
      </c>
      <c r="E250" s="196">
        <v>8.7056000000000004</v>
      </c>
      <c r="F250" s="196">
        <v>0.20649999999999999</v>
      </c>
      <c r="G250" s="196">
        <f t="shared" si="32"/>
        <v>8.9121000000000006</v>
      </c>
      <c r="H250" s="196">
        <v>8.7347000000000001</v>
      </c>
      <c r="I250" s="196">
        <f t="shared" si="31"/>
        <v>0.17740000000000045</v>
      </c>
      <c r="J250" s="200">
        <f t="shared" si="33"/>
        <v>2.9099999999999543E-2</v>
      </c>
      <c r="K250" s="270">
        <f t="shared" si="34"/>
        <v>14.092009685229803</v>
      </c>
      <c r="L250" s="196">
        <v>15</v>
      </c>
      <c r="M250" s="196">
        <v>43157.527777777781</v>
      </c>
      <c r="N250" s="196">
        <v>43157.694444444445</v>
      </c>
      <c r="O250" s="196" t="s">
        <v>2540</v>
      </c>
      <c r="AB250" s="110"/>
      <c r="AC250" s="110"/>
      <c r="AD250" s="110"/>
      <c r="AE250" s="110"/>
    </row>
    <row r="251" spans="1:31">
      <c r="A251" s="196" t="s">
        <v>1360</v>
      </c>
      <c r="C251" s="196">
        <v>43</v>
      </c>
      <c r="D251" s="196">
        <v>0.49249999999999999</v>
      </c>
      <c r="E251" s="196">
        <v>8.1356000000000002</v>
      </c>
      <c r="F251" s="196">
        <v>0.20649999999999999</v>
      </c>
      <c r="G251" s="196">
        <f t="shared" si="32"/>
        <v>8.3421000000000003</v>
      </c>
      <c r="H251" s="196">
        <v>8.1575000000000006</v>
      </c>
      <c r="I251" s="196">
        <f t="shared" si="31"/>
        <v>0.18459999999999965</v>
      </c>
      <c r="J251" s="200">
        <f t="shared" si="33"/>
        <v>2.1900000000000336E-2</v>
      </c>
      <c r="K251" s="270">
        <f t="shared" si="34"/>
        <v>10.60532687651348</v>
      </c>
      <c r="L251" s="196">
        <v>15</v>
      </c>
      <c r="M251" s="196" t="s">
        <v>2570</v>
      </c>
      <c r="N251" s="196" t="s">
        <v>2569</v>
      </c>
      <c r="O251" s="196" t="s">
        <v>2534</v>
      </c>
      <c r="AB251" s="110"/>
      <c r="AC251" s="110"/>
      <c r="AD251" s="110"/>
      <c r="AE251" s="110"/>
    </row>
    <row r="252" spans="1:31">
      <c r="A252" s="196" t="s">
        <v>1359</v>
      </c>
      <c r="C252" s="196">
        <v>99</v>
      </c>
      <c r="D252" s="196">
        <v>0.34420000000000001</v>
      </c>
      <c r="E252" s="196">
        <v>19.667300000000001</v>
      </c>
      <c r="F252" s="196">
        <v>9.3799999999999994E-2</v>
      </c>
      <c r="G252" s="196">
        <f t="shared" si="32"/>
        <v>19.761100000000003</v>
      </c>
      <c r="H252" s="196">
        <v>19.677199999999999</v>
      </c>
      <c r="I252" s="196">
        <f t="shared" si="31"/>
        <v>8.3900000000003416E-2</v>
      </c>
      <c r="J252" s="200">
        <f t="shared" si="33"/>
        <v>9.8999999999965782E-3</v>
      </c>
      <c r="K252" s="270">
        <f t="shared" si="34"/>
        <v>10.554371002128548</v>
      </c>
      <c r="L252" s="196">
        <v>4</v>
      </c>
      <c r="M252" s="196" t="s">
        <v>2560</v>
      </c>
      <c r="N252" s="196">
        <v>43153.729166666664</v>
      </c>
      <c r="O252" s="196" t="s">
        <v>2534</v>
      </c>
      <c r="P252" s="196" t="s">
        <v>2559</v>
      </c>
      <c r="AB252" s="110"/>
      <c r="AC252" s="110"/>
      <c r="AD252" s="110"/>
      <c r="AE252" s="110"/>
    </row>
    <row r="253" spans="1:31">
      <c r="A253" s="200" t="s">
        <v>1358</v>
      </c>
      <c r="C253" s="200">
        <v>103</v>
      </c>
      <c r="D253" s="201">
        <v>0.38019999999999998</v>
      </c>
      <c r="E253" s="200">
        <v>7.9055</v>
      </c>
      <c r="F253" s="201">
        <v>0.2001</v>
      </c>
      <c r="G253" s="200">
        <f t="shared" si="32"/>
        <v>8.1056000000000008</v>
      </c>
      <c r="H253" s="200">
        <v>7.9330999999999996</v>
      </c>
      <c r="I253" s="200">
        <f t="shared" si="31"/>
        <v>0.17250000000000121</v>
      </c>
      <c r="J253" s="200">
        <f t="shared" si="33"/>
        <v>2.7599999999998792E-2</v>
      </c>
      <c r="K253" s="270">
        <f t="shared" si="34"/>
        <v>13.793103448275259</v>
      </c>
      <c r="L253" s="200">
        <v>27</v>
      </c>
      <c r="M253" s="200"/>
      <c r="N253" s="200"/>
      <c r="O253" s="200"/>
      <c r="P253" s="200"/>
      <c r="AB253" s="110"/>
      <c r="AC253" s="110"/>
      <c r="AD253" s="110"/>
      <c r="AE253" s="110"/>
    </row>
    <row r="254" spans="1:31">
      <c r="A254" s="196" t="s">
        <v>1357</v>
      </c>
      <c r="C254" s="196">
        <v>115</v>
      </c>
      <c r="D254" s="196">
        <v>0.4234</v>
      </c>
      <c r="E254" s="196">
        <v>11.861499999999999</v>
      </c>
      <c r="F254" s="196">
        <v>0.18770000000000001</v>
      </c>
      <c r="G254" s="196">
        <f t="shared" si="32"/>
        <v>12.049199999999999</v>
      </c>
      <c r="H254" s="196">
        <v>11.8926</v>
      </c>
      <c r="I254" s="196">
        <f t="shared" si="31"/>
        <v>0.15659999999999918</v>
      </c>
      <c r="J254" s="200">
        <f t="shared" si="33"/>
        <v>3.1100000000000821E-2</v>
      </c>
      <c r="K254" s="270">
        <f t="shared" si="34"/>
        <v>16.568993074054781</v>
      </c>
      <c r="L254" s="196">
        <v>1</v>
      </c>
      <c r="M254" s="196">
        <v>43157.395833333336</v>
      </c>
      <c r="N254" s="196">
        <v>43157.569444444445</v>
      </c>
      <c r="O254" s="196" t="s">
        <v>2534</v>
      </c>
      <c r="P254" s="196" t="s">
        <v>2559</v>
      </c>
      <c r="AB254" s="110"/>
      <c r="AC254" s="110"/>
      <c r="AD254" s="110"/>
      <c r="AE254" s="110"/>
    </row>
    <row r="255" spans="1:31">
      <c r="A255" s="200" t="s">
        <v>1356</v>
      </c>
      <c r="C255" s="200">
        <v>123</v>
      </c>
      <c r="D255" s="200">
        <v>0.40899999999999997</v>
      </c>
      <c r="E255" s="201">
        <v>9.2202000000000002</v>
      </c>
      <c r="F255" s="201">
        <v>0.2029</v>
      </c>
      <c r="G255" s="200">
        <f t="shared" si="32"/>
        <v>9.4230999999999998</v>
      </c>
      <c r="H255" s="200">
        <v>9.2517999999999994</v>
      </c>
      <c r="I255" s="200">
        <f t="shared" si="31"/>
        <v>0.17130000000000045</v>
      </c>
      <c r="J255" s="200">
        <f t="shared" si="33"/>
        <v>3.1599999999999545E-2</v>
      </c>
      <c r="K255" s="270">
        <f t="shared" si="34"/>
        <v>15.574174470182131</v>
      </c>
      <c r="L255" s="200">
        <v>15</v>
      </c>
      <c r="M255" s="204">
        <v>43199</v>
      </c>
      <c r="N255" s="204">
        <v>43199</v>
      </c>
      <c r="O255" s="200"/>
      <c r="P255" s="200"/>
      <c r="AB255" s="110"/>
      <c r="AC255" s="110"/>
      <c r="AD255" s="110"/>
      <c r="AE255" s="110"/>
    </row>
    <row r="256" spans="1:31">
      <c r="A256" s="200" t="s">
        <v>1355</v>
      </c>
      <c r="C256" s="200">
        <v>111</v>
      </c>
      <c r="D256" s="200">
        <v>0.41639999999999999</v>
      </c>
      <c r="E256" s="201">
        <v>10.055400000000001</v>
      </c>
      <c r="F256" s="201">
        <v>0.20250000000000001</v>
      </c>
      <c r="G256" s="200">
        <f t="shared" si="32"/>
        <v>10.257900000000001</v>
      </c>
      <c r="H256" s="200">
        <v>10.082100000000001</v>
      </c>
      <c r="I256" s="200">
        <f t="shared" si="31"/>
        <v>0.17580000000000062</v>
      </c>
      <c r="J256" s="200">
        <f t="shared" si="33"/>
        <v>2.6699999999999391E-2</v>
      </c>
      <c r="K256" s="270">
        <f t="shared" si="34"/>
        <v>13.185185185184883</v>
      </c>
      <c r="L256" s="200">
        <v>46</v>
      </c>
      <c r="M256" s="206">
        <v>43186.458333333336</v>
      </c>
      <c r="N256" s="206">
        <v>43186.625</v>
      </c>
      <c r="O256" s="196" t="s">
        <v>2534</v>
      </c>
      <c r="P256" s="200"/>
      <c r="AB256" s="110"/>
      <c r="AC256" s="110"/>
      <c r="AD256" s="110"/>
      <c r="AE256" s="110"/>
    </row>
    <row r="257" spans="1:31">
      <c r="A257" s="196" t="s">
        <v>1354</v>
      </c>
      <c r="C257" s="197">
        <v>149</v>
      </c>
      <c r="D257" s="196">
        <v>0.63670000000000004</v>
      </c>
      <c r="E257" s="201">
        <v>11.158799999999999</v>
      </c>
      <c r="F257" s="201">
        <v>0.20519999999999999</v>
      </c>
      <c r="G257" s="200">
        <f t="shared" si="32"/>
        <v>11.363999999999999</v>
      </c>
      <c r="H257" s="200">
        <v>11.222899999999999</v>
      </c>
      <c r="I257" s="200">
        <f t="shared" si="31"/>
        <v>0.14109999999999978</v>
      </c>
      <c r="J257" s="200">
        <f t="shared" si="33"/>
        <v>6.4100000000000212E-2</v>
      </c>
      <c r="K257" s="270">
        <f t="shared" si="34"/>
        <v>31.23781676413266</v>
      </c>
      <c r="L257" s="200">
        <v>23</v>
      </c>
      <c r="M257" s="203">
        <v>43221</v>
      </c>
      <c r="N257" s="203">
        <v>43221</v>
      </c>
      <c r="AB257" s="110"/>
      <c r="AC257" s="110"/>
      <c r="AD257" s="110"/>
      <c r="AE257" s="110"/>
    </row>
    <row r="258" spans="1:31">
      <c r="A258" s="200" t="s">
        <v>1353</v>
      </c>
      <c r="C258" s="200">
        <v>143</v>
      </c>
      <c r="D258" s="200">
        <v>0.48530000000000001</v>
      </c>
      <c r="E258" s="200">
        <v>8.8457000000000008</v>
      </c>
      <c r="F258" s="200">
        <v>0.20080000000000001</v>
      </c>
      <c r="G258" s="200">
        <f t="shared" si="32"/>
        <v>9.0465</v>
      </c>
      <c r="H258" s="200">
        <v>8.8809000000000005</v>
      </c>
      <c r="I258" s="200">
        <f t="shared" ref="I258:I289" si="35">(G258-H258)</f>
        <v>0.16559999999999953</v>
      </c>
      <c r="J258" s="200">
        <f t="shared" si="33"/>
        <v>3.5200000000000481E-2</v>
      </c>
      <c r="K258" s="270">
        <f t="shared" si="34"/>
        <v>17.52988047808789</v>
      </c>
      <c r="L258" s="200">
        <v>11</v>
      </c>
      <c r="M258" s="202">
        <v>43171.520833333336</v>
      </c>
      <c r="N258" s="202">
        <v>43171.6875</v>
      </c>
      <c r="O258" s="196" t="s">
        <v>2534</v>
      </c>
      <c r="P258" s="200"/>
      <c r="AB258" s="110"/>
      <c r="AC258" s="110"/>
      <c r="AD258" s="110"/>
      <c r="AE258" s="110"/>
    </row>
    <row r="259" spans="1:31">
      <c r="A259" s="205" t="s">
        <v>1352</v>
      </c>
      <c r="C259" s="200">
        <v>120</v>
      </c>
      <c r="D259" s="200">
        <v>0.36299999999999999</v>
      </c>
      <c r="E259" s="200">
        <v>9.1562000000000001</v>
      </c>
      <c r="F259" s="200">
        <v>0.20130000000000001</v>
      </c>
      <c r="G259" s="200">
        <f t="shared" si="32"/>
        <v>9.3574999999999999</v>
      </c>
      <c r="H259" s="200">
        <v>9.1860999999999997</v>
      </c>
      <c r="I259" s="200">
        <f t="shared" si="35"/>
        <v>0.17140000000000022</v>
      </c>
      <c r="J259" s="200">
        <f t="shared" si="33"/>
        <v>2.9899999999999788E-2</v>
      </c>
      <c r="K259" s="270">
        <f t="shared" si="34"/>
        <v>14.853452558370487</v>
      </c>
      <c r="L259" s="200">
        <v>6</v>
      </c>
      <c r="M259" s="204">
        <v>43174</v>
      </c>
      <c r="N259" s="204">
        <v>43174</v>
      </c>
      <c r="O259" s="200" t="s">
        <v>2540</v>
      </c>
      <c r="P259" s="200" t="s">
        <v>2535</v>
      </c>
      <c r="AB259" s="110"/>
      <c r="AC259" s="110"/>
      <c r="AD259" s="110"/>
      <c r="AE259" s="110"/>
    </row>
    <row r="260" spans="1:31">
      <c r="A260" s="196" t="s">
        <v>1351</v>
      </c>
      <c r="C260" s="197">
        <v>21</v>
      </c>
      <c r="D260" s="196">
        <v>0.53790000000000004</v>
      </c>
      <c r="E260" s="201">
        <v>10.075900000000001</v>
      </c>
      <c r="F260" s="201">
        <v>0.20200000000000001</v>
      </c>
      <c r="G260" s="200">
        <f t="shared" si="32"/>
        <v>10.277900000000001</v>
      </c>
      <c r="H260" s="200">
        <v>10.096299999999999</v>
      </c>
      <c r="I260" s="200">
        <f t="shared" si="35"/>
        <v>0.18160000000000132</v>
      </c>
      <c r="J260" s="200">
        <f t="shared" si="33"/>
        <v>2.0399999999998697E-2</v>
      </c>
      <c r="K260" s="270">
        <f t="shared" si="34"/>
        <v>10.099009900989453</v>
      </c>
      <c r="L260" s="200">
        <v>4</v>
      </c>
      <c r="AB260" s="110"/>
      <c r="AC260" s="110"/>
      <c r="AD260" s="110"/>
      <c r="AE260" s="110"/>
    </row>
    <row r="261" spans="1:31">
      <c r="A261" s="200" t="s">
        <v>1350</v>
      </c>
      <c r="C261" s="200">
        <v>65</v>
      </c>
      <c r="D261" s="200">
        <v>0.58609999999999995</v>
      </c>
      <c r="E261" s="201">
        <v>7.0753000000000004</v>
      </c>
      <c r="F261" s="201">
        <v>0.20030000000000001</v>
      </c>
      <c r="G261" s="200">
        <f t="shared" si="32"/>
        <v>7.2756000000000007</v>
      </c>
      <c r="H261" s="200">
        <v>7.1066000000000003</v>
      </c>
      <c r="I261" s="200">
        <f t="shared" si="35"/>
        <v>0.16900000000000048</v>
      </c>
      <c r="J261" s="200">
        <f t="shared" si="33"/>
        <v>3.1299999999999523E-2</v>
      </c>
      <c r="K261" s="270">
        <f t="shared" si="34"/>
        <v>15.626560159760119</v>
      </c>
      <c r="L261" s="200">
        <v>3</v>
      </c>
      <c r="M261" s="204">
        <v>43199</v>
      </c>
      <c r="N261" s="204">
        <v>43199</v>
      </c>
      <c r="O261" s="200"/>
      <c r="P261" s="200"/>
      <c r="AB261" s="110"/>
      <c r="AC261" s="110"/>
      <c r="AD261" s="110"/>
      <c r="AE261" s="110"/>
    </row>
    <row r="262" spans="1:31">
      <c r="A262" s="196" t="s">
        <v>1349</v>
      </c>
      <c r="C262" s="196">
        <v>8</v>
      </c>
      <c r="D262" s="196">
        <v>0.40389999999999998</v>
      </c>
      <c r="E262" s="196">
        <v>7.3167999999999997</v>
      </c>
      <c r="F262" s="196">
        <v>0.20530000000000001</v>
      </c>
      <c r="G262" s="196">
        <f t="shared" si="32"/>
        <v>7.5221</v>
      </c>
      <c r="H262" s="196">
        <v>7.3349000000000002</v>
      </c>
      <c r="I262" s="196">
        <f t="shared" si="35"/>
        <v>0.18719999999999981</v>
      </c>
      <c r="J262" s="200">
        <f t="shared" si="33"/>
        <v>1.8100000000000199E-2</v>
      </c>
      <c r="K262" s="270">
        <f t="shared" si="34"/>
        <v>8.8163662932295175</v>
      </c>
      <c r="L262" s="196">
        <v>3</v>
      </c>
      <c r="M262" s="196" t="s">
        <v>2570</v>
      </c>
      <c r="N262" s="196" t="s">
        <v>2569</v>
      </c>
      <c r="O262" s="196" t="s">
        <v>2534</v>
      </c>
      <c r="AB262" s="110"/>
      <c r="AC262" s="110"/>
      <c r="AD262" s="110"/>
      <c r="AE262" s="110"/>
    </row>
    <row r="263" spans="1:31">
      <c r="A263" s="196" t="s">
        <v>1348</v>
      </c>
      <c r="C263" s="196">
        <v>28</v>
      </c>
      <c r="D263" s="196">
        <v>0.52159999999999995</v>
      </c>
      <c r="E263" s="201">
        <v>10.9023</v>
      </c>
      <c r="F263" s="201">
        <v>0.2026</v>
      </c>
      <c r="G263" s="200">
        <f t="shared" si="32"/>
        <v>11.104900000000001</v>
      </c>
      <c r="H263" s="200">
        <v>10.923999999999999</v>
      </c>
      <c r="I263" s="200">
        <f t="shared" si="35"/>
        <v>0.18090000000000117</v>
      </c>
      <c r="J263" s="200">
        <f t="shared" si="33"/>
        <v>2.1699999999998831E-2</v>
      </c>
      <c r="K263" s="270">
        <f t="shared" si="34"/>
        <v>10.710760118459444</v>
      </c>
      <c r="L263" s="200">
        <v>15</v>
      </c>
      <c r="AB263" s="110"/>
      <c r="AC263" s="110"/>
      <c r="AD263" s="110"/>
      <c r="AE263" s="110"/>
    </row>
    <row r="264" spans="1:31">
      <c r="A264" s="205" t="s">
        <v>1347</v>
      </c>
      <c r="C264" s="200">
        <v>38</v>
      </c>
      <c r="D264" s="200">
        <v>0.59689999999999999</v>
      </c>
      <c r="E264" s="201">
        <v>7.4748000000000001</v>
      </c>
      <c r="F264" s="201">
        <v>0.20180000000000001</v>
      </c>
      <c r="G264" s="200">
        <f t="shared" si="32"/>
        <v>7.6766000000000005</v>
      </c>
      <c r="H264" s="200">
        <v>7.5014000000000003</v>
      </c>
      <c r="I264" s="200">
        <f t="shared" si="35"/>
        <v>0.17520000000000024</v>
      </c>
      <c r="J264" s="200">
        <f t="shared" si="33"/>
        <v>2.6599999999999763E-2</v>
      </c>
      <c r="K264" s="270">
        <f t="shared" si="34"/>
        <v>13.181367690782835</v>
      </c>
      <c r="L264" s="200">
        <v>28</v>
      </c>
      <c r="M264" s="204">
        <v>43188</v>
      </c>
      <c r="N264" s="204">
        <v>43188</v>
      </c>
      <c r="O264" s="200"/>
      <c r="P264" s="200"/>
      <c r="AB264" s="110"/>
      <c r="AC264" s="110"/>
      <c r="AD264" s="110"/>
      <c r="AE264" s="110"/>
    </row>
    <row r="265" spans="1:31">
      <c r="A265" s="196" t="s">
        <v>1346</v>
      </c>
      <c r="C265" s="196">
        <v>106</v>
      </c>
      <c r="D265" s="196">
        <v>0.41220000000000001</v>
      </c>
      <c r="E265" s="196">
        <v>9.3457000000000008</v>
      </c>
      <c r="F265" s="196">
        <v>0.20300000000000001</v>
      </c>
      <c r="G265" s="196">
        <f t="shared" ref="G265:G296" si="36">E265+F265</f>
        <v>9.5487000000000002</v>
      </c>
      <c r="H265" s="196">
        <v>9.3613999999999997</v>
      </c>
      <c r="I265" s="196">
        <f t="shared" si="35"/>
        <v>0.18730000000000047</v>
      </c>
      <c r="J265" s="200">
        <f t="shared" ref="J265:J296" si="37">F265-I265</f>
        <v>1.5699999999999548E-2</v>
      </c>
      <c r="K265" s="270">
        <f t="shared" ref="K265:K296" si="38">(J265/F265)*100</f>
        <v>7.733990147783028</v>
      </c>
      <c r="L265" s="196">
        <v>5</v>
      </c>
      <c r="M265" s="196">
        <v>43157.395833333336</v>
      </c>
      <c r="N265" s="196">
        <v>43157.569444444445</v>
      </c>
      <c r="O265" s="196" t="s">
        <v>2534</v>
      </c>
      <c r="AB265" s="110"/>
      <c r="AC265" s="110"/>
      <c r="AD265" s="110"/>
      <c r="AE265" s="110"/>
    </row>
    <row r="266" spans="1:31">
      <c r="A266" s="205" t="s">
        <v>1344</v>
      </c>
      <c r="C266" s="200">
        <v>140</v>
      </c>
      <c r="D266" s="200">
        <v>0.41689999999999999</v>
      </c>
      <c r="E266" s="200">
        <v>7.7732000000000001</v>
      </c>
      <c r="F266" s="200">
        <v>0.20130000000000001</v>
      </c>
      <c r="G266" s="200">
        <f t="shared" si="36"/>
        <v>7.9744999999999999</v>
      </c>
      <c r="H266" s="200">
        <v>7.8083999999999998</v>
      </c>
      <c r="I266" s="200">
        <f t="shared" si="35"/>
        <v>0.16610000000000014</v>
      </c>
      <c r="J266" s="200">
        <f t="shared" si="37"/>
        <v>3.519999999999987E-2</v>
      </c>
      <c r="K266" s="270">
        <f t="shared" si="38"/>
        <v>17.486338797814145</v>
      </c>
      <c r="L266" s="200">
        <v>3</v>
      </c>
      <c r="M266" s="202">
        <v>43164.628472222219</v>
      </c>
      <c r="N266" s="202">
        <v>43164.795138888891</v>
      </c>
      <c r="O266" s="196" t="s">
        <v>2534</v>
      </c>
      <c r="P266" s="200"/>
      <c r="AB266" s="110"/>
      <c r="AC266" s="110"/>
      <c r="AD266" s="110"/>
      <c r="AE266" s="110"/>
    </row>
    <row r="267" spans="1:31">
      <c r="A267" s="196" t="s">
        <v>1343</v>
      </c>
      <c r="C267" s="197">
        <v>201</v>
      </c>
      <c r="D267" s="196">
        <v>0.45</v>
      </c>
      <c r="E267" s="200">
        <v>8.7733000000000008</v>
      </c>
      <c r="F267" s="201">
        <v>0.20749999999999999</v>
      </c>
      <c r="G267" s="200">
        <f t="shared" si="36"/>
        <v>8.9808000000000003</v>
      </c>
      <c r="H267" s="200">
        <v>8.7985000000000007</v>
      </c>
      <c r="I267" s="200">
        <f t="shared" si="35"/>
        <v>0.18229999999999968</v>
      </c>
      <c r="J267" s="200">
        <f t="shared" si="37"/>
        <v>2.5200000000000305E-2</v>
      </c>
      <c r="K267" s="270">
        <f t="shared" si="38"/>
        <v>12.14457831325316</v>
      </c>
      <c r="L267" s="200">
        <v>20</v>
      </c>
      <c r="M267" s="203">
        <v>43213</v>
      </c>
      <c r="N267" s="203">
        <v>43213</v>
      </c>
      <c r="AB267" s="110"/>
      <c r="AC267" s="110"/>
      <c r="AD267" s="110"/>
      <c r="AE267" s="110"/>
    </row>
    <row r="268" spans="1:31">
      <c r="A268" s="205" t="s">
        <v>1342</v>
      </c>
      <c r="C268" s="200">
        <v>130</v>
      </c>
      <c r="D268" s="201">
        <v>0.3836</v>
      </c>
      <c r="E268" s="201">
        <v>9.7257999999999996</v>
      </c>
      <c r="F268" s="201">
        <v>0.20069999999999999</v>
      </c>
      <c r="G268" s="200">
        <f t="shared" si="36"/>
        <v>9.926499999999999</v>
      </c>
      <c r="H268" s="200">
        <v>9.7614000000000001</v>
      </c>
      <c r="I268" s="200">
        <f t="shared" si="35"/>
        <v>0.16509999999999891</v>
      </c>
      <c r="J268" s="200">
        <f t="shared" si="37"/>
        <v>3.5600000000001075E-2</v>
      </c>
      <c r="K268" s="270">
        <f t="shared" si="38"/>
        <v>17.737917289487331</v>
      </c>
      <c r="L268" s="200">
        <v>35</v>
      </c>
      <c r="M268" s="202">
        <v>43181.645833333336</v>
      </c>
      <c r="N268" s="202">
        <v>43181.833333333336</v>
      </c>
      <c r="O268" s="200" t="s">
        <v>2540</v>
      </c>
      <c r="P268" s="200"/>
      <c r="AB268" s="110"/>
      <c r="AC268" s="110"/>
      <c r="AD268" s="110"/>
      <c r="AE268" s="110"/>
    </row>
    <row r="269" spans="1:31">
      <c r="A269" s="196" t="s">
        <v>1341</v>
      </c>
      <c r="C269" s="197">
        <v>200</v>
      </c>
      <c r="D269" s="196">
        <v>0.41339999999999999</v>
      </c>
      <c r="E269" s="201">
        <v>9.3222000000000005</v>
      </c>
      <c r="F269" s="201">
        <v>0.20119999999999999</v>
      </c>
      <c r="G269" s="200">
        <f t="shared" si="36"/>
        <v>9.5234000000000005</v>
      </c>
      <c r="H269" s="200">
        <v>9.3420000000000005</v>
      </c>
      <c r="I269" s="200">
        <f t="shared" si="35"/>
        <v>0.18140000000000001</v>
      </c>
      <c r="J269" s="200">
        <f t="shared" si="37"/>
        <v>1.9799999999999984E-2</v>
      </c>
      <c r="K269" s="270">
        <f t="shared" si="38"/>
        <v>9.8409542743538694</v>
      </c>
      <c r="L269" s="200">
        <v>16</v>
      </c>
      <c r="AB269" s="110"/>
      <c r="AC269" s="110"/>
      <c r="AD269" s="110"/>
      <c r="AE269" s="110"/>
    </row>
    <row r="270" spans="1:31">
      <c r="A270" s="205" t="s">
        <v>1340</v>
      </c>
      <c r="C270" s="200">
        <v>208</v>
      </c>
      <c r="D270" s="200">
        <v>0.63100000000000001</v>
      </c>
      <c r="E270" s="200">
        <v>8.1204000000000001</v>
      </c>
      <c r="F270" s="200">
        <v>0.20069999999999999</v>
      </c>
      <c r="G270" s="200">
        <f t="shared" si="36"/>
        <v>8.3210999999999995</v>
      </c>
      <c r="H270" s="200">
        <v>8.1574000000000009</v>
      </c>
      <c r="I270" s="200">
        <f t="shared" si="35"/>
        <v>0.16369999999999862</v>
      </c>
      <c r="J270" s="200">
        <f t="shared" si="37"/>
        <v>3.7000000000001365E-2</v>
      </c>
      <c r="K270" s="270">
        <f t="shared" si="38"/>
        <v>18.435475834579655</v>
      </c>
      <c r="L270" s="200">
        <v>8</v>
      </c>
      <c r="M270" s="202">
        <v>43171.520833333336</v>
      </c>
      <c r="N270" s="202">
        <v>43171.6875</v>
      </c>
      <c r="O270" s="196" t="s">
        <v>2534</v>
      </c>
      <c r="P270" s="200"/>
      <c r="AB270" s="110"/>
      <c r="AC270" s="110"/>
      <c r="AD270" s="110"/>
      <c r="AE270" s="110"/>
    </row>
    <row r="271" spans="1:31">
      <c r="A271" s="196" t="s">
        <v>1338</v>
      </c>
      <c r="C271" s="200">
        <v>199</v>
      </c>
      <c r="D271" s="201">
        <v>0.46410000000000001</v>
      </c>
      <c r="E271" s="201">
        <v>8.1358999999999995</v>
      </c>
      <c r="F271" s="201">
        <v>0.2074</v>
      </c>
      <c r="G271" s="200">
        <f t="shared" si="36"/>
        <v>8.3432999999999993</v>
      </c>
      <c r="H271" s="200">
        <v>8.1542999999999992</v>
      </c>
      <c r="I271" s="200">
        <f t="shared" si="35"/>
        <v>0.18900000000000006</v>
      </c>
      <c r="J271" s="200">
        <f t="shared" si="37"/>
        <v>1.8399999999999944E-2</v>
      </c>
      <c r="K271" s="270">
        <f t="shared" si="38"/>
        <v>8.8717454194792413</v>
      </c>
      <c r="L271" s="200">
        <v>3</v>
      </c>
      <c r="M271" s="200"/>
      <c r="N271" s="200"/>
      <c r="O271" s="200"/>
      <c r="P271" s="200"/>
      <c r="AB271" s="110"/>
      <c r="AC271" s="110"/>
      <c r="AD271" s="110"/>
      <c r="AE271" s="110"/>
    </row>
    <row r="272" spans="1:31">
      <c r="A272" s="205" t="s">
        <v>1337</v>
      </c>
      <c r="C272" s="196">
        <v>194</v>
      </c>
      <c r="D272" s="200">
        <v>0.42909999999999998</v>
      </c>
      <c r="E272" s="201">
        <v>11.258699999999999</v>
      </c>
      <c r="F272" s="201">
        <v>0.20100000000000001</v>
      </c>
      <c r="G272" s="200">
        <f t="shared" si="36"/>
        <v>11.4597</v>
      </c>
      <c r="H272" s="200">
        <v>11.2761</v>
      </c>
      <c r="I272" s="200">
        <f t="shared" si="35"/>
        <v>0.18360000000000021</v>
      </c>
      <c r="J272" s="200">
        <f t="shared" si="37"/>
        <v>1.7399999999999805E-2</v>
      </c>
      <c r="K272" s="270">
        <f t="shared" si="38"/>
        <v>8.6567164179103493</v>
      </c>
      <c r="L272" s="200">
        <v>22</v>
      </c>
      <c r="M272" s="206">
        <v>43186.458333333336</v>
      </c>
      <c r="N272" s="206">
        <v>43186.625</v>
      </c>
      <c r="O272" s="196" t="s">
        <v>2534</v>
      </c>
      <c r="P272" s="200"/>
      <c r="AB272" s="110"/>
      <c r="AC272" s="110"/>
      <c r="AD272" s="110"/>
      <c r="AE272" s="110"/>
    </row>
    <row r="273" spans="1:31">
      <c r="A273" s="196" t="s">
        <v>1335</v>
      </c>
      <c r="C273" s="197">
        <v>197</v>
      </c>
      <c r="D273" s="196">
        <v>0.49</v>
      </c>
      <c r="E273" s="201">
        <v>11.2583</v>
      </c>
      <c r="F273" s="201">
        <v>0.20200000000000001</v>
      </c>
      <c r="G273" s="200">
        <f t="shared" si="36"/>
        <v>11.4603</v>
      </c>
      <c r="H273" s="200">
        <v>11.283200000000001</v>
      </c>
      <c r="I273" s="200">
        <f t="shared" si="35"/>
        <v>0.17709999999999937</v>
      </c>
      <c r="J273" s="200">
        <f t="shared" si="37"/>
        <v>2.4900000000000644E-2</v>
      </c>
      <c r="K273" s="270">
        <f t="shared" si="38"/>
        <v>12.326732673267644</v>
      </c>
      <c r="L273" s="200">
        <v>10</v>
      </c>
      <c r="AB273" s="110"/>
      <c r="AC273" s="110"/>
      <c r="AD273" s="110"/>
      <c r="AE273" s="110"/>
    </row>
    <row r="274" spans="1:31">
      <c r="A274" s="200" t="s">
        <v>1334</v>
      </c>
      <c r="C274" s="200">
        <v>213</v>
      </c>
      <c r="D274" s="200">
        <v>0.6149</v>
      </c>
      <c r="E274" s="200">
        <v>10.1242</v>
      </c>
      <c r="F274" s="200">
        <v>0.2026</v>
      </c>
      <c r="G274" s="200">
        <f t="shared" si="36"/>
        <v>10.3268</v>
      </c>
      <c r="H274" s="200">
        <v>10.141</v>
      </c>
      <c r="I274" s="200">
        <f t="shared" si="35"/>
        <v>0.18580000000000041</v>
      </c>
      <c r="J274" s="200">
        <f t="shared" si="37"/>
        <v>1.6799999999999593E-2</v>
      </c>
      <c r="K274" s="270">
        <f t="shared" si="38"/>
        <v>8.2922013820333618</v>
      </c>
      <c r="L274" s="200">
        <v>7</v>
      </c>
      <c r="M274" s="204">
        <v>43188</v>
      </c>
      <c r="N274" s="204">
        <v>43188</v>
      </c>
      <c r="O274" s="200"/>
      <c r="P274" s="200"/>
      <c r="AB274" s="110"/>
      <c r="AC274" s="110"/>
      <c r="AD274" s="110"/>
      <c r="AE274" s="110"/>
    </row>
    <row r="275" spans="1:31">
      <c r="A275" s="196" t="s">
        <v>1332</v>
      </c>
      <c r="C275" s="196">
        <v>215</v>
      </c>
      <c r="D275" s="196">
        <v>0.4864</v>
      </c>
      <c r="E275" s="201">
        <v>11.4543</v>
      </c>
      <c r="F275" s="201">
        <v>0.2029</v>
      </c>
      <c r="G275" s="200">
        <f t="shared" si="36"/>
        <v>11.6572</v>
      </c>
      <c r="H275" s="200">
        <v>11.469099999999999</v>
      </c>
      <c r="I275" s="200">
        <f t="shared" si="35"/>
        <v>0.18810000000000038</v>
      </c>
      <c r="J275" s="200">
        <f t="shared" si="37"/>
        <v>1.4799999999999619E-2</v>
      </c>
      <c r="K275" s="270">
        <f t="shared" si="38"/>
        <v>7.2942336126168659</v>
      </c>
      <c r="L275" s="200">
        <v>4</v>
      </c>
      <c r="M275" s="203">
        <v>43221</v>
      </c>
      <c r="N275" s="203">
        <v>43221</v>
      </c>
      <c r="AB275" s="110"/>
      <c r="AC275" s="110"/>
      <c r="AD275" s="110"/>
      <c r="AE275" s="110"/>
    </row>
    <row r="276" spans="1:31">
      <c r="A276" s="196" t="s">
        <v>1330</v>
      </c>
      <c r="C276" s="197">
        <v>210</v>
      </c>
      <c r="D276" s="196">
        <v>0.5302</v>
      </c>
      <c r="E276" s="201">
        <v>8.8605</v>
      </c>
      <c r="F276" s="201">
        <v>0.20799999999999999</v>
      </c>
      <c r="G276" s="200">
        <f t="shared" si="36"/>
        <v>9.0685000000000002</v>
      </c>
      <c r="H276" s="200">
        <v>8.8939000000000004</v>
      </c>
      <c r="I276" s="200">
        <f t="shared" si="35"/>
        <v>0.17459999999999987</v>
      </c>
      <c r="J276" s="200">
        <f t="shared" si="37"/>
        <v>3.3400000000000124E-2</v>
      </c>
      <c r="K276" s="270">
        <f t="shared" si="38"/>
        <v>16.057692307692367</v>
      </c>
      <c r="L276" s="200">
        <v>11</v>
      </c>
      <c r="M276" s="203">
        <v>43221</v>
      </c>
      <c r="N276" s="203">
        <v>43221</v>
      </c>
      <c r="AB276" s="110"/>
      <c r="AC276" s="110"/>
      <c r="AD276" s="110"/>
      <c r="AE276" s="110"/>
    </row>
    <row r="277" spans="1:31">
      <c r="A277" s="196" t="s">
        <v>1329</v>
      </c>
      <c r="C277" s="196">
        <v>21</v>
      </c>
      <c r="D277" s="196">
        <v>0.46500000000000002</v>
      </c>
      <c r="E277" s="201">
        <v>11.1058</v>
      </c>
      <c r="F277" s="201">
        <v>0.19969999999999999</v>
      </c>
      <c r="G277" s="200">
        <f t="shared" si="36"/>
        <v>11.3055</v>
      </c>
      <c r="H277" s="200">
        <v>11.1266</v>
      </c>
      <c r="I277" s="200">
        <f t="shared" si="35"/>
        <v>0.1789000000000005</v>
      </c>
      <c r="J277" s="200">
        <f t="shared" si="37"/>
        <v>2.0799999999999486E-2</v>
      </c>
      <c r="K277" s="270">
        <f t="shared" si="38"/>
        <v>10.415623435152472</v>
      </c>
      <c r="L277" s="200">
        <v>31</v>
      </c>
      <c r="AB277" s="110"/>
      <c r="AC277" s="110"/>
      <c r="AD277" s="110"/>
      <c r="AE277" s="110"/>
    </row>
    <row r="278" spans="1:31">
      <c r="A278" s="196" t="s">
        <v>1327</v>
      </c>
      <c r="C278" s="196">
        <v>86</v>
      </c>
      <c r="D278" s="196">
        <v>0.57269999999999999</v>
      </c>
      <c r="E278" s="196">
        <v>18.046900000000001</v>
      </c>
      <c r="F278" s="196">
        <v>0.19550000000000001</v>
      </c>
      <c r="G278" s="196">
        <f t="shared" si="36"/>
        <v>18.2424</v>
      </c>
      <c r="H278" s="196">
        <v>18.061499999999999</v>
      </c>
      <c r="I278" s="196">
        <f t="shared" si="35"/>
        <v>0.18090000000000117</v>
      </c>
      <c r="J278" s="200">
        <f t="shared" si="37"/>
        <v>1.4599999999998836E-2</v>
      </c>
      <c r="K278" s="270">
        <f t="shared" si="38"/>
        <v>7.4680306905364882</v>
      </c>
      <c r="L278" s="196">
        <v>13</v>
      </c>
      <c r="M278" s="196" t="s">
        <v>2564</v>
      </c>
      <c r="N278" s="196" t="s">
        <v>2563</v>
      </c>
      <c r="O278" s="196" t="s">
        <v>2540</v>
      </c>
      <c r="AB278" s="110"/>
      <c r="AC278" s="110"/>
      <c r="AD278" s="110"/>
      <c r="AE278" s="110"/>
    </row>
    <row r="279" spans="1:31">
      <c r="A279" s="200" t="s">
        <v>1326</v>
      </c>
      <c r="C279" s="200">
        <v>113</v>
      </c>
      <c r="D279" s="196">
        <v>0.41270000000000001</v>
      </c>
      <c r="E279" s="200">
        <v>7.8388</v>
      </c>
      <c r="F279" s="201">
        <v>0.2089</v>
      </c>
      <c r="G279" s="200">
        <f t="shared" si="36"/>
        <v>8.0477000000000007</v>
      </c>
      <c r="H279" s="196">
        <v>7.8710000000000004</v>
      </c>
      <c r="I279" s="196">
        <f t="shared" si="35"/>
        <v>0.1767000000000003</v>
      </c>
      <c r="J279" s="200">
        <f t="shared" si="37"/>
        <v>3.2199999999999701E-2</v>
      </c>
      <c r="K279" s="270">
        <f t="shared" si="38"/>
        <v>15.414073719482863</v>
      </c>
      <c r="L279" s="200">
        <v>20</v>
      </c>
      <c r="M279" s="204">
        <v>43187</v>
      </c>
      <c r="N279" s="204">
        <v>43187</v>
      </c>
      <c r="O279" s="200"/>
      <c r="P279" s="200"/>
      <c r="AB279" s="110"/>
      <c r="AC279" s="110"/>
      <c r="AD279" s="110"/>
      <c r="AE279" s="110"/>
    </row>
    <row r="280" spans="1:31">
      <c r="A280" s="205" t="s">
        <v>1325</v>
      </c>
      <c r="C280" s="200">
        <v>132</v>
      </c>
      <c r="D280" s="200">
        <v>0.39979999999999999</v>
      </c>
      <c r="E280" s="200">
        <v>11.023</v>
      </c>
      <c r="F280" s="200">
        <v>0.2034</v>
      </c>
      <c r="G280" s="200">
        <f t="shared" si="36"/>
        <v>11.2264</v>
      </c>
      <c r="H280" s="200">
        <v>11.052199999999999</v>
      </c>
      <c r="I280" s="200">
        <f t="shared" si="35"/>
        <v>0.1742000000000008</v>
      </c>
      <c r="J280" s="200">
        <f t="shared" si="37"/>
        <v>2.9199999999999199E-2</v>
      </c>
      <c r="K280" s="270">
        <f t="shared" si="38"/>
        <v>14.355948869222813</v>
      </c>
      <c r="L280" s="200">
        <v>16</v>
      </c>
      <c r="M280" s="204">
        <v>43188</v>
      </c>
      <c r="N280" s="204">
        <v>43188</v>
      </c>
      <c r="O280" s="200"/>
      <c r="P280" s="200"/>
      <c r="AB280" s="110"/>
      <c r="AC280" s="110"/>
      <c r="AD280" s="110"/>
      <c r="AE280" s="110"/>
    </row>
    <row r="281" spans="1:31">
      <c r="A281" s="200" t="s">
        <v>1323</v>
      </c>
      <c r="C281" s="200">
        <v>219</v>
      </c>
      <c r="D281" s="200">
        <v>0.50029999999999997</v>
      </c>
      <c r="E281" s="200">
        <v>7.3544</v>
      </c>
      <c r="F281" s="200">
        <v>0.19819999999999999</v>
      </c>
      <c r="G281" s="200">
        <f t="shared" si="36"/>
        <v>7.5526</v>
      </c>
      <c r="H281" s="200">
        <v>7.3773999999999997</v>
      </c>
      <c r="I281" s="200">
        <f t="shared" si="35"/>
        <v>0.17520000000000024</v>
      </c>
      <c r="J281" s="200">
        <f t="shared" si="37"/>
        <v>2.2999999999999743E-2</v>
      </c>
      <c r="K281" s="270">
        <f t="shared" si="38"/>
        <v>11.604439959636602</v>
      </c>
      <c r="L281" s="200">
        <v>12</v>
      </c>
      <c r="M281" s="202">
        <v>43164.628472222219</v>
      </c>
      <c r="N281" s="202">
        <v>43164.795138888891</v>
      </c>
      <c r="O281" s="196" t="s">
        <v>2534</v>
      </c>
      <c r="P281" s="200"/>
      <c r="AB281" s="110"/>
      <c r="AC281" s="110"/>
      <c r="AD281" s="110"/>
      <c r="AE281" s="110"/>
    </row>
    <row r="282" spans="1:31">
      <c r="A282" s="205" t="s">
        <v>1322</v>
      </c>
      <c r="C282" s="200">
        <v>100</v>
      </c>
      <c r="D282" s="200">
        <v>0.38440000000000002</v>
      </c>
      <c r="E282" s="200">
        <v>7.4805999999999999</v>
      </c>
      <c r="F282" s="200">
        <v>0.20399999999999999</v>
      </c>
      <c r="G282" s="200">
        <f t="shared" si="36"/>
        <v>7.6845999999999997</v>
      </c>
      <c r="H282" s="200">
        <v>7.5067000000000004</v>
      </c>
      <c r="I282" s="200">
        <f t="shared" si="35"/>
        <v>0.17789999999999928</v>
      </c>
      <c r="J282" s="200">
        <f t="shared" si="37"/>
        <v>2.6100000000000706E-2</v>
      </c>
      <c r="K282" s="270">
        <f t="shared" si="38"/>
        <v>12.794117647059169</v>
      </c>
      <c r="L282" s="200">
        <v>20</v>
      </c>
      <c r="M282" s="204">
        <v>43188</v>
      </c>
      <c r="N282" s="204">
        <v>43188</v>
      </c>
      <c r="O282" s="200"/>
      <c r="P282" s="200"/>
      <c r="AB282" s="110"/>
      <c r="AC282" s="110"/>
      <c r="AD282" s="110"/>
      <c r="AE282" s="110"/>
    </row>
    <row r="283" spans="1:31">
      <c r="A283" s="196" t="s">
        <v>1321</v>
      </c>
      <c r="C283" s="196">
        <v>105</v>
      </c>
      <c r="D283" s="196">
        <v>0.43609999999999999</v>
      </c>
      <c r="E283" s="196">
        <v>19.694500000000001</v>
      </c>
      <c r="F283" s="196">
        <v>0.19270000000000001</v>
      </c>
      <c r="G283" s="196">
        <f t="shared" si="36"/>
        <v>19.8872</v>
      </c>
      <c r="H283" s="196">
        <v>19.732500000000002</v>
      </c>
      <c r="I283" s="196">
        <f t="shared" si="35"/>
        <v>0.15469999999999828</v>
      </c>
      <c r="J283" s="200">
        <f t="shared" si="37"/>
        <v>3.8000000000001727E-2</v>
      </c>
      <c r="K283" s="270">
        <f t="shared" si="38"/>
        <v>19.719771665802661</v>
      </c>
      <c r="L283" s="196">
        <v>8</v>
      </c>
      <c r="M283" s="196" t="s">
        <v>2560</v>
      </c>
      <c r="N283" s="196">
        <v>43153.729166666664</v>
      </c>
      <c r="O283" s="196" t="s">
        <v>2534</v>
      </c>
      <c r="P283" s="196" t="s">
        <v>2558</v>
      </c>
      <c r="AB283" s="110"/>
      <c r="AC283" s="110"/>
      <c r="AD283" s="110"/>
      <c r="AE283" s="110"/>
    </row>
    <row r="284" spans="1:31">
      <c r="A284" s="205" t="s">
        <v>1320</v>
      </c>
      <c r="C284" s="200">
        <v>98</v>
      </c>
      <c r="D284" s="200">
        <v>0.4178</v>
      </c>
      <c r="E284" s="201">
        <v>11.1591</v>
      </c>
      <c r="F284" s="201">
        <v>0.20319999999999999</v>
      </c>
      <c r="G284" s="200">
        <f t="shared" si="36"/>
        <v>11.362300000000001</v>
      </c>
      <c r="H284" s="200">
        <v>11.19</v>
      </c>
      <c r="I284" s="200">
        <f t="shared" si="35"/>
        <v>0.17230000000000167</v>
      </c>
      <c r="J284" s="200">
        <f t="shared" si="37"/>
        <v>3.0899999999998318E-2</v>
      </c>
      <c r="K284" s="270">
        <f t="shared" si="38"/>
        <v>15.206692913385</v>
      </c>
      <c r="L284" s="200">
        <v>24</v>
      </c>
      <c r="M284" s="206">
        <v>43185.385416666664</v>
      </c>
      <c r="N284" s="200"/>
      <c r="O284" s="200" t="s">
        <v>2540</v>
      </c>
      <c r="P284" s="200"/>
      <c r="AB284" s="110"/>
      <c r="AC284" s="110"/>
      <c r="AD284" s="110"/>
      <c r="AE284" s="110"/>
    </row>
    <row r="285" spans="1:31">
      <c r="A285" s="200" t="s">
        <v>1318</v>
      </c>
      <c r="C285" s="200">
        <v>35</v>
      </c>
      <c r="D285" s="201">
        <v>0.52159999999999995</v>
      </c>
      <c r="E285" s="200">
        <v>7.3171999999999997</v>
      </c>
      <c r="F285" s="201">
        <v>0.20230000000000001</v>
      </c>
      <c r="G285" s="200">
        <f t="shared" si="36"/>
        <v>7.5194999999999999</v>
      </c>
      <c r="H285" s="200">
        <v>7.3377999999999997</v>
      </c>
      <c r="I285" s="200">
        <f t="shared" si="35"/>
        <v>0.18170000000000019</v>
      </c>
      <c r="J285" s="200">
        <f t="shared" si="37"/>
        <v>2.0599999999999813E-2</v>
      </c>
      <c r="K285" s="270">
        <f t="shared" si="38"/>
        <v>10.182896688086906</v>
      </c>
      <c r="L285" s="200">
        <v>15</v>
      </c>
      <c r="M285" s="204">
        <v>43206</v>
      </c>
      <c r="N285" s="204">
        <v>43206</v>
      </c>
      <c r="O285" s="200"/>
      <c r="P285" s="200"/>
      <c r="Q285" s="180" t="s">
        <v>2580</v>
      </c>
      <c r="AB285" s="110"/>
      <c r="AC285" s="110"/>
      <c r="AD285" s="110"/>
      <c r="AE285" s="110"/>
    </row>
    <row r="286" spans="1:31">
      <c r="A286" s="196" t="s">
        <v>1317</v>
      </c>
      <c r="C286" s="197">
        <v>149</v>
      </c>
      <c r="D286" s="200">
        <v>0.56620000000000004</v>
      </c>
      <c r="E286" s="201">
        <v>9.1377000000000006</v>
      </c>
      <c r="F286" s="201">
        <v>0.2019</v>
      </c>
      <c r="G286" s="200">
        <f t="shared" si="36"/>
        <v>9.3396000000000008</v>
      </c>
      <c r="H286" s="200">
        <v>9.1988000000000003</v>
      </c>
      <c r="I286" s="200">
        <f t="shared" si="35"/>
        <v>0.14080000000000048</v>
      </c>
      <c r="J286" s="200">
        <f t="shared" si="37"/>
        <v>6.1099999999999516E-2</v>
      </c>
      <c r="K286" s="270">
        <f t="shared" si="38"/>
        <v>30.262506191183512</v>
      </c>
      <c r="L286" s="200">
        <v>21</v>
      </c>
      <c r="M286" s="203">
        <v>43213</v>
      </c>
      <c r="N286" s="203">
        <v>43213</v>
      </c>
      <c r="AB286" s="110"/>
      <c r="AC286" s="110"/>
      <c r="AD286" s="110"/>
      <c r="AE286" s="110"/>
    </row>
    <row r="287" spans="1:31">
      <c r="A287" s="205" t="s">
        <v>1314</v>
      </c>
      <c r="C287" s="200">
        <v>174</v>
      </c>
      <c r="D287" s="200">
        <v>0.42899999999999999</v>
      </c>
      <c r="E287" s="201">
        <v>7.0749000000000004</v>
      </c>
      <c r="F287" s="201">
        <v>0.2029</v>
      </c>
      <c r="G287" s="200">
        <f t="shared" si="36"/>
        <v>7.2778</v>
      </c>
      <c r="H287" s="200">
        <v>7.0926999999999998</v>
      </c>
      <c r="I287" s="200">
        <f t="shared" si="35"/>
        <v>0.18510000000000026</v>
      </c>
      <c r="J287" s="200">
        <f t="shared" si="37"/>
        <v>1.7799999999999733E-2</v>
      </c>
      <c r="K287" s="270">
        <f t="shared" si="38"/>
        <v>8.7727944800392965</v>
      </c>
      <c r="L287" s="200">
        <v>9</v>
      </c>
      <c r="M287" s="206">
        <v>43186.458333333336</v>
      </c>
      <c r="N287" s="206">
        <v>43186.625</v>
      </c>
      <c r="O287" s="196" t="s">
        <v>2534</v>
      </c>
      <c r="P287" s="200"/>
      <c r="AB287" s="110"/>
      <c r="AC287" s="110"/>
      <c r="AD287" s="110"/>
      <c r="AE287" s="110"/>
    </row>
    <row r="288" spans="1:31">
      <c r="A288" s="196" t="s">
        <v>1313</v>
      </c>
      <c r="C288" s="197">
        <v>2</v>
      </c>
      <c r="D288" s="196">
        <v>0.38719999999999999</v>
      </c>
      <c r="E288" s="201">
        <v>11.258100000000001</v>
      </c>
      <c r="F288" s="201">
        <v>0.20039999999999999</v>
      </c>
      <c r="G288" s="200">
        <f t="shared" si="36"/>
        <v>11.458500000000001</v>
      </c>
      <c r="H288" s="200">
        <v>11.2744</v>
      </c>
      <c r="I288" s="200">
        <f t="shared" si="35"/>
        <v>0.18410000000000082</v>
      </c>
      <c r="J288" s="200">
        <f t="shared" si="37"/>
        <v>1.6299999999999176E-2</v>
      </c>
      <c r="K288" s="270">
        <f t="shared" si="38"/>
        <v>8.1337325349297291</v>
      </c>
      <c r="L288" s="200">
        <v>17</v>
      </c>
      <c r="M288" s="203">
        <v>43221</v>
      </c>
      <c r="N288" s="203">
        <v>43221</v>
      </c>
      <c r="T288" s="203"/>
      <c r="U288" s="203"/>
      <c r="AB288" s="110"/>
      <c r="AC288" s="110"/>
      <c r="AD288" s="110"/>
      <c r="AE288" s="110"/>
    </row>
    <row r="289" spans="1:31">
      <c r="A289" s="205" t="s">
        <v>1312</v>
      </c>
      <c r="C289" s="200">
        <v>106</v>
      </c>
      <c r="D289" s="201">
        <v>0.40279999999999999</v>
      </c>
      <c r="E289" s="201">
        <v>9.7216000000000005</v>
      </c>
      <c r="F289" s="201">
        <v>0.20039999999999999</v>
      </c>
      <c r="G289" s="200">
        <f t="shared" si="36"/>
        <v>9.9220000000000006</v>
      </c>
      <c r="H289" s="200">
        <v>9.7525999999999993</v>
      </c>
      <c r="I289" s="200">
        <f t="shared" si="35"/>
        <v>0.16940000000000133</v>
      </c>
      <c r="J289" s="200">
        <f t="shared" si="37"/>
        <v>3.0999999999998668E-2</v>
      </c>
      <c r="K289" s="270">
        <f t="shared" si="38"/>
        <v>15.46906187624684</v>
      </c>
      <c r="L289" s="200">
        <v>39</v>
      </c>
      <c r="M289" s="202">
        <v>43181.645833333336</v>
      </c>
      <c r="N289" s="202">
        <v>43181.833333333336</v>
      </c>
      <c r="O289" s="200" t="s">
        <v>2540</v>
      </c>
      <c r="P289" s="200"/>
      <c r="AB289" s="110"/>
      <c r="AC289" s="110"/>
      <c r="AD289" s="110"/>
      <c r="AE289" s="110"/>
    </row>
    <row r="290" spans="1:31">
      <c r="A290" s="196" t="s">
        <v>1311</v>
      </c>
      <c r="C290" s="197">
        <v>49</v>
      </c>
      <c r="D290" s="200">
        <v>0.65700000000000003</v>
      </c>
      <c r="E290" s="201">
        <v>7.4809999999999999</v>
      </c>
      <c r="F290" s="201">
        <v>0.20380000000000001</v>
      </c>
      <c r="G290" s="200">
        <f t="shared" si="36"/>
        <v>7.6848000000000001</v>
      </c>
      <c r="H290" s="200">
        <v>7.5145999999999997</v>
      </c>
      <c r="I290" s="200">
        <f t="shared" ref="I290:I321" si="39">(G290-H290)</f>
        <v>0.17020000000000035</v>
      </c>
      <c r="J290" s="200">
        <f t="shared" si="37"/>
        <v>3.3599999999999658E-2</v>
      </c>
      <c r="K290" s="270">
        <f t="shared" si="38"/>
        <v>16.486751717369803</v>
      </c>
      <c r="L290" s="200">
        <v>28</v>
      </c>
      <c r="M290" s="203">
        <v>43213</v>
      </c>
      <c r="N290" s="203">
        <v>43213</v>
      </c>
      <c r="R290" s="196">
        <v>5</v>
      </c>
      <c r="S290" s="196">
        <v>0.61660000000000004</v>
      </c>
      <c r="U290" s="201" t="s">
        <v>1578</v>
      </c>
      <c r="V290" s="196">
        <v>0.94479999999999997</v>
      </c>
      <c r="W290" s="196">
        <f>(V290-$T$175+F288)</f>
        <v>1.1452</v>
      </c>
      <c r="AB290" s="110"/>
      <c r="AC290" s="110"/>
      <c r="AD290" s="110"/>
      <c r="AE290" s="110"/>
    </row>
    <row r="291" spans="1:31">
      <c r="A291" s="200" t="s">
        <v>1310</v>
      </c>
      <c r="C291" s="200">
        <v>125</v>
      </c>
      <c r="D291" s="200">
        <v>0.40610000000000002</v>
      </c>
      <c r="E291" s="201">
        <v>7.9610000000000003</v>
      </c>
      <c r="F291" s="201">
        <v>0.2039</v>
      </c>
      <c r="G291" s="200">
        <f t="shared" si="36"/>
        <v>8.1649000000000012</v>
      </c>
      <c r="H291" s="200">
        <v>7.99</v>
      </c>
      <c r="I291" s="200">
        <f t="shared" si="39"/>
        <v>0.17490000000000094</v>
      </c>
      <c r="J291" s="200">
        <f t="shared" si="37"/>
        <v>2.8999999999999054E-2</v>
      </c>
      <c r="K291" s="270">
        <f t="shared" si="38"/>
        <v>14.222658165767069</v>
      </c>
      <c r="L291" s="200">
        <v>15</v>
      </c>
      <c r="M291" s="204">
        <v>43197</v>
      </c>
      <c r="N291" s="204">
        <v>43197</v>
      </c>
      <c r="O291" s="200"/>
      <c r="P291" s="200"/>
      <c r="AB291" s="110"/>
      <c r="AC291" s="110"/>
      <c r="AD291" s="110"/>
      <c r="AE291" s="110"/>
    </row>
    <row r="292" spans="1:31">
      <c r="A292" s="196" t="s">
        <v>1309</v>
      </c>
      <c r="C292" s="197">
        <v>97</v>
      </c>
      <c r="D292" s="196">
        <v>0.42520000000000002</v>
      </c>
      <c r="E292" s="200">
        <v>10.4161</v>
      </c>
      <c r="F292" s="201">
        <v>0.20080000000000001</v>
      </c>
      <c r="G292" s="200">
        <f t="shared" si="36"/>
        <v>10.616899999999999</v>
      </c>
      <c r="H292" s="200">
        <v>10.4573</v>
      </c>
      <c r="I292" s="200">
        <f t="shared" si="39"/>
        <v>0.1595999999999993</v>
      </c>
      <c r="J292" s="200">
        <f t="shared" si="37"/>
        <v>4.1200000000000708E-2</v>
      </c>
      <c r="K292" s="270">
        <f t="shared" si="38"/>
        <v>20.517928286852939</v>
      </c>
      <c r="L292" s="200">
        <v>4</v>
      </c>
      <c r="M292" s="203">
        <v>43213</v>
      </c>
      <c r="N292" s="203">
        <v>43213</v>
      </c>
      <c r="AB292" s="110"/>
      <c r="AC292" s="110"/>
      <c r="AD292" s="110"/>
      <c r="AE292" s="110"/>
    </row>
    <row r="293" spans="1:31">
      <c r="A293" s="196" t="s">
        <v>1308</v>
      </c>
      <c r="C293" s="197">
        <v>110</v>
      </c>
      <c r="D293" s="196">
        <v>0.42480000000000001</v>
      </c>
      <c r="E293" s="201">
        <v>10.5655</v>
      </c>
      <c r="F293" s="201">
        <v>0.20069999999999999</v>
      </c>
      <c r="G293" s="200">
        <f t="shared" si="36"/>
        <v>10.7662</v>
      </c>
      <c r="H293" s="200">
        <v>10.5921</v>
      </c>
      <c r="I293" s="200">
        <f t="shared" si="39"/>
        <v>0.17409999999999926</v>
      </c>
      <c r="J293" s="200">
        <f t="shared" si="37"/>
        <v>2.6600000000000734E-2</v>
      </c>
      <c r="K293" s="270">
        <f t="shared" si="38"/>
        <v>13.253612356751738</v>
      </c>
      <c r="L293" s="200">
        <v>30</v>
      </c>
      <c r="M293" s="203">
        <v>43213</v>
      </c>
      <c r="N293" s="203">
        <v>43213</v>
      </c>
      <c r="AB293" s="110"/>
      <c r="AC293" s="110"/>
      <c r="AD293" s="110"/>
      <c r="AE293" s="110"/>
    </row>
    <row r="294" spans="1:31">
      <c r="A294" s="200" t="s">
        <v>1307</v>
      </c>
      <c r="C294" s="200">
        <v>163</v>
      </c>
      <c r="D294" s="200">
        <v>0.49299999999999999</v>
      </c>
      <c r="E294" s="201">
        <v>11.120900000000001</v>
      </c>
      <c r="F294" s="201">
        <v>0.20039999999999999</v>
      </c>
      <c r="G294" s="200">
        <f t="shared" si="36"/>
        <v>11.321300000000001</v>
      </c>
      <c r="H294" s="200">
        <v>11.1366</v>
      </c>
      <c r="I294" s="200">
        <f t="shared" si="39"/>
        <v>0.1847000000000012</v>
      </c>
      <c r="J294" s="200">
        <f t="shared" si="37"/>
        <v>1.5699999999998798E-2</v>
      </c>
      <c r="K294" s="270">
        <f t="shared" si="38"/>
        <v>7.8343313373247501</v>
      </c>
      <c r="L294" s="200">
        <v>30</v>
      </c>
      <c r="M294" s="206">
        <v>43186.458333333336</v>
      </c>
      <c r="N294" s="206">
        <v>43186.625</v>
      </c>
      <c r="O294" s="196" t="s">
        <v>2534</v>
      </c>
      <c r="P294" s="200"/>
      <c r="AB294" s="110"/>
      <c r="AC294" s="110"/>
      <c r="AD294" s="110"/>
      <c r="AE294" s="110"/>
    </row>
    <row r="295" spans="1:31">
      <c r="A295" s="196" t="s">
        <v>1306</v>
      </c>
      <c r="C295" s="197">
        <v>152</v>
      </c>
      <c r="D295" s="196">
        <v>0.44969999999999999</v>
      </c>
      <c r="E295" s="200">
        <v>8.7333999999999996</v>
      </c>
      <c r="F295" s="201">
        <v>0.20399999999999999</v>
      </c>
      <c r="G295" s="200">
        <f t="shared" si="36"/>
        <v>8.9374000000000002</v>
      </c>
      <c r="H295" s="200">
        <v>8.7609999999999992</v>
      </c>
      <c r="I295" s="200">
        <f t="shared" si="39"/>
        <v>0.176400000000001</v>
      </c>
      <c r="J295" s="200">
        <f t="shared" si="37"/>
        <v>2.7599999999998986E-2</v>
      </c>
      <c r="K295" s="270">
        <f t="shared" si="38"/>
        <v>13.529411764705387</v>
      </c>
      <c r="L295" s="200">
        <v>26</v>
      </c>
      <c r="M295" s="203">
        <v>43212</v>
      </c>
      <c r="AB295" s="110"/>
      <c r="AC295" s="110"/>
      <c r="AD295" s="110"/>
      <c r="AE295" s="110"/>
    </row>
    <row r="296" spans="1:31">
      <c r="A296" s="200" t="s">
        <v>1305</v>
      </c>
      <c r="C296" s="200">
        <v>135</v>
      </c>
      <c r="D296" s="200">
        <f>0.2029+F296</f>
        <v>0.4073</v>
      </c>
      <c r="E296" s="201">
        <v>8.1356999999999999</v>
      </c>
      <c r="F296" s="201">
        <v>0.2044</v>
      </c>
      <c r="G296" s="200">
        <f t="shared" si="36"/>
        <v>8.3400999999999996</v>
      </c>
      <c r="H296" s="200">
        <v>8.1649999999999991</v>
      </c>
      <c r="I296" s="200">
        <f t="shared" si="39"/>
        <v>0.17510000000000048</v>
      </c>
      <c r="J296" s="200">
        <f t="shared" si="37"/>
        <v>2.9299999999999521E-2</v>
      </c>
      <c r="K296" s="270">
        <f t="shared" si="38"/>
        <v>14.334637964774716</v>
      </c>
      <c r="L296" s="200">
        <v>26</v>
      </c>
      <c r="M296" s="204">
        <v>43174</v>
      </c>
      <c r="N296" s="204">
        <v>43174</v>
      </c>
      <c r="O296" s="200" t="s">
        <v>2540</v>
      </c>
      <c r="P296" s="200" t="s">
        <v>2535</v>
      </c>
      <c r="AB296" s="110"/>
      <c r="AC296" s="110"/>
      <c r="AD296" s="110"/>
      <c r="AE296" s="110"/>
    </row>
    <row r="297" spans="1:31">
      <c r="A297" s="196" t="s">
        <v>1304</v>
      </c>
      <c r="C297" s="196">
        <v>131</v>
      </c>
      <c r="D297" s="196">
        <v>0.43230000000000002</v>
      </c>
      <c r="E297" s="196">
        <v>7.5270000000000001</v>
      </c>
      <c r="F297" s="196">
        <v>0.20150000000000001</v>
      </c>
      <c r="G297" s="196">
        <f t="shared" ref="G297:G328" si="40">E297+F297</f>
        <v>7.7285000000000004</v>
      </c>
      <c r="H297" s="196">
        <v>7.5606999999999998</v>
      </c>
      <c r="I297" s="196">
        <f t="shared" si="39"/>
        <v>0.16780000000000062</v>
      </c>
      <c r="J297" s="200">
        <f t="shared" ref="J297:J328" si="41">F297-I297</f>
        <v>3.3699999999999397E-2</v>
      </c>
      <c r="K297" s="270">
        <f t="shared" ref="K297:K328" si="42">(J297/F297)*100</f>
        <v>16.72456575682352</v>
      </c>
      <c r="L297" s="196">
        <v>12</v>
      </c>
      <c r="M297" s="196">
        <v>43157.395833333336</v>
      </c>
      <c r="N297" s="196">
        <v>43157.569444444445</v>
      </c>
      <c r="O297" s="196" t="s">
        <v>2534</v>
      </c>
      <c r="AB297" s="110"/>
      <c r="AC297" s="110"/>
      <c r="AD297" s="110"/>
      <c r="AE297" s="110"/>
    </row>
    <row r="298" spans="1:31">
      <c r="A298" s="196" t="s">
        <v>1303</v>
      </c>
      <c r="C298" s="196">
        <v>136</v>
      </c>
      <c r="D298" s="196">
        <v>0.40770000000000001</v>
      </c>
      <c r="E298" s="196">
        <v>9.1958000000000002</v>
      </c>
      <c r="F298" s="196">
        <v>0.2059</v>
      </c>
      <c r="G298" s="196">
        <f t="shared" si="40"/>
        <v>9.4016999999999999</v>
      </c>
      <c r="H298" s="196">
        <v>9.2218999999999998</v>
      </c>
      <c r="I298" s="196">
        <f t="shared" si="39"/>
        <v>0.17980000000000018</v>
      </c>
      <c r="J298" s="200">
        <f t="shared" si="41"/>
        <v>2.6099999999999818E-2</v>
      </c>
      <c r="K298" s="270">
        <f t="shared" si="42"/>
        <v>12.676056338028079</v>
      </c>
      <c r="L298" s="196">
        <v>6</v>
      </c>
      <c r="M298" s="196">
        <v>43157.527777777781</v>
      </c>
      <c r="N298" s="196">
        <v>43157.694444444445</v>
      </c>
      <c r="O298" s="196" t="s">
        <v>2540</v>
      </c>
      <c r="AB298" s="110"/>
      <c r="AC298" s="110"/>
      <c r="AD298" s="110"/>
      <c r="AE298" s="110"/>
    </row>
    <row r="299" spans="1:31">
      <c r="A299" s="196" t="s">
        <v>1301</v>
      </c>
      <c r="C299" s="196">
        <v>126</v>
      </c>
      <c r="D299" s="196">
        <v>0.46610000000000001</v>
      </c>
      <c r="E299" s="196">
        <v>8.8634000000000004</v>
      </c>
      <c r="F299" s="196">
        <v>0.2009</v>
      </c>
      <c r="G299" s="196">
        <f t="shared" si="40"/>
        <v>9.0643000000000011</v>
      </c>
      <c r="H299" s="196">
        <v>8.8925000000000001</v>
      </c>
      <c r="I299" s="196">
        <f t="shared" si="39"/>
        <v>0.17180000000000106</v>
      </c>
      <c r="J299" s="200">
        <f t="shared" si="41"/>
        <v>2.9099999999998932E-2</v>
      </c>
      <c r="K299" s="270">
        <f t="shared" si="42"/>
        <v>14.484818317570399</v>
      </c>
      <c r="L299" s="196">
        <v>3</v>
      </c>
      <c r="M299" s="196">
        <v>43157.527777777781</v>
      </c>
      <c r="N299" s="196">
        <v>43157.694444444445</v>
      </c>
      <c r="O299" s="196" t="s">
        <v>2540</v>
      </c>
      <c r="AB299" s="110"/>
      <c r="AC299" s="110"/>
      <c r="AD299" s="110"/>
      <c r="AE299" s="110"/>
    </row>
    <row r="300" spans="1:31">
      <c r="A300" s="196" t="s">
        <v>1298</v>
      </c>
      <c r="C300" s="197">
        <v>1</v>
      </c>
      <c r="D300" s="196">
        <v>0.29089999999999999</v>
      </c>
      <c r="E300" s="201">
        <v>8.1681000000000008</v>
      </c>
      <c r="F300" s="201">
        <v>0.20300000000000001</v>
      </c>
      <c r="G300" s="200">
        <f t="shared" si="40"/>
        <v>8.3711000000000002</v>
      </c>
      <c r="H300" s="200">
        <v>8.1989999999999998</v>
      </c>
      <c r="I300" s="200">
        <f t="shared" si="39"/>
        <v>0.17210000000000036</v>
      </c>
      <c r="J300" s="200">
        <f t="shared" si="41"/>
        <v>3.089999999999965E-2</v>
      </c>
      <c r="K300" s="270">
        <f t="shared" si="42"/>
        <v>15.221674876847116</v>
      </c>
      <c r="L300" s="200">
        <v>16</v>
      </c>
      <c r="T300" s="203"/>
      <c r="U300" s="203"/>
      <c r="AB300" s="110"/>
      <c r="AC300" s="110"/>
      <c r="AD300" s="110"/>
      <c r="AE300" s="110"/>
    </row>
    <row r="301" spans="1:31">
      <c r="A301" s="196" t="s">
        <v>1297</v>
      </c>
      <c r="C301" s="197">
        <v>203</v>
      </c>
      <c r="D301" s="196">
        <v>0.57879999999999998</v>
      </c>
      <c r="E301" s="200">
        <v>10.1075</v>
      </c>
      <c r="F301" s="201">
        <v>0.1993</v>
      </c>
      <c r="G301" s="200">
        <f t="shared" si="40"/>
        <v>10.306799999999999</v>
      </c>
      <c r="H301" s="200">
        <v>10.126300000000001</v>
      </c>
      <c r="I301" s="200">
        <f t="shared" si="39"/>
        <v>0.18049999999999855</v>
      </c>
      <c r="J301" s="200">
        <f t="shared" si="41"/>
        <v>1.8800000000001454E-2</v>
      </c>
      <c r="K301" s="270">
        <f t="shared" si="42"/>
        <v>9.4330155544412708</v>
      </c>
      <c r="L301" s="200">
        <v>12</v>
      </c>
      <c r="M301" s="203">
        <v>43212</v>
      </c>
      <c r="AB301" s="110"/>
      <c r="AC301" s="110"/>
      <c r="AD301" s="110"/>
      <c r="AE301" s="110"/>
    </row>
    <row r="302" spans="1:31">
      <c r="A302" s="196" t="s">
        <v>1296</v>
      </c>
      <c r="C302" s="197">
        <v>196</v>
      </c>
      <c r="D302" s="196">
        <v>0.48659999999999998</v>
      </c>
      <c r="E302" s="200">
        <v>11.106199999999999</v>
      </c>
      <c r="F302" s="201">
        <v>0.20669999999999999</v>
      </c>
      <c r="G302" s="200">
        <f t="shared" si="40"/>
        <v>11.312899999999999</v>
      </c>
      <c r="H302" s="200">
        <v>11.1279</v>
      </c>
      <c r="I302" s="200">
        <f t="shared" si="39"/>
        <v>0.18499999999999872</v>
      </c>
      <c r="J302" s="200">
        <f t="shared" si="41"/>
        <v>2.1700000000001274E-2</v>
      </c>
      <c r="K302" s="270">
        <f t="shared" si="42"/>
        <v>10.498306724722434</v>
      </c>
      <c r="L302" s="200">
        <v>41</v>
      </c>
      <c r="M302" s="203">
        <v>43212</v>
      </c>
      <c r="AB302" s="110"/>
      <c r="AC302" s="110"/>
      <c r="AD302" s="110"/>
      <c r="AE302" s="110"/>
    </row>
    <row r="303" spans="1:31">
      <c r="A303" s="205" t="s">
        <v>1295</v>
      </c>
      <c r="C303" s="200">
        <v>216</v>
      </c>
      <c r="D303" s="200">
        <v>0.66800000000000004</v>
      </c>
      <c r="E303" s="200">
        <v>11.023300000000001</v>
      </c>
      <c r="F303" s="201">
        <v>0.2036</v>
      </c>
      <c r="G303" s="200">
        <f t="shared" si="40"/>
        <v>11.226900000000001</v>
      </c>
      <c r="H303" s="200">
        <v>11.0402</v>
      </c>
      <c r="I303" s="200">
        <f t="shared" si="39"/>
        <v>0.18670000000000009</v>
      </c>
      <c r="J303" s="200">
        <f t="shared" si="41"/>
        <v>1.6899999999999915E-2</v>
      </c>
      <c r="K303" s="270">
        <f t="shared" si="42"/>
        <v>8.3005893909626298</v>
      </c>
      <c r="L303" s="200">
        <v>25</v>
      </c>
      <c r="M303" s="204">
        <v>43211</v>
      </c>
      <c r="AB303" s="110"/>
      <c r="AC303" s="110"/>
      <c r="AD303" s="110"/>
      <c r="AE303" s="110"/>
    </row>
    <row r="304" spans="1:31">
      <c r="A304" s="205" t="s">
        <v>1294</v>
      </c>
      <c r="C304" s="200">
        <v>134</v>
      </c>
      <c r="D304" s="200">
        <v>0.47770000000000001</v>
      </c>
      <c r="E304" s="201">
        <v>11.258599999999999</v>
      </c>
      <c r="F304" s="201">
        <v>0.20100000000000001</v>
      </c>
      <c r="G304" s="200">
        <f t="shared" si="40"/>
        <v>11.4596</v>
      </c>
      <c r="H304" s="200">
        <v>11.293200000000001</v>
      </c>
      <c r="I304" s="200">
        <f t="shared" si="39"/>
        <v>0.16639999999999944</v>
      </c>
      <c r="J304" s="200">
        <f t="shared" si="41"/>
        <v>3.4600000000000575E-2</v>
      </c>
      <c r="K304" s="270">
        <f t="shared" si="42"/>
        <v>17.213930348258991</v>
      </c>
      <c r="L304" s="200">
        <v>12</v>
      </c>
      <c r="M304" s="204">
        <v>43197</v>
      </c>
      <c r="N304" s="204">
        <v>43197</v>
      </c>
      <c r="O304" s="200"/>
      <c r="P304" s="200"/>
      <c r="AB304" s="110"/>
      <c r="AC304" s="110"/>
      <c r="AD304" s="110"/>
      <c r="AE304" s="110"/>
    </row>
    <row r="305" spans="1:31">
      <c r="A305" s="205" t="s">
        <v>1292</v>
      </c>
      <c r="C305" s="200">
        <v>120</v>
      </c>
      <c r="D305" s="200">
        <v>0.44650000000000001</v>
      </c>
      <c r="E305" s="200">
        <v>8.4435000000000002</v>
      </c>
      <c r="F305" s="200">
        <v>0.21010000000000001</v>
      </c>
      <c r="G305" s="200">
        <f t="shared" si="40"/>
        <v>8.6536000000000008</v>
      </c>
      <c r="H305" s="200">
        <v>8.4864999999999995</v>
      </c>
      <c r="I305" s="200">
        <f t="shared" si="39"/>
        <v>0.16710000000000136</v>
      </c>
      <c r="J305" s="200">
        <f t="shared" si="41"/>
        <v>4.299999999999865E-2</v>
      </c>
      <c r="K305" s="270">
        <f t="shared" si="42"/>
        <v>20.466444550213541</v>
      </c>
      <c r="L305" s="200">
        <v>7</v>
      </c>
      <c r="M305" s="204">
        <v>43174</v>
      </c>
      <c r="N305" s="204">
        <v>43174</v>
      </c>
      <c r="O305" s="200" t="s">
        <v>2540</v>
      </c>
      <c r="P305" s="200" t="s">
        <v>2535</v>
      </c>
      <c r="AB305" s="110"/>
      <c r="AC305" s="110"/>
      <c r="AD305" s="110"/>
      <c r="AE305" s="110"/>
    </row>
    <row r="306" spans="1:31">
      <c r="A306" s="196" t="s">
        <v>1290</v>
      </c>
      <c r="C306" s="197">
        <v>66</v>
      </c>
      <c r="D306" s="196">
        <v>0.73129999999999995</v>
      </c>
      <c r="E306" s="201">
        <v>11.087400000000001</v>
      </c>
      <c r="F306" s="201">
        <v>0.2051</v>
      </c>
      <c r="G306" s="200">
        <f t="shared" si="40"/>
        <v>11.2925</v>
      </c>
      <c r="H306" s="200">
        <v>11.1129</v>
      </c>
      <c r="I306" s="200">
        <f t="shared" si="39"/>
        <v>0.17960000000000065</v>
      </c>
      <c r="J306" s="200">
        <f t="shared" si="41"/>
        <v>2.5499999999999357E-2</v>
      </c>
      <c r="K306" s="270">
        <f t="shared" si="42"/>
        <v>12.432959531935326</v>
      </c>
      <c r="L306" s="200">
        <v>15</v>
      </c>
      <c r="AB306" s="110"/>
      <c r="AC306" s="110"/>
      <c r="AD306" s="110"/>
      <c r="AE306" s="110"/>
    </row>
    <row r="307" spans="1:31">
      <c r="A307" s="205" t="s">
        <v>1289</v>
      </c>
      <c r="C307" s="200">
        <v>214</v>
      </c>
      <c r="D307" s="200">
        <v>0.52159999999999995</v>
      </c>
      <c r="E307" s="200">
        <v>9.0526</v>
      </c>
      <c r="F307" s="200">
        <v>0.20019999999999999</v>
      </c>
      <c r="G307" s="200">
        <f t="shared" si="40"/>
        <v>9.2528000000000006</v>
      </c>
      <c r="H307" s="200">
        <v>9.0746000000000002</v>
      </c>
      <c r="I307" s="200">
        <f t="shared" si="39"/>
        <v>0.17820000000000036</v>
      </c>
      <c r="J307" s="200">
        <f t="shared" si="41"/>
        <v>2.1999999999999631E-2</v>
      </c>
      <c r="K307" s="270">
        <f t="shared" si="42"/>
        <v>10.989010989010806</v>
      </c>
      <c r="L307" s="200">
        <v>8</v>
      </c>
      <c r="M307" s="202">
        <v>43164.628472222219</v>
      </c>
      <c r="N307" s="202">
        <v>43164.795138888891</v>
      </c>
      <c r="O307" s="196" t="s">
        <v>2534</v>
      </c>
      <c r="P307" s="200"/>
      <c r="AB307" s="110"/>
      <c r="AC307" s="110"/>
      <c r="AD307" s="110"/>
      <c r="AE307" s="110"/>
    </row>
    <row r="308" spans="1:31">
      <c r="A308" s="196" t="s">
        <v>1288</v>
      </c>
      <c r="C308" s="196">
        <v>146</v>
      </c>
      <c r="D308" s="196">
        <v>0.41170000000000001</v>
      </c>
      <c r="E308" s="196">
        <v>9.0025999999999993</v>
      </c>
      <c r="F308" s="196">
        <v>0.20610000000000001</v>
      </c>
      <c r="G308" s="196">
        <f t="shared" si="40"/>
        <v>9.2086999999999986</v>
      </c>
      <c r="H308" s="196">
        <v>9.0376999999999992</v>
      </c>
      <c r="I308" s="196">
        <f t="shared" si="39"/>
        <v>0.17099999999999937</v>
      </c>
      <c r="J308" s="200">
        <f t="shared" si="41"/>
        <v>3.5100000000000631E-2</v>
      </c>
      <c r="K308" s="270">
        <f t="shared" si="42"/>
        <v>17.030567685589826</v>
      </c>
      <c r="L308" s="196">
        <v>14</v>
      </c>
      <c r="M308" s="196">
        <v>43157.527777777781</v>
      </c>
      <c r="N308" s="196">
        <v>43157.694444444445</v>
      </c>
      <c r="O308" s="196" t="s">
        <v>2540</v>
      </c>
      <c r="AB308" s="110"/>
      <c r="AC308" s="110"/>
      <c r="AD308" s="110"/>
      <c r="AE308" s="110"/>
    </row>
    <row r="309" spans="1:31">
      <c r="A309" s="205" t="s">
        <v>1287</v>
      </c>
      <c r="C309" s="196">
        <v>92</v>
      </c>
      <c r="D309" s="200">
        <v>1.1095999999999999</v>
      </c>
      <c r="E309" s="201">
        <v>11.4429</v>
      </c>
      <c r="F309" s="201">
        <v>0.20319999999999999</v>
      </c>
      <c r="G309" s="200">
        <f t="shared" si="40"/>
        <v>11.646100000000001</v>
      </c>
      <c r="H309" s="200">
        <v>11.523099999999999</v>
      </c>
      <c r="I309" s="200">
        <f t="shared" si="39"/>
        <v>0.12300000000000111</v>
      </c>
      <c r="J309" s="200">
        <f t="shared" si="41"/>
        <v>8.0199999999998883E-2</v>
      </c>
      <c r="K309" s="270">
        <f t="shared" si="42"/>
        <v>39.468503937007327</v>
      </c>
      <c r="L309" s="200">
        <v>15</v>
      </c>
      <c r="M309" s="206">
        <v>43186.458333333336</v>
      </c>
      <c r="N309" s="206">
        <v>43186.625</v>
      </c>
      <c r="O309" s="196" t="s">
        <v>2534</v>
      </c>
      <c r="P309" s="200"/>
      <c r="AB309" s="110"/>
      <c r="AC309" s="110"/>
      <c r="AD309" s="110"/>
      <c r="AE309" s="110"/>
    </row>
    <row r="310" spans="1:31">
      <c r="A310" s="205" t="s">
        <v>1286</v>
      </c>
      <c r="C310" s="200">
        <v>42</v>
      </c>
      <c r="D310" s="201">
        <v>0.52049999999999996</v>
      </c>
      <c r="E310" s="200">
        <v>8.1195000000000004</v>
      </c>
      <c r="F310" s="201">
        <v>0.2044</v>
      </c>
      <c r="G310" s="200">
        <f t="shared" si="40"/>
        <v>8.3239000000000001</v>
      </c>
      <c r="H310" s="200">
        <v>8.1486000000000001</v>
      </c>
      <c r="I310" s="200">
        <f t="shared" si="39"/>
        <v>0.17530000000000001</v>
      </c>
      <c r="J310" s="200">
        <f t="shared" si="41"/>
        <v>2.9099999999999987E-2</v>
      </c>
      <c r="K310" s="270">
        <f t="shared" si="42"/>
        <v>14.236790606653615</v>
      </c>
      <c r="L310" s="200">
        <v>12</v>
      </c>
      <c r="M310" s="204">
        <v>43206</v>
      </c>
      <c r="N310" s="204">
        <v>43206</v>
      </c>
      <c r="O310" s="200"/>
      <c r="P310" s="200"/>
      <c r="AB310" s="110"/>
      <c r="AC310" s="110"/>
      <c r="AD310" s="110"/>
      <c r="AE310" s="110"/>
    </row>
    <row r="311" spans="1:31">
      <c r="A311" s="196" t="s">
        <v>1285</v>
      </c>
      <c r="C311" s="196">
        <v>99</v>
      </c>
      <c r="D311" s="196">
        <v>0.43369999999999997</v>
      </c>
      <c r="E311" s="196">
        <v>19.387699999999999</v>
      </c>
      <c r="F311" s="196">
        <v>0.17510000000000001</v>
      </c>
      <c r="G311" s="196">
        <f t="shared" si="40"/>
        <v>19.562799999999999</v>
      </c>
      <c r="H311" s="196">
        <v>19.417000000000002</v>
      </c>
      <c r="I311" s="196">
        <f t="shared" si="39"/>
        <v>0.14579999999999771</v>
      </c>
      <c r="J311" s="200">
        <f t="shared" si="41"/>
        <v>2.9300000000002296E-2</v>
      </c>
      <c r="K311" s="270">
        <f t="shared" si="42"/>
        <v>16.733295259852824</v>
      </c>
      <c r="L311" s="196">
        <v>5</v>
      </c>
      <c r="M311" s="196" t="s">
        <v>2560</v>
      </c>
      <c r="N311" s="196">
        <v>43153.729166666664</v>
      </c>
      <c r="O311" s="196" t="s">
        <v>2534</v>
      </c>
      <c r="P311" s="196" t="s">
        <v>2559</v>
      </c>
      <c r="AB311" s="110"/>
      <c r="AC311" s="110"/>
      <c r="AD311" s="110"/>
      <c r="AE311" s="110"/>
    </row>
    <row r="312" spans="1:31">
      <c r="A312" s="196" t="s">
        <v>1282</v>
      </c>
      <c r="C312" s="196">
        <v>131</v>
      </c>
      <c r="D312" s="196">
        <v>0.42449999999999999</v>
      </c>
      <c r="E312" s="196">
        <v>7.7755999999999998</v>
      </c>
      <c r="F312" s="196">
        <v>0.20480000000000001</v>
      </c>
      <c r="G312" s="196">
        <f t="shared" si="40"/>
        <v>7.9803999999999995</v>
      </c>
      <c r="H312" s="196">
        <v>7.8036000000000003</v>
      </c>
      <c r="I312" s="196">
        <f t="shared" si="39"/>
        <v>0.17679999999999918</v>
      </c>
      <c r="J312" s="200">
        <f t="shared" si="41"/>
        <v>2.800000000000083E-2</v>
      </c>
      <c r="K312" s="270">
        <f t="shared" si="42"/>
        <v>13.671875000000405</v>
      </c>
      <c r="L312" s="196">
        <v>13</v>
      </c>
      <c r="M312" s="196">
        <v>43157.395833333336</v>
      </c>
      <c r="N312" s="196">
        <v>43157.569444444445</v>
      </c>
      <c r="O312" s="196" t="s">
        <v>2534</v>
      </c>
      <c r="AB312" s="110"/>
      <c r="AC312" s="110"/>
      <c r="AD312" s="110"/>
      <c r="AE312" s="110"/>
    </row>
    <row r="313" spans="1:31">
      <c r="A313" s="200" t="s">
        <v>1281</v>
      </c>
      <c r="C313" s="200">
        <v>113</v>
      </c>
      <c r="D313" s="200">
        <v>0.50229999999999997</v>
      </c>
      <c r="E313" s="200">
        <v>10.2014</v>
      </c>
      <c r="F313" s="201">
        <v>0.2077</v>
      </c>
      <c r="G313" s="200">
        <f t="shared" si="40"/>
        <v>10.409099999999999</v>
      </c>
      <c r="H313" s="196">
        <v>10.243</v>
      </c>
      <c r="I313" s="196">
        <f t="shared" si="39"/>
        <v>0.16609999999999836</v>
      </c>
      <c r="J313" s="200">
        <f t="shared" si="41"/>
        <v>4.1600000000001636E-2</v>
      </c>
      <c r="K313" s="270">
        <f t="shared" si="42"/>
        <v>20.028887818970457</v>
      </c>
      <c r="L313" s="200">
        <v>19</v>
      </c>
      <c r="M313" s="204">
        <v>43187</v>
      </c>
      <c r="N313" s="204">
        <v>43187</v>
      </c>
      <c r="O313" s="200"/>
      <c r="P313" s="200" t="s">
        <v>2487</v>
      </c>
      <c r="AB313" s="110"/>
      <c r="AC313" s="110"/>
      <c r="AD313" s="110"/>
      <c r="AE313" s="110"/>
    </row>
    <row r="314" spans="1:31">
      <c r="A314" s="205" t="s">
        <v>1280</v>
      </c>
      <c r="C314" s="200">
        <v>202</v>
      </c>
      <c r="D314" s="200">
        <v>0.76239999999999997</v>
      </c>
      <c r="E314" s="201">
        <v>10.675000000000001</v>
      </c>
      <c r="F314" s="201">
        <v>0.20960000000000001</v>
      </c>
      <c r="G314" s="200">
        <f t="shared" si="40"/>
        <v>10.884600000000001</v>
      </c>
      <c r="H314" s="200">
        <v>10.742000000000001</v>
      </c>
      <c r="I314" s="200">
        <f t="shared" si="39"/>
        <v>0.14259999999999984</v>
      </c>
      <c r="J314" s="200">
        <f t="shared" si="41"/>
        <v>6.7000000000000171E-2</v>
      </c>
      <c r="K314" s="270">
        <f t="shared" si="42"/>
        <v>31.965648854961913</v>
      </c>
      <c r="L314" s="200">
        <v>20</v>
      </c>
      <c r="M314" s="206">
        <v>43185.385416666664</v>
      </c>
      <c r="N314" s="200"/>
      <c r="O314" s="200" t="s">
        <v>2540</v>
      </c>
      <c r="P314" s="200"/>
      <c r="AB314" s="110"/>
      <c r="AC314" s="110"/>
      <c r="AD314" s="110"/>
      <c r="AE314" s="110"/>
    </row>
    <row r="315" spans="1:31">
      <c r="A315" s="201" t="s">
        <v>1278</v>
      </c>
      <c r="C315" s="200">
        <v>175</v>
      </c>
      <c r="D315" s="196">
        <v>0.40219999999999995</v>
      </c>
      <c r="E315" s="200">
        <v>8.3539999999999992</v>
      </c>
      <c r="F315" s="200">
        <v>0.1961</v>
      </c>
      <c r="G315" s="200">
        <f t="shared" si="40"/>
        <v>8.5500999999999987</v>
      </c>
      <c r="H315" s="200">
        <v>8.3718000000000004</v>
      </c>
      <c r="I315" s="200">
        <f t="shared" si="39"/>
        <v>0.17829999999999835</v>
      </c>
      <c r="J315" s="200">
        <f t="shared" si="41"/>
        <v>1.7800000000001648E-2</v>
      </c>
      <c r="K315" s="270">
        <f t="shared" si="42"/>
        <v>9.0770015298325593</v>
      </c>
      <c r="L315" s="200">
        <v>3</v>
      </c>
      <c r="M315" s="204">
        <v>43173</v>
      </c>
      <c r="N315" s="204">
        <v>43173</v>
      </c>
      <c r="O315" s="200" t="s">
        <v>2540</v>
      </c>
      <c r="P315" s="200" t="s">
        <v>2539</v>
      </c>
      <c r="AB315" s="110"/>
      <c r="AC315" s="110"/>
      <c r="AD315" s="110"/>
      <c r="AE315" s="110"/>
    </row>
    <row r="316" spans="1:31">
      <c r="A316" s="205" t="s">
        <v>1277</v>
      </c>
      <c r="C316" s="200">
        <v>202</v>
      </c>
      <c r="D316" s="200">
        <v>0.61229999999999996</v>
      </c>
      <c r="E316" s="201">
        <v>11.172000000000001</v>
      </c>
      <c r="F316" s="201">
        <v>0.2</v>
      </c>
      <c r="G316" s="200">
        <f t="shared" si="40"/>
        <v>11.372</v>
      </c>
      <c r="H316" s="200">
        <v>11.196400000000001</v>
      </c>
      <c r="I316" s="200">
        <f t="shared" si="39"/>
        <v>0.17559999999999931</v>
      </c>
      <c r="J316" s="200">
        <f t="shared" si="41"/>
        <v>2.4400000000000699E-2</v>
      </c>
      <c r="K316" s="270">
        <f t="shared" si="42"/>
        <v>12.200000000000349</v>
      </c>
      <c r="L316" s="200">
        <v>21</v>
      </c>
      <c r="M316" s="206">
        <v>43185.385416666664</v>
      </c>
      <c r="N316" s="200"/>
      <c r="O316" s="200" t="s">
        <v>2540</v>
      </c>
      <c r="P316" s="200"/>
      <c r="AB316" s="110"/>
      <c r="AC316" s="110"/>
      <c r="AD316" s="110"/>
      <c r="AE316" s="110"/>
    </row>
    <row r="317" spans="1:31">
      <c r="A317" s="196" t="s">
        <v>1276</v>
      </c>
      <c r="C317" s="196">
        <v>44</v>
      </c>
      <c r="D317" s="196">
        <v>0.6744</v>
      </c>
      <c r="E317" s="196">
        <v>8.7050000000000001</v>
      </c>
      <c r="F317" s="196">
        <v>0.19289999999999999</v>
      </c>
      <c r="G317" s="196">
        <f t="shared" si="40"/>
        <v>8.8978999999999999</v>
      </c>
      <c r="H317" s="196">
        <v>8.7210999999999999</v>
      </c>
      <c r="I317" s="196">
        <f t="shared" si="39"/>
        <v>0.17680000000000007</v>
      </c>
      <c r="J317" s="200">
        <f t="shared" si="41"/>
        <v>1.609999999999992E-2</v>
      </c>
      <c r="K317" s="270">
        <f t="shared" si="42"/>
        <v>8.346293416277824</v>
      </c>
      <c r="L317" s="196">
        <v>31</v>
      </c>
      <c r="M317" s="196" t="s">
        <v>2570</v>
      </c>
      <c r="N317" s="196" t="s">
        <v>2569</v>
      </c>
      <c r="O317" s="196" t="s">
        <v>2534</v>
      </c>
      <c r="AB317" s="110"/>
      <c r="AC317" s="110"/>
      <c r="AD317" s="110"/>
      <c r="AE317" s="110"/>
    </row>
    <row r="318" spans="1:31">
      <c r="A318" s="196" t="s">
        <v>1275</v>
      </c>
      <c r="C318" s="196">
        <v>141</v>
      </c>
      <c r="D318" s="196">
        <v>0.50260000000000005</v>
      </c>
      <c r="E318" s="196">
        <v>7.4752999999999998</v>
      </c>
      <c r="F318" s="196">
        <v>0.20319999999999999</v>
      </c>
      <c r="G318" s="196">
        <f t="shared" si="40"/>
        <v>7.6784999999999997</v>
      </c>
      <c r="H318" s="196">
        <v>7.5221</v>
      </c>
      <c r="I318" s="196">
        <f t="shared" si="39"/>
        <v>0.15639999999999965</v>
      </c>
      <c r="J318" s="200">
        <f t="shared" si="41"/>
        <v>4.6800000000000341E-2</v>
      </c>
      <c r="K318" s="270">
        <f t="shared" si="42"/>
        <v>23.031496062992296</v>
      </c>
      <c r="L318" s="196">
        <v>10</v>
      </c>
      <c r="M318" s="196">
        <v>43157.527777777781</v>
      </c>
      <c r="N318" s="196">
        <v>43157.694444444445</v>
      </c>
      <c r="O318" s="196" t="s">
        <v>2540</v>
      </c>
      <c r="AB318" s="110"/>
      <c r="AC318" s="110"/>
      <c r="AD318" s="110"/>
      <c r="AE318" s="110"/>
    </row>
    <row r="319" spans="1:31">
      <c r="A319" s="200" t="s">
        <v>1273</v>
      </c>
      <c r="C319" s="200">
        <v>157</v>
      </c>
      <c r="D319" s="200">
        <v>0.51759999999999995</v>
      </c>
      <c r="E319" s="201">
        <v>11.0229</v>
      </c>
      <c r="F319" s="201">
        <v>0.20050000000000001</v>
      </c>
      <c r="G319" s="200">
        <f t="shared" si="40"/>
        <v>11.2234</v>
      </c>
      <c r="H319" s="200">
        <v>11.0542</v>
      </c>
      <c r="I319" s="200">
        <f t="shared" si="39"/>
        <v>0.16920000000000002</v>
      </c>
      <c r="J319" s="200">
        <f t="shared" si="41"/>
        <v>3.1299999999999994E-2</v>
      </c>
      <c r="K319" s="270">
        <f t="shared" si="42"/>
        <v>15.610972568578548</v>
      </c>
      <c r="L319" s="200">
        <v>28</v>
      </c>
      <c r="M319" s="206">
        <v>43185.385416666664</v>
      </c>
      <c r="N319" s="200"/>
      <c r="O319" s="200" t="s">
        <v>2540</v>
      </c>
      <c r="P319" s="200"/>
      <c r="AB319" s="110"/>
      <c r="AC319" s="110"/>
      <c r="AD319" s="110"/>
      <c r="AE319" s="110"/>
    </row>
    <row r="320" spans="1:31">
      <c r="A320" s="196" t="s">
        <v>1272</v>
      </c>
      <c r="C320" s="196">
        <v>115</v>
      </c>
      <c r="D320" s="196">
        <v>0.48849999999999999</v>
      </c>
      <c r="E320" s="196">
        <v>11.055099999999999</v>
      </c>
      <c r="F320" s="196">
        <v>0.20469999999999999</v>
      </c>
      <c r="G320" s="196">
        <f t="shared" si="40"/>
        <v>11.2598</v>
      </c>
      <c r="H320" s="196">
        <v>11.109500000000001</v>
      </c>
      <c r="I320" s="196">
        <f t="shared" si="39"/>
        <v>0.15029999999999966</v>
      </c>
      <c r="J320" s="200">
        <f t="shared" si="41"/>
        <v>5.4400000000000337E-2</v>
      </c>
      <c r="K320" s="270">
        <f t="shared" si="42"/>
        <v>26.575476306790591</v>
      </c>
      <c r="L320" s="196">
        <v>2</v>
      </c>
      <c r="M320" s="196">
        <v>43157.395833333336</v>
      </c>
      <c r="N320" s="196">
        <v>43157.569444444445</v>
      </c>
      <c r="O320" s="196" t="s">
        <v>2534</v>
      </c>
      <c r="P320" s="196" t="s">
        <v>2558</v>
      </c>
      <c r="AB320" s="110"/>
      <c r="AC320" s="110"/>
      <c r="AD320" s="110"/>
      <c r="AE320" s="110"/>
    </row>
    <row r="321" spans="1:31">
      <c r="A321" s="205" t="s">
        <v>1271</v>
      </c>
      <c r="C321" s="200">
        <v>132</v>
      </c>
      <c r="D321" s="200">
        <v>0.42670000000000002</v>
      </c>
      <c r="E321" s="200">
        <v>9.0214999999999996</v>
      </c>
      <c r="F321" s="200">
        <v>0.2014</v>
      </c>
      <c r="G321" s="200">
        <f t="shared" si="40"/>
        <v>9.2228999999999992</v>
      </c>
      <c r="H321" s="200">
        <v>9.0494000000000003</v>
      </c>
      <c r="I321" s="200">
        <f t="shared" si="39"/>
        <v>0.17349999999999888</v>
      </c>
      <c r="J321" s="200">
        <f t="shared" si="41"/>
        <v>2.7900000000001118E-2</v>
      </c>
      <c r="K321" s="270">
        <f t="shared" si="42"/>
        <v>13.853028798411678</v>
      </c>
      <c r="L321" s="200">
        <v>15</v>
      </c>
      <c r="M321" s="204">
        <v>43188</v>
      </c>
      <c r="N321" s="204">
        <v>43188</v>
      </c>
      <c r="O321" s="200"/>
      <c r="P321" s="200"/>
      <c r="AB321" s="110"/>
      <c r="AC321" s="110"/>
      <c r="AD321" s="110"/>
      <c r="AE321" s="110"/>
    </row>
    <row r="322" spans="1:31">
      <c r="A322" s="200" t="s">
        <v>1269</v>
      </c>
      <c r="C322" s="200">
        <v>178</v>
      </c>
      <c r="D322" s="200">
        <v>0.43630000000000002</v>
      </c>
      <c r="E322" s="200">
        <v>9.2057000000000002</v>
      </c>
      <c r="F322" s="200">
        <v>0.20749999999999999</v>
      </c>
      <c r="G322" s="200">
        <f t="shared" si="40"/>
        <v>9.4131999999999998</v>
      </c>
      <c r="H322" s="196">
        <v>9.2203999999999997</v>
      </c>
      <c r="I322" s="196">
        <f t="shared" ref="I322:I353" si="43">(G322-H322)</f>
        <v>0.19280000000000008</v>
      </c>
      <c r="J322" s="200">
        <f t="shared" si="41"/>
        <v>1.4699999999999908E-2</v>
      </c>
      <c r="K322" s="270">
        <f t="shared" si="42"/>
        <v>7.0843373493975461</v>
      </c>
      <c r="L322" s="200">
        <v>16</v>
      </c>
      <c r="M322" s="206">
        <v>43160.520833333336</v>
      </c>
      <c r="N322" s="206">
        <v>43160.6875</v>
      </c>
      <c r="O322" s="196" t="s">
        <v>2534</v>
      </c>
      <c r="AB322" s="110"/>
      <c r="AC322" s="110"/>
      <c r="AD322" s="110"/>
      <c r="AE322" s="110"/>
    </row>
    <row r="323" spans="1:31">
      <c r="A323" s="196" t="s">
        <v>1268</v>
      </c>
      <c r="C323" s="197">
        <v>220</v>
      </c>
      <c r="D323" s="196">
        <v>0.46260000000000001</v>
      </c>
      <c r="E323" s="201">
        <v>8.8605999999999998</v>
      </c>
      <c r="F323" s="201">
        <v>0.20369999999999999</v>
      </c>
      <c r="G323" s="200">
        <f t="shared" si="40"/>
        <v>9.0642999999999994</v>
      </c>
      <c r="H323" s="200">
        <v>8.8831000000000007</v>
      </c>
      <c r="I323" s="200">
        <f t="shared" si="43"/>
        <v>0.1811999999999987</v>
      </c>
      <c r="J323" s="200">
        <f t="shared" si="41"/>
        <v>2.2500000000001297E-2</v>
      </c>
      <c r="K323" s="270">
        <f t="shared" si="42"/>
        <v>11.045655375552919</v>
      </c>
      <c r="L323" s="200">
        <v>2</v>
      </c>
      <c r="AB323" s="110"/>
      <c r="AC323" s="110"/>
      <c r="AD323" s="110"/>
      <c r="AE323" s="110"/>
    </row>
    <row r="324" spans="1:31">
      <c r="A324" s="196" t="s">
        <v>1267</v>
      </c>
      <c r="C324" s="197">
        <v>180</v>
      </c>
      <c r="D324" s="200">
        <v>0.4501</v>
      </c>
      <c r="E324" s="201">
        <v>8.0470000000000006</v>
      </c>
      <c r="F324" s="201">
        <v>0.19950000000000001</v>
      </c>
      <c r="G324" s="200">
        <f t="shared" si="40"/>
        <v>8.2465000000000011</v>
      </c>
      <c r="H324" s="200">
        <v>8.0645000000000007</v>
      </c>
      <c r="I324" s="200">
        <f t="shared" si="43"/>
        <v>0.18200000000000038</v>
      </c>
      <c r="J324" s="200">
        <f t="shared" si="41"/>
        <v>1.7499999999999627E-2</v>
      </c>
      <c r="K324" s="270">
        <f t="shared" si="42"/>
        <v>8.7719298245612158</v>
      </c>
      <c r="L324" s="200">
        <v>24</v>
      </c>
      <c r="M324" s="203">
        <v>43213</v>
      </c>
      <c r="N324" s="203">
        <v>43213</v>
      </c>
      <c r="AB324" s="110"/>
      <c r="AC324" s="110"/>
      <c r="AD324" s="110"/>
      <c r="AE324" s="110"/>
    </row>
    <row r="325" spans="1:31">
      <c r="A325" s="205" t="s">
        <v>1266</v>
      </c>
      <c r="C325" s="200">
        <v>144</v>
      </c>
      <c r="D325" s="200">
        <v>0.53890000000000005</v>
      </c>
      <c r="E325" s="201">
        <v>9.3190000000000008</v>
      </c>
      <c r="F325" s="201">
        <v>0.2011</v>
      </c>
      <c r="G325" s="200">
        <f t="shared" si="40"/>
        <v>9.5201000000000011</v>
      </c>
      <c r="H325" s="200">
        <v>9.3720999999999997</v>
      </c>
      <c r="I325" s="200">
        <f t="shared" si="43"/>
        <v>0.14800000000000146</v>
      </c>
      <c r="J325" s="200">
        <f t="shared" si="41"/>
        <v>5.3099999999998537E-2</v>
      </c>
      <c r="K325" s="270">
        <f t="shared" si="42"/>
        <v>26.404773744405041</v>
      </c>
      <c r="L325" s="200">
        <v>4</v>
      </c>
      <c r="M325" s="204">
        <v>43197</v>
      </c>
      <c r="N325" s="204">
        <v>43197</v>
      </c>
      <c r="O325" s="200"/>
      <c r="P325" s="200"/>
      <c r="AB325" s="110"/>
      <c r="AC325" s="110"/>
      <c r="AD325" s="110"/>
      <c r="AE325" s="110"/>
    </row>
    <row r="326" spans="1:31">
      <c r="A326" s="205" t="s">
        <v>1265</v>
      </c>
      <c r="C326" s="200">
        <v>198</v>
      </c>
      <c r="D326" s="200">
        <v>0.46010000000000001</v>
      </c>
      <c r="E326" s="200">
        <v>8.2189999999999994</v>
      </c>
      <c r="F326" s="200">
        <v>0.2006</v>
      </c>
      <c r="G326" s="200">
        <f t="shared" si="40"/>
        <v>8.4195999999999991</v>
      </c>
      <c r="H326" s="200">
        <v>8.2378</v>
      </c>
      <c r="I326" s="200">
        <f t="shared" si="43"/>
        <v>0.18179999999999907</v>
      </c>
      <c r="J326" s="200">
        <f t="shared" si="41"/>
        <v>1.8800000000000927E-2</v>
      </c>
      <c r="K326" s="270">
        <f t="shared" si="42"/>
        <v>9.3718843469595843</v>
      </c>
      <c r="L326" s="200">
        <v>24</v>
      </c>
      <c r="M326" s="202">
        <v>43164.628472222219</v>
      </c>
      <c r="N326" s="202">
        <v>43164.795138888891</v>
      </c>
      <c r="O326" s="196" t="s">
        <v>2534</v>
      </c>
      <c r="P326" s="200"/>
      <c r="AB326" s="110"/>
      <c r="AC326" s="110"/>
      <c r="AD326" s="110"/>
      <c r="AE326" s="110"/>
    </row>
    <row r="327" spans="1:31">
      <c r="A327" s="205" t="s">
        <v>1264</v>
      </c>
      <c r="C327" s="200">
        <v>212</v>
      </c>
      <c r="D327" s="200">
        <v>0.64780000000000004</v>
      </c>
      <c r="E327" s="200">
        <v>7.1905999999999999</v>
      </c>
      <c r="F327" s="200">
        <v>0.19969999999999999</v>
      </c>
      <c r="G327" s="200">
        <f t="shared" si="40"/>
        <v>7.3902999999999999</v>
      </c>
      <c r="H327" s="200">
        <v>7.2156000000000002</v>
      </c>
      <c r="I327" s="200">
        <f t="shared" si="43"/>
        <v>0.17469999999999963</v>
      </c>
      <c r="J327" s="200">
        <f t="shared" si="41"/>
        <v>2.5000000000000355E-2</v>
      </c>
      <c r="K327" s="270">
        <f t="shared" si="42"/>
        <v>12.518778167251055</v>
      </c>
      <c r="L327" s="200">
        <v>4</v>
      </c>
      <c r="M327" s="202">
        <v>43171.520833333336</v>
      </c>
      <c r="N327" s="202">
        <v>43171.6875</v>
      </c>
      <c r="O327" s="196" t="s">
        <v>2534</v>
      </c>
      <c r="P327" s="200"/>
      <c r="AB327" s="110"/>
      <c r="AC327" s="110"/>
      <c r="AD327" s="110"/>
      <c r="AE327" s="110"/>
    </row>
    <row r="328" spans="1:31">
      <c r="A328" s="205" t="s">
        <v>1263</v>
      </c>
      <c r="C328" s="200">
        <v>140</v>
      </c>
      <c r="D328" s="200">
        <v>0.47910000000000003</v>
      </c>
      <c r="E328" s="200">
        <v>8.7053999999999991</v>
      </c>
      <c r="F328" s="200">
        <v>0.19919999999999999</v>
      </c>
      <c r="G328" s="200">
        <f t="shared" si="40"/>
        <v>8.9045999999999985</v>
      </c>
      <c r="H328" s="200">
        <v>8.7354000000000003</v>
      </c>
      <c r="I328" s="200">
        <f t="shared" si="43"/>
        <v>0.16919999999999824</v>
      </c>
      <c r="J328" s="200">
        <f t="shared" si="41"/>
        <v>3.0000000000001747E-2</v>
      </c>
      <c r="K328" s="270">
        <f t="shared" si="42"/>
        <v>15.0602409638563</v>
      </c>
      <c r="L328" s="200">
        <v>4</v>
      </c>
      <c r="M328" s="202">
        <v>43164.628472222219</v>
      </c>
      <c r="N328" s="202">
        <v>43164.795138888891</v>
      </c>
      <c r="O328" s="196" t="s">
        <v>2534</v>
      </c>
      <c r="P328" s="200"/>
      <c r="AB328" s="110"/>
      <c r="AC328" s="110"/>
      <c r="AD328" s="110"/>
      <c r="AE328" s="110"/>
    </row>
    <row r="329" spans="1:31">
      <c r="A329" s="201" t="s">
        <v>1261</v>
      </c>
      <c r="C329" s="200">
        <v>117</v>
      </c>
      <c r="D329" s="200">
        <v>0.67699999999999994</v>
      </c>
      <c r="E329" s="200">
        <v>8.0625999999999998</v>
      </c>
      <c r="F329" s="200">
        <v>0.2006</v>
      </c>
      <c r="G329" s="200">
        <f t="shared" ref="G329:G360" si="44">E329+F329</f>
        <v>8.2631999999999994</v>
      </c>
      <c r="H329" s="200">
        <v>8.1191999999999993</v>
      </c>
      <c r="I329" s="200">
        <f t="shared" si="43"/>
        <v>0.14400000000000013</v>
      </c>
      <c r="J329" s="200">
        <f t="shared" ref="J329:J360" si="45">F329-I329</f>
        <v>5.6599999999999873E-2</v>
      </c>
      <c r="K329" s="270">
        <f t="shared" ref="K329:K360" si="46">(J329/F329)*100</f>
        <v>28.215353938185377</v>
      </c>
      <c r="L329" s="200">
        <v>32</v>
      </c>
      <c r="M329" s="204">
        <v>43173</v>
      </c>
      <c r="N329" s="204">
        <v>43173</v>
      </c>
      <c r="O329" s="200" t="s">
        <v>2540</v>
      </c>
      <c r="P329" s="200" t="s">
        <v>2539</v>
      </c>
      <c r="AB329" s="110"/>
      <c r="AC329" s="110"/>
      <c r="AD329" s="110"/>
      <c r="AE329" s="110"/>
    </row>
    <row r="330" spans="1:31">
      <c r="A330" s="205" t="s">
        <v>1259</v>
      </c>
      <c r="C330" s="200">
        <v>118</v>
      </c>
      <c r="D330" s="201">
        <v>0.46929999999999999</v>
      </c>
      <c r="E330" s="201">
        <v>7.7736999999999998</v>
      </c>
      <c r="F330" s="201">
        <v>0.20050000000000001</v>
      </c>
      <c r="G330" s="200">
        <f t="shared" si="44"/>
        <v>7.9741999999999997</v>
      </c>
      <c r="H330" s="200">
        <v>7.7986000000000004</v>
      </c>
      <c r="I330" s="200">
        <f t="shared" si="43"/>
        <v>0.17559999999999931</v>
      </c>
      <c r="J330" s="200">
        <f t="shared" si="45"/>
        <v>2.4900000000000699E-2</v>
      </c>
      <c r="K330" s="270">
        <f t="shared" si="46"/>
        <v>12.418952618454213</v>
      </c>
      <c r="L330" s="200">
        <v>19</v>
      </c>
      <c r="N330" s="200"/>
      <c r="O330" s="200"/>
      <c r="P330" s="200"/>
      <c r="AB330" s="110"/>
      <c r="AC330" s="110"/>
      <c r="AD330" s="110"/>
      <c r="AE330" s="110"/>
    </row>
    <row r="331" spans="1:31">
      <c r="A331" s="200" t="s">
        <v>1257</v>
      </c>
      <c r="C331" s="200">
        <v>125</v>
      </c>
      <c r="D331" s="200">
        <v>0.58720000000000006</v>
      </c>
      <c r="E331" s="201">
        <v>7.0933000000000002</v>
      </c>
      <c r="F331" s="201">
        <v>0.20130000000000001</v>
      </c>
      <c r="G331" s="200">
        <f t="shared" si="44"/>
        <v>7.2946</v>
      </c>
      <c r="H331" s="200">
        <v>7.1494999999999997</v>
      </c>
      <c r="I331" s="200">
        <f t="shared" si="43"/>
        <v>0.14510000000000023</v>
      </c>
      <c r="J331" s="200">
        <f t="shared" si="45"/>
        <v>5.6199999999999778E-2</v>
      </c>
      <c r="K331" s="270">
        <f t="shared" si="46"/>
        <v>27.918529557873711</v>
      </c>
      <c r="L331" s="200">
        <v>16</v>
      </c>
      <c r="M331" s="204">
        <v>43197</v>
      </c>
      <c r="N331" s="204">
        <v>43197</v>
      </c>
      <c r="O331" s="200"/>
      <c r="P331" s="200"/>
      <c r="AB331" s="110"/>
      <c r="AC331" s="110"/>
      <c r="AD331" s="110"/>
      <c r="AE331" s="110"/>
    </row>
    <row r="332" spans="1:31">
      <c r="A332" s="200" t="s">
        <v>1255</v>
      </c>
      <c r="C332" s="200">
        <v>217</v>
      </c>
      <c r="D332" s="200">
        <v>0.57120000000000004</v>
      </c>
      <c r="E332" s="200">
        <v>7.9939999999999998</v>
      </c>
      <c r="F332" s="201">
        <v>0.2056</v>
      </c>
      <c r="G332" s="200">
        <f t="shared" si="44"/>
        <v>8.1996000000000002</v>
      </c>
      <c r="H332" s="200">
        <v>8.0124999999999993</v>
      </c>
      <c r="I332" s="200">
        <f t="shared" si="43"/>
        <v>0.18710000000000093</v>
      </c>
      <c r="J332" s="200">
        <f t="shared" si="45"/>
        <v>1.8499999999999073E-2</v>
      </c>
      <c r="K332" s="270">
        <f t="shared" si="46"/>
        <v>8.99805447470772</v>
      </c>
      <c r="L332" s="200">
        <v>6</v>
      </c>
      <c r="M332" s="204">
        <v>43211</v>
      </c>
      <c r="N332" s="200"/>
      <c r="O332" s="200"/>
      <c r="P332" s="200"/>
      <c r="AB332" s="110"/>
      <c r="AC332" s="110"/>
      <c r="AD332" s="110"/>
      <c r="AE332" s="110"/>
    </row>
    <row r="333" spans="1:31">
      <c r="A333" s="201" t="s">
        <v>1254</v>
      </c>
      <c r="C333" s="200">
        <v>211</v>
      </c>
      <c r="D333" s="200">
        <v>0.66139999999999988</v>
      </c>
      <c r="E333" s="200">
        <v>8.7333999999999996</v>
      </c>
      <c r="F333" s="200">
        <v>0.2026</v>
      </c>
      <c r="G333" s="200">
        <f t="shared" si="44"/>
        <v>8.9359999999999999</v>
      </c>
      <c r="H333" s="200">
        <v>8.8157999999999994</v>
      </c>
      <c r="I333" s="200">
        <f t="shared" si="43"/>
        <v>0.12020000000000053</v>
      </c>
      <c r="J333" s="200">
        <f t="shared" si="45"/>
        <v>8.2399999999999474E-2</v>
      </c>
      <c r="K333" s="270">
        <f t="shared" si="46"/>
        <v>40.67127344521198</v>
      </c>
      <c r="L333" s="200">
        <v>15</v>
      </c>
      <c r="M333" s="204">
        <v>43173</v>
      </c>
      <c r="N333" s="204">
        <v>43173</v>
      </c>
      <c r="O333" s="200" t="s">
        <v>2540</v>
      </c>
      <c r="P333" s="200" t="s">
        <v>2539</v>
      </c>
      <c r="AB333" s="110"/>
      <c r="AC333" s="110"/>
      <c r="AD333" s="110"/>
      <c r="AE333" s="110"/>
    </row>
    <row r="334" spans="1:31">
      <c r="A334" s="200" t="s">
        <v>1252</v>
      </c>
      <c r="C334" s="200">
        <v>139</v>
      </c>
      <c r="D334" s="200">
        <v>0.4768</v>
      </c>
      <c r="E334" s="201">
        <v>7.4809999999999999</v>
      </c>
      <c r="F334" s="201">
        <v>0.20300000000000001</v>
      </c>
      <c r="G334" s="200">
        <f t="shared" si="44"/>
        <v>7.6840000000000002</v>
      </c>
      <c r="H334" s="200">
        <v>7.5209999999999999</v>
      </c>
      <c r="I334" s="200">
        <f t="shared" si="43"/>
        <v>0.16300000000000026</v>
      </c>
      <c r="J334" s="200">
        <f t="shared" si="45"/>
        <v>3.9999999999999758E-2</v>
      </c>
      <c r="K334" s="270">
        <f t="shared" si="46"/>
        <v>19.704433497536826</v>
      </c>
      <c r="L334" s="200">
        <v>8</v>
      </c>
      <c r="M334" s="204">
        <v>43199</v>
      </c>
      <c r="N334" s="204">
        <v>43199</v>
      </c>
      <c r="O334" s="200"/>
      <c r="P334" s="200" t="s">
        <v>2555</v>
      </c>
      <c r="AB334" s="110"/>
      <c r="AC334" s="110"/>
      <c r="AD334" s="110"/>
      <c r="AE334" s="110"/>
    </row>
    <row r="335" spans="1:31">
      <c r="A335" s="196" t="s">
        <v>1251</v>
      </c>
      <c r="C335" s="196">
        <v>133</v>
      </c>
      <c r="D335" s="196">
        <v>0.43490000000000001</v>
      </c>
      <c r="E335" s="196">
        <v>8.1328999999999994</v>
      </c>
      <c r="F335" s="196">
        <v>0.20250000000000001</v>
      </c>
      <c r="G335" s="196">
        <f t="shared" si="44"/>
        <v>8.3353999999999999</v>
      </c>
      <c r="H335" s="196">
        <v>8.1613000000000007</v>
      </c>
      <c r="I335" s="196">
        <f t="shared" si="43"/>
        <v>0.17409999999999926</v>
      </c>
      <c r="J335" s="200">
        <f t="shared" si="45"/>
        <v>2.8400000000000758E-2</v>
      </c>
      <c r="K335" s="270">
        <f t="shared" si="46"/>
        <v>14.024691358025066</v>
      </c>
      <c r="L335" s="196">
        <v>16</v>
      </c>
      <c r="M335" s="196">
        <v>43157.395833333336</v>
      </c>
      <c r="N335" s="196">
        <v>43157.569444444445</v>
      </c>
      <c r="O335" s="196" t="s">
        <v>2534</v>
      </c>
      <c r="AB335" s="110"/>
      <c r="AC335" s="110"/>
      <c r="AD335" s="110"/>
      <c r="AE335" s="110"/>
    </row>
    <row r="336" spans="1:31">
      <c r="A336" s="196" t="s">
        <v>1250</v>
      </c>
      <c r="C336" s="197">
        <v>153</v>
      </c>
      <c r="D336" s="196">
        <v>0.3836</v>
      </c>
      <c r="E336" s="200">
        <v>10.1531</v>
      </c>
      <c r="F336" s="201">
        <v>0.20330000000000001</v>
      </c>
      <c r="G336" s="200">
        <f t="shared" si="44"/>
        <v>10.356400000000001</v>
      </c>
      <c r="H336" s="200">
        <v>10.1874</v>
      </c>
      <c r="I336" s="200">
        <f t="shared" si="43"/>
        <v>0.16900000000000048</v>
      </c>
      <c r="J336" s="200">
        <f t="shared" si="45"/>
        <v>3.4299999999999525E-2</v>
      </c>
      <c r="K336" s="270">
        <f t="shared" si="46"/>
        <v>16.871618298081419</v>
      </c>
      <c r="L336" s="200">
        <v>13</v>
      </c>
      <c r="M336" s="203">
        <v>43212</v>
      </c>
      <c r="AB336" s="110"/>
      <c r="AC336" s="110"/>
      <c r="AD336" s="110"/>
      <c r="AE336" s="110"/>
    </row>
    <row r="337" spans="1:31">
      <c r="A337" s="205" t="s">
        <v>1249</v>
      </c>
      <c r="C337" s="200">
        <v>150</v>
      </c>
      <c r="D337" s="200">
        <v>0.40389999999999998</v>
      </c>
      <c r="E337" s="201">
        <v>9.8871000000000002</v>
      </c>
      <c r="F337" s="201">
        <v>0.2031</v>
      </c>
      <c r="G337" s="200">
        <f t="shared" si="44"/>
        <v>10.090199999999999</v>
      </c>
      <c r="H337" s="200">
        <v>9.9278999999999993</v>
      </c>
      <c r="I337" s="200">
        <f t="shared" si="43"/>
        <v>0.16230000000000011</v>
      </c>
      <c r="J337" s="200">
        <f t="shared" si="45"/>
        <v>4.0799999999999892E-2</v>
      </c>
      <c r="K337" s="270">
        <f t="shared" si="46"/>
        <v>20.08862629246671</v>
      </c>
      <c r="L337" s="200">
        <v>11</v>
      </c>
      <c r="M337" s="204">
        <v>43199</v>
      </c>
      <c r="N337" s="204">
        <v>43199</v>
      </c>
      <c r="O337" s="200"/>
      <c r="P337" s="200"/>
      <c r="AB337" s="110"/>
      <c r="AC337" s="110"/>
      <c r="AD337" s="110"/>
      <c r="AE337" s="110"/>
    </row>
    <row r="338" spans="1:31">
      <c r="A338" s="200" t="s">
        <v>1248</v>
      </c>
      <c r="C338" s="200">
        <v>119</v>
      </c>
      <c r="D338" s="200">
        <v>0.43930000000000002</v>
      </c>
      <c r="E338" s="201">
        <v>11.091799999999999</v>
      </c>
      <c r="F338" s="201">
        <v>0.20100000000000001</v>
      </c>
      <c r="G338" s="200">
        <f t="shared" si="44"/>
        <v>11.2928</v>
      </c>
      <c r="H338" s="200">
        <v>11.1129</v>
      </c>
      <c r="I338" s="200">
        <f t="shared" si="43"/>
        <v>0.17989999999999995</v>
      </c>
      <c r="J338" s="200">
        <f t="shared" si="45"/>
        <v>2.1100000000000063E-2</v>
      </c>
      <c r="K338" s="270">
        <f t="shared" si="46"/>
        <v>10.497512437810975</v>
      </c>
      <c r="L338" s="200">
        <v>26</v>
      </c>
      <c r="M338" s="204">
        <v>43197</v>
      </c>
      <c r="N338" s="204">
        <v>43197</v>
      </c>
      <c r="O338" s="200"/>
      <c r="P338" s="200"/>
      <c r="AB338" s="110"/>
      <c r="AC338" s="110"/>
      <c r="AD338" s="110"/>
      <c r="AE338" s="110"/>
    </row>
    <row r="339" spans="1:31">
      <c r="A339" s="205" t="s">
        <v>1247</v>
      </c>
      <c r="C339" s="200">
        <v>114</v>
      </c>
      <c r="D339" s="201">
        <v>0.44309999999999999</v>
      </c>
      <c r="E339" s="201">
        <v>9.3219999999999992</v>
      </c>
      <c r="F339" s="201">
        <v>0.20019999999999999</v>
      </c>
      <c r="G339" s="200">
        <f t="shared" si="44"/>
        <v>9.5221999999999998</v>
      </c>
      <c r="H339" s="200">
        <v>9.3641000000000005</v>
      </c>
      <c r="I339" s="200">
        <f t="shared" si="43"/>
        <v>0.15809999999999924</v>
      </c>
      <c r="J339" s="200">
        <f t="shared" si="45"/>
        <v>4.2100000000000748E-2</v>
      </c>
      <c r="K339" s="270">
        <f t="shared" si="46"/>
        <v>21.028971028971405</v>
      </c>
      <c r="L339" s="200">
        <v>28</v>
      </c>
      <c r="M339" s="202">
        <v>43181.645833333336</v>
      </c>
      <c r="N339" s="202">
        <v>43181.833333333336</v>
      </c>
      <c r="O339" s="200" t="s">
        <v>2540</v>
      </c>
      <c r="AB339" s="110"/>
      <c r="AC339" s="110"/>
      <c r="AD339" s="110"/>
      <c r="AE339" s="110"/>
    </row>
    <row r="340" spans="1:31">
      <c r="A340" s="200" t="s">
        <v>1246</v>
      </c>
      <c r="C340" s="200">
        <v>217</v>
      </c>
      <c r="D340" s="200">
        <v>0.4556</v>
      </c>
      <c r="E340" s="200">
        <v>10.617900000000001</v>
      </c>
      <c r="F340" s="201">
        <v>0.20169999999999999</v>
      </c>
      <c r="G340" s="200">
        <f t="shared" si="44"/>
        <v>10.819600000000001</v>
      </c>
      <c r="H340" s="200">
        <v>10.635199999999999</v>
      </c>
      <c r="I340" s="200">
        <f t="shared" si="43"/>
        <v>0.1844000000000019</v>
      </c>
      <c r="J340" s="200">
        <f t="shared" si="45"/>
        <v>1.7299999999998095E-2</v>
      </c>
      <c r="K340" s="270">
        <f t="shared" si="46"/>
        <v>8.5770946950907749</v>
      </c>
      <c r="L340" s="200">
        <v>5</v>
      </c>
      <c r="M340" s="204">
        <v>43211</v>
      </c>
      <c r="N340" s="200"/>
      <c r="O340" s="200"/>
      <c r="P340" s="200" t="s">
        <v>2536</v>
      </c>
      <c r="AB340" s="110"/>
      <c r="AC340" s="110"/>
      <c r="AD340" s="110"/>
      <c r="AE340" s="110"/>
    </row>
    <row r="341" spans="1:31">
      <c r="A341" s="200" t="s">
        <v>1245</v>
      </c>
      <c r="C341" s="200">
        <v>137</v>
      </c>
      <c r="D341" s="201">
        <v>0.41139999999999999</v>
      </c>
      <c r="E341" s="200">
        <v>9.6789000000000005</v>
      </c>
      <c r="F341" s="201">
        <v>0.20749999999999999</v>
      </c>
      <c r="G341" s="200">
        <f t="shared" si="44"/>
        <v>9.8864000000000001</v>
      </c>
      <c r="H341" s="200">
        <v>9.7113999999999994</v>
      </c>
      <c r="I341" s="200">
        <f t="shared" si="43"/>
        <v>0.17500000000000071</v>
      </c>
      <c r="J341" s="200">
        <f t="shared" si="45"/>
        <v>3.2499999999999279E-2</v>
      </c>
      <c r="K341" s="270">
        <f t="shared" si="46"/>
        <v>15.662650602409292</v>
      </c>
      <c r="L341" s="200">
        <v>28</v>
      </c>
      <c r="M341" s="204">
        <v>43206</v>
      </c>
      <c r="N341" s="204">
        <v>43206</v>
      </c>
      <c r="O341" s="200"/>
      <c r="P341" s="200"/>
      <c r="AB341" s="110"/>
      <c r="AC341" s="110"/>
      <c r="AD341" s="110"/>
      <c r="AE341" s="110"/>
    </row>
    <row r="342" spans="1:31">
      <c r="A342" s="200" t="s">
        <v>1244</v>
      </c>
      <c r="C342" s="200">
        <v>104</v>
      </c>
      <c r="D342" s="200">
        <f>0.322+F342</f>
        <v>0.52729999999999999</v>
      </c>
      <c r="E342" s="201">
        <v>11.023</v>
      </c>
      <c r="F342" s="201">
        <v>0.20530000000000001</v>
      </c>
      <c r="G342" s="200">
        <f t="shared" si="44"/>
        <v>11.228299999999999</v>
      </c>
      <c r="H342" s="200">
        <v>11.057600000000001</v>
      </c>
      <c r="I342" s="200">
        <f t="shared" si="43"/>
        <v>0.1706999999999983</v>
      </c>
      <c r="J342" s="200">
        <f t="shared" si="45"/>
        <v>3.4600000000001713E-2</v>
      </c>
      <c r="K342" s="270">
        <f t="shared" si="46"/>
        <v>16.853385289820611</v>
      </c>
      <c r="L342" s="200">
        <v>31</v>
      </c>
      <c r="M342" s="204">
        <v>43174</v>
      </c>
      <c r="N342" s="204">
        <v>43174</v>
      </c>
      <c r="O342" s="200" t="s">
        <v>2540</v>
      </c>
      <c r="P342" s="200" t="s">
        <v>2535</v>
      </c>
      <c r="AB342" s="110"/>
      <c r="AC342" s="110"/>
      <c r="AD342" s="110"/>
      <c r="AE342" s="110"/>
    </row>
    <row r="343" spans="1:31">
      <c r="A343" s="205" t="s">
        <v>1243</v>
      </c>
      <c r="C343" s="200">
        <v>148</v>
      </c>
      <c r="D343" s="201">
        <v>0.52270000000000005</v>
      </c>
      <c r="E343" s="201">
        <v>11.7468</v>
      </c>
      <c r="F343" s="201">
        <v>0.20830000000000001</v>
      </c>
      <c r="G343" s="200">
        <f t="shared" si="44"/>
        <v>11.9551</v>
      </c>
      <c r="H343" s="200">
        <v>11.786799999999999</v>
      </c>
      <c r="I343" s="200">
        <f t="shared" si="43"/>
        <v>0.16830000000000034</v>
      </c>
      <c r="J343" s="200">
        <f t="shared" si="45"/>
        <v>3.9999999999999675E-2</v>
      </c>
      <c r="K343" s="270">
        <f t="shared" si="46"/>
        <v>19.203072491598501</v>
      </c>
      <c r="L343" s="200">
        <v>21</v>
      </c>
      <c r="M343" s="202">
        <v>43181.645833333336</v>
      </c>
      <c r="N343" s="202">
        <v>43181.833333333336</v>
      </c>
      <c r="O343" s="200" t="s">
        <v>2540</v>
      </c>
      <c r="P343" s="200" t="s">
        <v>2553</v>
      </c>
      <c r="AB343" s="110"/>
      <c r="AC343" s="110"/>
      <c r="AD343" s="110"/>
      <c r="AE343" s="110"/>
    </row>
    <row r="344" spans="1:31">
      <c r="A344" s="196" t="s">
        <v>1242</v>
      </c>
      <c r="C344" s="197">
        <v>101</v>
      </c>
      <c r="D344" s="196">
        <v>0.37919999999999998</v>
      </c>
      <c r="E344" s="196">
        <v>10.6348</v>
      </c>
      <c r="F344" s="201">
        <v>0.2016</v>
      </c>
      <c r="G344" s="200">
        <f t="shared" si="44"/>
        <v>10.836400000000001</v>
      </c>
      <c r="H344" s="200">
        <v>10.668699999999999</v>
      </c>
      <c r="I344" s="200">
        <f t="shared" si="43"/>
        <v>0.16770000000000174</v>
      </c>
      <c r="J344" s="200">
        <f t="shared" si="45"/>
        <v>3.3899999999998265E-2</v>
      </c>
      <c r="K344" s="270">
        <f t="shared" si="46"/>
        <v>16.81547619047533</v>
      </c>
      <c r="L344" s="200">
        <v>6</v>
      </c>
      <c r="AB344" s="110"/>
      <c r="AC344" s="110"/>
      <c r="AD344" s="110"/>
      <c r="AE344" s="110"/>
    </row>
    <row r="345" spans="1:31">
      <c r="A345" s="205" t="s">
        <v>1241</v>
      </c>
      <c r="C345" s="200">
        <v>160</v>
      </c>
      <c r="D345" s="200">
        <v>0.502</v>
      </c>
      <c r="E345" s="200">
        <v>8.1328999999999994</v>
      </c>
      <c r="F345" s="201">
        <v>0.20799999999999999</v>
      </c>
      <c r="G345" s="200">
        <f t="shared" si="44"/>
        <v>8.3408999999999995</v>
      </c>
      <c r="H345" s="200">
        <v>8.1625999999999994</v>
      </c>
      <c r="I345" s="200">
        <f t="shared" si="43"/>
        <v>0.17830000000000013</v>
      </c>
      <c r="J345" s="200">
        <f t="shared" si="45"/>
        <v>2.9699999999999865E-2</v>
      </c>
      <c r="K345" s="270">
        <f t="shared" si="46"/>
        <v>14.278846153846089</v>
      </c>
      <c r="L345" s="200">
        <v>18</v>
      </c>
      <c r="M345" s="204">
        <v>43211</v>
      </c>
      <c r="AB345" s="110"/>
      <c r="AC345" s="110"/>
      <c r="AD345" s="110"/>
      <c r="AE345" s="110"/>
    </row>
    <row r="346" spans="1:31">
      <c r="A346" s="200" t="s">
        <v>1240</v>
      </c>
      <c r="C346" s="200">
        <v>165</v>
      </c>
      <c r="D346" s="200">
        <v>0.4632</v>
      </c>
      <c r="E346" s="200">
        <v>7.7762000000000002</v>
      </c>
      <c r="F346" s="200">
        <v>0.20080000000000001</v>
      </c>
      <c r="G346" s="200">
        <f t="shared" si="44"/>
        <v>7.9770000000000003</v>
      </c>
      <c r="H346" s="200">
        <v>7.7915999999999999</v>
      </c>
      <c r="I346" s="200">
        <f t="shared" si="43"/>
        <v>0.18540000000000045</v>
      </c>
      <c r="J346" s="200">
        <f t="shared" si="45"/>
        <v>1.5399999999999553E-2</v>
      </c>
      <c r="K346" s="270">
        <f t="shared" si="46"/>
        <v>7.6693227091631231</v>
      </c>
      <c r="L346" s="200">
        <v>19</v>
      </c>
      <c r="M346" s="202">
        <v>43164.628472222219</v>
      </c>
      <c r="N346" s="202">
        <v>43164.795138888891</v>
      </c>
      <c r="O346" s="196" t="s">
        <v>2534</v>
      </c>
      <c r="P346" s="200"/>
      <c r="AB346" s="110"/>
      <c r="AC346" s="110"/>
      <c r="AD346" s="110"/>
      <c r="AE346" s="110"/>
    </row>
    <row r="347" spans="1:31">
      <c r="A347" s="196" t="s">
        <v>1239</v>
      </c>
      <c r="C347" s="196">
        <v>201</v>
      </c>
      <c r="D347" s="196">
        <v>0.41320000000000001</v>
      </c>
      <c r="E347" s="201">
        <v>9.7257999999999996</v>
      </c>
      <c r="F347" s="201">
        <v>0.20150000000000001</v>
      </c>
      <c r="G347" s="200">
        <f t="shared" si="44"/>
        <v>9.9272999999999989</v>
      </c>
      <c r="H347" s="200">
        <v>9.7493999999999996</v>
      </c>
      <c r="I347" s="200">
        <f t="shared" si="43"/>
        <v>0.17789999999999928</v>
      </c>
      <c r="J347" s="200">
        <f t="shared" si="45"/>
        <v>2.3600000000000732E-2</v>
      </c>
      <c r="K347" s="270">
        <f t="shared" si="46"/>
        <v>11.712158808933365</v>
      </c>
      <c r="L347" s="200">
        <v>21</v>
      </c>
      <c r="AB347" s="110"/>
      <c r="AC347" s="110"/>
      <c r="AD347" s="110"/>
      <c r="AE347" s="110"/>
    </row>
    <row r="348" spans="1:31">
      <c r="A348" s="196" t="s">
        <v>1237</v>
      </c>
      <c r="C348" s="196">
        <v>24</v>
      </c>
      <c r="D348" s="196">
        <v>0.54449999999999998</v>
      </c>
      <c r="E348" s="201">
        <v>10.1074</v>
      </c>
      <c r="F348" s="201">
        <v>0.20200000000000001</v>
      </c>
      <c r="G348" s="200">
        <f t="shared" si="44"/>
        <v>10.3094</v>
      </c>
      <c r="H348" s="200">
        <v>10.130800000000001</v>
      </c>
      <c r="I348" s="200">
        <f t="shared" si="43"/>
        <v>0.17859999999999943</v>
      </c>
      <c r="J348" s="200">
        <f t="shared" si="45"/>
        <v>2.3400000000000587E-2</v>
      </c>
      <c r="K348" s="270">
        <f t="shared" si="46"/>
        <v>11.584158415841873</v>
      </c>
      <c r="L348" s="200">
        <v>23</v>
      </c>
      <c r="AB348" s="110"/>
      <c r="AC348" s="110"/>
      <c r="AD348" s="110"/>
      <c r="AE348" s="110"/>
    </row>
    <row r="349" spans="1:31">
      <c r="A349" s="196" t="s">
        <v>1236</v>
      </c>
      <c r="C349" s="197">
        <v>204</v>
      </c>
      <c r="D349" s="196">
        <v>0.49020000000000002</v>
      </c>
      <c r="E349" s="201">
        <v>8.0884</v>
      </c>
      <c r="F349" s="201">
        <v>0.2</v>
      </c>
      <c r="G349" s="200">
        <f t="shared" si="44"/>
        <v>8.2883999999999993</v>
      </c>
      <c r="H349" s="200">
        <v>8.1113999999999997</v>
      </c>
      <c r="I349" s="200">
        <f t="shared" si="43"/>
        <v>0.1769999999999996</v>
      </c>
      <c r="J349" s="200">
        <f t="shared" si="45"/>
        <v>2.3000000000000409E-2</v>
      </c>
      <c r="K349" s="270">
        <f t="shared" si="46"/>
        <v>11.500000000000204</v>
      </c>
      <c r="L349" s="200">
        <v>2</v>
      </c>
      <c r="AB349" s="110"/>
      <c r="AC349" s="110"/>
      <c r="AD349" s="110"/>
      <c r="AE349" s="110"/>
    </row>
    <row r="350" spans="1:31">
      <c r="A350" s="205" t="s">
        <v>1235</v>
      </c>
      <c r="C350" s="200">
        <v>138</v>
      </c>
      <c r="D350" s="200">
        <v>0.44069999999999998</v>
      </c>
      <c r="E350" s="201">
        <v>10.565799999999999</v>
      </c>
      <c r="F350" s="201">
        <v>0.20150000000000001</v>
      </c>
      <c r="G350" s="200">
        <f t="shared" si="44"/>
        <v>10.767299999999999</v>
      </c>
      <c r="H350" s="200">
        <v>10.594799999999999</v>
      </c>
      <c r="I350" s="200">
        <f t="shared" si="43"/>
        <v>0.17249999999999943</v>
      </c>
      <c r="J350" s="200">
        <f t="shared" si="45"/>
        <v>2.9000000000000581E-2</v>
      </c>
      <c r="K350" s="270">
        <f t="shared" si="46"/>
        <v>14.392059553350164</v>
      </c>
      <c r="L350" s="200">
        <v>35</v>
      </c>
      <c r="M350" s="206">
        <v>43186.458333333336</v>
      </c>
      <c r="N350" s="206">
        <v>43186.625</v>
      </c>
      <c r="O350" s="196" t="s">
        <v>2534</v>
      </c>
      <c r="P350" s="200"/>
      <c r="AB350" s="110"/>
      <c r="AC350" s="110"/>
      <c r="AD350" s="110"/>
      <c r="AE350" s="110"/>
    </row>
    <row r="351" spans="1:31">
      <c r="A351" s="196" t="s">
        <v>1234</v>
      </c>
      <c r="C351" s="196">
        <v>200</v>
      </c>
      <c r="D351" s="196">
        <v>0.49859999999999999</v>
      </c>
      <c r="E351" s="201">
        <v>11.1541</v>
      </c>
      <c r="F351" s="201">
        <v>0.2029</v>
      </c>
      <c r="G351" s="200">
        <f t="shared" si="44"/>
        <v>11.356999999999999</v>
      </c>
      <c r="H351" s="200">
        <v>11.176600000000001</v>
      </c>
      <c r="I351" s="200">
        <f t="shared" si="43"/>
        <v>0.18039999999999878</v>
      </c>
      <c r="J351" s="200">
        <f t="shared" si="45"/>
        <v>2.2500000000001213E-2</v>
      </c>
      <c r="K351" s="270">
        <f t="shared" si="46"/>
        <v>11.089206505668416</v>
      </c>
      <c r="L351" s="200">
        <v>26</v>
      </c>
      <c r="AB351" s="110"/>
      <c r="AC351" s="110"/>
      <c r="AD351" s="110"/>
      <c r="AE351" s="110"/>
    </row>
    <row r="352" spans="1:31">
      <c r="A352" s="205" t="s">
        <v>1233</v>
      </c>
      <c r="C352" s="200">
        <v>142</v>
      </c>
      <c r="D352" s="200">
        <v>0.84009999999999996</v>
      </c>
      <c r="E352" s="201">
        <v>9.3429000000000002</v>
      </c>
      <c r="F352" s="201">
        <v>0.2031</v>
      </c>
      <c r="G352" s="200">
        <f t="shared" si="44"/>
        <v>9.5459999999999994</v>
      </c>
      <c r="H352" s="200">
        <v>9.4362999999999992</v>
      </c>
      <c r="I352" s="200">
        <f t="shared" si="43"/>
        <v>0.10970000000000013</v>
      </c>
      <c r="J352" s="200">
        <f t="shared" si="45"/>
        <v>9.3399999999999872E-2</v>
      </c>
      <c r="K352" s="270">
        <f t="shared" si="46"/>
        <v>45.987198424421408</v>
      </c>
      <c r="L352" s="200">
        <v>1</v>
      </c>
      <c r="M352" s="206">
        <v>43186.458333333336</v>
      </c>
      <c r="N352" s="206">
        <v>43186.625</v>
      </c>
      <c r="O352" s="196" t="s">
        <v>2534</v>
      </c>
      <c r="P352" s="200" t="s">
        <v>2554</v>
      </c>
      <c r="AB352" s="110"/>
      <c r="AC352" s="110"/>
      <c r="AD352" s="110"/>
      <c r="AE352" s="110"/>
    </row>
    <row r="353" spans="1:31">
      <c r="A353" s="196" t="s">
        <v>1232</v>
      </c>
      <c r="C353" s="197">
        <v>182</v>
      </c>
      <c r="D353" s="196">
        <v>0.42420000000000002</v>
      </c>
      <c r="E353" s="200">
        <v>8.0953999999999997</v>
      </c>
      <c r="F353" s="201">
        <v>0.2084</v>
      </c>
      <c r="G353" s="200">
        <f t="shared" si="44"/>
        <v>8.303799999999999</v>
      </c>
      <c r="H353" s="200">
        <v>8.1163000000000007</v>
      </c>
      <c r="I353" s="200">
        <f t="shared" si="43"/>
        <v>0.18749999999999822</v>
      </c>
      <c r="J353" s="200">
        <f t="shared" si="45"/>
        <v>2.0900000000001778E-2</v>
      </c>
      <c r="K353" s="270">
        <f t="shared" si="46"/>
        <v>10.028790786949029</v>
      </c>
      <c r="L353" s="200">
        <v>44</v>
      </c>
      <c r="M353" s="203">
        <v>43212</v>
      </c>
      <c r="AB353" s="110"/>
      <c r="AC353" s="110"/>
      <c r="AD353" s="110"/>
      <c r="AE353" s="110"/>
    </row>
    <row r="354" spans="1:31">
      <c r="A354" s="200" t="s">
        <v>1231</v>
      </c>
      <c r="C354" s="200">
        <v>129</v>
      </c>
      <c r="D354" s="200">
        <v>0.39679999999999999</v>
      </c>
      <c r="E354" s="201">
        <v>9.0033999999999992</v>
      </c>
      <c r="F354" s="201">
        <v>0.2019</v>
      </c>
      <c r="G354" s="200">
        <f t="shared" si="44"/>
        <v>9.2052999999999994</v>
      </c>
      <c r="H354" s="200">
        <v>9.0358000000000001</v>
      </c>
      <c r="I354" s="200">
        <f t="shared" ref="I354:I367" si="47">(G354-H354)</f>
        <v>0.16949999999999932</v>
      </c>
      <c r="J354" s="200">
        <f t="shared" si="45"/>
        <v>3.2400000000000678E-2</v>
      </c>
      <c r="K354" s="270">
        <f t="shared" si="46"/>
        <v>16.047548291233621</v>
      </c>
      <c r="L354" s="200">
        <v>14</v>
      </c>
      <c r="M354" s="204">
        <v>43174</v>
      </c>
      <c r="N354" s="204">
        <v>43174</v>
      </c>
      <c r="O354" s="200" t="s">
        <v>2540</v>
      </c>
      <c r="P354" s="200" t="s">
        <v>2535</v>
      </c>
      <c r="AB354" s="110"/>
      <c r="AC354" s="110"/>
      <c r="AD354" s="110"/>
      <c r="AE354" s="110"/>
    </row>
    <row r="355" spans="1:31">
      <c r="A355" s="205" t="s">
        <v>1230</v>
      </c>
      <c r="C355" s="200">
        <v>134</v>
      </c>
      <c r="D355" s="200">
        <v>0.35370000000000001</v>
      </c>
      <c r="E355" s="201">
        <v>8.1324000000000005</v>
      </c>
      <c r="F355" s="201">
        <v>0.19989999999999999</v>
      </c>
      <c r="G355" s="200">
        <f t="shared" si="44"/>
        <v>8.3323</v>
      </c>
      <c r="H355" s="200">
        <v>8.1576000000000004</v>
      </c>
      <c r="I355" s="200">
        <f t="shared" si="47"/>
        <v>0.17469999999999963</v>
      </c>
      <c r="J355" s="200">
        <f t="shared" si="45"/>
        <v>2.5200000000000361E-2</v>
      </c>
      <c r="K355" s="270">
        <f t="shared" si="46"/>
        <v>12.606303151575968</v>
      </c>
      <c r="L355" s="200">
        <v>11</v>
      </c>
      <c r="M355" s="204">
        <v>43197</v>
      </c>
      <c r="N355" s="204">
        <v>43197</v>
      </c>
      <c r="O355" s="200"/>
      <c r="P355" s="200"/>
      <c r="AB355" s="110"/>
      <c r="AC355" s="110"/>
      <c r="AD355" s="110"/>
      <c r="AE355" s="110"/>
    </row>
    <row r="356" spans="1:31">
      <c r="A356" s="200" t="s">
        <v>1229</v>
      </c>
      <c r="C356" s="200">
        <v>195</v>
      </c>
      <c r="D356" s="200">
        <v>0.54490000000000005</v>
      </c>
      <c r="E356" s="200">
        <v>11.905200000000001</v>
      </c>
      <c r="F356" s="200">
        <v>0.20069999999999999</v>
      </c>
      <c r="G356" s="200">
        <f t="shared" si="44"/>
        <v>12.1059</v>
      </c>
      <c r="H356" s="200">
        <v>11.935499999999999</v>
      </c>
      <c r="I356" s="200">
        <f t="shared" si="47"/>
        <v>0.17040000000000077</v>
      </c>
      <c r="J356" s="200">
        <f t="shared" si="45"/>
        <v>3.0299999999999216E-2</v>
      </c>
      <c r="K356" s="270">
        <f t="shared" si="46"/>
        <v>15.097159940208879</v>
      </c>
      <c r="L356" s="200">
        <v>16</v>
      </c>
      <c r="M356" s="202">
        <v>43164.628472222219</v>
      </c>
      <c r="N356" s="202">
        <v>43164.795138888891</v>
      </c>
      <c r="O356" s="196" t="s">
        <v>2534</v>
      </c>
      <c r="P356" s="200"/>
      <c r="AB356" s="110"/>
      <c r="AC356" s="110"/>
      <c r="AD356" s="110"/>
      <c r="AE356" s="110"/>
    </row>
    <row r="357" spans="1:31">
      <c r="A357" s="201" t="s">
        <v>1228</v>
      </c>
      <c r="C357" s="200">
        <v>211</v>
      </c>
      <c r="D357" s="200">
        <v>0.62309999999999999</v>
      </c>
      <c r="E357" s="200">
        <v>9.0317000000000007</v>
      </c>
      <c r="F357" s="200">
        <v>0.20119999999999999</v>
      </c>
      <c r="G357" s="200">
        <f t="shared" si="44"/>
        <v>9.2329000000000008</v>
      </c>
      <c r="H357" s="200">
        <v>9.0663999999999998</v>
      </c>
      <c r="I357" s="200">
        <f t="shared" si="47"/>
        <v>0.16650000000000098</v>
      </c>
      <c r="J357" s="200">
        <f t="shared" si="45"/>
        <v>3.4699999999999009E-2</v>
      </c>
      <c r="K357" s="270">
        <f t="shared" si="46"/>
        <v>17.246520874750999</v>
      </c>
      <c r="L357" s="200">
        <v>14</v>
      </c>
      <c r="M357" s="204">
        <v>43173</v>
      </c>
      <c r="N357" s="204">
        <v>43173</v>
      </c>
      <c r="O357" s="200" t="s">
        <v>2540</v>
      </c>
      <c r="P357" s="200" t="s">
        <v>2539</v>
      </c>
      <c r="AB357" s="110"/>
      <c r="AC357" s="110"/>
      <c r="AD357" s="110"/>
      <c r="AE357" s="110"/>
    </row>
    <row r="358" spans="1:31">
      <c r="A358" s="205" t="s">
        <v>1226</v>
      </c>
      <c r="C358" s="200">
        <v>102</v>
      </c>
      <c r="D358" s="200">
        <v>0.3619</v>
      </c>
      <c r="E358" s="201">
        <v>8.8450000000000006</v>
      </c>
      <c r="F358" s="201">
        <v>0.20219999999999999</v>
      </c>
      <c r="G358" s="200">
        <f t="shared" si="44"/>
        <v>9.0472000000000001</v>
      </c>
      <c r="H358" s="200">
        <v>8.8706999999999994</v>
      </c>
      <c r="I358" s="200">
        <f t="shared" si="47"/>
        <v>0.17650000000000077</v>
      </c>
      <c r="J358" s="200">
        <f t="shared" si="45"/>
        <v>2.5699999999999223E-2</v>
      </c>
      <c r="K358" s="270">
        <f t="shared" si="46"/>
        <v>12.710187932739478</v>
      </c>
      <c r="L358" s="200">
        <v>3</v>
      </c>
      <c r="M358" s="202">
        <v>43181.645833333336</v>
      </c>
      <c r="N358" s="202">
        <v>43181.833333333336</v>
      </c>
      <c r="O358" s="200" t="s">
        <v>2540</v>
      </c>
      <c r="P358" s="200"/>
      <c r="AB358" s="110"/>
      <c r="AC358" s="110"/>
      <c r="AD358" s="110"/>
      <c r="AE358" s="110"/>
    </row>
    <row r="359" spans="1:31">
      <c r="A359" s="200" t="s">
        <v>1225</v>
      </c>
      <c r="C359" s="200">
        <v>121</v>
      </c>
      <c r="D359" s="200">
        <v>0.42509999999999998</v>
      </c>
      <c r="E359" s="200">
        <v>11.153499999999999</v>
      </c>
      <c r="F359" s="200">
        <v>0.20530000000000001</v>
      </c>
      <c r="G359" s="200">
        <f t="shared" si="44"/>
        <v>11.358799999999999</v>
      </c>
      <c r="H359" s="200">
        <v>11.174300000000001</v>
      </c>
      <c r="I359" s="200">
        <f t="shared" si="47"/>
        <v>0.18449999999999811</v>
      </c>
      <c r="J359" s="200">
        <f t="shared" si="45"/>
        <v>2.08000000000019E-2</v>
      </c>
      <c r="K359" s="270">
        <f t="shared" si="46"/>
        <v>10.131514856308767</v>
      </c>
      <c r="L359" s="200">
        <v>11</v>
      </c>
      <c r="M359" s="204">
        <v>43188</v>
      </c>
      <c r="N359" s="204">
        <v>43188</v>
      </c>
      <c r="O359" s="200"/>
      <c r="P359" s="200"/>
      <c r="AB359" s="110"/>
      <c r="AC359" s="110"/>
      <c r="AD359" s="110"/>
      <c r="AE359" s="110"/>
    </row>
    <row r="360" spans="1:31">
      <c r="A360" s="196" t="s">
        <v>1224</v>
      </c>
      <c r="C360" s="196">
        <v>179</v>
      </c>
      <c r="D360" s="196">
        <v>0.4194</v>
      </c>
      <c r="E360" s="200">
        <v>10.0555</v>
      </c>
      <c r="F360" s="201">
        <v>0.20530000000000001</v>
      </c>
      <c r="G360" s="200">
        <f t="shared" si="44"/>
        <v>10.2608</v>
      </c>
      <c r="H360" s="200">
        <v>10.073499999999999</v>
      </c>
      <c r="I360" s="200">
        <f t="shared" si="47"/>
        <v>0.18730000000000047</v>
      </c>
      <c r="J360" s="200">
        <f t="shared" si="45"/>
        <v>1.7999999999999544E-2</v>
      </c>
      <c r="K360" s="270">
        <f t="shared" si="46"/>
        <v>8.7676570871892565</v>
      </c>
      <c r="L360" s="200">
        <v>29</v>
      </c>
      <c r="M360" s="203">
        <v>43212</v>
      </c>
      <c r="AB360" s="110"/>
      <c r="AC360" s="110"/>
      <c r="AD360" s="110"/>
      <c r="AE360" s="110"/>
    </row>
    <row r="361" spans="1:31">
      <c r="A361" s="200" t="s">
        <v>1223</v>
      </c>
      <c r="C361" s="200">
        <v>155</v>
      </c>
      <c r="D361" s="201">
        <v>0.40339999999999998</v>
      </c>
      <c r="E361" s="200">
        <v>9.3427000000000007</v>
      </c>
      <c r="F361" s="201">
        <v>0.19980000000000001</v>
      </c>
      <c r="G361" s="200">
        <f t="shared" ref="G361:G367" si="48">E361+F361</f>
        <v>9.5425000000000004</v>
      </c>
      <c r="H361" s="200">
        <v>9.3811</v>
      </c>
      <c r="I361" s="200">
        <f t="shared" si="47"/>
        <v>0.16140000000000043</v>
      </c>
      <c r="J361" s="200">
        <f t="shared" ref="J361:J367" si="49">F361-I361</f>
        <v>3.8399999999999573E-2</v>
      </c>
      <c r="K361" s="270">
        <f t="shared" ref="K361:K367" si="50">(J361/F361)*100</f>
        <v>19.219219219219006</v>
      </c>
      <c r="L361" s="200">
        <v>23</v>
      </c>
      <c r="M361" s="204">
        <v>43206</v>
      </c>
      <c r="N361" s="204">
        <v>43206</v>
      </c>
      <c r="O361" s="200"/>
      <c r="P361" s="200"/>
      <c r="AB361" s="110"/>
      <c r="AC361" s="110"/>
      <c r="AD361" s="110"/>
      <c r="AE361" s="110"/>
    </row>
    <row r="362" spans="1:31">
      <c r="A362" s="205" t="s">
        <v>1222</v>
      </c>
      <c r="C362" s="200">
        <v>100</v>
      </c>
      <c r="D362" s="200">
        <v>0.36840000000000001</v>
      </c>
      <c r="E362" s="200">
        <v>7.1896000000000004</v>
      </c>
      <c r="F362" s="200">
        <v>0.19839999999999999</v>
      </c>
      <c r="G362" s="200">
        <f t="shared" si="48"/>
        <v>7.3880000000000008</v>
      </c>
      <c r="H362" s="200">
        <v>7.2173999999999996</v>
      </c>
      <c r="I362" s="200">
        <f t="shared" si="47"/>
        <v>0.1706000000000012</v>
      </c>
      <c r="J362" s="200">
        <f t="shared" si="49"/>
        <v>2.7799999999998798E-2</v>
      </c>
      <c r="K362" s="270">
        <f t="shared" si="50"/>
        <v>14.012096774192942</v>
      </c>
      <c r="L362" s="200">
        <v>19</v>
      </c>
      <c r="M362" s="204">
        <v>43188</v>
      </c>
      <c r="N362" s="204">
        <v>43188</v>
      </c>
      <c r="O362" s="200"/>
      <c r="P362" s="200"/>
      <c r="AB362" s="110"/>
      <c r="AC362" s="110"/>
      <c r="AD362" s="110"/>
      <c r="AE362" s="110"/>
    </row>
    <row r="363" spans="1:31">
      <c r="A363" s="205" t="s">
        <v>1220</v>
      </c>
      <c r="C363" s="200">
        <v>130</v>
      </c>
      <c r="D363" s="201">
        <v>0.35759999999999997</v>
      </c>
      <c r="E363" s="201">
        <v>10.0557</v>
      </c>
      <c r="F363" s="201">
        <v>0.20030000000000001</v>
      </c>
      <c r="G363" s="200">
        <f t="shared" si="48"/>
        <v>10.256</v>
      </c>
      <c r="H363" s="200">
        <v>10.081099999999999</v>
      </c>
      <c r="I363" s="200">
        <f t="shared" si="47"/>
        <v>0.17490000000000094</v>
      </c>
      <c r="J363" s="200">
        <f t="shared" si="49"/>
        <v>2.5399999999999062E-2</v>
      </c>
      <c r="K363" s="270">
        <f t="shared" si="50"/>
        <v>12.680978532201229</v>
      </c>
      <c r="L363" s="200">
        <v>36</v>
      </c>
      <c r="M363" s="202">
        <v>43181.645833333336</v>
      </c>
      <c r="N363" s="202">
        <v>43181.833333333336</v>
      </c>
      <c r="O363" s="200" t="s">
        <v>2540</v>
      </c>
      <c r="P363" s="200"/>
      <c r="AB363" s="110"/>
      <c r="AC363" s="110"/>
      <c r="AD363" s="110"/>
      <c r="AE363" s="110"/>
    </row>
    <row r="364" spans="1:31">
      <c r="A364" s="200" t="s">
        <v>1219</v>
      </c>
      <c r="C364" s="200">
        <v>111</v>
      </c>
      <c r="D364" s="200">
        <v>0.49049999999999999</v>
      </c>
      <c r="E364" s="201">
        <v>8.7337000000000007</v>
      </c>
      <c r="F364" s="201">
        <v>0.2054</v>
      </c>
      <c r="G364" s="200">
        <f t="shared" si="48"/>
        <v>8.9390999999999998</v>
      </c>
      <c r="H364" s="200">
        <v>8.7631999999999994</v>
      </c>
      <c r="I364" s="200">
        <f t="shared" si="47"/>
        <v>0.17590000000000039</v>
      </c>
      <c r="J364" s="200">
        <f t="shared" si="49"/>
        <v>2.949999999999961E-2</v>
      </c>
      <c r="K364" s="270">
        <f t="shared" si="50"/>
        <v>14.3622200584224</v>
      </c>
      <c r="L364" s="200">
        <v>47</v>
      </c>
      <c r="M364" s="206">
        <v>43186.458333333336</v>
      </c>
      <c r="N364" s="206">
        <v>43186.625</v>
      </c>
      <c r="O364" s="196" t="s">
        <v>2534</v>
      </c>
      <c r="P364" s="200"/>
      <c r="AB364" s="110"/>
      <c r="AC364" s="110"/>
      <c r="AD364" s="110"/>
      <c r="AE364" s="110"/>
    </row>
    <row r="365" spans="1:31">
      <c r="A365" s="196" t="s">
        <v>1218</v>
      </c>
      <c r="C365" s="196">
        <v>136</v>
      </c>
      <c r="D365" s="196">
        <v>0.38069999999999998</v>
      </c>
      <c r="E365" s="196">
        <v>7.0791000000000004</v>
      </c>
      <c r="F365" s="196">
        <v>0.2029</v>
      </c>
      <c r="G365" s="196">
        <f t="shared" si="48"/>
        <v>7.282</v>
      </c>
      <c r="H365" s="196">
        <v>7.1097000000000001</v>
      </c>
      <c r="I365" s="196">
        <f t="shared" si="47"/>
        <v>0.1722999999999999</v>
      </c>
      <c r="J365" s="200">
        <f t="shared" si="49"/>
        <v>3.0600000000000099E-2</v>
      </c>
      <c r="K365" s="270">
        <f t="shared" si="50"/>
        <v>15.08132084770828</v>
      </c>
      <c r="L365" s="196">
        <v>7</v>
      </c>
      <c r="M365" s="196">
        <v>43157.527777777781</v>
      </c>
      <c r="N365" s="196">
        <v>43157.694444444445</v>
      </c>
      <c r="O365" s="196" t="s">
        <v>2540</v>
      </c>
      <c r="AB365" s="110"/>
      <c r="AC365" s="110"/>
      <c r="AD365" s="110"/>
      <c r="AE365" s="110"/>
    </row>
    <row r="366" spans="1:31">
      <c r="A366" s="196" t="s">
        <v>1217</v>
      </c>
      <c r="C366" s="196">
        <v>128</v>
      </c>
      <c r="D366" s="196">
        <v>0.37309999999999999</v>
      </c>
      <c r="E366" s="196">
        <v>8.4431999999999992</v>
      </c>
      <c r="F366" s="196">
        <v>0.1978</v>
      </c>
      <c r="G366" s="196">
        <f t="shared" si="48"/>
        <v>8.641</v>
      </c>
      <c r="H366" s="196">
        <v>8.4629999999999992</v>
      </c>
      <c r="I366" s="196">
        <f t="shared" si="47"/>
        <v>0.17800000000000082</v>
      </c>
      <c r="J366" s="200">
        <f t="shared" si="49"/>
        <v>1.9799999999999179E-2</v>
      </c>
      <c r="K366" s="270">
        <f t="shared" si="50"/>
        <v>10.010111223457624</v>
      </c>
      <c r="L366" s="196">
        <v>10</v>
      </c>
      <c r="M366" s="196">
        <v>43157.395833333336</v>
      </c>
      <c r="N366" s="196">
        <v>43157.569444444445</v>
      </c>
      <c r="O366" s="196" t="s">
        <v>2534</v>
      </c>
      <c r="AB366" s="110"/>
      <c r="AC366" s="110"/>
      <c r="AD366" s="110"/>
      <c r="AE366" s="110"/>
    </row>
    <row r="367" spans="1:31">
      <c r="A367" s="196" t="s">
        <v>1216</v>
      </c>
      <c r="C367" s="196">
        <v>128</v>
      </c>
      <c r="D367" s="196">
        <v>0.35189999999999999</v>
      </c>
      <c r="E367" s="196">
        <v>8.7677999999999994</v>
      </c>
      <c r="F367" s="196">
        <v>0.20730000000000001</v>
      </c>
      <c r="G367" s="196">
        <f t="shared" si="48"/>
        <v>8.9750999999999994</v>
      </c>
      <c r="H367" s="196">
        <v>8.7946000000000009</v>
      </c>
      <c r="I367" s="196">
        <f t="shared" si="47"/>
        <v>0.18049999999999855</v>
      </c>
      <c r="J367" s="200">
        <f t="shared" si="49"/>
        <v>2.6800000000001462E-2</v>
      </c>
      <c r="K367" s="270">
        <f t="shared" si="50"/>
        <v>12.928123492523619</v>
      </c>
      <c r="L367" s="196">
        <v>9</v>
      </c>
      <c r="M367" s="196">
        <v>43157.395833333336</v>
      </c>
      <c r="N367" s="196">
        <v>43157.569444444445</v>
      </c>
      <c r="O367" s="196" t="s">
        <v>2534</v>
      </c>
      <c r="AB367" s="110"/>
      <c r="AC367" s="110"/>
      <c r="AD367" s="110"/>
      <c r="AE367" s="110"/>
    </row>
    <row r="368" spans="1:31">
      <c r="A368" s="196" t="s">
        <v>1215</v>
      </c>
      <c r="C368" s="196">
        <v>148</v>
      </c>
      <c r="P368" s="196" t="s">
        <v>3215</v>
      </c>
      <c r="AB368" s="110"/>
      <c r="AC368" s="110"/>
      <c r="AD368" s="110"/>
      <c r="AE368" s="110"/>
    </row>
    <row r="369" spans="1:31">
      <c r="A369" s="200" t="s">
        <v>1214</v>
      </c>
      <c r="C369" s="200">
        <v>143</v>
      </c>
      <c r="D369" s="200">
        <v>0.42659999999999998</v>
      </c>
      <c r="E369" s="200">
        <v>9.0321999999999996</v>
      </c>
      <c r="F369" s="200">
        <v>0.20749999999999999</v>
      </c>
      <c r="G369" s="200">
        <f t="shared" ref="G369:G400" si="51">E369+F369</f>
        <v>9.2396999999999991</v>
      </c>
      <c r="H369" s="200">
        <v>9.0593000000000004</v>
      </c>
      <c r="I369" s="200">
        <f t="shared" ref="I369:I400" si="52">(G369-H369)</f>
        <v>0.18039999999999878</v>
      </c>
      <c r="J369" s="200">
        <f t="shared" ref="J369:J400" si="53">F369-I369</f>
        <v>2.7100000000001206E-2</v>
      </c>
      <c r="K369" s="270">
        <f t="shared" ref="K369:K400" si="54">(J369/F369)*100</f>
        <v>13.060240963856003</v>
      </c>
      <c r="L369" s="200">
        <v>12</v>
      </c>
      <c r="M369" s="202">
        <v>43171.520833333336</v>
      </c>
      <c r="N369" s="202">
        <v>43171.6875</v>
      </c>
      <c r="O369" s="196" t="s">
        <v>2534</v>
      </c>
      <c r="P369" s="200"/>
      <c r="AB369" s="110"/>
      <c r="AC369" s="110"/>
      <c r="AD369" s="110"/>
      <c r="AE369" s="110"/>
    </row>
    <row r="370" spans="1:31">
      <c r="A370" s="205" t="s">
        <v>1213</v>
      </c>
      <c r="C370" s="200">
        <v>106</v>
      </c>
      <c r="D370" s="201">
        <v>0.39040000000000002</v>
      </c>
      <c r="E370" s="201">
        <v>10.7933</v>
      </c>
      <c r="F370" s="201">
        <v>0.20569999999999999</v>
      </c>
      <c r="G370" s="200">
        <f t="shared" si="51"/>
        <v>10.999000000000001</v>
      </c>
      <c r="H370" s="200">
        <v>10.821999999999999</v>
      </c>
      <c r="I370" s="200">
        <f t="shared" si="52"/>
        <v>0.17700000000000138</v>
      </c>
      <c r="J370" s="200">
        <f t="shared" si="53"/>
        <v>2.8699999999998616E-2</v>
      </c>
      <c r="K370" s="270">
        <f t="shared" si="54"/>
        <v>13.95235780262451</v>
      </c>
      <c r="L370" s="200">
        <v>40</v>
      </c>
      <c r="M370" s="202">
        <v>43181.645833333336</v>
      </c>
      <c r="N370" s="202">
        <v>43181.833333333336</v>
      </c>
      <c r="O370" s="200" t="s">
        <v>2540</v>
      </c>
      <c r="P370" s="200"/>
      <c r="AB370" s="110"/>
      <c r="AC370" s="110"/>
      <c r="AD370" s="110"/>
      <c r="AE370" s="110"/>
    </row>
    <row r="371" spans="1:31">
      <c r="A371" s="196" t="s">
        <v>1212</v>
      </c>
      <c r="C371" s="197">
        <v>29</v>
      </c>
      <c r="D371" s="196">
        <v>0.51539999999999997</v>
      </c>
      <c r="E371" s="200">
        <v>8.1179000000000006</v>
      </c>
      <c r="F371" s="201">
        <v>0.20630000000000001</v>
      </c>
      <c r="G371" s="200">
        <f t="shared" si="51"/>
        <v>8.3242000000000012</v>
      </c>
      <c r="H371" s="200">
        <v>8.1349</v>
      </c>
      <c r="I371" s="200">
        <f t="shared" si="52"/>
        <v>0.18930000000000113</v>
      </c>
      <c r="J371" s="200">
        <f t="shared" si="53"/>
        <v>1.6999999999998877E-2</v>
      </c>
      <c r="K371" s="270">
        <f t="shared" si="54"/>
        <v>8.2404265632568467</v>
      </c>
      <c r="L371" s="200">
        <v>8</v>
      </c>
      <c r="M371" s="203">
        <v>43213</v>
      </c>
      <c r="N371" s="203">
        <v>43213</v>
      </c>
      <c r="AB371" s="110"/>
      <c r="AC371" s="110"/>
      <c r="AD371" s="110"/>
      <c r="AE371" s="110"/>
    </row>
    <row r="372" spans="1:31">
      <c r="A372" s="205" t="s">
        <v>1211</v>
      </c>
      <c r="C372" s="200">
        <v>122</v>
      </c>
      <c r="D372" s="200">
        <v>0.41839999999999999</v>
      </c>
      <c r="E372" s="201">
        <v>8.2185000000000006</v>
      </c>
      <c r="F372" s="201">
        <v>0.20039999999999999</v>
      </c>
      <c r="G372" s="200">
        <f t="shared" si="51"/>
        <v>8.4189000000000007</v>
      </c>
      <c r="H372" s="200">
        <v>8.2510999999999992</v>
      </c>
      <c r="I372" s="200">
        <f t="shared" si="52"/>
        <v>0.1678000000000015</v>
      </c>
      <c r="J372" s="200">
        <f t="shared" si="53"/>
        <v>3.2599999999998491E-2</v>
      </c>
      <c r="K372" s="270">
        <f t="shared" si="54"/>
        <v>16.267465069859526</v>
      </c>
      <c r="L372" s="200">
        <v>7</v>
      </c>
      <c r="M372" s="202">
        <v>43181.645833333336</v>
      </c>
      <c r="N372" s="202">
        <v>43181.833333333336</v>
      </c>
      <c r="O372" s="200" t="s">
        <v>2540</v>
      </c>
      <c r="P372" s="200"/>
      <c r="AB372" s="110"/>
      <c r="AC372" s="110"/>
      <c r="AD372" s="110"/>
      <c r="AE372" s="110"/>
    </row>
    <row r="373" spans="1:31">
      <c r="A373" s="205" t="s">
        <v>1210</v>
      </c>
      <c r="C373" s="200">
        <v>82</v>
      </c>
      <c r="D373" s="200">
        <v>0.53169999999999995</v>
      </c>
      <c r="E373" s="201">
        <v>9.7276000000000007</v>
      </c>
      <c r="F373" s="201">
        <v>0.2026</v>
      </c>
      <c r="G373" s="200">
        <f t="shared" si="51"/>
        <v>9.930200000000001</v>
      </c>
      <c r="H373" s="200">
        <v>9.7446000000000002</v>
      </c>
      <c r="I373" s="200">
        <f t="shared" si="52"/>
        <v>0.18560000000000088</v>
      </c>
      <c r="J373" s="200">
        <f t="shared" si="53"/>
        <v>1.6999999999999127E-2</v>
      </c>
      <c r="K373" s="270">
        <f t="shared" si="54"/>
        <v>8.3909180651525794</v>
      </c>
      <c r="L373" s="200">
        <v>19</v>
      </c>
      <c r="M373" s="204">
        <v>43197</v>
      </c>
      <c r="N373" s="204">
        <v>43197</v>
      </c>
      <c r="O373" s="200"/>
      <c r="P373" s="200"/>
      <c r="AB373" s="110"/>
      <c r="AC373" s="110"/>
      <c r="AD373" s="110"/>
      <c r="AE373" s="110"/>
    </row>
    <row r="374" spans="1:31">
      <c r="A374" s="196" t="s">
        <v>1209</v>
      </c>
      <c r="C374" s="196">
        <v>126</v>
      </c>
      <c r="D374" s="196">
        <v>0.3841</v>
      </c>
      <c r="E374" s="196">
        <v>7.3541999999999996</v>
      </c>
      <c r="F374" s="196">
        <v>0.19570000000000001</v>
      </c>
      <c r="G374" s="196">
        <f t="shared" si="51"/>
        <v>7.5499000000000001</v>
      </c>
      <c r="H374" s="196">
        <v>7.3788</v>
      </c>
      <c r="I374" s="196">
        <f t="shared" si="52"/>
        <v>0.17110000000000003</v>
      </c>
      <c r="J374" s="200">
        <f t="shared" si="53"/>
        <v>2.4599999999999983E-2</v>
      </c>
      <c r="K374" s="270">
        <f t="shared" si="54"/>
        <v>12.570260602963709</v>
      </c>
      <c r="L374" s="196">
        <v>2</v>
      </c>
      <c r="M374" s="196">
        <v>43157.527777777781</v>
      </c>
      <c r="N374" s="196">
        <v>43157.694444444445</v>
      </c>
      <c r="O374" s="196" t="s">
        <v>2540</v>
      </c>
      <c r="AB374" s="110"/>
      <c r="AC374" s="110"/>
      <c r="AD374" s="110"/>
      <c r="AE374" s="110"/>
    </row>
    <row r="375" spans="1:31">
      <c r="A375" s="200" t="s">
        <v>1208</v>
      </c>
      <c r="C375" s="200">
        <v>135</v>
      </c>
      <c r="D375" s="200">
        <f>0.17+F375</f>
        <v>0.37019999999999997</v>
      </c>
      <c r="E375" s="201">
        <v>10.107200000000001</v>
      </c>
      <c r="F375" s="201">
        <v>0.20019999999999999</v>
      </c>
      <c r="G375" s="200">
        <f t="shared" si="51"/>
        <v>10.307400000000001</v>
      </c>
      <c r="H375" s="200">
        <v>10.135999999999999</v>
      </c>
      <c r="I375" s="200">
        <f t="shared" si="52"/>
        <v>0.171400000000002</v>
      </c>
      <c r="J375" s="200">
        <f t="shared" si="53"/>
        <v>2.8799999999997994E-2</v>
      </c>
      <c r="K375" s="270">
        <f t="shared" si="54"/>
        <v>14.385614385613385</v>
      </c>
      <c r="L375" s="200">
        <v>27</v>
      </c>
      <c r="M375" s="204">
        <v>43174</v>
      </c>
      <c r="N375" s="204">
        <v>43174</v>
      </c>
      <c r="O375" s="200" t="s">
        <v>2540</v>
      </c>
      <c r="P375" s="200" t="s">
        <v>2535</v>
      </c>
      <c r="AB375" s="110"/>
      <c r="AC375" s="110"/>
      <c r="AD375" s="110"/>
      <c r="AE375" s="110"/>
    </row>
    <row r="376" spans="1:31">
      <c r="A376" s="205" t="s">
        <v>1205</v>
      </c>
      <c r="C376" s="200">
        <v>108</v>
      </c>
      <c r="D376" s="200">
        <v>0.3609</v>
      </c>
      <c r="E376" s="201">
        <v>7.7736000000000001</v>
      </c>
      <c r="F376" s="201">
        <v>0.2011</v>
      </c>
      <c r="G376" s="200">
        <f t="shared" si="51"/>
        <v>7.9747000000000003</v>
      </c>
      <c r="H376" s="200">
        <v>7.7999000000000001</v>
      </c>
      <c r="I376" s="200">
        <f t="shared" si="52"/>
        <v>0.17480000000000029</v>
      </c>
      <c r="J376" s="200">
        <f t="shared" si="53"/>
        <v>2.6299999999999712E-2</v>
      </c>
      <c r="K376" s="270">
        <f t="shared" si="54"/>
        <v>13.078070611635859</v>
      </c>
      <c r="L376" s="200">
        <v>38</v>
      </c>
      <c r="M376" s="206">
        <v>43186.458333333336</v>
      </c>
      <c r="N376" s="206">
        <v>43186.625</v>
      </c>
      <c r="O376" s="196" t="s">
        <v>2534</v>
      </c>
      <c r="P376" s="200"/>
      <c r="AB376" s="110"/>
      <c r="AC376" s="110"/>
      <c r="AD376" s="110"/>
      <c r="AE376" s="110"/>
    </row>
    <row r="377" spans="1:31">
      <c r="A377" s="196" t="s">
        <v>1204</v>
      </c>
      <c r="C377" s="196">
        <v>133</v>
      </c>
      <c r="D377" s="196">
        <v>0.38790000000000002</v>
      </c>
      <c r="E377" s="196">
        <v>9.0521999999999991</v>
      </c>
      <c r="F377" s="196">
        <v>0.20130000000000001</v>
      </c>
      <c r="G377" s="196">
        <f t="shared" si="51"/>
        <v>9.2534999999999989</v>
      </c>
      <c r="H377" s="196">
        <v>9.0749999999999993</v>
      </c>
      <c r="I377" s="196">
        <f t="shared" si="52"/>
        <v>0.17849999999999966</v>
      </c>
      <c r="J377" s="200">
        <f t="shared" si="53"/>
        <v>2.2800000000000348E-2</v>
      </c>
      <c r="K377" s="270">
        <f t="shared" si="54"/>
        <v>11.326378539493467</v>
      </c>
      <c r="L377" s="196">
        <v>17</v>
      </c>
      <c r="M377" s="196">
        <v>43157.395833333336</v>
      </c>
      <c r="N377" s="196">
        <v>43157.569444444445</v>
      </c>
      <c r="O377" s="196" t="s">
        <v>2534</v>
      </c>
      <c r="AB377" s="110"/>
      <c r="AC377" s="110"/>
      <c r="AD377" s="110"/>
      <c r="AE377" s="110"/>
    </row>
    <row r="378" spans="1:31">
      <c r="A378" s="196" t="s">
        <v>1203</v>
      </c>
      <c r="C378" s="197">
        <v>97</v>
      </c>
      <c r="D378" s="196">
        <v>0.42770000000000002</v>
      </c>
      <c r="E378" s="201">
        <v>10.921200000000001</v>
      </c>
      <c r="F378" s="201">
        <v>0.20860000000000001</v>
      </c>
      <c r="G378" s="200">
        <f t="shared" si="51"/>
        <v>11.129800000000001</v>
      </c>
      <c r="H378" s="200">
        <v>10.9663</v>
      </c>
      <c r="I378" s="200">
        <f t="shared" si="52"/>
        <v>0.16350000000000087</v>
      </c>
      <c r="J378" s="200">
        <f t="shared" si="53"/>
        <v>4.5099999999999141E-2</v>
      </c>
      <c r="K378" s="270">
        <f t="shared" si="54"/>
        <v>21.620325982741679</v>
      </c>
      <c r="L378" s="200">
        <v>11</v>
      </c>
      <c r="AB378" s="110"/>
      <c r="AC378" s="110"/>
      <c r="AD378" s="110"/>
      <c r="AE378" s="110"/>
    </row>
    <row r="379" spans="1:31">
      <c r="A379" s="196" t="s">
        <v>1201</v>
      </c>
      <c r="C379" s="196">
        <v>220</v>
      </c>
      <c r="D379" s="196">
        <v>0.46010000000000001</v>
      </c>
      <c r="E379" s="201">
        <v>7.9047999999999998</v>
      </c>
      <c r="F379" s="201">
        <v>0.20230000000000001</v>
      </c>
      <c r="G379" s="200">
        <f t="shared" si="51"/>
        <v>8.1070999999999991</v>
      </c>
      <c r="H379" s="200">
        <v>7.9282000000000004</v>
      </c>
      <c r="I379" s="200">
        <f t="shared" si="52"/>
        <v>0.17889999999999873</v>
      </c>
      <c r="J379" s="200">
        <f t="shared" si="53"/>
        <v>2.3400000000001281E-2</v>
      </c>
      <c r="K379" s="270">
        <f t="shared" si="54"/>
        <v>11.566979733070331</v>
      </c>
      <c r="L379" s="200">
        <v>17</v>
      </c>
      <c r="AB379" s="110"/>
      <c r="AC379" s="110"/>
      <c r="AD379" s="110"/>
      <c r="AE379" s="110"/>
    </row>
    <row r="380" spans="1:31">
      <c r="A380" s="205" t="s">
        <v>1200</v>
      </c>
      <c r="C380" s="200">
        <v>142</v>
      </c>
      <c r="D380" s="200">
        <v>0.5554</v>
      </c>
      <c r="E380" s="201">
        <v>8.7684999999999995</v>
      </c>
      <c r="F380" s="201">
        <v>0.20230000000000001</v>
      </c>
      <c r="G380" s="200">
        <f t="shared" si="51"/>
        <v>8.9707999999999988</v>
      </c>
      <c r="H380" s="200">
        <v>8.7984000000000009</v>
      </c>
      <c r="I380" s="200">
        <f t="shared" si="52"/>
        <v>0.17239999999999789</v>
      </c>
      <c r="J380" s="200">
        <f t="shared" si="53"/>
        <v>2.9900000000002119E-2</v>
      </c>
      <c r="K380" s="270">
        <f t="shared" si="54"/>
        <v>14.780029658923441</v>
      </c>
      <c r="L380" s="200">
        <v>2</v>
      </c>
      <c r="M380" s="206">
        <v>43186.458333333336</v>
      </c>
      <c r="N380" s="206">
        <v>43186.625</v>
      </c>
      <c r="O380" s="196" t="s">
        <v>2534</v>
      </c>
      <c r="P380" s="200"/>
      <c r="AB380" s="110"/>
      <c r="AC380" s="110"/>
      <c r="AD380" s="110"/>
      <c r="AE380" s="110"/>
    </row>
    <row r="381" spans="1:31">
      <c r="A381" s="196" t="s">
        <v>1198</v>
      </c>
      <c r="C381" s="196">
        <v>112</v>
      </c>
      <c r="D381" s="196">
        <v>0.48280000000000001</v>
      </c>
      <c r="E381" s="196">
        <v>20.991</v>
      </c>
      <c r="F381" s="196">
        <v>0.20369999999999999</v>
      </c>
      <c r="G381" s="196">
        <f t="shared" si="51"/>
        <v>21.194700000000001</v>
      </c>
      <c r="H381" s="196">
        <v>21.018999999999998</v>
      </c>
      <c r="I381" s="196">
        <f t="shared" si="52"/>
        <v>0.17570000000000263</v>
      </c>
      <c r="J381" s="200">
        <f t="shared" si="53"/>
        <v>2.799999999999736E-2</v>
      </c>
      <c r="K381" s="270">
        <f t="shared" si="54"/>
        <v>13.745704467352656</v>
      </c>
      <c r="L381" s="196">
        <v>12</v>
      </c>
      <c r="M381" s="196" t="s">
        <v>2560</v>
      </c>
      <c r="N381" s="196">
        <v>43153.729166666664</v>
      </c>
      <c r="O381" s="196" t="s">
        <v>2534</v>
      </c>
      <c r="P381" s="196" t="s">
        <v>2558</v>
      </c>
      <c r="AB381" s="110"/>
      <c r="AC381" s="110"/>
      <c r="AD381" s="110"/>
      <c r="AE381" s="110"/>
    </row>
    <row r="382" spans="1:31">
      <c r="A382" s="196" t="s">
        <v>1197</v>
      </c>
      <c r="C382" s="197">
        <v>152</v>
      </c>
      <c r="D382" s="196">
        <v>0.38779999999999998</v>
      </c>
      <c r="E382" s="201">
        <v>10.794</v>
      </c>
      <c r="F382" s="201">
        <v>0.2019</v>
      </c>
      <c r="G382" s="200">
        <f t="shared" si="51"/>
        <v>10.995900000000001</v>
      </c>
      <c r="H382" s="200">
        <v>10.836</v>
      </c>
      <c r="I382" s="200">
        <f t="shared" si="52"/>
        <v>0.15990000000000038</v>
      </c>
      <c r="J382" s="200">
        <f t="shared" si="53"/>
        <v>4.1999999999999621E-2</v>
      </c>
      <c r="K382" s="270">
        <f t="shared" si="54"/>
        <v>20.802377414561477</v>
      </c>
      <c r="L382" s="200">
        <v>35</v>
      </c>
      <c r="M382" s="203">
        <v>43221</v>
      </c>
      <c r="N382" s="203">
        <v>43221</v>
      </c>
      <c r="AB382" s="110"/>
      <c r="AC382" s="110"/>
      <c r="AD382" s="110"/>
      <c r="AE382" s="110"/>
    </row>
    <row r="383" spans="1:31">
      <c r="A383" s="200" t="s">
        <v>1194</v>
      </c>
      <c r="C383" s="200">
        <v>51</v>
      </c>
      <c r="D383" s="201">
        <v>0.56730000000000003</v>
      </c>
      <c r="E383" s="200">
        <v>10.153600000000001</v>
      </c>
      <c r="F383" s="201">
        <v>0.20530000000000001</v>
      </c>
      <c r="G383" s="200">
        <f t="shared" si="51"/>
        <v>10.3589</v>
      </c>
      <c r="H383" s="200">
        <v>10.173299999999999</v>
      </c>
      <c r="I383" s="200">
        <f t="shared" si="52"/>
        <v>0.18560000000000088</v>
      </c>
      <c r="J383" s="200">
        <f t="shared" si="53"/>
        <v>1.9699999999999135E-2</v>
      </c>
      <c r="K383" s="270">
        <f t="shared" si="54"/>
        <v>9.5957135898680637</v>
      </c>
      <c r="L383" s="200">
        <v>23</v>
      </c>
      <c r="M383" s="200"/>
      <c r="N383" s="200"/>
      <c r="O383" s="200"/>
      <c r="P383" s="200"/>
      <c r="R383" s="196">
        <v>9</v>
      </c>
      <c r="S383" s="196">
        <v>0.63880000000000003</v>
      </c>
      <c r="U383" s="201" t="s">
        <v>640</v>
      </c>
      <c r="V383" s="196">
        <v>0.68730000000000002</v>
      </c>
      <c r="W383" s="196">
        <f>(V383-$T$175+F381)</f>
        <v>0.89100000000000001</v>
      </c>
      <c r="AB383" s="110"/>
      <c r="AC383" s="110"/>
      <c r="AD383" s="110"/>
      <c r="AE383" s="110"/>
    </row>
    <row r="384" spans="1:31">
      <c r="A384" s="200" t="s">
        <v>1193</v>
      </c>
      <c r="C384" s="200">
        <v>137</v>
      </c>
      <c r="D384" s="201">
        <v>0.41739999999999999</v>
      </c>
      <c r="E384" s="200">
        <v>9.0518999999999998</v>
      </c>
      <c r="F384" s="201">
        <v>0.20660000000000001</v>
      </c>
      <c r="G384" s="200">
        <f t="shared" si="51"/>
        <v>9.2584999999999997</v>
      </c>
      <c r="H384" s="200">
        <v>9.0825999999999993</v>
      </c>
      <c r="I384" s="200">
        <f t="shared" si="52"/>
        <v>0.17590000000000039</v>
      </c>
      <c r="J384" s="200">
        <f t="shared" si="53"/>
        <v>3.0699999999999616E-2</v>
      </c>
      <c r="K384" s="270">
        <f t="shared" si="54"/>
        <v>14.85963213939962</v>
      </c>
      <c r="L384" s="200">
        <v>27</v>
      </c>
      <c r="M384" s="204">
        <v>43206</v>
      </c>
      <c r="N384" s="204">
        <v>43206</v>
      </c>
      <c r="O384" s="200"/>
      <c r="P384" s="200"/>
      <c r="AB384" s="110"/>
      <c r="AC384" s="110"/>
      <c r="AD384" s="110"/>
      <c r="AE384" s="110"/>
    </row>
    <row r="385" spans="1:31">
      <c r="A385" s="196" t="s">
        <v>1192</v>
      </c>
      <c r="C385" s="196">
        <v>215</v>
      </c>
      <c r="D385" s="196">
        <v>0.50380000000000003</v>
      </c>
      <c r="E385" s="201">
        <v>9.8874999999999993</v>
      </c>
      <c r="F385" s="201">
        <v>0.20039999999999999</v>
      </c>
      <c r="G385" s="200">
        <f t="shared" si="51"/>
        <v>10.087899999999999</v>
      </c>
      <c r="H385" s="200">
        <v>9.9017999999999997</v>
      </c>
      <c r="I385" s="200">
        <f t="shared" si="52"/>
        <v>0.18609999999999971</v>
      </c>
      <c r="J385" s="200">
        <f t="shared" si="53"/>
        <v>1.4300000000000285E-2</v>
      </c>
      <c r="K385" s="270">
        <f t="shared" si="54"/>
        <v>7.1357285429143147</v>
      </c>
      <c r="L385" s="200">
        <v>24</v>
      </c>
      <c r="M385" s="203">
        <v>43221</v>
      </c>
      <c r="N385" s="203">
        <v>43221</v>
      </c>
      <c r="AB385" s="110"/>
      <c r="AC385" s="110"/>
      <c r="AD385" s="110"/>
      <c r="AE385" s="110"/>
    </row>
    <row r="386" spans="1:31">
      <c r="A386" s="200" t="s">
        <v>1191</v>
      </c>
      <c r="C386" s="200">
        <v>155</v>
      </c>
      <c r="D386" s="201">
        <v>0.46060000000000001</v>
      </c>
      <c r="E386" s="200">
        <v>9.0318000000000005</v>
      </c>
      <c r="F386" s="201">
        <v>0.2041</v>
      </c>
      <c r="G386" s="200">
        <f t="shared" si="51"/>
        <v>9.2359000000000009</v>
      </c>
      <c r="H386" s="200">
        <v>9.0668000000000006</v>
      </c>
      <c r="I386" s="200">
        <f t="shared" si="52"/>
        <v>0.16910000000000025</v>
      </c>
      <c r="J386" s="200">
        <f t="shared" si="53"/>
        <v>3.4999999999999754E-2</v>
      </c>
      <c r="K386" s="270">
        <f t="shared" si="54"/>
        <v>17.148456638902378</v>
      </c>
      <c r="L386" s="200">
        <v>24</v>
      </c>
      <c r="M386" s="204">
        <v>43206</v>
      </c>
      <c r="N386" s="204">
        <v>43206</v>
      </c>
      <c r="O386" s="200"/>
      <c r="P386" s="200"/>
      <c r="AB386" s="110"/>
      <c r="AC386" s="110"/>
      <c r="AD386" s="110"/>
      <c r="AE386" s="110"/>
    </row>
    <row r="387" spans="1:31">
      <c r="A387" s="205" t="s">
        <v>1190</v>
      </c>
      <c r="C387" s="200">
        <v>122</v>
      </c>
      <c r="D387" s="200">
        <v>0.55149999999999999</v>
      </c>
      <c r="E387" s="201">
        <v>8.1179000000000006</v>
      </c>
      <c r="F387" s="201">
        <v>0.20180000000000001</v>
      </c>
      <c r="G387" s="200">
        <f t="shared" si="51"/>
        <v>8.319700000000001</v>
      </c>
      <c r="H387" s="200">
        <v>8.1837</v>
      </c>
      <c r="I387" s="200">
        <f t="shared" si="52"/>
        <v>0.13600000000000101</v>
      </c>
      <c r="J387" s="200">
        <f t="shared" si="53"/>
        <v>6.5799999999998998E-2</v>
      </c>
      <c r="K387" s="270">
        <f t="shared" si="54"/>
        <v>32.606541129831015</v>
      </c>
      <c r="L387" s="200">
        <v>8</v>
      </c>
      <c r="M387" s="202">
        <v>43181.645833333336</v>
      </c>
      <c r="N387" s="202">
        <v>43181.833333333336</v>
      </c>
      <c r="O387" s="200" t="s">
        <v>2540</v>
      </c>
      <c r="P387" s="200"/>
      <c r="AB387" s="110"/>
      <c r="AC387" s="110"/>
      <c r="AD387" s="110"/>
      <c r="AE387" s="110"/>
    </row>
    <row r="388" spans="1:31">
      <c r="A388" s="196" t="s">
        <v>1189</v>
      </c>
      <c r="C388" s="196">
        <v>105</v>
      </c>
      <c r="D388" s="196">
        <v>0.39269999999999999</v>
      </c>
      <c r="E388" s="196">
        <v>20.041599999999999</v>
      </c>
      <c r="F388" s="196">
        <v>0.11600000000000001</v>
      </c>
      <c r="G388" s="196">
        <f t="shared" si="51"/>
        <v>20.157599999999999</v>
      </c>
      <c r="H388" s="196">
        <v>20.065300000000001</v>
      </c>
      <c r="I388" s="196">
        <f t="shared" si="52"/>
        <v>9.229999999999805E-2</v>
      </c>
      <c r="J388" s="200">
        <f t="shared" si="53"/>
        <v>2.3700000000001956E-2</v>
      </c>
      <c r="K388" s="270">
        <f t="shared" si="54"/>
        <v>20.431034482760303</v>
      </c>
      <c r="L388" s="196">
        <v>9</v>
      </c>
      <c r="M388" s="196" t="s">
        <v>2560</v>
      </c>
      <c r="N388" s="196">
        <v>43153.729166666664</v>
      </c>
      <c r="O388" s="196" t="s">
        <v>2534</v>
      </c>
      <c r="P388" s="196" t="s">
        <v>2559</v>
      </c>
      <c r="AB388" s="110"/>
      <c r="AC388" s="110"/>
      <c r="AD388" s="110"/>
      <c r="AE388" s="110"/>
    </row>
    <row r="389" spans="1:31">
      <c r="A389" s="196" t="s">
        <v>1187</v>
      </c>
      <c r="C389" s="197">
        <v>193</v>
      </c>
      <c r="D389" s="196">
        <v>0.46110000000000001</v>
      </c>
      <c r="E389" s="201">
        <v>10.116099999999999</v>
      </c>
      <c r="F389" s="201">
        <v>0.20549999999999999</v>
      </c>
      <c r="G389" s="200">
        <f t="shared" si="51"/>
        <v>10.3216</v>
      </c>
      <c r="H389" s="200">
        <v>10.132999999999999</v>
      </c>
      <c r="I389" s="200">
        <f t="shared" si="52"/>
        <v>0.18860000000000099</v>
      </c>
      <c r="J389" s="200">
        <f t="shared" si="53"/>
        <v>1.6899999999998999E-2</v>
      </c>
      <c r="K389" s="270">
        <f t="shared" si="54"/>
        <v>8.2238442822379554</v>
      </c>
      <c r="L389" s="200">
        <v>27</v>
      </c>
      <c r="M389" s="203">
        <v>43221</v>
      </c>
      <c r="N389" s="203">
        <v>43221</v>
      </c>
      <c r="AB389" s="110"/>
      <c r="AC389" s="110"/>
      <c r="AD389" s="110"/>
      <c r="AE389" s="110"/>
    </row>
    <row r="390" spans="1:31">
      <c r="A390" s="196" t="s">
        <v>1186</v>
      </c>
      <c r="C390" s="197">
        <v>25</v>
      </c>
      <c r="D390" s="196">
        <v>0.46579999999999999</v>
      </c>
      <c r="E390" s="200">
        <v>8.2188999999999997</v>
      </c>
      <c r="F390" s="201">
        <v>0.20449999999999999</v>
      </c>
      <c r="G390" s="200">
        <f t="shared" si="51"/>
        <v>8.4233999999999991</v>
      </c>
      <c r="H390" s="200">
        <v>8.2508999999999997</v>
      </c>
      <c r="I390" s="200">
        <f t="shared" si="52"/>
        <v>0.17249999999999943</v>
      </c>
      <c r="J390" s="200">
        <f t="shared" si="53"/>
        <v>3.2000000000000556E-2</v>
      </c>
      <c r="K390" s="270">
        <f t="shared" si="54"/>
        <v>15.647921760391469</v>
      </c>
      <c r="L390" s="200">
        <v>20</v>
      </c>
      <c r="M390" s="203">
        <v>43212</v>
      </c>
      <c r="AB390" s="110"/>
      <c r="AC390" s="110"/>
      <c r="AD390" s="110"/>
      <c r="AE390" s="110"/>
    </row>
    <row r="391" spans="1:31">
      <c r="A391" s="200" t="s">
        <v>1185</v>
      </c>
      <c r="C391" s="200">
        <v>173</v>
      </c>
      <c r="D391" s="201">
        <v>0.45369999999999999</v>
      </c>
      <c r="E391" s="201">
        <v>9.0315999999999992</v>
      </c>
      <c r="F391" s="201">
        <v>0.20019999999999999</v>
      </c>
      <c r="G391" s="200">
        <f t="shared" si="51"/>
        <v>9.2317999999999998</v>
      </c>
      <c r="H391" s="200">
        <v>9.0498999999999992</v>
      </c>
      <c r="I391" s="200">
        <f t="shared" si="52"/>
        <v>0.18190000000000062</v>
      </c>
      <c r="J391" s="200">
        <f t="shared" si="53"/>
        <v>1.8299999999999372E-2</v>
      </c>
      <c r="K391" s="270">
        <f t="shared" si="54"/>
        <v>9.1408591408588276</v>
      </c>
      <c r="L391" s="200">
        <v>23</v>
      </c>
      <c r="M391" s="202">
        <v>43181.645833333336</v>
      </c>
      <c r="N391" s="202">
        <v>43181.833333333336</v>
      </c>
      <c r="O391" s="200" t="s">
        <v>2540</v>
      </c>
      <c r="P391" s="205" t="s">
        <v>2545</v>
      </c>
      <c r="AB391" s="110"/>
      <c r="AC391" s="110"/>
      <c r="AD391" s="110"/>
      <c r="AE391" s="110"/>
    </row>
    <row r="392" spans="1:31">
      <c r="A392" s="205" t="s">
        <v>1183</v>
      </c>
      <c r="C392" s="200">
        <v>124</v>
      </c>
      <c r="D392" s="200">
        <v>0.56330000000000002</v>
      </c>
      <c r="E392" s="201">
        <v>9.8217999999999996</v>
      </c>
      <c r="F392" s="201">
        <v>0.20699999999999999</v>
      </c>
      <c r="G392" s="200">
        <f t="shared" si="51"/>
        <v>10.0288</v>
      </c>
      <c r="H392" s="200">
        <v>9.8872</v>
      </c>
      <c r="I392" s="200">
        <f t="shared" si="52"/>
        <v>0.14160000000000039</v>
      </c>
      <c r="J392" s="200">
        <f t="shared" si="53"/>
        <v>6.5399999999999597E-2</v>
      </c>
      <c r="K392" s="270">
        <f t="shared" si="54"/>
        <v>31.594202898550535</v>
      </c>
      <c r="L392" s="200">
        <v>9</v>
      </c>
      <c r="M392" s="206">
        <v>43185.385416666664</v>
      </c>
      <c r="N392" s="200"/>
      <c r="O392" s="200" t="s">
        <v>2540</v>
      </c>
      <c r="P392" s="200"/>
      <c r="AB392" s="110"/>
      <c r="AC392" s="110"/>
      <c r="AD392" s="110"/>
      <c r="AE392" s="110"/>
    </row>
    <row r="393" spans="1:31">
      <c r="A393" s="200" t="s">
        <v>1181</v>
      </c>
      <c r="C393" s="200">
        <v>103</v>
      </c>
      <c r="D393" s="201">
        <v>0.40189999999999998</v>
      </c>
      <c r="E393" s="200">
        <v>10.9217</v>
      </c>
      <c r="F393" s="201">
        <v>0.20250000000000001</v>
      </c>
      <c r="G393" s="200">
        <f t="shared" si="51"/>
        <v>11.1242</v>
      </c>
      <c r="H393" s="200">
        <v>10.9499</v>
      </c>
      <c r="I393" s="200">
        <f t="shared" si="52"/>
        <v>0.17430000000000057</v>
      </c>
      <c r="J393" s="200">
        <f t="shared" si="53"/>
        <v>2.8199999999999448E-2</v>
      </c>
      <c r="K393" s="270">
        <f t="shared" si="54"/>
        <v>13.925925925925654</v>
      </c>
      <c r="L393" s="200">
        <v>28</v>
      </c>
      <c r="M393" s="200"/>
      <c r="N393" s="200"/>
      <c r="O393" s="200"/>
      <c r="P393" s="200"/>
      <c r="AB393" s="110"/>
      <c r="AC393" s="110"/>
      <c r="AD393" s="110"/>
      <c r="AE393" s="110"/>
    </row>
    <row r="394" spans="1:31">
      <c r="A394" s="196" t="s">
        <v>1179</v>
      </c>
      <c r="C394" s="197">
        <v>210</v>
      </c>
      <c r="D394" s="196">
        <v>0.60350000000000004</v>
      </c>
      <c r="E394" s="201">
        <v>10.697900000000001</v>
      </c>
      <c r="F394" s="201">
        <v>0.2016</v>
      </c>
      <c r="G394" s="200">
        <f t="shared" si="51"/>
        <v>10.8995</v>
      </c>
      <c r="H394" s="200">
        <v>10.7323</v>
      </c>
      <c r="I394" s="200">
        <f t="shared" si="52"/>
        <v>0.16719999999999935</v>
      </c>
      <c r="J394" s="200">
        <f t="shared" si="53"/>
        <v>3.4400000000000652E-2</v>
      </c>
      <c r="K394" s="270">
        <f t="shared" si="54"/>
        <v>17.063492063492387</v>
      </c>
      <c r="L394" s="200">
        <v>21</v>
      </c>
      <c r="AB394" s="110"/>
      <c r="AC394" s="110"/>
      <c r="AD394" s="110"/>
      <c r="AE394" s="110"/>
    </row>
    <row r="395" spans="1:31">
      <c r="A395" s="196" t="s">
        <v>1175</v>
      </c>
      <c r="C395" s="197">
        <v>101</v>
      </c>
      <c r="D395" s="196">
        <v>0.43169999999999997</v>
      </c>
      <c r="E395" s="201">
        <v>9.7734000000000005</v>
      </c>
      <c r="F395" s="201">
        <v>0.20599999999999999</v>
      </c>
      <c r="G395" s="200">
        <f t="shared" si="51"/>
        <v>9.9794</v>
      </c>
      <c r="H395" s="200">
        <v>9.8017000000000003</v>
      </c>
      <c r="I395" s="200">
        <f t="shared" si="52"/>
        <v>0.17769999999999975</v>
      </c>
      <c r="J395" s="200">
        <f t="shared" si="53"/>
        <v>2.8300000000000242E-2</v>
      </c>
      <c r="K395" s="270">
        <f t="shared" si="54"/>
        <v>13.73786407767002</v>
      </c>
      <c r="L395" s="200">
        <v>6</v>
      </c>
      <c r="AB395" s="110"/>
      <c r="AC395" s="110"/>
      <c r="AD395" s="110"/>
      <c r="AE395" s="110"/>
    </row>
    <row r="396" spans="1:31">
      <c r="A396" s="205" t="s">
        <v>1174</v>
      </c>
      <c r="C396" s="200">
        <v>160</v>
      </c>
      <c r="D396" s="200">
        <v>0.47570000000000001</v>
      </c>
      <c r="E396" s="200">
        <v>8.3545999999999996</v>
      </c>
      <c r="F396" s="201">
        <v>0.20019999999999999</v>
      </c>
      <c r="G396" s="200">
        <f t="shared" si="51"/>
        <v>8.5548000000000002</v>
      </c>
      <c r="H396" s="200">
        <v>8.3789999999999996</v>
      </c>
      <c r="I396" s="200">
        <f t="shared" si="52"/>
        <v>0.17580000000000062</v>
      </c>
      <c r="J396" s="200">
        <f t="shared" si="53"/>
        <v>2.4399999999999367E-2</v>
      </c>
      <c r="K396" s="270">
        <f t="shared" si="54"/>
        <v>12.187812187811872</v>
      </c>
      <c r="L396" s="200">
        <v>17</v>
      </c>
      <c r="M396" s="204">
        <v>43211</v>
      </c>
      <c r="AB396" s="110"/>
      <c r="AC396" s="110"/>
      <c r="AD396" s="110"/>
      <c r="AE396" s="110"/>
    </row>
    <row r="397" spans="1:31">
      <c r="A397" s="200" t="s">
        <v>1173</v>
      </c>
      <c r="C397" s="200">
        <v>199</v>
      </c>
      <c r="D397" s="201">
        <v>0.4622</v>
      </c>
      <c r="E397" s="201">
        <v>11.1212</v>
      </c>
      <c r="F397" s="201">
        <v>0.2011</v>
      </c>
      <c r="G397" s="200">
        <f t="shared" si="51"/>
        <v>11.3223</v>
      </c>
      <c r="H397" s="200">
        <v>11.144600000000001</v>
      </c>
      <c r="I397" s="200">
        <f t="shared" si="52"/>
        <v>0.17769999999999975</v>
      </c>
      <c r="J397" s="200">
        <f t="shared" si="53"/>
        <v>2.3400000000000254E-2</v>
      </c>
      <c r="K397" s="270">
        <f t="shared" si="54"/>
        <v>11.636001989060295</v>
      </c>
      <c r="L397" s="200">
        <v>4</v>
      </c>
      <c r="M397" s="200"/>
      <c r="N397" s="200"/>
      <c r="O397" s="200"/>
      <c r="P397" s="200"/>
      <c r="AB397" s="110"/>
      <c r="AC397" s="110"/>
      <c r="AD397" s="110"/>
      <c r="AE397" s="110"/>
    </row>
    <row r="398" spans="1:31">
      <c r="A398" s="200" t="s">
        <v>1172</v>
      </c>
      <c r="C398" s="200">
        <v>147</v>
      </c>
      <c r="D398" s="200">
        <v>0.42459999999999998</v>
      </c>
      <c r="E398" s="201">
        <v>7.9916999999999998</v>
      </c>
      <c r="F398" s="201">
        <v>0.2036</v>
      </c>
      <c r="G398" s="200">
        <f t="shared" si="51"/>
        <v>8.1952999999999996</v>
      </c>
      <c r="H398" s="200">
        <v>8.0297000000000001</v>
      </c>
      <c r="I398" s="200">
        <f t="shared" si="52"/>
        <v>0.16559999999999953</v>
      </c>
      <c r="J398" s="200">
        <f t="shared" si="53"/>
        <v>3.8000000000000478E-2</v>
      </c>
      <c r="K398" s="270">
        <f t="shared" si="54"/>
        <v>18.664047151277249</v>
      </c>
      <c r="L398" s="200">
        <v>23</v>
      </c>
      <c r="M398" s="204">
        <v>43197</v>
      </c>
      <c r="N398" s="204">
        <v>43197</v>
      </c>
      <c r="O398" s="200"/>
      <c r="P398" s="200"/>
      <c r="AB398" s="110"/>
      <c r="AC398" s="110"/>
      <c r="AD398" s="110"/>
      <c r="AE398" s="110"/>
    </row>
    <row r="399" spans="1:31">
      <c r="A399" s="200" t="s">
        <v>1170</v>
      </c>
      <c r="C399" s="200">
        <v>139</v>
      </c>
      <c r="D399" s="200">
        <v>0.51780000000000004</v>
      </c>
      <c r="E399" s="201">
        <v>11.443300000000001</v>
      </c>
      <c r="F399" s="201">
        <v>0.20019999999999999</v>
      </c>
      <c r="G399" s="200">
        <f t="shared" si="51"/>
        <v>11.643500000000001</v>
      </c>
      <c r="H399" s="200">
        <v>11.4955</v>
      </c>
      <c r="I399" s="200">
        <f t="shared" si="52"/>
        <v>0.14800000000000146</v>
      </c>
      <c r="J399" s="200">
        <f t="shared" si="53"/>
        <v>5.2199999999998525E-2</v>
      </c>
      <c r="K399" s="270">
        <f t="shared" si="54"/>
        <v>26.073926073925342</v>
      </c>
      <c r="L399" s="200">
        <v>7</v>
      </c>
      <c r="M399" s="204">
        <v>43199</v>
      </c>
      <c r="N399" s="204">
        <v>43199</v>
      </c>
      <c r="O399" s="200"/>
      <c r="P399" s="200"/>
      <c r="AB399" s="110"/>
      <c r="AC399" s="110"/>
      <c r="AD399" s="110"/>
      <c r="AE399" s="110"/>
    </row>
    <row r="400" spans="1:31">
      <c r="A400" s="200" t="s">
        <v>1169</v>
      </c>
      <c r="C400" s="200">
        <v>104</v>
      </c>
      <c r="D400" s="200">
        <f>0.2214+F400</f>
        <v>0.42859999999999998</v>
      </c>
      <c r="E400" s="201">
        <v>11.4434</v>
      </c>
      <c r="F400" s="201">
        <v>0.2072</v>
      </c>
      <c r="G400" s="200">
        <f t="shared" si="51"/>
        <v>11.650600000000001</v>
      </c>
      <c r="H400" s="200">
        <v>11.471299999999999</v>
      </c>
      <c r="I400" s="200">
        <f t="shared" si="52"/>
        <v>0.17930000000000135</v>
      </c>
      <c r="J400" s="200">
        <f t="shared" si="53"/>
        <v>2.7899999999998648E-2</v>
      </c>
      <c r="K400" s="270">
        <f t="shared" si="54"/>
        <v>13.465250965250315</v>
      </c>
      <c r="L400" s="200">
        <v>28</v>
      </c>
      <c r="M400" s="204">
        <v>43174</v>
      </c>
      <c r="N400" s="204">
        <v>43174</v>
      </c>
      <c r="O400" s="200" t="s">
        <v>2540</v>
      </c>
      <c r="P400" s="200" t="s">
        <v>2535</v>
      </c>
      <c r="AB400" s="110"/>
      <c r="AC400" s="110"/>
      <c r="AD400" s="110"/>
      <c r="AE400" s="110"/>
    </row>
    <row r="401" spans="1:31">
      <c r="A401" s="196" t="s">
        <v>1168</v>
      </c>
      <c r="C401" s="197">
        <v>110</v>
      </c>
      <c r="D401" s="196">
        <v>0.41610000000000003</v>
      </c>
      <c r="E401" s="201">
        <v>10.793100000000001</v>
      </c>
      <c r="F401" s="201">
        <v>0.20150000000000001</v>
      </c>
      <c r="G401" s="200">
        <f t="shared" ref="G401:G421" si="55">E401+F401</f>
        <v>10.9946</v>
      </c>
      <c r="H401" s="200">
        <v>10.819900000000001</v>
      </c>
      <c r="I401" s="200">
        <f t="shared" ref="I401:I421" si="56">(G401-H401)</f>
        <v>0.17469999999999963</v>
      </c>
      <c r="J401" s="200">
        <f t="shared" ref="J401:J421" si="57">F401-I401</f>
        <v>2.6800000000000379E-2</v>
      </c>
      <c r="K401" s="270">
        <f t="shared" ref="K401:K421" si="58">(J401/F401)*100</f>
        <v>13.300248138958004</v>
      </c>
      <c r="L401" s="200">
        <v>5</v>
      </c>
      <c r="AB401" s="110"/>
      <c r="AC401" s="110"/>
      <c r="AD401" s="110"/>
      <c r="AE401" s="110"/>
    </row>
    <row r="402" spans="1:31">
      <c r="A402" s="205" t="s">
        <v>1167</v>
      </c>
      <c r="C402" s="200">
        <v>108</v>
      </c>
      <c r="D402" s="200">
        <v>0.43359999999999999</v>
      </c>
      <c r="E402" s="201">
        <v>8.0639000000000003</v>
      </c>
      <c r="F402" s="201">
        <v>0.20230000000000001</v>
      </c>
      <c r="G402" s="200">
        <f t="shared" si="55"/>
        <v>8.2661999999999995</v>
      </c>
      <c r="H402" s="200">
        <v>8.0939999999999994</v>
      </c>
      <c r="I402" s="200">
        <f t="shared" si="56"/>
        <v>0.17220000000000013</v>
      </c>
      <c r="J402" s="200">
        <f t="shared" si="57"/>
        <v>3.0099999999999877E-2</v>
      </c>
      <c r="K402" s="270">
        <f t="shared" si="58"/>
        <v>14.878892733563953</v>
      </c>
      <c r="L402" s="200">
        <v>39</v>
      </c>
      <c r="M402" s="206">
        <v>43186.458333333336</v>
      </c>
      <c r="N402" s="206">
        <v>43186.625</v>
      </c>
      <c r="O402" s="196" t="s">
        <v>2534</v>
      </c>
      <c r="P402" s="200"/>
      <c r="AB402" s="110"/>
      <c r="AC402" s="110"/>
      <c r="AD402" s="110"/>
      <c r="AE402" s="110"/>
    </row>
    <row r="403" spans="1:31">
      <c r="A403" s="205" t="s">
        <v>1166</v>
      </c>
      <c r="C403" s="200">
        <v>158</v>
      </c>
      <c r="D403" s="201">
        <v>0.41439999999999999</v>
      </c>
      <c r="E403" s="201">
        <v>7.19</v>
      </c>
      <c r="F403" s="201">
        <v>0.20330000000000001</v>
      </c>
      <c r="G403" s="200">
        <f t="shared" si="55"/>
        <v>7.3933</v>
      </c>
      <c r="H403" s="200">
        <v>7.2130000000000001</v>
      </c>
      <c r="I403" s="200">
        <f t="shared" si="56"/>
        <v>0.1802999999999999</v>
      </c>
      <c r="J403" s="200">
        <f t="shared" si="57"/>
        <v>2.3000000000000104E-2</v>
      </c>
      <c r="K403" s="270">
        <f t="shared" si="58"/>
        <v>11.313330054107281</v>
      </c>
      <c r="L403" s="200">
        <v>22</v>
      </c>
      <c r="M403" s="204">
        <v>43199</v>
      </c>
      <c r="N403" s="204">
        <v>43199</v>
      </c>
      <c r="O403" s="200"/>
      <c r="P403" s="200"/>
      <c r="AB403" s="110"/>
      <c r="AC403" s="110"/>
      <c r="AD403" s="110"/>
      <c r="AE403" s="110"/>
    </row>
    <row r="404" spans="1:31">
      <c r="A404" s="196" t="s">
        <v>1165</v>
      </c>
      <c r="C404" s="197">
        <v>153</v>
      </c>
      <c r="D404" s="196">
        <v>0.39190000000000003</v>
      </c>
      <c r="E404" s="201">
        <v>9.5187000000000008</v>
      </c>
      <c r="F404" s="201">
        <v>0.20050000000000001</v>
      </c>
      <c r="G404" s="200">
        <f t="shared" si="55"/>
        <v>9.7192000000000007</v>
      </c>
      <c r="H404" s="200">
        <v>9.5429999999999993</v>
      </c>
      <c r="I404" s="200">
        <f t="shared" si="56"/>
        <v>0.17620000000000147</v>
      </c>
      <c r="J404" s="200">
        <f t="shared" si="57"/>
        <v>2.4299999999998545E-2</v>
      </c>
      <c r="K404" s="270">
        <f t="shared" si="58"/>
        <v>12.119700748128949</v>
      </c>
      <c r="L404" s="200">
        <v>13</v>
      </c>
      <c r="AB404" s="110"/>
      <c r="AC404" s="110"/>
      <c r="AD404" s="110"/>
      <c r="AE404" s="110"/>
    </row>
    <row r="405" spans="1:31">
      <c r="A405" s="196" t="s">
        <v>1164</v>
      </c>
      <c r="C405" s="196">
        <v>196</v>
      </c>
      <c r="D405" s="196">
        <v>0.39300000000000002</v>
      </c>
      <c r="E405" s="200">
        <v>9.7210999999999999</v>
      </c>
      <c r="F405" s="201">
        <v>0.20330000000000001</v>
      </c>
      <c r="G405" s="200">
        <f t="shared" si="55"/>
        <v>9.9244000000000003</v>
      </c>
      <c r="H405" s="200">
        <v>9.7446999999999999</v>
      </c>
      <c r="I405" s="200">
        <f t="shared" si="56"/>
        <v>0.17970000000000041</v>
      </c>
      <c r="J405" s="200">
        <f t="shared" si="57"/>
        <v>2.3599999999999594E-2</v>
      </c>
      <c r="K405" s="270">
        <f t="shared" si="58"/>
        <v>11.60846040334461</v>
      </c>
      <c r="L405" s="200">
        <v>10</v>
      </c>
      <c r="M405" s="203">
        <v>43213</v>
      </c>
      <c r="N405" s="203">
        <v>43213</v>
      </c>
      <c r="AB405" s="110"/>
      <c r="AC405" s="110"/>
      <c r="AD405" s="110"/>
      <c r="AE405" s="110"/>
    </row>
    <row r="406" spans="1:31">
      <c r="A406" s="196" t="s">
        <v>1163</v>
      </c>
      <c r="C406" s="196">
        <v>106</v>
      </c>
      <c r="D406" s="196">
        <v>0.4148</v>
      </c>
      <c r="E406" s="196">
        <v>7.8631000000000002</v>
      </c>
      <c r="F406" s="196">
        <v>0.2064</v>
      </c>
      <c r="G406" s="196">
        <f t="shared" si="55"/>
        <v>8.0694999999999997</v>
      </c>
      <c r="H406" s="196">
        <v>7.8890000000000002</v>
      </c>
      <c r="I406" s="196">
        <f t="shared" si="56"/>
        <v>0.18049999999999944</v>
      </c>
      <c r="J406" s="200">
        <f t="shared" si="57"/>
        <v>2.5900000000000561E-2</v>
      </c>
      <c r="K406" s="270">
        <f t="shared" si="58"/>
        <v>12.548449612403372</v>
      </c>
      <c r="L406" s="196">
        <v>6</v>
      </c>
      <c r="M406" s="196">
        <v>43157.395833333336</v>
      </c>
      <c r="N406" s="196">
        <v>43157.569444444445</v>
      </c>
      <c r="O406" s="196" t="s">
        <v>2534</v>
      </c>
      <c r="AB406" s="110"/>
      <c r="AC406" s="110"/>
      <c r="AD406" s="110"/>
      <c r="AE406" s="110"/>
    </row>
    <row r="407" spans="1:31">
      <c r="A407" s="200" t="s">
        <v>1162</v>
      </c>
      <c r="C407" s="200">
        <v>129</v>
      </c>
      <c r="D407" s="200">
        <v>0.39729999999999999</v>
      </c>
      <c r="E407" s="201">
        <v>11.2585</v>
      </c>
      <c r="F407" s="201">
        <v>0.20150000000000001</v>
      </c>
      <c r="G407" s="200">
        <f t="shared" si="55"/>
        <v>11.459999999999999</v>
      </c>
      <c r="H407" s="200">
        <v>11.289099999999999</v>
      </c>
      <c r="I407" s="200">
        <f t="shared" si="56"/>
        <v>0.17089999999999961</v>
      </c>
      <c r="J407" s="200">
        <f t="shared" si="57"/>
        <v>3.0600000000000405E-2</v>
      </c>
      <c r="K407" s="270">
        <f t="shared" si="58"/>
        <v>15.186104218362484</v>
      </c>
      <c r="L407" s="200">
        <v>13</v>
      </c>
      <c r="M407" s="204">
        <v>43174</v>
      </c>
      <c r="N407" s="204">
        <v>43174</v>
      </c>
      <c r="O407" s="200" t="s">
        <v>2540</v>
      </c>
      <c r="P407" s="200" t="s">
        <v>2535</v>
      </c>
      <c r="AB407" s="110"/>
      <c r="AC407" s="110"/>
      <c r="AD407" s="110"/>
      <c r="AE407" s="110"/>
    </row>
    <row r="408" spans="1:31">
      <c r="A408" s="205" t="s">
        <v>1161</v>
      </c>
      <c r="C408" s="200">
        <v>114</v>
      </c>
      <c r="D408" s="201">
        <v>0.4541</v>
      </c>
      <c r="E408" s="201">
        <v>7.3170000000000002</v>
      </c>
      <c r="F408" s="201">
        <v>0.20749999999999999</v>
      </c>
      <c r="G408" s="200">
        <f t="shared" si="55"/>
        <v>7.5244999999999997</v>
      </c>
      <c r="H408" s="200">
        <v>7.3593999999999999</v>
      </c>
      <c r="I408" s="200">
        <f t="shared" si="56"/>
        <v>0.1650999999999998</v>
      </c>
      <c r="J408" s="200">
        <f t="shared" si="57"/>
        <v>4.2400000000000188E-2</v>
      </c>
      <c r="K408" s="270">
        <f t="shared" si="58"/>
        <v>20.433734939759127</v>
      </c>
      <c r="L408" s="200">
        <v>27</v>
      </c>
      <c r="M408" s="202">
        <v>43181.645833333336</v>
      </c>
      <c r="N408" s="202">
        <v>43181.833333333336</v>
      </c>
      <c r="O408" s="200" t="s">
        <v>2540</v>
      </c>
      <c r="P408" s="200"/>
      <c r="AB408" s="110"/>
      <c r="AC408" s="110"/>
      <c r="AD408" s="110"/>
      <c r="AE408" s="110"/>
    </row>
    <row r="409" spans="1:31">
      <c r="A409" s="200" t="s">
        <v>1160</v>
      </c>
      <c r="C409" s="200">
        <v>157</v>
      </c>
      <c r="D409" s="200">
        <v>0.51929999999999998</v>
      </c>
      <c r="E409" s="201">
        <v>11.055300000000001</v>
      </c>
      <c r="F409" s="201">
        <v>0.2019</v>
      </c>
      <c r="G409" s="200">
        <f t="shared" si="55"/>
        <v>11.257200000000001</v>
      </c>
      <c r="H409" s="200">
        <v>11.0831</v>
      </c>
      <c r="I409" s="200">
        <f t="shared" si="56"/>
        <v>0.17410000000000103</v>
      </c>
      <c r="J409" s="200">
        <f t="shared" si="57"/>
        <v>2.7799999999998964E-2</v>
      </c>
      <c r="K409" s="270">
        <f t="shared" si="58"/>
        <v>13.769192669637922</v>
      </c>
      <c r="L409" s="200">
        <v>29</v>
      </c>
      <c r="M409" s="206">
        <v>43185.385416666664</v>
      </c>
      <c r="N409" s="200"/>
      <c r="O409" s="200" t="s">
        <v>2540</v>
      </c>
      <c r="P409" s="200"/>
      <c r="AB409" s="110"/>
      <c r="AC409" s="110"/>
      <c r="AD409" s="110"/>
      <c r="AE409" s="110"/>
    </row>
    <row r="410" spans="1:31">
      <c r="A410" s="205" t="s">
        <v>1159</v>
      </c>
      <c r="C410" s="200">
        <v>206</v>
      </c>
      <c r="D410" s="200">
        <v>0.49709999999999999</v>
      </c>
      <c r="E410" s="200">
        <v>11.7463</v>
      </c>
      <c r="F410" s="201">
        <v>0.20200000000000001</v>
      </c>
      <c r="G410" s="200">
        <f t="shared" si="55"/>
        <v>11.9483</v>
      </c>
      <c r="H410" s="200">
        <v>11.773400000000001</v>
      </c>
      <c r="I410" s="200">
        <f t="shared" si="56"/>
        <v>0.17489999999999917</v>
      </c>
      <c r="J410" s="200">
        <f t="shared" si="57"/>
        <v>2.7100000000000846E-2</v>
      </c>
      <c r="K410" s="270">
        <f t="shared" si="58"/>
        <v>13.415841584158834</v>
      </c>
      <c r="L410" s="200">
        <v>13</v>
      </c>
      <c r="M410" s="204">
        <v>43187</v>
      </c>
      <c r="N410" s="204">
        <v>43187</v>
      </c>
      <c r="O410" s="200"/>
      <c r="P410" s="200"/>
      <c r="AB410" s="110"/>
      <c r="AC410" s="110"/>
      <c r="AD410" s="110"/>
      <c r="AE410" s="110"/>
    </row>
    <row r="411" spans="1:31">
      <c r="A411" s="205" t="s">
        <v>1158</v>
      </c>
      <c r="C411" s="200">
        <v>102</v>
      </c>
      <c r="D411" s="200">
        <v>0.45950000000000002</v>
      </c>
      <c r="E411" s="201">
        <v>9.1373999999999995</v>
      </c>
      <c r="F411" s="201">
        <v>0.20230000000000001</v>
      </c>
      <c r="G411" s="200">
        <f t="shared" si="55"/>
        <v>9.3396999999999988</v>
      </c>
      <c r="H411" s="200">
        <v>9.1631</v>
      </c>
      <c r="I411" s="200">
        <f t="shared" si="56"/>
        <v>0.17659999999999876</v>
      </c>
      <c r="J411" s="200">
        <f t="shared" si="57"/>
        <v>2.570000000000125E-2</v>
      </c>
      <c r="K411" s="270">
        <f t="shared" si="58"/>
        <v>12.703905091448961</v>
      </c>
      <c r="L411" s="200">
        <v>4</v>
      </c>
      <c r="M411" s="202">
        <v>43181.645833333336</v>
      </c>
      <c r="N411" s="202">
        <v>43181.833333333336</v>
      </c>
      <c r="O411" s="200" t="s">
        <v>2540</v>
      </c>
      <c r="P411" s="200"/>
      <c r="AB411" s="110"/>
      <c r="AC411" s="110"/>
      <c r="AD411" s="110"/>
      <c r="AE411" s="110"/>
    </row>
    <row r="412" spans="1:31">
      <c r="A412" s="200" t="s">
        <v>1157</v>
      </c>
      <c r="C412" s="200">
        <v>178</v>
      </c>
      <c r="D412" s="200">
        <v>0.3957</v>
      </c>
      <c r="E412" s="200">
        <v>7.4756</v>
      </c>
      <c r="F412" s="200">
        <v>0.20549999999999999</v>
      </c>
      <c r="G412" s="200">
        <f t="shared" si="55"/>
        <v>7.6810999999999998</v>
      </c>
      <c r="H412" s="196">
        <v>7.4923000000000002</v>
      </c>
      <c r="I412" s="196">
        <f t="shared" si="56"/>
        <v>0.18879999999999963</v>
      </c>
      <c r="J412" s="200">
        <f t="shared" si="57"/>
        <v>1.6700000000000353E-2</v>
      </c>
      <c r="K412" s="270">
        <f t="shared" si="58"/>
        <v>8.1265206812653794</v>
      </c>
      <c r="L412" s="200">
        <v>17</v>
      </c>
      <c r="M412" s="206">
        <v>43160.520833333336</v>
      </c>
      <c r="N412" s="206">
        <v>43160.6875</v>
      </c>
      <c r="O412" s="196" t="s">
        <v>2534</v>
      </c>
      <c r="P412" s="200"/>
      <c r="AB412" s="110"/>
      <c r="AC412" s="110"/>
      <c r="AD412" s="110"/>
      <c r="AE412" s="110"/>
    </row>
    <row r="413" spans="1:31">
      <c r="A413" s="205" t="s">
        <v>1156</v>
      </c>
      <c r="C413" s="200">
        <v>144</v>
      </c>
      <c r="D413" s="200">
        <v>0.4632</v>
      </c>
      <c r="E413" s="201">
        <v>11.9041</v>
      </c>
      <c r="F413" s="201">
        <v>0.20180000000000001</v>
      </c>
      <c r="G413" s="200">
        <f t="shared" si="55"/>
        <v>12.1059</v>
      </c>
      <c r="H413" s="200">
        <v>11.9465</v>
      </c>
      <c r="I413" s="200">
        <f t="shared" si="56"/>
        <v>0.15939999999999976</v>
      </c>
      <c r="J413" s="200">
        <f t="shared" si="57"/>
        <v>4.2400000000000243E-2</v>
      </c>
      <c r="K413" s="270">
        <f t="shared" si="58"/>
        <v>21.010901883052647</v>
      </c>
      <c r="L413" s="200">
        <v>3</v>
      </c>
      <c r="M413" s="204">
        <v>43197</v>
      </c>
      <c r="N413" s="204">
        <v>43197</v>
      </c>
      <c r="O413" s="200"/>
      <c r="P413" s="200"/>
      <c r="AB413" s="110"/>
      <c r="AC413" s="110"/>
      <c r="AD413" s="110"/>
      <c r="AE413" s="110"/>
    </row>
    <row r="414" spans="1:31">
      <c r="A414" s="200" t="s">
        <v>1155</v>
      </c>
      <c r="C414" s="200">
        <v>123</v>
      </c>
      <c r="D414" s="200">
        <v>0.63339999999999996</v>
      </c>
      <c r="E414" s="201">
        <v>11.1539</v>
      </c>
      <c r="F414" s="201">
        <v>0.20730000000000001</v>
      </c>
      <c r="G414" s="200">
        <f t="shared" si="55"/>
        <v>11.3612</v>
      </c>
      <c r="H414" s="200">
        <v>11.182</v>
      </c>
      <c r="I414" s="200">
        <f t="shared" si="56"/>
        <v>0.1791999999999998</v>
      </c>
      <c r="J414" s="200">
        <f t="shared" si="57"/>
        <v>2.8100000000000208E-2</v>
      </c>
      <c r="K414" s="270">
        <f t="shared" si="58"/>
        <v>13.555233960443902</v>
      </c>
      <c r="L414" s="200">
        <v>14</v>
      </c>
      <c r="M414" s="204">
        <v>43199</v>
      </c>
      <c r="N414" s="204">
        <v>43199</v>
      </c>
      <c r="O414" s="200"/>
      <c r="P414" s="200"/>
      <c r="AB414" s="110"/>
      <c r="AC414" s="110"/>
      <c r="AD414" s="110"/>
      <c r="AE414" s="110"/>
    </row>
    <row r="415" spans="1:31">
      <c r="A415" s="200" t="s">
        <v>1154</v>
      </c>
      <c r="C415" s="196">
        <v>183</v>
      </c>
      <c r="D415" s="200">
        <v>0.4118</v>
      </c>
      <c r="E415" s="201">
        <v>8.7599</v>
      </c>
      <c r="F415" s="201">
        <v>0.20250000000000001</v>
      </c>
      <c r="G415" s="200">
        <f t="shared" si="55"/>
        <v>8.9624000000000006</v>
      </c>
      <c r="H415" s="200">
        <v>8.7789000000000001</v>
      </c>
      <c r="I415" s="200">
        <f t="shared" si="56"/>
        <v>0.18350000000000044</v>
      </c>
      <c r="J415" s="200">
        <f t="shared" si="57"/>
        <v>1.8999999999999573E-2</v>
      </c>
      <c r="K415" s="270">
        <f t="shared" si="58"/>
        <v>9.3827160493825037</v>
      </c>
      <c r="L415" s="200">
        <v>12</v>
      </c>
      <c r="M415" s="206">
        <v>43186.458333333336</v>
      </c>
      <c r="N415" s="206">
        <v>43186.625</v>
      </c>
      <c r="O415" s="196" t="s">
        <v>2534</v>
      </c>
      <c r="P415" s="200"/>
      <c r="AB415" s="110"/>
      <c r="AC415" s="110"/>
      <c r="AD415" s="110"/>
      <c r="AE415" s="110"/>
    </row>
    <row r="416" spans="1:31">
      <c r="A416" s="205" t="s">
        <v>1153</v>
      </c>
      <c r="C416" s="200">
        <v>116</v>
      </c>
      <c r="D416" s="201">
        <v>0.4783</v>
      </c>
      <c r="E416" s="201">
        <v>7.9057000000000004</v>
      </c>
      <c r="F416" s="201">
        <v>0.19919999999999999</v>
      </c>
      <c r="G416" s="200">
        <f t="shared" si="55"/>
        <v>8.1049000000000007</v>
      </c>
      <c r="H416" s="200">
        <v>7.9379</v>
      </c>
      <c r="I416" s="200">
        <f t="shared" si="56"/>
        <v>0.1670000000000007</v>
      </c>
      <c r="J416" s="200">
        <f t="shared" si="57"/>
        <v>3.2199999999999285E-2</v>
      </c>
      <c r="K416" s="270">
        <f t="shared" si="58"/>
        <v>16.164658634537794</v>
      </c>
      <c r="L416" s="200">
        <v>16</v>
      </c>
      <c r="M416" s="202">
        <v>43181.645833333336</v>
      </c>
      <c r="N416" s="202">
        <v>43181.833333333336</v>
      </c>
      <c r="O416" s="200" t="s">
        <v>2540</v>
      </c>
      <c r="P416" s="200" t="s">
        <v>2556</v>
      </c>
      <c r="AB416" s="110"/>
      <c r="AC416" s="110"/>
      <c r="AD416" s="110"/>
      <c r="AE416" s="110"/>
    </row>
    <row r="417" spans="1:31">
      <c r="A417" s="200" t="s">
        <v>1152</v>
      </c>
      <c r="C417" s="200">
        <v>127</v>
      </c>
      <c r="D417" s="201">
        <v>0.39700000000000002</v>
      </c>
      <c r="E417" s="200">
        <v>10.7934</v>
      </c>
      <c r="F417" s="201">
        <v>0.19889999999999999</v>
      </c>
      <c r="G417" s="200">
        <f t="shared" si="55"/>
        <v>10.9923</v>
      </c>
      <c r="H417" s="200">
        <v>10.829700000000001</v>
      </c>
      <c r="I417" s="200">
        <f t="shared" si="56"/>
        <v>0.16259999999999941</v>
      </c>
      <c r="J417" s="200">
        <f t="shared" si="57"/>
        <v>3.6300000000000582E-2</v>
      </c>
      <c r="K417" s="270">
        <f t="shared" si="58"/>
        <v>18.25037707390678</v>
      </c>
      <c r="L417" s="200">
        <v>8</v>
      </c>
      <c r="M417" s="204">
        <v>43206</v>
      </c>
      <c r="N417" s="204">
        <v>43206</v>
      </c>
      <c r="O417" s="200"/>
      <c r="P417" s="200"/>
      <c r="AB417" s="110"/>
      <c r="AC417" s="110"/>
      <c r="AD417" s="110"/>
      <c r="AE417" s="110"/>
    </row>
    <row r="418" spans="1:31">
      <c r="A418" s="196" t="s">
        <v>1151</v>
      </c>
      <c r="C418" s="196">
        <v>112</v>
      </c>
      <c r="D418" s="196">
        <v>0.48120000000000002</v>
      </c>
      <c r="E418" s="196">
        <v>20.965499999999999</v>
      </c>
      <c r="F418" s="196">
        <v>0.2064</v>
      </c>
      <c r="G418" s="196">
        <f t="shared" si="55"/>
        <v>21.171899999999997</v>
      </c>
      <c r="H418" s="196">
        <v>21.018699999999999</v>
      </c>
      <c r="I418" s="196">
        <f t="shared" si="56"/>
        <v>0.15319999999999823</v>
      </c>
      <c r="J418" s="200">
        <f t="shared" si="57"/>
        <v>5.3200000000001774E-2</v>
      </c>
      <c r="K418" s="270">
        <f t="shared" si="58"/>
        <v>25.775193798450474</v>
      </c>
      <c r="L418" s="196">
        <v>13</v>
      </c>
      <c r="M418" s="196" t="s">
        <v>2560</v>
      </c>
      <c r="N418" s="196">
        <v>43153.729166666664</v>
      </c>
      <c r="O418" s="196" t="s">
        <v>2534</v>
      </c>
      <c r="P418" s="196" t="s">
        <v>2558</v>
      </c>
      <c r="AB418" s="110"/>
      <c r="AC418" s="110"/>
      <c r="AD418" s="110"/>
      <c r="AE418" s="110"/>
    </row>
    <row r="419" spans="1:31">
      <c r="A419" s="196" t="s">
        <v>1150</v>
      </c>
      <c r="C419" s="196">
        <v>141</v>
      </c>
      <c r="D419" s="196">
        <v>0.55530000000000002</v>
      </c>
      <c r="E419" s="196">
        <v>9.2356999999999996</v>
      </c>
      <c r="F419" s="196">
        <v>0.2072</v>
      </c>
      <c r="G419" s="196">
        <f t="shared" si="55"/>
        <v>9.4428999999999998</v>
      </c>
      <c r="H419" s="196">
        <v>9.3074999999999992</v>
      </c>
      <c r="I419" s="196">
        <f t="shared" si="56"/>
        <v>0.13540000000000063</v>
      </c>
      <c r="J419" s="200">
        <f t="shared" si="57"/>
        <v>7.1799999999999364E-2</v>
      </c>
      <c r="K419" s="270">
        <f t="shared" si="58"/>
        <v>34.652509652509345</v>
      </c>
      <c r="L419" s="196">
        <v>11</v>
      </c>
      <c r="M419" s="196">
        <v>43157.527777777781</v>
      </c>
      <c r="N419" s="196">
        <v>43157.694444444445</v>
      </c>
      <c r="O419" s="196" t="s">
        <v>2540</v>
      </c>
      <c r="AB419" s="110"/>
      <c r="AC419" s="110"/>
      <c r="AD419" s="110"/>
      <c r="AE419" s="110"/>
    </row>
    <row r="420" spans="1:31">
      <c r="A420" s="201" t="s">
        <v>1149</v>
      </c>
      <c r="C420" s="200">
        <v>117</v>
      </c>
      <c r="D420" s="200">
        <v>0.42089999999999994</v>
      </c>
      <c r="E420" s="200">
        <v>7.7733999999999996</v>
      </c>
      <c r="F420" s="200">
        <v>0.2016</v>
      </c>
      <c r="G420" s="200">
        <f t="shared" si="55"/>
        <v>7.9749999999999996</v>
      </c>
      <c r="H420" s="200">
        <v>7.8000999999999996</v>
      </c>
      <c r="I420" s="200">
        <f t="shared" si="56"/>
        <v>0.17490000000000006</v>
      </c>
      <c r="J420" s="200">
        <f t="shared" si="57"/>
        <v>2.6699999999999946E-2</v>
      </c>
      <c r="K420" s="270">
        <f t="shared" si="58"/>
        <v>13.244047619047592</v>
      </c>
      <c r="L420" s="200">
        <v>29</v>
      </c>
      <c r="M420" s="204">
        <v>43173</v>
      </c>
      <c r="N420" s="204">
        <v>43173</v>
      </c>
      <c r="O420" s="200" t="s">
        <v>2540</v>
      </c>
      <c r="P420" s="200" t="s">
        <v>2539</v>
      </c>
      <c r="AB420" s="110"/>
      <c r="AC420" s="110"/>
      <c r="AD420" s="110"/>
      <c r="AE420" s="110"/>
    </row>
    <row r="421" spans="1:31">
      <c r="A421" s="201" t="s">
        <v>1148</v>
      </c>
      <c r="C421" s="200">
        <v>145</v>
      </c>
      <c r="D421" s="200">
        <v>0.59219999999999995</v>
      </c>
      <c r="E421" s="200">
        <v>7.9939999999999998</v>
      </c>
      <c r="F421" s="200">
        <v>0.2024</v>
      </c>
      <c r="G421" s="200">
        <f t="shared" si="55"/>
        <v>8.1964000000000006</v>
      </c>
      <c r="H421" s="200">
        <v>8.0348000000000006</v>
      </c>
      <c r="I421" s="200">
        <f t="shared" si="56"/>
        <v>0.16159999999999997</v>
      </c>
      <c r="J421" s="200">
        <f t="shared" si="57"/>
        <v>4.0800000000000031E-2</v>
      </c>
      <c r="K421" s="270">
        <f t="shared" si="58"/>
        <v>20.158102766798436</v>
      </c>
      <c r="L421" s="200">
        <v>25</v>
      </c>
      <c r="M421" s="204">
        <v>43173</v>
      </c>
      <c r="N421" s="204">
        <v>43173</v>
      </c>
      <c r="O421" s="200" t="s">
        <v>2540</v>
      </c>
      <c r="P421" s="200" t="s">
        <v>2539</v>
      </c>
      <c r="AB421" s="110"/>
      <c r="AC421" s="110"/>
      <c r="AD421" s="110"/>
      <c r="AE421" s="110"/>
    </row>
    <row r="422" spans="1:31">
      <c r="A422" s="196" t="s">
        <v>1140</v>
      </c>
      <c r="P422" s="196" t="s">
        <v>3215</v>
      </c>
      <c r="AB422" s="110"/>
      <c r="AC422" s="110"/>
      <c r="AD422" s="110"/>
      <c r="AE422" s="110"/>
    </row>
    <row r="423" spans="1:31">
      <c r="A423" s="196" t="s">
        <v>1131</v>
      </c>
      <c r="C423" s="197">
        <v>101</v>
      </c>
      <c r="D423" s="196">
        <v>1.3405</v>
      </c>
      <c r="E423" s="201">
        <v>11.1214</v>
      </c>
      <c r="F423" s="201">
        <v>0.20519999999999999</v>
      </c>
      <c r="G423" s="200">
        <f t="shared" ref="G423:G429" si="59">E423+F423</f>
        <v>11.326599999999999</v>
      </c>
      <c r="H423" s="200">
        <v>11.136799999999999</v>
      </c>
      <c r="I423" s="200">
        <f t="shared" ref="I423:I429" si="60">(G423-H423)</f>
        <v>0.18979999999999997</v>
      </c>
      <c r="J423" s="200">
        <f t="shared" ref="J423:J429" si="61">F423-I423</f>
        <v>1.5400000000000025E-2</v>
      </c>
      <c r="K423" s="270">
        <f t="shared" ref="K423:K429" si="62">(J423/F423)*100</f>
        <v>7.5048732943469902</v>
      </c>
      <c r="L423" s="200">
        <v>35</v>
      </c>
      <c r="AB423" s="110"/>
      <c r="AC423" s="110"/>
      <c r="AD423" s="110"/>
      <c r="AE423" s="110"/>
    </row>
    <row r="424" spans="1:31">
      <c r="A424" s="196" t="s">
        <v>1041</v>
      </c>
      <c r="C424" s="197">
        <v>78</v>
      </c>
      <c r="D424" s="200">
        <v>1.4992000000000001</v>
      </c>
      <c r="E424" s="201">
        <v>9.2354000000000003</v>
      </c>
      <c r="F424" s="201">
        <v>0.20449999999999999</v>
      </c>
      <c r="G424" s="200">
        <f t="shared" si="59"/>
        <v>9.4398999999999997</v>
      </c>
      <c r="H424" s="200">
        <v>9.2411999999999992</v>
      </c>
      <c r="I424" s="200">
        <f t="shared" si="60"/>
        <v>0.19870000000000054</v>
      </c>
      <c r="J424" s="200">
        <f t="shared" si="61"/>
        <v>5.7999999999994445E-3</v>
      </c>
      <c r="K424" s="270">
        <f t="shared" si="62"/>
        <v>2.8361858190706335</v>
      </c>
      <c r="L424" s="200">
        <v>27</v>
      </c>
      <c r="M424" s="203">
        <v>43213</v>
      </c>
      <c r="N424" s="203">
        <v>43213</v>
      </c>
      <c r="AB424" s="110"/>
      <c r="AC424" s="110"/>
      <c r="AD424" s="110"/>
      <c r="AE424" s="110"/>
    </row>
    <row r="425" spans="1:31">
      <c r="A425" s="196" t="s">
        <v>1040</v>
      </c>
      <c r="C425" s="197">
        <v>9</v>
      </c>
      <c r="D425" s="196">
        <v>1.3147</v>
      </c>
      <c r="E425" s="201">
        <v>10.702500000000001</v>
      </c>
      <c r="F425" s="201">
        <v>0.20180000000000001</v>
      </c>
      <c r="G425" s="200">
        <f t="shared" si="59"/>
        <v>10.904300000000001</v>
      </c>
      <c r="H425" s="200">
        <v>10.7149</v>
      </c>
      <c r="I425" s="200">
        <f t="shared" si="60"/>
        <v>0.1894000000000009</v>
      </c>
      <c r="J425" s="200">
        <f t="shared" si="61"/>
        <v>1.2399999999999106E-2</v>
      </c>
      <c r="K425" s="270">
        <f t="shared" si="62"/>
        <v>6.1446977205149187</v>
      </c>
      <c r="L425" s="200">
        <v>3</v>
      </c>
      <c r="AB425" s="110"/>
      <c r="AC425" s="110"/>
      <c r="AD425" s="110"/>
      <c r="AE425" s="110"/>
    </row>
    <row r="426" spans="1:31">
      <c r="A426" s="196" t="s">
        <v>1038</v>
      </c>
      <c r="C426" s="197">
        <v>218</v>
      </c>
      <c r="D426" s="196">
        <v>1.2075</v>
      </c>
      <c r="E426" s="200">
        <v>10.698</v>
      </c>
      <c r="F426" s="201">
        <v>0.20280000000000001</v>
      </c>
      <c r="G426" s="200">
        <f t="shared" si="59"/>
        <v>10.9008</v>
      </c>
      <c r="H426" s="200">
        <v>10.7095</v>
      </c>
      <c r="I426" s="200">
        <f t="shared" si="60"/>
        <v>0.19130000000000003</v>
      </c>
      <c r="J426" s="200">
        <f t="shared" si="61"/>
        <v>1.1499999999999982E-2</v>
      </c>
      <c r="K426" s="270">
        <f t="shared" si="62"/>
        <v>5.6706114398422001</v>
      </c>
      <c r="L426" s="200">
        <v>19</v>
      </c>
      <c r="M426" s="203">
        <v>43212</v>
      </c>
      <c r="AB426" s="110"/>
      <c r="AC426" s="110"/>
      <c r="AD426" s="110"/>
      <c r="AE426" s="110"/>
    </row>
    <row r="427" spans="1:31">
      <c r="A427" s="196" t="s">
        <v>1037</v>
      </c>
      <c r="C427" s="197">
        <v>25</v>
      </c>
      <c r="D427" s="196">
        <v>1.1997</v>
      </c>
      <c r="E427" s="200">
        <v>7.8597999999999999</v>
      </c>
      <c r="F427" s="201">
        <v>0.2016</v>
      </c>
      <c r="G427" s="200">
        <f t="shared" si="59"/>
        <v>8.061399999999999</v>
      </c>
      <c r="H427" s="200">
        <v>7.8674999999999997</v>
      </c>
      <c r="I427" s="200">
        <f t="shared" si="60"/>
        <v>0.1938999999999993</v>
      </c>
      <c r="J427" s="200">
        <f t="shared" si="61"/>
        <v>7.7000000000007063E-3</v>
      </c>
      <c r="K427" s="270">
        <f t="shared" si="62"/>
        <v>3.8194444444447946</v>
      </c>
      <c r="L427" s="200">
        <v>43</v>
      </c>
      <c r="M427" s="203">
        <v>43212</v>
      </c>
      <c r="AB427" s="110"/>
      <c r="AC427" s="110"/>
      <c r="AD427" s="110"/>
      <c r="AE427" s="110"/>
    </row>
    <row r="428" spans="1:31">
      <c r="A428" s="200" t="s">
        <v>1036</v>
      </c>
      <c r="C428" s="200">
        <v>173</v>
      </c>
      <c r="D428" s="201">
        <v>1.4504999999999999</v>
      </c>
      <c r="E428" s="201">
        <v>8.0630000000000006</v>
      </c>
      <c r="F428" s="201">
        <v>0.20680000000000001</v>
      </c>
      <c r="G428" s="200">
        <f t="shared" si="59"/>
        <v>8.2698</v>
      </c>
      <c r="H428" s="200">
        <v>8.0683000000000007</v>
      </c>
      <c r="I428" s="200">
        <f t="shared" si="60"/>
        <v>0.20149999999999935</v>
      </c>
      <c r="J428" s="200">
        <f t="shared" si="61"/>
        <v>5.3000000000006653E-3</v>
      </c>
      <c r="K428" s="270">
        <f t="shared" si="62"/>
        <v>2.5628626692459697</v>
      </c>
      <c r="L428" s="200">
        <v>22</v>
      </c>
      <c r="M428" s="202">
        <v>43181.645833333336</v>
      </c>
      <c r="N428" s="202">
        <v>43181.833333333336</v>
      </c>
      <c r="O428" s="200" t="s">
        <v>2540</v>
      </c>
      <c r="P428" s="205" t="s">
        <v>2545</v>
      </c>
      <c r="AB428" s="110"/>
      <c r="AC428" s="110"/>
      <c r="AD428" s="110"/>
      <c r="AE428" s="110"/>
    </row>
    <row r="429" spans="1:31">
      <c r="A429" s="205" t="s">
        <v>1034</v>
      </c>
      <c r="C429" s="180">
        <v>48</v>
      </c>
      <c r="D429" s="200">
        <v>1.2957000000000001</v>
      </c>
      <c r="E429" s="200">
        <v>8.4438999999999993</v>
      </c>
      <c r="F429" s="201">
        <v>0.20039999999999999</v>
      </c>
      <c r="G429" s="200">
        <f t="shared" si="59"/>
        <v>8.6442999999999994</v>
      </c>
      <c r="H429" s="200">
        <v>8.4507999999999992</v>
      </c>
      <c r="I429" s="200">
        <f t="shared" si="60"/>
        <v>0.19350000000000023</v>
      </c>
      <c r="J429" s="200">
        <f t="shared" si="61"/>
        <v>6.8999999999997674E-3</v>
      </c>
      <c r="K429" s="270">
        <f t="shared" si="62"/>
        <v>3.4431137724549741</v>
      </c>
      <c r="L429" s="200">
        <v>11</v>
      </c>
      <c r="M429" s="204">
        <v>43211</v>
      </c>
      <c r="S429" s="196" t="s">
        <v>2578</v>
      </c>
      <c r="AB429" s="110"/>
      <c r="AC429" s="110"/>
      <c r="AD429" s="110"/>
      <c r="AE429" s="110"/>
    </row>
    <row r="430" spans="1:31">
      <c r="A430" s="196" t="s">
        <v>1032</v>
      </c>
      <c r="P430" s="196" t="s">
        <v>3215</v>
      </c>
      <c r="AB430" s="110"/>
      <c r="AC430" s="110"/>
      <c r="AD430" s="110"/>
      <c r="AE430" s="110"/>
    </row>
    <row r="431" spans="1:31">
      <c r="A431" s="205" t="s">
        <v>1130</v>
      </c>
      <c r="C431" s="200">
        <v>122</v>
      </c>
      <c r="D431" s="200">
        <v>0.99909999999999999</v>
      </c>
      <c r="E431" s="201">
        <v>8.0879999999999992</v>
      </c>
      <c r="F431" s="201">
        <v>0.1983</v>
      </c>
      <c r="G431" s="200">
        <f t="shared" ref="G431:G438" si="63">E431+F431</f>
        <v>8.2862999999999989</v>
      </c>
      <c r="H431" s="200">
        <v>8.1047999999999991</v>
      </c>
      <c r="I431" s="200">
        <f t="shared" ref="I431:I438" si="64">(G431-H431)</f>
        <v>0.18149999999999977</v>
      </c>
      <c r="J431" s="200">
        <f t="shared" ref="J431:J438" si="65">F431-I431</f>
        <v>1.6800000000000231E-2</v>
      </c>
      <c r="K431" s="270">
        <f t="shared" ref="K431:K438" si="66">(J431/F431)*100</f>
        <v>8.4720121028745492</v>
      </c>
      <c r="L431" s="200">
        <v>6</v>
      </c>
      <c r="M431" s="202">
        <v>43181.645833333336</v>
      </c>
      <c r="N431" s="202">
        <v>43181.833333333336</v>
      </c>
      <c r="O431" s="200" t="s">
        <v>2540</v>
      </c>
      <c r="P431" s="200"/>
      <c r="AB431" s="110"/>
      <c r="AC431" s="110"/>
      <c r="AD431" s="110"/>
      <c r="AE431" s="110"/>
    </row>
    <row r="432" spans="1:31">
      <c r="A432" s="196" t="s">
        <v>1031</v>
      </c>
      <c r="C432" s="196">
        <v>20</v>
      </c>
      <c r="D432" s="196">
        <v>1.4414</v>
      </c>
      <c r="E432" s="196">
        <v>7.3536000000000001</v>
      </c>
      <c r="F432" s="196">
        <v>0.20780000000000001</v>
      </c>
      <c r="G432" s="196">
        <f t="shared" si="63"/>
        <v>7.5613999999999999</v>
      </c>
      <c r="H432" s="196">
        <v>7.3670999999999998</v>
      </c>
      <c r="I432" s="196">
        <f t="shared" si="64"/>
        <v>0.19430000000000014</v>
      </c>
      <c r="J432" s="200">
        <f t="shared" si="65"/>
        <v>1.3499999999999873E-2</v>
      </c>
      <c r="K432" s="270">
        <f t="shared" si="66"/>
        <v>6.496631376323327</v>
      </c>
      <c r="L432" s="196">
        <v>6</v>
      </c>
      <c r="M432" s="196" t="s">
        <v>2570</v>
      </c>
      <c r="N432" s="196" t="s">
        <v>2569</v>
      </c>
      <c r="O432" s="196" t="s">
        <v>2534</v>
      </c>
      <c r="AB432" s="110"/>
      <c r="AC432" s="110"/>
      <c r="AD432" s="110"/>
      <c r="AE432" s="110"/>
    </row>
    <row r="433" spans="1:31">
      <c r="A433" s="200" t="s">
        <v>1030</v>
      </c>
      <c r="C433" s="200">
        <v>213</v>
      </c>
      <c r="D433" s="200">
        <v>1.3273999999999999</v>
      </c>
      <c r="E433" s="200">
        <v>9.5183999999999997</v>
      </c>
      <c r="F433" s="200">
        <v>0.20580000000000001</v>
      </c>
      <c r="G433" s="200">
        <f t="shared" si="63"/>
        <v>9.7241999999999997</v>
      </c>
      <c r="H433" s="200">
        <v>9.5253999999999994</v>
      </c>
      <c r="I433" s="200">
        <f t="shared" si="64"/>
        <v>0.19880000000000031</v>
      </c>
      <c r="J433" s="200">
        <f t="shared" si="65"/>
        <v>6.9999999999997009E-3</v>
      </c>
      <c r="K433" s="270">
        <f t="shared" si="66"/>
        <v>3.4013605442175416</v>
      </c>
      <c r="L433" s="200">
        <v>5</v>
      </c>
      <c r="M433" s="204">
        <v>43188</v>
      </c>
      <c r="N433" s="204">
        <v>43188</v>
      </c>
      <c r="O433" s="200"/>
      <c r="P433" s="200"/>
      <c r="AB433" s="110"/>
      <c r="AC433" s="110"/>
      <c r="AD433" s="110"/>
      <c r="AE433" s="110"/>
    </row>
    <row r="434" spans="1:31">
      <c r="A434" s="196" t="s">
        <v>1029</v>
      </c>
      <c r="C434" s="197">
        <v>27</v>
      </c>
      <c r="D434" s="196">
        <v>1.1268</v>
      </c>
      <c r="E434" s="200">
        <v>8.1679999999999993</v>
      </c>
      <c r="F434" s="201">
        <v>0.20619999999999999</v>
      </c>
      <c r="G434" s="200">
        <f t="shared" si="63"/>
        <v>8.3742000000000001</v>
      </c>
      <c r="H434" s="200">
        <v>8.1806000000000001</v>
      </c>
      <c r="I434" s="200">
        <f t="shared" si="64"/>
        <v>0.19359999999999999</v>
      </c>
      <c r="J434" s="200">
        <f t="shared" si="65"/>
        <v>1.26E-2</v>
      </c>
      <c r="K434" s="270">
        <f t="shared" si="66"/>
        <v>6.1105722599418044</v>
      </c>
      <c r="L434" s="200">
        <v>35</v>
      </c>
      <c r="M434" s="203">
        <v>43212</v>
      </c>
      <c r="AB434" s="110"/>
      <c r="AC434" s="110"/>
      <c r="AD434" s="110"/>
      <c r="AE434" s="110"/>
    </row>
    <row r="435" spans="1:31">
      <c r="A435" s="205" t="s">
        <v>1027</v>
      </c>
      <c r="C435" s="200">
        <v>40</v>
      </c>
      <c r="D435" s="200">
        <v>1.9709000000000001</v>
      </c>
      <c r="E435" s="200">
        <v>7.8711000000000002</v>
      </c>
      <c r="F435" s="201">
        <v>0.20180000000000001</v>
      </c>
      <c r="G435" s="200">
        <f t="shared" si="63"/>
        <v>8.0729000000000006</v>
      </c>
      <c r="H435" s="200">
        <v>7.9211999999999998</v>
      </c>
      <c r="I435" s="200">
        <f t="shared" si="64"/>
        <v>0.15170000000000083</v>
      </c>
      <c r="J435" s="200">
        <f t="shared" si="65"/>
        <v>5.0099999999999173E-2</v>
      </c>
      <c r="K435" s="270">
        <f t="shared" si="66"/>
        <v>24.826560951436655</v>
      </c>
      <c r="L435" s="200">
        <v>8</v>
      </c>
      <c r="M435" s="204">
        <v>43211</v>
      </c>
      <c r="P435" s="200"/>
      <c r="AB435" s="110"/>
      <c r="AC435" s="110"/>
      <c r="AD435" s="110"/>
      <c r="AE435" s="110"/>
    </row>
    <row r="436" spans="1:31">
      <c r="A436" s="196" t="s">
        <v>1026</v>
      </c>
      <c r="C436" s="196">
        <v>4</v>
      </c>
      <c r="D436" s="196">
        <v>1.171</v>
      </c>
      <c r="E436" s="201">
        <v>8.1178000000000008</v>
      </c>
      <c r="F436" s="201">
        <v>0.20030000000000001</v>
      </c>
      <c r="G436" s="200">
        <f t="shared" si="63"/>
        <v>8.3181000000000012</v>
      </c>
      <c r="H436" s="200">
        <v>8.1286000000000005</v>
      </c>
      <c r="I436" s="200">
        <f t="shared" si="64"/>
        <v>0.18950000000000067</v>
      </c>
      <c r="J436" s="200">
        <f t="shared" si="65"/>
        <v>1.0799999999999338E-2</v>
      </c>
      <c r="K436" s="270">
        <f t="shared" si="66"/>
        <v>5.3919121318019663</v>
      </c>
      <c r="L436" s="200">
        <v>9</v>
      </c>
      <c r="AB436" s="110"/>
      <c r="AC436" s="110"/>
      <c r="AD436" s="110"/>
      <c r="AE436" s="110"/>
    </row>
    <row r="437" spans="1:31">
      <c r="A437" s="196" t="s">
        <v>1024</v>
      </c>
      <c r="C437" s="196">
        <v>43</v>
      </c>
      <c r="D437" s="196">
        <v>1.3892</v>
      </c>
      <c r="E437" s="196">
        <v>7.4809000000000001</v>
      </c>
      <c r="F437" s="196">
        <v>0.20069999999999999</v>
      </c>
      <c r="G437" s="196">
        <f t="shared" si="63"/>
        <v>7.6816000000000004</v>
      </c>
      <c r="H437" s="196">
        <v>7.4846000000000004</v>
      </c>
      <c r="I437" s="196">
        <f t="shared" si="64"/>
        <v>0.19700000000000006</v>
      </c>
      <c r="J437" s="200">
        <f t="shared" si="65"/>
        <v>3.6999999999999256E-3</v>
      </c>
      <c r="K437" s="270">
        <f t="shared" si="66"/>
        <v>1.8435475834578603</v>
      </c>
      <c r="L437" s="196">
        <v>12</v>
      </c>
      <c r="M437" s="196" t="s">
        <v>2570</v>
      </c>
      <c r="N437" s="196" t="s">
        <v>2569</v>
      </c>
      <c r="O437" s="196" t="s">
        <v>2534</v>
      </c>
      <c r="AB437" s="110"/>
      <c r="AC437" s="110"/>
      <c r="AD437" s="110"/>
      <c r="AE437" s="110"/>
    </row>
    <row r="438" spans="1:31">
      <c r="A438" s="196" t="s">
        <v>1022</v>
      </c>
      <c r="C438" s="196">
        <v>62</v>
      </c>
      <c r="D438" s="196">
        <v>1.3992</v>
      </c>
      <c r="E438" s="196">
        <v>8.1684000000000001</v>
      </c>
      <c r="F438" s="196">
        <v>0.19800000000000001</v>
      </c>
      <c r="G438" s="196">
        <f t="shared" si="63"/>
        <v>8.3664000000000005</v>
      </c>
      <c r="H438" s="196">
        <v>8.1851000000000003</v>
      </c>
      <c r="I438" s="196">
        <f t="shared" si="64"/>
        <v>0.18130000000000024</v>
      </c>
      <c r="J438" s="200">
        <f t="shared" si="65"/>
        <v>1.6699999999999771E-2</v>
      </c>
      <c r="K438" s="270">
        <f t="shared" si="66"/>
        <v>8.4343434343433188</v>
      </c>
      <c r="L438" s="196">
        <v>44</v>
      </c>
      <c r="M438" s="196" t="s">
        <v>2570</v>
      </c>
      <c r="N438" s="196" t="s">
        <v>2569</v>
      </c>
      <c r="O438" s="196" t="s">
        <v>2534</v>
      </c>
      <c r="AB438" s="110"/>
      <c r="AC438" s="110"/>
      <c r="AD438" s="110"/>
      <c r="AE438" s="110"/>
    </row>
    <row r="439" spans="1:31">
      <c r="A439" s="196" t="s">
        <v>1129</v>
      </c>
      <c r="P439" s="196" t="s">
        <v>3215</v>
      </c>
      <c r="AB439" s="110"/>
      <c r="AC439" s="110"/>
      <c r="AD439" s="110"/>
      <c r="AE439" s="110"/>
    </row>
    <row r="440" spans="1:31">
      <c r="A440" s="200" t="s">
        <v>1021</v>
      </c>
      <c r="C440" s="200">
        <v>59</v>
      </c>
      <c r="D440" s="200">
        <v>1.2487999999999999</v>
      </c>
      <c r="E440" s="200">
        <v>10.539099999999999</v>
      </c>
      <c r="F440" s="201">
        <v>0.20069999999999999</v>
      </c>
      <c r="G440" s="200">
        <f>E440+F440</f>
        <v>10.739799999999999</v>
      </c>
      <c r="H440" s="200">
        <v>10.546799999999999</v>
      </c>
      <c r="I440" s="200">
        <f>(G440-H440)</f>
        <v>0.19299999999999962</v>
      </c>
      <c r="J440" s="200">
        <f>F440-I440</f>
        <v>7.7000000000003732E-3</v>
      </c>
      <c r="K440" s="270">
        <f>(J440/F440)*100</f>
        <v>3.836571998007162</v>
      </c>
      <c r="L440" s="200">
        <v>1</v>
      </c>
      <c r="M440" s="204">
        <v>43188</v>
      </c>
      <c r="N440" s="204">
        <v>43188</v>
      </c>
      <c r="O440" s="200"/>
      <c r="P440" s="200"/>
      <c r="U440" s="201" t="s">
        <v>1397</v>
      </c>
      <c r="V440" s="196">
        <v>0.9143</v>
      </c>
      <c r="W440" s="196">
        <f>(V440-$T$175+F438)</f>
        <v>1.1123000000000001</v>
      </c>
      <c r="AB440" s="110"/>
      <c r="AC440" s="110"/>
      <c r="AD440" s="110"/>
      <c r="AE440" s="110"/>
    </row>
    <row r="441" spans="1:31">
      <c r="A441" s="196" t="s">
        <v>1020</v>
      </c>
      <c r="C441" s="197">
        <v>2</v>
      </c>
      <c r="D441" s="196">
        <v>1.0841000000000001</v>
      </c>
      <c r="E441" s="201">
        <v>7.8714000000000004</v>
      </c>
      <c r="F441" s="201">
        <v>0.20100000000000001</v>
      </c>
      <c r="G441" s="200">
        <f>E441+F441</f>
        <v>8.0724</v>
      </c>
      <c r="H441" s="200">
        <v>7.8826999999999998</v>
      </c>
      <c r="I441" s="200">
        <f>(G441-H441)</f>
        <v>0.1897000000000002</v>
      </c>
      <c r="J441" s="200">
        <f>F441-I441</f>
        <v>1.129999999999981E-2</v>
      </c>
      <c r="K441" s="270">
        <f>(J441/F441)*100</f>
        <v>5.6218905472635869</v>
      </c>
      <c r="L441" s="200">
        <v>29</v>
      </c>
      <c r="M441" s="203">
        <v>43213</v>
      </c>
      <c r="N441" s="203">
        <v>43213</v>
      </c>
      <c r="T441" s="203"/>
      <c r="U441" s="203"/>
      <c r="AB441" s="110"/>
      <c r="AC441" s="110"/>
      <c r="AD441" s="110"/>
      <c r="AE441" s="110"/>
    </row>
    <row r="442" spans="1:31">
      <c r="A442" s="196" t="s">
        <v>1019</v>
      </c>
      <c r="P442" s="196" t="s">
        <v>3215</v>
      </c>
    </row>
    <row r="443" spans="1:31">
      <c r="A443" s="196" t="s">
        <v>1017</v>
      </c>
      <c r="C443" s="196">
        <v>161</v>
      </c>
      <c r="D443" s="196">
        <v>1.4500999999999999</v>
      </c>
      <c r="E443" s="196">
        <v>8.7805999999999997</v>
      </c>
      <c r="F443" s="196">
        <v>0.20710000000000001</v>
      </c>
      <c r="G443" s="196">
        <f t="shared" ref="G443:G469" si="67">E443+F443</f>
        <v>8.9877000000000002</v>
      </c>
      <c r="H443" s="196">
        <v>8.7827000000000002</v>
      </c>
      <c r="I443" s="196">
        <f t="shared" ref="I443:I467" si="68">(G443-H443)</f>
        <v>0.20500000000000007</v>
      </c>
      <c r="J443" s="200">
        <f t="shared" ref="J443:J469" si="69">F443-I443</f>
        <v>2.0999999999999353E-3</v>
      </c>
      <c r="K443" s="270">
        <f t="shared" ref="K443:K469" si="70">(J443/F443)*100</f>
        <v>1.0140028971511033</v>
      </c>
      <c r="L443" s="196">
        <v>2</v>
      </c>
      <c r="M443" s="196">
        <v>43160.520833333336</v>
      </c>
      <c r="N443" s="196">
        <v>43160.6875</v>
      </c>
      <c r="O443" s="196" t="s">
        <v>2534</v>
      </c>
      <c r="AB443" s="110"/>
      <c r="AC443" s="110"/>
      <c r="AD443" s="110"/>
      <c r="AE443" s="110"/>
    </row>
    <row r="444" spans="1:31">
      <c r="A444" s="196" t="s">
        <v>1016</v>
      </c>
      <c r="C444" s="197">
        <v>193</v>
      </c>
      <c r="D444" s="196">
        <v>1.0089999999999999</v>
      </c>
      <c r="E444" s="200">
        <v>9.4854000000000003</v>
      </c>
      <c r="F444" s="201">
        <v>0.20050000000000001</v>
      </c>
      <c r="G444" s="200">
        <f t="shared" si="67"/>
        <v>9.6859000000000002</v>
      </c>
      <c r="H444" s="200">
        <v>9.4951000000000008</v>
      </c>
      <c r="I444" s="200">
        <f t="shared" si="68"/>
        <v>0.19079999999999941</v>
      </c>
      <c r="J444" s="200">
        <f t="shared" si="69"/>
        <v>9.700000000000597E-3</v>
      </c>
      <c r="K444" s="270">
        <f t="shared" si="70"/>
        <v>4.8379052369080275</v>
      </c>
      <c r="L444" s="200">
        <v>22</v>
      </c>
      <c r="M444" s="203">
        <v>43212</v>
      </c>
      <c r="AB444" s="110"/>
      <c r="AC444" s="110"/>
      <c r="AD444" s="110"/>
      <c r="AE444" s="110"/>
    </row>
    <row r="445" spans="1:31">
      <c r="A445" s="205" t="s">
        <v>1015</v>
      </c>
      <c r="C445" s="200">
        <v>36</v>
      </c>
      <c r="D445" s="200">
        <v>1.3523000000000001</v>
      </c>
      <c r="E445" s="200">
        <v>10.114000000000001</v>
      </c>
      <c r="F445" s="200">
        <v>0.20669999999999999</v>
      </c>
      <c r="G445" s="200">
        <f t="shared" si="67"/>
        <v>10.3207</v>
      </c>
      <c r="H445" s="200">
        <v>10.120799999999999</v>
      </c>
      <c r="I445" s="200">
        <f t="shared" si="68"/>
        <v>0.1999000000000013</v>
      </c>
      <c r="J445" s="200">
        <f t="shared" si="69"/>
        <v>6.799999999998696E-3</v>
      </c>
      <c r="K445" s="270">
        <f t="shared" si="70"/>
        <v>3.2897919690366213</v>
      </c>
      <c r="L445" s="200">
        <v>25</v>
      </c>
      <c r="M445" s="204">
        <v>43188</v>
      </c>
      <c r="N445" s="204">
        <v>43188</v>
      </c>
      <c r="O445" s="200"/>
      <c r="P445" s="200"/>
      <c r="AB445" s="110"/>
      <c r="AC445" s="110"/>
      <c r="AD445" s="110"/>
      <c r="AE445" s="110"/>
    </row>
    <row r="446" spans="1:31">
      <c r="A446" s="205" t="s">
        <v>1013</v>
      </c>
      <c r="C446" s="200">
        <v>18</v>
      </c>
      <c r="D446" s="200">
        <v>1.5038</v>
      </c>
      <c r="E446" s="200">
        <v>8.7735000000000003</v>
      </c>
      <c r="F446" s="201">
        <v>0.2024</v>
      </c>
      <c r="G446" s="200">
        <f t="shared" si="67"/>
        <v>8.9759000000000011</v>
      </c>
      <c r="H446" s="200">
        <v>8.7866</v>
      </c>
      <c r="I446" s="200">
        <f t="shared" si="68"/>
        <v>0.18930000000000113</v>
      </c>
      <c r="J446" s="200">
        <f t="shared" si="69"/>
        <v>1.3099999999998863E-2</v>
      </c>
      <c r="K446" s="270">
        <f t="shared" si="70"/>
        <v>6.4723320158097151</v>
      </c>
      <c r="L446" s="200">
        <v>8</v>
      </c>
      <c r="M446" s="204">
        <v>43187</v>
      </c>
      <c r="N446" s="204">
        <v>43187</v>
      </c>
      <c r="O446" s="200"/>
      <c r="P446" s="200" t="s">
        <v>2582</v>
      </c>
      <c r="AB446" s="110"/>
      <c r="AC446" s="110"/>
      <c r="AD446" s="110"/>
      <c r="AE446" s="110"/>
    </row>
    <row r="447" spans="1:31">
      <c r="A447" s="205" t="s">
        <v>1012</v>
      </c>
      <c r="C447" s="200">
        <v>68</v>
      </c>
      <c r="D447" s="200">
        <v>1.5619000000000001</v>
      </c>
      <c r="E447" s="201">
        <v>7.3540999999999999</v>
      </c>
      <c r="F447" s="201">
        <v>0.2029</v>
      </c>
      <c r="G447" s="200">
        <f t="shared" si="67"/>
        <v>7.5569999999999995</v>
      </c>
      <c r="H447" s="200">
        <v>7.3837999999999999</v>
      </c>
      <c r="I447" s="200">
        <f t="shared" si="68"/>
        <v>0.17319999999999958</v>
      </c>
      <c r="J447" s="200">
        <f t="shared" si="69"/>
        <v>2.9700000000000421E-2</v>
      </c>
      <c r="K447" s="270">
        <f t="shared" si="70"/>
        <v>14.637752587481726</v>
      </c>
      <c r="L447" s="200">
        <v>16</v>
      </c>
      <c r="M447" s="204">
        <v>43199</v>
      </c>
      <c r="N447" s="204">
        <v>43199</v>
      </c>
      <c r="O447" s="200"/>
      <c r="P447" s="200"/>
      <c r="AB447" s="110"/>
      <c r="AC447" s="110"/>
      <c r="AD447" s="110"/>
      <c r="AE447" s="110"/>
    </row>
    <row r="448" spans="1:31">
      <c r="A448" s="205" t="s">
        <v>1011</v>
      </c>
      <c r="C448" s="200">
        <v>212</v>
      </c>
      <c r="D448" s="200">
        <v>1.45</v>
      </c>
      <c r="E448" s="200">
        <v>8.0891000000000002</v>
      </c>
      <c r="F448" s="200">
        <v>0.20219999999999999</v>
      </c>
      <c r="G448" s="200">
        <f t="shared" si="67"/>
        <v>8.2912999999999997</v>
      </c>
      <c r="H448" s="200">
        <v>8.1037999999999997</v>
      </c>
      <c r="I448" s="200">
        <f t="shared" si="68"/>
        <v>0.1875</v>
      </c>
      <c r="J448" s="200">
        <f t="shared" si="69"/>
        <v>1.4699999999999991E-2</v>
      </c>
      <c r="K448" s="270">
        <f t="shared" si="70"/>
        <v>7.2700296735904999</v>
      </c>
      <c r="L448" s="200">
        <v>1</v>
      </c>
      <c r="M448" s="202">
        <v>43171.520833333336</v>
      </c>
      <c r="N448" s="202">
        <v>43171.6875</v>
      </c>
      <c r="O448" s="196" t="s">
        <v>2534</v>
      </c>
      <c r="P448" s="200"/>
      <c r="AB448" s="110"/>
      <c r="AC448" s="110"/>
      <c r="AD448" s="110"/>
      <c r="AE448" s="110"/>
    </row>
    <row r="449" spans="1:31">
      <c r="A449" s="196" t="s">
        <v>1009</v>
      </c>
      <c r="C449" s="196">
        <v>23</v>
      </c>
      <c r="D449" s="196">
        <v>1.3028999999999999</v>
      </c>
      <c r="E449" s="196">
        <v>9.032</v>
      </c>
      <c r="F449" s="196">
        <v>0.20019999999999999</v>
      </c>
      <c r="G449" s="196">
        <f t="shared" si="67"/>
        <v>9.2322000000000006</v>
      </c>
      <c r="H449" s="196">
        <v>9.0356000000000005</v>
      </c>
      <c r="I449" s="196">
        <f t="shared" si="68"/>
        <v>0.19660000000000011</v>
      </c>
      <c r="J449" s="200">
        <f t="shared" si="69"/>
        <v>3.5999999999998811E-3</v>
      </c>
      <c r="K449" s="270">
        <f t="shared" si="70"/>
        <v>1.7982017982017391</v>
      </c>
      <c r="L449" s="196">
        <v>21</v>
      </c>
      <c r="M449" s="196" t="s">
        <v>2570</v>
      </c>
      <c r="N449" s="196" t="s">
        <v>2569</v>
      </c>
      <c r="O449" s="196" t="s">
        <v>2534</v>
      </c>
      <c r="AB449" s="110"/>
      <c r="AC449" s="110"/>
      <c r="AD449" s="110"/>
      <c r="AE449" s="110"/>
    </row>
    <row r="450" spans="1:31">
      <c r="A450" t="s">
        <v>1008</v>
      </c>
      <c r="C450" s="197"/>
      <c r="D450" s="196">
        <v>1.2074</v>
      </c>
      <c r="E450" s="196">
        <v>9.0214999999999996</v>
      </c>
      <c r="F450" s="201">
        <v>0.2011</v>
      </c>
      <c r="G450" s="200">
        <f t="shared" si="67"/>
        <v>9.2225999999999999</v>
      </c>
      <c r="H450" s="200">
        <v>9.0272000000000006</v>
      </c>
      <c r="I450" s="200">
        <f t="shared" si="68"/>
        <v>0.19539999999999935</v>
      </c>
      <c r="J450" s="200">
        <f t="shared" si="69"/>
        <v>5.700000000000649E-3</v>
      </c>
      <c r="K450" s="270">
        <f t="shared" si="70"/>
        <v>2.8344107409252359</v>
      </c>
      <c r="L450" s="200">
        <v>24</v>
      </c>
    </row>
    <row r="451" spans="1:31">
      <c r="A451" s="200" t="s">
        <v>1007</v>
      </c>
      <c r="C451" s="200">
        <v>83</v>
      </c>
      <c r="D451" s="201">
        <v>0.71630000000000005</v>
      </c>
      <c r="E451" s="200">
        <v>8.7734000000000005</v>
      </c>
      <c r="F451" s="201">
        <v>0.20419999999999999</v>
      </c>
      <c r="G451" s="200">
        <f t="shared" si="67"/>
        <v>8.9776000000000007</v>
      </c>
      <c r="H451" s="200">
        <v>8.9</v>
      </c>
      <c r="I451" s="200">
        <f t="shared" si="68"/>
        <v>7.7600000000000335E-2</v>
      </c>
      <c r="J451" s="200">
        <f t="shared" si="69"/>
        <v>0.12659999999999966</v>
      </c>
      <c r="K451" s="270">
        <f t="shared" si="70"/>
        <v>61.99804113614087</v>
      </c>
      <c r="L451" s="200">
        <v>2</v>
      </c>
      <c r="M451" s="204">
        <v>43206</v>
      </c>
      <c r="N451" s="204">
        <v>43206</v>
      </c>
      <c r="O451" s="200"/>
      <c r="P451" s="200"/>
      <c r="AB451" s="110"/>
      <c r="AC451" s="110"/>
      <c r="AD451" s="110"/>
      <c r="AE451" s="110"/>
    </row>
    <row r="452" spans="1:31">
      <c r="A452" s="205" t="s">
        <v>1006</v>
      </c>
      <c r="C452" s="200">
        <v>202</v>
      </c>
      <c r="D452" s="200">
        <v>1.3778999999999999</v>
      </c>
      <c r="E452" s="201">
        <v>10.6349</v>
      </c>
      <c r="F452" s="201">
        <v>0.2041</v>
      </c>
      <c r="G452" s="200">
        <f t="shared" si="67"/>
        <v>10.839</v>
      </c>
      <c r="H452" s="200">
        <v>10.642899999999999</v>
      </c>
      <c r="I452" s="200">
        <f t="shared" si="68"/>
        <v>0.19610000000000127</v>
      </c>
      <c r="J452" s="200">
        <f t="shared" si="69"/>
        <v>7.9999999999987303E-3</v>
      </c>
      <c r="K452" s="270">
        <f t="shared" si="70"/>
        <v>3.9196472317485203</v>
      </c>
      <c r="L452" s="200">
        <v>19</v>
      </c>
      <c r="M452" s="206">
        <v>43185.385416666664</v>
      </c>
      <c r="N452" s="200"/>
      <c r="O452" s="200" t="s">
        <v>2540</v>
      </c>
      <c r="P452" s="200"/>
      <c r="AB452" s="110"/>
      <c r="AC452" s="110"/>
      <c r="AD452" s="110"/>
      <c r="AE452" s="110"/>
    </row>
    <row r="453" spans="1:31">
      <c r="A453" s="196" t="s">
        <v>1005</v>
      </c>
      <c r="C453" s="197">
        <v>93</v>
      </c>
      <c r="D453" s="196">
        <v>1.4095</v>
      </c>
      <c r="E453" s="200">
        <v>8.1356000000000002</v>
      </c>
      <c r="F453" s="201">
        <v>0.2069</v>
      </c>
      <c r="G453" s="200">
        <f t="shared" si="67"/>
        <v>8.3424999999999994</v>
      </c>
      <c r="H453" s="200">
        <v>8.1402000000000001</v>
      </c>
      <c r="I453" s="200">
        <f t="shared" si="68"/>
        <v>0.20229999999999926</v>
      </c>
      <c r="J453" s="200">
        <f t="shared" si="69"/>
        <v>4.6000000000007424E-3</v>
      </c>
      <c r="K453" s="270">
        <f t="shared" si="70"/>
        <v>2.2232962783957189</v>
      </c>
      <c r="L453" s="200">
        <v>30</v>
      </c>
      <c r="M453" s="203">
        <v>43212</v>
      </c>
      <c r="AB453" s="110"/>
      <c r="AC453" s="110"/>
      <c r="AD453" s="110"/>
      <c r="AE453" s="110"/>
    </row>
    <row r="454" spans="1:31">
      <c r="A454" s="200" t="s">
        <v>1004</v>
      </c>
      <c r="C454" s="200">
        <v>77</v>
      </c>
      <c r="D454" s="200">
        <v>1.4125000000000001</v>
      </c>
      <c r="E454" s="200">
        <v>10.5098</v>
      </c>
      <c r="F454" s="201">
        <v>0.2024</v>
      </c>
      <c r="G454" s="200">
        <f t="shared" si="67"/>
        <v>10.712200000000001</v>
      </c>
      <c r="H454" s="200">
        <v>10.5337</v>
      </c>
      <c r="I454" s="200">
        <f t="shared" si="68"/>
        <v>0.17850000000000144</v>
      </c>
      <c r="J454" s="200">
        <f t="shared" si="69"/>
        <v>2.3899999999998561E-2</v>
      </c>
      <c r="K454" s="270">
        <f t="shared" si="70"/>
        <v>11.808300395256206</v>
      </c>
      <c r="L454" s="200">
        <v>33</v>
      </c>
      <c r="M454" s="204">
        <v>43187</v>
      </c>
      <c r="N454" s="204">
        <v>43187</v>
      </c>
      <c r="O454" s="200"/>
      <c r="P454" s="200"/>
      <c r="AB454" s="110"/>
      <c r="AC454" s="110"/>
      <c r="AD454" s="110"/>
      <c r="AE454" s="110"/>
    </row>
    <row r="455" spans="1:31">
      <c r="A455" s="196" t="s">
        <v>1003</v>
      </c>
      <c r="C455" s="196">
        <v>74</v>
      </c>
      <c r="D455" s="196">
        <v>1.4245000000000001</v>
      </c>
      <c r="E455" s="196">
        <v>8.7596000000000007</v>
      </c>
      <c r="F455" s="196">
        <v>0.2034</v>
      </c>
      <c r="G455" s="196">
        <f t="shared" si="67"/>
        <v>8.963000000000001</v>
      </c>
      <c r="H455" s="196">
        <v>8.7670999999999992</v>
      </c>
      <c r="I455" s="196">
        <f t="shared" si="68"/>
        <v>0.19590000000000174</v>
      </c>
      <c r="J455" s="200">
        <f t="shared" si="69"/>
        <v>7.4999999999982581E-3</v>
      </c>
      <c r="K455" s="270">
        <f t="shared" si="70"/>
        <v>3.6873156342174327</v>
      </c>
      <c r="L455" s="196">
        <v>5</v>
      </c>
      <c r="M455" s="196" t="s">
        <v>2564</v>
      </c>
      <c r="N455" s="196" t="s">
        <v>2563</v>
      </c>
      <c r="O455" s="196" t="s">
        <v>2540</v>
      </c>
      <c r="AB455" s="110"/>
      <c r="AC455" s="110"/>
      <c r="AD455" s="110"/>
      <c r="AE455" s="110"/>
    </row>
    <row r="456" spans="1:31">
      <c r="A456" s="196" t="s">
        <v>1002</v>
      </c>
      <c r="C456" s="197">
        <v>204</v>
      </c>
      <c r="D456" s="196">
        <v>1.4052</v>
      </c>
      <c r="E456" s="200">
        <v>8.0645000000000007</v>
      </c>
      <c r="F456" s="201">
        <v>0.20349999999999999</v>
      </c>
      <c r="G456" s="200">
        <f t="shared" si="67"/>
        <v>8.2680000000000007</v>
      </c>
      <c r="H456" s="200">
        <v>8.0704999999999991</v>
      </c>
      <c r="I456" s="200">
        <f t="shared" si="68"/>
        <v>0.19750000000000156</v>
      </c>
      <c r="J456" s="200">
        <f t="shared" si="69"/>
        <v>5.9999999999984233E-3</v>
      </c>
      <c r="K456" s="270">
        <f t="shared" si="70"/>
        <v>2.9484029484021739</v>
      </c>
      <c r="L456" s="200">
        <v>34</v>
      </c>
      <c r="M456" s="203">
        <v>43212</v>
      </c>
      <c r="AB456" s="110"/>
      <c r="AC456" s="110"/>
      <c r="AD456" s="110"/>
      <c r="AE456" s="110"/>
    </row>
    <row r="457" spans="1:31">
      <c r="A457" s="196" t="s">
        <v>1127</v>
      </c>
      <c r="C457" s="197">
        <v>72</v>
      </c>
      <c r="D457" s="196">
        <v>1.3372999999999999</v>
      </c>
      <c r="E457" s="200">
        <v>10.901899999999999</v>
      </c>
      <c r="F457" s="201">
        <v>0.20280000000000001</v>
      </c>
      <c r="G457" s="200">
        <f t="shared" si="67"/>
        <v>11.104699999999999</v>
      </c>
      <c r="H457" s="200">
        <v>10.908099999999999</v>
      </c>
      <c r="I457" s="200">
        <f t="shared" si="68"/>
        <v>0.19660000000000011</v>
      </c>
      <c r="J457" s="200">
        <f t="shared" si="69"/>
        <v>6.1999999999999E-3</v>
      </c>
      <c r="K457" s="270">
        <f t="shared" si="70"/>
        <v>3.0571992110453157</v>
      </c>
      <c r="L457" s="200">
        <v>31</v>
      </c>
      <c r="M457" s="203">
        <v>43212</v>
      </c>
      <c r="AB457" s="110"/>
      <c r="AC457" s="110"/>
      <c r="AD457" s="110"/>
      <c r="AE457" s="110"/>
    </row>
    <row r="458" spans="1:31">
      <c r="A458" s="196" t="s">
        <v>1000</v>
      </c>
      <c r="C458" s="197">
        <v>31</v>
      </c>
      <c r="D458" s="196">
        <v>1.0949</v>
      </c>
      <c r="E458" s="201">
        <v>9.6783999999999999</v>
      </c>
      <c r="F458" s="201">
        <v>0.2054</v>
      </c>
      <c r="G458" s="200">
        <f t="shared" si="67"/>
        <v>9.883799999999999</v>
      </c>
      <c r="H458" s="200">
        <v>9.6898</v>
      </c>
      <c r="I458" s="200">
        <f t="shared" si="68"/>
        <v>0.19399999999999906</v>
      </c>
      <c r="J458" s="200">
        <f t="shared" si="69"/>
        <v>1.1400000000000937E-2</v>
      </c>
      <c r="K458" s="270">
        <f t="shared" si="70"/>
        <v>5.5501460564756266</v>
      </c>
      <c r="L458" s="200">
        <v>7</v>
      </c>
      <c r="AB458" s="110"/>
      <c r="AC458" s="110"/>
      <c r="AD458" s="110"/>
      <c r="AE458" s="110"/>
    </row>
    <row r="459" spans="1:31">
      <c r="A459" s="200" t="s">
        <v>999</v>
      </c>
      <c r="C459" s="200">
        <v>209</v>
      </c>
      <c r="D459" s="200">
        <v>1.3449</v>
      </c>
      <c r="E459" s="200">
        <v>11.0547</v>
      </c>
      <c r="F459" s="200">
        <v>0.20760000000000001</v>
      </c>
      <c r="G459" s="200">
        <f t="shared" si="67"/>
        <v>11.2623</v>
      </c>
      <c r="H459" s="200">
        <v>11.0677</v>
      </c>
      <c r="I459" s="200">
        <f t="shared" si="68"/>
        <v>0.19459999999999944</v>
      </c>
      <c r="J459" s="200">
        <f t="shared" si="69"/>
        <v>1.3000000000000567E-2</v>
      </c>
      <c r="K459" s="270">
        <f t="shared" si="70"/>
        <v>6.2620423892102917</v>
      </c>
      <c r="L459" s="200">
        <v>1</v>
      </c>
      <c r="M459" s="204">
        <v>43174</v>
      </c>
      <c r="N459" s="204">
        <v>43174</v>
      </c>
      <c r="O459" s="200" t="s">
        <v>2540</v>
      </c>
      <c r="P459" s="200" t="s">
        <v>2539</v>
      </c>
      <c r="AB459" s="110"/>
      <c r="AC459" s="110"/>
      <c r="AD459" s="110"/>
      <c r="AE459" s="110"/>
    </row>
    <row r="460" spans="1:31">
      <c r="A460" s="196" t="s">
        <v>998</v>
      </c>
      <c r="C460" s="196">
        <v>61</v>
      </c>
      <c r="D460" s="196">
        <v>1.3476999999999999</v>
      </c>
      <c r="E460" s="196">
        <v>9.1336999999999993</v>
      </c>
      <c r="F460" s="196">
        <v>0.2026</v>
      </c>
      <c r="G460" s="196">
        <f t="shared" si="67"/>
        <v>9.3362999999999996</v>
      </c>
      <c r="H460" s="196">
        <v>9.1452000000000009</v>
      </c>
      <c r="I460" s="196">
        <f t="shared" si="68"/>
        <v>0.19109999999999872</v>
      </c>
      <c r="J460" s="200">
        <f t="shared" si="69"/>
        <v>1.1500000000001287E-2</v>
      </c>
      <c r="K460" s="270">
        <f t="shared" si="70"/>
        <v>5.6762092793688481</v>
      </c>
      <c r="L460" s="196">
        <v>40</v>
      </c>
      <c r="M460" s="196" t="s">
        <v>2570</v>
      </c>
      <c r="N460" s="196" t="s">
        <v>2569</v>
      </c>
      <c r="O460" s="196" t="s">
        <v>2534</v>
      </c>
      <c r="AB460" s="110"/>
      <c r="AC460" s="110"/>
      <c r="AD460" s="110"/>
      <c r="AE460" s="110"/>
    </row>
    <row r="461" spans="1:31">
      <c r="A461" s="196" t="s">
        <v>997</v>
      </c>
      <c r="C461" s="197">
        <v>24</v>
      </c>
      <c r="D461" s="200">
        <v>1.3768</v>
      </c>
      <c r="E461" s="201">
        <v>7.0932000000000004</v>
      </c>
      <c r="F461" s="201">
        <v>0.2034</v>
      </c>
      <c r="G461" s="200">
        <f t="shared" si="67"/>
        <v>7.2966000000000006</v>
      </c>
      <c r="H461" s="200">
        <v>7.1032999999999999</v>
      </c>
      <c r="I461" s="200">
        <f t="shared" si="68"/>
        <v>0.19330000000000069</v>
      </c>
      <c r="J461" s="200">
        <f t="shared" si="69"/>
        <v>1.0099999999999304E-2</v>
      </c>
      <c r="K461" s="270">
        <f t="shared" si="70"/>
        <v>4.9655850540802868</v>
      </c>
      <c r="L461" s="200">
        <v>22</v>
      </c>
      <c r="M461" s="203">
        <v>43213</v>
      </c>
      <c r="N461" s="203">
        <v>43213</v>
      </c>
      <c r="Q461" s="196" t="s">
        <v>2555</v>
      </c>
      <c r="R461" s="208"/>
      <c r="AB461" s="110"/>
      <c r="AC461" s="110"/>
      <c r="AD461" s="110"/>
      <c r="AE461" s="110"/>
    </row>
    <row r="462" spans="1:31">
      <c r="A462" s="196" t="s">
        <v>996</v>
      </c>
      <c r="C462" s="196">
        <v>215</v>
      </c>
      <c r="D462" s="196">
        <v>1.3466</v>
      </c>
      <c r="E462" s="201">
        <v>7.7739000000000003</v>
      </c>
      <c r="F462" s="201">
        <v>0.20599999999999999</v>
      </c>
      <c r="G462" s="200">
        <f t="shared" si="67"/>
        <v>7.9799000000000007</v>
      </c>
      <c r="H462" s="200">
        <v>7.7789000000000001</v>
      </c>
      <c r="I462" s="200">
        <f t="shared" si="68"/>
        <v>0.20100000000000051</v>
      </c>
      <c r="J462" s="200">
        <f t="shared" si="69"/>
        <v>4.9999999999994771E-3</v>
      </c>
      <c r="K462" s="270">
        <f t="shared" si="70"/>
        <v>2.4271844660191637</v>
      </c>
      <c r="L462" s="200">
        <v>11</v>
      </c>
      <c r="AB462" s="110"/>
      <c r="AC462" s="110"/>
      <c r="AD462" s="110"/>
      <c r="AE462" s="110"/>
    </row>
    <row r="463" spans="1:31">
      <c r="A463" s="205" t="s">
        <v>995</v>
      </c>
      <c r="C463" s="200">
        <v>47</v>
      </c>
      <c r="D463" s="200">
        <v>1.4187000000000001</v>
      </c>
      <c r="E463" s="201">
        <v>9.5541</v>
      </c>
      <c r="F463" s="201">
        <v>0.2079</v>
      </c>
      <c r="G463" s="200">
        <f t="shared" si="67"/>
        <v>9.7620000000000005</v>
      </c>
      <c r="H463" s="200">
        <v>9.5693999999999999</v>
      </c>
      <c r="I463" s="200">
        <f t="shared" si="68"/>
        <v>0.19260000000000055</v>
      </c>
      <c r="J463" s="200">
        <f t="shared" si="69"/>
        <v>1.5299999999999453E-2</v>
      </c>
      <c r="K463" s="270">
        <f t="shared" si="70"/>
        <v>7.3593073593070963</v>
      </c>
      <c r="L463" s="200">
        <v>30</v>
      </c>
      <c r="M463" s="204">
        <v>43188</v>
      </c>
      <c r="N463" s="204">
        <v>43188</v>
      </c>
      <c r="O463" s="200"/>
      <c r="P463" s="200"/>
      <c r="AB463" s="110"/>
      <c r="AC463" s="110"/>
      <c r="AD463" s="110"/>
      <c r="AE463" s="110"/>
    </row>
    <row r="464" spans="1:31">
      <c r="A464" s="205" t="s">
        <v>994</v>
      </c>
      <c r="C464" s="200">
        <v>38</v>
      </c>
      <c r="D464" s="200">
        <v>1.1283000000000001</v>
      </c>
      <c r="E464" s="200">
        <v>8.8604000000000003</v>
      </c>
      <c r="F464" s="200">
        <v>0.2074</v>
      </c>
      <c r="G464" s="200">
        <f t="shared" si="67"/>
        <v>9.0678000000000001</v>
      </c>
      <c r="H464" s="200">
        <v>8.8747000000000007</v>
      </c>
      <c r="I464" s="200">
        <f t="shared" si="68"/>
        <v>0.19309999999999938</v>
      </c>
      <c r="J464" s="200">
        <f t="shared" si="69"/>
        <v>1.4300000000000618E-2</v>
      </c>
      <c r="K464" s="270">
        <f t="shared" si="70"/>
        <v>6.8948891031825541</v>
      </c>
      <c r="L464" s="200">
        <v>26</v>
      </c>
      <c r="M464" s="204">
        <v>43188</v>
      </c>
      <c r="N464" s="204">
        <v>43188</v>
      </c>
      <c r="O464" s="200"/>
      <c r="P464" s="200"/>
      <c r="AB464" s="110"/>
      <c r="AC464" s="110"/>
      <c r="AD464" s="110"/>
      <c r="AE464" s="110"/>
    </row>
    <row r="465" spans="1:31">
      <c r="A465" s="196" t="s">
        <v>993</v>
      </c>
      <c r="C465" s="197">
        <v>26</v>
      </c>
      <c r="D465" s="196">
        <v>1.3535999999999999</v>
      </c>
      <c r="E465" s="201">
        <v>10.2719</v>
      </c>
      <c r="F465" s="201">
        <v>0.20019999999999999</v>
      </c>
      <c r="G465" s="200">
        <f t="shared" si="67"/>
        <v>10.472100000000001</v>
      </c>
      <c r="H465" s="200">
        <v>10.278600000000001</v>
      </c>
      <c r="I465" s="200">
        <f t="shared" si="68"/>
        <v>0.19350000000000023</v>
      </c>
      <c r="J465" s="200">
        <f t="shared" si="69"/>
        <v>6.6999999999997617E-3</v>
      </c>
      <c r="K465" s="270">
        <f t="shared" si="70"/>
        <v>3.3466533466532278</v>
      </c>
      <c r="L465" s="200">
        <v>27</v>
      </c>
      <c r="AB465" s="110"/>
      <c r="AC465" s="110"/>
      <c r="AD465" s="110"/>
      <c r="AE465" s="110"/>
    </row>
    <row r="466" spans="1:31">
      <c r="A466" s="200" t="s">
        <v>992</v>
      </c>
      <c r="C466" s="200">
        <v>207</v>
      </c>
      <c r="D466" s="200">
        <v>1.1487000000000001</v>
      </c>
      <c r="E466" s="201">
        <v>10.565200000000001</v>
      </c>
      <c r="F466" s="201">
        <v>0.20499999999999999</v>
      </c>
      <c r="G466" s="200">
        <f t="shared" si="67"/>
        <v>10.770200000000001</v>
      </c>
      <c r="H466" s="200">
        <v>10.5845</v>
      </c>
      <c r="I466" s="200">
        <f t="shared" si="68"/>
        <v>0.18570000000000064</v>
      </c>
      <c r="J466" s="200">
        <f t="shared" si="69"/>
        <v>1.9299999999999345E-2</v>
      </c>
      <c r="K466" s="270">
        <f t="shared" si="70"/>
        <v>9.4146341463411449</v>
      </c>
      <c r="L466" s="200">
        <v>5</v>
      </c>
      <c r="M466" s="204">
        <v>43197</v>
      </c>
      <c r="N466" s="204">
        <v>43197</v>
      </c>
      <c r="O466" s="200"/>
      <c r="P466" s="200"/>
      <c r="AB466" s="110"/>
      <c r="AC466" s="110"/>
      <c r="AD466" s="110"/>
      <c r="AE466" s="110"/>
    </row>
    <row r="467" spans="1:31">
      <c r="A467" s="205" t="s">
        <v>1126</v>
      </c>
      <c r="C467" s="200">
        <v>144</v>
      </c>
      <c r="D467" s="200">
        <v>1.3636999999999999</v>
      </c>
      <c r="E467" s="201">
        <v>7.8712</v>
      </c>
      <c r="F467" s="201">
        <v>0.20200000000000001</v>
      </c>
      <c r="G467" s="200">
        <f t="shared" si="67"/>
        <v>8.0731999999999999</v>
      </c>
      <c r="H467" s="200">
        <v>7.8936999999999999</v>
      </c>
      <c r="I467" s="200">
        <f t="shared" si="68"/>
        <v>0.17949999999999999</v>
      </c>
      <c r="J467" s="200">
        <f t="shared" si="69"/>
        <v>2.250000000000002E-2</v>
      </c>
      <c r="K467" s="270">
        <f t="shared" si="70"/>
        <v>11.138613861386148</v>
      </c>
      <c r="L467" s="200">
        <v>1</v>
      </c>
      <c r="M467" s="204">
        <v>43197</v>
      </c>
      <c r="N467" s="204">
        <v>43197</v>
      </c>
      <c r="O467" s="200"/>
      <c r="P467" s="200"/>
      <c r="AB467" s="110"/>
      <c r="AC467" s="110"/>
      <c r="AD467" s="110"/>
      <c r="AE467" s="110"/>
    </row>
    <row r="468" spans="1:31">
      <c r="A468" s="196" t="s">
        <v>991</v>
      </c>
      <c r="C468" s="196">
        <v>66</v>
      </c>
      <c r="D468" s="196">
        <v>0</v>
      </c>
      <c r="E468" s="201">
        <v>0</v>
      </c>
      <c r="F468" s="201">
        <v>0</v>
      </c>
      <c r="G468" s="200">
        <f t="shared" si="67"/>
        <v>0</v>
      </c>
      <c r="J468" s="200">
        <f t="shared" si="69"/>
        <v>0</v>
      </c>
      <c r="K468" s="270" t="e">
        <f t="shared" si="70"/>
        <v>#DIV/0!</v>
      </c>
      <c r="L468" s="200">
        <v>0</v>
      </c>
      <c r="AB468" s="110"/>
      <c r="AC468" s="110"/>
      <c r="AD468" s="110"/>
      <c r="AE468" s="110"/>
    </row>
    <row r="469" spans="1:31">
      <c r="A469" s="205" t="s">
        <v>990</v>
      </c>
      <c r="C469" s="200">
        <v>70</v>
      </c>
      <c r="D469" s="200">
        <v>1.1900999999999999</v>
      </c>
      <c r="E469" s="201">
        <v>7.8391000000000002</v>
      </c>
      <c r="F469" s="201">
        <v>0.20180000000000001</v>
      </c>
      <c r="G469" s="200">
        <f t="shared" si="67"/>
        <v>8.0409000000000006</v>
      </c>
      <c r="H469" s="200">
        <v>8.0188000000000006</v>
      </c>
      <c r="I469" s="200">
        <f>(G469-H469)</f>
        <v>2.2100000000000009E-2</v>
      </c>
      <c r="J469" s="200">
        <f t="shared" si="69"/>
        <v>0.1797</v>
      </c>
      <c r="K469" s="270">
        <f t="shared" si="70"/>
        <v>89.048562933597623</v>
      </c>
      <c r="L469" s="200">
        <v>10</v>
      </c>
      <c r="M469" s="202">
        <v>43181.645833333336</v>
      </c>
      <c r="N469" s="202">
        <v>43181.833333333336</v>
      </c>
      <c r="O469" s="200" t="s">
        <v>2540</v>
      </c>
      <c r="P469" s="200"/>
      <c r="AB469" s="110"/>
      <c r="AC469" s="110"/>
      <c r="AD469" s="110"/>
      <c r="AE469" s="110"/>
    </row>
    <row r="470" spans="1:31">
      <c r="A470" s="196" t="s">
        <v>988</v>
      </c>
      <c r="P470" s="196" t="s">
        <v>3215</v>
      </c>
      <c r="AB470" s="110"/>
      <c r="AC470" s="110"/>
      <c r="AD470" s="110"/>
      <c r="AE470" s="110"/>
    </row>
    <row r="471" spans="1:31">
      <c r="A471" s="196" t="s">
        <v>987</v>
      </c>
      <c r="C471" s="197">
        <v>16</v>
      </c>
      <c r="D471" s="196">
        <v>1.2141</v>
      </c>
      <c r="E471" s="201">
        <v>7.8715999999999999</v>
      </c>
      <c r="F471" s="201">
        <v>0.20699999999999999</v>
      </c>
      <c r="G471" s="200">
        <f t="shared" ref="G471:G488" si="71">E471+F471</f>
        <v>8.0785999999999998</v>
      </c>
      <c r="H471" s="200">
        <v>7.88</v>
      </c>
      <c r="I471" s="200">
        <f t="shared" ref="I471:I488" si="72">(G471-H471)</f>
        <v>0.19859999999999989</v>
      </c>
      <c r="J471" s="200">
        <f t="shared" ref="J471:J488" si="73">F471-I471</f>
        <v>8.4000000000001018E-3</v>
      </c>
      <c r="K471" s="270">
        <f t="shared" ref="K471:K488" si="74">(J471/F471)*100</f>
        <v>4.0579710144928036</v>
      </c>
      <c r="L471" s="200">
        <v>20</v>
      </c>
      <c r="AB471" s="110"/>
      <c r="AC471" s="110"/>
      <c r="AD471" s="110"/>
      <c r="AE471" s="110"/>
    </row>
    <row r="472" spans="1:31">
      <c r="A472" s="196" t="s">
        <v>986</v>
      </c>
      <c r="C472" s="197">
        <v>49</v>
      </c>
      <c r="D472" s="196">
        <v>1.3464</v>
      </c>
      <c r="E472" s="200">
        <v>10.7395</v>
      </c>
      <c r="F472" s="201">
        <v>0.19989999999999999</v>
      </c>
      <c r="G472" s="200">
        <f t="shared" si="71"/>
        <v>10.939399999999999</v>
      </c>
      <c r="H472" s="200">
        <v>10.760899999999999</v>
      </c>
      <c r="I472" s="200">
        <f t="shared" si="72"/>
        <v>0.17849999999999966</v>
      </c>
      <c r="J472" s="200">
        <f t="shared" si="73"/>
        <v>2.1400000000000335E-2</v>
      </c>
      <c r="K472" s="270">
        <f t="shared" si="74"/>
        <v>10.705352676338336</v>
      </c>
      <c r="L472" s="200">
        <v>28</v>
      </c>
      <c r="M472" s="203">
        <v>43212</v>
      </c>
      <c r="R472" s="196">
        <v>4</v>
      </c>
      <c r="S472" s="196">
        <v>0.63580000000000003</v>
      </c>
      <c r="U472" s="201" t="s">
        <v>683</v>
      </c>
      <c r="V472" s="196">
        <v>0.87729999999999997</v>
      </c>
      <c r="W472" s="196">
        <f>(V472-$T$175+F470)</f>
        <v>0.87729999999999997</v>
      </c>
      <c r="AB472" s="110"/>
      <c r="AC472" s="110"/>
      <c r="AD472" s="110"/>
      <c r="AE472" s="110"/>
    </row>
    <row r="473" spans="1:31">
      <c r="A473" s="196" t="s">
        <v>985</v>
      </c>
      <c r="C473" s="197">
        <v>32</v>
      </c>
      <c r="D473" s="196">
        <v>1.0456000000000001</v>
      </c>
      <c r="E473" s="201">
        <v>10.153499999999999</v>
      </c>
      <c r="F473" s="201">
        <v>0.20519999999999999</v>
      </c>
      <c r="G473" s="200">
        <f t="shared" si="71"/>
        <v>10.358699999999999</v>
      </c>
      <c r="H473" s="200">
        <v>10.164899999999999</v>
      </c>
      <c r="I473" s="200">
        <f t="shared" si="72"/>
        <v>0.19379999999999953</v>
      </c>
      <c r="J473" s="200">
        <f t="shared" si="73"/>
        <v>1.1400000000000465E-2</v>
      </c>
      <c r="K473" s="270">
        <f t="shared" si="74"/>
        <v>5.5555555555557818</v>
      </c>
      <c r="L473" s="200">
        <v>25</v>
      </c>
      <c r="AB473" s="110"/>
      <c r="AC473" s="110"/>
      <c r="AD473" s="110"/>
      <c r="AE473" s="110"/>
    </row>
    <row r="474" spans="1:31">
      <c r="A474" s="200" t="s">
        <v>984</v>
      </c>
      <c r="C474" s="200">
        <v>172</v>
      </c>
      <c r="D474" s="200">
        <f>1.2551+F474</f>
        <v>1.4623000000000002</v>
      </c>
      <c r="E474" s="201">
        <v>9.0211000000000006</v>
      </c>
      <c r="F474" s="201">
        <v>0.2072</v>
      </c>
      <c r="G474" s="200">
        <f t="shared" si="71"/>
        <v>9.2283000000000008</v>
      </c>
      <c r="H474" s="200">
        <v>9.0306999999999995</v>
      </c>
      <c r="I474" s="200">
        <f t="shared" si="72"/>
        <v>0.19760000000000133</v>
      </c>
      <c r="J474" s="200">
        <f t="shared" si="73"/>
        <v>9.5999999999986652E-3</v>
      </c>
      <c r="K474" s="270">
        <f t="shared" si="74"/>
        <v>4.6332046332039889</v>
      </c>
      <c r="L474" s="200">
        <v>22</v>
      </c>
      <c r="M474" s="204">
        <v>43174</v>
      </c>
      <c r="N474" s="204">
        <v>43174</v>
      </c>
      <c r="O474" s="200" t="s">
        <v>2540</v>
      </c>
      <c r="P474" s="200" t="s">
        <v>2535</v>
      </c>
      <c r="AB474" s="110"/>
      <c r="AC474" s="110"/>
      <c r="AD474" s="110"/>
      <c r="AE474" s="110"/>
    </row>
    <row r="475" spans="1:31">
      <c r="A475" s="205" t="s">
        <v>982</v>
      </c>
      <c r="C475" s="200">
        <v>64</v>
      </c>
      <c r="D475" s="201">
        <v>0.96220000000000006</v>
      </c>
      <c r="E475" s="200">
        <v>8.0883000000000003</v>
      </c>
      <c r="F475" s="201">
        <v>0.2029</v>
      </c>
      <c r="G475" s="200">
        <f t="shared" si="71"/>
        <v>8.2911999999999999</v>
      </c>
      <c r="H475" s="200">
        <v>8.2555999999999994</v>
      </c>
      <c r="I475" s="200">
        <f t="shared" si="72"/>
        <v>3.560000000000052E-2</v>
      </c>
      <c r="J475" s="200">
        <f t="shared" si="73"/>
        <v>0.16729999999999948</v>
      </c>
      <c r="K475" s="270">
        <f t="shared" si="74"/>
        <v>82.454411039920885</v>
      </c>
      <c r="L475" s="200">
        <v>18</v>
      </c>
      <c r="M475" s="204">
        <v>43206</v>
      </c>
      <c r="N475" s="204">
        <v>43206</v>
      </c>
      <c r="O475" s="200"/>
      <c r="P475" s="200"/>
      <c r="AB475" s="110"/>
      <c r="AC475" s="110"/>
      <c r="AD475" s="110"/>
      <c r="AE475" s="110"/>
    </row>
    <row r="476" spans="1:31">
      <c r="A476" s="205" t="s">
        <v>1125</v>
      </c>
      <c r="C476" s="200">
        <v>158</v>
      </c>
      <c r="D476" s="201">
        <v>1.5450999999999999</v>
      </c>
      <c r="E476" s="201">
        <v>11.1591</v>
      </c>
      <c r="F476" s="201">
        <v>0.2041</v>
      </c>
      <c r="G476" s="200">
        <f t="shared" si="71"/>
        <v>11.363200000000001</v>
      </c>
      <c r="H476" s="200">
        <v>11.169</v>
      </c>
      <c r="I476" s="200">
        <f t="shared" si="72"/>
        <v>0.19420000000000037</v>
      </c>
      <c r="J476" s="200">
        <f t="shared" si="73"/>
        <v>9.8999999999996313E-3</v>
      </c>
      <c r="K476" s="270">
        <f t="shared" si="74"/>
        <v>4.8505634492893828</v>
      </c>
      <c r="L476" s="200">
        <v>21</v>
      </c>
      <c r="M476" s="204">
        <v>43199</v>
      </c>
      <c r="N476" s="204">
        <v>43199</v>
      </c>
      <c r="O476" s="200"/>
      <c r="P476" s="200"/>
      <c r="AB476" s="110"/>
      <c r="AC476" s="110"/>
      <c r="AD476" s="110"/>
      <c r="AE476" s="110"/>
    </row>
    <row r="477" spans="1:31">
      <c r="A477" s="196" t="s">
        <v>980</v>
      </c>
      <c r="C477" s="197">
        <v>57</v>
      </c>
      <c r="D477" s="196">
        <v>1.1411</v>
      </c>
      <c r="E477" s="196">
        <v>7.4744999999999999</v>
      </c>
      <c r="F477" s="201">
        <v>0.20649999999999999</v>
      </c>
      <c r="G477" s="200">
        <f t="shared" si="71"/>
        <v>7.681</v>
      </c>
      <c r="H477" s="200">
        <v>7.4943999999999997</v>
      </c>
      <c r="I477" s="200">
        <f t="shared" si="72"/>
        <v>0.18660000000000032</v>
      </c>
      <c r="J477" s="200">
        <f t="shared" si="73"/>
        <v>1.9899999999999668E-2</v>
      </c>
      <c r="K477" s="270">
        <f t="shared" si="74"/>
        <v>9.63680387409185</v>
      </c>
      <c r="L477" s="200">
        <v>10</v>
      </c>
      <c r="U477" s="201" t="s">
        <v>1063</v>
      </c>
      <c r="V477" s="196">
        <v>1.8218000000000001</v>
      </c>
      <c r="W477" s="196">
        <f>(V477-$T$175+F475)</f>
        <v>2.0247000000000002</v>
      </c>
      <c r="AB477" s="110"/>
      <c r="AC477" s="110"/>
      <c r="AD477" s="110"/>
      <c r="AE477" s="110"/>
    </row>
    <row r="478" spans="1:31">
      <c r="A478" s="196" t="s">
        <v>977</v>
      </c>
      <c r="C478" s="196">
        <v>190</v>
      </c>
      <c r="D478" s="196">
        <v>1.4583999999999999</v>
      </c>
      <c r="E478" s="201">
        <v>7.7739000000000003</v>
      </c>
      <c r="F478" s="201">
        <v>0.20449999999999999</v>
      </c>
      <c r="G478" s="200">
        <f t="shared" si="71"/>
        <v>7.9784000000000006</v>
      </c>
      <c r="H478" s="200">
        <v>7.7792000000000003</v>
      </c>
      <c r="I478" s="200">
        <f t="shared" si="72"/>
        <v>0.19920000000000027</v>
      </c>
      <c r="J478" s="200">
        <f t="shared" si="73"/>
        <v>5.2999999999997216E-3</v>
      </c>
      <c r="K478" s="270">
        <f t="shared" si="74"/>
        <v>2.591687041564656</v>
      </c>
      <c r="L478" s="200">
        <v>23</v>
      </c>
      <c r="AB478" s="110"/>
      <c r="AC478" s="110"/>
      <c r="AD478" s="110"/>
      <c r="AE478" s="110"/>
    </row>
    <row r="479" spans="1:31">
      <c r="A479" s="196" t="s">
        <v>976</v>
      </c>
      <c r="C479" s="196">
        <v>67</v>
      </c>
      <c r="D479" s="196">
        <v>1.2485999999999999</v>
      </c>
      <c r="E479" s="196">
        <v>8.0462000000000007</v>
      </c>
      <c r="F479" s="196">
        <v>0.2016</v>
      </c>
      <c r="G479" s="196">
        <f t="shared" si="71"/>
        <v>8.2478000000000016</v>
      </c>
      <c r="H479" s="196">
        <v>8.0561000000000007</v>
      </c>
      <c r="I479" s="196">
        <f t="shared" si="72"/>
        <v>0.19170000000000087</v>
      </c>
      <c r="J479" s="200">
        <f t="shared" si="73"/>
        <v>9.8999999999991317E-3</v>
      </c>
      <c r="K479" s="270">
        <f t="shared" si="74"/>
        <v>4.9107142857138548</v>
      </c>
      <c r="L479" s="196">
        <v>2</v>
      </c>
      <c r="M479" s="196" t="s">
        <v>2564</v>
      </c>
      <c r="N479" s="196" t="s">
        <v>2563</v>
      </c>
      <c r="O479" s="196" t="s">
        <v>2540</v>
      </c>
      <c r="AB479" s="110"/>
      <c r="AC479" s="110"/>
      <c r="AD479" s="110"/>
      <c r="AE479" s="110"/>
    </row>
    <row r="480" spans="1:31">
      <c r="A480" s="196" t="s">
        <v>975</v>
      </c>
      <c r="C480" s="196">
        <v>44</v>
      </c>
      <c r="D480" s="196">
        <v>1.3684000000000001</v>
      </c>
      <c r="E480" s="196">
        <v>8.0656999999999996</v>
      </c>
      <c r="F480" s="196">
        <v>0.20130000000000001</v>
      </c>
      <c r="G480" s="196">
        <f t="shared" si="71"/>
        <v>8.2669999999999995</v>
      </c>
      <c r="H480" s="196">
        <v>8.0754999999999999</v>
      </c>
      <c r="I480" s="196">
        <f t="shared" si="72"/>
        <v>0.19149999999999956</v>
      </c>
      <c r="J480" s="200">
        <f t="shared" si="73"/>
        <v>9.8000000000004472E-3</v>
      </c>
      <c r="K480" s="270">
        <f t="shared" si="74"/>
        <v>4.868355688028041</v>
      </c>
      <c r="L480" s="196">
        <v>29</v>
      </c>
      <c r="M480" s="196" t="s">
        <v>2570</v>
      </c>
      <c r="N480" s="196" t="s">
        <v>2569</v>
      </c>
      <c r="O480" s="196" t="s">
        <v>2534</v>
      </c>
      <c r="AB480" s="110"/>
      <c r="AC480" s="110"/>
      <c r="AD480" s="110"/>
      <c r="AE480" s="110"/>
    </row>
    <row r="481" spans="1:31">
      <c r="A481" s="205" t="s">
        <v>974</v>
      </c>
      <c r="C481" s="196">
        <v>194</v>
      </c>
      <c r="D481" s="200">
        <v>1.2291000000000001</v>
      </c>
      <c r="E481" s="201">
        <v>8.0465</v>
      </c>
      <c r="F481" s="201">
        <v>0.20039999999999999</v>
      </c>
      <c r="G481" s="200">
        <f t="shared" si="71"/>
        <v>8.2469000000000001</v>
      </c>
      <c r="H481" s="200">
        <v>8.0530000000000008</v>
      </c>
      <c r="I481" s="200">
        <f t="shared" si="72"/>
        <v>0.1938999999999993</v>
      </c>
      <c r="J481" s="200">
        <f t="shared" si="73"/>
        <v>6.5000000000006997E-3</v>
      </c>
      <c r="K481" s="270">
        <f t="shared" si="74"/>
        <v>3.2435129740522455</v>
      </c>
      <c r="L481" s="200">
        <v>20</v>
      </c>
      <c r="M481" s="206">
        <v>43186.458333333336</v>
      </c>
      <c r="N481" s="206">
        <v>43186.625</v>
      </c>
      <c r="O481" s="196" t="s">
        <v>2534</v>
      </c>
      <c r="P481" s="200" t="s">
        <v>2542</v>
      </c>
      <c r="AB481" s="110"/>
      <c r="AC481" s="110"/>
      <c r="AD481" s="110"/>
      <c r="AE481" s="110"/>
    </row>
    <row r="482" spans="1:31">
      <c r="A482" s="196" t="s">
        <v>973</v>
      </c>
      <c r="C482" s="200">
        <v>198</v>
      </c>
      <c r="D482" s="200">
        <v>1.3452999999999999</v>
      </c>
      <c r="E482" s="200">
        <v>8.0958000000000006</v>
      </c>
      <c r="F482" s="200">
        <v>0.20519999999999999</v>
      </c>
      <c r="G482" s="200">
        <f t="shared" si="71"/>
        <v>8.3010000000000002</v>
      </c>
      <c r="H482" s="200">
        <v>8.1021999999999998</v>
      </c>
      <c r="I482" s="200">
        <f t="shared" si="72"/>
        <v>0.19880000000000031</v>
      </c>
      <c r="J482" s="200">
        <f t="shared" si="73"/>
        <v>6.3999999999996837E-3</v>
      </c>
      <c r="K482" s="270">
        <f t="shared" si="74"/>
        <v>3.118908382066123</v>
      </c>
      <c r="L482" s="200">
        <v>21</v>
      </c>
      <c r="M482" s="202">
        <v>43164.628472222219</v>
      </c>
      <c r="N482" s="202">
        <v>43164.795138888891</v>
      </c>
      <c r="O482" s="196" t="s">
        <v>2534</v>
      </c>
      <c r="P482" s="200"/>
      <c r="AB482" s="110"/>
      <c r="AC482" s="110"/>
      <c r="AD482" s="110"/>
      <c r="AE482" s="110"/>
    </row>
    <row r="483" spans="1:31">
      <c r="A483" s="196" t="s">
        <v>972</v>
      </c>
      <c r="C483" s="196">
        <v>9</v>
      </c>
      <c r="D483" s="196">
        <v>2.444</v>
      </c>
      <c r="E483" s="196">
        <v>11.4542</v>
      </c>
      <c r="F483" s="201">
        <v>0.20580000000000001</v>
      </c>
      <c r="G483" s="200">
        <f t="shared" si="71"/>
        <v>11.66</v>
      </c>
      <c r="H483" s="200">
        <v>11.6503</v>
      </c>
      <c r="I483" s="200">
        <f t="shared" si="72"/>
        <v>9.700000000000486E-3</v>
      </c>
      <c r="J483" s="200">
        <f t="shared" si="73"/>
        <v>0.19609999999999952</v>
      </c>
      <c r="K483" s="270">
        <f t="shared" si="74"/>
        <v>95.2866861030124</v>
      </c>
      <c r="L483" s="200">
        <v>15</v>
      </c>
      <c r="AB483" s="110"/>
      <c r="AC483" s="110"/>
      <c r="AD483" s="110"/>
      <c r="AE483" s="110"/>
    </row>
    <row r="484" spans="1:31">
      <c r="A484" s="196" t="s">
        <v>1124</v>
      </c>
      <c r="C484" s="197">
        <v>1</v>
      </c>
      <c r="D484" s="196">
        <v>0.83950000000000002</v>
      </c>
      <c r="E484" s="196">
        <v>9.4854000000000003</v>
      </c>
      <c r="F484" s="201">
        <v>0.20369999999999999</v>
      </c>
      <c r="G484" s="200">
        <f t="shared" si="71"/>
        <v>9.6890999999999998</v>
      </c>
      <c r="H484" s="200">
        <v>9.5219000000000005</v>
      </c>
      <c r="I484" s="200">
        <f t="shared" si="72"/>
        <v>0.16719999999999935</v>
      </c>
      <c r="J484" s="200">
        <f t="shared" si="73"/>
        <v>3.6500000000000643E-2</v>
      </c>
      <c r="K484" s="270">
        <f t="shared" si="74"/>
        <v>17.918507609229575</v>
      </c>
      <c r="L484" s="200">
        <v>7</v>
      </c>
      <c r="T484" s="203"/>
      <c r="U484" s="203"/>
      <c r="AB484" s="110"/>
      <c r="AC484" s="110"/>
      <c r="AD484" s="110"/>
      <c r="AE484" s="110"/>
    </row>
    <row r="485" spans="1:31">
      <c r="A485" s="200" t="s">
        <v>970</v>
      </c>
      <c r="C485" s="200">
        <v>89</v>
      </c>
      <c r="D485" s="200">
        <v>1.734</v>
      </c>
      <c r="E485" s="200">
        <v>8.1188000000000002</v>
      </c>
      <c r="F485" s="201">
        <v>0.2016</v>
      </c>
      <c r="G485" s="200">
        <f t="shared" si="71"/>
        <v>8.3203999999999994</v>
      </c>
      <c r="H485" s="200">
        <v>8.1588999999999992</v>
      </c>
      <c r="I485" s="200">
        <f t="shared" si="72"/>
        <v>0.1615000000000002</v>
      </c>
      <c r="J485" s="200">
        <f t="shared" si="73"/>
        <v>4.0099999999999802E-2</v>
      </c>
      <c r="K485" s="270">
        <f t="shared" si="74"/>
        <v>19.890873015872916</v>
      </c>
      <c r="L485" s="200">
        <v>5</v>
      </c>
      <c r="M485" s="204">
        <v>43187</v>
      </c>
      <c r="N485" s="204">
        <v>43187</v>
      </c>
      <c r="O485" s="200"/>
      <c r="P485" s="200"/>
      <c r="AB485" s="110"/>
      <c r="AC485" s="110"/>
      <c r="AD485" s="110"/>
      <c r="AE485" s="110"/>
    </row>
    <row r="486" spans="1:31">
      <c r="A486" s="196" t="s">
        <v>969</v>
      </c>
      <c r="C486" s="197">
        <v>28</v>
      </c>
      <c r="D486" s="196">
        <v>1.2393000000000001</v>
      </c>
      <c r="E486" s="201">
        <v>10.6747</v>
      </c>
      <c r="F486" s="201">
        <v>0.19969999999999999</v>
      </c>
      <c r="G486" s="200">
        <f t="shared" si="71"/>
        <v>10.8744</v>
      </c>
      <c r="H486" s="200">
        <v>10.683999999999999</v>
      </c>
      <c r="I486" s="200">
        <f t="shared" si="72"/>
        <v>0.19040000000000035</v>
      </c>
      <c r="J486" s="200">
        <f t="shared" si="73"/>
        <v>9.2999999999996419E-3</v>
      </c>
      <c r="K486" s="270">
        <f t="shared" si="74"/>
        <v>4.6569854782171465</v>
      </c>
      <c r="L486" s="200">
        <v>37</v>
      </c>
      <c r="AB486" s="110"/>
      <c r="AC486" s="110"/>
      <c r="AD486" s="110"/>
      <c r="AE486" s="110"/>
    </row>
    <row r="487" spans="1:31">
      <c r="A487" s="200" t="s">
        <v>965</v>
      </c>
      <c r="C487" s="200">
        <v>219</v>
      </c>
      <c r="D487" s="200">
        <v>1.1993</v>
      </c>
      <c r="E487" s="200">
        <v>7.7163000000000004</v>
      </c>
      <c r="F487" s="200">
        <v>0.20380000000000001</v>
      </c>
      <c r="G487" s="200">
        <f t="shared" si="71"/>
        <v>7.9201000000000006</v>
      </c>
      <c r="H487" s="200">
        <v>7.7293000000000003</v>
      </c>
      <c r="I487" s="200">
        <f t="shared" si="72"/>
        <v>0.1908000000000003</v>
      </c>
      <c r="J487" s="200">
        <f t="shared" si="73"/>
        <v>1.2999999999999706E-2</v>
      </c>
      <c r="K487" s="270">
        <f t="shared" si="74"/>
        <v>6.3788027477918092</v>
      </c>
      <c r="L487" s="200">
        <v>10</v>
      </c>
      <c r="M487" s="202">
        <v>43164.628472222219</v>
      </c>
      <c r="N487" s="202">
        <v>43164.795138888891</v>
      </c>
      <c r="O487" s="196" t="s">
        <v>2534</v>
      </c>
      <c r="P487" s="200"/>
      <c r="AB487" s="110"/>
      <c r="AC487" s="110"/>
      <c r="AD487" s="110"/>
      <c r="AE487" s="110"/>
    </row>
    <row r="488" spans="1:31">
      <c r="A488" s="196" t="s">
        <v>964</v>
      </c>
      <c r="C488" s="196">
        <v>6</v>
      </c>
      <c r="D488" s="196">
        <v>1.1964999999999999</v>
      </c>
      <c r="E488" s="201">
        <v>7.3169000000000004</v>
      </c>
      <c r="F488" s="201">
        <v>0.19980000000000001</v>
      </c>
      <c r="G488" s="200">
        <f t="shared" si="71"/>
        <v>7.5167000000000002</v>
      </c>
      <c r="H488" s="200">
        <v>7.3457999999999997</v>
      </c>
      <c r="I488" s="200">
        <f t="shared" si="72"/>
        <v>0.1709000000000005</v>
      </c>
      <c r="J488" s="200">
        <f t="shared" si="73"/>
        <v>2.8899999999999509E-2</v>
      </c>
      <c r="K488" s="270">
        <f t="shared" si="74"/>
        <v>14.46446446446422</v>
      </c>
      <c r="L488" s="200">
        <v>14</v>
      </c>
      <c r="AB488" s="110"/>
      <c r="AC488" s="110"/>
      <c r="AD488" s="110"/>
      <c r="AE488" s="110"/>
    </row>
    <row r="489" spans="1:31">
      <c r="A489" s="196" t="s">
        <v>960</v>
      </c>
      <c r="P489" s="196" t="s">
        <v>3215</v>
      </c>
      <c r="AB489" s="110"/>
      <c r="AC489" s="110"/>
      <c r="AD489" s="110"/>
      <c r="AE489" s="110"/>
    </row>
    <row r="490" spans="1:31">
      <c r="A490" s="205" t="s">
        <v>959</v>
      </c>
      <c r="C490" s="200">
        <v>202</v>
      </c>
      <c r="D490" s="200">
        <v>1.417</v>
      </c>
      <c r="E490" s="201">
        <v>11.153</v>
      </c>
      <c r="F490" s="201">
        <v>0.2039</v>
      </c>
      <c r="G490" s="200">
        <f t="shared" ref="G490:G495" si="75">E490+F490</f>
        <v>11.356900000000001</v>
      </c>
      <c r="H490" s="200">
        <v>11.161</v>
      </c>
      <c r="I490" s="200">
        <f t="shared" ref="I490:I495" si="76">(G490-H490)</f>
        <v>0.19590000000000174</v>
      </c>
      <c r="J490" s="200">
        <f t="shared" ref="J490:J495" si="77">F490-I490</f>
        <v>7.9999999999982585E-3</v>
      </c>
      <c r="K490" s="270">
        <f t="shared" ref="K490:K495" si="78">(J490/F490)*100</f>
        <v>3.9234919077970858</v>
      </c>
      <c r="L490" s="200">
        <v>18</v>
      </c>
      <c r="M490" s="206">
        <v>43185.385416666664</v>
      </c>
      <c r="N490" s="200"/>
      <c r="O490" s="200" t="s">
        <v>2540</v>
      </c>
      <c r="P490" s="200"/>
      <c r="AB490" s="110"/>
      <c r="AC490" s="110"/>
      <c r="AD490" s="110"/>
      <c r="AE490" s="110"/>
    </row>
    <row r="491" spans="1:31">
      <c r="A491" s="201" t="s">
        <v>958</v>
      </c>
      <c r="C491" s="200">
        <v>75</v>
      </c>
      <c r="D491" s="200">
        <v>1.4855999999999998</v>
      </c>
      <c r="E491" s="200">
        <v>9.1966999999999999</v>
      </c>
      <c r="F491" s="200">
        <v>0.2077</v>
      </c>
      <c r="G491" s="200">
        <f t="shared" si="75"/>
        <v>9.404399999999999</v>
      </c>
      <c r="H491" s="200">
        <v>9.2013999999999996</v>
      </c>
      <c r="I491" s="200">
        <f t="shared" si="76"/>
        <v>0.2029999999999994</v>
      </c>
      <c r="J491" s="200">
        <f t="shared" si="77"/>
        <v>4.7000000000005926E-3</v>
      </c>
      <c r="K491" s="270">
        <f t="shared" si="78"/>
        <v>2.262879152624262</v>
      </c>
      <c r="L491" s="200">
        <v>10</v>
      </c>
      <c r="M491" s="204">
        <v>43173</v>
      </c>
      <c r="N491" s="204">
        <v>43173</v>
      </c>
      <c r="O491" s="200" t="s">
        <v>2540</v>
      </c>
      <c r="P491" s="200" t="s">
        <v>2539</v>
      </c>
      <c r="AB491" s="110"/>
      <c r="AC491" s="110"/>
      <c r="AD491" s="110"/>
      <c r="AE491" s="110"/>
    </row>
    <row r="492" spans="1:31">
      <c r="A492" s="196" t="s">
        <v>956</v>
      </c>
      <c r="C492" s="200">
        <v>63</v>
      </c>
      <c r="D492" s="201">
        <v>1.4281999999999999</v>
      </c>
      <c r="E492" s="201">
        <v>8.0640999999999998</v>
      </c>
      <c r="F492" s="201">
        <v>0.20319999999999999</v>
      </c>
      <c r="G492" s="200">
        <f t="shared" si="75"/>
        <v>8.2673000000000005</v>
      </c>
      <c r="H492" s="200">
        <v>8.0815999999999999</v>
      </c>
      <c r="I492" s="200">
        <f t="shared" si="76"/>
        <v>0.18570000000000064</v>
      </c>
      <c r="J492" s="200">
        <f t="shared" si="77"/>
        <v>1.7499999999999349E-2</v>
      </c>
      <c r="K492" s="270">
        <f t="shared" si="78"/>
        <v>8.6122047244091302</v>
      </c>
      <c r="L492" s="200">
        <v>6</v>
      </c>
      <c r="M492" s="200"/>
      <c r="N492" s="200"/>
      <c r="O492" s="200"/>
      <c r="P492" s="200"/>
      <c r="AB492" s="110"/>
      <c r="AC492" s="110"/>
      <c r="AD492" s="110"/>
      <c r="AE492" s="110"/>
    </row>
    <row r="493" spans="1:31">
      <c r="A493" s="205" t="s">
        <v>955</v>
      </c>
      <c r="C493" s="200">
        <v>186</v>
      </c>
      <c r="D493" s="200">
        <v>1.5461</v>
      </c>
      <c r="E493" s="200">
        <v>10.270899999999999</v>
      </c>
      <c r="F493" s="201">
        <v>0.2019</v>
      </c>
      <c r="G493" s="200">
        <f t="shared" si="75"/>
        <v>10.472799999999999</v>
      </c>
      <c r="H493" s="200">
        <v>10.275499999999999</v>
      </c>
      <c r="I493" s="200">
        <f t="shared" si="76"/>
        <v>0.19730000000000025</v>
      </c>
      <c r="J493" s="200">
        <f t="shared" si="77"/>
        <v>4.5999999999997432E-3</v>
      </c>
      <c r="K493" s="270">
        <f t="shared" si="78"/>
        <v>2.2783556215947218</v>
      </c>
      <c r="L493" s="200">
        <v>28</v>
      </c>
      <c r="M493" s="204">
        <v>43187</v>
      </c>
      <c r="N493" s="204">
        <v>43187</v>
      </c>
      <c r="O493" s="200"/>
      <c r="P493" s="200"/>
      <c r="AB493" s="110"/>
      <c r="AC493" s="110"/>
      <c r="AD493" s="110"/>
      <c r="AE493" s="110"/>
    </row>
    <row r="494" spans="1:31">
      <c r="A494" s="200" t="s">
        <v>954</v>
      </c>
      <c r="C494" s="200">
        <v>81</v>
      </c>
      <c r="D494" s="201">
        <v>1.5605</v>
      </c>
      <c r="E494" s="201">
        <v>10.201700000000001</v>
      </c>
      <c r="F494" s="201">
        <v>0.20169999999999999</v>
      </c>
      <c r="G494" s="200">
        <f t="shared" si="75"/>
        <v>10.403400000000001</v>
      </c>
      <c r="H494" s="200">
        <v>10.2102</v>
      </c>
      <c r="I494" s="200">
        <f t="shared" si="76"/>
        <v>0.19320000000000093</v>
      </c>
      <c r="J494" s="200">
        <f t="shared" si="77"/>
        <v>8.4999999999990639E-3</v>
      </c>
      <c r="K494" s="270">
        <f t="shared" si="78"/>
        <v>4.2141794744665662</v>
      </c>
      <c r="L494" s="200">
        <v>30</v>
      </c>
      <c r="M494" s="202">
        <v>43181.645833333336</v>
      </c>
      <c r="N494" s="202">
        <v>43181.833333333336</v>
      </c>
      <c r="O494" s="200" t="s">
        <v>2540</v>
      </c>
      <c r="P494" s="200"/>
      <c r="AB494" s="110"/>
      <c r="AC494" s="110"/>
      <c r="AD494" s="110"/>
      <c r="AE494" s="110"/>
    </row>
    <row r="495" spans="1:31">
      <c r="A495" s="196" t="s">
        <v>952</v>
      </c>
      <c r="C495" s="196">
        <v>26</v>
      </c>
      <c r="D495" s="196">
        <v>1.25</v>
      </c>
      <c r="E495" s="201">
        <v>9.0510000000000002</v>
      </c>
      <c r="F495" s="201">
        <v>0.20860000000000001</v>
      </c>
      <c r="G495" s="200">
        <f t="shared" si="75"/>
        <v>9.2596000000000007</v>
      </c>
      <c r="H495" s="200">
        <v>9.0571999999999999</v>
      </c>
      <c r="I495" s="200">
        <f t="shared" si="76"/>
        <v>0.2024000000000008</v>
      </c>
      <c r="J495" s="200">
        <f t="shared" si="77"/>
        <v>6.1999999999992061E-3</v>
      </c>
      <c r="K495" s="270">
        <f t="shared" si="78"/>
        <v>2.9721955896448731</v>
      </c>
      <c r="L495" s="200">
        <v>29</v>
      </c>
      <c r="M495" s="203">
        <v>43221</v>
      </c>
      <c r="N495" s="203">
        <v>43221</v>
      </c>
      <c r="AB495" s="110"/>
      <c r="AC495" s="110"/>
      <c r="AD495" s="110"/>
      <c r="AE495" s="110"/>
    </row>
    <row r="496" spans="1:31">
      <c r="A496" s="196" t="s">
        <v>1122</v>
      </c>
      <c r="P496" s="196" t="s">
        <v>3215</v>
      </c>
      <c r="AB496" s="110"/>
      <c r="AC496" s="110"/>
      <c r="AD496" s="110"/>
      <c r="AE496" s="110"/>
    </row>
    <row r="497" spans="1:31">
      <c r="A497" s="196" t="s">
        <v>951</v>
      </c>
      <c r="C497" s="196">
        <v>23</v>
      </c>
      <c r="D497" s="196">
        <v>1.2595000000000001</v>
      </c>
      <c r="E497" s="196">
        <v>11.262700000000001</v>
      </c>
      <c r="F497" s="196">
        <v>0.20730000000000001</v>
      </c>
      <c r="G497" s="196">
        <f>E497+F497</f>
        <v>11.47</v>
      </c>
      <c r="H497" s="196">
        <v>11.269</v>
      </c>
      <c r="I497" s="196">
        <f>(G497-H497)</f>
        <v>0.20100000000000051</v>
      </c>
      <c r="J497" s="200">
        <f>F497-I497</f>
        <v>6.2999999999995004E-3</v>
      </c>
      <c r="K497" s="270">
        <f>(J497/F497)*100</f>
        <v>3.0390738060779063</v>
      </c>
      <c r="L497" s="196">
        <v>20</v>
      </c>
      <c r="M497" s="196" t="s">
        <v>2570</v>
      </c>
      <c r="N497" s="196" t="s">
        <v>2569</v>
      </c>
      <c r="O497" s="196" t="s">
        <v>2534</v>
      </c>
      <c r="AB497" s="110"/>
      <c r="AC497" s="110"/>
      <c r="AD497" s="110"/>
      <c r="AE497" s="110"/>
    </row>
    <row r="498" spans="1:31">
      <c r="A498" s="196" t="s">
        <v>945</v>
      </c>
      <c r="P498" s="196" t="s">
        <v>3215</v>
      </c>
      <c r="AB498" s="110"/>
      <c r="AC498" s="110"/>
      <c r="AD498" s="110"/>
      <c r="AE498" s="110"/>
    </row>
    <row r="499" spans="1:31">
      <c r="A499" s="196" t="s">
        <v>1139</v>
      </c>
      <c r="C499" s="197">
        <v>11</v>
      </c>
      <c r="D499" s="196">
        <v>1.2079</v>
      </c>
      <c r="E499" s="200">
        <v>9.3221000000000007</v>
      </c>
      <c r="F499" s="201">
        <v>0.20830000000000001</v>
      </c>
      <c r="G499" s="200">
        <f t="shared" ref="G499:G535" si="79">E499+F499</f>
        <v>9.5304000000000002</v>
      </c>
      <c r="H499" s="200">
        <v>9.3316999999999997</v>
      </c>
      <c r="I499" s="200">
        <f t="shared" ref="I499:I535" si="80">(G499-H499)</f>
        <v>0.19870000000000054</v>
      </c>
      <c r="J499" s="200">
        <f t="shared" ref="J499:J535" si="81">F499-I499</f>
        <v>9.5999999999994701E-3</v>
      </c>
      <c r="K499" s="270">
        <f t="shared" ref="K499:K535" si="82">(J499/F499)*100</f>
        <v>4.6087373979834227</v>
      </c>
      <c r="L499" s="200">
        <v>14</v>
      </c>
      <c r="M499" s="203">
        <v>43213</v>
      </c>
      <c r="N499" s="203">
        <v>43213</v>
      </c>
      <c r="AB499" s="110"/>
      <c r="AC499" s="110"/>
      <c r="AD499" s="110"/>
      <c r="AE499" s="110"/>
    </row>
    <row r="500" spans="1:31">
      <c r="A500" s="205" t="s">
        <v>1121</v>
      </c>
      <c r="C500" s="200">
        <v>148</v>
      </c>
      <c r="D500" s="201">
        <v>1.3778999999999999</v>
      </c>
      <c r="E500" s="201">
        <v>10.855600000000001</v>
      </c>
      <c r="F500" s="201">
        <v>2.1999999999999999E-2</v>
      </c>
      <c r="G500" s="200">
        <f t="shared" si="79"/>
        <v>10.877600000000001</v>
      </c>
      <c r="H500" s="200">
        <v>10.8681</v>
      </c>
      <c r="I500" s="200">
        <f t="shared" si="80"/>
        <v>9.5000000000009521E-3</v>
      </c>
      <c r="J500" s="200">
        <f t="shared" si="81"/>
        <v>1.2499999999999047E-2</v>
      </c>
      <c r="K500" s="270">
        <f t="shared" si="82"/>
        <v>56.818181818177493</v>
      </c>
      <c r="L500" s="200">
        <v>20</v>
      </c>
      <c r="M500" s="202">
        <v>43181.645833333336</v>
      </c>
      <c r="N500" s="202">
        <v>43181.833333333336</v>
      </c>
      <c r="O500" s="200" t="s">
        <v>2540</v>
      </c>
      <c r="P500" s="200" t="s">
        <v>2553</v>
      </c>
      <c r="AB500" s="110"/>
      <c r="AC500" s="110"/>
      <c r="AD500" s="110"/>
      <c r="AE500" s="110"/>
    </row>
    <row r="501" spans="1:31">
      <c r="A501" s="205" t="s">
        <v>939</v>
      </c>
      <c r="C501" s="200">
        <v>162</v>
      </c>
      <c r="D501" s="200">
        <v>0.29349999999999998</v>
      </c>
      <c r="E501" s="201">
        <v>9.1972000000000005</v>
      </c>
      <c r="F501" s="201">
        <v>0.2001</v>
      </c>
      <c r="G501" s="200">
        <f t="shared" si="79"/>
        <v>9.3973000000000013</v>
      </c>
      <c r="H501" s="200">
        <v>9.3561999999999994</v>
      </c>
      <c r="I501" s="200">
        <f t="shared" si="80"/>
        <v>4.1100000000001913E-2</v>
      </c>
      <c r="J501" s="200">
        <f t="shared" si="81"/>
        <v>0.15899999999999809</v>
      </c>
      <c r="K501" s="270">
        <f t="shared" si="82"/>
        <v>79.460269865066508</v>
      </c>
      <c r="L501" s="200">
        <v>27</v>
      </c>
      <c r="M501" s="206">
        <v>43186.458333333336</v>
      </c>
      <c r="N501" s="206">
        <v>43186.625</v>
      </c>
      <c r="O501" s="196" t="s">
        <v>2534</v>
      </c>
      <c r="P501" s="200" t="s">
        <v>2547</v>
      </c>
      <c r="AB501" s="110"/>
      <c r="AC501" s="110"/>
      <c r="AD501" s="110"/>
      <c r="AE501" s="110"/>
    </row>
    <row r="502" spans="1:31">
      <c r="A502" s="205" t="s">
        <v>1120</v>
      </c>
      <c r="C502" s="200">
        <v>138</v>
      </c>
      <c r="D502" s="200">
        <v>1.2708999999999999</v>
      </c>
      <c r="E502" s="201">
        <v>7.3539000000000003</v>
      </c>
      <c r="F502" s="201">
        <v>0.2044</v>
      </c>
      <c r="G502" s="200">
        <f t="shared" si="79"/>
        <v>7.5583</v>
      </c>
      <c r="H502" s="200">
        <v>7.3643999999999998</v>
      </c>
      <c r="I502" s="200">
        <f t="shared" si="80"/>
        <v>0.19390000000000018</v>
      </c>
      <c r="J502" s="200">
        <f t="shared" si="81"/>
        <v>1.0499999999999815E-2</v>
      </c>
      <c r="K502" s="270">
        <f t="shared" si="82"/>
        <v>5.1369863013697721</v>
      </c>
      <c r="L502" s="200">
        <v>32</v>
      </c>
      <c r="M502" s="206">
        <v>43186.458333333336</v>
      </c>
      <c r="N502" s="206">
        <v>43186.625</v>
      </c>
      <c r="O502" s="196" t="s">
        <v>2534</v>
      </c>
      <c r="P502" s="200"/>
      <c r="AB502" s="110"/>
      <c r="AC502" s="110"/>
      <c r="AD502" s="110"/>
      <c r="AE502" s="110"/>
    </row>
    <row r="503" spans="1:31">
      <c r="A503" s="196" t="s">
        <v>926</v>
      </c>
      <c r="C503" s="197">
        <v>167</v>
      </c>
      <c r="D503" s="196">
        <v>1.5136000000000001</v>
      </c>
      <c r="E503" s="200">
        <v>9.0513999999999992</v>
      </c>
      <c r="F503" s="201">
        <v>0.20619999999999999</v>
      </c>
      <c r="G503" s="200">
        <f t="shared" si="79"/>
        <v>9.2576000000000001</v>
      </c>
      <c r="H503" s="200">
        <v>9.0551999999999992</v>
      </c>
      <c r="I503" s="200">
        <f t="shared" si="80"/>
        <v>0.2024000000000008</v>
      </c>
      <c r="J503" s="200">
        <f t="shared" si="81"/>
        <v>3.7999999999991929E-3</v>
      </c>
      <c r="K503" s="270">
        <f t="shared" si="82"/>
        <v>1.8428709990296765</v>
      </c>
      <c r="L503" s="200">
        <v>38</v>
      </c>
      <c r="M503" s="203">
        <v>43212</v>
      </c>
      <c r="AB503" s="110"/>
      <c r="AC503" s="110"/>
      <c r="AD503" s="110"/>
      <c r="AE503" s="110"/>
    </row>
    <row r="504" spans="1:31">
      <c r="A504" s="200" t="s">
        <v>925</v>
      </c>
      <c r="C504" s="200">
        <v>189</v>
      </c>
      <c r="D504" s="201">
        <v>1.4669000000000001</v>
      </c>
      <c r="E504" s="201">
        <v>10.901400000000001</v>
      </c>
      <c r="F504" s="201">
        <v>0.20180000000000001</v>
      </c>
      <c r="G504" s="200">
        <f t="shared" si="79"/>
        <v>11.103200000000001</v>
      </c>
      <c r="H504" s="200">
        <v>10.9069</v>
      </c>
      <c r="I504" s="200">
        <f t="shared" si="80"/>
        <v>0.19630000000000081</v>
      </c>
      <c r="J504" s="200">
        <f t="shared" si="81"/>
        <v>5.4999999999992E-3</v>
      </c>
      <c r="K504" s="270">
        <f t="shared" si="82"/>
        <v>2.7254707631314172</v>
      </c>
      <c r="L504" s="200">
        <v>13</v>
      </c>
      <c r="M504" s="200"/>
      <c r="N504" s="200"/>
      <c r="O504" s="200"/>
      <c r="P504" s="200" t="s">
        <v>2541</v>
      </c>
      <c r="AB504" s="110"/>
      <c r="AC504" s="110"/>
      <c r="AD504" s="110"/>
      <c r="AE504" s="110"/>
    </row>
    <row r="505" spans="1:31">
      <c r="A505" s="196" t="s">
        <v>924</v>
      </c>
      <c r="C505" s="196">
        <v>27</v>
      </c>
      <c r="D505" s="196">
        <v>1.3244</v>
      </c>
      <c r="E505" s="200">
        <v>8.7601999999999993</v>
      </c>
      <c r="F505" s="201">
        <v>0.20480000000000001</v>
      </c>
      <c r="G505" s="200">
        <f t="shared" si="79"/>
        <v>8.9649999999999999</v>
      </c>
      <c r="H505" s="200">
        <v>8.7674000000000003</v>
      </c>
      <c r="I505" s="200">
        <f t="shared" si="80"/>
        <v>0.19759999999999955</v>
      </c>
      <c r="J505" s="200">
        <f t="shared" si="81"/>
        <v>7.200000000000456E-3</v>
      </c>
      <c r="K505" s="270">
        <f t="shared" si="82"/>
        <v>3.5156250000002229</v>
      </c>
      <c r="L505" s="200">
        <v>45</v>
      </c>
      <c r="M505" s="203">
        <v>43212</v>
      </c>
      <c r="AB505" s="110"/>
      <c r="AC505" s="110"/>
      <c r="AD505" s="110"/>
      <c r="AE505" s="110"/>
    </row>
    <row r="506" spans="1:31">
      <c r="A506" s="196" t="s">
        <v>923</v>
      </c>
      <c r="C506" s="200">
        <v>201</v>
      </c>
      <c r="D506" s="196">
        <v>1.4213</v>
      </c>
      <c r="E506" s="200">
        <v>9.8872</v>
      </c>
      <c r="F506" s="201">
        <v>0.20599999999999999</v>
      </c>
      <c r="G506" s="200">
        <f t="shared" si="79"/>
        <v>10.0932</v>
      </c>
      <c r="H506" s="200">
        <v>9.8940000000000001</v>
      </c>
      <c r="I506" s="200">
        <f t="shared" si="80"/>
        <v>0.19919999999999938</v>
      </c>
      <c r="J506" s="200">
        <f t="shared" si="81"/>
        <v>6.8000000000006111E-3</v>
      </c>
      <c r="K506" s="270">
        <f t="shared" si="82"/>
        <v>3.3009708737867043</v>
      </c>
      <c r="L506" s="200">
        <v>37</v>
      </c>
      <c r="M506" s="204">
        <v>43211</v>
      </c>
      <c r="AB506" s="110"/>
      <c r="AC506" s="110"/>
      <c r="AD506" s="110"/>
      <c r="AE506" s="110"/>
    </row>
    <row r="507" spans="1:31">
      <c r="A507" s="196" t="s">
        <v>922</v>
      </c>
      <c r="C507" s="197">
        <v>197</v>
      </c>
      <c r="D507" s="196">
        <v>1.3661000000000001</v>
      </c>
      <c r="E507" s="196">
        <v>10.510300000000001</v>
      </c>
      <c r="F507" s="201">
        <v>0.20469999999999999</v>
      </c>
      <c r="G507" s="200">
        <f t="shared" si="79"/>
        <v>10.715000000000002</v>
      </c>
      <c r="H507" s="200">
        <v>10.533799999999999</v>
      </c>
      <c r="I507" s="200">
        <f t="shared" si="80"/>
        <v>0.18120000000000225</v>
      </c>
      <c r="J507" s="200">
        <f t="shared" si="81"/>
        <v>2.3499999999997745E-2</v>
      </c>
      <c r="K507" s="270">
        <f t="shared" si="82"/>
        <v>11.480214948704322</v>
      </c>
      <c r="L507" s="200">
        <v>12</v>
      </c>
      <c r="AB507" s="110"/>
      <c r="AC507" s="110"/>
      <c r="AD507" s="110"/>
      <c r="AE507" s="110"/>
    </row>
    <row r="508" spans="1:31">
      <c r="A508" s="200" t="s">
        <v>1119</v>
      </c>
      <c r="C508" s="200">
        <v>83</v>
      </c>
      <c r="D508" s="201">
        <v>1.367</v>
      </c>
      <c r="E508" s="200">
        <v>10.1439</v>
      </c>
      <c r="F508" s="201">
        <v>0.20180000000000001</v>
      </c>
      <c r="G508" s="200">
        <f t="shared" si="79"/>
        <v>10.345700000000001</v>
      </c>
      <c r="H508" s="200">
        <v>10.1587</v>
      </c>
      <c r="I508" s="200">
        <f t="shared" si="80"/>
        <v>0.18700000000000117</v>
      </c>
      <c r="J508" s="200">
        <f t="shared" si="81"/>
        <v>1.4799999999998842E-2</v>
      </c>
      <c r="K508" s="270">
        <f t="shared" si="82"/>
        <v>7.3339940535177606</v>
      </c>
      <c r="L508" s="200">
        <v>1</v>
      </c>
      <c r="M508" s="204">
        <v>43206</v>
      </c>
      <c r="N508" s="204">
        <v>43206</v>
      </c>
      <c r="O508" s="200"/>
      <c r="P508" s="200"/>
      <c r="AB508" s="110"/>
      <c r="AC508" s="110"/>
      <c r="AD508" s="110"/>
      <c r="AE508" s="110"/>
    </row>
    <row r="509" spans="1:31">
      <c r="A509" s="196" t="s">
        <v>919</v>
      </c>
      <c r="C509" s="197">
        <v>188</v>
      </c>
      <c r="D509" s="196">
        <v>1.397</v>
      </c>
      <c r="E509" s="201">
        <v>8.7731999999999992</v>
      </c>
      <c r="F509" s="201">
        <v>0.20899999999999999</v>
      </c>
      <c r="G509" s="200">
        <f t="shared" si="79"/>
        <v>8.9821999999999989</v>
      </c>
      <c r="H509" s="200">
        <v>8.7799999999999994</v>
      </c>
      <c r="I509" s="200">
        <f t="shared" si="80"/>
        <v>0.20219999999999949</v>
      </c>
      <c r="J509" s="200">
        <f t="shared" si="81"/>
        <v>6.8000000000005001E-3</v>
      </c>
      <c r="K509" s="270">
        <f t="shared" si="82"/>
        <v>3.2535885167466505</v>
      </c>
      <c r="L509" s="200">
        <v>11</v>
      </c>
      <c r="AB509" s="110"/>
      <c r="AC509" s="110"/>
      <c r="AD509" s="110"/>
      <c r="AE509" s="110"/>
    </row>
    <row r="510" spans="1:31">
      <c r="A510" s="200" t="s">
        <v>913</v>
      </c>
      <c r="C510" s="200">
        <v>77</v>
      </c>
      <c r="D510" s="200">
        <v>1.891</v>
      </c>
      <c r="E510" s="200">
        <v>10.921099999999999</v>
      </c>
      <c r="F510" s="201">
        <v>0.2026</v>
      </c>
      <c r="G510" s="200">
        <f t="shared" si="79"/>
        <v>11.123699999999999</v>
      </c>
      <c r="H510" s="200">
        <v>10.9733</v>
      </c>
      <c r="I510" s="200">
        <f t="shared" si="80"/>
        <v>0.15039999999999942</v>
      </c>
      <c r="J510" s="200">
        <f t="shared" si="81"/>
        <v>5.2200000000000579E-2</v>
      </c>
      <c r="K510" s="270">
        <f t="shared" si="82"/>
        <v>25.765054294176</v>
      </c>
      <c r="L510" s="200">
        <v>32</v>
      </c>
      <c r="M510" s="204">
        <v>43187</v>
      </c>
      <c r="N510" s="204">
        <v>43187</v>
      </c>
      <c r="O510" s="200"/>
      <c r="P510" s="200"/>
      <c r="AB510" s="110"/>
      <c r="AC510" s="110"/>
      <c r="AD510" s="110"/>
      <c r="AE510" s="110"/>
    </row>
    <row r="511" spans="1:31">
      <c r="A511" s="200" t="s">
        <v>1118</v>
      </c>
      <c r="C511" s="200">
        <v>59</v>
      </c>
      <c r="D511" s="200">
        <v>1.1779999999999999</v>
      </c>
      <c r="E511" s="200">
        <v>11.1587</v>
      </c>
      <c r="F511" s="200">
        <v>0.19759999999999955</v>
      </c>
      <c r="G511" s="200">
        <f t="shared" si="79"/>
        <v>11.356299999999999</v>
      </c>
      <c r="H511" s="200">
        <v>11.171099999999999</v>
      </c>
      <c r="I511" s="200">
        <f t="shared" si="80"/>
        <v>0.18520000000000003</v>
      </c>
      <c r="J511" s="200">
        <f t="shared" si="81"/>
        <v>1.2399999999999523E-2</v>
      </c>
      <c r="K511" s="270">
        <f t="shared" si="82"/>
        <v>6.2753036437244685</v>
      </c>
      <c r="L511" s="200">
        <v>2</v>
      </c>
      <c r="M511" s="204">
        <v>43188</v>
      </c>
      <c r="N511" s="204">
        <v>43188</v>
      </c>
      <c r="O511" s="200"/>
      <c r="P511" s="200"/>
      <c r="U511" s="201" t="s">
        <v>1149</v>
      </c>
      <c r="V511" s="196">
        <v>0.84740000000000004</v>
      </c>
      <c r="W511" s="196">
        <f>(V511-$T$175+F509)</f>
        <v>1.0564</v>
      </c>
      <c r="AB511" s="110"/>
      <c r="AC511" s="110"/>
      <c r="AD511" s="110"/>
      <c r="AE511" s="110"/>
    </row>
    <row r="512" spans="1:31">
      <c r="A512" s="205" t="s">
        <v>909</v>
      </c>
      <c r="C512" s="200">
        <v>190</v>
      </c>
      <c r="D512" s="200">
        <v>1.5285</v>
      </c>
      <c r="E512" s="200">
        <v>7.1898999999999997</v>
      </c>
      <c r="F512" s="201">
        <v>0.20300000000000001</v>
      </c>
      <c r="G512" s="200">
        <f t="shared" si="79"/>
        <v>7.3929</v>
      </c>
      <c r="H512" s="200">
        <v>7.1943999999999999</v>
      </c>
      <c r="I512" s="200">
        <f t="shared" si="80"/>
        <v>0.19850000000000012</v>
      </c>
      <c r="J512" s="200">
        <f t="shared" si="81"/>
        <v>4.499999999999893E-3</v>
      </c>
      <c r="K512" s="270">
        <f t="shared" si="82"/>
        <v>2.2167487684728533</v>
      </c>
      <c r="L512" s="200">
        <v>32</v>
      </c>
      <c r="M512" s="204">
        <v>43211</v>
      </c>
      <c r="AB512" s="110"/>
      <c r="AC512" s="110"/>
      <c r="AD512" s="110"/>
      <c r="AE512" s="110"/>
    </row>
    <row r="513" spans="1:31">
      <c r="A513" s="205" t="s">
        <v>907</v>
      </c>
      <c r="C513" s="200">
        <v>206</v>
      </c>
      <c r="D513" s="200">
        <v>1.468</v>
      </c>
      <c r="E513" s="200">
        <v>8.9577000000000009</v>
      </c>
      <c r="F513" s="201">
        <v>0.20619999999999999</v>
      </c>
      <c r="G513" s="200">
        <f t="shared" si="79"/>
        <v>9.1639000000000017</v>
      </c>
      <c r="H513" s="200">
        <v>8.9783000000000008</v>
      </c>
      <c r="I513" s="200">
        <f t="shared" si="80"/>
        <v>0.18560000000000088</v>
      </c>
      <c r="J513" s="200">
        <f t="shared" si="81"/>
        <v>2.0599999999999119E-2</v>
      </c>
      <c r="K513" s="270">
        <f t="shared" si="82"/>
        <v>9.9903006789520461</v>
      </c>
      <c r="L513" s="200">
        <v>12</v>
      </c>
      <c r="M513" s="204">
        <v>43187</v>
      </c>
      <c r="N513" s="204">
        <v>43187</v>
      </c>
      <c r="O513" s="200"/>
      <c r="P513" s="200"/>
      <c r="AB513" s="110"/>
      <c r="AC513" s="110"/>
      <c r="AD513" s="110"/>
      <c r="AE513" s="110"/>
    </row>
    <row r="514" spans="1:31">
      <c r="A514" s="196" t="s">
        <v>906</v>
      </c>
      <c r="C514" s="196">
        <v>79</v>
      </c>
      <c r="D514" s="196">
        <v>1.3266</v>
      </c>
      <c r="E514" s="196">
        <v>19.690200000000001</v>
      </c>
      <c r="F514" s="196">
        <v>0.2044</v>
      </c>
      <c r="G514" s="196">
        <f t="shared" si="79"/>
        <v>19.894600000000001</v>
      </c>
      <c r="H514" s="196">
        <v>19.707999999999998</v>
      </c>
      <c r="I514" s="196">
        <f t="shared" si="80"/>
        <v>0.1866000000000021</v>
      </c>
      <c r="J514" s="200">
        <f t="shared" si="81"/>
        <v>1.7799999999997901E-2</v>
      </c>
      <c r="K514" s="270">
        <f t="shared" si="82"/>
        <v>8.7084148727974071</v>
      </c>
      <c r="L514" s="196">
        <v>22</v>
      </c>
      <c r="M514" s="196" t="s">
        <v>2564</v>
      </c>
      <c r="N514" s="196" t="s">
        <v>2563</v>
      </c>
      <c r="O514" s="196" t="s">
        <v>2540</v>
      </c>
      <c r="AB514" s="110"/>
      <c r="AC514" s="110"/>
      <c r="AD514" s="110"/>
      <c r="AE514" s="110"/>
    </row>
    <row r="515" spans="1:31">
      <c r="A515" s="196" t="s">
        <v>1117</v>
      </c>
      <c r="C515" s="196">
        <v>34</v>
      </c>
      <c r="D515" s="196">
        <v>1.2261</v>
      </c>
      <c r="E515" s="196">
        <v>8.1184999999999992</v>
      </c>
      <c r="F515" s="196">
        <v>0.2031</v>
      </c>
      <c r="G515" s="196">
        <f t="shared" si="79"/>
        <v>8.3215999999999983</v>
      </c>
      <c r="H515" s="196">
        <v>8.1336999999999993</v>
      </c>
      <c r="I515" s="196">
        <f t="shared" si="80"/>
        <v>0.18789999999999907</v>
      </c>
      <c r="J515" s="200">
        <f t="shared" si="81"/>
        <v>1.5200000000000935E-2</v>
      </c>
      <c r="K515" s="270">
        <f t="shared" si="82"/>
        <v>7.4839980305272942</v>
      </c>
      <c r="L515" s="196">
        <v>9</v>
      </c>
      <c r="M515" s="196" t="s">
        <v>2570</v>
      </c>
      <c r="N515" s="196" t="s">
        <v>2569</v>
      </c>
      <c r="O515" s="196" t="s">
        <v>2534</v>
      </c>
      <c r="AB515" s="110"/>
      <c r="AC515" s="110"/>
      <c r="AD515" s="110"/>
      <c r="AE515" s="110"/>
    </row>
    <row r="516" spans="1:31">
      <c r="A516" s="205" t="s">
        <v>900</v>
      </c>
      <c r="C516" s="200">
        <v>216</v>
      </c>
      <c r="D516" s="200">
        <v>1.2964</v>
      </c>
      <c r="E516" s="200">
        <v>9.1974999999999998</v>
      </c>
      <c r="F516" s="201">
        <v>0.2026</v>
      </c>
      <c r="G516" s="200">
        <f t="shared" si="79"/>
        <v>9.4001000000000001</v>
      </c>
      <c r="H516" s="200">
        <v>9.2410999999999994</v>
      </c>
      <c r="I516" s="200">
        <f t="shared" si="80"/>
        <v>0.1590000000000007</v>
      </c>
      <c r="J516" s="200">
        <f t="shared" si="81"/>
        <v>4.3599999999999306E-2</v>
      </c>
      <c r="K516" s="270">
        <f t="shared" si="82"/>
        <v>21.520236920039142</v>
      </c>
      <c r="L516" s="200">
        <v>23</v>
      </c>
      <c r="M516" s="204">
        <v>43211</v>
      </c>
      <c r="AB516" s="110"/>
      <c r="AC516" s="110"/>
      <c r="AD516" s="110"/>
      <c r="AE516" s="110"/>
    </row>
    <row r="517" spans="1:31">
      <c r="A517" s="200" t="s">
        <v>1116</v>
      </c>
      <c r="C517" s="200">
        <v>195</v>
      </c>
      <c r="D517" s="200">
        <v>1.1187</v>
      </c>
      <c r="E517" s="200">
        <v>10.8569</v>
      </c>
      <c r="F517" s="200">
        <v>0.20469999999999999</v>
      </c>
      <c r="G517" s="200">
        <f t="shared" si="79"/>
        <v>11.0616</v>
      </c>
      <c r="H517" s="200">
        <v>10.866300000000001</v>
      </c>
      <c r="I517" s="200">
        <f t="shared" si="80"/>
        <v>0.19529999999999959</v>
      </c>
      <c r="J517" s="200">
        <f t="shared" si="81"/>
        <v>9.400000000000408E-3</v>
      </c>
      <c r="K517" s="270">
        <f t="shared" si="82"/>
        <v>4.592085979482369</v>
      </c>
      <c r="L517" s="200">
        <v>13</v>
      </c>
      <c r="M517" s="202">
        <v>43164.628472222219</v>
      </c>
      <c r="N517" s="202">
        <v>43164.795138888891</v>
      </c>
      <c r="O517" s="196" t="s">
        <v>2534</v>
      </c>
      <c r="P517" s="200"/>
      <c r="AB517" s="110"/>
      <c r="AC517" s="110"/>
      <c r="AD517" s="110"/>
      <c r="AE517" s="110"/>
    </row>
    <row r="518" spans="1:31">
      <c r="A518" s="196" t="s">
        <v>891</v>
      </c>
      <c r="C518" s="197">
        <v>220</v>
      </c>
      <c r="D518" s="196">
        <v>1.3202</v>
      </c>
      <c r="E518" s="201">
        <v>8.7681000000000004</v>
      </c>
      <c r="F518" s="201">
        <v>0.20599999999999999</v>
      </c>
      <c r="G518" s="200">
        <f t="shared" si="79"/>
        <v>8.9741</v>
      </c>
      <c r="H518" s="200">
        <v>8.7797000000000001</v>
      </c>
      <c r="I518" s="200">
        <f t="shared" si="80"/>
        <v>0.19439999999999991</v>
      </c>
      <c r="J518" s="200">
        <f t="shared" si="81"/>
        <v>1.1600000000000082E-2</v>
      </c>
      <c r="K518" s="270">
        <f t="shared" si="82"/>
        <v>5.6310679611650896</v>
      </c>
      <c r="L518" s="200">
        <v>6</v>
      </c>
      <c r="AB518" s="110"/>
      <c r="AC518" s="110"/>
      <c r="AD518" s="110"/>
      <c r="AE518" s="110"/>
    </row>
    <row r="519" spans="1:31">
      <c r="A519" s="200" t="s">
        <v>890</v>
      </c>
      <c r="C519" s="200">
        <v>69</v>
      </c>
      <c r="D519" s="201">
        <v>1.5922000000000001</v>
      </c>
      <c r="E519" s="201">
        <v>7.8013000000000003</v>
      </c>
      <c r="F519" s="201">
        <v>0.2039</v>
      </c>
      <c r="G519" s="200">
        <f t="shared" si="79"/>
        <v>8.0052000000000003</v>
      </c>
      <c r="H519" s="200">
        <v>7.8299000000000003</v>
      </c>
      <c r="I519" s="200">
        <f t="shared" si="80"/>
        <v>0.17530000000000001</v>
      </c>
      <c r="J519" s="200">
        <f t="shared" si="81"/>
        <v>2.8599999999999987E-2</v>
      </c>
      <c r="K519" s="270">
        <f t="shared" si="82"/>
        <v>14.026483570377628</v>
      </c>
      <c r="L519" s="200">
        <v>17</v>
      </c>
      <c r="M519" s="202">
        <v>43181.645833333336</v>
      </c>
      <c r="N519" s="202">
        <v>43181.833333333336</v>
      </c>
      <c r="O519" s="200" t="s">
        <v>2540</v>
      </c>
      <c r="P519" s="200"/>
      <c r="AB519" s="110"/>
      <c r="AC519" s="110"/>
      <c r="AD519" s="110"/>
      <c r="AE519" s="110"/>
    </row>
    <row r="520" spans="1:31">
      <c r="A520" t="s">
        <v>889</v>
      </c>
      <c r="C520" s="196">
        <v>66</v>
      </c>
      <c r="D520" s="196">
        <v>1.4236</v>
      </c>
      <c r="E520" s="200">
        <v>11.1591</v>
      </c>
      <c r="F520" s="201">
        <v>0.2039</v>
      </c>
      <c r="G520" s="200">
        <f t="shared" si="79"/>
        <v>11.363000000000001</v>
      </c>
      <c r="H520" s="200">
        <v>11.1755</v>
      </c>
      <c r="I520" s="200">
        <f t="shared" si="80"/>
        <v>0.18750000000000178</v>
      </c>
      <c r="J520" s="200">
        <f t="shared" si="81"/>
        <v>1.6399999999998222E-2</v>
      </c>
      <c r="K520" s="270">
        <f t="shared" si="82"/>
        <v>8.0431584109849048</v>
      </c>
      <c r="L520" s="200">
        <v>40</v>
      </c>
      <c r="M520" s="204">
        <v>43211</v>
      </c>
      <c r="AB520" s="110"/>
      <c r="AC520" s="110"/>
      <c r="AD520" s="110"/>
      <c r="AE520" s="110"/>
    </row>
    <row r="521" spans="1:31">
      <c r="A521" s="196" t="s">
        <v>888</v>
      </c>
      <c r="C521" s="196">
        <v>161</v>
      </c>
      <c r="D521" s="196">
        <v>1.4676</v>
      </c>
      <c r="E521" s="196">
        <v>9.1572999999999993</v>
      </c>
      <c r="F521" s="196">
        <v>0.2084</v>
      </c>
      <c r="G521" s="196">
        <f t="shared" si="79"/>
        <v>9.3656999999999986</v>
      </c>
      <c r="H521" s="196">
        <v>9.1624999999999996</v>
      </c>
      <c r="I521" s="196">
        <f t="shared" si="80"/>
        <v>0.20319999999999894</v>
      </c>
      <c r="J521" s="200">
        <f t="shared" si="81"/>
        <v>5.2000000000010649E-3</v>
      </c>
      <c r="K521" s="270">
        <f t="shared" si="82"/>
        <v>2.4952015355091484</v>
      </c>
      <c r="L521" s="196">
        <v>1</v>
      </c>
      <c r="M521" s="196">
        <v>43160.520833333336</v>
      </c>
      <c r="N521" s="196">
        <v>43160.6875</v>
      </c>
      <c r="O521" s="196" t="s">
        <v>2534</v>
      </c>
      <c r="AB521" s="110"/>
      <c r="AC521" s="110"/>
      <c r="AD521" s="110"/>
      <c r="AE521" s="110"/>
    </row>
    <row r="522" spans="1:31">
      <c r="A522" s="196" t="s">
        <v>886</v>
      </c>
      <c r="C522" s="197">
        <v>167</v>
      </c>
      <c r="D522" s="196">
        <v>1.5271999999999999</v>
      </c>
      <c r="E522" s="201">
        <v>8.0466999999999995</v>
      </c>
      <c r="F522" s="201">
        <v>0.20660000000000001</v>
      </c>
      <c r="G522" s="200">
        <f t="shared" si="79"/>
        <v>8.2532999999999994</v>
      </c>
      <c r="H522" s="200">
        <v>8.0503</v>
      </c>
      <c r="I522" s="200">
        <f t="shared" si="80"/>
        <v>0.2029999999999994</v>
      </c>
      <c r="J522" s="200">
        <f t="shared" si="81"/>
        <v>3.6000000000006027E-3</v>
      </c>
      <c r="K522" s="270">
        <f t="shared" si="82"/>
        <v>1.7424975798647639</v>
      </c>
      <c r="L522" s="200">
        <v>34</v>
      </c>
      <c r="AB522" s="110"/>
      <c r="AC522" s="110"/>
      <c r="AD522" s="110"/>
      <c r="AE522" s="110"/>
    </row>
    <row r="523" spans="1:31">
      <c r="A523" s="200" t="s">
        <v>883</v>
      </c>
      <c r="C523" s="200">
        <v>207</v>
      </c>
      <c r="D523" s="200">
        <v>1.3046</v>
      </c>
      <c r="E523" s="201">
        <v>9.1372999999999998</v>
      </c>
      <c r="F523" s="201">
        <v>0.20169999999999999</v>
      </c>
      <c r="G523" s="200">
        <f t="shared" si="79"/>
        <v>9.3390000000000004</v>
      </c>
      <c r="H523" s="200">
        <v>9.1700999999999997</v>
      </c>
      <c r="I523" s="200">
        <f t="shared" si="80"/>
        <v>0.16890000000000072</v>
      </c>
      <c r="J523" s="200">
        <f t="shared" si="81"/>
        <v>3.2799999999999274E-2</v>
      </c>
      <c r="K523" s="270">
        <f t="shared" si="82"/>
        <v>16.261774913237122</v>
      </c>
      <c r="L523" s="200">
        <v>6</v>
      </c>
      <c r="M523" s="204">
        <v>43197</v>
      </c>
      <c r="N523" s="204">
        <v>43197</v>
      </c>
      <c r="O523" s="200"/>
      <c r="P523" s="200"/>
      <c r="AB523" s="110"/>
      <c r="AC523" s="110"/>
      <c r="AD523" s="110"/>
      <c r="AE523" s="110"/>
    </row>
    <row r="524" spans="1:31">
      <c r="A524" s="196" t="s">
        <v>882</v>
      </c>
      <c r="C524" s="197">
        <v>166</v>
      </c>
      <c r="D524" s="196">
        <v>1.5031000000000001</v>
      </c>
      <c r="E524" s="201">
        <v>9.1373999999999995</v>
      </c>
      <c r="F524" s="201">
        <v>0.20180000000000001</v>
      </c>
      <c r="G524" s="200">
        <f t="shared" si="79"/>
        <v>9.3391999999999999</v>
      </c>
      <c r="H524" s="200">
        <v>9.1412999999999993</v>
      </c>
      <c r="I524" s="200">
        <f t="shared" si="80"/>
        <v>0.19790000000000063</v>
      </c>
      <c r="J524" s="200">
        <f t="shared" si="81"/>
        <v>3.8999999999993762E-3</v>
      </c>
      <c r="K524" s="270">
        <f t="shared" si="82"/>
        <v>1.9326065411295223</v>
      </c>
      <c r="L524" s="200">
        <v>15</v>
      </c>
      <c r="AB524" s="110"/>
      <c r="AC524" s="110"/>
      <c r="AD524" s="110"/>
      <c r="AE524" s="110"/>
    </row>
    <row r="525" spans="1:31">
      <c r="A525" s="205" t="s">
        <v>1115</v>
      </c>
      <c r="C525" s="200">
        <v>102</v>
      </c>
      <c r="D525" s="200">
        <v>1.357</v>
      </c>
      <c r="E525" s="201">
        <v>8.1191999999999993</v>
      </c>
      <c r="F525" s="201">
        <v>0.20119999999999999</v>
      </c>
      <c r="G525" s="200">
        <f t="shared" si="79"/>
        <v>8.3203999999999994</v>
      </c>
      <c r="H525" s="200">
        <v>8.1302000000000003</v>
      </c>
      <c r="I525" s="200">
        <f t="shared" si="80"/>
        <v>0.19019999999999904</v>
      </c>
      <c r="J525" s="200">
        <f t="shared" si="81"/>
        <v>1.1000000000000953E-2</v>
      </c>
      <c r="K525" s="270">
        <f t="shared" si="82"/>
        <v>5.4671968190859612</v>
      </c>
      <c r="L525" s="200">
        <v>1</v>
      </c>
      <c r="M525" s="202">
        <v>43181.645833333336</v>
      </c>
      <c r="N525" s="202">
        <v>43181.833333333336</v>
      </c>
      <c r="O525" s="200" t="s">
        <v>2540</v>
      </c>
      <c r="P525" s="200"/>
      <c r="AB525" s="110"/>
      <c r="AC525" s="110"/>
      <c r="AD525" s="110"/>
      <c r="AE525" s="110"/>
    </row>
    <row r="526" spans="1:31">
      <c r="A526" s="200" t="s">
        <v>879</v>
      </c>
      <c r="C526" s="200">
        <v>177</v>
      </c>
      <c r="D526" s="200">
        <v>1.4048</v>
      </c>
      <c r="E526" s="200">
        <v>9.7731999999999992</v>
      </c>
      <c r="F526" s="201">
        <v>0.20100000000000001</v>
      </c>
      <c r="G526" s="200">
        <f t="shared" si="79"/>
        <v>9.9741999999999997</v>
      </c>
      <c r="H526" s="200">
        <v>9.7787000000000006</v>
      </c>
      <c r="I526" s="200">
        <f t="shared" si="80"/>
        <v>0.19549999999999912</v>
      </c>
      <c r="J526" s="200">
        <f t="shared" si="81"/>
        <v>5.5000000000008931E-3</v>
      </c>
      <c r="K526" s="270">
        <f t="shared" si="82"/>
        <v>2.7363184079606433</v>
      </c>
      <c r="L526" s="200">
        <v>37</v>
      </c>
      <c r="M526" s="204">
        <v>43187</v>
      </c>
      <c r="N526" s="204">
        <v>43187</v>
      </c>
      <c r="O526" s="200"/>
      <c r="P526" s="200"/>
      <c r="AB526" s="110"/>
      <c r="AC526" s="110"/>
      <c r="AD526" s="110"/>
      <c r="AE526" s="110"/>
    </row>
    <row r="527" spans="1:31">
      <c r="A527" s="205" t="s">
        <v>878</v>
      </c>
      <c r="C527" s="200">
        <v>192</v>
      </c>
      <c r="D527" s="200">
        <v>0.82550000000000001</v>
      </c>
      <c r="E527" s="201">
        <v>11.0334</v>
      </c>
      <c r="F527" s="201">
        <v>0.20669999999999999</v>
      </c>
      <c r="G527" s="200">
        <f t="shared" si="79"/>
        <v>11.2401</v>
      </c>
      <c r="H527" s="200">
        <v>11.125299999999999</v>
      </c>
      <c r="I527" s="200">
        <f t="shared" si="80"/>
        <v>0.11480000000000068</v>
      </c>
      <c r="J527" s="200">
        <f t="shared" si="81"/>
        <v>9.1899999999999316E-2</v>
      </c>
      <c r="K527" s="270">
        <f t="shared" si="82"/>
        <v>44.460570875664885</v>
      </c>
      <c r="L527" s="200">
        <v>15</v>
      </c>
      <c r="M527" s="206">
        <v>43185.385416666664</v>
      </c>
      <c r="N527" s="200"/>
      <c r="O527" s="200" t="s">
        <v>2540</v>
      </c>
      <c r="P527" s="200"/>
      <c r="AB527" s="110"/>
      <c r="AC527" s="110"/>
      <c r="AD527" s="110"/>
      <c r="AE527" s="110"/>
    </row>
    <row r="528" spans="1:31">
      <c r="A528" s="205" t="s">
        <v>877</v>
      </c>
      <c r="C528" s="200">
        <v>164</v>
      </c>
      <c r="D528" s="200">
        <v>1.4674</v>
      </c>
      <c r="E528" s="200">
        <v>8.2187000000000001</v>
      </c>
      <c r="F528" s="201">
        <v>0.20730000000000001</v>
      </c>
      <c r="G528" s="200">
        <f t="shared" si="79"/>
        <v>8.4260000000000002</v>
      </c>
      <c r="H528" s="200">
        <v>8.2226999999999997</v>
      </c>
      <c r="I528" s="196">
        <f t="shared" si="80"/>
        <v>0.20330000000000048</v>
      </c>
      <c r="J528" s="200">
        <f t="shared" si="81"/>
        <v>3.9999999999995317E-3</v>
      </c>
      <c r="K528" s="270">
        <f t="shared" si="82"/>
        <v>1.9295706705255817</v>
      </c>
      <c r="L528" s="200">
        <v>24</v>
      </c>
      <c r="M528" s="204">
        <v>43187</v>
      </c>
      <c r="N528" s="204">
        <v>43187</v>
      </c>
      <c r="O528" s="200"/>
      <c r="P528" s="200" t="s">
        <v>2546</v>
      </c>
      <c r="AB528" s="110"/>
      <c r="AC528" s="110"/>
      <c r="AD528" s="110"/>
      <c r="AE528" s="110"/>
    </row>
    <row r="529" spans="1:31">
      <c r="A529" s="200" t="s">
        <v>876</v>
      </c>
      <c r="C529" s="200">
        <v>205</v>
      </c>
      <c r="D529" s="196">
        <v>1.4040999999999999</v>
      </c>
      <c r="E529" s="196">
        <v>7.9531999999999998</v>
      </c>
      <c r="F529" s="196">
        <v>0.20480000000000001</v>
      </c>
      <c r="G529" s="196">
        <f t="shared" si="79"/>
        <v>8.1579999999999995</v>
      </c>
      <c r="H529" s="196">
        <v>7.9816000000000003</v>
      </c>
      <c r="I529" s="196">
        <f t="shared" si="80"/>
        <v>0.17639999999999922</v>
      </c>
      <c r="J529" s="200">
        <f t="shared" si="81"/>
        <v>2.8400000000000786E-2</v>
      </c>
      <c r="K529" s="270">
        <f t="shared" si="82"/>
        <v>13.867187500000384</v>
      </c>
      <c r="L529" s="196">
        <v>6</v>
      </c>
      <c r="M529" s="206">
        <v>43160.520833333336</v>
      </c>
      <c r="N529" s="206">
        <v>43160.6875</v>
      </c>
      <c r="O529" s="196" t="s">
        <v>2534</v>
      </c>
      <c r="AB529" s="110"/>
      <c r="AC529" s="110"/>
      <c r="AD529" s="110"/>
      <c r="AE529" s="110"/>
    </row>
    <row r="530" spans="1:31">
      <c r="A530" s="205" t="s">
        <v>875</v>
      </c>
      <c r="C530" s="200">
        <v>70</v>
      </c>
      <c r="D530" s="200">
        <v>1.3751</v>
      </c>
      <c r="E530" s="201">
        <v>8.1325000000000003</v>
      </c>
      <c r="F530" s="201">
        <v>0.20069999999999999</v>
      </c>
      <c r="G530" s="200">
        <f t="shared" si="79"/>
        <v>8.3331999999999997</v>
      </c>
      <c r="H530" s="200">
        <v>8.1384000000000007</v>
      </c>
      <c r="I530" s="200">
        <f t="shared" si="80"/>
        <v>0.19479999999999897</v>
      </c>
      <c r="J530" s="200">
        <f t="shared" si="81"/>
        <v>5.9000000000010155E-3</v>
      </c>
      <c r="K530" s="270">
        <f t="shared" si="82"/>
        <v>2.9397110114603966</v>
      </c>
      <c r="L530" s="200">
        <v>9</v>
      </c>
      <c r="M530" s="202">
        <v>43181.645833333336</v>
      </c>
      <c r="N530" s="202">
        <v>43181.833333333336</v>
      </c>
      <c r="O530" s="200" t="s">
        <v>2540</v>
      </c>
      <c r="P530" s="200"/>
      <c r="AB530" s="110"/>
      <c r="AC530" s="110"/>
      <c r="AD530" s="110"/>
      <c r="AE530" s="110"/>
    </row>
    <row r="531" spans="1:31">
      <c r="A531" s="196" t="s">
        <v>873</v>
      </c>
      <c r="C531" s="196">
        <v>180</v>
      </c>
      <c r="D531" s="200">
        <v>1.4306000000000001</v>
      </c>
      <c r="E531" s="201">
        <v>11.0229</v>
      </c>
      <c r="F531" s="201">
        <v>0.20399999999999999</v>
      </c>
      <c r="G531" s="200">
        <f t="shared" si="79"/>
        <v>11.226900000000001</v>
      </c>
      <c r="H531" s="200">
        <v>11.027100000000001</v>
      </c>
      <c r="I531" s="200">
        <f t="shared" si="80"/>
        <v>0.19979999999999976</v>
      </c>
      <c r="J531" s="200">
        <f t="shared" si="81"/>
        <v>4.2000000000002313E-3</v>
      </c>
      <c r="K531" s="270">
        <f t="shared" si="82"/>
        <v>2.0588235294118782</v>
      </c>
      <c r="L531" s="200">
        <v>26</v>
      </c>
      <c r="M531" s="203">
        <v>43213</v>
      </c>
      <c r="N531" s="203">
        <v>43213</v>
      </c>
      <c r="AB531" s="110"/>
      <c r="AC531" s="110"/>
      <c r="AD531" s="110"/>
      <c r="AE531" s="110"/>
    </row>
    <row r="532" spans="1:31">
      <c r="A532" s="201" t="s">
        <v>1114</v>
      </c>
      <c r="C532" s="200">
        <v>145</v>
      </c>
      <c r="D532" s="200">
        <v>1.4273</v>
      </c>
      <c r="E532" s="200">
        <v>8.0883000000000003</v>
      </c>
      <c r="F532" s="200">
        <v>0.2056</v>
      </c>
      <c r="G532" s="200">
        <f t="shared" si="79"/>
        <v>8.2939000000000007</v>
      </c>
      <c r="H532" s="200">
        <v>8.1059000000000001</v>
      </c>
      <c r="I532" s="200">
        <f t="shared" si="80"/>
        <v>0.18800000000000061</v>
      </c>
      <c r="J532" s="200">
        <f t="shared" si="81"/>
        <v>1.7599999999999394E-2</v>
      </c>
      <c r="K532" s="270">
        <f t="shared" si="82"/>
        <v>8.5603112840463975</v>
      </c>
      <c r="L532" s="200">
        <v>27</v>
      </c>
      <c r="M532" s="204">
        <v>43173</v>
      </c>
      <c r="N532" s="204">
        <v>43173</v>
      </c>
      <c r="O532" s="200" t="s">
        <v>2540</v>
      </c>
      <c r="P532" s="200" t="s">
        <v>2539</v>
      </c>
      <c r="AB532" s="110"/>
      <c r="AC532" s="110"/>
      <c r="AD532" s="110"/>
      <c r="AE532" s="110"/>
    </row>
    <row r="533" spans="1:31">
      <c r="A533" s="200" t="s">
        <v>870</v>
      </c>
      <c r="C533" s="200">
        <v>209</v>
      </c>
      <c r="D533" s="200">
        <v>1.4764999999999999</v>
      </c>
      <c r="E533" s="200">
        <v>11.862399999999999</v>
      </c>
      <c r="F533" s="200">
        <v>0.20419999999999999</v>
      </c>
      <c r="G533" s="200">
        <f t="shared" si="79"/>
        <v>12.066599999999999</v>
      </c>
      <c r="H533" s="200">
        <v>11.8809</v>
      </c>
      <c r="I533" s="200">
        <f t="shared" si="80"/>
        <v>0.18569999999999887</v>
      </c>
      <c r="J533" s="200">
        <f t="shared" si="81"/>
        <v>1.8500000000001127E-2</v>
      </c>
      <c r="K533" s="270">
        <f t="shared" si="82"/>
        <v>9.0597453476988878</v>
      </c>
      <c r="L533" s="200">
        <v>2</v>
      </c>
      <c r="M533" s="204">
        <v>43174</v>
      </c>
      <c r="N533" s="204">
        <v>43174</v>
      </c>
      <c r="O533" s="200" t="s">
        <v>2540</v>
      </c>
      <c r="P533" s="200" t="s">
        <v>2539</v>
      </c>
      <c r="AB533" s="110"/>
      <c r="AC533" s="110"/>
      <c r="AD533" s="110"/>
      <c r="AE533" s="110"/>
    </row>
    <row r="534" spans="1:31">
      <c r="A534" s="196" t="s">
        <v>868</v>
      </c>
      <c r="C534" s="197">
        <v>179</v>
      </c>
      <c r="D534" s="196">
        <v>1.4451000000000001</v>
      </c>
      <c r="E534" s="201">
        <v>8.3543000000000003</v>
      </c>
      <c r="F534" s="201">
        <v>0.2059</v>
      </c>
      <c r="G534" s="200">
        <f t="shared" si="79"/>
        <v>8.5602</v>
      </c>
      <c r="H534" s="200">
        <v>8.3583999999999996</v>
      </c>
      <c r="I534" s="200">
        <f t="shared" si="80"/>
        <v>0.20180000000000042</v>
      </c>
      <c r="J534" s="200">
        <f t="shared" si="81"/>
        <v>4.0999999999995762E-3</v>
      </c>
      <c r="K534" s="270">
        <f t="shared" si="82"/>
        <v>1.9912578921804642</v>
      </c>
      <c r="L534" s="200">
        <v>25</v>
      </c>
      <c r="M534" s="203">
        <v>43221</v>
      </c>
      <c r="N534" s="203">
        <v>43221</v>
      </c>
      <c r="AB534" s="110"/>
      <c r="AC534" s="110"/>
      <c r="AD534" s="110"/>
      <c r="AE534" s="110"/>
    </row>
    <row r="535" spans="1:31">
      <c r="A535" s="205" t="s">
        <v>867</v>
      </c>
      <c r="C535" s="200">
        <v>18</v>
      </c>
      <c r="D535" s="200">
        <v>1.3428</v>
      </c>
      <c r="E535" s="200">
        <v>8.0643999999999991</v>
      </c>
      <c r="F535" s="201">
        <v>0.20930000000000001</v>
      </c>
      <c r="G535" s="200">
        <f t="shared" si="79"/>
        <v>8.2736999999999998</v>
      </c>
      <c r="H535" s="200">
        <v>8.0740999999999996</v>
      </c>
      <c r="I535" s="200">
        <f t="shared" si="80"/>
        <v>0.19960000000000022</v>
      </c>
      <c r="J535" s="200">
        <f t="shared" si="81"/>
        <v>9.6999999999997921E-3</v>
      </c>
      <c r="K535" s="270">
        <f t="shared" si="82"/>
        <v>4.6344959388436653</v>
      </c>
      <c r="L535" s="200">
        <v>7</v>
      </c>
      <c r="M535" s="204">
        <v>43187</v>
      </c>
      <c r="N535" s="204">
        <v>43187</v>
      </c>
      <c r="O535" s="200"/>
      <c r="P535" s="200"/>
      <c r="AB535" s="110"/>
      <c r="AC535" s="110"/>
      <c r="AD535" s="110"/>
      <c r="AE535" s="110"/>
    </row>
    <row r="536" spans="1:31">
      <c r="A536" s="196" t="s">
        <v>863</v>
      </c>
      <c r="P536" s="196" t="s">
        <v>3215</v>
      </c>
    </row>
    <row r="537" spans="1:31">
      <c r="A537" s="196" t="s">
        <v>862</v>
      </c>
      <c r="C537" s="197">
        <v>25</v>
      </c>
      <c r="D537" s="196">
        <v>1.4685999999999999</v>
      </c>
      <c r="E537" s="201">
        <v>8.76</v>
      </c>
      <c r="F537" s="201">
        <v>0.20710000000000001</v>
      </c>
      <c r="G537" s="200">
        <f t="shared" ref="G537:G568" si="83">E537+F537</f>
        <v>8.9671000000000003</v>
      </c>
      <c r="H537" s="200">
        <v>8.7655999999999992</v>
      </c>
      <c r="I537" s="200">
        <f>(G537-H537)</f>
        <v>0.20150000000000112</v>
      </c>
      <c r="J537" s="200">
        <f t="shared" ref="J537:J568" si="84">F537-I537</f>
        <v>5.5999999999988836E-3</v>
      </c>
      <c r="K537" s="270">
        <f t="shared" ref="K537:K568" si="85">(J537/F537)*100</f>
        <v>2.7040077257358202</v>
      </c>
      <c r="L537" s="200">
        <v>19</v>
      </c>
      <c r="AB537" s="110"/>
      <c r="AC537" s="110"/>
      <c r="AD537" s="110"/>
      <c r="AE537" s="110"/>
    </row>
    <row r="538" spans="1:31">
      <c r="A538" s="196" t="s">
        <v>1113</v>
      </c>
      <c r="C538" s="196">
        <v>49</v>
      </c>
      <c r="D538" s="196">
        <v>1.3523000000000001</v>
      </c>
      <c r="E538" s="196">
        <v>10.5213</v>
      </c>
      <c r="F538" s="201">
        <v>0.20150000000000001</v>
      </c>
      <c r="G538" s="200">
        <f t="shared" si="83"/>
        <v>10.722799999999999</v>
      </c>
      <c r="H538" s="200">
        <v>10.544600000000001</v>
      </c>
      <c r="I538" s="200">
        <f>(G538-H538)</f>
        <v>0.17819999999999858</v>
      </c>
      <c r="J538" s="200">
        <f t="shared" si="84"/>
        <v>2.3300000000001431E-2</v>
      </c>
      <c r="K538" s="270">
        <f t="shared" si="85"/>
        <v>11.563275434243886</v>
      </c>
      <c r="L538" s="200">
        <v>4</v>
      </c>
      <c r="R538" s="196">
        <v>6</v>
      </c>
      <c r="S538" s="196">
        <v>0.6008</v>
      </c>
      <c r="U538" s="201" t="s">
        <v>1068</v>
      </c>
      <c r="V538" s="196">
        <v>1.8647</v>
      </c>
      <c r="W538" s="196">
        <f>(V538-$T$175+F536)</f>
        <v>1.8647</v>
      </c>
      <c r="AB538" s="110"/>
      <c r="AC538" s="110"/>
      <c r="AD538" s="110"/>
      <c r="AE538" s="110"/>
    </row>
    <row r="539" spans="1:31">
      <c r="A539" s="205" t="s">
        <v>859</v>
      </c>
      <c r="C539" s="196">
        <v>14</v>
      </c>
      <c r="D539" s="201">
        <v>1.3209</v>
      </c>
      <c r="E539" s="201">
        <v>9.5193999999999992</v>
      </c>
      <c r="F539" s="201">
        <v>0.20319999999999999</v>
      </c>
      <c r="G539" s="200">
        <f t="shared" si="83"/>
        <v>9.7225999999999999</v>
      </c>
      <c r="H539" s="200">
        <v>9.5252999999999997</v>
      </c>
      <c r="I539" s="200">
        <f>(G539-H539)</f>
        <v>0.19730000000000025</v>
      </c>
      <c r="J539" s="200">
        <f t="shared" si="84"/>
        <v>5.8999999999997388E-3</v>
      </c>
      <c r="K539" s="270">
        <f t="shared" si="85"/>
        <v>2.903543307086486</v>
      </c>
      <c r="L539" s="200">
        <v>24</v>
      </c>
      <c r="M539" s="204">
        <v>43199</v>
      </c>
      <c r="N539" s="204">
        <v>43199</v>
      </c>
      <c r="O539" s="200"/>
      <c r="P539" s="200"/>
      <c r="AB539" s="110"/>
      <c r="AC539" s="110"/>
      <c r="AD539" s="110"/>
      <c r="AE539" s="110"/>
    </row>
    <row r="540" spans="1:31">
      <c r="A540" s="196" t="s">
        <v>856</v>
      </c>
      <c r="C540" s="197">
        <v>162</v>
      </c>
      <c r="D540" s="196">
        <v>1.4475</v>
      </c>
      <c r="E540" s="200">
        <v>9.1560000000000006</v>
      </c>
      <c r="F540" s="201">
        <v>0.20630000000000001</v>
      </c>
      <c r="G540" s="200">
        <f t="shared" si="83"/>
        <v>9.3623000000000012</v>
      </c>
      <c r="H540" s="200">
        <v>9.1598000000000006</v>
      </c>
      <c r="I540" s="200">
        <f>(G540-H540)</f>
        <v>0.20250000000000057</v>
      </c>
      <c r="J540" s="200">
        <f t="shared" si="84"/>
        <v>3.7999999999994427E-3</v>
      </c>
      <c r="K540" s="270">
        <f t="shared" si="85"/>
        <v>1.8419777023749115</v>
      </c>
      <c r="L540" s="200">
        <v>16</v>
      </c>
      <c r="M540" s="203">
        <v>43212</v>
      </c>
      <c r="AB540" s="110"/>
      <c r="AC540" s="110"/>
      <c r="AD540" s="110"/>
      <c r="AE540" s="110"/>
    </row>
    <row r="541" spans="1:31">
      <c r="A541" s="196" t="s">
        <v>854</v>
      </c>
      <c r="C541" s="197">
        <v>166</v>
      </c>
      <c r="D541" s="196">
        <v>1.4665999999999999</v>
      </c>
      <c r="E541" s="201">
        <v>9.2353000000000005</v>
      </c>
      <c r="F541" s="201">
        <v>0.20380000000000001</v>
      </c>
      <c r="G541" s="200">
        <f t="shared" si="83"/>
        <v>9.4390999999999998</v>
      </c>
      <c r="H541" s="200">
        <v>9.2392000000000003</v>
      </c>
      <c r="I541" s="200">
        <f>(G541-H541)</f>
        <v>0.19989999999999952</v>
      </c>
      <c r="J541" s="200">
        <f t="shared" si="84"/>
        <v>3.9000000000004864E-3</v>
      </c>
      <c r="K541" s="270">
        <f t="shared" si="85"/>
        <v>1.9136408243378245</v>
      </c>
      <c r="L541" s="200">
        <v>8</v>
      </c>
      <c r="AB541" s="110"/>
      <c r="AC541" s="110"/>
      <c r="AD541" s="110"/>
      <c r="AE541" s="110"/>
    </row>
    <row r="542" spans="1:31">
      <c r="A542" t="s">
        <v>853</v>
      </c>
      <c r="C542"/>
      <c r="D542">
        <v>1.3492999999999999</v>
      </c>
      <c r="E542">
        <v>9.7273999999999994</v>
      </c>
      <c r="F542">
        <v>0.2094</v>
      </c>
      <c r="G542">
        <f t="shared" si="83"/>
        <v>9.9367999999999999</v>
      </c>
      <c r="H542">
        <v>9.7360000000000007</v>
      </c>
      <c r="I542" s="274">
        <f>G542-H542</f>
        <v>0.2007999999999992</v>
      </c>
      <c r="J542" s="273">
        <f t="shared" si="84"/>
        <v>8.6000000000008014E-3</v>
      </c>
      <c r="K542" s="275">
        <f t="shared" si="85"/>
        <v>4.106972301815091</v>
      </c>
      <c r="L542">
        <v>18</v>
      </c>
      <c r="M542" s="16">
        <v>43399</v>
      </c>
      <c r="N542" s="16">
        <v>43400</v>
      </c>
      <c r="O542"/>
      <c r="P542" t="s">
        <v>3234</v>
      </c>
    </row>
    <row r="543" spans="1:31">
      <c r="A543" s="205" t="s">
        <v>852</v>
      </c>
      <c r="C543" s="196">
        <v>194</v>
      </c>
      <c r="D543" s="200">
        <v>1.2582</v>
      </c>
      <c r="E543" s="201">
        <v>9.5543999999999993</v>
      </c>
      <c r="F543" s="201">
        <v>0.20749999999999999</v>
      </c>
      <c r="G543" s="200">
        <f t="shared" si="83"/>
        <v>9.7618999999999989</v>
      </c>
      <c r="H543" s="200">
        <v>9.5617000000000001</v>
      </c>
      <c r="I543" s="200">
        <f t="shared" ref="I543:I574" si="86">(G543-H543)</f>
        <v>0.20019999999999882</v>
      </c>
      <c r="J543" s="200">
        <f t="shared" si="84"/>
        <v>7.3000000000011667E-3</v>
      </c>
      <c r="K543" s="270">
        <f t="shared" si="85"/>
        <v>3.5180722891571889</v>
      </c>
      <c r="L543" s="200">
        <v>21</v>
      </c>
      <c r="M543" s="206">
        <v>43186.458333333336</v>
      </c>
      <c r="N543" s="206">
        <v>43186.625</v>
      </c>
      <c r="O543" s="196" t="s">
        <v>2534</v>
      </c>
      <c r="P543" s="200"/>
      <c r="AB543" s="110"/>
      <c r="AC543" s="110"/>
      <c r="AD543" s="110"/>
      <c r="AE543" s="110"/>
    </row>
    <row r="544" spans="1:31">
      <c r="A544" s="200" t="s">
        <v>1112</v>
      </c>
      <c r="C544" s="200">
        <v>51</v>
      </c>
      <c r="D544" s="201">
        <v>1.2412000000000001</v>
      </c>
      <c r="E544" s="200">
        <v>10.509600000000001</v>
      </c>
      <c r="F544" s="201">
        <v>0.2009</v>
      </c>
      <c r="G544" s="200">
        <f t="shared" si="83"/>
        <v>10.710500000000001</v>
      </c>
      <c r="H544" s="200">
        <v>10.517300000000001</v>
      </c>
      <c r="I544" s="200">
        <f t="shared" si="86"/>
        <v>0.19320000000000093</v>
      </c>
      <c r="J544" s="200">
        <f t="shared" si="84"/>
        <v>7.6999999999990687E-3</v>
      </c>
      <c r="K544" s="270">
        <f t="shared" si="85"/>
        <v>3.8327526132399545</v>
      </c>
      <c r="L544" s="200">
        <v>21</v>
      </c>
      <c r="M544" s="200"/>
      <c r="N544" s="200"/>
      <c r="O544" s="200"/>
      <c r="P544" s="200" t="s">
        <v>2541</v>
      </c>
      <c r="R544" s="196">
        <v>7</v>
      </c>
      <c r="S544" s="196">
        <v>0.61399999999999999</v>
      </c>
      <c r="U544" s="201" t="s">
        <v>1503</v>
      </c>
      <c r="V544" s="196">
        <v>1.2385999999999999</v>
      </c>
      <c r="W544" s="196">
        <f>(V544-$T$175+F542)</f>
        <v>1.448</v>
      </c>
      <c r="AB544" s="110"/>
      <c r="AC544" s="110"/>
      <c r="AD544" s="110"/>
      <c r="AE544" s="110"/>
    </row>
    <row r="545" spans="1:31">
      <c r="A545" s="200" t="s">
        <v>851</v>
      </c>
      <c r="C545" s="196">
        <v>183</v>
      </c>
      <c r="D545" s="200">
        <v>1.4666999999999999</v>
      </c>
      <c r="E545" s="201">
        <v>9.0211000000000006</v>
      </c>
      <c r="F545" s="201">
        <v>0.20080000000000001</v>
      </c>
      <c r="G545" s="200">
        <f t="shared" si="83"/>
        <v>9.2218999999999998</v>
      </c>
      <c r="H545" s="200">
        <v>9.0264000000000006</v>
      </c>
      <c r="I545" s="200">
        <f t="shared" si="86"/>
        <v>0.19549999999999912</v>
      </c>
      <c r="J545" s="200">
        <f t="shared" si="84"/>
        <v>5.3000000000008873E-3</v>
      </c>
      <c r="K545" s="270">
        <f t="shared" si="85"/>
        <v>2.639442231076139</v>
      </c>
      <c r="L545" s="200">
        <v>11</v>
      </c>
      <c r="M545" s="206">
        <v>43186.458333333336</v>
      </c>
      <c r="N545" s="206">
        <v>43186.625</v>
      </c>
      <c r="O545" s="196" t="s">
        <v>2534</v>
      </c>
      <c r="P545" s="200"/>
      <c r="AB545" s="110"/>
      <c r="AC545" s="110"/>
      <c r="AD545" s="110"/>
      <c r="AE545" s="110"/>
    </row>
    <row r="546" spans="1:31">
      <c r="A546" s="196" t="s">
        <v>850</v>
      </c>
      <c r="C546" s="196">
        <v>181</v>
      </c>
      <c r="D546" s="196">
        <v>1.4736</v>
      </c>
      <c r="E546" s="200">
        <v>7.8385999999999996</v>
      </c>
      <c r="F546" s="201">
        <v>0.20610000000000001</v>
      </c>
      <c r="G546" s="200">
        <f t="shared" si="83"/>
        <v>8.0446999999999989</v>
      </c>
      <c r="H546" s="200">
        <v>7.843</v>
      </c>
      <c r="I546" s="200">
        <f t="shared" si="86"/>
        <v>0.20169999999999888</v>
      </c>
      <c r="J546" s="200">
        <f t="shared" si="84"/>
        <v>4.4000000000011252E-3</v>
      </c>
      <c r="K546" s="270">
        <f t="shared" si="85"/>
        <v>2.1348859776812832</v>
      </c>
      <c r="L546" s="200">
        <v>5</v>
      </c>
      <c r="M546" s="203">
        <v>43212</v>
      </c>
      <c r="AB546" s="110"/>
      <c r="AC546" s="110"/>
      <c r="AD546" s="110"/>
      <c r="AE546" s="110"/>
    </row>
    <row r="547" spans="1:31">
      <c r="A547" s="200" t="s">
        <v>848</v>
      </c>
      <c r="C547" s="200">
        <v>81</v>
      </c>
      <c r="D547" s="201">
        <v>1.4906999999999999</v>
      </c>
      <c r="E547" s="201">
        <v>10.155799999999999</v>
      </c>
      <c r="F547" s="201">
        <v>0.2044</v>
      </c>
      <c r="G547" s="200">
        <f t="shared" si="83"/>
        <v>10.360199999999999</v>
      </c>
      <c r="H547" s="200">
        <v>10.1601</v>
      </c>
      <c r="I547" s="200">
        <f t="shared" si="86"/>
        <v>0.20009999999999906</v>
      </c>
      <c r="J547" s="200">
        <f t="shared" si="84"/>
        <v>4.300000000000942E-3</v>
      </c>
      <c r="K547" s="270">
        <f t="shared" si="85"/>
        <v>2.1037181996090717</v>
      </c>
      <c r="L547" s="200">
        <v>29</v>
      </c>
      <c r="M547" s="202">
        <v>43181.645833333336</v>
      </c>
      <c r="N547" s="202">
        <v>43181.833333333336</v>
      </c>
      <c r="O547" s="200" t="s">
        <v>2540</v>
      </c>
      <c r="AB547" s="110"/>
      <c r="AC547" s="110"/>
      <c r="AD547" s="110"/>
      <c r="AE547" s="110"/>
    </row>
    <row r="548" spans="1:31">
      <c r="A548" s="196" t="s">
        <v>845</v>
      </c>
      <c r="C548" s="197">
        <v>30</v>
      </c>
      <c r="D548" s="196">
        <v>1.1567000000000001</v>
      </c>
      <c r="E548" s="200">
        <v>8.0884</v>
      </c>
      <c r="F548" s="201">
        <v>0.20610000000000001</v>
      </c>
      <c r="G548" s="200">
        <f t="shared" si="83"/>
        <v>8.2944999999999993</v>
      </c>
      <c r="H548" s="200">
        <v>8.0965000000000007</v>
      </c>
      <c r="I548" s="200">
        <f t="shared" si="86"/>
        <v>0.19799999999999862</v>
      </c>
      <c r="J548" s="200">
        <f t="shared" si="84"/>
        <v>8.1000000000013839E-3</v>
      </c>
      <c r="K548" s="270">
        <f t="shared" si="85"/>
        <v>3.9301310043674835</v>
      </c>
      <c r="L548" s="200">
        <v>16</v>
      </c>
      <c r="M548" s="203">
        <v>43213</v>
      </c>
      <c r="N548" s="203">
        <v>43213</v>
      </c>
      <c r="AB548" s="110"/>
      <c r="AC548" s="110"/>
      <c r="AD548" s="110"/>
      <c r="AE548" s="110"/>
    </row>
    <row r="549" spans="1:31">
      <c r="A549" s="196" t="s">
        <v>1138</v>
      </c>
      <c r="C549" s="196">
        <v>13</v>
      </c>
      <c r="D549" s="200">
        <v>1.2828999999999999</v>
      </c>
      <c r="E549" s="201">
        <v>7.3541999999999996</v>
      </c>
      <c r="F549" s="201">
        <v>0.20280000000000001</v>
      </c>
      <c r="G549" s="200">
        <f t="shared" si="83"/>
        <v>7.5569999999999995</v>
      </c>
      <c r="H549" s="200">
        <v>7.3602999999999996</v>
      </c>
      <c r="I549" s="200">
        <f t="shared" si="86"/>
        <v>0.19669999999999987</v>
      </c>
      <c r="J549" s="200">
        <f t="shared" si="84"/>
        <v>6.1000000000001331E-3</v>
      </c>
      <c r="K549" s="270">
        <f t="shared" si="85"/>
        <v>3.0078895463511506</v>
      </c>
      <c r="L549" s="200">
        <v>23</v>
      </c>
      <c r="M549" s="203">
        <v>43213</v>
      </c>
      <c r="N549" s="203">
        <v>43213</v>
      </c>
      <c r="AB549" s="110"/>
      <c r="AC549" s="110"/>
      <c r="AD549" s="110"/>
      <c r="AE549" s="110"/>
    </row>
    <row r="550" spans="1:31">
      <c r="A550" s="200" t="s">
        <v>1111</v>
      </c>
      <c r="C550" s="200">
        <v>157</v>
      </c>
      <c r="D550" s="200">
        <v>1.5705</v>
      </c>
      <c r="E550" s="201">
        <v>7.4748000000000001</v>
      </c>
      <c r="F550" s="201">
        <v>0.20549999999999999</v>
      </c>
      <c r="G550" s="200">
        <f t="shared" si="83"/>
        <v>7.6802999999999999</v>
      </c>
      <c r="H550" s="200">
        <v>7.4926000000000004</v>
      </c>
      <c r="I550" s="200">
        <f t="shared" si="86"/>
        <v>0.18769999999999953</v>
      </c>
      <c r="J550" s="200">
        <f t="shared" si="84"/>
        <v>1.7800000000000454E-2</v>
      </c>
      <c r="K550" s="270">
        <f t="shared" si="85"/>
        <v>8.6618004866182261</v>
      </c>
      <c r="L550" s="200">
        <v>27</v>
      </c>
      <c r="M550" s="206">
        <v>43185.385416666664</v>
      </c>
      <c r="N550" s="200"/>
      <c r="O550" s="200" t="s">
        <v>2540</v>
      </c>
      <c r="P550" s="200"/>
      <c r="AB550" s="110"/>
      <c r="AC550" s="110"/>
      <c r="AD550" s="110"/>
      <c r="AE550" s="110"/>
    </row>
    <row r="551" spans="1:31">
      <c r="A551" s="196" t="s">
        <v>840</v>
      </c>
      <c r="C551" s="197">
        <v>180</v>
      </c>
      <c r="D551" s="196">
        <v>1.4709000000000001</v>
      </c>
      <c r="E551" s="201">
        <v>10.510300000000001</v>
      </c>
      <c r="F551" s="201">
        <v>0.1996</v>
      </c>
      <c r="G551" s="200">
        <f t="shared" si="83"/>
        <v>10.709900000000001</v>
      </c>
      <c r="H551" s="200">
        <v>10.514099999999999</v>
      </c>
      <c r="I551" s="200">
        <f t="shared" si="86"/>
        <v>0.19580000000000197</v>
      </c>
      <c r="J551" s="200">
        <f t="shared" si="84"/>
        <v>3.7999999999980272E-3</v>
      </c>
      <c r="K551" s="270">
        <f t="shared" si="85"/>
        <v>1.9038076152294727</v>
      </c>
      <c r="L551" s="200">
        <v>40</v>
      </c>
      <c r="M551" s="203">
        <v>43221</v>
      </c>
      <c r="N551" s="203">
        <v>43221</v>
      </c>
      <c r="AB551" s="110"/>
      <c r="AC551" s="110"/>
      <c r="AD551" s="110"/>
      <c r="AE551" s="110"/>
    </row>
    <row r="552" spans="1:31">
      <c r="A552" s="200" t="s">
        <v>839</v>
      </c>
      <c r="C552" s="200">
        <v>217</v>
      </c>
      <c r="D552" s="200">
        <v>1.1337999999999999</v>
      </c>
      <c r="E552" s="200">
        <v>9.7261000000000006</v>
      </c>
      <c r="F552" s="201">
        <v>0.2029</v>
      </c>
      <c r="G552" s="200">
        <f t="shared" si="83"/>
        <v>9.9290000000000003</v>
      </c>
      <c r="H552" s="200">
        <v>9.7372999999999994</v>
      </c>
      <c r="I552" s="200">
        <f t="shared" si="86"/>
        <v>0.19170000000000087</v>
      </c>
      <c r="J552" s="200">
        <f t="shared" si="84"/>
        <v>1.1199999999999127E-2</v>
      </c>
      <c r="K552" s="270">
        <f t="shared" si="85"/>
        <v>5.5199605717097722</v>
      </c>
      <c r="L552" s="200">
        <v>4</v>
      </c>
      <c r="M552" s="204">
        <v>43211</v>
      </c>
      <c r="N552" s="200"/>
      <c r="O552" s="200"/>
      <c r="P552" s="200" t="s">
        <v>2537</v>
      </c>
      <c r="AB552" s="110"/>
      <c r="AC552" s="110"/>
      <c r="AD552" s="110"/>
      <c r="AE552" s="110"/>
    </row>
    <row r="553" spans="1:31">
      <c r="A553" s="196" t="s">
        <v>838</v>
      </c>
      <c r="C553" s="197">
        <v>200</v>
      </c>
      <c r="D553" s="196">
        <v>1.363</v>
      </c>
      <c r="E553" s="201">
        <v>11.7463</v>
      </c>
      <c r="F553" s="201">
        <v>0.20039999999999999</v>
      </c>
      <c r="G553" s="200">
        <f t="shared" si="83"/>
        <v>11.9467</v>
      </c>
      <c r="H553" s="200">
        <v>11.7552</v>
      </c>
      <c r="I553" s="200">
        <f t="shared" si="86"/>
        <v>0.19149999999999956</v>
      </c>
      <c r="J553" s="200">
        <f t="shared" si="84"/>
        <v>8.9000000000004353E-3</v>
      </c>
      <c r="K553" s="270">
        <f t="shared" si="85"/>
        <v>4.4411177644712749</v>
      </c>
      <c r="L553" s="200">
        <v>26</v>
      </c>
      <c r="AB553" s="110"/>
      <c r="AC553" s="110"/>
      <c r="AD553" s="110"/>
      <c r="AE553" s="110"/>
    </row>
    <row r="554" spans="1:31">
      <c r="A554" s="205" t="s">
        <v>834</v>
      </c>
      <c r="C554" s="200">
        <v>174</v>
      </c>
      <c r="D554" s="200">
        <v>1.4733000000000001</v>
      </c>
      <c r="E554" s="201">
        <v>7.9611000000000001</v>
      </c>
      <c r="F554" s="201">
        <v>0.20150000000000001</v>
      </c>
      <c r="G554" s="200">
        <f t="shared" si="83"/>
        <v>8.1625999999999994</v>
      </c>
      <c r="H554" s="200">
        <v>7.9642999999999997</v>
      </c>
      <c r="I554" s="200">
        <f t="shared" si="86"/>
        <v>0.1982999999999997</v>
      </c>
      <c r="J554" s="200">
        <f t="shared" si="84"/>
        <v>3.2000000000003137E-3</v>
      </c>
      <c r="K554" s="270">
        <f t="shared" si="85"/>
        <v>1.5880893300249692</v>
      </c>
      <c r="L554" s="200">
        <v>8</v>
      </c>
      <c r="M554" s="206">
        <v>43186.458333333336</v>
      </c>
      <c r="N554" s="206">
        <v>43186.625</v>
      </c>
      <c r="O554" s="196" t="s">
        <v>2534</v>
      </c>
      <c r="P554" s="200"/>
      <c r="AB554" s="110"/>
      <c r="AC554" s="110"/>
      <c r="AD554" s="110"/>
      <c r="AE554" s="110"/>
    </row>
    <row r="555" spans="1:31">
      <c r="A555" s="200" t="s">
        <v>832</v>
      </c>
      <c r="C555" s="200">
        <v>178</v>
      </c>
      <c r="D555" s="196">
        <v>1.4516</v>
      </c>
      <c r="E555" s="196">
        <v>8.7627000000000006</v>
      </c>
      <c r="F555" s="196">
        <v>0.2054</v>
      </c>
      <c r="G555" s="196">
        <f t="shared" si="83"/>
        <v>8.9680999999999997</v>
      </c>
      <c r="H555" s="196">
        <v>8.7645</v>
      </c>
      <c r="I555" s="196">
        <f t="shared" si="86"/>
        <v>0.20359999999999978</v>
      </c>
      <c r="J555" s="200">
        <f t="shared" si="84"/>
        <v>1.8000000000002181E-3</v>
      </c>
      <c r="K555" s="270">
        <f t="shared" si="85"/>
        <v>0.87633885102250153</v>
      </c>
      <c r="L555" s="196">
        <v>15</v>
      </c>
      <c r="M555" s="206">
        <v>43160.520833333336</v>
      </c>
      <c r="N555" s="206">
        <v>43160.6875</v>
      </c>
      <c r="O555" s="196" t="s">
        <v>2534</v>
      </c>
      <c r="AB555" s="110"/>
      <c r="AC555" s="110"/>
      <c r="AD555" s="110"/>
      <c r="AE555" s="110"/>
    </row>
    <row r="556" spans="1:31">
      <c r="A556" s="196" t="s">
        <v>1110</v>
      </c>
      <c r="C556" s="196">
        <v>58</v>
      </c>
      <c r="D556" s="196">
        <v>0.96730000000000005</v>
      </c>
      <c r="E556" s="196">
        <v>9.3140999999999998</v>
      </c>
      <c r="F556" s="196">
        <v>0.19950000000000001</v>
      </c>
      <c r="G556" s="196">
        <f t="shared" si="83"/>
        <v>9.5136000000000003</v>
      </c>
      <c r="H556" s="196">
        <v>9.3429000000000002</v>
      </c>
      <c r="I556" s="196">
        <f t="shared" si="86"/>
        <v>0.17070000000000007</v>
      </c>
      <c r="J556" s="200">
        <f t="shared" si="84"/>
        <v>2.8799999999999937E-2</v>
      </c>
      <c r="K556" s="270">
        <f t="shared" si="85"/>
        <v>14.436090225563877</v>
      </c>
      <c r="L556" s="196">
        <v>37</v>
      </c>
      <c r="M556" s="196" t="s">
        <v>2570</v>
      </c>
      <c r="N556" s="196" t="s">
        <v>2569</v>
      </c>
      <c r="O556" s="196" t="s">
        <v>2534</v>
      </c>
      <c r="U556" s="201" t="s">
        <v>1148</v>
      </c>
      <c r="V556" s="196">
        <v>1.0179</v>
      </c>
      <c r="W556" s="196">
        <f>(V556-$T$175+F554)</f>
        <v>1.2194</v>
      </c>
      <c r="AB556" s="110"/>
      <c r="AC556" s="110"/>
      <c r="AD556" s="110"/>
      <c r="AE556" s="110"/>
    </row>
    <row r="557" spans="1:31">
      <c r="A557" s="196" t="s">
        <v>830</v>
      </c>
      <c r="C557" s="196">
        <v>75</v>
      </c>
      <c r="D557" s="196">
        <v>1.4560999999999999</v>
      </c>
      <c r="E557" s="201">
        <v>11.904</v>
      </c>
      <c r="F557" s="201">
        <v>0.2036</v>
      </c>
      <c r="G557" s="200">
        <f t="shared" si="83"/>
        <v>12.1076</v>
      </c>
      <c r="H557" s="200">
        <v>11.911199999999999</v>
      </c>
      <c r="I557" s="200">
        <f t="shared" si="86"/>
        <v>0.19640000000000057</v>
      </c>
      <c r="J557" s="200">
        <f t="shared" si="84"/>
        <v>7.1999999999994291E-3</v>
      </c>
      <c r="K557" s="270">
        <f t="shared" si="85"/>
        <v>3.5363457760311539</v>
      </c>
      <c r="L557" s="200">
        <v>19</v>
      </c>
      <c r="M557" s="203">
        <v>43221</v>
      </c>
      <c r="N557" s="203">
        <v>43221</v>
      </c>
      <c r="P557" s="196" t="s">
        <v>2141</v>
      </c>
      <c r="AB557" s="110"/>
      <c r="AC557" s="110"/>
      <c r="AD557" s="110"/>
      <c r="AE557" s="110"/>
    </row>
    <row r="558" spans="1:31">
      <c r="A558" s="196" t="s">
        <v>829</v>
      </c>
      <c r="C558" s="196">
        <v>52</v>
      </c>
      <c r="D558" s="196">
        <v>1.2791999999999999</v>
      </c>
      <c r="E558" s="196">
        <v>10.855700000000001</v>
      </c>
      <c r="F558" s="196">
        <v>0.2097</v>
      </c>
      <c r="G558" s="196">
        <f t="shared" si="83"/>
        <v>11.0654</v>
      </c>
      <c r="H558" s="196">
        <v>10.876300000000001</v>
      </c>
      <c r="I558" s="196">
        <f t="shared" si="86"/>
        <v>0.18909999999999982</v>
      </c>
      <c r="J558" s="200">
        <f t="shared" si="84"/>
        <v>2.0600000000000174E-2</v>
      </c>
      <c r="K558" s="270">
        <f t="shared" si="85"/>
        <v>9.8235574630425244</v>
      </c>
      <c r="L558" s="196">
        <v>32</v>
      </c>
      <c r="M558" s="196" t="s">
        <v>2570</v>
      </c>
      <c r="N558" s="196" t="s">
        <v>2569</v>
      </c>
      <c r="O558" s="196" t="s">
        <v>2534</v>
      </c>
      <c r="U558" s="201" t="s">
        <v>1447</v>
      </c>
      <c r="V558" s="196">
        <v>1.0246</v>
      </c>
      <c r="W558" s="196">
        <f>(V558-$T$175+F556)</f>
        <v>1.2241</v>
      </c>
      <c r="AB558" s="110"/>
      <c r="AC558" s="110"/>
      <c r="AD558" s="110"/>
      <c r="AE558" s="110"/>
    </row>
    <row r="559" spans="1:31">
      <c r="A559" s="200" t="s">
        <v>826</v>
      </c>
      <c r="C559" s="200">
        <v>85</v>
      </c>
      <c r="D559" s="200">
        <v>1.2338</v>
      </c>
      <c r="E559" s="201">
        <v>9.7210999999999999</v>
      </c>
      <c r="F559" s="201">
        <v>0.20349999999999999</v>
      </c>
      <c r="G559" s="200">
        <f t="shared" si="83"/>
        <v>9.9245999999999999</v>
      </c>
      <c r="H559" s="200">
        <v>9.7422000000000004</v>
      </c>
      <c r="I559" s="200">
        <f t="shared" si="86"/>
        <v>0.18239999999999945</v>
      </c>
      <c r="J559" s="200">
        <f t="shared" si="84"/>
        <v>2.1100000000000535E-2</v>
      </c>
      <c r="K559" s="270">
        <f t="shared" si="85"/>
        <v>10.368550368550631</v>
      </c>
      <c r="L559" s="200">
        <v>41</v>
      </c>
      <c r="M559" s="206">
        <v>43186.458333333336</v>
      </c>
      <c r="N559" s="206">
        <v>43186.625</v>
      </c>
      <c r="O559" s="196" t="s">
        <v>2534</v>
      </c>
      <c r="P559" s="200"/>
      <c r="AB559" s="110"/>
      <c r="AC559" s="110"/>
      <c r="AD559" s="110"/>
      <c r="AE559" s="110"/>
    </row>
    <row r="560" spans="1:31">
      <c r="A560" s="205" t="s">
        <v>824</v>
      </c>
      <c r="C560" s="200">
        <v>164</v>
      </c>
      <c r="D560" s="200">
        <v>1.4870000000000001</v>
      </c>
      <c r="E560" s="200">
        <v>7.8597999999999999</v>
      </c>
      <c r="F560" s="201">
        <v>0.2006</v>
      </c>
      <c r="G560" s="200">
        <f t="shared" si="83"/>
        <v>8.0603999999999996</v>
      </c>
      <c r="H560" s="200">
        <v>7.8639999999999999</v>
      </c>
      <c r="I560" s="200">
        <f t="shared" si="86"/>
        <v>0.19639999999999969</v>
      </c>
      <c r="J560" s="200">
        <f t="shared" si="84"/>
        <v>4.2000000000003146E-3</v>
      </c>
      <c r="K560" s="270">
        <f t="shared" si="85"/>
        <v>2.0937188434697482</v>
      </c>
      <c r="L560" s="200">
        <v>25</v>
      </c>
      <c r="M560" s="204">
        <v>43187</v>
      </c>
      <c r="N560" s="204">
        <v>43187</v>
      </c>
      <c r="O560" s="200"/>
      <c r="P560" s="200"/>
      <c r="AB560" s="110"/>
      <c r="AC560" s="110"/>
      <c r="AD560" s="110"/>
      <c r="AE560" s="110"/>
    </row>
    <row r="561" spans="1:31">
      <c r="A561" s="196" t="s">
        <v>823</v>
      </c>
      <c r="C561" s="197">
        <v>96</v>
      </c>
      <c r="D561" s="196">
        <v>1.5516000000000001</v>
      </c>
      <c r="E561" s="196">
        <v>7.7140000000000004</v>
      </c>
      <c r="F561" s="201">
        <v>0.20130000000000001</v>
      </c>
      <c r="G561" s="200">
        <f t="shared" si="83"/>
        <v>7.9153000000000002</v>
      </c>
      <c r="H561" s="200">
        <v>7.7363999999999997</v>
      </c>
      <c r="I561" s="200">
        <f t="shared" si="86"/>
        <v>0.1789000000000005</v>
      </c>
      <c r="J561" s="200">
        <f t="shared" si="84"/>
        <v>2.2399999999999504E-2</v>
      </c>
      <c r="K561" s="270">
        <f t="shared" si="85"/>
        <v>11.127670144063339</v>
      </c>
      <c r="L561" s="200">
        <v>13</v>
      </c>
      <c r="AB561" s="110"/>
      <c r="AC561" s="110"/>
      <c r="AD561" s="110"/>
      <c r="AE561" s="110"/>
    </row>
    <row r="562" spans="1:31">
      <c r="A562" s="196" t="s">
        <v>822</v>
      </c>
      <c r="C562" s="197">
        <v>220</v>
      </c>
      <c r="D562" s="196">
        <v>1.3140000000000001</v>
      </c>
      <c r="E562" s="201">
        <v>9.0319000000000003</v>
      </c>
      <c r="F562" s="201">
        <v>0.2011</v>
      </c>
      <c r="G562" s="200">
        <f t="shared" si="83"/>
        <v>9.2330000000000005</v>
      </c>
      <c r="H562" s="200">
        <v>9.0419999999999998</v>
      </c>
      <c r="I562" s="200">
        <f t="shared" si="86"/>
        <v>0.19100000000000072</v>
      </c>
      <c r="J562" s="200">
        <f t="shared" si="84"/>
        <v>1.0099999999999276E-2</v>
      </c>
      <c r="K562" s="270">
        <f t="shared" si="85"/>
        <v>5.0223769269016794</v>
      </c>
      <c r="L562" s="200">
        <v>20</v>
      </c>
      <c r="AB562" s="110"/>
      <c r="AC562" s="110"/>
      <c r="AD562" s="110"/>
      <c r="AE562" s="110"/>
    </row>
    <row r="563" spans="1:31">
      <c r="A563" s="196" t="s">
        <v>1109</v>
      </c>
      <c r="C563" s="197">
        <v>179</v>
      </c>
      <c r="D563" s="196">
        <v>1.4331</v>
      </c>
      <c r="E563" s="201">
        <v>11.1722</v>
      </c>
      <c r="F563" s="201">
        <v>0.2056</v>
      </c>
      <c r="G563" s="200">
        <f t="shared" si="83"/>
        <v>11.377800000000001</v>
      </c>
      <c r="H563" s="200">
        <v>11.176</v>
      </c>
      <c r="I563" s="200">
        <f t="shared" si="86"/>
        <v>0.20180000000000042</v>
      </c>
      <c r="J563" s="200">
        <f t="shared" si="84"/>
        <v>3.7999999999995815E-3</v>
      </c>
      <c r="K563" s="270">
        <f t="shared" si="85"/>
        <v>1.8482490272371503</v>
      </c>
      <c r="L563" s="200">
        <v>7</v>
      </c>
      <c r="AB563" s="110"/>
      <c r="AC563" s="110"/>
      <c r="AD563" s="110"/>
      <c r="AE563" s="110"/>
    </row>
    <row r="564" spans="1:31">
      <c r="A564" s="205" t="s">
        <v>819</v>
      </c>
      <c r="C564" s="200">
        <v>168</v>
      </c>
      <c r="D564" s="200">
        <v>1.4461999999999999</v>
      </c>
      <c r="E564" s="201">
        <v>10.520200000000001</v>
      </c>
      <c r="F564" s="201">
        <v>0.20119999999999999</v>
      </c>
      <c r="G564" s="200">
        <f t="shared" si="83"/>
        <v>10.721400000000001</v>
      </c>
      <c r="H564" s="200">
        <v>10.5245</v>
      </c>
      <c r="I564" s="200">
        <f t="shared" si="86"/>
        <v>0.19690000000000119</v>
      </c>
      <c r="J564" s="200">
        <f t="shared" si="84"/>
        <v>4.2999999999988048E-3</v>
      </c>
      <c r="K564" s="270">
        <f t="shared" si="85"/>
        <v>2.1371769383691874</v>
      </c>
      <c r="L564" s="200">
        <v>10</v>
      </c>
      <c r="M564" s="206">
        <v>43185.385416666664</v>
      </c>
      <c r="N564" s="200"/>
      <c r="O564" s="200" t="s">
        <v>2540</v>
      </c>
      <c r="P564" s="200"/>
      <c r="AB564" s="110"/>
      <c r="AC564" s="110"/>
      <c r="AD564" s="110"/>
      <c r="AE564" s="110"/>
    </row>
    <row r="565" spans="1:31">
      <c r="A565" s="196" t="s">
        <v>818</v>
      </c>
      <c r="C565" s="197">
        <v>31</v>
      </c>
      <c r="D565" s="196">
        <v>1.2133</v>
      </c>
      <c r="E565" s="196">
        <v>11.443899999999999</v>
      </c>
      <c r="F565" s="201">
        <v>0.2064</v>
      </c>
      <c r="G565" s="200">
        <f t="shared" si="83"/>
        <v>11.6503</v>
      </c>
      <c r="H565" s="200">
        <v>11.485300000000001</v>
      </c>
      <c r="I565" s="200">
        <f t="shared" si="86"/>
        <v>0.16499999999999915</v>
      </c>
      <c r="J565" s="200">
        <f t="shared" si="84"/>
        <v>4.1400000000000853E-2</v>
      </c>
      <c r="K565" s="270">
        <f t="shared" si="85"/>
        <v>20.058139534884134</v>
      </c>
      <c r="L565" s="200">
        <v>23</v>
      </c>
      <c r="AB565" s="110"/>
      <c r="AC565" s="110"/>
      <c r="AD565" s="110"/>
      <c r="AE565" s="110"/>
    </row>
    <row r="566" spans="1:31">
      <c r="A566" s="201" t="s">
        <v>815</v>
      </c>
      <c r="C566" s="200">
        <v>176</v>
      </c>
      <c r="D566" s="200">
        <v>1.4487999999999999</v>
      </c>
      <c r="E566" s="200">
        <v>8.1203000000000003</v>
      </c>
      <c r="F566" s="200">
        <v>0.20899999999999999</v>
      </c>
      <c r="G566" s="200">
        <f t="shared" si="83"/>
        <v>8.3292999999999999</v>
      </c>
      <c r="H566" s="200">
        <v>8.1327999999999996</v>
      </c>
      <c r="I566" s="200">
        <f t="shared" si="86"/>
        <v>0.19650000000000034</v>
      </c>
      <c r="J566" s="200">
        <f t="shared" si="84"/>
        <v>1.249999999999965E-2</v>
      </c>
      <c r="K566" s="270">
        <f t="shared" si="85"/>
        <v>5.9808612440189712</v>
      </c>
      <c r="L566" s="200">
        <v>20</v>
      </c>
      <c r="M566" s="204">
        <v>43173</v>
      </c>
      <c r="N566" s="204">
        <v>43173</v>
      </c>
      <c r="O566" s="200" t="s">
        <v>2540</v>
      </c>
      <c r="P566" s="200" t="s">
        <v>2539</v>
      </c>
      <c r="AB566" s="110"/>
      <c r="AC566" s="110"/>
      <c r="AD566" s="110"/>
      <c r="AE566" s="110"/>
    </row>
    <row r="567" spans="1:31">
      <c r="A567" s="205" t="s">
        <v>813</v>
      </c>
      <c r="C567" s="200">
        <v>206</v>
      </c>
      <c r="D567" s="200">
        <v>1.3629</v>
      </c>
      <c r="E567" s="200">
        <v>8.0951000000000004</v>
      </c>
      <c r="F567" s="201">
        <v>0.2041</v>
      </c>
      <c r="G567" s="200">
        <f t="shared" si="83"/>
        <v>8.2992000000000008</v>
      </c>
      <c r="H567" s="200">
        <v>8.1071000000000009</v>
      </c>
      <c r="I567" s="200">
        <f t="shared" si="86"/>
        <v>0.19209999999999994</v>
      </c>
      <c r="J567" s="200">
        <f t="shared" si="84"/>
        <v>1.2000000000000066E-2</v>
      </c>
      <c r="K567" s="270">
        <f t="shared" si="85"/>
        <v>5.8794708476237458</v>
      </c>
      <c r="L567" s="200">
        <v>11</v>
      </c>
      <c r="M567" s="204">
        <v>43187</v>
      </c>
      <c r="N567" s="204">
        <v>43187</v>
      </c>
      <c r="O567" s="200"/>
      <c r="P567" s="200"/>
      <c r="AB567" s="110"/>
      <c r="AC567" s="110"/>
      <c r="AD567" s="110"/>
      <c r="AE567" s="110"/>
    </row>
    <row r="568" spans="1:31">
      <c r="A568" s="196" t="s">
        <v>812</v>
      </c>
      <c r="C568" s="196">
        <v>87</v>
      </c>
      <c r="D568" s="196">
        <v>1.4715</v>
      </c>
      <c r="E568" s="196">
        <v>21.069500000000001</v>
      </c>
      <c r="F568" s="196">
        <v>0.2029</v>
      </c>
      <c r="G568" s="196">
        <f t="shared" si="83"/>
        <v>21.272400000000001</v>
      </c>
      <c r="H568" s="196">
        <v>21.081199999999999</v>
      </c>
      <c r="I568" s="196">
        <f t="shared" si="86"/>
        <v>0.19120000000000203</v>
      </c>
      <c r="J568" s="200">
        <f t="shared" si="84"/>
        <v>1.1699999999997962E-2</v>
      </c>
      <c r="K568" s="270">
        <f t="shared" si="85"/>
        <v>5.7663873829462604</v>
      </c>
      <c r="L568" s="196">
        <v>14</v>
      </c>
      <c r="M568" s="196" t="s">
        <v>2564</v>
      </c>
      <c r="N568" s="196" t="s">
        <v>2563</v>
      </c>
      <c r="O568" s="196" t="s">
        <v>2540</v>
      </c>
      <c r="AB568" s="110"/>
      <c r="AC568" s="110"/>
      <c r="AD568" s="110"/>
      <c r="AE568" s="110"/>
    </row>
    <row r="569" spans="1:31">
      <c r="A569" s="196" t="s">
        <v>1108</v>
      </c>
      <c r="C569" s="196">
        <v>106</v>
      </c>
      <c r="D569" s="196">
        <v>1.3362000000000001</v>
      </c>
      <c r="E569" s="196">
        <v>7.7127999999999997</v>
      </c>
      <c r="F569" s="196">
        <v>0.2044</v>
      </c>
      <c r="G569" s="196">
        <f t="shared" ref="G569:G600" si="87">E569+F569</f>
        <v>7.9171999999999993</v>
      </c>
      <c r="H569" s="196">
        <v>7.7276999999999996</v>
      </c>
      <c r="I569" s="196">
        <f t="shared" si="86"/>
        <v>0.18949999999999978</v>
      </c>
      <c r="J569" s="200">
        <f t="shared" ref="J569:J600" si="88">F569-I569</f>
        <v>1.4900000000000219E-2</v>
      </c>
      <c r="K569" s="270">
        <f t="shared" ref="K569:K600" si="89">(J569/F569)*100</f>
        <v>7.2896281800392453</v>
      </c>
      <c r="L569" s="196">
        <v>3</v>
      </c>
      <c r="M569" s="196">
        <v>43157.395833333336</v>
      </c>
      <c r="N569" s="196">
        <v>43157.569444444445</v>
      </c>
      <c r="O569" s="196" t="s">
        <v>2534</v>
      </c>
      <c r="AB569" s="110"/>
      <c r="AC569" s="110"/>
      <c r="AD569" s="110"/>
      <c r="AE569" s="110"/>
    </row>
    <row r="570" spans="1:31">
      <c r="A570" s="200" t="s">
        <v>811</v>
      </c>
      <c r="C570" s="200">
        <v>170</v>
      </c>
      <c r="D570" s="200">
        <v>1.5392999999999999</v>
      </c>
      <c r="E570" s="200">
        <v>10.1532</v>
      </c>
      <c r="F570" s="201">
        <v>0.20330000000000001</v>
      </c>
      <c r="G570" s="200">
        <f t="shared" si="87"/>
        <v>10.3565</v>
      </c>
      <c r="H570" s="200">
        <v>10.1576</v>
      </c>
      <c r="I570" s="200">
        <f t="shared" si="86"/>
        <v>0.19890000000000008</v>
      </c>
      <c r="J570" s="200">
        <f t="shared" si="88"/>
        <v>4.3999999999999317E-3</v>
      </c>
      <c r="K570" s="270">
        <f t="shared" si="89"/>
        <v>2.1642892277422194</v>
      </c>
      <c r="L570" s="200">
        <v>2</v>
      </c>
      <c r="M570" s="204">
        <v>43187</v>
      </c>
      <c r="N570" s="204">
        <v>43187</v>
      </c>
      <c r="O570" s="200"/>
      <c r="P570" s="200"/>
      <c r="AB570" s="110"/>
      <c r="AC570" s="110"/>
      <c r="AD570" s="110"/>
      <c r="AE570" s="110"/>
    </row>
    <row r="571" spans="1:31">
      <c r="A571" s="196" t="s">
        <v>810</v>
      </c>
      <c r="C571" s="200">
        <v>165</v>
      </c>
      <c r="D571" s="200">
        <v>1.4888999999999999</v>
      </c>
      <c r="E571" s="200">
        <v>10.677</v>
      </c>
      <c r="F571" s="200">
        <v>0.2185</v>
      </c>
      <c r="G571" s="200">
        <f t="shared" si="87"/>
        <v>10.8955</v>
      </c>
      <c r="H571" s="200">
        <v>10.682600000000001</v>
      </c>
      <c r="I571" s="200">
        <f t="shared" si="86"/>
        <v>0.21289999999999942</v>
      </c>
      <c r="J571" s="200">
        <f t="shared" si="88"/>
        <v>5.6000000000005767E-3</v>
      </c>
      <c r="K571" s="270">
        <f t="shared" si="89"/>
        <v>2.562929061785161</v>
      </c>
      <c r="L571" s="200">
        <v>18</v>
      </c>
      <c r="M571" s="202">
        <v>43164.628472222219</v>
      </c>
      <c r="N571" s="202">
        <v>43164.795138888891</v>
      </c>
      <c r="O571" s="196" t="s">
        <v>2534</v>
      </c>
      <c r="P571"/>
      <c r="Q571"/>
      <c r="AB571" s="110"/>
      <c r="AC571" s="110"/>
      <c r="AD571" s="110"/>
      <c r="AE571" s="110"/>
    </row>
    <row r="572" spans="1:31">
      <c r="A572" s="196" t="s">
        <v>808</v>
      </c>
      <c r="C572" s="200">
        <v>65</v>
      </c>
      <c r="D572" s="200">
        <v>1.3767</v>
      </c>
      <c r="E572" s="201">
        <v>9.8209999999999997</v>
      </c>
      <c r="F572" s="201">
        <v>0.20030000000000001</v>
      </c>
      <c r="G572" s="200">
        <f t="shared" si="87"/>
        <v>10.0213</v>
      </c>
      <c r="H572" s="200">
        <v>9.8289000000000009</v>
      </c>
      <c r="I572" s="200">
        <f t="shared" si="86"/>
        <v>0.19239999999999924</v>
      </c>
      <c r="J572" s="200">
        <f t="shared" si="88"/>
        <v>7.9000000000007675E-3</v>
      </c>
      <c r="K572" s="270">
        <f t="shared" si="89"/>
        <v>3.9440838741890998</v>
      </c>
      <c r="L572" s="200">
        <v>1</v>
      </c>
      <c r="M572" s="204">
        <v>43199</v>
      </c>
      <c r="N572" s="204">
        <v>43199</v>
      </c>
      <c r="O572" s="200"/>
      <c r="P572" s="200" t="s">
        <v>2568</v>
      </c>
      <c r="AB572" s="110"/>
      <c r="AC572" s="110"/>
      <c r="AD572" s="110"/>
      <c r="AE572" s="110"/>
    </row>
    <row r="573" spans="1:31">
      <c r="A573" s="200" t="s">
        <v>807</v>
      </c>
      <c r="C573" s="180">
        <v>204</v>
      </c>
      <c r="D573" s="196">
        <v>1.3375999999999999</v>
      </c>
      <c r="E573" s="196">
        <v>7.0744999999999996</v>
      </c>
      <c r="F573" s="196">
        <v>0.20680000000000001</v>
      </c>
      <c r="G573" s="196">
        <f t="shared" si="87"/>
        <v>7.2812999999999999</v>
      </c>
      <c r="H573" s="196">
        <v>7.0857999999999999</v>
      </c>
      <c r="I573" s="196">
        <f t="shared" si="86"/>
        <v>0.19550000000000001</v>
      </c>
      <c r="J573" s="200">
        <f t="shared" si="88"/>
        <v>1.1300000000000004E-2</v>
      </c>
      <c r="K573" s="270">
        <f t="shared" si="89"/>
        <v>5.4642166344294019</v>
      </c>
      <c r="L573" s="196">
        <v>9</v>
      </c>
      <c r="M573" s="206">
        <v>43160.520833333336</v>
      </c>
      <c r="N573" s="206">
        <v>43160.6875</v>
      </c>
      <c r="O573" s="196" t="s">
        <v>2534</v>
      </c>
      <c r="AB573" s="110"/>
      <c r="AC573" s="110"/>
      <c r="AD573" s="110"/>
      <c r="AE573" s="110"/>
    </row>
    <row r="574" spans="1:31">
      <c r="A574" s="196" t="s">
        <v>805</v>
      </c>
      <c r="C574" s="197">
        <v>191</v>
      </c>
      <c r="D574" s="196">
        <v>1.4473</v>
      </c>
      <c r="E574" s="201">
        <v>9.1560000000000006</v>
      </c>
      <c r="F574" s="201">
        <v>0.20430000000000001</v>
      </c>
      <c r="G574" s="200">
        <f t="shared" si="87"/>
        <v>9.3603000000000005</v>
      </c>
      <c r="H574" s="200">
        <v>9.1599000000000004</v>
      </c>
      <c r="I574" s="200">
        <f t="shared" si="86"/>
        <v>0.20040000000000013</v>
      </c>
      <c r="J574" s="200">
        <f t="shared" si="88"/>
        <v>3.8999999999998758E-3</v>
      </c>
      <c r="K574" s="270">
        <f t="shared" si="89"/>
        <v>1.9089574155652842</v>
      </c>
      <c r="L574" s="200">
        <v>21</v>
      </c>
      <c r="AB574" s="110"/>
      <c r="AC574" s="110"/>
      <c r="AD574" s="110"/>
      <c r="AE574" s="110"/>
    </row>
    <row r="575" spans="1:31">
      <c r="A575" s="196" t="s">
        <v>802</v>
      </c>
      <c r="C575" s="200">
        <v>199</v>
      </c>
      <c r="D575" s="201">
        <v>1.3551</v>
      </c>
      <c r="E575" s="201">
        <v>10.743499999999999</v>
      </c>
      <c r="F575" s="200">
        <v>0.20610000000000001</v>
      </c>
      <c r="G575" s="200">
        <f t="shared" si="87"/>
        <v>10.949599999999998</v>
      </c>
      <c r="H575" s="200">
        <v>10.750999999999999</v>
      </c>
      <c r="I575" s="200">
        <f t="shared" ref="I575:I605" si="90">(G575-H575)</f>
        <v>0.198599999999999</v>
      </c>
      <c r="J575" s="200">
        <f t="shared" si="88"/>
        <v>7.5000000000010059E-3</v>
      </c>
      <c r="K575" s="270">
        <f t="shared" si="89"/>
        <v>3.6390101892290181</v>
      </c>
      <c r="L575" s="200">
        <v>2</v>
      </c>
      <c r="M575" s="200"/>
      <c r="N575" s="200"/>
      <c r="O575" s="200"/>
      <c r="P575" s="200"/>
      <c r="AB575" s="110"/>
      <c r="AC575" s="110"/>
      <c r="AD575" s="110"/>
      <c r="AE575" s="110"/>
    </row>
    <row r="576" spans="1:31">
      <c r="A576" s="200" t="s">
        <v>1107</v>
      </c>
      <c r="C576" s="200">
        <v>137</v>
      </c>
      <c r="D576" s="201">
        <v>1.3187</v>
      </c>
      <c r="E576" s="200">
        <v>8.0467999999999993</v>
      </c>
      <c r="F576" s="201">
        <v>0.2026</v>
      </c>
      <c r="G576" s="200">
        <f t="shared" si="87"/>
        <v>8.2493999999999996</v>
      </c>
      <c r="H576" s="200">
        <v>8.0627999999999993</v>
      </c>
      <c r="I576" s="200">
        <f t="shared" si="90"/>
        <v>0.18660000000000032</v>
      </c>
      <c r="J576" s="200">
        <f t="shared" si="88"/>
        <v>1.5999999999999681E-2</v>
      </c>
      <c r="K576" s="270">
        <f t="shared" si="89"/>
        <v>7.897334649555618</v>
      </c>
      <c r="L576" s="200">
        <v>26</v>
      </c>
      <c r="M576" s="204">
        <v>43206</v>
      </c>
      <c r="N576" s="204">
        <v>43206</v>
      </c>
      <c r="O576" s="200"/>
      <c r="P576" s="200"/>
      <c r="AB576" s="110"/>
      <c r="AC576" s="110"/>
      <c r="AD576" s="110"/>
      <c r="AE576" s="110"/>
    </row>
    <row r="577" spans="1:31">
      <c r="A577" s="196" t="s">
        <v>801</v>
      </c>
      <c r="C577" s="196">
        <v>210</v>
      </c>
      <c r="D577" s="196">
        <v>1.3895</v>
      </c>
      <c r="E577" s="200">
        <v>8.1191999999999993</v>
      </c>
      <c r="F577" s="201">
        <v>0.20680000000000001</v>
      </c>
      <c r="G577" s="200">
        <f t="shared" si="87"/>
        <v>8.3259999999999987</v>
      </c>
      <c r="H577" s="200">
        <v>8.141</v>
      </c>
      <c r="I577" s="200">
        <f t="shared" si="90"/>
        <v>0.18499999999999872</v>
      </c>
      <c r="J577" s="200">
        <f t="shared" si="88"/>
        <v>2.1800000000001291E-2</v>
      </c>
      <c r="K577" s="270">
        <f t="shared" si="89"/>
        <v>10.541586073501591</v>
      </c>
      <c r="L577" s="200">
        <v>42</v>
      </c>
      <c r="M577" s="203">
        <v>43212</v>
      </c>
      <c r="AB577" s="110"/>
      <c r="AC577" s="110"/>
      <c r="AD577" s="110"/>
      <c r="AE577" s="110"/>
    </row>
    <row r="578" spans="1:31">
      <c r="A578" s="200" t="s">
        <v>800</v>
      </c>
      <c r="C578" s="200">
        <v>163</v>
      </c>
      <c r="D578" s="200">
        <v>1.4843</v>
      </c>
      <c r="E578" s="201">
        <v>9.6784999999999997</v>
      </c>
      <c r="F578" s="201">
        <v>0.20050000000000001</v>
      </c>
      <c r="G578" s="200">
        <f t="shared" si="87"/>
        <v>9.8789999999999996</v>
      </c>
      <c r="H578" s="200">
        <v>9.6830999999999996</v>
      </c>
      <c r="I578" s="200">
        <f t="shared" si="90"/>
        <v>0.19589999999999996</v>
      </c>
      <c r="J578" s="200">
        <f t="shared" si="88"/>
        <v>4.6000000000000485E-3</v>
      </c>
      <c r="K578" s="270">
        <f t="shared" si="89"/>
        <v>2.2942643391521438</v>
      </c>
      <c r="L578" s="200">
        <v>28</v>
      </c>
      <c r="M578" s="206">
        <v>43186.458333333336</v>
      </c>
      <c r="N578" s="206">
        <v>43186.625</v>
      </c>
      <c r="O578" s="196" t="s">
        <v>2534</v>
      </c>
      <c r="P578" s="200"/>
      <c r="AB578" s="110"/>
      <c r="AC578" s="110"/>
      <c r="AD578" s="110"/>
      <c r="AE578" s="110"/>
    </row>
    <row r="579" spans="1:31">
      <c r="A579" s="196" t="s">
        <v>799</v>
      </c>
      <c r="C579" s="197">
        <v>203</v>
      </c>
      <c r="D579" s="200">
        <v>1.3754999999999999</v>
      </c>
      <c r="E579" s="201">
        <v>7.7732999999999999</v>
      </c>
      <c r="F579" s="201">
        <v>0.20039999999999999</v>
      </c>
      <c r="G579" s="200">
        <f t="shared" si="87"/>
        <v>7.9737</v>
      </c>
      <c r="H579" s="200">
        <v>7.7805999999999997</v>
      </c>
      <c r="I579" s="200">
        <f t="shared" si="90"/>
        <v>0.19310000000000027</v>
      </c>
      <c r="J579" s="200">
        <f t="shared" si="88"/>
        <v>7.2999999999997234E-3</v>
      </c>
      <c r="K579" s="270">
        <f t="shared" si="89"/>
        <v>3.642714570858145</v>
      </c>
      <c r="L579" s="200">
        <v>25</v>
      </c>
      <c r="M579" s="203">
        <v>43213</v>
      </c>
      <c r="N579" s="203">
        <v>43213</v>
      </c>
      <c r="AB579" s="110"/>
      <c r="AC579" s="110"/>
      <c r="AD579" s="110"/>
      <c r="AE579" s="110"/>
    </row>
    <row r="580" spans="1:31">
      <c r="A580" s="201" t="s">
        <v>798</v>
      </c>
      <c r="C580" s="200">
        <v>91</v>
      </c>
      <c r="D580" s="200">
        <v>0.48569999999999985</v>
      </c>
      <c r="E580" s="200">
        <v>7.1898</v>
      </c>
      <c r="F580" s="200">
        <v>0.2072</v>
      </c>
      <c r="G580" s="200">
        <f t="shared" si="87"/>
        <v>7.3970000000000002</v>
      </c>
      <c r="H580" s="200">
        <v>7.3638000000000003</v>
      </c>
      <c r="I580" s="200">
        <f t="shared" si="90"/>
        <v>3.3199999999999896E-2</v>
      </c>
      <c r="J580" s="200">
        <f t="shared" si="88"/>
        <v>0.1740000000000001</v>
      </c>
      <c r="K580" s="270">
        <f t="shared" si="89"/>
        <v>83.97683397683403</v>
      </c>
      <c r="L580" s="200">
        <v>8</v>
      </c>
      <c r="M580" s="204">
        <v>43173</v>
      </c>
      <c r="N580" s="204">
        <v>43173</v>
      </c>
      <c r="O580" s="200" t="s">
        <v>2540</v>
      </c>
      <c r="P580" s="200" t="s">
        <v>2539</v>
      </c>
      <c r="AB580" s="110"/>
      <c r="AC580" s="110"/>
      <c r="AD580" s="110"/>
      <c r="AE580" s="110"/>
    </row>
    <row r="581" spans="1:31">
      <c r="A581" s="205" t="s">
        <v>797</v>
      </c>
      <c r="C581" s="200">
        <v>208</v>
      </c>
      <c r="D581" s="200">
        <v>1.2427999999999999</v>
      </c>
      <c r="E581" s="200">
        <v>7.4835000000000003</v>
      </c>
      <c r="F581" s="200">
        <v>0.20280000000000001</v>
      </c>
      <c r="G581" s="200">
        <f t="shared" si="87"/>
        <v>7.6863000000000001</v>
      </c>
      <c r="H581" s="200">
        <v>7.5007999999999999</v>
      </c>
      <c r="I581" s="200">
        <f t="shared" si="90"/>
        <v>0.18550000000000022</v>
      </c>
      <c r="J581" s="200">
        <f t="shared" si="88"/>
        <v>1.7299999999999788E-2</v>
      </c>
      <c r="K581" s="270">
        <f t="shared" si="89"/>
        <v>8.5305719921103496</v>
      </c>
      <c r="L581" s="200">
        <v>6</v>
      </c>
      <c r="M581" s="202">
        <v>43171.520833333336</v>
      </c>
      <c r="N581" s="202">
        <v>43171.6875</v>
      </c>
      <c r="O581" s="196" t="s">
        <v>2534</v>
      </c>
      <c r="P581" s="200"/>
      <c r="AB581" s="110"/>
      <c r="AC581" s="110"/>
      <c r="AD581" s="110"/>
      <c r="AE581" s="110"/>
    </row>
    <row r="582" spans="1:31">
      <c r="A582" s="205" t="s">
        <v>795</v>
      </c>
      <c r="C582" s="200">
        <v>192</v>
      </c>
      <c r="D582" s="200">
        <v>1.4165000000000001</v>
      </c>
      <c r="E582" s="201">
        <v>10.697800000000001</v>
      </c>
      <c r="F582" s="201">
        <v>0.20599999999999999</v>
      </c>
      <c r="G582" s="200">
        <f t="shared" si="87"/>
        <v>10.9038</v>
      </c>
      <c r="H582" s="200">
        <v>10.7037</v>
      </c>
      <c r="I582" s="200">
        <f t="shared" si="90"/>
        <v>0.20010000000000083</v>
      </c>
      <c r="J582" s="200">
        <f t="shared" si="88"/>
        <v>5.8999999999991559E-3</v>
      </c>
      <c r="K582" s="270">
        <f t="shared" si="89"/>
        <v>2.8640776699025032</v>
      </c>
      <c r="L582" s="200">
        <v>14</v>
      </c>
      <c r="M582" s="206">
        <v>43185.385416666664</v>
      </c>
      <c r="N582" s="200"/>
      <c r="O582" s="200" t="s">
        <v>2540</v>
      </c>
      <c r="P582" s="200"/>
      <c r="AB582" s="110"/>
      <c r="AC582" s="110"/>
      <c r="AD582" s="110"/>
      <c r="AE582" s="110"/>
    </row>
    <row r="583" spans="1:31">
      <c r="A583" s="196" t="s">
        <v>792</v>
      </c>
      <c r="C583" s="197">
        <v>29</v>
      </c>
      <c r="D583" s="196">
        <v>1.2602</v>
      </c>
      <c r="E583" s="200">
        <v>7.7144000000000004</v>
      </c>
      <c r="F583" s="201">
        <v>0.2044</v>
      </c>
      <c r="G583" s="200">
        <f t="shared" si="87"/>
        <v>7.9188000000000001</v>
      </c>
      <c r="H583" s="200">
        <v>7.7206999999999999</v>
      </c>
      <c r="I583" s="200">
        <f t="shared" si="90"/>
        <v>0.19810000000000016</v>
      </c>
      <c r="J583" s="200">
        <f t="shared" si="88"/>
        <v>6.2999999999998335E-3</v>
      </c>
      <c r="K583" s="270">
        <f t="shared" si="89"/>
        <v>3.0821917808218364</v>
      </c>
      <c r="L583" s="200">
        <v>17</v>
      </c>
      <c r="M583" s="203">
        <v>43213</v>
      </c>
      <c r="N583" s="203">
        <v>43213</v>
      </c>
      <c r="AB583" s="110"/>
      <c r="AC583" s="110"/>
      <c r="AD583" s="110"/>
      <c r="AE583" s="110"/>
    </row>
    <row r="584" spans="1:31">
      <c r="A584" s="200" t="s">
        <v>1106</v>
      </c>
      <c r="C584" s="200">
        <v>157</v>
      </c>
      <c r="D584" s="200">
        <v>1.6922999999999999</v>
      </c>
      <c r="E584" s="201">
        <v>7.8589000000000002</v>
      </c>
      <c r="F584" s="201">
        <v>0.2026</v>
      </c>
      <c r="G584" s="200">
        <f t="shared" si="87"/>
        <v>8.0615000000000006</v>
      </c>
      <c r="H584" s="200">
        <v>7.8792</v>
      </c>
      <c r="I584" s="200">
        <f t="shared" si="90"/>
        <v>0.18230000000000057</v>
      </c>
      <c r="J584" s="200">
        <f t="shared" si="88"/>
        <v>2.029999999999943E-2</v>
      </c>
      <c r="K584" s="270">
        <f t="shared" si="89"/>
        <v>10.019743336623607</v>
      </c>
      <c r="L584" s="200">
        <v>26</v>
      </c>
      <c r="M584" s="206">
        <v>43185.385416666664</v>
      </c>
      <c r="N584" s="200"/>
      <c r="O584" s="200" t="s">
        <v>2540</v>
      </c>
      <c r="P584" s="200"/>
      <c r="AB584" s="110"/>
      <c r="AC584" s="110"/>
      <c r="AD584" s="110"/>
      <c r="AE584" s="110"/>
    </row>
    <row r="585" spans="1:31">
      <c r="A585" s="200" t="s">
        <v>788</v>
      </c>
      <c r="C585" s="200">
        <v>172</v>
      </c>
      <c r="D585" s="200">
        <f>1.3431+F585</f>
        <v>1.5443</v>
      </c>
      <c r="E585" s="201">
        <v>9.2363999999999997</v>
      </c>
      <c r="F585" s="201">
        <v>0.20119999999999999</v>
      </c>
      <c r="G585" s="200">
        <f t="shared" si="87"/>
        <v>9.4375999999999998</v>
      </c>
      <c r="H585" s="200">
        <v>9.2407000000000004</v>
      </c>
      <c r="I585" s="200">
        <f t="shared" si="90"/>
        <v>0.19689999999999941</v>
      </c>
      <c r="J585" s="200">
        <f t="shared" si="88"/>
        <v>4.3000000000005811E-3</v>
      </c>
      <c r="K585" s="270">
        <f t="shared" si="89"/>
        <v>2.1371769383700703</v>
      </c>
      <c r="L585" s="200">
        <v>20</v>
      </c>
      <c r="M585" s="204">
        <v>43174</v>
      </c>
      <c r="N585" s="204">
        <v>43174</v>
      </c>
      <c r="O585" s="200" t="s">
        <v>2540</v>
      </c>
      <c r="P585" s="200" t="s">
        <v>2535</v>
      </c>
      <c r="AB585" s="110"/>
      <c r="AC585" s="110"/>
      <c r="AD585" s="110"/>
      <c r="AE585" s="110"/>
    </row>
    <row r="586" spans="1:31">
      <c r="A586" s="200" t="s">
        <v>787</v>
      </c>
      <c r="C586" s="200">
        <v>189</v>
      </c>
      <c r="D586" s="201">
        <v>1.5351999999999999</v>
      </c>
      <c r="E586" s="201">
        <v>9.7731999999999992</v>
      </c>
      <c r="F586" s="201">
        <v>0.20169999999999999</v>
      </c>
      <c r="G586" s="200">
        <f t="shared" si="87"/>
        <v>9.9748999999999999</v>
      </c>
      <c r="H586" s="200">
        <v>9.7782</v>
      </c>
      <c r="I586" s="200">
        <f t="shared" si="90"/>
        <v>0.19669999999999987</v>
      </c>
      <c r="J586" s="200">
        <f t="shared" si="88"/>
        <v>5.0000000000001155E-3</v>
      </c>
      <c r="K586" s="270">
        <f t="shared" si="89"/>
        <v>2.4789291026277223</v>
      </c>
      <c r="L586" s="200">
        <v>14</v>
      </c>
      <c r="M586" s="200"/>
      <c r="N586" s="200"/>
      <c r="O586" s="200"/>
      <c r="P586" s="200"/>
      <c r="AB586" s="110"/>
      <c r="AC586" s="110"/>
      <c r="AD586" s="110"/>
      <c r="AE586" s="110"/>
    </row>
    <row r="587" spans="1:31">
      <c r="A587" s="200" t="s">
        <v>785</v>
      </c>
      <c r="C587" s="200">
        <v>219</v>
      </c>
      <c r="D587" s="200">
        <v>1.2475000000000001</v>
      </c>
      <c r="E587" s="200">
        <v>9.3215000000000003</v>
      </c>
      <c r="F587" s="200">
        <v>0.2087</v>
      </c>
      <c r="G587" s="200">
        <f t="shared" si="87"/>
        <v>9.5302000000000007</v>
      </c>
      <c r="H587" s="200">
        <v>9.3369999999999997</v>
      </c>
      <c r="I587" s="200">
        <f t="shared" si="90"/>
        <v>0.19320000000000093</v>
      </c>
      <c r="J587" s="200">
        <f t="shared" si="88"/>
        <v>1.549999999999907E-2</v>
      </c>
      <c r="K587" s="270">
        <f t="shared" si="89"/>
        <v>7.426928605653603</v>
      </c>
      <c r="L587" s="200">
        <v>9</v>
      </c>
      <c r="M587" s="202">
        <v>43164.628472222219</v>
      </c>
      <c r="N587" s="202">
        <v>43164.795138888891</v>
      </c>
      <c r="O587" s="196" t="s">
        <v>2534</v>
      </c>
      <c r="P587" s="200"/>
      <c r="AB587" s="110"/>
      <c r="AC587" s="110"/>
      <c r="AD587" s="110"/>
      <c r="AE587" s="110"/>
    </row>
    <row r="588" spans="1:31">
      <c r="A588" s="196" t="s">
        <v>782</v>
      </c>
      <c r="C588" s="197">
        <v>200</v>
      </c>
      <c r="D588" s="196">
        <v>1.3246</v>
      </c>
      <c r="E588" s="201">
        <v>11.055</v>
      </c>
      <c r="F588" s="201">
        <v>0.20599999999999999</v>
      </c>
      <c r="G588" s="200">
        <f t="shared" si="87"/>
        <v>11.260999999999999</v>
      </c>
      <c r="H588" s="200">
        <v>11.0633</v>
      </c>
      <c r="I588" s="200">
        <f t="shared" si="90"/>
        <v>0.19769999999999932</v>
      </c>
      <c r="J588" s="200">
        <f t="shared" si="88"/>
        <v>8.300000000000668E-3</v>
      </c>
      <c r="K588" s="270">
        <f t="shared" si="89"/>
        <v>4.0291262135925576</v>
      </c>
      <c r="L588" s="200">
        <v>19</v>
      </c>
      <c r="AB588" s="110"/>
      <c r="AC588" s="110"/>
      <c r="AD588" s="110"/>
      <c r="AE588" s="110"/>
    </row>
    <row r="589" spans="1:31">
      <c r="A589" s="200" t="s">
        <v>781</v>
      </c>
      <c r="C589" s="200">
        <v>95</v>
      </c>
      <c r="D589" s="200">
        <f>0.3847+F589</f>
        <v>0.51400000000000001</v>
      </c>
      <c r="E589" s="201">
        <v>7.8590999999999998</v>
      </c>
      <c r="F589" s="201">
        <v>0.1293</v>
      </c>
      <c r="G589" s="200">
        <f t="shared" si="87"/>
        <v>7.9883999999999995</v>
      </c>
      <c r="H589" s="200">
        <v>7.9745999999999997</v>
      </c>
      <c r="I589" s="200">
        <f t="shared" si="90"/>
        <v>1.3799999999999812E-2</v>
      </c>
      <c r="J589" s="200">
        <f t="shared" si="88"/>
        <v>0.11550000000000019</v>
      </c>
      <c r="K589" s="270">
        <f t="shared" si="89"/>
        <v>89.327146171693883</v>
      </c>
      <c r="L589" s="200">
        <v>15</v>
      </c>
      <c r="M589" s="204">
        <v>43174</v>
      </c>
      <c r="N589" s="204">
        <v>43174</v>
      </c>
      <c r="O589" s="200" t="s">
        <v>2540</v>
      </c>
      <c r="P589" s="200" t="s">
        <v>2535</v>
      </c>
      <c r="AB589" s="110"/>
      <c r="AC589" s="110"/>
      <c r="AD589" s="110"/>
      <c r="AE589" s="110"/>
    </row>
    <row r="590" spans="1:31">
      <c r="A590" s="196" t="s">
        <v>779</v>
      </c>
      <c r="C590" s="197">
        <v>196</v>
      </c>
      <c r="D590" s="196">
        <v>1.2983</v>
      </c>
      <c r="E590" s="201">
        <v>9.9158000000000008</v>
      </c>
      <c r="F590" s="201">
        <v>0.20319999999999999</v>
      </c>
      <c r="G590" s="200">
        <f t="shared" si="87"/>
        <v>10.119000000000002</v>
      </c>
      <c r="H590" s="200">
        <v>9.9232999999999993</v>
      </c>
      <c r="I590" s="200">
        <f t="shared" si="90"/>
        <v>0.19570000000000221</v>
      </c>
      <c r="J590" s="200">
        <f t="shared" si="88"/>
        <v>7.4999999999977862E-3</v>
      </c>
      <c r="K590" s="270">
        <f t="shared" si="89"/>
        <v>3.690944881888675</v>
      </c>
      <c r="L590" s="200">
        <v>13</v>
      </c>
      <c r="M590" s="203">
        <v>43221</v>
      </c>
      <c r="N590" s="203">
        <v>43221</v>
      </c>
      <c r="AB590" s="110"/>
      <c r="AC590" s="110"/>
      <c r="AD590" s="110"/>
      <c r="AE590" s="110"/>
    </row>
    <row r="591" spans="1:31">
      <c r="A591" s="196" t="s">
        <v>778</v>
      </c>
      <c r="C591" s="196">
        <v>22</v>
      </c>
      <c r="D591" s="196">
        <v>1.2951999999999999</v>
      </c>
      <c r="E591" s="201">
        <v>8.0641999999999996</v>
      </c>
      <c r="F591" s="201">
        <v>0.2024</v>
      </c>
      <c r="G591" s="200">
        <f t="shared" si="87"/>
        <v>8.2666000000000004</v>
      </c>
      <c r="H591" s="200">
        <v>8.0713000000000008</v>
      </c>
      <c r="I591" s="200">
        <f t="shared" si="90"/>
        <v>0.19529999999999959</v>
      </c>
      <c r="J591" s="200">
        <f t="shared" si="88"/>
        <v>7.1000000000004115E-3</v>
      </c>
      <c r="K591" s="270">
        <f t="shared" si="89"/>
        <v>3.5079051383401243</v>
      </c>
      <c r="L591" s="200">
        <v>37</v>
      </c>
      <c r="M591" s="203">
        <v>43221</v>
      </c>
      <c r="N591" s="203">
        <v>43221</v>
      </c>
      <c r="AB591" s="110"/>
      <c r="AC591" s="110"/>
      <c r="AD591" s="110"/>
      <c r="AE591" s="110"/>
    </row>
    <row r="592" spans="1:31">
      <c r="A592" s="196" t="s">
        <v>777</v>
      </c>
      <c r="C592" s="196">
        <v>193</v>
      </c>
      <c r="D592" s="196">
        <v>1.1823999999999999</v>
      </c>
      <c r="E592" s="201">
        <v>8.7326999999999995</v>
      </c>
      <c r="F592" s="201">
        <v>0.2051</v>
      </c>
      <c r="G592" s="200">
        <f t="shared" si="87"/>
        <v>8.9377999999999993</v>
      </c>
      <c r="H592" s="200">
        <v>8.7398000000000007</v>
      </c>
      <c r="I592" s="200">
        <f t="shared" si="90"/>
        <v>0.19799999999999862</v>
      </c>
      <c r="J592" s="200">
        <f t="shared" si="88"/>
        <v>7.100000000001383E-3</v>
      </c>
      <c r="K592" s="270">
        <f t="shared" si="89"/>
        <v>3.461725987323931</v>
      </c>
      <c r="L592" s="200">
        <v>5</v>
      </c>
      <c r="AB592" s="110"/>
      <c r="AC592" s="110"/>
      <c r="AD592" s="110"/>
      <c r="AE592" s="110"/>
    </row>
    <row r="593" spans="1:31">
      <c r="A593" s="205" t="s">
        <v>773</v>
      </c>
      <c r="C593" s="200">
        <v>82</v>
      </c>
      <c r="D593" s="200">
        <v>1.448</v>
      </c>
      <c r="E593" s="201">
        <v>8.0456000000000003</v>
      </c>
      <c r="F593" s="201">
        <v>0.20610000000000001</v>
      </c>
      <c r="G593" s="200">
        <f t="shared" si="87"/>
        <v>8.2516999999999996</v>
      </c>
      <c r="H593" s="200">
        <v>8.0540000000000003</v>
      </c>
      <c r="I593" s="200">
        <f t="shared" si="90"/>
        <v>0.19769999999999932</v>
      </c>
      <c r="J593" s="200">
        <f t="shared" si="88"/>
        <v>8.4000000000006847E-3</v>
      </c>
      <c r="K593" s="270">
        <f t="shared" si="89"/>
        <v>4.0756914119362859</v>
      </c>
      <c r="L593" s="200">
        <v>17</v>
      </c>
      <c r="M593" s="204">
        <v>43197</v>
      </c>
      <c r="N593" s="204">
        <v>43197</v>
      </c>
      <c r="O593" s="200"/>
      <c r="P593" s="200" t="s">
        <v>2565</v>
      </c>
      <c r="AB593" s="110"/>
      <c r="AC593" s="110"/>
      <c r="AD593" s="110"/>
      <c r="AE593" s="110"/>
    </row>
    <row r="594" spans="1:31">
      <c r="A594" s="196" t="s">
        <v>772</v>
      </c>
      <c r="C594" s="200">
        <v>199</v>
      </c>
      <c r="D594" s="201">
        <v>1.4128000000000001</v>
      </c>
      <c r="E594" s="201">
        <v>10.702299999999999</v>
      </c>
      <c r="F594" s="201">
        <v>0.20180000000000001</v>
      </c>
      <c r="G594" s="200">
        <f t="shared" si="87"/>
        <v>10.9041</v>
      </c>
      <c r="H594" s="200">
        <v>10.708</v>
      </c>
      <c r="I594" s="200">
        <f t="shared" si="90"/>
        <v>0.1960999999999995</v>
      </c>
      <c r="J594" s="200">
        <f t="shared" si="88"/>
        <v>5.7000000000005102E-3</v>
      </c>
      <c r="K594" s="270">
        <f t="shared" si="89"/>
        <v>2.8245787908823141</v>
      </c>
      <c r="L594" s="200">
        <v>1</v>
      </c>
      <c r="O594" s="200"/>
      <c r="P594" s="200" t="s">
        <v>2541</v>
      </c>
      <c r="AB594" s="110"/>
      <c r="AC594" s="110"/>
      <c r="AD594" s="110"/>
      <c r="AE594" s="110"/>
    </row>
    <row r="595" spans="1:31">
      <c r="A595" s="205" t="s">
        <v>1104</v>
      </c>
      <c r="C595" s="200">
        <v>114</v>
      </c>
      <c r="D595" s="201">
        <v>1.2744</v>
      </c>
      <c r="E595" s="201">
        <v>7.9939</v>
      </c>
      <c r="F595" s="201">
        <v>0.19969999999999999</v>
      </c>
      <c r="G595" s="200">
        <f t="shared" si="87"/>
        <v>8.1936</v>
      </c>
      <c r="H595" s="200">
        <v>8.0173000000000005</v>
      </c>
      <c r="I595" s="200">
        <f t="shared" si="90"/>
        <v>0.17629999999999946</v>
      </c>
      <c r="J595" s="200">
        <f t="shared" si="88"/>
        <v>2.3400000000000531E-2</v>
      </c>
      <c r="K595" s="270">
        <f t="shared" si="89"/>
        <v>11.717576364547087</v>
      </c>
      <c r="L595" s="200">
        <v>25</v>
      </c>
      <c r="M595" s="202">
        <v>43181.645833333336</v>
      </c>
      <c r="N595" s="202">
        <v>43181.833333333336</v>
      </c>
      <c r="O595" s="200" t="s">
        <v>2540</v>
      </c>
      <c r="P595" s="205"/>
      <c r="AB595" s="110"/>
      <c r="AC595" s="110"/>
      <c r="AD595" s="110"/>
      <c r="AE595" s="110"/>
    </row>
    <row r="596" spans="1:31">
      <c r="A596" s="196" t="s">
        <v>771</v>
      </c>
      <c r="C596" s="197">
        <v>197</v>
      </c>
      <c r="D596" s="196">
        <v>1.2739</v>
      </c>
      <c r="E596" s="201">
        <v>8.0947999999999993</v>
      </c>
      <c r="F596" s="201">
        <v>0.20519999999999999</v>
      </c>
      <c r="G596" s="200">
        <f t="shared" si="87"/>
        <v>8.2999999999999989</v>
      </c>
      <c r="H596" s="200">
        <v>8.1052</v>
      </c>
      <c r="I596" s="200">
        <f t="shared" si="90"/>
        <v>0.19479999999999897</v>
      </c>
      <c r="J596" s="200">
        <f t="shared" si="88"/>
        <v>1.040000000000102E-2</v>
      </c>
      <c r="K596" s="270">
        <f t="shared" si="89"/>
        <v>5.0682261208581973</v>
      </c>
      <c r="L596" s="200">
        <v>22</v>
      </c>
      <c r="AB596" s="110"/>
      <c r="AC596" s="110"/>
      <c r="AD596" s="110"/>
      <c r="AE596" s="110"/>
    </row>
    <row r="597" spans="1:31">
      <c r="A597" s="205" t="s">
        <v>770</v>
      </c>
      <c r="C597" s="200">
        <v>42</v>
      </c>
      <c r="D597" s="201">
        <v>1.3915999999999999</v>
      </c>
      <c r="E597" s="200">
        <v>7.8391000000000002</v>
      </c>
      <c r="F597" s="201">
        <v>0.20280000000000001</v>
      </c>
      <c r="G597" s="200">
        <f t="shared" si="87"/>
        <v>8.0419</v>
      </c>
      <c r="H597" s="200">
        <v>7.8445</v>
      </c>
      <c r="I597" s="200">
        <f t="shared" si="90"/>
        <v>0.19740000000000002</v>
      </c>
      <c r="J597" s="200">
        <f t="shared" si="88"/>
        <v>5.3999999999999881E-3</v>
      </c>
      <c r="K597" s="270">
        <f t="shared" si="89"/>
        <v>2.6627218934911183</v>
      </c>
      <c r="L597" s="200">
        <v>10</v>
      </c>
      <c r="M597" s="204">
        <v>43206</v>
      </c>
      <c r="N597" s="204">
        <v>43206</v>
      </c>
      <c r="O597" s="200"/>
      <c r="P597" s="200"/>
      <c r="AB597" s="110"/>
      <c r="AC597" s="110"/>
      <c r="AD597" s="110"/>
      <c r="AE597" s="110"/>
    </row>
    <row r="598" spans="1:31">
      <c r="A598" s="196" t="s">
        <v>769</v>
      </c>
      <c r="C598" s="197">
        <v>203</v>
      </c>
      <c r="D598" s="196">
        <v>1.3894</v>
      </c>
      <c r="E598" s="201">
        <v>9.1971000000000007</v>
      </c>
      <c r="F598" s="201">
        <v>0.20019999999999999</v>
      </c>
      <c r="G598" s="200">
        <f t="shared" si="87"/>
        <v>9.3973000000000013</v>
      </c>
      <c r="H598" s="200">
        <v>9.2055000000000007</v>
      </c>
      <c r="I598" s="200">
        <f t="shared" si="90"/>
        <v>0.19180000000000064</v>
      </c>
      <c r="J598" s="200">
        <f t="shared" si="88"/>
        <v>8.3999999999993524E-3</v>
      </c>
      <c r="K598" s="270">
        <f t="shared" si="89"/>
        <v>4.1958041958038725</v>
      </c>
      <c r="L598" s="200">
        <v>18</v>
      </c>
      <c r="M598" s="203">
        <v>43221</v>
      </c>
      <c r="N598" s="203">
        <v>43221</v>
      </c>
      <c r="AB598" s="110"/>
      <c r="AC598" s="110"/>
      <c r="AD598" s="110"/>
      <c r="AE598" s="110"/>
    </row>
    <row r="599" spans="1:31">
      <c r="A599" s="196" t="s">
        <v>766</v>
      </c>
      <c r="C599" s="197">
        <v>196</v>
      </c>
      <c r="D599" s="196">
        <v>1.1523000000000001</v>
      </c>
      <c r="E599" s="200">
        <v>10.0762</v>
      </c>
      <c r="F599" s="201">
        <v>0.20669999999999999</v>
      </c>
      <c r="G599" s="200">
        <f t="shared" si="87"/>
        <v>10.2829</v>
      </c>
      <c r="H599" s="200">
        <v>10.086600000000001</v>
      </c>
      <c r="I599" s="200">
        <f t="shared" si="90"/>
        <v>0.19629999999999903</v>
      </c>
      <c r="J599" s="200">
        <f t="shared" si="88"/>
        <v>1.0400000000000964E-2</v>
      </c>
      <c r="K599" s="270">
        <f t="shared" si="89"/>
        <v>5.0314465408809701</v>
      </c>
      <c r="L599" s="200">
        <v>4</v>
      </c>
      <c r="M599" s="203">
        <v>43212</v>
      </c>
      <c r="AB599" s="110"/>
      <c r="AC599" s="110"/>
      <c r="AD599" s="110"/>
      <c r="AE599" s="110"/>
    </row>
    <row r="600" spans="1:31">
      <c r="A600" s="196" t="s">
        <v>765</v>
      </c>
      <c r="C600" s="196">
        <v>43</v>
      </c>
      <c r="D600" s="196">
        <v>1.1131</v>
      </c>
      <c r="E600" s="196">
        <v>8.8632000000000009</v>
      </c>
      <c r="F600" s="196">
        <v>0.20799999999999999</v>
      </c>
      <c r="G600" s="196">
        <f t="shared" si="87"/>
        <v>9.071200000000001</v>
      </c>
      <c r="H600" s="196">
        <v>8.8773</v>
      </c>
      <c r="I600" s="196">
        <f t="shared" si="90"/>
        <v>0.19390000000000107</v>
      </c>
      <c r="J600" s="200">
        <f t="shared" si="88"/>
        <v>1.4099999999998919E-2</v>
      </c>
      <c r="K600" s="270">
        <f t="shared" si="89"/>
        <v>6.7788461538456346</v>
      </c>
      <c r="L600" s="196">
        <v>13</v>
      </c>
      <c r="M600" s="196" t="s">
        <v>2570</v>
      </c>
      <c r="N600" s="196" t="s">
        <v>2569</v>
      </c>
      <c r="O600" s="196" t="s">
        <v>2534</v>
      </c>
      <c r="AB600" s="110"/>
      <c r="AC600" s="110"/>
      <c r="AD600" s="110"/>
      <c r="AE600" s="110"/>
    </row>
    <row r="601" spans="1:31">
      <c r="A601" s="200" t="s">
        <v>763</v>
      </c>
      <c r="C601" s="200">
        <v>195</v>
      </c>
      <c r="D601" s="200">
        <v>1.2686999999999999</v>
      </c>
      <c r="E601" s="200">
        <v>8.7335999999999991</v>
      </c>
      <c r="F601" s="200">
        <v>0.2026</v>
      </c>
      <c r="G601" s="200">
        <f t="shared" ref="G601:G620" si="91">E601+F601</f>
        <v>8.9361999999999995</v>
      </c>
      <c r="H601" s="200">
        <v>8.7361000000000004</v>
      </c>
      <c r="I601" s="200">
        <f t="shared" si="90"/>
        <v>0.20009999999999906</v>
      </c>
      <c r="J601" s="200">
        <f t="shared" ref="J601:J620" si="92">F601-I601</f>
        <v>2.5000000000009459E-3</v>
      </c>
      <c r="K601" s="270">
        <f t="shared" ref="K601:K620" si="93">(J601/F601)*100</f>
        <v>1.2339585389935566</v>
      </c>
      <c r="L601" s="200">
        <v>14</v>
      </c>
      <c r="M601" s="202">
        <v>43164.628472222219</v>
      </c>
      <c r="N601" s="202">
        <v>43164.795138888891</v>
      </c>
      <c r="O601" s="196" t="s">
        <v>2534</v>
      </c>
      <c r="P601" s="200"/>
      <c r="AB601" s="110"/>
      <c r="AC601" s="110"/>
      <c r="AD601" s="110"/>
      <c r="AE601" s="110"/>
    </row>
    <row r="602" spans="1:31">
      <c r="A602" s="196" t="s">
        <v>1103</v>
      </c>
      <c r="C602" s="197">
        <v>5</v>
      </c>
      <c r="D602" s="196">
        <v>1.0426</v>
      </c>
      <c r="E602" s="201">
        <v>9.4855999999999998</v>
      </c>
      <c r="F602" s="201">
        <v>0.20319999999999999</v>
      </c>
      <c r="G602" s="200">
        <f t="shared" si="91"/>
        <v>9.6888000000000005</v>
      </c>
      <c r="H602" s="200">
        <v>9.4974000000000007</v>
      </c>
      <c r="I602" s="200">
        <f t="shared" si="90"/>
        <v>0.19139999999999979</v>
      </c>
      <c r="J602" s="200">
        <f t="shared" si="92"/>
        <v>1.1800000000000199E-2</v>
      </c>
      <c r="K602" s="270">
        <f t="shared" si="93"/>
        <v>5.8070866141733264</v>
      </c>
      <c r="L602" s="200">
        <v>38</v>
      </c>
      <c r="M602" s="203">
        <v>43221</v>
      </c>
      <c r="N602" s="203">
        <v>43221</v>
      </c>
      <c r="AB602" s="110"/>
      <c r="AC602" s="110"/>
      <c r="AD602" s="110"/>
      <c r="AE602" s="110"/>
    </row>
    <row r="603" spans="1:31">
      <c r="A603" s="205" t="s">
        <v>761</v>
      </c>
      <c r="C603" s="200">
        <v>17</v>
      </c>
      <c r="D603" s="200">
        <v>1.4234</v>
      </c>
      <c r="E603" s="200">
        <v>7.4806999999999997</v>
      </c>
      <c r="F603" s="201">
        <v>0.19939999999999999</v>
      </c>
      <c r="G603" s="200">
        <f t="shared" si="91"/>
        <v>7.6800999999999995</v>
      </c>
      <c r="H603" s="200">
        <v>7.4874000000000001</v>
      </c>
      <c r="I603" s="200">
        <f t="shared" si="90"/>
        <v>0.19269999999999943</v>
      </c>
      <c r="J603" s="200">
        <f t="shared" si="92"/>
        <v>6.7000000000005666E-3</v>
      </c>
      <c r="K603" s="270">
        <f t="shared" si="93"/>
        <v>3.3600802407224508</v>
      </c>
      <c r="L603" s="200">
        <v>26</v>
      </c>
      <c r="M603" s="204">
        <v>43211</v>
      </c>
      <c r="AB603" s="110"/>
      <c r="AC603" s="110"/>
      <c r="AD603" s="110"/>
      <c r="AE603" s="110"/>
    </row>
    <row r="604" spans="1:31">
      <c r="A604" s="201" t="s">
        <v>760</v>
      </c>
      <c r="C604" s="200">
        <v>211</v>
      </c>
      <c r="D604" s="200">
        <v>1.2363</v>
      </c>
      <c r="E604" s="200">
        <v>8.0954999999999995</v>
      </c>
      <c r="F604" s="200">
        <v>0.20369999999999999</v>
      </c>
      <c r="G604" s="200">
        <f t="shared" si="91"/>
        <v>8.299199999999999</v>
      </c>
      <c r="H604" s="200">
        <v>8.1160999999999994</v>
      </c>
      <c r="I604" s="200">
        <f t="shared" si="90"/>
        <v>0.1830999999999996</v>
      </c>
      <c r="J604" s="200">
        <f t="shared" si="92"/>
        <v>2.0600000000000396E-2</v>
      </c>
      <c r="K604" s="270">
        <f t="shared" si="93"/>
        <v>10.112911143839174</v>
      </c>
      <c r="L604" s="200">
        <v>13</v>
      </c>
      <c r="M604" s="204">
        <v>43173</v>
      </c>
      <c r="N604" s="204">
        <v>43173</v>
      </c>
      <c r="O604" s="200" t="s">
        <v>2540</v>
      </c>
      <c r="P604" s="200" t="s">
        <v>2539</v>
      </c>
      <c r="AB604" s="110"/>
      <c r="AC604" s="110"/>
      <c r="AD604" s="110"/>
      <c r="AE604" s="110"/>
    </row>
    <row r="605" spans="1:31">
      <c r="A605" s="205" t="s">
        <v>759</v>
      </c>
      <c r="C605" s="196">
        <v>14</v>
      </c>
      <c r="D605" s="201">
        <v>1.4352</v>
      </c>
      <c r="E605" s="201">
        <v>9.0213000000000001</v>
      </c>
      <c r="F605" s="201">
        <v>0.20810000000000001</v>
      </c>
      <c r="G605" s="200">
        <f t="shared" si="91"/>
        <v>9.2294</v>
      </c>
      <c r="H605" s="200">
        <v>9.2042000000000002</v>
      </c>
      <c r="I605" s="200">
        <f t="shared" si="90"/>
        <v>2.5199999999999889E-2</v>
      </c>
      <c r="J605" s="200">
        <f t="shared" si="92"/>
        <v>0.18290000000000012</v>
      </c>
      <c r="K605" s="270">
        <f t="shared" si="93"/>
        <v>87.890437289764591</v>
      </c>
      <c r="L605" s="200">
        <v>25</v>
      </c>
      <c r="M605" s="204">
        <v>43199</v>
      </c>
      <c r="N605" s="204">
        <v>43199</v>
      </c>
      <c r="O605" s="200"/>
      <c r="P605" s="200"/>
      <c r="AB605" s="110"/>
      <c r="AC605" s="110"/>
      <c r="AD605" s="110"/>
      <c r="AE605" s="110"/>
    </row>
    <row r="606" spans="1:31">
      <c r="A606" t="s">
        <v>758</v>
      </c>
      <c r="C606">
        <v>214</v>
      </c>
      <c r="D606">
        <v>1.3544</v>
      </c>
      <c r="E606">
        <v>7.8731</v>
      </c>
      <c r="F606">
        <v>0.21</v>
      </c>
      <c r="G606">
        <f t="shared" si="91"/>
        <v>8.0831</v>
      </c>
      <c r="H606">
        <v>7.883</v>
      </c>
      <c r="I606">
        <f>G606-H606</f>
        <v>0.20009999999999994</v>
      </c>
      <c r="J606">
        <f t="shared" si="92"/>
        <v>9.9000000000000477E-3</v>
      </c>
      <c r="K606" s="270">
        <f t="shared" si="93"/>
        <v>4.7142857142857366</v>
      </c>
      <c r="L606" s="200">
        <v>6</v>
      </c>
      <c r="M606" s="202">
        <v>43164.628472222219</v>
      </c>
      <c r="N606" s="202">
        <v>43164.795138888891</v>
      </c>
      <c r="O606" s="196" t="s">
        <v>2534</v>
      </c>
      <c r="P606"/>
      <c r="AB606" s="110"/>
      <c r="AC606" s="110"/>
      <c r="AD606" s="110"/>
      <c r="AE606" s="110"/>
    </row>
    <row r="607" spans="1:31">
      <c r="A607" s="205" t="s">
        <v>757</v>
      </c>
      <c r="C607" s="200">
        <v>174</v>
      </c>
      <c r="D607" s="200">
        <v>1.5111000000000001</v>
      </c>
      <c r="E607" s="201">
        <v>8.4430999999999994</v>
      </c>
      <c r="F607" s="201">
        <v>0.2092</v>
      </c>
      <c r="G607" s="200">
        <f t="shared" si="91"/>
        <v>8.6522999999999985</v>
      </c>
      <c r="H607" s="200">
        <v>8.4474999999999998</v>
      </c>
      <c r="I607" s="200">
        <f t="shared" ref="I607:I620" si="94">(G607-H607)</f>
        <v>0.20479999999999876</v>
      </c>
      <c r="J607" s="200">
        <f t="shared" si="92"/>
        <v>4.4000000000012363E-3</v>
      </c>
      <c r="K607" s="270">
        <f t="shared" si="93"/>
        <v>2.1032504780120633</v>
      </c>
      <c r="L607" s="200">
        <v>7</v>
      </c>
      <c r="M607" s="206">
        <v>43186.458333333336</v>
      </c>
      <c r="N607" s="206">
        <v>43186.625</v>
      </c>
      <c r="O607" s="196" t="s">
        <v>2534</v>
      </c>
      <c r="P607" s="200"/>
      <c r="AB607" s="110"/>
      <c r="AC607" s="110"/>
      <c r="AD607" s="110"/>
      <c r="AE607" s="110"/>
    </row>
    <row r="608" spans="1:31">
      <c r="A608" s="196" t="s">
        <v>755</v>
      </c>
      <c r="C608" s="197">
        <v>29</v>
      </c>
      <c r="D608" s="196">
        <v>1.3573</v>
      </c>
      <c r="E608" s="196">
        <v>9.3175000000000008</v>
      </c>
      <c r="F608" s="201">
        <v>0.20549999999999999</v>
      </c>
      <c r="G608" s="200">
        <f t="shared" si="91"/>
        <v>9.5230000000000015</v>
      </c>
      <c r="H608" s="200">
        <v>9.3400999999999996</v>
      </c>
      <c r="I608" s="200">
        <f t="shared" si="94"/>
        <v>0.18290000000000184</v>
      </c>
      <c r="J608" s="200">
        <f t="shared" si="92"/>
        <v>2.2599999999998149E-2</v>
      </c>
      <c r="K608" s="270">
        <f t="shared" si="93"/>
        <v>10.99756690997477</v>
      </c>
      <c r="L608" s="200">
        <v>2</v>
      </c>
      <c r="AB608" s="110"/>
      <c r="AC608" s="110"/>
      <c r="AD608" s="110"/>
      <c r="AE608" s="110"/>
    </row>
    <row r="609" spans="1:31">
      <c r="A609" s="196" t="s">
        <v>754</v>
      </c>
      <c r="C609" s="197">
        <v>191</v>
      </c>
      <c r="D609" s="196">
        <v>1.4354</v>
      </c>
      <c r="E609" s="201">
        <v>7.0750999999999999</v>
      </c>
      <c r="F609" s="201">
        <v>0.20080000000000001</v>
      </c>
      <c r="G609" s="200">
        <f t="shared" si="91"/>
        <v>7.2759</v>
      </c>
      <c r="H609" s="200">
        <v>7.0793999999999997</v>
      </c>
      <c r="I609" s="200">
        <f t="shared" si="94"/>
        <v>0.19650000000000034</v>
      </c>
      <c r="J609" s="200">
        <f t="shared" si="92"/>
        <v>4.2999999999996652E-3</v>
      </c>
      <c r="K609" s="270">
        <f t="shared" si="93"/>
        <v>2.1414342629480405</v>
      </c>
      <c r="L609" s="200">
        <v>13</v>
      </c>
      <c r="AB609" s="110"/>
      <c r="AC609" s="110"/>
      <c r="AD609" s="110"/>
      <c r="AE609" s="110"/>
    </row>
    <row r="610" spans="1:31">
      <c r="A610" s="205" t="s">
        <v>1102</v>
      </c>
      <c r="C610" s="200">
        <v>124</v>
      </c>
      <c r="D610" s="200">
        <v>1.2157</v>
      </c>
      <c r="E610" s="201">
        <v>11.4542</v>
      </c>
      <c r="F610" s="201">
        <v>0.20200000000000001</v>
      </c>
      <c r="G610" s="200">
        <f t="shared" si="91"/>
        <v>11.6562</v>
      </c>
      <c r="H610" s="200">
        <v>11.4687</v>
      </c>
      <c r="I610" s="200">
        <f t="shared" si="94"/>
        <v>0.1875</v>
      </c>
      <c r="J610" s="200">
        <f t="shared" si="92"/>
        <v>1.4500000000000013E-2</v>
      </c>
      <c r="K610" s="270">
        <f t="shared" si="93"/>
        <v>7.1782178217821846</v>
      </c>
      <c r="L610" s="200">
        <v>7</v>
      </c>
      <c r="M610" s="206">
        <v>43185.385416666664</v>
      </c>
      <c r="N610" s="200"/>
      <c r="O610" s="200" t="s">
        <v>2540</v>
      </c>
      <c r="P610" s="200"/>
      <c r="AB610" s="110"/>
      <c r="AC610" s="110"/>
      <c r="AD610" s="110"/>
      <c r="AE610" s="110"/>
    </row>
    <row r="611" spans="1:31">
      <c r="A611" s="196" t="s">
        <v>751</v>
      </c>
      <c r="C611" s="200">
        <v>60</v>
      </c>
      <c r="D611" s="200">
        <v>1.3048</v>
      </c>
      <c r="E611" s="200">
        <v>8.8451000000000004</v>
      </c>
      <c r="F611" s="200">
        <v>0.20810000000000001</v>
      </c>
      <c r="G611" s="200">
        <f t="shared" si="91"/>
        <v>9.0532000000000004</v>
      </c>
      <c r="H611" s="200">
        <v>8.8652999999999995</v>
      </c>
      <c r="I611" s="200">
        <f t="shared" si="94"/>
        <v>0.18790000000000084</v>
      </c>
      <c r="J611" s="200">
        <f t="shared" si="92"/>
        <v>2.0199999999999163E-2</v>
      </c>
      <c r="K611" s="270">
        <f t="shared" si="93"/>
        <v>9.7068716962994532</v>
      </c>
      <c r="L611" s="200">
        <v>22</v>
      </c>
      <c r="M611" s="204">
        <v>43173</v>
      </c>
      <c r="N611" s="204">
        <v>43173</v>
      </c>
      <c r="O611" s="200" t="s">
        <v>2540</v>
      </c>
      <c r="P611" s="200" t="s">
        <v>2539</v>
      </c>
      <c r="AB611" s="110"/>
      <c r="AC611" s="110"/>
      <c r="AD611" s="110"/>
      <c r="AE611" s="110"/>
    </row>
    <row r="612" spans="1:31">
      <c r="A612" s="200" t="s">
        <v>750</v>
      </c>
      <c r="C612" s="200">
        <v>85</v>
      </c>
      <c r="D612" s="200">
        <v>1.3975</v>
      </c>
      <c r="E612" s="201">
        <v>7.1887999999999996</v>
      </c>
      <c r="F612" s="201">
        <v>0.20019999999999999</v>
      </c>
      <c r="G612" s="200">
        <f t="shared" si="91"/>
        <v>7.3889999999999993</v>
      </c>
      <c r="H612" s="200">
        <v>7.1961000000000004</v>
      </c>
      <c r="I612" s="200">
        <f t="shared" si="94"/>
        <v>0.19289999999999896</v>
      </c>
      <c r="J612" s="200">
        <f t="shared" si="92"/>
        <v>7.3000000000010279E-3</v>
      </c>
      <c r="K612" s="270">
        <f t="shared" si="93"/>
        <v>3.6463536463541599</v>
      </c>
      <c r="L612" s="200">
        <v>40</v>
      </c>
      <c r="M612" s="206">
        <v>43186.458333333336</v>
      </c>
      <c r="N612" s="206">
        <v>43186.625</v>
      </c>
      <c r="O612" s="196" t="s">
        <v>2534</v>
      </c>
      <c r="P612" s="200"/>
      <c r="AB612" s="110"/>
      <c r="AC612" s="110"/>
      <c r="AD612" s="110"/>
      <c r="AE612" s="110"/>
    </row>
    <row r="613" spans="1:31">
      <c r="A613" s="196" t="s">
        <v>749</v>
      </c>
      <c r="C613" s="197">
        <v>210</v>
      </c>
      <c r="D613" s="196">
        <v>1.4152</v>
      </c>
      <c r="E613" s="201">
        <v>8.1193000000000008</v>
      </c>
      <c r="F613" s="201">
        <v>0.2087</v>
      </c>
      <c r="G613" s="200">
        <f t="shared" si="91"/>
        <v>8.3280000000000012</v>
      </c>
      <c r="H613" s="200">
        <v>8.1370000000000005</v>
      </c>
      <c r="I613" s="200">
        <f t="shared" si="94"/>
        <v>0.19100000000000072</v>
      </c>
      <c r="J613" s="200">
        <f t="shared" si="92"/>
        <v>1.7699999999999272E-2</v>
      </c>
      <c r="K613" s="270">
        <f t="shared" si="93"/>
        <v>8.4810733109723397</v>
      </c>
      <c r="L613" s="200">
        <v>3</v>
      </c>
      <c r="AB613" s="110"/>
      <c r="AC613" s="110"/>
      <c r="AD613" s="110"/>
      <c r="AE613" s="110"/>
    </row>
    <row r="614" spans="1:31">
      <c r="A614" s="196" t="s">
        <v>748</v>
      </c>
      <c r="C614" s="197">
        <v>73</v>
      </c>
      <c r="D614" s="196">
        <v>1.4407000000000001</v>
      </c>
      <c r="E614" s="200">
        <v>11.746499999999999</v>
      </c>
      <c r="F614" s="201">
        <v>0.2059</v>
      </c>
      <c r="G614" s="200">
        <f t="shared" si="91"/>
        <v>11.952399999999999</v>
      </c>
      <c r="H614" s="200">
        <v>11.7516</v>
      </c>
      <c r="I614" s="200">
        <f t="shared" si="94"/>
        <v>0.2007999999999992</v>
      </c>
      <c r="J614" s="200">
        <f t="shared" si="92"/>
        <v>5.1000000000007983E-3</v>
      </c>
      <c r="K614" s="270">
        <f t="shared" si="93"/>
        <v>2.4769305488104898</v>
      </c>
      <c r="L614" s="200">
        <v>6</v>
      </c>
      <c r="M614" s="203">
        <v>43212</v>
      </c>
      <c r="AB614" s="110"/>
      <c r="AC614" s="110"/>
      <c r="AD614" s="110"/>
      <c r="AE614" s="110"/>
    </row>
    <row r="615" spans="1:31">
      <c r="A615" s="196" t="s">
        <v>746</v>
      </c>
      <c r="C615" s="197">
        <v>201</v>
      </c>
      <c r="D615" s="196">
        <v>1.3948</v>
      </c>
      <c r="E615" s="200">
        <v>10.5029</v>
      </c>
      <c r="F615" s="201">
        <v>0.20250000000000001</v>
      </c>
      <c r="G615" s="200">
        <f t="shared" si="91"/>
        <v>10.705400000000001</v>
      </c>
      <c r="H615" s="200">
        <v>10.509</v>
      </c>
      <c r="I615" s="200">
        <f t="shared" si="94"/>
        <v>0.19640000000000057</v>
      </c>
      <c r="J615" s="200">
        <f t="shared" si="92"/>
        <v>6.0999999999994392E-3</v>
      </c>
      <c r="K615" s="270">
        <f t="shared" si="93"/>
        <v>3.0123456790120686</v>
      </c>
      <c r="L615" s="200">
        <v>9</v>
      </c>
      <c r="M615" s="203">
        <v>43212</v>
      </c>
      <c r="AB615" s="110"/>
      <c r="AC615" s="110"/>
      <c r="AD615" s="110"/>
      <c r="AE615" s="110"/>
    </row>
    <row r="616" spans="1:31">
      <c r="A616" s="196" t="s">
        <v>745</v>
      </c>
      <c r="C616" s="197">
        <v>32</v>
      </c>
      <c r="D616" s="196">
        <v>1.0985</v>
      </c>
      <c r="E616" s="201">
        <v>10.8552</v>
      </c>
      <c r="F616" s="201">
        <v>0.2059</v>
      </c>
      <c r="G616" s="200">
        <f t="shared" si="91"/>
        <v>11.0611</v>
      </c>
      <c r="H616" s="200">
        <v>10.870799999999999</v>
      </c>
      <c r="I616" s="200">
        <f t="shared" si="94"/>
        <v>0.19030000000000058</v>
      </c>
      <c r="J616" s="200">
        <f t="shared" si="92"/>
        <v>1.559999999999942E-2</v>
      </c>
      <c r="K616" s="270">
        <f t="shared" si="93"/>
        <v>7.5764934434188538</v>
      </c>
      <c r="L616" s="200">
        <v>25</v>
      </c>
      <c r="AB616" s="110"/>
      <c r="AC616" s="110"/>
      <c r="AD616" s="110"/>
      <c r="AE616" s="110"/>
    </row>
    <row r="617" spans="1:31">
      <c r="A617" s="200" t="s">
        <v>743</v>
      </c>
      <c r="C617" s="200">
        <v>7</v>
      </c>
      <c r="D617" s="196">
        <v>1.2833000000000001</v>
      </c>
      <c r="E617" s="201">
        <v>10.7433</v>
      </c>
      <c r="F617" s="201">
        <v>0.19950000000000001</v>
      </c>
      <c r="G617" s="200">
        <f t="shared" si="91"/>
        <v>10.9428</v>
      </c>
      <c r="H617" s="200">
        <v>10.7507</v>
      </c>
      <c r="I617" s="200">
        <f t="shared" si="94"/>
        <v>0.19209999999999994</v>
      </c>
      <c r="J617" s="200">
        <f t="shared" si="92"/>
        <v>7.4000000000000732E-3</v>
      </c>
      <c r="K617" s="270">
        <f t="shared" si="93"/>
        <v>3.7092731829574301</v>
      </c>
      <c r="L617" s="200">
        <v>2</v>
      </c>
      <c r="M617" s="206">
        <v>43185.385416666664</v>
      </c>
      <c r="N617" s="200"/>
      <c r="O617" s="200" t="s">
        <v>2540</v>
      </c>
      <c r="P617" s="200"/>
      <c r="AB617" s="110"/>
      <c r="AC617" s="110"/>
      <c r="AD617" s="110"/>
      <c r="AE617" s="110"/>
    </row>
    <row r="618" spans="1:31">
      <c r="A618" s="205" t="s">
        <v>1137</v>
      </c>
      <c r="C618" s="196">
        <v>92</v>
      </c>
      <c r="D618" s="200">
        <v>1.4371</v>
      </c>
      <c r="E618" s="201">
        <v>11.903600000000001</v>
      </c>
      <c r="F618" s="201">
        <v>0.2074</v>
      </c>
      <c r="G618" s="200">
        <f t="shared" si="91"/>
        <v>12.111000000000001</v>
      </c>
      <c r="H618" s="200">
        <v>11.9087</v>
      </c>
      <c r="I618" s="200">
        <f t="shared" si="94"/>
        <v>0.20230000000000103</v>
      </c>
      <c r="J618" s="200">
        <f t="shared" si="92"/>
        <v>5.0999999999989665E-3</v>
      </c>
      <c r="K618" s="270">
        <f t="shared" si="93"/>
        <v>2.4590163934421247</v>
      </c>
      <c r="L618" s="200">
        <v>14</v>
      </c>
      <c r="M618" s="206">
        <v>43186.458333333336</v>
      </c>
      <c r="N618" s="206">
        <v>43186.625</v>
      </c>
      <c r="O618" s="196" t="s">
        <v>2534</v>
      </c>
      <c r="P618" s="200" t="s">
        <v>2562</v>
      </c>
      <c r="AB618" s="110"/>
      <c r="AC618" s="110"/>
      <c r="AD618" s="110"/>
      <c r="AE618" s="110"/>
    </row>
    <row r="619" spans="1:31">
      <c r="A619" s="201" t="s">
        <v>1101</v>
      </c>
      <c r="C619" s="200">
        <v>145</v>
      </c>
      <c r="D619" s="200">
        <v>1.3506999999999998</v>
      </c>
      <c r="E619" s="200">
        <v>8.2186000000000003</v>
      </c>
      <c r="F619" s="200">
        <v>0.20599999999999999</v>
      </c>
      <c r="G619" s="200">
        <f t="shared" si="91"/>
        <v>8.4245999999999999</v>
      </c>
      <c r="H619" s="200">
        <v>8.2359000000000009</v>
      </c>
      <c r="I619" s="200">
        <f t="shared" si="94"/>
        <v>0.18869999999999898</v>
      </c>
      <c r="J619" s="200">
        <f t="shared" si="92"/>
        <v>1.7300000000001009E-2</v>
      </c>
      <c r="K619" s="270">
        <f t="shared" si="93"/>
        <v>8.3980582524276741</v>
      </c>
      <c r="L619" s="200">
        <v>26</v>
      </c>
      <c r="M619" s="204">
        <v>43173</v>
      </c>
      <c r="N619" s="204">
        <v>43173</v>
      </c>
      <c r="O619" s="200" t="s">
        <v>2540</v>
      </c>
      <c r="P619" s="200" t="s">
        <v>2539</v>
      </c>
      <c r="AB619" s="110"/>
      <c r="AC619" s="110"/>
      <c r="AD619" s="110"/>
      <c r="AE619" s="110"/>
    </row>
    <row r="620" spans="1:31">
      <c r="A620" s="200" t="s">
        <v>738</v>
      </c>
      <c r="C620" s="200">
        <v>169</v>
      </c>
      <c r="D620" s="200">
        <v>1.4878</v>
      </c>
      <c r="E620" s="200">
        <v>7.7732000000000001</v>
      </c>
      <c r="F620" s="201">
        <v>0.20669999999999999</v>
      </c>
      <c r="G620" s="200">
        <f t="shared" si="91"/>
        <v>7.9798999999999998</v>
      </c>
      <c r="H620" s="196">
        <v>7.7808000000000002</v>
      </c>
      <c r="I620" s="196">
        <f t="shared" si="94"/>
        <v>0.19909999999999961</v>
      </c>
      <c r="J620" s="200">
        <f t="shared" si="92"/>
        <v>7.6000000000003842E-3</v>
      </c>
      <c r="K620" s="270">
        <f t="shared" si="93"/>
        <v>3.6768263183359386</v>
      </c>
      <c r="L620" s="200">
        <v>21</v>
      </c>
      <c r="M620" s="204">
        <v>43187</v>
      </c>
      <c r="N620" s="204">
        <v>43187</v>
      </c>
      <c r="O620" s="200"/>
      <c r="P620" s="200"/>
      <c r="AB620" s="110"/>
      <c r="AC620" s="110"/>
      <c r="AD620" s="110"/>
      <c r="AE620" s="110"/>
    </row>
    <row r="621" spans="1:31">
      <c r="A621" s="196" t="s">
        <v>737</v>
      </c>
      <c r="P621" s="196" t="s">
        <v>3215</v>
      </c>
      <c r="AB621" s="110"/>
      <c r="AC621" s="110"/>
      <c r="AD621" s="110"/>
      <c r="AE621" s="110"/>
    </row>
    <row r="622" spans="1:31">
      <c r="A622" s="196" t="s">
        <v>735</v>
      </c>
      <c r="C622" s="196">
        <v>8</v>
      </c>
      <c r="D622" s="196">
        <v>1.2090000000000001</v>
      </c>
      <c r="E622" s="196">
        <v>7.0926999999999998</v>
      </c>
      <c r="F622" s="196">
        <v>0.2056</v>
      </c>
      <c r="G622" s="196">
        <f>E622+F622</f>
        <v>7.2982999999999993</v>
      </c>
      <c r="H622" s="196">
        <v>7.0979000000000001</v>
      </c>
      <c r="I622" s="196">
        <f>(G622-H622)</f>
        <v>0.20039999999999925</v>
      </c>
      <c r="J622" s="200">
        <f>F622-I622</f>
        <v>5.2000000000007596E-3</v>
      </c>
      <c r="K622" s="270">
        <f>(J622/F622)*100</f>
        <v>2.5291828793778013</v>
      </c>
      <c r="L622" s="196">
        <v>2</v>
      </c>
      <c r="M622" s="196" t="s">
        <v>2570</v>
      </c>
      <c r="N622" s="196" t="s">
        <v>2569</v>
      </c>
      <c r="O622" s="196" t="s">
        <v>2534</v>
      </c>
      <c r="AB622" s="110"/>
      <c r="AC622" s="110"/>
      <c r="AD622" s="110"/>
      <c r="AE622" s="110"/>
    </row>
    <row r="623" spans="1:31">
      <c r="A623" s="196" t="s">
        <v>733</v>
      </c>
      <c r="P623" s="196" t="s">
        <v>3215</v>
      </c>
      <c r="AB623" s="110"/>
      <c r="AC623" s="110"/>
      <c r="AD623" s="110"/>
      <c r="AE623" s="110"/>
    </row>
    <row r="624" spans="1:31">
      <c r="A624" s="196" t="s">
        <v>1100</v>
      </c>
      <c r="C624" s="196">
        <v>112</v>
      </c>
      <c r="D624" s="196">
        <v>1.4342999999999999</v>
      </c>
      <c r="E624" s="196">
        <v>19.091799999999999</v>
      </c>
      <c r="F624" s="196">
        <v>0.20430000000000001</v>
      </c>
      <c r="G624" s="196">
        <f t="shared" ref="G624:G631" si="95">E624+F624</f>
        <v>19.296099999999999</v>
      </c>
      <c r="H624" s="196">
        <v>19.106100000000001</v>
      </c>
      <c r="I624" s="196">
        <f t="shared" ref="I624:I631" si="96">(G624-H624)</f>
        <v>0.18999999999999773</v>
      </c>
      <c r="J624" s="200">
        <f t="shared" ref="J624:J631" si="97">F624-I624</f>
        <v>1.4300000000002283E-2</v>
      </c>
      <c r="K624" s="270">
        <f t="shared" ref="K624:K631" si="98">(J624/F624)*100</f>
        <v>6.9995105237407165</v>
      </c>
      <c r="L624" s="196">
        <v>10</v>
      </c>
      <c r="M624" s="196" t="s">
        <v>2560</v>
      </c>
      <c r="N624" s="196">
        <v>43153.729166666664</v>
      </c>
      <c r="O624" s="196" t="s">
        <v>2534</v>
      </c>
      <c r="P624" s="196" t="s">
        <v>2558</v>
      </c>
      <c r="AB624" s="110"/>
      <c r="AC624" s="110"/>
      <c r="AD624" s="110"/>
      <c r="AE624" s="110"/>
    </row>
    <row r="625" spans="1:31">
      <c r="A625" s="200" t="s">
        <v>731</v>
      </c>
      <c r="C625" s="200">
        <v>217</v>
      </c>
      <c r="D625" s="200">
        <v>1.2276</v>
      </c>
      <c r="E625" s="200">
        <v>9.1377000000000006</v>
      </c>
      <c r="F625" s="201">
        <v>0.2034</v>
      </c>
      <c r="G625" s="200">
        <f t="shared" si="95"/>
        <v>9.3411000000000008</v>
      </c>
      <c r="H625" s="200">
        <v>9.1463999999999999</v>
      </c>
      <c r="I625" s="200">
        <f t="shared" si="96"/>
        <v>0.19470000000000098</v>
      </c>
      <c r="J625" s="200">
        <f t="shared" si="97"/>
        <v>8.6999999999990141E-3</v>
      </c>
      <c r="K625" s="270">
        <f t="shared" si="98"/>
        <v>4.277286135692731</v>
      </c>
      <c r="L625" s="200">
        <v>3</v>
      </c>
      <c r="M625" s="204">
        <v>43211</v>
      </c>
      <c r="N625" s="200"/>
      <c r="O625" s="200"/>
      <c r="P625" s="200"/>
      <c r="AB625" s="110"/>
      <c r="AC625" s="110"/>
      <c r="AD625" s="110"/>
      <c r="AE625" s="110"/>
    </row>
    <row r="626" spans="1:31">
      <c r="A626" s="196" t="s">
        <v>730</v>
      </c>
      <c r="C626" s="200">
        <v>165</v>
      </c>
      <c r="D626" s="200">
        <v>1.4901</v>
      </c>
      <c r="E626" s="200">
        <v>8.0657999999999994</v>
      </c>
      <c r="F626" s="200">
        <v>0.2082</v>
      </c>
      <c r="G626" s="200">
        <f t="shared" si="95"/>
        <v>8.2739999999999991</v>
      </c>
      <c r="H626" s="200">
        <v>8.0698000000000008</v>
      </c>
      <c r="I626" s="200">
        <f t="shared" si="96"/>
        <v>0.20419999999999838</v>
      </c>
      <c r="J626" s="200">
        <f t="shared" si="97"/>
        <v>4.0000000000016134E-3</v>
      </c>
      <c r="K626" s="270">
        <f t="shared" si="98"/>
        <v>1.9212295869364138</v>
      </c>
      <c r="L626" s="200">
        <v>17</v>
      </c>
      <c r="M626" s="202">
        <v>43164.628472222219</v>
      </c>
      <c r="N626" s="202">
        <v>43164.795138888891</v>
      </c>
      <c r="O626" s="196" t="s">
        <v>2534</v>
      </c>
      <c r="P626" s="200"/>
      <c r="AB626" s="110"/>
      <c r="AC626" s="110"/>
      <c r="AD626" s="110"/>
      <c r="AE626" s="110"/>
    </row>
    <row r="627" spans="1:31">
      <c r="A627" s="205" t="s">
        <v>729</v>
      </c>
      <c r="C627" s="200">
        <v>214</v>
      </c>
      <c r="D627" s="200">
        <v>1.2703</v>
      </c>
      <c r="E627" s="200">
        <v>8.9997000000000007</v>
      </c>
      <c r="F627" s="200">
        <v>0.2001</v>
      </c>
      <c r="G627" s="200">
        <f t="shared" si="95"/>
        <v>9.1998000000000015</v>
      </c>
      <c r="H627" s="200">
        <v>9.0108999999999995</v>
      </c>
      <c r="I627" s="200">
        <f t="shared" si="96"/>
        <v>0.18890000000000207</v>
      </c>
      <c r="J627" s="200">
        <f t="shared" si="97"/>
        <v>1.1199999999997934E-2</v>
      </c>
      <c r="K627" s="270">
        <f t="shared" si="98"/>
        <v>5.5972013992993173</v>
      </c>
      <c r="L627" s="200">
        <v>5</v>
      </c>
      <c r="M627" s="202">
        <v>43164.628472222219</v>
      </c>
      <c r="N627" s="202">
        <v>43164.795138888891</v>
      </c>
      <c r="O627" s="196" t="s">
        <v>2534</v>
      </c>
      <c r="P627" s="200"/>
      <c r="AB627" s="110"/>
      <c r="AC627" s="110"/>
      <c r="AD627" s="110"/>
      <c r="AE627" s="110"/>
    </row>
    <row r="628" spans="1:31">
      <c r="A628" s="200" t="s">
        <v>727</v>
      </c>
      <c r="C628" s="200">
        <v>69</v>
      </c>
      <c r="D628" s="201">
        <v>2.0773000000000001</v>
      </c>
      <c r="E628" s="201">
        <v>8.0951000000000004</v>
      </c>
      <c r="F628" s="201">
        <v>0.20949999999999999</v>
      </c>
      <c r="G628" s="200">
        <f t="shared" si="95"/>
        <v>8.3046000000000006</v>
      </c>
      <c r="H628" s="200">
        <v>8.1296999999999997</v>
      </c>
      <c r="I628" s="200">
        <f t="shared" si="96"/>
        <v>0.17490000000000094</v>
      </c>
      <c r="J628" s="200">
        <f t="shared" si="97"/>
        <v>3.4599999999999048E-2</v>
      </c>
      <c r="K628" s="270">
        <f t="shared" si="98"/>
        <v>16.515513126491193</v>
      </c>
      <c r="L628" s="200">
        <v>18</v>
      </c>
      <c r="M628" s="202">
        <v>43181.645833333336</v>
      </c>
      <c r="N628" s="202">
        <v>43181.833333333336</v>
      </c>
      <c r="O628" s="200" t="s">
        <v>2540</v>
      </c>
      <c r="P628" s="200"/>
      <c r="AB628" s="110"/>
      <c r="AC628" s="110"/>
      <c r="AD628" s="110"/>
      <c r="AE628" s="110"/>
    </row>
    <row r="629" spans="1:31">
      <c r="A629" s="200" t="s">
        <v>726</v>
      </c>
      <c r="B629" s="200"/>
      <c r="C629" s="200">
        <v>15</v>
      </c>
      <c r="D629" s="200">
        <v>2.4432999999999998</v>
      </c>
      <c r="E629" s="201">
        <v>7.7142999999999997</v>
      </c>
      <c r="F629" s="201">
        <v>0.20319999999999999</v>
      </c>
      <c r="G629" s="200">
        <f t="shared" si="95"/>
        <v>7.9174999999999995</v>
      </c>
      <c r="H629" s="200">
        <v>7.8741000000000003</v>
      </c>
      <c r="I629" s="200">
        <f t="shared" si="96"/>
        <v>4.3399999999999217E-2</v>
      </c>
      <c r="J629" s="200">
        <f t="shared" si="97"/>
        <v>0.15980000000000077</v>
      </c>
      <c r="K629" s="270">
        <f t="shared" si="98"/>
        <v>78.641732283464947</v>
      </c>
      <c r="L629" s="200">
        <v>31</v>
      </c>
      <c r="M629" s="206">
        <v>43185.385416666664</v>
      </c>
      <c r="N629" s="200"/>
      <c r="O629" s="200" t="s">
        <v>2540</v>
      </c>
      <c r="P629" s="200"/>
      <c r="Q629" s="200"/>
      <c r="R629" s="200"/>
      <c r="S629" s="200"/>
      <c r="T629" s="200"/>
      <c r="U629" s="200"/>
      <c r="V629" s="200"/>
      <c r="W629" s="200"/>
      <c r="AB629" s="110"/>
      <c r="AC629" s="110"/>
      <c r="AD629" s="110"/>
      <c r="AE629" s="110"/>
    </row>
    <row r="630" spans="1:31">
      <c r="A630" s="205" t="s">
        <v>724</v>
      </c>
      <c r="C630" s="200">
        <v>84</v>
      </c>
      <c r="D630" s="200">
        <v>1.3305</v>
      </c>
      <c r="E630" s="201">
        <v>9.1560000000000006</v>
      </c>
      <c r="F630" s="201">
        <v>0.2016</v>
      </c>
      <c r="G630" s="200">
        <f t="shared" si="95"/>
        <v>9.3576000000000015</v>
      </c>
      <c r="H630" s="200">
        <v>9.1707999999999998</v>
      </c>
      <c r="I630" s="200">
        <f t="shared" si="96"/>
        <v>0.18680000000000163</v>
      </c>
      <c r="J630" s="200">
        <f t="shared" si="97"/>
        <v>1.479999999999837E-2</v>
      </c>
      <c r="K630" s="270">
        <f t="shared" si="98"/>
        <v>7.3412698412690327</v>
      </c>
      <c r="L630" s="200">
        <v>3</v>
      </c>
      <c r="M630" s="206">
        <v>43186.458333333336</v>
      </c>
      <c r="N630" s="206">
        <v>43186.625</v>
      </c>
      <c r="O630" s="196" t="s">
        <v>2534</v>
      </c>
      <c r="P630" s="200"/>
      <c r="AB630" s="110"/>
      <c r="AC630" s="110"/>
      <c r="AD630" s="110"/>
      <c r="AE630" s="110"/>
    </row>
    <row r="631" spans="1:31">
      <c r="A631" s="196" t="s">
        <v>723</v>
      </c>
      <c r="C631" s="196">
        <v>128</v>
      </c>
      <c r="D631" s="196">
        <v>1.1819999999999999</v>
      </c>
      <c r="E631" s="196">
        <v>8.7603000000000009</v>
      </c>
      <c r="F631" s="196">
        <v>0.20549999999999999</v>
      </c>
      <c r="G631" s="196">
        <f t="shared" si="95"/>
        <v>8.9658000000000015</v>
      </c>
      <c r="H631" s="196">
        <v>8.7693999999999992</v>
      </c>
      <c r="I631" s="196">
        <f t="shared" si="96"/>
        <v>0.19640000000000235</v>
      </c>
      <c r="J631" s="200">
        <f t="shared" si="97"/>
        <v>9.0999999999976378E-3</v>
      </c>
      <c r="K631" s="270">
        <f t="shared" si="98"/>
        <v>4.4282238442810895</v>
      </c>
      <c r="L631" s="196">
        <v>7</v>
      </c>
      <c r="M631" s="196">
        <v>43157.395833333336</v>
      </c>
      <c r="N631" s="196">
        <v>43157.569444444445</v>
      </c>
      <c r="O631" s="196" t="s">
        <v>2534</v>
      </c>
      <c r="AB631" s="110"/>
      <c r="AC631" s="110"/>
      <c r="AD631" s="110"/>
      <c r="AE631" s="110"/>
    </row>
    <row r="632" spans="1:31">
      <c r="A632" s="196" t="s">
        <v>1099</v>
      </c>
      <c r="P632" s="196" t="s">
        <v>3215</v>
      </c>
      <c r="AB632" s="110"/>
      <c r="AC632" s="110"/>
      <c r="AD632" s="110"/>
      <c r="AE632" s="110"/>
    </row>
    <row r="633" spans="1:31">
      <c r="A633" s="205" t="s">
        <v>721</v>
      </c>
      <c r="C633" s="200">
        <v>40</v>
      </c>
      <c r="D633" s="200">
        <v>1.4009</v>
      </c>
      <c r="E633" s="200">
        <v>11.2585</v>
      </c>
      <c r="F633" s="201">
        <v>0.2006</v>
      </c>
      <c r="G633" s="200">
        <f t="shared" ref="G633:G647" si="99">E633+F633</f>
        <v>11.459099999999999</v>
      </c>
      <c r="H633" s="200">
        <v>11.2681</v>
      </c>
      <c r="I633" s="200">
        <f t="shared" ref="I633:I647" si="100">(G633-H633)</f>
        <v>0.19099999999999895</v>
      </c>
      <c r="J633" s="200">
        <f t="shared" ref="J633:J647" si="101">F633-I633</f>
        <v>9.6000000000010521E-3</v>
      </c>
      <c r="K633" s="270">
        <f t="shared" ref="K633:K647" si="102">(J633/F633)*100</f>
        <v>4.7856430707881614</v>
      </c>
      <c r="L633" s="200">
        <v>7</v>
      </c>
      <c r="M633" s="204">
        <v>43211</v>
      </c>
      <c r="N633" s="200"/>
      <c r="O633" s="200"/>
      <c r="P633" s="200"/>
      <c r="AB633" s="110"/>
      <c r="AC633" s="110"/>
      <c r="AD633" s="110"/>
      <c r="AE633" s="110"/>
    </row>
    <row r="634" spans="1:31">
      <c r="A634" s="205" t="s">
        <v>720</v>
      </c>
      <c r="C634" s="200">
        <v>160</v>
      </c>
      <c r="D634" s="200">
        <v>1.4998</v>
      </c>
      <c r="E634" s="200">
        <v>7.0930999999999997</v>
      </c>
      <c r="F634" s="201">
        <v>0.20030000000000001</v>
      </c>
      <c r="G634" s="200">
        <f t="shared" si="99"/>
        <v>7.2934000000000001</v>
      </c>
      <c r="H634" s="200">
        <v>7.1029</v>
      </c>
      <c r="I634" s="200">
        <f t="shared" si="100"/>
        <v>0.19050000000000011</v>
      </c>
      <c r="J634" s="200">
        <f t="shared" si="101"/>
        <v>9.7999999999998921E-3</v>
      </c>
      <c r="K634" s="270">
        <f t="shared" si="102"/>
        <v>4.8926610084872157</v>
      </c>
      <c r="L634" s="200">
        <v>16</v>
      </c>
      <c r="M634" s="204">
        <v>43211</v>
      </c>
      <c r="AB634" s="110"/>
      <c r="AC634" s="110"/>
      <c r="AD634" s="110"/>
      <c r="AE634" s="110"/>
    </row>
    <row r="635" spans="1:31">
      <c r="A635" s="196" t="s">
        <v>718</v>
      </c>
      <c r="C635" s="200">
        <v>63</v>
      </c>
      <c r="D635" s="201">
        <v>1.3973</v>
      </c>
      <c r="E635" s="201">
        <v>10.415800000000001</v>
      </c>
      <c r="F635" s="201">
        <v>0.2077</v>
      </c>
      <c r="G635" s="200">
        <f t="shared" si="99"/>
        <v>10.6235</v>
      </c>
      <c r="H635" s="200">
        <v>10.432499999999999</v>
      </c>
      <c r="I635" s="200">
        <f t="shared" si="100"/>
        <v>0.19100000000000072</v>
      </c>
      <c r="J635" s="200">
        <f t="shared" si="101"/>
        <v>1.6699999999999271E-2</v>
      </c>
      <c r="K635" s="270">
        <f t="shared" si="102"/>
        <v>8.0404429465571852</v>
      </c>
      <c r="L635" s="200">
        <v>5</v>
      </c>
      <c r="M635" s="200"/>
      <c r="N635" s="200"/>
      <c r="O635" s="200"/>
      <c r="P635" s="200"/>
      <c r="AB635" s="110"/>
      <c r="AC635" s="110"/>
      <c r="AD635" s="110"/>
      <c r="AE635" s="110"/>
    </row>
    <row r="636" spans="1:31">
      <c r="A636" s="200" t="s">
        <v>717</v>
      </c>
      <c r="C636" s="200">
        <v>127</v>
      </c>
      <c r="D636" s="201">
        <v>1.2995000000000001</v>
      </c>
      <c r="E636" s="200">
        <v>8.9579000000000004</v>
      </c>
      <c r="F636" s="201">
        <v>0.20699999999999999</v>
      </c>
      <c r="G636" s="200">
        <f t="shared" si="99"/>
        <v>9.1649000000000012</v>
      </c>
      <c r="H636" s="200">
        <v>8.9731000000000005</v>
      </c>
      <c r="I636" s="200">
        <f t="shared" si="100"/>
        <v>0.19180000000000064</v>
      </c>
      <c r="J636" s="200">
        <f t="shared" si="101"/>
        <v>1.5199999999999353E-2</v>
      </c>
      <c r="K636" s="270">
        <f t="shared" si="102"/>
        <v>7.3429951690818136</v>
      </c>
      <c r="L636" s="200">
        <v>5</v>
      </c>
      <c r="M636" s="204">
        <v>43206</v>
      </c>
      <c r="N636" s="204">
        <v>43206</v>
      </c>
      <c r="O636" s="200"/>
      <c r="P636" s="200"/>
      <c r="AB636" s="110"/>
      <c r="AC636" s="110"/>
      <c r="AD636" s="110"/>
      <c r="AE636" s="110"/>
    </row>
    <row r="637" spans="1:31">
      <c r="A637" s="205" t="s">
        <v>715</v>
      </c>
      <c r="C637" s="200">
        <v>138</v>
      </c>
      <c r="D637" s="200">
        <v>1.3494999999999999</v>
      </c>
      <c r="E637" s="201">
        <v>11.089</v>
      </c>
      <c r="F637" s="201">
        <v>0.2021</v>
      </c>
      <c r="G637" s="200">
        <f t="shared" si="99"/>
        <v>11.2911</v>
      </c>
      <c r="H637" s="200">
        <v>11.098699999999999</v>
      </c>
      <c r="I637" s="200">
        <f t="shared" si="100"/>
        <v>0.19240000000000101</v>
      </c>
      <c r="J637" s="200">
        <f t="shared" si="101"/>
        <v>9.6999999999989872E-3</v>
      </c>
      <c r="K637" s="270">
        <f t="shared" si="102"/>
        <v>4.7996041563577378</v>
      </c>
      <c r="L637" s="200">
        <v>33</v>
      </c>
      <c r="M637" s="206">
        <v>43186.458333333336</v>
      </c>
      <c r="N637" s="206">
        <v>43186.625</v>
      </c>
      <c r="O637" s="196" t="s">
        <v>2534</v>
      </c>
      <c r="P637" s="200"/>
      <c r="AB637" s="110"/>
      <c r="AC637" s="110"/>
      <c r="AD637" s="110"/>
      <c r="AE637" s="110"/>
    </row>
    <row r="638" spans="1:31">
      <c r="A638" s="196" t="s">
        <v>714</v>
      </c>
      <c r="C638" s="197">
        <v>187</v>
      </c>
      <c r="D638" s="196">
        <v>1.4764999999999999</v>
      </c>
      <c r="E638" s="201">
        <v>10.7433</v>
      </c>
      <c r="F638" s="201">
        <v>0.2056</v>
      </c>
      <c r="G638" s="200">
        <f t="shared" si="99"/>
        <v>10.9489</v>
      </c>
      <c r="H638" s="200">
        <v>10.747299999999999</v>
      </c>
      <c r="I638" s="200">
        <f t="shared" si="100"/>
        <v>0.20160000000000089</v>
      </c>
      <c r="J638" s="200">
        <f t="shared" si="101"/>
        <v>3.9999999999991154E-3</v>
      </c>
      <c r="K638" s="270">
        <f t="shared" si="102"/>
        <v>1.9455252918283636</v>
      </c>
      <c r="L638" s="200">
        <v>18</v>
      </c>
      <c r="AB638" s="110"/>
      <c r="AC638" s="110"/>
      <c r="AD638" s="110"/>
      <c r="AE638" s="110"/>
    </row>
    <row r="639" spans="1:31">
      <c r="A639" s="200" t="s">
        <v>713</v>
      </c>
      <c r="C639" s="200">
        <v>113</v>
      </c>
      <c r="D639" s="200">
        <v>1.3206</v>
      </c>
      <c r="E639" s="200">
        <v>8.1677</v>
      </c>
      <c r="F639" s="201">
        <v>0.20169999999999999</v>
      </c>
      <c r="G639" s="200">
        <f t="shared" si="99"/>
        <v>8.3694000000000006</v>
      </c>
      <c r="H639" s="196">
        <v>8.3503000000000007</v>
      </c>
      <c r="I639" s="196">
        <f t="shared" si="100"/>
        <v>1.9099999999999895E-2</v>
      </c>
      <c r="J639" s="200">
        <f t="shared" si="101"/>
        <v>0.1826000000000001</v>
      </c>
      <c r="K639" s="270">
        <f t="shared" si="102"/>
        <v>90.530490827962367</v>
      </c>
      <c r="L639" s="200">
        <v>18</v>
      </c>
      <c r="M639" s="204">
        <v>43187</v>
      </c>
      <c r="N639" s="204">
        <v>43187</v>
      </c>
      <c r="O639" s="200"/>
      <c r="P639" s="200" t="s">
        <v>2561</v>
      </c>
      <c r="AB639" s="110"/>
      <c r="AC639" s="110"/>
      <c r="AD639" s="110"/>
      <c r="AE639" s="110"/>
    </row>
    <row r="640" spans="1:31">
      <c r="A640" s="205" t="s">
        <v>712</v>
      </c>
      <c r="C640" s="200">
        <v>122</v>
      </c>
      <c r="D640" s="200">
        <v>0.999</v>
      </c>
      <c r="E640" s="201">
        <v>8.3536999999999999</v>
      </c>
      <c r="F640" s="201">
        <v>0.20200000000000001</v>
      </c>
      <c r="G640" s="200">
        <f t="shared" si="99"/>
        <v>8.5556999999999999</v>
      </c>
      <c r="H640" s="200">
        <v>8.3711000000000002</v>
      </c>
      <c r="I640" s="200">
        <f t="shared" si="100"/>
        <v>0.18459999999999965</v>
      </c>
      <c r="J640" s="200">
        <f t="shared" si="101"/>
        <v>1.740000000000036E-2</v>
      </c>
      <c r="K640" s="270">
        <f t="shared" si="102"/>
        <v>8.6138613861387903</v>
      </c>
      <c r="L640" s="200">
        <v>5</v>
      </c>
      <c r="M640" s="202">
        <v>43181.645833333336</v>
      </c>
      <c r="N640" s="202">
        <v>43181.833333333336</v>
      </c>
      <c r="O640" s="200" t="s">
        <v>2540</v>
      </c>
      <c r="P640" s="200"/>
      <c r="AB640" s="110"/>
      <c r="AC640" s="110"/>
      <c r="AD640" s="110"/>
      <c r="AE640" s="110"/>
    </row>
    <row r="641" spans="1:31">
      <c r="A641" s="200" t="s">
        <v>711</v>
      </c>
      <c r="C641" s="200">
        <v>103</v>
      </c>
      <c r="D641" s="201">
        <v>1.373</v>
      </c>
      <c r="E641" s="200">
        <v>11.033200000000001</v>
      </c>
      <c r="F641" s="201">
        <v>0.2046</v>
      </c>
      <c r="G641" s="200">
        <f t="shared" si="99"/>
        <v>11.2378</v>
      </c>
      <c r="H641" s="200">
        <v>11.042899999999999</v>
      </c>
      <c r="I641" s="200">
        <f t="shared" si="100"/>
        <v>0.19490000000000052</v>
      </c>
      <c r="J641" s="200">
        <f t="shared" si="101"/>
        <v>9.6999999999994868E-3</v>
      </c>
      <c r="K641" s="270">
        <f t="shared" si="102"/>
        <v>4.7409579667641673</v>
      </c>
      <c r="L641" s="200">
        <v>26</v>
      </c>
      <c r="N641" s="200"/>
      <c r="O641" s="200"/>
      <c r="P641" s="200"/>
      <c r="AB641" s="110"/>
      <c r="AC641" s="110"/>
      <c r="AD641" s="110"/>
      <c r="AE641" s="110"/>
    </row>
    <row r="642" spans="1:31">
      <c r="A642" s="200" t="s">
        <v>709</v>
      </c>
      <c r="C642" s="200">
        <v>135</v>
      </c>
      <c r="D642" s="200">
        <f>1.1861+F642</f>
        <v>1.3946999999999998</v>
      </c>
      <c r="E642" s="201">
        <v>10.51</v>
      </c>
      <c r="F642" s="201">
        <v>0.20860000000000001</v>
      </c>
      <c r="G642" s="200">
        <f t="shared" si="99"/>
        <v>10.7186</v>
      </c>
      <c r="H642" s="200">
        <v>10.5381</v>
      </c>
      <c r="I642" s="200">
        <f t="shared" si="100"/>
        <v>0.18050000000000033</v>
      </c>
      <c r="J642" s="200">
        <f t="shared" si="101"/>
        <v>2.8099999999999681E-2</v>
      </c>
      <c r="K642" s="270">
        <f t="shared" si="102"/>
        <v>13.470757430488819</v>
      </c>
      <c r="L642" s="200">
        <v>25</v>
      </c>
      <c r="M642" s="204">
        <v>43174</v>
      </c>
      <c r="N642" s="204">
        <v>43174</v>
      </c>
      <c r="O642" s="200" t="s">
        <v>2540</v>
      </c>
      <c r="P642" s="200" t="s">
        <v>2535</v>
      </c>
      <c r="AB642" s="110"/>
      <c r="AC642" s="110"/>
      <c r="AD642" s="110"/>
      <c r="AE642" s="110"/>
    </row>
    <row r="643" spans="1:31">
      <c r="A643" s="205" t="s">
        <v>708</v>
      </c>
      <c r="C643" s="200">
        <v>130</v>
      </c>
      <c r="D643" s="201">
        <v>1.2664</v>
      </c>
      <c r="E643" s="201">
        <v>9.4850999999999992</v>
      </c>
      <c r="F643" s="201">
        <v>0.20419999999999999</v>
      </c>
      <c r="G643" s="200">
        <f t="shared" si="99"/>
        <v>9.6892999999999994</v>
      </c>
      <c r="H643" s="200">
        <v>9.4955999999999996</v>
      </c>
      <c r="I643" s="200">
        <f t="shared" si="100"/>
        <v>0.19369999999999976</v>
      </c>
      <c r="J643" s="200">
        <f t="shared" si="101"/>
        <v>1.0500000000000231E-2</v>
      </c>
      <c r="K643" s="270">
        <f t="shared" si="102"/>
        <v>5.1420176297748439</v>
      </c>
      <c r="L643" s="200">
        <v>33</v>
      </c>
      <c r="M643" s="202">
        <v>43181.645833333336</v>
      </c>
      <c r="N643" s="202">
        <v>43181.833333333336</v>
      </c>
      <c r="O643" s="200" t="s">
        <v>2540</v>
      </c>
      <c r="P643" s="200"/>
      <c r="AB643" s="110"/>
      <c r="AC643" s="110"/>
      <c r="AD643" s="110"/>
      <c r="AE643" s="110"/>
    </row>
    <row r="644" spans="1:31">
      <c r="A644" s="196" t="s">
        <v>707</v>
      </c>
      <c r="C644" s="197">
        <v>215</v>
      </c>
      <c r="D644" s="196">
        <v>1.3608</v>
      </c>
      <c r="E644" s="201">
        <v>11.003299999999999</v>
      </c>
      <c r="F644" s="201">
        <v>0.20480000000000001</v>
      </c>
      <c r="G644" s="200">
        <f t="shared" si="99"/>
        <v>11.2081</v>
      </c>
      <c r="H644" s="200">
        <v>11.0077</v>
      </c>
      <c r="I644" s="200">
        <f t="shared" si="100"/>
        <v>0.20040000000000013</v>
      </c>
      <c r="J644" s="200">
        <f t="shared" si="101"/>
        <v>4.3999999999998762E-3</v>
      </c>
      <c r="K644" s="270">
        <f t="shared" si="102"/>
        <v>2.1484374999999396</v>
      </c>
      <c r="L644" s="200">
        <v>20</v>
      </c>
      <c r="AB644" s="110"/>
      <c r="AC644" s="110"/>
      <c r="AD644" s="110"/>
      <c r="AE644" s="110"/>
    </row>
    <row r="645" spans="1:31">
      <c r="A645" s="196" t="s">
        <v>706</v>
      </c>
      <c r="C645" s="196">
        <v>57</v>
      </c>
      <c r="D645" s="196">
        <v>1.2402</v>
      </c>
      <c r="E645" s="200">
        <v>7.7739000000000003</v>
      </c>
      <c r="F645" s="201">
        <v>0.2036</v>
      </c>
      <c r="G645" s="200">
        <f t="shared" si="99"/>
        <v>7.9775</v>
      </c>
      <c r="H645" s="200">
        <v>7.7888999999999999</v>
      </c>
      <c r="I645" s="200">
        <f t="shared" si="100"/>
        <v>0.1886000000000001</v>
      </c>
      <c r="J645" s="200">
        <f t="shared" si="101"/>
        <v>1.4999999999999902E-2</v>
      </c>
      <c r="K645" s="270">
        <f t="shared" si="102"/>
        <v>7.3673870333987725</v>
      </c>
      <c r="L645" s="200">
        <v>23</v>
      </c>
      <c r="M645" s="203">
        <v>43212</v>
      </c>
      <c r="U645" s="113" t="s">
        <v>2572</v>
      </c>
      <c r="V645" s="196">
        <v>0.98780000000000001</v>
      </c>
      <c r="W645" s="196">
        <f>(V645-$T$175+F643)</f>
        <v>1.1919999999999999</v>
      </c>
      <c r="AB645" s="110"/>
      <c r="AC645" s="110"/>
      <c r="AD645" s="110"/>
      <c r="AE645" s="110"/>
    </row>
    <row r="646" spans="1:31">
      <c r="A646" s="196" t="s">
        <v>705</v>
      </c>
      <c r="C646" s="197">
        <v>28</v>
      </c>
      <c r="D646" s="196">
        <v>1.2867</v>
      </c>
      <c r="E646" s="201">
        <v>11.862</v>
      </c>
      <c r="F646" s="201">
        <v>0.20119999999999999</v>
      </c>
      <c r="G646" s="200">
        <f t="shared" si="99"/>
        <v>12.0632</v>
      </c>
      <c r="H646" s="200">
        <v>11.8704</v>
      </c>
      <c r="I646" s="200">
        <f t="shared" si="100"/>
        <v>0.19280000000000008</v>
      </c>
      <c r="J646" s="200">
        <f t="shared" si="101"/>
        <v>8.3999999999999075E-3</v>
      </c>
      <c r="K646" s="270">
        <f t="shared" si="102"/>
        <v>4.1749502982106899</v>
      </c>
      <c r="L646" s="200">
        <v>29</v>
      </c>
      <c r="AB646" s="110"/>
      <c r="AC646" s="110"/>
      <c r="AD646" s="110"/>
      <c r="AE646" s="110"/>
    </row>
    <row r="647" spans="1:31">
      <c r="A647" s="196" t="s">
        <v>704</v>
      </c>
      <c r="C647" s="196">
        <v>39</v>
      </c>
      <c r="D647" s="196">
        <v>1.2641</v>
      </c>
      <c r="E647" s="196">
        <v>9.1565999999999992</v>
      </c>
      <c r="F647" s="196">
        <v>0.20469999999999999</v>
      </c>
      <c r="G647" s="196">
        <f t="shared" si="99"/>
        <v>9.3613</v>
      </c>
      <c r="H647" s="196">
        <v>9.1640999999999995</v>
      </c>
      <c r="I647" s="196">
        <f t="shared" si="100"/>
        <v>0.19720000000000049</v>
      </c>
      <c r="J647" s="200">
        <f t="shared" si="101"/>
        <v>7.4999999999995071E-3</v>
      </c>
      <c r="K647" s="270">
        <f t="shared" si="102"/>
        <v>3.6638983878844686</v>
      </c>
      <c r="L647" s="196">
        <v>25</v>
      </c>
      <c r="M647" s="196" t="s">
        <v>2570</v>
      </c>
      <c r="N647" s="196" t="s">
        <v>2569</v>
      </c>
      <c r="O647" s="196" t="s">
        <v>2534</v>
      </c>
      <c r="AB647" s="110"/>
      <c r="AC647" s="110"/>
      <c r="AD647" s="110"/>
      <c r="AE647" s="110"/>
    </row>
    <row r="648" spans="1:31">
      <c r="A648" s="196" t="s">
        <v>703</v>
      </c>
      <c r="P648" s="196" t="s">
        <v>3215</v>
      </c>
      <c r="AB648" s="110"/>
      <c r="AC648" s="110"/>
      <c r="AD648" s="110"/>
      <c r="AE648" s="110"/>
    </row>
    <row r="649" spans="1:31">
      <c r="A649" s="196" t="s">
        <v>1097</v>
      </c>
      <c r="C649" s="196">
        <v>67</v>
      </c>
      <c r="D649" s="196">
        <v>1.3154999999999999</v>
      </c>
      <c r="E649" s="196">
        <v>11.055400000000001</v>
      </c>
      <c r="F649" s="196">
        <v>0.20250000000000001</v>
      </c>
      <c r="G649" s="196">
        <f>E649+F649</f>
        <v>11.257900000000001</v>
      </c>
      <c r="H649" s="196">
        <v>11.0619</v>
      </c>
      <c r="I649" s="196">
        <f>(G649-H649)</f>
        <v>0.19600000000000151</v>
      </c>
      <c r="J649" s="200">
        <f>F649-I649</f>
        <v>6.499999999998507E-3</v>
      </c>
      <c r="K649" s="270">
        <f>(J649/F649)*100</f>
        <v>3.2098765432091394</v>
      </c>
      <c r="L649" s="196">
        <v>1</v>
      </c>
      <c r="M649" s="196" t="s">
        <v>2564</v>
      </c>
      <c r="N649" s="196" t="s">
        <v>2563</v>
      </c>
      <c r="O649" s="196" t="s">
        <v>2540</v>
      </c>
      <c r="AB649" s="110"/>
      <c r="AC649" s="110"/>
      <c r="AD649" s="110"/>
      <c r="AE649" s="110"/>
    </row>
    <row r="650" spans="1:31">
      <c r="A650" s="196" t="s">
        <v>701</v>
      </c>
      <c r="C650" s="197">
        <v>153</v>
      </c>
      <c r="D650" s="196">
        <v>1.4160999999999999</v>
      </c>
      <c r="E650" s="201">
        <v>7.5282</v>
      </c>
      <c r="F650" s="201">
        <v>0.2014</v>
      </c>
      <c r="G650" s="200">
        <f>E650+F650</f>
        <v>7.7295999999999996</v>
      </c>
      <c r="H650" s="200">
        <v>7.5362999999999998</v>
      </c>
      <c r="I650" s="200">
        <f>(G650-H650)</f>
        <v>0.19329999999999981</v>
      </c>
      <c r="J650" s="200">
        <f>F650-I650</f>
        <v>8.1000000000001904E-3</v>
      </c>
      <c r="K650" s="270">
        <f>(J650/F650)*100</f>
        <v>4.0218470705065492</v>
      </c>
      <c r="L650" s="200">
        <v>15</v>
      </c>
      <c r="M650" s="203">
        <v>43221</v>
      </c>
      <c r="N650" s="203">
        <v>43221</v>
      </c>
      <c r="P650" s="196" t="s">
        <v>2550</v>
      </c>
      <c r="AB650" s="110"/>
      <c r="AC650" s="110"/>
      <c r="AD650" s="110"/>
      <c r="AE650" s="110"/>
    </row>
    <row r="651" spans="1:31">
      <c r="A651" s="196" t="s">
        <v>699</v>
      </c>
      <c r="C651" s="196">
        <v>218</v>
      </c>
      <c r="D651" s="196">
        <v>1.1541999999999999</v>
      </c>
      <c r="E651" s="200">
        <v>10.743499999999999</v>
      </c>
      <c r="F651" s="201">
        <v>0.2031</v>
      </c>
      <c r="G651" s="200">
        <f>E651+F651</f>
        <v>10.946599999999998</v>
      </c>
      <c r="H651" s="200">
        <v>10.757199999999999</v>
      </c>
      <c r="I651" s="200">
        <f>(G651-H651)</f>
        <v>0.18939999999999912</v>
      </c>
      <c r="J651" s="200">
        <f>F651-I651</f>
        <v>1.3700000000000878E-2</v>
      </c>
      <c r="K651" s="270">
        <f>(J651/F651)*100</f>
        <v>6.7454455933042237</v>
      </c>
      <c r="L651" s="200">
        <v>15</v>
      </c>
      <c r="M651" s="203">
        <v>43212</v>
      </c>
      <c r="AB651" s="110"/>
      <c r="AC651" s="110"/>
      <c r="AD651" s="110"/>
      <c r="AE651" s="110"/>
    </row>
    <row r="652" spans="1:31">
      <c r="A652" s="196" t="s">
        <v>697</v>
      </c>
      <c r="C652" s="197">
        <v>182</v>
      </c>
      <c r="D652" s="196">
        <v>1.5347999999999999</v>
      </c>
      <c r="E652" s="200">
        <v>9.0031999999999996</v>
      </c>
      <c r="F652" s="201">
        <v>0.20280000000000001</v>
      </c>
      <c r="G652" s="200">
        <f>E652+F652</f>
        <v>9.2059999999999995</v>
      </c>
      <c r="H652" s="200">
        <v>9.0077999999999996</v>
      </c>
      <c r="I652" s="200">
        <f>(G652-H652)</f>
        <v>0.19819999999999993</v>
      </c>
      <c r="J652" s="200">
        <f>F652-I652</f>
        <v>4.6000000000000763E-3</v>
      </c>
      <c r="K652" s="270">
        <f>(J652/F652)*100</f>
        <v>2.2682445759369214</v>
      </c>
      <c r="L652" s="200">
        <v>11</v>
      </c>
      <c r="M652" s="203">
        <v>43212</v>
      </c>
      <c r="AB652" s="110"/>
      <c r="AC652" s="110"/>
      <c r="AD652" s="110"/>
      <c r="AE652" s="110"/>
    </row>
    <row r="653" spans="1:31">
      <c r="A653" s="196" t="s">
        <v>696</v>
      </c>
      <c r="P653" s="196" t="s">
        <v>3215</v>
      </c>
    </row>
    <row r="654" spans="1:31">
      <c r="A654" s="196" t="s">
        <v>695</v>
      </c>
      <c r="C654" s="196">
        <v>11</v>
      </c>
      <c r="D654" s="196">
        <v>1.1929000000000001</v>
      </c>
      <c r="E654" s="201">
        <v>7.5284000000000004</v>
      </c>
      <c r="F654" s="201">
        <v>0.20280000000000001</v>
      </c>
      <c r="G654" s="200">
        <f t="shared" ref="G654:G661" si="103">E654+F654</f>
        <v>7.7312000000000003</v>
      </c>
      <c r="H654" s="200">
        <v>7.5388999999999999</v>
      </c>
      <c r="I654" s="200">
        <f t="shared" ref="I654:I661" si="104">(G654-H654)</f>
        <v>0.19230000000000036</v>
      </c>
      <c r="J654" s="200">
        <f t="shared" ref="J654:J661" si="105">F654-I654</f>
        <v>1.0499999999999649E-2</v>
      </c>
      <c r="K654" s="270">
        <f t="shared" ref="K654:K661" si="106">(J654/F654)*100</f>
        <v>5.1775147928992347</v>
      </c>
      <c r="L654" s="200">
        <v>7</v>
      </c>
      <c r="AB654" s="110"/>
      <c r="AC654" s="110"/>
      <c r="AD654" s="110"/>
      <c r="AE654" s="110"/>
    </row>
    <row r="655" spans="1:31">
      <c r="A655" s="200" t="s">
        <v>694</v>
      </c>
      <c r="C655" s="200">
        <v>151</v>
      </c>
      <c r="D655" s="196">
        <v>1.4498</v>
      </c>
      <c r="E655" s="196">
        <v>11.8634</v>
      </c>
      <c r="F655" s="196">
        <v>0.20419999999999999</v>
      </c>
      <c r="G655" s="196">
        <f t="shared" si="103"/>
        <v>12.067600000000001</v>
      </c>
      <c r="H655" s="196">
        <v>11.8766</v>
      </c>
      <c r="I655" s="196">
        <f t="shared" si="104"/>
        <v>0.19100000000000072</v>
      </c>
      <c r="J655" s="200">
        <f t="shared" si="105"/>
        <v>1.3199999999999268E-2</v>
      </c>
      <c r="K655" s="270">
        <f t="shared" si="106"/>
        <v>6.4642507345735885</v>
      </c>
      <c r="L655" s="196">
        <v>11</v>
      </c>
      <c r="M655" s="206">
        <v>43160.520833333336</v>
      </c>
      <c r="N655" s="206">
        <v>43160.6875</v>
      </c>
      <c r="O655" s="196" t="s">
        <v>2534</v>
      </c>
      <c r="AB655" s="110"/>
      <c r="AC655" s="110"/>
      <c r="AD655" s="110"/>
      <c r="AE655" s="110"/>
    </row>
    <row r="656" spans="1:31">
      <c r="A656" s="196" t="s">
        <v>693</v>
      </c>
      <c r="C656" s="196">
        <v>62</v>
      </c>
      <c r="D656" s="196">
        <v>1.2890999999999999</v>
      </c>
      <c r="E656" s="196">
        <v>9.0016999999999996</v>
      </c>
      <c r="F656" s="196">
        <v>0.2016</v>
      </c>
      <c r="G656" s="196">
        <f t="shared" si="103"/>
        <v>9.2032999999999987</v>
      </c>
      <c r="H656" s="196">
        <v>9.0152999999999999</v>
      </c>
      <c r="I656" s="196">
        <f t="shared" si="104"/>
        <v>0.18799999999999883</v>
      </c>
      <c r="J656" s="200">
        <f t="shared" si="105"/>
        <v>1.3600000000001167E-2</v>
      </c>
      <c r="K656" s="270">
        <f t="shared" si="106"/>
        <v>6.7460317460323242</v>
      </c>
      <c r="L656" s="196">
        <v>43</v>
      </c>
      <c r="M656" s="196" t="s">
        <v>2570</v>
      </c>
      <c r="N656" s="196" t="s">
        <v>2569</v>
      </c>
      <c r="O656" s="196" t="s">
        <v>2534</v>
      </c>
      <c r="AB656" s="110"/>
      <c r="AC656" s="110"/>
      <c r="AD656" s="110"/>
      <c r="AE656" s="110"/>
    </row>
    <row r="657" spans="1:31">
      <c r="A657" s="205" t="s">
        <v>692</v>
      </c>
      <c r="C657" s="200">
        <v>208</v>
      </c>
      <c r="D657" s="200">
        <v>1.3623000000000001</v>
      </c>
      <c r="E657" s="200">
        <v>8.9587000000000003</v>
      </c>
      <c r="F657" s="200">
        <v>0.20549999999999999</v>
      </c>
      <c r="G657" s="200">
        <f t="shared" si="103"/>
        <v>9.164200000000001</v>
      </c>
      <c r="H657" s="200">
        <v>8.9741999999999997</v>
      </c>
      <c r="I657" s="200">
        <f t="shared" si="104"/>
        <v>0.19000000000000128</v>
      </c>
      <c r="J657" s="200">
        <f t="shared" si="105"/>
        <v>1.5499999999998709E-2</v>
      </c>
      <c r="K657" s="270">
        <f t="shared" si="106"/>
        <v>7.5425790754251629</v>
      </c>
      <c r="L657" s="200">
        <v>5</v>
      </c>
      <c r="M657" s="202">
        <v>43171.520833333336</v>
      </c>
      <c r="N657" s="202">
        <v>43171.6875</v>
      </c>
      <c r="O657" s="196" t="s">
        <v>2534</v>
      </c>
      <c r="P657" s="200"/>
      <c r="AB657" s="110"/>
      <c r="AC657" s="110"/>
      <c r="AD657" s="110"/>
      <c r="AE657" s="110"/>
    </row>
    <row r="658" spans="1:31">
      <c r="A658" s="196" t="s">
        <v>1096</v>
      </c>
      <c r="C658" s="197">
        <v>22</v>
      </c>
      <c r="D658" s="196">
        <v>1.2706999999999999</v>
      </c>
      <c r="E658" s="201">
        <v>9.0211000000000006</v>
      </c>
      <c r="F658" s="201">
        <v>0.20119999999999999</v>
      </c>
      <c r="G658" s="200">
        <f t="shared" si="103"/>
        <v>9.2223000000000006</v>
      </c>
      <c r="H658" s="200">
        <v>9.0279000000000007</v>
      </c>
      <c r="I658" s="200">
        <f t="shared" si="104"/>
        <v>0.19439999999999991</v>
      </c>
      <c r="J658" s="200">
        <f t="shared" si="105"/>
        <v>6.8000000000000838E-3</v>
      </c>
      <c r="K658" s="270">
        <f t="shared" si="106"/>
        <v>3.3797216699801611</v>
      </c>
      <c r="L658" s="200">
        <v>21</v>
      </c>
      <c r="M658" s="203">
        <v>43221</v>
      </c>
      <c r="N658" s="203">
        <v>43221</v>
      </c>
      <c r="AB658" s="110"/>
      <c r="AC658" s="110"/>
      <c r="AD658" s="110"/>
      <c r="AE658" s="110"/>
    </row>
    <row r="659" spans="1:31">
      <c r="A659" s="196" t="s">
        <v>691</v>
      </c>
      <c r="C659" s="197">
        <v>13</v>
      </c>
      <c r="D659" s="196">
        <v>0.71840000000000004</v>
      </c>
      <c r="E659" s="196">
        <v>7.1901999999999999</v>
      </c>
      <c r="F659" s="201">
        <v>0.2009</v>
      </c>
      <c r="G659" s="200">
        <f t="shared" si="103"/>
        <v>7.3910999999999998</v>
      </c>
      <c r="H659" s="200">
        <v>7.2729999999999997</v>
      </c>
      <c r="I659" s="200">
        <f t="shared" si="104"/>
        <v>0.11810000000000009</v>
      </c>
      <c r="J659" s="200">
        <f t="shared" si="105"/>
        <v>8.2799999999999901E-2</v>
      </c>
      <c r="K659" s="270">
        <f t="shared" si="106"/>
        <v>41.214534594325485</v>
      </c>
      <c r="L659" s="200">
        <v>16</v>
      </c>
      <c r="AB659" s="110"/>
      <c r="AC659" s="110"/>
      <c r="AD659" s="110"/>
      <c r="AE659" s="110"/>
    </row>
    <row r="660" spans="1:31">
      <c r="A660" s="200" t="s">
        <v>690</v>
      </c>
      <c r="C660" s="200">
        <v>171</v>
      </c>
      <c r="D660" s="200">
        <v>1.3996</v>
      </c>
      <c r="E660" s="200">
        <v>7.5286</v>
      </c>
      <c r="F660" s="200">
        <v>0.20319999999999999</v>
      </c>
      <c r="G660" s="200">
        <f t="shared" si="103"/>
        <v>7.7317999999999998</v>
      </c>
      <c r="H660" s="200">
        <v>7.5320999999999998</v>
      </c>
      <c r="I660" s="200">
        <f t="shared" si="104"/>
        <v>0.19969999999999999</v>
      </c>
      <c r="J660" s="200">
        <f t="shared" si="105"/>
        <v>3.5000000000000031E-3</v>
      </c>
      <c r="K660" s="270">
        <f t="shared" si="106"/>
        <v>1.7224409448818911</v>
      </c>
      <c r="L660" s="200">
        <v>8</v>
      </c>
      <c r="M660" s="204">
        <v>43174</v>
      </c>
      <c r="N660" s="204">
        <v>43174</v>
      </c>
      <c r="O660" s="200" t="s">
        <v>2540</v>
      </c>
      <c r="P660" s="200" t="s">
        <v>2535</v>
      </c>
      <c r="AB660" s="110"/>
      <c r="AC660" s="110"/>
      <c r="AD660" s="110"/>
      <c r="AE660" s="110"/>
    </row>
    <row r="661" spans="1:31">
      <c r="A661" s="200" t="s">
        <v>689</v>
      </c>
      <c r="C661" s="196">
        <v>33</v>
      </c>
      <c r="D661" s="200">
        <v>1.3465</v>
      </c>
      <c r="E661" s="201">
        <v>10.415800000000001</v>
      </c>
      <c r="F661" s="201">
        <v>0.20080000000000001</v>
      </c>
      <c r="G661" s="200">
        <f t="shared" si="103"/>
        <v>10.6166</v>
      </c>
      <c r="H661" s="200">
        <v>10.424899999999999</v>
      </c>
      <c r="I661" s="200">
        <f t="shared" si="104"/>
        <v>0.19170000000000087</v>
      </c>
      <c r="J661" s="200">
        <f t="shared" si="105"/>
        <v>9.0999999999991366E-3</v>
      </c>
      <c r="K661" s="270">
        <f t="shared" si="106"/>
        <v>4.5318725099597295</v>
      </c>
      <c r="L661" s="200">
        <v>17</v>
      </c>
      <c r="M661" s="206">
        <v>43186.458333333336</v>
      </c>
      <c r="N661" s="206">
        <v>43186.625</v>
      </c>
      <c r="O661" s="196" t="s">
        <v>2534</v>
      </c>
      <c r="P661" s="200" t="s">
        <v>2581</v>
      </c>
      <c r="AB661" s="110"/>
      <c r="AC661" s="110"/>
      <c r="AD661" s="110"/>
      <c r="AE661" s="110"/>
    </row>
    <row r="662" spans="1:31">
      <c r="A662" s="196" t="s">
        <v>688</v>
      </c>
      <c r="P662" s="196" t="s">
        <v>3215</v>
      </c>
      <c r="AB662" s="110"/>
      <c r="AC662" s="110"/>
      <c r="AD662" s="110"/>
      <c r="AE662" s="110"/>
    </row>
    <row r="663" spans="1:31">
      <c r="A663" s="196" t="s">
        <v>687</v>
      </c>
      <c r="P663" s="196" t="s">
        <v>3215</v>
      </c>
      <c r="AB663" s="110"/>
      <c r="AC663" s="110"/>
      <c r="AD663" s="110"/>
      <c r="AE663" s="110"/>
    </row>
    <row r="664" spans="1:31">
      <c r="A664" s="200" t="s">
        <v>685</v>
      </c>
      <c r="C664" s="200">
        <v>143</v>
      </c>
      <c r="D664" s="200">
        <v>1.3918999999999999</v>
      </c>
      <c r="E664" s="200">
        <v>7.8449999999999998</v>
      </c>
      <c r="F664" s="200">
        <v>0.2056</v>
      </c>
      <c r="G664" s="200">
        <f>E664+F664</f>
        <v>8.0505999999999993</v>
      </c>
      <c r="H664" s="200">
        <v>7.8487</v>
      </c>
      <c r="I664" s="200">
        <f>(G664-H664)</f>
        <v>0.2018999999999993</v>
      </c>
      <c r="J664" s="200">
        <f>F664-I664</f>
        <v>3.7000000000007027E-3</v>
      </c>
      <c r="K664" s="270">
        <f>(J664/F664)*100</f>
        <v>1.7996108949419758</v>
      </c>
      <c r="L664" s="200">
        <v>10</v>
      </c>
      <c r="M664" s="202">
        <v>43171.520833333336</v>
      </c>
      <c r="N664" s="202">
        <v>43171.6875</v>
      </c>
      <c r="O664" s="196" t="s">
        <v>2534</v>
      </c>
      <c r="P664" s="200"/>
      <c r="AB664" s="110"/>
      <c r="AC664" s="110"/>
      <c r="AD664" s="110"/>
      <c r="AE664" s="110"/>
    </row>
    <row r="665" spans="1:31">
      <c r="A665" s="205" t="s">
        <v>684</v>
      </c>
      <c r="C665" s="200">
        <v>216</v>
      </c>
      <c r="D665" s="200">
        <v>1.3617999999999999</v>
      </c>
      <c r="E665" s="200">
        <v>9.5545000000000009</v>
      </c>
      <c r="F665" s="201">
        <v>0.2094</v>
      </c>
      <c r="G665" s="200">
        <f>E665+F665</f>
        <v>9.7639000000000014</v>
      </c>
      <c r="H665" s="200">
        <v>9.5614000000000008</v>
      </c>
      <c r="I665" s="200">
        <f>(G665-H665)</f>
        <v>0.20250000000000057</v>
      </c>
      <c r="J665" s="200">
        <f>F665-I665</f>
        <v>6.8999999999994344E-3</v>
      </c>
      <c r="K665" s="270">
        <f>(J665/F665)*100</f>
        <v>3.2951289398278099</v>
      </c>
      <c r="L665" s="200">
        <v>22</v>
      </c>
      <c r="M665" s="204">
        <v>43211</v>
      </c>
      <c r="P665" s="196" t="s">
        <v>2538</v>
      </c>
      <c r="AB665" s="110"/>
      <c r="AC665" s="110"/>
      <c r="AD665" s="110"/>
      <c r="AE665" s="110"/>
    </row>
    <row r="666" spans="1:31">
      <c r="A666" s="201" t="s">
        <v>683</v>
      </c>
      <c r="C666" s="200">
        <v>175</v>
      </c>
      <c r="D666" s="200">
        <v>0.44899999999999984</v>
      </c>
      <c r="E666" s="200">
        <v>7.3536999999999999</v>
      </c>
      <c r="F666" s="200">
        <v>0.19980000000000001</v>
      </c>
      <c r="G666" s="200">
        <f>E666+F666</f>
        <v>7.5534999999999997</v>
      </c>
      <c r="H666" s="200">
        <v>7.4848999999999997</v>
      </c>
      <c r="I666" s="200">
        <f>(G666-H666)</f>
        <v>6.8599999999999994E-2</v>
      </c>
      <c r="J666" s="200">
        <f>F666-I666</f>
        <v>0.13120000000000001</v>
      </c>
      <c r="K666" s="270">
        <f>(J666/F666)*100</f>
        <v>65.665665665665671</v>
      </c>
      <c r="L666" s="200">
        <v>4</v>
      </c>
      <c r="M666" s="204">
        <v>43173</v>
      </c>
      <c r="N666" s="204">
        <v>43173</v>
      </c>
      <c r="O666" s="200" t="s">
        <v>2540</v>
      </c>
      <c r="P666" s="200" t="s">
        <v>2539</v>
      </c>
      <c r="AB666" s="110"/>
      <c r="AC666" s="110"/>
      <c r="AD666" s="110"/>
      <c r="AE666" s="110"/>
    </row>
    <row r="667" spans="1:31">
      <c r="A667" s="205" t="s">
        <v>682</v>
      </c>
      <c r="C667" s="200">
        <v>116</v>
      </c>
      <c r="D667" s="201">
        <v>0.47</v>
      </c>
      <c r="E667" s="201">
        <v>8.7736999999999998</v>
      </c>
      <c r="F667" s="201">
        <v>0.2011</v>
      </c>
      <c r="G667" s="200">
        <f>E667+F667</f>
        <v>8.9748000000000001</v>
      </c>
      <c r="H667" s="200">
        <v>8.9442000000000004</v>
      </c>
      <c r="I667" s="200">
        <f>(G667-H667)</f>
        <v>3.0599999999999739E-2</v>
      </c>
      <c r="J667" s="200">
        <f>F667-I667</f>
        <v>0.17050000000000026</v>
      </c>
      <c r="K667" s="270">
        <f>(J667/F667)*100</f>
        <v>84.783689706613757</v>
      </c>
      <c r="L667" s="200">
        <v>14</v>
      </c>
      <c r="M667" s="202">
        <v>43181.645833333336</v>
      </c>
      <c r="N667" s="202">
        <v>43181.833333333336</v>
      </c>
      <c r="O667" s="200" t="s">
        <v>2540</v>
      </c>
      <c r="P667" s="200" t="s">
        <v>2557</v>
      </c>
      <c r="AB667" s="110"/>
      <c r="AC667" s="110"/>
      <c r="AD667" s="110"/>
      <c r="AE667" s="110"/>
    </row>
    <row r="668" spans="1:31">
      <c r="A668" s="196" t="s">
        <v>1095</v>
      </c>
      <c r="P668" s="196" t="s">
        <v>3215</v>
      </c>
    </row>
    <row r="669" spans="1:31">
      <c r="A669" s="196" t="s">
        <v>681</v>
      </c>
      <c r="P669" s="196" t="s">
        <v>3215</v>
      </c>
      <c r="AB669" s="110"/>
      <c r="AC669" s="110"/>
      <c r="AD669" s="110"/>
      <c r="AE669" s="110"/>
    </row>
    <row r="670" spans="1:31">
      <c r="A670" s="205" t="s">
        <v>680</v>
      </c>
      <c r="C670" s="200">
        <v>160</v>
      </c>
      <c r="D670" s="200">
        <v>1.5044999999999999</v>
      </c>
      <c r="E670" s="200">
        <v>7.3540000000000001</v>
      </c>
      <c r="F670" s="201">
        <v>0.2009</v>
      </c>
      <c r="G670" s="200">
        <f t="shared" ref="G670:G680" si="107">E670+F670</f>
        <v>7.5548999999999999</v>
      </c>
      <c r="H670" s="200">
        <v>7.3624000000000001</v>
      </c>
      <c r="I670" s="200">
        <f t="shared" ref="I670:I680" si="108">(G670-H670)</f>
        <v>0.19249999999999989</v>
      </c>
      <c r="J670" s="200">
        <f t="shared" ref="J670:J680" si="109">F670-I670</f>
        <v>8.4000000000001018E-3</v>
      </c>
      <c r="K670" s="270">
        <f t="shared" ref="K670:K680" si="110">(J670/F670)*100</f>
        <v>4.181184668989598</v>
      </c>
      <c r="L670" s="200">
        <v>15</v>
      </c>
      <c r="M670" s="204">
        <v>43211</v>
      </c>
      <c r="AB670" s="110"/>
      <c r="AC670" s="110"/>
      <c r="AD670" s="110"/>
      <c r="AE670" s="110"/>
    </row>
    <row r="671" spans="1:31">
      <c r="A671" s="196" t="s">
        <v>679</v>
      </c>
      <c r="C671" s="197">
        <v>110</v>
      </c>
      <c r="D671" s="196">
        <v>1.347</v>
      </c>
      <c r="E671" s="201">
        <v>7.4805999999999999</v>
      </c>
      <c r="F671" s="201">
        <v>0.2064</v>
      </c>
      <c r="G671" s="200">
        <f t="shared" si="107"/>
        <v>7.6870000000000003</v>
      </c>
      <c r="H671" s="200">
        <v>7.4957000000000003</v>
      </c>
      <c r="I671" s="200">
        <f t="shared" si="108"/>
        <v>0.19130000000000003</v>
      </c>
      <c r="J671" s="200">
        <f t="shared" si="109"/>
        <v>1.5099999999999975E-2</v>
      </c>
      <c r="K671" s="270">
        <f t="shared" si="110"/>
        <v>7.3158914728682047</v>
      </c>
      <c r="L671" s="200">
        <v>32</v>
      </c>
      <c r="AB671" s="110"/>
      <c r="AC671" s="110"/>
      <c r="AD671" s="110"/>
      <c r="AE671" s="110"/>
    </row>
    <row r="672" spans="1:31">
      <c r="A672" s="200" t="s">
        <v>678</v>
      </c>
      <c r="C672" s="200">
        <v>198</v>
      </c>
      <c r="D672" s="200">
        <v>1.319</v>
      </c>
      <c r="E672" s="200">
        <v>7.8014000000000001</v>
      </c>
      <c r="F672" s="200">
        <v>0.20369999999999999</v>
      </c>
      <c r="G672" s="200">
        <f t="shared" si="107"/>
        <v>8.0051000000000005</v>
      </c>
      <c r="H672" s="200">
        <v>7.8170999999999999</v>
      </c>
      <c r="I672" s="200">
        <f t="shared" si="108"/>
        <v>0.18800000000000061</v>
      </c>
      <c r="J672" s="200">
        <f t="shared" si="109"/>
        <v>1.5699999999999381E-2</v>
      </c>
      <c r="K672" s="270">
        <f t="shared" si="110"/>
        <v>7.7074128620517337</v>
      </c>
      <c r="L672" s="200">
        <v>22</v>
      </c>
      <c r="M672" s="202">
        <v>43164.628472222219</v>
      </c>
      <c r="N672" s="202">
        <v>43164.795138888891</v>
      </c>
      <c r="O672" s="196" t="s">
        <v>2534</v>
      </c>
      <c r="P672" s="200"/>
      <c r="AB672" s="110"/>
      <c r="AC672" s="110"/>
      <c r="AD672" s="110"/>
      <c r="AE672" s="110"/>
    </row>
    <row r="673" spans="1:31">
      <c r="A673" s="205" t="s">
        <v>677</v>
      </c>
      <c r="C673" s="200">
        <v>156</v>
      </c>
      <c r="D673" s="200">
        <v>1.5392999999999999</v>
      </c>
      <c r="E673" s="200">
        <v>19.650400000000001</v>
      </c>
      <c r="F673" s="200">
        <v>0.2051</v>
      </c>
      <c r="G673" s="200">
        <f t="shared" si="107"/>
        <v>19.855500000000003</v>
      </c>
      <c r="H673" s="200">
        <v>19.668600000000001</v>
      </c>
      <c r="I673" s="200">
        <f t="shared" si="108"/>
        <v>0.1869000000000014</v>
      </c>
      <c r="J673" s="200">
        <f t="shared" si="109"/>
        <v>1.8199999999998606E-2</v>
      </c>
      <c r="K673" s="270">
        <f t="shared" si="110"/>
        <v>8.8737201365180916</v>
      </c>
      <c r="L673" s="200">
        <v>13</v>
      </c>
      <c r="M673" s="202">
        <v>43171.520833333336</v>
      </c>
      <c r="N673" s="202">
        <v>43171.6875</v>
      </c>
      <c r="O673" s="196" t="s">
        <v>2534</v>
      </c>
      <c r="P673" s="200"/>
      <c r="AB673" s="110"/>
      <c r="AC673" s="110"/>
      <c r="AD673" s="110"/>
      <c r="AE673" s="110"/>
    </row>
    <row r="674" spans="1:31">
      <c r="A674" s="196" t="s">
        <v>676</v>
      </c>
      <c r="C674" s="196">
        <v>141</v>
      </c>
      <c r="D674" s="196">
        <v>1.4510000000000001</v>
      </c>
      <c r="E674" s="196">
        <v>11.263299999999999</v>
      </c>
      <c r="F674" s="196">
        <v>0.20349999999999999</v>
      </c>
      <c r="G674" s="196">
        <f t="shared" si="107"/>
        <v>11.466799999999999</v>
      </c>
      <c r="H674" s="196">
        <v>11.267899999999999</v>
      </c>
      <c r="I674" s="196">
        <f t="shared" si="108"/>
        <v>0.19890000000000008</v>
      </c>
      <c r="J674" s="200">
        <f t="shared" si="109"/>
        <v>4.5999999999999097E-3</v>
      </c>
      <c r="K674" s="270">
        <f t="shared" si="110"/>
        <v>2.2604422604422161</v>
      </c>
      <c r="L674" s="196">
        <v>9</v>
      </c>
      <c r="M674" s="196">
        <v>43157.527777777781</v>
      </c>
      <c r="N674" s="196">
        <v>43157.694444444445</v>
      </c>
      <c r="O674" s="196" t="s">
        <v>2540</v>
      </c>
      <c r="AB674" s="110"/>
      <c r="AC674" s="110"/>
      <c r="AD674" s="110"/>
      <c r="AE674" s="110"/>
    </row>
    <row r="675" spans="1:31">
      <c r="A675" s="200" t="s">
        <v>675</v>
      </c>
      <c r="C675" s="200">
        <v>123</v>
      </c>
      <c r="D675" s="200">
        <v>1.3335999999999999</v>
      </c>
      <c r="E675" s="201">
        <v>11.054</v>
      </c>
      <c r="F675" s="201">
        <v>0.20019999999999999</v>
      </c>
      <c r="G675" s="200">
        <f t="shared" si="107"/>
        <v>11.254200000000001</v>
      </c>
      <c r="H675" s="200">
        <v>11.0619</v>
      </c>
      <c r="I675" s="200">
        <f t="shared" si="108"/>
        <v>0.19230000000000125</v>
      </c>
      <c r="J675" s="200">
        <f t="shared" si="109"/>
        <v>7.8999999999987414E-3</v>
      </c>
      <c r="K675" s="270">
        <f t="shared" si="110"/>
        <v>3.9460539460533175</v>
      </c>
      <c r="L675" s="200">
        <v>13</v>
      </c>
      <c r="M675" s="204">
        <v>43199</v>
      </c>
      <c r="N675" s="204">
        <v>43199</v>
      </c>
      <c r="O675" s="200"/>
      <c r="P675" s="200"/>
      <c r="AB675" s="110"/>
      <c r="AC675" s="110"/>
      <c r="AD675" s="110"/>
      <c r="AE675" s="110"/>
    </row>
    <row r="676" spans="1:31">
      <c r="A676" s="205" t="s">
        <v>674</v>
      </c>
      <c r="C676" s="200">
        <v>134</v>
      </c>
      <c r="D676" s="200">
        <v>1.3554999999999999</v>
      </c>
      <c r="E676" s="201">
        <v>9.3423999999999996</v>
      </c>
      <c r="F676" s="201">
        <v>0.20219999999999999</v>
      </c>
      <c r="G676" s="200">
        <f t="shared" si="107"/>
        <v>9.5445999999999991</v>
      </c>
      <c r="H676" s="200">
        <v>9.3493999999999993</v>
      </c>
      <c r="I676" s="200">
        <f t="shared" si="108"/>
        <v>0.19519999999999982</v>
      </c>
      <c r="J676" s="200">
        <f t="shared" si="109"/>
        <v>7.0000000000001728E-3</v>
      </c>
      <c r="K676" s="270">
        <f t="shared" si="110"/>
        <v>3.4619188921860404</v>
      </c>
      <c r="L676" s="200">
        <v>9</v>
      </c>
      <c r="M676" s="204">
        <v>43197</v>
      </c>
      <c r="N676" s="204">
        <v>43197</v>
      </c>
      <c r="O676" s="200"/>
      <c r="P676" s="200"/>
      <c r="AB676" s="110"/>
      <c r="AC676" s="110"/>
      <c r="AD676" s="110"/>
      <c r="AE676" s="110"/>
    </row>
    <row r="677" spans="1:31">
      <c r="A677" s="200" t="s">
        <v>673</v>
      </c>
      <c r="C677" s="200">
        <v>146</v>
      </c>
      <c r="D677" s="196">
        <v>1.4504999999999999</v>
      </c>
      <c r="E677" s="200">
        <v>8.8605999999999998</v>
      </c>
      <c r="F677" s="201">
        <v>0.19750000000000001</v>
      </c>
      <c r="G677" s="200">
        <f t="shared" si="107"/>
        <v>9.0580999999999996</v>
      </c>
      <c r="H677" s="200">
        <v>8.8713999999999995</v>
      </c>
      <c r="I677" s="200">
        <f t="shared" si="108"/>
        <v>0.18670000000000009</v>
      </c>
      <c r="J677" s="200">
        <f t="shared" si="109"/>
        <v>1.0799999999999921E-2</v>
      </c>
      <c r="K677" s="270">
        <f t="shared" si="110"/>
        <v>5.4683544303797067</v>
      </c>
      <c r="L677" s="200">
        <v>1</v>
      </c>
      <c r="M677" s="204">
        <v>43211</v>
      </c>
      <c r="N677" s="200"/>
      <c r="O677" s="200"/>
      <c r="P677" s="200"/>
      <c r="AB677" s="110"/>
      <c r="AC677" s="110"/>
      <c r="AD677" s="110"/>
      <c r="AE677" s="110"/>
    </row>
    <row r="678" spans="1:31">
      <c r="A678" s="196" t="s">
        <v>672</v>
      </c>
      <c r="C678" s="196">
        <v>45</v>
      </c>
      <c r="D678" s="196">
        <v>1.3515999999999999</v>
      </c>
      <c r="E678" s="196">
        <v>8.7325999999999997</v>
      </c>
      <c r="F678" s="196">
        <v>0.20710000000000001</v>
      </c>
      <c r="G678" s="196">
        <f t="shared" si="107"/>
        <v>8.9397000000000002</v>
      </c>
      <c r="H678" s="196">
        <v>8.7399000000000004</v>
      </c>
      <c r="I678" s="196">
        <f t="shared" si="108"/>
        <v>0.19979999999999976</v>
      </c>
      <c r="J678" s="200">
        <f t="shared" si="109"/>
        <v>7.3000000000002507E-3</v>
      </c>
      <c r="K678" s="270">
        <f t="shared" si="110"/>
        <v>3.5248672139064463</v>
      </c>
      <c r="L678" s="196">
        <v>16</v>
      </c>
      <c r="M678" s="196" t="s">
        <v>2570</v>
      </c>
      <c r="N678" s="196" t="s">
        <v>2569</v>
      </c>
      <c r="O678" s="196" t="s">
        <v>2534</v>
      </c>
      <c r="AB678" s="110"/>
      <c r="AC678" s="110"/>
      <c r="AD678" s="110"/>
      <c r="AE678" s="110"/>
    </row>
    <row r="679" spans="1:31">
      <c r="A679" s="200" t="s">
        <v>671</v>
      </c>
      <c r="C679" s="200">
        <v>177</v>
      </c>
      <c r="D679" s="200">
        <v>1.419</v>
      </c>
      <c r="E679" s="200">
        <v>11.8626</v>
      </c>
      <c r="F679" s="201">
        <v>0.20669999999999999</v>
      </c>
      <c r="G679" s="200">
        <f t="shared" si="107"/>
        <v>12.0693</v>
      </c>
      <c r="H679" s="200">
        <v>11.8675</v>
      </c>
      <c r="I679" s="200">
        <f t="shared" si="108"/>
        <v>0.20180000000000042</v>
      </c>
      <c r="J679" s="200">
        <f t="shared" si="109"/>
        <v>4.8999999999995714E-3</v>
      </c>
      <c r="K679" s="270">
        <f t="shared" si="110"/>
        <v>2.3705853894531068</v>
      </c>
      <c r="L679" s="200">
        <v>36</v>
      </c>
      <c r="M679" s="204">
        <v>43187</v>
      </c>
      <c r="N679" s="204">
        <v>43187</v>
      </c>
      <c r="O679" s="200"/>
      <c r="P679" s="200"/>
      <c r="AB679" s="110"/>
      <c r="AC679" s="110"/>
      <c r="AD679" s="110"/>
      <c r="AE679" s="110"/>
    </row>
    <row r="680" spans="1:31">
      <c r="A680" s="205" t="s">
        <v>670</v>
      </c>
      <c r="C680" s="200">
        <v>124</v>
      </c>
      <c r="D680" s="200">
        <v>1.2547999999999999</v>
      </c>
      <c r="E680" s="201">
        <v>9.9168000000000003</v>
      </c>
      <c r="F680" s="201">
        <v>0.20200000000000001</v>
      </c>
      <c r="G680" s="200">
        <f t="shared" si="107"/>
        <v>10.1188</v>
      </c>
      <c r="H680" s="200">
        <v>9.9244000000000003</v>
      </c>
      <c r="I680" s="200">
        <f t="shared" si="108"/>
        <v>0.19439999999999991</v>
      </c>
      <c r="J680" s="200">
        <f t="shared" si="109"/>
        <v>7.6000000000001067E-3</v>
      </c>
      <c r="K680" s="270">
        <f t="shared" si="110"/>
        <v>3.762376237623815</v>
      </c>
      <c r="L680" s="200">
        <v>6</v>
      </c>
      <c r="M680" s="206">
        <v>43185.385416666664</v>
      </c>
      <c r="N680" s="200"/>
      <c r="O680" s="200" t="s">
        <v>2540</v>
      </c>
      <c r="P680" s="200"/>
      <c r="AB680" s="110"/>
      <c r="AC680" s="110"/>
      <c r="AD680" s="110"/>
      <c r="AE680" s="110"/>
    </row>
    <row r="681" spans="1:31">
      <c r="A681" s="196" t="s">
        <v>669</v>
      </c>
      <c r="P681" s="196" t="s">
        <v>3215</v>
      </c>
      <c r="AB681" s="110"/>
      <c r="AC681" s="110"/>
      <c r="AD681" s="110"/>
      <c r="AE681" s="110"/>
    </row>
    <row r="682" spans="1:31">
      <c r="A682" s="196" t="s">
        <v>667</v>
      </c>
      <c r="C682" s="196">
        <v>136</v>
      </c>
      <c r="D682" s="196">
        <v>1.3257000000000001</v>
      </c>
      <c r="E682" s="196">
        <v>8.7744</v>
      </c>
      <c r="F682" s="196">
        <v>0.2024</v>
      </c>
      <c r="G682" s="196">
        <f>E682+F682</f>
        <v>8.9768000000000008</v>
      </c>
      <c r="H682" s="196">
        <v>8.7845999999999993</v>
      </c>
      <c r="I682" s="196">
        <f>(G682-H682)</f>
        <v>0.19220000000000148</v>
      </c>
      <c r="J682" s="200">
        <f>F682-I682</f>
        <v>1.0199999999998516E-2</v>
      </c>
      <c r="K682" s="270">
        <f>(J682/F682)*100</f>
        <v>5.0395256916988718</v>
      </c>
      <c r="L682" s="196">
        <v>4</v>
      </c>
      <c r="M682" s="196">
        <v>43157.527777777781</v>
      </c>
      <c r="N682" s="196">
        <v>43157.694444444445</v>
      </c>
      <c r="O682" s="196" t="s">
        <v>2540</v>
      </c>
      <c r="AB682" s="110"/>
      <c r="AC682" s="110"/>
      <c r="AD682" s="110"/>
      <c r="AE682" s="110"/>
    </row>
    <row r="683" spans="1:31">
      <c r="A683" s="200" t="s">
        <v>666</v>
      </c>
      <c r="C683" s="200">
        <v>104</v>
      </c>
      <c r="D683" s="200">
        <f>1.0694+F683</f>
        <v>1.2726999999999999</v>
      </c>
      <c r="E683" s="201">
        <v>8.7025000000000006</v>
      </c>
      <c r="F683" s="201">
        <v>0.20330000000000001</v>
      </c>
      <c r="G683" s="200">
        <f>E683+F683</f>
        <v>8.905800000000001</v>
      </c>
      <c r="H683" s="200">
        <v>8.7212999999999994</v>
      </c>
      <c r="I683" s="200">
        <f>(G683-H683)</f>
        <v>0.18450000000000166</v>
      </c>
      <c r="J683" s="200">
        <f>F683-I683</f>
        <v>1.8799999999998346E-2</v>
      </c>
      <c r="K683" s="270">
        <f>(J683/F683)*100</f>
        <v>9.2474176094433584</v>
      </c>
      <c r="L683" s="200">
        <v>29</v>
      </c>
      <c r="M683" s="204">
        <v>43174</v>
      </c>
      <c r="N683" s="204">
        <v>43174</v>
      </c>
      <c r="O683" s="200" t="s">
        <v>2540</v>
      </c>
      <c r="P683" s="200" t="s">
        <v>2535</v>
      </c>
      <c r="AB683" s="110"/>
      <c r="AC683" s="110"/>
      <c r="AD683" s="110"/>
      <c r="AE683" s="110"/>
    </row>
    <row r="684" spans="1:31">
      <c r="A684" s="196" t="s">
        <v>665</v>
      </c>
      <c r="P684" s="196" t="s">
        <v>3215</v>
      </c>
      <c r="AB684" s="110"/>
      <c r="AC684" s="110"/>
      <c r="AD684" s="110"/>
      <c r="AE684" s="110"/>
    </row>
    <row r="685" spans="1:31">
      <c r="A685" s="205" t="s">
        <v>664</v>
      </c>
      <c r="C685" s="200">
        <v>132</v>
      </c>
      <c r="D685" s="200">
        <v>1.3210999999999999</v>
      </c>
      <c r="E685" s="200">
        <v>7.3539000000000003</v>
      </c>
      <c r="F685" s="200">
        <v>0.20399999999999999</v>
      </c>
      <c r="G685" s="200">
        <f t="shared" ref="G685:G700" si="111">E685+F685</f>
        <v>7.5579000000000001</v>
      </c>
      <c r="H685" s="200">
        <v>7.3631000000000002</v>
      </c>
      <c r="I685" s="200">
        <f t="shared" ref="I685:I700" si="112">(G685-H685)</f>
        <v>0.19479999999999986</v>
      </c>
      <c r="J685" s="200">
        <f t="shared" ref="J685:J700" si="113">F685-I685</f>
        <v>9.2000000000001247E-3</v>
      </c>
      <c r="K685" s="270">
        <f t="shared" ref="K685:K700" si="114">(J685/F685)*100</f>
        <v>4.5098039215686896</v>
      </c>
      <c r="L685" s="200">
        <v>13</v>
      </c>
      <c r="M685" s="204">
        <v>43188</v>
      </c>
      <c r="N685" s="204">
        <v>43188</v>
      </c>
      <c r="O685" s="200"/>
      <c r="P685" s="200"/>
      <c r="AB685" s="110"/>
      <c r="AC685" s="110"/>
      <c r="AD685" s="110"/>
      <c r="AE685" s="110"/>
    </row>
    <row r="686" spans="1:31">
      <c r="A686" s="196" t="s">
        <v>662</v>
      </c>
      <c r="C686" s="197">
        <v>153</v>
      </c>
      <c r="D686" s="196">
        <v>1.0609</v>
      </c>
      <c r="E686" s="196">
        <v>11.171900000000001</v>
      </c>
      <c r="F686" s="196">
        <v>0.20050000000000001</v>
      </c>
      <c r="G686" s="200">
        <f t="shared" si="111"/>
        <v>11.372400000000001</v>
      </c>
      <c r="H686" s="200">
        <v>11.3263</v>
      </c>
      <c r="I686" s="200">
        <f t="shared" si="112"/>
        <v>4.6100000000000918E-2</v>
      </c>
      <c r="J686" s="200">
        <f t="shared" si="113"/>
        <v>0.15439999999999909</v>
      </c>
      <c r="K686" s="270">
        <f t="shared" si="114"/>
        <v>77.007481296757646</v>
      </c>
      <c r="L686" s="200">
        <v>21</v>
      </c>
      <c r="P686" s="196" t="s">
        <v>2549</v>
      </c>
      <c r="AB686" s="110"/>
      <c r="AC686" s="110"/>
      <c r="AD686" s="110"/>
      <c r="AE686" s="110"/>
    </row>
    <row r="687" spans="1:31">
      <c r="A687" s="196" t="s">
        <v>1093</v>
      </c>
      <c r="C687" s="196">
        <v>58</v>
      </c>
      <c r="D687" s="196">
        <v>0.42230000000000001</v>
      </c>
      <c r="E687" s="196">
        <v>7.8784999999999998</v>
      </c>
      <c r="F687" s="196">
        <v>0.1961</v>
      </c>
      <c r="G687" s="196">
        <f t="shared" si="111"/>
        <v>8.0746000000000002</v>
      </c>
      <c r="H687" s="196">
        <v>7.9294000000000002</v>
      </c>
      <c r="I687" s="196">
        <f t="shared" si="112"/>
        <v>0.1452</v>
      </c>
      <c r="J687" s="200">
        <f t="shared" si="113"/>
        <v>5.0900000000000001E-2</v>
      </c>
      <c r="K687" s="270">
        <f t="shared" si="114"/>
        <v>25.956144824069355</v>
      </c>
      <c r="L687" s="196">
        <v>36</v>
      </c>
      <c r="M687" s="196" t="s">
        <v>2570</v>
      </c>
      <c r="N687" s="196" t="s">
        <v>2569</v>
      </c>
      <c r="O687" s="196" t="s">
        <v>2534</v>
      </c>
      <c r="U687" s="201" t="s">
        <v>1417</v>
      </c>
      <c r="V687" s="196">
        <v>1.024</v>
      </c>
      <c r="W687" s="196">
        <f>(V687-$T$175+F685)</f>
        <v>1.228</v>
      </c>
      <c r="AB687" s="110"/>
      <c r="AC687" s="110"/>
      <c r="AD687" s="110"/>
      <c r="AE687" s="110"/>
    </row>
    <row r="688" spans="1:31">
      <c r="A688" s="205" t="s">
        <v>661</v>
      </c>
      <c r="C688" s="200">
        <v>116</v>
      </c>
      <c r="D688" s="205">
        <v>1.2506999999999999</v>
      </c>
      <c r="E688" s="201">
        <v>7.7732000000000001</v>
      </c>
      <c r="F688" s="201">
        <v>0.20030000000000001</v>
      </c>
      <c r="G688" s="200">
        <f t="shared" si="111"/>
        <v>7.9735000000000005</v>
      </c>
      <c r="H688" s="200">
        <v>7.7914000000000003</v>
      </c>
      <c r="I688" s="200">
        <f t="shared" si="112"/>
        <v>0.18210000000000015</v>
      </c>
      <c r="J688" s="200">
        <f t="shared" si="113"/>
        <v>1.8199999999999855E-2</v>
      </c>
      <c r="K688" s="270">
        <f t="shared" si="114"/>
        <v>9.0863704443334274</v>
      </c>
      <c r="L688" s="200">
        <v>13</v>
      </c>
      <c r="M688" s="202">
        <v>43181.645833333336</v>
      </c>
      <c r="N688" s="202">
        <v>43181.833333333336</v>
      </c>
      <c r="O688" s="200" t="s">
        <v>2540</v>
      </c>
      <c r="P688" s="200"/>
      <c r="AB688" s="110"/>
      <c r="AC688" s="110"/>
      <c r="AD688" s="110"/>
      <c r="AE688" s="110"/>
    </row>
    <row r="689" spans="1:31">
      <c r="A689" s="201" t="s">
        <v>660</v>
      </c>
      <c r="C689" s="200">
        <v>175</v>
      </c>
      <c r="D689" s="200">
        <v>1.4577</v>
      </c>
      <c r="E689" s="200">
        <v>8.7330000000000005</v>
      </c>
      <c r="F689" s="200">
        <v>0.20499999999999999</v>
      </c>
      <c r="G689" s="200">
        <f t="shared" si="111"/>
        <v>8.9380000000000006</v>
      </c>
      <c r="H689" s="200">
        <v>8.7789000000000001</v>
      </c>
      <c r="I689" s="200">
        <f t="shared" si="112"/>
        <v>0.15910000000000046</v>
      </c>
      <c r="J689" s="200">
        <f t="shared" si="113"/>
        <v>4.5899999999999525E-2</v>
      </c>
      <c r="K689" s="270">
        <f t="shared" si="114"/>
        <v>22.390243902438794</v>
      </c>
      <c r="L689" s="200">
        <v>2</v>
      </c>
      <c r="M689" s="204">
        <v>43173</v>
      </c>
      <c r="N689" s="204">
        <v>43173</v>
      </c>
      <c r="O689" s="200" t="s">
        <v>2540</v>
      </c>
      <c r="P689" s="200"/>
      <c r="AB689" s="110"/>
      <c r="AC689" s="110"/>
      <c r="AD689" s="110"/>
      <c r="AE689" s="110"/>
    </row>
    <row r="690" spans="1:31">
      <c r="A690" s="196" t="s">
        <v>659</v>
      </c>
      <c r="C690" s="197">
        <v>101</v>
      </c>
      <c r="D690" s="196">
        <v>1.4098999999999999</v>
      </c>
      <c r="E690" s="201">
        <v>11.0875</v>
      </c>
      <c r="F690" s="201">
        <v>0.20599999999999999</v>
      </c>
      <c r="G690" s="200">
        <f t="shared" si="111"/>
        <v>11.2935</v>
      </c>
      <c r="H690" s="200">
        <v>11.106</v>
      </c>
      <c r="I690" s="200">
        <f t="shared" si="112"/>
        <v>0.1875</v>
      </c>
      <c r="J690" s="200">
        <f t="shared" si="113"/>
        <v>1.8499999999999989E-2</v>
      </c>
      <c r="K690" s="270">
        <f t="shared" si="114"/>
        <v>8.9805825242718385</v>
      </c>
      <c r="L690" s="200">
        <v>30</v>
      </c>
      <c r="M690" s="203">
        <v>43221</v>
      </c>
      <c r="N690" s="203">
        <v>43221</v>
      </c>
      <c r="AB690" s="110"/>
      <c r="AC690" s="110"/>
      <c r="AD690" s="110"/>
      <c r="AE690" s="110"/>
    </row>
    <row r="691" spans="1:31">
      <c r="A691" s="200" t="s">
        <v>658</v>
      </c>
      <c r="C691" s="200">
        <v>137</v>
      </c>
      <c r="D691" s="201">
        <v>1.4925999999999999</v>
      </c>
      <c r="E691" s="200">
        <v>7.9610000000000003</v>
      </c>
      <c r="F691" s="201">
        <v>0.2049</v>
      </c>
      <c r="G691" s="200">
        <f t="shared" si="111"/>
        <v>8.1659000000000006</v>
      </c>
      <c r="H691" s="200">
        <v>7.9843000000000002</v>
      </c>
      <c r="I691" s="200">
        <f t="shared" si="112"/>
        <v>0.18160000000000043</v>
      </c>
      <c r="J691" s="200">
        <f t="shared" si="113"/>
        <v>2.3299999999999571E-2</v>
      </c>
      <c r="K691" s="270">
        <f t="shared" si="114"/>
        <v>11.371400683259917</v>
      </c>
      <c r="L691" s="200">
        <v>25</v>
      </c>
      <c r="M691" s="204">
        <v>43206</v>
      </c>
      <c r="N691" s="204">
        <v>43206</v>
      </c>
      <c r="O691" s="200"/>
      <c r="P691" s="200"/>
      <c r="AB691" s="110"/>
      <c r="AC691" s="110"/>
      <c r="AD691" s="110"/>
      <c r="AE691" s="110"/>
    </row>
    <row r="692" spans="1:31">
      <c r="A692" s="200" t="s">
        <v>657</v>
      </c>
      <c r="C692" s="200">
        <v>155</v>
      </c>
      <c r="D692" s="201">
        <v>1.4883</v>
      </c>
      <c r="E692" s="200">
        <v>11.0893</v>
      </c>
      <c r="F692" s="201">
        <v>0.2026</v>
      </c>
      <c r="G692" s="200">
        <f t="shared" si="111"/>
        <v>11.2919</v>
      </c>
      <c r="H692" s="200">
        <v>11.1092</v>
      </c>
      <c r="I692" s="200">
        <f t="shared" si="112"/>
        <v>0.18270000000000053</v>
      </c>
      <c r="J692" s="200">
        <f t="shared" si="113"/>
        <v>1.9899999999999474E-2</v>
      </c>
      <c r="K692" s="270">
        <f t="shared" si="114"/>
        <v>9.822309970384735</v>
      </c>
      <c r="L692" s="200">
        <v>22</v>
      </c>
      <c r="M692" s="204">
        <v>43206</v>
      </c>
      <c r="N692" s="204">
        <v>43206</v>
      </c>
      <c r="O692" s="200"/>
      <c r="P692" s="200"/>
      <c r="AB692" s="110"/>
      <c r="AC692" s="110"/>
      <c r="AD692" s="110"/>
      <c r="AE692" s="110"/>
    </row>
    <row r="693" spans="1:31">
      <c r="A693" s="205" t="s">
        <v>656</v>
      </c>
      <c r="C693" s="200">
        <v>154</v>
      </c>
      <c r="D693" s="200">
        <v>1.516</v>
      </c>
      <c r="E693" s="201">
        <v>7.0930999999999997</v>
      </c>
      <c r="F693" s="201">
        <v>0.20630000000000001</v>
      </c>
      <c r="G693" s="200">
        <f t="shared" si="111"/>
        <v>7.2993999999999994</v>
      </c>
      <c r="H693" s="200">
        <v>7.1177000000000001</v>
      </c>
      <c r="I693" s="200">
        <f t="shared" si="112"/>
        <v>0.18169999999999931</v>
      </c>
      <c r="J693" s="200">
        <f t="shared" si="113"/>
        <v>2.4600000000000705E-2</v>
      </c>
      <c r="K693" s="270">
        <f t="shared" si="114"/>
        <v>11.924381968008097</v>
      </c>
      <c r="L693" s="200">
        <v>24</v>
      </c>
      <c r="M693" s="206">
        <v>43186.458333333336</v>
      </c>
      <c r="N693" s="206">
        <v>43186.625</v>
      </c>
      <c r="O693" s="196" t="s">
        <v>2534</v>
      </c>
      <c r="P693" s="200"/>
      <c r="AB693" s="110"/>
      <c r="AC693" s="110"/>
      <c r="AD693" s="110"/>
      <c r="AE693" s="110"/>
    </row>
    <row r="694" spans="1:31">
      <c r="A694" s="200" t="s">
        <v>655</v>
      </c>
      <c r="C694" s="200">
        <v>125</v>
      </c>
      <c r="D694" s="200">
        <v>1.1584000000000001</v>
      </c>
      <c r="E694" s="201">
        <v>8.7596000000000007</v>
      </c>
      <c r="F694" s="201">
        <v>0.2006</v>
      </c>
      <c r="G694" s="200">
        <f t="shared" si="111"/>
        <v>8.9602000000000004</v>
      </c>
      <c r="H694" s="200">
        <v>8.7681000000000004</v>
      </c>
      <c r="I694" s="200">
        <f t="shared" si="112"/>
        <v>0.19209999999999994</v>
      </c>
      <c r="J694" s="200">
        <f t="shared" si="113"/>
        <v>8.5000000000000631E-3</v>
      </c>
      <c r="K694" s="270">
        <f t="shared" si="114"/>
        <v>4.2372881355932517</v>
      </c>
      <c r="L694" s="200">
        <v>13</v>
      </c>
      <c r="M694" s="204">
        <v>43197</v>
      </c>
      <c r="N694" s="204">
        <v>43197</v>
      </c>
      <c r="O694" s="200"/>
      <c r="P694" s="200"/>
      <c r="AB694" s="110"/>
      <c r="AC694" s="110"/>
      <c r="AD694" s="110"/>
      <c r="AE694" s="110"/>
    </row>
    <row r="695" spans="1:31">
      <c r="A695" s="200" t="s">
        <v>654</v>
      </c>
      <c r="C695" s="200">
        <v>111</v>
      </c>
      <c r="D695" s="196">
        <v>1.3611</v>
      </c>
      <c r="E695" s="201">
        <v>7.9935999999999998</v>
      </c>
      <c r="F695" s="201">
        <v>0.20330000000000001</v>
      </c>
      <c r="G695" s="200">
        <f t="shared" si="111"/>
        <v>8.1968999999999994</v>
      </c>
      <c r="H695" s="200">
        <v>8.0063999999999993</v>
      </c>
      <c r="I695" s="200">
        <f t="shared" si="112"/>
        <v>0.19050000000000011</v>
      </c>
      <c r="J695" s="200">
        <f t="shared" si="113"/>
        <v>1.2799999999999895E-2</v>
      </c>
      <c r="K695" s="270">
        <f t="shared" si="114"/>
        <v>6.2961141170683206</v>
      </c>
      <c r="L695" s="200">
        <v>44</v>
      </c>
      <c r="M695" s="206">
        <v>43186.458333333336</v>
      </c>
      <c r="N695" s="206">
        <v>43186.625</v>
      </c>
      <c r="O695" s="196" t="s">
        <v>2534</v>
      </c>
      <c r="P695" s="200"/>
      <c r="AB695" s="110"/>
      <c r="AC695" s="110"/>
      <c r="AD695" s="110"/>
      <c r="AE695" s="110"/>
    </row>
    <row r="696" spans="1:31">
      <c r="A696" s="200" t="s">
        <v>653</v>
      </c>
      <c r="C696" s="200">
        <v>178</v>
      </c>
      <c r="D696" s="196">
        <v>1.4132</v>
      </c>
      <c r="E696" s="196">
        <v>7.9055999999999997</v>
      </c>
      <c r="F696" s="196">
        <v>0.2019</v>
      </c>
      <c r="G696" s="196">
        <f t="shared" si="111"/>
        <v>8.1074999999999999</v>
      </c>
      <c r="H696" s="196">
        <v>7.9097999999999997</v>
      </c>
      <c r="I696" s="196">
        <f t="shared" si="112"/>
        <v>0.19770000000000021</v>
      </c>
      <c r="J696" s="200">
        <f t="shared" si="113"/>
        <v>4.1999999999997872E-3</v>
      </c>
      <c r="K696" s="270">
        <f t="shared" si="114"/>
        <v>2.0802377414560613</v>
      </c>
      <c r="L696" s="196">
        <v>14</v>
      </c>
      <c r="M696" s="206">
        <v>43160.520833333336</v>
      </c>
      <c r="N696" s="206">
        <v>43160.6875</v>
      </c>
      <c r="O696" s="196" t="s">
        <v>2534</v>
      </c>
      <c r="AB696" s="110"/>
      <c r="AC696" s="110"/>
      <c r="AD696" s="110"/>
      <c r="AE696" s="110"/>
    </row>
    <row r="697" spans="1:31">
      <c r="A697" s="205" t="s">
        <v>652</v>
      </c>
      <c r="C697" s="200">
        <v>98</v>
      </c>
      <c r="D697" s="200">
        <v>1.3002</v>
      </c>
      <c r="E697" s="201">
        <v>10.500999999999999</v>
      </c>
      <c r="F697" s="201">
        <v>0.2019</v>
      </c>
      <c r="G697" s="200">
        <f t="shared" si="111"/>
        <v>10.7029</v>
      </c>
      <c r="H697" s="200">
        <v>10.5266</v>
      </c>
      <c r="I697" s="200">
        <f t="shared" si="112"/>
        <v>0.17629999999999946</v>
      </c>
      <c r="J697" s="200">
        <f t="shared" si="113"/>
        <v>2.5600000000000539E-2</v>
      </c>
      <c r="K697" s="270">
        <f t="shared" si="114"/>
        <v>12.679544328875947</v>
      </c>
      <c r="L697" s="200">
        <v>23</v>
      </c>
      <c r="M697" s="206">
        <v>43185.385416666664</v>
      </c>
      <c r="N697" s="200"/>
      <c r="O697" s="200" t="s">
        <v>2540</v>
      </c>
      <c r="P697" s="200"/>
      <c r="AB697" s="110"/>
      <c r="AC697" s="110"/>
      <c r="AD697" s="110"/>
      <c r="AE697" s="110"/>
    </row>
    <row r="698" spans="1:31">
      <c r="A698" s="205" t="s">
        <v>1092</v>
      </c>
      <c r="C698" s="200">
        <v>84</v>
      </c>
      <c r="D698" s="200">
        <v>1.3726</v>
      </c>
      <c r="E698" s="201">
        <v>8.8621999999999996</v>
      </c>
      <c r="F698" s="201">
        <v>0.2051</v>
      </c>
      <c r="G698" s="200">
        <f t="shared" si="111"/>
        <v>9.0672999999999995</v>
      </c>
      <c r="H698" s="200">
        <v>8.8803000000000001</v>
      </c>
      <c r="I698" s="200">
        <f t="shared" si="112"/>
        <v>0.18699999999999939</v>
      </c>
      <c r="J698" s="200">
        <f t="shared" si="113"/>
        <v>1.8100000000000616E-2</v>
      </c>
      <c r="K698" s="270">
        <f t="shared" si="114"/>
        <v>8.8249634324722646</v>
      </c>
      <c r="L698" s="200">
        <v>4</v>
      </c>
      <c r="M698" s="206">
        <v>43186.458333333336</v>
      </c>
      <c r="N698" s="206">
        <v>43186.625</v>
      </c>
      <c r="O698" s="196" t="s">
        <v>2534</v>
      </c>
      <c r="P698" s="200"/>
      <c r="AB698" s="110"/>
      <c r="AC698" s="110"/>
      <c r="AD698" s="110"/>
      <c r="AE698" s="110"/>
    </row>
    <row r="699" spans="1:31">
      <c r="A699" s="201" t="s">
        <v>651</v>
      </c>
      <c r="C699" s="200">
        <v>176</v>
      </c>
      <c r="D699" s="200">
        <v>1.4691999999999998</v>
      </c>
      <c r="E699" s="200">
        <v>8.9580000000000002</v>
      </c>
      <c r="F699" s="200">
        <v>0.20050000000000001</v>
      </c>
      <c r="G699" s="200">
        <f t="shared" si="111"/>
        <v>9.1585000000000001</v>
      </c>
      <c r="H699" s="200">
        <v>8.9633000000000003</v>
      </c>
      <c r="I699" s="200">
        <f t="shared" si="112"/>
        <v>0.19519999999999982</v>
      </c>
      <c r="J699" s="200">
        <f t="shared" si="113"/>
        <v>5.3000000000001934E-3</v>
      </c>
      <c r="K699" s="270">
        <f t="shared" si="114"/>
        <v>2.6433915211971035</v>
      </c>
      <c r="L699" s="200">
        <v>17</v>
      </c>
      <c r="M699" s="204">
        <v>43173</v>
      </c>
      <c r="N699" s="204">
        <v>43173</v>
      </c>
      <c r="O699" s="200" t="s">
        <v>2540</v>
      </c>
      <c r="P699" s="200" t="s">
        <v>2539</v>
      </c>
      <c r="AB699" s="110"/>
      <c r="AC699" s="110"/>
      <c r="AD699" s="110"/>
      <c r="AE699" s="110"/>
    </row>
    <row r="700" spans="1:31">
      <c r="A700" s="196" t="s">
        <v>649</v>
      </c>
      <c r="C700" s="196">
        <v>146</v>
      </c>
      <c r="D700" s="196">
        <v>1.4488000000000001</v>
      </c>
      <c r="E700" s="196">
        <v>9.3224</v>
      </c>
      <c r="F700" s="196">
        <v>0.2069</v>
      </c>
      <c r="G700" s="196">
        <f t="shared" si="111"/>
        <v>9.5292999999999992</v>
      </c>
      <c r="H700" s="196">
        <v>9.3308</v>
      </c>
      <c r="I700" s="196">
        <f t="shared" si="112"/>
        <v>0.19849999999999923</v>
      </c>
      <c r="J700" s="200">
        <f t="shared" si="113"/>
        <v>8.400000000000768E-3</v>
      </c>
      <c r="K700" s="270">
        <f t="shared" si="114"/>
        <v>4.0599323344614637</v>
      </c>
      <c r="L700" s="196">
        <v>13</v>
      </c>
      <c r="M700" s="196">
        <v>43157.527777777781</v>
      </c>
      <c r="N700" s="196">
        <v>43157.694444444445</v>
      </c>
      <c r="O700" s="196" t="s">
        <v>2540</v>
      </c>
      <c r="AB700" s="110"/>
      <c r="AC700" s="110"/>
      <c r="AD700" s="110"/>
      <c r="AE700" s="110"/>
    </row>
    <row r="701" spans="1:31">
      <c r="A701" s="196" t="s">
        <v>648</v>
      </c>
      <c r="P701" s="196" t="s">
        <v>3215</v>
      </c>
    </row>
    <row r="702" spans="1:31">
      <c r="A702" s="200" t="s">
        <v>647</v>
      </c>
      <c r="C702" s="200">
        <v>103</v>
      </c>
      <c r="D702" s="201">
        <v>1.4354</v>
      </c>
      <c r="E702" s="200">
        <v>7.7148000000000003</v>
      </c>
      <c r="F702" s="201">
        <v>0.2031</v>
      </c>
      <c r="G702" s="200">
        <f>E702+F702</f>
        <v>7.9179000000000004</v>
      </c>
      <c r="H702" s="200">
        <v>7.7256</v>
      </c>
      <c r="I702" s="200">
        <f>(G702-H702)</f>
        <v>0.19230000000000036</v>
      </c>
      <c r="J702" s="200">
        <f>F702-I702</f>
        <v>1.0799999999999643E-2</v>
      </c>
      <c r="K702" s="270">
        <f>(J702/F702)*100</f>
        <v>5.3175775480057332</v>
      </c>
      <c r="L702" s="200">
        <v>25</v>
      </c>
      <c r="M702" s="200"/>
      <c r="N702" s="200"/>
      <c r="O702" s="200"/>
      <c r="P702" s="200"/>
      <c r="AB702" s="110"/>
      <c r="AC702" s="110"/>
      <c r="AD702" s="110"/>
      <c r="AE702" s="110"/>
    </row>
    <row r="703" spans="1:31">
      <c r="A703" s="205" t="s">
        <v>646</v>
      </c>
      <c r="C703" s="200">
        <v>118</v>
      </c>
      <c r="D703" s="201">
        <v>1.0033000000000001</v>
      </c>
      <c r="E703" s="201">
        <v>9.0030999999999999</v>
      </c>
      <c r="F703" s="201">
        <v>0.20230000000000001</v>
      </c>
      <c r="G703" s="200">
        <f>E703+F703</f>
        <v>9.2053999999999991</v>
      </c>
      <c r="H703" s="200">
        <v>9.1862999999999992</v>
      </c>
      <c r="I703" s="200">
        <f>(G703-H703)</f>
        <v>1.9099999999999895E-2</v>
      </c>
      <c r="J703" s="200">
        <f>F703-I703</f>
        <v>0.18320000000000011</v>
      </c>
      <c r="K703" s="270">
        <f>(J703/F703)*100</f>
        <v>90.558576371725209</v>
      </c>
      <c r="L703" s="200">
        <v>18</v>
      </c>
      <c r="M703" s="200"/>
      <c r="N703" s="200"/>
      <c r="O703" s="200"/>
      <c r="P703" s="200"/>
      <c r="AB703" s="110"/>
      <c r="AC703" s="110"/>
      <c r="AD703" s="110"/>
      <c r="AE703" s="110"/>
    </row>
    <row r="704" spans="1:31">
      <c r="A704" s="196" t="s">
        <v>645</v>
      </c>
      <c r="C704" s="196">
        <v>99</v>
      </c>
      <c r="D704" s="196">
        <v>1.2661</v>
      </c>
      <c r="E704" s="196">
        <v>20.849900000000002</v>
      </c>
      <c r="F704" s="196">
        <v>0.2036</v>
      </c>
      <c r="G704" s="196">
        <f>E704+F704</f>
        <v>21.053500000000003</v>
      </c>
      <c r="H704" s="196">
        <v>20.864799999999999</v>
      </c>
      <c r="I704" s="196">
        <f>(G704-H704)</f>
        <v>0.18870000000000431</v>
      </c>
      <c r="J704" s="200">
        <f>F704-I704</f>
        <v>1.4899999999995694E-2</v>
      </c>
      <c r="K704" s="270">
        <f>(J704/F704)*100</f>
        <v>7.3182711198407153</v>
      </c>
      <c r="L704" s="196">
        <v>2</v>
      </c>
      <c r="M704" s="196" t="s">
        <v>2560</v>
      </c>
      <c r="N704" s="196">
        <v>43153.729166666664</v>
      </c>
      <c r="O704" s="196" t="s">
        <v>2534</v>
      </c>
      <c r="P704" s="196" t="s">
        <v>2558</v>
      </c>
      <c r="AB704" s="110"/>
      <c r="AC704" s="110"/>
      <c r="AD704" s="110"/>
      <c r="AE704" s="110"/>
    </row>
    <row r="705" spans="1:31">
      <c r="A705" s="205" t="s">
        <v>644</v>
      </c>
      <c r="C705" s="200">
        <v>100</v>
      </c>
      <c r="D705" s="200">
        <v>1.3843000000000001</v>
      </c>
      <c r="E705" s="200">
        <v>10.5207</v>
      </c>
      <c r="F705" s="200">
        <v>0.20019999999999999</v>
      </c>
      <c r="G705" s="200">
        <f>E705+F705</f>
        <v>10.7209</v>
      </c>
      <c r="H705" s="200">
        <v>10.535399999999999</v>
      </c>
      <c r="I705" s="200">
        <f>(G705-H705)</f>
        <v>0.18550000000000111</v>
      </c>
      <c r="J705" s="200">
        <f>F705-I705</f>
        <v>1.4699999999998881E-2</v>
      </c>
      <c r="K705" s="270">
        <f>(J705/F705)*100</f>
        <v>7.3426573426567847</v>
      </c>
      <c r="L705" s="200">
        <v>17</v>
      </c>
      <c r="M705" s="204">
        <v>43188</v>
      </c>
      <c r="N705" s="204">
        <v>43188</v>
      </c>
      <c r="O705" s="200"/>
      <c r="P705" s="200" t="s">
        <v>2555</v>
      </c>
      <c r="AB705" s="110"/>
      <c r="AC705" s="110"/>
      <c r="AD705" s="110"/>
      <c r="AE705" s="110"/>
    </row>
    <row r="706" spans="1:31">
      <c r="A706" t="s">
        <v>1136</v>
      </c>
      <c r="C706"/>
      <c r="D706"/>
      <c r="E706"/>
      <c r="F706"/>
      <c r="G706" s="278"/>
      <c r="H706" s="274"/>
      <c r="I706" s="278"/>
      <c r="J706" s="273"/>
      <c r="K706" s="275"/>
      <c r="L706"/>
      <c r="M706" s="276">
        <v>43379</v>
      </c>
      <c r="N706" s="276">
        <v>43379</v>
      </c>
      <c r="O706"/>
      <c r="P706" t="s">
        <v>3235</v>
      </c>
      <c r="Q706"/>
      <c r="R706" s="275"/>
    </row>
    <row r="707" spans="1:31">
      <c r="A707" s="196" t="s">
        <v>1091</v>
      </c>
      <c r="C707" s="196">
        <v>20</v>
      </c>
      <c r="D707" s="196">
        <v>1.2549999999999999</v>
      </c>
      <c r="E707" s="196">
        <v>7.8014000000000001</v>
      </c>
      <c r="F707" s="196">
        <v>0.19969999999999999</v>
      </c>
      <c r="G707" s="196">
        <f>E707+F707</f>
        <v>8.001100000000001</v>
      </c>
      <c r="H707" s="196">
        <v>7.8182</v>
      </c>
      <c r="I707" s="196">
        <f>(G707-H707)</f>
        <v>0.18290000000000095</v>
      </c>
      <c r="J707" s="200">
        <f>F707-I707</f>
        <v>1.6799999999999038E-2</v>
      </c>
      <c r="K707" s="270">
        <f>(J707/F707)*100</f>
        <v>8.4126189283921065</v>
      </c>
      <c r="L707" s="196">
        <v>5</v>
      </c>
      <c r="M707" s="196" t="s">
        <v>2570</v>
      </c>
      <c r="N707" s="196" t="s">
        <v>2569</v>
      </c>
      <c r="O707" s="196" t="s">
        <v>2534</v>
      </c>
      <c r="AB707" s="110"/>
      <c r="AC707" s="110"/>
      <c r="AD707" s="110"/>
      <c r="AE707" s="110"/>
    </row>
    <row r="708" spans="1:31">
      <c r="A708" s="205" t="s">
        <v>641</v>
      </c>
      <c r="C708" s="200">
        <v>100</v>
      </c>
      <c r="D708" s="200">
        <v>1.4661999999999999</v>
      </c>
      <c r="E708" s="200">
        <v>11.443099999999999</v>
      </c>
      <c r="F708" s="200">
        <v>0.20030000000000001</v>
      </c>
      <c r="G708" s="200">
        <f>E708+F708</f>
        <v>11.6434</v>
      </c>
      <c r="H708" s="200">
        <v>11.4878</v>
      </c>
      <c r="I708" s="200">
        <f>(G708-H708)</f>
        <v>0.15559999999999974</v>
      </c>
      <c r="J708" s="200">
        <f>F708-I708</f>
        <v>4.4700000000000267E-2</v>
      </c>
      <c r="K708" s="270">
        <f>(J708/F708)*100</f>
        <v>22.316525212181858</v>
      </c>
      <c r="L708" s="200">
        <v>18</v>
      </c>
      <c r="M708" s="204">
        <v>43188</v>
      </c>
      <c r="N708" s="204">
        <v>43188</v>
      </c>
      <c r="O708" s="200"/>
      <c r="P708" s="200"/>
      <c r="AB708" s="110"/>
      <c r="AC708" s="110"/>
      <c r="AD708" s="110"/>
      <c r="AE708" s="110"/>
    </row>
    <row r="709" spans="1:31">
      <c r="A709" s="201" t="s">
        <v>640</v>
      </c>
      <c r="C709" s="200">
        <v>75</v>
      </c>
      <c r="D709" s="200">
        <v>0.14589999999999992</v>
      </c>
      <c r="E709" s="200">
        <v>7.0928000000000004</v>
      </c>
      <c r="F709" s="200">
        <v>8.6699999999999999E-2</v>
      </c>
      <c r="G709" s="200">
        <f>E709+F709</f>
        <v>7.1795000000000009</v>
      </c>
      <c r="H709" s="200">
        <v>7.1658999999999997</v>
      </c>
      <c r="I709" s="200">
        <f>(G709-H709)</f>
        <v>1.3600000000001167E-2</v>
      </c>
      <c r="J709" s="200">
        <f>F709-I709</f>
        <v>7.3099999999998833E-2</v>
      </c>
      <c r="K709" s="270">
        <f>(J709/F709)*100</f>
        <v>84.313725490194741</v>
      </c>
      <c r="L709" s="200">
        <v>9</v>
      </c>
      <c r="M709" s="204">
        <v>43173</v>
      </c>
      <c r="N709" s="204">
        <v>43173</v>
      </c>
      <c r="O709" s="200" t="s">
        <v>2540</v>
      </c>
      <c r="P709" s="200" t="s">
        <v>2539</v>
      </c>
      <c r="AB709" s="110"/>
      <c r="AC709" s="110"/>
      <c r="AD709" s="110"/>
      <c r="AE709" s="110"/>
    </row>
    <row r="710" spans="1:31">
      <c r="A710" s="196" t="s">
        <v>639</v>
      </c>
      <c r="C710" s="197">
        <v>5</v>
      </c>
      <c r="D710" s="196">
        <v>1.161</v>
      </c>
      <c r="E710" s="201">
        <v>8.0639000000000003</v>
      </c>
      <c r="F710" s="201">
        <v>0.2034</v>
      </c>
      <c r="G710" s="200">
        <f>E710+F710</f>
        <v>8.2673000000000005</v>
      </c>
      <c r="H710" s="200">
        <v>8.0732999999999997</v>
      </c>
      <c r="I710" s="200">
        <f>(G710-H710)</f>
        <v>0.19400000000000084</v>
      </c>
      <c r="J710" s="200">
        <f>F710-I710</f>
        <v>9.399999999999159E-3</v>
      </c>
      <c r="K710" s="270">
        <f>(J710/F710)*100</f>
        <v>4.6214355948865089</v>
      </c>
      <c r="L710" s="200">
        <v>12</v>
      </c>
      <c r="AB710" s="110"/>
      <c r="AC710" s="110"/>
      <c r="AD710" s="110"/>
      <c r="AE710" s="110"/>
    </row>
    <row r="711" spans="1:31">
      <c r="A711" s="196" t="s">
        <v>638</v>
      </c>
      <c r="P711" s="196" t="s">
        <v>3215</v>
      </c>
      <c r="AB711" s="110"/>
      <c r="AC711" s="110"/>
      <c r="AD711" s="110"/>
      <c r="AE711" s="110"/>
    </row>
    <row r="712" spans="1:31">
      <c r="A712" s="200" t="s">
        <v>637</v>
      </c>
      <c r="C712" s="200">
        <v>151</v>
      </c>
      <c r="D712" s="196">
        <v>1.5096000000000001</v>
      </c>
      <c r="E712" s="196">
        <v>8.0462000000000007</v>
      </c>
      <c r="F712" s="196">
        <v>0.20319999999999999</v>
      </c>
      <c r="G712" s="196">
        <f t="shared" ref="G712:G724" si="115">E712+F712</f>
        <v>8.2494000000000014</v>
      </c>
      <c r="H712" s="196">
        <v>8.0591000000000008</v>
      </c>
      <c r="I712" s="196">
        <f t="shared" ref="I712:I724" si="116">(G712-H712)</f>
        <v>0.19030000000000058</v>
      </c>
      <c r="J712" s="200">
        <f t="shared" ref="J712:J724" si="117">F712-I712</f>
        <v>1.2899999999999412E-2</v>
      </c>
      <c r="K712" s="270">
        <f t="shared" ref="K712:K724" si="118">(J712/F712)*100</f>
        <v>6.3484251968501049</v>
      </c>
      <c r="L712" s="196">
        <v>10</v>
      </c>
      <c r="M712" s="206">
        <v>43160.520833333336</v>
      </c>
      <c r="N712" s="206">
        <v>43160.6875</v>
      </c>
      <c r="O712" s="196" t="s">
        <v>2534</v>
      </c>
      <c r="P712" s="196" t="s">
        <v>2551</v>
      </c>
      <c r="AB712" s="110"/>
      <c r="AC712" s="110"/>
      <c r="AD712" s="110"/>
      <c r="AE712" s="110"/>
    </row>
    <row r="713" spans="1:31">
      <c r="A713" s="200" t="s">
        <v>636</v>
      </c>
      <c r="C713" s="200">
        <v>111</v>
      </c>
      <c r="D713" s="200">
        <v>1.4012</v>
      </c>
      <c r="E713" s="201">
        <v>9.1372999999999998</v>
      </c>
      <c r="F713" s="201">
        <v>0.20200000000000001</v>
      </c>
      <c r="G713" s="200">
        <f t="shared" si="115"/>
        <v>9.3392999999999997</v>
      </c>
      <c r="H713" s="200">
        <v>9.1549999999999994</v>
      </c>
      <c r="I713" s="200">
        <f t="shared" si="116"/>
        <v>0.18430000000000035</v>
      </c>
      <c r="J713" s="200">
        <f t="shared" si="117"/>
        <v>1.769999999999966E-2</v>
      </c>
      <c r="K713" s="270">
        <f t="shared" si="118"/>
        <v>8.7623762376235934</v>
      </c>
      <c r="L713" s="200">
        <v>45</v>
      </c>
      <c r="M713" s="206">
        <v>43186.458333333336</v>
      </c>
      <c r="N713" s="206">
        <v>43186.625</v>
      </c>
      <c r="O713" s="196" t="s">
        <v>2534</v>
      </c>
      <c r="P713" s="200"/>
      <c r="AB713" s="110"/>
      <c r="AC713" s="110"/>
      <c r="AD713" s="110"/>
      <c r="AE713" s="110"/>
    </row>
    <row r="714" spans="1:31">
      <c r="A714" s="200" t="s">
        <v>635</v>
      </c>
      <c r="C714" s="200">
        <v>127</v>
      </c>
      <c r="D714" s="201">
        <v>1.2198</v>
      </c>
      <c r="E714" s="200">
        <v>7.8014000000000001</v>
      </c>
      <c r="F714" s="201">
        <v>0.20469999999999999</v>
      </c>
      <c r="G714" s="200">
        <f t="shared" si="115"/>
        <v>8.0061</v>
      </c>
      <c r="H714" s="200">
        <v>7.8133999999999997</v>
      </c>
      <c r="I714" s="200">
        <f t="shared" si="116"/>
        <v>0.19270000000000032</v>
      </c>
      <c r="J714" s="200">
        <f t="shared" si="117"/>
        <v>1.1999999999999678E-2</v>
      </c>
      <c r="K714" s="270">
        <f t="shared" si="118"/>
        <v>5.8622374206153776</v>
      </c>
      <c r="L714" s="200">
        <v>6</v>
      </c>
      <c r="M714" s="204">
        <v>43206</v>
      </c>
      <c r="N714" s="204">
        <v>43206</v>
      </c>
      <c r="O714" s="200"/>
      <c r="P714" s="200"/>
      <c r="AB714" s="110"/>
      <c r="AC714" s="110"/>
      <c r="AD714" s="110"/>
      <c r="AE714" s="110"/>
    </row>
    <row r="715" spans="1:31">
      <c r="A715" s="196" t="s">
        <v>634</v>
      </c>
      <c r="C715" s="197">
        <v>30</v>
      </c>
      <c r="D715" s="196">
        <v>1.1287</v>
      </c>
      <c r="E715" s="201">
        <v>9.5541999999999998</v>
      </c>
      <c r="F715" s="201">
        <v>0.20119999999999999</v>
      </c>
      <c r="G715" s="200">
        <f t="shared" si="115"/>
        <v>9.7553999999999998</v>
      </c>
      <c r="H715" s="200">
        <v>9.5639000000000003</v>
      </c>
      <c r="I715" s="200">
        <f t="shared" si="116"/>
        <v>0.19149999999999956</v>
      </c>
      <c r="J715" s="200">
        <f t="shared" si="117"/>
        <v>9.7000000000004305E-3</v>
      </c>
      <c r="K715" s="270">
        <f t="shared" si="118"/>
        <v>4.821073558648326</v>
      </c>
      <c r="L715" s="200">
        <v>9</v>
      </c>
      <c r="AB715" s="110"/>
      <c r="AC715" s="110"/>
      <c r="AD715" s="110"/>
      <c r="AE715" s="110"/>
    </row>
    <row r="716" spans="1:31">
      <c r="A716" s="196" t="s">
        <v>633</v>
      </c>
      <c r="C716" s="197">
        <v>4</v>
      </c>
      <c r="D716" s="196">
        <v>1.1405000000000001</v>
      </c>
      <c r="E716" s="200">
        <v>7.0750999999999999</v>
      </c>
      <c r="F716" s="201">
        <v>0.20169999999999999</v>
      </c>
      <c r="G716" s="200">
        <f t="shared" si="115"/>
        <v>7.2767999999999997</v>
      </c>
      <c r="H716" s="200">
        <v>7.0850999999999997</v>
      </c>
      <c r="I716" s="200">
        <f t="shared" si="116"/>
        <v>0.19169999999999998</v>
      </c>
      <c r="J716" s="200">
        <f t="shared" si="117"/>
        <v>1.0000000000000009E-2</v>
      </c>
      <c r="K716" s="270">
        <f t="shared" si="118"/>
        <v>4.9578582052553344</v>
      </c>
      <c r="L716" s="200">
        <v>1</v>
      </c>
      <c r="M716" s="203">
        <v>43212</v>
      </c>
      <c r="N716" s="203">
        <v>43212</v>
      </c>
      <c r="AB716" s="110"/>
      <c r="AC716" s="110"/>
      <c r="AD716" s="110"/>
      <c r="AE716" s="110"/>
    </row>
    <row r="717" spans="1:31">
      <c r="A717" s="205" t="s">
        <v>632</v>
      </c>
      <c r="C717" s="200">
        <v>108</v>
      </c>
      <c r="D717" s="200">
        <v>1.3947000000000001</v>
      </c>
      <c r="E717" s="201">
        <v>8.3542000000000005</v>
      </c>
      <c r="F717" s="201">
        <v>0.20860000000000001</v>
      </c>
      <c r="G717" s="200">
        <f t="shared" si="115"/>
        <v>8.5628000000000011</v>
      </c>
      <c r="H717" s="200">
        <v>8.3659999999999997</v>
      </c>
      <c r="I717" s="200">
        <f t="shared" si="116"/>
        <v>0.19680000000000142</v>
      </c>
      <c r="J717" s="200">
        <f t="shared" si="117"/>
        <v>1.1799999999998589E-2</v>
      </c>
      <c r="K717" s="270">
        <f t="shared" si="118"/>
        <v>5.6567593480338392</v>
      </c>
      <c r="L717" s="200">
        <v>36</v>
      </c>
      <c r="M717" s="206">
        <v>43186.458333333336</v>
      </c>
      <c r="N717" s="206">
        <v>43186.625</v>
      </c>
      <c r="O717" s="196" t="s">
        <v>2534</v>
      </c>
      <c r="P717" s="200"/>
      <c r="AB717" s="110"/>
      <c r="AC717" s="110"/>
      <c r="AD717" s="110"/>
      <c r="AE717" s="110"/>
    </row>
    <row r="718" spans="1:31">
      <c r="A718" s="205" t="s">
        <v>1090</v>
      </c>
      <c r="C718" s="200">
        <v>185</v>
      </c>
      <c r="D718" s="200">
        <v>1.5618000000000001</v>
      </c>
      <c r="E718" s="200">
        <v>11.055300000000001</v>
      </c>
      <c r="F718" s="201">
        <v>0.20119999999999999</v>
      </c>
      <c r="G718" s="200">
        <f t="shared" si="115"/>
        <v>11.256500000000001</v>
      </c>
      <c r="H718" s="200">
        <v>11.0595</v>
      </c>
      <c r="I718" s="200">
        <f t="shared" si="116"/>
        <v>0.19700000000000095</v>
      </c>
      <c r="J718" s="200">
        <f t="shared" si="117"/>
        <v>4.1999999999990378E-3</v>
      </c>
      <c r="K718" s="270">
        <f t="shared" si="118"/>
        <v>2.0874751491048897</v>
      </c>
      <c r="L718" s="200">
        <v>29</v>
      </c>
      <c r="M718" s="204">
        <v>43211</v>
      </c>
      <c r="AB718" s="110"/>
      <c r="AC718" s="110"/>
      <c r="AD718" s="110"/>
      <c r="AE718" s="110"/>
    </row>
    <row r="719" spans="1:31">
      <c r="A719" s="200" t="s">
        <v>631</v>
      </c>
      <c r="C719" s="200">
        <v>107</v>
      </c>
      <c r="D719" s="200">
        <v>1.3418000000000001</v>
      </c>
      <c r="E719" s="201">
        <v>9.3185000000000002</v>
      </c>
      <c r="F719" s="200">
        <v>0.1996</v>
      </c>
      <c r="G719" s="200">
        <f t="shared" si="115"/>
        <v>9.5181000000000004</v>
      </c>
      <c r="H719" s="200">
        <v>9.3290000000000006</v>
      </c>
      <c r="I719" s="200">
        <f t="shared" si="116"/>
        <v>0.18909999999999982</v>
      </c>
      <c r="J719" s="200">
        <f t="shared" si="117"/>
        <v>1.0500000000000176E-2</v>
      </c>
      <c r="K719" s="270">
        <f t="shared" si="118"/>
        <v>5.2605210420842559</v>
      </c>
      <c r="L719" s="200">
        <v>2</v>
      </c>
      <c r="M719" s="202">
        <v>43178.395833333336</v>
      </c>
      <c r="N719" s="202">
        <v>43178.5625</v>
      </c>
      <c r="O719" s="196" t="s">
        <v>2534</v>
      </c>
      <c r="P719" s="200" t="s">
        <v>2535</v>
      </c>
      <c r="AB719" s="110"/>
      <c r="AC719" s="110"/>
      <c r="AD719" s="110"/>
      <c r="AE719" s="110"/>
    </row>
    <row r="720" spans="1:31">
      <c r="A720" s="201" t="s">
        <v>630</v>
      </c>
      <c r="C720" s="200">
        <v>117</v>
      </c>
      <c r="D720" s="200">
        <v>0.30729999999999985</v>
      </c>
      <c r="E720" s="200">
        <v>7.3170000000000002</v>
      </c>
      <c r="F720" s="200">
        <v>0.20619999999999999</v>
      </c>
      <c r="G720" s="200">
        <f t="shared" si="115"/>
        <v>7.5232000000000001</v>
      </c>
      <c r="H720" s="200">
        <v>7.5031999999999996</v>
      </c>
      <c r="I720" s="200">
        <f t="shared" si="116"/>
        <v>2.0000000000000462E-2</v>
      </c>
      <c r="J720" s="200">
        <f t="shared" si="117"/>
        <v>0.18619999999999953</v>
      </c>
      <c r="K720" s="270">
        <f t="shared" si="118"/>
        <v>90.300678952473106</v>
      </c>
      <c r="L720" s="200">
        <v>31</v>
      </c>
      <c r="M720" s="204">
        <v>43173</v>
      </c>
      <c r="N720" s="204">
        <v>43173</v>
      </c>
      <c r="O720" s="200" t="s">
        <v>2540</v>
      </c>
      <c r="P720" s="200" t="s">
        <v>2539</v>
      </c>
      <c r="AB720" s="110"/>
      <c r="AC720" s="110"/>
      <c r="AD720" s="110"/>
      <c r="AE720" s="110"/>
    </row>
    <row r="721" spans="1:31">
      <c r="A721" s="196" t="s">
        <v>629</v>
      </c>
      <c r="C721" s="196">
        <v>8</v>
      </c>
      <c r="D721" s="196">
        <v>1.252</v>
      </c>
      <c r="E721" s="196">
        <v>9.0211000000000006</v>
      </c>
      <c r="F721" s="196">
        <v>0.20599999999999999</v>
      </c>
      <c r="G721" s="196">
        <f t="shared" si="115"/>
        <v>9.2271000000000001</v>
      </c>
      <c r="H721" s="196">
        <v>9.0273000000000003</v>
      </c>
      <c r="I721" s="196">
        <f t="shared" si="116"/>
        <v>0.19979999999999976</v>
      </c>
      <c r="J721" s="200">
        <f t="shared" si="117"/>
        <v>6.2000000000002331E-3</v>
      </c>
      <c r="K721" s="270">
        <f t="shared" si="118"/>
        <v>3.0097087378641909</v>
      </c>
      <c r="L721" s="196">
        <v>1</v>
      </c>
      <c r="M721" s="196" t="s">
        <v>2570</v>
      </c>
      <c r="N721" s="196" t="s">
        <v>2569</v>
      </c>
      <c r="O721" s="196" t="s">
        <v>2534</v>
      </c>
      <c r="P721" s="196" t="s">
        <v>2583</v>
      </c>
      <c r="AB721" s="110"/>
      <c r="AC721" s="110"/>
      <c r="AD721" s="110"/>
      <c r="AE721" s="110"/>
    </row>
    <row r="722" spans="1:31">
      <c r="A722" s="196" t="s">
        <v>628</v>
      </c>
      <c r="C722" s="196">
        <v>52</v>
      </c>
      <c r="D722" s="196">
        <v>1.3608</v>
      </c>
      <c r="E722" s="196">
        <v>8.0957000000000008</v>
      </c>
      <c r="F722" s="196">
        <v>0.20680000000000001</v>
      </c>
      <c r="G722" s="196">
        <f t="shared" si="115"/>
        <v>8.3025000000000002</v>
      </c>
      <c r="H722" s="196">
        <v>8.1186000000000007</v>
      </c>
      <c r="I722" s="196">
        <f t="shared" si="116"/>
        <v>0.18389999999999951</v>
      </c>
      <c r="J722" s="200">
        <f t="shared" si="117"/>
        <v>2.2900000000000503E-2</v>
      </c>
      <c r="K722" s="270">
        <f t="shared" si="118"/>
        <v>11.073500967118232</v>
      </c>
      <c r="L722" s="196">
        <v>33</v>
      </c>
      <c r="M722" s="196" t="s">
        <v>2570</v>
      </c>
      <c r="N722" s="196" t="s">
        <v>2569</v>
      </c>
      <c r="O722" s="196" t="s">
        <v>2534</v>
      </c>
      <c r="U722" s="201" t="s">
        <v>1634</v>
      </c>
      <c r="V722" s="196">
        <v>1.1235999999999999</v>
      </c>
      <c r="W722" s="196">
        <f>(V722-$T$175+F720)</f>
        <v>1.3297999999999999</v>
      </c>
      <c r="AB722" s="110"/>
      <c r="AC722" s="110"/>
      <c r="AD722" s="110"/>
      <c r="AE722" s="110"/>
    </row>
    <row r="723" spans="1:31">
      <c r="A723" s="196" t="s">
        <v>626</v>
      </c>
      <c r="C723" s="197">
        <v>10</v>
      </c>
      <c r="D723" s="196">
        <v>1.1661999999999999</v>
      </c>
      <c r="E723" s="201">
        <v>8.4440000000000008</v>
      </c>
      <c r="F723" s="201">
        <v>0.20230000000000001</v>
      </c>
      <c r="G723" s="200">
        <f t="shared" si="115"/>
        <v>8.6463000000000001</v>
      </c>
      <c r="H723" s="200">
        <v>8.4525000000000006</v>
      </c>
      <c r="I723" s="200">
        <f t="shared" si="116"/>
        <v>0.19379999999999953</v>
      </c>
      <c r="J723" s="200">
        <f t="shared" si="117"/>
        <v>8.5000000000004794E-3</v>
      </c>
      <c r="K723" s="270">
        <f t="shared" si="118"/>
        <v>4.2016806722691449</v>
      </c>
      <c r="L723" s="200">
        <v>20</v>
      </c>
      <c r="M723" s="203">
        <v>43221</v>
      </c>
      <c r="N723" s="203">
        <v>43221</v>
      </c>
      <c r="AB723" s="110"/>
      <c r="AC723" s="110"/>
      <c r="AD723" s="110"/>
      <c r="AE723" s="110"/>
    </row>
    <row r="724" spans="1:31">
      <c r="A724" s="196" t="s">
        <v>624</v>
      </c>
      <c r="C724" s="196">
        <v>90</v>
      </c>
      <c r="D724" s="196">
        <v>1.8949</v>
      </c>
      <c r="E724" s="196">
        <v>21.210999999999999</v>
      </c>
      <c r="F724" s="196">
        <v>0.20669999999999999</v>
      </c>
      <c r="G724" s="196">
        <f t="shared" si="115"/>
        <v>21.4177</v>
      </c>
      <c r="H724" s="196">
        <v>21.2576</v>
      </c>
      <c r="I724" s="196">
        <f t="shared" si="116"/>
        <v>0.16009999999999991</v>
      </c>
      <c r="J724" s="200">
        <f t="shared" si="117"/>
        <v>4.6600000000000086E-2</v>
      </c>
      <c r="K724" s="270">
        <f t="shared" si="118"/>
        <v>22.544750846637683</v>
      </c>
      <c r="L724" s="196">
        <v>18</v>
      </c>
      <c r="M724" s="196" t="s">
        <v>2564</v>
      </c>
      <c r="N724" s="196" t="s">
        <v>2563</v>
      </c>
      <c r="O724" s="196" t="s">
        <v>2540</v>
      </c>
      <c r="AB724" s="110"/>
      <c r="AC724" s="110"/>
      <c r="AD724" s="110"/>
      <c r="AE724" s="110"/>
    </row>
    <row r="725" spans="1:31">
      <c r="A725" s="196" t="s">
        <v>623</v>
      </c>
      <c r="P725" s="196" t="s">
        <v>3215</v>
      </c>
      <c r="AB725" s="110"/>
      <c r="AC725" s="110"/>
      <c r="AD725" s="110"/>
      <c r="AE725" s="110"/>
    </row>
    <row r="726" spans="1:31">
      <c r="A726" s="196" t="s">
        <v>622</v>
      </c>
      <c r="C726" s="196">
        <v>16</v>
      </c>
      <c r="D726" s="196">
        <v>1.2048000000000001</v>
      </c>
      <c r="E726" s="201">
        <v>11.4437</v>
      </c>
      <c r="F726" s="201">
        <v>0.20610000000000001</v>
      </c>
      <c r="G726" s="200">
        <f t="shared" ref="G726:G771" si="119">E726+F726</f>
        <v>11.649799999999999</v>
      </c>
      <c r="H726" s="200">
        <v>11.4558</v>
      </c>
      <c r="I726" s="200">
        <f t="shared" ref="I726:I736" si="120">(G726-H726)</f>
        <v>0.19399999999999906</v>
      </c>
      <c r="J726" s="200">
        <f t="shared" ref="J726:J771" si="121">F726-I726</f>
        <v>1.2100000000000943E-2</v>
      </c>
      <c r="K726" s="270">
        <f t="shared" ref="K726:K771" si="122">(J726/F726)*100</f>
        <v>5.8709364386224854</v>
      </c>
      <c r="L726" s="200">
        <v>32</v>
      </c>
      <c r="M726" s="203">
        <v>43221</v>
      </c>
      <c r="N726" s="203">
        <v>43221</v>
      </c>
      <c r="AB726" s="110"/>
      <c r="AC726" s="110"/>
      <c r="AD726" s="110"/>
      <c r="AE726" s="110"/>
    </row>
    <row r="727" spans="1:31">
      <c r="A727" s="200" t="s">
        <v>621</v>
      </c>
      <c r="C727" s="200">
        <v>129</v>
      </c>
      <c r="D727" s="200">
        <v>1.3351999999999999</v>
      </c>
      <c r="E727" s="201">
        <v>8.8605</v>
      </c>
      <c r="F727" s="201">
        <v>0.20200000000000001</v>
      </c>
      <c r="G727" s="200">
        <f t="shared" si="119"/>
        <v>9.0625</v>
      </c>
      <c r="H727" s="200">
        <v>8.8718000000000004</v>
      </c>
      <c r="I727" s="200">
        <f t="shared" si="120"/>
        <v>0.19069999999999965</v>
      </c>
      <c r="J727" s="200">
        <f t="shared" si="121"/>
        <v>1.1300000000000365E-2</v>
      </c>
      <c r="K727" s="270">
        <f t="shared" si="122"/>
        <v>5.5940594059407749</v>
      </c>
      <c r="L727" s="200">
        <v>12</v>
      </c>
      <c r="M727" s="204">
        <v>43174</v>
      </c>
      <c r="N727" s="204">
        <v>43174</v>
      </c>
      <c r="O727" s="200" t="s">
        <v>2540</v>
      </c>
      <c r="P727" s="200" t="s">
        <v>2535</v>
      </c>
      <c r="AB727" s="110"/>
      <c r="AC727" s="110"/>
      <c r="AD727" s="110"/>
      <c r="AE727" s="110"/>
    </row>
    <row r="728" spans="1:31">
      <c r="A728" s="200" t="s">
        <v>620</v>
      </c>
      <c r="C728" s="200">
        <v>41</v>
      </c>
      <c r="D728" s="201">
        <v>1.2992999999999999</v>
      </c>
      <c r="E728" s="200">
        <v>10.271699999999999</v>
      </c>
      <c r="F728" s="201">
        <v>0.20369999999999999</v>
      </c>
      <c r="G728" s="200">
        <f t="shared" si="119"/>
        <v>10.475399999999999</v>
      </c>
      <c r="H728" s="200">
        <v>10.2857</v>
      </c>
      <c r="I728" s="200">
        <f t="shared" si="120"/>
        <v>0.18969999999999843</v>
      </c>
      <c r="J728" s="200">
        <f t="shared" si="121"/>
        <v>1.4000000000001567E-2</v>
      </c>
      <c r="K728" s="270">
        <f t="shared" si="122"/>
        <v>6.8728522336777456</v>
      </c>
      <c r="L728" s="200">
        <v>30</v>
      </c>
      <c r="M728" s="200"/>
      <c r="N728" s="200"/>
      <c r="O728" s="200"/>
      <c r="P728" s="200"/>
      <c r="AB728" s="110"/>
      <c r="AC728" s="110"/>
      <c r="AD728" s="110"/>
      <c r="AE728" s="110"/>
    </row>
    <row r="729" spans="1:31">
      <c r="A729" s="196" t="s">
        <v>619</v>
      </c>
      <c r="C729" s="196">
        <v>115</v>
      </c>
      <c r="D729" s="196">
        <v>1.1588000000000001</v>
      </c>
      <c r="E729" s="196">
        <v>18.116499999999998</v>
      </c>
      <c r="F729" s="196">
        <v>0.2036</v>
      </c>
      <c r="G729" s="196">
        <f t="shared" si="119"/>
        <v>18.3201</v>
      </c>
      <c r="H729" s="196">
        <v>18.124500000000001</v>
      </c>
      <c r="I729" s="196">
        <f t="shared" si="120"/>
        <v>0.19559999999999889</v>
      </c>
      <c r="J729" s="200">
        <f t="shared" si="121"/>
        <v>8.0000000000011173E-3</v>
      </c>
      <c r="K729" s="270">
        <f t="shared" si="122"/>
        <v>3.9292730844799202</v>
      </c>
      <c r="L729" s="196">
        <v>15</v>
      </c>
      <c r="M729" s="196" t="s">
        <v>2560</v>
      </c>
      <c r="N729" s="196">
        <v>43153.729166666664</v>
      </c>
      <c r="O729" s="196" t="s">
        <v>2534</v>
      </c>
      <c r="P729" s="196" t="s">
        <v>2558</v>
      </c>
      <c r="AB729" s="110"/>
      <c r="AC729" s="110"/>
      <c r="AD729" s="110"/>
      <c r="AE729" s="110"/>
    </row>
    <row r="730" spans="1:31">
      <c r="A730" t="s">
        <v>618</v>
      </c>
      <c r="D730" s="196">
        <v>1.3698999999999999</v>
      </c>
      <c r="E730" s="201">
        <v>11.089399999999999</v>
      </c>
      <c r="F730" s="201">
        <v>0.2064</v>
      </c>
      <c r="G730" s="200">
        <f t="shared" si="119"/>
        <v>11.2958</v>
      </c>
      <c r="H730" s="200">
        <v>11.0945</v>
      </c>
      <c r="I730" s="200">
        <f t="shared" si="120"/>
        <v>0.20129999999999981</v>
      </c>
      <c r="J730" s="200">
        <f t="shared" si="121"/>
        <v>5.1000000000001877E-3</v>
      </c>
      <c r="K730" s="270">
        <f t="shared" si="122"/>
        <v>2.4709302325582305</v>
      </c>
      <c r="L730" s="200">
        <v>4</v>
      </c>
      <c r="AB730" s="110"/>
      <c r="AC730" s="110"/>
      <c r="AD730" s="110"/>
      <c r="AE730" s="110"/>
    </row>
    <row r="731" spans="1:31">
      <c r="A731" s="196" t="s">
        <v>617</v>
      </c>
      <c r="C731" s="196">
        <v>133</v>
      </c>
      <c r="D731" s="196">
        <v>1.3261000000000001</v>
      </c>
      <c r="E731" s="196">
        <v>8.8665000000000003</v>
      </c>
      <c r="F731" s="196">
        <v>0.1983</v>
      </c>
      <c r="G731" s="196">
        <f t="shared" si="119"/>
        <v>9.0648</v>
      </c>
      <c r="H731" s="196">
        <v>8.8714999999999993</v>
      </c>
      <c r="I731" s="196">
        <f t="shared" si="120"/>
        <v>0.19330000000000069</v>
      </c>
      <c r="J731" s="200">
        <f t="shared" si="121"/>
        <v>4.9999999999993106E-3</v>
      </c>
      <c r="K731" s="270">
        <f t="shared" si="122"/>
        <v>2.521432173474186</v>
      </c>
      <c r="L731" s="196">
        <v>14</v>
      </c>
      <c r="M731" s="196">
        <v>43157.395833333336</v>
      </c>
      <c r="N731" s="196">
        <v>43157.569444444445</v>
      </c>
      <c r="O731" s="196" t="s">
        <v>2534</v>
      </c>
      <c r="AB731" s="110"/>
      <c r="AC731" s="110"/>
      <c r="AD731" s="110"/>
      <c r="AE731" s="110"/>
    </row>
    <row r="732" spans="1:31">
      <c r="A732" s="200" t="s">
        <v>616</v>
      </c>
      <c r="C732" s="200">
        <v>65</v>
      </c>
      <c r="D732" s="200">
        <v>1.4464999999999999</v>
      </c>
      <c r="E732" s="201">
        <v>11.002800000000001</v>
      </c>
      <c r="F732" s="201">
        <v>0.20530000000000001</v>
      </c>
      <c r="G732" s="200">
        <f t="shared" si="119"/>
        <v>11.2081</v>
      </c>
      <c r="H732" s="200">
        <v>11.010999999999999</v>
      </c>
      <c r="I732" s="200">
        <f t="shared" si="120"/>
        <v>0.19710000000000072</v>
      </c>
      <c r="J732" s="200">
        <f t="shared" si="121"/>
        <v>8.1999999999992912E-3</v>
      </c>
      <c r="K732" s="270">
        <f t="shared" si="122"/>
        <v>3.9941548952748618</v>
      </c>
      <c r="L732" s="200">
        <v>2</v>
      </c>
      <c r="M732" s="204">
        <v>43199</v>
      </c>
      <c r="N732" s="204">
        <v>43199</v>
      </c>
      <c r="O732" s="200"/>
      <c r="P732" s="200"/>
      <c r="AB732" s="110"/>
      <c r="AC732" s="110"/>
      <c r="AD732" s="110"/>
      <c r="AE732" s="110"/>
    </row>
    <row r="733" spans="1:31">
      <c r="A733" s="200" t="s">
        <v>615</v>
      </c>
      <c r="C733" s="200">
        <v>119</v>
      </c>
      <c r="D733" s="200">
        <v>1.0528</v>
      </c>
      <c r="E733" s="201">
        <v>8.7311999999999994</v>
      </c>
      <c r="F733" s="201">
        <v>0.2072</v>
      </c>
      <c r="G733" s="200">
        <f t="shared" si="119"/>
        <v>8.9383999999999997</v>
      </c>
      <c r="H733" s="200">
        <v>8.7446000000000002</v>
      </c>
      <c r="I733" s="200">
        <f t="shared" si="120"/>
        <v>0.19379999999999953</v>
      </c>
      <c r="J733" s="200">
        <f t="shared" si="121"/>
        <v>1.3400000000000467E-2</v>
      </c>
      <c r="K733" s="270">
        <f t="shared" si="122"/>
        <v>6.4671814671816925</v>
      </c>
      <c r="L733" s="200">
        <v>25</v>
      </c>
      <c r="M733" s="204">
        <v>43197</v>
      </c>
      <c r="N733" s="204">
        <v>43197</v>
      </c>
      <c r="O733" s="200"/>
      <c r="P733" s="200"/>
      <c r="AB733" s="110"/>
      <c r="AC733" s="110"/>
      <c r="AD733" s="110"/>
      <c r="AE733" s="110"/>
    </row>
    <row r="734" spans="1:31">
      <c r="A734" s="196" t="s">
        <v>614</v>
      </c>
      <c r="C734" s="197">
        <v>2</v>
      </c>
      <c r="D734" s="196">
        <v>1.1162000000000001</v>
      </c>
      <c r="E734" s="201">
        <v>9.0031999999999996</v>
      </c>
      <c r="F734" s="201">
        <v>0.20030000000000001</v>
      </c>
      <c r="G734" s="200">
        <f t="shared" si="119"/>
        <v>9.2035</v>
      </c>
      <c r="H734" s="200">
        <v>9.0121000000000002</v>
      </c>
      <c r="I734" s="200">
        <f t="shared" si="120"/>
        <v>0.19139999999999979</v>
      </c>
      <c r="J734" s="200">
        <f t="shared" si="121"/>
        <v>8.9000000000002133E-3</v>
      </c>
      <c r="K734" s="270">
        <f t="shared" si="122"/>
        <v>4.4433349975038503</v>
      </c>
      <c r="L734" s="200">
        <v>24</v>
      </c>
      <c r="T734" s="203"/>
      <c r="U734" s="203"/>
      <c r="AB734" s="110"/>
      <c r="AC734" s="110"/>
      <c r="AD734" s="110"/>
      <c r="AE734" s="110"/>
    </row>
    <row r="735" spans="1:31">
      <c r="A735" s="196" t="s">
        <v>613</v>
      </c>
      <c r="C735" s="196">
        <v>71</v>
      </c>
      <c r="D735" s="196">
        <v>1.3772</v>
      </c>
      <c r="E735" s="201">
        <v>9.1972000000000005</v>
      </c>
      <c r="F735" s="201">
        <v>0.20080000000000001</v>
      </c>
      <c r="G735" s="200">
        <f t="shared" si="119"/>
        <v>9.3979999999999997</v>
      </c>
      <c r="H735" s="200">
        <v>9.2026000000000003</v>
      </c>
      <c r="I735" s="200">
        <f t="shared" si="120"/>
        <v>0.19539999999999935</v>
      </c>
      <c r="J735" s="200">
        <f t="shared" si="121"/>
        <v>5.4000000000006543E-3</v>
      </c>
      <c r="K735" s="270">
        <f t="shared" si="122"/>
        <v>2.689243027888772</v>
      </c>
      <c r="L735" s="200">
        <v>4</v>
      </c>
      <c r="AB735" s="110"/>
      <c r="AC735" s="110"/>
      <c r="AD735" s="110"/>
      <c r="AE735" s="110"/>
    </row>
    <row r="736" spans="1:31">
      <c r="A736" s="196" t="s">
        <v>612</v>
      </c>
      <c r="C736" s="197">
        <v>21</v>
      </c>
      <c r="D736" s="196">
        <v>1.2070000000000001</v>
      </c>
      <c r="E736" s="201">
        <v>7.8015999999999996</v>
      </c>
      <c r="F736" s="201">
        <v>0.20019999999999999</v>
      </c>
      <c r="G736" s="200">
        <f t="shared" si="119"/>
        <v>8.0017999999999994</v>
      </c>
      <c r="H736" s="200">
        <v>7.8155999999999999</v>
      </c>
      <c r="I736" s="200">
        <f t="shared" si="120"/>
        <v>0.18619999999999948</v>
      </c>
      <c r="J736" s="200">
        <f t="shared" si="121"/>
        <v>1.4000000000000512E-2</v>
      </c>
      <c r="K736" s="270">
        <f t="shared" si="122"/>
        <v>6.9930069930072492</v>
      </c>
      <c r="L736" s="200">
        <v>6</v>
      </c>
      <c r="AB736" s="110"/>
      <c r="AC736" s="110"/>
      <c r="AD736" s="110"/>
      <c r="AE736" s="110"/>
    </row>
    <row r="737" spans="1:31">
      <c r="A737" t="s">
        <v>611</v>
      </c>
      <c r="C737">
        <v>112</v>
      </c>
      <c r="D737">
        <v>1.3818999999999999</v>
      </c>
      <c r="E737">
        <v>8.7741000000000007</v>
      </c>
      <c r="F737">
        <v>0.2107</v>
      </c>
      <c r="G737">
        <f t="shared" si="119"/>
        <v>8.9847999999999999</v>
      </c>
      <c r="H737">
        <v>8.7838999999999992</v>
      </c>
      <c r="I737">
        <f>G737-H737</f>
        <v>0.20090000000000074</v>
      </c>
      <c r="J737">
        <f t="shared" si="121"/>
        <v>9.7999999999992538E-3</v>
      </c>
      <c r="K737" s="270">
        <f t="shared" si="122"/>
        <v>4.6511627906973203</v>
      </c>
      <c r="L737">
        <v>11</v>
      </c>
      <c r="M737" t="s">
        <v>2560</v>
      </c>
      <c r="N737">
        <v>43153.729166666664</v>
      </c>
      <c r="O737" t="s">
        <v>2534</v>
      </c>
      <c r="P737" t="s">
        <v>2558</v>
      </c>
      <c r="Q737"/>
      <c r="AB737" s="110"/>
      <c r="AC737" s="110"/>
      <c r="AD737" s="110"/>
      <c r="AE737" s="110"/>
    </row>
    <row r="738" spans="1:31">
      <c r="A738" s="200" t="s">
        <v>610</v>
      </c>
      <c r="C738" s="200">
        <v>7</v>
      </c>
      <c r="D738" s="200">
        <v>1.2060999999999999</v>
      </c>
      <c r="E738" s="201">
        <v>10.9216</v>
      </c>
      <c r="F738" s="201">
        <v>0.20549999999999999</v>
      </c>
      <c r="G738" s="200">
        <f t="shared" si="119"/>
        <v>11.1271</v>
      </c>
      <c r="H738" s="200">
        <v>10.928100000000001</v>
      </c>
      <c r="I738" s="200">
        <f t="shared" ref="I738:I771" si="123">(G738-H738)</f>
        <v>0.19899999999999984</v>
      </c>
      <c r="J738" s="200">
        <f t="shared" si="121"/>
        <v>6.5000000000001446E-3</v>
      </c>
      <c r="K738" s="270">
        <f t="shared" si="122"/>
        <v>3.1630170316302406</v>
      </c>
      <c r="L738" s="200">
        <v>3</v>
      </c>
      <c r="M738" s="206">
        <v>43185.385416666664</v>
      </c>
      <c r="N738" s="200"/>
      <c r="O738" s="200" t="s">
        <v>2540</v>
      </c>
      <c r="P738" s="200"/>
      <c r="AB738" s="110"/>
      <c r="AC738" s="110"/>
      <c r="AD738" s="110"/>
      <c r="AE738" s="110"/>
    </row>
    <row r="739" spans="1:31">
      <c r="A739" s="200" t="s">
        <v>609</v>
      </c>
      <c r="C739" s="200">
        <v>121</v>
      </c>
      <c r="D739" s="200">
        <v>1.419</v>
      </c>
      <c r="E739" s="200">
        <v>10.0755</v>
      </c>
      <c r="F739" s="200">
        <v>0.2034</v>
      </c>
      <c r="G739" s="200">
        <f t="shared" si="119"/>
        <v>10.2789</v>
      </c>
      <c r="H739" s="200">
        <v>10.0906</v>
      </c>
      <c r="I739" s="200">
        <f t="shared" si="123"/>
        <v>0.18829999999999991</v>
      </c>
      <c r="J739" s="200">
        <f t="shared" si="121"/>
        <v>1.5100000000000086E-2</v>
      </c>
      <c r="K739" s="270">
        <f t="shared" si="122"/>
        <v>7.423795476892864</v>
      </c>
      <c r="L739" s="200">
        <v>10</v>
      </c>
      <c r="M739" s="204">
        <v>43188</v>
      </c>
      <c r="N739" s="204">
        <v>43188</v>
      </c>
      <c r="O739" s="200"/>
      <c r="P739" s="200"/>
      <c r="AB739" s="110"/>
      <c r="AC739" s="110"/>
      <c r="AD739" s="110"/>
      <c r="AE739" s="110"/>
    </row>
    <row r="740" spans="1:31">
      <c r="A740" s="196" t="s">
        <v>608</v>
      </c>
      <c r="C740" s="197">
        <v>149</v>
      </c>
      <c r="D740" s="196">
        <v>1.5586</v>
      </c>
      <c r="E740" s="200">
        <v>11.0868</v>
      </c>
      <c r="F740" s="201">
        <v>0.20100000000000001</v>
      </c>
      <c r="G740" s="200">
        <f t="shared" si="119"/>
        <v>11.287800000000001</v>
      </c>
      <c r="H740" s="200">
        <v>11.11</v>
      </c>
      <c r="I740" s="200">
        <f t="shared" si="123"/>
        <v>0.17780000000000129</v>
      </c>
      <c r="J740" s="200">
        <f t="shared" si="121"/>
        <v>2.3199999999998722E-2</v>
      </c>
      <c r="K740" s="270">
        <f t="shared" si="122"/>
        <v>11.542288557213293</v>
      </c>
      <c r="L740" s="200">
        <v>21</v>
      </c>
      <c r="M740" s="203">
        <v>43212</v>
      </c>
      <c r="AB740" s="110"/>
      <c r="AC740" s="110"/>
      <c r="AD740" s="110"/>
      <c r="AE740" s="110"/>
    </row>
    <row r="741" spans="1:31">
      <c r="A741" s="205" t="s">
        <v>607</v>
      </c>
      <c r="C741" s="200">
        <v>168</v>
      </c>
      <c r="D741" s="200">
        <v>1.4766999999999999</v>
      </c>
      <c r="E741" s="201">
        <v>10.539199999999999</v>
      </c>
      <c r="F741" s="201">
        <v>0.20269999999999999</v>
      </c>
      <c r="G741" s="200">
        <f t="shared" si="119"/>
        <v>10.741899999999999</v>
      </c>
      <c r="H741" s="200">
        <v>10.543200000000001</v>
      </c>
      <c r="I741" s="200">
        <f t="shared" si="123"/>
        <v>0.19869999999999877</v>
      </c>
      <c r="J741" s="200">
        <f t="shared" si="121"/>
        <v>4.0000000000012248E-3</v>
      </c>
      <c r="K741" s="270">
        <f t="shared" si="122"/>
        <v>1.9733596447958683</v>
      </c>
      <c r="L741" s="200">
        <v>11</v>
      </c>
      <c r="M741" s="206">
        <v>43185.385416666664</v>
      </c>
      <c r="N741" s="200"/>
      <c r="O741" s="200" t="s">
        <v>2540</v>
      </c>
      <c r="P741" s="200"/>
      <c r="AB741" s="110"/>
      <c r="AC741" s="110"/>
      <c r="AD741" s="110"/>
      <c r="AE741" s="110"/>
    </row>
    <row r="742" spans="1:31">
      <c r="A742" s="205" t="s">
        <v>606</v>
      </c>
      <c r="C742" s="200">
        <v>140</v>
      </c>
      <c r="D742" s="200">
        <v>1.3013999999999999</v>
      </c>
      <c r="E742" s="200">
        <v>9.3427000000000007</v>
      </c>
      <c r="F742" s="200">
        <v>0.2026</v>
      </c>
      <c r="G742" s="200">
        <f t="shared" si="119"/>
        <v>9.545300000000001</v>
      </c>
      <c r="H742" s="200">
        <v>9.3559999999999999</v>
      </c>
      <c r="I742" s="200">
        <f t="shared" si="123"/>
        <v>0.18930000000000113</v>
      </c>
      <c r="J742" s="200">
        <f t="shared" si="121"/>
        <v>1.3299999999998868E-2</v>
      </c>
      <c r="K742" s="270">
        <f t="shared" si="122"/>
        <v>6.5646594274426793</v>
      </c>
      <c r="L742" s="200">
        <v>2</v>
      </c>
      <c r="M742" s="202">
        <v>43164.628472222219</v>
      </c>
      <c r="N742" s="202">
        <v>43164.795138888891</v>
      </c>
      <c r="O742" s="196" t="s">
        <v>2534</v>
      </c>
      <c r="P742" s="200"/>
      <c r="AB742" s="110"/>
      <c r="AC742" s="110"/>
      <c r="AD742" s="110"/>
      <c r="AE742" s="110"/>
    </row>
    <row r="743" spans="1:31">
      <c r="A743" s="205" t="s">
        <v>605</v>
      </c>
      <c r="C743" s="200">
        <v>132</v>
      </c>
      <c r="D743" s="200">
        <v>1.2561</v>
      </c>
      <c r="E743" s="200">
        <v>9.2353000000000005</v>
      </c>
      <c r="F743" s="200">
        <v>0.20530000000000001</v>
      </c>
      <c r="G743" s="200">
        <f t="shared" si="119"/>
        <v>9.4405999999999999</v>
      </c>
      <c r="H743" s="200">
        <v>9.4237000000000002</v>
      </c>
      <c r="I743" s="200">
        <f t="shared" si="123"/>
        <v>1.6899999999999693E-2</v>
      </c>
      <c r="J743" s="200">
        <f t="shared" si="121"/>
        <v>0.18840000000000032</v>
      </c>
      <c r="K743" s="270">
        <f t="shared" si="122"/>
        <v>91.768144179250029</v>
      </c>
      <c r="L743" s="200">
        <v>14</v>
      </c>
      <c r="M743" s="204">
        <v>43188</v>
      </c>
      <c r="N743" s="204">
        <v>43188</v>
      </c>
      <c r="O743" s="200"/>
      <c r="P743" s="200"/>
      <c r="AB743" s="110"/>
      <c r="AC743" s="110"/>
      <c r="AD743" s="110"/>
      <c r="AE743" s="110"/>
    </row>
    <row r="744" spans="1:31">
      <c r="A744" s="196" t="s">
        <v>604</v>
      </c>
      <c r="C744" s="197">
        <v>182</v>
      </c>
      <c r="D744" s="196">
        <v>1.5063</v>
      </c>
      <c r="E744" s="201">
        <v>7.7148000000000003</v>
      </c>
      <c r="F744" s="201">
        <v>0.20039999999999999</v>
      </c>
      <c r="G744" s="200">
        <f t="shared" si="119"/>
        <v>7.9152000000000005</v>
      </c>
      <c r="H744" s="200">
        <v>7.7190000000000003</v>
      </c>
      <c r="I744" s="200">
        <f t="shared" si="123"/>
        <v>0.19620000000000015</v>
      </c>
      <c r="J744" s="200">
        <f t="shared" si="121"/>
        <v>4.1999999999998427E-3</v>
      </c>
      <c r="K744" s="270">
        <f t="shared" si="122"/>
        <v>2.0958083832334542</v>
      </c>
      <c r="L744" s="200">
        <v>12</v>
      </c>
      <c r="AB744" s="110"/>
      <c r="AC744" s="110"/>
      <c r="AD744" s="110"/>
      <c r="AE744" s="110"/>
    </row>
    <row r="745" spans="1:31">
      <c r="A745" s="200" t="s">
        <v>603</v>
      </c>
      <c r="C745" s="200">
        <v>139</v>
      </c>
      <c r="D745" s="200">
        <v>1.1411</v>
      </c>
      <c r="E745" s="201">
        <v>9.5542999999999996</v>
      </c>
      <c r="F745" s="201">
        <v>0.20119999999999999</v>
      </c>
      <c r="G745" s="200">
        <f t="shared" si="119"/>
        <v>9.7554999999999996</v>
      </c>
      <c r="H745" s="200">
        <v>9.5751000000000008</v>
      </c>
      <c r="I745" s="200">
        <f t="shared" si="123"/>
        <v>0.18039999999999878</v>
      </c>
      <c r="J745" s="200">
        <f t="shared" si="121"/>
        <v>2.0800000000001206E-2</v>
      </c>
      <c r="K745" s="270">
        <f t="shared" si="122"/>
        <v>10.337972166998611</v>
      </c>
      <c r="L745" s="200">
        <v>6</v>
      </c>
      <c r="M745" s="204">
        <v>43199</v>
      </c>
      <c r="N745" s="204">
        <v>43199</v>
      </c>
      <c r="O745" s="200"/>
      <c r="P745" s="200"/>
      <c r="AB745" s="110"/>
      <c r="AC745" s="110"/>
      <c r="AD745" s="110"/>
      <c r="AE745" s="110"/>
    </row>
    <row r="746" spans="1:31">
      <c r="A746" s="196" t="s">
        <v>602</v>
      </c>
      <c r="C746" s="196">
        <v>185</v>
      </c>
      <c r="D746" s="196">
        <v>1.538</v>
      </c>
      <c r="E746" s="200">
        <v>10.7933</v>
      </c>
      <c r="F746" s="201">
        <v>0.20069999999999999</v>
      </c>
      <c r="G746" s="200">
        <f t="shared" si="119"/>
        <v>10.994</v>
      </c>
      <c r="H746" s="200">
        <v>10.7965</v>
      </c>
      <c r="I746" s="200">
        <f t="shared" si="123"/>
        <v>0.19749999999999979</v>
      </c>
      <c r="J746" s="200">
        <f t="shared" si="121"/>
        <v>3.2000000000002027E-3</v>
      </c>
      <c r="K746" s="270">
        <f t="shared" si="122"/>
        <v>1.5944195316393635</v>
      </c>
      <c r="L746" s="200">
        <v>32</v>
      </c>
      <c r="M746" s="203">
        <v>43212</v>
      </c>
      <c r="AB746" s="110"/>
      <c r="AC746" s="110"/>
      <c r="AD746" s="110"/>
      <c r="AE746" s="110"/>
    </row>
    <row r="747" spans="1:31">
      <c r="A747" s="196" t="s">
        <v>601</v>
      </c>
      <c r="C747" s="196">
        <v>105</v>
      </c>
      <c r="D747" s="196">
        <v>1.5065999999999999</v>
      </c>
      <c r="E747" s="196">
        <v>20.017700000000001</v>
      </c>
      <c r="F747" s="196">
        <v>0.20130000000000001</v>
      </c>
      <c r="G747" s="196">
        <f t="shared" si="119"/>
        <v>20.219000000000001</v>
      </c>
      <c r="H747" s="196">
        <v>20.029299999999999</v>
      </c>
      <c r="I747" s="196">
        <f t="shared" si="123"/>
        <v>0.18970000000000198</v>
      </c>
      <c r="J747" s="200">
        <f t="shared" si="121"/>
        <v>1.1599999999998029E-2</v>
      </c>
      <c r="K747" s="270">
        <f t="shared" si="122"/>
        <v>5.7625434674605209</v>
      </c>
      <c r="L747" s="196">
        <v>6</v>
      </c>
      <c r="M747" s="196" t="s">
        <v>2560</v>
      </c>
      <c r="N747" s="196">
        <v>43153.729166666664</v>
      </c>
      <c r="O747" s="196" t="s">
        <v>2534</v>
      </c>
      <c r="P747" s="196" t="s">
        <v>2558</v>
      </c>
      <c r="AB747" s="110"/>
      <c r="AC747" s="110"/>
      <c r="AD747" s="110"/>
      <c r="AE747" s="110"/>
    </row>
    <row r="748" spans="1:31">
      <c r="A748" s="196" t="s">
        <v>600</v>
      </c>
      <c r="C748" s="200">
        <v>184</v>
      </c>
      <c r="D748" s="196">
        <v>1.5148999999999999</v>
      </c>
      <c r="E748" s="200">
        <v>11.4434</v>
      </c>
      <c r="F748" s="201">
        <v>0.20369999999999999</v>
      </c>
      <c r="G748" s="200">
        <f t="shared" si="119"/>
        <v>11.6471</v>
      </c>
      <c r="H748" s="200">
        <v>11.448700000000001</v>
      </c>
      <c r="I748" s="200">
        <f t="shared" si="123"/>
        <v>0.19839999999999947</v>
      </c>
      <c r="J748" s="200">
        <f t="shared" si="121"/>
        <v>5.3000000000005265E-3</v>
      </c>
      <c r="K748" s="270">
        <f t="shared" si="122"/>
        <v>2.6018654884636851</v>
      </c>
      <c r="L748" s="200">
        <v>36</v>
      </c>
      <c r="M748" s="204">
        <v>43211</v>
      </c>
      <c r="AB748" s="110"/>
      <c r="AC748" s="110"/>
      <c r="AD748" s="110"/>
      <c r="AE748" s="110"/>
    </row>
    <row r="749" spans="1:31">
      <c r="A749" s="196" t="s">
        <v>599</v>
      </c>
      <c r="C749" s="196">
        <v>17</v>
      </c>
      <c r="D749" s="196">
        <v>1.3929</v>
      </c>
      <c r="E749" s="200">
        <v>7.3167999999999997</v>
      </c>
      <c r="F749" s="201">
        <v>0.2092</v>
      </c>
      <c r="G749" s="200">
        <f t="shared" si="119"/>
        <v>7.5259999999999998</v>
      </c>
      <c r="H749" s="200">
        <v>7.3322000000000003</v>
      </c>
      <c r="I749" s="200">
        <f t="shared" si="123"/>
        <v>0.19379999999999953</v>
      </c>
      <c r="J749" s="200">
        <f t="shared" si="121"/>
        <v>1.5400000000000469E-2</v>
      </c>
      <c r="K749" s="270">
        <f t="shared" si="122"/>
        <v>7.361376673040378</v>
      </c>
      <c r="L749" s="200">
        <v>13</v>
      </c>
      <c r="M749" s="203">
        <v>43213</v>
      </c>
      <c r="N749" s="203">
        <v>43213</v>
      </c>
      <c r="AB749" s="110"/>
      <c r="AC749" s="110"/>
      <c r="AD749" s="110"/>
      <c r="AE749" s="110"/>
    </row>
    <row r="750" spans="1:31">
      <c r="A750" s="196" t="s">
        <v>598</v>
      </c>
      <c r="C750" s="196">
        <v>136</v>
      </c>
      <c r="D750" s="196">
        <v>1.3183</v>
      </c>
      <c r="E750" s="196">
        <v>8.7314000000000007</v>
      </c>
      <c r="F750" s="196">
        <v>0.20480000000000001</v>
      </c>
      <c r="G750" s="196">
        <f t="shared" si="119"/>
        <v>8.9362000000000013</v>
      </c>
      <c r="H750" s="196">
        <v>8.7448999999999995</v>
      </c>
      <c r="I750" s="196">
        <f t="shared" si="123"/>
        <v>0.1913000000000018</v>
      </c>
      <c r="J750" s="200">
        <f t="shared" si="121"/>
        <v>1.3499999999998208E-2</v>
      </c>
      <c r="K750" s="270">
        <f t="shared" si="122"/>
        <v>6.5917968749991243</v>
      </c>
      <c r="L750" s="196">
        <v>5</v>
      </c>
      <c r="M750" s="196">
        <v>43157.527777777781</v>
      </c>
      <c r="N750" s="196">
        <v>43157.694444444445</v>
      </c>
      <c r="O750" s="196" t="s">
        <v>2540</v>
      </c>
      <c r="AB750" s="110"/>
      <c r="AC750" s="110"/>
      <c r="AD750" s="110"/>
      <c r="AE750" s="110"/>
    </row>
    <row r="751" spans="1:31">
      <c r="A751" s="205" t="s">
        <v>597</v>
      </c>
      <c r="C751" s="200">
        <v>118</v>
      </c>
      <c r="D751" s="201">
        <v>1.3688</v>
      </c>
      <c r="E751" s="201">
        <v>7.8598999999999997</v>
      </c>
      <c r="F751" s="201">
        <v>0.19980000000000001</v>
      </c>
      <c r="G751" s="200">
        <f t="shared" si="119"/>
        <v>8.0596999999999994</v>
      </c>
      <c r="H751" s="200">
        <v>7.8691000000000004</v>
      </c>
      <c r="I751" s="200">
        <f t="shared" si="123"/>
        <v>0.19059999999999899</v>
      </c>
      <c r="J751" s="200">
        <f t="shared" si="121"/>
        <v>9.2000000000010129E-3</v>
      </c>
      <c r="K751" s="270">
        <f t="shared" si="122"/>
        <v>4.604604604605111</v>
      </c>
      <c r="L751" s="200">
        <v>17</v>
      </c>
      <c r="M751" s="200"/>
      <c r="N751" s="200"/>
      <c r="O751" s="200"/>
      <c r="P751" s="200"/>
      <c r="AB751" s="110"/>
      <c r="AC751" s="110"/>
      <c r="AD751" s="110"/>
      <c r="AE751" s="110"/>
    </row>
    <row r="752" spans="1:31">
      <c r="A752" s="196" t="s">
        <v>596</v>
      </c>
      <c r="C752" s="197">
        <v>149</v>
      </c>
      <c r="D752" s="196">
        <v>1.4964999999999999</v>
      </c>
      <c r="E752" s="200">
        <v>7.9055</v>
      </c>
      <c r="F752" s="201">
        <v>0.20230000000000001</v>
      </c>
      <c r="G752" s="200">
        <f t="shared" si="119"/>
        <v>8.1077999999999992</v>
      </c>
      <c r="H752" s="200">
        <v>7.9234999999999998</v>
      </c>
      <c r="I752" s="200">
        <f t="shared" si="123"/>
        <v>0.18429999999999946</v>
      </c>
      <c r="J752" s="200">
        <f t="shared" si="121"/>
        <v>1.8000000000000543E-2</v>
      </c>
      <c r="K752" s="270">
        <f t="shared" si="122"/>
        <v>8.8976767177461902</v>
      </c>
      <c r="L752" s="200">
        <v>40</v>
      </c>
      <c r="M752" s="203">
        <v>43212</v>
      </c>
      <c r="P752" s="196" t="s">
        <v>2552</v>
      </c>
      <c r="AB752" s="110"/>
      <c r="AC752" s="110"/>
      <c r="AD752" s="110"/>
      <c r="AE752" s="110"/>
    </row>
    <row r="753" spans="1:31">
      <c r="A753" s="196" t="s">
        <v>595</v>
      </c>
      <c r="C753" s="196">
        <v>72</v>
      </c>
      <c r="D753" s="196">
        <v>1.3431999999999999</v>
      </c>
      <c r="E753" s="196">
        <v>11.1196</v>
      </c>
      <c r="F753" s="201">
        <v>0.20330000000000001</v>
      </c>
      <c r="G753" s="200">
        <f t="shared" si="119"/>
        <v>11.322900000000001</v>
      </c>
      <c r="H753" s="200">
        <v>11.1311</v>
      </c>
      <c r="I753" s="200">
        <f t="shared" si="123"/>
        <v>0.19180000000000064</v>
      </c>
      <c r="J753" s="200">
        <f t="shared" si="121"/>
        <v>1.1499999999999372E-2</v>
      </c>
      <c r="K753" s="270">
        <f t="shared" si="122"/>
        <v>5.6566650270533065</v>
      </c>
      <c r="L753" s="200">
        <v>18</v>
      </c>
      <c r="P753" s="196" t="s">
        <v>2541</v>
      </c>
      <c r="AB753" s="110"/>
      <c r="AC753" s="110"/>
      <c r="AD753" s="110"/>
      <c r="AE753" s="110"/>
    </row>
    <row r="754" spans="1:31">
      <c r="A754" s="200" t="s">
        <v>594</v>
      </c>
      <c r="C754" s="200">
        <v>95</v>
      </c>
      <c r="D754" s="196">
        <v>2.7208999999999999</v>
      </c>
      <c r="E754" s="201">
        <v>11.9041</v>
      </c>
      <c r="F754" s="201">
        <v>0.2029</v>
      </c>
      <c r="G754" s="200">
        <f t="shared" si="119"/>
        <v>12.106999999999999</v>
      </c>
      <c r="H754" s="200">
        <v>11.9305</v>
      </c>
      <c r="I754" s="200">
        <f t="shared" si="123"/>
        <v>0.17649999999999899</v>
      </c>
      <c r="J754" s="200">
        <f t="shared" si="121"/>
        <v>2.6400000000001006E-2</v>
      </c>
      <c r="K754" s="270">
        <f t="shared" si="122"/>
        <v>13.011335633317401</v>
      </c>
      <c r="L754" s="200">
        <v>16</v>
      </c>
      <c r="M754" s="204">
        <v>43174</v>
      </c>
      <c r="N754" s="204">
        <v>43174</v>
      </c>
      <c r="O754" s="200" t="s">
        <v>2540</v>
      </c>
      <c r="P754" s="200" t="s">
        <v>2535</v>
      </c>
      <c r="AB754" s="110"/>
      <c r="AC754" s="110"/>
      <c r="AD754" s="110"/>
      <c r="AE754" s="110"/>
    </row>
    <row r="755" spans="1:31">
      <c r="A755" s="196" t="s">
        <v>593</v>
      </c>
      <c r="C755" s="196">
        <v>105</v>
      </c>
      <c r="D755" s="196">
        <v>1.5258</v>
      </c>
      <c r="E755" s="196">
        <v>20.898399999999999</v>
      </c>
      <c r="F755" s="196">
        <v>0.2021</v>
      </c>
      <c r="G755" s="196">
        <f t="shared" si="119"/>
        <v>21.1005</v>
      </c>
      <c r="H755" s="196">
        <v>20.931699999999999</v>
      </c>
      <c r="I755" s="196">
        <f t="shared" si="123"/>
        <v>0.16880000000000095</v>
      </c>
      <c r="J755" s="200">
        <f t="shared" si="121"/>
        <v>3.3299999999999053E-2</v>
      </c>
      <c r="K755" s="270">
        <f t="shared" si="122"/>
        <v>16.476991588322143</v>
      </c>
      <c r="L755" s="196">
        <v>7</v>
      </c>
      <c r="M755" s="196" t="s">
        <v>2560</v>
      </c>
      <c r="N755" s="196">
        <v>43153.729166666664</v>
      </c>
      <c r="O755" s="196" t="s">
        <v>2534</v>
      </c>
      <c r="P755" s="196" t="s">
        <v>2558</v>
      </c>
      <c r="AB755" s="110"/>
      <c r="AC755" s="110"/>
      <c r="AD755" s="110"/>
      <c r="AE755" s="110"/>
    </row>
    <row r="756" spans="1:31">
      <c r="A756" s="196" t="s">
        <v>592</v>
      </c>
      <c r="C756" s="196">
        <v>99</v>
      </c>
      <c r="D756" s="196">
        <v>1.3541000000000001</v>
      </c>
      <c r="E756" s="196">
        <v>20.781099999999999</v>
      </c>
      <c r="F756" s="196">
        <v>0.20880000000000001</v>
      </c>
      <c r="G756" s="196">
        <f t="shared" si="119"/>
        <v>20.989899999999999</v>
      </c>
      <c r="H756" s="196">
        <v>20.7882</v>
      </c>
      <c r="I756" s="196">
        <f t="shared" si="123"/>
        <v>0.20169999999999888</v>
      </c>
      <c r="J756" s="200">
        <f t="shared" si="121"/>
        <v>7.1000000000011332E-3</v>
      </c>
      <c r="K756" s="270">
        <f t="shared" si="122"/>
        <v>3.4003831417629944</v>
      </c>
      <c r="L756" s="196">
        <v>3</v>
      </c>
      <c r="M756" s="196" t="s">
        <v>2560</v>
      </c>
      <c r="N756" s="196">
        <v>43153.729166666664</v>
      </c>
      <c r="O756" s="196" t="s">
        <v>2534</v>
      </c>
      <c r="P756" s="196" t="s">
        <v>2558</v>
      </c>
      <c r="AB756" s="110"/>
      <c r="AC756" s="110"/>
      <c r="AD756" s="110"/>
      <c r="AE756" s="110"/>
    </row>
    <row r="757" spans="1:31">
      <c r="A757" s="205" t="s">
        <v>1087</v>
      </c>
      <c r="C757" s="200">
        <v>110</v>
      </c>
      <c r="D757" s="200">
        <v>1.2992999999999999</v>
      </c>
      <c r="E757" s="200">
        <v>10.5213</v>
      </c>
      <c r="F757" s="201">
        <v>0.2064</v>
      </c>
      <c r="G757" s="200">
        <f t="shared" si="119"/>
        <v>10.7277</v>
      </c>
      <c r="H757" s="200">
        <v>10.5314</v>
      </c>
      <c r="I757" s="200">
        <f t="shared" si="123"/>
        <v>0.19630000000000081</v>
      </c>
      <c r="J757" s="200">
        <f t="shared" si="121"/>
        <v>1.0099999999999193E-2</v>
      </c>
      <c r="K757" s="270">
        <f t="shared" si="122"/>
        <v>4.8934108527127869</v>
      </c>
      <c r="L757" s="200">
        <v>27</v>
      </c>
      <c r="M757" s="204">
        <v>43211</v>
      </c>
      <c r="AB757" s="110"/>
      <c r="AC757" s="110"/>
      <c r="AD757" s="110"/>
      <c r="AE757" s="110"/>
    </row>
    <row r="758" spans="1:31">
      <c r="A758" s="200" t="s">
        <v>1088</v>
      </c>
      <c r="C758" s="200">
        <v>55</v>
      </c>
      <c r="D758" s="200">
        <v>1.2990999999999999</v>
      </c>
      <c r="E758" s="200">
        <v>10.901400000000001</v>
      </c>
      <c r="F758" s="201">
        <v>0.20949999999999999</v>
      </c>
      <c r="G758" s="200">
        <f t="shared" si="119"/>
        <v>11.110900000000001</v>
      </c>
      <c r="H758" s="200">
        <v>10.9238</v>
      </c>
      <c r="I758" s="200">
        <f t="shared" si="123"/>
        <v>0.18710000000000093</v>
      </c>
      <c r="J758" s="200">
        <f t="shared" si="121"/>
        <v>2.239999999999906E-2</v>
      </c>
      <c r="K758" s="270">
        <f t="shared" si="122"/>
        <v>10.692124105011484</v>
      </c>
      <c r="L758" s="200">
        <v>15</v>
      </c>
      <c r="M758" s="204">
        <v>43187</v>
      </c>
      <c r="N758" s="204">
        <v>43187</v>
      </c>
      <c r="O758" s="200"/>
      <c r="P758" s="200"/>
      <c r="U758" s="201" t="s">
        <v>1254</v>
      </c>
      <c r="V758" s="196">
        <v>1.0869</v>
      </c>
      <c r="W758" s="196">
        <f>(V758-$T$175+F756)</f>
        <v>1.2957000000000001</v>
      </c>
      <c r="AB758" s="110"/>
      <c r="AC758" s="110"/>
      <c r="AD758" s="110"/>
      <c r="AE758" s="110"/>
    </row>
    <row r="759" spans="1:31">
      <c r="A759" s="196" t="s">
        <v>1086</v>
      </c>
      <c r="C759" s="196">
        <v>126</v>
      </c>
      <c r="D759" s="196">
        <v>1.2043999999999999</v>
      </c>
      <c r="E759" s="196">
        <v>10.855700000000001</v>
      </c>
      <c r="F759" s="196">
        <v>0.20710000000000001</v>
      </c>
      <c r="G759" s="196">
        <f t="shared" si="119"/>
        <v>11.062800000000001</v>
      </c>
      <c r="H759" s="196">
        <v>10.863799999999999</v>
      </c>
      <c r="I759" s="196">
        <f t="shared" si="123"/>
        <v>0.19900000000000162</v>
      </c>
      <c r="J759" s="200">
        <f t="shared" si="121"/>
        <v>8.0999999999983863E-3</v>
      </c>
      <c r="K759" s="270">
        <f t="shared" si="122"/>
        <v>3.9111540318678832</v>
      </c>
      <c r="L759" s="196">
        <v>1</v>
      </c>
      <c r="M759" s="196">
        <v>43157.527777777781</v>
      </c>
      <c r="N759" s="196">
        <v>43157.694444444445</v>
      </c>
      <c r="O759" s="196" t="s">
        <v>2540</v>
      </c>
      <c r="AB759" s="110"/>
      <c r="AC759" s="110"/>
      <c r="AD759" s="110"/>
      <c r="AE759" s="110"/>
    </row>
    <row r="760" spans="1:31">
      <c r="A760" s="205" t="s">
        <v>591</v>
      </c>
      <c r="C760" s="200">
        <v>64</v>
      </c>
      <c r="D760" s="201">
        <v>1.4125000000000001</v>
      </c>
      <c r="E760" s="200">
        <v>9.7211999999999996</v>
      </c>
      <c r="F760" s="201">
        <v>0.2026</v>
      </c>
      <c r="G760" s="200">
        <f t="shared" si="119"/>
        <v>9.9238</v>
      </c>
      <c r="H760" s="200">
        <v>9.7532999999999994</v>
      </c>
      <c r="I760" s="200">
        <f t="shared" si="123"/>
        <v>0.17050000000000054</v>
      </c>
      <c r="J760" s="200">
        <f t="shared" si="121"/>
        <v>3.2099999999999462E-2</v>
      </c>
      <c r="K760" s="270">
        <f t="shared" si="122"/>
        <v>15.844027640671007</v>
      </c>
      <c r="L760" s="200">
        <v>17</v>
      </c>
      <c r="M760" s="204">
        <v>43206</v>
      </c>
      <c r="N760" s="204">
        <v>43206</v>
      </c>
      <c r="O760" s="200"/>
      <c r="P760" s="200"/>
      <c r="AB760" s="110"/>
      <c r="AC760" s="110"/>
      <c r="AD760" s="110"/>
      <c r="AE760" s="110"/>
    </row>
    <row r="761" spans="1:31">
      <c r="A761" s="196" t="s">
        <v>589</v>
      </c>
      <c r="C761" s="196">
        <v>106</v>
      </c>
      <c r="D761" s="196">
        <v>1.4557</v>
      </c>
      <c r="E761" s="196">
        <v>8.0465</v>
      </c>
      <c r="F761" s="196">
        <v>0.19600000000000001</v>
      </c>
      <c r="G761" s="196">
        <f t="shared" si="119"/>
        <v>8.2424999999999997</v>
      </c>
      <c r="H761" s="196">
        <v>8.0646000000000004</v>
      </c>
      <c r="I761" s="196">
        <f t="shared" si="123"/>
        <v>0.17789999999999928</v>
      </c>
      <c r="J761" s="200">
        <f t="shared" si="121"/>
        <v>1.8100000000000727E-2</v>
      </c>
      <c r="K761" s="270">
        <f t="shared" si="122"/>
        <v>9.2346938775513898</v>
      </c>
      <c r="L761" s="196">
        <v>4</v>
      </c>
      <c r="M761" s="196">
        <v>43157.395833333336</v>
      </c>
      <c r="N761" s="196">
        <v>43157.569444444445</v>
      </c>
      <c r="O761" s="196" t="s">
        <v>2534</v>
      </c>
      <c r="AB761" s="110"/>
      <c r="AC761" s="110"/>
      <c r="AD761" s="110"/>
      <c r="AE761" s="110"/>
    </row>
    <row r="762" spans="1:31">
      <c r="A762" s="196" t="s">
        <v>588</v>
      </c>
      <c r="C762" s="196">
        <v>115</v>
      </c>
      <c r="D762" s="196">
        <v>0.5464</v>
      </c>
      <c r="E762" s="196">
        <v>19.7163</v>
      </c>
      <c r="F762" s="196">
        <v>0.19450000000000001</v>
      </c>
      <c r="G762" s="196">
        <f t="shared" si="119"/>
        <v>19.910800000000002</v>
      </c>
      <c r="H762" s="196">
        <v>19.8947</v>
      </c>
      <c r="I762" s="196">
        <f t="shared" si="123"/>
        <v>1.6100000000001558E-2</v>
      </c>
      <c r="J762" s="200">
        <f t="shared" si="121"/>
        <v>0.17839999999999845</v>
      </c>
      <c r="K762" s="270">
        <f t="shared" si="122"/>
        <v>91.722365038559602</v>
      </c>
      <c r="L762" s="196">
        <v>14</v>
      </c>
      <c r="M762" s="196" t="s">
        <v>2560</v>
      </c>
      <c r="N762" s="196">
        <v>43153.729166666664</v>
      </c>
      <c r="O762" s="196" t="s">
        <v>2534</v>
      </c>
      <c r="P762" s="196" t="s">
        <v>2558</v>
      </c>
      <c r="AB762" s="110"/>
      <c r="AC762" s="110"/>
      <c r="AD762" s="110"/>
      <c r="AE762" s="110"/>
    </row>
    <row r="763" spans="1:31">
      <c r="A763" s="196" t="s">
        <v>587</v>
      </c>
      <c r="C763" s="196">
        <v>128</v>
      </c>
      <c r="D763" s="196">
        <v>1.8813</v>
      </c>
      <c r="E763" s="196">
        <v>8.1418999999999997</v>
      </c>
      <c r="F763" s="196">
        <v>0.20810000000000001</v>
      </c>
      <c r="G763" s="196">
        <f t="shared" si="119"/>
        <v>8.35</v>
      </c>
      <c r="H763" s="196">
        <v>8.2802000000000007</v>
      </c>
      <c r="I763" s="196">
        <f t="shared" si="123"/>
        <v>6.9799999999998974E-2</v>
      </c>
      <c r="J763" s="200">
        <f t="shared" si="121"/>
        <v>0.13830000000000103</v>
      </c>
      <c r="K763" s="270">
        <f t="shared" si="122"/>
        <v>66.458433445459406</v>
      </c>
      <c r="L763" s="196">
        <v>8</v>
      </c>
      <c r="M763" s="196">
        <v>43157.395833333336</v>
      </c>
      <c r="N763" s="196">
        <v>43157.569444444445</v>
      </c>
      <c r="O763" s="196" t="s">
        <v>2534</v>
      </c>
      <c r="AB763" s="110"/>
      <c r="AC763" s="110"/>
      <c r="AD763" s="110"/>
      <c r="AE763" s="110"/>
    </row>
    <row r="764" spans="1:31">
      <c r="A764" s="196" t="s">
        <v>586</v>
      </c>
      <c r="C764" s="197">
        <v>184</v>
      </c>
      <c r="D764" s="196">
        <v>1.5008999999999999</v>
      </c>
      <c r="E764" s="201">
        <v>11.055300000000001</v>
      </c>
      <c r="F764" s="201">
        <v>0.2036</v>
      </c>
      <c r="G764" s="200">
        <f t="shared" si="119"/>
        <v>11.258900000000001</v>
      </c>
      <c r="H764" s="200">
        <v>11.0609</v>
      </c>
      <c r="I764" s="200">
        <f t="shared" si="123"/>
        <v>0.1980000000000004</v>
      </c>
      <c r="J764" s="200">
        <f t="shared" si="121"/>
        <v>5.5999999999996053E-3</v>
      </c>
      <c r="K764" s="270">
        <f t="shared" si="122"/>
        <v>2.750491159135366</v>
      </c>
      <c r="L764" s="200">
        <v>3</v>
      </c>
      <c r="M764" s="203">
        <v>43221</v>
      </c>
      <c r="N764" s="203">
        <v>43221</v>
      </c>
      <c r="AB764" s="110"/>
      <c r="AC764" s="110"/>
      <c r="AD764" s="110"/>
      <c r="AE764" s="110"/>
    </row>
    <row r="765" spans="1:31">
      <c r="A765" s="200" t="s">
        <v>585</v>
      </c>
      <c r="C765" s="200">
        <v>155</v>
      </c>
      <c r="D765" s="201">
        <v>1.3769</v>
      </c>
      <c r="E765" s="200">
        <v>8.7598000000000003</v>
      </c>
      <c r="F765" s="201">
        <v>0.20030000000000001</v>
      </c>
      <c r="G765" s="200">
        <f t="shared" si="119"/>
        <v>8.9601000000000006</v>
      </c>
      <c r="H765" s="200">
        <v>8.7750000000000004</v>
      </c>
      <c r="I765" s="200">
        <f t="shared" si="123"/>
        <v>0.18510000000000026</v>
      </c>
      <c r="J765" s="200">
        <f t="shared" si="121"/>
        <v>1.5199999999999741E-2</v>
      </c>
      <c r="K765" s="270">
        <f t="shared" si="122"/>
        <v>7.5886170743882877</v>
      </c>
      <c r="L765" s="200">
        <v>21</v>
      </c>
      <c r="M765" s="204">
        <v>43206</v>
      </c>
      <c r="N765" s="204">
        <v>43206</v>
      </c>
      <c r="O765" s="200"/>
      <c r="P765" s="200" t="s">
        <v>2548</v>
      </c>
      <c r="AB765" s="110"/>
      <c r="AC765" s="110"/>
      <c r="AD765" s="110"/>
      <c r="AE765" s="110"/>
    </row>
    <row r="766" spans="1:31">
      <c r="A766" s="205" t="s">
        <v>584</v>
      </c>
      <c r="C766" s="200">
        <v>186</v>
      </c>
      <c r="D766" s="200">
        <v>1.514</v>
      </c>
      <c r="E766" s="200">
        <v>10.697900000000001</v>
      </c>
      <c r="F766" s="201">
        <v>0.20419999999999999</v>
      </c>
      <c r="G766" s="200">
        <f t="shared" si="119"/>
        <v>10.902100000000001</v>
      </c>
      <c r="H766" s="200">
        <v>10.702299999999999</v>
      </c>
      <c r="I766" s="200">
        <f t="shared" si="123"/>
        <v>0.19980000000000153</v>
      </c>
      <c r="J766" s="200">
        <f t="shared" si="121"/>
        <v>4.3999999999984607E-3</v>
      </c>
      <c r="K766" s="270">
        <f t="shared" si="122"/>
        <v>2.1547502448572287</v>
      </c>
      <c r="L766" s="200">
        <v>29</v>
      </c>
      <c r="M766" s="204">
        <v>43187</v>
      </c>
      <c r="N766" s="204">
        <v>43187</v>
      </c>
      <c r="O766" s="200"/>
      <c r="P766" s="200"/>
      <c r="AB766" s="110"/>
      <c r="AC766" s="110"/>
      <c r="AD766" s="110"/>
      <c r="AE766" s="110"/>
    </row>
    <row r="767" spans="1:31">
      <c r="A767" s="200" t="s">
        <v>583</v>
      </c>
      <c r="C767" s="200">
        <v>171</v>
      </c>
      <c r="D767" s="200">
        <v>1.3822000000000001</v>
      </c>
      <c r="E767" s="201">
        <v>8.7588000000000008</v>
      </c>
      <c r="F767" s="201">
        <v>0.20580000000000001</v>
      </c>
      <c r="G767" s="200">
        <f t="shared" si="119"/>
        <v>8.9646000000000008</v>
      </c>
      <c r="H767" s="200">
        <v>8.7649000000000008</v>
      </c>
      <c r="I767" s="200">
        <f t="shared" si="123"/>
        <v>0.19969999999999999</v>
      </c>
      <c r="J767" s="200">
        <f t="shared" si="121"/>
        <v>6.1000000000000221E-3</v>
      </c>
      <c r="K767" s="270">
        <f t="shared" si="122"/>
        <v>2.9640427599611376</v>
      </c>
      <c r="L767" s="200">
        <v>9</v>
      </c>
      <c r="M767" s="204">
        <v>43174</v>
      </c>
      <c r="N767" s="204">
        <v>43174</v>
      </c>
      <c r="O767" s="200" t="s">
        <v>2540</v>
      </c>
      <c r="P767" s="200" t="s">
        <v>2535</v>
      </c>
      <c r="AB767" s="110"/>
      <c r="AC767" s="110"/>
      <c r="AD767" s="110"/>
      <c r="AE767" s="110"/>
    </row>
    <row r="768" spans="1:31">
      <c r="A768" s="205" t="s">
        <v>582</v>
      </c>
      <c r="C768" s="200">
        <v>140</v>
      </c>
      <c r="D768" s="200">
        <v>1.4224000000000001</v>
      </c>
      <c r="E768" s="200">
        <v>8.4426000000000005</v>
      </c>
      <c r="F768" s="200">
        <v>0.2099</v>
      </c>
      <c r="G768" s="200">
        <f t="shared" si="119"/>
        <v>8.6524999999999999</v>
      </c>
      <c r="H768" s="200">
        <v>8.4672999999999998</v>
      </c>
      <c r="I768" s="200">
        <f t="shared" si="123"/>
        <v>0.18520000000000003</v>
      </c>
      <c r="J768" s="200">
        <f t="shared" si="121"/>
        <v>2.4699999999999972E-2</v>
      </c>
      <c r="K768" s="270">
        <f t="shared" si="122"/>
        <v>11.767508337303465</v>
      </c>
      <c r="L768" s="200">
        <v>1</v>
      </c>
      <c r="M768" s="202">
        <v>43164.628472222219</v>
      </c>
      <c r="N768" s="202">
        <v>43164.795138888891</v>
      </c>
      <c r="O768" s="196" t="s">
        <v>2534</v>
      </c>
      <c r="P768" s="200"/>
      <c r="AB768" s="110"/>
      <c r="AC768" s="110"/>
      <c r="AD768" s="110"/>
      <c r="AE768" s="110"/>
    </row>
    <row r="769" spans="1:31">
      <c r="A769" s="196" t="s">
        <v>1085</v>
      </c>
      <c r="C769" s="196">
        <v>79</v>
      </c>
      <c r="D769" s="196">
        <v>1.4087000000000001</v>
      </c>
      <c r="E769" s="196">
        <v>19.805900000000001</v>
      </c>
      <c r="F769" s="196">
        <v>0.19109999999999999</v>
      </c>
      <c r="G769" s="196">
        <f t="shared" si="119"/>
        <v>19.997</v>
      </c>
      <c r="H769" s="196">
        <v>19.8095</v>
      </c>
      <c r="I769" s="196">
        <f t="shared" si="123"/>
        <v>0.1875</v>
      </c>
      <c r="J769" s="200">
        <f t="shared" si="121"/>
        <v>3.5999999999999921E-3</v>
      </c>
      <c r="K769" s="270">
        <f t="shared" si="122"/>
        <v>1.8838304552590228</v>
      </c>
      <c r="L769" s="196">
        <v>21</v>
      </c>
      <c r="M769" s="196" t="s">
        <v>2564</v>
      </c>
      <c r="N769" s="196" t="s">
        <v>2563</v>
      </c>
      <c r="O769" s="196" t="s">
        <v>2540</v>
      </c>
      <c r="AB769" s="110"/>
      <c r="AC769" s="110"/>
      <c r="AD769" s="110"/>
      <c r="AE769" s="110"/>
    </row>
    <row r="770" spans="1:31">
      <c r="A770" s="200" t="s">
        <v>581</v>
      </c>
      <c r="C770" s="200">
        <v>125</v>
      </c>
      <c r="D770" s="200">
        <v>0.8</v>
      </c>
      <c r="E770" s="201">
        <v>8.7681000000000004</v>
      </c>
      <c r="F770" s="201">
        <v>0.2019</v>
      </c>
      <c r="G770" s="200">
        <f t="shared" si="119"/>
        <v>8.9700000000000006</v>
      </c>
      <c r="H770" s="200">
        <v>8.9550000000000001</v>
      </c>
      <c r="I770" s="200">
        <f t="shared" si="123"/>
        <v>1.5000000000000568E-2</v>
      </c>
      <c r="J770" s="200">
        <f t="shared" si="121"/>
        <v>0.18689999999999943</v>
      </c>
      <c r="K770" s="270">
        <f t="shared" si="122"/>
        <v>92.570579494799119</v>
      </c>
      <c r="L770" s="200">
        <v>14</v>
      </c>
      <c r="M770" s="204">
        <v>43197</v>
      </c>
      <c r="N770" s="204">
        <v>43197</v>
      </c>
      <c r="O770" s="200"/>
      <c r="P770" s="200"/>
      <c r="AB770" s="110"/>
      <c r="AC770" s="110"/>
      <c r="AD770" s="110"/>
      <c r="AE770" s="110"/>
    </row>
    <row r="771" spans="1:31">
      <c r="A771" s="205" t="s">
        <v>580</v>
      </c>
      <c r="C771" s="200">
        <v>98</v>
      </c>
      <c r="D771" s="200">
        <v>1.3828</v>
      </c>
      <c r="E771" s="201">
        <v>11.8628</v>
      </c>
      <c r="F771" s="201">
        <v>0.2011</v>
      </c>
      <c r="G771" s="200">
        <f t="shared" si="119"/>
        <v>12.0639</v>
      </c>
      <c r="H771" s="200">
        <v>11.887499999999999</v>
      </c>
      <c r="I771" s="200">
        <f t="shared" si="123"/>
        <v>0.176400000000001</v>
      </c>
      <c r="J771" s="200">
        <f t="shared" si="121"/>
        <v>2.4699999999999001E-2</v>
      </c>
      <c r="K771" s="270">
        <f t="shared" si="122"/>
        <v>12.28244654400746</v>
      </c>
      <c r="L771" s="200">
        <v>22</v>
      </c>
      <c r="M771" s="206">
        <v>43185.385416666664</v>
      </c>
      <c r="N771" s="200"/>
      <c r="O771" s="200" t="s">
        <v>2540</v>
      </c>
      <c r="P771" s="200"/>
      <c r="AB771" s="110"/>
      <c r="AC771" s="110"/>
      <c r="AD771" s="110"/>
      <c r="AE771" s="110"/>
    </row>
    <row r="772" spans="1:31">
      <c r="A772" s="196" t="s">
        <v>579</v>
      </c>
      <c r="P772" s="196" t="s">
        <v>3215</v>
      </c>
      <c r="AB772" s="110"/>
      <c r="AC772" s="110"/>
      <c r="AD772" s="110"/>
      <c r="AE772" s="110"/>
    </row>
    <row r="773" spans="1:31">
      <c r="A773" s="200" t="s">
        <v>578</v>
      </c>
      <c r="C773" s="200">
        <v>139</v>
      </c>
      <c r="D773" s="200">
        <v>1.9558</v>
      </c>
      <c r="E773" s="201">
        <v>8.7025000000000006</v>
      </c>
      <c r="F773" s="201">
        <v>0.2029</v>
      </c>
      <c r="G773" s="200">
        <f>E773+F773</f>
        <v>8.9054000000000002</v>
      </c>
      <c r="H773" s="200">
        <v>8.8855000000000004</v>
      </c>
      <c r="I773" s="200">
        <f>(G773-H773)</f>
        <v>1.9899999999999807E-2</v>
      </c>
      <c r="J773" s="200">
        <f>F773-I773</f>
        <v>0.18300000000000019</v>
      </c>
      <c r="K773" s="270">
        <f>(J773/F773)*100</f>
        <v>90.192212912765001</v>
      </c>
      <c r="L773" s="200">
        <v>5</v>
      </c>
      <c r="M773" s="204">
        <v>43199</v>
      </c>
      <c r="N773" s="204">
        <v>43199</v>
      </c>
      <c r="O773" s="200"/>
      <c r="P773" s="200"/>
      <c r="AB773" s="110"/>
      <c r="AC773" s="110"/>
      <c r="AD773" s="110"/>
      <c r="AE773" s="110"/>
    </row>
    <row r="774" spans="1:31">
      <c r="A774" s="200" t="s">
        <v>577</v>
      </c>
      <c r="C774" s="200">
        <v>121</v>
      </c>
      <c r="D774" s="200">
        <v>1.2749999999999999</v>
      </c>
      <c r="E774" s="200">
        <v>9.2199000000000009</v>
      </c>
      <c r="F774" s="200">
        <v>0.2009</v>
      </c>
      <c r="G774" s="200">
        <f>E774+F774</f>
        <v>9.4208000000000016</v>
      </c>
      <c r="H774" s="200">
        <v>9.2349999999999994</v>
      </c>
      <c r="I774" s="200">
        <f>(G774-H774)</f>
        <v>0.18580000000000219</v>
      </c>
      <c r="J774" s="200">
        <f>F774-I774</f>
        <v>1.509999999999781E-2</v>
      </c>
      <c r="K774" s="270">
        <f>(J774/F774)*100</f>
        <v>7.5161772025872624</v>
      </c>
      <c r="L774" s="200">
        <v>9</v>
      </c>
      <c r="M774" s="204">
        <v>43188</v>
      </c>
      <c r="N774" s="204">
        <v>43188</v>
      </c>
      <c r="O774" s="200"/>
      <c r="P774" s="200"/>
      <c r="AB774" s="110"/>
      <c r="AC774" s="110"/>
      <c r="AD774" s="110"/>
      <c r="AE774" s="110"/>
    </row>
    <row r="775" spans="1:31">
      <c r="A775" s="201" t="s">
        <v>576</v>
      </c>
      <c r="C775" s="200">
        <v>117</v>
      </c>
      <c r="D775" s="200">
        <v>1.1574</v>
      </c>
      <c r="E775" s="200">
        <v>8.0631000000000004</v>
      </c>
      <c r="F775" s="200">
        <v>0.20119999999999999</v>
      </c>
      <c r="G775" s="200">
        <f>E775+F775</f>
        <v>8.2643000000000004</v>
      </c>
      <c r="H775" s="200">
        <v>8.0713000000000008</v>
      </c>
      <c r="I775" s="200">
        <f>(G775-H775)</f>
        <v>0.19299999999999962</v>
      </c>
      <c r="J775" s="200">
        <f>F775-I775</f>
        <v>8.2000000000003737E-3</v>
      </c>
      <c r="K775" s="270">
        <f>(J775/F775)*100</f>
        <v>4.0755467196820945</v>
      </c>
      <c r="L775" s="200">
        <v>30</v>
      </c>
      <c r="M775" s="204">
        <v>43173</v>
      </c>
      <c r="N775" s="204">
        <v>43173</v>
      </c>
      <c r="O775" s="200" t="s">
        <v>2540</v>
      </c>
      <c r="P775" s="200" t="s">
        <v>2539</v>
      </c>
      <c r="AB775" s="110"/>
      <c r="AC775" s="110"/>
      <c r="AD775" s="110"/>
      <c r="AE775" s="110"/>
    </row>
    <row r="776" spans="1:31">
      <c r="A776" s="205" t="s">
        <v>575</v>
      </c>
      <c r="C776" s="200">
        <v>19</v>
      </c>
      <c r="D776" s="200">
        <v>1.2431000000000001</v>
      </c>
      <c r="E776" s="200">
        <v>11.0016</v>
      </c>
      <c r="F776" s="201">
        <v>0.20380000000000001</v>
      </c>
      <c r="G776" s="200">
        <f>E776+F776</f>
        <v>11.205399999999999</v>
      </c>
      <c r="H776" s="200">
        <v>11.018800000000001</v>
      </c>
      <c r="I776" s="200">
        <f>(G776-H776)</f>
        <v>0.18659999999999854</v>
      </c>
      <c r="J776" s="200">
        <f>F776-I776</f>
        <v>1.7200000000001464E-2</v>
      </c>
      <c r="K776" s="270">
        <f>(J776/F776)*100</f>
        <v>8.439646712463917</v>
      </c>
      <c r="L776" s="200">
        <v>30</v>
      </c>
      <c r="M776" s="204">
        <v>43211</v>
      </c>
      <c r="AB776" s="110"/>
      <c r="AC776" s="110"/>
      <c r="AD776" s="110"/>
      <c r="AE776" s="110"/>
    </row>
    <row r="777" spans="1:31">
      <c r="A777" s="200" t="s">
        <v>574</v>
      </c>
      <c r="C777" s="200">
        <v>143</v>
      </c>
      <c r="D777" s="200">
        <v>1.3491</v>
      </c>
      <c r="E777" s="200">
        <v>8.3584999999999994</v>
      </c>
      <c r="F777" s="200">
        <v>0.2049</v>
      </c>
      <c r="G777" s="200">
        <f>E777+F777</f>
        <v>8.5633999999999997</v>
      </c>
      <c r="H777" s="200">
        <v>8.3665000000000003</v>
      </c>
      <c r="I777" s="200">
        <f>(G777-H777)</f>
        <v>0.19689999999999941</v>
      </c>
      <c r="J777" s="200">
        <f>F777-I777</f>
        <v>8.00000000000059E-3</v>
      </c>
      <c r="K777" s="270">
        <f>(J777/F777)*100</f>
        <v>3.9043435822355246</v>
      </c>
      <c r="L777" s="200">
        <v>9</v>
      </c>
      <c r="M777" s="202">
        <v>43171.520833333336</v>
      </c>
      <c r="N777" s="202">
        <v>43171.6875</v>
      </c>
      <c r="O777" s="196" t="s">
        <v>2534</v>
      </c>
      <c r="P777" s="200"/>
      <c r="AB777" s="110"/>
      <c r="AC777" s="110"/>
      <c r="AD777" s="110"/>
      <c r="AE777" s="110"/>
    </row>
    <row r="778" spans="1:31">
      <c r="A778" s="196" t="s">
        <v>573</v>
      </c>
      <c r="P778" s="196" t="s">
        <v>3215</v>
      </c>
      <c r="AB778" s="110"/>
      <c r="AC778" s="110"/>
      <c r="AD778" s="110"/>
      <c r="AE778" s="110"/>
    </row>
    <row r="779" spans="1:31">
      <c r="A779" s="205" t="s">
        <v>572</v>
      </c>
      <c r="C779" s="200">
        <v>102</v>
      </c>
      <c r="D779" s="200">
        <v>1.405</v>
      </c>
      <c r="E779" s="201">
        <v>8.1679999999999993</v>
      </c>
      <c r="F779" s="201">
        <v>0.2009</v>
      </c>
      <c r="G779" s="200">
        <f>E779+F779</f>
        <v>8.3689</v>
      </c>
      <c r="H779" s="200">
        <v>8.1808999999999994</v>
      </c>
      <c r="I779" s="200">
        <f>(G779-H779)</f>
        <v>0.18800000000000061</v>
      </c>
      <c r="J779" s="200">
        <f>F779-I779</f>
        <v>1.2899999999999384E-2</v>
      </c>
      <c r="K779" s="270">
        <f>(J779/F779)*100</f>
        <v>6.4211050273764974</v>
      </c>
      <c r="L779" s="200">
        <v>2</v>
      </c>
      <c r="M779" s="202">
        <v>43181.645833333336</v>
      </c>
      <c r="N779" s="202">
        <v>43181.833333333336</v>
      </c>
      <c r="O779" s="200" t="s">
        <v>2540</v>
      </c>
      <c r="P779" s="200"/>
      <c r="AB779" s="110"/>
      <c r="AC779" s="110"/>
      <c r="AD779" s="110"/>
      <c r="AE779" s="110"/>
    </row>
    <row r="780" spans="1:31">
      <c r="A780" s="196" t="s">
        <v>1084</v>
      </c>
      <c r="P780" s="196" t="s">
        <v>3215</v>
      </c>
      <c r="AB780" s="110"/>
      <c r="AC780" s="110"/>
      <c r="AD780" s="110"/>
      <c r="AE780" s="110"/>
    </row>
    <row r="781" spans="1:31">
      <c r="A781" s="205" t="s">
        <v>571</v>
      </c>
      <c r="C781" s="200">
        <v>158</v>
      </c>
      <c r="D781" s="201">
        <v>1.4619</v>
      </c>
      <c r="E781" s="201">
        <v>10.124499999999999</v>
      </c>
      <c r="F781" s="201">
        <v>0.1996</v>
      </c>
      <c r="G781" s="200">
        <f t="shared" ref="G781:G795" si="124">E781+F781</f>
        <v>10.3241</v>
      </c>
      <c r="H781" s="200">
        <v>10.1335</v>
      </c>
      <c r="I781" s="200">
        <f t="shared" ref="I781:I795" si="125">(G781-H781)</f>
        <v>0.19059999999999988</v>
      </c>
      <c r="J781" s="200">
        <f t="shared" ref="J781:J795" si="126">F781-I781</f>
        <v>9.000000000000119E-3</v>
      </c>
      <c r="K781" s="270">
        <f t="shared" ref="K781:K795" si="127">(J781/F781)*100</f>
        <v>4.5090180360722032</v>
      </c>
      <c r="L781" s="200">
        <v>20</v>
      </c>
      <c r="M781" s="204">
        <v>43199</v>
      </c>
      <c r="N781" s="204">
        <v>43199</v>
      </c>
      <c r="O781" s="200"/>
      <c r="P781" s="200"/>
      <c r="AB781" s="110"/>
      <c r="AC781" s="110"/>
      <c r="AD781" s="110"/>
      <c r="AE781" s="110"/>
    </row>
    <row r="782" spans="1:31">
      <c r="A782" s="205" t="s">
        <v>570</v>
      </c>
      <c r="C782" s="200">
        <v>144</v>
      </c>
      <c r="D782" s="200">
        <v>1.0775999999999999</v>
      </c>
      <c r="E782" s="201">
        <v>7.7736000000000001</v>
      </c>
      <c r="F782" s="201">
        <v>0.20749999999999999</v>
      </c>
      <c r="G782" s="200">
        <f t="shared" si="124"/>
        <v>7.9810999999999996</v>
      </c>
      <c r="H782" s="200">
        <v>7.9349999999999996</v>
      </c>
      <c r="I782" s="200">
        <f t="shared" si="125"/>
        <v>4.610000000000003E-2</v>
      </c>
      <c r="J782" s="200">
        <f t="shared" si="126"/>
        <v>0.16139999999999996</v>
      </c>
      <c r="K782" s="270">
        <f t="shared" si="127"/>
        <v>77.783132530120469</v>
      </c>
      <c r="L782" s="200">
        <v>2</v>
      </c>
      <c r="M782" s="204">
        <v>43197</v>
      </c>
      <c r="N782" s="204">
        <v>43197</v>
      </c>
      <c r="O782" s="200"/>
      <c r="P782" s="200"/>
      <c r="AB782" s="110"/>
      <c r="AC782" s="110"/>
      <c r="AD782" s="110"/>
      <c r="AE782" s="110"/>
    </row>
    <row r="783" spans="1:31">
      <c r="A783" s="205" t="s">
        <v>569</v>
      </c>
      <c r="C783" s="200">
        <v>150</v>
      </c>
      <c r="D783" s="200">
        <v>1.2972999999999999</v>
      </c>
      <c r="E783" s="201">
        <v>9.1969999999999992</v>
      </c>
      <c r="F783" s="201">
        <v>0.20180000000000001</v>
      </c>
      <c r="G783" s="200">
        <f t="shared" si="124"/>
        <v>9.3987999999999996</v>
      </c>
      <c r="H783" s="200">
        <v>9.2114999999999991</v>
      </c>
      <c r="I783" s="200">
        <f t="shared" si="125"/>
        <v>0.18730000000000047</v>
      </c>
      <c r="J783" s="200">
        <f t="shared" si="126"/>
        <v>1.4499999999999541E-2</v>
      </c>
      <c r="K783" s="270">
        <f t="shared" si="127"/>
        <v>7.1853320118927355</v>
      </c>
      <c r="L783" s="200">
        <v>9</v>
      </c>
      <c r="M783" s="204">
        <v>43199</v>
      </c>
      <c r="N783" s="204">
        <v>43199</v>
      </c>
      <c r="O783" s="200"/>
      <c r="P783" s="200"/>
      <c r="AB783" s="110"/>
      <c r="AC783" s="110"/>
      <c r="AD783" s="110"/>
      <c r="AE783" s="110"/>
    </row>
    <row r="784" spans="1:31">
      <c r="A784" s="200" t="s">
        <v>568</v>
      </c>
      <c r="C784" s="200">
        <v>147</v>
      </c>
      <c r="D784" s="200">
        <v>1.5023</v>
      </c>
      <c r="E784" s="201">
        <v>9.7204999999999995</v>
      </c>
      <c r="F784" s="201">
        <v>0.20680000000000001</v>
      </c>
      <c r="G784" s="200">
        <f t="shared" si="124"/>
        <v>9.9272999999999989</v>
      </c>
      <c r="H784" s="200">
        <v>9.7386999999999997</v>
      </c>
      <c r="I784" s="200">
        <f t="shared" si="125"/>
        <v>0.18859999999999921</v>
      </c>
      <c r="J784" s="200">
        <f t="shared" si="126"/>
        <v>1.8200000000000799E-2</v>
      </c>
      <c r="K784" s="270">
        <f t="shared" si="127"/>
        <v>8.8007736943911006</v>
      </c>
      <c r="L784" s="200">
        <v>22</v>
      </c>
      <c r="M784" s="204">
        <v>43197</v>
      </c>
      <c r="N784" s="204">
        <v>43197</v>
      </c>
      <c r="O784" s="200"/>
      <c r="P784" s="200"/>
      <c r="AB784" s="110"/>
      <c r="AC784" s="110"/>
      <c r="AD784" s="110"/>
      <c r="AE784" s="110"/>
    </row>
    <row r="785" spans="1:31">
      <c r="A785" s="200" t="s">
        <v>567</v>
      </c>
      <c r="C785" s="200">
        <v>107</v>
      </c>
      <c r="D785" s="200">
        <v>1.4400999999999999</v>
      </c>
      <c r="E785" s="201">
        <v>9.5545000000000009</v>
      </c>
      <c r="F785" s="201">
        <v>0.20649999999999999</v>
      </c>
      <c r="G785" s="200">
        <f t="shared" si="124"/>
        <v>9.761000000000001</v>
      </c>
      <c r="H785" s="200">
        <v>9.5670000000000002</v>
      </c>
      <c r="I785" s="200">
        <f t="shared" si="125"/>
        <v>0.19400000000000084</v>
      </c>
      <c r="J785" s="200">
        <f t="shared" si="126"/>
        <v>1.2499999999999151E-2</v>
      </c>
      <c r="K785" s="270">
        <f t="shared" si="127"/>
        <v>6.0532687651327608</v>
      </c>
      <c r="L785" s="200">
        <v>3</v>
      </c>
      <c r="M785" s="202">
        <v>43178.395833333336</v>
      </c>
      <c r="N785" s="202">
        <v>43178.5625</v>
      </c>
      <c r="O785" s="196" t="s">
        <v>2534</v>
      </c>
      <c r="P785" s="200"/>
      <c r="AB785" s="110"/>
      <c r="AC785" s="110"/>
      <c r="AD785" s="110"/>
      <c r="AE785" s="110"/>
    </row>
    <row r="786" spans="1:31">
      <c r="A786" s="200" t="s">
        <v>566</v>
      </c>
      <c r="C786" s="200">
        <v>123</v>
      </c>
      <c r="D786" s="200">
        <f>1.2391+F786</f>
        <v>1.4423000000000001</v>
      </c>
      <c r="E786" s="201">
        <v>9.0521999999999991</v>
      </c>
      <c r="F786" s="201">
        <v>0.20319999999999999</v>
      </c>
      <c r="G786" s="200">
        <f t="shared" si="124"/>
        <v>9.2553999999999998</v>
      </c>
      <c r="H786" s="200">
        <v>9.1052</v>
      </c>
      <c r="I786" s="200">
        <f t="shared" si="125"/>
        <v>0.15019999999999989</v>
      </c>
      <c r="J786" s="200">
        <f t="shared" si="126"/>
        <v>5.3000000000000103E-2</v>
      </c>
      <c r="K786" s="270">
        <f t="shared" si="127"/>
        <v>26.082677165354383</v>
      </c>
      <c r="L786" s="200">
        <v>23</v>
      </c>
      <c r="M786" s="204">
        <v>43174</v>
      </c>
      <c r="N786" s="204">
        <v>43174</v>
      </c>
      <c r="O786" s="200" t="s">
        <v>2540</v>
      </c>
      <c r="P786" s="200" t="s">
        <v>2535</v>
      </c>
      <c r="AB786" s="110"/>
      <c r="AC786" s="110"/>
      <c r="AD786" s="110"/>
      <c r="AE786" s="110"/>
    </row>
    <row r="787" spans="1:31">
      <c r="A787" s="196" t="s">
        <v>565</v>
      </c>
      <c r="C787" s="197">
        <v>97</v>
      </c>
      <c r="D787" s="196">
        <v>1.4582999999999999</v>
      </c>
      <c r="E787" s="201">
        <v>9.5541</v>
      </c>
      <c r="F787" s="201">
        <v>0.2014</v>
      </c>
      <c r="G787" s="200">
        <f t="shared" si="124"/>
        <v>9.7554999999999996</v>
      </c>
      <c r="H787" s="200">
        <v>9.5710999999999995</v>
      </c>
      <c r="I787" s="200">
        <f t="shared" si="125"/>
        <v>0.18440000000000012</v>
      </c>
      <c r="J787" s="200">
        <f t="shared" si="126"/>
        <v>1.6999999999999876E-2</v>
      </c>
      <c r="K787" s="270">
        <f t="shared" si="127"/>
        <v>8.4409136047665729</v>
      </c>
      <c r="L787" s="200">
        <v>10</v>
      </c>
      <c r="M787" s="203">
        <v>43221</v>
      </c>
      <c r="N787" s="203">
        <v>43221</v>
      </c>
      <c r="AB787" s="110"/>
      <c r="AC787" s="110"/>
      <c r="AD787" s="110"/>
      <c r="AE787" s="110"/>
    </row>
    <row r="788" spans="1:31">
      <c r="A788" s="200" t="s">
        <v>564</v>
      </c>
      <c r="C788" s="200">
        <v>104</v>
      </c>
      <c r="D788" s="200">
        <f>1.0315+F788</f>
        <v>1.2391000000000001</v>
      </c>
      <c r="E788" s="201">
        <v>10.702400000000001</v>
      </c>
      <c r="F788" s="201">
        <v>0.20760000000000001</v>
      </c>
      <c r="G788" s="200">
        <f t="shared" si="124"/>
        <v>10.91</v>
      </c>
      <c r="H788" s="200">
        <v>10.7156</v>
      </c>
      <c r="I788" s="200">
        <f t="shared" si="125"/>
        <v>0.19439999999999991</v>
      </c>
      <c r="J788" s="200">
        <f t="shared" si="126"/>
        <v>1.3200000000000101E-2</v>
      </c>
      <c r="K788" s="270">
        <f t="shared" si="127"/>
        <v>6.3583815028902215</v>
      </c>
      <c r="L788" s="200">
        <v>30</v>
      </c>
      <c r="M788" s="204">
        <v>43174</v>
      </c>
      <c r="N788" s="204">
        <v>43174</v>
      </c>
      <c r="O788" s="200" t="s">
        <v>2540</v>
      </c>
      <c r="P788" s="200" t="s">
        <v>2535</v>
      </c>
      <c r="AB788" s="110"/>
      <c r="AC788" s="110"/>
      <c r="AD788" s="110"/>
      <c r="AE788" s="110"/>
    </row>
    <row r="789" spans="1:31">
      <c r="A789" s="200" t="s">
        <v>563</v>
      </c>
      <c r="C789" s="200">
        <v>113</v>
      </c>
      <c r="D789" s="200">
        <v>1.1912</v>
      </c>
      <c r="E789" s="200">
        <v>10.7927</v>
      </c>
      <c r="F789" s="201">
        <v>0.20369999999999999</v>
      </c>
      <c r="G789" s="200">
        <f t="shared" si="124"/>
        <v>10.9964</v>
      </c>
      <c r="H789" s="200">
        <v>10.8179</v>
      </c>
      <c r="I789" s="200">
        <f t="shared" si="125"/>
        <v>0.17849999999999966</v>
      </c>
      <c r="J789" s="200">
        <f t="shared" si="126"/>
        <v>2.5200000000000333E-2</v>
      </c>
      <c r="K789" s="270">
        <f t="shared" si="127"/>
        <v>12.371134020618721</v>
      </c>
      <c r="L789" s="200">
        <v>17</v>
      </c>
      <c r="M789" s="204">
        <v>43187</v>
      </c>
      <c r="N789" s="204">
        <v>43187</v>
      </c>
      <c r="O789" s="200"/>
      <c r="P789" s="200"/>
      <c r="AB789" s="110"/>
      <c r="AC789" s="110"/>
      <c r="AD789" s="110"/>
      <c r="AE789" s="110"/>
    </row>
    <row r="790" spans="1:31">
      <c r="A790" s="196" t="s">
        <v>562</v>
      </c>
      <c r="C790" s="196">
        <v>152</v>
      </c>
      <c r="D790" s="196">
        <v>1.2967</v>
      </c>
      <c r="E790" s="200">
        <v>7.8011999999999997</v>
      </c>
      <c r="F790" s="201">
        <v>0.19989999999999999</v>
      </c>
      <c r="G790" s="200">
        <f t="shared" si="124"/>
        <v>8.0010999999999992</v>
      </c>
      <c r="H790" s="200">
        <v>7.8114999999999997</v>
      </c>
      <c r="I790" s="200">
        <f t="shared" si="125"/>
        <v>0.18959999999999955</v>
      </c>
      <c r="J790" s="200">
        <f t="shared" si="126"/>
        <v>1.0300000000000448E-2</v>
      </c>
      <c r="K790" s="270">
        <f t="shared" si="127"/>
        <v>5.1525762881442967</v>
      </c>
      <c r="L790" s="200">
        <v>5</v>
      </c>
      <c r="M790" s="203">
        <v>43213</v>
      </c>
      <c r="N790" s="203">
        <v>43213</v>
      </c>
      <c r="AB790" s="110"/>
      <c r="AC790" s="110"/>
      <c r="AD790" s="110"/>
      <c r="AE790" s="110"/>
    </row>
    <row r="791" spans="1:31">
      <c r="A791" s="205" t="s">
        <v>1083</v>
      </c>
      <c r="C791" s="200">
        <v>56</v>
      </c>
      <c r="D791" s="201">
        <v>1.3449</v>
      </c>
      <c r="E791" s="201">
        <v>10.855499999999999</v>
      </c>
      <c r="F791" s="201">
        <v>0.20399999999999999</v>
      </c>
      <c r="G791" s="200">
        <f t="shared" si="124"/>
        <v>11.0595</v>
      </c>
      <c r="H791" s="200">
        <v>10.8619</v>
      </c>
      <c r="I791" s="200">
        <f t="shared" si="125"/>
        <v>0.19759999999999955</v>
      </c>
      <c r="J791" s="200">
        <f t="shared" si="126"/>
        <v>6.4000000000004331E-3</v>
      </c>
      <c r="K791" s="270">
        <f t="shared" si="127"/>
        <v>3.1372549019609965</v>
      </c>
      <c r="L791" s="200">
        <v>9</v>
      </c>
      <c r="M791" s="200"/>
      <c r="N791" s="200"/>
      <c r="O791" s="200"/>
      <c r="P791" s="200"/>
      <c r="U791" s="201" t="s">
        <v>651</v>
      </c>
      <c r="V791" s="196">
        <v>1.8968</v>
      </c>
      <c r="W791" s="196">
        <f>(V791-$T$175+F789)</f>
        <v>2.1005000000000003</v>
      </c>
      <c r="AB791" s="110"/>
      <c r="AC791" s="110"/>
      <c r="AD791" s="110"/>
      <c r="AE791" s="110"/>
    </row>
    <row r="792" spans="1:31">
      <c r="A792" s="196" t="s">
        <v>561</v>
      </c>
      <c r="C792" s="197">
        <v>187</v>
      </c>
      <c r="D792" s="196">
        <v>1.4157999999999999</v>
      </c>
      <c r="E792" s="201">
        <v>8.7024000000000008</v>
      </c>
      <c r="F792" s="201">
        <v>0.2056</v>
      </c>
      <c r="G792" s="200">
        <f t="shared" si="124"/>
        <v>8.9080000000000013</v>
      </c>
      <c r="H792" s="200">
        <v>8.7066999999999997</v>
      </c>
      <c r="I792" s="200">
        <f t="shared" si="125"/>
        <v>0.20130000000000159</v>
      </c>
      <c r="J792" s="200">
        <f t="shared" si="126"/>
        <v>4.2999999999984162E-3</v>
      </c>
      <c r="K792" s="270">
        <f t="shared" si="127"/>
        <v>2.0914396887151829</v>
      </c>
      <c r="L792" s="200">
        <v>12</v>
      </c>
      <c r="AB792" s="110"/>
      <c r="AC792" s="110"/>
      <c r="AD792" s="110"/>
      <c r="AE792" s="110"/>
    </row>
    <row r="793" spans="1:31">
      <c r="A793" s="196" t="s">
        <v>560</v>
      </c>
      <c r="C793" s="196">
        <v>141</v>
      </c>
      <c r="D793" s="196">
        <v>0.91259999999999997</v>
      </c>
      <c r="E793" s="196">
        <v>7.9127000000000001</v>
      </c>
      <c r="F793" s="196">
        <v>0.20449999999999999</v>
      </c>
      <c r="G793" s="196">
        <f t="shared" si="124"/>
        <v>8.1172000000000004</v>
      </c>
      <c r="H793" s="196">
        <v>8.0922999999999998</v>
      </c>
      <c r="I793" s="196">
        <f t="shared" si="125"/>
        <v>2.4900000000000588E-2</v>
      </c>
      <c r="J793" s="200">
        <f t="shared" si="126"/>
        <v>0.1795999999999994</v>
      </c>
      <c r="K793" s="270">
        <f t="shared" si="127"/>
        <v>87.823960880195301</v>
      </c>
      <c r="L793" s="196">
        <v>8</v>
      </c>
      <c r="M793" s="196">
        <v>43157.527777777781</v>
      </c>
      <c r="N793" s="196">
        <v>43157.694444444445</v>
      </c>
      <c r="O793" s="196" t="s">
        <v>2540</v>
      </c>
      <c r="AB793" s="110"/>
      <c r="AC793" s="110"/>
      <c r="AD793" s="110"/>
      <c r="AE793" s="110"/>
    </row>
    <row r="794" spans="1:31">
      <c r="A794" s="200" t="s">
        <v>559</v>
      </c>
      <c r="C794" s="200">
        <v>147</v>
      </c>
      <c r="D794" s="200">
        <v>1.4904999999999999</v>
      </c>
      <c r="E794" s="201">
        <v>8.3656000000000006</v>
      </c>
      <c r="F794" s="200">
        <v>0.20660000000000001</v>
      </c>
      <c r="G794" s="200">
        <f t="shared" si="124"/>
        <v>8.5722000000000005</v>
      </c>
      <c r="H794" s="200">
        <v>8.3682999999999996</v>
      </c>
      <c r="I794" s="200">
        <f t="shared" si="125"/>
        <v>0.20390000000000086</v>
      </c>
      <c r="J794" s="200">
        <f t="shared" si="126"/>
        <v>2.6999999999991475E-3</v>
      </c>
      <c r="K794" s="270">
        <f t="shared" si="127"/>
        <v>1.3068731848979416</v>
      </c>
      <c r="L794" s="200">
        <v>21</v>
      </c>
      <c r="M794" s="204">
        <v>43197</v>
      </c>
      <c r="N794" s="204">
        <v>43197</v>
      </c>
      <c r="O794" s="200"/>
      <c r="P794" s="200"/>
      <c r="AB794" s="110"/>
      <c r="AC794" s="110"/>
      <c r="AD794" s="110"/>
      <c r="AE794" s="110"/>
    </row>
    <row r="795" spans="1:31">
      <c r="A795" s="200" t="s">
        <v>558</v>
      </c>
      <c r="C795" s="200">
        <v>170</v>
      </c>
      <c r="D795" s="200">
        <v>1.4823</v>
      </c>
      <c r="E795" s="200">
        <v>7.8014000000000001</v>
      </c>
      <c r="F795" s="201">
        <v>0.2001</v>
      </c>
      <c r="G795" s="200">
        <f t="shared" si="124"/>
        <v>8.0015000000000001</v>
      </c>
      <c r="H795" s="200">
        <v>7.8061999999999996</v>
      </c>
      <c r="I795" s="200">
        <f t="shared" si="125"/>
        <v>0.19530000000000047</v>
      </c>
      <c r="J795" s="200">
        <f t="shared" si="126"/>
        <v>4.7999999999995269E-3</v>
      </c>
      <c r="K795" s="270">
        <f t="shared" si="127"/>
        <v>2.3988005996999138</v>
      </c>
      <c r="L795" s="200">
        <v>1</v>
      </c>
      <c r="M795" s="204">
        <v>43187</v>
      </c>
      <c r="N795" s="204">
        <v>43187</v>
      </c>
      <c r="O795" s="200"/>
      <c r="P795" s="200"/>
      <c r="AB795" s="110"/>
      <c r="AC795" s="110"/>
      <c r="AD795" s="110"/>
      <c r="AE795" s="110"/>
    </row>
    <row r="796" spans="1:31">
      <c r="A796" s="196" t="s">
        <v>557</v>
      </c>
      <c r="P796" s="196" t="s">
        <v>3215</v>
      </c>
    </row>
    <row r="797" spans="1:31">
      <c r="A797" s="205" t="s">
        <v>556</v>
      </c>
      <c r="C797" s="200">
        <v>130</v>
      </c>
      <c r="D797" s="201">
        <v>1.3573</v>
      </c>
      <c r="E797" s="201">
        <v>11.0893</v>
      </c>
      <c r="F797" s="201">
        <v>0.2024</v>
      </c>
      <c r="G797" s="200">
        <f t="shared" ref="G797:G828" si="128">E797+F797</f>
        <v>11.291700000000001</v>
      </c>
      <c r="H797" s="200">
        <v>11.0992</v>
      </c>
      <c r="I797" s="200">
        <f t="shared" ref="I797:I828" si="129">(G797-H797)</f>
        <v>0.19250000000000078</v>
      </c>
      <c r="J797" s="200">
        <f t="shared" ref="J797:J828" si="130">F797-I797</f>
        <v>9.899999999999215E-3</v>
      </c>
      <c r="K797" s="270">
        <f t="shared" ref="K797:K828" si="131">(J797/F797)*100</f>
        <v>4.8913043478256997</v>
      </c>
      <c r="L797" s="200">
        <v>34</v>
      </c>
      <c r="M797" s="202">
        <v>43181.645833333336</v>
      </c>
      <c r="N797" s="202">
        <v>43181.833333333336</v>
      </c>
      <c r="O797" s="200" t="s">
        <v>2540</v>
      </c>
      <c r="P797" s="200"/>
      <c r="AB797" s="110"/>
      <c r="AC797" s="110"/>
      <c r="AD797" s="110"/>
      <c r="AE797" s="110"/>
    </row>
    <row r="798" spans="1:31">
      <c r="A798" s="196" t="s">
        <v>554</v>
      </c>
      <c r="C798" s="197">
        <v>181</v>
      </c>
      <c r="D798" s="196">
        <v>1.2970999999999999</v>
      </c>
      <c r="E798" s="201">
        <v>9.5193999999999992</v>
      </c>
      <c r="F798" s="201">
        <v>0.2026</v>
      </c>
      <c r="G798" s="200">
        <f t="shared" si="128"/>
        <v>9.7219999999999995</v>
      </c>
      <c r="H798" s="200">
        <v>9.5234000000000005</v>
      </c>
      <c r="I798" s="200">
        <f t="shared" si="129"/>
        <v>0.198599999999999</v>
      </c>
      <c r="J798" s="200">
        <f t="shared" si="130"/>
        <v>4.0000000000010028E-3</v>
      </c>
      <c r="K798" s="270">
        <f t="shared" si="131"/>
        <v>1.9743336623894387</v>
      </c>
      <c r="L798" s="200">
        <v>6</v>
      </c>
      <c r="M798" s="203">
        <v>43221</v>
      </c>
      <c r="N798" s="203">
        <v>43221</v>
      </c>
      <c r="AB798" s="110"/>
      <c r="AC798" s="110"/>
      <c r="AD798" s="110"/>
      <c r="AE798" s="110"/>
    </row>
    <row r="799" spans="1:31">
      <c r="A799" s="196" t="s">
        <v>553</v>
      </c>
      <c r="C799" s="196">
        <v>96</v>
      </c>
      <c r="D799" s="196">
        <v>0.6855</v>
      </c>
      <c r="E799" s="200">
        <v>7.4751000000000003</v>
      </c>
      <c r="F799" s="201">
        <v>0.2011</v>
      </c>
      <c r="G799" s="200">
        <f t="shared" si="128"/>
        <v>7.6762000000000006</v>
      </c>
      <c r="H799" s="200">
        <v>7.4874999999999998</v>
      </c>
      <c r="I799" s="200">
        <f t="shared" si="129"/>
        <v>0.18870000000000076</v>
      </c>
      <c r="J799" s="200">
        <f t="shared" si="130"/>
        <v>1.2399999999999245E-2</v>
      </c>
      <c r="K799" s="270">
        <f t="shared" si="131"/>
        <v>6.1660865241169791</v>
      </c>
      <c r="L799" s="200">
        <v>41</v>
      </c>
      <c r="M799" s="204">
        <v>43211</v>
      </c>
      <c r="AB799" s="110"/>
      <c r="AC799" s="110"/>
      <c r="AD799" s="110"/>
      <c r="AE799" s="110"/>
    </row>
    <row r="800" spans="1:31">
      <c r="A800" s="201" t="s">
        <v>552</v>
      </c>
      <c r="C800" s="200">
        <v>211</v>
      </c>
      <c r="D800" s="200">
        <v>1.3182999999999998</v>
      </c>
      <c r="E800" s="200">
        <v>7.8391999999999999</v>
      </c>
      <c r="F800" s="200">
        <v>0.20230000000000001</v>
      </c>
      <c r="G800" s="200">
        <f t="shared" si="128"/>
        <v>8.0414999999999992</v>
      </c>
      <c r="H800" s="200">
        <v>7.8541999999999996</v>
      </c>
      <c r="I800" s="200">
        <f t="shared" si="129"/>
        <v>0.18729999999999958</v>
      </c>
      <c r="J800" s="200">
        <f t="shared" si="130"/>
        <v>1.500000000000043E-2</v>
      </c>
      <c r="K800" s="270">
        <f t="shared" si="131"/>
        <v>7.414730598121813</v>
      </c>
      <c r="L800" s="200">
        <v>16</v>
      </c>
      <c r="M800" s="204">
        <v>43173</v>
      </c>
      <c r="N800" s="204">
        <v>43173</v>
      </c>
      <c r="O800" s="200" t="s">
        <v>2540</v>
      </c>
      <c r="P800" s="200" t="s">
        <v>2539</v>
      </c>
      <c r="AB800" s="110"/>
      <c r="AC800" s="110"/>
      <c r="AD800" s="110"/>
      <c r="AE800" s="110"/>
    </row>
    <row r="801" spans="1:31">
      <c r="A801" s="196" t="s">
        <v>1082</v>
      </c>
      <c r="C801" s="197">
        <v>6</v>
      </c>
      <c r="D801" s="196">
        <v>1.2786</v>
      </c>
      <c r="E801" s="201">
        <v>9.8865999999999996</v>
      </c>
      <c r="F801" s="201">
        <v>0.20319999999999999</v>
      </c>
      <c r="G801" s="200">
        <f t="shared" si="128"/>
        <v>10.0898</v>
      </c>
      <c r="H801" s="200">
        <v>9.8975000000000009</v>
      </c>
      <c r="I801" s="200">
        <f t="shared" si="129"/>
        <v>0.19229999999999947</v>
      </c>
      <c r="J801" s="200">
        <f t="shared" si="130"/>
        <v>1.090000000000052E-2</v>
      </c>
      <c r="K801" s="270">
        <f t="shared" si="131"/>
        <v>5.3641732283467132</v>
      </c>
      <c r="L801" s="200">
        <v>17</v>
      </c>
      <c r="AB801" s="110"/>
      <c r="AC801" s="110"/>
      <c r="AD801" s="110"/>
      <c r="AE801" s="110"/>
    </row>
    <row r="802" spans="1:31">
      <c r="A802" s="205" t="s">
        <v>551</v>
      </c>
      <c r="C802" s="200">
        <v>106</v>
      </c>
      <c r="D802" s="201">
        <v>1.4161999999999999</v>
      </c>
      <c r="E802" s="201">
        <v>10.617699999999999</v>
      </c>
      <c r="F802" s="201">
        <v>0.2074</v>
      </c>
      <c r="G802" s="200">
        <f t="shared" si="128"/>
        <v>10.825099999999999</v>
      </c>
      <c r="H802" s="200">
        <v>10.6386</v>
      </c>
      <c r="I802" s="200">
        <f t="shared" si="129"/>
        <v>0.18649999999999878</v>
      </c>
      <c r="J802" s="200">
        <f t="shared" si="130"/>
        <v>2.0900000000001223E-2</v>
      </c>
      <c r="K802" s="270">
        <f t="shared" si="131"/>
        <v>10.077145612343887</v>
      </c>
      <c r="L802" s="200">
        <v>38</v>
      </c>
      <c r="M802" s="202">
        <v>43181.645833333336</v>
      </c>
      <c r="N802" s="202">
        <v>43181.833333333336</v>
      </c>
      <c r="O802" s="200" t="s">
        <v>2540</v>
      </c>
      <c r="P802" s="200"/>
      <c r="AB802" s="110"/>
      <c r="AC802" s="110"/>
      <c r="AD802" s="110"/>
      <c r="AE802" s="110"/>
    </row>
    <row r="803" spans="1:31">
      <c r="A803" s="196" t="s">
        <v>550</v>
      </c>
      <c r="C803" s="196">
        <v>152</v>
      </c>
      <c r="D803" s="196">
        <v>1.4439</v>
      </c>
      <c r="E803" s="200">
        <v>10.510199999999999</v>
      </c>
      <c r="F803" s="201">
        <v>0.20830000000000001</v>
      </c>
      <c r="G803" s="200">
        <f t="shared" si="128"/>
        <v>10.718499999999999</v>
      </c>
      <c r="H803" s="200">
        <v>10.5229</v>
      </c>
      <c r="I803" s="200">
        <f t="shared" si="129"/>
        <v>0.19559999999999889</v>
      </c>
      <c r="J803" s="200">
        <f t="shared" si="130"/>
        <v>1.2700000000001127E-2</v>
      </c>
      <c r="K803" s="270">
        <f t="shared" si="131"/>
        <v>6.0969755160831145</v>
      </c>
      <c r="L803" s="200">
        <v>18</v>
      </c>
      <c r="M803" s="203">
        <v>43212</v>
      </c>
      <c r="AB803" s="110"/>
      <c r="AC803" s="110"/>
      <c r="AD803" s="110"/>
      <c r="AE803" s="110"/>
    </row>
    <row r="804" spans="1:31">
      <c r="A804" s="196" t="s">
        <v>549</v>
      </c>
      <c r="C804" s="196">
        <v>131</v>
      </c>
      <c r="D804" s="196">
        <v>1.3476999999999999</v>
      </c>
      <c r="E804" s="196">
        <v>7.9635999999999996</v>
      </c>
      <c r="F804" s="196">
        <v>0.21010000000000001</v>
      </c>
      <c r="G804" s="196">
        <f t="shared" si="128"/>
        <v>8.1737000000000002</v>
      </c>
      <c r="H804" s="196">
        <v>7.9714999999999998</v>
      </c>
      <c r="I804" s="196">
        <f t="shared" si="129"/>
        <v>0.20220000000000038</v>
      </c>
      <c r="J804" s="200">
        <f t="shared" si="130"/>
        <v>7.8999999999996295E-3</v>
      </c>
      <c r="K804" s="270">
        <f t="shared" si="131"/>
        <v>3.7601142313182434</v>
      </c>
      <c r="L804" s="196">
        <v>11</v>
      </c>
      <c r="M804" s="196">
        <v>43157.395833333336</v>
      </c>
      <c r="N804" s="196">
        <v>43157.569444444445</v>
      </c>
      <c r="O804" s="196" t="s">
        <v>2534</v>
      </c>
      <c r="AB804" s="110"/>
      <c r="AC804" s="110"/>
      <c r="AD804" s="110"/>
      <c r="AE804" s="110"/>
    </row>
    <row r="805" spans="1:31">
      <c r="A805" s="205" t="s">
        <v>548</v>
      </c>
      <c r="C805" s="200">
        <v>106</v>
      </c>
      <c r="D805" s="201">
        <v>1.4716</v>
      </c>
      <c r="E805" s="201">
        <v>10.313599999999999</v>
      </c>
      <c r="F805" s="201">
        <v>0.20150000000000001</v>
      </c>
      <c r="G805" s="200">
        <f t="shared" si="128"/>
        <v>10.515099999999999</v>
      </c>
      <c r="H805" s="200">
        <v>10.3238</v>
      </c>
      <c r="I805" s="200">
        <f t="shared" si="129"/>
        <v>0.19129999999999825</v>
      </c>
      <c r="J805" s="200">
        <f t="shared" si="130"/>
        <v>1.0200000000001763E-2</v>
      </c>
      <c r="K805" s="270">
        <f t="shared" si="131"/>
        <v>5.062034739454969</v>
      </c>
      <c r="L805" s="200">
        <v>37</v>
      </c>
      <c r="M805" s="202">
        <v>43181.645833333336</v>
      </c>
      <c r="N805" s="202">
        <v>43181.833333333336</v>
      </c>
      <c r="O805" s="200" t="s">
        <v>2540</v>
      </c>
      <c r="P805" s="200"/>
      <c r="AB805" s="110"/>
      <c r="AC805" s="110"/>
      <c r="AD805" s="110"/>
      <c r="AE805" s="110"/>
    </row>
    <row r="806" spans="1:31">
      <c r="A806" s="205" t="s">
        <v>547</v>
      </c>
      <c r="C806" s="200">
        <v>120</v>
      </c>
      <c r="D806" s="200">
        <v>1.1739999999999999</v>
      </c>
      <c r="E806" s="200">
        <v>7.9604999999999997</v>
      </c>
      <c r="F806" s="200">
        <v>0.20899999999999999</v>
      </c>
      <c r="G806" s="200">
        <f t="shared" si="128"/>
        <v>8.1694999999999993</v>
      </c>
      <c r="H806" s="200">
        <v>7.9695999999999998</v>
      </c>
      <c r="I806" s="200">
        <f t="shared" si="129"/>
        <v>0.19989999999999952</v>
      </c>
      <c r="J806" s="200">
        <f t="shared" si="130"/>
        <v>9.1000000000004688E-3</v>
      </c>
      <c r="K806" s="270">
        <f t="shared" si="131"/>
        <v>4.3540669856461571</v>
      </c>
      <c r="L806" s="200">
        <v>5</v>
      </c>
      <c r="M806" s="204">
        <v>43174</v>
      </c>
      <c r="N806" s="204">
        <v>43174</v>
      </c>
      <c r="O806" s="200" t="s">
        <v>2540</v>
      </c>
      <c r="P806" s="200" t="s">
        <v>2535</v>
      </c>
      <c r="AB806" s="110"/>
      <c r="AC806" s="110"/>
      <c r="AD806" s="110"/>
      <c r="AE806" s="110"/>
    </row>
    <row r="807" spans="1:31">
      <c r="A807" s="200" t="s">
        <v>545</v>
      </c>
      <c r="C807" s="200">
        <v>135</v>
      </c>
      <c r="D807" s="200">
        <f>1.0489+F807</f>
        <v>1.2515999999999998</v>
      </c>
      <c r="E807" s="201">
        <v>10.415699999999999</v>
      </c>
      <c r="F807" s="201">
        <v>0.20269999999999999</v>
      </c>
      <c r="G807" s="200">
        <f t="shared" si="128"/>
        <v>10.618399999999999</v>
      </c>
      <c r="H807" s="200">
        <v>10.4298</v>
      </c>
      <c r="I807" s="200">
        <f t="shared" si="129"/>
        <v>0.18859999999999921</v>
      </c>
      <c r="J807" s="200">
        <f t="shared" si="130"/>
        <v>1.4100000000000779E-2</v>
      </c>
      <c r="K807" s="270">
        <f t="shared" si="131"/>
        <v>6.95609274790369</v>
      </c>
      <c r="L807" s="200">
        <v>24</v>
      </c>
      <c r="M807" s="204">
        <v>43174</v>
      </c>
      <c r="N807" s="204">
        <v>43174</v>
      </c>
      <c r="O807" s="200" t="s">
        <v>2540</v>
      </c>
      <c r="P807" s="200" t="s">
        <v>2535</v>
      </c>
      <c r="AB807" s="110"/>
      <c r="AC807" s="110"/>
      <c r="AD807" s="110"/>
      <c r="AE807" s="110"/>
    </row>
    <row r="808" spans="1:31">
      <c r="A808" s="196" t="s">
        <v>544</v>
      </c>
      <c r="C808" s="196">
        <v>133</v>
      </c>
      <c r="D808" s="196">
        <v>1.3281000000000001</v>
      </c>
      <c r="E808" s="196">
        <v>9.1540999999999997</v>
      </c>
      <c r="F808" s="196">
        <v>0.2009</v>
      </c>
      <c r="G808" s="196">
        <f t="shared" si="128"/>
        <v>9.3550000000000004</v>
      </c>
      <c r="H808" s="196">
        <v>9.1696000000000009</v>
      </c>
      <c r="I808" s="196">
        <f t="shared" si="129"/>
        <v>0.18539999999999957</v>
      </c>
      <c r="J808" s="200">
        <f t="shared" si="130"/>
        <v>1.550000000000043E-2</v>
      </c>
      <c r="K808" s="270">
        <f t="shared" si="131"/>
        <v>7.7152812344452117</v>
      </c>
      <c r="L808" s="196">
        <v>15</v>
      </c>
      <c r="M808" s="196">
        <v>43157.395833333336</v>
      </c>
      <c r="N808" s="196">
        <v>43157.569444444445</v>
      </c>
      <c r="O808" s="196" t="s">
        <v>2534</v>
      </c>
      <c r="AB808" s="110"/>
      <c r="AC808" s="110"/>
      <c r="AD808" s="110"/>
      <c r="AE808" s="110"/>
    </row>
    <row r="809" spans="1:31">
      <c r="A809" s="205" t="s">
        <v>543</v>
      </c>
      <c r="C809" s="200">
        <v>156</v>
      </c>
      <c r="D809" s="200">
        <v>1.5407</v>
      </c>
      <c r="E809" s="200">
        <v>7.9958</v>
      </c>
      <c r="F809" s="200">
        <v>0.2024</v>
      </c>
      <c r="G809" s="200">
        <f t="shared" si="128"/>
        <v>8.1981999999999999</v>
      </c>
      <c r="H809" s="200">
        <v>8.0113000000000003</v>
      </c>
      <c r="I809" s="200">
        <f t="shared" si="129"/>
        <v>0.18689999999999962</v>
      </c>
      <c r="J809" s="200">
        <f t="shared" si="130"/>
        <v>1.5500000000000375E-2</v>
      </c>
      <c r="K809" s="270">
        <f t="shared" si="131"/>
        <v>7.6581027667986037</v>
      </c>
      <c r="L809" s="200">
        <v>14</v>
      </c>
      <c r="M809" s="202">
        <v>43171.520833333336</v>
      </c>
      <c r="N809" s="202">
        <v>43171.6875</v>
      </c>
      <c r="O809" s="196" t="s">
        <v>2534</v>
      </c>
      <c r="P809" s="200"/>
      <c r="AB809" s="110"/>
      <c r="AC809" s="110"/>
      <c r="AD809" s="110"/>
      <c r="AE809" s="110"/>
    </row>
    <row r="810" spans="1:31">
      <c r="A810" s="196" t="s">
        <v>1135</v>
      </c>
      <c r="C810" s="196">
        <v>44</v>
      </c>
      <c r="D810" s="196">
        <v>1.2974000000000001</v>
      </c>
      <c r="E810" s="196">
        <v>8.0890000000000004</v>
      </c>
      <c r="F810" s="196">
        <v>0.20369999999999999</v>
      </c>
      <c r="G810" s="196">
        <f t="shared" si="128"/>
        <v>8.2927</v>
      </c>
      <c r="H810" s="196">
        <v>8.0968999999999998</v>
      </c>
      <c r="I810" s="196">
        <f t="shared" si="129"/>
        <v>0.1958000000000002</v>
      </c>
      <c r="J810" s="200">
        <f t="shared" si="130"/>
        <v>7.8999999999997961E-3</v>
      </c>
      <c r="K810" s="270">
        <f t="shared" si="131"/>
        <v>3.8782523318604794</v>
      </c>
      <c r="L810" s="196">
        <v>28</v>
      </c>
      <c r="M810" s="196" t="s">
        <v>2570</v>
      </c>
      <c r="N810" s="196" t="s">
        <v>2569</v>
      </c>
      <c r="O810" s="196" t="s">
        <v>2534</v>
      </c>
      <c r="AB810" s="110"/>
      <c r="AC810" s="110"/>
      <c r="AD810" s="110"/>
      <c r="AE810" s="110"/>
    </row>
    <row r="811" spans="1:31">
      <c r="A811" s="205" t="s">
        <v>1081</v>
      </c>
      <c r="C811" s="200">
        <v>56</v>
      </c>
      <c r="D811" s="201">
        <v>1.1222000000000001</v>
      </c>
      <c r="E811" s="201">
        <v>9.1564999999999994</v>
      </c>
      <c r="F811" s="201">
        <v>0.20069999999999999</v>
      </c>
      <c r="G811" s="200">
        <f t="shared" si="128"/>
        <v>9.3571999999999989</v>
      </c>
      <c r="H811" s="200">
        <v>9.3376999999999999</v>
      </c>
      <c r="I811" s="200">
        <f t="shared" si="129"/>
        <v>1.9499999999998963E-2</v>
      </c>
      <c r="J811" s="200">
        <f t="shared" si="130"/>
        <v>0.18120000000000103</v>
      </c>
      <c r="K811" s="270">
        <f t="shared" si="131"/>
        <v>90.284005979073754</v>
      </c>
      <c r="L811" s="200">
        <v>10</v>
      </c>
      <c r="M811" s="200"/>
      <c r="N811" s="200"/>
      <c r="O811" s="200"/>
      <c r="P811" s="200"/>
      <c r="U811" s="201" t="s">
        <v>1580</v>
      </c>
      <c r="V811" s="196">
        <v>0.85450000000000004</v>
      </c>
      <c r="W811" s="196">
        <f>(V811-$T$175+F809)</f>
        <v>1.0569</v>
      </c>
      <c r="AB811" s="110"/>
      <c r="AC811" s="110"/>
      <c r="AD811" s="110"/>
      <c r="AE811" s="110"/>
    </row>
    <row r="812" spans="1:31">
      <c r="A812" s="205" t="s">
        <v>541</v>
      </c>
      <c r="C812" s="200">
        <v>134</v>
      </c>
      <c r="D812" s="200">
        <v>1.1697</v>
      </c>
      <c r="E812" s="201">
        <v>8.8617000000000008</v>
      </c>
      <c r="F812" s="201">
        <v>0.20449999999999999</v>
      </c>
      <c r="G812" s="200">
        <f t="shared" si="128"/>
        <v>9.0662000000000003</v>
      </c>
      <c r="H812" s="200">
        <v>8.8765999999999998</v>
      </c>
      <c r="I812" s="200">
        <f t="shared" si="129"/>
        <v>0.18960000000000043</v>
      </c>
      <c r="J812" s="200">
        <f t="shared" si="130"/>
        <v>1.4899999999999552E-2</v>
      </c>
      <c r="K812" s="270">
        <f t="shared" si="131"/>
        <v>7.2860635696819331</v>
      </c>
      <c r="L812" s="200">
        <v>10</v>
      </c>
      <c r="M812" s="204">
        <v>43197</v>
      </c>
      <c r="N812" s="204">
        <v>43197</v>
      </c>
      <c r="O812" s="200"/>
      <c r="P812" s="200"/>
      <c r="AB812" s="110"/>
      <c r="AC812" s="110"/>
      <c r="AD812" s="110"/>
      <c r="AE812" s="110"/>
    </row>
    <row r="813" spans="1:31">
      <c r="A813" s="196" t="s">
        <v>539</v>
      </c>
      <c r="C813" s="196">
        <v>114</v>
      </c>
      <c r="D813" s="196">
        <v>2.7837999999999998</v>
      </c>
      <c r="E813" s="201">
        <v>10.1225</v>
      </c>
      <c r="F813" s="201">
        <v>0.20619999999999999</v>
      </c>
      <c r="G813" s="196">
        <f t="shared" si="128"/>
        <v>10.328700000000001</v>
      </c>
      <c r="H813" s="200">
        <v>10.3186</v>
      </c>
      <c r="I813" s="200">
        <f t="shared" si="129"/>
        <v>1.010000000000133E-2</v>
      </c>
      <c r="J813" s="200">
        <f t="shared" si="130"/>
        <v>0.19609999999999866</v>
      </c>
      <c r="K813" s="270">
        <f t="shared" si="131"/>
        <v>95.101842870998382</v>
      </c>
      <c r="L813" s="196">
        <v>1</v>
      </c>
      <c r="M813" s="206">
        <v>43185.385416666664</v>
      </c>
      <c r="O813" s="200" t="s">
        <v>2540</v>
      </c>
      <c r="P813" s="200"/>
      <c r="AB813" s="110"/>
      <c r="AC813" s="110"/>
      <c r="AD813" s="110"/>
      <c r="AE813" s="110"/>
    </row>
    <row r="814" spans="1:31">
      <c r="A814" s="196" t="s">
        <v>1079</v>
      </c>
      <c r="C814" s="196">
        <v>86</v>
      </c>
      <c r="D814" s="196">
        <v>1.4595</v>
      </c>
      <c r="E814" s="196">
        <v>21.2059</v>
      </c>
      <c r="F814" s="196">
        <v>0.20219999999999999</v>
      </c>
      <c r="G814" s="196">
        <f t="shared" si="128"/>
        <v>21.408100000000001</v>
      </c>
      <c r="H814" s="196">
        <v>21.263200000000001</v>
      </c>
      <c r="I814" s="196">
        <f t="shared" si="129"/>
        <v>0.14489999999999981</v>
      </c>
      <c r="J814" s="200">
        <f t="shared" si="130"/>
        <v>5.7300000000000184E-2</v>
      </c>
      <c r="K814" s="270">
        <f t="shared" si="131"/>
        <v>28.338278931750832</v>
      </c>
      <c r="L814" s="196">
        <v>11</v>
      </c>
      <c r="M814" s="196" t="s">
        <v>2564</v>
      </c>
      <c r="N814" s="196" t="s">
        <v>2563</v>
      </c>
      <c r="O814" s="196" t="s">
        <v>2540</v>
      </c>
      <c r="AB814" s="110"/>
      <c r="AC814" s="110"/>
      <c r="AD814" s="110"/>
      <c r="AE814" s="110"/>
    </row>
    <row r="815" spans="1:31">
      <c r="A815" s="200" t="s">
        <v>1078</v>
      </c>
      <c r="C815" s="200">
        <v>37</v>
      </c>
      <c r="D815" s="200">
        <v>0.86729999999999996</v>
      </c>
      <c r="E815" s="200">
        <v>9.9171999999999993</v>
      </c>
      <c r="F815" s="200">
        <v>0.20399999999999999</v>
      </c>
      <c r="G815" s="200">
        <f t="shared" si="128"/>
        <v>10.1212</v>
      </c>
      <c r="H815" s="200">
        <v>10.0619</v>
      </c>
      <c r="I815" s="200">
        <f t="shared" si="129"/>
        <v>5.9300000000000352E-2</v>
      </c>
      <c r="J815" s="200">
        <f t="shared" si="130"/>
        <v>0.14469999999999963</v>
      </c>
      <c r="K815" s="270">
        <f t="shared" si="131"/>
        <v>70.931372549019429</v>
      </c>
      <c r="L815" s="200">
        <v>22</v>
      </c>
      <c r="M815" s="204">
        <v>43188</v>
      </c>
      <c r="N815" s="204">
        <v>43188</v>
      </c>
      <c r="O815" s="200"/>
      <c r="P815" s="200"/>
      <c r="AB815" s="110"/>
      <c r="AC815" s="110"/>
      <c r="AD815" s="110"/>
      <c r="AE815" s="110"/>
    </row>
    <row r="816" spans="1:31">
      <c r="A816" s="200" t="s">
        <v>1077</v>
      </c>
      <c r="C816" s="200">
        <v>35</v>
      </c>
      <c r="D816" s="201">
        <v>1.3553999999999999</v>
      </c>
      <c r="E816" s="200">
        <v>11.0875</v>
      </c>
      <c r="F816" s="201">
        <v>0.2036</v>
      </c>
      <c r="G816" s="200">
        <f t="shared" si="128"/>
        <v>11.2911</v>
      </c>
      <c r="H816" s="200">
        <v>11.0983</v>
      </c>
      <c r="I816" s="200">
        <f t="shared" si="129"/>
        <v>0.19280000000000008</v>
      </c>
      <c r="J816" s="200">
        <f t="shared" si="130"/>
        <v>1.0799999999999921E-2</v>
      </c>
      <c r="K816" s="270">
        <f t="shared" si="131"/>
        <v>5.3045186640471123</v>
      </c>
      <c r="L816" s="200">
        <v>14</v>
      </c>
      <c r="M816" s="204">
        <v>43206</v>
      </c>
      <c r="N816" s="204">
        <v>43206</v>
      </c>
      <c r="O816" s="200"/>
      <c r="P816" s="200"/>
      <c r="AB816" s="110"/>
      <c r="AC816" s="110"/>
      <c r="AD816" s="110"/>
      <c r="AE816" s="110"/>
    </row>
    <row r="817" spans="1:31">
      <c r="A817" s="196" t="s">
        <v>1076</v>
      </c>
      <c r="C817" s="196">
        <v>39</v>
      </c>
      <c r="D817" s="196">
        <v>1.2951999999999999</v>
      </c>
      <c r="E817" s="196">
        <v>8.3538999999999994</v>
      </c>
      <c r="F817" s="196">
        <v>0.2019</v>
      </c>
      <c r="G817" s="196">
        <f t="shared" si="128"/>
        <v>8.5557999999999996</v>
      </c>
      <c r="H817" s="196">
        <v>8.3606999999999996</v>
      </c>
      <c r="I817" s="196">
        <f t="shared" si="129"/>
        <v>0.19510000000000005</v>
      </c>
      <c r="J817" s="200">
        <f t="shared" si="130"/>
        <v>6.799999999999945E-3</v>
      </c>
      <c r="K817" s="270">
        <f t="shared" si="131"/>
        <v>3.3680039623575757</v>
      </c>
      <c r="L817" s="196">
        <v>24</v>
      </c>
      <c r="M817" s="196" t="s">
        <v>2570</v>
      </c>
      <c r="N817" s="196" t="s">
        <v>2569</v>
      </c>
      <c r="O817" s="196" t="s">
        <v>2534</v>
      </c>
      <c r="AB817" s="110"/>
      <c r="AC817" s="110"/>
      <c r="AD817" s="110"/>
      <c r="AE817" s="110"/>
    </row>
    <row r="818" spans="1:31">
      <c r="A818" s="196" t="s">
        <v>1073</v>
      </c>
      <c r="C818" s="196">
        <v>80</v>
      </c>
      <c r="D818" s="196">
        <v>1.389</v>
      </c>
      <c r="E818" s="196">
        <v>11.8589</v>
      </c>
      <c r="F818" s="196">
        <v>0.2056</v>
      </c>
      <c r="G818" s="196">
        <f t="shared" si="128"/>
        <v>12.064500000000001</v>
      </c>
      <c r="H818" s="196">
        <v>11.8802</v>
      </c>
      <c r="I818" s="196">
        <f t="shared" si="129"/>
        <v>0.18430000000000035</v>
      </c>
      <c r="J818" s="200">
        <f t="shared" si="130"/>
        <v>2.1299999999999653E-2</v>
      </c>
      <c r="K818" s="270">
        <f t="shared" si="131"/>
        <v>10.359922178988159</v>
      </c>
      <c r="L818" s="196">
        <v>8</v>
      </c>
      <c r="M818" s="196" t="s">
        <v>2564</v>
      </c>
      <c r="N818" s="196" t="s">
        <v>2563</v>
      </c>
      <c r="O818" s="196" t="s">
        <v>2540</v>
      </c>
      <c r="AB818" s="110"/>
      <c r="AC818" s="110"/>
      <c r="AD818" s="110"/>
      <c r="AE818" s="110"/>
    </row>
    <row r="819" spans="1:31">
      <c r="A819" s="200" t="s">
        <v>1072</v>
      </c>
      <c r="C819" s="200">
        <v>35</v>
      </c>
      <c r="D819" s="201">
        <v>1.2358</v>
      </c>
      <c r="E819" s="200">
        <v>10.739100000000001</v>
      </c>
      <c r="F819" s="201">
        <v>0.2031</v>
      </c>
      <c r="G819" s="200">
        <f t="shared" si="128"/>
        <v>10.9422</v>
      </c>
      <c r="H819" s="200">
        <v>10.754</v>
      </c>
      <c r="I819" s="200">
        <f t="shared" si="129"/>
        <v>0.18820000000000014</v>
      </c>
      <c r="J819" s="200">
        <f t="shared" si="130"/>
        <v>1.4899999999999858E-2</v>
      </c>
      <c r="K819" s="270">
        <f t="shared" si="131"/>
        <v>7.3362875430821557</v>
      </c>
      <c r="L819" s="200">
        <v>13</v>
      </c>
      <c r="M819" s="204">
        <v>43206</v>
      </c>
      <c r="N819" s="204">
        <v>43206</v>
      </c>
      <c r="O819" s="200"/>
      <c r="P819" s="200"/>
      <c r="AB819" s="110"/>
      <c r="AC819" s="110"/>
      <c r="AD819" s="110"/>
      <c r="AE819" s="110"/>
    </row>
    <row r="820" spans="1:31">
      <c r="A820" s="205" t="s">
        <v>1134</v>
      </c>
      <c r="C820" s="200">
        <v>150</v>
      </c>
      <c r="D820" s="200">
        <v>1.4441999999999999</v>
      </c>
      <c r="E820" s="201">
        <v>7.4745999999999997</v>
      </c>
      <c r="F820" s="201">
        <v>0.2051</v>
      </c>
      <c r="G820" s="200">
        <f t="shared" si="128"/>
        <v>7.6796999999999995</v>
      </c>
      <c r="H820" s="200">
        <v>7.4954999999999998</v>
      </c>
      <c r="I820" s="200">
        <f t="shared" si="129"/>
        <v>0.1841999999999997</v>
      </c>
      <c r="J820" s="200">
        <f t="shared" si="130"/>
        <v>2.0900000000000307E-2</v>
      </c>
      <c r="K820" s="270">
        <f t="shared" si="131"/>
        <v>10.190151145782695</v>
      </c>
      <c r="L820" s="200">
        <v>10</v>
      </c>
      <c r="M820" s="204">
        <v>43199</v>
      </c>
      <c r="N820" s="204">
        <v>43199</v>
      </c>
      <c r="O820" s="200"/>
      <c r="P820" s="200"/>
      <c r="AB820" s="110"/>
      <c r="AC820" s="110"/>
      <c r="AD820" s="110"/>
      <c r="AE820" s="110"/>
    </row>
    <row r="821" spans="1:31">
      <c r="A821" s="196" t="s">
        <v>1070</v>
      </c>
      <c r="C821" s="196">
        <v>24</v>
      </c>
      <c r="D821" s="196">
        <v>1.0868</v>
      </c>
      <c r="E821" s="196">
        <v>10.1241</v>
      </c>
      <c r="F821" s="201">
        <v>0.20150000000000001</v>
      </c>
      <c r="G821" s="200">
        <f t="shared" si="128"/>
        <v>10.3256</v>
      </c>
      <c r="H821" s="200">
        <v>10.1355</v>
      </c>
      <c r="I821" s="200">
        <f t="shared" si="129"/>
        <v>0.19009999999999927</v>
      </c>
      <c r="J821" s="200">
        <f t="shared" si="130"/>
        <v>1.1400000000000743E-2</v>
      </c>
      <c r="K821" s="270">
        <f t="shared" si="131"/>
        <v>5.6575682382137682</v>
      </c>
      <c r="L821" s="200">
        <v>1</v>
      </c>
      <c r="AB821" s="110"/>
      <c r="AC821" s="110"/>
      <c r="AD821" s="110"/>
      <c r="AE821" s="110"/>
    </row>
    <row r="822" spans="1:31">
      <c r="A822" s="205" t="s">
        <v>1069</v>
      </c>
      <c r="C822" s="200">
        <v>48</v>
      </c>
      <c r="D822" s="200">
        <v>1.3627</v>
      </c>
      <c r="E822" s="200">
        <v>10.5657</v>
      </c>
      <c r="F822" s="201">
        <v>0.20580000000000001</v>
      </c>
      <c r="G822" s="200">
        <f t="shared" si="128"/>
        <v>10.7715</v>
      </c>
      <c r="H822" s="200">
        <v>10.5753</v>
      </c>
      <c r="I822" s="200">
        <f t="shared" si="129"/>
        <v>0.19619999999999926</v>
      </c>
      <c r="J822" s="200">
        <f t="shared" si="130"/>
        <v>9.6000000000007468E-3</v>
      </c>
      <c r="K822" s="270">
        <f t="shared" si="131"/>
        <v>4.6647230320703335</v>
      </c>
      <c r="L822" s="200">
        <v>12</v>
      </c>
      <c r="M822" s="204">
        <v>43211</v>
      </c>
      <c r="S822" s="196" t="s">
        <v>2577</v>
      </c>
      <c r="T822" s="196" t="s">
        <v>2576</v>
      </c>
      <c r="U822" s="196" t="s">
        <v>2575</v>
      </c>
      <c r="V822" s="196" t="s">
        <v>2574</v>
      </c>
      <c r="W822" s="196" t="s">
        <v>2573</v>
      </c>
      <c r="AB822" s="110"/>
      <c r="AC822" s="110"/>
      <c r="AD822" s="110"/>
      <c r="AE822" s="110"/>
    </row>
    <row r="823" spans="1:31">
      <c r="A823" s="201" t="s">
        <v>1068</v>
      </c>
      <c r="C823" s="200">
        <v>91</v>
      </c>
      <c r="D823" s="200">
        <v>1.4371999999999998</v>
      </c>
      <c r="E823" s="200">
        <v>11.7471</v>
      </c>
      <c r="F823" s="200">
        <v>0.2006</v>
      </c>
      <c r="G823" s="200">
        <f t="shared" si="128"/>
        <v>11.947699999999999</v>
      </c>
      <c r="H823" s="200">
        <v>11.7536</v>
      </c>
      <c r="I823" s="200">
        <f t="shared" si="129"/>
        <v>0.19409999999999883</v>
      </c>
      <c r="J823" s="200">
        <f t="shared" si="130"/>
        <v>6.5000000000011715E-3</v>
      </c>
      <c r="K823" s="270">
        <f t="shared" si="131"/>
        <v>3.2402791625130467</v>
      </c>
      <c r="L823" s="200">
        <v>6</v>
      </c>
      <c r="M823" s="204">
        <v>43173</v>
      </c>
      <c r="N823" s="204">
        <v>43173</v>
      </c>
      <c r="O823" s="200" t="s">
        <v>2540</v>
      </c>
      <c r="P823" s="200" t="s">
        <v>2539</v>
      </c>
      <c r="AB823" s="110"/>
      <c r="AC823" s="110"/>
      <c r="AD823" s="110"/>
      <c r="AE823" s="110"/>
    </row>
    <row r="824" spans="1:31">
      <c r="A824" s="196" t="s">
        <v>1067</v>
      </c>
      <c r="C824" s="196">
        <v>45</v>
      </c>
      <c r="D824" s="196">
        <v>1.3643000000000001</v>
      </c>
      <c r="E824" s="196">
        <v>11.904500000000001</v>
      </c>
      <c r="F824" s="196">
        <v>0.2029</v>
      </c>
      <c r="G824" s="196">
        <f t="shared" si="128"/>
        <v>12.1074</v>
      </c>
      <c r="H824" s="196">
        <v>11.9108</v>
      </c>
      <c r="I824" s="196">
        <f t="shared" si="129"/>
        <v>0.19660000000000011</v>
      </c>
      <c r="J824" s="200">
        <f t="shared" si="130"/>
        <v>6.299999999999889E-3</v>
      </c>
      <c r="K824" s="270">
        <f t="shared" si="131"/>
        <v>3.1049778215869339</v>
      </c>
      <c r="L824" s="196">
        <v>17</v>
      </c>
      <c r="M824" s="196" t="s">
        <v>2570</v>
      </c>
      <c r="N824" s="196" t="s">
        <v>2569</v>
      </c>
      <c r="O824" s="196" t="s">
        <v>2534</v>
      </c>
      <c r="AB824" s="110"/>
      <c r="AC824" s="110"/>
      <c r="AD824" s="110"/>
      <c r="AE824" s="110"/>
    </row>
    <row r="825" spans="1:31">
      <c r="A825" s="196" t="s">
        <v>1065</v>
      </c>
      <c r="C825" s="200">
        <v>47</v>
      </c>
      <c r="D825" s="200">
        <v>1.4326000000000001</v>
      </c>
      <c r="E825" s="200">
        <v>8.8602000000000007</v>
      </c>
      <c r="F825" s="201">
        <v>0.20269999999999999</v>
      </c>
      <c r="G825" s="200">
        <f t="shared" si="128"/>
        <v>9.0629000000000008</v>
      </c>
      <c r="H825" s="200">
        <v>8.8664000000000005</v>
      </c>
      <c r="I825" s="200">
        <f t="shared" si="129"/>
        <v>0.19650000000000034</v>
      </c>
      <c r="J825" s="200">
        <f t="shared" si="130"/>
        <v>6.1999999999996502E-3</v>
      </c>
      <c r="K825" s="270">
        <f t="shared" si="131"/>
        <v>3.0587074494324868</v>
      </c>
      <c r="L825" s="200">
        <v>19</v>
      </c>
      <c r="M825" s="204">
        <v>43211</v>
      </c>
      <c r="AB825" s="110"/>
      <c r="AC825" s="110"/>
      <c r="AD825" s="110"/>
      <c r="AE825" s="110"/>
    </row>
    <row r="826" spans="1:31">
      <c r="A826" s="200" t="s">
        <v>1064</v>
      </c>
      <c r="C826" s="200">
        <v>41</v>
      </c>
      <c r="D826" s="201">
        <v>1.3088</v>
      </c>
      <c r="E826" s="200">
        <v>10.698399999999999</v>
      </c>
      <c r="F826" s="201">
        <v>0.19989999999999999</v>
      </c>
      <c r="G826" s="200">
        <f t="shared" si="128"/>
        <v>10.898299999999999</v>
      </c>
      <c r="H826" s="200">
        <v>10.7105</v>
      </c>
      <c r="I826" s="200">
        <f t="shared" si="129"/>
        <v>0.1877999999999993</v>
      </c>
      <c r="J826" s="200">
        <f t="shared" si="130"/>
        <v>1.2100000000000694E-2</v>
      </c>
      <c r="K826" s="270">
        <f t="shared" si="131"/>
        <v>6.0530265132569756</v>
      </c>
      <c r="L826" s="200">
        <v>29</v>
      </c>
      <c r="M826" s="200"/>
      <c r="N826" s="200"/>
      <c r="O826" s="200"/>
      <c r="P826" s="200"/>
      <c r="AB826" s="110"/>
      <c r="AC826" s="110"/>
      <c r="AD826" s="110"/>
      <c r="AE826" s="110"/>
    </row>
    <row r="827" spans="1:31">
      <c r="A827" s="201" t="s">
        <v>1063</v>
      </c>
      <c r="C827" s="200">
        <v>60</v>
      </c>
      <c r="D827" s="200">
        <v>1.3980999999999999</v>
      </c>
      <c r="E827" s="200">
        <v>10.856299999999999</v>
      </c>
      <c r="F827" s="200">
        <v>0.2044</v>
      </c>
      <c r="G827" s="200">
        <f t="shared" si="128"/>
        <v>11.060699999999999</v>
      </c>
      <c r="H827" s="200">
        <v>10.8682</v>
      </c>
      <c r="I827" s="200">
        <f t="shared" si="129"/>
        <v>0.19249999999999901</v>
      </c>
      <c r="J827" s="200">
        <f t="shared" si="130"/>
        <v>1.1900000000000993E-2</v>
      </c>
      <c r="K827" s="270">
        <f t="shared" si="131"/>
        <v>5.8219178082196645</v>
      </c>
      <c r="L827" s="200">
        <v>23</v>
      </c>
      <c r="M827" s="204">
        <v>43173</v>
      </c>
      <c r="N827" s="204">
        <v>43173</v>
      </c>
      <c r="O827" s="200" t="s">
        <v>2540</v>
      </c>
      <c r="P827" s="200" t="s">
        <v>2539</v>
      </c>
      <c r="AB827" s="110"/>
      <c r="AC827" s="110"/>
      <c r="AD827" s="110"/>
      <c r="AE827" s="110"/>
    </row>
    <row r="828" spans="1:31">
      <c r="A828" t="s">
        <v>1062</v>
      </c>
      <c r="C828" s="197"/>
      <c r="D828" s="196">
        <v>1.1731</v>
      </c>
      <c r="E828" s="201">
        <v>10.738300000000001</v>
      </c>
      <c r="F828" s="201">
        <v>0.20169999999999999</v>
      </c>
      <c r="G828" s="200">
        <f t="shared" si="128"/>
        <v>10.940000000000001</v>
      </c>
      <c r="H828" s="200">
        <v>10.751899999999999</v>
      </c>
      <c r="I828" s="200">
        <f t="shared" si="129"/>
        <v>0.18810000000000215</v>
      </c>
      <c r="J828" s="200">
        <f t="shared" si="130"/>
        <v>1.3599999999997836E-2</v>
      </c>
      <c r="K828" s="270">
        <f t="shared" si="131"/>
        <v>6.7426871591461754</v>
      </c>
      <c r="L828" s="200">
        <v>9</v>
      </c>
      <c r="AB828" s="110"/>
      <c r="AC828" s="110"/>
      <c r="AD828" s="110"/>
      <c r="AE828" s="110"/>
    </row>
    <row r="829" spans="1:31">
      <c r="A829" s="205" t="s">
        <v>1133</v>
      </c>
      <c r="C829" s="200">
        <v>108</v>
      </c>
      <c r="D829" s="200">
        <v>1.2354000000000001</v>
      </c>
      <c r="E829" s="201">
        <v>9.7255000000000003</v>
      </c>
      <c r="F829" s="201">
        <v>0.20080000000000001</v>
      </c>
      <c r="G829" s="200">
        <f t="shared" ref="G829:G845" si="132">E829+F829</f>
        <v>9.9262999999999995</v>
      </c>
      <c r="H829" s="200">
        <v>9.7420000000000009</v>
      </c>
      <c r="I829" s="200">
        <f t="shared" ref="I829:I845" si="133">(G829-H829)</f>
        <v>0.18429999999999858</v>
      </c>
      <c r="J829" s="200">
        <f t="shared" ref="J829:J845" si="134">F829-I829</f>
        <v>1.650000000000143E-2</v>
      </c>
      <c r="K829" s="270">
        <f t="shared" ref="K829:K845" si="135">(J829/F829)*100</f>
        <v>8.2171314741042973</v>
      </c>
      <c r="L829" s="200">
        <v>37</v>
      </c>
      <c r="M829" s="206">
        <v>43186.458333333336</v>
      </c>
      <c r="N829" s="206">
        <v>43186.625</v>
      </c>
      <c r="O829" s="196" t="s">
        <v>2534</v>
      </c>
      <c r="P829" s="200"/>
      <c r="AB829" s="110"/>
      <c r="AC829" s="110"/>
      <c r="AD829" s="110"/>
      <c r="AE829" s="110"/>
    </row>
    <row r="830" spans="1:31">
      <c r="A830" s="205" t="s">
        <v>1060</v>
      </c>
      <c r="C830" s="200">
        <v>42</v>
      </c>
      <c r="D830" s="201">
        <v>1.2764</v>
      </c>
      <c r="E830" s="200">
        <v>8.8452000000000002</v>
      </c>
      <c r="F830" s="201">
        <v>0.2077</v>
      </c>
      <c r="G830" s="200">
        <f t="shared" si="132"/>
        <v>9.0529000000000011</v>
      </c>
      <c r="H830" s="200">
        <v>8.8504000000000005</v>
      </c>
      <c r="I830" s="200">
        <f t="shared" si="133"/>
        <v>0.20250000000000057</v>
      </c>
      <c r="J830" s="200">
        <f t="shared" si="134"/>
        <v>5.1999999999994273E-3</v>
      </c>
      <c r="K830" s="270">
        <f t="shared" si="135"/>
        <v>2.5036109773709327</v>
      </c>
      <c r="L830" s="200">
        <v>9</v>
      </c>
      <c r="M830" s="204">
        <v>43206</v>
      </c>
      <c r="N830" s="204">
        <v>43206</v>
      </c>
      <c r="O830" s="200"/>
      <c r="P830" s="200"/>
      <c r="AB830" s="110"/>
      <c r="AC830" s="110"/>
      <c r="AD830" s="110"/>
      <c r="AE830" s="110"/>
    </row>
    <row r="831" spans="1:31">
      <c r="A831" s="196" t="s">
        <v>1059</v>
      </c>
      <c r="C831" s="197">
        <v>19</v>
      </c>
      <c r="D831" s="196">
        <v>1.2534000000000001</v>
      </c>
      <c r="E831" s="200">
        <v>10.7026</v>
      </c>
      <c r="F831" s="201">
        <v>0.20430000000000001</v>
      </c>
      <c r="G831" s="200">
        <f t="shared" si="132"/>
        <v>10.9069</v>
      </c>
      <c r="H831" s="200">
        <v>10.725099999999999</v>
      </c>
      <c r="I831" s="200">
        <f t="shared" si="133"/>
        <v>0.18180000000000085</v>
      </c>
      <c r="J831" s="200">
        <f t="shared" si="134"/>
        <v>2.249999999999916E-2</v>
      </c>
      <c r="K831" s="270">
        <f t="shared" si="135"/>
        <v>11.013215859030426</v>
      </c>
      <c r="L831" s="200">
        <v>12</v>
      </c>
      <c r="M831" s="203">
        <v>43213</v>
      </c>
      <c r="N831" s="203">
        <v>43213</v>
      </c>
      <c r="AB831" s="110"/>
      <c r="AC831" s="110"/>
      <c r="AD831" s="110"/>
      <c r="AE831" s="110"/>
    </row>
    <row r="832" spans="1:31">
      <c r="A832" s="205" t="s">
        <v>1058</v>
      </c>
      <c r="C832" s="200">
        <v>82</v>
      </c>
      <c r="D832" s="200">
        <v>1.3147</v>
      </c>
      <c r="E832" s="201">
        <v>7.5293999999999999</v>
      </c>
      <c r="F832" s="201">
        <v>0.19600000000000001</v>
      </c>
      <c r="G832" s="200">
        <f t="shared" si="132"/>
        <v>7.7253999999999996</v>
      </c>
      <c r="H832" s="200">
        <v>7.5391000000000004</v>
      </c>
      <c r="I832" s="200">
        <f t="shared" si="133"/>
        <v>0.18629999999999924</v>
      </c>
      <c r="J832" s="200">
        <f t="shared" si="134"/>
        <v>9.7000000000007636E-3</v>
      </c>
      <c r="K832" s="270">
        <f t="shared" si="135"/>
        <v>4.9489795918371247</v>
      </c>
      <c r="L832" s="200">
        <v>18</v>
      </c>
      <c r="M832" s="204">
        <v>43197</v>
      </c>
      <c r="N832" s="204">
        <v>43197</v>
      </c>
      <c r="O832" s="200"/>
      <c r="P832" s="200"/>
    </row>
    <row r="833" spans="1:50">
      <c r="A833" s="200" t="s">
        <v>1056</v>
      </c>
      <c r="C833" s="200">
        <v>51</v>
      </c>
      <c r="D833" s="201">
        <v>1.3381000000000001</v>
      </c>
      <c r="E833" s="200">
        <v>11.171900000000001</v>
      </c>
      <c r="F833" s="201">
        <v>0.20830000000000001</v>
      </c>
      <c r="G833" s="200">
        <f t="shared" si="132"/>
        <v>11.3802</v>
      </c>
      <c r="H833" s="200">
        <v>11.1844</v>
      </c>
      <c r="I833" s="200">
        <f t="shared" si="133"/>
        <v>0.1958000000000002</v>
      </c>
      <c r="J833" s="200">
        <f t="shared" si="134"/>
        <v>1.2499999999999817E-2</v>
      </c>
      <c r="K833" s="270">
        <f t="shared" si="135"/>
        <v>6.0009601536244919</v>
      </c>
      <c r="L833" s="200">
        <v>22</v>
      </c>
      <c r="M833" s="200"/>
      <c r="N833" s="200"/>
      <c r="O833" s="200"/>
      <c r="P833" s="200"/>
      <c r="R833" s="196">
        <v>8</v>
      </c>
      <c r="S833" s="196">
        <v>0.62719999999999998</v>
      </c>
      <c r="U833" s="201" t="s">
        <v>798</v>
      </c>
      <c r="V833" s="196">
        <v>0.90659999999999996</v>
      </c>
      <c r="W833" s="196">
        <f>(V833-$T$175+F831)</f>
        <v>1.1109</v>
      </c>
    </row>
    <row r="834" spans="1:50">
      <c r="A834" s="205" t="s">
        <v>1054</v>
      </c>
      <c r="C834" s="200">
        <v>38</v>
      </c>
      <c r="D834" s="200">
        <v>0.86399999999999999</v>
      </c>
      <c r="E834" s="200">
        <v>9.1971000000000007</v>
      </c>
      <c r="F834" s="200">
        <v>0.2087</v>
      </c>
      <c r="G834" s="200">
        <f t="shared" si="132"/>
        <v>9.405800000000001</v>
      </c>
      <c r="H834" s="200">
        <v>9.2425999999999995</v>
      </c>
      <c r="I834" s="200">
        <f t="shared" si="133"/>
        <v>0.16320000000000157</v>
      </c>
      <c r="J834" s="200">
        <f t="shared" si="134"/>
        <v>4.5499999999998431E-2</v>
      </c>
      <c r="K834" s="270">
        <f t="shared" si="135"/>
        <v>21.801629132725651</v>
      </c>
      <c r="L834" s="200">
        <v>27</v>
      </c>
      <c r="M834" s="204">
        <v>43188</v>
      </c>
      <c r="N834" s="204">
        <v>43188</v>
      </c>
      <c r="O834" s="200"/>
      <c r="P834" s="200"/>
    </row>
    <row r="835" spans="1:50">
      <c r="A835" s="200" t="s">
        <v>1053</v>
      </c>
      <c r="C835" s="200">
        <v>213</v>
      </c>
      <c r="D835" s="200">
        <v>1.2839</v>
      </c>
      <c r="E835" s="200">
        <v>11.054600000000001</v>
      </c>
      <c r="F835" s="200">
        <v>0.20619999999999999</v>
      </c>
      <c r="G835" s="200">
        <f t="shared" si="132"/>
        <v>11.260800000000001</v>
      </c>
      <c r="H835" s="200">
        <v>11.0619</v>
      </c>
      <c r="I835" s="200">
        <f t="shared" si="133"/>
        <v>0.19890000000000185</v>
      </c>
      <c r="J835" s="200">
        <f t="shared" si="134"/>
        <v>7.2999999999981413E-3</v>
      </c>
      <c r="K835" s="270">
        <f t="shared" si="135"/>
        <v>3.5402521823463347</v>
      </c>
      <c r="L835" s="200">
        <v>6</v>
      </c>
      <c r="M835" s="204">
        <v>43188</v>
      </c>
      <c r="N835" s="204">
        <v>43188</v>
      </c>
      <c r="O835" s="200"/>
      <c r="P835" s="200"/>
    </row>
    <row r="836" spans="1:50">
      <c r="A836" s="200" t="s">
        <v>1052</v>
      </c>
      <c r="C836" s="200">
        <v>37</v>
      </c>
      <c r="D836" s="200">
        <v>1.1639999999999999</v>
      </c>
      <c r="E836" s="200">
        <v>8.7021999999999995</v>
      </c>
      <c r="F836" s="200">
        <v>0.20430000000000001</v>
      </c>
      <c r="G836" s="200">
        <f t="shared" si="132"/>
        <v>8.9064999999999994</v>
      </c>
      <c r="H836" s="200">
        <v>8.7190999999999992</v>
      </c>
      <c r="I836" s="200">
        <f t="shared" si="133"/>
        <v>0.18740000000000023</v>
      </c>
      <c r="J836" s="200">
        <f t="shared" si="134"/>
        <v>1.6899999999999776E-2</v>
      </c>
      <c r="K836" s="270">
        <f t="shared" si="135"/>
        <v>8.2721488007830519</v>
      </c>
      <c r="L836" s="200">
        <v>21</v>
      </c>
      <c r="M836" s="204">
        <v>43188</v>
      </c>
      <c r="N836" s="204">
        <v>43188</v>
      </c>
      <c r="O836" s="200"/>
      <c r="P836" s="200"/>
    </row>
    <row r="837" spans="1:50">
      <c r="A837" s="205" t="s">
        <v>1132</v>
      </c>
      <c r="C837" s="200">
        <v>68</v>
      </c>
      <c r="D837" s="200">
        <v>1.4452</v>
      </c>
      <c r="E837" s="201">
        <v>9.9170999999999996</v>
      </c>
      <c r="F837" s="201">
        <v>0.20019999999999999</v>
      </c>
      <c r="G837" s="200">
        <f t="shared" si="132"/>
        <v>10.1173</v>
      </c>
      <c r="H837" s="200">
        <v>9.9295000000000009</v>
      </c>
      <c r="I837" s="200">
        <f t="shared" si="133"/>
        <v>0.1877999999999993</v>
      </c>
      <c r="J837" s="200">
        <f t="shared" si="134"/>
        <v>1.2400000000000688E-2</v>
      </c>
      <c r="K837" s="270">
        <f t="shared" si="135"/>
        <v>6.1938061938065374</v>
      </c>
      <c r="L837" s="200">
        <v>17</v>
      </c>
      <c r="M837" s="204">
        <v>43199</v>
      </c>
      <c r="N837" s="204">
        <v>43199</v>
      </c>
      <c r="O837" s="200"/>
      <c r="P837" s="200"/>
    </row>
    <row r="838" spans="1:50">
      <c r="A838" s="196" t="s">
        <v>1050</v>
      </c>
      <c r="C838" s="196">
        <v>10</v>
      </c>
      <c r="D838" s="196">
        <v>1.1454</v>
      </c>
      <c r="E838" s="201">
        <v>10.503299999999999</v>
      </c>
      <c r="F838" s="201">
        <v>0.20660000000000001</v>
      </c>
      <c r="G838" s="200">
        <f t="shared" si="132"/>
        <v>10.709899999999999</v>
      </c>
      <c r="H838" s="200">
        <v>10.5123</v>
      </c>
      <c r="I838" s="200">
        <f t="shared" si="133"/>
        <v>0.19759999999999955</v>
      </c>
      <c r="J838" s="200">
        <f t="shared" si="134"/>
        <v>9.0000000000004521E-3</v>
      </c>
      <c r="K838" s="270">
        <f t="shared" si="135"/>
        <v>4.3562439496613994</v>
      </c>
      <c r="L838" s="200">
        <v>28</v>
      </c>
    </row>
    <row r="839" spans="1:50">
      <c r="A839" s="200" t="s">
        <v>1049</v>
      </c>
      <c r="C839" s="200">
        <v>205</v>
      </c>
      <c r="D839" s="196">
        <v>1.4713000000000001</v>
      </c>
      <c r="E839" s="196">
        <v>11.2583</v>
      </c>
      <c r="F839" s="196">
        <v>0.2029</v>
      </c>
      <c r="G839" s="196">
        <f t="shared" si="132"/>
        <v>11.4612</v>
      </c>
      <c r="H839" s="196">
        <v>11.267799999999999</v>
      </c>
      <c r="I839" s="196">
        <f t="shared" si="133"/>
        <v>0.19340000000000046</v>
      </c>
      <c r="J839" s="200">
        <f t="shared" si="134"/>
        <v>9.4999999999995366E-3</v>
      </c>
      <c r="K839" s="270">
        <f t="shared" si="135"/>
        <v>4.6821094135039614</v>
      </c>
      <c r="L839" s="196">
        <v>5</v>
      </c>
      <c r="M839" s="206">
        <v>43160.520833333336</v>
      </c>
      <c r="N839" s="206">
        <v>43160.6875</v>
      </c>
      <c r="O839" s="196" t="s">
        <v>2534</v>
      </c>
    </row>
    <row r="840" spans="1:50">
      <c r="A840" s="205" t="s">
        <v>1048</v>
      </c>
      <c r="C840" s="200">
        <v>212</v>
      </c>
      <c r="D840" s="200">
        <v>1.35</v>
      </c>
      <c r="E840" s="200">
        <v>9.1357999999999997</v>
      </c>
      <c r="F840" s="200">
        <v>0.2059</v>
      </c>
      <c r="G840" s="200">
        <f t="shared" si="132"/>
        <v>9.3416999999999994</v>
      </c>
      <c r="H840" s="200">
        <v>9.1507000000000005</v>
      </c>
      <c r="I840" s="200">
        <f t="shared" si="133"/>
        <v>0.19099999999999895</v>
      </c>
      <c r="J840" s="200">
        <f t="shared" si="134"/>
        <v>1.4900000000001051E-2</v>
      </c>
      <c r="K840" s="270">
        <f t="shared" si="135"/>
        <v>7.2365225837790437</v>
      </c>
      <c r="L840" s="200">
        <v>2</v>
      </c>
      <c r="M840" s="202">
        <v>43171.520833333336</v>
      </c>
      <c r="N840" s="202">
        <v>43171.6875</v>
      </c>
      <c r="O840" s="196" t="s">
        <v>2534</v>
      </c>
      <c r="P840" s="200"/>
    </row>
    <row r="841" spans="1:50">
      <c r="A841" s="196" t="s">
        <v>1047</v>
      </c>
      <c r="C841" s="196">
        <v>90</v>
      </c>
      <c r="D841" s="196">
        <v>1.4928999999999999</v>
      </c>
      <c r="E841" s="196">
        <v>19.389199999999999</v>
      </c>
      <c r="F841" s="196">
        <v>0.20150000000000001</v>
      </c>
      <c r="G841" s="196">
        <f t="shared" si="132"/>
        <v>19.590699999999998</v>
      </c>
      <c r="H841" s="196">
        <v>19.397400000000001</v>
      </c>
      <c r="I841" s="196">
        <f t="shared" si="133"/>
        <v>0.19329999999999714</v>
      </c>
      <c r="J841" s="200">
        <f t="shared" si="134"/>
        <v>8.2000000000028717E-3</v>
      </c>
      <c r="K841" s="270">
        <f t="shared" si="135"/>
        <v>4.0694789081900105</v>
      </c>
      <c r="L841" s="196">
        <v>17</v>
      </c>
      <c r="M841" s="196" t="s">
        <v>2564</v>
      </c>
      <c r="N841" s="196" t="s">
        <v>2563</v>
      </c>
      <c r="O841" s="196" t="s">
        <v>2540</v>
      </c>
    </row>
    <row r="842" spans="1:50">
      <c r="A842" s="196" t="s">
        <v>1046</v>
      </c>
      <c r="C842" s="197">
        <v>71</v>
      </c>
      <c r="D842" s="196">
        <v>1.4065000000000001</v>
      </c>
      <c r="E842" s="200">
        <v>10.144600000000001</v>
      </c>
      <c r="F842" s="201">
        <v>0.20150000000000001</v>
      </c>
      <c r="G842" s="200">
        <f t="shared" si="132"/>
        <v>10.3461</v>
      </c>
      <c r="H842" s="200">
        <v>10.151199999999999</v>
      </c>
      <c r="I842" s="200">
        <f t="shared" si="133"/>
        <v>0.19490000000000052</v>
      </c>
      <c r="J842" s="200">
        <f t="shared" si="134"/>
        <v>6.5999999999994952E-3</v>
      </c>
      <c r="K842" s="270">
        <f t="shared" si="135"/>
        <v>3.275434243175928</v>
      </c>
      <c r="L842" s="200">
        <v>24</v>
      </c>
      <c r="M842" s="203">
        <v>43212</v>
      </c>
    </row>
    <row r="843" spans="1:50">
      <c r="A843" s="200" t="s">
        <v>1045</v>
      </c>
      <c r="C843" s="200">
        <v>163</v>
      </c>
      <c r="D843" s="200">
        <v>1.4429000000000001</v>
      </c>
      <c r="E843" s="201">
        <v>9.3186999999999998</v>
      </c>
      <c r="F843" s="201">
        <v>0.2014</v>
      </c>
      <c r="G843" s="200">
        <f t="shared" si="132"/>
        <v>9.5200999999999993</v>
      </c>
      <c r="H843" s="200">
        <v>9.3233999999999995</v>
      </c>
      <c r="I843" s="200">
        <f t="shared" si="133"/>
        <v>0.19669999999999987</v>
      </c>
      <c r="J843" s="200">
        <f t="shared" si="134"/>
        <v>4.7000000000001207E-3</v>
      </c>
      <c r="K843" s="270">
        <f t="shared" si="135"/>
        <v>2.3336643495531879</v>
      </c>
      <c r="L843" s="200">
        <v>29</v>
      </c>
      <c r="M843" s="206">
        <v>43186.458333333336</v>
      </c>
      <c r="N843" s="206">
        <v>43186.625</v>
      </c>
      <c r="O843" s="196" t="s">
        <v>2534</v>
      </c>
      <c r="P843" s="200"/>
    </row>
    <row r="844" spans="1:50" customFormat="1">
      <c r="A844" s="205" t="s">
        <v>1044</v>
      </c>
      <c r="C844" s="200">
        <v>36</v>
      </c>
      <c r="D844" s="201">
        <v>1.4216</v>
      </c>
      <c r="E844" s="201">
        <v>10.076000000000001</v>
      </c>
      <c r="F844" s="201">
        <v>0.20599999999999999</v>
      </c>
      <c r="G844" s="200">
        <f t="shared" si="132"/>
        <v>10.282</v>
      </c>
      <c r="H844" s="200">
        <v>10.080299999999999</v>
      </c>
      <c r="I844" s="200">
        <f t="shared" si="133"/>
        <v>0.20170000000000066</v>
      </c>
      <c r="J844" s="200">
        <f t="shared" si="134"/>
        <v>4.2999999999993321E-3</v>
      </c>
      <c r="K844" s="270">
        <f t="shared" si="135"/>
        <v>2.0873786407763748</v>
      </c>
      <c r="L844" s="200">
        <v>21</v>
      </c>
      <c r="M844" s="204">
        <v>43199</v>
      </c>
      <c r="N844" s="204">
        <v>43199</v>
      </c>
      <c r="O844" s="200"/>
      <c r="P844" s="200"/>
      <c r="Q844" s="196"/>
      <c r="R844" s="196"/>
      <c r="S844" s="196"/>
      <c r="T844" s="196"/>
      <c r="U844" s="196"/>
      <c r="V844" s="196"/>
      <c r="W844" s="196"/>
      <c r="X844" s="196"/>
      <c r="Y844" s="196"/>
      <c r="Z844" s="196"/>
      <c r="AA844" s="196"/>
      <c r="AB844" s="196"/>
      <c r="AC844" s="196"/>
      <c r="AD844" s="196"/>
      <c r="AE844" s="196"/>
      <c r="AF844" s="196"/>
      <c r="AG844" s="196"/>
      <c r="AH844" s="196"/>
      <c r="AI844" s="196"/>
      <c r="AJ844" s="196"/>
      <c r="AK844" s="196"/>
      <c r="AL844" s="196"/>
      <c r="AM844" s="196"/>
      <c r="AN844" s="196"/>
      <c r="AO844" s="196"/>
      <c r="AP844" s="196"/>
      <c r="AQ844" s="196"/>
      <c r="AR844" s="196"/>
      <c r="AS844" s="196"/>
      <c r="AT844" s="196"/>
      <c r="AU844" s="196"/>
      <c r="AV844" s="196"/>
      <c r="AW844" s="196"/>
      <c r="AX844" s="196"/>
    </row>
    <row r="845" spans="1:50" customFormat="1">
      <c r="A845" s="200" t="s">
        <v>1042</v>
      </c>
      <c r="B845" s="200"/>
      <c r="C845" s="200">
        <v>15</v>
      </c>
      <c r="D845" s="200">
        <v>1.1295999999999999</v>
      </c>
      <c r="E845" s="201">
        <v>8.7022999999999993</v>
      </c>
      <c r="F845" s="201">
        <v>0.20130000000000001</v>
      </c>
      <c r="G845" s="200">
        <f t="shared" si="132"/>
        <v>8.9035999999999991</v>
      </c>
      <c r="H845" s="200">
        <v>8.7178000000000004</v>
      </c>
      <c r="I845" s="200">
        <f t="shared" si="133"/>
        <v>0.18579999999999863</v>
      </c>
      <c r="J845" s="200">
        <f t="shared" si="134"/>
        <v>1.5500000000001374E-2</v>
      </c>
      <c r="K845" s="270">
        <f t="shared" si="135"/>
        <v>7.6999503229018247</v>
      </c>
      <c r="L845" s="200">
        <v>30</v>
      </c>
      <c r="M845" s="206">
        <v>43185.385416666664</v>
      </c>
      <c r="N845" s="200"/>
      <c r="O845" s="200" t="s">
        <v>2540</v>
      </c>
      <c r="P845" s="200"/>
      <c r="Q845" s="200"/>
      <c r="R845" s="200"/>
      <c r="S845" s="200"/>
      <c r="T845" s="200"/>
      <c r="U845" s="200"/>
      <c r="V845" s="200"/>
      <c r="W845" s="200"/>
      <c r="X845" s="196"/>
      <c r="Y845" s="196"/>
      <c r="Z845" s="196"/>
      <c r="AA845" s="196"/>
      <c r="AB845" s="196"/>
      <c r="AC845" s="196"/>
      <c r="AD845" s="196"/>
      <c r="AE845" s="196"/>
      <c r="AF845" s="196"/>
      <c r="AG845" s="196"/>
      <c r="AH845" s="196"/>
      <c r="AI845" s="196"/>
      <c r="AJ845" s="196"/>
      <c r="AK845" s="196"/>
      <c r="AL845" s="196"/>
      <c r="AM845" s="196"/>
      <c r="AN845" s="196"/>
      <c r="AO845" s="196"/>
      <c r="AP845" s="196"/>
      <c r="AQ845" s="196"/>
      <c r="AR845" s="196"/>
      <c r="AS845" s="196"/>
      <c r="AT845" s="196"/>
      <c r="AU845" s="196"/>
      <c r="AV845" s="196"/>
      <c r="AW845" s="196"/>
      <c r="AX845" s="196"/>
    </row>
  </sheetData>
  <sortState ref="A2:AX845">
    <sortCondition ref="A2"/>
  </sortState>
  <pageMargins left="0.7" right="0.7" top="0.75" bottom="0.75" header="0.3" footer="0.3"/>
  <pageSetup paperSize="9" orientation="portrait" r:id="rId1"/>
  <legacyDrawing r:id="rId2"/>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66340AC-601D-4E00-8143-E20BE1A22EA1}">
  <dimension ref="A1:AE845"/>
  <sheetViews>
    <sheetView topLeftCell="A6" zoomScaleNormal="100" workbookViewId="0">
      <selection activeCell="H20" sqref="H20"/>
    </sheetView>
  </sheetViews>
  <sheetFormatPr baseColWidth="10" defaultColWidth="11.5546875" defaultRowHeight="13.95" customHeight="1"/>
  <cols>
    <col min="1" max="1" width="11.109375" style="110" customWidth="1"/>
    <col min="2" max="2" width="13.88671875" style="110" customWidth="1"/>
    <col min="3" max="3" width="23.88671875" style="110" customWidth="1"/>
    <col min="4" max="4" width="26.6640625" style="110" customWidth="1"/>
    <col min="5" max="16384" width="11.5546875" style="110"/>
  </cols>
  <sheetData>
    <row r="1" spans="1:31" ht="13.95" customHeight="1">
      <c r="A1" s="111" t="s">
        <v>1144</v>
      </c>
      <c r="B1" s="111" t="s">
        <v>2145</v>
      </c>
      <c r="C1" s="111" t="s">
        <v>2144</v>
      </c>
      <c r="D1" s="111" t="s">
        <v>2143</v>
      </c>
      <c r="E1" s="111" t="s">
        <v>1141</v>
      </c>
      <c r="F1" s="111" t="s">
        <v>2161</v>
      </c>
      <c r="H1" s="111"/>
      <c r="I1" s="111"/>
      <c r="N1" s="111"/>
      <c r="T1" s="381"/>
      <c r="U1" s="382"/>
      <c r="V1" s="382"/>
      <c r="W1" s="382"/>
      <c r="X1" s="382"/>
      <c r="Y1" s="382"/>
      <c r="Z1" s="382"/>
      <c r="AA1" s="382"/>
      <c r="AB1" s="110" t="s">
        <v>2148</v>
      </c>
      <c r="AC1" s="110" t="s">
        <v>2147</v>
      </c>
      <c r="AE1" s="110" t="s">
        <v>2146</v>
      </c>
    </row>
    <row r="2" spans="1:31" ht="13.95" customHeight="1">
      <c r="A2" s="110" t="s">
        <v>1849</v>
      </c>
      <c r="B2" s="110" t="s">
        <v>2073</v>
      </c>
      <c r="C2" s="110">
        <v>0.67359999999999998</v>
      </c>
      <c r="E2" s="112">
        <v>43122</v>
      </c>
    </row>
    <row r="3" spans="1:31" ht="13.95" customHeight="1">
      <c r="A3" s="110" t="s">
        <v>1848</v>
      </c>
      <c r="B3" s="110">
        <v>163</v>
      </c>
      <c r="C3" s="110">
        <v>0.64500000000000002</v>
      </c>
      <c r="E3" s="112">
        <v>42881</v>
      </c>
    </row>
    <row r="4" spans="1:31" ht="13.95" customHeight="1">
      <c r="A4" s="110" t="s">
        <v>1836</v>
      </c>
      <c r="B4" s="110">
        <v>39</v>
      </c>
      <c r="C4" s="110">
        <v>0.8327</v>
      </c>
      <c r="E4" s="112">
        <v>43123</v>
      </c>
      <c r="G4"/>
      <c r="H4"/>
      <c r="I4"/>
      <c r="J4"/>
    </row>
    <row r="5" spans="1:31" ht="13.95" customHeight="1">
      <c r="A5" s="110" t="s">
        <v>1834</v>
      </c>
      <c r="B5" s="110">
        <v>173</v>
      </c>
      <c r="C5" s="110">
        <v>0.57999999999999996</v>
      </c>
      <c r="E5" s="112">
        <v>42879</v>
      </c>
      <c r="G5"/>
      <c r="H5"/>
      <c r="I5"/>
      <c r="J5"/>
    </row>
    <row r="6" spans="1:31" ht="13.95" customHeight="1">
      <c r="A6" s="110" t="s">
        <v>1833</v>
      </c>
      <c r="B6" s="110">
        <v>79</v>
      </c>
      <c r="C6" s="110">
        <v>0.85370000000000001</v>
      </c>
      <c r="E6" s="112">
        <v>43125</v>
      </c>
      <c r="G6"/>
      <c r="H6"/>
      <c r="I6"/>
      <c r="J6"/>
    </row>
    <row r="7" spans="1:31" ht="13.95" customHeight="1">
      <c r="A7" s="110" t="s">
        <v>1828</v>
      </c>
      <c r="B7" s="110">
        <v>15</v>
      </c>
      <c r="C7" s="110">
        <v>0.67100000000000004</v>
      </c>
      <c r="E7" s="112">
        <v>42879</v>
      </c>
      <c r="G7"/>
      <c r="H7"/>
      <c r="I7"/>
      <c r="J7"/>
    </row>
    <row r="8" spans="1:31" ht="13.95" customHeight="1">
      <c r="A8" s="110" t="s">
        <v>1810</v>
      </c>
      <c r="B8" s="110" t="s">
        <v>2073</v>
      </c>
      <c r="C8" s="110">
        <v>0.88690000000000002</v>
      </c>
      <c r="E8" s="112">
        <v>43122</v>
      </c>
      <c r="G8"/>
      <c r="H8"/>
      <c r="I8"/>
      <c r="J8"/>
    </row>
    <row r="9" spans="1:31" ht="13.95" customHeight="1">
      <c r="A9" s="110" t="s">
        <v>1809</v>
      </c>
      <c r="B9" s="110" t="s">
        <v>2073</v>
      </c>
      <c r="C9" s="110">
        <v>0.52059999999999995</v>
      </c>
      <c r="E9" s="112">
        <v>43122</v>
      </c>
      <c r="G9"/>
      <c r="H9"/>
      <c r="I9"/>
      <c r="J9"/>
    </row>
    <row r="10" spans="1:31" ht="13.95" customHeight="1">
      <c r="A10" s="110" t="s">
        <v>1801</v>
      </c>
      <c r="B10" s="110">
        <v>79</v>
      </c>
      <c r="C10" s="110">
        <v>0.97550000000000003</v>
      </c>
      <c r="D10" s="110" t="s">
        <v>2075</v>
      </c>
      <c r="E10" s="112">
        <v>43125</v>
      </c>
    </row>
    <row r="11" spans="1:31" ht="13.95" customHeight="1">
      <c r="A11" s="110" t="s">
        <v>1799</v>
      </c>
      <c r="B11" s="110" t="s">
        <v>2073</v>
      </c>
      <c r="C11" s="110">
        <v>0.75700000000000001</v>
      </c>
      <c r="E11" s="112">
        <v>43119</v>
      </c>
    </row>
    <row r="12" spans="1:31" ht="13.95" customHeight="1">
      <c r="A12" s="178" t="s">
        <v>1781</v>
      </c>
      <c r="B12" s="110">
        <v>68</v>
      </c>
      <c r="C12" s="110">
        <v>1.018</v>
      </c>
      <c r="E12" s="112">
        <v>42879</v>
      </c>
    </row>
    <row r="13" spans="1:31" ht="13.95" customHeight="1">
      <c r="A13" s="110" t="s">
        <v>1769</v>
      </c>
      <c r="B13" s="110">
        <v>172</v>
      </c>
      <c r="C13" s="110">
        <v>0.69520000000000004</v>
      </c>
      <c r="E13" s="112">
        <v>43123</v>
      </c>
    </row>
    <row r="14" spans="1:31" ht="13.95" customHeight="1">
      <c r="A14" s="110" t="s">
        <v>1768</v>
      </c>
      <c r="B14" s="110">
        <v>66</v>
      </c>
      <c r="C14" s="110">
        <v>1.1456</v>
      </c>
      <c r="E14" s="112">
        <v>43119</v>
      </c>
    </row>
    <row r="15" spans="1:31" ht="13.95" customHeight="1">
      <c r="A15" s="110" t="s">
        <v>1767</v>
      </c>
      <c r="B15" s="110">
        <v>44</v>
      </c>
      <c r="C15" s="110">
        <v>0.80830000000000002</v>
      </c>
      <c r="D15" s="110" t="s">
        <v>2075</v>
      </c>
      <c r="E15" s="112">
        <v>43125</v>
      </c>
    </row>
    <row r="16" spans="1:31" ht="13.95" customHeight="1">
      <c r="A16" s="110" t="s">
        <v>1764</v>
      </c>
      <c r="B16" s="110" t="s">
        <v>2073</v>
      </c>
      <c r="C16" s="110">
        <v>0.80200000000000005</v>
      </c>
      <c r="E16" s="112">
        <v>43119</v>
      </c>
    </row>
    <row r="17" spans="1:8" ht="13.95" customHeight="1">
      <c r="A17" s="110" t="s">
        <v>1763</v>
      </c>
      <c r="B17" s="110" t="s">
        <v>2073</v>
      </c>
      <c r="C17" s="110">
        <v>0.72240000000000004</v>
      </c>
      <c r="E17" s="112">
        <v>43119</v>
      </c>
    </row>
    <row r="18" spans="1:8" ht="13.95" customHeight="1">
      <c r="A18" s="110" t="s">
        <v>1759</v>
      </c>
      <c r="B18" s="110">
        <v>84</v>
      </c>
      <c r="C18" s="110">
        <v>0.90300000000000002</v>
      </c>
      <c r="E18" s="112">
        <v>42881</v>
      </c>
    </row>
    <row r="19" spans="1:8" ht="13.95" customHeight="1">
      <c r="A19" s="110" t="s">
        <v>1753</v>
      </c>
      <c r="B19" s="110">
        <v>192</v>
      </c>
      <c r="C19" s="110">
        <v>0.60899999999999999</v>
      </c>
      <c r="E19" s="112">
        <v>42881</v>
      </c>
    </row>
    <row r="20" spans="1:8" ht="13.95" customHeight="1">
      <c r="A20" s="178" t="s">
        <v>1752</v>
      </c>
      <c r="B20" s="110">
        <v>83</v>
      </c>
      <c r="C20" s="110">
        <v>0.88800000000000001</v>
      </c>
      <c r="E20" s="112">
        <v>42881</v>
      </c>
    </row>
    <row r="21" spans="1:8" ht="13.95" customHeight="1">
      <c r="A21" s="110" t="s">
        <v>1751</v>
      </c>
      <c r="B21" s="110">
        <v>46</v>
      </c>
      <c r="C21" s="110">
        <v>0.88100000000000001</v>
      </c>
      <c r="E21" s="112">
        <v>42881</v>
      </c>
    </row>
    <row r="22" spans="1:8" ht="13.95" customHeight="1">
      <c r="A22" s="389" t="s">
        <v>1742</v>
      </c>
      <c r="B22" s="110">
        <v>85</v>
      </c>
      <c r="C22" s="110">
        <v>1.256</v>
      </c>
      <c r="E22" s="112">
        <v>42878</v>
      </c>
    </row>
    <row r="23" spans="1:8" ht="13.95" customHeight="1">
      <c r="A23" s="110" t="s">
        <v>1716</v>
      </c>
      <c r="B23" s="110" t="s">
        <v>2079</v>
      </c>
      <c r="C23" s="110">
        <v>0.80800000000000005</v>
      </c>
      <c r="D23" s="110" t="s">
        <v>2098</v>
      </c>
      <c r="E23" s="112">
        <v>43125</v>
      </c>
    </row>
    <row r="24" spans="1:8" ht="13.95" customHeight="1">
      <c r="A24" s="110" t="s">
        <v>1713</v>
      </c>
      <c r="B24" s="110" t="s">
        <v>2079</v>
      </c>
      <c r="C24" s="110">
        <v>0.63060000000000005</v>
      </c>
      <c r="D24" s="166" t="s">
        <v>2460</v>
      </c>
      <c r="E24" s="112">
        <v>43125</v>
      </c>
    </row>
    <row r="25" spans="1:8" ht="13.95" customHeight="1">
      <c r="A25" s="110" t="s">
        <v>1705</v>
      </c>
      <c r="B25" s="110" t="s">
        <v>2073</v>
      </c>
      <c r="C25" s="110">
        <v>0.64829999999999999</v>
      </c>
      <c r="E25" s="112">
        <v>43119</v>
      </c>
    </row>
    <row r="26" spans="1:8" ht="13.95" customHeight="1">
      <c r="A26" s="110" t="s">
        <v>1704</v>
      </c>
      <c r="B26" s="110" t="s">
        <v>2073</v>
      </c>
      <c r="C26" s="110">
        <v>1.0001</v>
      </c>
      <c r="E26" s="112">
        <v>43116</v>
      </c>
      <c r="H26" s="111"/>
    </row>
    <row r="27" spans="1:8" ht="13.95" customHeight="1">
      <c r="A27" s="110" t="s">
        <v>1699</v>
      </c>
      <c r="B27" s="110">
        <v>161</v>
      </c>
      <c r="C27" s="110">
        <v>0.58709999999999996</v>
      </c>
      <c r="E27" s="112">
        <v>43125</v>
      </c>
    </row>
    <row r="28" spans="1:8" ht="13.95" customHeight="1">
      <c r="A28" s="110" t="s">
        <v>1698</v>
      </c>
      <c r="B28" s="110">
        <v>161</v>
      </c>
      <c r="C28" s="110">
        <v>0.57509999999999994</v>
      </c>
      <c r="E28" s="112">
        <v>43125</v>
      </c>
    </row>
    <row r="29" spans="1:8" ht="13.95" customHeight="1">
      <c r="A29" s="110" t="s">
        <v>1695</v>
      </c>
      <c r="B29" s="110">
        <v>90</v>
      </c>
      <c r="C29" s="110">
        <v>0.78380000000000005</v>
      </c>
      <c r="E29" s="112">
        <v>43125</v>
      </c>
    </row>
    <row r="30" spans="1:8" ht="13.95" customHeight="1">
      <c r="A30" s="178" t="s">
        <v>1692</v>
      </c>
      <c r="B30">
        <v>70</v>
      </c>
      <c r="C30" s="110">
        <v>0.84299999999999997</v>
      </c>
      <c r="E30" s="112">
        <v>42878</v>
      </c>
    </row>
    <row r="31" spans="1:8" ht="13.95" customHeight="1">
      <c r="A31" s="110" t="s">
        <v>1691</v>
      </c>
      <c r="B31" s="110">
        <v>37</v>
      </c>
      <c r="C31" s="110">
        <v>0.94699999999999995</v>
      </c>
      <c r="E31" s="112">
        <v>42881</v>
      </c>
    </row>
    <row r="32" spans="1:8" ht="13.95" customHeight="1">
      <c r="A32" s="110" t="s">
        <v>1690</v>
      </c>
      <c r="B32" s="110">
        <v>180</v>
      </c>
      <c r="C32" s="110">
        <v>0.62219999999999998</v>
      </c>
      <c r="E32" s="112">
        <v>43116</v>
      </c>
    </row>
    <row r="33" spans="1:5" ht="13.95" customHeight="1">
      <c r="A33" s="389" t="s">
        <v>1688</v>
      </c>
      <c r="B33" s="110">
        <v>177</v>
      </c>
      <c r="C33" s="110">
        <v>0.61299999999999999</v>
      </c>
      <c r="E33" s="112">
        <v>42881</v>
      </c>
    </row>
    <row r="34" spans="1:5" ht="13.95" customHeight="1">
      <c r="A34" s="110" t="s">
        <v>1685</v>
      </c>
      <c r="B34" s="110" t="s">
        <v>2073</v>
      </c>
      <c r="C34" s="110">
        <v>0.6714</v>
      </c>
      <c r="E34" s="112">
        <v>43116</v>
      </c>
    </row>
    <row r="35" spans="1:5" ht="13.95" customHeight="1">
      <c r="A35" s="110" t="s">
        <v>1684</v>
      </c>
      <c r="B35" s="110">
        <v>33</v>
      </c>
      <c r="C35" s="110">
        <v>0.76700000000000002</v>
      </c>
      <c r="E35" s="112">
        <v>42881</v>
      </c>
    </row>
    <row r="36" spans="1:5" ht="13.95" customHeight="1">
      <c r="A36" s="110" t="s">
        <v>1683</v>
      </c>
      <c r="B36" s="110">
        <v>189</v>
      </c>
      <c r="C36" s="110">
        <v>0.80840000000000001</v>
      </c>
      <c r="E36" s="112">
        <v>43125</v>
      </c>
    </row>
    <row r="37" spans="1:5" ht="13.95" customHeight="1">
      <c r="A37" s="110" t="s">
        <v>1682</v>
      </c>
      <c r="B37" s="110">
        <v>165</v>
      </c>
      <c r="C37" s="110">
        <v>0.72699999999999998</v>
      </c>
      <c r="E37" s="112">
        <v>42878</v>
      </c>
    </row>
    <row r="38" spans="1:5" ht="13.95" customHeight="1">
      <c r="A38" s="110" t="s">
        <v>1677</v>
      </c>
      <c r="B38" s="110" t="s">
        <v>2073</v>
      </c>
      <c r="C38" s="110">
        <v>0.93330000000000002</v>
      </c>
      <c r="E38" s="112">
        <v>43122</v>
      </c>
    </row>
    <row r="39" spans="1:5" ht="13.95" customHeight="1">
      <c r="A39" s="110" t="s">
        <v>1675</v>
      </c>
      <c r="B39" s="110" t="s">
        <v>2073</v>
      </c>
      <c r="C39" s="110">
        <v>0.55700000000000005</v>
      </c>
      <c r="E39" s="112">
        <v>43122</v>
      </c>
    </row>
    <row r="40" spans="1:5" ht="13.95" customHeight="1">
      <c r="A40" s="110" t="s">
        <v>1667</v>
      </c>
      <c r="B40" s="110">
        <v>72</v>
      </c>
      <c r="C40" s="110">
        <v>0.82550000000000001</v>
      </c>
      <c r="D40" s="110" t="s">
        <v>2111</v>
      </c>
      <c r="E40" s="112">
        <v>43119</v>
      </c>
    </row>
    <row r="41" spans="1:5" ht="13.95" customHeight="1">
      <c r="A41" s="110" t="s">
        <v>1665</v>
      </c>
      <c r="B41" s="110" t="s">
        <v>2073</v>
      </c>
      <c r="C41" s="110">
        <v>0.62280000000000002</v>
      </c>
      <c r="E41" s="112">
        <v>43122</v>
      </c>
    </row>
    <row r="42" spans="1:5" ht="13.95" customHeight="1">
      <c r="A42" s="110" t="s">
        <v>1664</v>
      </c>
      <c r="B42" s="110">
        <v>69</v>
      </c>
      <c r="C42" s="110">
        <v>0.98899999999999999</v>
      </c>
      <c r="E42" s="112">
        <v>42881</v>
      </c>
    </row>
    <row r="43" spans="1:5" ht="13.95" customHeight="1">
      <c r="A43" s="110" t="s">
        <v>1663</v>
      </c>
      <c r="B43" s="110">
        <v>63</v>
      </c>
      <c r="C43" s="110">
        <v>1.083</v>
      </c>
      <c r="E43" s="112">
        <v>42879</v>
      </c>
    </row>
    <row r="44" spans="1:5" ht="13.95" customHeight="1">
      <c r="A44" s="110" t="s">
        <v>1662</v>
      </c>
      <c r="B44" s="110" t="s">
        <v>2073</v>
      </c>
      <c r="C44" s="110">
        <v>0.7046</v>
      </c>
      <c r="E44" s="112">
        <v>43122</v>
      </c>
    </row>
    <row r="45" spans="1:5" ht="13.95" customHeight="1">
      <c r="A45" s="110" t="s">
        <v>1661</v>
      </c>
      <c r="B45" s="110" t="s">
        <v>2073</v>
      </c>
      <c r="C45" s="110">
        <v>0.61950000000000005</v>
      </c>
      <c r="E45" s="112">
        <v>43123</v>
      </c>
    </row>
    <row r="46" spans="1:5" ht="13.95" customHeight="1">
      <c r="A46" s="110" t="s">
        <v>1660</v>
      </c>
      <c r="B46" s="110">
        <v>64</v>
      </c>
      <c r="C46" s="110">
        <v>0.63800000000000001</v>
      </c>
      <c r="E46" s="112">
        <v>42879</v>
      </c>
    </row>
    <row r="47" spans="1:5" ht="13.95" customHeight="1">
      <c r="A47" s="110" t="s">
        <v>1659</v>
      </c>
      <c r="B47" s="110">
        <v>61</v>
      </c>
      <c r="C47" s="110">
        <v>0.628</v>
      </c>
      <c r="E47" s="112">
        <v>42878</v>
      </c>
    </row>
    <row r="48" spans="1:5" ht="13.95" customHeight="1">
      <c r="A48" s="110" t="s">
        <v>1657</v>
      </c>
      <c r="B48" s="110" t="s">
        <v>2073</v>
      </c>
      <c r="C48" s="110">
        <v>0.62090000000000001</v>
      </c>
      <c r="E48" s="112">
        <v>43119</v>
      </c>
    </row>
    <row r="49" spans="1:5" ht="13.95" customHeight="1">
      <c r="A49" s="110" t="s">
        <v>1647</v>
      </c>
      <c r="B49" s="110" t="s">
        <v>2073</v>
      </c>
      <c r="C49" s="110">
        <v>0.69440000000000002</v>
      </c>
      <c r="E49" s="112">
        <v>43116</v>
      </c>
    </row>
    <row r="50" spans="1:5" ht="13.95" customHeight="1">
      <c r="A50" s="110" t="s">
        <v>1646</v>
      </c>
      <c r="B50" s="110" t="s">
        <v>2073</v>
      </c>
      <c r="C50" s="110">
        <v>0.75349999999999995</v>
      </c>
      <c r="E50" s="112">
        <v>43119</v>
      </c>
    </row>
    <row r="51" spans="1:5" ht="13.95" customHeight="1">
      <c r="A51" s="110" t="s">
        <v>1645</v>
      </c>
      <c r="B51" s="110" t="s">
        <v>2079</v>
      </c>
      <c r="C51" s="110">
        <v>0.70150000000000001</v>
      </c>
      <c r="D51" s="110" t="s">
        <v>2067</v>
      </c>
      <c r="E51" s="112">
        <v>43125</v>
      </c>
    </row>
    <row r="52" spans="1:5" ht="13.95" customHeight="1">
      <c r="A52" s="110" t="s">
        <v>1644</v>
      </c>
      <c r="B52" s="110">
        <v>25</v>
      </c>
      <c r="C52" s="110">
        <v>0.68400000000000005</v>
      </c>
      <c r="E52" s="112">
        <v>43122</v>
      </c>
    </row>
    <row r="53" spans="1:5" ht="13.95" customHeight="1">
      <c r="A53" s="110" t="s">
        <v>1642</v>
      </c>
      <c r="B53" s="110" t="s">
        <v>2079</v>
      </c>
      <c r="C53" s="110">
        <v>0.85780000000000001</v>
      </c>
      <c r="D53" s="110" t="s">
        <v>2095</v>
      </c>
      <c r="E53" s="112">
        <v>43125</v>
      </c>
    </row>
    <row r="54" spans="1:5" ht="13.95" customHeight="1">
      <c r="A54" s="178" t="s">
        <v>1636</v>
      </c>
      <c r="B54">
        <v>70</v>
      </c>
      <c r="C54" s="110">
        <v>0.84099999999999997</v>
      </c>
      <c r="E54" s="112">
        <v>42878</v>
      </c>
    </row>
    <row r="55" spans="1:5" ht="13.95" customHeight="1">
      <c r="A55" s="110" t="s">
        <v>1634</v>
      </c>
      <c r="B55" s="110">
        <v>76</v>
      </c>
      <c r="C55" s="110">
        <v>0.94399999999999995</v>
      </c>
      <c r="D55" s="110" t="s">
        <v>2056</v>
      </c>
      <c r="E55" s="112">
        <v>42881</v>
      </c>
    </row>
    <row r="56" spans="1:5" ht="13.95" customHeight="1">
      <c r="A56" s="110" t="s">
        <v>1633</v>
      </c>
      <c r="B56" s="110" t="s">
        <v>2073</v>
      </c>
      <c r="C56" s="110">
        <v>0.62309999999999999</v>
      </c>
      <c r="E56" s="112">
        <v>43119</v>
      </c>
    </row>
    <row r="57" spans="1:5" ht="13.95" customHeight="1">
      <c r="A57" s="110" t="s">
        <v>1631</v>
      </c>
      <c r="B57" s="110">
        <v>18</v>
      </c>
      <c r="C57" s="110">
        <v>0.79100000000000004</v>
      </c>
      <c r="E57" s="112">
        <v>42879</v>
      </c>
    </row>
    <row r="58" spans="1:5" ht="13.95" customHeight="1">
      <c r="A58" s="110" t="s">
        <v>1630</v>
      </c>
      <c r="B58" s="110" t="s">
        <v>2079</v>
      </c>
      <c r="C58" s="110">
        <v>0.29980000000000001</v>
      </c>
      <c r="D58" s="166" t="s">
        <v>2461</v>
      </c>
      <c r="E58" s="112">
        <v>43125</v>
      </c>
    </row>
    <row r="59" spans="1:5" ht="13.95" customHeight="1">
      <c r="A59" s="110" t="s">
        <v>1629</v>
      </c>
      <c r="B59" s="110">
        <v>24</v>
      </c>
      <c r="C59" s="110">
        <v>0.67</v>
      </c>
      <c r="E59" s="112">
        <v>43119</v>
      </c>
    </row>
    <row r="60" spans="1:5" ht="13.95" customHeight="1">
      <c r="A60" s="110" t="s">
        <v>1627</v>
      </c>
      <c r="B60" s="110" t="s">
        <v>2073</v>
      </c>
      <c r="C60" s="110">
        <v>0.62319999999999998</v>
      </c>
      <c r="E60" s="112">
        <v>43116</v>
      </c>
    </row>
    <row r="61" spans="1:5" ht="13.95" customHeight="1">
      <c r="A61" s="110" t="s">
        <v>1626</v>
      </c>
      <c r="B61" s="110" t="s">
        <v>2073</v>
      </c>
      <c r="C61" s="110">
        <v>0.66039999999999999</v>
      </c>
      <c r="E61" s="112">
        <v>43119</v>
      </c>
    </row>
    <row r="62" spans="1:5" ht="13.95" customHeight="1">
      <c r="A62" s="110" t="s">
        <v>1625</v>
      </c>
      <c r="B62" s="110">
        <v>169</v>
      </c>
      <c r="C62" s="110">
        <v>0.65800000000000003</v>
      </c>
      <c r="E62" s="112">
        <v>42879</v>
      </c>
    </row>
    <row r="63" spans="1:5" ht="13.95" customHeight="1">
      <c r="A63" s="110" t="s">
        <v>1621</v>
      </c>
      <c r="B63" s="110">
        <v>167</v>
      </c>
      <c r="C63" s="110">
        <v>0.64529999999999998</v>
      </c>
      <c r="D63" s="110" t="s">
        <v>2111</v>
      </c>
      <c r="E63" s="112">
        <v>43122</v>
      </c>
    </row>
    <row r="64" spans="1:5" ht="13.95" customHeight="1">
      <c r="A64" t="s">
        <v>1617</v>
      </c>
      <c r="B64" s="110">
        <v>170</v>
      </c>
      <c r="C64" s="110">
        <v>0.64800000000000002</v>
      </c>
      <c r="E64" s="112">
        <v>42878</v>
      </c>
    </row>
    <row r="65" spans="1:12" ht="13.95" customHeight="1">
      <c r="A65" s="110" t="s">
        <v>1614</v>
      </c>
      <c r="B65" s="110">
        <v>1</v>
      </c>
      <c r="C65" s="110">
        <v>0.43290000000000001</v>
      </c>
      <c r="D65" s="110" t="s">
        <v>2097</v>
      </c>
      <c r="E65" s="112">
        <v>43125</v>
      </c>
    </row>
    <row r="66" spans="1:12" ht="13.95" customHeight="1">
      <c r="A66" s="110" t="s">
        <v>1613</v>
      </c>
      <c r="B66" s="110">
        <v>42</v>
      </c>
      <c r="C66" s="110">
        <v>0.64</v>
      </c>
      <c r="E66" s="112">
        <v>42881</v>
      </c>
    </row>
    <row r="67" spans="1:12" ht="13.95" customHeight="1">
      <c r="A67" s="110" t="s">
        <v>1611</v>
      </c>
      <c r="B67" s="110">
        <v>172</v>
      </c>
      <c r="C67" s="110">
        <v>0.59599999999999997</v>
      </c>
      <c r="E67" s="112">
        <v>43123</v>
      </c>
    </row>
    <row r="68" spans="1:12" ht="13.95" customHeight="1">
      <c r="A68" s="110" t="s">
        <v>1610</v>
      </c>
      <c r="B68" s="110">
        <v>63</v>
      </c>
      <c r="C68" s="110">
        <v>0.94199999999999995</v>
      </c>
      <c r="E68" s="112">
        <v>42879</v>
      </c>
    </row>
    <row r="69" spans="1:12" ht="13.95" customHeight="1">
      <c r="A69" s="110" t="s">
        <v>1609</v>
      </c>
      <c r="B69" s="110">
        <v>85</v>
      </c>
      <c r="C69" s="110">
        <v>0.96599999999999997</v>
      </c>
      <c r="E69" s="112">
        <v>42878</v>
      </c>
    </row>
    <row r="70" spans="1:12" ht="13.95" customHeight="1">
      <c r="A70" s="110" t="s">
        <v>1608</v>
      </c>
      <c r="B70" s="110" t="s">
        <v>2073</v>
      </c>
      <c r="C70" s="110">
        <v>0.66290000000000004</v>
      </c>
      <c r="E70" s="112">
        <v>43116</v>
      </c>
    </row>
    <row r="71" spans="1:12" ht="13.95" customHeight="1">
      <c r="A71" s="110" t="s">
        <v>1607</v>
      </c>
      <c r="B71" s="110" t="s">
        <v>2073</v>
      </c>
      <c r="C71" s="110">
        <v>0.69789999999999996</v>
      </c>
      <c r="E71" s="112">
        <v>43116</v>
      </c>
    </row>
    <row r="72" spans="1:12" ht="13.95" customHeight="1">
      <c r="A72" s="110" t="s">
        <v>1605</v>
      </c>
      <c r="B72" s="110">
        <v>62</v>
      </c>
      <c r="C72" s="110">
        <v>0.80569999999999997</v>
      </c>
      <c r="E72" s="112">
        <v>43125</v>
      </c>
    </row>
    <row r="73" spans="1:12" ht="13.95" customHeight="1">
      <c r="A73" s="110" t="s">
        <v>1604</v>
      </c>
      <c r="B73" s="110">
        <v>78</v>
      </c>
      <c r="C73" s="110">
        <v>0.77859999999999996</v>
      </c>
      <c r="E73" s="112">
        <v>43122</v>
      </c>
    </row>
    <row r="74" spans="1:12" ht="13.95" customHeight="1">
      <c r="A74" s="110" t="s">
        <v>1603</v>
      </c>
      <c r="B74" s="110" t="s">
        <v>2073</v>
      </c>
      <c r="C74" s="110">
        <v>0.67749999999999999</v>
      </c>
      <c r="E74" s="112">
        <v>43116</v>
      </c>
    </row>
    <row r="75" spans="1:12" ht="13.95" customHeight="1">
      <c r="A75" s="110" t="s">
        <v>1601</v>
      </c>
      <c r="B75" s="110">
        <v>27</v>
      </c>
      <c r="C75" s="110">
        <v>0.73760000000000003</v>
      </c>
      <c r="E75" s="112">
        <v>43122</v>
      </c>
    </row>
    <row r="76" spans="1:12" ht="13.95" customHeight="1">
      <c r="A76" s="110" t="s">
        <v>1600</v>
      </c>
      <c r="B76" s="110">
        <v>67</v>
      </c>
      <c r="C76" s="110">
        <v>0.89059999999999995</v>
      </c>
      <c r="E76" s="112">
        <v>43125</v>
      </c>
    </row>
    <row r="77" spans="1:12" ht="13.95" customHeight="1">
      <c r="A77" s="110" t="s">
        <v>1599</v>
      </c>
      <c r="B77" s="110" t="s">
        <v>2073</v>
      </c>
      <c r="C77" s="110">
        <v>0.60329999999999995</v>
      </c>
      <c r="E77" s="112">
        <v>43122</v>
      </c>
      <c r="J77" s="111"/>
      <c r="K77" s="111" t="s">
        <v>2463</v>
      </c>
      <c r="L77" s="110" t="s">
        <v>2463</v>
      </c>
    </row>
    <row r="78" spans="1:12" ht="13.95" customHeight="1">
      <c r="A78" s="110" t="s">
        <v>1598</v>
      </c>
      <c r="B78" s="110">
        <v>7</v>
      </c>
      <c r="C78" s="110">
        <v>0.67900000000000005</v>
      </c>
      <c r="E78" s="112">
        <v>42879</v>
      </c>
    </row>
    <row r="79" spans="1:12" ht="13.95" customHeight="1">
      <c r="A79" s="110" t="s">
        <v>1597</v>
      </c>
      <c r="B79" s="110">
        <v>41</v>
      </c>
      <c r="C79" s="110">
        <v>1.0509999999999999</v>
      </c>
      <c r="E79" s="112">
        <v>42879</v>
      </c>
    </row>
    <row r="80" spans="1:12" ht="13.95" customHeight="1">
      <c r="A80" s="110" t="s">
        <v>1596</v>
      </c>
      <c r="B80" s="110">
        <v>176</v>
      </c>
      <c r="C80" s="110">
        <v>0.63900000000000001</v>
      </c>
      <c r="E80" s="112">
        <v>42879</v>
      </c>
    </row>
    <row r="81" spans="1:5" ht="13.95" customHeight="1">
      <c r="A81" s="110" t="s">
        <v>1594</v>
      </c>
      <c r="B81" s="110">
        <v>23</v>
      </c>
      <c r="C81" s="110">
        <v>0.72629999999999995</v>
      </c>
      <c r="E81" s="112">
        <v>43123</v>
      </c>
    </row>
    <row r="82" spans="1:5" ht="13.95" customHeight="1">
      <c r="A82" s="110" t="s">
        <v>1593</v>
      </c>
      <c r="B82" s="110">
        <v>175</v>
      </c>
      <c r="C82" s="110">
        <v>0.68200000000000005</v>
      </c>
      <c r="E82" s="112">
        <v>42879</v>
      </c>
    </row>
    <row r="83" spans="1:5" ht="13.95" customHeight="1">
      <c r="A83" s="110" t="s">
        <v>1592</v>
      </c>
      <c r="B83" s="110" t="s">
        <v>2079</v>
      </c>
      <c r="C83" s="110">
        <v>0.57499999999999996</v>
      </c>
      <c r="E83" s="112">
        <v>43125</v>
      </c>
    </row>
    <row r="84" spans="1:5" ht="13.95" customHeight="1">
      <c r="A84" s="110" t="s">
        <v>1591</v>
      </c>
      <c r="B84" s="110" t="s">
        <v>2073</v>
      </c>
      <c r="C84" s="110">
        <v>0.89149999999999996</v>
      </c>
      <c r="E84" s="112">
        <v>43116</v>
      </c>
    </row>
    <row r="85" spans="1:5" ht="13.95" customHeight="1">
      <c r="A85" s="110" t="s">
        <v>1590</v>
      </c>
      <c r="B85" s="110">
        <v>78</v>
      </c>
      <c r="C85" s="110">
        <v>0.90669999999999995</v>
      </c>
      <c r="E85" s="112">
        <v>43116</v>
      </c>
    </row>
    <row r="86" spans="1:5" ht="13.95" customHeight="1">
      <c r="A86" s="110" t="s">
        <v>1589</v>
      </c>
      <c r="B86" s="110">
        <v>168</v>
      </c>
      <c r="C86" s="110">
        <v>0.79400000000000004</v>
      </c>
      <c r="E86" s="112">
        <v>42881</v>
      </c>
    </row>
    <row r="87" spans="1:5" ht="13.95" customHeight="1">
      <c r="A87" s="110" t="s">
        <v>1588</v>
      </c>
      <c r="B87" s="110">
        <v>198</v>
      </c>
      <c r="C87" s="110">
        <v>0.71250000000000002</v>
      </c>
      <c r="E87" s="112">
        <v>43125</v>
      </c>
    </row>
    <row r="88" spans="1:5" ht="13.95" customHeight="1">
      <c r="A88" s="181" t="s">
        <v>1581</v>
      </c>
      <c r="B88" s="110">
        <v>89</v>
      </c>
      <c r="C88" s="110">
        <v>1.5169999999999999</v>
      </c>
      <c r="E88" s="112">
        <v>42879</v>
      </c>
    </row>
    <row r="89" spans="1:5" ht="13.95" customHeight="1">
      <c r="A89" s="110" t="s">
        <v>1580</v>
      </c>
      <c r="B89" s="110">
        <v>176</v>
      </c>
      <c r="C89" s="110">
        <v>0.60299999999999998</v>
      </c>
      <c r="E89" s="112">
        <v>42879</v>
      </c>
    </row>
    <row r="90" spans="1:5" ht="13.95" customHeight="1">
      <c r="A90" s="110" t="s">
        <v>1578</v>
      </c>
      <c r="B90" s="110">
        <v>91</v>
      </c>
      <c r="C90" s="110">
        <v>0.76100000000000001</v>
      </c>
      <c r="E90" s="112">
        <v>42878</v>
      </c>
    </row>
    <row r="91" spans="1:5" ht="13.95" customHeight="1">
      <c r="A91" t="s">
        <v>1576</v>
      </c>
      <c r="B91">
        <v>80</v>
      </c>
      <c r="C91">
        <v>1.0009999999999999</v>
      </c>
      <c r="D91" t="s">
        <v>2140</v>
      </c>
      <c r="E91" s="112">
        <v>42878</v>
      </c>
    </row>
    <row r="92" spans="1:5" ht="13.95" customHeight="1">
      <c r="A92" s="110" t="s">
        <v>1575</v>
      </c>
      <c r="B92" s="110">
        <v>81</v>
      </c>
      <c r="C92" s="110">
        <v>0.65200000000000002</v>
      </c>
      <c r="E92" s="112">
        <v>42881</v>
      </c>
    </row>
    <row r="93" spans="1:5" ht="13.95" customHeight="1">
      <c r="A93" s="110" t="s">
        <v>1574</v>
      </c>
      <c r="B93" s="110" t="s">
        <v>2073</v>
      </c>
      <c r="C93" s="110">
        <v>0.66479999999999995</v>
      </c>
      <c r="E93" s="112">
        <v>43116</v>
      </c>
    </row>
    <row r="94" spans="1:5" ht="13.95" customHeight="1">
      <c r="A94" s="178" t="s">
        <v>1573</v>
      </c>
      <c r="B94" s="110">
        <v>68</v>
      </c>
      <c r="C94" s="110">
        <v>0.90500000000000003</v>
      </c>
      <c r="E94" s="112">
        <v>42879</v>
      </c>
    </row>
    <row r="95" spans="1:5" ht="13.95" customHeight="1">
      <c r="A95" s="110" t="s">
        <v>1571</v>
      </c>
      <c r="B95" s="110" t="s">
        <v>2073</v>
      </c>
      <c r="C95" s="110">
        <v>0.90410000000000001</v>
      </c>
      <c r="D95" s="110" t="s">
        <v>2116</v>
      </c>
      <c r="E95" s="112">
        <v>43122</v>
      </c>
    </row>
    <row r="96" spans="1:5" ht="13.95" customHeight="1">
      <c r="A96" s="110" t="s">
        <v>1567</v>
      </c>
      <c r="B96" s="110">
        <v>177</v>
      </c>
      <c r="C96" s="110">
        <v>0.58399999999999996</v>
      </c>
      <c r="E96" s="112">
        <v>42881</v>
      </c>
    </row>
    <row r="97" spans="1:5" ht="13.95" customHeight="1">
      <c r="A97" s="389" t="s">
        <v>1564</v>
      </c>
      <c r="B97" s="110">
        <v>95</v>
      </c>
      <c r="C97" s="110">
        <v>0.90400000000000003</v>
      </c>
      <c r="E97" s="112">
        <v>42879</v>
      </c>
    </row>
    <row r="98" spans="1:5" ht="13.95" customHeight="1">
      <c r="A98" s="181" t="s">
        <v>1561</v>
      </c>
      <c r="B98">
        <v>59</v>
      </c>
      <c r="C98" s="110">
        <v>0.88400000000000001</v>
      </c>
      <c r="D98"/>
      <c r="E98" s="112">
        <v>42878</v>
      </c>
    </row>
    <row r="99" spans="1:5" ht="13.95" customHeight="1">
      <c r="A99" s="110" t="s">
        <v>1559</v>
      </c>
      <c r="B99" s="110">
        <v>219</v>
      </c>
      <c r="C99" s="110">
        <v>0.65569999999999995</v>
      </c>
      <c r="E99" s="112">
        <v>43125</v>
      </c>
    </row>
    <row r="100" spans="1:5" ht="13.95" customHeight="1">
      <c r="A100" s="181" t="s">
        <v>1558</v>
      </c>
      <c r="B100" s="110">
        <v>23</v>
      </c>
      <c r="C100" s="110">
        <v>0.76959999999999995</v>
      </c>
      <c r="E100" s="112">
        <v>43123</v>
      </c>
    </row>
    <row r="101" spans="1:5" ht="13.95" customHeight="1">
      <c r="A101" s="110" t="s">
        <v>1556</v>
      </c>
      <c r="B101" s="110">
        <v>83</v>
      </c>
      <c r="C101" s="110">
        <v>0.90200000000000002</v>
      </c>
      <c r="E101" s="112">
        <v>42881</v>
      </c>
    </row>
    <row r="102" spans="1:5" ht="13.95" customHeight="1">
      <c r="A102" s="110" t="s">
        <v>1554</v>
      </c>
      <c r="B102" s="110">
        <v>169</v>
      </c>
      <c r="C102" s="110">
        <v>0.57199999999999995</v>
      </c>
      <c r="E102" s="112">
        <v>42879</v>
      </c>
    </row>
    <row r="103" spans="1:5" ht="13.95" customHeight="1">
      <c r="A103" s="110" t="s">
        <v>1553</v>
      </c>
      <c r="B103" s="110" t="s">
        <v>2073</v>
      </c>
      <c r="C103" s="110">
        <v>0.46</v>
      </c>
      <c r="E103" s="112">
        <v>43122</v>
      </c>
    </row>
    <row r="104" spans="1:5" ht="13.95" customHeight="1">
      <c r="A104" s="110" t="s">
        <v>1552</v>
      </c>
      <c r="B104" s="110" t="s">
        <v>2073</v>
      </c>
      <c r="C104" s="110">
        <v>0.73209999999999997</v>
      </c>
      <c r="E104" s="112">
        <v>43119</v>
      </c>
    </row>
    <row r="105" spans="1:5" ht="13.95" customHeight="1">
      <c r="A105" s="389" t="s">
        <v>1551</v>
      </c>
      <c r="B105" s="110">
        <v>38</v>
      </c>
      <c r="C105" s="110">
        <v>1.4741</v>
      </c>
      <c r="E105" s="112">
        <v>43122</v>
      </c>
    </row>
    <row r="106" spans="1:5" ht="13.95" customHeight="1">
      <c r="A106" s="110" t="s">
        <v>1550</v>
      </c>
      <c r="B106" s="110" t="s">
        <v>2073</v>
      </c>
      <c r="C106" s="110">
        <v>0.61909999999999998</v>
      </c>
      <c r="D106" s="110" t="s">
        <v>2122</v>
      </c>
      <c r="E106" s="112">
        <v>43122</v>
      </c>
    </row>
    <row r="107" spans="1:5" ht="13.95" customHeight="1">
      <c r="A107" s="110" t="s">
        <v>1548</v>
      </c>
      <c r="B107" s="110" t="s">
        <v>2073</v>
      </c>
      <c r="C107" s="110">
        <v>0.60960000000000003</v>
      </c>
      <c r="E107" s="112">
        <v>43122</v>
      </c>
    </row>
    <row r="108" spans="1:5" ht="13.95" customHeight="1">
      <c r="A108" s="110" t="s">
        <v>1547</v>
      </c>
      <c r="B108" s="110">
        <v>14</v>
      </c>
      <c r="C108" s="110">
        <v>0.501</v>
      </c>
      <c r="E108" s="112">
        <v>42881</v>
      </c>
    </row>
    <row r="109" spans="1:5" ht="13.95" customHeight="1">
      <c r="A109" s="110" t="s">
        <v>1546</v>
      </c>
      <c r="B109" s="110">
        <v>171</v>
      </c>
      <c r="C109" s="110">
        <v>0.53500000000000003</v>
      </c>
      <c r="E109" s="112">
        <v>42878</v>
      </c>
    </row>
    <row r="110" spans="1:5" ht="13.95" customHeight="1">
      <c r="A110" s="110" t="s">
        <v>1545</v>
      </c>
      <c r="B110" s="110">
        <v>20</v>
      </c>
      <c r="C110" s="110">
        <v>0.70330000000000004</v>
      </c>
      <c r="E110" s="112">
        <v>43125</v>
      </c>
    </row>
    <row r="111" spans="1:5" ht="13.95" customHeight="1">
      <c r="A111" s="110" t="s">
        <v>1544</v>
      </c>
      <c r="B111" s="110" t="s">
        <v>2073</v>
      </c>
      <c r="C111" s="110">
        <v>0.67589999999999995</v>
      </c>
      <c r="D111" s="110" t="s">
        <v>2125</v>
      </c>
      <c r="E111" s="112">
        <v>43122</v>
      </c>
    </row>
    <row r="112" spans="1:5" ht="13.95" customHeight="1">
      <c r="A112" s="110" t="s">
        <v>1543</v>
      </c>
      <c r="B112">
        <v>36</v>
      </c>
      <c r="C112" s="110">
        <v>0.68100000000000005</v>
      </c>
      <c r="E112" s="112">
        <v>42881</v>
      </c>
    </row>
    <row r="113" spans="1:5" ht="13.95" customHeight="1">
      <c r="A113" s="110" t="s">
        <v>1542</v>
      </c>
      <c r="B113" s="110">
        <v>208</v>
      </c>
      <c r="C113" s="110">
        <v>0.84599999999999997</v>
      </c>
      <c r="E113" s="112">
        <v>42879</v>
      </c>
    </row>
    <row r="114" spans="1:5" ht="13.95" customHeight="1">
      <c r="A114" s="390" t="s">
        <v>1541</v>
      </c>
      <c r="B114" s="110">
        <v>77</v>
      </c>
      <c r="C114" s="110">
        <v>1.012</v>
      </c>
      <c r="E114" s="112">
        <v>42879</v>
      </c>
    </row>
    <row r="115" spans="1:5" ht="13.95" customHeight="1">
      <c r="A115" s="110" t="s">
        <v>1539</v>
      </c>
      <c r="B115" s="110" t="s">
        <v>2073</v>
      </c>
      <c r="C115" s="110">
        <v>0.83740000000000003</v>
      </c>
      <c r="D115" s="110" t="s">
        <v>2111</v>
      </c>
      <c r="E115" s="112">
        <v>43119</v>
      </c>
    </row>
    <row r="116" spans="1:5" ht="13.95" customHeight="1">
      <c r="A116" s="110" t="s">
        <v>1538</v>
      </c>
      <c r="B116">
        <v>47</v>
      </c>
      <c r="C116" s="110">
        <v>0.77500000000000002</v>
      </c>
      <c r="E116" s="112">
        <v>42879</v>
      </c>
    </row>
    <row r="117" spans="1:5" ht="13.95" customHeight="1">
      <c r="A117" s="110" t="s">
        <v>1537</v>
      </c>
      <c r="B117" s="110">
        <v>58</v>
      </c>
      <c r="C117" s="110">
        <v>0.93279999999999996</v>
      </c>
      <c r="D117" s="110" t="s">
        <v>2110</v>
      </c>
      <c r="E117" s="112">
        <v>43123</v>
      </c>
    </row>
    <row r="118" spans="1:5" ht="13.95" customHeight="1">
      <c r="A118" s="402" t="s">
        <v>1536</v>
      </c>
      <c r="B118" s="110" t="s">
        <v>2073</v>
      </c>
      <c r="C118" s="110">
        <v>0.59470000000000001</v>
      </c>
      <c r="D118" s="110" t="s">
        <v>2111</v>
      </c>
      <c r="E118" s="112">
        <v>43119</v>
      </c>
    </row>
    <row r="119" spans="1:5" ht="13.95" customHeight="1">
      <c r="A119" s="110" t="s">
        <v>1534</v>
      </c>
      <c r="B119" s="110">
        <v>34</v>
      </c>
      <c r="C119" s="110">
        <v>0.87270000000000003</v>
      </c>
      <c r="D119" s="110" t="s">
        <v>2082</v>
      </c>
      <c r="E119" s="112">
        <v>43125</v>
      </c>
    </row>
    <row r="120" spans="1:5" ht="13.95" customHeight="1">
      <c r="A120" s="110" t="s">
        <v>1532</v>
      </c>
      <c r="B120" s="110" t="s">
        <v>2073</v>
      </c>
      <c r="C120" s="110">
        <v>0.68200000000000005</v>
      </c>
      <c r="E120" s="112">
        <v>43122</v>
      </c>
    </row>
    <row r="121" spans="1:5" ht="13.95" customHeight="1">
      <c r="A121" s="110" t="s">
        <v>1531</v>
      </c>
      <c r="B121" s="110">
        <v>45</v>
      </c>
      <c r="C121" s="110">
        <v>0.77569999999999995</v>
      </c>
      <c r="D121" s="110" t="s">
        <v>2108</v>
      </c>
      <c r="E121" s="112">
        <v>43123</v>
      </c>
    </row>
    <row r="122" spans="1:5" ht="13.95" customHeight="1">
      <c r="A122" s="110" t="s">
        <v>1530</v>
      </c>
      <c r="B122" s="110">
        <v>84</v>
      </c>
      <c r="C122" s="110">
        <v>0.81299999999999994</v>
      </c>
      <c r="E122" s="112">
        <v>42881</v>
      </c>
    </row>
    <row r="123" spans="1:5" ht="13.95" customHeight="1">
      <c r="A123" s="110" t="s">
        <v>1529</v>
      </c>
      <c r="B123" s="110" t="s">
        <v>2073</v>
      </c>
      <c r="C123" s="110">
        <v>0.71479999999999999</v>
      </c>
      <c r="E123" s="112">
        <v>43119</v>
      </c>
    </row>
    <row r="124" spans="1:5" ht="13.95" customHeight="1">
      <c r="A124" s="110" t="s">
        <v>1528</v>
      </c>
      <c r="B124" s="110" t="s">
        <v>2073</v>
      </c>
      <c r="C124" s="110">
        <v>0.628</v>
      </c>
      <c r="E124" s="112">
        <v>43119</v>
      </c>
    </row>
    <row r="125" spans="1:5" ht="13.95" customHeight="1">
      <c r="A125" s="110" t="s">
        <v>1527</v>
      </c>
      <c r="B125" s="110" t="s">
        <v>2073</v>
      </c>
      <c r="C125" s="110">
        <v>0.63119999999999998</v>
      </c>
      <c r="E125" s="112">
        <v>43122</v>
      </c>
    </row>
    <row r="126" spans="1:5" ht="13.95" customHeight="1">
      <c r="A126" s="110" t="s">
        <v>1526</v>
      </c>
      <c r="B126" s="110">
        <v>20</v>
      </c>
      <c r="C126" s="110">
        <v>0.71609999999999996</v>
      </c>
      <c r="E126" s="112">
        <v>43125</v>
      </c>
    </row>
    <row r="127" spans="1:5" ht="13.95" customHeight="1">
      <c r="A127" s="110" t="s">
        <v>1525</v>
      </c>
      <c r="B127" s="110">
        <v>195</v>
      </c>
      <c r="C127" s="110">
        <v>0.67859999999999998</v>
      </c>
      <c r="E127" s="112">
        <v>43125</v>
      </c>
    </row>
    <row r="128" spans="1:5" ht="13.95" customHeight="1">
      <c r="A128" s="110" t="s">
        <v>1524</v>
      </c>
      <c r="B128" s="110" t="s">
        <v>2073</v>
      </c>
      <c r="C128" s="110">
        <v>0.61960000000000004</v>
      </c>
      <c r="E128" s="112">
        <v>43122</v>
      </c>
    </row>
    <row r="129" spans="1:5" ht="13.95" customHeight="1">
      <c r="A129" s="110" t="s">
        <v>1523</v>
      </c>
      <c r="B129" s="110" t="s">
        <v>2073</v>
      </c>
      <c r="C129" s="110">
        <v>0.66439999999999999</v>
      </c>
      <c r="E129" s="112">
        <v>43122</v>
      </c>
    </row>
    <row r="130" spans="1:5" ht="13.95" customHeight="1">
      <c r="A130" s="110" t="s">
        <v>1522</v>
      </c>
      <c r="B130" s="110">
        <v>37</v>
      </c>
      <c r="C130" s="110">
        <v>0.89600000000000002</v>
      </c>
      <c r="E130" s="112">
        <v>42881</v>
      </c>
    </row>
    <row r="131" spans="1:5" ht="13.95" customHeight="1">
      <c r="A131" s="110" t="s">
        <v>1521</v>
      </c>
      <c r="B131" s="110">
        <v>92</v>
      </c>
      <c r="C131" s="110">
        <v>0.76500000000000001</v>
      </c>
      <c r="E131" s="112">
        <v>42879</v>
      </c>
    </row>
    <row r="132" spans="1:5" ht="13.95" customHeight="1">
      <c r="A132" s="110" t="s">
        <v>1518</v>
      </c>
      <c r="B132" s="110">
        <v>4</v>
      </c>
      <c r="C132" s="110">
        <v>0.55969999999999998</v>
      </c>
      <c r="E132" s="112">
        <v>43122</v>
      </c>
    </row>
    <row r="133" spans="1:5" ht="13.95" customHeight="1">
      <c r="A133" t="s">
        <v>1515</v>
      </c>
      <c r="B133">
        <v>60</v>
      </c>
      <c r="C133">
        <v>0.78</v>
      </c>
      <c r="D133" t="s">
        <v>2068</v>
      </c>
      <c r="E133" s="112">
        <v>42879</v>
      </c>
    </row>
    <row r="134" spans="1:5" ht="13.95" customHeight="1">
      <c r="A134" s="110" t="s">
        <v>1514</v>
      </c>
      <c r="B134" s="110">
        <v>82</v>
      </c>
      <c r="C134" s="110">
        <v>0.748</v>
      </c>
      <c r="D134" s="110" t="s">
        <v>2066</v>
      </c>
      <c r="E134" s="112">
        <v>42879</v>
      </c>
    </row>
    <row r="135" spans="1:5" ht="13.95" customHeight="1">
      <c r="A135" s="110" t="s">
        <v>1513</v>
      </c>
      <c r="B135" s="110">
        <v>189</v>
      </c>
      <c r="C135" s="110">
        <v>0.72030000000000005</v>
      </c>
      <c r="E135" s="112">
        <v>43125</v>
      </c>
    </row>
    <row r="136" spans="1:5" ht="13.95" customHeight="1">
      <c r="A136" s="110" t="s">
        <v>1512</v>
      </c>
      <c r="B136" s="110">
        <v>56</v>
      </c>
      <c r="C136" s="110">
        <v>0.81</v>
      </c>
      <c r="E136" s="112">
        <v>42881</v>
      </c>
    </row>
    <row r="137" spans="1:5" ht="13.95" customHeight="1">
      <c r="A137" s="110" t="s">
        <v>1511</v>
      </c>
      <c r="B137">
        <v>47</v>
      </c>
      <c r="C137" s="110">
        <v>0.80700000000000005</v>
      </c>
      <c r="E137" s="112">
        <v>42879</v>
      </c>
    </row>
    <row r="138" spans="1:5" ht="13.95" customHeight="1">
      <c r="A138" s="110" t="s">
        <v>1510</v>
      </c>
      <c r="B138" s="113">
        <v>206</v>
      </c>
      <c r="C138" s="110">
        <v>0.73299999999999998</v>
      </c>
      <c r="E138" s="112">
        <v>42879</v>
      </c>
    </row>
    <row r="139" spans="1:5" ht="13.95" customHeight="1">
      <c r="A139" s="178" t="s">
        <v>1509</v>
      </c>
      <c r="B139" s="110">
        <v>61</v>
      </c>
      <c r="C139">
        <v>0.78600000000000003</v>
      </c>
      <c r="D139"/>
      <c r="E139" s="112">
        <v>42878</v>
      </c>
    </row>
    <row r="140" spans="1:5" ht="13.95" customHeight="1">
      <c r="A140" s="110" t="s">
        <v>1508</v>
      </c>
      <c r="B140" s="110">
        <v>81</v>
      </c>
      <c r="C140" s="110">
        <v>0.85099999999999998</v>
      </c>
      <c r="E140" s="112">
        <v>42881</v>
      </c>
    </row>
    <row r="141" spans="1:5" ht="13.95" customHeight="1">
      <c r="A141" s="110" t="s">
        <v>1507</v>
      </c>
      <c r="B141" s="110" t="s">
        <v>2073</v>
      </c>
      <c r="C141" s="110">
        <v>0.71650000000000003</v>
      </c>
      <c r="E141" s="112">
        <v>43119</v>
      </c>
    </row>
    <row r="142" spans="1:5" ht="13.95" customHeight="1">
      <c r="A142" s="110" t="s">
        <v>1506</v>
      </c>
      <c r="B142" s="180">
        <v>186</v>
      </c>
      <c r="C142" s="110">
        <v>0.69</v>
      </c>
      <c r="E142" s="112">
        <v>42878</v>
      </c>
    </row>
    <row r="143" spans="1:5" ht="13.95" customHeight="1">
      <c r="A143" s="110" t="s">
        <v>1505</v>
      </c>
      <c r="B143" s="110" t="s">
        <v>2073</v>
      </c>
      <c r="C143" s="110">
        <v>0.73950000000000005</v>
      </c>
      <c r="D143" s="110" t="s">
        <v>2111</v>
      </c>
      <c r="E143" s="112">
        <v>43122</v>
      </c>
    </row>
    <row r="144" spans="1:5" ht="13.95" customHeight="1">
      <c r="A144" s="110" t="s">
        <v>1504</v>
      </c>
      <c r="B144" s="110">
        <v>57</v>
      </c>
      <c r="C144" s="110">
        <v>0.88660000000000005</v>
      </c>
      <c r="E144" s="112">
        <v>43122</v>
      </c>
    </row>
    <row r="145" spans="1:5" ht="13.95" customHeight="1">
      <c r="A145" s="110" t="s">
        <v>1503</v>
      </c>
      <c r="B145" s="110">
        <v>91</v>
      </c>
      <c r="C145" s="110">
        <v>1.069</v>
      </c>
      <c r="E145" s="112">
        <v>42878</v>
      </c>
    </row>
    <row r="146" spans="1:5" ht="13.95" customHeight="1">
      <c r="A146" s="110" t="s">
        <v>1502</v>
      </c>
      <c r="B146" s="110">
        <v>51</v>
      </c>
      <c r="C146" s="110">
        <v>0.86399999999999999</v>
      </c>
      <c r="E146" s="112">
        <v>42881</v>
      </c>
    </row>
    <row r="147" spans="1:5" ht="13.95" customHeight="1">
      <c r="A147" s="110" t="s">
        <v>1501</v>
      </c>
      <c r="B147" s="110" t="s">
        <v>2079</v>
      </c>
      <c r="C147" s="110">
        <v>0.74199999999999999</v>
      </c>
      <c r="D147" s="110" t="s">
        <v>2091</v>
      </c>
      <c r="E147" s="112">
        <v>43125</v>
      </c>
    </row>
    <row r="148" spans="1:5" ht="13.95" customHeight="1">
      <c r="A148" s="110" t="s">
        <v>1500</v>
      </c>
      <c r="B148">
        <v>36</v>
      </c>
      <c r="C148" s="110">
        <v>0.72199999999999998</v>
      </c>
      <c r="E148" s="112">
        <v>42881</v>
      </c>
    </row>
    <row r="149" spans="1:5" ht="13.95" customHeight="1">
      <c r="A149" s="110" t="s">
        <v>1499</v>
      </c>
      <c r="B149" s="110" t="s">
        <v>2073</v>
      </c>
      <c r="C149" s="110">
        <v>0.61199999999999999</v>
      </c>
      <c r="E149" s="112">
        <v>43122</v>
      </c>
    </row>
    <row r="150" spans="1:5" ht="13.95" customHeight="1">
      <c r="A150" s="110" t="s">
        <v>1498</v>
      </c>
      <c r="B150" s="110" t="s">
        <v>2073</v>
      </c>
      <c r="C150" s="110">
        <v>0.75929999999999997</v>
      </c>
      <c r="D150" s="110" t="s">
        <v>2124</v>
      </c>
      <c r="E150" s="112">
        <v>43122</v>
      </c>
    </row>
    <row r="151" spans="1:5" ht="13.95" customHeight="1">
      <c r="A151" t="s">
        <v>1496</v>
      </c>
      <c r="B151">
        <v>64</v>
      </c>
      <c r="C151">
        <v>1.29</v>
      </c>
      <c r="D151" t="s">
        <v>2135</v>
      </c>
      <c r="E151" s="112">
        <v>42878</v>
      </c>
    </row>
    <row r="152" spans="1:5" ht="13.95" customHeight="1">
      <c r="A152" s="390" t="s">
        <v>1494</v>
      </c>
      <c r="B152" s="110">
        <v>33</v>
      </c>
      <c r="C152" s="110">
        <v>0.64400000000000002</v>
      </c>
      <c r="E152" s="112">
        <v>42881</v>
      </c>
    </row>
    <row r="153" spans="1:5" ht="13.95" customHeight="1">
      <c r="A153" s="178" t="s">
        <v>1493</v>
      </c>
      <c r="B153" s="110">
        <v>56</v>
      </c>
      <c r="C153" s="110">
        <v>0.74399999999999999</v>
      </c>
      <c r="E153" s="112">
        <v>42881</v>
      </c>
    </row>
    <row r="154" spans="1:5" ht="13.95" customHeight="1">
      <c r="A154" s="110" t="s">
        <v>1490</v>
      </c>
      <c r="B154" s="110">
        <v>212</v>
      </c>
      <c r="C154" s="110">
        <v>1.4097999999999999</v>
      </c>
      <c r="E154" s="112">
        <v>43123</v>
      </c>
    </row>
    <row r="155" spans="1:5" ht="13.95" customHeight="1">
      <c r="A155" s="110" t="s">
        <v>1489</v>
      </c>
      <c r="B155" s="110">
        <v>86</v>
      </c>
      <c r="C155" s="110">
        <v>0.74650000000000005</v>
      </c>
      <c r="E155" s="112">
        <v>43123</v>
      </c>
    </row>
    <row r="156" spans="1:5" ht="13.95" customHeight="1">
      <c r="A156" s="110" t="s">
        <v>1487</v>
      </c>
      <c r="B156" s="110">
        <v>116</v>
      </c>
      <c r="C156" s="110">
        <v>0.61660000000000004</v>
      </c>
      <c r="E156" s="112">
        <v>43125</v>
      </c>
    </row>
    <row r="157" spans="1:5" ht="13.95" customHeight="1">
      <c r="A157" s="110" t="s">
        <v>1486</v>
      </c>
      <c r="B157" s="110" t="s">
        <v>2073</v>
      </c>
      <c r="C157" s="110">
        <v>0.626</v>
      </c>
      <c r="E157" s="112">
        <v>43122</v>
      </c>
    </row>
    <row r="158" spans="1:5" ht="13.95" customHeight="1">
      <c r="A158" s="110" t="s">
        <v>1485</v>
      </c>
      <c r="B158" s="110">
        <v>62</v>
      </c>
      <c r="C158" s="110">
        <v>0.9224</v>
      </c>
      <c r="D158" s="110" t="s">
        <v>2106</v>
      </c>
      <c r="E158" s="112">
        <v>43125</v>
      </c>
    </row>
    <row r="159" spans="1:5" ht="13.95" customHeight="1">
      <c r="A159" t="s">
        <v>1484</v>
      </c>
      <c r="B159" s="110">
        <v>39</v>
      </c>
      <c r="C159" s="110">
        <v>0.78520000000000001</v>
      </c>
      <c r="E159" s="112">
        <v>43123</v>
      </c>
    </row>
    <row r="160" spans="1:5" ht="13.95" customHeight="1">
      <c r="A160" s="110" t="s">
        <v>1483</v>
      </c>
      <c r="B160" s="110">
        <v>151</v>
      </c>
      <c r="C160" s="110">
        <v>0.86499999999999999</v>
      </c>
      <c r="E160" s="112">
        <v>42879</v>
      </c>
    </row>
    <row r="161" spans="1:31" ht="13.95" customHeight="1">
      <c r="A161" s="110" t="s">
        <v>1482</v>
      </c>
      <c r="B161" s="110" t="s">
        <v>2073</v>
      </c>
      <c r="C161" s="110">
        <v>0.629</v>
      </c>
      <c r="E161" s="112">
        <v>43122</v>
      </c>
    </row>
    <row r="162" spans="1:31" ht="13.95" customHeight="1">
      <c r="A162" t="s">
        <v>1481</v>
      </c>
      <c r="B162"/>
      <c r="C162">
        <v>0.75700000000000001</v>
      </c>
      <c r="E162" s="237" t="s">
        <v>3236</v>
      </c>
      <c r="F162" s="237"/>
      <c r="G162"/>
      <c r="H162"/>
      <c r="I162"/>
      <c r="J162"/>
      <c r="K162" s="165"/>
      <c r="L162"/>
      <c r="M162"/>
      <c r="N162"/>
      <c r="O162"/>
      <c r="P162"/>
      <c r="Q162"/>
      <c r="R162"/>
      <c r="S162"/>
      <c r="T162"/>
      <c r="U162"/>
      <c r="V162"/>
      <c r="W162"/>
      <c r="X162"/>
      <c r="Y162"/>
      <c r="Z162"/>
      <c r="AA162"/>
      <c r="AB162"/>
      <c r="AC162"/>
      <c r="AD162"/>
      <c r="AE162"/>
    </row>
    <row r="163" spans="1:31" ht="13.95" customHeight="1">
      <c r="A163" s="110" t="s">
        <v>1479</v>
      </c>
      <c r="B163" s="110" t="s">
        <v>2073</v>
      </c>
      <c r="C163" s="110">
        <v>0.67520000000000002</v>
      </c>
      <c r="E163" s="112">
        <v>43119</v>
      </c>
    </row>
    <row r="164" spans="1:31" ht="13.95" customHeight="1">
      <c r="A164" s="110" t="s">
        <v>1478</v>
      </c>
      <c r="B164" s="110">
        <v>213</v>
      </c>
      <c r="C164" s="110">
        <v>0.71399999999999997</v>
      </c>
      <c r="E164" s="112">
        <v>42881</v>
      </c>
    </row>
    <row r="165" spans="1:31" ht="13.95" customHeight="1">
      <c r="A165" s="110" t="s">
        <v>1477</v>
      </c>
      <c r="B165" s="110">
        <v>18</v>
      </c>
      <c r="C165" s="110">
        <v>0.72099999999999997</v>
      </c>
      <c r="E165" s="112">
        <v>42879</v>
      </c>
    </row>
    <row r="166" spans="1:31" ht="13.95" customHeight="1">
      <c r="A166" s="110" t="s">
        <v>1476</v>
      </c>
      <c r="B166" s="113">
        <v>206</v>
      </c>
      <c r="C166" s="110">
        <v>0.77700000000000002</v>
      </c>
      <c r="E166" s="112">
        <v>42879</v>
      </c>
    </row>
    <row r="167" spans="1:31" ht="13.95" customHeight="1">
      <c r="A167" s="110" t="s">
        <v>1475</v>
      </c>
      <c r="B167" s="110" t="s">
        <v>2073</v>
      </c>
      <c r="C167" s="110">
        <v>0.74019999999999997</v>
      </c>
      <c r="E167" s="112">
        <v>43122</v>
      </c>
    </row>
    <row r="168" spans="1:31" ht="13.95" customHeight="1">
      <c r="A168" t="s">
        <v>1474</v>
      </c>
      <c r="B168" s="110">
        <v>158</v>
      </c>
      <c r="C168" s="110">
        <v>0.26600000000000001</v>
      </c>
      <c r="D168" s="110" t="s">
        <v>2064</v>
      </c>
      <c r="E168" s="112">
        <v>42879</v>
      </c>
    </row>
    <row r="169" spans="1:31" ht="13.95" customHeight="1">
      <c r="A169" s="110" t="s">
        <v>1473</v>
      </c>
      <c r="B169" s="110" t="s">
        <v>2073</v>
      </c>
      <c r="C169" s="110">
        <v>0.41870000000000002</v>
      </c>
      <c r="E169" s="112">
        <v>43122</v>
      </c>
    </row>
    <row r="170" spans="1:31" ht="13.95" customHeight="1">
      <c r="A170" t="s">
        <v>1471</v>
      </c>
      <c r="B170" s="110">
        <v>74</v>
      </c>
      <c r="C170" s="110">
        <v>0.74199999999999999</v>
      </c>
      <c r="E170" s="112">
        <v>42879</v>
      </c>
    </row>
    <row r="171" spans="1:31" ht="13.95" customHeight="1">
      <c r="A171" s="110" t="s">
        <v>1469</v>
      </c>
      <c r="B171" s="110">
        <v>214</v>
      </c>
      <c r="C171" s="110">
        <v>0.63400000000000001</v>
      </c>
      <c r="E171" s="112">
        <v>42878</v>
      </c>
    </row>
    <row r="172" spans="1:31" ht="13.95" customHeight="1">
      <c r="A172" s="110" t="s">
        <v>1468</v>
      </c>
      <c r="B172" s="110">
        <v>40</v>
      </c>
      <c r="C172" s="110">
        <v>0.89800000000000002</v>
      </c>
      <c r="E172" s="112">
        <v>42881</v>
      </c>
    </row>
    <row r="173" spans="1:31" ht="13.95" customHeight="1">
      <c r="A173" s="110" t="s">
        <v>1467</v>
      </c>
      <c r="B173" s="110" t="s">
        <v>2073</v>
      </c>
      <c r="C173" s="110">
        <v>0.66169999999999995</v>
      </c>
      <c r="E173" s="112">
        <v>43122</v>
      </c>
    </row>
    <row r="174" spans="1:31" ht="13.95" customHeight="1">
      <c r="A174" s="110" t="s">
        <v>1466</v>
      </c>
      <c r="B174" s="110" t="s">
        <v>2073</v>
      </c>
      <c r="C174" s="110">
        <v>0.63959999999999995</v>
      </c>
      <c r="E174" s="112">
        <v>43122</v>
      </c>
    </row>
    <row r="175" spans="1:31" ht="13.95" customHeight="1">
      <c r="A175" s="110" t="s">
        <v>1465</v>
      </c>
      <c r="B175" s="110">
        <v>183</v>
      </c>
      <c r="C175" s="110">
        <v>0.71799999999999997</v>
      </c>
      <c r="E175" s="112">
        <v>42881</v>
      </c>
    </row>
    <row r="176" spans="1:31" ht="13.95" customHeight="1">
      <c r="A176" s="110" t="s">
        <v>1463</v>
      </c>
      <c r="B176" s="110" t="s">
        <v>2073</v>
      </c>
      <c r="C176" s="110">
        <v>0.7167</v>
      </c>
      <c r="E176" s="112">
        <v>43122</v>
      </c>
    </row>
    <row r="177" spans="1:9" ht="13.95" customHeight="1">
      <c r="A177" s="110" t="s">
        <v>1459</v>
      </c>
      <c r="B177" s="110">
        <v>192</v>
      </c>
      <c r="C177" s="110">
        <v>0.66100000000000003</v>
      </c>
      <c r="E177" s="112">
        <v>42881</v>
      </c>
    </row>
    <row r="178" spans="1:9" ht="13.95" customHeight="1">
      <c r="A178" s="110" t="s">
        <v>1458</v>
      </c>
      <c r="B178" s="110">
        <v>90</v>
      </c>
      <c r="C178" s="110">
        <v>1.0779000000000001</v>
      </c>
      <c r="D178" s="166" t="s">
        <v>2462</v>
      </c>
      <c r="E178" s="112">
        <v>43125</v>
      </c>
    </row>
    <row r="179" spans="1:9" ht="13.95" customHeight="1">
      <c r="A179" s="110" t="s">
        <v>1457</v>
      </c>
      <c r="B179" s="110">
        <v>58</v>
      </c>
      <c r="C179" s="110">
        <v>0.97009999999999996</v>
      </c>
      <c r="E179" s="112">
        <v>43123</v>
      </c>
    </row>
    <row r="180" spans="1:9" ht="13.95" customHeight="1">
      <c r="A180" s="110" t="s">
        <v>1456</v>
      </c>
      <c r="B180" s="110">
        <v>77</v>
      </c>
      <c r="C180" s="110">
        <v>0.94699999999999995</v>
      </c>
      <c r="E180" s="112">
        <v>42879</v>
      </c>
    </row>
    <row r="181" spans="1:9" ht="13.95" customHeight="1">
      <c r="A181" s="110" t="s">
        <v>1455</v>
      </c>
      <c r="B181" s="110" t="s">
        <v>2079</v>
      </c>
      <c r="C181" s="110">
        <v>0.62809999999999999</v>
      </c>
      <c r="D181" s="110" t="s">
        <v>2087</v>
      </c>
      <c r="E181" s="112">
        <v>43125</v>
      </c>
      <c r="G181"/>
    </row>
    <row r="182" spans="1:9" ht="13.95" customHeight="1">
      <c r="A182" s="110" t="s">
        <v>1451</v>
      </c>
      <c r="B182" s="110">
        <v>52</v>
      </c>
      <c r="C182" s="110">
        <v>0.88200000000000001</v>
      </c>
      <c r="E182" s="112">
        <v>42878</v>
      </c>
      <c r="G182"/>
    </row>
    <row r="183" spans="1:9" ht="13.95" customHeight="1">
      <c r="A183" s="110" t="s">
        <v>1450</v>
      </c>
      <c r="B183">
        <v>59</v>
      </c>
      <c r="C183" s="110">
        <v>0.90200000000000002</v>
      </c>
      <c r="E183" s="112">
        <v>42878</v>
      </c>
      <c r="G183"/>
    </row>
    <row r="184" spans="1:9" ht="13.95" customHeight="1">
      <c r="A184" s="110" t="s">
        <v>1448</v>
      </c>
      <c r="B184" s="110">
        <v>45</v>
      </c>
      <c r="C184" s="110">
        <v>0.77400000000000002</v>
      </c>
      <c r="E184" s="112">
        <v>43123</v>
      </c>
      <c r="G184"/>
    </row>
    <row r="185" spans="1:9" ht="13.95" customHeight="1">
      <c r="A185" s="110" t="s">
        <v>1447</v>
      </c>
      <c r="B185" s="110">
        <v>76</v>
      </c>
      <c r="C185" s="110">
        <v>0.82299999999999995</v>
      </c>
      <c r="E185" s="112">
        <v>42881</v>
      </c>
      <c r="G185" s="179" t="s">
        <v>2062</v>
      </c>
    </row>
    <row r="186" spans="1:9" ht="13.95" customHeight="1">
      <c r="A186" s="110" t="s">
        <v>1446</v>
      </c>
      <c r="B186" s="110">
        <v>209</v>
      </c>
      <c r="C186" s="110">
        <v>0.748</v>
      </c>
      <c r="E186" s="112">
        <v>42878</v>
      </c>
      <c r="G186"/>
    </row>
    <row r="187" spans="1:9" ht="13.95" customHeight="1">
      <c r="A187" s="110" t="s">
        <v>1445</v>
      </c>
      <c r="B187" s="110">
        <v>74</v>
      </c>
      <c r="C187" s="110">
        <v>1.1950000000000001</v>
      </c>
      <c r="D187" s="110" t="s">
        <v>2069</v>
      </c>
      <c r="E187" s="112">
        <v>42879</v>
      </c>
      <c r="G187"/>
      <c r="H187"/>
      <c r="I187"/>
    </row>
    <row r="188" spans="1:9" ht="13.95" customHeight="1">
      <c r="A188" s="110" t="s">
        <v>1444</v>
      </c>
      <c r="B188" s="110" t="s">
        <v>2073</v>
      </c>
      <c r="C188" s="110">
        <v>0.63539999999999996</v>
      </c>
      <c r="E188" s="112">
        <v>43122</v>
      </c>
    </row>
    <row r="189" spans="1:9" ht="13.95" customHeight="1">
      <c r="A189" s="113" t="s">
        <v>1443</v>
      </c>
      <c r="B189" s="113">
        <v>80</v>
      </c>
      <c r="C189" s="113">
        <v>0.92400000000000004</v>
      </c>
      <c r="D189" s="113" t="s">
        <v>2139</v>
      </c>
      <c r="E189" s="112">
        <v>42878</v>
      </c>
    </row>
    <row r="190" spans="1:9" ht="13.95" customHeight="1">
      <c r="A190" s="402" t="s">
        <v>1442</v>
      </c>
      <c r="B190" s="180">
        <v>186</v>
      </c>
      <c r="C190" s="110">
        <v>0.61599999999999999</v>
      </c>
      <c r="E190" s="112">
        <v>42878</v>
      </c>
    </row>
    <row r="191" spans="1:9" ht="13.95" customHeight="1">
      <c r="A191" s="110" t="s">
        <v>1441</v>
      </c>
      <c r="B191" s="110">
        <v>14</v>
      </c>
      <c r="C191" s="110">
        <v>0.498</v>
      </c>
      <c r="E191" s="112">
        <v>42881</v>
      </c>
    </row>
    <row r="192" spans="1:9" ht="13.95" customHeight="1">
      <c r="A192" s="110" t="s">
        <v>1440</v>
      </c>
      <c r="B192" s="110">
        <v>98</v>
      </c>
      <c r="C192" s="110">
        <v>0.56599999999999995</v>
      </c>
      <c r="E192" s="112">
        <v>42881</v>
      </c>
    </row>
    <row r="193" spans="1:31" ht="13.95" customHeight="1">
      <c r="A193" t="s">
        <v>1439</v>
      </c>
      <c r="B193"/>
      <c r="C193">
        <v>0.89510000000000001</v>
      </c>
      <c r="E193" s="237" t="s">
        <v>3236</v>
      </c>
      <c r="F193" s="237"/>
      <c r="G193"/>
      <c r="H193"/>
      <c r="I193"/>
      <c r="J193"/>
      <c r="K193" s="165"/>
      <c r="L193"/>
      <c r="M193"/>
      <c r="N193"/>
      <c r="O193"/>
      <c r="P193"/>
      <c r="Q193"/>
      <c r="R193"/>
      <c r="S193"/>
      <c r="T193"/>
      <c r="U193"/>
      <c r="V193"/>
      <c r="W193"/>
      <c r="X193"/>
      <c r="Y193"/>
      <c r="Z193"/>
      <c r="AA193"/>
      <c r="AB193"/>
      <c r="AC193"/>
      <c r="AD193"/>
      <c r="AE193"/>
    </row>
    <row r="194" spans="1:31" ht="13.95" customHeight="1">
      <c r="A194" s="110" t="s">
        <v>1437</v>
      </c>
      <c r="B194" s="110">
        <v>216</v>
      </c>
      <c r="C194" s="110">
        <v>0.82499999999999996</v>
      </c>
      <c r="E194" s="112">
        <v>42879</v>
      </c>
    </row>
    <row r="195" spans="1:31" ht="13.95" customHeight="1">
      <c r="A195" s="110" t="s">
        <v>1436</v>
      </c>
      <c r="B195" s="110">
        <v>65</v>
      </c>
      <c r="C195" s="110">
        <v>0.96099999999999997</v>
      </c>
      <c r="E195" s="112">
        <v>42879</v>
      </c>
    </row>
    <row r="196" spans="1:31" ht="13.95" customHeight="1">
      <c r="A196" s="402" t="s">
        <v>1435</v>
      </c>
      <c r="B196" s="110">
        <v>194</v>
      </c>
      <c r="C196" s="110">
        <v>0.64100000000000001</v>
      </c>
      <c r="E196" s="112">
        <v>42881</v>
      </c>
    </row>
    <row r="197" spans="1:31" ht="13.95" customHeight="1">
      <c r="A197" s="178" t="s">
        <v>1434</v>
      </c>
      <c r="B197" s="110">
        <v>55</v>
      </c>
      <c r="C197" s="110">
        <v>0.93200000000000005</v>
      </c>
      <c r="D197" s="110" t="s">
        <v>2128</v>
      </c>
      <c r="E197" s="112">
        <v>42878</v>
      </c>
    </row>
    <row r="198" spans="1:31" ht="13.95" customHeight="1">
      <c r="A198" s="110" t="s">
        <v>1432</v>
      </c>
      <c r="B198" s="110">
        <v>57</v>
      </c>
      <c r="C198" s="110">
        <v>0.88129999999999997</v>
      </c>
      <c r="E198" s="112">
        <v>43119</v>
      </c>
    </row>
    <row r="199" spans="1:31" ht="13.95" customHeight="1">
      <c r="A199" s="110" t="s">
        <v>1431</v>
      </c>
      <c r="B199" s="110">
        <v>40</v>
      </c>
      <c r="C199" s="110">
        <v>0.70599999999999996</v>
      </c>
      <c r="E199" s="112">
        <v>42881</v>
      </c>
    </row>
    <row r="200" spans="1:31" ht="13.95" customHeight="1">
      <c r="A200" s="110" t="s">
        <v>1430</v>
      </c>
      <c r="B200" s="110" t="s">
        <v>2073</v>
      </c>
      <c r="C200" s="110">
        <v>0.59950000000000003</v>
      </c>
      <c r="E200" s="112">
        <v>43116</v>
      </c>
    </row>
    <row r="201" spans="1:31" ht="13.95" customHeight="1">
      <c r="A201" s="110" t="s">
        <v>1429</v>
      </c>
      <c r="B201" s="110">
        <v>205</v>
      </c>
      <c r="C201" s="110">
        <v>0.74099999999999999</v>
      </c>
      <c r="D201" s="110" t="s">
        <v>2113</v>
      </c>
      <c r="E201" s="112">
        <v>43123</v>
      </c>
    </row>
    <row r="202" spans="1:31" ht="13.95" customHeight="1">
      <c r="A202" s="110" t="s">
        <v>1427</v>
      </c>
      <c r="B202" s="110">
        <v>138</v>
      </c>
      <c r="C202" s="110">
        <v>0.64800000000000002</v>
      </c>
      <c r="E202" s="112">
        <v>42879</v>
      </c>
    </row>
    <row r="203" spans="1:31" ht="13.95" customHeight="1">
      <c r="A203" s="402" t="s">
        <v>1424</v>
      </c>
      <c r="B203" s="110">
        <v>41</v>
      </c>
      <c r="C203" s="110">
        <v>0.82899999999999996</v>
      </c>
      <c r="E203" s="112">
        <v>42879</v>
      </c>
    </row>
    <row r="204" spans="1:31" ht="13.95" customHeight="1">
      <c r="A204" s="110" t="s">
        <v>1423</v>
      </c>
      <c r="B204" s="110">
        <v>72</v>
      </c>
      <c r="C204" s="110">
        <v>0.86350000000000005</v>
      </c>
      <c r="E204" s="112">
        <v>43122</v>
      </c>
    </row>
    <row r="205" spans="1:31" ht="13.95" customHeight="1">
      <c r="A205" s="110" t="s">
        <v>1422</v>
      </c>
      <c r="B205" s="110">
        <v>87</v>
      </c>
      <c r="C205" s="110">
        <v>0.8639</v>
      </c>
      <c r="E205" s="112">
        <v>43125</v>
      </c>
    </row>
    <row r="206" spans="1:31" ht="13.95" customHeight="1">
      <c r="A206" s="110" t="s">
        <v>1418</v>
      </c>
      <c r="B206" s="110">
        <v>87</v>
      </c>
      <c r="C206" s="110">
        <v>0.81640000000000001</v>
      </c>
      <c r="E206" s="112">
        <v>43125</v>
      </c>
    </row>
    <row r="207" spans="1:31" ht="13.95" customHeight="1">
      <c r="A207" s="110" t="s">
        <v>1417</v>
      </c>
      <c r="B207" s="110">
        <v>60</v>
      </c>
      <c r="C207" s="110">
        <v>0.874</v>
      </c>
      <c r="E207" s="112">
        <v>42879</v>
      </c>
    </row>
    <row r="208" spans="1:31" ht="13.95" customHeight="1">
      <c r="A208" s="110" t="s">
        <v>1416</v>
      </c>
      <c r="B208" s="110" t="s">
        <v>2073</v>
      </c>
      <c r="C208" s="110">
        <v>0.60129999999999995</v>
      </c>
      <c r="E208" s="112">
        <v>43122</v>
      </c>
    </row>
    <row r="209" spans="1:5" ht="13.95" customHeight="1">
      <c r="A209" s="110" t="s">
        <v>1414</v>
      </c>
      <c r="B209" s="110" t="s">
        <v>2073</v>
      </c>
      <c r="C209" s="110">
        <v>0.79630000000000001</v>
      </c>
      <c r="E209" s="112">
        <v>43119</v>
      </c>
    </row>
    <row r="210" spans="1:5" ht="13.95" customHeight="1">
      <c r="A210" s="178" t="s">
        <v>1413</v>
      </c>
      <c r="B210" s="110">
        <v>209</v>
      </c>
      <c r="C210" s="110">
        <v>0.86399999999999999</v>
      </c>
      <c r="E210" s="112">
        <v>42878</v>
      </c>
    </row>
    <row r="211" spans="1:5" ht="13.95" customHeight="1">
      <c r="A211" s="110" t="s">
        <v>1412</v>
      </c>
      <c r="B211" s="110">
        <v>52</v>
      </c>
      <c r="C211" s="110">
        <v>1.075</v>
      </c>
      <c r="E211" s="112">
        <v>42878</v>
      </c>
    </row>
    <row r="212" spans="1:5" ht="13.95" customHeight="1">
      <c r="A212" s="110" t="s">
        <v>1411</v>
      </c>
      <c r="B212" s="110" t="s">
        <v>2073</v>
      </c>
      <c r="C212" s="110">
        <v>0.89200000000000002</v>
      </c>
      <c r="E212" s="112">
        <v>43122</v>
      </c>
    </row>
    <row r="213" spans="1:5" ht="13.95" customHeight="1">
      <c r="A213" s="110" t="s">
        <v>1410</v>
      </c>
      <c r="B213" s="110" t="s">
        <v>2073</v>
      </c>
      <c r="C213" s="110">
        <v>0.72450000000000003</v>
      </c>
      <c r="E213" s="112">
        <v>43119</v>
      </c>
    </row>
    <row r="214" spans="1:5" ht="13.95" customHeight="1">
      <c r="A214" s="110" t="s">
        <v>1409</v>
      </c>
      <c r="B214" s="110">
        <v>95</v>
      </c>
      <c r="C214" s="110">
        <v>1.254</v>
      </c>
      <c r="E214" s="112">
        <v>42879</v>
      </c>
    </row>
    <row r="215" spans="1:5" ht="13.95" customHeight="1">
      <c r="A215" s="110" t="s">
        <v>1407</v>
      </c>
      <c r="B215" s="110">
        <v>43</v>
      </c>
      <c r="C215" s="110">
        <v>0.74509999999999998</v>
      </c>
      <c r="E215" s="112">
        <v>43123</v>
      </c>
    </row>
    <row r="216" spans="1:5" ht="13.95" customHeight="1">
      <c r="A216" s="110" t="s">
        <v>1406</v>
      </c>
      <c r="B216" s="110" t="s">
        <v>2073</v>
      </c>
      <c r="C216" s="110">
        <v>0.65410000000000001</v>
      </c>
      <c r="D216" s="110" t="s">
        <v>2116</v>
      </c>
      <c r="E216" s="112">
        <v>43122</v>
      </c>
    </row>
    <row r="217" spans="1:5" ht="13.95" customHeight="1">
      <c r="A217" s="110" t="s">
        <v>1405</v>
      </c>
      <c r="B217" s="110" t="s">
        <v>2073</v>
      </c>
      <c r="C217" s="110">
        <v>0.80930000000000002</v>
      </c>
      <c r="E217" s="112">
        <v>43116</v>
      </c>
    </row>
    <row r="218" spans="1:5" ht="13.95" customHeight="1">
      <c r="A218" s="110" t="s">
        <v>1403</v>
      </c>
      <c r="B218" s="110">
        <v>151</v>
      </c>
      <c r="C218" s="110">
        <v>0.78700000000000003</v>
      </c>
      <c r="E218" s="112">
        <v>42879</v>
      </c>
    </row>
    <row r="219" spans="1:5" ht="13.95" customHeight="1">
      <c r="A219" s="110" t="s">
        <v>1402</v>
      </c>
      <c r="B219" s="110" t="s">
        <v>2073</v>
      </c>
      <c r="C219" s="110">
        <v>0.6905</v>
      </c>
      <c r="E219" s="112">
        <v>43122</v>
      </c>
    </row>
    <row r="220" spans="1:5" ht="13.95" customHeight="1">
      <c r="A220" s="110" t="s">
        <v>1401</v>
      </c>
      <c r="B220" s="110">
        <v>34</v>
      </c>
      <c r="C220" s="110">
        <v>0.80259999999999998</v>
      </c>
      <c r="D220" s="110" t="s">
        <v>2081</v>
      </c>
      <c r="E220" s="112">
        <v>43125</v>
      </c>
    </row>
    <row r="221" spans="1:5" ht="13.95" customHeight="1">
      <c r="A221" s="110" t="s">
        <v>1399</v>
      </c>
      <c r="B221" s="110" t="s">
        <v>2073</v>
      </c>
      <c r="C221" s="110">
        <v>0.77580000000000005</v>
      </c>
      <c r="E221" s="112">
        <v>43116</v>
      </c>
    </row>
    <row r="222" spans="1:5" ht="13.95" customHeight="1">
      <c r="A222" s="110" t="s">
        <v>1397</v>
      </c>
      <c r="B222" s="110">
        <v>145</v>
      </c>
      <c r="C222" s="110">
        <v>0.69799999999999995</v>
      </c>
      <c r="E222" s="112">
        <v>42878</v>
      </c>
    </row>
    <row r="223" spans="1:5" ht="13.95" customHeight="1">
      <c r="A223" s="110" t="s">
        <v>1396</v>
      </c>
      <c r="B223" s="110">
        <v>156</v>
      </c>
      <c r="C223" s="110">
        <v>0.73799999999999999</v>
      </c>
      <c r="E223" s="112">
        <v>42879</v>
      </c>
    </row>
    <row r="224" spans="1:5" ht="13.95" customHeight="1">
      <c r="A224" s="181" t="s">
        <v>1395</v>
      </c>
      <c r="B224" s="110">
        <v>174</v>
      </c>
      <c r="C224" s="110">
        <v>0.68300000000000005</v>
      </c>
      <c r="E224" s="112">
        <v>42881</v>
      </c>
    </row>
    <row r="225" spans="1:5" ht="13.95" customHeight="1">
      <c r="A225" s="110" t="s">
        <v>1394</v>
      </c>
      <c r="B225" s="110">
        <v>171</v>
      </c>
      <c r="C225" s="110">
        <v>0.63100000000000001</v>
      </c>
      <c r="E225" s="112">
        <v>42878</v>
      </c>
    </row>
    <row r="226" spans="1:5" ht="13.95" customHeight="1">
      <c r="A226" s="110" t="s">
        <v>1393</v>
      </c>
      <c r="B226" s="110">
        <v>119</v>
      </c>
      <c r="C226" s="110">
        <v>0.70099999999999996</v>
      </c>
      <c r="D226"/>
      <c r="E226" s="112">
        <v>42881</v>
      </c>
    </row>
    <row r="227" spans="1:5" ht="13.95" customHeight="1">
      <c r="A227" s="110" t="s">
        <v>1392</v>
      </c>
      <c r="B227" s="110">
        <v>150</v>
      </c>
      <c r="C227" s="110">
        <v>0.71799999999999997</v>
      </c>
      <c r="E227" s="112">
        <v>42879</v>
      </c>
    </row>
    <row r="228" spans="1:5" ht="13.95" customHeight="1">
      <c r="A228" s="110" t="s">
        <v>1390</v>
      </c>
      <c r="B228" s="110">
        <v>67</v>
      </c>
      <c r="C228" s="110">
        <v>0.92510000000000003</v>
      </c>
      <c r="E228" s="112">
        <v>43125</v>
      </c>
    </row>
    <row r="229" spans="1:5" ht="13.95" customHeight="1">
      <c r="A229" s="110" t="s">
        <v>1385</v>
      </c>
      <c r="B229" s="110">
        <v>7</v>
      </c>
      <c r="C229" s="110">
        <v>0.56399999999999995</v>
      </c>
      <c r="E229" s="112">
        <v>42879</v>
      </c>
    </row>
    <row r="230" spans="1:5" ht="13.95" customHeight="1">
      <c r="A230" s="110" t="s">
        <v>1384</v>
      </c>
      <c r="B230" s="110">
        <v>121</v>
      </c>
      <c r="C230" s="110">
        <v>0.63500000000000001</v>
      </c>
      <c r="E230" s="112">
        <v>42879</v>
      </c>
    </row>
    <row r="231" spans="1:5" ht="13.95" customHeight="1">
      <c r="A231" s="110" t="s">
        <v>1383</v>
      </c>
      <c r="B231" s="110">
        <v>156</v>
      </c>
      <c r="C231" s="110">
        <v>0.65800000000000003</v>
      </c>
      <c r="E231" s="112">
        <v>42879</v>
      </c>
    </row>
    <row r="232" spans="1:5" ht="13.95" customHeight="1">
      <c r="A232" s="110" t="s">
        <v>1382</v>
      </c>
      <c r="B232" s="110">
        <v>205</v>
      </c>
      <c r="C232" s="110">
        <v>0.71</v>
      </c>
      <c r="E232" s="112">
        <v>43123</v>
      </c>
    </row>
    <row r="233" spans="1:5" ht="13.95" customHeight="1">
      <c r="A233" s="110" t="s">
        <v>1381</v>
      </c>
      <c r="B233" s="110" t="s">
        <v>2073</v>
      </c>
      <c r="C233" s="110">
        <v>0.7097</v>
      </c>
      <c r="D233" s="110" t="s">
        <v>2111</v>
      </c>
      <c r="E233" s="112">
        <v>43116</v>
      </c>
    </row>
    <row r="234" spans="1:5" ht="13.95" customHeight="1">
      <c r="A234" s="110" t="s">
        <v>1380</v>
      </c>
      <c r="B234" s="110">
        <v>35</v>
      </c>
      <c r="C234" s="110">
        <v>0.81699999999999995</v>
      </c>
      <c r="D234" s="110" t="s">
        <v>2051</v>
      </c>
      <c r="E234" s="112">
        <v>42879</v>
      </c>
    </row>
    <row r="235" spans="1:5" ht="13.95" customHeight="1">
      <c r="A235" s="110" t="s">
        <v>1377</v>
      </c>
      <c r="B235" s="110">
        <v>64</v>
      </c>
      <c r="C235" s="110">
        <v>1.0449999999999999</v>
      </c>
      <c r="E235" s="112">
        <v>42878</v>
      </c>
    </row>
    <row r="236" spans="1:5" ht="13.95" customHeight="1">
      <c r="A236" t="s">
        <v>1376</v>
      </c>
      <c r="B236" s="110">
        <v>170</v>
      </c>
      <c r="C236" s="110">
        <v>0.61299999999999999</v>
      </c>
      <c r="E236" s="112">
        <v>42878</v>
      </c>
    </row>
    <row r="237" spans="1:5" ht="13.95" customHeight="1">
      <c r="A237" s="110" t="s">
        <v>1375</v>
      </c>
      <c r="B237" s="110">
        <v>154</v>
      </c>
      <c r="C237" s="110">
        <v>0.61299999999999999</v>
      </c>
      <c r="D237" s="110" t="s">
        <v>2056</v>
      </c>
      <c r="E237" s="112">
        <v>42881</v>
      </c>
    </row>
    <row r="238" spans="1:5" ht="13.95" customHeight="1">
      <c r="A238" s="110" t="s">
        <v>1374</v>
      </c>
      <c r="B238" s="110">
        <v>107</v>
      </c>
      <c r="C238" s="110">
        <v>0.67630000000000001</v>
      </c>
      <c r="E238" s="112">
        <v>43125</v>
      </c>
    </row>
    <row r="239" spans="1:5" ht="13.95" customHeight="1">
      <c r="A239" s="110" t="s">
        <v>1373</v>
      </c>
      <c r="B239" s="110">
        <v>207</v>
      </c>
      <c r="C239" s="110">
        <v>0.85699999999999998</v>
      </c>
      <c r="E239" s="112">
        <v>42879</v>
      </c>
    </row>
    <row r="240" spans="1:5" ht="13.95" customHeight="1">
      <c r="A240" s="110" t="s">
        <v>1372</v>
      </c>
      <c r="B240" s="110">
        <v>147</v>
      </c>
      <c r="C240" s="110">
        <v>0.70199999999999996</v>
      </c>
      <c r="D240" s="110" t="s">
        <v>2115</v>
      </c>
      <c r="E240" s="112">
        <v>42878</v>
      </c>
    </row>
    <row r="241" spans="1:5" ht="13.95" customHeight="1">
      <c r="A241" s="110" t="s">
        <v>1371</v>
      </c>
      <c r="B241" s="110">
        <v>46</v>
      </c>
      <c r="C241" s="110">
        <v>0.83199999999999996</v>
      </c>
      <c r="E241" s="112">
        <v>42881</v>
      </c>
    </row>
    <row r="242" spans="1:5" ht="13.95" customHeight="1">
      <c r="A242" s="110" t="s">
        <v>1370</v>
      </c>
      <c r="B242" s="110">
        <v>168</v>
      </c>
      <c r="C242" s="110">
        <v>0.998</v>
      </c>
      <c r="E242" s="112">
        <v>42881</v>
      </c>
    </row>
    <row r="243" spans="1:5" ht="13.95" customHeight="1">
      <c r="A243" s="110" t="s">
        <v>1369</v>
      </c>
      <c r="B243" s="110">
        <v>118</v>
      </c>
      <c r="C243" s="110">
        <v>0.56799999999999995</v>
      </c>
      <c r="E243" s="112">
        <v>42879</v>
      </c>
    </row>
    <row r="244" spans="1:5" ht="13.95" customHeight="1">
      <c r="A244" s="110" t="s">
        <v>1368</v>
      </c>
      <c r="B244" s="110">
        <v>124</v>
      </c>
      <c r="C244" s="110">
        <v>0.61199999999999999</v>
      </c>
      <c r="E244" s="112">
        <v>42881</v>
      </c>
    </row>
    <row r="245" spans="1:5" ht="13.95" customHeight="1">
      <c r="A245" s="110" t="s">
        <v>1366</v>
      </c>
      <c r="B245" s="110">
        <v>154</v>
      </c>
      <c r="C245" s="110">
        <v>0.60499999999999998</v>
      </c>
      <c r="E245" s="112">
        <v>42881</v>
      </c>
    </row>
    <row r="246" spans="1:5" ht="13.95" customHeight="1">
      <c r="A246" s="110" t="s">
        <v>1365</v>
      </c>
      <c r="B246" s="110">
        <v>15</v>
      </c>
      <c r="C246" s="110">
        <v>0.72199999999999998</v>
      </c>
      <c r="E246" s="112">
        <v>42879</v>
      </c>
    </row>
    <row r="247" spans="1:5" ht="13.95" customHeight="1">
      <c r="A247" s="110" t="s">
        <v>1364</v>
      </c>
      <c r="B247" s="110">
        <v>64</v>
      </c>
      <c r="C247" s="110">
        <v>0.628</v>
      </c>
      <c r="E247" s="112">
        <v>42879</v>
      </c>
    </row>
    <row r="248" spans="1:5" ht="13.95" customHeight="1">
      <c r="A248" s="110" t="s">
        <v>1363</v>
      </c>
      <c r="B248" s="110">
        <v>127</v>
      </c>
      <c r="C248" s="110">
        <v>0.57699999999999996</v>
      </c>
      <c r="E248" s="112">
        <v>42879</v>
      </c>
    </row>
    <row r="249" spans="1:5" ht="13.95" customHeight="1">
      <c r="A249" s="110" t="s">
        <v>1362</v>
      </c>
      <c r="B249" s="110">
        <v>107</v>
      </c>
      <c r="C249" s="110">
        <v>0.60899999999999999</v>
      </c>
      <c r="E249" s="112">
        <v>43125</v>
      </c>
    </row>
    <row r="250" spans="1:5" ht="13.95" customHeight="1">
      <c r="A250" s="110" t="s">
        <v>1361</v>
      </c>
      <c r="B250" s="110">
        <v>146</v>
      </c>
      <c r="C250" s="110">
        <v>0.52200000000000002</v>
      </c>
      <c r="D250" s="110" t="s">
        <v>2111</v>
      </c>
      <c r="E250" s="112">
        <v>42878</v>
      </c>
    </row>
    <row r="251" spans="1:5" ht="13.95" customHeight="1">
      <c r="A251" s="110" t="s">
        <v>1360</v>
      </c>
      <c r="B251" s="110">
        <v>43</v>
      </c>
      <c r="C251" s="110">
        <v>0.71519999999999995</v>
      </c>
      <c r="D251" s="110" t="s">
        <v>2114</v>
      </c>
      <c r="E251" s="112">
        <v>43123</v>
      </c>
    </row>
    <row r="252" spans="1:5" ht="13.95" customHeight="1">
      <c r="A252" s="110" t="s">
        <v>1359</v>
      </c>
      <c r="B252" s="110">
        <v>99</v>
      </c>
      <c r="C252" s="110">
        <v>0.52829999999999999</v>
      </c>
      <c r="D252" s="110" t="s">
        <v>2115</v>
      </c>
      <c r="E252" s="112">
        <v>43123</v>
      </c>
    </row>
    <row r="253" spans="1:5" ht="13.95" customHeight="1">
      <c r="A253" s="110" t="s">
        <v>1358</v>
      </c>
      <c r="B253" s="110">
        <v>103</v>
      </c>
      <c r="C253" s="110">
        <v>0.58699999999999997</v>
      </c>
      <c r="E253" s="112">
        <v>42881</v>
      </c>
    </row>
    <row r="254" spans="1:5" ht="13.95" customHeight="1">
      <c r="A254" s="110" t="s">
        <v>1357</v>
      </c>
      <c r="B254" s="110">
        <v>115</v>
      </c>
      <c r="C254" s="110">
        <v>0.63400000000000001</v>
      </c>
      <c r="E254" s="112">
        <v>43125</v>
      </c>
    </row>
    <row r="255" spans="1:5" ht="13.95" customHeight="1">
      <c r="A255" s="110" t="s">
        <v>1356</v>
      </c>
      <c r="B255">
        <v>123</v>
      </c>
      <c r="C255" s="110">
        <v>0.622</v>
      </c>
      <c r="E255" s="112">
        <v>42879</v>
      </c>
    </row>
    <row r="256" spans="1:5" ht="13.95" customHeight="1">
      <c r="A256" s="110" t="s">
        <v>1355</v>
      </c>
      <c r="B256" s="110">
        <v>111</v>
      </c>
      <c r="C256" s="110">
        <v>0.621</v>
      </c>
      <c r="E256" s="112">
        <v>42879</v>
      </c>
    </row>
    <row r="257" spans="1:5" ht="13.95" customHeight="1">
      <c r="A257" s="110" t="s">
        <v>1354</v>
      </c>
      <c r="B257" s="110" t="s">
        <v>2073</v>
      </c>
      <c r="C257" s="110">
        <v>0.82469999999999999</v>
      </c>
      <c r="E257" s="112">
        <v>43119</v>
      </c>
    </row>
    <row r="258" spans="1:5" ht="13.95" customHeight="1">
      <c r="A258" s="110" t="s">
        <v>1353</v>
      </c>
      <c r="B258" s="110">
        <v>143</v>
      </c>
      <c r="C258" s="110">
        <v>0.67500000000000004</v>
      </c>
      <c r="E258" s="112">
        <v>43125</v>
      </c>
    </row>
    <row r="259" spans="1:5" ht="13.95" customHeight="1">
      <c r="A259" s="110" t="s">
        <v>1352</v>
      </c>
      <c r="B259" s="110">
        <v>120</v>
      </c>
      <c r="C259" s="110">
        <v>0.55310000000000004</v>
      </c>
      <c r="E259" s="112">
        <v>43125</v>
      </c>
    </row>
    <row r="260" spans="1:5" ht="13.95" customHeight="1">
      <c r="A260" s="110" t="s">
        <v>1351</v>
      </c>
      <c r="B260" s="110">
        <v>21</v>
      </c>
      <c r="C260" s="110">
        <v>0.7389</v>
      </c>
      <c r="E260" s="112">
        <v>43122</v>
      </c>
    </row>
    <row r="261" spans="1:5" ht="13.95" customHeight="1">
      <c r="A261" s="110" t="s">
        <v>1350</v>
      </c>
      <c r="B261" s="110">
        <v>65</v>
      </c>
      <c r="C261" s="110">
        <v>0.82299999999999995</v>
      </c>
      <c r="E261" s="112">
        <v>42879</v>
      </c>
    </row>
    <row r="262" spans="1:5" ht="13.95" customHeight="1">
      <c r="A262" s="110" t="s">
        <v>1349</v>
      </c>
      <c r="B262" s="110" t="s">
        <v>2073</v>
      </c>
      <c r="C262" s="110">
        <v>0.59260000000000002</v>
      </c>
      <c r="E262" s="112">
        <v>43123</v>
      </c>
    </row>
    <row r="263" spans="1:5" ht="13.95" customHeight="1">
      <c r="A263" s="110" t="s">
        <v>1348</v>
      </c>
      <c r="B263" s="110" t="s">
        <v>2073</v>
      </c>
      <c r="C263" s="110">
        <v>0.73699999999999999</v>
      </c>
      <c r="E263" s="112">
        <v>43122</v>
      </c>
    </row>
    <row r="264" spans="1:5" ht="13.95" customHeight="1">
      <c r="A264" s="110" t="s">
        <v>1347</v>
      </c>
      <c r="B264" s="110">
        <v>38</v>
      </c>
      <c r="C264" s="110">
        <v>0.81899999999999995</v>
      </c>
      <c r="E264" s="112">
        <v>42881</v>
      </c>
    </row>
    <row r="265" spans="1:5" ht="13.95" customHeight="1">
      <c r="A265" s="110" t="s">
        <v>1346</v>
      </c>
      <c r="B265" s="110">
        <v>109</v>
      </c>
      <c r="C265" s="110">
        <v>0.63019999999999998</v>
      </c>
      <c r="E265" s="112">
        <v>43125</v>
      </c>
    </row>
    <row r="266" spans="1:5" ht="13.95" customHeight="1">
      <c r="A266" s="110" t="s">
        <v>1344</v>
      </c>
      <c r="B266" s="110">
        <v>140</v>
      </c>
      <c r="C266" s="110">
        <v>0.60780000000000001</v>
      </c>
      <c r="E266" s="112">
        <v>43125</v>
      </c>
    </row>
    <row r="267" spans="1:5" ht="13.95" customHeight="1">
      <c r="A267" s="110" t="s">
        <v>1343</v>
      </c>
      <c r="B267" s="110">
        <v>201</v>
      </c>
      <c r="C267" s="110">
        <v>0.63959999999999995</v>
      </c>
      <c r="D267" s="110" t="s">
        <v>2120</v>
      </c>
      <c r="E267" s="112">
        <v>43122</v>
      </c>
    </row>
    <row r="268" spans="1:5" ht="13.95" customHeight="1">
      <c r="A268" s="181" t="s">
        <v>1342</v>
      </c>
      <c r="B268" s="110">
        <v>130</v>
      </c>
      <c r="C268" s="110">
        <v>0.56599999999999995</v>
      </c>
      <c r="E268" s="112">
        <v>42879</v>
      </c>
    </row>
    <row r="269" spans="1:5" ht="13.95" customHeight="1">
      <c r="A269" s="110" t="s">
        <v>1341</v>
      </c>
      <c r="B269" s="110" t="s">
        <v>2073</v>
      </c>
      <c r="C269" s="110">
        <v>0.56469999999999998</v>
      </c>
      <c r="D269" s="110" t="s">
        <v>2111</v>
      </c>
      <c r="E269" s="112">
        <v>43122</v>
      </c>
    </row>
    <row r="270" spans="1:5" ht="13.95" customHeight="1">
      <c r="A270" s="110" t="s">
        <v>1340</v>
      </c>
      <c r="B270" s="110">
        <v>208</v>
      </c>
      <c r="C270" s="110">
        <v>0.91</v>
      </c>
      <c r="E270" s="112">
        <v>42879</v>
      </c>
    </row>
    <row r="271" spans="1:5" ht="13.95" customHeight="1">
      <c r="A271" s="110" t="s">
        <v>1338</v>
      </c>
      <c r="B271" s="110">
        <v>199</v>
      </c>
      <c r="C271" s="110">
        <v>0.65500000000000003</v>
      </c>
      <c r="E271" s="112">
        <v>42881</v>
      </c>
    </row>
    <row r="272" spans="1:5" ht="13.95" customHeight="1">
      <c r="A272" s="110" t="s">
        <v>1337</v>
      </c>
      <c r="B272" s="110">
        <v>194</v>
      </c>
      <c r="C272" s="110">
        <v>0.63500000000000001</v>
      </c>
      <c r="E272" s="112">
        <v>42881</v>
      </c>
    </row>
    <row r="273" spans="1:5" ht="13.95" customHeight="1">
      <c r="A273" s="110" t="s">
        <v>1335</v>
      </c>
      <c r="B273" s="110" t="s">
        <v>2073</v>
      </c>
      <c r="C273" s="110">
        <v>0.69089999999999996</v>
      </c>
      <c r="D273" s="110" t="s">
        <v>2120</v>
      </c>
      <c r="E273" s="112">
        <v>43122</v>
      </c>
    </row>
    <row r="274" spans="1:5" ht="13.95" customHeight="1">
      <c r="A274" s="110" t="s">
        <v>1334</v>
      </c>
      <c r="B274" s="110">
        <v>213</v>
      </c>
      <c r="C274" s="110">
        <v>0.83</v>
      </c>
      <c r="E274" s="112">
        <v>42881</v>
      </c>
    </row>
    <row r="275" spans="1:5" ht="13.95" customHeight="1">
      <c r="A275" s="110" t="s">
        <v>1332</v>
      </c>
      <c r="B275" s="110" t="s">
        <v>2073</v>
      </c>
      <c r="C275" s="110">
        <v>0.67769999999999997</v>
      </c>
      <c r="E275" s="112">
        <v>43122</v>
      </c>
    </row>
    <row r="276" spans="1:5" ht="13.95" customHeight="1">
      <c r="A276" s="110" t="s">
        <v>1330</v>
      </c>
      <c r="B276" s="110" t="s">
        <v>2073</v>
      </c>
      <c r="C276" s="110">
        <v>0.72160000000000002</v>
      </c>
      <c r="D276" s="110" t="s">
        <v>2125</v>
      </c>
      <c r="E276" s="112">
        <v>43122</v>
      </c>
    </row>
    <row r="277" spans="1:5" ht="13.95" customHeight="1">
      <c r="A277" s="110" t="s">
        <v>1329</v>
      </c>
      <c r="B277" s="110">
        <v>21</v>
      </c>
      <c r="C277" s="110">
        <v>0.66739999999999999</v>
      </c>
      <c r="E277" s="112">
        <v>43122</v>
      </c>
    </row>
    <row r="278" spans="1:5" ht="13.95" customHeight="1">
      <c r="A278" s="110" t="s">
        <v>1327</v>
      </c>
      <c r="B278" s="110">
        <v>86</v>
      </c>
      <c r="C278" s="110">
        <v>0.78249999999999997</v>
      </c>
      <c r="E278" s="112">
        <v>43123</v>
      </c>
    </row>
    <row r="279" spans="1:5" ht="13.95" customHeight="1">
      <c r="A279" t="s">
        <v>1326</v>
      </c>
      <c r="B279" s="110">
        <v>113</v>
      </c>
      <c r="C279" s="110">
        <v>0.61099999999999999</v>
      </c>
      <c r="E279" s="112">
        <v>42878</v>
      </c>
    </row>
    <row r="280" spans="1:5" ht="13.95" customHeight="1">
      <c r="A280" s="110" t="s">
        <v>1325</v>
      </c>
      <c r="B280" s="110">
        <v>132</v>
      </c>
      <c r="C280" s="110">
        <v>0.56820000000000004</v>
      </c>
      <c r="D280" s="110" t="s">
        <v>2102</v>
      </c>
      <c r="E280" s="112">
        <v>43125</v>
      </c>
    </row>
    <row r="281" spans="1:5" ht="13.95" customHeight="1">
      <c r="A281" s="110" t="s">
        <v>1323</v>
      </c>
      <c r="B281" s="110">
        <v>219</v>
      </c>
      <c r="C281" s="110">
        <v>0.70650000000000002</v>
      </c>
      <c r="D281" s="110" t="s">
        <v>2078</v>
      </c>
      <c r="E281" s="112">
        <v>43125</v>
      </c>
    </row>
    <row r="282" spans="1:5" ht="13.95" customHeight="1">
      <c r="A282" s="110" t="s">
        <v>1322</v>
      </c>
      <c r="B282" s="110">
        <v>100</v>
      </c>
      <c r="C282" s="110">
        <v>0.59699999999999998</v>
      </c>
      <c r="E282" s="112">
        <v>42881</v>
      </c>
    </row>
    <row r="283" spans="1:5" ht="13.95" customHeight="1">
      <c r="A283" s="110" t="s">
        <v>1321</v>
      </c>
      <c r="B283" s="110">
        <v>105</v>
      </c>
      <c r="C283" s="110">
        <v>0.72399999999999998</v>
      </c>
      <c r="E283" s="112">
        <v>42879</v>
      </c>
    </row>
    <row r="284" spans="1:5" ht="13.95" customHeight="1">
      <c r="A284" s="110" t="s">
        <v>1320</v>
      </c>
      <c r="B284" s="110">
        <v>98</v>
      </c>
      <c r="C284" s="110">
        <v>0.629</v>
      </c>
      <c r="E284" s="112">
        <v>42881</v>
      </c>
    </row>
    <row r="285" spans="1:5" ht="13.95" customHeight="1">
      <c r="A285" t="s">
        <v>1318</v>
      </c>
      <c r="B285" s="110">
        <v>35</v>
      </c>
      <c r="C285" s="110">
        <v>0.71699999999999997</v>
      </c>
      <c r="D285" s="110" t="s">
        <v>2061</v>
      </c>
      <c r="E285" s="112">
        <v>42879</v>
      </c>
    </row>
    <row r="286" spans="1:5" ht="13.95" customHeight="1">
      <c r="A286" s="110" t="s">
        <v>1317</v>
      </c>
      <c r="B286" s="110" t="s">
        <v>2073</v>
      </c>
      <c r="C286" s="110">
        <v>0.73760000000000003</v>
      </c>
      <c r="D286" s="110" t="s">
        <v>2121</v>
      </c>
      <c r="E286" s="112">
        <v>43122</v>
      </c>
    </row>
    <row r="287" spans="1:5" ht="13.95" customHeight="1">
      <c r="A287" s="110" t="s">
        <v>1314</v>
      </c>
      <c r="B287" s="110">
        <v>174</v>
      </c>
      <c r="C287" s="110">
        <v>0.63500000000000001</v>
      </c>
      <c r="E287" s="112">
        <v>42881</v>
      </c>
    </row>
    <row r="288" spans="1:5" ht="13.95" customHeight="1">
      <c r="A288" s="110" t="s">
        <v>1313</v>
      </c>
      <c r="B288" s="110" t="s">
        <v>2073</v>
      </c>
      <c r="C288" s="110">
        <v>0.57869999999999999</v>
      </c>
      <c r="E288" s="112">
        <v>43122</v>
      </c>
    </row>
    <row r="289" spans="1:5" ht="13.95" customHeight="1">
      <c r="A289" s="110" t="s">
        <v>1312</v>
      </c>
      <c r="B289" s="110" t="s">
        <v>2055</v>
      </c>
      <c r="C289" s="110">
        <v>0.626</v>
      </c>
      <c r="E289" s="112">
        <v>42881</v>
      </c>
    </row>
    <row r="290" spans="1:5" ht="13.95" customHeight="1">
      <c r="A290" s="110" t="s">
        <v>1311</v>
      </c>
      <c r="B290" s="110" t="s">
        <v>2073</v>
      </c>
      <c r="C290" s="110">
        <v>0.87490000000000001</v>
      </c>
      <c r="E290" s="112">
        <v>43119</v>
      </c>
    </row>
    <row r="291" spans="1:5" ht="13.95" customHeight="1">
      <c r="A291" s="110" t="s">
        <v>1310</v>
      </c>
      <c r="B291" s="110">
        <v>125</v>
      </c>
      <c r="C291" s="110">
        <v>0.60099999999999998</v>
      </c>
      <c r="E291" s="112">
        <v>42881</v>
      </c>
    </row>
    <row r="292" spans="1:5" ht="13.95" customHeight="1">
      <c r="A292" s="110" t="s">
        <v>1309</v>
      </c>
      <c r="B292" s="110" t="s">
        <v>2073</v>
      </c>
      <c r="C292" s="110">
        <v>0.60680000000000001</v>
      </c>
      <c r="E292" s="112">
        <v>43122</v>
      </c>
    </row>
    <row r="293" spans="1:5" ht="13.95" customHeight="1">
      <c r="A293" s="110" t="s">
        <v>1308</v>
      </c>
      <c r="B293" s="110" t="s">
        <v>2073</v>
      </c>
      <c r="C293" s="110">
        <v>0.57879999999999998</v>
      </c>
      <c r="D293" s="110" t="s">
        <v>2111</v>
      </c>
      <c r="E293" s="112">
        <v>43119</v>
      </c>
    </row>
    <row r="294" spans="1:5" ht="13.95" customHeight="1">
      <c r="A294" s="110" t="s">
        <v>1307</v>
      </c>
      <c r="B294" s="110">
        <v>163</v>
      </c>
      <c r="C294" s="110">
        <v>0.68700000000000006</v>
      </c>
      <c r="E294" s="112">
        <v>42881</v>
      </c>
    </row>
    <row r="295" spans="1:5" ht="13.95" customHeight="1">
      <c r="A295" s="110" t="s">
        <v>1306</v>
      </c>
      <c r="B295" s="110" t="s">
        <v>2073</v>
      </c>
      <c r="C295" s="110">
        <v>0.62919999999999998</v>
      </c>
      <c r="E295" s="112">
        <v>43119</v>
      </c>
    </row>
    <row r="296" spans="1:5" ht="13.95" customHeight="1">
      <c r="A296" s="110" t="s">
        <v>1305</v>
      </c>
      <c r="B296" s="110">
        <v>135</v>
      </c>
      <c r="C296" s="110">
        <v>0.61099999999999999</v>
      </c>
      <c r="E296" s="112">
        <v>42881</v>
      </c>
    </row>
    <row r="297" spans="1:5" ht="13.95" customHeight="1">
      <c r="A297" s="110" t="s">
        <v>1304</v>
      </c>
      <c r="B297" s="110">
        <v>131</v>
      </c>
      <c r="C297" s="110">
        <v>0.6613</v>
      </c>
      <c r="D297" s="110" t="s">
        <v>2100</v>
      </c>
      <c r="E297" s="112">
        <v>43125</v>
      </c>
    </row>
    <row r="298" spans="1:5" ht="13.95" customHeight="1">
      <c r="A298" s="110" t="s">
        <v>1303</v>
      </c>
      <c r="B298" s="110">
        <v>136</v>
      </c>
      <c r="C298" s="110">
        <v>0.59630000000000005</v>
      </c>
      <c r="E298" s="112">
        <v>43125</v>
      </c>
    </row>
    <row r="299" spans="1:5" ht="13.95" customHeight="1">
      <c r="A299" s="110" t="s">
        <v>1301</v>
      </c>
      <c r="B299" s="110">
        <v>126</v>
      </c>
      <c r="C299" s="110">
        <v>0.67800000000000005</v>
      </c>
      <c r="D299" s="110" t="s">
        <v>2138</v>
      </c>
      <c r="E299" s="112">
        <v>42878</v>
      </c>
    </row>
    <row r="300" spans="1:5" ht="13.95" customHeight="1">
      <c r="A300" s="110" t="s">
        <v>1298</v>
      </c>
      <c r="B300" s="110">
        <v>1</v>
      </c>
      <c r="C300" s="110">
        <v>0.47</v>
      </c>
      <c r="E300" s="112">
        <v>43122</v>
      </c>
    </row>
    <row r="301" spans="1:5" ht="13.95" customHeight="1">
      <c r="A301" s="110" t="s">
        <v>1297</v>
      </c>
      <c r="B301" s="110" t="s">
        <v>2073</v>
      </c>
      <c r="C301" s="110">
        <v>0.7681</v>
      </c>
      <c r="E301" s="112">
        <v>43119</v>
      </c>
    </row>
    <row r="302" spans="1:5" ht="13.95" customHeight="1">
      <c r="A302" s="110" t="s">
        <v>1296</v>
      </c>
      <c r="B302" s="110" t="s">
        <v>2073</v>
      </c>
      <c r="C302" s="110">
        <v>0.6452</v>
      </c>
      <c r="D302" s="110" t="s">
        <v>2111</v>
      </c>
      <c r="E302" s="112">
        <v>43119</v>
      </c>
    </row>
    <row r="303" spans="1:5" ht="13.95" customHeight="1">
      <c r="A303" s="110" t="s">
        <v>1295</v>
      </c>
      <c r="B303" s="110">
        <v>216</v>
      </c>
      <c r="C303" s="110">
        <v>0.88700000000000001</v>
      </c>
      <c r="E303" s="112">
        <v>42879</v>
      </c>
    </row>
    <row r="304" spans="1:5" ht="13.95" customHeight="1">
      <c r="A304" s="110" t="s">
        <v>1294</v>
      </c>
      <c r="B304" s="110">
        <v>134</v>
      </c>
      <c r="C304" s="110">
        <v>0.69399999999999995</v>
      </c>
      <c r="E304" s="112">
        <v>42881</v>
      </c>
    </row>
    <row r="305" spans="1:5" ht="13.95" customHeight="1">
      <c r="A305" s="110" t="s">
        <v>1292</v>
      </c>
      <c r="B305" s="110">
        <v>120</v>
      </c>
      <c r="C305" s="110">
        <v>0.67110000000000003</v>
      </c>
      <c r="D305" s="110" t="s">
        <v>2105</v>
      </c>
      <c r="E305" s="112">
        <v>43125</v>
      </c>
    </row>
    <row r="306" spans="1:5" ht="13.95" customHeight="1">
      <c r="A306" s="110" t="s">
        <v>1290</v>
      </c>
      <c r="B306" s="110">
        <v>66</v>
      </c>
      <c r="C306" s="110">
        <v>0.93500000000000005</v>
      </c>
      <c r="E306" s="112">
        <v>43122</v>
      </c>
    </row>
    <row r="307" spans="1:5" ht="13.95" customHeight="1">
      <c r="A307" s="110" t="s">
        <v>1289</v>
      </c>
      <c r="B307" s="110">
        <v>214</v>
      </c>
      <c r="C307" s="110">
        <v>0.71299999999999997</v>
      </c>
      <c r="E307" s="112">
        <v>42878</v>
      </c>
    </row>
    <row r="308" spans="1:5" ht="13.95" customHeight="1">
      <c r="A308" s="110" t="s">
        <v>1288</v>
      </c>
      <c r="B308" s="110">
        <v>146</v>
      </c>
      <c r="C308" s="110">
        <v>0.59199999999999997</v>
      </c>
      <c r="D308" s="110" t="s">
        <v>2121</v>
      </c>
      <c r="E308" s="112">
        <v>42878</v>
      </c>
    </row>
    <row r="309" spans="1:5" ht="13.95" customHeight="1">
      <c r="A309" s="402" t="s">
        <v>1287</v>
      </c>
      <c r="B309" s="110">
        <v>92</v>
      </c>
      <c r="C309" s="110">
        <v>1.448</v>
      </c>
      <c r="E309" s="112">
        <v>42879</v>
      </c>
    </row>
    <row r="310" spans="1:5" ht="13.95" customHeight="1">
      <c r="A310" s="110" t="s">
        <v>1286</v>
      </c>
      <c r="B310" s="110">
        <v>42</v>
      </c>
      <c r="C310" s="110">
        <v>0.72199999999999998</v>
      </c>
      <c r="E310" s="112">
        <v>42881</v>
      </c>
    </row>
    <row r="311" spans="1:5" ht="13.95" customHeight="1">
      <c r="A311" s="110" t="s">
        <v>1285</v>
      </c>
      <c r="B311" s="110">
        <v>99</v>
      </c>
      <c r="C311" s="110">
        <v>0.65149999999999997</v>
      </c>
      <c r="E311" s="112">
        <v>43123</v>
      </c>
    </row>
    <row r="312" spans="1:5" ht="13.95" customHeight="1">
      <c r="A312" s="110" t="s">
        <v>1282</v>
      </c>
      <c r="B312" s="110">
        <v>131</v>
      </c>
      <c r="C312" s="110">
        <v>0.62819999999999998</v>
      </c>
      <c r="E312" s="112">
        <v>43125</v>
      </c>
    </row>
    <row r="313" spans="1:5" ht="13.95" customHeight="1">
      <c r="A313" s="110" t="s">
        <v>1281</v>
      </c>
      <c r="B313" s="110">
        <v>113</v>
      </c>
      <c r="C313" s="110">
        <v>0.70799999999999996</v>
      </c>
      <c r="E313" s="112">
        <v>42878</v>
      </c>
    </row>
    <row r="314" spans="1:5" ht="13.95" customHeight="1">
      <c r="A314" s="110" t="s">
        <v>1280</v>
      </c>
      <c r="B314" s="110">
        <v>202</v>
      </c>
      <c r="C314" s="110">
        <v>0.98199999999999998</v>
      </c>
      <c r="D314" s="110" t="s">
        <v>2050</v>
      </c>
      <c r="E314" s="112">
        <v>42881</v>
      </c>
    </row>
    <row r="315" spans="1:5" ht="13.95" customHeight="1">
      <c r="A315" s="110" t="s">
        <v>1278</v>
      </c>
      <c r="B315" s="110">
        <v>175</v>
      </c>
      <c r="C315" s="110">
        <v>0.58099999999999996</v>
      </c>
      <c r="E315" s="112">
        <v>42879</v>
      </c>
    </row>
    <row r="316" spans="1:5" ht="13.95" customHeight="1">
      <c r="A316" s="110" t="s">
        <v>1277</v>
      </c>
      <c r="B316" s="110">
        <v>202</v>
      </c>
      <c r="C316" s="110">
        <v>0.84</v>
      </c>
      <c r="E316" s="112">
        <v>42881</v>
      </c>
    </row>
    <row r="317" spans="1:5" ht="13.95" customHeight="1">
      <c r="A317" s="110" t="s">
        <v>1276</v>
      </c>
      <c r="B317" s="110">
        <v>44</v>
      </c>
      <c r="C317" s="110">
        <v>0.89559999999999995</v>
      </c>
      <c r="D317" s="110" t="s">
        <v>2075</v>
      </c>
      <c r="E317" s="112">
        <v>43125</v>
      </c>
    </row>
    <row r="318" spans="1:5" ht="13.95" customHeight="1">
      <c r="A318" t="s">
        <v>1275</v>
      </c>
      <c r="B318" s="110">
        <v>141</v>
      </c>
      <c r="C318" s="110">
        <v>0.69099999999999995</v>
      </c>
      <c r="E318" s="112">
        <v>42878</v>
      </c>
    </row>
    <row r="319" spans="1:5" ht="13.95" customHeight="1">
      <c r="A319" s="110" t="s">
        <v>1273</v>
      </c>
      <c r="B319" s="110">
        <v>157</v>
      </c>
      <c r="C319" s="110">
        <v>0.70499999999999996</v>
      </c>
      <c r="D319" s="110" t="s">
        <v>2050</v>
      </c>
      <c r="E319" s="112">
        <v>42879</v>
      </c>
    </row>
    <row r="320" spans="1:5" ht="13.95" customHeight="1">
      <c r="A320" s="110" t="s">
        <v>1272</v>
      </c>
      <c r="B320" s="110">
        <v>115</v>
      </c>
      <c r="C320" s="110">
        <v>0.73709999999999998</v>
      </c>
      <c r="E320" s="112">
        <v>43125</v>
      </c>
    </row>
    <row r="321" spans="1:5" ht="13.95" customHeight="1">
      <c r="A321" s="110" t="s">
        <v>1271</v>
      </c>
      <c r="B321" s="110">
        <v>132</v>
      </c>
      <c r="C321" s="110">
        <v>0.63490000000000002</v>
      </c>
      <c r="E321" s="112">
        <v>43125</v>
      </c>
    </row>
    <row r="322" spans="1:5" ht="13.95" customHeight="1">
      <c r="A322" s="110" t="s">
        <v>1269</v>
      </c>
      <c r="B322" s="110">
        <v>178</v>
      </c>
      <c r="C322" s="110">
        <v>0.62549999999999994</v>
      </c>
      <c r="D322" s="110" t="s">
        <v>2086</v>
      </c>
      <c r="E322" s="112">
        <v>43125</v>
      </c>
    </row>
    <row r="323" spans="1:5" ht="13.95" customHeight="1">
      <c r="A323" s="110" t="s">
        <v>1268</v>
      </c>
      <c r="B323" s="110" t="s">
        <v>2073</v>
      </c>
      <c r="C323" s="110">
        <v>0.6169</v>
      </c>
      <c r="D323" s="110" t="s">
        <v>2120</v>
      </c>
      <c r="E323" s="112">
        <v>43122</v>
      </c>
    </row>
    <row r="324" spans="1:5" ht="13.95" customHeight="1">
      <c r="A324" s="110" t="s">
        <v>1267</v>
      </c>
      <c r="B324" s="110">
        <v>180</v>
      </c>
      <c r="C324" s="110">
        <v>0.627</v>
      </c>
      <c r="E324" s="112">
        <v>43119</v>
      </c>
    </row>
    <row r="325" spans="1:5" ht="13.95" customHeight="1">
      <c r="A325" s="110" t="s">
        <v>1266</v>
      </c>
      <c r="B325" s="110">
        <v>144</v>
      </c>
      <c r="C325" s="110">
        <v>0.78500000000000003</v>
      </c>
      <c r="E325" s="112">
        <v>42881</v>
      </c>
    </row>
    <row r="326" spans="1:5" ht="13.95" customHeight="1">
      <c r="A326" s="110" t="s">
        <v>1265</v>
      </c>
      <c r="B326" s="110">
        <v>198</v>
      </c>
      <c r="C326" s="110">
        <v>0.64690000000000003</v>
      </c>
      <c r="E326" s="112">
        <v>43125</v>
      </c>
    </row>
    <row r="327" spans="1:5" ht="13.95" customHeight="1">
      <c r="A327" s="110" t="s">
        <v>1264</v>
      </c>
      <c r="B327" s="110">
        <v>212</v>
      </c>
      <c r="C327" s="110">
        <v>0.86439999999999995</v>
      </c>
      <c r="E327" s="112">
        <v>43123</v>
      </c>
    </row>
    <row r="328" spans="1:5" ht="13.95" customHeight="1">
      <c r="A328" s="110" t="s">
        <v>1263</v>
      </c>
      <c r="B328" s="110">
        <v>140</v>
      </c>
      <c r="C328" s="110">
        <v>0.67869999999999997</v>
      </c>
      <c r="E328" s="112">
        <v>43125</v>
      </c>
    </row>
    <row r="329" spans="1:5" ht="13.95" customHeight="1">
      <c r="A329" s="178" t="s">
        <v>1261</v>
      </c>
      <c r="B329" s="110">
        <v>117</v>
      </c>
      <c r="C329" s="110">
        <v>0.79800000000000004</v>
      </c>
      <c r="D329" s="110" t="s">
        <v>2067</v>
      </c>
      <c r="E329" s="112">
        <v>42878</v>
      </c>
    </row>
    <row r="330" spans="1:5" ht="13.95" customHeight="1">
      <c r="A330" s="265" t="s">
        <v>1259</v>
      </c>
      <c r="B330" s="110">
        <v>118</v>
      </c>
      <c r="C330" s="110">
        <v>0.64600000000000002</v>
      </c>
      <c r="E330" s="112">
        <v>42879</v>
      </c>
    </row>
    <row r="331" spans="1:5" ht="13.95" customHeight="1">
      <c r="A331" s="110" t="s">
        <v>1257</v>
      </c>
      <c r="B331" s="110">
        <v>125</v>
      </c>
      <c r="C331" s="110">
        <v>0.77200000000000002</v>
      </c>
      <c r="E331" s="112">
        <v>42881</v>
      </c>
    </row>
    <row r="332" spans="1:5" ht="13.95" customHeight="1">
      <c r="A332" s="110" t="s">
        <v>1255</v>
      </c>
      <c r="B332" s="110">
        <v>217</v>
      </c>
      <c r="C332" s="110">
        <v>0.78100000000000003</v>
      </c>
      <c r="E332" s="112">
        <v>42881</v>
      </c>
    </row>
    <row r="333" spans="1:5" ht="13.95" customHeight="1">
      <c r="A333" s="110" t="s">
        <v>1254</v>
      </c>
      <c r="B333" s="110">
        <v>221</v>
      </c>
      <c r="C333" s="110">
        <v>0.67200000000000004</v>
      </c>
      <c r="E333" s="112">
        <v>42878</v>
      </c>
    </row>
    <row r="334" spans="1:5" ht="13.95" customHeight="1">
      <c r="A334" s="178" t="s">
        <v>1252</v>
      </c>
      <c r="B334" s="110">
        <v>139</v>
      </c>
      <c r="C334" s="110">
        <v>0.73499999999999999</v>
      </c>
      <c r="E334" s="112">
        <v>42878</v>
      </c>
    </row>
    <row r="335" spans="1:5" ht="13.95" customHeight="1">
      <c r="A335" s="110" t="s">
        <v>1251</v>
      </c>
      <c r="B335" s="110" t="s">
        <v>2073</v>
      </c>
      <c r="C335" s="110">
        <v>0.63380000000000003</v>
      </c>
      <c r="E335" s="112">
        <v>43123</v>
      </c>
    </row>
    <row r="336" spans="1:5" ht="13.95" customHeight="1">
      <c r="A336" s="110" t="s">
        <v>1250</v>
      </c>
      <c r="B336" s="110" t="s">
        <v>2073</v>
      </c>
      <c r="C336" s="110">
        <v>0.58630000000000004</v>
      </c>
      <c r="E336" s="112">
        <v>43116</v>
      </c>
    </row>
    <row r="337" spans="1:9" ht="13.95" customHeight="1">
      <c r="A337" s="110" t="s">
        <v>1249</v>
      </c>
      <c r="B337" s="110">
        <v>150</v>
      </c>
      <c r="C337" s="110">
        <v>0.60099999999999998</v>
      </c>
      <c r="E337" s="112">
        <v>42879</v>
      </c>
    </row>
    <row r="338" spans="1:9" ht="13.95" customHeight="1">
      <c r="A338" s="110" t="s">
        <v>1248</v>
      </c>
      <c r="B338" s="110">
        <v>119</v>
      </c>
      <c r="C338" s="110">
        <v>0.65200000000000002</v>
      </c>
      <c r="D338"/>
      <c r="E338" s="112">
        <v>42881</v>
      </c>
    </row>
    <row r="339" spans="1:9" ht="13.95" customHeight="1">
      <c r="A339" s="178" t="s">
        <v>1247</v>
      </c>
      <c r="B339" s="110">
        <v>114</v>
      </c>
      <c r="C339" s="110">
        <v>0.64300000000000002</v>
      </c>
      <c r="E339" s="112">
        <v>42878</v>
      </c>
    </row>
    <row r="340" spans="1:9" ht="13.95" customHeight="1">
      <c r="A340" s="110" t="s">
        <v>1246</v>
      </c>
      <c r="B340" s="110">
        <v>217</v>
      </c>
      <c r="C340" s="110">
        <v>0.66200000000000003</v>
      </c>
      <c r="E340" s="112">
        <v>42881</v>
      </c>
    </row>
    <row r="341" spans="1:9" ht="13.95" customHeight="1">
      <c r="A341" s="110" t="s">
        <v>1245</v>
      </c>
      <c r="B341" s="110">
        <v>137</v>
      </c>
      <c r="C341" s="110">
        <v>1.5740000000000001</v>
      </c>
      <c r="D341" s="110" t="s">
        <v>2051</v>
      </c>
      <c r="E341" s="112">
        <v>42879</v>
      </c>
    </row>
    <row r="342" spans="1:9" ht="13.95" customHeight="1">
      <c r="A342" s="110" t="s">
        <v>1244</v>
      </c>
      <c r="B342" s="110">
        <v>104</v>
      </c>
      <c r="C342" s="110">
        <v>0.72499999999999998</v>
      </c>
      <c r="E342" s="112">
        <v>42878</v>
      </c>
    </row>
    <row r="343" spans="1:9" ht="13.95" customHeight="1">
      <c r="A343" s="110" t="s">
        <v>1243</v>
      </c>
      <c r="B343" s="110">
        <v>148</v>
      </c>
      <c r="C343" s="110">
        <v>0.74309999999999998</v>
      </c>
      <c r="E343" s="112">
        <v>43125</v>
      </c>
    </row>
    <row r="344" spans="1:9" ht="13.95" customHeight="1">
      <c r="A344" s="110" t="s">
        <v>1242</v>
      </c>
      <c r="B344" s="110" t="s">
        <v>2079</v>
      </c>
      <c r="C344" s="110">
        <v>0.54810000000000003</v>
      </c>
      <c r="E344" s="112">
        <v>43125</v>
      </c>
    </row>
    <row r="345" spans="1:9" ht="13.95" customHeight="1">
      <c r="A345" s="181" t="s">
        <v>1241</v>
      </c>
      <c r="B345" s="110">
        <v>160</v>
      </c>
      <c r="C345" s="110">
        <v>0.72</v>
      </c>
      <c r="E345" s="112">
        <v>42879</v>
      </c>
    </row>
    <row r="346" spans="1:9" ht="13.95" customHeight="1">
      <c r="A346" s="110" t="s">
        <v>1240</v>
      </c>
      <c r="B346" s="110">
        <v>165</v>
      </c>
      <c r="C346" s="110">
        <v>0.64800000000000002</v>
      </c>
      <c r="E346" s="112">
        <v>42878</v>
      </c>
    </row>
    <row r="347" spans="1:9" ht="13.95" customHeight="1">
      <c r="A347" t="s">
        <v>1239</v>
      </c>
      <c r="B347">
        <v>201</v>
      </c>
      <c r="C347">
        <v>0.56630000000000003</v>
      </c>
      <c r="D347" t="s">
        <v>2117</v>
      </c>
      <c r="E347" s="112">
        <v>43122</v>
      </c>
    </row>
    <row r="348" spans="1:9" ht="13.95" customHeight="1">
      <c r="A348" s="110" t="s">
        <v>1237</v>
      </c>
      <c r="B348" s="110">
        <v>24</v>
      </c>
      <c r="C348" s="110">
        <v>0.74790000000000001</v>
      </c>
      <c r="E348" s="112">
        <v>43122</v>
      </c>
    </row>
    <row r="349" spans="1:9" ht="13.95" customHeight="1">
      <c r="A349" s="110" t="s">
        <v>1236</v>
      </c>
      <c r="B349" s="110" t="s">
        <v>2073</v>
      </c>
      <c r="C349" s="110">
        <v>0.68300000000000005</v>
      </c>
      <c r="E349" s="112">
        <v>43122</v>
      </c>
    </row>
    <row r="350" spans="1:9" ht="13.95" customHeight="1">
      <c r="A350" s="110" t="s">
        <v>1235</v>
      </c>
      <c r="B350" s="110">
        <v>138</v>
      </c>
      <c r="C350" s="110">
        <v>0.64300000000000002</v>
      </c>
      <c r="E350" s="112">
        <v>42879</v>
      </c>
    </row>
    <row r="351" spans="1:9" ht="13.95" customHeight="1">
      <c r="A351" s="110" t="s">
        <v>1234</v>
      </c>
      <c r="B351" s="110" t="s">
        <v>2073</v>
      </c>
      <c r="C351" s="110">
        <v>0.67120000000000002</v>
      </c>
      <c r="D351" s="110" t="s">
        <v>2120</v>
      </c>
      <c r="E351" s="112">
        <v>43122</v>
      </c>
    </row>
    <row r="352" spans="1:9" ht="13.95" customHeight="1">
      <c r="A352" s="426" t="s">
        <v>1233</v>
      </c>
      <c r="B352" s="426">
        <v>142</v>
      </c>
      <c r="C352" s="427">
        <f>0.8401+F352</f>
        <v>0.99069999999999991</v>
      </c>
      <c r="D352" s="428" t="s">
        <v>3225</v>
      </c>
      <c r="E352" s="429">
        <v>42881</v>
      </c>
      <c r="F352" s="428">
        <f>0.1218+0.0288</f>
        <v>0.15060000000000001</v>
      </c>
      <c r="H352" s="405"/>
      <c r="I352" s="180"/>
    </row>
    <row r="353" spans="1:5" ht="13.95" customHeight="1">
      <c r="A353" s="110" t="s">
        <v>1232</v>
      </c>
      <c r="B353" s="110" t="s">
        <v>2073</v>
      </c>
      <c r="C353" s="110">
        <v>0.60450000000000004</v>
      </c>
      <c r="E353" s="112">
        <v>43119</v>
      </c>
    </row>
    <row r="354" spans="1:5" ht="13.95" customHeight="1">
      <c r="A354" s="110" t="s">
        <v>1231</v>
      </c>
      <c r="B354" s="110">
        <v>129</v>
      </c>
      <c r="C354" s="110">
        <v>0.59719999999999995</v>
      </c>
      <c r="E354" s="112">
        <v>43125</v>
      </c>
    </row>
    <row r="355" spans="1:5" ht="13.95" customHeight="1">
      <c r="A355" s="110" t="s">
        <v>1230</v>
      </c>
      <c r="B355" s="110">
        <v>134</v>
      </c>
      <c r="C355" s="110">
        <v>0.53400000000000003</v>
      </c>
      <c r="D355" s="110" t="s">
        <v>2050</v>
      </c>
      <c r="E355" s="112">
        <v>42881</v>
      </c>
    </row>
    <row r="356" spans="1:5" ht="13.95" customHeight="1">
      <c r="A356" s="110" t="s">
        <v>1229</v>
      </c>
      <c r="B356" s="110">
        <v>195</v>
      </c>
      <c r="C356" s="110">
        <v>0.7641</v>
      </c>
      <c r="D356" s="110" t="s">
        <v>2081</v>
      </c>
      <c r="E356" s="112">
        <v>43125</v>
      </c>
    </row>
    <row r="357" spans="1:5" ht="13.95" customHeight="1">
      <c r="A357" s="110" t="s">
        <v>1228</v>
      </c>
      <c r="B357" s="110">
        <v>221</v>
      </c>
      <c r="C357" s="110">
        <v>0.85699999999999998</v>
      </c>
      <c r="D357" s="110" t="s">
        <v>2132</v>
      </c>
      <c r="E357" s="112">
        <v>42878</v>
      </c>
    </row>
    <row r="358" spans="1:5" ht="13.95" customHeight="1">
      <c r="A358" s="402" t="s">
        <v>1226</v>
      </c>
      <c r="B358" s="110">
        <v>102</v>
      </c>
      <c r="C358" s="110">
        <v>0.56499999999999995</v>
      </c>
      <c r="E358" s="112">
        <v>42881</v>
      </c>
    </row>
    <row r="359" spans="1:5" ht="13.95" customHeight="1">
      <c r="A359" s="110" t="s">
        <v>1225</v>
      </c>
      <c r="B359" s="110">
        <v>121</v>
      </c>
      <c r="C359" s="110">
        <v>0.61199999999999999</v>
      </c>
      <c r="E359" s="112">
        <v>42879</v>
      </c>
    </row>
    <row r="360" spans="1:5" ht="13.95" customHeight="1">
      <c r="A360" s="110" t="s">
        <v>1224</v>
      </c>
      <c r="B360" s="110" t="s">
        <v>2073</v>
      </c>
      <c r="C360" s="110">
        <v>0.60060000000000002</v>
      </c>
      <c r="E360" s="112">
        <v>43119</v>
      </c>
    </row>
    <row r="361" spans="1:5" ht="13.95" customHeight="1">
      <c r="A361" s="402" t="s">
        <v>1223</v>
      </c>
      <c r="B361" s="110">
        <v>155</v>
      </c>
      <c r="C361" s="110">
        <v>0.63800000000000001</v>
      </c>
      <c r="E361" s="112">
        <v>42879</v>
      </c>
    </row>
    <row r="362" spans="1:5" ht="13.95" customHeight="1">
      <c r="A362" s="181" t="s">
        <v>1222</v>
      </c>
      <c r="B362" s="110">
        <v>100</v>
      </c>
      <c r="C362" s="110">
        <v>0.57399999999999995</v>
      </c>
      <c r="E362" s="112">
        <v>42881</v>
      </c>
    </row>
    <row r="363" spans="1:5" ht="13.95" customHeight="1">
      <c r="A363" s="110" t="s">
        <v>1220</v>
      </c>
      <c r="B363" s="110">
        <v>130</v>
      </c>
      <c r="C363" s="110">
        <v>0.54</v>
      </c>
      <c r="E363" s="112">
        <v>42879</v>
      </c>
    </row>
    <row r="364" spans="1:5" ht="13.95" customHeight="1">
      <c r="A364" s="390" t="s">
        <v>1219</v>
      </c>
      <c r="B364" s="110">
        <v>111</v>
      </c>
      <c r="C364" s="110">
        <v>0.66200000000000003</v>
      </c>
      <c r="D364" s="110" t="s">
        <v>2051</v>
      </c>
      <c r="E364" s="112">
        <v>42879</v>
      </c>
    </row>
    <row r="365" spans="1:5" ht="13.95" customHeight="1">
      <c r="A365" s="110" t="s">
        <v>1218</v>
      </c>
      <c r="B365" s="110">
        <v>136</v>
      </c>
      <c r="C365" s="110">
        <v>0.5796</v>
      </c>
      <c r="E365" s="112">
        <v>43125</v>
      </c>
    </row>
    <row r="366" spans="1:5" ht="13.95" customHeight="1">
      <c r="A366" s="181" t="s">
        <v>1217</v>
      </c>
      <c r="B366" s="110">
        <v>128</v>
      </c>
      <c r="C366" s="110">
        <v>0.57199999999999995</v>
      </c>
      <c r="E366" s="112">
        <v>42879</v>
      </c>
    </row>
    <row r="367" spans="1:5" ht="13.95" customHeight="1">
      <c r="A367" s="110" t="s">
        <v>1216</v>
      </c>
      <c r="B367" s="110">
        <v>128</v>
      </c>
      <c r="C367" s="110">
        <v>0.54500000000000004</v>
      </c>
      <c r="E367" s="112">
        <v>42879</v>
      </c>
    </row>
    <row r="368" spans="1:5" ht="13.95" customHeight="1">
      <c r="A368" s="181" t="s">
        <v>1215</v>
      </c>
      <c r="B368" s="110">
        <v>148</v>
      </c>
      <c r="C368" s="110">
        <v>0.24560000000000001</v>
      </c>
      <c r="D368" s="110" t="s">
        <v>2072</v>
      </c>
      <c r="E368" s="112">
        <v>43125</v>
      </c>
    </row>
    <row r="369" spans="1:5" ht="13.95" customHeight="1">
      <c r="A369" s="110" t="s">
        <v>1214</v>
      </c>
      <c r="B369" s="110">
        <v>143</v>
      </c>
      <c r="C369" s="110">
        <v>0.60970000000000002</v>
      </c>
      <c r="E369" s="112">
        <v>43125</v>
      </c>
    </row>
    <row r="370" spans="1:5" ht="13.95" customHeight="1">
      <c r="A370" t="s">
        <v>1213</v>
      </c>
      <c r="B370" s="110" t="s">
        <v>2055</v>
      </c>
      <c r="C370" s="110">
        <v>0.62</v>
      </c>
      <c r="E370" s="112">
        <v>42881</v>
      </c>
    </row>
    <row r="371" spans="1:5" ht="13.95" customHeight="1">
      <c r="A371" s="110" t="s">
        <v>1212</v>
      </c>
      <c r="B371" s="110" t="s">
        <v>2073</v>
      </c>
      <c r="C371" s="110">
        <v>0.70830000000000004</v>
      </c>
      <c r="E371" s="112">
        <v>43116</v>
      </c>
    </row>
    <row r="372" spans="1:5" ht="13.95" customHeight="1">
      <c r="A372" s="110" t="s">
        <v>1211</v>
      </c>
      <c r="B372" s="110">
        <v>122</v>
      </c>
      <c r="C372" s="110">
        <v>0.64200000000000002</v>
      </c>
      <c r="E372" s="112">
        <v>42878</v>
      </c>
    </row>
    <row r="373" spans="1:5" ht="13.95" customHeight="1">
      <c r="A373" s="110" t="s">
        <v>1210</v>
      </c>
      <c r="B373" s="110">
        <v>82</v>
      </c>
      <c r="C373" s="110">
        <v>0.74299999999999999</v>
      </c>
      <c r="E373" s="112">
        <v>42879</v>
      </c>
    </row>
    <row r="374" spans="1:5" ht="13.95" customHeight="1">
      <c r="A374" s="110" t="s">
        <v>1209</v>
      </c>
      <c r="B374" s="110">
        <v>126</v>
      </c>
      <c r="C374" s="110">
        <v>0.58499999999999996</v>
      </c>
      <c r="E374" s="112">
        <v>42878</v>
      </c>
    </row>
    <row r="375" spans="1:5" ht="13.95" customHeight="1">
      <c r="A375" s="390" t="s">
        <v>1208</v>
      </c>
      <c r="B375" s="110">
        <v>135</v>
      </c>
      <c r="C375" s="110">
        <v>0.56399999999999995</v>
      </c>
      <c r="E375" s="112">
        <v>42881</v>
      </c>
    </row>
    <row r="376" spans="1:5" ht="13.95" customHeight="1">
      <c r="A376" s="181" t="s">
        <v>1205</v>
      </c>
      <c r="B376" s="110">
        <v>108</v>
      </c>
      <c r="C376" s="110">
        <v>0.57699999999999996</v>
      </c>
      <c r="E376" s="112">
        <v>42881</v>
      </c>
    </row>
    <row r="377" spans="1:5" ht="13.95" customHeight="1">
      <c r="A377" s="110" t="s">
        <v>1204</v>
      </c>
      <c r="B377" s="110" t="s">
        <v>2073</v>
      </c>
      <c r="C377" s="110">
        <v>0.59309999999999996</v>
      </c>
      <c r="E377" s="112">
        <v>43123</v>
      </c>
    </row>
    <row r="378" spans="1:5" ht="13.95" customHeight="1">
      <c r="A378" s="110" t="s">
        <v>1203</v>
      </c>
      <c r="B378" s="110" t="s">
        <v>2073</v>
      </c>
      <c r="C378" s="110">
        <v>0.61809999999999998</v>
      </c>
      <c r="E378" s="112">
        <v>43122</v>
      </c>
    </row>
    <row r="379" spans="1:5" ht="13.95" customHeight="1">
      <c r="A379" s="110" t="s">
        <v>1201</v>
      </c>
      <c r="B379" s="110" t="s">
        <v>2073</v>
      </c>
      <c r="C379" s="110">
        <v>0.65239999999999998</v>
      </c>
      <c r="E379" s="112">
        <v>43122</v>
      </c>
    </row>
    <row r="380" spans="1:5" ht="13.95" customHeight="1">
      <c r="A380" s="390" t="s">
        <v>1200</v>
      </c>
      <c r="B380" s="110">
        <v>142</v>
      </c>
      <c r="C380" s="110">
        <v>0.78500000000000003</v>
      </c>
      <c r="E380" s="112">
        <v>42881</v>
      </c>
    </row>
    <row r="381" spans="1:5" ht="13.95" customHeight="1">
      <c r="A381" t="s">
        <v>1198</v>
      </c>
      <c r="B381" s="110">
        <v>112</v>
      </c>
      <c r="C381" s="110">
        <v>0.69799999999999995</v>
      </c>
      <c r="E381" s="112">
        <v>42878</v>
      </c>
    </row>
    <row r="382" spans="1:5" ht="13.95" customHeight="1">
      <c r="A382" s="110" t="s">
        <v>1197</v>
      </c>
      <c r="B382" s="110" t="s">
        <v>2073</v>
      </c>
      <c r="C382" s="110">
        <v>0.58509999999999995</v>
      </c>
      <c r="E382" s="112">
        <v>43119</v>
      </c>
    </row>
    <row r="383" spans="1:5" ht="13.95" customHeight="1">
      <c r="A383" s="110" t="s">
        <v>1194</v>
      </c>
      <c r="B383" s="110">
        <v>51</v>
      </c>
      <c r="C383" s="110">
        <v>0.77600000000000002</v>
      </c>
      <c r="E383" s="112">
        <v>42881</v>
      </c>
    </row>
    <row r="384" spans="1:5" ht="13.95" customHeight="1">
      <c r="A384" s="110" t="s">
        <v>1193</v>
      </c>
      <c r="B384" s="110">
        <v>137</v>
      </c>
      <c r="C384" s="110">
        <v>0.6</v>
      </c>
      <c r="E384" s="112">
        <v>42879</v>
      </c>
    </row>
    <row r="385" spans="1:5" ht="13.95" customHeight="1">
      <c r="A385" s="110" t="s">
        <v>1192</v>
      </c>
      <c r="B385" s="110" t="s">
        <v>2073</v>
      </c>
      <c r="C385" s="110">
        <v>0.69730000000000003</v>
      </c>
      <c r="E385" s="112">
        <v>43116</v>
      </c>
    </row>
    <row r="386" spans="1:5" ht="13.95" customHeight="1">
      <c r="A386" s="110" t="s">
        <v>1191</v>
      </c>
      <c r="B386" s="110">
        <v>155</v>
      </c>
      <c r="C386" s="110">
        <v>0.71599999999999997</v>
      </c>
      <c r="E386" s="112">
        <v>42879</v>
      </c>
    </row>
    <row r="387" spans="1:5" ht="13.95" customHeight="1">
      <c r="A387" s="110" t="s">
        <v>1190</v>
      </c>
      <c r="B387" s="110">
        <v>122</v>
      </c>
      <c r="C387" s="110">
        <v>0.76800000000000002</v>
      </c>
      <c r="D387" s="110" t="s">
        <v>2067</v>
      </c>
      <c r="E387" s="112">
        <v>42878</v>
      </c>
    </row>
    <row r="388" spans="1:5" ht="13.95" customHeight="1">
      <c r="A388" s="110" t="s">
        <v>1189</v>
      </c>
      <c r="B388" s="110">
        <v>105</v>
      </c>
      <c r="C388" s="110">
        <v>0.626</v>
      </c>
      <c r="E388" s="112">
        <v>42879</v>
      </c>
    </row>
    <row r="389" spans="1:5" ht="13.95" customHeight="1">
      <c r="A389" s="110" t="s">
        <v>1187</v>
      </c>
      <c r="B389" s="110" t="s">
        <v>2073</v>
      </c>
      <c r="C389" s="110">
        <v>0.64890000000000003</v>
      </c>
      <c r="E389" s="112">
        <v>43122</v>
      </c>
    </row>
    <row r="390" spans="1:5" ht="13.95" customHeight="1">
      <c r="A390" s="110" t="s">
        <v>1186</v>
      </c>
      <c r="B390" s="110">
        <v>25</v>
      </c>
      <c r="C390" s="116">
        <v>0.65839999999999999</v>
      </c>
      <c r="E390" s="112">
        <v>43116</v>
      </c>
    </row>
    <row r="391" spans="1:5" ht="13.95" customHeight="1">
      <c r="A391" s="110" t="s">
        <v>1185</v>
      </c>
      <c r="B391" s="110">
        <v>173</v>
      </c>
      <c r="C391" s="110">
        <v>0.65549999999999997</v>
      </c>
      <c r="E391" s="112">
        <v>42879</v>
      </c>
    </row>
    <row r="392" spans="1:5" ht="13.95" customHeight="1">
      <c r="A392" s="402" t="s">
        <v>1183</v>
      </c>
      <c r="B392" s="110">
        <v>124</v>
      </c>
      <c r="C392" s="110">
        <v>0.84799999999999998</v>
      </c>
      <c r="E392" s="112">
        <v>42881</v>
      </c>
    </row>
    <row r="393" spans="1:5" ht="13.95" customHeight="1">
      <c r="A393" s="110" t="s">
        <v>1181</v>
      </c>
      <c r="B393" s="110">
        <v>103</v>
      </c>
      <c r="C393" s="110">
        <v>0.55800000000000005</v>
      </c>
      <c r="E393" s="112">
        <v>42881</v>
      </c>
    </row>
    <row r="394" spans="1:5" ht="13.95" customHeight="1">
      <c r="A394" s="110" t="s">
        <v>1179</v>
      </c>
      <c r="B394" s="110" t="s">
        <v>2073</v>
      </c>
      <c r="C394" s="110">
        <v>0.83130000000000004</v>
      </c>
      <c r="D394" s="110" t="s">
        <v>2070</v>
      </c>
      <c r="E394" s="112">
        <v>43122</v>
      </c>
    </row>
    <row r="395" spans="1:5" ht="13.95" customHeight="1">
      <c r="A395" s="110" t="s">
        <v>1175</v>
      </c>
      <c r="B395" s="110" t="s">
        <v>2073</v>
      </c>
      <c r="C395" s="110">
        <v>0.62450000000000006</v>
      </c>
      <c r="E395" s="112">
        <v>43122</v>
      </c>
    </row>
    <row r="396" spans="1:5" ht="13.95" customHeight="1">
      <c r="A396" s="110" t="s">
        <v>1174</v>
      </c>
      <c r="B396" s="110">
        <v>160</v>
      </c>
      <c r="C396" s="110">
        <v>0.68100000000000005</v>
      </c>
      <c r="E396" s="112">
        <v>42879</v>
      </c>
    </row>
    <row r="397" spans="1:5" ht="13.95" customHeight="1">
      <c r="A397" s="110" t="s">
        <v>1173</v>
      </c>
      <c r="B397" s="110">
        <v>199</v>
      </c>
      <c r="C397" s="110">
        <v>0.67900000000000005</v>
      </c>
      <c r="E397" s="112">
        <v>42881</v>
      </c>
    </row>
    <row r="398" spans="1:5" ht="13.95" customHeight="1">
      <c r="A398" s="110" t="s">
        <v>1172</v>
      </c>
      <c r="B398" s="110">
        <v>147</v>
      </c>
      <c r="C398" s="110">
        <v>0.628</v>
      </c>
      <c r="D398" s="110" t="s">
        <v>2133</v>
      </c>
      <c r="E398" s="112">
        <v>42878</v>
      </c>
    </row>
    <row r="399" spans="1:5" ht="13.95" customHeight="1">
      <c r="A399" s="110" t="s">
        <v>1170</v>
      </c>
      <c r="B399" s="110">
        <v>139</v>
      </c>
      <c r="C399" s="110">
        <v>0.73599999999999999</v>
      </c>
      <c r="E399" s="112">
        <v>42878</v>
      </c>
    </row>
    <row r="400" spans="1:5" ht="13.95" customHeight="1">
      <c r="A400" s="110" t="s">
        <v>1169</v>
      </c>
      <c r="B400" s="110">
        <v>104</v>
      </c>
      <c r="C400" s="110">
        <v>0.61</v>
      </c>
      <c r="E400" s="112">
        <v>42878</v>
      </c>
    </row>
    <row r="401" spans="1:5" ht="13.95" customHeight="1">
      <c r="A401" s="178" t="s">
        <v>1168</v>
      </c>
      <c r="B401" s="110" t="s">
        <v>2073</v>
      </c>
      <c r="C401" s="110">
        <v>0.56669999999999998</v>
      </c>
      <c r="D401" s="110" t="s">
        <v>2111</v>
      </c>
      <c r="E401" s="112">
        <v>43119</v>
      </c>
    </row>
    <row r="402" spans="1:5" ht="13.95" customHeight="1">
      <c r="A402" s="110" t="s">
        <v>1167</v>
      </c>
      <c r="B402" s="110">
        <v>108</v>
      </c>
      <c r="C402" s="110">
        <v>0.67200000000000004</v>
      </c>
      <c r="E402" s="112">
        <v>42881</v>
      </c>
    </row>
    <row r="403" spans="1:5" ht="13.95" customHeight="1">
      <c r="A403" s="110" t="s">
        <v>1166</v>
      </c>
      <c r="B403" s="110">
        <v>158</v>
      </c>
      <c r="C403" s="110">
        <v>0.629</v>
      </c>
      <c r="D403" s="110" t="s">
        <v>2050</v>
      </c>
      <c r="E403" s="112">
        <v>42879</v>
      </c>
    </row>
    <row r="404" spans="1:5" ht="13.95" customHeight="1">
      <c r="A404" s="110" t="s">
        <v>1165</v>
      </c>
      <c r="B404" s="110" t="s">
        <v>2073</v>
      </c>
      <c r="C404" s="110">
        <v>0.5756</v>
      </c>
      <c r="E404" s="112">
        <v>43122</v>
      </c>
    </row>
    <row r="405" spans="1:5" ht="13.95" customHeight="1">
      <c r="A405" s="110" t="s">
        <v>1164</v>
      </c>
      <c r="B405" s="110" t="s">
        <v>2073</v>
      </c>
      <c r="C405" s="110">
        <v>0.58389999999999997</v>
      </c>
      <c r="E405" s="112">
        <v>43119</v>
      </c>
    </row>
    <row r="406" spans="1:5" ht="13.95" customHeight="1">
      <c r="A406" s="110" t="s">
        <v>1163</v>
      </c>
      <c r="B406" s="110">
        <v>109</v>
      </c>
      <c r="C406" s="110">
        <v>0.64870000000000005</v>
      </c>
      <c r="E406" s="112">
        <v>43125</v>
      </c>
    </row>
    <row r="407" spans="1:5" ht="13.95" customHeight="1">
      <c r="A407" s="110" t="s">
        <v>1162</v>
      </c>
      <c r="B407" s="110">
        <v>129</v>
      </c>
      <c r="C407" s="110">
        <v>0.59440000000000004</v>
      </c>
      <c r="E407" s="112">
        <v>43125</v>
      </c>
    </row>
    <row r="408" spans="1:5" ht="13.95" customHeight="1">
      <c r="A408" s="110" t="s">
        <v>1161</v>
      </c>
      <c r="B408" s="110">
        <v>114</v>
      </c>
      <c r="C408" s="110">
        <v>0.65700000000000003</v>
      </c>
      <c r="E408" s="112">
        <v>42878</v>
      </c>
    </row>
    <row r="409" spans="1:5" ht="13.95" customHeight="1">
      <c r="A409" s="110" t="s">
        <v>1160</v>
      </c>
      <c r="B409" s="110">
        <v>157</v>
      </c>
      <c r="C409" s="110">
        <v>0.74099999999999999</v>
      </c>
      <c r="E409" s="112">
        <v>42879</v>
      </c>
    </row>
    <row r="410" spans="1:5" ht="13.95" customHeight="1">
      <c r="A410" s="110" t="s">
        <v>1159</v>
      </c>
      <c r="B410" s="110">
        <v>207</v>
      </c>
      <c r="C410" s="110">
        <v>0.70199999999999996</v>
      </c>
      <c r="E410" s="112">
        <v>42879</v>
      </c>
    </row>
    <row r="411" spans="1:5" ht="13.95" customHeight="1">
      <c r="A411" s="110" t="s">
        <v>1158</v>
      </c>
      <c r="B411" s="110">
        <v>102</v>
      </c>
      <c r="C411" s="110">
        <v>0.63100000000000001</v>
      </c>
      <c r="E411" s="112">
        <v>42881</v>
      </c>
    </row>
    <row r="412" spans="1:5" ht="13.95" customHeight="1">
      <c r="A412" s="110" t="s">
        <v>1157</v>
      </c>
      <c r="B412" s="110">
        <v>178</v>
      </c>
      <c r="C412" s="110">
        <v>0.60699999999999998</v>
      </c>
      <c r="D412" s="110" t="s">
        <v>2085</v>
      </c>
      <c r="E412" s="112">
        <v>43125</v>
      </c>
    </row>
    <row r="413" spans="1:5" ht="13.95" customHeight="1">
      <c r="A413" s="110" t="s">
        <v>1156</v>
      </c>
      <c r="B413" s="110">
        <v>144</v>
      </c>
      <c r="C413" s="110">
        <v>0.68200000000000005</v>
      </c>
      <c r="E413" s="112">
        <v>42881</v>
      </c>
    </row>
    <row r="414" spans="1:5" ht="13.95" customHeight="1">
      <c r="A414" s="110" t="s">
        <v>1155</v>
      </c>
      <c r="B414">
        <v>123</v>
      </c>
      <c r="C414" s="110">
        <v>0.878</v>
      </c>
      <c r="E414" s="112">
        <v>42879</v>
      </c>
    </row>
    <row r="415" spans="1:5" ht="13.95" customHeight="1">
      <c r="A415" s="110" t="s">
        <v>1154</v>
      </c>
      <c r="B415" s="110">
        <v>183</v>
      </c>
      <c r="C415" s="110">
        <v>0.61</v>
      </c>
      <c r="E415" s="112">
        <v>42881</v>
      </c>
    </row>
    <row r="416" spans="1:5" ht="13.95" customHeight="1">
      <c r="A416" s="110" t="s">
        <v>1153</v>
      </c>
      <c r="B416" s="110">
        <v>116</v>
      </c>
      <c r="C416" s="110">
        <v>0.67869999999999997</v>
      </c>
      <c r="E416" s="112">
        <v>43125</v>
      </c>
    </row>
    <row r="417" spans="1:5" ht="13.95" customHeight="1">
      <c r="A417" s="110" t="s">
        <v>1152</v>
      </c>
      <c r="B417" s="110">
        <v>127</v>
      </c>
      <c r="C417" s="110">
        <v>0.59099999999999997</v>
      </c>
      <c r="E417" s="112">
        <v>42879</v>
      </c>
    </row>
    <row r="418" spans="1:5" ht="13.95" customHeight="1">
      <c r="A418" s="110" t="s">
        <v>1151</v>
      </c>
      <c r="B418" s="110">
        <v>112</v>
      </c>
      <c r="C418" s="110">
        <v>0.71899999999999997</v>
      </c>
      <c r="D418" s="110" t="s">
        <v>2067</v>
      </c>
      <c r="E418" s="112">
        <v>42878</v>
      </c>
    </row>
    <row r="419" spans="1:5" ht="13.95" customHeight="1">
      <c r="A419" s="178" t="s">
        <v>1150</v>
      </c>
      <c r="B419" s="110">
        <v>141</v>
      </c>
      <c r="C419">
        <v>1.5369999999999999</v>
      </c>
      <c r="E419" s="112">
        <v>42878</v>
      </c>
    </row>
    <row r="420" spans="1:5" ht="13.95" customHeight="1">
      <c r="A420" s="110" t="s">
        <v>1149</v>
      </c>
      <c r="B420" s="110">
        <v>117</v>
      </c>
      <c r="C420" s="110">
        <v>0.621</v>
      </c>
      <c r="E420" s="112">
        <v>42878</v>
      </c>
    </row>
    <row r="421" spans="1:5" ht="13.95" customHeight="1">
      <c r="A421" s="183" t="s">
        <v>1148</v>
      </c>
      <c r="B421" s="110">
        <v>145</v>
      </c>
      <c r="C421" s="110">
        <v>0.79200000000000004</v>
      </c>
      <c r="E421" s="112">
        <v>42878</v>
      </c>
    </row>
    <row r="422" spans="1:5" ht="13.95" customHeight="1">
      <c r="A422" s="110" t="s">
        <v>1140</v>
      </c>
      <c r="B422" s="110">
        <v>86</v>
      </c>
      <c r="C422" s="110">
        <v>0.38169999999999998</v>
      </c>
      <c r="D422" s="110" t="s">
        <v>2109</v>
      </c>
      <c r="E422" s="112">
        <v>43123</v>
      </c>
    </row>
    <row r="423" spans="1:5" ht="13.95" customHeight="1">
      <c r="A423" s="110" t="s">
        <v>1131</v>
      </c>
      <c r="B423" s="110" t="s">
        <v>2073</v>
      </c>
      <c r="C423" s="110">
        <f>1.5348+0.0339</f>
        <v>1.5687</v>
      </c>
      <c r="D423" s="110" t="s">
        <v>2118</v>
      </c>
      <c r="E423" s="112">
        <v>43122</v>
      </c>
    </row>
    <row r="424" spans="1:5" ht="13.95" customHeight="1">
      <c r="A424" s="110" t="s">
        <v>1041</v>
      </c>
      <c r="B424" s="110">
        <v>78</v>
      </c>
      <c r="C424" s="110">
        <v>1.7222999999999999</v>
      </c>
      <c r="E424" s="112">
        <v>43119</v>
      </c>
    </row>
    <row r="425" spans="1:5" ht="13.95" customHeight="1">
      <c r="A425" s="110" t="s">
        <v>1040</v>
      </c>
      <c r="B425" s="110" t="s">
        <v>2073</v>
      </c>
      <c r="C425" s="110">
        <v>1.5383</v>
      </c>
      <c r="E425" s="112">
        <v>43122</v>
      </c>
    </row>
    <row r="426" spans="1:5" ht="13.95" customHeight="1">
      <c r="A426" s="110" t="s">
        <v>1038</v>
      </c>
      <c r="B426" s="110" t="s">
        <v>2073</v>
      </c>
      <c r="C426" s="110">
        <v>1.4296</v>
      </c>
      <c r="E426" s="112">
        <v>43116</v>
      </c>
    </row>
    <row r="427" spans="1:5" ht="13.95" customHeight="1">
      <c r="A427" s="110" t="s">
        <v>1037</v>
      </c>
      <c r="B427" s="110">
        <v>25</v>
      </c>
      <c r="C427" s="110">
        <v>1.4184000000000001</v>
      </c>
      <c r="E427" s="112">
        <v>43119</v>
      </c>
    </row>
    <row r="428" spans="1:5" ht="13.95" customHeight="1">
      <c r="A428" s="110" t="s">
        <v>1036</v>
      </c>
      <c r="B428" s="110">
        <v>173</v>
      </c>
      <c r="C428" s="110">
        <v>1.6919999999999999</v>
      </c>
      <c r="E428" s="112">
        <v>42879</v>
      </c>
    </row>
    <row r="429" spans="1:5" ht="13.95" customHeight="1">
      <c r="A429" s="110" t="s">
        <v>1034</v>
      </c>
      <c r="B429" s="110">
        <v>46</v>
      </c>
      <c r="C429" s="110">
        <v>1.5349999999999999</v>
      </c>
      <c r="E429" s="112">
        <v>42881</v>
      </c>
    </row>
    <row r="430" spans="1:5" ht="13.95" customHeight="1">
      <c r="A430" s="166" t="s">
        <v>1032</v>
      </c>
      <c r="B430" s="110">
        <v>33</v>
      </c>
      <c r="C430" s="110">
        <v>0.41499999999999998</v>
      </c>
      <c r="D430" s="110" t="s">
        <v>2052</v>
      </c>
      <c r="E430" s="112">
        <v>42881</v>
      </c>
    </row>
    <row r="431" spans="1:5" ht="13.95" customHeight="1">
      <c r="A431" s="110" t="s">
        <v>1130</v>
      </c>
      <c r="B431" s="110">
        <v>122</v>
      </c>
      <c r="C431" s="110">
        <v>1.25</v>
      </c>
      <c r="E431" s="112">
        <v>42878</v>
      </c>
    </row>
    <row r="432" spans="1:5" ht="13.95" customHeight="1">
      <c r="A432" s="110" t="s">
        <v>1031</v>
      </c>
      <c r="B432" s="110">
        <v>20</v>
      </c>
      <c r="C432" s="110">
        <v>1.6778999999999999</v>
      </c>
      <c r="E432" s="112">
        <v>43125</v>
      </c>
    </row>
    <row r="433" spans="1:5" ht="13.95" customHeight="1">
      <c r="A433" s="110" t="s">
        <v>1030</v>
      </c>
      <c r="B433" s="110">
        <v>213</v>
      </c>
      <c r="C433" s="110">
        <v>1.587</v>
      </c>
      <c r="E433" s="112">
        <v>42881</v>
      </c>
    </row>
    <row r="434" spans="1:5" ht="13.95" customHeight="1">
      <c r="A434" s="110" t="s">
        <v>1029</v>
      </c>
      <c r="B434" s="110" t="s">
        <v>2073</v>
      </c>
      <c r="C434" s="110">
        <v>1.3584000000000001</v>
      </c>
      <c r="E434" s="112">
        <v>43122</v>
      </c>
    </row>
    <row r="435" spans="1:5" ht="13.95" customHeight="1">
      <c r="A435" s="110" t="s">
        <v>1027</v>
      </c>
      <c r="B435" s="110">
        <v>40</v>
      </c>
      <c r="C435" s="110">
        <v>2.2269999999999999</v>
      </c>
      <c r="E435" s="112">
        <v>42881</v>
      </c>
    </row>
    <row r="436" spans="1:5" ht="13.95" customHeight="1">
      <c r="A436" s="110" t="s">
        <v>1026</v>
      </c>
      <c r="B436" s="110">
        <v>4</v>
      </c>
      <c r="C436" s="110">
        <v>1.4075</v>
      </c>
      <c r="D436" s="110" t="s">
        <v>2123</v>
      </c>
      <c r="E436" s="112">
        <v>43122</v>
      </c>
    </row>
    <row r="437" spans="1:5" ht="13.95" customHeight="1">
      <c r="A437" s="110" t="s">
        <v>1024</v>
      </c>
      <c r="B437" s="110">
        <v>43</v>
      </c>
      <c r="C437" s="110">
        <v>1.6155999999999999</v>
      </c>
      <c r="E437" s="112">
        <v>43123</v>
      </c>
    </row>
    <row r="438" spans="1:5" ht="13.95" customHeight="1">
      <c r="A438" s="110" t="s">
        <v>1022</v>
      </c>
      <c r="B438" s="110">
        <v>62</v>
      </c>
      <c r="C438" s="110">
        <f>3.3076-1.6702</f>
        <v>1.6374</v>
      </c>
      <c r="D438" s="166" t="s">
        <v>2457</v>
      </c>
      <c r="E438" s="112">
        <v>43125</v>
      </c>
    </row>
    <row r="439" spans="1:5" ht="13.95" customHeight="1">
      <c r="A439" s="110" t="s">
        <v>1129</v>
      </c>
      <c r="B439" s="110" t="s">
        <v>2073</v>
      </c>
      <c r="C439" s="110">
        <v>0.17</v>
      </c>
      <c r="D439" s="110" t="s">
        <v>2141</v>
      </c>
      <c r="E439" s="112">
        <v>43119</v>
      </c>
    </row>
    <row r="440" spans="1:5" ht="13.95" customHeight="1">
      <c r="A440" s="110" t="s">
        <v>1021</v>
      </c>
      <c r="B440">
        <v>59</v>
      </c>
      <c r="C440" s="110">
        <v>1.4690000000000001</v>
      </c>
      <c r="D440" s="110" t="s">
        <v>2128</v>
      </c>
      <c r="E440" s="112">
        <v>42878</v>
      </c>
    </row>
    <row r="441" spans="1:5" ht="13.95" customHeight="1">
      <c r="A441" s="110" t="s">
        <v>1020</v>
      </c>
      <c r="B441" s="110" t="s">
        <v>2073</v>
      </c>
      <c r="C441" s="110">
        <v>1.3073999999999999</v>
      </c>
      <c r="E441" s="112">
        <v>43122</v>
      </c>
    </row>
    <row r="442" spans="1:5" ht="13.95" customHeight="1">
      <c r="A442" t="s">
        <v>1019</v>
      </c>
      <c r="B442" s="110">
        <v>74</v>
      </c>
      <c r="C442" s="110">
        <v>0.35499999999999998</v>
      </c>
      <c r="D442" s="110" t="s">
        <v>2071</v>
      </c>
      <c r="E442" s="112">
        <v>42879</v>
      </c>
    </row>
    <row r="443" spans="1:5" ht="13.95" customHeight="1">
      <c r="A443" s="110" t="s">
        <v>1017</v>
      </c>
      <c r="B443" s="110">
        <v>161</v>
      </c>
      <c r="C443" s="110">
        <v>1.6863999999999999</v>
      </c>
      <c r="E443" s="112">
        <v>43125</v>
      </c>
    </row>
    <row r="444" spans="1:5" ht="13.95" customHeight="1">
      <c r="A444" s="110" t="s">
        <v>1016</v>
      </c>
      <c r="B444" s="110" t="s">
        <v>2073</v>
      </c>
      <c r="C444" s="110">
        <v>1.2266999999999999</v>
      </c>
      <c r="E444" s="112">
        <v>43116</v>
      </c>
    </row>
    <row r="445" spans="1:5" ht="13.95" customHeight="1">
      <c r="A445" s="110" t="s">
        <v>1015</v>
      </c>
      <c r="B445" s="110" t="s">
        <v>2055</v>
      </c>
      <c r="C445" s="110">
        <v>1.6180000000000001</v>
      </c>
      <c r="E445" s="112">
        <v>42881</v>
      </c>
    </row>
    <row r="446" spans="1:5" ht="13.95" customHeight="1">
      <c r="A446" s="166" t="s">
        <v>1013</v>
      </c>
      <c r="B446" s="110">
        <v>18</v>
      </c>
      <c r="C446" s="110">
        <v>1.79</v>
      </c>
      <c r="E446" s="112">
        <v>42879</v>
      </c>
    </row>
    <row r="447" spans="1:5" ht="13.95" customHeight="1">
      <c r="A447" t="s">
        <v>1012</v>
      </c>
      <c r="B447" s="110">
        <v>68</v>
      </c>
      <c r="C447" s="110">
        <v>1.885</v>
      </c>
      <c r="E447" s="112">
        <v>42879</v>
      </c>
    </row>
    <row r="448" spans="1:5" ht="13.95" customHeight="1">
      <c r="A448" s="110" t="s">
        <v>1011</v>
      </c>
      <c r="B448" s="110">
        <v>212</v>
      </c>
      <c r="C448" s="110">
        <v>1.6712</v>
      </c>
      <c r="E448" s="112">
        <v>43123</v>
      </c>
    </row>
    <row r="449" spans="1:5" ht="13.95" customHeight="1">
      <c r="A449" s="110" t="s">
        <v>1009</v>
      </c>
      <c r="B449" s="110">
        <v>23</v>
      </c>
      <c r="C449" s="110">
        <v>1.5238</v>
      </c>
      <c r="E449" s="112">
        <v>43123</v>
      </c>
    </row>
    <row r="450" spans="1:5" ht="13.95" customHeight="1">
      <c r="A450" s="110" t="s">
        <v>1008</v>
      </c>
      <c r="B450" s="110">
        <v>1</v>
      </c>
      <c r="C450" s="110">
        <v>1.4104000000000001</v>
      </c>
      <c r="E450" s="112">
        <v>43122</v>
      </c>
    </row>
    <row r="451" spans="1:5" ht="13.95" customHeight="1">
      <c r="A451" s="110" t="s">
        <v>1007</v>
      </c>
      <c r="B451" s="110">
        <v>83</v>
      </c>
      <c r="C451" s="110">
        <v>0.98799999999999999</v>
      </c>
      <c r="D451" s="110" t="s">
        <v>2056</v>
      </c>
      <c r="E451" s="112">
        <v>42881</v>
      </c>
    </row>
    <row r="452" spans="1:5" ht="13.95" customHeight="1">
      <c r="A452" s="110" t="s">
        <v>1006</v>
      </c>
      <c r="B452" s="110">
        <v>202</v>
      </c>
      <c r="C452" s="110">
        <v>1.6419999999999999</v>
      </c>
      <c r="E452" s="112">
        <v>42881</v>
      </c>
    </row>
    <row r="453" spans="1:5" ht="13.95" customHeight="1">
      <c r="A453" s="110" t="s">
        <v>1005</v>
      </c>
      <c r="B453" s="110" t="s">
        <v>2073</v>
      </c>
      <c r="C453" s="110">
        <v>1.6368</v>
      </c>
      <c r="E453" s="112">
        <v>43116</v>
      </c>
    </row>
    <row r="454" spans="1:5" ht="13.95" customHeight="1">
      <c r="A454" s="110" t="s">
        <v>1004</v>
      </c>
      <c r="B454" s="110">
        <v>77</v>
      </c>
      <c r="C454" s="110">
        <v>1.698</v>
      </c>
      <c r="E454" s="112">
        <v>42879</v>
      </c>
    </row>
    <row r="455" spans="1:5" ht="13.95" customHeight="1">
      <c r="A455" t="s">
        <v>1003</v>
      </c>
      <c r="B455" s="110">
        <v>74</v>
      </c>
      <c r="C455" s="110">
        <v>1.6850000000000001</v>
      </c>
      <c r="D455" s="110" t="s">
        <v>2070</v>
      </c>
      <c r="E455" s="112">
        <v>42879</v>
      </c>
    </row>
    <row r="456" spans="1:5" ht="13.95" customHeight="1">
      <c r="A456" s="110" t="s">
        <v>1002</v>
      </c>
      <c r="B456" s="110" t="s">
        <v>2073</v>
      </c>
      <c r="C456" s="110">
        <v>1.6255999999999999</v>
      </c>
      <c r="E456" s="112">
        <v>43116</v>
      </c>
    </row>
    <row r="457" spans="1:5" ht="13.95" customHeight="1">
      <c r="A457" s="110" t="s">
        <v>1127</v>
      </c>
      <c r="B457" s="110">
        <v>72</v>
      </c>
      <c r="C457" s="110">
        <v>1.5603</v>
      </c>
      <c r="E457" s="112">
        <v>43116</v>
      </c>
    </row>
    <row r="458" spans="1:5" ht="13.95" customHeight="1">
      <c r="A458" s="110" t="s">
        <v>1000</v>
      </c>
      <c r="B458" s="110" t="s">
        <v>2073</v>
      </c>
      <c r="C458" s="110">
        <v>1.3197000000000001</v>
      </c>
      <c r="E458" s="112">
        <v>43122</v>
      </c>
    </row>
    <row r="459" spans="1:5" ht="13.95" customHeight="1">
      <c r="A459" s="167" t="s">
        <v>999</v>
      </c>
      <c r="B459" s="110">
        <v>209</v>
      </c>
      <c r="C459" s="110">
        <v>1.5780000000000001</v>
      </c>
      <c r="E459" s="112">
        <v>42878</v>
      </c>
    </row>
    <row r="460" spans="1:5" ht="13.95" customHeight="1">
      <c r="A460" s="110" t="s">
        <v>998</v>
      </c>
      <c r="B460" s="110">
        <v>61</v>
      </c>
      <c r="C460" s="110">
        <v>1.581</v>
      </c>
      <c r="E460" s="112">
        <v>42878</v>
      </c>
    </row>
    <row r="461" spans="1:5" ht="13.95" customHeight="1">
      <c r="A461" s="110" t="s">
        <v>997</v>
      </c>
      <c r="B461" s="110">
        <v>24</v>
      </c>
      <c r="C461" s="110">
        <v>1.6077999999999999</v>
      </c>
      <c r="E461" s="112">
        <v>43116</v>
      </c>
    </row>
    <row r="462" spans="1:5" ht="13.95" customHeight="1">
      <c r="A462" s="110" t="s">
        <v>996</v>
      </c>
      <c r="B462" s="110" t="s">
        <v>2073</v>
      </c>
      <c r="C462" s="110">
        <v>1.5481</v>
      </c>
      <c r="E462" s="112">
        <v>43122</v>
      </c>
    </row>
    <row r="463" spans="1:5" ht="13.95" customHeight="1">
      <c r="A463" s="110" t="s">
        <v>995</v>
      </c>
      <c r="B463" s="110" t="s">
        <v>2055</v>
      </c>
      <c r="C463" s="110">
        <v>1.651</v>
      </c>
      <c r="E463" s="112">
        <v>42881</v>
      </c>
    </row>
    <row r="464" spans="1:5" ht="13.95" customHeight="1">
      <c r="A464" s="110" t="s">
        <v>994</v>
      </c>
      <c r="B464" s="110">
        <v>38</v>
      </c>
      <c r="C464" s="110">
        <v>1.381</v>
      </c>
      <c r="E464" s="112">
        <v>42881</v>
      </c>
    </row>
    <row r="465" spans="1:5" ht="13.95" customHeight="1">
      <c r="A465" s="110" t="s">
        <v>993</v>
      </c>
      <c r="B465" s="110" t="s">
        <v>2073</v>
      </c>
      <c r="C465" s="110">
        <v>1.5741000000000001</v>
      </c>
      <c r="E465" s="112">
        <v>43122</v>
      </c>
    </row>
    <row r="466" spans="1:5" ht="13.95" customHeight="1">
      <c r="A466" s="110" t="s">
        <v>992</v>
      </c>
      <c r="B466" s="113">
        <v>206</v>
      </c>
      <c r="C466" s="110">
        <v>1.401</v>
      </c>
      <c r="E466" s="112">
        <v>42879</v>
      </c>
    </row>
    <row r="467" spans="1:5" ht="13.95" customHeight="1">
      <c r="A467" s="110" t="s">
        <v>1126</v>
      </c>
      <c r="B467" s="110">
        <v>144</v>
      </c>
      <c r="C467" s="110">
        <v>1.7290000000000001</v>
      </c>
      <c r="E467" s="112">
        <v>42881</v>
      </c>
    </row>
    <row r="468" spans="1:5" ht="13.95" customHeight="1">
      <c r="A468" s="110" t="s">
        <v>991</v>
      </c>
      <c r="B468" s="110">
        <v>66</v>
      </c>
      <c r="C468" s="110">
        <v>0.21360000000000001</v>
      </c>
      <c r="D468" s="110" t="s">
        <v>2109</v>
      </c>
      <c r="E468" s="112">
        <v>43122</v>
      </c>
    </row>
    <row r="469" spans="1:5" ht="13.95" customHeight="1">
      <c r="A469" s="110" t="s">
        <v>990</v>
      </c>
      <c r="B469">
        <v>70</v>
      </c>
      <c r="C469" s="110">
        <v>1.536</v>
      </c>
      <c r="E469" s="112">
        <v>42878</v>
      </c>
    </row>
    <row r="470" spans="1:5" ht="13.95" customHeight="1">
      <c r="A470" s="110" t="s">
        <v>988</v>
      </c>
      <c r="B470" s="110">
        <v>34</v>
      </c>
      <c r="C470" s="110">
        <v>0.34520000000000001</v>
      </c>
      <c r="D470" s="110" t="s">
        <v>2080</v>
      </c>
      <c r="E470" s="112">
        <v>43125</v>
      </c>
    </row>
    <row r="471" spans="1:5" ht="13.95" customHeight="1">
      <c r="A471" s="110" t="s">
        <v>987</v>
      </c>
      <c r="B471" s="110" t="s">
        <v>2073</v>
      </c>
      <c r="C471" s="110">
        <v>1.421</v>
      </c>
      <c r="E471" s="112">
        <v>43122</v>
      </c>
    </row>
    <row r="472" spans="1:5" ht="13.95" customHeight="1">
      <c r="A472" s="110" t="s">
        <v>986</v>
      </c>
      <c r="B472" s="110" t="s">
        <v>2073</v>
      </c>
      <c r="C472" s="110">
        <v>1.5909</v>
      </c>
      <c r="E472" s="112">
        <v>43119</v>
      </c>
    </row>
    <row r="473" spans="1:5" ht="13.95" customHeight="1">
      <c r="A473" s="110" t="s">
        <v>985</v>
      </c>
      <c r="B473" s="110" t="s">
        <v>2073</v>
      </c>
      <c r="C473" s="110">
        <v>1.2625999999999999</v>
      </c>
      <c r="E473" s="112">
        <v>43122</v>
      </c>
    </row>
    <row r="474" spans="1:5" ht="13.95" customHeight="1">
      <c r="A474" s="110" t="s">
        <v>984</v>
      </c>
      <c r="B474" s="110">
        <v>172</v>
      </c>
      <c r="C474" s="110">
        <f>1.6466+0.0316</f>
        <v>1.6782000000000001</v>
      </c>
      <c r="E474" s="112">
        <v>43123</v>
      </c>
    </row>
    <row r="475" spans="1:5" ht="13.95" customHeight="1">
      <c r="A475" s="110" t="s">
        <v>982</v>
      </c>
      <c r="B475" s="110">
        <v>64</v>
      </c>
      <c r="C475" s="110">
        <v>1.3160000000000001</v>
      </c>
      <c r="D475" s="110" t="s">
        <v>2136</v>
      </c>
      <c r="E475" s="112">
        <v>42878</v>
      </c>
    </row>
    <row r="476" spans="1:5" ht="13.95" customHeight="1">
      <c r="A476" s="110" t="s">
        <v>1125</v>
      </c>
      <c r="B476" s="110">
        <v>158</v>
      </c>
      <c r="C476" s="110">
        <v>1.786</v>
      </c>
      <c r="D476" s="110" t="s">
        <v>2051</v>
      </c>
      <c r="E476" s="112">
        <v>42879</v>
      </c>
    </row>
    <row r="477" spans="1:5" ht="13.95" customHeight="1">
      <c r="A477" s="110" t="s">
        <v>980</v>
      </c>
      <c r="B477" s="110">
        <v>57</v>
      </c>
      <c r="C477" s="110">
        <v>1.266</v>
      </c>
      <c r="D477" s="110" t="s">
        <v>2088</v>
      </c>
      <c r="E477" s="112">
        <v>43125</v>
      </c>
    </row>
    <row r="478" spans="1:5" ht="13.95" customHeight="1">
      <c r="A478" s="110" t="s">
        <v>977</v>
      </c>
      <c r="B478" s="110" t="s">
        <v>2073</v>
      </c>
      <c r="C478" s="110">
        <v>1.6649</v>
      </c>
      <c r="E478" s="112">
        <v>43122</v>
      </c>
    </row>
    <row r="479" spans="1:5" ht="13.95" customHeight="1">
      <c r="A479" s="110" t="s">
        <v>976</v>
      </c>
      <c r="B479" s="110">
        <v>67</v>
      </c>
      <c r="C479" s="110">
        <v>1.4942</v>
      </c>
      <c r="E479" s="112">
        <v>43125</v>
      </c>
    </row>
    <row r="480" spans="1:5" ht="13.95" customHeight="1">
      <c r="A480" s="110" t="s">
        <v>975</v>
      </c>
      <c r="B480" s="110">
        <v>44</v>
      </c>
      <c r="C480" s="110">
        <v>1.6101000000000001</v>
      </c>
      <c r="E480" s="112">
        <v>43125</v>
      </c>
    </row>
    <row r="481" spans="1:5" ht="13.95" customHeight="1">
      <c r="A481" s="110" t="s">
        <v>974</v>
      </c>
      <c r="B481" s="110">
        <v>194</v>
      </c>
      <c r="C481" s="110">
        <v>1.4750000000000001</v>
      </c>
      <c r="E481" s="112">
        <v>42881</v>
      </c>
    </row>
    <row r="482" spans="1:5" ht="13.95" customHeight="1">
      <c r="A482" s="110" t="s">
        <v>973</v>
      </c>
      <c r="B482" s="110">
        <v>198</v>
      </c>
      <c r="C482" s="110">
        <v>1.5734999999999999</v>
      </c>
      <c r="E482" s="112">
        <v>43125</v>
      </c>
    </row>
    <row r="483" spans="1:5" ht="13.95" customHeight="1">
      <c r="A483" s="110" t="s">
        <v>972</v>
      </c>
      <c r="B483" s="110" t="s">
        <v>2079</v>
      </c>
      <c r="C483" s="110">
        <v>2.8336999999999999</v>
      </c>
      <c r="D483" s="110" t="s">
        <v>2096</v>
      </c>
      <c r="E483" s="112">
        <v>43125</v>
      </c>
    </row>
    <row r="484" spans="1:5" ht="13.95" customHeight="1">
      <c r="A484" s="110" t="s">
        <v>1124</v>
      </c>
      <c r="B484" s="110">
        <v>1</v>
      </c>
      <c r="C484" s="110">
        <v>1.0208999999999999</v>
      </c>
      <c r="D484" s="166" t="s">
        <v>2458</v>
      </c>
      <c r="E484" s="112">
        <v>43125</v>
      </c>
    </row>
    <row r="485" spans="1:5" ht="13.95" customHeight="1">
      <c r="A485" s="110" t="s">
        <v>970</v>
      </c>
      <c r="B485" s="110">
        <v>89</v>
      </c>
      <c r="C485" s="110">
        <v>2.0529999999999999</v>
      </c>
      <c r="E485" s="112">
        <v>42879</v>
      </c>
    </row>
    <row r="486" spans="1:5" ht="13.95" customHeight="1">
      <c r="A486" s="110" t="s">
        <v>969</v>
      </c>
      <c r="B486" s="110" t="s">
        <v>2073</v>
      </c>
      <c r="C486" s="110">
        <v>1.4665999999999999</v>
      </c>
      <c r="E486" s="112">
        <v>43122</v>
      </c>
    </row>
    <row r="487" spans="1:5" ht="13.95" customHeight="1">
      <c r="A487" s="110" t="s">
        <v>965</v>
      </c>
      <c r="B487" s="110">
        <v>219</v>
      </c>
      <c r="C487" s="110">
        <v>1.4293</v>
      </c>
      <c r="E487" s="112">
        <v>43125</v>
      </c>
    </row>
    <row r="488" spans="1:5" ht="13.95" customHeight="1">
      <c r="A488" s="110" t="s">
        <v>964</v>
      </c>
      <c r="B488" s="110" t="s">
        <v>2073</v>
      </c>
      <c r="C488" s="110">
        <v>1.4271</v>
      </c>
      <c r="E488" s="112">
        <v>43122</v>
      </c>
    </row>
    <row r="489" spans="1:5" ht="13.95" customHeight="1">
      <c r="A489" s="110" t="s">
        <v>960</v>
      </c>
      <c r="B489" s="110">
        <v>80</v>
      </c>
      <c r="C489" s="110">
        <v>0.23799999999999999</v>
      </c>
      <c r="D489" s="110" t="s">
        <v>2141</v>
      </c>
      <c r="E489" s="112">
        <v>42878</v>
      </c>
    </row>
    <row r="490" spans="1:5" ht="13.95" customHeight="1">
      <c r="A490" s="110" t="s">
        <v>959</v>
      </c>
      <c r="B490" s="110">
        <v>202</v>
      </c>
      <c r="C490" s="110">
        <v>1.679</v>
      </c>
      <c r="E490" s="112">
        <v>42881</v>
      </c>
    </row>
    <row r="491" spans="1:5" ht="13.95" customHeight="1">
      <c r="A491" s="110" t="s">
        <v>958</v>
      </c>
      <c r="B491" s="110">
        <v>76</v>
      </c>
      <c r="C491" s="110">
        <v>1.7490000000000001</v>
      </c>
      <c r="E491" s="112">
        <v>42881</v>
      </c>
    </row>
    <row r="492" spans="1:5" ht="13.95" customHeight="1">
      <c r="A492" s="110" t="s">
        <v>956</v>
      </c>
      <c r="B492" s="110">
        <v>63</v>
      </c>
      <c r="C492" s="110">
        <v>1.6850000000000001</v>
      </c>
      <c r="E492" s="112">
        <v>42879</v>
      </c>
    </row>
    <row r="493" spans="1:5" ht="13.95" customHeight="1">
      <c r="A493" s="110" t="s">
        <v>955</v>
      </c>
      <c r="B493" s="180">
        <v>186</v>
      </c>
      <c r="C493" s="110">
        <v>1.7809999999999999</v>
      </c>
      <c r="E493" s="112">
        <v>42878</v>
      </c>
    </row>
    <row r="494" spans="1:5" ht="13.95" customHeight="1">
      <c r="A494" s="110" t="s">
        <v>954</v>
      </c>
      <c r="B494" s="110">
        <v>81</v>
      </c>
      <c r="C494" s="110">
        <v>1.8420000000000001</v>
      </c>
      <c r="E494" s="112">
        <v>42881</v>
      </c>
    </row>
    <row r="495" spans="1:5" ht="13.95" customHeight="1">
      <c r="A495" s="110" t="s">
        <v>952</v>
      </c>
      <c r="B495" s="110" t="s">
        <v>2073</v>
      </c>
      <c r="C495" s="110">
        <v>1.464</v>
      </c>
      <c r="E495" s="112">
        <v>43116</v>
      </c>
    </row>
    <row r="496" spans="1:5" ht="13.95" customHeight="1">
      <c r="A496" s="178" t="s">
        <v>1122</v>
      </c>
      <c r="B496" s="110">
        <v>55</v>
      </c>
      <c r="C496" s="110">
        <v>0.22600000000000001</v>
      </c>
      <c r="D496" s="110" t="s">
        <v>2129</v>
      </c>
      <c r="E496" s="112">
        <v>42878</v>
      </c>
    </row>
    <row r="497" spans="1:5" ht="13.95" customHeight="1">
      <c r="A497" s="110" t="s">
        <v>951</v>
      </c>
      <c r="B497" s="110">
        <v>23</v>
      </c>
      <c r="C497" s="110">
        <v>1.5019</v>
      </c>
      <c r="E497" s="112">
        <v>43123</v>
      </c>
    </row>
    <row r="498" spans="1:5" ht="13.95" customHeight="1">
      <c r="A498" s="110" t="s">
        <v>945</v>
      </c>
      <c r="B498" s="110">
        <v>89</v>
      </c>
      <c r="C498" s="110">
        <v>0.17399999999999999</v>
      </c>
      <c r="D498" s="110" t="s">
        <v>2063</v>
      </c>
      <c r="E498" s="112">
        <v>42879</v>
      </c>
    </row>
    <row r="499" spans="1:5" ht="13.95" customHeight="1">
      <c r="A499" s="110" t="s">
        <v>1139</v>
      </c>
      <c r="B499" s="110" t="s">
        <v>2073</v>
      </c>
      <c r="C499" s="110">
        <v>1.43</v>
      </c>
      <c r="E499" s="112">
        <v>43119</v>
      </c>
    </row>
    <row r="500" spans="1:5" ht="13.95" customHeight="1">
      <c r="A500" s="110" t="s">
        <v>1121</v>
      </c>
      <c r="B500" s="110">
        <v>148</v>
      </c>
      <c r="C500" s="110">
        <v>1.6375999999999999</v>
      </c>
      <c r="E500" s="112">
        <v>43125</v>
      </c>
    </row>
    <row r="501" spans="1:5" ht="13.95" customHeight="1">
      <c r="A501" s="110" t="s">
        <v>939</v>
      </c>
      <c r="B501" s="110" t="s">
        <v>2079</v>
      </c>
      <c r="C501" s="110">
        <v>0.52</v>
      </c>
      <c r="D501" s="110" t="s">
        <v>2137</v>
      </c>
      <c r="E501" s="112">
        <v>42878</v>
      </c>
    </row>
    <row r="502" spans="1:5" ht="13.95" customHeight="1">
      <c r="A502" s="110" t="s">
        <v>1120</v>
      </c>
      <c r="B502" s="110">
        <v>138</v>
      </c>
      <c r="C502" s="110">
        <v>1.522</v>
      </c>
      <c r="E502" s="112">
        <v>42879</v>
      </c>
    </row>
    <row r="503" spans="1:5" ht="13.95" customHeight="1">
      <c r="A503" s="110" t="s">
        <v>926</v>
      </c>
      <c r="B503" s="110" t="s">
        <v>2073</v>
      </c>
      <c r="C503" s="110">
        <v>1.7432000000000001</v>
      </c>
      <c r="E503" s="112">
        <v>43116</v>
      </c>
    </row>
    <row r="504" spans="1:5" ht="13.95" customHeight="1">
      <c r="A504" s="110" t="s">
        <v>925</v>
      </c>
      <c r="B504" s="110">
        <v>189</v>
      </c>
      <c r="C504" s="110">
        <v>1.6973</v>
      </c>
      <c r="E504" s="112">
        <v>43125</v>
      </c>
    </row>
    <row r="505" spans="1:5" ht="13.95" customHeight="1">
      <c r="A505" s="110" t="s">
        <v>924</v>
      </c>
      <c r="B505" s="110" t="s">
        <v>2073</v>
      </c>
      <c r="C505" s="110">
        <v>1.5392999999999999</v>
      </c>
      <c r="E505" s="112">
        <v>43119</v>
      </c>
    </row>
    <row r="506" spans="1:5" ht="13.95" customHeight="1">
      <c r="A506" s="110" t="s">
        <v>923</v>
      </c>
      <c r="B506" s="110">
        <v>201</v>
      </c>
      <c r="C506" s="110">
        <v>1.5928</v>
      </c>
      <c r="D506" s="110" t="s">
        <v>2111</v>
      </c>
      <c r="E506" s="112">
        <v>43116</v>
      </c>
    </row>
    <row r="507" spans="1:5" ht="13.95" customHeight="1">
      <c r="A507" s="110" t="s">
        <v>922</v>
      </c>
      <c r="B507" s="110" t="s">
        <v>2079</v>
      </c>
      <c r="C507" s="110">
        <v>1.5786</v>
      </c>
      <c r="D507" s="110" t="s">
        <v>2092</v>
      </c>
      <c r="E507" s="112">
        <v>43125</v>
      </c>
    </row>
    <row r="508" spans="1:5" ht="13.95" customHeight="1">
      <c r="A508" s="110" t="s">
        <v>1119</v>
      </c>
      <c r="B508" s="110">
        <v>83</v>
      </c>
      <c r="C508" s="110">
        <v>1.637</v>
      </c>
      <c r="E508" s="112">
        <v>42881</v>
      </c>
    </row>
    <row r="509" spans="1:5" ht="13.95" customHeight="1">
      <c r="A509" s="110" t="s">
        <v>919</v>
      </c>
      <c r="B509" s="110" t="s">
        <v>2073</v>
      </c>
      <c r="C509" s="110">
        <v>1.5732999999999999</v>
      </c>
      <c r="D509" s="110" t="s">
        <v>2121</v>
      </c>
      <c r="E509" s="112">
        <v>43122</v>
      </c>
    </row>
    <row r="510" spans="1:5" ht="13.95" customHeight="1">
      <c r="A510" s="181" t="s">
        <v>913</v>
      </c>
      <c r="B510" s="110">
        <v>77</v>
      </c>
      <c r="C510" s="110">
        <v>2.2429999999999999</v>
      </c>
      <c r="E510" s="112">
        <v>42879</v>
      </c>
    </row>
    <row r="511" spans="1:5" ht="13.95" customHeight="1">
      <c r="A511" s="110" t="s">
        <v>1118</v>
      </c>
      <c r="B511">
        <v>59</v>
      </c>
      <c r="C511" s="110">
        <v>1.38</v>
      </c>
      <c r="D511" s="110" t="s">
        <v>2130</v>
      </c>
      <c r="E511" s="112">
        <v>42878</v>
      </c>
    </row>
    <row r="512" spans="1:5" ht="13.95" customHeight="1">
      <c r="A512" s="110" t="s">
        <v>909</v>
      </c>
      <c r="B512" s="110" t="s">
        <v>2073</v>
      </c>
      <c r="C512" s="110">
        <v>1.7355</v>
      </c>
      <c r="E512" s="112">
        <v>43119</v>
      </c>
    </row>
    <row r="513" spans="1:5" ht="13.95" customHeight="1">
      <c r="A513" s="110" t="s">
        <v>907</v>
      </c>
      <c r="B513" s="110">
        <v>207</v>
      </c>
      <c r="C513" s="110">
        <v>1.7410000000000001</v>
      </c>
      <c r="E513" s="112">
        <v>42879</v>
      </c>
    </row>
    <row r="514" spans="1:5" ht="13.95" customHeight="1">
      <c r="A514" s="110" t="s">
        <v>906</v>
      </c>
      <c r="B514" s="110">
        <v>79</v>
      </c>
      <c r="C514" s="110">
        <v>1.5528</v>
      </c>
      <c r="E514" s="112">
        <v>43125</v>
      </c>
    </row>
    <row r="515" spans="1:5" ht="13.95" customHeight="1">
      <c r="A515" s="110" t="s">
        <v>1117</v>
      </c>
      <c r="B515" s="110">
        <v>34</v>
      </c>
      <c r="C515" s="110">
        <v>1.4662999999999999</v>
      </c>
      <c r="E515" s="112">
        <v>43125</v>
      </c>
    </row>
    <row r="516" spans="1:5" ht="13.95" customHeight="1">
      <c r="A516" s="110" t="s">
        <v>900</v>
      </c>
      <c r="B516" s="110">
        <v>216</v>
      </c>
      <c r="C516" s="110">
        <v>1.5349999999999999</v>
      </c>
      <c r="E516" s="112">
        <v>42879</v>
      </c>
    </row>
    <row r="517" spans="1:5" ht="13.95" customHeight="1">
      <c r="A517" s="110" t="s">
        <v>1116</v>
      </c>
      <c r="B517" s="110">
        <v>195</v>
      </c>
      <c r="C517" s="110">
        <v>1.3527</v>
      </c>
      <c r="E517" s="112">
        <v>43125</v>
      </c>
    </row>
    <row r="518" spans="1:5" ht="13.95" customHeight="1">
      <c r="A518" s="110" t="s">
        <v>891</v>
      </c>
      <c r="B518" s="110" t="s">
        <v>2073</v>
      </c>
      <c r="C518" s="110">
        <v>1.5303</v>
      </c>
      <c r="E518" s="112">
        <v>43122</v>
      </c>
    </row>
    <row r="519" spans="1:5" ht="13.95" customHeight="1">
      <c r="A519" s="110" t="s">
        <v>890</v>
      </c>
      <c r="B519" s="110">
        <v>69</v>
      </c>
      <c r="C519" s="110">
        <v>1.8979999999999999</v>
      </c>
      <c r="E519" s="112">
        <v>42881</v>
      </c>
    </row>
    <row r="520" spans="1:5" ht="13.95" customHeight="1">
      <c r="A520" s="110" t="s">
        <v>889</v>
      </c>
      <c r="B520" s="110">
        <v>66</v>
      </c>
      <c r="C520" s="110">
        <v>1.6584000000000001</v>
      </c>
      <c r="E520" s="112">
        <v>43116</v>
      </c>
    </row>
    <row r="521" spans="1:5" ht="13.95" customHeight="1">
      <c r="A521" s="110" t="s">
        <v>888</v>
      </c>
      <c r="B521" s="110">
        <v>161</v>
      </c>
      <c r="C521" s="110">
        <v>1.7033</v>
      </c>
      <c r="E521" s="112">
        <v>43125</v>
      </c>
    </row>
    <row r="522" spans="1:5" ht="13.95" customHeight="1">
      <c r="A522" s="110" t="s">
        <v>886</v>
      </c>
      <c r="B522" s="110" t="s">
        <v>2073</v>
      </c>
      <c r="C522" s="110">
        <v>1.7073</v>
      </c>
      <c r="D522" s="110" t="s">
        <v>2116</v>
      </c>
      <c r="E522" s="112">
        <v>43122</v>
      </c>
    </row>
    <row r="523" spans="1:5" ht="13.95" customHeight="1">
      <c r="A523" s="110" t="s">
        <v>883</v>
      </c>
      <c r="B523" s="113">
        <v>206</v>
      </c>
      <c r="C523" s="110">
        <v>1.5820000000000001</v>
      </c>
      <c r="E523" s="112">
        <v>42879</v>
      </c>
    </row>
    <row r="524" spans="1:5" ht="13.95" customHeight="1">
      <c r="A524" s="110" t="s">
        <v>882</v>
      </c>
      <c r="B524" s="110" t="s">
        <v>2073</v>
      </c>
      <c r="C524" s="110">
        <v>1.7169000000000001</v>
      </c>
      <c r="E524" s="112">
        <v>43122</v>
      </c>
    </row>
    <row r="525" spans="1:5" ht="13.95" customHeight="1">
      <c r="A525" s="110" t="s">
        <v>1115</v>
      </c>
      <c r="B525" s="110">
        <v>102</v>
      </c>
      <c r="C525" s="110">
        <v>1.6240000000000001</v>
      </c>
      <c r="E525" s="112">
        <v>42881</v>
      </c>
    </row>
    <row r="526" spans="1:5" ht="13.95" customHeight="1">
      <c r="A526" s="110" t="s">
        <v>879</v>
      </c>
      <c r="B526" s="110">
        <v>177</v>
      </c>
      <c r="C526" s="110">
        <v>1.671</v>
      </c>
      <c r="E526" s="112">
        <v>42881</v>
      </c>
    </row>
    <row r="527" spans="1:5" ht="13.95" customHeight="1">
      <c r="A527" s="110" t="s">
        <v>878</v>
      </c>
      <c r="B527" s="110">
        <v>192</v>
      </c>
      <c r="C527" s="110">
        <v>1.0369999999999999</v>
      </c>
      <c r="E527" s="112">
        <v>42881</v>
      </c>
    </row>
    <row r="528" spans="1:5" ht="13.95" customHeight="1">
      <c r="A528" s="110" t="s">
        <v>877</v>
      </c>
      <c r="B528" s="110">
        <v>64</v>
      </c>
      <c r="C528" s="110">
        <v>1.7050000000000001</v>
      </c>
      <c r="E528" s="112">
        <v>42879</v>
      </c>
    </row>
    <row r="529" spans="1:7" ht="13.95" customHeight="1">
      <c r="A529" s="110" t="s">
        <v>876</v>
      </c>
      <c r="B529" s="110">
        <v>205</v>
      </c>
      <c r="C529" s="110">
        <v>1.6680999999999999</v>
      </c>
      <c r="D529" s="110" t="s">
        <v>2075</v>
      </c>
      <c r="E529" s="112">
        <v>43123</v>
      </c>
    </row>
    <row r="530" spans="1:7" ht="13.95" customHeight="1">
      <c r="A530" s="110" t="s">
        <v>875</v>
      </c>
      <c r="B530">
        <v>70</v>
      </c>
      <c r="C530" s="110">
        <v>1.599</v>
      </c>
      <c r="E530" s="112">
        <v>42878</v>
      </c>
    </row>
    <row r="531" spans="1:7" ht="13.95" customHeight="1">
      <c r="A531" s="110" t="s">
        <v>873</v>
      </c>
      <c r="B531" s="110">
        <v>180</v>
      </c>
      <c r="C531" s="110">
        <v>1.6403000000000001</v>
      </c>
      <c r="E531" s="112">
        <v>43119</v>
      </c>
    </row>
    <row r="532" spans="1:7" ht="13.95" customHeight="1">
      <c r="A532" s="110" t="s">
        <v>1114</v>
      </c>
      <c r="B532" s="110">
        <v>145</v>
      </c>
      <c r="C532" s="110">
        <v>1.6830000000000001</v>
      </c>
      <c r="E532" s="112">
        <v>42878</v>
      </c>
    </row>
    <row r="533" spans="1:7" ht="13.95" customHeight="1">
      <c r="A533" s="110" t="s">
        <v>870</v>
      </c>
      <c r="B533" s="110">
        <v>209</v>
      </c>
      <c r="C533" s="110">
        <v>1.754</v>
      </c>
      <c r="E533" s="112">
        <v>42878</v>
      </c>
    </row>
    <row r="534" spans="1:7" ht="13.95" customHeight="1">
      <c r="A534" s="110" t="s">
        <v>868</v>
      </c>
      <c r="B534" s="110" t="s">
        <v>2073</v>
      </c>
      <c r="C534" s="110">
        <v>1.655</v>
      </c>
      <c r="E534" s="112">
        <v>43122</v>
      </c>
    </row>
    <row r="535" spans="1:7" ht="13.95" customHeight="1">
      <c r="A535" s="110" t="s">
        <v>867</v>
      </c>
      <c r="B535" s="110">
        <v>18</v>
      </c>
      <c r="C535" s="110">
        <v>1.6060000000000001</v>
      </c>
      <c r="E535" s="112">
        <v>42879</v>
      </c>
    </row>
    <row r="536" spans="1:7" ht="13.95" customHeight="1">
      <c r="A536" s="110" t="s">
        <v>863</v>
      </c>
      <c r="B536" s="110">
        <v>78</v>
      </c>
      <c r="C536" s="110">
        <v>1.6845000000000001</v>
      </c>
      <c r="E536" s="112">
        <v>43122</v>
      </c>
      <c r="G536" s="110" t="s">
        <v>2062</v>
      </c>
    </row>
    <row r="537" spans="1:7" ht="13.95" customHeight="1">
      <c r="A537" s="180" t="s">
        <v>862</v>
      </c>
      <c r="B537" s="180">
        <v>25</v>
      </c>
      <c r="C537" s="180">
        <f>D537+1.4686</f>
        <v>1.6192</v>
      </c>
      <c r="D537" s="180">
        <f>0.1218+0.0288</f>
        <v>0.15060000000000001</v>
      </c>
      <c r="E537" s="405">
        <v>43441</v>
      </c>
      <c r="F537" s="180" t="s">
        <v>3225</v>
      </c>
    </row>
    <row r="538" spans="1:7" ht="13.95" customHeight="1">
      <c r="A538" s="110" t="s">
        <v>1113</v>
      </c>
      <c r="B538" s="110" t="s">
        <v>2079</v>
      </c>
      <c r="C538" s="110">
        <v>1.5992999999999999</v>
      </c>
      <c r="D538" s="110" t="s">
        <v>2078</v>
      </c>
      <c r="E538" s="112">
        <v>43125</v>
      </c>
      <c r="G538" s="110" t="s">
        <v>2062</v>
      </c>
    </row>
    <row r="539" spans="1:7" ht="13.95" customHeight="1">
      <c r="A539" s="110" t="s">
        <v>859</v>
      </c>
      <c r="B539" s="110">
        <v>14</v>
      </c>
      <c r="C539" s="110">
        <v>1.5669999999999999</v>
      </c>
      <c r="E539" s="112">
        <v>42881</v>
      </c>
      <c r="G539" s="110" t="s">
        <v>2062</v>
      </c>
    </row>
    <row r="540" spans="1:7" ht="13.95" customHeight="1">
      <c r="A540" s="110" t="s">
        <v>856</v>
      </c>
      <c r="B540" s="110" t="s">
        <v>2073</v>
      </c>
      <c r="C540" s="110">
        <v>1.6621999999999999</v>
      </c>
      <c r="E540" s="112">
        <v>43116</v>
      </c>
      <c r="G540" s="110" t="s">
        <v>2062</v>
      </c>
    </row>
    <row r="541" spans="1:7" ht="13.95" customHeight="1">
      <c r="A541" s="110" t="s">
        <v>854</v>
      </c>
      <c r="B541" s="110" t="s">
        <v>2073</v>
      </c>
      <c r="C541" s="110">
        <v>1.6496999999999999</v>
      </c>
      <c r="D541" s="110" t="s">
        <v>2111</v>
      </c>
      <c r="E541" s="112">
        <v>43119</v>
      </c>
      <c r="G541" s="110" t="s">
        <v>2062</v>
      </c>
    </row>
    <row r="542" spans="1:7" ht="13.95" customHeight="1">
      <c r="A542" t="s">
        <v>853</v>
      </c>
      <c r="B542"/>
      <c r="C542">
        <v>1.514</v>
      </c>
      <c r="E542" s="237" t="s">
        <v>3236</v>
      </c>
      <c r="F542" s="237"/>
      <c r="G542"/>
    </row>
    <row r="543" spans="1:7" ht="13.95" customHeight="1">
      <c r="A543" s="110" t="s">
        <v>852</v>
      </c>
      <c r="B543" s="110">
        <v>194</v>
      </c>
      <c r="C543" s="110">
        <v>1.512</v>
      </c>
      <c r="E543" s="112">
        <v>42881</v>
      </c>
      <c r="G543" s="110" t="s">
        <v>2062</v>
      </c>
    </row>
    <row r="544" spans="1:7" ht="13.95" customHeight="1">
      <c r="A544" s="110" t="s">
        <v>1112</v>
      </c>
      <c r="B544" s="110">
        <v>51</v>
      </c>
      <c r="C544" s="110">
        <v>1.4950000000000001</v>
      </c>
      <c r="E544" s="112">
        <v>42881</v>
      </c>
    </row>
    <row r="545" spans="1:5" ht="13.95" customHeight="1">
      <c r="A545" s="110" t="s">
        <v>851</v>
      </c>
      <c r="B545" s="110">
        <v>183</v>
      </c>
      <c r="C545" s="110">
        <v>1.7310000000000001</v>
      </c>
      <c r="E545" s="112">
        <v>42881</v>
      </c>
    </row>
    <row r="546" spans="1:5" ht="13.95" customHeight="1">
      <c r="A546" s="110" t="s">
        <v>850</v>
      </c>
      <c r="B546" s="110" t="s">
        <v>2073</v>
      </c>
      <c r="C546" s="110">
        <v>1.6970000000000001</v>
      </c>
      <c r="E546" s="112">
        <v>43116</v>
      </c>
    </row>
    <row r="547" spans="1:5" ht="13.95" customHeight="1">
      <c r="A547" s="110" t="s">
        <v>848</v>
      </c>
      <c r="B547" s="110">
        <v>81</v>
      </c>
      <c r="C547" s="110">
        <v>1.736</v>
      </c>
      <c r="D547" s="110" t="s">
        <v>2050</v>
      </c>
      <c r="E547" s="112">
        <v>42881</v>
      </c>
    </row>
    <row r="548" spans="1:5" ht="13.95" customHeight="1">
      <c r="A548" s="110" t="s">
        <v>845</v>
      </c>
      <c r="B548" s="110" t="s">
        <v>2073</v>
      </c>
      <c r="C548" s="110">
        <v>1.3653</v>
      </c>
      <c r="E548" s="112">
        <v>43119</v>
      </c>
    </row>
    <row r="549" spans="1:5" ht="13.95" customHeight="1">
      <c r="A549" s="110" t="s">
        <v>1138</v>
      </c>
      <c r="B549" s="110" t="s">
        <v>2073</v>
      </c>
      <c r="C549" s="110">
        <v>1.4899</v>
      </c>
      <c r="E549" s="112">
        <v>43122</v>
      </c>
    </row>
    <row r="550" spans="1:5" ht="13.95" customHeight="1">
      <c r="A550" s="110" t="s">
        <v>1111</v>
      </c>
      <c r="B550" s="110">
        <v>157</v>
      </c>
      <c r="C550" s="110">
        <v>1.825</v>
      </c>
      <c r="E550" s="112">
        <v>42879</v>
      </c>
    </row>
    <row r="551" spans="1:5" ht="13.95" customHeight="1">
      <c r="A551" s="110" t="s">
        <v>840</v>
      </c>
      <c r="B551" s="110">
        <v>180</v>
      </c>
      <c r="C551" s="110">
        <v>1.6709000000000001</v>
      </c>
      <c r="D551" s="110" t="s">
        <v>2115</v>
      </c>
      <c r="E551" s="112">
        <v>43119</v>
      </c>
    </row>
    <row r="552" spans="1:5" ht="13.95" customHeight="1">
      <c r="A552" s="110" t="s">
        <v>839</v>
      </c>
      <c r="B552" s="110">
        <v>217</v>
      </c>
      <c r="C552" s="110">
        <v>1.38</v>
      </c>
      <c r="E552" s="112">
        <v>42881</v>
      </c>
    </row>
    <row r="553" spans="1:5" ht="13.95" customHeight="1">
      <c r="A553" s="110" t="s">
        <v>838</v>
      </c>
      <c r="B553" s="110" t="s">
        <v>2073</v>
      </c>
      <c r="C553" s="110">
        <v>1.5651999999999999</v>
      </c>
      <c r="D553" s="110" t="s">
        <v>2111</v>
      </c>
      <c r="E553" s="112">
        <v>43116</v>
      </c>
    </row>
    <row r="554" spans="1:5" ht="13.95" customHeight="1">
      <c r="A554" s="110" t="s">
        <v>834</v>
      </c>
      <c r="B554" s="110">
        <v>174</v>
      </c>
      <c r="C554" s="110">
        <v>1.724</v>
      </c>
      <c r="E554" s="112">
        <v>42881</v>
      </c>
    </row>
    <row r="555" spans="1:5" ht="13.95" customHeight="1">
      <c r="A555" s="110" t="s">
        <v>832</v>
      </c>
      <c r="B555" s="110">
        <v>178</v>
      </c>
      <c r="C555" s="110">
        <v>1.6866000000000001</v>
      </c>
      <c r="D555" s="110" t="s">
        <v>2085</v>
      </c>
      <c r="E555" s="112">
        <v>43125</v>
      </c>
    </row>
    <row r="556" spans="1:5" ht="13.95" customHeight="1">
      <c r="A556" s="110" t="s">
        <v>1110</v>
      </c>
      <c r="B556" s="110">
        <v>58</v>
      </c>
      <c r="C556" s="110">
        <v>1.1857</v>
      </c>
      <c r="E556" s="112">
        <v>43123</v>
      </c>
    </row>
    <row r="557" spans="1:5" ht="13.95" customHeight="1">
      <c r="A557" s="110" t="s">
        <v>830</v>
      </c>
      <c r="B557" s="110" t="s">
        <v>2073</v>
      </c>
      <c r="C557" s="110">
        <v>1.6715</v>
      </c>
      <c r="E557" s="112">
        <v>43116</v>
      </c>
    </row>
    <row r="558" spans="1:5" ht="13.95" customHeight="1">
      <c r="A558" s="110" t="s">
        <v>829</v>
      </c>
      <c r="B558" s="110">
        <v>52</v>
      </c>
      <c r="C558" s="110">
        <v>1.546</v>
      </c>
      <c r="E558" s="112">
        <v>42878</v>
      </c>
    </row>
    <row r="559" spans="1:5" ht="13.95" customHeight="1">
      <c r="A559" s="110" t="s">
        <v>826</v>
      </c>
      <c r="B559" s="110">
        <v>85</v>
      </c>
      <c r="C559" s="110">
        <v>1.4850000000000001</v>
      </c>
      <c r="E559" s="112">
        <v>42878</v>
      </c>
    </row>
    <row r="560" spans="1:5" ht="13.95" customHeight="1">
      <c r="A560" s="110" t="s">
        <v>824</v>
      </c>
      <c r="B560" s="110">
        <v>64</v>
      </c>
      <c r="C560" s="110">
        <v>1.7210000000000001</v>
      </c>
      <c r="E560" s="112">
        <v>42879</v>
      </c>
    </row>
    <row r="561" spans="1:5" ht="13.95" customHeight="1">
      <c r="A561" s="110" t="s">
        <v>823</v>
      </c>
      <c r="B561" s="110" t="s">
        <v>2079</v>
      </c>
      <c r="C561" s="110">
        <v>1.748</v>
      </c>
      <c r="D561" s="110" t="s">
        <v>2090</v>
      </c>
      <c r="E561" s="112">
        <v>43125</v>
      </c>
    </row>
    <row r="562" spans="1:5" ht="13.95" customHeight="1">
      <c r="A562" s="110" t="s">
        <v>822</v>
      </c>
      <c r="B562" s="110" t="s">
        <v>2073</v>
      </c>
      <c r="C562" s="110">
        <v>1.5328999999999999</v>
      </c>
      <c r="E562" s="112">
        <v>43122</v>
      </c>
    </row>
    <row r="563" spans="1:5" ht="13.95" customHeight="1">
      <c r="A563" s="110" t="s">
        <v>1109</v>
      </c>
      <c r="B563" s="110" t="s">
        <v>2073</v>
      </c>
      <c r="C563" s="110">
        <v>1.6146</v>
      </c>
      <c r="D563" s="110" t="s">
        <v>2121</v>
      </c>
      <c r="E563" s="112">
        <v>43122</v>
      </c>
    </row>
    <row r="564" spans="1:5" ht="13.95" customHeight="1">
      <c r="A564" s="110" t="s">
        <v>819</v>
      </c>
      <c r="B564" s="110">
        <v>168</v>
      </c>
      <c r="C564" s="110">
        <v>1.6950000000000001</v>
      </c>
      <c r="E564" s="112">
        <v>42881</v>
      </c>
    </row>
    <row r="565" spans="1:5" ht="13.95" customHeight="1">
      <c r="A565" s="110" t="s">
        <v>818</v>
      </c>
      <c r="B565" s="110" t="s">
        <v>2073</v>
      </c>
      <c r="C565" s="110">
        <v>1.425</v>
      </c>
      <c r="D565" s="110" t="s">
        <v>2119</v>
      </c>
      <c r="E565" s="112">
        <v>43122</v>
      </c>
    </row>
    <row r="566" spans="1:5" ht="13.95" customHeight="1">
      <c r="A566" s="110" t="s">
        <v>815</v>
      </c>
      <c r="B566" s="110">
        <v>176</v>
      </c>
      <c r="C566" s="110">
        <v>1.694</v>
      </c>
      <c r="E566" s="112">
        <v>42879</v>
      </c>
    </row>
    <row r="567" spans="1:5" ht="13.95" customHeight="1">
      <c r="A567" s="110" t="s">
        <v>813</v>
      </c>
      <c r="B567" s="110">
        <v>207</v>
      </c>
      <c r="C567" s="110">
        <v>1.609</v>
      </c>
      <c r="E567" s="112">
        <v>42879</v>
      </c>
    </row>
    <row r="568" spans="1:5" ht="13.95" customHeight="1">
      <c r="A568" s="110" t="s">
        <v>812</v>
      </c>
      <c r="B568" s="110">
        <v>87</v>
      </c>
      <c r="C568" s="110">
        <v>1.7085999999999999</v>
      </c>
      <c r="E568" s="112">
        <v>43125</v>
      </c>
    </row>
    <row r="569" spans="1:5" ht="13.95" customHeight="1">
      <c r="A569" s="110" t="s">
        <v>1108</v>
      </c>
      <c r="B569" s="110">
        <v>109</v>
      </c>
      <c r="C569" s="110">
        <v>1.5922000000000001</v>
      </c>
      <c r="E569" s="112">
        <v>43125</v>
      </c>
    </row>
    <row r="570" spans="1:5" ht="13.95" customHeight="1">
      <c r="A570" s="110" t="s">
        <v>811</v>
      </c>
      <c r="B570" s="110">
        <v>170</v>
      </c>
      <c r="C570" s="110">
        <v>1.7769999999999999</v>
      </c>
      <c r="E570" s="112">
        <v>42878</v>
      </c>
    </row>
    <row r="571" spans="1:5" ht="13.95" customHeight="1">
      <c r="A571" s="110" t="s">
        <v>810</v>
      </c>
      <c r="B571" s="110">
        <v>165</v>
      </c>
      <c r="C571" s="110">
        <v>1.724</v>
      </c>
      <c r="E571" s="112">
        <v>42878</v>
      </c>
    </row>
    <row r="572" spans="1:5" ht="13.95" customHeight="1">
      <c r="A572" s="110" t="s">
        <v>808</v>
      </c>
      <c r="B572" s="110">
        <v>65</v>
      </c>
      <c r="C572" s="110">
        <v>1.6319999999999999</v>
      </c>
      <c r="E572" s="112">
        <v>42879</v>
      </c>
    </row>
    <row r="573" spans="1:5" ht="13.95" customHeight="1">
      <c r="A573" s="110" t="s">
        <v>807</v>
      </c>
      <c r="B573" s="110" t="s">
        <v>2059</v>
      </c>
      <c r="C573" s="110">
        <v>1.544</v>
      </c>
      <c r="E573" s="112">
        <v>42879</v>
      </c>
    </row>
    <row r="574" spans="1:5" ht="13.95" customHeight="1">
      <c r="A574" s="110" t="s">
        <v>805</v>
      </c>
      <c r="B574" s="110" t="s">
        <v>2073</v>
      </c>
      <c r="C574" s="110">
        <v>1.671</v>
      </c>
      <c r="E574" s="112">
        <v>43122</v>
      </c>
    </row>
    <row r="575" spans="1:5" ht="13.95" customHeight="1">
      <c r="A575" s="110" t="s">
        <v>802</v>
      </c>
      <c r="B575" s="110">
        <v>199</v>
      </c>
      <c r="C575" s="110">
        <v>1.6160000000000001</v>
      </c>
      <c r="E575" s="112">
        <v>42881</v>
      </c>
    </row>
    <row r="576" spans="1:5" ht="13.95" customHeight="1">
      <c r="A576" s="110" t="s">
        <v>1107</v>
      </c>
      <c r="B576" s="110">
        <v>137</v>
      </c>
      <c r="C576" s="110">
        <v>1.571</v>
      </c>
      <c r="E576" s="112">
        <v>42879</v>
      </c>
    </row>
    <row r="577" spans="1:6" ht="13.95" customHeight="1">
      <c r="A577" s="110" t="s">
        <v>801</v>
      </c>
      <c r="B577" s="110" t="s">
        <v>2073</v>
      </c>
      <c r="C577" s="110">
        <v>1.6197999999999999</v>
      </c>
      <c r="E577" s="112">
        <v>43119</v>
      </c>
    </row>
    <row r="578" spans="1:6" ht="13.95" customHeight="1">
      <c r="A578" s="110" t="s">
        <v>800</v>
      </c>
      <c r="B578" s="110">
        <v>163</v>
      </c>
      <c r="C578" s="110">
        <v>1.738</v>
      </c>
      <c r="E578" s="112">
        <v>42881</v>
      </c>
    </row>
    <row r="579" spans="1:6" ht="13.95" customHeight="1">
      <c r="A579" s="110" t="s">
        <v>799</v>
      </c>
      <c r="B579" s="110" t="s">
        <v>2073</v>
      </c>
      <c r="C579" s="110">
        <v>1.5906</v>
      </c>
      <c r="E579" s="112">
        <v>43119</v>
      </c>
    </row>
    <row r="580" spans="1:6" ht="13.95" customHeight="1">
      <c r="A580" s="110" t="s">
        <v>798</v>
      </c>
      <c r="B580" s="110">
        <v>91</v>
      </c>
      <c r="C580" s="110">
        <v>0.16200000000000001</v>
      </c>
      <c r="D580" s="110" t="s">
        <v>2131</v>
      </c>
      <c r="E580" s="112">
        <v>42878</v>
      </c>
    </row>
    <row r="581" spans="1:6" ht="13.95" customHeight="1">
      <c r="A581" s="110" t="s">
        <v>797</v>
      </c>
      <c r="B581" s="110">
        <v>208</v>
      </c>
      <c r="C581" s="110">
        <v>1.476</v>
      </c>
      <c r="E581" s="112">
        <v>42879</v>
      </c>
    </row>
    <row r="582" spans="1:6" ht="13.95" customHeight="1">
      <c r="A582" s="110" t="s">
        <v>795</v>
      </c>
      <c r="B582" s="110">
        <v>192</v>
      </c>
      <c r="C582" s="110">
        <v>1.6679999999999999</v>
      </c>
      <c r="E582" s="112">
        <v>42881</v>
      </c>
    </row>
    <row r="583" spans="1:6" ht="13.95" customHeight="1">
      <c r="A583" s="180" t="s">
        <v>792</v>
      </c>
      <c r="B583" s="180">
        <v>29</v>
      </c>
      <c r="C583" s="180">
        <f>D583+1.2602</f>
        <v>1.4108000000000001</v>
      </c>
      <c r="D583" s="180">
        <f>0.1218+0.0288</f>
        <v>0.15060000000000001</v>
      </c>
      <c r="E583" s="405">
        <v>43441</v>
      </c>
      <c r="F583" s="180" t="s">
        <v>3225</v>
      </c>
    </row>
    <row r="584" spans="1:6" ht="13.95" customHeight="1">
      <c r="A584" s="110" t="s">
        <v>1106</v>
      </c>
      <c r="B584" s="110">
        <v>157</v>
      </c>
      <c r="C584" s="110">
        <v>1.994</v>
      </c>
      <c r="E584" s="112">
        <v>42879</v>
      </c>
    </row>
    <row r="585" spans="1:6" ht="13.95" customHeight="1">
      <c r="A585" s="110" t="s">
        <v>788</v>
      </c>
      <c r="B585" s="110">
        <v>172</v>
      </c>
      <c r="C585" s="110">
        <v>1.7694000000000001</v>
      </c>
      <c r="E585" s="112">
        <v>43123</v>
      </c>
    </row>
    <row r="586" spans="1:6" ht="13.95" customHeight="1">
      <c r="A586" s="110" t="s">
        <v>787</v>
      </c>
      <c r="B586" s="110">
        <v>189</v>
      </c>
      <c r="C586" s="110">
        <v>1.7630999999999999</v>
      </c>
      <c r="E586" s="112">
        <v>43125</v>
      </c>
    </row>
    <row r="587" spans="1:6" ht="13.95" customHeight="1">
      <c r="A587" s="110" t="s">
        <v>785</v>
      </c>
      <c r="B587" s="110">
        <v>219</v>
      </c>
      <c r="C587" s="110">
        <v>1.4823</v>
      </c>
      <c r="E587" s="112">
        <v>43125</v>
      </c>
    </row>
    <row r="588" spans="1:6" ht="13.95" customHeight="1">
      <c r="A588" s="110" t="s">
        <v>782</v>
      </c>
      <c r="B588" s="110" t="s">
        <v>2073</v>
      </c>
      <c r="C588" s="110">
        <v>1.4882</v>
      </c>
      <c r="D588" s="110" t="s">
        <v>2121</v>
      </c>
      <c r="E588" s="112">
        <v>43122</v>
      </c>
    </row>
    <row r="589" spans="1:6" ht="13.95" customHeight="1">
      <c r="A589" s="110" t="s">
        <v>781</v>
      </c>
      <c r="B589" s="110">
        <v>95</v>
      </c>
      <c r="C589" s="110">
        <v>0.45800000000000002</v>
      </c>
      <c r="D589" s="110" t="s">
        <v>2054</v>
      </c>
      <c r="E589" s="112">
        <v>42879</v>
      </c>
    </row>
    <row r="590" spans="1:6" ht="13.95" customHeight="1">
      <c r="A590" s="110" t="s">
        <v>779</v>
      </c>
      <c r="B590" s="110" t="s">
        <v>2073</v>
      </c>
      <c r="C590" s="110">
        <v>1.5253000000000001</v>
      </c>
      <c r="E590" s="112">
        <v>43122</v>
      </c>
    </row>
    <row r="591" spans="1:6" ht="13.95" customHeight="1">
      <c r="A591" s="110" t="s">
        <v>778</v>
      </c>
      <c r="B591" s="110" t="s">
        <v>2073</v>
      </c>
      <c r="C591" s="110">
        <v>1.5164</v>
      </c>
      <c r="E591" s="112">
        <v>43122</v>
      </c>
    </row>
    <row r="592" spans="1:6" ht="13.95" customHeight="1">
      <c r="A592" s="110" t="s">
        <v>777</v>
      </c>
      <c r="B592" s="110" t="s">
        <v>2073</v>
      </c>
      <c r="C592" s="110">
        <v>1.3913</v>
      </c>
      <c r="E592" s="112">
        <v>43122</v>
      </c>
    </row>
    <row r="593" spans="1:12" ht="13.95" customHeight="1">
      <c r="A593" s="110" t="s">
        <v>773</v>
      </c>
      <c r="B593" s="110">
        <v>82</v>
      </c>
      <c r="C593" s="110">
        <v>1.704</v>
      </c>
      <c r="E593" s="112">
        <v>42879</v>
      </c>
    </row>
    <row r="594" spans="1:12" ht="13.95" customHeight="1">
      <c r="A594" t="s">
        <v>772</v>
      </c>
      <c r="B594" s="110">
        <v>199</v>
      </c>
      <c r="C594" s="110">
        <v>1.667</v>
      </c>
      <c r="E594" s="112">
        <v>42881</v>
      </c>
    </row>
    <row r="595" spans="1:12" ht="13.95" customHeight="1">
      <c r="A595" s="110" t="s">
        <v>1104</v>
      </c>
      <c r="B595" s="110">
        <v>114</v>
      </c>
      <c r="C595" s="110">
        <v>1.504</v>
      </c>
      <c r="E595" s="112">
        <v>42878</v>
      </c>
    </row>
    <row r="596" spans="1:12" ht="13.95" customHeight="1">
      <c r="A596" s="110" t="s">
        <v>771</v>
      </c>
      <c r="B596" s="110" t="s">
        <v>2073</v>
      </c>
      <c r="C596" s="110">
        <v>1.488</v>
      </c>
      <c r="E596" s="112">
        <v>43122</v>
      </c>
    </row>
    <row r="597" spans="1:12" ht="13.95" customHeight="1">
      <c r="A597" s="110" t="s">
        <v>770</v>
      </c>
      <c r="B597" s="110">
        <v>42</v>
      </c>
      <c r="C597" s="110">
        <v>1.649</v>
      </c>
      <c r="E597" s="112">
        <v>42881</v>
      </c>
    </row>
    <row r="598" spans="1:12" ht="13.95" customHeight="1">
      <c r="A598" s="110" t="s">
        <v>769</v>
      </c>
      <c r="B598" s="110" t="s">
        <v>2073</v>
      </c>
      <c r="C598" s="110">
        <v>1.6213</v>
      </c>
      <c r="E598" s="112">
        <v>43119</v>
      </c>
    </row>
    <row r="599" spans="1:12" ht="13.95" customHeight="1">
      <c r="A599" s="110" t="s">
        <v>766</v>
      </c>
      <c r="B599" s="110" t="s">
        <v>2073</v>
      </c>
      <c r="C599" s="110">
        <v>1.3742000000000001</v>
      </c>
      <c r="E599" s="112">
        <v>43116</v>
      </c>
    </row>
    <row r="600" spans="1:12" ht="13.95" customHeight="1">
      <c r="A600" s="167" t="s">
        <v>765</v>
      </c>
      <c r="B600" s="110">
        <v>43</v>
      </c>
      <c r="C600" s="110">
        <v>1.3532999999999999</v>
      </c>
      <c r="D600" s="166" t="s">
        <v>2455</v>
      </c>
      <c r="E600" s="112">
        <v>43123</v>
      </c>
    </row>
    <row r="601" spans="1:12" ht="13.95" customHeight="1">
      <c r="A601" s="110" t="s">
        <v>763</v>
      </c>
      <c r="B601" s="110">
        <v>195</v>
      </c>
      <c r="C601" s="110">
        <v>1.5296000000000001</v>
      </c>
      <c r="D601" s="110" t="s">
        <v>2083</v>
      </c>
      <c r="E601" s="112">
        <v>43125</v>
      </c>
    </row>
    <row r="602" spans="1:12" ht="13.95" customHeight="1">
      <c r="A602" s="110" t="s">
        <v>1103</v>
      </c>
      <c r="B602" s="110" t="s">
        <v>2073</v>
      </c>
      <c r="C602" s="110">
        <v>1.2627999999999999</v>
      </c>
      <c r="E602" s="112">
        <v>43122</v>
      </c>
    </row>
    <row r="603" spans="1:12" ht="13.95" customHeight="1">
      <c r="A603" s="110" t="s">
        <v>761</v>
      </c>
      <c r="B603" s="110" t="s">
        <v>2073</v>
      </c>
      <c r="C603" s="110">
        <v>1.6271</v>
      </c>
      <c r="D603" s="110" t="s">
        <v>2115</v>
      </c>
      <c r="E603" s="112">
        <v>43116</v>
      </c>
    </row>
    <row r="604" spans="1:12" ht="13.95" customHeight="1">
      <c r="A604" s="110" t="s">
        <v>760</v>
      </c>
      <c r="B604" s="110">
        <v>221</v>
      </c>
      <c r="C604" s="110">
        <v>1.528</v>
      </c>
      <c r="E604" s="112">
        <v>42878</v>
      </c>
      <c r="J604" s="113"/>
      <c r="L604" s="113"/>
    </row>
    <row r="605" spans="1:12" ht="13.95" customHeight="1">
      <c r="A605" s="110" t="s">
        <v>759</v>
      </c>
      <c r="B605" s="110">
        <v>14</v>
      </c>
      <c r="C605" s="110">
        <v>1.794</v>
      </c>
      <c r="E605" s="112">
        <v>42881</v>
      </c>
    </row>
    <row r="606" spans="1:12" ht="13.95" customHeight="1">
      <c r="A606" s="110" t="s">
        <v>758</v>
      </c>
      <c r="B606" s="110">
        <v>214</v>
      </c>
      <c r="C606" s="110">
        <v>1.587</v>
      </c>
      <c r="E606" s="112">
        <v>42878</v>
      </c>
      <c r="G606" s="113" t="s">
        <v>2062</v>
      </c>
    </row>
    <row r="607" spans="1:12" ht="13.95" customHeight="1">
      <c r="A607" s="110" t="s">
        <v>757</v>
      </c>
      <c r="B607" s="110">
        <v>174</v>
      </c>
      <c r="C607" s="110">
        <v>1.772</v>
      </c>
      <c r="E607" s="112">
        <v>42881</v>
      </c>
      <c r="G607" s="113" t="s">
        <v>2062</v>
      </c>
    </row>
    <row r="608" spans="1:12" ht="13.95" customHeight="1">
      <c r="A608" s="110" t="s">
        <v>755</v>
      </c>
      <c r="B608" s="110" t="s">
        <v>2079</v>
      </c>
      <c r="C608" s="110">
        <v>1.5941000000000001</v>
      </c>
      <c r="D608" s="166" t="s">
        <v>2459</v>
      </c>
      <c r="E608" s="112">
        <v>43125</v>
      </c>
      <c r="G608" s="113" t="s">
        <v>2062</v>
      </c>
    </row>
    <row r="609" spans="1:5" ht="13.95" customHeight="1">
      <c r="A609" s="110" t="s">
        <v>754</v>
      </c>
      <c r="B609" s="110" t="s">
        <v>2073</v>
      </c>
      <c r="C609" s="110">
        <v>1.6520999999999999</v>
      </c>
      <c r="E609" s="112">
        <v>43122</v>
      </c>
    </row>
    <row r="610" spans="1:5" ht="13.95" customHeight="1">
      <c r="A610" s="110" t="s">
        <v>1102</v>
      </c>
      <c r="B610" s="110">
        <v>124</v>
      </c>
      <c r="C610" s="110">
        <v>1.4910000000000001</v>
      </c>
      <c r="E610" s="112">
        <v>42881</v>
      </c>
    </row>
    <row r="611" spans="1:5" ht="13.95" customHeight="1">
      <c r="A611" t="s">
        <v>751</v>
      </c>
      <c r="B611" s="110">
        <v>60</v>
      </c>
      <c r="C611" s="110">
        <v>1.5309999999999999</v>
      </c>
      <c r="D611" s="110" t="s">
        <v>2067</v>
      </c>
      <c r="E611" s="112">
        <v>42879</v>
      </c>
    </row>
    <row r="612" spans="1:5" ht="13.95" customHeight="1">
      <c r="A612" s="110" t="s">
        <v>750</v>
      </c>
      <c r="B612" s="110">
        <v>85</v>
      </c>
      <c r="C612" s="110">
        <v>1.6220000000000001</v>
      </c>
      <c r="E612" s="112">
        <v>42878</v>
      </c>
    </row>
    <row r="613" spans="1:5" ht="13.95" customHeight="1">
      <c r="A613" s="110" t="s">
        <v>749</v>
      </c>
      <c r="B613" s="110" t="s">
        <v>2073</v>
      </c>
      <c r="C613" s="110">
        <v>1.6165</v>
      </c>
      <c r="E613" s="112">
        <v>43122</v>
      </c>
    </row>
    <row r="614" spans="1:5" ht="13.95" customHeight="1">
      <c r="A614" s="110" t="s">
        <v>748</v>
      </c>
      <c r="B614" s="110" t="s">
        <v>2073</v>
      </c>
      <c r="C614" s="110">
        <v>1.6598999999999999</v>
      </c>
      <c r="E614" s="112">
        <v>43116</v>
      </c>
    </row>
    <row r="615" spans="1:5" ht="13.95" customHeight="1">
      <c r="A615" s="110" t="s">
        <v>746</v>
      </c>
      <c r="B615" s="110">
        <v>201</v>
      </c>
      <c r="C615" s="110">
        <v>1.5786</v>
      </c>
      <c r="D615" s="110" t="s">
        <v>2111</v>
      </c>
      <c r="E615" s="112">
        <v>43116</v>
      </c>
    </row>
    <row r="616" spans="1:5" ht="13.95" customHeight="1">
      <c r="A616" s="110" t="s">
        <v>745</v>
      </c>
      <c r="B616" s="110" t="s">
        <v>2073</v>
      </c>
      <c r="C616" s="110">
        <v>1.3464</v>
      </c>
      <c r="E616" s="112">
        <v>43122</v>
      </c>
    </row>
    <row r="617" spans="1:5" ht="13.95" customHeight="1">
      <c r="A617" s="110" t="s">
        <v>743</v>
      </c>
      <c r="B617" s="110">
        <v>7</v>
      </c>
      <c r="C617" s="110">
        <v>1.518</v>
      </c>
      <c r="E617" s="112">
        <v>42879</v>
      </c>
    </row>
    <row r="618" spans="1:5" ht="13.95" customHeight="1">
      <c r="A618" s="110" t="s">
        <v>1137</v>
      </c>
      <c r="B618" s="110">
        <v>92</v>
      </c>
      <c r="C618" s="110">
        <v>1.6779999999999999</v>
      </c>
      <c r="E618" s="112">
        <v>42879</v>
      </c>
    </row>
    <row r="619" spans="1:5" ht="13.95" customHeight="1">
      <c r="A619" s="110" t="s">
        <v>1101</v>
      </c>
      <c r="B619" s="110">
        <v>145</v>
      </c>
      <c r="C619" s="110">
        <v>1.589</v>
      </c>
      <c r="E619" s="112">
        <v>42878</v>
      </c>
    </row>
    <row r="620" spans="1:5" ht="13.95" customHeight="1">
      <c r="A620" s="110" t="s">
        <v>738</v>
      </c>
      <c r="B620" s="110">
        <v>169</v>
      </c>
      <c r="C620" s="110">
        <v>1.736</v>
      </c>
      <c r="E620" s="112">
        <v>42879</v>
      </c>
    </row>
    <row r="621" spans="1:5" ht="13.95" customHeight="1">
      <c r="A621" s="110" t="s">
        <v>737</v>
      </c>
      <c r="B621" s="110" t="s">
        <v>2073</v>
      </c>
      <c r="C621" s="110">
        <v>0.15579999999999999</v>
      </c>
      <c r="D621" s="110" t="s">
        <v>2141</v>
      </c>
      <c r="E621" s="112">
        <v>43116</v>
      </c>
    </row>
    <row r="622" spans="1:5" ht="13.95" customHeight="1">
      <c r="A622" s="110" t="s">
        <v>735</v>
      </c>
      <c r="B622" s="110" t="s">
        <v>2073</v>
      </c>
      <c r="C622" s="110">
        <v>1.4278999999999999</v>
      </c>
      <c r="E622" s="112">
        <v>43123</v>
      </c>
    </row>
    <row r="623" spans="1:5" ht="13.95" customHeight="1">
      <c r="A623" s="110" t="s">
        <v>733</v>
      </c>
      <c r="B623" s="110">
        <v>87</v>
      </c>
      <c r="C623" s="110">
        <v>0.3599</v>
      </c>
      <c r="D623" s="110" t="s">
        <v>2101</v>
      </c>
      <c r="E623" s="112">
        <v>43125</v>
      </c>
    </row>
    <row r="624" spans="1:5" ht="13.95" customHeight="1">
      <c r="A624" s="110" t="s">
        <v>1100</v>
      </c>
      <c r="B624" s="110">
        <v>112</v>
      </c>
      <c r="C624" s="110">
        <v>1.6910000000000001</v>
      </c>
      <c r="E624" s="112">
        <v>42878</v>
      </c>
    </row>
    <row r="625" spans="1:5" ht="13.95" customHeight="1">
      <c r="A625" s="110" t="s">
        <v>731</v>
      </c>
      <c r="B625" s="110">
        <v>217</v>
      </c>
      <c r="C625" s="110">
        <v>1.488</v>
      </c>
      <c r="E625" s="112">
        <v>42881</v>
      </c>
    </row>
    <row r="626" spans="1:5" ht="13.95" customHeight="1">
      <c r="A626" s="110" t="s">
        <v>730</v>
      </c>
      <c r="B626" s="110">
        <v>165</v>
      </c>
      <c r="C626" s="110">
        <v>1.728</v>
      </c>
      <c r="E626" s="112">
        <v>42878</v>
      </c>
    </row>
    <row r="627" spans="1:5" ht="13.95" customHeight="1">
      <c r="A627" s="110" t="s">
        <v>729</v>
      </c>
      <c r="B627" s="110">
        <v>214</v>
      </c>
      <c r="C627" s="110">
        <v>1.4850000000000001</v>
      </c>
      <c r="E627" s="112">
        <v>42878</v>
      </c>
    </row>
    <row r="628" spans="1:5" ht="13.95" customHeight="1">
      <c r="A628" s="110" t="s">
        <v>727</v>
      </c>
      <c r="B628" s="110">
        <v>69</v>
      </c>
      <c r="C628" s="110">
        <v>2.403</v>
      </c>
      <c r="E628" s="112">
        <v>42881</v>
      </c>
    </row>
    <row r="629" spans="1:5" ht="13.95" customHeight="1">
      <c r="A629" s="110" t="s">
        <v>726</v>
      </c>
      <c r="B629" s="110">
        <v>15</v>
      </c>
      <c r="C629" s="110">
        <v>2.96</v>
      </c>
      <c r="D629" s="110" t="s">
        <v>2065</v>
      </c>
      <c r="E629" s="112">
        <v>42879</v>
      </c>
    </row>
    <row r="630" spans="1:5" ht="13.95" customHeight="1">
      <c r="A630" s="110" t="s">
        <v>724</v>
      </c>
      <c r="B630" s="110">
        <v>84</v>
      </c>
      <c r="C630" s="110">
        <v>1.5820000000000001</v>
      </c>
      <c r="E630" s="112">
        <v>42881</v>
      </c>
    </row>
    <row r="631" spans="1:5" ht="13.95" customHeight="1">
      <c r="A631" s="110" t="s">
        <v>723</v>
      </c>
      <c r="B631" s="110">
        <v>128</v>
      </c>
      <c r="C631" s="110">
        <v>1.4119999999999999</v>
      </c>
      <c r="E631" s="112">
        <v>42879</v>
      </c>
    </row>
    <row r="632" spans="1:5" ht="13.95" customHeight="1">
      <c r="A632" s="110" t="s">
        <v>1099</v>
      </c>
      <c r="B632" s="110">
        <v>61</v>
      </c>
      <c r="C632" s="110">
        <v>0.182</v>
      </c>
      <c r="D632" s="110" t="s">
        <v>2080</v>
      </c>
      <c r="E632" s="112">
        <v>42878</v>
      </c>
    </row>
    <row r="633" spans="1:5" ht="13.95" customHeight="1">
      <c r="A633" s="110" t="s">
        <v>721</v>
      </c>
      <c r="B633" s="110">
        <v>40</v>
      </c>
      <c r="C633" s="110">
        <v>1.66</v>
      </c>
      <c r="E633" s="112">
        <v>42881</v>
      </c>
    </row>
    <row r="634" spans="1:5" ht="13.95" customHeight="1">
      <c r="A634" s="110" t="s">
        <v>720</v>
      </c>
      <c r="B634" s="110">
        <v>160</v>
      </c>
      <c r="C634" s="110">
        <v>1.744</v>
      </c>
      <c r="E634" s="112">
        <v>42879</v>
      </c>
    </row>
    <row r="635" spans="1:5" ht="13.95" customHeight="1">
      <c r="A635" s="110" t="s">
        <v>718</v>
      </c>
      <c r="B635" s="110">
        <v>63</v>
      </c>
      <c r="C635" s="110">
        <v>1.6359999999999999</v>
      </c>
      <c r="E635" s="112">
        <v>42879</v>
      </c>
    </row>
    <row r="636" spans="1:5" ht="13.95" customHeight="1">
      <c r="A636" s="110" t="s">
        <v>717</v>
      </c>
      <c r="B636" s="110">
        <v>127</v>
      </c>
      <c r="C636" s="110">
        <v>1.552</v>
      </c>
      <c r="E636" s="112">
        <v>42879</v>
      </c>
    </row>
    <row r="637" spans="1:5" ht="13.95" customHeight="1">
      <c r="A637" s="110" t="s">
        <v>715</v>
      </c>
      <c r="B637" s="110">
        <v>138</v>
      </c>
      <c r="C637" s="110">
        <v>1.613</v>
      </c>
      <c r="E637" s="112">
        <v>42879</v>
      </c>
    </row>
    <row r="638" spans="1:5" ht="13.95" customHeight="1">
      <c r="A638" s="110" t="s">
        <v>714</v>
      </c>
      <c r="B638" s="110" t="s">
        <v>2073</v>
      </c>
      <c r="C638" s="110">
        <v>1.6979</v>
      </c>
      <c r="E638" s="112">
        <v>43119</v>
      </c>
    </row>
    <row r="639" spans="1:5" ht="13.95" customHeight="1">
      <c r="A639" s="110" t="s">
        <v>713</v>
      </c>
      <c r="B639" s="110">
        <v>113</v>
      </c>
      <c r="C639" s="110">
        <v>1.768</v>
      </c>
      <c r="E639" s="112">
        <v>42878</v>
      </c>
    </row>
    <row r="640" spans="1:5" ht="13.95" customHeight="1">
      <c r="A640" s="110" t="s">
        <v>712</v>
      </c>
      <c r="B640" s="110">
        <v>122</v>
      </c>
      <c r="C640" s="110">
        <v>1.2190000000000001</v>
      </c>
      <c r="E640" s="112">
        <v>42878</v>
      </c>
    </row>
    <row r="641" spans="1:5" ht="13.95" customHeight="1">
      <c r="A641" s="110" t="s">
        <v>711</v>
      </c>
      <c r="B641" s="110">
        <v>103</v>
      </c>
      <c r="C641" s="110">
        <v>1.629</v>
      </c>
      <c r="E641" s="112">
        <v>42881</v>
      </c>
    </row>
    <row r="642" spans="1:5" ht="13.95" customHeight="1">
      <c r="A642" s="110" t="s">
        <v>709</v>
      </c>
      <c r="B642" s="110">
        <v>135</v>
      </c>
      <c r="C642" s="110">
        <v>1.6830000000000001</v>
      </c>
      <c r="E642" s="112">
        <v>42881</v>
      </c>
    </row>
    <row r="643" spans="1:5" ht="13.95" customHeight="1">
      <c r="A643" s="110" t="s">
        <v>708</v>
      </c>
      <c r="B643" s="110">
        <v>130</v>
      </c>
      <c r="C643" s="110">
        <v>1.5069999999999999</v>
      </c>
      <c r="E643" s="112">
        <v>42879</v>
      </c>
    </row>
    <row r="644" spans="1:5" ht="13.95" customHeight="1">
      <c r="A644" s="110" t="s">
        <v>707</v>
      </c>
      <c r="B644" s="110" t="s">
        <v>2073</v>
      </c>
      <c r="C644" s="110">
        <v>1.5467</v>
      </c>
      <c r="E644" s="112">
        <v>43122</v>
      </c>
    </row>
    <row r="645" spans="1:5" ht="13.95" customHeight="1">
      <c r="A645" s="110" t="s">
        <v>706</v>
      </c>
      <c r="B645" s="110">
        <v>57</v>
      </c>
      <c r="C645" s="116">
        <v>1.4594</v>
      </c>
      <c r="E645" s="112">
        <v>43116</v>
      </c>
    </row>
    <row r="646" spans="1:5" ht="13.95" customHeight="1">
      <c r="A646" s="110" t="s">
        <v>705</v>
      </c>
      <c r="B646" s="110" t="s">
        <v>2073</v>
      </c>
      <c r="C646" s="110">
        <v>1.5295000000000001</v>
      </c>
      <c r="E646" s="112">
        <v>43122</v>
      </c>
    </row>
    <row r="647" spans="1:5" ht="13.95" customHeight="1">
      <c r="A647" s="110" t="s">
        <v>704</v>
      </c>
      <c r="B647" s="110">
        <v>39</v>
      </c>
      <c r="C647" s="110">
        <v>1.4531000000000001</v>
      </c>
      <c r="D647" s="110" t="s">
        <v>2111</v>
      </c>
      <c r="E647" s="112">
        <v>43123</v>
      </c>
    </row>
    <row r="648" spans="1:5" ht="13.95" customHeight="1">
      <c r="A648" s="110" t="s">
        <v>703</v>
      </c>
      <c r="B648" s="110" t="s">
        <v>2073</v>
      </c>
      <c r="C648" s="110">
        <v>0.17480000000000001</v>
      </c>
      <c r="D648" s="110" t="s">
        <v>2141</v>
      </c>
      <c r="E648" s="112">
        <v>43116</v>
      </c>
    </row>
    <row r="649" spans="1:5" ht="13.95" customHeight="1">
      <c r="A649" s="110" t="s">
        <v>1097</v>
      </c>
      <c r="B649" s="110">
        <v>67</v>
      </c>
      <c r="C649" s="110">
        <v>1.5427999999999999</v>
      </c>
      <c r="E649" s="112">
        <v>43125</v>
      </c>
    </row>
    <row r="650" spans="1:5" ht="13.95" customHeight="1">
      <c r="A650" s="110" t="s">
        <v>701</v>
      </c>
      <c r="B650" s="110" t="s">
        <v>2073</v>
      </c>
      <c r="C650" s="110">
        <v>1.6322000000000001</v>
      </c>
      <c r="E650" s="112">
        <v>43116</v>
      </c>
    </row>
    <row r="651" spans="1:5" ht="13.95" customHeight="1">
      <c r="A651" s="110" t="s">
        <v>699</v>
      </c>
      <c r="B651" s="110" t="s">
        <v>2073</v>
      </c>
      <c r="C651" s="110">
        <v>1.3831</v>
      </c>
      <c r="E651" s="112">
        <v>43116</v>
      </c>
    </row>
    <row r="652" spans="1:5" ht="13.95" customHeight="1">
      <c r="A652" s="110" t="s">
        <v>697</v>
      </c>
      <c r="B652" s="110" t="s">
        <v>2073</v>
      </c>
      <c r="C652" s="110">
        <v>1.7522</v>
      </c>
      <c r="E652" s="112">
        <v>43116</v>
      </c>
    </row>
    <row r="653" spans="1:5" ht="13.95" customHeight="1">
      <c r="A653" s="110" t="s">
        <v>696</v>
      </c>
      <c r="B653" s="110">
        <v>92</v>
      </c>
      <c r="C653" s="110">
        <v>0.31</v>
      </c>
      <c r="E653" s="112">
        <v>42879</v>
      </c>
    </row>
    <row r="654" spans="1:5" ht="13.95" customHeight="1">
      <c r="A654" s="110" t="s">
        <v>695</v>
      </c>
      <c r="B654" s="110" t="s">
        <v>2073</v>
      </c>
      <c r="C654" s="110">
        <v>1.4224000000000001</v>
      </c>
      <c r="E654" s="112">
        <v>43122</v>
      </c>
    </row>
    <row r="655" spans="1:5" ht="13.95" customHeight="1">
      <c r="A655" s="110" t="s">
        <v>694</v>
      </c>
      <c r="B655" s="110">
        <v>151</v>
      </c>
      <c r="C655" s="110">
        <v>1.782</v>
      </c>
      <c r="E655" s="112">
        <v>42879</v>
      </c>
    </row>
    <row r="656" spans="1:5" ht="13.95" customHeight="1">
      <c r="A656" s="110" t="s">
        <v>693</v>
      </c>
      <c r="B656" s="110">
        <v>62</v>
      </c>
      <c r="C656" s="110">
        <v>1.5379</v>
      </c>
      <c r="E656" s="112">
        <v>43125</v>
      </c>
    </row>
    <row r="657" spans="1:5" ht="13.95" customHeight="1">
      <c r="A657" s="110" t="s">
        <v>692</v>
      </c>
      <c r="B657" s="110">
        <v>208</v>
      </c>
      <c r="C657" s="110">
        <v>1.611</v>
      </c>
      <c r="E657" s="112">
        <v>42879</v>
      </c>
    </row>
    <row r="658" spans="1:5" ht="13.95" customHeight="1">
      <c r="A658" s="110" t="s">
        <v>1096</v>
      </c>
      <c r="B658" s="110" t="s">
        <v>2073</v>
      </c>
      <c r="C658" s="110">
        <v>1.4908999999999999</v>
      </c>
      <c r="E658" s="112">
        <v>43119</v>
      </c>
    </row>
    <row r="659" spans="1:5" ht="13.95" customHeight="1">
      <c r="A659" s="110" t="s">
        <v>691</v>
      </c>
      <c r="B659" s="110" t="s">
        <v>2079</v>
      </c>
      <c r="C659" s="110">
        <v>0.91920000000000002</v>
      </c>
      <c r="D659" s="110" t="s">
        <v>2093</v>
      </c>
      <c r="E659" s="112">
        <v>43125</v>
      </c>
    </row>
    <row r="660" spans="1:5" ht="13.95" customHeight="1">
      <c r="A660" s="110" t="s">
        <v>690</v>
      </c>
      <c r="B660" s="110">
        <v>171</v>
      </c>
      <c r="C660" s="110">
        <v>1.629</v>
      </c>
      <c r="E660" s="112">
        <v>42878</v>
      </c>
    </row>
    <row r="661" spans="1:5" ht="13.95" customHeight="1">
      <c r="A661" s="110" t="s">
        <v>689</v>
      </c>
      <c r="B661" s="110">
        <v>33</v>
      </c>
      <c r="C661" s="110">
        <v>1.6020000000000001</v>
      </c>
      <c r="E661" s="112">
        <v>42881</v>
      </c>
    </row>
    <row r="662" spans="1:5" ht="13.95" customHeight="1">
      <c r="A662" s="110" t="s">
        <v>688</v>
      </c>
      <c r="B662" s="110">
        <v>169</v>
      </c>
      <c r="C662" s="110">
        <v>0.14299999999999999</v>
      </c>
      <c r="D662" s="110" t="s">
        <v>2054</v>
      </c>
      <c r="E662" s="112">
        <v>42879</v>
      </c>
    </row>
    <row r="663" spans="1:5" ht="13.95" customHeight="1">
      <c r="A663" s="110" t="s">
        <v>687</v>
      </c>
      <c r="B663" s="110">
        <v>120</v>
      </c>
      <c r="C663" s="110">
        <v>0.3876</v>
      </c>
      <c r="D663" s="110" t="s">
        <v>2104</v>
      </c>
      <c r="E663" s="112">
        <v>43125</v>
      </c>
    </row>
    <row r="664" spans="1:5" ht="13.95" customHeight="1">
      <c r="A664" s="110" t="s">
        <v>685</v>
      </c>
      <c r="B664" s="110">
        <v>143</v>
      </c>
      <c r="C664" s="110">
        <v>1.6178999999999999</v>
      </c>
      <c r="E664" s="112">
        <v>43125</v>
      </c>
    </row>
    <row r="665" spans="1:5" ht="13.95" customHeight="1">
      <c r="A665" s="181" t="s">
        <v>684</v>
      </c>
      <c r="B665" s="110">
        <v>216</v>
      </c>
      <c r="C665" s="110">
        <v>1.5940000000000001</v>
      </c>
      <c r="E665" s="112">
        <v>42879</v>
      </c>
    </row>
    <row r="666" spans="1:5" ht="13.95" customHeight="1">
      <c r="A666" s="110" t="s">
        <v>683</v>
      </c>
      <c r="B666" s="110">
        <v>175</v>
      </c>
      <c r="C666" s="110">
        <v>0.61699999999999999</v>
      </c>
      <c r="E666" s="112">
        <v>42879</v>
      </c>
    </row>
    <row r="667" spans="1:5" ht="13.95" customHeight="1">
      <c r="A667" s="110" t="s">
        <v>682</v>
      </c>
      <c r="B667" s="110">
        <v>116</v>
      </c>
      <c r="C667" s="110">
        <v>0.68710000000000004</v>
      </c>
      <c r="D667" s="110" t="s">
        <v>2076</v>
      </c>
      <c r="E667" s="112">
        <v>43125</v>
      </c>
    </row>
    <row r="668" spans="1:5" ht="13.95" customHeight="1">
      <c r="A668" s="110" t="s">
        <v>1095</v>
      </c>
      <c r="B668" s="110">
        <v>129</v>
      </c>
      <c r="C668" s="110">
        <v>0.48970000000000002</v>
      </c>
      <c r="D668" s="110" t="s">
        <v>2077</v>
      </c>
      <c r="E668" s="112">
        <v>43125</v>
      </c>
    </row>
    <row r="669" spans="1:5" ht="13.95" customHeight="1">
      <c r="A669" s="181" t="s">
        <v>681</v>
      </c>
      <c r="B669" s="110">
        <v>142</v>
      </c>
      <c r="C669" s="110">
        <v>0.14299999999999999</v>
      </c>
      <c r="D669" s="110" t="s">
        <v>2054</v>
      </c>
      <c r="E669" s="112">
        <v>42881</v>
      </c>
    </row>
    <row r="670" spans="1:5" ht="13.95" customHeight="1">
      <c r="A670" s="110" t="s">
        <v>680</v>
      </c>
      <c r="B670" s="110">
        <v>160</v>
      </c>
      <c r="C670" s="110">
        <v>1.744</v>
      </c>
      <c r="E670" s="112">
        <v>42879</v>
      </c>
    </row>
    <row r="671" spans="1:5" ht="13.95" customHeight="1">
      <c r="A671" s="110" t="s">
        <v>679</v>
      </c>
      <c r="B671" s="110" t="s">
        <v>2073</v>
      </c>
      <c r="C671" s="110">
        <v>1.5465</v>
      </c>
      <c r="D671" s="110" t="s">
        <v>2116</v>
      </c>
      <c r="E671" s="112">
        <v>43122</v>
      </c>
    </row>
    <row r="672" spans="1:5" ht="13.95" customHeight="1">
      <c r="A672" s="110" t="s">
        <v>678</v>
      </c>
      <c r="B672" s="110">
        <v>198</v>
      </c>
      <c r="C672" s="110">
        <v>1.5485</v>
      </c>
      <c r="E672" s="112">
        <v>43125</v>
      </c>
    </row>
    <row r="673" spans="1:5" ht="13.95" customHeight="1">
      <c r="A673" s="110" t="s">
        <v>677</v>
      </c>
      <c r="B673" s="110">
        <v>156</v>
      </c>
      <c r="C673" s="110">
        <v>1.802</v>
      </c>
      <c r="E673" s="112">
        <v>42879</v>
      </c>
    </row>
    <row r="674" spans="1:5" ht="13.95" customHeight="1">
      <c r="A674" s="110" t="s">
        <v>676</v>
      </c>
      <c r="B674" s="110">
        <v>141</v>
      </c>
      <c r="C674" s="110">
        <v>1.6759999999999999</v>
      </c>
      <c r="E674" s="112">
        <v>42878</v>
      </c>
    </row>
    <row r="675" spans="1:5" ht="13.95" customHeight="1">
      <c r="A675" s="110" t="s">
        <v>675</v>
      </c>
      <c r="B675">
        <v>123</v>
      </c>
      <c r="C675" s="110">
        <v>1.5760000000000001</v>
      </c>
      <c r="E675" s="112">
        <v>42879</v>
      </c>
    </row>
    <row r="676" spans="1:5" ht="13.95" customHeight="1">
      <c r="A676" s="110" t="s">
        <v>674</v>
      </c>
      <c r="B676" s="110">
        <v>134</v>
      </c>
      <c r="C676" s="110">
        <v>1.591</v>
      </c>
      <c r="E676" s="112">
        <v>42881</v>
      </c>
    </row>
    <row r="677" spans="1:5" ht="13.95" customHeight="1">
      <c r="A677" s="110" t="s">
        <v>673</v>
      </c>
      <c r="B677" s="110">
        <v>146</v>
      </c>
      <c r="C677" s="110">
        <v>1.657</v>
      </c>
      <c r="E677" s="112">
        <v>42878</v>
      </c>
    </row>
    <row r="678" spans="1:5" ht="13.95" customHeight="1">
      <c r="A678" s="110" t="s">
        <v>672</v>
      </c>
      <c r="B678" s="110">
        <v>45</v>
      </c>
      <c r="C678" s="110">
        <v>1.5804</v>
      </c>
      <c r="E678" s="112">
        <v>43123</v>
      </c>
    </row>
    <row r="679" spans="1:5" ht="13.95" customHeight="1">
      <c r="A679" s="110" t="s">
        <v>671</v>
      </c>
      <c r="B679" s="110">
        <v>177</v>
      </c>
      <c r="C679" s="110">
        <v>1.677</v>
      </c>
      <c r="E679" s="112">
        <v>42881</v>
      </c>
    </row>
    <row r="680" spans="1:5" ht="13.95" customHeight="1">
      <c r="A680" s="110" t="s">
        <v>670</v>
      </c>
      <c r="B680" s="110">
        <v>124</v>
      </c>
      <c r="C680" s="110">
        <v>1.518</v>
      </c>
      <c r="E680" s="112">
        <v>42881</v>
      </c>
    </row>
    <row r="681" spans="1:5" ht="13.95" customHeight="1">
      <c r="A681" s="110" t="s">
        <v>669</v>
      </c>
      <c r="B681" s="110">
        <v>148</v>
      </c>
      <c r="C681" s="110">
        <v>0.37559999999999999</v>
      </c>
      <c r="D681" s="110" t="s">
        <v>2074</v>
      </c>
      <c r="E681" s="112">
        <v>43125</v>
      </c>
    </row>
    <row r="682" spans="1:5" ht="13.95" customHeight="1">
      <c r="A682" s="110" t="s">
        <v>667</v>
      </c>
      <c r="B682" s="110">
        <v>136</v>
      </c>
      <c r="C682" s="110">
        <v>1.5827</v>
      </c>
      <c r="E682" s="112">
        <v>43125</v>
      </c>
    </row>
    <row r="683" spans="1:5" ht="13.95" customHeight="1">
      <c r="A683" s="110" t="s">
        <v>666</v>
      </c>
      <c r="B683" s="110">
        <v>104</v>
      </c>
      <c r="C683" s="110">
        <v>1.4970000000000001</v>
      </c>
      <c r="E683" s="112">
        <v>42878</v>
      </c>
    </row>
    <row r="684" spans="1:5" ht="13.95" customHeight="1">
      <c r="A684" s="110" t="s">
        <v>665</v>
      </c>
      <c r="B684" s="110">
        <v>131</v>
      </c>
      <c r="C684" s="110">
        <v>0.64019999999999999</v>
      </c>
      <c r="D684" s="110" t="s">
        <v>2099</v>
      </c>
      <c r="E684" s="112">
        <v>43125</v>
      </c>
    </row>
    <row r="685" spans="1:5" ht="13.95" customHeight="1">
      <c r="A685" s="110" t="s">
        <v>664</v>
      </c>
      <c r="B685" s="110">
        <v>132</v>
      </c>
      <c r="C685" s="110">
        <v>1.573</v>
      </c>
      <c r="E685" s="112">
        <v>43125</v>
      </c>
    </row>
    <row r="686" spans="1:5" ht="13.95" customHeight="1">
      <c r="A686" t="s">
        <v>662</v>
      </c>
      <c r="B686" s="110" t="s">
        <v>2079</v>
      </c>
      <c r="C686" s="110">
        <v>1.2541</v>
      </c>
      <c r="D686" s="110" t="s">
        <v>2067</v>
      </c>
      <c r="E686" s="112">
        <v>43125</v>
      </c>
    </row>
    <row r="687" spans="1:5" ht="13.95" customHeight="1">
      <c r="A687" s="183" t="s">
        <v>1093</v>
      </c>
      <c r="B687" s="110">
        <v>58</v>
      </c>
      <c r="C687" s="110">
        <v>0.74880000000000002</v>
      </c>
      <c r="D687" s="166" t="s">
        <v>2456</v>
      </c>
      <c r="E687" s="112">
        <v>43123</v>
      </c>
    </row>
    <row r="688" spans="1:5" ht="13.95" customHeight="1">
      <c r="A688" s="402" t="s">
        <v>661</v>
      </c>
      <c r="B688" s="110">
        <v>116</v>
      </c>
      <c r="C688" s="110">
        <v>1.4859</v>
      </c>
      <c r="E688" s="112">
        <v>43125</v>
      </c>
    </row>
    <row r="689" spans="1:5" ht="13.95" customHeight="1">
      <c r="A689" s="110" t="s">
        <v>660</v>
      </c>
      <c r="B689" s="110">
        <v>175</v>
      </c>
      <c r="C689" s="110">
        <v>1.681</v>
      </c>
      <c r="E689" s="112">
        <v>42879</v>
      </c>
    </row>
    <row r="690" spans="1:5" ht="13.95" customHeight="1">
      <c r="A690" s="110" t="s">
        <v>659</v>
      </c>
      <c r="B690" s="110" t="s">
        <v>2073</v>
      </c>
      <c r="C690" s="110">
        <v>1.6348</v>
      </c>
      <c r="E690" s="112">
        <v>43122</v>
      </c>
    </row>
    <row r="691" spans="1:5" ht="13.95" customHeight="1">
      <c r="A691" s="110" t="s">
        <v>658</v>
      </c>
      <c r="B691" s="110">
        <v>137</v>
      </c>
      <c r="C691" s="110">
        <v>1.778</v>
      </c>
      <c r="E691" s="112">
        <v>42879</v>
      </c>
    </row>
    <row r="692" spans="1:5" ht="13.95" customHeight="1">
      <c r="A692" s="110" t="s">
        <v>657</v>
      </c>
      <c r="B692" s="110">
        <v>155</v>
      </c>
      <c r="C692" s="110">
        <v>1.7509999999999999</v>
      </c>
      <c r="E692" s="112">
        <v>42879</v>
      </c>
    </row>
    <row r="693" spans="1:5" ht="13.95" customHeight="1">
      <c r="A693" s="110" t="s">
        <v>656</v>
      </c>
      <c r="B693" s="110">
        <v>154</v>
      </c>
      <c r="C693" s="110">
        <v>1.839</v>
      </c>
      <c r="E693" s="112">
        <v>42881</v>
      </c>
    </row>
    <row r="694" spans="1:5" ht="13.95" customHeight="1">
      <c r="A694" s="402" t="s">
        <v>655</v>
      </c>
      <c r="B694" s="110">
        <v>125</v>
      </c>
      <c r="C694" s="110">
        <v>1.389</v>
      </c>
      <c r="E694" s="112">
        <v>42881</v>
      </c>
    </row>
    <row r="695" spans="1:5" ht="13.95" customHeight="1">
      <c r="A695" s="110" t="s">
        <v>654</v>
      </c>
      <c r="B695" s="110">
        <v>111</v>
      </c>
      <c r="C695" s="110">
        <v>1.609</v>
      </c>
      <c r="E695" s="112">
        <v>42879</v>
      </c>
    </row>
    <row r="696" spans="1:5" ht="13.95" customHeight="1">
      <c r="A696" s="110" t="s">
        <v>653</v>
      </c>
      <c r="B696" s="110">
        <v>178</v>
      </c>
      <c r="C696" s="110">
        <v>1.6446000000000001</v>
      </c>
      <c r="E696" s="112">
        <v>43125</v>
      </c>
    </row>
    <row r="697" spans="1:5" ht="13.95" customHeight="1">
      <c r="A697" s="110" t="s">
        <v>652</v>
      </c>
      <c r="B697" s="110">
        <v>98</v>
      </c>
      <c r="C697" s="110">
        <v>1.5389999999999999</v>
      </c>
      <c r="E697" s="112">
        <v>42881</v>
      </c>
    </row>
    <row r="698" spans="1:5" ht="13.95" customHeight="1">
      <c r="A698" s="110" t="s">
        <v>1092</v>
      </c>
      <c r="B698" s="110">
        <v>84</v>
      </c>
      <c r="C698" s="110">
        <v>1.6379999999999999</v>
      </c>
      <c r="D698" s="110" t="s">
        <v>2050</v>
      </c>
      <c r="E698" s="112">
        <v>42881</v>
      </c>
    </row>
    <row r="699" spans="1:5" ht="13.95" customHeight="1">
      <c r="A699" s="110" t="s">
        <v>651</v>
      </c>
      <c r="B699" s="110">
        <v>176</v>
      </c>
      <c r="C699" s="110">
        <v>1.7070000000000001</v>
      </c>
      <c r="E699" s="112">
        <v>42879</v>
      </c>
    </row>
    <row r="700" spans="1:5" ht="13.95" customHeight="1">
      <c r="A700" s="110" t="s">
        <v>649</v>
      </c>
      <c r="B700" s="110">
        <v>146</v>
      </c>
      <c r="C700" s="110">
        <v>1.6579999999999999</v>
      </c>
      <c r="D700" s="110" t="s">
        <v>2121</v>
      </c>
      <c r="E700" s="112">
        <v>42878</v>
      </c>
    </row>
    <row r="701" spans="1:5" ht="13.95" customHeight="1">
      <c r="A701" s="110" t="s">
        <v>648</v>
      </c>
      <c r="B701" s="110">
        <v>154</v>
      </c>
      <c r="C701" s="110">
        <v>0.69099999999999995</v>
      </c>
      <c r="D701" s="110" t="s">
        <v>2057</v>
      </c>
      <c r="E701" s="112">
        <v>42881</v>
      </c>
    </row>
    <row r="702" spans="1:5" ht="13.95" customHeight="1">
      <c r="A702" s="110" t="s">
        <v>647</v>
      </c>
      <c r="B702" s="110">
        <v>103</v>
      </c>
      <c r="C702" s="110">
        <v>1.6919999999999999</v>
      </c>
      <c r="E702" s="112">
        <v>42881</v>
      </c>
    </row>
    <row r="703" spans="1:5" ht="13.95" customHeight="1">
      <c r="A703" s="110" t="s">
        <v>646</v>
      </c>
      <c r="B703" s="110">
        <v>118</v>
      </c>
      <c r="C703" s="110">
        <v>1.468</v>
      </c>
      <c r="E703" s="112">
        <v>42879</v>
      </c>
    </row>
    <row r="704" spans="1:5" ht="13.95" customHeight="1">
      <c r="A704" s="110" t="s">
        <v>645</v>
      </c>
      <c r="B704" s="110">
        <v>99</v>
      </c>
      <c r="C704" s="110">
        <v>1.5016</v>
      </c>
      <c r="E704" s="112">
        <v>43123</v>
      </c>
    </row>
    <row r="705" spans="1:12" ht="13.95" customHeight="1">
      <c r="A705" s="110" t="s">
        <v>644</v>
      </c>
      <c r="B705" s="110">
        <v>100</v>
      </c>
      <c r="C705" s="110">
        <v>1.66</v>
      </c>
      <c r="E705" s="112">
        <v>42881</v>
      </c>
    </row>
    <row r="706" spans="1:12" ht="13.95" customHeight="1">
      <c r="A706" t="s">
        <v>1136</v>
      </c>
      <c r="B706"/>
      <c r="C706">
        <v>0.32769999999999999</v>
      </c>
      <c r="E706" s="237" t="s">
        <v>3236</v>
      </c>
      <c r="F706" s="237"/>
      <c r="G706"/>
    </row>
    <row r="707" spans="1:12" ht="13.95" customHeight="1">
      <c r="A707" s="110" t="s">
        <v>1091</v>
      </c>
      <c r="B707" s="110">
        <v>20</v>
      </c>
      <c r="C707" s="110">
        <v>1.51</v>
      </c>
      <c r="E707" s="112">
        <v>43125</v>
      </c>
    </row>
    <row r="708" spans="1:12" ht="13.95" customHeight="1">
      <c r="A708" s="110" t="s">
        <v>641</v>
      </c>
      <c r="B708" s="110">
        <v>100</v>
      </c>
      <c r="C708" s="110">
        <v>1.764</v>
      </c>
      <c r="D708" s="110" t="s">
        <v>2050</v>
      </c>
      <c r="E708" s="112">
        <v>42881</v>
      </c>
    </row>
    <row r="709" spans="1:12" ht="13.95" customHeight="1">
      <c r="A709" s="181" t="s">
        <v>640</v>
      </c>
      <c r="B709" s="110">
        <v>76</v>
      </c>
      <c r="C709" s="110">
        <v>0.29499999999999998</v>
      </c>
      <c r="D709" s="110" t="s">
        <v>2054</v>
      </c>
      <c r="E709" s="112">
        <v>42881</v>
      </c>
    </row>
    <row r="710" spans="1:12" ht="13.95" customHeight="1">
      <c r="A710" s="110" t="s">
        <v>639</v>
      </c>
      <c r="B710" s="110" t="s">
        <v>2073</v>
      </c>
      <c r="C710" s="110">
        <v>1.3823000000000001</v>
      </c>
      <c r="E710" s="112">
        <v>43122</v>
      </c>
    </row>
    <row r="711" spans="1:12" ht="13.95" customHeight="1">
      <c r="A711" t="s">
        <v>638</v>
      </c>
      <c r="B711">
        <v>142</v>
      </c>
      <c r="C711">
        <v>1.0640000000000001</v>
      </c>
      <c r="D711" t="s">
        <v>2053</v>
      </c>
      <c r="E711" s="112">
        <v>42881</v>
      </c>
      <c r="J711" s="113"/>
      <c r="L711" s="113"/>
    </row>
    <row r="712" spans="1:12" ht="13.95" customHeight="1">
      <c r="A712" s="110" t="s">
        <v>637</v>
      </c>
      <c r="B712" s="110">
        <v>151</v>
      </c>
      <c r="C712" s="110">
        <v>1.798</v>
      </c>
      <c r="E712" s="112">
        <v>42879</v>
      </c>
    </row>
    <row r="713" spans="1:12" ht="13.95" customHeight="1">
      <c r="A713" s="110" t="s">
        <v>636</v>
      </c>
      <c r="B713" s="110">
        <v>111</v>
      </c>
      <c r="C713" s="110">
        <v>1.673</v>
      </c>
      <c r="E713" s="112">
        <v>42879</v>
      </c>
    </row>
    <row r="714" spans="1:12" ht="13.95" customHeight="1">
      <c r="A714" s="181" t="s">
        <v>635</v>
      </c>
      <c r="B714" s="110">
        <v>127</v>
      </c>
      <c r="C714" s="110">
        <v>1.4710000000000001</v>
      </c>
      <c r="E714" s="112">
        <v>42879</v>
      </c>
    </row>
    <row r="715" spans="1:12" ht="13.95" customHeight="1">
      <c r="A715" s="110" t="s">
        <v>634</v>
      </c>
      <c r="B715" s="110" t="s">
        <v>2073</v>
      </c>
      <c r="C715" s="110">
        <v>1.3523000000000001</v>
      </c>
      <c r="E715" s="112">
        <v>43122</v>
      </c>
    </row>
    <row r="716" spans="1:12" ht="13.95" customHeight="1">
      <c r="A716" s="110" t="s">
        <v>633</v>
      </c>
      <c r="B716" s="110" t="s">
        <v>2073</v>
      </c>
      <c r="C716" s="110">
        <v>1.3392999999999999</v>
      </c>
      <c r="D716" s="110" t="s">
        <v>2115</v>
      </c>
      <c r="E716" s="112">
        <v>43116</v>
      </c>
    </row>
    <row r="717" spans="1:12" ht="13.95" customHeight="1">
      <c r="A717" s="110" t="s">
        <v>632</v>
      </c>
      <c r="B717" s="110">
        <v>108</v>
      </c>
      <c r="C717" s="110">
        <v>1.6739999999999999</v>
      </c>
      <c r="E717" s="112">
        <v>42881</v>
      </c>
    </row>
    <row r="718" spans="1:12" ht="13.95" customHeight="1">
      <c r="A718" s="110" t="s">
        <v>1090</v>
      </c>
      <c r="B718" s="110" t="s">
        <v>2073</v>
      </c>
      <c r="C718" s="110">
        <v>1.7762</v>
      </c>
      <c r="E718" s="112">
        <v>43116</v>
      </c>
    </row>
    <row r="719" spans="1:12" ht="13.95" customHeight="1">
      <c r="A719" s="110" t="s">
        <v>631</v>
      </c>
      <c r="B719" s="110">
        <v>107</v>
      </c>
      <c r="C719" s="110">
        <v>1.5944</v>
      </c>
      <c r="D719" s="110" t="s">
        <v>2084</v>
      </c>
      <c r="E719" s="112">
        <v>43125</v>
      </c>
    </row>
    <row r="720" spans="1:12" ht="13.95" customHeight="1">
      <c r="A720" s="110" t="s">
        <v>630</v>
      </c>
      <c r="B720" s="110">
        <v>117</v>
      </c>
      <c r="C720" s="110">
        <v>0.39700000000000002</v>
      </c>
      <c r="D720" s="110" t="s">
        <v>2080</v>
      </c>
      <c r="E720" s="112">
        <v>42878</v>
      </c>
    </row>
    <row r="721" spans="1:5" ht="13.95" customHeight="1">
      <c r="A721" s="110" t="s">
        <v>629</v>
      </c>
      <c r="B721" s="110" t="s">
        <v>2073</v>
      </c>
      <c r="C721" s="110">
        <v>1.4733000000000001</v>
      </c>
      <c r="E721" s="112">
        <v>43123</v>
      </c>
    </row>
    <row r="722" spans="1:5" ht="13.95" customHeight="1">
      <c r="A722" s="110" t="s">
        <v>628</v>
      </c>
      <c r="B722" s="110">
        <v>52</v>
      </c>
      <c r="C722" s="110">
        <v>1.6279999999999999</v>
      </c>
      <c r="E722" s="112">
        <v>42878</v>
      </c>
    </row>
    <row r="723" spans="1:5" ht="13.95" customHeight="1">
      <c r="A723" s="110" t="s">
        <v>626</v>
      </c>
      <c r="B723" s="110" t="s">
        <v>2073</v>
      </c>
      <c r="C723" s="110">
        <v>1.3853</v>
      </c>
      <c r="E723" s="112">
        <v>43119</v>
      </c>
    </row>
    <row r="724" spans="1:5" ht="13.95" customHeight="1">
      <c r="A724" s="110" t="s">
        <v>624</v>
      </c>
      <c r="B724" s="110">
        <v>90</v>
      </c>
      <c r="C724" s="110">
        <v>2.2749000000000001</v>
      </c>
      <c r="D724" s="166" t="s">
        <v>2462</v>
      </c>
      <c r="E724" s="112">
        <v>43125</v>
      </c>
    </row>
    <row r="725" spans="1:5" ht="13.95" customHeight="1">
      <c r="A725" s="110" t="s">
        <v>623</v>
      </c>
      <c r="B725" s="110" t="s">
        <v>2073</v>
      </c>
      <c r="C725" s="110">
        <v>0</v>
      </c>
      <c r="D725" s="110" t="s">
        <v>2142</v>
      </c>
      <c r="E725" s="112">
        <v>43116</v>
      </c>
    </row>
    <row r="726" spans="1:5" ht="13.95" customHeight="1">
      <c r="A726" s="110" t="s">
        <v>622</v>
      </c>
      <c r="B726" s="110" t="s">
        <v>2073</v>
      </c>
      <c r="C726" s="110">
        <v>1.4281999999999999</v>
      </c>
      <c r="E726" s="112">
        <v>43122</v>
      </c>
    </row>
    <row r="727" spans="1:5" ht="13.95" customHeight="1">
      <c r="A727" s="110" t="s">
        <v>621</v>
      </c>
      <c r="B727" s="110">
        <v>129</v>
      </c>
      <c r="C727" s="110">
        <v>1.5878000000000001</v>
      </c>
      <c r="E727" s="112">
        <v>43125</v>
      </c>
    </row>
    <row r="728" spans="1:5" ht="13.95" customHeight="1">
      <c r="A728" s="110" t="s">
        <v>620</v>
      </c>
      <c r="B728" s="110">
        <v>41</v>
      </c>
      <c r="C728" s="110">
        <v>1.512</v>
      </c>
      <c r="D728" s="110" t="s">
        <v>2066</v>
      </c>
      <c r="E728" s="112">
        <v>42879</v>
      </c>
    </row>
    <row r="729" spans="1:5" ht="13.95" customHeight="1">
      <c r="A729" s="110" t="s">
        <v>619</v>
      </c>
      <c r="B729" s="110">
        <v>115</v>
      </c>
      <c r="C729" s="110">
        <v>1.401</v>
      </c>
      <c r="E729" s="112">
        <v>43125</v>
      </c>
    </row>
    <row r="730" spans="1:5" ht="13.95" customHeight="1">
      <c r="A730" s="110" t="s">
        <v>618</v>
      </c>
      <c r="B730" s="110" t="s">
        <v>2073</v>
      </c>
      <c r="C730" s="110">
        <v>1.54</v>
      </c>
      <c r="D730" s="110" t="s">
        <v>2116</v>
      </c>
      <c r="E730" s="112">
        <v>43122</v>
      </c>
    </row>
    <row r="731" spans="1:5" ht="13.95" customHeight="1">
      <c r="A731" s="110" t="s">
        <v>617</v>
      </c>
      <c r="B731" s="110" t="s">
        <v>2073</v>
      </c>
      <c r="C731" s="110">
        <v>1.5687</v>
      </c>
      <c r="E731" s="112">
        <v>43123</v>
      </c>
    </row>
    <row r="732" spans="1:5" ht="13.95" customHeight="1">
      <c r="A732" s="110" t="s">
        <v>616</v>
      </c>
      <c r="B732" s="110">
        <v>65</v>
      </c>
      <c r="C732" s="110">
        <v>1.704</v>
      </c>
      <c r="E732" s="112">
        <v>42879</v>
      </c>
    </row>
    <row r="733" spans="1:5" ht="13.95" customHeight="1">
      <c r="A733" s="110" t="s">
        <v>615</v>
      </c>
      <c r="B733" s="110">
        <v>119</v>
      </c>
      <c r="C733" s="110">
        <v>1.3</v>
      </c>
      <c r="D733"/>
      <c r="E733" s="112">
        <v>42881</v>
      </c>
    </row>
    <row r="734" spans="1:5" ht="13.95" customHeight="1">
      <c r="A734" s="110" t="s">
        <v>614</v>
      </c>
      <c r="B734" s="110" t="s">
        <v>2073</v>
      </c>
      <c r="C734" s="110">
        <v>1.3275999999999999</v>
      </c>
      <c r="E734" s="112">
        <v>43122</v>
      </c>
    </row>
    <row r="735" spans="1:5" ht="13.95" customHeight="1">
      <c r="A735" s="110" t="s">
        <v>613</v>
      </c>
      <c r="B735" s="110" t="s">
        <v>2073</v>
      </c>
      <c r="C735" s="110">
        <v>1.5779000000000001</v>
      </c>
      <c r="E735" s="112">
        <v>43122</v>
      </c>
    </row>
    <row r="736" spans="1:5" ht="13.95" customHeight="1">
      <c r="A736" s="110" t="s">
        <v>612</v>
      </c>
      <c r="B736" s="110">
        <v>21</v>
      </c>
      <c r="C736" s="110">
        <v>1.4387000000000001</v>
      </c>
      <c r="E736" s="112">
        <v>43122</v>
      </c>
    </row>
    <row r="737" spans="1:5" ht="13.95" customHeight="1">
      <c r="A737" s="110" t="s">
        <v>611</v>
      </c>
      <c r="B737" s="110">
        <v>112</v>
      </c>
      <c r="C737" s="110">
        <v>1.627</v>
      </c>
      <c r="E737" s="112">
        <v>42878</v>
      </c>
    </row>
    <row r="738" spans="1:5" ht="13.95" customHeight="1">
      <c r="A738" s="110" t="s">
        <v>610</v>
      </c>
      <c r="B738" s="110">
        <v>7</v>
      </c>
      <c r="C738" s="110">
        <v>1.4430000000000001</v>
      </c>
      <c r="E738" s="112">
        <v>42879</v>
      </c>
    </row>
    <row r="739" spans="1:5" ht="13.95" customHeight="1">
      <c r="A739" s="110" t="s">
        <v>609</v>
      </c>
      <c r="B739" s="110">
        <v>121</v>
      </c>
      <c r="C739" s="110">
        <v>1.7050000000000001</v>
      </c>
      <c r="E739" s="112">
        <v>42879</v>
      </c>
    </row>
    <row r="740" spans="1:5" ht="13.95" customHeight="1">
      <c r="A740" s="110" t="s">
        <v>608</v>
      </c>
      <c r="B740" s="110" t="s">
        <v>2073</v>
      </c>
      <c r="C740" s="110">
        <v>1.7899</v>
      </c>
      <c r="D740" s="110" t="s">
        <v>2111</v>
      </c>
      <c r="E740" s="112">
        <v>43116</v>
      </c>
    </row>
    <row r="741" spans="1:5" ht="13.95" customHeight="1">
      <c r="A741" s="110" t="s">
        <v>607</v>
      </c>
      <c r="B741" s="110">
        <v>168</v>
      </c>
      <c r="C741" s="110">
        <v>1.722</v>
      </c>
      <c r="E741" s="112">
        <v>42881</v>
      </c>
    </row>
    <row r="742" spans="1:5" ht="13.95" customHeight="1">
      <c r="A742" s="110" t="s">
        <v>606</v>
      </c>
      <c r="B742" s="110">
        <v>140</v>
      </c>
      <c r="C742" s="110">
        <v>1.5517000000000001</v>
      </c>
      <c r="E742" s="112">
        <v>43125</v>
      </c>
    </row>
    <row r="743" spans="1:5" ht="13.95" customHeight="1">
      <c r="A743" s="110" t="s">
        <v>605</v>
      </c>
      <c r="B743" s="110">
        <v>132</v>
      </c>
      <c r="C743" s="110">
        <v>1.593</v>
      </c>
      <c r="D743" s="110" t="s">
        <v>2103</v>
      </c>
      <c r="E743" s="112">
        <v>43125</v>
      </c>
    </row>
    <row r="744" spans="1:5" ht="13.95" customHeight="1">
      <c r="A744" s="110" t="s">
        <v>604</v>
      </c>
      <c r="B744" s="110" t="s">
        <v>2073</v>
      </c>
      <c r="C744" s="110">
        <v>1.7152000000000001</v>
      </c>
      <c r="E744" s="112">
        <v>43119</v>
      </c>
    </row>
    <row r="745" spans="1:5" ht="13.95" customHeight="1">
      <c r="A745" s="110" t="s">
        <v>603</v>
      </c>
      <c r="B745" s="110">
        <v>139</v>
      </c>
      <c r="C745" s="110">
        <v>1.415</v>
      </c>
      <c r="E745" s="112">
        <v>42878</v>
      </c>
    </row>
    <row r="746" spans="1:5" ht="13.95" customHeight="1">
      <c r="A746" s="110" t="s">
        <v>602</v>
      </c>
      <c r="B746" s="110" t="s">
        <v>2073</v>
      </c>
      <c r="C746" s="110">
        <v>1.7513000000000001</v>
      </c>
      <c r="E746" s="112">
        <v>43116</v>
      </c>
    </row>
    <row r="747" spans="1:5" ht="13.95" customHeight="1">
      <c r="A747" s="110" t="s">
        <v>601</v>
      </c>
      <c r="B747" s="110">
        <v>105</v>
      </c>
      <c r="C747" s="110">
        <v>1.8080000000000001</v>
      </c>
      <c r="E747" s="112">
        <v>42879</v>
      </c>
    </row>
    <row r="748" spans="1:5" ht="13.95" customHeight="1">
      <c r="A748" s="110" t="s">
        <v>600</v>
      </c>
      <c r="B748" s="110" t="s">
        <v>2073</v>
      </c>
      <c r="C748" s="110">
        <v>1.7278</v>
      </c>
      <c r="E748" s="112">
        <v>43116</v>
      </c>
    </row>
    <row r="749" spans="1:5" ht="13.95" customHeight="1">
      <c r="A749" s="110" t="s">
        <v>599</v>
      </c>
      <c r="B749" s="110" t="s">
        <v>2073</v>
      </c>
      <c r="C749" s="110">
        <v>1.6227</v>
      </c>
      <c r="E749" s="112">
        <v>43119</v>
      </c>
    </row>
    <row r="750" spans="1:5" ht="13.95" customHeight="1">
      <c r="A750" s="110" t="s">
        <v>598</v>
      </c>
      <c r="B750" s="110">
        <v>136</v>
      </c>
      <c r="C750" s="110">
        <v>1.5604</v>
      </c>
      <c r="E750" s="112">
        <v>43125</v>
      </c>
    </row>
    <row r="751" spans="1:5" ht="13.95" customHeight="1">
      <c r="A751" s="110" t="s">
        <v>597</v>
      </c>
      <c r="B751" s="110">
        <v>118</v>
      </c>
      <c r="C751" s="110">
        <v>1.599</v>
      </c>
      <c r="E751" s="112">
        <v>42879</v>
      </c>
    </row>
    <row r="752" spans="1:5" ht="13.95" customHeight="1">
      <c r="A752" s="110" t="s">
        <v>596</v>
      </c>
      <c r="B752" s="110" t="s">
        <v>2073</v>
      </c>
      <c r="C752" s="110">
        <v>1.7096</v>
      </c>
      <c r="D752" s="110" t="s">
        <v>2111</v>
      </c>
      <c r="E752" s="112">
        <v>43119</v>
      </c>
    </row>
    <row r="753" spans="1:6" ht="13.95" customHeight="1">
      <c r="A753" s="402" t="s">
        <v>595</v>
      </c>
      <c r="B753" s="110">
        <v>72</v>
      </c>
      <c r="C753" s="110">
        <v>1.5403</v>
      </c>
      <c r="D753" s="110" t="s">
        <v>2089</v>
      </c>
      <c r="E753" s="112">
        <v>43125</v>
      </c>
    </row>
    <row r="754" spans="1:6" ht="13.95" customHeight="1">
      <c r="A754" s="110" t="s">
        <v>594</v>
      </c>
      <c r="B754" s="110">
        <v>95</v>
      </c>
      <c r="C754" s="110">
        <v>1.5620000000000001</v>
      </c>
      <c r="E754" s="112">
        <v>42879</v>
      </c>
    </row>
    <row r="755" spans="1:6" ht="13.95" customHeight="1">
      <c r="A755" s="110" t="s">
        <v>593</v>
      </c>
      <c r="B755" s="110">
        <v>105</v>
      </c>
      <c r="C755" s="110">
        <v>1.859</v>
      </c>
      <c r="E755" s="112">
        <v>42879</v>
      </c>
    </row>
    <row r="756" spans="1:6" ht="13.95" customHeight="1">
      <c r="A756" s="110" t="s">
        <v>592</v>
      </c>
      <c r="B756" s="110">
        <v>99</v>
      </c>
      <c r="C756" s="110">
        <v>1.5992</v>
      </c>
      <c r="E756" s="112">
        <v>43123</v>
      </c>
    </row>
    <row r="757" spans="1:6" ht="13.95" customHeight="1">
      <c r="A757" s="415" t="s">
        <v>1087</v>
      </c>
      <c r="B757" s="415">
        <v>110</v>
      </c>
      <c r="C757" s="415">
        <v>1.4870000000000001</v>
      </c>
      <c r="D757" s="415" t="s">
        <v>2111</v>
      </c>
      <c r="E757" s="416">
        <v>43116</v>
      </c>
      <c r="F757" s="415"/>
    </row>
    <row r="758" spans="1:6" ht="13.95" customHeight="1">
      <c r="A758" s="415" t="s">
        <v>1088</v>
      </c>
      <c r="B758" s="415">
        <v>55</v>
      </c>
      <c r="C758" s="415">
        <v>1.5207999999999999</v>
      </c>
      <c r="D758" s="415"/>
      <c r="E758" s="416">
        <v>42878</v>
      </c>
      <c r="F758" s="415"/>
    </row>
    <row r="759" spans="1:6" ht="13.95" customHeight="1">
      <c r="A759" s="110" t="s">
        <v>1086</v>
      </c>
      <c r="B759" s="110">
        <v>126</v>
      </c>
      <c r="C759" s="110">
        <v>1.4419999999999999</v>
      </c>
      <c r="E759" s="112">
        <v>42878</v>
      </c>
    </row>
    <row r="760" spans="1:6" ht="13.95" customHeight="1">
      <c r="A760" s="110" t="s">
        <v>591</v>
      </c>
      <c r="B760" s="110">
        <v>64</v>
      </c>
      <c r="C760" s="110">
        <v>1.6930000000000001</v>
      </c>
      <c r="E760" s="112">
        <v>42878</v>
      </c>
    </row>
    <row r="761" spans="1:6" ht="13.95" customHeight="1">
      <c r="A761" s="110" t="s">
        <v>589</v>
      </c>
      <c r="B761" s="110">
        <v>109</v>
      </c>
      <c r="C761" s="110">
        <v>1.7532000000000001</v>
      </c>
      <c r="E761" s="112">
        <v>43125</v>
      </c>
    </row>
    <row r="762" spans="1:6" ht="13.95" customHeight="1">
      <c r="A762" s="110" t="s">
        <v>588</v>
      </c>
      <c r="B762" s="110">
        <v>115</v>
      </c>
      <c r="C762" s="110">
        <v>0.99990000000000001</v>
      </c>
      <c r="D762" s="115" t="s">
        <v>2107</v>
      </c>
      <c r="E762" s="112">
        <v>43125</v>
      </c>
    </row>
    <row r="763" spans="1:6" ht="13.95" customHeight="1">
      <c r="A763" s="110" t="s">
        <v>587</v>
      </c>
      <c r="B763" s="110">
        <v>128</v>
      </c>
      <c r="C763" s="110">
        <v>2.5259999999999998</v>
      </c>
      <c r="D763" s="110" t="s">
        <v>2067</v>
      </c>
      <c r="E763" s="112">
        <v>42879</v>
      </c>
    </row>
    <row r="764" spans="1:6" ht="13.95" customHeight="1">
      <c r="A764" s="110" t="s">
        <v>586</v>
      </c>
      <c r="B764" s="110" t="s">
        <v>2073</v>
      </c>
      <c r="C764" s="110">
        <v>1.7096</v>
      </c>
      <c r="E764" s="112">
        <v>43119</v>
      </c>
    </row>
    <row r="765" spans="1:6" ht="13.95" customHeight="1">
      <c r="A765" s="110" t="s">
        <v>585</v>
      </c>
      <c r="B765" s="110">
        <v>155</v>
      </c>
      <c r="C765" s="110">
        <v>1.643</v>
      </c>
      <c r="E765" s="112">
        <v>42879</v>
      </c>
    </row>
    <row r="766" spans="1:6" ht="13.95" customHeight="1">
      <c r="A766" s="110" t="s">
        <v>584</v>
      </c>
      <c r="B766" s="180">
        <v>186</v>
      </c>
      <c r="C766" s="110">
        <v>1.7509999999999999</v>
      </c>
      <c r="E766" s="112">
        <v>42878</v>
      </c>
    </row>
    <row r="767" spans="1:6" ht="13.95" customHeight="1">
      <c r="A767" s="110" t="s">
        <v>583</v>
      </c>
      <c r="B767" s="110">
        <v>171</v>
      </c>
      <c r="C767" s="110">
        <v>1.61</v>
      </c>
      <c r="E767" s="112">
        <v>42878</v>
      </c>
    </row>
    <row r="768" spans="1:6" ht="13.95" customHeight="1">
      <c r="A768" s="110" t="s">
        <v>582</v>
      </c>
      <c r="B768" s="110">
        <v>140</v>
      </c>
      <c r="C768" s="110">
        <v>1.6634</v>
      </c>
      <c r="E768" s="112">
        <v>43125</v>
      </c>
    </row>
    <row r="769" spans="1:5" ht="13.95" customHeight="1">
      <c r="A769" s="110" t="s">
        <v>1085</v>
      </c>
      <c r="B769" s="110">
        <v>79</v>
      </c>
      <c r="C769" s="110">
        <v>1.6438999999999999</v>
      </c>
      <c r="E769" s="112">
        <v>43125</v>
      </c>
    </row>
    <row r="770" spans="1:5" ht="13.95" customHeight="1">
      <c r="A770" s="110" t="s">
        <v>581</v>
      </c>
      <c r="B770" s="110">
        <v>125</v>
      </c>
      <c r="C770" s="110">
        <v>1.254</v>
      </c>
      <c r="D770" s="110" t="s">
        <v>2056</v>
      </c>
      <c r="E770" s="112">
        <v>42881</v>
      </c>
    </row>
    <row r="771" spans="1:5" ht="13.95" customHeight="1">
      <c r="A771" s="110" t="s">
        <v>580</v>
      </c>
      <c r="B771" s="110">
        <v>98</v>
      </c>
      <c r="C771" s="110">
        <v>1.661</v>
      </c>
      <c r="E771" s="112">
        <v>42881</v>
      </c>
    </row>
    <row r="772" spans="1:5" ht="13.95" customHeight="1">
      <c r="A772" s="110" t="s">
        <v>579</v>
      </c>
      <c r="B772" s="110">
        <v>126</v>
      </c>
      <c r="C772" s="110">
        <v>0.17599999999999999</v>
      </c>
      <c r="D772" s="110" t="s">
        <v>2080</v>
      </c>
      <c r="E772" s="112">
        <v>42878</v>
      </c>
    </row>
    <row r="773" spans="1:5" ht="13.95" customHeight="1">
      <c r="A773" s="110" t="s">
        <v>578</v>
      </c>
      <c r="B773" s="110">
        <v>139</v>
      </c>
      <c r="C773" s="110">
        <v>2.5009999999999999</v>
      </c>
      <c r="D773" s="110" t="s">
        <v>2127</v>
      </c>
      <c r="E773" s="112">
        <v>42878</v>
      </c>
    </row>
    <row r="774" spans="1:5" ht="13.95" customHeight="1">
      <c r="A774" s="181" t="s">
        <v>577</v>
      </c>
      <c r="B774" s="110">
        <v>121</v>
      </c>
      <c r="C774" s="110">
        <v>1.53</v>
      </c>
      <c r="E774" s="112">
        <v>42879</v>
      </c>
    </row>
    <row r="775" spans="1:5" ht="13.95" customHeight="1">
      <c r="A775" s="110" t="s">
        <v>576</v>
      </c>
      <c r="B775" s="110">
        <v>117</v>
      </c>
      <c r="C775" s="110">
        <v>1.343</v>
      </c>
      <c r="E775" s="112">
        <v>42878</v>
      </c>
    </row>
    <row r="776" spans="1:5" ht="13.95" customHeight="1">
      <c r="A776" s="110" t="s">
        <v>575</v>
      </c>
      <c r="B776" s="110" t="s">
        <v>2073</v>
      </c>
      <c r="C776" s="110">
        <v>1.4496</v>
      </c>
      <c r="E776" s="112">
        <v>43116</v>
      </c>
    </row>
    <row r="777" spans="1:5" ht="13.95" customHeight="1">
      <c r="A777" s="110" t="s">
        <v>574</v>
      </c>
      <c r="B777" s="110">
        <v>143</v>
      </c>
      <c r="C777" s="110">
        <v>1.5908</v>
      </c>
      <c r="E777" s="112">
        <v>43125</v>
      </c>
    </row>
    <row r="778" spans="1:5" ht="13.95" customHeight="1">
      <c r="A778" s="110" t="s">
        <v>573</v>
      </c>
      <c r="B778" s="110">
        <v>183</v>
      </c>
      <c r="C778" s="110">
        <v>0.30299999999999999</v>
      </c>
      <c r="D778" s="110" t="s">
        <v>2054</v>
      </c>
      <c r="E778" s="112">
        <v>42881</v>
      </c>
    </row>
    <row r="779" spans="1:5" ht="13.95" customHeight="1">
      <c r="A779" s="110" t="s">
        <v>572</v>
      </c>
      <c r="B779" s="110">
        <v>102</v>
      </c>
      <c r="C779" s="110">
        <v>1.655</v>
      </c>
      <c r="D779" s="110" t="s">
        <v>2051</v>
      </c>
      <c r="E779" s="112">
        <v>42881</v>
      </c>
    </row>
    <row r="780" spans="1:5" ht="13.95" customHeight="1">
      <c r="A780" s="395" t="s">
        <v>1084</v>
      </c>
      <c r="B780" s="110">
        <v>173</v>
      </c>
      <c r="C780" s="110">
        <v>7.1999999999999995E-2</v>
      </c>
      <c r="D780" s="110" t="s">
        <v>2058</v>
      </c>
      <c r="E780" s="112">
        <v>42879</v>
      </c>
    </row>
    <row r="781" spans="1:5" ht="13.95" customHeight="1">
      <c r="A781" s="178" t="s">
        <v>571</v>
      </c>
      <c r="B781" s="110">
        <v>158</v>
      </c>
      <c r="C781" s="110">
        <v>1.718</v>
      </c>
      <c r="E781" s="112">
        <v>42879</v>
      </c>
    </row>
    <row r="782" spans="1:5" ht="13.95" customHeight="1">
      <c r="A782" s="181" t="s">
        <v>570</v>
      </c>
      <c r="B782" s="110">
        <v>144</v>
      </c>
      <c r="C782" s="110">
        <v>1.365</v>
      </c>
      <c r="E782" s="112">
        <v>42881</v>
      </c>
    </row>
    <row r="783" spans="1:5" ht="13.95" customHeight="1">
      <c r="A783" s="110" t="s">
        <v>569</v>
      </c>
      <c r="B783" s="110">
        <v>150</v>
      </c>
      <c r="C783" s="110">
        <v>1.5680000000000001</v>
      </c>
      <c r="E783" s="112">
        <v>42879</v>
      </c>
    </row>
    <row r="784" spans="1:5" ht="13.95" customHeight="1">
      <c r="A784" s="178" t="s">
        <v>568</v>
      </c>
      <c r="B784" s="110">
        <v>147</v>
      </c>
      <c r="C784" s="110">
        <v>1.746</v>
      </c>
      <c r="D784" s="110" t="s">
        <v>2134</v>
      </c>
      <c r="E784" s="112">
        <v>42878</v>
      </c>
    </row>
    <row r="785" spans="1:5" ht="13.95" customHeight="1">
      <c r="A785" s="110" t="s">
        <v>567</v>
      </c>
      <c r="B785" s="110">
        <v>107</v>
      </c>
      <c r="C785" s="110">
        <v>1.706</v>
      </c>
      <c r="E785" s="112">
        <v>43125</v>
      </c>
    </row>
    <row r="786" spans="1:5" ht="13.95" customHeight="1">
      <c r="A786" s="110" t="s">
        <v>566</v>
      </c>
      <c r="B786" s="110" t="s">
        <v>2073</v>
      </c>
      <c r="C786" s="110">
        <v>1.6872</v>
      </c>
      <c r="D786" s="110" t="s">
        <v>2112</v>
      </c>
      <c r="E786" s="112">
        <v>43123</v>
      </c>
    </row>
    <row r="787" spans="1:5" ht="13.95" customHeight="1">
      <c r="A787" t="s">
        <v>565</v>
      </c>
      <c r="B787" s="110">
        <v>97</v>
      </c>
      <c r="C787" s="110">
        <v>1.6898</v>
      </c>
      <c r="E787" s="112">
        <v>43122</v>
      </c>
    </row>
    <row r="788" spans="1:5" ht="13.95" customHeight="1">
      <c r="A788" s="110" t="s">
        <v>564</v>
      </c>
      <c r="B788" s="110">
        <v>104</v>
      </c>
      <c r="C788" s="110">
        <v>1.4470000000000001</v>
      </c>
      <c r="D788" s="110" t="s">
        <v>2111</v>
      </c>
      <c r="E788" s="112">
        <v>42878</v>
      </c>
    </row>
    <row r="789" spans="1:5" ht="13.95" customHeight="1">
      <c r="A789" t="s">
        <v>563</v>
      </c>
      <c r="B789" s="110">
        <v>113</v>
      </c>
      <c r="C789" s="110">
        <v>1.421</v>
      </c>
      <c r="E789" s="112">
        <v>42878</v>
      </c>
    </row>
    <row r="790" spans="1:5" ht="13.95" customHeight="1">
      <c r="A790" s="110" t="s">
        <v>562</v>
      </c>
      <c r="B790" s="110" t="s">
        <v>2073</v>
      </c>
      <c r="C790" s="110">
        <v>1.5234000000000001</v>
      </c>
      <c r="E790" s="112">
        <v>43116</v>
      </c>
    </row>
    <row r="791" spans="1:5" ht="13.95" customHeight="1">
      <c r="A791" s="110" t="s">
        <v>1083</v>
      </c>
      <c r="B791" s="110">
        <v>56</v>
      </c>
      <c r="C791" s="110">
        <v>1.5980000000000001</v>
      </c>
      <c r="E791" s="112">
        <v>42881</v>
      </c>
    </row>
    <row r="792" spans="1:5" ht="13.95" customHeight="1">
      <c r="A792" s="110" t="s">
        <v>561</v>
      </c>
      <c r="B792" s="110" t="s">
        <v>2073</v>
      </c>
      <c r="C792" s="110">
        <v>1.6225000000000001</v>
      </c>
      <c r="E792" s="112">
        <v>43119</v>
      </c>
    </row>
    <row r="793" spans="1:5" ht="13.95" customHeight="1">
      <c r="A793" s="110" t="s">
        <v>560</v>
      </c>
      <c r="B793" s="110">
        <v>141</v>
      </c>
      <c r="C793" s="110">
        <v>1.2849999999999999</v>
      </c>
      <c r="D793" s="110" t="s">
        <v>2126</v>
      </c>
      <c r="E793" s="112">
        <v>42878</v>
      </c>
    </row>
    <row r="794" spans="1:5" ht="13.95" customHeight="1">
      <c r="A794" s="110" t="s">
        <v>559</v>
      </c>
      <c r="B794" s="110">
        <v>147</v>
      </c>
      <c r="C794" s="110">
        <v>1.742</v>
      </c>
      <c r="D794" s="110" t="s">
        <v>2070</v>
      </c>
      <c r="E794" s="112">
        <v>42878</v>
      </c>
    </row>
    <row r="795" spans="1:5" ht="13.95" customHeight="1">
      <c r="A795" s="110" t="s">
        <v>558</v>
      </c>
      <c r="B795" s="110">
        <v>170</v>
      </c>
      <c r="C795" s="110">
        <v>1.71</v>
      </c>
      <c r="E795" s="112">
        <v>42878</v>
      </c>
    </row>
    <row r="796" spans="1:5" ht="13.95" customHeight="1">
      <c r="A796" s="178" t="s">
        <v>557</v>
      </c>
      <c r="B796" s="110">
        <v>119</v>
      </c>
      <c r="C796" s="110">
        <v>0.435</v>
      </c>
      <c r="D796"/>
      <c r="E796" s="112">
        <v>42881</v>
      </c>
    </row>
    <row r="797" spans="1:5" ht="13.95" customHeight="1">
      <c r="A797" s="110" t="s">
        <v>556</v>
      </c>
      <c r="B797" s="110">
        <v>130</v>
      </c>
      <c r="C797" s="110">
        <v>1.6379999999999999</v>
      </c>
      <c r="E797" s="112">
        <v>42879</v>
      </c>
    </row>
    <row r="798" spans="1:5" ht="13.95" customHeight="1">
      <c r="A798" s="110" t="s">
        <v>554</v>
      </c>
      <c r="B798" s="110" t="s">
        <v>2073</v>
      </c>
      <c r="C798" s="110">
        <v>1.5119</v>
      </c>
      <c r="E798" s="112">
        <v>43122</v>
      </c>
    </row>
    <row r="799" spans="1:5" ht="13.95" customHeight="1">
      <c r="A799" s="110" t="s">
        <v>553</v>
      </c>
      <c r="B799" s="110" t="s">
        <v>2073</v>
      </c>
      <c r="C799" s="110">
        <v>0.87350000000000005</v>
      </c>
      <c r="E799" s="112">
        <v>43116</v>
      </c>
    </row>
    <row r="800" spans="1:5" ht="13.95" customHeight="1">
      <c r="A800" s="110" t="s">
        <v>552</v>
      </c>
      <c r="B800" s="110">
        <v>221</v>
      </c>
      <c r="C800" s="110">
        <v>1.5489999999999999</v>
      </c>
      <c r="E800" s="112">
        <v>42878</v>
      </c>
    </row>
    <row r="801" spans="1:5" ht="13.95" customHeight="1">
      <c r="A801" s="110" t="s">
        <v>1082</v>
      </c>
      <c r="B801" s="110" t="s">
        <v>2073</v>
      </c>
      <c r="C801" s="110">
        <v>1.4990000000000001</v>
      </c>
      <c r="E801" s="112">
        <v>43122</v>
      </c>
    </row>
    <row r="802" spans="1:5" ht="13.95" customHeight="1">
      <c r="A802" s="110" t="s">
        <v>551</v>
      </c>
      <c r="B802" s="110" t="s">
        <v>2055</v>
      </c>
      <c r="C802" s="110">
        <v>1.7769999999999999</v>
      </c>
      <c r="E802" s="112">
        <v>42881</v>
      </c>
    </row>
    <row r="803" spans="1:5" ht="13.95" customHeight="1">
      <c r="A803" s="110" t="s">
        <v>550</v>
      </c>
      <c r="B803" s="110" t="s">
        <v>2073</v>
      </c>
      <c r="C803" s="110">
        <v>1.6958</v>
      </c>
      <c r="E803" s="112">
        <v>43116</v>
      </c>
    </row>
    <row r="804" spans="1:5" ht="13.95" customHeight="1">
      <c r="A804" s="110" t="s">
        <v>549</v>
      </c>
      <c r="B804" s="110">
        <v>131</v>
      </c>
      <c r="C804" s="110">
        <v>1.6073999999999999</v>
      </c>
      <c r="E804" s="112">
        <v>43125</v>
      </c>
    </row>
    <row r="805" spans="1:5" ht="13.95" customHeight="1">
      <c r="A805" s="110" t="s">
        <v>548</v>
      </c>
      <c r="B805" s="110" t="s">
        <v>2055</v>
      </c>
      <c r="C805" s="110">
        <v>1.7729999999999999</v>
      </c>
      <c r="E805" s="112">
        <v>42881</v>
      </c>
    </row>
    <row r="806" spans="1:5" ht="13.95" customHeight="1">
      <c r="A806" s="110" t="s">
        <v>547</v>
      </c>
      <c r="B806" s="110">
        <v>120</v>
      </c>
      <c r="C806" s="110">
        <v>1.4142999999999999</v>
      </c>
      <c r="E806" s="112">
        <v>43125</v>
      </c>
    </row>
    <row r="807" spans="1:5" ht="13.95" customHeight="1">
      <c r="A807" s="110" t="s">
        <v>545</v>
      </c>
      <c r="B807" s="110">
        <v>135</v>
      </c>
      <c r="C807" s="110">
        <v>1.512</v>
      </c>
      <c r="E807" s="112">
        <v>42881</v>
      </c>
    </row>
    <row r="808" spans="1:5" ht="13.95" customHeight="1">
      <c r="A808" s="110" t="s">
        <v>544</v>
      </c>
      <c r="B808" s="110" t="s">
        <v>2073</v>
      </c>
      <c r="C808" s="110">
        <v>1.5714999999999999</v>
      </c>
      <c r="E808" s="112">
        <v>43123</v>
      </c>
    </row>
    <row r="809" spans="1:5" ht="13.95" customHeight="1">
      <c r="A809" s="110" t="s">
        <v>543</v>
      </c>
      <c r="B809" s="110">
        <v>156</v>
      </c>
      <c r="C809" s="110">
        <v>1.8080000000000001</v>
      </c>
      <c r="E809" s="112">
        <v>42879</v>
      </c>
    </row>
    <row r="810" spans="1:5" ht="13.95" customHeight="1">
      <c r="A810" s="110" t="s">
        <v>1135</v>
      </c>
      <c r="B810" s="110">
        <v>44</v>
      </c>
      <c r="C810" s="110">
        <v>1.5294000000000001</v>
      </c>
      <c r="E810" s="112">
        <v>43125</v>
      </c>
    </row>
    <row r="811" spans="1:5" ht="13.95" customHeight="1">
      <c r="A811" s="178" t="s">
        <v>1081</v>
      </c>
      <c r="B811" s="110">
        <v>56</v>
      </c>
      <c r="C811" s="110">
        <v>2.2909999999999999</v>
      </c>
      <c r="D811" s="110" t="s">
        <v>2056</v>
      </c>
      <c r="E811" s="112">
        <v>42881</v>
      </c>
    </row>
    <row r="812" spans="1:5" ht="13.95" customHeight="1">
      <c r="A812" s="110" t="s">
        <v>541</v>
      </c>
      <c r="B812" s="110">
        <v>134</v>
      </c>
      <c r="C812" s="110">
        <v>1.4419999999999999</v>
      </c>
      <c r="E812" s="112">
        <v>42881</v>
      </c>
    </row>
    <row r="813" spans="1:5" ht="13.95" customHeight="1">
      <c r="A813" s="110" t="s">
        <v>539</v>
      </c>
      <c r="B813" s="110">
        <v>114</v>
      </c>
      <c r="C813" s="110">
        <v>2.7930000000000001</v>
      </c>
      <c r="D813" s="110" t="s">
        <v>2067</v>
      </c>
      <c r="E813" s="112">
        <v>42878</v>
      </c>
    </row>
    <row r="814" spans="1:5" ht="13.95" customHeight="1">
      <c r="A814" s="110" t="s">
        <v>1079</v>
      </c>
      <c r="B814" s="110">
        <v>86</v>
      </c>
      <c r="C814" s="110">
        <v>1.6786000000000001</v>
      </c>
      <c r="E814" s="112">
        <v>43123</v>
      </c>
    </row>
    <row r="815" spans="1:5" ht="13.95" customHeight="1">
      <c r="A815" s="110" t="s">
        <v>1078</v>
      </c>
      <c r="B815" s="110">
        <v>37</v>
      </c>
      <c r="C815" s="110">
        <v>1.3620000000000001</v>
      </c>
      <c r="D815" s="110" t="s">
        <v>2056</v>
      </c>
      <c r="E815" s="112">
        <v>42881</v>
      </c>
    </row>
    <row r="816" spans="1:5" ht="13.95" customHeight="1">
      <c r="A816" s="110" t="s">
        <v>1077</v>
      </c>
      <c r="B816" s="110">
        <v>35</v>
      </c>
      <c r="C816" s="110">
        <v>1.615</v>
      </c>
      <c r="E816" s="112">
        <v>42879</v>
      </c>
    </row>
    <row r="817" spans="1:5" ht="13.95" customHeight="1">
      <c r="A817" s="110" t="s">
        <v>1076</v>
      </c>
      <c r="B817" s="110">
        <v>39</v>
      </c>
      <c r="C817" s="110">
        <v>1.5185</v>
      </c>
      <c r="E817" s="112">
        <v>43123</v>
      </c>
    </row>
    <row r="818" spans="1:5" ht="13.95" customHeight="1">
      <c r="A818" s="110" t="s">
        <v>1073</v>
      </c>
      <c r="B818" s="110">
        <v>80</v>
      </c>
      <c r="C818" s="110">
        <v>1.639</v>
      </c>
      <c r="E818" s="112">
        <v>42878</v>
      </c>
    </row>
    <row r="819" spans="1:5" ht="13.95" customHeight="1">
      <c r="A819" s="110" t="s">
        <v>1072</v>
      </c>
      <c r="B819" s="110">
        <v>35</v>
      </c>
      <c r="C819" s="110">
        <v>1.498</v>
      </c>
      <c r="E819" s="112">
        <v>42879</v>
      </c>
    </row>
    <row r="820" spans="1:5" ht="13.95" customHeight="1">
      <c r="A820" s="110" t="s">
        <v>1134</v>
      </c>
      <c r="B820" s="110">
        <v>150</v>
      </c>
      <c r="C820" s="110">
        <v>1.718</v>
      </c>
      <c r="D820" s="110" t="s">
        <v>2060</v>
      </c>
      <c r="E820" s="112">
        <v>42879</v>
      </c>
    </row>
    <row r="821" spans="1:5" ht="13.95" customHeight="1">
      <c r="A821" s="110" t="s">
        <v>1070</v>
      </c>
      <c r="B821" s="110">
        <v>24</v>
      </c>
      <c r="C821" s="110">
        <v>1.3083</v>
      </c>
      <c r="D821" s="110" t="s">
        <v>2094</v>
      </c>
      <c r="E821" s="112">
        <v>43125</v>
      </c>
    </row>
    <row r="822" spans="1:5" ht="13.95" customHeight="1">
      <c r="A822" s="110" t="s">
        <v>1069</v>
      </c>
      <c r="B822" s="110">
        <v>46</v>
      </c>
      <c r="C822" s="110">
        <v>1.6359999999999999</v>
      </c>
      <c r="E822" s="112">
        <v>42881</v>
      </c>
    </row>
    <row r="823" spans="1:5" ht="13.95" customHeight="1">
      <c r="A823" s="110" t="s">
        <v>1068</v>
      </c>
      <c r="B823" s="110">
        <v>91</v>
      </c>
      <c r="C823" s="110">
        <v>1.663</v>
      </c>
      <c r="E823" s="112">
        <v>42878</v>
      </c>
    </row>
    <row r="824" spans="1:5" ht="13.95" customHeight="1">
      <c r="A824" s="110" t="s">
        <v>1067</v>
      </c>
      <c r="B824" s="110">
        <v>45</v>
      </c>
      <c r="C824" s="110">
        <v>1.5923</v>
      </c>
      <c r="E824" s="112">
        <v>43123</v>
      </c>
    </row>
    <row r="825" spans="1:5" ht="13.95" customHeight="1">
      <c r="A825" s="110" t="s">
        <v>1065</v>
      </c>
      <c r="B825">
        <v>47</v>
      </c>
      <c r="C825" s="110">
        <v>1.665</v>
      </c>
      <c r="E825" s="112">
        <v>42879</v>
      </c>
    </row>
    <row r="826" spans="1:5" ht="13.95" customHeight="1">
      <c r="A826" s="110" t="s">
        <v>1064</v>
      </c>
      <c r="B826" s="110">
        <v>41</v>
      </c>
      <c r="C826" s="110">
        <v>1.5429999999999999</v>
      </c>
      <c r="E826" s="112">
        <v>42879</v>
      </c>
    </row>
    <row r="827" spans="1:5" ht="13.95" customHeight="1">
      <c r="A827" s="110" t="s">
        <v>1063</v>
      </c>
      <c r="B827" s="110">
        <v>60</v>
      </c>
      <c r="C827" s="110">
        <v>1.665</v>
      </c>
      <c r="E827" s="112">
        <v>42879</v>
      </c>
    </row>
    <row r="828" spans="1:5" ht="13.95" customHeight="1">
      <c r="A828" s="110" t="s">
        <v>1062</v>
      </c>
      <c r="B828" s="110">
        <v>21</v>
      </c>
      <c r="C828" s="110">
        <v>1.4087000000000001</v>
      </c>
      <c r="E828" s="112">
        <v>43116</v>
      </c>
    </row>
    <row r="829" spans="1:5" ht="13.95" customHeight="1">
      <c r="A829" s="110" t="s">
        <v>1133</v>
      </c>
      <c r="B829" s="110">
        <v>108</v>
      </c>
      <c r="C829" s="110">
        <v>1.536</v>
      </c>
      <c r="E829" s="112">
        <v>42881</v>
      </c>
    </row>
    <row r="830" spans="1:5" ht="13.95" customHeight="1">
      <c r="A830" s="110" t="s">
        <v>1060</v>
      </c>
      <c r="B830" s="110">
        <v>42</v>
      </c>
      <c r="C830" s="110">
        <v>1.528</v>
      </c>
      <c r="E830" s="112">
        <v>42881</v>
      </c>
    </row>
    <row r="831" spans="1:5" ht="13.95" customHeight="1">
      <c r="A831" s="110" t="s">
        <v>1059</v>
      </c>
      <c r="B831" s="110" t="s">
        <v>2073</v>
      </c>
      <c r="C831" s="110">
        <v>1.514</v>
      </c>
      <c r="E831" s="112">
        <v>43122</v>
      </c>
    </row>
    <row r="832" spans="1:5" ht="13.95" customHeight="1">
      <c r="A832" s="110" t="s">
        <v>1058</v>
      </c>
      <c r="B832" s="110">
        <v>82</v>
      </c>
      <c r="C832" s="110">
        <v>1.5940000000000001</v>
      </c>
      <c r="E832" s="112">
        <v>42879</v>
      </c>
    </row>
    <row r="833" spans="1:31" ht="13.95" customHeight="1">
      <c r="A833" s="110" t="s">
        <v>1056</v>
      </c>
      <c r="B833" s="110">
        <v>51</v>
      </c>
      <c r="C833" s="110">
        <v>1.599</v>
      </c>
      <c r="E833" s="112">
        <v>42881</v>
      </c>
    </row>
    <row r="834" spans="1:31" ht="13.95" customHeight="1">
      <c r="A834" s="110" t="s">
        <v>1054</v>
      </c>
      <c r="B834" s="110">
        <v>38</v>
      </c>
      <c r="C834" s="110">
        <v>1.1399999999999999</v>
      </c>
      <c r="E834" s="112">
        <v>42881</v>
      </c>
    </row>
    <row r="835" spans="1:31" ht="13.95" customHeight="1">
      <c r="A835" s="110" t="s">
        <v>1053</v>
      </c>
      <c r="B835" s="110">
        <v>213</v>
      </c>
      <c r="C835" s="110">
        <v>1.542</v>
      </c>
      <c r="E835" s="112">
        <v>42881</v>
      </c>
    </row>
    <row r="836" spans="1:31" ht="13.95" customHeight="1">
      <c r="A836" s="110" t="s">
        <v>1052</v>
      </c>
      <c r="B836" s="110">
        <v>37</v>
      </c>
      <c r="C836" s="110">
        <v>1.425</v>
      </c>
      <c r="E836" s="112">
        <v>42881</v>
      </c>
    </row>
    <row r="837" spans="1:31" ht="13.95" customHeight="1">
      <c r="A837" s="110" t="s">
        <v>1132</v>
      </c>
      <c r="B837" s="110">
        <v>68</v>
      </c>
      <c r="C837" s="110">
        <v>1.7050000000000001</v>
      </c>
      <c r="E837" s="112">
        <v>42879</v>
      </c>
    </row>
    <row r="838" spans="1:31" ht="13.95" customHeight="1">
      <c r="A838" s="110" t="s">
        <v>1050</v>
      </c>
      <c r="B838" s="110" t="s">
        <v>2073</v>
      </c>
      <c r="C838" s="110">
        <v>1.3628</v>
      </c>
      <c r="E838" s="112">
        <v>43122</v>
      </c>
    </row>
    <row r="839" spans="1:31" ht="13.95" customHeight="1">
      <c r="A839" s="110" t="s">
        <v>1049</v>
      </c>
      <c r="B839" s="110">
        <v>205</v>
      </c>
      <c r="C839" s="110">
        <v>1.7204999999999999</v>
      </c>
      <c r="E839" s="112">
        <v>43123</v>
      </c>
    </row>
    <row r="840" spans="1:31" ht="13.95" customHeight="1">
      <c r="A840" s="110" t="s">
        <v>1048</v>
      </c>
      <c r="B840" s="110">
        <v>212</v>
      </c>
      <c r="C840" s="110">
        <v>1.5831999999999999</v>
      </c>
      <c r="E840" s="112">
        <v>43123</v>
      </c>
    </row>
    <row r="841" spans="1:31" ht="13.95" customHeight="1">
      <c r="A841" s="110" t="s">
        <v>1047</v>
      </c>
      <c r="B841" s="110">
        <v>90</v>
      </c>
      <c r="C841" s="110">
        <v>1.7455000000000001</v>
      </c>
      <c r="E841" s="112">
        <v>43125</v>
      </c>
    </row>
    <row r="842" spans="1:31" ht="13.95" customHeight="1">
      <c r="A842" s="110" t="s">
        <v>1046</v>
      </c>
      <c r="B842" s="110" t="s">
        <v>2073</v>
      </c>
      <c r="C842" s="110">
        <v>1.6388</v>
      </c>
      <c r="E842" s="112">
        <v>43116</v>
      </c>
    </row>
    <row r="843" spans="1:31" ht="13.95" customHeight="1">
      <c r="A843" s="110" t="s">
        <v>1045</v>
      </c>
      <c r="B843" s="110">
        <v>163</v>
      </c>
      <c r="C843" s="110">
        <v>1.696</v>
      </c>
      <c r="E843" s="112">
        <v>42881</v>
      </c>
    </row>
    <row r="844" spans="1:31" customFormat="1" ht="14.4">
      <c r="A844" s="110" t="s">
        <v>1044</v>
      </c>
      <c r="B844">
        <v>36</v>
      </c>
      <c r="C844" s="110">
        <v>1.671</v>
      </c>
      <c r="D844" s="110"/>
      <c r="E844" s="112">
        <v>42881</v>
      </c>
      <c r="F844" s="110"/>
      <c r="G844" s="110"/>
      <c r="H844" s="110"/>
      <c r="I844" s="110"/>
      <c r="J844" s="110"/>
      <c r="K844" s="110"/>
      <c r="L844" s="110"/>
      <c r="M844" s="110"/>
      <c r="N844" s="110"/>
      <c r="O844" s="110"/>
      <c r="P844" s="110"/>
      <c r="Q844" s="110"/>
      <c r="R844" s="110"/>
      <c r="S844" s="110"/>
      <c r="T844" s="110"/>
      <c r="U844" s="110"/>
      <c r="V844" s="110"/>
      <c r="W844" s="110"/>
      <c r="X844" s="110"/>
      <c r="Y844" s="110"/>
      <c r="Z844" s="110"/>
      <c r="AA844" s="110"/>
      <c r="AB844" s="110"/>
      <c r="AC844" s="110"/>
      <c r="AD844" s="110"/>
      <c r="AE844" s="110"/>
    </row>
    <row r="845" spans="1:31" customFormat="1" ht="14.4">
      <c r="A845" s="110" t="s">
        <v>1042</v>
      </c>
      <c r="B845" s="110">
        <v>15</v>
      </c>
      <c r="C845" s="110">
        <v>1.355</v>
      </c>
      <c r="D845" s="110"/>
      <c r="E845" s="112">
        <v>42879</v>
      </c>
      <c r="F845" s="110"/>
      <c r="G845" s="110"/>
      <c r="H845" s="110"/>
      <c r="I845" s="110"/>
      <c r="J845" s="110"/>
      <c r="K845" s="110"/>
      <c r="L845" s="110"/>
      <c r="M845" s="110"/>
      <c r="N845" s="110"/>
      <c r="O845" s="110"/>
      <c r="P845" s="110"/>
      <c r="Q845" s="110"/>
      <c r="R845" s="110"/>
      <c r="S845" s="110"/>
      <c r="T845" s="110"/>
      <c r="U845" s="110"/>
      <c r="V845" s="110"/>
      <c r="W845" s="110"/>
      <c r="X845" s="110"/>
      <c r="Y845" s="110"/>
      <c r="Z845" s="110"/>
      <c r="AA845" s="110"/>
      <c r="AB845" s="110"/>
      <c r="AC845" s="110"/>
      <c r="AD845" s="110"/>
      <c r="AE845" s="110"/>
    </row>
  </sheetData>
  <sortState ref="A2:AE845">
    <sortCondition ref="A2"/>
  </sortState>
  <pageMargins left="0.7" right="0.7" top="0.75" bottom="0.75" header="0.3" footer="0.3"/>
  <pageSetup paperSize="9" orientation="portrait" r:id="rId1"/>
  <legacy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BC5FABE-F10F-47A8-9896-CFD92FDDA7E0}">
  <dimension ref="A1:M20"/>
  <sheetViews>
    <sheetView zoomScale="85" zoomScaleNormal="85" workbookViewId="0">
      <selection activeCell="K20" sqref="K20"/>
    </sheetView>
  </sheetViews>
  <sheetFormatPr baseColWidth="10" defaultColWidth="11.44140625" defaultRowHeight="14.4"/>
  <cols>
    <col min="1" max="1" width="19.88671875" style="196" customWidth="1"/>
    <col min="2" max="16384" width="11.44140625" style="196"/>
  </cols>
  <sheetData>
    <row r="1" spans="1:9" ht="36.6">
      <c r="A1" s="220" t="s">
        <v>2624</v>
      </c>
    </row>
    <row r="2" spans="1:9">
      <c r="A2" s="218" t="s">
        <v>2623</v>
      </c>
    </row>
    <row r="3" spans="1:9">
      <c r="A3" s="218" t="s">
        <v>2622</v>
      </c>
    </row>
    <row r="4" spans="1:9">
      <c r="A4" s="218" t="s">
        <v>2621</v>
      </c>
    </row>
    <row r="5" spans="1:9">
      <c r="A5" s="218" t="s">
        <v>2620</v>
      </c>
    </row>
    <row r="6" spans="1:9">
      <c r="A6" s="218" t="s">
        <v>2619</v>
      </c>
    </row>
    <row r="7" spans="1:9">
      <c r="A7" s="218" t="s">
        <v>2618</v>
      </c>
    </row>
    <row r="8" spans="1:9">
      <c r="A8" s="218" t="s">
        <v>2617</v>
      </c>
    </row>
    <row r="9" spans="1:9">
      <c r="A9" s="218" t="s">
        <v>2616</v>
      </c>
    </row>
    <row r="10" spans="1:9">
      <c r="A10" s="218" t="s">
        <v>2615</v>
      </c>
    </row>
    <row r="11" spans="1:9">
      <c r="A11" s="218" t="s">
        <v>2614</v>
      </c>
    </row>
    <row r="12" spans="1:9">
      <c r="A12" s="219"/>
    </row>
    <row r="13" spans="1:9" ht="15" thickBot="1">
      <c r="A13" s="218" t="s">
        <v>2613</v>
      </c>
    </row>
    <row r="14" spans="1:9" ht="43.8" thickBot="1">
      <c r="A14" s="217" t="s">
        <v>1144</v>
      </c>
      <c r="B14" s="216" t="s">
        <v>1141</v>
      </c>
      <c r="C14" s="216" t="s">
        <v>2612</v>
      </c>
      <c r="D14" s="216" t="s">
        <v>2611</v>
      </c>
      <c r="E14" s="216" t="s">
        <v>2610</v>
      </c>
    </row>
    <row r="15" spans="1:9" ht="15" thickBot="1">
      <c r="A15" s="215" t="s">
        <v>1742</v>
      </c>
      <c r="B15" s="214">
        <v>43150</v>
      </c>
      <c r="C15" s="213" t="s">
        <v>2609</v>
      </c>
      <c r="D15" s="213" t="s">
        <v>2608</v>
      </c>
      <c r="E15" s="213" t="s">
        <v>2607</v>
      </c>
    </row>
    <row r="16" spans="1:9">
      <c r="A16" s="266" t="s">
        <v>2935</v>
      </c>
      <c r="B16" s="212">
        <v>20</v>
      </c>
      <c r="H16" s="196" t="s">
        <v>2606</v>
      </c>
      <c r="I16" s="196">
        <v>800</v>
      </c>
    </row>
    <row r="17" spans="1:13">
      <c r="B17" s="196" t="s">
        <v>2605</v>
      </c>
      <c r="C17" s="196" t="s">
        <v>2604</v>
      </c>
      <c r="D17" s="196" t="s">
        <v>2603</v>
      </c>
      <c r="F17" s="211" t="s">
        <v>2936</v>
      </c>
      <c r="H17" s="196" t="s">
        <v>2602</v>
      </c>
      <c r="I17" s="196">
        <v>0</v>
      </c>
    </row>
    <row r="18" spans="1:13">
      <c r="A18" s="196" t="s">
        <v>2601</v>
      </c>
      <c r="B18" s="196">
        <f>(5*B16)/60</f>
        <v>1.6666666666666667</v>
      </c>
      <c r="C18" s="196">
        <v>4</v>
      </c>
      <c r="D18" s="196">
        <v>1</v>
      </c>
      <c r="E18" s="196">
        <v>1</v>
      </c>
      <c r="F18" s="211">
        <f>B18+C18+D18+E18</f>
        <v>7.666666666666667</v>
      </c>
      <c r="H18" s="196" t="s">
        <v>2600</v>
      </c>
      <c r="I18" s="196">
        <f>I16-I17</f>
        <v>800</v>
      </c>
      <c r="J18" s="196" t="s">
        <v>2599</v>
      </c>
      <c r="K18" s="196">
        <f>I18/B16</f>
        <v>40</v>
      </c>
      <c r="L18" s="196">
        <v>1</v>
      </c>
      <c r="M18" s="196" t="s">
        <v>2598</v>
      </c>
    </row>
    <row r="19" spans="1:13">
      <c r="H19" s="196" t="s">
        <v>2597</v>
      </c>
      <c r="I19" s="196">
        <f>F18*K18</f>
        <v>306.66666666666669</v>
      </c>
      <c r="J19" s="196" t="s">
        <v>2596</v>
      </c>
    </row>
    <row r="20" spans="1:13">
      <c r="K20" s="211">
        <f>K18</f>
        <v>40</v>
      </c>
      <c r="L20" s="211" t="s">
        <v>2595</v>
      </c>
    </row>
  </sheetData>
  <pageMargins left="0.7" right="0.7" top="0.75" bottom="0.75" header="0.3" footer="0.3"/>
  <pageSetup paperSize="9" orientation="portrait" r:id="rId1"/>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88A9E0F-7327-48BB-AD2A-9703D8D50DC3}">
  <dimension ref="A1:T1749"/>
  <sheetViews>
    <sheetView topLeftCell="A407" zoomScale="115" zoomScaleNormal="115" workbookViewId="0">
      <selection activeCell="A419" sqref="A1:A1048576"/>
    </sheetView>
  </sheetViews>
  <sheetFormatPr baseColWidth="10" defaultColWidth="11.5546875" defaultRowHeight="14.4"/>
  <cols>
    <col min="1" max="16384" width="11.5546875" style="110"/>
  </cols>
  <sheetData>
    <row r="1" spans="1:20">
      <c r="A1" s="440" t="s">
        <v>1146</v>
      </c>
      <c r="B1" s="440"/>
      <c r="C1" s="440"/>
      <c r="D1" s="440"/>
      <c r="E1" s="440"/>
      <c r="F1" s="440"/>
      <c r="G1" s="440"/>
      <c r="H1" s="440"/>
      <c r="I1" s="110" t="s">
        <v>1145</v>
      </c>
      <c r="M1" s="440"/>
      <c r="N1" s="440"/>
      <c r="O1" s="440"/>
      <c r="P1" s="440"/>
      <c r="Q1" s="440"/>
      <c r="R1" s="440"/>
      <c r="S1" s="440"/>
      <c r="T1" s="440"/>
    </row>
    <row r="2" spans="1:20">
      <c r="A2" s="440"/>
      <c r="B2" s="440"/>
      <c r="C2" s="440"/>
      <c r="D2" s="440"/>
      <c r="E2" s="440"/>
      <c r="F2" s="440"/>
      <c r="G2" s="440"/>
      <c r="H2" s="440"/>
      <c r="M2" s="440"/>
      <c r="N2" s="440"/>
      <c r="O2" s="440"/>
      <c r="P2" s="440"/>
      <c r="Q2" s="440"/>
      <c r="R2" s="440"/>
      <c r="S2" s="440"/>
      <c r="T2" s="440"/>
    </row>
    <row r="3" spans="1:20">
      <c r="A3" s="440"/>
      <c r="B3" s="440"/>
      <c r="C3" s="440"/>
      <c r="D3" s="440"/>
      <c r="E3" s="440"/>
      <c r="F3" s="440"/>
      <c r="G3" s="440"/>
      <c r="H3" s="440"/>
      <c r="M3" s="440"/>
      <c r="N3" s="440"/>
      <c r="O3" s="440"/>
      <c r="P3" s="440"/>
      <c r="Q3" s="440"/>
      <c r="R3" s="440"/>
      <c r="S3" s="440"/>
      <c r="T3" s="440"/>
    </row>
    <row r="4" spans="1:20">
      <c r="A4" s="111" t="s">
        <v>1144</v>
      </c>
      <c r="B4" s="111" t="s">
        <v>1143</v>
      </c>
      <c r="C4" s="111" t="s">
        <v>1142</v>
      </c>
      <c r="D4" s="111" t="s">
        <v>1141</v>
      </c>
      <c r="G4" s="166"/>
      <c r="M4" s="111"/>
      <c r="N4" s="111"/>
      <c r="O4" s="111"/>
      <c r="P4" s="111"/>
    </row>
    <row r="5" spans="1:20">
      <c r="A5" s="110" t="s">
        <v>2049</v>
      </c>
      <c r="B5" s="110" t="s">
        <v>1147</v>
      </c>
      <c r="C5" s="110">
        <v>1.9870000000000001</v>
      </c>
      <c r="D5" s="112">
        <v>42749</v>
      </c>
    </row>
    <row r="6" spans="1:20">
      <c r="A6" s="110" t="s">
        <v>2048</v>
      </c>
      <c r="B6" s="110" t="s">
        <v>1147</v>
      </c>
      <c r="C6" s="110">
        <v>2</v>
      </c>
      <c r="D6" s="112">
        <v>42749</v>
      </c>
    </row>
    <row r="7" spans="1:20">
      <c r="A7" s="110" t="s">
        <v>2047</v>
      </c>
      <c r="B7" s="110" t="s">
        <v>1147</v>
      </c>
      <c r="C7" s="110">
        <v>2.0470000000000002</v>
      </c>
      <c r="D7" s="112">
        <v>42749</v>
      </c>
    </row>
    <row r="8" spans="1:20">
      <c r="A8" s="110" t="s">
        <v>2046</v>
      </c>
      <c r="B8" s="110" t="s">
        <v>1147</v>
      </c>
      <c r="C8" s="110">
        <v>1.998</v>
      </c>
      <c r="D8" s="112">
        <v>42749</v>
      </c>
    </row>
    <row r="9" spans="1:20">
      <c r="A9" s="110" t="s">
        <v>2045</v>
      </c>
      <c r="B9" s="110" t="s">
        <v>1147</v>
      </c>
      <c r="C9" s="110">
        <v>2.0139999999999998</v>
      </c>
      <c r="D9" s="112">
        <v>42749</v>
      </c>
    </row>
    <row r="10" spans="1:20">
      <c r="A10" s="110" t="s">
        <v>2044</v>
      </c>
      <c r="B10" s="110" t="s">
        <v>1147</v>
      </c>
      <c r="C10" s="110">
        <v>2.016</v>
      </c>
      <c r="D10" s="112">
        <v>42749</v>
      </c>
    </row>
    <row r="11" spans="1:20">
      <c r="A11" s="110" t="s">
        <v>2043</v>
      </c>
      <c r="B11" s="110" t="s">
        <v>1147</v>
      </c>
      <c r="C11" s="110">
        <v>1.974</v>
      </c>
      <c r="D11" s="112">
        <v>42749</v>
      </c>
    </row>
    <row r="12" spans="1:20">
      <c r="A12" s="110" t="s">
        <v>2042</v>
      </c>
      <c r="B12" s="110" t="s">
        <v>1147</v>
      </c>
      <c r="C12" s="110">
        <v>2.0209999999999999</v>
      </c>
      <c r="D12" s="112">
        <v>42749</v>
      </c>
    </row>
    <row r="13" spans="1:20">
      <c r="A13" s="110" t="s">
        <v>2041</v>
      </c>
      <c r="B13" s="110" t="s">
        <v>1147</v>
      </c>
      <c r="C13" s="110">
        <v>2.0409999999999999</v>
      </c>
      <c r="D13" s="112">
        <v>42749</v>
      </c>
    </row>
    <row r="14" spans="1:20">
      <c r="A14" s="110" t="s">
        <v>2040</v>
      </c>
      <c r="B14" s="110" t="s">
        <v>1147</v>
      </c>
      <c r="C14" s="110">
        <v>1.9710000000000001</v>
      </c>
      <c r="D14" s="112">
        <v>42749</v>
      </c>
    </row>
    <row r="15" spans="1:20">
      <c r="A15" s="110" t="s">
        <v>2039</v>
      </c>
      <c r="B15" s="110" t="s">
        <v>1147</v>
      </c>
      <c r="C15" s="110">
        <v>1.839</v>
      </c>
      <c r="D15" s="112">
        <v>42749</v>
      </c>
    </row>
    <row r="16" spans="1:20">
      <c r="A16" s="110" t="s">
        <v>2038</v>
      </c>
      <c r="B16" s="110" t="s">
        <v>1147</v>
      </c>
      <c r="C16" s="110">
        <v>1.9870000000000001</v>
      </c>
      <c r="D16" s="112">
        <v>42749</v>
      </c>
    </row>
    <row r="17" spans="1:4">
      <c r="A17" s="110" t="s">
        <v>2037</v>
      </c>
      <c r="B17" s="110" t="s">
        <v>1147</v>
      </c>
      <c r="C17" s="110">
        <v>2.085</v>
      </c>
      <c r="D17" s="112">
        <v>42749</v>
      </c>
    </row>
    <row r="18" spans="1:4">
      <c r="A18" s="110" t="s">
        <v>2036</v>
      </c>
      <c r="B18" s="110" t="s">
        <v>1147</v>
      </c>
      <c r="C18" s="110">
        <v>2.0750000000000002</v>
      </c>
      <c r="D18" s="112">
        <v>42749</v>
      </c>
    </row>
    <row r="19" spans="1:4">
      <c r="A19" s="110" t="s">
        <v>2035</v>
      </c>
      <c r="B19" s="110" t="s">
        <v>1147</v>
      </c>
      <c r="C19" s="110">
        <v>2.0510000000000002</v>
      </c>
      <c r="D19" s="112">
        <v>42749</v>
      </c>
    </row>
    <row r="20" spans="1:4">
      <c r="A20" s="110" t="s">
        <v>2034</v>
      </c>
      <c r="B20" s="110" t="s">
        <v>1147</v>
      </c>
      <c r="C20" s="110">
        <v>1.9410000000000001</v>
      </c>
      <c r="D20" s="112">
        <v>42749</v>
      </c>
    </row>
    <row r="21" spans="1:4">
      <c r="A21" s="110" t="s">
        <v>2033</v>
      </c>
      <c r="B21" s="110" t="s">
        <v>1147</v>
      </c>
      <c r="C21" s="110">
        <v>1.9870000000000001</v>
      </c>
      <c r="D21" s="112">
        <v>42749</v>
      </c>
    </row>
    <row r="22" spans="1:4">
      <c r="A22" s="110" t="s">
        <v>2032</v>
      </c>
      <c r="B22" s="110" t="s">
        <v>1147</v>
      </c>
      <c r="C22" s="110">
        <v>2.0230000000000001</v>
      </c>
      <c r="D22" s="112">
        <v>42749</v>
      </c>
    </row>
    <row r="23" spans="1:4">
      <c r="A23" s="110" t="s">
        <v>2031</v>
      </c>
      <c r="B23" s="110" t="s">
        <v>1147</v>
      </c>
      <c r="C23" s="110">
        <v>2.0659999999999998</v>
      </c>
      <c r="D23" s="112">
        <v>42749</v>
      </c>
    </row>
    <row r="24" spans="1:4">
      <c r="A24" s="110" t="s">
        <v>2030</v>
      </c>
      <c r="B24" s="110" t="s">
        <v>1147</v>
      </c>
      <c r="C24" s="110">
        <v>2.032</v>
      </c>
      <c r="D24" s="112">
        <v>42749</v>
      </c>
    </row>
    <row r="25" spans="1:4">
      <c r="A25" s="110" t="s">
        <v>2029</v>
      </c>
      <c r="B25" s="110" t="s">
        <v>1147</v>
      </c>
      <c r="C25" s="110">
        <v>2.04</v>
      </c>
      <c r="D25" s="112">
        <v>42749</v>
      </c>
    </row>
    <row r="26" spans="1:4">
      <c r="A26" s="110" t="s">
        <v>2028</v>
      </c>
      <c r="B26" s="110" t="s">
        <v>1147</v>
      </c>
      <c r="C26" s="110">
        <v>2.1</v>
      </c>
      <c r="D26" s="112">
        <v>42749</v>
      </c>
    </row>
    <row r="27" spans="1:4">
      <c r="A27" s="110" t="s">
        <v>2027</v>
      </c>
      <c r="B27" s="110" t="s">
        <v>1147</v>
      </c>
      <c r="C27" s="110">
        <v>2.0750000000000002</v>
      </c>
      <c r="D27" s="112">
        <v>42749</v>
      </c>
    </row>
    <row r="28" spans="1:4">
      <c r="A28" s="110" t="s">
        <v>2026</v>
      </c>
      <c r="B28" s="110" t="s">
        <v>1147</v>
      </c>
      <c r="C28" s="110">
        <v>2.09</v>
      </c>
      <c r="D28" s="112">
        <v>42749</v>
      </c>
    </row>
    <row r="29" spans="1:4">
      <c r="A29" s="110" t="s">
        <v>2025</v>
      </c>
      <c r="B29" s="110" t="s">
        <v>1147</v>
      </c>
      <c r="C29" s="110">
        <v>2.0230000000000001</v>
      </c>
      <c r="D29" s="112">
        <v>42749</v>
      </c>
    </row>
    <row r="30" spans="1:4">
      <c r="A30" s="110" t="s">
        <v>2024</v>
      </c>
      <c r="B30" s="110" t="s">
        <v>1147</v>
      </c>
      <c r="C30" s="110">
        <v>2.1059999999999999</v>
      </c>
      <c r="D30" s="112">
        <v>42749</v>
      </c>
    </row>
    <row r="31" spans="1:4">
      <c r="A31" s="110" t="s">
        <v>2023</v>
      </c>
      <c r="B31" s="110" t="s">
        <v>1147</v>
      </c>
      <c r="C31" s="110">
        <v>1.966</v>
      </c>
      <c r="D31" s="112">
        <v>42749</v>
      </c>
    </row>
    <row r="32" spans="1:4">
      <c r="A32" s="110" t="s">
        <v>2022</v>
      </c>
      <c r="B32" s="110" t="s">
        <v>1147</v>
      </c>
      <c r="C32" s="110">
        <v>2.0499999999999998</v>
      </c>
      <c r="D32" s="112">
        <v>42749</v>
      </c>
    </row>
    <row r="33" spans="1:4">
      <c r="A33" s="110" t="s">
        <v>2021</v>
      </c>
      <c r="B33" s="110" t="s">
        <v>1147</v>
      </c>
      <c r="C33" s="110">
        <v>2.1179999999999999</v>
      </c>
      <c r="D33" s="112">
        <v>42749</v>
      </c>
    </row>
    <row r="34" spans="1:4">
      <c r="A34" s="110" t="s">
        <v>2020</v>
      </c>
      <c r="B34" s="110" t="s">
        <v>1147</v>
      </c>
      <c r="C34" s="110">
        <v>2.0680000000000001</v>
      </c>
      <c r="D34" s="112">
        <v>42749</v>
      </c>
    </row>
    <row r="35" spans="1:4">
      <c r="A35" s="110" t="s">
        <v>2019</v>
      </c>
      <c r="B35" s="110" t="s">
        <v>1147</v>
      </c>
      <c r="C35" s="110">
        <v>1.9390000000000001</v>
      </c>
      <c r="D35" s="112">
        <v>42749</v>
      </c>
    </row>
    <row r="36" spans="1:4">
      <c r="A36" s="110" t="s">
        <v>2018</v>
      </c>
      <c r="B36" s="110" t="s">
        <v>1147</v>
      </c>
      <c r="C36" s="110">
        <v>2.0510000000000002</v>
      </c>
      <c r="D36" s="112">
        <v>42749</v>
      </c>
    </row>
    <row r="37" spans="1:4">
      <c r="A37" s="110" t="s">
        <v>2017</v>
      </c>
      <c r="B37" s="110" t="s">
        <v>1147</v>
      </c>
      <c r="C37" s="110">
        <v>2.0579999999999998</v>
      </c>
      <c r="D37" s="112">
        <v>42749</v>
      </c>
    </row>
    <row r="38" spans="1:4">
      <c r="A38" s="110" t="s">
        <v>2016</v>
      </c>
      <c r="B38" s="110" t="s">
        <v>1147</v>
      </c>
      <c r="C38" s="110">
        <v>2.133</v>
      </c>
      <c r="D38" s="112">
        <v>42749</v>
      </c>
    </row>
    <row r="39" spans="1:4">
      <c r="A39" s="110" t="s">
        <v>2015</v>
      </c>
      <c r="B39" s="110" t="s">
        <v>1147</v>
      </c>
      <c r="C39" s="110">
        <v>2.0299999999999998</v>
      </c>
      <c r="D39" s="112">
        <v>42749</v>
      </c>
    </row>
    <row r="40" spans="1:4">
      <c r="A40" s="110" t="s">
        <v>2014</v>
      </c>
      <c r="B40" s="110" t="s">
        <v>1147</v>
      </c>
      <c r="C40" s="110">
        <v>2.1429999999999998</v>
      </c>
      <c r="D40" s="112">
        <v>42749</v>
      </c>
    </row>
    <row r="41" spans="1:4">
      <c r="A41" s="110" t="s">
        <v>2013</v>
      </c>
      <c r="B41" s="110" t="s">
        <v>1147</v>
      </c>
      <c r="C41" s="110">
        <v>2.077</v>
      </c>
      <c r="D41" s="112">
        <v>42749</v>
      </c>
    </row>
    <row r="42" spans="1:4">
      <c r="A42" s="110" t="s">
        <v>2012</v>
      </c>
      <c r="B42" s="110" t="s">
        <v>1147</v>
      </c>
      <c r="C42" s="110">
        <v>1.93</v>
      </c>
      <c r="D42" s="112">
        <v>42749</v>
      </c>
    </row>
    <row r="43" spans="1:4">
      <c r="A43" s="110" t="s">
        <v>2011</v>
      </c>
      <c r="B43" s="110" t="s">
        <v>1147</v>
      </c>
      <c r="C43" s="110">
        <v>2.0670000000000002</v>
      </c>
      <c r="D43" s="112">
        <v>42749</v>
      </c>
    </row>
    <row r="44" spans="1:4">
      <c r="A44" s="110" t="s">
        <v>2010</v>
      </c>
      <c r="B44" s="110" t="s">
        <v>1147</v>
      </c>
      <c r="C44" s="110">
        <v>2.0369999999999999</v>
      </c>
      <c r="D44" s="112">
        <v>42749</v>
      </c>
    </row>
    <row r="45" spans="1:4">
      <c r="A45" s="110" t="s">
        <v>2009</v>
      </c>
      <c r="B45" s="110" t="s">
        <v>1147</v>
      </c>
      <c r="C45" s="110">
        <v>1.9850000000000001</v>
      </c>
      <c r="D45" s="112">
        <v>42749</v>
      </c>
    </row>
    <row r="46" spans="1:4">
      <c r="A46" s="110" t="s">
        <v>2008</v>
      </c>
      <c r="B46" s="110" t="s">
        <v>1147</v>
      </c>
      <c r="C46" s="110">
        <v>1.9530000000000001</v>
      </c>
      <c r="D46" s="112">
        <v>42749</v>
      </c>
    </row>
    <row r="47" spans="1:4">
      <c r="A47" s="110" t="s">
        <v>2007</v>
      </c>
      <c r="B47" s="110" t="s">
        <v>1147</v>
      </c>
      <c r="C47" s="110">
        <v>1.9650000000000001</v>
      </c>
      <c r="D47" s="112">
        <v>42749</v>
      </c>
    </row>
    <row r="48" spans="1:4">
      <c r="A48" s="110" t="s">
        <v>2006</v>
      </c>
      <c r="B48" s="110" t="s">
        <v>1147</v>
      </c>
      <c r="C48" s="110">
        <v>2.0680000000000001</v>
      </c>
      <c r="D48" s="112">
        <v>42749</v>
      </c>
    </row>
    <row r="49" spans="1:4">
      <c r="A49" s="110" t="s">
        <v>2005</v>
      </c>
      <c r="B49" s="110" t="s">
        <v>1147</v>
      </c>
      <c r="C49" s="110">
        <v>2.0779999999999998</v>
      </c>
      <c r="D49" s="112">
        <v>42749</v>
      </c>
    </row>
    <row r="50" spans="1:4">
      <c r="A50" s="110" t="s">
        <v>2004</v>
      </c>
      <c r="B50" s="110" t="s">
        <v>1147</v>
      </c>
      <c r="C50" s="110">
        <v>1.895</v>
      </c>
      <c r="D50" s="112">
        <v>42749</v>
      </c>
    </row>
    <row r="51" spans="1:4">
      <c r="A51" s="110" t="s">
        <v>2003</v>
      </c>
      <c r="B51" s="110" t="s">
        <v>1147</v>
      </c>
      <c r="C51" s="110">
        <v>2.0840000000000001</v>
      </c>
      <c r="D51" s="112">
        <v>42749</v>
      </c>
    </row>
    <row r="52" spans="1:4">
      <c r="A52" s="110" t="s">
        <v>2002</v>
      </c>
      <c r="B52" s="110" t="s">
        <v>1147</v>
      </c>
      <c r="C52" s="110">
        <v>2.0590000000000002</v>
      </c>
      <c r="D52" s="112">
        <v>42749</v>
      </c>
    </row>
    <row r="53" spans="1:4">
      <c r="A53" s="110" t="s">
        <v>2001</v>
      </c>
      <c r="B53" s="110" t="s">
        <v>1147</v>
      </c>
      <c r="C53" s="110">
        <v>2.0859999999999999</v>
      </c>
      <c r="D53" s="112">
        <v>42749</v>
      </c>
    </row>
    <row r="54" spans="1:4">
      <c r="A54" s="110" t="s">
        <v>2000</v>
      </c>
      <c r="B54" s="110" t="s">
        <v>1147</v>
      </c>
      <c r="C54" s="110">
        <v>1.954</v>
      </c>
      <c r="D54" s="112">
        <v>42749</v>
      </c>
    </row>
    <row r="55" spans="1:4">
      <c r="A55" s="110" t="s">
        <v>1999</v>
      </c>
      <c r="B55" s="110" t="s">
        <v>1147</v>
      </c>
      <c r="C55" s="110">
        <v>2.0259999999999998</v>
      </c>
      <c r="D55" s="112">
        <v>42749</v>
      </c>
    </row>
    <row r="56" spans="1:4">
      <c r="A56" s="110" t="s">
        <v>1998</v>
      </c>
      <c r="B56" s="110" t="s">
        <v>1147</v>
      </c>
      <c r="C56" s="110">
        <v>2.0920000000000001</v>
      </c>
      <c r="D56" s="112">
        <v>42749</v>
      </c>
    </row>
    <row r="57" spans="1:4">
      <c r="A57" s="110" t="s">
        <v>1997</v>
      </c>
      <c r="B57" s="110" t="s">
        <v>1147</v>
      </c>
      <c r="C57" s="110">
        <v>1.907</v>
      </c>
      <c r="D57" s="112">
        <v>42749</v>
      </c>
    </row>
    <row r="58" spans="1:4">
      <c r="A58" s="110" t="s">
        <v>1996</v>
      </c>
      <c r="B58" s="110" t="s">
        <v>1147</v>
      </c>
      <c r="C58" s="110">
        <v>2.0539999999999998</v>
      </c>
      <c r="D58" s="112">
        <v>42749</v>
      </c>
    </row>
    <row r="59" spans="1:4">
      <c r="A59" s="110" t="s">
        <v>1995</v>
      </c>
      <c r="B59" s="110" t="s">
        <v>1147</v>
      </c>
      <c r="C59" s="110">
        <v>2.024</v>
      </c>
      <c r="D59" s="112">
        <v>42749</v>
      </c>
    </row>
    <row r="60" spans="1:4">
      <c r="A60" s="110" t="s">
        <v>1994</v>
      </c>
      <c r="B60" s="110" t="s">
        <v>1147</v>
      </c>
      <c r="C60" s="110">
        <v>2.02</v>
      </c>
      <c r="D60" s="112">
        <v>42749</v>
      </c>
    </row>
    <row r="61" spans="1:4">
      <c r="A61" s="110" t="s">
        <v>1993</v>
      </c>
      <c r="B61" s="110" t="s">
        <v>1147</v>
      </c>
      <c r="C61" s="110">
        <v>2.077</v>
      </c>
      <c r="D61" s="112">
        <v>42749</v>
      </c>
    </row>
    <row r="62" spans="1:4">
      <c r="A62" s="110" t="s">
        <v>1992</v>
      </c>
      <c r="B62" s="110" t="s">
        <v>1147</v>
      </c>
      <c r="C62" s="110">
        <v>1.9370000000000001</v>
      </c>
      <c r="D62" s="112">
        <v>42749</v>
      </c>
    </row>
    <row r="63" spans="1:4">
      <c r="A63" s="110" t="s">
        <v>1991</v>
      </c>
      <c r="B63" s="110" t="s">
        <v>1147</v>
      </c>
      <c r="C63" s="110">
        <v>1.929</v>
      </c>
      <c r="D63" s="112">
        <v>42749</v>
      </c>
    </row>
    <row r="64" spans="1:4">
      <c r="A64" s="110" t="s">
        <v>1990</v>
      </c>
      <c r="B64" s="110" t="s">
        <v>1147</v>
      </c>
      <c r="C64" s="110">
        <v>2.1230000000000002</v>
      </c>
      <c r="D64" s="112">
        <v>42749</v>
      </c>
    </row>
    <row r="65" spans="1:5">
      <c r="A65" s="110" t="s">
        <v>1989</v>
      </c>
      <c r="B65" s="110" t="s">
        <v>1147</v>
      </c>
      <c r="C65" s="110">
        <v>1.88</v>
      </c>
      <c r="D65" s="112">
        <v>42749</v>
      </c>
    </row>
    <row r="66" spans="1:5">
      <c r="A66" s="110" t="s">
        <v>1988</v>
      </c>
      <c r="B66" s="110" t="s">
        <v>1147</v>
      </c>
      <c r="C66" s="110">
        <v>2.0819999999999999</v>
      </c>
      <c r="D66" s="112">
        <v>42749</v>
      </c>
    </row>
    <row r="67" spans="1:5">
      <c r="A67" s="110" t="s">
        <v>1987</v>
      </c>
      <c r="B67" s="110" t="s">
        <v>1147</v>
      </c>
      <c r="C67" s="110">
        <v>2</v>
      </c>
      <c r="D67" s="112">
        <v>42749</v>
      </c>
    </row>
    <row r="68" spans="1:5">
      <c r="A68" s="110" t="s">
        <v>1986</v>
      </c>
      <c r="B68" s="110" t="s">
        <v>1147</v>
      </c>
      <c r="C68" s="110">
        <v>2.0840000000000001</v>
      </c>
      <c r="D68" s="112">
        <v>42749</v>
      </c>
    </row>
    <row r="69" spans="1:5">
      <c r="A69" s="110" t="s">
        <v>1985</v>
      </c>
      <c r="B69" s="110" t="s">
        <v>1147</v>
      </c>
      <c r="C69" s="110">
        <v>2.0750000000000002</v>
      </c>
      <c r="D69" s="112">
        <v>42749</v>
      </c>
    </row>
    <row r="70" spans="1:5">
      <c r="A70" s="110" t="s">
        <v>1984</v>
      </c>
      <c r="B70" s="110" t="s">
        <v>1147</v>
      </c>
      <c r="C70" s="110">
        <v>1.9490000000000001</v>
      </c>
      <c r="D70" s="112">
        <v>42749</v>
      </c>
    </row>
    <row r="71" spans="1:5">
      <c r="A71" s="110" t="s">
        <v>1983</v>
      </c>
      <c r="B71" s="110" t="s">
        <v>1147</v>
      </c>
      <c r="C71" s="110">
        <v>1.984</v>
      </c>
      <c r="D71" s="112">
        <v>42749</v>
      </c>
    </row>
    <row r="72" spans="1:5">
      <c r="A72" s="110" t="s">
        <v>1982</v>
      </c>
      <c r="B72" s="110" t="s">
        <v>1147</v>
      </c>
      <c r="C72" s="110">
        <v>1.921</v>
      </c>
      <c r="D72" s="112">
        <v>42749</v>
      </c>
    </row>
    <row r="73" spans="1:5">
      <c r="A73" s="110" t="s">
        <v>1981</v>
      </c>
      <c r="B73" s="110" t="s">
        <v>1147</v>
      </c>
      <c r="C73" s="110">
        <v>2.0670000000000002</v>
      </c>
      <c r="D73" s="112">
        <v>42749</v>
      </c>
    </row>
    <row r="74" spans="1:5">
      <c r="A74" s="110" t="s">
        <v>1980</v>
      </c>
      <c r="B74" s="110" t="s">
        <v>1147</v>
      </c>
      <c r="C74" s="110">
        <v>2.0939999999999999</v>
      </c>
      <c r="D74" s="112">
        <v>42749</v>
      </c>
    </row>
    <row r="75" spans="1:5">
      <c r="A75" s="110" t="s">
        <v>1979</v>
      </c>
      <c r="B75" s="110" t="s">
        <v>1147</v>
      </c>
      <c r="C75" s="110">
        <v>2.0409999999999999</v>
      </c>
      <c r="D75" s="112">
        <v>42749</v>
      </c>
    </row>
    <row r="76" spans="1:5">
      <c r="A76" s="110" t="s">
        <v>1978</v>
      </c>
      <c r="B76" s="110" t="s">
        <v>1147</v>
      </c>
      <c r="C76" s="110">
        <v>2.0190000000000001</v>
      </c>
      <c r="D76" s="112">
        <v>42749</v>
      </c>
    </row>
    <row r="77" spans="1:5">
      <c r="A77" s="175" t="s">
        <v>1977</v>
      </c>
      <c r="B77" s="175" t="s">
        <v>1147</v>
      </c>
      <c r="C77" s="175">
        <v>2.1190000000000002</v>
      </c>
      <c r="D77" s="176">
        <v>42749</v>
      </c>
      <c r="E77" s="175" t="s">
        <v>2465</v>
      </c>
    </row>
    <row r="78" spans="1:5">
      <c r="A78" s="110" t="s">
        <v>1976</v>
      </c>
      <c r="B78" s="110" t="s">
        <v>1147</v>
      </c>
      <c r="C78" s="110">
        <v>2.0049999999999999</v>
      </c>
      <c r="D78" s="112">
        <v>42749</v>
      </c>
    </row>
    <row r="79" spans="1:5">
      <c r="A79" s="110" t="s">
        <v>1975</v>
      </c>
      <c r="B79" s="110" t="s">
        <v>1147</v>
      </c>
      <c r="C79" s="110">
        <v>2.028</v>
      </c>
      <c r="D79" s="112">
        <v>42749</v>
      </c>
    </row>
    <row r="80" spans="1:5">
      <c r="A80" s="110" t="s">
        <v>1974</v>
      </c>
      <c r="B80" s="110" t="s">
        <v>1147</v>
      </c>
      <c r="C80" s="110">
        <v>2.0129999999999999</v>
      </c>
      <c r="D80" s="112">
        <v>42749</v>
      </c>
    </row>
    <row r="81" spans="1:5">
      <c r="A81" s="110" t="s">
        <v>1973</v>
      </c>
      <c r="B81" s="110" t="s">
        <v>1147</v>
      </c>
      <c r="C81" s="110">
        <v>2.0190000000000001</v>
      </c>
      <c r="D81" s="112">
        <v>42749</v>
      </c>
    </row>
    <row r="82" spans="1:5">
      <c r="A82" s="110" t="s">
        <v>1972</v>
      </c>
      <c r="B82" s="110" t="s">
        <v>1147</v>
      </c>
      <c r="C82" s="110">
        <v>2.0379999999999998</v>
      </c>
      <c r="D82" s="112">
        <v>42749</v>
      </c>
    </row>
    <row r="83" spans="1:5">
      <c r="A83" s="110" t="s">
        <v>1971</v>
      </c>
      <c r="B83" s="110" t="s">
        <v>1147</v>
      </c>
      <c r="C83" s="110">
        <v>2.1120000000000001</v>
      </c>
      <c r="D83" s="112">
        <v>42749</v>
      </c>
    </row>
    <row r="84" spans="1:5">
      <c r="A84" s="110" t="s">
        <v>1970</v>
      </c>
      <c r="B84" s="110" t="s">
        <v>1147</v>
      </c>
      <c r="C84" s="110">
        <v>2.0259999999999998</v>
      </c>
      <c r="D84" s="112">
        <v>42749</v>
      </c>
    </row>
    <row r="85" spans="1:5">
      <c r="A85" s="175" t="s">
        <v>1969</v>
      </c>
      <c r="B85" s="175" t="s">
        <v>1147</v>
      </c>
      <c r="C85" s="175">
        <v>2.097</v>
      </c>
      <c r="D85" s="176">
        <v>42750</v>
      </c>
      <c r="E85" s="175" t="s">
        <v>2465</v>
      </c>
    </row>
    <row r="86" spans="1:5">
      <c r="A86" s="110" t="s">
        <v>1968</v>
      </c>
      <c r="B86" s="110" t="s">
        <v>1147</v>
      </c>
      <c r="C86" s="110">
        <v>2.0270000000000001</v>
      </c>
      <c r="D86" s="112">
        <v>42750</v>
      </c>
    </row>
    <row r="87" spans="1:5">
      <c r="A87" s="110" t="s">
        <v>1967</v>
      </c>
      <c r="B87" s="110" t="s">
        <v>1147</v>
      </c>
      <c r="C87" s="110">
        <v>2.0209999999999999</v>
      </c>
      <c r="D87" s="112">
        <v>42750</v>
      </c>
    </row>
    <row r="88" spans="1:5">
      <c r="A88" s="110" t="s">
        <v>1966</v>
      </c>
      <c r="B88" s="110" t="s">
        <v>1147</v>
      </c>
      <c r="C88" s="110">
        <v>2.1259999999999999</v>
      </c>
      <c r="D88" s="112">
        <v>42750</v>
      </c>
    </row>
    <row r="89" spans="1:5">
      <c r="A89" s="110" t="s">
        <v>1965</v>
      </c>
      <c r="B89" s="110" t="s">
        <v>1147</v>
      </c>
      <c r="C89" s="110">
        <v>2.1360000000000001</v>
      </c>
      <c r="D89" s="112">
        <v>42750</v>
      </c>
    </row>
    <row r="90" spans="1:5">
      <c r="A90" s="110" t="s">
        <v>1964</v>
      </c>
      <c r="B90" s="110" t="s">
        <v>1147</v>
      </c>
      <c r="C90" s="110">
        <v>2.1030000000000002</v>
      </c>
      <c r="D90" s="112">
        <v>42750</v>
      </c>
    </row>
    <row r="91" spans="1:5">
      <c r="A91" s="110" t="s">
        <v>1963</v>
      </c>
      <c r="B91" s="110" t="s">
        <v>1147</v>
      </c>
      <c r="C91" s="110">
        <v>1.9870000000000001</v>
      </c>
      <c r="D91" s="112">
        <v>42750</v>
      </c>
    </row>
    <row r="92" spans="1:5">
      <c r="A92" s="110" t="s">
        <v>1962</v>
      </c>
      <c r="B92" s="110" t="s">
        <v>1147</v>
      </c>
      <c r="C92" s="110">
        <v>2.1549999999999998</v>
      </c>
      <c r="D92" s="112">
        <v>42750</v>
      </c>
    </row>
    <row r="93" spans="1:5">
      <c r="A93" s="110" t="s">
        <v>1961</v>
      </c>
      <c r="B93" s="110" t="s">
        <v>1147</v>
      </c>
      <c r="C93" s="110">
        <v>1.9590000000000001</v>
      </c>
      <c r="D93" s="112">
        <v>42750</v>
      </c>
    </row>
    <row r="94" spans="1:5">
      <c r="A94" s="110" t="s">
        <v>1960</v>
      </c>
      <c r="B94" s="110" t="s">
        <v>1147</v>
      </c>
      <c r="C94" s="110">
        <v>2.0409999999999999</v>
      </c>
      <c r="D94" s="112">
        <v>42750</v>
      </c>
    </row>
    <row r="95" spans="1:5">
      <c r="A95" s="110" t="s">
        <v>1959</v>
      </c>
      <c r="B95" s="110" t="s">
        <v>1147</v>
      </c>
      <c r="C95" s="110">
        <v>2.044</v>
      </c>
      <c r="D95" s="112">
        <v>42750</v>
      </c>
    </row>
    <row r="96" spans="1:5">
      <c r="A96" s="110" t="s">
        <v>1958</v>
      </c>
      <c r="B96" s="110" t="s">
        <v>1147</v>
      </c>
      <c r="C96" s="110">
        <v>2.1930000000000001</v>
      </c>
      <c r="D96" s="112">
        <v>42750</v>
      </c>
    </row>
    <row r="97" spans="1:4">
      <c r="A97" s="110" t="s">
        <v>1957</v>
      </c>
      <c r="B97" s="110" t="s">
        <v>1147</v>
      </c>
      <c r="C97" s="110">
        <v>2.1230000000000002</v>
      </c>
      <c r="D97" s="112">
        <v>42750</v>
      </c>
    </row>
    <row r="98" spans="1:4">
      <c r="A98" s="110" t="s">
        <v>1956</v>
      </c>
      <c r="B98" s="110" t="s">
        <v>1147</v>
      </c>
      <c r="C98" s="110">
        <v>2.0630000000000002</v>
      </c>
      <c r="D98" s="112">
        <v>42750</v>
      </c>
    </row>
    <row r="99" spans="1:4">
      <c r="A99" s="110" t="s">
        <v>1955</v>
      </c>
      <c r="B99" s="110" t="s">
        <v>1147</v>
      </c>
      <c r="C99" s="110">
        <v>2.1110000000000002</v>
      </c>
      <c r="D99" s="112">
        <v>42750</v>
      </c>
    </row>
    <row r="100" spans="1:4">
      <c r="A100" s="110" t="s">
        <v>1954</v>
      </c>
      <c r="B100" s="110" t="s">
        <v>1147</v>
      </c>
      <c r="C100" s="110">
        <v>2.2349999999999999</v>
      </c>
      <c r="D100" s="112">
        <v>42750</v>
      </c>
    </row>
    <row r="101" spans="1:4">
      <c r="A101" s="110" t="s">
        <v>1953</v>
      </c>
      <c r="B101" s="110" t="s">
        <v>1147</v>
      </c>
      <c r="C101" s="110">
        <v>2.0960000000000001</v>
      </c>
      <c r="D101" s="112">
        <v>42750</v>
      </c>
    </row>
    <row r="102" spans="1:4">
      <c r="A102" s="110" t="s">
        <v>1952</v>
      </c>
      <c r="B102" s="110" t="s">
        <v>1147</v>
      </c>
      <c r="C102" s="110">
        <v>2.0979999999999999</v>
      </c>
      <c r="D102" s="112">
        <v>42750</v>
      </c>
    </row>
    <row r="103" spans="1:4">
      <c r="A103" s="110" t="s">
        <v>1951</v>
      </c>
      <c r="B103" s="110" t="s">
        <v>1147</v>
      </c>
      <c r="C103" s="110">
        <v>2.097</v>
      </c>
      <c r="D103" s="112">
        <v>42750</v>
      </c>
    </row>
    <row r="104" spans="1:4">
      <c r="A104" s="110" t="s">
        <v>1950</v>
      </c>
      <c r="B104" s="110" t="s">
        <v>1147</v>
      </c>
      <c r="C104" s="110">
        <v>2.0840000000000001</v>
      </c>
      <c r="D104" s="112">
        <v>42750</v>
      </c>
    </row>
    <row r="105" spans="1:4">
      <c r="A105" s="110" t="s">
        <v>1949</v>
      </c>
      <c r="B105" s="110" t="s">
        <v>1147</v>
      </c>
      <c r="C105" s="110">
        <v>2.173</v>
      </c>
      <c r="D105" s="112">
        <v>42750</v>
      </c>
    </row>
    <row r="106" spans="1:4">
      <c r="A106" s="110" t="s">
        <v>1948</v>
      </c>
      <c r="B106" s="110" t="s">
        <v>1147</v>
      </c>
      <c r="C106" s="110">
        <v>2.0920000000000001</v>
      </c>
      <c r="D106" s="112">
        <v>42750</v>
      </c>
    </row>
    <row r="107" spans="1:4">
      <c r="A107" s="110" t="s">
        <v>1947</v>
      </c>
      <c r="B107" s="110" t="s">
        <v>1147</v>
      </c>
      <c r="C107" s="110">
        <v>2.06</v>
      </c>
      <c r="D107" s="112">
        <v>42750</v>
      </c>
    </row>
    <row r="108" spans="1:4">
      <c r="A108" s="110" t="s">
        <v>1946</v>
      </c>
      <c r="B108" s="110" t="s">
        <v>1147</v>
      </c>
      <c r="C108" s="110">
        <v>2.0259999999999998</v>
      </c>
      <c r="D108" s="112">
        <v>42750</v>
      </c>
    </row>
    <row r="109" spans="1:4">
      <c r="A109" s="110" t="s">
        <v>1945</v>
      </c>
      <c r="B109" s="110" t="s">
        <v>1147</v>
      </c>
      <c r="C109" s="110">
        <v>2.1440000000000001</v>
      </c>
      <c r="D109" s="112">
        <v>42750</v>
      </c>
    </row>
    <row r="110" spans="1:4">
      <c r="A110" s="110" t="s">
        <v>1944</v>
      </c>
      <c r="B110" s="110" t="s">
        <v>1147</v>
      </c>
      <c r="C110" s="110">
        <v>2.1230000000000002</v>
      </c>
      <c r="D110" s="112">
        <v>42750</v>
      </c>
    </row>
    <row r="111" spans="1:4">
      <c r="A111" s="110" t="s">
        <v>1943</v>
      </c>
      <c r="B111" s="110" t="s">
        <v>1147</v>
      </c>
      <c r="C111" s="110">
        <v>2.1749999999999998</v>
      </c>
      <c r="D111" s="112">
        <v>42750</v>
      </c>
    </row>
    <row r="112" spans="1:4">
      <c r="A112" s="110" t="s">
        <v>1942</v>
      </c>
      <c r="B112" s="110" t="s">
        <v>1147</v>
      </c>
      <c r="C112" s="110">
        <v>2.032</v>
      </c>
      <c r="D112" s="112">
        <v>42750</v>
      </c>
    </row>
    <row r="113" spans="1:5">
      <c r="A113" s="110" t="s">
        <v>1941</v>
      </c>
      <c r="B113" s="110" t="s">
        <v>1147</v>
      </c>
      <c r="C113" s="110">
        <v>1.992</v>
      </c>
      <c r="D113" s="112">
        <v>42750</v>
      </c>
    </row>
    <row r="114" spans="1:5">
      <c r="A114" s="110" t="s">
        <v>1940</v>
      </c>
      <c r="B114" s="110" t="s">
        <v>1147</v>
      </c>
      <c r="C114" s="110">
        <v>2.093</v>
      </c>
      <c r="D114" s="112">
        <v>42750</v>
      </c>
    </row>
    <row r="115" spans="1:5">
      <c r="A115" s="110" t="s">
        <v>1939</v>
      </c>
      <c r="B115" s="110" t="s">
        <v>1147</v>
      </c>
      <c r="C115" s="110">
        <v>2.0750000000000002</v>
      </c>
      <c r="D115" s="112">
        <v>42750</v>
      </c>
    </row>
    <row r="116" spans="1:5">
      <c r="A116" s="175" t="s">
        <v>1938</v>
      </c>
      <c r="B116" s="175" t="s">
        <v>1147</v>
      </c>
      <c r="C116" s="175">
        <v>2.0859999999999999</v>
      </c>
      <c r="D116" s="176">
        <v>42750</v>
      </c>
      <c r="E116" s="175" t="s">
        <v>2465</v>
      </c>
    </row>
    <row r="117" spans="1:5">
      <c r="A117" s="110" t="s">
        <v>1937</v>
      </c>
      <c r="B117" s="110" t="s">
        <v>1147</v>
      </c>
      <c r="C117" s="110">
        <v>2.0539999999999998</v>
      </c>
      <c r="D117" s="112">
        <v>42750</v>
      </c>
    </row>
    <row r="118" spans="1:5">
      <c r="A118" s="110" t="s">
        <v>1936</v>
      </c>
      <c r="B118" s="110" t="s">
        <v>1147</v>
      </c>
      <c r="C118" s="110">
        <v>2.0249999999999999</v>
      </c>
      <c r="D118" s="112">
        <v>42750</v>
      </c>
    </row>
    <row r="119" spans="1:5">
      <c r="A119" s="110" t="s">
        <v>1935</v>
      </c>
      <c r="B119" s="110" t="s">
        <v>1147</v>
      </c>
      <c r="C119" s="110">
        <v>2.048</v>
      </c>
      <c r="D119" s="112">
        <v>42750</v>
      </c>
    </row>
    <row r="120" spans="1:5">
      <c r="A120" s="110" t="s">
        <v>1934</v>
      </c>
      <c r="B120" s="110" t="s">
        <v>1147</v>
      </c>
      <c r="C120" s="110">
        <v>1.925</v>
      </c>
      <c r="D120" s="112">
        <v>42750</v>
      </c>
    </row>
    <row r="121" spans="1:5">
      <c r="A121" s="110" t="s">
        <v>1933</v>
      </c>
      <c r="B121" s="110" t="s">
        <v>1147</v>
      </c>
      <c r="C121" s="110">
        <v>2.0990000000000002</v>
      </c>
      <c r="D121" s="112">
        <v>42750</v>
      </c>
    </row>
    <row r="122" spans="1:5">
      <c r="A122" s="110" t="s">
        <v>1932</v>
      </c>
      <c r="B122" s="110" t="s">
        <v>1147</v>
      </c>
      <c r="C122" s="110">
        <v>2.0870000000000002</v>
      </c>
      <c r="D122" s="112">
        <v>42750</v>
      </c>
    </row>
    <row r="123" spans="1:5">
      <c r="A123" s="110" t="s">
        <v>1931</v>
      </c>
      <c r="B123" s="110" t="s">
        <v>1147</v>
      </c>
      <c r="C123" s="110">
        <v>2.032</v>
      </c>
      <c r="D123" s="112">
        <v>42750</v>
      </c>
    </row>
    <row r="124" spans="1:5">
      <c r="A124" s="110" t="s">
        <v>1930</v>
      </c>
      <c r="B124" s="110" t="s">
        <v>1147</v>
      </c>
      <c r="C124" s="110">
        <v>2.0449999999999999</v>
      </c>
      <c r="D124" s="112">
        <v>42750</v>
      </c>
    </row>
    <row r="125" spans="1:5">
      <c r="A125" s="110" t="s">
        <v>1929</v>
      </c>
      <c r="B125" s="110" t="s">
        <v>1147</v>
      </c>
      <c r="C125" s="110">
        <v>2.024</v>
      </c>
      <c r="D125" s="112">
        <v>42750</v>
      </c>
    </row>
    <row r="126" spans="1:5">
      <c r="A126" s="110" t="s">
        <v>1928</v>
      </c>
      <c r="B126" s="110" t="s">
        <v>1147</v>
      </c>
      <c r="C126" s="110">
        <v>1.95</v>
      </c>
      <c r="D126" s="112">
        <v>42750</v>
      </c>
    </row>
    <row r="127" spans="1:5">
      <c r="A127" s="110" t="s">
        <v>1927</v>
      </c>
      <c r="B127" s="110" t="s">
        <v>1147</v>
      </c>
      <c r="C127" s="110">
        <v>2.133</v>
      </c>
      <c r="D127" s="112">
        <v>42750</v>
      </c>
    </row>
    <row r="128" spans="1:5">
      <c r="A128" s="110" t="s">
        <v>1926</v>
      </c>
      <c r="B128" s="110" t="s">
        <v>1147</v>
      </c>
      <c r="C128" s="110">
        <v>1.9390000000000001</v>
      </c>
      <c r="D128" s="112">
        <v>42750</v>
      </c>
    </row>
    <row r="129" spans="1:4">
      <c r="A129" s="110" t="s">
        <v>1925</v>
      </c>
      <c r="B129" s="110" t="s">
        <v>1147</v>
      </c>
      <c r="C129" s="110">
        <v>2.0979999999999999</v>
      </c>
      <c r="D129" s="112">
        <v>42750</v>
      </c>
    </row>
    <row r="130" spans="1:4">
      <c r="A130" s="110" t="s">
        <v>1924</v>
      </c>
      <c r="B130" s="110" t="s">
        <v>1147</v>
      </c>
      <c r="C130" s="110">
        <v>2.093</v>
      </c>
      <c r="D130" s="112">
        <v>42750</v>
      </c>
    </row>
    <row r="131" spans="1:4">
      <c r="A131" s="110" t="s">
        <v>1923</v>
      </c>
      <c r="B131" s="110" t="s">
        <v>1147</v>
      </c>
      <c r="C131" s="110">
        <v>1.9490000000000001</v>
      </c>
      <c r="D131" s="112">
        <v>42750</v>
      </c>
    </row>
    <row r="132" spans="1:4">
      <c r="A132" s="110" t="s">
        <v>1922</v>
      </c>
      <c r="B132" s="110" t="s">
        <v>1147</v>
      </c>
      <c r="C132" s="110">
        <v>2.0219999999999998</v>
      </c>
      <c r="D132" s="112">
        <v>42750</v>
      </c>
    </row>
    <row r="133" spans="1:4">
      <c r="A133" s="110" t="s">
        <v>1921</v>
      </c>
      <c r="B133" s="110" t="s">
        <v>1147</v>
      </c>
      <c r="C133" s="110">
        <v>1.9630000000000001</v>
      </c>
      <c r="D133" s="112">
        <v>42750</v>
      </c>
    </row>
    <row r="134" spans="1:4">
      <c r="A134" s="110" t="s">
        <v>1920</v>
      </c>
      <c r="B134" s="110" t="s">
        <v>1147</v>
      </c>
      <c r="C134" s="110">
        <v>1.976</v>
      </c>
      <c r="D134" s="112">
        <v>42750</v>
      </c>
    </row>
    <row r="135" spans="1:4">
      <c r="A135" s="110" t="s">
        <v>1919</v>
      </c>
      <c r="B135" s="110" t="s">
        <v>1147</v>
      </c>
      <c r="C135" s="110">
        <v>1.9670000000000001</v>
      </c>
      <c r="D135" s="112">
        <v>42750</v>
      </c>
    </row>
    <row r="136" spans="1:4">
      <c r="A136" s="110" t="s">
        <v>1918</v>
      </c>
      <c r="B136" s="110" t="s">
        <v>1147</v>
      </c>
      <c r="C136" s="110">
        <v>2.0590000000000002</v>
      </c>
      <c r="D136" s="112">
        <v>42750</v>
      </c>
    </row>
    <row r="137" spans="1:4">
      <c r="A137" s="110" t="s">
        <v>1917</v>
      </c>
      <c r="B137" s="110" t="s">
        <v>1147</v>
      </c>
      <c r="C137" s="110">
        <v>1.8580000000000001</v>
      </c>
      <c r="D137" s="112">
        <v>42750</v>
      </c>
    </row>
    <row r="138" spans="1:4">
      <c r="A138" s="110" t="s">
        <v>1916</v>
      </c>
      <c r="B138" s="110" t="s">
        <v>1147</v>
      </c>
      <c r="C138" s="110">
        <v>2.0089999999999999</v>
      </c>
      <c r="D138" s="112">
        <v>42750</v>
      </c>
    </row>
    <row r="139" spans="1:4">
      <c r="A139" s="110" t="s">
        <v>1915</v>
      </c>
      <c r="B139" s="110" t="s">
        <v>1147</v>
      </c>
      <c r="C139" s="110">
        <v>2.0049999999999999</v>
      </c>
      <c r="D139" s="112">
        <v>42750</v>
      </c>
    </row>
    <row r="140" spans="1:4">
      <c r="A140" s="110" t="s">
        <v>1914</v>
      </c>
      <c r="B140" s="110" t="s">
        <v>1147</v>
      </c>
      <c r="C140" s="110">
        <v>1.9430000000000001</v>
      </c>
      <c r="D140" s="112">
        <v>42750</v>
      </c>
    </row>
    <row r="141" spans="1:4">
      <c r="A141" s="110" t="s">
        <v>1913</v>
      </c>
      <c r="B141" s="110" t="s">
        <v>1147</v>
      </c>
      <c r="C141" s="110">
        <v>1.9690000000000001</v>
      </c>
      <c r="D141" s="112">
        <v>42750</v>
      </c>
    </row>
    <row r="142" spans="1:4">
      <c r="A142" s="110" t="s">
        <v>1912</v>
      </c>
      <c r="B142" s="110" t="s">
        <v>1147</v>
      </c>
      <c r="C142" s="110">
        <v>1.956</v>
      </c>
      <c r="D142" s="112">
        <v>42750</v>
      </c>
    </row>
    <row r="143" spans="1:4">
      <c r="A143" s="110" t="s">
        <v>1911</v>
      </c>
      <c r="B143" s="110" t="s">
        <v>1147</v>
      </c>
      <c r="C143" s="110">
        <v>2.0059999999999998</v>
      </c>
      <c r="D143" s="112">
        <v>42750</v>
      </c>
    </row>
    <row r="144" spans="1:4">
      <c r="A144" s="110" t="s">
        <v>1910</v>
      </c>
      <c r="B144" s="110" t="s">
        <v>1147</v>
      </c>
      <c r="C144" s="110">
        <v>2.0590000000000002</v>
      </c>
      <c r="D144" s="112">
        <v>42750</v>
      </c>
    </row>
    <row r="145" spans="1:4">
      <c r="A145" s="110" t="s">
        <v>1909</v>
      </c>
      <c r="B145" s="110" t="s">
        <v>1147</v>
      </c>
      <c r="C145" s="110">
        <v>2.0310000000000001</v>
      </c>
      <c r="D145" s="112">
        <v>42750</v>
      </c>
    </row>
    <row r="146" spans="1:4">
      <c r="A146" s="110" t="s">
        <v>1908</v>
      </c>
      <c r="B146" s="110" t="s">
        <v>1147</v>
      </c>
      <c r="C146" s="110">
        <v>2.0590000000000002</v>
      </c>
      <c r="D146" s="112">
        <v>42750</v>
      </c>
    </row>
    <row r="147" spans="1:4">
      <c r="A147" s="110" t="s">
        <v>1907</v>
      </c>
      <c r="B147" s="110" t="s">
        <v>1147</v>
      </c>
      <c r="C147" s="110">
        <v>1.9450000000000001</v>
      </c>
      <c r="D147" s="112">
        <v>42750</v>
      </c>
    </row>
    <row r="148" spans="1:4">
      <c r="A148" s="110" t="s">
        <v>1906</v>
      </c>
      <c r="B148" s="110" t="s">
        <v>1147</v>
      </c>
      <c r="C148" s="110">
        <v>2.0230000000000001</v>
      </c>
      <c r="D148" s="112">
        <v>42750</v>
      </c>
    </row>
    <row r="149" spans="1:4">
      <c r="A149" s="110" t="s">
        <v>1905</v>
      </c>
      <c r="B149" s="110" t="s">
        <v>1147</v>
      </c>
      <c r="C149" s="110">
        <v>2.044</v>
      </c>
      <c r="D149" s="112">
        <v>42750</v>
      </c>
    </row>
    <row r="150" spans="1:4">
      <c r="A150" s="110" t="s">
        <v>1904</v>
      </c>
      <c r="B150" s="110" t="s">
        <v>1147</v>
      </c>
      <c r="C150" s="110">
        <v>2.0529999999999999</v>
      </c>
      <c r="D150" s="112">
        <v>42750</v>
      </c>
    </row>
    <row r="151" spans="1:4">
      <c r="A151" s="110" t="s">
        <v>1903</v>
      </c>
      <c r="B151" s="110" t="s">
        <v>1147</v>
      </c>
      <c r="C151" s="110">
        <v>2.0369999999999999</v>
      </c>
      <c r="D151" s="112">
        <v>42750</v>
      </c>
    </row>
    <row r="152" spans="1:4">
      <c r="A152" s="110" t="s">
        <v>1902</v>
      </c>
      <c r="B152" s="110" t="s">
        <v>1147</v>
      </c>
      <c r="C152" s="110">
        <v>2.0710000000000002</v>
      </c>
      <c r="D152" s="112">
        <v>42750</v>
      </c>
    </row>
    <row r="153" spans="1:4">
      <c r="A153" s="110" t="s">
        <v>1901</v>
      </c>
      <c r="B153" s="110" t="s">
        <v>1147</v>
      </c>
      <c r="C153" s="110">
        <v>2.1789999999999998</v>
      </c>
      <c r="D153" s="112">
        <v>42750</v>
      </c>
    </row>
    <row r="154" spans="1:4">
      <c r="A154" s="110" t="s">
        <v>1900</v>
      </c>
      <c r="B154" s="110" t="s">
        <v>1147</v>
      </c>
      <c r="C154" s="110">
        <v>2.0009999999999999</v>
      </c>
      <c r="D154" s="112">
        <v>42750</v>
      </c>
    </row>
    <row r="155" spans="1:4">
      <c r="A155" s="110" t="s">
        <v>1899</v>
      </c>
      <c r="B155" s="110" t="s">
        <v>1147</v>
      </c>
      <c r="C155" s="110">
        <v>1.9159999999999999</v>
      </c>
      <c r="D155" s="112">
        <v>42750</v>
      </c>
    </row>
    <row r="156" spans="1:4">
      <c r="A156" s="110" t="s">
        <v>1898</v>
      </c>
      <c r="B156" s="110" t="s">
        <v>1147</v>
      </c>
      <c r="C156" s="110">
        <v>2.0489999999999999</v>
      </c>
      <c r="D156" s="112">
        <v>42750</v>
      </c>
    </row>
    <row r="157" spans="1:4">
      <c r="A157" s="110" t="s">
        <v>1897</v>
      </c>
      <c r="B157" s="110" t="s">
        <v>1147</v>
      </c>
      <c r="C157" s="110">
        <v>2.0529999999999999</v>
      </c>
      <c r="D157" s="112">
        <v>42750</v>
      </c>
    </row>
    <row r="158" spans="1:4">
      <c r="A158" s="110" t="s">
        <v>1896</v>
      </c>
      <c r="B158" s="110" t="s">
        <v>1147</v>
      </c>
      <c r="C158" s="110">
        <v>1.9970000000000001</v>
      </c>
      <c r="D158" s="112">
        <v>42750</v>
      </c>
    </row>
    <row r="159" spans="1:4">
      <c r="A159" s="110" t="s">
        <v>1895</v>
      </c>
      <c r="B159" s="110" t="s">
        <v>1147</v>
      </c>
      <c r="C159" s="110">
        <v>2.0379999999999998</v>
      </c>
      <c r="D159" s="112">
        <v>42750</v>
      </c>
    </row>
    <row r="160" spans="1:4">
      <c r="A160" s="110" t="s">
        <v>1894</v>
      </c>
      <c r="B160" s="110" t="s">
        <v>1147</v>
      </c>
      <c r="C160" s="110">
        <v>1.944</v>
      </c>
      <c r="D160" s="112">
        <v>42750</v>
      </c>
    </row>
    <row r="161" spans="1:4">
      <c r="A161" s="110" t="s">
        <v>1893</v>
      </c>
      <c r="B161" s="110" t="s">
        <v>1147</v>
      </c>
      <c r="C161" s="110">
        <v>1.994</v>
      </c>
      <c r="D161" s="112">
        <v>42750</v>
      </c>
    </row>
    <row r="162" spans="1:4">
      <c r="A162" s="110" t="s">
        <v>1892</v>
      </c>
      <c r="B162" s="110" t="s">
        <v>1147</v>
      </c>
      <c r="C162" s="110">
        <v>2.0609999999999999</v>
      </c>
      <c r="D162" s="112">
        <v>42750</v>
      </c>
    </row>
    <row r="163" spans="1:4">
      <c r="A163" s="110" t="s">
        <v>1891</v>
      </c>
      <c r="B163" s="110" t="s">
        <v>1147</v>
      </c>
      <c r="C163" s="110">
        <v>2.1419999999999999</v>
      </c>
      <c r="D163" s="112">
        <v>42750</v>
      </c>
    </row>
    <row r="164" spans="1:4">
      <c r="A164" s="110" t="s">
        <v>1890</v>
      </c>
      <c r="B164" s="110" t="s">
        <v>1147</v>
      </c>
      <c r="C164" s="110">
        <v>2.081</v>
      </c>
      <c r="D164" s="112">
        <v>42750</v>
      </c>
    </row>
    <row r="165" spans="1:4">
      <c r="A165" s="110" t="s">
        <v>1889</v>
      </c>
      <c r="B165" s="110" t="s">
        <v>1147</v>
      </c>
      <c r="C165" s="110">
        <v>2.0979999999999999</v>
      </c>
      <c r="D165" s="112">
        <v>42750</v>
      </c>
    </row>
    <row r="166" spans="1:4">
      <c r="A166" s="110" t="s">
        <v>1888</v>
      </c>
      <c r="B166" s="110" t="s">
        <v>1147</v>
      </c>
      <c r="C166" s="110">
        <v>2.0390000000000001</v>
      </c>
      <c r="D166" s="112">
        <v>42750</v>
      </c>
    </row>
    <row r="167" spans="1:4">
      <c r="A167" s="110" t="s">
        <v>1887</v>
      </c>
      <c r="B167" s="110" t="s">
        <v>1147</v>
      </c>
      <c r="C167" s="110">
        <v>2.04</v>
      </c>
      <c r="D167" s="112">
        <v>42750</v>
      </c>
    </row>
    <row r="168" spans="1:4">
      <c r="A168" s="110" t="s">
        <v>1886</v>
      </c>
      <c r="B168" s="110" t="s">
        <v>1147</v>
      </c>
      <c r="C168" s="110">
        <v>1.994</v>
      </c>
      <c r="D168" s="112">
        <v>42750</v>
      </c>
    </row>
    <row r="169" spans="1:4">
      <c r="A169" s="110" t="s">
        <v>1885</v>
      </c>
      <c r="B169" s="110" t="s">
        <v>1147</v>
      </c>
      <c r="C169" s="110">
        <v>2.0089999999999999</v>
      </c>
      <c r="D169" s="112">
        <v>42750</v>
      </c>
    </row>
    <row r="170" spans="1:4">
      <c r="A170" s="110" t="s">
        <v>1884</v>
      </c>
      <c r="B170" s="110" t="s">
        <v>1147</v>
      </c>
      <c r="C170" s="110">
        <v>2.032</v>
      </c>
      <c r="D170" s="112">
        <v>42750</v>
      </c>
    </row>
    <row r="171" spans="1:4">
      <c r="A171" s="110" t="s">
        <v>1883</v>
      </c>
      <c r="B171" s="110" t="s">
        <v>1147</v>
      </c>
      <c r="C171" s="110">
        <v>1.996</v>
      </c>
      <c r="D171" s="112">
        <v>42750</v>
      </c>
    </row>
    <row r="172" spans="1:4">
      <c r="A172" s="110" t="s">
        <v>1882</v>
      </c>
      <c r="B172" s="110" t="s">
        <v>1147</v>
      </c>
      <c r="C172" s="110">
        <v>2.0499999999999998</v>
      </c>
      <c r="D172" s="112">
        <v>42750</v>
      </c>
    </row>
    <row r="173" spans="1:4">
      <c r="A173" s="110" t="s">
        <v>1881</v>
      </c>
      <c r="B173" s="110" t="s">
        <v>1147</v>
      </c>
      <c r="C173" s="110">
        <v>2.0649999999999999</v>
      </c>
      <c r="D173" s="112">
        <v>42750</v>
      </c>
    </row>
    <row r="174" spans="1:4">
      <c r="A174" s="110" t="s">
        <v>1880</v>
      </c>
      <c r="B174" s="110" t="s">
        <v>1147</v>
      </c>
      <c r="C174" s="110">
        <v>2.0390000000000001</v>
      </c>
      <c r="D174" s="112">
        <v>42750</v>
      </c>
    </row>
    <row r="175" spans="1:4">
      <c r="A175" s="110" t="s">
        <v>1879</v>
      </c>
      <c r="B175" s="110" t="s">
        <v>1147</v>
      </c>
      <c r="C175" s="110">
        <v>1.9239999999999999</v>
      </c>
      <c r="D175" s="112">
        <v>42750</v>
      </c>
    </row>
    <row r="176" spans="1:4">
      <c r="A176" s="110" t="s">
        <v>1878</v>
      </c>
      <c r="B176" s="110" t="s">
        <v>1147</v>
      </c>
      <c r="C176" s="110">
        <v>1.9870000000000001</v>
      </c>
      <c r="D176" s="112">
        <v>42750</v>
      </c>
    </row>
    <row r="177" spans="1:4">
      <c r="A177" s="110" t="s">
        <v>1877</v>
      </c>
      <c r="B177" s="110" t="s">
        <v>1147</v>
      </c>
      <c r="C177" s="110">
        <v>2.1419999999999999</v>
      </c>
      <c r="D177" s="112">
        <v>42750</v>
      </c>
    </row>
    <row r="178" spans="1:4">
      <c r="A178" s="110" t="s">
        <v>1876</v>
      </c>
      <c r="B178" s="110" t="s">
        <v>1147</v>
      </c>
      <c r="C178" s="110">
        <v>2.0649999999999999</v>
      </c>
      <c r="D178" s="112">
        <v>42750</v>
      </c>
    </row>
    <row r="179" spans="1:4">
      <c r="A179" s="110" t="s">
        <v>1875</v>
      </c>
      <c r="B179" s="110" t="s">
        <v>1147</v>
      </c>
      <c r="C179" s="110">
        <v>1.9930000000000001</v>
      </c>
      <c r="D179" s="112">
        <v>42750</v>
      </c>
    </row>
    <row r="180" spans="1:4">
      <c r="A180" s="110" t="s">
        <v>1874</v>
      </c>
      <c r="B180" s="110" t="s">
        <v>1147</v>
      </c>
      <c r="C180" s="110">
        <v>2.0590000000000002</v>
      </c>
      <c r="D180" s="112">
        <v>42750</v>
      </c>
    </row>
    <row r="181" spans="1:4">
      <c r="A181" s="110" t="s">
        <v>1873</v>
      </c>
      <c r="B181" s="110" t="s">
        <v>1147</v>
      </c>
      <c r="C181" s="110">
        <v>2.0190000000000001</v>
      </c>
      <c r="D181" s="112">
        <v>42750</v>
      </c>
    </row>
    <row r="182" spans="1:4">
      <c r="A182" s="110" t="s">
        <v>1872</v>
      </c>
      <c r="B182" s="110" t="s">
        <v>1147</v>
      </c>
      <c r="C182" s="110">
        <v>2.1360000000000001</v>
      </c>
      <c r="D182" s="112">
        <v>42750</v>
      </c>
    </row>
    <row r="183" spans="1:4">
      <c r="A183" s="110" t="s">
        <v>1871</v>
      </c>
      <c r="B183" s="110" t="s">
        <v>1147</v>
      </c>
      <c r="C183" s="110">
        <v>1.9750000000000001</v>
      </c>
      <c r="D183" s="112">
        <v>42750</v>
      </c>
    </row>
    <row r="184" spans="1:4">
      <c r="A184" s="110" t="s">
        <v>1870</v>
      </c>
      <c r="B184" s="110" t="s">
        <v>1147</v>
      </c>
      <c r="C184" s="110">
        <v>1.9810000000000001</v>
      </c>
      <c r="D184" s="112">
        <v>42750</v>
      </c>
    </row>
    <row r="185" spans="1:4">
      <c r="A185" s="110" t="s">
        <v>1869</v>
      </c>
      <c r="B185" s="110" t="s">
        <v>1147</v>
      </c>
      <c r="C185" s="110">
        <v>1.7629999999999999</v>
      </c>
      <c r="D185" s="112">
        <v>42750</v>
      </c>
    </row>
    <row r="186" spans="1:4">
      <c r="A186" s="110" t="s">
        <v>1868</v>
      </c>
      <c r="B186" s="110" t="s">
        <v>1147</v>
      </c>
      <c r="C186" s="110">
        <v>1.8919999999999999</v>
      </c>
      <c r="D186" s="112">
        <v>42750</v>
      </c>
    </row>
    <row r="187" spans="1:4">
      <c r="A187" s="110" t="s">
        <v>1867</v>
      </c>
      <c r="B187" s="110" t="s">
        <v>1147</v>
      </c>
      <c r="C187" s="110">
        <v>1.897</v>
      </c>
      <c r="D187" s="112">
        <v>42750</v>
      </c>
    </row>
    <row r="188" spans="1:4">
      <c r="A188" s="110" t="s">
        <v>1866</v>
      </c>
      <c r="B188" s="110" t="s">
        <v>1147</v>
      </c>
      <c r="C188" s="110">
        <v>1.925</v>
      </c>
      <c r="D188" s="112">
        <v>42750</v>
      </c>
    </row>
    <row r="189" spans="1:4">
      <c r="A189" s="110" t="s">
        <v>1865</v>
      </c>
      <c r="B189" s="110" t="s">
        <v>1147</v>
      </c>
      <c r="C189" s="110">
        <v>2.13</v>
      </c>
      <c r="D189" s="112">
        <v>42750</v>
      </c>
    </row>
    <row r="190" spans="1:4">
      <c r="A190" s="110" t="s">
        <v>1864</v>
      </c>
      <c r="B190" s="110" t="s">
        <v>1147</v>
      </c>
      <c r="C190" s="110">
        <v>2.0419999999999998</v>
      </c>
      <c r="D190" s="112">
        <v>42750</v>
      </c>
    </row>
    <row r="191" spans="1:4">
      <c r="A191" s="110" t="s">
        <v>1863</v>
      </c>
      <c r="B191" s="110" t="s">
        <v>1147</v>
      </c>
      <c r="C191" s="110">
        <v>1.996</v>
      </c>
      <c r="D191" s="112">
        <v>42750</v>
      </c>
    </row>
    <row r="192" spans="1:4">
      <c r="A192" s="110" t="s">
        <v>1862</v>
      </c>
      <c r="B192" s="110" t="s">
        <v>1147</v>
      </c>
      <c r="C192" s="110">
        <v>1.952</v>
      </c>
      <c r="D192" s="112">
        <v>42750</v>
      </c>
    </row>
    <row r="193" spans="1:4">
      <c r="A193" s="110" t="s">
        <v>1861</v>
      </c>
      <c r="B193" s="110" t="s">
        <v>1147</v>
      </c>
      <c r="C193" s="110">
        <v>2.0059999999999998</v>
      </c>
      <c r="D193" s="112">
        <v>42750</v>
      </c>
    </row>
    <row r="194" spans="1:4">
      <c r="A194" s="110" t="s">
        <v>1860</v>
      </c>
      <c r="B194" s="110" t="s">
        <v>1147</v>
      </c>
      <c r="C194" s="110">
        <v>1.909</v>
      </c>
      <c r="D194" s="112">
        <v>42750</v>
      </c>
    </row>
    <row r="195" spans="1:4">
      <c r="A195" s="110" t="s">
        <v>1859</v>
      </c>
      <c r="B195" s="110" t="s">
        <v>1147</v>
      </c>
      <c r="C195" s="110">
        <v>2.0590000000000002</v>
      </c>
      <c r="D195" s="112">
        <v>42750</v>
      </c>
    </row>
    <row r="196" spans="1:4">
      <c r="A196" s="110" t="s">
        <v>1858</v>
      </c>
      <c r="B196" s="110" t="s">
        <v>1147</v>
      </c>
      <c r="C196" s="110">
        <v>2.008</v>
      </c>
      <c r="D196" s="112">
        <v>42750</v>
      </c>
    </row>
    <row r="197" spans="1:4">
      <c r="A197" s="110" t="s">
        <v>1857</v>
      </c>
      <c r="B197" s="110" t="s">
        <v>1147</v>
      </c>
      <c r="C197" s="110">
        <v>2.177</v>
      </c>
      <c r="D197" s="112">
        <v>42750</v>
      </c>
    </row>
    <row r="198" spans="1:4">
      <c r="A198" s="110" t="s">
        <v>1856</v>
      </c>
      <c r="B198" s="110" t="s">
        <v>1147</v>
      </c>
      <c r="C198" s="110">
        <v>2.032</v>
      </c>
      <c r="D198" s="112">
        <v>42750</v>
      </c>
    </row>
    <row r="199" spans="1:4">
      <c r="A199" s="110" t="s">
        <v>1855</v>
      </c>
      <c r="B199" s="110" t="s">
        <v>1147</v>
      </c>
      <c r="C199" s="110">
        <v>2.0619999999999998</v>
      </c>
      <c r="D199" s="112">
        <v>42750</v>
      </c>
    </row>
    <row r="200" spans="1:4">
      <c r="A200" s="110" t="s">
        <v>1854</v>
      </c>
      <c r="B200" s="110" t="s">
        <v>1147</v>
      </c>
      <c r="C200" s="110">
        <v>2.028</v>
      </c>
      <c r="D200" s="112">
        <v>42750</v>
      </c>
    </row>
    <row r="201" spans="1:4">
      <c r="A201" s="110" t="s">
        <v>1853</v>
      </c>
      <c r="B201" s="110" t="s">
        <v>1147</v>
      </c>
      <c r="C201" s="110">
        <v>2.1120000000000001</v>
      </c>
      <c r="D201" s="112">
        <v>42750</v>
      </c>
    </row>
    <row r="202" spans="1:4">
      <c r="A202" s="110" t="s">
        <v>1852</v>
      </c>
      <c r="B202" s="110" t="s">
        <v>1147</v>
      </c>
      <c r="C202" s="110">
        <v>1.931</v>
      </c>
      <c r="D202" s="112">
        <v>42750</v>
      </c>
    </row>
    <row r="203" spans="1:4">
      <c r="A203" s="110" t="s">
        <v>1851</v>
      </c>
      <c r="B203" s="110" t="s">
        <v>1147</v>
      </c>
      <c r="C203" s="110">
        <v>1.9930000000000001</v>
      </c>
      <c r="D203" s="112">
        <v>42750</v>
      </c>
    </row>
    <row r="204" spans="1:4">
      <c r="A204" s="110" t="s">
        <v>1850</v>
      </c>
      <c r="B204" s="110" t="s">
        <v>1147</v>
      </c>
      <c r="C204" s="110">
        <v>2.0150000000000001</v>
      </c>
      <c r="D204" s="112">
        <v>42750</v>
      </c>
    </row>
    <row r="205" spans="1:4">
      <c r="A205" s="110" t="s">
        <v>1849</v>
      </c>
      <c r="B205" s="110" t="s">
        <v>1147</v>
      </c>
      <c r="C205" s="110">
        <v>2.2370000000000001</v>
      </c>
      <c r="D205" s="112">
        <v>42750</v>
      </c>
    </row>
    <row r="206" spans="1:4">
      <c r="A206" s="110" t="s">
        <v>1848</v>
      </c>
      <c r="B206" s="110" t="s">
        <v>1147</v>
      </c>
      <c r="C206" s="110">
        <v>1.986</v>
      </c>
      <c r="D206" s="112">
        <v>42750</v>
      </c>
    </row>
    <row r="207" spans="1:4">
      <c r="A207" s="110" t="s">
        <v>1847</v>
      </c>
      <c r="B207" s="110" t="s">
        <v>1147</v>
      </c>
      <c r="C207" s="110">
        <v>2.9689999999999999</v>
      </c>
      <c r="D207" s="112">
        <v>42750</v>
      </c>
    </row>
    <row r="208" spans="1:4">
      <c r="A208" s="110" t="s">
        <v>1846</v>
      </c>
      <c r="B208" s="110" t="s">
        <v>1147</v>
      </c>
      <c r="C208" s="110">
        <v>2.1970000000000001</v>
      </c>
      <c r="D208" s="112">
        <v>42750</v>
      </c>
    </row>
    <row r="209" spans="1:4">
      <c r="A209" s="110" t="s">
        <v>1845</v>
      </c>
      <c r="B209" s="110" t="s">
        <v>1147</v>
      </c>
      <c r="C209" s="110">
        <v>2.1240000000000001</v>
      </c>
      <c r="D209" s="112">
        <v>42750</v>
      </c>
    </row>
    <row r="210" spans="1:4">
      <c r="A210" s="110" t="s">
        <v>1844</v>
      </c>
      <c r="B210" s="110" t="s">
        <v>1147</v>
      </c>
      <c r="C210" s="110">
        <v>2.0249999999999999</v>
      </c>
      <c r="D210" s="112">
        <v>42750</v>
      </c>
    </row>
    <row r="211" spans="1:4">
      <c r="A211" s="110" t="s">
        <v>1843</v>
      </c>
      <c r="B211" s="110" t="s">
        <v>1147</v>
      </c>
      <c r="C211" s="110">
        <v>2.1539999999999999</v>
      </c>
      <c r="D211" s="112">
        <v>42750</v>
      </c>
    </row>
    <row r="212" spans="1:4">
      <c r="A212" s="110" t="s">
        <v>1842</v>
      </c>
      <c r="B212" s="110" t="s">
        <v>1147</v>
      </c>
      <c r="C212" s="110">
        <v>2.0019999999999998</v>
      </c>
      <c r="D212" s="112">
        <v>42750</v>
      </c>
    </row>
    <row r="213" spans="1:4">
      <c r="A213" s="110" t="s">
        <v>1841</v>
      </c>
      <c r="B213" s="110" t="s">
        <v>1147</v>
      </c>
      <c r="C213" s="110">
        <v>2.1160000000000001</v>
      </c>
      <c r="D213" s="112">
        <v>42750</v>
      </c>
    </row>
    <row r="214" spans="1:4">
      <c r="A214" s="110" t="s">
        <v>1840</v>
      </c>
      <c r="B214" s="110" t="s">
        <v>1147</v>
      </c>
      <c r="C214" s="110">
        <v>1.923</v>
      </c>
      <c r="D214" s="112">
        <v>42750</v>
      </c>
    </row>
    <row r="215" spans="1:4">
      <c r="A215" s="110" t="s">
        <v>1839</v>
      </c>
      <c r="B215" s="110" t="s">
        <v>1147</v>
      </c>
      <c r="C215" s="110">
        <v>2.06</v>
      </c>
      <c r="D215" s="112">
        <v>42750</v>
      </c>
    </row>
    <row r="216" spans="1:4">
      <c r="A216" s="110" t="s">
        <v>1838</v>
      </c>
      <c r="B216" s="110" t="s">
        <v>1147</v>
      </c>
      <c r="C216" s="110">
        <v>1.9570000000000001</v>
      </c>
      <c r="D216" s="112">
        <v>42750</v>
      </c>
    </row>
    <row r="217" spans="1:4">
      <c r="A217" s="110" t="s">
        <v>1837</v>
      </c>
      <c r="B217" s="110" t="s">
        <v>1147</v>
      </c>
      <c r="C217" s="110">
        <v>2.0670000000000002</v>
      </c>
      <c r="D217" s="112">
        <v>42750</v>
      </c>
    </row>
    <row r="218" spans="1:4">
      <c r="A218" s="110" t="s">
        <v>1836</v>
      </c>
      <c r="B218" s="110" t="s">
        <v>1147</v>
      </c>
      <c r="C218" s="110">
        <v>1.9850000000000001</v>
      </c>
      <c r="D218" s="112">
        <v>42750</v>
      </c>
    </row>
    <row r="219" spans="1:4">
      <c r="A219" s="110" t="s">
        <v>1835</v>
      </c>
      <c r="B219" s="110" t="s">
        <v>1147</v>
      </c>
      <c r="C219" s="110">
        <v>2.0579999999999998</v>
      </c>
      <c r="D219" s="112">
        <v>42750</v>
      </c>
    </row>
    <row r="220" spans="1:4">
      <c r="A220" s="110" t="s">
        <v>1834</v>
      </c>
      <c r="B220" s="110" t="s">
        <v>1147</v>
      </c>
      <c r="C220" s="110">
        <v>2.1150000000000002</v>
      </c>
      <c r="D220" s="112">
        <v>42750</v>
      </c>
    </row>
    <row r="221" spans="1:4">
      <c r="A221" s="110" t="s">
        <v>1833</v>
      </c>
      <c r="B221" s="110" t="s">
        <v>1147</v>
      </c>
      <c r="C221" s="110">
        <v>1.944</v>
      </c>
      <c r="D221" s="112">
        <v>42750</v>
      </c>
    </row>
    <row r="222" spans="1:4">
      <c r="A222" s="110" t="s">
        <v>1832</v>
      </c>
      <c r="B222" s="110" t="s">
        <v>1147</v>
      </c>
      <c r="C222" s="110">
        <v>1.96</v>
      </c>
      <c r="D222" s="112">
        <v>42750</v>
      </c>
    </row>
    <row r="223" spans="1:4">
      <c r="A223" s="110" t="s">
        <v>1831</v>
      </c>
      <c r="B223" s="110" t="s">
        <v>1147</v>
      </c>
      <c r="C223" s="110">
        <v>2.0110000000000001</v>
      </c>
      <c r="D223" s="112">
        <v>42750</v>
      </c>
    </row>
    <row r="224" spans="1:4">
      <c r="A224" s="110" t="s">
        <v>1830</v>
      </c>
      <c r="B224" s="110" t="s">
        <v>1147</v>
      </c>
      <c r="C224" s="110">
        <v>2.1179999999999999</v>
      </c>
      <c r="D224" s="112">
        <v>42750</v>
      </c>
    </row>
    <row r="225" spans="1:4">
      <c r="A225" s="110" t="s">
        <v>1829</v>
      </c>
      <c r="B225" s="110" t="s">
        <v>1147</v>
      </c>
      <c r="C225" s="110">
        <v>2.004</v>
      </c>
      <c r="D225" s="112">
        <v>42750</v>
      </c>
    </row>
    <row r="226" spans="1:4">
      <c r="A226" s="110" t="s">
        <v>1828</v>
      </c>
      <c r="B226" s="110" t="s">
        <v>1147</v>
      </c>
      <c r="C226" s="110">
        <v>1.889</v>
      </c>
      <c r="D226" s="112">
        <v>42750</v>
      </c>
    </row>
    <row r="227" spans="1:4">
      <c r="A227" s="110" t="s">
        <v>1827</v>
      </c>
      <c r="B227" s="110" t="s">
        <v>1147</v>
      </c>
      <c r="C227" s="110">
        <v>1.9630000000000001</v>
      </c>
      <c r="D227" s="112">
        <v>42750</v>
      </c>
    </row>
    <row r="228" spans="1:4">
      <c r="A228" s="110" t="s">
        <v>1826</v>
      </c>
      <c r="B228" s="110" t="s">
        <v>1147</v>
      </c>
      <c r="C228" s="110">
        <v>2.0259999999999998</v>
      </c>
      <c r="D228" s="112">
        <v>42750</v>
      </c>
    </row>
    <row r="229" spans="1:4">
      <c r="A229" s="110" t="s">
        <v>1825</v>
      </c>
      <c r="B229" s="110" t="s">
        <v>1147</v>
      </c>
      <c r="C229" s="110">
        <v>2.117</v>
      </c>
      <c r="D229" s="112">
        <v>42750</v>
      </c>
    </row>
    <row r="230" spans="1:4">
      <c r="A230" s="110" t="s">
        <v>1824</v>
      </c>
      <c r="B230" s="110" t="s">
        <v>1147</v>
      </c>
      <c r="C230" s="110">
        <v>1.929</v>
      </c>
      <c r="D230" s="112">
        <v>42750</v>
      </c>
    </row>
    <row r="231" spans="1:4">
      <c r="A231" s="110" t="s">
        <v>1823</v>
      </c>
      <c r="B231" s="110" t="s">
        <v>1147</v>
      </c>
      <c r="C231" s="110">
        <v>1.986</v>
      </c>
      <c r="D231" s="112">
        <v>42750</v>
      </c>
    </row>
    <row r="232" spans="1:4">
      <c r="A232" s="110" t="s">
        <v>1822</v>
      </c>
      <c r="B232" s="110" t="s">
        <v>1147</v>
      </c>
      <c r="C232" s="110">
        <v>1.976</v>
      </c>
      <c r="D232" s="112">
        <v>42750</v>
      </c>
    </row>
    <row r="233" spans="1:4">
      <c r="A233" s="110" t="s">
        <v>1821</v>
      </c>
      <c r="B233" s="110" t="s">
        <v>1147</v>
      </c>
      <c r="C233" s="110">
        <v>2.0699999999999998</v>
      </c>
      <c r="D233" s="112">
        <v>42750</v>
      </c>
    </row>
    <row r="234" spans="1:4">
      <c r="A234" s="110" t="s">
        <v>1820</v>
      </c>
      <c r="B234" s="110" t="s">
        <v>1147</v>
      </c>
      <c r="C234" s="110">
        <v>2.0030000000000001</v>
      </c>
      <c r="D234" s="112">
        <v>42750</v>
      </c>
    </row>
    <row r="235" spans="1:4">
      <c r="A235" s="110" t="s">
        <v>1819</v>
      </c>
      <c r="B235" s="110" t="s">
        <v>1147</v>
      </c>
      <c r="C235" s="110">
        <v>2.085</v>
      </c>
      <c r="D235" s="112">
        <v>42750</v>
      </c>
    </row>
    <row r="236" spans="1:4">
      <c r="A236" s="110" t="s">
        <v>1818</v>
      </c>
      <c r="B236" s="110" t="s">
        <v>1147</v>
      </c>
      <c r="C236" s="110">
        <v>2.04</v>
      </c>
      <c r="D236" s="112">
        <v>42750</v>
      </c>
    </row>
    <row r="237" spans="1:4">
      <c r="A237" s="110" t="s">
        <v>1817</v>
      </c>
      <c r="B237" s="110" t="s">
        <v>1147</v>
      </c>
      <c r="C237" s="110">
        <v>1.9490000000000001</v>
      </c>
      <c r="D237" s="112">
        <v>42750</v>
      </c>
    </row>
    <row r="238" spans="1:4">
      <c r="A238" s="110" t="s">
        <v>1816</v>
      </c>
      <c r="B238" s="110" t="s">
        <v>1147</v>
      </c>
      <c r="C238" s="110">
        <v>2.13</v>
      </c>
      <c r="D238" s="112">
        <v>42750</v>
      </c>
    </row>
    <row r="239" spans="1:4">
      <c r="A239" s="110" t="s">
        <v>1815</v>
      </c>
      <c r="B239" s="110" t="s">
        <v>1147</v>
      </c>
      <c r="C239" s="110">
        <v>1.9259999999999999</v>
      </c>
      <c r="D239" s="112">
        <v>42750</v>
      </c>
    </row>
    <row r="240" spans="1:4">
      <c r="A240" s="110" t="s">
        <v>1814</v>
      </c>
      <c r="B240" s="110" t="s">
        <v>1147</v>
      </c>
      <c r="C240" s="110">
        <v>2.0529999999999999</v>
      </c>
      <c r="D240" s="112">
        <v>42750</v>
      </c>
    </row>
    <row r="241" spans="1:4">
      <c r="A241" s="110" t="s">
        <v>1813</v>
      </c>
      <c r="B241" s="110" t="s">
        <v>1147</v>
      </c>
      <c r="C241" s="110">
        <v>1.988</v>
      </c>
      <c r="D241" s="112">
        <v>42750</v>
      </c>
    </row>
    <row r="242" spans="1:4">
      <c r="A242" s="110" t="s">
        <v>1812</v>
      </c>
      <c r="B242" s="110" t="s">
        <v>1147</v>
      </c>
      <c r="C242" s="110">
        <v>2.1160000000000001</v>
      </c>
      <c r="D242" s="112">
        <v>42750</v>
      </c>
    </row>
    <row r="243" spans="1:4">
      <c r="A243" s="110" t="s">
        <v>1811</v>
      </c>
      <c r="B243" s="110" t="s">
        <v>1147</v>
      </c>
      <c r="C243" s="110">
        <v>2.1019999999999999</v>
      </c>
      <c r="D243" s="112">
        <v>42750</v>
      </c>
    </row>
    <row r="244" spans="1:4">
      <c r="A244" s="110" t="s">
        <v>1810</v>
      </c>
      <c r="B244" s="110" t="s">
        <v>1147</v>
      </c>
      <c r="C244" s="110">
        <v>2.117</v>
      </c>
      <c r="D244" s="112">
        <v>42750</v>
      </c>
    </row>
    <row r="245" spans="1:4">
      <c r="A245" s="110" t="s">
        <v>1809</v>
      </c>
      <c r="B245" s="110" t="s">
        <v>1147</v>
      </c>
      <c r="C245" s="110">
        <v>2.0179999999999998</v>
      </c>
      <c r="D245" s="112">
        <v>42751</v>
      </c>
    </row>
    <row r="246" spans="1:4">
      <c r="A246" s="110" t="s">
        <v>1808</v>
      </c>
      <c r="B246" s="110" t="s">
        <v>1147</v>
      </c>
      <c r="C246" s="110">
        <v>1.9470000000000001</v>
      </c>
      <c r="D246" s="112">
        <v>42751</v>
      </c>
    </row>
    <row r="247" spans="1:4">
      <c r="A247" s="110" t="s">
        <v>1807</v>
      </c>
      <c r="B247" s="110" t="s">
        <v>1147</v>
      </c>
      <c r="C247" s="110">
        <v>2.13</v>
      </c>
      <c r="D247" s="112">
        <v>42751</v>
      </c>
    </row>
    <row r="248" spans="1:4">
      <c r="A248" s="110" t="s">
        <v>1806</v>
      </c>
      <c r="B248" s="110" t="s">
        <v>1147</v>
      </c>
      <c r="C248" s="110">
        <v>2.04</v>
      </c>
      <c r="D248" s="112">
        <v>42751</v>
      </c>
    </row>
    <row r="249" spans="1:4">
      <c r="A249" s="110" t="s">
        <v>1805</v>
      </c>
      <c r="B249" s="110" t="s">
        <v>1147</v>
      </c>
      <c r="C249" s="110">
        <v>2.0150000000000001</v>
      </c>
      <c r="D249" s="112">
        <v>42751</v>
      </c>
    </row>
    <row r="250" spans="1:4">
      <c r="A250" s="110" t="s">
        <v>1804</v>
      </c>
      <c r="B250" s="110" t="s">
        <v>1147</v>
      </c>
      <c r="C250" s="110">
        <v>2.1829999999999998</v>
      </c>
      <c r="D250" s="112">
        <v>42751</v>
      </c>
    </row>
    <row r="251" spans="1:4">
      <c r="A251" s="110" t="s">
        <v>1803</v>
      </c>
      <c r="B251" s="110" t="s">
        <v>1147</v>
      </c>
      <c r="C251" s="110">
        <v>2.13</v>
      </c>
      <c r="D251" s="112">
        <v>42751</v>
      </c>
    </row>
    <row r="252" spans="1:4">
      <c r="A252" s="110" t="s">
        <v>1802</v>
      </c>
      <c r="B252" s="110" t="s">
        <v>1147</v>
      </c>
      <c r="C252" s="110">
        <v>1.9950000000000001</v>
      </c>
      <c r="D252" s="112">
        <v>42751</v>
      </c>
    </row>
    <row r="253" spans="1:4">
      <c r="A253" s="110" t="s">
        <v>1801</v>
      </c>
      <c r="B253" s="110" t="s">
        <v>1147</v>
      </c>
      <c r="C253" s="110">
        <v>2.0219999999999998</v>
      </c>
      <c r="D253" s="112">
        <v>42751</v>
      </c>
    </row>
    <row r="254" spans="1:4">
      <c r="A254" s="110" t="s">
        <v>1800</v>
      </c>
      <c r="B254" s="110" t="s">
        <v>1147</v>
      </c>
      <c r="C254" s="110">
        <v>2.0139999999999998</v>
      </c>
      <c r="D254" s="112">
        <v>42751</v>
      </c>
    </row>
    <row r="255" spans="1:4">
      <c r="A255" s="110" t="s">
        <v>1799</v>
      </c>
      <c r="B255" s="110" t="s">
        <v>1147</v>
      </c>
      <c r="C255" s="110">
        <v>2.0539999999999998</v>
      </c>
      <c r="D255" s="112">
        <v>42751</v>
      </c>
    </row>
    <row r="256" spans="1:4">
      <c r="A256" s="110" t="s">
        <v>1798</v>
      </c>
      <c r="B256" s="110" t="s">
        <v>1147</v>
      </c>
      <c r="C256" s="110">
        <v>2.0190000000000001</v>
      </c>
      <c r="D256" s="112">
        <v>42751</v>
      </c>
    </row>
    <row r="257" spans="1:4">
      <c r="A257" s="110" t="s">
        <v>1797</v>
      </c>
      <c r="B257" s="110" t="s">
        <v>1147</v>
      </c>
      <c r="C257" s="110">
        <v>2.0169999999999999</v>
      </c>
      <c r="D257" s="112">
        <v>42751</v>
      </c>
    </row>
    <row r="258" spans="1:4">
      <c r="A258" s="110" t="s">
        <v>1796</v>
      </c>
      <c r="B258" s="110" t="s">
        <v>1147</v>
      </c>
      <c r="C258" s="110">
        <v>1.917</v>
      </c>
      <c r="D258" s="112">
        <v>42751</v>
      </c>
    </row>
    <row r="259" spans="1:4">
      <c r="A259" s="110" t="s">
        <v>1795</v>
      </c>
      <c r="B259" s="110" t="s">
        <v>1147</v>
      </c>
      <c r="C259" s="110">
        <v>2.0310000000000001</v>
      </c>
      <c r="D259" s="112">
        <v>42751</v>
      </c>
    </row>
    <row r="260" spans="1:4">
      <c r="A260" s="110" t="s">
        <v>1794</v>
      </c>
      <c r="B260" s="110" t="s">
        <v>1147</v>
      </c>
      <c r="C260" s="110">
        <v>2.11</v>
      </c>
      <c r="D260" s="112">
        <v>42751</v>
      </c>
    </row>
    <row r="261" spans="1:4">
      <c r="A261" s="110" t="s">
        <v>1793</v>
      </c>
      <c r="B261" s="110" t="s">
        <v>1147</v>
      </c>
      <c r="C261" s="110">
        <v>1.9319999999999999</v>
      </c>
      <c r="D261" s="112">
        <v>42751</v>
      </c>
    </row>
    <row r="262" spans="1:4">
      <c r="A262" s="110" t="s">
        <v>1792</v>
      </c>
      <c r="B262" s="110" t="s">
        <v>1147</v>
      </c>
      <c r="C262" s="110">
        <v>2.1280000000000001</v>
      </c>
      <c r="D262" s="112">
        <v>42751</v>
      </c>
    </row>
    <row r="263" spans="1:4">
      <c r="A263" s="110" t="s">
        <v>1791</v>
      </c>
      <c r="B263" s="110" t="s">
        <v>1147</v>
      </c>
      <c r="C263" s="110">
        <v>1.913</v>
      </c>
      <c r="D263" s="112">
        <v>42751</v>
      </c>
    </row>
    <row r="264" spans="1:4">
      <c r="A264" s="110" t="s">
        <v>1790</v>
      </c>
      <c r="B264" s="110" t="s">
        <v>1147</v>
      </c>
      <c r="C264" s="110">
        <v>2.1560000000000001</v>
      </c>
      <c r="D264" s="112">
        <v>42751</v>
      </c>
    </row>
    <row r="265" spans="1:4">
      <c r="A265" s="110" t="s">
        <v>1789</v>
      </c>
      <c r="B265" s="110" t="s">
        <v>1147</v>
      </c>
      <c r="C265" s="110">
        <v>1.9850000000000001</v>
      </c>
      <c r="D265" s="112">
        <v>42751</v>
      </c>
    </row>
    <row r="266" spans="1:4">
      <c r="A266" s="110" t="s">
        <v>1788</v>
      </c>
      <c r="B266" s="110" t="s">
        <v>1147</v>
      </c>
      <c r="C266" s="110">
        <v>2.012</v>
      </c>
      <c r="D266" s="112">
        <v>42751</v>
      </c>
    </row>
    <row r="267" spans="1:4">
      <c r="A267" s="110" t="s">
        <v>1787</v>
      </c>
      <c r="B267" s="110" t="s">
        <v>1147</v>
      </c>
      <c r="C267" s="110">
        <v>2.0960000000000001</v>
      </c>
      <c r="D267" s="112">
        <v>42751</v>
      </c>
    </row>
    <row r="268" spans="1:4">
      <c r="A268" s="110" t="s">
        <v>1786</v>
      </c>
      <c r="B268" s="110" t="s">
        <v>1147</v>
      </c>
      <c r="C268" s="110">
        <v>2.1070000000000002</v>
      </c>
      <c r="D268" s="112">
        <v>42751</v>
      </c>
    </row>
    <row r="269" spans="1:4">
      <c r="A269" s="110" t="s">
        <v>1785</v>
      </c>
      <c r="B269" s="110" t="s">
        <v>1147</v>
      </c>
      <c r="C269" s="110">
        <v>1.9790000000000001</v>
      </c>
      <c r="D269" s="112">
        <v>42751</v>
      </c>
    </row>
    <row r="270" spans="1:4">
      <c r="A270" s="110" t="s">
        <v>1784</v>
      </c>
      <c r="B270" s="110" t="s">
        <v>1147</v>
      </c>
      <c r="C270" s="110">
        <v>1.9570000000000001</v>
      </c>
      <c r="D270" s="112">
        <v>42751</v>
      </c>
    </row>
    <row r="271" spans="1:4">
      <c r="A271" s="110" t="s">
        <v>1783</v>
      </c>
      <c r="B271" s="110" t="s">
        <v>1147</v>
      </c>
      <c r="C271" s="110">
        <v>2.069</v>
      </c>
      <c r="D271" s="112">
        <v>42751</v>
      </c>
    </row>
    <row r="272" spans="1:4">
      <c r="A272" s="110" t="s">
        <v>1782</v>
      </c>
      <c r="B272" s="110" t="s">
        <v>1147</v>
      </c>
      <c r="C272" s="110">
        <v>2.1389999999999998</v>
      </c>
      <c r="D272" s="112">
        <v>42751</v>
      </c>
    </row>
    <row r="273" spans="1:4">
      <c r="A273" s="110" t="s">
        <v>1781</v>
      </c>
      <c r="B273" s="110" t="s">
        <v>1147</v>
      </c>
      <c r="C273" s="110">
        <v>2.0419999999999998</v>
      </c>
      <c r="D273" s="112">
        <v>42751</v>
      </c>
    </row>
    <row r="274" spans="1:4">
      <c r="A274" s="110" t="s">
        <v>1780</v>
      </c>
      <c r="B274" s="110" t="s">
        <v>1147</v>
      </c>
      <c r="C274" s="110">
        <v>2.0139999999999998</v>
      </c>
      <c r="D274" s="112">
        <v>42751</v>
      </c>
    </row>
    <row r="275" spans="1:4">
      <c r="A275" s="110" t="s">
        <v>1779</v>
      </c>
      <c r="B275" s="110" t="s">
        <v>1147</v>
      </c>
      <c r="C275" s="110">
        <v>2.0950000000000002</v>
      </c>
      <c r="D275" s="112">
        <v>42751</v>
      </c>
    </row>
    <row r="276" spans="1:4">
      <c r="A276" s="110" t="s">
        <v>1778</v>
      </c>
      <c r="B276" s="110" t="s">
        <v>1147</v>
      </c>
      <c r="C276" s="110">
        <v>2.0649999999999999</v>
      </c>
      <c r="D276" s="112">
        <v>42751</v>
      </c>
    </row>
    <row r="277" spans="1:4">
      <c r="A277" s="110" t="s">
        <v>1777</v>
      </c>
      <c r="B277" s="110" t="s">
        <v>1147</v>
      </c>
      <c r="C277" s="110">
        <v>2.073</v>
      </c>
      <c r="D277" s="112">
        <v>42751</v>
      </c>
    </row>
    <row r="278" spans="1:4">
      <c r="A278" s="110" t="s">
        <v>1776</v>
      </c>
      <c r="B278" s="110" t="s">
        <v>1147</v>
      </c>
      <c r="C278" s="110">
        <v>2.12</v>
      </c>
      <c r="D278" s="112">
        <v>42751</v>
      </c>
    </row>
    <row r="279" spans="1:4">
      <c r="A279" s="110" t="s">
        <v>1775</v>
      </c>
      <c r="B279" s="110" t="s">
        <v>1147</v>
      </c>
      <c r="C279" s="110">
        <v>2.097</v>
      </c>
      <c r="D279" s="112">
        <v>42751</v>
      </c>
    </row>
    <row r="280" spans="1:4">
      <c r="A280" s="110" t="s">
        <v>1774</v>
      </c>
      <c r="B280" s="110" t="s">
        <v>1147</v>
      </c>
      <c r="C280" s="110">
        <v>1.966</v>
      </c>
      <c r="D280" s="112">
        <v>42751</v>
      </c>
    </row>
    <row r="281" spans="1:4">
      <c r="A281" s="110" t="s">
        <v>1773</v>
      </c>
      <c r="B281" s="110" t="s">
        <v>1147</v>
      </c>
      <c r="C281" s="110">
        <v>1.93</v>
      </c>
      <c r="D281" s="112">
        <v>42751</v>
      </c>
    </row>
    <row r="282" spans="1:4">
      <c r="A282" s="110" t="s">
        <v>1772</v>
      </c>
      <c r="B282" s="110" t="s">
        <v>1147</v>
      </c>
      <c r="C282" s="110">
        <v>2.0049999999999999</v>
      </c>
      <c r="D282" s="112">
        <v>42751</v>
      </c>
    </row>
    <row r="283" spans="1:4">
      <c r="A283" s="110" t="s">
        <v>1771</v>
      </c>
      <c r="B283" s="110" t="s">
        <v>1147</v>
      </c>
      <c r="C283" s="110">
        <v>2.0369999999999999</v>
      </c>
      <c r="D283" s="112">
        <v>42751</v>
      </c>
    </row>
    <row r="284" spans="1:4">
      <c r="A284" s="110" t="s">
        <v>1770</v>
      </c>
      <c r="B284" s="110" t="s">
        <v>1147</v>
      </c>
      <c r="C284" s="110">
        <v>1.9450000000000001</v>
      </c>
      <c r="D284" s="112">
        <v>42751</v>
      </c>
    </row>
    <row r="285" spans="1:4">
      <c r="A285" s="110" t="s">
        <v>1769</v>
      </c>
      <c r="B285" s="110" t="s">
        <v>1147</v>
      </c>
      <c r="C285" s="110">
        <v>2.0419999999999998</v>
      </c>
      <c r="D285" s="112">
        <v>42751</v>
      </c>
    </row>
    <row r="286" spans="1:4">
      <c r="A286" s="110" t="s">
        <v>1768</v>
      </c>
      <c r="B286" s="110" t="s">
        <v>1147</v>
      </c>
      <c r="C286" s="110">
        <v>1.9730000000000001</v>
      </c>
      <c r="D286" s="112">
        <v>42751</v>
      </c>
    </row>
    <row r="287" spans="1:4">
      <c r="A287" s="110" t="s">
        <v>1767</v>
      </c>
      <c r="B287" s="110" t="s">
        <v>1147</v>
      </c>
      <c r="C287" s="110">
        <v>1.8660000000000001</v>
      </c>
      <c r="D287" s="112">
        <v>42751</v>
      </c>
    </row>
    <row r="288" spans="1:4">
      <c r="A288" s="110" t="s">
        <v>1766</v>
      </c>
      <c r="B288" s="110" t="s">
        <v>1147</v>
      </c>
      <c r="C288" s="110">
        <v>2.0760000000000001</v>
      </c>
      <c r="D288" s="112">
        <v>42751</v>
      </c>
    </row>
    <row r="289" spans="1:4">
      <c r="A289" s="110" t="s">
        <v>1765</v>
      </c>
      <c r="B289" s="110" t="s">
        <v>1147</v>
      </c>
      <c r="C289" s="110">
        <v>2.1240000000000001</v>
      </c>
      <c r="D289" s="112">
        <v>42751</v>
      </c>
    </row>
    <row r="290" spans="1:4">
      <c r="A290" s="110" t="s">
        <v>1764</v>
      </c>
      <c r="B290" s="110" t="s">
        <v>1147</v>
      </c>
      <c r="C290" s="110">
        <v>2.0710000000000002</v>
      </c>
      <c r="D290" s="112">
        <v>42751</v>
      </c>
    </row>
    <row r="291" spans="1:4">
      <c r="A291" s="110" t="s">
        <v>1763</v>
      </c>
      <c r="B291" s="110" t="s">
        <v>1147</v>
      </c>
      <c r="C291" s="110">
        <v>1.9970000000000001</v>
      </c>
      <c r="D291" s="112">
        <v>42751</v>
      </c>
    </row>
    <row r="292" spans="1:4">
      <c r="A292" s="110" t="s">
        <v>1762</v>
      </c>
      <c r="B292" s="110" t="s">
        <v>1147</v>
      </c>
      <c r="C292" s="110">
        <v>1.9830000000000001</v>
      </c>
      <c r="D292" s="112">
        <v>42751</v>
      </c>
    </row>
    <row r="293" spans="1:4">
      <c r="A293" s="110" t="s">
        <v>1761</v>
      </c>
      <c r="B293" s="110" t="s">
        <v>1147</v>
      </c>
      <c r="C293" s="110">
        <v>2.093</v>
      </c>
      <c r="D293" s="112">
        <v>42751</v>
      </c>
    </row>
    <row r="294" spans="1:4">
      <c r="A294" s="110" t="s">
        <v>1760</v>
      </c>
      <c r="B294" s="110" t="s">
        <v>1147</v>
      </c>
      <c r="C294" s="110">
        <v>2.0539999999999998</v>
      </c>
      <c r="D294" s="112">
        <v>42751</v>
      </c>
    </row>
    <row r="295" spans="1:4">
      <c r="A295" s="110" t="s">
        <v>1759</v>
      </c>
      <c r="B295" s="110" t="s">
        <v>1147</v>
      </c>
      <c r="C295" s="110">
        <v>2.0880000000000001</v>
      </c>
      <c r="D295" s="112">
        <v>42751</v>
      </c>
    </row>
    <row r="296" spans="1:4">
      <c r="A296" s="110" t="s">
        <v>1758</v>
      </c>
      <c r="B296" s="110" t="s">
        <v>1147</v>
      </c>
      <c r="C296" s="110">
        <v>2.0289999999999999</v>
      </c>
      <c r="D296" s="112">
        <v>42751</v>
      </c>
    </row>
    <row r="297" spans="1:4">
      <c r="A297" s="110" t="s">
        <v>1757</v>
      </c>
      <c r="B297" s="110" t="s">
        <v>1147</v>
      </c>
      <c r="C297" s="110">
        <v>2.0699999999999998</v>
      </c>
      <c r="D297" s="112">
        <v>42751</v>
      </c>
    </row>
    <row r="298" spans="1:4">
      <c r="A298" s="110" t="s">
        <v>1756</v>
      </c>
      <c r="B298" s="110" t="s">
        <v>1147</v>
      </c>
      <c r="C298" s="110">
        <v>1.994</v>
      </c>
      <c r="D298" s="112">
        <v>42751</v>
      </c>
    </row>
    <row r="299" spans="1:4">
      <c r="A299" s="110" t="s">
        <v>1755</v>
      </c>
      <c r="B299" s="110" t="s">
        <v>1147</v>
      </c>
      <c r="C299" s="110">
        <v>2.0379999999999998</v>
      </c>
      <c r="D299" s="112">
        <v>42751</v>
      </c>
    </row>
    <row r="300" spans="1:4">
      <c r="A300" s="110" t="s">
        <v>1754</v>
      </c>
      <c r="B300" s="110" t="s">
        <v>1147</v>
      </c>
      <c r="C300" s="110">
        <v>2.0539999999999998</v>
      </c>
      <c r="D300" s="112">
        <v>42751</v>
      </c>
    </row>
    <row r="301" spans="1:4">
      <c r="A301" s="110" t="s">
        <v>1753</v>
      </c>
      <c r="B301" s="110" t="s">
        <v>1147</v>
      </c>
      <c r="C301" s="110">
        <v>1.9419999999999999</v>
      </c>
      <c r="D301" s="112">
        <v>42751</v>
      </c>
    </row>
    <row r="302" spans="1:4">
      <c r="A302" s="110" t="s">
        <v>1752</v>
      </c>
      <c r="B302" s="110" t="s">
        <v>1147</v>
      </c>
      <c r="C302" s="110">
        <v>2.0550000000000002</v>
      </c>
      <c r="D302" s="112">
        <v>42751</v>
      </c>
    </row>
    <row r="303" spans="1:4">
      <c r="A303" s="110" t="s">
        <v>1751</v>
      </c>
      <c r="B303" s="110" t="s">
        <v>1147</v>
      </c>
      <c r="C303" s="110">
        <v>2.0110000000000001</v>
      </c>
      <c r="D303" s="112">
        <v>42751</v>
      </c>
    </row>
    <row r="304" spans="1:4">
      <c r="A304" s="110" t="s">
        <v>1750</v>
      </c>
      <c r="B304" s="110" t="s">
        <v>1147</v>
      </c>
      <c r="C304" s="110">
        <v>2.052</v>
      </c>
      <c r="D304" s="112">
        <v>42751</v>
      </c>
    </row>
    <row r="305" spans="1:4">
      <c r="A305" s="110" t="s">
        <v>1749</v>
      </c>
      <c r="B305" s="110" t="s">
        <v>1147</v>
      </c>
      <c r="C305" s="110">
        <v>1.9379999999999999</v>
      </c>
      <c r="D305" s="112">
        <v>42751</v>
      </c>
    </row>
    <row r="306" spans="1:4">
      <c r="A306" s="110" t="s">
        <v>1748</v>
      </c>
      <c r="B306" s="110" t="s">
        <v>1147</v>
      </c>
      <c r="C306" s="110">
        <v>0.93100000000000005</v>
      </c>
      <c r="D306" s="112">
        <v>42751</v>
      </c>
    </row>
    <row r="307" spans="1:4">
      <c r="A307" s="110" t="s">
        <v>1747</v>
      </c>
      <c r="B307" s="110" t="s">
        <v>1147</v>
      </c>
      <c r="C307" s="110">
        <v>1.9850000000000001</v>
      </c>
      <c r="D307" s="112">
        <v>42751</v>
      </c>
    </row>
    <row r="308" spans="1:4">
      <c r="A308" s="110" t="s">
        <v>1746</v>
      </c>
      <c r="B308" s="110" t="s">
        <v>1147</v>
      </c>
      <c r="C308" s="110">
        <v>1.9490000000000001</v>
      </c>
      <c r="D308" s="112">
        <v>42751</v>
      </c>
    </row>
    <row r="309" spans="1:4">
      <c r="A309" s="110" t="s">
        <v>1745</v>
      </c>
      <c r="B309" s="110" t="s">
        <v>1147</v>
      </c>
      <c r="C309" s="110">
        <v>2.0960000000000001</v>
      </c>
      <c r="D309" s="112">
        <v>42751</v>
      </c>
    </row>
    <row r="310" spans="1:4">
      <c r="A310" s="110" t="s">
        <v>1744</v>
      </c>
      <c r="B310" s="110" t="s">
        <v>1147</v>
      </c>
      <c r="C310" s="110">
        <v>2.048</v>
      </c>
      <c r="D310" s="112">
        <v>42751</v>
      </c>
    </row>
    <row r="311" spans="1:4">
      <c r="A311" s="110" t="s">
        <v>1743</v>
      </c>
      <c r="B311" s="110" t="s">
        <v>1147</v>
      </c>
      <c r="C311" s="110">
        <v>1.9810000000000001</v>
      </c>
      <c r="D311" s="112">
        <v>42751</v>
      </c>
    </row>
    <row r="312" spans="1:4">
      <c r="A312" s="110" t="s">
        <v>1742</v>
      </c>
      <c r="B312" s="110" t="s">
        <v>1147</v>
      </c>
      <c r="C312" s="110">
        <v>1.982</v>
      </c>
      <c r="D312" s="112">
        <v>42751</v>
      </c>
    </row>
    <row r="313" spans="1:4">
      <c r="A313" s="110" t="s">
        <v>1741</v>
      </c>
      <c r="B313" s="110" t="s">
        <v>1147</v>
      </c>
      <c r="C313" s="110">
        <v>2.0579999999999998</v>
      </c>
      <c r="D313" s="112">
        <v>42751</v>
      </c>
    </row>
    <row r="314" spans="1:4">
      <c r="A314" s="110" t="s">
        <v>1740</v>
      </c>
      <c r="B314" s="110" t="s">
        <v>1147</v>
      </c>
      <c r="C314" s="110">
        <v>2.0459999999999998</v>
      </c>
      <c r="D314" s="112">
        <v>42751</v>
      </c>
    </row>
    <row r="315" spans="1:4">
      <c r="A315" s="110" t="s">
        <v>1739</v>
      </c>
      <c r="B315" s="110" t="s">
        <v>1147</v>
      </c>
      <c r="C315" s="110">
        <v>1.98</v>
      </c>
      <c r="D315" s="112">
        <v>42751</v>
      </c>
    </row>
    <row r="316" spans="1:4">
      <c r="A316" s="110" t="s">
        <v>1738</v>
      </c>
      <c r="B316" s="110" t="s">
        <v>1147</v>
      </c>
      <c r="C316" s="110">
        <v>2.0179999999999998</v>
      </c>
      <c r="D316" s="112">
        <v>42751</v>
      </c>
    </row>
    <row r="317" spans="1:4">
      <c r="A317" s="110" t="s">
        <v>1737</v>
      </c>
      <c r="B317" s="110" t="s">
        <v>1147</v>
      </c>
      <c r="C317" s="110">
        <v>1.923</v>
      </c>
      <c r="D317" s="112">
        <v>42751</v>
      </c>
    </row>
    <row r="318" spans="1:4">
      <c r="A318" s="110" t="s">
        <v>1736</v>
      </c>
      <c r="B318" s="110" t="s">
        <v>1147</v>
      </c>
      <c r="C318" s="110">
        <v>2.0430000000000001</v>
      </c>
      <c r="D318" s="112">
        <v>42751</v>
      </c>
    </row>
    <row r="319" spans="1:4">
      <c r="A319" s="110" t="s">
        <v>1735</v>
      </c>
      <c r="B319" s="110" t="s">
        <v>1147</v>
      </c>
      <c r="C319" s="110">
        <v>2.0960000000000001</v>
      </c>
      <c r="D319" s="112">
        <v>42751</v>
      </c>
    </row>
    <row r="320" spans="1:4">
      <c r="A320" s="110" t="s">
        <v>1734</v>
      </c>
      <c r="B320" s="110" t="s">
        <v>1147</v>
      </c>
      <c r="C320" s="110">
        <v>2.0579999999999998</v>
      </c>
      <c r="D320" s="112">
        <v>42751</v>
      </c>
    </row>
    <row r="321" spans="1:4">
      <c r="A321" s="110" t="s">
        <v>1733</v>
      </c>
      <c r="B321" s="110" t="s">
        <v>1147</v>
      </c>
      <c r="C321" s="110">
        <v>2.073</v>
      </c>
      <c r="D321" s="112">
        <v>42751</v>
      </c>
    </row>
    <row r="322" spans="1:4">
      <c r="A322" s="110" t="s">
        <v>1732</v>
      </c>
      <c r="B322" s="110" t="s">
        <v>1147</v>
      </c>
      <c r="C322" s="110">
        <v>1.929</v>
      </c>
      <c r="D322" s="112">
        <v>42751</v>
      </c>
    </row>
    <row r="323" spans="1:4">
      <c r="A323" s="110" t="s">
        <v>1731</v>
      </c>
      <c r="B323" s="110" t="s">
        <v>1147</v>
      </c>
      <c r="C323" s="110">
        <v>2.012</v>
      </c>
      <c r="D323" s="112">
        <v>42751</v>
      </c>
    </row>
    <row r="324" spans="1:4">
      <c r="A324" s="110" t="s">
        <v>1730</v>
      </c>
      <c r="B324" s="110" t="s">
        <v>1147</v>
      </c>
      <c r="C324" s="110">
        <v>2.044</v>
      </c>
      <c r="D324" s="112">
        <v>42751</v>
      </c>
    </row>
    <row r="325" spans="1:4">
      <c r="A325" s="110" t="s">
        <v>1729</v>
      </c>
      <c r="B325" s="110" t="s">
        <v>1147</v>
      </c>
      <c r="C325" s="110">
        <v>1.9179999999999999</v>
      </c>
      <c r="D325" s="112">
        <v>42751</v>
      </c>
    </row>
    <row r="326" spans="1:4">
      <c r="A326" s="110" t="s">
        <v>1728</v>
      </c>
      <c r="B326" s="110" t="s">
        <v>1147</v>
      </c>
      <c r="C326" s="110">
        <v>2.0169999999999999</v>
      </c>
      <c r="D326" s="112">
        <v>42751</v>
      </c>
    </row>
    <row r="327" spans="1:4">
      <c r="A327" s="110" t="s">
        <v>1727</v>
      </c>
      <c r="B327" s="110" t="s">
        <v>1147</v>
      </c>
      <c r="C327" s="110">
        <v>1.97</v>
      </c>
      <c r="D327" s="112">
        <v>42751</v>
      </c>
    </row>
    <row r="328" spans="1:4">
      <c r="A328" s="110" t="s">
        <v>1726</v>
      </c>
      <c r="B328" s="110" t="s">
        <v>1147</v>
      </c>
      <c r="C328" s="110">
        <v>2.0430000000000001</v>
      </c>
      <c r="D328" s="112">
        <v>42751</v>
      </c>
    </row>
    <row r="329" spans="1:4">
      <c r="A329" s="110" t="s">
        <v>1725</v>
      </c>
      <c r="B329" s="110" t="s">
        <v>1147</v>
      </c>
      <c r="C329" s="110">
        <v>1.8959999999999999</v>
      </c>
      <c r="D329" s="112">
        <v>42751</v>
      </c>
    </row>
    <row r="330" spans="1:4">
      <c r="A330" s="110" t="s">
        <v>1724</v>
      </c>
      <c r="B330" s="110" t="s">
        <v>1147</v>
      </c>
      <c r="C330" s="110">
        <v>2.04</v>
      </c>
      <c r="D330" s="112">
        <v>42751</v>
      </c>
    </row>
    <row r="331" spans="1:4">
      <c r="A331" s="110" t="s">
        <v>1723</v>
      </c>
      <c r="B331" s="110" t="s">
        <v>1147</v>
      </c>
      <c r="C331" s="110">
        <v>2.105</v>
      </c>
      <c r="D331" s="112">
        <v>42751</v>
      </c>
    </row>
    <row r="332" spans="1:4">
      <c r="A332" s="110" t="s">
        <v>1722</v>
      </c>
      <c r="B332" s="110" t="s">
        <v>1147</v>
      </c>
      <c r="C332" s="110">
        <v>2.1309999999999998</v>
      </c>
      <c r="D332" s="112">
        <v>42751</v>
      </c>
    </row>
    <row r="333" spans="1:4">
      <c r="A333" s="110" t="s">
        <v>1721</v>
      </c>
      <c r="B333" s="110" t="s">
        <v>1147</v>
      </c>
      <c r="C333" s="110">
        <v>1.9550000000000001</v>
      </c>
      <c r="D333" s="112">
        <v>42751</v>
      </c>
    </row>
    <row r="334" spans="1:4">
      <c r="A334" s="110" t="s">
        <v>1720</v>
      </c>
      <c r="B334" s="110" t="s">
        <v>1147</v>
      </c>
      <c r="C334" s="110">
        <v>2.1379999999999999</v>
      </c>
      <c r="D334" s="112">
        <v>42751</v>
      </c>
    </row>
    <row r="335" spans="1:4">
      <c r="A335" s="110" t="s">
        <v>1719</v>
      </c>
      <c r="B335" s="110" t="s">
        <v>1147</v>
      </c>
      <c r="C335" s="110">
        <v>2.0550000000000002</v>
      </c>
      <c r="D335" s="112">
        <v>42751</v>
      </c>
    </row>
    <row r="336" spans="1:4">
      <c r="A336" s="110" t="s">
        <v>1718</v>
      </c>
      <c r="B336" s="110" t="s">
        <v>1147</v>
      </c>
      <c r="C336" s="110">
        <v>2.121</v>
      </c>
      <c r="D336" s="112">
        <v>42751</v>
      </c>
    </row>
    <row r="337" spans="1:4">
      <c r="A337" s="110" t="s">
        <v>1717</v>
      </c>
      <c r="B337" s="110" t="s">
        <v>1147</v>
      </c>
      <c r="C337" s="110">
        <v>2.0990000000000002</v>
      </c>
      <c r="D337" s="112">
        <v>42751</v>
      </c>
    </row>
    <row r="338" spans="1:4">
      <c r="A338" s="110" t="s">
        <v>1716</v>
      </c>
      <c r="B338" s="110" t="s">
        <v>1147</v>
      </c>
      <c r="C338" s="110">
        <v>2.0710000000000002</v>
      </c>
      <c r="D338" s="112">
        <v>42751</v>
      </c>
    </row>
    <row r="339" spans="1:4">
      <c r="A339" s="110" t="s">
        <v>1715</v>
      </c>
      <c r="B339" s="110" t="s">
        <v>1147</v>
      </c>
      <c r="C339" s="110">
        <v>1.956</v>
      </c>
      <c r="D339" s="112">
        <v>42751</v>
      </c>
    </row>
    <row r="340" spans="1:4">
      <c r="A340" s="110" t="s">
        <v>1714</v>
      </c>
      <c r="B340" s="110" t="s">
        <v>1147</v>
      </c>
      <c r="C340" s="110">
        <v>1.9950000000000001</v>
      </c>
      <c r="D340" s="112">
        <v>42751</v>
      </c>
    </row>
    <row r="341" spans="1:4">
      <c r="A341" s="110" t="s">
        <v>1713</v>
      </c>
      <c r="B341" s="110" t="s">
        <v>1147</v>
      </c>
      <c r="C341" s="110">
        <v>1.8680000000000001</v>
      </c>
      <c r="D341" s="112">
        <v>42751</v>
      </c>
    </row>
    <row r="342" spans="1:4">
      <c r="A342" s="110" t="s">
        <v>1712</v>
      </c>
      <c r="B342" s="110" t="s">
        <v>1147</v>
      </c>
      <c r="C342" s="110">
        <v>1.946</v>
      </c>
      <c r="D342" s="112">
        <v>42751</v>
      </c>
    </row>
    <row r="343" spans="1:4">
      <c r="A343" s="110" t="s">
        <v>1711</v>
      </c>
      <c r="B343" s="110" t="s">
        <v>1147</v>
      </c>
      <c r="C343" s="110">
        <v>2.0219999999999998</v>
      </c>
      <c r="D343" s="112">
        <v>42751</v>
      </c>
    </row>
    <row r="344" spans="1:4">
      <c r="A344" s="110" t="s">
        <v>1710</v>
      </c>
      <c r="B344" s="110" t="s">
        <v>1147</v>
      </c>
      <c r="C344" s="110">
        <v>2.0150000000000001</v>
      </c>
      <c r="D344" s="112">
        <v>42751</v>
      </c>
    </row>
    <row r="345" spans="1:4">
      <c r="A345" s="110" t="s">
        <v>1709</v>
      </c>
      <c r="B345" s="110" t="s">
        <v>1147</v>
      </c>
      <c r="C345" s="110">
        <v>1.954</v>
      </c>
      <c r="D345" s="112">
        <v>42751</v>
      </c>
    </row>
    <row r="346" spans="1:4">
      <c r="A346" s="110" t="s">
        <v>1708</v>
      </c>
      <c r="B346" s="110" t="s">
        <v>1147</v>
      </c>
      <c r="C346" s="110">
        <v>1.9039999999999999</v>
      </c>
      <c r="D346" s="112">
        <v>42751</v>
      </c>
    </row>
    <row r="347" spans="1:4">
      <c r="A347" s="110" t="s">
        <v>1707</v>
      </c>
      <c r="B347" s="110" t="s">
        <v>1147</v>
      </c>
      <c r="C347" s="110">
        <v>1.8340000000000001</v>
      </c>
      <c r="D347" s="112">
        <v>42751</v>
      </c>
    </row>
    <row r="348" spans="1:4">
      <c r="A348" s="110" t="s">
        <v>1706</v>
      </c>
      <c r="B348" s="110" t="s">
        <v>1147</v>
      </c>
      <c r="C348" s="110">
        <v>1.93</v>
      </c>
      <c r="D348" s="112">
        <v>42751</v>
      </c>
    </row>
    <row r="349" spans="1:4">
      <c r="A349" s="110" t="s">
        <v>1705</v>
      </c>
      <c r="B349" s="110" t="s">
        <v>1147</v>
      </c>
      <c r="C349" s="110">
        <v>2.012</v>
      </c>
      <c r="D349" s="112">
        <v>42751</v>
      </c>
    </row>
    <row r="350" spans="1:4">
      <c r="A350" s="110" t="s">
        <v>1704</v>
      </c>
      <c r="B350" s="110" t="s">
        <v>1147</v>
      </c>
      <c r="C350" s="110">
        <v>2.012</v>
      </c>
      <c r="D350" s="112">
        <v>42751</v>
      </c>
    </row>
    <row r="351" spans="1:4">
      <c r="A351" s="110" t="s">
        <v>1703</v>
      </c>
      <c r="B351" s="110" t="s">
        <v>1147</v>
      </c>
      <c r="C351" s="110">
        <v>1.8919999999999999</v>
      </c>
      <c r="D351" s="112">
        <v>42751</v>
      </c>
    </row>
    <row r="352" spans="1:4">
      <c r="A352" s="110" t="s">
        <v>1702</v>
      </c>
      <c r="B352" s="110" t="s">
        <v>1147</v>
      </c>
      <c r="C352" s="110">
        <v>2.0139999999999998</v>
      </c>
      <c r="D352" s="112">
        <v>42751</v>
      </c>
    </row>
    <row r="353" spans="1:4">
      <c r="A353" s="110" t="s">
        <v>1701</v>
      </c>
      <c r="B353" s="110" t="s">
        <v>1147</v>
      </c>
      <c r="C353" s="110">
        <v>1.9450000000000001</v>
      </c>
      <c r="D353" s="112">
        <v>42751</v>
      </c>
    </row>
    <row r="354" spans="1:4">
      <c r="A354" s="110" t="s">
        <v>1700</v>
      </c>
      <c r="B354" s="110" t="s">
        <v>1147</v>
      </c>
      <c r="C354" s="110">
        <v>2.0640000000000001</v>
      </c>
      <c r="D354" s="112">
        <v>42751</v>
      </c>
    </row>
    <row r="355" spans="1:4">
      <c r="A355" s="110" t="s">
        <v>1699</v>
      </c>
      <c r="B355" s="110" t="s">
        <v>1147</v>
      </c>
      <c r="C355" s="110">
        <v>1.909</v>
      </c>
      <c r="D355" s="112">
        <v>42751</v>
      </c>
    </row>
    <row r="356" spans="1:4">
      <c r="A356" s="110" t="s">
        <v>1698</v>
      </c>
      <c r="B356" s="110" t="s">
        <v>1147</v>
      </c>
      <c r="C356" s="110">
        <v>1.9490000000000001</v>
      </c>
      <c r="D356" s="112">
        <v>42751</v>
      </c>
    </row>
    <row r="357" spans="1:4">
      <c r="A357" s="110" t="s">
        <v>1697</v>
      </c>
      <c r="B357" s="110" t="s">
        <v>1147</v>
      </c>
      <c r="C357" s="110">
        <v>1.988</v>
      </c>
      <c r="D357" s="112">
        <v>42751</v>
      </c>
    </row>
    <row r="358" spans="1:4">
      <c r="A358" s="110" t="s">
        <v>1696</v>
      </c>
      <c r="B358" s="110" t="s">
        <v>1147</v>
      </c>
      <c r="C358" s="110">
        <v>1.835</v>
      </c>
      <c r="D358" s="112">
        <v>42751</v>
      </c>
    </row>
    <row r="359" spans="1:4">
      <c r="A359" s="110" t="s">
        <v>1695</v>
      </c>
      <c r="B359" s="110" t="s">
        <v>1147</v>
      </c>
      <c r="C359" s="110">
        <v>2.0489999999999999</v>
      </c>
      <c r="D359" s="112">
        <v>42751</v>
      </c>
    </row>
    <row r="360" spans="1:4">
      <c r="A360" s="110" t="s">
        <v>1694</v>
      </c>
      <c r="B360" s="110" t="s">
        <v>1147</v>
      </c>
      <c r="C360" s="110">
        <v>1.9870000000000001</v>
      </c>
      <c r="D360" s="112">
        <v>42751</v>
      </c>
    </row>
    <row r="361" spans="1:4">
      <c r="A361" s="110" t="s">
        <v>1693</v>
      </c>
      <c r="B361" s="110" t="s">
        <v>1147</v>
      </c>
      <c r="C361" s="110">
        <v>1.996</v>
      </c>
      <c r="D361" s="112">
        <v>42751</v>
      </c>
    </row>
    <row r="362" spans="1:4">
      <c r="A362" s="110" t="s">
        <v>1692</v>
      </c>
      <c r="B362" s="110" t="s">
        <v>1147</v>
      </c>
      <c r="C362" s="110">
        <v>2.016</v>
      </c>
      <c r="D362" s="112">
        <v>42751</v>
      </c>
    </row>
    <row r="363" spans="1:4">
      <c r="A363" s="110" t="s">
        <v>1691</v>
      </c>
      <c r="B363" s="110" t="s">
        <v>1147</v>
      </c>
      <c r="C363" s="110">
        <v>1.9790000000000001</v>
      </c>
      <c r="D363" s="112">
        <v>42751</v>
      </c>
    </row>
    <row r="364" spans="1:4">
      <c r="A364" s="110" t="s">
        <v>1690</v>
      </c>
      <c r="B364" s="110" t="s">
        <v>1147</v>
      </c>
      <c r="C364" s="110">
        <v>2.0099999999999998</v>
      </c>
      <c r="D364" s="112">
        <v>42751</v>
      </c>
    </row>
    <row r="365" spans="1:4">
      <c r="A365" s="110" t="s">
        <v>1689</v>
      </c>
      <c r="B365" s="110" t="s">
        <v>1147</v>
      </c>
      <c r="C365" s="110">
        <v>2.0590000000000002</v>
      </c>
      <c r="D365" s="112">
        <v>42751</v>
      </c>
    </row>
    <row r="366" spans="1:4">
      <c r="A366" s="110" t="s">
        <v>1688</v>
      </c>
      <c r="B366" s="110" t="s">
        <v>1147</v>
      </c>
      <c r="C366" s="110">
        <v>2.0659999999999998</v>
      </c>
      <c r="D366" s="112">
        <v>42751</v>
      </c>
    </row>
    <row r="367" spans="1:4">
      <c r="A367" s="110" t="s">
        <v>1687</v>
      </c>
      <c r="B367" s="110" t="s">
        <v>1147</v>
      </c>
      <c r="C367" s="110">
        <v>2.02</v>
      </c>
      <c r="D367" s="112">
        <v>42751</v>
      </c>
    </row>
    <row r="368" spans="1:4">
      <c r="A368" s="110" t="s">
        <v>1686</v>
      </c>
      <c r="B368" s="110" t="s">
        <v>1147</v>
      </c>
      <c r="C368" s="110">
        <v>2.0569999999999999</v>
      </c>
      <c r="D368" s="112">
        <v>42751</v>
      </c>
    </row>
    <row r="369" spans="1:4">
      <c r="A369" s="110" t="s">
        <v>1685</v>
      </c>
      <c r="B369" s="110" t="s">
        <v>1147</v>
      </c>
      <c r="C369" s="110">
        <v>1.954</v>
      </c>
      <c r="D369" s="112">
        <v>42751</v>
      </c>
    </row>
    <row r="370" spans="1:4">
      <c r="A370" s="110" t="s">
        <v>1684</v>
      </c>
      <c r="B370" s="110" t="s">
        <v>1147</v>
      </c>
      <c r="C370" s="110">
        <v>2.1070000000000002</v>
      </c>
      <c r="D370" s="112">
        <v>42751</v>
      </c>
    </row>
    <row r="371" spans="1:4">
      <c r="A371" s="110" t="s">
        <v>1683</v>
      </c>
      <c r="B371" s="110" t="s">
        <v>1147</v>
      </c>
      <c r="C371" s="110">
        <v>2.0990000000000002</v>
      </c>
      <c r="D371" s="112">
        <v>42751</v>
      </c>
    </row>
    <row r="372" spans="1:4">
      <c r="A372" s="110" t="s">
        <v>1682</v>
      </c>
      <c r="B372" s="110" t="s">
        <v>1147</v>
      </c>
      <c r="C372" s="110">
        <v>2.1709999999999998</v>
      </c>
      <c r="D372" s="112">
        <v>42751</v>
      </c>
    </row>
    <row r="373" spans="1:4">
      <c r="A373" s="110" t="s">
        <v>1681</v>
      </c>
      <c r="B373" s="110" t="s">
        <v>1147</v>
      </c>
      <c r="C373" s="110">
        <v>2.1219999999999999</v>
      </c>
      <c r="D373" s="112">
        <v>42751</v>
      </c>
    </row>
    <row r="374" spans="1:4">
      <c r="A374" s="110" t="s">
        <v>1680</v>
      </c>
      <c r="B374" s="110" t="s">
        <v>1147</v>
      </c>
      <c r="C374" s="110">
        <v>2.0619999999999998</v>
      </c>
      <c r="D374" s="112">
        <v>42751</v>
      </c>
    </row>
    <row r="375" spans="1:4">
      <c r="A375" s="110" t="s">
        <v>1679</v>
      </c>
      <c r="B375" s="110" t="s">
        <v>1147</v>
      </c>
      <c r="C375" s="110">
        <v>2.06</v>
      </c>
      <c r="D375" s="112">
        <v>42751</v>
      </c>
    </row>
    <row r="376" spans="1:4">
      <c r="A376" s="110" t="s">
        <v>1678</v>
      </c>
      <c r="B376" s="110" t="s">
        <v>1147</v>
      </c>
      <c r="C376" s="110">
        <v>2.1539999999999999</v>
      </c>
      <c r="D376" s="112">
        <v>42751</v>
      </c>
    </row>
    <row r="377" spans="1:4">
      <c r="A377" s="110" t="s">
        <v>1677</v>
      </c>
      <c r="B377" s="110" t="s">
        <v>1147</v>
      </c>
      <c r="C377" s="110">
        <v>2.1</v>
      </c>
      <c r="D377" s="112">
        <v>42751</v>
      </c>
    </row>
    <row r="378" spans="1:4">
      <c r="A378" s="110" t="s">
        <v>1676</v>
      </c>
      <c r="B378" s="110" t="s">
        <v>1147</v>
      </c>
      <c r="C378" s="110">
        <v>2.024</v>
      </c>
      <c r="D378" s="112">
        <v>42751</v>
      </c>
    </row>
    <row r="379" spans="1:4">
      <c r="A379" s="110" t="s">
        <v>1675</v>
      </c>
      <c r="B379" s="110" t="s">
        <v>1147</v>
      </c>
      <c r="C379" s="110">
        <v>1.9810000000000001</v>
      </c>
      <c r="D379" s="112">
        <v>42751</v>
      </c>
    </row>
    <row r="380" spans="1:4">
      <c r="A380" s="110" t="s">
        <v>1674</v>
      </c>
      <c r="B380" s="110" t="s">
        <v>1147</v>
      </c>
      <c r="C380" s="110">
        <v>2.0329999999999999</v>
      </c>
      <c r="D380" s="112">
        <v>42751</v>
      </c>
    </row>
    <row r="381" spans="1:4">
      <c r="A381" s="110" t="s">
        <v>1673</v>
      </c>
      <c r="B381" s="110" t="s">
        <v>1147</v>
      </c>
      <c r="C381" s="110">
        <v>2.1030000000000002</v>
      </c>
      <c r="D381" s="112">
        <v>42751</v>
      </c>
    </row>
    <row r="382" spans="1:4">
      <c r="A382" s="110" t="s">
        <v>1672</v>
      </c>
      <c r="B382" s="110" t="s">
        <v>1147</v>
      </c>
      <c r="C382" s="110">
        <v>2.0830000000000002</v>
      </c>
      <c r="D382" s="112">
        <v>42751</v>
      </c>
    </row>
    <row r="383" spans="1:4">
      <c r="A383" s="110" t="s">
        <v>1671</v>
      </c>
      <c r="B383" s="110" t="s">
        <v>1147</v>
      </c>
      <c r="C383" s="110">
        <v>2.052</v>
      </c>
      <c r="D383" s="112">
        <v>42751</v>
      </c>
    </row>
    <row r="384" spans="1:4">
      <c r="A384" s="110" t="s">
        <v>1670</v>
      </c>
      <c r="B384" s="110" t="s">
        <v>1147</v>
      </c>
      <c r="C384" s="110">
        <v>2.0619999999999998</v>
      </c>
      <c r="D384" s="112">
        <v>42751</v>
      </c>
    </row>
    <row r="385" spans="1:4">
      <c r="A385" s="110" t="s">
        <v>1669</v>
      </c>
      <c r="B385" s="110" t="s">
        <v>1147</v>
      </c>
      <c r="C385" s="110">
        <v>1.8919999999999999</v>
      </c>
      <c r="D385" s="112">
        <v>42751</v>
      </c>
    </row>
    <row r="386" spans="1:4">
      <c r="A386" s="110" t="s">
        <v>1668</v>
      </c>
      <c r="B386" s="110" t="s">
        <v>1147</v>
      </c>
      <c r="C386" s="110">
        <v>2.0960000000000001</v>
      </c>
      <c r="D386" s="112">
        <v>42751</v>
      </c>
    </row>
    <row r="387" spans="1:4">
      <c r="A387" s="110" t="s">
        <v>1667</v>
      </c>
      <c r="B387" s="110" t="s">
        <v>1147</v>
      </c>
      <c r="C387" s="110">
        <v>1.956</v>
      </c>
      <c r="D387" s="112">
        <v>42751</v>
      </c>
    </row>
    <row r="388" spans="1:4">
      <c r="A388" s="110" t="s">
        <v>1666</v>
      </c>
      <c r="B388" s="110" t="s">
        <v>1147</v>
      </c>
      <c r="C388" s="110">
        <v>2.0499999999999998</v>
      </c>
      <c r="D388" s="112">
        <v>42751</v>
      </c>
    </row>
    <row r="389" spans="1:4">
      <c r="A389" s="110" t="s">
        <v>1665</v>
      </c>
      <c r="B389" s="110" t="s">
        <v>1147</v>
      </c>
      <c r="C389" s="110">
        <v>1.962</v>
      </c>
      <c r="D389" s="112">
        <v>42751</v>
      </c>
    </row>
    <row r="390" spans="1:4">
      <c r="A390" s="110" t="s">
        <v>1664</v>
      </c>
      <c r="B390" s="110" t="s">
        <v>1147</v>
      </c>
      <c r="C390" s="110">
        <v>1.897</v>
      </c>
      <c r="D390" s="112">
        <v>42751</v>
      </c>
    </row>
    <row r="391" spans="1:4">
      <c r="A391" s="110" t="s">
        <v>1663</v>
      </c>
      <c r="B391" s="110" t="s">
        <v>1147</v>
      </c>
      <c r="C391" s="110">
        <v>2.0139999999999998</v>
      </c>
      <c r="D391" s="112">
        <v>42751</v>
      </c>
    </row>
    <row r="392" spans="1:4">
      <c r="A392" s="110" t="s">
        <v>1662</v>
      </c>
      <c r="B392" s="110" t="s">
        <v>1147</v>
      </c>
      <c r="C392" s="110">
        <v>2.024</v>
      </c>
      <c r="D392" s="112">
        <v>42751</v>
      </c>
    </row>
    <row r="393" spans="1:4">
      <c r="A393" s="110" t="s">
        <v>1661</v>
      </c>
      <c r="B393" s="110" t="s">
        <v>1147</v>
      </c>
      <c r="C393" s="110">
        <v>1.9710000000000001</v>
      </c>
      <c r="D393" s="112">
        <v>42751</v>
      </c>
    </row>
    <row r="394" spans="1:4">
      <c r="A394" s="110" t="s">
        <v>1660</v>
      </c>
      <c r="B394" s="110" t="s">
        <v>1147</v>
      </c>
      <c r="C394" s="110">
        <v>2.0630000000000002</v>
      </c>
      <c r="D394" s="112">
        <v>42751</v>
      </c>
    </row>
    <row r="395" spans="1:4">
      <c r="A395" s="110" t="s">
        <v>1659</v>
      </c>
      <c r="B395" s="110" t="s">
        <v>1147</v>
      </c>
      <c r="C395" s="110">
        <v>1.9419999999999999</v>
      </c>
      <c r="D395" s="112">
        <v>42751</v>
      </c>
    </row>
    <row r="396" spans="1:4">
      <c r="A396" s="110" t="s">
        <v>1658</v>
      </c>
      <c r="B396" s="110" t="s">
        <v>1147</v>
      </c>
      <c r="C396" s="110">
        <v>2.008</v>
      </c>
      <c r="D396" s="112">
        <v>42751</v>
      </c>
    </row>
    <row r="397" spans="1:4">
      <c r="A397" s="110" t="s">
        <v>1657</v>
      </c>
      <c r="B397" s="110" t="s">
        <v>1147</v>
      </c>
      <c r="C397" s="110">
        <v>2.0089999999999999</v>
      </c>
      <c r="D397" s="112">
        <v>42751</v>
      </c>
    </row>
    <row r="398" spans="1:4">
      <c r="A398" s="110" t="s">
        <v>1656</v>
      </c>
      <c r="B398" s="110" t="s">
        <v>1147</v>
      </c>
      <c r="C398" s="110">
        <v>2.056</v>
      </c>
      <c r="D398" s="112">
        <v>42751</v>
      </c>
    </row>
    <row r="399" spans="1:4">
      <c r="A399" s="110" t="s">
        <v>1655</v>
      </c>
      <c r="B399" s="110" t="s">
        <v>1147</v>
      </c>
      <c r="C399" s="110">
        <v>1.93</v>
      </c>
      <c r="D399" s="112">
        <v>42751</v>
      </c>
    </row>
    <row r="400" spans="1:4">
      <c r="A400" s="110" t="s">
        <v>1654</v>
      </c>
      <c r="B400" s="110" t="s">
        <v>1147</v>
      </c>
      <c r="C400" s="110">
        <v>2.0070000000000001</v>
      </c>
      <c r="D400" s="112">
        <v>42751</v>
      </c>
    </row>
    <row r="401" spans="1:4">
      <c r="A401" s="110" t="s">
        <v>1653</v>
      </c>
      <c r="B401" s="110" t="s">
        <v>1147</v>
      </c>
      <c r="C401" s="110">
        <v>1.968</v>
      </c>
      <c r="D401" s="112">
        <v>42751</v>
      </c>
    </row>
    <row r="402" spans="1:4">
      <c r="A402" s="110" t="s">
        <v>1652</v>
      </c>
      <c r="B402" s="110" t="s">
        <v>1147</v>
      </c>
      <c r="C402" s="110">
        <v>1.9870000000000001</v>
      </c>
      <c r="D402" s="112">
        <v>42751</v>
      </c>
    </row>
    <row r="403" spans="1:4">
      <c r="A403" s="110" t="s">
        <v>1651</v>
      </c>
      <c r="B403" s="110" t="s">
        <v>1147</v>
      </c>
      <c r="C403" s="110">
        <v>2.0070000000000001</v>
      </c>
      <c r="D403" s="112">
        <v>42751</v>
      </c>
    </row>
    <row r="404" spans="1:4">
      <c r="A404" s="110" t="s">
        <v>1650</v>
      </c>
      <c r="B404" s="110" t="s">
        <v>1147</v>
      </c>
      <c r="C404" s="110">
        <v>2.0089999999999999</v>
      </c>
      <c r="D404" s="112">
        <v>42751</v>
      </c>
    </row>
    <row r="405" spans="1:4">
      <c r="A405" s="110" t="s">
        <v>1649</v>
      </c>
      <c r="B405" s="110" t="s">
        <v>1147</v>
      </c>
      <c r="C405" s="110">
        <v>1.9390000000000001</v>
      </c>
      <c r="D405" s="112">
        <v>42751</v>
      </c>
    </row>
    <row r="406" spans="1:4">
      <c r="A406" s="110" t="s">
        <v>1648</v>
      </c>
      <c r="B406" s="110" t="s">
        <v>1147</v>
      </c>
      <c r="C406" s="110">
        <v>2.1389999999999998</v>
      </c>
      <c r="D406" s="112">
        <v>42751</v>
      </c>
    </row>
    <row r="407" spans="1:4">
      <c r="A407" s="110" t="s">
        <v>1647</v>
      </c>
      <c r="B407" s="110" t="s">
        <v>1147</v>
      </c>
      <c r="C407" s="110">
        <v>2.06</v>
      </c>
      <c r="D407" s="112">
        <v>42751</v>
      </c>
    </row>
    <row r="408" spans="1:4">
      <c r="A408" s="110" t="s">
        <v>1646</v>
      </c>
      <c r="B408" s="110" t="s">
        <v>1147</v>
      </c>
      <c r="C408" s="110">
        <v>2.113</v>
      </c>
      <c r="D408" s="112">
        <v>42751</v>
      </c>
    </row>
    <row r="409" spans="1:4">
      <c r="A409" s="110" t="s">
        <v>1645</v>
      </c>
      <c r="B409" s="110" t="s">
        <v>1147</v>
      </c>
      <c r="C409" s="110">
        <v>2.056</v>
      </c>
      <c r="D409" s="112">
        <v>42751</v>
      </c>
    </row>
    <row r="410" spans="1:4">
      <c r="A410" s="110" t="s">
        <v>1644</v>
      </c>
      <c r="B410" s="110" t="s">
        <v>1147</v>
      </c>
      <c r="C410" s="110">
        <v>2.0910000000000002</v>
      </c>
      <c r="D410" s="112">
        <v>42751</v>
      </c>
    </row>
    <row r="411" spans="1:4">
      <c r="A411" s="110" t="s">
        <v>1643</v>
      </c>
      <c r="B411" s="110" t="s">
        <v>1147</v>
      </c>
      <c r="C411" s="110">
        <v>1.966</v>
      </c>
      <c r="D411" s="112">
        <v>42751</v>
      </c>
    </row>
    <row r="412" spans="1:4">
      <c r="A412" s="110" t="s">
        <v>1642</v>
      </c>
      <c r="B412" s="110" t="s">
        <v>1147</v>
      </c>
      <c r="C412" s="110">
        <v>2.044</v>
      </c>
      <c r="D412" s="112">
        <v>42751</v>
      </c>
    </row>
    <row r="413" spans="1:4">
      <c r="A413" s="110" t="s">
        <v>1641</v>
      </c>
      <c r="B413" s="110" t="s">
        <v>1147</v>
      </c>
      <c r="C413" s="110">
        <v>1.968</v>
      </c>
      <c r="D413" s="112">
        <v>42751</v>
      </c>
    </row>
    <row r="414" spans="1:4">
      <c r="A414" s="110" t="s">
        <v>1640</v>
      </c>
      <c r="B414" s="110" t="s">
        <v>1147</v>
      </c>
      <c r="C414" s="110">
        <v>2.1110000000000002</v>
      </c>
      <c r="D414" s="112">
        <v>42751</v>
      </c>
    </row>
    <row r="415" spans="1:4">
      <c r="A415" s="110" t="s">
        <v>1639</v>
      </c>
      <c r="B415" s="110" t="s">
        <v>1147</v>
      </c>
      <c r="C415" s="110">
        <v>2.1120000000000001</v>
      </c>
      <c r="D415" s="112">
        <v>42751</v>
      </c>
    </row>
    <row r="416" spans="1:4">
      <c r="A416" s="110" t="s">
        <v>1638</v>
      </c>
      <c r="B416" s="110" t="s">
        <v>1147</v>
      </c>
      <c r="C416" s="110">
        <v>2.0049999999999999</v>
      </c>
      <c r="D416" s="112">
        <v>42751</v>
      </c>
    </row>
    <row r="417" spans="1:4">
      <c r="A417" s="110" t="s">
        <v>1637</v>
      </c>
      <c r="B417" s="110" t="s">
        <v>1147</v>
      </c>
      <c r="C417" s="110">
        <v>2.1589999999999998</v>
      </c>
      <c r="D417" s="112">
        <v>42751</v>
      </c>
    </row>
    <row r="418" spans="1:4">
      <c r="A418" s="110" t="s">
        <v>1636</v>
      </c>
      <c r="B418" s="110" t="s">
        <v>1147</v>
      </c>
      <c r="C418" s="110">
        <v>2.0590000000000002</v>
      </c>
      <c r="D418" s="112">
        <v>42751</v>
      </c>
    </row>
    <row r="419" spans="1:4">
      <c r="A419" s="110" t="s">
        <v>1635</v>
      </c>
      <c r="B419" s="110" t="s">
        <v>1147</v>
      </c>
      <c r="C419" s="110">
        <v>2.0249999999999999</v>
      </c>
      <c r="D419" s="112">
        <v>42751</v>
      </c>
    </row>
    <row r="420" spans="1:4">
      <c r="A420" s="110" t="s">
        <v>1634</v>
      </c>
      <c r="B420" s="110" t="s">
        <v>1147</v>
      </c>
      <c r="C420" s="110">
        <v>2.1819999999999999</v>
      </c>
      <c r="D420" s="112">
        <v>42751</v>
      </c>
    </row>
    <row r="421" spans="1:4">
      <c r="A421" s="110" t="s">
        <v>1633</v>
      </c>
      <c r="B421" s="110" t="s">
        <v>1147</v>
      </c>
      <c r="C421" s="110">
        <v>2.0209999999999999</v>
      </c>
      <c r="D421" s="112">
        <v>42751</v>
      </c>
    </row>
    <row r="422" spans="1:4">
      <c r="A422" s="110" t="s">
        <v>1632</v>
      </c>
      <c r="B422" s="110" t="s">
        <v>1147</v>
      </c>
      <c r="C422" s="110">
        <v>2.016</v>
      </c>
      <c r="D422" s="112">
        <v>42751</v>
      </c>
    </row>
    <row r="423" spans="1:4">
      <c r="A423" s="110" t="s">
        <v>1631</v>
      </c>
      <c r="B423" s="110" t="s">
        <v>1147</v>
      </c>
      <c r="C423" s="110">
        <v>2.0779999999999998</v>
      </c>
      <c r="D423" s="112">
        <v>42751</v>
      </c>
    </row>
    <row r="424" spans="1:4">
      <c r="A424" s="110" t="s">
        <v>1630</v>
      </c>
      <c r="B424" s="110" t="s">
        <v>1147</v>
      </c>
      <c r="C424" s="110">
        <v>2.0390000000000001</v>
      </c>
      <c r="D424" s="112">
        <v>42751</v>
      </c>
    </row>
    <row r="425" spans="1:4">
      <c r="A425" s="110" t="s">
        <v>1629</v>
      </c>
      <c r="B425" s="110" t="s">
        <v>1147</v>
      </c>
      <c r="C425" s="110">
        <v>2.052</v>
      </c>
      <c r="D425" s="112">
        <v>42751</v>
      </c>
    </row>
    <row r="426" spans="1:4">
      <c r="A426" s="110" t="s">
        <v>1628</v>
      </c>
      <c r="B426" s="110" t="s">
        <v>1147</v>
      </c>
      <c r="C426" s="110">
        <v>2.0049999999999999</v>
      </c>
      <c r="D426" s="112">
        <v>42751</v>
      </c>
    </row>
    <row r="427" spans="1:4">
      <c r="A427" s="110" t="s">
        <v>1627</v>
      </c>
      <c r="B427" s="110" t="s">
        <v>1147</v>
      </c>
      <c r="C427" s="110">
        <v>2.0649999999999999</v>
      </c>
      <c r="D427" s="112">
        <v>42751</v>
      </c>
    </row>
    <row r="428" spans="1:4">
      <c r="A428" s="110" t="s">
        <v>1626</v>
      </c>
      <c r="B428" s="110" t="s">
        <v>1147</v>
      </c>
      <c r="C428" s="110">
        <v>1.9590000000000001</v>
      </c>
      <c r="D428" s="112">
        <v>42751</v>
      </c>
    </row>
    <row r="429" spans="1:4">
      <c r="A429" s="110" t="s">
        <v>1625</v>
      </c>
      <c r="B429" s="110" t="s">
        <v>1147</v>
      </c>
      <c r="C429" s="110">
        <v>1.9750000000000001</v>
      </c>
      <c r="D429" s="112">
        <v>42751</v>
      </c>
    </row>
    <row r="430" spans="1:4">
      <c r="A430" s="110" t="s">
        <v>1624</v>
      </c>
      <c r="B430" s="110" t="s">
        <v>1147</v>
      </c>
      <c r="C430" s="110">
        <v>2.0230000000000001</v>
      </c>
      <c r="D430" s="112">
        <v>42751</v>
      </c>
    </row>
    <row r="431" spans="1:4">
      <c r="A431" s="110" t="s">
        <v>1623</v>
      </c>
      <c r="B431" s="110" t="s">
        <v>1147</v>
      </c>
      <c r="C431" s="110">
        <v>1.8959999999999999</v>
      </c>
      <c r="D431" s="112">
        <v>42751</v>
      </c>
    </row>
    <row r="432" spans="1:4">
      <c r="A432" s="110" t="s">
        <v>1622</v>
      </c>
      <c r="B432" s="110" t="s">
        <v>1147</v>
      </c>
      <c r="C432" s="110">
        <v>2.0870000000000002</v>
      </c>
      <c r="D432" s="112">
        <v>42751</v>
      </c>
    </row>
    <row r="433" spans="1:4">
      <c r="A433" s="110" t="s">
        <v>1621</v>
      </c>
      <c r="B433" s="110" t="s">
        <v>1147</v>
      </c>
      <c r="C433" s="110">
        <v>1.9319999999999999</v>
      </c>
      <c r="D433" s="112">
        <v>42751</v>
      </c>
    </row>
    <row r="434" spans="1:4">
      <c r="A434" s="110" t="s">
        <v>1620</v>
      </c>
      <c r="B434" s="110" t="s">
        <v>1147</v>
      </c>
      <c r="C434" s="110">
        <v>2.09</v>
      </c>
      <c r="D434" s="112">
        <v>42751</v>
      </c>
    </row>
    <row r="435" spans="1:4">
      <c r="A435" s="110" t="s">
        <v>1619</v>
      </c>
      <c r="B435" s="110" t="s">
        <v>1147</v>
      </c>
      <c r="C435" s="110">
        <v>2.08</v>
      </c>
      <c r="D435" s="112">
        <v>42751</v>
      </c>
    </row>
    <row r="436" spans="1:4">
      <c r="A436" s="110" t="s">
        <v>1618</v>
      </c>
      <c r="B436" s="110" t="s">
        <v>1147</v>
      </c>
      <c r="C436" s="110">
        <v>2.0659999999999998</v>
      </c>
      <c r="D436" s="112">
        <v>42751</v>
      </c>
    </row>
    <row r="437" spans="1:4">
      <c r="A437" s="110" t="s">
        <v>1617</v>
      </c>
      <c r="B437" s="110" t="s">
        <v>1147</v>
      </c>
      <c r="C437" s="110">
        <v>2.06</v>
      </c>
      <c r="D437" s="112">
        <v>42751</v>
      </c>
    </row>
    <row r="438" spans="1:4">
      <c r="A438" s="110" t="s">
        <v>1616</v>
      </c>
      <c r="B438" s="110" t="s">
        <v>1147</v>
      </c>
      <c r="C438" s="110">
        <v>2.0339999999999998</v>
      </c>
      <c r="D438" s="112">
        <v>42751</v>
      </c>
    </row>
    <row r="439" spans="1:4">
      <c r="A439" s="110" t="s">
        <v>1615</v>
      </c>
      <c r="B439" s="110" t="s">
        <v>1147</v>
      </c>
      <c r="C439" s="110">
        <v>2.0009999999999999</v>
      </c>
      <c r="D439" s="112">
        <v>42751</v>
      </c>
    </row>
    <row r="440" spans="1:4">
      <c r="A440" s="110" t="s">
        <v>1614</v>
      </c>
      <c r="B440" s="110" t="s">
        <v>1147</v>
      </c>
      <c r="C440" s="110">
        <v>2.0329999999999999</v>
      </c>
      <c r="D440" s="112">
        <v>42751</v>
      </c>
    </row>
    <row r="441" spans="1:4">
      <c r="A441" s="110" t="s">
        <v>1613</v>
      </c>
      <c r="B441" s="110" t="s">
        <v>1147</v>
      </c>
      <c r="C441" s="110">
        <v>2.1230000000000002</v>
      </c>
      <c r="D441" s="112">
        <v>42751</v>
      </c>
    </row>
    <row r="442" spans="1:4">
      <c r="A442" s="110" t="s">
        <v>1612</v>
      </c>
      <c r="B442" s="110" t="s">
        <v>1147</v>
      </c>
      <c r="C442" s="110">
        <v>2.0470000000000002</v>
      </c>
      <c r="D442" s="112">
        <v>42751</v>
      </c>
    </row>
    <row r="443" spans="1:4">
      <c r="A443" s="110" t="s">
        <v>1611</v>
      </c>
      <c r="B443" s="110" t="s">
        <v>1147</v>
      </c>
      <c r="C443" s="110">
        <v>2.069</v>
      </c>
      <c r="D443" s="112">
        <v>42751</v>
      </c>
    </row>
    <row r="444" spans="1:4">
      <c r="A444" s="110" t="s">
        <v>1610</v>
      </c>
      <c r="B444" s="110" t="s">
        <v>1147</v>
      </c>
      <c r="C444" s="110">
        <v>2.1070000000000002</v>
      </c>
      <c r="D444" s="112">
        <v>42751</v>
      </c>
    </row>
    <row r="445" spans="1:4">
      <c r="A445" s="110" t="s">
        <v>1609</v>
      </c>
      <c r="B445" s="110" t="s">
        <v>1147</v>
      </c>
      <c r="C445" s="110">
        <v>2.1040000000000001</v>
      </c>
      <c r="D445" s="112">
        <v>42751</v>
      </c>
    </row>
    <row r="446" spans="1:4">
      <c r="A446" s="110" t="s">
        <v>1608</v>
      </c>
      <c r="B446" s="110" t="s">
        <v>1147</v>
      </c>
      <c r="C446" s="110">
        <v>2.056</v>
      </c>
      <c r="D446" s="112">
        <v>42751</v>
      </c>
    </row>
    <row r="447" spans="1:4">
      <c r="A447" s="110" t="s">
        <v>1607</v>
      </c>
      <c r="B447" s="110" t="s">
        <v>1147</v>
      </c>
      <c r="C447" s="110">
        <v>2.0310000000000001</v>
      </c>
      <c r="D447" s="112">
        <v>42751</v>
      </c>
    </row>
    <row r="448" spans="1:4">
      <c r="A448" s="110" t="s">
        <v>1606</v>
      </c>
      <c r="B448" s="110" t="s">
        <v>1147</v>
      </c>
      <c r="C448" s="110">
        <v>2.0259999999999998</v>
      </c>
      <c r="D448" s="112">
        <v>42751</v>
      </c>
    </row>
    <row r="449" spans="1:4">
      <c r="A449" s="110" t="s">
        <v>1605</v>
      </c>
      <c r="B449" s="110" t="s">
        <v>1147</v>
      </c>
      <c r="C449" s="110">
        <v>2.1150000000000002</v>
      </c>
      <c r="D449" s="112">
        <v>42751</v>
      </c>
    </row>
    <row r="450" spans="1:4">
      <c r="A450" s="110" t="s">
        <v>1604</v>
      </c>
      <c r="B450" s="110" t="s">
        <v>1147</v>
      </c>
      <c r="C450" s="110">
        <v>1.9319999999999999</v>
      </c>
      <c r="D450" s="112">
        <v>42751</v>
      </c>
    </row>
    <row r="451" spans="1:4">
      <c r="A451" s="110" t="s">
        <v>1603</v>
      </c>
      <c r="B451" s="110" t="s">
        <v>1147</v>
      </c>
      <c r="C451" s="110">
        <v>2.0579999999999998</v>
      </c>
      <c r="D451" s="112">
        <v>42751</v>
      </c>
    </row>
    <row r="452" spans="1:4">
      <c r="A452" s="110" t="s">
        <v>1602</v>
      </c>
      <c r="B452" s="110" t="s">
        <v>1147</v>
      </c>
      <c r="C452" s="110">
        <v>2.0179999999999998</v>
      </c>
      <c r="D452" s="112">
        <v>42751</v>
      </c>
    </row>
    <row r="453" spans="1:4">
      <c r="A453" s="110" t="s">
        <v>1601</v>
      </c>
      <c r="B453" s="110" t="s">
        <v>1147</v>
      </c>
      <c r="C453" s="110">
        <v>2.1749999999999998</v>
      </c>
      <c r="D453" s="112">
        <v>42751</v>
      </c>
    </row>
    <row r="454" spans="1:4">
      <c r="A454" s="110" t="s">
        <v>1600</v>
      </c>
      <c r="B454" s="110" t="s">
        <v>1147</v>
      </c>
      <c r="C454" s="110">
        <v>2.1629999999999998</v>
      </c>
      <c r="D454" s="112">
        <v>42751</v>
      </c>
    </row>
    <row r="455" spans="1:4">
      <c r="A455" s="110" t="s">
        <v>1599</v>
      </c>
      <c r="B455" s="110" t="s">
        <v>1147</v>
      </c>
      <c r="C455" s="110">
        <v>2.1139999999999999</v>
      </c>
      <c r="D455" s="112">
        <v>42751</v>
      </c>
    </row>
    <row r="456" spans="1:4">
      <c r="A456" s="110" t="s">
        <v>1598</v>
      </c>
      <c r="B456" s="110" t="s">
        <v>1147</v>
      </c>
      <c r="C456" s="110">
        <v>2.0550000000000002</v>
      </c>
      <c r="D456" s="112">
        <v>42751</v>
      </c>
    </row>
    <row r="457" spans="1:4">
      <c r="A457" s="110" t="s">
        <v>1597</v>
      </c>
      <c r="B457" s="110" t="s">
        <v>1147</v>
      </c>
      <c r="C457" s="110">
        <v>2.0790000000000002</v>
      </c>
      <c r="D457" s="112">
        <v>42751</v>
      </c>
    </row>
    <row r="458" spans="1:4">
      <c r="A458" s="110" t="s">
        <v>1596</v>
      </c>
      <c r="B458" s="110" t="s">
        <v>1147</v>
      </c>
      <c r="C458" s="110">
        <v>2.0920000000000001</v>
      </c>
      <c r="D458" s="112">
        <v>42751</v>
      </c>
    </row>
    <row r="459" spans="1:4">
      <c r="A459" s="110" t="s">
        <v>1595</v>
      </c>
      <c r="B459" s="110" t="s">
        <v>1147</v>
      </c>
      <c r="C459" s="110">
        <v>2.0299999999999998</v>
      </c>
      <c r="D459" s="112">
        <v>42751</v>
      </c>
    </row>
    <row r="460" spans="1:4">
      <c r="A460" s="110" t="s">
        <v>1594</v>
      </c>
      <c r="B460" s="110" t="s">
        <v>1147</v>
      </c>
      <c r="C460" s="110">
        <v>2.117</v>
      </c>
      <c r="D460" s="112">
        <v>42751</v>
      </c>
    </row>
    <row r="461" spans="1:4">
      <c r="A461" s="110" t="s">
        <v>1593</v>
      </c>
      <c r="B461" s="110" t="s">
        <v>1147</v>
      </c>
      <c r="C461" s="110">
        <v>2.1579999999999999</v>
      </c>
      <c r="D461" s="112">
        <v>42751</v>
      </c>
    </row>
    <row r="462" spans="1:4">
      <c r="A462" s="110" t="s">
        <v>1592</v>
      </c>
      <c r="B462" s="110" t="s">
        <v>1147</v>
      </c>
      <c r="C462" s="110">
        <v>1.9770000000000001</v>
      </c>
      <c r="D462" s="112">
        <v>42751</v>
      </c>
    </row>
    <row r="463" spans="1:4">
      <c r="A463" s="110" t="s">
        <v>1591</v>
      </c>
      <c r="B463" s="110" t="s">
        <v>1147</v>
      </c>
      <c r="C463" s="110">
        <v>2.0449999999999999</v>
      </c>
      <c r="D463" s="112">
        <v>42751</v>
      </c>
    </row>
    <row r="464" spans="1:4">
      <c r="A464" s="110" t="s">
        <v>1590</v>
      </c>
      <c r="B464" s="110" t="s">
        <v>1147</v>
      </c>
      <c r="C464" s="110">
        <v>2.1560000000000001</v>
      </c>
      <c r="D464" s="112">
        <v>42751</v>
      </c>
    </row>
    <row r="465" spans="1:4">
      <c r="A465" s="110" t="s">
        <v>1589</v>
      </c>
      <c r="B465" s="110" t="s">
        <v>1147</v>
      </c>
      <c r="C465" s="110">
        <v>2.1030000000000002</v>
      </c>
      <c r="D465" s="112">
        <v>42751</v>
      </c>
    </row>
    <row r="466" spans="1:4">
      <c r="A466" s="110" t="s">
        <v>1588</v>
      </c>
      <c r="B466" s="110" t="s">
        <v>1147</v>
      </c>
      <c r="C466" s="110">
        <v>2.169</v>
      </c>
      <c r="D466" s="112">
        <v>42751</v>
      </c>
    </row>
    <row r="467" spans="1:4">
      <c r="A467" s="110" t="s">
        <v>1587</v>
      </c>
      <c r="B467" s="110" t="s">
        <v>1147</v>
      </c>
      <c r="C467" s="110">
        <v>1.9810000000000001</v>
      </c>
      <c r="D467" s="112">
        <v>42751</v>
      </c>
    </row>
    <row r="468" spans="1:4">
      <c r="A468" s="110" t="s">
        <v>1586</v>
      </c>
      <c r="B468" s="110" t="s">
        <v>1147</v>
      </c>
      <c r="C468" s="110">
        <v>1.964</v>
      </c>
      <c r="D468" s="112">
        <v>42751</v>
      </c>
    </row>
    <row r="469" spans="1:4">
      <c r="A469" s="110" t="s">
        <v>1585</v>
      </c>
      <c r="B469" s="110" t="s">
        <v>1147</v>
      </c>
      <c r="C469" s="110">
        <v>2.004</v>
      </c>
      <c r="D469" s="112">
        <v>42751</v>
      </c>
    </row>
    <row r="470" spans="1:4">
      <c r="A470" s="110" t="s">
        <v>1584</v>
      </c>
      <c r="B470" s="110" t="s">
        <v>1147</v>
      </c>
      <c r="C470" s="110">
        <v>1.9319999999999999</v>
      </c>
      <c r="D470" s="112">
        <v>42751</v>
      </c>
    </row>
    <row r="471" spans="1:4">
      <c r="A471" s="110" t="s">
        <v>1583</v>
      </c>
      <c r="B471" s="110" t="s">
        <v>1147</v>
      </c>
      <c r="C471" s="110">
        <v>2.0259999999999998</v>
      </c>
      <c r="D471" s="112">
        <v>42751</v>
      </c>
    </row>
    <row r="472" spans="1:4">
      <c r="A472" s="110" t="s">
        <v>1582</v>
      </c>
      <c r="B472" s="110" t="s">
        <v>1147</v>
      </c>
      <c r="C472" s="110">
        <v>2.1309999999999998</v>
      </c>
      <c r="D472" s="112">
        <v>42751</v>
      </c>
    </row>
    <row r="473" spans="1:4">
      <c r="A473" s="110" t="s">
        <v>1581</v>
      </c>
      <c r="B473" s="110" t="s">
        <v>1147</v>
      </c>
      <c r="C473" s="110">
        <v>1.9630000000000001</v>
      </c>
      <c r="D473" s="112">
        <v>42751</v>
      </c>
    </row>
    <row r="474" spans="1:4">
      <c r="A474" s="110" t="s">
        <v>1580</v>
      </c>
      <c r="B474" s="110" t="s">
        <v>1147</v>
      </c>
      <c r="C474" s="110">
        <v>1.9970000000000001</v>
      </c>
      <c r="D474" s="112">
        <v>42751</v>
      </c>
    </row>
    <row r="475" spans="1:4">
      <c r="A475" s="110" t="s">
        <v>1579</v>
      </c>
      <c r="B475" s="110" t="s">
        <v>1147</v>
      </c>
      <c r="C475" s="110">
        <v>1.9910000000000001</v>
      </c>
      <c r="D475" s="112">
        <v>42751</v>
      </c>
    </row>
    <row r="476" spans="1:4">
      <c r="A476" s="110" t="s">
        <v>1578</v>
      </c>
      <c r="B476" s="110" t="s">
        <v>1147</v>
      </c>
      <c r="C476" s="110">
        <v>1.9710000000000001</v>
      </c>
      <c r="D476" s="112">
        <v>42751</v>
      </c>
    </row>
    <row r="477" spans="1:4">
      <c r="A477" s="110" t="s">
        <v>1577</v>
      </c>
      <c r="B477" s="110" t="s">
        <v>1147</v>
      </c>
      <c r="C477" s="110">
        <v>2.077</v>
      </c>
      <c r="D477" s="112">
        <v>42751</v>
      </c>
    </row>
    <row r="478" spans="1:4">
      <c r="A478" s="110" t="s">
        <v>1576</v>
      </c>
      <c r="B478" s="110" t="s">
        <v>1147</v>
      </c>
      <c r="C478" s="110">
        <v>2.1930000000000001</v>
      </c>
      <c r="D478" s="112">
        <v>42751</v>
      </c>
    </row>
    <row r="479" spans="1:4">
      <c r="A479" s="110" t="s">
        <v>1575</v>
      </c>
      <c r="B479" s="110" t="s">
        <v>1147</v>
      </c>
      <c r="C479" s="110">
        <v>2.0110000000000001</v>
      </c>
      <c r="D479" s="112">
        <v>42751</v>
      </c>
    </row>
    <row r="480" spans="1:4">
      <c r="A480" s="110" t="s">
        <v>1574</v>
      </c>
      <c r="B480" s="110" t="s">
        <v>1147</v>
      </c>
      <c r="C480" s="110">
        <v>2.121</v>
      </c>
      <c r="D480" s="112">
        <v>42751</v>
      </c>
    </row>
    <row r="481" spans="1:4">
      <c r="A481" s="110" t="s">
        <v>1573</v>
      </c>
      <c r="B481" s="110" t="s">
        <v>1147</v>
      </c>
      <c r="C481" s="110">
        <v>2.073</v>
      </c>
      <c r="D481" s="112">
        <v>42751</v>
      </c>
    </row>
    <row r="482" spans="1:4">
      <c r="A482" s="110" t="s">
        <v>1572</v>
      </c>
      <c r="B482" s="110" t="s">
        <v>1147</v>
      </c>
      <c r="C482" s="110">
        <v>2.056</v>
      </c>
      <c r="D482" s="112">
        <v>42751</v>
      </c>
    </row>
    <row r="483" spans="1:4">
      <c r="A483" s="110" t="s">
        <v>1571</v>
      </c>
      <c r="B483" s="110" t="s">
        <v>1147</v>
      </c>
      <c r="C483" s="110">
        <v>1.982</v>
      </c>
      <c r="D483" s="112">
        <v>42751</v>
      </c>
    </row>
    <row r="484" spans="1:4">
      <c r="A484" s="110" t="s">
        <v>1570</v>
      </c>
      <c r="B484" s="110" t="s">
        <v>1147</v>
      </c>
      <c r="C484" s="110">
        <v>1.9850000000000001</v>
      </c>
      <c r="D484" s="112">
        <v>42751</v>
      </c>
    </row>
    <row r="485" spans="1:4">
      <c r="A485" s="110" t="s">
        <v>1569</v>
      </c>
      <c r="B485" s="110" t="s">
        <v>1147</v>
      </c>
      <c r="C485" s="110">
        <v>2.0529999999999999</v>
      </c>
      <c r="D485" s="112">
        <v>42751</v>
      </c>
    </row>
    <row r="486" spans="1:4">
      <c r="A486" s="110" t="s">
        <v>1568</v>
      </c>
      <c r="B486" s="110" t="s">
        <v>1147</v>
      </c>
      <c r="C486" s="110">
        <v>2.056</v>
      </c>
      <c r="D486" s="112">
        <v>42751</v>
      </c>
    </row>
    <row r="487" spans="1:4">
      <c r="A487" s="110" t="s">
        <v>1567</v>
      </c>
      <c r="B487" s="110" t="s">
        <v>1147</v>
      </c>
      <c r="C487" s="110">
        <v>1.9750000000000001</v>
      </c>
      <c r="D487" s="112">
        <v>42751</v>
      </c>
    </row>
    <row r="488" spans="1:4">
      <c r="A488" s="110" t="s">
        <v>1566</v>
      </c>
      <c r="B488" s="110" t="s">
        <v>1147</v>
      </c>
      <c r="C488" s="110">
        <v>2.0009999999999999</v>
      </c>
      <c r="D488" s="112">
        <v>42751</v>
      </c>
    </row>
    <row r="489" spans="1:4">
      <c r="A489" s="110" t="s">
        <v>1565</v>
      </c>
      <c r="B489" s="110" t="s">
        <v>1147</v>
      </c>
      <c r="C489" s="110">
        <v>1.9890000000000001</v>
      </c>
      <c r="D489" s="112">
        <v>42751</v>
      </c>
    </row>
    <row r="490" spans="1:4">
      <c r="A490" s="110" t="s">
        <v>1564</v>
      </c>
      <c r="B490" s="110" t="s">
        <v>1147</v>
      </c>
      <c r="C490" s="110">
        <v>2.0049999999999999</v>
      </c>
      <c r="D490" s="112">
        <v>42751</v>
      </c>
    </row>
    <row r="491" spans="1:4">
      <c r="A491" s="110" t="s">
        <v>1563</v>
      </c>
      <c r="B491" s="110" t="s">
        <v>1147</v>
      </c>
      <c r="C491" s="110">
        <v>1.9259999999999999</v>
      </c>
      <c r="D491" s="112">
        <v>42751</v>
      </c>
    </row>
    <row r="492" spans="1:4">
      <c r="A492" s="110" t="s">
        <v>1562</v>
      </c>
      <c r="B492" s="110" t="s">
        <v>1147</v>
      </c>
      <c r="C492" s="110">
        <v>1.9910000000000001</v>
      </c>
      <c r="D492" s="112">
        <v>42751</v>
      </c>
    </row>
    <row r="493" spans="1:4">
      <c r="A493" s="110" t="s">
        <v>1561</v>
      </c>
      <c r="B493" s="110" t="s">
        <v>1147</v>
      </c>
      <c r="C493" s="110">
        <v>1.9</v>
      </c>
      <c r="D493" s="112">
        <v>42751</v>
      </c>
    </row>
    <row r="494" spans="1:4">
      <c r="A494" s="110" t="s">
        <v>1560</v>
      </c>
      <c r="B494" s="110" t="s">
        <v>1147</v>
      </c>
      <c r="C494" s="110">
        <v>1.881</v>
      </c>
      <c r="D494" s="112">
        <v>42751</v>
      </c>
    </row>
    <row r="495" spans="1:4">
      <c r="A495" s="110" t="s">
        <v>1559</v>
      </c>
      <c r="B495" s="110" t="s">
        <v>1147</v>
      </c>
      <c r="C495" s="110">
        <v>2.0249999999999999</v>
      </c>
      <c r="D495" s="112">
        <v>42751</v>
      </c>
    </row>
    <row r="496" spans="1:4">
      <c r="A496" s="110" t="s">
        <v>1558</v>
      </c>
      <c r="B496" s="110" t="s">
        <v>1147</v>
      </c>
      <c r="C496" s="110">
        <v>1.948</v>
      </c>
      <c r="D496" s="112">
        <v>42751</v>
      </c>
    </row>
    <row r="497" spans="1:4">
      <c r="A497" s="110" t="s">
        <v>1557</v>
      </c>
      <c r="B497" s="110" t="s">
        <v>1147</v>
      </c>
      <c r="C497" s="110">
        <v>2.0510000000000002</v>
      </c>
      <c r="D497" s="112">
        <v>42751</v>
      </c>
    </row>
    <row r="498" spans="1:4">
      <c r="A498" s="110" t="s">
        <v>1556</v>
      </c>
      <c r="B498" s="110" t="s">
        <v>1147</v>
      </c>
      <c r="C498" s="110">
        <v>1.903</v>
      </c>
      <c r="D498" s="112">
        <v>42751</v>
      </c>
    </row>
    <row r="499" spans="1:4">
      <c r="A499" s="110" t="s">
        <v>1555</v>
      </c>
      <c r="B499" s="110" t="s">
        <v>1147</v>
      </c>
      <c r="C499" s="110">
        <v>2.0390000000000001</v>
      </c>
      <c r="D499" s="112">
        <v>42751</v>
      </c>
    </row>
    <row r="500" spans="1:4">
      <c r="A500" s="110" t="s">
        <v>1554</v>
      </c>
      <c r="B500" s="110" t="s">
        <v>1147</v>
      </c>
      <c r="C500" s="110">
        <v>1.8480000000000001</v>
      </c>
      <c r="D500" s="112">
        <v>42751</v>
      </c>
    </row>
    <row r="501" spans="1:4">
      <c r="A501" s="110" t="s">
        <v>1553</v>
      </c>
      <c r="B501" s="110" t="s">
        <v>1147</v>
      </c>
      <c r="C501" s="110">
        <v>2.0019999999999998</v>
      </c>
      <c r="D501" s="112">
        <v>42751</v>
      </c>
    </row>
    <row r="502" spans="1:4">
      <c r="A502" s="110" t="s">
        <v>1552</v>
      </c>
      <c r="B502" s="110" t="s">
        <v>1147</v>
      </c>
      <c r="C502" s="110">
        <v>1.744</v>
      </c>
      <c r="D502" s="112">
        <v>42751</v>
      </c>
    </row>
    <row r="503" spans="1:4">
      <c r="A503" s="110" t="s">
        <v>1551</v>
      </c>
      <c r="B503" s="110" t="s">
        <v>1147</v>
      </c>
      <c r="C503" s="110">
        <v>1.9419999999999999</v>
      </c>
      <c r="D503" s="112">
        <v>42751</v>
      </c>
    </row>
    <row r="504" spans="1:4">
      <c r="A504" s="110" t="s">
        <v>1550</v>
      </c>
      <c r="B504" s="110" t="s">
        <v>1147</v>
      </c>
      <c r="C504" s="110">
        <v>2.0830000000000002</v>
      </c>
      <c r="D504" s="112">
        <v>42751</v>
      </c>
    </row>
    <row r="505" spans="1:4">
      <c r="A505" s="110" t="s">
        <v>1549</v>
      </c>
      <c r="B505" s="110" t="s">
        <v>1147</v>
      </c>
      <c r="C505" s="110">
        <v>1.917</v>
      </c>
      <c r="D505" s="112">
        <v>42751</v>
      </c>
    </row>
    <row r="506" spans="1:4">
      <c r="A506" s="110" t="s">
        <v>1548</v>
      </c>
      <c r="B506" s="110" t="s">
        <v>1147</v>
      </c>
      <c r="C506" s="110">
        <v>1.929</v>
      </c>
      <c r="D506" s="112">
        <v>42751</v>
      </c>
    </row>
    <row r="507" spans="1:4">
      <c r="A507" s="110" t="s">
        <v>1547</v>
      </c>
      <c r="B507" s="110" t="s">
        <v>1147</v>
      </c>
      <c r="C507" s="110">
        <v>1.9810000000000001</v>
      </c>
      <c r="D507" s="112">
        <v>42751</v>
      </c>
    </row>
    <row r="508" spans="1:4">
      <c r="A508" s="110" t="s">
        <v>1546</v>
      </c>
      <c r="B508" s="110" t="s">
        <v>1147</v>
      </c>
      <c r="C508" s="110">
        <v>2.0009999999999999</v>
      </c>
      <c r="D508" s="112">
        <v>42751</v>
      </c>
    </row>
    <row r="509" spans="1:4">
      <c r="A509" s="110" t="s">
        <v>1545</v>
      </c>
      <c r="B509" s="110" t="s">
        <v>1147</v>
      </c>
      <c r="C509" s="110">
        <v>2.0510000000000002</v>
      </c>
      <c r="D509" s="112">
        <v>42751</v>
      </c>
    </row>
    <row r="510" spans="1:4">
      <c r="A510" s="110" t="s">
        <v>1544</v>
      </c>
      <c r="B510" s="110" t="s">
        <v>1147</v>
      </c>
      <c r="C510" s="110">
        <v>1.9079999999999999</v>
      </c>
      <c r="D510" s="112">
        <v>42751</v>
      </c>
    </row>
    <row r="511" spans="1:4">
      <c r="A511" s="110" t="s">
        <v>1543</v>
      </c>
      <c r="B511" s="110" t="s">
        <v>1147</v>
      </c>
      <c r="C511" s="110">
        <v>1.99</v>
      </c>
      <c r="D511" s="112">
        <v>42751</v>
      </c>
    </row>
    <row r="512" spans="1:4">
      <c r="A512" s="110" t="s">
        <v>1542</v>
      </c>
      <c r="B512" s="110" t="s">
        <v>1147</v>
      </c>
      <c r="C512" s="110">
        <v>1.9910000000000001</v>
      </c>
      <c r="D512" s="112">
        <v>42751</v>
      </c>
    </row>
    <row r="513" spans="1:4">
      <c r="A513" s="110" t="s">
        <v>1541</v>
      </c>
      <c r="B513" s="110" t="s">
        <v>1147</v>
      </c>
      <c r="C513" s="110">
        <v>2.048</v>
      </c>
      <c r="D513" s="112">
        <v>42751</v>
      </c>
    </row>
    <row r="514" spans="1:4">
      <c r="A514" s="110" t="s">
        <v>1540</v>
      </c>
      <c r="B514" s="110" t="s">
        <v>1147</v>
      </c>
      <c r="C514" s="110">
        <v>1.91</v>
      </c>
      <c r="D514" s="112">
        <v>42751</v>
      </c>
    </row>
    <row r="515" spans="1:4">
      <c r="A515" s="110" t="s">
        <v>1539</v>
      </c>
      <c r="B515" s="110" t="s">
        <v>1147</v>
      </c>
      <c r="C515" s="110">
        <v>1.9930000000000001</v>
      </c>
      <c r="D515" s="112">
        <v>42751</v>
      </c>
    </row>
    <row r="516" spans="1:4">
      <c r="A516" s="110" t="s">
        <v>1538</v>
      </c>
      <c r="B516" s="110" t="s">
        <v>1147</v>
      </c>
      <c r="C516" s="110">
        <v>2.0939999999999999</v>
      </c>
      <c r="D516" s="112">
        <v>42751</v>
      </c>
    </row>
    <row r="517" spans="1:4">
      <c r="A517" s="110" t="s">
        <v>1537</v>
      </c>
      <c r="B517" s="110" t="s">
        <v>1147</v>
      </c>
      <c r="C517" s="110">
        <v>2.0179999999999998</v>
      </c>
      <c r="D517" s="112">
        <v>42751</v>
      </c>
    </row>
    <row r="518" spans="1:4">
      <c r="A518" s="110" t="s">
        <v>1536</v>
      </c>
      <c r="B518" s="110" t="s">
        <v>1147</v>
      </c>
      <c r="C518" s="110">
        <v>1.9350000000000001</v>
      </c>
      <c r="D518" s="112">
        <v>42751</v>
      </c>
    </row>
    <row r="519" spans="1:4">
      <c r="A519" s="110" t="s">
        <v>1535</v>
      </c>
      <c r="B519" s="110" t="s">
        <v>1147</v>
      </c>
      <c r="C519" s="110">
        <v>1.9890000000000001</v>
      </c>
      <c r="D519" s="112">
        <v>42751</v>
      </c>
    </row>
    <row r="520" spans="1:4">
      <c r="A520" s="110" t="s">
        <v>1534</v>
      </c>
      <c r="B520" s="110" t="s">
        <v>1147</v>
      </c>
      <c r="C520" s="110">
        <v>2.1160000000000001</v>
      </c>
      <c r="D520" s="112">
        <v>42751</v>
      </c>
    </row>
    <row r="521" spans="1:4">
      <c r="A521" s="110" t="s">
        <v>1533</v>
      </c>
      <c r="B521" s="110" t="s">
        <v>1147</v>
      </c>
      <c r="C521" s="110">
        <v>2.069</v>
      </c>
      <c r="D521" s="112">
        <v>42751</v>
      </c>
    </row>
    <row r="522" spans="1:4">
      <c r="A522" s="110" t="s">
        <v>1532</v>
      </c>
      <c r="B522" s="110" t="s">
        <v>1147</v>
      </c>
      <c r="C522" s="110">
        <v>1.9950000000000001</v>
      </c>
      <c r="D522" s="112">
        <v>42751</v>
      </c>
    </row>
    <row r="523" spans="1:4">
      <c r="A523" s="110" t="s">
        <v>1531</v>
      </c>
      <c r="B523" s="110" t="s">
        <v>1147</v>
      </c>
      <c r="C523" s="110">
        <v>2.1429999999999998</v>
      </c>
      <c r="D523" s="112">
        <v>42751</v>
      </c>
    </row>
    <row r="524" spans="1:4">
      <c r="A524" s="110" t="s">
        <v>1530</v>
      </c>
      <c r="B524" s="110" t="s">
        <v>1147</v>
      </c>
      <c r="C524" s="110">
        <v>1.929</v>
      </c>
      <c r="D524" s="112">
        <v>42751</v>
      </c>
    </row>
    <row r="525" spans="1:4">
      <c r="A525" s="110" t="s">
        <v>1529</v>
      </c>
      <c r="B525" s="110" t="s">
        <v>1147</v>
      </c>
      <c r="C525" s="110">
        <v>2.1709999999999998</v>
      </c>
      <c r="D525" s="112">
        <v>42751</v>
      </c>
    </row>
    <row r="526" spans="1:4">
      <c r="A526" s="110" t="s">
        <v>1528</v>
      </c>
      <c r="B526" s="110" t="s">
        <v>1147</v>
      </c>
      <c r="C526" s="110">
        <v>1.821</v>
      </c>
      <c r="D526" s="112">
        <v>42751</v>
      </c>
    </row>
    <row r="527" spans="1:4">
      <c r="A527" s="110" t="s">
        <v>1527</v>
      </c>
      <c r="B527" s="110" t="s">
        <v>1147</v>
      </c>
      <c r="C527" s="110">
        <v>2.1419999999999999</v>
      </c>
      <c r="D527" s="112">
        <v>42751</v>
      </c>
    </row>
    <row r="528" spans="1:4">
      <c r="A528" s="110" t="s">
        <v>1526</v>
      </c>
      <c r="B528" s="110" t="s">
        <v>1147</v>
      </c>
      <c r="C528" s="110">
        <v>1.962</v>
      </c>
      <c r="D528" s="112">
        <v>42751</v>
      </c>
    </row>
    <row r="529" spans="1:4">
      <c r="A529" s="110" t="s">
        <v>1525</v>
      </c>
      <c r="B529" s="110" t="s">
        <v>1147</v>
      </c>
      <c r="C529" s="110">
        <v>2.0790000000000002</v>
      </c>
      <c r="D529" s="112">
        <v>42751</v>
      </c>
    </row>
    <row r="530" spans="1:4">
      <c r="A530" s="110" t="s">
        <v>1524</v>
      </c>
      <c r="B530" s="110" t="s">
        <v>1147</v>
      </c>
      <c r="C530" s="110">
        <v>2.0760000000000001</v>
      </c>
      <c r="D530" s="112">
        <v>42751</v>
      </c>
    </row>
    <row r="531" spans="1:4">
      <c r="A531" s="110" t="s">
        <v>1523</v>
      </c>
      <c r="B531" s="110" t="s">
        <v>1147</v>
      </c>
      <c r="C531" s="110">
        <v>1.913</v>
      </c>
      <c r="D531" s="112">
        <v>42751</v>
      </c>
    </row>
    <row r="532" spans="1:4">
      <c r="A532" s="110" t="s">
        <v>1522</v>
      </c>
      <c r="B532" s="110" t="s">
        <v>1147</v>
      </c>
      <c r="C532" s="110">
        <v>2.14</v>
      </c>
      <c r="D532" s="112">
        <v>42751</v>
      </c>
    </row>
    <row r="533" spans="1:4">
      <c r="A533" s="110" t="s">
        <v>1521</v>
      </c>
      <c r="B533" s="110" t="s">
        <v>1147</v>
      </c>
      <c r="C533" s="110">
        <v>2.089</v>
      </c>
      <c r="D533" s="112">
        <v>42751</v>
      </c>
    </row>
    <row r="534" spans="1:4">
      <c r="A534" s="110" t="s">
        <v>1520</v>
      </c>
      <c r="B534" s="110" t="s">
        <v>1147</v>
      </c>
      <c r="C534" s="110">
        <v>2.089</v>
      </c>
      <c r="D534" s="112">
        <v>42751</v>
      </c>
    </row>
    <row r="535" spans="1:4">
      <c r="A535" s="110" t="s">
        <v>1519</v>
      </c>
      <c r="B535" s="110" t="s">
        <v>1147</v>
      </c>
      <c r="C535" s="110">
        <v>2.0110000000000001</v>
      </c>
      <c r="D535" s="112">
        <v>42751</v>
      </c>
    </row>
    <row r="536" spans="1:4">
      <c r="A536" s="110" t="s">
        <v>1518</v>
      </c>
      <c r="B536" s="110" t="s">
        <v>1147</v>
      </c>
      <c r="C536" s="110">
        <v>2.036</v>
      </c>
      <c r="D536" s="112">
        <v>42751</v>
      </c>
    </row>
    <row r="537" spans="1:4">
      <c r="A537" s="110" t="s">
        <v>1517</v>
      </c>
      <c r="B537" s="110" t="s">
        <v>1147</v>
      </c>
      <c r="C537" s="110">
        <v>2.1070000000000002</v>
      </c>
      <c r="D537" s="112">
        <v>42751</v>
      </c>
    </row>
    <row r="538" spans="1:4">
      <c r="A538" s="110" t="s">
        <v>1516</v>
      </c>
      <c r="B538" s="110" t="s">
        <v>1147</v>
      </c>
      <c r="C538" s="110">
        <v>2.169</v>
      </c>
      <c r="D538" s="112">
        <v>42751</v>
      </c>
    </row>
    <row r="539" spans="1:4">
      <c r="A539" s="110" t="s">
        <v>1515</v>
      </c>
      <c r="B539" s="110" t="s">
        <v>1147</v>
      </c>
      <c r="C539" s="110">
        <v>2.0920000000000001</v>
      </c>
      <c r="D539" s="112">
        <v>42751</v>
      </c>
    </row>
    <row r="540" spans="1:4">
      <c r="A540" s="110" t="s">
        <v>1514</v>
      </c>
      <c r="B540" s="110" t="s">
        <v>1147</v>
      </c>
      <c r="C540" s="110">
        <v>2.0510000000000002</v>
      </c>
      <c r="D540" s="112">
        <v>42751</v>
      </c>
    </row>
    <row r="541" spans="1:4">
      <c r="A541" s="110" t="s">
        <v>1513</v>
      </c>
      <c r="B541" s="110" t="s">
        <v>1147</v>
      </c>
      <c r="C541" s="110">
        <v>1.9630000000000001</v>
      </c>
      <c r="D541" s="112">
        <v>42751</v>
      </c>
    </row>
    <row r="542" spans="1:4">
      <c r="A542" s="110" t="s">
        <v>1512</v>
      </c>
      <c r="B542" s="110" t="s">
        <v>1147</v>
      </c>
      <c r="C542" s="110">
        <v>2.1760000000000002</v>
      </c>
      <c r="D542" s="112">
        <v>42751</v>
      </c>
    </row>
    <row r="543" spans="1:4">
      <c r="A543" s="110" t="s">
        <v>1511</v>
      </c>
      <c r="B543" s="110" t="s">
        <v>1147</v>
      </c>
      <c r="C543" s="110">
        <v>2.1219999999999999</v>
      </c>
      <c r="D543" s="112">
        <v>42751</v>
      </c>
    </row>
    <row r="544" spans="1:4">
      <c r="A544" s="110" t="s">
        <v>1510</v>
      </c>
      <c r="B544" s="110" t="s">
        <v>1147</v>
      </c>
      <c r="C544" s="110">
        <v>2.0830000000000002</v>
      </c>
      <c r="D544" s="112">
        <v>42751</v>
      </c>
    </row>
    <row r="545" spans="1:4">
      <c r="A545" s="110" t="s">
        <v>1509</v>
      </c>
      <c r="B545" s="110" t="s">
        <v>1147</v>
      </c>
      <c r="C545" s="110">
        <v>1.978</v>
      </c>
      <c r="D545" s="112">
        <v>42751</v>
      </c>
    </row>
    <row r="546" spans="1:4">
      <c r="A546" s="110" t="s">
        <v>1508</v>
      </c>
      <c r="B546" s="110" t="s">
        <v>1147</v>
      </c>
      <c r="C546" s="110">
        <v>2.0779999999999998</v>
      </c>
      <c r="D546" s="112">
        <v>42751</v>
      </c>
    </row>
    <row r="547" spans="1:4">
      <c r="A547" s="110" t="s">
        <v>1507</v>
      </c>
      <c r="B547" s="110" t="s">
        <v>1147</v>
      </c>
      <c r="C547" s="110">
        <v>2.0920000000000001</v>
      </c>
      <c r="D547" s="112">
        <v>42751</v>
      </c>
    </row>
    <row r="548" spans="1:4">
      <c r="A548" s="110" t="s">
        <v>1506</v>
      </c>
      <c r="B548" s="110" t="s">
        <v>1147</v>
      </c>
      <c r="C548" s="110">
        <v>2.0830000000000002</v>
      </c>
      <c r="D548" s="112">
        <v>42751</v>
      </c>
    </row>
    <row r="549" spans="1:4">
      <c r="A549" s="110" t="s">
        <v>1505</v>
      </c>
      <c r="B549" s="110" t="s">
        <v>1147</v>
      </c>
      <c r="C549" s="110">
        <v>2.0720000000000001</v>
      </c>
      <c r="D549" s="112">
        <v>42751</v>
      </c>
    </row>
    <row r="550" spans="1:4">
      <c r="A550" s="110" t="s">
        <v>1504</v>
      </c>
      <c r="B550" s="110" t="s">
        <v>1147</v>
      </c>
      <c r="C550" s="110">
        <v>2.1429999999999998</v>
      </c>
      <c r="D550" s="112">
        <v>42751</v>
      </c>
    </row>
    <row r="551" spans="1:4">
      <c r="A551" s="110" t="s">
        <v>1503</v>
      </c>
      <c r="B551" s="110" t="s">
        <v>1147</v>
      </c>
      <c r="C551" s="110">
        <v>2.121</v>
      </c>
      <c r="D551" s="112">
        <v>42751</v>
      </c>
    </row>
    <row r="552" spans="1:4">
      <c r="A552" s="110" t="s">
        <v>1502</v>
      </c>
      <c r="B552" s="110" t="s">
        <v>1147</v>
      </c>
      <c r="C552" s="110">
        <v>2.169</v>
      </c>
      <c r="D552" s="112">
        <v>42751</v>
      </c>
    </row>
    <row r="553" spans="1:4">
      <c r="A553" s="110" t="s">
        <v>1501</v>
      </c>
      <c r="B553" s="110" t="s">
        <v>1147</v>
      </c>
      <c r="C553" s="110">
        <v>2.016</v>
      </c>
      <c r="D553" s="112">
        <v>42751</v>
      </c>
    </row>
    <row r="554" spans="1:4">
      <c r="A554" s="110" t="s">
        <v>1500</v>
      </c>
      <c r="B554" s="110" t="s">
        <v>1147</v>
      </c>
      <c r="C554" s="110">
        <v>2.097</v>
      </c>
      <c r="D554" s="112">
        <v>42751</v>
      </c>
    </row>
    <row r="555" spans="1:4">
      <c r="A555" s="110" t="s">
        <v>1499</v>
      </c>
      <c r="B555" s="110" t="s">
        <v>1147</v>
      </c>
      <c r="C555" s="110">
        <v>2.1160000000000001</v>
      </c>
      <c r="D555" s="112">
        <v>42751</v>
      </c>
    </row>
    <row r="556" spans="1:4">
      <c r="A556" s="110" t="s">
        <v>1498</v>
      </c>
      <c r="B556" s="110" t="s">
        <v>1147</v>
      </c>
      <c r="C556" s="110">
        <v>2.1110000000000002</v>
      </c>
      <c r="D556" s="112">
        <v>42751</v>
      </c>
    </row>
    <row r="557" spans="1:4">
      <c r="A557" s="110" t="s">
        <v>1497</v>
      </c>
      <c r="B557" s="110" t="s">
        <v>1147</v>
      </c>
      <c r="C557" s="110">
        <v>2.1139999999999999</v>
      </c>
      <c r="D557" s="112">
        <v>42751</v>
      </c>
    </row>
    <row r="558" spans="1:4">
      <c r="A558" s="110" t="s">
        <v>1496</v>
      </c>
      <c r="B558" s="110" t="s">
        <v>1147</v>
      </c>
      <c r="C558" s="110">
        <v>2.0840000000000001</v>
      </c>
      <c r="D558" s="112">
        <v>42751</v>
      </c>
    </row>
    <row r="559" spans="1:4">
      <c r="A559" s="110" t="s">
        <v>1495</v>
      </c>
      <c r="B559" s="110" t="s">
        <v>1147</v>
      </c>
      <c r="C559" s="110">
        <v>2.1469999999999998</v>
      </c>
      <c r="D559" s="112">
        <v>42751</v>
      </c>
    </row>
    <row r="560" spans="1:4">
      <c r="A560" s="110" t="s">
        <v>1494</v>
      </c>
      <c r="B560" s="110" t="s">
        <v>1147</v>
      </c>
      <c r="C560" s="110">
        <v>2.0329999999999999</v>
      </c>
      <c r="D560" s="112">
        <v>42751</v>
      </c>
    </row>
    <row r="561" spans="1:5">
      <c r="A561" s="110" t="s">
        <v>1493</v>
      </c>
      <c r="B561" s="110" t="s">
        <v>1147</v>
      </c>
      <c r="C561" s="110">
        <v>2.12</v>
      </c>
      <c r="D561" s="112">
        <v>42751</v>
      </c>
    </row>
    <row r="562" spans="1:5">
      <c r="A562" s="110" t="s">
        <v>1492</v>
      </c>
      <c r="B562" s="110" t="s">
        <v>1147</v>
      </c>
      <c r="C562" s="110">
        <v>2.1789999999999998</v>
      </c>
      <c r="D562" s="112">
        <v>42751</v>
      </c>
    </row>
    <row r="563" spans="1:5">
      <c r="A563" s="110" t="s">
        <v>1491</v>
      </c>
      <c r="B563" s="110" t="s">
        <v>1147</v>
      </c>
      <c r="C563" s="110">
        <v>2.085</v>
      </c>
      <c r="D563" s="112">
        <v>42751</v>
      </c>
    </row>
    <row r="564" spans="1:5">
      <c r="A564" s="110" t="s">
        <v>1490</v>
      </c>
      <c r="B564" s="110" t="s">
        <v>1147</v>
      </c>
      <c r="C564" s="110">
        <v>2.1219999999999999</v>
      </c>
      <c r="D564" s="112">
        <v>42751</v>
      </c>
    </row>
    <row r="565" spans="1:5">
      <c r="A565" s="110" t="s">
        <v>1489</v>
      </c>
      <c r="B565" s="110" t="s">
        <v>1147</v>
      </c>
      <c r="C565" s="110">
        <v>2.1259999999999999</v>
      </c>
      <c r="D565" s="112">
        <v>42751</v>
      </c>
    </row>
    <row r="566" spans="1:5">
      <c r="A566" s="110" t="s">
        <v>1488</v>
      </c>
      <c r="B566" s="110" t="s">
        <v>1147</v>
      </c>
      <c r="C566" s="110">
        <v>2.1419999999999999</v>
      </c>
      <c r="D566" s="112">
        <v>42751</v>
      </c>
    </row>
    <row r="567" spans="1:5">
      <c r="A567" s="110" t="s">
        <v>1487</v>
      </c>
      <c r="B567" s="110" t="s">
        <v>1147</v>
      </c>
      <c r="C567" s="110">
        <v>1.9390000000000001</v>
      </c>
      <c r="D567" s="112">
        <v>42751</v>
      </c>
    </row>
    <row r="568" spans="1:5">
      <c r="A568" s="110" t="s">
        <v>1486</v>
      </c>
      <c r="B568" s="110" t="s">
        <v>1147</v>
      </c>
      <c r="C568" s="110">
        <v>1.95</v>
      </c>
      <c r="D568" s="112">
        <v>42751</v>
      </c>
    </row>
    <row r="569" spans="1:5">
      <c r="A569" s="110" t="s">
        <v>1485</v>
      </c>
      <c r="B569" s="110" t="s">
        <v>1147</v>
      </c>
      <c r="C569" s="110">
        <v>2.109</v>
      </c>
      <c r="D569" s="112">
        <v>42751</v>
      </c>
    </row>
    <row r="570" spans="1:5">
      <c r="A570" s="110" t="s">
        <v>1484</v>
      </c>
      <c r="B570" s="110" t="s">
        <v>1147</v>
      </c>
      <c r="C570" s="110">
        <v>2.0449999999999999</v>
      </c>
      <c r="D570" s="112">
        <v>42751</v>
      </c>
    </row>
    <row r="571" spans="1:5">
      <c r="A571" s="110" t="s">
        <v>1483</v>
      </c>
      <c r="B571" s="110" t="s">
        <v>1147</v>
      </c>
      <c r="C571" s="110">
        <v>2.0569999999999999</v>
      </c>
      <c r="D571" s="112">
        <v>42751</v>
      </c>
    </row>
    <row r="572" spans="1:5">
      <c r="A572" s="110" t="s">
        <v>1482</v>
      </c>
      <c r="B572" s="110" t="s">
        <v>1147</v>
      </c>
      <c r="C572" s="110">
        <v>2.0059999999999998</v>
      </c>
      <c r="D572" s="112">
        <v>42751</v>
      </c>
    </row>
    <row r="573" spans="1:5">
      <c r="A573" s="175" t="s">
        <v>1481</v>
      </c>
      <c r="B573" s="175" t="s">
        <v>1147</v>
      </c>
      <c r="C573" s="175">
        <v>1.9950000000000001</v>
      </c>
      <c r="D573" s="176">
        <v>42751</v>
      </c>
      <c r="E573" s="175" t="s">
        <v>2466</v>
      </c>
    </row>
    <row r="574" spans="1:5">
      <c r="A574" s="110" t="s">
        <v>1480</v>
      </c>
      <c r="B574" s="110" t="s">
        <v>1147</v>
      </c>
      <c r="C574" s="110">
        <v>2.1040000000000001</v>
      </c>
      <c r="D574" s="112">
        <v>42751</v>
      </c>
    </row>
    <row r="575" spans="1:5">
      <c r="A575" s="110" t="s">
        <v>1479</v>
      </c>
      <c r="B575" s="110" t="s">
        <v>1147</v>
      </c>
      <c r="C575" s="110">
        <v>2.0489999999999999</v>
      </c>
      <c r="D575" s="112">
        <v>42751</v>
      </c>
    </row>
    <row r="576" spans="1:5">
      <c r="A576" s="110" t="s">
        <v>1478</v>
      </c>
      <c r="B576" s="110" t="s">
        <v>1147</v>
      </c>
      <c r="C576" s="110">
        <v>1.972</v>
      </c>
      <c r="D576" s="112">
        <v>42751</v>
      </c>
    </row>
    <row r="577" spans="1:4">
      <c r="A577" s="110" t="s">
        <v>1477</v>
      </c>
      <c r="B577" s="110" t="s">
        <v>1147</v>
      </c>
      <c r="C577" s="110">
        <v>2.0019999999999998</v>
      </c>
      <c r="D577" s="112">
        <v>42751</v>
      </c>
    </row>
    <row r="578" spans="1:4">
      <c r="A578" s="110" t="s">
        <v>1476</v>
      </c>
      <c r="B578" s="110" t="s">
        <v>1147</v>
      </c>
      <c r="C578" s="110">
        <v>1.984</v>
      </c>
      <c r="D578" s="112">
        <v>42751</v>
      </c>
    </row>
    <row r="579" spans="1:4">
      <c r="A579" s="110" t="s">
        <v>1475</v>
      </c>
      <c r="B579" s="110" t="s">
        <v>1147</v>
      </c>
      <c r="C579" s="110">
        <v>1.9970000000000001</v>
      </c>
      <c r="D579" s="112">
        <v>42751</v>
      </c>
    </row>
    <row r="580" spans="1:4">
      <c r="A580" s="110" t="s">
        <v>1474</v>
      </c>
      <c r="B580" s="110" t="s">
        <v>1147</v>
      </c>
      <c r="C580" s="110">
        <v>2.056</v>
      </c>
      <c r="D580" s="112">
        <v>42751</v>
      </c>
    </row>
    <row r="581" spans="1:4">
      <c r="A581" s="110" t="s">
        <v>1473</v>
      </c>
      <c r="B581" s="110" t="s">
        <v>1147</v>
      </c>
      <c r="C581" s="110">
        <v>1.9830000000000001</v>
      </c>
      <c r="D581" s="112">
        <v>42751</v>
      </c>
    </row>
    <row r="582" spans="1:4">
      <c r="A582" s="110" t="s">
        <v>1472</v>
      </c>
      <c r="B582" s="110" t="s">
        <v>1147</v>
      </c>
      <c r="C582" s="110">
        <v>1.998</v>
      </c>
      <c r="D582" s="112">
        <v>42751</v>
      </c>
    </row>
    <row r="583" spans="1:4">
      <c r="A583" s="110" t="s">
        <v>1471</v>
      </c>
      <c r="B583" s="110" t="s">
        <v>1147</v>
      </c>
      <c r="C583" s="110">
        <v>2.012</v>
      </c>
      <c r="D583" s="112">
        <v>42751</v>
      </c>
    </row>
    <row r="584" spans="1:4">
      <c r="A584" s="110" t="s">
        <v>1470</v>
      </c>
      <c r="B584" s="110" t="s">
        <v>1147</v>
      </c>
      <c r="C584" s="110">
        <v>2.1440000000000001</v>
      </c>
      <c r="D584" s="112">
        <v>42751</v>
      </c>
    </row>
    <row r="585" spans="1:4">
      <c r="A585" s="110" t="s">
        <v>1469</v>
      </c>
      <c r="B585" s="110" t="s">
        <v>1147</v>
      </c>
      <c r="C585" s="110">
        <v>2.0070000000000001</v>
      </c>
      <c r="D585" s="112">
        <v>42751</v>
      </c>
    </row>
    <row r="586" spans="1:4">
      <c r="A586" s="110" t="s">
        <v>1468</v>
      </c>
      <c r="B586" s="110" t="s">
        <v>1147</v>
      </c>
      <c r="C586" s="110">
        <v>2.0219999999999998</v>
      </c>
      <c r="D586" s="112">
        <v>42751</v>
      </c>
    </row>
    <row r="587" spans="1:4">
      <c r="A587" s="110" t="s">
        <v>1467</v>
      </c>
      <c r="B587" s="110" t="s">
        <v>1147</v>
      </c>
      <c r="C587" s="110">
        <v>2.1829999999999998</v>
      </c>
      <c r="D587" s="112">
        <v>42751</v>
      </c>
    </row>
    <row r="588" spans="1:4">
      <c r="A588" s="110" t="s">
        <v>1466</v>
      </c>
      <c r="B588" s="110" t="s">
        <v>1147</v>
      </c>
      <c r="C588" s="110">
        <v>2.1960000000000002</v>
      </c>
      <c r="D588" s="112">
        <v>42751</v>
      </c>
    </row>
    <row r="589" spans="1:4">
      <c r="A589" s="110" t="s">
        <v>1465</v>
      </c>
      <c r="B589" s="110" t="s">
        <v>1147</v>
      </c>
      <c r="C589" s="110">
        <v>2.1669999999999998</v>
      </c>
      <c r="D589" s="112">
        <v>42751</v>
      </c>
    </row>
    <row r="590" spans="1:4">
      <c r="A590" s="110" t="s">
        <v>1464</v>
      </c>
      <c r="B590" s="110" t="s">
        <v>1147</v>
      </c>
      <c r="C590" s="110">
        <v>1.9590000000000001</v>
      </c>
      <c r="D590" s="112">
        <v>42751</v>
      </c>
    </row>
    <row r="591" spans="1:4">
      <c r="A591" s="110" t="s">
        <v>1463</v>
      </c>
      <c r="B591" s="110" t="s">
        <v>1147</v>
      </c>
      <c r="C591" s="110">
        <v>2.0640000000000001</v>
      </c>
      <c r="D591" s="112">
        <v>42751</v>
      </c>
    </row>
    <row r="592" spans="1:4">
      <c r="A592" s="110" t="s">
        <v>1462</v>
      </c>
      <c r="B592" s="110" t="s">
        <v>1147</v>
      </c>
      <c r="C592" s="110">
        <v>2.14</v>
      </c>
      <c r="D592" s="112">
        <v>42751</v>
      </c>
    </row>
    <row r="593" spans="1:4">
      <c r="A593" s="110" t="s">
        <v>1461</v>
      </c>
      <c r="B593" s="110" t="s">
        <v>1147</v>
      </c>
      <c r="C593" s="110">
        <v>2.0419999999999998</v>
      </c>
      <c r="D593" s="112">
        <v>42751</v>
      </c>
    </row>
    <row r="594" spans="1:4">
      <c r="A594" s="110" t="s">
        <v>1460</v>
      </c>
      <c r="B594" s="110" t="s">
        <v>1147</v>
      </c>
      <c r="C594" s="110">
        <v>2.0830000000000002</v>
      </c>
      <c r="D594" s="112">
        <v>42751</v>
      </c>
    </row>
    <row r="595" spans="1:4">
      <c r="A595" s="110" t="s">
        <v>1459</v>
      </c>
      <c r="B595" s="110" t="s">
        <v>1147</v>
      </c>
      <c r="C595" s="110">
        <v>2.0920000000000001</v>
      </c>
      <c r="D595" s="112">
        <v>42751</v>
      </c>
    </row>
    <row r="596" spans="1:4">
      <c r="A596" s="110" t="s">
        <v>1458</v>
      </c>
      <c r="B596" s="110" t="s">
        <v>1147</v>
      </c>
      <c r="C596" s="110">
        <v>2.0699999999999998</v>
      </c>
      <c r="D596" s="112">
        <v>42751</v>
      </c>
    </row>
    <row r="597" spans="1:4">
      <c r="A597" s="110" t="s">
        <v>1457</v>
      </c>
      <c r="B597" s="110" t="s">
        <v>1147</v>
      </c>
      <c r="C597" s="110">
        <v>2.093</v>
      </c>
      <c r="D597" s="112">
        <v>42751</v>
      </c>
    </row>
    <row r="598" spans="1:4">
      <c r="A598" s="110" t="s">
        <v>1456</v>
      </c>
      <c r="B598" s="110" t="s">
        <v>1147</v>
      </c>
      <c r="C598" s="110">
        <v>2.0680000000000001</v>
      </c>
      <c r="D598" s="112">
        <v>42751</v>
      </c>
    </row>
    <row r="599" spans="1:4">
      <c r="A599" s="110" t="s">
        <v>1455</v>
      </c>
      <c r="B599" s="110" t="s">
        <v>1147</v>
      </c>
      <c r="C599" s="110">
        <v>2.1160000000000001</v>
      </c>
      <c r="D599" s="112">
        <v>42751</v>
      </c>
    </row>
    <row r="600" spans="1:4">
      <c r="A600" s="110" t="s">
        <v>1454</v>
      </c>
      <c r="B600" s="110" t="s">
        <v>1147</v>
      </c>
      <c r="C600" s="110">
        <v>2.0179999999999998</v>
      </c>
      <c r="D600" s="112">
        <v>42751</v>
      </c>
    </row>
    <row r="601" spans="1:4">
      <c r="A601" s="110" t="s">
        <v>1453</v>
      </c>
      <c r="B601" s="110" t="s">
        <v>1147</v>
      </c>
      <c r="C601" s="110">
        <v>1.948</v>
      </c>
      <c r="D601" s="112">
        <v>42751</v>
      </c>
    </row>
    <row r="602" spans="1:4">
      <c r="A602" s="110" t="s">
        <v>1452</v>
      </c>
      <c r="B602" s="110" t="s">
        <v>1147</v>
      </c>
      <c r="C602" s="110">
        <v>2.1680000000000001</v>
      </c>
      <c r="D602" s="112">
        <v>42751</v>
      </c>
    </row>
    <row r="603" spans="1:4">
      <c r="A603" s="110" t="s">
        <v>1451</v>
      </c>
      <c r="B603" s="110" t="s">
        <v>1147</v>
      </c>
      <c r="C603" s="110">
        <v>2.0760000000000001</v>
      </c>
      <c r="D603" s="112">
        <v>42751</v>
      </c>
    </row>
    <row r="604" spans="1:4">
      <c r="A604" s="110" t="s">
        <v>1450</v>
      </c>
      <c r="B604" s="110" t="s">
        <v>1147</v>
      </c>
      <c r="C604" s="110">
        <v>2.0049999999999999</v>
      </c>
      <c r="D604" s="112">
        <v>42751</v>
      </c>
    </row>
    <row r="605" spans="1:4">
      <c r="A605" s="110" t="s">
        <v>1449</v>
      </c>
      <c r="B605" s="110" t="s">
        <v>1147</v>
      </c>
      <c r="C605" s="110">
        <v>2.0099999999999998</v>
      </c>
      <c r="D605" s="112">
        <v>42752</v>
      </c>
    </row>
    <row r="606" spans="1:4">
      <c r="A606" s="110" t="s">
        <v>1448</v>
      </c>
      <c r="B606" s="110" t="s">
        <v>1147</v>
      </c>
      <c r="C606" s="110">
        <v>2.1030000000000002</v>
      </c>
      <c r="D606" s="112">
        <v>42752</v>
      </c>
    </row>
    <row r="607" spans="1:4">
      <c r="A607" s="110" t="s">
        <v>1447</v>
      </c>
      <c r="B607" s="110" t="s">
        <v>1147</v>
      </c>
      <c r="C607" s="110">
        <v>2.0430000000000001</v>
      </c>
      <c r="D607" s="112">
        <v>42752</v>
      </c>
    </row>
    <row r="608" spans="1:4">
      <c r="A608" s="110" t="s">
        <v>1446</v>
      </c>
      <c r="B608" s="110" t="s">
        <v>1147</v>
      </c>
      <c r="C608" s="110">
        <v>2.0390000000000001</v>
      </c>
      <c r="D608" s="112">
        <v>42752</v>
      </c>
    </row>
    <row r="609" spans="1:5">
      <c r="A609" s="110" t="s">
        <v>1445</v>
      </c>
      <c r="B609" s="110" t="s">
        <v>1147</v>
      </c>
      <c r="C609" s="110">
        <v>2.0459999999999998</v>
      </c>
      <c r="D609" s="112">
        <v>42752</v>
      </c>
    </row>
    <row r="610" spans="1:5">
      <c r="A610" s="110" t="s">
        <v>1444</v>
      </c>
      <c r="B610" s="110" t="s">
        <v>1147</v>
      </c>
      <c r="C610" s="110">
        <v>1.921</v>
      </c>
      <c r="D610" s="112">
        <v>42752</v>
      </c>
    </row>
    <row r="611" spans="1:5">
      <c r="A611" s="110" t="s">
        <v>1443</v>
      </c>
      <c r="B611" s="110" t="s">
        <v>1147</v>
      </c>
      <c r="C611" s="110">
        <v>1.9450000000000001</v>
      </c>
      <c r="D611" s="112">
        <v>42752</v>
      </c>
    </row>
    <row r="612" spans="1:5">
      <c r="A612" s="110" t="s">
        <v>1442</v>
      </c>
      <c r="B612" s="110" t="s">
        <v>1147</v>
      </c>
      <c r="C612" s="110">
        <v>2.0259999999999998</v>
      </c>
      <c r="D612" s="112">
        <v>42752</v>
      </c>
    </row>
    <row r="613" spans="1:5">
      <c r="A613" s="110" t="s">
        <v>1441</v>
      </c>
      <c r="B613" s="110" t="s">
        <v>1147</v>
      </c>
      <c r="C613" s="110">
        <v>2.089</v>
      </c>
      <c r="D613" s="112">
        <v>42752</v>
      </c>
    </row>
    <row r="614" spans="1:5">
      <c r="A614" s="110" t="s">
        <v>1440</v>
      </c>
      <c r="B614" s="110" t="s">
        <v>1147</v>
      </c>
      <c r="C614" s="110">
        <v>2.0379999999999998</v>
      </c>
      <c r="D614" s="112">
        <v>42752</v>
      </c>
    </row>
    <row r="615" spans="1:5">
      <c r="A615" s="175" t="s">
        <v>1439</v>
      </c>
      <c r="B615" s="175" t="s">
        <v>1147</v>
      </c>
      <c r="C615" s="175">
        <v>1.99</v>
      </c>
      <c r="D615" s="176">
        <v>42752</v>
      </c>
      <c r="E615" s="175" t="s">
        <v>2466</v>
      </c>
    </row>
    <row r="616" spans="1:5">
      <c r="A616" s="110" t="s">
        <v>1438</v>
      </c>
      <c r="B616" s="110" t="s">
        <v>1147</v>
      </c>
      <c r="C616" s="110">
        <v>2.004</v>
      </c>
      <c r="D616" s="112">
        <v>42752</v>
      </c>
    </row>
    <row r="617" spans="1:5">
      <c r="A617" s="110" t="s">
        <v>1437</v>
      </c>
      <c r="B617" s="110" t="s">
        <v>1147</v>
      </c>
      <c r="C617" s="110">
        <v>2.0339999999999998</v>
      </c>
      <c r="D617" s="112">
        <v>42752</v>
      </c>
    </row>
    <row r="618" spans="1:5">
      <c r="A618" s="110" t="s">
        <v>1436</v>
      </c>
      <c r="B618" s="110" t="s">
        <v>1147</v>
      </c>
      <c r="C618" s="110">
        <v>2.1709999999999998</v>
      </c>
      <c r="D618" s="112">
        <v>42752</v>
      </c>
    </row>
    <row r="619" spans="1:5">
      <c r="A619" s="110" t="s">
        <v>1435</v>
      </c>
      <c r="B619" s="110" t="s">
        <v>1147</v>
      </c>
      <c r="C619" s="110">
        <v>1.9630000000000001</v>
      </c>
      <c r="D619" s="112">
        <v>42752</v>
      </c>
    </row>
    <row r="620" spans="1:5">
      <c r="A620" s="110" t="s">
        <v>1434</v>
      </c>
      <c r="B620" s="110" t="s">
        <v>1147</v>
      </c>
      <c r="C620" s="110">
        <v>1.978</v>
      </c>
      <c r="D620" s="112">
        <v>42752</v>
      </c>
    </row>
    <row r="621" spans="1:5">
      <c r="A621" s="110" t="s">
        <v>1433</v>
      </c>
      <c r="B621" s="110" t="s">
        <v>1147</v>
      </c>
      <c r="C621" s="110">
        <v>2.0880000000000001</v>
      </c>
      <c r="D621" s="112">
        <v>42752</v>
      </c>
    </row>
    <row r="622" spans="1:5">
      <c r="A622" s="110" t="s">
        <v>1432</v>
      </c>
      <c r="B622" s="110" t="s">
        <v>1147</v>
      </c>
      <c r="C622" s="110">
        <v>2.0449999999999999</v>
      </c>
      <c r="D622" s="112">
        <v>42752</v>
      </c>
    </row>
    <row r="623" spans="1:5">
      <c r="A623" s="110" t="s">
        <v>1431</v>
      </c>
      <c r="B623" s="110" t="s">
        <v>1147</v>
      </c>
      <c r="C623" s="110">
        <v>2.036</v>
      </c>
      <c r="D623" s="112">
        <v>42752</v>
      </c>
    </row>
    <row r="624" spans="1:5">
      <c r="A624" s="110" t="s">
        <v>1430</v>
      </c>
      <c r="B624" s="110" t="s">
        <v>1147</v>
      </c>
      <c r="C624" s="110">
        <v>2.0019999999999998</v>
      </c>
      <c r="D624" s="112">
        <v>42752</v>
      </c>
    </row>
    <row r="625" spans="1:4">
      <c r="A625" s="110" t="s">
        <v>1429</v>
      </c>
      <c r="B625" s="110" t="s">
        <v>1147</v>
      </c>
      <c r="C625" s="110">
        <v>1.925</v>
      </c>
      <c r="D625" s="112">
        <v>42752</v>
      </c>
    </row>
    <row r="626" spans="1:4">
      <c r="A626" s="110" t="s">
        <v>1428</v>
      </c>
      <c r="B626" s="110" t="s">
        <v>1147</v>
      </c>
      <c r="C626" s="110">
        <v>1.978</v>
      </c>
      <c r="D626" s="112">
        <v>42752</v>
      </c>
    </row>
    <row r="627" spans="1:4">
      <c r="A627" s="110" t="s">
        <v>1427</v>
      </c>
      <c r="B627" s="110" t="s">
        <v>1147</v>
      </c>
      <c r="C627" s="110">
        <v>2.1040000000000001</v>
      </c>
      <c r="D627" s="112">
        <v>42752</v>
      </c>
    </row>
    <row r="628" spans="1:4">
      <c r="A628" s="110" t="s">
        <v>1426</v>
      </c>
      <c r="B628" s="110" t="s">
        <v>1147</v>
      </c>
      <c r="C628" s="110">
        <v>2.024</v>
      </c>
      <c r="D628" s="112">
        <v>42752</v>
      </c>
    </row>
    <row r="629" spans="1:4">
      <c r="A629" s="110" t="s">
        <v>1425</v>
      </c>
      <c r="B629" s="110" t="s">
        <v>1147</v>
      </c>
      <c r="C629" s="110">
        <v>1.9650000000000001</v>
      </c>
      <c r="D629" s="112">
        <v>42752</v>
      </c>
    </row>
    <row r="630" spans="1:4">
      <c r="A630" s="110" t="s">
        <v>1424</v>
      </c>
      <c r="B630" s="110" t="s">
        <v>1147</v>
      </c>
      <c r="C630" s="110">
        <v>2.1179999999999999</v>
      </c>
      <c r="D630" s="112">
        <v>42752</v>
      </c>
    </row>
    <row r="631" spans="1:4">
      <c r="A631" s="110" t="s">
        <v>1423</v>
      </c>
      <c r="B631" s="110" t="s">
        <v>1147</v>
      </c>
      <c r="C631" s="110">
        <v>2.153</v>
      </c>
      <c r="D631" s="112">
        <v>42752</v>
      </c>
    </row>
    <row r="632" spans="1:4">
      <c r="A632" s="110" t="s">
        <v>1422</v>
      </c>
      <c r="B632" s="110" t="s">
        <v>1147</v>
      </c>
      <c r="C632" s="110">
        <v>2.0739999999999998</v>
      </c>
      <c r="D632" s="112">
        <v>42752</v>
      </c>
    </row>
    <row r="633" spans="1:4">
      <c r="A633" s="110" t="s">
        <v>1421</v>
      </c>
      <c r="B633" s="110" t="s">
        <v>1147</v>
      </c>
      <c r="C633" s="110">
        <v>1.978</v>
      </c>
      <c r="D633" s="112">
        <v>42752</v>
      </c>
    </row>
    <row r="634" spans="1:4">
      <c r="A634" s="110" t="s">
        <v>1420</v>
      </c>
      <c r="B634" s="110" t="s">
        <v>1147</v>
      </c>
      <c r="C634" s="110">
        <v>2.12</v>
      </c>
      <c r="D634" s="112">
        <v>42752</v>
      </c>
    </row>
    <row r="635" spans="1:4">
      <c r="A635" s="110" t="s">
        <v>1419</v>
      </c>
      <c r="B635" s="110" t="s">
        <v>1147</v>
      </c>
      <c r="C635" s="110">
        <v>1.99</v>
      </c>
      <c r="D635" s="112">
        <v>42752</v>
      </c>
    </row>
    <row r="636" spans="1:4">
      <c r="A636" s="110" t="s">
        <v>1418</v>
      </c>
      <c r="B636" s="110" t="s">
        <v>1147</v>
      </c>
      <c r="C636" s="110">
        <v>2.0779999999999998</v>
      </c>
      <c r="D636" s="112">
        <v>42752</v>
      </c>
    </row>
    <row r="637" spans="1:4">
      <c r="A637" s="110" t="s">
        <v>1417</v>
      </c>
      <c r="B637" s="110" t="s">
        <v>1147</v>
      </c>
      <c r="C637" s="110">
        <v>2.0630000000000002</v>
      </c>
      <c r="D637" s="112">
        <v>42752</v>
      </c>
    </row>
    <row r="638" spans="1:4">
      <c r="A638" s="110" t="s">
        <v>1416</v>
      </c>
      <c r="B638" s="110" t="s">
        <v>1147</v>
      </c>
      <c r="C638" s="110">
        <v>2.02</v>
      </c>
      <c r="D638" s="112">
        <v>42752</v>
      </c>
    </row>
    <row r="639" spans="1:4">
      <c r="A639" s="110" t="s">
        <v>1415</v>
      </c>
      <c r="B639" s="110" t="s">
        <v>1147</v>
      </c>
      <c r="C639" s="110">
        <v>2.073</v>
      </c>
      <c r="D639" s="112">
        <v>42752</v>
      </c>
    </row>
    <row r="640" spans="1:4">
      <c r="A640" s="110" t="s">
        <v>1414</v>
      </c>
      <c r="B640" s="110" t="s">
        <v>1147</v>
      </c>
      <c r="C640" s="110">
        <v>2.133</v>
      </c>
      <c r="D640" s="112">
        <v>42752</v>
      </c>
    </row>
    <row r="641" spans="1:4">
      <c r="A641" s="110" t="s">
        <v>1413</v>
      </c>
      <c r="B641" s="110" t="s">
        <v>1147</v>
      </c>
      <c r="C641" s="110">
        <v>2.1110000000000002</v>
      </c>
      <c r="D641" s="112">
        <v>42752</v>
      </c>
    </row>
    <row r="642" spans="1:4">
      <c r="A642" s="110" t="s">
        <v>1412</v>
      </c>
      <c r="B642" s="110" t="s">
        <v>1147</v>
      </c>
      <c r="C642" s="110">
        <v>2.0409999999999999</v>
      </c>
      <c r="D642" s="112">
        <v>42752</v>
      </c>
    </row>
    <row r="643" spans="1:4">
      <c r="A643" s="110" t="s">
        <v>1411</v>
      </c>
      <c r="B643" s="110" t="s">
        <v>1147</v>
      </c>
      <c r="C643" s="110">
        <v>2.1909999999999998</v>
      </c>
      <c r="D643" s="112">
        <v>42752</v>
      </c>
    </row>
    <row r="644" spans="1:4">
      <c r="A644" s="110" t="s">
        <v>1410</v>
      </c>
      <c r="B644" s="110" t="s">
        <v>1147</v>
      </c>
      <c r="C644" s="110">
        <v>2.0640000000000001</v>
      </c>
      <c r="D644" s="112">
        <v>42752</v>
      </c>
    </row>
    <row r="645" spans="1:4">
      <c r="A645" s="110" t="s">
        <v>1409</v>
      </c>
      <c r="B645" s="110" t="s">
        <v>1147</v>
      </c>
      <c r="C645" s="110">
        <v>2.14</v>
      </c>
      <c r="D645" s="112">
        <v>42752</v>
      </c>
    </row>
    <row r="646" spans="1:4">
      <c r="A646" s="110" t="s">
        <v>1408</v>
      </c>
      <c r="B646" s="110" t="s">
        <v>1147</v>
      </c>
      <c r="C646" s="110">
        <v>2.1269999999999998</v>
      </c>
      <c r="D646" s="112">
        <v>42752</v>
      </c>
    </row>
    <row r="647" spans="1:4">
      <c r="A647" s="110" t="s">
        <v>1407</v>
      </c>
      <c r="B647" s="110" t="s">
        <v>1147</v>
      </c>
      <c r="C647" s="110">
        <v>2.0510000000000002</v>
      </c>
      <c r="D647" s="112">
        <v>42752</v>
      </c>
    </row>
    <row r="648" spans="1:4">
      <c r="A648" s="110" t="s">
        <v>1406</v>
      </c>
      <c r="B648" s="110" t="s">
        <v>1147</v>
      </c>
      <c r="C648" s="110">
        <v>2.157</v>
      </c>
      <c r="D648" s="112">
        <v>42752</v>
      </c>
    </row>
    <row r="649" spans="1:4">
      <c r="A649" s="110" t="s">
        <v>1405</v>
      </c>
      <c r="B649" s="110" t="s">
        <v>1147</v>
      </c>
      <c r="C649" s="110">
        <v>2.238</v>
      </c>
      <c r="D649" s="112">
        <v>42752</v>
      </c>
    </row>
    <row r="650" spans="1:4">
      <c r="A650" s="110" t="s">
        <v>1404</v>
      </c>
      <c r="B650" s="110" t="s">
        <v>1147</v>
      </c>
      <c r="C650" s="110">
        <v>2.1629999999999998</v>
      </c>
      <c r="D650" s="112">
        <v>42752</v>
      </c>
    </row>
    <row r="651" spans="1:4">
      <c r="A651" s="110" t="s">
        <v>1403</v>
      </c>
      <c r="B651" s="110" t="s">
        <v>1147</v>
      </c>
      <c r="C651" s="110">
        <v>2.1240000000000001</v>
      </c>
      <c r="D651" s="112">
        <v>42752</v>
      </c>
    </row>
    <row r="652" spans="1:4">
      <c r="A652" s="110" t="s">
        <v>1402</v>
      </c>
      <c r="B652" s="110" t="s">
        <v>1147</v>
      </c>
      <c r="C652" s="110">
        <v>2.0249999999999999</v>
      </c>
      <c r="D652" s="112">
        <v>42752</v>
      </c>
    </row>
    <row r="653" spans="1:4">
      <c r="A653" s="110" t="s">
        <v>1401</v>
      </c>
      <c r="B653" s="110" t="s">
        <v>1147</v>
      </c>
      <c r="C653" s="110">
        <v>2.1379999999999999</v>
      </c>
      <c r="D653" s="112">
        <v>42752</v>
      </c>
    </row>
    <row r="654" spans="1:4">
      <c r="A654" s="110" t="s">
        <v>1400</v>
      </c>
      <c r="B654" s="110" t="s">
        <v>1147</v>
      </c>
      <c r="C654" s="110">
        <v>2.0270000000000001</v>
      </c>
      <c r="D654" s="112">
        <v>42752</v>
      </c>
    </row>
    <row r="655" spans="1:4">
      <c r="A655" s="110" t="s">
        <v>1399</v>
      </c>
      <c r="B655" s="110" t="s">
        <v>1147</v>
      </c>
      <c r="C655" s="110">
        <v>1.97</v>
      </c>
      <c r="D655" s="112">
        <v>42752</v>
      </c>
    </row>
    <row r="656" spans="1:4">
      <c r="A656" s="110" t="s">
        <v>1398</v>
      </c>
      <c r="B656" s="110" t="s">
        <v>1147</v>
      </c>
      <c r="C656" s="110">
        <v>2.024</v>
      </c>
      <c r="D656" s="112">
        <v>42752</v>
      </c>
    </row>
    <row r="657" spans="1:4">
      <c r="A657" s="110" t="s">
        <v>1397</v>
      </c>
      <c r="B657" s="110" t="s">
        <v>1147</v>
      </c>
      <c r="C657" s="110">
        <v>2.089</v>
      </c>
      <c r="D657" s="112">
        <v>42752</v>
      </c>
    </row>
    <row r="658" spans="1:4">
      <c r="A658" s="110" t="s">
        <v>1396</v>
      </c>
      <c r="B658" s="110" t="s">
        <v>1147</v>
      </c>
      <c r="C658" s="110">
        <v>2.0169999999999999</v>
      </c>
      <c r="D658" s="112">
        <v>42752</v>
      </c>
    </row>
    <row r="659" spans="1:4">
      <c r="A659" s="110" t="s">
        <v>1395</v>
      </c>
      <c r="B659" s="110" t="s">
        <v>1147</v>
      </c>
      <c r="C659" s="110">
        <v>2.0009999999999999</v>
      </c>
      <c r="D659" s="112">
        <v>42752</v>
      </c>
    </row>
    <row r="660" spans="1:4">
      <c r="A660" s="110" t="s">
        <v>1394</v>
      </c>
      <c r="B660" s="110" t="s">
        <v>1147</v>
      </c>
      <c r="C660" s="110">
        <v>2.1320000000000001</v>
      </c>
      <c r="D660" s="112">
        <v>42752</v>
      </c>
    </row>
    <row r="661" spans="1:4">
      <c r="A661" s="110" t="s">
        <v>1393</v>
      </c>
      <c r="B661" s="110" t="s">
        <v>1147</v>
      </c>
      <c r="C661" s="110">
        <v>1.9910000000000001</v>
      </c>
      <c r="D661" s="112">
        <v>42752</v>
      </c>
    </row>
    <row r="662" spans="1:4">
      <c r="A662" s="110" t="s">
        <v>1392</v>
      </c>
      <c r="B662" s="110" t="s">
        <v>1147</v>
      </c>
      <c r="C662" s="110">
        <v>2.129</v>
      </c>
      <c r="D662" s="112">
        <v>42752</v>
      </c>
    </row>
    <row r="663" spans="1:4">
      <c r="A663" s="110" t="s">
        <v>1391</v>
      </c>
      <c r="B663" s="110" t="s">
        <v>1147</v>
      </c>
      <c r="C663" s="110">
        <v>2.0529999999999999</v>
      </c>
      <c r="D663" s="112">
        <v>42752</v>
      </c>
    </row>
    <row r="664" spans="1:4">
      <c r="A664" s="110" t="s">
        <v>1390</v>
      </c>
      <c r="B664" s="110" t="s">
        <v>1147</v>
      </c>
      <c r="C664" s="110">
        <v>2.0339999999999998</v>
      </c>
      <c r="D664" s="112">
        <v>42752</v>
      </c>
    </row>
    <row r="665" spans="1:4">
      <c r="A665" s="110" t="s">
        <v>1389</v>
      </c>
      <c r="B665" s="110" t="s">
        <v>1147</v>
      </c>
      <c r="C665" s="110">
        <v>2.0630000000000002</v>
      </c>
      <c r="D665" s="112">
        <v>42752</v>
      </c>
    </row>
    <row r="666" spans="1:4">
      <c r="A666" s="110" t="s">
        <v>1388</v>
      </c>
      <c r="B666" s="110" t="s">
        <v>1147</v>
      </c>
      <c r="C666" s="110">
        <v>2.1349999999999998</v>
      </c>
      <c r="D666" s="112">
        <v>42752</v>
      </c>
    </row>
    <row r="667" spans="1:4">
      <c r="A667" s="110" t="s">
        <v>1387</v>
      </c>
      <c r="B667" s="110" t="s">
        <v>1147</v>
      </c>
      <c r="C667" s="110">
        <v>2.0760000000000001</v>
      </c>
      <c r="D667" s="112">
        <v>42752</v>
      </c>
    </row>
    <row r="668" spans="1:4">
      <c r="A668" s="110" t="s">
        <v>1386</v>
      </c>
      <c r="B668" s="110" t="s">
        <v>1147</v>
      </c>
      <c r="C668" s="110">
        <v>2.0510000000000002</v>
      </c>
      <c r="D668" s="112">
        <v>42752</v>
      </c>
    </row>
    <row r="669" spans="1:4">
      <c r="A669" s="110" t="s">
        <v>1385</v>
      </c>
      <c r="B669" s="110" t="s">
        <v>1147</v>
      </c>
      <c r="C669" s="110">
        <v>2.09</v>
      </c>
      <c r="D669" s="112">
        <v>42752</v>
      </c>
    </row>
    <row r="670" spans="1:4">
      <c r="A670" s="110" t="s">
        <v>1384</v>
      </c>
      <c r="B670" s="110" t="s">
        <v>1147</v>
      </c>
      <c r="C670" s="110">
        <v>2.0819999999999999</v>
      </c>
      <c r="D670" s="112">
        <v>42752</v>
      </c>
    </row>
    <row r="671" spans="1:4">
      <c r="A671" s="110" t="s">
        <v>1383</v>
      </c>
      <c r="B671" s="110" t="s">
        <v>1147</v>
      </c>
      <c r="C671" s="110">
        <v>2.048</v>
      </c>
      <c r="D671" s="112">
        <v>42752</v>
      </c>
    </row>
    <row r="672" spans="1:4">
      <c r="A672" s="110" t="s">
        <v>1382</v>
      </c>
      <c r="B672" s="110" t="s">
        <v>1147</v>
      </c>
      <c r="C672" s="110">
        <v>2.0299999999999998</v>
      </c>
      <c r="D672" s="112">
        <v>42752</v>
      </c>
    </row>
    <row r="673" spans="1:4">
      <c r="A673" s="110" t="s">
        <v>1381</v>
      </c>
      <c r="B673" s="110" t="s">
        <v>1147</v>
      </c>
      <c r="C673" s="110">
        <v>1.9359999999999999</v>
      </c>
      <c r="D673" s="112">
        <v>42752</v>
      </c>
    </row>
    <row r="674" spans="1:4">
      <c r="A674" s="110" t="s">
        <v>1380</v>
      </c>
      <c r="B674" s="110" t="s">
        <v>1147</v>
      </c>
      <c r="C674" s="110">
        <v>2.0950000000000002</v>
      </c>
      <c r="D674" s="112">
        <v>42752</v>
      </c>
    </row>
    <row r="675" spans="1:4">
      <c r="A675" s="110" t="s">
        <v>1379</v>
      </c>
      <c r="B675" s="110" t="s">
        <v>1147</v>
      </c>
      <c r="C675" s="110">
        <v>2.0510000000000002</v>
      </c>
      <c r="D675" s="112">
        <v>42752</v>
      </c>
    </row>
    <row r="676" spans="1:4">
      <c r="A676" s="110" t="s">
        <v>1378</v>
      </c>
      <c r="B676" s="110" t="s">
        <v>1147</v>
      </c>
      <c r="C676" s="110">
        <v>2.0350000000000001</v>
      </c>
      <c r="D676" s="112">
        <v>42752</v>
      </c>
    </row>
    <row r="677" spans="1:4">
      <c r="A677" s="110" t="s">
        <v>1377</v>
      </c>
      <c r="B677" s="110" t="s">
        <v>1147</v>
      </c>
      <c r="C677" s="110">
        <v>2.1160000000000001</v>
      </c>
      <c r="D677" s="112">
        <v>42752</v>
      </c>
    </row>
    <row r="678" spans="1:4">
      <c r="A678" s="110" t="s">
        <v>1376</v>
      </c>
      <c r="B678" s="110" t="s">
        <v>1147</v>
      </c>
      <c r="C678" s="110">
        <v>1.9950000000000001</v>
      </c>
      <c r="D678" s="112">
        <v>42752</v>
      </c>
    </row>
    <row r="679" spans="1:4">
      <c r="A679" s="110" t="s">
        <v>1375</v>
      </c>
      <c r="B679" s="110" t="s">
        <v>1147</v>
      </c>
      <c r="C679" s="110">
        <v>1.9950000000000001</v>
      </c>
      <c r="D679" s="112">
        <v>42752</v>
      </c>
    </row>
    <row r="680" spans="1:4">
      <c r="A680" s="110" t="s">
        <v>1374</v>
      </c>
      <c r="B680" s="110" t="s">
        <v>1147</v>
      </c>
      <c r="C680" s="110">
        <v>2.048</v>
      </c>
      <c r="D680" s="112">
        <v>42752</v>
      </c>
    </row>
    <row r="681" spans="1:4">
      <c r="A681" s="110" t="s">
        <v>1373</v>
      </c>
      <c r="B681" s="110" t="s">
        <v>1147</v>
      </c>
      <c r="C681" s="110">
        <v>2.1269999999999998</v>
      </c>
      <c r="D681" s="112">
        <v>42752</v>
      </c>
    </row>
    <row r="682" spans="1:4">
      <c r="A682" s="110" t="s">
        <v>1372</v>
      </c>
      <c r="B682" s="110" t="s">
        <v>1147</v>
      </c>
      <c r="C682" s="110">
        <v>2.012</v>
      </c>
      <c r="D682" s="112">
        <v>42752</v>
      </c>
    </row>
    <row r="683" spans="1:4">
      <c r="A683" s="110" t="s">
        <v>1371</v>
      </c>
      <c r="B683" s="110" t="s">
        <v>1147</v>
      </c>
      <c r="C683" s="110">
        <v>2.052</v>
      </c>
      <c r="D683" s="112">
        <v>42752</v>
      </c>
    </row>
    <row r="684" spans="1:4">
      <c r="A684" s="110" t="s">
        <v>1370</v>
      </c>
      <c r="B684" s="110" t="s">
        <v>1147</v>
      </c>
      <c r="C684" s="110">
        <v>2.0049999999999999</v>
      </c>
      <c r="D684" s="112">
        <v>42752</v>
      </c>
    </row>
    <row r="685" spans="1:4">
      <c r="A685" s="110" t="s">
        <v>1369</v>
      </c>
      <c r="B685" s="110" t="s">
        <v>1147</v>
      </c>
      <c r="C685" s="110">
        <v>2.0790000000000002</v>
      </c>
      <c r="D685" s="112">
        <v>42752</v>
      </c>
    </row>
    <row r="686" spans="1:4">
      <c r="A686" s="110" t="s">
        <v>1368</v>
      </c>
      <c r="B686" s="110" t="s">
        <v>1147</v>
      </c>
      <c r="C686" s="110">
        <v>2.0230000000000001</v>
      </c>
      <c r="D686" s="112">
        <v>42752</v>
      </c>
    </row>
    <row r="687" spans="1:4">
      <c r="A687" s="110" t="s">
        <v>1367</v>
      </c>
      <c r="B687" s="110" t="s">
        <v>1147</v>
      </c>
      <c r="C687" s="110">
        <v>2.1179999999999999</v>
      </c>
      <c r="D687" s="112">
        <v>42752</v>
      </c>
    </row>
    <row r="688" spans="1:4">
      <c r="A688" s="110" t="s">
        <v>1366</v>
      </c>
      <c r="B688" s="110" t="s">
        <v>1147</v>
      </c>
      <c r="C688" s="110">
        <v>2.0819999999999999</v>
      </c>
      <c r="D688" s="112">
        <v>42752</v>
      </c>
    </row>
    <row r="689" spans="1:4">
      <c r="A689" s="110" t="s">
        <v>1365</v>
      </c>
      <c r="B689" s="110" t="s">
        <v>1147</v>
      </c>
      <c r="C689" s="110">
        <v>1.9810000000000001</v>
      </c>
      <c r="D689" s="112">
        <v>42752</v>
      </c>
    </row>
    <row r="690" spans="1:4">
      <c r="A690" s="110" t="s">
        <v>1364</v>
      </c>
      <c r="B690" s="110" t="s">
        <v>1147</v>
      </c>
      <c r="C690" s="110">
        <v>1.9510000000000001</v>
      </c>
      <c r="D690" s="112">
        <v>42752</v>
      </c>
    </row>
    <row r="691" spans="1:4">
      <c r="A691" s="110" t="s">
        <v>1363</v>
      </c>
      <c r="B691" s="110" t="s">
        <v>1147</v>
      </c>
      <c r="C691" s="110">
        <v>2.0649999999999999</v>
      </c>
      <c r="D691" s="112">
        <v>42752</v>
      </c>
    </row>
    <row r="692" spans="1:4">
      <c r="A692" s="110" t="s">
        <v>1362</v>
      </c>
      <c r="B692" s="110" t="s">
        <v>1147</v>
      </c>
      <c r="C692" s="110">
        <v>2.125</v>
      </c>
      <c r="D692" s="112">
        <v>42752</v>
      </c>
    </row>
    <row r="693" spans="1:4">
      <c r="A693" s="110" t="s">
        <v>1361</v>
      </c>
      <c r="B693" s="110" t="s">
        <v>1147</v>
      </c>
      <c r="C693" s="110">
        <v>2.0339999999999998</v>
      </c>
      <c r="D693" s="112">
        <v>42752</v>
      </c>
    </row>
    <row r="694" spans="1:4">
      <c r="A694" s="110" t="s">
        <v>1360</v>
      </c>
      <c r="B694" s="110" t="s">
        <v>1147</v>
      </c>
      <c r="C694" s="110">
        <v>2.0739999999999998</v>
      </c>
      <c r="D694" s="112">
        <v>42752</v>
      </c>
    </row>
    <row r="695" spans="1:4">
      <c r="A695" s="110" t="s">
        <v>1359</v>
      </c>
      <c r="B695" s="110" t="s">
        <v>1147</v>
      </c>
      <c r="C695" s="110">
        <v>2.0950000000000002</v>
      </c>
      <c r="D695" s="112">
        <v>42752</v>
      </c>
    </row>
    <row r="696" spans="1:4">
      <c r="A696" s="110" t="s">
        <v>1358</v>
      </c>
      <c r="B696" s="110" t="s">
        <v>1147</v>
      </c>
      <c r="C696" s="110">
        <v>2.028</v>
      </c>
      <c r="D696" s="112">
        <v>42752</v>
      </c>
    </row>
    <row r="697" spans="1:4">
      <c r="A697" s="110" t="s">
        <v>1357</v>
      </c>
      <c r="B697" s="110" t="s">
        <v>1147</v>
      </c>
      <c r="C697" s="110">
        <v>2.0710000000000002</v>
      </c>
      <c r="D697" s="112">
        <v>42752</v>
      </c>
    </row>
    <row r="698" spans="1:4">
      <c r="A698" s="110" t="s">
        <v>1356</v>
      </c>
      <c r="B698" s="110" t="s">
        <v>1147</v>
      </c>
      <c r="C698" s="110">
        <v>1.992</v>
      </c>
      <c r="D698" s="112">
        <v>42752</v>
      </c>
    </row>
    <row r="699" spans="1:4">
      <c r="A699" s="110" t="s">
        <v>1355</v>
      </c>
      <c r="B699" s="110" t="s">
        <v>1147</v>
      </c>
      <c r="C699" s="110">
        <v>2.0190000000000001</v>
      </c>
      <c r="D699" s="112">
        <v>42752</v>
      </c>
    </row>
    <row r="700" spans="1:4">
      <c r="A700" s="110" t="s">
        <v>1354</v>
      </c>
      <c r="B700" s="110" t="s">
        <v>1147</v>
      </c>
      <c r="C700" s="110">
        <v>2.036</v>
      </c>
      <c r="D700" s="112">
        <v>42752</v>
      </c>
    </row>
    <row r="701" spans="1:4">
      <c r="A701" s="110" t="s">
        <v>1353</v>
      </c>
      <c r="B701" s="110" t="s">
        <v>1147</v>
      </c>
      <c r="C701" s="110">
        <v>2.1110000000000002</v>
      </c>
      <c r="D701" s="112">
        <v>42752</v>
      </c>
    </row>
    <row r="702" spans="1:4">
      <c r="A702" s="110" t="s">
        <v>1352</v>
      </c>
      <c r="B702" s="110" t="s">
        <v>1147</v>
      </c>
      <c r="C702" s="110">
        <v>2.085</v>
      </c>
      <c r="D702" s="112">
        <v>42752</v>
      </c>
    </row>
    <row r="703" spans="1:4">
      <c r="A703" s="110" t="s">
        <v>1351</v>
      </c>
      <c r="B703" s="110" t="s">
        <v>1147</v>
      </c>
      <c r="C703" s="110">
        <v>1.984</v>
      </c>
      <c r="D703" s="112">
        <v>42752</v>
      </c>
    </row>
    <row r="704" spans="1:4">
      <c r="A704" s="110" t="s">
        <v>1350</v>
      </c>
      <c r="B704" s="110" t="s">
        <v>1147</v>
      </c>
      <c r="C704" s="110">
        <v>2.0190000000000001</v>
      </c>
      <c r="D704" s="112">
        <v>42752</v>
      </c>
    </row>
    <row r="705" spans="1:4">
      <c r="A705" s="110" t="s">
        <v>1349</v>
      </c>
      <c r="B705" s="110" t="s">
        <v>1147</v>
      </c>
      <c r="C705" s="110">
        <v>1.9159999999999999</v>
      </c>
      <c r="D705" s="112">
        <v>42752</v>
      </c>
    </row>
    <row r="706" spans="1:4">
      <c r="A706" s="110" t="s">
        <v>1348</v>
      </c>
      <c r="B706" s="110" t="s">
        <v>1147</v>
      </c>
      <c r="C706" s="110">
        <v>2.109</v>
      </c>
      <c r="D706" s="112">
        <v>42752</v>
      </c>
    </row>
    <row r="707" spans="1:4">
      <c r="A707" s="110" t="s">
        <v>1347</v>
      </c>
      <c r="B707" s="110" t="s">
        <v>1147</v>
      </c>
      <c r="C707" s="110">
        <v>1.9159999999999999</v>
      </c>
      <c r="D707" s="112">
        <v>42752</v>
      </c>
    </row>
    <row r="708" spans="1:4">
      <c r="A708" s="110" t="s">
        <v>1346</v>
      </c>
      <c r="B708" s="110" t="s">
        <v>1147</v>
      </c>
      <c r="C708" s="110">
        <v>2.0219999999999998</v>
      </c>
      <c r="D708" s="112">
        <v>42752</v>
      </c>
    </row>
    <row r="709" spans="1:4">
      <c r="A709" s="110" t="s">
        <v>1345</v>
      </c>
      <c r="B709" s="110" t="s">
        <v>1147</v>
      </c>
      <c r="C709" s="110">
        <v>1.9830000000000001</v>
      </c>
      <c r="D709" s="112">
        <v>42752</v>
      </c>
    </row>
    <row r="710" spans="1:4">
      <c r="A710" s="110" t="s">
        <v>1344</v>
      </c>
      <c r="B710" s="110" t="s">
        <v>1147</v>
      </c>
      <c r="C710" s="110">
        <v>1.9450000000000001</v>
      </c>
      <c r="D710" s="112">
        <v>42752</v>
      </c>
    </row>
    <row r="711" spans="1:4">
      <c r="A711" s="110" t="s">
        <v>1343</v>
      </c>
      <c r="B711" s="110" t="s">
        <v>1147</v>
      </c>
      <c r="C711" s="110">
        <v>2.008</v>
      </c>
      <c r="D711" s="112">
        <v>42752</v>
      </c>
    </row>
    <row r="712" spans="1:4">
      <c r="A712" s="110" t="s">
        <v>1342</v>
      </c>
      <c r="B712" s="110" t="s">
        <v>1147</v>
      </c>
      <c r="C712" s="110">
        <v>2.0030000000000001</v>
      </c>
      <c r="D712" s="112">
        <v>42752</v>
      </c>
    </row>
    <row r="713" spans="1:4">
      <c r="A713" s="110" t="s">
        <v>1341</v>
      </c>
      <c r="B713" s="110" t="s">
        <v>1147</v>
      </c>
      <c r="C713" s="110">
        <v>1.9670000000000001</v>
      </c>
      <c r="D713" s="112">
        <v>42752</v>
      </c>
    </row>
    <row r="714" spans="1:4">
      <c r="A714" s="110" t="s">
        <v>1340</v>
      </c>
      <c r="B714" s="110" t="s">
        <v>1147</v>
      </c>
      <c r="C714" s="110">
        <v>2.0270000000000001</v>
      </c>
      <c r="D714" s="112">
        <v>42752</v>
      </c>
    </row>
    <row r="715" spans="1:4">
      <c r="A715" s="110" t="s">
        <v>1339</v>
      </c>
      <c r="B715" s="110" t="s">
        <v>1147</v>
      </c>
      <c r="C715" s="110">
        <v>2.1070000000000002</v>
      </c>
      <c r="D715" s="112">
        <v>42752</v>
      </c>
    </row>
    <row r="716" spans="1:4">
      <c r="A716" s="110" t="s">
        <v>1338</v>
      </c>
      <c r="B716" s="110" t="s">
        <v>1147</v>
      </c>
      <c r="C716" s="110">
        <v>2.0630000000000002</v>
      </c>
      <c r="D716" s="112">
        <v>42752</v>
      </c>
    </row>
    <row r="717" spans="1:4">
      <c r="A717" s="110" t="s">
        <v>1337</v>
      </c>
      <c r="B717" s="110" t="s">
        <v>1147</v>
      </c>
      <c r="C717" s="110">
        <v>2.1779999999999999</v>
      </c>
      <c r="D717" s="112">
        <v>42752</v>
      </c>
    </row>
    <row r="718" spans="1:4">
      <c r="A718" s="110" t="s">
        <v>1336</v>
      </c>
      <c r="B718" s="110" t="s">
        <v>1147</v>
      </c>
      <c r="C718" s="110">
        <v>2.0459999999999998</v>
      </c>
      <c r="D718" s="112">
        <v>42752</v>
      </c>
    </row>
    <row r="719" spans="1:4">
      <c r="A719" s="110" t="s">
        <v>1335</v>
      </c>
      <c r="B719" s="110" t="s">
        <v>1147</v>
      </c>
      <c r="C719" s="110">
        <v>2.0179999999999998</v>
      </c>
      <c r="D719" s="112">
        <v>42752</v>
      </c>
    </row>
    <row r="720" spans="1:4">
      <c r="A720" s="110" t="s">
        <v>1334</v>
      </c>
      <c r="B720" s="110" t="s">
        <v>1147</v>
      </c>
      <c r="C720" s="110">
        <v>2.117</v>
      </c>
      <c r="D720" s="112">
        <v>42752</v>
      </c>
    </row>
    <row r="721" spans="1:4">
      <c r="A721" s="110" t="s">
        <v>1333</v>
      </c>
      <c r="B721" s="110" t="s">
        <v>1147</v>
      </c>
      <c r="C721" s="110">
        <v>1.944</v>
      </c>
      <c r="D721" s="112">
        <v>42752</v>
      </c>
    </row>
    <row r="722" spans="1:4">
      <c r="A722" s="110" t="s">
        <v>1332</v>
      </c>
      <c r="B722" s="110" t="s">
        <v>1147</v>
      </c>
      <c r="C722" s="110">
        <v>2.0369999999999999</v>
      </c>
      <c r="D722" s="112">
        <v>42752</v>
      </c>
    </row>
    <row r="723" spans="1:4">
      <c r="A723" s="110" t="s">
        <v>1331</v>
      </c>
      <c r="B723" s="110" t="s">
        <v>1147</v>
      </c>
      <c r="C723" s="110">
        <v>2.02</v>
      </c>
      <c r="D723" s="112">
        <v>42752</v>
      </c>
    </row>
    <row r="724" spans="1:4">
      <c r="A724" s="110" t="s">
        <v>1330</v>
      </c>
      <c r="B724" s="110" t="s">
        <v>1147</v>
      </c>
      <c r="C724" s="110">
        <v>2.0350000000000001</v>
      </c>
      <c r="D724" s="112">
        <v>42752</v>
      </c>
    </row>
    <row r="725" spans="1:4">
      <c r="A725" s="110" t="s">
        <v>1329</v>
      </c>
      <c r="B725" s="110" t="s">
        <v>1147</v>
      </c>
      <c r="C725" s="110">
        <v>1.9910000000000001</v>
      </c>
      <c r="D725" s="112">
        <v>42752</v>
      </c>
    </row>
    <row r="726" spans="1:4">
      <c r="A726" s="110" t="s">
        <v>1328</v>
      </c>
      <c r="B726" s="110" t="s">
        <v>1147</v>
      </c>
      <c r="C726" s="110">
        <v>2.0790000000000002</v>
      </c>
      <c r="D726" s="112">
        <v>42752</v>
      </c>
    </row>
    <row r="727" spans="1:4">
      <c r="A727" s="110" t="s">
        <v>1327</v>
      </c>
      <c r="B727" s="110" t="s">
        <v>1147</v>
      </c>
      <c r="C727" s="110">
        <v>2.0129999999999999</v>
      </c>
      <c r="D727" s="112">
        <v>42752</v>
      </c>
    </row>
    <row r="728" spans="1:4">
      <c r="A728" s="110" t="s">
        <v>1326</v>
      </c>
      <c r="B728" s="110" t="s">
        <v>1147</v>
      </c>
      <c r="C728" s="110">
        <v>2.0289999999999999</v>
      </c>
      <c r="D728" s="112">
        <v>42752</v>
      </c>
    </row>
    <row r="729" spans="1:4">
      <c r="A729" s="110" t="s">
        <v>1325</v>
      </c>
      <c r="B729" s="110" t="s">
        <v>1147</v>
      </c>
      <c r="C729" s="110">
        <v>2.0270000000000001</v>
      </c>
      <c r="D729" s="112">
        <v>42752</v>
      </c>
    </row>
    <row r="730" spans="1:4">
      <c r="A730" s="110" t="s">
        <v>1324</v>
      </c>
      <c r="B730" s="110" t="s">
        <v>1147</v>
      </c>
      <c r="C730" s="110">
        <v>1.9950000000000001</v>
      </c>
      <c r="D730" s="112">
        <v>42752</v>
      </c>
    </row>
    <row r="731" spans="1:4">
      <c r="A731" s="110" t="s">
        <v>1323</v>
      </c>
      <c r="B731" s="110" t="s">
        <v>1147</v>
      </c>
      <c r="C731" s="110">
        <v>2.0270000000000001</v>
      </c>
      <c r="D731" s="112">
        <v>42752</v>
      </c>
    </row>
    <row r="732" spans="1:4">
      <c r="A732" s="110" t="s">
        <v>1322</v>
      </c>
      <c r="B732" s="110" t="s">
        <v>1147</v>
      </c>
      <c r="C732" s="110">
        <v>1.962</v>
      </c>
      <c r="D732" s="112">
        <v>42752</v>
      </c>
    </row>
    <row r="733" spans="1:4">
      <c r="A733" s="110" t="s">
        <v>1321</v>
      </c>
      <c r="B733" s="110" t="s">
        <v>1147</v>
      </c>
      <c r="C733" s="110">
        <v>1.984</v>
      </c>
      <c r="D733" s="112">
        <v>42752</v>
      </c>
    </row>
    <row r="734" spans="1:4">
      <c r="A734" s="110" t="s">
        <v>1320</v>
      </c>
      <c r="B734" s="110" t="s">
        <v>1147</v>
      </c>
      <c r="C734" s="110">
        <v>2.048</v>
      </c>
      <c r="D734" s="112">
        <v>42752</v>
      </c>
    </row>
    <row r="735" spans="1:4">
      <c r="A735" s="110" t="s">
        <v>1319</v>
      </c>
      <c r="B735" s="110" t="s">
        <v>1147</v>
      </c>
      <c r="C735" s="110">
        <v>2.14</v>
      </c>
      <c r="D735" s="112">
        <v>42752</v>
      </c>
    </row>
    <row r="736" spans="1:4">
      <c r="A736" s="110" t="s">
        <v>1318</v>
      </c>
      <c r="B736" s="110" t="s">
        <v>1147</v>
      </c>
      <c r="C736" s="110">
        <v>2.0880000000000001</v>
      </c>
      <c r="D736" s="112">
        <v>42752</v>
      </c>
    </row>
    <row r="737" spans="1:4">
      <c r="A737" s="110" t="s">
        <v>1317</v>
      </c>
      <c r="B737" s="110" t="s">
        <v>1147</v>
      </c>
      <c r="C737" s="110">
        <v>1.8280000000000001</v>
      </c>
      <c r="D737" s="112">
        <v>42752</v>
      </c>
    </row>
    <row r="738" spans="1:4">
      <c r="A738" s="110" t="s">
        <v>1316</v>
      </c>
      <c r="B738" s="110" t="s">
        <v>1147</v>
      </c>
      <c r="C738" s="110">
        <v>1.9870000000000001</v>
      </c>
      <c r="D738" s="112">
        <v>42752</v>
      </c>
    </row>
    <row r="739" spans="1:4">
      <c r="A739" s="110" t="s">
        <v>1315</v>
      </c>
      <c r="B739" s="110" t="s">
        <v>1147</v>
      </c>
      <c r="C739" s="110">
        <v>2.0950000000000002</v>
      </c>
      <c r="D739" s="112">
        <v>42752</v>
      </c>
    </row>
    <row r="740" spans="1:4">
      <c r="A740" s="110" t="s">
        <v>1314</v>
      </c>
      <c r="B740" s="110" t="s">
        <v>1147</v>
      </c>
      <c r="C740" s="110">
        <v>2.0760000000000001</v>
      </c>
      <c r="D740" s="112">
        <v>42752</v>
      </c>
    </row>
    <row r="741" spans="1:4">
      <c r="A741" s="110" t="s">
        <v>1313</v>
      </c>
      <c r="B741" s="110" t="s">
        <v>1147</v>
      </c>
      <c r="C741" s="110">
        <v>1.841</v>
      </c>
      <c r="D741" s="112">
        <v>42752</v>
      </c>
    </row>
    <row r="742" spans="1:4">
      <c r="A742" s="110" t="s">
        <v>1312</v>
      </c>
      <c r="B742" s="110" t="s">
        <v>1147</v>
      </c>
      <c r="C742" s="110">
        <v>2.0089999999999999</v>
      </c>
      <c r="D742" s="112">
        <v>42752</v>
      </c>
    </row>
    <row r="743" spans="1:4">
      <c r="A743" s="110" t="s">
        <v>1311</v>
      </c>
      <c r="B743" s="110" t="s">
        <v>1147</v>
      </c>
      <c r="C743" s="110">
        <v>2.0499999999999998</v>
      </c>
      <c r="D743" s="112">
        <v>42752</v>
      </c>
    </row>
    <row r="744" spans="1:4">
      <c r="A744" s="110" t="s">
        <v>1310</v>
      </c>
      <c r="B744" s="110" t="s">
        <v>1147</v>
      </c>
      <c r="C744" s="110">
        <v>1.915</v>
      </c>
      <c r="D744" s="112">
        <v>42752</v>
      </c>
    </row>
    <row r="745" spans="1:4">
      <c r="A745" s="110" t="s">
        <v>1309</v>
      </c>
      <c r="B745" s="110" t="s">
        <v>1147</v>
      </c>
      <c r="C745" s="110">
        <v>2.1019999999999999</v>
      </c>
      <c r="D745" s="112">
        <v>42752</v>
      </c>
    </row>
    <row r="746" spans="1:4">
      <c r="A746" s="110" t="s">
        <v>1308</v>
      </c>
      <c r="B746" s="110" t="s">
        <v>1147</v>
      </c>
      <c r="C746" s="110">
        <v>2.0510000000000002</v>
      </c>
      <c r="D746" s="112">
        <v>42752</v>
      </c>
    </row>
    <row r="747" spans="1:4">
      <c r="A747" s="110" t="s">
        <v>1307</v>
      </c>
      <c r="B747" s="110" t="s">
        <v>1147</v>
      </c>
      <c r="C747" s="110">
        <v>2.0339999999999998</v>
      </c>
      <c r="D747" s="112">
        <v>42752</v>
      </c>
    </row>
    <row r="748" spans="1:4">
      <c r="A748" s="110" t="s">
        <v>1306</v>
      </c>
      <c r="B748" s="110" t="s">
        <v>1147</v>
      </c>
      <c r="C748" s="110">
        <v>2.085</v>
      </c>
      <c r="D748" s="112">
        <v>42752</v>
      </c>
    </row>
    <row r="749" spans="1:4">
      <c r="A749" s="110" t="s">
        <v>1305</v>
      </c>
      <c r="B749" s="110" t="s">
        <v>1147</v>
      </c>
      <c r="C749" s="110">
        <v>1.9570000000000001</v>
      </c>
      <c r="D749" s="112">
        <v>42752</v>
      </c>
    </row>
    <row r="750" spans="1:4">
      <c r="A750" s="110" t="s">
        <v>1304</v>
      </c>
      <c r="B750" s="110" t="s">
        <v>1147</v>
      </c>
      <c r="C750" s="110">
        <v>2.198</v>
      </c>
      <c r="D750" s="112">
        <v>42752</v>
      </c>
    </row>
    <row r="751" spans="1:4">
      <c r="A751" s="110" t="s">
        <v>1303</v>
      </c>
      <c r="B751" s="110" t="s">
        <v>1147</v>
      </c>
      <c r="C751" s="110">
        <v>2.044</v>
      </c>
      <c r="D751" s="112">
        <v>42752</v>
      </c>
    </row>
    <row r="752" spans="1:4">
      <c r="A752" s="110" t="s">
        <v>1302</v>
      </c>
      <c r="B752" s="110" t="s">
        <v>1147</v>
      </c>
      <c r="C752" s="110">
        <v>2.081</v>
      </c>
      <c r="D752" s="112">
        <v>42752</v>
      </c>
    </row>
    <row r="753" spans="1:4">
      <c r="A753" s="110" t="s">
        <v>1301</v>
      </c>
      <c r="B753" s="110" t="s">
        <v>1147</v>
      </c>
      <c r="C753" s="110">
        <v>2.0179999999999998</v>
      </c>
      <c r="D753" s="112">
        <v>42752</v>
      </c>
    </row>
    <row r="754" spans="1:4">
      <c r="A754" s="110" t="s">
        <v>1300</v>
      </c>
      <c r="B754" s="110" t="s">
        <v>1147</v>
      </c>
      <c r="C754" s="110">
        <v>1.966</v>
      </c>
      <c r="D754" s="112">
        <v>42752</v>
      </c>
    </row>
    <row r="755" spans="1:4">
      <c r="A755" s="110" t="s">
        <v>1299</v>
      </c>
      <c r="B755" s="110" t="s">
        <v>1147</v>
      </c>
      <c r="C755" s="110">
        <v>2.0750000000000002</v>
      </c>
      <c r="D755" s="112">
        <v>42752</v>
      </c>
    </row>
    <row r="756" spans="1:4">
      <c r="A756" s="110" t="s">
        <v>1298</v>
      </c>
      <c r="B756" s="110" t="s">
        <v>1147</v>
      </c>
      <c r="C756" s="110">
        <v>2.15</v>
      </c>
      <c r="D756" s="112">
        <v>42752</v>
      </c>
    </row>
    <row r="757" spans="1:4">
      <c r="A757" s="110" t="s">
        <v>1297</v>
      </c>
      <c r="B757" s="110" t="s">
        <v>1147</v>
      </c>
      <c r="C757" s="110">
        <v>2.0649999999999999</v>
      </c>
      <c r="D757" s="112">
        <v>42752</v>
      </c>
    </row>
    <row r="758" spans="1:4">
      <c r="A758" s="110" t="s">
        <v>1296</v>
      </c>
      <c r="B758" s="110" t="s">
        <v>1147</v>
      </c>
      <c r="C758" s="110">
        <v>2.0609999999999999</v>
      </c>
      <c r="D758" s="112">
        <v>42752</v>
      </c>
    </row>
    <row r="759" spans="1:4">
      <c r="A759" s="110" t="s">
        <v>1295</v>
      </c>
      <c r="B759" s="110" t="s">
        <v>1147</v>
      </c>
      <c r="C759" s="110">
        <v>2.0190000000000001</v>
      </c>
      <c r="D759" s="112">
        <v>42752</v>
      </c>
    </row>
    <row r="760" spans="1:4">
      <c r="A760" s="110" t="s">
        <v>1294</v>
      </c>
      <c r="B760" s="110" t="s">
        <v>1147</v>
      </c>
      <c r="C760" s="110">
        <v>2.1459999999999999</v>
      </c>
      <c r="D760" s="112">
        <v>42752</v>
      </c>
    </row>
    <row r="761" spans="1:4">
      <c r="A761" s="110" t="s">
        <v>1293</v>
      </c>
      <c r="B761" s="110" t="s">
        <v>1147</v>
      </c>
      <c r="C761" s="110">
        <v>2.0670000000000002</v>
      </c>
      <c r="D761" s="112">
        <v>42752</v>
      </c>
    </row>
    <row r="762" spans="1:4">
      <c r="A762" s="110" t="s">
        <v>1292</v>
      </c>
      <c r="B762" s="110" t="s">
        <v>1147</v>
      </c>
      <c r="C762" s="110">
        <v>2.0310000000000001</v>
      </c>
      <c r="D762" s="112">
        <v>42752</v>
      </c>
    </row>
    <row r="763" spans="1:4">
      <c r="A763" s="110" t="s">
        <v>1291</v>
      </c>
      <c r="B763" s="110" t="s">
        <v>1147</v>
      </c>
      <c r="C763" s="110">
        <v>2.0539999999999998</v>
      </c>
      <c r="D763" s="112">
        <v>42752</v>
      </c>
    </row>
    <row r="764" spans="1:4">
      <c r="A764" s="110" t="s">
        <v>1290</v>
      </c>
      <c r="B764" s="110" t="s">
        <v>1147</v>
      </c>
      <c r="C764" s="110">
        <v>1.948</v>
      </c>
      <c r="D764" s="112">
        <v>42752</v>
      </c>
    </row>
    <row r="765" spans="1:4">
      <c r="A765" s="110" t="s">
        <v>1289</v>
      </c>
      <c r="B765" s="110" t="s">
        <v>1147</v>
      </c>
      <c r="C765" s="110">
        <v>2.0110000000000001</v>
      </c>
      <c r="D765" s="112">
        <v>42752</v>
      </c>
    </row>
    <row r="766" spans="1:4">
      <c r="A766" s="110" t="s">
        <v>1288</v>
      </c>
      <c r="B766" s="110" t="s">
        <v>1147</v>
      </c>
      <c r="C766" s="110">
        <v>2.016</v>
      </c>
      <c r="D766" s="112">
        <v>42752</v>
      </c>
    </row>
    <row r="767" spans="1:4">
      <c r="A767" s="110" t="s">
        <v>1287</v>
      </c>
      <c r="B767" s="110" t="s">
        <v>1147</v>
      </c>
      <c r="C767" s="110">
        <v>2.0590000000000002</v>
      </c>
      <c r="D767" s="112">
        <v>42752</v>
      </c>
    </row>
    <row r="768" spans="1:4">
      <c r="A768" s="110" t="s">
        <v>1286</v>
      </c>
      <c r="B768" s="110" t="s">
        <v>1147</v>
      </c>
      <c r="C768" s="110">
        <v>1.9510000000000001</v>
      </c>
      <c r="D768" s="112">
        <v>42752</v>
      </c>
    </row>
    <row r="769" spans="1:4">
      <c r="A769" s="110" t="s">
        <v>1285</v>
      </c>
      <c r="B769" s="110" t="s">
        <v>1147</v>
      </c>
      <c r="C769" s="110">
        <v>2.08</v>
      </c>
      <c r="D769" s="112">
        <v>42752</v>
      </c>
    </row>
    <row r="770" spans="1:4">
      <c r="A770" s="110" t="s">
        <v>1284</v>
      </c>
      <c r="B770" s="110" t="s">
        <v>1147</v>
      </c>
      <c r="C770" s="110">
        <v>2.0409999999999999</v>
      </c>
      <c r="D770" s="112">
        <v>42752</v>
      </c>
    </row>
    <row r="771" spans="1:4">
      <c r="A771" s="110" t="s">
        <v>1283</v>
      </c>
      <c r="B771" s="110" t="s">
        <v>1147</v>
      </c>
      <c r="C771" s="110">
        <v>1.8879999999999999</v>
      </c>
      <c r="D771" s="112">
        <v>42752</v>
      </c>
    </row>
    <row r="772" spans="1:4">
      <c r="A772" s="110" t="s">
        <v>1282</v>
      </c>
      <c r="B772" s="110" t="s">
        <v>1147</v>
      </c>
      <c r="C772" s="110">
        <v>2.0089999999999999</v>
      </c>
      <c r="D772" s="112">
        <v>42752</v>
      </c>
    </row>
    <row r="773" spans="1:4">
      <c r="A773" s="110" t="s">
        <v>1281</v>
      </c>
      <c r="B773" s="110" t="s">
        <v>1147</v>
      </c>
      <c r="C773" s="110">
        <v>2.0550000000000002</v>
      </c>
      <c r="D773" s="112">
        <v>42752</v>
      </c>
    </row>
    <row r="774" spans="1:4">
      <c r="A774" s="110" t="s">
        <v>1280</v>
      </c>
      <c r="B774" s="110" t="s">
        <v>1147</v>
      </c>
      <c r="C774" s="110">
        <v>1.958</v>
      </c>
      <c r="D774" s="112">
        <v>42752</v>
      </c>
    </row>
    <row r="775" spans="1:4">
      <c r="A775" s="110" t="s">
        <v>1279</v>
      </c>
      <c r="B775" s="110" t="s">
        <v>1147</v>
      </c>
      <c r="C775" s="110">
        <v>1.9910000000000001</v>
      </c>
      <c r="D775" s="112">
        <v>42752</v>
      </c>
    </row>
    <row r="776" spans="1:4">
      <c r="A776" s="110" t="s">
        <v>1278</v>
      </c>
      <c r="B776" s="110" t="s">
        <v>1147</v>
      </c>
      <c r="C776" s="110">
        <v>2.0419999999999998</v>
      </c>
      <c r="D776" s="112">
        <v>42752</v>
      </c>
    </row>
    <row r="777" spans="1:4">
      <c r="A777" s="110" t="s">
        <v>1277</v>
      </c>
      <c r="B777" s="110" t="s">
        <v>1147</v>
      </c>
      <c r="C777" s="110">
        <v>1.718</v>
      </c>
      <c r="D777" s="112">
        <v>42752</v>
      </c>
    </row>
    <row r="778" spans="1:4">
      <c r="A778" s="110" t="s">
        <v>1276</v>
      </c>
      <c r="B778" s="110" t="s">
        <v>1147</v>
      </c>
      <c r="C778" s="110">
        <v>2.0049999999999999</v>
      </c>
      <c r="D778" s="112">
        <v>42752</v>
      </c>
    </row>
    <row r="779" spans="1:4">
      <c r="A779" s="110" t="s">
        <v>1275</v>
      </c>
      <c r="B779" s="110" t="s">
        <v>1147</v>
      </c>
      <c r="C779" s="110">
        <v>2.1389999999999998</v>
      </c>
      <c r="D779" s="112">
        <v>42752</v>
      </c>
    </row>
    <row r="780" spans="1:4">
      <c r="A780" s="110" t="s">
        <v>1274</v>
      </c>
      <c r="B780" s="110" t="s">
        <v>1147</v>
      </c>
      <c r="C780" s="110">
        <v>1.9790000000000001</v>
      </c>
      <c r="D780" s="112">
        <v>42752</v>
      </c>
    </row>
    <row r="781" spans="1:4">
      <c r="A781" s="110" t="s">
        <v>1273</v>
      </c>
      <c r="B781" s="110" t="s">
        <v>1147</v>
      </c>
      <c r="C781" s="110">
        <v>2.0470000000000002</v>
      </c>
      <c r="D781" s="112">
        <v>42752</v>
      </c>
    </row>
    <row r="782" spans="1:4">
      <c r="A782" s="110" t="s">
        <v>1272</v>
      </c>
      <c r="B782" s="110" t="s">
        <v>1147</v>
      </c>
      <c r="C782" s="110">
        <v>1.992</v>
      </c>
      <c r="D782" s="112">
        <v>42752</v>
      </c>
    </row>
    <row r="783" spans="1:4">
      <c r="A783" s="110" t="s">
        <v>1271</v>
      </c>
      <c r="B783" s="110" t="s">
        <v>1147</v>
      </c>
      <c r="C783" s="110">
        <v>2.0110000000000001</v>
      </c>
      <c r="D783" s="112">
        <v>42752</v>
      </c>
    </row>
    <row r="784" spans="1:4">
      <c r="A784" s="110" t="s">
        <v>1270</v>
      </c>
      <c r="B784" s="110" t="s">
        <v>1147</v>
      </c>
      <c r="C784" s="110">
        <v>1.962</v>
      </c>
      <c r="D784" s="112">
        <v>42752</v>
      </c>
    </row>
    <row r="785" spans="1:4">
      <c r="A785" s="110" t="s">
        <v>1269</v>
      </c>
      <c r="B785" s="110" t="s">
        <v>1147</v>
      </c>
      <c r="C785" s="110">
        <v>2.0920000000000001</v>
      </c>
      <c r="D785" s="112">
        <v>42752</v>
      </c>
    </row>
    <row r="786" spans="1:4">
      <c r="A786" s="110" t="s">
        <v>1268</v>
      </c>
      <c r="B786" s="110" t="s">
        <v>1147</v>
      </c>
      <c r="C786" s="110">
        <v>1.9510000000000001</v>
      </c>
      <c r="D786" s="112">
        <v>42752</v>
      </c>
    </row>
    <row r="787" spans="1:4">
      <c r="A787" s="110" t="s">
        <v>1267</v>
      </c>
      <c r="B787" s="110" t="s">
        <v>1147</v>
      </c>
      <c r="C787" s="110">
        <v>1.976</v>
      </c>
      <c r="D787" s="112">
        <v>42752</v>
      </c>
    </row>
    <row r="788" spans="1:4">
      <c r="A788" s="110" t="s">
        <v>1266</v>
      </c>
      <c r="B788" s="110" t="s">
        <v>1147</v>
      </c>
      <c r="C788" s="110">
        <v>2.1070000000000002</v>
      </c>
      <c r="D788" s="112">
        <v>42752</v>
      </c>
    </row>
    <row r="789" spans="1:4">
      <c r="A789" s="110" t="s">
        <v>1265</v>
      </c>
      <c r="B789" s="110" t="s">
        <v>1147</v>
      </c>
      <c r="C789" s="110">
        <v>2.008</v>
      </c>
      <c r="D789" s="112">
        <v>42752</v>
      </c>
    </row>
    <row r="790" spans="1:4">
      <c r="A790" s="110" t="s">
        <v>1264</v>
      </c>
      <c r="B790" s="110" t="s">
        <v>1147</v>
      </c>
      <c r="C790" s="110">
        <v>2.097</v>
      </c>
      <c r="D790" s="112">
        <v>42752</v>
      </c>
    </row>
    <row r="791" spans="1:4">
      <c r="A791" s="110" t="s">
        <v>1263</v>
      </c>
      <c r="B791" s="110" t="s">
        <v>1147</v>
      </c>
      <c r="C791" s="110">
        <v>2.11</v>
      </c>
      <c r="D791" s="112">
        <v>42752</v>
      </c>
    </row>
    <row r="792" spans="1:4">
      <c r="A792" s="110" t="s">
        <v>1262</v>
      </c>
      <c r="B792" s="110" t="s">
        <v>1147</v>
      </c>
      <c r="C792" s="110">
        <v>2.0699999999999998</v>
      </c>
      <c r="D792" s="112">
        <v>42752</v>
      </c>
    </row>
    <row r="793" spans="1:4">
      <c r="A793" s="110" t="s">
        <v>1261</v>
      </c>
      <c r="B793" s="110" t="s">
        <v>1147</v>
      </c>
      <c r="C793" s="110">
        <v>2.109</v>
      </c>
      <c r="D793" s="112">
        <v>42752</v>
      </c>
    </row>
    <row r="794" spans="1:4">
      <c r="A794" s="110" t="s">
        <v>1260</v>
      </c>
      <c r="B794" s="110" t="s">
        <v>1147</v>
      </c>
      <c r="C794" s="110">
        <v>2.0720000000000001</v>
      </c>
      <c r="D794" s="112">
        <v>42752</v>
      </c>
    </row>
    <row r="795" spans="1:4">
      <c r="A795" s="110" t="s">
        <v>1259</v>
      </c>
      <c r="B795" s="110" t="s">
        <v>1147</v>
      </c>
      <c r="C795" s="110">
        <v>2.0680000000000001</v>
      </c>
      <c r="D795" s="112">
        <v>42752</v>
      </c>
    </row>
    <row r="796" spans="1:4">
      <c r="A796" s="110" t="s">
        <v>1258</v>
      </c>
      <c r="B796" s="110" t="s">
        <v>1147</v>
      </c>
      <c r="C796" s="110">
        <v>2.0550000000000002</v>
      </c>
      <c r="D796" s="112">
        <v>42752</v>
      </c>
    </row>
    <row r="797" spans="1:4">
      <c r="A797" s="110" t="s">
        <v>1257</v>
      </c>
      <c r="B797" s="110" t="s">
        <v>1147</v>
      </c>
      <c r="C797" s="110">
        <v>2.0459999999999998</v>
      </c>
      <c r="D797" s="112">
        <v>42752</v>
      </c>
    </row>
    <row r="798" spans="1:4">
      <c r="A798" s="110" t="s">
        <v>1256</v>
      </c>
      <c r="B798" s="110" t="s">
        <v>1147</v>
      </c>
      <c r="C798" s="110">
        <v>2.0169999999999999</v>
      </c>
      <c r="D798" s="112">
        <v>42752</v>
      </c>
    </row>
    <row r="799" spans="1:4">
      <c r="A799" s="110" t="s">
        <v>1255</v>
      </c>
      <c r="B799" s="110" t="s">
        <v>1147</v>
      </c>
      <c r="C799" s="110">
        <v>1.9530000000000001</v>
      </c>
      <c r="D799" s="112">
        <v>42752</v>
      </c>
    </row>
    <row r="800" spans="1:4">
      <c r="A800" s="110" t="s">
        <v>1254</v>
      </c>
      <c r="B800" s="110" t="s">
        <v>1147</v>
      </c>
      <c r="C800" s="110">
        <v>2.1070000000000002</v>
      </c>
      <c r="D800" s="112">
        <v>42752</v>
      </c>
    </row>
    <row r="801" spans="1:4">
      <c r="A801" s="110" t="s">
        <v>1253</v>
      </c>
      <c r="B801" s="110" t="s">
        <v>1147</v>
      </c>
      <c r="C801" s="110">
        <v>2.0990000000000002</v>
      </c>
      <c r="D801" s="112">
        <v>42752</v>
      </c>
    </row>
    <row r="802" spans="1:4">
      <c r="A802" s="110" t="s">
        <v>1252</v>
      </c>
      <c r="B802" s="110" t="s">
        <v>1147</v>
      </c>
      <c r="C802" s="110">
        <v>2.089</v>
      </c>
      <c r="D802" s="112">
        <v>42752</v>
      </c>
    </row>
    <row r="803" spans="1:4">
      <c r="A803" s="110" t="s">
        <v>1251</v>
      </c>
      <c r="B803" s="110" t="s">
        <v>1147</v>
      </c>
      <c r="C803" s="110">
        <v>2.093</v>
      </c>
      <c r="D803" s="112">
        <v>42752</v>
      </c>
    </row>
    <row r="804" spans="1:4">
      <c r="A804" s="110" t="s">
        <v>1250</v>
      </c>
      <c r="B804" s="110" t="s">
        <v>1147</v>
      </c>
      <c r="C804" s="110">
        <v>2.1179999999999999</v>
      </c>
      <c r="D804" s="112">
        <v>42752</v>
      </c>
    </row>
    <row r="805" spans="1:4">
      <c r="A805" s="110" t="s">
        <v>1249</v>
      </c>
      <c r="B805" s="110" t="s">
        <v>1147</v>
      </c>
      <c r="C805" s="110">
        <v>2.0720000000000001</v>
      </c>
      <c r="D805" s="112">
        <v>42752</v>
      </c>
    </row>
    <row r="806" spans="1:4">
      <c r="A806" s="110" t="s">
        <v>1248</v>
      </c>
      <c r="B806" s="110" t="s">
        <v>1147</v>
      </c>
      <c r="C806" s="110">
        <v>2.194</v>
      </c>
      <c r="D806" s="112">
        <v>42752</v>
      </c>
    </row>
    <row r="807" spans="1:4">
      <c r="A807" s="110" t="s">
        <v>1247</v>
      </c>
      <c r="B807" s="110" t="s">
        <v>1147</v>
      </c>
      <c r="C807" s="110">
        <v>2.0590000000000002</v>
      </c>
      <c r="D807" s="112">
        <v>42752</v>
      </c>
    </row>
    <row r="808" spans="1:4">
      <c r="A808" s="110" t="s">
        <v>1246</v>
      </c>
      <c r="B808" s="110" t="s">
        <v>1147</v>
      </c>
      <c r="C808" s="110">
        <v>2.028</v>
      </c>
      <c r="D808" s="112">
        <v>42752</v>
      </c>
    </row>
    <row r="809" spans="1:4">
      <c r="A809" s="110" t="s">
        <v>1245</v>
      </c>
      <c r="B809" s="110" t="s">
        <v>1147</v>
      </c>
      <c r="C809" s="110">
        <v>1.9810000000000001</v>
      </c>
      <c r="D809" s="112">
        <v>42752</v>
      </c>
    </row>
    <row r="810" spans="1:4">
      <c r="A810" s="110" t="s">
        <v>1244</v>
      </c>
      <c r="B810" s="110" t="s">
        <v>1147</v>
      </c>
      <c r="C810" s="110">
        <v>2.0419999999999998</v>
      </c>
      <c r="D810" s="112">
        <v>42752</v>
      </c>
    </row>
    <row r="811" spans="1:4">
      <c r="A811" s="110" t="s">
        <v>1243</v>
      </c>
      <c r="B811" s="110" t="s">
        <v>1147</v>
      </c>
      <c r="C811" s="110">
        <v>2.0310000000000001</v>
      </c>
      <c r="D811" s="112">
        <v>42752</v>
      </c>
    </row>
    <row r="812" spans="1:4">
      <c r="A812" s="110" t="s">
        <v>1242</v>
      </c>
      <c r="B812" s="110" t="s">
        <v>1147</v>
      </c>
      <c r="C812" s="110">
        <v>1.86</v>
      </c>
      <c r="D812" s="112">
        <v>42752</v>
      </c>
    </row>
    <row r="813" spans="1:4">
      <c r="A813" s="110" t="s">
        <v>1241</v>
      </c>
      <c r="B813" s="110" t="s">
        <v>1147</v>
      </c>
      <c r="C813" s="110">
        <v>1.9279999999999999</v>
      </c>
      <c r="D813" s="112">
        <v>42752</v>
      </c>
    </row>
    <row r="814" spans="1:4">
      <c r="A814" s="110" t="s">
        <v>1240</v>
      </c>
      <c r="B814" s="110" t="s">
        <v>1147</v>
      </c>
      <c r="C814" s="110">
        <v>1.946</v>
      </c>
      <c r="D814" s="112">
        <v>42752</v>
      </c>
    </row>
    <row r="815" spans="1:4">
      <c r="A815" s="110" t="s">
        <v>1239</v>
      </c>
      <c r="B815" s="110" t="s">
        <v>1147</v>
      </c>
      <c r="C815" s="110">
        <v>1.9930000000000001</v>
      </c>
      <c r="D815" s="112">
        <v>42752</v>
      </c>
    </row>
    <row r="816" spans="1:4">
      <c r="A816" s="110" t="s">
        <v>1238</v>
      </c>
      <c r="B816" s="110" t="s">
        <v>1147</v>
      </c>
      <c r="C816" s="110">
        <v>2.0169999999999999</v>
      </c>
      <c r="D816" s="112">
        <v>42752</v>
      </c>
    </row>
    <row r="817" spans="1:4">
      <c r="A817" s="110" t="s">
        <v>1237</v>
      </c>
      <c r="B817" s="110" t="s">
        <v>1147</v>
      </c>
      <c r="C817" s="110">
        <v>1.9550000000000001</v>
      </c>
      <c r="D817" s="112">
        <v>42752</v>
      </c>
    </row>
    <row r="818" spans="1:4">
      <c r="A818" s="110" t="s">
        <v>1236</v>
      </c>
      <c r="B818" s="110" t="s">
        <v>1147</v>
      </c>
      <c r="C818" s="110">
        <v>2.1480000000000001</v>
      </c>
      <c r="D818" s="112">
        <v>42752</v>
      </c>
    </row>
    <row r="819" spans="1:4">
      <c r="A819" s="110" t="s">
        <v>1235</v>
      </c>
      <c r="B819" s="110" t="s">
        <v>1147</v>
      </c>
      <c r="C819" s="110">
        <v>1.998</v>
      </c>
      <c r="D819" s="112">
        <v>42752</v>
      </c>
    </row>
    <row r="820" spans="1:4">
      <c r="A820" s="110" t="s">
        <v>1234</v>
      </c>
      <c r="B820" s="110" t="s">
        <v>1147</v>
      </c>
      <c r="C820" s="110">
        <v>2.0139999999999998</v>
      </c>
      <c r="D820" s="112">
        <v>42752</v>
      </c>
    </row>
    <row r="821" spans="1:4">
      <c r="A821" s="110" t="s">
        <v>1233</v>
      </c>
      <c r="B821" s="110" t="s">
        <v>1147</v>
      </c>
      <c r="C821" s="110">
        <v>1.9770000000000001</v>
      </c>
      <c r="D821" s="112">
        <v>42752</v>
      </c>
    </row>
    <row r="822" spans="1:4">
      <c r="A822" s="110" t="s">
        <v>1232</v>
      </c>
      <c r="B822" s="110" t="s">
        <v>1147</v>
      </c>
      <c r="C822" s="110">
        <v>2.0099999999999998</v>
      </c>
      <c r="D822" s="112">
        <v>42752</v>
      </c>
    </row>
    <row r="823" spans="1:4">
      <c r="A823" s="110" t="s">
        <v>1231</v>
      </c>
      <c r="B823" s="110" t="s">
        <v>1147</v>
      </c>
      <c r="C823" s="110">
        <v>1.9770000000000001</v>
      </c>
      <c r="D823" s="112">
        <v>42752</v>
      </c>
    </row>
    <row r="824" spans="1:4">
      <c r="A824" s="110" t="s">
        <v>1230</v>
      </c>
      <c r="B824" s="110" t="s">
        <v>1147</v>
      </c>
      <c r="C824" s="110">
        <v>1.927</v>
      </c>
      <c r="D824" s="112">
        <v>42752</v>
      </c>
    </row>
    <row r="825" spans="1:4">
      <c r="A825" s="110" t="s">
        <v>1229</v>
      </c>
      <c r="B825" s="110" t="s">
        <v>1147</v>
      </c>
      <c r="C825" s="110">
        <v>1.9990000000000001</v>
      </c>
      <c r="D825" s="112">
        <v>42752</v>
      </c>
    </row>
    <row r="826" spans="1:4">
      <c r="A826" s="110" t="s">
        <v>1228</v>
      </c>
      <c r="B826" s="110" t="s">
        <v>1147</v>
      </c>
      <c r="C826" s="110">
        <v>2.02</v>
      </c>
      <c r="D826" s="112">
        <v>42752</v>
      </c>
    </row>
    <row r="827" spans="1:4">
      <c r="A827" s="110" t="s">
        <v>1227</v>
      </c>
      <c r="B827" s="110" t="s">
        <v>1147</v>
      </c>
      <c r="C827" s="110">
        <v>1.9630000000000001</v>
      </c>
      <c r="D827" s="112">
        <v>42752</v>
      </c>
    </row>
    <row r="828" spans="1:4">
      <c r="A828" s="110" t="s">
        <v>1226</v>
      </c>
      <c r="B828" s="110" t="s">
        <v>1147</v>
      </c>
      <c r="C828" s="110">
        <v>1.931</v>
      </c>
      <c r="D828" s="112">
        <v>42752</v>
      </c>
    </row>
    <row r="829" spans="1:4">
      <c r="A829" s="110" t="s">
        <v>1225</v>
      </c>
      <c r="B829" s="110" t="s">
        <v>1147</v>
      </c>
      <c r="C829" s="110">
        <v>2.1240000000000001</v>
      </c>
      <c r="D829" s="112">
        <v>42752</v>
      </c>
    </row>
    <row r="830" spans="1:4">
      <c r="A830" s="110" t="s">
        <v>1224</v>
      </c>
      <c r="B830" s="110" t="s">
        <v>1147</v>
      </c>
      <c r="C830" s="110">
        <v>2.15</v>
      </c>
      <c r="D830" s="112">
        <v>42752</v>
      </c>
    </row>
    <row r="831" spans="1:4">
      <c r="A831" s="110" t="s">
        <v>1223</v>
      </c>
      <c r="B831" s="110" t="s">
        <v>1147</v>
      </c>
      <c r="C831" s="110">
        <v>1.883</v>
      </c>
      <c r="D831" s="112">
        <v>42752</v>
      </c>
    </row>
    <row r="832" spans="1:4">
      <c r="A832" s="110" t="s">
        <v>1222</v>
      </c>
      <c r="B832" s="110" t="s">
        <v>1147</v>
      </c>
      <c r="C832" s="110">
        <v>1.986</v>
      </c>
      <c r="D832" s="112">
        <v>42752</v>
      </c>
    </row>
    <row r="833" spans="1:4">
      <c r="A833" s="110" t="s">
        <v>1221</v>
      </c>
      <c r="B833" s="110" t="s">
        <v>1147</v>
      </c>
      <c r="C833" s="110">
        <v>1.9610000000000001</v>
      </c>
      <c r="D833" s="112">
        <v>42752</v>
      </c>
    </row>
    <row r="834" spans="1:4">
      <c r="A834" s="110" t="s">
        <v>1220</v>
      </c>
      <c r="B834" s="110" t="s">
        <v>1147</v>
      </c>
      <c r="C834" s="110">
        <v>1.8939999999999999</v>
      </c>
      <c r="D834" s="112">
        <v>42752</v>
      </c>
    </row>
    <row r="835" spans="1:4">
      <c r="A835" s="110" t="s">
        <v>1219</v>
      </c>
      <c r="B835" s="110" t="s">
        <v>1147</v>
      </c>
      <c r="C835" s="110">
        <v>2.1190000000000002</v>
      </c>
      <c r="D835" s="112">
        <v>42752</v>
      </c>
    </row>
    <row r="836" spans="1:4">
      <c r="A836" s="110" t="s">
        <v>1218</v>
      </c>
      <c r="B836" s="110" t="s">
        <v>1147</v>
      </c>
      <c r="C836" s="110">
        <v>2.0470000000000002</v>
      </c>
      <c r="D836" s="112">
        <v>42752</v>
      </c>
    </row>
    <row r="837" spans="1:4">
      <c r="A837" s="110" t="s">
        <v>1217</v>
      </c>
      <c r="B837" s="110" t="s">
        <v>1147</v>
      </c>
      <c r="C837" s="110">
        <v>1.964</v>
      </c>
      <c r="D837" s="112">
        <v>42752</v>
      </c>
    </row>
    <row r="838" spans="1:4">
      <c r="A838" s="110" t="s">
        <v>1216</v>
      </c>
      <c r="B838" s="110" t="s">
        <v>1147</v>
      </c>
      <c r="C838" s="110">
        <v>1.956</v>
      </c>
      <c r="D838" s="112">
        <v>42752</v>
      </c>
    </row>
    <row r="839" spans="1:4">
      <c r="A839" s="110" t="s">
        <v>1215</v>
      </c>
      <c r="B839" s="110" t="s">
        <v>1147</v>
      </c>
      <c r="C839" s="110">
        <v>1.819</v>
      </c>
      <c r="D839" s="112">
        <v>42752</v>
      </c>
    </row>
    <row r="840" spans="1:4">
      <c r="A840" s="110" t="s">
        <v>1214</v>
      </c>
      <c r="B840" s="110" t="s">
        <v>1147</v>
      </c>
      <c r="C840" s="110">
        <v>2.0419999999999998</v>
      </c>
      <c r="D840" s="112">
        <v>42752</v>
      </c>
    </row>
    <row r="841" spans="1:4">
      <c r="A841" s="110" t="s">
        <v>1213</v>
      </c>
      <c r="B841" s="110" t="s">
        <v>1147</v>
      </c>
      <c r="C841" s="110">
        <v>1.1910000000000001</v>
      </c>
      <c r="D841" s="112">
        <v>42752</v>
      </c>
    </row>
    <row r="842" spans="1:4">
      <c r="A842" s="110" t="s">
        <v>1212</v>
      </c>
      <c r="B842" s="110" t="s">
        <v>1147</v>
      </c>
      <c r="C842" s="110">
        <v>2.0369999999999999</v>
      </c>
      <c r="D842" s="112">
        <v>42752</v>
      </c>
    </row>
    <row r="843" spans="1:4">
      <c r="A843" s="110" t="s">
        <v>1211</v>
      </c>
      <c r="B843" s="110" t="s">
        <v>1147</v>
      </c>
      <c r="C843" s="110">
        <v>2.0230000000000001</v>
      </c>
      <c r="D843" s="112">
        <v>42752</v>
      </c>
    </row>
    <row r="844" spans="1:4">
      <c r="A844" s="110" t="s">
        <v>1210</v>
      </c>
      <c r="B844" s="110" t="s">
        <v>1147</v>
      </c>
      <c r="C844" s="110">
        <v>2.056</v>
      </c>
      <c r="D844" s="112">
        <v>42752</v>
      </c>
    </row>
    <row r="845" spans="1:4">
      <c r="A845" s="110" t="s">
        <v>1209</v>
      </c>
      <c r="B845" s="110" t="s">
        <v>1147</v>
      </c>
      <c r="C845" s="110">
        <v>1.96</v>
      </c>
      <c r="D845" s="112">
        <v>42752</v>
      </c>
    </row>
    <row r="846" spans="1:4">
      <c r="A846" s="110" t="s">
        <v>1208</v>
      </c>
      <c r="B846" s="110" t="s">
        <v>1147</v>
      </c>
      <c r="C846" s="110">
        <v>1.9670000000000001</v>
      </c>
      <c r="D846" s="112">
        <v>42752</v>
      </c>
    </row>
    <row r="847" spans="1:4">
      <c r="A847" s="110" t="s">
        <v>1207</v>
      </c>
      <c r="B847" s="110" t="s">
        <v>1147</v>
      </c>
      <c r="C847" s="110">
        <v>1.964</v>
      </c>
      <c r="D847" s="112">
        <v>42752</v>
      </c>
    </row>
    <row r="848" spans="1:4">
      <c r="A848" s="110" t="s">
        <v>1206</v>
      </c>
      <c r="B848" s="110" t="s">
        <v>1147</v>
      </c>
      <c r="C848" s="110">
        <v>1.95</v>
      </c>
      <c r="D848" s="112">
        <v>42752</v>
      </c>
    </row>
    <row r="849" spans="1:4">
      <c r="A849" s="110" t="s">
        <v>1205</v>
      </c>
      <c r="B849" s="110" t="s">
        <v>1147</v>
      </c>
      <c r="C849" s="110">
        <v>2.0459999999999998</v>
      </c>
      <c r="D849" s="112">
        <v>42752</v>
      </c>
    </row>
    <row r="850" spans="1:4">
      <c r="A850" s="110" t="s">
        <v>1204</v>
      </c>
      <c r="B850" s="110" t="s">
        <v>1147</v>
      </c>
      <c r="C850" s="110">
        <v>2.0350000000000001</v>
      </c>
      <c r="D850" s="112">
        <v>42752</v>
      </c>
    </row>
    <row r="851" spans="1:4">
      <c r="A851" s="110" t="s">
        <v>1203</v>
      </c>
      <c r="B851" s="110" t="s">
        <v>1147</v>
      </c>
      <c r="C851" s="110">
        <v>2.1019999999999999</v>
      </c>
      <c r="D851" s="112">
        <v>42752</v>
      </c>
    </row>
    <row r="852" spans="1:4">
      <c r="A852" s="110" t="s">
        <v>1202</v>
      </c>
      <c r="B852" s="110" t="s">
        <v>1147</v>
      </c>
      <c r="C852" s="110">
        <v>2.0110000000000001</v>
      </c>
      <c r="D852" s="112">
        <v>42752</v>
      </c>
    </row>
    <row r="853" spans="1:4">
      <c r="A853" s="110" t="s">
        <v>1201</v>
      </c>
      <c r="B853" s="110" t="s">
        <v>1147</v>
      </c>
      <c r="C853" s="110">
        <v>2.1070000000000002</v>
      </c>
      <c r="D853" s="112">
        <v>42752</v>
      </c>
    </row>
    <row r="854" spans="1:4">
      <c r="A854" s="110" t="s">
        <v>1200</v>
      </c>
      <c r="B854" s="110" t="s">
        <v>1147</v>
      </c>
      <c r="C854" s="110">
        <v>2.0379999999999998</v>
      </c>
      <c r="D854" s="112">
        <v>42752</v>
      </c>
    </row>
    <row r="855" spans="1:4">
      <c r="A855" s="110" t="s">
        <v>1199</v>
      </c>
      <c r="B855" s="110" t="s">
        <v>1147</v>
      </c>
      <c r="C855" s="110">
        <v>1.9930000000000001</v>
      </c>
      <c r="D855" s="112">
        <v>42752</v>
      </c>
    </row>
    <row r="856" spans="1:4">
      <c r="A856" s="110" t="s">
        <v>1198</v>
      </c>
      <c r="B856" s="110" t="s">
        <v>1147</v>
      </c>
      <c r="C856" s="110">
        <v>2.0630000000000002</v>
      </c>
      <c r="D856" s="112">
        <v>42752</v>
      </c>
    </row>
    <row r="857" spans="1:4">
      <c r="A857" s="110" t="s">
        <v>1197</v>
      </c>
      <c r="B857" s="110" t="s">
        <v>1147</v>
      </c>
      <c r="C857" s="110">
        <v>1.972</v>
      </c>
      <c r="D857" s="112">
        <v>42752</v>
      </c>
    </row>
    <row r="858" spans="1:4">
      <c r="A858" s="110" t="s">
        <v>1196</v>
      </c>
      <c r="B858" s="110" t="s">
        <v>1147</v>
      </c>
      <c r="C858" s="110">
        <v>1.998</v>
      </c>
      <c r="D858" s="112">
        <v>42752</v>
      </c>
    </row>
    <row r="859" spans="1:4">
      <c r="A859" s="110" t="s">
        <v>1195</v>
      </c>
      <c r="B859" s="110" t="s">
        <v>1147</v>
      </c>
      <c r="C859" s="110">
        <v>1.9570000000000001</v>
      </c>
      <c r="D859" s="112">
        <v>42752</v>
      </c>
    </row>
    <row r="860" spans="1:4">
      <c r="A860" s="110" t="s">
        <v>1194</v>
      </c>
      <c r="B860" s="110" t="s">
        <v>1147</v>
      </c>
      <c r="C860" s="110">
        <v>1.9370000000000001</v>
      </c>
      <c r="D860" s="112">
        <v>42752</v>
      </c>
    </row>
    <row r="861" spans="1:4">
      <c r="A861" s="110" t="s">
        <v>1193</v>
      </c>
      <c r="B861" s="110" t="s">
        <v>1147</v>
      </c>
      <c r="C861" s="110">
        <v>1.927</v>
      </c>
      <c r="D861" s="112">
        <v>42752</v>
      </c>
    </row>
    <row r="862" spans="1:4">
      <c r="A862" s="110" t="s">
        <v>1192</v>
      </c>
      <c r="B862" s="110" t="s">
        <v>1147</v>
      </c>
      <c r="C862" s="110">
        <v>2.1040000000000001</v>
      </c>
      <c r="D862" s="112">
        <v>42752</v>
      </c>
    </row>
    <row r="863" spans="1:4">
      <c r="A863" s="110" t="s">
        <v>1191</v>
      </c>
      <c r="B863" s="110" t="s">
        <v>1147</v>
      </c>
      <c r="C863" s="110">
        <v>2</v>
      </c>
      <c r="D863" s="112">
        <v>42752</v>
      </c>
    </row>
    <row r="864" spans="1:4">
      <c r="A864" s="110" t="s">
        <v>1190</v>
      </c>
      <c r="B864" s="110" t="s">
        <v>1147</v>
      </c>
      <c r="C864" s="110">
        <v>1.9570000000000001</v>
      </c>
      <c r="D864" s="112">
        <v>42752</v>
      </c>
    </row>
    <row r="865" spans="1:4">
      <c r="A865" s="110" t="s">
        <v>1189</v>
      </c>
      <c r="B865" s="110" t="s">
        <v>1147</v>
      </c>
      <c r="C865" s="110">
        <v>1.9339999999999999</v>
      </c>
      <c r="D865" s="112">
        <v>42752</v>
      </c>
    </row>
    <row r="866" spans="1:4">
      <c r="A866" s="110" t="s">
        <v>1188</v>
      </c>
      <c r="B866" s="110" t="s">
        <v>1147</v>
      </c>
      <c r="C866" s="110">
        <v>1.996</v>
      </c>
      <c r="D866" s="112">
        <v>42752</v>
      </c>
    </row>
    <row r="867" spans="1:4">
      <c r="A867" s="110" t="s">
        <v>1187</v>
      </c>
      <c r="B867" s="110" t="s">
        <v>1147</v>
      </c>
      <c r="C867" s="110">
        <v>2.0230000000000001</v>
      </c>
      <c r="D867" s="112">
        <v>42752</v>
      </c>
    </row>
    <row r="868" spans="1:4">
      <c r="A868" s="110" t="s">
        <v>1186</v>
      </c>
      <c r="B868" s="110" t="s">
        <v>1147</v>
      </c>
      <c r="C868" s="110">
        <v>2.0310000000000001</v>
      </c>
      <c r="D868" s="112">
        <v>42752</v>
      </c>
    </row>
    <row r="869" spans="1:4">
      <c r="A869" s="110" t="s">
        <v>1185</v>
      </c>
      <c r="B869" s="110" t="s">
        <v>1147</v>
      </c>
      <c r="C869" s="110">
        <v>2.036</v>
      </c>
      <c r="D869" s="112">
        <v>42752</v>
      </c>
    </row>
    <row r="870" spans="1:4">
      <c r="A870" s="110" t="s">
        <v>1184</v>
      </c>
      <c r="B870" s="110" t="s">
        <v>1147</v>
      </c>
      <c r="C870" s="110">
        <v>2.0310000000000001</v>
      </c>
      <c r="D870" s="112">
        <v>42752</v>
      </c>
    </row>
    <row r="871" spans="1:4">
      <c r="A871" s="110" t="s">
        <v>1183</v>
      </c>
      <c r="B871" s="110" t="s">
        <v>1147</v>
      </c>
      <c r="C871" s="110">
        <v>1.907</v>
      </c>
      <c r="D871" s="112">
        <v>42752</v>
      </c>
    </row>
    <row r="872" spans="1:4">
      <c r="A872" s="110" t="s">
        <v>1182</v>
      </c>
      <c r="B872" s="110" t="s">
        <v>1147</v>
      </c>
      <c r="C872" s="110">
        <v>1.95</v>
      </c>
      <c r="D872" s="112">
        <v>42752</v>
      </c>
    </row>
    <row r="873" spans="1:4">
      <c r="A873" s="110" t="s">
        <v>1181</v>
      </c>
      <c r="B873" s="110" t="s">
        <v>1147</v>
      </c>
      <c r="C873" s="110">
        <v>2.0489999999999999</v>
      </c>
      <c r="D873" s="112">
        <v>42752</v>
      </c>
    </row>
    <row r="874" spans="1:4">
      <c r="A874" s="110" t="s">
        <v>1180</v>
      </c>
      <c r="B874" s="110" t="s">
        <v>1147</v>
      </c>
      <c r="C874" s="110">
        <v>1.972</v>
      </c>
      <c r="D874" s="112">
        <v>42752</v>
      </c>
    </row>
    <row r="875" spans="1:4">
      <c r="A875" s="110" t="s">
        <v>1179</v>
      </c>
      <c r="B875" s="110" t="s">
        <v>1147</v>
      </c>
      <c r="C875" s="110">
        <v>2.0680000000000001</v>
      </c>
      <c r="D875" s="112">
        <v>42752</v>
      </c>
    </row>
    <row r="876" spans="1:4">
      <c r="A876" s="110" t="s">
        <v>1178</v>
      </c>
      <c r="B876" s="110" t="s">
        <v>1147</v>
      </c>
      <c r="C876" s="110">
        <v>2.008</v>
      </c>
      <c r="D876" s="112">
        <v>42752</v>
      </c>
    </row>
    <row r="877" spans="1:4">
      <c r="A877" s="110" t="s">
        <v>1177</v>
      </c>
      <c r="B877" s="110" t="s">
        <v>1147</v>
      </c>
      <c r="C877" s="110">
        <v>2.0089999999999999</v>
      </c>
      <c r="D877" s="112">
        <v>42752</v>
      </c>
    </row>
    <row r="878" spans="1:4">
      <c r="A878" s="110" t="s">
        <v>1176</v>
      </c>
      <c r="B878" s="110" t="s">
        <v>1147</v>
      </c>
      <c r="C878" s="110">
        <v>2.032</v>
      </c>
      <c r="D878" s="112">
        <v>42752</v>
      </c>
    </row>
    <row r="879" spans="1:4">
      <c r="A879" s="110" t="s">
        <v>1175</v>
      </c>
      <c r="B879" s="110" t="s">
        <v>1147</v>
      </c>
      <c r="C879" s="110">
        <v>2.0880000000000001</v>
      </c>
      <c r="D879" s="112">
        <v>42752</v>
      </c>
    </row>
    <row r="880" spans="1:4">
      <c r="A880" s="110" t="s">
        <v>1174</v>
      </c>
      <c r="B880" s="110" t="s">
        <v>1147</v>
      </c>
      <c r="C880" s="110">
        <v>1.9550000000000001</v>
      </c>
      <c r="D880" s="112">
        <v>42752</v>
      </c>
    </row>
    <row r="881" spans="1:4">
      <c r="A881" s="110" t="s">
        <v>1173</v>
      </c>
      <c r="B881" s="110" t="s">
        <v>1147</v>
      </c>
      <c r="C881" s="110">
        <v>2.0649999999999999</v>
      </c>
      <c r="D881" s="112">
        <v>42752</v>
      </c>
    </row>
    <row r="882" spans="1:4">
      <c r="A882" s="110" t="s">
        <v>1172</v>
      </c>
      <c r="B882" s="110" t="s">
        <v>1147</v>
      </c>
      <c r="C882" s="110">
        <v>2.0939999999999999</v>
      </c>
      <c r="D882" s="112">
        <v>42752</v>
      </c>
    </row>
    <row r="883" spans="1:4">
      <c r="A883" s="110" t="s">
        <v>1171</v>
      </c>
      <c r="B883" s="110" t="s">
        <v>1147</v>
      </c>
      <c r="C883" s="110">
        <v>2.09</v>
      </c>
      <c r="D883" s="112">
        <v>42752</v>
      </c>
    </row>
    <row r="884" spans="1:4">
      <c r="A884" s="110" t="s">
        <v>1170</v>
      </c>
      <c r="B884" s="110" t="s">
        <v>1147</v>
      </c>
      <c r="C884" s="110">
        <v>2.1030000000000002</v>
      </c>
      <c r="D884" s="112">
        <v>42752</v>
      </c>
    </row>
    <row r="885" spans="1:4">
      <c r="A885" s="110" t="s">
        <v>1169</v>
      </c>
      <c r="B885" s="110" t="s">
        <v>1147</v>
      </c>
      <c r="C885" s="110">
        <v>1.9570000000000001</v>
      </c>
      <c r="D885" s="112">
        <v>42752</v>
      </c>
    </row>
    <row r="886" spans="1:4">
      <c r="A886" s="110" t="s">
        <v>1168</v>
      </c>
      <c r="B886" s="110" t="s">
        <v>1147</v>
      </c>
      <c r="C886" s="110">
        <v>2.0979999999999999</v>
      </c>
      <c r="D886" s="112">
        <v>42752</v>
      </c>
    </row>
    <row r="887" spans="1:4">
      <c r="A887" s="110" t="s">
        <v>1167</v>
      </c>
      <c r="B887" s="110" t="s">
        <v>1147</v>
      </c>
      <c r="C887" s="110">
        <v>2.073</v>
      </c>
      <c r="D887" s="112">
        <v>42752</v>
      </c>
    </row>
    <row r="888" spans="1:4">
      <c r="A888" s="110" t="s">
        <v>1166</v>
      </c>
      <c r="B888" s="110" t="s">
        <v>1147</v>
      </c>
      <c r="C888" s="110">
        <v>2.0710000000000002</v>
      </c>
      <c r="D888" s="112">
        <v>42752</v>
      </c>
    </row>
    <row r="889" spans="1:4">
      <c r="A889" s="110" t="s">
        <v>1165</v>
      </c>
      <c r="B889" s="110" t="s">
        <v>1147</v>
      </c>
      <c r="C889" s="110">
        <v>1.8939999999999999</v>
      </c>
      <c r="D889" s="112">
        <v>42752</v>
      </c>
    </row>
    <row r="890" spans="1:4">
      <c r="A890" s="110" t="s">
        <v>1164</v>
      </c>
      <c r="B890" s="110" t="s">
        <v>1147</v>
      </c>
      <c r="C890" s="110">
        <v>1.9590000000000001</v>
      </c>
      <c r="D890" s="112">
        <v>42752</v>
      </c>
    </row>
    <row r="891" spans="1:4">
      <c r="A891" s="110" t="s">
        <v>1163</v>
      </c>
      <c r="B891" s="110" t="s">
        <v>1147</v>
      </c>
      <c r="C891" s="110">
        <v>1.998</v>
      </c>
      <c r="D891" s="112">
        <v>42752</v>
      </c>
    </row>
    <row r="892" spans="1:4">
      <c r="A892" s="110" t="s">
        <v>1162</v>
      </c>
      <c r="B892" s="110" t="s">
        <v>1147</v>
      </c>
      <c r="C892" s="110">
        <v>2.089</v>
      </c>
      <c r="D892" s="112">
        <v>42752</v>
      </c>
    </row>
    <row r="893" spans="1:4">
      <c r="A893" s="110" t="s">
        <v>1161</v>
      </c>
      <c r="B893" s="110" t="s">
        <v>1147</v>
      </c>
      <c r="C893" s="110">
        <v>1.9830000000000001</v>
      </c>
      <c r="D893" s="112">
        <v>42752</v>
      </c>
    </row>
    <row r="894" spans="1:4">
      <c r="A894" s="110" t="s">
        <v>1160</v>
      </c>
      <c r="B894" s="110" t="s">
        <v>1147</v>
      </c>
      <c r="C894" s="110">
        <v>1.9930000000000001</v>
      </c>
      <c r="D894" s="112">
        <v>42752</v>
      </c>
    </row>
    <row r="895" spans="1:4">
      <c r="A895" s="110" t="s">
        <v>1159</v>
      </c>
      <c r="B895" s="110" t="s">
        <v>1147</v>
      </c>
      <c r="C895" s="110">
        <v>2.0169999999999999</v>
      </c>
      <c r="D895" s="112">
        <v>42752</v>
      </c>
    </row>
    <row r="896" spans="1:4">
      <c r="A896" s="110" t="s">
        <v>1158</v>
      </c>
      <c r="B896" s="110" t="s">
        <v>1147</v>
      </c>
      <c r="C896" s="110">
        <v>1.9510000000000001</v>
      </c>
      <c r="D896" s="112">
        <v>42752</v>
      </c>
    </row>
    <row r="897" spans="1:5">
      <c r="A897" s="110" t="s">
        <v>1157</v>
      </c>
      <c r="B897" s="110" t="s">
        <v>1147</v>
      </c>
      <c r="C897" s="110">
        <v>2.036</v>
      </c>
      <c r="D897" s="112">
        <v>42752</v>
      </c>
    </row>
    <row r="898" spans="1:5">
      <c r="A898" s="110" t="s">
        <v>1156</v>
      </c>
      <c r="B898" s="110" t="s">
        <v>1147</v>
      </c>
      <c r="C898" s="110">
        <v>1.9630000000000001</v>
      </c>
      <c r="D898" s="112">
        <v>42752</v>
      </c>
    </row>
    <row r="899" spans="1:5">
      <c r="A899" s="110" t="s">
        <v>1155</v>
      </c>
      <c r="B899" s="110" t="s">
        <v>1147</v>
      </c>
      <c r="C899" s="110">
        <v>1.9259999999999999</v>
      </c>
      <c r="D899" s="112">
        <v>42752</v>
      </c>
    </row>
    <row r="900" spans="1:5">
      <c r="A900" s="110" t="s">
        <v>1154</v>
      </c>
      <c r="B900" s="110" t="s">
        <v>1147</v>
      </c>
      <c r="C900" s="110">
        <v>1.982</v>
      </c>
      <c r="D900" s="112">
        <v>42752</v>
      </c>
    </row>
    <row r="901" spans="1:5">
      <c r="A901" s="110" t="s">
        <v>1153</v>
      </c>
      <c r="B901" s="110" t="s">
        <v>1147</v>
      </c>
      <c r="C901" s="110">
        <v>2.0299999999999998</v>
      </c>
      <c r="D901" s="112">
        <v>42752</v>
      </c>
    </row>
    <row r="902" spans="1:5">
      <c r="A902" s="110" t="s">
        <v>1152</v>
      </c>
      <c r="B902" s="110" t="s">
        <v>1147</v>
      </c>
      <c r="C902" s="110">
        <v>1.893</v>
      </c>
      <c r="D902" s="112">
        <v>42752</v>
      </c>
    </row>
    <row r="903" spans="1:5">
      <c r="A903" s="110" t="s">
        <v>1151</v>
      </c>
      <c r="B903" s="110" t="s">
        <v>1147</v>
      </c>
      <c r="C903" s="110">
        <v>2.0129999999999999</v>
      </c>
      <c r="D903" s="112">
        <v>42752</v>
      </c>
    </row>
    <row r="904" spans="1:5">
      <c r="A904" s="110" t="s">
        <v>1150</v>
      </c>
      <c r="B904" s="110" t="s">
        <v>1147</v>
      </c>
      <c r="C904" s="110">
        <v>2.0910000000000002</v>
      </c>
      <c r="D904" s="112">
        <v>42752</v>
      </c>
    </row>
    <row r="905" spans="1:5">
      <c r="A905" s="110" t="s">
        <v>1149</v>
      </c>
      <c r="B905" s="110" t="s">
        <v>1147</v>
      </c>
      <c r="C905" s="110">
        <v>2.0270000000000001</v>
      </c>
      <c r="D905" s="112">
        <v>42752</v>
      </c>
    </row>
    <row r="906" spans="1:5">
      <c r="A906" s="110" t="s">
        <v>1148</v>
      </c>
      <c r="B906" s="110" t="s">
        <v>1147</v>
      </c>
      <c r="C906" s="110">
        <v>2.0750000000000002</v>
      </c>
      <c r="D906" s="112">
        <v>42752</v>
      </c>
    </row>
    <row r="907" spans="1:5">
      <c r="A907" s="175" t="s">
        <v>2468</v>
      </c>
      <c r="B907" s="175" t="s">
        <v>1147</v>
      </c>
      <c r="C907" s="175">
        <v>2.0253999999999999</v>
      </c>
      <c r="D907" s="176">
        <v>43150</v>
      </c>
      <c r="E907" s="175" t="s">
        <v>2469</v>
      </c>
    </row>
    <row r="908" spans="1:5">
      <c r="A908" s="175" t="s">
        <v>2470</v>
      </c>
      <c r="B908" s="175" t="s">
        <v>1147</v>
      </c>
      <c r="C908" s="175">
        <v>2.125</v>
      </c>
      <c r="D908" s="176">
        <v>43150</v>
      </c>
      <c r="E908" s="175" t="s">
        <v>2469</v>
      </c>
    </row>
    <row r="909" spans="1:5">
      <c r="A909" s="110" t="s">
        <v>1140</v>
      </c>
      <c r="B909" s="110" t="s">
        <v>298</v>
      </c>
      <c r="C909" s="110">
        <v>2.2109999999999999</v>
      </c>
      <c r="D909" s="112">
        <v>42745</v>
      </c>
    </row>
    <row r="910" spans="1:5">
      <c r="A910" s="110" t="s">
        <v>1139</v>
      </c>
      <c r="B910" s="110" t="s">
        <v>298</v>
      </c>
      <c r="C910" s="110">
        <v>2.2679999999999998</v>
      </c>
      <c r="D910" s="112">
        <v>42745</v>
      </c>
    </row>
    <row r="911" spans="1:5">
      <c r="A911" s="110" t="s">
        <v>1138</v>
      </c>
      <c r="B911" s="110" t="s">
        <v>298</v>
      </c>
      <c r="C911" s="110">
        <v>2.242</v>
      </c>
      <c r="D911" s="112">
        <v>42745</v>
      </c>
    </row>
    <row r="912" spans="1:5">
      <c r="A912" s="110" t="s">
        <v>1137</v>
      </c>
      <c r="B912" s="110" t="s">
        <v>298</v>
      </c>
      <c r="C912" s="110">
        <v>2.1549999999999998</v>
      </c>
      <c r="D912" s="112">
        <v>42745</v>
      </c>
    </row>
    <row r="913" spans="1:5">
      <c r="A913" s="175" t="s">
        <v>1136</v>
      </c>
      <c r="B913" s="175" t="s">
        <v>298</v>
      </c>
      <c r="C913" s="175">
        <v>2.1800000000000002</v>
      </c>
      <c r="D913" s="176">
        <v>42745</v>
      </c>
      <c r="E913" s="175" t="s">
        <v>2466</v>
      </c>
    </row>
    <row r="914" spans="1:5">
      <c r="A914" s="110" t="s">
        <v>1135</v>
      </c>
      <c r="B914" s="110" t="s">
        <v>298</v>
      </c>
      <c r="C914" s="110">
        <v>2.226</v>
      </c>
      <c r="D914" s="112">
        <v>42745</v>
      </c>
    </row>
    <row r="915" spans="1:5">
      <c r="A915" s="110" t="s">
        <v>1134</v>
      </c>
      <c r="B915" s="110" t="s">
        <v>298</v>
      </c>
      <c r="C915" s="110">
        <v>2.2090000000000001</v>
      </c>
      <c r="D915" s="112">
        <v>42745</v>
      </c>
    </row>
    <row r="916" spans="1:5">
      <c r="A916" s="110" t="s">
        <v>1133</v>
      </c>
      <c r="B916" s="110" t="s">
        <v>298</v>
      </c>
      <c r="C916" s="110">
        <v>2.23</v>
      </c>
      <c r="D916" s="112">
        <v>42745</v>
      </c>
    </row>
    <row r="917" spans="1:5">
      <c r="A917" s="110" t="s">
        <v>1132</v>
      </c>
      <c r="B917" s="110" t="s">
        <v>298</v>
      </c>
      <c r="C917" s="110">
        <v>2.2679999999999998</v>
      </c>
      <c r="D917" s="112">
        <v>42745</v>
      </c>
    </row>
    <row r="918" spans="1:5">
      <c r="A918" s="110" t="s">
        <v>1131</v>
      </c>
      <c r="B918" s="110" t="s">
        <v>298</v>
      </c>
      <c r="C918" s="110">
        <v>2.29</v>
      </c>
      <c r="D918" s="112">
        <v>42745</v>
      </c>
    </row>
    <row r="919" spans="1:5">
      <c r="A919" s="110" t="s">
        <v>1130</v>
      </c>
      <c r="B919" s="110" t="s">
        <v>298</v>
      </c>
      <c r="C919" s="110">
        <v>2.2160000000000002</v>
      </c>
      <c r="D919" s="112">
        <v>42745</v>
      </c>
    </row>
    <row r="920" spans="1:5">
      <c r="A920" s="110" t="s">
        <v>1129</v>
      </c>
      <c r="B920" s="110" t="s">
        <v>298</v>
      </c>
      <c r="C920" s="110">
        <v>2.1709999999999998</v>
      </c>
      <c r="D920" s="112">
        <v>42745</v>
      </c>
    </row>
    <row r="921" spans="1:5">
      <c r="A921" s="110" t="s">
        <v>1128</v>
      </c>
      <c r="B921" s="110" t="s">
        <v>298</v>
      </c>
      <c r="C921" s="110">
        <v>2.2490000000000001</v>
      </c>
      <c r="D921" s="112">
        <v>42745</v>
      </c>
    </row>
    <row r="922" spans="1:5">
      <c r="A922" s="110" t="s">
        <v>1127</v>
      </c>
      <c r="B922" s="110" t="s">
        <v>298</v>
      </c>
      <c r="C922" s="110">
        <v>2.181</v>
      </c>
      <c r="D922" s="112">
        <v>42745</v>
      </c>
    </row>
    <row r="923" spans="1:5">
      <c r="A923" s="110" t="s">
        <v>1126</v>
      </c>
      <c r="B923" s="110" t="s">
        <v>298</v>
      </c>
      <c r="C923" s="110">
        <v>2.2269999999999999</v>
      </c>
      <c r="D923" s="112">
        <v>42745</v>
      </c>
    </row>
    <row r="924" spans="1:5">
      <c r="A924" s="110" t="s">
        <v>1125</v>
      </c>
      <c r="B924" s="110" t="s">
        <v>298</v>
      </c>
      <c r="C924" s="110">
        <v>2.2629999999999999</v>
      </c>
      <c r="D924" s="112">
        <v>42745</v>
      </c>
    </row>
    <row r="925" spans="1:5">
      <c r="A925" s="110" t="s">
        <v>1124</v>
      </c>
      <c r="B925" s="110" t="s">
        <v>298</v>
      </c>
      <c r="C925" s="110">
        <v>2.169</v>
      </c>
      <c r="D925" s="112">
        <v>42745</v>
      </c>
    </row>
    <row r="926" spans="1:5">
      <c r="A926" s="110" t="s">
        <v>1123</v>
      </c>
      <c r="B926" s="110" t="s">
        <v>298</v>
      </c>
      <c r="C926" s="110">
        <v>2.2519999999999998</v>
      </c>
      <c r="D926" s="112">
        <v>42745</v>
      </c>
    </row>
    <row r="927" spans="1:5">
      <c r="A927" s="110" t="s">
        <v>1122</v>
      </c>
      <c r="B927" s="110" t="s">
        <v>298</v>
      </c>
      <c r="C927" s="110">
        <v>2.2589999999999999</v>
      </c>
      <c r="D927" s="112">
        <v>42745</v>
      </c>
    </row>
    <row r="928" spans="1:5">
      <c r="A928" s="110" t="s">
        <v>1121</v>
      </c>
      <c r="B928" s="110" t="s">
        <v>298</v>
      </c>
      <c r="C928" s="110">
        <v>2.2400000000000002</v>
      </c>
      <c r="D928" s="112">
        <v>42745</v>
      </c>
    </row>
    <row r="929" spans="1:4">
      <c r="A929" s="110" t="s">
        <v>1120</v>
      </c>
      <c r="B929" s="110" t="s">
        <v>298</v>
      </c>
      <c r="C929" s="110">
        <v>2.0249999999999999</v>
      </c>
      <c r="D929" s="112">
        <v>42745</v>
      </c>
    </row>
    <row r="930" spans="1:4">
      <c r="A930" s="110" t="s">
        <v>1119</v>
      </c>
      <c r="B930" s="110" t="s">
        <v>298</v>
      </c>
      <c r="C930" s="110">
        <v>2.0590000000000002</v>
      </c>
      <c r="D930" s="112">
        <v>42745</v>
      </c>
    </row>
    <row r="931" spans="1:4">
      <c r="A931" s="110" t="s">
        <v>1118</v>
      </c>
      <c r="B931" s="110" t="s">
        <v>298</v>
      </c>
      <c r="C931" s="110">
        <v>2.2770000000000001</v>
      </c>
      <c r="D931" s="112">
        <v>42745</v>
      </c>
    </row>
    <row r="932" spans="1:4">
      <c r="A932" s="110" t="s">
        <v>1117</v>
      </c>
      <c r="B932" s="110" t="s">
        <v>298</v>
      </c>
      <c r="C932" s="110">
        <v>2.14</v>
      </c>
      <c r="D932" s="112">
        <v>42745</v>
      </c>
    </row>
    <row r="933" spans="1:4">
      <c r="A933" s="110" t="s">
        <v>1116</v>
      </c>
      <c r="B933" s="110" t="s">
        <v>298</v>
      </c>
      <c r="C933" s="110">
        <v>2.16</v>
      </c>
      <c r="D933" s="112">
        <v>42745</v>
      </c>
    </row>
    <row r="934" spans="1:4">
      <c r="A934" s="110" t="s">
        <v>1115</v>
      </c>
      <c r="B934" s="110" t="s">
        <v>298</v>
      </c>
      <c r="C934" s="110">
        <v>2.2559999999999998</v>
      </c>
      <c r="D934" s="112">
        <v>42745</v>
      </c>
    </row>
    <row r="935" spans="1:4">
      <c r="A935" s="110" t="s">
        <v>1114</v>
      </c>
      <c r="B935" s="110" t="s">
        <v>298</v>
      </c>
      <c r="C935" s="110">
        <v>2.0550000000000002</v>
      </c>
      <c r="D935" s="112">
        <v>42745</v>
      </c>
    </row>
    <row r="936" spans="1:4">
      <c r="A936" s="110" t="s">
        <v>1113</v>
      </c>
      <c r="B936" s="110" t="s">
        <v>298</v>
      </c>
      <c r="C936" s="110">
        <v>2.1030000000000002</v>
      </c>
      <c r="D936" s="112">
        <v>42745</v>
      </c>
    </row>
    <row r="937" spans="1:4">
      <c r="A937" s="110" t="s">
        <v>1112</v>
      </c>
      <c r="B937" s="110" t="s">
        <v>298</v>
      </c>
      <c r="C937" s="110">
        <v>2.2400000000000002</v>
      </c>
      <c r="D937" s="112">
        <v>42745</v>
      </c>
    </row>
    <row r="938" spans="1:4">
      <c r="A938" s="110" t="s">
        <v>1111</v>
      </c>
      <c r="B938" s="110" t="s">
        <v>298</v>
      </c>
      <c r="C938" s="110">
        <v>2.177</v>
      </c>
      <c r="D938" s="112">
        <v>42745</v>
      </c>
    </row>
    <row r="939" spans="1:4">
      <c r="A939" s="110" t="s">
        <v>1110</v>
      </c>
      <c r="B939" s="110" t="s">
        <v>298</v>
      </c>
      <c r="C939" s="110">
        <v>2.1589999999999998</v>
      </c>
      <c r="D939" s="112">
        <v>42745</v>
      </c>
    </row>
    <row r="940" spans="1:4">
      <c r="A940" s="110" t="s">
        <v>1109</v>
      </c>
      <c r="B940" s="110" t="s">
        <v>298</v>
      </c>
      <c r="C940" s="110">
        <v>2.2290000000000001</v>
      </c>
      <c r="D940" s="112">
        <v>42745</v>
      </c>
    </row>
    <row r="941" spans="1:4">
      <c r="A941" s="110" t="s">
        <v>1108</v>
      </c>
      <c r="B941" s="110" t="s">
        <v>298</v>
      </c>
      <c r="C941" s="110">
        <v>2.1989999999999998</v>
      </c>
      <c r="D941" s="112">
        <v>42745</v>
      </c>
    </row>
    <row r="942" spans="1:4">
      <c r="A942" s="110" t="s">
        <v>1107</v>
      </c>
      <c r="B942" s="110" t="s">
        <v>298</v>
      </c>
      <c r="C942" s="110">
        <v>2.1349999999999998</v>
      </c>
      <c r="D942" s="112">
        <v>42745</v>
      </c>
    </row>
    <row r="943" spans="1:4">
      <c r="A943" s="110" t="s">
        <v>1106</v>
      </c>
      <c r="B943" s="110" t="s">
        <v>298</v>
      </c>
      <c r="C943" s="110">
        <v>2.0630000000000002</v>
      </c>
      <c r="D943" s="112">
        <v>42745</v>
      </c>
    </row>
    <row r="944" spans="1:4">
      <c r="A944" s="110" t="s">
        <v>1105</v>
      </c>
      <c r="B944" s="110" t="s">
        <v>298</v>
      </c>
      <c r="C944" s="110">
        <v>2.298</v>
      </c>
      <c r="D944" s="112">
        <v>42745</v>
      </c>
    </row>
    <row r="945" spans="1:4">
      <c r="A945" s="110" t="s">
        <v>1104</v>
      </c>
      <c r="B945" s="110" t="s">
        <v>298</v>
      </c>
      <c r="C945" s="110">
        <v>2.0979999999999999</v>
      </c>
      <c r="D945" s="112">
        <v>42745</v>
      </c>
    </row>
    <row r="946" spans="1:4">
      <c r="A946" s="110" t="s">
        <v>1103</v>
      </c>
      <c r="B946" s="110" t="s">
        <v>298</v>
      </c>
      <c r="C946" s="110">
        <v>2.12</v>
      </c>
      <c r="D946" s="112">
        <v>42745</v>
      </c>
    </row>
    <row r="947" spans="1:4">
      <c r="A947" s="110" t="s">
        <v>1102</v>
      </c>
      <c r="B947" s="110" t="s">
        <v>298</v>
      </c>
      <c r="C947" s="110">
        <v>2.1429999999999998</v>
      </c>
      <c r="D947" s="112">
        <v>42745</v>
      </c>
    </row>
    <row r="948" spans="1:4">
      <c r="A948" s="110" t="s">
        <v>1101</v>
      </c>
      <c r="B948" s="110" t="s">
        <v>298</v>
      </c>
      <c r="C948" s="110">
        <v>2.121</v>
      </c>
      <c r="D948" s="112">
        <v>42745</v>
      </c>
    </row>
    <row r="949" spans="1:4">
      <c r="A949" s="110" t="s">
        <v>1100</v>
      </c>
      <c r="B949" s="110" t="s">
        <v>298</v>
      </c>
      <c r="C949" s="110">
        <v>2.2010000000000001</v>
      </c>
      <c r="D949" s="112">
        <v>42746</v>
      </c>
    </row>
    <row r="950" spans="1:4">
      <c r="A950" s="110" t="s">
        <v>1099</v>
      </c>
      <c r="B950" s="110" t="s">
        <v>298</v>
      </c>
      <c r="C950" s="110">
        <v>2.2389999999999999</v>
      </c>
      <c r="D950" s="112">
        <v>42746</v>
      </c>
    </row>
    <row r="951" spans="1:4">
      <c r="A951" s="110" t="s">
        <v>1098</v>
      </c>
      <c r="B951" s="110" t="s">
        <v>298</v>
      </c>
      <c r="C951" s="110">
        <v>2.2759999999999998</v>
      </c>
      <c r="D951" s="112">
        <v>42746</v>
      </c>
    </row>
    <row r="952" spans="1:4">
      <c r="A952" s="110" t="s">
        <v>1097</v>
      </c>
      <c r="B952" s="110" t="s">
        <v>298</v>
      </c>
      <c r="C952" s="110">
        <v>2.2480000000000002</v>
      </c>
      <c r="D952" s="112">
        <v>42746</v>
      </c>
    </row>
    <row r="953" spans="1:4">
      <c r="A953" s="110" t="s">
        <v>1096</v>
      </c>
      <c r="B953" s="110" t="s">
        <v>298</v>
      </c>
      <c r="C953" s="110">
        <v>2.1989999999999998</v>
      </c>
      <c r="D953" s="112">
        <v>42746</v>
      </c>
    </row>
    <row r="954" spans="1:4">
      <c r="A954" s="110" t="s">
        <v>1095</v>
      </c>
      <c r="B954" s="110" t="s">
        <v>298</v>
      </c>
      <c r="C954" s="110">
        <v>2.2890000000000001</v>
      </c>
      <c r="D954" s="112">
        <v>42746</v>
      </c>
    </row>
    <row r="955" spans="1:4">
      <c r="A955" s="110" t="s">
        <v>1094</v>
      </c>
      <c r="B955" s="110" t="s">
        <v>298</v>
      </c>
      <c r="C955" s="110">
        <v>2.1850000000000001</v>
      </c>
      <c r="D955" s="112">
        <v>42746</v>
      </c>
    </row>
    <row r="956" spans="1:4">
      <c r="A956" s="110" t="s">
        <v>1093</v>
      </c>
      <c r="B956" s="110" t="s">
        <v>298</v>
      </c>
      <c r="C956" s="110">
        <v>2.2149999999999999</v>
      </c>
      <c r="D956" s="112">
        <v>42746</v>
      </c>
    </row>
    <row r="957" spans="1:4">
      <c r="A957" s="110" t="s">
        <v>1092</v>
      </c>
      <c r="B957" s="110" t="s">
        <v>298</v>
      </c>
      <c r="C957" s="110">
        <v>2.2999999999999998</v>
      </c>
      <c r="D957" s="112">
        <v>42746</v>
      </c>
    </row>
    <row r="958" spans="1:4">
      <c r="A958" s="110" t="s">
        <v>1091</v>
      </c>
      <c r="B958" s="110" t="s">
        <v>298</v>
      </c>
      <c r="C958" s="110">
        <v>2.2490000000000001</v>
      </c>
      <c r="D958" s="112">
        <v>42746</v>
      </c>
    </row>
    <row r="959" spans="1:4">
      <c r="A959" s="110" t="s">
        <v>1090</v>
      </c>
      <c r="B959" s="110" t="s">
        <v>298</v>
      </c>
      <c r="C959" s="110">
        <v>2.3149999999999999</v>
      </c>
      <c r="D959" s="112">
        <v>42746</v>
      </c>
    </row>
    <row r="960" spans="1:4">
      <c r="A960" s="110" t="s">
        <v>1089</v>
      </c>
      <c r="B960" s="110" t="s">
        <v>298</v>
      </c>
      <c r="C960" s="110">
        <v>2.1629999999999998</v>
      </c>
      <c r="D960" s="112">
        <v>42746</v>
      </c>
    </row>
    <row r="961" spans="1:5">
      <c r="A961" s="110" t="s">
        <v>1088</v>
      </c>
      <c r="B961" s="110" t="s">
        <v>298</v>
      </c>
      <c r="C961" s="110">
        <v>2.2829999999999999</v>
      </c>
      <c r="D961" s="112">
        <v>42746</v>
      </c>
    </row>
    <row r="962" spans="1:5">
      <c r="A962" s="415" t="s">
        <v>1087</v>
      </c>
      <c r="B962" s="415" t="s">
        <v>298</v>
      </c>
      <c r="C962" s="415">
        <v>2.2069999999999999</v>
      </c>
      <c r="D962" s="416">
        <v>42746</v>
      </c>
      <c r="E962" s="415" t="s">
        <v>3240</v>
      </c>
    </row>
    <row r="963" spans="1:5">
      <c r="A963" s="110" t="s">
        <v>1086</v>
      </c>
      <c r="B963" s="110" t="s">
        <v>298</v>
      </c>
      <c r="C963" s="110">
        <v>2.2010000000000001</v>
      </c>
      <c r="D963" s="112">
        <v>42746</v>
      </c>
    </row>
    <row r="964" spans="1:5">
      <c r="A964" s="110" t="s">
        <v>1085</v>
      </c>
      <c r="B964" s="110" t="s">
        <v>298</v>
      </c>
      <c r="C964" s="110">
        <v>2.1829999999999998</v>
      </c>
      <c r="D964" s="112">
        <v>42746</v>
      </c>
    </row>
    <row r="965" spans="1:5">
      <c r="A965" s="110" t="s">
        <v>1084</v>
      </c>
      <c r="B965" s="110" t="s">
        <v>298</v>
      </c>
      <c r="C965" s="110">
        <v>2.1890000000000001</v>
      </c>
      <c r="D965" s="112">
        <v>42746</v>
      </c>
    </row>
    <row r="966" spans="1:5">
      <c r="A966" s="110" t="s">
        <v>1083</v>
      </c>
      <c r="B966" s="110" t="s">
        <v>298</v>
      </c>
      <c r="C966" s="110">
        <v>2.1760000000000002</v>
      </c>
      <c r="D966" s="112">
        <v>42746</v>
      </c>
    </row>
    <row r="967" spans="1:5">
      <c r="A967" s="110" t="s">
        <v>1082</v>
      </c>
      <c r="B967" s="110" t="s">
        <v>298</v>
      </c>
      <c r="C967" s="110">
        <v>2.2029999999999998</v>
      </c>
      <c r="D967" s="112">
        <v>42746</v>
      </c>
    </row>
    <row r="968" spans="1:5">
      <c r="A968" s="110" t="s">
        <v>1081</v>
      </c>
      <c r="B968" s="110" t="s">
        <v>298</v>
      </c>
      <c r="C968" s="110">
        <v>2.3220000000000001</v>
      </c>
      <c r="D968" s="112">
        <v>42746</v>
      </c>
    </row>
    <row r="969" spans="1:5">
      <c r="A969" s="110" t="s">
        <v>1080</v>
      </c>
      <c r="B969" s="110" t="s">
        <v>298</v>
      </c>
      <c r="C969" s="110">
        <v>2.2450000000000001</v>
      </c>
      <c r="D969" s="112">
        <v>42746</v>
      </c>
    </row>
    <row r="970" spans="1:5">
      <c r="A970" s="110" t="s">
        <v>1079</v>
      </c>
      <c r="B970" s="110" t="s">
        <v>298</v>
      </c>
      <c r="C970" s="110">
        <v>2.3660000000000001</v>
      </c>
      <c r="D970" s="112">
        <v>42746</v>
      </c>
    </row>
    <row r="971" spans="1:5">
      <c r="A971" s="110" t="s">
        <v>1078</v>
      </c>
      <c r="B971" s="110" t="s">
        <v>298</v>
      </c>
      <c r="C971" s="110">
        <v>2.1749999999999998</v>
      </c>
      <c r="D971" s="112">
        <v>42746</v>
      </c>
    </row>
    <row r="972" spans="1:5">
      <c r="A972" s="110" t="s">
        <v>1077</v>
      </c>
      <c r="B972" s="110" t="s">
        <v>298</v>
      </c>
      <c r="C972" s="110">
        <v>2.2879999999999998</v>
      </c>
      <c r="D972" s="112">
        <v>42746</v>
      </c>
    </row>
    <row r="973" spans="1:5">
      <c r="A973" s="110" t="s">
        <v>1076</v>
      </c>
      <c r="B973" s="110" t="s">
        <v>298</v>
      </c>
      <c r="C973" s="110">
        <v>2.2559999999999998</v>
      </c>
      <c r="D973" s="112">
        <v>42746</v>
      </c>
    </row>
    <row r="974" spans="1:5">
      <c r="A974" s="110" t="s">
        <v>1075</v>
      </c>
      <c r="B974" s="110" t="s">
        <v>298</v>
      </c>
      <c r="C974" s="110">
        <v>2.1120000000000001</v>
      </c>
      <c r="D974" s="112">
        <v>42746</v>
      </c>
    </row>
    <row r="975" spans="1:5">
      <c r="A975" s="110" t="s">
        <v>1074</v>
      </c>
      <c r="B975" s="110" t="s">
        <v>298</v>
      </c>
      <c r="C975" s="110">
        <v>2.1859999999999999</v>
      </c>
      <c r="D975" s="112">
        <v>42746</v>
      </c>
    </row>
    <row r="976" spans="1:5">
      <c r="A976" s="110" t="s">
        <v>1073</v>
      </c>
      <c r="B976" s="110" t="s">
        <v>298</v>
      </c>
      <c r="C976" s="110">
        <v>2.2370000000000001</v>
      </c>
      <c r="D976" s="112">
        <v>42746</v>
      </c>
    </row>
    <row r="977" spans="1:4">
      <c r="A977" s="110" t="s">
        <v>1072</v>
      </c>
      <c r="B977" s="110" t="s">
        <v>298</v>
      </c>
      <c r="C977" s="110">
        <v>2.2149999999999999</v>
      </c>
      <c r="D977" s="112">
        <v>42746</v>
      </c>
    </row>
    <row r="978" spans="1:4">
      <c r="A978" s="110" t="s">
        <v>1071</v>
      </c>
      <c r="B978" s="110" t="s">
        <v>298</v>
      </c>
      <c r="C978" s="110">
        <v>2.23</v>
      </c>
      <c r="D978" s="112">
        <v>42746</v>
      </c>
    </row>
    <row r="979" spans="1:4">
      <c r="A979" s="110" t="s">
        <v>1070</v>
      </c>
      <c r="B979" s="110" t="s">
        <v>298</v>
      </c>
      <c r="C979" s="110">
        <v>2.2440000000000002</v>
      </c>
      <c r="D979" s="112">
        <v>42746</v>
      </c>
    </row>
    <row r="980" spans="1:4">
      <c r="A980" s="110" t="s">
        <v>1069</v>
      </c>
      <c r="B980" s="110" t="s">
        <v>298</v>
      </c>
      <c r="C980" s="110">
        <v>2.2349999999999999</v>
      </c>
      <c r="D980" s="112">
        <v>42746</v>
      </c>
    </row>
    <row r="981" spans="1:4">
      <c r="A981" s="110" t="s">
        <v>1068</v>
      </c>
      <c r="B981" s="110" t="s">
        <v>298</v>
      </c>
      <c r="C981" s="110">
        <v>2.1459999999999999</v>
      </c>
      <c r="D981" s="112">
        <v>42746</v>
      </c>
    </row>
    <row r="982" spans="1:4">
      <c r="A982" s="110" t="s">
        <v>1067</v>
      </c>
      <c r="B982" s="110" t="s">
        <v>298</v>
      </c>
      <c r="C982" s="110">
        <v>2.3340000000000001</v>
      </c>
      <c r="D982" s="112">
        <v>42746</v>
      </c>
    </row>
    <row r="983" spans="1:4">
      <c r="A983" s="110" t="s">
        <v>1066</v>
      </c>
      <c r="B983" s="110" t="s">
        <v>298</v>
      </c>
      <c r="C983" s="110">
        <v>2.1819999999999999</v>
      </c>
      <c r="D983" s="112">
        <v>42746</v>
      </c>
    </row>
    <row r="984" spans="1:4">
      <c r="A984" s="110" t="s">
        <v>1065</v>
      </c>
      <c r="B984" s="110" t="s">
        <v>298</v>
      </c>
      <c r="C984" s="110">
        <v>2.2970000000000002</v>
      </c>
      <c r="D984" s="112">
        <v>42746</v>
      </c>
    </row>
    <row r="985" spans="1:4">
      <c r="A985" s="110" t="s">
        <v>1064</v>
      </c>
      <c r="B985" s="110" t="s">
        <v>298</v>
      </c>
      <c r="C985" s="110">
        <v>2.1749999999999998</v>
      </c>
      <c r="D985" s="112">
        <v>42746</v>
      </c>
    </row>
    <row r="986" spans="1:4">
      <c r="A986" s="110" t="s">
        <v>1063</v>
      </c>
      <c r="B986" s="110" t="s">
        <v>298</v>
      </c>
      <c r="C986" s="110">
        <v>2.2200000000000002</v>
      </c>
      <c r="D986" s="112">
        <v>42746</v>
      </c>
    </row>
    <row r="987" spans="1:4">
      <c r="A987" s="110" t="s">
        <v>1062</v>
      </c>
      <c r="B987" s="110" t="s">
        <v>298</v>
      </c>
      <c r="C987" s="110">
        <v>2.1890000000000001</v>
      </c>
      <c r="D987" s="112">
        <v>42746</v>
      </c>
    </row>
    <row r="988" spans="1:4">
      <c r="A988" s="110" t="s">
        <v>1061</v>
      </c>
      <c r="B988" s="110" t="s">
        <v>298</v>
      </c>
      <c r="C988" s="110">
        <v>2.177</v>
      </c>
      <c r="D988" s="112">
        <v>42746</v>
      </c>
    </row>
    <row r="989" spans="1:4">
      <c r="A989" s="110" t="s">
        <v>1060</v>
      </c>
      <c r="B989" s="110" t="s">
        <v>298</v>
      </c>
      <c r="C989" s="110">
        <v>2.004</v>
      </c>
      <c r="D989" s="112">
        <v>42746</v>
      </c>
    </row>
    <row r="990" spans="1:4">
      <c r="A990" s="110" t="s">
        <v>1059</v>
      </c>
      <c r="B990" s="110" t="s">
        <v>298</v>
      </c>
      <c r="C990" s="110">
        <v>2.2490000000000001</v>
      </c>
      <c r="D990" s="112">
        <v>42746</v>
      </c>
    </row>
    <row r="991" spans="1:4">
      <c r="A991" s="110" t="s">
        <v>1058</v>
      </c>
      <c r="B991" s="110" t="s">
        <v>298</v>
      </c>
      <c r="C991" s="110">
        <v>2.0390000000000001</v>
      </c>
      <c r="D991" s="112">
        <v>42746</v>
      </c>
    </row>
    <row r="992" spans="1:4">
      <c r="A992" s="110" t="s">
        <v>1057</v>
      </c>
      <c r="B992" s="110" t="s">
        <v>298</v>
      </c>
      <c r="C992" s="110">
        <v>2.1629999999999998</v>
      </c>
      <c r="D992" s="112">
        <v>42746</v>
      </c>
    </row>
    <row r="993" spans="1:4">
      <c r="A993" s="110" t="s">
        <v>1056</v>
      </c>
      <c r="B993" s="110" t="s">
        <v>298</v>
      </c>
      <c r="C993" s="110">
        <v>2.1930000000000001</v>
      </c>
      <c r="D993" s="112">
        <v>42746</v>
      </c>
    </row>
    <row r="994" spans="1:4">
      <c r="A994" s="110" t="s">
        <v>1055</v>
      </c>
      <c r="B994" s="110" t="s">
        <v>298</v>
      </c>
      <c r="C994" s="110">
        <v>2.242</v>
      </c>
      <c r="D994" s="112">
        <v>42746</v>
      </c>
    </row>
    <row r="995" spans="1:4">
      <c r="A995" s="110" t="s">
        <v>1054</v>
      </c>
      <c r="B995" s="110" t="s">
        <v>298</v>
      </c>
      <c r="C995" s="110">
        <v>2.2930000000000001</v>
      </c>
      <c r="D995" s="112">
        <v>42746</v>
      </c>
    </row>
    <row r="996" spans="1:4">
      <c r="A996" s="110" t="s">
        <v>1053</v>
      </c>
      <c r="B996" s="110" t="s">
        <v>298</v>
      </c>
      <c r="C996" s="110">
        <v>2.1520000000000001</v>
      </c>
      <c r="D996" s="112">
        <v>42746</v>
      </c>
    </row>
    <row r="997" spans="1:4">
      <c r="A997" s="110" t="s">
        <v>1052</v>
      </c>
      <c r="B997" s="110" t="s">
        <v>298</v>
      </c>
      <c r="C997" s="110">
        <v>2.1949999999999998</v>
      </c>
      <c r="D997" s="112">
        <v>42746</v>
      </c>
    </row>
    <row r="998" spans="1:4">
      <c r="A998" s="110" t="s">
        <v>1051</v>
      </c>
      <c r="B998" s="110" t="s">
        <v>298</v>
      </c>
      <c r="C998" s="110">
        <v>2.206</v>
      </c>
      <c r="D998" s="112">
        <v>42746</v>
      </c>
    </row>
    <row r="999" spans="1:4">
      <c r="A999" s="110" t="s">
        <v>1050</v>
      </c>
      <c r="B999" s="110" t="s">
        <v>298</v>
      </c>
      <c r="C999" s="110">
        <v>2.133</v>
      </c>
      <c r="D999" s="112">
        <v>42746</v>
      </c>
    </row>
    <row r="1000" spans="1:4">
      <c r="A1000" s="110" t="s">
        <v>1049</v>
      </c>
      <c r="B1000" s="110" t="s">
        <v>298</v>
      </c>
      <c r="C1000" s="110">
        <v>2.246</v>
      </c>
      <c r="D1000" s="112">
        <v>42746</v>
      </c>
    </row>
    <row r="1001" spans="1:4">
      <c r="A1001" s="110" t="s">
        <v>1048</v>
      </c>
      <c r="B1001" s="110" t="s">
        <v>298</v>
      </c>
      <c r="C1001" s="110">
        <v>2.1709999999999998</v>
      </c>
      <c r="D1001" s="112">
        <v>42746</v>
      </c>
    </row>
    <row r="1002" spans="1:4">
      <c r="A1002" s="110" t="s">
        <v>1047</v>
      </c>
      <c r="B1002" s="110" t="s">
        <v>298</v>
      </c>
      <c r="C1002" s="110">
        <v>2.2770000000000001</v>
      </c>
      <c r="D1002" s="112">
        <v>42746</v>
      </c>
    </row>
    <row r="1003" spans="1:4">
      <c r="A1003" s="110" t="s">
        <v>1046</v>
      </c>
      <c r="B1003" s="110" t="s">
        <v>298</v>
      </c>
      <c r="C1003" s="110">
        <v>2.2160000000000002</v>
      </c>
      <c r="D1003" s="112">
        <v>42746</v>
      </c>
    </row>
    <row r="1004" spans="1:4">
      <c r="A1004" s="110" t="s">
        <v>1045</v>
      </c>
      <c r="B1004" s="110" t="s">
        <v>298</v>
      </c>
      <c r="C1004" s="110">
        <v>2.2309999999999999</v>
      </c>
      <c r="D1004" s="112">
        <v>42746</v>
      </c>
    </row>
    <row r="1005" spans="1:4">
      <c r="A1005" s="110" t="s">
        <v>1044</v>
      </c>
      <c r="B1005" s="110" t="s">
        <v>298</v>
      </c>
      <c r="C1005" s="110">
        <v>2.2959999999999998</v>
      </c>
      <c r="D1005" s="112">
        <v>42746</v>
      </c>
    </row>
    <row r="1006" spans="1:4">
      <c r="A1006" s="110" t="s">
        <v>1043</v>
      </c>
      <c r="B1006" s="110" t="s">
        <v>298</v>
      </c>
      <c r="C1006" s="110">
        <v>2.1960000000000002</v>
      </c>
      <c r="D1006" s="112">
        <v>42746</v>
      </c>
    </row>
    <row r="1007" spans="1:4">
      <c r="A1007" s="110" t="s">
        <v>1042</v>
      </c>
      <c r="B1007" s="110" t="s">
        <v>298</v>
      </c>
      <c r="C1007" s="110">
        <v>2.1920000000000002</v>
      </c>
      <c r="D1007" s="112">
        <v>42746</v>
      </c>
    </row>
    <row r="1008" spans="1:4">
      <c r="A1008" s="110" t="s">
        <v>1041</v>
      </c>
      <c r="B1008" s="110" t="s">
        <v>298</v>
      </c>
      <c r="C1008" s="110">
        <v>2.2549999999999999</v>
      </c>
      <c r="D1008" s="112">
        <v>42746</v>
      </c>
    </row>
    <row r="1009" spans="1:4">
      <c r="A1009" s="110" t="s">
        <v>1040</v>
      </c>
      <c r="B1009" s="110" t="s">
        <v>298</v>
      </c>
      <c r="C1009" s="110">
        <v>2.3039999999999998</v>
      </c>
      <c r="D1009" s="112">
        <v>42746</v>
      </c>
    </row>
    <row r="1010" spans="1:4">
      <c r="A1010" s="110" t="s">
        <v>1039</v>
      </c>
      <c r="B1010" s="110" t="s">
        <v>298</v>
      </c>
      <c r="C1010" s="110">
        <v>2.2469999999999999</v>
      </c>
      <c r="D1010" s="112">
        <v>42746</v>
      </c>
    </row>
    <row r="1011" spans="1:4">
      <c r="A1011" s="110" t="s">
        <v>1038</v>
      </c>
      <c r="B1011" s="110" t="s">
        <v>298</v>
      </c>
      <c r="C1011" s="110">
        <v>2.246</v>
      </c>
      <c r="D1011" s="112">
        <v>42746</v>
      </c>
    </row>
    <row r="1012" spans="1:4">
      <c r="A1012" s="110" t="s">
        <v>1037</v>
      </c>
      <c r="B1012" s="110" t="s">
        <v>298</v>
      </c>
      <c r="C1012" s="110">
        <v>2.2109999999999999</v>
      </c>
      <c r="D1012" s="112">
        <v>42746</v>
      </c>
    </row>
    <row r="1013" spans="1:4">
      <c r="A1013" s="110" t="s">
        <v>1036</v>
      </c>
      <c r="B1013" s="110" t="s">
        <v>298</v>
      </c>
      <c r="C1013" s="110">
        <v>2.254</v>
      </c>
      <c r="D1013" s="112">
        <v>42746</v>
      </c>
    </row>
    <row r="1014" spans="1:4">
      <c r="A1014" s="110" t="s">
        <v>1035</v>
      </c>
      <c r="B1014" s="110" t="s">
        <v>298</v>
      </c>
      <c r="C1014" s="110">
        <v>2.2330000000000001</v>
      </c>
      <c r="D1014" s="112">
        <v>42746</v>
      </c>
    </row>
    <row r="1015" spans="1:4">
      <c r="A1015" s="110" t="s">
        <v>1034</v>
      </c>
      <c r="B1015" s="110" t="s">
        <v>298</v>
      </c>
      <c r="C1015" s="110">
        <v>2.19</v>
      </c>
      <c r="D1015" s="112">
        <v>42746</v>
      </c>
    </row>
    <row r="1016" spans="1:4">
      <c r="A1016" s="110" t="s">
        <v>1033</v>
      </c>
      <c r="B1016" s="110" t="s">
        <v>298</v>
      </c>
      <c r="C1016" s="110">
        <v>2.1680000000000001</v>
      </c>
      <c r="D1016" s="112">
        <v>42746</v>
      </c>
    </row>
    <row r="1017" spans="1:4">
      <c r="A1017" s="110" t="s">
        <v>1032</v>
      </c>
      <c r="B1017" s="110" t="s">
        <v>298</v>
      </c>
      <c r="C1017" s="110">
        <v>2.2090000000000001</v>
      </c>
      <c r="D1017" s="112">
        <v>42746</v>
      </c>
    </row>
    <row r="1018" spans="1:4">
      <c r="A1018" s="110" t="s">
        <v>1031</v>
      </c>
      <c r="B1018" s="110" t="s">
        <v>298</v>
      </c>
      <c r="C1018" s="110">
        <v>2.2530000000000001</v>
      </c>
      <c r="D1018" s="112">
        <v>42746</v>
      </c>
    </row>
    <row r="1019" spans="1:4">
      <c r="A1019" s="110" t="s">
        <v>1030</v>
      </c>
      <c r="B1019" s="110" t="s">
        <v>298</v>
      </c>
      <c r="C1019" s="110">
        <v>2.3170000000000002</v>
      </c>
      <c r="D1019" s="112">
        <v>42746</v>
      </c>
    </row>
    <row r="1020" spans="1:4">
      <c r="A1020" s="110" t="s">
        <v>1029</v>
      </c>
      <c r="B1020" s="110" t="s">
        <v>298</v>
      </c>
      <c r="C1020" s="110">
        <v>2.2610000000000001</v>
      </c>
      <c r="D1020" s="112">
        <v>42746</v>
      </c>
    </row>
    <row r="1021" spans="1:4">
      <c r="A1021" s="110" t="s">
        <v>1028</v>
      </c>
      <c r="B1021" s="110" t="s">
        <v>298</v>
      </c>
      <c r="C1021" s="110">
        <v>2.202</v>
      </c>
      <c r="D1021" s="112">
        <v>42746</v>
      </c>
    </row>
    <row r="1022" spans="1:4">
      <c r="A1022" s="110" t="s">
        <v>1027</v>
      </c>
      <c r="B1022" s="110" t="s">
        <v>298</v>
      </c>
      <c r="C1022" s="110">
        <v>2.2450000000000001</v>
      </c>
      <c r="D1022" s="112">
        <v>42746</v>
      </c>
    </row>
    <row r="1023" spans="1:4">
      <c r="A1023" s="110" t="s">
        <v>1026</v>
      </c>
      <c r="B1023" s="110" t="s">
        <v>298</v>
      </c>
      <c r="C1023" s="110">
        <v>2.3119999999999998</v>
      </c>
      <c r="D1023" s="112">
        <v>42746</v>
      </c>
    </row>
    <row r="1024" spans="1:4">
      <c r="A1024" s="110" t="s">
        <v>1025</v>
      </c>
      <c r="B1024" s="110" t="s">
        <v>298</v>
      </c>
      <c r="C1024" s="110">
        <v>2.2909999999999999</v>
      </c>
      <c r="D1024" s="112">
        <v>42746</v>
      </c>
    </row>
    <row r="1025" spans="1:4">
      <c r="A1025" s="110" t="s">
        <v>1024</v>
      </c>
      <c r="B1025" s="110" t="s">
        <v>298</v>
      </c>
      <c r="C1025" s="110">
        <v>2.2029999999999998</v>
      </c>
      <c r="D1025" s="112">
        <v>42746</v>
      </c>
    </row>
    <row r="1026" spans="1:4">
      <c r="A1026" s="110" t="s">
        <v>1023</v>
      </c>
      <c r="B1026" s="110" t="s">
        <v>298</v>
      </c>
      <c r="C1026" s="110">
        <v>2.3330000000000002</v>
      </c>
      <c r="D1026" s="112">
        <v>42746</v>
      </c>
    </row>
    <row r="1027" spans="1:4">
      <c r="A1027" s="110" t="s">
        <v>1022</v>
      </c>
      <c r="B1027" s="110" t="s">
        <v>298</v>
      </c>
      <c r="C1027" s="110">
        <v>2.1589999999999998</v>
      </c>
      <c r="D1027" s="112">
        <v>42746</v>
      </c>
    </row>
    <row r="1028" spans="1:4">
      <c r="A1028" s="110" t="s">
        <v>1021</v>
      </c>
      <c r="B1028" s="110" t="s">
        <v>298</v>
      </c>
      <c r="C1028" s="110">
        <v>2.2450000000000001</v>
      </c>
      <c r="D1028" s="112">
        <v>42746</v>
      </c>
    </row>
    <row r="1029" spans="1:4">
      <c r="A1029" s="110" t="s">
        <v>1020</v>
      </c>
      <c r="B1029" s="110" t="s">
        <v>298</v>
      </c>
      <c r="C1029" s="110">
        <v>2.165</v>
      </c>
      <c r="D1029" s="112">
        <v>42747</v>
      </c>
    </row>
    <row r="1030" spans="1:4">
      <c r="A1030" s="110" t="s">
        <v>1019</v>
      </c>
      <c r="B1030" s="110" t="s">
        <v>298</v>
      </c>
      <c r="C1030" s="110">
        <v>2.2189999999999999</v>
      </c>
      <c r="D1030" s="112">
        <v>42747</v>
      </c>
    </row>
    <row r="1031" spans="1:4">
      <c r="A1031" s="110" t="s">
        <v>1018</v>
      </c>
      <c r="B1031" s="110" t="s">
        <v>298</v>
      </c>
      <c r="C1031" s="110">
        <v>2.2610000000000001</v>
      </c>
      <c r="D1031" s="112">
        <v>42747</v>
      </c>
    </row>
    <row r="1032" spans="1:4">
      <c r="A1032" s="110" t="s">
        <v>1017</v>
      </c>
      <c r="B1032" s="110" t="s">
        <v>298</v>
      </c>
      <c r="C1032" s="110">
        <v>2.2120000000000002</v>
      </c>
      <c r="D1032" s="112">
        <v>42747</v>
      </c>
    </row>
    <row r="1033" spans="1:4">
      <c r="A1033" s="110" t="s">
        <v>1016</v>
      </c>
      <c r="B1033" s="110" t="s">
        <v>298</v>
      </c>
      <c r="C1033" s="110">
        <v>2.2040000000000002</v>
      </c>
      <c r="D1033" s="112">
        <v>42747</v>
      </c>
    </row>
    <row r="1034" spans="1:4">
      <c r="A1034" s="110" t="s">
        <v>1015</v>
      </c>
      <c r="B1034" s="110" t="s">
        <v>298</v>
      </c>
      <c r="C1034" s="110">
        <v>2.2400000000000002</v>
      </c>
      <c r="D1034" s="112">
        <v>42747</v>
      </c>
    </row>
    <row r="1035" spans="1:4">
      <c r="A1035" s="110" t="s">
        <v>1014</v>
      </c>
      <c r="B1035" s="110" t="s">
        <v>298</v>
      </c>
      <c r="C1035" s="110">
        <v>2.1869999999999998</v>
      </c>
      <c r="D1035" s="112">
        <v>42747</v>
      </c>
    </row>
    <row r="1036" spans="1:4">
      <c r="A1036" s="166" t="s">
        <v>1013</v>
      </c>
      <c r="B1036" s="110" t="s">
        <v>298</v>
      </c>
      <c r="C1036" s="110">
        <v>2.2370000000000001</v>
      </c>
      <c r="D1036" s="112">
        <v>42747</v>
      </c>
    </row>
    <row r="1037" spans="1:4">
      <c r="A1037" s="110" t="s">
        <v>1012</v>
      </c>
      <c r="B1037" s="110" t="s">
        <v>298</v>
      </c>
      <c r="C1037" s="110">
        <v>2.2829999999999999</v>
      </c>
      <c r="D1037" s="112">
        <v>42747</v>
      </c>
    </row>
    <row r="1038" spans="1:4">
      <c r="A1038" s="110" t="s">
        <v>1011</v>
      </c>
      <c r="B1038" s="110" t="s">
        <v>298</v>
      </c>
      <c r="C1038" s="110">
        <v>2.2410000000000001</v>
      </c>
      <c r="D1038" s="112">
        <v>42747</v>
      </c>
    </row>
    <row r="1039" spans="1:4">
      <c r="A1039" s="110" t="s">
        <v>1010</v>
      </c>
      <c r="B1039" s="110" t="s">
        <v>298</v>
      </c>
      <c r="C1039" s="110">
        <v>2.1560000000000001</v>
      </c>
      <c r="D1039" s="112">
        <v>42747</v>
      </c>
    </row>
    <row r="1040" spans="1:4">
      <c r="A1040" s="110" t="s">
        <v>1009</v>
      </c>
      <c r="B1040" s="110" t="s">
        <v>298</v>
      </c>
      <c r="C1040" s="110">
        <v>2.133</v>
      </c>
      <c r="D1040" s="112">
        <v>42747</v>
      </c>
    </row>
    <row r="1041" spans="1:4">
      <c r="A1041" s="110" t="s">
        <v>1008</v>
      </c>
      <c r="B1041" s="110" t="s">
        <v>298</v>
      </c>
      <c r="C1041" s="110">
        <v>2.1760000000000002</v>
      </c>
      <c r="D1041" s="112">
        <v>42747</v>
      </c>
    </row>
    <row r="1042" spans="1:4">
      <c r="A1042" s="110" t="s">
        <v>1007</v>
      </c>
      <c r="B1042" s="110" t="s">
        <v>298</v>
      </c>
      <c r="C1042" s="110">
        <v>2.21</v>
      </c>
      <c r="D1042" s="112">
        <v>42747</v>
      </c>
    </row>
    <row r="1043" spans="1:4">
      <c r="A1043" s="110" t="s">
        <v>1006</v>
      </c>
      <c r="B1043" s="110" t="s">
        <v>298</v>
      </c>
      <c r="C1043" s="110">
        <v>2.286</v>
      </c>
      <c r="D1043" s="112">
        <v>42747</v>
      </c>
    </row>
    <row r="1044" spans="1:4">
      <c r="A1044" s="110" t="s">
        <v>1005</v>
      </c>
      <c r="B1044" s="110" t="s">
        <v>298</v>
      </c>
      <c r="C1044" s="110">
        <v>2.21</v>
      </c>
      <c r="D1044" s="112">
        <v>42747</v>
      </c>
    </row>
    <row r="1045" spans="1:4">
      <c r="A1045" s="110" t="s">
        <v>1004</v>
      </c>
      <c r="B1045" s="110" t="s">
        <v>298</v>
      </c>
      <c r="C1045" s="110">
        <v>2.198</v>
      </c>
      <c r="D1045" s="112">
        <v>42747</v>
      </c>
    </row>
    <row r="1046" spans="1:4">
      <c r="A1046" s="110" t="s">
        <v>1003</v>
      </c>
      <c r="B1046" s="110" t="s">
        <v>298</v>
      </c>
      <c r="C1046" s="110">
        <v>2.3140000000000001</v>
      </c>
      <c r="D1046" s="112">
        <v>42747</v>
      </c>
    </row>
    <row r="1047" spans="1:4">
      <c r="A1047" s="110" t="s">
        <v>1002</v>
      </c>
      <c r="B1047" s="110" t="s">
        <v>298</v>
      </c>
      <c r="C1047" s="110">
        <v>2.2829999999999999</v>
      </c>
      <c r="D1047" s="112">
        <v>42747</v>
      </c>
    </row>
    <row r="1048" spans="1:4">
      <c r="A1048" s="110" t="s">
        <v>1001</v>
      </c>
      <c r="B1048" s="110" t="s">
        <v>298</v>
      </c>
      <c r="C1048" s="110">
        <v>2.1930000000000001</v>
      </c>
      <c r="D1048" s="112">
        <v>42747</v>
      </c>
    </row>
    <row r="1049" spans="1:4">
      <c r="A1049" s="110" t="s">
        <v>1000</v>
      </c>
      <c r="B1049" s="110" t="s">
        <v>298</v>
      </c>
      <c r="C1049" s="110">
        <v>2.2029999999999998</v>
      </c>
      <c r="D1049" s="112">
        <v>42747</v>
      </c>
    </row>
    <row r="1050" spans="1:4">
      <c r="A1050" s="110" t="s">
        <v>999</v>
      </c>
      <c r="B1050" s="110" t="s">
        <v>298</v>
      </c>
      <c r="C1050" s="110">
        <v>2.0870000000000002</v>
      </c>
      <c r="D1050" s="112">
        <v>42747</v>
      </c>
    </row>
    <row r="1051" spans="1:4">
      <c r="A1051" s="110" t="s">
        <v>998</v>
      </c>
      <c r="B1051" s="110" t="s">
        <v>298</v>
      </c>
      <c r="C1051" s="110">
        <v>2.1560000000000001</v>
      </c>
      <c r="D1051" s="112">
        <v>42747</v>
      </c>
    </row>
    <row r="1052" spans="1:4">
      <c r="A1052" s="110" t="s">
        <v>997</v>
      </c>
      <c r="B1052" s="110" t="s">
        <v>298</v>
      </c>
      <c r="C1052" s="110">
        <v>2.1429999999999998</v>
      </c>
      <c r="D1052" s="112">
        <v>42747</v>
      </c>
    </row>
    <row r="1053" spans="1:4">
      <c r="A1053" s="110" t="s">
        <v>996</v>
      </c>
      <c r="B1053" s="110" t="s">
        <v>298</v>
      </c>
      <c r="C1053" s="110">
        <v>2.2719999999999998</v>
      </c>
      <c r="D1053" s="112">
        <v>42747</v>
      </c>
    </row>
    <row r="1054" spans="1:4">
      <c r="A1054" s="110" t="s">
        <v>995</v>
      </c>
      <c r="B1054" s="110" t="s">
        <v>298</v>
      </c>
      <c r="C1054" s="110">
        <v>2.2010000000000001</v>
      </c>
      <c r="D1054" s="112">
        <v>42747</v>
      </c>
    </row>
    <row r="1055" spans="1:4">
      <c r="A1055" s="110" t="s">
        <v>994</v>
      </c>
      <c r="B1055" s="110" t="s">
        <v>298</v>
      </c>
      <c r="C1055" s="110">
        <v>2.1960000000000002</v>
      </c>
      <c r="D1055" s="112">
        <v>42747</v>
      </c>
    </row>
    <row r="1056" spans="1:4">
      <c r="A1056" s="110" t="s">
        <v>993</v>
      </c>
      <c r="B1056" s="110" t="s">
        <v>298</v>
      </c>
      <c r="C1056" s="110">
        <v>2.149</v>
      </c>
      <c r="D1056" s="112">
        <v>42747</v>
      </c>
    </row>
    <row r="1057" spans="1:4">
      <c r="A1057" s="110" t="s">
        <v>992</v>
      </c>
      <c r="B1057" s="110" t="s">
        <v>298</v>
      </c>
      <c r="C1057" s="110">
        <v>2.2400000000000002</v>
      </c>
      <c r="D1057" s="112">
        <v>42747</v>
      </c>
    </row>
    <row r="1058" spans="1:4">
      <c r="A1058" s="110" t="s">
        <v>991</v>
      </c>
      <c r="B1058" s="110" t="s">
        <v>298</v>
      </c>
      <c r="C1058" s="110">
        <v>2.1469999999999998</v>
      </c>
      <c r="D1058" s="112">
        <v>42747</v>
      </c>
    </row>
    <row r="1059" spans="1:4">
      <c r="A1059" s="110" t="s">
        <v>990</v>
      </c>
      <c r="B1059" s="110" t="s">
        <v>298</v>
      </c>
      <c r="C1059" s="110">
        <v>2.1920000000000002</v>
      </c>
      <c r="D1059" s="112">
        <v>42747</v>
      </c>
    </row>
    <row r="1060" spans="1:4">
      <c r="A1060" s="110" t="s">
        <v>989</v>
      </c>
      <c r="B1060" s="110" t="s">
        <v>298</v>
      </c>
      <c r="C1060" s="110">
        <v>2.1800000000000002</v>
      </c>
      <c r="D1060" s="112">
        <v>42747</v>
      </c>
    </row>
    <row r="1061" spans="1:4">
      <c r="A1061" s="110" t="s">
        <v>988</v>
      </c>
      <c r="B1061" s="110" t="s">
        <v>298</v>
      </c>
      <c r="C1061" s="110">
        <v>2.2200000000000002</v>
      </c>
      <c r="D1061" s="112">
        <v>42747</v>
      </c>
    </row>
    <row r="1062" spans="1:4">
      <c r="A1062" s="110" t="s">
        <v>987</v>
      </c>
      <c r="B1062" s="110" t="s">
        <v>298</v>
      </c>
      <c r="C1062" s="110">
        <v>2.2010000000000001</v>
      </c>
      <c r="D1062" s="112">
        <v>42747</v>
      </c>
    </row>
    <row r="1063" spans="1:4">
      <c r="A1063" s="110" t="s">
        <v>986</v>
      </c>
      <c r="B1063" s="110" t="s">
        <v>298</v>
      </c>
      <c r="C1063" s="110">
        <v>2.206</v>
      </c>
      <c r="D1063" s="112">
        <v>42747</v>
      </c>
    </row>
    <row r="1064" spans="1:4">
      <c r="A1064" s="110" t="s">
        <v>985</v>
      </c>
      <c r="B1064" s="110" t="s">
        <v>298</v>
      </c>
      <c r="C1064" s="110">
        <v>2.246</v>
      </c>
      <c r="D1064" s="112">
        <v>42747</v>
      </c>
    </row>
    <row r="1065" spans="1:4">
      <c r="A1065" s="110" t="s">
        <v>984</v>
      </c>
      <c r="B1065" s="110" t="s">
        <v>298</v>
      </c>
      <c r="C1065" s="110">
        <v>2.1819999999999999</v>
      </c>
      <c r="D1065" s="112">
        <v>42747</v>
      </c>
    </row>
    <row r="1066" spans="1:4">
      <c r="A1066" s="110" t="s">
        <v>983</v>
      </c>
      <c r="B1066" s="110" t="s">
        <v>298</v>
      </c>
      <c r="C1066" s="110">
        <v>2.2959999999999998</v>
      </c>
      <c r="D1066" s="112">
        <v>42747</v>
      </c>
    </row>
    <row r="1067" spans="1:4">
      <c r="A1067" s="110" t="s">
        <v>982</v>
      </c>
      <c r="B1067" s="110" t="s">
        <v>298</v>
      </c>
      <c r="C1067" s="110">
        <v>2.2930000000000001</v>
      </c>
      <c r="D1067" s="112">
        <v>42747</v>
      </c>
    </row>
    <row r="1068" spans="1:4">
      <c r="A1068" s="110" t="s">
        <v>981</v>
      </c>
      <c r="B1068" s="110" t="s">
        <v>298</v>
      </c>
      <c r="C1068" s="110">
        <v>2.1880000000000002</v>
      </c>
      <c r="D1068" s="112">
        <v>42747</v>
      </c>
    </row>
    <row r="1069" spans="1:4">
      <c r="A1069" s="110" t="s">
        <v>980</v>
      </c>
      <c r="B1069" s="110" t="s">
        <v>298</v>
      </c>
      <c r="C1069" s="110">
        <v>2.1829999999999998</v>
      </c>
      <c r="D1069" s="112">
        <v>42747</v>
      </c>
    </row>
    <row r="1070" spans="1:4">
      <c r="A1070" s="110" t="s">
        <v>979</v>
      </c>
      <c r="B1070" s="110" t="s">
        <v>298</v>
      </c>
      <c r="C1070" s="110">
        <v>2.242</v>
      </c>
      <c r="D1070" s="112">
        <v>42747</v>
      </c>
    </row>
    <row r="1071" spans="1:4">
      <c r="A1071" s="110" t="s">
        <v>978</v>
      </c>
      <c r="B1071" s="110" t="s">
        <v>298</v>
      </c>
      <c r="C1071" s="110">
        <v>2.23</v>
      </c>
      <c r="D1071" s="112">
        <v>42747</v>
      </c>
    </row>
    <row r="1072" spans="1:4">
      <c r="A1072" s="110" t="s">
        <v>977</v>
      </c>
      <c r="B1072" s="110" t="s">
        <v>298</v>
      </c>
      <c r="C1072" s="110">
        <v>2.2040000000000002</v>
      </c>
      <c r="D1072" s="112">
        <v>42747</v>
      </c>
    </row>
    <row r="1073" spans="1:4">
      <c r="A1073" s="110" t="s">
        <v>976</v>
      </c>
      <c r="B1073" s="110" t="s">
        <v>298</v>
      </c>
      <c r="C1073" s="110">
        <v>2.169</v>
      </c>
      <c r="D1073" s="112">
        <v>42747</v>
      </c>
    </row>
    <row r="1074" spans="1:4">
      <c r="A1074" s="110" t="s">
        <v>975</v>
      </c>
      <c r="B1074" s="110" t="s">
        <v>298</v>
      </c>
      <c r="C1074" s="110">
        <v>2.222</v>
      </c>
      <c r="D1074" s="112">
        <v>42747</v>
      </c>
    </row>
    <row r="1075" spans="1:4">
      <c r="A1075" s="110" t="s">
        <v>974</v>
      </c>
      <c r="B1075" s="110" t="s">
        <v>298</v>
      </c>
      <c r="C1075" s="110">
        <v>2.177</v>
      </c>
      <c r="D1075" s="112">
        <v>42747</v>
      </c>
    </row>
    <row r="1076" spans="1:4">
      <c r="A1076" s="110" t="s">
        <v>973</v>
      </c>
      <c r="B1076" s="110" t="s">
        <v>298</v>
      </c>
      <c r="C1076" s="110">
        <v>2.1459999999999999</v>
      </c>
      <c r="D1076" s="112">
        <v>42747</v>
      </c>
    </row>
    <row r="1077" spans="1:4">
      <c r="A1077" s="110" t="s">
        <v>972</v>
      </c>
      <c r="B1077" s="110" t="s">
        <v>298</v>
      </c>
      <c r="C1077" s="110">
        <v>2.2010000000000001</v>
      </c>
      <c r="D1077" s="112">
        <v>42747</v>
      </c>
    </row>
    <row r="1078" spans="1:4">
      <c r="A1078" s="110" t="s">
        <v>971</v>
      </c>
      <c r="B1078" s="110" t="s">
        <v>298</v>
      </c>
      <c r="C1078" s="110">
        <v>2.1120000000000001</v>
      </c>
      <c r="D1078" s="112">
        <v>42747</v>
      </c>
    </row>
    <row r="1079" spans="1:4">
      <c r="A1079" s="110" t="s">
        <v>970</v>
      </c>
      <c r="B1079" s="110" t="s">
        <v>298</v>
      </c>
      <c r="C1079" s="110">
        <v>2.1160000000000001</v>
      </c>
      <c r="D1079" s="112">
        <v>42747</v>
      </c>
    </row>
    <row r="1080" spans="1:4">
      <c r="A1080" s="110" t="s">
        <v>969</v>
      </c>
      <c r="B1080" s="110" t="s">
        <v>298</v>
      </c>
      <c r="C1080" s="110">
        <v>2.1520000000000001</v>
      </c>
      <c r="D1080" s="112">
        <v>42747</v>
      </c>
    </row>
    <row r="1081" spans="1:4">
      <c r="A1081" s="110" t="s">
        <v>968</v>
      </c>
      <c r="B1081" s="110" t="s">
        <v>298</v>
      </c>
      <c r="C1081" s="110">
        <v>2.2040000000000002</v>
      </c>
      <c r="D1081" s="112">
        <v>42747</v>
      </c>
    </row>
    <row r="1082" spans="1:4">
      <c r="A1082" s="110" t="s">
        <v>967</v>
      </c>
      <c r="B1082" s="110" t="s">
        <v>298</v>
      </c>
      <c r="C1082" s="110">
        <v>2.2410000000000001</v>
      </c>
      <c r="D1082" s="112">
        <v>42747</v>
      </c>
    </row>
    <row r="1083" spans="1:4">
      <c r="A1083" s="110" t="s">
        <v>966</v>
      </c>
      <c r="B1083" s="110" t="s">
        <v>298</v>
      </c>
      <c r="C1083" s="110">
        <v>2.2330000000000001</v>
      </c>
      <c r="D1083" s="112">
        <v>42747</v>
      </c>
    </row>
    <row r="1084" spans="1:4">
      <c r="A1084" s="110" t="s">
        <v>965</v>
      </c>
      <c r="B1084" s="110" t="s">
        <v>298</v>
      </c>
      <c r="C1084" s="110">
        <v>2.2160000000000002</v>
      </c>
      <c r="D1084" s="112">
        <v>42747</v>
      </c>
    </row>
    <row r="1085" spans="1:4">
      <c r="A1085" s="110" t="s">
        <v>964</v>
      </c>
      <c r="B1085" s="110" t="s">
        <v>298</v>
      </c>
      <c r="C1085" s="110">
        <v>2.153</v>
      </c>
      <c r="D1085" s="112">
        <v>42747</v>
      </c>
    </row>
    <row r="1086" spans="1:4">
      <c r="A1086" s="110" t="s">
        <v>963</v>
      </c>
      <c r="B1086" s="110" t="s">
        <v>298</v>
      </c>
      <c r="C1086" s="110">
        <v>2.222</v>
      </c>
      <c r="D1086" s="112">
        <v>42747</v>
      </c>
    </row>
    <row r="1087" spans="1:4">
      <c r="A1087" s="110" t="s">
        <v>962</v>
      </c>
      <c r="B1087" s="110" t="s">
        <v>298</v>
      </c>
      <c r="C1087" s="110">
        <v>2.177</v>
      </c>
      <c r="D1087" s="112">
        <v>42747</v>
      </c>
    </row>
    <row r="1088" spans="1:4">
      <c r="A1088" s="110" t="s">
        <v>961</v>
      </c>
      <c r="B1088" s="110" t="s">
        <v>298</v>
      </c>
      <c r="C1088" s="110">
        <v>2.2010000000000001</v>
      </c>
      <c r="D1088" s="112">
        <v>42747</v>
      </c>
    </row>
    <row r="1089" spans="1:4">
      <c r="A1089" s="110" t="s">
        <v>960</v>
      </c>
      <c r="B1089" s="110" t="s">
        <v>298</v>
      </c>
      <c r="C1089" s="110">
        <v>2.1749999999999998</v>
      </c>
      <c r="D1089" s="112">
        <v>42747</v>
      </c>
    </row>
    <row r="1090" spans="1:4">
      <c r="A1090" s="110" t="s">
        <v>959</v>
      </c>
      <c r="B1090" s="110" t="s">
        <v>298</v>
      </c>
      <c r="C1090" s="110">
        <v>2.161</v>
      </c>
      <c r="D1090" s="112">
        <v>42747</v>
      </c>
    </row>
    <row r="1091" spans="1:4">
      <c r="A1091" s="110" t="s">
        <v>958</v>
      </c>
      <c r="B1091" s="110" t="s">
        <v>298</v>
      </c>
      <c r="C1091" s="110">
        <v>2.262</v>
      </c>
      <c r="D1091" s="112">
        <v>42747</v>
      </c>
    </row>
    <row r="1092" spans="1:4">
      <c r="A1092" s="110" t="s">
        <v>957</v>
      </c>
      <c r="B1092" s="110" t="s">
        <v>298</v>
      </c>
      <c r="C1092" s="110">
        <v>2.202</v>
      </c>
      <c r="D1092" s="112">
        <v>42747</v>
      </c>
    </row>
    <row r="1093" spans="1:4">
      <c r="A1093" s="110" t="s">
        <v>956</v>
      </c>
      <c r="B1093" s="110" t="s">
        <v>298</v>
      </c>
      <c r="C1093" s="110">
        <v>2.2909999999999999</v>
      </c>
      <c r="D1093" s="112">
        <v>42747</v>
      </c>
    </row>
    <row r="1094" spans="1:4">
      <c r="A1094" s="110" t="s">
        <v>955</v>
      </c>
      <c r="B1094" s="110" t="s">
        <v>298</v>
      </c>
      <c r="C1094" s="110">
        <v>2.2530000000000001</v>
      </c>
      <c r="D1094" s="112">
        <v>42747</v>
      </c>
    </row>
    <row r="1095" spans="1:4">
      <c r="A1095" s="110" t="s">
        <v>954</v>
      </c>
      <c r="B1095" s="110" t="s">
        <v>298</v>
      </c>
      <c r="C1095" s="110">
        <v>2.2210000000000001</v>
      </c>
      <c r="D1095" s="112">
        <v>42747</v>
      </c>
    </row>
    <row r="1096" spans="1:4">
      <c r="A1096" s="110" t="s">
        <v>953</v>
      </c>
      <c r="B1096" s="110" t="s">
        <v>298</v>
      </c>
      <c r="C1096" s="110">
        <v>2.2440000000000002</v>
      </c>
      <c r="D1096" s="112">
        <v>42747</v>
      </c>
    </row>
    <row r="1097" spans="1:4">
      <c r="A1097" s="110" t="s">
        <v>952</v>
      </c>
      <c r="B1097" s="110" t="s">
        <v>298</v>
      </c>
      <c r="C1097" s="110">
        <v>2.274</v>
      </c>
      <c r="D1097" s="112">
        <v>42747</v>
      </c>
    </row>
    <row r="1098" spans="1:4">
      <c r="A1098" s="110" t="s">
        <v>951</v>
      </c>
      <c r="B1098" s="110" t="s">
        <v>298</v>
      </c>
      <c r="C1098" s="110">
        <v>2.2240000000000002</v>
      </c>
      <c r="D1098" s="112">
        <v>42747</v>
      </c>
    </row>
    <row r="1099" spans="1:4">
      <c r="A1099" s="110" t="s">
        <v>950</v>
      </c>
      <c r="B1099" s="110" t="s">
        <v>298</v>
      </c>
      <c r="C1099" s="110">
        <v>2.1789999999999998</v>
      </c>
      <c r="D1099" s="112">
        <v>42747</v>
      </c>
    </row>
    <row r="1100" spans="1:4">
      <c r="A1100" s="110" t="s">
        <v>949</v>
      </c>
      <c r="B1100" s="110" t="s">
        <v>298</v>
      </c>
      <c r="C1100" s="110">
        <v>2.1970000000000001</v>
      </c>
      <c r="D1100" s="112">
        <v>42747</v>
      </c>
    </row>
    <row r="1101" spans="1:4">
      <c r="A1101" s="110" t="s">
        <v>948</v>
      </c>
      <c r="B1101" s="110" t="s">
        <v>298</v>
      </c>
      <c r="C1101" s="110">
        <v>2.198</v>
      </c>
      <c r="D1101" s="112">
        <v>42747</v>
      </c>
    </row>
    <row r="1102" spans="1:4">
      <c r="A1102" s="110" t="s">
        <v>947</v>
      </c>
      <c r="B1102" s="110" t="s">
        <v>298</v>
      </c>
      <c r="C1102" s="110">
        <v>2.149</v>
      </c>
      <c r="D1102" s="112">
        <v>42747</v>
      </c>
    </row>
    <row r="1103" spans="1:4">
      <c r="A1103" s="110" t="s">
        <v>946</v>
      </c>
      <c r="B1103" s="110" t="s">
        <v>298</v>
      </c>
      <c r="C1103" s="110">
        <v>2.1640000000000001</v>
      </c>
      <c r="D1103" s="112">
        <v>42747</v>
      </c>
    </row>
    <row r="1104" spans="1:4">
      <c r="A1104" s="110" t="s">
        <v>945</v>
      </c>
      <c r="B1104" s="110" t="s">
        <v>298</v>
      </c>
      <c r="C1104" s="110">
        <v>2.242</v>
      </c>
      <c r="D1104" s="112">
        <v>42747</v>
      </c>
    </row>
    <row r="1105" spans="1:4">
      <c r="A1105" s="110" t="s">
        <v>944</v>
      </c>
      <c r="B1105" s="110" t="s">
        <v>298</v>
      </c>
      <c r="C1105" s="110">
        <v>2.2330000000000001</v>
      </c>
      <c r="D1105" s="112">
        <v>42747</v>
      </c>
    </row>
    <row r="1106" spans="1:4">
      <c r="A1106" s="110" t="s">
        <v>943</v>
      </c>
      <c r="B1106" s="110" t="s">
        <v>298</v>
      </c>
      <c r="C1106" s="110">
        <v>2.1970000000000001</v>
      </c>
      <c r="D1106" s="112">
        <v>42747</v>
      </c>
    </row>
    <row r="1107" spans="1:4">
      <c r="A1107" s="110" t="s">
        <v>942</v>
      </c>
      <c r="B1107" s="110" t="s">
        <v>298</v>
      </c>
      <c r="C1107" s="110">
        <v>2.1850000000000001</v>
      </c>
      <c r="D1107" s="112">
        <v>42747</v>
      </c>
    </row>
    <row r="1108" spans="1:4">
      <c r="A1108" s="110" t="s">
        <v>941</v>
      </c>
      <c r="B1108" s="110" t="s">
        <v>298</v>
      </c>
      <c r="C1108" s="110">
        <v>2.242</v>
      </c>
      <c r="D1108" s="112">
        <v>42747</v>
      </c>
    </row>
    <row r="1109" spans="1:4">
      <c r="A1109" s="110" t="s">
        <v>940</v>
      </c>
      <c r="B1109" s="110" t="s">
        <v>298</v>
      </c>
      <c r="C1109" s="110">
        <v>2.2349999999999999</v>
      </c>
      <c r="D1109" s="112">
        <v>42747</v>
      </c>
    </row>
    <row r="1110" spans="1:4">
      <c r="A1110" s="110" t="s">
        <v>939</v>
      </c>
      <c r="B1110" s="110" t="s">
        <v>298</v>
      </c>
      <c r="C1110" s="110">
        <v>2.298</v>
      </c>
      <c r="D1110" s="112">
        <v>42747</v>
      </c>
    </row>
    <row r="1111" spans="1:4">
      <c r="A1111" s="110" t="s">
        <v>938</v>
      </c>
      <c r="B1111" s="110" t="s">
        <v>298</v>
      </c>
      <c r="C1111" s="110">
        <v>2.2839999999999998</v>
      </c>
      <c r="D1111" s="112">
        <v>42747</v>
      </c>
    </row>
    <row r="1112" spans="1:4">
      <c r="A1112" s="110" t="s">
        <v>937</v>
      </c>
      <c r="B1112" s="110" t="s">
        <v>298</v>
      </c>
      <c r="C1112" s="110">
        <v>2.2290000000000001</v>
      </c>
      <c r="D1112" s="112">
        <v>42747</v>
      </c>
    </row>
    <row r="1113" spans="1:4">
      <c r="A1113" s="110" t="s">
        <v>936</v>
      </c>
      <c r="B1113" s="110" t="s">
        <v>298</v>
      </c>
      <c r="C1113" s="110">
        <v>2.181</v>
      </c>
      <c r="D1113" s="112">
        <v>42747</v>
      </c>
    </row>
    <row r="1114" spans="1:4">
      <c r="A1114" s="110" t="s">
        <v>935</v>
      </c>
      <c r="B1114" s="110" t="s">
        <v>298</v>
      </c>
      <c r="C1114" s="110">
        <v>2.2549999999999999</v>
      </c>
      <c r="D1114" s="112">
        <v>42747</v>
      </c>
    </row>
    <row r="1115" spans="1:4">
      <c r="A1115" s="110" t="s">
        <v>934</v>
      </c>
      <c r="B1115" s="110" t="s">
        <v>298</v>
      </c>
      <c r="C1115" s="110">
        <v>2.1800000000000002</v>
      </c>
      <c r="D1115" s="112">
        <v>42747</v>
      </c>
    </row>
    <row r="1116" spans="1:4">
      <c r="A1116" s="110" t="s">
        <v>933</v>
      </c>
      <c r="B1116" s="110" t="s">
        <v>298</v>
      </c>
      <c r="C1116" s="110">
        <v>2.2250000000000001</v>
      </c>
      <c r="D1116" s="112">
        <v>42747</v>
      </c>
    </row>
    <row r="1117" spans="1:4">
      <c r="A1117" s="110" t="s">
        <v>932</v>
      </c>
      <c r="B1117" s="110" t="s">
        <v>298</v>
      </c>
      <c r="C1117" s="110">
        <v>2.2069999999999999</v>
      </c>
      <c r="D1117" s="112">
        <v>42747</v>
      </c>
    </row>
    <row r="1118" spans="1:4">
      <c r="A1118" s="110" t="s">
        <v>931</v>
      </c>
      <c r="B1118" s="110" t="s">
        <v>298</v>
      </c>
      <c r="C1118" s="110">
        <v>2.2429999999999999</v>
      </c>
      <c r="D1118" s="112">
        <v>42747</v>
      </c>
    </row>
    <row r="1119" spans="1:4">
      <c r="A1119" s="110" t="s">
        <v>930</v>
      </c>
      <c r="B1119" s="110" t="s">
        <v>298</v>
      </c>
      <c r="C1119" s="110">
        <v>2.2389999999999999</v>
      </c>
      <c r="D1119" s="112">
        <v>42747</v>
      </c>
    </row>
    <row r="1120" spans="1:4">
      <c r="A1120" s="110" t="s">
        <v>929</v>
      </c>
      <c r="B1120" s="110" t="s">
        <v>298</v>
      </c>
      <c r="C1120" s="110">
        <v>2.2519999999999998</v>
      </c>
      <c r="D1120" s="112">
        <v>42747</v>
      </c>
    </row>
    <row r="1121" spans="1:4">
      <c r="A1121" s="110" t="s">
        <v>928</v>
      </c>
      <c r="B1121" s="110" t="s">
        <v>298</v>
      </c>
      <c r="C1121" s="110">
        <v>2.254</v>
      </c>
      <c r="D1121" s="112">
        <v>42747</v>
      </c>
    </row>
    <row r="1122" spans="1:4">
      <c r="A1122" s="110" t="s">
        <v>927</v>
      </c>
      <c r="B1122" s="110" t="s">
        <v>298</v>
      </c>
      <c r="C1122" s="110">
        <v>2.1960000000000002</v>
      </c>
      <c r="D1122" s="112">
        <v>42747</v>
      </c>
    </row>
    <row r="1123" spans="1:4">
      <c r="A1123" s="110" t="s">
        <v>926</v>
      </c>
      <c r="B1123" s="110" t="s">
        <v>298</v>
      </c>
      <c r="C1123" s="110">
        <v>2.1949999999999998</v>
      </c>
      <c r="D1123" s="112">
        <v>42747</v>
      </c>
    </row>
    <row r="1124" spans="1:4">
      <c r="A1124" s="110" t="s">
        <v>925</v>
      </c>
      <c r="B1124" s="110" t="s">
        <v>298</v>
      </c>
      <c r="C1124" s="110">
        <v>2.1880000000000002</v>
      </c>
      <c r="D1124" s="112">
        <v>42747</v>
      </c>
    </row>
    <row r="1125" spans="1:4">
      <c r="A1125" s="110" t="s">
        <v>924</v>
      </c>
      <c r="B1125" s="110" t="s">
        <v>298</v>
      </c>
      <c r="C1125" s="110">
        <v>2.2109999999999999</v>
      </c>
      <c r="D1125" s="112">
        <v>42747</v>
      </c>
    </row>
    <row r="1126" spans="1:4">
      <c r="A1126" s="110" t="s">
        <v>923</v>
      </c>
      <c r="B1126" s="110" t="s">
        <v>298</v>
      </c>
      <c r="C1126" s="110">
        <v>2.2309999999999999</v>
      </c>
      <c r="D1126" s="112">
        <v>42747</v>
      </c>
    </row>
    <row r="1127" spans="1:4">
      <c r="A1127" s="110" t="s">
        <v>922</v>
      </c>
      <c r="B1127" s="110" t="s">
        <v>298</v>
      </c>
      <c r="C1127" s="110">
        <v>2.2160000000000002</v>
      </c>
      <c r="D1127" s="112">
        <v>42747</v>
      </c>
    </row>
    <row r="1128" spans="1:4">
      <c r="A1128" s="110" t="s">
        <v>921</v>
      </c>
      <c r="B1128" s="110" t="s">
        <v>298</v>
      </c>
      <c r="C1128" s="110">
        <v>2.2269999999999999</v>
      </c>
      <c r="D1128" s="112">
        <v>42747</v>
      </c>
    </row>
    <row r="1129" spans="1:4">
      <c r="A1129" s="110" t="s">
        <v>920</v>
      </c>
      <c r="B1129" s="110" t="s">
        <v>298</v>
      </c>
      <c r="C1129" s="110">
        <v>2.2210000000000001</v>
      </c>
      <c r="D1129" s="112">
        <v>42747</v>
      </c>
    </row>
    <row r="1130" spans="1:4">
      <c r="A1130" s="110" t="s">
        <v>919</v>
      </c>
      <c r="B1130" s="110" t="s">
        <v>298</v>
      </c>
      <c r="C1130" s="110">
        <v>2.194</v>
      </c>
      <c r="D1130" s="112">
        <v>42747</v>
      </c>
    </row>
    <row r="1131" spans="1:4">
      <c r="A1131" s="110" t="s">
        <v>918</v>
      </c>
      <c r="B1131" s="110" t="s">
        <v>298</v>
      </c>
      <c r="C1131" s="110">
        <v>2.2170000000000001</v>
      </c>
      <c r="D1131" s="112">
        <v>42747</v>
      </c>
    </row>
    <row r="1132" spans="1:4">
      <c r="A1132" s="110" t="s">
        <v>917</v>
      </c>
      <c r="B1132" s="110" t="s">
        <v>298</v>
      </c>
      <c r="C1132" s="110">
        <v>2.298</v>
      </c>
      <c r="D1132" s="112">
        <v>42747</v>
      </c>
    </row>
    <row r="1133" spans="1:4">
      <c r="A1133" s="110" t="s">
        <v>916</v>
      </c>
      <c r="B1133" s="110" t="s">
        <v>298</v>
      </c>
      <c r="C1133" s="110">
        <v>2.214</v>
      </c>
      <c r="D1133" s="112">
        <v>42747</v>
      </c>
    </row>
    <row r="1134" spans="1:4">
      <c r="A1134" s="110" t="s">
        <v>915</v>
      </c>
      <c r="B1134" s="110" t="s">
        <v>298</v>
      </c>
      <c r="C1134" s="110">
        <v>2.2410000000000001</v>
      </c>
      <c r="D1134" s="112">
        <v>42747</v>
      </c>
    </row>
    <row r="1135" spans="1:4">
      <c r="A1135" s="110" t="s">
        <v>914</v>
      </c>
      <c r="B1135" s="110" t="s">
        <v>298</v>
      </c>
      <c r="C1135" s="110">
        <v>2.254</v>
      </c>
      <c r="D1135" s="112">
        <v>42747</v>
      </c>
    </row>
    <row r="1136" spans="1:4">
      <c r="A1136" s="110" t="s">
        <v>913</v>
      </c>
      <c r="B1136" s="110" t="s">
        <v>298</v>
      </c>
      <c r="C1136" s="110">
        <v>2.2040000000000002</v>
      </c>
      <c r="D1136" s="112">
        <v>42747</v>
      </c>
    </row>
    <row r="1137" spans="1:4">
      <c r="A1137" s="110" t="s">
        <v>912</v>
      </c>
      <c r="B1137" s="110" t="s">
        <v>298</v>
      </c>
      <c r="C1137" s="110">
        <v>2.2530000000000001</v>
      </c>
      <c r="D1137" s="112">
        <v>42747</v>
      </c>
    </row>
    <row r="1138" spans="1:4">
      <c r="A1138" s="110" t="s">
        <v>911</v>
      </c>
      <c r="B1138" s="110" t="s">
        <v>298</v>
      </c>
      <c r="C1138" s="110">
        <v>2.2589999999999999</v>
      </c>
      <c r="D1138" s="112">
        <v>42747</v>
      </c>
    </row>
    <row r="1139" spans="1:4">
      <c r="A1139" s="110" t="s">
        <v>910</v>
      </c>
      <c r="B1139" s="110" t="s">
        <v>298</v>
      </c>
      <c r="C1139" s="110">
        <v>2.1230000000000002</v>
      </c>
      <c r="D1139" s="112">
        <v>42747</v>
      </c>
    </row>
    <row r="1140" spans="1:4">
      <c r="A1140" s="110" t="s">
        <v>909</v>
      </c>
      <c r="B1140" s="110" t="s">
        <v>298</v>
      </c>
      <c r="C1140" s="110">
        <v>2.2440000000000002</v>
      </c>
      <c r="D1140" s="112">
        <v>42747</v>
      </c>
    </row>
    <row r="1141" spans="1:4">
      <c r="A1141" s="110" t="s">
        <v>908</v>
      </c>
      <c r="B1141" s="110" t="s">
        <v>298</v>
      </c>
      <c r="C1141" s="110">
        <v>2.1749999999999998</v>
      </c>
      <c r="D1141" s="112">
        <v>42747</v>
      </c>
    </row>
    <row r="1142" spans="1:4">
      <c r="A1142" s="110" t="s">
        <v>907</v>
      </c>
      <c r="B1142" s="110" t="s">
        <v>298</v>
      </c>
      <c r="C1142" s="110">
        <v>2.194</v>
      </c>
      <c r="D1142" s="112">
        <v>42747</v>
      </c>
    </row>
    <row r="1143" spans="1:4">
      <c r="A1143" s="110" t="s">
        <v>906</v>
      </c>
      <c r="B1143" s="110" t="s">
        <v>298</v>
      </c>
      <c r="C1143" s="110">
        <v>2.169</v>
      </c>
      <c r="D1143" s="112">
        <v>42747</v>
      </c>
    </row>
    <row r="1144" spans="1:4">
      <c r="A1144" s="110" t="s">
        <v>905</v>
      </c>
      <c r="B1144" s="110" t="s">
        <v>298</v>
      </c>
      <c r="C1144" s="110">
        <v>2.2440000000000002</v>
      </c>
      <c r="D1144" s="112">
        <v>42747</v>
      </c>
    </row>
    <row r="1145" spans="1:4">
      <c r="A1145" s="110" t="s">
        <v>904</v>
      </c>
      <c r="B1145" s="110" t="s">
        <v>298</v>
      </c>
      <c r="C1145" s="110">
        <v>2.1989999999999998</v>
      </c>
      <c r="D1145" s="112">
        <v>42747</v>
      </c>
    </row>
    <row r="1146" spans="1:4">
      <c r="A1146" s="110" t="s">
        <v>903</v>
      </c>
      <c r="B1146" s="110" t="s">
        <v>298</v>
      </c>
      <c r="C1146" s="110">
        <v>2.2389999999999999</v>
      </c>
      <c r="D1146" s="112">
        <v>42747</v>
      </c>
    </row>
    <row r="1147" spans="1:4">
      <c r="A1147" s="110" t="s">
        <v>902</v>
      </c>
      <c r="B1147" s="110" t="s">
        <v>298</v>
      </c>
      <c r="C1147" s="110">
        <v>2.2189999999999999</v>
      </c>
      <c r="D1147" s="112">
        <v>42747</v>
      </c>
    </row>
    <row r="1148" spans="1:4">
      <c r="A1148" s="110" t="s">
        <v>901</v>
      </c>
      <c r="B1148" s="110" t="s">
        <v>298</v>
      </c>
      <c r="C1148" s="110">
        <v>2.1800000000000002</v>
      </c>
      <c r="D1148" s="112">
        <v>42747</v>
      </c>
    </row>
    <row r="1149" spans="1:4">
      <c r="A1149" s="110" t="s">
        <v>900</v>
      </c>
      <c r="B1149" s="110" t="s">
        <v>298</v>
      </c>
      <c r="C1149" s="110">
        <v>2.1680000000000001</v>
      </c>
      <c r="D1149" s="112">
        <v>42747</v>
      </c>
    </row>
    <row r="1150" spans="1:4">
      <c r="A1150" s="110" t="s">
        <v>899</v>
      </c>
      <c r="B1150" s="110" t="s">
        <v>298</v>
      </c>
      <c r="C1150" s="110">
        <v>2.194</v>
      </c>
      <c r="D1150" s="112">
        <v>42747</v>
      </c>
    </row>
    <row r="1151" spans="1:4">
      <c r="A1151" s="110" t="s">
        <v>898</v>
      </c>
      <c r="B1151" s="110" t="s">
        <v>298</v>
      </c>
      <c r="C1151" s="110">
        <v>2.1680000000000001</v>
      </c>
      <c r="D1151" s="112">
        <v>42747</v>
      </c>
    </row>
    <row r="1152" spans="1:4">
      <c r="A1152" s="110" t="s">
        <v>897</v>
      </c>
      <c r="B1152" s="110" t="s">
        <v>298</v>
      </c>
      <c r="C1152" s="110">
        <v>2.2490000000000001</v>
      </c>
      <c r="D1152" s="112">
        <v>42747</v>
      </c>
    </row>
    <row r="1153" spans="1:4">
      <c r="A1153" s="110" t="s">
        <v>896</v>
      </c>
      <c r="B1153" s="110" t="s">
        <v>298</v>
      </c>
      <c r="C1153" s="110">
        <v>2.258</v>
      </c>
      <c r="D1153" s="112">
        <v>42747</v>
      </c>
    </row>
    <row r="1154" spans="1:4">
      <c r="A1154" s="110" t="s">
        <v>895</v>
      </c>
      <c r="B1154" s="110" t="s">
        <v>298</v>
      </c>
      <c r="C1154" s="110">
        <v>2.2170000000000001</v>
      </c>
      <c r="D1154" s="112">
        <v>42747</v>
      </c>
    </row>
    <row r="1155" spans="1:4">
      <c r="A1155" s="110" t="s">
        <v>894</v>
      </c>
      <c r="B1155" s="110" t="s">
        <v>298</v>
      </c>
      <c r="C1155" s="110">
        <v>2.2330000000000001</v>
      </c>
      <c r="D1155" s="112">
        <v>42747</v>
      </c>
    </row>
    <row r="1156" spans="1:4">
      <c r="A1156" s="110" t="s">
        <v>893</v>
      </c>
      <c r="B1156" s="110" t="s">
        <v>298</v>
      </c>
      <c r="C1156" s="110">
        <v>2.1829999999999998</v>
      </c>
      <c r="D1156" s="112">
        <v>42747</v>
      </c>
    </row>
    <row r="1157" spans="1:4">
      <c r="A1157" s="110" t="s">
        <v>892</v>
      </c>
      <c r="B1157" s="110" t="s">
        <v>298</v>
      </c>
      <c r="C1157" s="110">
        <v>2.294</v>
      </c>
      <c r="D1157" s="112">
        <v>42747</v>
      </c>
    </row>
    <row r="1158" spans="1:4">
      <c r="A1158" s="110" t="s">
        <v>891</v>
      </c>
      <c r="B1158" s="110" t="s">
        <v>298</v>
      </c>
      <c r="C1158" s="110">
        <v>2.2639999999999998</v>
      </c>
      <c r="D1158" s="112">
        <v>42747</v>
      </c>
    </row>
    <row r="1159" spans="1:4">
      <c r="A1159" s="110" t="s">
        <v>890</v>
      </c>
      <c r="B1159" s="110" t="s">
        <v>298</v>
      </c>
      <c r="C1159" s="110">
        <v>2.266</v>
      </c>
      <c r="D1159" s="112">
        <v>42747</v>
      </c>
    </row>
    <row r="1160" spans="1:4">
      <c r="A1160" s="110" t="s">
        <v>889</v>
      </c>
      <c r="B1160" s="110" t="s">
        <v>298</v>
      </c>
      <c r="C1160" s="110">
        <v>2.2069999999999999</v>
      </c>
      <c r="D1160" s="112">
        <v>42747</v>
      </c>
    </row>
    <row r="1161" spans="1:4">
      <c r="A1161" s="110" t="s">
        <v>888</v>
      </c>
      <c r="B1161" s="110" t="s">
        <v>298</v>
      </c>
      <c r="C1161" s="110">
        <v>2.2130000000000001</v>
      </c>
      <c r="D1161" s="112">
        <v>42747</v>
      </c>
    </row>
    <row r="1162" spans="1:4">
      <c r="A1162" s="110" t="s">
        <v>887</v>
      </c>
      <c r="B1162" s="110" t="s">
        <v>298</v>
      </c>
      <c r="C1162" s="110">
        <v>2.266</v>
      </c>
      <c r="D1162" s="112">
        <v>42747</v>
      </c>
    </row>
    <row r="1163" spans="1:4">
      <c r="A1163" s="110" t="s">
        <v>886</v>
      </c>
      <c r="B1163" s="110" t="s">
        <v>298</v>
      </c>
      <c r="C1163" s="110">
        <v>2.1859999999999999</v>
      </c>
      <c r="D1163" s="112">
        <v>42747</v>
      </c>
    </row>
    <row r="1164" spans="1:4">
      <c r="A1164" s="110" t="s">
        <v>885</v>
      </c>
      <c r="B1164" s="110" t="s">
        <v>298</v>
      </c>
      <c r="C1164" s="110">
        <v>2.2000000000000002</v>
      </c>
      <c r="D1164" s="112">
        <v>42747</v>
      </c>
    </row>
    <row r="1165" spans="1:4">
      <c r="A1165" s="110" t="s">
        <v>884</v>
      </c>
      <c r="B1165" s="110" t="s">
        <v>298</v>
      </c>
      <c r="C1165" s="110">
        <v>2.222</v>
      </c>
      <c r="D1165" s="112">
        <v>42747</v>
      </c>
    </row>
    <row r="1166" spans="1:4">
      <c r="A1166" s="110" t="s">
        <v>883</v>
      </c>
      <c r="B1166" s="110" t="s">
        <v>298</v>
      </c>
      <c r="C1166" s="110">
        <v>2.17</v>
      </c>
      <c r="D1166" s="112">
        <v>42747</v>
      </c>
    </row>
    <row r="1167" spans="1:4">
      <c r="A1167" s="110" t="s">
        <v>882</v>
      </c>
      <c r="B1167" s="110" t="s">
        <v>298</v>
      </c>
      <c r="C1167" s="110">
        <v>2.218</v>
      </c>
      <c r="D1167" s="112">
        <v>42747</v>
      </c>
    </row>
    <row r="1168" spans="1:4">
      <c r="A1168" s="110" t="s">
        <v>881</v>
      </c>
      <c r="B1168" s="110" t="s">
        <v>298</v>
      </c>
      <c r="C1168" s="110">
        <v>2.1779999999999999</v>
      </c>
      <c r="D1168" s="112">
        <v>42747</v>
      </c>
    </row>
    <row r="1169" spans="1:4">
      <c r="A1169" s="110" t="s">
        <v>880</v>
      </c>
      <c r="B1169" s="110" t="s">
        <v>298</v>
      </c>
      <c r="C1169" s="110">
        <v>2.2080000000000002</v>
      </c>
      <c r="D1169" s="112">
        <v>42747</v>
      </c>
    </row>
    <row r="1170" spans="1:4">
      <c r="A1170" s="110" t="s">
        <v>879</v>
      </c>
      <c r="B1170" s="110" t="s">
        <v>298</v>
      </c>
      <c r="C1170" s="110">
        <v>2.1949999999999998</v>
      </c>
      <c r="D1170" s="112">
        <v>42747</v>
      </c>
    </row>
    <row r="1171" spans="1:4">
      <c r="A1171" s="110" t="s">
        <v>878</v>
      </c>
      <c r="B1171" s="110" t="s">
        <v>298</v>
      </c>
      <c r="C1171" s="110">
        <v>2.1850000000000001</v>
      </c>
      <c r="D1171" s="112">
        <v>42747</v>
      </c>
    </row>
    <row r="1172" spans="1:4">
      <c r="A1172" s="110" t="s">
        <v>877</v>
      </c>
      <c r="B1172" s="110" t="s">
        <v>298</v>
      </c>
      <c r="C1172" s="110">
        <v>2.2250000000000001</v>
      </c>
      <c r="D1172" s="112">
        <v>42747</v>
      </c>
    </row>
    <row r="1173" spans="1:4">
      <c r="A1173" s="110" t="s">
        <v>876</v>
      </c>
      <c r="B1173" s="110" t="s">
        <v>298</v>
      </c>
      <c r="C1173" s="110">
        <v>2.2210000000000001</v>
      </c>
      <c r="D1173" s="112">
        <v>42747</v>
      </c>
    </row>
    <row r="1174" spans="1:4">
      <c r="A1174" s="110" t="s">
        <v>875</v>
      </c>
      <c r="B1174" s="110" t="s">
        <v>298</v>
      </c>
      <c r="C1174" s="110">
        <v>2.1720000000000002</v>
      </c>
      <c r="D1174" s="112">
        <v>42747</v>
      </c>
    </row>
    <row r="1175" spans="1:4">
      <c r="A1175" s="110" t="s">
        <v>874</v>
      </c>
      <c r="B1175" s="110" t="s">
        <v>298</v>
      </c>
      <c r="C1175" s="110">
        <v>2.1930000000000001</v>
      </c>
      <c r="D1175" s="112">
        <v>42747</v>
      </c>
    </row>
    <row r="1176" spans="1:4">
      <c r="A1176" s="110" t="s">
        <v>873</v>
      </c>
      <c r="B1176" s="110" t="s">
        <v>298</v>
      </c>
      <c r="C1176" s="110">
        <v>2.1709999999999998</v>
      </c>
      <c r="D1176" s="112">
        <v>42747</v>
      </c>
    </row>
    <row r="1177" spans="1:4">
      <c r="A1177" s="110" t="s">
        <v>872</v>
      </c>
      <c r="B1177" s="110" t="s">
        <v>298</v>
      </c>
      <c r="C1177" s="110">
        <v>2.278</v>
      </c>
      <c r="D1177" s="112">
        <v>42747</v>
      </c>
    </row>
    <row r="1178" spans="1:4">
      <c r="A1178" s="110" t="s">
        <v>871</v>
      </c>
      <c r="B1178" s="110" t="s">
        <v>298</v>
      </c>
      <c r="C1178" s="110">
        <v>2.2170000000000001</v>
      </c>
      <c r="D1178" s="112">
        <v>42747</v>
      </c>
    </row>
    <row r="1179" spans="1:4">
      <c r="A1179" s="110" t="s">
        <v>870</v>
      </c>
      <c r="B1179" s="110" t="s">
        <v>298</v>
      </c>
      <c r="C1179" s="110">
        <v>2.2829999999999999</v>
      </c>
      <c r="D1179" s="112">
        <v>42747</v>
      </c>
    </row>
    <row r="1180" spans="1:4">
      <c r="A1180" s="110" t="s">
        <v>869</v>
      </c>
      <c r="B1180" s="110" t="s">
        <v>298</v>
      </c>
      <c r="C1180" s="110">
        <v>2.2999999999999998</v>
      </c>
      <c r="D1180" s="112">
        <v>42747</v>
      </c>
    </row>
    <row r="1181" spans="1:4">
      <c r="A1181" s="110" t="s">
        <v>868</v>
      </c>
      <c r="B1181" s="110" t="s">
        <v>298</v>
      </c>
      <c r="C1181" s="110">
        <v>2.2090000000000001</v>
      </c>
      <c r="D1181" s="112">
        <v>42747</v>
      </c>
    </row>
    <row r="1182" spans="1:4">
      <c r="A1182" s="110" t="s">
        <v>867</v>
      </c>
      <c r="B1182" s="110" t="s">
        <v>298</v>
      </c>
      <c r="C1182" s="110">
        <v>2.1880000000000002</v>
      </c>
      <c r="D1182" s="112">
        <v>42747</v>
      </c>
    </row>
    <row r="1183" spans="1:4">
      <c r="A1183" s="110" t="s">
        <v>866</v>
      </c>
      <c r="B1183" s="110" t="s">
        <v>298</v>
      </c>
      <c r="C1183" s="110">
        <v>0.22900000000000001</v>
      </c>
      <c r="D1183" s="112">
        <v>42747</v>
      </c>
    </row>
    <row r="1184" spans="1:4">
      <c r="A1184" s="110" t="s">
        <v>865</v>
      </c>
      <c r="B1184" s="110" t="s">
        <v>298</v>
      </c>
      <c r="C1184" s="110">
        <v>2.1930000000000001</v>
      </c>
      <c r="D1184" s="112">
        <v>42747</v>
      </c>
    </row>
    <row r="1185" spans="1:5">
      <c r="A1185" s="110" t="s">
        <v>864</v>
      </c>
      <c r="B1185" s="110" t="s">
        <v>298</v>
      </c>
      <c r="C1185" s="110">
        <v>2.1949999999999998</v>
      </c>
      <c r="D1185" s="112">
        <v>42747</v>
      </c>
    </row>
    <row r="1186" spans="1:5">
      <c r="A1186" s="110" t="s">
        <v>863</v>
      </c>
      <c r="B1186" s="110" t="s">
        <v>298</v>
      </c>
      <c r="C1186" s="110">
        <v>2.198</v>
      </c>
      <c r="D1186" s="112">
        <v>42747</v>
      </c>
    </row>
    <row r="1187" spans="1:5">
      <c r="A1187" s="110" t="s">
        <v>862</v>
      </c>
      <c r="B1187" s="110" t="s">
        <v>298</v>
      </c>
      <c r="C1187" s="110">
        <v>2.161</v>
      </c>
      <c r="D1187" s="112">
        <v>42747</v>
      </c>
    </row>
    <row r="1188" spans="1:5">
      <c r="A1188" s="110" t="s">
        <v>861</v>
      </c>
      <c r="B1188" s="110" t="s">
        <v>298</v>
      </c>
      <c r="C1188" s="110">
        <v>2.11</v>
      </c>
      <c r="D1188" s="112">
        <v>42747</v>
      </c>
    </row>
    <row r="1189" spans="1:5">
      <c r="A1189" s="110" t="s">
        <v>860</v>
      </c>
      <c r="B1189" s="110" t="s">
        <v>298</v>
      </c>
      <c r="C1189" s="110">
        <v>2.17</v>
      </c>
      <c r="D1189" s="112">
        <v>42748</v>
      </c>
    </row>
    <row r="1190" spans="1:5">
      <c r="A1190" s="110" t="s">
        <v>859</v>
      </c>
      <c r="B1190" s="110" t="s">
        <v>298</v>
      </c>
      <c r="C1190" s="110">
        <v>2.1829999999999998</v>
      </c>
      <c r="D1190" s="112">
        <v>42748</v>
      </c>
    </row>
    <row r="1191" spans="1:5">
      <c r="A1191" s="110" t="s">
        <v>858</v>
      </c>
      <c r="B1191" s="110" t="s">
        <v>298</v>
      </c>
      <c r="C1191" s="110">
        <v>2.21</v>
      </c>
      <c r="D1191" s="112">
        <v>42748</v>
      </c>
    </row>
    <row r="1192" spans="1:5">
      <c r="A1192" s="110" t="s">
        <v>857</v>
      </c>
      <c r="B1192" s="110" t="s">
        <v>298</v>
      </c>
      <c r="C1192" s="110">
        <v>2.2480000000000002</v>
      </c>
      <c r="D1192" s="112">
        <v>42748</v>
      </c>
    </row>
    <row r="1193" spans="1:5">
      <c r="A1193" s="110" t="s">
        <v>856</v>
      </c>
      <c r="B1193" s="110" t="s">
        <v>298</v>
      </c>
      <c r="C1193" s="110">
        <v>2.2400000000000002</v>
      </c>
      <c r="D1193" s="112">
        <v>42748</v>
      </c>
    </row>
    <row r="1194" spans="1:5">
      <c r="A1194" s="110" t="s">
        <v>855</v>
      </c>
      <c r="B1194" s="110" t="s">
        <v>298</v>
      </c>
      <c r="C1194" s="110">
        <v>2.2160000000000002</v>
      </c>
      <c r="D1194" s="112">
        <v>42748</v>
      </c>
    </row>
    <row r="1195" spans="1:5">
      <c r="A1195" s="110" t="s">
        <v>854</v>
      </c>
      <c r="B1195" s="110" t="s">
        <v>298</v>
      </c>
      <c r="C1195" s="110">
        <v>2.1960000000000002</v>
      </c>
      <c r="D1195" s="112">
        <v>42748</v>
      </c>
    </row>
    <row r="1196" spans="1:5">
      <c r="A1196" s="175" t="s">
        <v>853</v>
      </c>
      <c r="B1196" s="175" t="s">
        <v>298</v>
      </c>
      <c r="C1196" s="175">
        <v>2.2450000000000001</v>
      </c>
      <c r="D1196" s="176">
        <v>42748</v>
      </c>
      <c r="E1196" s="175" t="s">
        <v>2466</v>
      </c>
    </row>
    <row r="1197" spans="1:5">
      <c r="A1197" s="110" t="s">
        <v>852</v>
      </c>
      <c r="B1197" s="110" t="s">
        <v>298</v>
      </c>
      <c r="C1197" s="110">
        <v>2.2160000000000002</v>
      </c>
      <c r="D1197" s="112">
        <v>42748</v>
      </c>
    </row>
    <row r="1198" spans="1:5">
      <c r="A1198" s="110" t="s">
        <v>851</v>
      </c>
      <c r="B1198" s="110" t="s">
        <v>298</v>
      </c>
      <c r="C1198" s="110">
        <v>2.153</v>
      </c>
      <c r="D1198" s="112">
        <v>42748</v>
      </c>
    </row>
    <row r="1199" spans="1:5">
      <c r="A1199" s="110" t="s">
        <v>850</v>
      </c>
      <c r="B1199" s="110" t="s">
        <v>298</v>
      </c>
      <c r="C1199" s="110">
        <v>2.2320000000000002</v>
      </c>
      <c r="D1199" s="112">
        <v>42748</v>
      </c>
    </row>
    <row r="1200" spans="1:5">
      <c r="A1200" s="110" t="s">
        <v>849</v>
      </c>
      <c r="B1200" s="110" t="s">
        <v>298</v>
      </c>
      <c r="C1200" s="110">
        <v>2.2370000000000001</v>
      </c>
      <c r="D1200" s="112">
        <v>42748</v>
      </c>
    </row>
    <row r="1201" spans="1:4">
      <c r="A1201" s="110" t="s">
        <v>848</v>
      </c>
      <c r="B1201" s="110" t="s">
        <v>298</v>
      </c>
      <c r="C1201" s="110">
        <v>2.165</v>
      </c>
      <c r="D1201" s="112">
        <v>42748</v>
      </c>
    </row>
    <row r="1202" spans="1:4">
      <c r="A1202" s="110" t="s">
        <v>847</v>
      </c>
      <c r="B1202" s="110" t="s">
        <v>298</v>
      </c>
      <c r="C1202" s="110">
        <v>2.226</v>
      </c>
      <c r="D1202" s="112">
        <v>42748</v>
      </c>
    </row>
    <row r="1203" spans="1:4">
      <c r="A1203" s="110" t="s">
        <v>846</v>
      </c>
      <c r="B1203" s="110" t="s">
        <v>298</v>
      </c>
      <c r="C1203" s="110">
        <v>2.194</v>
      </c>
      <c r="D1203" s="112">
        <v>42748</v>
      </c>
    </row>
    <row r="1204" spans="1:4">
      <c r="A1204" s="110" t="s">
        <v>845</v>
      </c>
      <c r="B1204" s="110" t="s">
        <v>298</v>
      </c>
      <c r="C1204" s="110">
        <v>2.226</v>
      </c>
      <c r="D1204" s="112">
        <v>42748</v>
      </c>
    </row>
    <row r="1205" spans="1:4">
      <c r="A1205" s="110" t="s">
        <v>844</v>
      </c>
      <c r="B1205" s="110" t="s">
        <v>298</v>
      </c>
      <c r="C1205" s="110">
        <v>2.1800000000000002</v>
      </c>
      <c r="D1205" s="112">
        <v>42748</v>
      </c>
    </row>
    <row r="1206" spans="1:4">
      <c r="A1206" s="110" t="s">
        <v>843</v>
      </c>
      <c r="B1206" s="110" t="s">
        <v>298</v>
      </c>
      <c r="C1206" s="110">
        <v>2.2229999999999999</v>
      </c>
      <c r="D1206" s="112">
        <v>42748</v>
      </c>
    </row>
    <row r="1207" spans="1:4">
      <c r="A1207" s="110" t="s">
        <v>842</v>
      </c>
      <c r="B1207" s="110" t="s">
        <v>298</v>
      </c>
      <c r="C1207" s="110">
        <v>2.2919999999999998</v>
      </c>
      <c r="D1207" s="112">
        <v>42748</v>
      </c>
    </row>
    <row r="1208" spans="1:4">
      <c r="A1208" s="110" t="s">
        <v>841</v>
      </c>
      <c r="B1208" s="110" t="s">
        <v>298</v>
      </c>
      <c r="C1208" s="110">
        <v>2.2330000000000001</v>
      </c>
      <c r="D1208" s="112">
        <v>42748</v>
      </c>
    </row>
    <row r="1209" spans="1:4">
      <c r="A1209" s="110" t="s">
        <v>840</v>
      </c>
      <c r="B1209" s="110" t="s">
        <v>298</v>
      </c>
      <c r="C1209" s="110">
        <v>2.2530000000000001</v>
      </c>
      <c r="D1209" s="112">
        <v>42748</v>
      </c>
    </row>
    <row r="1210" spans="1:4">
      <c r="A1210" s="110" t="s">
        <v>839</v>
      </c>
      <c r="B1210" s="110" t="s">
        <v>298</v>
      </c>
      <c r="C1210" s="110">
        <v>2.19</v>
      </c>
      <c r="D1210" s="112">
        <v>42748</v>
      </c>
    </row>
    <row r="1211" spans="1:4">
      <c r="A1211" s="110" t="s">
        <v>838</v>
      </c>
      <c r="B1211" s="110" t="s">
        <v>298</v>
      </c>
      <c r="C1211" s="110">
        <v>2.2490000000000001</v>
      </c>
      <c r="D1211" s="112">
        <v>42748</v>
      </c>
    </row>
    <row r="1212" spans="1:4">
      <c r="A1212" s="110" t="s">
        <v>837</v>
      </c>
      <c r="B1212" s="110" t="s">
        <v>298</v>
      </c>
      <c r="C1212" s="110">
        <v>2.1930000000000001</v>
      </c>
      <c r="D1212" s="112">
        <v>42748</v>
      </c>
    </row>
    <row r="1213" spans="1:4">
      <c r="A1213" s="110" t="s">
        <v>836</v>
      </c>
      <c r="B1213" s="110" t="s">
        <v>298</v>
      </c>
      <c r="C1213" s="110">
        <v>2.2829999999999999</v>
      </c>
      <c r="D1213" s="112">
        <v>42748</v>
      </c>
    </row>
    <row r="1214" spans="1:4">
      <c r="A1214" s="110" t="s">
        <v>835</v>
      </c>
      <c r="B1214" s="110" t="s">
        <v>298</v>
      </c>
      <c r="C1214" s="110">
        <v>2.2440000000000002</v>
      </c>
      <c r="D1214" s="112">
        <v>42748</v>
      </c>
    </row>
    <row r="1215" spans="1:4">
      <c r="A1215" s="110" t="s">
        <v>834</v>
      </c>
      <c r="B1215" s="110" t="s">
        <v>298</v>
      </c>
      <c r="C1215" s="110">
        <v>2.2010000000000001</v>
      </c>
      <c r="D1215" s="112">
        <v>42748</v>
      </c>
    </row>
    <row r="1216" spans="1:4">
      <c r="A1216" s="110" t="s">
        <v>833</v>
      </c>
      <c r="B1216" s="110" t="s">
        <v>298</v>
      </c>
      <c r="C1216" s="110">
        <v>2.173</v>
      </c>
      <c r="D1216" s="112">
        <v>42748</v>
      </c>
    </row>
    <row r="1217" spans="1:4">
      <c r="A1217" s="110" t="s">
        <v>832</v>
      </c>
      <c r="B1217" s="110" t="s">
        <v>298</v>
      </c>
      <c r="C1217" s="110">
        <v>2.1960000000000002</v>
      </c>
      <c r="D1217" s="112">
        <v>42748</v>
      </c>
    </row>
    <row r="1218" spans="1:4">
      <c r="A1218" s="110" t="s">
        <v>831</v>
      </c>
      <c r="B1218" s="110" t="s">
        <v>298</v>
      </c>
      <c r="C1218" s="110">
        <v>2.2170000000000001</v>
      </c>
      <c r="D1218" s="112">
        <v>42748</v>
      </c>
    </row>
    <row r="1219" spans="1:4">
      <c r="A1219" s="110" t="s">
        <v>830</v>
      </c>
      <c r="B1219" s="110" t="s">
        <v>298</v>
      </c>
      <c r="C1219" s="110">
        <v>2.2719999999999998</v>
      </c>
      <c r="D1219" s="112">
        <v>42748</v>
      </c>
    </row>
    <row r="1220" spans="1:4">
      <c r="A1220" s="110" t="s">
        <v>829</v>
      </c>
      <c r="B1220" s="110" t="s">
        <v>298</v>
      </c>
      <c r="C1220" s="110">
        <v>2.2360000000000002</v>
      </c>
      <c r="D1220" s="112">
        <v>42748</v>
      </c>
    </row>
    <row r="1221" spans="1:4">
      <c r="A1221" s="110" t="s">
        <v>828</v>
      </c>
      <c r="B1221" s="110" t="s">
        <v>298</v>
      </c>
      <c r="C1221" s="110">
        <v>2.2450000000000001</v>
      </c>
      <c r="D1221" s="112">
        <v>42748</v>
      </c>
    </row>
    <row r="1222" spans="1:4">
      <c r="A1222" s="110" t="s">
        <v>827</v>
      </c>
      <c r="B1222" s="110" t="s">
        <v>298</v>
      </c>
      <c r="C1222" s="110">
        <v>2.17</v>
      </c>
      <c r="D1222" s="112">
        <v>42748</v>
      </c>
    </row>
    <row r="1223" spans="1:4">
      <c r="A1223" s="110" t="s">
        <v>826</v>
      </c>
      <c r="B1223" s="110" t="s">
        <v>298</v>
      </c>
      <c r="C1223" s="110">
        <v>2.2440000000000002</v>
      </c>
      <c r="D1223" s="112">
        <v>42748</v>
      </c>
    </row>
    <row r="1224" spans="1:4">
      <c r="A1224" s="110" t="s">
        <v>825</v>
      </c>
      <c r="B1224" s="110" t="s">
        <v>298</v>
      </c>
      <c r="C1224" s="110">
        <v>2.1779999999999999</v>
      </c>
      <c r="D1224" s="112">
        <v>42748</v>
      </c>
    </row>
    <row r="1225" spans="1:4">
      <c r="A1225" s="110" t="s">
        <v>824</v>
      </c>
      <c r="B1225" s="110" t="s">
        <v>298</v>
      </c>
      <c r="C1225" s="110">
        <v>2.2240000000000002</v>
      </c>
      <c r="D1225" s="112">
        <v>42748</v>
      </c>
    </row>
    <row r="1226" spans="1:4">
      <c r="A1226" s="110" t="s">
        <v>823</v>
      </c>
      <c r="B1226" s="110" t="s">
        <v>298</v>
      </c>
      <c r="C1226" s="110">
        <v>2.23</v>
      </c>
      <c r="D1226" s="112">
        <v>42748</v>
      </c>
    </row>
    <row r="1227" spans="1:4">
      <c r="A1227" s="110" t="s">
        <v>822</v>
      </c>
      <c r="B1227" s="110" t="s">
        <v>298</v>
      </c>
      <c r="C1227" s="110">
        <v>2.1709999999999998</v>
      </c>
      <c r="D1227" s="112">
        <v>42748</v>
      </c>
    </row>
    <row r="1228" spans="1:4">
      <c r="A1228" s="110" t="s">
        <v>821</v>
      </c>
      <c r="B1228" s="110" t="s">
        <v>298</v>
      </c>
      <c r="C1228" s="110">
        <v>2.1459999999999999</v>
      </c>
      <c r="D1228" s="112">
        <v>42748</v>
      </c>
    </row>
    <row r="1229" spans="1:4">
      <c r="A1229" s="110" t="s">
        <v>820</v>
      </c>
      <c r="B1229" s="110" t="s">
        <v>298</v>
      </c>
      <c r="C1229" s="110">
        <v>2.1859999999999999</v>
      </c>
      <c r="D1229" s="112">
        <v>42748</v>
      </c>
    </row>
    <row r="1230" spans="1:4">
      <c r="A1230" s="110" t="s">
        <v>819</v>
      </c>
      <c r="B1230" s="110" t="s">
        <v>298</v>
      </c>
      <c r="C1230" s="110">
        <v>2.1909999999999998</v>
      </c>
      <c r="D1230" s="112">
        <v>42748</v>
      </c>
    </row>
    <row r="1231" spans="1:4">
      <c r="A1231" s="110" t="s">
        <v>818</v>
      </c>
      <c r="B1231" s="110" t="s">
        <v>298</v>
      </c>
      <c r="C1231" s="110">
        <v>2.1949999999999998</v>
      </c>
      <c r="D1231" s="112">
        <v>42748</v>
      </c>
    </row>
    <row r="1232" spans="1:4">
      <c r="A1232" s="110" t="s">
        <v>817</v>
      </c>
      <c r="B1232" s="110" t="s">
        <v>298</v>
      </c>
      <c r="C1232" s="110">
        <v>2.2410000000000001</v>
      </c>
      <c r="D1232" s="112">
        <v>42748</v>
      </c>
    </row>
    <row r="1233" spans="1:4">
      <c r="A1233" s="110" t="s">
        <v>816</v>
      </c>
      <c r="B1233" s="110" t="s">
        <v>298</v>
      </c>
      <c r="C1233" s="110">
        <v>2.2069999999999999</v>
      </c>
      <c r="D1233" s="112">
        <v>42748</v>
      </c>
    </row>
    <row r="1234" spans="1:4">
      <c r="A1234" s="110" t="s">
        <v>815</v>
      </c>
      <c r="B1234" s="110" t="s">
        <v>298</v>
      </c>
      <c r="C1234" s="110">
        <v>2.1890000000000001</v>
      </c>
      <c r="D1234" s="112">
        <v>42748</v>
      </c>
    </row>
    <row r="1235" spans="1:4">
      <c r="A1235" s="110" t="s">
        <v>814</v>
      </c>
      <c r="B1235" s="110" t="s">
        <v>298</v>
      </c>
      <c r="C1235" s="110">
        <v>2.2229999999999999</v>
      </c>
      <c r="D1235" s="112">
        <v>42748</v>
      </c>
    </row>
    <row r="1236" spans="1:4">
      <c r="A1236" s="110" t="s">
        <v>813</v>
      </c>
      <c r="B1236" s="110" t="s">
        <v>298</v>
      </c>
      <c r="C1236" s="110">
        <v>2.2549999999999999</v>
      </c>
      <c r="D1236" s="112">
        <v>42748</v>
      </c>
    </row>
    <row r="1237" spans="1:4">
      <c r="A1237" s="110" t="s">
        <v>812</v>
      </c>
      <c r="B1237" s="110" t="s">
        <v>298</v>
      </c>
      <c r="C1237" s="110">
        <v>2.2120000000000002</v>
      </c>
      <c r="D1237" s="112">
        <v>42748</v>
      </c>
    </row>
    <row r="1238" spans="1:4">
      <c r="A1238" s="110" t="s">
        <v>811</v>
      </c>
      <c r="B1238" s="110" t="s">
        <v>298</v>
      </c>
      <c r="C1238" s="110">
        <v>2.12</v>
      </c>
      <c r="D1238" s="112">
        <v>42748</v>
      </c>
    </row>
    <row r="1239" spans="1:4">
      <c r="A1239" s="110" t="s">
        <v>810</v>
      </c>
      <c r="B1239" s="110" t="s">
        <v>298</v>
      </c>
      <c r="C1239" s="110">
        <v>2.2410000000000001</v>
      </c>
      <c r="D1239" s="112">
        <v>42748</v>
      </c>
    </row>
    <row r="1240" spans="1:4">
      <c r="A1240" s="110" t="s">
        <v>809</v>
      </c>
      <c r="B1240" s="110" t="s">
        <v>298</v>
      </c>
      <c r="C1240" s="110">
        <v>2.1880000000000002</v>
      </c>
      <c r="D1240" s="112">
        <v>42748</v>
      </c>
    </row>
    <row r="1241" spans="1:4">
      <c r="A1241" s="110" t="s">
        <v>808</v>
      </c>
      <c r="B1241" s="110" t="s">
        <v>298</v>
      </c>
      <c r="C1241" s="110">
        <v>2.27</v>
      </c>
      <c r="D1241" s="112">
        <v>42748</v>
      </c>
    </row>
    <row r="1242" spans="1:4">
      <c r="A1242" s="110" t="s">
        <v>807</v>
      </c>
      <c r="B1242" s="110" t="s">
        <v>298</v>
      </c>
      <c r="C1242" s="110">
        <v>2.1419999999999999</v>
      </c>
      <c r="D1242" s="112">
        <v>42748</v>
      </c>
    </row>
    <row r="1243" spans="1:4">
      <c r="A1243" s="110" t="s">
        <v>806</v>
      </c>
      <c r="B1243" s="110" t="s">
        <v>298</v>
      </c>
      <c r="C1243" s="110">
        <v>2.1629999999999998</v>
      </c>
      <c r="D1243" s="112">
        <v>42748</v>
      </c>
    </row>
    <row r="1244" spans="1:4">
      <c r="A1244" s="110" t="s">
        <v>805</v>
      </c>
      <c r="B1244" s="110" t="s">
        <v>298</v>
      </c>
      <c r="C1244" s="110">
        <v>2.11</v>
      </c>
      <c r="D1244" s="112">
        <v>42748</v>
      </c>
    </row>
    <row r="1245" spans="1:4">
      <c r="A1245" s="110" t="s">
        <v>804</v>
      </c>
      <c r="B1245" s="110" t="s">
        <v>298</v>
      </c>
      <c r="C1245" s="110">
        <v>2.2309999999999999</v>
      </c>
      <c r="D1245" s="112">
        <v>42748</v>
      </c>
    </row>
    <row r="1246" spans="1:4">
      <c r="A1246" s="110" t="s">
        <v>803</v>
      </c>
      <c r="B1246" s="110" t="s">
        <v>298</v>
      </c>
      <c r="C1246" s="110">
        <v>2.1709999999999998</v>
      </c>
      <c r="D1246" s="112">
        <v>42748</v>
      </c>
    </row>
    <row r="1247" spans="1:4">
      <c r="A1247" s="110" t="s">
        <v>802</v>
      </c>
      <c r="B1247" s="110" t="s">
        <v>298</v>
      </c>
      <c r="C1247" s="110">
        <v>2.214</v>
      </c>
      <c r="D1247" s="112">
        <v>42748</v>
      </c>
    </row>
    <row r="1248" spans="1:4">
      <c r="A1248" s="110" t="s">
        <v>801</v>
      </c>
      <c r="B1248" s="110" t="s">
        <v>298</v>
      </c>
      <c r="C1248" s="110">
        <v>2.2130000000000001</v>
      </c>
      <c r="D1248" s="112">
        <v>42748</v>
      </c>
    </row>
    <row r="1249" spans="1:4">
      <c r="A1249" s="110" t="s">
        <v>800</v>
      </c>
      <c r="B1249" s="110" t="s">
        <v>298</v>
      </c>
      <c r="C1249" s="110">
        <v>2.1560000000000001</v>
      </c>
      <c r="D1249" s="112">
        <v>42748</v>
      </c>
    </row>
    <row r="1250" spans="1:4">
      <c r="A1250" s="110" t="s">
        <v>799</v>
      </c>
      <c r="B1250" s="110" t="s">
        <v>298</v>
      </c>
      <c r="C1250" s="110">
        <v>2.2450000000000001</v>
      </c>
      <c r="D1250" s="112">
        <v>42748</v>
      </c>
    </row>
    <row r="1251" spans="1:4">
      <c r="A1251" s="110" t="s">
        <v>798</v>
      </c>
      <c r="B1251" s="110" t="s">
        <v>298</v>
      </c>
      <c r="C1251" s="110">
        <v>2.2429999999999999</v>
      </c>
      <c r="D1251" s="112">
        <v>42748</v>
      </c>
    </row>
    <row r="1252" spans="1:4">
      <c r="A1252" s="110" t="s">
        <v>797</v>
      </c>
      <c r="B1252" s="110" t="s">
        <v>298</v>
      </c>
      <c r="C1252" s="110">
        <v>2.153</v>
      </c>
      <c r="D1252" s="112">
        <v>42748</v>
      </c>
    </row>
    <row r="1253" spans="1:4">
      <c r="A1253" s="110" t="s">
        <v>796</v>
      </c>
      <c r="B1253" s="110" t="s">
        <v>298</v>
      </c>
      <c r="C1253" s="110">
        <v>2.2599999999999998</v>
      </c>
      <c r="D1253" s="112">
        <v>42748</v>
      </c>
    </row>
    <row r="1254" spans="1:4">
      <c r="A1254" s="110" t="s">
        <v>795</v>
      </c>
      <c r="B1254" s="110" t="s">
        <v>298</v>
      </c>
      <c r="C1254" s="110">
        <v>2.2349999999999999</v>
      </c>
      <c r="D1254" s="112">
        <v>42748</v>
      </c>
    </row>
    <row r="1255" spans="1:4">
      <c r="A1255" s="110" t="s">
        <v>794</v>
      </c>
      <c r="B1255" s="110" t="s">
        <v>298</v>
      </c>
      <c r="C1255" s="110">
        <v>2.2400000000000002</v>
      </c>
      <c r="D1255" s="112">
        <v>42748</v>
      </c>
    </row>
    <row r="1256" spans="1:4">
      <c r="A1256" s="110" t="s">
        <v>793</v>
      </c>
      <c r="B1256" s="110" t="s">
        <v>298</v>
      </c>
      <c r="C1256" s="110">
        <v>2.31</v>
      </c>
      <c r="D1256" s="112">
        <v>42748</v>
      </c>
    </row>
    <row r="1257" spans="1:4">
      <c r="A1257" s="110" t="s">
        <v>792</v>
      </c>
      <c r="B1257" s="110" t="s">
        <v>298</v>
      </c>
      <c r="C1257" s="110">
        <v>2.2469999999999999</v>
      </c>
      <c r="D1257" s="112">
        <v>42748</v>
      </c>
    </row>
    <row r="1258" spans="1:4">
      <c r="A1258" s="110" t="s">
        <v>791</v>
      </c>
      <c r="B1258" s="110" t="s">
        <v>298</v>
      </c>
      <c r="C1258" s="110">
        <v>2.21</v>
      </c>
      <c r="D1258" s="112">
        <v>42748</v>
      </c>
    </row>
    <row r="1259" spans="1:4">
      <c r="A1259" s="110" t="s">
        <v>790</v>
      </c>
      <c r="B1259" s="110" t="s">
        <v>298</v>
      </c>
      <c r="C1259" s="110">
        <v>2.17</v>
      </c>
      <c r="D1259" s="112">
        <v>42748</v>
      </c>
    </row>
    <row r="1260" spans="1:4">
      <c r="A1260" s="110" t="s">
        <v>789</v>
      </c>
      <c r="B1260" s="110" t="s">
        <v>298</v>
      </c>
      <c r="C1260" s="110">
        <v>2.2789999999999999</v>
      </c>
      <c r="D1260" s="112">
        <v>42748</v>
      </c>
    </row>
    <row r="1261" spans="1:4">
      <c r="A1261" s="110" t="s">
        <v>788</v>
      </c>
      <c r="B1261" s="110" t="s">
        <v>298</v>
      </c>
      <c r="C1261" s="110">
        <v>2.2909999999999999</v>
      </c>
      <c r="D1261" s="112">
        <v>42748</v>
      </c>
    </row>
    <row r="1262" spans="1:4">
      <c r="A1262" s="110" t="s">
        <v>787</v>
      </c>
      <c r="B1262" s="110" t="s">
        <v>298</v>
      </c>
      <c r="C1262" s="110">
        <v>2.286</v>
      </c>
      <c r="D1262" s="112">
        <v>42748</v>
      </c>
    </row>
    <row r="1263" spans="1:4">
      <c r="A1263" s="110" t="s">
        <v>786</v>
      </c>
      <c r="B1263" s="110" t="s">
        <v>298</v>
      </c>
      <c r="C1263" s="110">
        <v>2.1850000000000001</v>
      </c>
      <c r="D1263" s="112">
        <v>42748</v>
      </c>
    </row>
    <row r="1264" spans="1:4">
      <c r="A1264" s="110" t="s">
        <v>785</v>
      </c>
      <c r="B1264" s="110" t="s">
        <v>298</v>
      </c>
      <c r="C1264" s="110">
        <v>2.1619999999999999</v>
      </c>
      <c r="D1264" s="112">
        <v>42748</v>
      </c>
    </row>
    <row r="1265" spans="1:4">
      <c r="A1265" s="110" t="s">
        <v>784</v>
      </c>
      <c r="B1265" s="110" t="s">
        <v>298</v>
      </c>
      <c r="C1265" s="110">
        <v>2.2090000000000001</v>
      </c>
      <c r="D1265" s="112">
        <v>42748</v>
      </c>
    </row>
    <row r="1266" spans="1:4">
      <c r="A1266" s="110" t="s">
        <v>783</v>
      </c>
      <c r="B1266" s="110" t="s">
        <v>298</v>
      </c>
      <c r="C1266" s="110">
        <v>2.2210000000000001</v>
      </c>
      <c r="D1266" s="112">
        <v>42748</v>
      </c>
    </row>
    <row r="1267" spans="1:4">
      <c r="A1267" s="110" t="s">
        <v>782</v>
      </c>
      <c r="B1267" s="110" t="s">
        <v>298</v>
      </c>
      <c r="C1267" s="110">
        <v>2.198</v>
      </c>
      <c r="D1267" s="112">
        <v>42748</v>
      </c>
    </row>
    <row r="1268" spans="1:4">
      <c r="A1268" s="110" t="s">
        <v>781</v>
      </c>
      <c r="B1268" s="110" t="s">
        <v>298</v>
      </c>
      <c r="C1268" s="110">
        <v>2.206</v>
      </c>
      <c r="D1268" s="112">
        <v>42748</v>
      </c>
    </row>
    <row r="1269" spans="1:4">
      <c r="A1269" s="110" t="s">
        <v>780</v>
      </c>
      <c r="B1269" s="110" t="s">
        <v>298</v>
      </c>
      <c r="C1269" s="110">
        <v>2.2210000000000001</v>
      </c>
      <c r="D1269" s="112">
        <v>42748</v>
      </c>
    </row>
    <row r="1270" spans="1:4">
      <c r="A1270" s="110" t="s">
        <v>779</v>
      </c>
      <c r="B1270" s="110" t="s">
        <v>298</v>
      </c>
      <c r="C1270" s="110">
        <v>2.246</v>
      </c>
      <c r="D1270" s="112">
        <v>42748</v>
      </c>
    </row>
    <row r="1271" spans="1:4">
      <c r="A1271" s="110" t="s">
        <v>778</v>
      </c>
      <c r="B1271" s="110" t="s">
        <v>298</v>
      </c>
      <c r="C1271" s="110">
        <v>2.1659999999999999</v>
      </c>
      <c r="D1271" s="112">
        <v>42748</v>
      </c>
    </row>
    <row r="1272" spans="1:4">
      <c r="A1272" s="110" t="s">
        <v>777</v>
      </c>
      <c r="B1272" s="110" t="s">
        <v>298</v>
      </c>
      <c r="C1272" s="110">
        <v>2.234</v>
      </c>
      <c r="D1272" s="112">
        <v>42748</v>
      </c>
    </row>
    <row r="1273" spans="1:4">
      <c r="A1273" s="110" t="s">
        <v>776</v>
      </c>
      <c r="B1273" s="110" t="s">
        <v>298</v>
      </c>
      <c r="C1273" s="110">
        <v>2.2130000000000001</v>
      </c>
      <c r="D1273" s="112">
        <v>42748</v>
      </c>
    </row>
    <row r="1274" spans="1:4">
      <c r="A1274" s="110" t="s">
        <v>775</v>
      </c>
      <c r="B1274" s="110" t="s">
        <v>298</v>
      </c>
      <c r="C1274" s="110">
        <v>2.2330000000000001</v>
      </c>
      <c r="D1274" s="112">
        <v>42748</v>
      </c>
    </row>
    <row r="1275" spans="1:4">
      <c r="A1275" s="110" t="s">
        <v>774</v>
      </c>
      <c r="B1275" s="110" t="s">
        <v>298</v>
      </c>
      <c r="C1275" s="110">
        <v>2.165</v>
      </c>
      <c r="D1275" s="112">
        <v>42748</v>
      </c>
    </row>
    <row r="1276" spans="1:4">
      <c r="A1276" s="110" t="s">
        <v>773</v>
      </c>
      <c r="B1276" s="110" t="s">
        <v>298</v>
      </c>
      <c r="C1276" s="110">
        <v>2.2549999999999999</v>
      </c>
      <c r="D1276" s="112">
        <v>42748</v>
      </c>
    </row>
    <row r="1277" spans="1:4">
      <c r="A1277" s="110" t="s">
        <v>772</v>
      </c>
      <c r="B1277" s="110" t="s">
        <v>298</v>
      </c>
      <c r="C1277" s="110">
        <v>2.2400000000000002</v>
      </c>
      <c r="D1277" s="112">
        <v>42748</v>
      </c>
    </row>
    <row r="1278" spans="1:4">
      <c r="A1278" s="110" t="s">
        <v>771</v>
      </c>
      <c r="B1278" s="110" t="s">
        <v>298</v>
      </c>
      <c r="C1278" s="110">
        <v>2.2290000000000001</v>
      </c>
      <c r="D1278" s="112">
        <v>42748</v>
      </c>
    </row>
    <row r="1279" spans="1:4">
      <c r="A1279" s="110" t="s">
        <v>770</v>
      </c>
      <c r="B1279" s="110" t="s">
        <v>298</v>
      </c>
      <c r="C1279" s="110">
        <v>2.2530000000000001</v>
      </c>
      <c r="D1279" s="112">
        <v>42748</v>
      </c>
    </row>
    <row r="1280" spans="1:4">
      <c r="A1280" s="110" t="s">
        <v>769</v>
      </c>
      <c r="B1280" s="110" t="s">
        <v>298</v>
      </c>
      <c r="C1280" s="110">
        <v>2.202</v>
      </c>
      <c r="D1280" s="112">
        <v>42748</v>
      </c>
    </row>
    <row r="1281" spans="1:4">
      <c r="A1281" s="110" t="s">
        <v>768</v>
      </c>
      <c r="B1281" s="110" t="s">
        <v>298</v>
      </c>
      <c r="C1281" s="110">
        <v>2.226</v>
      </c>
      <c r="D1281" s="112">
        <v>42748</v>
      </c>
    </row>
    <row r="1282" spans="1:4">
      <c r="A1282" s="110" t="s">
        <v>767</v>
      </c>
      <c r="B1282" s="110" t="s">
        <v>298</v>
      </c>
      <c r="C1282" s="110">
        <v>2.2090000000000001</v>
      </c>
      <c r="D1282" s="112">
        <v>42748</v>
      </c>
    </row>
    <row r="1283" spans="1:4">
      <c r="A1283" s="110" t="s">
        <v>766</v>
      </c>
      <c r="B1283" s="110" t="s">
        <v>298</v>
      </c>
      <c r="C1283" s="110">
        <v>2.23</v>
      </c>
      <c r="D1283" s="112">
        <v>42748</v>
      </c>
    </row>
    <row r="1284" spans="1:4">
      <c r="A1284" s="110" t="s">
        <v>765</v>
      </c>
      <c r="B1284" s="110" t="s">
        <v>298</v>
      </c>
      <c r="C1284" s="110">
        <v>2.177</v>
      </c>
      <c r="D1284" s="112">
        <v>42748</v>
      </c>
    </row>
    <row r="1285" spans="1:4">
      <c r="A1285" s="110" t="s">
        <v>764</v>
      </c>
      <c r="B1285" s="110" t="s">
        <v>298</v>
      </c>
      <c r="C1285" s="110">
        <v>2.2309999999999999</v>
      </c>
      <c r="D1285" s="112">
        <v>42748</v>
      </c>
    </row>
    <row r="1286" spans="1:4">
      <c r="A1286" s="110" t="s">
        <v>763</v>
      </c>
      <c r="B1286" s="110" t="s">
        <v>298</v>
      </c>
      <c r="C1286" s="110">
        <v>2.2320000000000002</v>
      </c>
      <c r="D1286" s="112">
        <v>42748</v>
      </c>
    </row>
    <row r="1287" spans="1:4">
      <c r="A1287" s="110" t="s">
        <v>762</v>
      </c>
      <c r="B1287" s="110" t="s">
        <v>298</v>
      </c>
      <c r="C1287" s="110">
        <v>2.246</v>
      </c>
      <c r="D1287" s="112">
        <v>42748</v>
      </c>
    </row>
    <row r="1288" spans="1:4">
      <c r="A1288" s="110" t="s">
        <v>761</v>
      </c>
      <c r="B1288" s="110" t="s">
        <v>298</v>
      </c>
      <c r="C1288" s="110">
        <v>2.2799999999999998</v>
      </c>
      <c r="D1288" s="112">
        <v>42748</v>
      </c>
    </row>
    <row r="1289" spans="1:4">
      <c r="A1289" s="110" t="s">
        <v>760</v>
      </c>
      <c r="B1289" s="110" t="s">
        <v>298</v>
      </c>
      <c r="C1289" s="110">
        <v>2.2349999999999999</v>
      </c>
      <c r="D1289" s="112">
        <v>42748</v>
      </c>
    </row>
    <row r="1290" spans="1:4">
      <c r="A1290" s="110" t="s">
        <v>759</v>
      </c>
      <c r="B1290" s="110" t="s">
        <v>298</v>
      </c>
      <c r="C1290" s="110">
        <v>2.2210000000000001</v>
      </c>
      <c r="D1290" s="112">
        <v>42748</v>
      </c>
    </row>
    <row r="1291" spans="1:4">
      <c r="A1291" s="110" t="s">
        <v>758</v>
      </c>
      <c r="B1291" s="110" t="s">
        <v>298</v>
      </c>
      <c r="C1291" s="110">
        <v>2.234</v>
      </c>
      <c r="D1291" s="112">
        <v>42748</v>
      </c>
    </row>
    <row r="1292" spans="1:4">
      <c r="A1292" s="110" t="s">
        <v>757</v>
      </c>
      <c r="B1292" s="110" t="s">
        <v>298</v>
      </c>
      <c r="C1292" s="110">
        <v>2.2240000000000002</v>
      </c>
      <c r="D1292" s="112">
        <v>42748</v>
      </c>
    </row>
    <row r="1293" spans="1:4">
      <c r="A1293" s="110" t="s">
        <v>756</v>
      </c>
      <c r="B1293" s="110" t="s">
        <v>298</v>
      </c>
      <c r="C1293" s="110">
        <v>2.2559999999999998</v>
      </c>
      <c r="D1293" s="112">
        <v>42748</v>
      </c>
    </row>
    <row r="1294" spans="1:4">
      <c r="A1294" s="110" t="s">
        <v>755</v>
      </c>
      <c r="B1294" s="110" t="s">
        <v>298</v>
      </c>
      <c r="C1294" s="110">
        <v>2.2309999999999999</v>
      </c>
      <c r="D1294" s="112">
        <v>42748</v>
      </c>
    </row>
    <row r="1295" spans="1:4">
      <c r="A1295" s="110" t="s">
        <v>754</v>
      </c>
      <c r="B1295" s="110" t="s">
        <v>298</v>
      </c>
      <c r="C1295" s="110">
        <v>2.1080000000000001</v>
      </c>
      <c r="D1295" s="112">
        <v>42748</v>
      </c>
    </row>
    <row r="1296" spans="1:4">
      <c r="A1296" s="110" t="s">
        <v>753</v>
      </c>
      <c r="B1296" s="110" t="s">
        <v>298</v>
      </c>
      <c r="C1296" s="110">
        <v>2.2349999999999999</v>
      </c>
      <c r="D1296" s="112">
        <v>42748</v>
      </c>
    </row>
    <row r="1297" spans="1:4">
      <c r="A1297" s="110" t="s">
        <v>752</v>
      </c>
      <c r="B1297" s="110" t="s">
        <v>298</v>
      </c>
      <c r="C1297" s="110">
        <v>2.2349999999999999</v>
      </c>
      <c r="D1297" s="112">
        <v>42748</v>
      </c>
    </row>
    <row r="1298" spans="1:4">
      <c r="A1298" s="110" t="s">
        <v>751</v>
      </c>
      <c r="B1298" s="110" t="s">
        <v>298</v>
      </c>
      <c r="C1298" s="110">
        <v>2.2480000000000002</v>
      </c>
      <c r="D1298" s="112">
        <v>42748</v>
      </c>
    </row>
    <row r="1299" spans="1:4">
      <c r="A1299" s="110" t="s">
        <v>750</v>
      </c>
      <c r="B1299" s="110" t="s">
        <v>298</v>
      </c>
      <c r="C1299" s="110">
        <v>2.1960000000000002</v>
      </c>
      <c r="D1299" s="112">
        <v>42748</v>
      </c>
    </row>
    <row r="1300" spans="1:4">
      <c r="A1300" s="110" t="s">
        <v>749</v>
      </c>
      <c r="B1300" s="110" t="s">
        <v>298</v>
      </c>
      <c r="C1300" s="110">
        <v>2.2309999999999999</v>
      </c>
      <c r="D1300" s="112">
        <v>42748</v>
      </c>
    </row>
    <row r="1301" spans="1:4">
      <c r="A1301" s="110" t="s">
        <v>748</v>
      </c>
      <c r="B1301" s="110" t="s">
        <v>298</v>
      </c>
      <c r="C1301" s="110">
        <v>2.1829999999999998</v>
      </c>
      <c r="D1301" s="112">
        <v>42748</v>
      </c>
    </row>
    <row r="1302" spans="1:4">
      <c r="A1302" s="110" t="s">
        <v>747</v>
      </c>
      <c r="B1302" s="110" t="s">
        <v>298</v>
      </c>
      <c r="C1302" s="110">
        <v>2.1800000000000002</v>
      </c>
      <c r="D1302" s="112">
        <v>42748</v>
      </c>
    </row>
    <row r="1303" spans="1:4">
      <c r="A1303" s="110" t="s">
        <v>746</v>
      </c>
      <c r="B1303" s="110" t="s">
        <v>298</v>
      </c>
      <c r="C1303" s="110">
        <v>2.1280000000000001</v>
      </c>
      <c r="D1303" s="112">
        <v>42748</v>
      </c>
    </row>
    <row r="1304" spans="1:4">
      <c r="A1304" s="110" t="s">
        <v>745</v>
      </c>
      <c r="B1304" s="110" t="s">
        <v>298</v>
      </c>
      <c r="C1304" s="110">
        <v>2.14</v>
      </c>
      <c r="D1304" s="112">
        <v>42748</v>
      </c>
    </row>
    <row r="1305" spans="1:4">
      <c r="A1305" s="110" t="s">
        <v>744</v>
      </c>
      <c r="B1305" s="110" t="s">
        <v>298</v>
      </c>
      <c r="C1305" s="110">
        <v>2.1970000000000001</v>
      </c>
      <c r="D1305" s="112">
        <v>42748</v>
      </c>
    </row>
    <row r="1306" spans="1:4">
      <c r="A1306" s="110" t="s">
        <v>743</v>
      </c>
      <c r="B1306" s="110" t="s">
        <v>298</v>
      </c>
      <c r="C1306" s="110">
        <v>2.19</v>
      </c>
      <c r="D1306" s="112">
        <v>42748</v>
      </c>
    </row>
    <row r="1307" spans="1:4">
      <c r="A1307" s="110" t="s">
        <v>742</v>
      </c>
      <c r="B1307" s="110" t="s">
        <v>298</v>
      </c>
      <c r="C1307" s="110">
        <v>2.1389999999999998</v>
      </c>
      <c r="D1307" s="112">
        <v>42748</v>
      </c>
    </row>
    <row r="1308" spans="1:4">
      <c r="A1308" s="110" t="s">
        <v>741</v>
      </c>
      <c r="B1308" s="110" t="s">
        <v>298</v>
      </c>
      <c r="C1308" s="110">
        <v>2.181</v>
      </c>
      <c r="D1308" s="112">
        <v>42748</v>
      </c>
    </row>
    <row r="1309" spans="1:4">
      <c r="A1309" s="110" t="s">
        <v>740</v>
      </c>
      <c r="B1309" s="110" t="s">
        <v>298</v>
      </c>
      <c r="C1309" s="110">
        <v>2.214</v>
      </c>
      <c r="D1309" s="112">
        <v>42748</v>
      </c>
    </row>
    <row r="1310" spans="1:4">
      <c r="A1310" s="110" t="s">
        <v>739</v>
      </c>
      <c r="B1310" s="110" t="s">
        <v>298</v>
      </c>
      <c r="C1310" s="110">
        <v>2.1459999999999999</v>
      </c>
      <c r="D1310" s="112">
        <v>42748</v>
      </c>
    </row>
    <row r="1311" spans="1:4">
      <c r="A1311" s="110" t="s">
        <v>738</v>
      </c>
      <c r="B1311" s="110" t="s">
        <v>298</v>
      </c>
      <c r="C1311" s="110">
        <v>2.2679999999999998</v>
      </c>
      <c r="D1311" s="112">
        <v>42748</v>
      </c>
    </row>
    <row r="1312" spans="1:4">
      <c r="A1312" s="110" t="s">
        <v>737</v>
      </c>
      <c r="B1312" s="110" t="s">
        <v>298</v>
      </c>
      <c r="C1312" s="110">
        <v>2.1779999999999999</v>
      </c>
      <c r="D1312" s="112">
        <v>42748</v>
      </c>
    </row>
    <row r="1313" spans="1:4">
      <c r="A1313" s="110" t="s">
        <v>736</v>
      </c>
      <c r="B1313" s="110" t="s">
        <v>298</v>
      </c>
      <c r="C1313" s="110">
        <v>2.2400000000000002</v>
      </c>
      <c r="D1313" s="112">
        <v>42748</v>
      </c>
    </row>
    <row r="1314" spans="1:4">
      <c r="A1314" s="110" t="s">
        <v>735</v>
      </c>
      <c r="B1314" s="110" t="s">
        <v>298</v>
      </c>
      <c r="C1314" s="110">
        <v>2.1739999999999999</v>
      </c>
      <c r="D1314" s="112">
        <v>42748</v>
      </c>
    </row>
    <row r="1315" spans="1:4">
      <c r="A1315" s="110" t="s">
        <v>734</v>
      </c>
      <c r="B1315" s="110" t="s">
        <v>298</v>
      </c>
      <c r="C1315" s="110">
        <v>2.1859999999999999</v>
      </c>
      <c r="D1315" s="112">
        <v>42748</v>
      </c>
    </row>
    <row r="1316" spans="1:4">
      <c r="A1316" s="110" t="s">
        <v>733</v>
      </c>
      <c r="B1316" s="110" t="s">
        <v>298</v>
      </c>
      <c r="C1316" s="110">
        <v>2.2480000000000002</v>
      </c>
      <c r="D1316" s="112">
        <v>42748</v>
      </c>
    </row>
    <row r="1317" spans="1:4">
      <c r="A1317" s="110" t="s">
        <v>732</v>
      </c>
      <c r="B1317" s="110" t="s">
        <v>298</v>
      </c>
      <c r="C1317" s="110">
        <v>2.2000000000000002</v>
      </c>
      <c r="D1317" s="112">
        <v>42748</v>
      </c>
    </row>
    <row r="1318" spans="1:4">
      <c r="A1318" s="110" t="s">
        <v>731</v>
      </c>
      <c r="B1318" s="110" t="s">
        <v>298</v>
      </c>
      <c r="C1318" s="110">
        <v>2.1930000000000001</v>
      </c>
      <c r="D1318" s="112">
        <v>42748</v>
      </c>
    </row>
    <row r="1319" spans="1:4">
      <c r="A1319" s="110" t="s">
        <v>730</v>
      </c>
      <c r="B1319" s="110" t="s">
        <v>298</v>
      </c>
      <c r="C1319" s="110">
        <v>2.2240000000000002</v>
      </c>
      <c r="D1319" s="112">
        <v>42748</v>
      </c>
    </row>
    <row r="1320" spans="1:4">
      <c r="A1320" s="110" t="s">
        <v>729</v>
      </c>
      <c r="B1320" s="110" t="s">
        <v>298</v>
      </c>
      <c r="C1320" s="110">
        <v>2.2709999999999999</v>
      </c>
      <c r="D1320" s="112">
        <v>42748</v>
      </c>
    </row>
    <row r="1321" spans="1:4">
      <c r="A1321" s="110" t="s">
        <v>728</v>
      </c>
      <c r="B1321" s="110" t="s">
        <v>298</v>
      </c>
      <c r="C1321" s="110">
        <v>2.214</v>
      </c>
      <c r="D1321" s="112">
        <v>42748</v>
      </c>
    </row>
    <row r="1322" spans="1:4">
      <c r="A1322" s="110" t="s">
        <v>727</v>
      </c>
      <c r="B1322" s="110" t="s">
        <v>298</v>
      </c>
      <c r="C1322" s="110">
        <v>2.1349999999999998</v>
      </c>
      <c r="D1322" s="112">
        <v>42748</v>
      </c>
    </row>
    <row r="1323" spans="1:4">
      <c r="A1323" s="110" t="s">
        <v>726</v>
      </c>
      <c r="B1323" s="110" t="s">
        <v>298</v>
      </c>
      <c r="C1323" s="110">
        <v>2.2160000000000002</v>
      </c>
      <c r="D1323" s="112">
        <v>42748</v>
      </c>
    </row>
    <row r="1324" spans="1:4">
      <c r="A1324" s="110" t="s">
        <v>725</v>
      </c>
      <c r="B1324" s="110" t="s">
        <v>298</v>
      </c>
      <c r="C1324" s="110">
        <v>2.2469999999999999</v>
      </c>
      <c r="D1324" s="112">
        <v>42748</v>
      </c>
    </row>
    <row r="1325" spans="1:4">
      <c r="A1325" s="110" t="s">
        <v>724</v>
      </c>
      <c r="B1325" s="110" t="s">
        <v>298</v>
      </c>
      <c r="C1325" s="110">
        <v>2.2269999999999999</v>
      </c>
      <c r="D1325" s="112">
        <v>42748</v>
      </c>
    </row>
    <row r="1326" spans="1:4">
      <c r="A1326" s="110" t="s">
        <v>723</v>
      </c>
      <c r="B1326" s="110" t="s">
        <v>298</v>
      </c>
      <c r="C1326" s="110">
        <v>2.2029999999999998</v>
      </c>
      <c r="D1326" s="112">
        <v>42748</v>
      </c>
    </row>
    <row r="1327" spans="1:4">
      <c r="A1327" s="110" t="s">
        <v>722</v>
      </c>
      <c r="B1327" s="110" t="s">
        <v>298</v>
      </c>
      <c r="C1327" s="110">
        <v>2.2189999999999999</v>
      </c>
      <c r="D1327" s="112">
        <v>42748</v>
      </c>
    </row>
    <row r="1328" spans="1:4">
      <c r="A1328" s="110" t="s">
        <v>721</v>
      </c>
      <c r="B1328" s="110" t="s">
        <v>298</v>
      </c>
      <c r="C1328" s="110">
        <v>2.2749999999999999</v>
      </c>
      <c r="D1328" s="112">
        <v>42748</v>
      </c>
    </row>
    <row r="1329" spans="1:4">
      <c r="A1329" s="110" t="s">
        <v>720</v>
      </c>
      <c r="B1329" s="110" t="s">
        <v>298</v>
      </c>
      <c r="C1329" s="110">
        <v>2.2170000000000001</v>
      </c>
      <c r="D1329" s="112">
        <v>42748</v>
      </c>
    </row>
    <row r="1330" spans="1:4">
      <c r="A1330" s="110" t="s">
        <v>719</v>
      </c>
      <c r="B1330" s="110" t="s">
        <v>298</v>
      </c>
      <c r="C1330" s="110">
        <v>2.1760000000000002</v>
      </c>
      <c r="D1330" s="112">
        <v>42748</v>
      </c>
    </row>
    <row r="1331" spans="1:4">
      <c r="A1331" s="110" t="s">
        <v>718</v>
      </c>
      <c r="B1331" s="110" t="s">
        <v>298</v>
      </c>
      <c r="C1331" s="110">
        <v>2.1760000000000002</v>
      </c>
      <c r="D1331" s="112">
        <v>42748</v>
      </c>
    </row>
    <row r="1332" spans="1:4">
      <c r="A1332" s="110" t="s">
        <v>717</v>
      </c>
      <c r="B1332" s="110" t="s">
        <v>298</v>
      </c>
      <c r="C1332" s="110">
        <v>2.214</v>
      </c>
      <c r="D1332" s="112">
        <v>42748</v>
      </c>
    </row>
    <row r="1333" spans="1:4">
      <c r="A1333" s="110" t="s">
        <v>716</v>
      </c>
      <c r="B1333" s="110" t="s">
        <v>298</v>
      </c>
      <c r="C1333" s="110">
        <v>2.25</v>
      </c>
      <c r="D1333" s="112">
        <v>42748</v>
      </c>
    </row>
    <row r="1334" spans="1:4">
      <c r="A1334" s="110" t="s">
        <v>715</v>
      </c>
      <c r="B1334" s="110" t="s">
        <v>298</v>
      </c>
      <c r="C1334" s="110">
        <v>2.153</v>
      </c>
      <c r="D1334" s="112">
        <v>42748</v>
      </c>
    </row>
    <row r="1335" spans="1:4">
      <c r="A1335" s="110" t="s">
        <v>714</v>
      </c>
      <c r="B1335" s="110" t="s">
        <v>298</v>
      </c>
      <c r="C1335" s="110">
        <v>2.1760000000000002</v>
      </c>
      <c r="D1335" s="112">
        <v>42748</v>
      </c>
    </row>
    <row r="1336" spans="1:4">
      <c r="A1336" s="110" t="s">
        <v>713</v>
      </c>
      <c r="B1336" s="110" t="s">
        <v>298</v>
      </c>
      <c r="C1336" s="110">
        <v>2.202</v>
      </c>
      <c r="D1336" s="112">
        <v>42748</v>
      </c>
    </row>
    <row r="1337" spans="1:4">
      <c r="A1337" s="110" t="s">
        <v>712</v>
      </c>
      <c r="B1337" s="110" t="s">
        <v>298</v>
      </c>
      <c r="C1337" s="110">
        <v>2.21</v>
      </c>
      <c r="D1337" s="112">
        <v>42748</v>
      </c>
    </row>
    <row r="1338" spans="1:4">
      <c r="A1338" s="110" t="s">
        <v>711</v>
      </c>
      <c r="B1338" s="110" t="s">
        <v>298</v>
      </c>
      <c r="C1338" s="110">
        <v>2.1829999999999998</v>
      </c>
      <c r="D1338" s="112">
        <v>42748</v>
      </c>
    </row>
    <row r="1339" spans="1:4">
      <c r="A1339" s="110" t="s">
        <v>710</v>
      </c>
      <c r="B1339" s="110" t="s">
        <v>298</v>
      </c>
      <c r="C1339" s="110">
        <v>2.133</v>
      </c>
      <c r="D1339" s="112">
        <v>42748</v>
      </c>
    </row>
    <row r="1340" spans="1:4">
      <c r="A1340" s="110" t="s">
        <v>709</v>
      </c>
      <c r="B1340" s="110" t="s">
        <v>298</v>
      </c>
      <c r="C1340" s="110">
        <v>2.2240000000000002</v>
      </c>
      <c r="D1340" s="112">
        <v>42748</v>
      </c>
    </row>
    <row r="1341" spans="1:4">
      <c r="A1341" s="110" t="s">
        <v>708</v>
      </c>
      <c r="B1341" s="110" t="s">
        <v>298</v>
      </c>
      <c r="C1341" s="110">
        <v>2.0750000000000002</v>
      </c>
      <c r="D1341" s="112">
        <v>42748</v>
      </c>
    </row>
    <row r="1342" spans="1:4">
      <c r="A1342" s="110" t="s">
        <v>707</v>
      </c>
      <c r="B1342" s="110" t="s">
        <v>298</v>
      </c>
      <c r="C1342" s="110">
        <v>2.0840000000000001</v>
      </c>
      <c r="D1342" s="112">
        <v>42748</v>
      </c>
    </row>
    <row r="1343" spans="1:4">
      <c r="A1343" s="110" t="s">
        <v>706</v>
      </c>
      <c r="B1343" s="110" t="s">
        <v>298</v>
      </c>
      <c r="C1343" s="110">
        <v>2.141</v>
      </c>
      <c r="D1343" s="112">
        <v>42748</v>
      </c>
    </row>
    <row r="1344" spans="1:4">
      <c r="A1344" s="110" t="s">
        <v>705</v>
      </c>
      <c r="B1344" s="110" t="s">
        <v>298</v>
      </c>
      <c r="C1344" s="110">
        <v>2.2240000000000002</v>
      </c>
      <c r="D1344" s="112">
        <v>42748</v>
      </c>
    </row>
    <row r="1345" spans="1:4">
      <c r="A1345" s="110" t="s">
        <v>704</v>
      </c>
      <c r="B1345" s="110" t="s">
        <v>298</v>
      </c>
      <c r="C1345" s="110">
        <v>2.1970000000000001</v>
      </c>
      <c r="D1345" s="112">
        <v>42748</v>
      </c>
    </row>
    <row r="1346" spans="1:4">
      <c r="A1346" s="110" t="s">
        <v>703</v>
      </c>
      <c r="B1346" s="110" t="s">
        <v>298</v>
      </c>
      <c r="C1346" s="110">
        <v>2.1829999999999998</v>
      </c>
      <c r="D1346" s="112">
        <v>42748</v>
      </c>
    </row>
    <row r="1347" spans="1:4">
      <c r="A1347" s="110" t="s">
        <v>702</v>
      </c>
      <c r="B1347" s="110" t="s">
        <v>298</v>
      </c>
      <c r="C1347" s="110">
        <v>2.2450000000000001</v>
      </c>
      <c r="D1347" s="112">
        <v>42748</v>
      </c>
    </row>
    <row r="1348" spans="1:4">
      <c r="A1348" s="110" t="s">
        <v>701</v>
      </c>
      <c r="B1348" s="110" t="s">
        <v>298</v>
      </c>
      <c r="C1348" s="110">
        <v>2.1110000000000002</v>
      </c>
      <c r="D1348" s="112">
        <v>42748</v>
      </c>
    </row>
    <row r="1349" spans="1:4">
      <c r="A1349" s="110" t="s">
        <v>700</v>
      </c>
      <c r="B1349" s="110" t="s">
        <v>298</v>
      </c>
      <c r="C1349" s="110">
        <v>2.1280000000000001</v>
      </c>
      <c r="D1349" s="112">
        <v>42748</v>
      </c>
    </row>
    <row r="1350" spans="1:4">
      <c r="A1350" s="110" t="s">
        <v>699</v>
      </c>
      <c r="B1350" s="110" t="s">
        <v>298</v>
      </c>
      <c r="C1350" s="110">
        <v>2.2290000000000001</v>
      </c>
      <c r="D1350" s="112">
        <v>42748</v>
      </c>
    </row>
    <row r="1351" spans="1:4">
      <c r="A1351" s="110" t="s">
        <v>698</v>
      </c>
      <c r="B1351" s="110" t="s">
        <v>298</v>
      </c>
      <c r="C1351" s="110">
        <v>2.2149999999999999</v>
      </c>
      <c r="D1351" s="112">
        <v>42748</v>
      </c>
    </row>
    <row r="1352" spans="1:4">
      <c r="A1352" s="110" t="s">
        <v>697</v>
      </c>
      <c r="B1352" s="110" t="s">
        <v>298</v>
      </c>
      <c r="C1352" s="110">
        <v>2.2149999999999999</v>
      </c>
      <c r="D1352" s="112">
        <v>42748</v>
      </c>
    </row>
    <row r="1353" spans="1:4">
      <c r="A1353" s="110" t="s">
        <v>696</v>
      </c>
      <c r="B1353" s="110" t="s">
        <v>298</v>
      </c>
      <c r="C1353" s="110">
        <v>2.2389999999999999</v>
      </c>
      <c r="D1353" s="112">
        <v>42748</v>
      </c>
    </row>
    <row r="1354" spans="1:4">
      <c r="A1354" s="110" t="s">
        <v>695</v>
      </c>
      <c r="B1354" s="110" t="s">
        <v>298</v>
      </c>
      <c r="C1354" s="110">
        <v>2.2679999999999998</v>
      </c>
      <c r="D1354" s="112">
        <v>42748</v>
      </c>
    </row>
    <row r="1355" spans="1:4">
      <c r="A1355" s="110" t="s">
        <v>694</v>
      </c>
      <c r="B1355" s="110" t="s">
        <v>298</v>
      </c>
      <c r="C1355" s="110">
        <v>2.206</v>
      </c>
      <c r="D1355" s="112">
        <v>42748</v>
      </c>
    </row>
    <row r="1356" spans="1:4">
      <c r="A1356" s="110" t="s">
        <v>693</v>
      </c>
      <c r="B1356" s="110" t="s">
        <v>298</v>
      </c>
      <c r="C1356" s="110">
        <v>2.2029999999999998</v>
      </c>
      <c r="D1356" s="112">
        <v>42748</v>
      </c>
    </row>
    <row r="1357" spans="1:4">
      <c r="A1357" s="110" t="s">
        <v>692</v>
      </c>
      <c r="B1357" s="110" t="s">
        <v>298</v>
      </c>
      <c r="C1357" s="110">
        <v>2.2709999999999999</v>
      </c>
      <c r="D1357" s="112">
        <v>42748</v>
      </c>
    </row>
    <row r="1358" spans="1:4">
      <c r="A1358" s="110" t="s">
        <v>691</v>
      </c>
      <c r="B1358" s="110" t="s">
        <v>298</v>
      </c>
      <c r="C1358" s="110">
        <v>2.2250000000000001</v>
      </c>
      <c r="D1358" s="112">
        <v>42748</v>
      </c>
    </row>
    <row r="1359" spans="1:4">
      <c r="A1359" s="110" t="s">
        <v>690</v>
      </c>
      <c r="B1359" s="110" t="s">
        <v>298</v>
      </c>
      <c r="C1359" s="110">
        <v>2.1970000000000001</v>
      </c>
      <c r="D1359" s="112">
        <v>42748</v>
      </c>
    </row>
    <row r="1360" spans="1:4">
      <c r="A1360" s="110" t="s">
        <v>689</v>
      </c>
      <c r="B1360" s="110" t="s">
        <v>298</v>
      </c>
      <c r="C1360" s="110">
        <v>2.2320000000000002</v>
      </c>
      <c r="D1360" s="112">
        <v>42748</v>
      </c>
    </row>
    <row r="1361" spans="1:4">
      <c r="A1361" s="110" t="s">
        <v>688</v>
      </c>
      <c r="B1361" s="110" t="s">
        <v>298</v>
      </c>
      <c r="C1361" s="110">
        <v>2.165</v>
      </c>
      <c r="D1361" s="112">
        <v>42748</v>
      </c>
    </row>
    <row r="1362" spans="1:4">
      <c r="A1362" s="110" t="s">
        <v>687</v>
      </c>
      <c r="B1362" s="110" t="s">
        <v>298</v>
      </c>
      <c r="C1362" s="110">
        <v>2.1819999999999999</v>
      </c>
      <c r="D1362" s="112">
        <v>42748</v>
      </c>
    </row>
    <row r="1363" spans="1:4">
      <c r="A1363" s="110" t="s">
        <v>686</v>
      </c>
      <c r="B1363" s="110" t="s">
        <v>298</v>
      </c>
      <c r="C1363" s="110">
        <v>2.1850000000000001</v>
      </c>
      <c r="D1363" s="112">
        <v>42748</v>
      </c>
    </row>
    <row r="1364" spans="1:4">
      <c r="A1364" s="110" t="s">
        <v>685</v>
      </c>
      <c r="B1364" s="110" t="s">
        <v>298</v>
      </c>
      <c r="C1364" s="110">
        <v>2.23</v>
      </c>
      <c r="D1364" s="112">
        <v>42748</v>
      </c>
    </row>
    <row r="1365" spans="1:4">
      <c r="A1365" s="110" t="s">
        <v>684</v>
      </c>
      <c r="B1365" s="110" t="s">
        <v>298</v>
      </c>
      <c r="C1365" s="110">
        <v>2.2410000000000001</v>
      </c>
      <c r="D1365" s="112">
        <v>42748</v>
      </c>
    </row>
    <row r="1366" spans="1:4">
      <c r="A1366" s="110" t="s">
        <v>683</v>
      </c>
      <c r="B1366" s="110" t="s">
        <v>298</v>
      </c>
      <c r="C1366" s="110">
        <v>2.2370000000000001</v>
      </c>
      <c r="D1366" s="112">
        <v>42748</v>
      </c>
    </row>
    <row r="1367" spans="1:4">
      <c r="A1367" s="110" t="s">
        <v>682</v>
      </c>
      <c r="B1367" s="110" t="s">
        <v>298</v>
      </c>
      <c r="C1367" s="110">
        <v>2.2090000000000001</v>
      </c>
      <c r="D1367" s="112">
        <v>42748</v>
      </c>
    </row>
    <row r="1368" spans="1:4">
      <c r="A1368" s="110" t="s">
        <v>681</v>
      </c>
      <c r="B1368" s="110" t="s">
        <v>298</v>
      </c>
      <c r="C1368" s="110">
        <v>2.1659999999999999</v>
      </c>
      <c r="D1368" s="112">
        <v>42748</v>
      </c>
    </row>
    <row r="1369" spans="1:4">
      <c r="A1369" s="110" t="s">
        <v>680</v>
      </c>
      <c r="B1369" s="110" t="s">
        <v>298</v>
      </c>
      <c r="C1369" s="110">
        <v>2.1930000000000001</v>
      </c>
      <c r="D1369" s="112">
        <v>42748</v>
      </c>
    </row>
    <row r="1370" spans="1:4">
      <c r="A1370" s="110" t="s">
        <v>679</v>
      </c>
      <c r="B1370" s="110" t="s">
        <v>298</v>
      </c>
      <c r="C1370" s="110">
        <v>2.226</v>
      </c>
      <c r="D1370" s="112">
        <v>42748</v>
      </c>
    </row>
    <row r="1371" spans="1:4">
      <c r="A1371" s="110" t="s">
        <v>678</v>
      </c>
      <c r="B1371" s="110" t="s">
        <v>298</v>
      </c>
      <c r="C1371" s="110">
        <v>2.1579999999999999</v>
      </c>
      <c r="D1371" s="112">
        <v>42748</v>
      </c>
    </row>
    <row r="1372" spans="1:4">
      <c r="A1372" s="110" t="s">
        <v>677</v>
      </c>
      <c r="B1372" s="110" t="s">
        <v>298</v>
      </c>
      <c r="C1372" s="110">
        <v>2.2040000000000002</v>
      </c>
      <c r="D1372" s="112">
        <v>42748</v>
      </c>
    </row>
    <row r="1373" spans="1:4">
      <c r="A1373" s="110" t="s">
        <v>676</v>
      </c>
      <c r="B1373" s="110" t="s">
        <v>298</v>
      </c>
      <c r="C1373" s="110">
        <v>2.206</v>
      </c>
      <c r="D1373" s="112">
        <v>42748</v>
      </c>
    </row>
    <row r="1374" spans="1:4">
      <c r="A1374" s="110" t="s">
        <v>675</v>
      </c>
      <c r="B1374" s="110" t="s">
        <v>298</v>
      </c>
      <c r="C1374" s="110">
        <v>2.2269999999999999</v>
      </c>
      <c r="D1374" s="112">
        <v>42748</v>
      </c>
    </row>
    <row r="1375" spans="1:4">
      <c r="A1375" s="110" t="s">
        <v>674</v>
      </c>
      <c r="B1375" s="110" t="s">
        <v>298</v>
      </c>
      <c r="C1375" s="110">
        <v>2.3140000000000001</v>
      </c>
      <c r="D1375" s="112">
        <v>42748</v>
      </c>
    </row>
    <row r="1376" spans="1:4">
      <c r="A1376" s="110" t="s">
        <v>673</v>
      </c>
      <c r="B1376" s="110" t="s">
        <v>298</v>
      </c>
      <c r="C1376" s="110">
        <v>2.2869999999999999</v>
      </c>
      <c r="D1376" s="112">
        <v>42748</v>
      </c>
    </row>
    <row r="1377" spans="1:4">
      <c r="A1377" s="110" t="s">
        <v>672</v>
      </c>
      <c r="B1377" s="110" t="s">
        <v>298</v>
      </c>
      <c r="C1377" s="110">
        <v>2.2309999999999999</v>
      </c>
      <c r="D1377" s="112">
        <v>42748</v>
      </c>
    </row>
    <row r="1378" spans="1:4">
      <c r="A1378" s="110" t="s">
        <v>671</v>
      </c>
      <c r="B1378" s="110" t="s">
        <v>298</v>
      </c>
      <c r="C1378" s="110">
        <v>2.1240000000000001</v>
      </c>
      <c r="D1378" s="112">
        <v>42748</v>
      </c>
    </row>
    <row r="1379" spans="1:4">
      <c r="A1379" s="110" t="s">
        <v>670</v>
      </c>
      <c r="B1379" s="110" t="s">
        <v>298</v>
      </c>
      <c r="C1379" s="110">
        <v>2.238</v>
      </c>
      <c r="D1379" s="112">
        <v>42748</v>
      </c>
    </row>
    <row r="1380" spans="1:4">
      <c r="A1380" s="110" t="s">
        <v>669</v>
      </c>
      <c r="B1380" s="110" t="s">
        <v>298</v>
      </c>
      <c r="C1380" s="110">
        <v>2.2679999999999998</v>
      </c>
      <c r="D1380" s="112">
        <v>42748</v>
      </c>
    </row>
    <row r="1381" spans="1:4">
      <c r="A1381" s="110" t="s">
        <v>668</v>
      </c>
      <c r="B1381" s="110" t="s">
        <v>298</v>
      </c>
      <c r="C1381" s="110">
        <v>2.302</v>
      </c>
      <c r="D1381" s="112">
        <v>42748</v>
      </c>
    </row>
    <row r="1382" spans="1:4">
      <c r="A1382" s="110" t="s">
        <v>667</v>
      </c>
      <c r="B1382" s="110" t="s">
        <v>298</v>
      </c>
      <c r="C1382" s="110">
        <v>2.258</v>
      </c>
      <c r="D1382" s="112">
        <v>42748</v>
      </c>
    </row>
    <row r="1383" spans="1:4">
      <c r="A1383" s="110" t="s">
        <v>666</v>
      </c>
      <c r="B1383" s="110" t="s">
        <v>298</v>
      </c>
      <c r="C1383" s="110">
        <v>2.2210000000000001</v>
      </c>
      <c r="D1383" s="112">
        <v>42748</v>
      </c>
    </row>
    <row r="1384" spans="1:4">
      <c r="A1384" s="110" t="s">
        <v>665</v>
      </c>
      <c r="B1384" s="110" t="s">
        <v>298</v>
      </c>
      <c r="C1384" s="110">
        <v>2.2429999999999999</v>
      </c>
      <c r="D1384" s="112">
        <v>42748</v>
      </c>
    </row>
    <row r="1385" spans="1:4">
      <c r="A1385" s="110" t="s">
        <v>664</v>
      </c>
      <c r="B1385" s="110" t="s">
        <v>298</v>
      </c>
      <c r="C1385" s="110">
        <v>2.169</v>
      </c>
      <c r="D1385" s="112">
        <v>42748</v>
      </c>
    </row>
    <row r="1386" spans="1:4">
      <c r="A1386" s="110" t="s">
        <v>663</v>
      </c>
      <c r="B1386" s="110" t="s">
        <v>298</v>
      </c>
      <c r="C1386" s="110">
        <v>2.1640000000000001</v>
      </c>
      <c r="D1386" s="112">
        <v>42748</v>
      </c>
    </row>
    <row r="1387" spans="1:4">
      <c r="A1387" s="110" t="s">
        <v>662</v>
      </c>
      <c r="B1387" s="110" t="s">
        <v>298</v>
      </c>
      <c r="C1387" s="110">
        <v>2.2749999999999999</v>
      </c>
      <c r="D1387" s="112">
        <v>42748</v>
      </c>
    </row>
    <row r="1388" spans="1:4">
      <c r="A1388" s="110" t="s">
        <v>661</v>
      </c>
      <c r="B1388" s="110" t="s">
        <v>298</v>
      </c>
      <c r="C1388" s="110">
        <v>2.17</v>
      </c>
      <c r="D1388" s="112">
        <v>42748</v>
      </c>
    </row>
    <row r="1389" spans="1:4">
      <c r="A1389" s="110" t="s">
        <v>660</v>
      </c>
      <c r="B1389" s="110" t="s">
        <v>298</v>
      </c>
      <c r="C1389" s="110">
        <v>2.1589999999999998</v>
      </c>
      <c r="D1389" s="112">
        <v>42749</v>
      </c>
    </row>
    <row r="1390" spans="1:4">
      <c r="A1390" s="110" t="s">
        <v>659</v>
      </c>
      <c r="B1390" s="110" t="s">
        <v>298</v>
      </c>
      <c r="C1390" s="110">
        <v>2.17</v>
      </c>
      <c r="D1390" s="112">
        <v>42749</v>
      </c>
    </row>
    <row r="1391" spans="1:4">
      <c r="A1391" s="110" t="s">
        <v>658</v>
      </c>
      <c r="B1391" s="110" t="s">
        <v>298</v>
      </c>
      <c r="C1391" s="110">
        <v>2.1970000000000001</v>
      </c>
      <c r="D1391" s="112">
        <v>42749</v>
      </c>
    </row>
    <row r="1392" spans="1:4">
      <c r="A1392" s="110" t="s">
        <v>657</v>
      </c>
      <c r="B1392" s="110" t="s">
        <v>298</v>
      </c>
      <c r="C1392" s="110">
        <v>2.1850000000000001</v>
      </c>
      <c r="D1392" s="112">
        <v>42749</v>
      </c>
    </row>
    <row r="1393" spans="1:4">
      <c r="A1393" s="110" t="s">
        <v>656</v>
      </c>
      <c r="B1393" s="110" t="s">
        <v>298</v>
      </c>
      <c r="C1393" s="110">
        <v>2.242</v>
      </c>
      <c r="D1393" s="112">
        <v>42749</v>
      </c>
    </row>
    <row r="1394" spans="1:4">
      <c r="A1394" s="110" t="s">
        <v>655</v>
      </c>
      <c r="B1394" s="110" t="s">
        <v>298</v>
      </c>
      <c r="C1394" s="110">
        <v>2.218</v>
      </c>
      <c r="D1394" s="112">
        <v>42749</v>
      </c>
    </row>
    <row r="1395" spans="1:4">
      <c r="A1395" s="110" t="s">
        <v>654</v>
      </c>
      <c r="B1395" s="110" t="s">
        <v>298</v>
      </c>
      <c r="C1395" s="110">
        <v>2.222</v>
      </c>
      <c r="D1395" s="112">
        <v>42749</v>
      </c>
    </row>
    <row r="1396" spans="1:4">
      <c r="A1396" s="110" t="s">
        <v>653</v>
      </c>
      <c r="B1396" s="110" t="s">
        <v>298</v>
      </c>
      <c r="C1396" s="110">
        <v>2.1589999999999998</v>
      </c>
      <c r="D1396" s="112">
        <v>42749</v>
      </c>
    </row>
    <row r="1397" spans="1:4">
      <c r="A1397" s="110" t="s">
        <v>652</v>
      </c>
      <c r="B1397" s="110" t="s">
        <v>298</v>
      </c>
      <c r="C1397" s="110">
        <v>2.157</v>
      </c>
      <c r="D1397" s="112">
        <v>42749</v>
      </c>
    </row>
    <row r="1398" spans="1:4">
      <c r="A1398" s="110" t="s">
        <v>651</v>
      </c>
      <c r="B1398" s="110" t="s">
        <v>298</v>
      </c>
      <c r="C1398" s="110">
        <v>2.1890000000000001</v>
      </c>
      <c r="D1398" s="112">
        <v>42749</v>
      </c>
    </row>
    <row r="1399" spans="1:4">
      <c r="A1399" s="110" t="s">
        <v>650</v>
      </c>
      <c r="B1399" s="110" t="s">
        <v>298</v>
      </c>
      <c r="C1399" s="110">
        <v>2.2690000000000001</v>
      </c>
      <c r="D1399" s="112">
        <v>42749</v>
      </c>
    </row>
    <row r="1400" spans="1:4">
      <c r="A1400" s="110" t="s">
        <v>649</v>
      </c>
      <c r="B1400" s="110" t="s">
        <v>298</v>
      </c>
      <c r="C1400" s="110">
        <v>2.2519999999999998</v>
      </c>
      <c r="D1400" s="112">
        <v>42749</v>
      </c>
    </row>
    <row r="1401" spans="1:4">
      <c r="A1401" s="110" t="s">
        <v>648</v>
      </c>
      <c r="B1401" s="110" t="s">
        <v>298</v>
      </c>
      <c r="C1401" s="110">
        <v>2.2410000000000001</v>
      </c>
      <c r="D1401" s="112">
        <v>42749</v>
      </c>
    </row>
    <row r="1402" spans="1:4">
      <c r="A1402" s="110" t="s">
        <v>647</v>
      </c>
      <c r="B1402" s="110" t="s">
        <v>298</v>
      </c>
      <c r="C1402" s="110">
        <v>2.2130000000000001</v>
      </c>
      <c r="D1402" s="112">
        <v>42749</v>
      </c>
    </row>
    <row r="1403" spans="1:4">
      <c r="A1403" s="110" t="s">
        <v>646</v>
      </c>
      <c r="B1403" s="110" t="s">
        <v>298</v>
      </c>
      <c r="C1403" s="110">
        <v>2.25</v>
      </c>
      <c r="D1403" s="112">
        <v>42749</v>
      </c>
    </row>
    <row r="1404" spans="1:4">
      <c r="A1404" s="110" t="s">
        <v>645</v>
      </c>
      <c r="B1404" s="110" t="s">
        <v>298</v>
      </c>
      <c r="C1404" s="110">
        <v>2.2389999999999999</v>
      </c>
      <c r="D1404" s="112">
        <v>42749</v>
      </c>
    </row>
    <row r="1405" spans="1:4">
      <c r="A1405" s="110" t="s">
        <v>644</v>
      </c>
      <c r="B1405" s="110" t="s">
        <v>298</v>
      </c>
      <c r="C1405" s="110">
        <v>2.2240000000000002</v>
      </c>
      <c r="D1405" s="112">
        <v>42749</v>
      </c>
    </row>
    <row r="1406" spans="1:4">
      <c r="A1406" s="110" t="s">
        <v>643</v>
      </c>
      <c r="B1406" s="110" t="s">
        <v>298</v>
      </c>
      <c r="C1406" s="110">
        <v>2.1520000000000001</v>
      </c>
      <c r="D1406" s="112">
        <v>42749</v>
      </c>
    </row>
    <row r="1407" spans="1:4">
      <c r="A1407" s="110" t="s">
        <v>642</v>
      </c>
      <c r="B1407" s="110" t="s">
        <v>298</v>
      </c>
      <c r="C1407" s="110">
        <v>2.194</v>
      </c>
      <c r="D1407" s="112">
        <v>42749</v>
      </c>
    </row>
    <row r="1408" spans="1:4">
      <c r="A1408" s="110" t="s">
        <v>641</v>
      </c>
      <c r="B1408" s="110" t="s">
        <v>298</v>
      </c>
      <c r="C1408" s="110">
        <v>2.2069999999999999</v>
      </c>
      <c r="D1408" s="112">
        <v>42749</v>
      </c>
    </row>
    <row r="1409" spans="1:4">
      <c r="A1409" s="110" t="s">
        <v>640</v>
      </c>
      <c r="B1409" s="110" t="s">
        <v>298</v>
      </c>
      <c r="C1409" s="110">
        <v>2.1379999999999999</v>
      </c>
      <c r="D1409" s="112">
        <v>42749</v>
      </c>
    </row>
    <row r="1410" spans="1:4">
      <c r="A1410" s="110" t="s">
        <v>639</v>
      </c>
      <c r="B1410" s="110" t="s">
        <v>298</v>
      </c>
      <c r="C1410" s="110">
        <v>2.1840000000000002</v>
      </c>
      <c r="D1410" s="112">
        <v>42749</v>
      </c>
    </row>
    <row r="1411" spans="1:4">
      <c r="A1411" s="110" t="s">
        <v>638</v>
      </c>
      <c r="B1411" s="110" t="s">
        <v>298</v>
      </c>
      <c r="C1411" s="110">
        <v>2.1709999999999998</v>
      </c>
      <c r="D1411" s="112">
        <v>42749</v>
      </c>
    </row>
    <row r="1412" spans="1:4">
      <c r="A1412" s="110" t="s">
        <v>637</v>
      </c>
      <c r="B1412" s="110" t="s">
        <v>298</v>
      </c>
      <c r="C1412" s="110">
        <v>2.1629999999999998</v>
      </c>
      <c r="D1412" s="112">
        <v>42749</v>
      </c>
    </row>
    <row r="1413" spans="1:4">
      <c r="A1413" s="110" t="s">
        <v>636</v>
      </c>
      <c r="B1413" s="110" t="s">
        <v>298</v>
      </c>
      <c r="C1413" s="110">
        <v>2.198</v>
      </c>
      <c r="D1413" s="112">
        <v>42749</v>
      </c>
    </row>
    <row r="1414" spans="1:4">
      <c r="A1414" s="110" t="s">
        <v>635</v>
      </c>
      <c r="B1414" s="110" t="s">
        <v>298</v>
      </c>
      <c r="C1414" s="110">
        <v>2.1579999999999999</v>
      </c>
      <c r="D1414" s="112">
        <v>42749</v>
      </c>
    </row>
    <row r="1415" spans="1:4">
      <c r="A1415" s="110" t="s">
        <v>634</v>
      </c>
      <c r="B1415" s="110" t="s">
        <v>298</v>
      </c>
      <c r="C1415" s="110">
        <v>2.1920000000000002</v>
      </c>
      <c r="D1415" s="112">
        <v>42749</v>
      </c>
    </row>
    <row r="1416" spans="1:4">
      <c r="A1416" s="110" t="s">
        <v>633</v>
      </c>
      <c r="B1416" s="110" t="s">
        <v>298</v>
      </c>
      <c r="C1416" s="110">
        <v>2.169</v>
      </c>
      <c r="D1416" s="112">
        <v>42749</v>
      </c>
    </row>
    <row r="1417" spans="1:4">
      <c r="A1417" s="110" t="s">
        <v>632</v>
      </c>
      <c r="B1417" s="110" t="s">
        <v>298</v>
      </c>
      <c r="C1417" s="110">
        <v>2.161</v>
      </c>
      <c r="D1417" s="112">
        <v>42749</v>
      </c>
    </row>
    <row r="1418" spans="1:4">
      <c r="A1418" s="110" t="s">
        <v>631</v>
      </c>
      <c r="B1418" s="110" t="s">
        <v>298</v>
      </c>
      <c r="C1418" s="110">
        <v>2.2349999999999999</v>
      </c>
      <c r="D1418" s="112">
        <v>42749</v>
      </c>
    </row>
    <row r="1419" spans="1:4">
      <c r="A1419" s="110" t="s">
        <v>630</v>
      </c>
      <c r="B1419" s="110" t="s">
        <v>298</v>
      </c>
      <c r="C1419" s="110">
        <v>2.1779999999999999</v>
      </c>
      <c r="D1419" s="112">
        <v>42749</v>
      </c>
    </row>
    <row r="1420" spans="1:4">
      <c r="A1420" s="110" t="s">
        <v>629</v>
      </c>
      <c r="B1420" s="110" t="s">
        <v>298</v>
      </c>
      <c r="C1420" s="110">
        <v>2.1509999999999998</v>
      </c>
      <c r="D1420" s="112">
        <v>42749</v>
      </c>
    </row>
    <row r="1421" spans="1:4">
      <c r="A1421" s="110" t="s">
        <v>628</v>
      </c>
      <c r="B1421" s="110" t="s">
        <v>298</v>
      </c>
      <c r="C1421" s="110">
        <v>2.1389999999999998</v>
      </c>
      <c r="D1421" s="112">
        <v>42749</v>
      </c>
    </row>
    <row r="1422" spans="1:4">
      <c r="A1422" s="110" t="s">
        <v>627</v>
      </c>
      <c r="B1422" s="110" t="s">
        <v>298</v>
      </c>
      <c r="C1422" s="110">
        <v>2.1059999999999999</v>
      </c>
      <c r="D1422" s="112">
        <v>42749</v>
      </c>
    </row>
    <row r="1423" spans="1:4">
      <c r="A1423" s="110" t="s">
        <v>626</v>
      </c>
      <c r="B1423" s="110" t="s">
        <v>298</v>
      </c>
      <c r="C1423" s="110">
        <v>2.2050000000000001</v>
      </c>
      <c r="D1423" s="112">
        <v>42749</v>
      </c>
    </row>
    <row r="1424" spans="1:4">
      <c r="A1424" s="110" t="s">
        <v>625</v>
      </c>
      <c r="B1424" s="110" t="s">
        <v>298</v>
      </c>
      <c r="C1424" s="110">
        <v>2.141</v>
      </c>
      <c r="D1424" s="112">
        <v>42749</v>
      </c>
    </row>
    <row r="1425" spans="1:4">
      <c r="A1425" s="110" t="s">
        <v>624</v>
      </c>
      <c r="B1425" s="110" t="s">
        <v>298</v>
      </c>
      <c r="C1425" s="110">
        <v>2.222</v>
      </c>
      <c r="D1425" s="112">
        <v>42749</v>
      </c>
    </row>
    <row r="1426" spans="1:4">
      <c r="A1426" s="110" t="s">
        <v>623</v>
      </c>
      <c r="B1426" s="110" t="s">
        <v>298</v>
      </c>
      <c r="C1426" s="110">
        <v>2.198</v>
      </c>
      <c r="D1426" s="112">
        <v>42749</v>
      </c>
    </row>
    <row r="1427" spans="1:4">
      <c r="A1427" s="110" t="s">
        <v>622</v>
      </c>
      <c r="B1427" s="110" t="s">
        <v>298</v>
      </c>
      <c r="C1427" s="110">
        <v>2.21</v>
      </c>
      <c r="D1427" s="112">
        <v>42749</v>
      </c>
    </row>
    <row r="1428" spans="1:4">
      <c r="A1428" s="110" t="s">
        <v>621</v>
      </c>
      <c r="B1428" s="110" t="s">
        <v>298</v>
      </c>
      <c r="C1428" s="110">
        <v>2.2210000000000001</v>
      </c>
      <c r="D1428" s="112">
        <v>42749</v>
      </c>
    </row>
    <row r="1429" spans="1:4">
      <c r="A1429" s="110" t="s">
        <v>620</v>
      </c>
      <c r="B1429" s="110" t="s">
        <v>298</v>
      </c>
      <c r="C1429" s="110">
        <v>2.1440000000000001</v>
      </c>
      <c r="D1429" s="112">
        <v>42749</v>
      </c>
    </row>
    <row r="1430" spans="1:4">
      <c r="A1430" s="110" t="s">
        <v>619</v>
      </c>
      <c r="B1430" s="110" t="s">
        <v>298</v>
      </c>
      <c r="C1430" s="110">
        <v>2.1819999999999999</v>
      </c>
      <c r="D1430" s="112">
        <v>42749</v>
      </c>
    </row>
    <row r="1431" spans="1:4">
      <c r="A1431" s="110" t="s">
        <v>618</v>
      </c>
      <c r="B1431" s="110" t="s">
        <v>298</v>
      </c>
      <c r="C1431" s="110">
        <v>2.1179999999999999</v>
      </c>
      <c r="D1431" s="112">
        <v>42749</v>
      </c>
    </row>
    <row r="1432" spans="1:4">
      <c r="A1432" s="110" t="s">
        <v>617</v>
      </c>
      <c r="B1432" s="110" t="s">
        <v>298</v>
      </c>
      <c r="C1432" s="110">
        <v>2.1080000000000001</v>
      </c>
      <c r="D1432" s="112">
        <v>42749</v>
      </c>
    </row>
    <row r="1433" spans="1:4">
      <c r="A1433" s="110" t="s">
        <v>616</v>
      </c>
      <c r="B1433" s="110" t="s">
        <v>298</v>
      </c>
      <c r="C1433" s="110">
        <v>2.1469999999999998</v>
      </c>
      <c r="D1433" s="112">
        <v>42749</v>
      </c>
    </row>
    <row r="1434" spans="1:4">
      <c r="A1434" s="110" t="s">
        <v>615</v>
      </c>
      <c r="B1434" s="110" t="s">
        <v>298</v>
      </c>
      <c r="C1434" s="110">
        <v>2.0960000000000001</v>
      </c>
      <c r="D1434" s="112">
        <v>42749</v>
      </c>
    </row>
    <row r="1435" spans="1:4">
      <c r="A1435" s="110" t="s">
        <v>614</v>
      </c>
      <c r="B1435" s="110" t="s">
        <v>298</v>
      </c>
      <c r="C1435" s="110">
        <v>2.1859999999999999</v>
      </c>
      <c r="D1435" s="112">
        <v>42749</v>
      </c>
    </row>
    <row r="1436" spans="1:4">
      <c r="A1436" s="110" t="s">
        <v>613</v>
      </c>
      <c r="B1436" s="110" t="s">
        <v>298</v>
      </c>
      <c r="C1436" s="110">
        <v>2.1019999999999999</v>
      </c>
      <c r="D1436" s="112">
        <v>42749</v>
      </c>
    </row>
    <row r="1437" spans="1:4">
      <c r="A1437" s="110" t="s">
        <v>612</v>
      </c>
      <c r="B1437" s="110" t="s">
        <v>298</v>
      </c>
      <c r="C1437" s="110">
        <v>2.157</v>
      </c>
      <c r="D1437" s="112">
        <v>42749</v>
      </c>
    </row>
    <row r="1438" spans="1:4">
      <c r="A1438" s="110" t="s">
        <v>611</v>
      </c>
      <c r="B1438" s="110" t="s">
        <v>298</v>
      </c>
      <c r="C1438" s="110">
        <v>2.1659999999999999</v>
      </c>
      <c r="D1438" s="112">
        <v>42749</v>
      </c>
    </row>
    <row r="1439" spans="1:4">
      <c r="A1439" s="110" t="s">
        <v>610</v>
      </c>
      <c r="B1439" s="110" t="s">
        <v>298</v>
      </c>
      <c r="C1439" s="110">
        <v>2.101</v>
      </c>
      <c r="D1439" s="112">
        <v>42749</v>
      </c>
    </row>
    <row r="1440" spans="1:4">
      <c r="A1440" s="110" t="s">
        <v>609</v>
      </c>
      <c r="B1440" s="110" t="s">
        <v>298</v>
      </c>
      <c r="C1440" s="110">
        <v>2.19</v>
      </c>
      <c r="D1440" s="112">
        <v>42749</v>
      </c>
    </row>
    <row r="1441" spans="1:4">
      <c r="A1441" s="110" t="s">
        <v>608</v>
      </c>
      <c r="B1441" s="110" t="s">
        <v>298</v>
      </c>
      <c r="C1441" s="110">
        <v>2.1970000000000001</v>
      </c>
      <c r="D1441" s="112">
        <v>42749</v>
      </c>
    </row>
    <row r="1442" spans="1:4">
      <c r="A1442" s="110" t="s">
        <v>607</v>
      </c>
      <c r="B1442" s="110" t="s">
        <v>298</v>
      </c>
      <c r="C1442" s="110">
        <v>2.17</v>
      </c>
      <c r="D1442" s="112">
        <v>42749</v>
      </c>
    </row>
    <row r="1443" spans="1:4">
      <c r="A1443" s="110" t="s">
        <v>606</v>
      </c>
      <c r="B1443" s="110" t="s">
        <v>298</v>
      </c>
      <c r="C1443" s="110">
        <v>2.1259999999999999</v>
      </c>
      <c r="D1443" s="112">
        <v>42749</v>
      </c>
    </row>
    <row r="1444" spans="1:4">
      <c r="A1444" s="110" t="s">
        <v>605</v>
      </c>
      <c r="B1444" s="110" t="s">
        <v>298</v>
      </c>
      <c r="C1444" s="110">
        <v>2.1970000000000001</v>
      </c>
      <c r="D1444" s="112">
        <v>42749</v>
      </c>
    </row>
    <row r="1445" spans="1:4">
      <c r="A1445" s="110" t="s">
        <v>604</v>
      </c>
      <c r="B1445" s="110" t="s">
        <v>298</v>
      </c>
      <c r="C1445" s="110">
        <v>2.145</v>
      </c>
      <c r="D1445" s="112">
        <v>42749</v>
      </c>
    </row>
    <row r="1446" spans="1:4">
      <c r="A1446" s="110" t="s">
        <v>603</v>
      </c>
      <c r="B1446" s="110" t="s">
        <v>298</v>
      </c>
      <c r="C1446" s="110">
        <v>2.2000000000000002</v>
      </c>
      <c r="D1446" s="112">
        <v>42749</v>
      </c>
    </row>
    <row r="1447" spans="1:4">
      <c r="A1447" s="110" t="s">
        <v>602</v>
      </c>
      <c r="B1447" s="110" t="s">
        <v>298</v>
      </c>
      <c r="C1447" s="110">
        <v>2.16</v>
      </c>
      <c r="D1447" s="112">
        <v>42749</v>
      </c>
    </row>
    <row r="1448" spans="1:4">
      <c r="A1448" s="110" t="s">
        <v>601</v>
      </c>
      <c r="B1448" s="110" t="s">
        <v>298</v>
      </c>
      <c r="C1448" s="110">
        <v>2.194</v>
      </c>
      <c r="D1448" s="112">
        <v>42749</v>
      </c>
    </row>
    <row r="1449" spans="1:4">
      <c r="A1449" s="110" t="s">
        <v>600</v>
      </c>
      <c r="B1449" s="110" t="s">
        <v>298</v>
      </c>
      <c r="C1449" s="110">
        <v>2.226</v>
      </c>
      <c r="D1449" s="112">
        <v>42749</v>
      </c>
    </row>
    <row r="1450" spans="1:4">
      <c r="A1450" s="110" t="s">
        <v>599</v>
      </c>
      <c r="B1450" s="110" t="s">
        <v>298</v>
      </c>
      <c r="C1450" s="110">
        <v>2.2010000000000001</v>
      </c>
      <c r="D1450" s="112">
        <v>42749</v>
      </c>
    </row>
    <row r="1451" spans="1:4">
      <c r="A1451" s="110" t="s">
        <v>598</v>
      </c>
      <c r="B1451" s="110" t="s">
        <v>298</v>
      </c>
      <c r="C1451" s="110">
        <v>2.2730000000000001</v>
      </c>
      <c r="D1451" s="112">
        <v>42749</v>
      </c>
    </row>
    <row r="1452" spans="1:4">
      <c r="A1452" s="110" t="s">
        <v>597</v>
      </c>
      <c r="B1452" s="110" t="s">
        <v>298</v>
      </c>
      <c r="C1452" s="110">
        <v>2.2109999999999999</v>
      </c>
      <c r="D1452" s="112">
        <v>42749</v>
      </c>
    </row>
    <row r="1453" spans="1:4">
      <c r="A1453" s="110" t="s">
        <v>596</v>
      </c>
      <c r="B1453" s="110" t="s">
        <v>298</v>
      </c>
      <c r="C1453" s="110">
        <v>2.2280000000000002</v>
      </c>
      <c r="D1453" s="112">
        <v>42749</v>
      </c>
    </row>
    <row r="1454" spans="1:4">
      <c r="A1454" s="110" t="s">
        <v>595</v>
      </c>
      <c r="B1454" s="110" t="s">
        <v>298</v>
      </c>
      <c r="C1454" s="110">
        <v>2.2250000000000001</v>
      </c>
      <c r="D1454" s="112">
        <v>42749</v>
      </c>
    </row>
    <row r="1455" spans="1:4">
      <c r="A1455" s="110" t="s">
        <v>594</v>
      </c>
      <c r="B1455" s="110" t="s">
        <v>298</v>
      </c>
      <c r="C1455" s="110">
        <v>2.194</v>
      </c>
      <c r="D1455" s="112">
        <v>42749</v>
      </c>
    </row>
    <row r="1456" spans="1:4">
      <c r="A1456" s="110" t="s">
        <v>593</v>
      </c>
      <c r="B1456" s="110" t="s">
        <v>298</v>
      </c>
      <c r="C1456" s="110">
        <v>2.1920000000000002</v>
      </c>
      <c r="D1456" s="112">
        <v>42749</v>
      </c>
    </row>
    <row r="1457" spans="1:4">
      <c r="A1457" s="110" t="s">
        <v>592</v>
      </c>
      <c r="B1457" s="110" t="s">
        <v>298</v>
      </c>
      <c r="C1457" s="110">
        <v>2.2320000000000002</v>
      </c>
      <c r="D1457" s="112">
        <v>42749</v>
      </c>
    </row>
    <row r="1458" spans="1:4">
      <c r="A1458" s="110" t="s">
        <v>591</v>
      </c>
      <c r="B1458" s="110" t="s">
        <v>298</v>
      </c>
      <c r="C1458" s="110">
        <v>2.177</v>
      </c>
      <c r="D1458" s="112">
        <v>42749</v>
      </c>
    </row>
    <row r="1459" spans="1:4">
      <c r="A1459" s="110" t="s">
        <v>590</v>
      </c>
      <c r="B1459" s="110" t="s">
        <v>298</v>
      </c>
      <c r="C1459" s="110">
        <v>2.1739999999999999</v>
      </c>
      <c r="D1459" s="112">
        <v>42749</v>
      </c>
    </row>
    <row r="1460" spans="1:4">
      <c r="A1460" s="110" t="s">
        <v>589</v>
      </c>
      <c r="B1460" s="110" t="s">
        <v>298</v>
      </c>
      <c r="C1460" s="110">
        <v>2.222</v>
      </c>
      <c r="D1460" s="112">
        <v>42749</v>
      </c>
    </row>
    <row r="1461" spans="1:4">
      <c r="A1461" s="110" t="s">
        <v>588</v>
      </c>
      <c r="B1461" s="110" t="s">
        <v>298</v>
      </c>
      <c r="C1461" s="110">
        <v>2.1949999999999998</v>
      </c>
      <c r="D1461" s="112">
        <v>42749</v>
      </c>
    </row>
    <row r="1462" spans="1:4">
      <c r="A1462" s="110" t="s">
        <v>587</v>
      </c>
      <c r="B1462" s="110" t="s">
        <v>298</v>
      </c>
      <c r="C1462" s="110">
        <v>2.1779999999999999</v>
      </c>
      <c r="D1462" s="112">
        <v>42749</v>
      </c>
    </row>
    <row r="1463" spans="1:4">
      <c r="A1463" s="110" t="s">
        <v>586</v>
      </c>
      <c r="B1463" s="110" t="s">
        <v>298</v>
      </c>
      <c r="C1463" s="110">
        <v>2.1789999999999998</v>
      </c>
      <c r="D1463" s="112">
        <v>42749</v>
      </c>
    </row>
    <row r="1464" spans="1:4">
      <c r="A1464" s="110" t="s">
        <v>585</v>
      </c>
      <c r="B1464" s="110" t="s">
        <v>298</v>
      </c>
      <c r="C1464" s="110">
        <v>2.0830000000000002</v>
      </c>
      <c r="D1464" s="112">
        <v>42749</v>
      </c>
    </row>
    <row r="1465" spans="1:4">
      <c r="A1465" s="110" t="s">
        <v>584</v>
      </c>
      <c r="B1465" s="110" t="s">
        <v>298</v>
      </c>
      <c r="C1465" s="110">
        <v>2.2229999999999999</v>
      </c>
      <c r="D1465" s="112">
        <v>42749</v>
      </c>
    </row>
    <row r="1466" spans="1:4">
      <c r="A1466" s="110" t="s">
        <v>583</v>
      </c>
      <c r="B1466" s="110" t="s">
        <v>298</v>
      </c>
      <c r="C1466" s="110">
        <v>2.1760000000000002</v>
      </c>
      <c r="D1466" s="112">
        <v>42749</v>
      </c>
    </row>
    <row r="1467" spans="1:4">
      <c r="A1467" s="110" t="s">
        <v>582</v>
      </c>
      <c r="B1467" s="110" t="s">
        <v>298</v>
      </c>
      <c r="C1467" s="110">
        <v>2.161</v>
      </c>
      <c r="D1467" s="112">
        <v>42749</v>
      </c>
    </row>
    <row r="1468" spans="1:4">
      <c r="A1468" s="110" t="s">
        <v>581</v>
      </c>
      <c r="B1468" s="110" t="s">
        <v>298</v>
      </c>
      <c r="C1468" s="110">
        <v>2.157</v>
      </c>
      <c r="D1468" s="112">
        <v>42749</v>
      </c>
    </row>
    <row r="1469" spans="1:4">
      <c r="A1469" s="110" t="s">
        <v>580</v>
      </c>
      <c r="B1469" s="110" t="s">
        <v>298</v>
      </c>
      <c r="C1469" s="110">
        <v>2.0760000000000001</v>
      </c>
      <c r="D1469" s="112">
        <v>42749</v>
      </c>
    </row>
    <row r="1470" spans="1:4">
      <c r="A1470" s="110" t="s">
        <v>579</v>
      </c>
      <c r="B1470" s="110" t="s">
        <v>298</v>
      </c>
      <c r="C1470" s="110">
        <v>2.2810000000000001</v>
      </c>
      <c r="D1470" s="112">
        <v>42749</v>
      </c>
    </row>
    <row r="1471" spans="1:4">
      <c r="A1471" s="110" t="s">
        <v>578</v>
      </c>
      <c r="B1471" s="110" t="s">
        <v>298</v>
      </c>
      <c r="C1471" s="110">
        <v>2.1150000000000002</v>
      </c>
      <c r="D1471" s="112">
        <v>42749</v>
      </c>
    </row>
    <row r="1472" spans="1:4">
      <c r="A1472" s="110" t="s">
        <v>577</v>
      </c>
      <c r="B1472" s="110" t="s">
        <v>298</v>
      </c>
      <c r="C1472" s="110">
        <v>2.145</v>
      </c>
      <c r="D1472" s="112">
        <v>42749</v>
      </c>
    </row>
    <row r="1473" spans="1:4">
      <c r="A1473" s="110" t="s">
        <v>576</v>
      </c>
      <c r="B1473" s="110" t="s">
        <v>298</v>
      </c>
      <c r="C1473" s="110">
        <v>2.0649999999999999</v>
      </c>
      <c r="D1473" s="112">
        <v>42749</v>
      </c>
    </row>
    <row r="1474" spans="1:4">
      <c r="A1474" s="110" t="s">
        <v>575</v>
      </c>
      <c r="B1474" s="110" t="s">
        <v>298</v>
      </c>
      <c r="C1474" s="110">
        <v>2.117</v>
      </c>
      <c r="D1474" s="112">
        <v>42749</v>
      </c>
    </row>
    <row r="1475" spans="1:4">
      <c r="A1475" s="110" t="s">
        <v>574</v>
      </c>
      <c r="B1475" s="110" t="s">
        <v>298</v>
      </c>
      <c r="C1475" s="110">
        <v>2.097</v>
      </c>
      <c r="D1475" s="112">
        <v>42749</v>
      </c>
    </row>
    <row r="1476" spans="1:4">
      <c r="A1476" s="110" t="s">
        <v>573</v>
      </c>
      <c r="B1476" s="110" t="s">
        <v>298</v>
      </c>
      <c r="C1476" s="110">
        <v>2.04</v>
      </c>
      <c r="D1476" s="112">
        <v>42749</v>
      </c>
    </row>
    <row r="1477" spans="1:4">
      <c r="A1477" s="110" t="s">
        <v>572</v>
      </c>
      <c r="B1477" s="110" t="s">
        <v>298</v>
      </c>
      <c r="C1477" s="110">
        <v>2.0960000000000001</v>
      </c>
      <c r="D1477" s="112">
        <v>42749</v>
      </c>
    </row>
    <row r="1478" spans="1:4">
      <c r="A1478" s="110" t="s">
        <v>571</v>
      </c>
      <c r="B1478" s="110" t="s">
        <v>298</v>
      </c>
      <c r="C1478" s="110">
        <v>2.0910000000000002</v>
      </c>
      <c r="D1478" s="112">
        <v>42749</v>
      </c>
    </row>
    <row r="1479" spans="1:4">
      <c r="A1479" s="110" t="s">
        <v>570</v>
      </c>
      <c r="B1479" s="110" t="s">
        <v>298</v>
      </c>
      <c r="C1479" s="110">
        <v>2.117</v>
      </c>
      <c r="D1479" s="112">
        <v>42749</v>
      </c>
    </row>
    <row r="1480" spans="1:4">
      <c r="A1480" s="110" t="s">
        <v>569</v>
      </c>
      <c r="B1480" s="110" t="s">
        <v>298</v>
      </c>
      <c r="C1480" s="110">
        <v>2.0819999999999999</v>
      </c>
      <c r="D1480" s="112">
        <v>42749</v>
      </c>
    </row>
    <row r="1481" spans="1:4">
      <c r="A1481" s="110" t="s">
        <v>568</v>
      </c>
      <c r="B1481" s="110" t="s">
        <v>298</v>
      </c>
      <c r="C1481" s="110">
        <v>2.097</v>
      </c>
      <c r="D1481" s="112">
        <v>42749</v>
      </c>
    </row>
    <row r="1482" spans="1:4">
      <c r="A1482" s="110" t="s">
        <v>567</v>
      </c>
      <c r="B1482" s="110" t="s">
        <v>298</v>
      </c>
      <c r="C1482" s="110">
        <v>2.16</v>
      </c>
      <c r="D1482" s="112">
        <v>42749</v>
      </c>
    </row>
    <row r="1483" spans="1:4">
      <c r="A1483" s="110" t="s">
        <v>566</v>
      </c>
      <c r="B1483" s="110" t="s">
        <v>298</v>
      </c>
      <c r="C1483" s="110">
        <v>2.0990000000000002</v>
      </c>
      <c r="D1483" s="112">
        <v>42749</v>
      </c>
    </row>
    <row r="1484" spans="1:4">
      <c r="A1484" s="110" t="s">
        <v>565</v>
      </c>
      <c r="B1484" s="110" t="s">
        <v>298</v>
      </c>
      <c r="C1484" s="110">
        <v>2.109</v>
      </c>
      <c r="D1484" s="112">
        <v>42749</v>
      </c>
    </row>
    <row r="1485" spans="1:4">
      <c r="A1485" s="110" t="s">
        <v>564</v>
      </c>
      <c r="B1485" s="110" t="s">
        <v>298</v>
      </c>
      <c r="C1485" s="110">
        <v>2.0859999999999999</v>
      </c>
      <c r="D1485" s="112">
        <v>42749</v>
      </c>
    </row>
    <row r="1486" spans="1:4">
      <c r="A1486" s="110" t="s">
        <v>563</v>
      </c>
      <c r="B1486" s="110" t="s">
        <v>298</v>
      </c>
      <c r="C1486" s="110">
        <v>2.1259999999999999</v>
      </c>
      <c r="D1486" s="112">
        <v>42749</v>
      </c>
    </row>
    <row r="1487" spans="1:4">
      <c r="A1487" s="110" t="s">
        <v>562</v>
      </c>
      <c r="B1487" s="110" t="s">
        <v>298</v>
      </c>
      <c r="C1487" s="110">
        <v>2.1349999999999998</v>
      </c>
      <c r="D1487" s="112">
        <v>42749</v>
      </c>
    </row>
    <row r="1488" spans="1:4">
      <c r="A1488" s="110" t="s">
        <v>561</v>
      </c>
      <c r="B1488" s="110" t="s">
        <v>298</v>
      </c>
      <c r="C1488" s="110">
        <v>2.0870000000000002</v>
      </c>
      <c r="D1488" s="112">
        <v>42749</v>
      </c>
    </row>
    <row r="1489" spans="1:4">
      <c r="A1489" s="110" t="s">
        <v>560</v>
      </c>
      <c r="B1489" s="110" t="s">
        <v>298</v>
      </c>
      <c r="C1489" s="110">
        <v>2.069</v>
      </c>
      <c r="D1489" s="112">
        <v>42749</v>
      </c>
    </row>
    <row r="1490" spans="1:4">
      <c r="A1490" s="110" t="s">
        <v>559</v>
      </c>
      <c r="B1490" s="110" t="s">
        <v>298</v>
      </c>
      <c r="C1490" s="110">
        <v>2.2360000000000002</v>
      </c>
      <c r="D1490" s="112">
        <v>42749</v>
      </c>
    </row>
    <row r="1491" spans="1:4">
      <c r="A1491" s="110" t="s">
        <v>558</v>
      </c>
      <c r="B1491" s="110" t="s">
        <v>298</v>
      </c>
      <c r="C1491" s="110">
        <v>2.2549999999999999</v>
      </c>
      <c r="D1491" s="112">
        <v>42749</v>
      </c>
    </row>
    <row r="1492" spans="1:4">
      <c r="A1492" s="110" t="s">
        <v>557</v>
      </c>
      <c r="B1492" s="110" t="s">
        <v>298</v>
      </c>
      <c r="C1492" s="110">
        <v>2.2170000000000001</v>
      </c>
      <c r="D1492" s="112">
        <v>42749</v>
      </c>
    </row>
    <row r="1493" spans="1:4">
      <c r="A1493" s="110" t="s">
        <v>556</v>
      </c>
      <c r="B1493" s="110" t="s">
        <v>298</v>
      </c>
      <c r="C1493" s="110">
        <v>2.17</v>
      </c>
      <c r="D1493" s="112">
        <v>42749</v>
      </c>
    </row>
    <row r="1494" spans="1:4">
      <c r="A1494" s="110" t="s">
        <v>555</v>
      </c>
      <c r="B1494" s="110" t="s">
        <v>298</v>
      </c>
      <c r="C1494" s="110">
        <v>2.1520000000000001</v>
      </c>
      <c r="D1494" s="112">
        <v>42749</v>
      </c>
    </row>
    <row r="1495" spans="1:4">
      <c r="A1495" s="110" t="s">
        <v>554</v>
      </c>
      <c r="B1495" s="110" t="s">
        <v>298</v>
      </c>
      <c r="C1495" s="110">
        <v>2.2250000000000001</v>
      </c>
      <c r="D1495" s="112">
        <v>42749</v>
      </c>
    </row>
    <row r="1496" spans="1:4">
      <c r="A1496" s="110" t="s">
        <v>553</v>
      </c>
      <c r="B1496" s="110" t="s">
        <v>298</v>
      </c>
      <c r="C1496" s="110">
        <v>2.1360000000000001</v>
      </c>
      <c r="D1496" s="112">
        <v>42749</v>
      </c>
    </row>
    <row r="1497" spans="1:4">
      <c r="A1497" s="110" t="s">
        <v>552</v>
      </c>
      <c r="B1497" s="110" t="s">
        <v>298</v>
      </c>
      <c r="C1497" s="110">
        <v>2.157</v>
      </c>
      <c r="D1497" s="112">
        <v>42749</v>
      </c>
    </row>
    <row r="1498" spans="1:4">
      <c r="A1498" s="110" t="s">
        <v>551</v>
      </c>
      <c r="B1498" s="110" t="s">
        <v>298</v>
      </c>
      <c r="C1498" s="110">
        <v>2.218</v>
      </c>
      <c r="D1498" s="112">
        <v>42749</v>
      </c>
    </row>
    <row r="1499" spans="1:4">
      <c r="A1499" s="110" t="s">
        <v>550</v>
      </c>
      <c r="B1499" s="110" t="s">
        <v>298</v>
      </c>
      <c r="C1499" s="110">
        <v>2.2599999999999998</v>
      </c>
      <c r="D1499" s="112">
        <v>42749</v>
      </c>
    </row>
    <row r="1500" spans="1:4">
      <c r="A1500" s="110" t="s">
        <v>549</v>
      </c>
      <c r="B1500" s="110" t="s">
        <v>298</v>
      </c>
      <c r="C1500" s="110">
        <v>2.2549999999999999</v>
      </c>
      <c r="D1500" s="112">
        <v>42749</v>
      </c>
    </row>
    <row r="1501" spans="1:4">
      <c r="A1501" s="110" t="s">
        <v>548</v>
      </c>
      <c r="B1501" s="110" t="s">
        <v>298</v>
      </c>
      <c r="C1501" s="110">
        <v>2.2090000000000001</v>
      </c>
      <c r="D1501" s="112">
        <v>42749</v>
      </c>
    </row>
    <row r="1502" spans="1:4">
      <c r="A1502" s="110" t="s">
        <v>547</v>
      </c>
      <c r="B1502" s="110" t="s">
        <v>298</v>
      </c>
      <c r="C1502" s="110">
        <v>2.2400000000000002</v>
      </c>
      <c r="D1502" s="112">
        <v>42749</v>
      </c>
    </row>
    <row r="1503" spans="1:4">
      <c r="A1503" s="110" t="s">
        <v>546</v>
      </c>
      <c r="B1503" s="110" t="s">
        <v>298</v>
      </c>
      <c r="C1503" s="110">
        <v>2.1819999999999999</v>
      </c>
      <c r="D1503" s="112">
        <v>42749</v>
      </c>
    </row>
    <row r="1504" spans="1:4">
      <c r="A1504" s="110" t="s">
        <v>545</v>
      </c>
      <c r="B1504" s="110" t="s">
        <v>298</v>
      </c>
      <c r="C1504" s="110">
        <v>2.1749999999999998</v>
      </c>
      <c r="D1504" s="112">
        <v>42749</v>
      </c>
    </row>
    <row r="1505" spans="1:5">
      <c r="A1505" s="110" t="s">
        <v>544</v>
      </c>
      <c r="B1505" s="110" t="s">
        <v>298</v>
      </c>
      <c r="C1505" s="110">
        <v>2.165</v>
      </c>
      <c r="D1505" s="112">
        <v>42749</v>
      </c>
    </row>
    <row r="1506" spans="1:5">
      <c r="A1506" s="110" t="s">
        <v>543</v>
      </c>
      <c r="B1506" s="110" t="s">
        <v>298</v>
      </c>
      <c r="C1506" s="110">
        <v>2.206</v>
      </c>
      <c r="D1506" s="112">
        <v>42749</v>
      </c>
    </row>
    <row r="1507" spans="1:5">
      <c r="A1507" s="110" t="s">
        <v>542</v>
      </c>
      <c r="B1507" s="110" t="s">
        <v>298</v>
      </c>
      <c r="C1507" s="110">
        <v>2.1760000000000002</v>
      </c>
      <c r="D1507" s="112">
        <v>42749</v>
      </c>
    </row>
    <row r="1508" spans="1:5">
      <c r="A1508" s="110" t="s">
        <v>541</v>
      </c>
      <c r="B1508" s="110" t="s">
        <v>298</v>
      </c>
      <c r="C1508" s="110">
        <v>2.2440000000000002</v>
      </c>
      <c r="D1508" s="112">
        <v>42749</v>
      </c>
    </row>
    <row r="1509" spans="1:5">
      <c r="A1509" s="110" t="s">
        <v>539</v>
      </c>
      <c r="B1509" s="113" t="s">
        <v>298</v>
      </c>
      <c r="C1509" s="113">
        <v>2.198</v>
      </c>
      <c r="D1509" s="114">
        <v>42749</v>
      </c>
      <c r="E1509" s="113" t="s">
        <v>540</v>
      </c>
    </row>
    <row r="1510" spans="1:5">
      <c r="A1510" s="383" t="s">
        <v>3173</v>
      </c>
      <c r="B1510" s="113" t="s">
        <v>298</v>
      </c>
      <c r="C1510" s="113">
        <v>2.13</v>
      </c>
      <c r="D1510" s="114">
        <v>42744</v>
      </c>
      <c r="E1510" s="113" t="s">
        <v>538</v>
      </c>
    </row>
    <row r="1511" spans="1:5">
      <c r="A1511" s="110" t="s">
        <v>537</v>
      </c>
      <c r="B1511" s="110" t="s">
        <v>298</v>
      </c>
      <c r="C1511" s="110">
        <v>2.19</v>
      </c>
      <c r="D1511" s="112">
        <v>42744</v>
      </c>
    </row>
    <row r="1512" spans="1:5">
      <c r="A1512" s="110" t="s">
        <v>536</v>
      </c>
      <c r="B1512" s="110" t="s">
        <v>298</v>
      </c>
      <c r="C1512" s="110">
        <v>2.1440000000000001</v>
      </c>
      <c r="D1512" s="112">
        <v>42744</v>
      </c>
    </row>
    <row r="1513" spans="1:5">
      <c r="A1513" s="110" t="s">
        <v>535</v>
      </c>
      <c r="B1513" s="110" t="s">
        <v>298</v>
      </c>
      <c r="C1513" s="110">
        <v>2.1230000000000002</v>
      </c>
      <c r="D1513" s="112">
        <v>42744</v>
      </c>
    </row>
    <row r="1514" spans="1:5">
      <c r="A1514" s="110" t="s">
        <v>534</v>
      </c>
      <c r="B1514" s="110" t="s">
        <v>298</v>
      </c>
      <c r="C1514" s="110">
        <v>2.165</v>
      </c>
      <c r="D1514" s="112">
        <v>42744</v>
      </c>
    </row>
    <row r="1515" spans="1:5">
      <c r="A1515" s="110" t="s">
        <v>533</v>
      </c>
      <c r="B1515" s="110" t="s">
        <v>298</v>
      </c>
      <c r="C1515" s="110">
        <v>2.15</v>
      </c>
      <c r="D1515" s="112">
        <v>42744</v>
      </c>
    </row>
    <row r="1516" spans="1:5">
      <c r="A1516" s="110" t="s">
        <v>532</v>
      </c>
      <c r="B1516" s="110" t="s">
        <v>298</v>
      </c>
      <c r="C1516" s="110">
        <v>2.14</v>
      </c>
      <c r="D1516" s="112">
        <v>42744</v>
      </c>
    </row>
    <row r="1517" spans="1:5">
      <c r="A1517" s="110" t="s">
        <v>531</v>
      </c>
      <c r="B1517" s="110" t="s">
        <v>298</v>
      </c>
      <c r="C1517" s="110">
        <v>2.1440000000000001</v>
      </c>
      <c r="D1517" s="112">
        <v>42744</v>
      </c>
    </row>
    <row r="1518" spans="1:5">
      <c r="A1518" s="110" t="s">
        <v>530</v>
      </c>
      <c r="B1518" s="110" t="s">
        <v>298</v>
      </c>
      <c r="C1518" s="110">
        <v>2.165</v>
      </c>
      <c r="D1518" s="112">
        <v>42744</v>
      </c>
    </row>
    <row r="1519" spans="1:5">
      <c r="A1519" s="110" t="s">
        <v>529</v>
      </c>
      <c r="B1519" s="110" t="s">
        <v>298</v>
      </c>
      <c r="C1519" s="110">
        <v>2.1230000000000002</v>
      </c>
      <c r="D1519" s="112">
        <v>42744</v>
      </c>
    </row>
    <row r="1520" spans="1:5">
      <c r="A1520" s="110" t="s">
        <v>528</v>
      </c>
      <c r="B1520" s="110" t="s">
        <v>298</v>
      </c>
      <c r="C1520" s="110">
        <v>2.157</v>
      </c>
      <c r="D1520" s="112">
        <v>42744</v>
      </c>
    </row>
    <row r="1521" spans="1:4">
      <c r="A1521" s="110" t="s">
        <v>527</v>
      </c>
      <c r="B1521" s="110" t="s">
        <v>298</v>
      </c>
      <c r="C1521" s="110">
        <v>2.11</v>
      </c>
      <c r="D1521" s="112">
        <v>42744</v>
      </c>
    </row>
    <row r="1522" spans="1:4">
      <c r="A1522" s="110" t="s">
        <v>526</v>
      </c>
      <c r="B1522" s="110" t="s">
        <v>298</v>
      </c>
      <c r="C1522" s="110">
        <v>2.1680000000000001</v>
      </c>
      <c r="D1522" s="112">
        <v>42744</v>
      </c>
    </row>
    <row r="1523" spans="1:4">
      <c r="A1523" s="110" t="s">
        <v>525</v>
      </c>
      <c r="B1523" s="110" t="s">
        <v>298</v>
      </c>
      <c r="C1523" s="110">
        <v>2.1459999999999999</v>
      </c>
      <c r="D1523" s="112">
        <v>42744</v>
      </c>
    </row>
    <row r="1524" spans="1:4">
      <c r="A1524" s="110" t="s">
        <v>524</v>
      </c>
      <c r="B1524" s="110" t="s">
        <v>298</v>
      </c>
      <c r="C1524" s="110">
        <v>2.157</v>
      </c>
      <c r="D1524" s="112">
        <v>42744</v>
      </c>
    </row>
    <row r="1525" spans="1:4">
      <c r="A1525" s="110" t="s">
        <v>523</v>
      </c>
      <c r="B1525" s="110" t="s">
        <v>298</v>
      </c>
      <c r="C1525" s="110">
        <v>2.1739999999999999</v>
      </c>
      <c r="D1525" s="112">
        <v>42744</v>
      </c>
    </row>
    <row r="1526" spans="1:4">
      <c r="A1526" s="110" t="s">
        <v>522</v>
      </c>
      <c r="B1526" s="110" t="s">
        <v>298</v>
      </c>
      <c r="C1526" s="110">
        <v>2.2010000000000001</v>
      </c>
      <c r="D1526" s="112">
        <v>42744</v>
      </c>
    </row>
    <row r="1527" spans="1:4">
      <c r="A1527" s="110" t="s">
        <v>521</v>
      </c>
      <c r="B1527" s="110" t="s">
        <v>298</v>
      </c>
      <c r="C1527" s="110">
        <v>2.1240000000000001</v>
      </c>
      <c r="D1527" s="112">
        <v>42744</v>
      </c>
    </row>
    <row r="1528" spans="1:4">
      <c r="A1528" s="110" t="s">
        <v>520</v>
      </c>
      <c r="B1528" s="110" t="s">
        <v>298</v>
      </c>
      <c r="C1528" s="110">
        <v>2.1480000000000001</v>
      </c>
      <c r="D1528" s="112">
        <v>42744</v>
      </c>
    </row>
    <row r="1529" spans="1:4">
      <c r="A1529" s="110" t="s">
        <v>519</v>
      </c>
      <c r="B1529" s="110" t="s">
        <v>298</v>
      </c>
      <c r="C1529" s="110">
        <v>2.1800000000000002</v>
      </c>
      <c r="D1529" s="112">
        <v>42744</v>
      </c>
    </row>
    <row r="1530" spans="1:4">
      <c r="A1530" s="110" t="s">
        <v>518</v>
      </c>
      <c r="B1530" s="110" t="s">
        <v>298</v>
      </c>
      <c r="C1530" s="110">
        <v>2.0459999999999998</v>
      </c>
      <c r="D1530" s="112">
        <v>42744</v>
      </c>
    </row>
    <row r="1531" spans="1:4">
      <c r="A1531" s="110" t="s">
        <v>517</v>
      </c>
      <c r="B1531" s="110" t="s">
        <v>298</v>
      </c>
      <c r="C1531" s="110">
        <v>2.1640000000000001</v>
      </c>
      <c r="D1531" s="112">
        <v>42744</v>
      </c>
    </row>
    <row r="1532" spans="1:4">
      <c r="A1532" s="110" t="s">
        <v>516</v>
      </c>
      <c r="B1532" s="110" t="s">
        <v>298</v>
      </c>
      <c r="C1532" s="110">
        <v>2.056</v>
      </c>
      <c r="D1532" s="112">
        <v>42744</v>
      </c>
    </row>
    <row r="1533" spans="1:4">
      <c r="A1533" s="110" t="s">
        <v>515</v>
      </c>
      <c r="B1533" s="110" t="s">
        <v>298</v>
      </c>
      <c r="C1533" s="110">
        <v>2.0739999999999998</v>
      </c>
      <c r="D1533" s="112">
        <v>42744</v>
      </c>
    </row>
    <row r="1534" spans="1:4">
      <c r="A1534" s="110" t="s">
        <v>514</v>
      </c>
      <c r="B1534" s="110" t="s">
        <v>298</v>
      </c>
      <c r="C1534" s="110">
        <v>2.1589999999999998</v>
      </c>
      <c r="D1534" s="112">
        <v>42744</v>
      </c>
    </row>
    <row r="1535" spans="1:4">
      <c r="A1535" s="110" t="s">
        <v>513</v>
      </c>
      <c r="B1535" s="110" t="s">
        <v>298</v>
      </c>
      <c r="C1535" s="110">
        <v>2.0699999999999998</v>
      </c>
      <c r="D1535" s="112">
        <v>42744</v>
      </c>
    </row>
    <row r="1536" spans="1:4">
      <c r="A1536" s="110" t="s">
        <v>512</v>
      </c>
      <c r="B1536" s="110" t="s">
        <v>298</v>
      </c>
      <c r="C1536" s="110">
        <v>2.1429999999999998</v>
      </c>
      <c r="D1536" s="112">
        <v>42744</v>
      </c>
    </row>
    <row r="1537" spans="1:4">
      <c r="A1537" s="110" t="s">
        <v>511</v>
      </c>
      <c r="B1537" s="110" t="s">
        <v>298</v>
      </c>
      <c r="C1537" s="110">
        <v>2.0110000000000001</v>
      </c>
      <c r="D1537" s="112">
        <v>42744</v>
      </c>
    </row>
    <row r="1538" spans="1:4">
      <c r="A1538" s="110" t="s">
        <v>510</v>
      </c>
      <c r="B1538" s="110" t="s">
        <v>298</v>
      </c>
      <c r="C1538" s="110">
        <v>2.1669999999999998</v>
      </c>
      <c r="D1538" s="112">
        <v>42744</v>
      </c>
    </row>
    <row r="1539" spans="1:4">
      <c r="A1539" s="110" t="s">
        <v>509</v>
      </c>
      <c r="B1539" s="110" t="s">
        <v>298</v>
      </c>
      <c r="C1539" s="110">
        <v>2.13</v>
      </c>
      <c r="D1539" s="112">
        <v>42744</v>
      </c>
    </row>
    <row r="1540" spans="1:4">
      <c r="A1540" s="110" t="s">
        <v>508</v>
      </c>
      <c r="B1540" s="110" t="s">
        <v>298</v>
      </c>
      <c r="C1540" s="110">
        <v>2.133</v>
      </c>
      <c r="D1540" s="112">
        <v>42744</v>
      </c>
    </row>
    <row r="1541" spans="1:4">
      <c r="A1541" s="110" t="s">
        <v>507</v>
      </c>
      <c r="B1541" s="110" t="s">
        <v>298</v>
      </c>
      <c r="C1541" s="110">
        <v>2.1269999999999998</v>
      </c>
      <c r="D1541" s="112">
        <v>42744</v>
      </c>
    </row>
    <row r="1542" spans="1:4">
      <c r="A1542" s="110" t="s">
        <v>506</v>
      </c>
      <c r="B1542" s="110" t="s">
        <v>298</v>
      </c>
      <c r="C1542" s="110">
        <v>2.0760000000000001</v>
      </c>
      <c r="D1542" s="112">
        <v>42744</v>
      </c>
    </row>
    <row r="1543" spans="1:4">
      <c r="A1543" s="110" t="s">
        <v>505</v>
      </c>
      <c r="B1543" s="110" t="s">
        <v>298</v>
      </c>
      <c r="C1543" s="110">
        <v>2.0979999999999999</v>
      </c>
      <c r="D1543" s="112">
        <v>42744</v>
      </c>
    </row>
    <row r="1544" spans="1:4">
      <c r="A1544" s="110" t="s">
        <v>504</v>
      </c>
      <c r="B1544" s="110" t="s">
        <v>298</v>
      </c>
      <c r="C1544" s="110">
        <v>2.1320000000000001</v>
      </c>
      <c r="D1544" s="112">
        <v>42744</v>
      </c>
    </row>
    <row r="1545" spans="1:4">
      <c r="A1545" s="110" t="s">
        <v>503</v>
      </c>
      <c r="B1545" s="110" t="s">
        <v>298</v>
      </c>
      <c r="C1545" s="110">
        <v>2.1080000000000001</v>
      </c>
      <c r="D1545" s="112">
        <v>42744</v>
      </c>
    </row>
    <row r="1546" spans="1:4">
      <c r="A1546" s="110" t="s">
        <v>502</v>
      </c>
      <c r="B1546" s="110" t="s">
        <v>298</v>
      </c>
      <c r="C1546" s="110">
        <v>2.129</v>
      </c>
      <c r="D1546" s="112">
        <v>42744</v>
      </c>
    </row>
    <row r="1547" spans="1:4">
      <c r="A1547" s="110" t="s">
        <v>501</v>
      </c>
      <c r="B1547" s="110" t="s">
        <v>298</v>
      </c>
      <c r="C1547" s="110">
        <v>2.1659999999999999</v>
      </c>
      <c r="D1547" s="112">
        <v>42744</v>
      </c>
    </row>
    <row r="1548" spans="1:4">
      <c r="A1548" s="110" t="s">
        <v>500</v>
      </c>
      <c r="B1548" s="110" t="s">
        <v>298</v>
      </c>
      <c r="C1548" s="110">
        <v>2.0840000000000001</v>
      </c>
      <c r="D1548" s="112">
        <v>42744</v>
      </c>
    </row>
    <row r="1549" spans="1:4">
      <c r="A1549" s="110" t="s">
        <v>499</v>
      </c>
      <c r="B1549" s="110" t="s">
        <v>298</v>
      </c>
      <c r="C1549" s="110">
        <v>2.1019999999999999</v>
      </c>
      <c r="D1549" s="112">
        <v>42744</v>
      </c>
    </row>
    <row r="1550" spans="1:4">
      <c r="A1550" s="110" t="s">
        <v>498</v>
      </c>
      <c r="B1550" s="110" t="s">
        <v>298</v>
      </c>
      <c r="C1550" s="110">
        <v>2.1459999999999999</v>
      </c>
      <c r="D1550" s="112">
        <v>42744</v>
      </c>
    </row>
    <row r="1551" spans="1:4">
      <c r="A1551" s="110" t="s">
        <v>497</v>
      </c>
      <c r="B1551" s="110" t="s">
        <v>298</v>
      </c>
      <c r="C1551" s="110">
        <v>2.14</v>
      </c>
      <c r="D1551" s="112">
        <v>42744</v>
      </c>
    </row>
    <row r="1552" spans="1:4">
      <c r="A1552" s="110" t="s">
        <v>496</v>
      </c>
      <c r="B1552" s="110" t="s">
        <v>298</v>
      </c>
      <c r="C1552" s="110">
        <v>2.1930000000000001</v>
      </c>
      <c r="D1552" s="112">
        <v>42744</v>
      </c>
    </row>
    <row r="1553" spans="1:5">
      <c r="A1553" s="110" t="s">
        <v>495</v>
      </c>
      <c r="B1553" s="110" t="s">
        <v>298</v>
      </c>
      <c r="C1553" s="110">
        <v>2.2240000000000002</v>
      </c>
      <c r="D1553" s="112">
        <v>42744</v>
      </c>
    </row>
    <row r="1554" spans="1:5">
      <c r="A1554" s="110" t="s">
        <v>494</v>
      </c>
      <c r="B1554" s="110" t="s">
        <v>298</v>
      </c>
      <c r="C1554" s="110">
        <v>2.2469999999999999</v>
      </c>
      <c r="D1554" s="112">
        <v>42744</v>
      </c>
    </row>
    <row r="1555" spans="1:5">
      <c r="A1555" s="110" t="s">
        <v>493</v>
      </c>
      <c r="B1555" s="110" t="s">
        <v>298</v>
      </c>
      <c r="C1555" s="110">
        <v>2.1480000000000001</v>
      </c>
      <c r="D1555" s="112">
        <v>42744</v>
      </c>
    </row>
    <row r="1556" spans="1:5">
      <c r="A1556" s="110" t="s">
        <v>492</v>
      </c>
      <c r="B1556" s="110" t="s">
        <v>298</v>
      </c>
      <c r="C1556" s="110">
        <v>2.1640000000000001</v>
      </c>
      <c r="D1556" s="112">
        <v>42744</v>
      </c>
    </row>
    <row r="1557" spans="1:5">
      <c r="A1557" s="110" t="s">
        <v>491</v>
      </c>
      <c r="B1557" s="110" t="s">
        <v>298</v>
      </c>
      <c r="C1557" s="110">
        <v>2.1920000000000002</v>
      </c>
      <c r="D1557" s="112">
        <v>42744</v>
      </c>
    </row>
    <row r="1558" spans="1:5">
      <c r="A1558" s="110" t="s">
        <v>490</v>
      </c>
      <c r="B1558" s="110" t="s">
        <v>298</v>
      </c>
      <c r="C1558" s="110">
        <v>2.161</v>
      </c>
      <c r="D1558" s="112">
        <v>42744</v>
      </c>
    </row>
    <row r="1559" spans="1:5">
      <c r="A1559" s="110" t="s">
        <v>489</v>
      </c>
      <c r="B1559" s="110" t="s">
        <v>298</v>
      </c>
      <c r="C1559" s="110">
        <v>2.169</v>
      </c>
      <c r="D1559" s="112">
        <v>42744</v>
      </c>
    </row>
    <row r="1560" spans="1:5">
      <c r="A1560" s="110" t="s">
        <v>488</v>
      </c>
      <c r="B1560" s="110" t="s">
        <v>298</v>
      </c>
      <c r="C1560" s="110">
        <v>2.2349999999999999</v>
      </c>
      <c r="D1560" s="112">
        <v>42744</v>
      </c>
    </row>
    <row r="1561" spans="1:5">
      <c r="A1561" s="110" t="s">
        <v>487</v>
      </c>
      <c r="B1561" s="110" t="s">
        <v>298</v>
      </c>
      <c r="C1561" s="110">
        <v>2.2090000000000001</v>
      </c>
      <c r="D1561" s="112">
        <v>42744</v>
      </c>
    </row>
    <row r="1562" spans="1:5">
      <c r="A1562" s="110" t="s">
        <v>486</v>
      </c>
      <c r="B1562" s="110" t="s">
        <v>298</v>
      </c>
      <c r="C1562" s="110">
        <v>2.1989999999999998</v>
      </c>
      <c r="D1562" s="112">
        <v>42744</v>
      </c>
    </row>
    <row r="1563" spans="1:5">
      <c r="A1563" s="110" t="s">
        <v>485</v>
      </c>
      <c r="B1563" s="110" t="s">
        <v>298</v>
      </c>
      <c r="C1563" s="110">
        <v>2.2040000000000002</v>
      </c>
      <c r="D1563" s="112">
        <v>42744</v>
      </c>
    </row>
    <row r="1564" spans="1:5">
      <c r="A1564" s="110" t="s">
        <v>484</v>
      </c>
      <c r="B1564" s="110" t="s">
        <v>298</v>
      </c>
      <c r="C1564" s="110">
        <v>2.1779999999999999</v>
      </c>
      <c r="D1564" s="112">
        <v>42744</v>
      </c>
    </row>
    <row r="1565" spans="1:5">
      <c r="A1565" s="175" t="s">
        <v>483</v>
      </c>
      <c r="B1565" s="175" t="s">
        <v>298</v>
      </c>
      <c r="C1565" s="175">
        <v>2.206</v>
      </c>
      <c r="D1565" s="176">
        <v>42744</v>
      </c>
      <c r="E1565" s="175" t="s">
        <v>2465</v>
      </c>
    </row>
    <row r="1566" spans="1:5">
      <c r="A1566" s="110" t="s">
        <v>482</v>
      </c>
      <c r="B1566" s="110" t="s">
        <v>298</v>
      </c>
      <c r="C1566" s="110">
        <v>2.2509999999999999</v>
      </c>
      <c r="D1566" s="112">
        <v>42744</v>
      </c>
    </row>
    <row r="1567" spans="1:5">
      <c r="A1567" s="110" t="s">
        <v>481</v>
      </c>
      <c r="B1567" s="110" t="s">
        <v>298</v>
      </c>
      <c r="C1567" s="110">
        <v>2.2080000000000002</v>
      </c>
      <c r="D1567" s="112">
        <v>42744</v>
      </c>
    </row>
    <row r="1568" spans="1:5">
      <c r="A1568" s="110" t="s">
        <v>480</v>
      </c>
      <c r="B1568" s="110" t="s">
        <v>298</v>
      </c>
      <c r="C1568" s="110">
        <v>2.2349999999999999</v>
      </c>
      <c r="D1568" s="112">
        <v>42744</v>
      </c>
    </row>
    <row r="1569" spans="1:5">
      <c r="A1569" s="110" t="s">
        <v>479</v>
      </c>
      <c r="B1569" s="110" t="s">
        <v>298</v>
      </c>
      <c r="C1569" s="110">
        <v>2.2080000000000002</v>
      </c>
      <c r="D1569" s="112">
        <v>42744</v>
      </c>
    </row>
    <row r="1570" spans="1:5">
      <c r="A1570" s="110" t="s">
        <v>478</v>
      </c>
      <c r="B1570" s="110" t="s">
        <v>298</v>
      </c>
      <c r="C1570" s="110">
        <v>2.1629999999999998</v>
      </c>
      <c r="D1570" s="112">
        <v>42744</v>
      </c>
    </row>
    <row r="1571" spans="1:5">
      <c r="A1571" s="175" t="s">
        <v>477</v>
      </c>
      <c r="B1571" s="175" t="s">
        <v>298</v>
      </c>
      <c r="C1571" s="175">
        <v>2.1259999999999999</v>
      </c>
      <c r="D1571" s="176">
        <v>42744</v>
      </c>
      <c r="E1571" s="175" t="s">
        <v>2465</v>
      </c>
    </row>
    <row r="1572" spans="1:5">
      <c r="A1572" s="110" t="s">
        <v>476</v>
      </c>
      <c r="B1572" s="110" t="s">
        <v>298</v>
      </c>
      <c r="C1572" s="110">
        <v>2.105</v>
      </c>
      <c r="D1572" s="112">
        <v>42744</v>
      </c>
    </row>
    <row r="1573" spans="1:5">
      <c r="A1573" s="110" t="s">
        <v>475</v>
      </c>
      <c r="B1573" s="110" t="s">
        <v>298</v>
      </c>
      <c r="C1573" s="110">
        <v>2.09</v>
      </c>
      <c r="D1573" s="112">
        <v>42744</v>
      </c>
    </row>
    <row r="1574" spans="1:5">
      <c r="A1574" s="110" t="s">
        <v>474</v>
      </c>
      <c r="B1574" s="110" t="s">
        <v>298</v>
      </c>
      <c r="C1574" s="110">
        <v>2.1579999999999999</v>
      </c>
      <c r="D1574" s="112">
        <v>42744</v>
      </c>
    </row>
    <row r="1575" spans="1:5">
      <c r="A1575" s="110" t="s">
        <v>473</v>
      </c>
      <c r="B1575" s="110" t="s">
        <v>298</v>
      </c>
      <c r="C1575" s="110">
        <v>2.15</v>
      </c>
      <c r="D1575" s="112">
        <v>42744</v>
      </c>
    </row>
    <row r="1576" spans="1:5">
      <c r="A1576" s="110" t="s">
        <v>472</v>
      </c>
      <c r="B1576" s="110" t="s">
        <v>298</v>
      </c>
      <c r="C1576" s="110">
        <v>2.1949999999999998</v>
      </c>
      <c r="D1576" s="112">
        <v>42744</v>
      </c>
    </row>
    <row r="1577" spans="1:5">
      <c r="A1577" s="110" t="s">
        <v>471</v>
      </c>
      <c r="B1577" s="110" t="s">
        <v>298</v>
      </c>
      <c r="C1577" s="110">
        <v>2.1419999999999999</v>
      </c>
      <c r="D1577" s="112">
        <v>42744</v>
      </c>
    </row>
    <row r="1578" spans="1:5">
      <c r="A1578" s="110" t="s">
        <v>470</v>
      </c>
      <c r="B1578" s="110" t="s">
        <v>298</v>
      </c>
      <c r="C1578" s="110">
        <v>2.1480000000000001</v>
      </c>
      <c r="D1578" s="112">
        <v>42744</v>
      </c>
    </row>
    <row r="1579" spans="1:5">
      <c r="A1579" s="110" t="s">
        <v>469</v>
      </c>
      <c r="B1579" s="110" t="s">
        <v>298</v>
      </c>
      <c r="C1579" s="110">
        <v>2.1059999999999999</v>
      </c>
      <c r="D1579" s="112">
        <v>42744</v>
      </c>
    </row>
    <row r="1580" spans="1:5">
      <c r="A1580" s="110" t="s">
        <v>468</v>
      </c>
      <c r="B1580" s="110" t="s">
        <v>298</v>
      </c>
      <c r="C1580" s="110">
        <v>2.202</v>
      </c>
      <c r="D1580" s="112">
        <v>42744</v>
      </c>
    </row>
    <row r="1581" spans="1:5">
      <c r="A1581" s="110" t="s">
        <v>467</v>
      </c>
      <c r="B1581" s="110" t="s">
        <v>298</v>
      </c>
      <c r="C1581" s="110">
        <v>2.161</v>
      </c>
      <c r="D1581" s="112">
        <v>42744</v>
      </c>
    </row>
    <row r="1582" spans="1:5">
      <c r="A1582" s="110" t="s">
        <v>466</v>
      </c>
      <c r="B1582" s="110" t="s">
        <v>298</v>
      </c>
      <c r="C1582" s="110">
        <v>2.121</v>
      </c>
      <c r="D1582" s="112">
        <v>42744</v>
      </c>
    </row>
    <row r="1583" spans="1:5">
      <c r="A1583" s="110" t="s">
        <v>465</v>
      </c>
      <c r="B1583" s="110" t="s">
        <v>298</v>
      </c>
      <c r="C1583" s="110">
        <v>2.1629999999999998</v>
      </c>
      <c r="D1583" s="112">
        <v>42744</v>
      </c>
    </row>
    <row r="1584" spans="1:5">
      <c r="A1584" s="110" t="s">
        <v>464</v>
      </c>
      <c r="B1584" s="110" t="s">
        <v>298</v>
      </c>
      <c r="C1584" s="110">
        <v>2.2069999999999999</v>
      </c>
      <c r="D1584" s="112">
        <v>42744</v>
      </c>
    </row>
    <row r="1585" spans="1:4">
      <c r="A1585" s="110" t="s">
        <v>463</v>
      </c>
      <c r="B1585" s="110" t="s">
        <v>298</v>
      </c>
      <c r="C1585" s="110">
        <v>2.1459999999999999</v>
      </c>
      <c r="D1585" s="112">
        <v>42744</v>
      </c>
    </row>
    <row r="1586" spans="1:4">
      <c r="A1586" s="110" t="s">
        <v>462</v>
      </c>
      <c r="B1586" s="110" t="s">
        <v>298</v>
      </c>
      <c r="C1586" s="110">
        <v>2.1240000000000001</v>
      </c>
      <c r="D1586" s="112">
        <v>42744</v>
      </c>
    </row>
    <row r="1587" spans="1:4">
      <c r="A1587" s="110" t="s">
        <v>461</v>
      </c>
      <c r="B1587" s="110" t="s">
        <v>298</v>
      </c>
      <c r="C1587" s="110">
        <v>2.1320000000000001</v>
      </c>
      <c r="D1587" s="112">
        <v>42744</v>
      </c>
    </row>
    <row r="1588" spans="1:4">
      <c r="A1588" s="110" t="s">
        <v>460</v>
      </c>
      <c r="B1588" s="110" t="s">
        <v>298</v>
      </c>
      <c r="C1588" s="110">
        <v>2.149</v>
      </c>
      <c r="D1588" s="112">
        <v>42744</v>
      </c>
    </row>
    <row r="1589" spans="1:4">
      <c r="A1589" s="110" t="s">
        <v>459</v>
      </c>
      <c r="B1589" s="110" t="s">
        <v>298</v>
      </c>
      <c r="C1589" s="110">
        <v>2.1080000000000001</v>
      </c>
      <c r="D1589" s="112">
        <v>42744</v>
      </c>
    </row>
    <row r="1590" spans="1:4">
      <c r="A1590" s="110" t="s">
        <v>458</v>
      </c>
      <c r="B1590" s="110" t="s">
        <v>298</v>
      </c>
      <c r="C1590" s="110">
        <v>2.1859999999999999</v>
      </c>
      <c r="D1590" s="112">
        <v>42744</v>
      </c>
    </row>
    <row r="1591" spans="1:4">
      <c r="A1591" s="110" t="s">
        <v>457</v>
      </c>
      <c r="B1591" s="110" t="s">
        <v>298</v>
      </c>
      <c r="C1591" s="110">
        <v>2.1720000000000002</v>
      </c>
      <c r="D1591" s="112">
        <v>42744</v>
      </c>
    </row>
    <row r="1592" spans="1:4">
      <c r="A1592" s="110" t="s">
        <v>456</v>
      </c>
      <c r="B1592" s="110" t="s">
        <v>298</v>
      </c>
      <c r="C1592" s="110">
        <v>2.141</v>
      </c>
      <c r="D1592" s="112">
        <v>42744</v>
      </c>
    </row>
    <row r="1593" spans="1:4">
      <c r="A1593" s="110" t="s">
        <v>455</v>
      </c>
      <c r="B1593" s="110" t="s">
        <v>298</v>
      </c>
      <c r="C1593" s="110">
        <v>2.1139999999999999</v>
      </c>
      <c r="D1593" s="112">
        <v>42744</v>
      </c>
    </row>
    <row r="1594" spans="1:4">
      <c r="A1594" s="110" t="s">
        <v>454</v>
      </c>
      <c r="B1594" s="110" t="s">
        <v>298</v>
      </c>
      <c r="C1594" s="110">
        <v>2.1629999999999998</v>
      </c>
      <c r="D1594" s="112">
        <v>42744</v>
      </c>
    </row>
    <row r="1595" spans="1:4">
      <c r="A1595" s="110" t="s">
        <v>453</v>
      </c>
      <c r="B1595" s="110" t="s">
        <v>298</v>
      </c>
      <c r="C1595" s="110">
        <v>2.1890000000000001</v>
      </c>
      <c r="D1595" s="112">
        <v>42744</v>
      </c>
    </row>
    <row r="1596" spans="1:4">
      <c r="A1596" s="110" t="s">
        <v>452</v>
      </c>
      <c r="B1596" s="110" t="s">
        <v>298</v>
      </c>
      <c r="C1596" s="110">
        <v>2.2029999999999998</v>
      </c>
      <c r="D1596" s="112">
        <v>42744</v>
      </c>
    </row>
    <row r="1597" spans="1:4">
      <c r="A1597" s="110" t="s">
        <v>451</v>
      </c>
      <c r="B1597" s="110" t="s">
        <v>298</v>
      </c>
      <c r="C1597" s="110">
        <v>2.1709999999999998</v>
      </c>
      <c r="D1597" s="112">
        <v>42744</v>
      </c>
    </row>
    <row r="1598" spans="1:4">
      <c r="A1598" s="110" t="s">
        <v>450</v>
      </c>
      <c r="B1598" s="110" t="s">
        <v>298</v>
      </c>
      <c r="C1598" s="110">
        <v>2.11</v>
      </c>
      <c r="D1598" s="112">
        <v>42744</v>
      </c>
    </row>
    <row r="1599" spans="1:4">
      <c r="A1599" s="110" t="s">
        <v>449</v>
      </c>
      <c r="B1599" s="110" t="s">
        <v>298</v>
      </c>
      <c r="C1599" s="110">
        <v>2.141</v>
      </c>
      <c r="D1599" s="112">
        <v>42744</v>
      </c>
    </row>
    <row r="1600" spans="1:4">
      <c r="A1600" s="110" t="s">
        <v>448</v>
      </c>
      <c r="B1600" s="110" t="s">
        <v>298</v>
      </c>
      <c r="C1600" s="110">
        <v>2.1859999999999999</v>
      </c>
      <c r="D1600" s="112">
        <v>42744</v>
      </c>
    </row>
    <row r="1601" spans="1:5">
      <c r="A1601" s="110" t="s">
        <v>447</v>
      </c>
      <c r="B1601" s="110" t="s">
        <v>298</v>
      </c>
      <c r="C1601" s="110">
        <v>2.1419999999999999</v>
      </c>
      <c r="D1601" s="112">
        <v>42744</v>
      </c>
    </row>
    <row r="1602" spans="1:5">
      <c r="A1602" s="110" t="s">
        <v>446</v>
      </c>
      <c r="B1602" s="110" t="s">
        <v>298</v>
      </c>
      <c r="C1602" s="110">
        <v>2.1789999999999998</v>
      </c>
      <c r="D1602" s="112">
        <v>42744</v>
      </c>
    </row>
    <row r="1603" spans="1:5">
      <c r="A1603" s="110" t="s">
        <v>445</v>
      </c>
      <c r="B1603" s="110" t="s">
        <v>298</v>
      </c>
      <c r="C1603" s="110">
        <v>2.23</v>
      </c>
      <c r="D1603" s="112">
        <v>42744</v>
      </c>
    </row>
    <row r="1604" spans="1:5">
      <c r="A1604" s="110" t="s">
        <v>444</v>
      </c>
      <c r="B1604" s="110" t="s">
        <v>298</v>
      </c>
      <c r="C1604" s="110">
        <v>2.1789999999999998</v>
      </c>
      <c r="D1604" s="112">
        <v>42744</v>
      </c>
    </row>
    <row r="1605" spans="1:5">
      <c r="A1605" s="110" t="s">
        <v>443</v>
      </c>
      <c r="B1605" s="110" t="s">
        <v>298</v>
      </c>
      <c r="C1605" s="110">
        <v>2.1389999999999998</v>
      </c>
      <c r="D1605" s="112">
        <v>42744</v>
      </c>
    </row>
    <row r="1606" spans="1:5">
      <c r="A1606" s="110" t="s">
        <v>442</v>
      </c>
      <c r="B1606" s="110" t="s">
        <v>298</v>
      </c>
      <c r="C1606" s="110">
        <v>2.133</v>
      </c>
      <c r="D1606" s="112">
        <v>42744</v>
      </c>
    </row>
    <row r="1607" spans="1:5">
      <c r="A1607" s="110" t="s">
        <v>441</v>
      </c>
      <c r="B1607" s="110" t="s">
        <v>298</v>
      </c>
      <c r="C1607" s="110">
        <v>2.1779999999999999</v>
      </c>
      <c r="D1607" s="112">
        <v>42744</v>
      </c>
    </row>
    <row r="1608" spans="1:5">
      <c r="A1608" s="110" t="s">
        <v>440</v>
      </c>
      <c r="B1608" s="110" t="s">
        <v>298</v>
      </c>
      <c r="C1608" s="110">
        <v>2.157</v>
      </c>
      <c r="D1608" s="112">
        <v>42744</v>
      </c>
    </row>
    <row r="1609" spans="1:5">
      <c r="A1609" s="175" t="s">
        <v>439</v>
      </c>
      <c r="B1609" s="175" t="s">
        <v>298</v>
      </c>
      <c r="C1609" s="175">
        <v>2.1890000000000001</v>
      </c>
      <c r="D1609" s="176">
        <v>42744</v>
      </c>
      <c r="E1609" s="175" t="s">
        <v>2465</v>
      </c>
    </row>
    <row r="1610" spans="1:5">
      <c r="A1610" s="110" t="s">
        <v>438</v>
      </c>
      <c r="B1610" s="110" t="s">
        <v>298</v>
      </c>
      <c r="C1610" s="110">
        <v>2.1549999999999998</v>
      </c>
      <c r="D1610" s="112">
        <v>42744</v>
      </c>
    </row>
    <row r="1611" spans="1:5">
      <c r="A1611" s="110" t="s">
        <v>437</v>
      </c>
      <c r="B1611" s="110" t="s">
        <v>298</v>
      </c>
      <c r="C1611" s="110">
        <v>2.2010000000000001</v>
      </c>
      <c r="D1611" s="112">
        <v>42744</v>
      </c>
    </row>
    <row r="1612" spans="1:5">
      <c r="A1612" s="110" t="s">
        <v>436</v>
      </c>
      <c r="B1612" s="110" t="s">
        <v>298</v>
      </c>
      <c r="C1612" s="110">
        <v>2.1379999999999999</v>
      </c>
      <c r="D1612" s="112">
        <v>42744</v>
      </c>
    </row>
    <row r="1613" spans="1:5">
      <c r="A1613" s="110" t="s">
        <v>435</v>
      </c>
      <c r="B1613" s="110" t="s">
        <v>298</v>
      </c>
      <c r="C1613" s="110">
        <v>2.1480000000000001</v>
      </c>
      <c r="D1613" s="112">
        <v>42744</v>
      </c>
    </row>
    <row r="1614" spans="1:5">
      <c r="A1614" s="110" t="s">
        <v>434</v>
      </c>
      <c r="B1614" s="110" t="s">
        <v>298</v>
      </c>
      <c r="C1614" s="110">
        <v>2.1859999999999999</v>
      </c>
      <c r="D1614" s="112">
        <v>42744</v>
      </c>
    </row>
    <row r="1615" spans="1:5">
      <c r="A1615" s="110" t="s">
        <v>433</v>
      </c>
      <c r="B1615" s="110" t="s">
        <v>298</v>
      </c>
      <c r="C1615" s="110">
        <v>2.1480000000000001</v>
      </c>
      <c r="D1615" s="112">
        <v>42744</v>
      </c>
    </row>
    <row r="1616" spans="1:5">
      <c r="A1616" s="110" t="s">
        <v>432</v>
      </c>
      <c r="B1616" s="110" t="s">
        <v>298</v>
      </c>
      <c r="C1616" s="110">
        <v>2.145</v>
      </c>
      <c r="D1616" s="112">
        <v>42744</v>
      </c>
    </row>
    <row r="1617" spans="1:4">
      <c r="A1617" s="110" t="s">
        <v>431</v>
      </c>
      <c r="B1617" s="110" t="s">
        <v>298</v>
      </c>
      <c r="C1617" s="110">
        <v>2.157</v>
      </c>
      <c r="D1617" s="112">
        <v>42744</v>
      </c>
    </row>
    <row r="1618" spans="1:4">
      <c r="A1618" s="110" t="s">
        <v>430</v>
      </c>
      <c r="B1618" s="110" t="s">
        <v>298</v>
      </c>
      <c r="C1618" s="110">
        <v>2.157</v>
      </c>
      <c r="D1618" s="112">
        <v>42744</v>
      </c>
    </row>
    <row r="1619" spans="1:4">
      <c r="A1619" s="110" t="s">
        <v>429</v>
      </c>
      <c r="B1619" s="110" t="s">
        <v>298</v>
      </c>
      <c r="C1619" s="110">
        <v>2.1070000000000002</v>
      </c>
      <c r="D1619" s="112">
        <v>42744</v>
      </c>
    </row>
    <row r="1620" spans="1:4">
      <c r="A1620" s="110" t="s">
        <v>428</v>
      </c>
      <c r="B1620" s="110" t="s">
        <v>298</v>
      </c>
      <c r="C1620" s="110">
        <v>2.13</v>
      </c>
      <c r="D1620" s="112">
        <v>42744</v>
      </c>
    </row>
    <row r="1621" spans="1:4">
      <c r="A1621" s="110" t="s">
        <v>427</v>
      </c>
      <c r="B1621" s="110" t="s">
        <v>298</v>
      </c>
      <c r="C1621" s="110">
        <v>2.161</v>
      </c>
      <c r="D1621" s="112">
        <v>42744</v>
      </c>
    </row>
    <row r="1622" spans="1:4">
      <c r="A1622" s="110" t="s">
        <v>426</v>
      </c>
      <c r="B1622" s="110" t="s">
        <v>298</v>
      </c>
      <c r="C1622" s="110">
        <v>2.1619999999999999</v>
      </c>
      <c r="D1622" s="112">
        <v>42744</v>
      </c>
    </row>
    <row r="1623" spans="1:4">
      <c r="A1623" s="110" t="s">
        <v>425</v>
      </c>
      <c r="B1623" s="110" t="s">
        <v>298</v>
      </c>
      <c r="C1623" s="110">
        <v>2.1560000000000001</v>
      </c>
      <c r="D1623" s="112">
        <v>42744</v>
      </c>
    </row>
    <row r="1624" spans="1:4">
      <c r="A1624" s="110" t="s">
        <v>424</v>
      </c>
      <c r="B1624" s="110" t="s">
        <v>298</v>
      </c>
      <c r="C1624" s="110">
        <v>2.161</v>
      </c>
      <c r="D1624" s="112">
        <v>42744</v>
      </c>
    </row>
    <row r="1625" spans="1:4">
      <c r="A1625" s="110" t="s">
        <v>423</v>
      </c>
      <c r="B1625" s="110" t="s">
        <v>298</v>
      </c>
      <c r="C1625" s="110">
        <v>2.2280000000000002</v>
      </c>
      <c r="D1625" s="112">
        <v>42744</v>
      </c>
    </row>
    <row r="1626" spans="1:4">
      <c r="A1626" s="110" t="s">
        <v>422</v>
      </c>
      <c r="B1626" s="110" t="s">
        <v>298</v>
      </c>
      <c r="C1626" s="110">
        <v>2.1619999999999999</v>
      </c>
      <c r="D1626" s="112">
        <v>42744</v>
      </c>
    </row>
    <row r="1627" spans="1:4">
      <c r="A1627" s="110" t="s">
        <v>421</v>
      </c>
      <c r="B1627" s="110" t="s">
        <v>298</v>
      </c>
      <c r="C1627" s="110">
        <v>2.2050000000000001</v>
      </c>
      <c r="D1627" s="112">
        <v>42744</v>
      </c>
    </row>
    <row r="1628" spans="1:4">
      <c r="A1628" s="110" t="s">
        <v>420</v>
      </c>
      <c r="B1628" s="110" t="s">
        <v>298</v>
      </c>
      <c r="C1628" s="110">
        <v>2.2050000000000001</v>
      </c>
      <c r="D1628" s="112">
        <v>42744</v>
      </c>
    </row>
    <row r="1629" spans="1:4">
      <c r="A1629" s="110" t="s">
        <v>419</v>
      </c>
      <c r="B1629" s="110" t="s">
        <v>298</v>
      </c>
      <c r="C1629" s="110">
        <v>2.2080000000000002</v>
      </c>
      <c r="D1629" s="112">
        <v>42744</v>
      </c>
    </row>
    <row r="1630" spans="1:4">
      <c r="A1630" s="110" t="s">
        <v>418</v>
      </c>
      <c r="B1630" s="110" t="s">
        <v>298</v>
      </c>
      <c r="C1630" s="110">
        <v>2.2229999999999999</v>
      </c>
      <c r="D1630" s="112">
        <v>42792</v>
      </c>
    </row>
    <row r="1631" spans="1:4">
      <c r="A1631" s="110" t="s">
        <v>417</v>
      </c>
      <c r="B1631" s="110" t="s">
        <v>298</v>
      </c>
      <c r="C1631" s="110">
        <v>2.2069999999999999</v>
      </c>
      <c r="D1631" s="112">
        <v>42792</v>
      </c>
    </row>
    <row r="1632" spans="1:4">
      <c r="A1632" s="110" t="s">
        <v>416</v>
      </c>
      <c r="B1632" s="110" t="s">
        <v>298</v>
      </c>
      <c r="C1632" s="110">
        <v>2.2559999999999998</v>
      </c>
      <c r="D1632" s="112">
        <v>42792</v>
      </c>
    </row>
    <row r="1633" spans="1:6">
      <c r="A1633" s="110" t="s">
        <v>415</v>
      </c>
      <c r="B1633" s="110" t="s">
        <v>298</v>
      </c>
      <c r="C1633" s="110">
        <v>2.149</v>
      </c>
      <c r="D1633" s="112">
        <v>42792</v>
      </c>
    </row>
    <row r="1634" spans="1:6">
      <c r="A1634" s="110" t="s">
        <v>414</v>
      </c>
      <c r="B1634" s="110" t="s">
        <v>298</v>
      </c>
      <c r="C1634" s="110">
        <v>2.1930000000000001</v>
      </c>
      <c r="D1634" s="112">
        <v>42792</v>
      </c>
      <c r="E1634" s="111" t="s">
        <v>297</v>
      </c>
      <c r="F1634" s="110" t="s">
        <v>296</v>
      </c>
    </row>
    <row r="1635" spans="1:6">
      <c r="A1635" s="110" t="s">
        <v>413</v>
      </c>
      <c r="B1635" s="110" t="s">
        <v>298</v>
      </c>
      <c r="C1635" s="110">
        <v>2.2810000000000001</v>
      </c>
      <c r="D1635" s="112">
        <v>42792</v>
      </c>
      <c r="E1635" s="111" t="s">
        <v>297</v>
      </c>
      <c r="F1635" s="110" t="s">
        <v>296</v>
      </c>
    </row>
    <row r="1636" spans="1:6">
      <c r="A1636" s="110" t="s">
        <v>412</v>
      </c>
      <c r="B1636" s="110" t="s">
        <v>298</v>
      </c>
      <c r="C1636" s="110">
        <v>2.1629999999999998</v>
      </c>
      <c r="D1636" s="112">
        <v>42792</v>
      </c>
      <c r="E1636" s="111" t="s">
        <v>297</v>
      </c>
      <c r="F1636" s="110" t="s">
        <v>296</v>
      </c>
    </row>
    <row r="1637" spans="1:6">
      <c r="A1637" s="110" t="s">
        <v>411</v>
      </c>
      <c r="B1637" s="110" t="s">
        <v>298</v>
      </c>
      <c r="C1637" s="110">
        <v>2.2429999999999999</v>
      </c>
      <c r="D1637" s="112">
        <v>42792</v>
      </c>
      <c r="E1637" s="111" t="s">
        <v>297</v>
      </c>
      <c r="F1637" s="110" t="s">
        <v>296</v>
      </c>
    </row>
    <row r="1638" spans="1:6">
      <c r="A1638" s="110" t="s">
        <v>410</v>
      </c>
      <c r="B1638" s="110" t="s">
        <v>298</v>
      </c>
      <c r="C1638" s="110">
        <v>2.1970000000000001</v>
      </c>
      <c r="D1638" s="112">
        <v>42792</v>
      </c>
      <c r="E1638" s="111" t="s">
        <v>297</v>
      </c>
      <c r="F1638" s="110" t="s">
        <v>296</v>
      </c>
    </row>
    <row r="1639" spans="1:6">
      <c r="A1639" s="110" t="s">
        <v>409</v>
      </c>
      <c r="B1639" s="110" t="s">
        <v>298</v>
      </c>
      <c r="C1639" s="110">
        <v>2.1509999999999998</v>
      </c>
      <c r="D1639" s="112">
        <v>42792</v>
      </c>
      <c r="E1639" s="111" t="s">
        <v>297</v>
      </c>
      <c r="F1639" s="110" t="s">
        <v>296</v>
      </c>
    </row>
    <row r="1640" spans="1:6">
      <c r="A1640" s="110" t="s">
        <v>408</v>
      </c>
      <c r="B1640" s="110" t="s">
        <v>298</v>
      </c>
      <c r="C1640" s="110">
        <v>2.2480000000000002</v>
      </c>
      <c r="D1640" s="112">
        <v>42792</v>
      </c>
      <c r="E1640" s="111" t="s">
        <v>297</v>
      </c>
      <c r="F1640" s="110" t="s">
        <v>296</v>
      </c>
    </row>
    <row r="1641" spans="1:6">
      <c r="A1641" s="110" t="s">
        <v>407</v>
      </c>
      <c r="B1641" s="110" t="s">
        <v>298</v>
      </c>
      <c r="C1641" s="110">
        <v>2.2189999999999999</v>
      </c>
      <c r="D1641" s="112">
        <v>42792</v>
      </c>
      <c r="E1641" s="111" t="s">
        <v>297</v>
      </c>
      <c r="F1641" s="110" t="s">
        <v>296</v>
      </c>
    </row>
    <row r="1642" spans="1:6">
      <c r="A1642" s="110" t="s">
        <v>406</v>
      </c>
      <c r="B1642" s="110" t="s">
        <v>298</v>
      </c>
      <c r="C1642" s="110">
        <v>2.181</v>
      </c>
      <c r="D1642" s="112">
        <v>42792</v>
      </c>
      <c r="E1642" s="111" t="s">
        <v>297</v>
      </c>
      <c r="F1642" s="110" t="s">
        <v>296</v>
      </c>
    </row>
    <row r="1643" spans="1:6">
      <c r="A1643" s="110" t="s">
        <v>405</v>
      </c>
      <c r="B1643" s="110" t="s">
        <v>298</v>
      </c>
      <c r="C1643" s="110">
        <v>2.1589999999999998</v>
      </c>
      <c r="D1643" s="112">
        <v>42792</v>
      </c>
      <c r="E1643" s="111" t="s">
        <v>297</v>
      </c>
      <c r="F1643" s="110" t="s">
        <v>296</v>
      </c>
    </row>
    <row r="1644" spans="1:6">
      <c r="A1644" s="110" t="s">
        <v>404</v>
      </c>
      <c r="B1644" s="110" t="s">
        <v>298</v>
      </c>
      <c r="C1644" s="110">
        <v>2.12</v>
      </c>
      <c r="D1644" s="112">
        <v>42792</v>
      </c>
      <c r="E1644" s="111" t="s">
        <v>297</v>
      </c>
      <c r="F1644" s="110" t="s">
        <v>296</v>
      </c>
    </row>
    <row r="1645" spans="1:6">
      <c r="A1645" s="110" t="s">
        <v>403</v>
      </c>
      <c r="B1645" s="110" t="s">
        <v>298</v>
      </c>
      <c r="C1645" s="110">
        <v>2.2189999999999999</v>
      </c>
      <c r="D1645" s="112">
        <v>42792</v>
      </c>
      <c r="E1645" s="111" t="s">
        <v>297</v>
      </c>
      <c r="F1645" s="110" t="s">
        <v>296</v>
      </c>
    </row>
    <row r="1646" spans="1:6">
      <c r="A1646" s="110" t="s">
        <v>402</v>
      </c>
      <c r="B1646" s="110" t="s">
        <v>298</v>
      </c>
      <c r="C1646" s="110">
        <v>2.222</v>
      </c>
      <c r="D1646" s="112">
        <v>42792</v>
      </c>
      <c r="E1646" s="111" t="s">
        <v>297</v>
      </c>
      <c r="F1646" s="110" t="s">
        <v>296</v>
      </c>
    </row>
    <row r="1647" spans="1:6">
      <c r="A1647" s="110" t="s">
        <v>401</v>
      </c>
      <c r="B1647" s="110" t="s">
        <v>298</v>
      </c>
      <c r="C1647" s="110">
        <v>2.1890000000000001</v>
      </c>
      <c r="D1647" s="112">
        <v>42792</v>
      </c>
      <c r="E1647" s="111" t="s">
        <v>297</v>
      </c>
      <c r="F1647" s="110" t="s">
        <v>296</v>
      </c>
    </row>
    <row r="1648" spans="1:6">
      <c r="A1648" s="110" t="s">
        <v>400</v>
      </c>
      <c r="B1648" s="110" t="s">
        <v>298</v>
      </c>
      <c r="C1648" s="110">
        <v>2.222</v>
      </c>
      <c r="D1648" s="112">
        <v>42792</v>
      </c>
      <c r="E1648" s="111" t="s">
        <v>297</v>
      </c>
      <c r="F1648" s="110" t="s">
        <v>296</v>
      </c>
    </row>
    <row r="1649" spans="1:6">
      <c r="A1649" s="110" t="s">
        <v>399</v>
      </c>
      <c r="B1649" s="110" t="s">
        <v>298</v>
      </c>
      <c r="C1649" s="110">
        <v>2.161</v>
      </c>
      <c r="D1649" s="112">
        <v>42792</v>
      </c>
      <c r="E1649" s="111" t="s">
        <v>297</v>
      </c>
      <c r="F1649" s="110" t="s">
        <v>296</v>
      </c>
    </row>
    <row r="1650" spans="1:6">
      <c r="A1650" s="110" t="s">
        <v>398</v>
      </c>
      <c r="B1650" s="110" t="s">
        <v>298</v>
      </c>
      <c r="C1650" s="110">
        <v>2.262</v>
      </c>
      <c r="D1650" s="112">
        <v>42792</v>
      </c>
      <c r="E1650" s="111" t="s">
        <v>297</v>
      </c>
      <c r="F1650" s="110" t="s">
        <v>296</v>
      </c>
    </row>
    <row r="1651" spans="1:6">
      <c r="A1651" s="110" t="s">
        <v>397</v>
      </c>
      <c r="B1651" s="110" t="s">
        <v>298</v>
      </c>
      <c r="C1651" s="110">
        <v>2.1259999999999999</v>
      </c>
      <c r="D1651" s="112">
        <v>42792</v>
      </c>
      <c r="E1651" s="111" t="s">
        <v>297</v>
      </c>
      <c r="F1651" s="110" t="s">
        <v>296</v>
      </c>
    </row>
    <row r="1652" spans="1:6">
      <c r="A1652" s="110" t="s">
        <v>396</v>
      </c>
      <c r="B1652" s="110" t="s">
        <v>298</v>
      </c>
      <c r="C1652" s="110">
        <v>2.2480000000000002</v>
      </c>
      <c r="D1652" s="112">
        <v>42792</v>
      </c>
      <c r="E1652" s="111" t="s">
        <v>297</v>
      </c>
      <c r="F1652" s="110" t="s">
        <v>296</v>
      </c>
    </row>
    <row r="1653" spans="1:6">
      <c r="A1653" s="110" t="s">
        <v>395</v>
      </c>
      <c r="B1653" s="110" t="s">
        <v>298</v>
      </c>
      <c r="C1653" s="110">
        <v>2.2280000000000002</v>
      </c>
      <c r="D1653" s="112">
        <v>42792</v>
      </c>
      <c r="E1653" s="111" t="s">
        <v>297</v>
      </c>
      <c r="F1653" s="110" t="s">
        <v>296</v>
      </c>
    </row>
    <row r="1654" spans="1:6">
      <c r="A1654" s="110" t="s">
        <v>394</v>
      </c>
      <c r="B1654" s="110" t="s">
        <v>298</v>
      </c>
      <c r="C1654" s="110">
        <v>2.2909999999999999</v>
      </c>
      <c r="D1654" s="112">
        <v>42792</v>
      </c>
      <c r="E1654" s="111" t="s">
        <v>297</v>
      </c>
      <c r="F1654" s="110" t="s">
        <v>296</v>
      </c>
    </row>
    <row r="1655" spans="1:6">
      <c r="A1655" s="110" t="s">
        <v>393</v>
      </c>
      <c r="B1655" s="110" t="s">
        <v>298</v>
      </c>
      <c r="C1655" s="110">
        <v>2.2290000000000001</v>
      </c>
      <c r="D1655" s="112">
        <v>42792</v>
      </c>
      <c r="E1655" s="111" t="s">
        <v>297</v>
      </c>
      <c r="F1655" s="110" t="s">
        <v>296</v>
      </c>
    </row>
    <row r="1656" spans="1:6">
      <c r="A1656" s="110" t="s">
        <v>392</v>
      </c>
      <c r="B1656" s="110" t="s">
        <v>298</v>
      </c>
      <c r="C1656" s="110">
        <v>2.1549999999999998</v>
      </c>
      <c r="D1656" s="112">
        <v>42792</v>
      </c>
      <c r="E1656" s="111" t="s">
        <v>297</v>
      </c>
      <c r="F1656" s="110" t="s">
        <v>296</v>
      </c>
    </row>
    <row r="1657" spans="1:6">
      <c r="A1657" s="110" t="s">
        <v>391</v>
      </c>
      <c r="B1657" s="110" t="s">
        <v>298</v>
      </c>
      <c r="C1657" s="110">
        <v>2.1829999999999998</v>
      </c>
      <c r="D1657" s="112">
        <v>42792</v>
      </c>
      <c r="E1657" s="111" t="s">
        <v>297</v>
      </c>
      <c r="F1657" s="110" t="s">
        <v>296</v>
      </c>
    </row>
    <row r="1658" spans="1:6">
      <c r="A1658" s="110" t="s">
        <v>390</v>
      </c>
      <c r="B1658" s="110" t="s">
        <v>298</v>
      </c>
      <c r="C1658" s="110">
        <v>2.2050000000000001</v>
      </c>
      <c r="D1658" s="112">
        <v>42792</v>
      </c>
      <c r="E1658" s="111" t="s">
        <v>297</v>
      </c>
      <c r="F1658" s="110" t="s">
        <v>296</v>
      </c>
    </row>
    <row r="1659" spans="1:6">
      <c r="A1659" s="110" t="s">
        <v>389</v>
      </c>
      <c r="B1659" s="110" t="s">
        <v>298</v>
      </c>
      <c r="C1659" s="110">
        <v>2.2029999999999998</v>
      </c>
      <c r="D1659" s="112">
        <v>42792</v>
      </c>
      <c r="E1659" s="111" t="s">
        <v>297</v>
      </c>
      <c r="F1659" s="110" t="s">
        <v>296</v>
      </c>
    </row>
    <row r="1660" spans="1:6">
      <c r="A1660" s="110" t="s">
        <v>388</v>
      </c>
      <c r="B1660" s="110" t="s">
        <v>298</v>
      </c>
      <c r="C1660" s="110">
        <v>2.262</v>
      </c>
      <c r="D1660" s="112">
        <v>42792</v>
      </c>
      <c r="E1660" s="111" t="s">
        <v>297</v>
      </c>
      <c r="F1660" s="110" t="s">
        <v>296</v>
      </c>
    </row>
    <row r="1661" spans="1:6">
      <c r="A1661" s="110" t="s">
        <v>387</v>
      </c>
      <c r="B1661" s="110" t="s">
        <v>298</v>
      </c>
      <c r="C1661" s="110">
        <v>2.1970000000000001</v>
      </c>
      <c r="D1661" s="112">
        <v>42792</v>
      </c>
      <c r="E1661" s="111" t="s">
        <v>297</v>
      </c>
      <c r="F1661" s="110" t="s">
        <v>296</v>
      </c>
    </row>
    <row r="1662" spans="1:6">
      <c r="A1662" s="110" t="s">
        <v>386</v>
      </c>
      <c r="B1662" s="110" t="s">
        <v>298</v>
      </c>
      <c r="C1662" s="110">
        <v>2.2400000000000002</v>
      </c>
      <c r="D1662" s="112">
        <v>42792</v>
      </c>
      <c r="E1662" s="111" t="s">
        <v>297</v>
      </c>
      <c r="F1662" s="110" t="s">
        <v>296</v>
      </c>
    </row>
    <row r="1663" spans="1:6">
      <c r="A1663" s="110" t="s">
        <v>385</v>
      </c>
      <c r="B1663" s="110" t="s">
        <v>298</v>
      </c>
      <c r="C1663" s="110">
        <v>2.2069999999999999</v>
      </c>
      <c r="D1663" s="112">
        <v>42792</v>
      </c>
      <c r="E1663" s="111" t="s">
        <v>297</v>
      </c>
      <c r="F1663" s="110" t="s">
        <v>296</v>
      </c>
    </row>
    <row r="1664" spans="1:6">
      <c r="A1664" s="110" t="s">
        <v>384</v>
      </c>
      <c r="B1664" s="110" t="s">
        <v>298</v>
      </c>
      <c r="C1664" s="110">
        <v>2.2120000000000002</v>
      </c>
      <c r="D1664" s="112">
        <v>42792</v>
      </c>
      <c r="E1664" s="111" t="s">
        <v>297</v>
      </c>
      <c r="F1664" s="110" t="s">
        <v>296</v>
      </c>
    </row>
    <row r="1665" spans="1:6">
      <c r="A1665" s="110" t="s">
        <v>383</v>
      </c>
      <c r="B1665" s="110" t="s">
        <v>298</v>
      </c>
      <c r="C1665" s="110">
        <v>2.2690000000000001</v>
      </c>
      <c r="D1665" s="112">
        <v>42792</v>
      </c>
      <c r="E1665" s="111" t="s">
        <v>297</v>
      </c>
      <c r="F1665" s="110" t="s">
        <v>296</v>
      </c>
    </row>
    <row r="1666" spans="1:6">
      <c r="A1666" s="110" t="s">
        <v>382</v>
      </c>
      <c r="B1666" s="110" t="s">
        <v>298</v>
      </c>
      <c r="C1666" s="110">
        <v>2.2050000000000001</v>
      </c>
      <c r="D1666" s="112">
        <v>42792</v>
      </c>
      <c r="E1666" s="111" t="s">
        <v>297</v>
      </c>
      <c r="F1666" s="110" t="s">
        <v>296</v>
      </c>
    </row>
    <row r="1667" spans="1:6">
      <c r="A1667" s="110" t="s">
        <v>381</v>
      </c>
      <c r="B1667" s="110" t="s">
        <v>298</v>
      </c>
      <c r="C1667" s="110">
        <v>2.2200000000000002</v>
      </c>
      <c r="D1667" s="112">
        <v>42792</v>
      </c>
      <c r="E1667" s="111" t="s">
        <v>297</v>
      </c>
      <c r="F1667" s="110" t="s">
        <v>296</v>
      </c>
    </row>
    <row r="1668" spans="1:6">
      <c r="A1668" s="110" t="s">
        <v>380</v>
      </c>
      <c r="B1668" s="110" t="s">
        <v>298</v>
      </c>
      <c r="C1668" s="110">
        <v>2.2469999999999999</v>
      </c>
      <c r="D1668" s="112">
        <v>42792</v>
      </c>
      <c r="E1668" s="111" t="s">
        <v>297</v>
      </c>
      <c r="F1668" s="110" t="s">
        <v>296</v>
      </c>
    </row>
    <row r="1669" spans="1:6">
      <c r="A1669" s="110" t="s">
        <v>379</v>
      </c>
      <c r="B1669" s="110" t="s">
        <v>298</v>
      </c>
      <c r="C1669" s="110">
        <v>2.2320000000000002</v>
      </c>
      <c r="D1669" s="112">
        <v>42792</v>
      </c>
      <c r="E1669" s="111" t="s">
        <v>297</v>
      </c>
      <c r="F1669" s="110" t="s">
        <v>296</v>
      </c>
    </row>
    <row r="1670" spans="1:6">
      <c r="A1670" s="110" t="s">
        <v>378</v>
      </c>
      <c r="B1670" s="110" t="s">
        <v>298</v>
      </c>
      <c r="C1670" s="110">
        <v>2.1509999999999998</v>
      </c>
      <c r="D1670" s="112">
        <v>42792</v>
      </c>
      <c r="E1670" s="111" t="s">
        <v>297</v>
      </c>
      <c r="F1670" s="110" t="s">
        <v>296</v>
      </c>
    </row>
    <row r="1671" spans="1:6">
      <c r="A1671" s="110" t="s">
        <v>377</v>
      </c>
      <c r="B1671" s="110" t="s">
        <v>298</v>
      </c>
      <c r="C1671" s="110">
        <v>2.1949999999999998</v>
      </c>
      <c r="D1671" s="112">
        <v>42792</v>
      </c>
      <c r="E1671" s="111" t="s">
        <v>297</v>
      </c>
      <c r="F1671" s="110" t="s">
        <v>296</v>
      </c>
    </row>
    <row r="1672" spans="1:6">
      <c r="A1672" s="110" t="s">
        <v>376</v>
      </c>
      <c r="B1672" s="110" t="s">
        <v>298</v>
      </c>
      <c r="C1672" s="110">
        <v>2.2589999999999999</v>
      </c>
      <c r="D1672" s="112">
        <v>42792</v>
      </c>
      <c r="E1672" s="111" t="s">
        <v>297</v>
      </c>
      <c r="F1672" s="110" t="s">
        <v>296</v>
      </c>
    </row>
    <row r="1673" spans="1:6">
      <c r="A1673" s="110" t="s">
        <v>375</v>
      </c>
      <c r="B1673" s="110" t="s">
        <v>298</v>
      </c>
      <c r="C1673" s="110">
        <v>2.2160000000000002</v>
      </c>
      <c r="D1673" s="112">
        <v>42792</v>
      </c>
      <c r="E1673" s="111" t="s">
        <v>297</v>
      </c>
      <c r="F1673" s="110" t="s">
        <v>296</v>
      </c>
    </row>
    <row r="1674" spans="1:6">
      <c r="A1674" s="110" t="s">
        <v>374</v>
      </c>
      <c r="B1674" s="110" t="s">
        <v>298</v>
      </c>
      <c r="C1674" s="110">
        <v>2.2400000000000002</v>
      </c>
      <c r="D1674" s="112">
        <v>42792</v>
      </c>
      <c r="E1674" s="111" t="s">
        <v>297</v>
      </c>
      <c r="F1674" s="110" t="s">
        <v>296</v>
      </c>
    </row>
    <row r="1675" spans="1:6">
      <c r="A1675" s="110" t="s">
        <v>373</v>
      </c>
      <c r="B1675" s="110" t="s">
        <v>298</v>
      </c>
      <c r="C1675" s="110">
        <v>2.21</v>
      </c>
      <c r="D1675" s="112">
        <v>42792</v>
      </c>
      <c r="E1675" s="111" t="s">
        <v>297</v>
      </c>
      <c r="F1675" s="110" t="s">
        <v>296</v>
      </c>
    </row>
    <row r="1676" spans="1:6">
      <c r="A1676" s="110" t="s">
        <v>372</v>
      </c>
      <c r="B1676" s="110" t="s">
        <v>298</v>
      </c>
      <c r="C1676" s="110">
        <v>2.1890000000000001</v>
      </c>
      <c r="D1676" s="112">
        <v>42792</v>
      </c>
      <c r="E1676" s="111" t="s">
        <v>297</v>
      </c>
      <c r="F1676" s="110" t="s">
        <v>296</v>
      </c>
    </row>
    <row r="1677" spans="1:6">
      <c r="A1677" s="110" t="s">
        <v>371</v>
      </c>
      <c r="B1677" s="110" t="s">
        <v>298</v>
      </c>
      <c r="C1677" s="110">
        <v>2.2120000000000002</v>
      </c>
      <c r="D1677" s="112">
        <v>42792</v>
      </c>
      <c r="E1677" s="111" t="s">
        <v>297</v>
      </c>
      <c r="F1677" s="110" t="s">
        <v>296</v>
      </c>
    </row>
    <row r="1678" spans="1:6">
      <c r="A1678" s="110" t="s">
        <v>370</v>
      </c>
      <c r="B1678" s="110" t="s">
        <v>298</v>
      </c>
      <c r="C1678" s="110">
        <v>2.2480000000000002</v>
      </c>
      <c r="D1678" s="112">
        <v>42792</v>
      </c>
      <c r="E1678" s="111" t="s">
        <v>297</v>
      </c>
      <c r="F1678" s="110" t="s">
        <v>296</v>
      </c>
    </row>
    <row r="1679" spans="1:6">
      <c r="A1679" s="110" t="s">
        <v>369</v>
      </c>
      <c r="B1679" s="110" t="s">
        <v>298</v>
      </c>
      <c r="C1679" s="110">
        <v>2.206</v>
      </c>
      <c r="D1679" s="112">
        <v>42792</v>
      </c>
      <c r="E1679" s="111" t="s">
        <v>297</v>
      </c>
      <c r="F1679" s="110" t="s">
        <v>296</v>
      </c>
    </row>
    <row r="1680" spans="1:6">
      <c r="A1680" s="110" t="s">
        <v>368</v>
      </c>
      <c r="B1680" s="110" t="s">
        <v>298</v>
      </c>
      <c r="C1680" s="110">
        <v>2.2309999999999999</v>
      </c>
      <c r="D1680" s="112">
        <v>42792</v>
      </c>
      <c r="E1680" s="111" t="s">
        <v>297</v>
      </c>
      <c r="F1680" s="110" t="s">
        <v>296</v>
      </c>
    </row>
    <row r="1681" spans="1:6">
      <c r="A1681" s="110" t="s">
        <v>367</v>
      </c>
      <c r="B1681" s="110" t="s">
        <v>298</v>
      </c>
      <c r="C1681" s="110">
        <v>2.1909999999999998</v>
      </c>
      <c r="D1681" s="112">
        <v>42792</v>
      </c>
      <c r="E1681" s="111" t="s">
        <v>297</v>
      </c>
      <c r="F1681" s="110" t="s">
        <v>296</v>
      </c>
    </row>
    <row r="1682" spans="1:6">
      <c r="A1682" s="110" t="s">
        <v>366</v>
      </c>
      <c r="B1682" s="110" t="s">
        <v>298</v>
      </c>
      <c r="C1682" s="110">
        <v>2.2320000000000002</v>
      </c>
      <c r="D1682" s="112">
        <v>42792</v>
      </c>
      <c r="E1682" s="111" t="s">
        <v>297</v>
      </c>
      <c r="F1682" s="110" t="s">
        <v>296</v>
      </c>
    </row>
    <row r="1683" spans="1:6">
      <c r="A1683" s="110" t="s">
        <v>365</v>
      </c>
      <c r="B1683" s="110" t="s">
        <v>298</v>
      </c>
      <c r="C1683" s="110">
        <v>2.1629999999999998</v>
      </c>
      <c r="D1683" s="112">
        <v>42792</v>
      </c>
      <c r="E1683" s="111" t="s">
        <v>297</v>
      </c>
      <c r="F1683" s="110" t="s">
        <v>296</v>
      </c>
    </row>
    <row r="1684" spans="1:6">
      <c r="A1684" s="110" t="s">
        <v>364</v>
      </c>
      <c r="B1684" s="110" t="s">
        <v>298</v>
      </c>
      <c r="C1684" s="110">
        <v>2.2290000000000001</v>
      </c>
      <c r="D1684" s="112">
        <v>42792</v>
      </c>
      <c r="E1684" s="111" t="s">
        <v>297</v>
      </c>
      <c r="F1684" s="110" t="s">
        <v>296</v>
      </c>
    </row>
    <row r="1685" spans="1:6">
      <c r="A1685" s="110" t="s">
        <v>363</v>
      </c>
      <c r="B1685" s="110" t="s">
        <v>298</v>
      </c>
      <c r="C1685" s="110">
        <v>2.1989999999999998</v>
      </c>
      <c r="D1685" s="112">
        <v>42792</v>
      </c>
      <c r="E1685" s="111" t="s">
        <v>297</v>
      </c>
      <c r="F1685" s="110" t="s">
        <v>296</v>
      </c>
    </row>
    <row r="1686" spans="1:6">
      <c r="A1686" s="110" t="s">
        <v>362</v>
      </c>
      <c r="B1686" s="110" t="s">
        <v>298</v>
      </c>
      <c r="C1686" s="110">
        <v>2.2549999999999999</v>
      </c>
      <c r="D1686" s="112">
        <v>42792</v>
      </c>
      <c r="E1686" s="111" t="s">
        <v>297</v>
      </c>
      <c r="F1686" s="110" t="s">
        <v>296</v>
      </c>
    </row>
    <row r="1687" spans="1:6">
      <c r="A1687" s="110" t="s">
        <v>361</v>
      </c>
      <c r="B1687" s="110" t="s">
        <v>298</v>
      </c>
      <c r="C1687" s="110">
        <v>2.2450000000000001</v>
      </c>
      <c r="D1687" s="112">
        <v>42792</v>
      </c>
      <c r="E1687" s="111" t="s">
        <v>297</v>
      </c>
      <c r="F1687" s="110" t="s">
        <v>296</v>
      </c>
    </row>
    <row r="1688" spans="1:6">
      <c r="A1688" s="110" t="s">
        <v>360</v>
      </c>
      <c r="B1688" s="110" t="s">
        <v>298</v>
      </c>
      <c r="C1688" s="110">
        <v>2.16</v>
      </c>
      <c r="D1688" s="112">
        <v>42792</v>
      </c>
      <c r="E1688" s="111" t="s">
        <v>297</v>
      </c>
      <c r="F1688" s="110" t="s">
        <v>296</v>
      </c>
    </row>
    <row r="1689" spans="1:6">
      <c r="A1689" s="110" t="s">
        <v>359</v>
      </c>
      <c r="B1689" s="110" t="s">
        <v>298</v>
      </c>
      <c r="C1689" s="110">
        <v>2.19</v>
      </c>
      <c r="D1689" s="112">
        <v>42792</v>
      </c>
      <c r="E1689" s="111" t="s">
        <v>297</v>
      </c>
      <c r="F1689" s="110" t="s">
        <v>296</v>
      </c>
    </row>
    <row r="1690" spans="1:6">
      <c r="A1690" s="110" t="s">
        <v>358</v>
      </c>
      <c r="B1690" s="110" t="s">
        <v>298</v>
      </c>
      <c r="C1690" s="110">
        <v>2.194</v>
      </c>
      <c r="D1690" s="112">
        <v>42792</v>
      </c>
      <c r="E1690" s="111" t="s">
        <v>297</v>
      </c>
      <c r="F1690" s="110" t="s">
        <v>296</v>
      </c>
    </row>
    <row r="1691" spans="1:6">
      <c r="A1691" s="110" t="s">
        <v>357</v>
      </c>
      <c r="B1691" s="110" t="s">
        <v>298</v>
      </c>
      <c r="C1691" s="110">
        <v>2.2410000000000001</v>
      </c>
      <c r="D1691" s="112">
        <v>42792</v>
      </c>
      <c r="E1691" s="111" t="s">
        <v>297</v>
      </c>
      <c r="F1691" s="110" t="s">
        <v>296</v>
      </c>
    </row>
    <row r="1692" spans="1:6">
      <c r="A1692" s="110" t="s">
        <v>356</v>
      </c>
      <c r="B1692" s="110" t="s">
        <v>298</v>
      </c>
      <c r="C1692" s="110">
        <v>2.1989999999999998</v>
      </c>
      <c r="D1692" s="112">
        <v>42792</v>
      </c>
      <c r="E1692" s="111" t="s">
        <v>297</v>
      </c>
      <c r="F1692" s="110" t="s">
        <v>296</v>
      </c>
    </row>
    <row r="1693" spans="1:6">
      <c r="A1693" s="110" t="s">
        <v>355</v>
      </c>
      <c r="B1693" s="110" t="s">
        <v>298</v>
      </c>
      <c r="C1693" s="110">
        <v>2.17</v>
      </c>
      <c r="D1693" s="112">
        <v>42792</v>
      </c>
      <c r="E1693" s="111" t="s">
        <v>297</v>
      </c>
      <c r="F1693" s="110" t="s">
        <v>296</v>
      </c>
    </row>
    <row r="1694" spans="1:6">
      <c r="A1694" s="110" t="s">
        <v>354</v>
      </c>
      <c r="B1694" s="110" t="s">
        <v>298</v>
      </c>
      <c r="C1694" s="110">
        <v>2.2549999999999999</v>
      </c>
      <c r="D1694" s="112">
        <v>42792</v>
      </c>
      <c r="E1694" s="111" t="s">
        <v>297</v>
      </c>
      <c r="F1694" s="110" t="s">
        <v>296</v>
      </c>
    </row>
    <row r="1695" spans="1:6">
      <c r="A1695" s="110" t="s">
        <v>353</v>
      </c>
      <c r="B1695" s="110" t="s">
        <v>298</v>
      </c>
      <c r="C1695" s="110">
        <v>2.177</v>
      </c>
      <c r="D1695" s="112">
        <v>42792</v>
      </c>
      <c r="E1695" s="111" t="s">
        <v>297</v>
      </c>
      <c r="F1695" s="110" t="s">
        <v>296</v>
      </c>
    </row>
    <row r="1696" spans="1:6">
      <c r="A1696" s="110" t="s">
        <v>352</v>
      </c>
      <c r="B1696" s="110" t="s">
        <v>298</v>
      </c>
      <c r="C1696" s="110">
        <v>2.1579999999999999</v>
      </c>
      <c r="D1696" s="112">
        <v>42792</v>
      </c>
      <c r="E1696" s="111" t="s">
        <v>297</v>
      </c>
      <c r="F1696" s="110" t="s">
        <v>296</v>
      </c>
    </row>
    <row r="1697" spans="1:6">
      <c r="A1697" s="110" t="s">
        <v>351</v>
      </c>
      <c r="B1697" s="110" t="s">
        <v>298</v>
      </c>
      <c r="C1697" s="110">
        <v>2.1869999999999998</v>
      </c>
      <c r="D1697" s="112">
        <v>42792</v>
      </c>
      <c r="E1697" s="111" t="s">
        <v>297</v>
      </c>
      <c r="F1697" s="110" t="s">
        <v>296</v>
      </c>
    </row>
    <row r="1698" spans="1:6">
      <c r="A1698" s="110" t="s">
        <v>350</v>
      </c>
      <c r="B1698" s="110" t="s">
        <v>298</v>
      </c>
      <c r="C1698" s="110">
        <v>2.2549999999999999</v>
      </c>
      <c r="D1698" s="112">
        <v>42792</v>
      </c>
      <c r="E1698" s="111" t="s">
        <v>297</v>
      </c>
      <c r="F1698" s="110" t="s">
        <v>296</v>
      </c>
    </row>
    <row r="1699" spans="1:6">
      <c r="A1699" s="110" t="s">
        <v>349</v>
      </c>
      <c r="B1699" s="110" t="s">
        <v>298</v>
      </c>
      <c r="C1699" s="110">
        <v>2.266</v>
      </c>
      <c r="D1699" s="112">
        <v>42792</v>
      </c>
      <c r="E1699" s="111" t="s">
        <v>297</v>
      </c>
      <c r="F1699" s="110" t="s">
        <v>296</v>
      </c>
    </row>
    <row r="1700" spans="1:6">
      <c r="A1700" s="110" t="s">
        <v>348</v>
      </c>
      <c r="B1700" s="110" t="s">
        <v>298</v>
      </c>
      <c r="C1700" s="110">
        <v>2.1579999999999999</v>
      </c>
      <c r="D1700" s="112">
        <v>42792</v>
      </c>
      <c r="E1700" s="111" t="s">
        <v>297</v>
      </c>
      <c r="F1700" s="110" t="s">
        <v>296</v>
      </c>
    </row>
    <row r="1701" spans="1:6">
      <c r="A1701" s="110" t="s">
        <v>347</v>
      </c>
      <c r="B1701" s="110" t="s">
        <v>298</v>
      </c>
      <c r="C1701" s="110">
        <v>2.2389999999999999</v>
      </c>
      <c r="D1701" s="112">
        <v>42792</v>
      </c>
      <c r="E1701" s="111" t="s">
        <v>297</v>
      </c>
      <c r="F1701" s="110" t="s">
        <v>296</v>
      </c>
    </row>
    <row r="1702" spans="1:6">
      <c r="A1702" s="110" t="s">
        <v>346</v>
      </c>
      <c r="B1702" s="110" t="s">
        <v>298</v>
      </c>
      <c r="C1702" s="110">
        <v>2.2050000000000001</v>
      </c>
      <c r="D1702" s="112">
        <v>42792</v>
      </c>
      <c r="E1702" s="111" t="s">
        <v>297</v>
      </c>
      <c r="F1702" s="110" t="s">
        <v>296</v>
      </c>
    </row>
    <row r="1703" spans="1:6">
      <c r="A1703" s="110" t="s">
        <v>345</v>
      </c>
      <c r="B1703" s="110" t="s">
        <v>298</v>
      </c>
      <c r="C1703" s="110">
        <v>2.2000000000000002</v>
      </c>
      <c r="D1703" s="112">
        <v>42792</v>
      </c>
      <c r="E1703" s="111" t="s">
        <v>297</v>
      </c>
      <c r="F1703" s="110" t="s">
        <v>296</v>
      </c>
    </row>
    <row r="1704" spans="1:6">
      <c r="A1704" s="110" t="s">
        <v>344</v>
      </c>
      <c r="B1704" s="110" t="s">
        <v>298</v>
      </c>
      <c r="C1704" s="110">
        <v>2.2170000000000001</v>
      </c>
      <c r="D1704" s="112">
        <v>42792</v>
      </c>
      <c r="E1704" s="111" t="s">
        <v>297</v>
      </c>
      <c r="F1704" s="110" t="s">
        <v>296</v>
      </c>
    </row>
    <row r="1705" spans="1:6">
      <c r="A1705" s="110" t="s">
        <v>343</v>
      </c>
      <c r="B1705" s="110" t="s">
        <v>298</v>
      </c>
      <c r="C1705" s="110">
        <v>2.2360000000000002</v>
      </c>
      <c r="D1705" s="112">
        <v>42792</v>
      </c>
      <c r="E1705" s="111" t="s">
        <v>297</v>
      </c>
      <c r="F1705" s="110" t="s">
        <v>296</v>
      </c>
    </row>
    <row r="1706" spans="1:6">
      <c r="A1706" s="110" t="s">
        <v>342</v>
      </c>
      <c r="B1706" s="110" t="s">
        <v>298</v>
      </c>
      <c r="C1706" s="110">
        <v>2.2130000000000001</v>
      </c>
      <c r="D1706" s="112">
        <v>42792</v>
      </c>
      <c r="E1706" s="111" t="s">
        <v>297</v>
      </c>
      <c r="F1706" s="110" t="s">
        <v>296</v>
      </c>
    </row>
    <row r="1707" spans="1:6">
      <c r="A1707" s="110" t="s">
        <v>341</v>
      </c>
      <c r="B1707" s="110" t="s">
        <v>298</v>
      </c>
      <c r="C1707" s="110">
        <v>2.1850000000000001</v>
      </c>
      <c r="D1707" s="112">
        <v>42792</v>
      </c>
      <c r="E1707" s="111" t="s">
        <v>297</v>
      </c>
      <c r="F1707" s="110" t="s">
        <v>296</v>
      </c>
    </row>
    <row r="1708" spans="1:6">
      <c r="A1708" s="110" t="s">
        <v>340</v>
      </c>
      <c r="B1708" s="110" t="s">
        <v>298</v>
      </c>
      <c r="C1708" s="110">
        <v>2.2040000000000002</v>
      </c>
      <c r="D1708" s="112">
        <v>42792</v>
      </c>
      <c r="E1708" s="111" t="s">
        <v>297</v>
      </c>
      <c r="F1708" s="110" t="s">
        <v>296</v>
      </c>
    </row>
    <row r="1709" spans="1:6">
      <c r="A1709" s="110" t="s">
        <v>339</v>
      </c>
      <c r="B1709" s="110" t="s">
        <v>298</v>
      </c>
      <c r="C1709" s="110">
        <v>2.1579999999999999</v>
      </c>
      <c r="D1709" s="112">
        <v>42792</v>
      </c>
      <c r="E1709" s="111" t="s">
        <v>297</v>
      </c>
      <c r="F1709" s="110" t="s">
        <v>296</v>
      </c>
    </row>
    <row r="1710" spans="1:6">
      <c r="A1710" s="110" t="s">
        <v>338</v>
      </c>
      <c r="B1710" s="110" t="s">
        <v>298</v>
      </c>
      <c r="C1710" s="110">
        <v>2.17</v>
      </c>
      <c r="D1710" s="112">
        <v>42792</v>
      </c>
      <c r="E1710" s="111" t="s">
        <v>297</v>
      </c>
      <c r="F1710" s="110" t="s">
        <v>296</v>
      </c>
    </row>
    <row r="1711" spans="1:6">
      <c r="A1711" s="110" t="s">
        <v>337</v>
      </c>
      <c r="B1711" s="110" t="s">
        <v>298</v>
      </c>
      <c r="C1711" s="110">
        <v>2.25</v>
      </c>
      <c r="D1711" s="112">
        <v>42792</v>
      </c>
      <c r="E1711" s="111" t="s">
        <v>297</v>
      </c>
      <c r="F1711" s="110" t="s">
        <v>296</v>
      </c>
    </row>
    <row r="1712" spans="1:6">
      <c r="A1712" s="110" t="s">
        <v>336</v>
      </c>
      <c r="B1712" s="110" t="s">
        <v>298</v>
      </c>
      <c r="C1712" s="110">
        <v>2.1930000000000001</v>
      </c>
      <c r="D1712" s="112">
        <v>42792</v>
      </c>
      <c r="E1712" s="111" t="s">
        <v>297</v>
      </c>
      <c r="F1712" s="110" t="s">
        <v>296</v>
      </c>
    </row>
    <row r="1713" spans="1:6">
      <c r="A1713" s="110" t="s">
        <v>335</v>
      </c>
      <c r="B1713" s="110" t="s">
        <v>298</v>
      </c>
      <c r="C1713" s="110">
        <v>2.1960000000000002</v>
      </c>
      <c r="D1713" s="112">
        <v>42792</v>
      </c>
      <c r="E1713" s="111" t="s">
        <v>297</v>
      </c>
      <c r="F1713" s="110" t="s">
        <v>296</v>
      </c>
    </row>
    <row r="1714" spans="1:6">
      <c r="A1714" s="110" t="s">
        <v>334</v>
      </c>
      <c r="B1714" s="110" t="s">
        <v>298</v>
      </c>
      <c r="C1714" s="110">
        <v>2.2469999999999999</v>
      </c>
      <c r="D1714" s="112">
        <v>42792</v>
      </c>
      <c r="E1714" s="111" t="s">
        <v>297</v>
      </c>
      <c r="F1714" s="110" t="s">
        <v>296</v>
      </c>
    </row>
    <row r="1715" spans="1:6">
      <c r="A1715" s="110" t="s">
        <v>333</v>
      </c>
      <c r="B1715" s="110" t="s">
        <v>298</v>
      </c>
      <c r="C1715" s="110">
        <v>2.2389999999999999</v>
      </c>
      <c r="D1715" s="112">
        <v>42792</v>
      </c>
      <c r="E1715" s="111" t="s">
        <v>297</v>
      </c>
      <c r="F1715" s="110" t="s">
        <v>296</v>
      </c>
    </row>
    <row r="1716" spans="1:6">
      <c r="A1716" s="110" t="s">
        <v>332</v>
      </c>
      <c r="B1716" s="110" t="s">
        <v>298</v>
      </c>
      <c r="C1716" s="110">
        <v>2.21</v>
      </c>
      <c r="D1716" s="112">
        <v>42792</v>
      </c>
      <c r="E1716" s="111" t="s">
        <v>297</v>
      </c>
      <c r="F1716" s="110" t="s">
        <v>296</v>
      </c>
    </row>
    <row r="1717" spans="1:6">
      <c r="A1717" s="110" t="s">
        <v>331</v>
      </c>
      <c r="B1717" s="110" t="s">
        <v>298</v>
      </c>
      <c r="C1717" s="110">
        <v>2.2309999999999999</v>
      </c>
      <c r="D1717" s="112">
        <v>42792</v>
      </c>
      <c r="E1717" s="111" t="s">
        <v>297</v>
      </c>
      <c r="F1717" s="110" t="s">
        <v>296</v>
      </c>
    </row>
    <row r="1718" spans="1:6">
      <c r="A1718" s="110" t="s">
        <v>330</v>
      </c>
      <c r="B1718" s="110" t="s">
        <v>298</v>
      </c>
      <c r="C1718" s="110">
        <v>2.2210000000000001</v>
      </c>
      <c r="D1718" s="112">
        <v>42792</v>
      </c>
      <c r="E1718" s="111" t="s">
        <v>297</v>
      </c>
      <c r="F1718" s="110" t="s">
        <v>296</v>
      </c>
    </row>
    <row r="1719" spans="1:6">
      <c r="A1719" s="110" t="s">
        <v>329</v>
      </c>
      <c r="B1719" s="110" t="s">
        <v>298</v>
      </c>
      <c r="C1719" s="110">
        <v>2.2109999999999999</v>
      </c>
      <c r="D1719" s="112">
        <v>42792</v>
      </c>
      <c r="E1719" s="111" t="s">
        <v>297</v>
      </c>
      <c r="F1719" s="110" t="s">
        <v>296</v>
      </c>
    </row>
    <row r="1720" spans="1:6">
      <c r="A1720" s="110" t="s">
        <v>328</v>
      </c>
      <c r="B1720" s="110" t="s">
        <v>298</v>
      </c>
      <c r="C1720" s="110">
        <v>2.226</v>
      </c>
      <c r="D1720" s="112">
        <v>42792</v>
      </c>
      <c r="E1720" s="111" t="s">
        <v>297</v>
      </c>
      <c r="F1720" s="110" t="s">
        <v>296</v>
      </c>
    </row>
    <row r="1721" spans="1:6">
      <c r="A1721" s="110" t="s">
        <v>327</v>
      </c>
      <c r="B1721" s="110" t="s">
        <v>298</v>
      </c>
      <c r="C1721" s="110">
        <v>2.1819999999999999</v>
      </c>
      <c r="D1721" s="112">
        <v>42792</v>
      </c>
      <c r="E1721" s="111" t="s">
        <v>297</v>
      </c>
      <c r="F1721" s="110" t="s">
        <v>296</v>
      </c>
    </row>
    <row r="1722" spans="1:6">
      <c r="A1722" s="110" t="s">
        <v>326</v>
      </c>
      <c r="B1722" s="110" t="s">
        <v>298</v>
      </c>
      <c r="C1722" s="110">
        <v>2.2309999999999999</v>
      </c>
      <c r="D1722" s="112">
        <v>42792</v>
      </c>
      <c r="E1722" s="111" t="s">
        <v>297</v>
      </c>
      <c r="F1722" s="110" t="s">
        <v>296</v>
      </c>
    </row>
    <row r="1723" spans="1:6">
      <c r="A1723" s="110" t="s">
        <v>325</v>
      </c>
      <c r="B1723" s="110" t="s">
        <v>298</v>
      </c>
      <c r="C1723" s="110">
        <v>2.2210000000000001</v>
      </c>
      <c r="D1723" s="112">
        <v>42792</v>
      </c>
      <c r="E1723" s="111" t="s">
        <v>297</v>
      </c>
      <c r="F1723" s="110" t="s">
        <v>296</v>
      </c>
    </row>
    <row r="1724" spans="1:6">
      <c r="A1724" s="110" t="s">
        <v>324</v>
      </c>
      <c r="B1724" s="110" t="s">
        <v>298</v>
      </c>
      <c r="C1724" s="110">
        <v>2.2130000000000001</v>
      </c>
      <c r="D1724" s="112">
        <v>42792</v>
      </c>
      <c r="E1724" s="111" t="s">
        <v>297</v>
      </c>
      <c r="F1724" s="110" t="s">
        <v>296</v>
      </c>
    </row>
    <row r="1725" spans="1:6">
      <c r="A1725" s="110" t="s">
        <v>323</v>
      </c>
      <c r="B1725" s="110" t="s">
        <v>298</v>
      </c>
      <c r="C1725" s="110">
        <v>2.194</v>
      </c>
      <c r="D1725" s="112">
        <v>42792</v>
      </c>
      <c r="E1725" s="111" t="s">
        <v>297</v>
      </c>
      <c r="F1725" s="110" t="s">
        <v>296</v>
      </c>
    </row>
    <row r="1726" spans="1:6">
      <c r="A1726" s="110" t="s">
        <v>322</v>
      </c>
      <c r="B1726" s="110" t="s">
        <v>298</v>
      </c>
      <c r="C1726" s="110">
        <v>2.1749999999999998</v>
      </c>
      <c r="D1726" s="112">
        <v>42792</v>
      </c>
      <c r="E1726" s="111" t="s">
        <v>297</v>
      </c>
      <c r="F1726" s="110" t="s">
        <v>296</v>
      </c>
    </row>
    <row r="1727" spans="1:6">
      <c r="A1727" s="110" t="s">
        <v>321</v>
      </c>
      <c r="B1727" s="110" t="s">
        <v>298</v>
      </c>
      <c r="C1727" s="110">
        <v>2.1680000000000001</v>
      </c>
      <c r="D1727" s="112">
        <v>42792</v>
      </c>
      <c r="E1727" s="111" t="s">
        <v>297</v>
      </c>
      <c r="F1727" s="110" t="s">
        <v>296</v>
      </c>
    </row>
    <row r="1728" spans="1:6">
      <c r="A1728" s="110" t="s">
        <v>320</v>
      </c>
      <c r="B1728" s="110" t="s">
        <v>298</v>
      </c>
      <c r="C1728" s="110">
        <v>2.16</v>
      </c>
      <c r="D1728" s="112">
        <v>42792</v>
      </c>
      <c r="E1728" s="111" t="s">
        <v>297</v>
      </c>
      <c r="F1728" s="110" t="s">
        <v>296</v>
      </c>
    </row>
    <row r="1729" spans="1:6">
      <c r="A1729" s="110" t="s">
        <v>319</v>
      </c>
      <c r="B1729" s="110" t="s">
        <v>298</v>
      </c>
      <c r="C1729" s="110">
        <v>2.2170000000000001</v>
      </c>
      <c r="D1729" s="112">
        <v>42792</v>
      </c>
      <c r="E1729" s="111" t="s">
        <v>297</v>
      </c>
      <c r="F1729" s="110" t="s">
        <v>296</v>
      </c>
    </row>
    <row r="1730" spans="1:6">
      <c r="A1730" s="110" t="s">
        <v>318</v>
      </c>
      <c r="B1730" s="110" t="s">
        <v>298</v>
      </c>
      <c r="C1730" s="110">
        <v>2.1680000000000001</v>
      </c>
      <c r="D1730" s="112">
        <v>42792</v>
      </c>
      <c r="E1730" s="111" t="s">
        <v>297</v>
      </c>
      <c r="F1730" s="110" t="s">
        <v>296</v>
      </c>
    </row>
    <row r="1731" spans="1:6">
      <c r="A1731" s="110" t="s">
        <v>317</v>
      </c>
      <c r="B1731" s="110" t="s">
        <v>298</v>
      </c>
      <c r="C1731" s="110">
        <v>2.1880000000000002</v>
      </c>
      <c r="D1731" s="112">
        <v>42792</v>
      </c>
      <c r="E1731" s="111" t="s">
        <v>297</v>
      </c>
      <c r="F1731" s="110" t="s">
        <v>296</v>
      </c>
    </row>
    <row r="1732" spans="1:6">
      <c r="A1732" s="110" t="s">
        <v>316</v>
      </c>
      <c r="B1732" s="110" t="s">
        <v>298</v>
      </c>
      <c r="C1732" s="110">
        <v>2.214</v>
      </c>
      <c r="D1732" s="112">
        <v>42792</v>
      </c>
      <c r="E1732" s="111" t="s">
        <v>297</v>
      </c>
      <c r="F1732" s="110" t="s">
        <v>296</v>
      </c>
    </row>
    <row r="1733" spans="1:6">
      <c r="A1733" s="110" t="s">
        <v>315</v>
      </c>
      <c r="B1733" s="110" t="s">
        <v>298</v>
      </c>
      <c r="C1733" s="110">
        <v>2.173</v>
      </c>
      <c r="D1733" s="112">
        <v>42792</v>
      </c>
      <c r="E1733" s="111" t="s">
        <v>297</v>
      </c>
      <c r="F1733" s="110" t="s">
        <v>296</v>
      </c>
    </row>
    <row r="1734" spans="1:6">
      <c r="A1734" s="110" t="s">
        <v>314</v>
      </c>
      <c r="B1734" s="110" t="s">
        <v>298</v>
      </c>
      <c r="C1734" s="110">
        <v>2.1419999999999999</v>
      </c>
      <c r="D1734" s="112">
        <v>42792</v>
      </c>
      <c r="E1734" s="111" t="s">
        <v>297</v>
      </c>
      <c r="F1734" s="110" t="s">
        <v>296</v>
      </c>
    </row>
    <row r="1735" spans="1:6">
      <c r="A1735" s="110" t="s">
        <v>313</v>
      </c>
      <c r="B1735" s="110" t="s">
        <v>298</v>
      </c>
      <c r="C1735" s="110">
        <v>2.1659999999999999</v>
      </c>
      <c r="D1735" s="112">
        <v>42792</v>
      </c>
      <c r="E1735" s="111" t="s">
        <v>297</v>
      </c>
      <c r="F1735" s="110" t="s">
        <v>296</v>
      </c>
    </row>
    <row r="1736" spans="1:6">
      <c r="A1736" s="110" t="s">
        <v>312</v>
      </c>
      <c r="B1736" s="110" t="s">
        <v>298</v>
      </c>
      <c r="C1736" s="110">
        <v>2.222</v>
      </c>
      <c r="D1736" s="112">
        <v>42792</v>
      </c>
      <c r="E1736" s="111" t="s">
        <v>297</v>
      </c>
      <c r="F1736" s="110" t="s">
        <v>296</v>
      </c>
    </row>
    <row r="1737" spans="1:6">
      <c r="A1737" s="110" t="s">
        <v>311</v>
      </c>
      <c r="B1737" s="110" t="s">
        <v>298</v>
      </c>
      <c r="C1737" s="110">
        <v>2.2330000000000001</v>
      </c>
      <c r="D1737" s="112">
        <v>42792</v>
      </c>
      <c r="E1737" s="111" t="s">
        <v>297</v>
      </c>
      <c r="F1737" s="110" t="s">
        <v>296</v>
      </c>
    </row>
    <row r="1738" spans="1:6">
      <c r="A1738" s="110" t="s">
        <v>310</v>
      </c>
      <c r="B1738" s="110" t="s">
        <v>298</v>
      </c>
      <c r="C1738" s="110">
        <v>2.1880000000000002</v>
      </c>
      <c r="D1738" s="112">
        <v>42792</v>
      </c>
      <c r="E1738" s="111" t="s">
        <v>297</v>
      </c>
      <c r="F1738" s="110" t="s">
        <v>296</v>
      </c>
    </row>
    <row r="1739" spans="1:6">
      <c r="A1739" s="110" t="s">
        <v>309</v>
      </c>
      <c r="B1739" s="110" t="s">
        <v>298</v>
      </c>
      <c r="C1739" s="110">
        <v>2.2160000000000002</v>
      </c>
      <c r="D1739" s="112">
        <v>42792</v>
      </c>
      <c r="E1739" s="111" t="s">
        <v>297</v>
      </c>
      <c r="F1739" s="110" t="s">
        <v>296</v>
      </c>
    </row>
    <row r="1740" spans="1:6">
      <c r="A1740" s="110" t="s">
        <v>308</v>
      </c>
      <c r="B1740" s="110" t="s">
        <v>298</v>
      </c>
      <c r="C1740" s="110">
        <v>2.2410000000000001</v>
      </c>
      <c r="D1740" s="112">
        <v>42792</v>
      </c>
      <c r="E1740" s="111" t="s">
        <v>297</v>
      </c>
      <c r="F1740" s="110" t="s">
        <v>296</v>
      </c>
    </row>
    <row r="1741" spans="1:6">
      <c r="A1741" s="110" t="s">
        <v>307</v>
      </c>
      <c r="B1741" s="110" t="s">
        <v>298</v>
      </c>
      <c r="C1741" s="110">
        <v>2.2149999999999999</v>
      </c>
      <c r="D1741" s="112">
        <v>42792</v>
      </c>
      <c r="E1741" s="111" t="s">
        <v>297</v>
      </c>
      <c r="F1741" s="110" t="s">
        <v>296</v>
      </c>
    </row>
    <row r="1742" spans="1:6">
      <c r="A1742" s="110" t="s">
        <v>306</v>
      </c>
      <c r="B1742" s="110" t="s">
        <v>298</v>
      </c>
      <c r="C1742" s="110">
        <v>2.218</v>
      </c>
      <c r="D1742" s="112">
        <v>42792</v>
      </c>
      <c r="E1742" s="111" t="s">
        <v>297</v>
      </c>
      <c r="F1742" s="110" t="s">
        <v>296</v>
      </c>
    </row>
    <row r="1743" spans="1:6">
      <c r="A1743" s="110" t="s">
        <v>305</v>
      </c>
      <c r="B1743" s="110" t="s">
        <v>298</v>
      </c>
      <c r="C1743" s="110">
        <v>2.1840000000000002</v>
      </c>
      <c r="D1743" s="112">
        <v>42792</v>
      </c>
      <c r="E1743" s="111" t="s">
        <v>297</v>
      </c>
      <c r="F1743" s="110" t="s">
        <v>296</v>
      </c>
    </row>
    <row r="1744" spans="1:6">
      <c r="A1744" s="110" t="s">
        <v>304</v>
      </c>
      <c r="B1744" s="110" t="s">
        <v>298</v>
      </c>
      <c r="C1744" s="110">
        <v>2.15</v>
      </c>
      <c r="D1744" s="112">
        <v>42792</v>
      </c>
      <c r="E1744" s="111" t="s">
        <v>297</v>
      </c>
      <c r="F1744" s="110" t="s">
        <v>296</v>
      </c>
    </row>
    <row r="1745" spans="1:6">
      <c r="A1745" s="110" t="s">
        <v>303</v>
      </c>
      <c r="B1745" s="110" t="s">
        <v>298</v>
      </c>
      <c r="C1745" s="110">
        <v>2.2000000000000002</v>
      </c>
      <c r="D1745" s="112">
        <v>42792</v>
      </c>
      <c r="E1745" s="111" t="s">
        <v>297</v>
      </c>
      <c r="F1745" s="110" t="s">
        <v>296</v>
      </c>
    </row>
    <row r="1746" spans="1:6">
      <c r="A1746" s="110" t="s">
        <v>302</v>
      </c>
      <c r="B1746" s="110" t="s">
        <v>298</v>
      </c>
      <c r="C1746" s="110">
        <v>2.1909999999999998</v>
      </c>
      <c r="D1746" s="112">
        <v>42792</v>
      </c>
      <c r="E1746" s="111" t="s">
        <v>297</v>
      </c>
      <c r="F1746" s="110" t="s">
        <v>296</v>
      </c>
    </row>
    <row r="1747" spans="1:6">
      <c r="A1747" s="110" t="s">
        <v>301</v>
      </c>
      <c r="B1747" s="110" t="s">
        <v>298</v>
      </c>
      <c r="C1747" s="110">
        <v>2.1589999999999998</v>
      </c>
      <c r="D1747" s="112">
        <v>42792</v>
      </c>
      <c r="E1747" s="111" t="s">
        <v>297</v>
      </c>
      <c r="F1747" s="110" t="s">
        <v>296</v>
      </c>
    </row>
    <row r="1748" spans="1:6">
      <c r="A1748" s="110" t="s">
        <v>300</v>
      </c>
      <c r="B1748" s="110" t="s">
        <v>298</v>
      </c>
      <c r="C1748" s="110">
        <v>2.2269999999999999</v>
      </c>
      <c r="D1748" s="112">
        <v>42792</v>
      </c>
      <c r="E1748" s="111" t="s">
        <v>297</v>
      </c>
      <c r="F1748" s="110" t="s">
        <v>296</v>
      </c>
    </row>
    <row r="1749" spans="1:6">
      <c r="A1749" s="110" t="s">
        <v>299</v>
      </c>
      <c r="B1749" s="110" t="s">
        <v>298</v>
      </c>
      <c r="C1749" s="110">
        <v>2.3010000000000002</v>
      </c>
      <c r="D1749" s="112">
        <v>42792</v>
      </c>
      <c r="E1749" s="111" t="s">
        <v>297</v>
      </c>
      <c r="F1749" s="110" t="s">
        <v>296</v>
      </c>
    </row>
  </sheetData>
  <mergeCells count="2">
    <mergeCell ref="A1:H3"/>
    <mergeCell ref="M1:T3"/>
  </mergeCells>
  <pageMargins left="0.7" right="0.7" top="0.75" bottom="0.75" header="0.3" footer="0.3"/>
  <legacyDrawing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C9465DB-441C-4A95-80C5-FDC7510BEC9F}">
  <dimension ref="A1:R443"/>
  <sheetViews>
    <sheetView zoomScale="85" zoomScaleNormal="85" workbookViewId="0">
      <selection activeCell="N4" sqref="N4"/>
    </sheetView>
  </sheetViews>
  <sheetFormatPr baseColWidth="10" defaultColWidth="11.44140625" defaultRowHeight="14.4"/>
  <cols>
    <col min="11" max="11" width="21.44140625" customWidth="1"/>
  </cols>
  <sheetData>
    <row r="1" spans="1:18">
      <c r="A1" s="192" t="s">
        <v>2159</v>
      </c>
      <c r="B1" s="192" t="s">
        <v>2160</v>
      </c>
      <c r="C1" s="192" t="s">
        <v>2161</v>
      </c>
      <c r="D1" s="192" t="s">
        <v>2162</v>
      </c>
      <c r="E1" s="192" t="s">
        <v>2515</v>
      </c>
      <c r="F1" s="192" t="s">
        <v>31</v>
      </c>
      <c r="G1" s="192" t="s">
        <v>1147</v>
      </c>
      <c r="H1" s="192" t="s">
        <v>298</v>
      </c>
      <c r="I1" s="192" t="s">
        <v>2165</v>
      </c>
      <c r="J1" s="192" t="s">
        <v>2166</v>
      </c>
      <c r="K1" s="192" t="s">
        <v>2516</v>
      </c>
      <c r="M1" s="240" t="s">
        <v>2796</v>
      </c>
      <c r="N1" s="240" t="s">
        <v>2796</v>
      </c>
      <c r="P1" s="240" t="s">
        <v>2796</v>
      </c>
    </row>
    <row r="2" spans="1:18">
      <c r="A2" s="121">
        <v>1</v>
      </c>
      <c r="B2" s="184" t="s">
        <v>2171</v>
      </c>
      <c r="C2" s="184" t="s">
        <v>2172</v>
      </c>
      <c r="D2" s="122" t="s">
        <v>2173</v>
      </c>
      <c r="E2" s="124">
        <v>42938</v>
      </c>
      <c r="F2" s="124">
        <v>43007</v>
      </c>
      <c r="G2" s="123">
        <v>107</v>
      </c>
      <c r="H2" s="123">
        <v>811</v>
      </c>
      <c r="I2" s="123">
        <v>377</v>
      </c>
      <c r="J2" s="123">
        <v>204</v>
      </c>
      <c r="K2" s="123">
        <f>IFERROR(F2-E2,"")</f>
        <v>69</v>
      </c>
      <c r="M2" t="b">
        <f>COUNTIF($G$2:$G$841, G2)&gt;1</f>
        <v>1</v>
      </c>
      <c r="P2" t="b">
        <f>COUNTIF($G$2:$G$841, J2)&gt;1</f>
        <v>0</v>
      </c>
      <c r="Q2" s="165" t="s">
        <v>2799</v>
      </c>
    </row>
    <row r="3" spans="1:18">
      <c r="A3" s="121">
        <v>2</v>
      </c>
      <c r="B3" s="184" t="s">
        <v>2171</v>
      </c>
      <c r="C3" s="184" t="s">
        <v>2178</v>
      </c>
      <c r="D3" s="122" t="s">
        <v>2173</v>
      </c>
      <c r="E3" s="123" t="s">
        <v>2055</v>
      </c>
      <c r="F3" s="125" t="s">
        <v>2055</v>
      </c>
      <c r="G3" s="123" t="s">
        <v>2055</v>
      </c>
      <c r="H3" s="123" t="s">
        <v>2055</v>
      </c>
      <c r="I3" s="123" t="s">
        <v>2055</v>
      </c>
      <c r="J3" s="123" t="s">
        <v>2055</v>
      </c>
      <c r="K3" s="123" t="str">
        <f t="shared" ref="K3:K66" si="0">IFERROR(F3-E3,"")</f>
        <v/>
      </c>
      <c r="M3" t="s">
        <v>2797</v>
      </c>
      <c r="O3" t="s">
        <v>2798</v>
      </c>
      <c r="Q3" t="s">
        <v>1147</v>
      </c>
      <c r="R3" t="s">
        <v>2800</v>
      </c>
    </row>
    <row r="4" spans="1:18">
      <c r="A4" s="121">
        <v>3</v>
      </c>
      <c r="B4" s="184" t="s">
        <v>2171</v>
      </c>
      <c r="C4" s="184" t="s">
        <v>2179</v>
      </c>
      <c r="D4" s="122" t="s">
        <v>2173</v>
      </c>
      <c r="E4" s="124">
        <v>42938</v>
      </c>
      <c r="F4" s="124">
        <v>43007</v>
      </c>
      <c r="G4" s="123">
        <v>259</v>
      </c>
      <c r="H4" s="123">
        <v>742</v>
      </c>
      <c r="I4" s="123">
        <v>44</v>
      </c>
      <c r="J4" s="123">
        <v>283</v>
      </c>
      <c r="K4" s="123">
        <f t="shared" si="0"/>
        <v>69</v>
      </c>
      <c r="M4" s="164">
        <v>107</v>
      </c>
      <c r="N4" s="113" t="b">
        <f t="shared" ref="N4:N67" si="1">COUNTIF($M$4:$M$443, M4)&gt;1</f>
        <v>1</v>
      </c>
      <c r="O4" s="123">
        <v>811</v>
      </c>
      <c r="P4" t="b">
        <f>COUNTIF($O$4:$O$443, O4)&gt;1</f>
        <v>0</v>
      </c>
      <c r="Q4">
        <v>107</v>
      </c>
      <c r="R4">
        <v>819</v>
      </c>
    </row>
    <row r="5" spans="1:18">
      <c r="A5" s="121">
        <v>4</v>
      </c>
      <c r="B5" s="184" t="s">
        <v>2171</v>
      </c>
      <c r="C5" s="184" t="s">
        <v>2181</v>
      </c>
      <c r="D5" s="122" t="s">
        <v>2173</v>
      </c>
      <c r="E5" s="124">
        <v>42938</v>
      </c>
      <c r="F5" s="124">
        <v>43007</v>
      </c>
      <c r="G5" s="123">
        <v>255</v>
      </c>
      <c r="H5" s="123">
        <v>661</v>
      </c>
      <c r="I5" s="123">
        <v>357</v>
      </c>
      <c r="J5" s="123">
        <v>298</v>
      </c>
      <c r="K5" s="123">
        <f t="shared" si="0"/>
        <v>69</v>
      </c>
      <c r="M5" s="168" t="s">
        <v>2055</v>
      </c>
      <c r="N5" s="180" t="b">
        <f t="shared" si="1"/>
        <v>1</v>
      </c>
      <c r="O5" s="168" t="s">
        <v>2055</v>
      </c>
      <c r="P5" s="180" t="b">
        <f t="shared" ref="P5:P68" si="2">COUNTIF($O$4:$O$443, O5)&gt;1</f>
        <v>1</v>
      </c>
      <c r="Q5">
        <v>32</v>
      </c>
      <c r="R5">
        <v>208</v>
      </c>
    </row>
    <row r="6" spans="1:18">
      <c r="A6" s="121">
        <v>5</v>
      </c>
      <c r="B6" s="184" t="s">
        <v>2171</v>
      </c>
      <c r="C6" s="184" t="s">
        <v>2184</v>
      </c>
      <c r="D6" s="122" t="s">
        <v>2173</v>
      </c>
      <c r="E6" s="124">
        <v>42938</v>
      </c>
      <c r="F6" s="123" t="s">
        <v>2055</v>
      </c>
      <c r="G6" s="123">
        <v>122</v>
      </c>
      <c r="H6" s="123">
        <v>724</v>
      </c>
      <c r="I6" s="163">
        <v>734</v>
      </c>
      <c r="J6" s="123">
        <v>226</v>
      </c>
      <c r="K6" s="123" t="str">
        <f t="shared" si="0"/>
        <v/>
      </c>
      <c r="M6" s="123">
        <v>259</v>
      </c>
      <c r="N6" t="b">
        <f t="shared" si="1"/>
        <v>0</v>
      </c>
      <c r="O6" s="123">
        <v>742</v>
      </c>
      <c r="P6" t="b">
        <f t="shared" si="2"/>
        <v>0</v>
      </c>
      <c r="Q6">
        <v>347</v>
      </c>
      <c r="R6">
        <v>771</v>
      </c>
    </row>
    <row r="7" spans="1:18">
      <c r="A7" s="121">
        <v>6</v>
      </c>
      <c r="B7" s="184" t="s">
        <v>2171</v>
      </c>
      <c r="C7" s="184" t="s">
        <v>2185</v>
      </c>
      <c r="D7" s="122" t="s">
        <v>2173</v>
      </c>
      <c r="E7" s="124">
        <v>42938</v>
      </c>
      <c r="F7" s="124">
        <v>43007</v>
      </c>
      <c r="G7" s="123">
        <v>478</v>
      </c>
      <c r="H7" s="123">
        <v>688</v>
      </c>
      <c r="I7" s="123">
        <v>164</v>
      </c>
      <c r="J7" s="123">
        <v>286</v>
      </c>
      <c r="K7" s="123">
        <f t="shared" si="0"/>
        <v>69</v>
      </c>
      <c r="M7" s="123">
        <v>255</v>
      </c>
      <c r="N7" t="b">
        <f t="shared" si="1"/>
        <v>0</v>
      </c>
      <c r="O7" s="123">
        <v>661</v>
      </c>
      <c r="P7" t="b">
        <f t="shared" si="2"/>
        <v>0</v>
      </c>
      <c r="Q7">
        <v>120</v>
      </c>
    </row>
    <row r="8" spans="1:18">
      <c r="A8" s="121">
        <v>7</v>
      </c>
      <c r="B8" s="184" t="s">
        <v>2171</v>
      </c>
      <c r="C8" s="184" t="s">
        <v>2186</v>
      </c>
      <c r="D8" s="122" t="s">
        <v>2173</v>
      </c>
      <c r="E8" s="124">
        <v>42938</v>
      </c>
      <c r="F8" s="124">
        <v>43007</v>
      </c>
      <c r="G8" s="123">
        <v>106</v>
      </c>
      <c r="H8" s="123">
        <v>762</v>
      </c>
      <c r="I8" s="123">
        <v>776</v>
      </c>
      <c r="J8" s="123">
        <v>210</v>
      </c>
      <c r="K8" s="123">
        <f t="shared" si="0"/>
        <v>69</v>
      </c>
      <c r="M8" s="123">
        <v>122</v>
      </c>
      <c r="N8" t="b">
        <f t="shared" si="1"/>
        <v>0</v>
      </c>
      <c r="O8" s="123">
        <v>724</v>
      </c>
      <c r="P8" t="b">
        <f t="shared" si="2"/>
        <v>0</v>
      </c>
      <c r="Q8">
        <v>250</v>
      </c>
    </row>
    <row r="9" spans="1:18">
      <c r="A9" s="121">
        <v>8</v>
      </c>
      <c r="B9" s="184" t="s">
        <v>2171</v>
      </c>
      <c r="C9" s="184" t="s">
        <v>2187</v>
      </c>
      <c r="D9" s="122" t="s">
        <v>2173</v>
      </c>
      <c r="E9" s="124">
        <v>42938</v>
      </c>
      <c r="F9" s="124">
        <v>43007</v>
      </c>
      <c r="G9" s="123">
        <v>228</v>
      </c>
      <c r="H9" s="123">
        <v>727</v>
      </c>
      <c r="I9" s="123">
        <v>23</v>
      </c>
      <c r="J9" s="123">
        <v>213</v>
      </c>
      <c r="K9" s="123">
        <f t="shared" si="0"/>
        <v>69</v>
      </c>
      <c r="M9" s="123">
        <v>478</v>
      </c>
      <c r="N9" t="b">
        <f t="shared" si="1"/>
        <v>0</v>
      </c>
      <c r="O9" s="123">
        <v>688</v>
      </c>
      <c r="P9" t="b">
        <f t="shared" si="2"/>
        <v>0</v>
      </c>
    </row>
    <row r="10" spans="1:18">
      <c r="A10" s="121">
        <v>9</v>
      </c>
      <c r="B10" s="184" t="s">
        <v>2171</v>
      </c>
      <c r="C10" s="184" t="s">
        <v>2188</v>
      </c>
      <c r="D10" s="122" t="s">
        <v>2189</v>
      </c>
      <c r="E10" s="124">
        <v>42938</v>
      </c>
      <c r="F10" s="124">
        <v>43007</v>
      </c>
      <c r="G10" s="123">
        <v>277</v>
      </c>
      <c r="H10" s="123">
        <v>785</v>
      </c>
      <c r="I10" s="123">
        <v>570</v>
      </c>
      <c r="J10" s="123">
        <v>704</v>
      </c>
      <c r="K10" s="123">
        <f t="shared" si="0"/>
        <v>69</v>
      </c>
      <c r="M10" s="123">
        <v>106</v>
      </c>
      <c r="N10" t="b">
        <f t="shared" si="1"/>
        <v>0</v>
      </c>
      <c r="O10" s="123">
        <v>762</v>
      </c>
      <c r="P10" t="b">
        <f t="shared" si="2"/>
        <v>0</v>
      </c>
    </row>
    <row r="11" spans="1:18">
      <c r="A11" s="121">
        <v>10</v>
      </c>
      <c r="B11" s="184" t="s">
        <v>2171</v>
      </c>
      <c r="C11" s="184" t="s">
        <v>2191</v>
      </c>
      <c r="D11" s="122" t="s">
        <v>2189</v>
      </c>
      <c r="E11" s="124">
        <v>42938</v>
      </c>
      <c r="F11" s="124" t="s">
        <v>2055</v>
      </c>
      <c r="G11" s="123">
        <v>310</v>
      </c>
      <c r="H11" s="123">
        <v>747</v>
      </c>
      <c r="I11" s="123">
        <v>642</v>
      </c>
      <c r="J11" s="123">
        <v>355</v>
      </c>
      <c r="K11" s="123" t="str">
        <f t="shared" si="0"/>
        <v/>
      </c>
      <c r="M11" s="123">
        <v>228</v>
      </c>
      <c r="N11" t="b">
        <f t="shared" si="1"/>
        <v>0</v>
      </c>
      <c r="O11" s="123">
        <v>727</v>
      </c>
      <c r="P11" t="b">
        <f t="shared" si="2"/>
        <v>0</v>
      </c>
    </row>
    <row r="12" spans="1:18">
      <c r="A12" s="121">
        <v>11</v>
      </c>
      <c r="B12" s="184" t="s">
        <v>2171</v>
      </c>
      <c r="C12" s="184" t="s">
        <v>2192</v>
      </c>
      <c r="D12" s="122" t="s">
        <v>2189</v>
      </c>
      <c r="E12" s="124">
        <v>42938</v>
      </c>
      <c r="F12" s="124">
        <v>43007</v>
      </c>
      <c r="G12" s="123">
        <v>435</v>
      </c>
      <c r="H12" s="129">
        <v>748</v>
      </c>
      <c r="I12" s="123">
        <v>663</v>
      </c>
      <c r="J12" s="123">
        <v>616</v>
      </c>
      <c r="K12" s="123">
        <f t="shared" si="0"/>
        <v>69</v>
      </c>
      <c r="M12" s="123">
        <v>277</v>
      </c>
      <c r="N12" t="b">
        <f t="shared" si="1"/>
        <v>0</v>
      </c>
      <c r="O12" s="123">
        <v>785</v>
      </c>
      <c r="P12" t="b">
        <f t="shared" si="2"/>
        <v>0</v>
      </c>
    </row>
    <row r="13" spans="1:18">
      <c r="A13" s="121">
        <v>12</v>
      </c>
      <c r="B13" s="184" t="s">
        <v>2171</v>
      </c>
      <c r="C13" s="184" t="s">
        <v>2193</v>
      </c>
      <c r="D13" s="122" t="s">
        <v>2189</v>
      </c>
      <c r="E13" s="124">
        <v>42938</v>
      </c>
      <c r="F13" s="124" t="s">
        <v>2055</v>
      </c>
      <c r="G13" s="123" t="s">
        <v>2055</v>
      </c>
      <c r="H13" s="123" t="s">
        <v>2055</v>
      </c>
      <c r="I13" s="123" t="s">
        <v>2055</v>
      </c>
      <c r="J13" s="123" t="s">
        <v>2055</v>
      </c>
      <c r="K13" s="123" t="str">
        <f t="shared" si="0"/>
        <v/>
      </c>
      <c r="M13" s="123">
        <v>310</v>
      </c>
      <c r="N13" t="b">
        <f t="shared" si="1"/>
        <v>0</v>
      </c>
      <c r="O13" s="123">
        <v>747</v>
      </c>
      <c r="P13" t="b">
        <f t="shared" si="2"/>
        <v>0</v>
      </c>
    </row>
    <row r="14" spans="1:18">
      <c r="A14" s="121">
        <v>13</v>
      </c>
      <c r="B14" s="184" t="s">
        <v>2171</v>
      </c>
      <c r="C14" s="184" t="s">
        <v>2194</v>
      </c>
      <c r="D14" s="122" t="s">
        <v>2189</v>
      </c>
      <c r="E14" s="124">
        <v>42938</v>
      </c>
      <c r="F14" s="124">
        <v>43007</v>
      </c>
      <c r="G14" s="123">
        <v>2</v>
      </c>
      <c r="H14" s="123">
        <v>784</v>
      </c>
      <c r="I14" s="123">
        <v>874</v>
      </c>
      <c r="J14" s="123">
        <v>603</v>
      </c>
      <c r="K14" s="123">
        <f t="shared" si="0"/>
        <v>69</v>
      </c>
      <c r="M14" s="123">
        <v>435</v>
      </c>
      <c r="N14" t="b">
        <f t="shared" si="1"/>
        <v>0</v>
      </c>
      <c r="O14" s="129">
        <v>748</v>
      </c>
      <c r="P14" t="b">
        <f t="shared" si="2"/>
        <v>0</v>
      </c>
    </row>
    <row r="15" spans="1:18">
      <c r="A15" s="121">
        <v>14</v>
      </c>
      <c r="B15" s="184" t="s">
        <v>2171</v>
      </c>
      <c r="C15" s="184" t="s">
        <v>2196</v>
      </c>
      <c r="D15" s="122" t="s">
        <v>2189</v>
      </c>
      <c r="E15" s="124">
        <v>42938</v>
      </c>
      <c r="F15" s="124">
        <v>43007</v>
      </c>
      <c r="G15" s="123">
        <v>225</v>
      </c>
      <c r="H15" s="123">
        <v>838</v>
      </c>
      <c r="I15" s="129">
        <v>219</v>
      </c>
      <c r="J15" s="123">
        <v>652</v>
      </c>
      <c r="K15" s="123">
        <f t="shared" si="0"/>
        <v>69</v>
      </c>
      <c r="M15" s="168" t="s">
        <v>2055</v>
      </c>
      <c r="N15" s="180" t="b">
        <f t="shared" si="1"/>
        <v>1</v>
      </c>
      <c r="O15" s="168" t="s">
        <v>2055</v>
      </c>
      <c r="P15" s="180" t="b">
        <f t="shared" si="2"/>
        <v>1</v>
      </c>
    </row>
    <row r="16" spans="1:18">
      <c r="A16" s="121">
        <v>15</v>
      </c>
      <c r="B16" s="184" t="s">
        <v>2171</v>
      </c>
      <c r="C16" s="184" t="s">
        <v>2197</v>
      </c>
      <c r="D16" s="122" t="s">
        <v>2189</v>
      </c>
      <c r="E16" s="124">
        <v>42938</v>
      </c>
      <c r="F16" s="124">
        <v>43007</v>
      </c>
      <c r="G16" s="123">
        <v>444</v>
      </c>
      <c r="H16" s="123">
        <v>793</v>
      </c>
      <c r="I16" s="123">
        <v>630</v>
      </c>
      <c r="J16" s="123">
        <v>304</v>
      </c>
      <c r="K16" s="123">
        <f t="shared" si="0"/>
        <v>69</v>
      </c>
      <c r="M16" s="123">
        <v>2</v>
      </c>
      <c r="N16" t="b">
        <f t="shared" si="1"/>
        <v>0</v>
      </c>
      <c r="O16" s="123">
        <v>784</v>
      </c>
      <c r="P16" t="b">
        <f t="shared" si="2"/>
        <v>0</v>
      </c>
    </row>
    <row r="17" spans="1:16">
      <c r="A17" s="121">
        <v>16</v>
      </c>
      <c r="B17" s="184" t="s">
        <v>2171</v>
      </c>
      <c r="C17" s="184" t="s">
        <v>2200</v>
      </c>
      <c r="D17" s="122" t="s">
        <v>2189</v>
      </c>
      <c r="E17" s="124">
        <v>42938</v>
      </c>
      <c r="F17" s="124">
        <v>43007</v>
      </c>
      <c r="G17" s="123">
        <v>376</v>
      </c>
      <c r="H17" s="123">
        <v>755</v>
      </c>
      <c r="I17" s="123">
        <v>662</v>
      </c>
      <c r="J17" s="123">
        <v>687</v>
      </c>
      <c r="K17" s="123">
        <f t="shared" si="0"/>
        <v>69</v>
      </c>
      <c r="M17" s="123">
        <v>225</v>
      </c>
      <c r="N17" t="b">
        <f t="shared" si="1"/>
        <v>0</v>
      </c>
      <c r="O17" s="123">
        <v>838</v>
      </c>
      <c r="P17" t="b">
        <f t="shared" si="2"/>
        <v>0</v>
      </c>
    </row>
    <row r="18" spans="1:16">
      <c r="A18" s="121">
        <v>17</v>
      </c>
      <c r="B18" s="184" t="s">
        <v>2171</v>
      </c>
      <c r="C18" s="184" t="s">
        <v>2202</v>
      </c>
      <c r="D18" s="122" t="s">
        <v>2203</v>
      </c>
      <c r="E18" s="124">
        <v>42936</v>
      </c>
      <c r="F18" s="124">
        <v>43007</v>
      </c>
      <c r="G18" s="123">
        <v>209</v>
      </c>
      <c r="H18" s="123">
        <v>826</v>
      </c>
      <c r="I18" s="123">
        <v>349</v>
      </c>
      <c r="J18" s="123">
        <v>407</v>
      </c>
      <c r="K18" s="123">
        <f t="shared" si="0"/>
        <v>71</v>
      </c>
      <c r="M18" s="123">
        <v>444</v>
      </c>
      <c r="N18" t="b">
        <f t="shared" si="1"/>
        <v>0</v>
      </c>
      <c r="O18" s="123">
        <v>793</v>
      </c>
      <c r="P18" t="b">
        <f t="shared" si="2"/>
        <v>0</v>
      </c>
    </row>
    <row r="19" spans="1:16">
      <c r="A19" s="121">
        <v>18</v>
      </c>
      <c r="B19" s="184" t="s">
        <v>2171</v>
      </c>
      <c r="C19" s="184" t="s">
        <v>2205</v>
      </c>
      <c r="D19" s="122" t="s">
        <v>2203</v>
      </c>
      <c r="E19" s="124">
        <v>42936</v>
      </c>
      <c r="F19" s="124">
        <v>43007</v>
      </c>
      <c r="G19" s="123">
        <v>10</v>
      </c>
      <c r="H19" s="123">
        <v>732</v>
      </c>
      <c r="I19" s="123">
        <v>113</v>
      </c>
      <c r="J19" s="123">
        <v>361</v>
      </c>
      <c r="K19" s="123">
        <f t="shared" si="0"/>
        <v>71</v>
      </c>
      <c r="M19" s="123">
        <v>376</v>
      </c>
      <c r="N19" t="b">
        <f t="shared" si="1"/>
        <v>0</v>
      </c>
      <c r="O19" s="123">
        <v>755</v>
      </c>
      <c r="P19" t="b">
        <f t="shared" si="2"/>
        <v>0</v>
      </c>
    </row>
    <row r="20" spans="1:16">
      <c r="A20" s="121">
        <v>19</v>
      </c>
      <c r="B20" s="184" t="s">
        <v>2171</v>
      </c>
      <c r="C20" s="184" t="s">
        <v>2206</v>
      </c>
      <c r="D20" s="122" t="s">
        <v>2203</v>
      </c>
      <c r="E20" s="124">
        <v>42936</v>
      </c>
      <c r="F20" s="124">
        <v>43007</v>
      </c>
      <c r="G20" s="123">
        <v>190</v>
      </c>
      <c r="H20" s="123">
        <v>749</v>
      </c>
      <c r="I20" s="123">
        <v>394</v>
      </c>
      <c r="J20" s="123">
        <v>280</v>
      </c>
      <c r="K20" s="123">
        <f t="shared" si="0"/>
        <v>71</v>
      </c>
      <c r="M20" s="123">
        <v>209</v>
      </c>
      <c r="N20" t="b">
        <f t="shared" si="1"/>
        <v>0</v>
      </c>
      <c r="O20" s="123">
        <v>826</v>
      </c>
      <c r="P20" t="b">
        <f t="shared" si="2"/>
        <v>0</v>
      </c>
    </row>
    <row r="21" spans="1:16">
      <c r="A21" s="121">
        <v>20</v>
      </c>
      <c r="B21" s="184" t="s">
        <v>2171</v>
      </c>
      <c r="C21" s="184" t="s">
        <v>2207</v>
      </c>
      <c r="D21" s="122" t="s">
        <v>2203</v>
      </c>
      <c r="E21" s="124">
        <v>42936</v>
      </c>
      <c r="F21" s="124">
        <v>43007</v>
      </c>
      <c r="G21" s="123">
        <v>38</v>
      </c>
      <c r="H21" s="123">
        <v>632</v>
      </c>
      <c r="I21" s="123">
        <v>79</v>
      </c>
      <c r="J21" s="123">
        <v>320</v>
      </c>
      <c r="K21" s="123">
        <f t="shared" si="0"/>
        <v>71</v>
      </c>
      <c r="M21" s="123">
        <v>10</v>
      </c>
      <c r="N21" t="b">
        <f t="shared" si="1"/>
        <v>0</v>
      </c>
      <c r="O21" s="123">
        <v>732</v>
      </c>
      <c r="P21" t="b">
        <f t="shared" si="2"/>
        <v>0</v>
      </c>
    </row>
    <row r="22" spans="1:16">
      <c r="A22" s="121">
        <v>21</v>
      </c>
      <c r="B22" s="184" t="s">
        <v>2171</v>
      </c>
      <c r="C22" s="184" t="s">
        <v>2208</v>
      </c>
      <c r="D22" s="122" t="s">
        <v>2203</v>
      </c>
      <c r="E22" s="124">
        <v>42936</v>
      </c>
      <c r="F22" s="124">
        <v>43007</v>
      </c>
      <c r="G22" s="123">
        <v>468</v>
      </c>
      <c r="H22" s="123">
        <v>630</v>
      </c>
      <c r="I22" s="123">
        <v>488</v>
      </c>
      <c r="J22" s="123">
        <v>209</v>
      </c>
      <c r="K22" s="123">
        <f t="shared" si="0"/>
        <v>71</v>
      </c>
      <c r="M22" s="123">
        <v>190</v>
      </c>
      <c r="N22" t="b">
        <f t="shared" si="1"/>
        <v>0</v>
      </c>
      <c r="O22" s="123">
        <v>749</v>
      </c>
      <c r="P22" t="b">
        <f t="shared" si="2"/>
        <v>0</v>
      </c>
    </row>
    <row r="23" spans="1:16">
      <c r="A23" s="121">
        <v>22</v>
      </c>
      <c r="B23" s="184" t="s">
        <v>2171</v>
      </c>
      <c r="C23" s="184" t="s">
        <v>2209</v>
      </c>
      <c r="D23" s="122" t="s">
        <v>2203</v>
      </c>
      <c r="E23" s="124">
        <v>42936</v>
      </c>
      <c r="F23" s="124">
        <v>43007</v>
      </c>
      <c r="G23" s="123">
        <v>8</v>
      </c>
      <c r="H23" s="123">
        <v>723</v>
      </c>
      <c r="I23" s="123">
        <v>750</v>
      </c>
      <c r="J23" s="123">
        <v>646</v>
      </c>
      <c r="K23" s="123">
        <f t="shared" si="0"/>
        <v>71</v>
      </c>
      <c r="M23" s="123">
        <v>38</v>
      </c>
      <c r="N23" t="b">
        <f t="shared" si="1"/>
        <v>0</v>
      </c>
      <c r="O23" s="123">
        <v>632</v>
      </c>
      <c r="P23" t="b">
        <f t="shared" si="2"/>
        <v>0</v>
      </c>
    </row>
    <row r="24" spans="1:16">
      <c r="A24" s="121">
        <v>23</v>
      </c>
      <c r="B24" s="184" t="s">
        <v>2171</v>
      </c>
      <c r="C24" s="184" t="s">
        <v>2210</v>
      </c>
      <c r="D24" s="122" t="s">
        <v>2203</v>
      </c>
      <c r="E24" s="125" t="s">
        <v>2055</v>
      </c>
      <c r="F24" s="125" t="s">
        <v>2055</v>
      </c>
      <c r="G24" s="125" t="s">
        <v>2055</v>
      </c>
      <c r="H24" s="125" t="s">
        <v>2055</v>
      </c>
      <c r="I24" s="125" t="s">
        <v>2055</v>
      </c>
      <c r="J24" s="125" t="s">
        <v>2055</v>
      </c>
      <c r="K24" s="123" t="str">
        <f t="shared" si="0"/>
        <v/>
      </c>
      <c r="M24" s="123">
        <v>468</v>
      </c>
      <c r="N24" t="b">
        <f t="shared" si="1"/>
        <v>0</v>
      </c>
      <c r="O24" s="123">
        <v>630</v>
      </c>
      <c r="P24" t="b">
        <f t="shared" si="2"/>
        <v>0</v>
      </c>
    </row>
    <row r="25" spans="1:16">
      <c r="A25" s="121">
        <v>24</v>
      </c>
      <c r="B25" s="184" t="s">
        <v>2171</v>
      </c>
      <c r="C25" s="184" t="s">
        <v>2211</v>
      </c>
      <c r="D25" s="122" t="s">
        <v>2203</v>
      </c>
      <c r="E25" s="124">
        <v>42936</v>
      </c>
      <c r="F25" s="124">
        <v>43007</v>
      </c>
      <c r="G25" s="123">
        <v>320</v>
      </c>
      <c r="H25" s="123">
        <v>225</v>
      </c>
      <c r="I25" s="123">
        <v>562</v>
      </c>
      <c r="J25" s="123">
        <v>650</v>
      </c>
      <c r="K25" s="123">
        <f t="shared" si="0"/>
        <v>71</v>
      </c>
      <c r="M25" s="123">
        <v>8</v>
      </c>
      <c r="N25" t="b">
        <f t="shared" si="1"/>
        <v>0</v>
      </c>
      <c r="O25" s="123">
        <v>723</v>
      </c>
      <c r="P25" t="b">
        <f t="shared" si="2"/>
        <v>0</v>
      </c>
    </row>
    <row r="26" spans="1:16">
      <c r="A26" s="121">
        <v>25</v>
      </c>
      <c r="B26" s="184" t="s">
        <v>2171</v>
      </c>
      <c r="C26" s="184" t="s">
        <v>2212</v>
      </c>
      <c r="D26" s="122" t="s">
        <v>2213</v>
      </c>
      <c r="E26" s="124">
        <v>42936</v>
      </c>
      <c r="F26" s="124">
        <v>43007</v>
      </c>
      <c r="G26" s="123">
        <v>32</v>
      </c>
      <c r="H26" s="123">
        <v>43</v>
      </c>
      <c r="I26" s="123">
        <v>156</v>
      </c>
      <c r="J26" s="123">
        <v>230</v>
      </c>
      <c r="K26" s="123">
        <f t="shared" si="0"/>
        <v>71</v>
      </c>
      <c r="M26" s="125" t="s">
        <v>2055</v>
      </c>
      <c r="N26" t="b">
        <f t="shared" si="1"/>
        <v>1</v>
      </c>
      <c r="O26" s="125" t="s">
        <v>2055</v>
      </c>
      <c r="P26" t="b">
        <f t="shared" si="2"/>
        <v>1</v>
      </c>
    </row>
    <row r="27" spans="1:16">
      <c r="A27" s="121">
        <v>26</v>
      </c>
      <c r="B27" s="184" t="s">
        <v>2171</v>
      </c>
      <c r="C27" s="184" t="s">
        <v>2214</v>
      </c>
      <c r="D27" s="122" t="s">
        <v>2213</v>
      </c>
      <c r="E27" s="124">
        <v>42936</v>
      </c>
      <c r="F27" s="124">
        <v>43007</v>
      </c>
      <c r="G27" s="123">
        <v>58</v>
      </c>
      <c r="H27" s="123">
        <v>602</v>
      </c>
      <c r="I27" s="123">
        <v>555</v>
      </c>
      <c r="J27" s="123">
        <v>642</v>
      </c>
      <c r="K27" s="123">
        <f t="shared" si="0"/>
        <v>71</v>
      </c>
      <c r="M27" s="123">
        <v>320</v>
      </c>
      <c r="N27" t="b">
        <f t="shared" si="1"/>
        <v>0</v>
      </c>
      <c r="O27" s="123">
        <v>225</v>
      </c>
      <c r="P27" t="b">
        <f t="shared" si="2"/>
        <v>0</v>
      </c>
    </row>
    <row r="28" spans="1:16">
      <c r="A28" s="121">
        <v>27</v>
      </c>
      <c r="B28" s="184" t="s">
        <v>2171</v>
      </c>
      <c r="C28" s="184" t="s">
        <v>2215</v>
      </c>
      <c r="D28" s="122" t="s">
        <v>2213</v>
      </c>
      <c r="E28" s="124">
        <v>42936</v>
      </c>
      <c r="F28" s="124">
        <v>43007</v>
      </c>
      <c r="G28" s="123">
        <v>340</v>
      </c>
      <c r="H28" s="123">
        <v>666</v>
      </c>
      <c r="I28" s="123">
        <v>378</v>
      </c>
      <c r="J28" s="123">
        <v>199</v>
      </c>
      <c r="K28" s="123">
        <f t="shared" si="0"/>
        <v>71</v>
      </c>
      <c r="M28" s="164">
        <v>32</v>
      </c>
      <c r="N28" t="b">
        <f t="shared" si="1"/>
        <v>1</v>
      </c>
      <c r="O28" s="123">
        <v>43</v>
      </c>
      <c r="P28" t="b">
        <f t="shared" si="2"/>
        <v>0</v>
      </c>
    </row>
    <row r="29" spans="1:16">
      <c r="A29" s="121">
        <v>28</v>
      </c>
      <c r="B29" s="184" t="s">
        <v>2171</v>
      </c>
      <c r="C29" s="184" t="s">
        <v>2216</v>
      </c>
      <c r="D29" s="122" t="s">
        <v>2213</v>
      </c>
      <c r="E29" s="124">
        <v>42936</v>
      </c>
      <c r="F29" s="124">
        <v>43007</v>
      </c>
      <c r="G29" s="123">
        <v>61</v>
      </c>
      <c r="H29" s="123">
        <v>705</v>
      </c>
      <c r="I29" s="123">
        <v>46</v>
      </c>
      <c r="J29" s="123">
        <v>162</v>
      </c>
      <c r="K29" s="123">
        <f t="shared" si="0"/>
        <v>71</v>
      </c>
      <c r="M29" s="123">
        <v>58</v>
      </c>
      <c r="N29" t="b">
        <f t="shared" si="1"/>
        <v>0</v>
      </c>
      <c r="O29" s="123">
        <v>602</v>
      </c>
      <c r="P29" t="b">
        <f t="shared" si="2"/>
        <v>0</v>
      </c>
    </row>
    <row r="30" spans="1:16">
      <c r="A30" s="121">
        <v>29</v>
      </c>
      <c r="B30" s="184" t="s">
        <v>2171</v>
      </c>
      <c r="C30" s="184" t="s">
        <v>2217</v>
      </c>
      <c r="D30" s="122" t="s">
        <v>2213</v>
      </c>
      <c r="E30" s="124">
        <v>42936</v>
      </c>
      <c r="F30" s="124">
        <v>43007</v>
      </c>
      <c r="G30" s="123">
        <v>319</v>
      </c>
      <c r="H30" s="123">
        <v>305</v>
      </c>
      <c r="I30" s="123">
        <v>397</v>
      </c>
      <c r="J30" s="123">
        <v>163</v>
      </c>
      <c r="K30" s="123">
        <f t="shared" si="0"/>
        <v>71</v>
      </c>
      <c r="M30" s="123">
        <v>340</v>
      </c>
      <c r="N30" t="b">
        <f t="shared" si="1"/>
        <v>0</v>
      </c>
      <c r="O30" s="123">
        <v>666</v>
      </c>
      <c r="P30" t="b">
        <f t="shared" si="2"/>
        <v>0</v>
      </c>
    </row>
    <row r="31" spans="1:16">
      <c r="A31" s="121">
        <v>30</v>
      </c>
      <c r="B31" s="184" t="s">
        <v>2171</v>
      </c>
      <c r="C31" s="184" t="s">
        <v>2218</v>
      </c>
      <c r="D31" s="122" t="s">
        <v>2213</v>
      </c>
      <c r="E31" s="124">
        <v>42936</v>
      </c>
      <c r="F31" s="124">
        <v>43007</v>
      </c>
      <c r="G31" s="123">
        <v>273</v>
      </c>
      <c r="H31" s="123">
        <v>667</v>
      </c>
      <c r="I31" s="123">
        <v>166</v>
      </c>
      <c r="J31" s="123">
        <v>345</v>
      </c>
      <c r="K31" s="123">
        <f t="shared" si="0"/>
        <v>71</v>
      </c>
      <c r="M31" s="123">
        <v>61</v>
      </c>
      <c r="N31" t="b">
        <f t="shared" si="1"/>
        <v>0</v>
      </c>
      <c r="O31" s="123">
        <v>705</v>
      </c>
      <c r="P31" t="b">
        <f t="shared" si="2"/>
        <v>0</v>
      </c>
    </row>
    <row r="32" spans="1:16">
      <c r="A32" s="121">
        <v>31</v>
      </c>
      <c r="B32" s="184" t="s">
        <v>2171</v>
      </c>
      <c r="C32" s="184" t="s">
        <v>2219</v>
      </c>
      <c r="D32" s="122" t="s">
        <v>2213</v>
      </c>
      <c r="E32" s="125" t="s">
        <v>2055</v>
      </c>
      <c r="F32" s="125" t="s">
        <v>2055</v>
      </c>
      <c r="G32" s="125" t="s">
        <v>2055</v>
      </c>
      <c r="H32" s="125" t="s">
        <v>2055</v>
      </c>
      <c r="I32" s="125" t="s">
        <v>2055</v>
      </c>
      <c r="J32" s="125" t="s">
        <v>2055</v>
      </c>
      <c r="K32" s="123" t="str">
        <f t="shared" si="0"/>
        <v/>
      </c>
      <c r="M32" s="123">
        <v>319</v>
      </c>
      <c r="N32" t="b">
        <f t="shared" si="1"/>
        <v>0</v>
      </c>
      <c r="O32" s="123">
        <v>305</v>
      </c>
      <c r="P32" t="b">
        <f t="shared" si="2"/>
        <v>0</v>
      </c>
    </row>
    <row r="33" spans="1:16">
      <c r="A33" s="121">
        <v>32</v>
      </c>
      <c r="B33" s="184" t="s">
        <v>2171</v>
      </c>
      <c r="C33" s="184" t="s">
        <v>2220</v>
      </c>
      <c r="D33" s="122" t="s">
        <v>2213</v>
      </c>
      <c r="E33" s="124">
        <v>42936</v>
      </c>
      <c r="F33" s="124">
        <v>43007</v>
      </c>
      <c r="G33" s="123">
        <v>193</v>
      </c>
      <c r="H33" s="123">
        <v>743</v>
      </c>
      <c r="I33" s="123">
        <v>293</v>
      </c>
      <c r="J33" s="123">
        <v>660</v>
      </c>
      <c r="K33" s="123">
        <f t="shared" si="0"/>
        <v>71</v>
      </c>
      <c r="M33" s="123">
        <v>273</v>
      </c>
      <c r="N33" t="b">
        <f t="shared" si="1"/>
        <v>0</v>
      </c>
      <c r="O33" s="123">
        <v>667</v>
      </c>
      <c r="P33" t="b">
        <f t="shared" si="2"/>
        <v>0</v>
      </c>
    </row>
    <row r="34" spans="1:16">
      <c r="A34" s="121">
        <v>33</v>
      </c>
      <c r="B34" s="184" t="s">
        <v>2171</v>
      </c>
      <c r="C34" s="184" t="s">
        <v>2221</v>
      </c>
      <c r="D34" s="122" t="s">
        <v>2222</v>
      </c>
      <c r="E34" s="124">
        <v>42938</v>
      </c>
      <c r="F34" s="124">
        <v>43005</v>
      </c>
      <c r="G34" s="123">
        <v>218</v>
      </c>
      <c r="H34" s="123">
        <v>769</v>
      </c>
      <c r="I34" s="123">
        <v>139</v>
      </c>
      <c r="J34" s="123">
        <v>712</v>
      </c>
      <c r="K34" s="123">
        <f t="shared" si="0"/>
        <v>67</v>
      </c>
      <c r="M34" s="125" t="s">
        <v>2055</v>
      </c>
      <c r="N34" t="b">
        <f t="shared" si="1"/>
        <v>1</v>
      </c>
      <c r="O34" s="125" t="s">
        <v>2055</v>
      </c>
      <c r="P34" t="b">
        <f t="shared" si="2"/>
        <v>1</v>
      </c>
    </row>
    <row r="35" spans="1:16">
      <c r="A35" s="121">
        <v>34</v>
      </c>
      <c r="B35" s="184" t="s">
        <v>2171</v>
      </c>
      <c r="C35" s="184" t="s">
        <v>2224</v>
      </c>
      <c r="D35" s="122" t="s">
        <v>2222</v>
      </c>
      <c r="E35" s="124">
        <v>42938</v>
      </c>
      <c r="F35" s="124">
        <v>43005</v>
      </c>
      <c r="G35" s="123">
        <v>104</v>
      </c>
      <c r="H35" s="123">
        <v>753</v>
      </c>
      <c r="I35" s="123">
        <v>487</v>
      </c>
      <c r="J35" s="123">
        <v>324</v>
      </c>
      <c r="K35" s="123">
        <f t="shared" si="0"/>
        <v>67</v>
      </c>
      <c r="M35" s="123">
        <v>193</v>
      </c>
      <c r="N35" t="b">
        <f t="shared" si="1"/>
        <v>0</v>
      </c>
      <c r="O35" s="123">
        <v>743</v>
      </c>
      <c r="P35" t="b">
        <f t="shared" si="2"/>
        <v>0</v>
      </c>
    </row>
    <row r="36" spans="1:16">
      <c r="A36" s="121">
        <v>35</v>
      </c>
      <c r="B36" s="184" t="s">
        <v>2171</v>
      </c>
      <c r="C36" s="184" t="s">
        <v>2227</v>
      </c>
      <c r="D36" s="122" t="s">
        <v>2222</v>
      </c>
      <c r="E36" s="124">
        <v>42938</v>
      </c>
      <c r="F36" s="124">
        <v>43005</v>
      </c>
      <c r="G36" s="123">
        <v>188</v>
      </c>
      <c r="H36" s="123">
        <v>776</v>
      </c>
      <c r="I36" s="123">
        <v>717</v>
      </c>
      <c r="J36" s="123">
        <v>108</v>
      </c>
      <c r="K36" s="123">
        <f t="shared" si="0"/>
        <v>67</v>
      </c>
      <c r="M36" s="123">
        <v>218</v>
      </c>
      <c r="N36" t="b">
        <f t="shared" si="1"/>
        <v>0</v>
      </c>
      <c r="O36" s="123">
        <v>769</v>
      </c>
      <c r="P36" t="b">
        <f t="shared" si="2"/>
        <v>0</v>
      </c>
    </row>
    <row r="37" spans="1:16">
      <c r="A37" s="121">
        <v>36</v>
      </c>
      <c r="B37" s="184" t="s">
        <v>2171</v>
      </c>
      <c r="C37" s="184" t="s">
        <v>2228</v>
      </c>
      <c r="D37" s="122" t="s">
        <v>2222</v>
      </c>
      <c r="E37" s="124">
        <v>42938</v>
      </c>
      <c r="F37" s="124">
        <v>43005</v>
      </c>
      <c r="G37" s="123">
        <v>379</v>
      </c>
      <c r="H37" s="123">
        <v>799</v>
      </c>
      <c r="I37" s="123">
        <v>767</v>
      </c>
      <c r="J37" s="123">
        <v>152</v>
      </c>
      <c r="K37" s="123">
        <f t="shared" si="0"/>
        <v>67</v>
      </c>
      <c r="M37" s="123">
        <v>104</v>
      </c>
      <c r="N37" t="b">
        <f t="shared" si="1"/>
        <v>0</v>
      </c>
      <c r="O37" s="123">
        <v>753</v>
      </c>
      <c r="P37" t="b">
        <f t="shared" si="2"/>
        <v>0</v>
      </c>
    </row>
    <row r="38" spans="1:16">
      <c r="A38" s="121">
        <v>37</v>
      </c>
      <c r="B38" s="184" t="s">
        <v>2171</v>
      </c>
      <c r="C38" s="184" t="s">
        <v>2230</v>
      </c>
      <c r="D38" s="122" t="s">
        <v>2222</v>
      </c>
      <c r="E38" s="124">
        <v>42938</v>
      </c>
      <c r="F38" s="124">
        <v>43005</v>
      </c>
      <c r="G38" s="123">
        <v>66</v>
      </c>
      <c r="H38" s="123">
        <v>722</v>
      </c>
      <c r="I38" s="123">
        <v>473</v>
      </c>
      <c r="J38" s="123">
        <v>681</v>
      </c>
      <c r="K38" s="123">
        <f t="shared" si="0"/>
        <v>67</v>
      </c>
      <c r="M38" s="123">
        <v>188</v>
      </c>
      <c r="N38" t="b">
        <f t="shared" si="1"/>
        <v>0</v>
      </c>
      <c r="O38" s="123">
        <v>776</v>
      </c>
      <c r="P38" t="b">
        <f t="shared" si="2"/>
        <v>0</v>
      </c>
    </row>
    <row r="39" spans="1:16">
      <c r="A39" s="121">
        <v>38</v>
      </c>
      <c r="B39" s="184" t="s">
        <v>2171</v>
      </c>
      <c r="C39" s="184" t="s">
        <v>2232</v>
      </c>
      <c r="D39" s="122" t="s">
        <v>2222</v>
      </c>
      <c r="E39" s="124">
        <v>42938</v>
      </c>
      <c r="F39" s="124">
        <v>43005</v>
      </c>
      <c r="G39" s="123">
        <v>625</v>
      </c>
      <c r="H39" s="123">
        <v>796</v>
      </c>
      <c r="I39" s="123">
        <v>111</v>
      </c>
      <c r="J39" s="129">
        <v>260</v>
      </c>
      <c r="K39" s="123">
        <f t="shared" si="0"/>
        <v>67</v>
      </c>
      <c r="M39" s="123">
        <v>379</v>
      </c>
      <c r="N39" t="b">
        <f t="shared" si="1"/>
        <v>0</v>
      </c>
      <c r="O39" s="123">
        <v>799</v>
      </c>
      <c r="P39" t="b">
        <f t="shared" si="2"/>
        <v>0</v>
      </c>
    </row>
    <row r="40" spans="1:16">
      <c r="A40" s="121">
        <v>39</v>
      </c>
      <c r="B40" s="184" t="s">
        <v>2171</v>
      </c>
      <c r="C40" s="184" t="s">
        <v>2234</v>
      </c>
      <c r="D40" s="122" t="s">
        <v>2222</v>
      </c>
      <c r="E40" s="124">
        <v>42938</v>
      </c>
      <c r="F40" s="123" t="s">
        <v>2055</v>
      </c>
      <c r="G40" s="125" t="s">
        <v>2055</v>
      </c>
      <c r="H40" s="125" t="s">
        <v>2055</v>
      </c>
      <c r="I40" s="125" t="s">
        <v>2055</v>
      </c>
      <c r="J40" s="125" t="s">
        <v>2055</v>
      </c>
      <c r="K40" s="123" t="str">
        <f t="shared" si="0"/>
        <v/>
      </c>
      <c r="M40" s="123">
        <v>66</v>
      </c>
      <c r="N40" t="b">
        <f t="shared" si="1"/>
        <v>0</v>
      </c>
      <c r="O40" s="123">
        <v>722</v>
      </c>
      <c r="P40" t="b">
        <f t="shared" si="2"/>
        <v>0</v>
      </c>
    </row>
    <row r="41" spans="1:16">
      <c r="A41" s="121">
        <v>40</v>
      </c>
      <c r="B41" s="184" t="s">
        <v>2171</v>
      </c>
      <c r="C41" s="184" t="s">
        <v>2236</v>
      </c>
      <c r="D41" s="122" t="s">
        <v>2222</v>
      </c>
      <c r="E41" s="124">
        <v>42938</v>
      </c>
      <c r="F41" s="124">
        <v>43005</v>
      </c>
      <c r="G41" s="123">
        <v>88</v>
      </c>
      <c r="H41" s="123">
        <v>782</v>
      </c>
      <c r="I41" s="123">
        <v>646</v>
      </c>
      <c r="J41" s="123">
        <v>402</v>
      </c>
      <c r="K41" s="123">
        <f t="shared" si="0"/>
        <v>67</v>
      </c>
      <c r="M41" s="123">
        <v>625</v>
      </c>
      <c r="N41" t="b">
        <f t="shared" si="1"/>
        <v>0</v>
      </c>
      <c r="O41" s="123">
        <v>796</v>
      </c>
      <c r="P41" t="b">
        <f t="shared" si="2"/>
        <v>0</v>
      </c>
    </row>
    <row r="42" spans="1:16">
      <c r="A42" s="121">
        <v>41</v>
      </c>
      <c r="B42" s="184" t="s">
        <v>2171</v>
      </c>
      <c r="C42" s="184" t="s">
        <v>2238</v>
      </c>
      <c r="D42" s="122" t="s">
        <v>2239</v>
      </c>
      <c r="E42" s="124">
        <v>42938</v>
      </c>
      <c r="F42" s="124">
        <v>43005</v>
      </c>
      <c r="G42" s="123">
        <v>256</v>
      </c>
      <c r="H42" s="123">
        <v>820</v>
      </c>
      <c r="I42" s="123">
        <v>43</v>
      </c>
      <c r="J42" s="123">
        <v>648</v>
      </c>
      <c r="K42" s="123">
        <f t="shared" si="0"/>
        <v>67</v>
      </c>
      <c r="M42" s="125" t="s">
        <v>2055</v>
      </c>
      <c r="N42" t="b">
        <f t="shared" si="1"/>
        <v>1</v>
      </c>
      <c r="O42" s="125" t="s">
        <v>2055</v>
      </c>
      <c r="P42" t="b">
        <f t="shared" si="2"/>
        <v>1</v>
      </c>
    </row>
    <row r="43" spans="1:16">
      <c r="A43" s="121">
        <v>42</v>
      </c>
      <c r="B43" s="184" t="s">
        <v>2171</v>
      </c>
      <c r="C43" s="184" t="s">
        <v>2240</v>
      </c>
      <c r="D43" s="122" t="s">
        <v>2239</v>
      </c>
      <c r="E43" s="124">
        <v>42938</v>
      </c>
      <c r="F43" s="124">
        <v>43005</v>
      </c>
      <c r="G43" s="123">
        <v>341</v>
      </c>
      <c r="H43" s="123">
        <v>806</v>
      </c>
      <c r="I43" s="123">
        <v>268</v>
      </c>
      <c r="J43" s="123">
        <v>257</v>
      </c>
      <c r="K43" s="123">
        <f t="shared" si="0"/>
        <v>67</v>
      </c>
      <c r="M43" s="123">
        <v>88</v>
      </c>
      <c r="N43" t="b">
        <f t="shared" si="1"/>
        <v>0</v>
      </c>
      <c r="O43" s="123">
        <v>782</v>
      </c>
      <c r="P43" t="b">
        <f t="shared" si="2"/>
        <v>0</v>
      </c>
    </row>
    <row r="44" spans="1:16">
      <c r="A44" s="121">
        <v>43</v>
      </c>
      <c r="B44" s="184" t="s">
        <v>2171</v>
      </c>
      <c r="C44" s="184" t="s">
        <v>2242</v>
      </c>
      <c r="D44" s="122" t="s">
        <v>2239</v>
      </c>
      <c r="E44" s="124">
        <v>42938</v>
      </c>
      <c r="F44" s="124">
        <v>43005</v>
      </c>
      <c r="G44" s="123">
        <v>246</v>
      </c>
      <c r="H44" s="123">
        <v>758</v>
      </c>
      <c r="I44" s="123">
        <v>300</v>
      </c>
      <c r="J44" s="123">
        <v>691</v>
      </c>
      <c r="K44" s="123">
        <f t="shared" si="0"/>
        <v>67</v>
      </c>
      <c r="M44" s="123">
        <v>256</v>
      </c>
      <c r="N44" t="b">
        <f t="shared" si="1"/>
        <v>0</v>
      </c>
      <c r="O44" s="123">
        <v>820</v>
      </c>
      <c r="P44" t="b">
        <f t="shared" si="2"/>
        <v>0</v>
      </c>
    </row>
    <row r="45" spans="1:16">
      <c r="A45" s="121">
        <v>44</v>
      </c>
      <c r="B45" s="184" t="s">
        <v>2171</v>
      </c>
      <c r="C45" s="184" t="s">
        <v>2243</v>
      </c>
      <c r="D45" s="122" t="s">
        <v>2239</v>
      </c>
      <c r="E45" s="124">
        <v>42938</v>
      </c>
      <c r="F45" s="124">
        <v>43005</v>
      </c>
      <c r="G45" s="123">
        <v>115</v>
      </c>
      <c r="H45" s="123">
        <v>783</v>
      </c>
      <c r="I45" s="123">
        <v>823</v>
      </c>
      <c r="J45" s="123">
        <v>716</v>
      </c>
      <c r="K45" s="123">
        <f t="shared" si="0"/>
        <v>67</v>
      </c>
      <c r="M45" s="123">
        <v>341</v>
      </c>
      <c r="N45" t="b">
        <f t="shared" si="1"/>
        <v>0</v>
      </c>
      <c r="O45" s="123">
        <v>806</v>
      </c>
      <c r="P45" t="b">
        <f t="shared" si="2"/>
        <v>0</v>
      </c>
    </row>
    <row r="46" spans="1:16">
      <c r="A46" s="121">
        <v>45</v>
      </c>
      <c r="B46" s="184" t="s">
        <v>2171</v>
      </c>
      <c r="C46" s="184" t="s">
        <v>2244</v>
      </c>
      <c r="D46" s="122" t="s">
        <v>2239</v>
      </c>
      <c r="E46" s="124">
        <v>42938</v>
      </c>
      <c r="F46" s="124">
        <v>43005</v>
      </c>
      <c r="G46" s="123">
        <v>480</v>
      </c>
      <c r="H46" s="123">
        <v>827</v>
      </c>
      <c r="I46" s="123">
        <v>354</v>
      </c>
      <c r="J46" s="123">
        <v>631</v>
      </c>
      <c r="K46" s="123">
        <f t="shared" si="0"/>
        <v>67</v>
      </c>
      <c r="M46" s="123">
        <v>246</v>
      </c>
      <c r="N46" t="b">
        <f t="shared" si="1"/>
        <v>0</v>
      </c>
      <c r="O46" s="123">
        <v>758</v>
      </c>
      <c r="P46" t="b">
        <f t="shared" si="2"/>
        <v>0</v>
      </c>
    </row>
    <row r="47" spans="1:16">
      <c r="A47" s="121">
        <v>46</v>
      </c>
      <c r="B47" s="184" t="s">
        <v>2171</v>
      </c>
      <c r="C47" s="184" t="s">
        <v>2246</v>
      </c>
      <c r="D47" s="122" t="s">
        <v>2239</v>
      </c>
      <c r="E47" s="123" t="s">
        <v>2055</v>
      </c>
      <c r="F47" s="124" t="s">
        <v>2055</v>
      </c>
      <c r="G47" s="123" t="s">
        <v>2055</v>
      </c>
      <c r="H47" s="123" t="s">
        <v>2055</v>
      </c>
      <c r="I47" s="123" t="s">
        <v>2055</v>
      </c>
      <c r="J47" s="123" t="s">
        <v>2055</v>
      </c>
      <c r="K47" s="123" t="str">
        <f t="shared" si="0"/>
        <v/>
      </c>
      <c r="M47" s="123">
        <v>115</v>
      </c>
      <c r="N47" t="b">
        <f t="shared" si="1"/>
        <v>0</v>
      </c>
      <c r="O47" s="123">
        <v>783</v>
      </c>
      <c r="P47" t="b">
        <f t="shared" si="2"/>
        <v>0</v>
      </c>
    </row>
    <row r="48" spans="1:16">
      <c r="A48" s="121">
        <v>47</v>
      </c>
      <c r="B48" s="184" t="s">
        <v>2171</v>
      </c>
      <c r="C48" s="184" t="s">
        <v>2247</v>
      </c>
      <c r="D48" s="122" t="s">
        <v>2239</v>
      </c>
      <c r="E48" s="124">
        <v>42938</v>
      </c>
      <c r="F48" s="124">
        <v>43005</v>
      </c>
      <c r="G48" s="123">
        <v>110</v>
      </c>
      <c r="H48" s="123">
        <v>831</v>
      </c>
      <c r="I48" s="123">
        <v>659</v>
      </c>
      <c r="J48" s="123">
        <v>606</v>
      </c>
      <c r="K48" s="123">
        <f t="shared" si="0"/>
        <v>67</v>
      </c>
      <c r="M48" s="123">
        <v>480</v>
      </c>
      <c r="N48" t="b">
        <f t="shared" si="1"/>
        <v>0</v>
      </c>
      <c r="O48" s="123">
        <v>827</v>
      </c>
      <c r="P48" t="b">
        <f t="shared" si="2"/>
        <v>0</v>
      </c>
    </row>
    <row r="49" spans="1:16">
      <c r="A49" s="121">
        <v>48</v>
      </c>
      <c r="B49" s="184" t="s">
        <v>2171</v>
      </c>
      <c r="C49" s="184" t="s">
        <v>2249</v>
      </c>
      <c r="D49" s="122" t="s">
        <v>2239</v>
      </c>
      <c r="E49" s="124">
        <v>42938</v>
      </c>
      <c r="F49" s="124">
        <v>43005</v>
      </c>
      <c r="G49" s="123">
        <v>233</v>
      </c>
      <c r="H49" s="123">
        <v>828</v>
      </c>
      <c r="I49" s="123">
        <v>267</v>
      </c>
      <c r="J49" s="123">
        <v>221</v>
      </c>
      <c r="K49" s="123">
        <f t="shared" si="0"/>
        <v>67</v>
      </c>
      <c r="M49" s="123" t="s">
        <v>2055</v>
      </c>
      <c r="N49" t="b">
        <f t="shared" si="1"/>
        <v>1</v>
      </c>
      <c r="O49" s="123" t="s">
        <v>2055</v>
      </c>
      <c r="P49" t="b">
        <f t="shared" si="2"/>
        <v>1</v>
      </c>
    </row>
    <row r="50" spans="1:16">
      <c r="A50" s="121">
        <v>49</v>
      </c>
      <c r="B50" s="184" t="s">
        <v>2171</v>
      </c>
      <c r="C50" s="184" t="s">
        <v>2250</v>
      </c>
      <c r="D50" s="122" t="s">
        <v>2251</v>
      </c>
      <c r="E50" s="124">
        <v>42938</v>
      </c>
      <c r="F50" s="124">
        <v>43005</v>
      </c>
      <c r="G50" s="123">
        <v>54</v>
      </c>
      <c r="H50" s="123">
        <v>805</v>
      </c>
      <c r="I50" s="123">
        <v>812</v>
      </c>
      <c r="J50" s="123">
        <v>308</v>
      </c>
      <c r="K50" s="123">
        <f t="shared" si="0"/>
        <v>67</v>
      </c>
      <c r="M50" s="123">
        <v>110</v>
      </c>
      <c r="N50" t="b">
        <f t="shared" si="1"/>
        <v>0</v>
      </c>
      <c r="O50" s="123">
        <v>831</v>
      </c>
      <c r="P50" t="b">
        <f t="shared" si="2"/>
        <v>0</v>
      </c>
    </row>
    <row r="51" spans="1:16">
      <c r="A51" s="121">
        <v>50</v>
      </c>
      <c r="B51" s="184" t="s">
        <v>2171</v>
      </c>
      <c r="C51" s="184" t="s">
        <v>2252</v>
      </c>
      <c r="D51" s="122" t="s">
        <v>2251</v>
      </c>
      <c r="E51" s="124">
        <v>42938</v>
      </c>
      <c r="F51" s="124" t="s">
        <v>2055</v>
      </c>
      <c r="G51" s="123">
        <v>276</v>
      </c>
      <c r="H51" s="123">
        <v>754</v>
      </c>
      <c r="I51" s="123">
        <v>212</v>
      </c>
      <c r="J51" s="123">
        <v>644</v>
      </c>
      <c r="K51" s="123" t="str">
        <f t="shared" si="0"/>
        <v/>
      </c>
      <c r="M51" s="123">
        <v>233</v>
      </c>
      <c r="N51" t="b">
        <f t="shared" si="1"/>
        <v>0</v>
      </c>
      <c r="O51" s="123">
        <v>828</v>
      </c>
      <c r="P51" t="b">
        <f t="shared" si="2"/>
        <v>0</v>
      </c>
    </row>
    <row r="52" spans="1:16">
      <c r="A52" s="121">
        <v>51</v>
      </c>
      <c r="B52" s="184" t="s">
        <v>2171</v>
      </c>
      <c r="C52" s="184" t="s">
        <v>2253</v>
      </c>
      <c r="D52" s="122" t="s">
        <v>2251</v>
      </c>
      <c r="E52" s="124">
        <v>42938</v>
      </c>
      <c r="F52" s="124">
        <v>43005</v>
      </c>
      <c r="G52" s="123">
        <v>227</v>
      </c>
      <c r="H52" s="123">
        <v>798</v>
      </c>
      <c r="I52" s="123">
        <v>598</v>
      </c>
      <c r="J52" s="123">
        <v>242</v>
      </c>
      <c r="K52" s="123">
        <f t="shared" si="0"/>
        <v>67</v>
      </c>
      <c r="M52" s="123">
        <v>54</v>
      </c>
      <c r="N52" t="b">
        <f t="shared" si="1"/>
        <v>0</v>
      </c>
      <c r="O52" s="123">
        <v>805</v>
      </c>
      <c r="P52" t="b">
        <f t="shared" si="2"/>
        <v>0</v>
      </c>
    </row>
    <row r="53" spans="1:16">
      <c r="A53" s="121">
        <v>52</v>
      </c>
      <c r="B53" s="184" t="s">
        <v>2171</v>
      </c>
      <c r="C53" s="184" t="s">
        <v>2254</v>
      </c>
      <c r="D53" s="122" t="s">
        <v>2251</v>
      </c>
      <c r="E53" s="124">
        <v>42938</v>
      </c>
      <c r="F53" s="124">
        <v>43005</v>
      </c>
      <c r="G53" s="123">
        <v>237</v>
      </c>
      <c r="H53" s="123">
        <v>833</v>
      </c>
      <c r="I53" s="123">
        <v>818</v>
      </c>
      <c r="J53" s="123">
        <v>618</v>
      </c>
      <c r="K53" s="123">
        <f t="shared" si="0"/>
        <v>67</v>
      </c>
      <c r="M53" s="123">
        <v>276</v>
      </c>
      <c r="N53" t="b">
        <f t="shared" si="1"/>
        <v>0</v>
      </c>
      <c r="O53" s="123">
        <v>754</v>
      </c>
      <c r="P53" t="b">
        <f t="shared" si="2"/>
        <v>0</v>
      </c>
    </row>
    <row r="54" spans="1:16">
      <c r="A54" s="121">
        <v>53</v>
      </c>
      <c r="B54" s="184" t="s">
        <v>2171</v>
      </c>
      <c r="C54" s="184" t="s">
        <v>2255</v>
      </c>
      <c r="D54" s="122" t="s">
        <v>2251</v>
      </c>
      <c r="E54" s="124">
        <v>42938</v>
      </c>
      <c r="F54" s="124">
        <v>43005</v>
      </c>
      <c r="G54" s="123">
        <v>172</v>
      </c>
      <c r="H54" s="123">
        <v>734</v>
      </c>
      <c r="I54" s="123">
        <v>759</v>
      </c>
      <c r="J54" s="123">
        <v>140</v>
      </c>
      <c r="K54" s="123">
        <f t="shared" si="0"/>
        <v>67</v>
      </c>
      <c r="M54" s="123">
        <v>227</v>
      </c>
      <c r="N54" t="b">
        <f t="shared" si="1"/>
        <v>0</v>
      </c>
      <c r="O54" s="123">
        <v>798</v>
      </c>
      <c r="P54" t="b">
        <f t="shared" si="2"/>
        <v>0</v>
      </c>
    </row>
    <row r="55" spans="1:16">
      <c r="A55" s="121">
        <v>54</v>
      </c>
      <c r="B55" s="184" t="s">
        <v>2171</v>
      </c>
      <c r="C55" s="184" t="s">
        <v>2256</v>
      </c>
      <c r="D55" s="122" t="s">
        <v>2251</v>
      </c>
      <c r="E55" s="123" t="s">
        <v>2055</v>
      </c>
      <c r="F55" s="123" t="s">
        <v>2055</v>
      </c>
      <c r="G55" s="123" t="s">
        <v>2055</v>
      </c>
      <c r="H55" s="123" t="s">
        <v>2055</v>
      </c>
      <c r="I55" s="123" t="s">
        <v>2055</v>
      </c>
      <c r="J55" s="123" t="s">
        <v>2055</v>
      </c>
      <c r="K55" s="123" t="str">
        <f t="shared" si="0"/>
        <v/>
      </c>
      <c r="M55" s="123">
        <v>237</v>
      </c>
      <c r="N55" t="b">
        <f t="shared" si="1"/>
        <v>0</v>
      </c>
      <c r="O55" s="123">
        <v>833</v>
      </c>
      <c r="P55" t="b">
        <f t="shared" si="2"/>
        <v>0</v>
      </c>
    </row>
    <row r="56" spans="1:16">
      <c r="A56" s="121">
        <v>55</v>
      </c>
      <c r="B56" s="184" t="s">
        <v>2171</v>
      </c>
      <c r="C56" s="184" t="s">
        <v>2257</v>
      </c>
      <c r="D56" s="122" t="s">
        <v>2251</v>
      </c>
      <c r="E56" s="124">
        <v>42938</v>
      </c>
      <c r="F56" s="124">
        <v>43005</v>
      </c>
      <c r="G56" s="123">
        <v>86</v>
      </c>
      <c r="H56" s="129">
        <v>839</v>
      </c>
      <c r="I56" s="123">
        <v>260</v>
      </c>
      <c r="J56" s="123">
        <v>192</v>
      </c>
      <c r="K56" s="123">
        <f t="shared" si="0"/>
        <v>67</v>
      </c>
      <c r="M56" s="123">
        <v>172</v>
      </c>
      <c r="N56" t="b">
        <f t="shared" si="1"/>
        <v>0</v>
      </c>
      <c r="O56" s="123">
        <v>734</v>
      </c>
      <c r="P56" t="b">
        <f t="shared" si="2"/>
        <v>0</v>
      </c>
    </row>
    <row r="57" spans="1:16">
      <c r="A57" s="121">
        <v>56</v>
      </c>
      <c r="B57" s="184" t="s">
        <v>2171</v>
      </c>
      <c r="C57" s="184" t="s">
        <v>2258</v>
      </c>
      <c r="D57" s="122" t="s">
        <v>2251</v>
      </c>
      <c r="E57" s="124">
        <v>42938</v>
      </c>
      <c r="F57" s="124">
        <v>43005</v>
      </c>
      <c r="G57" s="123">
        <v>107</v>
      </c>
      <c r="H57" s="123">
        <v>760</v>
      </c>
      <c r="I57" s="123">
        <v>493</v>
      </c>
      <c r="J57" s="123">
        <v>227</v>
      </c>
      <c r="K57" s="123">
        <f t="shared" si="0"/>
        <v>67</v>
      </c>
      <c r="M57" s="123" t="s">
        <v>2055</v>
      </c>
      <c r="N57" t="b">
        <f t="shared" si="1"/>
        <v>1</v>
      </c>
      <c r="O57" s="123" t="s">
        <v>2055</v>
      </c>
      <c r="P57" t="b">
        <f t="shared" si="2"/>
        <v>1</v>
      </c>
    </row>
    <row r="58" spans="1:16">
      <c r="A58" s="121">
        <v>57</v>
      </c>
      <c r="B58" s="184" t="s">
        <v>2171</v>
      </c>
      <c r="C58" s="186" t="s">
        <v>2259</v>
      </c>
      <c r="D58" s="122" t="s">
        <v>2260</v>
      </c>
      <c r="E58" s="124">
        <v>42938</v>
      </c>
      <c r="F58" s="124">
        <v>43005</v>
      </c>
      <c r="G58" s="123">
        <v>41</v>
      </c>
      <c r="H58" s="123">
        <v>830</v>
      </c>
      <c r="I58" s="123">
        <v>347</v>
      </c>
      <c r="J58" s="123">
        <v>416</v>
      </c>
      <c r="K58" s="123">
        <f t="shared" si="0"/>
        <v>67</v>
      </c>
      <c r="M58" s="123">
        <v>86</v>
      </c>
      <c r="N58" t="b">
        <f t="shared" si="1"/>
        <v>0</v>
      </c>
      <c r="O58" s="129">
        <v>839</v>
      </c>
      <c r="P58" t="b">
        <f t="shared" si="2"/>
        <v>0</v>
      </c>
    </row>
    <row r="59" spans="1:16">
      <c r="A59" s="121">
        <v>58</v>
      </c>
      <c r="B59" s="184" t="s">
        <v>2171</v>
      </c>
      <c r="C59" s="186" t="s">
        <v>2262</v>
      </c>
      <c r="D59" s="122" t="s">
        <v>2260</v>
      </c>
      <c r="E59" s="124">
        <v>42938</v>
      </c>
      <c r="F59" s="124">
        <v>43005</v>
      </c>
      <c r="G59" s="123">
        <v>481</v>
      </c>
      <c r="H59" s="123">
        <v>725</v>
      </c>
      <c r="I59" s="123">
        <v>735</v>
      </c>
      <c r="J59" s="123">
        <v>689</v>
      </c>
      <c r="K59" s="123">
        <f t="shared" si="0"/>
        <v>67</v>
      </c>
      <c r="M59" s="164">
        <v>107</v>
      </c>
      <c r="N59" t="b">
        <f t="shared" si="1"/>
        <v>1</v>
      </c>
      <c r="O59" s="123">
        <v>760</v>
      </c>
      <c r="P59" t="b">
        <f t="shared" si="2"/>
        <v>0</v>
      </c>
    </row>
    <row r="60" spans="1:16">
      <c r="A60" s="121">
        <v>59</v>
      </c>
      <c r="B60" s="184" t="s">
        <v>2171</v>
      </c>
      <c r="C60" s="186" t="s">
        <v>2263</v>
      </c>
      <c r="D60" s="122" t="s">
        <v>2260</v>
      </c>
      <c r="E60" s="124">
        <v>42938</v>
      </c>
      <c r="F60" s="124">
        <v>43005</v>
      </c>
      <c r="G60" s="123">
        <v>261</v>
      </c>
      <c r="H60" s="123">
        <v>721</v>
      </c>
      <c r="I60" s="123">
        <v>558</v>
      </c>
      <c r="J60" s="123">
        <v>231</v>
      </c>
      <c r="K60" s="123">
        <f t="shared" si="0"/>
        <v>67</v>
      </c>
      <c r="M60" s="123">
        <v>41</v>
      </c>
      <c r="N60" t="b">
        <f t="shared" si="1"/>
        <v>0</v>
      </c>
      <c r="O60" s="123">
        <v>830</v>
      </c>
      <c r="P60" t="b">
        <f t="shared" si="2"/>
        <v>0</v>
      </c>
    </row>
    <row r="61" spans="1:16">
      <c r="A61" s="121">
        <v>60</v>
      </c>
      <c r="B61" s="184" t="s">
        <v>2171</v>
      </c>
      <c r="C61" s="186" t="s">
        <v>2264</v>
      </c>
      <c r="D61" s="122" t="s">
        <v>2260</v>
      </c>
      <c r="E61" s="124">
        <v>42938</v>
      </c>
      <c r="F61" s="124">
        <v>43005</v>
      </c>
      <c r="G61" s="123">
        <v>152</v>
      </c>
      <c r="H61" s="123">
        <v>763</v>
      </c>
      <c r="I61" s="123">
        <v>751</v>
      </c>
      <c r="J61" s="123">
        <v>297</v>
      </c>
      <c r="K61" s="123">
        <f t="shared" si="0"/>
        <v>67</v>
      </c>
      <c r="M61" s="123">
        <v>481</v>
      </c>
      <c r="N61" t="b">
        <f t="shared" si="1"/>
        <v>0</v>
      </c>
      <c r="O61" s="123">
        <v>725</v>
      </c>
      <c r="P61" t="b">
        <f t="shared" si="2"/>
        <v>0</v>
      </c>
    </row>
    <row r="62" spans="1:16">
      <c r="A62" s="121">
        <v>61</v>
      </c>
      <c r="B62" s="184" t="s">
        <v>2171</v>
      </c>
      <c r="C62" s="186" t="s">
        <v>2266</v>
      </c>
      <c r="D62" s="122" t="s">
        <v>2260</v>
      </c>
      <c r="E62" s="124">
        <v>42938</v>
      </c>
      <c r="F62" s="124">
        <v>43005</v>
      </c>
      <c r="G62" s="123">
        <v>191</v>
      </c>
      <c r="H62" s="123">
        <v>775</v>
      </c>
      <c r="I62" s="123">
        <v>748</v>
      </c>
      <c r="J62" s="123">
        <v>200</v>
      </c>
      <c r="K62" s="123">
        <f t="shared" si="0"/>
        <v>67</v>
      </c>
      <c r="M62" s="123">
        <v>261</v>
      </c>
      <c r="N62" t="b">
        <f t="shared" si="1"/>
        <v>0</v>
      </c>
      <c r="O62" s="123">
        <v>721</v>
      </c>
      <c r="P62" t="b">
        <f t="shared" si="2"/>
        <v>0</v>
      </c>
    </row>
    <row r="63" spans="1:16">
      <c r="A63" s="121">
        <v>62</v>
      </c>
      <c r="B63" s="184" t="s">
        <v>2171</v>
      </c>
      <c r="C63" s="186" t="s">
        <v>2267</v>
      </c>
      <c r="D63" s="122" t="s">
        <v>2260</v>
      </c>
      <c r="E63" s="125" t="s">
        <v>2055</v>
      </c>
      <c r="F63" s="124" t="s">
        <v>2055</v>
      </c>
      <c r="G63" s="125" t="s">
        <v>2055</v>
      </c>
      <c r="H63" s="125" t="s">
        <v>2055</v>
      </c>
      <c r="I63" s="125" t="s">
        <v>2055</v>
      </c>
      <c r="J63" s="125" t="s">
        <v>2055</v>
      </c>
      <c r="K63" s="123" t="str">
        <f t="shared" si="0"/>
        <v/>
      </c>
      <c r="M63" s="123">
        <v>152</v>
      </c>
      <c r="N63" t="b">
        <f t="shared" si="1"/>
        <v>0</v>
      </c>
      <c r="O63" s="123">
        <v>763</v>
      </c>
      <c r="P63" t="b">
        <f t="shared" si="2"/>
        <v>0</v>
      </c>
    </row>
    <row r="64" spans="1:16">
      <c r="A64" s="121">
        <v>63</v>
      </c>
      <c r="B64" s="184" t="s">
        <v>2171</v>
      </c>
      <c r="C64" s="186" t="s">
        <v>2269</v>
      </c>
      <c r="D64" s="122" t="s">
        <v>2260</v>
      </c>
      <c r="E64" s="124">
        <v>42938</v>
      </c>
      <c r="F64" s="124">
        <v>43005</v>
      </c>
      <c r="G64" s="123">
        <v>49</v>
      </c>
      <c r="H64" s="123">
        <v>733</v>
      </c>
      <c r="I64" s="123">
        <v>629</v>
      </c>
      <c r="J64" s="123">
        <v>713</v>
      </c>
      <c r="K64" s="123">
        <f t="shared" si="0"/>
        <v>67</v>
      </c>
      <c r="M64" s="123">
        <v>191</v>
      </c>
      <c r="N64" t="b">
        <f t="shared" si="1"/>
        <v>0</v>
      </c>
      <c r="O64" s="123">
        <v>775</v>
      </c>
      <c r="P64" t="b">
        <f t="shared" si="2"/>
        <v>0</v>
      </c>
    </row>
    <row r="65" spans="1:16">
      <c r="A65" s="121">
        <v>64</v>
      </c>
      <c r="B65" s="184" t="s">
        <v>2171</v>
      </c>
      <c r="C65" s="186" t="s">
        <v>2270</v>
      </c>
      <c r="D65" s="122" t="s">
        <v>2260</v>
      </c>
      <c r="E65" s="124">
        <v>42938</v>
      </c>
      <c r="F65" s="124">
        <v>43005</v>
      </c>
      <c r="G65" s="129">
        <v>347</v>
      </c>
      <c r="H65" s="123">
        <v>765</v>
      </c>
      <c r="I65" s="123">
        <v>84</v>
      </c>
      <c r="J65" s="129">
        <v>237</v>
      </c>
      <c r="K65" s="123">
        <f t="shared" si="0"/>
        <v>67</v>
      </c>
      <c r="M65" s="125" t="s">
        <v>2055</v>
      </c>
      <c r="N65" t="b">
        <f t="shared" si="1"/>
        <v>1</v>
      </c>
      <c r="O65" s="125" t="s">
        <v>2055</v>
      </c>
      <c r="P65" t="b">
        <f t="shared" si="2"/>
        <v>1</v>
      </c>
    </row>
    <row r="66" spans="1:16">
      <c r="A66" s="121">
        <v>65</v>
      </c>
      <c r="B66" s="184" t="s">
        <v>2271</v>
      </c>
      <c r="C66" s="184" t="s">
        <v>2272</v>
      </c>
      <c r="D66" s="122" t="s">
        <v>2273</v>
      </c>
      <c r="E66" s="124">
        <v>42937</v>
      </c>
      <c r="F66" s="124">
        <v>43005</v>
      </c>
      <c r="G66" s="123">
        <v>495</v>
      </c>
      <c r="H66" s="123">
        <v>731</v>
      </c>
      <c r="I66" s="163">
        <v>586</v>
      </c>
      <c r="J66" s="163">
        <v>654</v>
      </c>
      <c r="K66" s="123">
        <f t="shared" si="0"/>
        <v>68</v>
      </c>
      <c r="M66" s="123">
        <v>49</v>
      </c>
      <c r="N66" t="b">
        <f t="shared" si="1"/>
        <v>0</v>
      </c>
      <c r="O66" s="123">
        <v>733</v>
      </c>
      <c r="P66" t="b">
        <f t="shared" si="2"/>
        <v>0</v>
      </c>
    </row>
    <row r="67" spans="1:16">
      <c r="A67" s="121">
        <v>66</v>
      </c>
      <c r="B67" s="184" t="s">
        <v>2271</v>
      </c>
      <c r="C67" s="184" t="s">
        <v>2274</v>
      </c>
      <c r="D67" s="122" t="s">
        <v>2273</v>
      </c>
      <c r="E67" s="124">
        <v>42937</v>
      </c>
      <c r="F67" s="124">
        <v>43005</v>
      </c>
      <c r="G67" s="123">
        <v>247</v>
      </c>
      <c r="H67" s="123">
        <v>816</v>
      </c>
      <c r="I67" s="123">
        <v>851</v>
      </c>
      <c r="J67" s="123">
        <v>634</v>
      </c>
      <c r="K67" s="123">
        <f t="shared" ref="K67:K130" si="3">IFERROR(F67-E67,"")</f>
        <v>68</v>
      </c>
      <c r="M67" s="164">
        <v>347</v>
      </c>
      <c r="N67" t="b">
        <f t="shared" si="1"/>
        <v>1</v>
      </c>
      <c r="O67" s="123">
        <v>765</v>
      </c>
      <c r="P67" t="b">
        <f t="shared" si="2"/>
        <v>0</v>
      </c>
    </row>
    <row r="68" spans="1:16">
      <c r="A68" s="121">
        <v>67</v>
      </c>
      <c r="B68" s="184" t="s">
        <v>2271</v>
      </c>
      <c r="C68" s="184" t="s">
        <v>2275</v>
      </c>
      <c r="D68" s="122" t="s">
        <v>2273</v>
      </c>
      <c r="E68" s="125" t="s">
        <v>2505</v>
      </c>
      <c r="F68" s="124" t="s">
        <v>2055</v>
      </c>
      <c r="G68" s="125" t="s">
        <v>2505</v>
      </c>
      <c r="H68" s="125" t="s">
        <v>2505</v>
      </c>
      <c r="I68" s="125" t="s">
        <v>2505</v>
      </c>
      <c r="J68" s="125" t="s">
        <v>2505</v>
      </c>
      <c r="K68" s="123" t="str">
        <f t="shared" si="3"/>
        <v/>
      </c>
      <c r="M68" s="123">
        <v>495</v>
      </c>
      <c r="N68" t="b">
        <f t="shared" ref="N68:N131" si="4">COUNTIF($M$4:$M$443, M68)&gt;1</f>
        <v>0</v>
      </c>
      <c r="O68" s="123">
        <v>731</v>
      </c>
      <c r="P68" t="b">
        <f t="shared" si="2"/>
        <v>0</v>
      </c>
    </row>
    <row r="69" spans="1:16">
      <c r="A69" s="121">
        <v>68</v>
      </c>
      <c r="B69" s="184" t="s">
        <v>2271</v>
      </c>
      <c r="C69" s="184" t="s">
        <v>2276</v>
      </c>
      <c r="D69" s="122" t="s">
        <v>2273</v>
      </c>
      <c r="E69" s="124">
        <v>42937</v>
      </c>
      <c r="F69" s="124">
        <v>43005</v>
      </c>
      <c r="G69" s="123">
        <v>63</v>
      </c>
      <c r="H69" s="123">
        <v>815</v>
      </c>
      <c r="I69" s="123">
        <v>467</v>
      </c>
      <c r="J69" s="123">
        <v>201</v>
      </c>
      <c r="K69" s="123">
        <f t="shared" si="3"/>
        <v>68</v>
      </c>
      <c r="M69" s="123">
        <v>247</v>
      </c>
      <c r="N69" t="b">
        <f t="shared" si="4"/>
        <v>0</v>
      </c>
      <c r="O69" s="123">
        <v>816</v>
      </c>
      <c r="P69" t="b">
        <f t="shared" ref="P69:P132" si="5">COUNTIF($O$4:$O$443, O69)&gt;1</f>
        <v>0</v>
      </c>
    </row>
    <row r="70" spans="1:16">
      <c r="A70" s="121">
        <v>69</v>
      </c>
      <c r="B70" s="184" t="s">
        <v>2271</v>
      </c>
      <c r="C70" s="184" t="s">
        <v>2277</v>
      </c>
      <c r="D70" s="122" t="s">
        <v>2273</v>
      </c>
      <c r="E70" s="124">
        <v>42937</v>
      </c>
      <c r="F70" s="124">
        <v>43006</v>
      </c>
      <c r="G70" s="123">
        <v>382</v>
      </c>
      <c r="H70" s="123">
        <v>741</v>
      </c>
      <c r="I70" s="123">
        <v>766</v>
      </c>
      <c r="J70" s="123">
        <v>174</v>
      </c>
      <c r="K70" s="123">
        <f t="shared" si="3"/>
        <v>69</v>
      </c>
      <c r="M70" s="125" t="s">
        <v>2505</v>
      </c>
      <c r="N70" t="b">
        <f t="shared" si="4"/>
        <v>1</v>
      </c>
      <c r="O70" s="125" t="s">
        <v>2505</v>
      </c>
      <c r="P70" t="b">
        <f t="shared" si="5"/>
        <v>1</v>
      </c>
    </row>
    <row r="71" spans="1:16">
      <c r="A71" s="121">
        <v>70</v>
      </c>
      <c r="B71" s="184" t="s">
        <v>2271</v>
      </c>
      <c r="C71" s="184" t="s">
        <v>2278</v>
      </c>
      <c r="D71" s="122" t="s">
        <v>2273</v>
      </c>
      <c r="E71" s="124">
        <v>42937</v>
      </c>
      <c r="F71" s="124">
        <v>43006</v>
      </c>
      <c r="G71" s="123">
        <v>278</v>
      </c>
      <c r="H71" s="123">
        <v>294</v>
      </c>
      <c r="I71" s="129">
        <v>430</v>
      </c>
      <c r="J71" s="123">
        <v>261</v>
      </c>
      <c r="K71" s="123">
        <f t="shared" si="3"/>
        <v>69</v>
      </c>
      <c r="M71" s="123">
        <v>63</v>
      </c>
      <c r="N71" t="b">
        <f t="shared" si="4"/>
        <v>0</v>
      </c>
      <c r="O71" s="123">
        <v>815</v>
      </c>
      <c r="P71" t="b">
        <f t="shared" si="5"/>
        <v>0</v>
      </c>
    </row>
    <row r="72" spans="1:16">
      <c r="A72" s="121">
        <v>71</v>
      </c>
      <c r="B72" s="184" t="s">
        <v>2271</v>
      </c>
      <c r="C72" s="184" t="s">
        <v>2279</v>
      </c>
      <c r="D72" s="122" t="s">
        <v>2273</v>
      </c>
      <c r="E72" s="124">
        <v>42937</v>
      </c>
      <c r="F72" s="124">
        <v>43006</v>
      </c>
      <c r="G72" s="123">
        <v>138</v>
      </c>
      <c r="H72" s="123">
        <v>761</v>
      </c>
      <c r="I72" s="123">
        <v>174</v>
      </c>
      <c r="J72" s="123">
        <v>203</v>
      </c>
      <c r="K72" s="123">
        <f t="shared" si="3"/>
        <v>69</v>
      </c>
      <c r="M72" s="123">
        <v>382</v>
      </c>
      <c r="N72" t="b">
        <f t="shared" si="4"/>
        <v>0</v>
      </c>
      <c r="O72" s="123">
        <v>741</v>
      </c>
      <c r="P72" t="b">
        <f t="shared" si="5"/>
        <v>0</v>
      </c>
    </row>
    <row r="73" spans="1:16">
      <c r="A73" s="121">
        <v>72</v>
      </c>
      <c r="B73" s="184" t="s">
        <v>2271</v>
      </c>
      <c r="C73" s="184" t="s">
        <v>2280</v>
      </c>
      <c r="D73" s="122" t="s">
        <v>2273</v>
      </c>
      <c r="E73" s="124">
        <v>42937</v>
      </c>
      <c r="F73" s="124">
        <v>43006</v>
      </c>
      <c r="G73" s="123">
        <v>431</v>
      </c>
      <c r="H73" s="123">
        <v>780</v>
      </c>
      <c r="I73" s="123">
        <v>714</v>
      </c>
      <c r="J73" s="123">
        <v>191</v>
      </c>
      <c r="K73" s="123">
        <f t="shared" si="3"/>
        <v>69</v>
      </c>
      <c r="M73" s="123">
        <v>278</v>
      </c>
      <c r="N73" t="b">
        <f t="shared" si="4"/>
        <v>0</v>
      </c>
      <c r="O73" s="123">
        <v>294</v>
      </c>
      <c r="P73" t="b">
        <f t="shared" si="5"/>
        <v>0</v>
      </c>
    </row>
    <row r="74" spans="1:16">
      <c r="A74" s="121">
        <v>73</v>
      </c>
      <c r="B74" s="184" t="s">
        <v>2271</v>
      </c>
      <c r="C74" s="184" t="s">
        <v>2281</v>
      </c>
      <c r="D74" s="122" t="s">
        <v>2282</v>
      </c>
      <c r="E74" s="124">
        <v>42937</v>
      </c>
      <c r="F74" s="124">
        <v>43006</v>
      </c>
      <c r="G74" s="123">
        <v>321</v>
      </c>
      <c r="H74" s="123">
        <v>730</v>
      </c>
      <c r="I74" s="123">
        <v>726</v>
      </c>
      <c r="J74" s="123">
        <v>160</v>
      </c>
      <c r="K74" s="123">
        <f t="shared" si="3"/>
        <v>69</v>
      </c>
      <c r="M74" s="123">
        <v>138</v>
      </c>
      <c r="N74" t="b">
        <f t="shared" si="4"/>
        <v>0</v>
      </c>
      <c r="O74" s="123">
        <v>761</v>
      </c>
      <c r="P74" t="b">
        <f t="shared" si="5"/>
        <v>0</v>
      </c>
    </row>
    <row r="75" spans="1:16">
      <c r="A75" s="121">
        <v>74</v>
      </c>
      <c r="B75" s="184" t="s">
        <v>2271</v>
      </c>
      <c r="C75" s="184" t="s">
        <v>2283</v>
      </c>
      <c r="D75" s="122" t="s">
        <v>2282</v>
      </c>
      <c r="E75" s="124">
        <v>42937</v>
      </c>
      <c r="F75" s="124">
        <v>43006</v>
      </c>
      <c r="G75" s="123">
        <v>329</v>
      </c>
      <c r="H75" s="123">
        <v>825</v>
      </c>
      <c r="I75" s="123">
        <v>866</v>
      </c>
      <c r="J75" s="123">
        <v>275</v>
      </c>
      <c r="K75" s="123">
        <f t="shared" si="3"/>
        <v>69</v>
      </c>
      <c r="M75" s="123">
        <v>431</v>
      </c>
      <c r="N75" t="b">
        <f t="shared" si="4"/>
        <v>0</v>
      </c>
      <c r="O75" s="123">
        <v>780</v>
      </c>
      <c r="P75" t="b">
        <f t="shared" si="5"/>
        <v>0</v>
      </c>
    </row>
    <row r="76" spans="1:16">
      <c r="A76" s="121">
        <v>75</v>
      </c>
      <c r="B76" s="184" t="s">
        <v>2271</v>
      </c>
      <c r="C76" s="184" t="s">
        <v>2284</v>
      </c>
      <c r="D76" s="122" t="s">
        <v>2282</v>
      </c>
      <c r="E76" s="124">
        <v>42937</v>
      </c>
      <c r="F76" s="124">
        <v>43006</v>
      </c>
      <c r="G76" s="123">
        <v>215</v>
      </c>
      <c r="H76" s="123">
        <v>840</v>
      </c>
      <c r="I76" s="123">
        <v>705</v>
      </c>
      <c r="J76" s="123">
        <v>657</v>
      </c>
      <c r="K76" s="123">
        <f t="shared" si="3"/>
        <v>69</v>
      </c>
      <c r="M76" s="123">
        <v>321</v>
      </c>
      <c r="N76" t="b">
        <f t="shared" si="4"/>
        <v>0</v>
      </c>
      <c r="O76" s="123">
        <v>730</v>
      </c>
      <c r="P76" t="b">
        <f t="shared" si="5"/>
        <v>0</v>
      </c>
    </row>
    <row r="77" spans="1:16">
      <c r="A77" s="121">
        <v>76</v>
      </c>
      <c r="B77" s="184" t="s">
        <v>2271</v>
      </c>
      <c r="C77" s="184" t="s">
        <v>2285</v>
      </c>
      <c r="D77" s="122" t="s">
        <v>2282</v>
      </c>
      <c r="E77" s="124">
        <v>42937</v>
      </c>
      <c r="F77" s="124">
        <v>43006</v>
      </c>
      <c r="G77" s="132">
        <v>60</v>
      </c>
      <c r="H77" s="123">
        <v>770</v>
      </c>
      <c r="I77" s="123">
        <v>601</v>
      </c>
      <c r="J77" s="123">
        <v>306</v>
      </c>
      <c r="K77" s="123">
        <f t="shared" si="3"/>
        <v>69</v>
      </c>
      <c r="M77" s="123">
        <v>329</v>
      </c>
      <c r="N77" t="b">
        <f t="shared" si="4"/>
        <v>0</v>
      </c>
      <c r="O77" s="123">
        <v>825</v>
      </c>
      <c r="P77" t="b">
        <f t="shared" si="5"/>
        <v>0</v>
      </c>
    </row>
    <row r="78" spans="1:16">
      <c r="A78" s="121">
        <v>77</v>
      </c>
      <c r="B78" s="184" t="s">
        <v>2271</v>
      </c>
      <c r="C78" s="184" t="s">
        <v>2286</v>
      </c>
      <c r="D78" s="122" t="s">
        <v>2282</v>
      </c>
      <c r="E78" s="123" t="s">
        <v>2055</v>
      </c>
      <c r="F78" s="123" t="s">
        <v>2055</v>
      </c>
      <c r="G78" s="123" t="s">
        <v>2055</v>
      </c>
      <c r="H78" s="123" t="s">
        <v>2055</v>
      </c>
      <c r="I78" s="123" t="s">
        <v>2055</v>
      </c>
      <c r="J78" s="123" t="s">
        <v>2055</v>
      </c>
      <c r="K78" s="123" t="str">
        <f t="shared" si="3"/>
        <v/>
      </c>
      <c r="M78" s="123">
        <v>215</v>
      </c>
      <c r="N78" t="b">
        <f t="shared" si="4"/>
        <v>0</v>
      </c>
      <c r="O78" s="123">
        <v>840</v>
      </c>
      <c r="P78" t="b">
        <f t="shared" si="5"/>
        <v>0</v>
      </c>
    </row>
    <row r="79" spans="1:16">
      <c r="A79" s="121">
        <v>78</v>
      </c>
      <c r="B79" s="184" t="s">
        <v>2271</v>
      </c>
      <c r="C79" s="184" t="s">
        <v>2287</v>
      </c>
      <c r="D79" s="122" t="s">
        <v>2282</v>
      </c>
      <c r="E79" s="124">
        <v>42937</v>
      </c>
      <c r="F79" s="124">
        <v>43006</v>
      </c>
      <c r="G79" s="123">
        <v>97</v>
      </c>
      <c r="H79" s="123">
        <v>696</v>
      </c>
      <c r="I79" s="123">
        <v>157</v>
      </c>
      <c r="J79" s="123">
        <v>377</v>
      </c>
      <c r="K79" s="123">
        <f t="shared" si="3"/>
        <v>69</v>
      </c>
      <c r="M79" s="132">
        <v>60</v>
      </c>
      <c r="N79" t="b">
        <f t="shared" si="4"/>
        <v>0</v>
      </c>
      <c r="O79" s="123">
        <v>770</v>
      </c>
      <c r="P79" t="b">
        <f t="shared" si="5"/>
        <v>0</v>
      </c>
    </row>
    <row r="80" spans="1:16">
      <c r="A80" s="121">
        <v>79</v>
      </c>
      <c r="B80" s="184" t="s">
        <v>2271</v>
      </c>
      <c r="C80" s="184" t="s">
        <v>2288</v>
      </c>
      <c r="D80" s="122" t="s">
        <v>2282</v>
      </c>
      <c r="E80" s="124">
        <v>42937</v>
      </c>
      <c r="F80" s="124">
        <v>43006</v>
      </c>
      <c r="G80" s="123">
        <v>120</v>
      </c>
      <c r="H80" s="123">
        <v>270</v>
      </c>
      <c r="I80" s="123">
        <v>226</v>
      </c>
      <c r="J80" s="123">
        <v>61</v>
      </c>
      <c r="K80" s="123">
        <f t="shared" si="3"/>
        <v>69</v>
      </c>
      <c r="M80" s="123" t="s">
        <v>2055</v>
      </c>
      <c r="N80" t="b">
        <f t="shared" si="4"/>
        <v>1</v>
      </c>
      <c r="O80" s="123" t="s">
        <v>2055</v>
      </c>
      <c r="P80" t="b">
        <f t="shared" si="5"/>
        <v>1</v>
      </c>
    </row>
    <row r="81" spans="1:16">
      <c r="A81" s="121">
        <v>80</v>
      </c>
      <c r="B81" s="184" t="s">
        <v>2271</v>
      </c>
      <c r="C81" s="184" t="s">
        <v>2289</v>
      </c>
      <c r="D81" s="122" t="s">
        <v>2282</v>
      </c>
      <c r="E81" s="124">
        <v>42937</v>
      </c>
      <c r="F81" s="124">
        <v>43006</v>
      </c>
      <c r="G81" s="123">
        <v>24</v>
      </c>
      <c r="H81" s="123">
        <v>726</v>
      </c>
      <c r="I81" s="123">
        <v>855</v>
      </c>
      <c r="J81" s="129">
        <v>620</v>
      </c>
      <c r="K81" s="123">
        <f t="shared" si="3"/>
        <v>69</v>
      </c>
      <c r="M81" s="123">
        <v>97</v>
      </c>
      <c r="N81" t="b">
        <f t="shared" si="4"/>
        <v>0</v>
      </c>
      <c r="O81" s="123">
        <v>696</v>
      </c>
      <c r="P81" t="b">
        <f t="shared" si="5"/>
        <v>0</v>
      </c>
    </row>
    <row r="82" spans="1:16">
      <c r="A82" s="121">
        <v>81</v>
      </c>
      <c r="B82" s="184" t="s">
        <v>2271</v>
      </c>
      <c r="C82" s="184" t="s">
        <v>2290</v>
      </c>
      <c r="D82" s="122" t="s">
        <v>2291</v>
      </c>
      <c r="E82" s="124">
        <v>42937</v>
      </c>
      <c r="F82" s="124">
        <v>43006</v>
      </c>
      <c r="G82" s="123">
        <v>312</v>
      </c>
      <c r="H82" s="123">
        <v>739</v>
      </c>
      <c r="I82" s="123">
        <v>413</v>
      </c>
      <c r="J82" s="123">
        <v>366</v>
      </c>
      <c r="K82" s="123">
        <f t="shared" si="3"/>
        <v>69</v>
      </c>
      <c r="M82" s="164">
        <v>120</v>
      </c>
      <c r="N82" t="b">
        <f t="shared" si="4"/>
        <v>1</v>
      </c>
      <c r="O82" s="123">
        <v>270</v>
      </c>
      <c r="P82" t="b">
        <f t="shared" si="5"/>
        <v>0</v>
      </c>
    </row>
    <row r="83" spans="1:16">
      <c r="A83" s="121">
        <v>82</v>
      </c>
      <c r="B83" s="184" t="s">
        <v>2292</v>
      </c>
      <c r="C83" s="184" t="s">
        <v>2293</v>
      </c>
      <c r="D83" s="122" t="s">
        <v>2291</v>
      </c>
      <c r="E83" s="124">
        <v>42937</v>
      </c>
      <c r="F83" s="124">
        <v>43006</v>
      </c>
      <c r="G83" s="123">
        <v>356</v>
      </c>
      <c r="H83" s="123">
        <v>800</v>
      </c>
      <c r="I83" s="123">
        <v>370</v>
      </c>
      <c r="J83" s="123">
        <v>610</v>
      </c>
      <c r="K83" s="123">
        <f t="shared" si="3"/>
        <v>69</v>
      </c>
      <c r="M83" s="123">
        <v>24</v>
      </c>
      <c r="N83" t="b">
        <f t="shared" si="4"/>
        <v>0</v>
      </c>
      <c r="O83" s="123">
        <v>726</v>
      </c>
      <c r="P83" t="b">
        <f t="shared" si="5"/>
        <v>0</v>
      </c>
    </row>
    <row r="84" spans="1:16">
      <c r="A84" s="121">
        <v>83</v>
      </c>
      <c r="B84" s="184" t="s">
        <v>2292</v>
      </c>
      <c r="C84" s="184" t="s">
        <v>2294</v>
      </c>
      <c r="D84" s="122" t="s">
        <v>2291</v>
      </c>
      <c r="E84" s="124">
        <v>42937</v>
      </c>
      <c r="F84" s="124">
        <v>43006</v>
      </c>
      <c r="G84" s="123">
        <v>331</v>
      </c>
      <c r="H84" s="123">
        <v>764</v>
      </c>
      <c r="I84" s="123">
        <v>879</v>
      </c>
      <c r="J84" s="123">
        <v>614</v>
      </c>
      <c r="K84" s="123">
        <f t="shared" si="3"/>
        <v>69</v>
      </c>
      <c r="M84" s="123">
        <v>312</v>
      </c>
      <c r="N84" t="b">
        <f t="shared" si="4"/>
        <v>0</v>
      </c>
      <c r="O84" s="123">
        <v>739</v>
      </c>
      <c r="P84" t="b">
        <f t="shared" si="5"/>
        <v>0</v>
      </c>
    </row>
    <row r="85" spans="1:16">
      <c r="A85" s="121">
        <v>84</v>
      </c>
      <c r="B85" s="184" t="s">
        <v>2292</v>
      </c>
      <c r="C85" s="184" t="s">
        <v>2295</v>
      </c>
      <c r="D85" s="122" t="s">
        <v>2291</v>
      </c>
      <c r="E85" s="124">
        <v>42937</v>
      </c>
      <c r="F85" s="124">
        <v>43006</v>
      </c>
      <c r="G85" s="129">
        <v>101</v>
      </c>
      <c r="H85" s="123">
        <v>778</v>
      </c>
      <c r="I85" s="123">
        <v>854</v>
      </c>
      <c r="J85" s="123">
        <v>720</v>
      </c>
      <c r="K85" s="123">
        <f t="shared" si="3"/>
        <v>69</v>
      </c>
      <c r="M85" s="123">
        <v>356</v>
      </c>
      <c r="N85" t="b">
        <f t="shared" si="4"/>
        <v>0</v>
      </c>
      <c r="O85" s="123">
        <v>800</v>
      </c>
      <c r="P85" t="b">
        <f t="shared" si="5"/>
        <v>0</v>
      </c>
    </row>
    <row r="86" spans="1:16">
      <c r="A86" s="121">
        <v>85</v>
      </c>
      <c r="B86" s="184" t="s">
        <v>2292</v>
      </c>
      <c r="C86" s="184" t="s">
        <v>2296</v>
      </c>
      <c r="D86" s="122" t="s">
        <v>2291</v>
      </c>
      <c r="E86" s="123" t="s">
        <v>2055</v>
      </c>
      <c r="F86" s="123" t="s">
        <v>2055</v>
      </c>
      <c r="G86" s="123" t="s">
        <v>2055</v>
      </c>
      <c r="H86" s="123" t="s">
        <v>2055</v>
      </c>
      <c r="I86" s="123" t="s">
        <v>2055</v>
      </c>
      <c r="J86" s="123" t="s">
        <v>2055</v>
      </c>
      <c r="K86" s="123" t="str">
        <f t="shared" si="3"/>
        <v/>
      </c>
      <c r="M86" s="123">
        <v>331</v>
      </c>
      <c r="N86" t="b">
        <f t="shared" si="4"/>
        <v>0</v>
      </c>
      <c r="O86" s="123">
        <v>764</v>
      </c>
      <c r="P86" t="b">
        <f t="shared" si="5"/>
        <v>0</v>
      </c>
    </row>
    <row r="87" spans="1:16">
      <c r="A87" s="121">
        <v>86</v>
      </c>
      <c r="B87" s="184" t="s">
        <v>2292</v>
      </c>
      <c r="C87" s="184" t="s">
        <v>2297</v>
      </c>
      <c r="D87" s="122" t="s">
        <v>2291</v>
      </c>
      <c r="E87" s="124">
        <v>42937</v>
      </c>
      <c r="F87" s="124">
        <v>43006</v>
      </c>
      <c r="G87" s="123">
        <v>31</v>
      </c>
      <c r="H87" s="123">
        <v>738</v>
      </c>
      <c r="I87" s="123">
        <v>788</v>
      </c>
      <c r="J87" s="123">
        <v>643</v>
      </c>
      <c r="K87" s="123">
        <f t="shared" si="3"/>
        <v>69</v>
      </c>
      <c r="M87" s="129">
        <v>101</v>
      </c>
      <c r="N87" t="b">
        <f t="shared" si="4"/>
        <v>0</v>
      </c>
      <c r="O87" s="123">
        <v>778</v>
      </c>
      <c r="P87" t="b">
        <f t="shared" si="5"/>
        <v>0</v>
      </c>
    </row>
    <row r="88" spans="1:16">
      <c r="A88" s="121">
        <v>87</v>
      </c>
      <c r="B88" s="184" t="s">
        <v>2292</v>
      </c>
      <c r="C88" s="184" t="s">
        <v>2298</v>
      </c>
      <c r="D88" s="122" t="s">
        <v>2291</v>
      </c>
      <c r="E88" s="124">
        <v>42937</v>
      </c>
      <c r="F88" s="124">
        <v>43006</v>
      </c>
      <c r="G88" s="123">
        <v>220</v>
      </c>
      <c r="H88" s="123">
        <v>394</v>
      </c>
      <c r="I88" s="123">
        <v>91</v>
      </c>
      <c r="J88" s="123">
        <v>277</v>
      </c>
      <c r="K88" s="123">
        <f t="shared" si="3"/>
        <v>69</v>
      </c>
      <c r="M88" s="123" t="s">
        <v>2055</v>
      </c>
      <c r="N88" t="b">
        <f t="shared" si="4"/>
        <v>1</v>
      </c>
      <c r="O88" s="123" t="s">
        <v>2055</v>
      </c>
      <c r="P88" t="b">
        <f t="shared" si="5"/>
        <v>1</v>
      </c>
    </row>
    <row r="89" spans="1:16">
      <c r="A89" s="121">
        <v>88</v>
      </c>
      <c r="B89" s="184" t="s">
        <v>2292</v>
      </c>
      <c r="C89" s="184" t="s">
        <v>2299</v>
      </c>
      <c r="D89" s="122" t="s">
        <v>2291</v>
      </c>
      <c r="E89" s="124">
        <v>42937</v>
      </c>
      <c r="F89" s="124">
        <v>43006</v>
      </c>
      <c r="G89" s="123">
        <v>531</v>
      </c>
      <c r="H89" s="123">
        <v>819</v>
      </c>
      <c r="I89" s="123">
        <v>364</v>
      </c>
      <c r="J89" s="123">
        <v>197</v>
      </c>
      <c r="K89" s="123">
        <f t="shared" si="3"/>
        <v>69</v>
      </c>
      <c r="M89" s="123">
        <v>31</v>
      </c>
      <c r="N89" t="b">
        <f t="shared" si="4"/>
        <v>0</v>
      </c>
      <c r="O89" s="123">
        <v>738</v>
      </c>
      <c r="P89" t="b">
        <f t="shared" si="5"/>
        <v>0</v>
      </c>
    </row>
    <row r="90" spans="1:16">
      <c r="A90" s="121">
        <v>89</v>
      </c>
      <c r="B90" s="184" t="s">
        <v>2292</v>
      </c>
      <c r="C90" s="184" t="s">
        <v>2300</v>
      </c>
      <c r="D90" s="122" t="s">
        <v>2301</v>
      </c>
      <c r="E90" s="124">
        <v>42937</v>
      </c>
      <c r="F90" s="124">
        <v>43006</v>
      </c>
      <c r="G90" s="123">
        <v>35</v>
      </c>
      <c r="H90" s="123">
        <v>818</v>
      </c>
      <c r="I90" s="123">
        <v>862</v>
      </c>
      <c r="J90" s="123">
        <v>601</v>
      </c>
      <c r="K90" s="123">
        <f t="shared" si="3"/>
        <v>69</v>
      </c>
      <c r="M90" s="123">
        <v>220</v>
      </c>
      <c r="N90" t="b">
        <f t="shared" si="4"/>
        <v>0</v>
      </c>
      <c r="O90" s="123">
        <v>394</v>
      </c>
      <c r="P90" t="b">
        <f t="shared" si="5"/>
        <v>0</v>
      </c>
    </row>
    <row r="91" spans="1:16">
      <c r="A91" s="121">
        <v>90</v>
      </c>
      <c r="B91" s="184" t="s">
        <v>2292</v>
      </c>
      <c r="C91" s="184" t="s">
        <v>2302</v>
      </c>
      <c r="D91" s="122" t="s">
        <v>2301</v>
      </c>
      <c r="E91" s="124">
        <v>42937</v>
      </c>
      <c r="F91" s="124">
        <v>43006</v>
      </c>
      <c r="G91" s="123">
        <v>264</v>
      </c>
      <c r="H91" s="123">
        <v>767</v>
      </c>
      <c r="I91" s="123">
        <v>330</v>
      </c>
      <c r="J91" s="123">
        <v>220</v>
      </c>
      <c r="K91" s="123">
        <f t="shared" si="3"/>
        <v>69</v>
      </c>
      <c r="M91" s="123">
        <v>531</v>
      </c>
      <c r="N91" t="b">
        <f t="shared" si="4"/>
        <v>0</v>
      </c>
      <c r="O91" s="164">
        <v>819</v>
      </c>
      <c r="P91" t="b">
        <f t="shared" si="5"/>
        <v>1</v>
      </c>
    </row>
    <row r="92" spans="1:16">
      <c r="A92" s="121">
        <v>91</v>
      </c>
      <c r="B92" s="184" t="s">
        <v>2292</v>
      </c>
      <c r="C92" s="184" t="s">
        <v>2303</v>
      </c>
      <c r="D92" s="122" t="s">
        <v>2301</v>
      </c>
      <c r="E92" s="124">
        <v>42937</v>
      </c>
      <c r="F92" s="124">
        <v>43006</v>
      </c>
      <c r="G92" s="123">
        <v>13</v>
      </c>
      <c r="H92" s="123">
        <v>787</v>
      </c>
      <c r="I92" s="123">
        <v>596</v>
      </c>
      <c r="J92" s="123">
        <v>659</v>
      </c>
      <c r="K92" s="123">
        <f t="shared" si="3"/>
        <v>69</v>
      </c>
      <c r="M92" s="123">
        <v>35</v>
      </c>
      <c r="N92" t="b">
        <f t="shared" si="4"/>
        <v>0</v>
      </c>
      <c r="O92" s="123">
        <v>818</v>
      </c>
      <c r="P92" t="b">
        <f t="shared" si="5"/>
        <v>0</v>
      </c>
    </row>
    <row r="93" spans="1:16">
      <c r="A93" s="121">
        <v>92</v>
      </c>
      <c r="B93" s="184" t="s">
        <v>2292</v>
      </c>
      <c r="C93" s="184" t="s">
        <v>2304</v>
      </c>
      <c r="D93" s="122" t="s">
        <v>2301</v>
      </c>
      <c r="E93" s="124">
        <v>42937</v>
      </c>
      <c r="F93" s="124">
        <v>43006</v>
      </c>
      <c r="G93" s="123">
        <v>324</v>
      </c>
      <c r="H93" s="123">
        <v>812</v>
      </c>
      <c r="I93" s="123">
        <v>380</v>
      </c>
      <c r="J93" s="129">
        <v>619</v>
      </c>
      <c r="K93" s="123">
        <f t="shared" si="3"/>
        <v>69</v>
      </c>
      <c r="M93" s="123">
        <v>264</v>
      </c>
      <c r="N93" t="b">
        <f t="shared" si="4"/>
        <v>0</v>
      </c>
      <c r="O93" s="123">
        <v>767</v>
      </c>
      <c r="P93" t="b">
        <f t="shared" si="5"/>
        <v>0</v>
      </c>
    </row>
    <row r="94" spans="1:16">
      <c r="A94" s="121">
        <v>93</v>
      </c>
      <c r="B94" s="184" t="s">
        <v>2292</v>
      </c>
      <c r="C94" s="184" t="s">
        <v>2305</v>
      </c>
      <c r="D94" s="122" t="s">
        <v>2301</v>
      </c>
      <c r="E94" s="124">
        <v>42937</v>
      </c>
      <c r="F94" s="124">
        <v>43006</v>
      </c>
      <c r="G94" s="123">
        <v>99</v>
      </c>
      <c r="H94" s="123">
        <v>675</v>
      </c>
      <c r="I94" s="123">
        <v>872</v>
      </c>
      <c r="J94" s="123">
        <v>106</v>
      </c>
      <c r="K94" s="123">
        <f t="shared" si="3"/>
        <v>69</v>
      </c>
      <c r="M94" s="123">
        <v>13</v>
      </c>
      <c r="N94" t="b">
        <f t="shared" si="4"/>
        <v>0</v>
      </c>
      <c r="O94" s="123">
        <v>787</v>
      </c>
      <c r="P94" t="b">
        <f t="shared" si="5"/>
        <v>0</v>
      </c>
    </row>
    <row r="95" spans="1:16">
      <c r="A95" s="121">
        <v>94</v>
      </c>
      <c r="B95" s="184" t="s">
        <v>2292</v>
      </c>
      <c r="C95" s="184" t="s">
        <v>2306</v>
      </c>
      <c r="D95" s="122" t="s">
        <v>2301</v>
      </c>
      <c r="E95" s="123" t="s">
        <v>2055</v>
      </c>
      <c r="F95" s="123" t="s">
        <v>2055</v>
      </c>
      <c r="G95" s="123" t="s">
        <v>2055</v>
      </c>
      <c r="H95" s="123" t="s">
        <v>2055</v>
      </c>
      <c r="I95" s="123" t="s">
        <v>2055</v>
      </c>
      <c r="J95" s="123" t="s">
        <v>2055</v>
      </c>
      <c r="K95" s="123" t="str">
        <f t="shared" si="3"/>
        <v/>
      </c>
      <c r="M95" s="123">
        <v>324</v>
      </c>
      <c r="N95" t="b">
        <f t="shared" si="4"/>
        <v>0</v>
      </c>
      <c r="O95" s="123">
        <v>812</v>
      </c>
      <c r="P95" t="b">
        <f t="shared" si="5"/>
        <v>0</v>
      </c>
    </row>
    <row r="96" spans="1:16">
      <c r="A96" s="121">
        <v>95</v>
      </c>
      <c r="B96" s="184" t="s">
        <v>2292</v>
      </c>
      <c r="C96" s="184" t="s">
        <v>2307</v>
      </c>
      <c r="D96" s="122" t="s">
        <v>2301</v>
      </c>
      <c r="E96" s="124">
        <v>42937</v>
      </c>
      <c r="F96" s="124">
        <v>43006</v>
      </c>
      <c r="G96" s="123">
        <v>126</v>
      </c>
      <c r="H96" s="123">
        <v>794</v>
      </c>
      <c r="I96" s="123">
        <v>844</v>
      </c>
      <c r="J96" s="123">
        <v>233</v>
      </c>
      <c r="K96" s="123">
        <f t="shared" si="3"/>
        <v>69</v>
      </c>
      <c r="M96" s="123">
        <v>99</v>
      </c>
      <c r="N96" t="b">
        <f t="shared" si="4"/>
        <v>0</v>
      </c>
      <c r="O96" s="123">
        <v>675</v>
      </c>
      <c r="P96" t="b">
        <f t="shared" si="5"/>
        <v>0</v>
      </c>
    </row>
    <row r="97" spans="1:16">
      <c r="A97" s="121">
        <v>96</v>
      </c>
      <c r="B97" s="184" t="s">
        <v>2292</v>
      </c>
      <c r="C97" s="184" t="s">
        <v>2308</v>
      </c>
      <c r="D97" s="122" t="s">
        <v>2301</v>
      </c>
      <c r="E97" s="124">
        <v>42937</v>
      </c>
      <c r="F97" s="124">
        <v>43006</v>
      </c>
      <c r="G97" s="123">
        <v>244</v>
      </c>
      <c r="H97" s="123">
        <v>737</v>
      </c>
      <c r="I97" s="123">
        <v>372</v>
      </c>
      <c r="J97" s="123">
        <v>698</v>
      </c>
      <c r="K97" s="123">
        <f t="shared" si="3"/>
        <v>69</v>
      </c>
      <c r="M97" s="123" t="s">
        <v>2055</v>
      </c>
      <c r="N97" t="b">
        <f t="shared" si="4"/>
        <v>1</v>
      </c>
      <c r="O97" s="123" t="s">
        <v>2055</v>
      </c>
      <c r="P97" t="b">
        <f t="shared" si="5"/>
        <v>1</v>
      </c>
    </row>
    <row r="98" spans="1:16">
      <c r="A98" s="121">
        <v>97</v>
      </c>
      <c r="B98" s="184" t="s">
        <v>2309</v>
      </c>
      <c r="C98" s="184" t="s">
        <v>2310</v>
      </c>
      <c r="D98" s="122" t="s">
        <v>2173</v>
      </c>
      <c r="E98" s="124">
        <v>42939</v>
      </c>
      <c r="F98" s="124">
        <v>43010</v>
      </c>
      <c r="G98" s="123">
        <v>432</v>
      </c>
      <c r="H98" s="123">
        <v>801</v>
      </c>
      <c r="I98" s="123">
        <v>3</v>
      </c>
      <c r="J98" s="123">
        <v>47</v>
      </c>
      <c r="K98" s="123">
        <f t="shared" si="3"/>
        <v>71</v>
      </c>
      <c r="M98" s="123">
        <v>126</v>
      </c>
      <c r="N98" t="b">
        <f t="shared" si="4"/>
        <v>0</v>
      </c>
      <c r="O98" s="123">
        <v>794</v>
      </c>
      <c r="P98" t="b">
        <f t="shared" si="5"/>
        <v>0</v>
      </c>
    </row>
    <row r="99" spans="1:16">
      <c r="A99" s="121">
        <v>98</v>
      </c>
      <c r="B99" s="184" t="s">
        <v>2309</v>
      </c>
      <c r="C99" s="184" t="s">
        <v>2311</v>
      </c>
      <c r="D99" s="122" t="s">
        <v>2173</v>
      </c>
      <c r="E99" s="124">
        <v>42939</v>
      </c>
      <c r="F99" s="124">
        <v>43010</v>
      </c>
      <c r="G99" s="123">
        <v>184</v>
      </c>
      <c r="H99" s="123">
        <v>808</v>
      </c>
      <c r="I99" s="123">
        <v>25</v>
      </c>
      <c r="J99" s="123">
        <v>707</v>
      </c>
      <c r="K99" s="123">
        <f t="shared" si="3"/>
        <v>71</v>
      </c>
      <c r="M99" s="123">
        <v>244</v>
      </c>
      <c r="N99" t="b">
        <f t="shared" si="4"/>
        <v>0</v>
      </c>
      <c r="O99" s="123">
        <v>737</v>
      </c>
      <c r="P99" t="b">
        <f t="shared" si="5"/>
        <v>0</v>
      </c>
    </row>
    <row r="100" spans="1:16">
      <c r="A100" s="121">
        <v>99</v>
      </c>
      <c r="B100" s="184" t="s">
        <v>2309</v>
      </c>
      <c r="C100" s="184" t="s">
        <v>2312</v>
      </c>
      <c r="D100" s="122" t="s">
        <v>2173</v>
      </c>
      <c r="E100" s="123" t="s">
        <v>2055</v>
      </c>
      <c r="F100" s="123" t="s">
        <v>2055</v>
      </c>
      <c r="G100" s="123" t="s">
        <v>2055</v>
      </c>
      <c r="H100" s="123" t="s">
        <v>2055</v>
      </c>
      <c r="I100" s="123" t="s">
        <v>2055</v>
      </c>
      <c r="J100" s="123" t="s">
        <v>2055</v>
      </c>
      <c r="K100" s="123" t="str">
        <f t="shared" si="3"/>
        <v/>
      </c>
      <c r="M100" s="123">
        <v>432</v>
      </c>
      <c r="N100" t="b">
        <f t="shared" si="4"/>
        <v>0</v>
      </c>
      <c r="O100" s="123">
        <v>801</v>
      </c>
      <c r="P100" t="b">
        <f t="shared" si="5"/>
        <v>0</v>
      </c>
    </row>
    <row r="101" spans="1:16">
      <c r="A101" s="121">
        <v>100</v>
      </c>
      <c r="B101" s="184" t="s">
        <v>2309</v>
      </c>
      <c r="C101" s="184" t="s">
        <v>2313</v>
      </c>
      <c r="D101" s="122" t="s">
        <v>2173</v>
      </c>
      <c r="E101" s="124">
        <v>42939</v>
      </c>
      <c r="F101" s="124">
        <v>43010</v>
      </c>
      <c r="G101" s="123">
        <v>176</v>
      </c>
      <c r="H101" s="123">
        <v>276</v>
      </c>
      <c r="I101" s="123">
        <v>187</v>
      </c>
      <c r="J101" s="123">
        <v>641</v>
      </c>
      <c r="K101" s="123">
        <f t="shared" si="3"/>
        <v>71</v>
      </c>
      <c r="M101" s="123">
        <v>184</v>
      </c>
      <c r="N101" t="b">
        <f t="shared" si="4"/>
        <v>0</v>
      </c>
      <c r="O101" s="123">
        <v>808</v>
      </c>
      <c r="P101" t="b">
        <f t="shared" si="5"/>
        <v>0</v>
      </c>
    </row>
    <row r="102" spans="1:16">
      <c r="A102" s="121">
        <v>101</v>
      </c>
      <c r="B102" s="184" t="s">
        <v>2309</v>
      </c>
      <c r="C102" s="184" t="s">
        <v>2315</v>
      </c>
      <c r="D102" s="122" t="s">
        <v>2173</v>
      </c>
      <c r="E102" s="124">
        <v>42939</v>
      </c>
      <c r="F102" s="124">
        <v>43010</v>
      </c>
      <c r="G102" s="123">
        <v>11</v>
      </c>
      <c r="H102" s="123">
        <v>624</v>
      </c>
      <c r="I102" s="123">
        <v>398</v>
      </c>
      <c r="J102" s="123">
        <v>245</v>
      </c>
      <c r="K102" s="123">
        <f t="shared" si="3"/>
        <v>71</v>
      </c>
      <c r="M102" s="123" t="s">
        <v>2055</v>
      </c>
      <c r="N102" t="b">
        <f t="shared" si="4"/>
        <v>1</v>
      </c>
      <c r="O102" s="123" t="s">
        <v>2055</v>
      </c>
      <c r="P102" t="b">
        <f t="shared" si="5"/>
        <v>1</v>
      </c>
    </row>
    <row r="103" spans="1:16">
      <c r="A103" s="121">
        <v>102</v>
      </c>
      <c r="B103" s="184" t="s">
        <v>2309</v>
      </c>
      <c r="C103" s="184" t="s">
        <v>2316</v>
      </c>
      <c r="D103" s="122" t="s">
        <v>2173</v>
      </c>
      <c r="E103" s="124">
        <v>42939</v>
      </c>
      <c r="F103" s="124">
        <v>43010</v>
      </c>
      <c r="G103" s="123">
        <v>284</v>
      </c>
      <c r="H103" s="123">
        <v>781</v>
      </c>
      <c r="I103" s="123">
        <v>120</v>
      </c>
      <c r="J103" s="123">
        <v>714</v>
      </c>
      <c r="K103" s="123">
        <f t="shared" si="3"/>
        <v>71</v>
      </c>
      <c r="M103" s="123">
        <v>176</v>
      </c>
      <c r="N103" t="b">
        <f t="shared" si="4"/>
        <v>0</v>
      </c>
      <c r="O103" s="123">
        <v>276</v>
      </c>
      <c r="P103" t="b">
        <f t="shared" si="5"/>
        <v>0</v>
      </c>
    </row>
    <row r="104" spans="1:16">
      <c r="A104" s="121">
        <v>103</v>
      </c>
      <c r="B104" s="184" t="s">
        <v>2309</v>
      </c>
      <c r="C104" s="184" t="s">
        <v>2317</v>
      </c>
      <c r="D104" s="122" t="s">
        <v>2173</v>
      </c>
      <c r="E104" s="124">
        <v>42939</v>
      </c>
      <c r="F104" s="124">
        <v>43010</v>
      </c>
      <c r="G104" s="123">
        <v>326</v>
      </c>
      <c r="H104" s="123">
        <v>772</v>
      </c>
      <c r="I104" s="123">
        <v>145</v>
      </c>
      <c r="J104" s="123">
        <v>701</v>
      </c>
      <c r="K104" s="123">
        <f t="shared" si="3"/>
        <v>71</v>
      </c>
      <c r="M104" s="123">
        <v>11</v>
      </c>
      <c r="N104" t="b">
        <f t="shared" si="4"/>
        <v>0</v>
      </c>
      <c r="O104" s="123">
        <v>624</v>
      </c>
      <c r="P104" t="b">
        <f t="shared" si="5"/>
        <v>0</v>
      </c>
    </row>
    <row r="105" spans="1:16">
      <c r="A105" s="121">
        <v>104</v>
      </c>
      <c r="B105" s="184" t="s">
        <v>2309</v>
      </c>
      <c r="C105" s="184" t="s">
        <v>2318</v>
      </c>
      <c r="D105" s="122" t="s">
        <v>2173</v>
      </c>
      <c r="E105" s="124">
        <v>42939</v>
      </c>
      <c r="F105" s="124">
        <v>43010</v>
      </c>
      <c r="G105" s="123">
        <v>162</v>
      </c>
      <c r="H105" s="123">
        <v>744</v>
      </c>
      <c r="I105" s="123">
        <v>76</v>
      </c>
      <c r="J105" s="163">
        <v>365</v>
      </c>
      <c r="K105" s="123">
        <f t="shared" si="3"/>
        <v>71</v>
      </c>
      <c r="M105" s="123">
        <v>284</v>
      </c>
      <c r="N105" t="b">
        <f t="shared" si="4"/>
        <v>0</v>
      </c>
      <c r="O105" s="123">
        <v>781</v>
      </c>
      <c r="P105" t="b">
        <f t="shared" si="5"/>
        <v>0</v>
      </c>
    </row>
    <row r="106" spans="1:16">
      <c r="A106" s="121">
        <v>105</v>
      </c>
      <c r="B106" s="184" t="s">
        <v>2309</v>
      </c>
      <c r="C106" s="184" t="s">
        <v>2319</v>
      </c>
      <c r="D106" s="122" t="s">
        <v>2189</v>
      </c>
      <c r="E106" s="124">
        <v>42939</v>
      </c>
      <c r="F106" s="124">
        <v>43010</v>
      </c>
      <c r="G106" s="123">
        <v>6</v>
      </c>
      <c r="H106" s="123">
        <v>824</v>
      </c>
      <c r="I106" s="123">
        <v>57</v>
      </c>
      <c r="J106" s="123">
        <v>212</v>
      </c>
      <c r="K106" s="123">
        <f t="shared" si="3"/>
        <v>71</v>
      </c>
      <c r="M106" s="123">
        <v>326</v>
      </c>
      <c r="N106" t="b">
        <f t="shared" si="4"/>
        <v>0</v>
      </c>
      <c r="O106" s="123">
        <v>772</v>
      </c>
      <c r="P106" t="b">
        <f t="shared" si="5"/>
        <v>0</v>
      </c>
    </row>
    <row r="107" spans="1:16">
      <c r="A107" s="121">
        <v>106</v>
      </c>
      <c r="B107" s="184" t="s">
        <v>2309</v>
      </c>
      <c r="C107" s="184" t="s">
        <v>2320</v>
      </c>
      <c r="D107" s="122" t="s">
        <v>2189</v>
      </c>
      <c r="E107" s="124">
        <v>42939</v>
      </c>
      <c r="F107" s="124">
        <v>43010</v>
      </c>
      <c r="G107" s="123">
        <v>20</v>
      </c>
      <c r="H107" s="123">
        <v>790</v>
      </c>
      <c r="I107" s="123">
        <v>167</v>
      </c>
      <c r="J107" s="123">
        <v>66</v>
      </c>
      <c r="K107" s="123">
        <f t="shared" si="3"/>
        <v>71</v>
      </c>
      <c r="M107" s="123">
        <v>162</v>
      </c>
      <c r="N107" t="b">
        <f t="shared" si="4"/>
        <v>0</v>
      </c>
      <c r="O107" s="123">
        <v>744</v>
      </c>
      <c r="P107" t="b">
        <f t="shared" si="5"/>
        <v>0</v>
      </c>
    </row>
    <row r="108" spans="1:16">
      <c r="A108" s="121">
        <v>107</v>
      </c>
      <c r="B108" s="184" t="s">
        <v>2309</v>
      </c>
      <c r="C108" s="184" t="s">
        <v>2321</v>
      </c>
      <c r="D108" s="122" t="s">
        <v>2189</v>
      </c>
      <c r="E108" s="124">
        <v>42939</v>
      </c>
      <c r="F108" s="124">
        <v>43010</v>
      </c>
      <c r="G108" s="123">
        <v>129</v>
      </c>
      <c r="H108" s="123">
        <v>809</v>
      </c>
      <c r="I108" s="123">
        <v>208</v>
      </c>
      <c r="J108" s="123">
        <v>347</v>
      </c>
      <c r="K108" s="123">
        <f t="shared" si="3"/>
        <v>71</v>
      </c>
      <c r="M108" s="123">
        <v>6</v>
      </c>
      <c r="N108" t="b">
        <f t="shared" si="4"/>
        <v>0</v>
      </c>
      <c r="O108" s="123">
        <v>824</v>
      </c>
      <c r="P108" t="b">
        <f t="shared" si="5"/>
        <v>0</v>
      </c>
    </row>
    <row r="109" spans="1:16">
      <c r="A109" s="121">
        <v>108</v>
      </c>
      <c r="B109" s="184" t="s">
        <v>2309</v>
      </c>
      <c r="C109" s="184" t="s">
        <v>2322</v>
      </c>
      <c r="D109" s="122" t="s">
        <v>2189</v>
      </c>
      <c r="E109" s="124">
        <v>42939</v>
      </c>
      <c r="F109" s="124">
        <v>43010</v>
      </c>
      <c r="G109" s="123">
        <v>258</v>
      </c>
      <c r="H109" s="123">
        <v>777</v>
      </c>
      <c r="I109" s="123">
        <v>62</v>
      </c>
      <c r="J109" s="123">
        <v>206</v>
      </c>
      <c r="K109" s="123">
        <f t="shared" si="3"/>
        <v>71</v>
      </c>
      <c r="M109" s="123">
        <v>20</v>
      </c>
      <c r="N109" t="b">
        <f t="shared" si="4"/>
        <v>0</v>
      </c>
      <c r="O109" s="123">
        <v>790</v>
      </c>
      <c r="P109" t="b">
        <f t="shared" si="5"/>
        <v>0</v>
      </c>
    </row>
    <row r="110" spans="1:16">
      <c r="A110" s="121">
        <v>109</v>
      </c>
      <c r="B110" s="184" t="s">
        <v>2309</v>
      </c>
      <c r="C110" s="184" t="s">
        <v>2324</v>
      </c>
      <c r="D110" s="122" t="s">
        <v>2189</v>
      </c>
      <c r="E110" s="124">
        <v>42939</v>
      </c>
      <c r="F110" s="124">
        <v>43010</v>
      </c>
      <c r="G110" s="123">
        <v>294</v>
      </c>
      <c r="H110" s="123">
        <v>804</v>
      </c>
      <c r="I110" s="123">
        <v>102</v>
      </c>
      <c r="J110" s="123">
        <v>299</v>
      </c>
      <c r="K110" s="123">
        <f t="shared" si="3"/>
        <v>71</v>
      </c>
      <c r="M110" s="123">
        <v>129</v>
      </c>
      <c r="N110" t="b">
        <f t="shared" si="4"/>
        <v>0</v>
      </c>
      <c r="O110" s="123">
        <v>809</v>
      </c>
      <c r="P110" t="b">
        <f t="shared" si="5"/>
        <v>0</v>
      </c>
    </row>
    <row r="111" spans="1:16">
      <c r="A111" s="121">
        <v>110</v>
      </c>
      <c r="B111" s="184" t="s">
        <v>2309</v>
      </c>
      <c r="C111" s="184" t="s">
        <v>2325</v>
      </c>
      <c r="D111" s="122" t="s">
        <v>2189</v>
      </c>
      <c r="E111" s="124">
        <v>42939</v>
      </c>
      <c r="F111" s="124">
        <v>43010</v>
      </c>
      <c r="G111" s="123">
        <v>350</v>
      </c>
      <c r="H111" s="123">
        <v>786</v>
      </c>
      <c r="I111" s="123">
        <v>265</v>
      </c>
      <c r="J111" s="123">
        <v>636</v>
      </c>
      <c r="K111" s="123">
        <f t="shared" si="3"/>
        <v>71</v>
      </c>
      <c r="M111" s="123">
        <v>258</v>
      </c>
      <c r="N111" t="b">
        <f t="shared" si="4"/>
        <v>0</v>
      </c>
      <c r="O111" s="123">
        <v>777</v>
      </c>
      <c r="P111" t="b">
        <f t="shared" si="5"/>
        <v>0</v>
      </c>
    </row>
    <row r="112" spans="1:16">
      <c r="A112" s="121">
        <v>111</v>
      </c>
      <c r="B112" s="184" t="s">
        <v>2309</v>
      </c>
      <c r="C112" s="184" t="s">
        <v>2326</v>
      </c>
      <c r="D112" s="122" t="s">
        <v>2189</v>
      </c>
      <c r="E112" s="124">
        <v>42939</v>
      </c>
      <c r="F112" s="124">
        <v>43010</v>
      </c>
      <c r="G112" s="123">
        <v>274</v>
      </c>
      <c r="H112" s="123">
        <v>835</v>
      </c>
      <c r="I112" s="123">
        <v>455</v>
      </c>
      <c r="J112" s="123">
        <v>239</v>
      </c>
      <c r="K112" s="123">
        <f t="shared" si="3"/>
        <v>71</v>
      </c>
      <c r="M112" s="123">
        <v>294</v>
      </c>
      <c r="N112" t="b">
        <f t="shared" si="4"/>
        <v>0</v>
      </c>
      <c r="O112" s="123">
        <v>804</v>
      </c>
      <c r="P112" t="b">
        <f t="shared" si="5"/>
        <v>0</v>
      </c>
    </row>
    <row r="113" spans="1:16">
      <c r="A113" s="121">
        <v>112</v>
      </c>
      <c r="B113" s="184" t="s">
        <v>2309</v>
      </c>
      <c r="C113" s="184" t="s">
        <v>2327</v>
      </c>
      <c r="D113" s="122" t="s">
        <v>2189</v>
      </c>
      <c r="E113" s="124" t="s">
        <v>2055</v>
      </c>
      <c r="F113" s="124" t="s">
        <v>2055</v>
      </c>
      <c r="G113" s="124" t="s">
        <v>2055</v>
      </c>
      <c r="H113" s="124" t="s">
        <v>2055</v>
      </c>
      <c r="I113" s="124" t="s">
        <v>2055</v>
      </c>
      <c r="J113" s="124" t="s">
        <v>2055</v>
      </c>
      <c r="K113" s="123" t="str">
        <f t="shared" si="3"/>
        <v/>
      </c>
      <c r="M113" s="123">
        <v>350</v>
      </c>
      <c r="N113" t="b">
        <f t="shared" si="4"/>
        <v>0</v>
      </c>
      <c r="O113" s="123">
        <v>786</v>
      </c>
      <c r="P113" t="b">
        <f t="shared" si="5"/>
        <v>0</v>
      </c>
    </row>
    <row r="114" spans="1:16">
      <c r="A114" s="121">
        <v>113</v>
      </c>
      <c r="B114" s="184" t="s">
        <v>2309</v>
      </c>
      <c r="C114" s="184" t="s">
        <v>2328</v>
      </c>
      <c r="D114" s="122" t="s">
        <v>2203</v>
      </c>
      <c r="E114" s="124">
        <v>42939</v>
      </c>
      <c r="F114" s="124">
        <v>43008</v>
      </c>
      <c r="G114" s="123">
        <v>314</v>
      </c>
      <c r="H114" s="123">
        <v>807</v>
      </c>
      <c r="I114" s="123">
        <v>490</v>
      </c>
      <c r="J114" s="123">
        <v>313</v>
      </c>
      <c r="K114" s="123">
        <f t="shared" si="3"/>
        <v>69</v>
      </c>
      <c r="M114" s="123">
        <v>274</v>
      </c>
      <c r="N114" t="b">
        <f t="shared" si="4"/>
        <v>0</v>
      </c>
      <c r="O114" s="123">
        <v>835</v>
      </c>
      <c r="P114" t="b">
        <f t="shared" si="5"/>
        <v>0</v>
      </c>
    </row>
    <row r="115" spans="1:16">
      <c r="A115" s="121">
        <v>114</v>
      </c>
      <c r="B115" s="184" t="s">
        <v>2309</v>
      </c>
      <c r="C115" s="184" t="s">
        <v>2329</v>
      </c>
      <c r="D115" s="122" t="s">
        <v>2203</v>
      </c>
      <c r="E115" s="124">
        <v>42939</v>
      </c>
      <c r="F115" s="124">
        <v>43008</v>
      </c>
      <c r="G115" s="123">
        <v>263</v>
      </c>
      <c r="H115" s="123">
        <v>829</v>
      </c>
      <c r="I115" s="123">
        <v>650</v>
      </c>
      <c r="J115" s="123">
        <v>247</v>
      </c>
      <c r="K115" s="123">
        <f t="shared" si="3"/>
        <v>69</v>
      </c>
      <c r="M115" s="124" t="s">
        <v>2055</v>
      </c>
      <c r="N115" t="b">
        <f t="shared" si="4"/>
        <v>1</v>
      </c>
      <c r="O115" s="124" t="s">
        <v>2055</v>
      </c>
      <c r="P115" t="b">
        <f t="shared" si="5"/>
        <v>1</v>
      </c>
    </row>
    <row r="116" spans="1:16">
      <c r="A116" s="121">
        <v>115</v>
      </c>
      <c r="B116" s="184" t="s">
        <v>2309</v>
      </c>
      <c r="C116" s="184" t="s">
        <v>2330</v>
      </c>
      <c r="D116" s="122" t="s">
        <v>2203</v>
      </c>
      <c r="E116" s="124">
        <v>42939</v>
      </c>
      <c r="F116" s="124">
        <v>43008</v>
      </c>
      <c r="G116" s="123">
        <v>125</v>
      </c>
      <c r="H116" s="123">
        <v>766</v>
      </c>
      <c r="I116" s="123">
        <v>873</v>
      </c>
      <c r="J116" s="123">
        <v>671</v>
      </c>
      <c r="K116" s="123">
        <f t="shared" si="3"/>
        <v>69</v>
      </c>
      <c r="M116" s="123">
        <v>314</v>
      </c>
      <c r="N116" t="b">
        <f t="shared" si="4"/>
        <v>0</v>
      </c>
      <c r="O116" s="123">
        <v>807</v>
      </c>
      <c r="P116" t="b">
        <f t="shared" si="5"/>
        <v>0</v>
      </c>
    </row>
    <row r="117" spans="1:16">
      <c r="A117" s="121">
        <v>116</v>
      </c>
      <c r="B117" s="184" t="s">
        <v>2309</v>
      </c>
      <c r="C117" s="184" t="s">
        <v>2331</v>
      </c>
      <c r="D117" s="122" t="s">
        <v>2203</v>
      </c>
      <c r="E117" s="124">
        <v>42939</v>
      </c>
      <c r="F117" s="124">
        <v>43008</v>
      </c>
      <c r="G117" s="123">
        <v>189</v>
      </c>
      <c r="H117" s="123">
        <v>757</v>
      </c>
      <c r="I117" s="123">
        <v>206</v>
      </c>
      <c r="J117" s="123">
        <v>638</v>
      </c>
      <c r="K117" s="123">
        <f t="shared" si="3"/>
        <v>69</v>
      </c>
      <c r="M117" s="123">
        <v>263</v>
      </c>
      <c r="N117" t="b">
        <f t="shared" si="4"/>
        <v>0</v>
      </c>
      <c r="O117" s="123">
        <v>829</v>
      </c>
      <c r="P117" t="b">
        <f t="shared" si="5"/>
        <v>0</v>
      </c>
    </row>
    <row r="118" spans="1:16">
      <c r="A118" s="121">
        <v>117</v>
      </c>
      <c r="B118" s="184" t="s">
        <v>2309</v>
      </c>
      <c r="C118" s="184" t="s">
        <v>2332</v>
      </c>
      <c r="D118" s="122" t="s">
        <v>2203</v>
      </c>
      <c r="E118" s="124">
        <v>42939</v>
      </c>
      <c r="F118" s="124">
        <v>43008</v>
      </c>
      <c r="G118" s="123">
        <v>533</v>
      </c>
      <c r="H118" s="123">
        <v>745</v>
      </c>
      <c r="I118" s="123">
        <v>163</v>
      </c>
      <c r="J118" s="123">
        <v>719</v>
      </c>
      <c r="K118" s="123">
        <f t="shared" si="3"/>
        <v>69</v>
      </c>
      <c r="M118" s="123">
        <v>125</v>
      </c>
      <c r="N118" t="b">
        <f t="shared" si="4"/>
        <v>0</v>
      </c>
      <c r="O118" s="123">
        <v>766</v>
      </c>
      <c r="P118" t="b">
        <f t="shared" si="5"/>
        <v>0</v>
      </c>
    </row>
    <row r="119" spans="1:16">
      <c r="A119" s="121">
        <v>118</v>
      </c>
      <c r="B119" s="184" t="s">
        <v>2309</v>
      </c>
      <c r="C119" s="184" t="s">
        <v>2333</v>
      </c>
      <c r="D119" s="122" t="s">
        <v>2203</v>
      </c>
      <c r="E119" s="124">
        <v>42939</v>
      </c>
      <c r="F119" s="124">
        <v>43008</v>
      </c>
      <c r="G119" s="123">
        <v>200</v>
      </c>
      <c r="H119" s="123">
        <v>791</v>
      </c>
      <c r="I119" s="123">
        <v>83</v>
      </c>
      <c r="J119" s="123">
        <v>173</v>
      </c>
      <c r="K119" s="123">
        <f t="shared" si="3"/>
        <v>69</v>
      </c>
      <c r="M119" s="123">
        <v>189</v>
      </c>
      <c r="N119" t="b">
        <f t="shared" si="4"/>
        <v>0</v>
      </c>
      <c r="O119" s="123">
        <v>757</v>
      </c>
      <c r="P119" t="b">
        <f t="shared" si="5"/>
        <v>0</v>
      </c>
    </row>
    <row r="120" spans="1:16">
      <c r="A120" s="121">
        <v>119</v>
      </c>
      <c r="B120" s="184" t="s">
        <v>2309</v>
      </c>
      <c r="C120" s="184" t="s">
        <v>2334</v>
      </c>
      <c r="D120" s="122" t="s">
        <v>2203</v>
      </c>
      <c r="E120" s="124">
        <v>42939</v>
      </c>
      <c r="F120" s="124">
        <v>43008</v>
      </c>
      <c r="G120" s="123">
        <v>236</v>
      </c>
      <c r="H120" s="123">
        <v>802</v>
      </c>
      <c r="I120" s="123">
        <v>159</v>
      </c>
      <c r="J120" s="123">
        <v>373</v>
      </c>
      <c r="K120" s="123">
        <f t="shared" si="3"/>
        <v>69</v>
      </c>
      <c r="M120" s="123">
        <v>533</v>
      </c>
      <c r="N120" t="b">
        <f t="shared" si="4"/>
        <v>0</v>
      </c>
      <c r="O120" s="123">
        <v>745</v>
      </c>
      <c r="P120" t="b">
        <f t="shared" si="5"/>
        <v>0</v>
      </c>
    </row>
    <row r="121" spans="1:16">
      <c r="A121" s="121">
        <v>120</v>
      </c>
      <c r="B121" s="184" t="s">
        <v>2309</v>
      </c>
      <c r="C121" s="184" t="s">
        <v>2335</v>
      </c>
      <c r="D121" s="122" t="s">
        <v>2203</v>
      </c>
      <c r="E121" s="124" t="s">
        <v>2055</v>
      </c>
      <c r="F121" s="124" t="s">
        <v>2055</v>
      </c>
      <c r="G121" s="124" t="s">
        <v>2055</v>
      </c>
      <c r="H121" s="124" t="s">
        <v>2055</v>
      </c>
      <c r="I121" s="124" t="s">
        <v>2055</v>
      </c>
      <c r="J121" s="124" t="s">
        <v>2055</v>
      </c>
      <c r="K121" s="123" t="str">
        <f t="shared" si="3"/>
        <v/>
      </c>
      <c r="M121" s="123">
        <v>200</v>
      </c>
      <c r="N121" t="b">
        <f t="shared" si="4"/>
        <v>0</v>
      </c>
      <c r="O121" s="123">
        <v>791</v>
      </c>
      <c r="P121" t="b">
        <f t="shared" si="5"/>
        <v>0</v>
      </c>
    </row>
    <row r="122" spans="1:16">
      <c r="A122" s="121">
        <v>121</v>
      </c>
      <c r="B122" s="184" t="s">
        <v>2309</v>
      </c>
      <c r="C122" s="184" t="s">
        <v>2336</v>
      </c>
      <c r="D122" s="122" t="s">
        <v>2213</v>
      </c>
      <c r="E122" s="124">
        <v>42939</v>
      </c>
      <c r="F122" s="124">
        <v>43008</v>
      </c>
      <c r="G122" s="123">
        <v>280</v>
      </c>
      <c r="H122" s="123">
        <v>822</v>
      </c>
      <c r="I122" s="123">
        <v>16</v>
      </c>
      <c r="J122" s="123">
        <v>374</v>
      </c>
      <c r="K122" s="123">
        <f t="shared" si="3"/>
        <v>69</v>
      </c>
      <c r="M122" s="123">
        <v>236</v>
      </c>
      <c r="N122" t="b">
        <f t="shared" si="4"/>
        <v>0</v>
      </c>
      <c r="O122" s="123">
        <v>802</v>
      </c>
      <c r="P122" t="b">
        <f t="shared" si="5"/>
        <v>0</v>
      </c>
    </row>
    <row r="123" spans="1:16">
      <c r="A123" s="121">
        <v>122</v>
      </c>
      <c r="B123" s="184" t="s">
        <v>2309</v>
      </c>
      <c r="C123" s="184" t="s">
        <v>2337</v>
      </c>
      <c r="D123" s="122" t="s">
        <v>2213</v>
      </c>
      <c r="E123" s="124">
        <v>42939</v>
      </c>
      <c r="F123" s="124">
        <v>43008</v>
      </c>
      <c r="G123" s="123">
        <v>231</v>
      </c>
      <c r="H123" s="123">
        <v>792</v>
      </c>
      <c r="I123" s="123">
        <v>109</v>
      </c>
      <c r="J123" s="123">
        <v>388</v>
      </c>
      <c r="K123" s="123">
        <f t="shared" si="3"/>
        <v>69</v>
      </c>
      <c r="M123" s="124" t="s">
        <v>2055</v>
      </c>
      <c r="N123" t="b">
        <f t="shared" si="4"/>
        <v>1</v>
      </c>
      <c r="O123" s="124" t="s">
        <v>2055</v>
      </c>
      <c r="P123" t="b">
        <f t="shared" si="5"/>
        <v>1</v>
      </c>
    </row>
    <row r="124" spans="1:16">
      <c r="A124" s="121">
        <v>123</v>
      </c>
      <c r="B124" s="184" t="s">
        <v>2309</v>
      </c>
      <c r="C124" s="184" t="s">
        <v>2338</v>
      </c>
      <c r="D124" s="122" t="s">
        <v>2213</v>
      </c>
      <c r="E124" s="124">
        <v>42939</v>
      </c>
      <c r="F124" s="124">
        <v>43008</v>
      </c>
      <c r="G124" s="123">
        <v>292</v>
      </c>
      <c r="H124" s="129">
        <v>740</v>
      </c>
      <c r="I124" s="123">
        <v>344</v>
      </c>
      <c r="J124" s="123">
        <v>281</v>
      </c>
      <c r="K124" s="123">
        <f t="shared" si="3"/>
        <v>69</v>
      </c>
      <c r="M124" s="123">
        <v>280</v>
      </c>
      <c r="N124" t="b">
        <f t="shared" si="4"/>
        <v>0</v>
      </c>
      <c r="O124" s="123">
        <v>822</v>
      </c>
      <c r="P124" t="b">
        <f t="shared" si="5"/>
        <v>0</v>
      </c>
    </row>
    <row r="125" spans="1:16">
      <c r="A125" s="121">
        <v>124</v>
      </c>
      <c r="B125" s="184" t="s">
        <v>2309</v>
      </c>
      <c r="C125" s="184" t="s">
        <v>2340</v>
      </c>
      <c r="D125" s="122" t="s">
        <v>2213</v>
      </c>
      <c r="E125" s="124">
        <v>42939</v>
      </c>
      <c r="F125" s="124">
        <v>43008</v>
      </c>
      <c r="G125" s="123">
        <v>116</v>
      </c>
      <c r="H125" s="123">
        <v>797</v>
      </c>
      <c r="I125" s="123">
        <v>221</v>
      </c>
      <c r="J125" s="123">
        <v>443</v>
      </c>
      <c r="K125" s="123">
        <f t="shared" si="3"/>
        <v>69</v>
      </c>
      <c r="M125" s="123">
        <v>231</v>
      </c>
      <c r="N125" t="b">
        <f t="shared" si="4"/>
        <v>0</v>
      </c>
      <c r="O125" s="123">
        <v>792</v>
      </c>
      <c r="P125" t="b">
        <f t="shared" si="5"/>
        <v>0</v>
      </c>
    </row>
    <row r="126" spans="1:16">
      <c r="A126" s="121">
        <v>125</v>
      </c>
      <c r="B126" s="184" t="s">
        <v>2309</v>
      </c>
      <c r="C126" s="184" t="s">
        <v>2341</v>
      </c>
      <c r="D126" s="122" t="s">
        <v>2213</v>
      </c>
      <c r="E126" s="124">
        <v>42939</v>
      </c>
      <c r="F126" s="124">
        <v>43008</v>
      </c>
      <c r="G126" s="123">
        <v>50</v>
      </c>
      <c r="H126" s="123">
        <v>795</v>
      </c>
      <c r="I126" s="123">
        <v>757</v>
      </c>
      <c r="J126" s="123">
        <v>180</v>
      </c>
      <c r="K126" s="123">
        <f t="shared" si="3"/>
        <v>69</v>
      </c>
      <c r="M126" s="123">
        <v>292</v>
      </c>
      <c r="N126" t="b">
        <f t="shared" si="4"/>
        <v>0</v>
      </c>
      <c r="O126" s="129">
        <v>740</v>
      </c>
      <c r="P126" t="b">
        <f t="shared" si="5"/>
        <v>0</v>
      </c>
    </row>
    <row r="127" spans="1:16">
      <c r="A127" s="121">
        <v>126</v>
      </c>
      <c r="B127" s="184" t="s">
        <v>2309</v>
      </c>
      <c r="C127" s="184" t="s">
        <v>2342</v>
      </c>
      <c r="D127" s="122" t="s">
        <v>2213</v>
      </c>
      <c r="E127" s="124" t="s">
        <v>2055</v>
      </c>
      <c r="F127" s="124" t="s">
        <v>2055</v>
      </c>
      <c r="G127" s="124" t="s">
        <v>2055</v>
      </c>
      <c r="H127" s="124" t="s">
        <v>2055</v>
      </c>
      <c r="I127" s="124" t="s">
        <v>2055</v>
      </c>
      <c r="J127" s="124" t="s">
        <v>2055</v>
      </c>
      <c r="K127" s="123" t="str">
        <f t="shared" si="3"/>
        <v/>
      </c>
      <c r="M127" s="123">
        <v>116</v>
      </c>
      <c r="N127" t="b">
        <f t="shared" si="4"/>
        <v>0</v>
      </c>
      <c r="O127" s="123">
        <v>797</v>
      </c>
      <c r="P127" t="b">
        <f t="shared" si="5"/>
        <v>0</v>
      </c>
    </row>
    <row r="128" spans="1:16">
      <c r="A128" s="121">
        <v>127</v>
      </c>
      <c r="B128" s="184" t="s">
        <v>2309</v>
      </c>
      <c r="C128" s="184" t="s">
        <v>2343</v>
      </c>
      <c r="D128" s="122" t="s">
        <v>2213</v>
      </c>
      <c r="E128" s="124">
        <v>42939</v>
      </c>
      <c r="F128" s="124">
        <v>43008</v>
      </c>
      <c r="G128" s="123">
        <v>318</v>
      </c>
      <c r="H128" s="123">
        <v>751</v>
      </c>
      <c r="I128" s="123">
        <v>96</v>
      </c>
      <c r="J128" s="123">
        <v>229</v>
      </c>
      <c r="K128" s="123">
        <f t="shared" si="3"/>
        <v>69</v>
      </c>
      <c r="M128" s="123">
        <v>50</v>
      </c>
      <c r="N128" t="b">
        <f t="shared" si="4"/>
        <v>0</v>
      </c>
      <c r="O128" s="123">
        <v>795</v>
      </c>
      <c r="P128" t="b">
        <f t="shared" si="5"/>
        <v>0</v>
      </c>
    </row>
    <row r="129" spans="1:16">
      <c r="A129" s="121">
        <v>128</v>
      </c>
      <c r="B129" s="184" t="s">
        <v>2309</v>
      </c>
      <c r="C129" s="184" t="s">
        <v>2344</v>
      </c>
      <c r="D129" s="122" t="s">
        <v>2213</v>
      </c>
      <c r="E129" s="124">
        <v>42939</v>
      </c>
      <c r="F129" s="124">
        <v>43008</v>
      </c>
      <c r="G129" s="123">
        <v>34</v>
      </c>
      <c r="H129" s="123">
        <v>819</v>
      </c>
      <c r="I129" s="123">
        <v>134</v>
      </c>
      <c r="J129" s="123">
        <v>272</v>
      </c>
      <c r="K129" s="123">
        <f t="shared" si="3"/>
        <v>69</v>
      </c>
      <c r="M129" s="124" t="s">
        <v>2055</v>
      </c>
      <c r="N129" t="b">
        <f t="shared" si="4"/>
        <v>1</v>
      </c>
      <c r="O129" s="124" t="s">
        <v>2055</v>
      </c>
      <c r="P129" t="b">
        <f t="shared" si="5"/>
        <v>1</v>
      </c>
    </row>
    <row r="130" spans="1:16">
      <c r="A130" s="121">
        <v>129</v>
      </c>
      <c r="B130" s="184" t="s">
        <v>2309</v>
      </c>
      <c r="C130" s="184" t="s">
        <v>2345</v>
      </c>
      <c r="D130" s="122" t="s">
        <v>2222</v>
      </c>
      <c r="E130" s="124">
        <v>42939</v>
      </c>
      <c r="F130" s="124">
        <v>43008</v>
      </c>
      <c r="G130" s="123">
        <v>80</v>
      </c>
      <c r="H130" s="123">
        <v>768</v>
      </c>
      <c r="I130" s="123">
        <v>671</v>
      </c>
      <c r="J130" s="123">
        <v>207</v>
      </c>
      <c r="K130" s="123">
        <f t="shared" si="3"/>
        <v>69</v>
      </c>
      <c r="M130" s="123">
        <v>318</v>
      </c>
      <c r="N130" t="b">
        <f t="shared" si="4"/>
        <v>0</v>
      </c>
      <c r="O130" s="123">
        <v>751</v>
      </c>
      <c r="P130" t="b">
        <f t="shared" si="5"/>
        <v>0</v>
      </c>
    </row>
    <row r="131" spans="1:16">
      <c r="A131" s="121">
        <v>130</v>
      </c>
      <c r="B131" s="184" t="s">
        <v>2309</v>
      </c>
      <c r="C131" s="184" t="s">
        <v>2346</v>
      </c>
      <c r="D131" s="122" t="s">
        <v>2222</v>
      </c>
      <c r="E131" s="124">
        <v>42939</v>
      </c>
      <c r="F131" s="124">
        <v>43008</v>
      </c>
      <c r="G131" s="123">
        <v>64</v>
      </c>
      <c r="H131" s="123">
        <v>789</v>
      </c>
      <c r="I131" s="123">
        <v>400</v>
      </c>
      <c r="J131" s="123">
        <v>193</v>
      </c>
      <c r="K131" s="123">
        <f t="shared" ref="K131:K194" si="6">IFERROR(F131-E131,"")</f>
        <v>69</v>
      </c>
      <c r="M131" s="123">
        <v>34</v>
      </c>
      <c r="N131" t="b">
        <f t="shared" si="4"/>
        <v>0</v>
      </c>
      <c r="O131" s="164">
        <v>819</v>
      </c>
      <c r="P131" t="b">
        <f t="shared" si="5"/>
        <v>1</v>
      </c>
    </row>
    <row r="132" spans="1:16">
      <c r="A132" s="121">
        <v>131</v>
      </c>
      <c r="B132" s="184" t="s">
        <v>2309</v>
      </c>
      <c r="C132" s="184" t="s">
        <v>2347</v>
      </c>
      <c r="D132" s="122" t="s">
        <v>2222</v>
      </c>
      <c r="E132" s="124">
        <v>42939</v>
      </c>
      <c r="F132" s="124">
        <v>43008</v>
      </c>
      <c r="G132" s="123">
        <v>118</v>
      </c>
      <c r="H132" s="123">
        <v>586</v>
      </c>
      <c r="I132" s="123">
        <v>48</v>
      </c>
      <c r="J132" s="123">
        <v>188</v>
      </c>
      <c r="K132" s="123">
        <f t="shared" si="6"/>
        <v>69</v>
      </c>
      <c r="M132" s="123">
        <v>80</v>
      </c>
      <c r="N132" t="b">
        <f t="shared" ref="N132:N195" si="7">COUNTIF($M$4:$M$443, M132)&gt;1</f>
        <v>0</v>
      </c>
      <c r="O132" s="123">
        <v>768</v>
      </c>
      <c r="P132" t="b">
        <f t="shared" si="5"/>
        <v>0</v>
      </c>
    </row>
    <row r="133" spans="1:16">
      <c r="A133" s="121">
        <v>132</v>
      </c>
      <c r="B133" s="184" t="s">
        <v>2309</v>
      </c>
      <c r="C133" s="184" t="s">
        <v>2348</v>
      </c>
      <c r="D133" s="122" t="s">
        <v>2222</v>
      </c>
      <c r="E133" s="124" t="s">
        <v>2055</v>
      </c>
      <c r="F133" s="124" t="s">
        <v>2055</v>
      </c>
      <c r="G133" s="124" t="s">
        <v>2055</v>
      </c>
      <c r="H133" s="124" t="s">
        <v>2055</v>
      </c>
      <c r="I133" s="124" t="s">
        <v>2055</v>
      </c>
      <c r="J133" s="124" t="s">
        <v>2055</v>
      </c>
      <c r="K133" s="123" t="str">
        <f t="shared" si="6"/>
        <v/>
      </c>
      <c r="M133" s="123">
        <v>64</v>
      </c>
      <c r="N133" t="b">
        <f t="shared" si="7"/>
        <v>0</v>
      </c>
      <c r="O133" s="123">
        <v>789</v>
      </c>
      <c r="P133" t="b">
        <f t="shared" ref="P133:P196" si="8">COUNTIF($O$4:$O$443, O133)&gt;1</f>
        <v>0</v>
      </c>
    </row>
    <row r="134" spans="1:16">
      <c r="A134" s="121">
        <v>133</v>
      </c>
      <c r="B134" s="184" t="s">
        <v>2309</v>
      </c>
      <c r="C134" s="184" t="s">
        <v>2349</v>
      </c>
      <c r="D134" s="122" t="s">
        <v>2222</v>
      </c>
      <c r="E134" s="124">
        <v>42939</v>
      </c>
      <c r="F134" s="124">
        <v>43008</v>
      </c>
      <c r="G134" s="123">
        <v>270</v>
      </c>
      <c r="H134" s="123">
        <v>817</v>
      </c>
      <c r="I134" s="123">
        <v>210</v>
      </c>
      <c r="J134" s="123">
        <v>683</v>
      </c>
      <c r="K134" s="123">
        <f t="shared" si="6"/>
        <v>69</v>
      </c>
      <c r="M134" s="123">
        <v>118</v>
      </c>
      <c r="N134" t="b">
        <f t="shared" si="7"/>
        <v>0</v>
      </c>
      <c r="O134" s="123">
        <v>586</v>
      </c>
      <c r="P134" t="b">
        <f t="shared" si="8"/>
        <v>0</v>
      </c>
    </row>
    <row r="135" spans="1:16">
      <c r="A135" s="121">
        <v>134</v>
      </c>
      <c r="B135" s="184" t="s">
        <v>2309</v>
      </c>
      <c r="C135" s="184" t="s">
        <v>2350</v>
      </c>
      <c r="D135" s="122" t="s">
        <v>2222</v>
      </c>
      <c r="E135" s="124">
        <v>42939</v>
      </c>
      <c r="F135" s="124">
        <v>43008</v>
      </c>
      <c r="G135" s="123">
        <v>316</v>
      </c>
      <c r="H135" s="123">
        <v>837</v>
      </c>
      <c r="I135" s="123">
        <v>40</v>
      </c>
      <c r="J135" s="123">
        <v>649</v>
      </c>
      <c r="K135" s="123">
        <f t="shared" si="6"/>
        <v>69</v>
      </c>
      <c r="M135" s="124" t="s">
        <v>2055</v>
      </c>
      <c r="N135" t="b">
        <f t="shared" si="7"/>
        <v>1</v>
      </c>
      <c r="O135" s="124" t="s">
        <v>2055</v>
      </c>
      <c r="P135" t="b">
        <f t="shared" si="8"/>
        <v>1</v>
      </c>
    </row>
    <row r="136" spans="1:16">
      <c r="A136" s="121">
        <v>135</v>
      </c>
      <c r="B136" s="184" t="s">
        <v>2309</v>
      </c>
      <c r="C136" s="184" t="s">
        <v>2351</v>
      </c>
      <c r="D136" s="122" t="s">
        <v>2222</v>
      </c>
      <c r="E136" s="124">
        <v>42939</v>
      </c>
      <c r="F136" s="124">
        <v>43008</v>
      </c>
      <c r="G136" s="123">
        <v>77</v>
      </c>
      <c r="H136" s="123">
        <v>756</v>
      </c>
      <c r="I136" s="123">
        <v>517</v>
      </c>
      <c r="J136" s="123">
        <v>222</v>
      </c>
      <c r="K136" s="123">
        <f t="shared" si="6"/>
        <v>69</v>
      </c>
      <c r="M136" s="123">
        <v>270</v>
      </c>
      <c r="N136" t="b">
        <f t="shared" si="7"/>
        <v>0</v>
      </c>
      <c r="O136" s="123">
        <v>817</v>
      </c>
      <c r="P136" t="b">
        <f t="shared" si="8"/>
        <v>0</v>
      </c>
    </row>
    <row r="137" spans="1:16">
      <c r="A137" s="121">
        <v>136</v>
      </c>
      <c r="B137" s="184" t="s">
        <v>2309</v>
      </c>
      <c r="C137" s="184" t="s">
        <v>2352</v>
      </c>
      <c r="D137" s="122" t="s">
        <v>2222</v>
      </c>
      <c r="E137" s="124">
        <v>42939</v>
      </c>
      <c r="F137" s="124">
        <v>43008</v>
      </c>
      <c r="G137" s="123">
        <v>332</v>
      </c>
      <c r="H137" s="123">
        <v>184</v>
      </c>
      <c r="I137" s="123">
        <v>67</v>
      </c>
      <c r="J137" s="123">
        <v>214</v>
      </c>
      <c r="K137" s="123">
        <f t="shared" si="6"/>
        <v>69</v>
      </c>
      <c r="M137" s="123">
        <v>316</v>
      </c>
      <c r="N137" t="b">
        <f t="shared" si="7"/>
        <v>0</v>
      </c>
      <c r="O137" s="123">
        <v>837</v>
      </c>
      <c r="P137" t="b">
        <f t="shared" si="8"/>
        <v>0</v>
      </c>
    </row>
    <row r="138" spans="1:16">
      <c r="A138" s="121">
        <v>137</v>
      </c>
      <c r="B138" s="184" t="s">
        <v>2309</v>
      </c>
      <c r="C138" s="184" t="s">
        <v>2353</v>
      </c>
      <c r="D138" s="122" t="s">
        <v>2239</v>
      </c>
      <c r="E138" s="124">
        <v>42939</v>
      </c>
      <c r="F138" s="124">
        <v>43008</v>
      </c>
      <c r="G138" s="123">
        <v>30</v>
      </c>
      <c r="H138" s="123">
        <v>746</v>
      </c>
      <c r="I138" s="123">
        <v>335</v>
      </c>
      <c r="J138" s="123">
        <v>628</v>
      </c>
      <c r="K138" s="123">
        <f t="shared" si="6"/>
        <v>69</v>
      </c>
      <c r="M138" s="123">
        <v>77</v>
      </c>
      <c r="N138" t="b">
        <f t="shared" si="7"/>
        <v>0</v>
      </c>
      <c r="O138" s="123">
        <v>756</v>
      </c>
      <c r="P138" t="b">
        <f t="shared" si="8"/>
        <v>0</v>
      </c>
    </row>
    <row r="139" spans="1:16">
      <c r="A139" s="121">
        <v>138</v>
      </c>
      <c r="B139" s="184" t="s">
        <v>2309</v>
      </c>
      <c r="C139" s="184" t="s">
        <v>2354</v>
      </c>
      <c r="D139" s="122" t="s">
        <v>2239</v>
      </c>
      <c r="E139" s="124">
        <v>42939</v>
      </c>
      <c r="F139" s="124">
        <v>43008</v>
      </c>
      <c r="G139" s="123">
        <v>213</v>
      </c>
      <c r="H139" s="123">
        <v>821</v>
      </c>
      <c r="I139" s="123">
        <v>484</v>
      </c>
      <c r="J139" s="123">
        <v>198</v>
      </c>
      <c r="K139" s="123">
        <f t="shared" si="6"/>
        <v>69</v>
      </c>
      <c r="M139" s="123">
        <v>332</v>
      </c>
      <c r="N139" t="b">
        <f t="shared" si="7"/>
        <v>0</v>
      </c>
      <c r="O139" s="123">
        <v>184</v>
      </c>
      <c r="P139" t="b">
        <f t="shared" si="8"/>
        <v>0</v>
      </c>
    </row>
    <row r="140" spans="1:16">
      <c r="A140" s="121">
        <v>139</v>
      </c>
      <c r="B140" s="184" t="s">
        <v>2309</v>
      </c>
      <c r="C140" s="184" t="s">
        <v>2355</v>
      </c>
      <c r="D140" s="122" t="s">
        <v>2239</v>
      </c>
      <c r="E140" s="124">
        <v>42939</v>
      </c>
      <c r="F140" s="124">
        <v>43008</v>
      </c>
      <c r="G140" s="129">
        <v>250</v>
      </c>
      <c r="H140" s="123">
        <v>813</v>
      </c>
      <c r="I140" s="123">
        <v>868</v>
      </c>
      <c r="J140" s="123">
        <v>706</v>
      </c>
      <c r="K140" s="123">
        <f t="shared" si="6"/>
        <v>69</v>
      </c>
      <c r="M140" s="123">
        <v>30</v>
      </c>
      <c r="N140" t="b">
        <f t="shared" si="7"/>
        <v>0</v>
      </c>
      <c r="O140" s="123">
        <v>746</v>
      </c>
      <c r="P140" t="b">
        <f t="shared" si="8"/>
        <v>0</v>
      </c>
    </row>
    <row r="141" spans="1:16">
      <c r="A141" s="121">
        <v>140</v>
      </c>
      <c r="B141" s="184" t="s">
        <v>2309</v>
      </c>
      <c r="C141" s="184" t="s">
        <v>2357</v>
      </c>
      <c r="D141" s="122" t="s">
        <v>2239</v>
      </c>
      <c r="E141" s="124">
        <v>42939</v>
      </c>
      <c r="F141" s="124">
        <v>43008</v>
      </c>
      <c r="G141" s="123">
        <v>401</v>
      </c>
      <c r="H141" s="123">
        <v>729</v>
      </c>
      <c r="I141" s="123">
        <v>792</v>
      </c>
      <c r="J141" s="123">
        <v>710</v>
      </c>
      <c r="K141" s="123">
        <f t="shared" si="6"/>
        <v>69</v>
      </c>
      <c r="M141" s="123">
        <v>213</v>
      </c>
      <c r="N141" t="b">
        <f t="shared" si="7"/>
        <v>0</v>
      </c>
      <c r="O141" s="123">
        <v>821</v>
      </c>
      <c r="P141" t="b">
        <f t="shared" si="8"/>
        <v>0</v>
      </c>
    </row>
    <row r="142" spans="1:16">
      <c r="A142" s="121">
        <v>141</v>
      </c>
      <c r="B142" s="184" t="s">
        <v>2309</v>
      </c>
      <c r="C142" s="184" t="s">
        <v>2358</v>
      </c>
      <c r="D142" s="122" t="s">
        <v>2239</v>
      </c>
      <c r="E142" s="124" t="s">
        <v>2055</v>
      </c>
      <c r="F142" s="124" t="s">
        <v>2055</v>
      </c>
      <c r="G142" s="124" t="s">
        <v>2055</v>
      </c>
      <c r="H142" s="124" t="s">
        <v>2055</v>
      </c>
      <c r="I142" s="124" t="s">
        <v>2055</v>
      </c>
      <c r="J142" s="124" t="s">
        <v>2055</v>
      </c>
      <c r="K142" s="123" t="str">
        <f t="shared" si="6"/>
        <v/>
      </c>
      <c r="M142" s="164">
        <v>250</v>
      </c>
      <c r="N142" t="b">
        <f t="shared" si="7"/>
        <v>1</v>
      </c>
      <c r="O142" s="123">
        <v>813</v>
      </c>
      <c r="P142" t="b">
        <f t="shared" si="8"/>
        <v>0</v>
      </c>
    </row>
    <row r="143" spans="1:16">
      <c r="A143" s="121">
        <v>142</v>
      </c>
      <c r="B143" s="184" t="s">
        <v>2309</v>
      </c>
      <c r="C143" s="184" t="s">
        <v>2359</v>
      </c>
      <c r="D143" s="122" t="s">
        <v>2239</v>
      </c>
      <c r="E143" s="124">
        <v>42939</v>
      </c>
      <c r="F143" s="124">
        <v>43008</v>
      </c>
      <c r="G143" s="123">
        <v>87</v>
      </c>
      <c r="H143" s="123">
        <v>834</v>
      </c>
      <c r="I143" s="123">
        <v>711</v>
      </c>
      <c r="J143" s="123">
        <v>626</v>
      </c>
      <c r="K143" s="123">
        <f t="shared" si="6"/>
        <v>69</v>
      </c>
      <c r="M143" s="123">
        <v>401</v>
      </c>
      <c r="N143" t="b">
        <f t="shared" si="7"/>
        <v>0</v>
      </c>
      <c r="O143" s="123">
        <v>729</v>
      </c>
      <c r="P143" t="b">
        <f t="shared" si="8"/>
        <v>0</v>
      </c>
    </row>
    <row r="144" spans="1:16">
      <c r="A144" s="121">
        <v>143</v>
      </c>
      <c r="B144" s="184" t="s">
        <v>2309</v>
      </c>
      <c r="C144" s="184" t="s">
        <v>2360</v>
      </c>
      <c r="D144" s="122" t="s">
        <v>2239</v>
      </c>
      <c r="E144" s="124">
        <v>42939</v>
      </c>
      <c r="F144" s="124">
        <v>43008</v>
      </c>
      <c r="G144" s="123">
        <v>501</v>
      </c>
      <c r="H144" s="123">
        <v>774</v>
      </c>
      <c r="I144" s="123">
        <v>205</v>
      </c>
      <c r="J144" s="123">
        <v>195</v>
      </c>
      <c r="K144" s="123">
        <f t="shared" si="6"/>
        <v>69</v>
      </c>
      <c r="M144" s="124" t="s">
        <v>2055</v>
      </c>
      <c r="N144" t="b">
        <f t="shared" si="7"/>
        <v>1</v>
      </c>
      <c r="O144" s="124" t="s">
        <v>2055</v>
      </c>
      <c r="P144" t="b">
        <f t="shared" si="8"/>
        <v>1</v>
      </c>
    </row>
    <row r="145" spans="1:16">
      <c r="A145" s="121">
        <v>144</v>
      </c>
      <c r="B145" s="184" t="s">
        <v>2309</v>
      </c>
      <c r="C145" s="184" t="s">
        <v>2361</v>
      </c>
      <c r="D145" s="122" t="s">
        <v>2239</v>
      </c>
      <c r="E145" s="124">
        <v>42939</v>
      </c>
      <c r="F145" s="124">
        <v>43008</v>
      </c>
      <c r="G145" s="123">
        <v>141</v>
      </c>
      <c r="H145" s="123">
        <v>779</v>
      </c>
      <c r="I145" s="123">
        <v>384</v>
      </c>
      <c r="J145" s="123">
        <v>295</v>
      </c>
      <c r="K145" s="123">
        <f t="shared" si="6"/>
        <v>69</v>
      </c>
      <c r="M145" s="123">
        <v>87</v>
      </c>
      <c r="N145" t="b">
        <f t="shared" si="7"/>
        <v>0</v>
      </c>
      <c r="O145" s="123">
        <v>834</v>
      </c>
      <c r="P145" t="b">
        <f t="shared" si="8"/>
        <v>0</v>
      </c>
    </row>
    <row r="146" spans="1:16">
      <c r="A146" s="121">
        <v>145</v>
      </c>
      <c r="B146" s="184" t="s">
        <v>2309</v>
      </c>
      <c r="C146" s="184" t="s">
        <v>2362</v>
      </c>
      <c r="D146" s="122" t="s">
        <v>2251</v>
      </c>
      <c r="E146" s="124">
        <v>42939</v>
      </c>
      <c r="F146" s="124">
        <v>43010</v>
      </c>
      <c r="G146" s="123">
        <v>131</v>
      </c>
      <c r="H146" s="123">
        <v>728</v>
      </c>
      <c r="I146" s="129">
        <v>72</v>
      </c>
      <c r="J146" s="123">
        <v>609</v>
      </c>
      <c r="K146" s="123">
        <f t="shared" si="6"/>
        <v>71</v>
      </c>
      <c r="M146" s="123">
        <v>501</v>
      </c>
      <c r="N146" t="b">
        <f t="shared" si="7"/>
        <v>0</v>
      </c>
      <c r="O146" s="123">
        <v>774</v>
      </c>
      <c r="P146" t="b">
        <f t="shared" si="8"/>
        <v>0</v>
      </c>
    </row>
    <row r="147" spans="1:16">
      <c r="A147" s="121">
        <v>146</v>
      </c>
      <c r="B147" s="184" t="s">
        <v>2309</v>
      </c>
      <c r="C147" s="184" t="s">
        <v>2363</v>
      </c>
      <c r="D147" s="122" t="s">
        <v>2251</v>
      </c>
      <c r="E147" s="124">
        <v>42939</v>
      </c>
      <c r="F147" s="124">
        <v>43010</v>
      </c>
      <c r="G147" s="123">
        <v>465</v>
      </c>
      <c r="H147" s="123">
        <v>13</v>
      </c>
      <c r="I147" s="123">
        <v>336</v>
      </c>
      <c r="J147" s="123">
        <v>292</v>
      </c>
      <c r="K147" s="123">
        <f t="shared" si="6"/>
        <v>71</v>
      </c>
      <c r="M147" s="123">
        <v>141</v>
      </c>
      <c r="N147" t="b">
        <f t="shared" si="7"/>
        <v>0</v>
      </c>
      <c r="O147" s="123">
        <v>779</v>
      </c>
      <c r="P147" t="b">
        <f t="shared" si="8"/>
        <v>0</v>
      </c>
    </row>
    <row r="148" spans="1:16">
      <c r="A148" s="121">
        <v>147</v>
      </c>
      <c r="B148" s="184" t="s">
        <v>2309</v>
      </c>
      <c r="C148" s="184" t="s">
        <v>2364</v>
      </c>
      <c r="D148" s="122" t="s">
        <v>2251</v>
      </c>
      <c r="E148" s="124">
        <v>42939</v>
      </c>
      <c r="F148" s="124">
        <v>43010</v>
      </c>
      <c r="G148" s="123">
        <v>15</v>
      </c>
      <c r="H148" s="123">
        <v>832</v>
      </c>
      <c r="I148" s="123">
        <v>303</v>
      </c>
      <c r="J148" s="123">
        <v>243</v>
      </c>
      <c r="K148" s="123">
        <f t="shared" si="6"/>
        <v>71</v>
      </c>
      <c r="M148" s="123">
        <v>131</v>
      </c>
      <c r="N148" t="b">
        <f t="shared" si="7"/>
        <v>0</v>
      </c>
      <c r="O148" s="123">
        <v>728</v>
      </c>
      <c r="P148" t="b">
        <f t="shared" si="8"/>
        <v>0</v>
      </c>
    </row>
    <row r="149" spans="1:16">
      <c r="A149" s="121">
        <v>148</v>
      </c>
      <c r="B149" s="184" t="s">
        <v>2309</v>
      </c>
      <c r="C149" s="184" t="s">
        <v>2365</v>
      </c>
      <c r="D149" s="122" t="s">
        <v>2251</v>
      </c>
      <c r="E149" s="124">
        <v>42939</v>
      </c>
      <c r="F149" s="124">
        <v>43010</v>
      </c>
      <c r="G149" s="123">
        <v>290</v>
      </c>
      <c r="H149" s="123">
        <v>823</v>
      </c>
      <c r="I149" s="123">
        <v>161</v>
      </c>
      <c r="J149" s="123">
        <v>422</v>
      </c>
      <c r="K149" s="123">
        <f t="shared" si="6"/>
        <v>71</v>
      </c>
      <c r="M149" s="123">
        <v>465</v>
      </c>
      <c r="N149" t="b">
        <f t="shared" si="7"/>
        <v>0</v>
      </c>
      <c r="O149" s="123">
        <v>13</v>
      </c>
      <c r="P149" t="b">
        <f t="shared" si="8"/>
        <v>0</v>
      </c>
    </row>
    <row r="150" spans="1:16">
      <c r="A150" s="121">
        <v>149</v>
      </c>
      <c r="B150" s="184" t="s">
        <v>2309</v>
      </c>
      <c r="C150" s="184" t="s">
        <v>2366</v>
      </c>
      <c r="D150" s="122" t="s">
        <v>2251</v>
      </c>
      <c r="E150" s="124">
        <v>42939</v>
      </c>
      <c r="F150" s="124">
        <v>43010</v>
      </c>
      <c r="G150" s="129">
        <v>194</v>
      </c>
      <c r="H150" s="123">
        <v>703</v>
      </c>
      <c r="I150" s="123">
        <v>464</v>
      </c>
      <c r="J150" s="123">
        <v>664</v>
      </c>
      <c r="K150" s="123">
        <f t="shared" si="6"/>
        <v>71</v>
      </c>
      <c r="M150" s="123">
        <v>15</v>
      </c>
      <c r="N150" t="b">
        <f t="shared" si="7"/>
        <v>0</v>
      </c>
      <c r="O150" s="123">
        <v>832</v>
      </c>
      <c r="P150" t="b">
        <f t="shared" si="8"/>
        <v>0</v>
      </c>
    </row>
    <row r="151" spans="1:16">
      <c r="A151" s="121">
        <v>150</v>
      </c>
      <c r="B151" s="184" t="s">
        <v>2309</v>
      </c>
      <c r="C151" s="184" t="s">
        <v>2367</v>
      </c>
      <c r="D151" s="122" t="s">
        <v>2251</v>
      </c>
      <c r="E151" s="124">
        <v>42939</v>
      </c>
      <c r="F151" s="124">
        <v>43010</v>
      </c>
      <c r="G151" s="123">
        <v>272</v>
      </c>
      <c r="H151" s="123">
        <v>668</v>
      </c>
      <c r="I151" s="123">
        <v>843</v>
      </c>
      <c r="J151" s="123">
        <v>316</v>
      </c>
      <c r="K151" s="123">
        <f t="shared" si="6"/>
        <v>71</v>
      </c>
      <c r="M151" s="123">
        <v>290</v>
      </c>
      <c r="N151" t="b">
        <f t="shared" si="7"/>
        <v>0</v>
      </c>
      <c r="O151" s="123">
        <v>823</v>
      </c>
      <c r="P151" t="b">
        <f t="shared" si="8"/>
        <v>0</v>
      </c>
    </row>
    <row r="152" spans="1:16">
      <c r="A152" s="121">
        <v>151</v>
      </c>
      <c r="B152" s="184" t="s">
        <v>2309</v>
      </c>
      <c r="C152" s="184" t="s">
        <v>2368</v>
      </c>
      <c r="D152" s="122" t="s">
        <v>2251</v>
      </c>
      <c r="E152" s="123" t="s">
        <v>2055</v>
      </c>
      <c r="F152" s="123" t="s">
        <v>2055</v>
      </c>
      <c r="G152" s="123" t="s">
        <v>2055</v>
      </c>
      <c r="H152" s="123" t="s">
        <v>2055</v>
      </c>
      <c r="I152" s="123" t="s">
        <v>2055</v>
      </c>
      <c r="J152" s="123" t="s">
        <v>2055</v>
      </c>
      <c r="K152" s="123" t="str">
        <f t="shared" si="6"/>
        <v/>
      </c>
      <c r="M152" s="129">
        <v>194</v>
      </c>
      <c r="N152" t="b">
        <f t="shared" si="7"/>
        <v>0</v>
      </c>
      <c r="O152" s="123">
        <v>703</v>
      </c>
      <c r="P152" t="b">
        <f t="shared" si="8"/>
        <v>0</v>
      </c>
    </row>
    <row r="153" spans="1:16">
      <c r="A153" s="121">
        <v>152</v>
      </c>
      <c r="B153" s="184" t="s">
        <v>2309</v>
      </c>
      <c r="C153" s="184" t="s">
        <v>2369</v>
      </c>
      <c r="D153" s="122" t="s">
        <v>2251</v>
      </c>
      <c r="E153" s="124">
        <v>42939</v>
      </c>
      <c r="F153" s="124">
        <v>43010</v>
      </c>
      <c r="G153" s="123">
        <v>198</v>
      </c>
      <c r="H153" s="123">
        <v>788</v>
      </c>
      <c r="I153" s="123">
        <v>617</v>
      </c>
      <c r="J153" s="123">
        <v>635</v>
      </c>
      <c r="K153" s="123">
        <f t="shared" si="6"/>
        <v>71</v>
      </c>
      <c r="M153" s="123">
        <v>272</v>
      </c>
      <c r="N153" t="b">
        <f t="shared" si="7"/>
        <v>0</v>
      </c>
      <c r="O153" s="123">
        <v>668</v>
      </c>
      <c r="P153" t="b">
        <f t="shared" si="8"/>
        <v>0</v>
      </c>
    </row>
    <row r="154" spans="1:16">
      <c r="A154" s="121">
        <v>153</v>
      </c>
      <c r="B154" s="184" t="s">
        <v>2309</v>
      </c>
      <c r="C154" s="184" t="s">
        <v>2371</v>
      </c>
      <c r="D154" s="122" t="s">
        <v>2260</v>
      </c>
      <c r="E154" s="124">
        <v>42939</v>
      </c>
      <c r="F154" s="124">
        <v>43010</v>
      </c>
      <c r="G154" s="123">
        <v>197</v>
      </c>
      <c r="H154" s="123">
        <v>735</v>
      </c>
      <c r="I154" s="123">
        <v>19</v>
      </c>
      <c r="J154" s="123">
        <v>651</v>
      </c>
      <c r="K154" s="123">
        <f t="shared" si="6"/>
        <v>71</v>
      </c>
      <c r="M154" s="123" t="s">
        <v>2055</v>
      </c>
      <c r="N154" t="b">
        <f t="shared" si="7"/>
        <v>1</v>
      </c>
      <c r="O154" s="123" t="s">
        <v>2055</v>
      </c>
      <c r="P154" t="b">
        <f t="shared" si="8"/>
        <v>1</v>
      </c>
    </row>
    <row r="155" spans="1:16">
      <c r="A155" s="121">
        <v>154</v>
      </c>
      <c r="B155" s="184" t="s">
        <v>2309</v>
      </c>
      <c r="C155" s="184" t="s">
        <v>2372</v>
      </c>
      <c r="D155" s="122" t="s">
        <v>2260</v>
      </c>
      <c r="E155" s="124">
        <v>42939</v>
      </c>
      <c r="F155" s="124">
        <v>43010</v>
      </c>
      <c r="G155" s="123">
        <v>127</v>
      </c>
      <c r="H155" s="123">
        <v>836</v>
      </c>
      <c r="I155" s="123">
        <v>275</v>
      </c>
      <c r="J155" s="123">
        <v>367</v>
      </c>
      <c r="K155" s="123">
        <f t="shared" si="6"/>
        <v>71</v>
      </c>
      <c r="M155" s="123">
        <v>198</v>
      </c>
      <c r="N155" t="b">
        <f t="shared" si="7"/>
        <v>0</v>
      </c>
      <c r="O155" s="123">
        <v>788</v>
      </c>
      <c r="P155" t="b">
        <f t="shared" si="8"/>
        <v>0</v>
      </c>
    </row>
    <row r="156" spans="1:16">
      <c r="A156" s="121">
        <v>155</v>
      </c>
      <c r="B156" s="184" t="s">
        <v>2309</v>
      </c>
      <c r="C156" s="184" t="s">
        <v>2373</v>
      </c>
      <c r="D156" s="122" t="s">
        <v>2260</v>
      </c>
      <c r="E156" s="124">
        <v>42939</v>
      </c>
      <c r="F156" s="124">
        <v>43010</v>
      </c>
      <c r="G156" s="123">
        <v>253</v>
      </c>
      <c r="H156" s="123">
        <v>337</v>
      </c>
      <c r="I156" s="123">
        <v>289</v>
      </c>
      <c r="J156" s="123">
        <v>617</v>
      </c>
      <c r="K156" s="123">
        <f t="shared" si="6"/>
        <v>71</v>
      </c>
      <c r="M156" s="123">
        <v>197</v>
      </c>
      <c r="N156" t="b">
        <f t="shared" si="7"/>
        <v>0</v>
      </c>
      <c r="O156" s="123">
        <v>735</v>
      </c>
      <c r="P156" t="b">
        <f t="shared" si="8"/>
        <v>0</v>
      </c>
    </row>
    <row r="157" spans="1:16">
      <c r="A157" s="121">
        <v>156</v>
      </c>
      <c r="B157" s="184" t="s">
        <v>2309</v>
      </c>
      <c r="C157" s="184" t="s">
        <v>2374</v>
      </c>
      <c r="D157" s="122" t="s">
        <v>2260</v>
      </c>
      <c r="E157" s="124">
        <v>42939</v>
      </c>
      <c r="F157" s="124">
        <v>43010</v>
      </c>
      <c r="G157" s="123">
        <v>47</v>
      </c>
      <c r="H157" s="123">
        <v>118</v>
      </c>
      <c r="I157" s="123">
        <v>65</v>
      </c>
      <c r="J157" s="123">
        <v>84</v>
      </c>
      <c r="K157" s="123">
        <f t="shared" si="6"/>
        <v>71</v>
      </c>
      <c r="M157" s="123">
        <v>127</v>
      </c>
      <c r="N157" t="b">
        <f t="shared" si="7"/>
        <v>0</v>
      </c>
      <c r="O157" s="123">
        <v>836</v>
      </c>
      <c r="P157" t="b">
        <f t="shared" si="8"/>
        <v>0</v>
      </c>
    </row>
    <row r="158" spans="1:16">
      <c r="A158" s="121">
        <v>157</v>
      </c>
      <c r="B158" s="184" t="s">
        <v>2309</v>
      </c>
      <c r="C158" s="184" t="s">
        <v>2376</v>
      </c>
      <c r="D158" s="122" t="s">
        <v>2260</v>
      </c>
      <c r="E158" s="124">
        <v>42939</v>
      </c>
      <c r="F158" s="124">
        <v>43010</v>
      </c>
      <c r="G158" s="123">
        <v>328</v>
      </c>
      <c r="H158" s="123">
        <v>478</v>
      </c>
      <c r="I158" s="123">
        <v>33</v>
      </c>
      <c r="J158" s="123">
        <v>248</v>
      </c>
      <c r="K158" s="123">
        <f t="shared" si="6"/>
        <v>71</v>
      </c>
      <c r="M158" s="123">
        <v>253</v>
      </c>
      <c r="N158" t="b">
        <f t="shared" si="7"/>
        <v>0</v>
      </c>
      <c r="O158" s="123">
        <v>337</v>
      </c>
      <c r="P158" t="b">
        <f t="shared" si="8"/>
        <v>0</v>
      </c>
    </row>
    <row r="159" spans="1:16">
      <c r="A159" s="121">
        <v>158</v>
      </c>
      <c r="B159" s="184" t="s">
        <v>2309</v>
      </c>
      <c r="C159" s="184" t="s">
        <v>2377</v>
      </c>
      <c r="D159" s="122" t="s">
        <v>2260</v>
      </c>
      <c r="E159" s="124">
        <v>42939</v>
      </c>
      <c r="F159" s="124">
        <v>43010</v>
      </c>
      <c r="G159" s="123">
        <v>21</v>
      </c>
      <c r="H159" s="123">
        <v>773</v>
      </c>
      <c r="I159" s="123">
        <v>153</v>
      </c>
      <c r="J159" s="123">
        <v>238</v>
      </c>
      <c r="K159" s="123">
        <f t="shared" si="6"/>
        <v>71</v>
      </c>
      <c r="M159" s="123">
        <v>47</v>
      </c>
      <c r="N159" t="b">
        <f t="shared" si="7"/>
        <v>0</v>
      </c>
      <c r="O159" s="123">
        <v>118</v>
      </c>
      <c r="P159" t="b">
        <f t="shared" si="8"/>
        <v>0</v>
      </c>
    </row>
    <row r="160" spans="1:16">
      <c r="A160" s="121">
        <v>159</v>
      </c>
      <c r="B160" s="184" t="s">
        <v>2309</v>
      </c>
      <c r="C160" s="184" t="s">
        <v>2378</v>
      </c>
      <c r="D160" s="122" t="s">
        <v>2260</v>
      </c>
      <c r="E160" s="123" t="s">
        <v>2055</v>
      </c>
      <c r="F160" s="123" t="s">
        <v>2055</v>
      </c>
      <c r="G160" s="123" t="s">
        <v>2055</v>
      </c>
      <c r="H160" s="123" t="s">
        <v>2055</v>
      </c>
      <c r="I160" s="123" t="s">
        <v>2055</v>
      </c>
      <c r="J160" s="123" t="s">
        <v>2055</v>
      </c>
      <c r="K160" s="123" t="str">
        <f t="shared" si="6"/>
        <v/>
      </c>
      <c r="M160" s="123">
        <v>328</v>
      </c>
      <c r="N160" t="b">
        <f t="shared" si="7"/>
        <v>0</v>
      </c>
      <c r="O160" s="123">
        <v>478</v>
      </c>
      <c r="P160" t="b">
        <f t="shared" si="8"/>
        <v>0</v>
      </c>
    </row>
    <row r="161" spans="1:16">
      <c r="A161" s="121">
        <v>160</v>
      </c>
      <c r="B161" s="184" t="s">
        <v>2309</v>
      </c>
      <c r="C161" s="184" t="s">
        <v>2379</v>
      </c>
      <c r="D161" s="122" t="s">
        <v>2260</v>
      </c>
      <c r="E161" s="124">
        <v>42939</v>
      </c>
      <c r="F161" s="124">
        <v>43010</v>
      </c>
      <c r="G161" s="123">
        <v>482</v>
      </c>
      <c r="H161" s="123">
        <v>401</v>
      </c>
      <c r="I161" s="123">
        <v>175</v>
      </c>
      <c r="J161" s="123">
        <v>350</v>
      </c>
      <c r="K161" s="123">
        <f t="shared" si="6"/>
        <v>71</v>
      </c>
      <c r="M161" s="123">
        <v>21</v>
      </c>
      <c r="N161" t="b">
        <f t="shared" si="7"/>
        <v>0</v>
      </c>
      <c r="O161" s="123">
        <v>773</v>
      </c>
      <c r="P161" t="b">
        <f t="shared" si="8"/>
        <v>0</v>
      </c>
    </row>
    <row r="162" spans="1:16">
      <c r="A162" s="121">
        <v>161</v>
      </c>
      <c r="B162" s="184" t="s">
        <v>2380</v>
      </c>
      <c r="C162" s="184" t="s">
        <v>2381</v>
      </c>
      <c r="D162" s="122" t="s">
        <v>2273</v>
      </c>
      <c r="E162" s="124">
        <v>42940</v>
      </c>
      <c r="F162" s="124">
        <v>43009</v>
      </c>
      <c r="G162" s="123">
        <v>51</v>
      </c>
      <c r="H162" s="123">
        <v>673</v>
      </c>
      <c r="I162" s="123">
        <v>207</v>
      </c>
      <c r="J162" s="123">
        <v>314</v>
      </c>
      <c r="K162" s="123">
        <f t="shared" si="6"/>
        <v>69</v>
      </c>
      <c r="M162" s="123" t="s">
        <v>2055</v>
      </c>
      <c r="N162" t="b">
        <f t="shared" si="7"/>
        <v>1</v>
      </c>
      <c r="O162" s="123" t="s">
        <v>2055</v>
      </c>
      <c r="P162" t="b">
        <f t="shared" si="8"/>
        <v>1</v>
      </c>
    </row>
    <row r="163" spans="1:16">
      <c r="A163" s="121">
        <v>162</v>
      </c>
      <c r="B163" s="184" t="s">
        <v>2380</v>
      </c>
      <c r="C163" s="184" t="s">
        <v>2382</v>
      </c>
      <c r="D163" s="122" t="s">
        <v>2273</v>
      </c>
      <c r="E163" s="124">
        <v>42940</v>
      </c>
      <c r="F163" s="124">
        <v>43009</v>
      </c>
      <c r="G163" s="123">
        <v>238</v>
      </c>
      <c r="H163" s="123">
        <v>814</v>
      </c>
      <c r="I163" s="123">
        <v>580</v>
      </c>
      <c r="J163" s="123">
        <v>425</v>
      </c>
      <c r="K163" s="123">
        <f t="shared" si="6"/>
        <v>69</v>
      </c>
      <c r="M163" s="123">
        <v>482</v>
      </c>
      <c r="N163" t="b">
        <f t="shared" si="7"/>
        <v>0</v>
      </c>
      <c r="O163" s="123">
        <v>401</v>
      </c>
      <c r="P163" t="b">
        <f t="shared" si="8"/>
        <v>0</v>
      </c>
    </row>
    <row r="164" spans="1:16">
      <c r="A164" s="121">
        <v>163</v>
      </c>
      <c r="B164" s="184" t="s">
        <v>2380</v>
      </c>
      <c r="C164" s="184" t="s">
        <v>2383</v>
      </c>
      <c r="D164" s="122" t="s">
        <v>2273</v>
      </c>
      <c r="E164" s="124">
        <v>42940</v>
      </c>
      <c r="F164" s="124">
        <v>43009</v>
      </c>
      <c r="G164" s="123">
        <v>59</v>
      </c>
      <c r="H164" s="123">
        <v>615</v>
      </c>
      <c r="I164" s="123">
        <v>722</v>
      </c>
      <c r="J164" s="123">
        <v>267</v>
      </c>
      <c r="K164" s="123">
        <f t="shared" si="6"/>
        <v>69</v>
      </c>
      <c r="M164" s="123">
        <v>51</v>
      </c>
      <c r="N164" t="b">
        <f t="shared" si="7"/>
        <v>0</v>
      </c>
      <c r="O164" s="123">
        <v>673</v>
      </c>
      <c r="P164" t="b">
        <f t="shared" si="8"/>
        <v>0</v>
      </c>
    </row>
    <row r="165" spans="1:16">
      <c r="A165" s="121">
        <v>164</v>
      </c>
      <c r="B165" s="184" t="s">
        <v>2380</v>
      </c>
      <c r="C165" s="184" t="s">
        <v>2384</v>
      </c>
      <c r="D165" s="122" t="s">
        <v>2273</v>
      </c>
      <c r="E165" s="124">
        <v>42940</v>
      </c>
      <c r="F165" s="124">
        <v>43009</v>
      </c>
      <c r="G165" s="123">
        <v>7</v>
      </c>
      <c r="H165" s="123">
        <v>514</v>
      </c>
      <c r="I165" s="123">
        <v>239</v>
      </c>
      <c r="J165" s="129">
        <v>211</v>
      </c>
      <c r="K165" s="123">
        <f t="shared" si="6"/>
        <v>69</v>
      </c>
      <c r="M165" s="123">
        <v>238</v>
      </c>
      <c r="N165" t="b">
        <f t="shared" si="7"/>
        <v>0</v>
      </c>
      <c r="O165" s="123">
        <v>814</v>
      </c>
      <c r="P165" t="b">
        <f t="shared" si="8"/>
        <v>0</v>
      </c>
    </row>
    <row r="166" spans="1:16">
      <c r="A166" s="121">
        <v>165</v>
      </c>
      <c r="B166" s="184" t="s">
        <v>2380</v>
      </c>
      <c r="C166" s="184" t="s">
        <v>2385</v>
      </c>
      <c r="D166" s="122" t="s">
        <v>2273</v>
      </c>
      <c r="E166" s="124">
        <v>42940</v>
      </c>
      <c r="F166" s="124">
        <v>43009</v>
      </c>
      <c r="G166" s="123">
        <v>85</v>
      </c>
      <c r="H166" s="123">
        <v>127</v>
      </c>
      <c r="I166" s="123">
        <v>343</v>
      </c>
      <c r="J166" s="123">
        <v>310</v>
      </c>
      <c r="K166" s="123">
        <f t="shared" si="6"/>
        <v>69</v>
      </c>
      <c r="M166" s="123">
        <v>59</v>
      </c>
      <c r="N166" t="b">
        <f t="shared" si="7"/>
        <v>0</v>
      </c>
      <c r="O166" s="123">
        <v>615</v>
      </c>
      <c r="P166" t="b">
        <f t="shared" si="8"/>
        <v>0</v>
      </c>
    </row>
    <row r="167" spans="1:16">
      <c r="A167" s="121">
        <v>166</v>
      </c>
      <c r="B167" s="184" t="s">
        <v>2380</v>
      </c>
      <c r="C167" s="184" t="s">
        <v>2386</v>
      </c>
      <c r="D167" s="122" t="s">
        <v>2273</v>
      </c>
      <c r="E167" s="124">
        <v>42940</v>
      </c>
      <c r="F167" s="124">
        <v>43009</v>
      </c>
      <c r="G167" s="123">
        <v>1</v>
      </c>
      <c r="H167" s="123">
        <v>752</v>
      </c>
      <c r="I167" s="123">
        <v>409</v>
      </c>
      <c r="J167" s="123">
        <v>269</v>
      </c>
      <c r="K167" s="123">
        <f t="shared" si="6"/>
        <v>69</v>
      </c>
      <c r="M167" s="123">
        <v>7</v>
      </c>
      <c r="N167" t="b">
        <f t="shared" si="7"/>
        <v>0</v>
      </c>
      <c r="O167" s="123">
        <v>514</v>
      </c>
      <c r="P167" t="b">
        <f t="shared" si="8"/>
        <v>0</v>
      </c>
    </row>
    <row r="168" spans="1:16">
      <c r="A168" s="121">
        <v>167</v>
      </c>
      <c r="B168" s="184" t="s">
        <v>2380</v>
      </c>
      <c r="C168" s="184" t="s">
        <v>2388</v>
      </c>
      <c r="D168" s="122" t="s">
        <v>2273</v>
      </c>
      <c r="E168" s="123" t="s">
        <v>2055</v>
      </c>
      <c r="F168" s="123" t="s">
        <v>2055</v>
      </c>
      <c r="G168" s="123" t="s">
        <v>2055</v>
      </c>
      <c r="H168" s="123" t="s">
        <v>2055</v>
      </c>
      <c r="I168" s="123" t="s">
        <v>2055</v>
      </c>
      <c r="J168" s="123" t="s">
        <v>2055</v>
      </c>
      <c r="K168" s="123" t="str">
        <f t="shared" si="6"/>
        <v/>
      </c>
      <c r="M168" s="123">
        <v>85</v>
      </c>
      <c r="N168" t="b">
        <f t="shared" si="7"/>
        <v>0</v>
      </c>
      <c r="O168" s="123">
        <v>127</v>
      </c>
      <c r="P168" t="b">
        <f t="shared" si="8"/>
        <v>0</v>
      </c>
    </row>
    <row r="169" spans="1:16">
      <c r="A169" s="121">
        <v>168</v>
      </c>
      <c r="B169" s="184" t="s">
        <v>2380</v>
      </c>
      <c r="C169" s="184" t="s">
        <v>2389</v>
      </c>
      <c r="D169" s="122" t="s">
        <v>2273</v>
      </c>
      <c r="E169" s="124">
        <v>42940</v>
      </c>
      <c r="F169" s="124">
        <v>43009</v>
      </c>
      <c r="G169" s="123">
        <v>70</v>
      </c>
      <c r="H169" s="123">
        <v>690</v>
      </c>
      <c r="I169" s="123">
        <v>304</v>
      </c>
      <c r="J169" s="123">
        <v>413</v>
      </c>
      <c r="K169" s="123">
        <f t="shared" si="6"/>
        <v>69</v>
      </c>
      <c r="M169" s="123">
        <v>1</v>
      </c>
      <c r="N169" t="b">
        <f t="shared" si="7"/>
        <v>0</v>
      </c>
      <c r="O169" s="123">
        <v>752</v>
      </c>
      <c r="P169" t="b">
        <f t="shared" si="8"/>
        <v>0</v>
      </c>
    </row>
    <row r="170" spans="1:16">
      <c r="A170" s="121">
        <v>169</v>
      </c>
      <c r="B170" s="184" t="s">
        <v>2380</v>
      </c>
      <c r="C170" s="184" t="s">
        <v>2390</v>
      </c>
      <c r="D170" s="122" t="s">
        <v>2282</v>
      </c>
      <c r="E170" s="124">
        <v>42940</v>
      </c>
      <c r="F170" s="124">
        <v>43009</v>
      </c>
      <c r="G170" s="123">
        <v>250</v>
      </c>
      <c r="H170" s="123">
        <v>684</v>
      </c>
      <c r="I170" s="123">
        <v>135</v>
      </c>
      <c r="J170" s="123">
        <v>80</v>
      </c>
      <c r="K170" s="123">
        <f t="shared" si="6"/>
        <v>69</v>
      </c>
      <c r="M170" s="123" t="s">
        <v>2055</v>
      </c>
      <c r="N170" t="b">
        <f t="shared" si="7"/>
        <v>1</v>
      </c>
      <c r="O170" s="123" t="s">
        <v>2055</v>
      </c>
      <c r="P170" t="b">
        <f t="shared" si="8"/>
        <v>1</v>
      </c>
    </row>
    <row r="171" spans="1:16">
      <c r="A171" s="121">
        <v>170</v>
      </c>
      <c r="B171" s="184" t="s">
        <v>2380</v>
      </c>
      <c r="C171" s="184" t="s">
        <v>2391</v>
      </c>
      <c r="D171" s="122" t="s">
        <v>2282</v>
      </c>
      <c r="E171" s="124">
        <v>42940</v>
      </c>
      <c r="F171" s="124">
        <v>43009</v>
      </c>
      <c r="G171" s="123">
        <v>624</v>
      </c>
      <c r="H171" s="123">
        <v>694</v>
      </c>
      <c r="I171" s="123">
        <v>515</v>
      </c>
      <c r="J171" s="123">
        <v>208</v>
      </c>
      <c r="K171" s="123">
        <f t="shared" si="6"/>
        <v>69</v>
      </c>
      <c r="M171" s="123">
        <v>70</v>
      </c>
      <c r="N171" t="b">
        <f t="shared" si="7"/>
        <v>0</v>
      </c>
      <c r="O171" s="123">
        <v>690</v>
      </c>
      <c r="P171" t="b">
        <f t="shared" si="8"/>
        <v>0</v>
      </c>
    </row>
    <row r="172" spans="1:16">
      <c r="A172" s="121">
        <v>171</v>
      </c>
      <c r="B172" s="184" t="s">
        <v>2380</v>
      </c>
      <c r="C172" s="184" t="s">
        <v>2392</v>
      </c>
      <c r="D172" s="122" t="s">
        <v>2282</v>
      </c>
      <c r="E172" s="124">
        <v>42940</v>
      </c>
      <c r="F172" s="124">
        <v>43009</v>
      </c>
      <c r="G172" s="123">
        <v>149</v>
      </c>
      <c r="H172" s="123">
        <v>655</v>
      </c>
      <c r="I172" s="123">
        <v>348</v>
      </c>
      <c r="J172" s="123">
        <v>633</v>
      </c>
      <c r="K172" s="123">
        <f t="shared" si="6"/>
        <v>69</v>
      </c>
      <c r="M172" s="164">
        <v>250</v>
      </c>
      <c r="N172" t="b">
        <f t="shared" si="7"/>
        <v>1</v>
      </c>
      <c r="O172" s="123">
        <v>684</v>
      </c>
      <c r="P172" t="b">
        <f t="shared" si="8"/>
        <v>0</v>
      </c>
    </row>
    <row r="173" spans="1:16">
      <c r="A173" s="121">
        <v>172</v>
      </c>
      <c r="B173" s="184" t="s">
        <v>2380</v>
      </c>
      <c r="C173" s="184" t="s">
        <v>2393</v>
      </c>
      <c r="D173" s="122" t="s">
        <v>2282</v>
      </c>
      <c r="E173" s="124" t="s">
        <v>2055</v>
      </c>
      <c r="F173" s="124" t="s">
        <v>2055</v>
      </c>
      <c r="G173" s="124" t="s">
        <v>2055</v>
      </c>
      <c r="H173" s="124" t="s">
        <v>2055</v>
      </c>
      <c r="I173" s="124" t="s">
        <v>2055</v>
      </c>
      <c r="J173" s="124" t="s">
        <v>2055</v>
      </c>
      <c r="K173" s="123" t="str">
        <f t="shared" si="6"/>
        <v/>
      </c>
      <c r="M173" s="123">
        <v>624</v>
      </c>
      <c r="N173" t="b">
        <f t="shared" si="7"/>
        <v>0</v>
      </c>
      <c r="O173" s="123">
        <v>694</v>
      </c>
      <c r="P173" t="b">
        <f t="shared" si="8"/>
        <v>0</v>
      </c>
    </row>
    <row r="174" spans="1:16">
      <c r="A174" s="121">
        <v>173</v>
      </c>
      <c r="B174" s="184" t="s">
        <v>2380</v>
      </c>
      <c r="C174" s="184" t="s">
        <v>2394</v>
      </c>
      <c r="D174" s="122" t="s">
        <v>2282</v>
      </c>
      <c r="E174" s="124">
        <v>42940</v>
      </c>
      <c r="F174" s="124">
        <v>43009</v>
      </c>
      <c r="G174" s="123">
        <v>597</v>
      </c>
      <c r="H174" s="123">
        <v>405</v>
      </c>
      <c r="I174" s="123">
        <v>307</v>
      </c>
      <c r="J174" s="123">
        <v>473</v>
      </c>
      <c r="K174" s="123">
        <f t="shared" si="6"/>
        <v>69</v>
      </c>
      <c r="M174" s="123">
        <v>149</v>
      </c>
      <c r="N174" t="b">
        <f t="shared" si="7"/>
        <v>0</v>
      </c>
      <c r="O174" s="123">
        <v>655</v>
      </c>
      <c r="P174" t="b">
        <f t="shared" si="8"/>
        <v>0</v>
      </c>
    </row>
    <row r="175" spans="1:16">
      <c r="A175" s="121">
        <v>174</v>
      </c>
      <c r="B175" s="184" t="s">
        <v>2380</v>
      </c>
      <c r="C175" s="184" t="s">
        <v>2395</v>
      </c>
      <c r="D175" s="122" t="s">
        <v>2282</v>
      </c>
      <c r="E175" s="124">
        <v>42940</v>
      </c>
      <c r="F175" s="124">
        <v>43009</v>
      </c>
      <c r="G175" s="123">
        <v>396</v>
      </c>
      <c r="H175" s="123">
        <v>736</v>
      </c>
      <c r="I175" s="123">
        <v>155</v>
      </c>
      <c r="J175" s="123">
        <v>702</v>
      </c>
      <c r="K175" s="123">
        <f t="shared" si="6"/>
        <v>69</v>
      </c>
      <c r="M175" s="124" t="s">
        <v>2055</v>
      </c>
      <c r="N175" t="b">
        <f t="shared" si="7"/>
        <v>1</v>
      </c>
      <c r="O175" s="124" t="s">
        <v>2055</v>
      </c>
      <c r="P175" t="b">
        <f t="shared" si="8"/>
        <v>1</v>
      </c>
    </row>
    <row r="176" spans="1:16">
      <c r="A176" s="121">
        <v>175</v>
      </c>
      <c r="B176" s="184" t="s">
        <v>2380</v>
      </c>
      <c r="C176" s="184" t="s">
        <v>2396</v>
      </c>
      <c r="D176" s="122" t="s">
        <v>2282</v>
      </c>
      <c r="E176" s="124">
        <v>42940</v>
      </c>
      <c r="F176" s="124">
        <v>43009</v>
      </c>
      <c r="G176" s="123">
        <v>612</v>
      </c>
      <c r="H176" s="123">
        <v>338</v>
      </c>
      <c r="I176" s="123">
        <v>719</v>
      </c>
      <c r="J176" s="123">
        <v>175</v>
      </c>
      <c r="K176" s="123">
        <f t="shared" si="6"/>
        <v>69</v>
      </c>
      <c r="M176" s="123">
        <v>597</v>
      </c>
      <c r="N176" t="b">
        <f t="shared" si="7"/>
        <v>0</v>
      </c>
      <c r="O176" s="123">
        <v>405</v>
      </c>
      <c r="P176" t="b">
        <f t="shared" si="8"/>
        <v>0</v>
      </c>
    </row>
    <row r="177" spans="1:16">
      <c r="A177" s="121">
        <v>176</v>
      </c>
      <c r="B177" s="184" t="s">
        <v>2380</v>
      </c>
      <c r="C177" s="184" t="s">
        <v>2397</v>
      </c>
      <c r="D177" s="122" t="s">
        <v>2282</v>
      </c>
      <c r="E177" s="124">
        <v>42940</v>
      </c>
      <c r="F177" s="124">
        <v>43009</v>
      </c>
      <c r="G177" s="123">
        <v>183</v>
      </c>
      <c r="H177" s="123">
        <v>52</v>
      </c>
      <c r="I177" s="123">
        <v>323</v>
      </c>
      <c r="J177" s="123">
        <v>332</v>
      </c>
      <c r="K177" s="123">
        <f t="shared" si="6"/>
        <v>69</v>
      </c>
      <c r="M177" s="123">
        <v>396</v>
      </c>
      <c r="N177" t="b">
        <f t="shared" si="7"/>
        <v>0</v>
      </c>
      <c r="O177" s="123">
        <v>736</v>
      </c>
      <c r="P177" t="b">
        <f t="shared" si="8"/>
        <v>0</v>
      </c>
    </row>
    <row r="178" spans="1:16">
      <c r="A178" s="121">
        <v>177</v>
      </c>
      <c r="B178" s="184" t="s">
        <v>2380</v>
      </c>
      <c r="C178" s="184" t="s">
        <v>2398</v>
      </c>
      <c r="D178" s="122" t="s">
        <v>2291</v>
      </c>
      <c r="E178" s="124">
        <v>42940</v>
      </c>
      <c r="F178" s="124">
        <v>43009</v>
      </c>
      <c r="G178" s="123">
        <v>98</v>
      </c>
      <c r="H178" s="123">
        <v>750</v>
      </c>
      <c r="I178" s="123">
        <v>14</v>
      </c>
      <c r="J178" s="123">
        <v>279</v>
      </c>
      <c r="K178" s="123">
        <f t="shared" si="6"/>
        <v>69</v>
      </c>
      <c r="M178" s="123">
        <v>612</v>
      </c>
      <c r="N178" t="b">
        <f t="shared" si="7"/>
        <v>0</v>
      </c>
      <c r="O178" s="123">
        <v>338</v>
      </c>
      <c r="P178" t="b">
        <f t="shared" si="8"/>
        <v>0</v>
      </c>
    </row>
    <row r="179" spans="1:16">
      <c r="A179" s="121">
        <v>178</v>
      </c>
      <c r="B179" s="184" t="s">
        <v>2380</v>
      </c>
      <c r="C179" s="184" t="s">
        <v>2399</v>
      </c>
      <c r="D179" s="122" t="s">
        <v>2291</v>
      </c>
      <c r="E179" s="124">
        <v>42940</v>
      </c>
      <c r="F179" s="124">
        <v>43009</v>
      </c>
      <c r="G179" s="129">
        <v>353</v>
      </c>
      <c r="H179" s="123">
        <v>612</v>
      </c>
      <c r="I179" s="123">
        <v>410</v>
      </c>
      <c r="J179" s="123">
        <v>718</v>
      </c>
      <c r="K179" s="123">
        <f t="shared" si="6"/>
        <v>69</v>
      </c>
      <c r="M179" s="123">
        <v>183</v>
      </c>
      <c r="N179" t="b">
        <f t="shared" si="7"/>
        <v>0</v>
      </c>
      <c r="O179" s="123">
        <v>52</v>
      </c>
      <c r="P179" t="b">
        <f t="shared" si="8"/>
        <v>0</v>
      </c>
    </row>
    <row r="180" spans="1:16">
      <c r="A180" s="121">
        <v>179</v>
      </c>
      <c r="B180" s="184" t="s">
        <v>2380</v>
      </c>
      <c r="C180" s="184" t="s">
        <v>2400</v>
      </c>
      <c r="D180" s="122" t="s">
        <v>2291</v>
      </c>
      <c r="E180" s="124">
        <v>42940</v>
      </c>
      <c r="F180" s="124">
        <v>43009</v>
      </c>
      <c r="G180" s="123">
        <v>42</v>
      </c>
      <c r="H180" s="123">
        <v>491</v>
      </c>
      <c r="I180" s="123">
        <v>78</v>
      </c>
      <c r="J180" s="123">
        <v>640</v>
      </c>
      <c r="K180" s="123">
        <f t="shared" si="6"/>
        <v>69</v>
      </c>
      <c r="M180" s="123">
        <v>98</v>
      </c>
      <c r="N180" t="b">
        <f t="shared" si="7"/>
        <v>0</v>
      </c>
      <c r="O180" s="123">
        <v>750</v>
      </c>
      <c r="P180" t="b">
        <f t="shared" si="8"/>
        <v>0</v>
      </c>
    </row>
    <row r="181" spans="1:16">
      <c r="A181" s="121">
        <v>180</v>
      </c>
      <c r="B181" s="184" t="s">
        <v>2380</v>
      </c>
      <c r="C181" s="184" t="s">
        <v>2401</v>
      </c>
      <c r="D181" s="122" t="s">
        <v>2291</v>
      </c>
      <c r="E181" s="124">
        <v>42940</v>
      </c>
      <c r="F181" s="124">
        <v>43009</v>
      </c>
      <c r="G181" s="123">
        <v>245</v>
      </c>
      <c r="H181" s="123">
        <v>325</v>
      </c>
      <c r="I181" s="123">
        <v>422</v>
      </c>
      <c r="J181" s="123">
        <v>669</v>
      </c>
      <c r="K181" s="123">
        <f t="shared" si="6"/>
        <v>69</v>
      </c>
      <c r="M181" s="129">
        <v>353</v>
      </c>
      <c r="N181" t="b">
        <f t="shared" si="7"/>
        <v>0</v>
      </c>
      <c r="O181" s="123">
        <v>612</v>
      </c>
      <c r="P181" t="b">
        <f t="shared" si="8"/>
        <v>0</v>
      </c>
    </row>
    <row r="182" spans="1:16">
      <c r="A182" s="121">
        <v>181</v>
      </c>
      <c r="B182" s="184" t="s">
        <v>2380</v>
      </c>
      <c r="C182" s="184" t="s">
        <v>2402</v>
      </c>
      <c r="D182" s="122" t="s">
        <v>2291</v>
      </c>
      <c r="E182" s="124">
        <v>42940</v>
      </c>
      <c r="F182" s="124">
        <v>43009</v>
      </c>
      <c r="G182" s="123">
        <v>411</v>
      </c>
      <c r="H182" s="123">
        <v>116</v>
      </c>
      <c r="I182" s="123">
        <v>870</v>
      </c>
      <c r="J182" s="123">
        <v>170</v>
      </c>
      <c r="K182" s="123">
        <f t="shared" si="6"/>
        <v>69</v>
      </c>
      <c r="M182" s="123">
        <v>42</v>
      </c>
      <c r="N182" t="b">
        <f t="shared" si="7"/>
        <v>0</v>
      </c>
      <c r="O182" s="123">
        <v>491</v>
      </c>
      <c r="P182" t="b">
        <f t="shared" si="8"/>
        <v>0</v>
      </c>
    </row>
    <row r="183" spans="1:16">
      <c r="A183" s="121">
        <v>182</v>
      </c>
      <c r="B183" s="184" t="s">
        <v>2380</v>
      </c>
      <c r="C183" s="184" t="s">
        <v>2403</v>
      </c>
      <c r="D183" s="122" t="s">
        <v>2291</v>
      </c>
      <c r="E183" s="124">
        <v>42940</v>
      </c>
      <c r="F183" s="124">
        <v>43009</v>
      </c>
      <c r="G183" s="123">
        <v>309</v>
      </c>
      <c r="H183" s="123">
        <v>613</v>
      </c>
      <c r="I183" s="123">
        <v>136</v>
      </c>
      <c r="J183" s="123">
        <v>697</v>
      </c>
      <c r="K183" s="123">
        <f t="shared" si="6"/>
        <v>69</v>
      </c>
      <c r="M183" s="123">
        <v>245</v>
      </c>
      <c r="N183" t="b">
        <f t="shared" si="7"/>
        <v>0</v>
      </c>
      <c r="O183" s="123">
        <v>325</v>
      </c>
      <c r="P183" t="b">
        <f t="shared" si="8"/>
        <v>0</v>
      </c>
    </row>
    <row r="184" spans="1:16">
      <c r="A184" s="121">
        <v>183</v>
      </c>
      <c r="B184" s="184" t="s">
        <v>2380</v>
      </c>
      <c r="C184" s="184" t="s">
        <v>2404</v>
      </c>
      <c r="D184" s="122" t="s">
        <v>2291</v>
      </c>
      <c r="E184" s="124" t="s">
        <v>2055</v>
      </c>
      <c r="F184" s="124" t="s">
        <v>2055</v>
      </c>
      <c r="G184" s="124" t="s">
        <v>2055</v>
      </c>
      <c r="H184" s="124" t="s">
        <v>2055</v>
      </c>
      <c r="I184" s="124" t="s">
        <v>2055</v>
      </c>
      <c r="J184" s="124" t="s">
        <v>2055</v>
      </c>
      <c r="K184" s="123" t="str">
        <f t="shared" si="6"/>
        <v/>
      </c>
      <c r="M184" s="123">
        <v>411</v>
      </c>
      <c r="N184" t="b">
        <f t="shared" si="7"/>
        <v>0</v>
      </c>
      <c r="O184" s="123">
        <v>116</v>
      </c>
      <c r="P184" t="b">
        <f t="shared" si="8"/>
        <v>0</v>
      </c>
    </row>
    <row r="185" spans="1:16">
      <c r="A185" s="121">
        <v>184</v>
      </c>
      <c r="B185" s="184" t="s">
        <v>2380</v>
      </c>
      <c r="C185" s="184" t="s">
        <v>2405</v>
      </c>
      <c r="D185" s="122" t="s">
        <v>2291</v>
      </c>
      <c r="E185" s="124">
        <v>42940</v>
      </c>
      <c r="F185" s="124">
        <v>43009</v>
      </c>
      <c r="G185" s="123">
        <v>235</v>
      </c>
      <c r="H185" s="129">
        <v>179</v>
      </c>
      <c r="I185" s="123">
        <v>266</v>
      </c>
      <c r="J185" s="123">
        <v>674</v>
      </c>
      <c r="K185" s="123">
        <f t="shared" si="6"/>
        <v>69</v>
      </c>
      <c r="M185" s="123">
        <v>309</v>
      </c>
      <c r="N185" t="b">
        <f t="shared" si="7"/>
        <v>0</v>
      </c>
      <c r="O185" s="123">
        <v>613</v>
      </c>
      <c r="P185" t="b">
        <f t="shared" si="8"/>
        <v>0</v>
      </c>
    </row>
    <row r="186" spans="1:16">
      <c r="A186" s="121">
        <v>185</v>
      </c>
      <c r="B186" s="184" t="s">
        <v>2380</v>
      </c>
      <c r="C186" s="184" t="s">
        <v>2407</v>
      </c>
      <c r="D186" s="122" t="s">
        <v>2301</v>
      </c>
      <c r="E186" s="124">
        <v>42940</v>
      </c>
      <c r="F186" s="124">
        <v>43009</v>
      </c>
      <c r="G186" s="123">
        <v>369</v>
      </c>
      <c r="H186" s="123">
        <v>300</v>
      </c>
      <c r="I186" s="123">
        <v>165</v>
      </c>
      <c r="J186" s="123">
        <v>607</v>
      </c>
      <c r="K186" s="123">
        <f t="shared" si="6"/>
        <v>69</v>
      </c>
      <c r="M186" s="124" t="s">
        <v>2055</v>
      </c>
      <c r="N186" t="b">
        <f t="shared" si="7"/>
        <v>1</v>
      </c>
      <c r="O186" s="124" t="s">
        <v>2055</v>
      </c>
      <c r="P186" t="b">
        <f t="shared" si="8"/>
        <v>1</v>
      </c>
    </row>
    <row r="187" spans="1:16">
      <c r="A187" s="121">
        <v>186</v>
      </c>
      <c r="B187" s="184" t="s">
        <v>2380</v>
      </c>
      <c r="C187" s="184" t="s">
        <v>2408</v>
      </c>
      <c r="D187" s="122" t="s">
        <v>2301</v>
      </c>
      <c r="E187" s="124">
        <v>42940</v>
      </c>
      <c r="F187" s="124">
        <v>43009</v>
      </c>
      <c r="G187" s="123">
        <v>295</v>
      </c>
      <c r="H187" s="123">
        <v>717</v>
      </c>
      <c r="I187" s="123">
        <v>22</v>
      </c>
      <c r="J187" s="123">
        <v>629</v>
      </c>
      <c r="K187" s="123">
        <f t="shared" si="6"/>
        <v>69</v>
      </c>
      <c r="M187" s="123">
        <v>235</v>
      </c>
      <c r="N187" t="b">
        <f t="shared" si="7"/>
        <v>0</v>
      </c>
      <c r="O187" s="129">
        <v>179</v>
      </c>
      <c r="P187" t="b">
        <f t="shared" si="8"/>
        <v>0</v>
      </c>
    </row>
    <row r="188" spans="1:16">
      <c r="A188" s="121">
        <v>187</v>
      </c>
      <c r="B188" s="184" t="s">
        <v>2380</v>
      </c>
      <c r="C188" s="184" t="s">
        <v>2409</v>
      </c>
      <c r="D188" s="122" t="s">
        <v>2301</v>
      </c>
      <c r="E188" s="124">
        <v>42940</v>
      </c>
      <c r="F188" s="124">
        <v>43009</v>
      </c>
      <c r="G188" s="123">
        <v>242</v>
      </c>
      <c r="H188" s="123">
        <v>759</v>
      </c>
      <c r="I188" s="123">
        <v>371</v>
      </c>
      <c r="J188" s="123">
        <v>679</v>
      </c>
      <c r="K188" s="123">
        <f t="shared" si="6"/>
        <v>69</v>
      </c>
      <c r="M188" s="123">
        <v>369</v>
      </c>
      <c r="N188" t="b">
        <f t="shared" si="7"/>
        <v>0</v>
      </c>
      <c r="O188" s="123">
        <v>300</v>
      </c>
      <c r="P188" t="b">
        <f t="shared" si="8"/>
        <v>0</v>
      </c>
    </row>
    <row r="189" spans="1:16">
      <c r="A189" s="121">
        <v>188</v>
      </c>
      <c r="B189" s="184" t="s">
        <v>2380</v>
      </c>
      <c r="C189" s="184" t="s">
        <v>2410</v>
      </c>
      <c r="D189" s="122" t="s">
        <v>2301</v>
      </c>
      <c r="E189" s="124">
        <v>42940</v>
      </c>
      <c r="F189" s="124">
        <v>43009</v>
      </c>
      <c r="G189" s="123">
        <v>146</v>
      </c>
      <c r="H189" s="123">
        <v>357</v>
      </c>
      <c r="I189" s="123">
        <v>185</v>
      </c>
      <c r="J189" s="123">
        <v>682</v>
      </c>
      <c r="K189" s="123">
        <f t="shared" si="6"/>
        <v>69</v>
      </c>
      <c r="M189" s="123">
        <v>295</v>
      </c>
      <c r="N189" t="b">
        <f t="shared" si="7"/>
        <v>0</v>
      </c>
      <c r="O189" s="123">
        <v>717</v>
      </c>
      <c r="P189" t="b">
        <f t="shared" si="8"/>
        <v>0</v>
      </c>
    </row>
    <row r="190" spans="1:16">
      <c r="A190" s="121">
        <v>189</v>
      </c>
      <c r="B190" s="184" t="s">
        <v>2380</v>
      </c>
      <c r="C190" s="184" t="s">
        <v>2412</v>
      </c>
      <c r="D190" s="122" t="s">
        <v>2301</v>
      </c>
      <c r="E190" s="124">
        <v>42940</v>
      </c>
      <c r="F190" s="124">
        <v>43009</v>
      </c>
      <c r="G190" s="129">
        <v>144</v>
      </c>
      <c r="H190" s="123">
        <v>18</v>
      </c>
      <c r="I190" s="123">
        <v>301</v>
      </c>
      <c r="J190" s="123">
        <v>693</v>
      </c>
      <c r="K190" s="123">
        <f t="shared" si="6"/>
        <v>69</v>
      </c>
      <c r="M190" s="123">
        <v>242</v>
      </c>
      <c r="N190" t="b">
        <f t="shared" si="7"/>
        <v>0</v>
      </c>
      <c r="O190" s="123">
        <v>759</v>
      </c>
      <c r="P190" t="b">
        <f t="shared" si="8"/>
        <v>0</v>
      </c>
    </row>
    <row r="191" spans="1:16">
      <c r="A191" s="121">
        <v>190</v>
      </c>
      <c r="B191" s="184" t="s">
        <v>2380</v>
      </c>
      <c r="C191" s="184" t="s">
        <v>2413</v>
      </c>
      <c r="D191" s="122" t="s">
        <v>2301</v>
      </c>
      <c r="E191" s="124">
        <v>42940</v>
      </c>
      <c r="F191" s="124">
        <v>43009</v>
      </c>
      <c r="G191" s="123">
        <v>171</v>
      </c>
      <c r="H191" s="123">
        <v>397</v>
      </c>
      <c r="I191" s="123">
        <v>466</v>
      </c>
      <c r="J191" s="123">
        <v>605</v>
      </c>
      <c r="K191" s="123">
        <f t="shared" si="6"/>
        <v>69</v>
      </c>
      <c r="M191" s="123">
        <v>146</v>
      </c>
      <c r="N191" t="b">
        <f t="shared" si="7"/>
        <v>0</v>
      </c>
      <c r="O191" s="123">
        <v>357</v>
      </c>
      <c r="P191" t="b">
        <f t="shared" si="8"/>
        <v>0</v>
      </c>
    </row>
    <row r="192" spans="1:16">
      <c r="A192" s="121">
        <v>191</v>
      </c>
      <c r="B192" s="184" t="s">
        <v>2380</v>
      </c>
      <c r="C192" s="184" t="s">
        <v>2414</v>
      </c>
      <c r="D192" s="122" t="s">
        <v>2301</v>
      </c>
      <c r="E192" s="124">
        <v>42940</v>
      </c>
      <c r="F192" s="124">
        <v>43009</v>
      </c>
      <c r="G192" s="123">
        <v>232</v>
      </c>
      <c r="H192" s="123">
        <v>715</v>
      </c>
      <c r="I192" s="123">
        <v>32</v>
      </c>
      <c r="J192" s="123">
        <v>240</v>
      </c>
      <c r="K192" s="123">
        <f t="shared" si="6"/>
        <v>69</v>
      </c>
      <c r="M192" s="129">
        <v>144</v>
      </c>
      <c r="N192" t="b">
        <f t="shared" si="7"/>
        <v>0</v>
      </c>
      <c r="O192" s="123">
        <v>18</v>
      </c>
      <c r="P192" t="b">
        <f t="shared" si="8"/>
        <v>0</v>
      </c>
    </row>
    <row r="193" spans="1:16">
      <c r="A193" s="121">
        <v>192</v>
      </c>
      <c r="B193" s="184" t="s">
        <v>2380</v>
      </c>
      <c r="C193" s="184" t="s">
        <v>2415</v>
      </c>
      <c r="D193" s="122" t="s">
        <v>2301</v>
      </c>
      <c r="E193" s="123" t="s">
        <v>2055</v>
      </c>
      <c r="F193" s="123" t="s">
        <v>2055</v>
      </c>
      <c r="G193" s="123" t="s">
        <v>2055</v>
      </c>
      <c r="H193" s="123" t="s">
        <v>2055</v>
      </c>
      <c r="I193" s="123" t="s">
        <v>2055</v>
      </c>
      <c r="J193" s="123" t="s">
        <v>2055</v>
      </c>
      <c r="K193" s="123" t="str">
        <f t="shared" si="6"/>
        <v/>
      </c>
      <c r="M193" s="123">
        <v>171</v>
      </c>
      <c r="N193" t="b">
        <f t="shared" si="7"/>
        <v>0</v>
      </c>
      <c r="O193" s="123">
        <v>397</v>
      </c>
      <c r="P193" t="b">
        <f t="shared" si="8"/>
        <v>0</v>
      </c>
    </row>
    <row r="194" spans="1:16">
      <c r="A194" s="188">
        <v>193</v>
      </c>
      <c r="B194" s="189" t="s">
        <v>2171</v>
      </c>
      <c r="C194" s="189" t="s">
        <v>2440</v>
      </c>
      <c r="D194" s="122">
        <v>3</v>
      </c>
      <c r="E194" s="124">
        <v>42942</v>
      </c>
      <c r="F194" s="124">
        <v>43004</v>
      </c>
      <c r="G194" s="123">
        <v>257</v>
      </c>
      <c r="H194" s="123">
        <v>695</v>
      </c>
      <c r="I194" s="123">
        <v>45</v>
      </c>
      <c r="J194" s="123">
        <v>623</v>
      </c>
      <c r="K194" s="123">
        <f t="shared" si="6"/>
        <v>62</v>
      </c>
      <c r="M194" s="123">
        <v>232</v>
      </c>
      <c r="N194" t="b">
        <f t="shared" si="7"/>
        <v>0</v>
      </c>
      <c r="O194" s="123">
        <v>715</v>
      </c>
      <c r="P194" t="b">
        <f t="shared" si="8"/>
        <v>0</v>
      </c>
    </row>
    <row r="195" spans="1:16">
      <c r="A195" s="188">
        <v>194</v>
      </c>
      <c r="B195" s="189" t="s">
        <v>2171</v>
      </c>
      <c r="C195" s="189" t="s">
        <v>2433</v>
      </c>
      <c r="D195" s="133">
        <v>6</v>
      </c>
      <c r="E195" s="124">
        <v>42942</v>
      </c>
      <c r="F195" s="124">
        <v>43004</v>
      </c>
      <c r="G195" s="123">
        <v>148</v>
      </c>
      <c r="H195" s="123">
        <v>653</v>
      </c>
      <c r="I195" s="123">
        <v>90</v>
      </c>
      <c r="J195" s="123">
        <v>611</v>
      </c>
      <c r="K195" s="123">
        <f t="shared" ref="K195:K221" si="9">IFERROR(F195-E195,"")</f>
        <v>62</v>
      </c>
      <c r="M195" s="123" t="s">
        <v>2055</v>
      </c>
      <c r="N195" t="b">
        <f t="shared" si="7"/>
        <v>1</v>
      </c>
      <c r="O195" s="123" t="s">
        <v>2055</v>
      </c>
      <c r="P195" t="b">
        <f t="shared" si="8"/>
        <v>1</v>
      </c>
    </row>
    <row r="196" spans="1:16">
      <c r="A196" s="188">
        <v>195</v>
      </c>
      <c r="B196" s="189" t="s">
        <v>2171</v>
      </c>
      <c r="C196" s="189" t="s">
        <v>2425</v>
      </c>
      <c r="D196" s="133">
        <v>4</v>
      </c>
      <c r="E196" s="124">
        <v>42942</v>
      </c>
      <c r="F196" s="124">
        <v>43004</v>
      </c>
      <c r="G196" s="123">
        <v>105</v>
      </c>
      <c r="H196" s="123">
        <v>389</v>
      </c>
      <c r="I196" s="123">
        <v>338</v>
      </c>
      <c r="J196" s="123">
        <v>645</v>
      </c>
      <c r="K196" s="123">
        <f t="shared" si="9"/>
        <v>62</v>
      </c>
      <c r="M196" s="123">
        <v>257</v>
      </c>
      <c r="N196" t="b">
        <f t="shared" ref="N196:N259" si="10">COUNTIF($M$4:$M$443, M196)&gt;1</f>
        <v>0</v>
      </c>
      <c r="O196" s="123">
        <v>695</v>
      </c>
      <c r="P196" t="b">
        <f t="shared" si="8"/>
        <v>0</v>
      </c>
    </row>
    <row r="197" spans="1:16">
      <c r="A197" s="188">
        <v>196</v>
      </c>
      <c r="B197" s="189" t="s">
        <v>2171</v>
      </c>
      <c r="C197" s="184" t="s">
        <v>2416</v>
      </c>
      <c r="D197" s="133">
        <v>4</v>
      </c>
      <c r="E197" s="124">
        <v>42942</v>
      </c>
      <c r="F197" s="124">
        <v>43004</v>
      </c>
      <c r="G197" s="123">
        <v>12</v>
      </c>
      <c r="H197" s="123">
        <v>455</v>
      </c>
      <c r="I197" s="123">
        <v>243</v>
      </c>
      <c r="J197" s="123">
        <v>709</v>
      </c>
      <c r="K197" s="123">
        <f t="shared" si="9"/>
        <v>62</v>
      </c>
      <c r="M197" s="123">
        <v>148</v>
      </c>
      <c r="N197" t="b">
        <f t="shared" si="10"/>
        <v>0</v>
      </c>
      <c r="O197" s="123">
        <v>653</v>
      </c>
      <c r="P197" t="b">
        <f t="shared" ref="P197:P260" si="11">COUNTIF($O$4:$O$443, O197)&gt;1</f>
        <v>0</v>
      </c>
    </row>
    <row r="198" spans="1:16">
      <c r="A198" s="188">
        <v>197</v>
      </c>
      <c r="B198" s="189" t="s">
        <v>2171</v>
      </c>
      <c r="C198" s="189" t="s">
        <v>2426</v>
      </c>
      <c r="D198" s="133">
        <v>1</v>
      </c>
      <c r="E198" s="124">
        <v>42942</v>
      </c>
      <c r="F198" s="124">
        <v>43004</v>
      </c>
      <c r="G198" s="123">
        <v>399</v>
      </c>
      <c r="H198" s="123">
        <v>692</v>
      </c>
      <c r="I198" s="123">
        <v>254</v>
      </c>
      <c r="J198" s="123">
        <v>131</v>
      </c>
      <c r="K198" s="123">
        <f t="shared" si="9"/>
        <v>62</v>
      </c>
      <c r="M198" s="123">
        <v>105</v>
      </c>
      <c r="N198" t="b">
        <f t="shared" si="10"/>
        <v>0</v>
      </c>
      <c r="O198" s="123">
        <v>389</v>
      </c>
      <c r="P198" t="b">
        <f t="shared" si="11"/>
        <v>0</v>
      </c>
    </row>
    <row r="199" spans="1:16">
      <c r="A199" s="188">
        <v>198</v>
      </c>
      <c r="B199" s="189" t="s">
        <v>2171</v>
      </c>
      <c r="C199" s="189" t="s">
        <v>2434</v>
      </c>
      <c r="D199" s="133">
        <v>2</v>
      </c>
      <c r="E199" s="124">
        <v>42942</v>
      </c>
      <c r="F199" s="124">
        <v>43004</v>
      </c>
      <c r="G199" s="123">
        <v>27</v>
      </c>
      <c r="H199" s="123">
        <v>352</v>
      </c>
      <c r="I199" s="123">
        <v>780</v>
      </c>
      <c r="J199" s="123">
        <v>711</v>
      </c>
      <c r="K199" s="123">
        <f t="shared" si="9"/>
        <v>62</v>
      </c>
      <c r="M199" s="123">
        <v>12</v>
      </c>
      <c r="N199" t="b">
        <f t="shared" si="10"/>
        <v>0</v>
      </c>
      <c r="O199" s="123">
        <v>455</v>
      </c>
      <c r="P199" t="b">
        <f t="shared" si="11"/>
        <v>0</v>
      </c>
    </row>
    <row r="200" spans="1:16">
      <c r="A200" s="188">
        <v>199</v>
      </c>
      <c r="B200" s="189" t="s">
        <v>2171</v>
      </c>
      <c r="C200" s="189" t="s">
        <v>2418</v>
      </c>
      <c r="D200" s="190">
        <v>1</v>
      </c>
      <c r="E200" s="124">
        <v>42942</v>
      </c>
      <c r="F200" s="124">
        <v>43004</v>
      </c>
      <c r="G200" s="123">
        <v>224</v>
      </c>
      <c r="H200" s="123">
        <v>327</v>
      </c>
      <c r="I200" s="123">
        <v>182</v>
      </c>
      <c r="J200" s="123">
        <v>236</v>
      </c>
      <c r="K200" s="123">
        <f t="shared" si="9"/>
        <v>62</v>
      </c>
      <c r="M200" s="123">
        <v>399</v>
      </c>
      <c r="N200" t="b">
        <f t="shared" si="10"/>
        <v>0</v>
      </c>
      <c r="O200" s="123">
        <v>692</v>
      </c>
      <c r="P200" t="b">
        <f t="shared" si="11"/>
        <v>0</v>
      </c>
    </row>
    <row r="201" spans="1:16">
      <c r="A201" s="188">
        <v>200</v>
      </c>
      <c r="B201" s="189" t="s">
        <v>2171</v>
      </c>
      <c r="C201" s="189" t="s">
        <v>2441</v>
      </c>
      <c r="D201" s="133">
        <v>7</v>
      </c>
      <c r="E201" s="124">
        <v>42942</v>
      </c>
      <c r="F201" s="124">
        <v>43004</v>
      </c>
      <c r="G201" s="123">
        <v>158</v>
      </c>
      <c r="H201" s="123">
        <v>75</v>
      </c>
      <c r="I201" s="123">
        <v>186</v>
      </c>
      <c r="J201" s="123">
        <v>205</v>
      </c>
      <c r="K201" s="123">
        <f t="shared" si="9"/>
        <v>62</v>
      </c>
      <c r="M201" s="123">
        <v>27</v>
      </c>
      <c r="N201" t="b">
        <f t="shared" si="10"/>
        <v>0</v>
      </c>
      <c r="O201" s="123">
        <v>352</v>
      </c>
      <c r="P201" t="b">
        <f t="shared" si="11"/>
        <v>0</v>
      </c>
    </row>
    <row r="202" spans="1:16">
      <c r="A202" s="188">
        <v>201</v>
      </c>
      <c r="B202" s="189" t="s">
        <v>2271</v>
      </c>
      <c r="C202" s="189" t="s">
        <v>2442</v>
      </c>
      <c r="D202" s="133">
        <v>5</v>
      </c>
      <c r="E202" s="124">
        <v>42942</v>
      </c>
      <c r="F202" s="124">
        <v>43004</v>
      </c>
      <c r="G202" s="123">
        <v>211</v>
      </c>
      <c r="H202" s="123">
        <v>36</v>
      </c>
      <c r="I202" s="123">
        <v>315</v>
      </c>
      <c r="J202" s="123">
        <v>665</v>
      </c>
      <c r="K202" s="123">
        <f t="shared" si="9"/>
        <v>62</v>
      </c>
      <c r="M202" s="123">
        <v>224</v>
      </c>
      <c r="N202" t="b">
        <f t="shared" si="10"/>
        <v>0</v>
      </c>
      <c r="O202" s="123">
        <v>327</v>
      </c>
      <c r="P202" t="b">
        <f t="shared" si="11"/>
        <v>0</v>
      </c>
    </row>
    <row r="203" spans="1:16">
      <c r="A203" s="188">
        <v>202</v>
      </c>
      <c r="B203" s="189" t="s">
        <v>2271</v>
      </c>
      <c r="C203" s="189" t="s">
        <v>2419</v>
      </c>
      <c r="D203" s="133">
        <v>5</v>
      </c>
      <c r="E203" s="124">
        <v>42942</v>
      </c>
      <c r="F203" s="124">
        <v>43004</v>
      </c>
      <c r="G203" s="123">
        <v>181</v>
      </c>
      <c r="H203" s="123">
        <v>676</v>
      </c>
      <c r="I203" s="123">
        <v>147</v>
      </c>
      <c r="J203" s="123">
        <v>224</v>
      </c>
      <c r="K203" s="123">
        <f t="shared" si="9"/>
        <v>62</v>
      </c>
      <c r="M203" s="123">
        <v>158</v>
      </c>
      <c r="N203" t="b">
        <f t="shared" si="10"/>
        <v>0</v>
      </c>
      <c r="O203" s="123">
        <v>75</v>
      </c>
      <c r="P203" t="b">
        <f t="shared" si="11"/>
        <v>0</v>
      </c>
    </row>
    <row r="204" spans="1:16">
      <c r="A204" s="188">
        <v>203</v>
      </c>
      <c r="B204" s="189" t="s">
        <v>2271</v>
      </c>
      <c r="C204" s="189" t="s">
        <v>2428</v>
      </c>
      <c r="D204" s="133">
        <v>7</v>
      </c>
      <c r="E204" s="124">
        <v>42942</v>
      </c>
      <c r="F204" s="124">
        <v>43004</v>
      </c>
      <c r="G204" s="123">
        <v>179</v>
      </c>
      <c r="H204" s="123">
        <v>685</v>
      </c>
      <c r="I204" s="123">
        <v>168</v>
      </c>
      <c r="J204" s="123">
        <v>621</v>
      </c>
      <c r="K204" s="123">
        <f t="shared" si="9"/>
        <v>62</v>
      </c>
      <c r="M204" s="123">
        <v>211</v>
      </c>
      <c r="N204" t="b">
        <f t="shared" si="10"/>
        <v>0</v>
      </c>
      <c r="O204" s="123">
        <v>36</v>
      </c>
      <c r="P204" t="b">
        <f t="shared" si="11"/>
        <v>0</v>
      </c>
    </row>
    <row r="205" spans="1:16">
      <c r="A205" s="188">
        <v>204</v>
      </c>
      <c r="B205" s="189" t="s">
        <v>2271</v>
      </c>
      <c r="C205" s="189" t="s">
        <v>2435</v>
      </c>
      <c r="D205" s="133">
        <v>4</v>
      </c>
      <c r="E205" s="124">
        <v>42942</v>
      </c>
      <c r="F205" s="124">
        <v>43004</v>
      </c>
      <c r="G205" s="123">
        <v>248</v>
      </c>
      <c r="H205" s="123">
        <v>254</v>
      </c>
      <c r="I205" s="123">
        <v>672</v>
      </c>
      <c r="J205" s="123">
        <v>208</v>
      </c>
      <c r="K205" s="123">
        <f t="shared" si="9"/>
        <v>62</v>
      </c>
      <c r="M205" s="123">
        <v>181</v>
      </c>
      <c r="N205" t="b">
        <f t="shared" si="10"/>
        <v>0</v>
      </c>
      <c r="O205" s="123">
        <v>676</v>
      </c>
      <c r="P205" t="b">
        <f t="shared" si="11"/>
        <v>0</v>
      </c>
    </row>
    <row r="206" spans="1:16">
      <c r="A206" s="188">
        <v>205</v>
      </c>
      <c r="B206" s="189" t="s">
        <v>2309</v>
      </c>
      <c r="C206" s="189" t="s">
        <v>2429</v>
      </c>
      <c r="D206" s="133">
        <v>6</v>
      </c>
      <c r="E206" s="124">
        <v>42942</v>
      </c>
      <c r="F206" s="124">
        <v>43004</v>
      </c>
      <c r="G206" s="123">
        <v>55</v>
      </c>
      <c r="H206" s="123">
        <v>348</v>
      </c>
      <c r="I206" s="123">
        <v>173</v>
      </c>
      <c r="J206" s="123">
        <v>637</v>
      </c>
      <c r="K206" s="123">
        <f t="shared" si="9"/>
        <v>62</v>
      </c>
      <c r="M206" s="123">
        <v>179</v>
      </c>
      <c r="N206" t="b">
        <f t="shared" si="10"/>
        <v>0</v>
      </c>
      <c r="O206" s="123">
        <v>685</v>
      </c>
      <c r="P206" t="b">
        <f t="shared" si="11"/>
        <v>0</v>
      </c>
    </row>
    <row r="207" spans="1:16">
      <c r="A207" s="188">
        <v>206</v>
      </c>
      <c r="B207" s="189" t="s">
        <v>2309</v>
      </c>
      <c r="C207" s="189" t="s">
        <v>2420</v>
      </c>
      <c r="D207" s="133">
        <v>3</v>
      </c>
      <c r="E207" s="124">
        <v>42942</v>
      </c>
      <c r="F207" s="124">
        <v>43004</v>
      </c>
      <c r="G207" s="123">
        <v>124</v>
      </c>
      <c r="H207" s="123">
        <v>686</v>
      </c>
      <c r="I207" s="123">
        <v>262</v>
      </c>
      <c r="J207" s="123">
        <v>284</v>
      </c>
      <c r="K207" s="123">
        <f t="shared" si="9"/>
        <v>62</v>
      </c>
      <c r="M207" s="123">
        <v>248</v>
      </c>
      <c r="N207" t="b">
        <f t="shared" si="10"/>
        <v>0</v>
      </c>
      <c r="O207" s="123">
        <v>254</v>
      </c>
      <c r="P207" t="b">
        <f t="shared" si="11"/>
        <v>0</v>
      </c>
    </row>
    <row r="208" spans="1:16">
      <c r="A208" s="188">
        <v>207</v>
      </c>
      <c r="B208" s="189" t="s">
        <v>2309</v>
      </c>
      <c r="C208" s="189" t="s">
        <v>2443</v>
      </c>
      <c r="D208" s="133">
        <v>1</v>
      </c>
      <c r="E208" s="124">
        <v>42942</v>
      </c>
      <c r="F208" s="124">
        <v>43004</v>
      </c>
      <c r="G208" s="123">
        <v>234</v>
      </c>
      <c r="H208" s="123">
        <v>551</v>
      </c>
      <c r="I208" s="123">
        <v>230</v>
      </c>
      <c r="J208" s="123">
        <v>604</v>
      </c>
      <c r="K208" s="123">
        <f t="shared" si="9"/>
        <v>62</v>
      </c>
      <c r="M208" s="123">
        <v>55</v>
      </c>
      <c r="N208" t="b">
        <f t="shared" si="10"/>
        <v>0</v>
      </c>
      <c r="O208" s="123">
        <v>348</v>
      </c>
      <c r="P208" t="b">
        <f t="shared" si="11"/>
        <v>0</v>
      </c>
    </row>
    <row r="209" spans="1:16">
      <c r="A209" s="188">
        <v>208</v>
      </c>
      <c r="B209" s="189" t="s">
        <v>2309</v>
      </c>
      <c r="C209" s="189" t="s">
        <v>2436</v>
      </c>
      <c r="D209" s="133">
        <v>3</v>
      </c>
      <c r="E209" s="124">
        <v>42942</v>
      </c>
      <c r="F209" s="124">
        <v>43004</v>
      </c>
      <c r="G209" s="123">
        <v>412</v>
      </c>
      <c r="H209" s="144">
        <v>516</v>
      </c>
      <c r="I209" s="144">
        <v>140</v>
      </c>
      <c r="J209" s="123">
        <v>625</v>
      </c>
      <c r="K209" s="123">
        <f t="shared" si="9"/>
        <v>62</v>
      </c>
      <c r="M209" s="123">
        <v>124</v>
      </c>
      <c r="N209" t="b">
        <f t="shared" si="10"/>
        <v>0</v>
      </c>
      <c r="O209" s="123">
        <v>686</v>
      </c>
      <c r="P209" t="b">
        <f t="shared" si="11"/>
        <v>0</v>
      </c>
    </row>
    <row r="210" spans="1:16">
      <c r="A210" s="188">
        <v>209</v>
      </c>
      <c r="B210" s="189" t="s">
        <v>2309</v>
      </c>
      <c r="C210" s="189" t="s">
        <v>2430</v>
      </c>
      <c r="D210" s="133">
        <v>3</v>
      </c>
      <c r="E210" s="124">
        <v>42942</v>
      </c>
      <c r="F210" s="124">
        <v>43004</v>
      </c>
      <c r="G210" s="123">
        <v>94</v>
      </c>
      <c r="H210" s="123">
        <v>678</v>
      </c>
      <c r="I210" s="123">
        <v>92</v>
      </c>
      <c r="J210" s="123">
        <v>647</v>
      </c>
      <c r="K210" s="123">
        <f t="shared" si="9"/>
        <v>62</v>
      </c>
      <c r="M210" s="123">
        <v>234</v>
      </c>
      <c r="N210" t="b">
        <f t="shared" si="10"/>
        <v>0</v>
      </c>
      <c r="O210" s="123">
        <v>551</v>
      </c>
      <c r="P210" t="b">
        <f t="shared" si="11"/>
        <v>0</v>
      </c>
    </row>
    <row r="211" spans="1:16">
      <c r="A211" s="188">
        <v>210</v>
      </c>
      <c r="B211" s="189" t="s">
        <v>2309</v>
      </c>
      <c r="C211" s="189" t="s">
        <v>2444</v>
      </c>
      <c r="D211" s="133">
        <v>2</v>
      </c>
      <c r="E211" s="124">
        <v>42942</v>
      </c>
      <c r="F211" s="124">
        <v>43004</v>
      </c>
      <c r="G211" s="123">
        <v>93</v>
      </c>
      <c r="H211" s="123">
        <v>335</v>
      </c>
      <c r="I211" s="123">
        <v>36</v>
      </c>
      <c r="J211" s="123">
        <v>599</v>
      </c>
      <c r="K211" s="123">
        <f t="shared" si="9"/>
        <v>62</v>
      </c>
      <c r="M211" s="123">
        <v>412</v>
      </c>
      <c r="N211" t="b">
        <f t="shared" si="10"/>
        <v>0</v>
      </c>
      <c r="O211" s="144">
        <v>516</v>
      </c>
      <c r="P211" t="b">
        <f t="shared" si="11"/>
        <v>0</v>
      </c>
    </row>
    <row r="212" spans="1:16">
      <c r="A212" s="188">
        <v>211</v>
      </c>
      <c r="B212" s="189" t="s">
        <v>2309</v>
      </c>
      <c r="C212" s="189" t="s">
        <v>2421</v>
      </c>
      <c r="D212" s="133">
        <v>2</v>
      </c>
      <c r="E212" s="124">
        <v>42942</v>
      </c>
      <c r="F212" s="124">
        <v>43004</v>
      </c>
      <c r="G212" s="123">
        <v>26</v>
      </c>
      <c r="H212" s="123">
        <v>249</v>
      </c>
      <c r="I212" s="123">
        <v>434</v>
      </c>
      <c r="J212" s="123">
        <v>670</v>
      </c>
      <c r="K212" s="123">
        <f t="shared" si="9"/>
        <v>62</v>
      </c>
      <c r="M212" s="123">
        <v>94</v>
      </c>
      <c r="N212" t="b">
        <f t="shared" si="10"/>
        <v>0</v>
      </c>
      <c r="O212" s="123">
        <v>678</v>
      </c>
      <c r="P212" t="b">
        <f t="shared" si="11"/>
        <v>0</v>
      </c>
    </row>
    <row r="213" spans="1:16">
      <c r="A213" s="188">
        <v>211</v>
      </c>
      <c r="B213" s="189" t="s">
        <v>2309</v>
      </c>
      <c r="C213" s="189" t="s">
        <v>2421</v>
      </c>
      <c r="D213" s="133">
        <v>7</v>
      </c>
      <c r="E213" s="124">
        <v>42942</v>
      </c>
      <c r="F213" s="124">
        <v>43004</v>
      </c>
      <c r="G213" s="123">
        <v>169</v>
      </c>
      <c r="H213" s="123">
        <v>627</v>
      </c>
      <c r="I213" s="191">
        <v>56</v>
      </c>
      <c r="J213" s="123">
        <v>256</v>
      </c>
      <c r="K213" s="123">
        <f t="shared" si="9"/>
        <v>62</v>
      </c>
      <c r="M213" s="123">
        <v>93</v>
      </c>
      <c r="N213" t="b">
        <f t="shared" si="10"/>
        <v>0</v>
      </c>
      <c r="O213" s="123">
        <v>335</v>
      </c>
      <c r="P213" t="b">
        <f t="shared" si="11"/>
        <v>0</v>
      </c>
    </row>
    <row r="214" spans="1:16">
      <c r="A214" s="188">
        <v>212</v>
      </c>
      <c r="B214" s="189" t="s">
        <v>2309</v>
      </c>
      <c r="C214" s="189" t="s">
        <v>2437</v>
      </c>
      <c r="D214" s="133">
        <v>5</v>
      </c>
      <c r="E214" s="124">
        <v>42942</v>
      </c>
      <c r="F214" s="124">
        <v>43004</v>
      </c>
      <c r="G214" s="123">
        <v>68</v>
      </c>
      <c r="H214" s="123">
        <v>803</v>
      </c>
      <c r="I214" s="123">
        <v>365</v>
      </c>
      <c r="J214" s="123">
        <v>658</v>
      </c>
      <c r="K214" s="123">
        <f t="shared" si="9"/>
        <v>62</v>
      </c>
      <c r="M214" s="123">
        <v>26</v>
      </c>
      <c r="N214" t="b">
        <f t="shared" si="10"/>
        <v>0</v>
      </c>
      <c r="O214" s="123">
        <v>249</v>
      </c>
      <c r="P214" t="b">
        <f t="shared" si="11"/>
        <v>0</v>
      </c>
    </row>
    <row r="215" spans="1:16">
      <c r="A215" s="188">
        <v>213</v>
      </c>
      <c r="B215" s="189" t="s">
        <v>2380</v>
      </c>
      <c r="C215" s="189" t="s">
        <v>2445</v>
      </c>
      <c r="D215" s="133">
        <v>6</v>
      </c>
      <c r="E215" s="124">
        <v>42942</v>
      </c>
      <c r="F215" s="124">
        <v>43004</v>
      </c>
      <c r="G215" s="123">
        <v>143</v>
      </c>
      <c r="H215" s="123">
        <v>321</v>
      </c>
      <c r="I215" s="123">
        <v>5</v>
      </c>
      <c r="J215" s="123">
        <v>699</v>
      </c>
      <c r="K215" s="123">
        <f t="shared" si="9"/>
        <v>62</v>
      </c>
      <c r="M215" s="123">
        <v>169</v>
      </c>
      <c r="N215" t="b">
        <f t="shared" si="10"/>
        <v>0</v>
      </c>
      <c r="O215" s="123">
        <v>627</v>
      </c>
      <c r="P215" t="b">
        <f t="shared" si="11"/>
        <v>0</v>
      </c>
    </row>
    <row r="216" spans="1:16">
      <c r="A216" s="188">
        <v>214</v>
      </c>
      <c r="B216" s="189" t="s">
        <v>2380</v>
      </c>
      <c r="C216" s="189" t="s">
        <v>2438</v>
      </c>
      <c r="D216" s="133">
        <v>7</v>
      </c>
      <c r="E216" s="124">
        <v>42942</v>
      </c>
      <c r="F216" s="124">
        <v>43004</v>
      </c>
      <c r="G216" s="123">
        <v>128</v>
      </c>
      <c r="H216" s="123">
        <v>771</v>
      </c>
      <c r="I216" s="123">
        <v>677</v>
      </c>
      <c r="J216" s="123">
        <v>663</v>
      </c>
      <c r="K216" s="123">
        <f t="shared" si="9"/>
        <v>62</v>
      </c>
      <c r="M216" s="123">
        <v>68</v>
      </c>
      <c r="N216" t="b">
        <f t="shared" si="10"/>
        <v>0</v>
      </c>
      <c r="O216" s="123">
        <v>803</v>
      </c>
      <c r="P216" t="b">
        <f t="shared" si="11"/>
        <v>0</v>
      </c>
    </row>
    <row r="217" spans="1:16">
      <c r="A217" s="188">
        <v>216</v>
      </c>
      <c r="B217" s="189" t="s">
        <v>2380</v>
      </c>
      <c r="C217" s="189" t="s">
        <v>2431</v>
      </c>
      <c r="D217" s="133">
        <v>2</v>
      </c>
      <c r="E217" s="124">
        <v>42942</v>
      </c>
      <c r="F217" s="124">
        <v>43004</v>
      </c>
      <c r="G217" s="123">
        <v>95</v>
      </c>
      <c r="H217" s="123">
        <v>379</v>
      </c>
      <c r="I217" s="123">
        <v>361</v>
      </c>
      <c r="J217" s="123">
        <v>622</v>
      </c>
      <c r="K217" s="123">
        <f t="shared" si="9"/>
        <v>62</v>
      </c>
      <c r="M217" s="123">
        <v>143</v>
      </c>
      <c r="N217" t="b">
        <f t="shared" si="10"/>
        <v>0</v>
      </c>
      <c r="O217" s="123">
        <v>321</v>
      </c>
      <c r="P217" t="b">
        <f t="shared" si="11"/>
        <v>0</v>
      </c>
    </row>
    <row r="218" spans="1:16">
      <c r="A218" s="188">
        <v>217</v>
      </c>
      <c r="B218" s="189" t="s">
        <v>2423</v>
      </c>
      <c r="C218" s="189" t="s">
        <v>2424</v>
      </c>
      <c r="D218" s="133">
        <v>6</v>
      </c>
      <c r="E218" s="124">
        <v>42942</v>
      </c>
      <c r="F218" s="124">
        <v>43004</v>
      </c>
      <c r="G218" s="123">
        <v>313</v>
      </c>
      <c r="H218" s="123">
        <v>771</v>
      </c>
      <c r="I218" s="123">
        <v>204</v>
      </c>
      <c r="J218" s="123">
        <v>608</v>
      </c>
      <c r="K218" s="123">
        <f t="shared" si="9"/>
        <v>62</v>
      </c>
      <c r="M218" s="123">
        <v>128</v>
      </c>
      <c r="N218" t="b">
        <f t="shared" si="10"/>
        <v>0</v>
      </c>
      <c r="O218" s="164">
        <v>771</v>
      </c>
      <c r="P218" t="b">
        <f t="shared" si="11"/>
        <v>1</v>
      </c>
    </row>
    <row r="219" spans="1:16">
      <c r="A219" s="188">
        <v>218</v>
      </c>
      <c r="B219" s="189" t="s">
        <v>2423</v>
      </c>
      <c r="C219" s="189" t="s">
        <v>2432</v>
      </c>
      <c r="D219" s="133">
        <v>5</v>
      </c>
      <c r="E219" s="124">
        <v>42942</v>
      </c>
      <c r="F219" s="124">
        <v>43004</v>
      </c>
      <c r="G219" s="123">
        <v>485</v>
      </c>
      <c r="H219" s="123">
        <v>680</v>
      </c>
      <c r="I219" s="123">
        <v>170</v>
      </c>
      <c r="J219" s="123">
        <v>639</v>
      </c>
      <c r="K219" s="123">
        <f t="shared" si="9"/>
        <v>62</v>
      </c>
      <c r="M219" s="123">
        <v>95</v>
      </c>
      <c r="N219" t="b">
        <f t="shared" si="10"/>
        <v>0</v>
      </c>
      <c r="O219" s="123">
        <v>379</v>
      </c>
      <c r="P219" t="b">
        <f t="shared" si="11"/>
        <v>0</v>
      </c>
    </row>
    <row r="220" spans="1:16">
      <c r="A220" s="188">
        <v>219</v>
      </c>
      <c r="B220" s="189" t="s">
        <v>2423</v>
      </c>
      <c r="C220" s="189" t="s">
        <v>2439</v>
      </c>
      <c r="D220" s="133">
        <v>1</v>
      </c>
      <c r="E220" s="124">
        <v>42942</v>
      </c>
      <c r="F220" s="124">
        <v>43004</v>
      </c>
      <c r="G220" s="123">
        <v>196</v>
      </c>
      <c r="H220" s="145">
        <v>178</v>
      </c>
      <c r="I220" s="145">
        <v>123</v>
      </c>
      <c r="J220" s="123">
        <v>246</v>
      </c>
      <c r="K220" s="123">
        <f t="shared" si="9"/>
        <v>62</v>
      </c>
      <c r="M220" s="123">
        <v>313</v>
      </c>
      <c r="N220" t="b">
        <f t="shared" si="10"/>
        <v>0</v>
      </c>
      <c r="O220" s="164">
        <v>771</v>
      </c>
      <c r="P220" t="b">
        <f t="shared" si="11"/>
        <v>1</v>
      </c>
    </row>
    <row r="221" spans="1:16">
      <c r="A221" s="188">
        <v>220</v>
      </c>
      <c r="B221" s="189" t="s">
        <v>2423</v>
      </c>
      <c r="C221" s="189" t="s">
        <v>2446</v>
      </c>
      <c r="D221" s="133">
        <v>4</v>
      </c>
      <c r="E221" s="124">
        <v>42942</v>
      </c>
      <c r="F221" s="124">
        <v>43004</v>
      </c>
      <c r="G221" s="123">
        <v>39</v>
      </c>
      <c r="H221" s="123">
        <v>194</v>
      </c>
      <c r="I221" s="123">
        <v>53</v>
      </c>
      <c r="J221" s="123">
        <v>672</v>
      </c>
      <c r="K221" s="123">
        <f t="shared" si="9"/>
        <v>62</v>
      </c>
      <c r="M221" s="123">
        <v>485</v>
      </c>
      <c r="N221" t="b">
        <f t="shared" si="10"/>
        <v>0</v>
      </c>
      <c r="O221" s="123">
        <v>680</v>
      </c>
      <c r="P221" t="b">
        <f t="shared" si="11"/>
        <v>0</v>
      </c>
    </row>
    <row r="222" spans="1:16">
      <c r="M222" s="123">
        <v>196</v>
      </c>
      <c r="N222" t="b">
        <f t="shared" si="10"/>
        <v>0</v>
      </c>
      <c r="O222" s="145">
        <v>178</v>
      </c>
      <c r="P222" t="b">
        <f t="shared" si="11"/>
        <v>0</v>
      </c>
    </row>
    <row r="223" spans="1:16">
      <c r="M223" s="123">
        <v>39</v>
      </c>
      <c r="N223" t="b">
        <f t="shared" si="10"/>
        <v>0</v>
      </c>
      <c r="O223" s="123">
        <v>194</v>
      </c>
      <c r="P223" t="b">
        <f t="shared" si="11"/>
        <v>0</v>
      </c>
    </row>
    <row r="224" spans="1:16">
      <c r="M224" s="123">
        <v>377</v>
      </c>
      <c r="N224" t="b">
        <f t="shared" si="10"/>
        <v>0</v>
      </c>
      <c r="O224" s="123">
        <v>204</v>
      </c>
      <c r="P224" t="b">
        <f t="shared" si="11"/>
        <v>0</v>
      </c>
    </row>
    <row r="225" spans="13:16">
      <c r="M225" s="123" t="s">
        <v>2055</v>
      </c>
      <c r="N225" t="b">
        <f t="shared" si="10"/>
        <v>1</v>
      </c>
      <c r="O225" s="123" t="s">
        <v>2055</v>
      </c>
      <c r="P225" t="b">
        <f t="shared" si="11"/>
        <v>1</v>
      </c>
    </row>
    <row r="226" spans="13:16">
      <c r="M226" s="123">
        <v>44</v>
      </c>
      <c r="N226" t="b">
        <f t="shared" si="10"/>
        <v>0</v>
      </c>
      <c r="O226" s="123">
        <v>283</v>
      </c>
      <c r="P226" t="b">
        <f t="shared" si="11"/>
        <v>0</v>
      </c>
    </row>
    <row r="227" spans="13:16">
      <c r="M227" s="123">
        <v>357</v>
      </c>
      <c r="N227" t="b">
        <f t="shared" si="10"/>
        <v>0</v>
      </c>
      <c r="O227" s="123">
        <v>298</v>
      </c>
      <c r="P227" t="b">
        <f t="shared" si="11"/>
        <v>0</v>
      </c>
    </row>
    <row r="228" spans="13:16">
      <c r="M228" s="163">
        <v>734</v>
      </c>
      <c r="N228" t="b">
        <f t="shared" si="10"/>
        <v>0</v>
      </c>
      <c r="O228" s="123">
        <v>226</v>
      </c>
      <c r="P228" t="b">
        <f t="shared" si="11"/>
        <v>0</v>
      </c>
    </row>
    <row r="229" spans="13:16">
      <c r="M229" s="123">
        <v>164</v>
      </c>
      <c r="N229" t="b">
        <f t="shared" si="10"/>
        <v>0</v>
      </c>
      <c r="O229" s="123">
        <v>286</v>
      </c>
      <c r="P229" t="b">
        <f t="shared" si="11"/>
        <v>0</v>
      </c>
    </row>
    <row r="230" spans="13:16">
      <c r="M230" s="123">
        <v>776</v>
      </c>
      <c r="N230" t="b">
        <f t="shared" si="10"/>
        <v>0</v>
      </c>
      <c r="O230" s="123">
        <v>210</v>
      </c>
      <c r="P230" t="b">
        <f t="shared" si="11"/>
        <v>0</v>
      </c>
    </row>
    <row r="231" spans="13:16">
      <c r="M231" s="123">
        <v>23</v>
      </c>
      <c r="N231" t="b">
        <f t="shared" si="10"/>
        <v>0</v>
      </c>
      <c r="O231" s="123">
        <v>213</v>
      </c>
      <c r="P231" t="b">
        <f t="shared" si="11"/>
        <v>0</v>
      </c>
    </row>
    <row r="232" spans="13:16">
      <c r="M232" s="123">
        <v>570</v>
      </c>
      <c r="N232" t="b">
        <f t="shared" si="10"/>
        <v>0</v>
      </c>
      <c r="O232" s="123">
        <v>704</v>
      </c>
      <c r="P232" t="b">
        <f t="shared" si="11"/>
        <v>0</v>
      </c>
    </row>
    <row r="233" spans="13:16">
      <c r="M233" s="123">
        <v>642</v>
      </c>
      <c r="N233" t="b">
        <f t="shared" si="10"/>
        <v>0</v>
      </c>
      <c r="O233" s="123">
        <v>355</v>
      </c>
      <c r="P233" t="b">
        <f t="shared" si="11"/>
        <v>0</v>
      </c>
    </row>
    <row r="234" spans="13:16">
      <c r="M234" s="123">
        <v>663</v>
      </c>
      <c r="N234" t="b">
        <f t="shared" si="10"/>
        <v>0</v>
      </c>
      <c r="O234" s="123">
        <v>616</v>
      </c>
      <c r="P234" t="b">
        <f t="shared" si="11"/>
        <v>0</v>
      </c>
    </row>
    <row r="235" spans="13:16">
      <c r="M235" s="123" t="s">
        <v>2055</v>
      </c>
      <c r="N235" t="b">
        <f t="shared" si="10"/>
        <v>1</v>
      </c>
      <c r="O235" s="123" t="s">
        <v>2055</v>
      </c>
      <c r="P235" t="b">
        <f t="shared" si="11"/>
        <v>1</v>
      </c>
    </row>
    <row r="236" spans="13:16">
      <c r="M236" s="123">
        <v>874</v>
      </c>
      <c r="N236" t="b">
        <f t="shared" si="10"/>
        <v>0</v>
      </c>
      <c r="O236" s="123">
        <v>603</v>
      </c>
      <c r="P236" t="b">
        <f t="shared" si="11"/>
        <v>0</v>
      </c>
    </row>
    <row r="237" spans="13:16">
      <c r="M237" s="129">
        <v>219</v>
      </c>
      <c r="N237" t="b">
        <f t="shared" si="10"/>
        <v>0</v>
      </c>
      <c r="O237" s="123">
        <v>652</v>
      </c>
      <c r="P237" t="b">
        <f t="shared" si="11"/>
        <v>0</v>
      </c>
    </row>
    <row r="238" spans="13:16">
      <c r="M238" s="123">
        <v>630</v>
      </c>
      <c r="N238" t="b">
        <f t="shared" si="10"/>
        <v>0</v>
      </c>
      <c r="O238" s="123">
        <v>304</v>
      </c>
      <c r="P238" t="b">
        <f t="shared" si="11"/>
        <v>0</v>
      </c>
    </row>
    <row r="239" spans="13:16">
      <c r="M239" s="123">
        <v>662</v>
      </c>
      <c r="N239" t="b">
        <f t="shared" si="10"/>
        <v>0</v>
      </c>
      <c r="O239" s="123">
        <v>687</v>
      </c>
      <c r="P239" t="b">
        <f t="shared" si="11"/>
        <v>0</v>
      </c>
    </row>
    <row r="240" spans="13:16">
      <c r="M240" s="123">
        <v>349</v>
      </c>
      <c r="N240" t="b">
        <f t="shared" si="10"/>
        <v>0</v>
      </c>
      <c r="O240" s="123">
        <v>407</v>
      </c>
      <c r="P240" t="b">
        <f t="shared" si="11"/>
        <v>0</v>
      </c>
    </row>
    <row r="241" spans="13:16">
      <c r="M241" s="123">
        <v>113</v>
      </c>
      <c r="N241" t="b">
        <f t="shared" si="10"/>
        <v>0</v>
      </c>
      <c r="O241" s="123">
        <v>361</v>
      </c>
      <c r="P241" t="b">
        <f t="shared" si="11"/>
        <v>0</v>
      </c>
    </row>
    <row r="242" spans="13:16">
      <c r="M242" s="123">
        <v>394</v>
      </c>
      <c r="N242" t="b">
        <f t="shared" si="10"/>
        <v>0</v>
      </c>
      <c r="O242" s="123">
        <v>280</v>
      </c>
      <c r="P242" t="b">
        <f t="shared" si="11"/>
        <v>0</v>
      </c>
    </row>
    <row r="243" spans="13:16">
      <c r="M243" s="123">
        <v>79</v>
      </c>
      <c r="N243" t="b">
        <f t="shared" si="10"/>
        <v>0</v>
      </c>
      <c r="O243" s="123">
        <v>320</v>
      </c>
      <c r="P243" t="b">
        <f t="shared" si="11"/>
        <v>0</v>
      </c>
    </row>
    <row r="244" spans="13:16">
      <c r="M244" s="123">
        <v>488</v>
      </c>
      <c r="N244" t="b">
        <f t="shared" si="10"/>
        <v>0</v>
      </c>
      <c r="O244" s="123">
        <v>209</v>
      </c>
      <c r="P244" t="b">
        <f t="shared" si="11"/>
        <v>0</v>
      </c>
    </row>
    <row r="245" spans="13:16">
      <c r="M245" s="123">
        <v>750</v>
      </c>
      <c r="N245" t="b">
        <f t="shared" si="10"/>
        <v>0</v>
      </c>
      <c r="O245" s="123">
        <v>646</v>
      </c>
      <c r="P245" t="b">
        <f t="shared" si="11"/>
        <v>0</v>
      </c>
    </row>
    <row r="246" spans="13:16">
      <c r="M246" s="125" t="s">
        <v>2055</v>
      </c>
      <c r="N246" t="b">
        <f t="shared" si="10"/>
        <v>1</v>
      </c>
      <c r="O246" s="125" t="s">
        <v>2055</v>
      </c>
      <c r="P246" t="b">
        <f t="shared" si="11"/>
        <v>1</v>
      </c>
    </row>
    <row r="247" spans="13:16">
      <c r="M247" s="123">
        <v>562</v>
      </c>
      <c r="N247" t="b">
        <f t="shared" si="10"/>
        <v>0</v>
      </c>
      <c r="O247" s="123">
        <v>650</v>
      </c>
      <c r="P247" t="b">
        <f t="shared" si="11"/>
        <v>0</v>
      </c>
    </row>
    <row r="248" spans="13:16">
      <c r="M248" s="123">
        <v>156</v>
      </c>
      <c r="N248" t="b">
        <f t="shared" si="10"/>
        <v>0</v>
      </c>
      <c r="O248" s="123">
        <v>230</v>
      </c>
      <c r="P248" t="b">
        <f t="shared" si="11"/>
        <v>0</v>
      </c>
    </row>
    <row r="249" spans="13:16">
      <c r="M249" s="123">
        <v>555</v>
      </c>
      <c r="N249" t="b">
        <f t="shared" si="10"/>
        <v>0</v>
      </c>
      <c r="O249" s="123">
        <v>642</v>
      </c>
      <c r="P249" t="b">
        <f t="shared" si="11"/>
        <v>0</v>
      </c>
    </row>
    <row r="250" spans="13:16">
      <c r="M250" s="123">
        <v>378</v>
      </c>
      <c r="N250" t="b">
        <f t="shared" si="10"/>
        <v>0</v>
      </c>
      <c r="O250" s="123">
        <v>199</v>
      </c>
      <c r="P250" t="b">
        <f t="shared" si="11"/>
        <v>0</v>
      </c>
    </row>
    <row r="251" spans="13:16">
      <c r="M251" s="123">
        <v>46</v>
      </c>
      <c r="N251" t="b">
        <f t="shared" si="10"/>
        <v>0</v>
      </c>
      <c r="O251" s="123">
        <v>162</v>
      </c>
      <c r="P251" t="b">
        <f t="shared" si="11"/>
        <v>0</v>
      </c>
    </row>
    <row r="252" spans="13:16">
      <c r="M252" s="123">
        <v>397</v>
      </c>
      <c r="N252" t="b">
        <f t="shared" si="10"/>
        <v>0</v>
      </c>
      <c r="O252" s="123">
        <v>163</v>
      </c>
      <c r="P252" t="b">
        <f t="shared" si="11"/>
        <v>0</v>
      </c>
    </row>
    <row r="253" spans="13:16">
      <c r="M253" s="123">
        <v>166</v>
      </c>
      <c r="N253" t="b">
        <f t="shared" si="10"/>
        <v>0</v>
      </c>
      <c r="O253" s="123">
        <v>345</v>
      </c>
      <c r="P253" t="b">
        <f t="shared" si="11"/>
        <v>0</v>
      </c>
    </row>
    <row r="254" spans="13:16">
      <c r="M254" s="125" t="s">
        <v>2055</v>
      </c>
      <c r="N254" t="b">
        <f t="shared" si="10"/>
        <v>1</v>
      </c>
      <c r="O254" s="125" t="s">
        <v>2055</v>
      </c>
      <c r="P254" t="b">
        <f t="shared" si="11"/>
        <v>1</v>
      </c>
    </row>
    <row r="255" spans="13:16">
      <c r="M255" s="123">
        <v>293</v>
      </c>
      <c r="N255" t="b">
        <f t="shared" si="10"/>
        <v>0</v>
      </c>
      <c r="O255" s="123">
        <v>660</v>
      </c>
      <c r="P255" t="b">
        <f t="shared" si="11"/>
        <v>0</v>
      </c>
    </row>
    <row r="256" spans="13:16">
      <c r="M256" s="123">
        <v>139</v>
      </c>
      <c r="N256" t="b">
        <f t="shared" si="10"/>
        <v>0</v>
      </c>
      <c r="O256" s="123">
        <v>712</v>
      </c>
      <c r="P256" t="b">
        <f t="shared" si="11"/>
        <v>0</v>
      </c>
    </row>
    <row r="257" spans="13:16">
      <c r="M257" s="123">
        <v>487</v>
      </c>
      <c r="N257" t="b">
        <f t="shared" si="10"/>
        <v>0</v>
      </c>
      <c r="O257" s="123">
        <v>324</v>
      </c>
      <c r="P257" t="b">
        <f t="shared" si="11"/>
        <v>0</v>
      </c>
    </row>
    <row r="258" spans="13:16">
      <c r="M258" s="123">
        <v>717</v>
      </c>
      <c r="N258" t="b">
        <f t="shared" si="10"/>
        <v>0</v>
      </c>
      <c r="O258" s="123">
        <v>108</v>
      </c>
      <c r="P258" t="b">
        <f t="shared" si="11"/>
        <v>0</v>
      </c>
    </row>
    <row r="259" spans="13:16">
      <c r="M259" s="123">
        <v>767</v>
      </c>
      <c r="N259" t="b">
        <f t="shared" si="10"/>
        <v>0</v>
      </c>
      <c r="O259" s="123">
        <v>152</v>
      </c>
      <c r="P259" t="b">
        <f t="shared" si="11"/>
        <v>0</v>
      </c>
    </row>
    <row r="260" spans="13:16">
      <c r="M260" s="123">
        <v>473</v>
      </c>
      <c r="N260" t="b">
        <f t="shared" ref="N260:N323" si="12">COUNTIF($M$4:$M$443, M260)&gt;1</f>
        <v>0</v>
      </c>
      <c r="O260" s="123">
        <v>681</v>
      </c>
      <c r="P260" t="b">
        <f t="shared" si="11"/>
        <v>0</v>
      </c>
    </row>
    <row r="261" spans="13:16">
      <c r="M261" s="123">
        <v>111</v>
      </c>
      <c r="N261" t="b">
        <f t="shared" si="12"/>
        <v>0</v>
      </c>
      <c r="O261" s="129">
        <v>260</v>
      </c>
      <c r="P261" t="b">
        <f t="shared" ref="P261:P324" si="13">COUNTIF($O$4:$O$443, O261)&gt;1</f>
        <v>0</v>
      </c>
    </row>
    <row r="262" spans="13:16">
      <c r="M262" s="125" t="s">
        <v>2055</v>
      </c>
      <c r="N262" t="b">
        <f t="shared" si="12"/>
        <v>1</v>
      </c>
      <c r="O262" s="125" t="s">
        <v>2055</v>
      </c>
      <c r="P262" t="b">
        <f t="shared" si="13"/>
        <v>1</v>
      </c>
    </row>
    <row r="263" spans="13:16">
      <c r="M263" s="123">
        <v>646</v>
      </c>
      <c r="N263" t="b">
        <f t="shared" si="12"/>
        <v>0</v>
      </c>
      <c r="O263" s="123">
        <v>402</v>
      </c>
      <c r="P263" t="b">
        <f t="shared" si="13"/>
        <v>0</v>
      </c>
    </row>
    <row r="264" spans="13:16">
      <c r="M264" s="123">
        <v>43</v>
      </c>
      <c r="N264" t="b">
        <f t="shared" si="12"/>
        <v>0</v>
      </c>
      <c r="O264" s="123">
        <v>648</v>
      </c>
      <c r="P264" t="b">
        <f t="shared" si="13"/>
        <v>0</v>
      </c>
    </row>
    <row r="265" spans="13:16">
      <c r="M265" s="123">
        <v>268</v>
      </c>
      <c r="N265" t="b">
        <f t="shared" si="12"/>
        <v>0</v>
      </c>
      <c r="O265" s="123">
        <v>257</v>
      </c>
      <c r="P265" t="b">
        <f t="shared" si="13"/>
        <v>0</v>
      </c>
    </row>
    <row r="266" spans="13:16">
      <c r="M266" s="123">
        <v>300</v>
      </c>
      <c r="N266" t="b">
        <f t="shared" si="12"/>
        <v>0</v>
      </c>
      <c r="O266" s="123">
        <v>691</v>
      </c>
      <c r="P266" t="b">
        <f t="shared" si="13"/>
        <v>0</v>
      </c>
    </row>
    <row r="267" spans="13:16">
      <c r="M267" s="123">
        <v>823</v>
      </c>
      <c r="N267" t="b">
        <f t="shared" si="12"/>
        <v>0</v>
      </c>
      <c r="O267" s="123">
        <v>716</v>
      </c>
      <c r="P267" t="b">
        <f t="shared" si="13"/>
        <v>0</v>
      </c>
    </row>
    <row r="268" spans="13:16">
      <c r="M268" s="123">
        <v>354</v>
      </c>
      <c r="N268" t="b">
        <f t="shared" si="12"/>
        <v>0</v>
      </c>
      <c r="O268" s="123">
        <v>631</v>
      </c>
      <c r="P268" t="b">
        <f t="shared" si="13"/>
        <v>0</v>
      </c>
    </row>
    <row r="269" spans="13:16">
      <c r="M269" s="123" t="s">
        <v>2055</v>
      </c>
      <c r="N269" t="b">
        <f t="shared" si="12"/>
        <v>1</v>
      </c>
      <c r="O269" s="123" t="s">
        <v>2055</v>
      </c>
      <c r="P269" t="b">
        <f t="shared" si="13"/>
        <v>1</v>
      </c>
    </row>
    <row r="270" spans="13:16">
      <c r="M270" s="123">
        <v>659</v>
      </c>
      <c r="N270" t="b">
        <f t="shared" si="12"/>
        <v>0</v>
      </c>
      <c r="O270" s="123">
        <v>606</v>
      </c>
      <c r="P270" t="b">
        <f t="shared" si="13"/>
        <v>0</v>
      </c>
    </row>
    <row r="271" spans="13:16">
      <c r="M271" s="123">
        <v>267</v>
      </c>
      <c r="N271" t="b">
        <f t="shared" si="12"/>
        <v>0</v>
      </c>
      <c r="O271" s="123">
        <v>221</v>
      </c>
      <c r="P271" t="b">
        <f t="shared" si="13"/>
        <v>0</v>
      </c>
    </row>
    <row r="272" spans="13:16">
      <c r="M272" s="123">
        <v>812</v>
      </c>
      <c r="N272" t="b">
        <f t="shared" si="12"/>
        <v>0</v>
      </c>
      <c r="O272" s="123">
        <v>308</v>
      </c>
      <c r="P272" t="b">
        <f t="shared" si="13"/>
        <v>0</v>
      </c>
    </row>
    <row r="273" spans="13:16">
      <c r="M273" s="123">
        <v>212</v>
      </c>
      <c r="N273" t="b">
        <f t="shared" si="12"/>
        <v>0</v>
      </c>
      <c r="O273" s="123">
        <v>644</v>
      </c>
      <c r="P273" t="b">
        <f t="shared" si="13"/>
        <v>0</v>
      </c>
    </row>
    <row r="274" spans="13:16">
      <c r="M274" s="123">
        <v>598</v>
      </c>
      <c r="N274" t="b">
        <f t="shared" si="12"/>
        <v>0</v>
      </c>
      <c r="O274" s="123">
        <v>242</v>
      </c>
      <c r="P274" t="b">
        <f t="shared" si="13"/>
        <v>0</v>
      </c>
    </row>
    <row r="275" spans="13:16">
      <c r="M275" s="123">
        <v>818</v>
      </c>
      <c r="N275" t="b">
        <f t="shared" si="12"/>
        <v>0</v>
      </c>
      <c r="O275" s="123">
        <v>618</v>
      </c>
      <c r="P275" t="b">
        <f t="shared" si="13"/>
        <v>0</v>
      </c>
    </row>
    <row r="276" spans="13:16">
      <c r="M276" s="123">
        <v>759</v>
      </c>
      <c r="N276" t="b">
        <f t="shared" si="12"/>
        <v>0</v>
      </c>
      <c r="O276" s="123">
        <v>140</v>
      </c>
      <c r="P276" t="b">
        <f t="shared" si="13"/>
        <v>0</v>
      </c>
    </row>
    <row r="277" spans="13:16">
      <c r="M277" s="123" t="s">
        <v>2055</v>
      </c>
      <c r="N277" t="b">
        <f t="shared" si="12"/>
        <v>1</v>
      </c>
      <c r="O277" s="123" t="s">
        <v>2055</v>
      </c>
      <c r="P277" t="b">
        <f t="shared" si="13"/>
        <v>1</v>
      </c>
    </row>
    <row r="278" spans="13:16">
      <c r="M278" s="123">
        <v>260</v>
      </c>
      <c r="N278" t="b">
        <f t="shared" si="12"/>
        <v>0</v>
      </c>
      <c r="O278" s="123">
        <v>192</v>
      </c>
      <c r="P278" t="b">
        <f t="shared" si="13"/>
        <v>0</v>
      </c>
    </row>
    <row r="279" spans="13:16">
      <c r="M279" s="123">
        <v>493</v>
      </c>
      <c r="N279" t="b">
        <f t="shared" si="12"/>
        <v>0</v>
      </c>
      <c r="O279" s="123">
        <v>227</v>
      </c>
      <c r="P279" t="b">
        <f t="shared" si="13"/>
        <v>0</v>
      </c>
    </row>
    <row r="280" spans="13:16">
      <c r="M280" s="164">
        <v>347</v>
      </c>
      <c r="N280" t="b">
        <f t="shared" si="12"/>
        <v>1</v>
      </c>
      <c r="O280" s="123">
        <v>416</v>
      </c>
      <c r="P280" t="b">
        <f t="shared" si="13"/>
        <v>0</v>
      </c>
    </row>
    <row r="281" spans="13:16">
      <c r="M281" s="123">
        <v>735</v>
      </c>
      <c r="N281" t="b">
        <f t="shared" si="12"/>
        <v>0</v>
      </c>
      <c r="O281" s="123">
        <v>689</v>
      </c>
      <c r="P281" t="b">
        <f t="shared" si="13"/>
        <v>0</v>
      </c>
    </row>
    <row r="282" spans="13:16">
      <c r="M282" s="123">
        <v>558</v>
      </c>
      <c r="N282" t="b">
        <f t="shared" si="12"/>
        <v>0</v>
      </c>
      <c r="O282" s="123">
        <v>231</v>
      </c>
      <c r="P282" t="b">
        <f t="shared" si="13"/>
        <v>0</v>
      </c>
    </row>
    <row r="283" spans="13:16">
      <c r="M283" s="123">
        <v>751</v>
      </c>
      <c r="N283" t="b">
        <f t="shared" si="12"/>
        <v>0</v>
      </c>
      <c r="O283" s="123">
        <v>297</v>
      </c>
      <c r="P283" t="b">
        <f t="shared" si="13"/>
        <v>0</v>
      </c>
    </row>
    <row r="284" spans="13:16">
      <c r="M284" s="123">
        <v>748</v>
      </c>
      <c r="N284" t="b">
        <f t="shared" si="12"/>
        <v>0</v>
      </c>
      <c r="O284" s="123">
        <v>200</v>
      </c>
      <c r="P284" t="b">
        <f t="shared" si="13"/>
        <v>0</v>
      </c>
    </row>
    <row r="285" spans="13:16">
      <c r="M285" s="125" t="s">
        <v>2055</v>
      </c>
      <c r="N285" t="b">
        <f t="shared" si="12"/>
        <v>1</v>
      </c>
      <c r="O285" s="125" t="s">
        <v>2055</v>
      </c>
      <c r="P285" t="b">
        <f t="shared" si="13"/>
        <v>1</v>
      </c>
    </row>
    <row r="286" spans="13:16">
      <c r="M286" s="123">
        <v>629</v>
      </c>
      <c r="N286" t="b">
        <f t="shared" si="12"/>
        <v>0</v>
      </c>
      <c r="O286" s="123">
        <v>713</v>
      </c>
      <c r="P286" t="b">
        <f t="shared" si="13"/>
        <v>0</v>
      </c>
    </row>
    <row r="287" spans="13:16">
      <c r="M287" s="123">
        <v>84</v>
      </c>
      <c r="N287" t="b">
        <f t="shared" si="12"/>
        <v>0</v>
      </c>
      <c r="O287" s="129">
        <v>237</v>
      </c>
      <c r="P287" t="b">
        <f t="shared" si="13"/>
        <v>0</v>
      </c>
    </row>
    <row r="288" spans="13:16">
      <c r="M288" s="163">
        <v>586</v>
      </c>
      <c r="N288" t="b">
        <f t="shared" si="12"/>
        <v>0</v>
      </c>
      <c r="O288" s="163">
        <v>654</v>
      </c>
      <c r="P288" t="b">
        <f t="shared" si="13"/>
        <v>0</v>
      </c>
    </row>
    <row r="289" spans="13:16">
      <c r="M289" s="123">
        <v>851</v>
      </c>
      <c r="N289" t="b">
        <f t="shared" si="12"/>
        <v>0</v>
      </c>
      <c r="O289" s="123">
        <v>634</v>
      </c>
      <c r="P289" t="b">
        <f t="shared" si="13"/>
        <v>0</v>
      </c>
    </row>
    <row r="290" spans="13:16">
      <c r="M290" s="125" t="s">
        <v>2505</v>
      </c>
      <c r="N290" t="b">
        <f t="shared" si="12"/>
        <v>1</v>
      </c>
      <c r="O290" s="125" t="s">
        <v>2505</v>
      </c>
      <c r="P290" t="b">
        <f t="shared" si="13"/>
        <v>1</v>
      </c>
    </row>
    <row r="291" spans="13:16">
      <c r="M291" s="123">
        <v>467</v>
      </c>
      <c r="N291" t="b">
        <f t="shared" si="12"/>
        <v>0</v>
      </c>
      <c r="O291" s="123">
        <v>201</v>
      </c>
      <c r="P291" t="b">
        <f t="shared" si="13"/>
        <v>0</v>
      </c>
    </row>
    <row r="292" spans="13:16">
      <c r="M292" s="123">
        <v>766</v>
      </c>
      <c r="N292" t="b">
        <f t="shared" si="12"/>
        <v>0</v>
      </c>
      <c r="O292" s="123">
        <v>174</v>
      </c>
      <c r="P292" t="b">
        <f t="shared" si="13"/>
        <v>0</v>
      </c>
    </row>
    <row r="293" spans="13:16">
      <c r="M293" s="129">
        <v>430</v>
      </c>
      <c r="N293" t="b">
        <f t="shared" si="12"/>
        <v>0</v>
      </c>
      <c r="O293" s="123">
        <v>261</v>
      </c>
      <c r="P293" t="b">
        <f t="shared" si="13"/>
        <v>0</v>
      </c>
    </row>
    <row r="294" spans="13:16">
      <c r="M294" s="123">
        <v>174</v>
      </c>
      <c r="N294" t="b">
        <f t="shared" si="12"/>
        <v>0</v>
      </c>
      <c r="O294" s="123">
        <v>203</v>
      </c>
      <c r="P294" t="b">
        <f t="shared" si="13"/>
        <v>0</v>
      </c>
    </row>
    <row r="295" spans="13:16">
      <c r="M295" s="123">
        <v>714</v>
      </c>
      <c r="N295" t="b">
        <f t="shared" si="12"/>
        <v>0</v>
      </c>
      <c r="O295" s="123">
        <v>191</v>
      </c>
      <c r="P295" t="b">
        <f t="shared" si="13"/>
        <v>0</v>
      </c>
    </row>
    <row r="296" spans="13:16">
      <c r="M296" s="123">
        <v>726</v>
      </c>
      <c r="N296" t="b">
        <f t="shared" si="12"/>
        <v>0</v>
      </c>
      <c r="O296" s="123">
        <v>160</v>
      </c>
      <c r="P296" t="b">
        <f t="shared" si="13"/>
        <v>0</v>
      </c>
    </row>
    <row r="297" spans="13:16">
      <c r="M297" s="123">
        <v>866</v>
      </c>
      <c r="N297" t="b">
        <f t="shared" si="12"/>
        <v>0</v>
      </c>
      <c r="O297" s="123">
        <v>275</v>
      </c>
      <c r="P297" t="b">
        <f t="shared" si="13"/>
        <v>0</v>
      </c>
    </row>
    <row r="298" spans="13:16">
      <c r="M298" s="123">
        <v>705</v>
      </c>
      <c r="N298" t="b">
        <f t="shared" si="12"/>
        <v>0</v>
      </c>
      <c r="O298" s="123">
        <v>657</v>
      </c>
      <c r="P298" t="b">
        <f t="shared" si="13"/>
        <v>0</v>
      </c>
    </row>
    <row r="299" spans="13:16">
      <c r="M299" s="123">
        <v>601</v>
      </c>
      <c r="N299" t="b">
        <f t="shared" si="12"/>
        <v>0</v>
      </c>
      <c r="O299" s="123">
        <v>306</v>
      </c>
      <c r="P299" t="b">
        <f t="shared" si="13"/>
        <v>0</v>
      </c>
    </row>
    <row r="300" spans="13:16">
      <c r="M300" s="123" t="s">
        <v>2055</v>
      </c>
      <c r="N300" t="b">
        <f t="shared" si="12"/>
        <v>1</v>
      </c>
      <c r="O300" s="123" t="s">
        <v>2055</v>
      </c>
      <c r="P300" t="b">
        <f t="shared" si="13"/>
        <v>1</v>
      </c>
    </row>
    <row r="301" spans="13:16">
      <c r="M301" s="123">
        <v>157</v>
      </c>
      <c r="N301" t="b">
        <f t="shared" si="12"/>
        <v>0</v>
      </c>
      <c r="O301" s="123">
        <v>377</v>
      </c>
      <c r="P301" t="b">
        <f t="shared" si="13"/>
        <v>0</v>
      </c>
    </row>
    <row r="302" spans="13:16">
      <c r="M302" s="123">
        <v>226</v>
      </c>
      <c r="N302" t="b">
        <f t="shared" si="12"/>
        <v>0</v>
      </c>
      <c r="O302" s="123">
        <v>61</v>
      </c>
      <c r="P302" t="b">
        <f t="shared" si="13"/>
        <v>0</v>
      </c>
    </row>
    <row r="303" spans="13:16">
      <c r="M303" s="123">
        <v>855</v>
      </c>
      <c r="N303" t="b">
        <f t="shared" si="12"/>
        <v>0</v>
      </c>
      <c r="O303" s="129">
        <v>620</v>
      </c>
      <c r="P303" t="b">
        <f t="shared" si="13"/>
        <v>0</v>
      </c>
    </row>
    <row r="304" spans="13:16">
      <c r="M304" s="123">
        <v>413</v>
      </c>
      <c r="N304" t="b">
        <f t="shared" si="12"/>
        <v>0</v>
      </c>
      <c r="O304" s="123">
        <v>366</v>
      </c>
      <c r="P304" t="b">
        <f t="shared" si="13"/>
        <v>0</v>
      </c>
    </row>
    <row r="305" spans="13:16">
      <c r="M305" s="123">
        <v>370</v>
      </c>
      <c r="N305" t="b">
        <f t="shared" si="12"/>
        <v>0</v>
      </c>
      <c r="O305" s="123">
        <v>610</v>
      </c>
      <c r="P305" t="b">
        <f t="shared" si="13"/>
        <v>0</v>
      </c>
    </row>
    <row r="306" spans="13:16">
      <c r="M306" s="123">
        <v>879</v>
      </c>
      <c r="N306" t="b">
        <f t="shared" si="12"/>
        <v>0</v>
      </c>
      <c r="O306" s="123">
        <v>614</v>
      </c>
      <c r="P306" t="b">
        <f t="shared" si="13"/>
        <v>0</v>
      </c>
    </row>
    <row r="307" spans="13:16">
      <c r="M307" s="123">
        <v>854</v>
      </c>
      <c r="N307" t="b">
        <f t="shared" si="12"/>
        <v>0</v>
      </c>
      <c r="O307" s="123">
        <v>720</v>
      </c>
      <c r="P307" t="b">
        <f t="shared" si="13"/>
        <v>0</v>
      </c>
    </row>
    <row r="308" spans="13:16">
      <c r="M308" s="123" t="s">
        <v>2055</v>
      </c>
      <c r="N308" t="b">
        <f t="shared" si="12"/>
        <v>1</v>
      </c>
      <c r="O308" s="123" t="s">
        <v>2055</v>
      </c>
      <c r="P308" t="b">
        <f t="shared" si="13"/>
        <v>1</v>
      </c>
    </row>
    <row r="309" spans="13:16">
      <c r="M309" s="123">
        <v>788</v>
      </c>
      <c r="N309" t="b">
        <f t="shared" si="12"/>
        <v>0</v>
      </c>
      <c r="O309" s="123">
        <v>643</v>
      </c>
      <c r="P309" t="b">
        <f t="shared" si="13"/>
        <v>0</v>
      </c>
    </row>
    <row r="310" spans="13:16">
      <c r="M310" s="123">
        <v>91</v>
      </c>
      <c r="N310" t="b">
        <f t="shared" si="12"/>
        <v>0</v>
      </c>
      <c r="O310" s="123">
        <v>277</v>
      </c>
      <c r="P310" t="b">
        <f t="shared" si="13"/>
        <v>0</v>
      </c>
    </row>
    <row r="311" spans="13:16">
      <c r="M311" s="123">
        <v>364</v>
      </c>
      <c r="N311" t="b">
        <f t="shared" si="12"/>
        <v>0</v>
      </c>
      <c r="O311" s="123">
        <v>197</v>
      </c>
      <c r="P311" t="b">
        <f t="shared" si="13"/>
        <v>0</v>
      </c>
    </row>
    <row r="312" spans="13:16">
      <c r="M312" s="123">
        <v>862</v>
      </c>
      <c r="N312" t="b">
        <f t="shared" si="12"/>
        <v>0</v>
      </c>
      <c r="O312" s="123">
        <v>601</v>
      </c>
      <c r="P312" t="b">
        <f t="shared" si="13"/>
        <v>0</v>
      </c>
    </row>
    <row r="313" spans="13:16">
      <c r="M313" s="123">
        <v>330</v>
      </c>
      <c r="N313" t="b">
        <f t="shared" si="12"/>
        <v>0</v>
      </c>
      <c r="O313" s="123">
        <v>220</v>
      </c>
      <c r="P313" t="b">
        <f t="shared" si="13"/>
        <v>0</v>
      </c>
    </row>
    <row r="314" spans="13:16">
      <c r="M314" s="123">
        <v>596</v>
      </c>
      <c r="N314" t="b">
        <f t="shared" si="12"/>
        <v>0</v>
      </c>
      <c r="O314" s="123">
        <v>659</v>
      </c>
      <c r="P314" t="b">
        <f t="shared" si="13"/>
        <v>0</v>
      </c>
    </row>
    <row r="315" spans="13:16">
      <c r="M315" s="123">
        <v>380</v>
      </c>
      <c r="N315" t="b">
        <f t="shared" si="12"/>
        <v>0</v>
      </c>
      <c r="O315" s="129">
        <v>619</v>
      </c>
      <c r="P315" t="b">
        <f t="shared" si="13"/>
        <v>0</v>
      </c>
    </row>
    <row r="316" spans="13:16">
      <c r="M316" s="123">
        <v>872</v>
      </c>
      <c r="N316" t="b">
        <f t="shared" si="12"/>
        <v>0</v>
      </c>
      <c r="O316" s="123">
        <v>106</v>
      </c>
      <c r="P316" t="b">
        <f t="shared" si="13"/>
        <v>0</v>
      </c>
    </row>
    <row r="317" spans="13:16">
      <c r="M317" s="123" t="s">
        <v>2055</v>
      </c>
      <c r="N317" t="b">
        <f t="shared" si="12"/>
        <v>1</v>
      </c>
      <c r="O317" s="123" t="s">
        <v>2055</v>
      </c>
      <c r="P317" t="b">
        <f t="shared" si="13"/>
        <v>1</v>
      </c>
    </row>
    <row r="318" spans="13:16">
      <c r="M318" s="123">
        <v>844</v>
      </c>
      <c r="N318" t="b">
        <f t="shared" si="12"/>
        <v>0</v>
      </c>
      <c r="O318" s="123">
        <v>233</v>
      </c>
      <c r="P318" t="b">
        <f t="shared" si="13"/>
        <v>0</v>
      </c>
    </row>
    <row r="319" spans="13:16">
      <c r="M319" s="123">
        <v>372</v>
      </c>
      <c r="N319" t="b">
        <f t="shared" si="12"/>
        <v>0</v>
      </c>
      <c r="O319" s="123">
        <v>698</v>
      </c>
      <c r="P319" t="b">
        <f t="shared" si="13"/>
        <v>0</v>
      </c>
    </row>
    <row r="320" spans="13:16">
      <c r="M320" s="123">
        <v>3</v>
      </c>
      <c r="N320" t="b">
        <f t="shared" si="12"/>
        <v>0</v>
      </c>
      <c r="O320" s="123">
        <v>47</v>
      </c>
      <c r="P320" t="b">
        <f t="shared" si="13"/>
        <v>0</v>
      </c>
    </row>
    <row r="321" spans="13:16">
      <c r="M321" s="123">
        <v>25</v>
      </c>
      <c r="N321" t="b">
        <f t="shared" si="12"/>
        <v>0</v>
      </c>
      <c r="O321" s="123">
        <v>707</v>
      </c>
      <c r="P321" t="b">
        <f t="shared" si="13"/>
        <v>0</v>
      </c>
    </row>
    <row r="322" spans="13:16">
      <c r="M322" s="123" t="s">
        <v>2055</v>
      </c>
      <c r="N322" t="b">
        <f t="shared" si="12"/>
        <v>1</v>
      </c>
      <c r="O322" s="123" t="s">
        <v>2055</v>
      </c>
      <c r="P322" t="b">
        <f t="shared" si="13"/>
        <v>1</v>
      </c>
    </row>
    <row r="323" spans="13:16">
      <c r="M323" s="123">
        <v>187</v>
      </c>
      <c r="N323" t="b">
        <f t="shared" si="12"/>
        <v>0</v>
      </c>
      <c r="O323" s="123">
        <v>641</v>
      </c>
      <c r="P323" t="b">
        <f t="shared" si="13"/>
        <v>0</v>
      </c>
    </row>
    <row r="324" spans="13:16">
      <c r="M324" s="123">
        <v>398</v>
      </c>
      <c r="N324" t="b">
        <f t="shared" ref="N324:N387" si="14">COUNTIF($M$4:$M$443, M324)&gt;1</f>
        <v>0</v>
      </c>
      <c r="O324" s="123">
        <v>245</v>
      </c>
      <c r="P324" t="b">
        <f t="shared" si="13"/>
        <v>0</v>
      </c>
    </row>
    <row r="325" spans="13:16">
      <c r="M325" s="164">
        <v>120</v>
      </c>
      <c r="N325" t="b">
        <f t="shared" si="14"/>
        <v>1</v>
      </c>
      <c r="O325" s="123">
        <v>714</v>
      </c>
      <c r="P325" t="b">
        <f t="shared" ref="P325:P388" si="15">COUNTIF($O$4:$O$443, O325)&gt;1</f>
        <v>0</v>
      </c>
    </row>
    <row r="326" spans="13:16">
      <c r="M326" s="123">
        <v>145</v>
      </c>
      <c r="N326" t="b">
        <f t="shared" si="14"/>
        <v>0</v>
      </c>
      <c r="O326" s="123">
        <v>701</v>
      </c>
      <c r="P326" t="b">
        <f t="shared" si="15"/>
        <v>0</v>
      </c>
    </row>
    <row r="327" spans="13:16">
      <c r="M327" s="123">
        <v>76</v>
      </c>
      <c r="N327" t="b">
        <f t="shared" si="14"/>
        <v>0</v>
      </c>
      <c r="O327" s="163">
        <v>365</v>
      </c>
      <c r="P327" t="b">
        <f t="shared" si="15"/>
        <v>0</v>
      </c>
    </row>
    <row r="328" spans="13:16">
      <c r="M328" s="123">
        <v>57</v>
      </c>
      <c r="N328" t="b">
        <f t="shared" si="14"/>
        <v>0</v>
      </c>
      <c r="O328" s="123">
        <v>212</v>
      </c>
      <c r="P328" t="b">
        <f t="shared" si="15"/>
        <v>0</v>
      </c>
    </row>
    <row r="329" spans="13:16">
      <c r="M329" s="123">
        <v>167</v>
      </c>
      <c r="N329" t="b">
        <f t="shared" si="14"/>
        <v>0</v>
      </c>
      <c r="O329" s="123">
        <v>66</v>
      </c>
      <c r="P329" t="b">
        <f t="shared" si="15"/>
        <v>0</v>
      </c>
    </row>
    <row r="330" spans="13:16">
      <c r="M330" s="123">
        <v>208</v>
      </c>
      <c r="N330" t="b">
        <f t="shared" si="14"/>
        <v>0</v>
      </c>
      <c r="O330" s="123">
        <v>347</v>
      </c>
      <c r="P330" t="b">
        <f t="shared" si="15"/>
        <v>0</v>
      </c>
    </row>
    <row r="331" spans="13:16">
      <c r="M331" s="123">
        <v>62</v>
      </c>
      <c r="N331" t="b">
        <f t="shared" si="14"/>
        <v>0</v>
      </c>
      <c r="O331" s="123">
        <v>206</v>
      </c>
      <c r="P331" t="b">
        <f t="shared" si="15"/>
        <v>0</v>
      </c>
    </row>
    <row r="332" spans="13:16">
      <c r="M332" s="123">
        <v>102</v>
      </c>
      <c r="N332" t="b">
        <f t="shared" si="14"/>
        <v>0</v>
      </c>
      <c r="O332" s="123">
        <v>299</v>
      </c>
      <c r="P332" t="b">
        <f t="shared" si="15"/>
        <v>0</v>
      </c>
    </row>
    <row r="333" spans="13:16">
      <c r="M333" s="123">
        <v>265</v>
      </c>
      <c r="N333" t="b">
        <f t="shared" si="14"/>
        <v>0</v>
      </c>
      <c r="O333" s="123">
        <v>636</v>
      </c>
      <c r="P333" t="b">
        <f t="shared" si="15"/>
        <v>0</v>
      </c>
    </row>
    <row r="334" spans="13:16">
      <c r="M334" s="123">
        <v>455</v>
      </c>
      <c r="N334" t="b">
        <f t="shared" si="14"/>
        <v>0</v>
      </c>
      <c r="O334" s="123">
        <v>239</v>
      </c>
      <c r="P334" t="b">
        <f t="shared" si="15"/>
        <v>0</v>
      </c>
    </row>
    <row r="335" spans="13:16">
      <c r="M335" s="124" t="s">
        <v>2055</v>
      </c>
      <c r="N335" t="b">
        <f t="shared" si="14"/>
        <v>1</v>
      </c>
      <c r="O335" s="124" t="s">
        <v>2055</v>
      </c>
      <c r="P335" t="b">
        <f t="shared" si="15"/>
        <v>1</v>
      </c>
    </row>
    <row r="336" spans="13:16">
      <c r="M336" s="123">
        <v>490</v>
      </c>
      <c r="N336" t="b">
        <f t="shared" si="14"/>
        <v>0</v>
      </c>
      <c r="O336" s="123">
        <v>313</v>
      </c>
      <c r="P336" t="b">
        <f t="shared" si="15"/>
        <v>0</v>
      </c>
    </row>
    <row r="337" spans="13:16">
      <c r="M337" s="123">
        <v>650</v>
      </c>
      <c r="N337" t="b">
        <f t="shared" si="14"/>
        <v>0</v>
      </c>
      <c r="O337" s="123">
        <v>247</v>
      </c>
      <c r="P337" t="b">
        <f t="shared" si="15"/>
        <v>0</v>
      </c>
    </row>
    <row r="338" spans="13:16">
      <c r="M338" s="123">
        <v>873</v>
      </c>
      <c r="N338" t="b">
        <f t="shared" si="14"/>
        <v>0</v>
      </c>
      <c r="O338" s="123">
        <v>671</v>
      </c>
      <c r="P338" t="b">
        <f t="shared" si="15"/>
        <v>0</v>
      </c>
    </row>
    <row r="339" spans="13:16">
      <c r="M339" s="123">
        <v>206</v>
      </c>
      <c r="N339" t="b">
        <f t="shared" si="14"/>
        <v>0</v>
      </c>
      <c r="O339" s="123">
        <v>638</v>
      </c>
      <c r="P339" t="b">
        <f t="shared" si="15"/>
        <v>0</v>
      </c>
    </row>
    <row r="340" spans="13:16">
      <c r="M340" s="123">
        <v>163</v>
      </c>
      <c r="N340" t="b">
        <f t="shared" si="14"/>
        <v>0</v>
      </c>
      <c r="O340" s="123">
        <v>719</v>
      </c>
      <c r="P340" t="b">
        <f t="shared" si="15"/>
        <v>0</v>
      </c>
    </row>
    <row r="341" spans="13:16">
      <c r="M341" s="123">
        <v>83</v>
      </c>
      <c r="N341" t="b">
        <f t="shared" si="14"/>
        <v>0</v>
      </c>
      <c r="O341" s="123">
        <v>173</v>
      </c>
      <c r="P341" t="b">
        <f t="shared" si="15"/>
        <v>0</v>
      </c>
    </row>
    <row r="342" spans="13:16">
      <c r="M342" s="123">
        <v>159</v>
      </c>
      <c r="N342" t="b">
        <f t="shared" si="14"/>
        <v>0</v>
      </c>
      <c r="O342" s="123">
        <v>373</v>
      </c>
      <c r="P342" t="b">
        <f t="shared" si="15"/>
        <v>0</v>
      </c>
    </row>
    <row r="343" spans="13:16">
      <c r="M343" s="124" t="s">
        <v>2055</v>
      </c>
      <c r="N343" t="b">
        <f t="shared" si="14"/>
        <v>1</v>
      </c>
      <c r="O343" s="124" t="s">
        <v>2055</v>
      </c>
      <c r="P343" t="b">
        <f t="shared" si="15"/>
        <v>1</v>
      </c>
    </row>
    <row r="344" spans="13:16">
      <c r="M344" s="123">
        <v>16</v>
      </c>
      <c r="N344" t="b">
        <f t="shared" si="14"/>
        <v>0</v>
      </c>
      <c r="O344" s="123">
        <v>374</v>
      </c>
      <c r="P344" t="b">
        <f t="shared" si="15"/>
        <v>0</v>
      </c>
    </row>
    <row r="345" spans="13:16">
      <c r="M345" s="123">
        <v>109</v>
      </c>
      <c r="N345" t="b">
        <f t="shared" si="14"/>
        <v>0</v>
      </c>
      <c r="O345" s="123">
        <v>388</v>
      </c>
      <c r="P345" t="b">
        <f t="shared" si="15"/>
        <v>0</v>
      </c>
    </row>
    <row r="346" spans="13:16">
      <c r="M346" s="123">
        <v>344</v>
      </c>
      <c r="N346" t="b">
        <f t="shared" si="14"/>
        <v>0</v>
      </c>
      <c r="O346" s="123">
        <v>281</v>
      </c>
      <c r="P346" t="b">
        <f t="shared" si="15"/>
        <v>0</v>
      </c>
    </row>
    <row r="347" spans="13:16">
      <c r="M347" s="123">
        <v>221</v>
      </c>
      <c r="N347" t="b">
        <f t="shared" si="14"/>
        <v>0</v>
      </c>
      <c r="O347" s="123">
        <v>443</v>
      </c>
      <c r="P347" t="b">
        <f t="shared" si="15"/>
        <v>0</v>
      </c>
    </row>
    <row r="348" spans="13:16">
      <c r="M348" s="123">
        <v>757</v>
      </c>
      <c r="N348" t="b">
        <f t="shared" si="14"/>
        <v>0</v>
      </c>
      <c r="O348" s="123">
        <v>180</v>
      </c>
      <c r="P348" t="b">
        <f t="shared" si="15"/>
        <v>0</v>
      </c>
    </row>
    <row r="349" spans="13:16">
      <c r="M349" s="124" t="s">
        <v>2055</v>
      </c>
      <c r="N349" t="b">
        <f t="shared" si="14"/>
        <v>1</v>
      </c>
      <c r="O349" s="124" t="s">
        <v>2055</v>
      </c>
      <c r="P349" t="b">
        <f t="shared" si="15"/>
        <v>1</v>
      </c>
    </row>
    <row r="350" spans="13:16">
      <c r="M350" s="123">
        <v>96</v>
      </c>
      <c r="N350" t="b">
        <f t="shared" si="14"/>
        <v>0</v>
      </c>
      <c r="O350" s="123">
        <v>229</v>
      </c>
      <c r="P350" t="b">
        <f t="shared" si="15"/>
        <v>0</v>
      </c>
    </row>
    <row r="351" spans="13:16">
      <c r="M351" s="123">
        <v>134</v>
      </c>
      <c r="N351" t="b">
        <f t="shared" si="14"/>
        <v>0</v>
      </c>
      <c r="O351" s="123">
        <v>272</v>
      </c>
      <c r="P351" t="b">
        <f t="shared" si="15"/>
        <v>0</v>
      </c>
    </row>
    <row r="352" spans="13:16">
      <c r="M352" s="123">
        <v>671</v>
      </c>
      <c r="N352" t="b">
        <f t="shared" si="14"/>
        <v>0</v>
      </c>
      <c r="O352" s="123">
        <v>207</v>
      </c>
      <c r="P352" t="b">
        <f t="shared" si="15"/>
        <v>0</v>
      </c>
    </row>
    <row r="353" spans="13:16">
      <c r="M353" s="123">
        <v>400</v>
      </c>
      <c r="N353" t="b">
        <f t="shared" si="14"/>
        <v>0</v>
      </c>
      <c r="O353" s="123">
        <v>193</v>
      </c>
      <c r="P353" t="b">
        <f t="shared" si="15"/>
        <v>0</v>
      </c>
    </row>
    <row r="354" spans="13:16">
      <c r="M354" s="123">
        <v>48</v>
      </c>
      <c r="N354" t="b">
        <f t="shared" si="14"/>
        <v>0</v>
      </c>
      <c r="O354" s="123">
        <v>188</v>
      </c>
      <c r="P354" t="b">
        <f t="shared" si="15"/>
        <v>0</v>
      </c>
    </row>
    <row r="355" spans="13:16">
      <c r="M355" s="124" t="s">
        <v>2055</v>
      </c>
      <c r="N355" t="b">
        <f t="shared" si="14"/>
        <v>1</v>
      </c>
      <c r="O355" s="124" t="s">
        <v>2055</v>
      </c>
      <c r="P355" t="b">
        <f t="shared" si="15"/>
        <v>1</v>
      </c>
    </row>
    <row r="356" spans="13:16">
      <c r="M356" s="123">
        <v>210</v>
      </c>
      <c r="N356" t="b">
        <f t="shared" si="14"/>
        <v>0</v>
      </c>
      <c r="O356" s="123">
        <v>683</v>
      </c>
      <c r="P356" t="b">
        <f t="shared" si="15"/>
        <v>0</v>
      </c>
    </row>
    <row r="357" spans="13:16">
      <c r="M357" s="123">
        <v>40</v>
      </c>
      <c r="N357" t="b">
        <f t="shared" si="14"/>
        <v>0</v>
      </c>
      <c r="O357" s="123">
        <v>649</v>
      </c>
      <c r="P357" t="b">
        <f t="shared" si="15"/>
        <v>0</v>
      </c>
    </row>
    <row r="358" spans="13:16">
      <c r="M358" s="123">
        <v>517</v>
      </c>
      <c r="N358" t="b">
        <f t="shared" si="14"/>
        <v>0</v>
      </c>
      <c r="O358" s="123">
        <v>222</v>
      </c>
      <c r="P358" t="b">
        <f t="shared" si="15"/>
        <v>0</v>
      </c>
    </row>
    <row r="359" spans="13:16">
      <c r="M359" s="123">
        <v>67</v>
      </c>
      <c r="N359" t="b">
        <f t="shared" si="14"/>
        <v>0</v>
      </c>
      <c r="O359" s="123">
        <v>214</v>
      </c>
      <c r="P359" t="b">
        <f t="shared" si="15"/>
        <v>0</v>
      </c>
    </row>
    <row r="360" spans="13:16">
      <c r="M360" s="123">
        <v>335</v>
      </c>
      <c r="N360" t="b">
        <f t="shared" si="14"/>
        <v>0</v>
      </c>
      <c r="O360" s="123">
        <v>628</v>
      </c>
      <c r="P360" t="b">
        <f t="shared" si="15"/>
        <v>0</v>
      </c>
    </row>
    <row r="361" spans="13:16">
      <c r="M361" s="123">
        <v>484</v>
      </c>
      <c r="N361" t="b">
        <f t="shared" si="14"/>
        <v>0</v>
      </c>
      <c r="O361" s="123">
        <v>198</v>
      </c>
      <c r="P361" t="b">
        <f t="shared" si="15"/>
        <v>0</v>
      </c>
    </row>
    <row r="362" spans="13:16">
      <c r="M362" s="123">
        <v>868</v>
      </c>
      <c r="N362" t="b">
        <f t="shared" si="14"/>
        <v>0</v>
      </c>
      <c r="O362" s="123">
        <v>706</v>
      </c>
      <c r="P362" t="b">
        <f t="shared" si="15"/>
        <v>0</v>
      </c>
    </row>
    <row r="363" spans="13:16">
      <c r="M363" s="123">
        <v>792</v>
      </c>
      <c r="N363" t="b">
        <f t="shared" si="14"/>
        <v>0</v>
      </c>
      <c r="O363" s="123">
        <v>710</v>
      </c>
      <c r="P363" t="b">
        <f t="shared" si="15"/>
        <v>0</v>
      </c>
    </row>
    <row r="364" spans="13:16">
      <c r="M364" s="124" t="s">
        <v>2055</v>
      </c>
      <c r="N364" t="b">
        <f t="shared" si="14"/>
        <v>1</v>
      </c>
      <c r="O364" s="124" t="s">
        <v>2055</v>
      </c>
      <c r="P364" t="b">
        <f t="shared" si="15"/>
        <v>1</v>
      </c>
    </row>
    <row r="365" spans="13:16">
      <c r="M365" s="123">
        <v>711</v>
      </c>
      <c r="N365" t="b">
        <f t="shared" si="14"/>
        <v>0</v>
      </c>
      <c r="O365" s="123">
        <v>626</v>
      </c>
      <c r="P365" t="b">
        <f t="shared" si="15"/>
        <v>0</v>
      </c>
    </row>
    <row r="366" spans="13:16">
      <c r="M366" s="123">
        <v>205</v>
      </c>
      <c r="N366" t="b">
        <f t="shared" si="14"/>
        <v>0</v>
      </c>
      <c r="O366" s="123">
        <v>195</v>
      </c>
      <c r="P366" t="b">
        <f t="shared" si="15"/>
        <v>0</v>
      </c>
    </row>
    <row r="367" spans="13:16">
      <c r="M367" s="123">
        <v>384</v>
      </c>
      <c r="N367" t="b">
        <f t="shared" si="14"/>
        <v>0</v>
      </c>
      <c r="O367" s="123">
        <v>295</v>
      </c>
      <c r="P367" t="b">
        <f t="shared" si="15"/>
        <v>0</v>
      </c>
    </row>
    <row r="368" spans="13:16">
      <c r="M368" s="129">
        <v>72</v>
      </c>
      <c r="N368" t="b">
        <f t="shared" si="14"/>
        <v>0</v>
      </c>
      <c r="O368" s="123">
        <v>609</v>
      </c>
      <c r="P368" t="b">
        <f t="shared" si="15"/>
        <v>0</v>
      </c>
    </row>
    <row r="369" spans="13:16">
      <c r="M369" s="123">
        <v>336</v>
      </c>
      <c r="N369" t="b">
        <f t="shared" si="14"/>
        <v>0</v>
      </c>
      <c r="O369" s="123">
        <v>292</v>
      </c>
      <c r="P369" t="b">
        <f t="shared" si="15"/>
        <v>0</v>
      </c>
    </row>
    <row r="370" spans="13:16">
      <c r="M370" s="123">
        <v>303</v>
      </c>
      <c r="N370" t="b">
        <f t="shared" si="14"/>
        <v>0</v>
      </c>
      <c r="O370" s="123">
        <v>243</v>
      </c>
      <c r="P370" t="b">
        <f t="shared" si="15"/>
        <v>0</v>
      </c>
    </row>
    <row r="371" spans="13:16">
      <c r="M371" s="123">
        <v>161</v>
      </c>
      <c r="N371" t="b">
        <f t="shared" si="14"/>
        <v>0</v>
      </c>
      <c r="O371" s="123">
        <v>422</v>
      </c>
      <c r="P371" t="b">
        <f t="shared" si="15"/>
        <v>0</v>
      </c>
    </row>
    <row r="372" spans="13:16">
      <c r="M372" s="123">
        <v>464</v>
      </c>
      <c r="N372" t="b">
        <f t="shared" si="14"/>
        <v>0</v>
      </c>
      <c r="O372" s="123">
        <v>664</v>
      </c>
      <c r="P372" t="b">
        <f t="shared" si="15"/>
        <v>0</v>
      </c>
    </row>
    <row r="373" spans="13:16">
      <c r="M373" s="123">
        <v>843</v>
      </c>
      <c r="N373" t="b">
        <f t="shared" si="14"/>
        <v>0</v>
      </c>
      <c r="O373" s="123">
        <v>316</v>
      </c>
      <c r="P373" t="b">
        <f t="shared" si="15"/>
        <v>0</v>
      </c>
    </row>
    <row r="374" spans="13:16">
      <c r="M374" s="123" t="s">
        <v>2055</v>
      </c>
      <c r="N374" t="b">
        <f t="shared" si="14"/>
        <v>1</v>
      </c>
      <c r="O374" s="123" t="s">
        <v>2055</v>
      </c>
      <c r="P374" t="b">
        <f t="shared" si="15"/>
        <v>1</v>
      </c>
    </row>
    <row r="375" spans="13:16">
      <c r="M375" s="123">
        <v>617</v>
      </c>
      <c r="N375" t="b">
        <f t="shared" si="14"/>
        <v>0</v>
      </c>
      <c r="O375" s="123">
        <v>635</v>
      </c>
      <c r="P375" t="b">
        <f t="shared" si="15"/>
        <v>0</v>
      </c>
    </row>
    <row r="376" spans="13:16">
      <c r="M376" s="123">
        <v>19</v>
      </c>
      <c r="N376" t="b">
        <f t="shared" si="14"/>
        <v>0</v>
      </c>
      <c r="O376" s="123">
        <v>651</v>
      </c>
      <c r="P376" t="b">
        <f t="shared" si="15"/>
        <v>0</v>
      </c>
    </row>
    <row r="377" spans="13:16">
      <c r="M377" s="123">
        <v>275</v>
      </c>
      <c r="N377" t="b">
        <f t="shared" si="14"/>
        <v>0</v>
      </c>
      <c r="O377" s="123">
        <v>367</v>
      </c>
      <c r="P377" t="b">
        <f t="shared" si="15"/>
        <v>0</v>
      </c>
    </row>
    <row r="378" spans="13:16">
      <c r="M378" s="123">
        <v>289</v>
      </c>
      <c r="N378" t="b">
        <f t="shared" si="14"/>
        <v>0</v>
      </c>
      <c r="O378" s="123">
        <v>617</v>
      </c>
      <c r="P378" t="b">
        <f t="shared" si="15"/>
        <v>0</v>
      </c>
    </row>
    <row r="379" spans="13:16">
      <c r="M379" s="123">
        <v>65</v>
      </c>
      <c r="N379" t="b">
        <f t="shared" si="14"/>
        <v>0</v>
      </c>
      <c r="O379" s="123">
        <v>84</v>
      </c>
      <c r="P379" t="b">
        <f t="shared" si="15"/>
        <v>0</v>
      </c>
    </row>
    <row r="380" spans="13:16">
      <c r="M380" s="123">
        <v>33</v>
      </c>
      <c r="N380" t="b">
        <f t="shared" si="14"/>
        <v>0</v>
      </c>
      <c r="O380" s="123">
        <v>248</v>
      </c>
      <c r="P380" t="b">
        <f t="shared" si="15"/>
        <v>0</v>
      </c>
    </row>
    <row r="381" spans="13:16">
      <c r="M381" s="123">
        <v>153</v>
      </c>
      <c r="N381" t="b">
        <f t="shared" si="14"/>
        <v>0</v>
      </c>
      <c r="O381" s="123">
        <v>238</v>
      </c>
      <c r="P381" t="b">
        <f t="shared" si="15"/>
        <v>0</v>
      </c>
    </row>
    <row r="382" spans="13:16">
      <c r="M382" s="123" t="s">
        <v>2055</v>
      </c>
      <c r="N382" t="b">
        <f t="shared" si="14"/>
        <v>1</v>
      </c>
      <c r="O382" s="123" t="s">
        <v>2055</v>
      </c>
      <c r="P382" t="b">
        <f t="shared" si="15"/>
        <v>1</v>
      </c>
    </row>
    <row r="383" spans="13:16">
      <c r="M383" s="123">
        <v>175</v>
      </c>
      <c r="N383" t="b">
        <f t="shared" si="14"/>
        <v>0</v>
      </c>
      <c r="O383" s="123">
        <v>350</v>
      </c>
      <c r="P383" t="b">
        <f t="shared" si="15"/>
        <v>0</v>
      </c>
    </row>
    <row r="384" spans="13:16">
      <c r="M384" s="123">
        <v>207</v>
      </c>
      <c r="N384" t="b">
        <f t="shared" si="14"/>
        <v>0</v>
      </c>
      <c r="O384" s="123">
        <v>314</v>
      </c>
      <c r="P384" t="b">
        <f t="shared" si="15"/>
        <v>0</v>
      </c>
    </row>
    <row r="385" spans="13:16">
      <c r="M385" s="123">
        <v>580</v>
      </c>
      <c r="N385" t="b">
        <f t="shared" si="14"/>
        <v>0</v>
      </c>
      <c r="O385" s="123">
        <v>425</v>
      </c>
      <c r="P385" t="b">
        <f t="shared" si="15"/>
        <v>0</v>
      </c>
    </row>
    <row r="386" spans="13:16">
      <c r="M386" s="123">
        <v>722</v>
      </c>
      <c r="N386" t="b">
        <f t="shared" si="14"/>
        <v>0</v>
      </c>
      <c r="O386" s="123">
        <v>267</v>
      </c>
      <c r="P386" t="b">
        <f t="shared" si="15"/>
        <v>0</v>
      </c>
    </row>
    <row r="387" spans="13:16">
      <c r="M387" s="123">
        <v>239</v>
      </c>
      <c r="N387" t="b">
        <f t="shared" si="14"/>
        <v>0</v>
      </c>
      <c r="O387" s="129">
        <v>211</v>
      </c>
      <c r="P387" t="b">
        <f t="shared" si="15"/>
        <v>0</v>
      </c>
    </row>
    <row r="388" spans="13:16">
      <c r="M388" s="123">
        <v>343</v>
      </c>
      <c r="N388" t="b">
        <f t="shared" ref="N388:N443" si="16">COUNTIF($M$4:$M$443, M388)&gt;1</f>
        <v>0</v>
      </c>
      <c r="O388" s="123">
        <v>310</v>
      </c>
      <c r="P388" t="b">
        <f t="shared" si="15"/>
        <v>0</v>
      </c>
    </row>
    <row r="389" spans="13:16">
      <c r="M389" s="123">
        <v>409</v>
      </c>
      <c r="N389" t="b">
        <f t="shared" si="16"/>
        <v>0</v>
      </c>
      <c r="O389" s="123">
        <v>269</v>
      </c>
      <c r="P389" t="b">
        <f t="shared" ref="P389:P443" si="17">COUNTIF($O$4:$O$443, O389)&gt;1</f>
        <v>0</v>
      </c>
    </row>
    <row r="390" spans="13:16">
      <c r="M390" s="123" t="s">
        <v>2055</v>
      </c>
      <c r="N390" t="b">
        <f t="shared" si="16"/>
        <v>1</v>
      </c>
      <c r="O390" s="123" t="s">
        <v>2055</v>
      </c>
      <c r="P390" t="b">
        <f t="shared" si="17"/>
        <v>1</v>
      </c>
    </row>
    <row r="391" spans="13:16">
      <c r="M391" s="123">
        <v>304</v>
      </c>
      <c r="N391" t="b">
        <f t="shared" si="16"/>
        <v>0</v>
      </c>
      <c r="O391" s="123">
        <v>413</v>
      </c>
      <c r="P391" t="b">
        <f t="shared" si="17"/>
        <v>0</v>
      </c>
    </row>
    <row r="392" spans="13:16">
      <c r="M392" s="123">
        <v>135</v>
      </c>
      <c r="N392" t="b">
        <f t="shared" si="16"/>
        <v>0</v>
      </c>
      <c r="O392" s="123">
        <v>80</v>
      </c>
      <c r="P392" t="b">
        <f t="shared" si="17"/>
        <v>0</v>
      </c>
    </row>
    <row r="393" spans="13:16">
      <c r="M393" s="123">
        <v>515</v>
      </c>
      <c r="N393" t="b">
        <f t="shared" si="16"/>
        <v>0</v>
      </c>
      <c r="O393" s="164">
        <v>208</v>
      </c>
      <c r="P393" t="b">
        <f t="shared" si="17"/>
        <v>1</v>
      </c>
    </row>
    <row r="394" spans="13:16">
      <c r="M394" s="123">
        <v>348</v>
      </c>
      <c r="N394" t="b">
        <f t="shared" si="16"/>
        <v>0</v>
      </c>
      <c r="O394" s="123">
        <v>633</v>
      </c>
      <c r="P394" t="b">
        <f t="shared" si="17"/>
        <v>0</v>
      </c>
    </row>
    <row r="395" spans="13:16">
      <c r="M395" s="124" t="s">
        <v>2055</v>
      </c>
      <c r="N395" t="b">
        <f t="shared" si="16"/>
        <v>1</v>
      </c>
      <c r="O395" s="124" t="s">
        <v>2055</v>
      </c>
      <c r="P395" t="b">
        <f t="shared" si="17"/>
        <v>1</v>
      </c>
    </row>
    <row r="396" spans="13:16">
      <c r="M396" s="123">
        <v>307</v>
      </c>
      <c r="N396" t="b">
        <f t="shared" si="16"/>
        <v>0</v>
      </c>
      <c r="O396" s="123">
        <v>473</v>
      </c>
      <c r="P396" t="b">
        <f t="shared" si="17"/>
        <v>0</v>
      </c>
    </row>
    <row r="397" spans="13:16">
      <c r="M397" s="123">
        <v>155</v>
      </c>
      <c r="N397" t="b">
        <f t="shared" si="16"/>
        <v>0</v>
      </c>
      <c r="O397" s="123">
        <v>702</v>
      </c>
      <c r="P397" t="b">
        <f t="shared" si="17"/>
        <v>0</v>
      </c>
    </row>
    <row r="398" spans="13:16">
      <c r="M398" s="123">
        <v>719</v>
      </c>
      <c r="N398" t="b">
        <f t="shared" si="16"/>
        <v>0</v>
      </c>
      <c r="O398" s="123">
        <v>175</v>
      </c>
      <c r="P398" t="b">
        <f t="shared" si="17"/>
        <v>0</v>
      </c>
    </row>
    <row r="399" spans="13:16">
      <c r="M399" s="123">
        <v>323</v>
      </c>
      <c r="N399" t="b">
        <f t="shared" si="16"/>
        <v>0</v>
      </c>
      <c r="O399" s="123">
        <v>332</v>
      </c>
      <c r="P399" t="b">
        <f t="shared" si="17"/>
        <v>0</v>
      </c>
    </row>
    <row r="400" spans="13:16">
      <c r="M400" s="123">
        <v>14</v>
      </c>
      <c r="N400" t="b">
        <f t="shared" si="16"/>
        <v>0</v>
      </c>
      <c r="O400" s="123">
        <v>279</v>
      </c>
      <c r="P400" t="b">
        <f t="shared" si="17"/>
        <v>0</v>
      </c>
    </row>
    <row r="401" spans="13:16">
      <c r="M401" s="123">
        <v>410</v>
      </c>
      <c r="N401" t="b">
        <f t="shared" si="16"/>
        <v>0</v>
      </c>
      <c r="O401" s="123">
        <v>718</v>
      </c>
      <c r="P401" t="b">
        <f t="shared" si="17"/>
        <v>0</v>
      </c>
    </row>
    <row r="402" spans="13:16">
      <c r="M402" s="123">
        <v>78</v>
      </c>
      <c r="N402" t="b">
        <f t="shared" si="16"/>
        <v>0</v>
      </c>
      <c r="O402" s="123">
        <v>640</v>
      </c>
      <c r="P402" t="b">
        <f t="shared" si="17"/>
        <v>0</v>
      </c>
    </row>
    <row r="403" spans="13:16">
      <c r="M403" s="123">
        <v>422</v>
      </c>
      <c r="N403" t="b">
        <f t="shared" si="16"/>
        <v>0</v>
      </c>
      <c r="O403" s="123">
        <v>669</v>
      </c>
      <c r="P403" t="b">
        <f t="shared" si="17"/>
        <v>0</v>
      </c>
    </row>
    <row r="404" spans="13:16">
      <c r="M404" s="123">
        <v>870</v>
      </c>
      <c r="N404" t="b">
        <f t="shared" si="16"/>
        <v>0</v>
      </c>
      <c r="O404" s="123">
        <v>170</v>
      </c>
      <c r="P404" t="b">
        <f t="shared" si="17"/>
        <v>0</v>
      </c>
    </row>
    <row r="405" spans="13:16">
      <c r="M405" s="123">
        <v>136</v>
      </c>
      <c r="N405" t="b">
        <f t="shared" si="16"/>
        <v>0</v>
      </c>
      <c r="O405" s="123">
        <v>697</v>
      </c>
      <c r="P405" t="b">
        <f t="shared" si="17"/>
        <v>0</v>
      </c>
    </row>
    <row r="406" spans="13:16">
      <c r="M406" s="124" t="s">
        <v>2055</v>
      </c>
      <c r="N406" t="b">
        <f t="shared" si="16"/>
        <v>1</v>
      </c>
      <c r="O406" s="124" t="s">
        <v>2055</v>
      </c>
      <c r="P406" t="b">
        <f t="shared" si="17"/>
        <v>1</v>
      </c>
    </row>
    <row r="407" spans="13:16">
      <c r="M407" s="123">
        <v>266</v>
      </c>
      <c r="N407" t="b">
        <f t="shared" si="16"/>
        <v>0</v>
      </c>
      <c r="O407" s="123">
        <v>674</v>
      </c>
      <c r="P407" t="b">
        <f t="shared" si="17"/>
        <v>0</v>
      </c>
    </row>
    <row r="408" spans="13:16">
      <c r="M408" s="123">
        <v>165</v>
      </c>
      <c r="N408" t="b">
        <f t="shared" si="16"/>
        <v>0</v>
      </c>
      <c r="O408" s="123">
        <v>607</v>
      </c>
      <c r="P408" t="b">
        <f t="shared" si="17"/>
        <v>0</v>
      </c>
    </row>
    <row r="409" spans="13:16">
      <c r="M409" s="123">
        <v>22</v>
      </c>
      <c r="N409" t="b">
        <f t="shared" si="16"/>
        <v>0</v>
      </c>
      <c r="O409" s="123">
        <v>629</v>
      </c>
      <c r="P409" t="b">
        <f t="shared" si="17"/>
        <v>0</v>
      </c>
    </row>
    <row r="410" spans="13:16">
      <c r="M410" s="123">
        <v>371</v>
      </c>
      <c r="N410" t="b">
        <f t="shared" si="16"/>
        <v>0</v>
      </c>
      <c r="O410" s="123">
        <v>679</v>
      </c>
      <c r="P410" t="b">
        <f t="shared" si="17"/>
        <v>0</v>
      </c>
    </row>
    <row r="411" spans="13:16">
      <c r="M411" s="123">
        <v>185</v>
      </c>
      <c r="N411" t="b">
        <f t="shared" si="16"/>
        <v>0</v>
      </c>
      <c r="O411" s="123">
        <v>682</v>
      </c>
      <c r="P411" t="b">
        <f t="shared" si="17"/>
        <v>0</v>
      </c>
    </row>
    <row r="412" spans="13:16">
      <c r="M412" s="123">
        <v>301</v>
      </c>
      <c r="N412" t="b">
        <f t="shared" si="16"/>
        <v>0</v>
      </c>
      <c r="O412" s="123">
        <v>693</v>
      </c>
      <c r="P412" t="b">
        <f t="shared" si="17"/>
        <v>0</v>
      </c>
    </row>
    <row r="413" spans="13:16">
      <c r="M413" s="123">
        <v>466</v>
      </c>
      <c r="N413" t="b">
        <f t="shared" si="16"/>
        <v>0</v>
      </c>
      <c r="O413" s="123">
        <v>605</v>
      </c>
      <c r="P413" t="b">
        <f t="shared" si="17"/>
        <v>0</v>
      </c>
    </row>
    <row r="414" spans="13:16">
      <c r="M414" s="164">
        <v>32</v>
      </c>
      <c r="N414" t="b">
        <f t="shared" si="16"/>
        <v>1</v>
      </c>
      <c r="O414" s="123">
        <v>240</v>
      </c>
      <c r="P414" t="b">
        <f t="shared" si="17"/>
        <v>0</v>
      </c>
    </row>
    <row r="415" spans="13:16">
      <c r="M415" s="123" t="s">
        <v>2055</v>
      </c>
      <c r="N415" t="b">
        <f t="shared" si="16"/>
        <v>1</v>
      </c>
      <c r="O415" s="123" t="s">
        <v>2055</v>
      </c>
      <c r="P415" t="b">
        <f t="shared" si="17"/>
        <v>1</v>
      </c>
    </row>
    <row r="416" spans="13:16">
      <c r="M416" s="123">
        <v>45</v>
      </c>
      <c r="N416" t="b">
        <f t="shared" si="16"/>
        <v>0</v>
      </c>
      <c r="O416" s="123">
        <v>623</v>
      </c>
      <c r="P416" t="b">
        <f t="shared" si="17"/>
        <v>0</v>
      </c>
    </row>
    <row r="417" spans="13:16">
      <c r="M417" s="123">
        <v>90</v>
      </c>
      <c r="N417" t="b">
        <f t="shared" si="16"/>
        <v>0</v>
      </c>
      <c r="O417" s="123">
        <v>611</v>
      </c>
      <c r="P417" t="b">
        <f t="shared" si="17"/>
        <v>0</v>
      </c>
    </row>
    <row r="418" spans="13:16">
      <c r="M418" s="123">
        <v>338</v>
      </c>
      <c r="N418" t="b">
        <f t="shared" si="16"/>
        <v>0</v>
      </c>
      <c r="O418" s="123">
        <v>645</v>
      </c>
      <c r="P418" t="b">
        <f t="shared" si="17"/>
        <v>0</v>
      </c>
    </row>
    <row r="419" spans="13:16">
      <c r="M419" s="123">
        <v>243</v>
      </c>
      <c r="N419" t="b">
        <f t="shared" si="16"/>
        <v>0</v>
      </c>
      <c r="O419" s="123">
        <v>709</v>
      </c>
      <c r="P419" t="b">
        <f t="shared" si="17"/>
        <v>0</v>
      </c>
    </row>
    <row r="420" spans="13:16">
      <c r="M420" s="123">
        <v>254</v>
      </c>
      <c r="N420" t="b">
        <f t="shared" si="16"/>
        <v>0</v>
      </c>
      <c r="O420" s="123">
        <v>131</v>
      </c>
      <c r="P420" t="b">
        <f t="shared" si="17"/>
        <v>0</v>
      </c>
    </row>
    <row r="421" spans="13:16">
      <c r="M421" s="123">
        <v>780</v>
      </c>
      <c r="N421" t="b">
        <f t="shared" si="16"/>
        <v>0</v>
      </c>
      <c r="O421" s="123">
        <v>711</v>
      </c>
      <c r="P421" t="b">
        <f t="shared" si="17"/>
        <v>0</v>
      </c>
    </row>
    <row r="422" spans="13:16">
      <c r="M422" s="123">
        <v>182</v>
      </c>
      <c r="N422" t="b">
        <f t="shared" si="16"/>
        <v>0</v>
      </c>
      <c r="O422" s="123">
        <v>236</v>
      </c>
      <c r="P422" t="b">
        <f t="shared" si="17"/>
        <v>0</v>
      </c>
    </row>
    <row r="423" spans="13:16">
      <c r="M423" s="123">
        <v>186</v>
      </c>
      <c r="N423" t="b">
        <f t="shared" si="16"/>
        <v>0</v>
      </c>
      <c r="O423" s="123">
        <v>205</v>
      </c>
      <c r="P423" t="b">
        <f t="shared" si="17"/>
        <v>0</v>
      </c>
    </row>
    <row r="424" spans="13:16">
      <c r="M424" s="123">
        <v>315</v>
      </c>
      <c r="N424" t="b">
        <f t="shared" si="16"/>
        <v>0</v>
      </c>
      <c r="O424" s="123">
        <v>665</v>
      </c>
      <c r="P424" t="b">
        <f t="shared" si="17"/>
        <v>0</v>
      </c>
    </row>
    <row r="425" spans="13:16">
      <c r="M425" s="123">
        <v>147</v>
      </c>
      <c r="N425" t="b">
        <f t="shared" si="16"/>
        <v>0</v>
      </c>
      <c r="O425" s="123">
        <v>224</v>
      </c>
      <c r="P425" t="b">
        <f t="shared" si="17"/>
        <v>0</v>
      </c>
    </row>
    <row r="426" spans="13:16">
      <c r="M426" s="123">
        <v>168</v>
      </c>
      <c r="N426" t="b">
        <f t="shared" si="16"/>
        <v>0</v>
      </c>
      <c r="O426" s="123">
        <v>621</v>
      </c>
      <c r="P426" t="b">
        <f t="shared" si="17"/>
        <v>0</v>
      </c>
    </row>
    <row r="427" spans="13:16">
      <c r="M427" s="123">
        <v>672</v>
      </c>
      <c r="N427" t="b">
        <f t="shared" si="16"/>
        <v>0</v>
      </c>
      <c r="O427" s="164">
        <v>208</v>
      </c>
      <c r="P427" t="b">
        <f t="shared" si="17"/>
        <v>1</v>
      </c>
    </row>
    <row r="428" spans="13:16">
      <c r="M428" s="123">
        <v>173</v>
      </c>
      <c r="N428" t="b">
        <f t="shared" si="16"/>
        <v>0</v>
      </c>
      <c r="O428" s="123">
        <v>637</v>
      </c>
      <c r="P428" t="b">
        <f t="shared" si="17"/>
        <v>0</v>
      </c>
    </row>
    <row r="429" spans="13:16">
      <c r="M429" s="123">
        <v>262</v>
      </c>
      <c r="N429" t="b">
        <f t="shared" si="16"/>
        <v>0</v>
      </c>
      <c r="O429" s="123">
        <v>284</v>
      </c>
      <c r="P429" t="b">
        <f t="shared" si="17"/>
        <v>0</v>
      </c>
    </row>
    <row r="430" spans="13:16">
      <c r="M430" s="123">
        <v>230</v>
      </c>
      <c r="N430" t="b">
        <f t="shared" si="16"/>
        <v>0</v>
      </c>
      <c r="O430" s="123">
        <v>604</v>
      </c>
      <c r="P430" t="b">
        <f t="shared" si="17"/>
        <v>0</v>
      </c>
    </row>
    <row r="431" spans="13:16">
      <c r="M431" s="144">
        <v>140</v>
      </c>
      <c r="N431" t="b">
        <f t="shared" si="16"/>
        <v>0</v>
      </c>
      <c r="O431" s="123">
        <v>625</v>
      </c>
      <c r="P431" t="b">
        <f t="shared" si="17"/>
        <v>0</v>
      </c>
    </row>
    <row r="432" spans="13:16">
      <c r="M432" s="123">
        <v>92</v>
      </c>
      <c r="N432" t="b">
        <f t="shared" si="16"/>
        <v>0</v>
      </c>
      <c r="O432" s="123">
        <v>647</v>
      </c>
      <c r="P432" t="b">
        <f t="shared" si="17"/>
        <v>0</v>
      </c>
    </row>
    <row r="433" spans="13:16">
      <c r="M433" s="123">
        <v>36</v>
      </c>
      <c r="N433" t="b">
        <f t="shared" si="16"/>
        <v>0</v>
      </c>
      <c r="O433" s="123">
        <v>599</v>
      </c>
      <c r="P433" t="b">
        <f t="shared" si="17"/>
        <v>0</v>
      </c>
    </row>
    <row r="434" spans="13:16">
      <c r="M434" s="123">
        <v>434</v>
      </c>
      <c r="N434" t="b">
        <f t="shared" si="16"/>
        <v>0</v>
      </c>
      <c r="O434" s="123">
        <v>670</v>
      </c>
      <c r="P434" t="b">
        <f t="shared" si="17"/>
        <v>0</v>
      </c>
    </row>
    <row r="435" spans="13:16">
      <c r="M435" s="191">
        <v>56</v>
      </c>
      <c r="N435" t="b">
        <f t="shared" si="16"/>
        <v>0</v>
      </c>
      <c r="O435" s="123">
        <v>256</v>
      </c>
      <c r="P435" t="b">
        <f t="shared" si="17"/>
        <v>0</v>
      </c>
    </row>
    <row r="436" spans="13:16">
      <c r="M436" s="123">
        <v>365</v>
      </c>
      <c r="N436" t="b">
        <f t="shared" si="16"/>
        <v>0</v>
      </c>
      <c r="O436" s="123">
        <v>658</v>
      </c>
      <c r="P436" t="b">
        <f t="shared" si="17"/>
        <v>0</v>
      </c>
    </row>
    <row r="437" spans="13:16">
      <c r="M437" s="123">
        <v>5</v>
      </c>
      <c r="N437" t="b">
        <f t="shared" si="16"/>
        <v>0</v>
      </c>
      <c r="O437" s="123">
        <v>699</v>
      </c>
      <c r="P437" t="b">
        <f t="shared" si="17"/>
        <v>0</v>
      </c>
    </row>
    <row r="438" spans="13:16">
      <c r="M438" s="123">
        <v>677</v>
      </c>
      <c r="N438" t="b">
        <f t="shared" si="16"/>
        <v>0</v>
      </c>
      <c r="O438" s="123">
        <v>663</v>
      </c>
      <c r="P438" t="b">
        <f t="shared" si="17"/>
        <v>0</v>
      </c>
    </row>
    <row r="439" spans="13:16">
      <c r="M439" s="123">
        <v>361</v>
      </c>
      <c r="N439" t="b">
        <f t="shared" si="16"/>
        <v>0</v>
      </c>
      <c r="O439" s="123">
        <v>622</v>
      </c>
      <c r="P439" t="b">
        <f t="shared" si="17"/>
        <v>0</v>
      </c>
    </row>
    <row r="440" spans="13:16">
      <c r="M440" s="123">
        <v>204</v>
      </c>
      <c r="N440" t="b">
        <f t="shared" si="16"/>
        <v>0</v>
      </c>
      <c r="O440" s="123">
        <v>608</v>
      </c>
      <c r="P440" t="b">
        <f t="shared" si="17"/>
        <v>0</v>
      </c>
    </row>
    <row r="441" spans="13:16">
      <c r="M441" s="123">
        <v>170</v>
      </c>
      <c r="N441" t="b">
        <f t="shared" si="16"/>
        <v>0</v>
      </c>
      <c r="O441" s="123">
        <v>639</v>
      </c>
      <c r="P441" t="b">
        <f t="shared" si="17"/>
        <v>0</v>
      </c>
    </row>
    <row r="442" spans="13:16">
      <c r="M442" s="145">
        <v>123</v>
      </c>
      <c r="N442" t="b">
        <f t="shared" si="16"/>
        <v>0</v>
      </c>
      <c r="O442" s="123">
        <v>246</v>
      </c>
      <c r="P442" t="b">
        <f t="shared" si="17"/>
        <v>0</v>
      </c>
    </row>
    <row r="443" spans="13:16">
      <c r="M443" s="123">
        <v>53</v>
      </c>
      <c r="N443" t="b">
        <f t="shared" si="16"/>
        <v>0</v>
      </c>
      <c r="O443" s="123">
        <v>672</v>
      </c>
      <c r="P443" t="b">
        <f t="shared" si="17"/>
        <v>0</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4CA9AE9-158F-48BA-B4B5-2C90F11954AE}">
  <dimension ref="A1:K221"/>
  <sheetViews>
    <sheetView zoomScale="70" zoomScaleNormal="70" workbookViewId="0">
      <selection activeCell="J14" sqref="J14"/>
    </sheetView>
  </sheetViews>
  <sheetFormatPr baseColWidth="10" defaultColWidth="11.44140625" defaultRowHeight="14.4"/>
  <cols>
    <col min="5" max="6" width="16.109375" customWidth="1"/>
    <col min="11" max="11" width="22.6640625" customWidth="1"/>
  </cols>
  <sheetData>
    <row r="1" spans="1:11">
      <c r="A1" s="192" t="s">
        <v>2159</v>
      </c>
      <c r="B1" s="192" t="s">
        <v>2160</v>
      </c>
      <c r="C1" s="192" t="s">
        <v>2161</v>
      </c>
      <c r="D1" s="192" t="s">
        <v>2162</v>
      </c>
      <c r="E1" s="192" t="s">
        <v>2515</v>
      </c>
      <c r="F1" s="192" t="s">
        <v>31</v>
      </c>
      <c r="G1" s="192" t="s">
        <v>1147</v>
      </c>
      <c r="H1" s="192" t="s">
        <v>298</v>
      </c>
      <c r="I1" s="192" t="s">
        <v>2165</v>
      </c>
      <c r="J1" s="192" t="s">
        <v>2166</v>
      </c>
      <c r="K1" s="192" t="s">
        <v>2516</v>
      </c>
    </row>
    <row r="2" spans="1:11">
      <c r="A2" s="134">
        <v>1</v>
      </c>
      <c r="B2" s="136" t="s">
        <v>2171</v>
      </c>
      <c r="C2" s="136" t="s">
        <v>2172</v>
      </c>
      <c r="D2" s="137" t="s">
        <v>2173</v>
      </c>
      <c r="E2" s="140">
        <v>42766</v>
      </c>
      <c r="F2" s="140">
        <v>42818</v>
      </c>
      <c r="G2" s="123">
        <v>436</v>
      </c>
      <c r="H2" s="123">
        <v>17</v>
      </c>
      <c r="I2" s="123">
        <v>752</v>
      </c>
      <c r="J2" s="123">
        <v>133</v>
      </c>
      <c r="K2" s="193">
        <f>IFERROR(F2-E2,"")</f>
        <v>52</v>
      </c>
    </row>
    <row r="3" spans="1:11">
      <c r="A3" s="121">
        <v>2</v>
      </c>
      <c r="B3" s="122" t="s">
        <v>2171</v>
      </c>
      <c r="C3" s="122" t="s">
        <v>2178</v>
      </c>
      <c r="D3" s="122" t="s">
        <v>2173</v>
      </c>
      <c r="E3" s="140">
        <v>42766</v>
      </c>
      <c r="F3" s="124">
        <v>42818</v>
      </c>
      <c r="G3" s="123">
        <v>568</v>
      </c>
      <c r="H3" s="123">
        <v>121</v>
      </c>
      <c r="I3" s="123">
        <v>737</v>
      </c>
      <c r="J3" s="123">
        <v>527</v>
      </c>
      <c r="K3" s="193">
        <f t="shared" ref="K3:K66" si="0">IFERROR(F3-E3,"")</f>
        <v>52</v>
      </c>
    </row>
    <row r="4" spans="1:11">
      <c r="A4" s="168">
        <v>3</v>
      </c>
      <c r="B4" s="169" t="s">
        <v>2171</v>
      </c>
      <c r="C4" s="169" t="s">
        <v>2179</v>
      </c>
      <c r="D4" s="169" t="s">
        <v>2173</v>
      </c>
      <c r="E4" s="172">
        <v>42766</v>
      </c>
      <c r="F4" s="168" t="s">
        <v>2055</v>
      </c>
      <c r="G4" s="168">
        <v>631</v>
      </c>
      <c r="H4" s="168">
        <v>158</v>
      </c>
      <c r="I4" s="168">
        <v>661</v>
      </c>
      <c r="J4" s="168">
        <v>498</v>
      </c>
      <c r="K4" s="193" t="str">
        <f t="shared" si="0"/>
        <v/>
      </c>
    </row>
    <row r="5" spans="1:11">
      <c r="A5" s="121">
        <v>4</v>
      </c>
      <c r="B5" s="122" t="s">
        <v>2171</v>
      </c>
      <c r="C5" s="122" t="s">
        <v>2181</v>
      </c>
      <c r="D5" s="122" t="s">
        <v>2173</v>
      </c>
      <c r="E5" s="140">
        <v>42766</v>
      </c>
      <c r="F5" s="124">
        <v>42818</v>
      </c>
      <c r="G5" s="123">
        <v>652</v>
      </c>
      <c r="H5" s="123">
        <v>115</v>
      </c>
      <c r="I5" s="123">
        <v>532</v>
      </c>
      <c r="J5" s="123">
        <v>508</v>
      </c>
      <c r="K5" s="193">
        <f t="shared" si="0"/>
        <v>52</v>
      </c>
    </row>
    <row r="6" spans="1:11">
      <c r="A6" s="121">
        <v>5</v>
      </c>
      <c r="B6" s="122" t="s">
        <v>2171</v>
      </c>
      <c r="C6" s="122" t="s">
        <v>2184</v>
      </c>
      <c r="D6" s="122" t="s">
        <v>2173</v>
      </c>
      <c r="E6" s="140">
        <v>42766</v>
      </c>
      <c r="F6" s="124">
        <v>42818</v>
      </c>
      <c r="G6" s="123">
        <v>497</v>
      </c>
      <c r="H6" s="123">
        <v>502</v>
      </c>
      <c r="I6" s="123">
        <v>577</v>
      </c>
      <c r="J6" s="123">
        <v>38</v>
      </c>
      <c r="K6" s="193">
        <f t="shared" si="0"/>
        <v>52</v>
      </c>
    </row>
    <row r="7" spans="1:11">
      <c r="A7" s="121">
        <v>6</v>
      </c>
      <c r="B7" s="122" t="s">
        <v>2171</v>
      </c>
      <c r="C7" s="122" t="s">
        <v>2185</v>
      </c>
      <c r="D7" s="122" t="s">
        <v>2173</v>
      </c>
      <c r="E7" s="140">
        <v>42766</v>
      </c>
      <c r="F7" s="124">
        <v>42818</v>
      </c>
      <c r="G7" s="123">
        <v>447</v>
      </c>
      <c r="H7" s="123">
        <v>177</v>
      </c>
      <c r="I7" s="123">
        <v>634</v>
      </c>
      <c r="J7" s="123">
        <v>59</v>
      </c>
      <c r="K7" s="193">
        <f t="shared" si="0"/>
        <v>52</v>
      </c>
    </row>
    <row r="8" spans="1:11">
      <c r="A8" s="121">
        <v>7</v>
      </c>
      <c r="B8" s="122" t="s">
        <v>2171</v>
      </c>
      <c r="C8" s="122" t="s">
        <v>2186</v>
      </c>
      <c r="D8" s="122" t="s">
        <v>2173</v>
      </c>
      <c r="E8" s="140">
        <v>42766</v>
      </c>
      <c r="F8" s="124">
        <v>42818</v>
      </c>
      <c r="G8" s="123">
        <v>452</v>
      </c>
      <c r="H8" s="123">
        <v>531</v>
      </c>
      <c r="I8" s="123">
        <v>665</v>
      </c>
      <c r="J8" s="123">
        <v>398</v>
      </c>
      <c r="K8" s="193">
        <f t="shared" si="0"/>
        <v>52</v>
      </c>
    </row>
    <row r="9" spans="1:11">
      <c r="A9" s="121">
        <v>8</v>
      </c>
      <c r="B9" s="122" t="s">
        <v>2171</v>
      </c>
      <c r="C9" s="122" t="s">
        <v>2187</v>
      </c>
      <c r="D9" s="122" t="s">
        <v>2173</v>
      </c>
      <c r="E9" s="140">
        <v>42766</v>
      </c>
      <c r="F9" s="124">
        <v>42818</v>
      </c>
      <c r="G9" s="123">
        <v>389</v>
      </c>
      <c r="H9" s="123">
        <v>406</v>
      </c>
      <c r="I9" s="123">
        <v>701</v>
      </c>
      <c r="J9" s="123">
        <v>512</v>
      </c>
      <c r="K9" s="193">
        <f t="shared" si="0"/>
        <v>52</v>
      </c>
    </row>
    <row r="10" spans="1:11">
      <c r="A10" s="121">
        <v>9</v>
      </c>
      <c r="B10" s="122" t="s">
        <v>2171</v>
      </c>
      <c r="C10" s="122" t="s">
        <v>2188</v>
      </c>
      <c r="D10" s="122" t="s">
        <v>2189</v>
      </c>
      <c r="E10" s="140">
        <v>42766</v>
      </c>
      <c r="F10" s="124">
        <v>42818</v>
      </c>
      <c r="G10">
        <v>514</v>
      </c>
      <c r="H10" s="123">
        <v>169</v>
      </c>
      <c r="I10" s="123">
        <v>476</v>
      </c>
      <c r="J10" s="123">
        <v>101</v>
      </c>
      <c r="K10" s="193">
        <f t="shared" si="0"/>
        <v>52</v>
      </c>
    </row>
    <row r="11" spans="1:11">
      <c r="A11" s="121">
        <v>10</v>
      </c>
      <c r="B11" s="122" t="s">
        <v>2171</v>
      </c>
      <c r="C11" s="122" t="s">
        <v>2191</v>
      </c>
      <c r="D11" s="122" t="s">
        <v>2189</v>
      </c>
      <c r="E11" s="140">
        <v>42766</v>
      </c>
      <c r="F11" s="124">
        <v>42818</v>
      </c>
      <c r="G11" s="123">
        <v>286</v>
      </c>
      <c r="H11" s="123">
        <v>91</v>
      </c>
      <c r="I11" s="123">
        <v>606</v>
      </c>
      <c r="J11" s="123">
        <v>515</v>
      </c>
      <c r="K11" s="193">
        <f t="shared" si="0"/>
        <v>52</v>
      </c>
    </row>
    <row r="12" spans="1:11">
      <c r="A12" s="121">
        <v>11</v>
      </c>
      <c r="B12" s="122" t="s">
        <v>2171</v>
      </c>
      <c r="C12" s="122" t="s">
        <v>2192</v>
      </c>
      <c r="D12" s="122" t="s">
        <v>2189</v>
      </c>
      <c r="E12" s="140">
        <v>42766</v>
      </c>
      <c r="F12" s="124">
        <v>42818</v>
      </c>
      <c r="G12" s="123">
        <v>543</v>
      </c>
      <c r="H12" s="129">
        <v>446</v>
      </c>
      <c r="I12" s="123">
        <v>523</v>
      </c>
      <c r="J12" s="123">
        <v>2</v>
      </c>
      <c r="K12" s="193">
        <f t="shared" si="0"/>
        <v>52</v>
      </c>
    </row>
    <row r="13" spans="1:11">
      <c r="A13" s="168">
        <v>12</v>
      </c>
      <c r="B13" s="169" t="s">
        <v>2171</v>
      </c>
      <c r="C13" s="169" t="s">
        <v>2193</v>
      </c>
      <c r="D13" s="169" t="s">
        <v>2189</v>
      </c>
      <c r="E13" s="172">
        <v>42766</v>
      </c>
      <c r="F13" s="168" t="s">
        <v>2055</v>
      </c>
      <c r="G13" s="168">
        <v>590</v>
      </c>
      <c r="H13" s="168">
        <v>409</v>
      </c>
      <c r="I13" s="168">
        <v>490</v>
      </c>
      <c r="J13" s="168">
        <v>123</v>
      </c>
      <c r="K13" s="193" t="str">
        <f t="shared" si="0"/>
        <v/>
      </c>
    </row>
    <row r="14" spans="1:11">
      <c r="A14" s="121">
        <v>13</v>
      </c>
      <c r="B14" s="122" t="s">
        <v>2171</v>
      </c>
      <c r="C14" s="122" t="s">
        <v>2194</v>
      </c>
      <c r="D14" s="122" t="s">
        <v>2189</v>
      </c>
      <c r="E14" s="140">
        <v>42766</v>
      </c>
      <c r="F14" s="124">
        <v>42818</v>
      </c>
      <c r="G14" s="123">
        <v>595</v>
      </c>
      <c r="H14" s="123">
        <v>450</v>
      </c>
      <c r="I14" s="123">
        <v>241</v>
      </c>
      <c r="J14" s="123">
        <v>3</v>
      </c>
      <c r="K14" s="193">
        <f t="shared" si="0"/>
        <v>52</v>
      </c>
    </row>
    <row r="15" spans="1:11">
      <c r="A15" s="121">
        <v>14</v>
      </c>
      <c r="B15" s="122" t="s">
        <v>2171</v>
      </c>
      <c r="C15" s="122" t="s">
        <v>2196</v>
      </c>
      <c r="D15" s="122" t="s">
        <v>2189</v>
      </c>
      <c r="E15" s="140">
        <v>42766</v>
      </c>
      <c r="F15" s="124">
        <v>42818</v>
      </c>
      <c r="G15" s="123">
        <v>609</v>
      </c>
      <c r="H15" s="123">
        <v>382</v>
      </c>
      <c r="I15" s="129">
        <v>503</v>
      </c>
      <c r="J15" s="123">
        <v>282</v>
      </c>
      <c r="K15" s="193">
        <f t="shared" si="0"/>
        <v>52</v>
      </c>
    </row>
    <row r="16" spans="1:11">
      <c r="A16" s="121">
        <v>15</v>
      </c>
      <c r="B16" s="122" t="s">
        <v>2171</v>
      </c>
      <c r="C16" s="122" t="s">
        <v>2197</v>
      </c>
      <c r="D16" s="122" t="s">
        <v>2189</v>
      </c>
      <c r="E16" s="140">
        <v>42766</v>
      </c>
      <c r="F16" s="124">
        <v>42818</v>
      </c>
      <c r="G16" s="123">
        <v>222</v>
      </c>
      <c r="H16" s="123">
        <v>415</v>
      </c>
      <c r="I16" s="123">
        <v>685</v>
      </c>
      <c r="J16" s="123">
        <v>99</v>
      </c>
      <c r="K16" s="193">
        <f t="shared" si="0"/>
        <v>52</v>
      </c>
    </row>
    <row r="17" spans="1:11">
      <c r="A17" s="121">
        <v>16</v>
      </c>
      <c r="B17" s="122" t="s">
        <v>2171</v>
      </c>
      <c r="C17" s="122" t="s">
        <v>2200</v>
      </c>
      <c r="D17" s="122" t="s">
        <v>2189</v>
      </c>
      <c r="E17" s="140">
        <v>42766</v>
      </c>
      <c r="F17" s="124">
        <v>42818</v>
      </c>
      <c r="G17" s="123">
        <v>405</v>
      </c>
      <c r="H17" s="123">
        <v>519</v>
      </c>
      <c r="I17" s="123">
        <v>644</v>
      </c>
      <c r="J17" s="123">
        <v>154</v>
      </c>
      <c r="K17" s="193">
        <f t="shared" si="0"/>
        <v>52</v>
      </c>
    </row>
    <row r="18" spans="1:11">
      <c r="A18" s="121">
        <v>17</v>
      </c>
      <c r="B18" s="122" t="s">
        <v>2171</v>
      </c>
      <c r="C18" s="122" t="s">
        <v>2202</v>
      </c>
      <c r="D18" s="122" t="s">
        <v>2203</v>
      </c>
      <c r="E18" s="124">
        <v>42767</v>
      </c>
      <c r="F18" s="124">
        <v>42818</v>
      </c>
      <c r="G18" s="123">
        <v>571</v>
      </c>
      <c r="H18" s="123">
        <v>542</v>
      </c>
      <c r="I18" s="123">
        <v>648</v>
      </c>
      <c r="J18" s="123">
        <v>380</v>
      </c>
      <c r="K18" s="193">
        <f t="shared" si="0"/>
        <v>51</v>
      </c>
    </row>
    <row r="19" spans="1:11">
      <c r="A19" s="121">
        <v>18</v>
      </c>
      <c r="B19" s="122" t="s">
        <v>2171</v>
      </c>
      <c r="C19" s="122" t="s">
        <v>2205</v>
      </c>
      <c r="D19" s="122" t="s">
        <v>2203</v>
      </c>
      <c r="E19" s="124">
        <v>42767</v>
      </c>
      <c r="F19" s="124">
        <v>42818</v>
      </c>
      <c r="G19" s="123">
        <v>419</v>
      </c>
      <c r="H19" s="123">
        <v>128</v>
      </c>
      <c r="I19" s="123">
        <v>573</v>
      </c>
      <c r="J19" s="123">
        <v>274</v>
      </c>
      <c r="K19" s="193">
        <f t="shared" si="0"/>
        <v>51</v>
      </c>
    </row>
    <row r="20" spans="1:11">
      <c r="A20" s="121">
        <v>19</v>
      </c>
      <c r="B20" s="122" t="s">
        <v>2171</v>
      </c>
      <c r="C20" s="122" t="s">
        <v>2206</v>
      </c>
      <c r="D20" s="122" t="s">
        <v>2203</v>
      </c>
      <c r="E20" s="124">
        <v>42767</v>
      </c>
      <c r="F20" s="124">
        <v>42818</v>
      </c>
      <c r="G20" s="123">
        <v>240</v>
      </c>
      <c r="H20" s="123">
        <v>82</v>
      </c>
      <c r="I20" s="123">
        <v>639</v>
      </c>
      <c r="J20" s="123">
        <v>566</v>
      </c>
      <c r="K20" s="193">
        <f t="shared" si="0"/>
        <v>51</v>
      </c>
    </row>
    <row r="21" spans="1:11">
      <c r="A21" s="121">
        <v>20</v>
      </c>
      <c r="B21" s="122" t="s">
        <v>2171</v>
      </c>
      <c r="C21" s="122" t="s">
        <v>2207</v>
      </c>
      <c r="D21" s="122" t="s">
        <v>2203</v>
      </c>
      <c r="E21" s="124">
        <v>42767</v>
      </c>
      <c r="F21" s="124">
        <v>42818</v>
      </c>
      <c r="G21" s="123">
        <v>524</v>
      </c>
      <c r="H21" s="123">
        <v>50</v>
      </c>
      <c r="I21" s="123">
        <v>505</v>
      </c>
      <c r="J21" s="123">
        <v>110</v>
      </c>
      <c r="K21" s="193">
        <f t="shared" si="0"/>
        <v>51</v>
      </c>
    </row>
    <row r="22" spans="1:11">
      <c r="A22" s="121">
        <v>21</v>
      </c>
      <c r="B22" s="122" t="s">
        <v>2171</v>
      </c>
      <c r="C22" s="122" t="s">
        <v>2208</v>
      </c>
      <c r="D22" s="122" t="s">
        <v>2203</v>
      </c>
      <c r="E22" s="124">
        <v>42767</v>
      </c>
      <c r="F22" s="124">
        <v>42818</v>
      </c>
      <c r="G22" s="123">
        <v>699</v>
      </c>
      <c r="H22" s="123">
        <v>529</v>
      </c>
      <c r="I22" s="123">
        <v>721</v>
      </c>
      <c r="J22" s="164" t="s">
        <v>2485</v>
      </c>
      <c r="K22" s="193">
        <f t="shared" si="0"/>
        <v>51</v>
      </c>
    </row>
    <row r="23" spans="1:11">
      <c r="A23" s="121">
        <v>22</v>
      </c>
      <c r="B23" s="122" t="s">
        <v>2171</v>
      </c>
      <c r="C23" s="122" t="s">
        <v>2209</v>
      </c>
      <c r="D23" s="122" t="s">
        <v>2203</v>
      </c>
      <c r="E23" s="124">
        <v>42767</v>
      </c>
      <c r="F23" s="124">
        <v>42818</v>
      </c>
      <c r="G23" s="123">
        <v>575</v>
      </c>
      <c r="H23" s="123">
        <v>363</v>
      </c>
      <c r="I23" s="123">
        <v>552</v>
      </c>
      <c r="J23" s="123">
        <v>45</v>
      </c>
      <c r="K23" s="193">
        <f t="shared" si="0"/>
        <v>51</v>
      </c>
    </row>
    <row r="24" spans="1:11">
      <c r="A24" s="121">
        <v>23</v>
      </c>
      <c r="B24" s="122" t="s">
        <v>2171</v>
      </c>
      <c r="C24" s="122" t="s">
        <v>2210</v>
      </c>
      <c r="D24" s="122" t="s">
        <v>2203</v>
      </c>
      <c r="E24" s="124">
        <v>42767</v>
      </c>
      <c r="F24" s="124">
        <v>42818</v>
      </c>
      <c r="G24" s="123">
        <v>492</v>
      </c>
      <c r="H24" s="123">
        <v>190</v>
      </c>
      <c r="I24" s="123">
        <v>456</v>
      </c>
      <c r="J24" s="123">
        <v>132</v>
      </c>
      <c r="K24" s="193">
        <f t="shared" si="0"/>
        <v>51</v>
      </c>
    </row>
    <row r="25" spans="1:11">
      <c r="A25" s="121">
        <v>24</v>
      </c>
      <c r="B25" s="122" t="s">
        <v>2171</v>
      </c>
      <c r="C25" s="122" t="s">
        <v>2211</v>
      </c>
      <c r="D25" s="122" t="s">
        <v>2203</v>
      </c>
      <c r="E25" s="124">
        <v>42767</v>
      </c>
      <c r="F25" s="124">
        <v>42818</v>
      </c>
      <c r="G25" s="123">
        <v>813</v>
      </c>
      <c r="H25" s="123">
        <v>144</v>
      </c>
      <c r="I25" s="123">
        <v>421</v>
      </c>
      <c r="J25" s="123">
        <v>71</v>
      </c>
      <c r="K25" s="193">
        <f t="shared" si="0"/>
        <v>51</v>
      </c>
    </row>
    <row r="26" spans="1:11">
      <c r="A26" s="121">
        <v>25</v>
      </c>
      <c r="B26" s="122" t="s">
        <v>2171</v>
      </c>
      <c r="C26" s="122" t="s">
        <v>2212</v>
      </c>
      <c r="D26" s="122" t="s">
        <v>2213</v>
      </c>
      <c r="E26" s="124">
        <v>42767</v>
      </c>
      <c r="F26" s="124">
        <v>42818</v>
      </c>
      <c r="G26" s="123">
        <v>406</v>
      </c>
      <c r="H26" s="123">
        <v>279</v>
      </c>
      <c r="I26" s="123">
        <v>864</v>
      </c>
      <c r="J26" s="123">
        <v>104</v>
      </c>
      <c r="K26" s="193">
        <f t="shared" si="0"/>
        <v>51</v>
      </c>
    </row>
    <row r="27" spans="1:11">
      <c r="A27" s="121">
        <v>26</v>
      </c>
      <c r="B27" s="122" t="s">
        <v>2171</v>
      </c>
      <c r="C27" s="122" t="s">
        <v>2214</v>
      </c>
      <c r="D27" s="122" t="s">
        <v>2213</v>
      </c>
      <c r="E27" s="124">
        <v>42767</v>
      </c>
      <c r="F27" s="124">
        <v>42818</v>
      </c>
      <c r="G27" s="123">
        <v>651</v>
      </c>
      <c r="H27" s="123">
        <v>148</v>
      </c>
      <c r="I27" s="123">
        <v>506</v>
      </c>
      <c r="J27" s="123">
        <v>189</v>
      </c>
      <c r="K27" s="193">
        <f t="shared" si="0"/>
        <v>51</v>
      </c>
    </row>
    <row r="28" spans="1:11">
      <c r="A28" s="121">
        <v>27</v>
      </c>
      <c r="B28" s="122" t="s">
        <v>2171</v>
      </c>
      <c r="C28" s="122" t="s">
        <v>2215</v>
      </c>
      <c r="D28" s="122" t="s">
        <v>2213</v>
      </c>
      <c r="E28" s="124">
        <v>42767</v>
      </c>
      <c r="F28" s="124">
        <v>42818</v>
      </c>
      <c r="G28" s="123">
        <v>583</v>
      </c>
      <c r="H28" s="123">
        <v>112</v>
      </c>
      <c r="I28" s="123">
        <v>449</v>
      </c>
      <c r="J28" s="123">
        <v>217</v>
      </c>
      <c r="K28" s="193">
        <f t="shared" si="0"/>
        <v>51</v>
      </c>
    </row>
    <row r="29" spans="1:11">
      <c r="A29" s="121">
        <v>28</v>
      </c>
      <c r="B29" s="122" t="s">
        <v>2171</v>
      </c>
      <c r="C29" s="122" t="s">
        <v>2216</v>
      </c>
      <c r="D29" s="122" t="s">
        <v>2213</v>
      </c>
      <c r="E29" s="124">
        <v>42767</v>
      </c>
      <c r="F29" s="124">
        <v>42818</v>
      </c>
      <c r="G29" s="123">
        <v>702</v>
      </c>
      <c r="H29" s="123">
        <v>436</v>
      </c>
      <c r="I29" s="123">
        <v>502</v>
      </c>
      <c r="J29" s="123">
        <v>172</v>
      </c>
      <c r="K29" s="193">
        <f t="shared" si="0"/>
        <v>51</v>
      </c>
    </row>
    <row r="30" spans="1:11">
      <c r="A30" s="121">
        <v>29</v>
      </c>
      <c r="B30" s="122" t="s">
        <v>2171</v>
      </c>
      <c r="C30" s="122" t="s">
        <v>2217</v>
      </c>
      <c r="D30" s="122" t="s">
        <v>2213</v>
      </c>
      <c r="E30" s="124">
        <v>42767</v>
      </c>
      <c r="F30" s="124">
        <v>42818</v>
      </c>
      <c r="G30" s="123">
        <v>838</v>
      </c>
      <c r="H30" s="123">
        <v>386</v>
      </c>
      <c r="I30" s="123">
        <v>345</v>
      </c>
      <c r="J30" s="123">
        <v>349</v>
      </c>
      <c r="K30" s="193">
        <f t="shared" si="0"/>
        <v>51</v>
      </c>
    </row>
    <row r="31" spans="1:11">
      <c r="A31" s="121">
        <v>30</v>
      </c>
      <c r="B31" s="122" t="s">
        <v>2171</v>
      </c>
      <c r="C31" s="122" t="s">
        <v>2218</v>
      </c>
      <c r="D31" s="122" t="s">
        <v>2213</v>
      </c>
      <c r="E31" s="124">
        <v>42767</v>
      </c>
      <c r="F31" s="124">
        <v>42818</v>
      </c>
      <c r="G31" s="123">
        <v>518</v>
      </c>
      <c r="H31">
        <v>507</v>
      </c>
      <c r="I31" s="123">
        <v>500</v>
      </c>
      <c r="J31" s="123">
        <v>296</v>
      </c>
      <c r="K31" s="193">
        <f t="shared" si="0"/>
        <v>51</v>
      </c>
    </row>
    <row r="32" spans="1:11">
      <c r="A32" s="121">
        <v>31</v>
      </c>
      <c r="B32" s="122" t="s">
        <v>2171</v>
      </c>
      <c r="C32" s="122" t="s">
        <v>2219</v>
      </c>
      <c r="D32" s="122" t="s">
        <v>2213</v>
      </c>
      <c r="E32" s="124">
        <v>42767</v>
      </c>
      <c r="F32" s="124">
        <v>42818</v>
      </c>
      <c r="G32" s="129">
        <v>404</v>
      </c>
      <c r="H32" s="123">
        <v>141</v>
      </c>
      <c r="I32" s="123">
        <v>521</v>
      </c>
      <c r="J32" s="123">
        <v>323</v>
      </c>
      <c r="K32" s="193">
        <f t="shared" si="0"/>
        <v>51</v>
      </c>
    </row>
    <row r="33" spans="1:11">
      <c r="A33" s="121">
        <v>32</v>
      </c>
      <c r="B33" s="122" t="s">
        <v>2171</v>
      </c>
      <c r="C33" s="122" t="s">
        <v>2220</v>
      </c>
      <c r="D33" s="122" t="s">
        <v>2213</v>
      </c>
      <c r="E33" s="124">
        <v>42767</v>
      </c>
      <c r="F33" s="124">
        <v>42818</v>
      </c>
      <c r="G33" s="123">
        <v>527</v>
      </c>
      <c r="H33" s="123">
        <v>396</v>
      </c>
      <c r="I33" s="123">
        <v>201</v>
      </c>
      <c r="J33" s="123">
        <v>156</v>
      </c>
      <c r="K33" s="193">
        <f t="shared" si="0"/>
        <v>51</v>
      </c>
    </row>
    <row r="34" spans="1:11">
      <c r="A34" s="121">
        <v>33</v>
      </c>
      <c r="B34" s="122" t="s">
        <v>2171</v>
      </c>
      <c r="C34" s="122" t="s">
        <v>2221</v>
      </c>
      <c r="D34" s="122" t="s">
        <v>2222</v>
      </c>
      <c r="E34" s="124">
        <v>42765</v>
      </c>
      <c r="F34" s="124">
        <v>42820</v>
      </c>
      <c r="G34" s="123">
        <v>366</v>
      </c>
      <c r="H34" s="123">
        <v>109</v>
      </c>
      <c r="I34" s="123">
        <v>556</v>
      </c>
      <c r="J34" s="123">
        <v>452</v>
      </c>
      <c r="K34" s="193">
        <f t="shared" si="0"/>
        <v>55</v>
      </c>
    </row>
    <row r="35" spans="1:11">
      <c r="A35" s="121">
        <v>34</v>
      </c>
      <c r="B35" s="122" t="s">
        <v>2171</v>
      </c>
      <c r="C35" s="122" t="s">
        <v>2224</v>
      </c>
      <c r="D35" s="122" t="s">
        <v>2222</v>
      </c>
      <c r="E35" s="124">
        <v>42765</v>
      </c>
      <c r="F35" s="124">
        <v>42820</v>
      </c>
      <c r="G35" s="123">
        <v>516</v>
      </c>
      <c r="H35" s="123">
        <v>153</v>
      </c>
      <c r="I35" s="123">
        <v>649</v>
      </c>
      <c r="J35" s="123">
        <v>24</v>
      </c>
      <c r="K35" s="193">
        <f t="shared" si="0"/>
        <v>55</v>
      </c>
    </row>
    <row r="36" spans="1:11">
      <c r="A36" s="121">
        <v>35</v>
      </c>
      <c r="B36" s="122" t="s">
        <v>2171</v>
      </c>
      <c r="C36" s="122" t="s">
        <v>2227</v>
      </c>
      <c r="D36" s="122" t="s">
        <v>2222</v>
      </c>
      <c r="E36" s="124">
        <v>42765</v>
      </c>
      <c r="F36" s="124">
        <v>42820</v>
      </c>
      <c r="G36" s="123">
        <v>670</v>
      </c>
      <c r="H36" s="123">
        <v>64</v>
      </c>
      <c r="I36" s="123">
        <v>732</v>
      </c>
      <c r="J36" s="123">
        <v>69</v>
      </c>
      <c r="K36" s="193">
        <f t="shared" si="0"/>
        <v>55</v>
      </c>
    </row>
    <row r="37" spans="1:11">
      <c r="A37" s="121">
        <v>36</v>
      </c>
      <c r="B37" s="122" t="s">
        <v>2171</v>
      </c>
      <c r="C37" s="122" t="s">
        <v>2228</v>
      </c>
      <c r="D37" s="122" t="s">
        <v>2222</v>
      </c>
      <c r="E37" s="124">
        <v>42765</v>
      </c>
      <c r="F37" s="124">
        <v>42820</v>
      </c>
      <c r="G37" s="123">
        <v>507</v>
      </c>
      <c r="H37" s="123">
        <v>126</v>
      </c>
      <c r="I37" s="123">
        <v>550</v>
      </c>
      <c r="J37" s="123">
        <v>97</v>
      </c>
      <c r="K37" s="193">
        <f t="shared" si="0"/>
        <v>55</v>
      </c>
    </row>
    <row r="38" spans="1:11">
      <c r="A38" s="121">
        <v>37</v>
      </c>
      <c r="B38" s="122" t="s">
        <v>2171</v>
      </c>
      <c r="C38" s="122" t="s">
        <v>2230</v>
      </c>
      <c r="D38" s="122" t="s">
        <v>2222</v>
      </c>
      <c r="E38" s="124">
        <v>42765</v>
      </c>
      <c r="F38" s="124">
        <v>42820</v>
      </c>
      <c r="G38" s="123">
        <v>359</v>
      </c>
      <c r="H38" s="123">
        <v>63</v>
      </c>
      <c r="I38" s="123">
        <v>528</v>
      </c>
      <c r="J38" s="123">
        <v>89</v>
      </c>
      <c r="K38" s="193">
        <f t="shared" si="0"/>
        <v>55</v>
      </c>
    </row>
    <row r="39" spans="1:11">
      <c r="A39" s="121">
        <v>38</v>
      </c>
      <c r="B39" s="122" t="s">
        <v>2171</v>
      </c>
      <c r="C39" s="122" t="s">
        <v>2232</v>
      </c>
      <c r="D39" s="122" t="s">
        <v>2222</v>
      </c>
      <c r="E39" s="124">
        <v>42765</v>
      </c>
      <c r="F39" s="124">
        <v>42820</v>
      </c>
      <c r="G39" s="123">
        <v>499</v>
      </c>
      <c r="H39" s="123">
        <v>87</v>
      </c>
      <c r="I39" s="123">
        <v>703</v>
      </c>
      <c r="J39" s="129">
        <v>147</v>
      </c>
      <c r="K39" s="193">
        <f t="shared" si="0"/>
        <v>55</v>
      </c>
    </row>
    <row r="40" spans="1:11">
      <c r="A40" s="121">
        <v>39</v>
      </c>
      <c r="B40" s="122" t="s">
        <v>2171</v>
      </c>
      <c r="C40" s="122" t="s">
        <v>2234</v>
      </c>
      <c r="D40" s="122" t="s">
        <v>2222</v>
      </c>
      <c r="E40" s="124">
        <v>42765</v>
      </c>
      <c r="F40" s="124">
        <v>42820</v>
      </c>
      <c r="G40" s="123">
        <v>214</v>
      </c>
      <c r="H40" s="123">
        <v>437</v>
      </c>
      <c r="I40" s="123">
        <v>566</v>
      </c>
      <c r="J40" s="123">
        <v>65</v>
      </c>
      <c r="K40" s="193">
        <f t="shared" si="0"/>
        <v>55</v>
      </c>
    </row>
    <row r="41" spans="1:11">
      <c r="A41" s="121">
        <v>40</v>
      </c>
      <c r="B41" s="122" t="s">
        <v>2171</v>
      </c>
      <c r="C41" s="122" t="s">
        <v>2236</v>
      </c>
      <c r="D41" s="122" t="s">
        <v>2222</v>
      </c>
      <c r="E41" s="124">
        <v>42765</v>
      </c>
      <c r="F41" s="124">
        <v>42820</v>
      </c>
      <c r="G41" s="123">
        <v>582</v>
      </c>
      <c r="H41" s="123">
        <v>114</v>
      </c>
      <c r="I41" s="123">
        <v>619</v>
      </c>
      <c r="J41" s="123">
        <v>420</v>
      </c>
      <c r="K41" s="193">
        <f t="shared" si="0"/>
        <v>55</v>
      </c>
    </row>
    <row r="42" spans="1:11">
      <c r="A42" s="121">
        <v>41</v>
      </c>
      <c r="B42" s="122" t="s">
        <v>2171</v>
      </c>
      <c r="C42" s="122" t="s">
        <v>2238</v>
      </c>
      <c r="D42" s="122" t="s">
        <v>2239</v>
      </c>
      <c r="E42" s="124">
        <v>42766</v>
      </c>
      <c r="F42" s="124">
        <v>42820</v>
      </c>
      <c r="G42" s="123">
        <v>453</v>
      </c>
      <c r="H42" s="123">
        <v>521</v>
      </c>
      <c r="I42" s="123">
        <v>626</v>
      </c>
      <c r="J42" s="123">
        <v>77</v>
      </c>
      <c r="K42" s="193">
        <f t="shared" si="0"/>
        <v>54</v>
      </c>
    </row>
    <row r="43" spans="1:11">
      <c r="A43" s="121">
        <v>42</v>
      </c>
      <c r="B43" s="122" t="s">
        <v>2171</v>
      </c>
      <c r="C43" s="122" t="s">
        <v>2240</v>
      </c>
      <c r="D43" s="122" t="s">
        <v>2239</v>
      </c>
      <c r="E43" s="124">
        <v>42766</v>
      </c>
      <c r="F43" s="124">
        <v>42820</v>
      </c>
      <c r="G43" s="123">
        <v>764</v>
      </c>
      <c r="H43" s="123">
        <v>371</v>
      </c>
      <c r="I43" s="123">
        <v>437</v>
      </c>
      <c r="J43" s="123">
        <v>81</v>
      </c>
      <c r="K43" s="193">
        <f t="shared" si="0"/>
        <v>54</v>
      </c>
    </row>
    <row r="44" spans="1:11">
      <c r="A44" s="121">
        <v>43</v>
      </c>
      <c r="B44" s="122" t="s">
        <v>2171</v>
      </c>
      <c r="C44" s="122" t="s">
        <v>2242</v>
      </c>
      <c r="D44" s="122" t="s">
        <v>2239</v>
      </c>
      <c r="E44" s="124">
        <v>42766</v>
      </c>
      <c r="F44" s="124">
        <v>42820</v>
      </c>
      <c r="G44" s="123">
        <v>690</v>
      </c>
      <c r="H44" s="123">
        <v>376</v>
      </c>
      <c r="I44" s="123">
        <v>643</v>
      </c>
      <c r="J44" s="123">
        <v>117</v>
      </c>
      <c r="K44" s="193">
        <f t="shared" si="0"/>
        <v>54</v>
      </c>
    </row>
    <row r="45" spans="1:11">
      <c r="A45" s="121">
        <v>44</v>
      </c>
      <c r="B45" s="122" t="s">
        <v>2171</v>
      </c>
      <c r="C45" s="122" t="s">
        <v>2243</v>
      </c>
      <c r="D45" s="122" t="s">
        <v>2239</v>
      </c>
      <c r="E45" s="124">
        <v>42766</v>
      </c>
      <c r="F45" s="124">
        <v>42820</v>
      </c>
      <c r="G45" s="123">
        <v>774</v>
      </c>
      <c r="H45" s="123">
        <v>166</v>
      </c>
      <c r="I45">
        <v>283</v>
      </c>
      <c r="J45" s="123">
        <v>6</v>
      </c>
      <c r="K45" s="193">
        <f t="shared" si="0"/>
        <v>54</v>
      </c>
    </row>
    <row r="46" spans="1:11">
      <c r="A46" s="121">
        <v>45</v>
      </c>
      <c r="B46" s="122" t="s">
        <v>2171</v>
      </c>
      <c r="C46" s="122" t="s">
        <v>2244</v>
      </c>
      <c r="D46" s="122" t="s">
        <v>2239</v>
      </c>
      <c r="E46" s="124">
        <v>42766</v>
      </c>
      <c r="F46" s="124">
        <v>42820</v>
      </c>
      <c r="G46" s="123">
        <v>519</v>
      </c>
      <c r="H46" s="123">
        <v>469</v>
      </c>
      <c r="I46" s="123">
        <v>602</v>
      </c>
      <c r="J46" s="123">
        <v>74</v>
      </c>
      <c r="K46" s="193">
        <f t="shared" si="0"/>
        <v>54</v>
      </c>
    </row>
    <row r="47" spans="1:11">
      <c r="A47" s="168">
        <v>46</v>
      </c>
      <c r="B47" s="169" t="s">
        <v>2171</v>
      </c>
      <c r="C47" s="169" t="s">
        <v>2246</v>
      </c>
      <c r="D47" s="169" t="s">
        <v>2239</v>
      </c>
      <c r="E47" s="170">
        <v>42766</v>
      </c>
      <c r="F47" s="170">
        <v>42820</v>
      </c>
      <c r="G47" s="168">
        <v>635</v>
      </c>
      <c r="H47" s="168">
        <v>86</v>
      </c>
      <c r="I47" s="168">
        <v>427</v>
      </c>
      <c r="J47" s="168">
        <v>102</v>
      </c>
      <c r="K47" s="193">
        <f t="shared" si="0"/>
        <v>54</v>
      </c>
    </row>
    <row r="48" spans="1:11">
      <c r="A48" s="121">
        <v>47</v>
      </c>
      <c r="B48" s="122" t="s">
        <v>2171</v>
      </c>
      <c r="C48" s="122" t="s">
        <v>2247</v>
      </c>
      <c r="D48" s="122" t="s">
        <v>2239</v>
      </c>
      <c r="E48" s="124">
        <v>42766</v>
      </c>
      <c r="F48" s="124">
        <v>42820</v>
      </c>
      <c r="G48" s="123">
        <v>539</v>
      </c>
      <c r="H48" s="123">
        <v>146</v>
      </c>
      <c r="I48" s="123">
        <v>512</v>
      </c>
      <c r="J48" s="123">
        <v>76</v>
      </c>
      <c r="K48" s="193">
        <f t="shared" si="0"/>
        <v>54</v>
      </c>
    </row>
    <row r="49" spans="1:11">
      <c r="A49" s="121">
        <v>48</v>
      </c>
      <c r="B49" s="122" t="s">
        <v>2171</v>
      </c>
      <c r="C49" s="122" t="s">
        <v>2249</v>
      </c>
      <c r="D49" s="122" t="s">
        <v>2239</v>
      </c>
      <c r="E49" s="124">
        <v>42766</v>
      </c>
      <c r="F49" s="124">
        <v>42820</v>
      </c>
      <c r="G49" s="123">
        <v>679</v>
      </c>
      <c r="H49" s="123">
        <v>72</v>
      </c>
      <c r="I49" s="123">
        <v>299</v>
      </c>
      <c r="J49" s="123">
        <v>107</v>
      </c>
      <c r="K49" s="193">
        <f t="shared" si="0"/>
        <v>54</v>
      </c>
    </row>
    <row r="50" spans="1:11">
      <c r="A50" s="121">
        <v>49</v>
      </c>
      <c r="B50" s="122" t="s">
        <v>2171</v>
      </c>
      <c r="C50" s="122" t="s">
        <v>2250</v>
      </c>
      <c r="D50" s="122" t="s">
        <v>2251</v>
      </c>
      <c r="E50" s="124">
        <v>42766</v>
      </c>
      <c r="F50" s="124">
        <v>42820</v>
      </c>
      <c r="G50" s="123">
        <v>346</v>
      </c>
      <c r="H50" s="123">
        <v>28</v>
      </c>
      <c r="I50" s="123">
        <v>739</v>
      </c>
      <c r="J50" s="123">
        <v>155</v>
      </c>
      <c r="K50" s="193">
        <f t="shared" si="0"/>
        <v>54</v>
      </c>
    </row>
    <row r="51" spans="1:11">
      <c r="A51" s="121">
        <v>50</v>
      </c>
      <c r="B51" s="122" t="s">
        <v>2171</v>
      </c>
      <c r="C51" s="122" t="s">
        <v>2252</v>
      </c>
      <c r="D51" s="122" t="s">
        <v>2251</v>
      </c>
      <c r="E51" s="124">
        <v>42766</v>
      </c>
      <c r="F51" s="124">
        <v>42820</v>
      </c>
      <c r="G51" s="123">
        <v>418</v>
      </c>
      <c r="H51" s="123">
        <v>5</v>
      </c>
      <c r="I51" s="123">
        <v>559</v>
      </c>
      <c r="J51" s="123">
        <v>98</v>
      </c>
      <c r="K51" s="193">
        <f t="shared" si="0"/>
        <v>54</v>
      </c>
    </row>
    <row r="52" spans="1:11">
      <c r="A52" s="121">
        <v>51</v>
      </c>
      <c r="B52" s="122" t="s">
        <v>2171</v>
      </c>
      <c r="C52" s="122" t="s">
        <v>2253</v>
      </c>
      <c r="D52" s="122" t="s">
        <v>2251</v>
      </c>
      <c r="E52" s="124">
        <v>42766</v>
      </c>
      <c r="F52" s="124">
        <v>42820</v>
      </c>
      <c r="G52" s="123">
        <v>548</v>
      </c>
      <c r="H52" s="123">
        <v>85</v>
      </c>
      <c r="I52" s="123">
        <v>856</v>
      </c>
      <c r="J52" s="123">
        <v>29</v>
      </c>
      <c r="K52" s="193">
        <f t="shared" si="0"/>
        <v>54</v>
      </c>
    </row>
    <row r="53" spans="1:11">
      <c r="A53" s="121">
        <v>52</v>
      </c>
      <c r="B53" s="122" t="s">
        <v>2171</v>
      </c>
      <c r="C53" s="122" t="s">
        <v>2254</v>
      </c>
      <c r="D53" s="122" t="s">
        <v>2251</v>
      </c>
      <c r="E53" s="124">
        <v>42766</v>
      </c>
      <c r="F53" s="124">
        <v>42820</v>
      </c>
      <c r="G53" s="123">
        <v>638</v>
      </c>
      <c r="H53" s="123">
        <v>513</v>
      </c>
      <c r="I53" s="123">
        <v>599</v>
      </c>
      <c r="J53" s="123">
        <v>312</v>
      </c>
      <c r="K53" s="193">
        <f t="shared" si="0"/>
        <v>54</v>
      </c>
    </row>
    <row r="54" spans="1:11">
      <c r="A54" s="168">
        <v>53</v>
      </c>
      <c r="B54" s="169" t="s">
        <v>2171</v>
      </c>
      <c r="C54" s="169" t="s">
        <v>2255</v>
      </c>
      <c r="D54" s="169" t="s">
        <v>2251</v>
      </c>
      <c r="E54" s="170">
        <v>42766</v>
      </c>
      <c r="F54" s="170">
        <v>42820</v>
      </c>
      <c r="G54" s="168">
        <v>426</v>
      </c>
      <c r="H54" s="168">
        <v>399</v>
      </c>
      <c r="I54" s="168">
        <v>683</v>
      </c>
      <c r="J54" s="168">
        <v>113</v>
      </c>
      <c r="K54" s="193">
        <f t="shared" si="0"/>
        <v>54</v>
      </c>
    </row>
    <row r="55" spans="1:11">
      <c r="A55" s="168">
        <v>54</v>
      </c>
      <c r="B55" s="169" t="s">
        <v>2171</v>
      </c>
      <c r="C55" s="169" t="s">
        <v>2256</v>
      </c>
      <c r="D55" s="169" t="s">
        <v>2251</v>
      </c>
      <c r="E55" s="170">
        <v>42766</v>
      </c>
      <c r="F55" s="170">
        <v>42820</v>
      </c>
      <c r="G55" s="168">
        <v>589</v>
      </c>
      <c r="H55" s="168">
        <v>400</v>
      </c>
      <c r="I55" s="168">
        <v>288</v>
      </c>
      <c r="J55" s="168">
        <v>441</v>
      </c>
      <c r="K55" s="193">
        <f t="shared" si="0"/>
        <v>54</v>
      </c>
    </row>
    <row r="56" spans="1:11">
      <c r="A56" s="121">
        <v>55</v>
      </c>
      <c r="B56" s="122" t="s">
        <v>2171</v>
      </c>
      <c r="C56" s="122" t="s">
        <v>2257</v>
      </c>
      <c r="D56" s="122" t="s">
        <v>2251</v>
      </c>
      <c r="E56" s="124">
        <v>42766</v>
      </c>
      <c r="F56" s="124">
        <v>42820</v>
      </c>
      <c r="G56" s="123">
        <v>622</v>
      </c>
      <c r="H56" s="113">
        <v>19</v>
      </c>
      <c r="I56" s="123">
        <v>616</v>
      </c>
      <c r="J56" s="164" t="s">
        <v>2484</v>
      </c>
      <c r="K56" s="193">
        <f t="shared" si="0"/>
        <v>54</v>
      </c>
    </row>
    <row r="57" spans="1:11">
      <c r="A57" s="121">
        <v>56</v>
      </c>
      <c r="B57" s="122" t="s">
        <v>2171</v>
      </c>
      <c r="C57" s="122" t="s">
        <v>2258</v>
      </c>
      <c r="D57" s="122" t="s">
        <v>2251</v>
      </c>
      <c r="E57" s="124">
        <v>42766</v>
      </c>
      <c r="F57" s="124">
        <v>42820</v>
      </c>
      <c r="G57" s="177">
        <v>538</v>
      </c>
      <c r="H57" s="123">
        <v>60</v>
      </c>
      <c r="I57" s="123">
        <v>557</v>
      </c>
      <c r="J57" s="123">
        <v>58</v>
      </c>
      <c r="K57" s="193">
        <f t="shared" si="0"/>
        <v>54</v>
      </c>
    </row>
    <row r="58" spans="1:11">
      <c r="A58" s="121">
        <v>57</v>
      </c>
      <c r="B58" s="122" t="s">
        <v>2171</v>
      </c>
      <c r="C58" s="131" t="s">
        <v>2259</v>
      </c>
      <c r="D58" s="122" t="s">
        <v>2260</v>
      </c>
      <c r="E58" s="124">
        <v>42766</v>
      </c>
      <c r="F58" s="124">
        <v>42820</v>
      </c>
      <c r="G58" s="164">
        <v>540</v>
      </c>
      <c r="H58" s="123">
        <v>161</v>
      </c>
      <c r="I58" s="123">
        <v>618</v>
      </c>
      <c r="J58" s="123">
        <v>435</v>
      </c>
      <c r="K58" s="193">
        <f t="shared" si="0"/>
        <v>54</v>
      </c>
    </row>
    <row r="59" spans="1:11">
      <c r="A59" s="121">
        <v>58</v>
      </c>
      <c r="B59" s="122" t="s">
        <v>2171</v>
      </c>
      <c r="C59" s="131" t="s">
        <v>2262</v>
      </c>
      <c r="D59" s="122" t="s">
        <v>2260</v>
      </c>
      <c r="E59" s="124">
        <v>42766</v>
      </c>
      <c r="F59" s="124">
        <v>42820</v>
      </c>
      <c r="G59" s="123">
        <v>513</v>
      </c>
      <c r="H59" s="123">
        <v>48</v>
      </c>
      <c r="I59" s="123">
        <v>593</v>
      </c>
      <c r="J59" s="123">
        <v>31</v>
      </c>
      <c r="K59" s="193">
        <f t="shared" si="0"/>
        <v>54</v>
      </c>
    </row>
    <row r="60" spans="1:11">
      <c r="A60" s="121">
        <v>59</v>
      </c>
      <c r="B60" s="122" t="s">
        <v>2171</v>
      </c>
      <c r="C60" s="131" t="s">
        <v>2263</v>
      </c>
      <c r="D60" s="122" t="s">
        <v>2260</v>
      </c>
      <c r="E60" s="124">
        <v>42766</v>
      </c>
      <c r="F60" s="124">
        <v>42820</v>
      </c>
      <c r="G60" s="123">
        <v>489</v>
      </c>
      <c r="H60" s="123">
        <v>23</v>
      </c>
      <c r="I60" s="123">
        <v>600</v>
      </c>
      <c r="J60" s="123">
        <v>120</v>
      </c>
      <c r="K60" s="193">
        <f t="shared" si="0"/>
        <v>54</v>
      </c>
    </row>
    <row r="61" spans="1:11">
      <c r="A61" s="121">
        <v>60</v>
      </c>
      <c r="B61" s="122" t="s">
        <v>2171</v>
      </c>
      <c r="C61" s="131" t="s">
        <v>2264</v>
      </c>
      <c r="D61" s="122" t="s">
        <v>2260</v>
      </c>
      <c r="E61" s="124">
        <v>42766</v>
      </c>
      <c r="F61" s="124">
        <v>42820</v>
      </c>
      <c r="G61" s="123">
        <v>633</v>
      </c>
      <c r="H61" s="123">
        <v>78</v>
      </c>
      <c r="I61" s="123">
        <v>535</v>
      </c>
      <c r="J61" s="123">
        <v>390</v>
      </c>
      <c r="K61" s="193">
        <f t="shared" si="0"/>
        <v>54</v>
      </c>
    </row>
    <row r="62" spans="1:11">
      <c r="A62" s="121">
        <v>61</v>
      </c>
      <c r="B62" s="122" t="s">
        <v>2171</v>
      </c>
      <c r="C62" s="131" t="s">
        <v>2266</v>
      </c>
      <c r="D62" s="122" t="s">
        <v>2260</v>
      </c>
      <c r="E62" s="124">
        <v>42766</v>
      </c>
      <c r="F62" s="124">
        <v>42820</v>
      </c>
      <c r="G62" s="123">
        <v>541</v>
      </c>
      <c r="H62" s="123">
        <v>42</v>
      </c>
      <c r="I62" s="123">
        <v>391</v>
      </c>
      <c r="J62" s="123">
        <v>143</v>
      </c>
      <c r="K62" s="193">
        <f t="shared" si="0"/>
        <v>54</v>
      </c>
    </row>
    <row r="63" spans="1:11">
      <c r="A63" s="121">
        <v>62</v>
      </c>
      <c r="B63" s="122" t="s">
        <v>2171</v>
      </c>
      <c r="C63" s="131" t="s">
        <v>2267</v>
      </c>
      <c r="D63" s="122" t="s">
        <v>2260</v>
      </c>
      <c r="E63" s="124">
        <v>42766</v>
      </c>
      <c r="F63" s="124">
        <v>42820</v>
      </c>
      <c r="G63" s="123">
        <v>565</v>
      </c>
      <c r="H63" s="123">
        <v>119</v>
      </c>
      <c r="I63" s="123">
        <v>445</v>
      </c>
      <c r="J63" s="123">
        <v>448</v>
      </c>
      <c r="K63" s="193">
        <f t="shared" si="0"/>
        <v>54</v>
      </c>
    </row>
    <row r="64" spans="1:11">
      <c r="A64" s="121">
        <v>63</v>
      </c>
      <c r="B64" s="122" t="s">
        <v>2171</v>
      </c>
      <c r="C64" s="131" t="s">
        <v>2269</v>
      </c>
      <c r="D64" s="122" t="s">
        <v>2260</v>
      </c>
      <c r="E64" s="124">
        <v>42766</v>
      </c>
      <c r="F64" s="124">
        <v>42820</v>
      </c>
      <c r="G64" s="123">
        <v>387</v>
      </c>
      <c r="H64" s="123">
        <v>185</v>
      </c>
      <c r="I64" s="123">
        <v>440</v>
      </c>
      <c r="J64" s="123">
        <v>423</v>
      </c>
      <c r="K64" s="193">
        <f t="shared" si="0"/>
        <v>54</v>
      </c>
    </row>
    <row r="65" spans="1:11">
      <c r="A65" s="121">
        <v>64</v>
      </c>
      <c r="B65" s="122" t="s">
        <v>2171</v>
      </c>
      <c r="C65" s="131" t="s">
        <v>2270</v>
      </c>
      <c r="D65" s="122" t="s">
        <v>2260</v>
      </c>
      <c r="E65" s="124">
        <v>42766</v>
      </c>
      <c r="F65" s="124">
        <v>42820</v>
      </c>
      <c r="G65" s="129">
        <v>554</v>
      </c>
      <c r="H65" s="123">
        <v>159</v>
      </c>
      <c r="I65" s="123">
        <v>673</v>
      </c>
      <c r="J65" s="129">
        <v>550</v>
      </c>
      <c r="K65" s="193">
        <f t="shared" si="0"/>
        <v>54</v>
      </c>
    </row>
    <row r="66" spans="1:11">
      <c r="A66" s="121">
        <v>65</v>
      </c>
      <c r="B66" s="122" t="s">
        <v>2271</v>
      </c>
      <c r="C66" s="122" t="s">
        <v>2272</v>
      </c>
      <c r="D66" s="122" t="s">
        <v>2273</v>
      </c>
      <c r="E66" s="124">
        <v>42767</v>
      </c>
      <c r="F66" s="124">
        <v>42818</v>
      </c>
      <c r="G66" s="123">
        <v>614</v>
      </c>
      <c r="H66" s="123">
        <v>525</v>
      </c>
      <c r="I66" s="123">
        <v>700</v>
      </c>
      <c r="J66" s="123">
        <v>333</v>
      </c>
      <c r="K66" s="193">
        <f t="shared" si="0"/>
        <v>51</v>
      </c>
    </row>
    <row r="67" spans="1:11">
      <c r="A67" s="121">
        <v>66</v>
      </c>
      <c r="B67" s="122" t="s">
        <v>2271</v>
      </c>
      <c r="C67" s="122" t="s">
        <v>2274</v>
      </c>
      <c r="D67" s="122" t="s">
        <v>2273</v>
      </c>
      <c r="E67" s="124">
        <v>42767</v>
      </c>
      <c r="F67" s="124">
        <v>42818</v>
      </c>
      <c r="G67" s="123">
        <v>282</v>
      </c>
      <c r="H67" s="123">
        <v>150</v>
      </c>
      <c r="I67" s="123">
        <v>760</v>
      </c>
      <c r="J67" s="123">
        <v>252</v>
      </c>
      <c r="K67" s="193">
        <f t="shared" ref="K67:K130" si="1">IFERROR(F67-E67,"")</f>
        <v>51</v>
      </c>
    </row>
    <row r="68" spans="1:11">
      <c r="A68" s="121">
        <v>67</v>
      </c>
      <c r="B68" s="122" t="s">
        <v>2271</v>
      </c>
      <c r="C68" s="122" t="s">
        <v>2275</v>
      </c>
      <c r="D68" s="122" t="s">
        <v>2273</v>
      </c>
      <c r="E68" s="124">
        <v>42767</v>
      </c>
      <c r="F68" s="124">
        <v>42818</v>
      </c>
      <c r="G68" s="123">
        <v>450</v>
      </c>
      <c r="H68" s="123">
        <v>165</v>
      </c>
      <c r="I68" s="123">
        <v>660</v>
      </c>
      <c r="J68" s="123">
        <v>44</v>
      </c>
      <c r="K68" s="193">
        <f t="shared" si="1"/>
        <v>51</v>
      </c>
    </row>
    <row r="69" spans="1:11">
      <c r="A69" s="121">
        <v>68</v>
      </c>
      <c r="B69" s="122" t="s">
        <v>2271</v>
      </c>
      <c r="C69" s="122" t="s">
        <v>2276</v>
      </c>
      <c r="D69" s="122" t="s">
        <v>2273</v>
      </c>
      <c r="E69" s="124">
        <v>42767</v>
      </c>
      <c r="F69" s="124">
        <v>42818</v>
      </c>
      <c r="G69" s="123">
        <v>269</v>
      </c>
      <c r="H69" s="123">
        <v>129</v>
      </c>
      <c r="I69" s="123">
        <v>477</v>
      </c>
      <c r="J69" s="123">
        <v>9</v>
      </c>
      <c r="K69" s="193">
        <f t="shared" si="1"/>
        <v>51</v>
      </c>
    </row>
    <row r="70" spans="1:11">
      <c r="A70" s="121">
        <v>69</v>
      </c>
      <c r="B70" s="122" t="s">
        <v>2271</v>
      </c>
      <c r="C70" s="122" t="s">
        <v>2277</v>
      </c>
      <c r="D70" s="122" t="s">
        <v>2273</v>
      </c>
      <c r="E70" s="124">
        <v>42767</v>
      </c>
      <c r="F70" s="124">
        <v>42818</v>
      </c>
      <c r="G70" s="123">
        <v>448</v>
      </c>
      <c r="H70" s="123">
        <v>414</v>
      </c>
      <c r="I70" s="123">
        <v>386</v>
      </c>
      <c r="J70" s="123">
        <v>251</v>
      </c>
      <c r="K70" s="193">
        <f t="shared" si="1"/>
        <v>51</v>
      </c>
    </row>
    <row r="71" spans="1:11">
      <c r="A71" s="121">
        <v>70</v>
      </c>
      <c r="B71" s="122" t="s">
        <v>2271</v>
      </c>
      <c r="C71" s="122" t="s">
        <v>2278</v>
      </c>
      <c r="D71" s="122" t="s">
        <v>2273</v>
      </c>
      <c r="E71" s="124">
        <v>42767</v>
      </c>
      <c r="F71" s="124">
        <v>42818</v>
      </c>
      <c r="G71" s="177">
        <v>358</v>
      </c>
      <c r="H71" s="123">
        <v>151</v>
      </c>
      <c r="I71" s="129">
        <v>414</v>
      </c>
      <c r="J71" s="123">
        <v>266</v>
      </c>
      <c r="K71" s="193">
        <f t="shared" si="1"/>
        <v>51</v>
      </c>
    </row>
    <row r="72" spans="1:11">
      <c r="A72" s="121">
        <v>71</v>
      </c>
      <c r="B72" s="122" t="s">
        <v>2271</v>
      </c>
      <c r="C72" s="122" t="s">
        <v>2279</v>
      </c>
      <c r="D72" s="122" t="s">
        <v>2273</v>
      </c>
      <c r="E72" s="124">
        <v>42767</v>
      </c>
      <c r="F72" s="124">
        <v>42818</v>
      </c>
      <c r="G72" s="123">
        <v>511</v>
      </c>
      <c r="H72" s="123">
        <v>95</v>
      </c>
      <c r="I72" s="123">
        <v>459</v>
      </c>
      <c r="J72" s="123">
        <v>528</v>
      </c>
      <c r="K72" s="193">
        <f t="shared" si="1"/>
        <v>51</v>
      </c>
    </row>
    <row r="73" spans="1:11">
      <c r="A73" s="121">
        <v>72</v>
      </c>
      <c r="B73" s="122" t="s">
        <v>2271</v>
      </c>
      <c r="C73" s="122" t="s">
        <v>2280</v>
      </c>
      <c r="D73" s="122" t="s">
        <v>2273</v>
      </c>
      <c r="E73" s="124">
        <v>42767</v>
      </c>
      <c r="F73" s="124">
        <v>42818</v>
      </c>
      <c r="G73" s="123">
        <v>383</v>
      </c>
      <c r="H73" s="123">
        <v>546</v>
      </c>
      <c r="I73" s="123">
        <v>627</v>
      </c>
      <c r="J73" s="177">
        <v>14</v>
      </c>
      <c r="K73" s="193">
        <f t="shared" si="1"/>
        <v>51</v>
      </c>
    </row>
    <row r="74" spans="1:11">
      <c r="A74" s="121">
        <v>73</v>
      </c>
      <c r="B74" s="122" t="s">
        <v>2271</v>
      </c>
      <c r="C74" s="122" t="s">
        <v>2281</v>
      </c>
      <c r="D74" s="122" t="s">
        <v>2282</v>
      </c>
      <c r="E74" s="124">
        <v>42767</v>
      </c>
      <c r="F74" s="124">
        <v>42818</v>
      </c>
      <c r="G74" s="123">
        <v>549</v>
      </c>
      <c r="H74" s="123">
        <v>438</v>
      </c>
      <c r="I74" s="123">
        <v>498</v>
      </c>
      <c r="J74" s="123">
        <v>393</v>
      </c>
      <c r="K74" s="193">
        <f t="shared" si="1"/>
        <v>51</v>
      </c>
    </row>
    <row r="75" spans="1:11">
      <c r="A75" s="121">
        <v>74</v>
      </c>
      <c r="B75" s="122" t="s">
        <v>2271</v>
      </c>
      <c r="C75" s="122" t="s">
        <v>2283</v>
      </c>
      <c r="D75" s="122" t="s">
        <v>2282</v>
      </c>
      <c r="E75" s="124">
        <v>42767</v>
      </c>
      <c r="F75" s="124">
        <v>42818</v>
      </c>
      <c r="G75" s="123">
        <v>605</v>
      </c>
      <c r="H75" s="123">
        <v>122</v>
      </c>
      <c r="I75" s="123">
        <v>579</v>
      </c>
      <c r="J75" s="123">
        <v>138</v>
      </c>
      <c r="K75" s="193">
        <f t="shared" si="1"/>
        <v>51</v>
      </c>
    </row>
    <row r="76" spans="1:11">
      <c r="A76" s="121">
        <v>75</v>
      </c>
      <c r="B76" s="122" t="s">
        <v>2271</v>
      </c>
      <c r="C76" s="122" t="s">
        <v>2284</v>
      </c>
      <c r="D76" s="122" t="s">
        <v>2282</v>
      </c>
      <c r="E76" s="124">
        <v>42767</v>
      </c>
      <c r="F76" s="124">
        <v>42818</v>
      </c>
      <c r="G76" s="123">
        <v>408</v>
      </c>
      <c r="H76" s="123">
        <v>404</v>
      </c>
      <c r="I76" s="123">
        <v>373</v>
      </c>
      <c r="J76">
        <v>311</v>
      </c>
      <c r="K76" s="193">
        <f t="shared" si="1"/>
        <v>51</v>
      </c>
    </row>
    <row r="77" spans="1:11">
      <c r="A77" s="121">
        <v>76</v>
      </c>
      <c r="B77" s="122" t="s">
        <v>2271</v>
      </c>
      <c r="C77" s="122" t="s">
        <v>2285</v>
      </c>
      <c r="D77" s="122" t="s">
        <v>2282</v>
      </c>
      <c r="E77" s="124">
        <v>42767</v>
      </c>
      <c r="F77" s="124">
        <v>42818</v>
      </c>
      <c r="G77">
        <v>416</v>
      </c>
      <c r="H77" s="123">
        <v>501</v>
      </c>
      <c r="I77" s="123">
        <v>603</v>
      </c>
      <c r="J77" s="123">
        <v>183</v>
      </c>
      <c r="K77" s="193">
        <f t="shared" si="1"/>
        <v>51</v>
      </c>
    </row>
    <row r="78" spans="1:11">
      <c r="A78" s="121">
        <v>77</v>
      </c>
      <c r="B78" s="122" t="s">
        <v>2271</v>
      </c>
      <c r="C78" s="122" t="s">
        <v>2286</v>
      </c>
      <c r="D78" s="122" t="s">
        <v>2282</v>
      </c>
      <c r="E78" s="124">
        <v>42767</v>
      </c>
      <c r="F78" s="124">
        <v>42818</v>
      </c>
      <c r="G78">
        <v>594</v>
      </c>
      <c r="H78" s="123">
        <v>137</v>
      </c>
      <c r="I78" s="123">
        <v>509</v>
      </c>
      <c r="J78" s="123">
        <v>228</v>
      </c>
      <c r="K78" s="193">
        <f t="shared" si="1"/>
        <v>51</v>
      </c>
    </row>
    <row r="79" spans="1:11">
      <c r="A79" s="121">
        <v>78</v>
      </c>
      <c r="B79" s="122" t="s">
        <v>2271</v>
      </c>
      <c r="C79" s="122" t="s">
        <v>2287</v>
      </c>
      <c r="D79" s="122" t="s">
        <v>2282</v>
      </c>
      <c r="E79" s="124">
        <v>42767</v>
      </c>
      <c r="F79" s="124">
        <v>42818</v>
      </c>
      <c r="G79" s="123">
        <v>460</v>
      </c>
      <c r="H79" s="123">
        <v>278</v>
      </c>
      <c r="I79" s="123">
        <v>446</v>
      </c>
      <c r="J79" s="123">
        <v>100</v>
      </c>
      <c r="K79" s="193">
        <f t="shared" si="1"/>
        <v>51</v>
      </c>
    </row>
    <row r="80" spans="1:11">
      <c r="A80" s="121">
        <v>79</v>
      </c>
      <c r="B80" s="122" t="s">
        <v>2271</v>
      </c>
      <c r="C80" s="122" t="s">
        <v>2288</v>
      </c>
      <c r="D80" s="122" t="s">
        <v>2282</v>
      </c>
      <c r="E80" s="124">
        <v>42767</v>
      </c>
      <c r="F80" s="124">
        <v>42818</v>
      </c>
      <c r="G80" s="123">
        <v>217</v>
      </c>
      <c r="H80" s="123">
        <v>235</v>
      </c>
      <c r="I80" s="123">
        <v>249</v>
      </c>
      <c r="J80" s="123">
        <v>56</v>
      </c>
      <c r="K80" s="193">
        <f t="shared" si="1"/>
        <v>51</v>
      </c>
    </row>
    <row r="81" spans="1:11">
      <c r="A81" s="121">
        <v>80</v>
      </c>
      <c r="B81" s="122" t="s">
        <v>2271</v>
      </c>
      <c r="C81" s="122" t="s">
        <v>2289</v>
      </c>
      <c r="D81" s="122" t="s">
        <v>2282</v>
      </c>
      <c r="E81" s="124">
        <v>42767</v>
      </c>
      <c r="F81" s="124">
        <v>42818</v>
      </c>
      <c r="G81" s="123">
        <v>607</v>
      </c>
      <c r="H81" s="123">
        <v>181</v>
      </c>
      <c r="I81" s="123">
        <v>474</v>
      </c>
      <c r="J81" s="132">
        <v>68</v>
      </c>
      <c r="K81" s="193">
        <f t="shared" si="1"/>
        <v>51</v>
      </c>
    </row>
    <row r="82" spans="1:11">
      <c r="A82" s="121">
        <v>81</v>
      </c>
      <c r="B82" s="122" t="s">
        <v>2271</v>
      </c>
      <c r="C82" s="122" t="s">
        <v>2290</v>
      </c>
      <c r="D82" s="122" t="s">
        <v>2291</v>
      </c>
      <c r="E82" s="124">
        <v>42767</v>
      </c>
      <c r="F82" s="124">
        <v>42818</v>
      </c>
      <c r="G82" s="123">
        <v>542</v>
      </c>
      <c r="H82" s="123">
        <v>187</v>
      </c>
      <c r="I82" s="123">
        <v>475</v>
      </c>
      <c r="J82" s="123">
        <v>293</v>
      </c>
      <c r="K82" s="193">
        <f t="shared" si="1"/>
        <v>51</v>
      </c>
    </row>
    <row r="83" spans="1:11">
      <c r="A83" s="121">
        <v>82</v>
      </c>
      <c r="B83" s="122" t="s">
        <v>2292</v>
      </c>
      <c r="C83" s="122" t="s">
        <v>2293</v>
      </c>
      <c r="D83" s="122" t="s">
        <v>2291</v>
      </c>
      <c r="E83" s="124">
        <v>42767</v>
      </c>
      <c r="F83" s="124">
        <v>42819</v>
      </c>
      <c r="G83" s="123">
        <v>536</v>
      </c>
      <c r="H83" s="123">
        <v>83</v>
      </c>
      <c r="I83" s="123">
        <v>840</v>
      </c>
      <c r="J83" s="123">
        <v>368</v>
      </c>
      <c r="K83" s="193">
        <f t="shared" si="1"/>
        <v>52</v>
      </c>
    </row>
    <row r="84" spans="1:11">
      <c r="A84" s="121">
        <v>83</v>
      </c>
      <c r="B84" s="122" t="s">
        <v>2292</v>
      </c>
      <c r="C84" s="122" t="s">
        <v>2294</v>
      </c>
      <c r="D84" s="122" t="s">
        <v>2291</v>
      </c>
      <c r="E84" s="124">
        <v>42767</v>
      </c>
      <c r="F84" s="124">
        <v>42819</v>
      </c>
      <c r="G84" s="123">
        <v>494</v>
      </c>
      <c r="H84" s="123">
        <v>134</v>
      </c>
      <c r="I84" s="123">
        <v>298</v>
      </c>
      <c r="J84" s="123">
        <v>22</v>
      </c>
      <c r="K84" s="193">
        <f t="shared" si="1"/>
        <v>52</v>
      </c>
    </row>
    <row r="85" spans="1:11">
      <c r="A85" s="121">
        <v>84</v>
      </c>
      <c r="B85" s="122" t="s">
        <v>2292</v>
      </c>
      <c r="C85" s="122" t="s">
        <v>2295</v>
      </c>
      <c r="D85" s="122" t="s">
        <v>2291</v>
      </c>
      <c r="E85" s="124">
        <v>42767</v>
      </c>
      <c r="F85" s="124">
        <v>42819</v>
      </c>
      <c r="G85" s="132">
        <v>291</v>
      </c>
      <c r="H85" s="123">
        <v>49</v>
      </c>
      <c r="I85" s="123">
        <v>520</v>
      </c>
      <c r="J85" s="123">
        <v>417</v>
      </c>
      <c r="K85" s="193">
        <f t="shared" si="1"/>
        <v>52</v>
      </c>
    </row>
    <row r="86" spans="1:11">
      <c r="A86" s="121">
        <v>85</v>
      </c>
      <c r="B86" s="122" t="s">
        <v>2292</v>
      </c>
      <c r="C86" s="122" t="s">
        <v>2296</v>
      </c>
      <c r="D86" s="122" t="s">
        <v>2291</v>
      </c>
      <c r="E86" s="124">
        <v>42767</v>
      </c>
      <c r="F86" s="124">
        <v>42819</v>
      </c>
      <c r="G86" s="123">
        <v>308</v>
      </c>
      <c r="H86" s="123">
        <v>315</v>
      </c>
      <c r="I86" s="123">
        <v>441</v>
      </c>
      <c r="J86" s="123">
        <v>391</v>
      </c>
      <c r="K86" s="193">
        <f t="shared" si="1"/>
        <v>52</v>
      </c>
    </row>
    <row r="87" spans="1:11">
      <c r="A87" s="121">
        <v>86</v>
      </c>
      <c r="B87" s="122" t="s">
        <v>2292</v>
      </c>
      <c r="C87" s="122" t="s">
        <v>2297</v>
      </c>
      <c r="D87" s="122" t="s">
        <v>2291</v>
      </c>
      <c r="E87" s="124">
        <v>42767</v>
      </c>
      <c r="F87" s="124">
        <v>42819</v>
      </c>
      <c r="G87" s="123">
        <v>723</v>
      </c>
      <c r="H87" s="123">
        <v>1</v>
      </c>
      <c r="I87" s="123">
        <v>561</v>
      </c>
      <c r="J87" s="123">
        <v>62</v>
      </c>
      <c r="K87" s="193">
        <f t="shared" si="1"/>
        <v>52</v>
      </c>
    </row>
    <row r="88" spans="1:11">
      <c r="A88" s="121">
        <v>87</v>
      </c>
      <c r="B88" s="122" t="s">
        <v>2292</v>
      </c>
      <c r="C88" s="122" t="s">
        <v>2298</v>
      </c>
      <c r="D88" s="122" t="s">
        <v>2291</v>
      </c>
      <c r="E88" s="124">
        <v>42767</v>
      </c>
      <c r="F88" s="124">
        <v>42819</v>
      </c>
      <c r="G88" s="123">
        <v>628</v>
      </c>
      <c r="H88" s="123">
        <v>408</v>
      </c>
      <c r="I88" s="123">
        <v>632</v>
      </c>
      <c r="J88" s="123">
        <v>329</v>
      </c>
      <c r="K88" s="193">
        <f t="shared" si="1"/>
        <v>52</v>
      </c>
    </row>
    <row r="89" spans="1:11">
      <c r="A89" s="168">
        <v>88</v>
      </c>
      <c r="B89" s="169" t="s">
        <v>2292</v>
      </c>
      <c r="C89" s="169" t="s">
        <v>2299</v>
      </c>
      <c r="D89" s="169" t="s">
        <v>2291</v>
      </c>
      <c r="E89" s="170">
        <v>42767</v>
      </c>
      <c r="F89" s="168" t="s">
        <v>2055</v>
      </c>
      <c r="G89" s="168">
        <v>569</v>
      </c>
      <c r="H89" s="168">
        <v>385</v>
      </c>
      <c r="I89" s="168">
        <v>611</v>
      </c>
      <c r="J89" s="168">
        <v>288</v>
      </c>
      <c r="K89" s="193" t="str">
        <f t="shared" si="1"/>
        <v/>
      </c>
    </row>
    <row r="90" spans="1:11">
      <c r="A90" s="121">
        <v>89</v>
      </c>
      <c r="B90" s="122" t="s">
        <v>2292</v>
      </c>
      <c r="C90" s="122" t="s">
        <v>2300</v>
      </c>
      <c r="D90" s="122" t="s">
        <v>2301</v>
      </c>
      <c r="E90" s="124">
        <v>42767</v>
      </c>
      <c r="F90" s="124">
        <v>42819</v>
      </c>
      <c r="G90" s="123">
        <v>339</v>
      </c>
      <c r="H90" s="123">
        <v>196</v>
      </c>
      <c r="I90" s="123">
        <v>469</v>
      </c>
      <c r="J90" s="123">
        <v>171</v>
      </c>
      <c r="K90" s="193">
        <f t="shared" si="1"/>
        <v>52</v>
      </c>
    </row>
    <row r="91" spans="1:11">
      <c r="A91" s="121">
        <v>90</v>
      </c>
      <c r="B91" s="122" t="s">
        <v>2292</v>
      </c>
      <c r="C91" s="122" t="s">
        <v>2302</v>
      </c>
      <c r="D91" s="122" t="s">
        <v>2301</v>
      </c>
      <c r="E91" s="124">
        <v>42767</v>
      </c>
      <c r="F91" s="124">
        <v>42819</v>
      </c>
      <c r="G91" s="123">
        <v>592</v>
      </c>
      <c r="H91" s="123">
        <v>94</v>
      </c>
      <c r="I91" s="123">
        <v>355</v>
      </c>
      <c r="J91">
        <v>517</v>
      </c>
      <c r="K91" s="193">
        <f t="shared" si="1"/>
        <v>52</v>
      </c>
    </row>
    <row r="92" spans="1:11">
      <c r="A92" s="121">
        <v>91</v>
      </c>
      <c r="B92" s="122" t="s">
        <v>2292</v>
      </c>
      <c r="C92" s="122" t="s">
        <v>2303</v>
      </c>
      <c r="D92" s="122" t="s">
        <v>2301</v>
      </c>
      <c r="E92" s="124">
        <v>42767</v>
      </c>
      <c r="F92" s="124">
        <v>42819</v>
      </c>
      <c r="G92">
        <v>472</v>
      </c>
      <c r="H92" s="123">
        <v>343</v>
      </c>
      <c r="I92" s="123">
        <v>547</v>
      </c>
      <c r="J92" s="123">
        <v>73</v>
      </c>
      <c r="K92" s="193">
        <f t="shared" si="1"/>
        <v>52</v>
      </c>
    </row>
    <row r="93" spans="1:11">
      <c r="A93" s="121">
        <v>92</v>
      </c>
      <c r="B93" s="122" t="s">
        <v>2292</v>
      </c>
      <c r="C93" s="122" t="s">
        <v>2304</v>
      </c>
      <c r="D93" s="122" t="s">
        <v>2301</v>
      </c>
      <c r="E93" s="124">
        <v>42767</v>
      </c>
      <c r="F93" s="124">
        <v>42819</v>
      </c>
      <c r="G93" s="123">
        <v>529</v>
      </c>
      <c r="H93" s="123">
        <v>445</v>
      </c>
      <c r="I93" s="123">
        <v>763</v>
      </c>
      <c r="J93" s="132">
        <v>4</v>
      </c>
      <c r="K93" s="193">
        <f t="shared" si="1"/>
        <v>52</v>
      </c>
    </row>
    <row r="94" spans="1:11">
      <c r="A94" s="121">
        <v>93</v>
      </c>
      <c r="B94" s="122" t="s">
        <v>2292</v>
      </c>
      <c r="C94" s="122" t="s">
        <v>2305</v>
      </c>
      <c r="D94" s="122" t="s">
        <v>2301</v>
      </c>
      <c r="E94" s="124">
        <v>42767</v>
      </c>
      <c r="F94" s="124">
        <v>42819</v>
      </c>
      <c r="G94" s="123">
        <v>636</v>
      </c>
      <c r="H94" s="123">
        <v>12</v>
      </c>
      <c r="I94" s="123">
        <v>424</v>
      </c>
      <c r="J94" s="123">
        <v>136</v>
      </c>
      <c r="K94" s="193">
        <f t="shared" si="1"/>
        <v>52</v>
      </c>
    </row>
    <row r="95" spans="1:11">
      <c r="A95" s="168">
        <v>94</v>
      </c>
      <c r="B95" s="169" t="s">
        <v>2292</v>
      </c>
      <c r="C95" s="169" t="s">
        <v>2306</v>
      </c>
      <c r="D95" s="169" t="s">
        <v>2301</v>
      </c>
      <c r="E95" s="170">
        <v>42767</v>
      </c>
      <c r="F95" s="170" t="s">
        <v>2055</v>
      </c>
      <c r="G95" s="168">
        <v>534</v>
      </c>
      <c r="H95" s="168">
        <v>244</v>
      </c>
      <c r="I95" s="168">
        <v>588</v>
      </c>
      <c r="J95" s="168">
        <v>358</v>
      </c>
      <c r="K95" s="193" t="str">
        <f t="shared" si="1"/>
        <v/>
      </c>
    </row>
    <row r="96" spans="1:11">
      <c r="A96" s="121">
        <v>95</v>
      </c>
      <c r="B96" s="122" t="s">
        <v>2292</v>
      </c>
      <c r="C96" s="122" t="s">
        <v>2307</v>
      </c>
      <c r="D96" s="122" t="s">
        <v>2301</v>
      </c>
      <c r="E96" s="124">
        <v>42767</v>
      </c>
      <c r="F96" s="124">
        <v>42819</v>
      </c>
      <c r="G96" s="123">
        <v>641</v>
      </c>
      <c r="H96" s="123">
        <v>360</v>
      </c>
      <c r="I96" s="123">
        <v>486</v>
      </c>
      <c r="J96" s="123">
        <v>547</v>
      </c>
      <c r="K96" s="193">
        <f t="shared" si="1"/>
        <v>52</v>
      </c>
    </row>
    <row r="97" spans="1:11">
      <c r="A97" s="121">
        <v>96</v>
      </c>
      <c r="B97" s="122" t="s">
        <v>2292</v>
      </c>
      <c r="C97" s="122" t="s">
        <v>2308</v>
      </c>
      <c r="D97" s="122" t="s">
        <v>2301</v>
      </c>
      <c r="E97" s="124">
        <v>42767</v>
      </c>
      <c r="F97" s="124">
        <v>42819</v>
      </c>
      <c r="G97" s="123">
        <v>479</v>
      </c>
      <c r="H97" s="123">
        <v>318</v>
      </c>
      <c r="I97" s="123">
        <v>545</v>
      </c>
      <c r="J97" s="123">
        <v>588</v>
      </c>
      <c r="K97" s="193">
        <f t="shared" si="1"/>
        <v>52</v>
      </c>
    </row>
    <row r="98" spans="1:11">
      <c r="A98" s="121">
        <v>97</v>
      </c>
      <c r="B98" s="122" t="s">
        <v>2309</v>
      </c>
      <c r="C98" s="122" t="s">
        <v>2310</v>
      </c>
      <c r="D98" s="122" t="s">
        <v>2173</v>
      </c>
      <c r="E98" s="124">
        <v>42762</v>
      </c>
      <c r="F98" s="124">
        <v>42816</v>
      </c>
      <c r="G98" s="123">
        <v>741</v>
      </c>
      <c r="H98" s="123">
        <v>518</v>
      </c>
      <c r="I98" s="123">
        <v>847</v>
      </c>
      <c r="J98" s="123">
        <v>576</v>
      </c>
      <c r="K98" s="193">
        <f t="shared" si="1"/>
        <v>54</v>
      </c>
    </row>
    <row r="99" spans="1:11">
      <c r="A99" s="121">
        <v>98</v>
      </c>
      <c r="B99" s="122" t="s">
        <v>2309</v>
      </c>
      <c r="C99" s="122" t="s">
        <v>2311</v>
      </c>
      <c r="D99" s="122" t="s">
        <v>2173</v>
      </c>
      <c r="E99" s="124">
        <v>42762</v>
      </c>
      <c r="F99" s="124">
        <v>42816</v>
      </c>
      <c r="G99" s="123">
        <v>610</v>
      </c>
      <c r="H99" s="123">
        <v>489</v>
      </c>
      <c r="I99" s="123">
        <v>730</v>
      </c>
      <c r="J99" s="123">
        <v>561</v>
      </c>
      <c r="K99" s="193">
        <f t="shared" si="1"/>
        <v>54</v>
      </c>
    </row>
    <row r="100" spans="1:11">
      <c r="A100" s="121">
        <v>99</v>
      </c>
      <c r="B100" s="122" t="s">
        <v>2309</v>
      </c>
      <c r="C100" s="122" t="s">
        <v>2312</v>
      </c>
      <c r="D100" s="122" t="s">
        <v>2173</v>
      </c>
      <c r="E100" s="124">
        <v>42762</v>
      </c>
      <c r="F100" s="124">
        <v>42816</v>
      </c>
      <c r="G100" s="123">
        <v>765</v>
      </c>
      <c r="H100" s="123">
        <v>549</v>
      </c>
      <c r="I100" s="123">
        <v>691</v>
      </c>
      <c r="J100" s="123">
        <v>496</v>
      </c>
      <c r="K100" s="193">
        <f t="shared" si="1"/>
        <v>54</v>
      </c>
    </row>
    <row r="101" spans="1:11">
      <c r="A101" s="121">
        <v>100</v>
      </c>
      <c r="B101" s="122" t="s">
        <v>2309</v>
      </c>
      <c r="C101" s="122" t="s">
        <v>2313</v>
      </c>
      <c r="D101" s="122" t="s">
        <v>2173</v>
      </c>
      <c r="E101" s="124">
        <v>42762</v>
      </c>
      <c r="F101" s="124">
        <v>42816</v>
      </c>
      <c r="G101" s="123">
        <v>728</v>
      </c>
      <c r="H101" s="123">
        <v>500</v>
      </c>
      <c r="I101" s="123">
        <v>828</v>
      </c>
      <c r="J101" s="123">
        <v>497</v>
      </c>
      <c r="K101" s="193">
        <f t="shared" si="1"/>
        <v>54</v>
      </c>
    </row>
    <row r="102" spans="1:11">
      <c r="A102" s="121">
        <v>101</v>
      </c>
      <c r="B102" s="122" t="s">
        <v>2309</v>
      </c>
      <c r="C102" s="122" t="s">
        <v>2315</v>
      </c>
      <c r="D102" s="122" t="s">
        <v>2173</v>
      </c>
      <c r="E102" s="124">
        <v>42762</v>
      </c>
      <c r="F102" s="124">
        <v>42816</v>
      </c>
      <c r="G102" s="123">
        <v>808</v>
      </c>
      <c r="H102" s="123">
        <v>482</v>
      </c>
      <c r="I102" s="123">
        <v>875</v>
      </c>
      <c r="J102" s="123">
        <v>10</v>
      </c>
      <c r="K102" s="193">
        <f t="shared" si="1"/>
        <v>54</v>
      </c>
    </row>
    <row r="103" spans="1:11">
      <c r="A103" s="121">
        <v>102</v>
      </c>
      <c r="B103" s="122" t="s">
        <v>2309</v>
      </c>
      <c r="C103" s="122" t="s">
        <v>2316</v>
      </c>
      <c r="D103" s="122" t="s">
        <v>2173</v>
      </c>
      <c r="E103" s="124">
        <v>42762</v>
      </c>
      <c r="F103" s="124">
        <v>42816</v>
      </c>
      <c r="G103" s="123">
        <v>892</v>
      </c>
      <c r="H103" s="123">
        <v>569</v>
      </c>
      <c r="I103" s="123">
        <v>824</v>
      </c>
      <c r="J103" s="123">
        <v>26</v>
      </c>
      <c r="K103" s="193">
        <f t="shared" si="1"/>
        <v>54</v>
      </c>
    </row>
    <row r="104" spans="1:11">
      <c r="A104" s="121">
        <v>103</v>
      </c>
      <c r="B104" s="122" t="s">
        <v>2309</v>
      </c>
      <c r="C104" s="122" t="s">
        <v>2317</v>
      </c>
      <c r="D104" s="122" t="s">
        <v>2173</v>
      </c>
      <c r="E104" s="124">
        <v>42762</v>
      </c>
      <c r="F104" s="124">
        <v>42816</v>
      </c>
      <c r="G104" s="123">
        <v>869</v>
      </c>
      <c r="H104" s="123">
        <v>430</v>
      </c>
      <c r="I104" s="123">
        <v>692</v>
      </c>
      <c r="J104" s="123">
        <v>494</v>
      </c>
      <c r="K104" s="193">
        <f t="shared" si="1"/>
        <v>54</v>
      </c>
    </row>
    <row r="105" spans="1:11">
      <c r="A105" s="121">
        <v>104</v>
      </c>
      <c r="B105" s="122" t="s">
        <v>2309</v>
      </c>
      <c r="C105" s="122" t="s">
        <v>2318</v>
      </c>
      <c r="D105" s="122" t="s">
        <v>2173</v>
      </c>
      <c r="E105" s="124">
        <v>42762</v>
      </c>
      <c r="F105" s="124">
        <v>42816</v>
      </c>
      <c r="G105" s="123">
        <v>881</v>
      </c>
      <c r="H105" s="123">
        <v>577</v>
      </c>
      <c r="I105" s="123">
        <v>806</v>
      </c>
      <c r="J105" s="123">
        <v>475</v>
      </c>
      <c r="K105" s="193">
        <f t="shared" si="1"/>
        <v>54</v>
      </c>
    </row>
    <row r="106" spans="1:11">
      <c r="A106" s="121">
        <v>105</v>
      </c>
      <c r="B106" s="122" t="s">
        <v>2309</v>
      </c>
      <c r="C106" s="122" t="s">
        <v>2319</v>
      </c>
      <c r="D106" s="122" t="s">
        <v>2189</v>
      </c>
      <c r="E106" s="124">
        <v>42762</v>
      </c>
      <c r="F106" s="124">
        <v>42816</v>
      </c>
      <c r="G106" s="123">
        <v>729</v>
      </c>
      <c r="H106" s="123">
        <v>548</v>
      </c>
      <c r="I106" s="123">
        <v>861</v>
      </c>
      <c r="J106">
        <v>540</v>
      </c>
      <c r="K106" s="193">
        <f t="shared" si="1"/>
        <v>54</v>
      </c>
    </row>
    <row r="107" spans="1:11">
      <c r="A107" s="121">
        <v>106</v>
      </c>
      <c r="B107" s="122" t="s">
        <v>2309</v>
      </c>
      <c r="C107" s="122" t="s">
        <v>2320</v>
      </c>
      <c r="D107" s="122" t="s">
        <v>2189</v>
      </c>
      <c r="E107" s="124">
        <v>42762</v>
      </c>
      <c r="F107" s="124">
        <v>42816</v>
      </c>
      <c r="G107" s="123">
        <v>837</v>
      </c>
      <c r="H107" s="123">
        <v>590</v>
      </c>
      <c r="I107" s="123">
        <v>738</v>
      </c>
      <c r="J107" s="123">
        <v>593</v>
      </c>
      <c r="K107" s="193">
        <f t="shared" si="1"/>
        <v>54</v>
      </c>
    </row>
    <row r="108" spans="1:11">
      <c r="A108" s="121">
        <v>107</v>
      </c>
      <c r="B108" s="122" t="s">
        <v>2309</v>
      </c>
      <c r="C108" s="122" t="s">
        <v>2321</v>
      </c>
      <c r="D108" s="122" t="s">
        <v>2189</v>
      </c>
      <c r="E108" s="124">
        <v>42762</v>
      </c>
      <c r="F108" s="124">
        <v>42816</v>
      </c>
      <c r="G108" s="123">
        <v>688</v>
      </c>
      <c r="H108" s="123">
        <v>574</v>
      </c>
      <c r="I108" s="123">
        <v>676</v>
      </c>
      <c r="J108" s="123">
        <v>510</v>
      </c>
      <c r="K108" s="193">
        <f t="shared" si="1"/>
        <v>54</v>
      </c>
    </row>
    <row r="109" spans="1:11">
      <c r="A109" s="121">
        <v>108</v>
      </c>
      <c r="B109" s="122" t="s">
        <v>2309</v>
      </c>
      <c r="C109" s="122" t="s">
        <v>2322</v>
      </c>
      <c r="D109" s="122" t="s">
        <v>2189</v>
      </c>
      <c r="E109" s="124">
        <v>42762</v>
      </c>
      <c r="F109" s="124">
        <v>42816</v>
      </c>
      <c r="G109" s="123">
        <v>883</v>
      </c>
      <c r="H109" s="123">
        <v>8</v>
      </c>
      <c r="I109" s="123">
        <v>845</v>
      </c>
      <c r="J109" s="123">
        <v>509</v>
      </c>
      <c r="K109" s="193">
        <f t="shared" si="1"/>
        <v>54</v>
      </c>
    </row>
    <row r="110" spans="1:11">
      <c r="A110" s="121">
        <v>109</v>
      </c>
      <c r="B110" s="122" t="s">
        <v>2309</v>
      </c>
      <c r="C110" s="122" t="s">
        <v>2324</v>
      </c>
      <c r="D110" s="122" t="s">
        <v>2189</v>
      </c>
      <c r="E110" s="124">
        <v>42762</v>
      </c>
      <c r="F110" s="124">
        <v>42816</v>
      </c>
      <c r="G110" s="123">
        <v>704</v>
      </c>
      <c r="H110" s="123">
        <v>552</v>
      </c>
      <c r="I110" s="123">
        <v>887</v>
      </c>
      <c r="J110" s="123">
        <v>33</v>
      </c>
      <c r="K110" s="193">
        <f t="shared" si="1"/>
        <v>54</v>
      </c>
    </row>
    <row r="111" spans="1:11">
      <c r="A111" s="121">
        <v>110</v>
      </c>
      <c r="B111" s="122" t="s">
        <v>2309</v>
      </c>
      <c r="C111" s="122" t="s">
        <v>2325</v>
      </c>
      <c r="D111" s="122" t="s">
        <v>2189</v>
      </c>
      <c r="E111" s="124">
        <v>42762</v>
      </c>
      <c r="F111" s="124">
        <v>42816</v>
      </c>
      <c r="G111" s="123">
        <v>742</v>
      </c>
      <c r="H111" s="123">
        <v>462</v>
      </c>
      <c r="I111" s="177">
        <v>882</v>
      </c>
      <c r="J111" s="164" t="s">
        <v>2483</v>
      </c>
      <c r="K111" s="193">
        <f t="shared" si="1"/>
        <v>54</v>
      </c>
    </row>
    <row r="112" spans="1:11">
      <c r="A112" s="121">
        <v>111</v>
      </c>
      <c r="B112" s="122" t="s">
        <v>2309</v>
      </c>
      <c r="C112" s="122" t="s">
        <v>2326</v>
      </c>
      <c r="D112" s="122" t="s">
        <v>2189</v>
      </c>
      <c r="E112" s="124">
        <v>42762</v>
      </c>
      <c r="F112" s="124">
        <v>42816</v>
      </c>
      <c r="G112" s="123">
        <v>831</v>
      </c>
      <c r="H112" s="123">
        <v>505</v>
      </c>
      <c r="I112" s="123">
        <v>695</v>
      </c>
      <c r="J112" s="123">
        <v>487</v>
      </c>
      <c r="K112" s="193">
        <f t="shared" si="1"/>
        <v>54</v>
      </c>
    </row>
    <row r="113" spans="1:11">
      <c r="A113" s="121">
        <v>112</v>
      </c>
      <c r="B113" s="122" t="s">
        <v>2309</v>
      </c>
      <c r="C113" s="122" t="s">
        <v>2327</v>
      </c>
      <c r="D113" s="122" t="s">
        <v>2189</v>
      </c>
      <c r="E113" s="124">
        <v>42762</v>
      </c>
      <c r="F113" s="124">
        <v>42816</v>
      </c>
      <c r="G113" s="123">
        <v>899</v>
      </c>
      <c r="H113" s="123">
        <v>41</v>
      </c>
      <c r="I113" s="123">
        <v>852</v>
      </c>
      <c r="J113" s="123">
        <v>530</v>
      </c>
      <c r="K113" s="193">
        <f t="shared" si="1"/>
        <v>54</v>
      </c>
    </row>
    <row r="114" spans="1:11">
      <c r="A114" s="121">
        <v>113</v>
      </c>
      <c r="B114" s="122" t="s">
        <v>2309</v>
      </c>
      <c r="C114" s="122" t="s">
        <v>2328</v>
      </c>
      <c r="D114" s="122" t="s">
        <v>2203</v>
      </c>
      <c r="E114" s="124">
        <v>42762</v>
      </c>
      <c r="F114" s="124">
        <v>42816</v>
      </c>
      <c r="G114" s="123">
        <v>724</v>
      </c>
      <c r="H114" s="123">
        <v>428</v>
      </c>
      <c r="I114" s="123">
        <v>769</v>
      </c>
      <c r="J114" s="123">
        <v>578</v>
      </c>
      <c r="K114" s="193">
        <f t="shared" si="1"/>
        <v>54</v>
      </c>
    </row>
    <row r="115" spans="1:11">
      <c r="A115" s="121">
        <v>114</v>
      </c>
      <c r="B115" s="122" t="s">
        <v>2309</v>
      </c>
      <c r="C115" s="122" t="s">
        <v>2329</v>
      </c>
      <c r="D115" s="122" t="s">
        <v>2203</v>
      </c>
      <c r="E115" s="124">
        <v>42762</v>
      </c>
      <c r="F115" s="124">
        <v>42816</v>
      </c>
      <c r="G115" s="123">
        <v>803</v>
      </c>
      <c r="H115" s="123">
        <v>601</v>
      </c>
      <c r="I115" s="123">
        <v>889</v>
      </c>
      <c r="J115" s="123">
        <v>37</v>
      </c>
      <c r="K115" s="193">
        <f t="shared" si="1"/>
        <v>54</v>
      </c>
    </row>
    <row r="116" spans="1:11">
      <c r="A116" s="121">
        <v>115</v>
      </c>
      <c r="B116" s="122" t="s">
        <v>2309</v>
      </c>
      <c r="C116" s="122" t="s">
        <v>2330</v>
      </c>
      <c r="D116" s="122" t="s">
        <v>2203</v>
      </c>
      <c r="E116" s="124">
        <v>42762</v>
      </c>
      <c r="F116" s="124">
        <v>42816</v>
      </c>
      <c r="G116" s="123">
        <v>693</v>
      </c>
      <c r="H116" s="123">
        <v>553</v>
      </c>
      <c r="I116" s="123">
        <v>778</v>
      </c>
      <c r="J116" s="123">
        <v>522</v>
      </c>
      <c r="K116" s="193">
        <f t="shared" si="1"/>
        <v>54</v>
      </c>
    </row>
    <row r="117" spans="1:11">
      <c r="A117" s="121">
        <v>116</v>
      </c>
      <c r="B117" s="122" t="s">
        <v>2309</v>
      </c>
      <c r="C117" s="122" t="s">
        <v>2331</v>
      </c>
      <c r="D117" s="122" t="s">
        <v>2203</v>
      </c>
      <c r="E117" s="124">
        <v>42762</v>
      </c>
      <c r="F117" s="124">
        <v>42816</v>
      </c>
      <c r="G117" s="123">
        <v>897</v>
      </c>
      <c r="H117" s="123">
        <v>459</v>
      </c>
      <c r="I117" s="123">
        <v>563</v>
      </c>
      <c r="J117" s="123">
        <v>480</v>
      </c>
      <c r="K117" s="193">
        <f t="shared" si="1"/>
        <v>54</v>
      </c>
    </row>
    <row r="118" spans="1:11">
      <c r="A118" s="121">
        <v>117</v>
      </c>
      <c r="B118" s="122" t="s">
        <v>2309</v>
      </c>
      <c r="C118" s="122" t="s">
        <v>2332</v>
      </c>
      <c r="D118" s="122" t="s">
        <v>2203</v>
      </c>
      <c r="E118" s="124">
        <v>42762</v>
      </c>
      <c r="F118" s="124">
        <v>42816</v>
      </c>
      <c r="G118" s="123">
        <v>789</v>
      </c>
      <c r="H118" s="123">
        <v>511</v>
      </c>
      <c r="I118" s="123">
        <v>901</v>
      </c>
      <c r="J118" s="123">
        <v>565</v>
      </c>
      <c r="K118" s="193">
        <f t="shared" si="1"/>
        <v>54</v>
      </c>
    </row>
    <row r="119" spans="1:11">
      <c r="A119" s="121">
        <v>118</v>
      </c>
      <c r="B119" s="122" t="s">
        <v>2309</v>
      </c>
      <c r="C119" s="122" t="s">
        <v>2333</v>
      </c>
      <c r="D119" s="122" t="s">
        <v>2203</v>
      </c>
      <c r="E119" s="124">
        <v>42762</v>
      </c>
      <c r="F119" s="124">
        <v>42816</v>
      </c>
      <c r="G119" s="123">
        <v>681</v>
      </c>
      <c r="H119" s="123">
        <v>495</v>
      </c>
      <c r="I119" s="123">
        <v>791</v>
      </c>
      <c r="J119" s="123">
        <v>544</v>
      </c>
      <c r="K119" s="193">
        <f t="shared" si="1"/>
        <v>54</v>
      </c>
    </row>
    <row r="120" spans="1:11">
      <c r="A120" s="121">
        <v>119</v>
      </c>
      <c r="B120" s="122" t="s">
        <v>2309</v>
      </c>
      <c r="C120" s="122" t="s">
        <v>2334</v>
      </c>
      <c r="D120" s="122" t="s">
        <v>2203</v>
      </c>
      <c r="E120" s="124">
        <v>42762</v>
      </c>
      <c r="F120" s="124">
        <v>42816</v>
      </c>
      <c r="G120" s="123">
        <v>657</v>
      </c>
      <c r="H120" s="123">
        <v>584</v>
      </c>
      <c r="I120" s="123">
        <v>802</v>
      </c>
      <c r="J120" s="123">
        <v>526</v>
      </c>
      <c r="K120" s="193">
        <f t="shared" si="1"/>
        <v>54</v>
      </c>
    </row>
    <row r="121" spans="1:11">
      <c r="A121" s="121">
        <v>120</v>
      </c>
      <c r="B121" s="122" t="s">
        <v>2309</v>
      </c>
      <c r="C121" s="122" t="s">
        <v>2335</v>
      </c>
      <c r="D121" s="122" t="s">
        <v>2203</v>
      </c>
      <c r="E121" s="124">
        <v>42762</v>
      </c>
      <c r="F121" s="124">
        <v>42816</v>
      </c>
      <c r="G121" s="123">
        <v>758</v>
      </c>
      <c r="H121" s="123">
        <v>454</v>
      </c>
      <c r="I121" s="123">
        <v>698</v>
      </c>
      <c r="J121" s="123">
        <v>594</v>
      </c>
      <c r="K121" s="193">
        <f t="shared" si="1"/>
        <v>54</v>
      </c>
    </row>
    <row r="122" spans="1:11">
      <c r="A122" s="121">
        <v>121</v>
      </c>
      <c r="B122" s="122" t="s">
        <v>2309</v>
      </c>
      <c r="C122" s="122" t="s">
        <v>2336</v>
      </c>
      <c r="D122" s="122" t="s">
        <v>2213</v>
      </c>
      <c r="E122" s="124">
        <v>42762</v>
      </c>
      <c r="F122" s="124">
        <v>42816</v>
      </c>
      <c r="G122" s="123">
        <v>666</v>
      </c>
      <c r="H122" s="123">
        <v>532</v>
      </c>
      <c r="I122" s="123">
        <v>825</v>
      </c>
      <c r="J122" s="123">
        <v>564</v>
      </c>
      <c r="K122" s="193">
        <f t="shared" si="1"/>
        <v>54</v>
      </c>
    </row>
    <row r="123" spans="1:11">
      <c r="A123" s="121">
        <v>122</v>
      </c>
      <c r="B123" s="122" t="s">
        <v>2309</v>
      </c>
      <c r="C123" s="122" t="s">
        <v>2337</v>
      </c>
      <c r="D123" s="122" t="s">
        <v>2213</v>
      </c>
      <c r="E123" s="124">
        <v>42762</v>
      </c>
      <c r="F123" s="124">
        <v>42816</v>
      </c>
      <c r="G123" s="123">
        <v>860</v>
      </c>
      <c r="H123" s="123">
        <v>11</v>
      </c>
      <c r="I123" s="123">
        <v>839</v>
      </c>
      <c r="J123" s="123">
        <v>429</v>
      </c>
      <c r="K123" s="193">
        <f t="shared" si="1"/>
        <v>54</v>
      </c>
    </row>
    <row r="124" spans="1:11">
      <c r="A124" s="121">
        <v>123</v>
      </c>
      <c r="B124" s="122" t="s">
        <v>2309</v>
      </c>
      <c r="C124" s="122" t="s">
        <v>2338</v>
      </c>
      <c r="D124" s="122" t="s">
        <v>2213</v>
      </c>
      <c r="E124" s="124">
        <v>42762</v>
      </c>
      <c r="F124" s="124">
        <v>42816</v>
      </c>
      <c r="G124" s="123">
        <v>694</v>
      </c>
      <c r="H124" s="129">
        <v>575</v>
      </c>
      <c r="I124" s="123">
        <v>895</v>
      </c>
      <c r="J124" s="123">
        <v>466</v>
      </c>
      <c r="K124" s="193">
        <f t="shared" si="1"/>
        <v>54</v>
      </c>
    </row>
    <row r="125" spans="1:11">
      <c r="A125" s="121">
        <v>124</v>
      </c>
      <c r="B125" s="122" t="s">
        <v>2309</v>
      </c>
      <c r="C125" s="122" t="s">
        <v>2340</v>
      </c>
      <c r="D125" s="122" t="s">
        <v>2213</v>
      </c>
      <c r="E125" s="124">
        <v>42762</v>
      </c>
      <c r="F125" s="124">
        <v>42816</v>
      </c>
      <c r="G125" s="123">
        <v>867</v>
      </c>
      <c r="H125" s="123">
        <v>39</v>
      </c>
      <c r="I125" s="123">
        <v>682</v>
      </c>
      <c r="J125" s="123">
        <v>471</v>
      </c>
      <c r="K125" s="193">
        <f t="shared" si="1"/>
        <v>54</v>
      </c>
    </row>
    <row r="126" spans="1:11">
      <c r="A126" s="121">
        <v>125</v>
      </c>
      <c r="B126" s="122" t="s">
        <v>2309</v>
      </c>
      <c r="C126" s="122" t="s">
        <v>2341</v>
      </c>
      <c r="D126" s="122" t="s">
        <v>2213</v>
      </c>
      <c r="E126" s="124">
        <v>42762</v>
      </c>
      <c r="F126" s="124">
        <v>42816</v>
      </c>
      <c r="G126" s="123">
        <v>793</v>
      </c>
      <c r="H126" s="123">
        <v>560</v>
      </c>
      <c r="I126" s="123">
        <v>740</v>
      </c>
      <c r="J126" s="123">
        <v>486</v>
      </c>
      <c r="K126" s="193">
        <f t="shared" si="1"/>
        <v>54</v>
      </c>
    </row>
    <row r="127" spans="1:11">
      <c r="A127" s="121">
        <v>126</v>
      </c>
      <c r="B127" s="122" t="s">
        <v>2309</v>
      </c>
      <c r="C127" s="122" t="s">
        <v>2342</v>
      </c>
      <c r="D127" s="122" t="s">
        <v>2213</v>
      </c>
      <c r="E127" s="124">
        <v>42762</v>
      </c>
      <c r="F127" s="124">
        <v>42816</v>
      </c>
      <c r="G127" s="123">
        <v>749</v>
      </c>
      <c r="H127" s="123">
        <v>562</v>
      </c>
      <c r="I127" s="123">
        <v>841</v>
      </c>
      <c r="J127" s="129">
        <v>55</v>
      </c>
      <c r="K127" s="193">
        <f t="shared" si="1"/>
        <v>54</v>
      </c>
    </row>
    <row r="128" spans="1:11">
      <c r="A128" s="121">
        <v>127</v>
      </c>
      <c r="B128" s="122" t="s">
        <v>2309</v>
      </c>
      <c r="C128" s="122" t="s">
        <v>2343</v>
      </c>
      <c r="D128" s="122" t="s">
        <v>2213</v>
      </c>
      <c r="E128" s="124">
        <v>42762</v>
      </c>
      <c r="F128" s="124">
        <v>42816</v>
      </c>
      <c r="G128" s="123">
        <v>898</v>
      </c>
      <c r="H128" s="123">
        <v>506</v>
      </c>
      <c r="I128" s="123">
        <v>687</v>
      </c>
      <c r="J128" s="123">
        <v>424</v>
      </c>
      <c r="K128" s="193">
        <f t="shared" si="1"/>
        <v>54</v>
      </c>
    </row>
    <row r="129" spans="1:11">
      <c r="A129" s="121">
        <v>128</v>
      </c>
      <c r="B129" s="122" t="s">
        <v>2309</v>
      </c>
      <c r="C129" s="122" t="s">
        <v>2344</v>
      </c>
      <c r="D129" s="122" t="s">
        <v>2213</v>
      </c>
      <c r="E129" s="124">
        <v>42762</v>
      </c>
      <c r="F129" s="124">
        <v>42816</v>
      </c>
      <c r="G129" s="123">
        <v>834</v>
      </c>
      <c r="H129" s="123">
        <v>554</v>
      </c>
      <c r="I129" s="123">
        <v>833</v>
      </c>
      <c r="J129" s="123">
        <v>418</v>
      </c>
      <c r="K129" s="193">
        <f t="shared" si="1"/>
        <v>54</v>
      </c>
    </row>
    <row r="130" spans="1:11">
      <c r="A130" s="121">
        <v>129</v>
      </c>
      <c r="B130" s="122" t="s">
        <v>2309</v>
      </c>
      <c r="C130" s="122" t="s">
        <v>2345</v>
      </c>
      <c r="D130" s="122" t="s">
        <v>2222</v>
      </c>
      <c r="E130" s="124">
        <v>42762</v>
      </c>
      <c r="F130" s="124">
        <v>42816</v>
      </c>
      <c r="G130" s="123">
        <v>819</v>
      </c>
      <c r="H130" s="123">
        <v>46</v>
      </c>
      <c r="I130" s="123">
        <v>888</v>
      </c>
      <c r="J130" s="123">
        <v>520</v>
      </c>
      <c r="K130" s="193">
        <f t="shared" si="1"/>
        <v>54</v>
      </c>
    </row>
    <row r="131" spans="1:11">
      <c r="A131" s="121">
        <v>130</v>
      </c>
      <c r="B131" s="122" t="s">
        <v>2309</v>
      </c>
      <c r="C131" s="122" t="s">
        <v>2346</v>
      </c>
      <c r="D131" s="122" t="s">
        <v>2222</v>
      </c>
      <c r="E131" s="124">
        <v>42762</v>
      </c>
      <c r="F131" s="124">
        <v>42816</v>
      </c>
      <c r="G131" s="123">
        <v>830</v>
      </c>
      <c r="H131" s="123">
        <v>585</v>
      </c>
      <c r="I131" s="123">
        <v>708</v>
      </c>
      <c r="J131" s="123">
        <v>433</v>
      </c>
      <c r="K131" s="193">
        <f t="shared" ref="K131:K194" si="2">IFERROR(F131-E131,"")</f>
        <v>54</v>
      </c>
    </row>
    <row r="132" spans="1:11">
      <c r="A132" s="121">
        <v>131</v>
      </c>
      <c r="B132" s="122" t="s">
        <v>2309</v>
      </c>
      <c r="C132" s="122" t="s">
        <v>2347</v>
      </c>
      <c r="D132" s="122" t="s">
        <v>2222</v>
      </c>
      <c r="E132" s="124">
        <v>42762</v>
      </c>
      <c r="F132" s="124">
        <v>42816</v>
      </c>
      <c r="G132" s="123">
        <v>746</v>
      </c>
      <c r="H132" s="123">
        <v>476</v>
      </c>
      <c r="I132" s="123">
        <v>768</v>
      </c>
      <c r="J132" s="123">
        <v>592</v>
      </c>
      <c r="K132" s="193">
        <f t="shared" si="2"/>
        <v>54</v>
      </c>
    </row>
    <row r="133" spans="1:11">
      <c r="A133" s="121">
        <v>132</v>
      </c>
      <c r="B133" s="122" t="s">
        <v>2309</v>
      </c>
      <c r="C133" s="122" t="s">
        <v>2348</v>
      </c>
      <c r="D133" s="122" t="s">
        <v>2222</v>
      </c>
      <c r="E133" s="124">
        <v>42762</v>
      </c>
      <c r="F133" s="124">
        <v>42816</v>
      </c>
      <c r="G133" s="123">
        <v>725</v>
      </c>
      <c r="H133" s="123">
        <v>536</v>
      </c>
      <c r="I133" s="123">
        <v>779</v>
      </c>
      <c r="J133" s="123">
        <v>477</v>
      </c>
      <c r="K133" s="193">
        <f t="shared" si="2"/>
        <v>54</v>
      </c>
    </row>
    <row r="134" spans="1:11">
      <c r="A134" s="121">
        <v>133</v>
      </c>
      <c r="B134" s="122" t="s">
        <v>2309</v>
      </c>
      <c r="C134" s="122" t="s">
        <v>2349</v>
      </c>
      <c r="D134" s="122" t="s">
        <v>2222</v>
      </c>
      <c r="E134" s="124">
        <v>42762</v>
      </c>
      <c r="F134" s="124">
        <v>42816</v>
      </c>
      <c r="G134" s="123">
        <v>846</v>
      </c>
      <c r="H134" s="123">
        <v>524</v>
      </c>
      <c r="I134" s="123">
        <v>799</v>
      </c>
      <c r="J134" s="123">
        <v>597</v>
      </c>
      <c r="K134" s="193">
        <f t="shared" si="2"/>
        <v>54</v>
      </c>
    </row>
    <row r="135" spans="1:11">
      <c r="A135" s="121">
        <v>134</v>
      </c>
      <c r="B135" s="122" t="s">
        <v>2309</v>
      </c>
      <c r="C135" s="122" t="s">
        <v>2350</v>
      </c>
      <c r="D135" s="122" t="s">
        <v>2222</v>
      </c>
      <c r="E135" s="124">
        <v>42762</v>
      </c>
      <c r="F135" s="124">
        <v>42816</v>
      </c>
      <c r="G135" s="123">
        <v>756</v>
      </c>
      <c r="H135" s="123">
        <v>600</v>
      </c>
      <c r="I135" s="123">
        <v>820</v>
      </c>
      <c r="J135" s="123">
        <v>467</v>
      </c>
      <c r="K135" s="193">
        <f t="shared" si="2"/>
        <v>54</v>
      </c>
    </row>
    <row r="136" spans="1:11">
      <c r="A136" s="121">
        <v>135</v>
      </c>
      <c r="B136" s="122" t="s">
        <v>2309</v>
      </c>
      <c r="C136" s="122" t="s">
        <v>2351</v>
      </c>
      <c r="D136" s="122" t="s">
        <v>2222</v>
      </c>
      <c r="E136" s="124">
        <v>42762</v>
      </c>
      <c r="F136" s="124">
        <v>42816</v>
      </c>
      <c r="G136" s="123">
        <v>745</v>
      </c>
      <c r="H136" s="123">
        <v>432</v>
      </c>
      <c r="I136" s="123">
        <v>842</v>
      </c>
      <c r="J136" s="123">
        <v>596</v>
      </c>
      <c r="K136" s="193">
        <f t="shared" si="2"/>
        <v>54</v>
      </c>
    </row>
    <row r="137" spans="1:11">
      <c r="A137" s="121">
        <v>136</v>
      </c>
      <c r="B137" s="122" t="s">
        <v>2309</v>
      </c>
      <c r="C137" s="122" t="s">
        <v>2352</v>
      </c>
      <c r="D137" s="122" t="s">
        <v>2222</v>
      </c>
      <c r="E137" s="124">
        <v>42762</v>
      </c>
      <c r="F137" s="124">
        <v>42816</v>
      </c>
      <c r="G137" s="123">
        <v>832</v>
      </c>
      <c r="H137" s="123">
        <v>474</v>
      </c>
      <c r="I137" s="123">
        <v>747</v>
      </c>
      <c r="J137" s="123">
        <v>543</v>
      </c>
      <c r="K137" s="193">
        <f t="shared" si="2"/>
        <v>54</v>
      </c>
    </row>
    <row r="138" spans="1:11">
      <c r="A138" s="121">
        <v>137</v>
      </c>
      <c r="B138" s="122" t="s">
        <v>2309</v>
      </c>
      <c r="C138" s="122" t="s">
        <v>2353</v>
      </c>
      <c r="D138" s="122" t="s">
        <v>2239</v>
      </c>
      <c r="E138" s="124">
        <v>42762</v>
      </c>
      <c r="F138" s="124">
        <v>42816</v>
      </c>
      <c r="G138" s="123">
        <v>805</v>
      </c>
      <c r="H138" s="123">
        <v>34</v>
      </c>
      <c r="I138" s="123">
        <v>857</v>
      </c>
      <c r="J138" s="123">
        <v>483</v>
      </c>
      <c r="K138" s="193">
        <f t="shared" si="2"/>
        <v>54</v>
      </c>
    </row>
    <row r="139" spans="1:11">
      <c r="A139" s="121">
        <v>138</v>
      </c>
      <c r="B139" s="122" t="s">
        <v>2309</v>
      </c>
      <c r="C139" s="122" t="s">
        <v>2354</v>
      </c>
      <c r="D139" s="122" t="s">
        <v>2239</v>
      </c>
      <c r="E139" s="124">
        <v>42762</v>
      </c>
      <c r="F139" s="124">
        <v>42816</v>
      </c>
      <c r="G139" s="123">
        <v>815</v>
      </c>
      <c r="H139" s="123">
        <v>426</v>
      </c>
      <c r="I139" s="123">
        <v>623</v>
      </c>
      <c r="J139" s="123">
        <v>21</v>
      </c>
      <c r="K139" s="193">
        <f t="shared" si="2"/>
        <v>54</v>
      </c>
    </row>
    <row r="140" spans="1:11">
      <c r="A140" s="121">
        <v>139</v>
      </c>
      <c r="B140" s="122" t="s">
        <v>2309</v>
      </c>
      <c r="C140" s="122" t="s">
        <v>2355</v>
      </c>
      <c r="D140" s="122" t="s">
        <v>2239</v>
      </c>
      <c r="E140" s="124">
        <v>42762</v>
      </c>
      <c r="F140" s="124">
        <v>42816</v>
      </c>
      <c r="G140" s="129">
        <v>798</v>
      </c>
      <c r="H140" s="123">
        <v>563</v>
      </c>
      <c r="I140" s="123">
        <v>880</v>
      </c>
      <c r="J140" s="123">
        <v>538</v>
      </c>
      <c r="K140" s="193">
        <f t="shared" si="2"/>
        <v>54</v>
      </c>
    </row>
    <row r="141" spans="1:11">
      <c r="A141" s="121">
        <v>140</v>
      </c>
      <c r="B141" s="122" t="s">
        <v>2309</v>
      </c>
      <c r="C141" s="122" t="s">
        <v>2357</v>
      </c>
      <c r="D141" s="122" t="s">
        <v>2239</v>
      </c>
      <c r="E141" s="124">
        <v>42762</v>
      </c>
      <c r="F141" s="124">
        <v>42816</v>
      </c>
      <c r="G141" s="123">
        <v>787</v>
      </c>
      <c r="H141" s="123">
        <v>535</v>
      </c>
      <c r="I141" s="123">
        <v>706</v>
      </c>
      <c r="J141" s="123">
        <v>559</v>
      </c>
      <c r="K141" s="193">
        <f t="shared" si="2"/>
        <v>54</v>
      </c>
    </row>
    <row r="142" spans="1:11">
      <c r="A142" s="121">
        <v>141</v>
      </c>
      <c r="B142" s="122" t="s">
        <v>2309</v>
      </c>
      <c r="C142" s="122" t="s">
        <v>2358</v>
      </c>
      <c r="D142" s="122" t="s">
        <v>2239</v>
      </c>
      <c r="E142" s="124">
        <v>42762</v>
      </c>
      <c r="F142" s="124">
        <v>42816</v>
      </c>
      <c r="G142" s="123">
        <v>900</v>
      </c>
      <c r="H142" s="123">
        <v>581</v>
      </c>
      <c r="I142" s="123">
        <v>775</v>
      </c>
      <c r="J142" s="123">
        <v>465</v>
      </c>
      <c r="K142" s="193">
        <f t="shared" si="2"/>
        <v>54</v>
      </c>
    </row>
    <row r="143" spans="1:11">
      <c r="A143" s="121">
        <v>142</v>
      </c>
      <c r="B143" s="122" t="s">
        <v>2309</v>
      </c>
      <c r="C143" s="122" t="s">
        <v>2359</v>
      </c>
      <c r="D143" s="122" t="s">
        <v>2239</v>
      </c>
      <c r="E143" s="124">
        <v>42762</v>
      </c>
      <c r="F143" s="124">
        <v>42816</v>
      </c>
      <c r="G143" s="123">
        <v>817</v>
      </c>
      <c r="H143" s="123">
        <v>460</v>
      </c>
      <c r="I143" s="123">
        <v>850</v>
      </c>
      <c r="J143" s="123">
        <v>503</v>
      </c>
      <c r="K143" s="193">
        <f t="shared" si="2"/>
        <v>54</v>
      </c>
    </row>
    <row r="144" spans="1:11">
      <c r="A144" s="121">
        <v>143</v>
      </c>
      <c r="B144" s="122" t="s">
        <v>2309</v>
      </c>
      <c r="C144" s="122" t="s">
        <v>2360</v>
      </c>
      <c r="D144" s="122" t="s">
        <v>2239</v>
      </c>
      <c r="E144" s="124">
        <v>42762</v>
      </c>
      <c r="F144" s="124">
        <v>42816</v>
      </c>
      <c r="G144" s="123">
        <v>836</v>
      </c>
      <c r="H144" s="123">
        <v>456</v>
      </c>
      <c r="I144" s="123">
        <v>697</v>
      </c>
      <c r="J144" s="123">
        <v>567</v>
      </c>
      <c r="K144" s="193">
        <f t="shared" si="2"/>
        <v>54</v>
      </c>
    </row>
    <row r="145" spans="1:11">
      <c r="A145" s="121">
        <v>144</v>
      </c>
      <c r="B145" s="122" t="s">
        <v>2309</v>
      </c>
      <c r="C145" s="122" t="s">
        <v>2361</v>
      </c>
      <c r="D145" s="122" t="s">
        <v>2239</v>
      </c>
      <c r="E145" s="124">
        <v>42762</v>
      </c>
      <c r="F145" s="124">
        <v>42816</v>
      </c>
      <c r="G145" s="123">
        <v>784</v>
      </c>
      <c r="H145" s="123">
        <v>571</v>
      </c>
      <c r="I145" s="123">
        <v>894</v>
      </c>
      <c r="J145" s="123">
        <v>15</v>
      </c>
      <c r="K145" s="193">
        <f t="shared" si="2"/>
        <v>54</v>
      </c>
    </row>
    <row r="146" spans="1:11">
      <c r="A146" s="121">
        <v>145</v>
      </c>
      <c r="B146" s="122" t="s">
        <v>2309</v>
      </c>
      <c r="C146" s="122" t="s">
        <v>2362</v>
      </c>
      <c r="D146" s="122" t="s">
        <v>2251</v>
      </c>
      <c r="E146" s="124">
        <v>42762</v>
      </c>
      <c r="F146" s="124">
        <v>42815</v>
      </c>
      <c r="G146" s="123">
        <v>902</v>
      </c>
      <c r="H146" s="123">
        <v>27</v>
      </c>
      <c r="I146" s="129">
        <v>653</v>
      </c>
      <c r="J146" s="123">
        <v>40</v>
      </c>
      <c r="K146" s="193">
        <f t="shared" si="2"/>
        <v>53</v>
      </c>
    </row>
    <row r="147" spans="1:11">
      <c r="A147" s="121">
        <v>146</v>
      </c>
      <c r="B147" s="122" t="s">
        <v>2309</v>
      </c>
      <c r="C147" s="122" t="s">
        <v>2363</v>
      </c>
      <c r="D147" s="122" t="s">
        <v>2251</v>
      </c>
      <c r="E147" s="124">
        <v>42762</v>
      </c>
      <c r="F147" s="124">
        <v>42815</v>
      </c>
      <c r="G147" s="123">
        <v>689</v>
      </c>
      <c r="H147" s="123">
        <v>492</v>
      </c>
      <c r="I147" s="123">
        <v>762</v>
      </c>
      <c r="J147" s="123">
        <v>468</v>
      </c>
      <c r="K147" s="193">
        <f t="shared" si="2"/>
        <v>53</v>
      </c>
    </row>
    <row r="148" spans="1:11">
      <c r="A148" s="121">
        <v>147</v>
      </c>
      <c r="B148" s="122" t="s">
        <v>2309</v>
      </c>
      <c r="C148" s="122" t="s">
        <v>2364</v>
      </c>
      <c r="D148" s="122" t="s">
        <v>2251</v>
      </c>
      <c r="E148" s="124">
        <v>42762</v>
      </c>
      <c r="F148" s="124">
        <v>42816</v>
      </c>
      <c r="G148" s="123">
        <v>678</v>
      </c>
      <c r="H148" s="123">
        <v>573</v>
      </c>
      <c r="I148" s="123">
        <v>878</v>
      </c>
      <c r="J148" s="123">
        <v>582</v>
      </c>
      <c r="K148" s="193">
        <f t="shared" si="2"/>
        <v>54</v>
      </c>
    </row>
    <row r="149" spans="1:11">
      <c r="A149" s="121">
        <v>148</v>
      </c>
      <c r="B149" s="122" t="s">
        <v>2309</v>
      </c>
      <c r="C149" s="122" t="s">
        <v>2365</v>
      </c>
      <c r="D149" s="122" t="s">
        <v>2251</v>
      </c>
      <c r="E149" s="124">
        <v>42762</v>
      </c>
      <c r="F149" s="124">
        <v>42816</v>
      </c>
      <c r="G149" s="123">
        <v>835</v>
      </c>
      <c r="H149" s="123">
        <v>472</v>
      </c>
      <c r="I149" s="123">
        <v>807</v>
      </c>
      <c r="J149" s="123">
        <v>20</v>
      </c>
      <c r="K149" s="193">
        <f t="shared" si="2"/>
        <v>54</v>
      </c>
    </row>
    <row r="150" spans="1:11">
      <c r="A150" s="121">
        <v>149</v>
      </c>
      <c r="B150" s="122" t="s">
        <v>2309</v>
      </c>
      <c r="C150" s="122" t="s">
        <v>2366</v>
      </c>
      <c r="D150" s="122" t="s">
        <v>2251</v>
      </c>
      <c r="E150" s="124">
        <v>42762</v>
      </c>
      <c r="F150" s="124">
        <v>42816</v>
      </c>
      <c r="G150" s="129">
        <v>733</v>
      </c>
      <c r="H150" s="123">
        <v>545</v>
      </c>
      <c r="I150" s="123">
        <v>696</v>
      </c>
      <c r="J150" s="123">
        <v>533</v>
      </c>
      <c r="K150" s="193">
        <f t="shared" si="2"/>
        <v>54</v>
      </c>
    </row>
    <row r="151" spans="1:11">
      <c r="A151" s="121">
        <v>150</v>
      </c>
      <c r="B151" s="122" t="s">
        <v>2309</v>
      </c>
      <c r="C151" s="122" t="s">
        <v>2367</v>
      </c>
      <c r="D151" s="122" t="s">
        <v>2251</v>
      </c>
      <c r="E151" s="124">
        <v>42762</v>
      </c>
      <c r="F151" s="124">
        <v>42816</v>
      </c>
      <c r="G151" s="123">
        <v>658</v>
      </c>
      <c r="H151" s="123">
        <v>7</v>
      </c>
      <c r="I151" s="123">
        <v>801</v>
      </c>
      <c r="J151" s="123">
        <v>572</v>
      </c>
      <c r="K151" s="193">
        <f t="shared" si="2"/>
        <v>54</v>
      </c>
    </row>
    <row r="152" spans="1:11">
      <c r="A152" s="121">
        <v>151</v>
      </c>
      <c r="B152" s="122" t="s">
        <v>2309</v>
      </c>
      <c r="C152" s="122" t="s">
        <v>2368</v>
      </c>
      <c r="D152" s="122" t="s">
        <v>2251</v>
      </c>
      <c r="E152" s="124">
        <v>42762</v>
      </c>
      <c r="F152" s="124">
        <v>42816</v>
      </c>
      <c r="G152" s="123">
        <v>567</v>
      </c>
      <c r="H152" s="123">
        <v>447</v>
      </c>
      <c r="I152" s="123">
        <v>647</v>
      </c>
      <c r="J152" s="123">
        <v>504</v>
      </c>
      <c r="K152" s="193">
        <f t="shared" si="2"/>
        <v>54</v>
      </c>
    </row>
    <row r="153" spans="1:11">
      <c r="A153" s="121">
        <v>152</v>
      </c>
      <c r="B153" s="122" t="s">
        <v>2309</v>
      </c>
      <c r="C153" s="122" t="s">
        <v>2369</v>
      </c>
      <c r="D153" s="122" t="s">
        <v>2251</v>
      </c>
      <c r="E153" s="124">
        <v>42762</v>
      </c>
      <c r="F153" s="124">
        <v>42816</v>
      </c>
      <c r="G153" s="123">
        <v>853</v>
      </c>
      <c r="H153" s="123">
        <v>591</v>
      </c>
      <c r="I153" s="123">
        <v>744</v>
      </c>
      <c r="J153" s="123">
        <v>579</v>
      </c>
      <c r="K153" s="193">
        <f t="shared" si="2"/>
        <v>54</v>
      </c>
    </row>
    <row r="154" spans="1:11">
      <c r="A154" s="121">
        <v>153</v>
      </c>
      <c r="B154" s="122" t="s">
        <v>2309</v>
      </c>
      <c r="C154" s="122" t="s">
        <v>2371</v>
      </c>
      <c r="D154" s="122" t="s">
        <v>2260</v>
      </c>
      <c r="E154" s="124">
        <v>42762</v>
      </c>
      <c r="F154" s="124">
        <v>42816</v>
      </c>
      <c r="G154" s="123">
        <v>800</v>
      </c>
      <c r="H154" s="123">
        <v>479</v>
      </c>
      <c r="I154" s="123">
        <v>885</v>
      </c>
      <c r="J154" s="123">
        <v>440</v>
      </c>
      <c r="K154" s="193">
        <f t="shared" si="2"/>
        <v>54</v>
      </c>
    </row>
    <row r="155" spans="1:11">
      <c r="A155" s="121">
        <v>154</v>
      </c>
      <c r="B155" s="122" t="s">
        <v>2309</v>
      </c>
      <c r="C155" s="122" t="s">
        <v>2372</v>
      </c>
      <c r="D155" s="122" t="s">
        <v>2260</v>
      </c>
      <c r="E155" s="124">
        <v>42762</v>
      </c>
      <c r="F155" s="124">
        <v>42816</v>
      </c>
      <c r="G155" s="123">
        <v>675</v>
      </c>
      <c r="H155" s="123">
        <v>493</v>
      </c>
      <c r="I155" s="123">
        <v>684</v>
      </c>
      <c r="J155" s="123">
        <v>485</v>
      </c>
      <c r="K155" s="193">
        <f t="shared" si="2"/>
        <v>54</v>
      </c>
    </row>
    <row r="156" spans="1:11">
      <c r="A156" s="121">
        <v>155</v>
      </c>
      <c r="B156" s="122" t="s">
        <v>2309</v>
      </c>
      <c r="C156" s="122" t="s">
        <v>2373</v>
      </c>
      <c r="D156" s="122" t="s">
        <v>2260</v>
      </c>
      <c r="E156" s="124">
        <v>42762</v>
      </c>
      <c r="F156" s="124">
        <v>42816</v>
      </c>
      <c r="G156" s="123">
        <v>859</v>
      </c>
      <c r="H156" s="123">
        <v>484</v>
      </c>
      <c r="I156" s="123">
        <v>827</v>
      </c>
      <c r="J156" s="123">
        <v>556</v>
      </c>
      <c r="K156" s="193">
        <f t="shared" si="2"/>
        <v>54</v>
      </c>
    </row>
    <row r="157" spans="1:11">
      <c r="A157" s="121">
        <v>156</v>
      </c>
      <c r="B157" s="122" t="s">
        <v>2309</v>
      </c>
      <c r="C157" s="122" t="s">
        <v>2374</v>
      </c>
      <c r="D157" s="122" t="s">
        <v>2260</v>
      </c>
      <c r="E157" s="124">
        <v>42762</v>
      </c>
      <c r="F157" s="124">
        <v>42816</v>
      </c>
      <c r="G157" s="123">
        <v>654</v>
      </c>
      <c r="H157" s="123">
        <v>598</v>
      </c>
      <c r="I157" s="123">
        <v>667</v>
      </c>
      <c r="J157" s="123">
        <v>464</v>
      </c>
      <c r="K157" s="193">
        <f t="shared" si="2"/>
        <v>54</v>
      </c>
    </row>
    <row r="158" spans="1:11">
      <c r="A158" s="121">
        <v>157</v>
      </c>
      <c r="B158" s="122" t="s">
        <v>2309</v>
      </c>
      <c r="C158" s="122" t="s">
        <v>2376</v>
      </c>
      <c r="D158" s="122" t="s">
        <v>2260</v>
      </c>
      <c r="E158" s="124">
        <v>42762</v>
      </c>
      <c r="F158" s="124">
        <v>42816</v>
      </c>
      <c r="G158" s="123">
        <v>890</v>
      </c>
      <c r="H158" s="123">
        <v>30</v>
      </c>
      <c r="I158" s="123">
        <v>777</v>
      </c>
      <c r="J158" s="123">
        <v>35</v>
      </c>
      <c r="K158" s="193">
        <f t="shared" si="2"/>
        <v>54</v>
      </c>
    </row>
    <row r="159" spans="1:11">
      <c r="A159" s="121">
        <v>158</v>
      </c>
      <c r="B159" s="122" t="s">
        <v>2309</v>
      </c>
      <c r="C159" s="122" t="s">
        <v>2377</v>
      </c>
      <c r="D159" s="122" t="s">
        <v>2260</v>
      </c>
      <c r="E159" s="124">
        <v>42762</v>
      </c>
      <c r="F159" s="124">
        <v>42816</v>
      </c>
      <c r="G159" s="123">
        <v>576</v>
      </c>
      <c r="H159" s="123">
        <v>16</v>
      </c>
      <c r="I159" s="123">
        <v>884</v>
      </c>
      <c r="J159" s="123">
        <v>570</v>
      </c>
      <c r="K159" s="193">
        <f t="shared" si="2"/>
        <v>54</v>
      </c>
    </row>
    <row r="160" spans="1:11">
      <c r="A160" s="168">
        <v>159</v>
      </c>
      <c r="B160" s="169" t="s">
        <v>2309</v>
      </c>
      <c r="C160" s="169" t="s">
        <v>2378</v>
      </c>
      <c r="D160" s="169" t="s">
        <v>2260</v>
      </c>
      <c r="E160" s="170">
        <v>42762</v>
      </c>
      <c r="F160" s="170">
        <v>42816</v>
      </c>
      <c r="G160" s="168">
        <v>829</v>
      </c>
      <c r="H160" s="168">
        <v>499</v>
      </c>
      <c r="I160" s="168">
        <v>731</v>
      </c>
      <c r="J160" s="168">
        <v>439</v>
      </c>
      <c r="K160" s="193">
        <f t="shared" si="2"/>
        <v>54</v>
      </c>
    </row>
    <row r="161" spans="1:11">
      <c r="A161" s="121">
        <v>160</v>
      </c>
      <c r="B161" s="122" t="s">
        <v>2309</v>
      </c>
      <c r="C161" s="122" t="s">
        <v>2379</v>
      </c>
      <c r="D161" s="122" t="s">
        <v>2260</v>
      </c>
      <c r="E161" s="124">
        <v>42762</v>
      </c>
      <c r="F161" s="124">
        <v>42816</v>
      </c>
      <c r="G161" s="123">
        <v>809</v>
      </c>
      <c r="H161" s="123">
        <v>421</v>
      </c>
      <c r="I161" s="123">
        <v>876</v>
      </c>
      <c r="J161" s="123">
        <v>461</v>
      </c>
      <c r="K161" s="193">
        <f t="shared" si="2"/>
        <v>54</v>
      </c>
    </row>
    <row r="162" spans="1:11">
      <c r="A162" s="121">
        <v>161</v>
      </c>
      <c r="B162" s="122" t="s">
        <v>2380</v>
      </c>
      <c r="C162" s="122" t="s">
        <v>2381</v>
      </c>
      <c r="D162" s="122" t="s">
        <v>2273</v>
      </c>
      <c r="E162" s="124">
        <v>42763</v>
      </c>
      <c r="F162" s="124">
        <v>42814</v>
      </c>
      <c r="G162" s="123">
        <v>252</v>
      </c>
      <c r="H162" s="123">
        <v>124</v>
      </c>
      <c r="I162" s="123">
        <v>351</v>
      </c>
      <c r="J162" s="123">
        <v>253</v>
      </c>
      <c r="K162" s="193">
        <f t="shared" si="2"/>
        <v>51</v>
      </c>
    </row>
    <row r="163" spans="1:11">
      <c r="A163" s="121">
        <v>162</v>
      </c>
      <c r="B163" s="122" t="s">
        <v>2380</v>
      </c>
      <c r="C163" s="122" t="s">
        <v>2382</v>
      </c>
      <c r="D163" s="122" t="s">
        <v>2273</v>
      </c>
      <c r="E163" s="124">
        <v>42763</v>
      </c>
      <c r="F163" s="124">
        <v>42814</v>
      </c>
      <c r="G163" s="123">
        <v>385</v>
      </c>
      <c r="H163" s="123">
        <v>202</v>
      </c>
      <c r="I163" s="123">
        <v>442</v>
      </c>
      <c r="J163" s="123">
        <v>285</v>
      </c>
      <c r="K163" s="193">
        <f t="shared" si="2"/>
        <v>51</v>
      </c>
    </row>
    <row r="164" spans="1:11">
      <c r="A164" s="121">
        <v>163</v>
      </c>
      <c r="B164" s="122" t="s">
        <v>2380</v>
      </c>
      <c r="C164" s="122" t="s">
        <v>2383</v>
      </c>
      <c r="D164" s="122" t="s">
        <v>2273</v>
      </c>
      <c r="E164" s="124">
        <v>42763</v>
      </c>
      <c r="F164" s="124">
        <v>42814</v>
      </c>
      <c r="G164" s="123">
        <v>202</v>
      </c>
      <c r="H164" s="123">
        <v>96</v>
      </c>
      <c r="I164" s="123">
        <v>743</v>
      </c>
      <c r="J164" s="123">
        <v>341</v>
      </c>
      <c r="K164" s="193">
        <f t="shared" si="2"/>
        <v>51</v>
      </c>
    </row>
    <row r="165" spans="1:11">
      <c r="A165" s="121">
        <v>164</v>
      </c>
      <c r="B165" s="122" t="s">
        <v>2380</v>
      </c>
      <c r="C165" s="122" t="s">
        <v>2384</v>
      </c>
      <c r="D165" s="122" t="s">
        <v>2273</v>
      </c>
      <c r="E165" s="124">
        <v>42763</v>
      </c>
      <c r="F165" s="124">
        <v>42814</v>
      </c>
      <c r="G165" s="123">
        <v>686</v>
      </c>
      <c r="H165" s="123">
        <v>317</v>
      </c>
      <c r="I165" s="123">
        <v>390</v>
      </c>
      <c r="J165" s="129">
        <v>264</v>
      </c>
      <c r="K165" s="193">
        <f t="shared" si="2"/>
        <v>51</v>
      </c>
    </row>
    <row r="166" spans="1:11">
      <c r="A166" s="121">
        <v>165</v>
      </c>
      <c r="B166" s="122" t="s">
        <v>2380</v>
      </c>
      <c r="C166" s="122" t="s">
        <v>2385</v>
      </c>
      <c r="D166" s="122" t="s">
        <v>2273</v>
      </c>
      <c r="E166" s="124">
        <v>42763</v>
      </c>
      <c r="F166" s="124">
        <v>42814</v>
      </c>
      <c r="G166" s="123">
        <v>368</v>
      </c>
      <c r="H166" s="123">
        <v>331</v>
      </c>
      <c r="I166" s="123">
        <v>810</v>
      </c>
      <c r="J166" s="123">
        <v>411</v>
      </c>
      <c r="K166" s="193">
        <f t="shared" si="2"/>
        <v>51</v>
      </c>
    </row>
    <row r="167" spans="1:11">
      <c r="A167" s="121">
        <v>166</v>
      </c>
      <c r="B167" s="122" t="s">
        <v>2380</v>
      </c>
      <c r="C167" s="122" t="s">
        <v>2386</v>
      </c>
      <c r="D167" s="122" t="s">
        <v>2273</v>
      </c>
      <c r="E167" s="124">
        <v>42763</v>
      </c>
      <c r="F167" s="124">
        <v>42814</v>
      </c>
      <c r="G167" s="123">
        <v>334</v>
      </c>
      <c r="H167" s="123">
        <v>287</v>
      </c>
      <c r="I167" s="123">
        <v>287</v>
      </c>
      <c r="J167" s="123">
        <v>259</v>
      </c>
      <c r="K167" s="193">
        <f t="shared" si="2"/>
        <v>51</v>
      </c>
    </row>
    <row r="168" spans="1:11">
      <c r="A168" s="121">
        <v>167</v>
      </c>
      <c r="B168" s="122" t="s">
        <v>2380</v>
      </c>
      <c r="C168" s="122" t="s">
        <v>2388</v>
      </c>
      <c r="D168" s="122" t="s">
        <v>2273</v>
      </c>
      <c r="E168" s="124">
        <v>42763</v>
      </c>
      <c r="F168" s="124">
        <v>42814</v>
      </c>
      <c r="G168" s="123">
        <v>429</v>
      </c>
      <c r="H168" s="123">
        <v>255</v>
      </c>
      <c r="I168" s="123">
        <v>443</v>
      </c>
      <c r="J168" s="123">
        <v>215</v>
      </c>
      <c r="K168" s="193">
        <f t="shared" si="2"/>
        <v>51</v>
      </c>
    </row>
    <row r="169" spans="1:11">
      <c r="A169" s="121">
        <v>168</v>
      </c>
      <c r="B169" s="122" t="s">
        <v>2380</v>
      </c>
      <c r="C169" s="122" t="s">
        <v>2389</v>
      </c>
      <c r="D169" s="122" t="s">
        <v>2273</v>
      </c>
      <c r="E169" s="124">
        <v>42763</v>
      </c>
      <c r="F169" s="124">
        <v>42814</v>
      </c>
      <c r="G169" s="123">
        <v>461</v>
      </c>
      <c r="H169" s="123">
        <v>534</v>
      </c>
      <c r="I169" s="123">
        <v>680</v>
      </c>
      <c r="J169" s="123">
        <v>322</v>
      </c>
      <c r="K169" s="193">
        <f t="shared" si="2"/>
        <v>51</v>
      </c>
    </row>
    <row r="170" spans="1:11">
      <c r="A170" s="121">
        <v>169</v>
      </c>
      <c r="B170" s="122" t="s">
        <v>2380</v>
      </c>
      <c r="C170" s="122" t="s">
        <v>2390</v>
      </c>
      <c r="D170" s="122" t="s">
        <v>2282</v>
      </c>
      <c r="E170" s="124">
        <v>42763</v>
      </c>
      <c r="F170" s="124">
        <v>42814</v>
      </c>
      <c r="G170" s="123">
        <v>425</v>
      </c>
      <c r="H170" s="123">
        <v>453</v>
      </c>
      <c r="I170" s="123">
        <v>496</v>
      </c>
      <c r="J170" s="123">
        <v>403</v>
      </c>
      <c r="K170" s="193">
        <f t="shared" si="2"/>
        <v>51</v>
      </c>
    </row>
    <row r="171" spans="1:11">
      <c r="A171" s="121">
        <v>170</v>
      </c>
      <c r="B171" s="122" t="s">
        <v>2380</v>
      </c>
      <c r="C171" s="122" t="s">
        <v>2391</v>
      </c>
      <c r="D171" s="122" t="s">
        <v>2282</v>
      </c>
      <c r="E171" s="124">
        <v>42763</v>
      </c>
      <c r="F171" s="124">
        <v>42814</v>
      </c>
      <c r="G171" s="123">
        <v>433</v>
      </c>
      <c r="H171" s="123">
        <v>330</v>
      </c>
      <c r="I171" s="123">
        <v>674</v>
      </c>
      <c r="J171" s="123">
        <v>583</v>
      </c>
      <c r="K171" s="193">
        <f t="shared" si="2"/>
        <v>51</v>
      </c>
    </row>
    <row r="172" spans="1:11">
      <c r="A172" s="121">
        <v>171</v>
      </c>
      <c r="B172" s="122" t="s">
        <v>2380</v>
      </c>
      <c r="C172" s="122" t="s">
        <v>2392</v>
      </c>
      <c r="D172" s="122" t="s">
        <v>2282</v>
      </c>
      <c r="E172" s="124">
        <v>42763</v>
      </c>
      <c r="F172" s="124">
        <v>42814</v>
      </c>
      <c r="G172" s="123">
        <v>656</v>
      </c>
      <c r="H172" s="123">
        <v>558</v>
      </c>
      <c r="I172" s="123">
        <v>504</v>
      </c>
      <c r="J172" s="123">
        <v>451</v>
      </c>
      <c r="K172" s="193">
        <f t="shared" si="2"/>
        <v>51</v>
      </c>
    </row>
    <row r="173" spans="1:11">
      <c r="A173" s="121">
        <v>172</v>
      </c>
      <c r="B173" s="122" t="s">
        <v>2380</v>
      </c>
      <c r="C173" s="122" t="s">
        <v>2393</v>
      </c>
      <c r="D173" s="122" t="s">
        <v>2282</v>
      </c>
      <c r="E173" s="124">
        <v>42763</v>
      </c>
      <c r="F173" s="124">
        <v>42814</v>
      </c>
      <c r="G173" s="123">
        <v>281</v>
      </c>
      <c r="H173" s="123">
        <v>157</v>
      </c>
      <c r="I173" s="123">
        <v>439</v>
      </c>
      <c r="J173" s="123">
        <v>353</v>
      </c>
      <c r="K173" s="193">
        <f t="shared" si="2"/>
        <v>51</v>
      </c>
    </row>
    <row r="174" spans="1:11">
      <c r="A174" s="121">
        <v>173</v>
      </c>
      <c r="B174" s="122" t="s">
        <v>2380</v>
      </c>
      <c r="C174" s="122" t="s">
        <v>2394</v>
      </c>
      <c r="D174" s="122" t="s">
        <v>2282</v>
      </c>
      <c r="E174" s="124">
        <v>42763</v>
      </c>
      <c r="F174" s="124">
        <v>42814</v>
      </c>
      <c r="G174" s="123">
        <v>216</v>
      </c>
      <c r="H174" s="123">
        <v>57</v>
      </c>
      <c r="I174" s="123">
        <v>865</v>
      </c>
      <c r="J174" s="123">
        <v>105</v>
      </c>
      <c r="K174" s="193">
        <f t="shared" si="2"/>
        <v>51</v>
      </c>
    </row>
    <row r="175" spans="1:11">
      <c r="A175" s="121">
        <v>174</v>
      </c>
      <c r="B175" s="122" t="s">
        <v>2380</v>
      </c>
      <c r="C175" s="122" t="s">
        <v>2395</v>
      </c>
      <c r="D175" s="122" t="s">
        <v>2282</v>
      </c>
      <c r="E175" s="124">
        <v>42763</v>
      </c>
      <c r="F175" s="124">
        <v>42814</v>
      </c>
      <c r="G175" s="123">
        <v>655</v>
      </c>
      <c r="H175" s="123">
        <v>307</v>
      </c>
      <c r="I175" s="123">
        <v>736</v>
      </c>
      <c r="J175" s="123">
        <v>384</v>
      </c>
      <c r="K175" s="193">
        <f t="shared" si="2"/>
        <v>51</v>
      </c>
    </row>
    <row r="176" spans="1:11">
      <c r="A176" s="121">
        <v>175</v>
      </c>
      <c r="B176" s="122" t="s">
        <v>2380</v>
      </c>
      <c r="C176" s="122" t="s">
        <v>2396</v>
      </c>
      <c r="D176" s="122" t="s">
        <v>2282</v>
      </c>
      <c r="E176" s="124">
        <v>42763</v>
      </c>
      <c r="F176" s="124">
        <v>42814</v>
      </c>
      <c r="G176" s="123">
        <v>457</v>
      </c>
      <c r="H176" s="123">
        <v>458</v>
      </c>
      <c r="I176" s="123">
        <v>792</v>
      </c>
      <c r="J176" s="123">
        <v>481</v>
      </c>
      <c r="K176" s="193">
        <f t="shared" si="2"/>
        <v>51</v>
      </c>
    </row>
    <row r="177" spans="1:11">
      <c r="A177" s="121">
        <v>176</v>
      </c>
      <c r="B177" s="122" t="s">
        <v>2380</v>
      </c>
      <c r="C177" s="122" t="s">
        <v>2397</v>
      </c>
      <c r="D177" s="122" t="s">
        <v>2282</v>
      </c>
      <c r="E177" s="124">
        <v>42763</v>
      </c>
      <c r="F177" s="124">
        <v>42814</v>
      </c>
      <c r="G177" s="123">
        <v>454</v>
      </c>
      <c r="H177" s="123">
        <v>326</v>
      </c>
      <c r="I177" s="123">
        <v>470</v>
      </c>
      <c r="J177" s="123">
        <v>490</v>
      </c>
      <c r="K177" s="193">
        <f t="shared" si="2"/>
        <v>51</v>
      </c>
    </row>
    <row r="178" spans="1:11">
      <c r="A178" s="121">
        <v>177</v>
      </c>
      <c r="B178" s="122" t="s">
        <v>2380</v>
      </c>
      <c r="C178" s="122" t="s">
        <v>2398</v>
      </c>
      <c r="D178" s="122" t="s">
        <v>2291</v>
      </c>
      <c r="E178" s="124">
        <v>42763</v>
      </c>
      <c r="F178" s="124">
        <v>42815</v>
      </c>
      <c r="G178" s="123">
        <v>362</v>
      </c>
      <c r="H178" s="123">
        <v>262</v>
      </c>
      <c r="I178" s="123">
        <v>483</v>
      </c>
      <c r="J178" s="123">
        <v>470</v>
      </c>
      <c r="K178" s="193">
        <f t="shared" si="2"/>
        <v>52</v>
      </c>
    </row>
    <row r="179" spans="1:11">
      <c r="A179" s="121">
        <v>178</v>
      </c>
      <c r="B179" s="122" t="s">
        <v>2380</v>
      </c>
      <c r="C179" s="122" t="s">
        <v>2399</v>
      </c>
      <c r="D179" s="122" t="s">
        <v>2291</v>
      </c>
      <c r="E179" s="124">
        <v>42763</v>
      </c>
      <c r="F179" s="124">
        <v>42815</v>
      </c>
      <c r="G179" s="129">
        <v>781</v>
      </c>
      <c r="H179" s="123">
        <v>309</v>
      </c>
      <c r="I179" s="123">
        <v>893</v>
      </c>
      <c r="J179" s="123">
        <v>488</v>
      </c>
      <c r="K179" s="193">
        <f t="shared" si="2"/>
        <v>52</v>
      </c>
    </row>
    <row r="180" spans="1:11">
      <c r="A180" s="121">
        <v>179</v>
      </c>
      <c r="B180" s="122" t="s">
        <v>2380</v>
      </c>
      <c r="C180" s="122" t="s">
        <v>2400</v>
      </c>
      <c r="D180" s="122" t="s">
        <v>2291</v>
      </c>
      <c r="E180" s="124">
        <v>42763</v>
      </c>
      <c r="F180" s="124">
        <v>42815</v>
      </c>
      <c r="G180" s="123">
        <v>451</v>
      </c>
      <c r="H180" s="123">
        <v>32</v>
      </c>
      <c r="I180" s="123">
        <v>826</v>
      </c>
      <c r="J180" s="123">
        <v>273</v>
      </c>
      <c r="K180" s="193">
        <f t="shared" si="2"/>
        <v>52</v>
      </c>
    </row>
    <row r="181" spans="1:11">
      <c r="A181" s="121">
        <v>180</v>
      </c>
      <c r="B181" s="122" t="s">
        <v>2380</v>
      </c>
      <c r="C181" s="122" t="s">
        <v>2401</v>
      </c>
      <c r="D181" s="122" t="s">
        <v>2291</v>
      </c>
      <c r="E181" s="124">
        <v>42763</v>
      </c>
      <c r="F181" s="124">
        <v>42815</v>
      </c>
      <c r="G181" s="123">
        <v>360</v>
      </c>
      <c r="H181" s="123">
        <v>268</v>
      </c>
      <c r="I181" s="123">
        <v>783</v>
      </c>
      <c r="J181" s="123">
        <v>301</v>
      </c>
      <c r="K181" s="193">
        <f t="shared" si="2"/>
        <v>52</v>
      </c>
    </row>
    <row r="182" spans="1:11">
      <c r="A182" s="121">
        <v>181</v>
      </c>
      <c r="B182" s="122" t="s">
        <v>2380</v>
      </c>
      <c r="C182" s="122" t="s">
        <v>2402</v>
      </c>
      <c r="D182" s="122" t="s">
        <v>2291</v>
      </c>
      <c r="E182" s="124">
        <v>42763</v>
      </c>
      <c r="F182" s="124">
        <v>42815</v>
      </c>
      <c r="G182" s="123">
        <v>458</v>
      </c>
      <c r="H182" s="123">
        <v>587</v>
      </c>
      <c r="I182" s="123">
        <v>551</v>
      </c>
      <c r="J182" s="123">
        <v>291</v>
      </c>
      <c r="K182" s="193">
        <f t="shared" si="2"/>
        <v>52</v>
      </c>
    </row>
    <row r="183" spans="1:11">
      <c r="A183" s="121">
        <v>182</v>
      </c>
      <c r="B183" s="122" t="s">
        <v>2380</v>
      </c>
      <c r="C183" s="122" t="s">
        <v>2403</v>
      </c>
      <c r="D183" s="122" t="s">
        <v>2291</v>
      </c>
      <c r="E183" s="124">
        <v>42763</v>
      </c>
      <c r="F183" s="124">
        <v>42815</v>
      </c>
      <c r="G183" s="123">
        <v>403</v>
      </c>
      <c r="H183" s="123">
        <v>444</v>
      </c>
      <c r="I183" s="123">
        <v>818</v>
      </c>
      <c r="J183" s="123">
        <v>537</v>
      </c>
      <c r="K183" s="193">
        <f t="shared" si="2"/>
        <v>52</v>
      </c>
    </row>
    <row r="184" spans="1:11">
      <c r="A184" s="121">
        <v>183</v>
      </c>
      <c r="B184" s="122" t="s">
        <v>2380</v>
      </c>
      <c r="C184" s="122" t="s">
        <v>2404</v>
      </c>
      <c r="D184" s="122" t="s">
        <v>2291</v>
      </c>
      <c r="E184" s="124">
        <v>42763</v>
      </c>
      <c r="F184" s="124">
        <v>42815</v>
      </c>
      <c r="G184" s="123">
        <v>585</v>
      </c>
      <c r="H184" s="123">
        <v>568</v>
      </c>
      <c r="I184" s="123">
        <v>896</v>
      </c>
      <c r="J184" s="123">
        <v>290</v>
      </c>
      <c r="K184" s="193">
        <f t="shared" si="2"/>
        <v>52</v>
      </c>
    </row>
    <row r="185" spans="1:11">
      <c r="A185" s="121">
        <v>184</v>
      </c>
      <c r="B185" s="122" t="s">
        <v>2380</v>
      </c>
      <c r="C185" s="122" t="s">
        <v>2405</v>
      </c>
      <c r="D185" s="122" t="s">
        <v>2291</v>
      </c>
      <c r="E185" s="124">
        <v>42763</v>
      </c>
      <c r="F185" s="124">
        <v>42815</v>
      </c>
      <c r="G185" s="123">
        <v>669</v>
      </c>
      <c r="H185" s="129">
        <v>541</v>
      </c>
      <c r="I185" s="123">
        <v>337</v>
      </c>
      <c r="J185" s="123">
        <v>555</v>
      </c>
      <c r="K185" s="193">
        <f t="shared" si="2"/>
        <v>52</v>
      </c>
    </row>
    <row r="186" spans="1:11">
      <c r="A186" s="121">
        <v>185</v>
      </c>
      <c r="B186" s="122" t="s">
        <v>2380</v>
      </c>
      <c r="C186" s="122" t="s">
        <v>2407</v>
      </c>
      <c r="D186" s="122" t="s">
        <v>2301</v>
      </c>
      <c r="E186" s="124">
        <v>42763</v>
      </c>
      <c r="F186" s="124">
        <v>42815</v>
      </c>
      <c r="G186" s="123">
        <v>423</v>
      </c>
      <c r="H186" s="123">
        <v>51</v>
      </c>
      <c r="I186" s="123">
        <v>564</v>
      </c>
      <c r="J186" s="123">
        <v>539</v>
      </c>
      <c r="K186" s="193">
        <f t="shared" si="2"/>
        <v>52</v>
      </c>
    </row>
    <row r="187" spans="1:11">
      <c r="A187" s="121">
        <v>186</v>
      </c>
      <c r="B187" s="122" t="s">
        <v>2380</v>
      </c>
      <c r="C187" s="122" t="s">
        <v>2408</v>
      </c>
      <c r="D187" s="122" t="s">
        <v>2301</v>
      </c>
      <c r="E187" s="124">
        <v>42763</v>
      </c>
      <c r="F187" s="124">
        <v>42815</v>
      </c>
      <c r="G187" s="123">
        <v>544</v>
      </c>
      <c r="H187" s="123">
        <v>557</v>
      </c>
      <c r="I187" s="123">
        <v>608</v>
      </c>
      <c r="J187" s="123">
        <v>180</v>
      </c>
      <c r="K187" s="193">
        <f t="shared" si="2"/>
        <v>52</v>
      </c>
    </row>
    <row r="188" spans="1:11">
      <c r="A188" s="121">
        <v>187</v>
      </c>
      <c r="B188" s="122" t="s">
        <v>2380</v>
      </c>
      <c r="C188" s="122" t="s">
        <v>2409</v>
      </c>
      <c r="D188" s="122" t="s">
        <v>2301</v>
      </c>
      <c r="E188" s="124">
        <v>42763</v>
      </c>
      <c r="F188" s="124">
        <v>42815</v>
      </c>
      <c r="G188" s="123">
        <v>620</v>
      </c>
      <c r="H188" s="123">
        <v>427</v>
      </c>
      <c r="I188" s="123">
        <v>365</v>
      </c>
      <c r="J188" s="182">
        <v>580</v>
      </c>
      <c r="K188" s="193">
        <f t="shared" si="2"/>
        <v>52</v>
      </c>
    </row>
    <row r="189" spans="1:11">
      <c r="A189" s="121">
        <v>188</v>
      </c>
      <c r="B189" s="122" t="s">
        <v>2380</v>
      </c>
      <c r="C189" s="122" t="s">
        <v>2410</v>
      </c>
      <c r="D189" s="122" t="s">
        <v>2301</v>
      </c>
      <c r="E189" s="124">
        <v>42763</v>
      </c>
      <c r="F189" s="124">
        <v>42815</v>
      </c>
      <c r="G189" s="123">
        <v>420</v>
      </c>
      <c r="H189" s="123">
        <v>223</v>
      </c>
      <c r="I189" s="123">
        <v>375</v>
      </c>
      <c r="J189" s="123">
        <v>222</v>
      </c>
      <c r="K189" s="193">
        <f t="shared" si="2"/>
        <v>52</v>
      </c>
    </row>
    <row r="190" spans="1:11">
      <c r="A190" s="121">
        <v>189</v>
      </c>
      <c r="B190" s="122" t="s">
        <v>2380</v>
      </c>
      <c r="C190" s="122" t="s">
        <v>2412</v>
      </c>
      <c r="D190" s="122" t="s">
        <v>2301</v>
      </c>
      <c r="E190" s="124">
        <v>42763</v>
      </c>
      <c r="F190" s="124">
        <v>42815</v>
      </c>
      <c r="G190" s="129">
        <v>367</v>
      </c>
      <c r="H190" s="123">
        <v>354</v>
      </c>
      <c r="I190" s="123">
        <v>537</v>
      </c>
      <c r="J190" s="123">
        <v>216</v>
      </c>
      <c r="K190" s="193">
        <f t="shared" si="2"/>
        <v>52</v>
      </c>
    </row>
    <row r="191" spans="1:11">
      <c r="A191" s="121">
        <v>190</v>
      </c>
      <c r="B191" s="122" t="s">
        <v>2380</v>
      </c>
      <c r="C191" s="122" t="s">
        <v>2413</v>
      </c>
      <c r="D191" s="122" t="s">
        <v>2301</v>
      </c>
      <c r="E191" s="124">
        <v>42763</v>
      </c>
      <c r="F191" s="124">
        <v>42815</v>
      </c>
      <c r="G191" s="123">
        <v>526</v>
      </c>
      <c r="H191" s="123">
        <v>164</v>
      </c>
      <c r="I191" s="123">
        <v>393</v>
      </c>
      <c r="J191" s="123">
        <v>232</v>
      </c>
      <c r="K191" s="193">
        <f t="shared" si="2"/>
        <v>52</v>
      </c>
    </row>
    <row r="192" spans="1:11">
      <c r="A192" s="121">
        <v>191</v>
      </c>
      <c r="B192" s="122" t="s">
        <v>2380</v>
      </c>
      <c r="C192" s="122" t="s">
        <v>2414</v>
      </c>
      <c r="D192" s="122" t="s">
        <v>2301</v>
      </c>
      <c r="E192" s="124">
        <v>42763</v>
      </c>
      <c r="F192" s="124">
        <v>42815</v>
      </c>
      <c r="G192" s="123">
        <v>522</v>
      </c>
      <c r="H192" s="123">
        <v>336</v>
      </c>
      <c r="I192" s="123">
        <v>417</v>
      </c>
      <c r="J192" s="123">
        <v>387</v>
      </c>
      <c r="K192" s="193">
        <f t="shared" si="2"/>
        <v>52</v>
      </c>
    </row>
    <row r="193" spans="1:11">
      <c r="A193" s="121">
        <v>192</v>
      </c>
      <c r="B193" s="122" t="s">
        <v>2380</v>
      </c>
      <c r="C193" s="122" t="s">
        <v>2415</v>
      </c>
      <c r="D193" s="122" t="s">
        <v>2301</v>
      </c>
      <c r="E193" s="124">
        <v>42763</v>
      </c>
      <c r="F193" s="124">
        <v>42815</v>
      </c>
      <c r="G193" s="123">
        <v>591</v>
      </c>
      <c r="H193" s="123">
        <v>263</v>
      </c>
      <c r="I193" s="129">
        <v>297</v>
      </c>
      <c r="J193" s="123">
        <v>346</v>
      </c>
      <c r="K193" s="193">
        <f t="shared" si="2"/>
        <v>52</v>
      </c>
    </row>
    <row r="194" spans="1:11">
      <c r="A194" s="121">
        <v>193</v>
      </c>
      <c r="B194" s="133" t="s">
        <v>2171</v>
      </c>
      <c r="C194" s="133" t="s">
        <v>2440</v>
      </c>
      <c r="D194" s="122" t="s">
        <v>2450</v>
      </c>
      <c r="E194" s="124">
        <v>42769</v>
      </c>
      <c r="F194" s="124">
        <v>42813</v>
      </c>
      <c r="G194" s="123">
        <v>863</v>
      </c>
      <c r="H194" s="123">
        <v>125</v>
      </c>
      <c r="I194" s="123">
        <v>584</v>
      </c>
      <c r="J194" s="123">
        <v>364</v>
      </c>
      <c r="K194" s="193">
        <f t="shared" si="2"/>
        <v>44</v>
      </c>
    </row>
    <row r="195" spans="1:11">
      <c r="A195" s="121">
        <v>194</v>
      </c>
      <c r="B195" s="133" t="s">
        <v>2171</v>
      </c>
      <c r="C195" s="133" t="s">
        <v>2433</v>
      </c>
      <c r="D195" s="133" t="s">
        <v>2449</v>
      </c>
      <c r="E195" s="124">
        <v>42769</v>
      </c>
      <c r="F195" s="124">
        <v>42813</v>
      </c>
      <c r="G195" s="123">
        <v>615</v>
      </c>
      <c r="H195" s="123">
        <v>289</v>
      </c>
      <c r="I195" s="123">
        <v>713</v>
      </c>
      <c r="J195" s="123">
        <v>167</v>
      </c>
      <c r="K195" s="193">
        <f t="shared" ref="K195:K221" si="3">IFERROR(F195-E195,"")</f>
        <v>44</v>
      </c>
    </row>
    <row r="196" spans="1:11">
      <c r="A196" s="121">
        <v>195</v>
      </c>
      <c r="B196" s="133" t="s">
        <v>2171</v>
      </c>
      <c r="C196" s="133" t="s">
        <v>2425</v>
      </c>
      <c r="D196" s="133" t="s">
        <v>2448</v>
      </c>
      <c r="E196" s="124">
        <v>42769</v>
      </c>
      <c r="F196" s="124">
        <v>42814</v>
      </c>
      <c r="G196" s="123">
        <v>821</v>
      </c>
      <c r="H196" s="123">
        <v>378</v>
      </c>
      <c r="I196" s="123">
        <v>525</v>
      </c>
      <c r="J196" s="123">
        <v>25</v>
      </c>
      <c r="K196" s="193">
        <f t="shared" si="3"/>
        <v>45</v>
      </c>
    </row>
    <row r="197" spans="1:11">
      <c r="A197" s="121">
        <v>196</v>
      </c>
      <c r="B197" s="133" t="s">
        <v>2171</v>
      </c>
      <c r="C197" s="122" t="s">
        <v>2416</v>
      </c>
      <c r="D197" s="133" t="s">
        <v>2447</v>
      </c>
      <c r="E197" s="124">
        <v>42769</v>
      </c>
      <c r="F197" s="124">
        <v>42814</v>
      </c>
      <c r="G197" s="123">
        <v>754</v>
      </c>
      <c r="H197" s="123">
        <v>375</v>
      </c>
      <c r="I197" s="123">
        <v>886</v>
      </c>
      <c r="J197" s="123">
        <v>362</v>
      </c>
      <c r="K197" s="193">
        <f t="shared" si="3"/>
        <v>45</v>
      </c>
    </row>
    <row r="198" spans="1:11">
      <c r="A198" s="121">
        <v>197</v>
      </c>
      <c r="B198" s="133" t="s">
        <v>2171</v>
      </c>
      <c r="C198" s="133" t="s">
        <v>2426</v>
      </c>
      <c r="D198" s="133" t="s">
        <v>2448</v>
      </c>
      <c r="E198" s="124">
        <v>42769</v>
      </c>
      <c r="F198" s="124">
        <v>42814</v>
      </c>
      <c r="G198" s="123">
        <v>715</v>
      </c>
      <c r="H198" s="123">
        <v>219</v>
      </c>
      <c r="I198" s="123">
        <v>388</v>
      </c>
      <c r="J198" s="123">
        <v>370</v>
      </c>
      <c r="K198" s="193">
        <f t="shared" si="3"/>
        <v>45</v>
      </c>
    </row>
    <row r="199" spans="1:11">
      <c r="A199" s="121">
        <v>198</v>
      </c>
      <c r="B199" s="133" t="s">
        <v>2171</v>
      </c>
      <c r="C199" s="133" t="s">
        <v>2434</v>
      </c>
      <c r="D199" s="133" t="s">
        <v>2449</v>
      </c>
      <c r="E199" s="124">
        <v>42769</v>
      </c>
      <c r="F199" s="124">
        <v>42813</v>
      </c>
      <c r="G199" s="123">
        <v>785</v>
      </c>
      <c r="H199" s="123">
        <v>463</v>
      </c>
      <c r="I199" s="123">
        <v>462</v>
      </c>
      <c r="J199" s="123">
        <v>168</v>
      </c>
      <c r="K199" s="193">
        <f t="shared" si="3"/>
        <v>44</v>
      </c>
    </row>
    <row r="200" spans="1:11">
      <c r="A200" s="121">
        <v>199</v>
      </c>
      <c r="B200" s="133" t="s">
        <v>2171</v>
      </c>
      <c r="C200" s="133" t="s">
        <v>2418</v>
      </c>
      <c r="D200" s="133" t="s">
        <v>2447</v>
      </c>
      <c r="E200" s="124">
        <v>42769</v>
      </c>
      <c r="F200" s="124">
        <v>42814</v>
      </c>
      <c r="G200" s="123">
        <v>877</v>
      </c>
      <c r="H200" s="123">
        <v>339</v>
      </c>
      <c r="I200" s="123">
        <v>712</v>
      </c>
      <c r="J200" s="123">
        <v>269</v>
      </c>
      <c r="K200" s="193">
        <f t="shared" si="3"/>
        <v>45</v>
      </c>
    </row>
    <row r="201" spans="1:11">
      <c r="A201" s="121">
        <v>200</v>
      </c>
      <c r="B201" s="133" t="s">
        <v>2171</v>
      </c>
      <c r="C201" s="133" t="s">
        <v>2441</v>
      </c>
      <c r="D201" s="122" t="s">
        <v>2450</v>
      </c>
      <c r="E201" s="124">
        <v>42769</v>
      </c>
      <c r="F201" s="124">
        <v>42813</v>
      </c>
      <c r="G201" s="123">
        <v>816</v>
      </c>
      <c r="H201" s="123">
        <v>303</v>
      </c>
      <c r="I201" s="123">
        <v>709</v>
      </c>
      <c r="J201" s="123">
        <v>359</v>
      </c>
      <c r="K201" s="193">
        <f t="shared" si="3"/>
        <v>44</v>
      </c>
    </row>
    <row r="202" spans="1:11">
      <c r="A202" s="121">
        <v>201</v>
      </c>
      <c r="B202" s="133" t="s">
        <v>2271</v>
      </c>
      <c r="C202" s="133" t="s">
        <v>2442</v>
      </c>
      <c r="D202" s="122" t="s">
        <v>2450</v>
      </c>
      <c r="E202" s="124">
        <v>42769</v>
      </c>
      <c r="F202" s="124">
        <v>42813</v>
      </c>
      <c r="G202" s="123">
        <v>811</v>
      </c>
      <c r="H202" s="123">
        <v>218</v>
      </c>
      <c r="I202" s="123">
        <v>707</v>
      </c>
      <c r="J202" s="123">
        <v>395</v>
      </c>
      <c r="K202" s="193">
        <f t="shared" si="3"/>
        <v>44</v>
      </c>
    </row>
    <row r="203" spans="1:11">
      <c r="A203" s="121">
        <v>202</v>
      </c>
      <c r="B203" s="133" t="s">
        <v>2271</v>
      </c>
      <c r="C203" s="133" t="s">
        <v>2419</v>
      </c>
      <c r="D203" s="133" t="s">
        <v>2447</v>
      </c>
      <c r="E203" s="124">
        <v>42769</v>
      </c>
      <c r="F203" s="124">
        <v>42814</v>
      </c>
      <c r="G203" s="123">
        <v>773</v>
      </c>
      <c r="H203" s="123">
        <v>135</v>
      </c>
      <c r="I203" s="123">
        <v>770</v>
      </c>
      <c r="J203" s="123">
        <v>182</v>
      </c>
      <c r="K203" s="193">
        <f t="shared" si="3"/>
        <v>45</v>
      </c>
    </row>
    <row r="204" spans="1:11">
      <c r="A204" s="121">
        <v>203</v>
      </c>
      <c r="B204" s="133" t="s">
        <v>2271</v>
      </c>
      <c r="C204" s="133" t="s">
        <v>2428</v>
      </c>
      <c r="D204" s="133" t="s">
        <v>2448</v>
      </c>
      <c r="E204" s="124">
        <v>42769</v>
      </c>
      <c r="F204" s="124">
        <v>42814</v>
      </c>
      <c r="G204" s="123">
        <v>645</v>
      </c>
      <c r="H204" s="123">
        <v>372</v>
      </c>
      <c r="I204" s="123">
        <v>753</v>
      </c>
      <c r="J204" s="123">
        <v>342</v>
      </c>
      <c r="K204" s="193">
        <f t="shared" si="3"/>
        <v>45</v>
      </c>
    </row>
    <row r="205" spans="1:11">
      <c r="A205" s="121">
        <v>204</v>
      </c>
      <c r="B205" s="133" t="s">
        <v>2271</v>
      </c>
      <c r="C205" s="133" t="s">
        <v>2435</v>
      </c>
      <c r="D205" s="133" t="s">
        <v>2449</v>
      </c>
      <c r="E205" s="124">
        <v>42769</v>
      </c>
      <c r="F205" s="124">
        <v>42813</v>
      </c>
      <c r="G205" s="123">
        <v>814</v>
      </c>
      <c r="H205" s="123">
        <v>334</v>
      </c>
      <c r="I205" s="123">
        <v>640</v>
      </c>
      <c r="J205" s="123">
        <v>139</v>
      </c>
      <c r="K205" s="193">
        <f t="shared" si="3"/>
        <v>44</v>
      </c>
    </row>
    <row r="206" spans="1:11">
      <c r="A206" s="121">
        <v>205</v>
      </c>
      <c r="B206" s="133" t="s">
        <v>2309</v>
      </c>
      <c r="C206" s="133" t="s">
        <v>2429</v>
      </c>
      <c r="D206" s="133" t="s">
        <v>2448</v>
      </c>
      <c r="E206" s="124">
        <v>42769</v>
      </c>
      <c r="F206" s="124">
        <v>42814</v>
      </c>
      <c r="G206" s="123">
        <v>621</v>
      </c>
      <c r="H206" s="123">
        <v>265</v>
      </c>
      <c r="I206" s="123">
        <v>668</v>
      </c>
      <c r="J206" s="123">
        <v>92</v>
      </c>
      <c r="K206" s="193">
        <f t="shared" si="3"/>
        <v>45</v>
      </c>
    </row>
    <row r="207" spans="1:11">
      <c r="A207" s="121">
        <v>206</v>
      </c>
      <c r="B207" s="133" t="s">
        <v>2309</v>
      </c>
      <c r="C207" s="133" t="s">
        <v>2420</v>
      </c>
      <c r="D207" s="133" t="s">
        <v>2447</v>
      </c>
      <c r="E207" s="124">
        <v>42769</v>
      </c>
      <c r="F207" s="124">
        <v>42814</v>
      </c>
      <c r="G207" s="123">
        <v>677</v>
      </c>
      <c r="H207" s="123">
        <v>234</v>
      </c>
      <c r="I207" s="123">
        <v>891</v>
      </c>
      <c r="J207" s="123">
        <v>328</v>
      </c>
      <c r="K207" s="193">
        <f t="shared" si="3"/>
        <v>45</v>
      </c>
    </row>
    <row r="208" spans="1:11">
      <c r="A208" s="121">
        <v>207</v>
      </c>
      <c r="B208" s="133" t="s">
        <v>2309</v>
      </c>
      <c r="C208" s="133" t="s">
        <v>2443</v>
      </c>
      <c r="D208" s="122" t="s">
        <v>2450</v>
      </c>
      <c r="E208" s="124">
        <v>42769</v>
      </c>
      <c r="F208" s="124">
        <v>42813</v>
      </c>
      <c r="G208" s="123">
        <v>574</v>
      </c>
      <c r="H208" s="123">
        <v>258</v>
      </c>
      <c r="I208" s="123">
        <v>540</v>
      </c>
      <c r="J208" s="123">
        <v>149</v>
      </c>
      <c r="K208" s="193">
        <f t="shared" si="3"/>
        <v>44</v>
      </c>
    </row>
    <row r="209" spans="1:11">
      <c r="A209" s="121">
        <v>208</v>
      </c>
      <c r="B209" s="133" t="s">
        <v>2309</v>
      </c>
      <c r="C209" s="133" t="s">
        <v>2436</v>
      </c>
      <c r="D209" s="133" t="s">
        <v>2449</v>
      </c>
      <c r="E209" s="124">
        <v>42769</v>
      </c>
      <c r="F209" s="124">
        <v>42813</v>
      </c>
      <c r="G209" s="123">
        <v>710</v>
      </c>
      <c r="H209" s="123">
        <v>344</v>
      </c>
      <c r="I209" s="123">
        <v>508</v>
      </c>
      <c r="J209" s="123">
        <v>449</v>
      </c>
      <c r="K209" s="193">
        <f t="shared" si="3"/>
        <v>44</v>
      </c>
    </row>
    <row r="210" spans="1:11">
      <c r="A210" s="121">
        <v>209</v>
      </c>
      <c r="B210" s="133" t="s">
        <v>2309</v>
      </c>
      <c r="C210" s="133" t="s">
        <v>2430</v>
      </c>
      <c r="D210" s="133" t="s">
        <v>2448</v>
      </c>
      <c r="E210" s="124">
        <v>42769</v>
      </c>
      <c r="F210" s="124">
        <v>42814</v>
      </c>
      <c r="G210" s="123">
        <v>604</v>
      </c>
      <c r="H210" s="123">
        <v>271</v>
      </c>
      <c r="I210" s="123">
        <v>637</v>
      </c>
      <c r="J210" s="123">
        <v>142</v>
      </c>
      <c r="K210" s="193">
        <f t="shared" si="3"/>
        <v>45</v>
      </c>
    </row>
    <row r="211" spans="1:11">
      <c r="A211" s="121">
        <v>210</v>
      </c>
      <c r="B211" s="133" t="s">
        <v>2309</v>
      </c>
      <c r="C211" s="133" t="s">
        <v>2444</v>
      </c>
      <c r="D211" s="122" t="s">
        <v>2450</v>
      </c>
      <c r="E211" s="124">
        <v>42769</v>
      </c>
      <c r="F211" s="124">
        <v>42813</v>
      </c>
      <c r="G211" s="123">
        <v>871</v>
      </c>
      <c r="H211" s="123">
        <v>340</v>
      </c>
      <c r="I211" s="123">
        <v>720</v>
      </c>
      <c r="J211" s="123">
        <v>392</v>
      </c>
      <c r="K211" s="193">
        <f t="shared" si="3"/>
        <v>44</v>
      </c>
    </row>
    <row r="212" spans="1:11">
      <c r="A212" s="121">
        <v>211</v>
      </c>
      <c r="B212" s="133" t="s">
        <v>2309</v>
      </c>
      <c r="C212" s="133" t="s">
        <v>2421</v>
      </c>
      <c r="D212" s="133" t="s">
        <v>2447</v>
      </c>
      <c r="E212" s="124">
        <v>42769</v>
      </c>
      <c r="F212" s="124">
        <v>42814</v>
      </c>
      <c r="G212" s="123">
        <v>822</v>
      </c>
      <c r="H212" s="123">
        <v>381</v>
      </c>
      <c r="I212" s="123">
        <v>796</v>
      </c>
      <c r="J212" s="123">
        <v>589</v>
      </c>
      <c r="K212" s="193">
        <f t="shared" si="3"/>
        <v>45</v>
      </c>
    </row>
    <row r="213" spans="1:11">
      <c r="A213" s="121">
        <v>212</v>
      </c>
      <c r="B213" s="133" t="s">
        <v>2309</v>
      </c>
      <c r="C213" s="133" t="s">
        <v>2437</v>
      </c>
      <c r="D213" s="133" t="s">
        <v>2449</v>
      </c>
      <c r="E213" s="124">
        <v>42769</v>
      </c>
      <c r="F213" s="124">
        <v>42813</v>
      </c>
      <c r="G213" s="123">
        <v>786</v>
      </c>
      <c r="H213" s="123">
        <v>93</v>
      </c>
      <c r="I213" s="123">
        <v>560</v>
      </c>
      <c r="J213" s="123">
        <v>130</v>
      </c>
      <c r="K213" s="193">
        <f t="shared" si="3"/>
        <v>44</v>
      </c>
    </row>
    <row r="214" spans="1:11">
      <c r="A214" s="121">
        <v>213</v>
      </c>
      <c r="B214" s="133" t="s">
        <v>2380</v>
      </c>
      <c r="C214" s="133" t="s">
        <v>2445</v>
      </c>
      <c r="D214" s="122" t="s">
        <v>2450</v>
      </c>
      <c r="E214" s="124">
        <v>42769</v>
      </c>
      <c r="F214" s="124">
        <v>42813</v>
      </c>
      <c r="G214" s="123">
        <v>572</v>
      </c>
      <c r="H214" s="123">
        <v>88</v>
      </c>
      <c r="I214" s="123">
        <v>716</v>
      </c>
      <c r="J214" s="123">
        <v>111</v>
      </c>
      <c r="K214" s="193">
        <f t="shared" si="3"/>
        <v>44</v>
      </c>
    </row>
    <row r="215" spans="1:11">
      <c r="A215" s="121">
        <v>214</v>
      </c>
      <c r="B215" s="133" t="s">
        <v>2380</v>
      </c>
      <c r="C215" s="133" t="s">
        <v>2438</v>
      </c>
      <c r="D215" s="133" t="s">
        <v>2449</v>
      </c>
      <c r="E215" s="124">
        <v>42769</v>
      </c>
      <c r="F215" s="124">
        <v>42813</v>
      </c>
      <c r="G215" s="123">
        <v>761</v>
      </c>
      <c r="H215" s="123">
        <v>383</v>
      </c>
      <c r="I215" s="123">
        <v>581</v>
      </c>
      <c r="J215" s="123">
        <v>412</v>
      </c>
      <c r="K215" s="193">
        <f t="shared" si="3"/>
        <v>44</v>
      </c>
    </row>
    <row r="216" spans="1:11">
      <c r="A216" s="121">
        <v>215</v>
      </c>
      <c r="B216" s="133" t="s">
        <v>2380</v>
      </c>
      <c r="C216" s="133" t="s">
        <v>2422</v>
      </c>
      <c r="D216" s="133" t="s">
        <v>2447</v>
      </c>
      <c r="E216" s="124">
        <v>42769</v>
      </c>
      <c r="F216" s="124">
        <v>42814</v>
      </c>
      <c r="G216" s="123">
        <v>858</v>
      </c>
      <c r="H216" s="123">
        <v>145</v>
      </c>
      <c r="I216" s="123">
        <v>718</v>
      </c>
      <c r="J216" s="123">
        <v>434</v>
      </c>
      <c r="K216" s="193">
        <f t="shared" si="3"/>
        <v>45</v>
      </c>
    </row>
    <row r="217" spans="1:11">
      <c r="A217" s="121">
        <v>216</v>
      </c>
      <c r="B217" s="133" t="s">
        <v>2380</v>
      </c>
      <c r="C217" s="133" t="s">
        <v>2431</v>
      </c>
      <c r="D217" s="133" t="s">
        <v>2448</v>
      </c>
      <c r="E217" s="124">
        <v>42769</v>
      </c>
      <c r="F217" s="124">
        <v>42814</v>
      </c>
      <c r="G217" s="123">
        <v>755</v>
      </c>
      <c r="H217" s="123">
        <v>241</v>
      </c>
      <c r="I217" s="123">
        <v>613</v>
      </c>
      <c r="J217" s="123">
        <v>457</v>
      </c>
      <c r="K217" s="193">
        <f t="shared" si="3"/>
        <v>45</v>
      </c>
    </row>
    <row r="218" spans="1:11">
      <c r="A218" s="121">
        <v>217</v>
      </c>
      <c r="B218" s="133" t="s">
        <v>2423</v>
      </c>
      <c r="C218" s="133" t="s">
        <v>2424</v>
      </c>
      <c r="D218" s="133" t="s">
        <v>2447</v>
      </c>
      <c r="E218" s="124">
        <v>42769</v>
      </c>
      <c r="F218" s="124">
        <v>42814</v>
      </c>
      <c r="G218" s="123">
        <v>795</v>
      </c>
      <c r="H218" s="123">
        <v>302</v>
      </c>
      <c r="I218" s="123">
        <v>804</v>
      </c>
      <c r="J218" s="123">
        <v>410</v>
      </c>
      <c r="K218" s="193">
        <f t="shared" si="3"/>
        <v>45</v>
      </c>
    </row>
    <row r="219" spans="1:11">
      <c r="A219" s="121">
        <v>218</v>
      </c>
      <c r="B219" s="133" t="s">
        <v>2423</v>
      </c>
      <c r="C219" s="133" t="s">
        <v>2432</v>
      </c>
      <c r="D219" s="133" t="s">
        <v>2448</v>
      </c>
      <c r="E219" s="124">
        <v>42769</v>
      </c>
      <c r="F219" s="124">
        <v>42814</v>
      </c>
      <c r="G219" s="123">
        <v>251</v>
      </c>
      <c r="H219" s="123">
        <v>442</v>
      </c>
      <c r="I219" s="123">
        <v>587</v>
      </c>
      <c r="J219" s="123">
        <v>103</v>
      </c>
      <c r="K219" s="193">
        <f t="shared" si="3"/>
        <v>45</v>
      </c>
    </row>
    <row r="220" spans="1:11">
      <c r="A220" s="121">
        <v>219</v>
      </c>
      <c r="B220" s="133" t="s">
        <v>2423</v>
      </c>
      <c r="C220" s="133" t="s">
        <v>2439</v>
      </c>
      <c r="D220" s="133" t="s">
        <v>2449</v>
      </c>
      <c r="E220" s="124">
        <v>42769</v>
      </c>
      <c r="F220" s="124">
        <v>42813</v>
      </c>
      <c r="G220" s="163">
        <v>727</v>
      </c>
      <c r="H220" s="163">
        <v>176</v>
      </c>
      <c r="I220" s="163">
        <v>491</v>
      </c>
      <c r="J220" s="163">
        <v>356</v>
      </c>
      <c r="K220" s="193">
        <f t="shared" si="3"/>
        <v>44</v>
      </c>
    </row>
    <row r="221" spans="1:11">
      <c r="A221" s="121">
        <v>220</v>
      </c>
      <c r="B221" s="133" t="s">
        <v>2423</v>
      </c>
      <c r="C221" s="133" t="s">
        <v>2446</v>
      </c>
      <c r="D221" s="122" t="s">
        <v>2450</v>
      </c>
      <c r="E221" s="124">
        <v>42769</v>
      </c>
      <c r="F221" s="124">
        <v>42813</v>
      </c>
      <c r="G221" s="123">
        <v>782</v>
      </c>
      <c r="H221" s="123">
        <v>250</v>
      </c>
      <c r="I221" s="123">
        <v>849</v>
      </c>
      <c r="J221" s="123">
        <v>319</v>
      </c>
      <c r="K221" s="193">
        <f t="shared" si="3"/>
        <v>44</v>
      </c>
    </row>
  </sheetData>
  <conditionalFormatting sqref="K2:K221">
    <cfRule type="containsErrors" dxfId="1" priority="1" stopIfTrue="1">
      <formula>ISERROR(K2)</formula>
    </cfRule>
  </conditionalFormatting>
  <pageMargins left="0.7" right="0.7" top="0.75" bottom="0.75" header="0.3" footer="0.3"/>
  <pageSetup paperSize="9" orientation="portrait" r:id="rId1"/>
  <legacy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P92"/>
  <sheetViews>
    <sheetView workbookViewId="0">
      <selection activeCell="B72" sqref="B72"/>
    </sheetView>
  </sheetViews>
  <sheetFormatPr baseColWidth="10" defaultColWidth="11.44140625" defaultRowHeight="14.4"/>
  <cols>
    <col min="1" max="1" width="36.44140625" style="30" customWidth="1"/>
    <col min="2" max="2" width="110.109375" style="30" customWidth="1"/>
    <col min="3" max="3" width="32.109375" customWidth="1"/>
    <col min="4" max="4" width="10.109375" customWidth="1"/>
  </cols>
  <sheetData>
    <row r="1" spans="1:5">
      <c r="A1" s="48" t="s">
        <v>42</v>
      </c>
      <c r="B1" s="48"/>
    </row>
    <row r="2" spans="1:5">
      <c r="A2" s="48"/>
      <c r="B2" s="48"/>
    </row>
    <row r="3" spans="1:5">
      <c r="A3" s="48">
        <v>1</v>
      </c>
      <c r="B3" s="48" t="s">
        <v>219</v>
      </c>
    </row>
    <row r="4" spans="1:5">
      <c r="A4" s="48"/>
      <c r="B4" s="48" t="s">
        <v>43</v>
      </c>
    </row>
    <row r="5" spans="1:5">
      <c r="A5" s="48">
        <v>2</v>
      </c>
      <c r="B5" s="48" t="s">
        <v>44</v>
      </c>
    </row>
    <row r="6" spans="1:5" ht="29.25" customHeight="1">
      <c r="A6" s="48">
        <v>3</v>
      </c>
      <c r="B6" s="49" t="s">
        <v>45</v>
      </c>
    </row>
    <row r="7" spans="1:5" ht="43.2">
      <c r="A7" s="54">
        <v>4</v>
      </c>
      <c r="B7" s="53" t="s">
        <v>46</v>
      </c>
    </row>
    <row r="8" spans="1:5">
      <c r="A8" s="54">
        <v>5</v>
      </c>
      <c r="B8" s="53" t="s">
        <v>295</v>
      </c>
    </row>
    <row r="10" spans="1:5">
      <c r="B10" s="77" t="s">
        <v>220</v>
      </c>
    </row>
    <row r="11" spans="1:5">
      <c r="B11" s="78" t="s">
        <v>221</v>
      </c>
    </row>
    <row r="12" spans="1:5">
      <c r="B12" s="79"/>
    </row>
    <row r="13" spans="1:5">
      <c r="A13" s="30" t="s">
        <v>47</v>
      </c>
      <c r="E13" s="51"/>
    </row>
    <row r="14" spans="1:5">
      <c r="A14" s="51" t="s">
        <v>48</v>
      </c>
      <c r="E14" s="51"/>
    </row>
    <row r="15" spans="1:5">
      <c r="A15" s="51" t="s">
        <v>49</v>
      </c>
      <c r="E15" s="51"/>
    </row>
    <row r="16" spans="1:5">
      <c r="A16" s="51" t="s">
        <v>50</v>
      </c>
      <c r="E16" s="51"/>
    </row>
    <row r="17" spans="1:11">
      <c r="A17" s="51" t="s">
        <v>51</v>
      </c>
      <c r="E17" s="51"/>
    </row>
    <row r="18" spans="1:11">
      <c r="A18" s="51" t="s">
        <v>52</v>
      </c>
      <c r="D18" s="1"/>
      <c r="E18" s="58"/>
    </row>
    <row r="19" spans="1:11">
      <c r="A19" s="51" t="s">
        <v>53</v>
      </c>
      <c r="E19" s="51"/>
    </row>
    <row r="20" spans="1:11">
      <c r="A20" s="51" t="s">
        <v>54</v>
      </c>
      <c r="E20" s="51"/>
    </row>
    <row r="21" spans="1:11">
      <c r="A21" s="51" t="s">
        <v>55</v>
      </c>
      <c r="E21" s="51"/>
    </row>
    <row r="22" spans="1:11">
      <c r="A22" s="51" t="s">
        <v>56</v>
      </c>
      <c r="E22" s="51"/>
    </row>
    <row r="23" spans="1:11">
      <c r="A23" s="51" t="s">
        <v>57</v>
      </c>
    </row>
    <row r="25" spans="1:11">
      <c r="A25" s="30" t="s">
        <v>58</v>
      </c>
    </row>
    <row r="26" spans="1:11" ht="27" customHeight="1" thickBot="1">
      <c r="A26" s="80" t="s">
        <v>59</v>
      </c>
      <c r="B26" s="31"/>
      <c r="C26" s="5"/>
      <c r="D26" s="5"/>
      <c r="F26" s="1"/>
      <c r="G26" s="1"/>
      <c r="H26" s="1"/>
      <c r="I26" s="1"/>
      <c r="J26" s="1"/>
      <c r="K26" s="1"/>
    </row>
    <row r="27" spans="1:11">
      <c r="A27" s="66" t="s">
        <v>0</v>
      </c>
      <c r="B27" s="67" t="s">
        <v>60</v>
      </c>
      <c r="C27" s="67"/>
      <c r="D27" s="67"/>
      <c r="F27" s="1"/>
      <c r="G27" s="1"/>
      <c r="H27" s="1"/>
      <c r="I27" s="1"/>
      <c r="J27" s="1"/>
      <c r="K27" s="1"/>
    </row>
    <row r="28" spans="1:11" s="2" customFormat="1">
      <c r="A28" s="64" t="s">
        <v>1</v>
      </c>
      <c r="B28" s="65" t="s">
        <v>61</v>
      </c>
      <c r="C28" s="65"/>
      <c r="D28" s="65"/>
    </row>
    <row r="29" spans="1:11" s="2" customFormat="1">
      <c r="A29" s="64" t="s">
        <v>2</v>
      </c>
      <c r="B29" s="65" t="s">
        <v>62</v>
      </c>
      <c r="C29" s="65"/>
      <c r="D29" s="65"/>
    </row>
    <row r="30" spans="1:11" s="2" customFormat="1">
      <c r="A30" s="64" t="s">
        <v>3</v>
      </c>
      <c r="B30" s="65" t="s">
        <v>63</v>
      </c>
      <c r="C30" s="65"/>
      <c r="D30" s="65"/>
    </row>
    <row r="31" spans="1:11" s="2" customFormat="1" ht="28.8">
      <c r="A31" s="64" t="s">
        <v>5</v>
      </c>
      <c r="B31" s="27" t="s">
        <v>64</v>
      </c>
      <c r="C31" s="65"/>
      <c r="D31" s="65"/>
    </row>
    <row r="32" spans="1:11" s="2" customFormat="1">
      <c r="A32" s="64" t="s">
        <v>4</v>
      </c>
      <c r="B32" s="65" t="s">
        <v>65</v>
      </c>
      <c r="C32" s="65"/>
      <c r="D32" s="65"/>
    </row>
    <row r="33" spans="1:9" s="2" customFormat="1" ht="28.8">
      <c r="A33" s="64" t="s">
        <v>6</v>
      </c>
      <c r="B33" s="27" t="s">
        <v>66</v>
      </c>
      <c r="C33" s="65"/>
      <c r="D33" s="65"/>
    </row>
    <row r="34" spans="1:9" s="2" customFormat="1" ht="15" thickBot="1">
      <c r="A34" s="68" t="s">
        <v>7</v>
      </c>
      <c r="B34" s="28" t="s">
        <v>67</v>
      </c>
      <c r="C34" s="69"/>
      <c r="D34" s="69"/>
    </row>
    <row r="35" spans="1:9" s="2" customFormat="1" ht="30.75" customHeight="1" thickBot="1">
      <c r="A35" s="81" t="s">
        <v>68</v>
      </c>
      <c r="B35" s="33"/>
      <c r="C35" s="52"/>
      <c r="D35" s="6"/>
      <c r="E35" s="3"/>
    </row>
    <row r="36" spans="1:9" s="2" customFormat="1" ht="29.25" customHeight="1">
      <c r="A36" s="66" t="s">
        <v>8</v>
      </c>
      <c r="B36" s="29" t="s">
        <v>69</v>
      </c>
      <c r="C36" s="65" t="s">
        <v>70</v>
      </c>
      <c r="D36" s="67"/>
    </row>
    <row r="37" spans="1:9" s="2" customFormat="1" ht="15" thickBot="1">
      <c r="A37" s="64" t="s">
        <v>9</v>
      </c>
      <c r="B37" s="65" t="s">
        <v>71</v>
      </c>
      <c r="C37" s="65" t="s">
        <v>70</v>
      </c>
      <c r="D37" s="65"/>
    </row>
    <row r="38" spans="1:9" s="2" customFormat="1" ht="15" thickBot="1">
      <c r="A38" s="64" t="s">
        <v>10</v>
      </c>
      <c r="B38" s="65" t="s">
        <v>72</v>
      </c>
      <c r="C38" s="65" t="s">
        <v>73</v>
      </c>
      <c r="D38" s="65"/>
      <c r="F38" s="82" t="s">
        <v>222</v>
      </c>
      <c r="G38" s="83"/>
      <c r="H38" s="83"/>
      <c r="I38" s="84"/>
    </row>
    <row r="39" spans="1:9" s="2" customFormat="1">
      <c r="A39" s="64" t="s">
        <v>11</v>
      </c>
      <c r="B39" s="65" t="s">
        <v>74</v>
      </c>
      <c r="C39" s="65" t="s">
        <v>73</v>
      </c>
      <c r="D39" s="65"/>
      <c r="F39" s="64" t="s">
        <v>78</v>
      </c>
      <c r="G39" s="65" t="s">
        <v>79</v>
      </c>
      <c r="H39" s="65" t="s">
        <v>80</v>
      </c>
      <c r="I39" s="85" t="s">
        <v>81</v>
      </c>
    </row>
    <row r="40" spans="1:9" s="2" customFormat="1">
      <c r="A40" s="71" t="s">
        <v>12</v>
      </c>
      <c r="B40" s="65" t="s">
        <v>223</v>
      </c>
      <c r="C40" s="65"/>
      <c r="D40" s="65"/>
      <c r="F40" s="64" t="s">
        <v>82</v>
      </c>
      <c r="G40" s="50">
        <v>2.0009999999999999</v>
      </c>
      <c r="H40" s="50">
        <v>1.7889999999999999</v>
      </c>
      <c r="I40" s="86" t="e">
        <f>(H40-Wcordandbag)/(G40-(Wcordandbag+Wlabel))</f>
        <v>#NAME?</v>
      </c>
    </row>
    <row r="41" spans="1:9" s="2" customFormat="1">
      <c r="A41" s="2" t="s">
        <v>13</v>
      </c>
      <c r="B41" s="65" t="s">
        <v>75</v>
      </c>
      <c r="C41" s="65" t="s">
        <v>73</v>
      </c>
      <c r="D41" s="65"/>
      <c r="E41" s="65"/>
      <c r="F41" s="64" t="s">
        <v>83</v>
      </c>
      <c r="G41" s="50" t="s">
        <v>84</v>
      </c>
      <c r="H41" s="50"/>
      <c r="I41" s="86" t="e">
        <f>(H41-Wcordandbag)/(G41-(Wcordandbag+Wlabel))</f>
        <v>#NAME?</v>
      </c>
    </row>
    <row r="42" spans="1:9" s="2" customFormat="1" ht="43.2">
      <c r="A42" s="64" t="s">
        <v>14</v>
      </c>
      <c r="B42" s="27" t="s">
        <v>76</v>
      </c>
      <c r="C42" s="65" t="s">
        <v>77</v>
      </c>
      <c r="D42" s="65"/>
      <c r="E42" s="65"/>
      <c r="F42" s="64" t="s">
        <v>85</v>
      </c>
      <c r="G42" s="50"/>
      <c r="H42" s="50"/>
      <c r="I42" s="86" t="e">
        <f>(H42-Wcordandbag)/(G42-(Wcordandbag+Wlabel))</f>
        <v>#NAME?</v>
      </c>
    </row>
    <row r="43" spans="1:9" s="2" customFormat="1">
      <c r="A43" s="65" t="s">
        <v>15</v>
      </c>
      <c r="B43" s="65" t="s">
        <v>71</v>
      </c>
      <c r="C43" s="65" t="s">
        <v>77</v>
      </c>
      <c r="D43" s="65"/>
      <c r="E43" s="65"/>
      <c r="F43" s="64" t="s">
        <v>86</v>
      </c>
      <c r="G43" s="50"/>
      <c r="H43" s="50"/>
      <c r="I43" s="86" t="e">
        <f>(H43-Wcordandbag)/(G43-(Wcordandbag+Wlabel))</f>
        <v>#NAME?</v>
      </c>
    </row>
    <row r="44" spans="1:9" s="2" customFormat="1" ht="29.4" thickBot="1">
      <c r="A44" s="69" t="s">
        <v>211</v>
      </c>
      <c r="B44" s="28" t="s">
        <v>224</v>
      </c>
      <c r="C44" s="69"/>
      <c r="D44" s="69"/>
      <c r="E44" s="65"/>
      <c r="F44" s="68" t="s">
        <v>84</v>
      </c>
      <c r="G44" s="87"/>
      <c r="H44" s="87"/>
      <c r="I44" s="86" t="e">
        <f>(H44-Wcordandbag)/(G44-(Wcordandbag+Wlabel))</f>
        <v>#NAME?</v>
      </c>
    </row>
    <row r="45" spans="1:9" s="2" customFormat="1" ht="29.25" customHeight="1" thickBot="1">
      <c r="A45" s="88" t="s">
        <v>87</v>
      </c>
      <c r="B45" s="34"/>
      <c r="C45" s="4"/>
      <c r="D45" s="4"/>
    </row>
    <row r="46" spans="1:9" s="2" customFormat="1" ht="77.25" customHeight="1">
      <c r="A46" s="35" t="s">
        <v>16</v>
      </c>
      <c r="B46" s="29" t="s">
        <v>225</v>
      </c>
      <c r="C46" s="60"/>
      <c r="D46" s="60"/>
      <c r="G46" s="1"/>
    </row>
    <row r="47" spans="1:9" s="2" customFormat="1" ht="15" customHeight="1">
      <c r="A47" s="65" t="s">
        <v>19</v>
      </c>
      <c r="B47" s="65" t="s">
        <v>88</v>
      </c>
      <c r="C47" s="26"/>
      <c r="D47" s="26"/>
      <c r="E47" s="61"/>
      <c r="G47" s="1"/>
      <c r="H47" s="1"/>
    </row>
    <row r="48" spans="1:9" s="2" customFormat="1" ht="15" customHeight="1">
      <c r="A48" s="65" t="s">
        <v>20</v>
      </c>
      <c r="B48" s="65" t="s">
        <v>88</v>
      </c>
      <c r="C48" s="26"/>
      <c r="D48" s="26"/>
      <c r="E48" s="61"/>
      <c r="G48" s="1"/>
      <c r="H48" s="1"/>
    </row>
    <row r="49" spans="1:13" s="2" customFormat="1" ht="15" customHeight="1">
      <c r="A49" s="2" t="s">
        <v>17</v>
      </c>
      <c r="C49" s="26"/>
      <c r="D49" s="26"/>
      <c r="E49" s="61"/>
      <c r="G49" s="1"/>
      <c r="H49" s="1"/>
    </row>
    <row r="50" spans="1:13" s="2" customFormat="1" ht="15" customHeight="1" thickBot="1">
      <c r="A50" s="2" t="s">
        <v>18</v>
      </c>
      <c r="B50" s="27" t="s">
        <v>226</v>
      </c>
      <c r="C50" s="26"/>
    </row>
    <row r="51" spans="1:13" s="2" customFormat="1" ht="15" customHeight="1" thickBot="1">
      <c r="A51" s="65" t="s">
        <v>212</v>
      </c>
      <c r="B51" s="27" t="s">
        <v>227</v>
      </c>
      <c r="C51" s="26"/>
      <c r="F51" s="72" t="s">
        <v>204</v>
      </c>
      <c r="G51" s="73" t="s">
        <v>203</v>
      </c>
      <c r="H51" s="75" t="s">
        <v>205</v>
      </c>
      <c r="I51" s="76" t="s">
        <v>216</v>
      </c>
      <c r="J51" s="76" t="s">
        <v>206</v>
      </c>
      <c r="K51" s="73" t="s">
        <v>207</v>
      </c>
      <c r="L51" s="73" t="s">
        <v>217</v>
      </c>
      <c r="M51" s="74" t="s">
        <v>218</v>
      </c>
    </row>
    <row r="52" spans="1:13" s="2" customFormat="1" ht="15" customHeight="1">
      <c r="A52" s="2" t="s">
        <v>213</v>
      </c>
      <c r="B52" s="27" t="s">
        <v>228</v>
      </c>
      <c r="C52" s="61" t="s">
        <v>77</v>
      </c>
      <c r="F52" s="89" t="s">
        <v>229</v>
      </c>
      <c r="G52" s="61" t="s">
        <v>230</v>
      </c>
      <c r="H52" s="61" t="s">
        <v>231</v>
      </c>
      <c r="I52" s="90" t="s">
        <v>232</v>
      </c>
      <c r="J52" s="61" t="s">
        <v>233</v>
      </c>
      <c r="K52" s="61" t="s">
        <v>233</v>
      </c>
      <c r="L52" s="61" t="s">
        <v>234</v>
      </c>
      <c r="M52" s="85" t="s">
        <v>235</v>
      </c>
    </row>
    <row r="53" spans="1:13" s="2" customFormat="1" ht="15" customHeight="1">
      <c r="A53" s="2" t="s">
        <v>293</v>
      </c>
      <c r="B53" s="27" t="s">
        <v>294</v>
      </c>
      <c r="C53" s="61" t="s">
        <v>77</v>
      </c>
      <c r="F53" s="89"/>
      <c r="G53" s="61"/>
      <c r="H53" s="61"/>
      <c r="I53" s="90"/>
      <c r="J53" s="61"/>
      <c r="K53" s="61"/>
      <c r="L53" s="61"/>
      <c r="M53" s="85"/>
    </row>
    <row r="54" spans="1:13" s="2" customFormat="1" ht="33" customHeight="1">
      <c r="A54" s="2" t="s">
        <v>214</v>
      </c>
      <c r="B54" s="27" t="s">
        <v>236</v>
      </c>
      <c r="C54" s="61" t="s">
        <v>77</v>
      </c>
      <c r="F54" s="89" t="s">
        <v>237</v>
      </c>
      <c r="G54" s="61" t="s">
        <v>286</v>
      </c>
      <c r="H54" s="61" t="s">
        <v>238</v>
      </c>
      <c r="I54" s="90" t="s">
        <v>239</v>
      </c>
      <c r="J54" s="61" t="s">
        <v>240</v>
      </c>
      <c r="K54" s="61" t="s">
        <v>240</v>
      </c>
      <c r="L54" s="61" t="s">
        <v>280</v>
      </c>
      <c r="M54" s="85" t="s">
        <v>241</v>
      </c>
    </row>
    <row r="55" spans="1:13" s="2" customFormat="1" ht="30.75" customHeight="1">
      <c r="A55" s="2" t="s">
        <v>215</v>
      </c>
      <c r="B55" s="27" t="s">
        <v>242</v>
      </c>
      <c r="C55" s="61" t="s">
        <v>77</v>
      </c>
      <c r="F55" s="89" t="s">
        <v>243</v>
      </c>
      <c r="G55" s="61" t="s">
        <v>244</v>
      </c>
      <c r="H55" s="61" t="s">
        <v>245</v>
      </c>
      <c r="I55" s="90" t="s">
        <v>246</v>
      </c>
      <c r="J55" s="61" t="s">
        <v>247</v>
      </c>
      <c r="K55" s="61" t="s">
        <v>247</v>
      </c>
      <c r="L55" s="61" t="s">
        <v>248</v>
      </c>
      <c r="M55" s="85" t="s">
        <v>249</v>
      </c>
    </row>
    <row r="56" spans="1:13" s="2" customFormat="1" ht="16.5" customHeight="1">
      <c r="A56" s="2" t="s">
        <v>208</v>
      </c>
      <c r="B56" s="27" t="s">
        <v>250</v>
      </c>
      <c r="C56" s="61" t="s">
        <v>77</v>
      </c>
      <c r="F56" s="89" t="s">
        <v>251</v>
      </c>
      <c r="G56" s="61" t="s">
        <v>252</v>
      </c>
      <c r="H56" s="61"/>
      <c r="I56" s="90" t="s">
        <v>253</v>
      </c>
      <c r="J56" s="90"/>
      <c r="K56" s="61"/>
      <c r="L56" s="61"/>
      <c r="M56" s="85" t="s">
        <v>254</v>
      </c>
    </row>
    <row r="57" spans="1:13" s="2" customFormat="1" ht="16.5" customHeight="1">
      <c r="A57" s="2" t="s">
        <v>204</v>
      </c>
      <c r="B57" s="27" t="s">
        <v>255</v>
      </c>
      <c r="C57" s="61" t="s">
        <v>77</v>
      </c>
      <c r="F57" s="91" t="s">
        <v>256</v>
      </c>
      <c r="G57" s="92" t="s">
        <v>257</v>
      </c>
      <c r="H57" s="90"/>
      <c r="I57" s="90" t="s">
        <v>258</v>
      </c>
      <c r="J57" s="61"/>
      <c r="K57" s="61"/>
      <c r="L57" s="61"/>
      <c r="M57" s="85" t="s">
        <v>259</v>
      </c>
    </row>
    <row r="58" spans="1:13" s="2" customFormat="1" ht="29.25" customHeight="1">
      <c r="A58" s="2" t="s">
        <v>203</v>
      </c>
      <c r="B58" s="27" t="s">
        <v>260</v>
      </c>
      <c r="C58" s="61" t="s">
        <v>77</v>
      </c>
      <c r="F58" s="89"/>
      <c r="G58" s="61"/>
      <c r="H58" s="61"/>
      <c r="I58" s="90" t="s">
        <v>261</v>
      </c>
      <c r="J58" s="61"/>
      <c r="K58" s="61"/>
      <c r="L58" s="61"/>
      <c r="M58" s="85" t="s">
        <v>262</v>
      </c>
    </row>
    <row r="59" spans="1:13" s="2" customFormat="1" ht="16.5" customHeight="1">
      <c r="A59" s="2" t="s">
        <v>205</v>
      </c>
      <c r="B59" s="27" t="s">
        <v>263</v>
      </c>
      <c r="C59" s="61" t="s">
        <v>77</v>
      </c>
      <c r="F59" s="89"/>
      <c r="G59" s="61"/>
      <c r="H59" s="61"/>
      <c r="I59" s="61" t="s">
        <v>264</v>
      </c>
      <c r="J59" s="61"/>
      <c r="K59" s="61"/>
      <c r="L59" s="61"/>
      <c r="M59" s="85" t="s">
        <v>265</v>
      </c>
    </row>
    <row r="60" spans="1:13" s="2" customFormat="1">
      <c r="A60" s="2" t="s">
        <v>266</v>
      </c>
      <c r="B60" s="61" t="s">
        <v>267</v>
      </c>
      <c r="C60" s="61" t="s">
        <v>77</v>
      </c>
      <c r="F60" s="89"/>
      <c r="G60" s="61"/>
      <c r="H60" s="61"/>
      <c r="I60" s="61" t="s">
        <v>268</v>
      </c>
      <c r="J60" s="61"/>
      <c r="K60" s="61"/>
      <c r="L60" s="61"/>
      <c r="M60" s="85" t="s">
        <v>269</v>
      </c>
    </row>
    <row r="61" spans="1:13" s="2" customFormat="1">
      <c r="A61" s="2" t="s">
        <v>206</v>
      </c>
      <c r="B61" s="61" t="s">
        <v>270</v>
      </c>
      <c r="C61" s="61"/>
      <c r="F61" s="89"/>
      <c r="G61" s="61"/>
      <c r="H61" s="61"/>
      <c r="I61" s="61" t="s">
        <v>271</v>
      </c>
      <c r="J61" s="61"/>
      <c r="K61" s="61"/>
      <c r="L61" s="61"/>
      <c r="M61" s="85"/>
    </row>
    <row r="62" spans="1:13" s="2" customFormat="1">
      <c r="A62" s="2" t="s">
        <v>207</v>
      </c>
      <c r="B62" s="61" t="s">
        <v>272</v>
      </c>
      <c r="C62" s="61" t="s">
        <v>77</v>
      </c>
      <c r="F62" s="89"/>
      <c r="G62" s="61"/>
      <c r="H62" s="61"/>
      <c r="I62" s="61" t="s">
        <v>273</v>
      </c>
      <c r="J62" s="61"/>
      <c r="K62" s="61"/>
      <c r="L62" s="61"/>
      <c r="M62" s="85"/>
    </row>
    <row r="63" spans="1:13" s="2" customFormat="1">
      <c r="A63" s="1" t="s">
        <v>217</v>
      </c>
      <c r="B63" s="65" t="s">
        <v>274</v>
      </c>
      <c r="C63" s="61" t="s">
        <v>77</v>
      </c>
      <c r="F63" s="89"/>
      <c r="G63" s="61"/>
      <c r="H63" s="61"/>
      <c r="I63" s="61" t="s">
        <v>275</v>
      </c>
      <c r="J63" s="61"/>
      <c r="K63" s="61"/>
      <c r="L63" s="61"/>
      <c r="M63" s="85"/>
    </row>
    <row r="64" spans="1:13" s="2" customFormat="1" ht="15" thickBot="1">
      <c r="A64" s="1" t="s">
        <v>218</v>
      </c>
      <c r="B64" s="65" t="s">
        <v>276</v>
      </c>
      <c r="C64" s="61" t="s">
        <v>77</v>
      </c>
      <c r="F64" s="93"/>
      <c r="G64" s="61"/>
      <c r="H64" s="61"/>
      <c r="I64" s="61" t="s">
        <v>277</v>
      </c>
      <c r="J64" s="61"/>
      <c r="K64" s="61"/>
      <c r="L64" s="61"/>
      <c r="M64" s="85"/>
    </row>
    <row r="65" spans="1:16" s="2" customFormat="1" ht="21" customHeight="1" thickBot="1">
      <c r="A65" s="82" t="s">
        <v>89</v>
      </c>
      <c r="B65" s="83"/>
      <c r="C65" s="94"/>
      <c r="D65" s="95"/>
      <c r="F65" s="96"/>
      <c r="G65" s="62"/>
      <c r="H65" s="62"/>
      <c r="I65" s="62" t="s">
        <v>278</v>
      </c>
      <c r="J65" s="62"/>
      <c r="K65" s="62"/>
      <c r="L65" s="62"/>
      <c r="M65" s="97"/>
    </row>
    <row r="66" spans="1:16" s="2" customFormat="1" ht="28.8">
      <c r="A66" s="64" t="s">
        <v>21</v>
      </c>
      <c r="B66" s="27" t="s">
        <v>90</v>
      </c>
      <c r="C66" s="26"/>
    </row>
    <row r="67" spans="1:16" s="2" customFormat="1" ht="27.75" customHeight="1">
      <c r="A67" s="64" t="s">
        <v>22</v>
      </c>
      <c r="B67" s="27" t="s">
        <v>91</v>
      </c>
      <c r="C67" s="26"/>
    </row>
    <row r="68" spans="1:16" s="2" customFormat="1" ht="18" customHeight="1" thickBot="1">
      <c r="A68" s="68" t="s">
        <v>25</v>
      </c>
      <c r="B68" s="69" t="s">
        <v>92</v>
      </c>
      <c r="C68" s="62"/>
      <c r="D68" s="62"/>
    </row>
    <row r="69" spans="1:16" ht="15" thickBot="1">
      <c r="B69" s="31"/>
      <c r="C69" s="5"/>
      <c r="D69" s="5"/>
      <c r="H69" s="1"/>
      <c r="I69" s="1"/>
      <c r="J69" s="1"/>
      <c r="K69" s="1"/>
      <c r="L69" s="1"/>
      <c r="M69" s="1"/>
      <c r="N69" s="1"/>
      <c r="O69" s="1"/>
      <c r="P69" s="1"/>
    </row>
    <row r="70" spans="1:16" s="92" customFormat="1" ht="15" thickBot="1">
      <c r="A70" s="98" t="s">
        <v>93</v>
      </c>
      <c r="B70" s="99"/>
      <c r="C70" s="100"/>
      <c r="D70" s="100"/>
      <c r="G70" s="90"/>
      <c r="H70" s="90"/>
      <c r="I70" s="90"/>
      <c r="J70" s="90"/>
      <c r="K70" s="90"/>
      <c r="L70" s="90"/>
      <c r="M70" s="90"/>
      <c r="N70" s="90"/>
      <c r="O70" s="90"/>
      <c r="P70" s="90"/>
    </row>
    <row r="71" spans="1:16">
      <c r="A71" s="101" t="s">
        <v>23</v>
      </c>
      <c r="B71" s="31" t="s">
        <v>94</v>
      </c>
      <c r="C71" s="5"/>
      <c r="G71" s="1"/>
      <c r="H71" s="1"/>
      <c r="I71" s="1"/>
      <c r="J71" s="1"/>
      <c r="K71" s="1"/>
      <c r="L71" s="1"/>
      <c r="M71" s="1"/>
      <c r="N71" s="1"/>
      <c r="O71" s="1"/>
      <c r="P71" s="1"/>
    </row>
    <row r="72" spans="1:16">
      <c r="A72" s="101" t="s">
        <v>24</v>
      </c>
      <c r="B72" s="31" t="s">
        <v>95</v>
      </c>
      <c r="C72" s="5"/>
      <c r="G72" s="1"/>
      <c r="H72" s="1"/>
      <c r="I72" s="1"/>
      <c r="J72" s="1"/>
      <c r="K72" s="1"/>
      <c r="L72" s="1"/>
      <c r="M72" s="1"/>
      <c r="N72" s="1"/>
      <c r="O72" s="1"/>
      <c r="P72" s="1"/>
    </row>
    <row r="73" spans="1:16">
      <c r="A73" s="101" t="s">
        <v>25</v>
      </c>
      <c r="B73" s="36" t="s">
        <v>96</v>
      </c>
      <c r="C73" s="5"/>
      <c r="G73" s="1"/>
      <c r="H73" s="1"/>
      <c r="I73" s="1"/>
      <c r="J73" s="1"/>
      <c r="K73" s="1"/>
      <c r="L73" s="1"/>
      <c r="M73" s="1"/>
      <c r="N73" s="1"/>
      <c r="O73" s="1"/>
      <c r="P73" s="1"/>
    </row>
    <row r="74" spans="1:16">
      <c r="A74" s="101" t="s">
        <v>26</v>
      </c>
      <c r="B74" s="31" t="s">
        <v>97</v>
      </c>
      <c r="C74" s="5"/>
      <c r="G74" s="1"/>
      <c r="H74" s="1"/>
      <c r="I74" s="1"/>
      <c r="J74" s="1"/>
      <c r="K74" s="1"/>
      <c r="L74" s="1"/>
      <c r="M74" s="1"/>
      <c r="N74" s="1"/>
      <c r="O74" s="1"/>
      <c r="P74" s="1"/>
    </row>
    <row r="75" spans="1:16" ht="18" customHeight="1">
      <c r="A75" s="102" t="s">
        <v>27</v>
      </c>
      <c r="B75" s="36" t="s">
        <v>99</v>
      </c>
      <c r="C75" s="5"/>
      <c r="G75" s="1"/>
      <c r="H75" s="1"/>
      <c r="I75" s="1"/>
      <c r="J75" s="1"/>
      <c r="K75" s="1"/>
      <c r="L75" s="1"/>
      <c r="M75" s="1"/>
      <c r="N75" s="1"/>
      <c r="O75" s="1"/>
      <c r="P75" s="1"/>
    </row>
    <row r="76" spans="1:16" ht="28.8">
      <c r="A76" s="103" t="s">
        <v>100</v>
      </c>
      <c r="B76" s="30" t="s">
        <v>101</v>
      </c>
      <c r="C76" s="5"/>
      <c r="G76" s="1"/>
      <c r="H76" s="1"/>
      <c r="I76" s="1"/>
      <c r="J76" s="1"/>
      <c r="K76" s="1"/>
      <c r="L76" s="1"/>
      <c r="M76" s="1"/>
      <c r="N76" s="1"/>
      <c r="O76" s="1"/>
      <c r="P76" s="1"/>
    </row>
    <row r="77" spans="1:16" ht="28.8">
      <c r="A77" s="103" t="s">
        <v>28</v>
      </c>
      <c r="B77" s="30" t="s">
        <v>102</v>
      </c>
      <c r="C77" s="5"/>
      <c r="G77" s="1"/>
      <c r="H77" s="1"/>
      <c r="I77" s="1"/>
      <c r="J77" s="1"/>
      <c r="K77" s="1"/>
      <c r="L77" s="1"/>
      <c r="M77" s="1"/>
      <c r="N77" s="1"/>
      <c r="O77" s="1"/>
      <c r="P77" s="1"/>
    </row>
    <row r="78" spans="1:16">
      <c r="A78" s="103" t="s">
        <v>29</v>
      </c>
      <c r="B78" s="11" t="s">
        <v>103</v>
      </c>
      <c r="C78" s="5" t="s">
        <v>104</v>
      </c>
      <c r="G78" s="1"/>
      <c r="H78" s="1"/>
      <c r="I78" s="1"/>
      <c r="J78" s="1"/>
      <c r="K78" s="1"/>
      <c r="L78" s="1"/>
      <c r="M78" s="1"/>
      <c r="N78" s="1"/>
      <c r="O78" s="1"/>
      <c r="P78" s="1"/>
    </row>
    <row r="79" spans="1:16">
      <c r="A79" s="103" t="s">
        <v>30</v>
      </c>
      <c r="B79" s="11" t="s">
        <v>105</v>
      </c>
      <c r="C79" s="5" t="s">
        <v>106</v>
      </c>
      <c r="G79" s="1"/>
      <c r="H79" s="1"/>
      <c r="I79" s="1"/>
      <c r="J79" s="1"/>
      <c r="K79" s="1"/>
      <c r="L79" s="1"/>
      <c r="M79" s="1"/>
      <c r="N79" s="1"/>
      <c r="O79" s="1"/>
      <c r="P79" s="1"/>
    </row>
    <row r="80" spans="1:16">
      <c r="A80" s="102" t="s">
        <v>31</v>
      </c>
      <c r="B80" s="32" t="s">
        <v>108</v>
      </c>
      <c r="C80" s="5"/>
      <c r="G80" s="1"/>
      <c r="H80" s="1"/>
      <c r="I80" s="1"/>
      <c r="J80" s="1"/>
      <c r="K80" s="1"/>
      <c r="L80" s="1"/>
      <c r="M80" s="1"/>
      <c r="N80" s="1"/>
      <c r="O80" s="1"/>
      <c r="P80" s="1"/>
    </row>
    <row r="81" spans="1:16" ht="28.8">
      <c r="A81" s="104" t="s">
        <v>32</v>
      </c>
      <c r="B81" s="32" t="s">
        <v>279</v>
      </c>
      <c r="G81" s="1"/>
      <c r="H81" s="1"/>
      <c r="I81" s="1"/>
      <c r="J81" s="1"/>
      <c r="K81" s="1"/>
      <c r="L81" s="1"/>
      <c r="M81" s="1"/>
      <c r="N81" s="1"/>
      <c r="O81" s="1"/>
      <c r="P81" s="1"/>
    </row>
    <row r="82" spans="1:16" ht="28.8">
      <c r="A82" s="104" t="s">
        <v>33</v>
      </c>
      <c r="B82" s="32" t="s">
        <v>71</v>
      </c>
    </row>
    <row r="83" spans="1:16">
      <c r="A83" s="101" t="s">
        <v>34</v>
      </c>
      <c r="B83" s="11" t="s">
        <v>109</v>
      </c>
    </row>
    <row r="84" spans="1:16">
      <c r="A84" s="101" t="s">
        <v>35</v>
      </c>
      <c r="B84" s="11" t="s">
        <v>110</v>
      </c>
    </row>
    <row r="85" spans="1:16">
      <c r="A85" s="30" t="s">
        <v>287</v>
      </c>
      <c r="B85" s="30" t="s">
        <v>111</v>
      </c>
    </row>
    <row r="86" spans="1:16">
      <c r="A86" s="30" t="s">
        <v>288</v>
      </c>
      <c r="B86" s="30" t="s">
        <v>112</v>
      </c>
    </row>
    <row r="87" spans="1:16">
      <c r="A87" s="30" t="s">
        <v>289</v>
      </c>
      <c r="B87" s="30" t="s">
        <v>113</v>
      </c>
    </row>
    <row r="88" spans="1:16">
      <c r="A88" s="30" t="s">
        <v>290</v>
      </c>
      <c r="B88" s="30" t="s">
        <v>114</v>
      </c>
    </row>
    <row r="89" spans="1:16">
      <c r="A89" s="30" t="s">
        <v>40</v>
      </c>
      <c r="B89" s="30" t="s">
        <v>115</v>
      </c>
    </row>
    <row r="90" spans="1:16">
      <c r="A90" s="30" t="s">
        <v>41</v>
      </c>
      <c r="B90" s="30" t="s">
        <v>116</v>
      </c>
    </row>
    <row r="92" spans="1:16">
      <c r="A92" s="37" t="s">
        <v>117</v>
      </c>
    </row>
  </sheetData>
  <pageMargins left="0.7" right="0.7" top="0.75" bottom="0.75" header="0.3" footer="0.3"/>
  <pageSetup paperSize="9" orientation="portrait"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G51"/>
  <sheetViews>
    <sheetView topLeftCell="A23" workbookViewId="0">
      <selection activeCell="E38" sqref="E38"/>
    </sheetView>
  </sheetViews>
  <sheetFormatPr baseColWidth="10" defaultColWidth="11.44140625" defaultRowHeight="14.4"/>
  <cols>
    <col min="3" max="3" width="13.44140625" style="16" customWidth="1"/>
    <col min="4" max="4" width="6.109375" style="17" customWidth="1"/>
    <col min="5" max="5" width="11.44140625" style="17" customWidth="1"/>
    <col min="6" max="6" width="9.88671875" style="17" customWidth="1"/>
    <col min="7" max="7" width="87" customWidth="1"/>
  </cols>
  <sheetData>
    <row r="1" spans="1:7">
      <c r="A1" t="s">
        <v>118</v>
      </c>
      <c r="B1" t="s">
        <v>119</v>
      </c>
      <c r="C1" s="16" t="s">
        <v>120</v>
      </c>
      <c r="D1" s="17" t="s">
        <v>121</v>
      </c>
      <c r="E1" s="17" t="s">
        <v>122</v>
      </c>
      <c r="F1" s="17" t="s">
        <v>123</v>
      </c>
    </row>
    <row r="2" spans="1:7" s="18" customFormat="1">
      <c r="A2" s="18">
        <v>1</v>
      </c>
      <c r="B2" s="18" t="s">
        <v>124</v>
      </c>
      <c r="C2" s="19">
        <v>42163</v>
      </c>
      <c r="D2" s="20" t="str">
        <f ca="1">IF(AND(C2&lt;&gt;"",B2&lt;&gt;"Resolved"),TODAY()-C2,"")</f>
        <v/>
      </c>
      <c r="E2" s="20" t="s">
        <v>125</v>
      </c>
      <c r="F2" s="20" t="s">
        <v>126</v>
      </c>
      <c r="G2" s="18" t="s">
        <v>127</v>
      </c>
    </row>
    <row r="3" spans="1:7" s="18" customFormat="1">
      <c r="A3" s="18">
        <f>A2+1</f>
        <v>2</v>
      </c>
      <c r="B3" s="18" t="s">
        <v>124</v>
      </c>
      <c r="C3" s="19">
        <v>42163</v>
      </c>
      <c r="D3" s="20" t="str">
        <f t="shared" ref="D3:D41" ca="1" si="0">IF(AND(C3&lt;&gt;"",B3&lt;&gt;"Resolved"),TODAY()-C3,"")</f>
        <v/>
      </c>
      <c r="E3" s="20" t="s">
        <v>125</v>
      </c>
      <c r="F3" s="20" t="s">
        <v>126</v>
      </c>
      <c r="G3" s="18" t="s">
        <v>128</v>
      </c>
    </row>
    <row r="4" spans="1:7" s="18" customFormat="1">
      <c r="A4" s="18">
        <v>3</v>
      </c>
      <c r="B4" s="18" t="s">
        <v>124</v>
      </c>
      <c r="C4" s="19">
        <v>42170</v>
      </c>
      <c r="D4" s="20" t="str">
        <f t="shared" ca="1" si="0"/>
        <v/>
      </c>
      <c r="E4" s="20" t="s">
        <v>129</v>
      </c>
      <c r="F4" s="20" t="s">
        <v>126</v>
      </c>
      <c r="G4" s="18" t="s">
        <v>130</v>
      </c>
    </row>
    <row r="5" spans="1:7" s="18" customFormat="1">
      <c r="A5" s="18">
        <v>4</v>
      </c>
      <c r="B5" s="18" t="s">
        <v>124</v>
      </c>
      <c r="C5" s="19">
        <v>42170</v>
      </c>
      <c r="D5" s="20" t="str">
        <f t="shared" ca="1" si="0"/>
        <v/>
      </c>
      <c r="E5" s="20" t="s">
        <v>129</v>
      </c>
      <c r="F5" s="20" t="s">
        <v>126</v>
      </c>
      <c r="G5" s="18" t="s">
        <v>131</v>
      </c>
    </row>
    <row r="6" spans="1:7" s="18" customFormat="1">
      <c r="A6" s="18">
        <v>5</v>
      </c>
      <c r="B6" s="18" t="s">
        <v>124</v>
      </c>
      <c r="C6" s="19">
        <v>42170</v>
      </c>
      <c r="D6" s="20" t="str">
        <f t="shared" ca="1" si="0"/>
        <v/>
      </c>
      <c r="E6" s="20" t="s">
        <v>129</v>
      </c>
      <c r="F6" s="20" t="s">
        <v>126</v>
      </c>
      <c r="G6" s="18" t="s">
        <v>132</v>
      </c>
    </row>
    <row r="7" spans="1:7" s="21" customFormat="1" ht="28.5" customHeight="1">
      <c r="A7" s="21">
        <v>6</v>
      </c>
      <c r="B7" s="21" t="s">
        <v>133</v>
      </c>
      <c r="C7" s="22">
        <v>42170</v>
      </c>
      <c r="D7" s="23">
        <f ca="1">IF(AND(C7&lt;&gt;"",B7&lt;&gt;"Resolved"),TODAY()-C7,"")</f>
        <v>1296</v>
      </c>
      <c r="E7" s="23" t="s">
        <v>129</v>
      </c>
      <c r="F7" s="23"/>
      <c r="G7" s="41" t="s">
        <v>134</v>
      </c>
    </row>
    <row r="8" spans="1:7">
      <c r="G8" s="24" t="s">
        <v>135</v>
      </c>
    </row>
    <row r="9" spans="1:7" s="43" customFormat="1" ht="28.8">
      <c r="A9" s="43">
        <v>7</v>
      </c>
      <c r="B9" s="43" t="s">
        <v>133</v>
      </c>
      <c r="C9" s="44">
        <v>42170</v>
      </c>
      <c r="D9" s="45">
        <f t="shared" ca="1" si="0"/>
        <v>1296</v>
      </c>
      <c r="E9" s="45" t="s">
        <v>129</v>
      </c>
      <c r="F9" s="45" t="s">
        <v>125</v>
      </c>
      <c r="G9" s="46" t="s">
        <v>136</v>
      </c>
    </row>
    <row r="10" spans="1:7" s="18" customFormat="1" ht="28.8">
      <c r="C10" s="19"/>
      <c r="D10" s="20" t="str">
        <f ca="1">IF(AND(C10&lt;&gt;"",B10&lt;&gt;"Resolved"),TODAY()-C10,"")</f>
        <v/>
      </c>
      <c r="E10" s="20"/>
      <c r="F10" s="20"/>
      <c r="G10" s="47" t="s">
        <v>137</v>
      </c>
    </row>
    <row r="11" spans="1:7" s="18" customFormat="1" ht="28.8">
      <c r="C11" s="19"/>
      <c r="D11" s="20" t="str">
        <f t="shared" ca="1" si="0"/>
        <v/>
      </c>
      <c r="E11" s="20"/>
      <c r="F11" s="20"/>
      <c r="G11" s="47" t="s">
        <v>138</v>
      </c>
    </row>
    <row r="12" spans="1:7" s="38" customFormat="1">
      <c r="A12" s="38">
        <v>8</v>
      </c>
      <c r="B12" s="38" t="s">
        <v>124</v>
      </c>
      <c r="C12" s="39">
        <v>42279</v>
      </c>
      <c r="D12" s="40" t="str">
        <f t="shared" ca="1" si="0"/>
        <v/>
      </c>
      <c r="E12" s="40" t="s">
        <v>126</v>
      </c>
      <c r="F12" s="40" t="s">
        <v>126</v>
      </c>
      <c r="G12" s="38" t="s">
        <v>139</v>
      </c>
    </row>
    <row r="13" spans="1:7" s="38" customFormat="1" ht="28.8">
      <c r="C13" s="39"/>
      <c r="D13" s="40"/>
      <c r="E13" s="40"/>
      <c r="F13" s="40"/>
      <c r="G13" s="63" t="s">
        <v>140</v>
      </c>
    </row>
    <row r="14" spans="1:7" s="18" customFormat="1">
      <c r="A14" s="18">
        <f>A12+1</f>
        <v>9</v>
      </c>
      <c r="B14" s="18" t="s">
        <v>124</v>
      </c>
      <c r="C14" s="19"/>
      <c r="D14" s="20" t="str">
        <f t="shared" ca="1" si="0"/>
        <v/>
      </c>
      <c r="E14" s="20" t="s">
        <v>125</v>
      </c>
      <c r="F14" s="20" t="s">
        <v>125</v>
      </c>
      <c r="G14" s="18" t="s">
        <v>141</v>
      </c>
    </row>
    <row r="15" spans="1:7" s="18" customFormat="1">
      <c r="A15" s="18">
        <f>A14+1</f>
        <v>10</v>
      </c>
      <c r="B15" s="18" t="s">
        <v>124</v>
      </c>
      <c r="C15" s="19"/>
      <c r="D15" s="20" t="str">
        <f t="shared" ca="1" si="0"/>
        <v/>
      </c>
      <c r="E15" s="20" t="s">
        <v>125</v>
      </c>
      <c r="F15" s="20" t="s">
        <v>126</v>
      </c>
      <c r="G15" s="18" t="s">
        <v>142</v>
      </c>
    </row>
    <row r="16" spans="1:7" s="18" customFormat="1">
      <c r="A16" s="18">
        <f>A15+1</f>
        <v>11</v>
      </c>
      <c r="B16" s="18" t="s">
        <v>124</v>
      </c>
      <c r="C16" s="19"/>
      <c r="D16" s="20" t="str">
        <f t="shared" ca="1" si="0"/>
        <v/>
      </c>
      <c r="E16" s="20" t="s">
        <v>125</v>
      </c>
      <c r="F16" s="20" t="s">
        <v>125</v>
      </c>
      <c r="G16" s="18" t="s">
        <v>143</v>
      </c>
    </row>
    <row r="17" spans="1:7" s="18" customFormat="1">
      <c r="A17" s="18">
        <f>A16+1</f>
        <v>12</v>
      </c>
      <c r="B17" s="18" t="s">
        <v>124</v>
      </c>
      <c r="C17" s="19"/>
      <c r="D17" s="20" t="str">
        <f t="shared" ca="1" si="0"/>
        <v/>
      </c>
      <c r="E17" s="20" t="s">
        <v>125</v>
      </c>
      <c r="F17" s="20" t="s">
        <v>126</v>
      </c>
      <c r="G17" s="18" t="s">
        <v>144</v>
      </c>
    </row>
    <row r="18" spans="1:7" s="18" customFormat="1">
      <c r="A18" s="18">
        <f>A17+1</f>
        <v>13</v>
      </c>
      <c r="B18" s="18" t="s">
        <v>124</v>
      </c>
      <c r="C18" s="19"/>
      <c r="D18" s="20" t="str">
        <f t="shared" ca="1" si="0"/>
        <v/>
      </c>
      <c r="E18" s="20" t="s">
        <v>125</v>
      </c>
      <c r="F18" s="20" t="s">
        <v>126</v>
      </c>
      <c r="G18" s="18" t="s">
        <v>145</v>
      </c>
    </row>
    <row r="19" spans="1:7" s="18" customFormat="1">
      <c r="C19" s="19"/>
      <c r="D19" s="20"/>
      <c r="E19" s="20"/>
      <c r="F19" s="20"/>
      <c r="G19" s="18" t="s">
        <v>146</v>
      </c>
    </row>
    <row r="20" spans="1:7" s="18" customFormat="1">
      <c r="A20" s="18">
        <f>A18+1</f>
        <v>14</v>
      </c>
      <c r="B20" s="18" t="s">
        <v>124</v>
      </c>
      <c r="C20" s="19"/>
      <c r="D20" s="20" t="str">
        <f t="shared" ca="1" si="0"/>
        <v/>
      </c>
      <c r="E20" s="20" t="s">
        <v>125</v>
      </c>
      <c r="F20" s="20" t="s">
        <v>126</v>
      </c>
      <c r="G20" s="18" t="s">
        <v>147</v>
      </c>
    </row>
    <row r="21" spans="1:7" s="18" customFormat="1">
      <c r="C21" s="19"/>
      <c r="D21" s="20"/>
      <c r="E21" s="20"/>
      <c r="F21" s="20" t="s">
        <v>125</v>
      </c>
      <c r="G21" s="18" t="s">
        <v>148</v>
      </c>
    </row>
    <row r="22" spans="1:7" s="18" customFormat="1" ht="57.6">
      <c r="C22" s="19"/>
      <c r="D22" s="20"/>
      <c r="E22" s="20"/>
      <c r="F22" s="18" t="s">
        <v>125</v>
      </c>
      <c r="G22" s="47" t="s">
        <v>149</v>
      </c>
    </row>
    <row r="23" spans="1:7" s="18" customFormat="1">
      <c r="A23" s="18">
        <f>A20+1</f>
        <v>15</v>
      </c>
      <c r="B23" s="18" t="s">
        <v>124</v>
      </c>
      <c r="C23" s="19"/>
      <c r="D23" s="20" t="str">
        <f t="shared" ca="1" si="0"/>
        <v/>
      </c>
      <c r="E23" s="20" t="s">
        <v>125</v>
      </c>
      <c r="F23" s="20" t="s">
        <v>126</v>
      </c>
      <c r="G23" s="18" t="s">
        <v>150</v>
      </c>
    </row>
    <row r="24" spans="1:7" s="18" customFormat="1">
      <c r="C24" s="19"/>
      <c r="D24" s="20"/>
      <c r="E24" s="20"/>
      <c r="F24" s="20" t="s">
        <v>125</v>
      </c>
      <c r="G24" s="18" t="s">
        <v>151</v>
      </c>
    </row>
    <row r="25" spans="1:7" s="18" customFormat="1">
      <c r="C25" s="59"/>
      <c r="D25" s="20"/>
      <c r="E25" s="20"/>
      <c r="F25" s="20"/>
      <c r="G25" s="18" t="s">
        <v>152</v>
      </c>
    </row>
    <row r="26" spans="1:7" s="18" customFormat="1">
      <c r="C26" s="59"/>
      <c r="D26" s="20"/>
      <c r="E26" s="20"/>
      <c r="F26" s="20"/>
      <c r="G26" s="18" t="s">
        <v>153</v>
      </c>
    </row>
    <row r="27" spans="1:7" s="18" customFormat="1">
      <c r="C27" s="19"/>
      <c r="D27" s="20"/>
      <c r="E27" s="20"/>
      <c r="F27" s="20"/>
      <c r="G27" s="18" t="s">
        <v>154</v>
      </c>
    </row>
    <row r="28" spans="1:7" s="18" customFormat="1">
      <c r="C28" s="19"/>
      <c r="D28" s="20"/>
      <c r="E28" s="20"/>
      <c r="F28" s="20"/>
      <c r="G28" s="18" t="s">
        <v>155</v>
      </c>
    </row>
    <row r="29" spans="1:7" s="18" customFormat="1">
      <c r="A29" s="18">
        <f>A23+1</f>
        <v>16</v>
      </c>
      <c r="B29" s="18" t="s">
        <v>124</v>
      </c>
      <c r="C29" s="19"/>
      <c r="D29" s="20" t="str">
        <f t="shared" ca="1" si="0"/>
        <v/>
      </c>
      <c r="E29" s="20" t="s">
        <v>125</v>
      </c>
      <c r="F29" s="20" t="s">
        <v>126</v>
      </c>
      <c r="G29" s="18" t="s">
        <v>156</v>
      </c>
    </row>
    <row r="30" spans="1:7" s="18" customFormat="1">
      <c r="C30" s="19"/>
      <c r="D30" s="20"/>
      <c r="E30" s="20"/>
      <c r="F30" s="20"/>
      <c r="G30" s="18" t="s">
        <v>157</v>
      </c>
    </row>
    <row r="31" spans="1:7" s="18" customFormat="1">
      <c r="A31" s="18">
        <f>A29+1</f>
        <v>17</v>
      </c>
      <c r="B31" s="18" t="s">
        <v>124</v>
      </c>
      <c r="C31" s="19"/>
      <c r="D31" s="20" t="str">
        <f t="shared" ca="1" si="0"/>
        <v/>
      </c>
      <c r="E31" s="20" t="s">
        <v>125</v>
      </c>
      <c r="F31" s="20" t="s">
        <v>126</v>
      </c>
      <c r="G31" s="18" t="s">
        <v>158</v>
      </c>
    </row>
    <row r="32" spans="1:7" s="18" customFormat="1">
      <c r="C32" s="19"/>
      <c r="D32" s="20"/>
      <c r="E32" s="20"/>
      <c r="F32" s="20"/>
      <c r="G32" s="18" t="s">
        <v>159</v>
      </c>
    </row>
    <row r="33" spans="1:7" s="18" customFormat="1">
      <c r="A33" s="18">
        <f>A31+1</f>
        <v>18</v>
      </c>
      <c r="B33" s="18" t="s">
        <v>124</v>
      </c>
      <c r="C33" s="19"/>
      <c r="D33" s="20" t="str">
        <f t="shared" ca="1" si="0"/>
        <v/>
      </c>
      <c r="E33" s="20" t="s">
        <v>125</v>
      </c>
      <c r="F33" s="20" t="s">
        <v>126</v>
      </c>
      <c r="G33" s="18" t="s">
        <v>160</v>
      </c>
    </row>
    <row r="34" spans="1:7" s="18" customFormat="1">
      <c r="A34" s="18">
        <v>19</v>
      </c>
      <c r="B34" s="18" t="s">
        <v>124</v>
      </c>
      <c r="D34" s="20" t="str">
        <f t="shared" ca="1" si="0"/>
        <v/>
      </c>
      <c r="E34" s="18" t="s">
        <v>126</v>
      </c>
      <c r="F34" s="18" t="s">
        <v>125</v>
      </c>
      <c r="G34" s="18" t="s">
        <v>161</v>
      </c>
    </row>
    <row r="35" spans="1:7" s="24" customFormat="1">
      <c r="A35" s="24">
        <v>20</v>
      </c>
      <c r="B35" s="24" t="s">
        <v>162</v>
      </c>
      <c r="D35" s="25" t="str">
        <f t="shared" ca="1" si="0"/>
        <v/>
      </c>
      <c r="E35" s="25" t="s">
        <v>126</v>
      </c>
      <c r="F35" s="24" t="s">
        <v>125</v>
      </c>
      <c r="G35" s="24" t="s">
        <v>163</v>
      </c>
    </row>
    <row r="36" spans="1:7" s="24" customFormat="1">
      <c r="D36" s="25"/>
      <c r="E36" s="25"/>
      <c r="G36" s="24" t="s">
        <v>164</v>
      </c>
    </row>
    <row r="37" spans="1:7" s="18" customFormat="1">
      <c r="A37" s="18">
        <v>21</v>
      </c>
      <c r="B37" s="18" t="s">
        <v>124</v>
      </c>
      <c r="D37" s="20" t="str">
        <f t="shared" ca="1" si="0"/>
        <v/>
      </c>
      <c r="E37" s="20" t="s">
        <v>126</v>
      </c>
      <c r="F37" s="18" t="s">
        <v>125</v>
      </c>
      <c r="G37" s="18" t="s">
        <v>165</v>
      </c>
    </row>
    <row r="38" spans="1:7" s="18" customFormat="1">
      <c r="A38" s="18">
        <v>22</v>
      </c>
      <c r="B38" s="18" t="s">
        <v>124</v>
      </c>
      <c r="D38" s="20" t="str">
        <f t="shared" ca="1" si="0"/>
        <v/>
      </c>
      <c r="E38" s="18" t="s">
        <v>125</v>
      </c>
      <c r="F38" s="18" t="s">
        <v>126</v>
      </c>
      <c r="G38" s="18" t="s">
        <v>166</v>
      </c>
    </row>
    <row r="39" spans="1:7" s="18" customFormat="1">
      <c r="A39" s="18">
        <v>23</v>
      </c>
      <c r="C39" s="19">
        <v>42522</v>
      </c>
      <c r="D39" s="20"/>
      <c r="E39" s="18" t="s">
        <v>125</v>
      </c>
      <c r="F39" s="18" t="s">
        <v>126</v>
      </c>
      <c r="G39" s="18" t="s">
        <v>167</v>
      </c>
    </row>
    <row r="40" spans="1:7" s="18" customFormat="1">
      <c r="A40" s="18">
        <v>24</v>
      </c>
      <c r="C40" s="19">
        <v>42523</v>
      </c>
      <c r="D40" s="20"/>
      <c r="E40" s="18" t="s">
        <v>129</v>
      </c>
      <c r="G40" s="18" t="s">
        <v>168</v>
      </c>
    </row>
    <row r="41" spans="1:7" s="18" customFormat="1">
      <c r="D41" s="20" t="str">
        <f t="shared" ca="1" si="0"/>
        <v/>
      </c>
      <c r="E41" s="20"/>
      <c r="G41" s="18" t="s">
        <v>169</v>
      </c>
    </row>
    <row r="42" spans="1:7" s="18" customFormat="1">
      <c r="A42" s="18">
        <v>25</v>
      </c>
      <c r="C42" s="19"/>
      <c r="D42" s="20"/>
      <c r="E42" s="18" t="s">
        <v>125</v>
      </c>
      <c r="F42" s="20" t="s">
        <v>126</v>
      </c>
      <c r="G42" s="18" t="s">
        <v>170</v>
      </c>
    </row>
    <row r="43" spans="1:7" s="18" customFormat="1">
      <c r="A43" s="18">
        <v>26</v>
      </c>
      <c r="C43" s="19"/>
      <c r="D43" s="20"/>
      <c r="E43" s="20"/>
      <c r="F43" s="20" t="s">
        <v>126</v>
      </c>
      <c r="G43" s="18" t="s">
        <v>171</v>
      </c>
    </row>
    <row r="44" spans="1:7" s="55" customFormat="1">
      <c r="A44" s="55">
        <v>27</v>
      </c>
      <c r="B44" s="55" t="s">
        <v>202</v>
      </c>
      <c r="C44" s="57"/>
      <c r="D44" s="56"/>
      <c r="E44" s="56" t="s">
        <v>125</v>
      </c>
      <c r="F44" s="56" t="s">
        <v>126</v>
      </c>
      <c r="G44" s="55" t="s">
        <v>172</v>
      </c>
    </row>
    <row r="45" spans="1:7" s="18" customFormat="1" ht="43.2">
      <c r="A45" s="18">
        <v>28</v>
      </c>
      <c r="C45" s="19"/>
      <c r="D45" s="20"/>
      <c r="E45" s="20" t="s">
        <v>125</v>
      </c>
      <c r="F45" s="20"/>
      <c r="G45" s="47" t="s">
        <v>173</v>
      </c>
    </row>
    <row r="46" spans="1:7" s="18" customFormat="1">
      <c r="A46" s="18">
        <v>29</v>
      </c>
      <c r="B46" s="18" t="s">
        <v>202</v>
      </c>
      <c r="C46" s="19">
        <v>42480</v>
      </c>
      <c r="D46" s="20"/>
      <c r="E46" s="20" t="s">
        <v>125</v>
      </c>
      <c r="F46" s="20"/>
      <c r="G46" s="18" t="s">
        <v>282</v>
      </c>
    </row>
    <row r="47" spans="1:7" s="18" customFormat="1">
      <c r="A47" s="18">
        <v>30</v>
      </c>
      <c r="B47" s="18" t="s">
        <v>202</v>
      </c>
      <c r="C47" s="19">
        <v>42480</v>
      </c>
      <c r="D47" s="20"/>
      <c r="E47" s="20" t="s">
        <v>125</v>
      </c>
      <c r="F47" s="20"/>
      <c r="G47" s="18" t="s">
        <v>283</v>
      </c>
    </row>
    <row r="48" spans="1:7" s="105" customFormat="1">
      <c r="A48" s="105">
        <v>31</v>
      </c>
      <c r="B48" s="105" t="s">
        <v>202</v>
      </c>
      <c r="C48" s="106"/>
      <c r="D48" s="107"/>
      <c r="E48" s="107" t="s">
        <v>125</v>
      </c>
      <c r="F48" s="107" t="s">
        <v>125</v>
      </c>
      <c r="G48" s="105" t="s">
        <v>209</v>
      </c>
    </row>
    <row r="49" spans="1:7" s="105" customFormat="1">
      <c r="C49" s="106"/>
      <c r="D49" s="107"/>
      <c r="E49" s="107"/>
      <c r="F49" s="107"/>
      <c r="G49" s="105" t="s">
        <v>281</v>
      </c>
    </row>
    <row r="50" spans="1:7" s="24" customFormat="1">
      <c r="C50" s="108"/>
      <c r="D50" s="25"/>
      <c r="E50" s="25"/>
      <c r="F50" s="25"/>
      <c r="G50" s="24" t="s">
        <v>210</v>
      </c>
    </row>
    <row r="51" spans="1:7" s="55" customFormat="1">
      <c r="A51" s="55">
        <v>32</v>
      </c>
      <c r="B51" s="55" t="s">
        <v>202</v>
      </c>
      <c r="C51" s="57">
        <v>42480</v>
      </c>
      <c r="D51" s="56"/>
      <c r="E51" s="56" t="s">
        <v>284</v>
      </c>
      <c r="F51" s="56"/>
      <c r="G51" s="55" t="s">
        <v>285</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FD8E7E-34B2-4101-8511-21E00606BFDF}">
  <dimension ref="A1"/>
  <sheetViews>
    <sheetView workbookViewId="0">
      <selection activeCell="A2" sqref="A2"/>
    </sheetView>
  </sheetViews>
  <sheetFormatPr baseColWidth="10" defaultColWidth="11.44140625" defaultRowHeight="14.4"/>
  <sheetData>
    <row r="1" spans="1:1">
      <c r="A1" t="s">
        <v>2467</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0A3ACC-BB04-4235-A83A-B832FC80A1ED}">
  <dimension ref="A1:AG515"/>
  <sheetViews>
    <sheetView topLeftCell="H61" zoomScale="85" zoomScaleNormal="85" workbookViewId="0">
      <selection activeCell="R83" sqref="R83"/>
    </sheetView>
  </sheetViews>
  <sheetFormatPr baseColWidth="10" defaultRowHeight="14.4"/>
  <cols>
    <col min="3" max="3" width="9.6640625" customWidth="1"/>
    <col min="4" max="4" width="23" customWidth="1"/>
    <col min="5" max="5" width="22.21875" customWidth="1"/>
    <col min="6" max="6" width="20.33203125" customWidth="1"/>
    <col min="7" max="7" width="18.33203125" customWidth="1"/>
    <col min="8" max="8" width="18.77734375" customWidth="1"/>
    <col min="9" max="9" width="13.77734375" customWidth="1"/>
    <col min="11" max="11" width="25.44140625" customWidth="1"/>
    <col min="13" max="13" width="15.44140625" customWidth="1"/>
    <col min="14" max="14" width="15.21875" customWidth="1"/>
  </cols>
  <sheetData>
    <row r="1" spans="2:12" s="279" customFormat="1">
      <c r="B1" s="279" t="s">
        <v>3068</v>
      </c>
      <c r="D1" s="279" t="s">
        <v>3069</v>
      </c>
      <c r="E1" s="280"/>
      <c r="K1" s="280"/>
      <c r="L1" s="281"/>
    </row>
    <row r="2" spans="2:12" s="279" customFormat="1">
      <c r="B2" s="282" t="s">
        <v>3070</v>
      </c>
      <c r="E2" s="280"/>
      <c r="K2" s="280"/>
      <c r="L2" s="281"/>
    </row>
    <row r="3" spans="2:12" s="284" customFormat="1" ht="30" customHeight="1">
      <c r="B3" s="283" t="s">
        <v>3071</v>
      </c>
      <c r="E3" s="285"/>
      <c r="K3" s="285"/>
      <c r="L3" s="286"/>
    </row>
    <row r="4" spans="2:12" s="288" customFormat="1">
      <c r="B4" s="287" t="s">
        <v>3072</v>
      </c>
      <c r="E4" s="289"/>
      <c r="K4" s="289"/>
      <c r="L4" s="290"/>
    </row>
    <row r="5" spans="2:12" s="288" customFormat="1">
      <c r="B5" s="288" t="s">
        <v>3073</v>
      </c>
      <c r="E5" s="289"/>
      <c r="K5" s="289"/>
      <c r="L5" s="290"/>
    </row>
    <row r="6" spans="2:12" s="287" customFormat="1">
      <c r="B6" s="287" t="s">
        <v>3074</v>
      </c>
      <c r="E6" s="291"/>
      <c r="K6" s="291"/>
      <c r="L6" s="292"/>
    </row>
    <row r="7" spans="2:12" s="279" customFormat="1">
      <c r="B7" s="293" t="s">
        <v>3075</v>
      </c>
      <c r="C7" s="294"/>
      <c r="D7" s="294"/>
      <c r="E7" s="295"/>
      <c r="G7" s="294"/>
      <c r="K7" s="280"/>
      <c r="L7" s="281"/>
    </row>
    <row r="8" spans="2:12" s="279" customFormat="1">
      <c r="B8" s="294"/>
      <c r="C8" s="294"/>
      <c r="D8" s="294"/>
      <c r="E8" s="295"/>
      <c r="G8" s="294"/>
      <c r="K8" s="280"/>
      <c r="L8" s="281"/>
    </row>
    <row r="9" spans="2:12" s="279" customFormat="1">
      <c r="B9" s="294"/>
      <c r="C9" s="294"/>
      <c r="D9" s="294"/>
      <c r="E9" s="295"/>
      <c r="G9" s="294"/>
      <c r="K9" s="280"/>
      <c r="L9" s="281"/>
    </row>
    <row r="10" spans="2:12" s="294" customFormat="1">
      <c r="B10" s="296" t="s">
        <v>3076</v>
      </c>
      <c r="C10" s="296"/>
      <c r="E10" s="295"/>
      <c r="K10" s="295"/>
      <c r="L10" s="297"/>
    </row>
    <row r="11" spans="2:12" s="294" customFormat="1" ht="15" thickBot="1">
      <c r="B11" s="296" t="s">
        <v>3077</v>
      </c>
      <c r="C11" s="296"/>
      <c r="E11" s="295"/>
      <c r="F11" s="294" t="s">
        <v>3078</v>
      </c>
      <c r="K11" s="295"/>
      <c r="L11" s="297"/>
    </row>
    <row r="12" spans="2:12" s="293" customFormat="1">
      <c r="B12" s="443" t="s">
        <v>0</v>
      </c>
      <c r="C12" s="444"/>
      <c r="D12" s="444"/>
      <c r="E12" s="444"/>
      <c r="F12" s="298" t="s">
        <v>3079</v>
      </c>
      <c r="G12" s="413"/>
      <c r="H12" s="413"/>
      <c r="I12" s="413"/>
      <c r="K12" s="300"/>
      <c r="L12" s="301"/>
    </row>
    <row r="13" spans="2:12" s="293" customFormat="1">
      <c r="B13" s="441" t="s">
        <v>3080</v>
      </c>
      <c r="C13" s="442"/>
      <c r="D13" s="442"/>
      <c r="E13" s="442"/>
      <c r="F13" s="302" t="s">
        <v>3081</v>
      </c>
      <c r="G13" s="413"/>
      <c r="H13" s="413"/>
      <c r="I13" s="413"/>
      <c r="K13" s="300"/>
      <c r="L13" s="301"/>
    </row>
    <row r="14" spans="2:12" s="293" customFormat="1">
      <c r="B14" s="441" t="s">
        <v>1</v>
      </c>
      <c r="C14" s="442"/>
      <c r="D14" s="442"/>
      <c r="E14" s="442"/>
      <c r="F14" s="303" t="s">
        <v>3082</v>
      </c>
      <c r="G14" s="304"/>
      <c r="H14" s="305"/>
      <c r="I14" s="305"/>
      <c r="J14" s="305"/>
      <c r="K14" s="300"/>
      <c r="L14" s="301"/>
    </row>
    <row r="15" spans="2:12" s="293" customFormat="1">
      <c r="B15" s="441" t="s">
        <v>2</v>
      </c>
      <c r="C15" s="442"/>
      <c r="D15" s="442"/>
      <c r="E15" s="442"/>
      <c r="F15" s="306" t="s">
        <v>3083</v>
      </c>
      <c r="G15" s="307"/>
      <c r="H15" s="308"/>
      <c r="I15" s="308"/>
      <c r="K15" s="300"/>
      <c r="L15" s="301"/>
    </row>
    <row r="16" spans="2:12" s="293" customFormat="1">
      <c r="B16" s="441" t="s">
        <v>3</v>
      </c>
      <c r="C16" s="442"/>
      <c r="D16" s="442"/>
      <c r="E16" s="442"/>
      <c r="F16" s="309" t="s">
        <v>3084</v>
      </c>
      <c r="G16" s="308"/>
      <c r="H16" s="308"/>
      <c r="I16" s="308"/>
      <c r="K16" s="300"/>
      <c r="L16" s="301"/>
    </row>
    <row r="17" spans="2:12" s="293" customFormat="1">
      <c r="B17" s="441" t="s">
        <v>4</v>
      </c>
      <c r="C17" s="442"/>
      <c r="D17" s="442"/>
      <c r="E17" s="442"/>
      <c r="F17" s="310" t="s">
        <v>3085</v>
      </c>
      <c r="G17" s="308"/>
      <c r="H17" s="308"/>
      <c r="I17" s="308"/>
      <c r="K17" s="300"/>
      <c r="L17" s="301"/>
    </row>
    <row r="18" spans="2:12" s="293" customFormat="1">
      <c r="B18" s="441" t="s">
        <v>5</v>
      </c>
      <c r="C18" s="442"/>
      <c r="D18" s="442"/>
      <c r="E18" s="442"/>
      <c r="F18" s="310" t="s">
        <v>3086</v>
      </c>
      <c r="G18" s="308"/>
      <c r="H18" s="308"/>
      <c r="I18" s="308"/>
      <c r="K18" s="300"/>
      <c r="L18" s="301"/>
    </row>
    <row r="19" spans="2:12" s="293" customFormat="1">
      <c r="B19" s="441" t="s">
        <v>6</v>
      </c>
      <c r="C19" s="442"/>
      <c r="D19" s="442"/>
      <c r="E19" s="442"/>
      <c r="F19" s="303" t="s">
        <v>3087</v>
      </c>
      <c r="G19" s="307"/>
      <c r="H19" s="311"/>
      <c r="I19" s="311"/>
      <c r="J19" s="311"/>
      <c r="K19" s="311"/>
      <c r="L19" s="311"/>
    </row>
    <row r="20" spans="2:12" s="293" customFormat="1" ht="15" thickBot="1">
      <c r="B20" s="445" t="s">
        <v>7</v>
      </c>
      <c r="C20" s="446"/>
      <c r="D20" s="446"/>
      <c r="E20" s="446"/>
      <c r="F20" s="312" t="s">
        <v>3088</v>
      </c>
      <c r="G20" s="308"/>
      <c r="H20" s="308"/>
      <c r="I20" s="308"/>
      <c r="K20" s="300"/>
      <c r="L20" s="301"/>
    </row>
    <row r="21" spans="2:12">
      <c r="B21" s="413" t="s">
        <v>3089</v>
      </c>
      <c r="C21" s="413"/>
      <c r="D21" s="413"/>
      <c r="E21" s="413"/>
      <c r="F21" s="308"/>
    </row>
    <row r="23" spans="2:12">
      <c r="B23" s="313" t="s">
        <v>3090</v>
      </c>
      <c r="C23" s="413"/>
      <c r="D23" s="314"/>
      <c r="E23" s="315"/>
      <c r="F23" s="293"/>
      <c r="G23" s="293"/>
      <c r="H23" s="293"/>
      <c r="I23" s="293"/>
    </row>
    <row r="24" spans="2:12" ht="15" thickBot="1">
      <c r="B24" s="313" t="s">
        <v>3091</v>
      </c>
      <c r="C24" s="413"/>
      <c r="D24" s="314"/>
      <c r="E24" s="315"/>
      <c r="F24" s="293" t="s">
        <v>3078</v>
      </c>
      <c r="G24" s="293"/>
      <c r="H24" s="293"/>
      <c r="I24" s="293"/>
    </row>
    <row r="25" spans="2:12">
      <c r="B25" s="443" t="s">
        <v>8</v>
      </c>
      <c r="C25" s="444"/>
      <c r="D25" s="444"/>
      <c r="E25" s="444"/>
      <c r="F25" s="316">
        <v>0.84199999999999997</v>
      </c>
      <c r="G25" s="293"/>
      <c r="H25" s="293"/>
      <c r="I25" s="293"/>
    </row>
    <row r="26" spans="2:12">
      <c r="B26" s="441" t="s">
        <v>9</v>
      </c>
      <c r="C26" s="442"/>
      <c r="D26" s="442"/>
      <c r="E26" s="442"/>
      <c r="F26" s="317">
        <v>0.55200000000000005</v>
      </c>
      <c r="G26" s="293"/>
      <c r="H26" s="293"/>
      <c r="I26" s="293"/>
    </row>
    <row r="27" spans="2:12">
      <c r="B27" s="441" t="s">
        <v>10</v>
      </c>
      <c r="C27" s="442"/>
      <c r="D27" s="442"/>
      <c r="E27" s="442"/>
      <c r="F27" s="318">
        <v>0.12180000000000001</v>
      </c>
      <c r="G27" s="293"/>
      <c r="H27" s="293"/>
      <c r="I27" s="293"/>
    </row>
    <row r="28" spans="2:12">
      <c r="B28" s="441" t="s">
        <v>11</v>
      </c>
      <c r="C28" s="442"/>
      <c r="D28" s="442"/>
      <c r="E28" s="442"/>
      <c r="F28" s="318">
        <v>2.8799999999999999E-2</v>
      </c>
      <c r="G28" s="293"/>
      <c r="H28" s="293"/>
      <c r="I28" s="293"/>
    </row>
    <row r="29" spans="2:12">
      <c r="B29" s="441" t="s">
        <v>12</v>
      </c>
      <c r="C29" s="442"/>
      <c r="D29" s="442"/>
      <c r="E29" s="442"/>
      <c r="F29" s="319">
        <f>F27+F28</f>
        <v>0.15060000000000001</v>
      </c>
      <c r="G29" s="293"/>
      <c r="H29" s="293"/>
      <c r="I29" s="293"/>
    </row>
    <row r="30" spans="2:12">
      <c r="B30" s="441" t="s">
        <v>13</v>
      </c>
      <c r="C30" s="442"/>
      <c r="D30" s="442"/>
      <c r="E30" s="442"/>
      <c r="F30" s="318">
        <v>9.9199999999999997E-2</v>
      </c>
      <c r="G30" s="293"/>
      <c r="H30" s="293"/>
      <c r="I30" s="293"/>
    </row>
    <row r="31" spans="2:12">
      <c r="B31" s="441" t="s">
        <v>14</v>
      </c>
      <c r="C31" s="442"/>
      <c r="D31" s="442"/>
      <c r="E31" s="442"/>
      <c r="F31" s="318">
        <v>1</v>
      </c>
      <c r="G31" s="293" t="s">
        <v>3092</v>
      </c>
      <c r="H31" s="293"/>
      <c r="I31" s="293"/>
    </row>
    <row r="32" spans="2:12" ht="15" thickBot="1">
      <c r="B32" s="445" t="s">
        <v>15</v>
      </c>
      <c r="C32" s="446"/>
      <c r="D32" s="446"/>
      <c r="E32" s="446"/>
      <c r="F32" s="320">
        <v>1</v>
      </c>
      <c r="G32" s="293"/>
      <c r="H32" s="293"/>
      <c r="I32" s="293"/>
    </row>
    <row r="33" spans="1:18">
      <c r="A33" s="293"/>
      <c r="B33" s="413"/>
      <c r="C33" s="413"/>
      <c r="D33" s="413"/>
      <c r="E33" s="413"/>
      <c r="F33" s="321"/>
      <c r="G33" s="293"/>
      <c r="H33" s="293"/>
      <c r="I33" s="293"/>
      <c r="J33" s="293"/>
      <c r="K33" s="300"/>
      <c r="L33" s="301"/>
      <c r="M33" s="293"/>
      <c r="N33" s="293"/>
      <c r="O33" s="293"/>
      <c r="P33" s="293"/>
      <c r="Q33" s="293"/>
      <c r="R33" s="293"/>
    </row>
    <row r="34" spans="1:18">
      <c r="A34" s="293"/>
      <c r="B34" s="322" t="s">
        <v>3093</v>
      </c>
      <c r="C34" s="308"/>
      <c r="D34" s="293"/>
      <c r="E34" s="300"/>
      <c r="F34" s="293"/>
      <c r="G34" s="293"/>
      <c r="H34" s="293"/>
      <c r="I34" s="293"/>
      <c r="J34" s="293"/>
      <c r="K34" s="300"/>
      <c r="L34" s="301"/>
      <c r="M34" s="293"/>
      <c r="N34" s="293"/>
      <c r="O34" s="293"/>
      <c r="P34" s="293"/>
      <c r="Q34" s="293"/>
      <c r="R34" s="293"/>
    </row>
    <row r="35" spans="1:18">
      <c r="A35" s="279"/>
      <c r="B35" s="279"/>
      <c r="C35" s="279"/>
      <c r="D35" s="279"/>
      <c r="E35" s="279"/>
      <c r="F35" s="280"/>
      <c r="G35" s="279"/>
      <c r="H35" s="294"/>
      <c r="I35" s="294"/>
      <c r="J35" s="279"/>
      <c r="K35" s="279"/>
      <c r="L35" s="279"/>
      <c r="M35" s="279"/>
      <c r="N35" s="279"/>
      <c r="O35" s="279"/>
      <c r="P35" s="279"/>
      <c r="Q35" s="279"/>
      <c r="R35" s="279"/>
    </row>
    <row r="36" spans="1:18" ht="15" thickBot="1">
      <c r="A36" s="293"/>
      <c r="B36" s="322" t="s">
        <v>3094</v>
      </c>
      <c r="C36" s="293"/>
      <c r="D36" s="293"/>
      <c r="E36" s="300"/>
      <c r="F36" s="300"/>
      <c r="G36" s="293"/>
      <c r="H36" s="293" t="s">
        <v>3095</v>
      </c>
      <c r="I36" s="293"/>
      <c r="J36" s="293"/>
      <c r="K36" s="293"/>
      <c r="L36" s="293"/>
      <c r="M36" s="293"/>
      <c r="N36" s="293"/>
      <c r="O36" s="293"/>
      <c r="P36" s="293"/>
      <c r="Q36" s="293"/>
      <c r="R36" s="293"/>
    </row>
    <row r="37" spans="1:18" ht="15" customHeight="1" thickBot="1">
      <c r="A37" s="308"/>
      <c r="B37" s="452" t="s">
        <v>3096</v>
      </c>
      <c r="C37" s="453"/>
      <c r="D37" s="453"/>
      <c r="E37" s="454" t="s">
        <v>17</v>
      </c>
      <c r="F37" s="455"/>
      <c r="G37" s="323" t="s">
        <v>3097</v>
      </c>
      <c r="H37" s="324"/>
      <c r="I37" s="324"/>
      <c r="J37" s="325"/>
      <c r="K37" s="447" t="s">
        <v>3098</v>
      </c>
      <c r="L37" s="448"/>
      <c r="M37" s="448"/>
      <c r="N37" s="449"/>
    </row>
    <row r="38" spans="1:18" ht="15" thickBot="1">
      <c r="A38" s="308"/>
      <c r="B38" s="450" t="s">
        <v>16</v>
      </c>
      <c r="C38" s="451"/>
      <c r="D38" s="451"/>
      <c r="E38" s="326" t="s">
        <v>18</v>
      </c>
      <c r="F38" s="327" t="s">
        <v>212</v>
      </c>
      <c r="G38" s="328" t="s">
        <v>2657</v>
      </c>
      <c r="H38" s="329" t="s">
        <v>2658</v>
      </c>
      <c r="I38" s="329" t="s">
        <v>2659</v>
      </c>
      <c r="J38" s="329" t="s">
        <v>2660</v>
      </c>
      <c r="K38" s="323" t="s">
        <v>204</v>
      </c>
      <c r="L38" s="325" t="s">
        <v>203</v>
      </c>
      <c r="M38" s="412" t="s">
        <v>216</v>
      </c>
      <c r="N38" s="325" t="s">
        <v>207</v>
      </c>
      <c r="O38" s="325" t="s">
        <v>217</v>
      </c>
      <c r="P38" s="316" t="s">
        <v>218</v>
      </c>
    </row>
    <row r="39" spans="1:18">
      <c r="A39" s="308"/>
      <c r="B39" s="330" t="s">
        <v>3099</v>
      </c>
      <c r="C39" s="331"/>
      <c r="D39" s="332" t="s">
        <v>3100</v>
      </c>
      <c r="E39" s="333">
        <v>-3.3978609999999998</v>
      </c>
      <c r="F39" s="334">
        <v>34.837608000000003</v>
      </c>
      <c r="G39" s="335">
        <v>12.565665055683967</v>
      </c>
      <c r="H39" s="336">
        <v>0.9665896196679955</v>
      </c>
      <c r="I39" s="336">
        <v>86.467745324648035</v>
      </c>
      <c r="J39" s="337">
        <v>1.0225726959093147</v>
      </c>
      <c r="K39" s="333" t="s">
        <v>229</v>
      </c>
      <c r="L39" s="338" t="s">
        <v>257</v>
      </c>
      <c r="M39" s="338" t="s">
        <v>3101</v>
      </c>
      <c r="N39" s="338" t="s">
        <v>247</v>
      </c>
      <c r="O39" s="338" t="s">
        <v>234</v>
      </c>
      <c r="P39" s="298" t="s">
        <v>3102</v>
      </c>
    </row>
    <row r="40" spans="1:18">
      <c r="A40" s="308"/>
      <c r="B40" s="339" t="s">
        <v>3103</v>
      </c>
      <c r="C40" s="340"/>
      <c r="D40" s="341" t="s">
        <v>3100</v>
      </c>
      <c r="E40" s="411">
        <v>-3.3978290019999999</v>
      </c>
      <c r="F40" s="343">
        <v>34.837011969999999</v>
      </c>
      <c r="G40" s="344">
        <v>21.13063730679653</v>
      </c>
      <c r="H40" s="345">
        <v>3.0912555579081076</v>
      </c>
      <c r="I40" s="345">
        <v>75.778107135295357</v>
      </c>
      <c r="J40" s="346">
        <v>0.46131099063578063</v>
      </c>
      <c r="K40" s="411" t="s">
        <v>229</v>
      </c>
      <c r="L40" s="409" t="s">
        <v>257</v>
      </c>
      <c r="M40" s="409" t="s">
        <v>3101</v>
      </c>
      <c r="N40" s="409" t="s">
        <v>247</v>
      </c>
      <c r="O40" s="409" t="s">
        <v>234</v>
      </c>
      <c r="P40" s="302" t="s">
        <v>3102</v>
      </c>
    </row>
    <row r="41" spans="1:18">
      <c r="A41" s="308"/>
      <c r="B41" s="339" t="s">
        <v>3104</v>
      </c>
      <c r="C41" s="340"/>
      <c r="D41" s="341" t="s">
        <v>3100</v>
      </c>
      <c r="E41" s="411">
        <v>-3.3854090330000002</v>
      </c>
      <c r="F41" s="343">
        <v>34.818901029999999</v>
      </c>
      <c r="G41" s="344">
        <v>54.080969906906262</v>
      </c>
      <c r="H41" s="345">
        <v>21.264484651351896</v>
      </c>
      <c r="I41" s="345">
        <v>24.654545441741845</v>
      </c>
      <c r="J41" s="346">
        <v>1.8433218334154755</v>
      </c>
      <c r="K41" s="411" t="s">
        <v>229</v>
      </c>
      <c r="L41" s="409" t="s">
        <v>257</v>
      </c>
      <c r="M41" s="409" t="s">
        <v>3101</v>
      </c>
      <c r="N41" s="409" t="s">
        <v>247</v>
      </c>
      <c r="O41" s="409" t="s">
        <v>234</v>
      </c>
      <c r="P41" s="302" t="s">
        <v>3102</v>
      </c>
    </row>
    <row r="42" spans="1:18">
      <c r="A42" s="308"/>
      <c r="B42" s="339" t="s">
        <v>3105</v>
      </c>
      <c r="C42" s="340"/>
      <c r="D42" s="341" t="s">
        <v>3100</v>
      </c>
      <c r="E42" s="411">
        <v>-3.3849129919999998</v>
      </c>
      <c r="F42" s="343">
        <v>34.818899020000003</v>
      </c>
      <c r="G42" s="344">
        <v>51.960000000000008</v>
      </c>
      <c r="H42" s="345">
        <v>18.919999999999995</v>
      </c>
      <c r="I42" s="345">
        <v>29.120000000000005</v>
      </c>
      <c r="J42" s="346">
        <v>1.85293247905372</v>
      </c>
      <c r="K42" s="411" t="s">
        <v>229</v>
      </c>
      <c r="L42" s="409" t="s">
        <v>257</v>
      </c>
      <c r="M42" s="409" t="s">
        <v>3101</v>
      </c>
      <c r="N42" s="409" t="s">
        <v>247</v>
      </c>
      <c r="O42" s="409" t="s">
        <v>234</v>
      </c>
      <c r="P42" s="302" t="s">
        <v>3102</v>
      </c>
    </row>
    <row r="43" spans="1:18">
      <c r="A43" s="308"/>
      <c r="B43" s="339" t="s">
        <v>3106</v>
      </c>
      <c r="C43" s="340"/>
      <c r="D43" s="341" t="s">
        <v>3107</v>
      </c>
      <c r="E43" s="411">
        <v>-3.4092039989999998</v>
      </c>
      <c r="F43" s="343">
        <v>34.852751009999999</v>
      </c>
      <c r="G43" s="344">
        <v>23.96</v>
      </c>
      <c r="H43" s="345">
        <v>0.91999999999999804</v>
      </c>
      <c r="I43" s="345">
        <v>75.12</v>
      </c>
      <c r="J43" s="346">
        <v>1.2493839329719072</v>
      </c>
      <c r="K43" s="411" t="s">
        <v>229</v>
      </c>
      <c r="L43" s="409" t="s">
        <v>244</v>
      </c>
      <c r="M43" s="409" t="s">
        <v>3101</v>
      </c>
      <c r="N43" s="409" t="s">
        <v>247</v>
      </c>
      <c r="O43" s="409" t="s">
        <v>234</v>
      </c>
      <c r="P43" s="302" t="s">
        <v>3102</v>
      </c>
    </row>
    <row r="44" spans="1:18">
      <c r="A44" s="308"/>
      <c r="B44" s="339" t="s">
        <v>3108</v>
      </c>
      <c r="C44" s="340"/>
      <c r="D44" s="341" t="s">
        <v>3107</v>
      </c>
      <c r="E44" s="411">
        <v>-3.4083420040000001</v>
      </c>
      <c r="F44" s="343">
        <v>34.850283040000001</v>
      </c>
      <c r="G44" s="344">
        <v>19.96</v>
      </c>
      <c r="H44" s="345">
        <v>4.9199999999999982</v>
      </c>
      <c r="I44" s="345">
        <v>75.12</v>
      </c>
      <c r="J44" s="346">
        <v>1.641498275012321</v>
      </c>
      <c r="K44" s="411" t="s">
        <v>229</v>
      </c>
      <c r="L44" s="409" t="s">
        <v>244</v>
      </c>
      <c r="M44" s="409" t="s">
        <v>3101</v>
      </c>
      <c r="N44" s="409" t="s">
        <v>247</v>
      </c>
      <c r="O44" s="409" t="s">
        <v>234</v>
      </c>
      <c r="P44" s="302" t="s">
        <v>3102</v>
      </c>
    </row>
    <row r="45" spans="1:18">
      <c r="A45" s="308"/>
      <c r="B45" s="339" t="s">
        <v>3109</v>
      </c>
      <c r="C45" s="340"/>
      <c r="D45" s="341" t="s">
        <v>3107</v>
      </c>
      <c r="E45" s="411">
        <v>-3.406225992</v>
      </c>
      <c r="F45" s="343">
        <v>34.85055998</v>
      </c>
      <c r="G45" s="344">
        <v>21.96</v>
      </c>
      <c r="H45" s="345">
        <v>8.9199999999999982</v>
      </c>
      <c r="I45" s="345">
        <v>69.12</v>
      </c>
      <c r="J45" s="346">
        <v>1.7491375061606702</v>
      </c>
      <c r="K45" s="411" t="s">
        <v>229</v>
      </c>
      <c r="L45" s="409" t="s">
        <v>244</v>
      </c>
      <c r="M45" s="409" t="s">
        <v>3101</v>
      </c>
      <c r="N45" s="409" t="s">
        <v>247</v>
      </c>
      <c r="O45" s="409" t="s">
        <v>234</v>
      </c>
      <c r="P45" s="302" t="s">
        <v>3102</v>
      </c>
    </row>
    <row r="46" spans="1:18">
      <c r="A46" s="308"/>
      <c r="B46" s="339" t="s">
        <v>3110</v>
      </c>
      <c r="C46" s="340"/>
      <c r="D46" s="341" t="s">
        <v>3107</v>
      </c>
      <c r="E46" s="411">
        <v>-3.4064239729999999</v>
      </c>
      <c r="F46" s="343">
        <v>34.851213010000002</v>
      </c>
      <c r="G46" s="344">
        <v>25.96</v>
      </c>
      <c r="H46" s="345">
        <v>6.9200000000000008</v>
      </c>
      <c r="I46" s="345">
        <v>67.12</v>
      </c>
      <c r="J46" s="346">
        <v>1.7568260226712666</v>
      </c>
      <c r="K46" s="411" t="s">
        <v>229</v>
      </c>
      <c r="L46" s="409" t="s">
        <v>244</v>
      </c>
      <c r="M46" s="409" t="s">
        <v>3101</v>
      </c>
      <c r="N46" s="409" t="s">
        <v>247</v>
      </c>
      <c r="O46" s="409" t="s">
        <v>234</v>
      </c>
      <c r="P46" s="302" t="s">
        <v>3102</v>
      </c>
    </row>
    <row r="47" spans="1:18">
      <c r="A47" s="308"/>
      <c r="B47" s="339" t="s">
        <v>3111</v>
      </c>
      <c r="C47" s="340"/>
      <c r="D47" s="341" t="s">
        <v>3112</v>
      </c>
      <c r="E47" s="411">
        <v>-3.2993960379999998</v>
      </c>
      <c r="F47" s="343">
        <v>34.848240959999998</v>
      </c>
      <c r="G47" s="344">
        <v>47.96</v>
      </c>
      <c r="H47" s="345">
        <v>22.919999999999995</v>
      </c>
      <c r="I47" s="345">
        <v>29.120000000000012</v>
      </c>
      <c r="J47" s="346">
        <v>2.8831936914736325</v>
      </c>
      <c r="K47" s="411" t="s">
        <v>229</v>
      </c>
      <c r="L47" s="409" t="s">
        <v>230</v>
      </c>
      <c r="M47" s="409" t="s">
        <v>3101</v>
      </c>
      <c r="N47" s="409" t="s">
        <v>247</v>
      </c>
      <c r="O47" s="409" t="s">
        <v>234</v>
      </c>
      <c r="P47" s="302" t="s">
        <v>3102</v>
      </c>
    </row>
    <row r="48" spans="1:18">
      <c r="A48" s="308"/>
      <c r="B48" s="339" t="s">
        <v>3113</v>
      </c>
      <c r="C48" s="340"/>
      <c r="D48" s="341" t="s">
        <v>3112</v>
      </c>
      <c r="E48" s="411">
        <v>-3.3025860229999999</v>
      </c>
      <c r="F48" s="343">
        <v>34.848048009999999</v>
      </c>
      <c r="G48" s="344">
        <v>45.272914521112256</v>
      </c>
      <c r="H48" s="345">
        <v>23.604531410916575</v>
      </c>
      <c r="I48" s="345">
        <v>31.122554067971166</v>
      </c>
      <c r="J48" s="346">
        <v>2.0547560374568752</v>
      </c>
      <c r="K48" s="411" t="s">
        <v>229</v>
      </c>
      <c r="L48" s="409" t="s">
        <v>230</v>
      </c>
      <c r="M48" s="409" t="s">
        <v>3101</v>
      </c>
      <c r="N48" s="409" t="s">
        <v>247</v>
      </c>
      <c r="O48" s="409" t="s">
        <v>234</v>
      </c>
      <c r="P48" s="302" t="s">
        <v>3102</v>
      </c>
    </row>
    <row r="49" spans="1:16">
      <c r="A49" s="308"/>
      <c r="B49" s="339" t="s">
        <v>3114</v>
      </c>
      <c r="C49" s="340"/>
      <c r="D49" s="341" t="s">
        <v>3112</v>
      </c>
      <c r="E49" s="411">
        <v>-3.2957159630000001</v>
      </c>
      <c r="F49" s="343">
        <v>34.852460999999998</v>
      </c>
      <c r="G49" s="344">
        <v>38.691629007962128</v>
      </c>
      <c r="H49" s="345">
        <v>26.81299763288143</v>
      </c>
      <c r="I49" s="345">
        <v>34.495373359156439</v>
      </c>
      <c r="J49" s="346">
        <v>2.5483587974371611</v>
      </c>
      <c r="K49" s="411" t="s">
        <v>229</v>
      </c>
      <c r="L49" s="409" t="s">
        <v>230</v>
      </c>
      <c r="M49" s="409" t="s">
        <v>3101</v>
      </c>
      <c r="N49" s="409" t="s">
        <v>247</v>
      </c>
      <c r="O49" s="409" t="s">
        <v>234</v>
      </c>
      <c r="P49" s="302" t="s">
        <v>3102</v>
      </c>
    </row>
    <row r="50" spans="1:16">
      <c r="A50" s="308"/>
      <c r="B50" s="339" t="s">
        <v>3115</v>
      </c>
      <c r="C50" s="340"/>
      <c r="D50" s="341" t="s">
        <v>3112</v>
      </c>
      <c r="E50" s="411">
        <v>-3.2966709980000002</v>
      </c>
      <c r="F50" s="343">
        <v>34.854407019999996</v>
      </c>
      <c r="G50" s="344">
        <v>28.145762029394</v>
      </c>
      <c r="H50" s="345">
        <v>25.085564727199518</v>
      </c>
      <c r="I50" s="345">
        <v>46.768673243406489</v>
      </c>
      <c r="J50" s="346">
        <v>2.1716214884179394</v>
      </c>
      <c r="K50" s="411" t="s">
        <v>229</v>
      </c>
      <c r="L50" s="409" t="s">
        <v>230</v>
      </c>
      <c r="M50" s="409" t="s">
        <v>3101</v>
      </c>
      <c r="N50" s="409" t="s">
        <v>247</v>
      </c>
      <c r="O50" s="409" t="s">
        <v>234</v>
      </c>
      <c r="P50" s="302" t="s">
        <v>3102</v>
      </c>
    </row>
    <row r="51" spans="1:16">
      <c r="A51" s="293"/>
      <c r="B51" s="339" t="s">
        <v>3116</v>
      </c>
      <c r="C51" s="340"/>
      <c r="D51" s="341" t="s">
        <v>3117</v>
      </c>
      <c r="E51" s="411">
        <v>-2.3691620310000001</v>
      </c>
      <c r="F51" s="343">
        <v>34.06028104</v>
      </c>
      <c r="G51" s="344">
        <v>45.96</v>
      </c>
      <c r="H51" s="345">
        <v>14.920000000000003</v>
      </c>
      <c r="I51" s="345">
        <v>39.119999999999997</v>
      </c>
      <c r="J51" s="346">
        <v>2.0374568753080333</v>
      </c>
      <c r="K51" s="411" t="s">
        <v>229</v>
      </c>
      <c r="L51" s="409" t="s">
        <v>257</v>
      </c>
      <c r="M51" s="409" t="s">
        <v>3101</v>
      </c>
      <c r="N51" s="409" t="s">
        <v>247</v>
      </c>
      <c r="O51" s="409" t="s">
        <v>234</v>
      </c>
      <c r="P51" s="302" t="s">
        <v>3102</v>
      </c>
    </row>
    <row r="52" spans="1:16">
      <c r="A52" s="293"/>
      <c r="B52" s="339" t="s">
        <v>3118</v>
      </c>
      <c r="C52" s="340"/>
      <c r="D52" s="341" t="s">
        <v>3117</v>
      </c>
      <c r="E52" s="411">
        <v>-2.3698080240000001</v>
      </c>
      <c r="F52" s="343">
        <v>34.059671010000002</v>
      </c>
      <c r="G52" s="344">
        <v>34.344660194174757</v>
      </c>
      <c r="H52" s="345">
        <v>19.22727272727273</v>
      </c>
      <c r="I52" s="345">
        <v>46.428067078552509</v>
      </c>
      <c r="J52" s="346">
        <v>1.7452932479053718</v>
      </c>
      <c r="K52" s="411" t="s">
        <v>229</v>
      </c>
      <c r="L52" s="409" t="s">
        <v>257</v>
      </c>
      <c r="M52" s="409" t="s">
        <v>3101</v>
      </c>
      <c r="N52" s="409" t="s">
        <v>247</v>
      </c>
      <c r="O52" s="409" t="s">
        <v>234</v>
      </c>
      <c r="P52" s="302" t="s">
        <v>3102</v>
      </c>
    </row>
    <row r="53" spans="1:16">
      <c r="A53" s="293"/>
      <c r="B53" s="339" t="s">
        <v>3119</v>
      </c>
      <c r="C53" s="340"/>
      <c r="D53" s="341" t="s">
        <v>3117</v>
      </c>
      <c r="E53" s="411">
        <v>-2.3487199940000001</v>
      </c>
      <c r="F53" s="343">
        <v>34.051391029999998</v>
      </c>
      <c r="G53" s="344">
        <v>27.96</v>
      </c>
      <c r="H53" s="345">
        <v>4.9200000000000017</v>
      </c>
      <c r="I53" s="345">
        <v>67.12</v>
      </c>
      <c r="J53" s="346">
        <v>0.88610152784622953</v>
      </c>
      <c r="K53" s="411" t="s">
        <v>229</v>
      </c>
      <c r="L53" s="409" t="s">
        <v>257</v>
      </c>
      <c r="M53" s="409" t="s">
        <v>3101</v>
      </c>
      <c r="N53" s="409" t="s">
        <v>247</v>
      </c>
      <c r="O53" s="409" t="s">
        <v>234</v>
      </c>
      <c r="P53" s="302" t="s">
        <v>3102</v>
      </c>
    </row>
    <row r="54" spans="1:16">
      <c r="A54" s="293"/>
      <c r="B54" s="339" t="s">
        <v>3120</v>
      </c>
      <c r="C54" s="340"/>
      <c r="D54" s="341" t="s">
        <v>3117</v>
      </c>
      <c r="E54" s="411">
        <v>-2.3492639789999998</v>
      </c>
      <c r="F54" s="343">
        <v>34.051464029999998</v>
      </c>
      <c r="G54" s="344">
        <v>17.96</v>
      </c>
      <c r="H54" s="345">
        <v>4.9199999999999982</v>
      </c>
      <c r="I54" s="345">
        <v>77.12</v>
      </c>
      <c r="J54" s="346">
        <v>2.0220798422868409</v>
      </c>
      <c r="K54" s="411" t="s">
        <v>229</v>
      </c>
      <c r="L54" s="409" t="s">
        <v>257</v>
      </c>
      <c r="M54" s="409" t="s">
        <v>3101</v>
      </c>
      <c r="N54" s="409" t="s">
        <v>247</v>
      </c>
      <c r="O54" s="409" t="s">
        <v>234</v>
      </c>
      <c r="P54" s="302" t="s">
        <v>3102</v>
      </c>
    </row>
    <row r="55" spans="1:16">
      <c r="B55" s="339" t="s">
        <v>3121</v>
      </c>
      <c r="C55" s="340"/>
      <c r="D55" s="341" t="s">
        <v>3122</v>
      </c>
      <c r="E55" s="411">
        <v>-2.3503360249999998</v>
      </c>
      <c r="F55" s="343">
        <v>34.049662009999999</v>
      </c>
      <c r="G55" s="344">
        <v>31.214836424255054</v>
      </c>
      <c r="H55" s="345">
        <v>11.377370285476141</v>
      </c>
      <c r="I55" s="345">
        <v>57.407793290268799</v>
      </c>
      <c r="J55" s="346">
        <v>1.7337604731394776</v>
      </c>
      <c r="K55" s="411" t="s">
        <v>229</v>
      </c>
      <c r="L55" s="409" t="s">
        <v>244</v>
      </c>
      <c r="M55" s="409" t="s">
        <v>3101</v>
      </c>
      <c r="N55" s="409" t="s">
        <v>247</v>
      </c>
      <c r="O55" s="409" t="s">
        <v>234</v>
      </c>
      <c r="P55" s="302" t="s">
        <v>3102</v>
      </c>
    </row>
    <row r="56" spans="1:16">
      <c r="B56" s="339" t="s">
        <v>3123</v>
      </c>
      <c r="C56" s="340"/>
      <c r="D56" s="341" t="s">
        <v>3122</v>
      </c>
      <c r="E56" s="411">
        <v>-2.348596025</v>
      </c>
      <c r="F56" s="343">
        <v>34.050070959999999</v>
      </c>
      <c r="G56" s="344">
        <v>33.96</v>
      </c>
      <c r="H56" s="345">
        <v>8.9200000000000017</v>
      </c>
      <c r="I56" s="345">
        <v>57.12</v>
      </c>
      <c r="J56" s="346">
        <v>2.072055199605717</v>
      </c>
      <c r="K56" s="411" t="s">
        <v>229</v>
      </c>
      <c r="L56" s="409" t="s">
        <v>244</v>
      </c>
      <c r="M56" s="409" t="s">
        <v>3101</v>
      </c>
      <c r="N56" s="409" t="s">
        <v>247</v>
      </c>
      <c r="O56" s="409" t="s">
        <v>234</v>
      </c>
      <c r="P56" s="302" t="s">
        <v>3102</v>
      </c>
    </row>
    <row r="57" spans="1:16">
      <c r="B57" s="339" t="s">
        <v>3124</v>
      </c>
      <c r="C57" s="340"/>
      <c r="D57" s="341" t="s">
        <v>3122</v>
      </c>
      <c r="E57" s="411">
        <v>-2.3675269729999999</v>
      </c>
      <c r="F57" s="343">
        <v>34.06035799</v>
      </c>
      <c r="G57" s="344">
        <v>39.96</v>
      </c>
      <c r="H57" s="345">
        <v>12.920000000000002</v>
      </c>
      <c r="I57" s="345">
        <v>47.12</v>
      </c>
      <c r="J57" s="346">
        <v>1.6549531789058647</v>
      </c>
      <c r="K57" s="411" t="s">
        <v>229</v>
      </c>
      <c r="L57" s="409" t="s">
        <v>244</v>
      </c>
      <c r="M57" s="409" t="s">
        <v>3101</v>
      </c>
      <c r="N57" s="409" t="s">
        <v>247</v>
      </c>
      <c r="O57" s="409" t="s">
        <v>234</v>
      </c>
      <c r="P57" s="302" t="s">
        <v>3102</v>
      </c>
    </row>
    <row r="58" spans="1:16">
      <c r="B58" s="339" t="s">
        <v>3125</v>
      </c>
      <c r="C58" s="340"/>
      <c r="D58" s="341" t="s">
        <v>3122</v>
      </c>
      <c r="E58" s="411">
        <v>-2.3676780150000001</v>
      </c>
      <c r="F58" s="343">
        <v>34.05937797</v>
      </c>
      <c r="G58" s="344">
        <v>27.96</v>
      </c>
      <c r="H58" s="345">
        <v>4.9200000000000017</v>
      </c>
      <c r="I58" s="345">
        <v>67.12</v>
      </c>
      <c r="J58" s="346">
        <v>1.0437161163134547</v>
      </c>
      <c r="K58" s="411" t="s">
        <v>229</v>
      </c>
      <c r="L58" s="409" t="s">
        <v>244</v>
      </c>
      <c r="M58" s="409" t="s">
        <v>3101</v>
      </c>
      <c r="N58" s="409" t="s">
        <v>247</v>
      </c>
      <c r="O58" s="409" t="s">
        <v>234</v>
      </c>
      <c r="P58" s="302" t="s">
        <v>3102</v>
      </c>
    </row>
    <row r="59" spans="1:16">
      <c r="B59" s="339" t="s">
        <v>3126</v>
      </c>
      <c r="C59" s="340"/>
      <c r="D59" s="341" t="s">
        <v>3127</v>
      </c>
      <c r="E59" s="411">
        <v>-2.272751033</v>
      </c>
      <c r="F59" s="343">
        <v>34.023176030000002</v>
      </c>
      <c r="G59" s="344">
        <v>21.96</v>
      </c>
      <c r="H59" s="345">
        <v>4.9199999999999982</v>
      </c>
      <c r="I59" s="345">
        <v>73.12</v>
      </c>
      <c r="J59" s="346">
        <v>1.2416954164613114</v>
      </c>
      <c r="K59" s="411" t="s">
        <v>229</v>
      </c>
      <c r="L59" s="409" t="s">
        <v>230</v>
      </c>
      <c r="M59" s="409" t="s">
        <v>3101</v>
      </c>
      <c r="N59" s="409" t="s">
        <v>247</v>
      </c>
      <c r="O59" s="409" t="s">
        <v>234</v>
      </c>
      <c r="P59" s="302" t="s">
        <v>3102</v>
      </c>
    </row>
    <row r="60" spans="1:16">
      <c r="B60" s="339" t="s">
        <v>3128</v>
      </c>
      <c r="C60" s="340"/>
      <c r="D60" s="341" t="s">
        <v>3127</v>
      </c>
      <c r="E60" s="411">
        <v>-2.2784290180000002</v>
      </c>
      <c r="F60" s="343">
        <v>34.024240030000001</v>
      </c>
      <c r="G60" s="344">
        <v>23.96</v>
      </c>
      <c r="H60" s="345">
        <v>4.9199999999999982</v>
      </c>
      <c r="I60" s="345">
        <v>71.12</v>
      </c>
      <c r="J60" s="346">
        <v>3.30913750616067</v>
      </c>
      <c r="K60" s="411" t="s">
        <v>229</v>
      </c>
      <c r="L60" s="409" t="s">
        <v>230</v>
      </c>
      <c r="M60" s="409" t="s">
        <v>3101</v>
      </c>
      <c r="N60" s="409" t="s">
        <v>247</v>
      </c>
      <c r="O60" s="409" t="s">
        <v>234</v>
      </c>
      <c r="P60" s="302" t="s">
        <v>3102</v>
      </c>
    </row>
    <row r="61" spans="1:16">
      <c r="B61" s="339" t="s">
        <v>3129</v>
      </c>
      <c r="C61" s="340"/>
      <c r="D61" s="341" t="s">
        <v>3127</v>
      </c>
      <c r="E61" s="411">
        <v>-2.277740026</v>
      </c>
      <c r="F61" s="343">
        <v>34.027640990000002</v>
      </c>
      <c r="G61" s="344">
        <v>25.96</v>
      </c>
      <c r="H61" s="345">
        <v>8.9200000000000017</v>
      </c>
      <c r="I61" s="345">
        <v>65.12</v>
      </c>
      <c r="J61" s="346">
        <v>1.614588467225234</v>
      </c>
      <c r="K61" s="411" t="s">
        <v>229</v>
      </c>
      <c r="L61" s="409" t="s">
        <v>230</v>
      </c>
      <c r="M61" s="409" t="s">
        <v>3101</v>
      </c>
      <c r="N61" s="409" t="s">
        <v>247</v>
      </c>
      <c r="O61" s="409" t="s">
        <v>234</v>
      </c>
      <c r="P61" s="302" t="s">
        <v>3102</v>
      </c>
    </row>
    <row r="62" spans="1:16">
      <c r="B62" s="339" t="s">
        <v>3130</v>
      </c>
      <c r="C62" s="340"/>
      <c r="D62" s="341" t="s">
        <v>3127</v>
      </c>
      <c r="E62" s="411">
        <v>-2.2787330300000002</v>
      </c>
      <c r="F62" s="343">
        <v>34.032136029999997</v>
      </c>
      <c r="G62" s="344">
        <v>25.96</v>
      </c>
      <c r="H62" s="345">
        <v>8.9200000000000017</v>
      </c>
      <c r="I62" s="345">
        <v>65.12</v>
      </c>
      <c r="J62" s="346">
        <v>1.6991621488417901</v>
      </c>
      <c r="K62" s="411" t="s">
        <v>229</v>
      </c>
      <c r="L62" s="409" t="s">
        <v>230</v>
      </c>
      <c r="M62" s="409" t="s">
        <v>3101</v>
      </c>
      <c r="N62" s="409" t="s">
        <v>247</v>
      </c>
      <c r="O62" s="409" t="s">
        <v>234</v>
      </c>
      <c r="P62" s="302" t="s">
        <v>3102</v>
      </c>
    </row>
    <row r="63" spans="1:16" ht="15" thickBot="1">
      <c r="B63" s="348" t="s">
        <v>2512</v>
      </c>
      <c r="C63" s="349"/>
      <c r="D63" s="350" t="s">
        <v>3131</v>
      </c>
      <c r="E63" s="351">
        <v>-2.439403972</v>
      </c>
      <c r="F63" s="352">
        <v>34.838404959999998</v>
      </c>
      <c r="G63" s="353">
        <v>22.017293559158162</v>
      </c>
      <c r="H63" s="354">
        <v>6.5855206693798616</v>
      </c>
      <c r="I63" s="354">
        <v>71.397185771461977</v>
      </c>
      <c r="J63" s="355">
        <v>1.1393420404139967</v>
      </c>
      <c r="K63" s="351" t="s">
        <v>229</v>
      </c>
      <c r="L63" s="356" t="s">
        <v>230</v>
      </c>
      <c r="M63" s="356" t="s">
        <v>3101</v>
      </c>
      <c r="N63" s="356" t="s">
        <v>247</v>
      </c>
      <c r="O63" s="356" t="s">
        <v>234</v>
      </c>
      <c r="P63" s="357" t="s">
        <v>3102</v>
      </c>
    </row>
    <row r="64" spans="1:16">
      <c r="B64" s="322" t="s">
        <v>3132</v>
      </c>
    </row>
    <row r="67" spans="2:33" ht="15" thickBot="1">
      <c r="B67" s="322" t="s">
        <v>3133</v>
      </c>
      <c r="C67" s="308"/>
      <c r="D67" s="308"/>
      <c r="E67" s="308"/>
      <c r="F67" s="358"/>
      <c r="G67" s="358"/>
      <c r="H67" s="358"/>
      <c r="I67" s="358"/>
      <c r="J67" s="308"/>
      <c r="K67" s="359"/>
      <c r="L67" s="360"/>
    </row>
    <row r="68" spans="2:33" ht="15" thickBot="1">
      <c r="B68" s="459" t="s">
        <v>21</v>
      </c>
      <c r="C68" s="460"/>
      <c r="D68" s="460"/>
      <c r="E68" s="460"/>
      <c r="F68" s="361" t="s">
        <v>3134</v>
      </c>
      <c r="G68" s="410"/>
      <c r="H68" s="410"/>
      <c r="I68" s="410"/>
      <c r="J68" s="410"/>
      <c r="K68" s="410"/>
      <c r="L68" s="363"/>
    </row>
    <row r="69" spans="2:33">
      <c r="B69" s="461" t="s">
        <v>22</v>
      </c>
      <c r="C69" s="462"/>
      <c r="D69" s="462"/>
      <c r="E69" s="462"/>
      <c r="F69" s="364" t="s">
        <v>3135</v>
      </c>
      <c r="G69" s="365"/>
      <c r="H69" s="365"/>
      <c r="I69" s="365"/>
      <c r="J69" s="365"/>
      <c r="K69" s="365"/>
      <c r="L69" s="366"/>
    </row>
    <row r="70" spans="2:33" ht="15" thickBot="1">
      <c r="B70" s="463" t="s">
        <v>25</v>
      </c>
      <c r="C70" s="464"/>
      <c r="D70" s="464"/>
      <c r="E70" s="464"/>
      <c r="F70" s="465" t="s">
        <v>3136</v>
      </c>
      <c r="G70" s="466"/>
      <c r="H70" s="466"/>
      <c r="I70" s="466"/>
      <c r="J70" s="466"/>
      <c r="K70" s="466"/>
      <c r="L70" s="466"/>
    </row>
    <row r="71" spans="2:33">
      <c r="B71" s="322" t="s">
        <v>3137</v>
      </c>
    </row>
    <row r="72" spans="2:33" ht="18">
      <c r="AG72" s="367"/>
    </row>
    <row r="73" spans="2:33">
      <c r="D73" s="456" t="s">
        <v>3160</v>
      </c>
      <c r="E73" s="456"/>
      <c r="F73" s="456"/>
      <c r="G73" s="456"/>
      <c r="H73" s="456"/>
    </row>
    <row r="74" spans="2:33" ht="18.600000000000001" thickBot="1">
      <c r="B74" s="368" t="s">
        <v>3139</v>
      </c>
      <c r="D74" s="457"/>
      <c r="E74" s="457"/>
      <c r="F74" s="457"/>
      <c r="G74" s="457"/>
      <c r="H74" s="457"/>
      <c r="Y74" s="458" t="s">
        <v>3140</v>
      </c>
      <c r="Z74" s="458"/>
      <c r="AA74" s="458"/>
      <c r="AB74" s="458"/>
      <c r="AC74" s="458"/>
      <c r="AD74" s="458"/>
    </row>
    <row r="75" spans="2:33" ht="87" thickBot="1">
      <c r="B75" s="369" t="s">
        <v>2451</v>
      </c>
      <c r="C75" s="109" t="s">
        <v>23</v>
      </c>
      <c r="D75" s="109" t="s">
        <v>3141</v>
      </c>
      <c r="E75" s="109" t="s">
        <v>25</v>
      </c>
      <c r="F75" s="109" t="s">
        <v>26</v>
      </c>
      <c r="G75" s="370" t="s">
        <v>27</v>
      </c>
      <c r="H75" s="109" t="s">
        <v>3142</v>
      </c>
      <c r="I75" s="109" t="s">
        <v>3143</v>
      </c>
      <c r="J75" s="109" t="s">
        <v>3144</v>
      </c>
      <c r="K75" s="109" t="s">
        <v>28</v>
      </c>
      <c r="L75" s="109" t="s">
        <v>29</v>
      </c>
      <c r="M75" s="109" t="s">
        <v>30</v>
      </c>
      <c r="N75" s="370" t="s">
        <v>31</v>
      </c>
      <c r="O75" s="109" t="s">
        <v>3149</v>
      </c>
      <c r="P75" s="109" t="s">
        <v>3150</v>
      </c>
      <c r="Q75" s="109" t="s">
        <v>34</v>
      </c>
      <c r="R75" s="109" t="s">
        <v>35</v>
      </c>
      <c r="S75" s="109" t="s">
        <v>3155</v>
      </c>
      <c r="T75" s="109" t="s">
        <v>288</v>
      </c>
      <c r="U75" s="109" t="s">
        <v>289</v>
      </c>
      <c r="V75" s="109" t="s">
        <v>292</v>
      </c>
      <c r="W75" s="109" t="s">
        <v>40</v>
      </c>
      <c r="X75" s="371" t="s">
        <v>41</v>
      </c>
      <c r="Y75" s="372" t="s">
        <v>3245</v>
      </c>
      <c r="Z75" s="372" t="s">
        <v>3156</v>
      </c>
      <c r="AA75" s="372" t="s">
        <v>3157</v>
      </c>
      <c r="AB75" s="372" t="s">
        <v>3246</v>
      </c>
      <c r="AC75" s="372" t="s">
        <v>3158</v>
      </c>
      <c r="AD75" s="373" t="s">
        <v>3159</v>
      </c>
    </row>
    <row r="76" spans="2:33">
      <c r="B76" t="str">
        <f>Wetseason!B2</f>
        <v>Wet</v>
      </c>
      <c r="C76" s="253">
        <f>Wetseason!C2</f>
        <v>1</v>
      </c>
      <c r="D76" t="s">
        <v>3099</v>
      </c>
      <c r="E76" t="s">
        <v>22</v>
      </c>
      <c r="F76" s="374">
        <v>1</v>
      </c>
      <c r="G76" s="16">
        <f>'WetLitterbags placem_collection'!E3</f>
        <v>42766</v>
      </c>
      <c r="H76" t="str">
        <f>Wetseason!L2</f>
        <v>G436</v>
      </c>
      <c r="I76" t="str">
        <f>Wetseason!L222</f>
        <v>R17</v>
      </c>
      <c r="J76">
        <f>IFERROR(INDEX('Green_rooibos initial weight'!$C$5:$C$2000,MATCH(H76, 'Green_rooibos initial weight'!$A$5:$A$2000,0)),"")</f>
        <v>2.0329999999999999</v>
      </c>
      <c r="K76">
        <f>IFERROR(INDEX('Green_rooibos initial weight'!$C$5:$C$2000,MATCH(I76, 'Green_rooibos initial weight'!$A$5:$A$2000,0)),"")</f>
        <v>2.169</v>
      </c>
      <c r="L76" s="194">
        <f>IF(J76&gt;0,(J76*$F$31-($F$29+$F$30)),"")</f>
        <v>1.7831999999999999</v>
      </c>
      <c r="M76" s="194">
        <f t="shared" ref="M76:M139" si="0">IF(K76&gt;0,(K76*$F$32-($F$29+$F$30)),"")</f>
        <v>1.9192</v>
      </c>
      <c r="N76" s="16">
        <f>IF('WetLitterbags placem_collection'!G3="","",'WetLitterbags placem_collection'!G3)</f>
        <v>42818</v>
      </c>
      <c r="O76" s="194">
        <f>IFERROR(INDEX('Both teabags AfterWet'!$C$3:$C$2000,MATCH(H76,'Both teabags AfterWet'!$A$3:$A$2000,0)),"")</f>
        <v>0.43290000000000001</v>
      </c>
      <c r="P76" s="194">
        <f>IFERROR(INDEX('Both teabags AfterWet'!$C$3:$C$2000,MATCH(I76,'Both teabags AfterWet'!$A$3:$A$2000,0)),"")</f>
        <v>1.0208999999999999</v>
      </c>
      <c r="Q76" s="194">
        <f>IFERROR(IF(O76&gt;0,O76-($F$29),""),"")</f>
        <v>0.2823</v>
      </c>
      <c r="R76" s="194">
        <f>IFERROR(IF(P76&gt;0,P76-($F$29),""),"")</f>
        <v>0.87029999999999985</v>
      </c>
      <c r="S76" s="194">
        <f>IFERROR(1-Q76/L76,"")</f>
        <v>0.84168909825033644</v>
      </c>
      <c r="T76" s="194">
        <f>IFERROR($F$26*(1-W76),"")</f>
        <v>0.55179617842539874</v>
      </c>
      <c r="U76" s="194">
        <f>IFERROR(R76/M76,"")</f>
        <v>0.45347019591496451</v>
      </c>
      <c r="V76">
        <f t="shared" ref="V76:V139" si="1">IFERROR(IF((N76-G76)&gt;0,(IFERROR(N76-G76,"")),""),"")</f>
        <v>52</v>
      </c>
      <c r="W76" s="194">
        <f>IFERROR(1-(S76/$F$25),"")</f>
        <v>3.6924198297327848E-4</v>
      </c>
      <c r="X76" s="194">
        <f>IFERROR(LN(T76/(U76-(1-T76)))/V76,"")</f>
        <v>8.9458395986105416E-2</v>
      </c>
      <c r="Y76" s="245" t="str">
        <f>IF(ISNUMBER(SEARCH("C",'WetLitterbags placem_collection'!$X3)),"YES","NO")</f>
        <v>NO</v>
      </c>
      <c r="Z76" s="245" t="str">
        <f>IF(ISNUMBER(SEARCH("H", 'WetLitterbags placem_collection'!$X3)),"YES","NO")</f>
        <v>NO</v>
      </c>
      <c r="AA76" s="245" t="str">
        <f>IF(ISNUMBER(SEARCH("R", 'WetLitterbags placem_collection'!$X3)),"YES","NO")</f>
        <v>NO</v>
      </c>
      <c r="AB76" s="245" t="str">
        <f>IF(ISNUMBER(SEARCH("C", 'WetLitterbags placem_collection'!$V3)),"YES","NO")</f>
        <v>NO</v>
      </c>
      <c r="AC76" s="245" t="str">
        <f>IF(ISNUMBER(SEARCH("H", 'WetLitterbags placem_collection'!$V3)),"YES","NO")</f>
        <v>YES</v>
      </c>
      <c r="AD76" s="245" t="str">
        <f>IF(ISNUMBER(SEARCH("R", 'WetLitterbags placem_collection'!$V3)),"YES","NO")</f>
        <v>NO</v>
      </c>
    </row>
    <row r="77" spans="2:33">
      <c r="B77" t="str">
        <f>Wetseason!B3</f>
        <v>Wet</v>
      </c>
      <c r="C77" s="253">
        <f>Wetseason!C3</f>
        <v>2</v>
      </c>
      <c r="D77" t="s">
        <v>3099</v>
      </c>
      <c r="E77" t="s">
        <v>22</v>
      </c>
      <c r="F77" s="374">
        <v>2</v>
      </c>
      <c r="G77" s="16">
        <f>'WetLitterbags placem_collection'!E4</f>
        <v>42766</v>
      </c>
      <c r="H77" t="str">
        <f>Wetseason!L3</f>
        <v>G568</v>
      </c>
      <c r="I77" t="str">
        <f>Wetseason!L223</f>
        <v>R121</v>
      </c>
      <c r="J77">
        <f>IFERROR(INDEX('Green_rooibos initial weight'!$C$5:$C$2000,MATCH(H77, 'Green_rooibos initial weight'!$A$5:$A$2000,0)),"")</f>
        <v>2.0059999999999998</v>
      </c>
      <c r="K77">
        <f>IFERROR(INDEX('Green_rooibos initial weight'!$C$5:$C$2000,MATCH(I77, 'Green_rooibos initial weight'!$A$5:$A$2000,0)),"")</f>
        <v>2.165</v>
      </c>
      <c r="L77" s="194">
        <f t="shared" ref="L77:L140" si="2">IF(J77&gt;0,(J77*$F$31-($F$29+$F$30)),"")</f>
        <v>1.7561999999999998</v>
      </c>
      <c r="M77" s="194">
        <f t="shared" si="0"/>
        <v>1.9152</v>
      </c>
      <c r="N77" s="16">
        <f>IF('WetLitterbags placem_collection'!G4="","",'WetLitterbags placem_collection'!G4)</f>
        <v>42818</v>
      </c>
      <c r="O77" s="194">
        <f>IFERROR(INDEX('Both teabags AfterWet'!$C$3:$C$2000,MATCH(H77,'Both teabags AfterWet'!$A$3:$A$2000,0)),"")</f>
        <v>0.629</v>
      </c>
      <c r="P77" s="194">
        <f>IFERROR(INDEX('Both teabags AfterWet'!$C$3:$C$2000,MATCH(I77,'Both teabags AfterWet'!$A$3:$A$2000,0)),"")</f>
        <v>1.3073999999999999</v>
      </c>
      <c r="Q77" s="194">
        <f t="shared" ref="Q77:R140" si="3">IFERROR(IF(O77&gt;0,O77-($F$29),""),"")</f>
        <v>0.47839999999999999</v>
      </c>
      <c r="R77" s="194">
        <f t="shared" si="3"/>
        <v>1.1567999999999998</v>
      </c>
      <c r="S77" s="194">
        <f t="shared" ref="S77:S140" si="4">IFERROR(1-Q77/L77,"")</f>
        <v>0.72759366814713577</v>
      </c>
      <c r="T77" s="194">
        <f t="shared" ref="T77:T140" si="5">IFERROR($F$26*(1-W77),"")</f>
        <v>0.47699727412971377</v>
      </c>
      <c r="U77" s="194">
        <f t="shared" ref="U77:U140" si="6">IFERROR(R77/M77,"")</f>
        <v>0.60401002506265655</v>
      </c>
      <c r="V77">
        <f t="shared" si="1"/>
        <v>52</v>
      </c>
      <c r="W77" s="194">
        <f t="shared" ref="W77:W140" si="7">IFERROR(1-(S77/$F$25),"")</f>
        <v>0.13587450338819973</v>
      </c>
      <c r="X77" s="194">
        <f t="shared" ref="X77:X140" si="8">IFERROR(LN(T77/(U77-(1-T77)))/V77,"")</f>
        <v>3.4095606003091118E-2</v>
      </c>
      <c r="Y77" s="245" t="str">
        <f>IF(ISNUMBER(SEARCH("C",'WetLitterbags placem_collection'!$X4)),"YES","NO")</f>
        <v>NO</v>
      </c>
      <c r="Z77" s="245" t="str">
        <f>IF(ISNUMBER(SEARCH("H", 'WetLitterbags placem_collection'!$X4)),"YES","NO")</f>
        <v>NO</v>
      </c>
      <c r="AA77" s="245" t="str">
        <f>IF(ISNUMBER(SEARCH("R", 'WetLitterbags placem_collection'!$X4)),"YES","NO")</f>
        <v>NO</v>
      </c>
      <c r="AB77" s="245" t="str">
        <f>IF(ISNUMBER(SEARCH("C", 'WetLitterbags placem_collection'!$V4)),"YES","NO")</f>
        <v>NO</v>
      </c>
      <c r="AC77" s="245" t="str">
        <f>IF(ISNUMBER(SEARCH("H", 'WetLitterbags placem_collection'!$V4)),"YES","NO")</f>
        <v>NO</v>
      </c>
      <c r="AD77" s="245" t="str">
        <f>IF(ISNUMBER(SEARCH("R", 'WetLitterbags placem_collection'!$V4)),"YES","NO")</f>
        <v>NO</v>
      </c>
    </row>
    <row r="78" spans="2:33">
      <c r="B78" t="str">
        <f>Wetseason!B4</f>
        <v>Wet</v>
      </c>
      <c r="C78" s="253">
        <f>Wetseason!C4</f>
        <v>3</v>
      </c>
      <c r="D78" t="s">
        <v>3099</v>
      </c>
      <c r="E78" t="s">
        <v>22</v>
      </c>
      <c r="F78" s="374">
        <v>3</v>
      </c>
      <c r="G78" s="16">
        <f>'WetLitterbags placem_collection'!E5</f>
        <v>42766</v>
      </c>
      <c r="H78" t="str">
        <f>Wetseason!L4</f>
        <v>G631</v>
      </c>
      <c r="I78" t="str">
        <f>Wetseason!L224</f>
        <v>R158</v>
      </c>
      <c r="J78">
        <f>IFERROR(INDEX('Green_rooibos initial weight'!$C$5:$C$2000,MATCH(H78, 'Green_rooibos initial weight'!$A$5:$A$2000,0)),"")</f>
        <v>1.99</v>
      </c>
      <c r="K78">
        <f>IFERROR(INDEX('Green_rooibos initial weight'!$C$5:$C$2000,MATCH(I78, 'Green_rooibos initial weight'!$A$5:$A$2000,0)),"")</f>
        <v>2.2959999999999998</v>
      </c>
      <c r="L78" s="194">
        <f t="shared" si="2"/>
        <v>1.7402</v>
      </c>
      <c r="M78" s="194">
        <f t="shared" si="0"/>
        <v>2.0461999999999998</v>
      </c>
      <c r="N78" s="16">
        <f>IF('WetLitterbags placem_collection'!G5="","",'WetLitterbags placem_collection'!G5)</f>
        <v>42819</v>
      </c>
      <c r="O78" s="194" t="str">
        <f>IFERROR(INDEX('Both teabags AfterWet'!$C$3:$C$2000,MATCH(H78,'Both teabags AfterWet'!$A$3:$A$2000,0)),"")</f>
        <v/>
      </c>
      <c r="P78" s="194" t="str">
        <f>IFERROR(INDEX('Both teabags AfterWet'!$C$3:$C$2000,MATCH(I78,'Both teabags AfterWet'!$A$3:$A$2000,0)),"")</f>
        <v/>
      </c>
      <c r="Q78" s="194" t="str">
        <f t="shared" si="3"/>
        <v/>
      </c>
      <c r="R78" s="194" t="str">
        <f t="shared" si="3"/>
        <v/>
      </c>
      <c r="S78" s="194" t="str">
        <f t="shared" si="4"/>
        <v/>
      </c>
      <c r="T78" s="194" t="str">
        <f t="shared" si="5"/>
        <v/>
      </c>
      <c r="U78" s="194" t="str">
        <f t="shared" si="6"/>
        <v/>
      </c>
      <c r="V78">
        <f t="shared" si="1"/>
        <v>53</v>
      </c>
      <c r="W78" s="194" t="str">
        <f t="shared" si="7"/>
        <v/>
      </c>
      <c r="X78" s="194" t="str">
        <f t="shared" si="8"/>
        <v/>
      </c>
      <c r="Y78" s="245" t="str">
        <f>IF(ISNUMBER(SEARCH("C",'WetLitterbags placem_collection'!$X5)),"YES","NO")</f>
        <v>NO</v>
      </c>
      <c r="Z78" s="245" t="str">
        <f>IF(ISNUMBER(SEARCH("H", 'WetLitterbags placem_collection'!$X5)),"YES","NO")</f>
        <v>NO</v>
      </c>
      <c r="AA78" s="245" t="str">
        <f>IF(ISNUMBER(SEARCH("R", 'WetLitterbags placem_collection'!$X5)),"YES","NO")</f>
        <v>NO</v>
      </c>
      <c r="AB78" s="245" t="str">
        <f>IF(ISNUMBER(SEARCH("C", 'WetLitterbags placem_collection'!$V5)),"YES","NO")</f>
        <v>NO</v>
      </c>
      <c r="AC78" s="245" t="str">
        <f>IF(ISNUMBER(SEARCH("H", 'WetLitterbags placem_collection'!$V5)),"YES","NO")</f>
        <v>NO</v>
      </c>
      <c r="AD78" s="245" t="str">
        <f>IF(ISNUMBER(SEARCH("R", 'WetLitterbags placem_collection'!$V5)),"YES","NO")</f>
        <v>NO</v>
      </c>
    </row>
    <row r="79" spans="2:33">
      <c r="B79" t="str">
        <f>Wetseason!B5</f>
        <v>Wet</v>
      </c>
      <c r="C79" s="253">
        <f>Wetseason!C5</f>
        <v>4</v>
      </c>
      <c r="D79" t="s">
        <v>3099</v>
      </c>
      <c r="E79" t="s">
        <v>22</v>
      </c>
      <c r="F79" s="375">
        <v>4</v>
      </c>
      <c r="G79" s="16">
        <f>'WetLitterbags placem_collection'!E6</f>
        <v>42766</v>
      </c>
      <c r="H79" t="str">
        <f>Wetseason!L5</f>
        <v>G652</v>
      </c>
      <c r="I79" t="str">
        <f>Wetseason!L225</f>
        <v>R115</v>
      </c>
      <c r="J79">
        <f>IFERROR(INDEX('Green_rooibos initial weight'!$C$5:$C$2000,MATCH(H79, 'Green_rooibos initial weight'!$A$5:$A$2000,0)),"")</f>
        <v>2.024</v>
      </c>
      <c r="K79">
        <f>IFERROR(INDEX('Green_rooibos initial weight'!$C$5:$C$2000,MATCH(I79, 'Green_rooibos initial weight'!$A$5:$A$2000,0)),"")</f>
        <v>2.3119999999999998</v>
      </c>
      <c r="L79" s="194">
        <f t="shared" si="2"/>
        <v>1.7742</v>
      </c>
      <c r="M79" s="194">
        <f t="shared" si="0"/>
        <v>2.0621999999999998</v>
      </c>
      <c r="N79" s="16">
        <f>IF('WetLitterbags placem_collection'!G6="","",'WetLitterbags placem_collection'!G6)</f>
        <v>42818</v>
      </c>
      <c r="O79" s="194" t="str">
        <f>IFERROR(INDEX('Both teabags AfterWet'!$C$3:$C$2000,MATCH(H79,'Both teabags AfterWet'!$A$3:$A$2000,0)),"")</f>
        <v/>
      </c>
      <c r="P79" s="194">
        <f>IFERROR(INDEX('Both teabags AfterWet'!$C$3:$C$2000,MATCH(I79,'Both teabags AfterWet'!$A$3:$A$2000,0)),"")</f>
        <v>1.4075</v>
      </c>
      <c r="Q79" s="194" t="str">
        <f t="shared" si="3"/>
        <v/>
      </c>
      <c r="R79" s="194">
        <f t="shared" si="3"/>
        <v>1.2568999999999999</v>
      </c>
      <c r="S79" s="194" t="str">
        <f t="shared" si="4"/>
        <v/>
      </c>
      <c r="T79" s="194" t="str">
        <f t="shared" si="5"/>
        <v/>
      </c>
      <c r="U79" s="194">
        <f t="shared" si="6"/>
        <v>0.60949471438269809</v>
      </c>
      <c r="V79">
        <f t="shared" si="1"/>
        <v>52</v>
      </c>
      <c r="W79" s="194" t="str">
        <f t="shared" si="7"/>
        <v/>
      </c>
      <c r="X79" s="194" t="str">
        <f t="shared" si="8"/>
        <v/>
      </c>
      <c r="Y79" s="245" t="str">
        <f>IF(ISNUMBER(SEARCH("C",'WetLitterbags placem_collection'!$X6)),"YES","NO")</f>
        <v>NO</v>
      </c>
      <c r="Z79" s="245" t="str">
        <f>IF(ISNUMBER(SEARCH("H", 'WetLitterbags placem_collection'!$X6)),"YES","NO")</f>
        <v>NO</v>
      </c>
      <c r="AA79" s="245" t="str">
        <f>IF(ISNUMBER(SEARCH("R", 'WetLitterbags placem_collection'!$X6)),"YES","NO")</f>
        <v>NO</v>
      </c>
      <c r="AB79" s="245" t="str">
        <f>IF(ISNUMBER(SEARCH("C", 'WetLitterbags placem_collection'!$V6)),"YES","NO")</f>
        <v>NO</v>
      </c>
      <c r="AC79" s="245" t="str">
        <f>IF(ISNUMBER(SEARCH("H", 'WetLitterbags placem_collection'!$V6)),"YES","NO")</f>
        <v>NO</v>
      </c>
      <c r="AD79" s="245" t="str">
        <f>IF(ISNUMBER(SEARCH("R", 'WetLitterbags placem_collection'!$V6)),"YES","NO")</f>
        <v>NO</v>
      </c>
    </row>
    <row r="80" spans="2:33">
      <c r="B80" t="str">
        <f>Wetseason!B6</f>
        <v>Wet</v>
      </c>
      <c r="C80" s="253">
        <f>Wetseason!C6</f>
        <v>5</v>
      </c>
      <c r="D80" t="s">
        <v>3099</v>
      </c>
      <c r="E80" t="s">
        <v>22</v>
      </c>
      <c r="F80" s="375">
        <v>5</v>
      </c>
      <c r="G80" s="16">
        <f>'WetLitterbags placem_collection'!E7</f>
        <v>42766</v>
      </c>
      <c r="H80" t="str">
        <f>Wetseason!L6</f>
        <v>G497</v>
      </c>
      <c r="I80" t="str">
        <f>Wetseason!L226</f>
        <v>R502</v>
      </c>
      <c r="J80">
        <f>IFERROR(INDEX('Green_rooibos initial weight'!$C$5:$C$2000,MATCH(H80, 'Green_rooibos initial weight'!$A$5:$A$2000,0)),"")</f>
        <v>2.0019999999999998</v>
      </c>
      <c r="K80">
        <f>IFERROR(INDEX('Green_rooibos initial weight'!$C$5:$C$2000,MATCH(I80, 'Green_rooibos initial weight'!$A$5:$A$2000,0)),"")</f>
        <v>2.1840000000000002</v>
      </c>
      <c r="L80" s="194">
        <f t="shared" si="2"/>
        <v>1.7521999999999998</v>
      </c>
      <c r="M80" s="194">
        <f t="shared" si="0"/>
        <v>1.9342000000000001</v>
      </c>
      <c r="N80" s="16">
        <f>IF('WetLitterbags placem_collection'!G7="","",'WetLitterbags placem_collection'!G7)</f>
        <v>42818</v>
      </c>
      <c r="O80" s="194">
        <f>IFERROR(INDEX('Both teabags AfterWet'!$C$3:$C$2000,MATCH(H80,'Both teabags AfterWet'!$A$3:$A$2000,0)),"")</f>
        <v>0.46</v>
      </c>
      <c r="P80" s="194">
        <f>IFERROR(INDEX('Both teabags AfterWet'!$C$3:$C$2000,MATCH(I80,'Both teabags AfterWet'!$A$3:$A$2000,0)),"")</f>
        <v>1.3823000000000001</v>
      </c>
      <c r="Q80" s="194">
        <f t="shared" si="3"/>
        <v>0.30940000000000001</v>
      </c>
      <c r="R80" s="194">
        <f t="shared" si="3"/>
        <v>1.2317</v>
      </c>
      <c r="S80" s="194">
        <f t="shared" si="4"/>
        <v>0.82342198379180453</v>
      </c>
      <c r="T80" s="194">
        <f t="shared" si="5"/>
        <v>0.53982058794902155</v>
      </c>
      <c r="U80" s="194">
        <f t="shared" si="6"/>
        <v>0.63680074449384749</v>
      </c>
      <c r="V80">
        <f t="shared" si="1"/>
        <v>52</v>
      </c>
      <c r="W80" s="194">
        <f t="shared" si="7"/>
        <v>2.2064152266265347E-2</v>
      </c>
      <c r="X80" s="194">
        <f t="shared" si="8"/>
        <v>2.1485168532299852E-2</v>
      </c>
      <c r="Y80" s="245" t="str">
        <f>IF(ISNUMBER(SEARCH("C",'WetLitterbags placem_collection'!$X7)),"YES","NO")</f>
        <v>NO</v>
      </c>
      <c r="Z80" s="245" t="str">
        <f>IF(ISNUMBER(SEARCH("H", 'WetLitterbags placem_collection'!$X7)),"YES","NO")</f>
        <v>NO</v>
      </c>
      <c r="AA80" s="245" t="str">
        <f>IF(ISNUMBER(SEARCH("R", 'WetLitterbags placem_collection'!$X7)),"YES","NO")</f>
        <v>NO</v>
      </c>
      <c r="AB80" s="245" t="str">
        <f>IF(ISNUMBER(SEARCH("C", 'WetLitterbags placem_collection'!$V7)),"YES","NO")</f>
        <v>NO</v>
      </c>
      <c r="AC80" s="245" t="str">
        <f>IF(ISNUMBER(SEARCH("H", 'WetLitterbags placem_collection'!$V7)),"YES","NO")</f>
        <v>NO</v>
      </c>
      <c r="AD80" s="245" t="str">
        <f>IF(ISNUMBER(SEARCH("R", 'WetLitterbags placem_collection'!$V7)),"YES","NO")</f>
        <v>NO</v>
      </c>
    </row>
    <row r="81" spans="2:30">
      <c r="B81" t="str">
        <f>Wetseason!B7</f>
        <v>Wet</v>
      </c>
      <c r="C81" s="253">
        <f>Wetseason!C7</f>
        <v>6</v>
      </c>
      <c r="D81" t="s">
        <v>3099</v>
      </c>
      <c r="E81" t="s">
        <v>22</v>
      </c>
      <c r="F81" s="375">
        <v>6</v>
      </c>
      <c r="G81" s="16">
        <f>'WetLitterbags placem_collection'!E8</f>
        <v>42766</v>
      </c>
      <c r="H81" t="str">
        <f>Wetseason!L7</f>
        <v>G447</v>
      </c>
      <c r="I81" t="str">
        <f>Wetseason!L227</f>
        <v>R177</v>
      </c>
      <c r="J81">
        <f>IFERROR(INDEX('Green_rooibos initial weight'!$C$5:$C$2000,MATCH(H81, 'Green_rooibos initial weight'!$A$5:$A$2000,0)),"")</f>
        <v>2.0579999999999998</v>
      </c>
      <c r="K81">
        <f>IFERROR(INDEX('Green_rooibos initial weight'!$C$5:$C$2000,MATCH(I81, 'Green_rooibos initial weight'!$A$5:$A$2000,0)),"")</f>
        <v>2.153</v>
      </c>
      <c r="L81" s="194">
        <f t="shared" si="2"/>
        <v>1.8081999999999998</v>
      </c>
      <c r="M81" s="194">
        <f t="shared" si="0"/>
        <v>1.9032</v>
      </c>
      <c r="N81" s="16">
        <f>IF('WetLitterbags placem_collection'!G8="","",'WetLitterbags placem_collection'!G8)</f>
        <v>42818</v>
      </c>
      <c r="O81" s="194">
        <f>IFERROR(INDEX('Both teabags AfterWet'!$C$3:$C$2000,MATCH(H81,'Both teabags AfterWet'!$A$3:$A$2000,0)),"")</f>
        <v>0.67749999999999999</v>
      </c>
      <c r="P81" s="194">
        <f>IFERROR(INDEX('Both teabags AfterWet'!$C$3:$C$2000,MATCH(I81,'Both teabags AfterWet'!$A$3:$A$2000,0)),"")</f>
        <v>1.4271</v>
      </c>
      <c r="Q81" s="194">
        <f t="shared" si="3"/>
        <v>0.52689999999999992</v>
      </c>
      <c r="R81" s="194">
        <f t="shared" si="3"/>
        <v>1.2765</v>
      </c>
      <c r="S81" s="194">
        <f t="shared" si="4"/>
        <v>0.70860524278287795</v>
      </c>
      <c r="T81" s="194">
        <f t="shared" si="5"/>
        <v>0.46454880524483216</v>
      </c>
      <c r="U81" s="194">
        <f t="shared" si="6"/>
        <v>0.67071248423707441</v>
      </c>
      <c r="V81">
        <f t="shared" si="1"/>
        <v>52</v>
      </c>
      <c r="W81" s="194">
        <f t="shared" si="7"/>
        <v>0.15842607745501425</v>
      </c>
      <c r="X81" s="194">
        <f t="shared" si="8"/>
        <v>2.3728043034048699E-2</v>
      </c>
      <c r="Y81" s="245" t="str">
        <f>IF(ISNUMBER(SEARCH("C",'WetLitterbags placem_collection'!$X8)),"YES","NO")</f>
        <v>NO</v>
      </c>
      <c r="Z81" s="245" t="str">
        <f>IF(ISNUMBER(SEARCH("H", 'WetLitterbags placem_collection'!$X8)),"YES","NO")</f>
        <v>NO</v>
      </c>
      <c r="AA81" s="245" t="str">
        <f>IF(ISNUMBER(SEARCH("R", 'WetLitterbags placem_collection'!$X8)),"YES","NO")</f>
        <v>YES</v>
      </c>
      <c r="AB81" s="245" t="str">
        <f>IF(ISNUMBER(SEARCH("C", 'WetLitterbags placem_collection'!$V8)),"YES","NO")</f>
        <v>NO</v>
      </c>
      <c r="AC81" s="245" t="str">
        <f>IF(ISNUMBER(SEARCH("H", 'WetLitterbags placem_collection'!$V8)),"YES","NO")</f>
        <v>NO</v>
      </c>
      <c r="AD81" s="245" t="str">
        <f>IF(ISNUMBER(SEARCH("R", 'WetLitterbags placem_collection'!$V8)),"YES","NO")</f>
        <v>NO</v>
      </c>
    </row>
    <row r="82" spans="2:30">
      <c r="B82" t="str">
        <f>Wetseason!B8</f>
        <v>Wet</v>
      </c>
      <c r="C82" s="253">
        <f>Wetseason!C8</f>
        <v>7</v>
      </c>
      <c r="D82" t="s">
        <v>3099</v>
      </c>
      <c r="E82" t="s">
        <v>22</v>
      </c>
      <c r="F82" s="375">
        <v>7</v>
      </c>
      <c r="G82" s="16">
        <f>'WetLitterbags placem_collection'!E9</f>
        <v>42766</v>
      </c>
      <c r="H82" t="str">
        <f>Wetseason!L8</f>
        <v>G452</v>
      </c>
      <c r="I82" t="str">
        <f>Wetseason!L228</f>
        <v>R531</v>
      </c>
      <c r="J82">
        <f>IFERROR(INDEX('Green_rooibos initial weight'!$C$5:$C$2000,MATCH(H82, 'Green_rooibos initial weight'!$A$5:$A$2000,0)),"")</f>
        <v>2.0550000000000002</v>
      </c>
      <c r="K82">
        <f>IFERROR(INDEX('Green_rooibos initial weight'!$C$5:$C$2000,MATCH(I82, 'Green_rooibos initial weight'!$A$5:$A$2000,0)),"")</f>
        <v>2.101</v>
      </c>
      <c r="L82" s="194">
        <f t="shared" si="2"/>
        <v>1.8052000000000001</v>
      </c>
      <c r="M82" s="194">
        <f t="shared" si="0"/>
        <v>1.8512</v>
      </c>
      <c r="N82" s="16">
        <f>IF('WetLitterbags placem_collection'!G9="","",'WetLitterbags placem_collection'!G9)</f>
        <v>42818</v>
      </c>
      <c r="O82" s="194">
        <f>IFERROR(INDEX('Both teabags AfterWet'!$C$3:$C$2000,MATCH(H82,'Both teabags AfterWet'!$A$3:$A$2000,0)),"")</f>
        <v>0.67900000000000005</v>
      </c>
      <c r="P82" s="194">
        <f>IFERROR(INDEX('Both teabags AfterWet'!$C$3:$C$2000,MATCH(I82,'Both teabags AfterWet'!$A$3:$A$2000,0)),"")</f>
        <v>1.4430000000000001</v>
      </c>
      <c r="Q82" s="194">
        <f t="shared" si="3"/>
        <v>0.52839999999999998</v>
      </c>
      <c r="R82" s="194">
        <f t="shared" si="3"/>
        <v>1.2924</v>
      </c>
      <c r="S82" s="194">
        <f t="shared" si="4"/>
        <v>0.7072900509638822</v>
      </c>
      <c r="T82" s="194">
        <f t="shared" si="5"/>
        <v>0.46368658923047862</v>
      </c>
      <c r="U82" s="194">
        <f t="shared" si="6"/>
        <v>0.69814174589455491</v>
      </c>
      <c r="V82">
        <f t="shared" si="1"/>
        <v>52</v>
      </c>
      <c r="W82" s="194">
        <f t="shared" si="7"/>
        <v>0.1599880629882634</v>
      </c>
      <c r="X82" s="194">
        <f t="shared" si="8"/>
        <v>2.0243706847798783E-2</v>
      </c>
      <c r="Y82" s="245" t="str">
        <f>IF(ISNUMBER(SEARCH("C",'WetLitterbags placem_collection'!$X9)),"YES","NO")</f>
        <v>NO</v>
      </c>
      <c r="Z82" s="245" t="str">
        <f>IF(ISNUMBER(SEARCH("H", 'WetLitterbags placem_collection'!$X9)),"YES","NO")</f>
        <v>NO</v>
      </c>
      <c r="AA82" s="245" t="str">
        <f>IF(ISNUMBER(SEARCH("R", 'WetLitterbags placem_collection'!$X9)),"YES","NO")</f>
        <v>YES</v>
      </c>
      <c r="AB82" s="245" t="str">
        <f>IF(ISNUMBER(SEARCH("C", 'WetLitterbags placem_collection'!$V9)),"YES","NO")</f>
        <v>NO</v>
      </c>
      <c r="AC82" s="245" t="str">
        <f>IF(ISNUMBER(SEARCH("H", 'WetLitterbags placem_collection'!$V9)),"YES","NO")</f>
        <v>NO</v>
      </c>
      <c r="AD82" s="245" t="str">
        <f>IF(ISNUMBER(SEARCH("R", 'WetLitterbags placem_collection'!$V9)),"YES","NO")</f>
        <v>NO</v>
      </c>
    </row>
    <row r="83" spans="2:30">
      <c r="B83" t="str">
        <f>Wetseason!B9</f>
        <v>Wet</v>
      </c>
      <c r="C83" s="253">
        <f>Wetseason!C9</f>
        <v>8</v>
      </c>
      <c r="D83" t="s">
        <v>3099</v>
      </c>
      <c r="E83" t="s">
        <v>22</v>
      </c>
      <c r="F83" s="375">
        <v>8</v>
      </c>
      <c r="G83" s="16">
        <f>'WetLitterbags placem_collection'!E10</f>
        <v>42766</v>
      </c>
      <c r="H83" t="str">
        <f>Wetseason!L9</f>
        <v>G389</v>
      </c>
      <c r="I83" t="str">
        <f>Wetseason!L229</f>
        <v>R406</v>
      </c>
      <c r="J83">
        <f>IFERROR(INDEX('Green_rooibos initial weight'!$C$5:$C$2000,MATCH(H83, 'Green_rooibos initial weight'!$A$5:$A$2000,0)),"")</f>
        <v>1.9710000000000001</v>
      </c>
      <c r="K83">
        <f>IFERROR(INDEX('Green_rooibos initial weight'!$C$5:$C$2000,MATCH(I83, 'Green_rooibos initial weight'!$A$5:$A$2000,0)),"")</f>
        <v>2.1739999999999999</v>
      </c>
      <c r="L83" s="194">
        <f t="shared" si="2"/>
        <v>1.7212000000000001</v>
      </c>
      <c r="M83" s="194">
        <f t="shared" si="0"/>
        <v>1.9241999999999999</v>
      </c>
      <c r="N83" s="16">
        <f>IF('WetLitterbags placem_collection'!G10="","",'WetLitterbags placem_collection'!G10)</f>
        <v>42818</v>
      </c>
      <c r="O83" s="194">
        <f>IFERROR(INDEX('Both teabags AfterWet'!$C$3:$C$2000,MATCH(H83,'Both teabags AfterWet'!$A$3:$A$2000,0)),"")</f>
        <v>0.61950000000000005</v>
      </c>
      <c r="P83" s="194">
        <f>IFERROR(INDEX('Both teabags AfterWet'!$C$3:$C$2000,MATCH(I83,'Both teabags AfterWet'!$A$3:$A$2000,0)),"")</f>
        <v>1.4278999999999999</v>
      </c>
      <c r="Q83" s="194">
        <f t="shared" si="3"/>
        <v>0.46890000000000004</v>
      </c>
      <c r="R83" s="194">
        <f t="shared" si="3"/>
        <v>1.2772999999999999</v>
      </c>
      <c r="S83" s="194">
        <f t="shared" si="4"/>
        <v>0.72757378573088549</v>
      </c>
      <c r="T83" s="194">
        <f t="shared" si="5"/>
        <v>0.47698423957654257</v>
      </c>
      <c r="U83" s="194">
        <f t="shared" si="6"/>
        <v>0.66380833593181576</v>
      </c>
      <c r="V83">
        <f t="shared" si="1"/>
        <v>52</v>
      </c>
      <c r="W83" s="194">
        <f t="shared" si="7"/>
        <v>0.13589811670916208</v>
      </c>
      <c r="X83" s="194">
        <f t="shared" si="8"/>
        <v>2.3465302654871581E-2</v>
      </c>
      <c r="Y83" s="245" t="str">
        <f>IF(ISNUMBER(SEARCH("C",'WetLitterbags placem_collection'!$X10)),"YES","NO")</f>
        <v>NO</v>
      </c>
      <c r="Z83" s="245" t="str">
        <f>IF(ISNUMBER(SEARCH("H", 'WetLitterbags placem_collection'!$X10)),"YES","NO")</f>
        <v>NO</v>
      </c>
      <c r="AA83" s="245" t="str">
        <f>IF(ISNUMBER(SEARCH("R", 'WetLitterbags placem_collection'!$X10)),"YES","NO")</f>
        <v>NO</v>
      </c>
      <c r="AB83" s="245" t="str">
        <f>IF(ISNUMBER(SEARCH("C", 'WetLitterbags placem_collection'!$V10)),"YES","NO")</f>
        <v>NO</v>
      </c>
      <c r="AC83" s="245" t="str">
        <f>IF(ISNUMBER(SEARCH("H", 'WetLitterbags placem_collection'!$V10)),"YES","NO")</f>
        <v>YES</v>
      </c>
      <c r="AD83" s="245" t="str">
        <f>IF(ISNUMBER(SEARCH("R", 'WetLitterbags placem_collection'!$V10)),"YES","NO")</f>
        <v>NO</v>
      </c>
    </row>
    <row r="84" spans="2:30">
      <c r="B84" t="str">
        <f>Wetseason!B10</f>
        <v>Wet</v>
      </c>
      <c r="C84" s="253">
        <f>Wetseason!C10</f>
        <v>9</v>
      </c>
      <c r="D84" t="s">
        <v>3103</v>
      </c>
      <c r="E84" t="s">
        <v>22</v>
      </c>
      <c r="F84" s="374">
        <v>1</v>
      </c>
      <c r="G84" s="16">
        <f>'WetLitterbags placem_collection'!E11</f>
        <v>42766</v>
      </c>
      <c r="H84" t="str">
        <f>Wetseason!L10</f>
        <v>G514</v>
      </c>
      <c r="I84" t="str">
        <f>Wetseason!L230</f>
        <v>R169</v>
      </c>
      <c r="J84">
        <f>IFERROR(INDEX('Green_rooibos initial weight'!$C$5:$C$2000,MATCH(H84, 'Green_rooibos initial weight'!$A$5:$A$2000,0)),"")</f>
        <v>1.9350000000000001</v>
      </c>
      <c r="K84">
        <f>IFERROR(INDEX('Green_rooibos initial weight'!$C$5:$C$2000,MATCH(I84, 'Green_rooibos initial weight'!$A$5:$A$2000,0)),"")</f>
        <v>2.2010000000000001</v>
      </c>
      <c r="L84" s="194">
        <f t="shared" si="2"/>
        <v>1.6852</v>
      </c>
      <c r="M84" s="194">
        <f t="shared" si="0"/>
        <v>1.9512</v>
      </c>
      <c r="N84" s="16">
        <f>IF('WetLitterbags placem_collection'!G11="","",'WetLitterbags placem_collection'!G11)</f>
        <v>42818</v>
      </c>
      <c r="O84" s="194">
        <f>IFERROR(INDEX('Both teabags AfterWet'!$C$3:$C$2000,MATCH(H84,'Both teabags AfterWet'!$A$3:$A$2000,0)),"")</f>
        <v>0.59470000000000001</v>
      </c>
      <c r="P84" s="194">
        <f>IFERROR(INDEX('Both teabags AfterWet'!$C$3:$C$2000,MATCH(I84,'Both teabags AfterWet'!$A$3:$A$2000,0)),"")</f>
        <v>2.8336999999999999</v>
      </c>
      <c r="Q84" s="194">
        <f t="shared" si="3"/>
        <v>0.44409999999999999</v>
      </c>
      <c r="R84" s="194">
        <f t="shared" si="3"/>
        <v>2.6831</v>
      </c>
      <c r="S84" s="194">
        <f t="shared" si="4"/>
        <v>0.73647044861144084</v>
      </c>
      <c r="T84" s="194">
        <f t="shared" si="5"/>
        <v>0.48281673115619406</v>
      </c>
      <c r="U84" s="194">
        <f t="shared" si="6"/>
        <v>1.3751025010250102</v>
      </c>
      <c r="V84">
        <f t="shared" si="1"/>
        <v>52</v>
      </c>
      <c r="W84" s="194">
        <f t="shared" si="7"/>
        <v>0.12533200877501083</v>
      </c>
      <c r="X84" s="194">
        <f t="shared" si="8"/>
        <v>-1.1055246481202404E-2</v>
      </c>
      <c r="Y84" s="245" t="str">
        <f>IF(ISNUMBER(SEARCH("C",'WetLitterbags placem_collection'!$X11)),"YES","NO")</f>
        <v>NO</v>
      </c>
      <c r="Z84" s="245" t="str">
        <f>IF(ISNUMBER(SEARCH("H", 'WetLitterbags placem_collection'!$X11)),"YES","NO")</f>
        <v>NO</v>
      </c>
      <c r="AA84" s="245" t="str">
        <f>IF(ISNUMBER(SEARCH("R", 'WetLitterbags placem_collection'!$X11)),"YES","NO")</f>
        <v>NO</v>
      </c>
      <c r="AB84" s="245" t="str">
        <f>IF(ISNUMBER(SEARCH("C", 'WetLitterbags placem_collection'!$V11)),"YES","NO")</f>
        <v>NO</v>
      </c>
      <c r="AC84" s="245" t="str">
        <f>IF(ISNUMBER(SEARCH("H", 'WetLitterbags placem_collection'!$V11)),"YES","NO")</f>
        <v>NO</v>
      </c>
      <c r="AD84" s="245" t="str">
        <f>IF(ISNUMBER(SEARCH("R", 'WetLitterbags placem_collection'!$V11)),"YES","NO")</f>
        <v>YES</v>
      </c>
    </row>
    <row r="85" spans="2:30">
      <c r="B85" t="str">
        <f>Wetseason!B11</f>
        <v>Wet</v>
      </c>
      <c r="C85" s="253">
        <f>Wetseason!C11</f>
        <v>10</v>
      </c>
      <c r="D85" t="s">
        <v>3103</v>
      </c>
      <c r="E85" t="s">
        <v>22</v>
      </c>
      <c r="F85" s="374">
        <v>2</v>
      </c>
      <c r="G85" s="16">
        <f>'WetLitterbags placem_collection'!E12</f>
        <v>42766</v>
      </c>
      <c r="H85" t="str">
        <f>Wetseason!L11</f>
        <v>G286</v>
      </c>
      <c r="I85" t="str">
        <f>Wetseason!L231</f>
        <v>R91</v>
      </c>
      <c r="J85">
        <f>IFERROR(INDEX('Green_rooibos initial weight'!$C$5:$C$2000,MATCH(H85, 'Green_rooibos initial weight'!$A$5:$A$2000,0)),"")</f>
        <v>2.0710000000000002</v>
      </c>
      <c r="K85">
        <f>IFERROR(INDEX('Green_rooibos initial weight'!$C$5:$C$2000,MATCH(I85, 'Green_rooibos initial weight'!$A$5:$A$2000,0)),"")</f>
        <v>2.133</v>
      </c>
      <c r="L85" s="194">
        <f t="shared" si="2"/>
        <v>1.8212000000000002</v>
      </c>
      <c r="M85" s="194">
        <f t="shared" si="0"/>
        <v>1.8832</v>
      </c>
      <c r="N85" s="16">
        <f>IF('WetLitterbags placem_collection'!G12="","",'WetLitterbags placem_collection'!G12)</f>
        <v>42818</v>
      </c>
      <c r="O85" s="194">
        <f>IFERROR(INDEX('Both teabags AfterWet'!$C$3:$C$2000,MATCH(H85,'Both teabags AfterWet'!$A$3:$A$2000,0)),"")</f>
        <v>0.80200000000000005</v>
      </c>
      <c r="P85" s="194">
        <f>IFERROR(INDEX('Both teabags AfterWet'!$C$3:$C$2000,MATCH(I85,'Both teabags AfterWet'!$A$3:$A$2000,0)),"")</f>
        <v>1.3628</v>
      </c>
      <c r="Q85" s="194">
        <f t="shared" si="3"/>
        <v>0.65139999999999998</v>
      </c>
      <c r="R85" s="194">
        <f t="shared" si="3"/>
        <v>1.2121999999999999</v>
      </c>
      <c r="S85" s="194">
        <f t="shared" si="4"/>
        <v>0.64232374258730518</v>
      </c>
      <c r="T85" s="194">
        <f t="shared" si="5"/>
        <v>0.42109585024725954</v>
      </c>
      <c r="U85" s="194">
        <f t="shared" si="6"/>
        <v>0.64369158878504673</v>
      </c>
      <c r="V85">
        <f t="shared" si="1"/>
        <v>52</v>
      </c>
      <c r="W85" s="194">
        <f t="shared" si="7"/>
        <v>0.23714519882742846</v>
      </c>
      <c r="X85" s="194">
        <f t="shared" si="8"/>
        <v>3.5995168040208123E-2</v>
      </c>
      <c r="Y85" s="245" t="str">
        <f>IF(ISNUMBER(SEARCH("C",'WetLitterbags placem_collection'!$X12)),"YES","NO")</f>
        <v>NO</v>
      </c>
      <c r="Z85" s="245" t="str">
        <f>IF(ISNUMBER(SEARCH("H", 'WetLitterbags placem_collection'!$X12)),"YES","NO")</f>
        <v>NO</v>
      </c>
      <c r="AA85" s="245" t="str">
        <f>IF(ISNUMBER(SEARCH("R", 'WetLitterbags placem_collection'!$X12)),"YES","NO")</f>
        <v>NO</v>
      </c>
      <c r="AB85" s="245" t="str">
        <f>IF(ISNUMBER(SEARCH("C", 'WetLitterbags placem_collection'!$V12)),"YES","NO")</f>
        <v>NO</v>
      </c>
      <c r="AC85" s="245" t="str">
        <f>IF(ISNUMBER(SEARCH("H", 'WetLitterbags placem_collection'!$V12)),"YES","NO")</f>
        <v>NO</v>
      </c>
      <c r="AD85" s="245" t="str">
        <f>IF(ISNUMBER(SEARCH("R", 'WetLitterbags placem_collection'!$V12)),"YES","NO")</f>
        <v>NO</v>
      </c>
    </row>
    <row r="86" spans="2:30">
      <c r="B86" t="str">
        <f>Wetseason!B12</f>
        <v>Wet</v>
      </c>
      <c r="C86" s="253">
        <f>Wetseason!C12</f>
        <v>11</v>
      </c>
      <c r="D86" t="s">
        <v>3103</v>
      </c>
      <c r="E86" t="s">
        <v>22</v>
      </c>
      <c r="F86" s="374">
        <v>3</v>
      </c>
      <c r="G86" s="16">
        <f>'WetLitterbags placem_collection'!E13</f>
        <v>42766</v>
      </c>
      <c r="H86" t="str">
        <f>Wetseason!L12</f>
        <v>G543</v>
      </c>
      <c r="I86" t="str">
        <f>Wetseason!L232</f>
        <v>R446</v>
      </c>
      <c r="J86">
        <f>IFERROR(INDEX('Green_rooibos initial weight'!$C$5:$C$2000,MATCH(H86, 'Green_rooibos initial weight'!$A$5:$A$2000,0)),"")</f>
        <v>2.0920000000000001</v>
      </c>
      <c r="K86">
        <f>IFERROR(INDEX('Green_rooibos initial weight'!$C$5:$C$2000,MATCH(I86, 'Green_rooibos initial weight'!$A$5:$A$2000,0)),"")</f>
        <v>2.2679999999999998</v>
      </c>
      <c r="L86" s="194">
        <f t="shared" si="2"/>
        <v>1.8422000000000001</v>
      </c>
      <c r="M86" s="194">
        <f t="shared" si="0"/>
        <v>2.0181999999999998</v>
      </c>
      <c r="N86" s="16">
        <f>IF('WetLitterbags placem_collection'!G13="","",'WetLitterbags placem_collection'!G13)</f>
        <v>42818</v>
      </c>
      <c r="O86" s="194">
        <f>IFERROR(INDEX('Both teabags AfterWet'!$C$3:$C$2000,MATCH(H86,'Both teabags AfterWet'!$A$3:$A$2000,0)),"")</f>
        <v>0.71650000000000003</v>
      </c>
      <c r="P86" s="194">
        <f>IFERROR(INDEX('Both teabags AfterWet'!$C$3:$C$2000,MATCH(I86,'Both teabags AfterWet'!$A$3:$A$2000,0)),"")</f>
        <v>1.4224000000000001</v>
      </c>
      <c r="Q86" s="194">
        <f t="shared" si="3"/>
        <v>0.56590000000000007</v>
      </c>
      <c r="R86" s="194">
        <f t="shared" si="3"/>
        <v>1.2718</v>
      </c>
      <c r="S86" s="194">
        <f t="shared" si="4"/>
        <v>0.69281294104874602</v>
      </c>
      <c r="T86" s="194">
        <f t="shared" si="5"/>
        <v>0.45419565731461736</v>
      </c>
      <c r="U86" s="194">
        <f t="shared" si="6"/>
        <v>0.63016549400455857</v>
      </c>
      <c r="V86">
        <f t="shared" si="1"/>
        <v>52</v>
      </c>
      <c r="W86" s="194">
        <f t="shared" si="7"/>
        <v>0.17718178022714248</v>
      </c>
      <c r="X86" s="194">
        <f t="shared" si="8"/>
        <v>3.2373482023911687E-2</v>
      </c>
      <c r="Y86" s="245" t="str">
        <f>IF(ISNUMBER(SEARCH("C",'WetLitterbags placem_collection'!$X13)),"YES","NO")</f>
        <v>NO</v>
      </c>
      <c r="Z86" s="245" t="str">
        <f>IF(ISNUMBER(SEARCH("H", 'WetLitterbags placem_collection'!$X13)),"YES","NO")</f>
        <v>NO</v>
      </c>
      <c r="AA86" s="245" t="str">
        <f>IF(ISNUMBER(SEARCH("R", 'WetLitterbags placem_collection'!$X13)),"YES","NO")</f>
        <v>NO</v>
      </c>
      <c r="AB86" s="245" t="str">
        <f>IF(ISNUMBER(SEARCH("C", 'WetLitterbags placem_collection'!$V13)),"YES","NO")</f>
        <v>NO</v>
      </c>
      <c r="AC86" s="245" t="str">
        <f>IF(ISNUMBER(SEARCH("H", 'WetLitterbags placem_collection'!$V13)),"YES","NO")</f>
        <v>NO</v>
      </c>
      <c r="AD86" s="245" t="str">
        <f>IF(ISNUMBER(SEARCH("R", 'WetLitterbags placem_collection'!$V13)),"YES","NO")</f>
        <v>YES</v>
      </c>
    </row>
    <row r="87" spans="2:30">
      <c r="B87" t="str">
        <f>Wetseason!B13</f>
        <v>Wet</v>
      </c>
      <c r="C87" s="253">
        <f>Wetseason!C13</f>
        <v>12</v>
      </c>
      <c r="D87" t="s">
        <v>3103</v>
      </c>
      <c r="E87" t="s">
        <v>22</v>
      </c>
      <c r="F87" s="375">
        <v>4</v>
      </c>
      <c r="G87" s="16">
        <f>'WetLitterbags placem_collection'!E14</f>
        <v>42766</v>
      </c>
      <c r="H87" t="str">
        <f>Wetseason!L13</f>
        <v>G590</v>
      </c>
      <c r="I87" t="str">
        <f>Wetseason!L233</f>
        <v>R409</v>
      </c>
      <c r="J87">
        <f>IFERROR(INDEX('Green_rooibos initial weight'!$C$5:$C$2000,MATCH(H87, 'Green_rooibos initial weight'!$A$5:$A$2000,0)),"")</f>
        <v>2.0830000000000002</v>
      </c>
      <c r="K87">
        <f>IFERROR(INDEX('Green_rooibos initial weight'!$C$5:$C$2000,MATCH(I87, 'Green_rooibos initial weight'!$A$5:$A$2000,0)),"")</f>
        <v>2.2000000000000002</v>
      </c>
      <c r="L87" s="194">
        <f t="shared" si="2"/>
        <v>1.8332000000000002</v>
      </c>
      <c r="M87" s="194">
        <f t="shared" si="0"/>
        <v>1.9502000000000002</v>
      </c>
      <c r="N87" s="16">
        <f>IF('WetLitterbags placem_collection'!G14="","",'WetLitterbags placem_collection'!G14)</f>
        <v>42818</v>
      </c>
      <c r="O87" s="194" t="str">
        <f>IFERROR(INDEX('Both teabags AfterWet'!$C$3:$C$2000,MATCH(H87,'Both teabags AfterWet'!$A$3:$A$2000,0)),"")</f>
        <v/>
      </c>
      <c r="P87" s="194" t="str">
        <f>IFERROR(INDEX('Both teabags AfterWet'!$C$3:$C$2000,MATCH(I87,'Both teabags AfterWet'!$A$3:$A$2000,0)),"")</f>
        <v/>
      </c>
      <c r="Q87" s="194" t="str">
        <f t="shared" si="3"/>
        <v/>
      </c>
      <c r="R87" s="194" t="str">
        <f t="shared" si="3"/>
        <v/>
      </c>
      <c r="S87" s="194" t="str">
        <f t="shared" si="4"/>
        <v/>
      </c>
      <c r="T87" s="194" t="str">
        <f t="shared" si="5"/>
        <v/>
      </c>
      <c r="U87" s="194" t="str">
        <f t="shared" si="6"/>
        <v/>
      </c>
      <c r="V87">
        <f t="shared" si="1"/>
        <v>52</v>
      </c>
      <c r="W87" s="194" t="str">
        <f t="shared" si="7"/>
        <v/>
      </c>
      <c r="X87" s="194" t="str">
        <f t="shared" si="8"/>
        <v/>
      </c>
      <c r="Y87" s="245" t="str">
        <f>IF(ISNUMBER(SEARCH("C",'WetLitterbags placem_collection'!$X14)),"YES","NO")</f>
        <v>NO</v>
      </c>
      <c r="Z87" s="245" t="str">
        <f>IF(ISNUMBER(SEARCH("H", 'WetLitterbags placem_collection'!$X14)),"YES","NO")</f>
        <v>NO</v>
      </c>
      <c r="AA87" s="245" t="str">
        <f>IF(ISNUMBER(SEARCH("R", 'WetLitterbags placem_collection'!$X14)),"YES","NO")</f>
        <v>NO</v>
      </c>
      <c r="AB87" s="245" t="str">
        <f>IF(ISNUMBER(SEARCH("C", 'WetLitterbags placem_collection'!$V14)),"YES","NO")</f>
        <v>NO</v>
      </c>
      <c r="AC87" s="245" t="str">
        <f>IF(ISNUMBER(SEARCH("H", 'WetLitterbags placem_collection'!$V14)),"YES","NO")</f>
        <v>NO</v>
      </c>
      <c r="AD87" s="245" t="str">
        <f>IF(ISNUMBER(SEARCH("R", 'WetLitterbags placem_collection'!$V14)),"YES","NO")</f>
        <v>NO</v>
      </c>
    </row>
    <row r="88" spans="2:30">
      <c r="B88" t="str">
        <f>Wetseason!B14</f>
        <v>Wet</v>
      </c>
      <c r="C88" s="253">
        <f>Wetseason!C14</f>
        <v>13</v>
      </c>
      <c r="D88" t="s">
        <v>3103</v>
      </c>
      <c r="E88" t="s">
        <v>22</v>
      </c>
      <c r="F88" s="375">
        <v>5</v>
      </c>
      <c r="G88" s="16">
        <f>'WetLitterbags placem_collection'!E15</f>
        <v>42766</v>
      </c>
      <c r="H88" t="str">
        <f>Wetseason!L14</f>
        <v>G595</v>
      </c>
      <c r="I88" t="str">
        <f>Wetseason!L234</f>
        <v>R450</v>
      </c>
      <c r="J88">
        <f>IFERROR(INDEX('Green_rooibos initial weight'!$C$5:$C$2000,MATCH(H88, 'Green_rooibos initial weight'!$A$5:$A$2000,0)),"")</f>
        <v>2.1160000000000001</v>
      </c>
      <c r="K88">
        <f>IFERROR(INDEX('Green_rooibos initial weight'!$C$5:$C$2000,MATCH(I88, 'Green_rooibos initial weight'!$A$5:$A$2000,0)),"")</f>
        <v>2.2250000000000001</v>
      </c>
      <c r="L88" s="194">
        <f t="shared" si="2"/>
        <v>1.8662000000000001</v>
      </c>
      <c r="M88" s="194">
        <f t="shared" si="0"/>
        <v>1.9752000000000001</v>
      </c>
      <c r="N88" s="16">
        <f>IF('WetLitterbags placem_collection'!G15="","",'WetLitterbags placem_collection'!G15)</f>
        <v>42818</v>
      </c>
      <c r="O88" s="194">
        <f>IFERROR(INDEX('Both teabags AfterWet'!$C$3:$C$2000,MATCH(H88,'Both teabags AfterWet'!$A$3:$A$2000,0)),"")</f>
        <v>0.62809999999999999</v>
      </c>
      <c r="P88" s="194">
        <f>IFERROR(INDEX('Both teabags AfterWet'!$C$3:$C$2000,MATCH(I88,'Both teabags AfterWet'!$A$3:$A$2000,0)),"")</f>
        <v>0.91920000000000002</v>
      </c>
      <c r="Q88" s="194">
        <f t="shared" si="3"/>
        <v>0.47749999999999998</v>
      </c>
      <c r="R88" s="194">
        <f t="shared" si="3"/>
        <v>0.76859999999999995</v>
      </c>
      <c r="S88" s="194">
        <f t="shared" si="4"/>
        <v>0.74413246168685032</v>
      </c>
      <c r="T88" s="194">
        <f t="shared" si="5"/>
        <v>0.48783980861180692</v>
      </c>
      <c r="U88" s="194">
        <f t="shared" si="6"/>
        <v>0.38912515188335356</v>
      </c>
      <c r="V88">
        <f t="shared" si="1"/>
        <v>52</v>
      </c>
      <c r="W88" s="194">
        <f t="shared" si="7"/>
        <v>0.11623223077571221</v>
      </c>
      <c r="X88" s="194" t="str">
        <f t="shared" si="8"/>
        <v/>
      </c>
      <c r="Y88" s="245" t="str">
        <f>IF(ISNUMBER(SEARCH("C",'WetLitterbags placem_collection'!$X15)),"YES","NO")</f>
        <v>NO</v>
      </c>
      <c r="Z88" s="245" t="str">
        <f>IF(ISNUMBER(SEARCH("H", 'WetLitterbags placem_collection'!$X15)),"YES","NO")</f>
        <v>NO</v>
      </c>
      <c r="AA88" s="245" t="str">
        <f>IF(ISNUMBER(SEARCH("R", 'WetLitterbags placem_collection'!$X15)),"YES","NO")</f>
        <v>NO</v>
      </c>
      <c r="AB88" s="245" t="str">
        <f>IF(ISNUMBER(SEARCH("C", 'WetLitterbags placem_collection'!$V15)),"YES","NO")</f>
        <v>NO</v>
      </c>
      <c r="AC88" s="245" t="str">
        <f>IF(ISNUMBER(SEARCH("H", 'WetLitterbags placem_collection'!$V15)),"YES","NO")</f>
        <v>YES</v>
      </c>
      <c r="AD88" s="245" t="str">
        <f>IF(ISNUMBER(SEARCH("R", 'WetLitterbags placem_collection'!$V15)),"YES","NO")</f>
        <v>NO</v>
      </c>
    </row>
    <row r="89" spans="2:30">
      <c r="B89" t="str">
        <f>Wetseason!B15</f>
        <v>Wet</v>
      </c>
      <c r="C89" s="253">
        <f>Wetseason!C15</f>
        <v>14</v>
      </c>
      <c r="D89" t="s">
        <v>3103</v>
      </c>
      <c r="E89" t="s">
        <v>22</v>
      </c>
      <c r="F89" s="375">
        <v>6</v>
      </c>
      <c r="G89" s="16">
        <f>'WetLitterbags placem_collection'!E16</f>
        <v>42766</v>
      </c>
      <c r="H89" t="str">
        <f>Wetseason!L15</f>
        <v>G609</v>
      </c>
      <c r="I89" t="str">
        <f>Wetseason!L235</f>
        <v>R382</v>
      </c>
      <c r="J89">
        <f>IFERROR(INDEX('Green_rooibos initial weight'!$C$5:$C$2000,MATCH(H89, 'Green_rooibos initial weight'!$A$5:$A$2000,0)),"")</f>
        <v>2.089</v>
      </c>
      <c r="K89">
        <f>IFERROR(INDEX('Green_rooibos initial weight'!$C$5:$C$2000,MATCH(I89, 'Green_rooibos initial weight'!$A$5:$A$2000,0)),"")</f>
        <v>2.2210000000000001</v>
      </c>
      <c r="L89" s="194">
        <f t="shared" si="2"/>
        <v>1.8391999999999999</v>
      </c>
      <c r="M89" s="194">
        <f t="shared" si="0"/>
        <v>1.9712000000000001</v>
      </c>
      <c r="N89" s="16">
        <f>IF('WetLitterbags placem_collection'!G16="","",'WetLitterbags placem_collection'!G16)</f>
        <v>42818</v>
      </c>
      <c r="O89" s="194">
        <f>IFERROR(INDEX('Both teabags AfterWet'!$C$3:$C$2000,MATCH(H89,'Both teabags AfterWet'!$A$3:$A$2000,0)),"")</f>
        <v>0.498</v>
      </c>
      <c r="P89" s="194">
        <f>IFERROR(INDEX('Both teabags AfterWet'!$C$3:$C$2000,MATCH(I89,'Both teabags AfterWet'!$A$3:$A$2000,0)),"")</f>
        <v>1.794</v>
      </c>
      <c r="Q89" s="194">
        <f t="shared" si="3"/>
        <v>0.34739999999999999</v>
      </c>
      <c r="R89" s="194">
        <f t="shared" si="3"/>
        <v>1.6434</v>
      </c>
      <c r="S89" s="194">
        <f t="shared" si="4"/>
        <v>0.81111352762070466</v>
      </c>
      <c r="T89" s="194">
        <f t="shared" si="5"/>
        <v>0.53175138627865681</v>
      </c>
      <c r="U89" s="194">
        <f t="shared" si="6"/>
        <v>0.8337053571428571</v>
      </c>
      <c r="V89">
        <f t="shared" si="1"/>
        <v>52</v>
      </c>
      <c r="W89" s="194">
        <f t="shared" si="7"/>
        <v>3.6682271234317443E-2</v>
      </c>
      <c r="X89" s="194">
        <f t="shared" si="8"/>
        <v>7.2120795760559787E-3</v>
      </c>
      <c r="Y89" s="245" t="str">
        <f>IF(ISNUMBER(SEARCH("C",'WetLitterbags placem_collection'!$X16)),"YES","NO")</f>
        <v>NO</v>
      </c>
      <c r="Z89" s="245" t="str">
        <f>IF(ISNUMBER(SEARCH("H", 'WetLitterbags placem_collection'!$X16)),"YES","NO")</f>
        <v>NO</v>
      </c>
      <c r="AA89" s="245" t="str">
        <f>IF(ISNUMBER(SEARCH("R", 'WetLitterbags placem_collection'!$X16)),"YES","NO")</f>
        <v>NO</v>
      </c>
      <c r="AB89" s="245" t="str">
        <f>IF(ISNUMBER(SEARCH("C", 'WetLitterbags placem_collection'!$V16)),"YES","NO")</f>
        <v>NO</v>
      </c>
      <c r="AC89" s="245" t="str">
        <f>IF(ISNUMBER(SEARCH("H", 'WetLitterbags placem_collection'!$V16)),"YES","NO")</f>
        <v>NO</v>
      </c>
      <c r="AD89" s="245" t="str">
        <f>IF(ISNUMBER(SEARCH("R", 'WetLitterbags placem_collection'!$V16)),"YES","NO")</f>
        <v>NO</v>
      </c>
    </row>
    <row r="90" spans="2:30">
      <c r="B90" t="str">
        <f>Wetseason!B16</f>
        <v>Wet</v>
      </c>
      <c r="C90" s="253">
        <f>Wetseason!C16</f>
        <v>15</v>
      </c>
      <c r="D90" t="s">
        <v>3103</v>
      </c>
      <c r="E90" t="s">
        <v>22</v>
      </c>
      <c r="F90" s="375">
        <v>7</v>
      </c>
      <c r="G90" s="16">
        <f>'WetLitterbags placem_collection'!E17</f>
        <v>42766</v>
      </c>
      <c r="H90" t="str">
        <f>Wetseason!L16</f>
        <v>G222</v>
      </c>
      <c r="I90" t="str">
        <f>Wetseason!L236</f>
        <v>R415</v>
      </c>
      <c r="J90">
        <f>IFERROR(INDEX('Green_rooibos initial weight'!$C$5:$C$2000,MATCH(H90, 'Green_rooibos initial weight'!$A$5:$A$2000,0)),"")</f>
        <v>1.889</v>
      </c>
      <c r="K90">
        <f>IFERROR(INDEX('Green_rooibos initial weight'!$C$5:$C$2000,MATCH(I90, 'Green_rooibos initial weight'!$A$5:$A$2000,0)),"")</f>
        <v>2.2160000000000002</v>
      </c>
      <c r="L90" s="194">
        <f t="shared" si="2"/>
        <v>1.6392</v>
      </c>
      <c r="M90" s="194">
        <f t="shared" si="0"/>
        <v>1.9662000000000002</v>
      </c>
      <c r="N90" s="16">
        <f>IF('WetLitterbags placem_collection'!G17="","",'WetLitterbags placem_collection'!G17)</f>
        <v>42818</v>
      </c>
      <c r="O90" s="194">
        <f>IFERROR(INDEX('Both teabags AfterWet'!$C$3:$C$2000,MATCH(H90,'Both teabags AfterWet'!$A$3:$A$2000,0)),"")</f>
        <v>0.67100000000000004</v>
      </c>
      <c r="P90" s="194">
        <f>IFERROR(INDEX('Both teabags AfterWet'!$C$3:$C$2000,MATCH(I90,'Both teabags AfterWet'!$A$3:$A$2000,0)),"")</f>
        <v>2.96</v>
      </c>
      <c r="Q90" s="194">
        <f t="shared" si="3"/>
        <v>0.52039999999999997</v>
      </c>
      <c r="R90" s="194">
        <f t="shared" si="3"/>
        <v>2.8094000000000001</v>
      </c>
      <c r="S90" s="194">
        <f t="shared" si="4"/>
        <v>0.68252806246949738</v>
      </c>
      <c r="T90" s="194">
        <f t="shared" si="5"/>
        <v>0.4474530765833285</v>
      </c>
      <c r="U90" s="194">
        <f t="shared" si="6"/>
        <v>1.4288475231410842</v>
      </c>
      <c r="V90">
        <f t="shared" si="1"/>
        <v>52</v>
      </c>
      <c r="W90" s="194">
        <f t="shared" si="7"/>
        <v>0.18939660039252093</v>
      </c>
      <c r="X90" s="194">
        <f t="shared" si="8"/>
        <v>-1.2925721288924656E-2</v>
      </c>
      <c r="Y90" s="245" t="str">
        <f>IF(ISNUMBER(SEARCH("C",'WetLitterbags placem_collection'!$X17)),"YES","NO")</f>
        <v>NO</v>
      </c>
      <c r="Z90" s="245" t="str">
        <f>IF(ISNUMBER(SEARCH("H", 'WetLitterbags placem_collection'!$X17)),"YES","NO")</f>
        <v>NO</v>
      </c>
      <c r="AA90" s="245" t="str">
        <f>IF(ISNUMBER(SEARCH("R", 'WetLitterbags placem_collection'!$X17)),"YES","NO")</f>
        <v>YES</v>
      </c>
      <c r="AB90" s="245" t="str">
        <f>IF(ISNUMBER(SEARCH("C", 'WetLitterbags placem_collection'!$V17)),"YES","NO")</f>
        <v>NO</v>
      </c>
      <c r="AC90" s="245" t="str">
        <f>IF(ISNUMBER(SEARCH("H", 'WetLitterbags placem_collection'!$V17)),"YES","NO")</f>
        <v>NO</v>
      </c>
      <c r="AD90" s="245" t="str">
        <f>IF(ISNUMBER(SEARCH("R", 'WetLitterbags placem_collection'!$V17)),"YES","NO")</f>
        <v>NO</v>
      </c>
    </row>
    <row r="91" spans="2:30">
      <c r="B91" t="str">
        <f>Wetseason!B17</f>
        <v>Wet</v>
      </c>
      <c r="C91" s="253">
        <f>Wetseason!C17</f>
        <v>16</v>
      </c>
      <c r="D91" t="s">
        <v>3103</v>
      </c>
      <c r="E91" t="s">
        <v>22</v>
      </c>
      <c r="F91" s="375">
        <v>8</v>
      </c>
      <c r="G91" s="16">
        <f>'WetLitterbags placem_collection'!E18</f>
        <v>42766</v>
      </c>
      <c r="H91" t="str">
        <f>Wetseason!L17</f>
        <v>G405</v>
      </c>
      <c r="I91" t="str">
        <f>Wetseason!L237</f>
        <v>R519</v>
      </c>
      <c r="J91">
        <f>IFERROR(INDEX('Green_rooibos initial weight'!$C$5:$C$2000,MATCH(H91, 'Green_rooibos initial weight'!$A$5:$A$2000,0)),"")</f>
        <v>2.056</v>
      </c>
      <c r="K91">
        <f>IFERROR(INDEX('Green_rooibos initial weight'!$C$5:$C$2000,MATCH(I91, 'Green_rooibos initial weight'!$A$5:$A$2000,0)),"")</f>
        <v>2.21</v>
      </c>
      <c r="L91" s="194">
        <f t="shared" si="2"/>
        <v>1.8062</v>
      </c>
      <c r="M91" s="194">
        <f t="shared" si="0"/>
        <v>1.9601999999999999</v>
      </c>
      <c r="N91" s="16">
        <f>IF('WetLitterbags placem_collection'!G18="","",'WetLitterbags placem_collection'!G18)</f>
        <v>42818</v>
      </c>
      <c r="O91" s="194">
        <f>IFERROR(INDEX('Both teabags AfterWet'!$C$3:$C$2000,MATCH(H91,'Both teabags AfterWet'!$A$3:$A$2000,0)),"")</f>
        <v>0.70150000000000001</v>
      </c>
      <c r="P91" s="194">
        <f>IFERROR(INDEX('Both teabags AfterWet'!$C$3:$C$2000,MATCH(I91,'Both teabags AfterWet'!$A$3:$A$2000,0)),"")</f>
        <v>1.4281999999999999</v>
      </c>
      <c r="Q91" s="194">
        <f t="shared" si="3"/>
        <v>0.55089999999999995</v>
      </c>
      <c r="R91" s="194">
        <f t="shared" si="3"/>
        <v>1.2775999999999998</v>
      </c>
      <c r="S91" s="194">
        <f t="shared" si="4"/>
        <v>0.69499501716310497</v>
      </c>
      <c r="T91" s="194">
        <f t="shared" si="5"/>
        <v>0.45562618702379337</v>
      </c>
      <c r="U91" s="194">
        <f t="shared" si="6"/>
        <v>0.65177022752780323</v>
      </c>
      <c r="V91">
        <f t="shared" si="1"/>
        <v>52</v>
      </c>
      <c r="W91" s="194">
        <f t="shared" si="7"/>
        <v>0.17459024089892516</v>
      </c>
      <c r="X91" s="194">
        <f t="shared" si="8"/>
        <v>2.7791267510965615E-2</v>
      </c>
      <c r="Y91" s="245" t="str">
        <f>IF(ISNUMBER(SEARCH("C",'WetLitterbags placem_collection'!$X18)),"YES","NO")</f>
        <v>NO</v>
      </c>
      <c r="Z91" s="245" t="str">
        <f>IF(ISNUMBER(SEARCH("H", 'WetLitterbags placem_collection'!$X18)),"YES","NO")</f>
        <v>NO</v>
      </c>
      <c r="AA91" s="245" t="str">
        <f>IF(ISNUMBER(SEARCH("R", 'WetLitterbags placem_collection'!$X18)),"YES","NO")</f>
        <v>YES</v>
      </c>
      <c r="AB91" s="245" t="str">
        <f>IF(ISNUMBER(SEARCH("C", 'WetLitterbags placem_collection'!$V18)),"YES","NO")</f>
        <v>NO</v>
      </c>
      <c r="AC91" s="245" t="str">
        <f>IF(ISNUMBER(SEARCH("H", 'WetLitterbags placem_collection'!$V18)),"YES","NO")</f>
        <v>YES</v>
      </c>
      <c r="AD91" s="245" t="str">
        <f>IF(ISNUMBER(SEARCH("R", 'WetLitterbags placem_collection'!$V18)),"YES","NO")</f>
        <v>YES</v>
      </c>
    </row>
    <row r="92" spans="2:30">
      <c r="B92" t="str">
        <f>Wetseason!B18</f>
        <v>Wet</v>
      </c>
      <c r="C92" s="253">
        <f>Wetseason!C18</f>
        <v>17</v>
      </c>
      <c r="D92" t="s">
        <v>3104</v>
      </c>
      <c r="E92" t="s">
        <v>22</v>
      </c>
      <c r="F92" s="374">
        <v>1</v>
      </c>
      <c r="G92" s="16">
        <f>'WetLitterbags placem_collection'!E19</f>
        <v>42767</v>
      </c>
      <c r="H92" t="str">
        <f>Wetseason!L18</f>
        <v>G571</v>
      </c>
      <c r="I92" t="str">
        <f>Wetseason!L238</f>
        <v>R542</v>
      </c>
      <c r="J92">
        <f>IFERROR(INDEX('Green_rooibos initial weight'!$C$5:$C$2000,MATCH(H92, 'Green_rooibos initial weight'!$A$5:$A$2000,0)),"")</f>
        <v>2.0489999999999999</v>
      </c>
      <c r="K92">
        <f>IFERROR(INDEX('Green_rooibos initial weight'!$C$5:$C$2000,MATCH(I92, 'Green_rooibos initial weight'!$A$5:$A$2000,0)),"")</f>
        <v>2.2010000000000001</v>
      </c>
      <c r="L92" s="194">
        <f t="shared" si="2"/>
        <v>1.7991999999999999</v>
      </c>
      <c r="M92" s="194">
        <f t="shared" si="0"/>
        <v>1.9512</v>
      </c>
      <c r="N92" s="16">
        <f>IF('WetLitterbags placem_collection'!G19="","",'WetLitterbags placem_collection'!G19)</f>
        <v>42818</v>
      </c>
      <c r="O92" s="194">
        <f>IFERROR(INDEX('Both teabags AfterWet'!$C$3:$C$2000,MATCH(H92,'Both teabags AfterWet'!$A$3:$A$2000,0)),"")</f>
        <v>0.67520000000000002</v>
      </c>
      <c r="P92" s="194">
        <f>IFERROR(INDEX('Both teabags AfterWet'!$C$3:$C$2000,MATCH(I92,'Both teabags AfterWet'!$A$3:$A$2000,0)),"")</f>
        <v>1.6227</v>
      </c>
      <c r="Q92" s="194">
        <f t="shared" si="3"/>
        <v>0.52459999999999996</v>
      </c>
      <c r="R92" s="194">
        <f t="shared" si="3"/>
        <v>1.4721</v>
      </c>
      <c r="S92" s="194">
        <f t="shared" si="4"/>
        <v>0.70842596709648742</v>
      </c>
      <c r="T92" s="194">
        <f t="shared" si="5"/>
        <v>0.46443127534116524</v>
      </c>
      <c r="U92" s="194">
        <f t="shared" si="6"/>
        <v>0.75445879458794585</v>
      </c>
      <c r="V92">
        <f t="shared" si="1"/>
        <v>51</v>
      </c>
      <c r="W92" s="194">
        <f t="shared" si="7"/>
        <v>0.15863899394716452</v>
      </c>
      <c r="X92" s="194">
        <f t="shared" si="8"/>
        <v>1.474988143638249E-2</v>
      </c>
      <c r="Y92" s="245" t="str">
        <f>IF(ISNUMBER(SEARCH("C",'WetLitterbags placem_collection'!$X19)),"YES","NO")</f>
        <v>NO</v>
      </c>
      <c r="Z92" s="245" t="str">
        <f>IF(ISNUMBER(SEARCH("H", 'WetLitterbags placem_collection'!$X19)),"YES","NO")</f>
        <v>NO</v>
      </c>
      <c r="AA92" s="245" t="str">
        <f>IF(ISNUMBER(SEARCH("R", 'WetLitterbags placem_collection'!$X19)),"YES","NO")</f>
        <v>YES</v>
      </c>
      <c r="AB92" s="245" t="str">
        <f>IF(ISNUMBER(SEARCH("C", 'WetLitterbags placem_collection'!$V19)),"YES","NO")</f>
        <v>NO</v>
      </c>
      <c r="AC92" s="245" t="str">
        <f>IF(ISNUMBER(SEARCH("H", 'WetLitterbags placem_collection'!$V19)),"YES","NO")</f>
        <v>NO</v>
      </c>
      <c r="AD92" s="245" t="str">
        <f>IF(ISNUMBER(SEARCH("R", 'WetLitterbags placem_collection'!$V19)),"YES","NO")</f>
        <v>NO</v>
      </c>
    </row>
    <row r="93" spans="2:30">
      <c r="B93" t="str">
        <f>Wetseason!B19</f>
        <v>Wet</v>
      </c>
      <c r="C93" s="253">
        <f>Wetseason!C19</f>
        <v>18</v>
      </c>
      <c r="D93" t="s">
        <v>3104</v>
      </c>
      <c r="E93" t="s">
        <v>22</v>
      </c>
      <c r="F93" s="374">
        <v>2</v>
      </c>
      <c r="G93" s="16">
        <f>'WetLitterbags placem_collection'!E20</f>
        <v>42767</v>
      </c>
      <c r="H93" t="str">
        <f>Wetseason!L19</f>
        <v>G419</v>
      </c>
      <c r="I93" t="str">
        <f>Wetseason!L239</f>
        <v>R128</v>
      </c>
      <c r="J93">
        <f>IFERROR(INDEX('Green_rooibos initial weight'!$C$5:$C$2000,MATCH(H93, 'Green_rooibos initial weight'!$A$5:$A$2000,0)),"")</f>
        <v>2.0779999999999998</v>
      </c>
      <c r="K93">
        <f>IFERROR(INDEX('Green_rooibos initial weight'!$C$5:$C$2000,MATCH(I93, 'Green_rooibos initial weight'!$A$5:$A$2000,0)),"")</f>
        <v>2.2370000000000001</v>
      </c>
      <c r="L93" s="194">
        <f t="shared" si="2"/>
        <v>1.8281999999999998</v>
      </c>
      <c r="M93" s="194">
        <f t="shared" si="0"/>
        <v>1.9872000000000001</v>
      </c>
      <c r="N93" s="16">
        <f>IF('WetLitterbags placem_collection'!G20="","",'WetLitterbags placem_collection'!G20)</f>
        <v>42818</v>
      </c>
      <c r="O93" s="194">
        <f>IFERROR(INDEX('Both teabags AfterWet'!$C$3:$C$2000,MATCH(H93,'Both teabags AfterWet'!$A$3:$A$2000,0)),"")</f>
        <v>0.79100000000000004</v>
      </c>
      <c r="P93" s="194">
        <f>IFERROR(INDEX('Both teabags AfterWet'!$C$3:$C$2000,MATCH(I93,'Both teabags AfterWet'!$A$3:$A$2000,0)),"")</f>
        <v>1.79</v>
      </c>
      <c r="Q93" s="194">
        <f t="shared" si="3"/>
        <v>0.64040000000000008</v>
      </c>
      <c r="R93" s="194">
        <f t="shared" si="3"/>
        <v>1.6394</v>
      </c>
      <c r="S93" s="194">
        <f t="shared" si="4"/>
        <v>0.64971009736352681</v>
      </c>
      <c r="T93" s="194">
        <f t="shared" si="5"/>
        <v>0.42593821109817914</v>
      </c>
      <c r="U93" s="194">
        <f t="shared" si="6"/>
        <v>0.82497987117552329</v>
      </c>
      <c r="V93">
        <f t="shared" si="1"/>
        <v>51</v>
      </c>
      <c r="W93" s="194">
        <f t="shared" si="7"/>
        <v>0.22837280598155962</v>
      </c>
      <c r="X93" s="194">
        <f t="shared" si="8"/>
        <v>1.0375838646262188E-2</v>
      </c>
      <c r="Y93" s="245" t="str">
        <f>IF(ISNUMBER(SEARCH("C",'WetLitterbags placem_collection'!$X20)),"YES","NO")</f>
        <v>NO</v>
      </c>
      <c r="Z93" s="245" t="str">
        <f>IF(ISNUMBER(SEARCH("H", 'WetLitterbags placem_collection'!$X20)),"YES","NO")</f>
        <v>NO</v>
      </c>
      <c r="AA93" s="245" t="str">
        <f>IF(ISNUMBER(SEARCH("R", 'WetLitterbags placem_collection'!$X20)),"YES","NO")</f>
        <v>YES</v>
      </c>
      <c r="AB93" s="245" t="str">
        <f>IF(ISNUMBER(SEARCH("C", 'WetLitterbags placem_collection'!$V20)),"YES","NO")</f>
        <v>NO</v>
      </c>
      <c r="AC93" s="245" t="str">
        <f>IF(ISNUMBER(SEARCH("H", 'WetLitterbags placem_collection'!$V20)),"YES","NO")</f>
        <v>NO</v>
      </c>
      <c r="AD93" s="245" t="str">
        <f>IF(ISNUMBER(SEARCH("R", 'WetLitterbags placem_collection'!$V20)),"YES","NO")</f>
        <v>YES</v>
      </c>
    </row>
    <row r="94" spans="2:30">
      <c r="B94" t="str">
        <f>Wetseason!B20</f>
        <v>Wet</v>
      </c>
      <c r="C94" s="253">
        <f>Wetseason!C20</f>
        <v>19</v>
      </c>
      <c r="D94" t="s">
        <v>3104</v>
      </c>
      <c r="E94" t="s">
        <v>22</v>
      </c>
      <c r="F94" s="374">
        <v>3</v>
      </c>
      <c r="G94" s="16">
        <f>'WetLitterbags placem_collection'!E21</f>
        <v>42767</v>
      </c>
      <c r="H94" t="str">
        <f>Wetseason!L20</f>
        <v>G240</v>
      </c>
      <c r="I94" t="str">
        <f>Wetseason!L240</f>
        <v>R82</v>
      </c>
      <c r="J94">
        <f>IFERROR(INDEX('Green_rooibos initial weight'!$C$5:$C$2000,MATCH(H94, 'Green_rooibos initial weight'!$A$5:$A$2000,0)),"")</f>
        <v>2.117</v>
      </c>
      <c r="K94">
        <f>IFERROR(INDEX('Green_rooibos initial weight'!$C$5:$C$2000,MATCH(I94, 'Green_rooibos initial weight'!$A$5:$A$2000,0)),"")</f>
        <v>2.2490000000000001</v>
      </c>
      <c r="L94" s="194">
        <f t="shared" si="2"/>
        <v>1.8672</v>
      </c>
      <c r="M94" s="194">
        <f t="shared" si="0"/>
        <v>1.9992000000000001</v>
      </c>
      <c r="N94" s="16">
        <f>IF('WetLitterbags placem_collection'!G21="","",'WetLitterbags placem_collection'!G21)</f>
        <v>42818</v>
      </c>
      <c r="O94" s="194">
        <f>IFERROR(INDEX('Both teabags AfterWet'!$C$3:$C$2000,MATCH(H94,'Both teabags AfterWet'!$A$3:$A$2000,0)),"")</f>
        <v>0.88690000000000002</v>
      </c>
      <c r="P94" s="194">
        <f>IFERROR(INDEX('Both teabags AfterWet'!$C$3:$C$2000,MATCH(I94,'Both teabags AfterWet'!$A$3:$A$2000,0)),"")</f>
        <v>1.514</v>
      </c>
      <c r="Q94" s="194">
        <f t="shared" si="3"/>
        <v>0.73629999999999995</v>
      </c>
      <c r="R94" s="194">
        <f t="shared" si="3"/>
        <v>1.3633999999999999</v>
      </c>
      <c r="S94" s="194">
        <f t="shared" si="4"/>
        <v>0.60566623821765209</v>
      </c>
      <c r="T94" s="194">
        <f t="shared" si="5"/>
        <v>0.39706385213318768</v>
      </c>
      <c r="U94" s="194">
        <f t="shared" si="6"/>
        <v>0.68197278911564618</v>
      </c>
      <c r="V94">
        <f t="shared" si="1"/>
        <v>51</v>
      </c>
      <c r="W94" s="194">
        <f t="shared" si="7"/>
        <v>0.28068142729494994</v>
      </c>
      <c r="X94" s="194">
        <f t="shared" si="8"/>
        <v>3.1650696983267168E-2</v>
      </c>
      <c r="Y94" s="245" t="str">
        <f>IF(ISNUMBER(SEARCH("C",'WetLitterbags placem_collection'!$X21)),"YES","NO")</f>
        <v>NO</v>
      </c>
      <c r="Z94" s="245" t="str">
        <f>IF(ISNUMBER(SEARCH("H", 'WetLitterbags placem_collection'!$X21)),"YES","NO")</f>
        <v>NO</v>
      </c>
      <c r="AA94" s="245" t="str">
        <f>IF(ISNUMBER(SEARCH("R", 'WetLitterbags placem_collection'!$X21)),"YES","NO")</f>
        <v>NO</v>
      </c>
      <c r="AB94" s="245" t="str">
        <f>IF(ISNUMBER(SEARCH("C", 'WetLitterbags placem_collection'!$V21)),"YES","NO")</f>
        <v>NO</v>
      </c>
      <c r="AC94" s="245" t="str">
        <f>IF(ISNUMBER(SEARCH("H", 'WetLitterbags placem_collection'!$V21)),"YES","NO")</f>
        <v>NO</v>
      </c>
      <c r="AD94" s="245" t="str">
        <f>IF(ISNUMBER(SEARCH("R", 'WetLitterbags placem_collection'!$V21)),"YES","NO")</f>
        <v>NO</v>
      </c>
    </row>
    <row r="95" spans="2:30">
      <c r="B95" t="str">
        <f>Wetseason!B21</f>
        <v>Wet</v>
      </c>
      <c r="C95" s="253">
        <f>Wetseason!C21</f>
        <v>20</v>
      </c>
      <c r="D95" t="s">
        <v>3104</v>
      </c>
      <c r="E95" t="s">
        <v>22</v>
      </c>
      <c r="F95" s="375">
        <v>4</v>
      </c>
      <c r="G95" s="16">
        <f>'WetLitterbags placem_collection'!E22</f>
        <v>42767</v>
      </c>
      <c r="H95" t="str">
        <f>Wetseason!L21</f>
        <v>G524</v>
      </c>
      <c r="I95" t="str">
        <f>Wetseason!L241</f>
        <v>R50</v>
      </c>
      <c r="J95">
        <f>IFERROR(INDEX('Green_rooibos initial weight'!$C$5:$C$2000,MATCH(H95, 'Green_rooibos initial weight'!$A$5:$A$2000,0)),"")</f>
        <v>1.962</v>
      </c>
      <c r="K95">
        <f>IFERROR(INDEX('Green_rooibos initial weight'!$C$5:$C$2000,MATCH(I95, 'Green_rooibos initial weight'!$A$5:$A$2000,0)),"")</f>
        <v>2.2490000000000001</v>
      </c>
      <c r="L95" s="194">
        <f t="shared" si="2"/>
        <v>1.7121999999999999</v>
      </c>
      <c r="M95" s="194">
        <f t="shared" si="0"/>
        <v>1.9992000000000001</v>
      </c>
      <c r="N95" s="16">
        <f>IF('WetLitterbags placem_collection'!G22="","",'WetLitterbags placem_collection'!G22)</f>
        <v>42818</v>
      </c>
      <c r="O95" s="194">
        <f>IFERROR(INDEX('Both teabags AfterWet'!$C$3:$C$2000,MATCH(H95,'Both teabags AfterWet'!$A$3:$A$2000,0)),"")</f>
        <v>0.71609999999999996</v>
      </c>
      <c r="P95" s="194">
        <f>IFERROR(INDEX('Both teabags AfterWet'!$C$3:$C$2000,MATCH(I95,'Both teabags AfterWet'!$A$3:$A$2000,0)),"")</f>
        <v>1.51</v>
      </c>
      <c r="Q95" s="194">
        <f t="shared" si="3"/>
        <v>0.56549999999999989</v>
      </c>
      <c r="R95" s="194">
        <f t="shared" si="3"/>
        <v>1.3593999999999999</v>
      </c>
      <c r="S95" s="194">
        <f t="shared" si="4"/>
        <v>0.66972316318187131</v>
      </c>
      <c r="T95" s="194">
        <f t="shared" si="5"/>
        <v>0.43905841576768762</v>
      </c>
      <c r="U95" s="194">
        <f t="shared" si="6"/>
        <v>0.67997198879551812</v>
      </c>
      <c r="V95">
        <f t="shared" si="1"/>
        <v>51</v>
      </c>
      <c r="W95" s="194">
        <f t="shared" si="7"/>
        <v>0.20460431926143552</v>
      </c>
      <c r="X95" s="194">
        <f t="shared" si="8"/>
        <v>2.5593206053819834E-2</v>
      </c>
      <c r="Y95" s="245" t="str">
        <f>IF(ISNUMBER(SEARCH("C",'WetLitterbags placem_collection'!$X22)),"YES","NO")</f>
        <v>NO</v>
      </c>
      <c r="Z95" s="245" t="str">
        <f>IF(ISNUMBER(SEARCH("H", 'WetLitterbags placem_collection'!$X22)),"YES","NO")</f>
        <v>NO</v>
      </c>
      <c r="AA95" s="245" t="str">
        <f>IF(ISNUMBER(SEARCH("R", 'WetLitterbags placem_collection'!$X22)),"YES","NO")</f>
        <v>NO</v>
      </c>
      <c r="AB95" s="245" t="str">
        <f>IF(ISNUMBER(SEARCH("C", 'WetLitterbags placem_collection'!$V22)),"YES","NO")</f>
        <v>NO</v>
      </c>
      <c r="AC95" s="245" t="str">
        <f>IF(ISNUMBER(SEARCH("H", 'WetLitterbags placem_collection'!$V22)),"YES","NO")</f>
        <v>NO</v>
      </c>
      <c r="AD95" s="245" t="str">
        <f>IF(ISNUMBER(SEARCH("R", 'WetLitterbags placem_collection'!$V22)),"YES","NO")</f>
        <v>NO</v>
      </c>
    </row>
    <row r="96" spans="2:30">
      <c r="B96" t="str">
        <f>Wetseason!B22</f>
        <v>Wet</v>
      </c>
      <c r="C96" s="253">
        <f>Wetseason!C22</f>
        <v>21</v>
      </c>
      <c r="D96" t="s">
        <v>3104</v>
      </c>
      <c r="E96" t="s">
        <v>22</v>
      </c>
      <c r="F96" s="375">
        <v>5</v>
      </c>
      <c r="G96" s="16">
        <f>'WetLitterbags placem_collection'!E23</f>
        <v>42767</v>
      </c>
      <c r="H96" t="str">
        <f>Wetseason!L22</f>
        <v>G699</v>
      </c>
      <c r="I96" t="str">
        <f>Wetseason!L242</f>
        <v>R529</v>
      </c>
      <c r="J96">
        <f>IFERROR(INDEX('Green_rooibos initial weight'!$C$5:$C$2000,MATCH(H96, 'Green_rooibos initial weight'!$A$5:$A$2000,0)),"")</f>
        <v>1.984</v>
      </c>
      <c r="K96">
        <f>IFERROR(INDEX('Green_rooibos initial weight'!$C$5:$C$2000,MATCH(I96, 'Green_rooibos initial weight'!$A$5:$A$2000,0)),"")</f>
        <v>2.157</v>
      </c>
      <c r="L96" s="194">
        <f t="shared" si="2"/>
        <v>1.7342</v>
      </c>
      <c r="M96" s="194">
        <f t="shared" si="0"/>
        <v>1.9072</v>
      </c>
      <c r="N96" s="16">
        <f>IF('WetLitterbags placem_collection'!G23="","",'WetLitterbags placem_collection'!G23)</f>
        <v>42818</v>
      </c>
      <c r="O96" s="194">
        <f>IFERROR(INDEX('Both teabags AfterWet'!$C$3:$C$2000,MATCH(H96,'Both teabags AfterWet'!$A$3:$A$2000,0)),"")</f>
        <v>0.7389</v>
      </c>
      <c r="P96" s="194">
        <f>IFERROR(INDEX('Both teabags AfterWet'!$C$3:$C$2000,MATCH(I96,'Both teabags AfterWet'!$A$3:$A$2000,0)),"")</f>
        <v>1.4387000000000001</v>
      </c>
      <c r="Q96" s="194">
        <f t="shared" si="3"/>
        <v>0.58830000000000005</v>
      </c>
      <c r="R96" s="194">
        <f t="shared" si="3"/>
        <v>1.2881</v>
      </c>
      <c r="S96" s="194">
        <f t="shared" si="4"/>
        <v>0.66076577096067346</v>
      </c>
      <c r="T96" s="194">
        <f t="shared" si="5"/>
        <v>0.43318611112861255</v>
      </c>
      <c r="U96" s="194">
        <f t="shared" si="6"/>
        <v>0.6753880033557047</v>
      </c>
      <c r="V96">
        <f t="shared" si="1"/>
        <v>51</v>
      </c>
      <c r="W96" s="194">
        <f t="shared" si="7"/>
        <v>0.21524255230323819</v>
      </c>
      <c r="X96" s="194">
        <f t="shared" si="8"/>
        <v>2.7132047665016409E-2</v>
      </c>
      <c r="Y96" s="245" t="str">
        <f>IF(ISNUMBER(SEARCH("C",'WetLitterbags placem_collection'!$X23)),"YES","NO")</f>
        <v>NO</v>
      </c>
      <c r="Z96" s="245" t="str">
        <f>IF(ISNUMBER(SEARCH("H", 'WetLitterbags placem_collection'!$X23)),"YES","NO")</f>
        <v>NO</v>
      </c>
      <c r="AA96" s="245" t="str">
        <f>IF(ISNUMBER(SEARCH("R", 'WetLitterbags placem_collection'!$X23)),"YES","NO")</f>
        <v>NO</v>
      </c>
      <c r="AB96" s="245" t="str">
        <f>IF(ISNUMBER(SEARCH("C", 'WetLitterbags placem_collection'!$V23)),"YES","NO")</f>
        <v>NO</v>
      </c>
      <c r="AC96" s="245" t="str">
        <f>IF(ISNUMBER(SEARCH("H", 'WetLitterbags placem_collection'!$V23)),"YES","NO")</f>
        <v>NO</v>
      </c>
      <c r="AD96" s="245" t="str">
        <f>IF(ISNUMBER(SEARCH("R", 'WetLitterbags placem_collection'!$V23)),"YES","NO")</f>
        <v>YES</v>
      </c>
    </row>
    <row r="97" spans="2:30">
      <c r="B97" t="str">
        <f>Wetseason!B23</f>
        <v>Wet</v>
      </c>
      <c r="C97" s="253">
        <f>Wetseason!C23</f>
        <v>22</v>
      </c>
      <c r="D97" t="s">
        <v>3104</v>
      </c>
      <c r="E97" t="s">
        <v>22</v>
      </c>
      <c r="F97" s="375">
        <v>6</v>
      </c>
      <c r="G97" s="16">
        <f>'WetLitterbags placem_collection'!E24</f>
        <v>42767</v>
      </c>
      <c r="H97" t="str">
        <f>Wetseason!L23</f>
        <v>G575</v>
      </c>
      <c r="I97" t="str">
        <f>Wetseason!L243</f>
        <v>R363</v>
      </c>
      <c r="J97">
        <f>IFERROR(INDEX('Green_rooibos initial weight'!$C$5:$C$2000,MATCH(H97, 'Green_rooibos initial weight'!$A$5:$A$2000,0)),"")</f>
        <v>1.9970000000000001</v>
      </c>
      <c r="K97">
        <f>IFERROR(INDEX('Green_rooibos initial weight'!$C$5:$C$2000,MATCH(I97, 'Green_rooibos initial weight'!$A$5:$A$2000,0)),"")</f>
        <v>2.1659999999999999</v>
      </c>
      <c r="L97" s="194">
        <f t="shared" si="2"/>
        <v>1.7472000000000001</v>
      </c>
      <c r="M97" s="194">
        <f t="shared" si="0"/>
        <v>1.9161999999999999</v>
      </c>
      <c r="N97" s="16">
        <f>IF('WetLitterbags placem_collection'!G24="","",'WetLitterbags placem_collection'!G24)</f>
        <v>42818</v>
      </c>
      <c r="O97" s="194">
        <f>IFERROR(INDEX('Both teabags AfterWet'!$C$3:$C$2000,MATCH(H97,'Both teabags AfterWet'!$A$3:$A$2000,0)),"")</f>
        <v>0.74019999999999997</v>
      </c>
      <c r="P97" s="194">
        <f>IFERROR(INDEX('Both teabags AfterWet'!$C$3:$C$2000,MATCH(I97,'Both teabags AfterWet'!$A$3:$A$2000,0)),"")</f>
        <v>1.5164</v>
      </c>
      <c r="Q97" s="194">
        <f t="shared" si="3"/>
        <v>0.5895999999999999</v>
      </c>
      <c r="R97" s="194">
        <f t="shared" si="3"/>
        <v>1.3657999999999999</v>
      </c>
      <c r="S97" s="194">
        <f t="shared" si="4"/>
        <v>0.66254578754578763</v>
      </c>
      <c r="T97" s="194">
        <f t="shared" si="5"/>
        <v>0.43435305786849737</v>
      </c>
      <c r="U97" s="194">
        <f t="shared" si="6"/>
        <v>0.71276484709320531</v>
      </c>
      <c r="V97">
        <f t="shared" si="1"/>
        <v>51</v>
      </c>
      <c r="W97" s="194">
        <f t="shared" si="7"/>
        <v>0.21312851835417146</v>
      </c>
      <c r="X97" s="194">
        <f t="shared" si="8"/>
        <v>2.1227909037752256E-2</v>
      </c>
      <c r="Y97" s="245" t="str">
        <f>IF(ISNUMBER(SEARCH("C",'WetLitterbags placem_collection'!$X24)),"YES","NO")</f>
        <v>NO</v>
      </c>
      <c r="Z97" s="245" t="str">
        <f>IF(ISNUMBER(SEARCH("H", 'WetLitterbags placem_collection'!$X24)),"YES","NO")</f>
        <v>NO</v>
      </c>
      <c r="AA97" s="245" t="str">
        <f>IF(ISNUMBER(SEARCH("R", 'WetLitterbags placem_collection'!$X24)),"YES","NO")</f>
        <v>NO</v>
      </c>
      <c r="AB97" s="245" t="str">
        <f>IF(ISNUMBER(SEARCH("C", 'WetLitterbags placem_collection'!$V24)),"YES","NO")</f>
        <v>NO</v>
      </c>
      <c r="AC97" s="245" t="str">
        <f>IF(ISNUMBER(SEARCH("H", 'WetLitterbags placem_collection'!$V24)),"YES","NO")</f>
        <v>NO</v>
      </c>
      <c r="AD97" s="245" t="str">
        <f>IF(ISNUMBER(SEARCH("R", 'WetLitterbags placem_collection'!$V24)),"YES","NO")</f>
        <v>YES</v>
      </c>
    </row>
    <row r="98" spans="2:30">
      <c r="B98" t="str">
        <f>Wetseason!B24</f>
        <v>Wet</v>
      </c>
      <c r="C98" s="253">
        <f>Wetseason!C24</f>
        <v>23</v>
      </c>
      <c r="D98" t="s">
        <v>3104</v>
      </c>
      <c r="E98" t="s">
        <v>22</v>
      </c>
      <c r="F98" s="375">
        <v>7</v>
      </c>
      <c r="G98" s="16">
        <f>'WetLitterbags placem_collection'!E25</f>
        <v>42767</v>
      </c>
      <c r="H98" t="str">
        <f>Wetseason!L24</f>
        <v>G492</v>
      </c>
      <c r="I98" t="str">
        <f>Wetseason!L244</f>
        <v>R190</v>
      </c>
      <c r="J98">
        <f>IFERROR(INDEX('Green_rooibos initial weight'!$C$5:$C$2000,MATCH(H98, 'Green_rooibos initial weight'!$A$5:$A$2000,0)),"")</f>
        <v>1.948</v>
      </c>
      <c r="K98">
        <f>IFERROR(INDEX('Green_rooibos initial weight'!$C$5:$C$2000,MATCH(I98, 'Green_rooibos initial weight'!$A$5:$A$2000,0)),"")</f>
        <v>2.2240000000000002</v>
      </c>
      <c r="L98" s="194">
        <f t="shared" si="2"/>
        <v>1.6981999999999999</v>
      </c>
      <c r="M98" s="194">
        <f t="shared" si="0"/>
        <v>1.9742000000000002</v>
      </c>
      <c r="N98" s="16">
        <f>IF('WetLitterbags placem_collection'!G25="","",'WetLitterbags placem_collection'!G25)</f>
        <v>42818</v>
      </c>
      <c r="O98" s="194">
        <f>IFERROR(INDEX('Both teabags AfterWet'!$C$3:$C$2000,MATCH(H98,'Both teabags AfterWet'!$A$3:$A$2000,0)),"")</f>
        <v>0.76959999999999995</v>
      </c>
      <c r="P98" s="194">
        <f>IFERROR(INDEX('Both teabags AfterWet'!$C$3:$C$2000,MATCH(I98,'Both teabags AfterWet'!$A$3:$A$2000,0)),"")</f>
        <v>1.5019</v>
      </c>
      <c r="Q98" s="194">
        <f t="shared" si="3"/>
        <v>0.61899999999999999</v>
      </c>
      <c r="R98" s="194">
        <f t="shared" si="3"/>
        <v>1.3512999999999999</v>
      </c>
      <c r="S98" s="194">
        <f t="shared" si="4"/>
        <v>0.63549640796137086</v>
      </c>
      <c r="T98" s="194">
        <f t="shared" si="5"/>
        <v>0.41661997291529307</v>
      </c>
      <c r="U98" s="194">
        <f t="shared" si="6"/>
        <v>0.68447978928173425</v>
      </c>
      <c r="V98">
        <f t="shared" si="1"/>
        <v>51</v>
      </c>
      <c r="W98" s="194">
        <f t="shared" si="7"/>
        <v>0.24525367225490391</v>
      </c>
      <c r="X98" s="194">
        <f t="shared" si="8"/>
        <v>2.7766013656422357E-2</v>
      </c>
      <c r="Y98" s="245" t="str">
        <f>IF(ISNUMBER(SEARCH("C",'WetLitterbags placem_collection'!$X25)),"YES","NO")</f>
        <v>NO</v>
      </c>
      <c r="Z98" s="245" t="str">
        <f>IF(ISNUMBER(SEARCH("H", 'WetLitterbags placem_collection'!$X25)),"YES","NO")</f>
        <v>NO</v>
      </c>
      <c r="AA98" s="245" t="str">
        <f>IF(ISNUMBER(SEARCH("R", 'WetLitterbags placem_collection'!$X25)),"YES","NO")</f>
        <v>NO</v>
      </c>
      <c r="AB98" s="245" t="str">
        <f>IF(ISNUMBER(SEARCH("C", 'WetLitterbags placem_collection'!$V25)),"YES","NO")</f>
        <v>NO</v>
      </c>
      <c r="AC98" s="245" t="str">
        <f>IF(ISNUMBER(SEARCH("H", 'WetLitterbags placem_collection'!$V25)),"YES","NO")</f>
        <v>NO</v>
      </c>
      <c r="AD98" s="245" t="str">
        <f>IF(ISNUMBER(SEARCH("R", 'WetLitterbags placem_collection'!$V25)),"YES","NO")</f>
        <v>YES</v>
      </c>
    </row>
    <row r="99" spans="2:30">
      <c r="B99" t="str">
        <f>Wetseason!B25</f>
        <v>Wet</v>
      </c>
      <c r="C99" s="253">
        <f>Wetseason!C25</f>
        <v>24</v>
      </c>
      <c r="D99" t="s">
        <v>3104</v>
      </c>
      <c r="E99" t="s">
        <v>22</v>
      </c>
      <c r="F99" s="375">
        <v>8</v>
      </c>
      <c r="G99" s="16">
        <f>'WetLitterbags placem_collection'!E26</f>
        <v>42767</v>
      </c>
      <c r="H99" t="str">
        <f>Wetseason!L25</f>
        <v>G813</v>
      </c>
      <c r="I99" t="str">
        <f>Wetseason!L245</f>
        <v>R144</v>
      </c>
      <c r="J99">
        <f>IFERROR(INDEX('Green_rooibos initial weight'!$C$5:$C$2000,MATCH(H99, 'Green_rooibos initial weight'!$A$5:$A$2000,0)),"")</f>
        <v>1.9550000000000001</v>
      </c>
      <c r="K99">
        <f>IFERROR(INDEX('Green_rooibos initial weight'!$C$5:$C$2000,MATCH(I99, 'Green_rooibos initial weight'!$A$5:$A$2000,0)),"")</f>
        <v>2.1429999999999998</v>
      </c>
      <c r="L99" s="194">
        <f t="shared" si="2"/>
        <v>1.7052</v>
      </c>
      <c r="M99" s="194">
        <f t="shared" si="0"/>
        <v>1.8931999999999998</v>
      </c>
      <c r="N99" s="16">
        <f>IF('WetLitterbags placem_collection'!G26="","",'WetLitterbags placem_collection'!G26)</f>
        <v>42818</v>
      </c>
      <c r="O99" s="194">
        <f>IFERROR(INDEX('Both teabags AfterWet'!$C$3:$C$2000,MATCH(H99,'Both teabags AfterWet'!$A$3:$A$2000,0)),"")</f>
        <v>0.74790000000000001</v>
      </c>
      <c r="P99" s="194">
        <f>IFERROR(INDEX('Both teabags AfterWet'!$C$3:$C$2000,MATCH(I99,'Both teabags AfterWet'!$A$3:$A$2000,0)),"")</f>
        <v>1.6077999999999999</v>
      </c>
      <c r="Q99" s="194">
        <f t="shared" si="3"/>
        <v>0.59729999999999994</v>
      </c>
      <c r="R99" s="194">
        <f t="shared" si="3"/>
        <v>1.4571999999999998</v>
      </c>
      <c r="S99" s="194">
        <f t="shared" si="4"/>
        <v>0.64971850809289244</v>
      </c>
      <c r="T99" s="194">
        <f t="shared" si="5"/>
        <v>0.42594372502051864</v>
      </c>
      <c r="U99" s="194">
        <f t="shared" si="6"/>
        <v>0.76970209169659831</v>
      </c>
      <c r="V99">
        <f t="shared" si="1"/>
        <v>51</v>
      </c>
      <c r="W99" s="194">
        <f t="shared" si="7"/>
        <v>0.22836281699181415</v>
      </c>
      <c r="X99" s="194">
        <f t="shared" si="8"/>
        <v>1.5254926856585081E-2</v>
      </c>
      <c r="Y99" s="245" t="str">
        <f>IF(ISNUMBER(SEARCH("C",'WetLitterbags placem_collection'!$X26)),"YES","NO")</f>
        <v>NO</v>
      </c>
      <c r="Z99" s="245" t="str">
        <f>IF(ISNUMBER(SEARCH("H", 'WetLitterbags placem_collection'!$X26)),"YES","NO")</f>
        <v>NO</v>
      </c>
      <c r="AA99" s="245" t="str">
        <f>IF(ISNUMBER(SEARCH("R", 'WetLitterbags placem_collection'!$X26)),"YES","NO")</f>
        <v>NO</v>
      </c>
      <c r="AB99" s="245" t="str">
        <f>IF(ISNUMBER(SEARCH("C", 'WetLitterbags placem_collection'!$V26)),"YES","NO")</f>
        <v>NO</v>
      </c>
      <c r="AC99" s="245" t="str">
        <f>IF(ISNUMBER(SEARCH("H", 'WetLitterbags placem_collection'!$V26)),"YES","NO")</f>
        <v>NO</v>
      </c>
      <c r="AD99" s="245" t="str">
        <f>IF(ISNUMBER(SEARCH("R", 'WetLitterbags placem_collection'!$V26)),"YES","NO")</f>
        <v>YES</v>
      </c>
    </row>
    <row r="100" spans="2:30">
      <c r="B100" t="str">
        <f>Wetseason!B26</f>
        <v>Wet</v>
      </c>
      <c r="C100" s="253">
        <f>Wetseason!C26</f>
        <v>25</v>
      </c>
      <c r="D100" t="s">
        <v>3105</v>
      </c>
      <c r="E100" t="s">
        <v>22</v>
      </c>
      <c r="F100" s="374">
        <v>1</v>
      </c>
      <c r="G100" s="16">
        <f>'WetLitterbags placem_collection'!E27</f>
        <v>42767</v>
      </c>
      <c r="H100" t="str">
        <f>Wetseason!L26</f>
        <v>G406</v>
      </c>
      <c r="I100" t="str">
        <f>Wetseason!L246</f>
        <v>R279</v>
      </c>
      <c r="J100">
        <f>IFERROR(INDEX('Green_rooibos initial weight'!$C$5:$C$2000,MATCH(H100, 'Green_rooibos initial weight'!$A$5:$A$2000,0)),"")</f>
        <v>2.0910000000000002</v>
      </c>
      <c r="K100">
        <f>IFERROR(INDEX('Green_rooibos initial weight'!$C$5:$C$2000,MATCH(I100, 'Green_rooibos initial weight'!$A$5:$A$2000,0)),"")</f>
        <v>2.161</v>
      </c>
      <c r="L100" s="194">
        <f t="shared" si="2"/>
        <v>1.8412000000000002</v>
      </c>
      <c r="M100" s="194">
        <f t="shared" si="0"/>
        <v>1.9112</v>
      </c>
      <c r="N100" s="16">
        <f>IF('WetLitterbags placem_collection'!G27="","",'WetLitterbags placem_collection'!G27)</f>
        <v>42818</v>
      </c>
      <c r="O100" s="194">
        <f>IFERROR(INDEX('Both teabags AfterWet'!$C$3:$C$2000,MATCH(H100,'Both teabags AfterWet'!$A$3:$A$2000,0)),"")</f>
        <v>0.68400000000000005</v>
      </c>
      <c r="P100" s="194">
        <f>IFERROR(INDEX('Both teabags AfterWet'!$C$3:$C$2000,MATCH(I100,'Both teabags AfterWet'!$A$3:$A$2000,0)),"")</f>
        <v>1.6192</v>
      </c>
      <c r="Q100" s="194">
        <f t="shared" si="3"/>
        <v>0.5334000000000001</v>
      </c>
      <c r="R100" s="194">
        <f t="shared" si="3"/>
        <v>1.4685999999999999</v>
      </c>
      <c r="S100" s="194">
        <f t="shared" si="4"/>
        <v>0.71029763197914408</v>
      </c>
      <c r="T100" s="194">
        <f t="shared" si="5"/>
        <v>0.4656583050504603</v>
      </c>
      <c r="U100" s="194">
        <f t="shared" si="6"/>
        <v>0.76841774801172036</v>
      </c>
      <c r="V100">
        <f t="shared" si="1"/>
        <v>51</v>
      </c>
      <c r="W100" s="194">
        <f t="shared" si="7"/>
        <v>0.15641611403902123</v>
      </c>
      <c r="X100" s="194">
        <f t="shared" si="8"/>
        <v>1.348639291298751E-2</v>
      </c>
      <c r="Y100" s="245" t="str">
        <f>IF(ISNUMBER(SEARCH("C",'WetLitterbags placem_collection'!$X27)),"YES","NO")</f>
        <v>NO</v>
      </c>
      <c r="Z100" s="245" t="str">
        <f>IF(ISNUMBER(SEARCH("H", 'WetLitterbags placem_collection'!$X27)),"YES","NO")</f>
        <v>NO</v>
      </c>
      <c r="AA100" s="245" t="str">
        <f>IF(ISNUMBER(SEARCH("R", 'WetLitterbags placem_collection'!$X27)),"YES","NO")</f>
        <v>NO</v>
      </c>
      <c r="AB100" s="245" t="str">
        <f>IF(ISNUMBER(SEARCH("C", 'WetLitterbags placem_collection'!$V27)),"YES","NO")</f>
        <v>NO</v>
      </c>
      <c r="AC100" s="245" t="str">
        <f>IF(ISNUMBER(SEARCH("H", 'WetLitterbags placem_collection'!$V27)),"YES","NO")</f>
        <v>NO</v>
      </c>
      <c r="AD100" s="245" t="str">
        <f>IF(ISNUMBER(SEARCH("R", 'WetLitterbags placem_collection'!$V27)),"YES","NO")</f>
        <v>NO</v>
      </c>
    </row>
    <row r="101" spans="2:30">
      <c r="B101" t="str">
        <f>Wetseason!B27</f>
        <v>Wet</v>
      </c>
      <c r="C101" s="253">
        <f>Wetseason!C27</f>
        <v>26</v>
      </c>
      <c r="D101" t="s">
        <v>3105</v>
      </c>
      <c r="E101" t="s">
        <v>22</v>
      </c>
      <c r="F101" s="374">
        <v>2</v>
      </c>
      <c r="G101" s="16">
        <f>'WetLitterbags placem_collection'!E28</f>
        <v>42767</v>
      </c>
      <c r="H101" t="str">
        <f>Wetseason!L27</f>
        <v>G651</v>
      </c>
      <c r="I101" t="str">
        <f>Wetseason!L247</f>
        <v>R148</v>
      </c>
      <c r="J101">
        <f>IFERROR(INDEX('Green_rooibos initial weight'!$C$5:$C$2000,MATCH(H101, 'Green_rooibos initial weight'!$A$5:$A$2000,0)),"")</f>
        <v>1.97</v>
      </c>
      <c r="K101">
        <f>IFERROR(INDEX('Green_rooibos initial weight'!$C$5:$C$2000,MATCH(I101, 'Green_rooibos initial weight'!$A$5:$A$2000,0)),"")</f>
        <v>2.149</v>
      </c>
      <c r="L101" s="194">
        <f t="shared" si="2"/>
        <v>1.7202</v>
      </c>
      <c r="M101" s="194">
        <f t="shared" si="0"/>
        <v>1.8992</v>
      </c>
      <c r="N101" s="16">
        <f>IF('WetLitterbags placem_collection'!G28="","",'WetLitterbags placem_collection'!G28)</f>
        <v>42818</v>
      </c>
      <c r="O101" s="194">
        <f>IFERROR(INDEX('Both teabags AfterWet'!$C$3:$C$2000,MATCH(H101,'Both teabags AfterWet'!$A$3:$A$2000,0)),"")</f>
        <v>0.77580000000000005</v>
      </c>
      <c r="P101" s="194">
        <f>IFERROR(INDEX('Both teabags AfterWet'!$C$3:$C$2000,MATCH(I101,'Both teabags AfterWet'!$A$3:$A$2000,0)),"")</f>
        <v>1.5741000000000001</v>
      </c>
      <c r="Q101" s="194">
        <f t="shared" si="3"/>
        <v>0.62519999999999998</v>
      </c>
      <c r="R101" s="194">
        <f t="shared" si="3"/>
        <v>1.4235</v>
      </c>
      <c r="S101" s="194">
        <f t="shared" si="4"/>
        <v>0.63655388908266475</v>
      </c>
      <c r="T101" s="194">
        <f t="shared" si="5"/>
        <v>0.41731323844849288</v>
      </c>
      <c r="U101" s="194">
        <f t="shared" si="6"/>
        <v>0.74952611625947763</v>
      </c>
      <c r="V101">
        <f t="shared" si="1"/>
        <v>51</v>
      </c>
      <c r="W101" s="194">
        <f t="shared" si="7"/>
        <v>0.24399775643388977</v>
      </c>
      <c r="X101" s="194">
        <f t="shared" si="8"/>
        <v>1.7976582540364727E-2</v>
      </c>
      <c r="Y101" s="245" t="str">
        <f>IF(ISNUMBER(SEARCH("C",'WetLitterbags placem_collection'!$X28)),"YES","NO")</f>
        <v>NO</v>
      </c>
      <c r="Z101" s="245" t="str">
        <f>IF(ISNUMBER(SEARCH("H", 'WetLitterbags placem_collection'!$X28)),"YES","NO")</f>
        <v>NO</v>
      </c>
      <c r="AA101" s="245" t="str">
        <f>IF(ISNUMBER(SEARCH("R", 'WetLitterbags placem_collection'!$X28)),"YES","NO")</f>
        <v>NO</v>
      </c>
      <c r="AB101" s="245" t="str">
        <f>IF(ISNUMBER(SEARCH("C", 'WetLitterbags placem_collection'!$V28)),"YES","NO")</f>
        <v>NO</v>
      </c>
      <c r="AC101" s="245" t="str">
        <f>IF(ISNUMBER(SEARCH("H", 'WetLitterbags placem_collection'!$V28)),"YES","NO")</f>
        <v>NO</v>
      </c>
      <c r="AD101" s="245" t="str">
        <f>IF(ISNUMBER(SEARCH("R", 'WetLitterbags placem_collection'!$V28)),"YES","NO")</f>
        <v>YES</v>
      </c>
    </row>
    <row r="102" spans="2:30">
      <c r="B102" t="str">
        <f>Wetseason!B28</f>
        <v>Wet</v>
      </c>
      <c r="C102" s="253">
        <f>Wetseason!C28</f>
        <v>27</v>
      </c>
      <c r="D102" t="s">
        <v>3105</v>
      </c>
      <c r="E102" t="s">
        <v>22</v>
      </c>
      <c r="F102" s="374">
        <v>3</v>
      </c>
      <c r="G102" s="16">
        <f>'WetLitterbags placem_collection'!E29</f>
        <v>42767</v>
      </c>
      <c r="H102" t="str">
        <f>Wetseason!L28</f>
        <v>G583</v>
      </c>
      <c r="I102" t="str">
        <f>Wetseason!L248</f>
        <v>R112</v>
      </c>
      <c r="J102">
        <f>IFERROR(INDEX('Green_rooibos initial weight'!$C$5:$C$2000,MATCH(H102, 'Green_rooibos initial weight'!$A$5:$A$2000,0)),"")</f>
        <v>2.1829999999999998</v>
      </c>
      <c r="K102">
        <f>IFERROR(INDEX('Green_rooibos initial weight'!$C$5:$C$2000,MATCH(I102, 'Green_rooibos initial weight'!$A$5:$A$2000,0)),"")</f>
        <v>2.2610000000000001</v>
      </c>
      <c r="L102" s="194">
        <f t="shared" si="2"/>
        <v>1.9331999999999998</v>
      </c>
      <c r="M102" s="194">
        <f t="shared" si="0"/>
        <v>2.0112000000000001</v>
      </c>
      <c r="N102" s="16">
        <f>IF('WetLitterbags placem_collection'!G29="","",'WetLitterbags placem_collection'!G29)</f>
        <v>42818</v>
      </c>
      <c r="O102" s="194">
        <f>IFERROR(INDEX('Both teabags AfterWet'!$C$3:$C$2000,MATCH(H102,'Both teabags AfterWet'!$A$3:$A$2000,0)),"")</f>
        <v>0.66169999999999995</v>
      </c>
      <c r="P102" s="194">
        <f>IFERROR(INDEX('Both teabags AfterWet'!$C$3:$C$2000,MATCH(I102,'Both teabags AfterWet'!$A$3:$A$2000,0)),"")</f>
        <v>1.3584000000000001</v>
      </c>
      <c r="Q102" s="194">
        <f t="shared" si="3"/>
        <v>0.51109999999999989</v>
      </c>
      <c r="R102" s="194">
        <f t="shared" si="3"/>
        <v>1.2078</v>
      </c>
      <c r="S102" s="194">
        <f t="shared" si="4"/>
        <v>0.73561969791020076</v>
      </c>
      <c r="T102" s="194">
        <f t="shared" si="5"/>
        <v>0.48225899435443093</v>
      </c>
      <c r="U102" s="194">
        <f t="shared" si="6"/>
        <v>0.60053699284009543</v>
      </c>
      <c r="V102">
        <f t="shared" si="1"/>
        <v>51</v>
      </c>
      <c r="W102" s="194">
        <f t="shared" si="7"/>
        <v>0.12634240153182807</v>
      </c>
      <c r="X102" s="194">
        <f t="shared" si="8"/>
        <v>3.4551013843961691E-2</v>
      </c>
      <c r="Y102" s="245" t="str">
        <f>IF(ISNUMBER(SEARCH("C",'WetLitterbags placem_collection'!$X29)),"YES","NO")</f>
        <v>NO</v>
      </c>
      <c r="Z102" s="245" t="str">
        <f>IF(ISNUMBER(SEARCH("H", 'WetLitterbags placem_collection'!$X29)),"YES","NO")</f>
        <v>NO</v>
      </c>
      <c r="AA102" s="245" t="str">
        <f>IF(ISNUMBER(SEARCH("R", 'WetLitterbags placem_collection'!$X29)),"YES","NO")</f>
        <v>NO</v>
      </c>
      <c r="AB102" s="245" t="str">
        <f>IF(ISNUMBER(SEARCH("C", 'WetLitterbags placem_collection'!$V29)),"YES","NO")</f>
        <v>NO</v>
      </c>
      <c r="AC102" s="245" t="str">
        <f>IF(ISNUMBER(SEARCH("H", 'WetLitterbags placem_collection'!$V29)),"YES","NO")</f>
        <v>NO</v>
      </c>
      <c r="AD102" s="245" t="str">
        <f>IF(ISNUMBER(SEARCH("R", 'WetLitterbags placem_collection'!$V29)),"YES","NO")</f>
        <v>NO</v>
      </c>
    </row>
    <row r="103" spans="2:30">
      <c r="B103" t="str">
        <f>Wetseason!B29</f>
        <v>Wet</v>
      </c>
      <c r="C103" s="253">
        <f>Wetseason!C29</f>
        <v>28</v>
      </c>
      <c r="D103" t="s">
        <v>3105</v>
      </c>
      <c r="E103" t="s">
        <v>22</v>
      </c>
      <c r="F103" s="375">
        <v>4</v>
      </c>
      <c r="G103" s="16">
        <f>'WetLitterbags placem_collection'!E30</f>
        <v>42767</v>
      </c>
      <c r="H103" t="str">
        <f>Wetseason!L29</f>
        <v>G702</v>
      </c>
      <c r="I103" t="str">
        <f>Wetseason!L249</f>
        <v>R436</v>
      </c>
      <c r="J103">
        <f>IFERROR(INDEX('Green_rooibos initial weight'!$C$5:$C$2000,MATCH(H103, 'Green_rooibos initial weight'!$A$5:$A$2000,0)),"")</f>
        <v>2.109</v>
      </c>
      <c r="K103">
        <f>IFERROR(INDEX('Green_rooibos initial weight'!$C$5:$C$2000,MATCH(I103, 'Green_rooibos initial weight'!$A$5:$A$2000,0)),"")</f>
        <v>2.2240000000000002</v>
      </c>
      <c r="L103" s="194">
        <f t="shared" si="2"/>
        <v>1.8592</v>
      </c>
      <c r="M103" s="194">
        <f t="shared" si="0"/>
        <v>1.9742000000000002</v>
      </c>
      <c r="N103" s="16">
        <f>IF('WetLitterbags placem_collection'!G30="","",'WetLitterbags placem_collection'!G30)</f>
        <v>42818</v>
      </c>
      <c r="O103" s="194">
        <f>IFERROR(INDEX('Both teabags AfterWet'!$C$3:$C$2000,MATCH(H103,'Both teabags AfterWet'!$A$3:$A$2000,0)),"")</f>
        <v>0.73699999999999999</v>
      </c>
      <c r="P103" s="194">
        <f>IFERROR(INDEX('Both teabags AfterWet'!$C$3:$C$2000,MATCH(I103,'Both teabags AfterWet'!$A$3:$A$2000,0)),"")</f>
        <v>1.5295000000000001</v>
      </c>
      <c r="Q103" s="194">
        <f t="shared" si="3"/>
        <v>0.58640000000000003</v>
      </c>
      <c r="R103" s="194">
        <f t="shared" si="3"/>
        <v>1.3789</v>
      </c>
      <c r="S103" s="194">
        <f t="shared" si="4"/>
        <v>0.68459552495697074</v>
      </c>
      <c r="T103" s="194">
        <f t="shared" si="5"/>
        <v>0.44880846766775284</v>
      </c>
      <c r="U103" s="194">
        <f t="shared" si="6"/>
        <v>0.69846013575119026</v>
      </c>
      <c r="V103">
        <f t="shared" si="1"/>
        <v>51</v>
      </c>
      <c r="W103" s="194">
        <f t="shared" si="7"/>
        <v>0.18694118176131735</v>
      </c>
      <c r="X103" s="194">
        <f t="shared" si="8"/>
        <v>2.1849766035748872E-2</v>
      </c>
      <c r="Y103" s="245" t="str">
        <f>IF(ISNUMBER(SEARCH("C",'WetLitterbags placem_collection'!$X30)),"YES","NO")</f>
        <v>NO</v>
      </c>
      <c r="Z103" s="245" t="str">
        <f>IF(ISNUMBER(SEARCH("H", 'WetLitterbags placem_collection'!$X30)),"YES","NO")</f>
        <v>NO</v>
      </c>
      <c r="AA103" s="245" t="str">
        <f>IF(ISNUMBER(SEARCH("R", 'WetLitterbags placem_collection'!$X30)),"YES","NO")</f>
        <v>NO</v>
      </c>
      <c r="AB103" s="245" t="str">
        <f>IF(ISNUMBER(SEARCH("C", 'WetLitterbags placem_collection'!$V30)),"YES","NO")</f>
        <v>NO</v>
      </c>
      <c r="AC103" s="245" t="str">
        <f>IF(ISNUMBER(SEARCH("H", 'WetLitterbags placem_collection'!$V30)),"YES","NO")</f>
        <v>NO</v>
      </c>
      <c r="AD103" s="245" t="str">
        <f>IF(ISNUMBER(SEARCH("R", 'WetLitterbags placem_collection'!$V30)),"YES","NO")</f>
        <v>NO</v>
      </c>
    </row>
    <row r="104" spans="2:30">
      <c r="B104" t="str">
        <f>Wetseason!B30</f>
        <v>Wet</v>
      </c>
      <c r="C104" s="253">
        <f>Wetseason!C30</f>
        <v>29</v>
      </c>
      <c r="D104" t="s">
        <v>3105</v>
      </c>
      <c r="E104" t="s">
        <v>22</v>
      </c>
      <c r="F104" s="375">
        <v>5</v>
      </c>
      <c r="G104" s="16">
        <f>'WetLitterbags placem_collection'!E31</f>
        <v>42767</v>
      </c>
      <c r="H104" t="str">
        <f>Wetseason!L30</f>
        <v>G838</v>
      </c>
      <c r="I104" t="str">
        <f>Wetseason!L250</f>
        <v>R386</v>
      </c>
      <c r="J104">
        <f>IFERROR(INDEX('Green_rooibos initial weight'!$C$5:$C$2000,MATCH(H104, 'Green_rooibos initial weight'!$A$5:$A$2000,0)),"")</f>
        <v>2.0369999999999999</v>
      </c>
      <c r="K104">
        <f>IFERROR(INDEX('Green_rooibos initial weight'!$C$5:$C$2000,MATCH(I104, 'Green_rooibos initial weight'!$A$5:$A$2000,0)),"")</f>
        <v>2.2309999999999999</v>
      </c>
      <c r="L104" s="194">
        <f t="shared" si="2"/>
        <v>1.7871999999999999</v>
      </c>
      <c r="M104" s="194">
        <f t="shared" si="0"/>
        <v>1.9811999999999999</v>
      </c>
      <c r="N104" s="16">
        <f>IF('WetLitterbags placem_collection'!G31="","",'WetLitterbags placem_collection'!G31)</f>
        <v>42818</v>
      </c>
      <c r="O104" s="194">
        <f>IFERROR(INDEX('Both teabags AfterWet'!$C$3:$C$2000,MATCH(H104,'Both teabags AfterWet'!$A$3:$A$2000,0)),"")</f>
        <v>0.70830000000000004</v>
      </c>
      <c r="P104" s="194">
        <f>IFERROR(INDEX('Both teabags AfterWet'!$C$3:$C$2000,MATCH(I104,'Both teabags AfterWet'!$A$3:$A$2000,0)),"")</f>
        <v>1.5941000000000001</v>
      </c>
      <c r="Q104" s="194">
        <f t="shared" si="3"/>
        <v>0.55770000000000008</v>
      </c>
      <c r="R104" s="194">
        <f t="shared" si="3"/>
        <v>1.4435</v>
      </c>
      <c r="S104" s="194">
        <f t="shared" si="4"/>
        <v>0.68794762757385852</v>
      </c>
      <c r="T104" s="194">
        <f t="shared" si="5"/>
        <v>0.45100604563036811</v>
      </c>
      <c r="U104" s="194">
        <f t="shared" si="6"/>
        <v>0.72859882899252981</v>
      </c>
      <c r="V104">
        <f t="shared" si="1"/>
        <v>51</v>
      </c>
      <c r="W104" s="194">
        <f t="shared" si="7"/>
        <v>0.182960062263826</v>
      </c>
      <c r="X104" s="194">
        <f t="shared" si="8"/>
        <v>1.8053361711873699E-2</v>
      </c>
      <c r="Y104" s="245" t="str">
        <f>IF(ISNUMBER(SEARCH("C",'WetLitterbags placem_collection'!$X31)),"YES","NO")</f>
        <v>NO</v>
      </c>
      <c r="Z104" s="245" t="str">
        <f>IF(ISNUMBER(SEARCH("H", 'WetLitterbags placem_collection'!$X31)),"YES","NO")</f>
        <v>NO</v>
      </c>
      <c r="AA104" s="245" t="str">
        <f>IF(ISNUMBER(SEARCH("R", 'WetLitterbags placem_collection'!$X31)),"YES","NO")</f>
        <v>NO</v>
      </c>
      <c r="AB104" s="245" t="str">
        <f>IF(ISNUMBER(SEARCH("C", 'WetLitterbags placem_collection'!$V31)),"YES","NO")</f>
        <v>NO</v>
      </c>
      <c r="AC104" s="245" t="str">
        <f>IF(ISNUMBER(SEARCH("H", 'WetLitterbags placem_collection'!$V31)),"YES","NO")</f>
        <v>NO</v>
      </c>
      <c r="AD104" s="245" t="str">
        <f>IF(ISNUMBER(SEARCH("R", 'WetLitterbags placem_collection'!$V31)),"YES","NO")</f>
        <v>YES</v>
      </c>
    </row>
    <row r="105" spans="2:30">
      <c r="B105" t="str">
        <f>Wetseason!B31</f>
        <v>Wet</v>
      </c>
      <c r="C105" s="253">
        <f>Wetseason!C31</f>
        <v>30</v>
      </c>
      <c r="D105" t="s">
        <v>3105</v>
      </c>
      <c r="E105" t="s">
        <v>22</v>
      </c>
      <c r="F105" s="375">
        <v>6</v>
      </c>
      <c r="G105" s="16">
        <f>'WetLitterbags placem_collection'!E32</f>
        <v>42767</v>
      </c>
      <c r="H105" t="str">
        <f>Wetseason!L31</f>
        <v>G518</v>
      </c>
      <c r="I105" t="str">
        <f>Wetseason!L251</f>
        <v>R507</v>
      </c>
      <c r="J105">
        <f>IFERROR(INDEX('Green_rooibos initial weight'!$C$5:$C$2000,MATCH(H105, 'Green_rooibos initial weight'!$A$5:$A$2000,0)),"")</f>
        <v>1.9950000000000001</v>
      </c>
      <c r="K105">
        <f>IFERROR(INDEX('Green_rooibos initial weight'!$C$5:$C$2000,MATCH(I105, 'Green_rooibos initial weight'!$A$5:$A$2000,0)),"")</f>
        <v>2.1920000000000002</v>
      </c>
      <c r="L105" s="194">
        <f t="shared" si="2"/>
        <v>1.7452000000000001</v>
      </c>
      <c r="M105" s="194">
        <f t="shared" si="0"/>
        <v>1.9422000000000001</v>
      </c>
      <c r="N105" s="16">
        <f>IF('WetLitterbags placem_collection'!G32="","",'WetLitterbags placem_collection'!G32)</f>
        <v>42818</v>
      </c>
      <c r="O105" s="194">
        <f>IFERROR(INDEX('Both teabags AfterWet'!$C$3:$C$2000,MATCH(H105,'Both teabags AfterWet'!$A$3:$A$2000,0)),"")</f>
        <v>0.68200000000000005</v>
      </c>
      <c r="P105" s="194">
        <f>IFERROR(INDEX('Both teabags AfterWet'!$C$3:$C$2000,MATCH(I105,'Both teabags AfterWet'!$A$3:$A$2000,0)),"")</f>
        <v>1.3523000000000001</v>
      </c>
      <c r="Q105" s="194">
        <f t="shared" si="3"/>
        <v>0.53140000000000009</v>
      </c>
      <c r="R105" s="194">
        <f t="shared" si="3"/>
        <v>1.2017</v>
      </c>
      <c r="S105" s="194">
        <f t="shared" si="4"/>
        <v>0.69550767820307124</v>
      </c>
      <c r="T105" s="194">
        <f t="shared" si="5"/>
        <v>0.45596227834690661</v>
      </c>
      <c r="U105" s="194">
        <f t="shared" si="6"/>
        <v>0.61873133559880544</v>
      </c>
      <c r="V105">
        <f t="shared" si="1"/>
        <v>51</v>
      </c>
      <c r="W105" s="194">
        <f t="shared" si="7"/>
        <v>0.17398137980632866</v>
      </c>
      <c r="X105" s="194">
        <f t="shared" si="8"/>
        <v>3.5470891843779495E-2</v>
      </c>
      <c r="Y105" s="245" t="str">
        <f>IF(ISNUMBER(SEARCH("C",'WetLitterbags placem_collection'!$X32)),"YES","NO")</f>
        <v>NO</v>
      </c>
      <c r="Z105" s="245" t="str">
        <f>IF(ISNUMBER(SEARCH("H", 'WetLitterbags placem_collection'!$X32)),"YES","NO")</f>
        <v>NO</v>
      </c>
      <c r="AA105" s="245" t="str">
        <f>IF(ISNUMBER(SEARCH("R", 'WetLitterbags placem_collection'!$X32)),"YES","NO")</f>
        <v>NO</v>
      </c>
      <c r="AB105" s="245" t="str">
        <f>IF(ISNUMBER(SEARCH("C", 'WetLitterbags placem_collection'!$V32)),"YES","NO")</f>
        <v>NO</v>
      </c>
      <c r="AC105" s="245" t="str">
        <f>IF(ISNUMBER(SEARCH("H", 'WetLitterbags placem_collection'!$V32)),"YES","NO")</f>
        <v>NO</v>
      </c>
      <c r="AD105" s="245" t="str">
        <f>IF(ISNUMBER(SEARCH("R", 'WetLitterbags placem_collection'!$V32)),"YES","NO")</f>
        <v>YES</v>
      </c>
    </row>
    <row r="106" spans="2:30">
      <c r="B106" t="str">
        <f>Wetseason!B32</f>
        <v>Wet</v>
      </c>
      <c r="C106" s="253">
        <f>Wetseason!C32</f>
        <v>31</v>
      </c>
      <c r="D106" t="s">
        <v>3105</v>
      </c>
      <c r="E106" t="s">
        <v>22</v>
      </c>
      <c r="F106" s="375">
        <v>7</v>
      </c>
      <c r="G106" s="16">
        <f>'WetLitterbags placem_collection'!E33</f>
        <v>42767</v>
      </c>
      <c r="H106" t="str">
        <f>Wetseason!L32</f>
        <v>G404</v>
      </c>
      <c r="I106" t="str">
        <f>Wetseason!L252</f>
        <v>R141</v>
      </c>
      <c r="J106">
        <f>IFERROR(INDEX('Green_rooibos initial weight'!$C$5:$C$2000,MATCH(H106, 'Green_rooibos initial weight'!$A$5:$A$2000,0)),"")</f>
        <v>2.113</v>
      </c>
      <c r="K106">
        <f>IFERROR(INDEX('Green_rooibos initial weight'!$C$5:$C$2000,MATCH(I106, 'Green_rooibos initial weight'!$A$5:$A$2000,0)),"")</f>
        <v>2.2029999999999998</v>
      </c>
      <c r="L106" s="194">
        <f t="shared" si="2"/>
        <v>1.8632</v>
      </c>
      <c r="M106" s="194">
        <f t="shared" si="0"/>
        <v>1.9531999999999998</v>
      </c>
      <c r="N106" s="16">
        <f>IF('WetLitterbags placem_collection'!G33="","",'WetLitterbags placem_collection'!G33)</f>
        <v>42818</v>
      </c>
      <c r="O106" s="194">
        <f>IFERROR(INDEX('Both teabags AfterWet'!$C$3:$C$2000,MATCH(H106,'Both teabags AfterWet'!$A$3:$A$2000,0)),"")</f>
        <v>0.75349999999999995</v>
      </c>
      <c r="P106" s="194">
        <f>IFERROR(INDEX('Both teabags AfterWet'!$C$3:$C$2000,MATCH(I106,'Both teabags AfterWet'!$A$3:$A$2000,0)),"")</f>
        <v>1.3197000000000001</v>
      </c>
      <c r="Q106" s="194">
        <f t="shared" si="3"/>
        <v>0.60289999999999999</v>
      </c>
      <c r="R106" s="194">
        <f t="shared" si="3"/>
        <v>1.1691</v>
      </c>
      <c r="S106" s="194">
        <f t="shared" si="4"/>
        <v>0.67641691713181618</v>
      </c>
      <c r="T106" s="194">
        <f t="shared" si="5"/>
        <v>0.44344672001990804</v>
      </c>
      <c r="U106" s="194">
        <f t="shared" si="6"/>
        <v>0.59855621544132709</v>
      </c>
      <c r="V106">
        <f t="shared" si="1"/>
        <v>51</v>
      </c>
      <c r="W106" s="194">
        <f t="shared" si="7"/>
        <v>0.19665449271755797</v>
      </c>
      <c r="X106" s="194">
        <f t="shared" si="8"/>
        <v>4.6212512774804121E-2</v>
      </c>
      <c r="Y106" s="245" t="str">
        <f>IF(ISNUMBER(SEARCH("C",'WetLitterbags placem_collection'!$X33)),"YES","NO")</f>
        <v>NO</v>
      </c>
      <c r="Z106" s="245" t="str">
        <f>IF(ISNUMBER(SEARCH("H", 'WetLitterbags placem_collection'!$X33)),"YES","NO")</f>
        <v>NO</v>
      </c>
      <c r="AA106" s="245" t="str">
        <f>IF(ISNUMBER(SEARCH("R", 'WetLitterbags placem_collection'!$X33)),"YES","NO")</f>
        <v>YES</v>
      </c>
      <c r="AB106" s="245" t="str">
        <f>IF(ISNUMBER(SEARCH("C", 'WetLitterbags placem_collection'!$V33)),"YES","NO")</f>
        <v>NO</v>
      </c>
      <c r="AC106" s="245" t="str">
        <f>IF(ISNUMBER(SEARCH("H", 'WetLitterbags placem_collection'!$V33)),"YES","NO")</f>
        <v>NO</v>
      </c>
      <c r="AD106" s="245" t="str">
        <f>IF(ISNUMBER(SEARCH("R", 'WetLitterbags placem_collection'!$V33)),"YES","NO")</f>
        <v>YES</v>
      </c>
    </row>
    <row r="107" spans="2:30">
      <c r="B107" t="str">
        <f>Wetseason!B33</f>
        <v>Wet</v>
      </c>
      <c r="C107" s="253">
        <f>Wetseason!C33</f>
        <v>32</v>
      </c>
      <c r="D107" t="s">
        <v>3105</v>
      </c>
      <c r="E107" t="s">
        <v>22</v>
      </c>
      <c r="F107" s="375">
        <v>8</v>
      </c>
      <c r="G107" s="16">
        <f>'WetLitterbags placem_collection'!E34</f>
        <v>42767</v>
      </c>
      <c r="H107" t="str">
        <f>Wetseason!L33</f>
        <v>G527</v>
      </c>
      <c r="I107" t="str">
        <f>Wetseason!L253</f>
        <v>R396</v>
      </c>
      <c r="J107">
        <f>IFERROR(INDEX('Green_rooibos initial weight'!$C$5:$C$2000,MATCH(H107, 'Green_rooibos initial weight'!$A$5:$A$2000,0)),"")</f>
        <v>1.913</v>
      </c>
      <c r="K107">
        <f>IFERROR(INDEX('Green_rooibos initial weight'!$C$5:$C$2000,MATCH(I107, 'Green_rooibos initial weight'!$A$5:$A$2000,0)),"")</f>
        <v>2.14</v>
      </c>
      <c r="L107" s="194">
        <f t="shared" si="2"/>
        <v>1.6632</v>
      </c>
      <c r="M107" s="194">
        <f t="shared" si="0"/>
        <v>1.8902000000000001</v>
      </c>
      <c r="N107" s="16">
        <f>IF('WetLitterbags placem_collection'!G34="","",'WetLitterbags placem_collection'!G34)</f>
        <v>42818</v>
      </c>
      <c r="O107" s="194">
        <f>IFERROR(INDEX('Both teabags AfterWet'!$C$3:$C$2000,MATCH(H107,'Both teabags AfterWet'!$A$3:$A$2000,0)),"")</f>
        <v>0.66439999999999999</v>
      </c>
      <c r="P107" s="194">
        <f>IFERROR(INDEX('Both teabags AfterWet'!$C$3:$C$2000,MATCH(I107,'Both teabags AfterWet'!$A$3:$A$2000,0)),"")</f>
        <v>1.3464</v>
      </c>
      <c r="Q107" s="194">
        <f t="shared" si="3"/>
        <v>0.51380000000000003</v>
      </c>
      <c r="R107" s="194">
        <f t="shared" si="3"/>
        <v>1.1958</v>
      </c>
      <c r="S107" s="194">
        <f t="shared" si="4"/>
        <v>0.69107744107744107</v>
      </c>
      <c r="T107" s="194">
        <f t="shared" si="5"/>
        <v>0.45305789486312054</v>
      </c>
      <c r="U107" s="194">
        <f t="shared" si="6"/>
        <v>0.63263146756956934</v>
      </c>
      <c r="V107">
        <f t="shared" si="1"/>
        <v>51</v>
      </c>
      <c r="W107" s="194">
        <f t="shared" si="7"/>
        <v>0.17924294408854979</v>
      </c>
      <c r="X107" s="194">
        <f t="shared" si="8"/>
        <v>3.265276918209397E-2</v>
      </c>
      <c r="Y107" s="245" t="str">
        <f>IF(ISNUMBER(SEARCH("C",'WetLitterbags placem_collection'!$X34)),"YES","NO")</f>
        <v>NO</v>
      </c>
      <c r="Z107" s="245" t="str">
        <f>IF(ISNUMBER(SEARCH("H", 'WetLitterbags placem_collection'!$X34)),"YES","NO")</f>
        <v>NO</v>
      </c>
      <c r="AA107" s="245" t="str">
        <f>IF(ISNUMBER(SEARCH("R", 'WetLitterbags placem_collection'!$X34)),"YES","NO")</f>
        <v>YES</v>
      </c>
      <c r="AB107" s="245" t="str">
        <f>IF(ISNUMBER(SEARCH("C", 'WetLitterbags placem_collection'!$V34)),"YES","NO")</f>
        <v>NO</v>
      </c>
      <c r="AC107" s="245" t="str">
        <f>IF(ISNUMBER(SEARCH("H", 'WetLitterbags placem_collection'!$V34)),"YES","NO")</f>
        <v>NO</v>
      </c>
      <c r="AD107" s="245" t="str">
        <f>IF(ISNUMBER(SEARCH("R", 'WetLitterbags placem_collection'!$V34)),"YES","NO")</f>
        <v>YES</v>
      </c>
    </row>
    <row r="108" spans="2:30">
      <c r="B108" t="str">
        <f>Wetseason!B34</f>
        <v>Wet</v>
      </c>
      <c r="C108" s="253">
        <f>Wetseason!C34</f>
        <v>33</v>
      </c>
      <c r="D108" t="s">
        <v>3106</v>
      </c>
      <c r="E108" t="s">
        <v>22</v>
      </c>
      <c r="F108" s="374">
        <v>1</v>
      </c>
      <c r="G108" s="16">
        <f>'WetLitterbags placem_collection'!E35</f>
        <v>42765</v>
      </c>
      <c r="H108" t="str">
        <f>Wetseason!L34</f>
        <v>G366</v>
      </c>
      <c r="I108" t="str">
        <f>Wetseason!L254</f>
        <v>R109</v>
      </c>
      <c r="J108">
        <f>IFERROR(INDEX('Green_rooibos initial weight'!$C$5:$C$2000,MATCH(H108, 'Green_rooibos initial weight'!$A$5:$A$2000,0)),"")</f>
        <v>2.1070000000000002</v>
      </c>
      <c r="K108">
        <f>IFERROR(INDEX('Green_rooibos initial weight'!$C$5:$C$2000,MATCH(I108, 'Green_rooibos initial weight'!$A$5:$A$2000,0)),"")</f>
        <v>2.2090000000000001</v>
      </c>
      <c r="L108" s="194">
        <f t="shared" si="2"/>
        <v>1.8572000000000002</v>
      </c>
      <c r="M108" s="194">
        <f t="shared" si="0"/>
        <v>1.9592000000000001</v>
      </c>
      <c r="N108" s="16">
        <f>IF('WetLitterbags placem_collection'!G35="","",'WetLitterbags placem_collection'!G35)</f>
        <v>42820</v>
      </c>
      <c r="O108" s="194">
        <f>IFERROR(INDEX('Both teabags AfterWet'!$C$3:$C$2000,MATCH(H108,'Both teabags AfterWet'!$A$3:$A$2000,0)),"")</f>
        <v>0.76700000000000002</v>
      </c>
      <c r="P108" s="194">
        <f>IFERROR(INDEX('Both teabags AfterWet'!$C$3:$C$2000,MATCH(I108,'Both teabags AfterWet'!$A$3:$A$2000,0)),"")</f>
        <v>0.41499999999999998</v>
      </c>
      <c r="Q108" s="194">
        <f t="shared" si="3"/>
        <v>0.61640000000000006</v>
      </c>
      <c r="R108" s="194">
        <f t="shared" si="3"/>
        <v>0.26439999999999997</v>
      </c>
      <c r="S108" s="194">
        <f t="shared" si="4"/>
        <v>0.66810251992246394</v>
      </c>
      <c r="T108" s="194">
        <f t="shared" si="5"/>
        <v>0.43799595130308805</v>
      </c>
      <c r="U108" s="194">
        <f t="shared" si="6"/>
        <v>0.13495304205798284</v>
      </c>
      <c r="V108">
        <f t="shared" si="1"/>
        <v>55</v>
      </c>
      <c r="W108" s="194">
        <f t="shared" si="7"/>
        <v>0.20652907372628981</v>
      </c>
      <c r="X108" s="194" t="str">
        <f t="shared" si="8"/>
        <v/>
      </c>
      <c r="Y108" s="245" t="str">
        <f>IF(ISNUMBER(SEARCH("C",'WetLitterbags placem_collection'!$X35)),"YES","NO")</f>
        <v>NO</v>
      </c>
      <c r="Z108" s="245" t="str">
        <f>IF(ISNUMBER(SEARCH("H", 'WetLitterbags placem_collection'!$X35)),"YES","NO")</f>
        <v>NO</v>
      </c>
      <c r="AA108" s="245" t="str">
        <f>IF(ISNUMBER(SEARCH("R", 'WetLitterbags placem_collection'!$X35)),"YES","NO")</f>
        <v>YES</v>
      </c>
      <c r="AB108" s="245" t="str">
        <f>IF(ISNUMBER(SEARCH("C", 'WetLitterbags placem_collection'!$V35)),"YES","NO")</f>
        <v>NO</v>
      </c>
      <c r="AC108" s="245" t="str">
        <f>IF(ISNUMBER(SEARCH("H", 'WetLitterbags placem_collection'!$V35)),"YES","NO")</f>
        <v>NO</v>
      </c>
      <c r="AD108" s="245" t="str">
        <f>IF(ISNUMBER(SEARCH("R", 'WetLitterbags placem_collection'!$V35)),"YES","NO")</f>
        <v>YES</v>
      </c>
    </row>
    <row r="109" spans="2:30">
      <c r="B109" t="str">
        <f>Wetseason!B35</f>
        <v>Wet</v>
      </c>
      <c r="C109" s="253">
        <f>Wetseason!C35</f>
        <v>34</v>
      </c>
      <c r="D109" t="s">
        <v>3106</v>
      </c>
      <c r="E109" t="s">
        <v>22</v>
      </c>
      <c r="F109" s="374">
        <v>2</v>
      </c>
      <c r="G109" s="16">
        <f>'WetLitterbags placem_collection'!E36</f>
        <v>42765</v>
      </c>
      <c r="H109" t="str">
        <f>Wetseason!L35</f>
        <v>G516</v>
      </c>
      <c r="I109" t="str">
        <f>Wetseason!L255</f>
        <v>R153</v>
      </c>
      <c r="J109">
        <f>IFERROR(INDEX('Green_rooibos initial weight'!$C$5:$C$2000,MATCH(H109, 'Green_rooibos initial weight'!$A$5:$A$2000,0)),"")</f>
        <v>2.1160000000000001</v>
      </c>
      <c r="K109">
        <f>IFERROR(INDEX('Green_rooibos initial weight'!$C$5:$C$2000,MATCH(I109, 'Green_rooibos initial weight'!$A$5:$A$2000,0)),"")</f>
        <v>2.2200000000000002</v>
      </c>
      <c r="L109" s="194">
        <f t="shared" si="2"/>
        <v>1.8662000000000001</v>
      </c>
      <c r="M109" s="194">
        <f t="shared" si="0"/>
        <v>1.9702000000000002</v>
      </c>
      <c r="N109" s="16">
        <f>IF('WetLitterbags placem_collection'!G36="","",'WetLitterbags placem_collection'!G36)</f>
        <v>42820</v>
      </c>
      <c r="O109" s="194">
        <f>IFERROR(INDEX('Both teabags AfterWet'!$C$3:$C$2000,MATCH(H109,'Both teabags AfterWet'!$A$3:$A$2000,0)),"")</f>
        <v>0.87270000000000003</v>
      </c>
      <c r="P109" s="194">
        <f>IFERROR(INDEX('Both teabags AfterWet'!$C$3:$C$2000,MATCH(I109,'Both teabags AfterWet'!$A$3:$A$2000,0)),"")</f>
        <v>0.34520000000000001</v>
      </c>
      <c r="Q109" s="194">
        <f t="shared" si="3"/>
        <v>0.72209999999999996</v>
      </c>
      <c r="R109" s="194">
        <f t="shared" si="3"/>
        <v>0.1946</v>
      </c>
      <c r="S109" s="194">
        <f t="shared" si="4"/>
        <v>0.61306398028078446</v>
      </c>
      <c r="T109" s="194">
        <f t="shared" si="5"/>
        <v>0.40191367828383973</v>
      </c>
      <c r="U109" s="194">
        <f t="shared" si="6"/>
        <v>9.8771698304740627E-2</v>
      </c>
      <c r="V109">
        <f t="shared" si="1"/>
        <v>55</v>
      </c>
      <c r="W109" s="194">
        <f t="shared" si="7"/>
        <v>0.27189551035536286</v>
      </c>
      <c r="X109" s="194" t="str">
        <f t="shared" si="8"/>
        <v/>
      </c>
      <c r="Y109" s="245" t="str">
        <f>IF(ISNUMBER(SEARCH("C",'WetLitterbags placem_collection'!$X36)),"YES","NO")</f>
        <v>NO</v>
      </c>
      <c r="Z109" s="245" t="str">
        <f>IF(ISNUMBER(SEARCH("H", 'WetLitterbags placem_collection'!$X36)),"YES","NO")</f>
        <v>NO</v>
      </c>
      <c r="AA109" s="245" t="str">
        <f>IF(ISNUMBER(SEARCH("R", 'WetLitterbags placem_collection'!$X36)),"YES","NO")</f>
        <v>YES</v>
      </c>
      <c r="AB109" s="245" t="str">
        <f>IF(ISNUMBER(SEARCH("C", 'WetLitterbags placem_collection'!$V36)),"YES","NO")</f>
        <v>YES</v>
      </c>
      <c r="AC109" s="245" t="str">
        <f>IF(ISNUMBER(SEARCH("H", 'WetLitterbags placem_collection'!$V36)),"YES","NO")</f>
        <v>YES</v>
      </c>
      <c r="AD109" s="245" t="str">
        <f>IF(ISNUMBER(SEARCH("R", 'WetLitterbags placem_collection'!$V36)),"YES","NO")</f>
        <v>YES</v>
      </c>
    </row>
    <row r="110" spans="2:30">
      <c r="B110" t="str">
        <f>Wetseason!B36</f>
        <v>Wet</v>
      </c>
      <c r="C110" s="253">
        <f>Wetseason!C36</f>
        <v>35</v>
      </c>
      <c r="D110" t="s">
        <v>3106</v>
      </c>
      <c r="E110" t="s">
        <v>22</v>
      </c>
      <c r="F110" s="374">
        <v>3</v>
      </c>
      <c r="G110" s="16">
        <f>'WetLitterbags placem_collection'!E37</f>
        <v>42765</v>
      </c>
      <c r="H110" t="str">
        <f>Wetseason!L36</f>
        <v>G670</v>
      </c>
      <c r="I110" t="str">
        <f>Wetseason!L256</f>
        <v>R64</v>
      </c>
      <c r="J110">
        <f>IFERROR(INDEX('Green_rooibos initial weight'!$C$5:$C$2000,MATCH(H110, 'Green_rooibos initial weight'!$A$5:$A$2000,0)),"")</f>
        <v>2.0950000000000002</v>
      </c>
      <c r="K110">
        <f>IFERROR(INDEX('Green_rooibos initial weight'!$C$5:$C$2000,MATCH(I110, 'Green_rooibos initial weight'!$A$5:$A$2000,0)),"")</f>
        <v>2.2879999999999998</v>
      </c>
      <c r="L110" s="194">
        <f t="shared" si="2"/>
        <v>1.8452000000000002</v>
      </c>
      <c r="M110" s="194">
        <f t="shared" si="0"/>
        <v>2.0381999999999998</v>
      </c>
      <c r="N110" s="16">
        <f>IF('WetLitterbags placem_collection'!G37="","",'WetLitterbags placem_collection'!G37)</f>
        <v>42820</v>
      </c>
      <c r="O110" s="194">
        <f>IFERROR(INDEX('Both teabags AfterWet'!$C$3:$C$2000,MATCH(H110,'Both teabags AfterWet'!$A$3:$A$2000,0)),"")</f>
        <v>0.81699999999999995</v>
      </c>
      <c r="P110" s="194">
        <f>IFERROR(INDEX('Both teabags AfterWet'!$C$3:$C$2000,MATCH(I110,'Both teabags AfterWet'!$A$3:$A$2000,0)),"")</f>
        <v>1.615</v>
      </c>
      <c r="Q110" s="194">
        <f t="shared" si="3"/>
        <v>0.66639999999999988</v>
      </c>
      <c r="R110" s="194">
        <f t="shared" si="3"/>
        <v>1.4643999999999999</v>
      </c>
      <c r="S110" s="194">
        <f t="shared" si="4"/>
        <v>0.63884673748103205</v>
      </c>
      <c r="T110" s="194">
        <f t="shared" si="5"/>
        <v>0.41881638846737501</v>
      </c>
      <c r="U110" s="194">
        <f t="shared" si="6"/>
        <v>0.718477087626337</v>
      </c>
      <c r="V110">
        <f t="shared" si="1"/>
        <v>55</v>
      </c>
      <c r="W110" s="194">
        <f t="shared" si="7"/>
        <v>0.24127465857359609</v>
      </c>
      <c r="X110" s="194">
        <f t="shared" si="8"/>
        <v>2.0278396622849085E-2</v>
      </c>
      <c r="Y110" s="245" t="str">
        <f>IF(ISNUMBER(SEARCH("C",'WetLitterbags placem_collection'!$X37)),"YES","NO")</f>
        <v>NO</v>
      </c>
      <c r="Z110" s="245" t="str">
        <f>IF(ISNUMBER(SEARCH("H", 'WetLitterbags placem_collection'!$X37)),"YES","NO")</f>
        <v>NO</v>
      </c>
      <c r="AA110" s="245" t="str">
        <f>IF(ISNUMBER(SEARCH("R", 'WetLitterbags placem_collection'!$X37)),"YES","NO")</f>
        <v>YES</v>
      </c>
      <c r="AB110" s="245" t="str">
        <f>IF(ISNUMBER(SEARCH("C", 'WetLitterbags placem_collection'!$V37)),"YES","NO")</f>
        <v>NO</v>
      </c>
      <c r="AC110" s="245" t="str">
        <f>IF(ISNUMBER(SEARCH("H", 'WetLitterbags placem_collection'!$V37)),"YES","NO")</f>
        <v>NO</v>
      </c>
      <c r="AD110" s="245" t="str">
        <f>IF(ISNUMBER(SEARCH("R", 'WetLitterbags placem_collection'!$V37)),"YES","NO")</f>
        <v>NO</v>
      </c>
    </row>
    <row r="111" spans="2:30">
      <c r="B111" t="str">
        <f>Wetseason!B37</f>
        <v>Wet</v>
      </c>
      <c r="C111" s="253">
        <f>Wetseason!C37</f>
        <v>36</v>
      </c>
      <c r="D111" t="s">
        <v>3106</v>
      </c>
      <c r="E111" t="s">
        <v>22</v>
      </c>
      <c r="F111" s="375">
        <v>4</v>
      </c>
      <c r="G111" s="16">
        <f>'WetLitterbags placem_collection'!E38</f>
        <v>42765</v>
      </c>
      <c r="H111" t="str">
        <f>Wetseason!L37</f>
        <v>G507</v>
      </c>
      <c r="I111" t="str">
        <f>Wetseason!L257</f>
        <v>R126</v>
      </c>
      <c r="J111">
        <f>IFERROR(INDEX('Green_rooibos initial weight'!$C$5:$C$2000,MATCH(H111, 'Green_rooibos initial weight'!$A$5:$A$2000,0)),"")</f>
        <v>1.99</v>
      </c>
      <c r="K111">
        <f>IFERROR(INDEX('Green_rooibos initial weight'!$C$5:$C$2000,MATCH(I111, 'Green_rooibos initial weight'!$A$5:$A$2000,0)),"")</f>
        <v>2.2400000000000002</v>
      </c>
      <c r="L111" s="194">
        <f t="shared" si="2"/>
        <v>1.7402</v>
      </c>
      <c r="M111" s="194">
        <f t="shared" si="0"/>
        <v>1.9902000000000002</v>
      </c>
      <c r="N111" s="16">
        <f>IF('WetLitterbags placem_collection'!G38="","",'WetLitterbags placem_collection'!G38)</f>
        <v>42820</v>
      </c>
      <c r="O111" s="194">
        <f>IFERROR(INDEX('Both teabags AfterWet'!$C$3:$C$2000,MATCH(H111,'Both teabags AfterWet'!$A$3:$A$2000,0)),"")</f>
        <v>0.68100000000000005</v>
      </c>
      <c r="P111" s="194">
        <f>IFERROR(INDEX('Both teabags AfterWet'!$C$3:$C$2000,MATCH(I111,'Both teabags AfterWet'!$A$3:$A$2000,0)),"")</f>
        <v>1.6180000000000001</v>
      </c>
      <c r="Q111" s="194">
        <f t="shared" si="3"/>
        <v>0.53039999999999998</v>
      </c>
      <c r="R111" s="194">
        <f t="shared" si="3"/>
        <v>1.4674</v>
      </c>
      <c r="S111" s="194">
        <f t="shared" si="4"/>
        <v>0.69520744741983687</v>
      </c>
      <c r="T111" s="194">
        <f t="shared" si="5"/>
        <v>0.45576545246526129</v>
      </c>
      <c r="U111" s="194">
        <f t="shared" si="6"/>
        <v>0.73731283288111737</v>
      </c>
      <c r="V111">
        <f t="shared" si="1"/>
        <v>55</v>
      </c>
      <c r="W111" s="194">
        <f t="shared" si="7"/>
        <v>0.17433794843249772</v>
      </c>
      <c r="X111" s="194">
        <f t="shared" si="8"/>
        <v>1.561604706071891E-2</v>
      </c>
      <c r="Y111" s="245" t="str">
        <f>IF(ISNUMBER(SEARCH("C",'WetLitterbags placem_collection'!$X38)),"YES","NO")</f>
        <v>NO</v>
      </c>
      <c r="Z111" s="245" t="str">
        <f>IF(ISNUMBER(SEARCH("H", 'WetLitterbags placem_collection'!$X38)),"YES","NO")</f>
        <v>NO</v>
      </c>
      <c r="AA111" s="245" t="str">
        <f>IF(ISNUMBER(SEARCH("R", 'WetLitterbags placem_collection'!$X38)),"YES","NO")</f>
        <v>YES</v>
      </c>
      <c r="AB111" s="245" t="str">
        <f>IF(ISNUMBER(SEARCH("C", 'WetLitterbags placem_collection'!$V38)),"YES","NO")</f>
        <v>NO</v>
      </c>
      <c r="AC111" s="245" t="str">
        <f>IF(ISNUMBER(SEARCH("H", 'WetLitterbags placem_collection'!$V38)),"YES","NO")</f>
        <v>NO</v>
      </c>
      <c r="AD111" s="245" t="str">
        <f>IF(ISNUMBER(SEARCH("R", 'WetLitterbags placem_collection'!$V38)),"YES","NO")</f>
        <v>YES</v>
      </c>
    </row>
    <row r="112" spans="2:30">
      <c r="B112" t="str">
        <f>Wetseason!B38</f>
        <v>Wet</v>
      </c>
      <c r="C112" s="253">
        <f>Wetseason!C38</f>
        <v>37</v>
      </c>
      <c r="D112" t="s">
        <v>3106</v>
      </c>
      <c r="E112" t="s">
        <v>22</v>
      </c>
      <c r="F112" s="375">
        <v>5</v>
      </c>
      <c r="G112" s="16">
        <f>'WetLitterbags placem_collection'!E39</f>
        <v>42765</v>
      </c>
      <c r="H112" t="str">
        <f>Wetseason!L38</f>
        <v>G359</v>
      </c>
      <c r="I112" t="str">
        <f>Wetseason!L258</f>
        <v>R63</v>
      </c>
      <c r="J112">
        <f>IFERROR(INDEX('Green_rooibos initial weight'!$C$5:$C$2000,MATCH(H112, 'Green_rooibos initial weight'!$A$5:$A$2000,0)),"")</f>
        <v>1.9790000000000001</v>
      </c>
      <c r="K112">
        <f>IFERROR(INDEX('Green_rooibos initial weight'!$C$5:$C$2000,MATCH(I112, 'Green_rooibos initial weight'!$A$5:$A$2000,0)),"")</f>
        <v>2.1749999999999998</v>
      </c>
      <c r="L112" s="194">
        <f t="shared" si="2"/>
        <v>1.7292000000000001</v>
      </c>
      <c r="M112" s="194">
        <f t="shared" si="0"/>
        <v>1.9251999999999998</v>
      </c>
      <c r="N112" s="16">
        <f>IF('WetLitterbags placem_collection'!G39="","",'WetLitterbags placem_collection'!G39)</f>
        <v>42820</v>
      </c>
      <c r="O112" s="194">
        <f>IFERROR(INDEX('Both teabags AfterWet'!$C$3:$C$2000,MATCH(H112,'Both teabags AfterWet'!$A$3:$A$2000,0)),"")</f>
        <v>0.94699999999999995</v>
      </c>
      <c r="P112" s="194">
        <f>IFERROR(INDEX('Both teabags AfterWet'!$C$3:$C$2000,MATCH(I112,'Both teabags AfterWet'!$A$3:$A$2000,0)),"")</f>
        <v>1.3620000000000001</v>
      </c>
      <c r="Q112" s="194">
        <f t="shared" si="3"/>
        <v>0.7964</v>
      </c>
      <c r="R112" s="194">
        <f t="shared" si="3"/>
        <v>1.2114</v>
      </c>
      <c r="S112" s="194">
        <f t="shared" si="4"/>
        <v>0.53944020356234101</v>
      </c>
      <c r="T112" s="194">
        <f t="shared" si="5"/>
        <v>0.35364725934253244</v>
      </c>
      <c r="U112" s="194">
        <f t="shared" si="6"/>
        <v>0.62923332640764607</v>
      </c>
      <c r="V112">
        <f t="shared" si="1"/>
        <v>55</v>
      </c>
      <c r="W112" s="194">
        <f t="shared" si="7"/>
        <v>0.35933467510410799</v>
      </c>
      <c r="X112" s="194" t="str">
        <f t="shared" si="8"/>
        <v/>
      </c>
      <c r="Y112" s="245" t="str">
        <f>IF(ISNUMBER(SEARCH("C",'WetLitterbags placem_collection'!$X39)),"YES","NO")</f>
        <v>NO</v>
      </c>
      <c r="Z112" s="245" t="str">
        <f>IF(ISNUMBER(SEARCH("H", 'WetLitterbags placem_collection'!$X39)),"YES","NO")</f>
        <v>NO</v>
      </c>
      <c r="AA112" s="245" t="str">
        <f>IF(ISNUMBER(SEARCH("R", 'WetLitterbags placem_collection'!$X39)),"YES","NO")</f>
        <v>YES</v>
      </c>
      <c r="AB112" s="245" t="str">
        <f>IF(ISNUMBER(SEARCH("C", 'WetLitterbags placem_collection'!$V39)),"YES","NO")</f>
        <v>YES</v>
      </c>
      <c r="AC112" s="245" t="str">
        <f>IF(ISNUMBER(SEARCH("H", 'WetLitterbags placem_collection'!$V39)),"YES","NO")</f>
        <v>YES</v>
      </c>
      <c r="AD112" s="245" t="str">
        <f>IF(ISNUMBER(SEARCH("R", 'WetLitterbags placem_collection'!$V39)),"YES","NO")</f>
        <v>NO</v>
      </c>
    </row>
    <row r="113" spans="2:30">
      <c r="B113" t="str">
        <f>Wetseason!B39</f>
        <v>Wet</v>
      </c>
      <c r="C113" s="253">
        <f>Wetseason!C39</f>
        <v>38</v>
      </c>
      <c r="D113" t="s">
        <v>3106</v>
      </c>
      <c r="E113" t="s">
        <v>22</v>
      </c>
      <c r="F113" s="375">
        <v>6</v>
      </c>
      <c r="G113" s="16">
        <f>'WetLitterbags placem_collection'!E40</f>
        <v>42765</v>
      </c>
      <c r="H113" t="str">
        <f>Wetseason!L39</f>
        <v>G499</v>
      </c>
      <c r="I113" t="str">
        <f>Wetseason!L259</f>
        <v>R87</v>
      </c>
      <c r="J113">
        <f>IFERROR(INDEX('Green_rooibos initial weight'!$C$5:$C$2000,MATCH(H113, 'Green_rooibos initial weight'!$A$5:$A$2000,0)),"")</f>
        <v>1.9419999999999999</v>
      </c>
      <c r="K113">
        <f>IFERROR(INDEX('Green_rooibos initial weight'!$C$5:$C$2000,MATCH(I113, 'Green_rooibos initial weight'!$A$5:$A$2000,0)),"")</f>
        <v>2.2930000000000001</v>
      </c>
      <c r="L113" s="194">
        <f t="shared" si="2"/>
        <v>1.6921999999999999</v>
      </c>
      <c r="M113" s="194">
        <f t="shared" si="0"/>
        <v>2.0432000000000001</v>
      </c>
      <c r="N113" s="16">
        <f>IF('WetLitterbags placem_collection'!G40="","",'WetLitterbags placem_collection'!G40)</f>
        <v>42820</v>
      </c>
      <c r="O113" s="194">
        <f>IFERROR(INDEX('Both teabags AfterWet'!$C$3:$C$2000,MATCH(H113,'Both teabags AfterWet'!$A$3:$A$2000,0)),"")</f>
        <v>1.4741</v>
      </c>
      <c r="P113" s="194">
        <f>IFERROR(INDEX('Both teabags AfterWet'!$C$3:$C$2000,MATCH(I113,'Both teabags AfterWet'!$A$3:$A$2000,0)),"")</f>
        <v>1.1399999999999999</v>
      </c>
      <c r="Q113" s="194">
        <f t="shared" si="3"/>
        <v>1.3234999999999999</v>
      </c>
      <c r="R113" s="194">
        <f t="shared" si="3"/>
        <v>0.98939999999999984</v>
      </c>
      <c r="S113" s="194">
        <f t="shared" si="4"/>
        <v>0.2178820470393571</v>
      </c>
      <c r="T113" s="194">
        <f t="shared" si="5"/>
        <v>0.14283953677639566</v>
      </c>
      <c r="U113" s="194">
        <f t="shared" si="6"/>
        <v>0.48424040720438516</v>
      </c>
      <c r="V113">
        <f t="shared" si="1"/>
        <v>55</v>
      </c>
      <c r="W113" s="194">
        <f t="shared" si="7"/>
        <v>0.74123272323116729</v>
      </c>
      <c r="X113" s="194" t="str">
        <f t="shared" si="8"/>
        <v/>
      </c>
      <c r="Y113" s="245" t="str">
        <f>IF(ISNUMBER(SEARCH("C",'WetLitterbags placem_collection'!$X40)),"YES","NO")</f>
        <v>NO</v>
      </c>
      <c r="Z113" s="245" t="str">
        <f>IF(ISNUMBER(SEARCH("H", 'WetLitterbags placem_collection'!$X40)),"YES","NO")</f>
        <v>NO</v>
      </c>
      <c r="AA113" s="245" t="str">
        <f>IF(ISNUMBER(SEARCH("R", 'WetLitterbags placem_collection'!$X40)),"YES","NO")</f>
        <v>YES</v>
      </c>
      <c r="AB113" s="245" t="str">
        <f>IF(ISNUMBER(SEARCH("C", 'WetLitterbags placem_collection'!$V40)),"YES","NO")</f>
        <v>YES</v>
      </c>
      <c r="AC113" s="245" t="str">
        <f>IF(ISNUMBER(SEARCH("H", 'WetLitterbags placem_collection'!$V40)),"YES","NO")</f>
        <v>YES</v>
      </c>
      <c r="AD113" s="245" t="str">
        <f>IF(ISNUMBER(SEARCH("R", 'WetLitterbags placem_collection'!$V40)),"YES","NO")</f>
        <v>YES</v>
      </c>
    </row>
    <row r="114" spans="2:30">
      <c r="B114" t="str">
        <f>Wetseason!B40</f>
        <v>Wet</v>
      </c>
      <c r="C114" s="253">
        <f>Wetseason!C40</f>
        <v>39</v>
      </c>
      <c r="D114" t="s">
        <v>3106</v>
      </c>
      <c r="E114" t="s">
        <v>22</v>
      </c>
      <c r="F114" s="375">
        <v>7</v>
      </c>
      <c r="G114" s="16">
        <f>'WetLitterbags placem_collection'!E41</f>
        <v>42765</v>
      </c>
      <c r="H114" t="str">
        <f>Wetseason!L40</f>
        <v>G214</v>
      </c>
      <c r="I114" t="str">
        <f>Wetseason!L260</f>
        <v>R437</v>
      </c>
      <c r="J114">
        <f>IFERROR(INDEX('Green_rooibos initial weight'!$C$5:$C$2000,MATCH(H114, 'Green_rooibos initial weight'!$A$5:$A$2000,0)),"")</f>
        <v>1.9850000000000001</v>
      </c>
      <c r="K114">
        <f>IFERROR(INDEX('Green_rooibos initial weight'!$C$5:$C$2000,MATCH(I114, 'Green_rooibos initial weight'!$A$5:$A$2000,0)),"")</f>
        <v>2.1970000000000001</v>
      </c>
      <c r="L114" s="194">
        <f t="shared" si="2"/>
        <v>1.7352000000000001</v>
      </c>
      <c r="M114" s="194">
        <f t="shared" si="0"/>
        <v>1.9472</v>
      </c>
      <c r="N114" s="16">
        <f>IF('WetLitterbags placem_collection'!G41="","",'WetLitterbags placem_collection'!G41)</f>
        <v>42820</v>
      </c>
      <c r="O114" s="194">
        <f>IFERROR(INDEX('Both teabags AfterWet'!$C$3:$C$2000,MATCH(H114,'Both teabags AfterWet'!$A$3:$A$2000,0)),"")</f>
        <v>0.8327</v>
      </c>
      <c r="P114" s="194">
        <f>IFERROR(INDEX('Both teabags AfterWet'!$C$3:$C$2000,MATCH(I114,'Both teabags AfterWet'!$A$3:$A$2000,0)),"")</f>
        <v>1.4531000000000001</v>
      </c>
      <c r="Q114" s="194">
        <f t="shared" si="3"/>
        <v>0.68209999999999993</v>
      </c>
      <c r="R114" s="194">
        <f t="shared" si="3"/>
        <v>1.3025</v>
      </c>
      <c r="S114" s="194">
        <f t="shared" si="4"/>
        <v>0.60690410327339794</v>
      </c>
      <c r="T114" s="194">
        <f t="shared" si="5"/>
        <v>0.39787537411747709</v>
      </c>
      <c r="U114" s="194">
        <f t="shared" si="6"/>
        <v>0.66890920295809364</v>
      </c>
      <c r="V114">
        <f t="shared" si="1"/>
        <v>55</v>
      </c>
      <c r="W114" s="194">
        <f t="shared" si="7"/>
        <v>0.27921127877268648</v>
      </c>
      <c r="X114" s="194">
        <f t="shared" si="8"/>
        <v>3.2448484620141875E-2</v>
      </c>
      <c r="Y114" s="245" t="str">
        <f>IF(ISNUMBER(SEARCH("C",'WetLitterbags placem_collection'!$X41)),"YES","NO")</f>
        <v>NO</v>
      </c>
      <c r="Z114" s="245" t="str">
        <f>IF(ISNUMBER(SEARCH("H", 'WetLitterbags placem_collection'!$X41)),"YES","NO")</f>
        <v>NO</v>
      </c>
      <c r="AA114" s="245" t="str">
        <f>IF(ISNUMBER(SEARCH("R", 'WetLitterbags placem_collection'!$X41)),"YES","NO")</f>
        <v>YES</v>
      </c>
      <c r="AB114" s="245" t="str">
        <f>IF(ISNUMBER(SEARCH("C", 'WetLitterbags placem_collection'!$V41)),"YES","NO")</f>
        <v>NO</v>
      </c>
      <c r="AC114" s="245" t="str">
        <f>IF(ISNUMBER(SEARCH("H", 'WetLitterbags placem_collection'!$V41)),"YES","NO")</f>
        <v>NO</v>
      </c>
      <c r="AD114" s="245" t="str">
        <f>IF(ISNUMBER(SEARCH("R", 'WetLitterbags placem_collection'!$V41)),"YES","NO")</f>
        <v>YES</v>
      </c>
    </row>
    <row r="115" spans="2:30">
      <c r="B115" t="str">
        <f>Wetseason!B41</f>
        <v>Wet</v>
      </c>
      <c r="C115" s="253">
        <f>Wetseason!C41</f>
        <v>40</v>
      </c>
      <c r="D115" t="s">
        <v>3106</v>
      </c>
      <c r="E115" t="s">
        <v>22</v>
      </c>
      <c r="F115" s="375">
        <v>8</v>
      </c>
      <c r="G115" s="16">
        <f>'WetLitterbags placem_collection'!E42</f>
        <v>42765</v>
      </c>
      <c r="H115" t="str">
        <f>Wetseason!L41</f>
        <v>G582</v>
      </c>
      <c r="I115" t="str">
        <f>Wetseason!L261</f>
        <v>R114</v>
      </c>
      <c r="J115">
        <f>IFERROR(INDEX('Green_rooibos initial weight'!$C$5:$C$2000,MATCH(H115, 'Green_rooibos initial weight'!$A$5:$A$2000,0)),"")</f>
        <v>2.0219999999999998</v>
      </c>
      <c r="K115">
        <f>IFERROR(INDEX('Green_rooibos initial weight'!$C$5:$C$2000,MATCH(I115, 'Green_rooibos initial weight'!$A$5:$A$2000,0)),"")</f>
        <v>2.2450000000000001</v>
      </c>
      <c r="L115" s="194">
        <f t="shared" si="2"/>
        <v>1.7721999999999998</v>
      </c>
      <c r="M115" s="194">
        <f t="shared" si="0"/>
        <v>1.9952000000000001</v>
      </c>
      <c r="N115" s="16">
        <f>IF('WetLitterbags placem_collection'!G42="","",'WetLitterbags placem_collection'!G42)</f>
        <v>42820</v>
      </c>
      <c r="O115" s="194">
        <f>IFERROR(INDEX('Both teabags AfterWet'!$C$3:$C$2000,MATCH(H115,'Both teabags AfterWet'!$A$3:$A$2000,0)),"")</f>
        <v>0.89800000000000002</v>
      </c>
      <c r="P115" s="194">
        <f>IFERROR(INDEX('Both teabags AfterWet'!$C$3:$C$2000,MATCH(I115,'Both teabags AfterWet'!$A$3:$A$2000,0)),"")</f>
        <v>2.2269999999999999</v>
      </c>
      <c r="Q115" s="194">
        <f t="shared" si="3"/>
        <v>0.74740000000000006</v>
      </c>
      <c r="R115" s="194">
        <f t="shared" si="3"/>
        <v>2.0764</v>
      </c>
      <c r="S115" s="194">
        <f t="shared" si="4"/>
        <v>0.57826430425459874</v>
      </c>
      <c r="T115" s="194">
        <f t="shared" si="5"/>
        <v>0.37909963889375126</v>
      </c>
      <c r="U115" s="194">
        <f t="shared" si="6"/>
        <v>1.0406976744186047</v>
      </c>
      <c r="V115">
        <f t="shared" si="1"/>
        <v>55</v>
      </c>
      <c r="W115" s="194">
        <f t="shared" si="7"/>
        <v>0.31322529185914638</v>
      </c>
      <c r="X115" s="194">
        <f t="shared" si="8"/>
        <v>-1.8540534083072672E-3</v>
      </c>
      <c r="Y115" s="245" t="str">
        <f>IF(ISNUMBER(SEARCH("C",'WetLitterbags placem_collection'!$X42)),"YES","NO")</f>
        <v>NO</v>
      </c>
      <c r="Z115" s="245" t="str">
        <f>IF(ISNUMBER(SEARCH("H", 'WetLitterbags placem_collection'!$X42)),"YES","NO")</f>
        <v>NO</v>
      </c>
      <c r="AA115" s="245" t="str">
        <f>IF(ISNUMBER(SEARCH("R", 'WetLitterbags placem_collection'!$X42)),"YES","NO")</f>
        <v>YES</v>
      </c>
      <c r="AB115" s="245" t="str">
        <f>IF(ISNUMBER(SEARCH("C", 'WetLitterbags placem_collection'!$V42)),"YES","NO")</f>
        <v>NO</v>
      </c>
      <c r="AC115" s="245" t="str">
        <f>IF(ISNUMBER(SEARCH("H", 'WetLitterbags placem_collection'!$V42)),"YES","NO")</f>
        <v>YES</v>
      </c>
      <c r="AD115" s="245" t="str">
        <f>IF(ISNUMBER(SEARCH("R", 'WetLitterbags placem_collection'!$V42)),"YES","NO")</f>
        <v>NO</v>
      </c>
    </row>
    <row r="116" spans="2:30">
      <c r="B116" t="str">
        <f>Wetseason!B42</f>
        <v>Wet</v>
      </c>
      <c r="C116" s="253">
        <f>Wetseason!C42</f>
        <v>41</v>
      </c>
      <c r="D116" t="s">
        <v>3108</v>
      </c>
      <c r="E116" t="s">
        <v>22</v>
      </c>
      <c r="F116" s="374">
        <v>1</v>
      </c>
      <c r="G116" s="16">
        <f>'WetLitterbags placem_collection'!E43</f>
        <v>42766</v>
      </c>
      <c r="H116" t="str">
        <f>Wetseason!L42</f>
        <v>G453</v>
      </c>
      <c r="I116" t="str">
        <f>Wetseason!L262</f>
        <v>R521</v>
      </c>
      <c r="J116">
        <f>IFERROR(INDEX('Green_rooibos initial weight'!$C$5:$C$2000,MATCH(H116, 'Green_rooibos initial weight'!$A$5:$A$2000,0)),"")</f>
        <v>2.0790000000000002</v>
      </c>
      <c r="K116">
        <f>IFERROR(INDEX('Green_rooibos initial weight'!$C$5:$C$2000,MATCH(I116, 'Green_rooibos initial weight'!$A$5:$A$2000,0)),"")</f>
        <v>2.1440000000000001</v>
      </c>
      <c r="L116" s="194">
        <f t="shared" si="2"/>
        <v>1.8292000000000002</v>
      </c>
      <c r="M116" s="194">
        <f t="shared" si="0"/>
        <v>1.8942000000000001</v>
      </c>
      <c r="N116" s="16">
        <f>IF('WetLitterbags placem_collection'!G43="","",'WetLitterbags placem_collection'!G43)</f>
        <v>42820</v>
      </c>
      <c r="O116" s="194">
        <f>IFERROR(INDEX('Both teabags AfterWet'!$C$3:$C$2000,MATCH(H116,'Both teabags AfterWet'!$A$3:$A$2000,0)),"")</f>
        <v>1.0509999999999999</v>
      </c>
      <c r="P116" s="194">
        <f>IFERROR(INDEX('Both teabags AfterWet'!$C$3:$C$2000,MATCH(I116,'Both teabags AfterWet'!$A$3:$A$2000,0)),"")</f>
        <v>1.512</v>
      </c>
      <c r="Q116" s="194">
        <f t="shared" si="3"/>
        <v>0.90039999999999987</v>
      </c>
      <c r="R116" s="194">
        <f t="shared" si="3"/>
        <v>1.3613999999999999</v>
      </c>
      <c r="S116" s="194">
        <f t="shared" si="4"/>
        <v>0.50776295648370884</v>
      </c>
      <c r="T116" s="194">
        <f t="shared" si="5"/>
        <v>0.33288022800357164</v>
      </c>
      <c r="U116" s="194">
        <f t="shared" si="6"/>
        <v>0.71872030408615772</v>
      </c>
      <c r="V116">
        <f t="shared" si="1"/>
        <v>54</v>
      </c>
      <c r="W116" s="194">
        <f t="shared" si="7"/>
        <v>0.39695610868918185</v>
      </c>
      <c r="X116" s="194">
        <f t="shared" si="8"/>
        <v>3.4523162321590306E-2</v>
      </c>
      <c r="Y116" s="245" t="str">
        <f>IF(ISNUMBER(SEARCH("C",'WetLitterbags placem_collection'!$X43)),"YES","NO")</f>
        <v>NO</v>
      </c>
      <c r="Z116" s="245" t="str">
        <f>IF(ISNUMBER(SEARCH("H", 'WetLitterbags placem_collection'!$X43)),"YES","NO")</f>
        <v>NO</v>
      </c>
      <c r="AA116" s="245" t="str">
        <f>IF(ISNUMBER(SEARCH("R", 'WetLitterbags placem_collection'!$X43)),"YES","NO")</f>
        <v>YES</v>
      </c>
      <c r="AB116" s="245" t="str">
        <f>IF(ISNUMBER(SEARCH("C", 'WetLitterbags placem_collection'!$V43)),"YES","NO")</f>
        <v>NO</v>
      </c>
      <c r="AC116" s="245" t="str">
        <f>IF(ISNUMBER(SEARCH("H", 'WetLitterbags placem_collection'!$V43)),"YES","NO")</f>
        <v>YES</v>
      </c>
      <c r="AD116" s="245" t="str">
        <f>IF(ISNUMBER(SEARCH("R", 'WetLitterbags placem_collection'!$V43)),"YES","NO")</f>
        <v>YES</v>
      </c>
    </row>
    <row r="117" spans="2:30">
      <c r="B117" t="str">
        <f>Wetseason!B43</f>
        <v>Wet</v>
      </c>
      <c r="C117" s="253">
        <f>Wetseason!C43</f>
        <v>42</v>
      </c>
      <c r="D117" t="s">
        <v>3108</v>
      </c>
      <c r="E117" t="s">
        <v>22</v>
      </c>
      <c r="F117" s="374">
        <v>2</v>
      </c>
      <c r="G117" s="16">
        <f>'WetLitterbags placem_collection'!E44</f>
        <v>42766</v>
      </c>
      <c r="H117" t="str">
        <f>Wetseason!L43</f>
        <v>G764</v>
      </c>
      <c r="I117" t="str">
        <f>Wetseason!L263</f>
        <v>R371</v>
      </c>
      <c r="J117">
        <f>IFERROR(INDEX('Green_rooibos initial weight'!$C$5:$C$2000,MATCH(H117, 'Green_rooibos initial weight'!$A$5:$A$2000,0)),"")</f>
        <v>1.9510000000000001</v>
      </c>
      <c r="K117">
        <f>IFERROR(INDEX('Green_rooibos initial weight'!$C$5:$C$2000,MATCH(I117, 'Green_rooibos initial weight'!$A$5:$A$2000,0)),"")</f>
        <v>2.2530000000000001</v>
      </c>
      <c r="L117" s="194">
        <f t="shared" si="2"/>
        <v>1.7012</v>
      </c>
      <c r="M117" s="194">
        <f t="shared" si="0"/>
        <v>2.0032000000000001</v>
      </c>
      <c r="N117" s="16">
        <f>IF('WetLitterbags placem_collection'!G44="","",'WetLitterbags placem_collection'!G44)</f>
        <v>42820</v>
      </c>
      <c r="O117" s="194">
        <f>IFERROR(INDEX('Both teabags AfterWet'!$C$3:$C$2000,MATCH(H117,'Both teabags AfterWet'!$A$3:$A$2000,0)),"")</f>
        <v>0.72199999999999998</v>
      </c>
      <c r="P117" s="194">
        <f>IFERROR(INDEX('Both teabags AfterWet'!$C$3:$C$2000,MATCH(I117,'Both teabags AfterWet'!$A$3:$A$2000,0)),"")</f>
        <v>1.649</v>
      </c>
      <c r="Q117" s="194">
        <f t="shared" si="3"/>
        <v>0.57139999999999991</v>
      </c>
      <c r="R117" s="194">
        <f t="shared" si="3"/>
        <v>1.4984</v>
      </c>
      <c r="S117" s="194">
        <f t="shared" si="4"/>
        <v>0.66411944509757825</v>
      </c>
      <c r="T117" s="194">
        <f t="shared" si="5"/>
        <v>0.43538471935138151</v>
      </c>
      <c r="U117" s="194">
        <f t="shared" si="6"/>
        <v>0.7480031948881789</v>
      </c>
      <c r="V117">
        <f t="shared" si="1"/>
        <v>54</v>
      </c>
      <c r="W117" s="194">
        <f t="shared" si="7"/>
        <v>0.21125956639242482</v>
      </c>
      <c r="X117" s="194">
        <f t="shared" si="8"/>
        <v>1.6011599874893426E-2</v>
      </c>
      <c r="Y117" s="245" t="str">
        <f>IF(ISNUMBER(SEARCH("C",'WetLitterbags placem_collection'!$X44)),"YES","NO")</f>
        <v>NO</v>
      </c>
      <c r="Z117" s="245" t="str">
        <f>IF(ISNUMBER(SEARCH("H", 'WetLitterbags placem_collection'!$X44)),"YES","NO")</f>
        <v>NO</v>
      </c>
      <c r="AA117" s="245" t="str">
        <f>IF(ISNUMBER(SEARCH("R", 'WetLitterbags placem_collection'!$X44)),"YES","NO")</f>
        <v>NO</v>
      </c>
      <c r="AB117" s="245" t="str">
        <f>IF(ISNUMBER(SEARCH("C", 'WetLitterbags placem_collection'!$V44)),"YES","NO")</f>
        <v>NO</v>
      </c>
      <c r="AC117" s="245" t="str">
        <f>IF(ISNUMBER(SEARCH("H", 'WetLitterbags placem_collection'!$V44)),"YES","NO")</f>
        <v>YES</v>
      </c>
      <c r="AD117" s="245" t="str">
        <f>IF(ISNUMBER(SEARCH("R", 'WetLitterbags placem_collection'!$V44)),"YES","NO")</f>
        <v>NO</v>
      </c>
    </row>
    <row r="118" spans="2:30">
      <c r="B118" t="str">
        <f>Wetseason!B44</f>
        <v>Wet</v>
      </c>
      <c r="C118" s="253">
        <f>Wetseason!C44</f>
        <v>43</v>
      </c>
      <c r="D118" t="s">
        <v>3108</v>
      </c>
      <c r="E118" t="s">
        <v>22</v>
      </c>
      <c r="F118" s="374">
        <v>3</v>
      </c>
      <c r="G118" s="16">
        <f>'WetLitterbags placem_collection'!E45</f>
        <v>42766</v>
      </c>
      <c r="H118" t="str">
        <f>Wetseason!L44</f>
        <v>G690</v>
      </c>
      <c r="I118" t="str">
        <f>Wetseason!L264</f>
        <v>R376</v>
      </c>
      <c r="J118">
        <f>IFERROR(INDEX('Green_rooibos initial weight'!$C$5:$C$2000,MATCH(H118, 'Green_rooibos initial weight'!$A$5:$A$2000,0)),"")</f>
        <v>2.0739999999999998</v>
      </c>
      <c r="K118">
        <f>IFERROR(INDEX('Green_rooibos initial weight'!$C$5:$C$2000,MATCH(I118, 'Green_rooibos initial weight'!$A$5:$A$2000,0)),"")</f>
        <v>2.177</v>
      </c>
      <c r="L118" s="194">
        <f t="shared" si="2"/>
        <v>1.8241999999999998</v>
      </c>
      <c r="M118" s="194">
        <f t="shared" si="0"/>
        <v>1.9272</v>
      </c>
      <c r="N118" s="16">
        <f>IF('WetLitterbags placem_collection'!G45="","",'WetLitterbags placem_collection'!G45)</f>
        <v>42820</v>
      </c>
      <c r="O118" s="194">
        <f>IFERROR(INDEX('Both teabags AfterWet'!$C$3:$C$2000,MATCH(H118,'Both teabags AfterWet'!$A$3:$A$2000,0)),"")</f>
        <v>0.71519999999999995</v>
      </c>
      <c r="P118" s="194">
        <f>IFERROR(INDEX('Both teabags AfterWet'!$C$3:$C$2000,MATCH(I118,'Both teabags AfterWet'!$A$3:$A$2000,0)),"")</f>
        <v>1.3532999999999999</v>
      </c>
      <c r="Q118" s="194">
        <f t="shared" si="3"/>
        <v>0.56459999999999999</v>
      </c>
      <c r="R118" s="194">
        <f t="shared" si="3"/>
        <v>1.2026999999999999</v>
      </c>
      <c r="S118" s="194">
        <f t="shared" si="4"/>
        <v>0.69049446332638964</v>
      </c>
      <c r="T118" s="194">
        <f t="shared" si="5"/>
        <v>0.45267570517359518</v>
      </c>
      <c r="U118" s="194">
        <f t="shared" si="6"/>
        <v>0.62406600249065991</v>
      </c>
      <c r="V118">
        <f t="shared" si="1"/>
        <v>54</v>
      </c>
      <c r="W118" s="194">
        <f t="shared" si="7"/>
        <v>0.17993531671450158</v>
      </c>
      <c r="X118" s="194">
        <f t="shared" si="8"/>
        <v>3.2865382394999997E-2</v>
      </c>
      <c r="Y118" s="245" t="str">
        <f>IF(ISNUMBER(SEARCH("C",'WetLitterbags placem_collection'!$X45)),"YES","NO")</f>
        <v>NO</v>
      </c>
      <c r="Z118" s="245" t="str">
        <f>IF(ISNUMBER(SEARCH("H", 'WetLitterbags placem_collection'!$X45)),"YES","NO")</f>
        <v>NO</v>
      </c>
      <c r="AA118" s="245" t="str">
        <f>IF(ISNUMBER(SEARCH("R", 'WetLitterbags placem_collection'!$X45)),"YES","NO")</f>
        <v>YES</v>
      </c>
      <c r="AB118" s="245" t="str">
        <f>IF(ISNUMBER(SEARCH("C", 'WetLitterbags placem_collection'!$V45)),"YES","NO")</f>
        <v>NO</v>
      </c>
      <c r="AC118" s="245" t="str">
        <f>IF(ISNUMBER(SEARCH("H", 'WetLitterbags placem_collection'!$V45)),"YES","NO")</f>
        <v>YES</v>
      </c>
      <c r="AD118" s="245" t="str">
        <f>IF(ISNUMBER(SEARCH("R", 'WetLitterbags placem_collection'!$V45)),"YES","NO")</f>
        <v>YES</v>
      </c>
    </row>
    <row r="119" spans="2:30">
      <c r="B119" t="str">
        <f>Wetseason!B45</f>
        <v>Wet</v>
      </c>
      <c r="C119" s="253">
        <f>Wetseason!C45</f>
        <v>44</v>
      </c>
      <c r="D119" t="s">
        <v>3108</v>
      </c>
      <c r="E119" t="s">
        <v>22</v>
      </c>
      <c r="F119" s="375">
        <v>4</v>
      </c>
      <c r="G119" s="16">
        <f>'WetLitterbags placem_collection'!E46</f>
        <v>42766</v>
      </c>
      <c r="H119" t="str">
        <f>Wetseason!L45</f>
        <v>G774</v>
      </c>
      <c r="I119" t="str">
        <f>Wetseason!L265</f>
        <v>R166</v>
      </c>
      <c r="J119">
        <f>IFERROR(INDEX('Green_rooibos initial weight'!$C$5:$C$2000,MATCH(H119, 'Green_rooibos initial weight'!$A$5:$A$2000,0)),"")</f>
        <v>2.0049999999999999</v>
      </c>
      <c r="K119">
        <f>IFERROR(INDEX('Green_rooibos initial weight'!$C$5:$C$2000,MATCH(I119, 'Green_rooibos initial weight'!$A$5:$A$2000,0)),"")</f>
        <v>2.222</v>
      </c>
      <c r="L119" s="194">
        <f t="shared" si="2"/>
        <v>1.7551999999999999</v>
      </c>
      <c r="M119" s="194">
        <f t="shared" si="0"/>
        <v>1.9722</v>
      </c>
      <c r="N119" s="16">
        <f>IF('WetLitterbags placem_collection'!G46="","",'WetLitterbags placem_collection'!G46)</f>
        <v>42820</v>
      </c>
      <c r="O119" s="194">
        <f>IFERROR(INDEX('Both teabags AfterWet'!$C$3:$C$2000,MATCH(H119,'Both teabags AfterWet'!$A$3:$A$2000,0)),"")</f>
        <v>0.89559999999999995</v>
      </c>
      <c r="P119" s="194">
        <f>IFERROR(INDEX('Both teabags AfterWet'!$C$3:$C$2000,MATCH(I119,'Both teabags AfterWet'!$A$3:$A$2000,0)),"")</f>
        <v>1.6101000000000001</v>
      </c>
      <c r="Q119" s="194">
        <f t="shared" si="3"/>
        <v>0.74499999999999988</v>
      </c>
      <c r="R119" s="194">
        <f t="shared" si="3"/>
        <v>1.4595</v>
      </c>
      <c r="S119" s="194">
        <f t="shared" si="4"/>
        <v>0.57554694621695535</v>
      </c>
      <c r="T119" s="194">
        <f t="shared" si="5"/>
        <v>0.37731818801871658</v>
      </c>
      <c r="U119" s="194">
        <f t="shared" si="6"/>
        <v>0.74003650745360516</v>
      </c>
      <c r="V119">
        <f t="shared" si="1"/>
        <v>54</v>
      </c>
      <c r="W119" s="194">
        <f t="shared" si="7"/>
        <v>0.31645255793710769</v>
      </c>
      <c r="X119" s="194">
        <f t="shared" si="8"/>
        <v>2.1627553657165281E-2</v>
      </c>
      <c r="Y119" s="245" t="str">
        <f>IF(ISNUMBER(SEARCH("C",'WetLitterbags placem_collection'!$X46)),"YES","NO")</f>
        <v>NO</v>
      </c>
      <c r="Z119" s="245" t="str">
        <f>IF(ISNUMBER(SEARCH("H", 'WetLitterbags placem_collection'!$X46)),"YES","NO")</f>
        <v>NO</v>
      </c>
      <c r="AA119" s="245" t="str">
        <f>IF(ISNUMBER(SEARCH("R", 'WetLitterbags placem_collection'!$X46)),"YES","NO")</f>
        <v>YES</v>
      </c>
      <c r="AB119" s="245" t="str">
        <f>IF(ISNUMBER(SEARCH("C", 'WetLitterbags placem_collection'!$V46)),"YES","NO")</f>
        <v>NO</v>
      </c>
      <c r="AC119" s="245" t="str">
        <f>IF(ISNUMBER(SEARCH("H", 'WetLitterbags placem_collection'!$V46)),"YES","NO")</f>
        <v>NO</v>
      </c>
      <c r="AD119" s="245" t="str">
        <f>IF(ISNUMBER(SEARCH("R", 'WetLitterbags placem_collection'!$V46)),"YES","NO")</f>
        <v>YES</v>
      </c>
    </row>
    <row r="120" spans="2:30">
      <c r="B120" t="str">
        <f>Wetseason!B46</f>
        <v>Wet</v>
      </c>
      <c r="C120" s="253">
        <f>Wetseason!C46</f>
        <v>45</v>
      </c>
      <c r="D120" t="s">
        <v>3108</v>
      </c>
      <c r="E120" t="s">
        <v>22</v>
      </c>
      <c r="F120" s="375">
        <v>5</v>
      </c>
      <c r="G120" s="16">
        <f>'WetLitterbags placem_collection'!E47</f>
        <v>42766</v>
      </c>
      <c r="H120" t="str">
        <f>Wetseason!L46</f>
        <v>G519</v>
      </c>
      <c r="I120" t="str">
        <f>Wetseason!L266</f>
        <v>R469</v>
      </c>
      <c r="J120">
        <f>IFERROR(INDEX('Green_rooibos initial weight'!$C$5:$C$2000,MATCH(H120, 'Green_rooibos initial weight'!$A$5:$A$2000,0)),"")</f>
        <v>2.1429999999999998</v>
      </c>
      <c r="K120">
        <f>IFERROR(INDEX('Green_rooibos initial weight'!$C$5:$C$2000,MATCH(I120, 'Green_rooibos initial weight'!$A$5:$A$2000,0)),"")</f>
        <v>2.2309999999999999</v>
      </c>
      <c r="L120" s="194">
        <f t="shared" si="2"/>
        <v>1.8931999999999998</v>
      </c>
      <c r="M120" s="194">
        <f t="shared" si="0"/>
        <v>1.9811999999999999</v>
      </c>
      <c r="N120" s="16">
        <f>IF('WetLitterbags placem_collection'!G47="","",'WetLitterbags placem_collection'!G47)</f>
        <v>42820</v>
      </c>
      <c r="O120" s="194">
        <f>IFERROR(INDEX('Both teabags AfterWet'!$C$3:$C$2000,MATCH(H120,'Both teabags AfterWet'!$A$3:$A$2000,0)),"")</f>
        <v>0.77569999999999995</v>
      </c>
      <c r="P120" s="194">
        <f>IFERROR(INDEX('Both teabags AfterWet'!$C$3:$C$2000,MATCH(I120,'Both teabags AfterWet'!$A$3:$A$2000,0)),"")</f>
        <v>1.5804</v>
      </c>
      <c r="Q120" s="194">
        <f t="shared" si="3"/>
        <v>0.62509999999999999</v>
      </c>
      <c r="R120" s="194">
        <f t="shared" si="3"/>
        <v>1.4298</v>
      </c>
      <c r="S120" s="194">
        <f t="shared" si="4"/>
        <v>0.66981829706317342</v>
      </c>
      <c r="T120" s="194">
        <f t="shared" si="5"/>
        <v>0.43912078382288805</v>
      </c>
      <c r="U120" s="194">
        <f t="shared" si="6"/>
        <v>0.72168382798304065</v>
      </c>
      <c r="V120">
        <f t="shared" si="1"/>
        <v>54</v>
      </c>
      <c r="W120" s="194">
        <f t="shared" si="7"/>
        <v>0.20449133365418837</v>
      </c>
      <c r="X120" s="194">
        <f t="shared" si="8"/>
        <v>1.8603416157536037E-2</v>
      </c>
      <c r="Y120" s="245" t="str">
        <f>IF(ISNUMBER(SEARCH("C",'WetLitterbags placem_collection'!$X47)),"YES","NO")</f>
        <v>NO</v>
      </c>
      <c r="Z120" s="245" t="str">
        <f>IF(ISNUMBER(SEARCH("H", 'WetLitterbags placem_collection'!$X47)),"YES","NO")</f>
        <v>NO</v>
      </c>
      <c r="AA120" s="245" t="str">
        <f>IF(ISNUMBER(SEARCH("R", 'WetLitterbags placem_collection'!$X47)),"YES","NO")</f>
        <v>YES</v>
      </c>
      <c r="AB120" s="245" t="str">
        <f>IF(ISNUMBER(SEARCH("C", 'WetLitterbags placem_collection'!$V47)),"YES","NO")</f>
        <v>NO</v>
      </c>
      <c r="AC120" s="245" t="str">
        <f>IF(ISNUMBER(SEARCH("H", 'WetLitterbags placem_collection'!$V47)),"YES","NO")</f>
        <v>NO</v>
      </c>
      <c r="AD120" s="245" t="str">
        <f>IF(ISNUMBER(SEARCH("R", 'WetLitterbags placem_collection'!$V47)),"YES","NO")</f>
        <v>YES</v>
      </c>
    </row>
    <row r="121" spans="2:30">
      <c r="B121" t="str">
        <f>Wetseason!B47</f>
        <v>Wet</v>
      </c>
      <c r="C121" s="253">
        <f>Wetseason!C47</f>
        <v>46</v>
      </c>
      <c r="D121" t="s">
        <v>3108</v>
      </c>
      <c r="E121" t="s">
        <v>22</v>
      </c>
      <c r="F121" s="375">
        <v>6</v>
      </c>
      <c r="G121" s="16">
        <f>'WetLitterbags placem_collection'!E48</f>
        <v>42766</v>
      </c>
      <c r="H121" t="str">
        <f>Wetseason!L47</f>
        <v>G635</v>
      </c>
      <c r="I121" t="str">
        <f>Wetseason!L267</f>
        <v>R86</v>
      </c>
      <c r="J121">
        <f>IFERROR(INDEX('Green_rooibos initial weight'!$C$5:$C$2000,MATCH(H121, 'Green_rooibos initial weight'!$A$5:$A$2000,0)),"")</f>
        <v>2.073</v>
      </c>
      <c r="K121">
        <f>IFERROR(INDEX('Green_rooibos initial weight'!$C$5:$C$2000,MATCH(I121, 'Green_rooibos initial weight'!$A$5:$A$2000,0)),"")</f>
        <v>2.242</v>
      </c>
      <c r="L121" s="194">
        <f t="shared" si="2"/>
        <v>1.8231999999999999</v>
      </c>
      <c r="M121" s="194">
        <f t="shared" si="0"/>
        <v>1.9922</v>
      </c>
      <c r="N121" s="16">
        <f>IF('WetLitterbags placem_collection'!G48="","",'WetLitterbags placem_collection'!G48)</f>
        <v>42820</v>
      </c>
      <c r="O121" s="194" t="str">
        <f>IFERROR(INDEX('Both teabags AfterWet'!$C$3:$C$2000,MATCH(H121,'Both teabags AfterWet'!$A$3:$A$2000,0)),"")</f>
        <v/>
      </c>
      <c r="P121" s="194" t="str">
        <f>IFERROR(INDEX('Both teabags AfterWet'!$C$3:$C$2000,MATCH(I121,'Both teabags AfterWet'!$A$3:$A$2000,0)),"")</f>
        <v/>
      </c>
      <c r="Q121" s="194" t="str">
        <f t="shared" si="3"/>
        <v/>
      </c>
      <c r="R121" s="194" t="str">
        <f t="shared" si="3"/>
        <v/>
      </c>
      <c r="S121" s="194" t="str">
        <f t="shared" si="4"/>
        <v/>
      </c>
      <c r="T121" s="194" t="str">
        <f t="shared" si="5"/>
        <v/>
      </c>
      <c r="U121" s="194" t="str">
        <f t="shared" si="6"/>
        <v/>
      </c>
      <c r="V121">
        <f t="shared" si="1"/>
        <v>54</v>
      </c>
      <c r="W121" s="194" t="str">
        <f t="shared" si="7"/>
        <v/>
      </c>
      <c r="X121" s="194" t="str">
        <f t="shared" si="8"/>
        <v/>
      </c>
      <c r="Y121" s="245" t="str">
        <f>IF(ISNUMBER(SEARCH("C",'WetLitterbags placem_collection'!$X48)),"YES","NO")</f>
        <v>NO</v>
      </c>
      <c r="Z121" s="245" t="str">
        <f>IF(ISNUMBER(SEARCH("H", 'WetLitterbags placem_collection'!$X48)),"YES","NO")</f>
        <v>NO</v>
      </c>
      <c r="AA121" s="245" t="str">
        <f>IF(ISNUMBER(SEARCH("R", 'WetLitterbags placem_collection'!$X48)),"YES","NO")</f>
        <v>NO</v>
      </c>
      <c r="AB121" s="245" t="str">
        <f>IF(ISNUMBER(SEARCH("C", 'WetLitterbags placem_collection'!$V48)),"YES","NO")</f>
        <v>NO</v>
      </c>
      <c r="AC121" s="245" t="str">
        <f>IF(ISNUMBER(SEARCH("H", 'WetLitterbags placem_collection'!$V48)),"YES","NO")</f>
        <v>NO</v>
      </c>
      <c r="AD121" s="245" t="str">
        <f>IF(ISNUMBER(SEARCH("R", 'WetLitterbags placem_collection'!$V48)),"YES","NO")</f>
        <v>NO</v>
      </c>
    </row>
    <row r="122" spans="2:30">
      <c r="B122" t="str">
        <f>Wetseason!B48</f>
        <v>Wet</v>
      </c>
      <c r="C122" s="253">
        <f>Wetseason!C48</f>
        <v>47</v>
      </c>
      <c r="D122" t="s">
        <v>3108</v>
      </c>
      <c r="E122" t="s">
        <v>22</v>
      </c>
      <c r="F122" s="375">
        <v>7</v>
      </c>
      <c r="G122" s="16">
        <f>'WetLitterbags placem_collection'!E49</f>
        <v>42766</v>
      </c>
      <c r="H122" t="str">
        <f>Wetseason!L48</f>
        <v>G539</v>
      </c>
      <c r="I122" t="str">
        <f>Wetseason!L268</f>
        <v>R146</v>
      </c>
      <c r="J122">
        <f>IFERROR(INDEX('Green_rooibos initial weight'!$C$5:$C$2000,MATCH(H122, 'Green_rooibos initial weight'!$A$5:$A$2000,0)),"")</f>
        <v>2.1219999999999999</v>
      </c>
      <c r="K122">
        <f>IFERROR(INDEX('Green_rooibos initial weight'!$C$5:$C$2000,MATCH(I122, 'Green_rooibos initial weight'!$A$5:$A$2000,0)),"")</f>
        <v>2.2010000000000001</v>
      </c>
      <c r="L122" s="194">
        <f t="shared" si="2"/>
        <v>1.8721999999999999</v>
      </c>
      <c r="M122" s="194">
        <f t="shared" si="0"/>
        <v>1.9512</v>
      </c>
      <c r="N122" s="16">
        <f>IF('WetLitterbags placem_collection'!G49="","",'WetLitterbags placem_collection'!G49)</f>
        <v>42820</v>
      </c>
      <c r="O122" s="194">
        <f>IFERROR(INDEX('Both teabags AfterWet'!$C$3:$C$2000,MATCH(H122,'Both teabags AfterWet'!$A$3:$A$2000,0)),"")</f>
        <v>0.80700000000000005</v>
      </c>
      <c r="P122" s="194">
        <f>IFERROR(INDEX('Both teabags AfterWet'!$C$3:$C$2000,MATCH(I122,'Both teabags AfterWet'!$A$3:$A$2000,0)),"")</f>
        <v>1.651</v>
      </c>
      <c r="Q122" s="194">
        <f t="shared" si="3"/>
        <v>0.65640000000000009</v>
      </c>
      <c r="R122" s="194">
        <f t="shared" si="3"/>
        <v>1.5004</v>
      </c>
      <c r="S122" s="194">
        <f t="shared" si="4"/>
        <v>0.64939643200512753</v>
      </c>
      <c r="T122" s="194">
        <f t="shared" si="5"/>
        <v>0.42573257775158008</v>
      </c>
      <c r="U122" s="194">
        <f t="shared" si="6"/>
        <v>0.76896268962689618</v>
      </c>
      <c r="V122">
        <f t="shared" si="1"/>
        <v>54</v>
      </c>
      <c r="W122" s="194">
        <f t="shared" si="7"/>
        <v>0.22874533016018106</v>
      </c>
      <c r="X122" s="194">
        <f t="shared" si="8"/>
        <v>1.4488440602979479E-2</v>
      </c>
      <c r="Y122" s="245" t="str">
        <f>IF(ISNUMBER(SEARCH("C",'WetLitterbags placem_collection'!$X49)),"YES","NO")</f>
        <v>NO</v>
      </c>
      <c r="Z122" s="245" t="str">
        <f>IF(ISNUMBER(SEARCH("H", 'WetLitterbags placem_collection'!$X49)),"YES","NO")</f>
        <v>NO</v>
      </c>
      <c r="AA122" s="245" t="str">
        <f>IF(ISNUMBER(SEARCH("R", 'WetLitterbags placem_collection'!$X49)),"YES","NO")</f>
        <v>YES</v>
      </c>
      <c r="AB122" s="245" t="str">
        <f>IF(ISNUMBER(SEARCH("C", 'WetLitterbags placem_collection'!$V49)),"YES","NO")</f>
        <v>NO</v>
      </c>
      <c r="AC122" s="245" t="str">
        <f>IF(ISNUMBER(SEARCH("H", 'WetLitterbags placem_collection'!$V49)),"YES","NO")</f>
        <v>NO</v>
      </c>
      <c r="AD122" s="245" t="str">
        <f>IF(ISNUMBER(SEARCH("R", 'WetLitterbags placem_collection'!$V49)),"YES","NO")</f>
        <v>YES</v>
      </c>
    </row>
    <row r="123" spans="2:30">
      <c r="B123" t="str">
        <f>Wetseason!B49</f>
        <v>Wet</v>
      </c>
      <c r="C123" s="253">
        <f>Wetseason!C49</f>
        <v>48</v>
      </c>
      <c r="D123" t="s">
        <v>3108</v>
      </c>
      <c r="E123" t="s">
        <v>22</v>
      </c>
      <c r="F123" s="375">
        <v>8</v>
      </c>
      <c r="G123" s="16">
        <f>'WetLitterbags placem_collection'!E50</f>
        <v>42766</v>
      </c>
      <c r="H123" t="str">
        <f>Wetseason!L49</f>
        <v>G679</v>
      </c>
      <c r="I123" t="str">
        <f>Wetseason!L269</f>
        <v>R72</v>
      </c>
      <c r="J123">
        <f>IFERROR(INDEX('Green_rooibos initial weight'!$C$5:$C$2000,MATCH(H123, 'Green_rooibos initial weight'!$A$5:$A$2000,0)),"")</f>
        <v>2.052</v>
      </c>
      <c r="K123">
        <f>IFERROR(INDEX('Green_rooibos initial weight'!$C$5:$C$2000,MATCH(I123, 'Green_rooibos initial weight'!$A$5:$A$2000,0)),"")</f>
        <v>2.2349999999999999</v>
      </c>
      <c r="L123" s="194">
        <f t="shared" si="2"/>
        <v>1.8022</v>
      </c>
      <c r="M123" s="194">
        <f t="shared" si="0"/>
        <v>1.9851999999999999</v>
      </c>
      <c r="N123" s="16">
        <f>IF('WetLitterbags placem_collection'!G50="","",'WetLitterbags placem_collection'!G50)</f>
        <v>42820</v>
      </c>
      <c r="O123" s="194">
        <f>IFERROR(INDEX('Both teabags AfterWet'!$C$3:$C$2000,MATCH(H123,'Both teabags AfterWet'!$A$3:$A$2000,0)),"")</f>
        <v>0.83199999999999996</v>
      </c>
      <c r="P123" s="194">
        <f>IFERROR(INDEX('Both teabags AfterWet'!$C$3:$C$2000,MATCH(I123,'Both teabags AfterWet'!$A$3:$A$2000,0)),"")</f>
        <v>1.6359999999999999</v>
      </c>
      <c r="Q123" s="194">
        <f t="shared" si="3"/>
        <v>0.68140000000000001</v>
      </c>
      <c r="R123" s="194">
        <f t="shared" si="3"/>
        <v>1.4853999999999998</v>
      </c>
      <c r="S123" s="194">
        <f t="shared" si="4"/>
        <v>0.62190655865053823</v>
      </c>
      <c r="T123" s="194">
        <f t="shared" si="5"/>
        <v>0.40771071303455714</v>
      </c>
      <c r="U123" s="194">
        <f t="shared" si="6"/>
        <v>0.74823695345557117</v>
      </c>
      <c r="V123">
        <f t="shared" si="1"/>
        <v>54</v>
      </c>
      <c r="W123" s="194">
        <f t="shared" si="7"/>
        <v>0.26139363580696173</v>
      </c>
      <c r="X123" s="194">
        <f t="shared" si="8"/>
        <v>1.7796989009063176E-2</v>
      </c>
      <c r="Y123" s="245" t="str">
        <f>IF(ISNUMBER(SEARCH("C",'WetLitterbags placem_collection'!$X50)),"YES","NO")</f>
        <v>NO</v>
      </c>
      <c r="Z123" s="245" t="str">
        <f>IF(ISNUMBER(SEARCH("H", 'WetLitterbags placem_collection'!$X50)),"YES","NO")</f>
        <v>NO</v>
      </c>
      <c r="AA123" s="245" t="str">
        <f>IF(ISNUMBER(SEARCH("R", 'WetLitterbags placem_collection'!$X50)),"YES","NO")</f>
        <v>YES</v>
      </c>
      <c r="AB123" s="245" t="str">
        <f>IF(ISNUMBER(SEARCH("C", 'WetLitterbags placem_collection'!$V50)),"YES","NO")</f>
        <v>NO</v>
      </c>
      <c r="AC123" s="245" t="str">
        <f>IF(ISNUMBER(SEARCH("H", 'WetLitterbags placem_collection'!$V50)),"YES","NO")</f>
        <v>NO</v>
      </c>
      <c r="AD123" s="245" t="str">
        <f>IF(ISNUMBER(SEARCH("R", 'WetLitterbags placem_collection'!$V50)),"YES","NO")</f>
        <v>YES</v>
      </c>
    </row>
    <row r="124" spans="2:30">
      <c r="B124" t="str">
        <f>Wetseason!B50</f>
        <v>Wet</v>
      </c>
      <c r="C124" s="253">
        <f>Wetseason!C50</f>
        <v>49</v>
      </c>
      <c r="D124" t="s">
        <v>3109</v>
      </c>
      <c r="E124" t="s">
        <v>22</v>
      </c>
      <c r="F124" s="374">
        <v>1</v>
      </c>
      <c r="G124" s="16">
        <f>'WetLitterbags placem_collection'!E51</f>
        <v>42766</v>
      </c>
      <c r="H124" t="str">
        <f>Wetseason!L50</f>
        <v>G346</v>
      </c>
      <c r="I124" t="str">
        <f>Wetseason!L270</f>
        <v>R28</v>
      </c>
      <c r="J124">
        <f>IFERROR(INDEX('Green_rooibos initial weight'!$C$5:$C$2000,MATCH(H124, 'Green_rooibos initial weight'!$A$5:$A$2000,0)),"")</f>
        <v>2.012</v>
      </c>
      <c r="K124">
        <f>IFERROR(INDEX('Green_rooibos initial weight'!$C$5:$C$2000,MATCH(I124, 'Green_rooibos initial weight'!$A$5:$A$2000,0)),"")</f>
        <v>2.1030000000000002</v>
      </c>
      <c r="L124" s="194">
        <f t="shared" si="2"/>
        <v>1.7622</v>
      </c>
      <c r="M124" s="194">
        <f t="shared" si="0"/>
        <v>1.8532000000000002</v>
      </c>
      <c r="N124" s="16">
        <f>IF('WetLitterbags placem_collection'!G51="","",'WetLitterbags placem_collection'!G51)</f>
        <v>42820</v>
      </c>
      <c r="O124" s="194">
        <f>IFERROR(INDEX('Both teabags AfterWet'!$C$3:$C$2000,MATCH(H124,'Both teabags AfterWet'!$A$3:$A$2000,0)),"")</f>
        <v>1.0001</v>
      </c>
      <c r="P124" s="194">
        <f>IFERROR(INDEX('Both teabags AfterWet'!$C$3:$C$2000,MATCH(I124,'Both teabags AfterWet'!$A$3:$A$2000,0)),"")</f>
        <v>1.5992999999999999</v>
      </c>
      <c r="Q124" s="194">
        <f t="shared" si="3"/>
        <v>0.84949999999999992</v>
      </c>
      <c r="R124" s="194">
        <f t="shared" si="3"/>
        <v>1.4486999999999999</v>
      </c>
      <c r="S124" s="194">
        <f t="shared" si="4"/>
        <v>0.51793213029168084</v>
      </c>
      <c r="T124" s="194">
        <f t="shared" si="5"/>
        <v>0.33954695477554375</v>
      </c>
      <c r="U124" s="194">
        <f t="shared" si="6"/>
        <v>0.78172890135980988</v>
      </c>
      <c r="V124">
        <f t="shared" si="1"/>
        <v>54</v>
      </c>
      <c r="W124" s="194">
        <f t="shared" si="7"/>
        <v>0.38487870511676858</v>
      </c>
      <c r="X124" s="194">
        <f t="shared" si="8"/>
        <v>1.9065638695299446E-2</v>
      </c>
      <c r="Y124" s="245" t="str">
        <f>IF(ISNUMBER(SEARCH("C",'WetLitterbags placem_collection'!$X51)),"YES","NO")</f>
        <v>NO</v>
      </c>
      <c r="Z124" s="245" t="str">
        <f>IF(ISNUMBER(SEARCH("H", 'WetLitterbags placem_collection'!$X51)),"YES","NO")</f>
        <v>NO</v>
      </c>
      <c r="AA124" s="245" t="str">
        <f>IF(ISNUMBER(SEARCH("R", 'WetLitterbags placem_collection'!$X51)),"YES","NO")</f>
        <v>YES</v>
      </c>
      <c r="AB124" s="245" t="str">
        <f>IF(ISNUMBER(SEARCH("C", 'WetLitterbags placem_collection'!$V51)),"YES","NO")</f>
        <v>NO</v>
      </c>
      <c r="AC124" s="245" t="str">
        <f>IF(ISNUMBER(SEARCH("H", 'WetLitterbags placem_collection'!$V51)),"YES","NO")</f>
        <v>NO</v>
      </c>
      <c r="AD124" s="245" t="str">
        <f>IF(ISNUMBER(SEARCH("R", 'WetLitterbags placem_collection'!$V51)),"YES","NO")</f>
        <v>YES</v>
      </c>
    </row>
    <row r="125" spans="2:30">
      <c r="B125" t="str">
        <f>Wetseason!B51</f>
        <v>Wet</v>
      </c>
      <c r="C125" s="253">
        <f>Wetseason!C51</f>
        <v>50</v>
      </c>
      <c r="D125" t="s">
        <v>3109</v>
      </c>
      <c r="E125" t="s">
        <v>22</v>
      </c>
      <c r="F125" s="374">
        <v>2</v>
      </c>
      <c r="G125" s="16">
        <f>'WetLitterbags placem_collection'!E52</f>
        <v>42766</v>
      </c>
      <c r="H125" t="str">
        <f>Wetseason!L51</f>
        <v>G418</v>
      </c>
      <c r="I125" t="str">
        <f>Wetseason!L271</f>
        <v>R5</v>
      </c>
      <c r="J125">
        <f>IFERROR(INDEX('Green_rooibos initial weight'!$C$5:$C$2000,MATCH(H125, 'Green_rooibos initial weight'!$A$5:$A$2000,0)),"")</f>
        <v>2.016</v>
      </c>
      <c r="K125">
        <f>IFERROR(INDEX('Green_rooibos initial weight'!$C$5:$C$2000,MATCH(I125, 'Green_rooibos initial weight'!$A$5:$A$2000,0)),"")</f>
        <v>2.1800000000000002</v>
      </c>
      <c r="L125" s="194">
        <f t="shared" si="2"/>
        <v>1.7662</v>
      </c>
      <c r="M125" s="194">
        <f t="shared" si="0"/>
        <v>1.9302000000000001</v>
      </c>
      <c r="N125" s="16">
        <f>IF('WetLitterbags placem_collection'!G52="","",'WetLitterbags placem_collection'!G52)</f>
        <v>42820</v>
      </c>
      <c r="O125" s="194" t="str">
        <f>IFERROR(INDEX('Both teabags AfterWet'!$C$3:$C$2000,MATCH(H125,'Both teabags AfterWet'!$A$3:$A$2000,0)),"")</f>
        <v/>
      </c>
      <c r="P125" s="194">
        <f>IFERROR(INDEX('Both teabags AfterWet'!$C$3:$C$2000,MATCH(I125,'Both teabags AfterWet'!$A$3:$A$2000,0)),"")</f>
        <v>0.32769999999999999</v>
      </c>
      <c r="Q125" s="194" t="str">
        <f t="shared" si="3"/>
        <v/>
      </c>
      <c r="R125" s="194">
        <f t="shared" si="3"/>
        <v>0.17709999999999998</v>
      </c>
      <c r="S125" s="194" t="str">
        <f t="shared" si="4"/>
        <v/>
      </c>
      <c r="T125" s="194" t="str">
        <f t="shared" si="5"/>
        <v/>
      </c>
      <c r="U125" s="194">
        <f t="shared" si="6"/>
        <v>9.1752150036265662E-2</v>
      </c>
      <c r="V125">
        <f t="shared" si="1"/>
        <v>54</v>
      </c>
      <c r="W125" s="194" t="str">
        <f t="shared" si="7"/>
        <v/>
      </c>
      <c r="X125" s="194" t="str">
        <f t="shared" si="8"/>
        <v/>
      </c>
      <c r="Y125" s="245" t="str">
        <f>IF(ISNUMBER(SEARCH("C",'WetLitterbags placem_collection'!$X52)),"YES","NO")</f>
        <v>NO</v>
      </c>
      <c r="Z125" s="245" t="str">
        <f>IF(ISNUMBER(SEARCH("H", 'WetLitterbags placem_collection'!$X52)),"YES","NO")</f>
        <v>NO</v>
      </c>
      <c r="AA125" s="245" t="str">
        <f>IF(ISNUMBER(SEARCH("R", 'WetLitterbags placem_collection'!$X52)),"YES","NO")</f>
        <v>NO</v>
      </c>
      <c r="AB125" s="245" t="str">
        <f>IF(ISNUMBER(SEARCH("C", 'WetLitterbags placem_collection'!$V52)),"YES","NO")</f>
        <v>NO</v>
      </c>
      <c r="AC125" s="245" t="str">
        <f>IF(ISNUMBER(SEARCH("H", 'WetLitterbags placem_collection'!$V52)),"YES","NO")</f>
        <v>NO</v>
      </c>
      <c r="AD125" s="245" t="str">
        <f>IF(ISNUMBER(SEARCH("R", 'WetLitterbags placem_collection'!$V52)),"YES","NO")</f>
        <v>NO</v>
      </c>
    </row>
    <row r="126" spans="2:30">
      <c r="B126" t="str">
        <f>Wetseason!B52</f>
        <v>Wet</v>
      </c>
      <c r="C126" s="253">
        <f>Wetseason!C52</f>
        <v>51</v>
      </c>
      <c r="D126" t="s">
        <v>3109</v>
      </c>
      <c r="E126" t="s">
        <v>22</v>
      </c>
      <c r="F126" s="374">
        <v>3</v>
      </c>
      <c r="G126" s="16">
        <f>'WetLitterbags placem_collection'!E53</f>
        <v>42766</v>
      </c>
      <c r="H126" t="str">
        <f>Wetseason!L52</f>
        <v>G548</v>
      </c>
      <c r="I126" t="str">
        <f>Wetseason!L272</f>
        <v>R85</v>
      </c>
      <c r="J126">
        <f>IFERROR(INDEX('Green_rooibos initial weight'!$C$5:$C$2000,MATCH(H126, 'Green_rooibos initial weight'!$A$5:$A$2000,0)),"")</f>
        <v>2.169</v>
      </c>
      <c r="K126">
        <f>IFERROR(INDEX('Green_rooibos initial weight'!$C$5:$C$2000,MATCH(I126, 'Green_rooibos initial weight'!$A$5:$A$2000,0)),"")</f>
        <v>2.1930000000000001</v>
      </c>
      <c r="L126" s="194">
        <f t="shared" si="2"/>
        <v>1.9192</v>
      </c>
      <c r="M126" s="194">
        <f t="shared" si="0"/>
        <v>1.9432</v>
      </c>
      <c r="N126" s="16">
        <f>IF('WetLitterbags placem_collection'!G53="","",'WetLitterbags placem_collection'!G53)</f>
        <v>42820</v>
      </c>
      <c r="O126" s="194">
        <f>IFERROR(INDEX('Both teabags AfterWet'!$C$3:$C$2000,MATCH(H126,'Both teabags AfterWet'!$A$3:$A$2000,0)),"")</f>
        <v>0.86399999999999999</v>
      </c>
      <c r="P126" s="194">
        <f>IFERROR(INDEX('Both teabags AfterWet'!$C$3:$C$2000,MATCH(I126,'Both teabags AfterWet'!$A$3:$A$2000,0)),"")</f>
        <v>1.599</v>
      </c>
      <c r="Q126" s="194">
        <f t="shared" si="3"/>
        <v>0.71340000000000003</v>
      </c>
      <c r="R126" s="194">
        <f t="shared" si="3"/>
        <v>1.4483999999999999</v>
      </c>
      <c r="S126" s="194">
        <f t="shared" si="4"/>
        <v>0.62828261775739891</v>
      </c>
      <c r="T126" s="194">
        <f t="shared" si="5"/>
        <v>0.41189074228276035</v>
      </c>
      <c r="U126" s="194">
        <f t="shared" si="6"/>
        <v>0.74536846438863724</v>
      </c>
      <c r="V126">
        <f t="shared" si="1"/>
        <v>54</v>
      </c>
      <c r="W126" s="194">
        <f t="shared" si="7"/>
        <v>0.25382111905297045</v>
      </c>
      <c r="X126" s="194">
        <f t="shared" si="8"/>
        <v>1.7830790438708017E-2</v>
      </c>
      <c r="Y126" s="245" t="str">
        <f>IF(ISNUMBER(SEARCH("C",'WetLitterbags placem_collection'!$X53)),"YES","NO")</f>
        <v>NO</v>
      </c>
      <c r="Z126" s="245" t="str">
        <f>IF(ISNUMBER(SEARCH("H", 'WetLitterbags placem_collection'!$X53)),"YES","NO")</f>
        <v>NO</v>
      </c>
      <c r="AA126" s="245" t="str">
        <f>IF(ISNUMBER(SEARCH("R", 'WetLitterbags placem_collection'!$X53)),"YES","NO")</f>
        <v>YES</v>
      </c>
      <c r="AB126" s="245" t="str">
        <f>IF(ISNUMBER(SEARCH("C", 'WetLitterbags placem_collection'!$V53)),"YES","NO")</f>
        <v>NO</v>
      </c>
      <c r="AC126" s="245" t="str">
        <f>IF(ISNUMBER(SEARCH("H", 'WetLitterbags placem_collection'!$V53)),"YES","NO")</f>
        <v>NO</v>
      </c>
      <c r="AD126" s="245" t="str">
        <f>IF(ISNUMBER(SEARCH("R", 'WetLitterbags placem_collection'!$V53)),"YES","NO")</f>
        <v>YES</v>
      </c>
    </row>
    <row r="127" spans="2:30">
      <c r="B127" t="str">
        <f>Wetseason!B53</f>
        <v>Wet</v>
      </c>
      <c r="C127" s="253">
        <f>Wetseason!C53</f>
        <v>52</v>
      </c>
      <c r="D127" t="s">
        <v>3109</v>
      </c>
      <c r="E127" t="s">
        <v>22</v>
      </c>
      <c r="F127" s="375">
        <v>4</v>
      </c>
      <c r="G127" s="16">
        <f>'WetLitterbags placem_collection'!E54</f>
        <v>42766</v>
      </c>
      <c r="H127" t="str">
        <f>Wetseason!L53</f>
        <v>G638</v>
      </c>
      <c r="I127" t="str">
        <f>Wetseason!L273</f>
        <v>R513</v>
      </c>
      <c r="J127">
        <f>IFERROR(INDEX('Green_rooibos initial weight'!$C$5:$C$2000,MATCH(H127, 'Green_rooibos initial weight'!$A$5:$A$2000,0)),"")</f>
        <v>2.0409999999999999</v>
      </c>
      <c r="K127">
        <f>IFERROR(INDEX('Green_rooibos initial weight'!$C$5:$C$2000,MATCH(I127, 'Green_rooibos initial weight'!$A$5:$A$2000,0)),"")</f>
        <v>2.1389999999999998</v>
      </c>
      <c r="L127" s="194">
        <f t="shared" si="2"/>
        <v>1.7911999999999999</v>
      </c>
      <c r="M127" s="194">
        <f t="shared" si="0"/>
        <v>1.8891999999999998</v>
      </c>
      <c r="N127" s="16">
        <f>IF('WetLitterbags placem_collection'!G54="","",'WetLitterbags placem_collection'!G54)</f>
        <v>42820</v>
      </c>
      <c r="O127" s="194">
        <f>IFERROR(INDEX('Both teabags AfterWet'!$C$3:$C$2000,MATCH(H127,'Both teabags AfterWet'!$A$3:$A$2000,0)),"")</f>
        <v>1.075</v>
      </c>
      <c r="P127" s="194">
        <f>IFERROR(INDEX('Both teabags AfterWet'!$C$3:$C$2000,MATCH(I127,'Both teabags AfterWet'!$A$3:$A$2000,0)),"")</f>
        <v>1.6279999999999999</v>
      </c>
      <c r="Q127" s="194">
        <f t="shared" si="3"/>
        <v>0.92439999999999989</v>
      </c>
      <c r="R127" s="194">
        <f t="shared" si="3"/>
        <v>1.4773999999999998</v>
      </c>
      <c r="S127" s="194">
        <f t="shared" si="4"/>
        <v>0.4839213934792318</v>
      </c>
      <c r="T127" s="194">
        <f t="shared" si="5"/>
        <v>0.31725012969184796</v>
      </c>
      <c r="U127" s="194">
        <f t="shared" si="6"/>
        <v>0.78202413720093167</v>
      </c>
      <c r="V127">
        <f t="shared" si="1"/>
        <v>54</v>
      </c>
      <c r="W127" s="194">
        <f t="shared" si="7"/>
        <v>0.42527150418143489</v>
      </c>
      <c r="X127" s="194">
        <f t="shared" si="8"/>
        <v>2.1514891166947162E-2</v>
      </c>
      <c r="Y127" s="245" t="str">
        <f>IF(ISNUMBER(SEARCH("C",'WetLitterbags placem_collection'!$X54)),"YES","NO")</f>
        <v>NO</v>
      </c>
      <c r="Z127" s="245" t="str">
        <f>IF(ISNUMBER(SEARCH("H", 'WetLitterbags placem_collection'!$X54)),"YES","NO")</f>
        <v>NO</v>
      </c>
      <c r="AA127" s="245" t="str">
        <f>IF(ISNUMBER(SEARCH("R", 'WetLitterbags placem_collection'!$X54)),"YES","NO")</f>
        <v>YES</v>
      </c>
      <c r="AB127" s="245" t="str">
        <f>IF(ISNUMBER(SEARCH("C", 'WetLitterbags placem_collection'!$V54)),"YES","NO")</f>
        <v>NO</v>
      </c>
      <c r="AC127" s="245" t="str">
        <f>IF(ISNUMBER(SEARCH("H", 'WetLitterbags placem_collection'!$V54)),"YES","NO")</f>
        <v>YES</v>
      </c>
      <c r="AD127" s="245" t="str">
        <f>IF(ISNUMBER(SEARCH("R", 'WetLitterbags placem_collection'!$V54)),"YES","NO")</f>
        <v>YES</v>
      </c>
    </row>
    <row r="128" spans="2:30">
      <c r="B128" t="str">
        <f>Wetseason!B54</f>
        <v>Wet</v>
      </c>
      <c r="C128" s="253">
        <f>Wetseason!C54</f>
        <v>53</v>
      </c>
      <c r="D128" t="s">
        <v>3109</v>
      </c>
      <c r="E128" t="s">
        <v>22</v>
      </c>
      <c r="F128" s="375">
        <v>5</v>
      </c>
      <c r="G128" s="16">
        <f>'WetLitterbags placem_collection'!E55</f>
        <v>42766</v>
      </c>
      <c r="H128" t="str">
        <f>Wetseason!L54</f>
        <v>G426</v>
      </c>
      <c r="I128" t="str">
        <f>Wetseason!L274</f>
        <v>R399</v>
      </c>
      <c r="J128">
        <f>IFERROR(INDEX('Green_rooibos initial weight'!$C$5:$C$2000,MATCH(H128, 'Green_rooibos initial weight'!$A$5:$A$2000,0)),"")</f>
        <v>2.0230000000000001</v>
      </c>
      <c r="K128">
        <f>IFERROR(INDEX('Green_rooibos initial weight'!$C$5:$C$2000,MATCH(I128, 'Green_rooibos initial weight'!$A$5:$A$2000,0)),"")</f>
        <v>2.1389999999999998</v>
      </c>
      <c r="L128" s="194">
        <f t="shared" si="2"/>
        <v>1.7732000000000001</v>
      </c>
      <c r="M128" s="194">
        <f t="shared" si="0"/>
        <v>1.8891999999999998</v>
      </c>
      <c r="N128" s="16">
        <f>IF('WetLitterbags placem_collection'!G55="","",'WetLitterbags placem_collection'!G55)</f>
        <v>42820</v>
      </c>
      <c r="O128" s="194" t="str">
        <f>IFERROR(INDEX('Both teabags AfterWet'!$C$3:$C$2000,MATCH(H128,'Both teabags AfterWet'!$A$3:$A$2000,0)),"")</f>
        <v/>
      </c>
      <c r="P128" s="194" t="str">
        <f>IFERROR(INDEX('Both teabags AfterWet'!$C$3:$C$2000,MATCH(I128,'Both teabags AfterWet'!$A$3:$A$2000,0)),"")</f>
        <v/>
      </c>
      <c r="Q128" s="194" t="str">
        <f t="shared" si="3"/>
        <v/>
      </c>
      <c r="R128" s="194" t="str">
        <f t="shared" si="3"/>
        <v/>
      </c>
      <c r="S128" s="194" t="str">
        <f t="shared" si="4"/>
        <v/>
      </c>
      <c r="T128" s="194" t="str">
        <f t="shared" si="5"/>
        <v/>
      </c>
      <c r="U128" s="194" t="str">
        <f t="shared" si="6"/>
        <v/>
      </c>
      <c r="V128">
        <f t="shared" si="1"/>
        <v>54</v>
      </c>
      <c r="W128" s="194" t="str">
        <f t="shared" si="7"/>
        <v/>
      </c>
      <c r="X128" s="194" t="str">
        <f t="shared" si="8"/>
        <v/>
      </c>
      <c r="Y128" s="245" t="str">
        <f>IF(ISNUMBER(SEARCH("C",'WetLitterbags placem_collection'!$X55)),"YES","NO")</f>
        <v>NO</v>
      </c>
      <c r="Z128" s="245" t="str">
        <f>IF(ISNUMBER(SEARCH("H", 'WetLitterbags placem_collection'!$X55)),"YES","NO")</f>
        <v>NO</v>
      </c>
      <c r="AA128" s="245" t="str">
        <f>IF(ISNUMBER(SEARCH("R", 'WetLitterbags placem_collection'!$X55)),"YES","NO")</f>
        <v>NO</v>
      </c>
      <c r="AB128" s="245" t="str">
        <f>IF(ISNUMBER(SEARCH("C", 'WetLitterbags placem_collection'!$V55)),"YES","NO")</f>
        <v>NO</v>
      </c>
      <c r="AC128" s="245" t="str">
        <f>IF(ISNUMBER(SEARCH("H", 'WetLitterbags placem_collection'!$V55)),"YES","NO")</f>
        <v>NO</v>
      </c>
      <c r="AD128" s="245" t="str">
        <f>IF(ISNUMBER(SEARCH("R", 'WetLitterbags placem_collection'!$V55)),"YES","NO")</f>
        <v>NO</v>
      </c>
    </row>
    <row r="129" spans="2:30">
      <c r="B129" t="str">
        <f>Wetseason!B55</f>
        <v>Wet</v>
      </c>
      <c r="C129" s="253">
        <f>Wetseason!C55</f>
        <v>54</v>
      </c>
      <c r="D129" t="s">
        <v>3109</v>
      </c>
      <c r="E129" t="s">
        <v>22</v>
      </c>
      <c r="F129" s="375">
        <v>6</v>
      </c>
      <c r="G129" s="16">
        <f>'WetLitterbags placem_collection'!E56</f>
        <v>42766</v>
      </c>
      <c r="H129" t="str">
        <f>Wetseason!L55</f>
        <v>G589</v>
      </c>
      <c r="I129" t="str">
        <f>Wetseason!L275</f>
        <v>R400</v>
      </c>
      <c r="J129">
        <f>IFERROR(INDEX('Green_rooibos initial weight'!$C$5:$C$2000,MATCH(H129, 'Green_rooibos initial weight'!$A$5:$A$2000,0)),"")</f>
        <v>2.0419999999999998</v>
      </c>
      <c r="K129">
        <f>IFERROR(INDEX('Green_rooibos initial weight'!$C$5:$C$2000,MATCH(I129, 'Green_rooibos initial weight'!$A$5:$A$2000,0)),"")</f>
        <v>2.181</v>
      </c>
      <c r="L129" s="194">
        <f t="shared" si="2"/>
        <v>1.7921999999999998</v>
      </c>
      <c r="M129" s="194">
        <f t="shared" si="0"/>
        <v>1.9312</v>
      </c>
      <c r="N129" s="16">
        <f>IF('WetLitterbags placem_collection'!G56="","",'WetLitterbags placem_collection'!G56)</f>
        <v>42820</v>
      </c>
      <c r="O129" s="194" t="str">
        <f>IFERROR(INDEX('Both teabags AfterWet'!$C$3:$C$2000,MATCH(H129,'Both teabags AfterWet'!$A$3:$A$2000,0)),"")</f>
        <v/>
      </c>
      <c r="P129" s="194" t="str">
        <f>IFERROR(INDEX('Both teabags AfterWet'!$C$3:$C$2000,MATCH(I129,'Both teabags AfterWet'!$A$3:$A$2000,0)),"")</f>
        <v/>
      </c>
      <c r="Q129" s="194" t="str">
        <f t="shared" si="3"/>
        <v/>
      </c>
      <c r="R129" s="194" t="str">
        <f t="shared" si="3"/>
        <v/>
      </c>
      <c r="S129" s="194" t="str">
        <f t="shared" si="4"/>
        <v/>
      </c>
      <c r="T129" s="194" t="str">
        <f t="shared" si="5"/>
        <v/>
      </c>
      <c r="U129" s="194" t="str">
        <f t="shared" si="6"/>
        <v/>
      </c>
      <c r="V129">
        <f t="shared" si="1"/>
        <v>54</v>
      </c>
      <c r="W129" s="194" t="str">
        <f t="shared" si="7"/>
        <v/>
      </c>
      <c r="X129" s="194" t="str">
        <f t="shared" si="8"/>
        <v/>
      </c>
      <c r="Y129" s="245" t="str">
        <f>IF(ISNUMBER(SEARCH("C",'WetLitterbags placem_collection'!$X56)),"YES","NO")</f>
        <v>NO</v>
      </c>
      <c r="Z129" s="245" t="str">
        <f>IF(ISNUMBER(SEARCH("H", 'WetLitterbags placem_collection'!$X56)),"YES","NO")</f>
        <v>NO</v>
      </c>
      <c r="AA129" s="245" t="str">
        <f>IF(ISNUMBER(SEARCH("R", 'WetLitterbags placem_collection'!$X56)),"YES","NO")</f>
        <v>NO</v>
      </c>
      <c r="AB129" s="245" t="str">
        <f>IF(ISNUMBER(SEARCH("C", 'WetLitterbags placem_collection'!$V56)),"YES","NO")</f>
        <v>NO</v>
      </c>
      <c r="AC129" s="245" t="str">
        <f>IF(ISNUMBER(SEARCH("H", 'WetLitterbags placem_collection'!$V56)),"YES","NO")</f>
        <v>NO</v>
      </c>
      <c r="AD129" s="245" t="str">
        <f>IF(ISNUMBER(SEARCH("R", 'WetLitterbags placem_collection'!$V56)),"YES","NO")</f>
        <v>NO</v>
      </c>
    </row>
    <row r="130" spans="2:30">
      <c r="B130" t="str">
        <f>Wetseason!B56</f>
        <v>Wet</v>
      </c>
      <c r="C130" s="253">
        <f>Wetseason!C56</f>
        <v>55</v>
      </c>
      <c r="D130" t="s">
        <v>3109</v>
      </c>
      <c r="E130" t="s">
        <v>22</v>
      </c>
      <c r="F130" s="375">
        <v>7</v>
      </c>
      <c r="G130" s="16">
        <f>'WetLitterbags placem_collection'!E57</f>
        <v>42766</v>
      </c>
      <c r="H130" t="str">
        <f>Wetseason!L56</f>
        <v>G622</v>
      </c>
      <c r="I130" t="str">
        <f>Wetseason!L276</f>
        <v>R19</v>
      </c>
      <c r="J130">
        <f>IFERROR(INDEX('Green_rooibos initial weight'!$C$5:$C$2000,MATCH(H130, 'Green_rooibos initial weight'!$A$5:$A$2000,0)),"")</f>
        <v>1.978</v>
      </c>
      <c r="K130">
        <f>IFERROR(INDEX('Green_rooibos initial weight'!$C$5:$C$2000,MATCH(I130, 'Green_rooibos initial weight'!$A$5:$A$2000,0)),"")</f>
        <v>2.2589999999999999</v>
      </c>
      <c r="L130" s="194">
        <f t="shared" si="2"/>
        <v>1.7282</v>
      </c>
      <c r="M130" s="194">
        <f t="shared" si="0"/>
        <v>2.0091999999999999</v>
      </c>
      <c r="N130" s="16">
        <f>IF('WetLitterbags placem_collection'!G57="","",'WetLitterbags placem_collection'!G57)</f>
        <v>42820</v>
      </c>
      <c r="O130" s="194" t="str">
        <f>IFERROR(INDEX('Both teabags AfterWet'!$C$3:$C$2000,MATCH(H130,'Both teabags AfterWet'!$A$3:$A$2000,0)),"")</f>
        <v/>
      </c>
      <c r="P130" s="194">
        <f>IFERROR(INDEX('Both teabags AfterWet'!$C$3:$C$2000,MATCH(I130,'Both teabags AfterWet'!$A$3:$A$2000,0)),"")</f>
        <v>0.22600000000000001</v>
      </c>
      <c r="Q130" s="194" t="str">
        <f t="shared" si="3"/>
        <v/>
      </c>
      <c r="R130" s="194">
        <f t="shared" si="3"/>
        <v>7.5399999999999995E-2</v>
      </c>
      <c r="S130" s="194" t="str">
        <f t="shared" si="4"/>
        <v/>
      </c>
      <c r="T130" s="194" t="str">
        <f t="shared" si="5"/>
        <v/>
      </c>
      <c r="U130" s="194">
        <f t="shared" si="6"/>
        <v>3.7527374079235516E-2</v>
      </c>
      <c r="V130">
        <f t="shared" si="1"/>
        <v>54</v>
      </c>
      <c r="W130" s="194" t="str">
        <f t="shared" si="7"/>
        <v/>
      </c>
      <c r="X130" s="194" t="str">
        <f t="shared" si="8"/>
        <v/>
      </c>
      <c r="Y130" s="245" t="str">
        <f>IF(ISNUMBER(SEARCH("C",'WetLitterbags placem_collection'!$X57)),"YES","NO")</f>
        <v>NO</v>
      </c>
      <c r="Z130" s="245" t="str">
        <f>IF(ISNUMBER(SEARCH("H", 'WetLitterbags placem_collection'!$X57)),"YES","NO")</f>
        <v>NO</v>
      </c>
      <c r="AA130" s="245" t="str">
        <f>IF(ISNUMBER(SEARCH("R", 'WetLitterbags placem_collection'!$X57)),"YES","NO")</f>
        <v>YES</v>
      </c>
      <c r="AB130" s="245" t="str">
        <f>IF(ISNUMBER(SEARCH("C", 'WetLitterbags placem_collection'!$V57)),"YES","NO")</f>
        <v>NO</v>
      </c>
      <c r="AC130" s="245" t="str">
        <f>IF(ISNUMBER(SEARCH("H", 'WetLitterbags placem_collection'!$V57)),"YES","NO")</f>
        <v>NO</v>
      </c>
      <c r="AD130" s="245" t="str">
        <f>IF(ISNUMBER(SEARCH("R", 'WetLitterbags placem_collection'!$V57)),"YES","NO")</f>
        <v>NO</v>
      </c>
    </row>
    <row r="131" spans="2:30">
      <c r="B131" t="str">
        <f>Wetseason!B57</f>
        <v>Wet</v>
      </c>
      <c r="C131" s="253">
        <f>Wetseason!C57</f>
        <v>56</v>
      </c>
      <c r="D131" t="s">
        <v>3109</v>
      </c>
      <c r="E131" t="s">
        <v>22</v>
      </c>
      <c r="F131" s="375">
        <v>8</v>
      </c>
      <c r="G131" s="16">
        <f>'WetLitterbags placem_collection'!E58</f>
        <v>42766</v>
      </c>
      <c r="H131" t="str">
        <f>Wetseason!L57</f>
        <v>G538</v>
      </c>
      <c r="I131" t="str">
        <f>Wetseason!L277</f>
        <v>R60</v>
      </c>
      <c r="J131">
        <f>IFERROR(INDEX('Green_rooibos initial weight'!$C$5:$C$2000,MATCH(H131, 'Green_rooibos initial weight'!$A$5:$A$2000,0)),"")</f>
        <v>2.1760000000000002</v>
      </c>
      <c r="K131">
        <f>IFERROR(INDEX('Green_rooibos initial weight'!$C$5:$C$2000,MATCH(I131, 'Green_rooibos initial weight'!$A$5:$A$2000,0)),"")</f>
        <v>2.3220000000000001</v>
      </c>
      <c r="L131" s="194">
        <f t="shared" si="2"/>
        <v>1.9262000000000001</v>
      </c>
      <c r="M131" s="194">
        <f t="shared" si="0"/>
        <v>2.0722</v>
      </c>
      <c r="N131" s="16">
        <f>IF('WetLitterbags placem_collection'!G58="","",'WetLitterbags placem_collection'!G58)</f>
        <v>42820</v>
      </c>
      <c r="O131" s="194">
        <f>IFERROR(INDEX('Both teabags AfterWet'!$C$3:$C$2000,MATCH(H131,'Both teabags AfterWet'!$A$3:$A$2000,0)),"")</f>
        <v>0.81</v>
      </c>
      <c r="P131" s="194">
        <f>IFERROR(INDEX('Both teabags AfterWet'!$C$3:$C$2000,MATCH(I131,'Both teabags AfterWet'!$A$3:$A$2000,0)),"")</f>
        <v>2.2909999999999999</v>
      </c>
      <c r="Q131" s="194">
        <f t="shared" si="3"/>
        <v>0.65939999999999999</v>
      </c>
      <c r="R131" s="194">
        <f t="shared" si="3"/>
        <v>2.1404000000000001</v>
      </c>
      <c r="S131" s="194">
        <f t="shared" si="4"/>
        <v>0.65766794725366007</v>
      </c>
      <c r="T131" s="194">
        <f t="shared" si="5"/>
        <v>0.43115523382900289</v>
      </c>
      <c r="U131" s="194">
        <f t="shared" si="6"/>
        <v>1.0329118810925586</v>
      </c>
      <c r="V131">
        <f t="shared" si="1"/>
        <v>54</v>
      </c>
      <c r="W131" s="194">
        <f t="shared" si="7"/>
        <v>0.21892167784600935</v>
      </c>
      <c r="X131" s="194">
        <f t="shared" si="8"/>
        <v>-1.3622405451697067E-3</v>
      </c>
      <c r="Y131" s="245" t="str">
        <f>IF(ISNUMBER(SEARCH("C",'WetLitterbags placem_collection'!$X58)),"YES","NO")</f>
        <v>NO</v>
      </c>
      <c r="Z131" s="245" t="str">
        <f>IF(ISNUMBER(SEARCH("H", 'WetLitterbags placem_collection'!$X58)),"YES","NO")</f>
        <v>NO</v>
      </c>
      <c r="AA131" s="245" t="str">
        <f>IF(ISNUMBER(SEARCH("R", 'WetLitterbags placem_collection'!$X58)),"YES","NO")</f>
        <v>YES</v>
      </c>
      <c r="AB131" s="245" t="str">
        <f>IF(ISNUMBER(SEARCH("C", 'WetLitterbags placem_collection'!$V58)),"YES","NO")</f>
        <v>NO</v>
      </c>
      <c r="AC131" s="245" t="str">
        <f>IF(ISNUMBER(SEARCH("H", 'WetLitterbags placem_collection'!$V58)),"YES","NO")</f>
        <v>YES</v>
      </c>
      <c r="AD131" s="245" t="str">
        <f>IF(ISNUMBER(SEARCH("R", 'WetLitterbags placem_collection'!$V58)),"YES","NO")</f>
        <v>YES</v>
      </c>
    </row>
    <row r="132" spans="2:30">
      <c r="B132" t="str">
        <f>Wetseason!B58</f>
        <v>Wet</v>
      </c>
      <c r="C132" s="253">
        <f>Wetseason!C58</f>
        <v>57</v>
      </c>
      <c r="D132" t="s">
        <v>3110</v>
      </c>
      <c r="E132" t="s">
        <v>22</v>
      </c>
      <c r="F132" s="374">
        <v>1</v>
      </c>
      <c r="G132" s="16">
        <f>'WetLitterbags placem_collection'!E59</f>
        <v>42766</v>
      </c>
      <c r="H132" t="str">
        <f>Wetseason!L58</f>
        <v>G546</v>
      </c>
      <c r="I132" t="str">
        <f>Wetseason!L278</f>
        <v>R161</v>
      </c>
      <c r="J132">
        <f>IFERROR(INDEX('Green_rooibos initial weight'!$C$5:$C$2000,MATCH(H132, 'Green_rooibos initial weight'!$A$5:$A$2000,0)),"")</f>
        <v>2.1429999999999998</v>
      </c>
      <c r="K132">
        <f>IFERROR(INDEX('Green_rooibos initial weight'!$C$5:$C$2000,MATCH(I132, 'Green_rooibos initial weight'!$A$5:$A$2000,0)),"")</f>
        <v>2.1829999999999998</v>
      </c>
      <c r="L132" s="194">
        <f t="shared" si="2"/>
        <v>1.8931999999999998</v>
      </c>
      <c r="M132" s="194">
        <f t="shared" si="0"/>
        <v>1.9331999999999998</v>
      </c>
      <c r="N132" s="16">
        <f>IF('WetLitterbags placem_collection'!G59="","",'WetLitterbags placem_collection'!G59)</f>
        <v>42820</v>
      </c>
      <c r="O132" s="194">
        <f>IFERROR(INDEX('Both teabags AfterWet'!$C$3:$C$2000,MATCH(H132,'Both teabags AfterWet'!$A$3:$A$2000,0)),"")</f>
        <v>0.88660000000000005</v>
      </c>
      <c r="P132" s="194">
        <f>IFERROR(INDEX('Both teabags AfterWet'!$C$3:$C$2000,MATCH(I132,'Both teabags AfterWet'!$A$3:$A$2000,0)),"")</f>
        <v>1.266</v>
      </c>
      <c r="Q132" s="194">
        <f t="shared" si="3"/>
        <v>0.73599999999999999</v>
      </c>
      <c r="R132" s="194">
        <f t="shared" si="3"/>
        <v>1.1153999999999999</v>
      </c>
      <c r="S132" s="194">
        <f t="shared" si="4"/>
        <v>0.61124022818508339</v>
      </c>
      <c r="T132" s="194">
        <f t="shared" si="5"/>
        <v>0.40071805933273885</v>
      </c>
      <c r="U132" s="194">
        <f t="shared" si="6"/>
        <v>0.57697082557417756</v>
      </c>
      <c r="V132">
        <f t="shared" si="1"/>
        <v>54</v>
      </c>
      <c r="W132" s="194">
        <f t="shared" si="7"/>
        <v>0.2740614867160529</v>
      </c>
      <c r="X132" s="194" t="str">
        <f t="shared" si="8"/>
        <v/>
      </c>
      <c r="Y132" s="245" t="str">
        <f>IF(ISNUMBER(SEARCH("C",'WetLitterbags placem_collection'!$X59)),"YES","NO")</f>
        <v>NO</v>
      </c>
      <c r="Z132" s="245" t="str">
        <f>IF(ISNUMBER(SEARCH("H", 'WetLitterbags placem_collection'!$X59)),"YES","NO")</f>
        <v>NO</v>
      </c>
      <c r="AA132" s="245" t="str">
        <f>IF(ISNUMBER(SEARCH("R", 'WetLitterbags placem_collection'!$X59)),"YES","NO")</f>
        <v>YES</v>
      </c>
      <c r="AB132" s="245" t="str">
        <f>IF(ISNUMBER(SEARCH("C", 'WetLitterbags placem_collection'!$V59)),"YES","NO")</f>
        <v>NO</v>
      </c>
      <c r="AC132" s="245" t="str">
        <f>IF(ISNUMBER(SEARCH("H", 'WetLitterbags placem_collection'!$V59)),"YES","NO")</f>
        <v>NO</v>
      </c>
      <c r="AD132" s="245" t="str">
        <f>IF(ISNUMBER(SEARCH("R", 'WetLitterbags placem_collection'!$V59)),"YES","NO")</f>
        <v>YES</v>
      </c>
    </row>
    <row r="133" spans="2:30">
      <c r="B133" t="str">
        <f>Wetseason!B59</f>
        <v>Wet</v>
      </c>
      <c r="C133" s="253">
        <f>Wetseason!C59</f>
        <v>58</v>
      </c>
      <c r="D133" t="s">
        <v>3110</v>
      </c>
      <c r="E133" t="s">
        <v>22</v>
      </c>
      <c r="F133" s="374">
        <v>2</v>
      </c>
      <c r="G133" s="16">
        <f>'WetLitterbags placem_collection'!E60</f>
        <v>42766</v>
      </c>
      <c r="H133" t="str">
        <f>Wetseason!L59</f>
        <v>G513</v>
      </c>
      <c r="I133" t="str">
        <f>Wetseason!L279</f>
        <v>R48</v>
      </c>
      <c r="J133">
        <f>IFERROR(INDEX('Green_rooibos initial weight'!$C$5:$C$2000,MATCH(H133, 'Green_rooibos initial weight'!$A$5:$A$2000,0)),"")</f>
        <v>2.0179999999999998</v>
      </c>
      <c r="K133">
        <f>IFERROR(INDEX('Green_rooibos initial weight'!$C$5:$C$2000,MATCH(I133, 'Green_rooibos initial weight'!$A$5:$A$2000,0)),"")</f>
        <v>2.2149999999999999</v>
      </c>
      <c r="L133" s="194">
        <f t="shared" si="2"/>
        <v>1.7681999999999998</v>
      </c>
      <c r="M133" s="194">
        <f t="shared" si="0"/>
        <v>1.9651999999999998</v>
      </c>
      <c r="N133" s="16">
        <f>IF('WetLitterbags placem_collection'!G60="","",'WetLitterbags placem_collection'!G60)</f>
        <v>42820</v>
      </c>
      <c r="O133" s="194">
        <f>IFERROR(INDEX('Both teabags AfterWet'!$C$3:$C$2000,MATCH(H133,'Both teabags AfterWet'!$A$3:$A$2000,0)),"")</f>
        <v>0.93279999999999996</v>
      </c>
      <c r="P133" s="194">
        <f>IFERROR(INDEX('Both teabags AfterWet'!$C$3:$C$2000,MATCH(I133,'Both teabags AfterWet'!$A$3:$A$2000,0)),"")</f>
        <v>0.74880000000000002</v>
      </c>
      <c r="Q133" s="194">
        <f t="shared" si="3"/>
        <v>0.78220000000000001</v>
      </c>
      <c r="R133" s="194">
        <f t="shared" si="3"/>
        <v>0.59820000000000007</v>
      </c>
      <c r="S133" s="194">
        <f t="shared" si="4"/>
        <v>0.55762922746295662</v>
      </c>
      <c r="T133" s="194">
        <f t="shared" si="5"/>
        <v>0.36557165505885048</v>
      </c>
      <c r="U133" s="194">
        <f t="shared" si="6"/>
        <v>0.30439649908406274</v>
      </c>
      <c r="V133">
        <f t="shared" si="1"/>
        <v>54</v>
      </c>
      <c r="W133" s="194">
        <f t="shared" si="7"/>
        <v>0.33773250895135787</v>
      </c>
      <c r="X133" s="194" t="str">
        <f t="shared" si="8"/>
        <v/>
      </c>
      <c r="Y133" s="245" t="str">
        <f>IF(ISNUMBER(SEARCH("C",'WetLitterbags placem_collection'!$X60)),"YES","NO")</f>
        <v>NO</v>
      </c>
      <c r="Z133" s="245" t="str">
        <f>IF(ISNUMBER(SEARCH("H", 'WetLitterbags placem_collection'!$X60)),"YES","NO")</f>
        <v>NO</v>
      </c>
      <c r="AA133" s="245" t="str">
        <f>IF(ISNUMBER(SEARCH("R", 'WetLitterbags placem_collection'!$X60)),"YES","NO")</f>
        <v>YES</v>
      </c>
      <c r="AB133" s="245" t="str">
        <f>IF(ISNUMBER(SEARCH("C", 'WetLitterbags placem_collection'!$V60)),"YES","NO")</f>
        <v>NO</v>
      </c>
      <c r="AC133" s="245" t="str">
        <f>IF(ISNUMBER(SEARCH("H", 'WetLitterbags placem_collection'!$V60)),"YES","NO")</f>
        <v>YES</v>
      </c>
      <c r="AD133" s="245" t="str">
        <f>IF(ISNUMBER(SEARCH("R", 'WetLitterbags placem_collection'!$V60)),"YES","NO")</f>
        <v>YES</v>
      </c>
    </row>
    <row r="134" spans="2:30">
      <c r="B134" t="str">
        <f>Wetseason!B60</f>
        <v>Wet</v>
      </c>
      <c r="C134" s="253">
        <f>Wetseason!C60</f>
        <v>59</v>
      </c>
      <c r="D134" t="s">
        <v>3110</v>
      </c>
      <c r="E134" t="s">
        <v>22</v>
      </c>
      <c r="F134" s="374">
        <v>3</v>
      </c>
      <c r="G134" s="16">
        <f>'WetLitterbags placem_collection'!E61</f>
        <v>42766</v>
      </c>
      <c r="H134" t="str">
        <f>Wetseason!L60</f>
        <v>G489</v>
      </c>
      <c r="I134" t="str">
        <f>Wetseason!L280</f>
        <v>R23</v>
      </c>
      <c r="J134">
        <f>IFERROR(INDEX('Green_rooibos initial weight'!$C$5:$C$2000,MATCH(H134, 'Green_rooibos initial weight'!$A$5:$A$2000,0)),"")</f>
        <v>1.9</v>
      </c>
      <c r="K134">
        <f>IFERROR(INDEX('Green_rooibos initial weight'!$C$5:$C$2000,MATCH(I134, 'Green_rooibos initial weight'!$A$5:$A$2000,0)),"")</f>
        <v>2.2770000000000001</v>
      </c>
      <c r="L134" s="194">
        <f t="shared" si="2"/>
        <v>1.6501999999999999</v>
      </c>
      <c r="M134" s="194">
        <f t="shared" si="0"/>
        <v>2.0272000000000001</v>
      </c>
      <c r="N134" s="16">
        <f>IF('WetLitterbags placem_collection'!G61="","",'WetLitterbags placem_collection'!G61)</f>
        <v>42820</v>
      </c>
      <c r="O134" s="194">
        <f>IFERROR(INDEX('Both teabags AfterWet'!$C$3:$C$2000,MATCH(H134,'Both teabags AfterWet'!$A$3:$A$2000,0)),"")</f>
        <v>0.88400000000000001</v>
      </c>
      <c r="P134" s="194">
        <f>IFERROR(INDEX('Both teabags AfterWet'!$C$3:$C$2000,MATCH(I134,'Both teabags AfterWet'!$A$3:$A$2000,0)),"")</f>
        <v>1.38</v>
      </c>
      <c r="Q134" s="194">
        <f t="shared" si="3"/>
        <v>0.73340000000000005</v>
      </c>
      <c r="R134" s="194">
        <f t="shared" si="3"/>
        <v>1.2293999999999998</v>
      </c>
      <c r="S134" s="194">
        <f t="shared" si="4"/>
        <v>0.55556902193673485</v>
      </c>
      <c r="T134" s="194">
        <f t="shared" si="5"/>
        <v>0.36422102150721819</v>
      </c>
      <c r="U134" s="194">
        <f t="shared" si="6"/>
        <v>0.60645224940805043</v>
      </c>
      <c r="V134">
        <f t="shared" si="1"/>
        <v>54</v>
      </c>
      <c r="W134" s="194">
        <f t="shared" si="7"/>
        <v>0.34017930886373526</v>
      </c>
      <c r="X134" s="194" t="str">
        <f t="shared" si="8"/>
        <v/>
      </c>
      <c r="Y134" s="245" t="str">
        <f>IF(ISNUMBER(SEARCH("C",'WetLitterbags placem_collection'!$X61)),"YES","NO")</f>
        <v>NO</v>
      </c>
      <c r="Z134" s="245" t="str">
        <f>IF(ISNUMBER(SEARCH("H", 'WetLitterbags placem_collection'!$X61)),"YES","NO")</f>
        <v>NO</v>
      </c>
      <c r="AA134" s="245" t="str">
        <f>IF(ISNUMBER(SEARCH("R", 'WetLitterbags placem_collection'!$X61)),"YES","NO")</f>
        <v>NO</v>
      </c>
      <c r="AB134" s="245" t="str">
        <f>IF(ISNUMBER(SEARCH("C", 'WetLitterbags placem_collection'!$V61)),"YES","NO")</f>
        <v>NO</v>
      </c>
      <c r="AC134" s="245" t="str">
        <f>IF(ISNUMBER(SEARCH("H", 'WetLitterbags placem_collection'!$V61)),"YES","NO")</f>
        <v>NO</v>
      </c>
      <c r="AD134" s="245" t="str">
        <f>IF(ISNUMBER(SEARCH("R", 'WetLitterbags placem_collection'!$V61)),"YES","NO")</f>
        <v>NO</v>
      </c>
    </row>
    <row r="135" spans="2:30">
      <c r="B135" t="str">
        <f>Wetseason!B61</f>
        <v>Wet</v>
      </c>
      <c r="C135" s="253">
        <f>Wetseason!C61</f>
        <v>60</v>
      </c>
      <c r="D135" t="s">
        <v>3110</v>
      </c>
      <c r="E135" t="s">
        <v>22</v>
      </c>
      <c r="F135" s="375">
        <v>4</v>
      </c>
      <c r="G135" s="16">
        <f>'WetLitterbags placem_collection'!E62</f>
        <v>42766</v>
      </c>
      <c r="H135" t="str">
        <f>Wetseason!L61</f>
        <v>G633</v>
      </c>
      <c r="I135" t="str">
        <f>Wetseason!L281</f>
        <v>R78</v>
      </c>
      <c r="J135">
        <f>IFERROR(INDEX('Green_rooibos initial weight'!$C$5:$C$2000,MATCH(H135, 'Green_rooibos initial weight'!$A$5:$A$2000,0)),"")</f>
        <v>2.0630000000000002</v>
      </c>
      <c r="K135">
        <f>IFERROR(INDEX('Green_rooibos initial weight'!$C$5:$C$2000,MATCH(I135, 'Green_rooibos initial weight'!$A$5:$A$2000,0)),"")</f>
        <v>2.2200000000000002</v>
      </c>
      <c r="L135" s="194">
        <f t="shared" si="2"/>
        <v>1.8132000000000001</v>
      </c>
      <c r="M135" s="194">
        <f t="shared" si="0"/>
        <v>1.9702000000000002</v>
      </c>
      <c r="N135" s="16">
        <f>IF('WetLitterbags placem_collection'!G62="","",'WetLitterbags placem_collection'!G62)</f>
        <v>42820</v>
      </c>
      <c r="O135" s="194">
        <f>IFERROR(INDEX('Both teabags AfterWet'!$C$3:$C$2000,MATCH(H135,'Both teabags AfterWet'!$A$3:$A$2000,0)),"")</f>
        <v>0.874</v>
      </c>
      <c r="P135" s="194">
        <f>IFERROR(INDEX('Both teabags AfterWet'!$C$3:$C$2000,MATCH(I135,'Both teabags AfterWet'!$A$3:$A$2000,0)),"")</f>
        <v>1.665</v>
      </c>
      <c r="Q135" s="194">
        <f t="shared" si="3"/>
        <v>0.72340000000000004</v>
      </c>
      <c r="R135" s="194">
        <f t="shared" si="3"/>
        <v>1.5144</v>
      </c>
      <c r="S135" s="194">
        <f t="shared" si="4"/>
        <v>0.60103684094418708</v>
      </c>
      <c r="T135" s="194">
        <f t="shared" si="5"/>
        <v>0.39402890285177111</v>
      </c>
      <c r="U135" s="194">
        <f t="shared" si="6"/>
        <v>0.76865292863668655</v>
      </c>
      <c r="V135">
        <f t="shared" si="1"/>
        <v>54</v>
      </c>
      <c r="W135" s="194">
        <f t="shared" si="7"/>
        <v>0.28617952381925527</v>
      </c>
      <c r="X135" s="194">
        <f t="shared" si="8"/>
        <v>1.6381998609185364E-2</v>
      </c>
      <c r="Y135" s="245" t="str">
        <f>IF(ISNUMBER(SEARCH("C",'WetLitterbags placem_collection'!$X62)),"YES","NO")</f>
        <v>NO</v>
      </c>
      <c r="Z135" s="245" t="str">
        <f>IF(ISNUMBER(SEARCH("H", 'WetLitterbags placem_collection'!$X62)),"YES","NO")</f>
        <v>NO</v>
      </c>
      <c r="AA135" s="245" t="str">
        <f>IF(ISNUMBER(SEARCH("R", 'WetLitterbags placem_collection'!$X62)),"YES","NO")</f>
        <v>NO</v>
      </c>
      <c r="AB135" s="245" t="str">
        <f>IF(ISNUMBER(SEARCH("C", 'WetLitterbags placem_collection'!$V62)),"YES","NO")</f>
        <v>NO</v>
      </c>
      <c r="AC135" s="245" t="str">
        <f>IF(ISNUMBER(SEARCH("H", 'WetLitterbags placem_collection'!$V62)),"YES","NO")</f>
        <v>NO</v>
      </c>
      <c r="AD135" s="245" t="str">
        <f>IF(ISNUMBER(SEARCH("R", 'WetLitterbags placem_collection'!$V62)),"YES","NO")</f>
        <v>YES</v>
      </c>
    </row>
    <row r="136" spans="2:30">
      <c r="B136" t="str">
        <f>Wetseason!B62</f>
        <v>Wet</v>
      </c>
      <c r="C136" s="253">
        <f>Wetseason!C62</f>
        <v>61</v>
      </c>
      <c r="D136" t="s">
        <v>3110</v>
      </c>
      <c r="E136" t="s">
        <v>22</v>
      </c>
      <c r="F136" s="375">
        <v>5</v>
      </c>
      <c r="G136" s="16">
        <f>'WetLitterbags placem_collection'!E63</f>
        <v>42766</v>
      </c>
      <c r="H136" t="str">
        <f>Wetseason!L62</f>
        <v>G541</v>
      </c>
      <c r="I136" t="str">
        <f>Wetseason!L282</f>
        <v>R42</v>
      </c>
      <c r="J136">
        <f>IFERROR(INDEX('Green_rooibos initial weight'!$C$5:$C$2000,MATCH(H136, 'Green_rooibos initial weight'!$A$5:$A$2000,0)),"")</f>
        <v>1.978</v>
      </c>
      <c r="K136">
        <f>IFERROR(INDEX('Green_rooibos initial weight'!$C$5:$C$2000,MATCH(I136, 'Green_rooibos initial weight'!$A$5:$A$2000,0)),"")</f>
        <v>2.2389999999999999</v>
      </c>
      <c r="L136" s="194">
        <f t="shared" si="2"/>
        <v>1.7282</v>
      </c>
      <c r="M136" s="194">
        <f t="shared" si="0"/>
        <v>1.9891999999999999</v>
      </c>
      <c r="N136" s="16">
        <f>IF('WetLitterbags placem_collection'!G63="","",'WetLitterbags placem_collection'!G63)</f>
        <v>42820</v>
      </c>
      <c r="O136" s="194">
        <f>IFERROR(INDEX('Both teabags AfterWet'!$C$3:$C$2000,MATCH(H136,'Both teabags AfterWet'!$A$3:$A$2000,0)),"")</f>
        <v>0.78600000000000003</v>
      </c>
      <c r="P136" s="194">
        <f>IFERROR(INDEX('Both teabags AfterWet'!$C$3:$C$2000,MATCH(I136,'Both teabags AfterWet'!$A$3:$A$2000,0)),"")</f>
        <v>0.182</v>
      </c>
      <c r="Q136" s="194">
        <f t="shared" si="3"/>
        <v>0.63539999999999996</v>
      </c>
      <c r="R136" s="194">
        <f t="shared" si="3"/>
        <v>3.1399999999999983E-2</v>
      </c>
      <c r="S136" s="194">
        <f t="shared" si="4"/>
        <v>0.63233422057632227</v>
      </c>
      <c r="T136" s="194">
        <f t="shared" si="5"/>
        <v>0.41454689995027305</v>
      </c>
      <c r="U136" s="194">
        <f t="shared" si="6"/>
        <v>1.578524029760707E-2</v>
      </c>
      <c r="V136">
        <f t="shared" si="1"/>
        <v>54</v>
      </c>
      <c r="W136" s="194">
        <f t="shared" si="7"/>
        <v>0.24900923922051987</v>
      </c>
      <c r="X136" s="194" t="str">
        <f t="shared" si="8"/>
        <v/>
      </c>
      <c r="Y136" s="245" t="str">
        <f>IF(ISNUMBER(SEARCH("C",'WetLitterbags placem_collection'!$X63)),"YES","NO")</f>
        <v>NO</v>
      </c>
      <c r="Z136" s="245" t="str">
        <f>IF(ISNUMBER(SEARCH("H", 'WetLitterbags placem_collection'!$X63)),"YES","NO")</f>
        <v>NO</v>
      </c>
      <c r="AA136" s="245" t="str">
        <f>IF(ISNUMBER(SEARCH("R", 'WetLitterbags placem_collection'!$X63)),"YES","NO")</f>
        <v>YES</v>
      </c>
      <c r="AB136" s="245" t="str">
        <f>IF(ISNUMBER(SEARCH("C", 'WetLitterbags placem_collection'!$V63)),"YES","NO")</f>
        <v>YES</v>
      </c>
      <c r="AC136" s="245" t="str">
        <f>IF(ISNUMBER(SEARCH("H", 'WetLitterbags placem_collection'!$V63)),"YES","NO")</f>
        <v>YES</v>
      </c>
      <c r="AD136" s="245" t="str">
        <f>IF(ISNUMBER(SEARCH("R", 'WetLitterbags placem_collection'!$V63)),"YES","NO")</f>
        <v>NO</v>
      </c>
    </row>
    <row r="137" spans="2:30">
      <c r="B137" t="str">
        <f>Wetseason!B63</f>
        <v>Wet</v>
      </c>
      <c r="C137" s="253">
        <f>Wetseason!C63</f>
        <v>62</v>
      </c>
      <c r="D137" t="s">
        <v>3110</v>
      </c>
      <c r="E137" t="s">
        <v>22</v>
      </c>
      <c r="F137" s="375">
        <v>6</v>
      </c>
      <c r="G137" s="16">
        <f>'WetLitterbags placem_collection'!E64</f>
        <v>42766</v>
      </c>
      <c r="H137" t="str">
        <f>Wetseason!L63</f>
        <v>G565</v>
      </c>
      <c r="I137" t="str">
        <f>Wetseason!L283</f>
        <v>R119</v>
      </c>
      <c r="J137">
        <f>IFERROR(INDEX('Green_rooibos initial weight'!$C$5:$C$2000,MATCH(H137, 'Green_rooibos initial weight'!$A$5:$A$2000,0)),"")</f>
        <v>2.109</v>
      </c>
      <c r="K137">
        <f>IFERROR(INDEX('Green_rooibos initial weight'!$C$5:$C$2000,MATCH(I137, 'Green_rooibos initial weight'!$A$5:$A$2000,0)),"")</f>
        <v>2.1589999999999998</v>
      </c>
      <c r="L137" s="194">
        <f t="shared" si="2"/>
        <v>1.8592</v>
      </c>
      <c r="M137" s="194">
        <f t="shared" si="0"/>
        <v>1.9091999999999998</v>
      </c>
      <c r="N137" s="16">
        <f>IF('WetLitterbags placem_collection'!G64="","",'WetLitterbags placem_collection'!G64)</f>
        <v>42820</v>
      </c>
      <c r="O137" s="194">
        <f>IFERROR(INDEX('Both teabags AfterWet'!$C$3:$C$2000,MATCH(H137,'Both teabags AfterWet'!$A$3:$A$2000,0)),"")</f>
        <v>0.9224</v>
      </c>
      <c r="P137" s="194">
        <f>IFERROR(INDEX('Both teabags AfterWet'!$C$3:$C$2000,MATCH(I137,'Both teabags AfterWet'!$A$3:$A$2000,0)),"")</f>
        <v>1.6374</v>
      </c>
      <c r="Q137" s="194">
        <f t="shared" si="3"/>
        <v>0.77180000000000004</v>
      </c>
      <c r="R137" s="194">
        <f t="shared" si="3"/>
        <v>1.4867999999999999</v>
      </c>
      <c r="S137" s="194">
        <f t="shared" si="4"/>
        <v>0.58487521514629948</v>
      </c>
      <c r="T137" s="194">
        <f t="shared" si="5"/>
        <v>0.38343363273249093</v>
      </c>
      <c r="U137" s="194">
        <f t="shared" si="6"/>
        <v>0.77875549968573232</v>
      </c>
      <c r="V137">
        <f t="shared" si="1"/>
        <v>54</v>
      </c>
      <c r="W137" s="194">
        <f t="shared" si="7"/>
        <v>0.30537385374548753</v>
      </c>
      <c r="X137" s="194">
        <f t="shared" si="8"/>
        <v>1.5933396495466514E-2</v>
      </c>
      <c r="Y137" s="245" t="str">
        <f>IF(ISNUMBER(SEARCH("C",'WetLitterbags placem_collection'!$X64)),"YES","NO")</f>
        <v>NO</v>
      </c>
      <c r="Z137" s="245" t="str">
        <f>IF(ISNUMBER(SEARCH("H", 'WetLitterbags placem_collection'!$X64)),"YES","NO")</f>
        <v>NO</v>
      </c>
      <c r="AA137" s="245" t="str">
        <f>IF(ISNUMBER(SEARCH("R", 'WetLitterbags placem_collection'!$X64)),"YES","NO")</f>
        <v>NO</v>
      </c>
      <c r="AB137" s="245" t="str">
        <f>IF(ISNUMBER(SEARCH("C", 'WetLitterbags placem_collection'!$V64)),"YES","NO")</f>
        <v>NO</v>
      </c>
      <c r="AC137" s="245" t="str">
        <f>IF(ISNUMBER(SEARCH("H", 'WetLitterbags placem_collection'!$V64)),"YES","NO")</f>
        <v>YES</v>
      </c>
      <c r="AD137" s="245" t="str">
        <f>IF(ISNUMBER(SEARCH("R", 'WetLitterbags placem_collection'!$V64)),"YES","NO")</f>
        <v>NO</v>
      </c>
    </row>
    <row r="138" spans="2:30">
      <c r="B138" t="str">
        <f>Wetseason!B64</f>
        <v>Wet</v>
      </c>
      <c r="C138" s="253">
        <f>Wetseason!C64</f>
        <v>63</v>
      </c>
      <c r="D138" t="s">
        <v>3110</v>
      </c>
      <c r="E138" t="s">
        <v>22</v>
      </c>
      <c r="F138" s="375">
        <v>7</v>
      </c>
      <c r="G138" s="16">
        <f>'WetLitterbags placem_collection'!E65</f>
        <v>42766</v>
      </c>
      <c r="H138" t="str">
        <f>Wetseason!L64</f>
        <v>G387</v>
      </c>
      <c r="I138" t="str">
        <f>Wetseason!L284</f>
        <v>R185</v>
      </c>
      <c r="J138">
        <f>IFERROR(INDEX('Green_rooibos initial weight'!$C$5:$C$2000,MATCH(H138, 'Green_rooibos initial weight'!$A$5:$A$2000,0)),"")</f>
        <v>2.0139999999999998</v>
      </c>
      <c r="K138">
        <f>IFERROR(INDEX('Green_rooibos initial weight'!$C$5:$C$2000,MATCH(I138, 'Green_rooibos initial weight'!$A$5:$A$2000,0)),"")</f>
        <v>2.2909999999999999</v>
      </c>
      <c r="L138" s="194">
        <f t="shared" si="2"/>
        <v>1.7641999999999998</v>
      </c>
      <c r="M138" s="194">
        <f t="shared" si="0"/>
        <v>2.0411999999999999</v>
      </c>
      <c r="N138" s="16">
        <f>IF('WetLitterbags placem_collection'!G65="","",'WetLitterbags placem_collection'!G65)</f>
        <v>42820</v>
      </c>
      <c r="O138" s="194">
        <f>IFERROR(INDEX('Both teabags AfterWet'!$C$3:$C$2000,MATCH(H138,'Both teabags AfterWet'!$A$3:$A$2000,0)),"")</f>
        <v>1.083</v>
      </c>
      <c r="P138" s="194">
        <f>IFERROR(INDEX('Both teabags AfterWet'!$C$3:$C$2000,MATCH(I138,'Both teabags AfterWet'!$A$3:$A$2000,0)),"")</f>
        <v>1.6850000000000001</v>
      </c>
      <c r="Q138" s="194">
        <f t="shared" si="3"/>
        <v>0.9323999999999999</v>
      </c>
      <c r="R138" s="194">
        <f t="shared" si="3"/>
        <v>1.5344</v>
      </c>
      <c r="S138" s="194">
        <f t="shared" si="4"/>
        <v>0.47148849336809884</v>
      </c>
      <c r="T138" s="194">
        <f t="shared" si="5"/>
        <v>0.30909934482089146</v>
      </c>
      <c r="U138" s="194">
        <f t="shared" si="6"/>
        <v>0.75171467764060362</v>
      </c>
      <c r="V138">
        <f t="shared" si="1"/>
        <v>54</v>
      </c>
      <c r="W138" s="194">
        <f t="shared" si="7"/>
        <v>0.44003741880273295</v>
      </c>
      <c r="X138" s="194">
        <f t="shared" si="8"/>
        <v>3.0108191380188106E-2</v>
      </c>
      <c r="Y138" s="245" t="str">
        <f>IF(ISNUMBER(SEARCH("C",'WetLitterbags placem_collection'!$X65)),"YES","NO")</f>
        <v>NO</v>
      </c>
      <c r="Z138" s="245" t="str">
        <f>IF(ISNUMBER(SEARCH("H", 'WetLitterbags placem_collection'!$X65)),"YES","NO")</f>
        <v>NO</v>
      </c>
      <c r="AA138" s="245" t="str">
        <f>IF(ISNUMBER(SEARCH("R", 'WetLitterbags placem_collection'!$X65)),"YES","NO")</f>
        <v>YES</v>
      </c>
      <c r="AB138" s="245" t="str">
        <f>IF(ISNUMBER(SEARCH("C", 'WetLitterbags placem_collection'!$V65)),"YES","NO")</f>
        <v>NO</v>
      </c>
      <c r="AC138" s="245" t="str">
        <f>IF(ISNUMBER(SEARCH("H", 'WetLitterbags placem_collection'!$V65)),"YES","NO")</f>
        <v>NO</v>
      </c>
      <c r="AD138" s="245" t="str">
        <f>IF(ISNUMBER(SEARCH("R", 'WetLitterbags placem_collection'!$V65)),"YES","NO")</f>
        <v>YES</v>
      </c>
    </row>
    <row r="139" spans="2:30">
      <c r="B139" t="str">
        <f>Wetseason!B65</f>
        <v>Wet</v>
      </c>
      <c r="C139" s="253">
        <f>Wetseason!C65</f>
        <v>64</v>
      </c>
      <c r="D139" t="s">
        <v>3110</v>
      </c>
      <c r="E139" t="s">
        <v>22</v>
      </c>
      <c r="F139" s="375">
        <v>8</v>
      </c>
      <c r="G139" s="16">
        <f>'WetLitterbags placem_collection'!E66</f>
        <v>42766</v>
      </c>
      <c r="H139" t="str">
        <f>Wetseason!L65</f>
        <v>G554</v>
      </c>
      <c r="I139" t="str">
        <f>Wetseason!L285</f>
        <v>R159</v>
      </c>
      <c r="J139">
        <f>IFERROR(INDEX('Green_rooibos initial weight'!$C$5:$C$2000,MATCH(H139, 'Green_rooibos initial weight'!$A$5:$A$2000,0)),"")</f>
        <v>2.0840000000000001</v>
      </c>
      <c r="K139">
        <f>IFERROR(INDEX('Green_rooibos initial weight'!$C$5:$C$2000,MATCH(I139, 'Green_rooibos initial weight'!$A$5:$A$2000,0)),"")</f>
        <v>2.2930000000000001</v>
      </c>
      <c r="L139" s="194">
        <f t="shared" si="2"/>
        <v>1.8342000000000001</v>
      </c>
      <c r="M139" s="194">
        <f t="shared" si="0"/>
        <v>2.0432000000000001</v>
      </c>
      <c r="N139" s="16">
        <f>IF('WetLitterbags placem_collection'!G66="","",'WetLitterbags placem_collection'!G66)</f>
        <v>42820</v>
      </c>
      <c r="O139" s="194">
        <f>IFERROR(INDEX('Both teabags AfterWet'!$C$3:$C$2000,MATCH(H139,'Both teabags AfterWet'!$A$3:$A$2000,0)),"")</f>
        <v>1.29</v>
      </c>
      <c r="P139" s="194">
        <f>IFERROR(INDEX('Both teabags AfterWet'!$C$3:$C$2000,MATCH(I139,'Both teabags AfterWet'!$A$3:$A$2000,0)),"")</f>
        <v>1.3160000000000001</v>
      </c>
      <c r="Q139" s="194">
        <f t="shared" si="3"/>
        <v>1.1394</v>
      </c>
      <c r="R139" s="194">
        <f t="shared" si="3"/>
        <v>1.1654</v>
      </c>
      <c r="S139" s="194">
        <f t="shared" si="4"/>
        <v>0.37880274779195289</v>
      </c>
      <c r="T139" s="194">
        <f t="shared" si="5"/>
        <v>0.24833624320802619</v>
      </c>
      <c r="U139" s="194">
        <f t="shared" si="6"/>
        <v>0.57037979639780734</v>
      </c>
      <c r="V139">
        <f t="shared" si="1"/>
        <v>54</v>
      </c>
      <c r="W139" s="194">
        <f t="shared" si="7"/>
        <v>0.5501155014347352</v>
      </c>
      <c r="X139" s="194" t="str">
        <f t="shared" si="8"/>
        <v/>
      </c>
      <c r="Y139" s="245" t="str">
        <f>IF(ISNUMBER(SEARCH("C",'WetLitterbags placem_collection'!$X66)),"YES","NO")</f>
        <v>NO</v>
      </c>
      <c r="Z139" s="245" t="str">
        <f>IF(ISNUMBER(SEARCH("H", 'WetLitterbags placem_collection'!$X66)),"YES","NO")</f>
        <v>NO</v>
      </c>
      <c r="AA139" s="245" t="str">
        <f>IF(ISNUMBER(SEARCH("R", 'WetLitterbags placem_collection'!$X66)),"YES","NO")</f>
        <v>NO</v>
      </c>
      <c r="AB139" s="245" t="str">
        <f>IF(ISNUMBER(SEARCH("C", 'WetLitterbags placem_collection'!$V66)),"YES","NO")</f>
        <v>NO</v>
      </c>
      <c r="AC139" s="245" t="str">
        <f>IF(ISNUMBER(SEARCH("H", 'WetLitterbags placem_collection'!$V66)),"YES","NO")</f>
        <v>YES</v>
      </c>
      <c r="AD139" s="245" t="str">
        <f>IF(ISNUMBER(SEARCH("R", 'WetLitterbags placem_collection'!$V66)),"YES","NO")</f>
        <v>YES</v>
      </c>
    </row>
    <row r="140" spans="2:30">
      <c r="B140" t="str">
        <f>Wetseason!B66</f>
        <v>Wet</v>
      </c>
      <c r="C140" s="253">
        <f>Wetseason!C66</f>
        <v>65</v>
      </c>
      <c r="D140" t="s">
        <v>3111</v>
      </c>
      <c r="E140" t="s">
        <v>22</v>
      </c>
      <c r="F140" s="374">
        <v>1</v>
      </c>
      <c r="G140" s="16">
        <f>'WetLitterbags placem_collection'!E67</f>
        <v>42767</v>
      </c>
      <c r="H140" t="str">
        <f>Wetseason!L66</f>
        <v>G614</v>
      </c>
      <c r="I140" t="str">
        <f>Wetseason!L286</f>
        <v>R525</v>
      </c>
      <c r="J140">
        <f>IFERROR(INDEX('Green_rooibos initial weight'!$C$5:$C$2000,MATCH(H140, 'Green_rooibos initial weight'!$A$5:$A$2000,0)),"")</f>
        <v>2.1709999999999998</v>
      </c>
      <c r="K140">
        <f>IFERROR(INDEX('Green_rooibos initial weight'!$C$5:$C$2000,MATCH(I140, 'Green_rooibos initial weight'!$A$5:$A$2000,0)),"")</f>
        <v>2.1469999999999998</v>
      </c>
      <c r="L140" s="194">
        <f t="shared" si="2"/>
        <v>1.9211999999999998</v>
      </c>
      <c r="M140" s="194">
        <f t="shared" ref="M140:M203" si="9">IF(K140&gt;0,(K140*$F$32-($F$29+$F$30)),"")</f>
        <v>1.8971999999999998</v>
      </c>
      <c r="N140" s="16">
        <f>IF('WetLitterbags placem_collection'!G67="","",'WetLitterbags placem_collection'!G67)</f>
        <v>42818</v>
      </c>
      <c r="O140" s="194">
        <f>IFERROR(INDEX('Both teabags AfterWet'!$C$3:$C$2000,MATCH(H140,'Both teabags AfterWet'!$A$3:$A$2000,0)),"")</f>
        <v>0.96099999999999997</v>
      </c>
      <c r="P140" s="194">
        <f>IFERROR(INDEX('Both teabags AfterWet'!$C$3:$C$2000,MATCH(I140,'Both teabags AfterWet'!$A$3:$A$2000,0)),"")</f>
        <v>1.704</v>
      </c>
      <c r="Q140" s="194">
        <f t="shared" si="3"/>
        <v>0.81040000000000001</v>
      </c>
      <c r="R140" s="194">
        <f t="shared" si="3"/>
        <v>1.5533999999999999</v>
      </c>
      <c r="S140" s="194">
        <f t="shared" si="4"/>
        <v>0.57818030397668119</v>
      </c>
      <c r="T140" s="194">
        <f t="shared" si="5"/>
        <v>0.37904456982794305</v>
      </c>
      <c r="U140" s="194">
        <f t="shared" si="6"/>
        <v>0.81878557874762814</v>
      </c>
      <c r="V140">
        <f t="shared" ref="V140:V203" si="10">IFERROR(IF((N140-G140)&gt;0,(IFERROR(N140-G140,"")),""),"")</f>
        <v>51</v>
      </c>
      <c r="W140" s="194">
        <f t="shared" si="7"/>
        <v>0.31332505465952354</v>
      </c>
      <c r="X140" s="194">
        <f t="shared" si="8"/>
        <v>1.2749901364562137E-2</v>
      </c>
      <c r="Y140" s="245" t="str">
        <f>IF(ISNUMBER(SEARCH("C",'WetLitterbags placem_collection'!$X67)),"YES","NO")</f>
        <v>NO</v>
      </c>
      <c r="Z140" s="245" t="str">
        <f>IF(ISNUMBER(SEARCH("H", 'WetLitterbags placem_collection'!$X67)),"YES","NO")</f>
        <v>NO</v>
      </c>
      <c r="AA140" s="245" t="str">
        <f>IF(ISNUMBER(SEARCH("R", 'WetLitterbags placem_collection'!$X67)),"YES","NO")</f>
        <v>YES</v>
      </c>
      <c r="AB140" s="245" t="str">
        <f>IF(ISNUMBER(SEARCH("C", 'WetLitterbags placem_collection'!$V67)),"YES","NO")</f>
        <v>NO</v>
      </c>
      <c r="AC140" s="245" t="str">
        <f>IF(ISNUMBER(SEARCH("H", 'WetLitterbags placem_collection'!$V67)),"YES","NO")</f>
        <v>NO</v>
      </c>
      <c r="AD140" s="245" t="str">
        <f>IF(ISNUMBER(SEARCH("R", 'WetLitterbags placem_collection'!$V67)),"YES","NO")</f>
        <v>YES</v>
      </c>
    </row>
    <row r="141" spans="2:30">
      <c r="B141" t="str">
        <f>Wetseason!B67</f>
        <v>Wet</v>
      </c>
      <c r="C141" s="253">
        <f>Wetseason!C67</f>
        <v>66</v>
      </c>
      <c r="D141" t="s">
        <v>3111</v>
      </c>
      <c r="E141" t="s">
        <v>22</v>
      </c>
      <c r="F141" s="374">
        <v>2</v>
      </c>
      <c r="G141" s="16">
        <f>'WetLitterbags placem_collection'!E68</f>
        <v>42767</v>
      </c>
      <c r="H141" t="str">
        <f>Wetseason!L67</f>
        <v>G282</v>
      </c>
      <c r="I141" t="str">
        <f>Wetseason!L287</f>
        <v>R150</v>
      </c>
      <c r="J141">
        <f>IFERROR(INDEX('Green_rooibos initial weight'!$C$5:$C$2000,MATCH(H141, 'Green_rooibos initial weight'!$A$5:$A$2000,0)),"")</f>
        <v>1.9730000000000001</v>
      </c>
      <c r="K141">
        <f>IFERROR(INDEX('Green_rooibos initial weight'!$C$5:$C$2000,MATCH(I141, 'Green_rooibos initial weight'!$A$5:$A$2000,0)),"")</f>
        <v>2.1469999999999998</v>
      </c>
      <c r="L141" s="194">
        <f t="shared" ref="L141:L204" si="11">IF(J141&gt;0,(J141*$F$31-($F$29+$F$30)),"")</f>
        <v>1.7232000000000001</v>
      </c>
      <c r="M141" s="194">
        <f t="shared" si="9"/>
        <v>1.8971999999999998</v>
      </c>
      <c r="N141" s="16">
        <f>IF('WetLitterbags placem_collection'!G68="","",'WetLitterbags placem_collection'!G68)</f>
        <v>42818</v>
      </c>
      <c r="O141" s="194">
        <f>IFERROR(INDEX('Both teabags AfterWet'!$C$3:$C$2000,MATCH(H141,'Both teabags AfterWet'!$A$3:$A$2000,0)),"")</f>
        <v>1.1456</v>
      </c>
      <c r="P141" s="194">
        <f>IFERROR(INDEX('Both teabags AfterWet'!$C$3:$C$2000,MATCH(I141,'Both teabags AfterWet'!$A$3:$A$2000,0)),"")</f>
        <v>0.21360000000000001</v>
      </c>
      <c r="Q141" s="194">
        <f t="shared" ref="Q141:R204" si="12">IFERROR(IF(O141&gt;0,O141-($F$29),""),"")</f>
        <v>0.99499999999999988</v>
      </c>
      <c r="R141" s="194">
        <f t="shared" si="12"/>
        <v>6.3E-2</v>
      </c>
      <c r="S141" s="194">
        <f t="shared" ref="S141:S204" si="13">IFERROR(1-Q141/L141,"")</f>
        <v>0.42258588672237707</v>
      </c>
      <c r="T141" s="194">
        <f t="shared" ref="T141:T204" si="14">IFERROR($F$26*(1-W141),"")</f>
        <v>0.27703967870635648</v>
      </c>
      <c r="U141" s="194">
        <f t="shared" ref="U141:U204" si="15">IFERROR(R141/M141,"")</f>
        <v>3.3206831119544596E-2</v>
      </c>
      <c r="V141">
        <f t="shared" si="10"/>
        <v>51</v>
      </c>
      <c r="W141" s="194">
        <f t="shared" ref="W141:W204" si="16">IFERROR(1-(S141/$F$25),"")</f>
        <v>0.49811652408268758</v>
      </c>
      <c r="X141" s="194" t="str">
        <f t="shared" ref="X141:X204" si="17">IFERROR(LN(T141/(U141-(1-T141)))/V141,"")</f>
        <v/>
      </c>
      <c r="Y141" s="245" t="str">
        <f>IF(ISNUMBER(SEARCH("C",'WetLitterbags placem_collection'!$X68)),"YES","NO")</f>
        <v>NO</v>
      </c>
      <c r="Z141" s="245" t="str">
        <f>IF(ISNUMBER(SEARCH("H", 'WetLitterbags placem_collection'!$X68)),"YES","NO")</f>
        <v>NO</v>
      </c>
      <c r="AA141" s="245" t="str">
        <f>IF(ISNUMBER(SEARCH("R", 'WetLitterbags placem_collection'!$X68)),"YES","NO")</f>
        <v>YES</v>
      </c>
      <c r="AB141" s="245" t="str">
        <f>IF(ISNUMBER(SEARCH("C", 'WetLitterbags placem_collection'!$V68)),"YES","NO")</f>
        <v>NO</v>
      </c>
      <c r="AC141" s="245" t="str">
        <f>IF(ISNUMBER(SEARCH("H", 'WetLitterbags placem_collection'!$V68)),"YES","NO")</f>
        <v>NO</v>
      </c>
      <c r="AD141" s="245" t="str">
        <f>IF(ISNUMBER(SEARCH("R", 'WetLitterbags placem_collection'!$V68)),"YES","NO")</f>
        <v>YES</v>
      </c>
    </row>
    <row r="142" spans="2:30">
      <c r="B142" t="str">
        <f>Wetseason!B68</f>
        <v>Wet</v>
      </c>
      <c r="C142" s="253">
        <f>Wetseason!C68</f>
        <v>67</v>
      </c>
      <c r="D142" t="s">
        <v>3111</v>
      </c>
      <c r="E142" t="s">
        <v>22</v>
      </c>
      <c r="F142" s="374">
        <v>3</v>
      </c>
      <c r="G142" s="16">
        <f>'WetLitterbags placem_collection'!E69</f>
        <v>42767</v>
      </c>
      <c r="H142" t="str">
        <f>Wetseason!L68</f>
        <v>G450</v>
      </c>
      <c r="I142" t="str">
        <f>Wetseason!L288</f>
        <v>R165</v>
      </c>
      <c r="J142">
        <f>IFERROR(INDEX('Green_rooibos initial weight'!$C$5:$C$2000,MATCH(H142, 'Green_rooibos initial weight'!$A$5:$A$2000,0)),"")</f>
        <v>2.1629999999999998</v>
      </c>
      <c r="K142">
        <f>IFERROR(INDEX('Green_rooibos initial weight'!$C$5:$C$2000,MATCH(I142, 'Green_rooibos initial weight'!$A$5:$A$2000,0)),"")</f>
        <v>2.169</v>
      </c>
      <c r="L142" s="194">
        <f t="shared" si="11"/>
        <v>1.9131999999999998</v>
      </c>
      <c r="M142" s="194">
        <f t="shared" si="9"/>
        <v>1.9192</v>
      </c>
      <c r="N142" s="16">
        <f>IF('WetLitterbags placem_collection'!G69="","",'WetLitterbags placem_collection'!G69)</f>
        <v>42818</v>
      </c>
      <c r="O142" s="194">
        <f>IFERROR(INDEX('Both teabags AfterWet'!$C$3:$C$2000,MATCH(H142,'Both teabags AfterWet'!$A$3:$A$2000,0)),"")</f>
        <v>0.89059999999999995</v>
      </c>
      <c r="P142" s="194">
        <f>IFERROR(INDEX('Both teabags AfterWet'!$C$3:$C$2000,MATCH(I142,'Both teabags AfterWet'!$A$3:$A$2000,0)),"")</f>
        <v>1.4942</v>
      </c>
      <c r="Q142" s="194">
        <f t="shared" si="12"/>
        <v>0.74</v>
      </c>
      <c r="R142" s="194">
        <f t="shared" si="12"/>
        <v>1.3435999999999999</v>
      </c>
      <c r="S142" s="194">
        <f t="shared" si="13"/>
        <v>0.61321346435291657</v>
      </c>
      <c r="T142" s="194">
        <f t="shared" si="14"/>
        <v>0.40201167734300475</v>
      </c>
      <c r="U142" s="194">
        <f t="shared" si="15"/>
        <v>0.70008336807002913</v>
      </c>
      <c r="V142">
        <f t="shared" si="10"/>
        <v>51</v>
      </c>
      <c r="W142" s="194">
        <f t="shared" si="16"/>
        <v>0.27171797582789003</v>
      </c>
      <c r="X142" s="194">
        <f t="shared" si="17"/>
        <v>2.6874057629953419E-2</v>
      </c>
      <c r="Y142" s="245" t="str">
        <f>IF(ISNUMBER(SEARCH("C",'WetLitterbags placem_collection'!$X69)),"YES","NO")</f>
        <v>NO</v>
      </c>
      <c r="Z142" s="245" t="str">
        <f>IF(ISNUMBER(SEARCH("H", 'WetLitterbags placem_collection'!$X69)),"YES","NO")</f>
        <v>NO</v>
      </c>
      <c r="AA142" s="245" t="str">
        <f>IF(ISNUMBER(SEARCH("R", 'WetLitterbags placem_collection'!$X69)),"YES","NO")</f>
        <v>YES</v>
      </c>
      <c r="AB142" s="245" t="str">
        <f>IF(ISNUMBER(SEARCH("C", 'WetLitterbags placem_collection'!$V69)),"YES","NO")</f>
        <v>NO</v>
      </c>
      <c r="AC142" s="245" t="str">
        <f>IF(ISNUMBER(SEARCH("H", 'WetLitterbags placem_collection'!$V69)),"YES","NO")</f>
        <v>YES</v>
      </c>
      <c r="AD142" s="245" t="str">
        <f>IF(ISNUMBER(SEARCH("R", 'WetLitterbags placem_collection'!$V69)),"YES","NO")</f>
        <v>YES</v>
      </c>
    </row>
    <row r="143" spans="2:30">
      <c r="B143" t="str">
        <f>Wetseason!B69</f>
        <v>Wet</v>
      </c>
      <c r="C143" s="253">
        <f>Wetseason!C69</f>
        <v>68</v>
      </c>
      <c r="D143" t="s">
        <v>3111</v>
      </c>
      <c r="E143" t="s">
        <v>22</v>
      </c>
      <c r="F143" s="375">
        <v>4</v>
      </c>
      <c r="G143" s="16">
        <f>'WetLitterbags placem_collection'!E70</f>
        <v>42767</v>
      </c>
      <c r="H143" t="str">
        <f>Wetseason!L69</f>
        <v>G269</v>
      </c>
      <c r="I143" t="str">
        <f>Wetseason!L289</f>
        <v>R129</v>
      </c>
      <c r="J143">
        <f>IFERROR(INDEX('Green_rooibos initial weight'!$C$5:$C$2000,MATCH(H143, 'Green_rooibos initial weight'!$A$5:$A$2000,0)),"")</f>
        <v>2.0419999999999998</v>
      </c>
      <c r="K143">
        <f>IFERROR(INDEX('Green_rooibos initial weight'!$C$5:$C$2000,MATCH(I143, 'Green_rooibos initial weight'!$A$5:$A$2000,0)),"")</f>
        <v>2.2829999999999999</v>
      </c>
      <c r="L143" s="194">
        <f t="shared" si="11"/>
        <v>1.7921999999999998</v>
      </c>
      <c r="M143" s="194">
        <f t="shared" si="9"/>
        <v>2.0331999999999999</v>
      </c>
      <c r="N143" s="16">
        <f>IF('WetLitterbags placem_collection'!G70="","",'WetLitterbags placem_collection'!G70)</f>
        <v>42818</v>
      </c>
      <c r="O143" s="194">
        <f>IFERROR(INDEX('Both teabags AfterWet'!$C$3:$C$2000,MATCH(H143,'Both teabags AfterWet'!$A$3:$A$2000,0)),"")</f>
        <v>1.018</v>
      </c>
      <c r="P143" s="194">
        <f>IFERROR(INDEX('Both teabags AfterWet'!$C$3:$C$2000,MATCH(I143,'Both teabags AfterWet'!$A$3:$A$2000,0)),"")</f>
        <v>1.885</v>
      </c>
      <c r="Q143" s="194">
        <f t="shared" si="12"/>
        <v>0.86739999999999995</v>
      </c>
      <c r="R143" s="194">
        <f t="shared" si="12"/>
        <v>1.7343999999999999</v>
      </c>
      <c r="S143" s="194">
        <f t="shared" si="13"/>
        <v>0.51601383774132348</v>
      </c>
      <c r="T143" s="194">
        <f t="shared" si="14"/>
        <v>0.33828935680903865</v>
      </c>
      <c r="U143" s="194">
        <f t="shared" si="15"/>
        <v>0.85303954357662803</v>
      </c>
      <c r="V143">
        <f t="shared" si="10"/>
        <v>51</v>
      </c>
      <c r="W143" s="194">
        <f t="shared" si="16"/>
        <v>0.38715696230246621</v>
      </c>
      <c r="X143" s="194">
        <f t="shared" si="17"/>
        <v>1.1174660310154306E-2</v>
      </c>
      <c r="Y143" s="245" t="str">
        <f>IF(ISNUMBER(SEARCH("C",'WetLitterbags placem_collection'!$X70)),"YES","NO")</f>
        <v>NO</v>
      </c>
      <c r="Z143" s="245" t="str">
        <f>IF(ISNUMBER(SEARCH("H", 'WetLitterbags placem_collection'!$X70)),"YES","NO")</f>
        <v>NO</v>
      </c>
      <c r="AA143" s="245" t="str">
        <f>IF(ISNUMBER(SEARCH("R", 'WetLitterbags placem_collection'!$X70)),"YES","NO")</f>
        <v>YES</v>
      </c>
      <c r="AB143" s="245" t="str">
        <f>IF(ISNUMBER(SEARCH("C", 'WetLitterbags placem_collection'!$V70)),"YES","NO")</f>
        <v>NO</v>
      </c>
      <c r="AC143" s="245" t="str">
        <f>IF(ISNUMBER(SEARCH("H", 'WetLitterbags placem_collection'!$V70)),"YES","NO")</f>
        <v>NO</v>
      </c>
      <c r="AD143" s="245" t="str">
        <f>IF(ISNUMBER(SEARCH("R", 'WetLitterbags placem_collection'!$V70)),"YES","NO")</f>
        <v>YES</v>
      </c>
    </row>
    <row r="144" spans="2:30">
      <c r="B144" t="str">
        <f>Wetseason!B70</f>
        <v>Wet</v>
      </c>
      <c r="C144" s="253">
        <f>Wetseason!C70</f>
        <v>69</v>
      </c>
      <c r="D144" t="s">
        <v>3111</v>
      </c>
      <c r="E144" t="s">
        <v>22</v>
      </c>
      <c r="F144" s="375">
        <v>5</v>
      </c>
      <c r="G144" s="16">
        <f>'WetLitterbags placem_collection'!E71</f>
        <v>42767</v>
      </c>
      <c r="H144" t="str">
        <f>Wetseason!L70</f>
        <v>G448</v>
      </c>
      <c r="I144" t="str">
        <f>Wetseason!L290</f>
        <v>R414</v>
      </c>
      <c r="J144">
        <f>IFERROR(INDEX('Green_rooibos initial weight'!$C$5:$C$2000,MATCH(H144, 'Green_rooibos initial weight'!$A$5:$A$2000,0)),"")</f>
        <v>2.0179999999999998</v>
      </c>
      <c r="K144">
        <f>IFERROR(INDEX('Green_rooibos initial weight'!$C$5:$C$2000,MATCH(I144, 'Green_rooibos initial weight'!$A$5:$A$2000,0)),"")</f>
        <v>2.1349999999999998</v>
      </c>
      <c r="L144" s="194">
        <f t="shared" si="11"/>
        <v>1.7681999999999998</v>
      </c>
      <c r="M144" s="194">
        <f t="shared" si="9"/>
        <v>1.8851999999999998</v>
      </c>
      <c r="N144" s="16">
        <f>IF('WetLitterbags placem_collection'!G71="","",'WetLitterbags placem_collection'!G71)</f>
        <v>42818</v>
      </c>
      <c r="O144" s="194" t="str">
        <f>IFERROR(INDEX('Both teabags AfterWet'!$C$3:$C$2000,MATCH(H144,'Both teabags AfterWet'!$A$3:$A$2000,0)),"")</f>
        <v/>
      </c>
      <c r="P144" s="194">
        <f>IFERROR(INDEX('Both teabags AfterWet'!$C$3:$C$2000,MATCH(I144,'Both teabags AfterWet'!$A$3:$A$2000,0)),"")</f>
        <v>2.403</v>
      </c>
      <c r="Q144" s="194" t="str">
        <f t="shared" si="12"/>
        <v/>
      </c>
      <c r="R144" s="194">
        <f t="shared" si="12"/>
        <v>2.2524000000000002</v>
      </c>
      <c r="S144" s="194" t="str">
        <f t="shared" si="13"/>
        <v/>
      </c>
      <c r="T144" s="194" t="str">
        <f t="shared" si="14"/>
        <v/>
      </c>
      <c r="U144" s="194">
        <f t="shared" si="15"/>
        <v>1.1947803946530875</v>
      </c>
      <c r="V144">
        <f t="shared" si="10"/>
        <v>51</v>
      </c>
      <c r="W144" s="194" t="str">
        <f t="shared" si="16"/>
        <v/>
      </c>
      <c r="X144" s="194" t="str">
        <f t="shared" si="17"/>
        <v/>
      </c>
      <c r="Y144" s="245" t="str">
        <f>IF(ISNUMBER(SEARCH("C",'WetLitterbags placem_collection'!$X71)),"YES","NO")</f>
        <v>NO</v>
      </c>
      <c r="Z144" s="245" t="str">
        <f>IF(ISNUMBER(SEARCH("H", 'WetLitterbags placem_collection'!$X71)),"YES","NO")</f>
        <v>NO</v>
      </c>
      <c r="AA144" s="245" t="str">
        <f>IF(ISNUMBER(SEARCH("R", 'WetLitterbags placem_collection'!$X71)),"YES","NO")</f>
        <v>YES</v>
      </c>
      <c r="AB144" s="245" t="str">
        <f>IF(ISNUMBER(SEARCH("C", 'WetLitterbags placem_collection'!$V71)),"YES","NO")</f>
        <v>NO</v>
      </c>
      <c r="AC144" s="245" t="str">
        <f>IF(ISNUMBER(SEARCH("H", 'WetLitterbags placem_collection'!$V71)),"YES","NO")</f>
        <v>NO</v>
      </c>
      <c r="AD144" s="245" t="str">
        <f>IF(ISNUMBER(SEARCH("R", 'WetLitterbags placem_collection'!$V71)),"YES","NO")</f>
        <v>NO</v>
      </c>
    </row>
    <row r="145" spans="2:30">
      <c r="B145" t="str">
        <f>Wetseason!B71</f>
        <v>Wet</v>
      </c>
      <c r="C145" s="253">
        <f>Wetseason!C71</f>
        <v>70</v>
      </c>
      <c r="D145" t="s">
        <v>3111</v>
      </c>
      <c r="E145" t="s">
        <v>22</v>
      </c>
      <c r="F145" s="375">
        <v>6</v>
      </c>
      <c r="G145" s="16">
        <f>'WetLitterbags placem_collection'!E72</f>
        <v>42767</v>
      </c>
      <c r="H145" t="str">
        <f>Wetseason!L71</f>
        <v>G358</v>
      </c>
      <c r="I145" t="str">
        <f>Wetseason!L291</f>
        <v>R151</v>
      </c>
      <c r="J145">
        <f>IFERROR(INDEX('Green_rooibos initial weight'!$C$5:$C$2000,MATCH(H145, 'Green_rooibos initial weight'!$A$5:$A$2000,0)),"")</f>
        <v>2.016</v>
      </c>
      <c r="K145">
        <f>IFERROR(INDEX('Green_rooibos initial weight'!$C$5:$C$2000,MATCH(I145, 'Green_rooibos initial weight'!$A$5:$A$2000,0)),"")</f>
        <v>2.1920000000000002</v>
      </c>
      <c r="L145" s="194">
        <f t="shared" si="11"/>
        <v>1.7662</v>
      </c>
      <c r="M145" s="194">
        <f t="shared" si="9"/>
        <v>1.9422000000000001</v>
      </c>
      <c r="N145" s="16">
        <f>IF('WetLitterbags placem_collection'!G72="","",'WetLitterbags placem_collection'!G72)</f>
        <v>42818</v>
      </c>
      <c r="O145" s="194">
        <f>IFERROR(INDEX('Both teabags AfterWet'!$C$3:$C$2000,MATCH(H145,'Both teabags AfterWet'!$A$3:$A$2000,0)),"")</f>
        <v>0.84299999999999997</v>
      </c>
      <c r="P145" s="194">
        <f>IFERROR(INDEX('Both teabags AfterWet'!$C$3:$C$2000,MATCH(I145,'Both teabags AfterWet'!$A$3:$A$2000,0)),"")</f>
        <v>1.536</v>
      </c>
      <c r="Q145" s="194">
        <f t="shared" si="12"/>
        <v>0.6923999999999999</v>
      </c>
      <c r="R145" s="194">
        <f t="shared" si="12"/>
        <v>1.3854</v>
      </c>
      <c r="S145" s="194">
        <f t="shared" si="13"/>
        <v>0.60797191711018006</v>
      </c>
      <c r="T145" s="194">
        <f t="shared" si="14"/>
        <v>0.3985754135924221</v>
      </c>
      <c r="U145" s="194">
        <f t="shared" si="15"/>
        <v>0.713314797652147</v>
      </c>
      <c r="V145">
        <f t="shared" si="10"/>
        <v>51</v>
      </c>
      <c r="W145" s="194">
        <f t="shared" si="16"/>
        <v>0.27794309131807593</v>
      </c>
      <c r="X145" s="194">
        <f t="shared" si="17"/>
        <v>2.4909384121300952E-2</v>
      </c>
      <c r="Y145" s="245" t="str">
        <f>IF(ISNUMBER(SEARCH("C",'WetLitterbags placem_collection'!$X72)),"YES","NO")</f>
        <v>NO</v>
      </c>
      <c r="Z145" s="245" t="str">
        <f>IF(ISNUMBER(SEARCH("H", 'WetLitterbags placem_collection'!$X72)),"YES","NO")</f>
        <v>NO</v>
      </c>
      <c r="AA145" s="245" t="str">
        <f>IF(ISNUMBER(SEARCH("R", 'WetLitterbags placem_collection'!$X72)),"YES","NO")</f>
        <v>YES</v>
      </c>
      <c r="AB145" s="245" t="str">
        <f>IF(ISNUMBER(SEARCH("C", 'WetLitterbags placem_collection'!$V72)),"YES","NO")</f>
        <v>YES</v>
      </c>
      <c r="AC145" s="245" t="str">
        <f>IF(ISNUMBER(SEARCH("H", 'WetLitterbags placem_collection'!$V72)),"YES","NO")</f>
        <v>YES</v>
      </c>
      <c r="AD145" s="245" t="str">
        <f>IF(ISNUMBER(SEARCH("R", 'WetLitterbags placem_collection'!$V72)),"YES","NO")</f>
        <v>YES</v>
      </c>
    </row>
    <row r="146" spans="2:30">
      <c r="B146" t="str">
        <f>Wetseason!B72</f>
        <v>Wet</v>
      </c>
      <c r="C146" s="253">
        <f>Wetseason!C72</f>
        <v>71</v>
      </c>
      <c r="D146" t="s">
        <v>3111</v>
      </c>
      <c r="E146" t="s">
        <v>22</v>
      </c>
      <c r="F146" s="375">
        <v>7</v>
      </c>
      <c r="G146" s="16">
        <f>'WetLitterbags placem_collection'!E73</f>
        <v>42767</v>
      </c>
      <c r="H146" t="str">
        <f>Wetseason!L72</f>
        <v>G511</v>
      </c>
      <c r="I146" t="str">
        <f>Wetseason!L292</f>
        <v>R95</v>
      </c>
      <c r="J146">
        <f>IFERROR(INDEX('Green_rooibos initial weight'!$C$5:$C$2000,MATCH(H146, 'Green_rooibos initial weight'!$A$5:$A$2000,0)),"")</f>
        <v>1.9930000000000001</v>
      </c>
      <c r="K146">
        <f>IFERROR(INDEX('Green_rooibos initial weight'!$C$5:$C$2000,MATCH(I146, 'Green_rooibos initial weight'!$A$5:$A$2000,0)),"")</f>
        <v>2.2160000000000002</v>
      </c>
      <c r="L146" s="194">
        <f t="shared" si="11"/>
        <v>1.7432000000000001</v>
      </c>
      <c r="M146" s="194">
        <f t="shared" si="9"/>
        <v>1.9662000000000002</v>
      </c>
      <c r="N146" s="16">
        <f>IF('WetLitterbags placem_collection'!G73="","",'WetLitterbags placem_collection'!G73)</f>
        <v>42818</v>
      </c>
      <c r="O146" s="194">
        <f>IFERROR(INDEX('Both teabags AfterWet'!$C$3:$C$2000,MATCH(H146,'Both teabags AfterWet'!$A$3:$A$2000,0)),"")</f>
        <v>0.83740000000000003</v>
      </c>
      <c r="P146" s="194">
        <f>IFERROR(INDEX('Both teabags AfterWet'!$C$3:$C$2000,MATCH(I146,'Both teabags AfterWet'!$A$3:$A$2000,0)),"")</f>
        <v>1.6388</v>
      </c>
      <c r="Q146" s="194">
        <f t="shared" si="12"/>
        <v>0.68680000000000008</v>
      </c>
      <c r="R146" s="194">
        <f t="shared" si="12"/>
        <v>1.4882</v>
      </c>
      <c r="S146" s="194">
        <f t="shared" si="13"/>
        <v>0.60601193207893522</v>
      </c>
      <c r="T146" s="194">
        <f t="shared" si="14"/>
        <v>0.39729048278809059</v>
      </c>
      <c r="U146" s="194">
        <f t="shared" si="15"/>
        <v>0.75689146577153887</v>
      </c>
      <c r="V146">
        <f t="shared" si="10"/>
        <v>51</v>
      </c>
      <c r="W146" s="194">
        <f t="shared" si="16"/>
        <v>0.2802708645143287</v>
      </c>
      <c r="X146" s="194">
        <f t="shared" si="17"/>
        <v>1.8559496444030359E-2</v>
      </c>
      <c r="Y146" s="245" t="str">
        <f>IF(ISNUMBER(SEARCH("C",'WetLitterbags placem_collection'!$X73)),"YES","NO")</f>
        <v>NO</v>
      </c>
      <c r="Z146" s="245" t="str">
        <f>IF(ISNUMBER(SEARCH("H", 'WetLitterbags placem_collection'!$X73)),"YES","NO")</f>
        <v>NO</v>
      </c>
      <c r="AA146" s="245" t="str">
        <f>IF(ISNUMBER(SEARCH("R", 'WetLitterbags placem_collection'!$X73)),"YES","NO")</f>
        <v>YES</v>
      </c>
      <c r="AB146" s="245" t="str">
        <f>IF(ISNUMBER(SEARCH("C", 'WetLitterbags placem_collection'!$V73)),"YES","NO")</f>
        <v>NO</v>
      </c>
      <c r="AC146" s="245" t="str">
        <f>IF(ISNUMBER(SEARCH("H", 'WetLitterbags placem_collection'!$V73)),"YES","NO")</f>
        <v>NO</v>
      </c>
      <c r="AD146" s="245" t="str">
        <f>IF(ISNUMBER(SEARCH("R", 'WetLitterbags placem_collection'!$V73)),"YES","NO")</f>
        <v>YES</v>
      </c>
    </row>
    <row r="147" spans="2:30">
      <c r="B147" t="str">
        <f>Wetseason!B73</f>
        <v>Wet</v>
      </c>
      <c r="C147" s="253">
        <f>Wetseason!C73</f>
        <v>72</v>
      </c>
      <c r="D147" t="s">
        <v>3111</v>
      </c>
      <c r="E147" t="s">
        <v>22</v>
      </c>
      <c r="F147" s="375">
        <v>8</v>
      </c>
      <c r="G147" s="16">
        <f>'WetLitterbags placem_collection'!E74</f>
        <v>42767</v>
      </c>
      <c r="H147" t="str">
        <f>Wetseason!L73</f>
        <v>G383</v>
      </c>
      <c r="I147" t="str">
        <f>Wetseason!L293</f>
        <v>R546</v>
      </c>
      <c r="J147">
        <f>IFERROR(INDEX('Green_rooibos initial weight'!$C$5:$C$2000,MATCH(H147, 'Green_rooibos initial weight'!$A$5:$A$2000,0)),"")</f>
        <v>1.956</v>
      </c>
      <c r="K147">
        <f>IFERROR(INDEX('Green_rooibos initial weight'!$C$5:$C$2000,MATCH(I147, 'Green_rooibos initial weight'!$A$5:$A$2000,0)),"")</f>
        <v>2.2250000000000001</v>
      </c>
      <c r="L147" s="194">
        <f t="shared" si="11"/>
        <v>1.7061999999999999</v>
      </c>
      <c r="M147" s="194">
        <f t="shared" si="9"/>
        <v>1.9752000000000001</v>
      </c>
      <c r="N147" s="16">
        <f>IF('WetLitterbags placem_collection'!G74="","",'WetLitterbags placem_collection'!G74)</f>
        <v>42818</v>
      </c>
      <c r="O147" s="194">
        <f>IFERROR(INDEX('Both teabags AfterWet'!$C$3:$C$2000,MATCH(H147,'Both teabags AfterWet'!$A$3:$A$2000,0)),"")</f>
        <v>0.82550000000000001</v>
      </c>
      <c r="P147" s="194">
        <f>IFERROR(INDEX('Both teabags AfterWet'!$C$3:$C$2000,MATCH(I147,'Both teabags AfterWet'!$A$3:$A$2000,0)),"")</f>
        <v>1.5403</v>
      </c>
      <c r="Q147" s="194">
        <f t="shared" si="12"/>
        <v>0.67490000000000006</v>
      </c>
      <c r="R147" s="194">
        <f t="shared" si="12"/>
        <v>1.3896999999999999</v>
      </c>
      <c r="S147" s="194">
        <f t="shared" si="13"/>
        <v>0.60444262102918755</v>
      </c>
      <c r="T147" s="194">
        <f t="shared" si="14"/>
        <v>0.39626167079348168</v>
      </c>
      <c r="U147" s="194">
        <f t="shared" si="15"/>
        <v>0.70357432158768729</v>
      </c>
      <c r="V147">
        <f t="shared" si="10"/>
        <v>51</v>
      </c>
      <c r="W147" s="194">
        <f t="shared" si="16"/>
        <v>0.2821346543596347</v>
      </c>
      <c r="X147" s="194">
        <f t="shared" si="17"/>
        <v>2.7030314009055617E-2</v>
      </c>
      <c r="Y147" s="245" t="str">
        <f>IF(ISNUMBER(SEARCH("C",'WetLitterbags placem_collection'!$X74)),"YES","NO")</f>
        <v>NO</v>
      </c>
      <c r="Z147" s="245" t="str">
        <f>IF(ISNUMBER(SEARCH("H", 'WetLitterbags placem_collection'!$X74)),"YES","NO")</f>
        <v>NO</v>
      </c>
      <c r="AA147" s="245" t="str">
        <f>IF(ISNUMBER(SEARCH("R", 'WetLitterbags placem_collection'!$X74)),"YES","NO")</f>
        <v>YES</v>
      </c>
      <c r="AB147" s="245" t="str">
        <f>IF(ISNUMBER(SEARCH("C", 'WetLitterbags placem_collection'!$V74)),"YES","NO")</f>
        <v>NO</v>
      </c>
      <c r="AC147" s="245" t="str">
        <f>IF(ISNUMBER(SEARCH("H", 'WetLitterbags placem_collection'!$V74)),"YES","NO")</f>
        <v>NO</v>
      </c>
      <c r="AD147" s="245" t="str">
        <f>IF(ISNUMBER(SEARCH("R", 'WetLitterbags placem_collection'!$V74)),"YES","NO")</f>
        <v>YES</v>
      </c>
    </row>
    <row r="148" spans="2:30">
      <c r="B148" t="str">
        <f>Wetseason!B74</f>
        <v>Wet</v>
      </c>
      <c r="C148" s="253">
        <f>Wetseason!C74</f>
        <v>73</v>
      </c>
      <c r="D148" t="s">
        <v>3113</v>
      </c>
      <c r="E148" t="s">
        <v>22</v>
      </c>
      <c r="F148" s="374">
        <v>1</v>
      </c>
      <c r="G148" s="16">
        <f>'WetLitterbags placem_collection'!E75</f>
        <v>42767</v>
      </c>
      <c r="H148" t="str">
        <f>Wetseason!L74</f>
        <v>G549</v>
      </c>
      <c r="I148" t="str">
        <f>Wetseason!L294</f>
        <v>R438</v>
      </c>
      <c r="J148">
        <f>IFERROR(INDEX('Green_rooibos initial weight'!$C$5:$C$2000,MATCH(H148, 'Green_rooibos initial weight'!$A$5:$A$2000,0)),"")</f>
        <v>2.016</v>
      </c>
      <c r="K148">
        <f>IFERROR(INDEX('Green_rooibos initial weight'!$C$5:$C$2000,MATCH(I148, 'Green_rooibos initial weight'!$A$5:$A$2000,0)),"")</f>
        <v>2.1829999999999998</v>
      </c>
      <c r="L148" s="194">
        <f t="shared" si="11"/>
        <v>1.7662</v>
      </c>
      <c r="M148" s="194">
        <f t="shared" si="9"/>
        <v>1.9331999999999998</v>
      </c>
      <c r="N148" s="16">
        <f>IF('WetLitterbags placem_collection'!G75="","",'WetLitterbags placem_collection'!G75)</f>
        <v>42818</v>
      </c>
      <c r="O148" s="194">
        <f>IFERROR(INDEX('Both teabags AfterWet'!$C$3:$C$2000,MATCH(H148,'Both teabags AfterWet'!$A$3:$A$2000,0)),"")</f>
        <v>0.74199999999999999</v>
      </c>
      <c r="P148" s="194">
        <f>IFERROR(INDEX('Both teabags AfterWet'!$C$3:$C$2000,MATCH(I148,'Both teabags AfterWet'!$A$3:$A$2000,0)),"")</f>
        <v>0.17480000000000001</v>
      </c>
      <c r="Q148" s="194">
        <f t="shared" si="12"/>
        <v>0.59139999999999993</v>
      </c>
      <c r="R148" s="194">
        <f t="shared" si="12"/>
        <v>2.4199999999999999E-2</v>
      </c>
      <c r="S148" s="194">
        <f t="shared" si="13"/>
        <v>0.66515683388064772</v>
      </c>
      <c r="T148" s="194">
        <f t="shared" si="14"/>
        <v>0.43606481271035341</v>
      </c>
      <c r="U148" s="194">
        <f t="shared" si="15"/>
        <v>1.2518104696875648E-2</v>
      </c>
      <c r="V148">
        <f t="shared" si="10"/>
        <v>51</v>
      </c>
      <c r="W148" s="194">
        <f t="shared" si="16"/>
        <v>0.21002751320588153</v>
      </c>
      <c r="X148" s="194" t="str">
        <f t="shared" si="17"/>
        <v/>
      </c>
      <c r="Y148" s="245" t="str">
        <f>IF(ISNUMBER(SEARCH("C",'WetLitterbags placem_collection'!$X75)),"YES","NO")</f>
        <v>NO</v>
      </c>
      <c r="Z148" s="245" t="str">
        <f>IF(ISNUMBER(SEARCH("H", 'WetLitterbags placem_collection'!$X75)),"YES","NO")</f>
        <v>NO</v>
      </c>
      <c r="AA148" s="245" t="str">
        <f>IF(ISNUMBER(SEARCH("R", 'WetLitterbags placem_collection'!$X75)),"YES","NO")</f>
        <v>YES</v>
      </c>
      <c r="AB148" s="245" t="str">
        <f>IF(ISNUMBER(SEARCH("C", 'WetLitterbags placem_collection'!$V75)),"YES","NO")</f>
        <v>NO</v>
      </c>
      <c r="AC148" s="245" t="str">
        <f>IF(ISNUMBER(SEARCH("H", 'WetLitterbags placem_collection'!$V75)),"YES","NO")</f>
        <v>YES</v>
      </c>
      <c r="AD148" s="245" t="str">
        <f>IF(ISNUMBER(SEARCH("R", 'WetLitterbags placem_collection'!$V75)),"YES","NO")</f>
        <v>YES</v>
      </c>
    </row>
    <row r="149" spans="2:30">
      <c r="B149" t="str">
        <f>Wetseason!B75</f>
        <v>Wet</v>
      </c>
      <c r="C149" s="253">
        <f>Wetseason!C75</f>
        <v>74</v>
      </c>
      <c r="D149" t="s">
        <v>3113</v>
      </c>
      <c r="E149" t="s">
        <v>22</v>
      </c>
      <c r="F149" s="374">
        <v>2</v>
      </c>
      <c r="G149" s="16">
        <f>'WetLitterbags placem_collection'!E76</f>
        <v>42767</v>
      </c>
      <c r="H149" t="str">
        <f>Wetseason!L75</f>
        <v>G605</v>
      </c>
      <c r="I149" t="str">
        <f>Wetseason!L295</f>
        <v>R122</v>
      </c>
      <c r="J149">
        <f>IFERROR(INDEX('Green_rooibos initial weight'!$C$5:$C$2000,MATCH(H149, 'Green_rooibos initial weight'!$A$5:$A$2000,0)),"")</f>
        <v>2.0459999999999998</v>
      </c>
      <c r="K149">
        <f>IFERROR(INDEX('Green_rooibos initial weight'!$C$5:$C$2000,MATCH(I149, 'Green_rooibos initial weight'!$A$5:$A$2000,0)),"")</f>
        <v>2.2189999999999999</v>
      </c>
      <c r="L149" s="194">
        <f t="shared" si="11"/>
        <v>1.7961999999999998</v>
      </c>
      <c r="M149" s="194">
        <f t="shared" si="9"/>
        <v>1.9691999999999998</v>
      </c>
      <c r="N149" s="16">
        <f>IF('WetLitterbags placem_collection'!G76="","",'WetLitterbags placem_collection'!G76)</f>
        <v>42818</v>
      </c>
      <c r="O149" s="194">
        <f>IFERROR(INDEX('Both teabags AfterWet'!$C$3:$C$2000,MATCH(H149,'Both teabags AfterWet'!$A$3:$A$2000,0)),"")</f>
        <v>1.1950000000000001</v>
      </c>
      <c r="P149" s="194">
        <f>IFERROR(INDEX('Both teabags AfterWet'!$C$3:$C$2000,MATCH(I149,'Both teabags AfterWet'!$A$3:$A$2000,0)),"")</f>
        <v>0.35499999999999998</v>
      </c>
      <c r="Q149" s="194">
        <f t="shared" si="12"/>
        <v>1.0444</v>
      </c>
      <c r="R149" s="194">
        <f t="shared" si="12"/>
        <v>0.20439999999999997</v>
      </c>
      <c r="S149" s="194">
        <f t="shared" si="13"/>
        <v>0.41855027279812929</v>
      </c>
      <c r="T149" s="194">
        <f t="shared" si="14"/>
        <v>0.27439400306955747</v>
      </c>
      <c r="U149" s="194">
        <f t="shared" si="15"/>
        <v>0.10379849685151329</v>
      </c>
      <c r="V149">
        <f t="shared" si="10"/>
        <v>51</v>
      </c>
      <c r="W149" s="194">
        <f t="shared" si="16"/>
        <v>0.50290941472906259</v>
      </c>
      <c r="X149" s="194" t="str">
        <f t="shared" si="17"/>
        <v/>
      </c>
      <c r="Y149" s="245" t="str">
        <f>IF(ISNUMBER(SEARCH("C",'WetLitterbags placem_collection'!$X76)),"YES","NO")</f>
        <v>NO</v>
      </c>
      <c r="Z149" s="245" t="str">
        <f>IF(ISNUMBER(SEARCH("H", 'WetLitterbags placem_collection'!$X76)),"YES","NO")</f>
        <v>NO</v>
      </c>
      <c r="AA149" s="245" t="str">
        <f>IF(ISNUMBER(SEARCH("R", 'WetLitterbags placem_collection'!$X76)),"YES","NO")</f>
        <v>YES</v>
      </c>
      <c r="AB149" s="245" t="str">
        <f>IF(ISNUMBER(SEARCH("C", 'WetLitterbags placem_collection'!$V76)),"YES","NO")</f>
        <v>NO</v>
      </c>
      <c r="AC149" s="245" t="str">
        <f>IF(ISNUMBER(SEARCH("H", 'WetLitterbags placem_collection'!$V76)),"YES","NO")</f>
        <v>YES</v>
      </c>
      <c r="AD149" s="245" t="str">
        <f>IF(ISNUMBER(SEARCH("R", 'WetLitterbags placem_collection'!$V76)),"YES","NO")</f>
        <v>YES</v>
      </c>
    </row>
    <row r="150" spans="2:30">
      <c r="B150" t="str">
        <f>Wetseason!B76</f>
        <v>Wet</v>
      </c>
      <c r="C150" s="253">
        <f>Wetseason!C76</f>
        <v>75</v>
      </c>
      <c r="D150" t="s">
        <v>3113</v>
      </c>
      <c r="E150" t="s">
        <v>22</v>
      </c>
      <c r="F150" s="374">
        <v>3</v>
      </c>
      <c r="G150" s="16">
        <f>'WetLitterbags placem_collection'!E77</f>
        <v>42767</v>
      </c>
      <c r="H150" t="str">
        <f>Wetseason!L76</f>
        <v>G408</v>
      </c>
      <c r="I150" t="str">
        <f>Wetseason!L296</f>
        <v>R404</v>
      </c>
      <c r="J150">
        <f>IFERROR(INDEX('Green_rooibos initial weight'!$C$5:$C$2000,MATCH(H150, 'Green_rooibos initial weight'!$A$5:$A$2000,0)),"")</f>
        <v>2.044</v>
      </c>
      <c r="K150">
        <f>IFERROR(INDEX('Green_rooibos initial weight'!$C$5:$C$2000,MATCH(I150, 'Green_rooibos initial weight'!$A$5:$A$2000,0)),"")</f>
        <v>2.1779999999999999</v>
      </c>
      <c r="L150" s="194">
        <f t="shared" si="11"/>
        <v>1.7942</v>
      </c>
      <c r="M150" s="194">
        <f t="shared" si="9"/>
        <v>1.9281999999999999</v>
      </c>
      <c r="N150" s="16">
        <f>IF('WetLitterbags placem_collection'!G77="","",'WetLitterbags placem_collection'!G77)</f>
        <v>42818</v>
      </c>
      <c r="O150" s="194">
        <f>IFERROR(INDEX('Both teabags AfterWet'!$C$3:$C$2000,MATCH(H150,'Both teabags AfterWet'!$A$3:$A$2000,0)),"")</f>
        <v>0.85780000000000001</v>
      </c>
      <c r="P150" s="194">
        <f>IFERROR(INDEX('Both teabags AfterWet'!$C$3:$C$2000,MATCH(I150,'Both teabags AfterWet'!$A$3:$A$2000,0)),"")</f>
        <v>0.15579999999999999</v>
      </c>
      <c r="Q150" s="194">
        <f t="shared" si="12"/>
        <v>0.70720000000000005</v>
      </c>
      <c r="R150" s="194">
        <f t="shared" si="12"/>
        <v>5.1999999999999824E-3</v>
      </c>
      <c r="S150" s="194">
        <f t="shared" si="13"/>
        <v>0.605841043361944</v>
      </c>
      <c r="T150" s="194">
        <f t="shared" si="14"/>
        <v>0.39717845123015816</v>
      </c>
      <c r="U150" s="194">
        <f t="shared" si="15"/>
        <v>2.6968156830204245E-3</v>
      </c>
      <c r="V150">
        <f t="shared" si="10"/>
        <v>51</v>
      </c>
      <c r="W150" s="194">
        <f t="shared" si="16"/>
        <v>0.28047382023522083</v>
      </c>
      <c r="X150" s="194" t="str">
        <f t="shared" si="17"/>
        <v/>
      </c>
      <c r="Y150" s="245" t="str">
        <f>IF(ISNUMBER(SEARCH("C",'WetLitterbags placem_collection'!$X77)),"YES","NO")</f>
        <v>NO</v>
      </c>
      <c r="Z150" s="245" t="str">
        <f>IF(ISNUMBER(SEARCH("H", 'WetLitterbags placem_collection'!$X77)),"YES","NO")</f>
        <v>NO</v>
      </c>
      <c r="AA150" s="245" t="str">
        <f>IF(ISNUMBER(SEARCH("R", 'WetLitterbags placem_collection'!$X77)),"YES","NO")</f>
        <v>YES</v>
      </c>
      <c r="AB150" s="245" t="str">
        <f>IF(ISNUMBER(SEARCH("C", 'WetLitterbags placem_collection'!$V77)),"YES","NO")</f>
        <v>NO</v>
      </c>
      <c r="AC150" s="245" t="str">
        <f>IF(ISNUMBER(SEARCH("H", 'WetLitterbags placem_collection'!$V77)),"YES","NO")</f>
        <v>YES</v>
      </c>
      <c r="AD150" s="245" t="str">
        <f>IF(ISNUMBER(SEARCH("R", 'WetLitterbags placem_collection'!$V77)),"YES","NO")</f>
        <v>YES</v>
      </c>
    </row>
    <row r="151" spans="2:30">
      <c r="B151" t="str">
        <f>Wetseason!B77</f>
        <v>Wet</v>
      </c>
      <c r="C151" s="253">
        <f>Wetseason!C77</f>
        <v>76</v>
      </c>
      <c r="D151" t="s">
        <v>3113</v>
      </c>
      <c r="E151" t="s">
        <v>22</v>
      </c>
      <c r="F151" s="375">
        <v>4</v>
      </c>
      <c r="G151" s="16">
        <f>'WetLitterbags placem_collection'!E78</f>
        <v>42767</v>
      </c>
      <c r="H151" t="str">
        <f>Wetseason!L77</f>
        <v>G416</v>
      </c>
      <c r="I151" t="str">
        <f>Wetseason!L297</f>
        <v>R501</v>
      </c>
      <c r="J151">
        <f>IFERROR(INDEX('Green_rooibos initial weight'!$C$5:$C$2000,MATCH(H151, 'Green_rooibos initial weight'!$A$5:$A$2000,0)),"")</f>
        <v>2.1819999999999999</v>
      </c>
      <c r="K151">
        <f>IFERROR(INDEX('Green_rooibos initial weight'!$C$5:$C$2000,MATCH(I151, 'Green_rooibos initial weight'!$A$5:$A$2000,0)),"")</f>
        <v>2.1379999999999999</v>
      </c>
      <c r="L151" s="194">
        <f t="shared" si="11"/>
        <v>1.9321999999999999</v>
      </c>
      <c r="M151" s="194">
        <f t="shared" si="9"/>
        <v>1.8881999999999999</v>
      </c>
      <c r="N151" s="16">
        <f>IF('WetLitterbags placem_collection'!G78="","",'WetLitterbags placem_collection'!G78)</f>
        <v>42818</v>
      </c>
      <c r="O151" s="194">
        <f>IFERROR(INDEX('Both teabags AfterWet'!$C$3:$C$2000,MATCH(H151,'Both teabags AfterWet'!$A$3:$A$2000,0)),"")</f>
        <v>0.94399999999999995</v>
      </c>
      <c r="P151" s="194">
        <f>IFERROR(INDEX('Both teabags AfterWet'!$C$3:$C$2000,MATCH(I151,'Both teabags AfterWet'!$A$3:$A$2000,0)),"")</f>
        <v>0.29499999999999998</v>
      </c>
      <c r="Q151" s="194">
        <f t="shared" si="12"/>
        <v>0.79339999999999988</v>
      </c>
      <c r="R151" s="194">
        <f t="shared" si="12"/>
        <v>0.14439999999999997</v>
      </c>
      <c r="S151" s="194">
        <f t="shared" si="13"/>
        <v>0.58937998136838843</v>
      </c>
      <c r="T151" s="194">
        <f t="shared" si="14"/>
        <v>0.38638687614649697</v>
      </c>
      <c r="U151" s="194">
        <f t="shared" si="15"/>
        <v>7.6474949687533086E-2</v>
      </c>
      <c r="V151">
        <f t="shared" si="10"/>
        <v>51</v>
      </c>
      <c r="W151" s="194">
        <f t="shared" si="16"/>
        <v>0.30002377509692579</v>
      </c>
      <c r="X151" s="194" t="str">
        <f t="shared" si="17"/>
        <v/>
      </c>
      <c r="Y151" s="245" t="str">
        <f>IF(ISNUMBER(SEARCH("C",'WetLitterbags placem_collection'!$X78)),"YES","NO")</f>
        <v>NO</v>
      </c>
      <c r="Z151" s="245" t="str">
        <f>IF(ISNUMBER(SEARCH("H", 'WetLitterbags placem_collection'!$X78)),"YES","NO")</f>
        <v>NO</v>
      </c>
      <c r="AA151" s="245" t="str">
        <f>IF(ISNUMBER(SEARCH("R", 'WetLitterbags placem_collection'!$X78)),"YES","NO")</f>
        <v>YES</v>
      </c>
      <c r="AB151" s="245" t="str">
        <f>IF(ISNUMBER(SEARCH("C", 'WetLitterbags placem_collection'!$V78)),"YES","NO")</f>
        <v>NO</v>
      </c>
      <c r="AC151" s="245" t="str">
        <f>IF(ISNUMBER(SEARCH("H", 'WetLitterbags placem_collection'!$V78)),"YES","NO")</f>
        <v>YES</v>
      </c>
      <c r="AD151" s="245" t="str">
        <f>IF(ISNUMBER(SEARCH("R", 'WetLitterbags placem_collection'!$V78)),"YES","NO")</f>
        <v>NO</v>
      </c>
    </row>
    <row r="152" spans="2:30">
      <c r="B152" t="str">
        <f>Wetseason!B78</f>
        <v>Wet</v>
      </c>
      <c r="C152" s="253">
        <f>Wetseason!C78</f>
        <v>77</v>
      </c>
      <c r="D152" t="s">
        <v>3113</v>
      </c>
      <c r="E152" t="s">
        <v>22</v>
      </c>
      <c r="F152" s="375">
        <v>5</v>
      </c>
      <c r="G152" s="16">
        <f>'WetLitterbags placem_collection'!E79</f>
        <v>42767</v>
      </c>
      <c r="H152" t="str">
        <f>Wetseason!L78</f>
        <v>G594</v>
      </c>
      <c r="I152" t="str">
        <f>Wetseason!L298</f>
        <v>R137</v>
      </c>
      <c r="J152">
        <f>IFERROR(INDEX('Green_rooibos initial weight'!$C$5:$C$2000,MATCH(H152, 'Green_rooibos initial weight'!$A$5:$A$2000,0)),"")</f>
        <v>2.0680000000000001</v>
      </c>
      <c r="K152">
        <f>IFERROR(INDEX('Green_rooibos initial weight'!$C$5:$C$2000,MATCH(I152, 'Green_rooibos initial weight'!$A$5:$A$2000,0)),"")</f>
        <v>2.198</v>
      </c>
      <c r="L152" s="194">
        <f t="shared" si="11"/>
        <v>1.8182</v>
      </c>
      <c r="M152" s="194">
        <f t="shared" si="9"/>
        <v>1.9481999999999999</v>
      </c>
      <c r="N152" s="16">
        <f>IF('WetLitterbags placem_collection'!G79="","",'WetLitterbags placem_collection'!G79)</f>
        <v>42818</v>
      </c>
      <c r="O152" s="194">
        <f>IFERROR(INDEX('Both teabags AfterWet'!$C$3:$C$2000,MATCH(H152,'Both teabags AfterWet'!$A$3:$A$2000,0)),"")</f>
        <v>0.94699999999999995</v>
      </c>
      <c r="P152" s="194">
        <f>IFERROR(INDEX('Both teabags AfterWet'!$C$3:$C$2000,MATCH(I152,'Both teabags AfterWet'!$A$3:$A$2000,0)),"")</f>
        <v>1.698</v>
      </c>
      <c r="Q152" s="194">
        <f t="shared" si="12"/>
        <v>0.7964</v>
      </c>
      <c r="R152" s="194">
        <f t="shared" si="12"/>
        <v>1.5473999999999999</v>
      </c>
      <c r="S152" s="194">
        <f t="shared" si="13"/>
        <v>0.56198438015619845</v>
      </c>
      <c r="T152" s="194">
        <f t="shared" si="14"/>
        <v>0.36842681454420612</v>
      </c>
      <c r="U152" s="194">
        <f t="shared" si="15"/>
        <v>0.79427163535571299</v>
      </c>
      <c r="V152">
        <f t="shared" si="10"/>
        <v>51</v>
      </c>
      <c r="W152" s="194">
        <f t="shared" si="16"/>
        <v>0.33256011857933676</v>
      </c>
      <c r="X152" s="194">
        <f t="shared" si="17"/>
        <v>1.6026345125444878E-2</v>
      </c>
      <c r="Y152" s="245" t="str">
        <f>IF(ISNUMBER(SEARCH("C",'WetLitterbags placem_collection'!$X79)),"YES","NO")</f>
        <v>NO</v>
      </c>
      <c r="Z152" s="245" t="str">
        <f>IF(ISNUMBER(SEARCH("H", 'WetLitterbags placem_collection'!$X79)),"YES","NO")</f>
        <v>NO</v>
      </c>
      <c r="AA152" s="245" t="str">
        <f>IF(ISNUMBER(SEARCH("R", 'WetLitterbags placem_collection'!$X79)),"YES","NO")</f>
        <v>YES</v>
      </c>
      <c r="AB152" s="245" t="str">
        <f>IF(ISNUMBER(SEARCH("C", 'WetLitterbags placem_collection'!$V79)),"YES","NO")</f>
        <v>NO</v>
      </c>
      <c r="AC152" s="245" t="str">
        <f>IF(ISNUMBER(SEARCH("H", 'WetLitterbags placem_collection'!$V79)),"YES","NO")</f>
        <v>NO</v>
      </c>
      <c r="AD152" s="245" t="str">
        <f>IF(ISNUMBER(SEARCH("R", 'WetLitterbags placem_collection'!$V79)),"YES","NO")</f>
        <v>YES</v>
      </c>
    </row>
    <row r="153" spans="2:30">
      <c r="B153" t="str">
        <f>Wetseason!B79</f>
        <v>Wet</v>
      </c>
      <c r="C153" s="253">
        <f>Wetseason!C79</f>
        <v>78</v>
      </c>
      <c r="D153" t="s">
        <v>3113</v>
      </c>
      <c r="E153" t="s">
        <v>22</v>
      </c>
      <c r="F153" s="375">
        <v>6</v>
      </c>
      <c r="G153" s="16">
        <f>'WetLitterbags placem_collection'!E80</f>
        <v>42767</v>
      </c>
      <c r="H153" t="str">
        <f>Wetseason!L79</f>
        <v>G460</v>
      </c>
      <c r="I153" t="str">
        <f>Wetseason!L299</f>
        <v>R278</v>
      </c>
      <c r="J153">
        <f>IFERROR(INDEX('Green_rooibos initial weight'!$C$5:$C$2000,MATCH(H153, 'Green_rooibos initial weight'!$A$5:$A$2000,0)),"")</f>
        <v>2.1560000000000001</v>
      </c>
      <c r="K153">
        <f>IFERROR(INDEX('Green_rooibos initial weight'!$C$5:$C$2000,MATCH(I153, 'Green_rooibos initial weight'!$A$5:$A$2000,0)),"")</f>
        <v>2.198</v>
      </c>
      <c r="L153" s="194">
        <f t="shared" si="11"/>
        <v>1.9062000000000001</v>
      </c>
      <c r="M153" s="194">
        <f t="shared" si="9"/>
        <v>1.9481999999999999</v>
      </c>
      <c r="N153" s="16">
        <f>IF('WetLitterbags placem_collection'!G80="","",'WetLitterbags placem_collection'!G80)</f>
        <v>42818</v>
      </c>
      <c r="O153" s="194">
        <f>IFERROR(INDEX('Both teabags AfterWet'!$C$3:$C$2000,MATCH(H153,'Both teabags AfterWet'!$A$3:$A$2000,0)),"")</f>
        <v>0.90669999999999995</v>
      </c>
      <c r="P153" s="194">
        <f>IFERROR(INDEX('Both teabags AfterWet'!$C$3:$C$2000,MATCH(I153,'Both teabags AfterWet'!$A$3:$A$2000,0)),"")</f>
        <v>1.6845000000000001</v>
      </c>
      <c r="Q153" s="194">
        <f t="shared" si="12"/>
        <v>0.75609999999999999</v>
      </c>
      <c r="R153" s="194">
        <f t="shared" si="12"/>
        <v>1.5339</v>
      </c>
      <c r="S153" s="194">
        <f t="shared" si="13"/>
        <v>0.60334697303535834</v>
      </c>
      <c r="T153" s="194">
        <f t="shared" si="14"/>
        <v>0.39554338374764592</v>
      </c>
      <c r="U153" s="194">
        <f t="shared" si="15"/>
        <v>0.78734216199568841</v>
      </c>
      <c r="V153">
        <f t="shared" si="10"/>
        <v>51</v>
      </c>
      <c r="W153" s="194">
        <f t="shared" si="16"/>
        <v>0.2834358990078879</v>
      </c>
      <c r="X153" s="194">
        <f t="shared" si="17"/>
        <v>1.5125489226115613E-2</v>
      </c>
      <c r="Y153" s="245" t="str">
        <f>IF(ISNUMBER(SEARCH("C",'WetLitterbags placem_collection'!$X80)),"YES","NO")</f>
        <v>NO</v>
      </c>
      <c r="Z153" s="245" t="str">
        <f>IF(ISNUMBER(SEARCH("H", 'WetLitterbags placem_collection'!$X80)),"YES","NO")</f>
        <v>NO</v>
      </c>
      <c r="AA153" s="245" t="str">
        <f>IF(ISNUMBER(SEARCH("R", 'WetLitterbags placem_collection'!$X80)),"YES","NO")</f>
        <v>YES</v>
      </c>
      <c r="AB153" s="245" t="str">
        <f>IF(ISNUMBER(SEARCH("C", 'WetLitterbags placem_collection'!$V80)),"YES","NO")</f>
        <v>NO</v>
      </c>
      <c r="AC153" s="245" t="str">
        <f>IF(ISNUMBER(SEARCH("H", 'WetLitterbags placem_collection'!$V80)),"YES","NO")</f>
        <v>NO</v>
      </c>
      <c r="AD153" s="245" t="str">
        <f>IF(ISNUMBER(SEARCH("R", 'WetLitterbags placem_collection'!$V80)),"YES","NO")</f>
        <v>YES</v>
      </c>
    </row>
    <row r="154" spans="2:30">
      <c r="B154" t="str">
        <f>Wetseason!B80</f>
        <v>Wet</v>
      </c>
      <c r="C154" s="253">
        <f>Wetseason!C80</f>
        <v>79</v>
      </c>
      <c r="D154" t="s">
        <v>3113</v>
      </c>
      <c r="E154" t="s">
        <v>22</v>
      </c>
      <c r="F154" s="375">
        <v>7</v>
      </c>
      <c r="G154" s="16">
        <f>'WetLitterbags placem_collection'!E81</f>
        <v>42767</v>
      </c>
      <c r="H154" t="str">
        <f>Wetseason!L80</f>
        <v>G217</v>
      </c>
      <c r="I154" t="str">
        <f>Wetseason!L300</f>
        <v>R235</v>
      </c>
      <c r="J154">
        <f>IFERROR(INDEX('Green_rooibos initial weight'!$C$5:$C$2000,MATCH(H154, 'Green_rooibos initial weight'!$A$5:$A$2000,0)),"")</f>
        <v>1.944</v>
      </c>
      <c r="K154">
        <f>IFERROR(INDEX('Green_rooibos initial weight'!$C$5:$C$2000,MATCH(I154, 'Green_rooibos initial weight'!$A$5:$A$2000,0)),"")</f>
        <v>2.169</v>
      </c>
      <c r="L154" s="194">
        <f t="shared" si="11"/>
        <v>1.6941999999999999</v>
      </c>
      <c r="M154" s="194">
        <f t="shared" si="9"/>
        <v>1.9192</v>
      </c>
      <c r="N154" s="16">
        <f>IF('WetLitterbags placem_collection'!G81="","",'WetLitterbags placem_collection'!G81)</f>
        <v>42818</v>
      </c>
      <c r="O154" s="194">
        <f>IFERROR(INDEX('Both teabags AfterWet'!$C$3:$C$2000,MATCH(H154,'Both teabags AfterWet'!$A$3:$A$2000,0)),"")</f>
        <v>0.85370000000000001</v>
      </c>
      <c r="P154" s="194">
        <f>IFERROR(INDEX('Both teabags AfterWet'!$C$3:$C$2000,MATCH(I154,'Both teabags AfterWet'!$A$3:$A$2000,0)),"")</f>
        <v>1.5528</v>
      </c>
      <c r="Q154" s="194">
        <f t="shared" si="12"/>
        <v>0.70310000000000006</v>
      </c>
      <c r="R154" s="194">
        <f t="shared" si="12"/>
        <v>1.4021999999999999</v>
      </c>
      <c r="S154" s="194">
        <f t="shared" si="13"/>
        <v>0.58499586825640415</v>
      </c>
      <c r="T154" s="194">
        <f t="shared" si="14"/>
        <v>0.38351273073341463</v>
      </c>
      <c r="U154" s="194">
        <f t="shared" si="15"/>
        <v>0.73061692371821585</v>
      </c>
      <c r="V154">
        <f t="shared" si="10"/>
        <v>51</v>
      </c>
      <c r="W154" s="194">
        <f t="shared" si="16"/>
        <v>0.30523056026555329</v>
      </c>
      <c r="X154" s="194">
        <f t="shared" si="17"/>
        <v>2.3765444991071194E-2</v>
      </c>
      <c r="Y154" s="245" t="str">
        <f>IF(ISNUMBER(SEARCH("C",'WetLitterbags placem_collection'!$X81)),"YES","NO")</f>
        <v>NO</v>
      </c>
      <c r="Z154" s="245" t="str">
        <f>IF(ISNUMBER(SEARCH("H", 'WetLitterbags placem_collection'!$X81)),"YES","NO")</f>
        <v>NO</v>
      </c>
      <c r="AA154" s="245" t="str">
        <f>IF(ISNUMBER(SEARCH("R", 'WetLitterbags placem_collection'!$X81)),"YES","NO")</f>
        <v>YES</v>
      </c>
      <c r="AB154" s="245" t="str">
        <f>IF(ISNUMBER(SEARCH("C", 'WetLitterbags placem_collection'!$V81)),"YES","NO")</f>
        <v>NO</v>
      </c>
      <c r="AC154" s="245" t="str">
        <f>IF(ISNUMBER(SEARCH("H", 'WetLitterbags placem_collection'!$V81)),"YES","NO")</f>
        <v>NO</v>
      </c>
      <c r="AD154" s="245" t="str">
        <f>IF(ISNUMBER(SEARCH("R", 'WetLitterbags placem_collection'!$V81)),"YES","NO")</f>
        <v>YES</v>
      </c>
    </row>
    <row r="155" spans="2:30">
      <c r="B155" t="str">
        <f>Wetseason!B81</f>
        <v>Wet</v>
      </c>
      <c r="C155" s="253">
        <f>Wetseason!C81</f>
        <v>80</v>
      </c>
      <c r="D155" t="s">
        <v>3113</v>
      </c>
      <c r="E155" t="s">
        <v>22</v>
      </c>
      <c r="F155" s="375">
        <v>8</v>
      </c>
      <c r="G155" s="16">
        <f>'WetLitterbags placem_collection'!E82</f>
        <v>42767</v>
      </c>
      <c r="H155" t="str">
        <f>Wetseason!L81</f>
        <v>G607</v>
      </c>
      <c r="I155" t="str">
        <f>Wetseason!L301</f>
        <v>R181</v>
      </c>
      <c r="J155">
        <f>IFERROR(INDEX('Green_rooibos initial weight'!$C$5:$C$2000,MATCH(H155, 'Green_rooibos initial weight'!$A$5:$A$2000,0)),"")</f>
        <v>1.9450000000000001</v>
      </c>
      <c r="K155">
        <f>IFERROR(INDEX('Green_rooibos initial weight'!$C$5:$C$2000,MATCH(I155, 'Green_rooibos initial weight'!$A$5:$A$2000,0)),"")</f>
        <v>2.1749999999999998</v>
      </c>
      <c r="L155" s="194">
        <f t="shared" si="11"/>
        <v>1.6952</v>
      </c>
      <c r="M155" s="194">
        <f t="shared" si="9"/>
        <v>1.9251999999999998</v>
      </c>
      <c r="N155" s="16">
        <f>IF('WetLitterbags placem_collection'!G82="","",'WetLitterbags placem_collection'!G82)</f>
        <v>42818</v>
      </c>
      <c r="O155" s="194">
        <f>IFERROR(INDEX('Both teabags AfterWet'!$C$3:$C$2000,MATCH(H155,'Both teabags AfterWet'!$A$3:$A$2000,0)),"")</f>
        <v>0.92400000000000004</v>
      </c>
      <c r="P155" s="194">
        <f>IFERROR(INDEX('Both teabags AfterWet'!$C$3:$C$2000,MATCH(I155,'Both teabags AfterWet'!$A$3:$A$2000,0)),"")</f>
        <v>0.23799999999999999</v>
      </c>
      <c r="Q155" s="194">
        <f t="shared" si="12"/>
        <v>0.77340000000000009</v>
      </c>
      <c r="R155" s="194">
        <f t="shared" si="12"/>
        <v>8.7399999999999978E-2</v>
      </c>
      <c r="S155" s="194">
        <f t="shared" si="13"/>
        <v>0.54377064653138274</v>
      </c>
      <c r="T155" s="194">
        <f t="shared" si="14"/>
        <v>0.3564862195787688</v>
      </c>
      <c r="U155" s="194">
        <f t="shared" si="15"/>
        <v>4.5397880739663402E-2</v>
      </c>
      <c r="V155">
        <f t="shared" si="10"/>
        <v>51</v>
      </c>
      <c r="W155" s="194">
        <f t="shared" si="16"/>
        <v>0.35419163119788266</v>
      </c>
      <c r="X155" s="194" t="str">
        <f t="shared" si="17"/>
        <v/>
      </c>
      <c r="Y155" s="245" t="str">
        <f>IF(ISNUMBER(SEARCH("C",'WetLitterbags placem_collection'!$X82)),"YES","NO")</f>
        <v>NO</v>
      </c>
      <c r="Z155" s="245" t="str">
        <f>IF(ISNUMBER(SEARCH("H", 'WetLitterbags placem_collection'!$X82)),"YES","NO")</f>
        <v>NO</v>
      </c>
      <c r="AA155" s="245" t="str">
        <f>IF(ISNUMBER(SEARCH("R", 'WetLitterbags placem_collection'!$X82)),"YES","NO")</f>
        <v>YES</v>
      </c>
      <c r="AB155" s="245" t="str">
        <f>IF(ISNUMBER(SEARCH("C", 'WetLitterbags placem_collection'!$V82)),"YES","NO")</f>
        <v>YES</v>
      </c>
      <c r="AC155" s="245" t="str">
        <f>IF(ISNUMBER(SEARCH("H", 'WetLitterbags placem_collection'!$V82)),"YES","NO")</f>
        <v>YES</v>
      </c>
      <c r="AD155" s="245" t="str">
        <f>IF(ISNUMBER(SEARCH("R", 'WetLitterbags placem_collection'!$V82)),"YES","NO")</f>
        <v>NO</v>
      </c>
    </row>
    <row r="156" spans="2:30">
      <c r="B156" t="str">
        <f>Wetseason!B82</f>
        <v>Wet</v>
      </c>
      <c r="C156" s="253">
        <f>Wetseason!C82</f>
        <v>81</v>
      </c>
      <c r="D156" t="s">
        <v>3114</v>
      </c>
      <c r="E156" t="s">
        <v>22</v>
      </c>
      <c r="F156" s="374">
        <v>1</v>
      </c>
      <c r="G156" s="16">
        <f>'WetLitterbags placem_collection'!E83</f>
        <v>42767</v>
      </c>
      <c r="H156" t="str">
        <f>Wetseason!L82</f>
        <v>G542</v>
      </c>
      <c r="I156" t="str">
        <f>Wetseason!L302</f>
        <v>R187</v>
      </c>
      <c r="J156">
        <f>IFERROR(INDEX('Green_rooibos initial weight'!$C$5:$C$2000,MATCH(H156, 'Green_rooibos initial weight'!$A$5:$A$2000,0)),"")</f>
        <v>2.0779999999999998</v>
      </c>
      <c r="K156">
        <f>IFERROR(INDEX('Green_rooibos initial weight'!$C$5:$C$2000,MATCH(I156, 'Green_rooibos initial weight'!$A$5:$A$2000,0)),"")</f>
        <v>2.2210000000000001</v>
      </c>
      <c r="L156" s="194">
        <f t="shared" si="11"/>
        <v>1.8281999999999998</v>
      </c>
      <c r="M156" s="194">
        <f t="shared" si="9"/>
        <v>1.9712000000000001</v>
      </c>
      <c r="N156" s="16">
        <f>IF('WetLitterbags placem_collection'!G83="","",'WetLitterbags placem_collection'!G83)</f>
        <v>42818</v>
      </c>
      <c r="O156" s="194">
        <f>IFERROR(INDEX('Both teabags AfterWet'!$C$3:$C$2000,MATCH(H156,'Both teabags AfterWet'!$A$3:$A$2000,0)),"")</f>
        <v>0.85099999999999998</v>
      </c>
      <c r="P156" s="194">
        <f>IFERROR(INDEX('Both teabags AfterWet'!$C$3:$C$2000,MATCH(I156,'Both teabags AfterWet'!$A$3:$A$2000,0)),"")</f>
        <v>1.8420000000000001</v>
      </c>
      <c r="Q156" s="194">
        <f t="shared" si="12"/>
        <v>0.70039999999999991</v>
      </c>
      <c r="R156" s="194">
        <f t="shared" si="12"/>
        <v>1.6914</v>
      </c>
      <c r="S156" s="194">
        <f t="shared" si="13"/>
        <v>0.61689093097035341</v>
      </c>
      <c r="T156" s="194">
        <f t="shared" si="14"/>
        <v>0.40442255807082561</v>
      </c>
      <c r="U156" s="194">
        <f t="shared" si="15"/>
        <v>0.85805600649350644</v>
      </c>
      <c r="V156">
        <f t="shared" si="10"/>
        <v>51</v>
      </c>
      <c r="W156" s="194">
        <f t="shared" si="16"/>
        <v>0.26735043827748994</v>
      </c>
      <c r="X156" s="194">
        <f t="shared" si="17"/>
        <v>8.4762911230470001E-3</v>
      </c>
      <c r="Y156" s="245" t="str">
        <f>IF(ISNUMBER(SEARCH("C",'WetLitterbags placem_collection'!$X83)),"YES","NO")</f>
        <v>NO</v>
      </c>
      <c r="Z156" s="245" t="str">
        <f>IF(ISNUMBER(SEARCH("H", 'WetLitterbags placem_collection'!$X83)),"YES","NO")</f>
        <v>NO</v>
      </c>
      <c r="AA156" s="245" t="str">
        <f>IF(ISNUMBER(SEARCH("R", 'WetLitterbags placem_collection'!$X83)),"YES","NO")</f>
        <v>YES</v>
      </c>
      <c r="AB156" s="245" t="str">
        <f>IF(ISNUMBER(SEARCH("C", 'WetLitterbags placem_collection'!$V83)),"YES","NO")</f>
        <v>NO</v>
      </c>
      <c r="AC156" s="245" t="str">
        <f>IF(ISNUMBER(SEARCH("H", 'WetLitterbags placem_collection'!$V83)),"YES","NO")</f>
        <v>YES</v>
      </c>
      <c r="AD156" s="245" t="str">
        <f>IF(ISNUMBER(SEARCH("R", 'WetLitterbags placem_collection'!$V83)),"YES","NO")</f>
        <v>YES</v>
      </c>
    </row>
    <row r="157" spans="2:30">
      <c r="B157" t="str">
        <f>Wetseason!B83</f>
        <v>Wet</v>
      </c>
      <c r="C157" s="253">
        <f>Wetseason!C83</f>
        <v>82</v>
      </c>
      <c r="D157" t="s">
        <v>3114</v>
      </c>
      <c r="E157" t="s">
        <v>22</v>
      </c>
      <c r="F157" s="374">
        <v>2</v>
      </c>
      <c r="G157" s="16">
        <f>'WetLitterbags placem_collection'!E84</f>
        <v>42767</v>
      </c>
      <c r="H157" t="str">
        <f>Wetseason!L83</f>
        <v>G536</v>
      </c>
      <c r="I157" t="str">
        <f>Wetseason!L303</f>
        <v>R83</v>
      </c>
      <c r="J157">
        <f>IFERROR(INDEX('Green_rooibos initial weight'!$C$5:$C$2000,MATCH(H157, 'Green_rooibos initial weight'!$A$5:$A$2000,0)),"")</f>
        <v>2.0510000000000002</v>
      </c>
      <c r="K157">
        <f>IFERROR(INDEX('Green_rooibos initial weight'!$C$5:$C$2000,MATCH(I157, 'Green_rooibos initial weight'!$A$5:$A$2000,0)),"")</f>
        <v>2.0390000000000001</v>
      </c>
      <c r="L157" s="194">
        <f t="shared" si="11"/>
        <v>1.8012000000000001</v>
      </c>
      <c r="M157" s="194">
        <f t="shared" si="9"/>
        <v>1.7892000000000001</v>
      </c>
      <c r="N157" s="16">
        <f>IF('WetLitterbags placem_collection'!G84="","",'WetLitterbags placem_collection'!G84)</f>
        <v>42819</v>
      </c>
      <c r="O157" s="194">
        <f>IFERROR(INDEX('Both teabags AfterWet'!$C$3:$C$2000,MATCH(H157,'Both teabags AfterWet'!$A$3:$A$2000,0)),"")</f>
        <v>0.748</v>
      </c>
      <c r="P157" s="194">
        <f>IFERROR(INDEX('Both teabags AfterWet'!$C$3:$C$2000,MATCH(I157,'Both teabags AfterWet'!$A$3:$A$2000,0)),"")</f>
        <v>1.5940000000000001</v>
      </c>
      <c r="Q157" s="194">
        <f t="shared" si="12"/>
        <v>0.59739999999999993</v>
      </c>
      <c r="R157" s="194">
        <f t="shared" si="12"/>
        <v>1.4434</v>
      </c>
      <c r="S157" s="194">
        <f t="shared" si="13"/>
        <v>0.66833222296246952</v>
      </c>
      <c r="T157" s="194">
        <f t="shared" si="14"/>
        <v>0.4381465404694575</v>
      </c>
      <c r="U157" s="194">
        <f t="shared" si="15"/>
        <v>0.80672926447574334</v>
      </c>
      <c r="V157">
        <f t="shared" si="10"/>
        <v>52</v>
      </c>
      <c r="W157" s="194">
        <f t="shared" si="16"/>
        <v>0.20625626726547563</v>
      </c>
      <c r="X157" s="194">
        <f t="shared" si="17"/>
        <v>1.1188504966848371E-2</v>
      </c>
      <c r="Y157" s="245" t="str">
        <f>IF(ISNUMBER(SEARCH("C",'WetLitterbags placem_collection'!$X84)),"YES","NO")</f>
        <v>NO</v>
      </c>
      <c r="Z157" s="245" t="str">
        <f>IF(ISNUMBER(SEARCH("H", 'WetLitterbags placem_collection'!$X84)),"YES","NO")</f>
        <v>NO</v>
      </c>
      <c r="AA157" s="245" t="str">
        <f>IF(ISNUMBER(SEARCH("R", 'WetLitterbags placem_collection'!$X84)),"YES","NO")</f>
        <v>YES</v>
      </c>
      <c r="AB157" s="245" t="str">
        <f>IF(ISNUMBER(SEARCH("C", 'WetLitterbags placem_collection'!$V84)),"YES","NO")</f>
        <v>NO</v>
      </c>
      <c r="AC157" s="245" t="str">
        <f>IF(ISNUMBER(SEARCH("H", 'WetLitterbags placem_collection'!$V84)),"YES","NO")</f>
        <v>YES</v>
      </c>
      <c r="AD157" s="245" t="str">
        <f>IF(ISNUMBER(SEARCH("R", 'WetLitterbags placem_collection'!$V84)),"YES","NO")</f>
        <v>YES</v>
      </c>
    </row>
    <row r="158" spans="2:30">
      <c r="B158" t="str">
        <f>Wetseason!B84</f>
        <v>Wet</v>
      </c>
      <c r="C158" s="253">
        <f>Wetseason!C84</f>
        <v>83</v>
      </c>
      <c r="D158" t="s">
        <v>3114</v>
      </c>
      <c r="E158" t="s">
        <v>22</v>
      </c>
      <c r="F158" s="374">
        <v>3</v>
      </c>
      <c r="G158" s="16">
        <f>'WetLitterbags placem_collection'!E85</f>
        <v>42767</v>
      </c>
      <c r="H158" t="str">
        <f>Wetseason!L84</f>
        <v>G494</v>
      </c>
      <c r="I158" t="str">
        <f>Wetseason!L304</f>
        <v>R134</v>
      </c>
      <c r="J158">
        <f>IFERROR(INDEX('Green_rooibos initial weight'!$C$5:$C$2000,MATCH(H158, 'Green_rooibos initial weight'!$A$5:$A$2000,0)),"")</f>
        <v>1.903</v>
      </c>
      <c r="K158">
        <f>IFERROR(INDEX('Green_rooibos initial weight'!$C$5:$C$2000,MATCH(I158, 'Green_rooibos initial weight'!$A$5:$A$2000,0)),"")</f>
        <v>2.21</v>
      </c>
      <c r="L158" s="194">
        <f t="shared" si="11"/>
        <v>1.6532</v>
      </c>
      <c r="M158" s="194">
        <f t="shared" si="9"/>
        <v>1.9601999999999999</v>
      </c>
      <c r="N158" s="16">
        <f>IF('WetLitterbags placem_collection'!G85="","",'WetLitterbags placem_collection'!G85)</f>
        <v>42819</v>
      </c>
      <c r="O158" s="194">
        <f>IFERROR(INDEX('Both teabags AfterWet'!$C$3:$C$2000,MATCH(H158,'Both teabags AfterWet'!$A$3:$A$2000,0)),"")</f>
        <v>0.90200000000000002</v>
      </c>
      <c r="P158" s="194">
        <f>IFERROR(INDEX('Both teabags AfterWet'!$C$3:$C$2000,MATCH(I158,'Both teabags AfterWet'!$A$3:$A$2000,0)),"")</f>
        <v>0.98799999999999999</v>
      </c>
      <c r="Q158" s="194">
        <f t="shared" si="12"/>
        <v>0.75140000000000007</v>
      </c>
      <c r="R158" s="194">
        <f t="shared" si="12"/>
        <v>0.83739999999999992</v>
      </c>
      <c r="S158" s="194">
        <f t="shared" si="13"/>
        <v>0.54548753931768679</v>
      </c>
      <c r="T158" s="194">
        <f t="shared" si="14"/>
        <v>0.35761178349568068</v>
      </c>
      <c r="U158" s="194">
        <f t="shared" si="15"/>
        <v>0.42720130598918477</v>
      </c>
      <c r="V158">
        <f t="shared" si="10"/>
        <v>52</v>
      </c>
      <c r="W158" s="194">
        <f t="shared" si="16"/>
        <v>0.35215256613101331</v>
      </c>
      <c r="X158" s="194" t="str">
        <f t="shared" si="17"/>
        <v/>
      </c>
      <c r="Y158" s="245" t="str">
        <f>IF(ISNUMBER(SEARCH("C",'WetLitterbags placem_collection'!$X85)),"YES","NO")</f>
        <v>NO</v>
      </c>
      <c r="Z158" s="245" t="str">
        <f>IF(ISNUMBER(SEARCH("H", 'WetLitterbags placem_collection'!$X85)),"YES","NO")</f>
        <v>NO</v>
      </c>
      <c r="AA158" s="245" t="str">
        <f>IF(ISNUMBER(SEARCH("R", 'WetLitterbags placem_collection'!$X85)),"YES","NO")</f>
        <v>YES</v>
      </c>
      <c r="AB158" s="245" t="str">
        <f>IF(ISNUMBER(SEARCH("C", 'WetLitterbags placem_collection'!$V85)),"YES","NO")</f>
        <v>NO</v>
      </c>
      <c r="AC158" s="245" t="str">
        <f>IF(ISNUMBER(SEARCH("H", 'WetLitterbags placem_collection'!$V85)),"YES","NO")</f>
        <v>NO</v>
      </c>
      <c r="AD158" s="245" t="str">
        <f>IF(ISNUMBER(SEARCH("R", 'WetLitterbags placem_collection'!$V85)),"YES","NO")</f>
        <v>YES</v>
      </c>
    </row>
    <row r="159" spans="2:30">
      <c r="B159" t="str">
        <f>Wetseason!B85</f>
        <v>Wet</v>
      </c>
      <c r="C159" s="253">
        <f>Wetseason!C85</f>
        <v>84</v>
      </c>
      <c r="D159" t="s">
        <v>3114</v>
      </c>
      <c r="E159" t="s">
        <v>22</v>
      </c>
      <c r="F159" s="375">
        <v>4</v>
      </c>
      <c r="G159" s="16">
        <f>'WetLitterbags placem_collection'!E86</f>
        <v>42767</v>
      </c>
      <c r="H159" t="str">
        <f>Wetseason!L85</f>
        <v>G291</v>
      </c>
      <c r="I159" t="str">
        <f>Wetseason!L305</f>
        <v>R49</v>
      </c>
      <c r="J159">
        <f>IFERROR(INDEX('Green_rooibos initial weight'!$C$5:$C$2000,MATCH(H159, 'Green_rooibos initial weight'!$A$5:$A$2000,0)),"")</f>
        <v>2.0880000000000001</v>
      </c>
      <c r="K159">
        <f>IFERROR(INDEX('Green_rooibos initial weight'!$C$5:$C$2000,MATCH(I159, 'Green_rooibos initial weight'!$A$5:$A$2000,0)),"")</f>
        <v>2.2999999999999998</v>
      </c>
      <c r="L159" s="194">
        <f t="shared" si="11"/>
        <v>1.8382000000000001</v>
      </c>
      <c r="M159" s="194">
        <f t="shared" si="9"/>
        <v>2.0501999999999998</v>
      </c>
      <c r="N159" s="16">
        <f>IF('WetLitterbags placem_collection'!G86="","",'WetLitterbags placem_collection'!G86)</f>
        <v>42819</v>
      </c>
      <c r="O159" s="194">
        <f>IFERROR(INDEX('Both teabags AfterWet'!$C$3:$C$2000,MATCH(H159,'Both teabags AfterWet'!$A$3:$A$2000,0)),"")</f>
        <v>0.90300000000000002</v>
      </c>
      <c r="P159" s="194">
        <f>IFERROR(INDEX('Both teabags AfterWet'!$C$3:$C$2000,MATCH(I159,'Both teabags AfterWet'!$A$3:$A$2000,0)),"")</f>
        <v>1.6379999999999999</v>
      </c>
      <c r="Q159" s="194">
        <f t="shared" si="12"/>
        <v>0.75239999999999996</v>
      </c>
      <c r="R159" s="194">
        <f t="shared" si="12"/>
        <v>1.4873999999999998</v>
      </c>
      <c r="S159" s="194">
        <f t="shared" si="13"/>
        <v>0.5906865411815907</v>
      </c>
      <c r="T159" s="194">
        <f t="shared" si="14"/>
        <v>0.38724343317367949</v>
      </c>
      <c r="U159" s="194">
        <f t="shared" si="15"/>
        <v>0.72549019607843135</v>
      </c>
      <c r="V159">
        <f t="shared" si="10"/>
        <v>52</v>
      </c>
      <c r="W159" s="194">
        <f t="shared" si="16"/>
        <v>0.29847204135202998</v>
      </c>
      <c r="X159" s="194">
        <f t="shared" si="17"/>
        <v>2.3731264400509981E-2</v>
      </c>
      <c r="Y159" s="245" t="str">
        <f>IF(ISNUMBER(SEARCH("C",'WetLitterbags placem_collection'!$X86)),"YES","NO")</f>
        <v>NO</v>
      </c>
      <c r="Z159" s="245" t="str">
        <f>IF(ISNUMBER(SEARCH("H", 'WetLitterbags placem_collection'!$X86)),"YES","NO")</f>
        <v>NO</v>
      </c>
      <c r="AA159" s="245" t="str">
        <f>IF(ISNUMBER(SEARCH("R", 'WetLitterbags placem_collection'!$X86)),"YES","NO")</f>
        <v>YES</v>
      </c>
      <c r="AB159" s="245" t="str">
        <f>IF(ISNUMBER(SEARCH("C", 'WetLitterbags placem_collection'!$V86)),"YES","NO")</f>
        <v>NO</v>
      </c>
      <c r="AC159" s="245" t="str">
        <f>IF(ISNUMBER(SEARCH("H", 'WetLitterbags placem_collection'!$V86)),"YES","NO")</f>
        <v>NO</v>
      </c>
      <c r="AD159" s="245" t="str">
        <f>IF(ISNUMBER(SEARCH("R", 'WetLitterbags placem_collection'!$V86)),"YES","NO")</f>
        <v>YES</v>
      </c>
    </row>
    <row r="160" spans="2:30">
      <c r="B160" t="str">
        <f>Wetseason!B86</f>
        <v>Wet</v>
      </c>
      <c r="C160" s="253">
        <f>Wetseason!C86</f>
        <v>85</v>
      </c>
      <c r="D160" t="s">
        <v>3114</v>
      </c>
      <c r="E160" t="s">
        <v>22</v>
      </c>
      <c r="F160" s="375">
        <v>5</v>
      </c>
      <c r="G160" s="16">
        <f>'WetLitterbags placem_collection'!E87</f>
        <v>42767</v>
      </c>
      <c r="H160" t="str">
        <f>Wetseason!L86</f>
        <v>G308</v>
      </c>
      <c r="I160" t="str">
        <f>Wetseason!L306</f>
        <v>R315</v>
      </c>
      <c r="J160">
        <f>IFERROR(INDEX('Green_rooibos initial weight'!$C$5:$C$2000,MATCH(H160, 'Green_rooibos initial weight'!$A$5:$A$2000,0)),"")</f>
        <v>1.982</v>
      </c>
      <c r="K160">
        <f>IFERROR(INDEX('Green_rooibos initial weight'!$C$5:$C$2000,MATCH(I160, 'Green_rooibos initial weight'!$A$5:$A$2000,0)),"")</f>
        <v>2.2440000000000002</v>
      </c>
      <c r="L160" s="194">
        <f t="shared" si="11"/>
        <v>1.7322</v>
      </c>
      <c r="M160" s="194">
        <f t="shared" si="9"/>
        <v>1.9942000000000002</v>
      </c>
      <c r="N160" s="16">
        <f>IF('WetLitterbags placem_collection'!G87="","",'WetLitterbags placem_collection'!G87)</f>
        <v>42819</v>
      </c>
      <c r="O160" s="194">
        <f>IFERROR(INDEX('Both teabags AfterWet'!$C$3:$C$2000,MATCH(H160,'Both teabags AfterWet'!$A$3:$A$2000,0)),"")</f>
        <v>1.256</v>
      </c>
      <c r="P160" s="194">
        <f>IFERROR(INDEX('Both teabags AfterWet'!$C$3:$C$2000,MATCH(I160,'Both teabags AfterWet'!$A$3:$A$2000,0)),"")</f>
        <v>1.4850000000000001</v>
      </c>
      <c r="Q160" s="194">
        <f t="shared" si="12"/>
        <v>1.1053999999999999</v>
      </c>
      <c r="R160" s="194">
        <f t="shared" si="12"/>
        <v>1.3344</v>
      </c>
      <c r="S160" s="194">
        <f t="shared" si="13"/>
        <v>0.3618519801408614</v>
      </c>
      <c r="T160" s="194">
        <f t="shared" si="14"/>
        <v>0.23722362593557661</v>
      </c>
      <c r="U160" s="194">
        <f t="shared" si="15"/>
        <v>0.66914050747166776</v>
      </c>
      <c r="V160">
        <f t="shared" si="10"/>
        <v>52</v>
      </c>
      <c r="W160" s="194">
        <f t="shared" si="16"/>
        <v>0.57024705446453516</v>
      </c>
      <c r="X160" s="194" t="str">
        <f t="shared" si="17"/>
        <v/>
      </c>
      <c r="Y160" s="245" t="str">
        <f>IF(ISNUMBER(SEARCH("C",'WetLitterbags placem_collection'!$X87)),"YES","NO")</f>
        <v>NO</v>
      </c>
      <c r="Z160" s="245" t="str">
        <f>IF(ISNUMBER(SEARCH("H", 'WetLitterbags placem_collection'!$X87)),"YES","NO")</f>
        <v>NO</v>
      </c>
      <c r="AA160" s="245" t="str">
        <f>IF(ISNUMBER(SEARCH("R", 'WetLitterbags placem_collection'!$X87)),"YES","NO")</f>
        <v>YES</v>
      </c>
      <c r="AB160" s="245" t="str">
        <f>IF(ISNUMBER(SEARCH("C", 'WetLitterbags placem_collection'!$V87)),"YES","NO")</f>
        <v>NO</v>
      </c>
      <c r="AC160" s="245" t="str">
        <f>IF(ISNUMBER(SEARCH("H", 'WetLitterbags placem_collection'!$V87)),"YES","NO")</f>
        <v>YES</v>
      </c>
      <c r="AD160" s="245" t="str">
        <f>IF(ISNUMBER(SEARCH("R", 'WetLitterbags placem_collection'!$V87)),"YES","NO")</f>
        <v>YES</v>
      </c>
    </row>
    <row r="161" spans="2:30">
      <c r="B161" t="str">
        <f>Wetseason!B87</f>
        <v>Wet</v>
      </c>
      <c r="C161" s="253">
        <f>Wetseason!C87</f>
        <v>86</v>
      </c>
      <c r="D161" t="s">
        <v>3114</v>
      </c>
      <c r="E161" t="s">
        <v>22</v>
      </c>
      <c r="F161" s="375">
        <v>6</v>
      </c>
      <c r="G161" s="16">
        <f>'WetLitterbags placem_collection'!E88</f>
        <v>42767</v>
      </c>
      <c r="H161" t="str">
        <f>Wetseason!L87</f>
        <v>G723</v>
      </c>
      <c r="I161" t="str">
        <f>Wetseason!L307</f>
        <v>R1</v>
      </c>
      <c r="J161">
        <f>IFERROR(INDEX('Green_rooibos initial weight'!$C$5:$C$2000,MATCH(H161, 'Green_rooibos initial weight'!$A$5:$A$2000,0)),"")</f>
        <v>2.0129999999999999</v>
      </c>
      <c r="K161">
        <f>IFERROR(INDEX('Green_rooibos initial weight'!$C$5:$C$2000,MATCH(I161, 'Green_rooibos initial weight'!$A$5:$A$2000,0)),"")</f>
        <v>2.2109999999999999</v>
      </c>
      <c r="L161" s="194">
        <f t="shared" si="11"/>
        <v>1.7631999999999999</v>
      </c>
      <c r="M161" s="194">
        <f t="shared" si="9"/>
        <v>1.9611999999999998</v>
      </c>
      <c r="N161" s="16">
        <f>IF('WetLitterbags placem_collection'!G88="","",'WetLitterbags placem_collection'!G88)</f>
        <v>42819</v>
      </c>
      <c r="O161" s="194">
        <f>IFERROR(INDEX('Both teabags AfterWet'!$C$3:$C$2000,MATCH(H161,'Both teabags AfterWet'!$A$3:$A$2000,0)),"")</f>
        <v>0.78249999999999997</v>
      </c>
      <c r="P161" s="194">
        <f>IFERROR(INDEX('Both teabags AfterWet'!$C$3:$C$2000,MATCH(I161,'Both teabags AfterWet'!$A$3:$A$2000,0)),"")</f>
        <v>0.38169999999999998</v>
      </c>
      <c r="Q161" s="194">
        <f t="shared" si="12"/>
        <v>0.63189999999999991</v>
      </c>
      <c r="R161" s="194">
        <f t="shared" si="12"/>
        <v>0.23109999999999997</v>
      </c>
      <c r="S161" s="194">
        <f t="shared" si="13"/>
        <v>0.64161751361161534</v>
      </c>
      <c r="T161" s="194">
        <f t="shared" si="14"/>
        <v>0.42063285927982386</v>
      </c>
      <c r="U161" s="194">
        <f t="shared" si="15"/>
        <v>0.11783601876402203</v>
      </c>
      <c r="V161">
        <f t="shared" si="10"/>
        <v>52</v>
      </c>
      <c r="W161" s="194">
        <f t="shared" si="16"/>
        <v>0.2379839505800293</v>
      </c>
      <c r="X161" s="194" t="str">
        <f t="shared" si="17"/>
        <v/>
      </c>
      <c r="Y161" s="245" t="str">
        <f>IF(ISNUMBER(SEARCH("C",'WetLitterbags placem_collection'!$X88)),"YES","NO")</f>
        <v>NO</v>
      </c>
      <c r="Z161" s="245" t="str">
        <f>IF(ISNUMBER(SEARCH("H", 'WetLitterbags placem_collection'!$X88)),"YES","NO")</f>
        <v>NO</v>
      </c>
      <c r="AA161" s="245" t="str">
        <f>IF(ISNUMBER(SEARCH("R", 'WetLitterbags placem_collection'!$X88)),"YES","NO")</f>
        <v>YES</v>
      </c>
      <c r="AB161" s="245" t="str">
        <f>IF(ISNUMBER(SEARCH("C", 'WetLitterbags placem_collection'!$V88)),"YES","NO")</f>
        <v>NO</v>
      </c>
      <c r="AC161" s="245" t="str">
        <f>IF(ISNUMBER(SEARCH("H", 'WetLitterbags placem_collection'!$V88)),"YES","NO")</f>
        <v>NO</v>
      </c>
      <c r="AD161" s="245" t="str">
        <f>IF(ISNUMBER(SEARCH("R", 'WetLitterbags placem_collection'!$V88)),"YES","NO")</f>
        <v>YES</v>
      </c>
    </row>
    <row r="162" spans="2:30">
      <c r="B162" t="str">
        <f>Wetseason!B88</f>
        <v>Wet</v>
      </c>
      <c r="C162" s="253">
        <f>Wetseason!C88</f>
        <v>87</v>
      </c>
      <c r="D162" t="s">
        <v>3114</v>
      </c>
      <c r="E162" t="s">
        <v>22</v>
      </c>
      <c r="F162" s="375">
        <v>7</v>
      </c>
      <c r="G162" s="16">
        <f>'WetLitterbags placem_collection'!E89</f>
        <v>42767</v>
      </c>
      <c r="H162" t="str">
        <f>Wetseason!L88</f>
        <v>G628</v>
      </c>
      <c r="I162" t="str">
        <f>Wetseason!L308</f>
        <v>R408</v>
      </c>
      <c r="J162">
        <f>IFERROR(INDEX('Green_rooibos initial weight'!$C$5:$C$2000,MATCH(H162, 'Green_rooibos initial weight'!$A$5:$A$2000,0)),"")</f>
        <v>2.0739999999999998</v>
      </c>
      <c r="K162">
        <f>IFERROR(INDEX('Green_rooibos initial weight'!$C$5:$C$2000,MATCH(I162, 'Green_rooibos initial weight'!$A$5:$A$2000,0)),"")</f>
        <v>2.2480000000000002</v>
      </c>
      <c r="L162" s="194">
        <f t="shared" si="11"/>
        <v>1.8241999999999998</v>
      </c>
      <c r="M162" s="194">
        <f t="shared" si="9"/>
        <v>1.9982000000000002</v>
      </c>
      <c r="N162" s="16">
        <f>IF('WetLitterbags placem_collection'!G89="","",'WetLitterbags placem_collection'!G89)</f>
        <v>42819</v>
      </c>
      <c r="O162" s="194">
        <f>IFERROR(INDEX('Both teabags AfterWet'!$C$3:$C$2000,MATCH(H162,'Both teabags AfterWet'!$A$3:$A$2000,0)),"")</f>
        <v>0.8639</v>
      </c>
      <c r="P162" s="194">
        <f>IFERROR(INDEX('Both teabags AfterWet'!$C$3:$C$2000,MATCH(I162,'Both teabags AfterWet'!$A$3:$A$2000,0)),"")</f>
        <v>0.3599</v>
      </c>
      <c r="Q162" s="194">
        <f t="shared" si="12"/>
        <v>0.71330000000000005</v>
      </c>
      <c r="R162" s="194">
        <f t="shared" si="12"/>
        <v>0.20929999999999999</v>
      </c>
      <c r="S162" s="194">
        <f t="shared" si="13"/>
        <v>0.60897927858787404</v>
      </c>
      <c r="T162" s="194">
        <f t="shared" si="14"/>
        <v>0.39923582159205045</v>
      </c>
      <c r="U162" s="194">
        <f t="shared" si="15"/>
        <v>0.10474426984285856</v>
      </c>
      <c r="V162">
        <f t="shared" si="10"/>
        <v>52</v>
      </c>
      <c r="W162" s="194">
        <f t="shared" si="16"/>
        <v>0.27674670001440138</v>
      </c>
      <c r="X162" s="194" t="str">
        <f t="shared" si="17"/>
        <v/>
      </c>
      <c r="Y162" s="245" t="str">
        <f>IF(ISNUMBER(SEARCH("C",'WetLitterbags placem_collection'!$X89)),"YES","NO")</f>
        <v>NO</v>
      </c>
      <c r="Z162" s="245" t="str">
        <f>IF(ISNUMBER(SEARCH("H", 'WetLitterbags placem_collection'!$X89)),"YES","NO")</f>
        <v>NO</v>
      </c>
      <c r="AA162" s="245" t="str">
        <f>IF(ISNUMBER(SEARCH("R", 'WetLitterbags placem_collection'!$X89)),"YES","NO")</f>
        <v>YES</v>
      </c>
      <c r="AB162" s="245" t="str">
        <f>IF(ISNUMBER(SEARCH("C", 'WetLitterbags placem_collection'!$V89)),"YES","NO")</f>
        <v>YES</v>
      </c>
      <c r="AC162" s="245" t="str">
        <f>IF(ISNUMBER(SEARCH("H", 'WetLitterbags placem_collection'!$V89)),"YES","NO")</f>
        <v>YES</v>
      </c>
      <c r="AD162" s="245" t="str">
        <f>IF(ISNUMBER(SEARCH("R", 'WetLitterbags placem_collection'!$V89)),"YES","NO")</f>
        <v>YES</v>
      </c>
    </row>
    <row r="163" spans="2:30">
      <c r="B163" t="str">
        <f>Wetseason!B89</f>
        <v>Wet</v>
      </c>
      <c r="C163" s="253">
        <f>Wetseason!C89</f>
        <v>88</v>
      </c>
      <c r="D163" t="s">
        <v>3114</v>
      </c>
      <c r="E163" t="s">
        <v>22</v>
      </c>
      <c r="F163" s="375">
        <v>8</v>
      </c>
      <c r="G163" s="16">
        <f>'WetLitterbags placem_collection'!E90</f>
        <v>42767</v>
      </c>
      <c r="H163" t="str">
        <f>Wetseason!L89</f>
        <v>G569</v>
      </c>
      <c r="I163" t="str">
        <f>Wetseason!L309</f>
        <v>R385</v>
      </c>
      <c r="J163">
        <f>IFERROR(INDEX('Green_rooibos initial weight'!$C$5:$C$2000,MATCH(H163, 'Green_rooibos initial weight'!$A$5:$A$2000,0)),"")</f>
        <v>1.9950000000000001</v>
      </c>
      <c r="K163">
        <f>IFERROR(INDEX('Green_rooibos initial weight'!$C$5:$C$2000,MATCH(I163, 'Green_rooibos initial weight'!$A$5:$A$2000,0)),"")</f>
        <v>2.2559999999999998</v>
      </c>
      <c r="L163" s="194">
        <f t="shared" si="11"/>
        <v>1.7452000000000001</v>
      </c>
      <c r="M163" s="194">
        <f t="shared" si="9"/>
        <v>2.0061999999999998</v>
      </c>
      <c r="N163" s="16">
        <f>IF('WetLitterbags placem_collection'!G90="","",'WetLitterbags placem_collection'!G90)</f>
        <v>42819</v>
      </c>
      <c r="O163" s="194">
        <f>IFERROR(INDEX('Both teabags AfterWet'!$C$3:$C$2000,MATCH(H163,'Both teabags AfterWet'!$A$3:$A$2000,0)),"")</f>
        <v>0.75700000000000001</v>
      </c>
      <c r="P163" s="194" t="str">
        <f>IFERROR(INDEX('Both teabags AfterWet'!$C$3:$C$2000,MATCH(I163,'Both teabags AfterWet'!$A$3:$A$2000,0)),"")</f>
        <v/>
      </c>
      <c r="Q163" s="194">
        <f t="shared" si="12"/>
        <v>0.60640000000000005</v>
      </c>
      <c r="R163" s="194" t="str">
        <f t="shared" si="12"/>
        <v/>
      </c>
      <c r="S163" s="194">
        <f t="shared" si="13"/>
        <v>0.6525326610130644</v>
      </c>
      <c r="T163" s="194">
        <f t="shared" si="14"/>
        <v>0.42778863287317287</v>
      </c>
      <c r="U163" s="194" t="str">
        <f t="shared" si="15"/>
        <v/>
      </c>
      <c r="V163">
        <f t="shared" si="10"/>
        <v>52</v>
      </c>
      <c r="W163" s="194">
        <f t="shared" si="16"/>
        <v>0.22502059262106366</v>
      </c>
      <c r="X163" s="194" t="str">
        <f t="shared" si="17"/>
        <v/>
      </c>
      <c r="Y163" s="245" t="str">
        <f>IF(ISNUMBER(SEARCH("C",'WetLitterbags placem_collection'!$X90)),"YES","NO")</f>
        <v>NO</v>
      </c>
      <c r="Z163" s="245" t="str">
        <f>IF(ISNUMBER(SEARCH("H", 'WetLitterbags placem_collection'!$X90)),"YES","NO")</f>
        <v>NO</v>
      </c>
      <c r="AA163" s="245" t="str">
        <f>IF(ISNUMBER(SEARCH("R", 'WetLitterbags placem_collection'!$X90)),"YES","NO")</f>
        <v>NO</v>
      </c>
      <c r="AB163" s="245" t="str">
        <f>IF(ISNUMBER(SEARCH("C", 'WetLitterbags placem_collection'!$V90)),"YES","NO")</f>
        <v>NO</v>
      </c>
      <c r="AC163" s="245" t="str">
        <f>IF(ISNUMBER(SEARCH("H", 'WetLitterbags placem_collection'!$V90)),"YES","NO")</f>
        <v>NO</v>
      </c>
      <c r="AD163" s="245" t="str">
        <f>IF(ISNUMBER(SEARCH("R", 'WetLitterbags placem_collection'!$V90)),"YES","NO")</f>
        <v>NO</v>
      </c>
    </row>
    <row r="164" spans="2:30">
      <c r="B164" t="str">
        <f>Wetseason!B90</f>
        <v>Wet</v>
      </c>
      <c r="C164" s="253">
        <f>Wetseason!C90</f>
        <v>89</v>
      </c>
      <c r="D164" t="s">
        <v>3115</v>
      </c>
      <c r="E164" t="s">
        <v>22</v>
      </c>
      <c r="F164" s="374">
        <v>1</v>
      </c>
      <c r="G164" s="16">
        <f>'WetLitterbags placem_collection'!E91</f>
        <v>42767</v>
      </c>
      <c r="H164" t="str">
        <f>Wetseason!L90</f>
        <v>G339</v>
      </c>
      <c r="I164" t="str">
        <f>Wetseason!L310</f>
        <v>R196</v>
      </c>
      <c r="J164">
        <f>IFERROR(INDEX('Green_rooibos initial weight'!$C$5:$C$2000,MATCH(H164, 'Green_rooibos initial weight'!$A$5:$A$2000,0)),"")</f>
        <v>2.0219999999999998</v>
      </c>
      <c r="K164">
        <f>IFERROR(INDEX('Green_rooibos initial weight'!$C$5:$C$2000,MATCH(I164, 'Green_rooibos initial weight'!$A$5:$A$2000,0)),"")</f>
        <v>2.242</v>
      </c>
      <c r="L164" s="194">
        <f t="shared" si="11"/>
        <v>1.7721999999999998</v>
      </c>
      <c r="M164" s="194">
        <f t="shared" si="9"/>
        <v>1.9922</v>
      </c>
      <c r="N164" s="16">
        <f>IF('WetLitterbags placem_collection'!G91="","",'WetLitterbags placem_collection'!G91)</f>
        <v>42819</v>
      </c>
      <c r="O164" s="194" t="str">
        <f>IFERROR(INDEX('Both teabags AfterWet'!$C$3:$C$2000,MATCH(H164,'Both teabags AfterWet'!$A$3:$A$2000,0)),"")</f>
        <v/>
      </c>
      <c r="P164" s="194">
        <f>IFERROR(INDEX('Both teabags AfterWet'!$C$3:$C$2000,MATCH(I164,'Both teabags AfterWet'!$A$3:$A$2000,0)),"")</f>
        <v>0.17399999999999999</v>
      </c>
      <c r="Q164" s="194" t="str">
        <f t="shared" si="12"/>
        <v/>
      </c>
      <c r="R164" s="194">
        <f t="shared" si="12"/>
        <v>2.3399999999999976E-2</v>
      </c>
      <c r="S164" s="194" t="str">
        <f t="shared" si="13"/>
        <v/>
      </c>
      <c r="T164" s="194" t="str">
        <f t="shared" si="14"/>
        <v/>
      </c>
      <c r="U164" s="194">
        <f t="shared" si="15"/>
        <v>1.1745808653749612E-2</v>
      </c>
      <c r="V164">
        <f t="shared" si="10"/>
        <v>52</v>
      </c>
      <c r="W164" s="194" t="str">
        <f t="shared" si="16"/>
        <v/>
      </c>
      <c r="X164" s="194" t="str">
        <f t="shared" si="17"/>
        <v/>
      </c>
      <c r="Y164" s="245" t="str">
        <f>IF(ISNUMBER(SEARCH("C",'WetLitterbags placem_collection'!$X91)),"YES","NO")</f>
        <v>NO</v>
      </c>
      <c r="Z164" s="245" t="str">
        <f>IF(ISNUMBER(SEARCH("H", 'WetLitterbags placem_collection'!$X91)),"YES","NO")</f>
        <v>NO</v>
      </c>
      <c r="AA164" s="245" t="str">
        <f>IF(ISNUMBER(SEARCH("R", 'WetLitterbags placem_collection'!$X91)),"YES","NO")</f>
        <v>YES</v>
      </c>
      <c r="AB164" s="245" t="str">
        <f>IF(ISNUMBER(SEARCH("C", 'WetLitterbags placem_collection'!$V91)),"YES","NO")</f>
        <v>NO</v>
      </c>
      <c r="AC164" s="245" t="str">
        <f>IF(ISNUMBER(SEARCH("H", 'WetLitterbags placem_collection'!$V91)),"YES","NO")</f>
        <v>NO</v>
      </c>
      <c r="AD164" s="245" t="str">
        <f>IF(ISNUMBER(SEARCH("R", 'WetLitterbags placem_collection'!$V91)),"YES","NO")</f>
        <v>NO</v>
      </c>
    </row>
    <row r="165" spans="2:30">
      <c r="B165" t="str">
        <f>Wetseason!B91</f>
        <v>Wet</v>
      </c>
      <c r="C165" s="253">
        <f>Wetseason!C91</f>
        <v>90</v>
      </c>
      <c r="D165" t="s">
        <v>3115</v>
      </c>
      <c r="E165" t="s">
        <v>22</v>
      </c>
      <c r="F165" s="374">
        <v>2</v>
      </c>
      <c r="G165" s="16">
        <f>'WetLitterbags placem_collection'!E92</f>
        <v>42767</v>
      </c>
      <c r="H165" t="str">
        <f>Wetseason!L91</f>
        <v>G592</v>
      </c>
      <c r="I165" t="str">
        <f>Wetseason!L311</f>
        <v>R94</v>
      </c>
      <c r="J165">
        <f>IFERROR(INDEX('Green_rooibos initial weight'!$C$5:$C$2000,MATCH(H165, 'Green_rooibos initial weight'!$A$5:$A$2000,0)),"")</f>
        <v>2.0699999999999998</v>
      </c>
      <c r="K165">
        <f>IFERROR(INDEX('Green_rooibos initial weight'!$C$5:$C$2000,MATCH(I165, 'Green_rooibos initial weight'!$A$5:$A$2000,0)),"")</f>
        <v>2.2770000000000001</v>
      </c>
      <c r="L165" s="194">
        <f t="shared" si="11"/>
        <v>1.8201999999999998</v>
      </c>
      <c r="M165" s="194">
        <f t="shared" si="9"/>
        <v>2.0272000000000001</v>
      </c>
      <c r="N165" s="16">
        <f>IF('WetLitterbags placem_collection'!G92="","",'WetLitterbags placem_collection'!G92)</f>
        <v>42819</v>
      </c>
      <c r="O165" s="194">
        <f>IFERROR(INDEX('Both teabags AfterWet'!$C$3:$C$2000,MATCH(H165,'Both teabags AfterWet'!$A$3:$A$2000,0)),"")</f>
        <v>1.0779000000000001</v>
      </c>
      <c r="P165" s="194">
        <f>IFERROR(INDEX('Both teabags AfterWet'!$C$3:$C$2000,MATCH(I165,'Both teabags AfterWet'!$A$3:$A$2000,0)),"")</f>
        <v>1.7455000000000001</v>
      </c>
      <c r="Q165" s="194">
        <f t="shared" si="12"/>
        <v>0.92730000000000001</v>
      </c>
      <c r="R165" s="194">
        <f t="shared" si="12"/>
        <v>1.5949</v>
      </c>
      <c r="S165" s="194">
        <f t="shared" si="13"/>
        <v>0.49055048895725739</v>
      </c>
      <c r="T165" s="194">
        <f t="shared" si="14"/>
        <v>0.32159604501710942</v>
      </c>
      <c r="U165" s="194">
        <f t="shared" si="15"/>
        <v>0.78675019731649565</v>
      </c>
      <c r="V165">
        <f t="shared" si="10"/>
        <v>52</v>
      </c>
      <c r="W165" s="194">
        <f t="shared" si="16"/>
        <v>0.41739846917190326</v>
      </c>
      <c r="X165" s="194">
        <f t="shared" si="17"/>
        <v>2.0922388323686054E-2</v>
      </c>
      <c r="Y165" s="245" t="str">
        <f>IF(ISNUMBER(SEARCH("C",'WetLitterbags placem_collection'!$X92)),"YES","NO")</f>
        <v>NO</v>
      </c>
      <c r="Z165" s="245" t="str">
        <f>IF(ISNUMBER(SEARCH("H", 'WetLitterbags placem_collection'!$X92)),"YES","NO")</f>
        <v>NO</v>
      </c>
      <c r="AA165" s="245" t="str">
        <f>IF(ISNUMBER(SEARCH("R", 'WetLitterbags placem_collection'!$X92)),"YES","NO")</f>
        <v>NO</v>
      </c>
      <c r="AB165" s="245" t="str">
        <f>IF(ISNUMBER(SEARCH("C", 'WetLitterbags placem_collection'!$V92)),"YES","NO")</f>
        <v>NO</v>
      </c>
      <c r="AC165" s="245" t="str">
        <f>IF(ISNUMBER(SEARCH("H", 'WetLitterbags placem_collection'!$V92)),"YES","NO")</f>
        <v>NO</v>
      </c>
      <c r="AD165" s="245" t="str">
        <f>IF(ISNUMBER(SEARCH("R", 'WetLitterbags placem_collection'!$V92)),"YES","NO")</f>
        <v>NO</v>
      </c>
    </row>
    <row r="166" spans="2:30">
      <c r="B166" t="str">
        <f>Wetseason!B92</f>
        <v>Wet</v>
      </c>
      <c r="C166" s="253">
        <f>Wetseason!C92</f>
        <v>91</v>
      </c>
      <c r="D166" t="s">
        <v>3115</v>
      </c>
      <c r="E166" t="s">
        <v>22</v>
      </c>
      <c r="F166" s="374">
        <v>3</v>
      </c>
      <c r="G166" s="16">
        <f>'WetLitterbags placem_collection'!E93</f>
        <v>42767</v>
      </c>
      <c r="H166" t="str">
        <f>Wetseason!L92</f>
        <v>G472</v>
      </c>
      <c r="I166" t="str">
        <f>Wetseason!L312</f>
        <v>R343</v>
      </c>
      <c r="J166">
        <f>IFERROR(INDEX('Green_rooibos initial weight'!$C$5:$C$2000,MATCH(H166, 'Green_rooibos initial weight'!$A$5:$A$2000,0)),"")</f>
        <v>1.9710000000000001</v>
      </c>
      <c r="K166">
        <f>IFERROR(INDEX('Green_rooibos initial weight'!$C$5:$C$2000,MATCH(I166, 'Green_rooibos initial weight'!$A$5:$A$2000,0)),"")</f>
        <v>2.2429999999999999</v>
      </c>
      <c r="L166" s="194">
        <f t="shared" si="11"/>
        <v>1.7212000000000001</v>
      </c>
      <c r="M166" s="194">
        <f t="shared" si="9"/>
        <v>1.9931999999999999</v>
      </c>
      <c r="N166" s="16">
        <f>IF('WetLitterbags placem_collection'!G93="","",'WetLitterbags placem_collection'!G93)</f>
        <v>42819</v>
      </c>
      <c r="O166" s="194">
        <f>IFERROR(INDEX('Both teabags AfterWet'!$C$3:$C$2000,MATCH(H166,'Both teabags AfterWet'!$A$3:$A$2000,0)),"")</f>
        <v>0.76100000000000001</v>
      </c>
      <c r="P166" s="194">
        <f>IFERROR(INDEX('Both teabags AfterWet'!$C$3:$C$2000,MATCH(I166,'Both teabags AfterWet'!$A$3:$A$2000,0)),"")</f>
        <v>0.16200000000000001</v>
      </c>
      <c r="Q166" s="194">
        <f t="shared" si="12"/>
        <v>0.61040000000000005</v>
      </c>
      <c r="R166" s="194">
        <f t="shared" si="12"/>
        <v>1.1399999999999993E-2</v>
      </c>
      <c r="S166" s="194">
        <f t="shared" si="13"/>
        <v>0.64536369974436436</v>
      </c>
      <c r="T166" s="194">
        <f t="shared" si="14"/>
        <v>0.42308879128134108</v>
      </c>
      <c r="U166" s="194">
        <f t="shared" si="15"/>
        <v>5.7194461167971071E-3</v>
      </c>
      <c r="V166">
        <f t="shared" si="10"/>
        <v>52</v>
      </c>
      <c r="W166" s="194">
        <f t="shared" si="16"/>
        <v>0.23353479840336766</v>
      </c>
      <c r="X166" s="194" t="str">
        <f t="shared" si="17"/>
        <v/>
      </c>
      <c r="Y166" s="245" t="str">
        <f>IF(ISNUMBER(SEARCH("C",'WetLitterbags placem_collection'!$X93)),"YES","NO")</f>
        <v>NO</v>
      </c>
      <c r="Z166" s="245" t="str">
        <f>IF(ISNUMBER(SEARCH("H", 'WetLitterbags placem_collection'!$X93)),"YES","NO")</f>
        <v>NO</v>
      </c>
      <c r="AA166" s="245" t="str">
        <f>IF(ISNUMBER(SEARCH("R", 'WetLitterbags placem_collection'!$X93)),"YES","NO")</f>
        <v>YES</v>
      </c>
      <c r="AB166" s="245" t="str">
        <f>IF(ISNUMBER(SEARCH("C", 'WetLitterbags placem_collection'!$V93)),"YES","NO")</f>
        <v>NO</v>
      </c>
      <c r="AC166" s="245" t="str">
        <f>IF(ISNUMBER(SEARCH("H", 'WetLitterbags placem_collection'!$V93)),"YES","NO")</f>
        <v>YES</v>
      </c>
      <c r="AD166" s="245" t="str">
        <f>IF(ISNUMBER(SEARCH("R", 'WetLitterbags placem_collection'!$V93)),"YES","NO")</f>
        <v>YES</v>
      </c>
    </row>
    <row r="167" spans="2:30">
      <c r="B167" t="str">
        <f>Wetseason!B93</f>
        <v>Wet</v>
      </c>
      <c r="C167" s="253">
        <f>Wetseason!C93</f>
        <v>92</v>
      </c>
      <c r="D167" t="s">
        <v>3115</v>
      </c>
      <c r="E167" t="s">
        <v>22</v>
      </c>
      <c r="F167" s="375">
        <v>4</v>
      </c>
      <c r="G167" s="16">
        <f>'WetLitterbags placem_collection'!E94</f>
        <v>42767</v>
      </c>
      <c r="H167" t="str">
        <f>Wetseason!L93</f>
        <v>G529</v>
      </c>
      <c r="I167" t="str">
        <f>Wetseason!L313</f>
        <v>R445</v>
      </c>
      <c r="J167">
        <f>IFERROR(INDEX('Green_rooibos initial weight'!$C$5:$C$2000,MATCH(H167, 'Green_rooibos initial weight'!$A$5:$A$2000,0)),"")</f>
        <v>2.089</v>
      </c>
      <c r="K167">
        <f>IFERROR(INDEX('Green_rooibos initial weight'!$C$5:$C$2000,MATCH(I167, 'Green_rooibos initial weight'!$A$5:$A$2000,0)),"")</f>
        <v>2.2389999999999999</v>
      </c>
      <c r="L167" s="194">
        <f t="shared" si="11"/>
        <v>1.8391999999999999</v>
      </c>
      <c r="M167" s="194">
        <f t="shared" si="9"/>
        <v>1.9891999999999999</v>
      </c>
      <c r="N167" s="16">
        <f>IF('WetLitterbags placem_collection'!G94="","",'WetLitterbags placem_collection'!G94)</f>
        <v>42819</v>
      </c>
      <c r="O167" s="194">
        <f>IFERROR(INDEX('Both teabags AfterWet'!$C$3:$C$2000,MATCH(H167,'Both teabags AfterWet'!$A$3:$A$2000,0)),"")</f>
        <v>0.76500000000000001</v>
      </c>
      <c r="P167" s="194">
        <f>IFERROR(INDEX('Both teabags AfterWet'!$C$3:$C$2000,MATCH(I167,'Both teabags AfterWet'!$A$3:$A$2000,0)),"")</f>
        <v>0.31</v>
      </c>
      <c r="Q167" s="194">
        <f t="shared" si="12"/>
        <v>0.61440000000000006</v>
      </c>
      <c r="R167" s="194">
        <f t="shared" si="12"/>
        <v>0.15939999999999999</v>
      </c>
      <c r="S167" s="194">
        <f t="shared" si="13"/>
        <v>0.66594171378860367</v>
      </c>
      <c r="T167" s="194">
        <f t="shared" si="14"/>
        <v>0.43657936580915591</v>
      </c>
      <c r="U167" s="194">
        <f t="shared" si="15"/>
        <v>8.0132716670018103E-2</v>
      </c>
      <c r="V167">
        <f t="shared" si="10"/>
        <v>52</v>
      </c>
      <c r="W167" s="194">
        <f t="shared" si="16"/>
        <v>0.20909535179500749</v>
      </c>
      <c r="X167" s="194" t="str">
        <f t="shared" si="17"/>
        <v/>
      </c>
      <c r="Y167" s="245" t="str">
        <f>IF(ISNUMBER(SEARCH("C",'WetLitterbags placem_collection'!$X94)),"YES","NO")</f>
        <v>NO</v>
      </c>
      <c r="Z167" s="245" t="str">
        <f>IF(ISNUMBER(SEARCH("H", 'WetLitterbags placem_collection'!$X94)),"YES","NO")</f>
        <v>NO</v>
      </c>
      <c r="AA167" s="245" t="str">
        <f>IF(ISNUMBER(SEARCH("R", 'WetLitterbags placem_collection'!$X94)),"YES","NO")</f>
        <v>YES</v>
      </c>
      <c r="AB167" s="245" t="str">
        <f>IF(ISNUMBER(SEARCH("C", 'WetLitterbags placem_collection'!$V94)),"YES","NO")</f>
        <v>YES</v>
      </c>
      <c r="AC167" s="245" t="str">
        <f>IF(ISNUMBER(SEARCH("H", 'WetLitterbags placem_collection'!$V94)),"YES","NO")</f>
        <v>YES</v>
      </c>
      <c r="AD167" s="245" t="str">
        <f>IF(ISNUMBER(SEARCH("R", 'WetLitterbags placem_collection'!$V94)),"YES","NO")</f>
        <v>NO</v>
      </c>
    </row>
    <row r="168" spans="2:30">
      <c r="B168" t="str">
        <f>Wetseason!B94</f>
        <v>Wet</v>
      </c>
      <c r="C168" s="253">
        <f>Wetseason!C94</f>
        <v>93</v>
      </c>
      <c r="D168" t="s">
        <v>3115</v>
      </c>
      <c r="E168" t="s">
        <v>22</v>
      </c>
      <c r="F168" s="375">
        <v>5</v>
      </c>
      <c r="G168" s="16">
        <f>'WetLitterbags placem_collection'!E95</f>
        <v>42767</v>
      </c>
      <c r="H168" t="str">
        <f>Wetseason!L94</f>
        <v>G636</v>
      </c>
      <c r="I168" t="str">
        <f>Wetseason!L314</f>
        <v>R12</v>
      </c>
      <c r="J168">
        <f>IFERROR(INDEX('Green_rooibos initial weight'!$C$5:$C$2000,MATCH(H168, 'Green_rooibos initial weight'!$A$5:$A$2000,0)),"")</f>
        <v>2.133</v>
      </c>
      <c r="K168">
        <f>IFERROR(INDEX('Green_rooibos initial weight'!$C$5:$C$2000,MATCH(I168, 'Green_rooibos initial weight'!$A$5:$A$2000,0)),"")</f>
        <v>2.1709999999999998</v>
      </c>
      <c r="L168" s="194">
        <f t="shared" si="11"/>
        <v>1.8832</v>
      </c>
      <c r="M168" s="194">
        <f t="shared" si="9"/>
        <v>1.9211999999999998</v>
      </c>
      <c r="N168" s="16">
        <f>IF('WetLitterbags placem_collection'!G95="","",'WetLitterbags placem_collection'!G95)</f>
        <v>42819</v>
      </c>
      <c r="O168" s="194">
        <f>IFERROR(INDEX('Both teabags AfterWet'!$C$3:$C$2000,MATCH(H168,'Both teabags AfterWet'!$A$3:$A$2000,0)),"")</f>
        <v>0.79630000000000001</v>
      </c>
      <c r="P168" s="194">
        <f>IFERROR(INDEX('Both teabags AfterWet'!$C$3:$C$2000,MATCH(I168,'Both teabags AfterWet'!$A$3:$A$2000,0)),"")</f>
        <v>0.17</v>
      </c>
      <c r="Q168" s="194">
        <f t="shared" si="12"/>
        <v>0.64569999999999994</v>
      </c>
      <c r="R168" s="194">
        <f t="shared" si="12"/>
        <v>1.9400000000000001E-2</v>
      </c>
      <c r="S168" s="194">
        <f t="shared" si="13"/>
        <v>0.65712616822429903</v>
      </c>
      <c r="T168" s="194">
        <f t="shared" si="14"/>
        <v>0.43080005327768778</v>
      </c>
      <c r="U168" s="194">
        <f t="shared" si="15"/>
        <v>1.0097855506974809E-2</v>
      </c>
      <c r="V168">
        <f t="shared" si="10"/>
        <v>52</v>
      </c>
      <c r="W168" s="194">
        <f t="shared" si="16"/>
        <v>0.21956512087375413</v>
      </c>
      <c r="X168" s="194" t="str">
        <f t="shared" si="17"/>
        <v/>
      </c>
      <c r="Y168" s="245" t="str">
        <f>IF(ISNUMBER(SEARCH("C",'WetLitterbags placem_collection'!$X95)),"YES","NO")</f>
        <v>NO</v>
      </c>
      <c r="Z168" s="245" t="str">
        <f>IF(ISNUMBER(SEARCH("H", 'WetLitterbags placem_collection'!$X95)),"YES","NO")</f>
        <v>NO</v>
      </c>
      <c r="AA168" s="245" t="str">
        <f>IF(ISNUMBER(SEARCH("R", 'WetLitterbags placem_collection'!$X95)),"YES","NO")</f>
        <v>YES</v>
      </c>
      <c r="AB168" s="245" t="str">
        <f>IF(ISNUMBER(SEARCH("C", 'WetLitterbags placem_collection'!$V95)),"YES","NO")</f>
        <v>NO</v>
      </c>
      <c r="AC168" s="245" t="str">
        <f>IF(ISNUMBER(SEARCH("H", 'WetLitterbags placem_collection'!$V95)),"YES","NO")</f>
        <v>NO</v>
      </c>
      <c r="AD168" s="245" t="str">
        <f>IF(ISNUMBER(SEARCH("R", 'WetLitterbags placem_collection'!$V95)),"YES","NO")</f>
        <v>YES</v>
      </c>
    </row>
    <row r="169" spans="2:30">
      <c r="B169" t="str">
        <f>Wetseason!B95</f>
        <v>Wet</v>
      </c>
      <c r="C169" s="253">
        <f>Wetseason!C95</f>
        <v>94</v>
      </c>
      <c r="D169" t="s">
        <v>3115</v>
      </c>
      <c r="E169" t="s">
        <v>22</v>
      </c>
      <c r="F169" s="375">
        <v>6</v>
      </c>
      <c r="G169" s="16">
        <f>'WetLitterbags placem_collection'!E96</f>
        <v>42767</v>
      </c>
      <c r="H169" t="str">
        <f>Wetseason!L95</f>
        <v>G534</v>
      </c>
      <c r="I169" t="str">
        <f>Wetseason!L315</f>
        <v>R244</v>
      </c>
      <c r="J169">
        <f>IFERROR(INDEX('Green_rooibos initial weight'!$C$5:$C$2000,MATCH(H169, 'Green_rooibos initial weight'!$A$5:$A$2000,0)),"")</f>
        <v>2.169</v>
      </c>
      <c r="K169">
        <f>IFERROR(INDEX('Green_rooibos initial weight'!$C$5:$C$2000,MATCH(I169, 'Green_rooibos initial weight'!$A$5:$A$2000,0)),"")</f>
        <v>2.2490000000000001</v>
      </c>
      <c r="L169" s="194">
        <f t="shared" si="11"/>
        <v>1.9192</v>
      </c>
      <c r="M169" s="194">
        <f t="shared" si="9"/>
        <v>1.9992000000000001</v>
      </c>
      <c r="N169" s="16">
        <f>IF('WetLitterbags placem_collection'!G96="","",'WetLitterbags placem_collection'!G96)</f>
        <v>42819</v>
      </c>
      <c r="O169" s="194" t="str">
        <f>IFERROR(INDEX('Both teabags AfterWet'!$C$3:$C$2000,MATCH(H169,'Both teabags AfterWet'!$A$3:$A$2000,0)),"")</f>
        <v/>
      </c>
      <c r="P169" s="194" t="str">
        <f>IFERROR(INDEX('Both teabags AfterWet'!$C$3:$C$2000,MATCH(I169,'Both teabags AfterWet'!$A$3:$A$2000,0)),"")</f>
        <v/>
      </c>
      <c r="Q169" s="194" t="str">
        <f t="shared" si="12"/>
        <v/>
      </c>
      <c r="R169" s="194" t="str">
        <f t="shared" si="12"/>
        <v/>
      </c>
      <c r="S169" s="194" t="str">
        <f t="shared" si="13"/>
        <v/>
      </c>
      <c r="T169" s="194" t="str">
        <f t="shared" si="14"/>
        <v/>
      </c>
      <c r="U169" s="194" t="str">
        <f t="shared" si="15"/>
        <v/>
      </c>
      <c r="V169">
        <f t="shared" si="10"/>
        <v>52</v>
      </c>
      <c r="W169" s="194" t="str">
        <f t="shared" si="16"/>
        <v/>
      </c>
      <c r="X169" s="194" t="str">
        <f t="shared" si="17"/>
        <v/>
      </c>
      <c r="Y169" s="245" t="str">
        <f>IF(ISNUMBER(SEARCH("C",'WetLitterbags placem_collection'!$X96)),"YES","NO")</f>
        <v>NO</v>
      </c>
      <c r="Z169" s="245" t="str">
        <f>IF(ISNUMBER(SEARCH("H", 'WetLitterbags placem_collection'!$X96)),"YES","NO")</f>
        <v>NO</v>
      </c>
      <c r="AA169" s="245" t="str">
        <f>IF(ISNUMBER(SEARCH("R", 'WetLitterbags placem_collection'!$X96)),"YES","NO")</f>
        <v>NO</v>
      </c>
      <c r="AB169" s="245" t="str">
        <f>IF(ISNUMBER(SEARCH("C", 'WetLitterbags placem_collection'!$V96)),"YES","NO")</f>
        <v>NO</v>
      </c>
      <c r="AC169" s="245" t="str">
        <f>IF(ISNUMBER(SEARCH("H", 'WetLitterbags placem_collection'!$V96)),"YES","NO")</f>
        <v>NO</v>
      </c>
      <c r="AD169" s="245" t="str">
        <f>IF(ISNUMBER(SEARCH("R", 'WetLitterbags placem_collection'!$V96)),"YES","NO")</f>
        <v>NO</v>
      </c>
    </row>
    <row r="170" spans="2:30">
      <c r="B170" t="str">
        <f>Wetseason!B96</f>
        <v>Wet</v>
      </c>
      <c r="C170" s="253">
        <f>Wetseason!C96</f>
        <v>95</v>
      </c>
      <c r="D170" t="s">
        <v>3115</v>
      </c>
      <c r="E170" t="s">
        <v>22</v>
      </c>
      <c r="F170" s="375">
        <v>7</v>
      </c>
      <c r="G170" s="16">
        <f>'WetLitterbags placem_collection'!E97</f>
        <v>42767</v>
      </c>
      <c r="H170" t="str">
        <f>Wetseason!L96</f>
        <v>G641</v>
      </c>
      <c r="I170" t="str">
        <f>Wetseason!L316</f>
        <v>R360</v>
      </c>
      <c r="J170">
        <f>IFERROR(INDEX('Green_rooibos initial weight'!$C$5:$C$2000,MATCH(H170, 'Green_rooibos initial weight'!$A$5:$A$2000,0)),"")</f>
        <v>2.14</v>
      </c>
      <c r="K170">
        <f>IFERROR(INDEX('Green_rooibos initial weight'!$C$5:$C$2000,MATCH(I170, 'Green_rooibos initial weight'!$A$5:$A$2000,0)),"")</f>
        <v>2.206</v>
      </c>
      <c r="L170" s="194">
        <f t="shared" si="11"/>
        <v>1.8902000000000001</v>
      </c>
      <c r="M170" s="194">
        <f t="shared" si="9"/>
        <v>1.9561999999999999</v>
      </c>
      <c r="N170" s="16">
        <f>IF('WetLitterbags placem_collection'!G97="","",'WetLitterbags placem_collection'!G97)</f>
        <v>42819</v>
      </c>
      <c r="O170" s="194">
        <f>IFERROR(INDEX('Both teabags AfterWet'!$C$3:$C$2000,MATCH(H170,'Both teabags AfterWet'!$A$3:$A$2000,0)),"")</f>
        <v>1.254</v>
      </c>
      <c r="P170" s="194">
        <f>IFERROR(INDEX('Both teabags AfterWet'!$C$3:$C$2000,MATCH(I170,'Both teabags AfterWet'!$A$3:$A$2000,0)),"")</f>
        <v>0.45800000000000002</v>
      </c>
      <c r="Q170" s="194">
        <f t="shared" si="12"/>
        <v>1.1033999999999999</v>
      </c>
      <c r="R170" s="194">
        <f t="shared" si="12"/>
        <v>0.30740000000000001</v>
      </c>
      <c r="S170" s="194">
        <f t="shared" si="13"/>
        <v>0.41625224843931863</v>
      </c>
      <c r="T170" s="194">
        <f t="shared" si="14"/>
        <v>0.27288745978444645</v>
      </c>
      <c r="U170" s="194">
        <f t="shared" si="15"/>
        <v>0.15714139658521625</v>
      </c>
      <c r="V170">
        <f t="shared" si="10"/>
        <v>52</v>
      </c>
      <c r="W170" s="194">
        <f t="shared" si="16"/>
        <v>0.50563865981078548</v>
      </c>
      <c r="X170" s="194" t="str">
        <f t="shared" si="17"/>
        <v/>
      </c>
      <c r="Y170" s="245" t="str">
        <f>IF(ISNUMBER(SEARCH("C",'WetLitterbags placem_collection'!$X97)),"YES","NO")</f>
        <v>NO</v>
      </c>
      <c r="Z170" s="245" t="str">
        <f>IF(ISNUMBER(SEARCH("H", 'WetLitterbags placem_collection'!$X97)),"YES","NO")</f>
        <v>NO</v>
      </c>
      <c r="AA170" s="245" t="str">
        <f>IF(ISNUMBER(SEARCH("R", 'WetLitterbags placem_collection'!$X97)),"YES","NO")</f>
        <v>YES</v>
      </c>
      <c r="AB170" s="245" t="str">
        <f>IF(ISNUMBER(SEARCH("C", 'WetLitterbags placem_collection'!$V97)),"YES","NO")</f>
        <v>YES</v>
      </c>
      <c r="AC170" s="245" t="str">
        <f>IF(ISNUMBER(SEARCH("H", 'WetLitterbags placem_collection'!$V97)),"YES","NO")</f>
        <v>YES</v>
      </c>
      <c r="AD170" s="245" t="str">
        <f>IF(ISNUMBER(SEARCH("R", 'WetLitterbags placem_collection'!$V97)),"YES","NO")</f>
        <v>YES</v>
      </c>
    </row>
    <row r="171" spans="2:30">
      <c r="B171" t="str">
        <f>Wetseason!B97</f>
        <v>Wet</v>
      </c>
      <c r="C171" s="253">
        <f>Wetseason!C97</f>
        <v>96</v>
      </c>
      <c r="D171" t="s">
        <v>3115</v>
      </c>
      <c r="E171" t="s">
        <v>22</v>
      </c>
      <c r="F171" s="375">
        <v>8</v>
      </c>
      <c r="G171" s="16">
        <f>'WetLitterbags placem_collection'!E98</f>
        <v>42767</v>
      </c>
      <c r="H171" t="str">
        <f>Wetseason!L97</f>
        <v>G479</v>
      </c>
      <c r="I171" t="str">
        <f>Wetseason!L317</f>
        <v>R318</v>
      </c>
      <c r="J171">
        <f>IFERROR(INDEX('Green_rooibos initial weight'!$C$5:$C$2000,MATCH(H171, 'Green_rooibos initial weight'!$A$5:$A$2000,0)),"")</f>
        <v>1.982</v>
      </c>
      <c r="K171">
        <f>IFERROR(INDEX('Green_rooibos initial weight'!$C$5:$C$2000,MATCH(I171, 'Green_rooibos initial weight'!$A$5:$A$2000,0)),"")</f>
        <v>2.23</v>
      </c>
      <c r="L171" s="194">
        <f t="shared" si="11"/>
        <v>1.7322</v>
      </c>
      <c r="M171" s="194">
        <f t="shared" si="9"/>
        <v>1.9802</v>
      </c>
      <c r="N171" s="16">
        <f>IF('WetLitterbags placem_collection'!G98="","",'WetLitterbags placem_collection'!G98)</f>
        <v>42819</v>
      </c>
      <c r="O171" s="194">
        <f>IFERROR(INDEX('Both teabags AfterWet'!$C$3:$C$2000,MATCH(H171,'Both teabags AfterWet'!$A$3:$A$2000,0)),"")</f>
        <v>0.90410000000000001</v>
      </c>
      <c r="P171" s="194">
        <f>IFERROR(INDEX('Both teabags AfterWet'!$C$3:$C$2000,MATCH(I171,'Both teabags AfterWet'!$A$3:$A$2000,0)),"")</f>
        <v>1.748</v>
      </c>
      <c r="Q171" s="194">
        <f t="shared" si="12"/>
        <v>0.75350000000000006</v>
      </c>
      <c r="R171" s="194">
        <f t="shared" si="12"/>
        <v>1.5973999999999999</v>
      </c>
      <c r="S171" s="194">
        <f t="shared" si="13"/>
        <v>0.56500404110379865</v>
      </c>
      <c r="T171" s="194">
        <f t="shared" si="14"/>
        <v>0.37040644974975878</v>
      </c>
      <c r="U171" s="194">
        <f t="shared" si="15"/>
        <v>0.80668619331380664</v>
      </c>
      <c r="V171">
        <f t="shared" si="10"/>
        <v>52</v>
      </c>
      <c r="W171" s="194">
        <f t="shared" si="16"/>
        <v>0.32897382291710375</v>
      </c>
      <c r="X171" s="194">
        <f t="shared" si="17"/>
        <v>1.4190921399401094E-2</v>
      </c>
      <c r="Y171" s="245" t="str">
        <f>IF(ISNUMBER(SEARCH("C",'WetLitterbags placem_collection'!$X98)),"YES","NO")</f>
        <v>NO</v>
      </c>
      <c r="Z171" s="245" t="str">
        <f>IF(ISNUMBER(SEARCH("H", 'WetLitterbags placem_collection'!$X98)),"YES","NO")</f>
        <v>NO</v>
      </c>
      <c r="AA171" s="245" t="str">
        <f>IF(ISNUMBER(SEARCH("R", 'WetLitterbags placem_collection'!$X98)),"YES","NO")</f>
        <v>YES</v>
      </c>
      <c r="AB171" s="245" t="str">
        <f>IF(ISNUMBER(SEARCH("C", 'WetLitterbags placem_collection'!$V98)),"YES","NO")</f>
        <v>NO</v>
      </c>
      <c r="AC171" s="245" t="str">
        <f>IF(ISNUMBER(SEARCH("H", 'WetLitterbags placem_collection'!$V98)),"YES","NO")</f>
        <v>NO</v>
      </c>
      <c r="AD171" s="245" t="str">
        <f>IF(ISNUMBER(SEARCH("R", 'WetLitterbags placem_collection'!$V98)),"YES","NO")</f>
        <v>YES</v>
      </c>
    </row>
    <row r="172" spans="2:30">
      <c r="B172" t="str">
        <f>Wetseason!B98</f>
        <v>Wet</v>
      </c>
      <c r="C172" s="253">
        <f>Wetseason!C98</f>
        <v>97</v>
      </c>
      <c r="D172" t="s">
        <v>3116</v>
      </c>
      <c r="E172" t="s">
        <v>22</v>
      </c>
      <c r="F172" s="374">
        <v>1</v>
      </c>
      <c r="G172" s="16">
        <f>'WetLitterbags placem_collection'!E99</f>
        <v>42762</v>
      </c>
      <c r="H172" t="str">
        <f>Wetseason!L98</f>
        <v>G741</v>
      </c>
      <c r="I172" t="str">
        <f>Wetseason!L318</f>
        <v>R518</v>
      </c>
      <c r="J172">
        <f>IFERROR(INDEX('Green_rooibos initial weight'!$C$5:$C$2000,MATCH(H172, 'Green_rooibos initial weight'!$A$5:$A$2000,0)),"")</f>
        <v>2.1019999999999999</v>
      </c>
      <c r="K172">
        <f>IFERROR(INDEX('Green_rooibos initial weight'!$C$5:$C$2000,MATCH(I172, 'Green_rooibos initial weight'!$A$5:$A$2000,0)),"")</f>
        <v>2.198</v>
      </c>
      <c r="L172" s="194">
        <f t="shared" si="11"/>
        <v>1.8521999999999998</v>
      </c>
      <c r="M172" s="194">
        <f t="shared" si="9"/>
        <v>1.9481999999999999</v>
      </c>
      <c r="N172" s="16">
        <f>IF('WetLitterbags placem_collection'!G99="","",'WetLitterbags placem_collection'!G99)</f>
        <v>42816</v>
      </c>
      <c r="O172" s="194">
        <f>IFERROR(INDEX('Both teabags AfterWet'!$C$3:$C$2000,MATCH(H172,'Both teabags AfterWet'!$A$3:$A$2000,0)),"")</f>
        <v>0.60680000000000001</v>
      </c>
      <c r="P172" s="194">
        <f>IFERROR(INDEX('Both teabags AfterWet'!$C$3:$C$2000,MATCH(I172,'Both teabags AfterWet'!$A$3:$A$2000,0)),"")</f>
        <v>0</v>
      </c>
      <c r="Q172" s="194">
        <f t="shared" si="12"/>
        <v>0.45619999999999999</v>
      </c>
      <c r="R172" s="194" t="str">
        <f t="shared" si="12"/>
        <v/>
      </c>
      <c r="S172" s="194">
        <f t="shared" si="13"/>
        <v>0.75369830471871291</v>
      </c>
      <c r="T172" s="194">
        <f t="shared" si="14"/>
        <v>0.49411100261844371</v>
      </c>
      <c r="U172" s="194" t="str">
        <f t="shared" si="15"/>
        <v/>
      </c>
      <c r="V172">
        <f t="shared" si="10"/>
        <v>54</v>
      </c>
      <c r="W172" s="194">
        <f t="shared" si="16"/>
        <v>0.10487137206803687</v>
      </c>
      <c r="X172" s="194" t="str">
        <f t="shared" si="17"/>
        <v/>
      </c>
      <c r="Y172" s="245" t="str">
        <f>IF(ISNUMBER(SEARCH("C",'WetLitterbags placem_collection'!$X99)),"YES","NO")</f>
        <v>NO</v>
      </c>
      <c r="Z172" s="245" t="str">
        <f>IF(ISNUMBER(SEARCH("H", 'WetLitterbags placem_collection'!$X99)),"YES","NO")</f>
        <v>NO</v>
      </c>
      <c r="AA172" s="245" t="str">
        <f>IF(ISNUMBER(SEARCH("R", 'WetLitterbags placem_collection'!$X99)),"YES","NO")</f>
        <v>NO</v>
      </c>
      <c r="AB172" s="245" t="str">
        <f>IF(ISNUMBER(SEARCH("C", 'WetLitterbags placem_collection'!$V99)),"YES","NO")</f>
        <v>NO</v>
      </c>
      <c r="AC172" s="245" t="str">
        <f>IF(ISNUMBER(SEARCH("H", 'WetLitterbags placem_collection'!$V99)),"YES","NO")</f>
        <v>NO</v>
      </c>
      <c r="AD172" s="245" t="str">
        <f>IF(ISNUMBER(SEARCH("R", 'WetLitterbags placem_collection'!$V99)),"YES","NO")</f>
        <v>NO</v>
      </c>
    </row>
    <row r="173" spans="2:30">
      <c r="B173" t="str">
        <f>Wetseason!B99</f>
        <v>Wet</v>
      </c>
      <c r="C173" s="253">
        <f>Wetseason!C99</f>
        <v>98</v>
      </c>
      <c r="D173" t="s">
        <v>3116</v>
      </c>
      <c r="E173" t="s">
        <v>22</v>
      </c>
      <c r="F173" s="374">
        <v>2</v>
      </c>
      <c r="G173" s="16">
        <f>'WetLitterbags placem_collection'!E100</f>
        <v>42762</v>
      </c>
      <c r="H173" t="str">
        <f>Wetseason!L99</f>
        <v>G610</v>
      </c>
      <c r="I173" t="str">
        <f>Wetseason!L319</f>
        <v>R489</v>
      </c>
      <c r="J173">
        <f>IFERROR(INDEX('Green_rooibos initial weight'!$C$5:$C$2000,MATCH(H173, 'Green_rooibos initial weight'!$A$5:$A$2000,0)),"")</f>
        <v>2.0379999999999998</v>
      </c>
      <c r="K173">
        <f>IFERROR(INDEX('Green_rooibos initial weight'!$C$5:$C$2000,MATCH(I173, 'Green_rooibos initial weight'!$A$5:$A$2000,0)),"")</f>
        <v>2.157</v>
      </c>
      <c r="L173" s="194">
        <f t="shared" si="11"/>
        <v>1.7881999999999998</v>
      </c>
      <c r="M173" s="194">
        <f t="shared" si="9"/>
        <v>1.9072</v>
      </c>
      <c r="N173" s="16">
        <f>IF('WetLitterbags placem_collection'!G100="","",'WetLitterbags placem_collection'!G100)</f>
        <v>42816</v>
      </c>
      <c r="O173" s="194">
        <f>IFERROR(INDEX('Both teabags AfterWet'!$C$3:$C$2000,MATCH(H173,'Both teabags AfterWet'!$A$3:$A$2000,0)),"")</f>
        <v>0.56599999999999995</v>
      </c>
      <c r="P173" s="194">
        <f>IFERROR(INDEX('Both teabags AfterWet'!$C$3:$C$2000,MATCH(I173,'Both teabags AfterWet'!$A$3:$A$2000,0)),"")</f>
        <v>1.5389999999999999</v>
      </c>
      <c r="Q173" s="194">
        <f t="shared" si="12"/>
        <v>0.41539999999999994</v>
      </c>
      <c r="R173" s="194">
        <f t="shared" si="12"/>
        <v>1.3883999999999999</v>
      </c>
      <c r="S173" s="194">
        <f t="shared" si="13"/>
        <v>0.76769936248741755</v>
      </c>
      <c r="T173" s="194">
        <f t="shared" si="14"/>
        <v>0.50328984334091986</v>
      </c>
      <c r="U173" s="194">
        <f t="shared" si="15"/>
        <v>0.727978187919463</v>
      </c>
      <c r="V173">
        <f t="shared" si="10"/>
        <v>54</v>
      </c>
      <c r="W173" s="194">
        <f t="shared" si="16"/>
        <v>8.8243037425869919E-2</v>
      </c>
      <c r="X173" s="194">
        <f t="shared" si="17"/>
        <v>1.439979420516143E-2</v>
      </c>
      <c r="Y173" s="245" t="str">
        <f>IF(ISNUMBER(SEARCH("C",'WetLitterbags placem_collection'!$X100)),"YES","NO")</f>
        <v>NO</v>
      </c>
      <c r="Z173" s="245" t="str">
        <f>IF(ISNUMBER(SEARCH("H", 'WetLitterbags placem_collection'!$X100)),"YES","NO")</f>
        <v>NO</v>
      </c>
      <c r="AA173" s="245" t="str">
        <f>IF(ISNUMBER(SEARCH("R", 'WetLitterbags placem_collection'!$X100)),"YES","NO")</f>
        <v>NO</v>
      </c>
      <c r="AB173" s="245" t="str">
        <f>IF(ISNUMBER(SEARCH("C", 'WetLitterbags placem_collection'!$V100)),"YES","NO")</f>
        <v>NO</v>
      </c>
      <c r="AC173" s="245" t="str">
        <f>IF(ISNUMBER(SEARCH("H", 'WetLitterbags placem_collection'!$V100)),"YES","NO")</f>
        <v>NO</v>
      </c>
      <c r="AD173" s="245" t="str">
        <f>IF(ISNUMBER(SEARCH("R", 'WetLitterbags placem_collection'!$V100)),"YES","NO")</f>
        <v>NO</v>
      </c>
    </row>
    <row r="174" spans="2:30">
      <c r="B174" t="str">
        <f>Wetseason!B100</f>
        <v>Wet</v>
      </c>
      <c r="C174" s="253">
        <f>Wetseason!C100</f>
        <v>99</v>
      </c>
      <c r="D174" t="s">
        <v>3116</v>
      </c>
      <c r="E174" t="s">
        <v>22</v>
      </c>
      <c r="F174" s="374">
        <v>3</v>
      </c>
      <c r="G174" s="16">
        <f>'WetLitterbags placem_collection'!E101</f>
        <v>42762</v>
      </c>
      <c r="H174" t="str">
        <f>Wetseason!L100</f>
        <v>G765</v>
      </c>
      <c r="I174" t="str">
        <f>Wetseason!L320</f>
        <v>R549</v>
      </c>
      <c r="J174">
        <f>IFERROR(INDEX('Green_rooibos initial weight'!$C$5:$C$2000,MATCH(H174, 'Green_rooibos initial weight'!$A$5:$A$2000,0)),"")</f>
        <v>2.08</v>
      </c>
      <c r="K174">
        <f>IFERROR(INDEX('Green_rooibos initial weight'!$C$5:$C$2000,MATCH(I174, 'Green_rooibos initial weight'!$A$5:$A$2000,0)),"")</f>
        <v>2.2320000000000002</v>
      </c>
      <c r="L174" s="194">
        <f t="shared" si="11"/>
        <v>1.8302</v>
      </c>
      <c r="M174" s="194">
        <f t="shared" si="9"/>
        <v>1.9822000000000002</v>
      </c>
      <c r="N174" s="16">
        <f>IF('WetLitterbags placem_collection'!G101="","",'WetLitterbags placem_collection'!G101)</f>
        <v>42816</v>
      </c>
      <c r="O174" s="194">
        <f>IFERROR(INDEX('Both teabags AfterWet'!$C$3:$C$2000,MATCH(H174,'Both teabags AfterWet'!$A$3:$A$2000,0)),"")</f>
        <v>0.65149999999999997</v>
      </c>
      <c r="P174" s="194">
        <f>IFERROR(INDEX('Both teabags AfterWet'!$C$3:$C$2000,MATCH(I174,'Both teabags AfterWet'!$A$3:$A$2000,0)),"")</f>
        <v>1.5992</v>
      </c>
      <c r="Q174" s="194">
        <f t="shared" si="12"/>
        <v>0.5008999999999999</v>
      </c>
      <c r="R174" s="194">
        <f t="shared" si="12"/>
        <v>1.4485999999999999</v>
      </c>
      <c r="S174" s="194">
        <f t="shared" si="13"/>
        <v>0.72631406403671739</v>
      </c>
      <c r="T174" s="194">
        <f t="shared" si="14"/>
        <v>0.4761583887746651</v>
      </c>
      <c r="U174" s="194">
        <f t="shared" si="15"/>
        <v>0.73080415699727563</v>
      </c>
      <c r="V174">
        <f t="shared" si="10"/>
        <v>54</v>
      </c>
      <c r="W174" s="194">
        <f t="shared" si="16"/>
        <v>0.13739422323430239</v>
      </c>
      <c r="X174" s="194">
        <f t="shared" si="17"/>
        <v>1.542986499657268E-2</v>
      </c>
      <c r="Y174" s="245" t="str">
        <f>IF(ISNUMBER(SEARCH("C",'WetLitterbags placem_collection'!$X101)),"YES","NO")</f>
        <v>NO</v>
      </c>
      <c r="Z174" s="245" t="str">
        <f>IF(ISNUMBER(SEARCH("H", 'WetLitterbags placem_collection'!$X101)),"YES","NO")</f>
        <v>NO</v>
      </c>
      <c r="AA174" s="245" t="str">
        <f>IF(ISNUMBER(SEARCH("R", 'WetLitterbags placem_collection'!$X101)),"YES","NO")</f>
        <v>NO</v>
      </c>
      <c r="AB174" s="245" t="str">
        <f>IF(ISNUMBER(SEARCH("C", 'WetLitterbags placem_collection'!$V101)),"YES","NO")</f>
        <v>NO</v>
      </c>
      <c r="AC174" s="245" t="str">
        <f>IF(ISNUMBER(SEARCH("H", 'WetLitterbags placem_collection'!$V101)),"YES","NO")</f>
        <v>NO</v>
      </c>
      <c r="AD174" s="245" t="str">
        <f>IF(ISNUMBER(SEARCH("R", 'WetLitterbags placem_collection'!$V101)),"YES","NO")</f>
        <v>YES</v>
      </c>
    </row>
    <row r="175" spans="2:30">
      <c r="B175" t="str">
        <f>Wetseason!B101</f>
        <v>Wet</v>
      </c>
      <c r="C175" s="253">
        <f>Wetseason!C101</f>
        <v>100</v>
      </c>
      <c r="D175" t="s">
        <v>3116</v>
      </c>
      <c r="E175" t="s">
        <v>22</v>
      </c>
      <c r="F175" s="375">
        <v>4</v>
      </c>
      <c r="G175" s="16">
        <f>'WetLitterbags placem_collection'!E102</f>
        <v>42762</v>
      </c>
      <c r="H175" t="str">
        <f>Wetseason!L101</f>
        <v>G728</v>
      </c>
      <c r="I175" t="str">
        <f>Wetseason!L321</f>
        <v>R500</v>
      </c>
      <c r="J175">
        <f>IFERROR(INDEX('Green_rooibos initial weight'!$C$5:$C$2000,MATCH(H175, 'Green_rooibos initial weight'!$A$5:$A$2000,0)),"")</f>
        <v>1.962</v>
      </c>
      <c r="K175">
        <f>IFERROR(INDEX('Green_rooibos initial weight'!$C$5:$C$2000,MATCH(I175, 'Green_rooibos initial weight'!$A$5:$A$2000,0)),"")</f>
        <v>2.2069999999999999</v>
      </c>
      <c r="L175" s="194">
        <f t="shared" si="11"/>
        <v>1.7121999999999999</v>
      </c>
      <c r="M175" s="194">
        <f t="shared" si="9"/>
        <v>1.9571999999999998</v>
      </c>
      <c r="N175" s="16">
        <f>IF('WetLitterbags placem_collection'!G102="","",'WetLitterbags placem_collection'!G102)</f>
        <v>42816</v>
      </c>
      <c r="O175" s="194">
        <f>IFERROR(INDEX('Both teabags AfterWet'!$C$3:$C$2000,MATCH(H175,'Both teabags AfterWet'!$A$3:$A$2000,0)),"")</f>
        <v>0.59699999999999998</v>
      </c>
      <c r="P175" s="194">
        <f>IFERROR(INDEX('Both teabags AfterWet'!$C$3:$C$2000,MATCH(I175,'Both teabags AfterWet'!$A$3:$A$2000,0)),"")</f>
        <v>1.764</v>
      </c>
      <c r="Q175" s="194">
        <f t="shared" si="12"/>
        <v>0.44639999999999996</v>
      </c>
      <c r="R175" s="194">
        <f t="shared" si="12"/>
        <v>1.6133999999999999</v>
      </c>
      <c r="S175" s="194">
        <f t="shared" si="13"/>
        <v>0.73928279406611375</v>
      </c>
      <c r="T175" s="194">
        <f t="shared" si="14"/>
        <v>0.48466045406709601</v>
      </c>
      <c r="U175" s="194">
        <f t="shared" si="15"/>
        <v>0.8243408951563459</v>
      </c>
      <c r="V175">
        <f t="shared" si="10"/>
        <v>54</v>
      </c>
      <c r="W175" s="194">
        <f t="shared" si="16"/>
        <v>0.12199193103786965</v>
      </c>
      <c r="X175" s="194">
        <f t="shared" si="17"/>
        <v>8.3352390322704983E-3</v>
      </c>
      <c r="Y175" s="245" t="str">
        <f>IF(ISNUMBER(SEARCH("C",'WetLitterbags placem_collection'!$X102)),"YES","NO")</f>
        <v>NO</v>
      </c>
      <c r="Z175" s="245" t="str">
        <f>IF(ISNUMBER(SEARCH("H", 'WetLitterbags placem_collection'!$X102)),"YES","NO")</f>
        <v>NO</v>
      </c>
      <c r="AA175" s="245" t="str">
        <f>IF(ISNUMBER(SEARCH("R", 'WetLitterbags placem_collection'!$X102)),"YES","NO")</f>
        <v>NO</v>
      </c>
      <c r="AB175" s="245" t="str">
        <f>IF(ISNUMBER(SEARCH("C", 'WetLitterbags placem_collection'!$V102)),"YES","NO")</f>
        <v>YES</v>
      </c>
      <c r="AC175" s="245" t="str">
        <f>IF(ISNUMBER(SEARCH("H", 'WetLitterbags placem_collection'!$V102)),"YES","NO")</f>
        <v>NO</v>
      </c>
      <c r="AD175" s="245" t="str">
        <f>IF(ISNUMBER(SEARCH("R", 'WetLitterbags placem_collection'!$V102)),"YES","NO")</f>
        <v>NO</v>
      </c>
    </row>
    <row r="176" spans="2:30">
      <c r="B176" t="str">
        <f>Wetseason!B102</f>
        <v>Wet</v>
      </c>
      <c r="C176" s="253">
        <f>Wetseason!C102</f>
        <v>101</v>
      </c>
      <c r="D176" t="s">
        <v>3116</v>
      </c>
      <c r="E176" t="s">
        <v>22</v>
      </c>
      <c r="F176" s="375">
        <v>5</v>
      </c>
      <c r="G176" s="16">
        <f>'WetLitterbags placem_collection'!E103</f>
        <v>42762</v>
      </c>
      <c r="H176" t="str">
        <f>Wetseason!L102</f>
        <v>G808</v>
      </c>
      <c r="I176" t="str">
        <f>Wetseason!L322</f>
        <v>R482</v>
      </c>
      <c r="J176">
        <f>IFERROR(INDEX('Green_rooibos initial weight'!$C$5:$C$2000,MATCH(H176, 'Green_rooibos initial weight'!$A$5:$A$2000,0)),"")</f>
        <v>1.86</v>
      </c>
      <c r="K176">
        <f>IFERROR(INDEX('Green_rooibos initial weight'!$C$5:$C$2000,MATCH(I176, 'Green_rooibos initial weight'!$A$5:$A$2000,0)),"")</f>
        <v>2.17</v>
      </c>
      <c r="L176" s="194">
        <f t="shared" si="11"/>
        <v>1.6102000000000001</v>
      </c>
      <c r="M176" s="194">
        <f t="shared" si="9"/>
        <v>1.9201999999999999</v>
      </c>
      <c r="N176" s="16">
        <f>IF('WetLitterbags placem_collection'!G103="","",'WetLitterbags placem_collection'!G103)</f>
        <v>42816</v>
      </c>
      <c r="O176" s="194">
        <f>IFERROR(INDEX('Both teabags AfterWet'!$C$3:$C$2000,MATCH(H176,'Both teabags AfterWet'!$A$3:$A$2000,0)),"")</f>
        <v>0.54810000000000003</v>
      </c>
      <c r="P176" s="194">
        <f>IFERROR(INDEX('Both teabags AfterWet'!$C$3:$C$2000,MATCH(I176,'Both teabags AfterWet'!$A$3:$A$2000,0)),"")</f>
        <v>1.6348</v>
      </c>
      <c r="Q176" s="194">
        <f t="shared" si="12"/>
        <v>0.39750000000000002</v>
      </c>
      <c r="R176" s="194">
        <f t="shared" si="12"/>
        <v>1.4842</v>
      </c>
      <c r="S176" s="194">
        <f t="shared" si="13"/>
        <v>0.75313625636566883</v>
      </c>
      <c r="T176" s="194">
        <f t="shared" si="14"/>
        <v>0.49374253386442907</v>
      </c>
      <c r="U176" s="194">
        <f t="shared" si="15"/>
        <v>0.77294031871680036</v>
      </c>
      <c r="V176">
        <f t="shared" si="10"/>
        <v>54</v>
      </c>
      <c r="W176" s="194">
        <f t="shared" si="16"/>
        <v>0.10553888792675903</v>
      </c>
      <c r="X176" s="194">
        <f t="shared" si="17"/>
        <v>1.1406556675487834E-2</v>
      </c>
      <c r="Y176" s="245" t="str">
        <f>IF(ISNUMBER(SEARCH("C",'WetLitterbags placem_collection'!$X103)),"YES","NO")</f>
        <v>NO</v>
      </c>
      <c r="Z176" s="245" t="str">
        <f>IF(ISNUMBER(SEARCH("H", 'WetLitterbags placem_collection'!$X103)),"YES","NO")</f>
        <v>NO</v>
      </c>
      <c r="AA176" s="245" t="str">
        <f>IF(ISNUMBER(SEARCH("R", 'WetLitterbags placem_collection'!$X103)),"YES","NO")</f>
        <v>NO</v>
      </c>
      <c r="AB176" s="245" t="str">
        <f>IF(ISNUMBER(SEARCH("C", 'WetLitterbags placem_collection'!$V103)),"YES","NO")</f>
        <v>NO</v>
      </c>
      <c r="AC176" s="245" t="str">
        <f>IF(ISNUMBER(SEARCH("H", 'WetLitterbags placem_collection'!$V103)),"YES","NO")</f>
        <v>YES</v>
      </c>
      <c r="AD176" s="245" t="str">
        <f>IF(ISNUMBER(SEARCH("R", 'WetLitterbags placem_collection'!$V103)),"YES","NO")</f>
        <v>NO</v>
      </c>
    </row>
    <row r="177" spans="2:30">
      <c r="B177" t="str">
        <f>Wetseason!B103</f>
        <v>Wet</v>
      </c>
      <c r="C177" s="253">
        <f>Wetseason!C103</f>
        <v>102</v>
      </c>
      <c r="D177" t="s">
        <v>3116</v>
      </c>
      <c r="E177" t="s">
        <v>22</v>
      </c>
      <c r="F177" s="375">
        <v>6</v>
      </c>
      <c r="G177" s="16">
        <f>'WetLitterbags placem_collection'!E104</f>
        <v>42762</v>
      </c>
      <c r="H177" t="str">
        <f>Wetseason!L103</f>
        <v>G892</v>
      </c>
      <c r="I177" t="str">
        <f>Wetseason!L323</f>
        <v>R569</v>
      </c>
      <c r="J177">
        <f>IFERROR(INDEX('Green_rooibos initial weight'!$C$5:$C$2000,MATCH(H177, 'Green_rooibos initial weight'!$A$5:$A$2000,0)),"")</f>
        <v>1.9510000000000001</v>
      </c>
      <c r="K177">
        <f>IFERROR(INDEX('Green_rooibos initial weight'!$C$5:$C$2000,MATCH(I177, 'Green_rooibos initial weight'!$A$5:$A$2000,0)),"")</f>
        <v>2.0960000000000001</v>
      </c>
      <c r="L177" s="194">
        <f t="shared" si="11"/>
        <v>1.7012</v>
      </c>
      <c r="M177" s="194">
        <f t="shared" si="9"/>
        <v>1.8462000000000001</v>
      </c>
      <c r="N177" s="16">
        <f>IF('WetLitterbags placem_collection'!G104="","",'WetLitterbags placem_collection'!G104)</f>
        <v>42816</v>
      </c>
      <c r="O177" s="194">
        <f>IFERROR(INDEX('Both teabags AfterWet'!$C$3:$C$2000,MATCH(H177,'Both teabags AfterWet'!$A$3:$A$2000,0)),"")</f>
        <v>0.63100000000000001</v>
      </c>
      <c r="P177" s="194">
        <f>IFERROR(INDEX('Both teabags AfterWet'!$C$3:$C$2000,MATCH(I177,'Both teabags AfterWet'!$A$3:$A$2000,0)),"")</f>
        <v>1.655</v>
      </c>
      <c r="Q177" s="194">
        <f t="shared" si="12"/>
        <v>0.48039999999999999</v>
      </c>
      <c r="R177" s="194">
        <f t="shared" si="12"/>
        <v>1.5044</v>
      </c>
      <c r="S177" s="194">
        <f t="shared" si="13"/>
        <v>0.71761109804843648</v>
      </c>
      <c r="T177" s="194">
        <f t="shared" si="14"/>
        <v>0.47045288138092273</v>
      </c>
      <c r="U177" s="194">
        <f t="shared" si="15"/>
        <v>0.81486296175928929</v>
      </c>
      <c r="V177">
        <f t="shared" si="10"/>
        <v>54</v>
      </c>
      <c r="W177" s="194">
        <f t="shared" si="16"/>
        <v>0.14773028735340088</v>
      </c>
      <c r="X177" s="194">
        <f t="shared" si="17"/>
        <v>9.2610929625657219E-3</v>
      </c>
      <c r="Y177" s="245" t="str">
        <f>IF(ISNUMBER(SEARCH("C",'WetLitterbags placem_collection'!$X104)),"YES","NO")</f>
        <v>NO</v>
      </c>
      <c r="Z177" s="245" t="str">
        <f>IF(ISNUMBER(SEARCH("H", 'WetLitterbags placem_collection'!$X104)),"YES","NO")</f>
        <v>NO</v>
      </c>
      <c r="AA177" s="245" t="str">
        <f>IF(ISNUMBER(SEARCH("R", 'WetLitterbags placem_collection'!$X104)),"YES","NO")</f>
        <v>NO</v>
      </c>
      <c r="AB177" s="245" t="str">
        <f>IF(ISNUMBER(SEARCH("C", 'WetLitterbags placem_collection'!$V104)),"YES","NO")</f>
        <v>NO</v>
      </c>
      <c r="AC177" s="245" t="str">
        <f>IF(ISNUMBER(SEARCH("H", 'WetLitterbags placem_collection'!$V104)),"YES","NO")</f>
        <v>NO</v>
      </c>
      <c r="AD177" s="245" t="str">
        <f>IF(ISNUMBER(SEARCH("R", 'WetLitterbags placem_collection'!$V104)),"YES","NO")</f>
        <v>NO</v>
      </c>
    </row>
    <row r="178" spans="2:30">
      <c r="B178" t="str">
        <f>Wetseason!B104</f>
        <v>Wet</v>
      </c>
      <c r="C178" s="253">
        <f>Wetseason!C104</f>
        <v>103</v>
      </c>
      <c r="D178" t="s">
        <v>3116</v>
      </c>
      <c r="E178" t="s">
        <v>22</v>
      </c>
      <c r="F178" s="375">
        <v>7</v>
      </c>
      <c r="G178" s="16">
        <f>'WetLitterbags placem_collection'!E105</f>
        <v>42762</v>
      </c>
      <c r="H178" t="str">
        <f>Wetseason!L104</f>
        <v>G869</v>
      </c>
      <c r="I178" t="str">
        <f>Wetseason!L324</f>
        <v>R430</v>
      </c>
      <c r="J178">
        <f>IFERROR(INDEX('Green_rooibos initial weight'!$C$5:$C$2000,MATCH(H178, 'Green_rooibos initial weight'!$A$5:$A$2000,0)),"")</f>
        <v>2.0489999999999999</v>
      </c>
      <c r="K178">
        <f>IFERROR(INDEX('Green_rooibos initial weight'!$C$5:$C$2000,MATCH(I178, 'Green_rooibos initial weight'!$A$5:$A$2000,0)),"")</f>
        <v>2.1829999999999998</v>
      </c>
      <c r="L178" s="194">
        <f t="shared" si="11"/>
        <v>1.7991999999999999</v>
      </c>
      <c r="M178" s="194">
        <f t="shared" si="9"/>
        <v>1.9331999999999998</v>
      </c>
      <c r="N178" s="16">
        <f>IF('WetLitterbags placem_collection'!G105="","",'WetLitterbags placem_collection'!G105)</f>
        <v>42816</v>
      </c>
      <c r="O178" s="194">
        <f>IFERROR(INDEX('Both teabags AfterWet'!$C$3:$C$2000,MATCH(H178,'Both teabags AfterWet'!$A$3:$A$2000,0)),"")</f>
        <v>0.55800000000000005</v>
      </c>
      <c r="P178" s="194">
        <f>IFERROR(INDEX('Both teabags AfterWet'!$C$3:$C$2000,MATCH(I178,'Both teabags AfterWet'!$A$3:$A$2000,0)),"")</f>
        <v>1.629</v>
      </c>
      <c r="Q178" s="194">
        <f t="shared" si="12"/>
        <v>0.40740000000000004</v>
      </c>
      <c r="R178" s="194">
        <f t="shared" si="12"/>
        <v>1.4783999999999999</v>
      </c>
      <c r="S178" s="194">
        <f t="shared" si="13"/>
        <v>0.77356602934637619</v>
      </c>
      <c r="T178" s="194">
        <f t="shared" si="14"/>
        <v>0.50713592422707809</v>
      </c>
      <c r="U178" s="194">
        <f t="shared" si="15"/>
        <v>0.76474239602731231</v>
      </c>
      <c r="V178">
        <f t="shared" si="10"/>
        <v>54</v>
      </c>
      <c r="W178" s="194">
        <f t="shared" si="16"/>
        <v>8.1275499588626787E-2</v>
      </c>
      <c r="X178" s="194">
        <f t="shared" si="17"/>
        <v>1.1544897196004269E-2</v>
      </c>
      <c r="Y178" s="245" t="str">
        <f>IF(ISNUMBER(SEARCH("C",'WetLitterbags placem_collection'!$X105)),"YES","NO")</f>
        <v>NO</v>
      </c>
      <c r="Z178" s="245" t="str">
        <f>IF(ISNUMBER(SEARCH("H", 'WetLitterbags placem_collection'!$X105)),"YES","NO")</f>
        <v>NO</v>
      </c>
      <c r="AA178" s="245" t="str">
        <f>IF(ISNUMBER(SEARCH("R", 'WetLitterbags placem_collection'!$X105)),"YES","NO")</f>
        <v>NO</v>
      </c>
      <c r="AB178" s="245" t="str">
        <f>IF(ISNUMBER(SEARCH("C", 'WetLitterbags placem_collection'!$V105)),"YES","NO")</f>
        <v>NO</v>
      </c>
      <c r="AC178" s="245" t="str">
        <f>IF(ISNUMBER(SEARCH("H", 'WetLitterbags placem_collection'!$V105)),"YES","NO")</f>
        <v>NO</v>
      </c>
      <c r="AD178" s="245" t="str">
        <f>IF(ISNUMBER(SEARCH("R", 'WetLitterbags placem_collection'!$V105)),"YES","NO")</f>
        <v>NO</v>
      </c>
    </row>
    <row r="179" spans="2:30">
      <c r="B179" t="str">
        <f>Wetseason!B105</f>
        <v>Wet</v>
      </c>
      <c r="C179" s="253">
        <f>Wetseason!C105</f>
        <v>104</v>
      </c>
      <c r="D179" t="s">
        <v>3116</v>
      </c>
      <c r="E179" t="s">
        <v>22</v>
      </c>
      <c r="F179" s="375">
        <v>8</v>
      </c>
      <c r="G179" s="16">
        <f>'WetLitterbags placem_collection'!E106</f>
        <v>42762</v>
      </c>
      <c r="H179" t="str">
        <f>Wetseason!L105</f>
        <v>G881</v>
      </c>
      <c r="I179" t="str">
        <f>Wetseason!L325</f>
        <v>R577</v>
      </c>
      <c r="J179">
        <f>IFERROR(INDEX('Green_rooibos initial weight'!$C$5:$C$2000,MATCH(H179, 'Green_rooibos initial weight'!$A$5:$A$2000,0)),"")</f>
        <v>1.9570000000000001</v>
      </c>
      <c r="K179">
        <f>IFERROR(INDEX('Green_rooibos initial weight'!$C$5:$C$2000,MATCH(I179, 'Green_rooibos initial weight'!$A$5:$A$2000,0)),"")</f>
        <v>2.0859999999999999</v>
      </c>
      <c r="L179" s="194">
        <f t="shared" si="11"/>
        <v>1.7072000000000001</v>
      </c>
      <c r="M179" s="194">
        <f t="shared" si="9"/>
        <v>1.8361999999999998</v>
      </c>
      <c r="N179" s="16">
        <f>IF('WetLitterbags placem_collection'!G106="","",'WetLitterbags placem_collection'!G106)</f>
        <v>42816</v>
      </c>
      <c r="O179" s="194">
        <f>IFERROR(INDEX('Both teabags AfterWet'!$C$3:$C$2000,MATCH(H179,'Both teabags AfterWet'!$A$3:$A$2000,0)),"")</f>
        <v>0.61</v>
      </c>
      <c r="P179" s="194">
        <f>IFERROR(INDEX('Both teabags AfterWet'!$C$3:$C$2000,MATCH(I179,'Both teabags AfterWet'!$A$3:$A$2000,0)),"")</f>
        <v>1.4470000000000001</v>
      </c>
      <c r="Q179" s="194">
        <f t="shared" si="12"/>
        <v>0.45939999999999998</v>
      </c>
      <c r="R179" s="194">
        <f t="shared" si="12"/>
        <v>1.2964</v>
      </c>
      <c r="S179" s="194">
        <f t="shared" si="13"/>
        <v>0.73090440487347708</v>
      </c>
      <c r="T179" s="194">
        <f t="shared" si="14"/>
        <v>0.47916773336123442</v>
      </c>
      <c r="U179" s="194">
        <f t="shared" si="15"/>
        <v>0.70602330900773347</v>
      </c>
      <c r="V179">
        <f t="shared" si="10"/>
        <v>54</v>
      </c>
      <c r="W179" s="194">
        <f t="shared" si="16"/>
        <v>0.13194251202674934</v>
      </c>
      <c r="X179" s="194">
        <f t="shared" si="17"/>
        <v>1.7604865860036067E-2</v>
      </c>
      <c r="Y179" s="245" t="str">
        <f>IF(ISNUMBER(SEARCH("C",'WetLitterbags placem_collection'!$X106)),"YES","NO")</f>
        <v>NO</v>
      </c>
      <c r="Z179" s="245" t="str">
        <f>IF(ISNUMBER(SEARCH("H", 'WetLitterbags placem_collection'!$X106)),"YES","NO")</f>
        <v>NO</v>
      </c>
      <c r="AA179" s="245" t="str">
        <f>IF(ISNUMBER(SEARCH("R", 'WetLitterbags placem_collection'!$X106)),"YES","NO")</f>
        <v>NO</v>
      </c>
      <c r="AB179" s="245" t="str">
        <f>IF(ISNUMBER(SEARCH("C", 'WetLitterbags placem_collection'!$V106)),"YES","NO")</f>
        <v>NO</v>
      </c>
      <c r="AC179" s="245" t="str">
        <f>IF(ISNUMBER(SEARCH("H", 'WetLitterbags placem_collection'!$V106)),"YES","NO")</f>
        <v>NO</v>
      </c>
      <c r="AD179" s="245" t="str">
        <f>IF(ISNUMBER(SEARCH("R", 'WetLitterbags placem_collection'!$V106)),"YES","NO")</f>
        <v>NO</v>
      </c>
    </row>
    <row r="180" spans="2:30">
      <c r="B180" t="str">
        <f>Wetseason!B106</f>
        <v>Wet</v>
      </c>
      <c r="C180" s="253">
        <f>Wetseason!C106</f>
        <v>105</v>
      </c>
      <c r="D180" t="s">
        <v>3118</v>
      </c>
      <c r="E180" t="s">
        <v>22</v>
      </c>
      <c r="F180" s="374">
        <v>1</v>
      </c>
      <c r="G180" s="16">
        <f>'WetLitterbags placem_collection'!E107</f>
        <v>42762</v>
      </c>
      <c r="H180" t="str">
        <f>Wetseason!L106</f>
        <v>G729</v>
      </c>
      <c r="I180" t="str">
        <f>Wetseason!L326</f>
        <v>R548</v>
      </c>
      <c r="J180">
        <f>IFERROR(INDEX('Green_rooibos initial weight'!$C$5:$C$2000,MATCH(H180, 'Green_rooibos initial weight'!$A$5:$A$2000,0)),"")</f>
        <v>1.984</v>
      </c>
      <c r="K180">
        <f>IFERROR(INDEX('Green_rooibos initial weight'!$C$5:$C$2000,MATCH(I180, 'Green_rooibos initial weight'!$A$5:$A$2000,0)),"")</f>
        <v>2.1920000000000002</v>
      </c>
      <c r="L180" s="194">
        <f t="shared" si="11"/>
        <v>1.7342</v>
      </c>
      <c r="M180" s="194">
        <f t="shared" si="9"/>
        <v>1.9422000000000001</v>
      </c>
      <c r="N180" s="16">
        <f>IF('WetLitterbags placem_collection'!G107="","",'WetLitterbags placem_collection'!G107)</f>
        <v>42816</v>
      </c>
      <c r="O180" s="194">
        <f>IFERROR(INDEX('Both teabags AfterWet'!$C$3:$C$2000,MATCH(H180,'Both teabags AfterWet'!$A$3:$A$2000,0)),"")</f>
        <v>0.72399999999999998</v>
      </c>
      <c r="P180" s="194">
        <f>IFERROR(INDEX('Both teabags AfterWet'!$C$3:$C$2000,MATCH(I180,'Both teabags AfterWet'!$A$3:$A$2000,0)),"")</f>
        <v>1.859</v>
      </c>
      <c r="Q180" s="194">
        <f t="shared" si="12"/>
        <v>0.57339999999999991</v>
      </c>
      <c r="R180" s="194">
        <f t="shared" si="12"/>
        <v>1.7083999999999999</v>
      </c>
      <c r="S180" s="194">
        <f t="shared" si="13"/>
        <v>0.66935762887786887</v>
      </c>
      <c r="T180" s="194">
        <f t="shared" si="14"/>
        <v>0.43881877807670272</v>
      </c>
      <c r="U180" s="194">
        <f t="shared" si="15"/>
        <v>0.87962104829574694</v>
      </c>
      <c r="V180">
        <f t="shared" si="10"/>
        <v>54</v>
      </c>
      <c r="W180" s="194">
        <f t="shared" si="16"/>
        <v>0.20503844551321981</v>
      </c>
      <c r="X180" s="194">
        <f t="shared" si="17"/>
        <v>5.9380183827362062E-3</v>
      </c>
      <c r="Y180" s="245" t="str">
        <f>IF(ISNUMBER(SEARCH("C",'WetLitterbags placem_collection'!$X107)),"YES","NO")</f>
        <v>NO</v>
      </c>
      <c r="Z180" s="245" t="str">
        <f>IF(ISNUMBER(SEARCH("H", 'WetLitterbags placem_collection'!$X107)),"YES","NO")</f>
        <v>NO</v>
      </c>
      <c r="AA180" s="245" t="str">
        <f>IF(ISNUMBER(SEARCH("R", 'WetLitterbags placem_collection'!$X107)),"YES","NO")</f>
        <v>NO</v>
      </c>
      <c r="AB180" s="245" t="str">
        <f>IF(ISNUMBER(SEARCH("C", 'WetLitterbags placem_collection'!$V107)),"YES","NO")</f>
        <v>NO</v>
      </c>
      <c r="AC180" s="245" t="str">
        <f>IF(ISNUMBER(SEARCH("H", 'WetLitterbags placem_collection'!$V107)),"YES","NO")</f>
        <v>NO</v>
      </c>
      <c r="AD180" s="245" t="str">
        <f>IF(ISNUMBER(SEARCH("R", 'WetLitterbags placem_collection'!$V107)),"YES","NO")</f>
        <v>NO</v>
      </c>
    </row>
    <row r="181" spans="2:30">
      <c r="B181" t="str">
        <f>Wetseason!B107</f>
        <v>Wet</v>
      </c>
      <c r="C181" s="253">
        <f>Wetseason!C107</f>
        <v>106</v>
      </c>
      <c r="D181" t="s">
        <v>3118</v>
      </c>
      <c r="E181" t="s">
        <v>22</v>
      </c>
      <c r="F181" s="374">
        <v>2</v>
      </c>
      <c r="G181" s="16">
        <f>'WetLitterbags placem_collection'!E108</f>
        <v>42762</v>
      </c>
      <c r="H181" t="str">
        <f>Wetseason!L107</f>
        <v>G837</v>
      </c>
      <c r="I181" t="str">
        <f>Wetseason!L327</f>
        <v>R590</v>
      </c>
      <c r="J181">
        <f>IFERROR(INDEX('Green_rooibos initial weight'!$C$5:$C$2000,MATCH(H181, 'Green_rooibos initial weight'!$A$5:$A$2000,0)),"")</f>
        <v>1.1910000000000001</v>
      </c>
      <c r="K181">
        <f>IFERROR(INDEX('Green_rooibos initial weight'!$C$5:$C$2000,MATCH(I181, 'Green_rooibos initial weight'!$A$5:$A$2000,0)),"")</f>
        <v>2.218</v>
      </c>
      <c r="L181" s="194">
        <f t="shared" si="11"/>
        <v>0.94120000000000004</v>
      </c>
      <c r="M181" s="194">
        <f t="shared" si="9"/>
        <v>1.9681999999999999</v>
      </c>
      <c r="N181" s="16">
        <f>IF('WetLitterbags placem_collection'!G108="","",'WetLitterbags placem_collection'!G108)</f>
        <v>42816</v>
      </c>
      <c r="O181" s="194">
        <f>IFERROR(INDEX('Both teabags AfterWet'!$C$3:$C$2000,MATCH(H181,'Both teabags AfterWet'!$A$3:$A$2000,0)),"")</f>
        <v>0.62</v>
      </c>
      <c r="P181" s="194">
        <f>IFERROR(INDEX('Both teabags AfterWet'!$C$3:$C$2000,MATCH(I181,'Both teabags AfterWet'!$A$3:$A$2000,0)),"")</f>
        <v>1.7769999999999999</v>
      </c>
      <c r="Q181" s="194">
        <f t="shared" si="12"/>
        <v>0.46939999999999998</v>
      </c>
      <c r="R181" s="194">
        <f t="shared" si="12"/>
        <v>1.6263999999999998</v>
      </c>
      <c r="S181" s="194">
        <f t="shared" si="13"/>
        <v>0.50127496812579686</v>
      </c>
      <c r="T181" s="194">
        <f t="shared" si="14"/>
        <v>0.32862681995895476</v>
      </c>
      <c r="U181" s="194">
        <f t="shared" si="15"/>
        <v>0.82633878670866778</v>
      </c>
      <c r="V181">
        <f t="shared" si="10"/>
        <v>54</v>
      </c>
      <c r="W181" s="194">
        <f t="shared" si="16"/>
        <v>0.40466155804537185</v>
      </c>
      <c r="X181" s="194">
        <f t="shared" si="17"/>
        <v>1.3920733727902836E-2</v>
      </c>
      <c r="Y181" s="245" t="str">
        <f>IF(ISNUMBER(SEARCH("C",'WetLitterbags placem_collection'!$X108)),"YES","NO")</f>
        <v>NO</v>
      </c>
      <c r="Z181" s="245" t="str">
        <f>IF(ISNUMBER(SEARCH("H", 'WetLitterbags placem_collection'!$X108)),"YES","NO")</f>
        <v>NO</v>
      </c>
      <c r="AA181" s="245" t="str">
        <f>IF(ISNUMBER(SEARCH("R", 'WetLitterbags placem_collection'!$X108)),"YES","NO")</f>
        <v>YES</v>
      </c>
      <c r="AB181" s="245" t="str">
        <f>IF(ISNUMBER(SEARCH("C", 'WetLitterbags placem_collection'!$V108)),"YES","NO")</f>
        <v>NO</v>
      </c>
      <c r="AC181" s="245" t="str">
        <f>IF(ISNUMBER(SEARCH("H", 'WetLitterbags placem_collection'!$V108)),"YES","NO")</f>
        <v>NO</v>
      </c>
      <c r="AD181" s="245" t="str">
        <f>IF(ISNUMBER(SEARCH("R", 'WetLitterbags placem_collection'!$V108)),"YES","NO")</f>
        <v>YES</v>
      </c>
    </row>
    <row r="182" spans="2:30">
      <c r="B182" t="str">
        <f>Wetseason!B108</f>
        <v>Wet</v>
      </c>
      <c r="C182" s="253">
        <f>Wetseason!C108</f>
        <v>107</v>
      </c>
      <c r="D182" t="s">
        <v>3118</v>
      </c>
      <c r="E182" t="s">
        <v>22</v>
      </c>
      <c r="F182" s="374">
        <v>3</v>
      </c>
      <c r="G182" s="16">
        <f>'WetLitterbags placem_collection'!E109</f>
        <v>42762</v>
      </c>
      <c r="H182" t="str">
        <f>Wetseason!L108</f>
        <v>G688</v>
      </c>
      <c r="I182" t="str">
        <f>Wetseason!L328</f>
        <v>R574</v>
      </c>
      <c r="J182">
        <f>IFERROR(INDEX('Green_rooibos initial weight'!$C$5:$C$2000,MATCH(H182, 'Green_rooibos initial weight'!$A$5:$A$2000,0)),"")</f>
        <v>2.125</v>
      </c>
      <c r="K182">
        <f>IFERROR(INDEX('Green_rooibos initial weight'!$C$5:$C$2000,MATCH(I182, 'Green_rooibos initial weight'!$A$5:$A$2000,0)),"")</f>
        <v>2.16</v>
      </c>
      <c r="L182" s="194">
        <f t="shared" si="11"/>
        <v>1.8752</v>
      </c>
      <c r="M182" s="194">
        <f t="shared" si="9"/>
        <v>1.9102000000000001</v>
      </c>
      <c r="N182" s="16">
        <f>IF('WetLitterbags placem_collection'!G109="","",'WetLitterbags placem_collection'!G109)</f>
        <v>42816</v>
      </c>
      <c r="O182" s="194">
        <f>IFERROR(INDEX('Both teabags AfterWet'!$C$3:$C$2000,MATCH(H182,'Both teabags AfterWet'!$A$3:$A$2000,0)),"")</f>
        <v>0.60899999999999999</v>
      </c>
      <c r="P182" s="194">
        <f>IFERROR(INDEX('Both teabags AfterWet'!$C$3:$C$2000,MATCH(I182,'Both teabags AfterWet'!$A$3:$A$2000,0)),"")</f>
        <v>1.706</v>
      </c>
      <c r="Q182" s="194">
        <f t="shared" si="12"/>
        <v>0.45839999999999997</v>
      </c>
      <c r="R182" s="194">
        <f t="shared" si="12"/>
        <v>1.5553999999999999</v>
      </c>
      <c r="S182" s="194">
        <f t="shared" si="13"/>
        <v>0.75554607508532423</v>
      </c>
      <c r="T182" s="194">
        <f t="shared" si="14"/>
        <v>0.49532236751436937</v>
      </c>
      <c r="U182" s="194">
        <f t="shared" si="15"/>
        <v>0.81426028688095475</v>
      </c>
      <c r="V182">
        <f t="shared" si="10"/>
        <v>54</v>
      </c>
      <c r="W182" s="194">
        <f t="shared" si="16"/>
        <v>0.10267687044498308</v>
      </c>
      <c r="X182" s="194">
        <f t="shared" si="17"/>
        <v>8.7034015520679048E-3</v>
      </c>
      <c r="Y182" s="245" t="str">
        <f>IF(ISNUMBER(SEARCH("C",'WetLitterbags placem_collection'!$X109)),"YES","NO")</f>
        <v>NO</v>
      </c>
      <c r="Z182" s="245" t="str">
        <f>IF(ISNUMBER(SEARCH("H", 'WetLitterbags placem_collection'!$X109)),"YES","NO")</f>
        <v>NO</v>
      </c>
      <c r="AA182" s="245" t="str">
        <f>IF(ISNUMBER(SEARCH("R", 'WetLitterbags placem_collection'!$X109)),"YES","NO")</f>
        <v>YES</v>
      </c>
      <c r="AB182" s="245" t="str">
        <f>IF(ISNUMBER(SEARCH("C", 'WetLitterbags placem_collection'!$V109)),"YES","NO")</f>
        <v>NO</v>
      </c>
      <c r="AC182" s="245" t="str">
        <f>IF(ISNUMBER(SEARCH("H", 'WetLitterbags placem_collection'!$V109)),"YES","NO")</f>
        <v>NO</v>
      </c>
      <c r="AD182" s="245" t="str">
        <f>IF(ISNUMBER(SEARCH("R", 'WetLitterbags placem_collection'!$V109)),"YES","NO")</f>
        <v>YES</v>
      </c>
    </row>
    <row r="183" spans="2:30">
      <c r="B183" t="str">
        <f>Wetseason!B109</f>
        <v>Wet</v>
      </c>
      <c r="C183" s="253">
        <f>Wetseason!C109</f>
        <v>108</v>
      </c>
      <c r="D183" t="s">
        <v>3118</v>
      </c>
      <c r="E183" t="s">
        <v>22</v>
      </c>
      <c r="F183" s="375">
        <v>4</v>
      </c>
      <c r="G183" s="16">
        <f>'WetLitterbags placem_collection'!E110</f>
        <v>42762</v>
      </c>
      <c r="H183" t="str">
        <f>Wetseason!L109</f>
        <v>G883</v>
      </c>
      <c r="I183" t="str">
        <f>Wetseason!L329</f>
        <v>R8</v>
      </c>
      <c r="J183">
        <f>IFERROR(INDEX('Green_rooibos initial weight'!$C$5:$C$2000,MATCH(H183, 'Green_rooibos initial weight'!$A$5:$A$2000,0)),"")</f>
        <v>2.073</v>
      </c>
      <c r="K183">
        <f>IFERROR(INDEX('Green_rooibos initial weight'!$C$5:$C$2000,MATCH(I183, 'Green_rooibos initial weight'!$A$5:$A$2000,0)),"")</f>
        <v>2.23</v>
      </c>
      <c r="L183" s="194">
        <f t="shared" si="11"/>
        <v>1.8231999999999999</v>
      </c>
      <c r="M183" s="194">
        <f t="shared" si="9"/>
        <v>1.9802</v>
      </c>
      <c r="N183" s="16">
        <f>IF('WetLitterbags placem_collection'!G110="","",'WetLitterbags placem_collection'!G110)</f>
        <v>42816</v>
      </c>
      <c r="O183" s="194">
        <f>IFERROR(INDEX('Both teabags AfterWet'!$C$3:$C$2000,MATCH(H183,'Both teabags AfterWet'!$A$3:$A$2000,0)),"")</f>
        <v>0.67200000000000004</v>
      </c>
      <c r="P183" s="194">
        <f>IFERROR(INDEX('Both teabags AfterWet'!$C$3:$C$2000,MATCH(I183,'Both teabags AfterWet'!$A$3:$A$2000,0)),"")</f>
        <v>1.536</v>
      </c>
      <c r="Q183" s="194">
        <f t="shared" si="12"/>
        <v>0.52140000000000009</v>
      </c>
      <c r="R183" s="194">
        <f t="shared" si="12"/>
        <v>1.3854</v>
      </c>
      <c r="S183" s="194">
        <f t="shared" si="13"/>
        <v>0.7140193067134708</v>
      </c>
      <c r="T183" s="194">
        <f t="shared" si="14"/>
        <v>0.46809816782165786</v>
      </c>
      <c r="U183" s="194">
        <f t="shared" si="15"/>
        <v>0.69962630037369966</v>
      </c>
      <c r="V183">
        <f t="shared" si="10"/>
        <v>54</v>
      </c>
      <c r="W183" s="194">
        <f t="shared" si="16"/>
        <v>0.15199607278685179</v>
      </c>
      <c r="X183" s="194">
        <f t="shared" si="17"/>
        <v>1.900658280506929E-2</v>
      </c>
      <c r="Y183" s="245" t="str">
        <f>IF(ISNUMBER(SEARCH("C",'WetLitterbags placem_collection'!$X110)),"YES","NO")</f>
        <v>NO</v>
      </c>
      <c r="Z183" s="245" t="str">
        <f>IF(ISNUMBER(SEARCH("H", 'WetLitterbags placem_collection'!$X110)),"YES","NO")</f>
        <v>NO</v>
      </c>
      <c r="AA183" s="245" t="str">
        <f>IF(ISNUMBER(SEARCH("R", 'WetLitterbags placem_collection'!$X110)),"YES","NO")</f>
        <v>YES</v>
      </c>
      <c r="AB183" s="245" t="str">
        <f>IF(ISNUMBER(SEARCH("C", 'WetLitterbags placem_collection'!$V110)),"YES","NO")</f>
        <v>NO</v>
      </c>
      <c r="AC183" s="245" t="str">
        <f>IF(ISNUMBER(SEARCH("H", 'WetLitterbags placem_collection'!$V110)),"YES","NO")</f>
        <v>NO</v>
      </c>
      <c r="AD183" s="245" t="str">
        <f>IF(ISNUMBER(SEARCH("R", 'WetLitterbags placem_collection'!$V110)),"YES","NO")</f>
        <v>YES</v>
      </c>
    </row>
    <row r="184" spans="2:30">
      <c r="B184" t="str">
        <f>Wetseason!B110</f>
        <v>Wet</v>
      </c>
      <c r="C184" s="253">
        <f>Wetseason!C110</f>
        <v>109</v>
      </c>
      <c r="D184" t="s">
        <v>3118</v>
      </c>
      <c r="E184" t="s">
        <v>22</v>
      </c>
      <c r="F184" s="375">
        <v>5</v>
      </c>
      <c r="G184" s="16">
        <f>'WetLitterbags placem_collection'!E111</f>
        <v>42762</v>
      </c>
      <c r="H184" t="str">
        <f>Wetseason!L110</f>
        <v>G704</v>
      </c>
      <c r="I184" t="str">
        <f>Wetseason!L330</f>
        <v>R552</v>
      </c>
      <c r="J184">
        <f>IFERROR(INDEX('Green_rooibos initial weight'!$C$5:$C$2000,MATCH(H184, 'Green_rooibos initial weight'!$A$5:$A$2000,0)),"")</f>
        <v>2.0219999999999998</v>
      </c>
      <c r="K184">
        <f>IFERROR(INDEX('Green_rooibos initial weight'!$C$5:$C$2000,MATCH(I184, 'Green_rooibos initial weight'!$A$5:$A$2000,0)),"")</f>
        <v>2.222</v>
      </c>
      <c r="L184" s="194">
        <f t="shared" si="11"/>
        <v>1.7721999999999998</v>
      </c>
      <c r="M184" s="194">
        <f t="shared" si="9"/>
        <v>1.9722</v>
      </c>
      <c r="N184" s="16">
        <f>IF('WetLitterbags placem_collection'!G111="","",'WetLitterbags placem_collection'!G111)</f>
        <v>42816</v>
      </c>
      <c r="O184" s="194">
        <f>IFERROR(INDEX('Both teabags AfterWet'!$C$3:$C$2000,MATCH(H184,'Both teabags AfterWet'!$A$3:$A$2000,0)),"")</f>
        <v>0.63019999999999998</v>
      </c>
      <c r="P184" s="194">
        <f>IFERROR(INDEX('Both teabags AfterWet'!$C$3:$C$2000,MATCH(I184,'Both teabags AfterWet'!$A$3:$A$2000,0)),"")</f>
        <v>1.7532000000000001</v>
      </c>
      <c r="Q184" s="194">
        <f t="shared" si="12"/>
        <v>0.47959999999999997</v>
      </c>
      <c r="R184" s="194">
        <f t="shared" si="12"/>
        <v>1.6026</v>
      </c>
      <c r="S184" s="194">
        <f t="shared" si="13"/>
        <v>0.72937591693939741</v>
      </c>
      <c r="T184" s="194">
        <f t="shared" si="14"/>
        <v>0.47816568426430806</v>
      </c>
      <c r="U184" s="194">
        <f t="shared" si="15"/>
        <v>0.81259507149376331</v>
      </c>
      <c r="V184">
        <f t="shared" si="10"/>
        <v>54</v>
      </c>
      <c r="W184" s="194">
        <f t="shared" si="16"/>
        <v>0.13375781836176082</v>
      </c>
      <c r="X184" s="194">
        <f t="shared" si="17"/>
        <v>9.2121575623880722E-3</v>
      </c>
      <c r="Y184" s="245" t="str">
        <f>IF(ISNUMBER(SEARCH("C",'WetLitterbags placem_collection'!$X111)),"YES","NO")</f>
        <v>NO</v>
      </c>
      <c r="Z184" s="245" t="str">
        <f>IF(ISNUMBER(SEARCH("H", 'WetLitterbags placem_collection'!$X111)),"YES","NO")</f>
        <v>NO</v>
      </c>
      <c r="AA184" s="245" t="str">
        <f>IF(ISNUMBER(SEARCH("R", 'WetLitterbags placem_collection'!$X111)),"YES","NO")</f>
        <v>NO</v>
      </c>
      <c r="AB184" s="245" t="str">
        <f>IF(ISNUMBER(SEARCH("C", 'WetLitterbags placem_collection'!$V111)),"YES","NO")</f>
        <v>NO</v>
      </c>
      <c r="AC184" s="245" t="str">
        <f>IF(ISNUMBER(SEARCH("H", 'WetLitterbags placem_collection'!$V111)),"YES","NO")</f>
        <v>YES</v>
      </c>
      <c r="AD184" s="245" t="str">
        <f>IF(ISNUMBER(SEARCH("R", 'WetLitterbags placem_collection'!$V111)),"YES","NO")</f>
        <v>NO</v>
      </c>
    </row>
    <row r="185" spans="2:30">
      <c r="B185" t="str">
        <f>Wetseason!B111</f>
        <v>Wet</v>
      </c>
      <c r="C185" s="253">
        <f>Wetseason!C111</f>
        <v>110</v>
      </c>
      <c r="D185" t="s">
        <v>3118</v>
      </c>
      <c r="E185" t="s">
        <v>22</v>
      </c>
      <c r="F185" s="375">
        <v>6</v>
      </c>
      <c r="G185" s="16">
        <f>'WetLitterbags placem_collection'!E112</f>
        <v>42762</v>
      </c>
      <c r="H185" t="str">
        <f>Wetseason!L111</f>
        <v>G742</v>
      </c>
      <c r="I185" t="str">
        <f>Wetseason!L331</f>
        <v>R462</v>
      </c>
      <c r="J185">
        <f>IFERROR(INDEX('Green_rooibos initial weight'!$C$5:$C$2000,MATCH(H185, 'Green_rooibos initial weight'!$A$5:$A$2000,0)),"")</f>
        <v>2.0510000000000002</v>
      </c>
      <c r="K185">
        <f>IFERROR(INDEX('Green_rooibos initial weight'!$C$5:$C$2000,MATCH(I185, 'Green_rooibos initial weight'!$A$5:$A$2000,0)),"")</f>
        <v>2.226</v>
      </c>
      <c r="L185" s="194">
        <f t="shared" si="11"/>
        <v>1.8012000000000001</v>
      </c>
      <c r="M185" s="194">
        <f t="shared" si="9"/>
        <v>1.9762</v>
      </c>
      <c r="N185" s="16">
        <f>IF('WetLitterbags placem_collection'!G112="","",'WetLitterbags placem_collection'!G112)</f>
        <v>42816</v>
      </c>
      <c r="O185" s="194">
        <f>IFERROR(INDEX('Both teabags AfterWet'!$C$3:$C$2000,MATCH(H185,'Both teabags AfterWet'!$A$3:$A$2000,0)),"")</f>
        <v>0.57879999999999998</v>
      </c>
      <c r="P185" s="194">
        <f>IFERROR(INDEX('Both teabags AfterWet'!$C$3:$C$2000,MATCH(I185,'Both teabags AfterWet'!$A$3:$A$2000,0)),"")</f>
        <v>1.5465</v>
      </c>
      <c r="Q185" s="194">
        <f t="shared" si="12"/>
        <v>0.42819999999999997</v>
      </c>
      <c r="R185" s="194">
        <f t="shared" si="12"/>
        <v>1.3958999999999999</v>
      </c>
      <c r="S185" s="194">
        <f t="shared" si="13"/>
        <v>0.76226959804574734</v>
      </c>
      <c r="T185" s="194">
        <f t="shared" si="14"/>
        <v>0.49973018779246153</v>
      </c>
      <c r="U185" s="194">
        <f t="shared" si="15"/>
        <v>0.70635563202105045</v>
      </c>
      <c r="V185">
        <f t="shared" si="10"/>
        <v>54</v>
      </c>
      <c r="W185" s="194">
        <f t="shared" si="16"/>
        <v>9.4691688781772698E-2</v>
      </c>
      <c r="X185" s="194">
        <f t="shared" si="17"/>
        <v>1.6403252690472801E-2</v>
      </c>
      <c r="Y185" s="245" t="str">
        <f>IF(ISNUMBER(SEARCH("C",'WetLitterbags placem_collection'!$X112)),"YES","NO")</f>
        <v>NO</v>
      </c>
      <c r="Z185" s="245" t="str">
        <f>IF(ISNUMBER(SEARCH("H", 'WetLitterbags placem_collection'!$X112)),"YES","NO")</f>
        <v>NO</v>
      </c>
      <c r="AA185" s="245" t="str">
        <f>IF(ISNUMBER(SEARCH("R", 'WetLitterbags placem_collection'!$X112)),"YES","NO")</f>
        <v>NO</v>
      </c>
      <c r="AB185" s="245" t="str">
        <f>IF(ISNUMBER(SEARCH("C", 'WetLitterbags placem_collection'!$V112)),"YES","NO")</f>
        <v>NO</v>
      </c>
      <c r="AC185" s="245" t="str">
        <f>IF(ISNUMBER(SEARCH("H", 'WetLitterbags placem_collection'!$V112)),"YES","NO")</f>
        <v>NO</v>
      </c>
      <c r="AD185" s="245" t="str">
        <f>IF(ISNUMBER(SEARCH("R", 'WetLitterbags placem_collection'!$V112)),"YES","NO")</f>
        <v>NO</v>
      </c>
    </row>
    <row r="186" spans="2:30">
      <c r="B186" t="str">
        <f>Wetseason!B112</f>
        <v>Wet</v>
      </c>
      <c r="C186" s="253">
        <f>Wetseason!C112</f>
        <v>111</v>
      </c>
      <c r="D186" t="s">
        <v>3118</v>
      </c>
      <c r="E186" t="s">
        <v>22</v>
      </c>
      <c r="F186" s="375">
        <v>7</v>
      </c>
      <c r="G186" s="16">
        <f>'WetLitterbags placem_collection'!E113</f>
        <v>42762</v>
      </c>
      <c r="H186" t="str">
        <f>Wetseason!L112</f>
        <v>G831</v>
      </c>
      <c r="I186" t="str">
        <f>Wetseason!L332</f>
        <v>R505</v>
      </c>
      <c r="J186">
        <f>IFERROR(INDEX('Green_rooibos initial weight'!$C$5:$C$2000,MATCH(H186, 'Green_rooibos initial weight'!$A$5:$A$2000,0)),"")</f>
        <v>2.1190000000000002</v>
      </c>
      <c r="K186">
        <f>IFERROR(INDEX('Green_rooibos initial weight'!$C$5:$C$2000,MATCH(I186, 'Green_rooibos initial weight'!$A$5:$A$2000,0)),"")</f>
        <v>2.198</v>
      </c>
      <c r="L186" s="194">
        <f t="shared" si="11"/>
        <v>1.8692000000000002</v>
      </c>
      <c r="M186" s="194">
        <f t="shared" si="9"/>
        <v>1.9481999999999999</v>
      </c>
      <c r="N186" s="16">
        <f>IF('WetLitterbags placem_collection'!G113="","",'WetLitterbags placem_collection'!G113)</f>
        <v>42816</v>
      </c>
      <c r="O186" s="194">
        <f>IFERROR(INDEX('Both teabags AfterWet'!$C$3:$C$2000,MATCH(H186,'Both teabags AfterWet'!$A$3:$A$2000,0)),"")</f>
        <v>0.66200000000000003</v>
      </c>
      <c r="P186" s="194">
        <f>IFERROR(INDEX('Both teabags AfterWet'!$C$3:$C$2000,MATCH(I186,'Both teabags AfterWet'!$A$3:$A$2000,0)),"")</f>
        <v>1.673</v>
      </c>
      <c r="Q186" s="194">
        <f t="shared" si="12"/>
        <v>0.51140000000000008</v>
      </c>
      <c r="R186" s="194">
        <f t="shared" si="12"/>
        <v>1.5224</v>
      </c>
      <c r="S186" s="194">
        <f t="shared" si="13"/>
        <v>0.72640701904558092</v>
      </c>
      <c r="T186" s="194">
        <f t="shared" si="14"/>
        <v>0.47621932840042841</v>
      </c>
      <c r="U186" s="194">
        <f t="shared" si="15"/>
        <v>0.78143927728159324</v>
      </c>
      <c r="V186">
        <f t="shared" si="10"/>
        <v>54</v>
      </c>
      <c r="W186" s="194">
        <f t="shared" si="16"/>
        <v>0.13728382536154282</v>
      </c>
      <c r="X186" s="194">
        <f t="shared" si="17"/>
        <v>1.1374871243964479E-2</v>
      </c>
      <c r="Y186" s="245" t="str">
        <f>IF(ISNUMBER(SEARCH("C",'WetLitterbags placem_collection'!$X113)),"YES","NO")</f>
        <v>NO</v>
      </c>
      <c r="Z186" s="245" t="str">
        <f>IF(ISNUMBER(SEARCH("H", 'WetLitterbags placem_collection'!$X113)),"YES","NO")</f>
        <v>NO</v>
      </c>
      <c r="AA186" s="245" t="str">
        <f>IF(ISNUMBER(SEARCH("R", 'WetLitterbags placem_collection'!$X113)),"YES","NO")</f>
        <v>YES</v>
      </c>
      <c r="AB186" s="245" t="str">
        <f>IF(ISNUMBER(SEARCH("C", 'WetLitterbags placem_collection'!$V113)),"YES","NO")</f>
        <v>NO</v>
      </c>
      <c r="AC186" s="245" t="str">
        <f>IF(ISNUMBER(SEARCH("H", 'WetLitterbags placem_collection'!$V113)),"YES","NO")</f>
        <v>NO</v>
      </c>
      <c r="AD186" s="245" t="str">
        <f>IF(ISNUMBER(SEARCH("R", 'WetLitterbags placem_collection'!$V113)),"YES","NO")</f>
        <v>NO</v>
      </c>
    </row>
    <row r="187" spans="2:30">
      <c r="B187" t="str">
        <f>Wetseason!B113</f>
        <v>Wet</v>
      </c>
      <c r="C187" s="253">
        <f>Wetseason!C113</f>
        <v>112</v>
      </c>
      <c r="D187" t="s">
        <v>3118</v>
      </c>
      <c r="E187" t="s">
        <v>22</v>
      </c>
      <c r="F187" s="375">
        <v>8</v>
      </c>
      <c r="G187" s="16">
        <f>'WetLitterbags placem_collection'!E114</f>
        <v>42762</v>
      </c>
      <c r="H187" t="str">
        <f>Wetseason!L113</f>
        <v>G899</v>
      </c>
      <c r="I187" t="str">
        <f>Wetseason!L333</f>
        <v>R41</v>
      </c>
      <c r="J187">
        <f>IFERROR(INDEX('Green_rooibos initial weight'!$C$5:$C$2000,MATCH(H187, 'Green_rooibos initial weight'!$A$5:$A$2000,0)),"")</f>
        <v>2.0129999999999999</v>
      </c>
      <c r="K187">
        <f>IFERROR(INDEX('Green_rooibos initial weight'!$C$5:$C$2000,MATCH(I187, 'Green_rooibos initial weight'!$A$5:$A$2000,0)),"")</f>
        <v>2.2010000000000001</v>
      </c>
      <c r="L187" s="194">
        <f t="shared" si="11"/>
        <v>1.7631999999999999</v>
      </c>
      <c r="M187" s="194">
        <f t="shared" si="9"/>
        <v>1.9512</v>
      </c>
      <c r="N187" s="16">
        <f>IF('WetLitterbags placem_collection'!G114="","",'WetLitterbags placem_collection'!G114)</f>
        <v>42816</v>
      </c>
      <c r="O187" s="194">
        <f>IFERROR(INDEX('Both teabags AfterWet'!$C$3:$C$2000,MATCH(H187,'Both teabags AfterWet'!$A$3:$A$2000,0)),"")</f>
        <v>0.71899999999999997</v>
      </c>
      <c r="P187" s="194">
        <f>IFERROR(INDEX('Both teabags AfterWet'!$C$3:$C$2000,MATCH(I187,'Both teabags AfterWet'!$A$3:$A$2000,0)),"")</f>
        <v>1.6910000000000001</v>
      </c>
      <c r="Q187" s="194">
        <f t="shared" si="12"/>
        <v>0.56840000000000002</v>
      </c>
      <c r="R187" s="194">
        <f t="shared" si="12"/>
        <v>1.5404</v>
      </c>
      <c r="S187" s="194">
        <f t="shared" si="13"/>
        <v>0.67763157894736836</v>
      </c>
      <c r="T187" s="194">
        <f t="shared" si="14"/>
        <v>0.44424303037879737</v>
      </c>
      <c r="U187" s="194">
        <f t="shared" si="15"/>
        <v>0.78946289462894625</v>
      </c>
      <c r="V187">
        <f t="shared" si="10"/>
        <v>54</v>
      </c>
      <c r="W187" s="194">
        <f t="shared" si="16"/>
        <v>0.19521190148768597</v>
      </c>
      <c r="X187" s="194">
        <f t="shared" si="17"/>
        <v>1.1894596002352088E-2</v>
      </c>
      <c r="Y187" s="245" t="str">
        <f>IF(ISNUMBER(SEARCH("C",'WetLitterbags placem_collection'!$X114)),"YES","NO")</f>
        <v>NO</v>
      </c>
      <c r="Z187" s="245" t="str">
        <f>IF(ISNUMBER(SEARCH("H", 'WetLitterbags placem_collection'!$X114)),"YES","NO")</f>
        <v>NO</v>
      </c>
      <c r="AA187" s="245" t="str">
        <f>IF(ISNUMBER(SEARCH("R", 'WetLitterbags placem_collection'!$X114)),"YES","NO")</f>
        <v>NO</v>
      </c>
      <c r="AB187" s="245" t="str">
        <f>IF(ISNUMBER(SEARCH("C", 'WetLitterbags placem_collection'!$V114)),"YES","NO")</f>
        <v>NO</v>
      </c>
      <c r="AC187" s="245" t="str">
        <f>IF(ISNUMBER(SEARCH("H", 'WetLitterbags placem_collection'!$V114)),"YES","NO")</f>
        <v>YES</v>
      </c>
      <c r="AD187" s="245" t="str">
        <f>IF(ISNUMBER(SEARCH("R", 'WetLitterbags placem_collection'!$V114)),"YES","NO")</f>
        <v>NO</v>
      </c>
    </row>
    <row r="188" spans="2:30">
      <c r="B188" t="str">
        <f>Wetseason!B114</f>
        <v>Wet</v>
      </c>
      <c r="C188" s="253">
        <f>Wetseason!C114</f>
        <v>113</v>
      </c>
      <c r="D188" t="s">
        <v>3119</v>
      </c>
      <c r="E188" t="s">
        <v>22</v>
      </c>
      <c r="F188" s="374">
        <v>1</v>
      </c>
      <c r="G188" s="16">
        <f>'WetLitterbags placem_collection'!E115</f>
        <v>42762</v>
      </c>
      <c r="H188" t="str">
        <f>Wetseason!L114</f>
        <v>G724</v>
      </c>
      <c r="I188" t="str">
        <f>Wetseason!L334</f>
        <v>R428</v>
      </c>
      <c r="J188">
        <f>IFERROR(INDEX('Green_rooibos initial weight'!$C$5:$C$2000,MATCH(H188, 'Green_rooibos initial weight'!$A$5:$A$2000,0)),"")</f>
        <v>2.0289999999999999</v>
      </c>
      <c r="K188">
        <f>IFERROR(INDEX('Green_rooibos initial weight'!$C$5:$C$2000,MATCH(I188, 'Green_rooibos initial weight'!$A$5:$A$2000,0)),"")</f>
        <v>2.202</v>
      </c>
      <c r="L188" s="194">
        <f t="shared" si="11"/>
        <v>1.7791999999999999</v>
      </c>
      <c r="M188" s="194">
        <f t="shared" si="9"/>
        <v>1.9521999999999999</v>
      </c>
      <c r="N188" s="16">
        <f>IF('WetLitterbags placem_collection'!G115="","",'WetLitterbags placem_collection'!G115)</f>
        <v>42816</v>
      </c>
      <c r="O188" s="194">
        <f>IFERROR(INDEX('Both teabags AfterWet'!$C$3:$C$2000,MATCH(H188,'Both teabags AfterWet'!$A$3:$A$2000,0)),"")</f>
        <v>0.61099999999999999</v>
      </c>
      <c r="P188" s="194">
        <f>IFERROR(INDEX('Both teabags AfterWet'!$C$3:$C$2000,MATCH(I188,'Both teabags AfterWet'!$A$3:$A$2000,0)),"")</f>
        <v>1.768</v>
      </c>
      <c r="Q188" s="194">
        <f t="shared" si="12"/>
        <v>0.46039999999999998</v>
      </c>
      <c r="R188" s="194">
        <f t="shared" si="12"/>
        <v>1.6173999999999999</v>
      </c>
      <c r="S188" s="194">
        <f t="shared" si="13"/>
        <v>0.74123201438848918</v>
      </c>
      <c r="T188" s="194">
        <f t="shared" si="14"/>
        <v>0.48593832772262002</v>
      </c>
      <c r="U188" s="194">
        <f t="shared" si="15"/>
        <v>0.82850117815797564</v>
      </c>
      <c r="V188">
        <f t="shared" si="10"/>
        <v>54</v>
      </c>
      <c r="W188" s="194">
        <f t="shared" si="16"/>
        <v>0.11967694253148553</v>
      </c>
      <c r="X188" s="194">
        <f t="shared" si="17"/>
        <v>8.0609261233439717E-3</v>
      </c>
      <c r="Y188" s="245" t="str">
        <f>IF(ISNUMBER(SEARCH("C",'WetLitterbags placem_collection'!$X115)),"YES","NO")</f>
        <v>NO</v>
      </c>
      <c r="Z188" s="245" t="str">
        <f>IF(ISNUMBER(SEARCH("H", 'WetLitterbags placem_collection'!$X115)),"YES","NO")</f>
        <v>NO</v>
      </c>
      <c r="AA188" s="245" t="str">
        <f>IF(ISNUMBER(SEARCH("R", 'WetLitterbags placem_collection'!$X115)),"YES","NO")</f>
        <v>YES</v>
      </c>
      <c r="AB188" s="245" t="str">
        <f>IF(ISNUMBER(SEARCH("C", 'WetLitterbags placem_collection'!$V115)),"YES","NO")</f>
        <v>YES</v>
      </c>
      <c r="AC188" s="245" t="str">
        <f>IF(ISNUMBER(SEARCH("H", 'WetLitterbags placem_collection'!$V115)),"YES","NO")</f>
        <v>NO</v>
      </c>
      <c r="AD188" s="245" t="str">
        <f>IF(ISNUMBER(SEARCH("R", 'WetLitterbags placem_collection'!$V115)),"YES","NO")</f>
        <v>YES</v>
      </c>
    </row>
    <row r="189" spans="2:30">
      <c r="B189" t="str">
        <f>Wetseason!B115</f>
        <v>Wet</v>
      </c>
      <c r="C189" s="253">
        <f>Wetseason!C115</f>
        <v>114</v>
      </c>
      <c r="D189" t="s">
        <v>3119</v>
      </c>
      <c r="E189" t="s">
        <v>22</v>
      </c>
      <c r="F189" s="374">
        <v>2</v>
      </c>
      <c r="G189" s="16">
        <f>'WetLitterbags placem_collection'!E116</f>
        <v>42762</v>
      </c>
      <c r="H189" t="str">
        <f>Wetseason!L115</f>
        <v>G803</v>
      </c>
      <c r="I189" t="str">
        <f>Wetseason!L335</f>
        <v>R601</v>
      </c>
      <c r="J189">
        <f>IFERROR(INDEX('Green_rooibos initial weight'!$C$5:$C$2000,MATCH(H189, 'Green_rooibos initial weight'!$A$5:$A$2000,0)),"")</f>
        <v>2.0590000000000002</v>
      </c>
      <c r="K189">
        <f>IFERROR(INDEX('Green_rooibos initial weight'!$C$5:$C$2000,MATCH(I189, 'Green_rooibos initial weight'!$A$5:$A$2000,0)),"")</f>
        <v>2.198</v>
      </c>
      <c r="L189" s="194">
        <f t="shared" si="11"/>
        <v>1.8092000000000001</v>
      </c>
      <c r="M189" s="194">
        <f t="shared" si="9"/>
        <v>1.9481999999999999</v>
      </c>
      <c r="N189" s="16">
        <f>IF('WetLitterbags placem_collection'!G116="","",'WetLitterbags placem_collection'!G116)</f>
        <v>42816</v>
      </c>
      <c r="O189" s="194">
        <f>IFERROR(INDEX('Both teabags AfterWet'!$C$3:$C$2000,MATCH(H189,'Both teabags AfterWet'!$A$3:$A$2000,0)),"")</f>
        <v>0.64300000000000002</v>
      </c>
      <c r="P189" s="194">
        <f>IFERROR(INDEX('Both teabags AfterWet'!$C$3:$C$2000,MATCH(I189,'Both teabags AfterWet'!$A$3:$A$2000,0)),"")</f>
        <v>2.7930000000000001</v>
      </c>
      <c r="Q189" s="194">
        <f t="shared" si="12"/>
        <v>0.4924</v>
      </c>
      <c r="R189" s="194">
        <f t="shared" si="12"/>
        <v>2.6424000000000003</v>
      </c>
      <c r="S189" s="194">
        <f t="shared" si="13"/>
        <v>0.72783550740658853</v>
      </c>
      <c r="T189" s="194">
        <f t="shared" si="14"/>
        <v>0.47715581958246667</v>
      </c>
      <c r="U189" s="194">
        <f t="shared" si="15"/>
        <v>1.3563289190021561</v>
      </c>
      <c r="V189">
        <f t="shared" si="10"/>
        <v>54</v>
      </c>
      <c r="W189" s="194">
        <f t="shared" si="16"/>
        <v>0.13558728336509673</v>
      </c>
      <c r="X189" s="194">
        <f t="shared" si="17"/>
        <v>-1.0329116456495362E-2</v>
      </c>
      <c r="Y189" s="245" t="str">
        <f>IF(ISNUMBER(SEARCH("C",'WetLitterbags placem_collection'!$X116)),"YES","NO")</f>
        <v>NO</v>
      </c>
      <c r="Z189" s="245" t="str">
        <f>IF(ISNUMBER(SEARCH("H", 'WetLitterbags placem_collection'!$X116)),"YES","NO")</f>
        <v>NO</v>
      </c>
      <c r="AA189" s="245" t="str">
        <f>IF(ISNUMBER(SEARCH("R", 'WetLitterbags placem_collection'!$X116)),"YES","NO")</f>
        <v>YES</v>
      </c>
      <c r="AB189" s="245" t="str">
        <f>IF(ISNUMBER(SEARCH("C", 'WetLitterbags placem_collection'!$V116)),"YES","NO")</f>
        <v>NO</v>
      </c>
      <c r="AC189" s="245" t="str">
        <f>IF(ISNUMBER(SEARCH("H", 'WetLitterbags placem_collection'!$V116)),"YES","NO")</f>
        <v>YES</v>
      </c>
      <c r="AD189" s="245" t="str">
        <f>IF(ISNUMBER(SEARCH("R", 'WetLitterbags placem_collection'!$V116)),"YES","NO")</f>
        <v>YES</v>
      </c>
    </row>
    <row r="190" spans="2:30">
      <c r="B190" t="str">
        <f>Wetseason!B116</f>
        <v>Wet</v>
      </c>
      <c r="C190" s="253">
        <f>Wetseason!C116</f>
        <v>115</v>
      </c>
      <c r="D190" t="s">
        <v>3119</v>
      </c>
      <c r="E190" t="s">
        <v>22</v>
      </c>
      <c r="F190" s="374">
        <v>3</v>
      </c>
      <c r="G190" s="16">
        <f>'WetLitterbags placem_collection'!E117</f>
        <v>42762</v>
      </c>
      <c r="H190" t="str">
        <f>Wetseason!L116</f>
        <v>G693</v>
      </c>
      <c r="I190" t="str">
        <f>Wetseason!L336</f>
        <v>R553</v>
      </c>
      <c r="J190">
        <f>IFERROR(INDEX('Green_rooibos initial weight'!$C$5:$C$2000,MATCH(H190, 'Green_rooibos initial weight'!$A$5:$A$2000,0)),"")</f>
        <v>2.0710000000000002</v>
      </c>
      <c r="K190">
        <f>IFERROR(INDEX('Green_rooibos initial weight'!$C$5:$C$2000,MATCH(I190, 'Green_rooibos initial weight'!$A$5:$A$2000,0)),"")</f>
        <v>2.1949999999999998</v>
      </c>
      <c r="L190" s="194">
        <f t="shared" si="11"/>
        <v>1.8212000000000002</v>
      </c>
      <c r="M190" s="194">
        <f t="shared" si="9"/>
        <v>1.9451999999999998</v>
      </c>
      <c r="N190" s="16">
        <f>IF('WetLitterbags placem_collection'!G117="","",'WetLitterbags placem_collection'!G117)</f>
        <v>42816</v>
      </c>
      <c r="O190" s="194">
        <f>IFERROR(INDEX('Both teabags AfterWet'!$C$3:$C$2000,MATCH(H190,'Both teabags AfterWet'!$A$3:$A$2000,0)),"")</f>
        <v>0.63400000000000001</v>
      </c>
      <c r="P190" s="194">
        <f>IFERROR(INDEX('Both teabags AfterWet'!$C$3:$C$2000,MATCH(I190,'Both teabags AfterWet'!$A$3:$A$2000,0)),"")</f>
        <v>0.99990000000000001</v>
      </c>
      <c r="Q190" s="194">
        <f t="shared" si="12"/>
        <v>0.4834</v>
      </c>
      <c r="R190" s="194">
        <f t="shared" si="12"/>
        <v>0.84929999999999994</v>
      </c>
      <c r="S190" s="194">
        <f t="shared" si="13"/>
        <v>0.73457061278278069</v>
      </c>
      <c r="T190" s="194">
        <f t="shared" si="14"/>
        <v>0.48157123308324823</v>
      </c>
      <c r="U190" s="194">
        <f t="shared" si="15"/>
        <v>0.43661320172732881</v>
      </c>
      <c r="V190">
        <f t="shared" si="10"/>
        <v>54</v>
      </c>
      <c r="W190" s="194">
        <f t="shared" si="16"/>
        <v>0.12758834586368084</v>
      </c>
      <c r="X190" s="194" t="str">
        <f t="shared" si="17"/>
        <v/>
      </c>
      <c r="Y190" s="245" t="str">
        <f>IF(ISNUMBER(SEARCH("C",'WetLitterbags placem_collection'!$X117)),"YES","NO")</f>
        <v>NO</v>
      </c>
      <c r="Z190" s="245" t="str">
        <f>IF(ISNUMBER(SEARCH("H", 'WetLitterbags placem_collection'!$X117)),"YES","NO")</f>
        <v>NO</v>
      </c>
      <c r="AA190" s="245" t="str">
        <f>IF(ISNUMBER(SEARCH("R", 'WetLitterbags placem_collection'!$X117)),"YES","NO")</f>
        <v>YES</v>
      </c>
      <c r="AB190" s="245" t="str">
        <f>IF(ISNUMBER(SEARCH("C", 'WetLitterbags placem_collection'!$V117)),"YES","NO")</f>
        <v>NO</v>
      </c>
      <c r="AC190" s="245" t="str">
        <f>IF(ISNUMBER(SEARCH("H", 'WetLitterbags placem_collection'!$V117)),"YES","NO")</f>
        <v>NO</v>
      </c>
      <c r="AD190" s="245" t="str">
        <f>IF(ISNUMBER(SEARCH("R", 'WetLitterbags placem_collection'!$V117)),"YES","NO")</f>
        <v>YES</v>
      </c>
    </row>
    <row r="191" spans="2:30">
      <c r="B191" t="str">
        <f>Wetseason!B117</f>
        <v>Wet</v>
      </c>
      <c r="C191" s="253">
        <f>Wetseason!C117</f>
        <v>116</v>
      </c>
      <c r="D191" t="s">
        <v>3119</v>
      </c>
      <c r="E191" t="s">
        <v>22</v>
      </c>
      <c r="F191" s="375">
        <v>4</v>
      </c>
      <c r="G191" s="16">
        <f>'WetLitterbags placem_collection'!E118</f>
        <v>42762</v>
      </c>
      <c r="H191" t="str">
        <f>Wetseason!L117</f>
        <v>G897</v>
      </c>
      <c r="I191" t="str">
        <f>Wetseason!L337</f>
        <v>R459</v>
      </c>
      <c r="J191">
        <f>IFERROR(INDEX('Green_rooibos initial weight'!$C$5:$C$2000,MATCH(H191, 'Green_rooibos initial weight'!$A$5:$A$2000,0)),"")</f>
        <v>2.0299999999999998</v>
      </c>
      <c r="K191">
        <f>IFERROR(INDEX('Green_rooibos initial weight'!$C$5:$C$2000,MATCH(I191, 'Green_rooibos initial weight'!$A$5:$A$2000,0)),"")</f>
        <v>2.2090000000000001</v>
      </c>
      <c r="L191" s="194">
        <f t="shared" si="11"/>
        <v>1.7801999999999998</v>
      </c>
      <c r="M191" s="194">
        <f t="shared" si="9"/>
        <v>1.9592000000000001</v>
      </c>
      <c r="N191" s="16">
        <f>IF('WetLitterbags placem_collection'!G118="","",'WetLitterbags placem_collection'!G118)</f>
        <v>42816</v>
      </c>
      <c r="O191" s="194">
        <f>IFERROR(INDEX('Both teabags AfterWet'!$C$3:$C$2000,MATCH(H191,'Both teabags AfterWet'!$A$3:$A$2000,0)),"")</f>
        <v>0.67869999999999997</v>
      </c>
      <c r="P191" s="194">
        <f>IFERROR(INDEX('Both teabags AfterWet'!$C$3:$C$2000,MATCH(I191,'Both teabags AfterWet'!$A$3:$A$2000,0)),"")</f>
        <v>0.68710000000000004</v>
      </c>
      <c r="Q191" s="194">
        <f t="shared" si="12"/>
        <v>0.52810000000000001</v>
      </c>
      <c r="R191" s="194">
        <f t="shared" si="12"/>
        <v>0.53649999999999998</v>
      </c>
      <c r="S191" s="194">
        <f t="shared" si="13"/>
        <v>0.70334793843388377</v>
      </c>
      <c r="T191" s="194">
        <f t="shared" si="14"/>
        <v>0.46110221141983837</v>
      </c>
      <c r="U191" s="194">
        <f t="shared" si="15"/>
        <v>0.27383625969783582</v>
      </c>
      <c r="V191">
        <f t="shared" si="10"/>
        <v>54</v>
      </c>
      <c r="W191" s="194">
        <f t="shared" si="16"/>
        <v>0.164669906848119</v>
      </c>
      <c r="X191" s="194" t="str">
        <f t="shared" si="17"/>
        <v/>
      </c>
      <c r="Y191" s="245" t="str">
        <f>IF(ISNUMBER(SEARCH("C",'WetLitterbags placem_collection'!$X118)),"YES","NO")</f>
        <v>NO</v>
      </c>
      <c r="Z191" s="245" t="str">
        <f>IF(ISNUMBER(SEARCH("H", 'WetLitterbags placem_collection'!$X118)),"YES","NO")</f>
        <v>NO</v>
      </c>
      <c r="AA191" s="245" t="str">
        <f>IF(ISNUMBER(SEARCH("R", 'WetLitterbags placem_collection'!$X118)),"YES","NO")</f>
        <v>YES</v>
      </c>
      <c r="AB191" s="245" t="str">
        <f>IF(ISNUMBER(SEARCH("C", 'WetLitterbags placem_collection'!$V118)),"YES","NO")</f>
        <v>NO</v>
      </c>
      <c r="AC191" s="245" t="str">
        <f>IF(ISNUMBER(SEARCH("H", 'WetLitterbags placem_collection'!$V118)),"YES","NO")</f>
        <v>NO</v>
      </c>
      <c r="AD191" s="245" t="str">
        <f>IF(ISNUMBER(SEARCH("R", 'WetLitterbags placem_collection'!$V118)),"YES","NO")</f>
        <v>NO</v>
      </c>
    </row>
    <row r="192" spans="2:30">
      <c r="B192" t="str">
        <f>Wetseason!B118</f>
        <v>Wet</v>
      </c>
      <c r="C192" s="253">
        <f>Wetseason!C118</f>
        <v>117</v>
      </c>
      <c r="D192" t="s">
        <v>3119</v>
      </c>
      <c r="E192" t="s">
        <v>22</v>
      </c>
      <c r="F192" s="375">
        <v>5</v>
      </c>
      <c r="G192" s="16">
        <f>'WetLitterbags placem_collection'!E119</f>
        <v>42762</v>
      </c>
      <c r="H192" t="str">
        <f>Wetseason!L118</f>
        <v>G789</v>
      </c>
      <c r="I192" t="str">
        <f>Wetseason!L338</f>
        <v>R511</v>
      </c>
      <c r="J192">
        <f>IFERROR(INDEX('Green_rooibos initial weight'!$C$5:$C$2000,MATCH(H192, 'Green_rooibos initial weight'!$A$5:$A$2000,0)),"")</f>
        <v>2.109</v>
      </c>
      <c r="K192">
        <f>IFERROR(INDEX('Green_rooibos initial weight'!$C$5:$C$2000,MATCH(I192, 'Green_rooibos initial weight'!$A$5:$A$2000,0)),"")</f>
        <v>2.1779999999999999</v>
      </c>
      <c r="L192" s="194">
        <f t="shared" si="11"/>
        <v>1.8592</v>
      </c>
      <c r="M192" s="194">
        <f t="shared" si="9"/>
        <v>1.9281999999999999</v>
      </c>
      <c r="N192" s="16">
        <f>IF('WetLitterbags placem_collection'!G119="","",'WetLitterbags placem_collection'!G119)</f>
        <v>42816</v>
      </c>
      <c r="O192" s="194">
        <f>IFERROR(INDEX('Both teabags AfterWet'!$C$3:$C$2000,MATCH(H192,'Both teabags AfterWet'!$A$3:$A$2000,0)),"")</f>
        <v>0.79800000000000004</v>
      </c>
      <c r="P192" s="194">
        <f>IFERROR(INDEX('Both teabags AfterWet'!$C$3:$C$2000,MATCH(I192,'Both teabags AfterWet'!$A$3:$A$2000,0)),"")</f>
        <v>0.39700000000000002</v>
      </c>
      <c r="Q192" s="194">
        <f t="shared" si="12"/>
        <v>0.64739999999999998</v>
      </c>
      <c r="R192" s="194">
        <f t="shared" si="12"/>
        <v>0.24640000000000001</v>
      </c>
      <c r="S192" s="194">
        <f t="shared" si="13"/>
        <v>0.6517857142857143</v>
      </c>
      <c r="T192" s="194">
        <f t="shared" si="14"/>
        <v>0.42729894808279617</v>
      </c>
      <c r="U192" s="194">
        <f t="shared" si="15"/>
        <v>0.12778757390312209</v>
      </c>
      <c r="V192">
        <f t="shared" si="10"/>
        <v>54</v>
      </c>
      <c r="W192" s="194">
        <f t="shared" si="16"/>
        <v>0.22590770274855776</v>
      </c>
      <c r="X192" s="194" t="str">
        <f t="shared" si="17"/>
        <v/>
      </c>
      <c r="Y192" s="245" t="str">
        <f>IF(ISNUMBER(SEARCH("C",'WetLitterbags placem_collection'!$X119)),"YES","NO")</f>
        <v>NO</v>
      </c>
      <c r="Z192" s="245" t="str">
        <f>IF(ISNUMBER(SEARCH("H", 'WetLitterbags placem_collection'!$X119)),"YES","NO")</f>
        <v>NO</v>
      </c>
      <c r="AA192" s="245" t="str">
        <f>IF(ISNUMBER(SEARCH("R", 'WetLitterbags placem_collection'!$X119)),"YES","NO")</f>
        <v>YES</v>
      </c>
      <c r="AB192" s="245" t="str">
        <f>IF(ISNUMBER(SEARCH("C", 'WetLitterbags placem_collection'!$V119)),"YES","NO")</f>
        <v>NO</v>
      </c>
      <c r="AC192" s="245" t="str">
        <f>IF(ISNUMBER(SEARCH("H", 'WetLitterbags placem_collection'!$V119)),"YES","NO")</f>
        <v>YES</v>
      </c>
      <c r="AD192" s="245" t="str">
        <f>IF(ISNUMBER(SEARCH("R", 'WetLitterbags placem_collection'!$V119)),"YES","NO")</f>
        <v>YES</v>
      </c>
    </row>
    <row r="193" spans="2:30">
      <c r="B193" t="str">
        <f>Wetseason!B119</f>
        <v>Wet</v>
      </c>
      <c r="C193" s="253">
        <f>Wetseason!C119</f>
        <v>118</v>
      </c>
      <c r="D193" t="s">
        <v>3119</v>
      </c>
      <c r="E193" t="s">
        <v>22</v>
      </c>
      <c r="F193" s="375">
        <v>6</v>
      </c>
      <c r="G193" s="16">
        <f>'WetLitterbags placem_collection'!E120</f>
        <v>42762</v>
      </c>
      <c r="H193" t="str">
        <f>Wetseason!L119</f>
        <v>G681</v>
      </c>
      <c r="I193" t="str">
        <f>Wetseason!L339</f>
        <v>R495</v>
      </c>
      <c r="J193">
        <f>IFERROR(INDEX('Green_rooibos initial weight'!$C$5:$C$2000,MATCH(H193, 'Green_rooibos initial weight'!$A$5:$A$2000,0)),"")</f>
        <v>2.0790000000000002</v>
      </c>
      <c r="K193">
        <f>IFERROR(INDEX('Green_rooibos initial weight'!$C$5:$C$2000,MATCH(I193, 'Green_rooibos initial weight'!$A$5:$A$2000,0)),"")</f>
        <v>2.25</v>
      </c>
      <c r="L193" s="194">
        <f t="shared" si="11"/>
        <v>1.8292000000000002</v>
      </c>
      <c r="M193" s="194">
        <f t="shared" si="9"/>
        <v>2.0002</v>
      </c>
      <c r="N193" s="16">
        <f>IF('WetLitterbags placem_collection'!G120="","",'WetLitterbags placem_collection'!G120)</f>
        <v>42816</v>
      </c>
      <c r="O193" s="194">
        <f>IFERROR(INDEX('Both teabags AfterWet'!$C$3:$C$2000,MATCH(H193,'Both teabags AfterWet'!$A$3:$A$2000,0)),"")</f>
        <v>0.56799999999999995</v>
      </c>
      <c r="P193" s="194">
        <f>IFERROR(INDEX('Both teabags AfterWet'!$C$3:$C$2000,MATCH(I193,'Both teabags AfterWet'!$A$3:$A$2000,0)),"")</f>
        <v>1.468</v>
      </c>
      <c r="Q193" s="194">
        <f t="shared" si="12"/>
        <v>0.41739999999999994</v>
      </c>
      <c r="R193" s="194">
        <f t="shared" si="12"/>
        <v>1.3173999999999999</v>
      </c>
      <c r="S193" s="194">
        <f t="shared" si="13"/>
        <v>0.77181281434506888</v>
      </c>
      <c r="T193" s="194">
        <f t="shared" si="14"/>
        <v>0.50598654812170796</v>
      </c>
      <c r="U193" s="194">
        <f t="shared" si="15"/>
        <v>0.65863413658634129</v>
      </c>
      <c r="V193">
        <f t="shared" si="10"/>
        <v>54</v>
      </c>
      <c r="W193" s="194">
        <f t="shared" si="16"/>
        <v>8.3357702678065415E-2</v>
      </c>
      <c r="X193" s="194">
        <f t="shared" si="17"/>
        <v>2.0793817358031954E-2</v>
      </c>
      <c r="Y193" s="245" t="str">
        <f>IF(ISNUMBER(SEARCH("C",'WetLitterbags placem_collection'!$X120)),"YES","NO")</f>
        <v>NO</v>
      </c>
      <c r="Z193" s="245" t="str">
        <f>IF(ISNUMBER(SEARCH("H", 'WetLitterbags placem_collection'!$X120)),"YES","NO")</f>
        <v>NO</v>
      </c>
      <c r="AA193" s="245" t="str">
        <f>IF(ISNUMBER(SEARCH("R", 'WetLitterbags placem_collection'!$X120)),"YES","NO")</f>
        <v>YES</v>
      </c>
      <c r="AB193" s="245" t="str">
        <f>IF(ISNUMBER(SEARCH("C", 'WetLitterbags placem_collection'!$V120)),"YES","NO")</f>
        <v>YES</v>
      </c>
      <c r="AC193" s="245" t="str">
        <f>IF(ISNUMBER(SEARCH("H", 'WetLitterbags placem_collection'!$V120)),"YES","NO")</f>
        <v>YES</v>
      </c>
      <c r="AD193" s="245" t="str">
        <f>IF(ISNUMBER(SEARCH("R", 'WetLitterbags placem_collection'!$V120)),"YES","NO")</f>
        <v>YES</v>
      </c>
    </row>
    <row r="194" spans="2:30">
      <c r="B194" t="str">
        <f>Wetseason!B120</f>
        <v>Wet</v>
      </c>
      <c r="C194" s="253">
        <f>Wetseason!C120</f>
        <v>119</v>
      </c>
      <c r="D194" t="s">
        <v>3119</v>
      </c>
      <c r="E194" t="s">
        <v>22</v>
      </c>
      <c r="F194" s="375">
        <v>7</v>
      </c>
      <c r="G194" s="16">
        <f>'WetLitterbags placem_collection'!E121</f>
        <v>42762</v>
      </c>
      <c r="H194" t="str">
        <f>Wetseason!L120</f>
        <v>G657</v>
      </c>
      <c r="I194" t="str">
        <f>Wetseason!L340</f>
        <v>R584</v>
      </c>
      <c r="J194">
        <f>IFERROR(INDEX('Green_rooibos initial weight'!$C$5:$C$2000,MATCH(H194, 'Green_rooibos initial weight'!$A$5:$A$2000,0)),"")</f>
        <v>1.9910000000000001</v>
      </c>
      <c r="K194">
        <f>IFERROR(INDEX('Green_rooibos initial weight'!$C$5:$C$2000,MATCH(I194, 'Green_rooibos initial weight'!$A$5:$A$2000,0)),"")</f>
        <v>2.2170000000000001</v>
      </c>
      <c r="L194" s="194">
        <f t="shared" si="11"/>
        <v>1.7412000000000001</v>
      </c>
      <c r="M194" s="194">
        <f t="shared" si="9"/>
        <v>1.9672000000000001</v>
      </c>
      <c r="N194" s="16">
        <f>IF('WetLitterbags placem_collection'!G121="","",'WetLitterbags placem_collection'!G121)</f>
        <v>42816</v>
      </c>
      <c r="O194" s="194">
        <f>IFERROR(INDEX('Both teabags AfterWet'!$C$3:$C$2000,MATCH(H194,'Both teabags AfterWet'!$A$3:$A$2000,0)),"")</f>
        <v>0.70099999999999996</v>
      </c>
      <c r="P194" s="194">
        <f>IFERROR(INDEX('Both teabags AfterWet'!$C$3:$C$2000,MATCH(I194,'Both teabags AfterWet'!$A$3:$A$2000,0)),"")</f>
        <v>0.435</v>
      </c>
      <c r="Q194" s="194">
        <f t="shared" si="12"/>
        <v>0.5504</v>
      </c>
      <c r="R194" s="194">
        <f t="shared" si="12"/>
        <v>0.28439999999999999</v>
      </c>
      <c r="S194" s="194">
        <f t="shared" si="13"/>
        <v>0.68389616356535732</v>
      </c>
      <c r="T194" s="194">
        <f t="shared" si="14"/>
        <v>0.44834997896446233</v>
      </c>
      <c r="U194" s="194">
        <f t="shared" si="15"/>
        <v>0.14457096380642537</v>
      </c>
      <c r="V194">
        <f t="shared" si="10"/>
        <v>54</v>
      </c>
      <c r="W194" s="194">
        <f t="shared" si="16"/>
        <v>0.18777177723829297</v>
      </c>
      <c r="X194" s="194" t="str">
        <f t="shared" si="17"/>
        <v/>
      </c>
      <c r="Y194" s="245" t="str">
        <f>IF(ISNUMBER(SEARCH("C",'WetLitterbags placem_collection'!$X121)),"YES","NO")</f>
        <v>NO</v>
      </c>
      <c r="Z194" s="245" t="str">
        <f>IF(ISNUMBER(SEARCH("H", 'WetLitterbags placem_collection'!$X121)),"YES","NO")</f>
        <v>NO</v>
      </c>
      <c r="AA194" s="245" t="str">
        <f>IF(ISNUMBER(SEARCH("R", 'WetLitterbags placem_collection'!$X121)),"YES","NO")</f>
        <v>YES</v>
      </c>
      <c r="AB194" s="245" t="str">
        <f>IF(ISNUMBER(SEARCH("C", 'WetLitterbags placem_collection'!$V121)),"YES","NO")</f>
        <v>NO</v>
      </c>
      <c r="AC194" s="245" t="str">
        <f>IF(ISNUMBER(SEARCH("H", 'WetLitterbags placem_collection'!$V121)),"YES","NO")</f>
        <v>NO</v>
      </c>
      <c r="AD194" s="245" t="str">
        <f>IF(ISNUMBER(SEARCH("R", 'WetLitterbags placem_collection'!$V121)),"YES","NO")</f>
        <v>YES</v>
      </c>
    </row>
    <row r="195" spans="2:30">
      <c r="B195" t="str">
        <f>Wetseason!B121</f>
        <v>Wet</v>
      </c>
      <c r="C195" s="253">
        <f>Wetseason!C121</f>
        <v>120</v>
      </c>
      <c r="D195" t="s">
        <v>3119</v>
      </c>
      <c r="E195" t="s">
        <v>22</v>
      </c>
      <c r="F195" s="375">
        <v>8</v>
      </c>
      <c r="G195" s="16">
        <f>'WetLitterbags placem_collection'!E122</f>
        <v>42762</v>
      </c>
      <c r="H195" t="str">
        <f>Wetseason!L121</f>
        <v>G758</v>
      </c>
      <c r="I195" t="str">
        <f>Wetseason!L341</f>
        <v>R454</v>
      </c>
      <c r="J195">
        <f>IFERROR(INDEX('Green_rooibos initial weight'!$C$5:$C$2000,MATCH(H195, 'Green_rooibos initial weight'!$A$5:$A$2000,0)),"")</f>
        <v>2.0310000000000001</v>
      </c>
      <c r="K195">
        <f>IFERROR(INDEX('Green_rooibos initial weight'!$C$5:$C$2000,MATCH(I195, 'Green_rooibos initial weight'!$A$5:$A$2000,0)),"")</f>
        <v>2.1819999999999999</v>
      </c>
      <c r="L195" s="194">
        <f t="shared" si="11"/>
        <v>1.7812000000000001</v>
      </c>
      <c r="M195" s="194">
        <f t="shared" si="9"/>
        <v>1.9321999999999999</v>
      </c>
      <c r="N195" s="16">
        <f>IF('WetLitterbags placem_collection'!G122="","",'WetLitterbags placem_collection'!G122)</f>
        <v>42816</v>
      </c>
      <c r="O195" s="194">
        <f>IFERROR(INDEX('Both teabags AfterWet'!$C$3:$C$2000,MATCH(H195,'Both teabags AfterWet'!$A$3:$A$2000,0)),"")</f>
        <v>0.67110000000000003</v>
      </c>
      <c r="P195" s="194">
        <f>IFERROR(INDEX('Both teabags AfterWet'!$C$3:$C$2000,MATCH(I195,'Both teabags AfterWet'!$A$3:$A$2000,0)),"")</f>
        <v>0.3876</v>
      </c>
      <c r="Q195" s="194">
        <f t="shared" si="12"/>
        <v>0.52049999999999996</v>
      </c>
      <c r="R195" s="194">
        <f t="shared" si="12"/>
        <v>0.23699999999999999</v>
      </c>
      <c r="S195" s="194">
        <f t="shared" si="13"/>
        <v>0.70778127105322253</v>
      </c>
      <c r="T195" s="194">
        <f t="shared" si="14"/>
        <v>0.4640086242534191</v>
      </c>
      <c r="U195" s="194">
        <f t="shared" si="15"/>
        <v>0.12265810992650865</v>
      </c>
      <c r="V195">
        <f t="shared" si="10"/>
        <v>54</v>
      </c>
      <c r="W195" s="194">
        <f t="shared" si="16"/>
        <v>0.15940466620757421</v>
      </c>
      <c r="X195" s="194" t="str">
        <f t="shared" si="17"/>
        <v/>
      </c>
      <c r="Y195" s="245" t="str">
        <f>IF(ISNUMBER(SEARCH("C",'WetLitterbags placem_collection'!$X122)),"YES","NO")</f>
        <v>NO</v>
      </c>
      <c r="Z195" s="245" t="str">
        <f>IF(ISNUMBER(SEARCH("H", 'WetLitterbags placem_collection'!$X122)),"YES","NO")</f>
        <v>NO</v>
      </c>
      <c r="AA195" s="245" t="str">
        <f>IF(ISNUMBER(SEARCH("R", 'WetLitterbags placem_collection'!$X122)),"YES","NO")</f>
        <v>NO</v>
      </c>
      <c r="AB195" s="245" t="str">
        <f>IF(ISNUMBER(SEARCH("C", 'WetLitterbags placem_collection'!$V122)),"YES","NO")</f>
        <v>NO</v>
      </c>
      <c r="AC195" s="245" t="str">
        <f>IF(ISNUMBER(SEARCH("H", 'WetLitterbags placem_collection'!$V122)),"YES","NO")</f>
        <v>YES</v>
      </c>
      <c r="AD195" s="245" t="str">
        <f>IF(ISNUMBER(SEARCH("R", 'WetLitterbags placem_collection'!$V122)),"YES","NO")</f>
        <v>NO</v>
      </c>
    </row>
    <row r="196" spans="2:30">
      <c r="B196" t="str">
        <f>Wetseason!B122</f>
        <v>Wet</v>
      </c>
      <c r="C196" s="253">
        <f>Wetseason!C122</f>
        <v>121</v>
      </c>
      <c r="D196" t="s">
        <v>3120</v>
      </c>
      <c r="E196" t="s">
        <v>22</v>
      </c>
      <c r="F196" s="374">
        <v>1</v>
      </c>
      <c r="G196" s="16">
        <f>'WetLitterbags placem_collection'!E123</f>
        <v>42762</v>
      </c>
      <c r="H196" t="str">
        <f>Wetseason!L122</f>
        <v>G666</v>
      </c>
      <c r="I196" t="str">
        <f>Wetseason!L342</f>
        <v>R532</v>
      </c>
      <c r="J196">
        <f>IFERROR(INDEX('Green_rooibos initial weight'!$C$5:$C$2000,MATCH(H196, 'Green_rooibos initial weight'!$A$5:$A$2000,0)),"")</f>
        <v>2.0819999999999999</v>
      </c>
      <c r="K196">
        <f>IFERROR(INDEX('Green_rooibos initial weight'!$C$5:$C$2000,MATCH(I196, 'Green_rooibos initial weight'!$A$5:$A$2000,0)),"")</f>
        <v>2.19</v>
      </c>
      <c r="L196" s="194">
        <f t="shared" si="11"/>
        <v>1.8321999999999998</v>
      </c>
      <c r="M196" s="194">
        <f t="shared" si="9"/>
        <v>1.9401999999999999</v>
      </c>
      <c r="N196" s="16">
        <f>IF('WetLitterbags placem_collection'!G123="","",'WetLitterbags placem_collection'!G123)</f>
        <v>42816</v>
      </c>
      <c r="O196" s="194">
        <f>IFERROR(INDEX('Both teabags AfterWet'!$C$3:$C$2000,MATCH(H196,'Both teabags AfterWet'!$A$3:$A$2000,0)),"")</f>
        <v>0.63500000000000001</v>
      </c>
      <c r="P196" s="194">
        <f>IFERROR(INDEX('Both teabags AfterWet'!$C$3:$C$2000,MATCH(I196,'Both teabags AfterWet'!$A$3:$A$2000,0)),"")</f>
        <v>1.7050000000000001</v>
      </c>
      <c r="Q196" s="194">
        <f t="shared" si="12"/>
        <v>0.4844</v>
      </c>
      <c r="R196" s="194">
        <f t="shared" si="12"/>
        <v>1.5544</v>
      </c>
      <c r="S196" s="194">
        <f t="shared" si="13"/>
        <v>0.73561838227267762</v>
      </c>
      <c r="T196" s="194">
        <f t="shared" si="14"/>
        <v>0.48225813184622102</v>
      </c>
      <c r="U196" s="194">
        <f t="shared" si="15"/>
        <v>0.80115452015256161</v>
      </c>
      <c r="V196">
        <f t="shared" si="10"/>
        <v>54</v>
      </c>
      <c r="W196" s="194">
        <f t="shared" si="16"/>
        <v>0.12634396404670112</v>
      </c>
      <c r="X196" s="194">
        <f t="shared" si="17"/>
        <v>9.8439915570158968E-3</v>
      </c>
      <c r="Y196" s="245" t="str">
        <f>IF(ISNUMBER(SEARCH("C",'WetLitterbags placem_collection'!$X123)),"YES","NO")</f>
        <v>NO</v>
      </c>
      <c r="Z196" s="245" t="str">
        <f>IF(ISNUMBER(SEARCH("H", 'WetLitterbags placem_collection'!$X123)),"YES","NO")</f>
        <v>NO</v>
      </c>
      <c r="AA196" s="245" t="str">
        <f>IF(ISNUMBER(SEARCH("R", 'WetLitterbags placem_collection'!$X123)),"YES","NO")</f>
        <v>YES</v>
      </c>
      <c r="AB196" s="245" t="str">
        <f>IF(ISNUMBER(SEARCH("C", 'WetLitterbags placem_collection'!$V123)),"YES","NO")</f>
        <v>NO</v>
      </c>
      <c r="AC196" s="245" t="str">
        <f>IF(ISNUMBER(SEARCH("H", 'WetLitterbags placem_collection'!$V123)),"YES","NO")</f>
        <v>NO</v>
      </c>
      <c r="AD196" s="245" t="str">
        <f>IF(ISNUMBER(SEARCH("R", 'WetLitterbags placem_collection'!$V123)),"YES","NO")</f>
        <v>YES</v>
      </c>
    </row>
    <row r="197" spans="2:30">
      <c r="B197" t="str">
        <f>Wetseason!B123</f>
        <v>Wet</v>
      </c>
      <c r="C197" s="253">
        <f>Wetseason!C123</f>
        <v>122</v>
      </c>
      <c r="D197" t="s">
        <v>3120</v>
      </c>
      <c r="E197" t="s">
        <v>22</v>
      </c>
      <c r="F197" s="374">
        <v>2</v>
      </c>
      <c r="G197" s="16">
        <f>'WetLitterbags placem_collection'!E124</f>
        <v>42762</v>
      </c>
      <c r="H197" t="str">
        <f>Wetseason!L123</f>
        <v>G860</v>
      </c>
      <c r="I197" t="str">
        <f>Wetseason!L343</f>
        <v>R11</v>
      </c>
      <c r="J197">
        <f>IFERROR(INDEX('Green_rooibos initial weight'!$C$5:$C$2000,MATCH(H197, 'Green_rooibos initial weight'!$A$5:$A$2000,0)),"")</f>
        <v>1.9570000000000001</v>
      </c>
      <c r="K197">
        <f>IFERROR(INDEX('Green_rooibos initial weight'!$C$5:$C$2000,MATCH(I197, 'Green_rooibos initial weight'!$A$5:$A$2000,0)),"")</f>
        <v>2.2160000000000002</v>
      </c>
      <c r="L197" s="194">
        <f t="shared" si="11"/>
        <v>1.7072000000000001</v>
      </c>
      <c r="M197" s="194">
        <f t="shared" si="9"/>
        <v>1.9662000000000002</v>
      </c>
      <c r="N197" s="16">
        <f>IF('WetLitterbags placem_collection'!G124="","",'WetLitterbags placem_collection'!G124)</f>
        <v>42816</v>
      </c>
      <c r="O197" s="194">
        <f>IFERROR(INDEX('Both teabags AfterWet'!$C$3:$C$2000,MATCH(H197,'Both teabags AfterWet'!$A$3:$A$2000,0)),"")</f>
        <v>0.76800000000000002</v>
      </c>
      <c r="P197" s="194">
        <f>IFERROR(INDEX('Both teabags AfterWet'!$C$3:$C$2000,MATCH(I197,'Both teabags AfterWet'!$A$3:$A$2000,0)),"")</f>
        <v>1.25</v>
      </c>
      <c r="Q197" s="194">
        <f t="shared" si="12"/>
        <v>0.61739999999999995</v>
      </c>
      <c r="R197" s="194">
        <f t="shared" si="12"/>
        <v>1.0993999999999999</v>
      </c>
      <c r="S197" s="194">
        <f t="shared" si="13"/>
        <v>0.63835520149953151</v>
      </c>
      <c r="T197" s="194">
        <f t="shared" si="14"/>
        <v>0.41849414635123683</v>
      </c>
      <c r="U197" s="194">
        <f t="shared" si="15"/>
        <v>0.55914962872546015</v>
      </c>
      <c r="V197">
        <f t="shared" si="10"/>
        <v>54</v>
      </c>
      <c r="W197" s="194">
        <f t="shared" si="16"/>
        <v>0.24185843052312173</v>
      </c>
      <c r="X197" s="194" t="str">
        <f t="shared" si="17"/>
        <v/>
      </c>
      <c r="Y197" s="245" t="str">
        <f>IF(ISNUMBER(SEARCH("C",'WetLitterbags placem_collection'!$X124)),"YES","NO")</f>
        <v>NO</v>
      </c>
      <c r="Z197" s="245" t="str">
        <f>IF(ISNUMBER(SEARCH("H", 'WetLitterbags placem_collection'!$X124)),"YES","NO")</f>
        <v>NO</v>
      </c>
      <c r="AA197" s="245" t="str">
        <f>IF(ISNUMBER(SEARCH("R", 'WetLitterbags placem_collection'!$X124)),"YES","NO")</f>
        <v>YES</v>
      </c>
      <c r="AB197" s="245" t="str">
        <f>IF(ISNUMBER(SEARCH("C", 'WetLitterbags placem_collection'!$V124)),"YES","NO")</f>
        <v>NO</v>
      </c>
      <c r="AC197" s="245" t="str">
        <f>IF(ISNUMBER(SEARCH("H", 'WetLitterbags placem_collection'!$V124)),"YES","NO")</f>
        <v>YES</v>
      </c>
      <c r="AD197" s="245" t="str">
        <f>IF(ISNUMBER(SEARCH("R", 'WetLitterbags placem_collection'!$V124)),"YES","NO")</f>
        <v>YES</v>
      </c>
    </row>
    <row r="198" spans="2:30">
      <c r="B198" t="str">
        <f>Wetseason!B124</f>
        <v>Wet</v>
      </c>
      <c r="C198" s="253">
        <f>Wetseason!C124</f>
        <v>123</v>
      </c>
      <c r="D198" t="s">
        <v>3120</v>
      </c>
      <c r="E198" t="s">
        <v>22</v>
      </c>
      <c r="F198" s="374">
        <v>3</v>
      </c>
      <c r="G198" s="16">
        <f>'WetLitterbags placem_collection'!E125</f>
        <v>42762</v>
      </c>
      <c r="H198" t="str">
        <f>Wetseason!L124</f>
        <v>G694</v>
      </c>
      <c r="I198" t="str">
        <f>Wetseason!L344</f>
        <v>R575</v>
      </c>
      <c r="J198">
        <f>IFERROR(INDEX('Green_rooibos initial weight'!$C$5:$C$2000,MATCH(H198, 'Green_rooibos initial weight'!$A$5:$A$2000,0)),"")</f>
        <v>1.992</v>
      </c>
      <c r="K198">
        <f>IFERROR(INDEX('Green_rooibos initial weight'!$C$5:$C$2000,MATCH(I198, 'Green_rooibos initial weight'!$A$5:$A$2000,0)),"")</f>
        <v>2.0990000000000002</v>
      </c>
      <c r="L198" s="194">
        <f t="shared" si="11"/>
        <v>1.7422</v>
      </c>
      <c r="M198" s="194">
        <f t="shared" si="9"/>
        <v>1.8492000000000002</v>
      </c>
      <c r="N198" s="16">
        <f>IF('WetLitterbags placem_collection'!G125="","",'WetLitterbags placem_collection'!G125)</f>
        <v>42816</v>
      </c>
      <c r="O198" s="194">
        <f>IFERROR(INDEX('Both teabags AfterWet'!$C$3:$C$2000,MATCH(H198,'Both teabags AfterWet'!$A$3:$A$2000,0)),"")</f>
        <v>0.622</v>
      </c>
      <c r="P198" s="194">
        <f>IFERROR(INDEX('Both teabags AfterWet'!$C$3:$C$2000,MATCH(I198,'Both teabags AfterWet'!$A$3:$A$2000,0)),"")</f>
        <v>1.6872</v>
      </c>
      <c r="Q198" s="194">
        <f t="shared" si="12"/>
        <v>0.47139999999999999</v>
      </c>
      <c r="R198" s="194">
        <f t="shared" si="12"/>
        <v>1.5366</v>
      </c>
      <c r="S198" s="194">
        <f t="shared" si="13"/>
        <v>0.72942256916542303</v>
      </c>
      <c r="T198" s="194">
        <f t="shared" si="14"/>
        <v>0.47819626862151254</v>
      </c>
      <c r="U198" s="194">
        <f t="shared" si="15"/>
        <v>0.83095392602206353</v>
      </c>
      <c r="V198">
        <f t="shared" si="10"/>
        <v>54</v>
      </c>
      <c r="W198" s="194">
        <f t="shared" si="16"/>
        <v>0.13370241191754983</v>
      </c>
      <c r="X198" s="194">
        <f t="shared" si="17"/>
        <v>8.0776671558193593E-3</v>
      </c>
      <c r="Y198" s="245" t="str">
        <f>IF(ISNUMBER(SEARCH("C",'WetLitterbags placem_collection'!$X125)),"YES","NO")</f>
        <v>NO</v>
      </c>
      <c r="Z198" s="245" t="str">
        <f>IF(ISNUMBER(SEARCH("H", 'WetLitterbags placem_collection'!$X125)),"YES","NO")</f>
        <v>NO</v>
      </c>
      <c r="AA198" s="245" t="str">
        <f>IF(ISNUMBER(SEARCH("R", 'WetLitterbags placem_collection'!$X125)),"YES","NO")</f>
        <v>NO</v>
      </c>
      <c r="AB198" s="245" t="str">
        <f>IF(ISNUMBER(SEARCH("C", 'WetLitterbags placem_collection'!$V125)),"YES","NO")</f>
        <v>NO</v>
      </c>
      <c r="AC198" s="245" t="str">
        <f>IF(ISNUMBER(SEARCH("H", 'WetLitterbags placem_collection'!$V125)),"YES","NO")</f>
        <v>NO</v>
      </c>
      <c r="AD198" s="245" t="str">
        <f>IF(ISNUMBER(SEARCH("R", 'WetLitterbags placem_collection'!$V125)),"YES","NO")</f>
        <v>YES</v>
      </c>
    </row>
    <row r="199" spans="2:30">
      <c r="B199" t="str">
        <f>Wetseason!B125</f>
        <v>Wet</v>
      </c>
      <c r="C199" s="253">
        <f>Wetseason!C125</f>
        <v>124</v>
      </c>
      <c r="D199" t="s">
        <v>3120</v>
      </c>
      <c r="E199" t="s">
        <v>22</v>
      </c>
      <c r="F199" s="375">
        <v>4</v>
      </c>
      <c r="G199" s="16">
        <f>'WetLitterbags placem_collection'!E126</f>
        <v>42762</v>
      </c>
      <c r="H199" t="str">
        <f>Wetseason!L125</f>
        <v>G867</v>
      </c>
      <c r="I199" t="str">
        <f>Wetseason!L345</f>
        <v>R39</v>
      </c>
      <c r="J199">
        <f>IFERROR(INDEX('Green_rooibos initial weight'!$C$5:$C$2000,MATCH(H199, 'Green_rooibos initial weight'!$A$5:$A$2000,0)),"")</f>
        <v>1.907</v>
      </c>
      <c r="K199">
        <f>IFERROR(INDEX('Green_rooibos initial weight'!$C$5:$C$2000,MATCH(I199, 'Green_rooibos initial weight'!$A$5:$A$2000,0)),"")</f>
        <v>2.1429999999999998</v>
      </c>
      <c r="L199" s="194">
        <f t="shared" si="11"/>
        <v>1.6572</v>
      </c>
      <c r="M199" s="194">
        <f t="shared" si="9"/>
        <v>1.8931999999999998</v>
      </c>
      <c r="N199" s="16">
        <f>IF('WetLitterbags placem_collection'!G126="","",'WetLitterbags placem_collection'!G126)</f>
        <v>42816</v>
      </c>
      <c r="O199" s="194">
        <f>IFERROR(INDEX('Both teabags AfterWet'!$C$3:$C$2000,MATCH(H199,'Both teabags AfterWet'!$A$3:$A$2000,0)),"")</f>
        <v>0.84799999999999998</v>
      </c>
      <c r="P199" s="194">
        <f>IFERROR(INDEX('Both teabags AfterWet'!$C$3:$C$2000,MATCH(I199,'Both teabags AfterWet'!$A$3:$A$2000,0)),"")</f>
        <v>1.4910000000000001</v>
      </c>
      <c r="Q199" s="194">
        <f t="shared" si="12"/>
        <v>0.69740000000000002</v>
      </c>
      <c r="R199" s="194">
        <f t="shared" si="12"/>
        <v>1.3404</v>
      </c>
      <c r="S199" s="194">
        <f t="shared" si="13"/>
        <v>0.5791696838040068</v>
      </c>
      <c r="T199" s="194">
        <f t="shared" si="14"/>
        <v>0.37969318938219926</v>
      </c>
      <c r="U199" s="194">
        <f t="shared" si="15"/>
        <v>0.70800760616944869</v>
      </c>
      <c r="V199">
        <f t="shared" si="10"/>
        <v>54</v>
      </c>
      <c r="W199" s="194">
        <f t="shared" si="16"/>
        <v>0.31215001923514629</v>
      </c>
      <c r="X199" s="194">
        <f t="shared" si="17"/>
        <v>2.7137639992895202E-2</v>
      </c>
      <c r="Y199" s="245" t="str">
        <f>IF(ISNUMBER(SEARCH("C",'WetLitterbags placem_collection'!$X126)),"YES","NO")</f>
        <v>NO</v>
      </c>
      <c r="Z199" s="245" t="str">
        <f>IF(ISNUMBER(SEARCH("H", 'WetLitterbags placem_collection'!$X126)),"YES","NO")</f>
        <v>NO</v>
      </c>
      <c r="AA199" s="245" t="str">
        <f>IF(ISNUMBER(SEARCH("R", 'WetLitterbags placem_collection'!$X126)),"YES","NO")</f>
        <v>NO</v>
      </c>
      <c r="AB199" s="245" t="str">
        <f>IF(ISNUMBER(SEARCH("C", 'WetLitterbags placem_collection'!$V126)),"YES","NO")</f>
        <v>NO</v>
      </c>
      <c r="AC199" s="245" t="str">
        <f>IF(ISNUMBER(SEARCH("H", 'WetLitterbags placem_collection'!$V126)),"YES","NO")</f>
        <v>YES</v>
      </c>
      <c r="AD199" s="245" t="str">
        <f>IF(ISNUMBER(SEARCH("R", 'WetLitterbags placem_collection'!$V126)),"YES","NO")</f>
        <v>YES</v>
      </c>
    </row>
    <row r="200" spans="2:30">
      <c r="B200" t="str">
        <f>Wetseason!B126</f>
        <v>Wet</v>
      </c>
      <c r="C200" s="253">
        <f>Wetseason!C126</f>
        <v>125</v>
      </c>
      <c r="D200" t="s">
        <v>3120</v>
      </c>
      <c r="E200" t="s">
        <v>22</v>
      </c>
      <c r="F200" s="375">
        <v>5</v>
      </c>
      <c r="G200" s="16">
        <f>'WetLitterbags placem_collection'!E127</f>
        <v>42762</v>
      </c>
      <c r="H200" t="str">
        <f>Wetseason!L126</f>
        <v>G793</v>
      </c>
      <c r="I200" t="str">
        <f>Wetseason!L346</f>
        <v>R560</v>
      </c>
      <c r="J200">
        <f>IFERROR(INDEX('Green_rooibos initial weight'!$C$5:$C$2000,MATCH(H200, 'Green_rooibos initial weight'!$A$5:$A$2000,0)),"")</f>
        <v>2.0459999999999998</v>
      </c>
      <c r="K200">
        <f>IFERROR(INDEX('Green_rooibos initial weight'!$C$5:$C$2000,MATCH(I200, 'Green_rooibos initial weight'!$A$5:$A$2000,0)),"")</f>
        <v>2.157</v>
      </c>
      <c r="L200" s="194">
        <f t="shared" si="11"/>
        <v>1.7961999999999998</v>
      </c>
      <c r="M200" s="194">
        <f t="shared" si="9"/>
        <v>1.9072</v>
      </c>
      <c r="N200" s="16">
        <f>IF('WetLitterbags placem_collection'!G127="","",'WetLitterbags placem_collection'!G127)</f>
        <v>42816</v>
      </c>
      <c r="O200" s="194">
        <f>IFERROR(INDEX('Both teabags AfterWet'!$C$3:$C$2000,MATCH(H200,'Both teabags AfterWet'!$A$3:$A$2000,0)),"")</f>
        <v>0.77200000000000002</v>
      </c>
      <c r="P200" s="194">
        <f>IFERROR(INDEX('Both teabags AfterWet'!$C$3:$C$2000,MATCH(I200,'Both teabags AfterWet'!$A$3:$A$2000,0)),"")</f>
        <v>1.254</v>
      </c>
      <c r="Q200" s="194">
        <f t="shared" si="12"/>
        <v>0.62139999999999995</v>
      </c>
      <c r="R200" s="194">
        <f t="shared" si="12"/>
        <v>1.1033999999999999</v>
      </c>
      <c r="S200" s="194">
        <f t="shared" si="13"/>
        <v>0.6540474334706603</v>
      </c>
      <c r="T200" s="194">
        <f t="shared" si="14"/>
        <v>0.42878169035131175</v>
      </c>
      <c r="U200" s="194">
        <f t="shared" si="15"/>
        <v>0.57854446308724827</v>
      </c>
      <c r="V200">
        <f t="shared" si="10"/>
        <v>54</v>
      </c>
      <c r="W200" s="194">
        <f t="shared" si="16"/>
        <v>0.22322157545052224</v>
      </c>
      <c r="X200" s="194">
        <f t="shared" si="17"/>
        <v>7.5361061121904466E-2</v>
      </c>
      <c r="Y200" s="245" t="str">
        <f>IF(ISNUMBER(SEARCH("C",'WetLitterbags placem_collection'!$X127)),"YES","NO")</f>
        <v>NO</v>
      </c>
      <c r="Z200" s="245" t="str">
        <f>IF(ISNUMBER(SEARCH("H", 'WetLitterbags placem_collection'!$X127)),"YES","NO")</f>
        <v>NO</v>
      </c>
      <c r="AA200" s="245" t="str">
        <f>IF(ISNUMBER(SEARCH("R", 'WetLitterbags placem_collection'!$X127)),"YES","NO")</f>
        <v>YES</v>
      </c>
      <c r="AB200" s="245" t="str">
        <f>IF(ISNUMBER(SEARCH("C", 'WetLitterbags placem_collection'!$V127)),"YES","NO")</f>
        <v>NO</v>
      </c>
      <c r="AC200" s="245" t="str">
        <f>IF(ISNUMBER(SEARCH("H", 'WetLitterbags placem_collection'!$V127)),"YES","NO")</f>
        <v>YES</v>
      </c>
      <c r="AD200" s="245" t="str">
        <f>IF(ISNUMBER(SEARCH("R", 'WetLitterbags placem_collection'!$V127)),"YES","NO")</f>
        <v>YES</v>
      </c>
    </row>
    <row r="201" spans="2:30">
      <c r="B201" t="str">
        <f>Wetseason!B127</f>
        <v>Wet</v>
      </c>
      <c r="C201" s="253">
        <f>Wetseason!C127</f>
        <v>126</v>
      </c>
      <c r="D201" t="s">
        <v>3120</v>
      </c>
      <c r="E201" t="s">
        <v>22</v>
      </c>
      <c r="F201" s="375">
        <v>6</v>
      </c>
      <c r="G201" s="16">
        <f>'WetLitterbags placem_collection'!E128</f>
        <v>42762</v>
      </c>
      <c r="H201" t="str">
        <f>Wetseason!L127</f>
        <v>G749</v>
      </c>
      <c r="I201" t="str">
        <f>Wetseason!L347</f>
        <v>R562</v>
      </c>
      <c r="J201">
        <f>IFERROR(INDEX('Green_rooibos initial weight'!$C$5:$C$2000,MATCH(H201, 'Green_rooibos initial weight'!$A$5:$A$2000,0)),"")</f>
        <v>2.0179999999999998</v>
      </c>
      <c r="K201">
        <f>IFERROR(INDEX('Green_rooibos initial weight'!$C$5:$C$2000,MATCH(I201, 'Green_rooibos initial weight'!$A$5:$A$2000,0)),"")</f>
        <v>2.2810000000000001</v>
      </c>
      <c r="L201" s="194">
        <f t="shared" si="11"/>
        <v>1.7681999999999998</v>
      </c>
      <c r="M201" s="194">
        <f t="shared" si="9"/>
        <v>2.0312000000000001</v>
      </c>
      <c r="N201" s="16">
        <f>IF('WetLitterbags placem_collection'!G128="","",'WetLitterbags placem_collection'!G128)</f>
        <v>42816</v>
      </c>
      <c r="O201" s="194">
        <f>IFERROR(INDEX('Both teabags AfterWet'!$C$3:$C$2000,MATCH(H201,'Both teabags AfterWet'!$A$3:$A$2000,0)),"")</f>
        <v>0.67800000000000005</v>
      </c>
      <c r="P201" s="194">
        <f>IFERROR(INDEX('Both teabags AfterWet'!$C$3:$C$2000,MATCH(I201,'Both teabags AfterWet'!$A$3:$A$2000,0)),"")</f>
        <v>0.17599999999999999</v>
      </c>
      <c r="Q201" s="194">
        <f t="shared" si="12"/>
        <v>0.52740000000000009</v>
      </c>
      <c r="R201" s="194">
        <f t="shared" si="12"/>
        <v>2.5399999999999978E-2</v>
      </c>
      <c r="S201" s="194">
        <f t="shared" si="13"/>
        <v>0.70173057346454004</v>
      </c>
      <c r="T201" s="194">
        <f t="shared" si="14"/>
        <v>0.46004189614302393</v>
      </c>
      <c r="U201" s="194">
        <f t="shared" si="15"/>
        <v>1.250492319810948E-2</v>
      </c>
      <c r="V201">
        <f t="shared" si="10"/>
        <v>54</v>
      </c>
      <c r="W201" s="194">
        <f t="shared" si="16"/>
        <v>0.16659076785684079</v>
      </c>
      <c r="X201" s="194" t="str">
        <f t="shared" si="17"/>
        <v/>
      </c>
      <c r="Y201" s="245" t="str">
        <f>IF(ISNUMBER(SEARCH("C",'WetLitterbags placem_collection'!$X128)),"YES","NO")</f>
        <v>NO</v>
      </c>
      <c r="Z201" s="245" t="str">
        <f>IF(ISNUMBER(SEARCH("H", 'WetLitterbags placem_collection'!$X128)),"YES","NO")</f>
        <v>NO</v>
      </c>
      <c r="AA201" s="245" t="str">
        <f>IF(ISNUMBER(SEARCH("R", 'WetLitterbags placem_collection'!$X128)),"YES","NO")</f>
        <v>YES</v>
      </c>
      <c r="AB201" s="245" t="str">
        <f>IF(ISNUMBER(SEARCH("C", 'WetLitterbags placem_collection'!$V128)),"YES","NO")</f>
        <v>NO</v>
      </c>
      <c r="AC201" s="245" t="str">
        <f>IF(ISNUMBER(SEARCH("H", 'WetLitterbags placem_collection'!$V128)),"YES","NO")</f>
        <v>YES</v>
      </c>
      <c r="AD201" s="245" t="str">
        <f>IF(ISNUMBER(SEARCH("R", 'WetLitterbags placem_collection'!$V128)),"YES","NO")</f>
        <v>YES</v>
      </c>
    </row>
    <row r="202" spans="2:30">
      <c r="B202" t="str">
        <f>Wetseason!B128</f>
        <v>Wet</v>
      </c>
      <c r="C202" s="253">
        <f>Wetseason!C128</f>
        <v>127</v>
      </c>
      <c r="D202" t="s">
        <v>3120</v>
      </c>
      <c r="E202" t="s">
        <v>22</v>
      </c>
      <c r="F202" s="375">
        <v>7</v>
      </c>
      <c r="G202" s="16">
        <f>'WetLitterbags placem_collection'!E129</f>
        <v>42762</v>
      </c>
      <c r="H202" t="str">
        <f>Wetseason!L128</f>
        <v>G898</v>
      </c>
      <c r="I202" t="str">
        <f>Wetseason!L348</f>
        <v>R506</v>
      </c>
      <c r="J202">
        <f>IFERROR(INDEX('Green_rooibos initial weight'!$C$5:$C$2000,MATCH(H202, 'Green_rooibos initial weight'!$A$5:$A$2000,0)),"")</f>
        <v>1.893</v>
      </c>
      <c r="K202">
        <f>IFERROR(INDEX('Green_rooibos initial weight'!$C$5:$C$2000,MATCH(I202, 'Green_rooibos initial weight'!$A$5:$A$2000,0)),"")</f>
        <v>2.1579999999999999</v>
      </c>
      <c r="L202" s="194">
        <f t="shared" si="11"/>
        <v>1.6432</v>
      </c>
      <c r="M202" s="194">
        <f t="shared" si="9"/>
        <v>1.9081999999999999</v>
      </c>
      <c r="N202" s="16">
        <f>IF('WetLitterbags placem_collection'!G129="","",'WetLitterbags placem_collection'!G129)</f>
        <v>42816</v>
      </c>
      <c r="O202" s="194">
        <f>IFERROR(INDEX('Both teabags AfterWet'!$C$3:$C$2000,MATCH(H202,'Both teabags AfterWet'!$A$3:$A$2000,0)),"")</f>
        <v>0.59099999999999997</v>
      </c>
      <c r="P202" s="194">
        <f>IFERROR(INDEX('Both teabags AfterWet'!$C$3:$C$2000,MATCH(I202,'Both teabags AfterWet'!$A$3:$A$2000,0)),"")</f>
        <v>1.4710000000000001</v>
      </c>
      <c r="Q202" s="194">
        <f t="shared" si="12"/>
        <v>0.44039999999999996</v>
      </c>
      <c r="R202" s="194">
        <f t="shared" si="12"/>
        <v>1.3204</v>
      </c>
      <c r="S202" s="194">
        <f t="shared" si="13"/>
        <v>0.73198636806231743</v>
      </c>
      <c r="T202" s="194">
        <f t="shared" si="14"/>
        <v>0.47987704889596111</v>
      </c>
      <c r="U202" s="194">
        <f t="shared" si="15"/>
        <v>0.69196101037627089</v>
      </c>
      <c r="V202">
        <f t="shared" si="10"/>
        <v>54</v>
      </c>
      <c r="W202" s="194">
        <f t="shared" si="16"/>
        <v>0.1306575201160125</v>
      </c>
      <c r="X202" s="194">
        <f t="shared" si="17"/>
        <v>1.9018100101983421E-2</v>
      </c>
      <c r="Y202" s="245" t="str">
        <f>IF(ISNUMBER(SEARCH("C",'WetLitterbags placem_collection'!$X129)),"YES","NO")</f>
        <v>NO</v>
      </c>
      <c r="Z202" s="245" t="str">
        <f>IF(ISNUMBER(SEARCH("H", 'WetLitterbags placem_collection'!$X129)),"YES","NO")</f>
        <v>NO</v>
      </c>
      <c r="AA202" s="245" t="str">
        <f>IF(ISNUMBER(SEARCH("R", 'WetLitterbags placem_collection'!$X129)),"YES","NO")</f>
        <v>YES</v>
      </c>
      <c r="AB202" s="245" t="str">
        <f>IF(ISNUMBER(SEARCH("C", 'WetLitterbags placem_collection'!$V129)),"YES","NO")</f>
        <v>NO</v>
      </c>
      <c r="AC202" s="245" t="str">
        <f>IF(ISNUMBER(SEARCH("H", 'WetLitterbags placem_collection'!$V129)),"YES","NO")</f>
        <v>YES</v>
      </c>
      <c r="AD202" s="245" t="str">
        <f>IF(ISNUMBER(SEARCH("R", 'WetLitterbags placem_collection'!$V129)),"YES","NO")</f>
        <v>YES</v>
      </c>
    </row>
    <row r="203" spans="2:30">
      <c r="B203" t="str">
        <f>Wetseason!B129</f>
        <v>Wet</v>
      </c>
      <c r="C203" s="253">
        <f>Wetseason!C129</f>
        <v>128</v>
      </c>
      <c r="D203" t="s">
        <v>3120</v>
      </c>
      <c r="E203" t="s">
        <v>22</v>
      </c>
      <c r="F203" s="375">
        <v>8</v>
      </c>
      <c r="G203" s="16">
        <f>'WetLitterbags placem_collection'!E130</f>
        <v>42762</v>
      </c>
      <c r="H203" t="str">
        <f>Wetseason!L129</f>
        <v>G834</v>
      </c>
      <c r="I203" t="str">
        <f>Wetseason!L349</f>
        <v>R554</v>
      </c>
      <c r="J203">
        <f>IFERROR(INDEX('Green_rooibos initial weight'!$C$5:$C$2000,MATCH(H203, 'Green_rooibos initial weight'!$A$5:$A$2000,0)),"")</f>
        <v>1.956</v>
      </c>
      <c r="K203">
        <f>IFERROR(INDEX('Green_rooibos initial weight'!$C$5:$C$2000,MATCH(I203, 'Green_rooibos initial weight'!$A$5:$A$2000,0)),"")</f>
        <v>2.1779999999999999</v>
      </c>
      <c r="L203" s="194">
        <f t="shared" si="11"/>
        <v>1.7061999999999999</v>
      </c>
      <c r="M203" s="194">
        <f t="shared" si="9"/>
        <v>1.9281999999999999</v>
      </c>
      <c r="N203" s="16">
        <f>IF('WetLitterbags placem_collection'!G130="","",'WetLitterbags placem_collection'!G130)</f>
        <v>42816</v>
      </c>
      <c r="O203" s="194">
        <f>IFERROR(INDEX('Both teabags AfterWet'!$C$3:$C$2000,MATCH(H203,'Both teabags AfterWet'!$A$3:$A$2000,0)),"")</f>
        <v>0.54500000000000004</v>
      </c>
      <c r="P203" s="194">
        <f>IFERROR(INDEX('Both teabags AfterWet'!$C$3:$C$2000,MATCH(I203,'Both teabags AfterWet'!$A$3:$A$2000,0)),"")</f>
        <v>2.5259999999999998</v>
      </c>
      <c r="Q203" s="194">
        <f t="shared" si="12"/>
        <v>0.39440000000000003</v>
      </c>
      <c r="R203" s="194">
        <f t="shared" si="12"/>
        <v>2.3754</v>
      </c>
      <c r="S203" s="194">
        <f t="shared" si="13"/>
        <v>0.76884304301957562</v>
      </c>
      <c r="T203" s="194">
        <f t="shared" si="14"/>
        <v>0.50403961965178834</v>
      </c>
      <c r="U203" s="194">
        <f t="shared" si="15"/>
        <v>1.2319261487397573</v>
      </c>
      <c r="V203">
        <f t="shared" si="10"/>
        <v>54</v>
      </c>
      <c r="W203" s="194">
        <f t="shared" si="16"/>
        <v>8.6884747007629826E-2</v>
      </c>
      <c r="X203" s="194">
        <f t="shared" si="17"/>
        <v>-7.0097913316243821E-3</v>
      </c>
      <c r="Y203" s="245" t="str">
        <f>IF(ISNUMBER(SEARCH("C",'WetLitterbags placem_collection'!$X130)),"YES","NO")</f>
        <v>NO</v>
      </c>
      <c r="Z203" s="245" t="str">
        <f>IF(ISNUMBER(SEARCH("H", 'WetLitterbags placem_collection'!$X130)),"YES","NO")</f>
        <v>NO</v>
      </c>
      <c r="AA203" s="245" t="str">
        <f>IF(ISNUMBER(SEARCH("R", 'WetLitterbags placem_collection'!$X130)),"YES","NO")</f>
        <v>YES</v>
      </c>
      <c r="AB203" s="245" t="str">
        <f>IF(ISNUMBER(SEARCH("C", 'WetLitterbags placem_collection'!$V130)),"YES","NO")</f>
        <v>NO</v>
      </c>
      <c r="AC203" s="245" t="str">
        <f>IF(ISNUMBER(SEARCH("H", 'WetLitterbags placem_collection'!$V130)),"YES","NO")</f>
        <v>NO</v>
      </c>
      <c r="AD203" s="245" t="str">
        <f>IF(ISNUMBER(SEARCH("R", 'WetLitterbags placem_collection'!$V130)),"YES","NO")</f>
        <v>YES</v>
      </c>
    </row>
    <row r="204" spans="2:30">
      <c r="B204" t="str">
        <f>Wetseason!B130</f>
        <v>Wet</v>
      </c>
      <c r="C204" s="253">
        <f>Wetseason!C130</f>
        <v>129</v>
      </c>
      <c r="D204" t="s">
        <v>3121</v>
      </c>
      <c r="E204" t="s">
        <v>22</v>
      </c>
      <c r="F204" s="374">
        <v>1</v>
      </c>
      <c r="G204" s="16">
        <f>'WetLitterbags placem_collection'!E131</f>
        <v>42762</v>
      </c>
      <c r="H204" t="str">
        <f>Wetseason!L130</f>
        <v>G819</v>
      </c>
      <c r="I204" t="str">
        <f>Wetseason!L350</f>
        <v>R46</v>
      </c>
      <c r="J204">
        <f>IFERROR(INDEX('Green_rooibos initial weight'!$C$5:$C$2000,MATCH(H204, 'Green_rooibos initial weight'!$A$5:$A$2000,0)),"")</f>
        <v>1.9770000000000001</v>
      </c>
      <c r="K204">
        <f>IFERROR(INDEX('Green_rooibos initial weight'!$C$5:$C$2000,MATCH(I204, 'Green_rooibos initial weight'!$A$5:$A$2000,0)),"")</f>
        <v>2.2890000000000001</v>
      </c>
      <c r="L204" s="194">
        <f t="shared" si="11"/>
        <v>1.7272000000000001</v>
      </c>
      <c r="M204" s="194">
        <f t="shared" ref="M204:M267" si="18">IF(K204&gt;0,(K204*$F$32-($F$29+$F$30)),"")</f>
        <v>2.0392000000000001</v>
      </c>
      <c r="N204" s="16">
        <f>IF('WetLitterbags placem_collection'!G131="","",'WetLitterbags placem_collection'!G131)</f>
        <v>42816</v>
      </c>
      <c r="O204" s="194">
        <f>IFERROR(INDEX('Both teabags AfterWet'!$C$3:$C$2000,MATCH(H204,'Both teabags AfterWet'!$A$3:$A$2000,0)),"")</f>
        <v>0.59719999999999995</v>
      </c>
      <c r="P204" s="194">
        <f>IFERROR(INDEX('Both teabags AfterWet'!$C$3:$C$2000,MATCH(I204,'Both teabags AfterWet'!$A$3:$A$2000,0)),"")</f>
        <v>0.48970000000000002</v>
      </c>
      <c r="Q204" s="194">
        <f t="shared" si="12"/>
        <v>0.44659999999999994</v>
      </c>
      <c r="R204" s="194">
        <f t="shared" si="12"/>
        <v>0.33910000000000001</v>
      </c>
      <c r="S204" s="194">
        <f t="shared" si="13"/>
        <v>0.74143121815655399</v>
      </c>
      <c r="T204" s="194">
        <f t="shared" si="14"/>
        <v>0.48606892211688585</v>
      </c>
      <c r="U204" s="194">
        <f t="shared" si="15"/>
        <v>0.16629070223617104</v>
      </c>
      <c r="V204">
        <f t="shared" ref="V204:V267" si="19">IFERROR(IF((N204-G204)&gt;0,(IFERROR(N204-G204,"")),""),"")</f>
        <v>54</v>
      </c>
      <c r="W204" s="194">
        <f t="shared" si="16"/>
        <v>0.11944035848390255</v>
      </c>
      <c r="X204" s="194" t="str">
        <f t="shared" si="17"/>
        <v/>
      </c>
      <c r="Y204" s="245" t="str">
        <f>IF(ISNUMBER(SEARCH("C",'WetLitterbags placem_collection'!$X131)),"YES","NO")</f>
        <v>NO</v>
      </c>
      <c r="Z204" s="245" t="str">
        <f>IF(ISNUMBER(SEARCH("H", 'WetLitterbags placem_collection'!$X131)),"YES","NO")</f>
        <v>NO</v>
      </c>
      <c r="AA204" s="245" t="str">
        <f>IF(ISNUMBER(SEARCH("R", 'WetLitterbags placem_collection'!$X131)),"YES","NO")</f>
        <v>YES</v>
      </c>
      <c r="AB204" s="245" t="str">
        <f>IF(ISNUMBER(SEARCH("C", 'WetLitterbags placem_collection'!$V131)),"YES","NO")</f>
        <v>NO</v>
      </c>
      <c r="AC204" s="245" t="str">
        <f>IF(ISNUMBER(SEARCH("H", 'WetLitterbags placem_collection'!$V131)),"YES","NO")</f>
        <v>NO</v>
      </c>
      <c r="AD204" s="245" t="str">
        <f>IF(ISNUMBER(SEARCH("R", 'WetLitterbags placem_collection'!$V131)),"YES","NO")</f>
        <v>NO</v>
      </c>
    </row>
    <row r="205" spans="2:30">
      <c r="B205" t="str">
        <f>Wetseason!B131</f>
        <v>Wet</v>
      </c>
      <c r="C205" s="253">
        <f>Wetseason!C131</f>
        <v>130</v>
      </c>
      <c r="D205" t="s">
        <v>3121</v>
      </c>
      <c r="E205" t="s">
        <v>22</v>
      </c>
      <c r="F205" s="374">
        <v>2</v>
      </c>
      <c r="G205" s="16">
        <f>'WetLitterbags placem_collection'!E132</f>
        <v>42762</v>
      </c>
      <c r="H205" t="str">
        <f>Wetseason!L131</f>
        <v>G830</v>
      </c>
      <c r="I205" t="str">
        <f>Wetseason!L351</f>
        <v>R585</v>
      </c>
      <c r="J205">
        <f>IFERROR(INDEX('Green_rooibos initial weight'!$C$5:$C$2000,MATCH(H205, 'Green_rooibos initial weight'!$A$5:$A$2000,0)),"")</f>
        <v>1.8939999999999999</v>
      </c>
      <c r="K205">
        <f>IFERROR(INDEX('Green_rooibos initial weight'!$C$5:$C$2000,MATCH(I205, 'Green_rooibos initial weight'!$A$5:$A$2000,0)),"")</f>
        <v>2.17</v>
      </c>
      <c r="L205" s="194">
        <f t="shared" ref="L205:L268" si="20">IF(J205&gt;0,(J205*$F$31-($F$29+$F$30)),"")</f>
        <v>1.6441999999999999</v>
      </c>
      <c r="M205" s="194">
        <f t="shared" si="18"/>
        <v>1.9201999999999999</v>
      </c>
      <c r="N205" s="16">
        <f>IF('WetLitterbags placem_collection'!G132="","",'WetLitterbags placem_collection'!G132)</f>
        <v>42816</v>
      </c>
      <c r="O205" s="194">
        <f>IFERROR(INDEX('Both teabags AfterWet'!$C$3:$C$2000,MATCH(H205,'Both teabags AfterWet'!$A$3:$A$2000,0)),"")</f>
        <v>0.54</v>
      </c>
      <c r="P205" s="194">
        <f>IFERROR(INDEX('Both teabags AfterWet'!$C$3:$C$2000,MATCH(I205,'Both teabags AfterWet'!$A$3:$A$2000,0)),"")</f>
        <v>1.6379999999999999</v>
      </c>
      <c r="Q205" s="194">
        <f t="shared" ref="Q205:R268" si="21">IFERROR(IF(O205&gt;0,O205-($F$29),""),"")</f>
        <v>0.38940000000000002</v>
      </c>
      <c r="R205" s="194">
        <f t="shared" si="21"/>
        <v>1.4873999999999998</v>
      </c>
      <c r="S205" s="194">
        <f t="shared" ref="S205:S268" si="22">IFERROR(1-Q205/L205,"")</f>
        <v>0.76316749787130522</v>
      </c>
      <c r="T205" s="194">
        <f t="shared" ref="T205:T268" si="23">IFERROR($F$26*(1-W205),"")</f>
        <v>0.50031883470897931</v>
      </c>
      <c r="U205" s="194">
        <f t="shared" ref="U205:U268" si="24">IFERROR(R205/M205,"")</f>
        <v>0.77460681179043844</v>
      </c>
      <c r="V205">
        <f t="shared" si="19"/>
        <v>54</v>
      </c>
      <c r="W205" s="194">
        <f t="shared" ref="W205:W268" si="25">IFERROR(1-(S205/$F$25),"")</f>
        <v>9.3625299440254994E-2</v>
      </c>
      <c r="X205" s="194">
        <f t="shared" ref="X205:X268" si="26">IFERROR(LN(T205/(U205-(1-T205)))/V205,"")</f>
        <v>1.1087868145793659E-2</v>
      </c>
      <c r="Y205" s="245" t="str">
        <f>IF(ISNUMBER(SEARCH("C",'WetLitterbags placem_collection'!$X132)),"YES","NO")</f>
        <v>NO</v>
      </c>
      <c r="Z205" s="245" t="str">
        <f>IF(ISNUMBER(SEARCH("H", 'WetLitterbags placem_collection'!$X132)),"YES","NO")</f>
        <v>NO</v>
      </c>
      <c r="AA205" s="245" t="str">
        <f>IF(ISNUMBER(SEARCH("R", 'WetLitterbags placem_collection'!$X132)),"YES","NO")</f>
        <v>NO</v>
      </c>
      <c r="AB205" s="245" t="str">
        <f>IF(ISNUMBER(SEARCH("C", 'WetLitterbags placem_collection'!$V132)),"YES","NO")</f>
        <v>NO</v>
      </c>
      <c r="AC205" s="245" t="str">
        <f>IF(ISNUMBER(SEARCH("H", 'WetLitterbags placem_collection'!$V132)),"YES","NO")</f>
        <v>NO</v>
      </c>
      <c r="AD205" s="245" t="str">
        <f>IF(ISNUMBER(SEARCH("R", 'WetLitterbags placem_collection'!$V132)),"YES","NO")</f>
        <v>YES</v>
      </c>
    </row>
    <row r="206" spans="2:30">
      <c r="B206" t="str">
        <f>Wetseason!B132</f>
        <v>Wet</v>
      </c>
      <c r="C206" s="253">
        <f>Wetseason!C132</f>
        <v>131</v>
      </c>
      <c r="D206" t="s">
        <v>3121</v>
      </c>
      <c r="E206" t="s">
        <v>22</v>
      </c>
      <c r="F206" s="374">
        <v>3</v>
      </c>
      <c r="G206" s="16">
        <f>'WetLitterbags placem_collection'!E133</f>
        <v>42762</v>
      </c>
      <c r="H206" t="str">
        <f>Wetseason!L132</f>
        <v>G746</v>
      </c>
      <c r="I206" t="str">
        <f>Wetseason!L352</f>
        <v>R476</v>
      </c>
      <c r="J206">
        <f>IFERROR(INDEX('Green_rooibos initial weight'!$C$5:$C$2000,MATCH(H206, 'Green_rooibos initial weight'!$A$5:$A$2000,0)),"")</f>
        <v>2.198</v>
      </c>
      <c r="K206">
        <f>IFERROR(INDEX('Green_rooibos initial weight'!$C$5:$C$2000,MATCH(I206, 'Green_rooibos initial weight'!$A$5:$A$2000,0)),"")</f>
        <v>2.2429999999999999</v>
      </c>
      <c r="L206" s="194">
        <f t="shared" si="20"/>
        <v>1.9481999999999999</v>
      </c>
      <c r="M206" s="194">
        <f t="shared" si="18"/>
        <v>1.9931999999999999</v>
      </c>
      <c r="N206" s="16">
        <f>IF('WetLitterbags placem_collection'!G133="","",'WetLitterbags placem_collection'!G133)</f>
        <v>42816</v>
      </c>
      <c r="O206" s="194">
        <f>IFERROR(INDEX('Both teabags AfterWet'!$C$3:$C$2000,MATCH(H206,'Both teabags AfterWet'!$A$3:$A$2000,0)),"")</f>
        <v>0.6613</v>
      </c>
      <c r="P206" s="194">
        <f>IFERROR(INDEX('Both teabags AfterWet'!$C$3:$C$2000,MATCH(I206,'Both teabags AfterWet'!$A$3:$A$2000,0)),"")</f>
        <v>0.64019999999999999</v>
      </c>
      <c r="Q206" s="194">
        <f t="shared" si="21"/>
        <v>0.51069999999999993</v>
      </c>
      <c r="R206" s="194">
        <f t="shared" si="21"/>
        <v>0.48959999999999998</v>
      </c>
      <c r="S206" s="194">
        <f t="shared" si="22"/>
        <v>0.7378605892618828</v>
      </c>
      <c r="T206" s="194">
        <f t="shared" si="23"/>
        <v>0.4837280822714482</v>
      </c>
      <c r="U206" s="194">
        <f t="shared" si="24"/>
        <v>0.24563515954244433</v>
      </c>
      <c r="V206">
        <f t="shared" si="19"/>
        <v>54</v>
      </c>
      <c r="W206" s="194">
        <f t="shared" si="25"/>
        <v>0.12368101037781132</v>
      </c>
      <c r="X206" s="194" t="str">
        <f t="shared" si="26"/>
        <v/>
      </c>
      <c r="Y206" s="245" t="str">
        <f>IF(ISNUMBER(SEARCH("C",'WetLitterbags placem_collection'!$X133)),"YES","NO")</f>
        <v>NO</v>
      </c>
      <c r="Z206" s="245" t="str">
        <f>IF(ISNUMBER(SEARCH("H", 'WetLitterbags placem_collection'!$X133)),"YES","NO")</f>
        <v>NO</v>
      </c>
      <c r="AA206" s="245" t="str">
        <f>IF(ISNUMBER(SEARCH("R", 'WetLitterbags placem_collection'!$X133)),"YES","NO")</f>
        <v>NO</v>
      </c>
      <c r="AB206" s="245" t="str">
        <f>IF(ISNUMBER(SEARCH("C", 'WetLitterbags placem_collection'!$V133)),"YES","NO")</f>
        <v>NO</v>
      </c>
      <c r="AC206" s="245" t="str">
        <f>IF(ISNUMBER(SEARCH("H", 'WetLitterbags placem_collection'!$V133)),"YES","NO")</f>
        <v>YES</v>
      </c>
      <c r="AD206" s="245" t="str">
        <f>IF(ISNUMBER(SEARCH("R", 'WetLitterbags placem_collection'!$V133)),"YES","NO")</f>
        <v>NO</v>
      </c>
    </row>
    <row r="207" spans="2:30">
      <c r="B207" t="str">
        <f>Wetseason!B133</f>
        <v>Wet</v>
      </c>
      <c r="C207" s="253">
        <f>Wetseason!C133</f>
        <v>132</v>
      </c>
      <c r="D207" t="s">
        <v>3121</v>
      </c>
      <c r="E207" t="s">
        <v>22</v>
      </c>
      <c r="F207" s="375">
        <v>4</v>
      </c>
      <c r="G207" s="16">
        <f>'WetLitterbags placem_collection'!E134</f>
        <v>42762</v>
      </c>
      <c r="H207" t="str">
        <f>Wetseason!L133</f>
        <v>G725</v>
      </c>
      <c r="I207" t="str">
        <f>Wetseason!L353</f>
        <v>R536</v>
      </c>
      <c r="J207">
        <f>IFERROR(INDEX('Green_rooibos initial weight'!$C$5:$C$2000,MATCH(H207, 'Green_rooibos initial weight'!$A$5:$A$2000,0)),"")</f>
        <v>2.0270000000000001</v>
      </c>
      <c r="K207">
        <f>IFERROR(INDEX('Green_rooibos initial weight'!$C$5:$C$2000,MATCH(I207, 'Green_rooibos initial weight'!$A$5:$A$2000,0)),"")</f>
        <v>2.1970000000000001</v>
      </c>
      <c r="L207" s="194">
        <f t="shared" si="20"/>
        <v>1.7772000000000001</v>
      </c>
      <c r="M207" s="194">
        <f t="shared" si="18"/>
        <v>1.9472</v>
      </c>
      <c r="N207" s="16">
        <f>IF('WetLitterbags placem_collection'!G134="","",'WetLitterbags placem_collection'!G134)</f>
        <v>42816</v>
      </c>
      <c r="O207" s="194">
        <f>IFERROR(INDEX('Both teabags AfterWet'!$C$3:$C$2000,MATCH(H207,'Both teabags AfterWet'!$A$3:$A$2000,0)),"")</f>
        <v>0.56820000000000004</v>
      </c>
      <c r="P207" s="194">
        <f>IFERROR(INDEX('Both teabags AfterWet'!$C$3:$C$2000,MATCH(I207,'Both teabags AfterWet'!$A$3:$A$2000,0)),"")</f>
        <v>1.593</v>
      </c>
      <c r="Q207" s="194">
        <f t="shared" si="21"/>
        <v>0.41760000000000003</v>
      </c>
      <c r="R207" s="194">
        <f t="shared" si="21"/>
        <v>1.4423999999999999</v>
      </c>
      <c r="S207" s="194">
        <f t="shared" si="22"/>
        <v>0.76502363268062124</v>
      </c>
      <c r="T207" s="194">
        <f t="shared" si="23"/>
        <v>0.50153568318254504</v>
      </c>
      <c r="U207" s="194">
        <f t="shared" si="24"/>
        <v>0.74075595727198018</v>
      </c>
      <c r="V207">
        <f t="shared" si="19"/>
        <v>54</v>
      </c>
      <c r="W207" s="194">
        <f t="shared" si="25"/>
        <v>9.142086379973724E-2</v>
      </c>
      <c r="X207" s="194">
        <f t="shared" si="26"/>
        <v>1.3472826506602713E-2</v>
      </c>
      <c r="Y207" s="245" t="str">
        <f>IF(ISNUMBER(SEARCH("C",'WetLitterbags placem_collection'!$X134)),"YES","NO")</f>
        <v>NO</v>
      </c>
      <c r="Z207" s="245" t="str">
        <f>IF(ISNUMBER(SEARCH("H", 'WetLitterbags placem_collection'!$X134)),"YES","NO")</f>
        <v>NO</v>
      </c>
      <c r="AA207" s="245" t="str">
        <f>IF(ISNUMBER(SEARCH("R", 'WetLitterbags placem_collection'!$X134)),"YES","NO")</f>
        <v>NO</v>
      </c>
      <c r="AB207" s="245" t="str">
        <f>IF(ISNUMBER(SEARCH("C", 'WetLitterbags placem_collection'!$V134)),"YES","NO")</f>
        <v>NO</v>
      </c>
      <c r="AC207" s="245" t="str">
        <f>IF(ISNUMBER(SEARCH("H", 'WetLitterbags placem_collection'!$V134)),"YES","NO")</f>
        <v>NO</v>
      </c>
      <c r="AD207" s="245" t="str">
        <f>IF(ISNUMBER(SEARCH("R", 'WetLitterbags placem_collection'!$V134)),"YES","NO")</f>
        <v>NO</v>
      </c>
    </row>
    <row r="208" spans="2:30">
      <c r="B208" t="str">
        <f>Wetseason!B134</f>
        <v>Wet</v>
      </c>
      <c r="C208" s="253">
        <f>Wetseason!C134</f>
        <v>133</v>
      </c>
      <c r="D208" t="s">
        <v>3121</v>
      </c>
      <c r="E208" t="s">
        <v>22</v>
      </c>
      <c r="F208" s="375">
        <v>5</v>
      </c>
      <c r="G208" s="16">
        <f>'WetLitterbags placem_collection'!E135</f>
        <v>42762</v>
      </c>
      <c r="H208" t="str">
        <f>Wetseason!L134</f>
        <v>G846</v>
      </c>
      <c r="I208" t="str">
        <f>Wetseason!L354</f>
        <v>R524</v>
      </c>
      <c r="J208">
        <f>IFERROR(INDEX('Green_rooibos initial weight'!$C$5:$C$2000,MATCH(H208, 'Green_rooibos initial weight'!$A$5:$A$2000,0)),"")</f>
        <v>2.0350000000000001</v>
      </c>
      <c r="K208">
        <f>IFERROR(INDEX('Green_rooibos initial weight'!$C$5:$C$2000,MATCH(I208, 'Green_rooibos initial weight'!$A$5:$A$2000,0)),"")</f>
        <v>2.1080000000000001</v>
      </c>
      <c r="L208" s="194">
        <f t="shared" si="20"/>
        <v>1.7852000000000001</v>
      </c>
      <c r="M208" s="194">
        <f t="shared" si="18"/>
        <v>1.8582000000000001</v>
      </c>
      <c r="N208" s="16">
        <f>IF('WetLitterbags placem_collection'!G135="","",'WetLitterbags placem_collection'!G135)</f>
        <v>42816</v>
      </c>
      <c r="O208" s="194">
        <f>IFERROR(INDEX('Both teabags AfterWet'!$C$3:$C$2000,MATCH(H208,'Both teabags AfterWet'!$A$3:$A$2000,0)),"")</f>
        <v>0.59309999999999996</v>
      </c>
      <c r="P208" s="194">
        <f>IFERROR(INDEX('Both teabags AfterWet'!$C$3:$C$2000,MATCH(I208,'Both teabags AfterWet'!$A$3:$A$2000,0)),"")</f>
        <v>1.5687</v>
      </c>
      <c r="Q208" s="194">
        <f t="shared" si="21"/>
        <v>0.44249999999999995</v>
      </c>
      <c r="R208" s="194">
        <f t="shared" si="21"/>
        <v>1.4180999999999999</v>
      </c>
      <c r="S208" s="194">
        <f t="shared" si="22"/>
        <v>0.75212861304055578</v>
      </c>
      <c r="T208" s="194">
        <f t="shared" si="23"/>
        <v>0.49308194109072068</v>
      </c>
      <c r="U208" s="194">
        <f t="shared" si="24"/>
        <v>0.76315789473684204</v>
      </c>
      <c r="V208">
        <f t="shared" si="19"/>
        <v>54</v>
      </c>
      <c r="W208" s="194">
        <f t="shared" si="25"/>
        <v>0.10673561396608577</v>
      </c>
      <c r="X208" s="194">
        <f t="shared" si="26"/>
        <v>1.2121509346994163E-2</v>
      </c>
      <c r="Y208" s="245" t="str">
        <f>IF(ISNUMBER(SEARCH("C",'WetLitterbags placem_collection'!$X135)),"YES","NO")</f>
        <v>NO</v>
      </c>
      <c r="Z208" s="245" t="str">
        <f>IF(ISNUMBER(SEARCH("H", 'WetLitterbags placem_collection'!$X135)),"YES","NO")</f>
        <v>NO</v>
      </c>
      <c r="AA208" s="245" t="str">
        <f>IF(ISNUMBER(SEARCH("R", 'WetLitterbags placem_collection'!$X135)),"YES","NO")</f>
        <v>NO</v>
      </c>
      <c r="AB208" s="245" t="str">
        <f>IF(ISNUMBER(SEARCH("C", 'WetLitterbags placem_collection'!$V135)),"YES","NO")</f>
        <v>NO</v>
      </c>
      <c r="AC208" s="245" t="str">
        <f>IF(ISNUMBER(SEARCH("H", 'WetLitterbags placem_collection'!$V135)),"YES","NO")</f>
        <v>NO</v>
      </c>
      <c r="AD208" s="245" t="str">
        <f>IF(ISNUMBER(SEARCH("R", 'WetLitterbags placem_collection'!$V135)),"YES","NO")</f>
        <v>NO</v>
      </c>
    </row>
    <row r="209" spans="2:30">
      <c r="B209" t="str">
        <f>Wetseason!B135</f>
        <v>Wet</v>
      </c>
      <c r="C209" s="253">
        <f>Wetseason!C135</f>
        <v>134</v>
      </c>
      <c r="D209" t="s">
        <v>3121</v>
      </c>
      <c r="E209" t="s">
        <v>22</v>
      </c>
      <c r="F209" s="375">
        <v>6</v>
      </c>
      <c r="G209" s="16">
        <f>'WetLitterbags placem_collection'!E136</f>
        <v>42762</v>
      </c>
      <c r="H209" t="str">
        <f>Wetseason!L135</f>
        <v>G756</v>
      </c>
      <c r="I209" t="str">
        <f>Wetseason!L355</f>
        <v>R600</v>
      </c>
      <c r="J209">
        <f>IFERROR(INDEX('Green_rooibos initial weight'!$C$5:$C$2000,MATCH(H209, 'Green_rooibos initial weight'!$A$5:$A$2000,0)),"")</f>
        <v>2.1459999999999999</v>
      </c>
      <c r="K209">
        <f>IFERROR(INDEX('Green_rooibos initial weight'!$C$5:$C$2000,MATCH(I209, 'Green_rooibos initial weight'!$A$5:$A$2000,0)),"")</f>
        <v>2.2440000000000002</v>
      </c>
      <c r="L209" s="194">
        <f t="shared" si="20"/>
        <v>1.8961999999999999</v>
      </c>
      <c r="M209" s="194">
        <f t="shared" si="18"/>
        <v>1.9942000000000002</v>
      </c>
      <c r="N209" s="16">
        <f>IF('WetLitterbags placem_collection'!G136="","",'WetLitterbags placem_collection'!G136)</f>
        <v>42816</v>
      </c>
      <c r="O209" s="194">
        <f>IFERROR(INDEX('Both teabags AfterWet'!$C$3:$C$2000,MATCH(H209,'Both teabags AfterWet'!$A$3:$A$2000,0)),"")</f>
        <v>0.69399999999999995</v>
      </c>
      <c r="P209" s="194">
        <f>IFERROR(INDEX('Both teabags AfterWet'!$C$3:$C$2000,MATCH(I209,'Both teabags AfterWet'!$A$3:$A$2000,0)),"")</f>
        <v>1.4419999999999999</v>
      </c>
      <c r="Q209" s="194">
        <f t="shared" si="21"/>
        <v>0.54339999999999988</v>
      </c>
      <c r="R209" s="194">
        <f t="shared" si="21"/>
        <v>1.2913999999999999</v>
      </c>
      <c r="S209" s="194">
        <f t="shared" si="22"/>
        <v>0.71342685370741488</v>
      </c>
      <c r="T209" s="194">
        <f t="shared" si="23"/>
        <v>0.46770976632600125</v>
      </c>
      <c r="U209" s="194">
        <f t="shared" si="24"/>
        <v>0.64757797613077916</v>
      </c>
      <c r="V209">
        <f t="shared" si="19"/>
        <v>54</v>
      </c>
      <c r="W209" s="194">
        <f t="shared" si="25"/>
        <v>0.15269969868478039</v>
      </c>
      <c r="X209" s="194">
        <f t="shared" si="26"/>
        <v>2.5933645083252174E-2</v>
      </c>
      <c r="Y209" s="245" t="str">
        <f>IF(ISNUMBER(SEARCH("C",'WetLitterbags placem_collection'!$X136)),"YES","NO")</f>
        <v>NO</v>
      </c>
      <c r="Z209" s="245" t="str">
        <f>IF(ISNUMBER(SEARCH("H", 'WetLitterbags placem_collection'!$X136)),"YES","NO")</f>
        <v>NO</v>
      </c>
      <c r="AA209" s="245" t="str">
        <f>IF(ISNUMBER(SEARCH("R", 'WetLitterbags placem_collection'!$X136)),"YES","NO")</f>
        <v>NO</v>
      </c>
      <c r="AB209" s="245" t="str">
        <f>IF(ISNUMBER(SEARCH("C", 'WetLitterbags placem_collection'!$V136)),"YES","NO")</f>
        <v>NO</v>
      </c>
      <c r="AC209" s="245" t="str">
        <f>IF(ISNUMBER(SEARCH("H", 'WetLitterbags placem_collection'!$V136)),"YES","NO")</f>
        <v>NO</v>
      </c>
      <c r="AD209" s="245" t="str">
        <f>IF(ISNUMBER(SEARCH("R", 'WetLitterbags placem_collection'!$V136)),"YES","NO")</f>
        <v>YES</v>
      </c>
    </row>
    <row r="210" spans="2:30">
      <c r="B210" t="str">
        <f>Wetseason!B136</f>
        <v>Wet</v>
      </c>
      <c r="C210" s="253">
        <f>Wetseason!C136</f>
        <v>135</v>
      </c>
      <c r="D210" t="s">
        <v>3121</v>
      </c>
      <c r="E210" t="s">
        <v>22</v>
      </c>
      <c r="F210" s="375">
        <v>7</v>
      </c>
      <c r="G210" s="16">
        <f>'WetLitterbags placem_collection'!E137</f>
        <v>42762</v>
      </c>
      <c r="H210" t="str">
        <f>Wetseason!L136</f>
        <v>G745</v>
      </c>
      <c r="I210" t="str">
        <f>Wetseason!L356</f>
        <v>R432</v>
      </c>
      <c r="J210">
        <f>IFERROR(INDEX('Green_rooibos initial weight'!$C$5:$C$2000,MATCH(H210, 'Green_rooibos initial weight'!$A$5:$A$2000,0)),"")</f>
        <v>1.9570000000000001</v>
      </c>
      <c r="K210">
        <f>IFERROR(INDEX('Green_rooibos initial weight'!$C$5:$C$2000,MATCH(I210, 'Green_rooibos initial weight'!$A$5:$A$2000,0)),"")</f>
        <v>2.2240000000000002</v>
      </c>
      <c r="L210" s="194">
        <f t="shared" si="20"/>
        <v>1.7072000000000001</v>
      </c>
      <c r="M210" s="194">
        <f t="shared" si="18"/>
        <v>1.9742000000000002</v>
      </c>
      <c r="N210" s="16">
        <f>IF('WetLitterbags placem_collection'!G137="","",'WetLitterbags placem_collection'!G137)</f>
        <v>42816</v>
      </c>
      <c r="O210" s="194">
        <f>IFERROR(INDEX('Both teabags AfterWet'!$C$3:$C$2000,MATCH(H210,'Both teabags AfterWet'!$A$3:$A$2000,0)),"")</f>
        <v>0.61099999999999999</v>
      </c>
      <c r="P210" s="194">
        <f>IFERROR(INDEX('Both teabags AfterWet'!$C$3:$C$2000,MATCH(I210,'Both teabags AfterWet'!$A$3:$A$2000,0)),"")</f>
        <v>1.6830000000000001</v>
      </c>
      <c r="Q210" s="194">
        <f t="shared" si="21"/>
        <v>0.46039999999999998</v>
      </c>
      <c r="R210" s="194">
        <f t="shared" si="21"/>
        <v>1.5324</v>
      </c>
      <c r="S210" s="194">
        <f t="shared" si="22"/>
        <v>0.73031865042174315</v>
      </c>
      <c r="T210" s="194">
        <f t="shared" si="23"/>
        <v>0.4787837233168673</v>
      </c>
      <c r="U210" s="194">
        <f t="shared" si="24"/>
        <v>0.77621314963022991</v>
      </c>
      <c r="V210">
        <f t="shared" si="19"/>
        <v>54</v>
      </c>
      <c r="W210" s="194">
        <f t="shared" si="25"/>
        <v>0.13263818239697955</v>
      </c>
      <c r="X210" s="194">
        <f t="shared" si="26"/>
        <v>1.1666624004294877E-2</v>
      </c>
      <c r="Y210" s="245" t="str">
        <f>IF(ISNUMBER(SEARCH("C",'WetLitterbags placem_collection'!$X137)),"YES","NO")</f>
        <v>NO</v>
      </c>
      <c r="Z210" s="245" t="str">
        <f>IF(ISNUMBER(SEARCH("H", 'WetLitterbags placem_collection'!$X137)),"YES","NO")</f>
        <v>NO</v>
      </c>
      <c r="AA210" s="245" t="str">
        <f>IF(ISNUMBER(SEARCH("R", 'WetLitterbags placem_collection'!$X137)),"YES","NO")</f>
        <v>NO</v>
      </c>
      <c r="AB210" s="245" t="str">
        <f>IF(ISNUMBER(SEARCH("C", 'WetLitterbags placem_collection'!$V137)),"YES","NO")</f>
        <v>NO</v>
      </c>
      <c r="AC210" s="245" t="str">
        <f>IF(ISNUMBER(SEARCH("H", 'WetLitterbags placem_collection'!$V137)),"YES","NO")</f>
        <v>NO</v>
      </c>
      <c r="AD210" s="245" t="str">
        <f>IF(ISNUMBER(SEARCH("R", 'WetLitterbags placem_collection'!$V137)),"YES","NO")</f>
        <v>YES</v>
      </c>
    </row>
    <row r="211" spans="2:30">
      <c r="B211" t="str">
        <f>Wetseason!B137</f>
        <v>Wet</v>
      </c>
      <c r="C211" s="253">
        <f>Wetseason!C137</f>
        <v>136</v>
      </c>
      <c r="D211" t="s">
        <v>3121</v>
      </c>
      <c r="E211" t="s">
        <v>22</v>
      </c>
      <c r="F211" s="375">
        <v>8</v>
      </c>
      <c r="G211" s="16">
        <f>'WetLitterbags placem_collection'!E138</f>
        <v>42762</v>
      </c>
      <c r="H211" t="str">
        <f>Wetseason!L137</f>
        <v>G832</v>
      </c>
      <c r="I211" t="str">
        <f>Wetseason!L357</f>
        <v>R474</v>
      </c>
      <c r="J211">
        <f>IFERROR(INDEX('Green_rooibos initial weight'!$C$5:$C$2000,MATCH(H211, 'Green_rooibos initial weight'!$A$5:$A$2000,0)),"")</f>
        <v>2.0470000000000002</v>
      </c>
      <c r="K211">
        <f>IFERROR(INDEX('Green_rooibos initial weight'!$C$5:$C$2000,MATCH(I211, 'Green_rooibos initial weight'!$A$5:$A$2000,0)),"")</f>
        <v>2.258</v>
      </c>
      <c r="L211" s="194">
        <f t="shared" si="20"/>
        <v>1.7972000000000001</v>
      </c>
      <c r="M211" s="194">
        <f t="shared" si="18"/>
        <v>2.0082</v>
      </c>
      <c r="N211" s="16">
        <f>IF('WetLitterbags placem_collection'!G138="","",'WetLitterbags placem_collection'!G138)</f>
        <v>42816</v>
      </c>
      <c r="O211" s="194">
        <f>IFERROR(INDEX('Both teabags AfterWet'!$C$3:$C$2000,MATCH(H211,'Both teabags AfterWet'!$A$3:$A$2000,0)),"")</f>
        <v>0.5796</v>
      </c>
      <c r="P211" s="194">
        <f>IFERROR(INDEX('Both teabags AfterWet'!$C$3:$C$2000,MATCH(I211,'Both teabags AfterWet'!$A$3:$A$2000,0)),"")</f>
        <v>1.5827</v>
      </c>
      <c r="Q211" s="194">
        <f t="shared" si="21"/>
        <v>0.42899999999999999</v>
      </c>
      <c r="R211" s="194">
        <f t="shared" si="21"/>
        <v>1.4320999999999999</v>
      </c>
      <c r="S211" s="194">
        <f t="shared" si="22"/>
        <v>0.76129534831960832</v>
      </c>
      <c r="T211" s="194">
        <f t="shared" si="23"/>
        <v>0.49909148725941072</v>
      </c>
      <c r="U211" s="194">
        <f t="shared" si="24"/>
        <v>0.71312618265113037</v>
      </c>
      <c r="V211">
        <f t="shared" si="19"/>
        <v>54</v>
      </c>
      <c r="W211" s="194">
        <f t="shared" si="25"/>
        <v>9.5848754964835692E-2</v>
      </c>
      <c r="X211" s="194">
        <f t="shared" si="26"/>
        <v>1.5836609765865289E-2</v>
      </c>
      <c r="Y211" s="245" t="str">
        <f>IF(ISNUMBER(SEARCH("C",'WetLitterbags placem_collection'!$X138)),"YES","NO")</f>
        <v>NO</v>
      </c>
      <c r="Z211" s="245" t="str">
        <f>IF(ISNUMBER(SEARCH("H", 'WetLitterbags placem_collection'!$X138)),"YES","NO")</f>
        <v>NO</v>
      </c>
      <c r="AA211" s="245" t="str">
        <f>IF(ISNUMBER(SEARCH("R", 'WetLitterbags placem_collection'!$X138)),"YES","NO")</f>
        <v>YES</v>
      </c>
      <c r="AB211" s="245" t="str">
        <f>IF(ISNUMBER(SEARCH("C", 'WetLitterbags placem_collection'!$V138)),"YES","NO")</f>
        <v>NO</v>
      </c>
      <c r="AC211" s="245" t="str">
        <f>IF(ISNUMBER(SEARCH("H", 'WetLitterbags placem_collection'!$V138)),"YES","NO")</f>
        <v>NO</v>
      </c>
      <c r="AD211" s="245" t="str">
        <f>IF(ISNUMBER(SEARCH("R", 'WetLitterbags placem_collection'!$V138)),"YES","NO")</f>
        <v>YES</v>
      </c>
    </row>
    <row r="212" spans="2:30">
      <c r="B212" t="str">
        <f>Wetseason!B138</f>
        <v>Wet</v>
      </c>
      <c r="C212" s="253">
        <f>Wetseason!C138</f>
        <v>137</v>
      </c>
      <c r="D212" t="s">
        <v>3123</v>
      </c>
      <c r="E212" t="s">
        <v>22</v>
      </c>
      <c r="F212" s="374">
        <v>1</v>
      </c>
      <c r="G212" s="16">
        <f>'WetLitterbags placem_collection'!E139</f>
        <v>42762</v>
      </c>
      <c r="H212" t="str">
        <f>Wetseason!L138</f>
        <v>G805</v>
      </c>
      <c r="I212" t="str">
        <f>Wetseason!L358</f>
        <v>R34</v>
      </c>
      <c r="J212">
        <f>IFERROR(INDEX('Green_rooibos initial weight'!$C$5:$C$2000,MATCH(H212, 'Green_rooibos initial weight'!$A$5:$A$2000,0)),"")</f>
        <v>1.9810000000000001</v>
      </c>
      <c r="K212">
        <f>IFERROR(INDEX('Green_rooibos initial weight'!$C$5:$C$2000,MATCH(I212, 'Green_rooibos initial weight'!$A$5:$A$2000,0)),"")</f>
        <v>2.1349999999999998</v>
      </c>
      <c r="L212" s="194">
        <f t="shared" si="20"/>
        <v>1.7312000000000001</v>
      </c>
      <c r="M212" s="194">
        <f t="shared" si="18"/>
        <v>1.8851999999999998</v>
      </c>
      <c r="N212" s="16">
        <f>IF('WetLitterbags placem_collection'!G139="","",'WetLitterbags placem_collection'!G139)</f>
        <v>42816</v>
      </c>
      <c r="O212" s="194">
        <f>IFERROR(INDEX('Both teabags AfterWet'!$C$3:$C$2000,MATCH(H212,'Both teabags AfterWet'!$A$3:$A$2000,0)),"")</f>
        <v>1.5740000000000001</v>
      </c>
      <c r="P212" s="194">
        <f>IFERROR(INDEX('Both teabags AfterWet'!$C$3:$C$2000,MATCH(I212,'Both teabags AfterWet'!$A$3:$A$2000,0)),"")</f>
        <v>1.571</v>
      </c>
      <c r="Q212" s="194">
        <f t="shared" si="21"/>
        <v>1.4234</v>
      </c>
      <c r="R212" s="194">
        <f t="shared" si="21"/>
        <v>1.4203999999999999</v>
      </c>
      <c r="S212" s="194">
        <f t="shared" si="22"/>
        <v>0.17779574861367842</v>
      </c>
      <c r="T212" s="194">
        <f t="shared" si="23"/>
        <v>0.11655968317666331</v>
      </c>
      <c r="U212" s="194">
        <f t="shared" si="24"/>
        <v>0.75344791003607048</v>
      </c>
      <c r="V212">
        <f t="shared" si="19"/>
        <v>54</v>
      </c>
      <c r="W212" s="194">
        <f t="shared" si="25"/>
        <v>0.78884115366546503</v>
      </c>
      <c r="X212" s="194" t="str">
        <f t="shared" si="26"/>
        <v/>
      </c>
      <c r="Y212" s="245" t="str">
        <f>IF(ISNUMBER(SEARCH("C",'WetLitterbags placem_collection'!$X139)),"YES","NO")</f>
        <v>NO</v>
      </c>
      <c r="Z212" s="245" t="str">
        <f>IF(ISNUMBER(SEARCH("H", 'WetLitterbags placem_collection'!$X139)),"YES","NO")</f>
        <v>NO</v>
      </c>
      <c r="AA212" s="245" t="str">
        <f>IF(ISNUMBER(SEARCH("R", 'WetLitterbags placem_collection'!$X139)),"YES","NO")</f>
        <v>NO</v>
      </c>
      <c r="AB212" s="245" t="str">
        <f>IF(ISNUMBER(SEARCH("C", 'WetLitterbags placem_collection'!$V139)),"YES","NO")</f>
        <v>NO</v>
      </c>
      <c r="AC212" s="245" t="str">
        <f>IF(ISNUMBER(SEARCH("H", 'WetLitterbags placem_collection'!$V139)),"YES","NO")</f>
        <v>NO</v>
      </c>
      <c r="AD212" s="245" t="str">
        <f>IF(ISNUMBER(SEARCH("R", 'WetLitterbags placem_collection'!$V139)),"YES","NO")</f>
        <v>YES</v>
      </c>
    </row>
    <row r="213" spans="2:30">
      <c r="B213" t="str">
        <f>Wetseason!B139</f>
        <v>Wet</v>
      </c>
      <c r="C213" s="253">
        <f>Wetseason!C139</f>
        <v>138</v>
      </c>
      <c r="D213" t="s">
        <v>3123</v>
      </c>
      <c r="E213" t="s">
        <v>22</v>
      </c>
      <c r="F213" s="374">
        <v>2</v>
      </c>
      <c r="G213" s="16">
        <f>'WetLitterbags placem_collection'!E140</f>
        <v>42762</v>
      </c>
      <c r="H213" t="str">
        <f>Wetseason!L139</f>
        <v>G815</v>
      </c>
      <c r="I213" t="str">
        <f>Wetseason!L359</f>
        <v>R426</v>
      </c>
      <c r="J213">
        <f>IFERROR(INDEX('Green_rooibos initial weight'!$C$5:$C$2000,MATCH(H213, 'Green_rooibos initial weight'!$A$5:$A$2000,0)),"")</f>
        <v>1.998</v>
      </c>
      <c r="K213">
        <f>IFERROR(INDEX('Green_rooibos initial weight'!$C$5:$C$2000,MATCH(I213, 'Green_rooibos initial weight'!$A$5:$A$2000,0)),"")</f>
        <v>2.153</v>
      </c>
      <c r="L213" s="194">
        <f t="shared" si="20"/>
        <v>1.7482</v>
      </c>
      <c r="M213" s="194">
        <f t="shared" si="18"/>
        <v>1.9032</v>
      </c>
      <c r="N213" s="16">
        <f>IF('WetLitterbags placem_collection'!G140="","",'WetLitterbags placem_collection'!G140)</f>
        <v>42816</v>
      </c>
      <c r="O213" s="194">
        <f>IFERROR(INDEX('Both teabags AfterWet'!$C$3:$C$2000,MATCH(H213,'Both teabags AfterWet'!$A$3:$A$2000,0)),"")</f>
        <v>0.64300000000000002</v>
      </c>
      <c r="P213" s="194">
        <f>IFERROR(INDEX('Both teabags AfterWet'!$C$3:$C$2000,MATCH(I213,'Both teabags AfterWet'!$A$3:$A$2000,0)),"")</f>
        <v>1.613</v>
      </c>
      <c r="Q213" s="194">
        <f t="shared" si="21"/>
        <v>0.4924</v>
      </c>
      <c r="R213" s="194">
        <f t="shared" si="21"/>
        <v>1.4623999999999999</v>
      </c>
      <c r="S213" s="194">
        <f t="shared" si="22"/>
        <v>0.71833886283033976</v>
      </c>
      <c r="T213" s="194">
        <f t="shared" si="23"/>
        <v>0.47092999083414205</v>
      </c>
      <c r="U213" s="194">
        <f t="shared" si="24"/>
        <v>0.76839007986548968</v>
      </c>
      <c r="V213">
        <f t="shared" si="19"/>
        <v>54</v>
      </c>
      <c r="W213" s="194">
        <f t="shared" si="25"/>
        <v>0.1468659586338007</v>
      </c>
      <c r="X213" s="194">
        <f t="shared" si="26"/>
        <v>1.2535325548331875E-2</v>
      </c>
      <c r="Y213" s="245" t="str">
        <f>IF(ISNUMBER(SEARCH("C",'WetLitterbags placem_collection'!$X140)),"YES","NO")</f>
        <v>NO</v>
      </c>
      <c r="Z213" s="245" t="str">
        <f>IF(ISNUMBER(SEARCH("H", 'WetLitterbags placem_collection'!$X140)),"YES","NO")</f>
        <v>NO</v>
      </c>
      <c r="AA213" s="245" t="str">
        <f>IF(ISNUMBER(SEARCH("R", 'WetLitterbags placem_collection'!$X140)),"YES","NO")</f>
        <v>YES</v>
      </c>
      <c r="AB213" s="245" t="str">
        <f>IF(ISNUMBER(SEARCH("C", 'WetLitterbags placem_collection'!$V140)),"YES","NO")</f>
        <v>NO</v>
      </c>
      <c r="AC213" s="245" t="str">
        <f>IF(ISNUMBER(SEARCH("H", 'WetLitterbags placem_collection'!$V140)),"YES","NO")</f>
        <v>NO</v>
      </c>
      <c r="AD213" s="245" t="str">
        <f>IF(ISNUMBER(SEARCH("R", 'WetLitterbags placem_collection'!$V140)),"YES","NO")</f>
        <v>YES</v>
      </c>
    </row>
    <row r="214" spans="2:30">
      <c r="B214" t="str">
        <f>Wetseason!B140</f>
        <v>Wet</v>
      </c>
      <c r="C214" s="253">
        <f>Wetseason!C140</f>
        <v>139</v>
      </c>
      <c r="D214" t="s">
        <v>3123</v>
      </c>
      <c r="E214" t="s">
        <v>22</v>
      </c>
      <c r="F214" s="374">
        <v>3</v>
      </c>
      <c r="G214" s="16">
        <f>'WetLitterbags placem_collection'!E141</f>
        <v>42762</v>
      </c>
      <c r="H214" t="str">
        <f>Wetseason!L140</f>
        <v>G798</v>
      </c>
      <c r="I214" t="str">
        <f>Wetseason!L360</f>
        <v>R563</v>
      </c>
      <c r="J214">
        <f>IFERROR(INDEX('Green_rooibos initial weight'!$C$5:$C$2000,MATCH(H214, 'Green_rooibos initial weight'!$A$5:$A$2000,0)),"")</f>
        <v>2.089</v>
      </c>
      <c r="K214">
        <f>IFERROR(INDEX('Green_rooibos initial weight'!$C$5:$C$2000,MATCH(I214, 'Green_rooibos initial weight'!$A$5:$A$2000,0)),"")</f>
        <v>2.1150000000000002</v>
      </c>
      <c r="L214" s="194">
        <f t="shared" si="20"/>
        <v>1.8391999999999999</v>
      </c>
      <c r="M214" s="194">
        <f t="shared" si="18"/>
        <v>1.8652000000000002</v>
      </c>
      <c r="N214" s="16">
        <f>IF('WetLitterbags placem_collection'!G141="","",'WetLitterbags placem_collection'!G141)</f>
        <v>42816</v>
      </c>
      <c r="O214" s="194">
        <f>IFERROR(INDEX('Both teabags AfterWet'!$C$3:$C$2000,MATCH(H214,'Both teabags AfterWet'!$A$3:$A$2000,0)),"")</f>
        <v>0.73499999999999999</v>
      </c>
      <c r="P214" s="194">
        <f>IFERROR(INDEX('Both teabags AfterWet'!$C$3:$C$2000,MATCH(I214,'Both teabags AfterWet'!$A$3:$A$2000,0)),"")</f>
        <v>2.5009999999999999</v>
      </c>
      <c r="Q214" s="194">
        <f t="shared" si="21"/>
        <v>0.58440000000000003</v>
      </c>
      <c r="R214" s="194">
        <f t="shared" si="21"/>
        <v>2.3504</v>
      </c>
      <c r="S214" s="194">
        <f t="shared" si="22"/>
        <v>0.68225315354501959</v>
      </c>
      <c r="T214" s="194">
        <f t="shared" si="23"/>
        <v>0.4472728512551673</v>
      </c>
      <c r="U214" s="194">
        <f t="shared" si="24"/>
        <v>1.2601329616126955</v>
      </c>
      <c r="V214">
        <f t="shared" si="19"/>
        <v>54</v>
      </c>
      <c r="W214" s="194">
        <f t="shared" si="25"/>
        <v>0.18972309555223321</v>
      </c>
      <c r="X214" s="194">
        <f t="shared" si="26"/>
        <v>-8.4895496311529327E-3</v>
      </c>
      <c r="Y214" s="245" t="str">
        <f>IF(ISNUMBER(SEARCH("C",'WetLitterbags placem_collection'!$X141)),"YES","NO")</f>
        <v>NO</v>
      </c>
      <c r="Z214" s="245" t="str">
        <f>IF(ISNUMBER(SEARCH("H", 'WetLitterbags placem_collection'!$X141)),"YES","NO")</f>
        <v>NO</v>
      </c>
      <c r="AA214" s="245" t="str">
        <f>IF(ISNUMBER(SEARCH("R", 'WetLitterbags placem_collection'!$X141)),"YES","NO")</f>
        <v>YES</v>
      </c>
      <c r="AB214" s="245" t="str">
        <f>IF(ISNUMBER(SEARCH("C", 'WetLitterbags placem_collection'!$V141)),"YES","NO")</f>
        <v>NO</v>
      </c>
      <c r="AC214" s="245" t="str">
        <f>IF(ISNUMBER(SEARCH("H", 'WetLitterbags placem_collection'!$V141)),"YES","NO")</f>
        <v>NO</v>
      </c>
      <c r="AD214" s="245" t="str">
        <f>IF(ISNUMBER(SEARCH("R", 'WetLitterbags placem_collection'!$V141)),"YES","NO")</f>
        <v>NO</v>
      </c>
    </row>
    <row r="215" spans="2:30">
      <c r="B215" t="str">
        <f>Wetseason!B141</f>
        <v>Wet</v>
      </c>
      <c r="C215" s="253">
        <f>Wetseason!C141</f>
        <v>140</v>
      </c>
      <c r="D215" t="s">
        <v>3123</v>
      </c>
      <c r="E215" t="s">
        <v>22</v>
      </c>
      <c r="F215" s="375">
        <v>4</v>
      </c>
      <c r="G215" s="16">
        <f>'WetLitterbags placem_collection'!E142</f>
        <v>42762</v>
      </c>
      <c r="H215" t="str">
        <f>Wetseason!L141</f>
        <v>G787</v>
      </c>
      <c r="I215" t="str">
        <f>Wetseason!L361</f>
        <v>R535</v>
      </c>
      <c r="J215">
        <f>IFERROR(INDEX('Green_rooibos initial weight'!$C$5:$C$2000,MATCH(H215, 'Green_rooibos initial weight'!$A$5:$A$2000,0)),"")</f>
        <v>2.11</v>
      </c>
      <c r="K215">
        <f>IFERROR(INDEX('Green_rooibos initial weight'!$C$5:$C$2000,MATCH(I215, 'Green_rooibos initial weight'!$A$5:$A$2000,0)),"")</f>
        <v>2.1259999999999999</v>
      </c>
      <c r="L215" s="194">
        <f t="shared" si="20"/>
        <v>1.8601999999999999</v>
      </c>
      <c r="M215" s="194">
        <f t="shared" si="18"/>
        <v>1.8761999999999999</v>
      </c>
      <c r="N215" s="16">
        <f>IF('WetLitterbags placem_collection'!G142="","",'WetLitterbags placem_collection'!G142)</f>
        <v>42816</v>
      </c>
      <c r="O215" s="194">
        <f>IFERROR(INDEX('Both teabags AfterWet'!$C$3:$C$2000,MATCH(H215,'Both teabags AfterWet'!$A$3:$A$2000,0)),"")</f>
        <v>0.67869999999999997</v>
      </c>
      <c r="P215" s="194">
        <f>IFERROR(INDEX('Both teabags AfterWet'!$C$3:$C$2000,MATCH(I215,'Both teabags AfterWet'!$A$3:$A$2000,0)),"")</f>
        <v>1.5517000000000001</v>
      </c>
      <c r="Q215" s="194">
        <f t="shared" si="21"/>
        <v>0.52810000000000001</v>
      </c>
      <c r="R215" s="194">
        <f t="shared" si="21"/>
        <v>1.4011</v>
      </c>
      <c r="S215" s="194">
        <f t="shared" si="22"/>
        <v>0.7161057950757983</v>
      </c>
      <c r="T215" s="194">
        <f t="shared" si="23"/>
        <v>0.46946603192617659</v>
      </c>
      <c r="U215" s="194">
        <f t="shared" si="24"/>
        <v>0.74677539707920271</v>
      </c>
      <c r="V215">
        <f t="shared" si="19"/>
        <v>54</v>
      </c>
      <c r="W215" s="194">
        <f t="shared" si="25"/>
        <v>0.1495180581047526</v>
      </c>
      <c r="X215" s="194">
        <f t="shared" si="26"/>
        <v>1.4355563633271241E-2</v>
      </c>
      <c r="Y215" s="245" t="str">
        <f>IF(ISNUMBER(SEARCH("C",'WetLitterbags placem_collection'!$X142)),"YES","NO")</f>
        <v>NO</v>
      </c>
      <c r="Z215" s="245" t="str">
        <f>IF(ISNUMBER(SEARCH("H", 'WetLitterbags placem_collection'!$X142)),"YES","NO")</f>
        <v>NO</v>
      </c>
      <c r="AA215" s="245" t="str">
        <f>IF(ISNUMBER(SEARCH("R", 'WetLitterbags placem_collection'!$X142)),"YES","NO")</f>
        <v>NO</v>
      </c>
      <c r="AB215" s="245" t="str">
        <f>IF(ISNUMBER(SEARCH("C", 'WetLitterbags placem_collection'!$V142)),"YES","NO")</f>
        <v>NO</v>
      </c>
      <c r="AC215" s="245" t="str">
        <f>IF(ISNUMBER(SEARCH("H", 'WetLitterbags placem_collection'!$V142)),"YES","NO")</f>
        <v>NO</v>
      </c>
      <c r="AD215" s="245" t="str">
        <f>IF(ISNUMBER(SEARCH("R", 'WetLitterbags placem_collection'!$V142)),"YES","NO")</f>
        <v>NO</v>
      </c>
    </row>
    <row r="216" spans="2:30">
      <c r="B216" t="str">
        <f>Wetseason!B142</f>
        <v>Wet</v>
      </c>
      <c r="C216" s="253">
        <f>Wetseason!C142</f>
        <v>141</v>
      </c>
      <c r="D216" t="s">
        <v>3123</v>
      </c>
      <c r="E216" t="s">
        <v>22</v>
      </c>
      <c r="F216" s="375">
        <v>5</v>
      </c>
      <c r="G216" s="16">
        <f>'WetLitterbags placem_collection'!E143</f>
        <v>42762</v>
      </c>
      <c r="H216" t="str">
        <f>Wetseason!L142</f>
        <v>G900</v>
      </c>
      <c r="I216" t="str">
        <f>Wetseason!L362</f>
        <v>R581</v>
      </c>
      <c r="J216">
        <f>IFERROR(INDEX('Green_rooibos initial weight'!$C$5:$C$2000,MATCH(H216, 'Green_rooibos initial weight'!$A$5:$A$2000,0)),"")</f>
        <v>2.0910000000000002</v>
      </c>
      <c r="K216">
        <f>IFERROR(INDEX('Green_rooibos initial weight'!$C$5:$C$2000,MATCH(I216, 'Green_rooibos initial weight'!$A$5:$A$2000,0)),"")</f>
        <v>2.069</v>
      </c>
      <c r="L216" s="194">
        <f t="shared" si="20"/>
        <v>1.8412000000000002</v>
      </c>
      <c r="M216" s="194">
        <f t="shared" si="18"/>
        <v>1.8191999999999999</v>
      </c>
      <c r="N216" s="16">
        <f>IF('WetLitterbags placem_collection'!G143="","",'WetLitterbags placem_collection'!G143)</f>
        <v>42816</v>
      </c>
      <c r="O216" s="194">
        <f>IFERROR(INDEX('Both teabags AfterWet'!$C$3:$C$2000,MATCH(H216,'Both teabags AfterWet'!$A$3:$A$2000,0)),"")</f>
        <v>1.5369999999999999</v>
      </c>
      <c r="P216" s="194">
        <f>IFERROR(INDEX('Both teabags AfterWet'!$C$3:$C$2000,MATCH(I216,'Both teabags AfterWet'!$A$3:$A$2000,0)),"")</f>
        <v>1.2849999999999999</v>
      </c>
      <c r="Q216" s="194">
        <f t="shared" si="21"/>
        <v>1.3863999999999999</v>
      </c>
      <c r="R216" s="194">
        <f t="shared" si="21"/>
        <v>1.1343999999999999</v>
      </c>
      <c r="S216" s="194">
        <f t="shared" si="22"/>
        <v>0.24701281772756911</v>
      </c>
      <c r="T216" s="194">
        <f t="shared" si="23"/>
        <v>0.16193714416344199</v>
      </c>
      <c r="U216" s="194">
        <f t="shared" si="24"/>
        <v>0.6235708003518029</v>
      </c>
      <c r="V216">
        <f t="shared" si="19"/>
        <v>54</v>
      </c>
      <c r="W216" s="194">
        <f t="shared" si="25"/>
        <v>0.70663560839956163</v>
      </c>
      <c r="X216" s="194" t="str">
        <f t="shared" si="26"/>
        <v/>
      </c>
      <c r="Y216" s="245" t="str">
        <f>IF(ISNUMBER(SEARCH("C",'WetLitterbags placem_collection'!$X143)),"YES","NO")</f>
        <v>NO</v>
      </c>
      <c r="Z216" s="245" t="str">
        <f>IF(ISNUMBER(SEARCH("H", 'WetLitterbags placem_collection'!$X143)),"YES","NO")</f>
        <v>NO</v>
      </c>
      <c r="AA216" s="245" t="str">
        <f>IF(ISNUMBER(SEARCH("R", 'WetLitterbags placem_collection'!$X143)),"YES","NO")</f>
        <v>NO</v>
      </c>
      <c r="AB216" s="245" t="str">
        <f>IF(ISNUMBER(SEARCH("C", 'WetLitterbags placem_collection'!$V143)),"YES","NO")</f>
        <v>NO</v>
      </c>
      <c r="AC216" s="245" t="str">
        <f>IF(ISNUMBER(SEARCH("H", 'WetLitterbags placem_collection'!$V143)),"YES","NO")</f>
        <v>YES</v>
      </c>
      <c r="AD216" s="245" t="str">
        <f>IF(ISNUMBER(SEARCH("R", 'WetLitterbags placem_collection'!$V143)),"YES","NO")</f>
        <v>YES</v>
      </c>
    </row>
    <row r="217" spans="2:30">
      <c r="B217" t="str">
        <f>Wetseason!B143</f>
        <v>Wet</v>
      </c>
      <c r="C217" s="253">
        <f>Wetseason!C143</f>
        <v>142</v>
      </c>
      <c r="D217" t="s">
        <v>3123</v>
      </c>
      <c r="E217" t="s">
        <v>22</v>
      </c>
      <c r="F217" s="375">
        <v>6</v>
      </c>
      <c r="G217" s="16">
        <f>'WetLitterbags placem_collection'!E144</f>
        <v>42762</v>
      </c>
      <c r="H217" t="str">
        <f>Wetseason!L143</f>
        <v>G817</v>
      </c>
      <c r="I217" t="str">
        <f>Wetseason!L363</f>
        <v>R460</v>
      </c>
      <c r="J217">
        <f>IFERROR(INDEX('Green_rooibos initial weight'!$C$5:$C$2000,MATCH(H217, 'Green_rooibos initial weight'!$A$5:$A$2000,0)),"")</f>
        <v>1.9770000000000001</v>
      </c>
      <c r="K217">
        <f>IFERROR(INDEX('Green_rooibos initial weight'!$C$5:$C$2000,MATCH(I217, 'Green_rooibos initial weight'!$A$5:$A$2000,0)),"")</f>
        <v>2.1659999999999999</v>
      </c>
      <c r="L217" s="194">
        <f t="shared" si="20"/>
        <v>1.7272000000000001</v>
      </c>
      <c r="M217" s="194">
        <f t="shared" si="18"/>
        <v>1.9161999999999999</v>
      </c>
      <c r="N217" s="16">
        <f>IF('WetLitterbags placem_collection'!G144="","",'WetLitterbags placem_collection'!G144)</f>
        <v>42816</v>
      </c>
      <c r="O217" s="194">
        <f>IFERROR(INDEX('Both teabags AfterWet'!$C$3:$C$2000,MATCH(H217,'Both teabags AfterWet'!$A$3:$A$2000,0)),"")</f>
        <v>0.99069999999999991</v>
      </c>
      <c r="P217" s="194">
        <f>IFERROR(INDEX('Both teabags AfterWet'!$C$3:$C$2000,MATCH(I217,'Both teabags AfterWet'!$A$3:$A$2000,0)),"")</f>
        <v>0.14299999999999999</v>
      </c>
      <c r="Q217" s="194">
        <f t="shared" si="21"/>
        <v>0.84009999999999985</v>
      </c>
      <c r="R217" s="194">
        <f t="shared" si="21"/>
        <v>-7.6000000000000234E-3</v>
      </c>
      <c r="S217" s="194">
        <f t="shared" si="22"/>
        <v>0.5136058360352016</v>
      </c>
      <c r="T217" s="194">
        <f t="shared" si="23"/>
        <v>0.33671071436036976</v>
      </c>
      <c r="U217" s="194">
        <f t="shared" si="24"/>
        <v>-3.966183070660695E-3</v>
      </c>
      <c r="V217">
        <f t="shared" si="19"/>
        <v>54</v>
      </c>
      <c r="W217" s="194">
        <f t="shared" si="25"/>
        <v>0.39001682181092445</v>
      </c>
      <c r="X217" s="194" t="str">
        <f t="shared" si="26"/>
        <v/>
      </c>
      <c r="Y217" s="245" t="str">
        <f>IF(ISNUMBER(SEARCH("C",'WetLitterbags placem_collection'!$X144)),"YES","NO")</f>
        <v>NO</v>
      </c>
      <c r="Z217" s="245" t="str">
        <f>IF(ISNUMBER(SEARCH("H", 'WetLitterbags placem_collection'!$X144)),"YES","NO")</f>
        <v>NO</v>
      </c>
      <c r="AA217" s="245" t="str">
        <f>IF(ISNUMBER(SEARCH("R", 'WetLitterbags placem_collection'!$X144)),"YES","NO")</f>
        <v>NO</v>
      </c>
      <c r="AB217" s="245" t="str">
        <f>IF(ISNUMBER(SEARCH("C", 'WetLitterbags placem_collection'!$V144)),"YES","NO")</f>
        <v>NO</v>
      </c>
      <c r="AC217" s="245" t="str">
        <f>IF(ISNUMBER(SEARCH("H", 'WetLitterbags placem_collection'!$V144)),"YES","NO")</f>
        <v>YES</v>
      </c>
      <c r="AD217" s="245" t="str">
        <f>IF(ISNUMBER(SEARCH("R", 'WetLitterbags placem_collection'!$V144)),"YES","NO")</f>
        <v>NO</v>
      </c>
    </row>
    <row r="218" spans="2:30">
      <c r="B218" t="str">
        <f>Wetseason!B144</f>
        <v>Wet</v>
      </c>
      <c r="C218" s="253">
        <f>Wetseason!C144</f>
        <v>143</v>
      </c>
      <c r="D218" t="s">
        <v>3123</v>
      </c>
      <c r="E218" t="s">
        <v>22</v>
      </c>
      <c r="F218" s="375">
        <v>7</v>
      </c>
      <c r="G218" s="16">
        <f>'WetLitterbags placem_collection'!E145</f>
        <v>42762</v>
      </c>
      <c r="H218" t="str">
        <f>Wetseason!L144</f>
        <v>G836</v>
      </c>
      <c r="I218" t="str">
        <f>Wetseason!L364</f>
        <v>R456</v>
      </c>
      <c r="J218">
        <f>IFERROR(INDEX('Green_rooibos initial weight'!$C$5:$C$2000,MATCH(H218, 'Green_rooibos initial weight'!$A$5:$A$2000,0)),"")</f>
        <v>2.0419999999999998</v>
      </c>
      <c r="K218">
        <f>IFERROR(INDEX('Green_rooibos initial weight'!$C$5:$C$2000,MATCH(I218, 'Green_rooibos initial weight'!$A$5:$A$2000,0)),"")</f>
        <v>2.23</v>
      </c>
      <c r="L218" s="194">
        <f t="shared" si="20"/>
        <v>1.7921999999999998</v>
      </c>
      <c r="M218" s="194">
        <f t="shared" si="18"/>
        <v>1.9802</v>
      </c>
      <c r="N218" s="16">
        <f>IF('WetLitterbags placem_collection'!G145="","",'WetLitterbags placem_collection'!G145)</f>
        <v>42816</v>
      </c>
      <c r="O218" s="194">
        <f>IFERROR(INDEX('Both teabags AfterWet'!$C$3:$C$2000,MATCH(H218,'Both teabags AfterWet'!$A$3:$A$2000,0)),"")</f>
        <v>0.60970000000000002</v>
      </c>
      <c r="P218" s="194">
        <f>IFERROR(INDEX('Both teabags AfterWet'!$C$3:$C$2000,MATCH(I218,'Both teabags AfterWet'!$A$3:$A$2000,0)),"")</f>
        <v>1.6178999999999999</v>
      </c>
      <c r="Q218" s="194">
        <f t="shared" si="21"/>
        <v>0.45910000000000001</v>
      </c>
      <c r="R218" s="194">
        <f t="shared" si="21"/>
        <v>1.4672999999999998</v>
      </c>
      <c r="S218" s="194">
        <f t="shared" si="22"/>
        <v>0.74383439348287017</v>
      </c>
      <c r="T218" s="194">
        <f t="shared" si="23"/>
        <v>0.48764440047808122</v>
      </c>
      <c r="U218" s="194">
        <f t="shared" si="24"/>
        <v>0.74098575901424091</v>
      </c>
      <c r="V218">
        <f t="shared" si="19"/>
        <v>54</v>
      </c>
      <c r="W218" s="194">
        <f t="shared" si="25"/>
        <v>0.11658623101796883</v>
      </c>
      <c r="X218" s="194">
        <f t="shared" si="26"/>
        <v>1.4027421828525486E-2</v>
      </c>
      <c r="Y218" s="245" t="str">
        <f>IF(ISNUMBER(SEARCH("C",'WetLitterbags placem_collection'!$X145)),"YES","NO")</f>
        <v>NO</v>
      </c>
      <c r="Z218" s="245" t="str">
        <f>IF(ISNUMBER(SEARCH("H", 'WetLitterbags placem_collection'!$X145)),"YES","NO")</f>
        <v>NO</v>
      </c>
      <c r="AA218" s="245" t="str">
        <f>IF(ISNUMBER(SEARCH("R", 'WetLitterbags placem_collection'!$X145)),"YES","NO")</f>
        <v>YES</v>
      </c>
      <c r="AB218" s="245" t="str">
        <f>IF(ISNUMBER(SEARCH("C", 'WetLitterbags placem_collection'!$V145)),"YES","NO")</f>
        <v>NO</v>
      </c>
      <c r="AC218" s="245" t="str">
        <f>IF(ISNUMBER(SEARCH("H", 'WetLitterbags placem_collection'!$V145)),"YES","NO")</f>
        <v>NO</v>
      </c>
      <c r="AD218" s="245" t="str">
        <f>IF(ISNUMBER(SEARCH("R", 'WetLitterbags placem_collection'!$V145)),"YES","NO")</f>
        <v>YES</v>
      </c>
    </row>
    <row r="219" spans="2:30">
      <c r="B219" t="str">
        <f>Wetseason!B145</f>
        <v>Wet</v>
      </c>
      <c r="C219" s="253">
        <f>Wetseason!C145</f>
        <v>144</v>
      </c>
      <c r="D219" t="s">
        <v>3123</v>
      </c>
      <c r="E219" t="s">
        <v>22</v>
      </c>
      <c r="F219" s="375">
        <v>8</v>
      </c>
      <c r="G219" s="16">
        <f>'WetLitterbags placem_collection'!E146</f>
        <v>42762</v>
      </c>
      <c r="H219" t="str">
        <f>Wetseason!L145</f>
        <v>G784</v>
      </c>
      <c r="I219" t="str">
        <f>Wetseason!L365</f>
        <v>R571</v>
      </c>
      <c r="J219">
        <f>IFERROR(INDEX('Green_rooibos initial weight'!$C$5:$C$2000,MATCH(H219, 'Green_rooibos initial weight'!$A$5:$A$2000,0)),"")</f>
        <v>2.1070000000000002</v>
      </c>
      <c r="K219">
        <f>IFERROR(INDEX('Green_rooibos initial weight'!$C$5:$C$2000,MATCH(I219, 'Green_rooibos initial weight'!$A$5:$A$2000,0)),"")</f>
        <v>2.117</v>
      </c>
      <c r="L219" s="194">
        <f t="shared" si="20"/>
        <v>1.8572000000000002</v>
      </c>
      <c r="M219" s="194">
        <f t="shared" si="18"/>
        <v>1.8672</v>
      </c>
      <c r="N219" s="16">
        <f>IF('WetLitterbags placem_collection'!G146="","",'WetLitterbags placem_collection'!G146)</f>
        <v>42816</v>
      </c>
      <c r="O219" s="194">
        <f>IFERROR(INDEX('Both teabags AfterWet'!$C$3:$C$2000,MATCH(H219,'Both teabags AfterWet'!$A$3:$A$2000,0)),"")</f>
        <v>0.78500000000000003</v>
      </c>
      <c r="P219" s="194">
        <f>IFERROR(INDEX('Both teabags AfterWet'!$C$3:$C$2000,MATCH(I219,'Both teabags AfterWet'!$A$3:$A$2000,0)),"")</f>
        <v>1.365</v>
      </c>
      <c r="Q219" s="194">
        <f t="shared" si="21"/>
        <v>0.63440000000000007</v>
      </c>
      <c r="R219" s="194">
        <f t="shared" si="21"/>
        <v>1.2143999999999999</v>
      </c>
      <c r="S219" s="194">
        <f t="shared" si="22"/>
        <v>0.65841051044583243</v>
      </c>
      <c r="T219" s="194">
        <f t="shared" si="23"/>
        <v>0.43164204485284985</v>
      </c>
      <c r="U219" s="194">
        <f t="shared" si="24"/>
        <v>0.65038560411311053</v>
      </c>
      <c r="V219">
        <f t="shared" si="19"/>
        <v>54</v>
      </c>
      <c r="W219" s="194">
        <f t="shared" si="25"/>
        <v>0.21803977381730111</v>
      </c>
      <c r="X219" s="194">
        <f t="shared" si="26"/>
        <v>3.0750745776761141E-2</v>
      </c>
      <c r="Y219" s="245" t="str">
        <f>IF(ISNUMBER(SEARCH("C",'WetLitterbags placem_collection'!$X146)),"YES","NO")</f>
        <v>NO</v>
      </c>
      <c r="Z219" s="245" t="str">
        <f>IF(ISNUMBER(SEARCH("H", 'WetLitterbags placem_collection'!$X146)),"YES","NO")</f>
        <v>NO</v>
      </c>
      <c r="AA219" s="245" t="str">
        <f>IF(ISNUMBER(SEARCH("R", 'WetLitterbags placem_collection'!$X146)),"YES","NO")</f>
        <v>YES</v>
      </c>
      <c r="AB219" s="245" t="str">
        <f>IF(ISNUMBER(SEARCH("C", 'WetLitterbags placem_collection'!$V146)),"YES","NO")</f>
        <v>NO</v>
      </c>
      <c r="AC219" s="245" t="str">
        <f>IF(ISNUMBER(SEARCH("H", 'WetLitterbags placem_collection'!$V146)),"YES","NO")</f>
        <v>NO</v>
      </c>
      <c r="AD219" s="245" t="str">
        <f>IF(ISNUMBER(SEARCH("R", 'WetLitterbags placem_collection'!$V146)),"YES","NO")</f>
        <v>YES</v>
      </c>
    </row>
    <row r="220" spans="2:30">
      <c r="B220" t="str">
        <f>Wetseason!B146</f>
        <v>Wet</v>
      </c>
      <c r="C220" s="253">
        <f>Wetseason!C146</f>
        <v>145</v>
      </c>
      <c r="D220" t="s">
        <v>3124</v>
      </c>
      <c r="E220" t="s">
        <v>22</v>
      </c>
      <c r="F220" s="374">
        <v>1</v>
      </c>
      <c r="G220" s="16">
        <f>'WetLitterbags placem_collection'!E147</f>
        <v>42762</v>
      </c>
      <c r="H220" t="str">
        <f>Wetseason!L146</f>
        <v>G902</v>
      </c>
      <c r="I220" t="str">
        <f>Wetseason!L366</f>
        <v>R27</v>
      </c>
      <c r="J220">
        <f>IFERROR(INDEX('Green_rooibos initial weight'!$C$5:$C$2000,MATCH(H220, 'Green_rooibos initial weight'!$A$5:$A$2000,0)),"")</f>
        <v>2.0750000000000002</v>
      </c>
      <c r="K220">
        <f>IFERROR(INDEX('Green_rooibos initial weight'!$C$5:$C$2000,MATCH(I220, 'Green_rooibos initial weight'!$A$5:$A$2000,0)),"")</f>
        <v>2.0550000000000002</v>
      </c>
      <c r="L220" s="194">
        <f t="shared" si="20"/>
        <v>1.8252000000000002</v>
      </c>
      <c r="M220" s="194">
        <f t="shared" si="18"/>
        <v>1.8052000000000001</v>
      </c>
      <c r="N220" s="16">
        <f>IF('WetLitterbags placem_collection'!G147="","",'WetLitterbags placem_collection'!G147)</f>
        <v>42815</v>
      </c>
      <c r="O220" s="194">
        <f>IFERROR(INDEX('Both teabags AfterWet'!$C$3:$C$2000,MATCH(H220,'Both teabags AfterWet'!$A$3:$A$2000,0)),"")</f>
        <v>0.79200000000000004</v>
      </c>
      <c r="P220" s="194">
        <f>IFERROR(INDEX('Both teabags AfterWet'!$C$3:$C$2000,MATCH(I220,'Both teabags AfterWet'!$A$3:$A$2000,0)),"")</f>
        <v>1.6830000000000001</v>
      </c>
      <c r="Q220" s="194">
        <f t="shared" si="21"/>
        <v>0.64139999999999997</v>
      </c>
      <c r="R220" s="194">
        <f t="shared" si="21"/>
        <v>1.5324</v>
      </c>
      <c r="S220" s="194">
        <f t="shared" si="22"/>
        <v>0.64858645627876399</v>
      </c>
      <c r="T220" s="194">
        <f t="shared" si="23"/>
        <v>0.42520157228726574</v>
      </c>
      <c r="U220" s="194">
        <f t="shared" si="24"/>
        <v>0.84888101041435848</v>
      </c>
      <c r="V220">
        <f t="shared" si="19"/>
        <v>53</v>
      </c>
      <c r="W220" s="194">
        <f t="shared" si="25"/>
        <v>0.22970729658104039</v>
      </c>
      <c r="X220" s="194">
        <f t="shared" si="26"/>
        <v>8.28554502871366E-3</v>
      </c>
      <c r="Y220" s="245" t="str">
        <f>IF(ISNUMBER(SEARCH("C",'WetLitterbags placem_collection'!$X147)),"YES","NO")</f>
        <v>NO</v>
      </c>
      <c r="Z220" s="245" t="str">
        <f>IF(ISNUMBER(SEARCH("H", 'WetLitterbags placem_collection'!$X147)),"YES","NO")</f>
        <v>NO</v>
      </c>
      <c r="AA220" s="245" t="str">
        <f>IF(ISNUMBER(SEARCH("R", 'WetLitterbags placem_collection'!$X147)),"YES","NO")</f>
        <v>NO</v>
      </c>
      <c r="AB220" s="245" t="str">
        <f>IF(ISNUMBER(SEARCH("C", 'WetLitterbags placem_collection'!$V147)),"YES","NO")</f>
        <v>NO</v>
      </c>
      <c r="AC220" s="245" t="str">
        <f>IF(ISNUMBER(SEARCH("H", 'WetLitterbags placem_collection'!$V147)),"YES","NO")</f>
        <v>NO</v>
      </c>
      <c r="AD220" s="245" t="str">
        <f>IF(ISNUMBER(SEARCH("R", 'WetLitterbags placem_collection'!$V147)),"YES","NO")</f>
        <v>YES</v>
      </c>
    </row>
    <row r="221" spans="2:30">
      <c r="B221" t="str">
        <f>Wetseason!B147</f>
        <v>Wet</v>
      </c>
      <c r="C221" s="253">
        <f>Wetseason!C147</f>
        <v>146</v>
      </c>
      <c r="D221" t="s">
        <v>3124</v>
      </c>
      <c r="E221" t="s">
        <v>22</v>
      </c>
      <c r="F221" s="374">
        <v>2</v>
      </c>
      <c r="G221" s="16">
        <f>'WetLitterbags placem_collection'!E148</f>
        <v>42762</v>
      </c>
      <c r="H221" t="str">
        <f>Wetseason!L147</f>
        <v>G689</v>
      </c>
      <c r="I221" t="str">
        <f>Wetseason!L367</f>
        <v>R492</v>
      </c>
      <c r="J221">
        <f>IFERROR(INDEX('Green_rooibos initial weight'!$C$5:$C$2000,MATCH(H221, 'Green_rooibos initial weight'!$A$5:$A$2000,0)),"")</f>
        <v>2.0339999999999998</v>
      </c>
      <c r="K221">
        <f>IFERROR(INDEX('Green_rooibos initial weight'!$C$5:$C$2000,MATCH(I221, 'Green_rooibos initial weight'!$A$5:$A$2000,0)),"")</f>
        <v>2.2519999999999998</v>
      </c>
      <c r="L221" s="194">
        <f t="shared" si="20"/>
        <v>1.7841999999999998</v>
      </c>
      <c r="M221" s="194">
        <f t="shared" si="18"/>
        <v>2.0021999999999998</v>
      </c>
      <c r="N221" s="16">
        <f>IF('WetLitterbags placem_collection'!G148="","",'WetLitterbags placem_collection'!G148)</f>
        <v>42815</v>
      </c>
      <c r="O221" s="194">
        <f>IFERROR(INDEX('Both teabags AfterWet'!$C$3:$C$2000,MATCH(H221,'Both teabags AfterWet'!$A$3:$A$2000,0)),"")</f>
        <v>0.52200000000000002</v>
      </c>
      <c r="P221" s="194">
        <f>IFERROR(INDEX('Both teabags AfterWet'!$C$3:$C$2000,MATCH(I221,'Both teabags AfterWet'!$A$3:$A$2000,0)),"")</f>
        <v>1.6579999999999999</v>
      </c>
      <c r="Q221" s="194">
        <f t="shared" si="21"/>
        <v>0.37140000000000001</v>
      </c>
      <c r="R221" s="194">
        <f t="shared" si="21"/>
        <v>1.5073999999999999</v>
      </c>
      <c r="S221" s="194">
        <f t="shared" si="22"/>
        <v>0.79183947987893732</v>
      </c>
      <c r="T221" s="194">
        <f t="shared" si="23"/>
        <v>0.51911566851920832</v>
      </c>
      <c r="U221" s="194">
        <f t="shared" si="24"/>
        <v>0.75287184097492754</v>
      </c>
      <c r="V221">
        <f t="shared" si="19"/>
        <v>53</v>
      </c>
      <c r="W221" s="194">
        <f t="shared" si="25"/>
        <v>5.9573064276796539E-2</v>
      </c>
      <c r="X221" s="194">
        <f t="shared" si="26"/>
        <v>1.2195671360806844E-2</v>
      </c>
      <c r="Y221" s="245" t="str">
        <f>IF(ISNUMBER(SEARCH("C",'WetLitterbags placem_collection'!$X148)),"YES","NO")</f>
        <v>NO</v>
      </c>
      <c r="Z221" s="245" t="str">
        <f>IF(ISNUMBER(SEARCH("H", 'WetLitterbags placem_collection'!$X148)),"YES","NO")</f>
        <v>NO</v>
      </c>
      <c r="AA221" s="245" t="str">
        <f>IF(ISNUMBER(SEARCH("R", 'WetLitterbags placem_collection'!$X148)),"YES","NO")</f>
        <v>YES</v>
      </c>
      <c r="AB221" s="245" t="str">
        <f>IF(ISNUMBER(SEARCH("C", 'WetLitterbags placem_collection'!$V148)),"YES","NO")</f>
        <v>NO</v>
      </c>
      <c r="AC221" s="245" t="str">
        <f>IF(ISNUMBER(SEARCH("H", 'WetLitterbags placem_collection'!$V148)),"YES","NO")</f>
        <v>YES</v>
      </c>
      <c r="AD221" s="245" t="str">
        <f>IF(ISNUMBER(SEARCH("R", 'WetLitterbags placem_collection'!$V148)),"YES","NO")</f>
        <v>YES</v>
      </c>
    </row>
    <row r="222" spans="2:30">
      <c r="B222" t="str">
        <f>Wetseason!B148</f>
        <v>Wet</v>
      </c>
      <c r="C222" s="253">
        <f>Wetseason!C148</f>
        <v>147</v>
      </c>
      <c r="D222" t="s">
        <v>3124</v>
      </c>
      <c r="E222" t="s">
        <v>22</v>
      </c>
      <c r="F222" s="374">
        <v>3</v>
      </c>
      <c r="G222" s="16">
        <f>'WetLitterbags placem_collection'!E149</f>
        <v>42762</v>
      </c>
      <c r="H222" t="str">
        <f>Wetseason!L148</f>
        <v>G678</v>
      </c>
      <c r="I222" t="str">
        <f>Wetseason!L368</f>
        <v>R573</v>
      </c>
      <c r="J222">
        <f>IFERROR(INDEX('Green_rooibos initial weight'!$C$5:$C$2000,MATCH(H222, 'Green_rooibos initial weight'!$A$5:$A$2000,0)),"")</f>
        <v>2.012</v>
      </c>
      <c r="K222">
        <f>IFERROR(INDEX('Green_rooibos initial weight'!$C$5:$C$2000,MATCH(I222, 'Green_rooibos initial weight'!$A$5:$A$2000,0)),"")</f>
        <v>2.097</v>
      </c>
      <c r="L222" s="194">
        <f t="shared" si="20"/>
        <v>1.7622</v>
      </c>
      <c r="M222" s="194">
        <f t="shared" si="18"/>
        <v>1.8472</v>
      </c>
      <c r="N222" s="16">
        <f>IF('WetLitterbags placem_collection'!G149="","",'WetLitterbags placem_collection'!G149)</f>
        <v>42816</v>
      </c>
      <c r="O222" s="194">
        <f>IFERROR(INDEX('Both teabags AfterWet'!$C$3:$C$2000,MATCH(H222,'Both teabags AfterWet'!$A$3:$A$2000,0)),"")</f>
        <v>0.70199999999999996</v>
      </c>
      <c r="P222" s="194">
        <f>IFERROR(INDEX('Both teabags AfterWet'!$C$3:$C$2000,MATCH(I222,'Both teabags AfterWet'!$A$3:$A$2000,0)),"")</f>
        <v>1.746</v>
      </c>
      <c r="Q222" s="194">
        <f t="shared" si="21"/>
        <v>0.55139999999999989</v>
      </c>
      <c r="R222" s="194">
        <f t="shared" si="21"/>
        <v>1.5953999999999999</v>
      </c>
      <c r="S222" s="194">
        <f t="shared" si="22"/>
        <v>0.68709567585972087</v>
      </c>
      <c r="T222" s="194">
        <f t="shared" si="23"/>
        <v>0.45044752146623035</v>
      </c>
      <c r="U222" s="194">
        <f t="shared" si="24"/>
        <v>0.86368557817236902</v>
      </c>
      <c r="V222">
        <f t="shared" si="19"/>
        <v>54</v>
      </c>
      <c r="W222" s="194">
        <f t="shared" si="25"/>
        <v>0.18397188140175669</v>
      </c>
      <c r="X222" s="194">
        <f t="shared" si="26"/>
        <v>6.6745333414398762E-3</v>
      </c>
      <c r="Y222" s="245" t="str">
        <f>IF(ISNUMBER(SEARCH("C",'WetLitterbags placem_collection'!$X149)),"YES","NO")</f>
        <v>NO</v>
      </c>
      <c r="Z222" s="245" t="str">
        <f>IF(ISNUMBER(SEARCH("H", 'WetLitterbags placem_collection'!$X149)),"YES","NO")</f>
        <v>NO</v>
      </c>
      <c r="AA222" s="245" t="str">
        <f>IF(ISNUMBER(SEARCH("R", 'WetLitterbags placem_collection'!$X149)),"YES","NO")</f>
        <v>NO</v>
      </c>
      <c r="AB222" s="245" t="str">
        <f>IF(ISNUMBER(SEARCH("C", 'WetLitterbags placem_collection'!$V149)),"YES","NO")</f>
        <v>NO</v>
      </c>
      <c r="AC222" s="245" t="str">
        <f>IF(ISNUMBER(SEARCH("H", 'WetLitterbags placem_collection'!$V149)),"YES","NO")</f>
        <v>NO</v>
      </c>
      <c r="AD222" s="245" t="str">
        <f>IF(ISNUMBER(SEARCH("R", 'WetLitterbags placem_collection'!$V149)),"YES","NO")</f>
        <v>NO</v>
      </c>
    </row>
    <row r="223" spans="2:30">
      <c r="B223" t="str">
        <f>Wetseason!B149</f>
        <v>Wet</v>
      </c>
      <c r="C223" s="253">
        <f>Wetseason!C149</f>
        <v>148</v>
      </c>
      <c r="D223" t="s">
        <v>3124</v>
      </c>
      <c r="E223" t="s">
        <v>22</v>
      </c>
      <c r="F223" s="375">
        <v>4</v>
      </c>
      <c r="G223" s="16">
        <f>'WetLitterbags placem_collection'!E150</f>
        <v>42762</v>
      </c>
      <c r="H223" t="str">
        <f>Wetseason!L149</f>
        <v>G835</v>
      </c>
      <c r="I223" t="str">
        <f>Wetseason!L369</f>
        <v>R472</v>
      </c>
      <c r="J223">
        <f>IFERROR(INDEX('Green_rooibos initial weight'!$C$5:$C$2000,MATCH(H223, 'Green_rooibos initial weight'!$A$5:$A$2000,0)),"")</f>
        <v>1.819</v>
      </c>
      <c r="K223">
        <f>IFERROR(INDEX('Green_rooibos initial weight'!$C$5:$C$2000,MATCH(I223, 'Green_rooibos initial weight'!$A$5:$A$2000,0)),"")</f>
        <v>2.2679999999999998</v>
      </c>
      <c r="L223" s="194">
        <f t="shared" si="20"/>
        <v>1.5691999999999999</v>
      </c>
      <c r="M223" s="194">
        <f t="shared" si="18"/>
        <v>2.0181999999999998</v>
      </c>
      <c r="N223" s="16">
        <f>IF('WetLitterbags placem_collection'!G150="","",'WetLitterbags placem_collection'!G150)</f>
        <v>42816</v>
      </c>
      <c r="O223" s="194">
        <f>IFERROR(INDEX('Both teabags AfterWet'!$C$3:$C$2000,MATCH(H223,'Both teabags AfterWet'!$A$3:$A$2000,0)),"")</f>
        <v>0.24560000000000001</v>
      </c>
      <c r="P223" s="194">
        <f>IFERROR(INDEX('Both teabags AfterWet'!$C$3:$C$2000,MATCH(I223,'Both teabags AfterWet'!$A$3:$A$2000,0)),"")</f>
        <v>0.37559999999999999</v>
      </c>
      <c r="Q223" s="194">
        <f t="shared" si="21"/>
        <v>9.5000000000000001E-2</v>
      </c>
      <c r="R223" s="194">
        <f t="shared" si="21"/>
        <v>0.22499999999999998</v>
      </c>
      <c r="S223" s="194">
        <f t="shared" si="22"/>
        <v>0.93945959724700479</v>
      </c>
      <c r="T223" s="194">
        <f t="shared" si="23"/>
        <v>0.61589275258948539</v>
      </c>
      <c r="U223" s="194">
        <f t="shared" si="24"/>
        <v>0.11148548211277376</v>
      </c>
      <c r="V223">
        <f t="shared" si="19"/>
        <v>54</v>
      </c>
      <c r="W223" s="194">
        <f t="shared" si="25"/>
        <v>-0.11574774019834311</v>
      </c>
      <c r="X223" s="194" t="str">
        <f t="shared" si="26"/>
        <v/>
      </c>
      <c r="Y223" s="245" t="str">
        <f>IF(ISNUMBER(SEARCH("C",'WetLitterbags placem_collection'!$X150)),"YES","NO")</f>
        <v>NO</v>
      </c>
      <c r="Z223" s="245" t="str">
        <f>IF(ISNUMBER(SEARCH("H", 'WetLitterbags placem_collection'!$X150)),"YES","NO")</f>
        <v>NO</v>
      </c>
      <c r="AA223" s="245" t="str">
        <f>IF(ISNUMBER(SEARCH("R", 'WetLitterbags placem_collection'!$X150)),"YES","NO")</f>
        <v>YES</v>
      </c>
      <c r="AB223" s="245" t="str">
        <f>IF(ISNUMBER(SEARCH("C", 'WetLitterbags placem_collection'!$V150)),"YES","NO")</f>
        <v>NO</v>
      </c>
      <c r="AC223" s="245" t="str">
        <f>IF(ISNUMBER(SEARCH("H", 'WetLitterbags placem_collection'!$V150)),"YES","NO")</f>
        <v>YES</v>
      </c>
      <c r="AD223" s="245" t="str">
        <f>IF(ISNUMBER(SEARCH("R", 'WetLitterbags placem_collection'!$V150)),"YES","NO")</f>
        <v>NO</v>
      </c>
    </row>
    <row r="224" spans="2:30">
      <c r="B224" t="str">
        <f>Wetseason!B150</f>
        <v>Wet</v>
      </c>
      <c r="C224" s="253">
        <f>Wetseason!C150</f>
        <v>149</v>
      </c>
      <c r="D224" t="s">
        <v>3124</v>
      </c>
      <c r="E224" t="s">
        <v>22</v>
      </c>
      <c r="F224" s="375">
        <v>5</v>
      </c>
      <c r="G224" s="16">
        <f>'WetLitterbags placem_collection'!E151</f>
        <v>42762</v>
      </c>
      <c r="H224" t="str">
        <f>Wetseason!L150</f>
        <v>G733</v>
      </c>
      <c r="I224" t="str">
        <f>Wetseason!L370</f>
        <v>R545</v>
      </c>
      <c r="J224">
        <f>IFERROR(INDEX('Green_rooibos initial weight'!$C$5:$C$2000,MATCH(H224, 'Green_rooibos initial weight'!$A$5:$A$2000,0)),"")</f>
        <v>1.8280000000000001</v>
      </c>
      <c r="K224">
        <f>IFERROR(INDEX('Green_rooibos initial weight'!$C$5:$C$2000,MATCH(I224, 'Green_rooibos initial weight'!$A$5:$A$2000,0)),"")</f>
        <v>2.2280000000000002</v>
      </c>
      <c r="L224" s="194">
        <f t="shared" si="20"/>
        <v>1.5782</v>
      </c>
      <c r="M224" s="194">
        <f t="shared" si="18"/>
        <v>1.9782000000000002</v>
      </c>
      <c r="N224" s="16">
        <f>IF('WetLitterbags placem_collection'!G151="","",'WetLitterbags placem_collection'!G151)</f>
        <v>42816</v>
      </c>
      <c r="O224" s="194">
        <f>IFERROR(INDEX('Both teabags AfterWet'!$C$3:$C$2000,MATCH(H224,'Both teabags AfterWet'!$A$3:$A$2000,0)),"")</f>
        <v>0.73760000000000003</v>
      </c>
      <c r="P224" s="194">
        <f>IFERROR(INDEX('Both teabags AfterWet'!$C$3:$C$2000,MATCH(I224,'Both teabags AfterWet'!$A$3:$A$2000,0)),"")</f>
        <v>1.7096</v>
      </c>
      <c r="Q224" s="194">
        <f t="shared" si="21"/>
        <v>0.58699999999999997</v>
      </c>
      <c r="R224" s="194">
        <f t="shared" si="21"/>
        <v>1.5589999999999999</v>
      </c>
      <c r="S224" s="194">
        <f t="shared" si="22"/>
        <v>0.62805728044607778</v>
      </c>
      <c r="T224" s="194">
        <f t="shared" si="23"/>
        <v>0.41174301520930523</v>
      </c>
      <c r="U224" s="194">
        <f t="shared" si="24"/>
        <v>0.78809018299464151</v>
      </c>
      <c r="V224">
        <f t="shared" si="19"/>
        <v>54</v>
      </c>
      <c r="W224" s="194">
        <f t="shared" si="25"/>
        <v>0.25408874056285291</v>
      </c>
      <c r="X224" s="194">
        <f t="shared" si="26"/>
        <v>1.3387340660298426E-2</v>
      </c>
      <c r="Y224" s="245" t="str">
        <f>IF(ISNUMBER(SEARCH("C",'WetLitterbags placem_collection'!$X151)),"YES","NO")</f>
        <v>NO</v>
      </c>
      <c r="Z224" s="245" t="str">
        <f>IF(ISNUMBER(SEARCH("H", 'WetLitterbags placem_collection'!$X151)),"YES","NO")</f>
        <v>NO</v>
      </c>
      <c r="AA224" s="245" t="str">
        <f>IF(ISNUMBER(SEARCH("R", 'WetLitterbags placem_collection'!$X151)),"YES","NO")</f>
        <v>NO</v>
      </c>
      <c r="AB224" s="245" t="str">
        <f>IF(ISNUMBER(SEARCH("C", 'WetLitterbags placem_collection'!$V151)),"YES","NO")</f>
        <v>NO</v>
      </c>
      <c r="AC224" s="245" t="str">
        <f>IF(ISNUMBER(SEARCH("H", 'WetLitterbags placem_collection'!$V151)),"YES","NO")</f>
        <v>NO</v>
      </c>
      <c r="AD224" s="245" t="str">
        <f>IF(ISNUMBER(SEARCH("R", 'WetLitterbags placem_collection'!$V151)),"YES","NO")</f>
        <v>NO</v>
      </c>
    </row>
    <row r="225" spans="2:30">
      <c r="B225" t="str">
        <f>Wetseason!B151</f>
        <v>Wet</v>
      </c>
      <c r="C225" s="253">
        <f>Wetseason!C151</f>
        <v>150</v>
      </c>
      <c r="D225" t="s">
        <v>3124</v>
      </c>
      <c r="E225" t="s">
        <v>22</v>
      </c>
      <c r="F225" s="375">
        <v>6</v>
      </c>
      <c r="G225" s="16">
        <f>'WetLitterbags placem_collection'!E152</f>
        <v>42762</v>
      </c>
      <c r="H225" t="str">
        <f>Wetseason!L151</f>
        <v>G658</v>
      </c>
      <c r="I225" t="str">
        <f>Wetseason!L371</f>
        <v>R7</v>
      </c>
      <c r="J225">
        <f>IFERROR(INDEX('Green_rooibos initial weight'!$C$5:$C$2000,MATCH(H225, 'Green_rooibos initial weight'!$A$5:$A$2000,0)),"")</f>
        <v>2.129</v>
      </c>
      <c r="K225">
        <f>IFERROR(INDEX('Green_rooibos initial weight'!$C$5:$C$2000,MATCH(I225, 'Green_rooibos initial weight'!$A$5:$A$2000,0)),"")</f>
        <v>2.2090000000000001</v>
      </c>
      <c r="L225" s="194">
        <f t="shared" si="20"/>
        <v>1.8792</v>
      </c>
      <c r="M225" s="194">
        <f t="shared" si="18"/>
        <v>1.9592000000000001</v>
      </c>
      <c r="N225" s="16">
        <f>IF('WetLitterbags placem_collection'!G152="","",'WetLitterbags placem_collection'!G152)</f>
        <v>42816</v>
      </c>
      <c r="O225" s="194">
        <f>IFERROR(INDEX('Both teabags AfterWet'!$C$3:$C$2000,MATCH(H225,'Both teabags AfterWet'!$A$3:$A$2000,0)),"")</f>
        <v>0.71799999999999997</v>
      </c>
      <c r="P225" s="194">
        <f>IFERROR(INDEX('Both teabags AfterWet'!$C$3:$C$2000,MATCH(I225,'Both teabags AfterWet'!$A$3:$A$2000,0)),"")</f>
        <v>1.718</v>
      </c>
      <c r="Q225" s="194">
        <f t="shared" si="21"/>
        <v>0.5673999999999999</v>
      </c>
      <c r="R225" s="194">
        <f t="shared" si="21"/>
        <v>1.5673999999999999</v>
      </c>
      <c r="S225" s="194">
        <f t="shared" si="22"/>
        <v>0.69806300553427003</v>
      </c>
      <c r="T225" s="194">
        <f t="shared" si="23"/>
        <v>0.45763750481581605</v>
      </c>
      <c r="U225" s="194">
        <f t="shared" si="24"/>
        <v>0.80002041649652911</v>
      </c>
      <c r="V225">
        <f t="shared" si="19"/>
        <v>54</v>
      </c>
      <c r="W225" s="194">
        <f t="shared" si="25"/>
        <v>0.17094654924671016</v>
      </c>
      <c r="X225" s="194">
        <f t="shared" si="26"/>
        <v>1.0637862551140107E-2</v>
      </c>
      <c r="Y225" s="245" t="str">
        <f>IF(ISNUMBER(SEARCH("C",'WetLitterbags placem_collection'!$X152)),"YES","NO")</f>
        <v>NO</v>
      </c>
      <c r="Z225" s="245" t="str">
        <f>IF(ISNUMBER(SEARCH("H", 'WetLitterbags placem_collection'!$X152)),"YES","NO")</f>
        <v>NO</v>
      </c>
      <c r="AA225" s="245" t="str">
        <f>IF(ISNUMBER(SEARCH("R", 'WetLitterbags placem_collection'!$X152)),"YES","NO")</f>
        <v>NO</v>
      </c>
      <c r="AB225" s="245" t="str">
        <f>IF(ISNUMBER(SEARCH("C", 'WetLitterbags placem_collection'!$V152)),"YES","NO")</f>
        <v>NO</v>
      </c>
      <c r="AC225" s="245" t="str">
        <f>IF(ISNUMBER(SEARCH("H", 'WetLitterbags placem_collection'!$V152)),"YES","NO")</f>
        <v>NO</v>
      </c>
      <c r="AD225" s="245" t="str">
        <f>IF(ISNUMBER(SEARCH("R", 'WetLitterbags placem_collection'!$V152)),"YES","NO")</f>
        <v>NO</v>
      </c>
    </row>
    <row r="226" spans="2:30">
      <c r="B226" t="str">
        <f>Wetseason!B152</f>
        <v>Wet</v>
      </c>
      <c r="C226" s="253">
        <f>Wetseason!C152</f>
        <v>151</v>
      </c>
      <c r="D226" t="s">
        <v>3124</v>
      </c>
      <c r="E226" t="s">
        <v>22</v>
      </c>
      <c r="F226" s="375">
        <v>7</v>
      </c>
      <c r="G226" s="16">
        <f>'WetLitterbags placem_collection'!E153</f>
        <v>42762</v>
      </c>
      <c r="H226" t="str">
        <f>Wetseason!L152</f>
        <v>G567</v>
      </c>
      <c r="I226" t="str">
        <f>Wetseason!L372</f>
        <v>R447</v>
      </c>
      <c r="J226">
        <f>IFERROR(INDEX('Green_rooibos initial weight'!$C$5:$C$2000,MATCH(H226, 'Green_rooibos initial weight'!$A$5:$A$2000,0)),"")</f>
        <v>2.0569999999999999</v>
      </c>
      <c r="K226">
        <f>IFERROR(INDEX('Green_rooibos initial weight'!$C$5:$C$2000,MATCH(I226, 'Green_rooibos initial weight'!$A$5:$A$2000,0)),"")</f>
        <v>2.206</v>
      </c>
      <c r="L226" s="194">
        <f t="shared" si="20"/>
        <v>1.8071999999999999</v>
      </c>
      <c r="M226" s="194">
        <f t="shared" si="18"/>
        <v>1.9561999999999999</v>
      </c>
      <c r="N226" s="16">
        <f>IF('WetLitterbags placem_collection'!G153="","",'WetLitterbags placem_collection'!G153)</f>
        <v>42816</v>
      </c>
      <c r="O226" s="194">
        <f>IFERROR(INDEX('Both teabags AfterWet'!$C$3:$C$2000,MATCH(H226,'Both teabags AfterWet'!$A$3:$A$2000,0)),"")</f>
        <v>0.86499999999999999</v>
      </c>
      <c r="P226" s="194">
        <f>IFERROR(INDEX('Both teabags AfterWet'!$C$3:$C$2000,MATCH(I226,'Both teabags AfterWet'!$A$3:$A$2000,0)),"")</f>
        <v>1.782</v>
      </c>
      <c r="Q226" s="194">
        <f t="shared" si="21"/>
        <v>0.71439999999999992</v>
      </c>
      <c r="R226" s="194">
        <f t="shared" si="21"/>
        <v>1.6314</v>
      </c>
      <c r="S226" s="194">
        <f t="shared" si="22"/>
        <v>0.60469234174413455</v>
      </c>
      <c r="T226" s="194">
        <f t="shared" si="23"/>
        <v>0.39642538318617854</v>
      </c>
      <c r="U226" s="194">
        <f t="shared" si="24"/>
        <v>0.83396380738165832</v>
      </c>
      <c r="V226">
        <f t="shared" si="19"/>
        <v>54</v>
      </c>
      <c r="W226" s="194">
        <f t="shared" si="25"/>
        <v>0.28183807393808247</v>
      </c>
      <c r="X226" s="194">
        <f t="shared" si="26"/>
        <v>1.0050330053642531E-2</v>
      </c>
      <c r="Y226" s="245" t="str">
        <f>IF(ISNUMBER(SEARCH("C",'WetLitterbags placem_collection'!$X153)),"YES","NO")</f>
        <v>NO</v>
      </c>
      <c r="Z226" s="245" t="str">
        <f>IF(ISNUMBER(SEARCH("H", 'WetLitterbags placem_collection'!$X153)),"YES","NO")</f>
        <v>NO</v>
      </c>
      <c r="AA226" s="245" t="str">
        <f>IF(ISNUMBER(SEARCH("R", 'WetLitterbags placem_collection'!$X153)),"YES","NO")</f>
        <v>YES</v>
      </c>
      <c r="AB226" s="245" t="str">
        <f>IF(ISNUMBER(SEARCH("C", 'WetLitterbags placem_collection'!$V153)),"YES","NO")</f>
        <v>NO</v>
      </c>
      <c r="AC226" s="245" t="str">
        <f>IF(ISNUMBER(SEARCH("H", 'WetLitterbags placem_collection'!$V153)),"YES","NO")</f>
        <v>NO</v>
      </c>
      <c r="AD226" s="245" t="str">
        <f>IF(ISNUMBER(SEARCH("R", 'WetLitterbags placem_collection'!$V153)),"YES","NO")</f>
        <v>YES</v>
      </c>
    </row>
    <row r="227" spans="2:30">
      <c r="B227" t="str">
        <f>Wetseason!B153</f>
        <v>Wet</v>
      </c>
      <c r="C227" s="253">
        <f>Wetseason!C153</f>
        <v>152</v>
      </c>
      <c r="D227" t="s">
        <v>3124</v>
      </c>
      <c r="E227" t="s">
        <v>22</v>
      </c>
      <c r="F227" s="375">
        <v>8</v>
      </c>
      <c r="G227" s="16">
        <f>'WetLitterbags placem_collection'!E154</f>
        <v>42762</v>
      </c>
      <c r="H227" t="str">
        <f>Wetseason!L153</f>
        <v>G853</v>
      </c>
      <c r="I227" t="str">
        <f>Wetseason!L373</f>
        <v>R591</v>
      </c>
      <c r="J227">
        <f>IFERROR(INDEX('Green_rooibos initial weight'!$C$5:$C$2000,MATCH(H227, 'Green_rooibos initial weight'!$A$5:$A$2000,0)),"")</f>
        <v>1.972</v>
      </c>
      <c r="K227">
        <f>IFERROR(INDEX('Green_rooibos initial weight'!$C$5:$C$2000,MATCH(I227, 'Green_rooibos initial weight'!$A$5:$A$2000,0)),"")</f>
        <v>2.2599999999999998</v>
      </c>
      <c r="L227" s="194">
        <f t="shared" si="20"/>
        <v>1.7222</v>
      </c>
      <c r="M227" s="194">
        <f t="shared" si="18"/>
        <v>2.0101999999999998</v>
      </c>
      <c r="N227" s="16">
        <f>IF('WetLitterbags placem_collection'!G154="","",'WetLitterbags placem_collection'!G154)</f>
        <v>42816</v>
      </c>
      <c r="O227" s="194">
        <f>IFERROR(INDEX('Both teabags AfterWet'!$C$3:$C$2000,MATCH(H227,'Both teabags AfterWet'!$A$3:$A$2000,0)),"")</f>
        <v>0.58509999999999995</v>
      </c>
      <c r="P227" s="194">
        <f>IFERROR(INDEX('Both teabags AfterWet'!$C$3:$C$2000,MATCH(I227,'Both teabags AfterWet'!$A$3:$A$2000,0)),"")</f>
        <v>1.6958</v>
      </c>
      <c r="Q227" s="194">
        <f t="shared" si="21"/>
        <v>0.43449999999999994</v>
      </c>
      <c r="R227" s="194">
        <f t="shared" si="21"/>
        <v>1.5451999999999999</v>
      </c>
      <c r="S227" s="194">
        <f t="shared" si="22"/>
        <v>0.74770642201834869</v>
      </c>
      <c r="T227" s="194">
        <f t="shared" si="23"/>
        <v>0.49018283248708855</v>
      </c>
      <c r="U227" s="194">
        <f t="shared" si="24"/>
        <v>0.76867973335986473</v>
      </c>
      <c r="V227">
        <f t="shared" si="19"/>
        <v>54</v>
      </c>
      <c r="W227" s="194">
        <f t="shared" si="25"/>
        <v>0.11198762230599912</v>
      </c>
      <c r="X227" s="194">
        <f t="shared" si="26"/>
        <v>1.1823725221602318E-2</v>
      </c>
      <c r="Y227" s="245" t="str">
        <f>IF(ISNUMBER(SEARCH("C",'WetLitterbags placem_collection'!$X154)),"YES","NO")</f>
        <v>NO</v>
      </c>
      <c r="Z227" s="245" t="str">
        <f>IF(ISNUMBER(SEARCH("H", 'WetLitterbags placem_collection'!$X154)),"YES","NO")</f>
        <v>NO</v>
      </c>
      <c r="AA227" s="245" t="str">
        <f>IF(ISNUMBER(SEARCH("R", 'WetLitterbags placem_collection'!$X154)),"YES","NO")</f>
        <v>YES</v>
      </c>
      <c r="AB227" s="245" t="str">
        <f>IF(ISNUMBER(SEARCH("C", 'WetLitterbags placem_collection'!$V154)),"YES","NO")</f>
        <v>NO</v>
      </c>
      <c r="AC227" s="245" t="str">
        <f>IF(ISNUMBER(SEARCH("H", 'WetLitterbags placem_collection'!$V154)),"YES","NO")</f>
        <v>NO</v>
      </c>
      <c r="AD227" s="245" t="str">
        <f>IF(ISNUMBER(SEARCH("R", 'WetLitterbags placem_collection'!$V154)),"YES","NO")</f>
        <v>NO</v>
      </c>
    </row>
    <row r="228" spans="2:30">
      <c r="B228" t="str">
        <f>Wetseason!B154</f>
        <v>Wet</v>
      </c>
      <c r="C228" s="253">
        <f>Wetseason!C154</f>
        <v>153</v>
      </c>
      <c r="D228" t="s">
        <v>3125</v>
      </c>
      <c r="E228" t="s">
        <v>22</v>
      </c>
      <c r="F228" s="374">
        <v>1</v>
      </c>
      <c r="G228" s="16">
        <f>'WetLitterbags placem_collection'!E155</f>
        <v>42762</v>
      </c>
      <c r="H228" t="str">
        <f>Wetseason!L154</f>
        <v>G800</v>
      </c>
      <c r="I228" t="str">
        <f>Wetseason!L374</f>
        <v>R479</v>
      </c>
      <c r="J228">
        <f>IFERROR(INDEX('Green_rooibos initial weight'!$C$5:$C$2000,MATCH(H228, 'Green_rooibos initial weight'!$A$5:$A$2000,0)),"")</f>
        <v>2.1179999999999999</v>
      </c>
      <c r="K228">
        <f>IFERROR(INDEX('Green_rooibos initial weight'!$C$5:$C$2000,MATCH(I228, 'Green_rooibos initial weight'!$A$5:$A$2000,0)),"")</f>
        <v>2.2749999999999999</v>
      </c>
      <c r="L228" s="194">
        <f t="shared" si="20"/>
        <v>1.8681999999999999</v>
      </c>
      <c r="M228" s="194">
        <f t="shared" si="18"/>
        <v>2.0251999999999999</v>
      </c>
      <c r="N228" s="16">
        <f>IF('WetLitterbags placem_collection'!G155="","",'WetLitterbags placem_collection'!G155)</f>
        <v>42816</v>
      </c>
      <c r="O228" s="194">
        <f>IFERROR(INDEX('Both teabags AfterWet'!$C$3:$C$2000,MATCH(H228,'Both teabags AfterWet'!$A$3:$A$2000,0)),"")</f>
        <v>0.58630000000000004</v>
      </c>
      <c r="P228" s="194">
        <f>IFERROR(INDEX('Both teabags AfterWet'!$C$3:$C$2000,MATCH(I228,'Both teabags AfterWet'!$A$3:$A$2000,0)),"")</f>
        <v>1.2541</v>
      </c>
      <c r="Q228" s="194">
        <f t="shared" si="21"/>
        <v>0.43570000000000003</v>
      </c>
      <c r="R228" s="194">
        <f t="shared" si="21"/>
        <v>1.1034999999999999</v>
      </c>
      <c r="S228" s="194">
        <f t="shared" si="22"/>
        <v>0.76678085858045175</v>
      </c>
      <c r="T228" s="194">
        <f t="shared" si="23"/>
        <v>0.50268768876058123</v>
      </c>
      <c r="U228" s="194">
        <f t="shared" si="24"/>
        <v>0.5448844558562117</v>
      </c>
      <c r="V228">
        <f t="shared" si="19"/>
        <v>54</v>
      </c>
      <c r="W228" s="194">
        <f t="shared" si="25"/>
        <v>8.9333897172860111E-2</v>
      </c>
      <c r="X228" s="194">
        <f t="shared" si="26"/>
        <v>4.3661512728713804E-2</v>
      </c>
      <c r="Y228" s="245" t="str">
        <f>IF(ISNUMBER(SEARCH("C",'WetLitterbags placem_collection'!$X155)),"YES","NO")</f>
        <v>NO</v>
      </c>
      <c r="Z228" s="245" t="str">
        <f>IF(ISNUMBER(SEARCH("H", 'WetLitterbags placem_collection'!$X155)),"YES","NO")</f>
        <v>NO</v>
      </c>
      <c r="AA228" s="245" t="str">
        <f>IF(ISNUMBER(SEARCH("R", 'WetLitterbags placem_collection'!$X155)),"YES","NO")</f>
        <v>YES</v>
      </c>
      <c r="AB228" s="245" t="str">
        <f>IF(ISNUMBER(SEARCH("C", 'WetLitterbags placem_collection'!$V155)),"YES","NO")</f>
        <v>NO</v>
      </c>
      <c r="AC228" s="245" t="str">
        <f>IF(ISNUMBER(SEARCH("H", 'WetLitterbags placem_collection'!$V155)),"YES","NO")</f>
        <v>NO</v>
      </c>
      <c r="AD228" s="245" t="str">
        <f>IF(ISNUMBER(SEARCH("R", 'WetLitterbags placem_collection'!$V155)),"YES","NO")</f>
        <v>YES</v>
      </c>
    </row>
    <row r="229" spans="2:30">
      <c r="B229" t="str">
        <f>Wetseason!B155</f>
        <v>Wet</v>
      </c>
      <c r="C229" s="253">
        <f>Wetseason!C155</f>
        <v>154</v>
      </c>
      <c r="D229" t="s">
        <v>3125</v>
      </c>
      <c r="E229" t="s">
        <v>22</v>
      </c>
      <c r="F229" s="374">
        <v>2</v>
      </c>
      <c r="G229" s="16">
        <f>'WetLitterbags placem_collection'!E156</f>
        <v>42762</v>
      </c>
      <c r="H229" t="str">
        <f>Wetseason!L155</f>
        <v>G675</v>
      </c>
      <c r="I229" t="str">
        <f>Wetseason!L375</f>
        <v>R493</v>
      </c>
      <c r="J229">
        <f>IFERROR(INDEX('Green_rooibos initial weight'!$C$5:$C$2000,MATCH(H229, 'Green_rooibos initial weight'!$A$5:$A$2000,0)),"")</f>
        <v>1.9950000000000001</v>
      </c>
      <c r="K229">
        <f>IFERROR(INDEX('Green_rooibos initial weight'!$C$5:$C$2000,MATCH(I229, 'Green_rooibos initial weight'!$A$5:$A$2000,0)),"")</f>
        <v>2.2410000000000001</v>
      </c>
      <c r="L229" s="194">
        <f t="shared" si="20"/>
        <v>1.7452000000000001</v>
      </c>
      <c r="M229" s="194">
        <f t="shared" si="18"/>
        <v>1.9912000000000001</v>
      </c>
      <c r="N229" s="16">
        <f>IF('WetLitterbags placem_collection'!G156="","",'WetLitterbags placem_collection'!G156)</f>
        <v>42816</v>
      </c>
      <c r="O229" s="194">
        <f>IFERROR(INDEX('Both teabags AfterWet'!$C$3:$C$2000,MATCH(H229,'Both teabags AfterWet'!$A$3:$A$2000,0)),"")</f>
        <v>0.61299999999999999</v>
      </c>
      <c r="P229" s="194">
        <f>IFERROR(INDEX('Both teabags AfterWet'!$C$3:$C$2000,MATCH(I229,'Both teabags AfterWet'!$A$3:$A$2000,0)),"")</f>
        <v>0.69099999999999995</v>
      </c>
      <c r="Q229" s="194">
        <f t="shared" si="21"/>
        <v>0.46239999999999998</v>
      </c>
      <c r="R229" s="194">
        <f t="shared" si="21"/>
        <v>0.54039999999999999</v>
      </c>
      <c r="S229" s="194">
        <f t="shared" si="22"/>
        <v>0.73504469401787764</v>
      </c>
      <c r="T229" s="194">
        <f t="shared" si="23"/>
        <v>0.48188203218274167</v>
      </c>
      <c r="U229" s="194">
        <f t="shared" si="24"/>
        <v>0.2713941341904379</v>
      </c>
      <c r="V229">
        <f t="shared" si="19"/>
        <v>54</v>
      </c>
      <c r="W229" s="194">
        <f t="shared" si="25"/>
        <v>0.12702530401677237</v>
      </c>
      <c r="X229" s="194" t="str">
        <f t="shared" si="26"/>
        <v/>
      </c>
      <c r="Y229" s="245" t="str">
        <f>IF(ISNUMBER(SEARCH("C",'WetLitterbags placem_collection'!$X156)),"YES","NO")</f>
        <v>NO</v>
      </c>
      <c r="Z229" s="245" t="str">
        <f>IF(ISNUMBER(SEARCH("H", 'WetLitterbags placem_collection'!$X156)),"YES","NO")</f>
        <v>NO</v>
      </c>
      <c r="AA229" s="245" t="str">
        <f>IF(ISNUMBER(SEARCH("R", 'WetLitterbags placem_collection'!$X156)),"YES","NO")</f>
        <v>YES</v>
      </c>
      <c r="AB229" s="245" t="str">
        <f>IF(ISNUMBER(SEARCH("C", 'WetLitterbags placem_collection'!$V156)),"YES","NO")</f>
        <v>YES</v>
      </c>
      <c r="AC229" s="245" t="str">
        <f>IF(ISNUMBER(SEARCH("H", 'WetLitterbags placem_collection'!$V156)),"YES","NO")</f>
        <v>YES</v>
      </c>
      <c r="AD229" s="245" t="str">
        <f>IF(ISNUMBER(SEARCH("R", 'WetLitterbags placem_collection'!$V156)),"YES","NO")</f>
        <v>NO</v>
      </c>
    </row>
    <row r="230" spans="2:30">
      <c r="B230" t="str">
        <f>Wetseason!B156</f>
        <v>Wet</v>
      </c>
      <c r="C230" s="253">
        <f>Wetseason!C156</f>
        <v>155</v>
      </c>
      <c r="D230" t="s">
        <v>3125</v>
      </c>
      <c r="E230" t="s">
        <v>22</v>
      </c>
      <c r="F230" s="374">
        <v>3</v>
      </c>
      <c r="G230" s="16">
        <f>'WetLitterbags placem_collection'!E157</f>
        <v>42762</v>
      </c>
      <c r="H230" t="str">
        <f>Wetseason!L156</f>
        <v>G859</v>
      </c>
      <c r="I230" t="str">
        <f>Wetseason!L376</f>
        <v>R484</v>
      </c>
      <c r="J230">
        <f>IFERROR(INDEX('Green_rooibos initial weight'!$C$5:$C$2000,MATCH(H230, 'Green_rooibos initial weight'!$A$5:$A$2000,0)),"")</f>
        <v>2</v>
      </c>
      <c r="K230">
        <f>IFERROR(INDEX('Green_rooibos initial weight'!$C$5:$C$2000,MATCH(I230, 'Green_rooibos initial weight'!$A$5:$A$2000,0)),"")</f>
        <v>2.1850000000000001</v>
      </c>
      <c r="L230" s="194">
        <f t="shared" si="20"/>
        <v>1.7502</v>
      </c>
      <c r="M230" s="194">
        <f t="shared" si="18"/>
        <v>1.9352</v>
      </c>
      <c r="N230" s="16">
        <f>IF('WetLitterbags placem_collection'!G157="","",'WetLitterbags placem_collection'!G157)</f>
        <v>42816</v>
      </c>
      <c r="O230" s="194">
        <f>IFERROR(INDEX('Both teabags AfterWet'!$C$3:$C$2000,MATCH(H230,'Both teabags AfterWet'!$A$3:$A$2000,0)),"")</f>
        <v>0.71599999999999997</v>
      </c>
      <c r="P230" s="194">
        <f>IFERROR(INDEX('Both teabags AfterWet'!$C$3:$C$2000,MATCH(I230,'Both teabags AfterWet'!$A$3:$A$2000,0)),"")</f>
        <v>1.7509999999999999</v>
      </c>
      <c r="Q230" s="194">
        <f t="shared" si="21"/>
        <v>0.5653999999999999</v>
      </c>
      <c r="R230" s="194">
        <f t="shared" si="21"/>
        <v>1.6003999999999998</v>
      </c>
      <c r="S230" s="194">
        <f t="shared" si="22"/>
        <v>0.67695120557650568</v>
      </c>
      <c r="T230" s="194">
        <f t="shared" si="23"/>
        <v>0.44379698987913441</v>
      </c>
      <c r="U230" s="194">
        <f t="shared" si="24"/>
        <v>0.82699462587846206</v>
      </c>
      <c r="V230">
        <f t="shared" si="19"/>
        <v>54</v>
      </c>
      <c r="W230" s="194">
        <f t="shared" si="25"/>
        <v>0.19601994587113336</v>
      </c>
      <c r="X230" s="194">
        <f t="shared" si="26"/>
        <v>9.1484749689491364E-3</v>
      </c>
      <c r="Y230" s="245" t="str">
        <f>IF(ISNUMBER(SEARCH("C",'WetLitterbags placem_collection'!$X157)),"YES","NO")</f>
        <v>NO</v>
      </c>
      <c r="Z230" s="245" t="str">
        <f>IF(ISNUMBER(SEARCH("H", 'WetLitterbags placem_collection'!$X157)),"YES","NO")</f>
        <v>NO</v>
      </c>
      <c r="AA230" s="245" t="str">
        <f>IF(ISNUMBER(SEARCH("R", 'WetLitterbags placem_collection'!$X157)),"YES","NO")</f>
        <v>NO</v>
      </c>
      <c r="AB230" s="245" t="str">
        <f>IF(ISNUMBER(SEARCH("C", 'WetLitterbags placem_collection'!$V157)),"YES","NO")</f>
        <v>NO</v>
      </c>
      <c r="AC230" s="245" t="str">
        <f>IF(ISNUMBER(SEARCH("H", 'WetLitterbags placem_collection'!$V157)),"YES","NO")</f>
        <v>NO</v>
      </c>
      <c r="AD230" s="245" t="str">
        <f>IF(ISNUMBER(SEARCH("R", 'WetLitterbags placem_collection'!$V157)),"YES","NO")</f>
        <v>YES</v>
      </c>
    </row>
    <row r="231" spans="2:30">
      <c r="B231" t="str">
        <f>Wetseason!B157</f>
        <v>Wet</v>
      </c>
      <c r="C231" s="253">
        <f>Wetseason!C157</f>
        <v>156</v>
      </c>
      <c r="D231" t="s">
        <v>3125</v>
      </c>
      <c r="E231" t="s">
        <v>22</v>
      </c>
      <c r="F231" s="375">
        <v>4</v>
      </c>
      <c r="G231" s="16">
        <f>'WetLitterbags placem_collection'!E158</f>
        <v>42762</v>
      </c>
      <c r="H231" t="str">
        <f>Wetseason!L157</f>
        <v>G654</v>
      </c>
      <c r="I231" t="str">
        <f>Wetseason!L377</f>
        <v>R598</v>
      </c>
      <c r="J231">
        <f>IFERROR(INDEX('Green_rooibos initial weight'!$C$5:$C$2000,MATCH(H231, 'Green_rooibos initial weight'!$A$5:$A$2000,0)),"")</f>
        <v>2.0169999999999999</v>
      </c>
      <c r="K231">
        <f>IFERROR(INDEX('Green_rooibos initial weight'!$C$5:$C$2000,MATCH(I231, 'Green_rooibos initial weight'!$A$5:$A$2000,0)),"")</f>
        <v>2.206</v>
      </c>
      <c r="L231" s="194">
        <f t="shared" si="20"/>
        <v>1.7671999999999999</v>
      </c>
      <c r="M231" s="194">
        <f t="shared" si="18"/>
        <v>1.9561999999999999</v>
      </c>
      <c r="N231" s="16">
        <f>IF('WetLitterbags placem_collection'!G158="","",'WetLitterbags placem_collection'!G158)</f>
        <v>42816</v>
      </c>
      <c r="O231" s="194">
        <f>IFERROR(INDEX('Both teabags AfterWet'!$C$3:$C$2000,MATCH(H231,'Both teabags AfterWet'!$A$3:$A$2000,0)),"")</f>
        <v>0.73799999999999999</v>
      </c>
      <c r="P231" s="194">
        <f>IFERROR(INDEX('Both teabags AfterWet'!$C$3:$C$2000,MATCH(I231,'Both teabags AfterWet'!$A$3:$A$2000,0)),"")</f>
        <v>1.8080000000000001</v>
      </c>
      <c r="Q231" s="194">
        <f t="shared" si="21"/>
        <v>0.58739999999999992</v>
      </c>
      <c r="R231" s="194">
        <f t="shared" si="21"/>
        <v>1.6574</v>
      </c>
      <c r="S231" s="194">
        <f t="shared" si="22"/>
        <v>0.66760977818017198</v>
      </c>
      <c r="T231" s="194">
        <f t="shared" si="23"/>
        <v>0.43767291871194175</v>
      </c>
      <c r="U231" s="194">
        <f t="shared" si="24"/>
        <v>0.84725488191391474</v>
      </c>
      <c r="V231">
        <f t="shared" si="19"/>
        <v>54</v>
      </c>
      <c r="W231" s="194">
        <f t="shared" si="25"/>
        <v>0.20711427769575774</v>
      </c>
      <c r="X231" s="194">
        <f t="shared" si="26"/>
        <v>7.9488158044892857E-3</v>
      </c>
      <c r="Y231" s="245" t="str">
        <f>IF(ISNUMBER(SEARCH("C",'WetLitterbags placem_collection'!$X158)),"YES","NO")</f>
        <v>NO</v>
      </c>
      <c r="Z231" s="245" t="str">
        <f>IF(ISNUMBER(SEARCH("H", 'WetLitterbags placem_collection'!$X158)),"YES","NO")</f>
        <v>NO</v>
      </c>
      <c r="AA231" s="245" t="str">
        <f>IF(ISNUMBER(SEARCH("R", 'WetLitterbags placem_collection'!$X158)),"YES","NO")</f>
        <v>YES</v>
      </c>
      <c r="AB231" s="245" t="str">
        <f>IF(ISNUMBER(SEARCH("C", 'WetLitterbags placem_collection'!$V158)),"YES","NO")</f>
        <v>NO</v>
      </c>
      <c r="AC231" s="245" t="str">
        <f>IF(ISNUMBER(SEARCH("H", 'WetLitterbags placem_collection'!$V158)),"YES","NO")</f>
        <v>YES</v>
      </c>
      <c r="AD231" s="245" t="str">
        <f>IF(ISNUMBER(SEARCH("R", 'WetLitterbags placem_collection'!$V158)),"YES","NO")</f>
        <v>NO</v>
      </c>
    </row>
    <row r="232" spans="2:30">
      <c r="B232" t="str">
        <f>Wetseason!B158</f>
        <v>Wet</v>
      </c>
      <c r="C232" s="253">
        <f>Wetseason!C158</f>
        <v>157</v>
      </c>
      <c r="D232" t="s">
        <v>3125</v>
      </c>
      <c r="E232" t="s">
        <v>22</v>
      </c>
      <c r="F232" s="375">
        <v>5</v>
      </c>
      <c r="G232" s="16">
        <f>'WetLitterbags placem_collection'!E159</f>
        <v>42762</v>
      </c>
      <c r="H232" t="str">
        <f>Wetseason!L158</f>
        <v>G890</v>
      </c>
      <c r="I232" t="str">
        <f>Wetseason!L378</f>
        <v>R30</v>
      </c>
      <c r="J232">
        <f>IFERROR(INDEX('Green_rooibos initial weight'!$C$5:$C$2000,MATCH(H232, 'Green_rooibos initial weight'!$A$5:$A$2000,0)),"")</f>
        <v>1.9930000000000001</v>
      </c>
      <c r="K232">
        <f>IFERROR(INDEX('Green_rooibos initial weight'!$C$5:$C$2000,MATCH(I232, 'Green_rooibos initial weight'!$A$5:$A$2000,0)),"")</f>
        <v>2.177</v>
      </c>
      <c r="L232" s="194">
        <f t="shared" si="20"/>
        <v>1.7432000000000001</v>
      </c>
      <c r="M232" s="194">
        <f t="shared" si="18"/>
        <v>1.9272</v>
      </c>
      <c r="N232" s="16">
        <f>IF('WetLitterbags placem_collection'!G159="","",'WetLitterbags placem_collection'!G159)</f>
        <v>42816</v>
      </c>
      <c r="O232" s="194">
        <f>IFERROR(INDEX('Both teabags AfterWet'!$C$3:$C$2000,MATCH(H232,'Both teabags AfterWet'!$A$3:$A$2000,0)),"")</f>
        <v>0.74099999999999999</v>
      </c>
      <c r="P232" s="194">
        <f>IFERROR(INDEX('Both teabags AfterWet'!$C$3:$C$2000,MATCH(I232,'Both teabags AfterWet'!$A$3:$A$2000,0)),"")</f>
        <v>1.825</v>
      </c>
      <c r="Q232" s="194">
        <f t="shared" si="21"/>
        <v>0.59040000000000004</v>
      </c>
      <c r="R232" s="194">
        <f t="shared" si="21"/>
        <v>1.6743999999999999</v>
      </c>
      <c r="S232" s="194">
        <f t="shared" si="22"/>
        <v>0.66131252868288204</v>
      </c>
      <c r="T232" s="194">
        <f t="shared" si="23"/>
        <v>0.43354455562108191</v>
      </c>
      <c r="U232" s="194">
        <f t="shared" si="24"/>
        <v>0.86882523868825234</v>
      </c>
      <c r="V232">
        <f t="shared" si="19"/>
        <v>54</v>
      </c>
      <c r="W232" s="194">
        <f t="shared" si="25"/>
        <v>0.21459319633861984</v>
      </c>
      <c r="X232" s="194">
        <f t="shared" si="26"/>
        <v>6.6730336907153669E-3</v>
      </c>
      <c r="Y232" s="245" t="str">
        <f>IF(ISNUMBER(SEARCH("C",'WetLitterbags placem_collection'!$X159)),"YES","NO")</f>
        <v>NO</v>
      </c>
      <c r="Z232" s="245" t="str">
        <f>IF(ISNUMBER(SEARCH("H", 'WetLitterbags placem_collection'!$X159)),"YES","NO")</f>
        <v>NO</v>
      </c>
      <c r="AA232" s="245" t="str">
        <f>IF(ISNUMBER(SEARCH("R", 'WetLitterbags placem_collection'!$X159)),"YES","NO")</f>
        <v>YES</v>
      </c>
      <c r="AB232" s="245" t="str">
        <f>IF(ISNUMBER(SEARCH("C", 'WetLitterbags placem_collection'!$V159)),"YES","NO")</f>
        <v>NO</v>
      </c>
      <c r="AC232" s="245" t="str">
        <f>IF(ISNUMBER(SEARCH("H", 'WetLitterbags placem_collection'!$V159)),"YES","NO")</f>
        <v>NO</v>
      </c>
      <c r="AD232" s="245" t="str">
        <f>IF(ISNUMBER(SEARCH("R", 'WetLitterbags placem_collection'!$V159)),"YES","NO")</f>
        <v>YES</v>
      </c>
    </row>
    <row r="233" spans="2:30">
      <c r="B233" t="str">
        <f>Wetseason!B159</f>
        <v>Wet</v>
      </c>
      <c r="C233" s="253">
        <f>Wetseason!C159</f>
        <v>158</v>
      </c>
      <c r="D233" t="s">
        <v>3125</v>
      </c>
      <c r="E233" t="s">
        <v>22</v>
      </c>
      <c r="F233" s="375">
        <v>6</v>
      </c>
      <c r="G233" s="16">
        <f>'WetLitterbags placem_collection'!E160</f>
        <v>42762</v>
      </c>
      <c r="H233" t="str">
        <f>Wetseason!L159</f>
        <v>G576</v>
      </c>
      <c r="I233" t="str">
        <f>Wetseason!L379</f>
        <v>R16</v>
      </c>
      <c r="J233">
        <f>IFERROR(INDEX('Green_rooibos initial weight'!$C$5:$C$2000,MATCH(H233, 'Green_rooibos initial weight'!$A$5:$A$2000,0)),"")</f>
        <v>2.056</v>
      </c>
      <c r="K233">
        <f>IFERROR(INDEX('Green_rooibos initial weight'!$C$5:$C$2000,MATCH(I233, 'Green_rooibos initial weight'!$A$5:$A$2000,0)),"")</f>
        <v>2.2629999999999999</v>
      </c>
      <c r="L233" s="194">
        <f t="shared" si="20"/>
        <v>1.8062</v>
      </c>
      <c r="M233" s="194">
        <f t="shared" si="18"/>
        <v>2.0131999999999999</v>
      </c>
      <c r="N233" s="16">
        <f>IF('WetLitterbags placem_collection'!G160="","",'WetLitterbags placem_collection'!G160)</f>
        <v>42816</v>
      </c>
      <c r="O233" s="194">
        <f>IFERROR(INDEX('Both teabags AfterWet'!$C$3:$C$2000,MATCH(H233,'Both teabags AfterWet'!$A$3:$A$2000,0)),"")</f>
        <v>0.26600000000000001</v>
      </c>
      <c r="P233" s="194">
        <f>IFERROR(INDEX('Both teabags AfterWet'!$C$3:$C$2000,MATCH(I233,'Both teabags AfterWet'!$A$3:$A$2000,0)),"")</f>
        <v>1.786</v>
      </c>
      <c r="Q233" s="194">
        <f t="shared" si="21"/>
        <v>0.1154</v>
      </c>
      <c r="R233" s="194">
        <f t="shared" si="21"/>
        <v>1.6354</v>
      </c>
      <c r="S233" s="194">
        <f t="shared" si="22"/>
        <v>0.93610895803344041</v>
      </c>
      <c r="T233" s="194">
        <f t="shared" si="23"/>
        <v>0.6136961340076712</v>
      </c>
      <c r="U233" s="194">
        <f t="shared" si="24"/>
        <v>0.81233856546791183</v>
      </c>
      <c r="V233">
        <f t="shared" si="19"/>
        <v>54</v>
      </c>
      <c r="W233" s="194">
        <f t="shared" si="25"/>
        <v>-0.11176835870954926</v>
      </c>
      <c r="X233" s="194">
        <f t="shared" si="26"/>
        <v>6.7588724587527241E-3</v>
      </c>
      <c r="Y233" s="245" t="str">
        <f>IF(ISNUMBER(SEARCH("C",'WetLitterbags placem_collection'!$X160)),"YES","NO")</f>
        <v>NO</v>
      </c>
      <c r="Z233" s="245" t="str">
        <f>IF(ISNUMBER(SEARCH("H", 'WetLitterbags placem_collection'!$X160)),"YES","NO")</f>
        <v>NO</v>
      </c>
      <c r="AA233" s="245" t="str">
        <f>IF(ISNUMBER(SEARCH("R", 'WetLitterbags placem_collection'!$X160)),"YES","NO")</f>
        <v>YES</v>
      </c>
      <c r="AB233" s="245" t="str">
        <f>IF(ISNUMBER(SEARCH("C", 'WetLitterbags placem_collection'!$V160)),"YES","NO")</f>
        <v>NO</v>
      </c>
      <c r="AC233" s="245" t="str">
        <f>IF(ISNUMBER(SEARCH("H", 'WetLitterbags placem_collection'!$V160)),"YES","NO")</f>
        <v>YES</v>
      </c>
      <c r="AD233" s="245" t="str">
        <f>IF(ISNUMBER(SEARCH("R", 'WetLitterbags placem_collection'!$V160)),"YES","NO")</f>
        <v>YES</v>
      </c>
    </row>
    <row r="234" spans="2:30">
      <c r="B234" t="str">
        <f>Wetseason!B160</f>
        <v>Wet</v>
      </c>
      <c r="C234" s="253">
        <f>Wetseason!C160</f>
        <v>159</v>
      </c>
      <c r="D234" t="s">
        <v>3125</v>
      </c>
      <c r="E234" t="s">
        <v>22</v>
      </c>
      <c r="F234" s="375">
        <v>7</v>
      </c>
      <c r="G234" s="16">
        <f>'WetLitterbags placem_collection'!E161</f>
        <v>42762</v>
      </c>
      <c r="H234" t="str">
        <f>Wetseason!L160</f>
        <v>G829</v>
      </c>
      <c r="I234" t="str">
        <f>Wetseason!L380</f>
        <v>R499</v>
      </c>
      <c r="J234">
        <f>IFERROR(INDEX('Green_rooibos initial weight'!$C$5:$C$2000,MATCH(H234, 'Green_rooibos initial weight'!$A$5:$A$2000,0)),"")</f>
        <v>1.9610000000000001</v>
      </c>
      <c r="K234">
        <f>IFERROR(INDEX('Green_rooibos initial weight'!$C$5:$C$2000,MATCH(I234, 'Green_rooibos initial weight'!$A$5:$A$2000,0)),"")</f>
        <v>2.194</v>
      </c>
      <c r="L234" s="194">
        <f t="shared" si="20"/>
        <v>1.7112000000000001</v>
      </c>
      <c r="M234" s="194">
        <f t="shared" si="18"/>
        <v>1.9441999999999999</v>
      </c>
      <c r="N234" s="16">
        <f>IF('WetLitterbags placem_collection'!G161="","",'WetLitterbags placem_collection'!G161)</f>
        <v>42816</v>
      </c>
      <c r="O234" s="194" t="str">
        <f>IFERROR(INDEX('Both teabags AfterWet'!$C$3:$C$2000,MATCH(H234,'Both teabags AfterWet'!$A$3:$A$2000,0)),"")</f>
        <v/>
      </c>
      <c r="P234" s="194" t="str">
        <f>IFERROR(INDEX('Both teabags AfterWet'!$C$3:$C$2000,MATCH(I234,'Both teabags AfterWet'!$A$3:$A$2000,0)),"")</f>
        <v/>
      </c>
      <c r="Q234" s="194" t="str">
        <f t="shared" si="21"/>
        <v/>
      </c>
      <c r="R234" s="194" t="str">
        <f t="shared" si="21"/>
        <v/>
      </c>
      <c r="S234" s="194" t="str">
        <f t="shared" si="22"/>
        <v/>
      </c>
      <c r="T234" s="194" t="str">
        <f t="shared" si="23"/>
        <v/>
      </c>
      <c r="U234" s="194" t="str">
        <f t="shared" si="24"/>
        <v/>
      </c>
      <c r="V234">
        <f t="shared" si="19"/>
        <v>54</v>
      </c>
      <c r="W234" s="194" t="str">
        <f t="shared" si="25"/>
        <v/>
      </c>
      <c r="X234" s="194" t="str">
        <f t="shared" si="26"/>
        <v/>
      </c>
      <c r="Y234" s="245" t="str">
        <f>IF(ISNUMBER(SEARCH("C",'WetLitterbags placem_collection'!$X161)),"YES","NO")</f>
        <v>NO</v>
      </c>
      <c r="Z234" s="245" t="str">
        <f>IF(ISNUMBER(SEARCH("H", 'WetLitterbags placem_collection'!$X161)),"YES","NO")</f>
        <v>NO</v>
      </c>
      <c r="AA234" s="245" t="str">
        <f>IF(ISNUMBER(SEARCH("R", 'WetLitterbags placem_collection'!$X161)),"YES","NO")</f>
        <v>NO</v>
      </c>
      <c r="AB234" s="245" t="str">
        <f>IF(ISNUMBER(SEARCH("C", 'WetLitterbags placem_collection'!$V161)),"YES","NO")</f>
        <v>NO</v>
      </c>
      <c r="AC234" s="245" t="str">
        <f>IF(ISNUMBER(SEARCH("H", 'WetLitterbags placem_collection'!$V161)),"YES","NO")</f>
        <v>NO</v>
      </c>
      <c r="AD234" s="245" t="str">
        <f>IF(ISNUMBER(SEARCH("R", 'WetLitterbags placem_collection'!$V161)),"YES","NO")</f>
        <v>NO</v>
      </c>
    </row>
    <row r="235" spans="2:30">
      <c r="B235" t="str">
        <f>Wetseason!B161</f>
        <v>Wet</v>
      </c>
      <c r="C235" s="253">
        <f>Wetseason!C161</f>
        <v>160</v>
      </c>
      <c r="D235" t="s">
        <v>3125</v>
      </c>
      <c r="E235" t="s">
        <v>22</v>
      </c>
      <c r="F235" s="375">
        <v>8</v>
      </c>
      <c r="G235" s="16">
        <f>'WetLitterbags placem_collection'!E162</f>
        <v>42762</v>
      </c>
      <c r="H235" t="str">
        <f>Wetseason!L161</f>
        <v>G809</v>
      </c>
      <c r="I235" t="str">
        <f>Wetseason!L381</f>
        <v>R421</v>
      </c>
      <c r="J235">
        <f>IFERROR(INDEX('Green_rooibos initial weight'!$C$5:$C$2000,MATCH(H235, 'Green_rooibos initial weight'!$A$5:$A$2000,0)),"")</f>
        <v>1.9279999999999999</v>
      </c>
      <c r="K235">
        <f>IFERROR(INDEX('Green_rooibos initial weight'!$C$5:$C$2000,MATCH(I235, 'Green_rooibos initial weight'!$A$5:$A$2000,0)),"")</f>
        <v>2.2170000000000001</v>
      </c>
      <c r="L235" s="194">
        <f t="shared" si="20"/>
        <v>1.6781999999999999</v>
      </c>
      <c r="M235" s="194">
        <f t="shared" si="18"/>
        <v>1.9672000000000001</v>
      </c>
      <c r="N235" s="16">
        <f>IF('WetLitterbags placem_collection'!G162="","",'WetLitterbags placem_collection'!G162)</f>
        <v>42816</v>
      </c>
      <c r="O235" s="194">
        <f>IFERROR(INDEX('Both teabags AfterWet'!$C$3:$C$2000,MATCH(H235,'Both teabags AfterWet'!$A$3:$A$2000,0)),"")</f>
        <v>0.72</v>
      </c>
      <c r="P235" s="194">
        <f>IFERROR(INDEX('Both teabags AfterWet'!$C$3:$C$2000,MATCH(I235,'Both teabags AfterWet'!$A$3:$A$2000,0)),"")</f>
        <v>1.744</v>
      </c>
      <c r="Q235" s="194">
        <f t="shared" si="21"/>
        <v>0.56939999999999991</v>
      </c>
      <c r="R235" s="194">
        <f t="shared" si="21"/>
        <v>1.5933999999999999</v>
      </c>
      <c r="S235" s="194">
        <f t="shared" si="22"/>
        <v>0.66070790132284596</v>
      </c>
      <c r="T235" s="194">
        <f t="shared" si="23"/>
        <v>0.43314817283873042</v>
      </c>
      <c r="U235" s="194">
        <f t="shared" si="24"/>
        <v>0.80998373322488815</v>
      </c>
      <c r="V235">
        <f t="shared" si="19"/>
        <v>54</v>
      </c>
      <c r="W235" s="194">
        <f t="shared" si="25"/>
        <v>0.21531128108925657</v>
      </c>
      <c r="X235" s="194">
        <f t="shared" si="26"/>
        <v>1.0693995382300599E-2</v>
      </c>
      <c r="Y235" s="245" t="str">
        <f>IF(ISNUMBER(SEARCH("C",'WetLitterbags placem_collection'!$X162)),"YES","NO")</f>
        <v>NO</v>
      </c>
      <c r="Z235" s="245" t="str">
        <f>IF(ISNUMBER(SEARCH("H", 'WetLitterbags placem_collection'!$X162)),"YES","NO")</f>
        <v>NO</v>
      </c>
      <c r="AA235" s="245" t="str">
        <f>IF(ISNUMBER(SEARCH("R", 'WetLitterbags placem_collection'!$X162)),"YES","NO")</f>
        <v>YES</v>
      </c>
      <c r="AB235" s="245" t="str">
        <f>IF(ISNUMBER(SEARCH("C", 'WetLitterbags placem_collection'!$V162)),"YES","NO")</f>
        <v>NO</v>
      </c>
      <c r="AC235" s="245" t="str">
        <f>IF(ISNUMBER(SEARCH("H", 'WetLitterbags placem_collection'!$V162)),"YES","NO")</f>
        <v>NO</v>
      </c>
      <c r="AD235" s="245" t="str">
        <f>IF(ISNUMBER(SEARCH("R", 'WetLitterbags placem_collection'!$V162)),"YES","NO")</f>
        <v>YES</v>
      </c>
    </row>
    <row r="236" spans="2:30">
      <c r="B236" t="str">
        <f>Wetseason!B162</f>
        <v>Wet</v>
      </c>
      <c r="C236" s="253">
        <f>Wetseason!C162</f>
        <v>161</v>
      </c>
      <c r="D236" t="s">
        <v>3126</v>
      </c>
      <c r="E236" t="s">
        <v>22</v>
      </c>
      <c r="F236" s="374">
        <v>1</v>
      </c>
      <c r="G236" s="16">
        <f>'WetLitterbags placem_collection'!E163</f>
        <v>42763</v>
      </c>
      <c r="H236" t="str">
        <f>Wetseason!L162</f>
        <v>G352</v>
      </c>
      <c r="I236" t="str">
        <f>Wetseason!L382</f>
        <v>R124</v>
      </c>
      <c r="J236">
        <f>IFERROR(INDEX('Green_rooibos initial weight'!$C$5:$C$2000,MATCH(H236, 'Green_rooibos initial weight'!$A$5:$A$2000,0)),"")</f>
        <v>1.9490000000000001</v>
      </c>
      <c r="K236">
        <f>IFERROR(INDEX('Green_rooibos initial weight'!$C$5:$C$2000,MATCH(I236, 'Green_rooibos initial weight'!$A$5:$A$2000,0)),"")</f>
        <v>2.2120000000000002</v>
      </c>
      <c r="L236" s="194">
        <f t="shared" si="20"/>
        <v>1.6992</v>
      </c>
      <c r="M236" s="194">
        <f t="shared" si="18"/>
        <v>1.9622000000000002</v>
      </c>
      <c r="N236" s="16">
        <f>IF('WetLitterbags placem_collection'!G163="","",'WetLitterbags placem_collection'!G163)</f>
        <v>42814</v>
      </c>
      <c r="O236" s="194">
        <f>IFERROR(INDEX('Both teabags AfterWet'!$C$3:$C$2000,MATCH(H236,'Both teabags AfterWet'!$A$3:$A$2000,0)),"")</f>
        <v>0.57509999999999994</v>
      </c>
      <c r="P236" s="194">
        <f>IFERROR(INDEX('Both teabags AfterWet'!$C$3:$C$2000,MATCH(I236,'Both teabags AfterWet'!$A$3:$A$2000,0)),"")</f>
        <v>1.6863999999999999</v>
      </c>
      <c r="Q236" s="194">
        <f t="shared" si="21"/>
        <v>0.42449999999999993</v>
      </c>
      <c r="R236" s="194">
        <f t="shared" si="21"/>
        <v>1.5357999999999998</v>
      </c>
      <c r="S236" s="194">
        <f t="shared" si="22"/>
        <v>0.75017655367231639</v>
      </c>
      <c r="T236" s="194">
        <f t="shared" si="23"/>
        <v>0.49180220620797943</v>
      </c>
      <c r="U236" s="194">
        <f t="shared" si="24"/>
        <v>0.78269289572928336</v>
      </c>
      <c r="V236">
        <f t="shared" si="19"/>
        <v>51</v>
      </c>
      <c r="W236" s="194">
        <f t="shared" si="25"/>
        <v>0.10905397426090691</v>
      </c>
      <c r="X236" s="194">
        <f t="shared" si="26"/>
        <v>1.1434180363683804E-2</v>
      </c>
      <c r="Y236" s="245" t="str">
        <f>IF(ISNUMBER(SEARCH("C",'WetLitterbags placem_collection'!$X163)),"YES","NO")</f>
        <v>NO</v>
      </c>
      <c r="Z236" s="245" t="str">
        <f>IF(ISNUMBER(SEARCH("H", 'WetLitterbags placem_collection'!$X163)),"YES","NO")</f>
        <v>NO</v>
      </c>
      <c r="AA236" s="245" t="str">
        <f>IF(ISNUMBER(SEARCH("R", 'WetLitterbags placem_collection'!$X163)),"YES","NO")</f>
        <v>NO</v>
      </c>
      <c r="AB236" s="245" t="str">
        <f>IF(ISNUMBER(SEARCH("C", 'WetLitterbags placem_collection'!$V163)),"YES","NO")</f>
        <v>NO</v>
      </c>
      <c r="AC236" s="245" t="str">
        <f>IF(ISNUMBER(SEARCH("H", 'WetLitterbags placem_collection'!$V163)),"YES","NO")</f>
        <v>NO</v>
      </c>
      <c r="AD236" s="245" t="str">
        <f>IF(ISNUMBER(SEARCH("R", 'WetLitterbags placem_collection'!$V163)),"YES","NO")</f>
        <v>NO</v>
      </c>
    </row>
    <row r="237" spans="2:30">
      <c r="B237" t="str">
        <f>Wetseason!B163</f>
        <v>Wet</v>
      </c>
      <c r="C237" s="253">
        <f>Wetseason!C163</f>
        <v>162</v>
      </c>
      <c r="D237" t="s">
        <v>3126</v>
      </c>
      <c r="E237" t="s">
        <v>22</v>
      </c>
      <c r="F237" s="374">
        <v>2</v>
      </c>
      <c r="G237" s="16">
        <f>'WetLitterbags placem_collection'!E164</f>
        <v>42763</v>
      </c>
      <c r="H237" t="str">
        <f>Wetseason!L163</f>
        <v>G385</v>
      </c>
      <c r="I237" t="str">
        <f>Wetseason!L383</f>
        <v>R202</v>
      </c>
      <c r="J237">
        <f>IFERROR(INDEX('Green_rooibos initial weight'!$C$5:$C$2000,MATCH(H237, 'Green_rooibos initial weight'!$A$5:$A$2000,0)),"")</f>
        <v>1.962</v>
      </c>
      <c r="K237">
        <f>IFERROR(INDEX('Green_rooibos initial weight'!$C$5:$C$2000,MATCH(I237, 'Green_rooibos initial weight'!$A$5:$A$2000,0)),"")</f>
        <v>2.298</v>
      </c>
      <c r="L237" s="194">
        <f t="shared" si="20"/>
        <v>1.7121999999999999</v>
      </c>
      <c r="M237" s="194">
        <f t="shared" si="18"/>
        <v>2.0482</v>
      </c>
      <c r="N237" s="16">
        <f>IF('WetLitterbags placem_collection'!G164="","",'WetLitterbags placem_collection'!G164)</f>
        <v>42814</v>
      </c>
      <c r="O237" s="194">
        <f>IFERROR(INDEX('Both teabags AfterWet'!$C$3:$C$2000,MATCH(H237,'Both teabags AfterWet'!$A$3:$A$2000,0)),"")</f>
        <v>0.62280000000000002</v>
      </c>
      <c r="P237" s="194">
        <f>IFERROR(INDEX('Both teabags AfterWet'!$C$3:$C$2000,MATCH(I237,'Both teabags AfterWet'!$A$3:$A$2000,0)),"")</f>
        <v>0.52</v>
      </c>
      <c r="Q237" s="194">
        <f t="shared" si="21"/>
        <v>0.47220000000000001</v>
      </c>
      <c r="R237" s="194">
        <f t="shared" si="21"/>
        <v>0.36940000000000001</v>
      </c>
      <c r="S237" s="194">
        <f t="shared" si="22"/>
        <v>0.72421446092746167</v>
      </c>
      <c r="T237" s="194">
        <f t="shared" si="23"/>
        <v>0.47478192687881104</v>
      </c>
      <c r="U237" s="194">
        <f t="shared" si="24"/>
        <v>0.18035348110536081</v>
      </c>
      <c r="V237">
        <f t="shared" si="19"/>
        <v>51</v>
      </c>
      <c r="W237" s="194">
        <f t="shared" si="25"/>
        <v>0.13988781362534242</v>
      </c>
      <c r="X237" s="194" t="str">
        <f t="shared" si="26"/>
        <v/>
      </c>
      <c r="Y237" s="245" t="str">
        <f>IF(ISNUMBER(SEARCH("C",'WetLitterbags placem_collection'!$X164)),"YES","NO")</f>
        <v>NO</v>
      </c>
      <c r="Z237" s="245" t="str">
        <f>IF(ISNUMBER(SEARCH("H", 'WetLitterbags placem_collection'!$X164)),"YES","NO")</f>
        <v>NO</v>
      </c>
      <c r="AA237" s="245" t="str">
        <f>IF(ISNUMBER(SEARCH("R", 'WetLitterbags placem_collection'!$X164)),"YES","NO")</f>
        <v>NO</v>
      </c>
      <c r="AB237" s="245" t="str">
        <f>IF(ISNUMBER(SEARCH("C", 'WetLitterbags placem_collection'!$V164)),"YES","NO")</f>
        <v>NO</v>
      </c>
      <c r="AC237" s="245" t="str">
        <f>IF(ISNUMBER(SEARCH("H", 'WetLitterbags placem_collection'!$V164)),"YES","NO")</f>
        <v>NO</v>
      </c>
      <c r="AD237" s="245" t="str">
        <f>IF(ISNUMBER(SEARCH("R", 'WetLitterbags placem_collection'!$V164)),"YES","NO")</f>
        <v>NO</v>
      </c>
    </row>
    <row r="238" spans="2:30">
      <c r="B238" t="str">
        <f>Wetseason!B164</f>
        <v>Wet</v>
      </c>
      <c r="C238" s="253">
        <f>Wetseason!C164</f>
        <v>163</v>
      </c>
      <c r="D238" t="s">
        <v>3126</v>
      </c>
      <c r="E238" t="s">
        <v>22</v>
      </c>
      <c r="F238" s="374">
        <v>3</v>
      </c>
      <c r="G238" s="16">
        <f>'WetLitterbags placem_collection'!E165</f>
        <v>42763</v>
      </c>
      <c r="H238" t="str">
        <f>Wetseason!L164</f>
        <v>G202</v>
      </c>
      <c r="I238" t="str">
        <f>Wetseason!L384</f>
        <v>R96</v>
      </c>
      <c r="J238">
        <f>IFERROR(INDEX('Green_rooibos initial weight'!$C$5:$C$2000,MATCH(H238, 'Green_rooibos initial weight'!$A$5:$A$2000,0)),"")</f>
        <v>1.986</v>
      </c>
      <c r="K238">
        <f>IFERROR(INDEX('Green_rooibos initial weight'!$C$5:$C$2000,MATCH(I238, 'Green_rooibos initial weight'!$A$5:$A$2000,0)),"")</f>
        <v>2.2309999999999999</v>
      </c>
      <c r="L238" s="194">
        <f t="shared" si="20"/>
        <v>1.7362</v>
      </c>
      <c r="M238" s="194">
        <f t="shared" si="18"/>
        <v>1.9811999999999999</v>
      </c>
      <c r="N238" s="16">
        <f>IF('WetLitterbags placem_collection'!G165="","",'WetLitterbags placem_collection'!G165)</f>
        <v>42814</v>
      </c>
      <c r="O238" s="194">
        <f>IFERROR(INDEX('Both teabags AfterWet'!$C$3:$C$2000,MATCH(H238,'Both teabags AfterWet'!$A$3:$A$2000,0)),"")</f>
        <v>0.64500000000000002</v>
      </c>
      <c r="P238" s="194">
        <f>IFERROR(INDEX('Both teabags AfterWet'!$C$3:$C$2000,MATCH(I238,'Both teabags AfterWet'!$A$3:$A$2000,0)),"")</f>
        <v>1.696</v>
      </c>
      <c r="Q238" s="194">
        <f t="shared" si="21"/>
        <v>0.49440000000000001</v>
      </c>
      <c r="R238" s="194">
        <f t="shared" si="21"/>
        <v>1.5453999999999999</v>
      </c>
      <c r="S238" s="194">
        <f t="shared" si="22"/>
        <v>0.71524017970279918</v>
      </c>
      <c r="T238" s="194">
        <f t="shared" si="23"/>
        <v>0.46889855011394921</v>
      </c>
      <c r="U238" s="194">
        <f t="shared" si="24"/>
        <v>0.78003230365435094</v>
      </c>
      <c r="V238">
        <f t="shared" si="19"/>
        <v>51</v>
      </c>
      <c r="W238" s="194">
        <f t="shared" si="25"/>
        <v>0.15054610486603415</v>
      </c>
      <c r="X238" s="194">
        <f t="shared" si="26"/>
        <v>1.2415907290186552E-2</v>
      </c>
      <c r="Y238" s="245" t="str">
        <f>IF(ISNUMBER(SEARCH("C",'WetLitterbags placem_collection'!$X165)),"YES","NO")</f>
        <v>NO</v>
      </c>
      <c r="Z238" s="245" t="str">
        <f>IF(ISNUMBER(SEARCH("H", 'WetLitterbags placem_collection'!$X165)),"YES","NO")</f>
        <v>NO</v>
      </c>
      <c r="AA238" s="245" t="str">
        <f>IF(ISNUMBER(SEARCH("R", 'WetLitterbags placem_collection'!$X165)),"YES","NO")</f>
        <v>NO</v>
      </c>
      <c r="AB238" s="245" t="str">
        <f>IF(ISNUMBER(SEARCH("C", 'WetLitterbags placem_collection'!$V165)),"YES","NO")</f>
        <v>NO</v>
      </c>
      <c r="AC238" s="245" t="str">
        <f>IF(ISNUMBER(SEARCH("H", 'WetLitterbags placem_collection'!$V165)),"YES","NO")</f>
        <v>YES</v>
      </c>
      <c r="AD238" s="245" t="str">
        <f>IF(ISNUMBER(SEARCH("R", 'WetLitterbags placem_collection'!$V165)),"YES","NO")</f>
        <v>NO</v>
      </c>
    </row>
    <row r="239" spans="2:30">
      <c r="B239" t="str">
        <f>Wetseason!B165</f>
        <v>Wet</v>
      </c>
      <c r="C239" s="253">
        <f>Wetseason!C165</f>
        <v>164</v>
      </c>
      <c r="D239" t="s">
        <v>3126</v>
      </c>
      <c r="E239" t="s">
        <v>22</v>
      </c>
      <c r="F239" s="375">
        <v>4</v>
      </c>
      <c r="G239" s="16">
        <f>'WetLitterbags placem_collection'!E166</f>
        <v>42763</v>
      </c>
      <c r="H239" t="str">
        <f>Wetseason!L165</f>
        <v>G686</v>
      </c>
      <c r="I239" t="str">
        <f>Wetseason!L385</f>
        <v>R317</v>
      </c>
      <c r="J239">
        <f>IFERROR(INDEX('Green_rooibos initial weight'!$C$5:$C$2000,MATCH(H239, 'Green_rooibos initial weight'!$A$5:$A$2000,0)),"")</f>
        <v>1.9510000000000001</v>
      </c>
      <c r="K239">
        <f>IFERROR(INDEX('Green_rooibos initial weight'!$C$5:$C$2000,MATCH(I239, 'Green_rooibos initial weight'!$A$5:$A$2000,0)),"")</f>
        <v>2.2240000000000002</v>
      </c>
      <c r="L239" s="194">
        <f t="shared" si="20"/>
        <v>1.7012</v>
      </c>
      <c r="M239" s="194">
        <f t="shared" si="18"/>
        <v>1.9742000000000002</v>
      </c>
      <c r="N239" s="16">
        <f>IF('WetLitterbags placem_collection'!G166="","",'WetLitterbags placem_collection'!G166)</f>
        <v>42814</v>
      </c>
      <c r="O239" s="194">
        <f>IFERROR(INDEX('Both teabags AfterWet'!$C$3:$C$2000,MATCH(H239,'Both teabags AfterWet'!$A$3:$A$2000,0)),"")</f>
        <v>0.628</v>
      </c>
      <c r="P239" s="194">
        <f>IFERROR(INDEX('Both teabags AfterWet'!$C$3:$C$2000,MATCH(I239,'Both teabags AfterWet'!$A$3:$A$2000,0)),"")</f>
        <v>1.7210000000000001</v>
      </c>
      <c r="Q239" s="194">
        <f t="shared" si="21"/>
        <v>0.47739999999999999</v>
      </c>
      <c r="R239" s="194">
        <f t="shared" si="21"/>
        <v>1.5704</v>
      </c>
      <c r="S239" s="194">
        <f t="shared" si="22"/>
        <v>0.71937455913472848</v>
      </c>
      <c r="T239" s="194">
        <f t="shared" si="23"/>
        <v>0.47160897463464391</v>
      </c>
      <c r="U239" s="194">
        <f t="shared" si="24"/>
        <v>0.79546145274035041</v>
      </c>
      <c r="V239">
        <f t="shared" si="19"/>
        <v>51</v>
      </c>
      <c r="W239" s="194">
        <f t="shared" si="25"/>
        <v>0.14563591551694954</v>
      </c>
      <c r="X239" s="194">
        <f t="shared" si="26"/>
        <v>1.1149760825637843E-2</v>
      </c>
      <c r="Y239" s="245" t="str">
        <f>IF(ISNUMBER(SEARCH("C",'WetLitterbags placem_collection'!$X166)),"YES","NO")</f>
        <v>NO</v>
      </c>
      <c r="Z239" s="245" t="str">
        <f>IF(ISNUMBER(SEARCH("H", 'WetLitterbags placem_collection'!$X166)),"YES","NO")</f>
        <v>NO</v>
      </c>
      <c r="AA239" s="245" t="str">
        <f>IF(ISNUMBER(SEARCH("R", 'WetLitterbags placem_collection'!$X166)),"YES","NO")</f>
        <v>NO</v>
      </c>
      <c r="AB239" s="245" t="str">
        <f>IF(ISNUMBER(SEARCH("C", 'WetLitterbags placem_collection'!$V166)),"YES","NO")</f>
        <v>NO</v>
      </c>
      <c r="AC239" s="245" t="str">
        <f>IF(ISNUMBER(SEARCH("H", 'WetLitterbags placem_collection'!$V166)),"YES","NO")</f>
        <v>NO</v>
      </c>
      <c r="AD239" s="245" t="str">
        <f>IF(ISNUMBER(SEARCH("R", 'WetLitterbags placem_collection'!$V166)),"YES","NO")</f>
        <v>NO</v>
      </c>
    </row>
    <row r="240" spans="2:30">
      <c r="B240" t="str">
        <f>Wetseason!B166</f>
        <v>Wet</v>
      </c>
      <c r="C240" s="253">
        <f>Wetseason!C166</f>
        <v>165</v>
      </c>
      <c r="D240" t="s">
        <v>3126</v>
      </c>
      <c r="E240" t="s">
        <v>22</v>
      </c>
      <c r="F240" s="375">
        <v>5</v>
      </c>
      <c r="G240" s="16">
        <f>'WetLitterbags placem_collection'!E167</f>
        <v>42763</v>
      </c>
      <c r="H240" t="str">
        <f>Wetseason!L166</f>
        <v>G368</v>
      </c>
      <c r="I240" t="str">
        <f>Wetseason!L386</f>
        <v>R331</v>
      </c>
      <c r="J240">
        <f>IFERROR(INDEX('Green_rooibos initial weight'!$C$5:$C$2000,MATCH(H240, 'Green_rooibos initial weight'!$A$5:$A$2000,0)),"")</f>
        <v>2.1709999999999998</v>
      </c>
      <c r="K240">
        <f>IFERROR(INDEX('Green_rooibos initial weight'!$C$5:$C$2000,MATCH(I240, 'Green_rooibos initial weight'!$A$5:$A$2000,0)),"")</f>
        <v>2.2410000000000001</v>
      </c>
      <c r="L240" s="194">
        <f t="shared" si="20"/>
        <v>1.9211999999999998</v>
      </c>
      <c r="M240" s="194">
        <f t="shared" si="18"/>
        <v>1.9912000000000001</v>
      </c>
      <c r="N240" s="16">
        <f>IF('WetLitterbags placem_collection'!G167="","",'WetLitterbags placem_collection'!G167)</f>
        <v>42814</v>
      </c>
      <c r="O240" s="194">
        <f>IFERROR(INDEX('Both teabags AfterWet'!$C$3:$C$2000,MATCH(H240,'Both teabags AfterWet'!$A$3:$A$2000,0)),"")</f>
        <v>0.72699999999999998</v>
      </c>
      <c r="P240" s="194">
        <f>IFERROR(INDEX('Both teabags AfterWet'!$C$3:$C$2000,MATCH(I240,'Both teabags AfterWet'!$A$3:$A$2000,0)),"")</f>
        <v>1.724</v>
      </c>
      <c r="Q240" s="194">
        <f t="shared" si="21"/>
        <v>0.57640000000000002</v>
      </c>
      <c r="R240" s="194">
        <f t="shared" si="21"/>
        <v>1.5733999999999999</v>
      </c>
      <c r="S240" s="194">
        <f t="shared" si="22"/>
        <v>0.69997917967936707</v>
      </c>
      <c r="T240" s="194">
        <f t="shared" si="23"/>
        <v>0.45889371399407441</v>
      </c>
      <c r="U240" s="194">
        <f t="shared" si="24"/>
        <v>0.79017677782241857</v>
      </c>
      <c r="V240">
        <f t="shared" si="19"/>
        <v>51</v>
      </c>
      <c r="W240" s="194">
        <f t="shared" si="25"/>
        <v>0.16867080798174927</v>
      </c>
      <c r="X240" s="194">
        <f t="shared" si="26"/>
        <v>1.198201308345986E-2</v>
      </c>
      <c r="Y240" s="245" t="str">
        <f>IF(ISNUMBER(SEARCH("C",'WetLitterbags placem_collection'!$X167)),"YES","NO")</f>
        <v>NO</v>
      </c>
      <c r="Z240" s="245" t="str">
        <f>IF(ISNUMBER(SEARCH("H", 'WetLitterbags placem_collection'!$X167)),"YES","NO")</f>
        <v>NO</v>
      </c>
      <c r="AA240" s="245" t="str">
        <f>IF(ISNUMBER(SEARCH("R", 'WetLitterbags placem_collection'!$X167)),"YES","NO")</f>
        <v>NO</v>
      </c>
      <c r="AB240" s="245" t="str">
        <f>IF(ISNUMBER(SEARCH("C", 'WetLitterbags placem_collection'!$V167)),"YES","NO")</f>
        <v>NO</v>
      </c>
      <c r="AC240" s="245" t="str">
        <f>IF(ISNUMBER(SEARCH("H", 'WetLitterbags placem_collection'!$V167)),"YES","NO")</f>
        <v>NO</v>
      </c>
      <c r="AD240" s="245" t="str">
        <f>IF(ISNUMBER(SEARCH("R", 'WetLitterbags placem_collection'!$V167)),"YES","NO")</f>
        <v>NO</v>
      </c>
    </row>
    <row r="241" spans="2:30">
      <c r="B241" t="str">
        <f>Wetseason!B167</f>
        <v>Wet</v>
      </c>
      <c r="C241" s="253">
        <f>Wetseason!C167</f>
        <v>166</v>
      </c>
      <c r="D241" t="s">
        <v>3126</v>
      </c>
      <c r="E241" t="s">
        <v>22</v>
      </c>
      <c r="F241" s="375">
        <v>6</v>
      </c>
      <c r="G241" s="16">
        <f>'WetLitterbags placem_collection'!E168</f>
        <v>42763</v>
      </c>
      <c r="H241" t="str">
        <f>Wetseason!L167</f>
        <v>G334</v>
      </c>
      <c r="I241" t="str">
        <f>Wetseason!L387</f>
        <v>R287</v>
      </c>
      <c r="J241">
        <f>IFERROR(INDEX('Green_rooibos initial weight'!$C$5:$C$2000,MATCH(H241, 'Green_rooibos initial weight'!$A$5:$A$2000,0)),"")</f>
        <v>2.0710000000000002</v>
      </c>
      <c r="K241">
        <f>IFERROR(INDEX('Green_rooibos initial weight'!$C$5:$C$2000,MATCH(I241, 'Green_rooibos initial weight'!$A$5:$A$2000,0)),"")</f>
        <v>2.1960000000000002</v>
      </c>
      <c r="L241" s="194">
        <f t="shared" si="20"/>
        <v>1.8212000000000002</v>
      </c>
      <c r="M241" s="194">
        <f t="shared" si="18"/>
        <v>1.9462000000000002</v>
      </c>
      <c r="N241" s="16">
        <f>IF('WetLitterbags placem_collection'!G168="","",'WetLitterbags placem_collection'!G168)</f>
        <v>42814</v>
      </c>
      <c r="O241" s="194">
        <f>IFERROR(INDEX('Both teabags AfterWet'!$C$3:$C$2000,MATCH(H241,'Both teabags AfterWet'!$A$3:$A$2000,0)),"")</f>
        <v>0.80800000000000005</v>
      </c>
      <c r="P241" s="194">
        <f>IFERROR(INDEX('Both teabags AfterWet'!$C$3:$C$2000,MATCH(I241,'Both teabags AfterWet'!$A$3:$A$2000,0)),"")</f>
        <v>1.6496999999999999</v>
      </c>
      <c r="Q241" s="194">
        <f t="shared" si="21"/>
        <v>0.65739999999999998</v>
      </c>
      <c r="R241" s="194">
        <f t="shared" si="21"/>
        <v>1.4990999999999999</v>
      </c>
      <c r="S241" s="194">
        <f t="shared" si="22"/>
        <v>0.63902921150889525</v>
      </c>
      <c r="T241" s="194">
        <f t="shared" si="23"/>
        <v>0.41893601514597417</v>
      </c>
      <c r="U241" s="194">
        <f t="shared" si="24"/>
        <v>0.77027027027027017</v>
      </c>
      <c r="V241">
        <f t="shared" si="19"/>
        <v>51</v>
      </c>
      <c r="W241" s="194">
        <f t="shared" si="25"/>
        <v>0.24105794357613386</v>
      </c>
      <c r="X241" s="194">
        <f t="shared" si="26"/>
        <v>1.5585888680329124E-2</v>
      </c>
      <c r="Y241" s="245" t="str">
        <f>IF(ISNUMBER(SEARCH("C",'WetLitterbags placem_collection'!$X168)),"YES","NO")</f>
        <v>NO</v>
      </c>
      <c r="Z241" s="245" t="str">
        <f>IF(ISNUMBER(SEARCH("H", 'WetLitterbags placem_collection'!$X168)),"YES","NO")</f>
        <v>NO</v>
      </c>
      <c r="AA241" s="245" t="str">
        <f>IF(ISNUMBER(SEARCH("R", 'WetLitterbags placem_collection'!$X168)),"YES","NO")</f>
        <v>NO</v>
      </c>
      <c r="AB241" s="245" t="str">
        <f>IF(ISNUMBER(SEARCH("C", 'WetLitterbags placem_collection'!$V168)),"YES","NO")</f>
        <v>NO</v>
      </c>
      <c r="AC241" s="245" t="str">
        <f>IF(ISNUMBER(SEARCH("H", 'WetLitterbags placem_collection'!$V168)),"YES","NO")</f>
        <v>NO</v>
      </c>
      <c r="AD241" s="245" t="str">
        <f>IF(ISNUMBER(SEARCH("R", 'WetLitterbags placem_collection'!$V168)),"YES","NO")</f>
        <v>NO</v>
      </c>
    </row>
    <row r="242" spans="2:30">
      <c r="B242" t="str">
        <f>Wetseason!B168</f>
        <v>Wet</v>
      </c>
      <c r="C242" s="253">
        <f>Wetseason!C168</f>
        <v>167</v>
      </c>
      <c r="D242" t="s">
        <v>3126</v>
      </c>
      <c r="E242" t="s">
        <v>22</v>
      </c>
      <c r="F242" s="375">
        <v>7</v>
      </c>
      <c r="G242" s="16">
        <f>'WetLitterbags placem_collection'!E169</f>
        <v>42763</v>
      </c>
      <c r="H242" t="str">
        <f>Wetseason!L168</f>
        <v>G429</v>
      </c>
      <c r="I242" t="str">
        <f>Wetseason!L388</f>
        <v>R255</v>
      </c>
      <c r="J242">
        <f>IFERROR(INDEX('Green_rooibos initial weight'!$C$5:$C$2000,MATCH(H242, 'Green_rooibos initial weight'!$A$5:$A$2000,0)),"")</f>
        <v>1.9319999999999999</v>
      </c>
      <c r="K242">
        <f>IFERROR(INDEX('Green_rooibos initial weight'!$C$5:$C$2000,MATCH(I242, 'Green_rooibos initial weight'!$A$5:$A$2000,0)),"")</f>
        <v>2.1859999999999999</v>
      </c>
      <c r="L242" s="194">
        <f t="shared" si="20"/>
        <v>1.6821999999999999</v>
      </c>
      <c r="M242" s="194">
        <f t="shared" si="18"/>
        <v>1.9361999999999999</v>
      </c>
      <c r="N242" s="16">
        <f>IF('WetLitterbags placem_collection'!G169="","",'WetLitterbags placem_collection'!G169)</f>
        <v>42814</v>
      </c>
      <c r="O242" s="194">
        <f>IFERROR(INDEX('Both teabags AfterWet'!$C$3:$C$2000,MATCH(H242,'Both teabags AfterWet'!$A$3:$A$2000,0)),"")</f>
        <v>0.64529999999999998</v>
      </c>
      <c r="P242" s="194">
        <f>IFERROR(INDEX('Both teabags AfterWet'!$C$3:$C$2000,MATCH(I242,'Both teabags AfterWet'!$A$3:$A$2000,0)),"")</f>
        <v>1.7073</v>
      </c>
      <c r="Q242" s="194">
        <f t="shared" si="21"/>
        <v>0.49469999999999997</v>
      </c>
      <c r="R242" s="194">
        <f t="shared" si="21"/>
        <v>1.5567</v>
      </c>
      <c r="S242" s="194">
        <f t="shared" si="22"/>
        <v>0.70592081797645934</v>
      </c>
      <c r="T242" s="194">
        <f t="shared" si="23"/>
        <v>0.46278894480166938</v>
      </c>
      <c r="U242" s="194">
        <f t="shared" si="24"/>
        <v>0.80399752091726062</v>
      </c>
      <c r="V242">
        <f t="shared" si="19"/>
        <v>51</v>
      </c>
      <c r="W242" s="194">
        <f t="shared" si="25"/>
        <v>0.16161423043175849</v>
      </c>
      <c r="X242" s="194">
        <f t="shared" si="26"/>
        <v>1.08004416241673E-2</v>
      </c>
      <c r="Y242" s="245" t="str">
        <f>IF(ISNUMBER(SEARCH("C",'WetLitterbags placem_collection'!$X169)),"YES","NO")</f>
        <v>NO</v>
      </c>
      <c r="Z242" s="245" t="str">
        <f>IF(ISNUMBER(SEARCH("H", 'WetLitterbags placem_collection'!$X169)),"YES","NO")</f>
        <v>NO</v>
      </c>
      <c r="AA242" s="245" t="str">
        <f>IF(ISNUMBER(SEARCH("R", 'WetLitterbags placem_collection'!$X169)),"YES","NO")</f>
        <v>NO</v>
      </c>
      <c r="AB242" s="245" t="str">
        <f>IF(ISNUMBER(SEARCH("C", 'WetLitterbags placem_collection'!$V169)),"YES","NO")</f>
        <v>NO</v>
      </c>
      <c r="AC242" s="245" t="str">
        <f>IF(ISNUMBER(SEARCH("H", 'WetLitterbags placem_collection'!$V169)),"YES","NO")</f>
        <v>NO</v>
      </c>
      <c r="AD242" s="245" t="str">
        <f>IF(ISNUMBER(SEARCH("R", 'WetLitterbags placem_collection'!$V169)),"YES","NO")</f>
        <v>NO</v>
      </c>
    </row>
    <row r="243" spans="2:30">
      <c r="B243" t="str">
        <f>Wetseason!B169</f>
        <v>Wet</v>
      </c>
      <c r="C243" s="253">
        <f>Wetseason!C169</f>
        <v>168</v>
      </c>
      <c r="D243" t="s">
        <v>3126</v>
      </c>
      <c r="E243" t="s">
        <v>22</v>
      </c>
      <c r="F243" s="375">
        <v>8</v>
      </c>
      <c r="G243" s="16">
        <f>'WetLitterbags placem_collection'!E170</f>
        <v>42763</v>
      </c>
      <c r="H243" t="str">
        <f>Wetseason!L169</f>
        <v>G461</v>
      </c>
      <c r="I243" t="str">
        <f>Wetseason!L389</f>
        <v>R534</v>
      </c>
      <c r="J243">
        <f>IFERROR(INDEX('Green_rooibos initial weight'!$C$5:$C$2000,MATCH(H243, 'Green_rooibos initial weight'!$A$5:$A$2000,0)),"")</f>
        <v>2.1030000000000002</v>
      </c>
      <c r="K243">
        <f>IFERROR(INDEX('Green_rooibos initial weight'!$C$5:$C$2000,MATCH(I243, 'Green_rooibos initial weight'!$A$5:$A$2000,0)),"")</f>
        <v>2.17</v>
      </c>
      <c r="L243" s="194">
        <f t="shared" si="20"/>
        <v>1.8532000000000002</v>
      </c>
      <c r="M243" s="194">
        <f t="shared" si="18"/>
        <v>1.9201999999999999</v>
      </c>
      <c r="N243" s="16">
        <f>IF('WetLitterbags placem_collection'!G170="","",'WetLitterbags placem_collection'!G170)</f>
        <v>42814</v>
      </c>
      <c r="O243" s="194">
        <f>IFERROR(INDEX('Both teabags AfterWet'!$C$3:$C$2000,MATCH(H243,'Both teabags AfterWet'!$A$3:$A$2000,0)),"")</f>
        <v>0.79400000000000004</v>
      </c>
      <c r="P243" s="194">
        <f>IFERROR(INDEX('Both teabags AfterWet'!$C$3:$C$2000,MATCH(I243,'Both teabags AfterWet'!$A$3:$A$2000,0)),"")</f>
        <v>1.722</v>
      </c>
      <c r="Q243" s="194">
        <f t="shared" si="21"/>
        <v>0.64339999999999997</v>
      </c>
      <c r="R243" s="194">
        <f t="shared" si="21"/>
        <v>1.5713999999999999</v>
      </c>
      <c r="S243" s="194">
        <f t="shared" si="22"/>
        <v>0.65281674940643208</v>
      </c>
      <c r="T243" s="194">
        <f t="shared" si="23"/>
        <v>0.42797487609542817</v>
      </c>
      <c r="U243" s="194">
        <f t="shared" si="24"/>
        <v>0.81835225497344022</v>
      </c>
      <c r="V243">
        <f t="shared" si="19"/>
        <v>51</v>
      </c>
      <c r="W243" s="194">
        <f t="shared" si="25"/>
        <v>0.22468319547929683</v>
      </c>
      <c r="X243" s="194">
        <f t="shared" si="26"/>
        <v>1.0831451755378356E-2</v>
      </c>
      <c r="Y243" s="245" t="str">
        <f>IF(ISNUMBER(SEARCH("C",'WetLitterbags placem_collection'!$X170)),"YES","NO")</f>
        <v>NO</v>
      </c>
      <c r="Z243" s="245" t="str">
        <f>IF(ISNUMBER(SEARCH("H", 'WetLitterbags placem_collection'!$X170)),"YES","NO")</f>
        <v>NO</v>
      </c>
      <c r="AA243" s="245" t="str">
        <f>IF(ISNUMBER(SEARCH("R", 'WetLitterbags placem_collection'!$X170)),"YES","NO")</f>
        <v>NO</v>
      </c>
      <c r="AB243" s="245" t="str">
        <f>IF(ISNUMBER(SEARCH("C", 'WetLitterbags placem_collection'!$V170)),"YES","NO")</f>
        <v>YES</v>
      </c>
      <c r="AC243" s="245" t="str">
        <f>IF(ISNUMBER(SEARCH("H", 'WetLitterbags placem_collection'!$V170)),"YES","NO")</f>
        <v>YES</v>
      </c>
      <c r="AD243" s="245" t="str">
        <f>IF(ISNUMBER(SEARCH("R", 'WetLitterbags placem_collection'!$V170)),"YES","NO")</f>
        <v>NO</v>
      </c>
    </row>
    <row r="244" spans="2:30">
      <c r="B244" t="str">
        <f>Wetseason!B170</f>
        <v>Wet</v>
      </c>
      <c r="C244" s="253">
        <f>Wetseason!C170</f>
        <v>169</v>
      </c>
      <c r="D244" t="s">
        <v>3128</v>
      </c>
      <c r="E244" t="s">
        <v>22</v>
      </c>
      <c r="F244" s="374">
        <v>1</v>
      </c>
      <c r="G244" s="16">
        <f>'WetLitterbags placem_collection'!E171</f>
        <v>42763</v>
      </c>
      <c r="H244" t="str">
        <f>Wetseason!L170</f>
        <v>G425</v>
      </c>
      <c r="I244" t="str">
        <f>Wetseason!L390</f>
        <v>R453</v>
      </c>
      <c r="J244">
        <f>IFERROR(INDEX('Green_rooibos initial weight'!$C$5:$C$2000,MATCH(H244, 'Green_rooibos initial weight'!$A$5:$A$2000,0)),"")</f>
        <v>1.9750000000000001</v>
      </c>
      <c r="K244">
        <f>IFERROR(INDEX('Green_rooibos initial weight'!$C$5:$C$2000,MATCH(I244, 'Green_rooibos initial weight'!$A$5:$A$2000,0)),"")</f>
        <v>2.165</v>
      </c>
      <c r="L244" s="194">
        <f t="shared" si="20"/>
        <v>1.7252000000000001</v>
      </c>
      <c r="M244" s="194">
        <f t="shared" si="18"/>
        <v>1.9152</v>
      </c>
      <c r="N244" s="16">
        <f>IF('WetLitterbags placem_collection'!G171="","",'WetLitterbags placem_collection'!G171)</f>
        <v>42814</v>
      </c>
      <c r="O244" s="194">
        <f>IFERROR(INDEX('Both teabags AfterWet'!$C$3:$C$2000,MATCH(H244,'Both teabags AfterWet'!$A$3:$A$2000,0)),"")</f>
        <v>0.65800000000000003</v>
      </c>
      <c r="P244" s="194">
        <f>IFERROR(INDEX('Both teabags AfterWet'!$C$3:$C$2000,MATCH(I244,'Both teabags AfterWet'!$A$3:$A$2000,0)),"")</f>
        <v>0.14299999999999999</v>
      </c>
      <c r="Q244" s="194">
        <f t="shared" si="21"/>
        <v>0.50740000000000007</v>
      </c>
      <c r="R244" s="194">
        <f t="shared" si="21"/>
        <v>-7.6000000000000234E-3</v>
      </c>
      <c r="S244" s="194">
        <f t="shared" si="22"/>
        <v>0.70588917226988168</v>
      </c>
      <c r="T244" s="194">
        <f t="shared" si="23"/>
        <v>0.46276819844771344</v>
      </c>
      <c r="U244" s="194">
        <f t="shared" si="24"/>
        <v>-3.9682539682539802E-3</v>
      </c>
      <c r="V244">
        <f t="shared" si="19"/>
        <v>51</v>
      </c>
      <c r="W244" s="194">
        <f t="shared" si="25"/>
        <v>0.16165181440631626</v>
      </c>
      <c r="X244" s="194" t="str">
        <f t="shared" si="26"/>
        <v/>
      </c>
      <c r="Y244" s="245" t="str">
        <f>IF(ISNUMBER(SEARCH("C",'WetLitterbags placem_collection'!$X171)),"YES","NO")</f>
        <v>NO</v>
      </c>
      <c r="Z244" s="245" t="str">
        <f>IF(ISNUMBER(SEARCH("H", 'WetLitterbags placem_collection'!$X171)),"YES","NO")</f>
        <v>NO</v>
      </c>
      <c r="AA244" s="245" t="str">
        <f>IF(ISNUMBER(SEARCH("R", 'WetLitterbags placem_collection'!$X171)),"YES","NO")</f>
        <v>NO</v>
      </c>
      <c r="AB244" s="245" t="str">
        <f>IF(ISNUMBER(SEARCH("C", 'WetLitterbags placem_collection'!$V171)),"YES","NO")</f>
        <v>NO</v>
      </c>
      <c r="AC244" s="245" t="str">
        <f>IF(ISNUMBER(SEARCH("H", 'WetLitterbags placem_collection'!$V171)),"YES","NO")</f>
        <v>NO</v>
      </c>
      <c r="AD244" s="245" t="str">
        <f>IF(ISNUMBER(SEARCH("R", 'WetLitterbags placem_collection'!$V171)),"YES","NO")</f>
        <v>NO</v>
      </c>
    </row>
    <row r="245" spans="2:30">
      <c r="B245" t="str">
        <f>Wetseason!B171</f>
        <v>Wet</v>
      </c>
      <c r="C245" s="253">
        <f>Wetseason!C171</f>
        <v>170</v>
      </c>
      <c r="D245" t="s">
        <v>3128</v>
      </c>
      <c r="E245" t="s">
        <v>22</v>
      </c>
      <c r="F245" s="374">
        <v>2</v>
      </c>
      <c r="G245" s="16">
        <f>'WetLitterbags placem_collection'!E172</f>
        <v>42763</v>
      </c>
      <c r="H245" t="str">
        <f>Wetseason!L171</f>
        <v>G433</v>
      </c>
      <c r="I245" t="str">
        <f>Wetseason!L391</f>
        <v>R330</v>
      </c>
      <c r="J245">
        <f>IFERROR(INDEX('Green_rooibos initial weight'!$C$5:$C$2000,MATCH(H245, 'Green_rooibos initial weight'!$A$5:$A$2000,0)),"")</f>
        <v>2.06</v>
      </c>
      <c r="K245">
        <f>IFERROR(INDEX('Green_rooibos initial weight'!$C$5:$C$2000,MATCH(I245, 'Green_rooibos initial weight'!$A$5:$A$2000,0)),"")</f>
        <v>2.12</v>
      </c>
      <c r="L245" s="194">
        <f t="shared" si="20"/>
        <v>1.8102</v>
      </c>
      <c r="M245" s="194">
        <f t="shared" si="18"/>
        <v>1.8702000000000001</v>
      </c>
      <c r="N245" s="16">
        <f>IF('WetLitterbags placem_collection'!G172="","",'WetLitterbags placem_collection'!G172)</f>
        <v>42814</v>
      </c>
      <c r="O245" s="194">
        <f>IFERROR(INDEX('Both teabags AfterWet'!$C$3:$C$2000,MATCH(H245,'Both teabags AfterWet'!$A$3:$A$2000,0)),"")</f>
        <v>0.64800000000000002</v>
      </c>
      <c r="P245" s="194">
        <f>IFERROR(INDEX('Both teabags AfterWet'!$C$3:$C$2000,MATCH(I245,'Both teabags AfterWet'!$A$3:$A$2000,0)),"")</f>
        <v>1.7769999999999999</v>
      </c>
      <c r="Q245" s="194">
        <f t="shared" si="21"/>
        <v>0.49740000000000001</v>
      </c>
      <c r="R245" s="194">
        <f t="shared" si="21"/>
        <v>1.6263999999999998</v>
      </c>
      <c r="S245" s="194">
        <f t="shared" si="22"/>
        <v>0.72522373218428904</v>
      </c>
      <c r="T245" s="194">
        <f t="shared" si="23"/>
        <v>0.47544358689516342</v>
      </c>
      <c r="U245" s="194">
        <f t="shared" si="24"/>
        <v>0.8696396107368195</v>
      </c>
      <c r="V245">
        <f t="shared" si="19"/>
        <v>51</v>
      </c>
      <c r="W245" s="194">
        <f t="shared" si="25"/>
        <v>0.13868915417542871</v>
      </c>
      <c r="X245" s="194">
        <f t="shared" si="26"/>
        <v>6.2835822526370278E-3</v>
      </c>
      <c r="Y245" s="245" t="str">
        <f>IF(ISNUMBER(SEARCH("C",'WetLitterbags placem_collection'!$X172)),"YES","NO")</f>
        <v>NO</v>
      </c>
      <c r="Z245" s="245" t="str">
        <f>IF(ISNUMBER(SEARCH("H", 'WetLitterbags placem_collection'!$X172)),"YES","NO")</f>
        <v>NO</v>
      </c>
      <c r="AA245" s="245" t="str">
        <f>IF(ISNUMBER(SEARCH("R", 'WetLitterbags placem_collection'!$X172)),"YES","NO")</f>
        <v>NO</v>
      </c>
      <c r="AB245" s="245" t="str">
        <f>IF(ISNUMBER(SEARCH("C", 'WetLitterbags placem_collection'!$V172)),"YES","NO")</f>
        <v>NO</v>
      </c>
      <c r="AC245" s="245" t="str">
        <f>IF(ISNUMBER(SEARCH("H", 'WetLitterbags placem_collection'!$V172)),"YES","NO")</f>
        <v>NO</v>
      </c>
      <c r="AD245" s="245" t="str">
        <f>IF(ISNUMBER(SEARCH("R", 'WetLitterbags placem_collection'!$V172)),"YES","NO")</f>
        <v>NO</v>
      </c>
    </row>
    <row r="246" spans="2:30">
      <c r="B246" t="str">
        <f>Wetseason!B172</f>
        <v>Wet</v>
      </c>
      <c r="C246" s="253">
        <f>Wetseason!C172</f>
        <v>171</v>
      </c>
      <c r="D246" t="s">
        <v>3128</v>
      </c>
      <c r="E246" t="s">
        <v>22</v>
      </c>
      <c r="F246" s="374">
        <v>3</v>
      </c>
      <c r="G246" s="16">
        <f>'WetLitterbags placem_collection'!E173</f>
        <v>42763</v>
      </c>
      <c r="H246" t="str">
        <f>Wetseason!L172</f>
        <v>G656</v>
      </c>
      <c r="I246" t="str">
        <f>Wetseason!L392</f>
        <v>R558</v>
      </c>
      <c r="J246">
        <f>IFERROR(INDEX('Green_rooibos initial weight'!$C$5:$C$2000,MATCH(H246, 'Green_rooibos initial weight'!$A$5:$A$2000,0)),"")</f>
        <v>2.1320000000000001</v>
      </c>
      <c r="K246">
        <f>IFERROR(INDEX('Green_rooibos initial weight'!$C$5:$C$2000,MATCH(I246, 'Green_rooibos initial weight'!$A$5:$A$2000,0)),"")</f>
        <v>2.1760000000000002</v>
      </c>
      <c r="L246" s="194">
        <f t="shared" si="20"/>
        <v>1.8822000000000001</v>
      </c>
      <c r="M246" s="194">
        <f t="shared" si="18"/>
        <v>1.9262000000000001</v>
      </c>
      <c r="N246" s="16">
        <f>IF('WetLitterbags placem_collection'!G173="","",'WetLitterbags placem_collection'!G173)</f>
        <v>42814</v>
      </c>
      <c r="O246" s="194">
        <f>IFERROR(INDEX('Both teabags AfterWet'!$C$3:$C$2000,MATCH(H246,'Both teabags AfterWet'!$A$3:$A$2000,0)),"")</f>
        <v>0.63100000000000001</v>
      </c>
      <c r="P246" s="194">
        <f>IFERROR(INDEX('Both teabags AfterWet'!$C$3:$C$2000,MATCH(I246,'Both teabags AfterWet'!$A$3:$A$2000,0)),"")</f>
        <v>1.61</v>
      </c>
      <c r="Q246" s="194">
        <f t="shared" si="21"/>
        <v>0.48039999999999999</v>
      </c>
      <c r="R246" s="194">
        <f t="shared" si="21"/>
        <v>1.4594</v>
      </c>
      <c r="S246" s="194">
        <f t="shared" si="22"/>
        <v>0.74476676229943684</v>
      </c>
      <c r="T246" s="194">
        <f t="shared" si="23"/>
        <v>0.48825564464286125</v>
      </c>
      <c r="U246" s="194">
        <f t="shared" si="24"/>
        <v>0.75765756411587581</v>
      </c>
      <c r="V246">
        <f t="shared" si="19"/>
        <v>51</v>
      </c>
      <c r="W246" s="194">
        <f t="shared" si="25"/>
        <v>0.11547890463249777</v>
      </c>
      <c r="X246" s="194">
        <f t="shared" si="26"/>
        <v>1.344824444905837E-2</v>
      </c>
      <c r="Y246" s="245" t="str">
        <f>IF(ISNUMBER(SEARCH("C",'WetLitterbags placem_collection'!$X173)),"YES","NO")</f>
        <v>NO</v>
      </c>
      <c r="Z246" s="245" t="str">
        <f>IF(ISNUMBER(SEARCH("H", 'WetLitterbags placem_collection'!$X173)),"YES","NO")</f>
        <v>NO</v>
      </c>
      <c r="AA246" s="245" t="str">
        <f>IF(ISNUMBER(SEARCH("R", 'WetLitterbags placem_collection'!$X173)),"YES","NO")</f>
        <v>NO</v>
      </c>
      <c r="AB246" s="245" t="str">
        <f>IF(ISNUMBER(SEARCH("C", 'WetLitterbags placem_collection'!$V173)),"YES","NO")</f>
        <v>NO</v>
      </c>
      <c r="AC246" s="245" t="str">
        <f>IF(ISNUMBER(SEARCH("H", 'WetLitterbags placem_collection'!$V173)),"YES","NO")</f>
        <v>NO</v>
      </c>
      <c r="AD246" s="245" t="str">
        <f>IF(ISNUMBER(SEARCH("R", 'WetLitterbags placem_collection'!$V173)),"YES","NO")</f>
        <v>YES</v>
      </c>
    </row>
    <row r="247" spans="2:30">
      <c r="B247" t="str">
        <f>Wetseason!B173</f>
        <v>Wet</v>
      </c>
      <c r="C247" s="253">
        <f>Wetseason!C173</f>
        <v>172</v>
      </c>
      <c r="D247" t="s">
        <v>3128</v>
      </c>
      <c r="E247" t="s">
        <v>22</v>
      </c>
      <c r="F247" s="375">
        <v>4</v>
      </c>
      <c r="G247" s="16">
        <f>'WetLitterbags placem_collection'!E174</f>
        <v>42763</v>
      </c>
      <c r="H247" t="str">
        <f>Wetseason!L173</f>
        <v>G281</v>
      </c>
      <c r="I247" t="str">
        <f>Wetseason!L393</f>
        <v>R157</v>
      </c>
      <c r="J247">
        <f>IFERROR(INDEX('Green_rooibos initial weight'!$C$5:$C$2000,MATCH(H247, 'Green_rooibos initial weight'!$A$5:$A$2000,0)),"")</f>
        <v>2.0419999999999998</v>
      </c>
      <c r="K247">
        <f>IFERROR(INDEX('Green_rooibos initial weight'!$C$5:$C$2000,MATCH(I247, 'Green_rooibos initial weight'!$A$5:$A$2000,0)),"")</f>
        <v>2.1819999999999999</v>
      </c>
      <c r="L247" s="194">
        <f t="shared" si="20"/>
        <v>1.7921999999999998</v>
      </c>
      <c r="M247" s="194">
        <f t="shared" si="18"/>
        <v>1.9321999999999999</v>
      </c>
      <c r="N247" s="16">
        <f>IF('WetLitterbags placem_collection'!G174="","",'WetLitterbags placem_collection'!G174)</f>
        <v>42814</v>
      </c>
      <c r="O247" s="194">
        <f>IFERROR(INDEX('Both teabags AfterWet'!$C$3:$C$2000,MATCH(H247,'Both teabags AfterWet'!$A$3:$A$2000,0)),"")</f>
        <v>0.69520000000000004</v>
      </c>
      <c r="P247" s="194">
        <f>IFERROR(INDEX('Both teabags AfterWet'!$C$3:$C$2000,MATCH(I247,'Both teabags AfterWet'!$A$3:$A$2000,0)),"")</f>
        <v>1.6782000000000001</v>
      </c>
      <c r="Q247" s="194">
        <f t="shared" si="21"/>
        <v>0.54459999999999997</v>
      </c>
      <c r="R247" s="194">
        <f t="shared" si="21"/>
        <v>1.5276000000000001</v>
      </c>
      <c r="S247" s="194">
        <f t="shared" si="22"/>
        <v>0.69612766432317819</v>
      </c>
      <c r="T247" s="194">
        <f t="shared" si="23"/>
        <v>0.45636873005510026</v>
      </c>
      <c r="U247" s="194">
        <f t="shared" si="24"/>
        <v>0.79060138701997729</v>
      </c>
      <c r="V247">
        <f t="shared" si="19"/>
        <v>51</v>
      </c>
      <c r="W247" s="194">
        <f t="shared" si="25"/>
        <v>0.17324505424800685</v>
      </c>
      <c r="X247" s="194">
        <f t="shared" si="26"/>
        <v>1.2039877558691417E-2</v>
      </c>
      <c r="Y247" s="245" t="str">
        <f>IF(ISNUMBER(SEARCH("C",'WetLitterbags placem_collection'!$X174)),"YES","NO")</f>
        <v>NO</v>
      </c>
      <c r="Z247" s="245" t="str">
        <f>IF(ISNUMBER(SEARCH("H", 'WetLitterbags placem_collection'!$X174)),"YES","NO")</f>
        <v>NO</v>
      </c>
      <c r="AA247" s="245" t="str">
        <f>IF(ISNUMBER(SEARCH("R", 'WetLitterbags placem_collection'!$X174)),"YES","NO")</f>
        <v>NO</v>
      </c>
      <c r="AB247" s="245" t="str">
        <f>IF(ISNUMBER(SEARCH("C", 'WetLitterbags placem_collection'!$V174)),"YES","NO")</f>
        <v>NO</v>
      </c>
      <c r="AC247" s="245" t="str">
        <f>IF(ISNUMBER(SEARCH("H", 'WetLitterbags placem_collection'!$V174)),"YES","NO")</f>
        <v>NO</v>
      </c>
      <c r="AD247" s="245" t="str">
        <f>IF(ISNUMBER(SEARCH("R", 'WetLitterbags placem_collection'!$V174)),"YES","NO")</f>
        <v>YES</v>
      </c>
    </row>
    <row r="248" spans="2:30">
      <c r="B248" t="str">
        <f>Wetseason!B174</f>
        <v>Wet</v>
      </c>
      <c r="C248" s="253">
        <f>Wetseason!C174</f>
        <v>173</v>
      </c>
      <c r="D248" t="s">
        <v>3128</v>
      </c>
      <c r="E248" t="s">
        <v>22</v>
      </c>
      <c r="F248" s="375">
        <v>5</v>
      </c>
      <c r="G248" s="16">
        <f>'WetLitterbags placem_collection'!E175</f>
        <v>42763</v>
      </c>
      <c r="H248" t="str">
        <f>Wetseason!L174</f>
        <v>G216</v>
      </c>
      <c r="I248" t="str">
        <f>Wetseason!L394</f>
        <v>R57</v>
      </c>
      <c r="J248">
        <f>IFERROR(INDEX('Green_rooibos initial weight'!$C$5:$C$2000,MATCH(H248, 'Green_rooibos initial weight'!$A$5:$A$2000,0)),"")</f>
        <v>2.1150000000000002</v>
      </c>
      <c r="K248">
        <f>IFERROR(INDEX('Green_rooibos initial weight'!$C$5:$C$2000,MATCH(I248, 'Green_rooibos initial weight'!$A$5:$A$2000,0)),"")</f>
        <v>2.1890000000000001</v>
      </c>
      <c r="L248" s="194">
        <f t="shared" si="20"/>
        <v>1.8652000000000002</v>
      </c>
      <c r="M248" s="194">
        <f t="shared" si="18"/>
        <v>1.9392</v>
      </c>
      <c r="N248" s="16">
        <f>IF('WetLitterbags placem_collection'!G175="","",'WetLitterbags placem_collection'!G175)</f>
        <v>42814</v>
      </c>
      <c r="O248" s="194">
        <f>IFERROR(INDEX('Both teabags AfterWet'!$C$3:$C$2000,MATCH(H248,'Both teabags AfterWet'!$A$3:$A$2000,0)),"")</f>
        <v>0.57999999999999996</v>
      </c>
      <c r="P248" s="194">
        <f>IFERROR(INDEX('Both teabags AfterWet'!$C$3:$C$2000,MATCH(I248,'Both teabags AfterWet'!$A$3:$A$2000,0)),"")</f>
        <v>7.1999999999999995E-2</v>
      </c>
      <c r="Q248" s="194">
        <f t="shared" si="21"/>
        <v>0.42939999999999995</v>
      </c>
      <c r="R248" s="194">
        <f t="shared" si="21"/>
        <v>-7.8600000000000017E-2</v>
      </c>
      <c r="S248" s="194">
        <f t="shared" si="22"/>
        <v>0.76978340124383449</v>
      </c>
      <c r="T248" s="194">
        <f t="shared" si="23"/>
        <v>0.50465610152802454</v>
      </c>
      <c r="U248" s="194">
        <f t="shared" si="24"/>
        <v>-4.053217821782179E-2</v>
      </c>
      <c r="V248">
        <f t="shared" si="19"/>
        <v>51</v>
      </c>
      <c r="W248" s="194">
        <f t="shared" si="25"/>
        <v>8.5767932014448323E-2</v>
      </c>
      <c r="X248" s="194" t="str">
        <f t="shared" si="26"/>
        <v/>
      </c>
      <c r="Y248" s="245" t="str">
        <f>IF(ISNUMBER(SEARCH("C",'WetLitterbags placem_collection'!$X175)),"YES","NO")</f>
        <v>NO</v>
      </c>
      <c r="Z248" s="245" t="str">
        <f>IF(ISNUMBER(SEARCH("H", 'WetLitterbags placem_collection'!$X175)),"YES","NO")</f>
        <v>NO</v>
      </c>
      <c r="AA248" s="245" t="str">
        <f>IF(ISNUMBER(SEARCH("R", 'WetLitterbags placem_collection'!$X175)),"YES","NO")</f>
        <v>NO</v>
      </c>
      <c r="AB248" s="245" t="str">
        <f>IF(ISNUMBER(SEARCH("C", 'WetLitterbags placem_collection'!$V175)),"YES","NO")</f>
        <v>NO</v>
      </c>
      <c r="AC248" s="245" t="str">
        <f>IF(ISNUMBER(SEARCH("H", 'WetLitterbags placem_collection'!$V175)),"YES","NO")</f>
        <v>NO</v>
      </c>
      <c r="AD248" s="245" t="str">
        <f>IF(ISNUMBER(SEARCH("R", 'WetLitterbags placem_collection'!$V175)),"YES","NO")</f>
        <v>YES</v>
      </c>
    </row>
    <row r="249" spans="2:30">
      <c r="B249" t="str">
        <f>Wetseason!B175</f>
        <v>Wet</v>
      </c>
      <c r="C249" s="253">
        <f>Wetseason!C175</f>
        <v>174</v>
      </c>
      <c r="D249" t="s">
        <v>3128</v>
      </c>
      <c r="E249" t="s">
        <v>22</v>
      </c>
      <c r="F249" s="375">
        <v>6</v>
      </c>
      <c r="G249" s="16">
        <f>'WetLitterbags placem_collection'!E176</f>
        <v>42763</v>
      </c>
      <c r="H249" t="str">
        <f>Wetseason!L175</f>
        <v>G655</v>
      </c>
      <c r="I249" t="str">
        <f>Wetseason!L395</f>
        <v>R307</v>
      </c>
      <c r="J249">
        <f>IFERROR(INDEX('Green_rooibos initial weight'!$C$5:$C$2000,MATCH(H249, 'Green_rooibos initial weight'!$A$5:$A$2000,0)),"")</f>
        <v>2.0009999999999999</v>
      </c>
      <c r="K249">
        <f>IFERROR(INDEX('Green_rooibos initial weight'!$C$5:$C$2000,MATCH(I249, 'Green_rooibos initial weight'!$A$5:$A$2000,0)),"")</f>
        <v>2.2010000000000001</v>
      </c>
      <c r="L249" s="194">
        <f t="shared" si="20"/>
        <v>1.7511999999999999</v>
      </c>
      <c r="M249" s="194">
        <f t="shared" si="18"/>
        <v>1.9512</v>
      </c>
      <c r="N249" s="16">
        <f>IF('WetLitterbags placem_collection'!G176="","",'WetLitterbags placem_collection'!G176)</f>
        <v>42814</v>
      </c>
      <c r="O249" s="194">
        <f>IFERROR(INDEX('Both teabags AfterWet'!$C$3:$C$2000,MATCH(H249,'Both teabags AfterWet'!$A$3:$A$2000,0)),"")</f>
        <v>0.68300000000000005</v>
      </c>
      <c r="P249" s="194">
        <f>IFERROR(INDEX('Both teabags AfterWet'!$C$3:$C$2000,MATCH(I249,'Both teabags AfterWet'!$A$3:$A$2000,0)),"")</f>
        <v>1.724</v>
      </c>
      <c r="Q249" s="194">
        <f t="shared" si="21"/>
        <v>0.53239999999999998</v>
      </c>
      <c r="R249" s="194">
        <f t="shared" si="21"/>
        <v>1.5733999999999999</v>
      </c>
      <c r="S249" s="194">
        <f t="shared" si="22"/>
        <v>0.6959798994974874</v>
      </c>
      <c r="T249" s="194">
        <f t="shared" si="23"/>
        <v>0.45627185810286586</v>
      </c>
      <c r="U249" s="194">
        <f t="shared" si="24"/>
        <v>0.80637556375563746</v>
      </c>
      <c r="V249">
        <f t="shared" si="19"/>
        <v>51</v>
      </c>
      <c r="W249" s="194">
        <f t="shared" si="25"/>
        <v>0.17342054691509812</v>
      </c>
      <c r="X249" s="194">
        <f t="shared" si="26"/>
        <v>1.0828946675497103E-2</v>
      </c>
      <c r="Y249" s="245" t="str">
        <f>IF(ISNUMBER(SEARCH("C",'WetLitterbags placem_collection'!$X176)),"YES","NO")</f>
        <v>NO</v>
      </c>
      <c r="Z249" s="245" t="str">
        <f>IF(ISNUMBER(SEARCH("H", 'WetLitterbags placem_collection'!$X176)),"YES","NO")</f>
        <v>NO</v>
      </c>
      <c r="AA249" s="245" t="str">
        <f>IF(ISNUMBER(SEARCH("R", 'WetLitterbags placem_collection'!$X176)),"YES","NO")</f>
        <v>NO</v>
      </c>
      <c r="AB249" s="245" t="str">
        <f>IF(ISNUMBER(SEARCH("C", 'WetLitterbags placem_collection'!$V176)),"YES","NO")</f>
        <v>NO</v>
      </c>
      <c r="AC249" s="245" t="str">
        <f>IF(ISNUMBER(SEARCH("H", 'WetLitterbags placem_collection'!$V176)),"YES","NO")</f>
        <v>NO</v>
      </c>
      <c r="AD249" s="245" t="str">
        <f>IF(ISNUMBER(SEARCH("R", 'WetLitterbags placem_collection'!$V176)),"YES","NO")</f>
        <v>YES</v>
      </c>
    </row>
    <row r="250" spans="2:30">
      <c r="B250" t="str">
        <f>Wetseason!B176</f>
        <v>Wet</v>
      </c>
      <c r="C250" s="253">
        <f>Wetseason!C176</f>
        <v>175</v>
      </c>
      <c r="D250" t="s">
        <v>3128</v>
      </c>
      <c r="E250" t="s">
        <v>22</v>
      </c>
      <c r="F250" s="375">
        <v>7</v>
      </c>
      <c r="G250" s="16">
        <f>'WetLitterbags placem_collection'!E177</f>
        <v>42763</v>
      </c>
      <c r="H250" t="str">
        <f>Wetseason!L176</f>
        <v>G457</v>
      </c>
      <c r="I250" t="str">
        <f>Wetseason!L396</f>
        <v>R458</v>
      </c>
      <c r="J250">
        <f>IFERROR(INDEX('Green_rooibos initial weight'!$C$5:$C$2000,MATCH(H250, 'Green_rooibos initial weight'!$A$5:$A$2000,0)),"")</f>
        <v>2.1579999999999999</v>
      </c>
      <c r="K250">
        <f>IFERROR(INDEX('Green_rooibos initial weight'!$C$5:$C$2000,MATCH(I250, 'Green_rooibos initial weight'!$A$5:$A$2000,0)),"")</f>
        <v>2.2370000000000001</v>
      </c>
      <c r="L250" s="194">
        <f t="shared" si="20"/>
        <v>1.9081999999999999</v>
      </c>
      <c r="M250" s="194">
        <f t="shared" si="18"/>
        <v>1.9872000000000001</v>
      </c>
      <c r="N250" s="16">
        <f>IF('WetLitterbags placem_collection'!G177="","",'WetLitterbags placem_collection'!G177)</f>
        <v>42814</v>
      </c>
      <c r="O250" s="194">
        <f>IFERROR(INDEX('Both teabags AfterWet'!$C$3:$C$2000,MATCH(H250,'Both teabags AfterWet'!$A$3:$A$2000,0)),"")</f>
        <v>0.68200000000000005</v>
      </c>
      <c r="P250" s="194">
        <f>IFERROR(INDEX('Both teabags AfterWet'!$C$3:$C$2000,MATCH(I250,'Both teabags AfterWet'!$A$3:$A$2000,0)),"")</f>
        <v>0.61699999999999999</v>
      </c>
      <c r="Q250" s="194">
        <f t="shared" si="21"/>
        <v>0.53140000000000009</v>
      </c>
      <c r="R250" s="194">
        <f t="shared" si="21"/>
        <v>0.46639999999999998</v>
      </c>
      <c r="S250" s="194">
        <f t="shared" si="22"/>
        <v>0.72151766062257616</v>
      </c>
      <c r="T250" s="194">
        <f t="shared" si="23"/>
        <v>0.47301395328225904</v>
      </c>
      <c r="U250" s="194">
        <f t="shared" si="24"/>
        <v>0.23470209339774556</v>
      </c>
      <c r="V250">
        <f t="shared" si="19"/>
        <v>51</v>
      </c>
      <c r="W250" s="194">
        <f t="shared" si="25"/>
        <v>0.14309066434373374</v>
      </c>
      <c r="X250" s="194" t="str">
        <f t="shared" si="26"/>
        <v/>
      </c>
      <c r="Y250" s="245" t="str">
        <f>IF(ISNUMBER(SEARCH("C",'WetLitterbags placem_collection'!$X177)),"YES","NO")</f>
        <v>NO</v>
      </c>
      <c r="Z250" s="245" t="str">
        <f>IF(ISNUMBER(SEARCH("H", 'WetLitterbags placem_collection'!$X177)),"YES","NO")</f>
        <v>NO</v>
      </c>
      <c r="AA250" s="245" t="str">
        <f>IF(ISNUMBER(SEARCH("R", 'WetLitterbags placem_collection'!$X177)),"YES","NO")</f>
        <v>NO</v>
      </c>
      <c r="AB250" s="245" t="str">
        <f>IF(ISNUMBER(SEARCH("C", 'WetLitterbags placem_collection'!$V177)),"YES","NO")</f>
        <v>NO</v>
      </c>
      <c r="AC250" s="245" t="str">
        <f>IF(ISNUMBER(SEARCH("H", 'WetLitterbags placem_collection'!$V177)),"YES","NO")</f>
        <v>NO</v>
      </c>
      <c r="AD250" s="245" t="str">
        <f>IF(ISNUMBER(SEARCH("R", 'WetLitterbags placem_collection'!$V177)),"YES","NO")</f>
        <v>NO</v>
      </c>
    </row>
    <row r="251" spans="2:30">
      <c r="B251" t="str">
        <f>Wetseason!B177</f>
        <v>Wet</v>
      </c>
      <c r="C251" s="253">
        <f>Wetseason!C177</f>
        <v>176</v>
      </c>
      <c r="D251" t="s">
        <v>3128</v>
      </c>
      <c r="E251" t="s">
        <v>22</v>
      </c>
      <c r="F251" s="375">
        <v>8</v>
      </c>
      <c r="G251" s="16">
        <f>'WetLitterbags placem_collection'!E178</f>
        <v>42763</v>
      </c>
      <c r="H251" t="str">
        <f>Wetseason!L177</f>
        <v>G454</v>
      </c>
      <c r="I251" t="str">
        <f>Wetseason!L397</f>
        <v>R326</v>
      </c>
      <c r="J251">
        <f>IFERROR(INDEX('Green_rooibos initial weight'!$C$5:$C$2000,MATCH(H251, 'Green_rooibos initial weight'!$A$5:$A$2000,0)),"")</f>
        <v>2.0920000000000001</v>
      </c>
      <c r="K251">
        <f>IFERROR(INDEX('Green_rooibos initial weight'!$C$5:$C$2000,MATCH(I251, 'Green_rooibos initial weight'!$A$5:$A$2000,0)),"")</f>
        <v>2.1890000000000001</v>
      </c>
      <c r="L251" s="194">
        <f t="shared" si="20"/>
        <v>1.8422000000000001</v>
      </c>
      <c r="M251" s="194">
        <f t="shared" si="18"/>
        <v>1.9392</v>
      </c>
      <c r="N251" s="16">
        <f>IF('WetLitterbags placem_collection'!G178="","",'WetLitterbags placem_collection'!G178)</f>
        <v>42814</v>
      </c>
      <c r="O251" s="194">
        <f>IFERROR(INDEX('Both teabags AfterWet'!$C$3:$C$2000,MATCH(H251,'Both teabags AfterWet'!$A$3:$A$2000,0)),"")</f>
        <v>0.63900000000000001</v>
      </c>
      <c r="P251" s="194">
        <f>IFERROR(INDEX('Both teabags AfterWet'!$C$3:$C$2000,MATCH(I251,'Both teabags AfterWet'!$A$3:$A$2000,0)),"")</f>
        <v>1.694</v>
      </c>
      <c r="Q251" s="194">
        <f t="shared" si="21"/>
        <v>0.4884</v>
      </c>
      <c r="R251" s="194">
        <f t="shared" si="21"/>
        <v>1.5433999999999999</v>
      </c>
      <c r="S251" s="194">
        <f t="shared" si="22"/>
        <v>0.73488220605797416</v>
      </c>
      <c r="T251" s="194">
        <f t="shared" si="23"/>
        <v>0.48177550800950331</v>
      </c>
      <c r="U251" s="194">
        <f t="shared" si="24"/>
        <v>0.79589521452145207</v>
      </c>
      <c r="V251">
        <f t="shared" si="19"/>
        <v>51</v>
      </c>
      <c r="W251" s="194">
        <f t="shared" si="25"/>
        <v>0.1272182825914796</v>
      </c>
      <c r="X251" s="194">
        <f t="shared" si="26"/>
        <v>1.0804750866490282E-2</v>
      </c>
      <c r="Y251" s="245" t="str">
        <f>IF(ISNUMBER(SEARCH("C",'WetLitterbags placem_collection'!$X178)),"YES","NO")</f>
        <v>NO</v>
      </c>
      <c r="Z251" s="245" t="str">
        <f>IF(ISNUMBER(SEARCH("H", 'WetLitterbags placem_collection'!$X178)),"YES","NO")</f>
        <v>NO</v>
      </c>
      <c r="AA251" s="245" t="str">
        <f>IF(ISNUMBER(SEARCH("R", 'WetLitterbags placem_collection'!$X178)),"YES","NO")</f>
        <v>NO</v>
      </c>
      <c r="AB251" s="245" t="str">
        <f>IF(ISNUMBER(SEARCH("C", 'WetLitterbags placem_collection'!$V178)),"YES","NO")</f>
        <v>NO</v>
      </c>
      <c r="AC251" s="245" t="str">
        <f>IF(ISNUMBER(SEARCH("H", 'WetLitterbags placem_collection'!$V178)),"YES","NO")</f>
        <v>NO</v>
      </c>
      <c r="AD251" s="245" t="str">
        <f>IF(ISNUMBER(SEARCH("R", 'WetLitterbags placem_collection'!$V178)),"YES","NO")</f>
        <v>NO</v>
      </c>
    </row>
    <row r="252" spans="2:30">
      <c r="B252" t="str">
        <f>Wetseason!B178</f>
        <v>Wet</v>
      </c>
      <c r="C252" s="253">
        <f>Wetseason!C178</f>
        <v>177</v>
      </c>
      <c r="D252" t="s">
        <v>3129</v>
      </c>
      <c r="E252" t="s">
        <v>22</v>
      </c>
      <c r="F252" s="374">
        <v>1</v>
      </c>
      <c r="G252" s="16">
        <f>'WetLitterbags placem_collection'!E179</f>
        <v>42763</v>
      </c>
      <c r="H252" t="str">
        <f>Wetseason!L178</f>
        <v>G362</v>
      </c>
      <c r="I252" t="str">
        <f>Wetseason!L398</f>
        <v>R262</v>
      </c>
      <c r="J252">
        <f>IFERROR(INDEX('Green_rooibos initial weight'!$C$5:$C$2000,MATCH(H252, 'Green_rooibos initial weight'!$A$5:$A$2000,0)),"")</f>
        <v>2.0659999999999998</v>
      </c>
      <c r="K252">
        <f>IFERROR(INDEX('Green_rooibos initial weight'!$C$5:$C$2000,MATCH(I252, 'Green_rooibos initial weight'!$A$5:$A$2000,0)),"")</f>
        <v>2.1949999999999998</v>
      </c>
      <c r="L252" s="194">
        <f t="shared" si="20"/>
        <v>1.8161999999999998</v>
      </c>
      <c r="M252" s="194">
        <f t="shared" si="18"/>
        <v>1.9451999999999998</v>
      </c>
      <c r="N252" s="16">
        <f>IF('WetLitterbags placem_collection'!G179="","",'WetLitterbags placem_collection'!G179)</f>
        <v>42815</v>
      </c>
      <c r="O252" s="194">
        <f>IFERROR(INDEX('Both teabags AfterWet'!$C$3:$C$2000,MATCH(H252,'Both teabags AfterWet'!$A$3:$A$2000,0)),"")</f>
        <v>0.61299999999999999</v>
      </c>
      <c r="P252" s="194">
        <f>IFERROR(INDEX('Both teabags AfterWet'!$C$3:$C$2000,MATCH(I252,'Both teabags AfterWet'!$A$3:$A$2000,0)),"")</f>
        <v>1.671</v>
      </c>
      <c r="Q252" s="194">
        <f t="shared" si="21"/>
        <v>0.46239999999999998</v>
      </c>
      <c r="R252" s="194">
        <f t="shared" si="21"/>
        <v>1.5204</v>
      </c>
      <c r="S252" s="194">
        <f t="shared" si="22"/>
        <v>0.74540248871269688</v>
      </c>
      <c r="T252" s="194">
        <f t="shared" si="23"/>
        <v>0.48867241540309825</v>
      </c>
      <c r="U252" s="194">
        <f t="shared" si="24"/>
        <v>0.7816162862430599</v>
      </c>
      <c r="V252">
        <f t="shared" si="19"/>
        <v>52</v>
      </c>
      <c r="W252" s="194">
        <f t="shared" si="25"/>
        <v>0.11472388513931486</v>
      </c>
      <c r="X252" s="194">
        <f t="shared" si="26"/>
        <v>1.1388494321888256E-2</v>
      </c>
      <c r="Y252" s="245" t="str">
        <f>IF(ISNUMBER(SEARCH("C",'WetLitterbags placem_collection'!$X179)),"YES","NO")</f>
        <v>NO</v>
      </c>
      <c r="Z252" s="245" t="str">
        <f>IF(ISNUMBER(SEARCH("H", 'WetLitterbags placem_collection'!$X179)),"YES","NO")</f>
        <v>NO</v>
      </c>
      <c r="AA252" s="245" t="str">
        <f>IF(ISNUMBER(SEARCH("R", 'WetLitterbags placem_collection'!$X179)),"YES","NO")</f>
        <v>NO</v>
      </c>
      <c r="AB252" s="245" t="str">
        <f>IF(ISNUMBER(SEARCH("C", 'WetLitterbags placem_collection'!$V179)),"YES","NO")</f>
        <v>NO</v>
      </c>
      <c r="AC252" s="245" t="str">
        <f>IF(ISNUMBER(SEARCH("H", 'WetLitterbags placem_collection'!$V179)),"YES","NO")</f>
        <v>NO</v>
      </c>
      <c r="AD252" s="245" t="str">
        <f>IF(ISNUMBER(SEARCH("R", 'WetLitterbags placem_collection'!$V179)),"YES","NO")</f>
        <v>NO</v>
      </c>
    </row>
    <row r="253" spans="2:30">
      <c r="B253" t="str">
        <f>Wetseason!B179</f>
        <v>Wet</v>
      </c>
      <c r="C253" s="253">
        <f>Wetseason!C179</f>
        <v>178</v>
      </c>
      <c r="D253" t="s">
        <v>3129</v>
      </c>
      <c r="E253" t="s">
        <v>22</v>
      </c>
      <c r="F253" s="374">
        <v>2</v>
      </c>
      <c r="G253" s="16">
        <f>'WetLitterbags placem_collection'!E180</f>
        <v>42763</v>
      </c>
      <c r="H253" t="str">
        <f>Wetseason!L179</f>
        <v>G781</v>
      </c>
      <c r="I253" t="str">
        <f>Wetseason!L399</f>
        <v>R309</v>
      </c>
      <c r="J253">
        <f>IFERROR(INDEX('Green_rooibos initial weight'!$C$5:$C$2000,MATCH(H253, 'Green_rooibos initial weight'!$A$5:$A$2000,0)),"")</f>
        <v>2.0920000000000001</v>
      </c>
      <c r="K253">
        <f>IFERROR(INDEX('Green_rooibos initial weight'!$C$5:$C$2000,MATCH(I253, 'Green_rooibos initial weight'!$A$5:$A$2000,0)),"")</f>
        <v>2.1960000000000002</v>
      </c>
      <c r="L253" s="194">
        <f t="shared" si="20"/>
        <v>1.8422000000000001</v>
      </c>
      <c r="M253" s="194">
        <f t="shared" si="18"/>
        <v>1.9462000000000002</v>
      </c>
      <c r="N253" s="16">
        <f>IF('WetLitterbags placem_collection'!G180="","",'WetLitterbags placem_collection'!G180)</f>
        <v>42815</v>
      </c>
      <c r="O253" s="194">
        <f>IFERROR(INDEX('Both teabags AfterWet'!$C$3:$C$2000,MATCH(H253,'Both teabags AfterWet'!$A$3:$A$2000,0)),"")</f>
        <v>0.62549999999999994</v>
      </c>
      <c r="P253" s="194">
        <f>IFERROR(INDEX('Both teabags AfterWet'!$C$3:$C$2000,MATCH(I253,'Both teabags AfterWet'!$A$3:$A$2000,0)),"")</f>
        <v>1.6866000000000001</v>
      </c>
      <c r="Q253" s="194">
        <f t="shared" si="21"/>
        <v>0.47489999999999993</v>
      </c>
      <c r="R253" s="194">
        <f t="shared" si="21"/>
        <v>1.536</v>
      </c>
      <c r="S253" s="194">
        <f t="shared" si="22"/>
        <v>0.74221040060796883</v>
      </c>
      <c r="T253" s="194">
        <f t="shared" si="23"/>
        <v>0.48657974006603188</v>
      </c>
      <c r="U253" s="194">
        <f t="shared" si="24"/>
        <v>0.78923029493371699</v>
      </c>
      <c r="V253">
        <f t="shared" si="19"/>
        <v>52</v>
      </c>
      <c r="W253" s="194">
        <f t="shared" si="25"/>
        <v>0.11851496364849301</v>
      </c>
      <c r="X253" s="194">
        <f t="shared" si="26"/>
        <v>1.0917085461919175E-2</v>
      </c>
      <c r="Y253" s="245" t="str">
        <f>IF(ISNUMBER(SEARCH("C",'WetLitterbags placem_collection'!$X180)),"YES","NO")</f>
        <v>NO</v>
      </c>
      <c r="Z253" s="245" t="str">
        <f>IF(ISNUMBER(SEARCH("H", 'WetLitterbags placem_collection'!$X180)),"YES","NO")</f>
        <v>NO</v>
      </c>
      <c r="AA253" s="245" t="str">
        <f>IF(ISNUMBER(SEARCH("R", 'WetLitterbags placem_collection'!$X180)),"YES","NO")</f>
        <v>YES</v>
      </c>
      <c r="AB253" s="245" t="str">
        <f>IF(ISNUMBER(SEARCH("C", 'WetLitterbags placem_collection'!$V180)),"YES","NO")</f>
        <v>YES</v>
      </c>
      <c r="AC253" s="245" t="str">
        <f>IF(ISNUMBER(SEARCH("H", 'WetLitterbags placem_collection'!$V180)),"YES","NO")</f>
        <v>YES</v>
      </c>
      <c r="AD253" s="245" t="str">
        <f>IF(ISNUMBER(SEARCH("R", 'WetLitterbags placem_collection'!$V180)),"YES","NO")</f>
        <v>NO</v>
      </c>
    </row>
    <row r="254" spans="2:30">
      <c r="B254" t="str">
        <f>Wetseason!B180</f>
        <v>Wet</v>
      </c>
      <c r="C254" s="253">
        <f>Wetseason!C180</f>
        <v>179</v>
      </c>
      <c r="D254" t="s">
        <v>3129</v>
      </c>
      <c r="E254" t="s">
        <v>22</v>
      </c>
      <c r="F254" s="374">
        <v>3</v>
      </c>
      <c r="G254" s="16">
        <f>'WetLitterbags placem_collection'!E181</f>
        <v>42763</v>
      </c>
      <c r="H254" t="str">
        <f>Wetseason!L180</f>
        <v>G451</v>
      </c>
      <c r="I254" t="str">
        <f>Wetseason!L400</f>
        <v>R32</v>
      </c>
      <c r="J254">
        <f>IFERROR(INDEX('Green_rooibos initial weight'!$C$5:$C$2000,MATCH(H254, 'Green_rooibos initial weight'!$A$5:$A$2000,0)),"")</f>
        <v>2.1139999999999999</v>
      </c>
      <c r="K254">
        <f>IFERROR(INDEX('Green_rooibos initial weight'!$C$5:$C$2000,MATCH(I254, 'Green_rooibos initial weight'!$A$5:$A$2000,0)),"")</f>
        <v>2.2290000000000001</v>
      </c>
      <c r="L254" s="194">
        <f t="shared" si="20"/>
        <v>1.8641999999999999</v>
      </c>
      <c r="M254" s="194">
        <f t="shared" si="18"/>
        <v>1.9792000000000001</v>
      </c>
      <c r="N254" s="16">
        <f>IF('WetLitterbags placem_collection'!G181="","",'WetLitterbags placem_collection'!G181)</f>
        <v>42815</v>
      </c>
      <c r="O254" s="194">
        <f>IFERROR(INDEX('Both teabags AfterWet'!$C$3:$C$2000,MATCH(H254,'Both teabags AfterWet'!$A$3:$A$2000,0)),"")</f>
        <v>0.60329999999999995</v>
      </c>
      <c r="P254" s="194">
        <f>IFERROR(INDEX('Both teabags AfterWet'!$C$3:$C$2000,MATCH(I254,'Both teabags AfterWet'!$A$3:$A$2000,0)),"")</f>
        <v>1.6146</v>
      </c>
      <c r="Q254" s="194">
        <f t="shared" si="21"/>
        <v>0.45269999999999994</v>
      </c>
      <c r="R254" s="194">
        <f t="shared" si="21"/>
        <v>1.464</v>
      </c>
      <c r="S254" s="194">
        <f t="shared" si="22"/>
        <v>0.75716124879304791</v>
      </c>
      <c r="T254" s="194">
        <f t="shared" si="23"/>
        <v>0.49638124623962293</v>
      </c>
      <c r="U254" s="194">
        <f t="shared" si="24"/>
        <v>0.73969280517380753</v>
      </c>
      <c r="V254">
        <f t="shared" si="19"/>
        <v>52</v>
      </c>
      <c r="W254" s="194">
        <f t="shared" si="25"/>
        <v>0.10075861188474111</v>
      </c>
      <c r="X254" s="194">
        <f t="shared" si="26"/>
        <v>1.4292283463461404E-2</v>
      </c>
      <c r="Y254" s="245" t="str">
        <f>IF(ISNUMBER(SEARCH("C",'WetLitterbags placem_collection'!$X181)),"YES","NO")</f>
        <v>NO</v>
      </c>
      <c r="Z254" s="245" t="str">
        <f>IF(ISNUMBER(SEARCH("H", 'WetLitterbags placem_collection'!$X181)),"YES","NO")</f>
        <v>NO</v>
      </c>
      <c r="AA254" s="245" t="str">
        <f>IF(ISNUMBER(SEARCH("R", 'WetLitterbags placem_collection'!$X181)),"YES","NO")</f>
        <v>NO</v>
      </c>
      <c r="AB254" s="245" t="str">
        <f>IF(ISNUMBER(SEARCH("C", 'WetLitterbags placem_collection'!$V181)),"YES","NO")</f>
        <v>NO</v>
      </c>
      <c r="AC254" s="245" t="str">
        <f>IF(ISNUMBER(SEARCH("H", 'WetLitterbags placem_collection'!$V181)),"YES","NO")</f>
        <v>NO</v>
      </c>
      <c r="AD254" s="245" t="str">
        <f>IF(ISNUMBER(SEARCH("R", 'WetLitterbags placem_collection'!$V181)),"YES","NO")</f>
        <v>YES</v>
      </c>
    </row>
    <row r="255" spans="2:30">
      <c r="B255" t="str">
        <f>Wetseason!B181</f>
        <v>Wet</v>
      </c>
      <c r="C255" s="253">
        <f>Wetseason!C181</f>
        <v>180</v>
      </c>
      <c r="D255" t="s">
        <v>3129</v>
      </c>
      <c r="E255" t="s">
        <v>22</v>
      </c>
      <c r="F255" s="375">
        <v>4</v>
      </c>
      <c r="G255" s="16">
        <f>'WetLitterbags placem_collection'!E182</f>
        <v>42763</v>
      </c>
      <c r="H255" t="str">
        <f>Wetseason!L181</f>
        <v>G360</v>
      </c>
      <c r="I255" t="str">
        <f>Wetseason!L401</f>
        <v>R268</v>
      </c>
      <c r="J255">
        <f>IFERROR(INDEX('Green_rooibos initial weight'!$C$5:$C$2000,MATCH(H255, 'Green_rooibos initial weight'!$A$5:$A$2000,0)),"")</f>
        <v>2.0099999999999998</v>
      </c>
      <c r="K255">
        <f>IFERROR(INDEX('Green_rooibos initial weight'!$C$5:$C$2000,MATCH(I255, 'Green_rooibos initial weight'!$A$5:$A$2000,0)),"")</f>
        <v>2.1709999999999998</v>
      </c>
      <c r="L255" s="194">
        <f t="shared" si="20"/>
        <v>1.7601999999999998</v>
      </c>
      <c r="M255" s="194">
        <f t="shared" si="18"/>
        <v>1.9211999999999998</v>
      </c>
      <c r="N255" s="16">
        <f>IF('WetLitterbags placem_collection'!G182="","",'WetLitterbags placem_collection'!G182)</f>
        <v>42815</v>
      </c>
      <c r="O255" s="194">
        <f>IFERROR(INDEX('Both teabags AfterWet'!$C$3:$C$2000,MATCH(H255,'Both teabags AfterWet'!$A$3:$A$2000,0)),"")</f>
        <v>0.62219999999999998</v>
      </c>
      <c r="P255" s="194">
        <f>IFERROR(INDEX('Both teabags AfterWet'!$C$3:$C$2000,MATCH(I255,'Both teabags AfterWet'!$A$3:$A$2000,0)),"")</f>
        <v>1.6403000000000001</v>
      </c>
      <c r="Q255" s="194">
        <f t="shared" si="21"/>
        <v>0.47159999999999996</v>
      </c>
      <c r="R255" s="194">
        <f t="shared" si="21"/>
        <v>1.4897</v>
      </c>
      <c r="S255" s="194">
        <f t="shared" si="22"/>
        <v>0.73207590046585613</v>
      </c>
      <c r="T255" s="194">
        <f t="shared" si="23"/>
        <v>0.47993574472345918</v>
      </c>
      <c r="U255" s="194">
        <f t="shared" si="24"/>
        <v>0.77540079117218419</v>
      </c>
      <c r="V255">
        <f t="shared" si="19"/>
        <v>52</v>
      </c>
      <c r="W255" s="194">
        <f t="shared" si="25"/>
        <v>0.13055118709518276</v>
      </c>
      <c r="X255" s="194">
        <f t="shared" si="26"/>
        <v>1.2135957809916944E-2</v>
      </c>
      <c r="Y255" s="245" t="str">
        <f>IF(ISNUMBER(SEARCH("C",'WetLitterbags placem_collection'!$X182)),"YES","NO")</f>
        <v>NO</v>
      </c>
      <c r="Z255" s="245" t="str">
        <f>IF(ISNUMBER(SEARCH("H", 'WetLitterbags placem_collection'!$X182)),"YES","NO")</f>
        <v>NO</v>
      </c>
      <c r="AA255" s="245" t="str">
        <f>IF(ISNUMBER(SEARCH("R", 'WetLitterbags placem_collection'!$X182)),"YES","NO")</f>
        <v>NO</v>
      </c>
      <c r="AB255" s="245" t="str">
        <f>IF(ISNUMBER(SEARCH("C", 'WetLitterbags placem_collection'!$V182)),"YES","NO")</f>
        <v>NO</v>
      </c>
      <c r="AC255" s="245" t="str">
        <f>IF(ISNUMBER(SEARCH("H", 'WetLitterbags placem_collection'!$V182)),"YES","NO")</f>
        <v>NO</v>
      </c>
      <c r="AD255" s="245" t="str">
        <f>IF(ISNUMBER(SEARCH("R", 'WetLitterbags placem_collection'!$V182)),"YES","NO")</f>
        <v>NO</v>
      </c>
    </row>
    <row r="256" spans="2:30">
      <c r="B256" t="str">
        <f>Wetseason!B182</f>
        <v>Wet</v>
      </c>
      <c r="C256" s="253">
        <f>Wetseason!C182</f>
        <v>181</v>
      </c>
      <c r="D256" t="s">
        <v>3129</v>
      </c>
      <c r="E256" t="s">
        <v>22</v>
      </c>
      <c r="F256" s="375">
        <v>5</v>
      </c>
      <c r="G256" s="16">
        <f>'WetLitterbags placem_collection'!E183</f>
        <v>42763</v>
      </c>
      <c r="H256" t="str">
        <f>Wetseason!L182</f>
        <v>G458</v>
      </c>
      <c r="I256" t="str">
        <f>Wetseason!L402</f>
        <v>R587</v>
      </c>
      <c r="J256">
        <f>IFERROR(INDEX('Green_rooibos initial weight'!$C$5:$C$2000,MATCH(H256, 'Green_rooibos initial weight'!$A$5:$A$2000,0)),"")</f>
        <v>1.9770000000000001</v>
      </c>
      <c r="K256">
        <f>IFERROR(INDEX('Green_rooibos initial weight'!$C$5:$C$2000,MATCH(I256, 'Green_rooibos initial weight'!$A$5:$A$2000,0)),"")</f>
        <v>2.2250000000000001</v>
      </c>
      <c r="L256" s="194">
        <f t="shared" si="20"/>
        <v>1.7272000000000001</v>
      </c>
      <c r="M256" s="194">
        <f t="shared" si="18"/>
        <v>1.9752000000000001</v>
      </c>
      <c r="N256" s="16">
        <f>IF('WetLitterbags placem_collection'!G183="","",'WetLitterbags placem_collection'!G183)</f>
        <v>42815</v>
      </c>
      <c r="O256" s="194">
        <f>IFERROR(INDEX('Both teabags AfterWet'!$C$3:$C$2000,MATCH(H256,'Both teabags AfterWet'!$A$3:$A$2000,0)),"")</f>
        <v>0.57499999999999996</v>
      </c>
      <c r="P256" s="194">
        <f>IFERROR(INDEX('Both teabags AfterWet'!$C$3:$C$2000,MATCH(I256,'Both teabags AfterWet'!$A$3:$A$2000,0)),"")</f>
        <v>1.5119</v>
      </c>
      <c r="Q256" s="194">
        <f t="shared" si="21"/>
        <v>0.42439999999999994</v>
      </c>
      <c r="R256" s="194">
        <f t="shared" si="21"/>
        <v>1.3613</v>
      </c>
      <c r="S256" s="194">
        <f t="shared" si="22"/>
        <v>0.75428439092172306</v>
      </c>
      <c r="T256" s="194">
        <f t="shared" si="23"/>
        <v>0.49449523015295865</v>
      </c>
      <c r="U256" s="194">
        <f t="shared" si="24"/>
        <v>0.68919603078169289</v>
      </c>
      <c r="V256">
        <f t="shared" si="19"/>
        <v>52</v>
      </c>
      <c r="W256" s="194">
        <f t="shared" si="25"/>
        <v>0.10417530769391559</v>
      </c>
      <c r="X256" s="194">
        <f t="shared" si="26"/>
        <v>1.9043867050252281E-2</v>
      </c>
      <c r="Y256" s="245" t="str">
        <f>IF(ISNUMBER(SEARCH("C",'WetLitterbags placem_collection'!$X183)),"YES","NO")</f>
        <v>NO</v>
      </c>
      <c r="Z256" s="245" t="str">
        <f>IF(ISNUMBER(SEARCH("H", 'WetLitterbags placem_collection'!$X183)),"YES","NO")</f>
        <v>NO</v>
      </c>
      <c r="AA256" s="245" t="str">
        <f>IF(ISNUMBER(SEARCH("R", 'WetLitterbags placem_collection'!$X183)),"YES","NO")</f>
        <v>NO</v>
      </c>
      <c r="AB256" s="245" t="str">
        <f>IF(ISNUMBER(SEARCH("C", 'WetLitterbags placem_collection'!$V183)),"YES","NO")</f>
        <v>NO</v>
      </c>
      <c r="AC256" s="245" t="str">
        <f>IF(ISNUMBER(SEARCH("H", 'WetLitterbags placem_collection'!$V183)),"YES","NO")</f>
        <v>NO</v>
      </c>
      <c r="AD256" s="245" t="str">
        <f>IF(ISNUMBER(SEARCH("R", 'WetLitterbags placem_collection'!$V183)),"YES","NO")</f>
        <v>NO</v>
      </c>
    </row>
    <row r="257" spans="2:30">
      <c r="B257" t="str">
        <f>Wetseason!B183</f>
        <v>Wet</v>
      </c>
      <c r="C257" s="253">
        <f>Wetseason!C183</f>
        <v>182</v>
      </c>
      <c r="D257" t="s">
        <v>3129</v>
      </c>
      <c r="E257" t="s">
        <v>22</v>
      </c>
      <c r="F257" s="375">
        <v>6</v>
      </c>
      <c r="G257" s="16">
        <f>'WetLitterbags placem_collection'!E184</f>
        <v>42763</v>
      </c>
      <c r="H257" t="str">
        <f>Wetseason!L183</f>
        <v>G403</v>
      </c>
      <c r="I257" t="str">
        <f>Wetseason!L403</f>
        <v>R444</v>
      </c>
      <c r="J257">
        <f>IFERROR(INDEX('Green_rooibos initial weight'!$C$5:$C$2000,MATCH(H257, 'Green_rooibos initial weight'!$A$5:$A$2000,0)),"")</f>
        <v>2.06</v>
      </c>
      <c r="K257">
        <f>IFERROR(INDEX('Green_rooibos initial weight'!$C$5:$C$2000,MATCH(I257, 'Green_rooibos initial weight'!$A$5:$A$2000,0)),"")</f>
        <v>2.2149999999999999</v>
      </c>
      <c r="L257" s="194">
        <f t="shared" si="20"/>
        <v>1.8102</v>
      </c>
      <c r="M257" s="194">
        <f t="shared" si="18"/>
        <v>1.9651999999999998</v>
      </c>
      <c r="N257" s="16">
        <f>IF('WetLitterbags placem_collection'!G184="","",'WetLitterbags placem_collection'!G184)</f>
        <v>42815</v>
      </c>
      <c r="O257" s="194">
        <f>IFERROR(INDEX('Both teabags AfterWet'!$C$3:$C$2000,MATCH(H257,'Both teabags AfterWet'!$A$3:$A$2000,0)),"")</f>
        <v>0.69440000000000002</v>
      </c>
      <c r="P257" s="194">
        <f>IFERROR(INDEX('Both teabags AfterWet'!$C$3:$C$2000,MATCH(I257,'Both teabags AfterWet'!$A$3:$A$2000,0)),"")</f>
        <v>1.7522</v>
      </c>
      <c r="Q257" s="194">
        <f t="shared" si="21"/>
        <v>0.54380000000000006</v>
      </c>
      <c r="R257" s="194">
        <f t="shared" si="21"/>
        <v>1.6015999999999999</v>
      </c>
      <c r="S257" s="194">
        <f t="shared" si="22"/>
        <v>0.69959120539166941</v>
      </c>
      <c r="T257" s="194">
        <f t="shared" si="23"/>
        <v>0.45863936505487118</v>
      </c>
      <c r="U257" s="194">
        <f t="shared" si="24"/>
        <v>0.81498066354569509</v>
      </c>
      <c r="V257">
        <f t="shared" si="19"/>
        <v>52</v>
      </c>
      <c r="W257" s="194">
        <f t="shared" si="25"/>
        <v>0.16913158504552328</v>
      </c>
      <c r="X257" s="194">
        <f t="shared" si="26"/>
        <v>9.9331503302323501E-3</v>
      </c>
      <c r="Y257" s="245" t="str">
        <f>IF(ISNUMBER(SEARCH("C",'WetLitterbags placem_collection'!$X184)),"YES","NO")</f>
        <v>NO</v>
      </c>
      <c r="Z257" s="245" t="str">
        <f>IF(ISNUMBER(SEARCH("H", 'WetLitterbags placem_collection'!$X184)),"YES","NO")</f>
        <v>NO</v>
      </c>
      <c r="AA257" s="245" t="str">
        <f>IF(ISNUMBER(SEARCH("R", 'WetLitterbags placem_collection'!$X184)),"YES","NO")</f>
        <v>NO</v>
      </c>
      <c r="AB257" s="245" t="str">
        <f>IF(ISNUMBER(SEARCH("C", 'WetLitterbags placem_collection'!$V184)),"YES","NO")</f>
        <v>NO</v>
      </c>
      <c r="AC257" s="245" t="str">
        <f>IF(ISNUMBER(SEARCH("H", 'WetLitterbags placem_collection'!$V184)),"YES","NO")</f>
        <v>YES</v>
      </c>
      <c r="AD257" s="245" t="str">
        <f>IF(ISNUMBER(SEARCH("R", 'WetLitterbags placem_collection'!$V184)),"YES","NO")</f>
        <v>YES</v>
      </c>
    </row>
    <row r="258" spans="2:30">
      <c r="B258" t="str">
        <f>Wetseason!B184</f>
        <v>Wet</v>
      </c>
      <c r="C258" s="253">
        <f>Wetseason!C184</f>
        <v>183</v>
      </c>
      <c r="D258" t="s">
        <v>3129</v>
      </c>
      <c r="E258" t="s">
        <v>22</v>
      </c>
      <c r="F258" s="375">
        <v>7</v>
      </c>
      <c r="G258" s="16">
        <f>'WetLitterbags placem_collection'!E185</f>
        <v>42763</v>
      </c>
      <c r="H258" t="str">
        <f>Wetseason!L184</f>
        <v>G585</v>
      </c>
      <c r="I258" t="str">
        <f>Wetseason!L404</f>
        <v>R568</v>
      </c>
      <c r="J258">
        <f>IFERROR(INDEX('Green_rooibos initial weight'!$C$5:$C$2000,MATCH(H258, 'Green_rooibos initial weight'!$A$5:$A$2000,0)),"")</f>
        <v>2.1669999999999998</v>
      </c>
      <c r="K258">
        <f>IFERROR(INDEX('Green_rooibos initial weight'!$C$5:$C$2000,MATCH(I258, 'Green_rooibos initial weight'!$A$5:$A$2000,0)),"")</f>
        <v>2.04</v>
      </c>
      <c r="L258" s="194">
        <f t="shared" si="20"/>
        <v>1.9171999999999998</v>
      </c>
      <c r="M258" s="194">
        <f t="shared" si="18"/>
        <v>1.7902</v>
      </c>
      <c r="N258" s="16">
        <f>IF('WetLitterbags placem_collection'!G185="","",'WetLitterbags placem_collection'!G185)</f>
        <v>42815</v>
      </c>
      <c r="O258" s="194">
        <f>IFERROR(INDEX('Both teabags AfterWet'!$C$3:$C$2000,MATCH(H258,'Both teabags AfterWet'!$A$3:$A$2000,0)),"")</f>
        <v>0.71799999999999997</v>
      </c>
      <c r="P258" s="194">
        <f>IFERROR(INDEX('Both teabags AfterWet'!$C$3:$C$2000,MATCH(I258,'Both teabags AfterWet'!$A$3:$A$2000,0)),"")</f>
        <v>0.30299999999999999</v>
      </c>
      <c r="Q258" s="194">
        <f t="shared" si="21"/>
        <v>0.5673999999999999</v>
      </c>
      <c r="R258" s="194">
        <f t="shared" si="21"/>
        <v>0.15239999999999998</v>
      </c>
      <c r="S258" s="194">
        <f t="shared" si="22"/>
        <v>0.70404756937200086</v>
      </c>
      <c r="T258" s="194">
        <f t="shared" si="23"/>
        <v>0.46156087683295077</v>
      </c>
      <c r="U258" s="194">
        <f t="shared" si="24"/>
        <v>8.5130153055524516E-2</v>
      </c>
      <c r="V258">
        <f t="shared" si="19"/>
        <v>52</v>
      </c>
      <c r="W258" s="194">
        <f t="shared" si="25"/>
        <v>0.16383899124465451</v>
      </c>
      <c r="X258" s="194" t="str">
        <f t="shared" si="26"/>
        <v/>
      </c>
      <c r="Y258" s="245" t="str">
        <f>IF(ISNUMBER(SEARCH("C",'WetLitterbags placem_collection'!$X185)),"YES","NO")</f>
        <v>NO</v>
      </c>
      <c r="Z258" s="245" t="str">
        <f>IF(ISNUMBER(SEARCH("H", 'WetLitterbags placem_collection'!$X185)),"YES","NO")</f>
        <v>NO</v>
      </c>
      <c r="AA258" s="245" t="str">
        <f>IF(ISNUMBER(SEARCH("R", 'WetLitterbags placem_collection'!$X185)),"YES","NO")</f>
        <v>NO</v>
      </c>
      <c r="AB258" s="245" t="str">
        <f>IF(ISNUMBER(SEARCH("C", 'WetLitterbags placem_collection'!$V185)),"YES","NO")</f>
        <v>YES</v>
      </c>
      <c r="AC258" s="245" t="str">
        <f>IF(ISNUMBER(SEARCH("H", 'WetLitterbags placem_collection'!$V185)),"YES","NO")</f>
        <v>NO</v>
      </c>
      <c r="AD258" s="245" t="str">
        <f>IF(ISNUMBER(SEARCH("R", 'WetLitterbags placem_collection'!$V185)),"YES","NO")</f>
        <v>NO</v>
      </c>
    </row>
    <row r="259" spans="2:30">
      <c r="B259" t="str">
        <f>Wetseason!B185</f>
        <v>Wet</v>
      </c>
      <c r="C259" s="253">
        <f>Wetseason!C185</f>
        <v>184</v>
      </c>
      <c r="D259" t="s">
        <v>3129</v>
      </c>
      <c r="E259" t="s">
        <v>22</v>
      </c>
      <c r="F259" s="375">
        <v>8</v>
      </c>
      <c r="G259" s="16">
        <f>'WetLitterbags placem_collection'!E186</f>
        <v>42763</v>
      </c>
      <c r="H259" t="str">
        <f>Wetseason!L185</f>
        <v>G669</v>
      </c>
      <c r="I259" t="str">
        <f>Wetseason!L405</f>
        <v>R541</v>
      </c>
      <c r="J259">
        <f>IFERROR(INDEX('Green_rooibos initial weight'!$C$5:$C$2000,MATCH(H259, 'Green_rooibos initial weight'!$A$5:$A$2000,0)),"")</f>
        <v>1.9359999999999999</v>
      </c>
      <c r="K259">
        <f>IFERROR(INDEX('Green_rooibos initial weight'!$C$5:$C$2000,MATCH(I259, 'Green_rooibos initial weight'!$A$5:$A$2000,0)),"")</f>
        <v>2.226</v>
      </c>
      <c r="L259" s="194">
        <f t="shared" si="20"/>
        <v>1.6861999999999999</v>
      </c>
      <c r="M259" s="194">
        <f t="shared" si="18"/>
        <v>1.9762</v>
      </c>
      <c r="N259" s="16">
        <f>IF('WetLitterbags placem_collection'!G186="","",'WetLitterbags placem_collection'!G186)</f>
        <v>42815</v>
      </c>
      <c r="O259" s="194">
        <f>IFERROR(INDEX('Both teabags AfterWet'!$C$3:$C$2000,MATCH(H259,'Both teabags AfterWet'!$A$3:$A$2000,0)),"")</f>
        <v>0.7097</v>
      </c>
      <c r="P259" s="194">
        <f>IFERROR(INDEX('Both teabags AfterWet'!$C$3:$C$2000,MATCH(I259,'Both teabags AfterWet'!$A$3:$A$2000,0)),"")</f>
        <v>1.7278</v>
      </c>
      <c r="Q259" s="194">
        <f t="shared" si="21"/>
        <v>0.55909999999999993</v>
      </c>
      <c r="R259" s="194">
        <f t="shared" si="21"/>
        <v>1.5771999999999999</v>
      </c>
      <c r="S259" s="194">
        <f t="shared" si="22"/>
        <v>0.66842604673229755</v>
      </c>
      <c r="T259" s="194">
        <f t="shared" si="23"/>
        <v>0.43820804963922599</v>
      </c>
      <c r="U259" s="194">
        <f t="shared" si="24"/>
        <v>0.79809735856694664</v>
      </c>
      <c r="V259">
        <f t="shared" si="19"/>
        <v>52</v>
      </c>
      <c r="W259" s="194">
        <f t="shared" si="25"/>
        <v>0.20614483761009794</v>
      </c>
      <c r="X259" s="194">
        <f t="shared" si="26"/>
        <v>1.1876321650216209E-2</v>
      </c>
      <c r="Y259" s="245" t="str">
        <f>IF(ISNUMBER(SEARCH("C",'WetLitterbags placem_collection'!$X186)),"YES","NO")</f>
        <v>NO</v>
      </c>
      <c r="Z259" s="245" t="str">
        <f>IF(ISNUMBER(SEARCH("H", 'WetLitterbags placem_collection'!$X186)),"YES","NO")</f>
        <v>YES</v>
      </c>
      <c r="AA259" s="245" t="str">
        <f>IF(ISNUMBER(SEARCH("R", 'WetLitterbags placem_collection'!$X186)),"YES","NO")</f>
        <v>NO</v>
      </c>
      <c r="AB259" s="245" t="str">
        <f>IF(ISNUMBER(SEARCH("C", 'WetLitterbags placem_collection'!$V186)),"YES","NO")</f>
        <v>NO</v>
      </c>
      <c r="AC259" s="245" t="str">
        <f>IF(ISNUMBER(SEARCH("H", 'WetLitterbags placem_collection'!$V186)),"YES","NO")</f>
        <v>NO</v>
      </c>
      <c r="AD259" s="245" t="str">
        <f>IF(ISNUMBER(SEARCH("R", 'WetLitterbags placem_collection'!$V186)),"YES","NO")</f>
        <v>YES</v>
      </c>
    </row>
    <row r="260" spans="2:30">
      <c r="B260" t="str">
        <f>Wetseason!B186</f>
        <v>Wet</v>
      </c>
      <c r="C260" s="253">
        <f>Wetseason!C186</f>
        <v>185</v>
      </c>
      <c r="D260" t="s">
        <v>3130</v>
      </c>
      <c r="E260" t="s">
        <v>22</v>
      </c>
      <c r="F260" s="374">
        <v>1</v>
      </c>
      <c r="G260" s="16">
        <f>'WetLitterbags placem_collection'!E187</f>
        <v>42763</v>
      </c>
      <c r="H260" t="str">
        <f>Wetseason!L186</f>
        <v>G423</v>
      </c>
      <c r="I260" t="str">
        <f>Wetseason!L406</f>
        <v>R51</v>
      </c>
      <c r="J260">
        <f>IFERROR(INDEX('Green_rooibos initial weight'!$C$5:$C$2000,MATCH(H260, 'Green_rooibos initial weight'!$A$5:$A$2000,0)),"")</f>
        <v>2.0649999999999999</v>
      </c>
      <c r="K260">
        <f>IFERROR(INDEX('Green_rooibos initial weight'!$C$5:$C$2000,MATCH(I260, 'Green_rooibos initial weight'!$A$5:$A$2000,0)),"")</f>
        <v>2.3149999999999999</v>
      </c>
      <c r="L260" s="194">
        <f t="shared" si="20"/>
        <v>1.8151999999999999</v>
      </c>
      <c r="M260" s="194">
        <f t="shared" si="18"/>
        <v>2.0651999999999999</v>
      </c>
      <c r="N260" s="16">
        <f>IF('WetLitterbags placem_collection'!G187="","",'WetLitterbags placem_collection'!G187)</f>
        <v>42815</v>
      </c>
      <c r="O260" s="194">
        <f>IFERROR(INDEX('Both teabags AfterWet'!$C$3:$C$2000,MATCH(H260,'Both teabags AfterWet'!$A$3:$A$2000,0)),"")</f>
        <v>0.62319999999999998</v>
      </c>
      <c r="P260" s="194">
        <f>IFERROR(INDEX('Both teabags AfterWet'!$C$3:$C$2000,MATCH(I260,'Both teabags AfterWet'!$A$3:$A$2000,0)),"")</f>
        <v>1.7762</v>
      </c>
      <c r="Q260" s="194">
        <f t="shared" si="21"/>
        <v>0.47259999999999996</v>
      </c>
      <c r="R260" s="194">
        <f t="shared" si="21"/>
        <v>1.6255999999999999</v>
      </c>
      <c r="S260" s="194">
        <f t="shared" si="22"/>
        <v>0.73964301454385195</v>
      </c>
      <c r="T260" s="194">
        <f t="shared" si="23"/>
        <v>0.48489660810950869</v>
      </c>
      <c r="U260" s="194">
        <f t="shared" si="24"/>
        <v>0.78713926012008517</v>
      </c>
      <c r="V260">
        <f t="shared" si="19"/>
        <v>52</v>
      </c>
      <c r="W260" s="194">
        <f t="shared" si="25"/>
        <v>0.12156411574364379</v>
      </c>
      <c r="X260" s="194">
        <f t="shared" si="26"/>
        <v>1.1115418518512669E-2</v>
      </c>
      <c r="Y260" s="245" t="str">
        <f>IF(ISNUMBER(SEARCH("C",'WetLitterbags placem_collection'!$X187)),"YES","NO")</f>
        <v>NO</v>
      </c>
      <c r="Z260" s="245" t="str">
        <f>IF(ISNUMBER(SEARCH("H", 'WetLitterbags placem_collection'!$X187)),"YES","NO")</f>
        <v>NO</v>
      </c>
      <c r="AA260" s="245" t="str">
        <f>IF(ISNUMBER(SEARCH("R", 'WetLitterbags placem_collection'!$X187)),"YES","NO")</f>
        <v>NO</v>
      </c>
      <c r="AB260" s="245" t="str">
        <f>IF(ISNUMBER(SEARCH("C", 'WetLitterbags placem_collection'!$V187)),"YES","NO")</f>
        <v>NO</v>
      </c>
      <c r="AC260" s="245" t="str">
        <f>IF(ISNUMBER(SEARCH("H", 'WetLitterbags placem_collection'!$V187)),"YES","NO")</f>
        <v>NO</v>
      </c>
      <c r="AD260" s="245" t="str">
        <f>IF(ISNUMBER(SEARCH("R", 'WetLitterbags placem_collection'!$V187)),"YES","NO")</f>
        <v>NO</v>
      </c>
    </row>
    <row r="261" spans="2:30">
      <c r="B261" t="str">
        <f>Wetseason!B187</f>
        <v>Wet</v>
      </c>
      <c r="C261" s="253">
        <f>Wetseason!C187</f>
        <v>186</v>
      </c>
      <c r="D261" t="s">
        <v>3130</v>
      </c>
      <c r="E261" t="s">
        <v>22</v>
      </c>
      <c r="F261" s="374">
        <v>2</v>
      </c>
      <c r="G261" s="16">
        <f>'WetLitterbags placem_collection'!E188</f>
        <v>42763</v>
      </c>
      <c r="H261" t="str">
        <f>Wetseason!L187</f>
        <v>G544</v>
      </c>
      <c r="I261" t="str">
        <f>Wetseason!L407</f>
        <v>R557</v>
      </c>
      <c r="J261">
        <f>IFERROR(INDEX('Green_rooibos initial weight'!$C$5:$C$2000,MATCH(H261, 'Green_rooibos initial weight'!$A$5:$A$2000,0)),"")</f>
        <v>2.0830000000000002</v>
      </c>
      <c r="K261">
        <f>IFERROR(INDEX('Green_rooibos initial weight'!$C$5:$C$2000,MATCH(I261, 'Green_rooibos initial weight'!$A$5:$A$2000,0)),"")</f>
        <v>2.2229999999999999</v>
      </c>
      <c r="L261" s="194">
        <f t="shared" si="20"/>
        <v>1.8332000000000002</v>
      </c>
      <c r="M261" s="194">
        <f t="shared" si="18"/>
        <v>1.9731999999999998</v>
      </c>
      <c r="N261" s="16">
        <f>IF('WetLitterbags placem_collection'!G188="","",'WetLitterbags placem_collection'!G188)</f>
        <v>42815</v>
      </c>
      <c r="O261" s="194">
        <f>IFERROR(INDEX('Both teabags AfterWet'!$C$3:$C$2000,MATCH(H261,'Both teabags AfterWet'!$A$3:$A$2000,0)),"")</f>
        <v>0.69</v>
      </c>
      <c r="P261" s="194">
        <f>IFERROR(INDEX('Both teabags AfterWet'!$C$3:$C$2000,MATCH(I261,'Both teabags AfterWet'!$A$3:$A$2000,0)),"")</f>
        <v>1.7509999999999999</v>
      </c>
      <c r="Q261" s="194">
        <f t="shared" si="21"/>
        <v>0.53939999999999988</v>
      </c>
      <c r="R261" s="194">
        <f t="shared" si="21"/>
        <v>1.6003999999999998</v>
      </c>
      <c r="S261" s="194">
        <f t="shared" si="22"/>
        <v>0.70576041893955932</v>
      </c>
      <c r="T261" s="194">
        <f t="shared" si="23"/>
        <v>0.4626837900886423</v>
      </c>
      <c r="U261" s="194">
        <f t="shared" si="24"/>
        <v>0.81106831542671798</v>
      </c>
      <c r="V261">
        <f t="shared" si="19"/>
        <v>52</v>
      </c>
      <c r="W261" s="194">
        <f t="shared" si="25"/>
        <v>0.16180472810028579</v>
      </c>
      <c r="X261" s="194">
        <f t="shared" si="26"/>
        <v>1.0092709413661128E-2</v>
      </c>
      <c r="Y261" s="245" t="str">
        <f>IF(ISNUMBER(SEARCH("C",'WetLitterbags placem_collection'!$X188)),"YES","NO")</f>
        <v>NO</v>
      </c>
      <c r="Z261" s="245" t="str">
        <f>IF(ISNUMBER(SEARCH("H", 'WetLitterbags placem_collection'!$X188)),"YES","NO")</f>
        <v>NO</v>
      </c>
      <c r="AA261" s="245" t="str">
        <f>IF(ISNUMBER(SEARCH("R", 'WetLitterbags placem_collection'!$X188)),"YES","NO")</f>
        <v>NO</v>
      </c>
      <c r="AB261" s="245" t="str">
        <f>IF(ISNUMBER(SEARCH("C", 'WetLitterbags placem_collection'!$V188)),"YES","NO")</f>
        <v>NO</v>
      </c>
      <c r="AC261" s="245" t="str">
        <f>IF(ISNUMBER(SEARCH("H", 'WetLitterbags placem_collection'!$V188)),"YES","NO")</f>
        <v>NO</v>
      </c>
      <c r="AD261" s="245" t="str">
        <f>IF(ISNUMBER(SEARCH("R", 'WetLitterbags placem_collection'!$V188)),"YES","NO")</f>
        <v>YES</v>
      </c>
    </row>
    <row r="262" spans="2:30">
      <c r="B262" t="str">
        <f>Wetseason!B188</f>
        <v>Wet</v>
      </c>
      <c r="C262" s="253">
        <f>Wetseason!C188</f>
        <v>187</v>
      </c>
      <c r="D262" t="s">
        <v>3130</v>
      </c>
      <c r="E262" t="s">
        <v>22</v>
      </c>
      <c r="F262" s="374">
        <v>3</v>
      </c>
      <c r="G262" s="16">
        <f>'WetLitterbags placem_collection'!E189</f>
        <v>42763</v>
      </c>
      <c r="H262" t="str">
        <f>Wetseason!L188</f>
        <v>G620</v>
      </c>
      <c r="I262" t="str">
        <f>Wetseason!L408</f>
        <v>R427</v>
      </c>
      <c r="J262">
        <f>IFERROR(INDEX('Green_rooibos initial weight'!$C$5:$C$2000,MATCH(H262, 'Green_rooibos initial weight'!$A$5:$A$2000,0)),"")</f>
        <v>2.0019999999999998</v>
      </c>
      <c r="K262">
        <f>IFERROR(INDEX('Green_rooibos initial weight'!$C$5:$C$2000,MATCH(I262, 'Green_rooibos initial weight'!$A$5:$A$2000,0)),"")</f>
        <v>2.1760000000000002</v>
      </c>
      <c r="L262" s="194">
        <f t="shared" si="20"/>
        <v>1.7521999999999998</v>
      </c>
      <c r="M262" s="194">
        <f t="shared" si="18"/>
        <v>1.9262000000000001</v>
      </c>
      <c r="N262" s="16">
        <f>IF('WetLitterbags placem_collection'!G189="","",'WetLitterbags placem_collection'!G189)</f>
        <v>42815</v>
      </c>
      <c r="O262" s="194">
        <f>IFERROR(INDEX('Both teabags AfterWet'!$C$3:$C$2000,MATCH(H262,'Both teabags AfterWet'!$A$3:$A$2000,0)),"")</f>
        <v>0.59950000000000003</v>
      </c>
      <c r="P262" s="194">
        <f>IFERROR(INDEX('Both teabags AfterWet'!$C$3:$C$2000,MATCH(I262,'Both teabags AfterWet'!$A$3:$A$2000,0)),"")</f>
        <v>1.6979</v>
      </c>
      <c r="Q262" s="194">
        <f t="shared" si="21"/>
        <v>0.44890000000000002</v>
      </c>
      <c r="R262" s="194">
        <f t="shared" si="21"/>
        <v>1.5472999999999999</v>
      </c>
      <c r="S262" s="194">
        <f t="shared" si="22"/>
        <v>0.74380778449948637</v>
      </c>
      <c r="T262" s="194">
        <f t="shared" si="23"/>
        <v>0.48762695610892698</v>
      </c>
      <c r="U262" s="194">
        <f t="shared" si="24"/>
        <v>0.80329145467760343</v>
      </c>
      <c r="V262">
        <f t="shared" si="19"/>
        <v>52</v>
      </c>
      <c r="W262" s="194">
        <f t="shared" si="25"/>
        <v>0.11661783313600194</v>
      </c>
      <c r="X262" s="194">
        <f t="shared" si="26"/>
        <v>9.9328428224297449E-3</v>
      </c>
      <c r="Y262" s="245" t="str">
        <f>IF(ISNUMBER(SEARCH("C",'WetLitterbags placem_collection'!$X189)),"YES","NO")</f>
        <v>NO</v>
      </c>
      <c r="Z262" s="245" t="str">
        <f>IF(ISNUMBER(SEARCH("H", 'WetLitterbags placem_collection'!$X189)),"YES","NO")</f>
        <v>NO</v>
      </c>
      <c r="AA262" s="245" t="str">
        <f>IF(ISNUMBER(SEARCH("R", 'WetLitterbags placem_collection'!$X189)),"YES","NO")</f>
        <v>NO</v>
      </c>
      <c r="AB262" s="245" t="str">
        <f>IF(ISNUMBER(SEARCH("C", 'WetLitterbags placem_collection'!$V189)),"YES","NO")</f>
        <v>NO</v>
      </c>
      <c r="AC262" s="245" t="str">
        <f>IF(ISNUMBER(SEARCH("H", 'WetLitterbags placem_collection'!$V189)),"YES","NO")</f>
        <v>NO</v>
      </c>
      <c r="AD262" s="245" t="str">
        <f>IF(ISNUMBER(SEARCH("R", 'WetLitterbags placem_collection'!$V189)),"YES","NO")</f>
        <v>NO</v>
      </c>
    </row>
    <row r="263" spans="2:30">
      <c r="B263" t="str">
        <f>Wetseason!B189</f>
        <v>Wet</v>
      </c>
      <c r="C263" s="253">
        <f>Wetseason!C189</f>
        <v>188</v>
      </c>
      <c r="D263" t="s">
        <v>3130</v>
      </c>
      <c r="E263" t="s">
        <v>22</v>
      </c>
      <c r="F263" s="375">
        <v>4</v>
      </c>
      <c r="G263" s="16">
        <f>'WetLitterbags placem_collection'!E190</f>
        <v>42763</v>
      </c>
      <c r="H263" t="str">
        <f>Wetseason!L189</f>
        <v>G420</v>
      </c>
      <c r="I263" t="str">
        <f>Wetseason!L409</f>
        <v>R523</v>
      </c>
      <c r="J263">
        <f>IFERROR(INDEX('Green_rooibos initial weight'!$C$5:$C$2000,MATCH(H263, 'Green_rooibos initial weight'!$A$5:$A$2000,0)),"")</f>
        <v>2.0390000000000001</v>
      </c>
      <c r="K263">
        <f>IFERROR(INDEX('Green_rooibos initial weight'!$C$5:$C$2000,MATCH(I263, 'Green_rooibos initial weight'!$A$5:$A$2000,0)),"")</f>
        <v>2.1179999999999999</v>
      </c>
      <c r="L263" s="194">
        <f t="shared" si="20"/>
        <v>1.7892000000000001</v>
      </c>
      <c r="M263" s="194">
        <f t="shared" si="18"/>
        <v>1.8681999999999999</v>
      </c>
      <c r="N263" s="16">
        <f>IF('WetLitterbags placem_collection'!G190="","",'WetLitterbags placem_collection'!G190)</f>
        <v>42815</v>
      </c>
      <c r="O263" s="194">
        <f>IFERROR(INDEX('Both teabags AfterWet'!$C$3:$C$2000,MATCH(H263,'Both teabags AfterWet'!$A$3:$A$2000,0)),"")</f>
        <v>0.29980000000000001</v>
      </c>
      <c r="P263" s="194">
        <f>IFERROR(INDEX('Both teabags AfterWet'!$C$3:$C$2000,MATCH(I263,'Both teabags AfterWet'!$A$3:$A$2000,0)),"")</f>
        <v>1.54</v>
      </c>
      <c r="Q263" s="194">
        <f t="shared" si="21"/>
        <v>0.1492</v>
      </c>
      <c r="R263" s="194">
        <f t="shared" si="21"/>
        <v>1.3894</v>
      </c>
      <c r="S263" s="194">
        <f t="shared" si="22"/>
        <v>0.91661077576570538</v>
      </c>
      <c r="T263" s="194">
        <f t="shared" si="23"/>
        <v>0.60091347769913228</v>
      </c>
      <c r="U263" s="194">
        <f t="shared" si="24"/>
        <v>0.74371052349855482</v>
      </c>
      <c r="V263">
        <f t="shared" si="19"/>
        <v>52</v>
      </c>
      <c r="W263" s="194">
        <f t="shared" si="25"/>
        <v>-8.8611372643355502E-2</v>
      </c>
      <c r="X263" s="194">
        <f t="shared" si="26"/>
        <v>1.0692249791656021E-2</v>
      </c>
      <c r="Y263" s="245" t="str">
        <f>IF(ISNUMBER(SEARCH("C",'WetLitterbags placem_collection'!$X190)),"YES","NO")</f>
        <v>NO</v>
      </c>
      <c r="Z263" s="245" t="str">
        <f>IF(ISNUMBER(SEARCH("H", 'WetLitterbags placem_collection'!$X190)),"YES","NO")</f>
        <v>NO</v>
      </c>
      <c r="AA263" s="245" t="str">
        <f>IF(ISNUMBER(SEARCH("R", 'WetLitterbags placem_collection'!$X190)),"YES","NO")</f>
        <v>NO</v>
      </c>
      <c r="AB263" s="245" t="str">
        <f>IF(ISNUMBER(SEARCH("C", 'WetLitterbags placem_collection'!$V190)),"YES","NO")</f>
        <v>NO</v>
      </c>
      <c r="AC263" s="245" t="str">
        <f>IF(ISNUMBER(SEARCH("H", 'WetLitterbags placem_collection'!$V190)),"YES","NO")</f>
        <v>YES</v>
      </c>
      <c r="AD263" s="245" t="str">
        <f>IF(ISNUMBER(SEARCH("R", 'WetLitterbags placem_collection'!$V190)),"YES","NO")</f>
        <v>NO</v>
      </c>
    </row>
    <row r="264" spans="2:30">
      <c r="B264" t="str">
        <f>Wetseason!B190</f>
        <v>Wet</v>
      </c>
      <c r="C264" s="253">
        <f>Wetseason!C190</f>
        <v>189</v>
      </c>
      <c r="D264" t="s">
        <v>3130</v>
      </c>
      <c r="E264" t="s">
        <v>22</v>
      </c>
      <c r="F264" s="375">
        <v>5</v>
      </c>
      <c r="G264" s="16">
        <f>'WetLitterbags placem_collection'!E191</f>
        <v>42763</v>
      </c>
      <c r="H264" t="str">
        <f>Wetseason!L190</f>
        <v>G367</v>
      </c>
      <c r="I264" t="str">
        <f>Wetseason!L410</f>
        <v>R354</v>
      </c>
      <c r="J264">
        <f>IFERROR(INDEX('Green_rooibos initial weight'!$C$5:$C$2000,MATCH(H264, 'Green_rooibos initial weight'!$A$5:$A$2000,0)),"")</f>
        <v>2.0990000000000002</v>
      </c>
      <c r="K264">
        <f>IFERROR(INDEX('Green_rooibos initial weight'!$C$5:$C$2000,MATCH(I264, 'Green_rooibos initial weight'!$A$5:$A$2000,0)),"")</f>
        <v>2.286</v>
      </c>
      <c r="L264" s="194">
        <f t="shared" si="20"/>
        <v>1.8492000000000002</v>
      </c>
      <c r="M264" s="194">
        <f t="shared" si="18"/>
        <v>2.0362</v>
      </c>
      <c r="N264" s="16">
        <f>IF('WetLitterbags placem_collection'!G191="","",'WetLitterbags placem_collection'!G191)</f>
        <v>42815</v>
      </c>
      <c r="O264" s="194">
        <f>IFERROR(INDEX('Both teabags AfterWet'!$C$3:$C$2000,MATCH(H264,'Both teabags AfterWet'!$A$3:$A$2000,0)),"")</f>
        <v>0.80840000000000001</v>
      </c>
      <c r="P264" s="194">
        <f>IFERROR(INDEX('Both teabags AfterWet'!$C$3:$C$2000,MATCH(I264,'Both teabags AfterWet'!$A$3:$A$2000,0)),"")</f>
        <v>1.7630999999999999</v>
      </c>
      <c r="Q264" s="194">
        <f t="shared" si="21"/>
        <v>0.65779999999999994</v>
      </c>
      <c r="R264" s="194">
        <f t="shared" si="21"/>
        <v>1.6124999999999998</v>
      </c>
      <c r="S264" s="194">
        <f t="shared" si="22"/>
        <v>0.64427860696517425</v>
      </c>
      <c r="T264" s="194">
        <f t="shared" si="23"/>
        <v>0.42237742404367723</v>
      </c>
      <c r="U264" s="194">
        <f t="shared" si="24"/>
        <v>0.79191631470386004</v>
      </c>
      <c r="V264">
        <f t="shared" si="19"/>
        <v>52</v>
      </c>
      <c r="W264" s="194">
        <f t="shared" si="25"/>
        <v>0.23482350716725142</v>
      </c>
      <c r="X264" s="194">
        <f t="shared" si="26"/>
        <v>1.3049069216828206E-2</v>
      </c>
      <c r="Y264" s="245" t="str">
        <f>IF(ISNUMBER(SEARCH("C",'WetLitterbags placem_collection'!$X191)),"YES","NO")</f>
        <v>NO</v>
      </c>
      <c r="Z264" s="245" t="str">
        <f>IF(ISNUMBER(SEARCH("H", 'WetLitterbags placem_collection'!$X191)),"YES","NO")</f>
        <v>NO</v>
      </c>
      <c r="AA264" s="245" t="str">
        <f>IF(ISNUMBER(SEARCH("R", 'WetLitterbags placem_collection'!$X191)),"YES","NO")</f>
        <v>NO</v>
      </c>
      <c r="AB264" s="245" t="str">
        <f>IF(ISNUMBER(SEARCH("C", 'WetLitterbags placem_collection'!$V191)),"YES","NO")</f>
        <v>YES</v>
      </c>
      <c r="AC264" s="245" t="str">
        <f>IF(ISNUMBER(SEARCH("H", 'WetLitterbags placem_collection'!$V191)),"YES","NO")</f>
        <v>NO</v>
      </c>
      <c r="AD264" s="245" t="str">
        <f>IF(ISNUMBER(SEARCH("R", 'WetLitterbags placem_collection'!$V191)),"YES","NO")</f>
        <v>YES</v>
      </c>
    </row>
    <row r="265" spans="2:30">
      <c r="B265" t="str">
        <f>Wetseason!B191</f>
        <v>Wet</v>
      </c>
      <c r="C265" s="253">
        <f>Wetseason!C191</f>
        <v>190</v>
      </c>
      <c r="D265" t="s">
        <v>3130</v>
      </c>
      <c r="E265" t="s">
        <v>22</v>
      </c>
      <c r="F265" s="375">
        <v>6</v>
      </c>
      <c r="G265" s="16">
        <f>'WetLitterbags placem_collection'!E192</f>
        <v>42763</v>
      </c>
      <c r="H265" t="str">
        <f>Wetseason!L191</f>
        <v>G526</v>
      </c>
      <c r="I265" t="str">
        <f>Wetseason!L411</f>
        <v>R164</v>
      </c>
      <c r="J265">
        <f>IFERROR(INDEX('Green_rooibos initial weight'!$C$5:$C$2000,MATCH(H265, 'Green_rooibos initial weight'!$A$5:$A$2000,0)),"")</f>
        <v>2.0760000000000001</v>
      </c>
      <c r="K265">
        <f>IFERROR(INDEX('Green_rooibos initial weight'!$C$5:$C$2000,MATCH(I265, 'Green_rooibos initial weight'!$A$5:$A$2000,0)),"")</f>
        <v>2.2040000000000002</v>
      </c>
      <c r="L265" s="194">
        <f t="shared" si="20"/>
        <v>1.8262</v>
      </c>
      <c r="M265" s="194">
        <f t="shared" si="18"/>
        <v>1.9542000000000002</v>
      </c>
      <c r="N265" s="16">
        <f>IF('WetLitterbags placem_collection'!G192="","",'WetLitterbags placem_collection'!G192)</f>
        <v>42815</v>
      </c>
      <c r="O265" s="194">
        <f>IFERROR(INDEX('Both teabags AfterWet'!$C$3:$C$2000,MATCH(H265,'Both teabags AfterWet'!$A$3:$A$2000,0)),"")</f>
        <v>0.61960000000000004</v>
      </c>
      <c r="P265" s="194">
        <f>IFERROR(INDEX('Both teabags AfterWet'!$C$3:$C$2000,MATCH(I265,'Both teabags AfterWet'!$A$3:$A$2000,0)),"")</f>
        <v>1.6649</v>
      </c>
      <c r="Q265" s="194">
        <f t="shared" si="21"/>
        <v>0.46900000000000003</v>
      </c>
      <c r="R265" s="194">
        <f t="shared" si="21"/>
        <v>1.5143</v>
      </c>
      <c r="S265" s="194">
        <f t="shared" si="22"/>
        <v>0.74318256488884016</v>
      </c>
      <c r="T265" s="194">
        <f t="shared" si="23"/>
        <v>0.48721707341881215</v>
      </c>
      <c r="U265" s="194">
        <f t="shared" si="24"/>
        <v>0.77489509773820486</v>
      </c>
      <c r="V265">
        <f t="shared" si="19"/>
        <v>52</v>
      </c>
      <c r="W265" s="194">
        <f t="shared" si="25"/>
        <v>0.11736037424128243</v>
      </c>
      <c r="X265" s="194">
        <f t="shared" si="26"/>
        <v>1.1921869488843211E-2</v>
      </c>
      <c r="Y265" s="245" t="str">
        <f>IF(ISNUMBER(SEARCH("C",'WetLitterbags placem_collection'!$X192)),"YES","NO")</f>
        <v>NO</v>
      </c>
      <c r="Z265" s="245" t="str">
        <f>IF(ISNUMBER(SEARCH("H", 'WetLitterbags placem_collection'!$X192)),"YES","NO")</f>
        <v>NO</v>
      </c>
      <c r="AA265" s="245" t="str">
        <f>IF(ISNUMBER(SEARCH("R", 'WetLitterbags placem_collection'!$X192)),"YES","NO")</f>
        <v>NO</v>
      </c>
      <c r="AB265" s="245" t="str">
        <f>IF(ISNUMBER(SEARCH("C", 'WetLitterbags placem_collection'!$V192)),"YES","NO")</f>
        <v>NO</v>
      </c>
      <c r="AC265" s="245" t="str">
        <f>IF(ISNUMBER(SEARCH("H", 'WetLitterbags placem_collection'!$V192)),"YES","NO")</f>
        <v>NO</v>
      </c>
      <c r="AD265" s="245" t="str">
        <f>IF(ISNUMBER(SEARCH("R", 'WetLitterbags placem_collection'!$V192)),"YES","NO")</f>
        <v>NO</v>
      </c>
    </row>
    <row r="266" spans="2:30">
      <c r="B266" t="str">
        <f>Wetseason!B192</f>
        <v>Wet</v>
      </c>
      <c r="C266" s="253">
        <f>Wetseason!C192</f>
        <v>191</v>
      </c>
      <c r="D266" t="s">
        <v>3130</v>
      </c>
      <c r="E266" t="s">
        <v>22</v>
      </c>
      <c r="F266" s="375">
        <v>7</v>
      </c>
      <c r="G266" s="16">
        <f>'WetLitterbags placem_collection'!E193</f>
        <v>42763</v>
      </c>
      <c r="H266" t="str">
        <f>Wetseason!L192</f>
        <v>G522</v>
      </c>
      <c r="I266" t="str">
        <f>Wetseason!L412</f>
        <v>R336</v>
      </c>
      <c r="J266">
        <f>IFERROR(INDEX('Green_rooibos initial weight'!$C$5:$C$2000,MATCH(H266, 'Green_rooibos initial weight'!$A$5:$A$2000,0)),"")</f>
        <v>1.821</v>
      </c>
      <c r="K266">
        <f>IFERROR(INDEX('Green_rooibos initial weight'!$C$5:$C$2000,MATCH(I266, 'Green_rooibos initial weight'!$A$5:$A$2000,0)),"")</f>
        <v>2.11</v>
      </c>
      <c r="L266" s="194">
        <f t="shared" si="20"/>
        <v>1.5711999999999999</v>
      </c>
      <c r="M266" s="194">
        <f t="shared" si="18"/>
        <v>1.8601999999999999</v>
      </c>
      <c r="N266" s="16">
        <f>IF('WetLitterbags placem_collection'!G193="","",'WetLitterbags placem_collection'!G193)</f>
        <v>42815</v>
      </c>
      <c r="O266" s="194">
        <f>IFERROR(INDEX('Both teabags AfterWet'!$C$3:$C$2000,MATCH(H266,'Both teabags AfterWet'!$A$3:$A$2000,0)),"")</f>
        <v>0.628</v>
      </c>
      <c r="P266" s="194">
        <f>IFERROR(INDEX('Both teabags AfterWet'!$C$3:$C$2000,MATCH(I266,'Both teabags AfterWet'!$A$3:$A$2000,0)),"")</f>
        <v>1.671</v>
      </c>
      <c r="Q266" s="194">
        <f t="shared" si="21"/>
        <v>0.47739999999999999</v>
      </c>
      <c r="R266" s="194">
        <f t="shared" si="21"/>
        <v>1.5204</v>
      </c>
      <c r="S266" s="194">
        <f t="shared" si="22"/>
        <v>0.69615580448065173</v>
      </c>
      <c r="T266" s="194">
        <f t="shared" si="23"/>
        <v>0.4563871782343466</v>
      </c>
      <c r="U266" s="194">
        <f t="shared" si="24"/>
        <v>0.81733146973443715</v>
      </c>
      <c r="V266">
        <f t="shared" si="19"/>
        <v>52</v>
      </c>
      <c r="W266" s="194">
        <f t="shared" si="25"/>
        <v>0.17321163363343017</v>
      </c>
      <c r="X266" s="194">
        <f t="shared" si="26"/>
        <v>9.8315534177963061E-3</v>
      </c>
      <c r="Y266" s="245" t="str">
        <f>IF(ISNUMBER(SEARCH("C",'WetLitterbags placem_collection'!$X193)),"YES","NO")</f>
        <v>NO</v>
      </c>
      <c r="Z266" s="245" t="str">
        <f>IF(ISNUMBER(SEARCH("H", 'WetLitterbags placem_collection'!$X193)),"YES","NO")</f>
        <v>NO</v>
      </c>
      <c r="AA266" s="245" t="str">
        <f>IF(ISNUMBER(SEARCH("R", 'WetLitterbags placem_collection'!$X193)),"YES","NO")</f>
        <v>NO</v>
      </c>
      <c r="AB266" s="245" t="str">
        <f>IF(ISNUMBER(SEARCH("C", 'WetLitterbags placem_collection'!$V193)),"YES","NO")</f>
        <v>NO</v>
      </c>
      <c r="AC266" s="245" t="str">
        <f>IF(ISNUMBER(SEARCH("H", 'WetLitterbags placem_collection'!$V193)),"YES","NO")</f>
        <v>NO</v>
      </c>
      <c r="AD266" s="245" t="str">
        <f>IF(ISNUMBER(SEARCH("R", 'WetLitterbags placem_collection'!$V193)),"YES","NO")</f>
        <v>NO</v>
      </c>
    </row>
    <row r="267" spans="2:30">
      <c r="B267" t="str">
        <f>Wetseason!B193</f>
        <v>Wet</v>
      </c>
      <c r="C267" s="253">
        <f>Wetseason!C193</f>
        <v>192</v>
      </c>
      <c r="D267" t="s">
        <v>3130</v>
      </c>
      <c r="E267" t="s">
        <v>22</v>
      </c>
      <c r="F267" s="375">
        <v>8</v>
      </c>
      <c r="G267" s="16">
        <f>'WetLitterbags placem_collection'!E194</f>
        <v>42763</v>
      </c>
      <c r="H267" t="str">
        <f>Wetseason!L193</f>
        <v>G591</v>
      </c>
      <c r="I267" t="str">
        <f>Wetseason!L413</f>
        <v>R263</v>
      </c>
      <c r="J267">
        <f>IFERROR(INDEX('Green_rooibos initial weight'!$C$5:$C$2000,MATCH(H267, 'Green_rooibos initial weight'!$A$5:$A$2000,0)),"")</f>
        <v>2.0920000000000001</v>
      </c>
      <c r="K267">
        <f>IFERROR(INDEX('Green_rooibos initial weight'!$C$5:$C$2000,MATCH(I267, 'Green_rooibos initial weight'!$A$5:$A$2000,0)),"")</f>
        <v>2.1850000000000001</v>
      </c>
      <c r="L267" s="194">
        <f t="shared" si="20"/>
        <v>1.8422000000000001</v>
      </c>
      <c r="M267" s="194">
        <f t="shared" si="18"/>
        <v>1.9352</v>
      </c>
      <c r="N267" s="16">
        <f>IF('WetLitterbags placem_collection'!G194="","",'WetLitterbags placem_collection'!G194)</f>
        <v>42815</v>
      </c>
      <c r="O267" s="194">
        <f>IFERROR(INDEX('Both teabags AfterWet'!$C$3:$C$2000,MATCH(H267,'Both teabags AfterWet'!$A$3:$A$2000,0)),"")</f>
        <v>0.66100000000000003</v>
      </c>
      <c r="P267" s="194">
        <f>IFERROR(INDEX('Both teabags AfterWet'!$C$3:$C$2000,MATCH(I267,'Both teabags AfterWet'!$A$3:$A$2000,0)),"")</f>
        <v>1.0369999999999999</v>
      </c>
      <c r="Q267" s="194">
        <f t="shared" si="21"/>
        <v>0.51039999999999996</v>
      </c>
      <c r="R267" s="194">
        <f t="shared" si="21"/>
        <v>0.88639999999999985</v>
      </c>
      <c r="S267" s="194">
        <f t="shared" si="22"/>
        <v>0.72293996308761266</v>
      </c>
      <c r="T267" s="194">
        <f t="shared" si="23"/>
        <v>0.47394638910256798</v>
      </c>
      <c r="U267" s="194">
        <f t="shared" si="24"/>
        <v>0.45804051260851586</v>
      </c>
      <c r="V267">
        <f t="shared" si="19"/>
        <v>52</v>
      </c>
      <c r="W267" s="194">
        <f t="shared" si="25"/>
        <v>0.14140146901708706</v>
      </c>
      <c r="X267" s="194" t="str">
        <f t="shared" si="26"/>
        <v/>
      </c>
      <c r="Y267" s="245" t="str">
        <f>IF(ISNUMBER(SEARCH("C",'WetLitterbags placem_collection'!$X194)),"YES","NO")</f>
        <v>NO</v>
      </c>
      <c r="Z267" s="245" t="str">
        <f>IF(ISNUMBER(SEARCH("H", 'WetLitterbags placem_collection'!$X194)),"YES","NO")</f>
        <v>NO</v>
      </c>
      <c r="AA267" s="245" t="str">
        <f>IF(ISNUMBER(SEARCH("R", 'WetLitterbags placem_collection'!$X194)),"YES","NO")</f>
        <v>NO</v>
      </c>
      <c r="AB267" s="245" t="str">
        <f>IF(ISNUMBER(SEARCH("C", 'WetLitterbags placem_collection'!$V194)),"YES","NO")</f>
        <v>NO</v>
      </c>
      <c r="AC267" s="245" t="str">
        <f>IF(ISNUMBER(SEARCH("H", 'WetLitterbags placem_collection'!$V194)),"YES","NO")</f>
        <v>NO</v>
      </c>
      <c r="AD267" s="245" t="str">
        <f>IF(ISNUMBER(SEARCH("R", 'WetLitterbags placem_collection'!$V194)),"YES","NO")</f>
        <v>NO</v>
      </c>
    </row>
    <row r="268" spans="2:30">
      <c r="B268" t="str">
        <f>Wetseason!B194</f>
        <v>Wet</v>
      </c>
      <c r="C268" s="253">
        <f>Wetseason!C194</f>
        <v>193</v>
      </c>
      <c r="D268" t="s">
        <v>2440</v>
      </c>
      <c r="E268" t="s">
        <v>22</v>
      </c>
      <c r="F268" s="375">
        <v>1</v>
      </c>
      <c r="G268" s="16">
        <f>'WetLitterbags placem_collection'!E195</f>
        <v>42769</v>
      </c>
      <c r="H268" t="str">
        <f>Wetseason!L194</f>
        <v>G863</v>
      </c>
      <c r="I268" t="str">
        <f>Wetseason!L414</f>
        <v>R125</v>
      </c>
      <c r="J268">
        <f>IFERROR(INDEX('Green_rooibos initial weight'!$C$5:$C$2000,MATCH(H268, 'Green_rooibos initial weight'!$A$5:$A$2000,0)),"")</f>
        <v>2.0230000000000001</v>
      </c>
      <c r="K268">
        <f>IFERROR(INDEX('Green_rooibos initial weight'!$C$5:$C$2000,MATCH(I268, 'Green_rooibos initial weight'!$A$5:$A$2000,0)),"")</f>
        <v>2.2040000000000002</v>
      </c>
      <c r="L268" s="194">
        <f t="shared" si="20"/>
        <v>1.7732000000000001</v>
      </c>
      <c r="M268" s="194">
        <f t="shared" ref="M268:M331" si="27">IF(K268&gt;0,(K268*$F$32-($F$29+$F$30)),"")</f>
        <v>1.9542000000000002</v>
      </c>
      <c r="N268" s="16">
        <f>IF('WetLitterbags placem_collection'!G195="","",'WetLitterbags placem_collection'!G195)</f>
        <v>42813</v>
      </c>
      <c r="O268" s="194">
        <f>IFERROR(INDEX('Both teabags AfterWet'!$C$3:$C$2000,MATCH(H268,'Both teabags AfterWet'!$A$3:$A$2000,0)),"")</f>
        <v>0.64890000000000003</v>
      </c>
      <c r="P268" s="194">
        <f>IFERROR(INDEX('Both teabags AfterWet'!$C$3:$C$2000,MATCH(I268,'Both teabags AfterWet'!$A$3:$A$2000,0)),"")</f>
        <v>1.2266999999999999</v>
      </c>
      <c r="Q268" s="194">
        <f t="shared" si="21"/>
        <v>0.49830000000000002</v>
      </c>
      <c r="R268" s="194">
        <f t="shared" si="21"/>
        <v>1.0760999999999998</v>
      </c>
      <c r="S268" s="194">
        <f t="shared" si="22"/>
        <v>0.71898263027295284</v>
      </c>
      <c r="T268" s="194">
        <f t="shared" si="23"/>
        <v>0.47135203314806418</v>
      </c>
      <c r="U268" s="194">
        <f t="shared" si="24"/>
        <v>0.55066011667178372</v>
      </c>
      <c r="V268">
        <f t="shared" ref="V268:V331" si="28">IFERROR(IF((N268-G268)&gt;0,(IFERROR(N268-G268,"")),""),"")</f>
        <v>44</v>
      </c>
      <c r="W268" s="194">
        <f t="shared" si="25"/>
        <v>0.14610138922452154</v>
      </c>
      <c r="X268" s="194">
        <f t="shared" si="26"/>
        <v>6.9636606041708293E-2</v>
      </c>
      <c r="Y268" s="245" t="str">
        <f>IF(ISNUMBER(SEARCH("C",'WetLitterbags placem_collection'!$X195)),"YES","NO")</f>
        <v>NO</v>
      </c>
      <c r="Z268" s="245" t="str">
        <f>IF(ISNUMBER(SEARCH("H", 'WetLitterbags placem_collection'!$X195)),"YES","NO")</f>
        <v>NO</v>
      </c>
      <c r="AA268" s="245" t="str">
        <f>IF(ISNUMBER(SEARCH("R", 'WetLitterbags placem_collection'!$X195)),"YES","NO")</f>
        <v>YES</v>
      </c>
      <c r="AB268" s="245" t="str">
        <f>IF(ISNUMBER(SEARCH("C", 'WetLitterbags placem_collection'!$V195)),"YES","NO")</f>
        <v>NO</v>
      </c>
      <c r="AC268" s="245" t="str">
        <f>IF(ISNUMBER(SEARCH("H", 'WetLitterbags placem_collection'!$V195)),"YES","NO")</f>
        <v>NO</v>
      </c>
      <c r="AD268" s="245" t="str">
        <f>IF(ISNUMBER(SEARCH("R", 'WetLitterbags placem_collection'!$V195)),"YES","NO")</f>
        <v>YES</v>
      </c>
    </row>
    <row r="269" spans="2:30">
      <c r="B269" t="str">
        <f>Wetseason!B195</f>
        <v>Wet</v>
      </c>
      <c r="C269" s="253">
        <f>Wetseason!C195</f>
        <v>194</v>
      </c>
      <c r="D269" t="s">
        <v>2433</v>
      </c>
      <c r="E269" t="s">
        <v>22</v>
      </c>
      <c r="F269" s="375">
        <v>2</v>
      </c>
      <c r="G269" s="16">
        <f>'WetLitterbags placem_collection'!E196</f>
        <v>42769</v>
      </c>
      <c r="H269" t="str">
        <f>Wetseason!L195</f>
        <v>G615</v>
      </c>
      <c r="I269" t="str">
        <f>Wetseason!L415</f>
        <v>R289</v>
      </c>
      <c r="J269">
        <f>IFERROR(INDEX('Green_rooibos initial weight'!$C$5:$C$2000,MATCH(H269, 'Green_rooibos initial weight'!$A$5:$A$2000,0)),"")</f>
        <v>1.9630000000000001</v>
      </c>
      <c r="K269">
        <f>IFERROR(INDEX('Green_rooibos initial weight'!$C$5:$C$2000,MATCH(I269, 'Green_rooibos initial weight'!$A$5:$A$2000,0)),"")</f>
        <v>2.2160000000000002</v>
      </c>
      <c r="L269" s="194">
        <f t="shared" ref="L269:L332" si="29">IF(J269&gt;0,(J269*$F$31-($F$29+$F$30)),"")</f>
        <v>1.7132000000000001</v>
      </c>
      <c r="M269" s="194">
        <f t="shared" si="27"/>
        <v>1.9662000000000002</v>
      </c>
      <c r="N269" s="16">
        <f>IF('WetLitterbags placem_collection'!G196="","",'WetLitterbags placem_collection'!G196)</f>
        <v>42813</v>
      </c>
      <c r="O269" s="194">
        <f>IFERROR(INDEX('Both teabags AfterWet'!$C$3:$C$2000,MATCH(H269,'Both teabags AfterWet'!$A$3:$A$2000,0)),"")</f>
        <v>0.64100000000000001</v>
      </c>
      <c r="P269" s="194">
        <f>IFERROR(INDEX('Both teabags AfterWet'!$C$3:$C$2000,MATCH(I269,'Both teabags AfterWet'!$A$3:$A$2000,0)),"")</f>
        <v>1.512</v>
      </c>
      <c r="Q269" s="194">
        <f t="shared" ref="Q269:R332" si="30">IFERROR(IF(O269&gt;0,O269-($F$29),""),"")</f>
        <v>0.4904</v>
      </c>
      <c r="R269" s="194">
        <f t="shared" si="30"/>
        <v>1.3613999999999999</v>
      </c>
      <c r="S269" s="194">
        <f t="shared" ref="S269:S332" si="31">IFERROR(1-Q269/L269,"")</f>
        <v>0.71375204296054173</v>
      </c>
      <c r="T269" s="194">
        <f t="shared" ref="T269:T332" si="32">IFERROR($F$26*(1-W269),"")</f>
        <v>0.46792295452995142</v>
      </c>
      <c r="U269" s="194">
        <f t="shared" ref="U269:U332" si="33">IFERROR(R269/M269,"")</f>
        <v>0.69240158681721076</v>
      </c>
      <c r="V269">
        <f t="shared" si="28"/>
        <v>44</v>
      </c>
      <c r="W269" s="194">
        <f t="shared" ref="W269:W332" si="34">IFERROR(1-(S269/$F$25),"")</f>
        <v>0.15231348817037793</v>
      </c>
      <c r="X269" s="194">
        <f t="shared" ref="X269:X332" si="35">IFERROR(LN(T269/(U269-(1-T269)))/V269,"")</f>
        <v>2.4343261614337117E-2</v>
      </c>
      <c r="Y269" s="245" t="str">
        <f>IF(ISNUMBER(SEARCH("C",'WetLitterbags placem_collection'!$X196)),"YES","NO")</f>
        <v>NO</v>
      </c>
      <c r="Z269" s="245" t="str">
        <f>IF(ISNUMBER(SEARCH("H", 'WetLitterbags placem_collection'!$X196)),"YES","NO")</f>
        <v>NO</v>
      </c>
      <c r="AA269" s="245" t="str">
        <f>IF(ISNUMBER(SEARCH("R", 'WetLitterbags placem_collection'!$X196)),"YES","NO")</f>
        <v>YES</v>
      </c>
      <c r="AB269" s="245" t="str">
        <f>IF(ISNUMBER(SEARCH("C", 'WetLitterbags placem_collection'!$V196)),"YES","NO")</f>
        <v>NO</v>
      </c>
      <c r="AC269" s="245" t="str">
        <f>IF(ISNUMBER(SEARCH("H", 'WetLitterbags placem_collection'!$V196)),"YES","NO")</f>
        <v>NO</v>
      </c>
      <c r="AD269" s="245" t="str">
        <f>IF(ISNUMBER(SEARCH("R", 'WetLitterbags placem_collection'!$V196)),"YES","NO")</f>
        <v>YES</v>
      </c>
    </row>
    <row r="270" spans="2:30">
      <c r="B270" t="str">
        <f>Wetseason!B196</f>
        <v>Wet</v>
      </c>
      <c r="C270" s="253">
        <f>Wetseason!C196</f>
        <v>195</v>
      </c>
      <c r="D270" t="s">
        <v>2425</v>
      </c>
      <c r="E270" t="s">
        <v>22</v>
      </c>
      <c r="F270" s="375">
        <v>3</v>
      </c>
      <c r="G270" s="16">
        <f>'WetLitterbags placem_collection'!E197</f>
        <v>42769</v>
      </c>
      <c r="H270" t="str">
        <f>Wetseason!L196</f>
        <v>G821</v>
      </c>
      <c r="I270" t="str">
        <f>Wetseason!L416</f>
        <v>R378</v>
      </c>
      <c r="J270">
        <f>IFERROR(INDEX('Green_rooibos initial weight'!$C$5:$C$2000,MATCH(H270, 'Green_rooibos initial weight'!$A$5:$A$2000,0)),"")</f>
        <v>1.9990000000000001</v>
      </c>
      <c r="K270">
        <f>IFERROR(INDEX('Green_rooibos initial weight'!$C$5:$C$2000,MATCH(I270, 'Green_rooibos initial weight'!$A$5:$A$2000,0)),"")</f>
        <v>2.2320000000000002</v>
      </c>
      <c r="L270" s="194">
        <f t="shared" si="29"/>
        <v>1.7492000000000001</v>
      </c>
      <c r="M270" s="194">
        <f t="shared" si="27"/>
        <v>1.9822000000000002</v>
      </c>
      <c r="N270" s="16">
        <f>IF('WetLitterbags placem_collection'!G197="","",'WetLitterbags placem_collection'!G197)</f>
        <v>42814</v>
      </c>
      <c r="O270" s="194">
        <f>IFERROR(INDEX('Both teabags AfterWet'!$C$3:$C$2000,MATCH(H270,'Both teabags AfterWet'!$A$3:$A$2000,0)),"")</f>
        <v>0.7641</v>
      </c>
      <c r="P270" s="194">
        <f>IFERROR(INDEX('Both teabags AfterWet'!$C$3:$C$2000,MATCH(I270,'Both teabags AfterWet'!$A$3:$A$2000,0)),"")</f>
        <v>1.5296000000000001</v>
      </c>
      <c r="Q270" s="194">
        <f t="shared" si="30"/>
        <v>0.61349999999999993</v>
      </c>
      <c r="R270" s="194">
        <f t="shared" si="30"/>
        <v>1.379</v>
      </c>
      <c r="S270" s="194">
        <f t="shared" si="31"/>
        <v>0.64926823690830093</v>
      </c>
      <c r="T270" s="194">
        <f t="shared" si="32"/>
        <v>0.42564853536031133</v>
      </c>
      <c r="U270" s="194">
        <f t="shared" si="33"/>
        <v>0.69569165573605074</v>
      </c>
      <c r="V270">
        <f t="shared" si="28"/>
        <v>45</v>
      </c>
      <c r="W270" s="194">
        <f t="shared" si="34"/>
        <v>0.22889758086900125</v>
      </c>
      <c r="X270" s="194">
        <f t="shared" si="35"/>
        <v>2.7889241643985423E-2</v>
      </c>
      <c r="Y270" s="245" t="str">
        <f>IF(ISNUMBER(SEARCH("C",'WetLitterbags placem_collection'!$X197)),"YES","NO")</f>
        <v>NO</v>
      </c>
      <c r="Z270" s="245" t="str">
        <f>IF(ISNUMBER(SEARCH("H", 'WetLitterbags placem_collection'!$X197)),"YES","NO")</f>
        <v>NO</v>
      </c>
      <c r="AA270" s="245" t="str">
        <f>IF(ISNUMBER(SEARCH("R", 'WetLitterbags placem_collection'!$X197)),"YES","NO")</f>
        <v>YES</v>
      </c>
      <c r="AB270" s="245" t="str">
        <f>IF(ISNUMBER(SEARCH("C", 'WetLitterbags placem_collection'!$V197)),"YES","NO")</f>
        <v>NO</v>
      </c>
      <c r="AC270" s="245" t="str">
        <f>IF(ISNUMBER(SEARCH("H", 'WetLitterbags placem_collection'!$V197)),"YES","NO")</f>
        <v>NO</v>
      </c>
      <c r="AD270" s="245" t="str">
        <f>IF(ISNUMBER(SEARCH("R", 'WetLitterbags placem_collection'!$V197)),"YES","NO")</f>
        <v>YES</v>
      </c>
    </row>
    <row r="271" spans="2:30">
      <c r="B271" t="str">
        <f>Wetseason!B197</f>
        <v>Wet</v>
      </c>
      <c r="C271" s="253">
        <f>Wetseason!C197</f>
        <v>196</v>
      </c>
      <c r="D271" t="s">
        <v>2416</v>
      </c>
      <c r="E271" t="s">
        <v>22</v>
      </c>
      <c r="F271" s="375">
        <v>4</v>
      </c>
      <c r="G271" s="16">
        <f>'WetLitterbags placem_collection'!E198</f>
        <v>42769</v>
      </c>
      <c r="H271" t="str">
        <f>Wetseason!L197</f>
        <v>G754</v>
      </c>
      <c r="I271" t="str">
        <f>Wetseason!L417</f>
        <v>R375</v>
      </c>
      <c r="J271">
        <f>IFERROR(INDEX('Green_rooibos initial weight'!$C$5:$C$2000,MATCH(H271, 'Green_rooibos initial weight'!$A$5:$A$2000,0)),"")</f>
        <v>2.0609999999999999</v>
      </c>
      <c r="K271">
        <f>IFERROR(INDEX('Green_rooibos initial weight'!$C$5:$C$2000,MATCH(I271, 'Green_rooibos initial weight'!$A$5:$A$2000,0)),"")</f>
        <v>2.23</v>
      </c>
      <c r="L271" s="194">
        <f t="shared" si="29"/>
        <v>1.8111999999999999</v>
      </c>
      <c r="M271" s="194">
        <f t="shared" si="27"/>
        <v>1.9802</v>
      </c>
      <c r="N271" s="16">
        <f>IF('WetLitterbags placem_collection'!G198="","",'WetLitterbags placem_collection'!G198)</f>
        <v>42814</v>
      </c>
      <c r="O271" s="194">
        <f>IFERROR(INDEX('Both teabags AfterWet'!$C$3:$C$2000,MATCH(H271,'Both teabags AfterWet'!$A$3:$A$2000,0)),"")</f>
        <v>0.6452</v>
      </c>
      <c r="P271" s="194">
        <f>IFERROR(INDEX('Both teabags AfterWet'!$C$3:$C$2000,MATCH(I271,'Both teabags AfterWet'!$A$3:$A$2000,0)),"")</f>
        <v>1.3742000000000001</v>
      </c>
      <c r="Q271" s="194">
        <f t="shared" si="30"/>
        <v>0.49459999999999998</v>
      </c>
      <c r="R271" s="194">
        <f t="shared" si="30"/>
        <v>1.2236</v>
      </c>
      <c r="S271" s="194">
        <f t="shared" si="31"/>
        <v>0.72692137809187285</v>
      </c>
      <c r="T271" s="194">
        <f t="shared" si="32"/>
        <v>0.47655653290583594</v>
      </c>
      <c r="U271" s="194">
        <f t="shared" si="33"/>
        <v>0.61791738208261793</v>
      </c>
      <c r="V271">
        <f t="shared" si="28"/>
        <v>45</v>
      </c>
      <c r="W271" s="194">
        <f t="shared" si="34"/>
        <v>0.13667294763435522</v>
      </c>
      <c r="X271" s="194">
        <f t="shared" si="35"/>
        <v>3.5961390966980963E-2</v>
      </c>
      <c r="Y271" s="245" t="str">
        <f>IF(ISNUMBER(SEARCH("C",'WetLitterbags placem_collection'!$X198)),"YES","NO")</f>
        <v>NO</v>
      </c>
      <c r="Z271" s="245" t="str">
        <f>IF(ISNUMBER(SEARCH("H", 'WetLitterbags placem_collection'!$X198)),"YES","NO")</f>
        <v>NO</v>
      </c>
      <c r="AA271" s="245" t="str">
        <f>IF(ISNUMBER(SEARCH("R", 'WetLitterbags placem_collection'!$X198)),"YES","NO")</f>
        <v>NO</v>
      </c>
      <c r="AB271" s="245" t="str">
        <f>IF(ISNUMBER(SEARCH("C", 'WetLitterbags placem_collection'!$V198)),"YES","NO")</f>
        <v>NO</v>
      </c>
      <c r="AC271" s="245" t="str">
        <f>IF(ISNUMBER(SEARCH("H", 'WetLitterbags placem_collection'!$V198)),"YES","NO")</f>
        <v>NO</v>
      </c>
      <c r="AD271" s="245" t="str">
        <f>IF(ISNUMBER(SEARCH("R", 'WetLitterbags placem_collection'!$V198)),"YES","NO")</f>
        <v>YES</v>
      </c>
    </row>
    <row r="272" spans="2:30">
      <c r="B272" t="str">
        <f>Wetseason!B198</f>
        <v>Wet</v>
      </c>
      <c r="C272" s="253">
        <f>Wetseason!C198</f>
        <v>197</v>
      </c>
      <c r="D272" t="s">
        <v>2426</v>
      </c>
      <c r="E272" t="s">
        <v>22</v>
      </c>
      <c r="F272" s="375">
        <v>1</v>
      </c>
      <c r="G272" s="16">
        <f>'WetLitterbags placem_collection'!E199</f>
        <v>42769</v>
      </c>
      <c r="H272" t="str">
        <f>Wetseason!L198</f>
        <v>G715</v>
      </c>
      <c r="I272" t="str">
        <f>Wetseason!L418</f>
        <v>R219</v>
      </c>
      <c r="J272">
        <f>IFERROR(INDEX('Green_rooibos initial weight'!$C$5:$C$2000,MATCH(H272, 'Green_rooibos initial weight'!$A$5:$A$2000,0)),"")</f>
        <v>2.0179999999999998</v>
      </c>
      <c r="K272">
        <f>IFERROR(INDEX('Green_rooibos initial weight'!$C$5:$C$2000,MATCH(I272, 'Green_rooibos initial weight'!$A$5:$A$2000,0)),"")</f>
        <v>2.2160000000000002</v>
      </c>
      <c r="L272" s="194">
        <f t="shared" si="29"/>
        <v>1.7681999999999998</v>
      </c>
      <c r="M272" s="194">
        <f t="shared" si="27"/>
        <v>1.9662000000000002</v>
      </c>
      <c r="N272" s="16">
        <f>IF('WetLitterbags placem_collection'!G199="","",'WetLitterbags placem_collection'!G199)</f>
        <v>42814</v>
      </c>
      <c r="O272" s="194">
        <f>IFERROR(INDEX('Both teabags AfterWet'!$C$3:$C$2000,MATCH(H272,'Both teabags AfterWet'!$A$3:$A$2000,0)),"")</f>
        <v>0.69089999999999996</v>
      </c>
      <c r="P272" s="194">
        <f>IFERROR(INDEX('Both teabags AfterWet'!$C$3:$C$2000,MATCH(I272,'Both teabags AfterWet'!$A$3:$A$2000,0)),"")</f>
        <v>1.5786</v>
      </c>
      <c r="Q272" s="194">
        <f t="shared" si="30"/>
        <v>0.5403</v>
      </c>
      <c r="R272" s="194">
        <f t="shared" si="30"/>
        <v>1.4279999999999999</v>
      </c>
      <c r="S272" s="194">
        <f t="shared" si="31"/>
        <v>0.69443501866304713</v>
      </c>
      <c r="T272" s="194">
        <f t="shared" si="32"/>
        <v>0.455259062116392</v>
      </c>
      <c r="U272" s="194">
        <f t="shared" si="33"/>
        <v>0.72627403112602984</v>
      </c>
      <c r="V272">
        <f t="shared" si="28"/>
        <v>45</v>
      </c>
      <c r="W272" s="194">
        <f t="shared" si="34"/>
        <v>0.17525532225291307</v>
      </c>
      <c r="X272" s="194">
        <f t="shared" si="35"/>
        <v>2.043174789362303E-2</v>
      </c>
      <c r="Y272" s="245" t="str">
        <f>IF(ISNUMBER(SEARCH("C",'WetLitterbags placem_collection'!$X199)),"YES","NO")</f>
        <v>NO</v>
      </c>
      <c r="Z272" s="245" t="str">
        <f>IF(ISNUMBER(SEARCH("H", 'WetLitterbags placem_collection'!$X199)),"YES","NO")</f>
        <v>NO</v>
      </c>
      <c r="AA272" s="245" t="str">
        <f>IF(ISNUMBER(SEARCH("R", 'WetLitterbags placem_collection'!$X199)),"YES","NO")</f>
        <v>YES</v>
      </c>
      <c r="AB272" s="245" t="str">
        <f>IF(ISNUMBER(SEARCH("C", 'WetLitterbags placem_collection'!$V199)),"YES","NO")</f>
        <v>NO</v>
      </c>
      <c r="AC272" s="245" t="str">
        <f>IF(ISNUMBER(SEARCH("H", 'WetLitterbags placem_collection'!$V199)),"YES","NO")</f>
        <v>NO</v>
      </c>
      <c r="AD272" s="245" t="str">
        <f>IF(ISNUMBER(SEARCH("R", 'WetLitterbags placem_collection'!$V199)),"YES","NO")</f>
        <v>YES</v>
      </c>
    </row>
    <row r="273" spans="2:30">
      <c r="B273" t="str">
        <f>Wetseason!B199</f>
        <v>Wet</v>
      </c>
      <c r="C273" s="253">
        <f>Wetseason!C199</f>
        <v>198</v>
      </c>
      <c r="D273" t="s">
        <v>2434</v>
      </c>
      <c r="E273" t="s">
        <v>22</v>
      </c>
      <c r="F273" s="375">
        <v>2</v>
      </c>
      <c r="G273" s="16">
        <f>'WetLitterbags placem_collection'!E200</f>
        <v>42769</v>
      </c>
      <c r="H273" t="str">
        <f>Wetseason!L199</f>
        <v>G785</v>
      </c>
      <c r="I273" t="str">
        <f>Wetseason!L419</f>
        <v>R463</v>
      </c>
      <c r="J273">
        <f>IFERROR(INDEX('Green_rooibos initial weight'!$C$5:$C$2000,MATCH(H273, 'Green_rooibos initial weight'!$A$5:$A$2000,0)),"")</f>
        <v>2.008</v>
      </c>
      <c r="K273">
        <f>IFERROR(INDEX('Green_rooibos initial weight'!$C$5:$C$2000,MATCH(I273, 'Green_rooibos initial weight'!$A$5:$A$2000,0)),"")</f>
        <v>2.1579999999999999</v>
      </c>
      <c r="L273" s="194">
        <f t="shared" si="29"/>
        <v>1.7582</v>
      </c>
      <c r="M273" s="194">
        <f t="shared" si="27"/>
        <v>1.9081999999999999</v>
      </c>
      <c r="N273" s="16">
        <f>IF('WetLitterbags placem_collection'!G200="","",'WetLitterbags placem_collection'!G200)</f>
        <v>42813</v>
      </c>
      <c r="O273" s="194">
        <f>IFERROR(INDEX('Both teabags AfterWet'!$C$3:$C$2000,MATCH(H273,'Both teabags AfterWet'!$A$3:$A$2000,0)),"")</f>
        <v>0.64690000000000003</v>
      </c>
      <c r="P273" s="194">
        <f>IFERROR(INDEX('Both teabags AfterWet'!$C$3:$C$2000,MATCH(I273,'Both teabags AfterWet'!$A$3:$A$2000,0)),"")</f>
        <v>1.5485</v>
      </c>
      <c r="Q273" s="194">
        <f t="shared" si="30"/>
        <v>0.49630000000000002</v>
      </c>
      <c r="R273" s="194">
        <f t="shared" si="30"/>
        <v>1.3978999999999999</v>
      </c>
      <c r="S273" s="194">
        <f t="shared" si="31"/>
        <v>0.71772267091343411</v>
      </c>
      <c r="T273" s="194">
        <f t="shared" si="32"/>
        <v>0.47052602653707326</v>
      </c>
      <c r="U273" s="194">
        <f t="shared" si="33"/>
        <v>0.73257520176082169</v>
      </c>
      <c r="V273">
        <f t="shared" si="28"/>
        <v>44</v>
      </c>
      <c r="W273" s="194">
        <f t="shared" si="34"/>
        <v>0.14759777801254848</v>
      </c>
      <c r="X273" s="194">
        <f t="shared" si="35"/>
        <v>1.9094244498665487E-2</v>
      </c>
      <c r="Y273" s="245" t="str">
        <f>IF(ISNUMBER(SEARCH("C",'WetLitterbags placem_collection'!$X200)),"YES","NO")</f>
        <v>NO</v>
      </c>
      <c r="Z273" s="245" t="str">
        <f>IF(ISNUMBER(SEARCH("H", 'WetLitterbags placem_collection'!$X200)),"YES","NO")</f>
        <v>NO</v>
      </c>
      <c r="AA273" s="245" t="str">
        <f>IF(ISNUMBER(SEARCH("R", 'WetLitterbags placem_collection'!$X200)),"YES","NO")</f>
        <v>YES</v>
      </c>
      <c r="AB273" s="245" t="str">
        <f>IF(ISNUMBER(SEARCH("C", 'WetLitterbags placem_collection'!$V200)),"YES","NO")</f>
        <v>NO</v>
      </c>
      <c r="AC273" s="245" t="str">
        <f>IF(ISNUMBER(SEARCH("H", 'WetLitterbags placem_collection'!$V200)),"YES","NO")</f>
        <v>NO</v>
      </c>
      <c r="AD273" s="245" t="str">
        <f>IF(ISNUMBER(SEARCH("R", 'WetLitterbags placem_collection'!$V200)),"YES","NO")</f>
        <v>YES</v>
      </c>
    </row>
    <row r="274" spans="2:30">
      <c r="B274" t="str">
        <f>Wetseason!B200</f>
        <v>Wet</v>
      </c>
      <c r="C274" s="253">
        <f>Wetseason!C200</f>
        <v>199</v>
      </c>
      <c r="D274" t="s">
        <v>2418</v>
      </c>
      <c r="E274" t="s">
        <v>22</v>
      </c>
      <c r="F274" s="375">
        <v>3</v>
      </c>
      <c r="G274" s="16">
        <f>'WetLitterbags placem_collection'!E201</f>
        <v>42769</v>
      </c>
      <c r="H274" t="str">
        <f>Wetseason!L200</f>
        <v>G877</v>
      </c>
      <c r="I274" t="str">
        <f>Wetseason!L420</f>
        <v>R339</v>
      </c>
      <c r="J274">
        <f>IFERROR(INDEX('Green_rooibos initial weight'!$C$5:$C$2000,MATCH(H274, 'Green_rooibos initial weight'!$A$5:$A$2000,0)),"")</f>
        <v>2.0649999999999999</v>
      </c>
      <c r="K274">
        <f>IFERROR(INDEX('Green_rooibos initial weight'!$C$5:$C$2000,MATCH(I274, 'Green_rooibos initial weight'!$A$5:$A$2000,0)),"")</f>
        <v>2.214</v>
      </c>
      <c r="L274" s="194">
        <f t="shared" si="29"/>
        <v>1.8151999999999999</v>
      </c>
      <c r="M274" s="194">
        <f t="shared" si="27"/>
        <v>1.9641999999999999</v>
      </c>
      <c r="N274" s="16">
        <f>IF('WetLitterbags placem_collection'!G201="","",'WetLitterbags placem_collection'!G201)</f>
        <v>42814</v>
      </c>
      <c r="O274" s="194">
        <f>IFERROR(INDEX('Both teabags AfterWet'!$C$3:$C$2000,MATCH(H274,'Both teabags AfterWet'!$A$3:$A$2000,0)),"")</f>
        <v>0.67900000000000005</v>
      </c>
      <c r="P274" s="194">
        <f>IFERROR(INDEX('Both teabags AfterWet'!$C$3:$C$2000,MATCH(I274,'Both teabags AfterWet'!$A$3:$A$2000,0)),"")</f>
        <v>1.6160000000000001</v>
      </c>
      <c r="Q274" s="194">
        <f t="shared" si="30"/>
        <v>0.52839999999999998</v>
      </c>
      <c r="R274" s="194">
        <f t="shared" si="30"/>
        <v>1.4654</v>
      </c>
      <c r="S274" s="194">
        <f t="shared" si="31"/>
        <v>0.70890260026443364</v>
      </c>
      <c r="T274" s="194">
        <f t="shared" si="32"/>
        <v>0.4647437474417665</v>
      </c>
      <c r="U274" s="194">
        <f t="shared" si="33"/>
        <v>0.74605437328174329</v>
      </c>
      <c r="V274">
        <f t="shared" si="28"/>
        <v>45</v>
      </c>
      <c r="W274" s="194">
        <f t="shared" si="34"/>
        <v>0.1580729213011477</v>
      </c>
      <c r="X274" s="194">
        <f t="shared" si="35"/>
        <v>1.7568561583611975E-2</v>
      </c>
      <c r="Y274" s="245" t="str">
        <f>IF(ISNUMBER(SEARCH("C",'WetLitterbags placem_collection'!$X201)),"YES","NO")</f>
        <v>NO</v>
      </c>
      <c r="Z274" s="245" t="str">
        <f>IF(ISNUMBER(SEARCH("H", 'WetLitterbags placem_collection'!$X201)),"YES","NO")</f>
        <v>NO</v>
      </c>
      <c r="AA274" s="245" t="str">
        <f>IF(ISNUMBER(SEARCH("R", 'WetLitterbags placem_collection'!$X201)),"YES","NO")</f>
        <v>NO</v>
      </c>
      <c r="AB274" s="245" t="str">
        <f>IF(ISNUMBER(SEARCH("C", 'WetLitterbags placem_collection'!$V201)),"YES","NO")</f>
        <v>NO</v>
      </c>
      <c r="AC274" s="245" t="str">
        <f>IF(ISNUMBER(SEARCH("H", 'WetLitterbags placem_collection'!$V201)),"YES","NO")</f>
        <v>NO</v>
      </c>
      <c r="AD274" s="245" t="str">
        <f>IF(ISNUMBER(SEARCH("R", 'WetLitterbags placem_collection'!$V201)),"YES","NO")</f>
        <v>YES</v>
      </c>
    </row>
    <row r="275" spans="2:30">
      <c r="B275" t="str">
        <f>Wetseason!B201</f>
        <v>Wet</v>
      </c>
      <c r="C275" s="253">
        <f>Wetseason!C201</f>
        <v>200</v>
      </c>
      <c r="D275" t="s">
        <v>2441</v>
      </c>
      <c r="E275" t="s">
        <v>22</v>
      </c>
      <c r="F275" s="375">
        <v>4</v>
      </c>
      <c r="G275" s="16">
        <f>'WetLitterbags placem_collection'!E202</f>
        <v>42769</v>
      </c>
      <c r="H275" t="str">
        <f>Wetseason!L201</f>
        <v>G816</v>
      </c>
      <c r="I275" t="str">
        <f>Wetseason!L421</f>
        <v>R303</v>
      </c>
      <c r="J275">
        <f>IFERROR(INDEX('Green_rooibos initial weight'!$C$5:$C$2000,MATCH(H275, 'Green_rooibos initial weight'!$A$5:$A$2000,0)),"")</f>
        <v>2.0139999999999998</v>
      </c>
      <c r="K275">
        <f>IFERROR(INDEX('Green_rooibos initial weight'!$C$5:$C$2000,MATCH(I275, 'Green_rooibos initial weight'!$A$5:$A$2000,0)),"")</f>
        <v>2.2490000000000001</v>
      </c>
      <c r="L275" s="194">
        <f t="shared" si="29"/>
        <v>1.7641999999999998</v>
      </c>
      <c r="M275" s="194">
        <f t="shared" si="27"/>
        <v>1.9992000000000001</v>
      </c>
      <c r="N275" s="16">
        <f>IF('WetLitterbags placem_collection'!G202="","",'WetLitterbags placem_collection'!G202)</f>
        <v>42813</v>
      </c>
      <c r="O275" s="194">
        <f>IFERROR(INDEX('Both teabags AfterWet'!$C$3:$C$2000,MATCH(H275,'Both teabags AfterWet'!$A$3:$A$2000,0)),"")</f>
        <v>0.67120000000000002</v>
      </c>
      <c r="P275" s="194">
        <f>IFERROR(INDEX('Both teabags AfterWet'!$C$3:$C$2000,MATCH(I275,'Both teabags AfterWet'!$A$3:$A$2000,0)),"")</f>
        <v>1.5651999999999999</v>
      </c>
      <c r="Q275" s="194">
        <f t="shared" si="30"/>
        <v>0.52059999999999995</v>
      </c>
      <c r="R275" s="194">
        <f t="shared" si="30"/>
        <v>1.4145999999999999</v>
      </c>
      <c r="S275" s="194">
        <f t="shared" si="31"/>
        <v>0.70490874050561159</v>
      </c>
      <c r="T275" s="194">
        <f t="shared" si="32"/>
        <v>0.46212544508206371</v>
      </c>
      <c r="U275" s="194">
        <f t="shared" si="33"/>
        <v>0.7075830332132852</v>
      </c>
      <c r="V275">
        <f t="shared" si="28"/>
        <v>44</v>
      </c>
      <c r="W275" s="194">
        <f t="shared" si="34"/>
        <v>0.16281622267742091</v>
      </c>
      <c r="X275" s="194">
        <f t="shared" si="35"/>
        <v>2.2767142020306507E-2</v>
      </c>
      <c r="Y275" s="245" t="str">
        <f>IF(ISNUMBER(SEARCH("C",'WetLitterbags placem_collection'!$X202)),"YES","NO")</f>
        <v>NO</v>
      </c>
      <c r="Z275" s="245" t="str">
        <f>IF(ISNUMBER(SEARCH("H", 'WetLitterbags placem_collection'!$X202)),"YES","NO")</f>
        <v>NO</v>
      </c>
      <c r="AA275" s="245" t="str">
        <f>IF(ISNUMBER(SEARCH("R", 'WetLitterbags placem_collection'!$X202)),"YES","NO")</f>
        <v>YES</v>
      </c>
      <c r="AB275" s="245" t="str">
        <f>IF(ISNUMBER(SEARCH("C", 'WetLitterbags placem_collection'!$V202)),"YES","NO")</f>
        <v>NO</v>
      </c>
      <c r="AC275" s="245" t="str">
        <f>IF(ISNUMBER(SEARCH("H", 'WetLitterbags placem_collection'!$V202)),"YES","NO")</f>
        <v>NO</v>
      </c>
      <c r="AD275" s="245" t="str">
        <f>IF(ISNUMBER(SEARCH("R", 'WetLitterbags placem_collection'!$V202)),"YES","NO")</f>
        <v>YES</v>
      </c>
    </row>
    <row r="276" spans="2:30">
      <c r="B276" t="str">
        <f>Wetseason!B202</f>
        <v>Wet</v>
      </c>
      <c r="C276" s="253">
        <f>Wetseason!C202</f>
        <v>201</v>
      </c>
      <c r="D276" t="s">
        <v>2442</v>
      </c>
      <c r="E276" t="s">
        <v>22</v>
      </c>
      <c r="F276" s="375">
        <v>1</v>
      </c>
      <c r="G276" s="16">
        <f>'WetLitterbags placem_collection'!E203</f>
        <v>42769</v>
      </c>
      <c r="H276" t="str">
        <f>Wetseason!L202</f>
        <v>G811</v>
      </c>
      <c r="I276" t="str">
        <f>Wetseason!L422</f>
        <v>R218</v>
      </c>
      <c r="J276">
        <f>IFERROR(INDEX('Green_rooibos initial weight'!$C$5:$C$2000,MATCH(H276, 'Green_rooibos initial weight'!$A$5:$A$2000,0)),"")</f>
        <v>1.9930000000000001</v>
      </c>
      <c r="K276">
        <f>IFERROR(INDEX('Green_rooibos initial weight'!$C$5:$C$2000,MATCH(I276, 'Green_rooibos initial weight'!$A$5:$A$2000,0)),"")</f>
        <v>2.2309999999999999</v>
      </c>
      <c r="L276" s="194">
        <f t="shared" si="29"/>
        <v>1.7432000000000001</v>
      </c>
      <c r="M276" s="194">
        <f t="shared" si="27"/>
        <v>1.9811999999999999</v>
      </c>
      <c r="N276" s="16">
        <f>IF('WetLitterbags placem_collection'!G203="","",'WetLitterbags placem_collection'!G203)</f>
        <v>42813</v>
      </c>
      <c r="O276" s="194">
        <f>IFERROR(INDEX('Both teabags AfterWet'!$C$3:$C$2000,MATCH(H276,'Both teabags AfterWet'!$A$3:$A$2000,0)),"")</f>
        <v>0.56630000000000003</v>
      </c>
      <c r="P276" s="194">
        <f>IFERROR(INDEX('Both teabags AfterWet'!$C$3:$C$2000,MATCH(I276,'Both teabags AfterWet'!$A$3:$A$2000,0)),"")</f>
        <v>1.5928</v>
      </c>
      <c r="Q276" s="194">
        <f t="shared" si="30"/>
        <v>0.41570000000000001</v>
      </c>
      <c r="R276" s="194">
        <f t="shared" si="30"/>
        <v>1.4421999999999999</v>
      </c>
      <c r="S276" s="194">
        <f t="shared" si="31"/>
        <v>0.76153051858650755</v>
      </c>
      <c r="T276" s="194">
        <f t="shared" si="32"/>
        <v>0.49924566064103593</v>
      </c>
      <c r="U276" s="194">
        <f t="shared" si="33"/>
        <v>0.72794266101352723</v>
      </c>
      <c r="V276">
        <f t="shared" si="28"/>
        <v>44</v>
      </c>
      <c r="W276" s="194">
        <f t="shared" si="34"/>
        <v>9.5569455360442257E-2</v>
      </c>
      <c r="X276" s="194">
        <f t="shared" si="35"/>
        <v>1.789361354874942E-2</v>
      </c>
      <c r="Y276" s="245" t="str">
        <f>IF(ISNUMBER(SEARCH("C",'WetLitterbags placem_collection'!$X203)),"YES","NO")</f>
        <v>NO</v>
      </c>
      <c r="Z276" s="245" t="str">
        <f>IF(ISNUMBER(SEARCH("H", 'WetLitterbags placem_collection'!$X203)),"YES","NO")</f>
        <v>NO</v>
      </c>
      <c r="AA276" s="245" t="str">
        <f>IF(ISNUMBER(SEARCH("R", 'WetLitterbags placem_collection'!$X203)),"YES","NO")</f>
        <v>YES</v>
      </c>
      <c r="AB276" s="245" t="str">
        <f>IF(ISNUMBER(SEARCH("C", 'WetLitterbags placem_collection'!$V203)),"YES","NO")</f>
        <v>NO</v>
      </c>
      <c r="AC276" s="245" t="str">
        <f>IF(ISNUMBER(SEARCH("H", 'WetLitterbags placem_collection'!$V203)),"YES","NO")</f>
        <v>NO</v>
      </c>
      <c r="AD276" s="245" t="str">
        <f>IF(ISNUMBER(SEARCH("R", 'WetLitterbags placem_collection'!$V203)),"YES","NO")</f>
        <v>YES</v>
      </c>
    </row>
    <row r="277" spans="2:30">
      <c r="B277" t="str">
        <f>Wetseason!B203</f>
        <v>Wet</v>
      </c>
      <c r="C277" s="253">
        <f>Wetseason!C203</f>
        <v>202</v>
      </c>
      <c r="D277" t="s">
        <v>2419</v>
      </c>
      <c r="E277" t="s">
        <v>22</v>
      </c>
      <c r="F277" s="375">
        <v>2</v>
      </c>
      <c r="G277" s="16">
        <f>'WetLitterbags placem_collection'!E204</f>
        <v>42769</v>
      </c>
      <c r="H277" t="str">
        <f>Wetseason!L203</f>
        <v>G773</v>
      </c>
      <c r="I277" t="str">
        <f>Wetseason!L423</f>
        <v>R135</v>
      </c>
      <c r="J277">
        <f>IFERROR(INDEX('Green_rooibos initial weight'!$C$5:$C$2000,MATCH(H277, 'Green_rooibos initial weight'!$A$5:$A$2000,0)),"")</f>
        <v>1.718</v>
      </c>
      <c r="K277">
        <f>IFERROR(INDEX('Green_rooibos initial weight'!$C$5:$C$2000,MATCH(I277, 'Green_rooibos initial weight'!$A$5:$A$2000,0)),"")</f>
        <v>2.286</v>
      </c>
      <c r="L277" s="194">
        <f t="shared" si="29"/>
        <v>1.4681999999999999</v>
      </c>
      <c r="M277" s="194">
        <f t="shared" si="27"/>
        <v>2.0362</v>
      </c>
      <c r="N277" s="16">
        <f>IF('WetLitterbags placem_collection'!G204="","",'WetLitterbags placem_collection'!G204)</f>
        <v>42814</v>
      </c>
      <c r="O277" s="194">
        <f>IFERROR(INDEX('Both teabags AfterWet'!$C$3:$C$2000,MATCH(H277,'Both teabags AfterWet'!$A$3:$A$2000,0)),"")</f>
        <v>0.84</v>
      </c>
      <c r="P277" s="194">
        <f>IFERROR(INDEX('Both teabags AfterWet'!$C$3:$C$2000,MATCH(I277,'Both teabags AfterWet'!$A$3:$A$2000,0)),"")</f>
        <v>1.6419999999999999</v>
      </c>
      <c r="Q277" s="194">
        <f t="shared" si="30"/>
        <v>0.68940000000000001</v>
      </c>
      <c r="R277" s="194">
        <f t="shared" si="30"/>
        <v>1.4913999999999998</v>
      </c>
      <c r="S277" s="194">
        <f t="shared" si="31"/>
        <v>0.53044544340008171</v>
      </c>
      <c r="T277" s="194">
        <f t="shared" si="32"/>
        <v>0.34775045695587309</v>
      </c>
      <c r="U277" s="194">
        <f t="shared" si="33"/>
        <v>0.73244278558098408</v>
      </c>
      <c r="V277">
        <f t="shared" si="28"/>
        <v>45</v>
      </c>
      <c r="W277" s="194">
        <f t="shared" si="34"/>
        <v>0.37001728812341839</v>
      </c>
      <c r="X277" s="194">
        <f t="shared" si="35"/>
        <v>3.2601019803574376E-2</v>
      </c>
      <c r="Y277" s="245" t="str">
        <f>IF(ISNUMBER(SEARCH("C",'WetLitterbags placem_collection'!$X204)),"YES","NO")</f>
        <v>NO</v>
      </c>
      <c r="Z277" s="245" t="str">
        <f>IF(ISNUMBER(SEARCH("H", 'WetLitterbags placem_collection'!$X204)),"YES","NO")</f>
        <v>NO</v>
      </c>
      <c r="AA277" s="245" t="str">
        <f>IF(ISNUMBER(SEARCH("R", 'WetLitterbags placem_collection'!$X204)),"YES","NO")</f>
        <v>YES</v>
      </c>
      <c r="AB277" s="245" t="str">
        <f>IF(ISNUMBER(SEARCH("C", 'WetLitterbags placem_collection'!$V204)),"YES","NO")</f>
        <v>NO</v>
      </c>
      <c r="AC277" s="245" t="str">
        <f>IF(ISNUMBER(SEARCH("H", 'WetLitterbags placem_collection'!$V204)),"YES","NO")</f>
        <v>NO</v>
      </c>
      <c r="AD277" s="245" t="str">
        <f>IF(ISNUMBER(SEARCH("R", 'WetLitterbags placem_collection'!$V204)),"YES","NO")</f>
        <v>YES</v>
      </c>
    </row>
    <row r="278" spans="2:30">
      <c r="B278" t="str">
        <f>Wetseason!B204</f>
        <v>Wet</v>
      </c>
      <c r="C278" s="253">
        <f>Wetseason!C204</f>
        <v>203</v>
      </c>
      <c r="D278" t="s">
        <v>2428</v>
      </c>
      <c r="E278" t="s">
        <v>22</v>
      </c>
      <c r="F278" s="375">
        <v>3</v>
      </c>
      <c r="G278" s="16">
        <f>'WetLitterbags placem_collection'!E205</f>
        <v>42769</v>
      </c>
      <c r="H278" t="str">
        <f>Wetseason!L204</f>
        <v>G645</v>
      </c>
      <c r="I278" t="str">
        <f>Wetseason!L424</f>
        <v>R372</v>
      </c>
      <c r="J278">
        <f>IFERROR(INDEX('Green_rooibos initial weight'!$C$5:$C$2000,MATCH(H278, 'Green_rooibos initial weight'!$A$5:$A$2000,0)),"")</f>
        <v>2.238</v>
      </c>
      <c r="K278">
        <f>IFERROR(INDEX('Green_rooibos initial weight'!$C$5:$C$2000,MATCH(I278, 'Green_rooibos initial weight'!$A$5:$A$2000,0)),"")</f>
        <v>2.202</v>
      </c>
      <c r="L278" s="194">
        <f t="shared" si="29"/>
        <v>1.9882</v>
      </c>
      <c r="M278" s="194">
        <f t="shared" si="27"/>
        <v>1.9521999999999999</v>
      </c>
      <c r="N278" s="16">
        <f>IF('WetLitterbags placem_collection'!G205="","",'WetLitterbags placem_collection'!G205)</f>
        <v>42814</v>
      </c>
      <c r="O278" s="194">
        <f>IFERROR(INDEX('Both teabags AfterWet'!$C$3:$C$2000,MATCH(H278,'Both teabags AfterWet'!$A$3:$A$2000,0)),"")</f>
        <v>0.80930000000000002</v>
      </c>
      <c r="P278" s="194">
        <f>IFERROR(INDEX('Both teabags AfterWet'!$C$3:$C$2000,MATCH(I278,'Both teabags AfterWet'!$A$3:$A$2000,0)),"")</f>
        <v>1.6213</v>
      </c>
      <c r="Q278" s="194">
        <f t="shared" si="30"/>
        <v>0.65870000000000006</v>
      </c>
      <c r="R278" s="194">
        <f t="shared" si="30"/>
        <v>1.4706999999999999</v>
      </c>
      <c r="S278" s="194">
        <f t="shared" si="31"/>
        <v>0.66869530228347251</v>
      </c>
      <c r="T278" s="194">
        <f t="shared" si="32"/>
        <v>0.43838456871790604</v>
      </c>
      <c r="U278" s="194">
        <f t="shared" si="33"/>
        <v>0.75335518901751863</v>
      </c>
      <c r="V278">
        <f t="shared" si="28"/>
        <v>45</v>
      </c>
      <c r="W278" s="194">
        <f t="shared" si="34"/>
        <v>0.20582505667046014</v>
      </c>
      <c r="X278" s="194">
        <f t="shared" si="35"/>
        <v>1.8376833595100978E-2</v>
      </c>
      <c r="Y278" s="245" t="str">
        <f>IF(ISNUMBER(SEARCH("C",'WetLitterbags placem_collection'!$X205)),"YES","NO")</f>
        <v>NO</v>
      </c>
      <c r="Z278" s="245" t="str">
        <f>IF(ISNUMBER(SEARCH("H", 'WetLitterbags placem_collection'!$X205)),"YES","NO")</f>
        <v>NO</v>
      </c>
      <c r="AA278" s="245" t="str">
        <f>IF(ISNUMBER(SEARCH("R", 'WetLitterbags placem_collection'!$X205)),"YES","NO")</f>
        <v>YES</v>
      </c>
      <c r="AB278" s="245" t="str">
        <f>IF(ISNUMBER(SEARCH("C", 'WetLitterbags placem_collection'!$V205)),"YES","NO")</f>
        <v>NO</v>
      </c>
      <c r="AC278" s="245" t="str">
        <f>IF(ISNUMBER(SEARCH("H", 'WetLitterbags placem_collection'!$V205)),"YES","NO")</f>
        <v>NO</v>
      </c>
      <c r="AD278" s="245" t="str">
        <f>IF(ISNUMBER(SEARCH("R", 'WetLitterbags placem_collection'!$V205)),"YES","NO")</f>
        <v>YES</v>
      </c>
    </row>
    <row r="279" spans="2:30">
      <c r="B279" t="str">
        <f>Wetseason!B205</f>
        <v>Wet</v>
      </c>
      <c r="C279" s="253">
        <f>Wetseason!C205</f>
        <v>204</v>
      </c>
      <c r="D279" t="s">
        <v>2435</v>
      </c>
      <c r="E279" t="s">
        <v>22</v>
      </c>
      <c r="F279" s="375">
        <v>4</v>
      </c>
      <c r="G279" s="16">
        <f>'WetLitterbags placem_collection'!E206</f>
        <v>42769</v>
      </c>
      <c r="H279" t="str">
        <f>Wetseason!L205</f>
        <v>G814</v>
      </c>
      <c r="I279" t="str">
        <f>Wetseason!L425</f>
        <v>R334</v>
      </c>
      <c r="J279">
        <f>IFERROR(INDEX('Green_rooibos initial weight'!$C$5:$C$2000,MATCH(H279, 'Green_rooibos initial weight'!$A$5:$A$2000,0)),"")</f>
        <v>2.1480000000000001</v>
      </c>
      <c r="K279">
        <f>IFERROR(INDEX('Green_rooibos initial weight'!$C$5:$C$2000,MATCH(I279, 'Green_rooibos initial weight'!$A$5:$A$2000,0)),"")</f>
        <v>2.1419999999999999</v>
      </c>
      <c r="L279" s="194">
        <f t="shared" si="29"/>
        <v>1.8982000000000001</v>
      </c>
      <c r="M279" s="194">
        <f t="shared" si="27"/>
        <v>1.8921999999999999</v>
      </c>
      <c r="N279" s="16">
        <f>IF('WetLitterbags placem_collection'!G206="","",'WetLitterbags placem_collection'!G206)</f>
        <v>42813</v>
      </c>
      <c r="O279" s="194">
        <f>IFERROR(INDEX('Both teabags AfterWet'!$C$3:$C$2000,MATCH(H279,'Both teabags AfterWet'!$A$3:$A$2000,0)),"")</f>
        <v>0.68300000000000005</v>
      </c>
      <c r="P279" s="194">
        <f>IFERROR(INDEX('Both teabags AfterWet'!$C$3:$C$2000,MATCH(I279,'Both teabags AfterWet'!$A$3:$A$2000,0)),"")</f>
        <v>1.544</v>
      </c>
      <c r="Q279" s="194">
        <f t="shared" si="30"/>
        <v>0.53239999999999998</v>
      </c>
      <c r="R279" s="194">
        <f t="shared" si="30"/>
        <v>1.3934</v>
      </c>
      <c r="S279" s="194">
        <f t="shared" si="31"/>
        <v>0.71952375935096402</v>
      </c>
      <c r="T279" s="194">
        <f t="shared" si="32"/>
        <v>0.47170678760300733</v>
      </c>
      <c r="U279" s="194">
        <f t="shared" si="33"/>
        <v>0.73639150195539582</v>
      </c>
      <c r="V279">
        <f t="shared" si="28"/>
        <v>44</v>
      </c>
      <c r="W279" s="194">
        <f t="shared" si="34"/>
        <v>0.14545871811049405</v>
      </c>
      <c r="X279" s="194">
        <f t="shared" si="35"/>
        <v>1.859879695015914E-2</v>
      </c>
      <c r="Y279" s="245" t="str">
        <f>IF(ISNUMBER(SEARCH("C",'WetLitterbags placem_collection'!$X206)),"YES","NO")</f>
        <v>NO</v>
      </c>
      <c r="Z279" s="245" t="str">
        <f>IF(ISNUMBER(SEARCH("H", 'WetLitterbags placem_collection'!$X206)),"YES","NO")</f>
        <v>NO</v>
      </c>
      <c r="AA279" s="245" t="str">
        <f>IF(ISNUMBER(SEARCH("R", 'WetLitterbags placem_collection'!$X206)),"YES","NO")</f>
        <v>YES</v>
      </c>
      <c r="AB279" s="245" t="str">
        <f>IF(ISNUMBER(SEARCH("C", 'WetLitterbags placem_collection'!$V206)),"YES","NO")</f>
        <v>NO</v>
      </c>
      <c r="AC279" s="245" t="str">
        <f>IF(ISNUMBER(SEARCH("H", 'WetLitterbags placem_collection'!$V206)),"YES","NO")</f>
        <v>NO</v>
      </c>
      <c r="AD279" s="245" t="str">
        <f>IF(ISNUMBER(SEARCH("R", 'WetLitterbags placem_collection'!$V206)),"YES","NO")</f>
        <v>YES</v>
      </c>
    </row>
    <row r="280" spans="2:30">
      <c r="B280" t="str">
        <f>Wetseason!B206</f>
        <v>Wet</v>
      </c>
      <c r="C280" s="253">
        <f>Wetseason!C206</f>
        <v>205</v>
      </c>
      <c r="D280" t="s">
        <v>2429</v>
      </c>
      <c r="E280" t="s">
        <v>22</v>
      </c>
      <c r="F280" s="375">
        <v>1</v>
      </c>
      <c r="G280" s="16">
        <f>'WetLitterbags placem_collection'!E207</f>
        <v>42769</v>
      </c>
      <c r="H280" t="str">
        <f>Wetseason!L206</f>
        <v>G621</v>
      </c>
      <c r="I280" t="str">
        <f>Wetseason!L426</f>
        <v>R265</v>
      </c>
      <c r="J280">
        <f>IFERROR(INDEX('Green_rooibos initial weight'!$C$5:$C$2000,MATCH(H280, 'Green_rooibos initial weight'!$A$5:$A$2000,0)),"")</f>
        <v>1.925</v>
      </c>
      <c r="K280">
        <f>IFERROR(INDEX('Green_rooibos initial weight'!$C$5:$C$2000,MATCH(I280, 'Green_rooibos initial weight'!$A$5:$A$2000,0)),"")</f>
        <v>2.2210000000000001</v>
      </c>
      <c r="L280" s="194">
        <f t="shared" si="29"/>
        <v>1.6752</v>
      </c>
      <c r="M280" s="194">
        <f t="shared" si="27"/>
        <v>1.9712000000000001</v>
      </c>
      <c r="N280" s="16">
        <f>IF('WetLitterbags placem_collection'!G207="","",'WetLitterbags placem_collection'!G207)</f>
        <v>42814</v>
      </c>
      <c r="O280" s="194">
        <f>IFERROR(INDEX('Both teabags AfterWet'!$C$3:$C$2000,MATCH(H280,'Both teabags AfterWet'!$A$3:$A$2000,0)),"")</f>
        <v>0.74099999999999999</v>
      </c>
      <c r="P280" s="194">
        <f>IFERROR(INDEX('Both teabags AfterWet'!$C$3:$C$2000,MATCH(I280,'Both teabags AfterWet'!$A$3:$A$2000,0)),"")</f>
        <v>1.6680999999999999</v>
      </c>
      <c r="Q280" s="194">
        <f t="shared" si="30"/>
        <v>0.59040000000000004</v>
      </c>
      <c r="R280" s="194">
        <f t="shared" si="30"/>
        <v>1.5174999999999998</v>
      </c>
      <c r="S280" s="194">
        <f t="shared" si="31"/>
        <v>0.64756446991404015</v>
      </c>
      <c r="T280" s="194">
        <f t="shared" si="32"/>
        <v>0.42453157647571282</v>
      </c>
      <c r="U280" s="194">
        <f t="shared" si="33"/>
        <v>0.76983563311688297</v>
      </c>
      <c r="V280">
        <f t="shared" si="28"/>
        <v>45</v>
      </c>
      <c r="W280" s="194">
        <f t="shared" si="34"/>
        <v>0.23092105710921595</v>
      </c>
      <c r="X280" s="194">
        <f t="shared" si="35"/>
        <v>1.7360826338285545E-2</v>
      </c>
      <c r="Y280" s="245" t="str">
        <f>IF(ISNUMBER(SEARCH("C",'WetLitterbags placem_collection'!$X207)),"YES","NO")</f>
        <v>NO</v>
      </c>
      <c r="Z280" s="245" t="str">
        <f>IF(ISNUMBER(SEARCH("H", 'WetLitterbags placem_collection'!$X207)),"YES","NO")</f>
        <v>NO</v>
      </c>
      <c r="AA280" s="245" t="str">
        <f>IF(ISNUMBER(SEARCH("R", 'WetLitterbags placem_collection'!$X207)),"YES","NO")</f>
        <v>YES</v>
      </c>
      <c r="AB280" s="245" t="str">
        <f>IF(ISNUMBER(SEARCH("C", 'WetLitterbags placem_collection'!$V207)),"YES","NO")</f>
        <v>NO</v>
      </c>
      <c r="AC280" s="245" t="str">
        <f>IF(ISNUMBER(SEARCH("H", 'WetLitterbags placem_collection'!$V207)),"YES","NO")</f>
        <v>YES</v>
      </c>
      <c r="AD280" s="245" t="str">
        <f>IF(ISNUMBER(SEARCH("R", 'WetLitterbags placem_collection'!$V207)),"YES","NO")</f>
        <v>YES</v>
      </c>
    </row>
    <row r="281" spans="2:30">
      <c r="B281" t="str">
        <f>Wetseason!B207</f>
        <v>Wet</v>
      </c>
      <c r="C281" s="253">
        <f>Wetseason!C207</f>
        <v>206</v>
      </c>
      <c r="D281" t="s">
        <v>2420</v>
      </c>
      <c r="E281" t="s">
        <v>22</v>
      </c>
      <c r="F281" s="375">
        <v>2</v>
      </c>
      <c r="G281" s="16">
        <f>'WetLitterbags placem_collection'!E208</f>
        <v>42769</v>
      </c>
      <c r="H281" t="str">
        <f>Wetseason!L207</f>
        <v>G677</v>
      </c>
      <c r="I281" t="str">
        <f>Wetseason!L427</f>
        <v>R234</v>
      </c>
      <c r="J281">
        <f>IFERROR(INDEX('Green_rooibos initial weight'!$C$5:$C$2000,MATCH(H281, 'Green_rooibos initial weight'!$A$5:$A$2000,0)),"")</f>
        <v>2.1269999999999998</v>
      </c>
      <c r="K281">
        <f>IFERROR(INDEX('Green_rooibos initial weight'!$C$5:$C$2000,MATCH(I281, 'Green_rooibos initial weight'!$A$5:$A$2000,0)),"")</f>
        <v>2.194</v>
      </c>
      <c r="L281" s="194">
        <f t="shared" si="29"/>
        <v>1.8771999999999998</v>
      </c>
      <c r="M281" s="194">
        <f t="shared" si="27"/>
        <v>1.9441999999999999</v>
      </c>
      <c r="N281" s="16">
        <f>IF('WetLitterbags placem_collection'!G208="","",'WetLitterbags placem_collection'!G208)</f>
        <v>42814</v>
      </c>
      <c r="O281" s="194">
        <f>IFERROR(INDEX('Both teabags AfterWet'!$C$3:$C$2000,MATCH(H281,'Both teabags AfterWet'!$A$3:$A$2000,0)),"")</f>
        <v>0.85699999999999998</v>
      </c>
      <c r="P281" s="194">
        <f>IFERROR(INDEX('Both teabags AfterWet'!$C$3:$C$2000,MATCH(I281,'Both teabags AfterWet'!$A$3:$A$2000,0)),"")</f>
        <v>1.7410000000000001</v>
      </c>
      <c r="Q281" s="194">
        <f t="shared" si="30"/>
        <v>0.70639999999999992</v>
      </c>
      <c r="R281" s="194">
        <f t="shared" si="30"/>
        <v>1.5904</v>
      </c>
      <c r="S281" s="194">
        <f t="shared" si="31"/>
        <v>0.62369486469209456</v>
      </c>
      <c r="T281" s="194">
        <f t="shared" si="32"/>
        <v>0.40888309419244212</v>
      </c>
      <c r="U281" s="194">
        <f t="shared" si="33"/>
        <v>0.81802283715667112</v>
      </c>
      <c r="V281">
        <f t="shared" si="28"/>
        <v>45</v>
      </c>
      <c r="W281" s="194">
        <f t="shared" si="34"/>
        <v>0.25926975689774989</v>
      </c>
      <c r="X281" s="194">
        <f t="shared" si="35"/>
        <v>1.3086527770293796E-2</v>
      </c>
      <c r="Y281" s="245" t="str">
        <f>IF(ISNUMBER(SEARCH("C",'WetLitterbags placem_collection'!$X208)),"YES","NO")</f>
        <v>NO</v>
      </c>
      <c r="Z281" s="245" t="str">
        <f>IF(ISNUMBER(SEARCH("H", 'WetLitterbags placem_collection'!$X208)),"YES","NO")</f>
        <v>NO</v>
      </c>
      <c r="AA281" s="245" t="str">
        <f>IF(ISNUMBER(SEARCH("R", 'WetLitterbags placem_collection'!$X208)),"YES","NO")</f>
        <v>YES</v>
      </c>
      <c r="AB281" s="245" t="str">
        <f>IF(ISNUMBER(SEARCH("C", 'WetLitterbags placem_collection'!$V208)),"YES","NO")</f>
        <v>NO</v>
      </c>
      <c r="AC281" s="245" t="str">
        <f>IF(ISNUMBER(SEARCH("H", 'WetLitterbags placem_collection'!$V208)),"YES","NO")</f>
        <v>NO</v>
      </c>
      <c r="AD281" s="245" t="str">
        <f>IF(ISNUMBER(SEARCH("R", 'WetLitterbags placem_collection'!$V208)),"YES","NO")</f>
        <v>YES</v>
      </c>
    </row>
    <row r="282" spans="2:30">
      <c r="B282" t="str">
        <f>Wetseason!B208</f>
        <v>Wet</v>
      </c>
      <c r="C282" s="253">
        <f>Wetseason!C208</f>
        <v>207</v>
      </c>
      <c r="D282" t="s">
        <v>2443</v>
      </c>
      <c r="E282" t="s">
        <v>22</v>
      </c>
      <c r="F282" s="375">
        <v>3</v>
      </c>
      <c r="G282" s="16">
        <f>'WetLitterbags placem_collection'!E209</f>
        <v>42769</v>
      </c>
      <c r="H282" t="str">
        <f>Wetseason!L208</f>
        <v>G574</v>
      </c>
      <c r="I282" t="str">
        <f>Wetseason!L428</f>
        <v>R258</v>
      </c>
      <c r="J282">
        <f>IFERROR(INDEX('Green_rooibos initial weight'!$C$5:$C$2000,MATCH(H282, 'Green_rooibos initial weight'!$A$5:$A$2000,0)),"")</f>
        <v>1.984</v>
      </c>
      <c r="K282">
        <f>IFERROR(INDEX('Green_rooibos initial weight'!$C$5:$C$2000,MATCH(I282, 'Green_rooibos initial weight'!$A$5:$A$2000,0)),"")</f>
        <v>2.17</v>
      </c>
      <c r="L282" s="194">
        <f t="shared" si="29"/>
        <v>1.7342</v>
      </c>
      <c r="M282" s="194">
        <f t="shared" si="27"/>
        <v>1.9201999999999999</v>
      </c>
      <c r="N282" s="16">
        <f>IF('WetLitterbags placem_collection'!G209="","",'WetLitterbags placem_collection'!G209)</f>
        <v>42813</v>
      </c>
      <c r="O282" s="194">
        <f>IFERROR(INDEX('Both teabags AfterWet'!$C$3:$C$2000,MATCH(H282,'Both teabags AfterWet'!$A$3:$A$2000,0)),"")</f>
        <v>0.77700000000000002</v>
      </c>
      <c r="P282" s="194">
        <f>IFERROR(INDEX('Both teabags AfterWet'!$C$3:$C$2000,MATCH(I282,'Both teabags AfterWet'!$A$3:$A$2000,0)),"")</f>
        <v>1.5820000000000001</v>
      </c>
      <c r="Q282" s="194">
        <f t="shared" si="30"/>
        <v>0.62640000000000007</v>
      </c>
      <c r="R282" s="194">
        <f t="shared" si="30"/>
        <v>1.4314</v>
      </c>
      <c r="S282" s="194">
        <f t="shared" si="31"/>
        <v>0.6387959866220736</v>
      </c>
      <c r="T282" s="194">
        <f t="shared" si="32"/>
        <v>0.41878311712040939</v>
      </c>
      <c r="U282" s="194">
        <f t="shared" si="33"/>
        <v>0.7454431830017707</v>
      </c>
      <c r="V282">
        <f t="shared" si="28"/>
        <v>44</v>
      </c>
      <c r="W282" s="194">
        <f t="shared" si="34"/>
        <v>0.24133493275288165</v>
      </c>
      <c r="X282" s="194">
        <f t="shared" si="35"/>
        <v>2.1275177504834656E-2</v>
      </c>
      <c r="Y282" s="245" t="str">
        <f>IF(ISNUMBER(SEARCH("C",'WetLitterbags placem_collection'!$X209)),"YES","NO")</f>
        <v>NO</v>
      </c>
      <c r="Z282" s="245" t="str">
        <f>IF(ISNUMBER(SEARCH("H", 'WetLitterbags placem_collection'!$X209)),"YES","NO")</f>
        <v>NO</v>
      </c>
      <c r="AA282" s="245" t="str">
        <f>IF(ISNUMBER(SEARCH("R", 'WetLitterbags placem_collection'!$X209)),"YES","NO")</f>
        <v>YES</v>
      </c>
      <c r="AB282" s="245" t="str">
        <f>IF(ISNUMBER(SEARCH("C", 'WetLitterbags placem_collection'!$V209)),"YES","NO")</f>
        <v>NO</v>
      </c>
      <c r="AC282" s="245" t="str">
        <f>IF(ISNUMBER(SEARCH("H", 'WetLitterbags placem_collection'!$V209)),"YES","NO")</f>
        <v>NO</v>
      </c>
      <c r="AD282" s="245" t="str">
        <f>IF(ISNUMBER(SEARCH("R", 'WetLitterbags placem_collection'!$V209)),"YES","NO")</f>
        <v>YES</v>
      </c>
    </row>
    <row r="283" spans="2:30">
      <c r="B283" t="str">
        <f>Wetseason!B209</f>
        <v>Wet</v>
      </c>
      <c r="C283" s="253">
        <f>Wetseason!C209</f>
        <v>208</v>
      </c>
      <c r="D283" t="s">
        <v>2436</v>
      </c>
      <c r="E283" t="s">
        <v>22</v>
      </c>
      <c r="F283" s="375">
        <v>4</v>
      </c>
      <c r="G283" s="16">
        <f>'WetLitterbags placem_collection'!E210</f>
        <v>42769</v>
      </c>
      <c r="H283" t="str">
        <f>Wetseason!L209</f>
        <v>G710</v>
      </c>
      <c r="I283" t="str">
        <f>Wetseason!L429</f>
        <v>R344</v>
      </c>
      <c r="J283">
        <f>IFERROR(INDEX('Green_rooibos initial weight'!$C$5:$C$2000,MATCH(H283, 'Green_rooibos initial weight'!$A$5:$A$2000,0)),"")</f>
        <v>2.0270000000000001</v>
      </c>
      <c r="K283">
        <f>IFERROR(INDEX('Green_rooibos initial weight'!$C$5:$C$2000,MATCH(I283, 'Green_rooibos initial weight'!$A$5:$A$2000,0)),"")</f>
        <v>2.153</v>
      </c>
      <c r="L283" s="194">
        <f t="shared" si="29"/>
        <v>1.7772000000000001</v>
      </c>
      <c r="M283" s="194">
        <f t="shared" si="27"/>
        <v>1.9032</v>
      </c>
      <c r="N283" s="16">
        <f>IF('WetLitterbags placem_collection'!G210="","",'WetLitterbags placem_collection'!G210)</f>
        <v>42813</v>
      </c>
      <c r="O283" s="194">
        <f>IFERROR(INDEX('Both teabags AfterWet'!$C$3:$C$2000,MATCH(H283,'Both teabags AfterWet'!$A$3:$A$2000,0)),"")</f>
        <v>0.91</v>
      </c>
      <c r="P283" s="194">
        <f>IFERROR(INDEX('Both teabags AfterWet'!$C$3:$C$2000,MATCH(I283,'Both teabags AfterWet'!$A$3:$A$2000,0)),"")</f>
        <v>1.476</v>
      </c>
      <c r="Q283" s="194">
        <f t="shared" si="30"/>
        <v>0.75940000000000007</v>
      </c>
      <c r="R283" s="194">
        <f t="shared" si="30"/>
        <v>1.3253999999999999</v>
      </c>
      <c r="S283" s="194">
        <f t="shared" si="31"/>
        <v>0.57269862705379249</v>
      </c>
      <c r="T283" s="194">
        <f t="shared" si="32"/>
        <v>0.37545088139393529</v>
      </c>
      <c r="U283" s="194">
        <f t="shared" si="33"/>
        <v>0.69640605296342994</v>
      </c>
      <c r="V283">
        <f t="shared" si="28"/>
        <v>44</v>
      </c>
      <c r="W283" s="194">
        <f t="shared" si="34"/>
        <v>0.31983535979359556</v>
      </c>
      <c r="X283" s="194">
        <f t="shared" si="35"/>
        <v>3.757842124220527E-2</v>
      </c>
      <c r="Y283" s="245" t="str">
        <f>IF(ISNUMBER(SEARCH("C",'WetLitterbags placem_collection'!$X210)),"YES","NO")</f>
        <v>NO</v>
      </c>
      <c r="Z283" s="245" t="str">
        <f>IF(ISNUMBER(SEARCH("H", 'WetLitterbags placem_collection'!$X210)),"YES","NO")</f>
        <v>NO</v>
      </c>
      <c r="AA283" s="245" t="str">
        <f>IF(ISNUMBER(SEARCH("R", 'WetLitterbags placem_collection'!$X210)),"YES","NO")</f>
        <v>YES</v>
      </c>
      <c r="AB283" s="245" t="str">
        <f>IF(ISNUMBER(SEARCH("C", 'WetLitterbags placem_collection'!$V210)),"YES","NO")</f>
        <v>NO</v>
      </c>
      <c r="AC283" s="245" t="str">
        <f>IF(ISNUMBER(SEARCH("H", 'WetLitterbags placem_collection'!$V210)),"YES","NO")</f>
        <v>NO</v>
      </c>
      <c r="AD283" s="245" t="str">
        <f>IF(ISNUMBER(SEARCH("R", 'WetLitterbags placem_collection'!$V210)),"YES","NO")</f>
        <v>YES</v>
      </c>
    </row>
    <row r="284" spans="2:30">
      <c r="B284" t="str">
        <f>Wetseason!B210</f>
        <v>Wet</v>
      </c>
      <c r="C284" s="253">
        <f>Wetseason!C210</f>
        <v>209</v>
      </c>
      <c r="D284" t="s">
        <v>2430</v>
      </c>
      <c r="E284" t="s">
        <v>22</v>
      </c>
      <c r="F284" s="375">
        <v>1</v>
      </c>
      <c r="G284" s="16">
        <f>'WetLitterbags placem_collection'!E211</f>
        <v>42769</v>
      </c>
      <c r="H284" t="str">
        <f>Wetseason!L210</f>
        <v>G604</v>
      </c>
      <c r="I284" t="str">
        <f>Wetseason!L430</f>
        <v>R271</v>
      </c>
      <c r="J284">
        <f>IFERROR(INDEX('Green_rooibos initial weight'!$C$5:$C$2000,MATCH(H284, 'Green_rooibos initial weight'!$A$5:$A$2000,0)),"")</f>
        <v>2.0390000000000001</v>
      </c>
      <c r="K284">
        <f>IFERROR(INDEX('Green_rooibos initial weight'!$C$5:$C$2000,MATCH(I284, 'Green_rooibos initial weight'!$A$5:$A$2000,0)),"")</f>
        <v>2.2829999999999999</v>
      </c>
      <c r="L284" s="194">
        <f t="shared" si="29"/>
        <v>1.7892000000000001</v>
      </c>
      <c r="M284" s="194">
        <f t="shared" si="27"/>
        <v>2.0331999999999999</v>
      </c>
      <c r="N284" s="16">
        <f>IF('WetLitterbags placem_collection'!G211="","",'WetLitterbags placem_collection'!G211)</f>
        <v>42814</v>
      </c>
      <c r="O284" s="194">
        <f>IFERROR(INDEX('Both teabags AfterWet'!$C$3:$C$2000,MATCH(H284,'Both teabags AfterWet'!$A$3:$A$2000,0)),"")</f>
        <v>0.748</v>
      </c>
      <c r="P284" s="194">
        <f>IFERROR(INDEX('Both teabags AfterWet'!$C$3:$C$2000,MATCH(I284,'Both teabags AfterWet'!$A$3:$A$2000,0)),"")</f>
        <v>1.754</v>
      </c>
      <c r="Q284" s="194">
        <f t="shared" si="30"/>
        <v>0.59739999999999993</v>
      </c>
      <c r="R284" s="194">
        <f t="shared" si="30"/>
        <v>1.6033999999999999</v>
      </c>
      <c r="S284" s="194">
        <f t="shared" si="31"/>
        <v>0.66610775765705355</v>
      </c>
      <c r="T284" s="194">
        <f t="shared" si="32"/>
        <v>0.43668822117184508</v>
      </c>
      <c r="U284" s="194">
        <f t="shared" si="33"/>
        <v>0.78860908912059813</v>
      </c>
      <c r="V284">
        <f t="shared" si="28"/>
        <v>45</v>
      </c>
      <c r="W284" s="194">
        <f t="shared" si="34"/>
        <v>0.20889815005100532</v>
      </c>
      <c r="X284" s="194">
        <f t="shared" si="35"/>
        <v>1.4706635083159539E-2</v>
      </c>
      <c r="Y284" s="245" t="str">
        <f>IF(ISNUMBER(SEARCH("C",'WetLitterbags placem_collection'!$X211)),"YES","NO")</f>
        <v>YES</v>
      </c>
      <c r="Z284" s="245" t="str">
        <f>IF(ISNUMBER(SEARCH("H", 'WetLitterbags placem_collection'!$X211)),"YES","NO")</f>
        <v>NO</v>
      </c>
      <c r="AA284" s="245" t="str">
        <f>IF(ISNUMBER(SEARCH("R", 'WetLitterbags placem_collection'!$X211)),"YES","NO")</f>
        <v>YES</v>
      </c>
      <c r="AB284" s="245" t="str">
        <f>IF(ISNUMBER(SEARCH("C", 'WetLitterbags placem_collection'!$V211)),"YES","NO")</f>
        <v>NO</v>
      </c>
      <c r="AC284" s="245" t="str">
        <f>IF(ISNUMBER(SEARCH("H", 'WetLitterbags placem_collection'!$V211)),"YES","NO")</f>
        <v>NO</v>
      </c>
      <c r="AD284" s="245" t="str">
        <f>IF(ISNUMBER(SEARCH("R", 'WetLitterbags placem_collection'!$V211)),"YES","NO")</f>
        <v>YES</v>
      </c>
    </row>
    <row r="285" spans="2:30">
      <c r="B285" t="str">
        <f>Wetseason!B211</f>
        <v>Wet</v>
      </c>
      <c r="C285" s="253">
        <f>Wetseason!C211</f>
        <v>210</v>
      </c>
      <c r="D285" t="s">
        <v>2444</v>
      </c>
      <c r="E285" t="s">
        <v>22</v>
      </c>
      <c r="F285" s="375">
        <v>2</v>
      </c>
      <c r="G285" s="16">
        <f>'WetLitterbags placem_collection'!E212</f>
        <v>42769</v>
      </c>
      <c r="H285" t="str">
        <f>Wetseason!L211</f>
        <v>G871</v>
      </c>
      <c r="I285" t="str">
        <f>Wetseason!L431</f>
        <v>R340</v>
      </c>
      <c r="J285">
        <f>IFERROR(INDEX('Green_rooibos initial weight'!$C$5:$C$2000,MATCH(H285, 'Green_rooibos initial weight'!$A$5:$A$2000,0)),"")</f>
        <v>2.0680000000000001</v>
      </c>
      <c r="K285">
        <f>IFERROR(INDEX('Green_rooibos initial weight'!$C$5:$C$2000,MATCH(I285, 'Green_rooibos initial weight'!$A$5:$A$2000,0)),"")</f>
        <v>2.2130000000000001</v>
      </c>
      <c r="L285" s="194">
        <f t="shared" si="29"/>
        <v>1.8182</v>
      </c>
      <c r="M285" s="194">
        <f t="shared" si="27"/>
        <v>1.9632000000000001</v>
      </c>
      <c r="N285" s="16">
        <f>IF('WetLitterbags placem_collection'!G212="","",'WetLitterbags placem_collection'!G212)</f>
        <v>42813</v>
      </c>
      <c r="O285" s="194">
        <f>IFERROR(INDEX('Both teabags AfterWet'!$C$3:$C$2000,MATCH(H285,'Both teabags AfterWet'!$A$3:$A$2000,0)),"")</f>
        <v>0.83130000000000004</v>
      </c>
      <c r="P285" s="194">
        <f>IFERROR(INDEX('Both teabags AfterWet'!$C$3:$C$2000,MATCH(I285,'Both teabags AfterWet'!$A$3:$A$2000,0)),"")</f>
        <v>1.6197999999999999</v>
      </c>
      <c r="Q285" s="194">
        <f t="shared" si="30"/>
        <v>0.68070000000000008</v>
      </c>
      <c r="R285" s="194">
        <f t="shared" si="30"/>
        <v>1.4691999999999998</v>
      </c>
      <c r="S285" s="194">
        <f t="shared" si="31"/>
        <v>0.62561874381256177</v>
      </c>
      <c r="T285" s="194">
        <f t="shared" si="32"/>
        <v>0.41014435461346094</v>
      </c>
      <c r="U285" s="194">
        <f t="shared" si="33"/>
        <v>0.74837000814995913</v>
      </c>
      <c r="V285">
        <f t="shared" si="28"/>
        <v>44</v>
      </c>
      <c r="W285" s="194">
        <f t="shared" si="34"/>
        <v>0.25698486483068672</v>
      </c>
      <c r="X285" s="194">
        <f t="shared" si="35"/>
        <v>2.1605999457692288E-2</v>
      </c>
      <c r="Y285" s="245" t="str">
        <f>IF(ISNUMBER(SEARCH("C",'WetLitterbags placem_collection'!$X212)),"YES","NO")</f>
        <v>NO</v>
      </c>
      <c r="Z285" s="245" t="str">
        <f>IF(ISNUMBER(SEARCH("H", 'WetLitterbags placem_collection'!$X212)),"YES","NO")</f>
        <v>NO</v>
      </c>
      <c r="AA285" s="245" t="str">
        <f>IF(ISNUMBER(SEARCH("R", 'WetLitterbags placem_collection'!$X212)),"YES","NO")</f>
        <v>YES</v>
      </c>
      <c r="AB285" s="245" t="str">
        <f>IF(ISNUMBER(SEARCH("C", 'WetLitterbags placem_collection'!$V212)),"YES","NO")</f>
        <v>NO</v>
      </c>
      <c r="AC285" s="245" t="str">
        <f>IF(ISNUMBER(SEARCH("H", 'WetLitterbags placem_collection'!$V212)),"YES","NO")</f>
        <v>NO</v>
      </c>
      <c r="AD285" s="245" t="str">
        <f>IF(ISNUMBER(SEARCH("R", 'WetLitterbags placem_collection'!$V212)),"YES","NO")</f>
        <v>YES</v>
      </c>
    </row>
    <row r="286" spans="2:30">
      <c r="B286" t="str">
        <f>Wetseason!B212</f>
        <v>Wet</v>
      </c>
      <c r="C286" s="253">
        <f>Wetseason!C212</f>
        <v>211</v>
      </c>
      <c r="D286" t="s">
        <v>2421</v>
      </c>
      <c r="E286" t="s">
        <v>22</v>
      </c>
      <c r="F286" s="375">
        <v>3</v>
      </c>
      <c r="G286" s="16">
        <f>'WetLitterbags placem_collection'!E213</f>
        <v>42769</v>
      </c>
      <c r="H286" t="str">
        <f>Wetseason!L212</f>
        <v>G822</v>
      </c>
      <c r="I286" t="str">
        <f>Wetseason!L432</f>
        <v>R381</v>
      </c>
      <c r="J286">
        <f>IFERROR(INDEX('Green_rooibos initial weight'!$C$5:$C$2000,MATCH(H286, 'Green_rooibos initial weight'!$A$5:$A$2000,0)),"")</f>
        <v>2.02</v>
      </c>
      <c r="K286">
        <f>IFERROR(INDEX('Green_rooibos initial weight'!$C$5:$C$2000,MATCH(I286, 'Green_rooibos initial weight'!$A$5:$A$2000,0)),"")</f>
        <v>2.2349999999999999</v>
      </c>
      <c r="L286" s="194">
        <f t="shared" si="29"/>
        <v>1.7702</v>
      </c>
      <c r="M286" s="194">
        <f t="shared" si="27"/>
        <v>1.9851999999999999</v>
      </c>
      <c r="N286" s="16">
        <f>IF('WetLitterbags placem_collection'!G213="","",'WetLitterbags placem_collection'!G213)</f>
        <v>42814</v>
      </c>
      <c r="O286" s="194">
        <f>IFERROR(INDEX('Both teabags AfterWet'!$C$3:$C$2000,MATCH(H286,'Both teabags AfterWet'!$A$3:$A$2000,0)),"")</f>
        <v>0.85699999999999998</v>
      </c>
      <c r="P286" s="194">
        <f>IFERROR(INDEX('Both teabags AfterWet'!$C$3:$C$2000,MATCH(I286,'Both teabags AfterWet'!$A$3:$A$2000,0)),"")</f>
        <v>1.528</v>
      </c>
      <c r="Q286" s="194">
        <f t="shared" si="30"/>
        <v>0.70639999999999992</v>
      </c>
      <c r="R286" s="194">
        <f t="shared" si="30"/>
        <v>1.3774</v>
      </c>
      <c r="S286" s="194">
        <f t="shared" si="31"/>
        <v>0.60094904530561521</v>
      </c>
      <c r="T286" s="194">
        <f t="shared" si="32"/>
        <v>0.39397134561603281</v>
      </c>
      <c r="U286" s="194">
        <f t="shared" si="33"/>
        <v>0.69383437437034057</v>
      </c>
      <c r="V286">
        <f t="shared" si="28"/>
        <v>45</v>
      </c>
      <c r="W286" s="194">
        <f t="shared" si="34"/>
        <v>0.28628379417385363</v>
      </c>
      <c r="X286" s="194">
        <f t="shared" si="35"/>
        <v>3.3358922963616186E-2</v>
      </c>
      <c r="Y286" s="245" t="str">
        <f>IF(ISNUMBER(SEARCH("C",'WetLitterbags placem_collection'!$X213)),"YES","NO")</f>
        <v>NO</v>
      </c>
      <c r="Z286" s="245" t="str">
        <f>IF(ISNUMBER(SEARCH("H", 'WetLitterbags placem_collection'!$X213)),"YES","NO")</f>
        <v>NO</v>
      </c>
      <c r="AA286" s="245" t="str">
        <f>IF(ISNUMBER(SEARCH("R", 'WetLitterbags placem_collection'!$X213)),"YES","NO")</f>
        <v>YES</v>
      </c>
      <c r="AB286" s="245" t="str">
        <f>IF(ISNUMBER(SEARCH("C", 'WetLitterbags placem_collection'!$V213)),"YES","NO")</f>
        <v>NO</v>
      </c>
      <c r="AC286" s="245" t="str">
        <f>IF(ISNUMBER(SEARCH("H", 'WetLitterbags placem_collection'!$V213)),"YES","NO")</f>
        <v>NO</v>
      </c>
      <c r="AD286" s="245" t="str">
        <f>IF(ISNUMBER(SEARCH("R", 'WetLitterbags placem_collection'!$V213)),"YES","NO")</f>
        <v>YES</v>
      </c>
    </row>
    <row r="287" spans="2:30">
      <c r="B287" t="str">
        <f>Wetseason!B213</f>
        <v>Wet</v>
      </c>
      <c r="C287" s="253">
        <f>Wetseason!C213</f>
        <v>215</v>
      </c>
      <c r="D287" t="s">
        <v>2422</v>
      </c>
      <c r="E287" t="s">
        <v>22</v>
      </c>
      <c r="F287" s="375">
        <v>3</v>
      </c>
      <c r="G287" s="16">
        <f>'WetLitterbags placem_collection'!E214</f>
        <v>42769</v>
      </c>
      <c r="H287" t="str">
        <f>Wetseason!L213</f>
        <v>G786</v>
      </c>
      <c r="I287" t="str">
        <f>Wetseason!L433</f>
        <v>R93</v>
      </c>
      <c r="J287">
        <f>IFERROR(INDEX('Green_rooibos initial weight'!$C$5:$C$2000,MATCH(H287, 'Green_rooibos initial weight'!$A$5:$A$2000,0)),"")</f>
        <v>2.097</v>
      </c>
      <c r="K287">
        <f>IFERROR(INDEX('Green_rooibos initial weight'!$C$5:$C$2000,MATCH(I287, 'Green_rooibos initial weight'!$A$5:$A$2000,0)),"")</f>
        <v>2.1709999999999998</v>
      </c>
      <c r="L287" s="194">
        <f t="shared" si="29"/>
        <v>1.8472</v>
      </c>
      <c r="M287" s="194">
        <f t="shared" si="27"/>
        <v>1.9211999999999998</v>
      </c>
      <c r="N287" s="16">
        <f>IF('WetLitterbags placem_collection'!G214="","",'WetLitterbags placem_collection'!G214)</f>
        <v>42813</v>
      </c>
      <c r="O287" s="194">
        <f>IFERROR(INDEX('Both teabags AfterWet'!$C$3:$C$2000,MATCH(H287,'Both teabags AfterWet'!$A$3:$A$2000,0)),"")</f>
        <v>0.86439999999999995</v>
      </c>
      <c r="P287" s="194">
        <f>IFERROR(INDEX('Both teabags AfterWet'!$C$3:$C$2000,MATCH(I287,'Both teabags AfterWet'!$A$3:$A$2000,0)),"")</f>
        <v>1.5831999999999999</v>
      </c>
      <c r="Q287" s="194">
        <f t="shared" si="30"/>
        <v>0.71379999999999999</v>
      </c>
      <c r="R287" s="194">
        <f t="shared" si="30"/>
        <v>1.4325999999999999</v>
      </c>
      <c r="S287" s="194">
        <f t="shared" si="31"/>
        <v>0.6135773061931572</v>
      </c>
      <c r="T287" s="194">
        <f t="shared" si="32"/>
        <v>0.40225020548530027</v>
      </c>
      <c r="U287" s="194">
        <f t="shared" si="33"/>
        <v>0.74567978346866548</v>
      </c>
      <c r="V287">
        <f t="shared" si="28"/>
        <v>44</v>
      </c>
      <c r="W287" s="194">
        <f t="shared" si="34"/>
        <v>0.27128585962807927</v>
      </c>
      <c r="X287" s="194">
        <f t="shared" si="35"/>
        <v>2.2734890510879111E-2</v>
      </c>
      <c r="Y287" s="245" t="str">
        <f>IF(ISNUMBER(SEARCH("C",'WetLitterbags placem_collection'!$X214)),"YES","NO")</f>
        <v>NO</v>
      </c>
      <c r="Z287" s="245" t="str">
        <f>IF(ISNUMBER(SEARCH("H", 'WetLitterbags placem_collection'!$X214)),"YES","NO")</f>
        <v>NO</v>
      </c>
      <c r="AA287" s="245" t="str">
        <f>IF(ISNUMBER(SEARCH("R", 'WetLitterbags placem_collection'!$X214)),"YES","NO")</f>
        <v>YES</v>
      </c>
      <c r="AB287" s="245" t="str">
        <f>IF(ISNUMBER(SEARCH("C", 'WetLitterbags placem_collection'!$V214)),"YES","NO")</f>
        <v>NO</v>
      </c>
      <c r="AC287" s="245" t="str">
        <f>IF(ISNUMBER(SEARCH("H", 'WetLitterbags placem_collection'!$V214)),"YES","NO")</f>
        <v>NO</v>
      </c>
      <c r="AD287" s="245" t="str">
        <f>IF(ISNUMBER(SEARCH("R", 'WetLitterbags placem_collection'!$V214)),"YES","NO")</f>
        <v>NO</v>
      </c>
    </row>
    <row r="288" spans="2:30">
      <c r="B288" t="str">
        <f>Wetseason!B214</f>
        <v>Wet</v>
      </c>
      <c r="C288" s="253">
        <f>Wetseason!C214</f>
        <v>212</v>
      </c>
      <c r="D288" t="s">
        <v>2437</v>
      </c>
      <c r="E288" t="s">
        <v>22</v>
      </c>
      <c r="F288" s="375">
        <v>4</v>
      </c>
      <c r="G288" s="16">
        <f>'WetLitterbags placem_collection'!E215</f>
        <v>42769</v>
      </c>
      <c r="H288" t="str">
        <f>Wetseason!L214</f>
        <v>G572</v>
      </c>
      <c r="I288" t="str">
        <f>Wetseason!L434</f>
        <v>R88</v>
      </c>
      <c r="J288">
        <f>IFERROR(INDEX('Green_rooibos initial weight'!$C$5:$C$2000,MATCH(H288, 'Green_rooibos initial weight'!$A$5:$A$2000,0)),"")</f>
        <v>1.972</v>
      </c>
      <c r="K288">
        <f>IFERROR(INDEX('Green_rooibos initial weight'!$C$5:$C$2000,MATCH(I288, 'Green_rooibos initial weight'!$A$5:$A$2000,0)),"")</f>
        <v>2.1520000000000001</v>
      </c>
      <c r="L288" s="194">
        <f t="shared" si="29"/>
        <v>1.7222</v>
      </c>
      <c r="M288" s="194">
        <f t="shared" si="27"/>
        <v>1.9022000000000001</v>
      </c>
      <c r="N288" s="16">
        <f>IF('WetLitterbags placem_collection'!G215="","",'WetLitterbags placem_collection'!G215)</f>
        <v>42813</v>
      </c>
      <c r="O288" s="194">
        <f>IFERROR(INDEX('Both teabags AfterWet'!$C$3:$C$2000,MATCH(H288,'Both teabags AfterWet'!$A$3:$A$2000,0)),"")</f>
        <v>0.71399999999999997</v>
      </c>
      <c r="P288" s="194">
        <f>IFERROR(INDEX('Both teabags AfterWet'!$C$3:$C$2000,MATCH(I288,'Both teabags AfterWet'!$A$3:$A$2000,0)),"")</f>
        <v>1.542</v>
      </c>
      <c r="Q288" s="194">
        <f t="shared" si="30"/>
        <v>0.5633999999999999</v>
      </c>
      <c r="R288" s="194">
        <f t="shared" si="30"/>
        <v>1.3914</v>
      </c>
      <c r="S288" s="194">
        <f t="shared" si="31"/>
        <v>0.67286029497154809</v>
      </c>
      <c r="T288" s="194">
        <f t="shared" si="32"/>
        <v>0.44111506273669193</v>
      </c>
      <c r="U288" s="194">
        <f t="shared" si="33"/>
        <v>0.73146882557039217</v>
      </c>
      <c r="V288">
        <f t="shared" si="28"/>
        <v>44</v>
      </c>
      <c r="W288" s="194">
        <f t="shared" si="34"/>
        <v>0.20087850953497843</v>
      </c>
      <c r="X288" s="194">
        <f t="shared" si="35"/>
        <v>2.1327780167317251E-2</v>
      </c>
      <c r="Y288" s="245" t="str">
        <f>IF(ISNUMBER(SEARCH("C",'WetLitterbags placem_collection'!$X215)),"YES","NO")</f>
        <v>NO</v>
      </c>
      <c r="Z288" s="245" t="str">
        <f>IF(ISNUMBER(SEARCH("H", 'WetLitterbags placem_collection'!$X215)),"YES","NO")</f>
        <v>NO</v>
      </c>
      <c r="AA288" s="245" t="str">
        <f>IF(ISNUMBER(SEARCH("R", 'WetLitterbags placem_collection'!$X215)),"YES","NO")</f>
        <v>YES</v>
      </c>
      <c r="AB288" s="245" t="str">
        <f>IF(ISNUMBER(SEARCH("C", 'WetLitterbags placem_collection'!$V215)),"YES","NO")</f>
        <v>NO</v>
      </c>
      <c r="AC288" s="245" t="str">
        <f>IF(ISNUMBER(SEARCH("H", 'WetLitterbags placem_collection'!$V215)),"YES","NO")</f>
        <v>NO</v>
      </c>
      <c r="AD288" s="245" t="str">
        <f>IF(ISNUMBER(SEARCH("R", 'WetLitterbags placem_collection'!$V215)),"YES","NO")</f>
        <v>YES</v>
      </c>
    </row>
    <row r="289" spans="1:30">
      <c r="B289" t="str">
        <f>Wetseason!B215</f>
        <v>Wet</v>
      </c>
      <c r="C289" s="253">
        <f>Wetseason!C215</f>
        <v>213</v>
      </c>
      <c r="D289" t="s">
        <v>2445</v>
      </c>
      <c r="E289" t="s">
        <v>22</v>
      </c>
      <c r="F289" s="375">
        <v>1</v>
      </c>
      <c r="G289" s="16">
        <f>'WetLitterbags placem_collection'!E216</f>
        <v>42769</v>
      </c>
      <c r="H289" t="str">
        <f>Wetseason!L215</f>
        <v>G761</v>
      </c>
      <c r="I289" t="str">
        <f>Wetseason!L435</f>
        <v>R383</v>
      </c>
      <c r="J289">
        <f>IFERROR(INDEX('Green_rooibos initial weight'!$C$5:$C$2000,MATCH(H289, 'Green_rooibos initial weight'!$A$5:$A$2000,0)),"")</f>
        <v>2.0110000000000001</v>
      </c>
      <c r="K289">
        <f>IFERROR(INDEX('Green_rooibos initial weight'!$C$5:$C$2000,MATCH(I289, 'Green_rooibos initial weight'!$A$5:$A$2000,0)),"")</f>
        <v>2.234</v>
      </c>
      <c r="L289" s="194">
        <f t="shared" si="29"/>
        <v>1.7612000000000001</v>
      </c>
      <c r="M289" s="194">
        <f t="shared" si="27"/>
        <v>1.9842</v>
      </c>
      <c r="N289" s="16">
        <f>IF('WetLitterbags placem_collection'!G216="","",'WetLitterbags placem_collection'!G216)</f>
        <v>42813</v>
      </c>
      <c r="O289" s="194">
        <f>IFERROR(INDEX('Both teabags AfterWet'!$C$3:$C$2000,MATCH(H289,'Both teabags AfterWet'!$A$3:$A$2000,0)),"")</f>
        <v>0.71299999999999997</v>
      </c>
      <c r="P289" s="194">
        <f>IFERROR(INDEX('Both teabags AfterWet'!$C$3:$C$2000,MATCH(I289,'Both teabags AfterWet'!$A$3:$A$2000,0)),"")</f>
        <v>1.587</v>
      </c>
      <c r="Q289" s="194">
        <f t="shared" si="30"/>
        <v>0.56240000000000001</v>
      </c>
      <c r="R289" s="194">
        <f t="shared" si="30"/>
        <v>1.4363999999999999</v>
      </c>
      <c r="S289" s="194">
        <f t="shared" si="31"/>
        <v>0.68067226890756305</v>
      </c>
      <c r="T289" s="194">
        <f t="shared" si="32"/>
        <v>0.44623645182538579</v>
      </c>
      <c r="U289" s="194">
        <f t="shared" si="33"/>
        <v>0.72391895978227994</v>
      </c>
      <c r="V289">
        <f t="shared" si="28"/>
        <v>44</v>
      </c>
      <c r="W289" s="194">
        <f t="shared" si="34"/>
        <v>0.19160063075111278</v>
      </c>
      <c r="X289" s="194">
        <f t="shared" si="35"/>
        <v>2.1912199254853739E-2</v>
      </c>
      <c r="Y289" s="245" t="str">
        <f>IF(ISNUMBER(SEARCH("C",'WetLitterbags placem_collection'!$X216)),"YES","NO")</f>
        <v>NO</v>
      </c>
      <c r="Z289" s="245" t="str">
        <f>IF(ISNUMBER(SEARCH("H", 'WetLitterbags placem_collection'!$X216)),"YES","NO")</f>
        <v>NO</v>
      </c>
      <c r="AA289" s="245" t="str">
        <f>IF(ISNUMBER(SEARCH("R", 'WetLitterbags placem_collection'!$X216)),"YES","NO")</f>
        <v>YES</v>
      </c>
      <c r="AB289" s="245" t="str">
        <f>IF(ISNUMBER(SEARCH("C", 'WetLitterbags placem_collection'!$V216)),"YES","NO")</f>
        <v>NO</v>
      </c>
      <c r="AC289" s="245" t="str">
        <f>IF(ISNUMBER(SEARCH("H", 'WetLitterbags placem_collection'!$V216)),"YES","NO")</f>
        <v>NO</v>
      </c>
      <c r="AD289" s="245" t="str">
        <f>IF(ISNUMBER(SEARCH("R", 'WetLitterbags placem_collection'!$V216)),"YES","NO")</f>
        <v>YES</v>
      </c>
    </row>
    <row r="290" spans="1:30">
      <c r="B290" t="str">
        <f>Wetseason!B216</f>
        <v>Wet</v>
      </c>
      <c r="C290" s="253">
        <f>Wetseason!C216</f>
        <v>214</v>
      </c>
      <c r="D290" t="s">
        <v>2438</v>
      </c>
      <c r="E290" t="s">
        <v>22</v>
      </c>
      <c r="F290" s="375">
        <v>2</v>
      </c>
      <c r="G290" s="16">
        <f>'WetLitterbags placem_collection'!E217</f>
        <v>42769</v>
      </c>
      <c r="H290" t="str">
        <f>Wetseason!L216</f>
        <v>G858</v>
      </c>
      <c r="I290" t="str">
        <f>Wetseason!L436</f>
        <v>R145</v>
      </c>
      <c r="J290">
        <f>IFERROR(INDEX('Green_rooibos initial weight'!$C$5:$C$2000,MATCH(H290, 'Green_rooibos initial weight'!$A$5:$A$2000,0)),"")</f>
        <v>2.1040000000000001</v>
      </c>
      <c r="K290">
        <f>IFERROR(INDEX('Green_rooibos initial weight'!$C$5:$C$2000,MATCH(I290, 'Green_rooibos initial weight'!$A$5:$A$2000,0)),"")</f>
        <v>2.2719999999999998</v>
      </c>
      <c r="L290" s="194">
        <f t="shared" si="29"/>
        <v>1.8542000000000001</v>
      </c>
      <c r="M290" s="194">
        <f t="shared" si="27"/>
        <v>2.0221999999999998</v>
      </c>
      <c r="N290" s="16">
        <f>IF('WetLitterbags placem_collection'!G217="","",'WetLitterbags placem_collection'!G217)</f>
        <v>42814</v>
      </c>
      <c r="O290" s="194">
        <f>IFERROR(INDEX('Both teabags AfterWet'!$C$3:$C$2000,MATCH(H290,'Both teabags AfterWet'!$A$3:$A$2000,0)),"")</f>
        <v>0.69730000000000003</v>
      </c>
      <c r="P290" s="194">
        <f>IFERROR(INDEX('Both teabags AfterWet'!$C$3:$C$2000,MATCH(I290,'Both teabags AfterWet'!$A$3:$A$2000,0)),"")</f>
        <v>1.5481</v>
      </c>
      <c r="Q290" s="194">
        <f t="shared" si="30"/>
        <v>0.54669999999999996</v>
      </c>
      <c r="R290" s="194">
        <f t="shared" si="30"/>
        <v>1.3975</v>
      </c>
      <c r="S290" s="194">
        <f t="shared" si="31"/>
        <v>0.70515586236651928</v>
      </c>
      <c r="T290" s="194">
        <f t="shared" si="32"/>
        <v>0.46228745371296753</v>
      </c>
      <c r="U290" s="194">
        <f t="shared" si="33"/>
        <v>0.69107902284640499</v>
      </c>
      <c r="V290">
        <f t="shared" si="28"/>
        <v>45</v>
      </c>
      <c r="W290" s="194">
        <f t="shared" si="34"/>
        <v>0.16252272878085594</v>
      </c>
      <c r="X290" s="194">
        <f t="shared" si="35"/>
        <v>2.4519034730028141E-2</v>
      </c>
      <c r="Y290" s="245" t="str">
        <f>IF(ISNUMBER(SEARCH("C",'WetLitterbags placem_collection'!$X217)),"YES","NO")</f>
        <v>NO</v>
      </c>
      <c r="Z290" s="245" t="str">
        <f>IF(ISNUMBER(SEARCH("H", 'WetLitterbags placem_collection'!$X217)),"YES","NO")</f>
        <v>NO</v>
      </c>
      <c r="AA290" s="245" t="str">
        <f>IF(ISNUMBER(SEARCH("R", 'WetLitterbags placem_collection'!$X217)),"YES","NO")</f>
        <v>YES</v>
      </c>
      <c r="AB290" s="245" t="str">
        <f>IF(ISNUMBER(SEARCH("C", 'WetLitterbags placem_collection'!$V217)),"YES","NO")</f>
        <v>NO</v>
      </c>
      <c r="AC290" s="245" t="str">
        <f>IF(ISNUMBER(SEARCH("H", 'WetLitterbags placem_collection'!$V217)),"YES","NO")</f>
        <v>NO</v>
      </c>
      <c r="AD290" s="245" t="str">
        <f>IF(ISNUMBER(SEARCH("R", 'WetLitterbags placem_collection'!$V217)),"YES","NO")</f>
        <v>YES</v>
      </c>
    </row>
    <row r="291" spans="1:30">
      <c r="B291" t="str">
        <f>Wetseason!B217</f>
        <v>Wet</v>
      </c>
      <c r="C291" s="253">
        <f>Wetseason!C217</f>
        <v>216</v>
      </c>
      <c r="D291" t="s">
        <v>2431</v>
      </c>
      <c r="E291" t="s">
        <v>22</v>
      </c>
      <c r="F291" s="375">
        <v>4</v>
      </c>
      <c r="G291" s="16">
        <f>'WetLitterbags placem_collection'!E218</f>
        <v>42769</v>
      </c>
      <c r="H291" t="str">
        <f>Wetseason!L217</f>
        <v>G755</v>
      </c>
      <c r="I291" t="str">
        <f>Wetseason!L437</f>
        <v>R241</v>
      </c>
      <c r="J291">
        <f>IFERROR(INDEX('Green_rooibos initial weight'!$C$5:$C$2000,MATCH(H291, 'Green_rooibos initial weight'!$A$5:$A$2000,0)),"")</f>
        <v>2.0190000000000001</v>
      </c>
      <c r="K291">
        <f>IFERROR(INDEX('Green_rooibos initial weight'!$C$5:$C$2000,MATCH(I291, 'Green_rooibos initial weight'!$A$5:$A$2000,0)),"")</f>
        <v>2.1680000000000001</v>
      </c>
      <c r="L291" s="194">
        <f t="shared" si="29"/>
        <v>1.7692000000000001</v>
      </c>
      <c r="M291" s="194">
        <f t="shared" si="27"/>
        <v>1.9182000000000001</v>
      </c>
      <c r="N291" s="16">
        <f>IF('WetLitterbags placem_collection'!G218="","",'WetLitterbags placem_collection'!G218)</f>
        <v>42814</v>
      </c>
      <c r="O291" s="194">
        <f>IFERROR(INDEX('Both teabags AfterWet'!$C$3:$C$2000,MATCH(H291,'Both teabags AfterWet'!$A$3:$A$2000,0)),"")</f>
        <v>0.88700000000000001</v>
      </c>
      <c r="P291" s="194">
        <f>IFERROR(INDEX('Both teabags AfterWet'!$C$3:$C$2000,MATCH(I291,'Both teabags AfterWet'!$A$3:$A$2000,0)),"")</f>
        <v>1.5349999999999999</v>
      </c>
      <c r="Q291" s="194">
        <f t="shared" si="30"/>
        <v>0.73639999999999994</v>
      </c>
      <c r="R291" s="194">
        <f t="shared" si="30"/>
        <v>1.3843999999999999</v>
      </c>
      <c r="S291" s="194">
        <f t="shared" si="31"/>
        <v>0.58376667420302963</v>
      </c>
      <c r="T291" s="194">
        <f t="shared" si="32"/>
        <v>0.38270689330174867</v>
      </c>
      <c r="U291" s="194">
        <f t="shared" si="33"/>
        <v>0.72171827755187146</v>
      </c>
      <c r="V291">
        <f t="shared" si="28"/>
        <v>45</v>
      </c>
      <c r="W291" s="194">
        <f t="shared" si="34"/>
        <v>0.30669041068523795</v>
      </c>
      <c r="X291" s="194">
        <f t="shared" si="35"/>
        <v>2.8862192400802955E-2</v>
      </c>
      <c r="Y291" s="245" t="str">
        <f>IF(ISNUMBER(SEARCH("C",'WetLitterbags placem_collection'!$X218)),"YES","NO")</f>
        <v>NO</v>
      </c>
      <c r="Z291" s="245" t="str">
        <f>IF(ISNUMBER(SEARCH("H", 'WetLitterbags placem_collection'!$X218)),"YES","NO")</f>
        <v>NO</v>
      </c>
      <c r="AA291" s="245" t="str">
        <f>IF(ISNUMBER(SEARCH("R", 'WetLitterbags placem_collection'!$X218)),"YES","NO")</f>
        <v>YES</v>
      </c>
      <c r="AB291" s="245" t="str">
        <f>IF(ISNUMBER(SEARCH("C", 'WetLitterbags placem_collection'!$V218)),"YES","NO")</f>
        <v>YES</v>
      </c>
      <c r="AC291" s="245" t="str">
        <f>IF(ISNUMBER(SEARCH("H", 'WetLitterbags placem_collection'!$V218)),"YES","NO")</f>
        <v>YES</v>
      </c>
      <c r="AD291" s="245" t="str">
        <f>IF(ISNUMBER(SEARCH("R", 'WetLitterbags placem_collection'!$V218)),"YES","NO")</f>
        <v>YES</v>
      </c>
    </row>
    <row r="292" spans="1:30">
      <c r="B292" t="str">
        <f>Wetseason!B218</f>
        <v>Wet</v>
      </c>
      <c r="C292" s="253">
        <f>Wetseason!C218</f>
        <v>217</v>
      </c>
      <c r="D292" t="s">
        <v>2424</v>
      </c>
      <c r="E292" t="s">
        <v>22</v>
      </c>
      <c r="F292" s="375">
        <v>1</v>
      </c>
      <c r="G292" s="16">
        <f>'WetLitterbags placem_collection'!E219</f>
        <v>42769</v>
      </c>
      <c r="H292" t="str">
        <f>Wetseason!L218</f>
        <v>G795</v>
      </c>
      <c r="I292" t="str">
        <f>Wetseason!L438</f>
        <v>R302</v>
      </c>
      <c r="J292">
        <f>IFERROR(INDEX('Green_rooibos initial weight'!$C$5:$C$2000,MATCH(H292, 'Green_rooibos initial weight'!$A$5:$A$2000,0)),"")</f>
        <v>1.9530000000000001</v>
      </c>
      <c r="K292">
        <f>IFERROR(INDEX('Green_rooibos initial weight'!$C$5:$C$2000,MATCH(I292, 'Green_rooibos initial weight'!$A$5:$A$2000,0)),"")</f>
        <v>2.19</v>
      </c>
      <c r="L292" s="194">
        <f t="shared" si="29"/>
        <v>1.7032</v>
      </c>
      <c r="M292" s="194">
        <f t="shared" si="27"/>
        <v>1.9401999999999999</v>
      </c>
      <c r="N292" s="16">
        <f>IF('WetLitterbags placem_collection'!G219="","",'WetLitterbags placem_collection'!G219)</f>
        <v>42814</v>
      </c>
      <c r="O292" s="194">
        <f>IFERROR(INDEX('Both teabags AfterWet'!$C$3:$C$2000,MATCH(H292,'Both teabags AfterWet'!$A$3:$A$2000,0)),"")</f>
        <v>0.78100000000000003</v>
      </c>
      <c r="P292" s="194">
        <f>IFERROR(INDEX('Both teabags AfterWet'!$C$3:$C$2000,MATCH(I292,'Both teabags AfterWet'!$A$3:$A$2000,0)),"")</f>
        <v>1.38</v>
      </c>
      <c r="Q292" s="194">
        <f t="shared" si="30"/>
        <v>0.63040000000000007</v>
      </c>
      <c r="R292" s="194">
        <f t="shared" si="30"/>
        <v>1.2293999999999998</v>
      </c>
      <c r="S292" s="194">
        <f t="shared" si="31"/>
        <v>0.62987317989666503</v>
      </c>
      <c r="T292" s="194">
        <f t="shared" si="32"/>
        <v>0.41293348610802749</v>
      </c>
      <c r="U292" s="194">
        <f t="shared" si="33"/>
        <v>0.63364601587465208</v>
      </c>
      <c r="V292">
        <f t="shared" si="28"/>
        <v>45</v>
      </c>
      <c r="W292" s="194">
        <f t="shared" si="34"/>
        <v>0.25193209038400821</v>
      </c>
      <c r="X292" s="194">
        <f t="shared" si="35"/>
        <v>4.8491687925816034E-2</v>
      </c>
      <c r="Y292" s="245" t="str">
        <f>IF(ISNUMBER(SEARCH("C",'WetLitterbags placem_collection'!$X219)),"YES","NO")</f>
        <v>NO</v>
      </c>
      <c r="Z292" s="245" t="str">
        <f>IF(ISNUMBER(SEARCH("H", 'WetLitterbags placem_collection'!$X219)),"YES","NO")</f>
        <v>NO</v>
      </c>
      <c r="AA292" s="245" t="str">
        <f>IF(ISNUMBER(SEARCH("R", 'WetLitterbags placem_collection'!$X219)),"YES","NO")</f>
        <v>YES</v>
      </c>
      <c r="AB292" s="245" t="str">
        <f>IF(ISNUMBER(SEARCH("C", 'WetLitterbags placem_collection'!$V219)),"YES","NO")</f>
        <v>NO</v>
      </c>
      <c r="AC292" s="245" t="str">
        <f>IF(ISNUMBER(SEARCH("H", 'WetLitterbags placem_collection'!$V219)),"YES","NO")</f>
        <v>NO</v>
      </c>
      <c r="AD292" s="245" t="str">
        <f>IF(ISNUMBER(SEARCH("R", 'WetLitterbags placem_collection'!$V219)),"YES","NO")</f>
        <v>YES</v>
      </c>
    </row>
    <row r="293" spans="1:30">
      <c r="B293" t="str">
        <f>Wetseason!B219</f>
        <v>Wet</v>
      </c>
      <c r="C293" s="253">
        <f>Wetseason!C219</f>
        <v>218</v>
      </c>
      <c r="D293" t="s">
        <v>2432</v>
      </c>
      <c r="E293" t="s">
        <v>22</v>
      </c>
      <c r="F293" s="375">
        <v>2</v>
      </c>
      <c r="G293" s="16">
        <f>'WetLitterbags placem_collection'!E220</f>
        <v>42769</v>
      </c>
      <c r="H293" t="str">
        <f>Wetseason!L219</f>
        <v>G251</v>
      </c>
      <c r="I293" t="str">
        <f>Wetseason!L439</f>
        <v>R442</v>
      </c>
      <c r="J293">
        <f>IFERROR(INDEX('Green_rooibos initial weight'!$C$5:$C$2000,MATCH(H293, 'Green_rooibos initial weight'!$A$5:$A$2000,0)),"")</f>
        <v>2.0539999999999998</v>
      </c>
      <c r="K293">
        <f>IFERROR(INDEX('Green_rooibos initial weight'!$C$5:$C$2000,MATCH(I293, 'Green_rooibos initial weight'!$A$5:$A$2000,0)),"")</f>
        <v>2.2290000000000001</v>
      </c>
      <c r="L293" s="194">
        <f t="shared" si="29"/>
        <v>1.8041999999999998</v>
      </c>
      <c r="M293" s="194">
        <f t="shared" si="27"/>
        <v>1.9792000000000001</v>
      </c>
      <c r="N293" s="16">
        <f>IF('WetLitterbags placem_collection'!G220="","",'WetLitterbags placem_collection'!G220)</f>
        <v>42814</v>
      </c>
      <c r="O293" s="194">
        <f>IFERROR(INDEX('Both teabags AfterWet'!$C$3:$C$2000,MATCH(H293,'Both teabags AfterWet'!$A$3:$A$2000,0)),"")</f>
        <v>0.75700000000000001</v>
      </c>
      <c r="P293" s="194">
        <f>IFERROR(INDEX('Both teabags AfterWet'!$C$3:$C$2000,MATCH(I293,'Both teabags AfterWet'!$A$3:$A$2000,0)),"")</f>
        <v>1.3831</v>
      </c>
      <c r="Q293" s="194">
        <f t="shared" si="30"/>
        <v>0.60640000000000005</v>
      </c>
      <c r="R293" s="194">
        <f t="shared" si="30"/>
        <v>1.2324999999999999</v>
      </c>
      <c r="S293" s="194">
        <f t="shared" si="31"/>
        <v>0.6638953552821194</v>
      </c>
      <c r="T293" s="194">
        <f t="shared" si="32"/>
        <v>0.43523781011369356</v>
      </c>
      <c r="U293" s="194">
        <f t="shared" si="33"/>
        <v>0.62272635408245747</v>
      </c>
      <c r="V293">
        <f t="shared" si="28"/>
        <v>45</v>
      </c>
      <c r="W293" s="194">
        <f t="shared" si="34"/>
        <v>0.21152570631577261</v>
      </c>
      <c r="X293" s="194">
        <f t="shared" si="35"/>
        <v>4.4801502460415525E-2</v>
      </c>
      <c r="Y293" s="245" t="str">
        <f>IF(ISNUMBER(SEARCH("C",'WetLitterbags placem_collection'!$X220)),"YES","NO")</f>
        <v>NO</v>
      </c>
      <c r="Z293" s="245" t="str">
        <f>IF(ISNUMBER(SEARCH("H", 'WetLitterbags placem_collection'!$X220)),"YES","NO")</f>
        <v>NO</v>
      </c>
      <c r="AA293" s="245" t="str">
        <f>IF(ISNUMBER(SEARCH("R", 'WetLitterbags placem_collection'!$X220)),"YES","NO")</f>
        <v>YES</v>
      </c>
      <c r="AB293" s="245" t="str">
        <f>IF(ISNUMBER(SEARCH("C", 'WetLitterbags placem_collection'!$V220)),"YES","NO")</f>
        <v>NO</v>
      </c>
      <c r="AC293" s="245" t="str">
        <f>IF(ISNUMBER(SEARCH("H", 'WetLitterbags placem_collection'!$V220)),"YES","NO")</f>
        <v>NO</v>
      </c>
      <c r="AD293" s="245" t="str">
        <f>IF(ISNUMBER(SEARCH("R", 'WetLitterbags placem_collection'!$V220)),"YES","NO")</f>
        <v>YES</v>
      </c>
    </row>
    <row r="294" spans="1:30">
      <c r="B294" t="str">
        <f>Wetseason!B220</f>
        <v>Wet</v>
      </c>
      <c r="C294" s="374">
        <f>Wetseason!C220</f>
        <v>219</v>
      </c>
      <c r="D294" t="s">
        <v>2439</v>
      </c>
      <c r="E294" t="s">
        <v>22</v>
      </c>
      <c r="F294" s="375">
        <v>3</v>
      </c>
      <c r="G294" s="376">
        <f>'WetLitterbags placem_collection'!E221</f>
        <v>42769</v>
      </c>
      <c r="H294" s="92" t="str">
        <f>Wetseason!L220</f>
        <v>G727</v>
      </c>
      <c r="I294" s="92" t="str">
        <f>Wetseason!L440</f>
        <v>R176</v>
      </c>
      <c r="J294">
        <f>IFERROR(INDEX('Green_rooibos initial weight'!$C$5:$C$2000,MATCH(H294, 'Green_rooibos initial weight'!$A$5:$A$2000,0)),"")</f>
        <v>2.0270000000000001</v>
      </c>
      <c r="K294">
        <f>IFERROR(INDEX('Green_rooibos initial weight'!$C$5:$C$2000,MATCH(I294, 'Green_rooibos initial weight'!$A$5:$A$2000,0)),"")</f>
        <v>2.2160000000000002</v>
      </c>
      <c r="L294" s="194">
        <f t="shared" si="29"/>
        <v>1.7772000000000001</v>
      </c>
      <c r="M294" s="194">
        <f t="shared" si="27"/>
        <v>1.9662000000000002</v>
      </c>
      <c r="N294" s="16">
        <f>IF('WetLitterbags placem_collection'!G221="","",'WetLitterbags placem_collection'!G221)</f>
        <v>42813</v>
      </c>
      <c r="O294" s="194">
        <f>IFERROR(INDEX('Both teabags AfterWet'!$C$3:$C$2000,MATCH(H294,'Both teabags AfterWet'!$A$3:$A$2000,0)),"")</f>
        <v>0.70650000000000002</v>
      </c>
      <c r="P294" s="194">
        <f>IFERROR(INDEX('Both teabags AfterWet'!$C$3:$C$2000,MATCH(I294,'Both teabags AfterWet'!$A$3:$A$2000,0)),"")</f>
        <v>1.4293</v>
      </c>
      <c r="Q294" s="194">
        <f t="shared" si="30"/>
        <v>0.55590000000000006</v>
      </c>
      <c r="R294" s="194">
        <f t="shared" si="30"/>
        <v>1.2786999999999999</v>
      </c>
      <c r="S294" s="194">
        <f t="shared" si="31"/>
        <v>0.6872045914922349</v>
      </c>
      <c r="T294" s="194">
        <f t="shared" si="32"/>
        <v>0.4505189245887336</v>
      </c>
      <c r="U294" s="194">
        <f t="shared" si="33"/>
        <v>0.65034075882412767</v>
      </c>
      <c r="V294">
        <f t="shared" si="28"/>
        <v>44</v>
      </c>
      <c r="W294" s="194">
        <f t="shared" si="34"/>
        <v>0.18384252791896094</v>
      </c>
      <c r="X294" s="194">
        <f t="shared" si="35"/>
        <v>3.4015222871945167E-2</v>
      </c>
      <c r="Y294" s="245" t="str">
        <f>IF(ISNUMBER(SEARCH("C",'WetLitterbags placem_collection'!$X221)),"YES","NO")</f>
        <v>NO</v>
      </c>
      <c r="Z294" s="245" t="str">
        <f>IF(ISNUMBER(SEARCH("H", 'WetLitterbags placem_collection'!$X221)),"YES","NO")</f>
        <v>NO</v>
      </c>
      <c r="AA294" s="245" t="str">
        <f>IF(ISNUMBER(SEARCH("R", 'WetLitterbags placem_collection'!$X221)),"YES","NO")</f>
        <v>YES</v>
      </c>
      <c r="AB294" s="245" t="str">
        <f>IF(ISNUMBER(SEARCH("C", 'WetLitterbags placem_collection'!$V221)),"YES","NO")</f>
        <v>NO</v>
      </c>
      <c r="AC294" s="245" t="str">
        <f>IF(ISNUMBER(SEARCH("H", 'WetLitterbags placem_collection'!$V221)),"YES","NO")</f>
        <v>YES</v>
      </c>
      <c r="AD294" s="245" t="str">
        <f>IF(ISNUMBER(SEARCH("R", 'WetLitterbags placem_collection'!$V221)),"YES","NO")</f>
        <v>YES</v>
      </c>
    </row>
    <row r="295" spans="1:30" ht="15" thickBot="1">
      <c r="A295" s="420"/>
      <c r="B295" s="420" t="str">
        <f>Wetseason!B221</f>
        <v>Wet</v>
      </c>
      <c r="C295" s="421">
        <f>Wetseason!C221</f>
        <v>220</v>
      </c>
      <c r="D295" s="420" t="s">
        <v>2446</v>
      </c>
      <c r="E295" s="420" t="s">
        <v>22</v>
      </c>
      <c r="F295" s="422">
        <v>4</v>
      </c>
      <c r="G295" s="423">
        <f>'WetLitterbags placem_collection'!E222</f>
        <v>42769</v>
      </c>
      <c r="H295" s="420" t="str">
        <f>Wetseason!L221</f>
        <v>G782</v>
      </c>
      <c r="I295" s="420" t="str">
        <f>Wetseason!L441</f>
        <v>R250</v>
      </c>
      <c r="J295" s="420">
        <f>IFERROR(INDEX('Green_rooibos initial weight'!$C$5:$C$2000,MATCH(H295, 'Green_rooibos initial weight'!$A$5:$A$2000,0)),"")</f>
        <v>1.9510000000000001</v>
      </c>
      <c r="K295" s="420">
        <f>IFERROR(INDEX('Green_rooibos initial weight'!$C$5:$C$2000,MATCH(I295, 'Green_rooibos initial weight'!$A$5:$A$2000,0)),"")</f>
        <v>2.2639999999999998</v>
      </c>
      <c r="L295" s="424">
        <f t="shared" si="29"/>
        <v>1.7012</v>
      </c>
      <c r="M295" s="424">
        <f t="shared" si="27"/>
        <v>2.0141999999999998</v>
      </c>
      <c r="N295" s="423">
        <f>IF('WetLitterbags placem_collection'!G222="","",'WetLitterbags placem_collection'!G222)</f>
        <v>42813</v>
      </c>
      <c r="O295" s="424">
        <f>IFERROR(INDEX('Both teabags AfterWet'!$C$3:$C$2000,MATCH(H295,'Both teabags AfterWet'!$A$3:$A$2000,0)),"")</f>
        <v>0.6169</v>
      </c>
      <c r="P295" s="424">
        <f>IFERROR(INDEX('Both teabags AfterWet'!$C$3:$C$2000,MATCH(I295,'Both teabags AfterWet'!$A$3:$A$2000,0)),"")</f>
        <v>1.5303</v>
      </c>
      <c r="Q295" s="424">
        <f t="shared" si="30"/>
        <v>0.46629999999999999</v>
      </c>
      <c r="R295" s="424">
        <f t="shared" si="30"/>
        <v>1.3796999999999999</v>
      </c>
      <c r="S295" s="424">
        <f t="shared" si="31"/>
        <v>0.72589936515400888</v>
      </c>
      <c r="T295" s="424">
        <f t="shared" si="32"/>
        <v>0.47588651967341206</v>
      </c>
      <c r="U295" s="424">
        <f t="shared" si="33"/>
        <v>0.68498659517426275</v>
      </c>
      <c r="V295" s="420">
        <f t="shared" si="28"/>
        <v>44</v>
      </c>
      <c r="W295" s="424">
        <f t="shared" si="34"/>
        <v>0.13788673972207965</v>
      </c>
      <c r="X295" s="424">
        <f t="shared" si="35"/>
        <v>2.4649169864366868E-2</v>
      </c>
      <c r="Y295" s="245" t="str">
        <f>IF(ISNUMBER(SEARCH("C",'WetLitterbags placem_collection'!$X222)),"YES","NO")</f>
        <v>NO</v>
      </c>
      <c r="Z295" s="245" t="str">
        <f>IF(ISNUMBER(SEARCH("H", 'WetLitterbags placem_collection'!$X222)),"YES","NO")</f>
        <v>NO</v>
      </c>
      <c r="AA295" s="245" t="str">
        <f>IF(ISNUMBER(SEARCH("R", 'WetLitterbags placem_collection'!$X222)),"YES","NO")</f>
        <v>YES</v>
      </c>
      <c r="AB295" s="245" t="str">
        <f>IF(ISNUMBER(SEARCH("C", 'WetLitterbags placem_collection'!$V222)),"YES","NO")</f>
        <v>NO</v>
      </c>
      <c r="AC295" s="245" t="str">
        <f>IF(ISNUMBER(SEARCH("H", 'WetLitterbags placem_collection'!$V222)),"YES","NO")</f>
        <v>NO</v>
      </c>
      <c r="AD295" s="245" t="str">
        <f>IF(ISNUMBER(SEARCH("R", 'WetLitterbags placem_collection'!$V222)),"YES","NO")</f>
        <v>YES</v>
      </c>
    </row>
    <row r="296" spans="1:30">
      <c r="A296" s="92"/>
      <c r="B296" s="92" t="str">
        <f>Wetseason!B442</f>
        <v>Wet</v>
      </c>
      <c r="C296" s="374">
        <f>Wetseason!C442</f>
        <v>1</v>
      </c>
      <c r="D296" s="92" t="s">
        <v>3099</v>
      </c>
      <c r="E296" s="92" t="s">
        <v>25</v>
      </c>
      <c r="F296" s="374">
        <v>1</v>
      </c>
      <c r="G296" s="376">
        <f>'WetLitterbags placem_collection'!E3</f>
        <v>42766</v>
      </c>
      <c r="H296" s="92" t="str">
        <f>Wetseason!L442</f>
        <v>G752</v>
      </c>
      <c r="I296" s="92" t="str">
        <f>Wetseason!L662</f>
        <v>R133</v>
      </c>
      <c r="J296">
        <f>IFERROR(INDEX('Green_rooibos initial weight'!$C$5:$C$2000,MATCH(H296, 'Green_rooibos initial weight'!$A$5:$A$2000,0)),"")</f>
        <v>2.15</v>
      </c>
      <c r="K296">
        <f>IFERROR(INDEX('Green_rooibos initial weight'!$C$5:$C$2000,MATCH(I296, 'Green_rooibos initial weight'!$A$5:$A$2000,0)),"")</f>
        <v>2.1760000000000002</v>
      </c>
      <c r="L296" s="377">
        <f t="shared" si="29"/>
        <v>1.9001999999999999</v>
      </c>
      <c r="M296" s="377">
        <f t="shared" si="27"/>
        <v>1.9262000000000001</v>
      </c>
      <c r="N296" s="376">
        <f>IF('WetLitterbags placem_collection'!G3="","",'WetLitterbags placem_collection'!G3)</f>
        <v>42818</v>
      </c>
      <c r="O296" s="194">
        <f>IFERROR(INDEX('Both teabags AfterWet'!$C$3:$C$2000,MATCH(H296,'Both teabags AfterWet'!$A$3:$A$2000,0)),"")</f>
        <v>0.47</v>
      </c>
      <c r="P296" s="194">
        <f>IFERROR(INDEX('Both teabags AfterWet'!$C$3:$C$2000,MATCH(I296,'Both teabags AfterWet'!$A$3:$A$2000,0)),"")</f>
        <v>1.4104000000000001</v>
      </c>
      <c r="Q296" s="194">
        <f t="shared" si="30"/>
        <v>0.31939999999999996</v>
      </c>
      <c r="R296" s="194">
        <f t="shared" si="30"/>
        <v>1.2598</v>
      </c>
      <c r="S296" s="194">
        <f t="shared" si="31"/>
        <v>0.83191243027049788</v>
      </c>
      <c r="T296" s="194">
        <f t="shared" si="32"/>
        <v>0.54538677138873504</v>
      </c>
      <c r="U296" s="194">
        <f t="shared" si="33"/>
        <v>0.65403384902917661</v>
      </c>
      <c r="V296">
        <f t="shared" si="28"/>
        <v>52</v>
      </c>
      <c r="W296" s="194">
        <f t="shared" si="34"/>
        <v>1.1980486614610597E-2</v>
      </c>
      <c r="X296" s="194">
        <f t="shared" si="35"/>
        <v>1.9347672129428277E-2</v>
      </c>
      <c r="Y296" s="245" t="str">
        <f>IF(ISNUMBER(SEARCH("C",'WetLitterbags placem_collection'!$Y3)),"YES","NO")</f>
        <v>NO</v>
      </c>
      <c r="Z296" s="245" t="str">
        <f>IF(ISNUMBER(SEARCH("H", 'WetLitterbags placem_collection'!$Y3)),"YES","NO")</f>
        <v>NO</v>
      </c>
      <c r="AA296" s="245" t="str">
        <f>IF(ISNUMBER(SEARCH("R", 'WetLitterbags placem_collection'!$Y3)),"YES","NO")</f>
        <v>NO</v>
      </c>
      <c r="AB296" s="245" t="str">
        <f>IF(ISNUMBER(SEARCH("C", 'WetLitterbags placem_collection'!$W3)),"YES","NO")</f>
        <v>NO</v>
      </c>
      <c r="AC296" s="245" t="str">
        <f>IF(ISNUMBER(SEARCH("H", 'WetLitterbags placem_collection'!$W3)),"YES","NO")</f>
        <v>YES</v>
      </c>
      <c r="AD296" s="245" t="str">
        <f>IF(ISNUMBER(SEARCH("R", 'WetLitterbags placem_collection'!$W3)),"YES","NO")</f>
        <v>NO</v>
      </c>
    </row>
    <row r="297" spans="1:30">
      <c r="B297" t="str">
        <f>Wetseason!B443</f>
        <v>Wet</v>
      </c>
      <c r="C297" s="374">
        <f>Wetseason!C443</f>
        <v>2</v>
      </c>
      <c r="D297" t="s">
        <v>3099</v>
      </c>
      <c r="E297" t="s">
        <v>25</v>
      </c>
      <c r="F297" s="374">
        <v>2</v>
      </c>
      <c r="G297" s="376">
        <f>'WetLitterbags placem_collection'!E4</f>
        <v>42766</v>
      </c>
      <c r="H297" s="92" t="str">
        <f>Wetseason!L443</f>
        <v>G737</v>
      </c>
      <c r="I297" s="92" t="str">
        <f>Wetseason!L663</f>
        <v>R527</v>
      </c>
      <c r="J297">
        <f>IFERROR(INDEX('Green_rooibos initial weight'!$C$5:$C$2000,MATCH(H297, 'Green_rooibos initial weight'!$A$5:$A$2000,0)),"")</f>
        <v>1.841</v>
      </c>
      <c r="K297">
        <f>IFERROR(INDEX('Green_rooibos initial weight'!$C$5:$C$2000,MATCH(I297, 'Green_rooibos initial weight'!$A$5:$A$2000,0)),"")</f>
        <v>2.1859999999999999</v>
      </c>
      <c r="L297" s="194">
        <f t="shared" si="29"/>
        <v>1.5911999999999999</v>
      </c>
      <c r="M297" s="194">
        <f t="shared" si="27"/>
        <v>1.9361999999999999</v>
      </c>
      <c r="N297" s="16">
        <f>IF('WetLitterbags placem_collection'!G4="","",'WetLitterbags placem_collection'!G4)</f>
        <v>42818</v>
      </c>
      <c r="O297" s="194">
        <f>IFERROR(INDEX('Both teabags AfterWet'!$C$3:$C$2000,MATCH(H297,'Both teabags AfterWet'!$A$3:$A$2000,0)),"")</f>
        <v>0.57869999999999999</v>
      </c>
      <c r="P297" s="194">
        <f>IFERROR(INDEX('Both teabags AfterWet'!$C$3:$C$2000,MATCH(I297,'Both teabags AfterWet'!$A$3:$A$2000,0)),"")</f>
        <v>1.3275999999999999</v>
      </c>
      <c r="Q297" s="194">
        <f t="shared" si="30"/>
        <v>0.42809999999999998</v>
      </c>
      <c r="R297" s="194">
        <f t="shared" si="30"/>
        <v>1.1769999999999998</v>
      </c>
      <c r="S297" s="194">
        <f t="shared" si="31"/>
        <v>0.73095776772247367</v>
      </c>
      <c r="T297" s="194">
        <f t="shared" si="32"/>
        <v>0.4792027170817168</v>
      </c>
      <c r="U297" s="194">
        <f t="shared" si="33"/>
        <v>0.60789174672038004</v>
      </c>
      <c r="V297">
        <f t="shared" si="28"/>
        <v>52</v>
      </c>
      <c r="W297" s="194">
        <f t="shared" si="34"/>
        <v>0.13187913572152765</v>
      </c>
      <c r="X297" s="194">
        <f t="shared" si="35"/>
        <v>3.2790969161218611E-2</v>
      </c>
      <c r="Y297" s="245" t="str">
        <f>IF(ISNUMBER(SEARCH("C",'WetLitterbags placem_collection'!$Y4)),"YES","NO")</f>
        <v>NO</v>
      </c>
      <c r="Z297" s="245" t="str">
        <f>IF(ISNUMBER(SEARCH("H", 'WetLitterbags placem_collection'!$Y4)),"YES","NO")</f>
        <v>NO</v>
      </c>
      <c r="AA297" s="245" t="str">
        <f>IF(ISNUMBER(SEARCH("R", 'WetLitterbags placem_collection'!$Y4)),"YES","NO")</f>
        <v>NO</v>
      </c>
      <c r="AB297" s="245" t="str">
        <f>IF(ISNUMBER(SEARCH("C", 'WetLitterbags placem_collection'!$W4)),"YES","NO")</f>
        <v>NO</v>
      </c>
      <c r="AC297" s="245" t="str">
        <f>IF(ISNUMBER(SEARCH("H", 'WetLitterbags placem_collection'!$W4)),"YES","NO")</f>
        <v>NO</v>
      </c>
      <c r="AD297" s="245" t="str">
        <f>IF(ISNUMBER(SEARCH("R", 'WetLitterbags placem_collection'!$W4)),"YES","NO")</f>
        <v>NO</v>
      </c>
    </row>
    <row r="298" spans="1:30">
      <c r="B298" t="str">
        <f>Wetseason!B444</f>
        <v>Wet</v>
      </c>
      <c r="C298" s="253">
        <f>Wetseason!C444</f>
        <v>3</v>
      </c>
      <c r="D298" t="s">
        <v>3099</v>
      </c>
      <c r="E298" t="s">
        <v>25</v>
      </c>
      <c r="F298" s="374">
        <v>3</v>
      </c>
      <c r="G298" s="16">
        <f>'WetLitterbags placem_collection'!E5</f>
        <v>42766</v>
      </c>
      <c r="H298" s="92" t="str">
        <f>Wetseason!L444</f>
        <v>G661</v>
      </c>
      <c r="I298" t="str">
        <f>Wetseason!L664</f>
        <v>R498</v>
      </c>
      <c r="J298">
        <f>IFERROR(INDEX('Green_rooibos initial weight'!$C$5:$C$2000,MATCH(H298, 'Green_rooibos initial weight'!$A$5:$A$2000,0)),"")</f>
        <v>2.0630000000000002</v>
      </c>
      <c r="K298">
        <f>IFERROR(INDEX('Green_rooibos initial weight'!$C$5:$C$2000,MATCH(I298, 'Green_rooibos initial weight'!$A$5:$A$2000,0)),"")</f>
        <v>2.1520000000000001</v>
      </c>
      <c r="L298" s="194">
        <f t="shared" si="29"/>
        <v>1.8132000000000001</v>
      </c>
      <c r="M298" s="194">
        <f t="shared" si="27"/>
        <v>1.9022000000000001</v>
      </c>
      <c r="N298" s="16">
        <f>IF('WetLitterbags placem_collection'!G5="","",'WetLitterbags placem_collection'!G5)</f>
        <v>42819</v>
      </c>
      <c r="O298" s="194" t="str">
        <f>IFERROR(INDEX('Both teabags AfterWet'!$C$3:$C$2000,MATCH(H298,'Both teabags AfterWet'!$A$3:$A$2000,0)),"")</f>
        <v/>
      </c>
      <c r="P298" s="194" t="str">
        <f>IFERROR(INDEX('Both teabags AfterWet'!$C$3:$C$2000,MATCH(I298,'Both teabags AfterWet'!$A$3:$A$2000,0)),"")</f>
        <v/>
      </c>
      <c r="Q298" s="194" t="str">
        <f t="shared" si="30"/>
        <v/>
      </c>
      <c r="R298" s="194" t="str">
        <f t="shared" si="30"/>
        <v/>
      </c>
      <c r="S298" s="194" t="str">
        <f t="shared" si="31"/>
        <v/>
      </c>
      <c r="T298" s="194" t="str">
        <f t="shared" si="32"/>
        <v/>
      </c>
      <c r="U298" s="194" t="str">
        <f t="shared" si="33"/>
        <v/>
      </c>
      <c r="V298">
        <f t="shared" si="28"/>
        <v>53</v>
      </c>
      <c r="W298" s="194" t="str">
        <f t="shared" si="34"/>
        <v/>
      </c>
      <c r="X298" s="194" t="str">
        <f t="shared" si="35"/>
        <v/>
      </c>
      <c r="Y298" s="245" t="str">
        <f>IF(ISNUMBER(SEARCH("C",'WetLitterbags placem_collection'!$Y5)),"YES","NO")</f>
        <v>NO</v>
      </c>
      <c r="Z298" s="245" t="str">
        <f>IF(ISNUMBER(SEARCH("H", 'WetLitterbags placem_collection'!$Y5)),"YES","NO")</f>
        <v>NO</v>
      </c>
      <c r="AA298" s="245" t="str">
        <f>IF(ISNUMBER(SEARCH("R", 'WetLitterbags placem_collection'!$Y5)),"YES","NO")</f>
        <v>NO</v>
      </c>
      <c r="AB298" s="245" t="str">
        <f>IF(ISNUMBER(SEARCH("C", 'WetLitterbags placem_collection'!$W5)),"YES","NO")</f>
        <v>NO</v>
      </c>
      <c r="AC298" s="245" t="str">
        <f>IF(ISNUMBER(SEARCH("H", 'WetLitterbags placem_collection'!$W5)),"YES","NO")</f>
        <v>NO</v>
      </c>
      <c r="AD298" s="245" t="str">
        <f>IF(ISNUMBER(SEARCH("R", 'WetLitterbags placem_collection'!$W5)),"YES","NO")</f>
        <v>NO</v>
      </c>
    </row>
    <row r="299" spans="1:30">
      <c r="B299" t="str">
        <f>Wetseason!B445</f>
        <v>Wet</v>
      </c>
      <c r="C299" s="253">
        <f>Wetseason!C445</f>
        <v>4</v>
      </c>
      <c r="D299" t="s">
        <v>3099</v>
      </c>
      <c r="E299" t="s">
        <v>25</v>
      </c>
      <c r="F299" s="375">
        <v>4</v>
      </c>
      <c r="G299" s="16">
        <f>'WetLitterbags placem_collection'!E6</f>
        <v>42766</v>
      </c>
      <c r="H299" s="92" t="str">
        <f>Wetseason!L445</f>
        <v>G532</v>
      </c>
      <c r="I299" t="str">
        <f>Wetseason!L665</f>
        <v>R508</v>
      </c>
      <c r="J299">
        <f>IFERROR(INDEX('Green_rooibos initial weight'!$C$5:$C$2000,MATCH(H299, 'Green_rooibos initial weight'!$A$5:$A$2000,0)),"")</f>
        <v>2.036</v>
      </c>
      <c r="K299">
        <f>IFERROR(INDEX('Green_rooibos initial weight'!$C$5:$C$2000,MATCH(I299, 'Green_rooibos initial weight'!$A$5:$A$2000,0)),"")</f>
        <v>2.169</v>
      </c>
      <c r="L299" s="194">
        <f t="shared" si="29"/>
        <v>1.7862</v>
      </c>
      <c r="M299" s="194">
        <f t="shared" si="27"/>
        <v>1.9192</v>
      </c>
      <c r="N299" s="16">
        <f>IF('WetLitterbags placem_collection'!G6="","",'WetLitterbags placem_collection'!G6)</f>
        <v>42818</v>
      </c>
      <c r="O299" s="194">
        <f>IFERROR(INDEX('Both teabags AfterWet'!$C$3:$C$2000,MATCH(H299,'Both teabags AfterWet'!$A$3:$A$2000,0)),"")</f>
        <v>0.55969999999999998</v>
      </c>
      <c r="P299" s="194">
        <f>IFERROR(INDEX('Both teabags AfterWet'!$C$3:$C$2000,MATCH(I299,'Both teabags AfterWet'!$A$3:$A$2000,0)),"")</f>
        <v>1.3392999999999999</v>
      </c>
      <c r="Q299" s="194">
        <f t="shared" si="30"/>
        <v>0.40909999999999996</v>
      </c>
      <c r="R299" s="194">
        <f t="shared" si="30"/>
        <v>1.1886999999999999</v>
      </c>
      <c r="S299" s="194">
        <f t="shared" si="31"/>
        <v>0.77096629716717058</v>
      </c>
      <c r="T299" s="194">
        <f t="shared" si="32"/>
        <v>0.50543158674142308</v>
      </c>
      <c r="U299" s="194">
        <f t="shared" si="33"/>
        <v>0.61937265527303031</v>
      </c>
      <c r="V299">
        <f t="shared" si="28"/>
        <v>52</v>
      </c>
      <c r="W299" s="194">
        <f t="shared" si="34"/>
        <v>8.4363067497422062E-2</v>
      </c>
      <c r="X299" s="194">
        <f t="shared" si="35"/>
        <v>2.6897427800809795E-2</v>
      </c>
      <c r="Y299" s="245" t="str">
        <f>IF(ISNUMBER(SEARCH("C",'WetLitterbags placem_collection'!$Y6)),"YES","NO")</f>
        <v>NO</v>
      </c>
      <c r="Z299" s="245" t="str">
        <f>IF(ISNUMBER(SEARCH("H", 'WetLitterbags placem_collection'!$Y6)),"YES","NO")</f>
        <v>NO</v>
      </c>
      <c r="AA299" s="245" t="str">
        <f>IF(ISNUMBER(SEARCH("R", 'WetLitterbags placem_collection'!$Y6)),"YES","NO")</f>
        <v>NO</v>
      </c>
      <c r="AB299" s="245" t="str">
        <f>IF(ISNUMBER(SEARCH("C", 'WetLitterbags placem_collection'!$W6)),"YES","NO")</f>
        <v>NO</v>
      </c>
      <c r="AC299" s="245" t="str">
        <f>IF(ISNUMBER(SEARCH("H", 'WetLitterbags placem_collection'!$W6)),"YES","NO")</f>
        <v>NO</v>
      </c>
      <c r="AD299" s="245" t="str">
        <f>IF(ISNUMBER(SEARCH("R", 'WetLitterbags placem_collection'!$W6)),"YES","NO")</f>
        <v>YES</v>
      </c>
    </row>
    <row r="300" spans="1:30">
      <c r="B300" t="str">
        <f>Wetseason!B446</f>
        <v>Wet</v>
      </c>
      <c r="C300" s="253">
        <f>Wetseason!C446</f>
        <v>5</v>
      </c>
      <c r="D300" t="s">
        <v>3099</v>
      </c>
      <c r="E300" t="s">
        <v>25</v>
      </c>
      <c r="F300" s="375">
        <v>5</v>
      </c>
      <c r="G300" s="16">
        <f>'WetLitterbags placem_collection'!E7</f>
        <v>42766</v>
      </c>
      <c r="H300" s="92" t="str">
        <f>Wetseason!L446</f>
        <v>G577</v>
      </c>
      <c r="I300" t="str">
        <f>Wetseason!L666</f>
        <v>R38</v>
      </c>
      <c r="J300">
        <f>IFERROR(INDEX('Green_rooibos initial weight'!$C$5:$C$2000,MATCH(H300, 'Green_rooibos initial weight'!$A$5:$A$2000,0)),"")</f>
        <v>1.9830000000000001</v>
      </c>
      <c r="K300">
        <f>IFERROR(INDEX('Green_rooibos initial weight'!$C$5:$C$2000,MATCH(I300, 'Green_rooibos initial weight'!$A$5:$A$2000,0)),"")</f>
        <v>2.12</v>
      </c>
      <c r="L300" s="194">
        <f t="shared" si="29"/>
        <v>1.7332000000000001</v>
      </c>
      <c r="M300" s="194">
        <f t="shared" si="27"/>
        <v>1.8702000000000001</v>
      </c>
      <c r="N300" s="16">
        <f>IF('WetLitterbags placem_collection'!G7="","",'WetLitterbags placem_collection'!G7)</f>
        <v>42818</v>
      </c>
      <c r="O300" s="194">
        <f>IFERROR(INDEX('Both teabags AfterWet'!$C$3:$C$2000,MATCH(H300,'Both teabags AfterWet'!$A$3:$A$2000,0)),"")</f>
        <v>0.41870000000000002</v>
      </c>
      <c r="P300" s="194">
        <f>IFERROR(INDEX('Both teabags AfterWet'!$C$3:$C$2000,MATCH(I300,'Both teabags AfterWet'!$A$3:$A$2000,0)),"")</f>
        <v>1.2627999999999999</v>
      </c>
      <c r="Q300" s="194">
        <f t="shared" si="30"/>
        <v>0.2681</v>
      </c>
      <c r="R300" s="194">
        <f t="shared" si="30"/>
        <v>1.1121999999999999</v>
      </c>
      <c r="S300" s="194">
        <f t="shared" si="31"/>
        <v>0.84531502423263327</v>
      </c>
      <c r="T300" s="194">
        <f t="shared" si="32"/>
        <v>0.55417327004324657</v>
      </c>
      <c r="U300" s="194">
        <f t="shared" si="33"/>
        <v>0.59469575446476297</v>
      </c>
      <c r="V300">
        <f t="shared" si="28"/>
        <v>52</v>
      </c>
      <c r="W300" s="194">
        <f t="shared" si="34"/>
        <v>-3.9370834116785325E-3</v>
      </c>
      <c r="X300" s="194">
        <f t="shared" si="35"/>
        <v>2.5277125200655833E-2</v>
      </c>
      <c r="Y300" s="245" t="str">
        <f>IF(ISNUMBER(SEARCH("C",'WetLitterbags placem_collection'!$Y7)),"YES","NO")</f>
        <v>NO</v>
      </c>
      <c r="Z300" s="245" t="str">
        <f>IF(ISNUMBER(SEARCH("H", 'WetLitterbags placem_collection'!$Y7)),"YES","NO")</f>
        <v>NO</v>
      </c>
      <c r="AA300" s="245" t="str">
        <f>IF(ISNUMBER(SEARCH("R", 'WetLitterbags placem_collection'!$Y7)),"YES","NO")</f>
        <v>NO</v>
      </c>
      <c r="AB300" s="245" t="str">
        <f>IF(ISNUMBER(SEARCH("C", 'WetLitterbags placem_collection'!$W7)),"YES","NO")</f>
        <v>NO</v>
      </c>
      <c r="AC300" s="245" t="str">
        <f>IF(ISNUMBER(SEARCH("H", 'WetLitterbags placem_collection'!$W7)),"YES","NO")</f>
        <v>NO</v>
      </c>
      <c r="AD300" s="245" t="str">
        <f>IF(ISNUMBER(SEARCH("R", 'WetLitterbags placem_collection'!$W7)),"YES","NO")</f>
        <v>NO</v>
      </c>
    </row>
    <row r="301" spans="1:30">
      <c r="B301" t="str">
        <f>Wetseason!B447</f>
        <v>Wet</v>
      </c>
      <c r="C301" s="253">
        <f>Wetseason!C447</f>
        <v>6</v>
      </c>
      <c r="D301" t="s">
        <v>3099</v>
      </c>
      <c r="E301" t="s">
        <v>25</v>
      </c>
      <c r="F301" s="375">
        <v>6</v>
      </c>
      <c r="G301" s="16">
        <f>'WetLitterbags placem_collection'!E8</f>
        <v>42766</v>
      </c>
      <c r="H301" s="92" t="str">
        <f>Wetseason!L447</f>
        <v>G634</v>
      </c>
      <c r="I301" t="str">
        <f>Wetseason!L667</f>
        <v>R59</v>
      </c>
      <c r="J301">
        <f>IFERROR(INDEX('Green_rooibos initial weight'!$C$5:$C$2000,MATCH(H301, 'Green_rooibos initial weight'!$A$5:$A$2000,0)),"")</f>
        <v>2.02</v>
      </c>
      <c r="K301">
        <f>IFERROR(INDEX('Green_rooibos initial weight'!$C$5:$C$2000,MATCH(I301, 'Green_rooibos initial weight'!$A$5:$A$2000,0)),"")</f>
        <v>2.2029999999999998</v>
      </c>
      <c r="L301" s="194">
        <f t="shared" si="29"/>
        <v>1.7702</v>
      </c>
      <c r="M301" s="194">
        <f t="shared" si="27"/>
        <v>1.9531999999999998</v>
      </c>
      <c r="N301" s="16">
        <f>IF('WetLitterbags placem_collection'!G8="","",'WetLitterbags placem_collection'!G8)</f>
        <v>42818</v>
      </c>
      <c r="O301" s="194">
        <f>IFERROR(INDEX('Both teabags AfterWet'!$C$3:$C$2000,MATCH(H301,'Both teabags AfterWet'!$A$3:$A$2000,0)),"")</f>
        <v>0.60129999999999995</v>
      </c>
      <c r="P301" s="194">
        <f>IFERROR(INDEX('Both teabags AfterWet'!$C$3:$C$2000,MATCH(I301,'Both teabags AfterWet'!$A$3:$A$2000,0)),"")</f>
        <v>1.4990000000000001</v>
      </c>
      <c r="Q301" s="194">
        <f t="shared" si="30"/>
        <v>0.45069999999999993</v>
      </c>
      <c r="R301" s="194">
        <f t="shared" si="30"/>
        <v>1.3484</v>
      </c>
      <c r="S301" s="194">
        <f t="shared" si="31"/>
        <v>0.74539600045192644</v>
      </c>
      <c r="T301" s="194">
        <f t="shared" si="32"/>
        <v>0.48866816181646494</v>
      </c>
      <c r="U301" s="194">
        <f t="shared" si="33"/>
        <v>0.69035429039524887</v>
      </c>
      <c r="V301">
        <f t="shared" si="28"/>
        <v>52</v>
      </c>
      <c r="W301" s="194">
        <f t="shared" si="34"/>
        <v>0.11473159091220131</v>
      </c>
      <c r="X301" s="194">
        <f t="shared" si="35"/>
        <v>1.9311008155774044E-2</v>
      </c>
      <c r="Y301" s="245" t="str">
        <f>IF(ISNUMBER(SEARCH("C",'WetLitterbags placem_collection'!$Y8)),"YES","NO")</f>
        <v>NO</v>
      </c>
      <c r="Z301" s="245" t="str">
        <f>IF(ISNUMBER(SEARCH("H", 'WetLitterbags placem_collection'!$Y8)),"YES","NO")</f>
        <v>NO</v>
      </c>
      <c r="AA301" s="245" t="str">
        <f>IF(ISNUMBER(SEARCH("R", 'WetLitterbags placem_collection'!$Y8)),"YES","NO")</f>
        <v>YES</v>
      </c>
      <c r="AB301" s="245" t="str">
        <f>IF(ISNUMBER(SEARCH("C", 'WetLitterbags placem_collection'!$W8)),"YES","NO")</f>
        <v>NO</v>
      </c>
      <c r="AC301" s="245" t="str">
        <f>IF(ISNUMBER(SEARCH("H", 'WetLitterbags placem_collection'!$W8)),"YES","NO")</f>
        <v>NO</v>
      </c>
      <c r="AD301" s="245" t="str">
        <f>IF(ISNUMBER(SEARCH("R", 'WetLitterbags placem_collection'!$W8)),"YES","NO")</f>
        <v>YES</v>
      </c>
    </row>
    <row r="302" spans="1:30">
      <c r="B302" t="str">
        <f>Wetseason!B448</f>
        <v>Wet</v>
      </c>
      <c r="C302" s="253">
        <f>Wetseason!C448</f>
        <v>7</v>
      </c>
      <c r="D302" t="s">
        <v>3099</v>
      </c>
      <c r="E302" t="s">
        <v>25</v>
      </c>
      <c r="F302" s="375">
        <v>7</v>
      </c>
      <c r="G302" s="16">
        <f>'WetLitterbags placem_collection'!E9</f>
        <v>42766</v>
      </c>
      <c r="H302" s="92" t="str">
        <f>Wetseason!L448</f>
        <v>G665</v>
      </c>
      <c r="I302" t="str">
        <f>Wetseason!L668</f>
        <v>R398</v>
      </c>
      <c r="J302">
        <f>IFERROR(INDEX('Green_rooibos initial weight'!$C$5:$C$2000,MATCH(H302, 'Green_rooibos initial weight'!$A$5:$A$2000,0)),"")</f>
        <v>2.09</v>
      </c>
      <c r="K302">
        <f>IFERROR(INDEX('Green_rooibos initial weight'!$C$5:$C$2000,MATCH(I302, 'Green_rooibos initial weight'!$A$5:$A$2000,0)),"")</f>
        <v>2.19</v>
      </c>
      <c r="L302" s="194">
        <f t="shared" si="29"/>
        <v>1.8401999999999998</v>
      </c>
      <c r="M302" s="194">
        <f t="shared" si="27"/>
        <v>1.9401999999999999</v>
      </c>
      <c r="N302" s="16">
        <f>IF('WetLitterbags placem_collection'!G9="","",'WetLitterbags placem_collection'!G9)</f>
        <v>42818</v>
      </c>
      <c r="O302" s="194">
        <f>IFERROR(INDEX('Both teabags AfterWet'!$C$3:$C$2000,MATCH(H302,'Both teabags AfterWet'!$A$3:$A$2000,0)),"")</f>
        <v>0.56399999999999995</v>
      </c>
      <c r="P302" s="194">
        <f>IFERROR(INDEX('Both teabags AfterWet'!$C$3:$C$2000,MATCH(I302,'Both teabags AfterWet'!$A$3:$A$2000,0)),"")</f>
        <v>1.518</v>
      </c>
      <c r="Q302" s="194">
        <f t="shared" si="30"/>
        <v>0.41339999999999993</v>
      </c>
      <c r="R302" s="194">
        <f t="shared" si="30"/>
        <v>1.3673999999999999</v>
      </c>
      <c r="S302" s="194">
        <f t="shared" si="31"/>
        <v>0.77535050537985006</v>
      </c>
      <c r="T302" s="194">
        <f t="shared" si="32"/>
        <v>0.50830579450080438</v>
      </c>
      <c r="U302" s="194">
        <f t="shared" si="33"/>
        <v>0.70477270384496449</v>
      </c>
      <c r="V302">
        <f t="shared" si="28"/>
        <v>52</v>
      </c>
      <c r="W302" s="194">
        <f t="shared" si="34"/>
        <v>7.9156169382600838E-2</v>
      </c>
      <c r="X302" s="194">
        <f t="shared" si="35"/>
        <v>1.6719665182738073E-2</v>
      </c>
      <c r="Y302" s="245" t="str">
        <f>IF(ISNUMBER(SEARCH("C",'WetLitterbags placem_collection'!$Y9)),"YES","NO")</f>
        <v>NO</v>
      </c>
      <c r="Z302" s="245" t="str">
        <f>IF(ISNUMBER(SEARCH("H", 'WetLitterbags placem_collection'!$Y9)),"YES","NO")</f>
        <v>NO</v>
      </c>
      <c r="AA302" s="245" t="str">
        <f>IF(ISNUMBER(SEARCH("R", 'WetLitterbags placem_collection'!$Y9)),"YES","NO")</f>
        <v>YES</v>
      </c>
      <c r="AB302" s="245" t="str">
        <f>IF(ISNUMBER(SEARCH("C", 'WetLitterbags placem_collection'!$W9)),"YES","NO")</f>
        <v>NO</v>
      </c>
      <c r="AC302" s="245" t="str">
        <f>IF(ISNUMBER(SEARCH("H", 'WetLitterbags placem_collection'!$W9)),"YES","NO")</f>
        <v>NO</v>
      </c>
      <c r="AD302" s="245" t="str">
        <f>IF(ISNUMBER(SEARCH("R", 'WetLitterbags placem_collection'!$W9)),"YES","NO")</f>
        <v>NO</v>
      </c>
    </row>
    <row r="303" spans="1:30">
      <c r="B303" t="str">
        <f>Wetseason!B449</f>
        <v>Wet</v>
      </c>
      <c r="C303" s="253">
        <f>Wetseason!C449</f>
        <v>8</v>
      </c>
      <c r="D303" t="s">
        <v>3099</v>
      </c>
      <c r="E303" t="s">
        <v>25</v>
      </c>
      <c r="F303" s="375">
        <v>8</v>
      </c>
      <c r="G303" s="16">
        <f>'WetLitterbags placem_collection'!E10</f>
        <v>42766</v>
      </c>
      <c r="H303" s="92" t="str">
        <f>Wetseason!L449</f>
        <v>G701</v>
      </c>
      <c r="I303" t="str">
        <f>Wetseason!L669</f>
        <v>R512</v>
      </c>
      <c r="J303">
        <f>IFERROR(INDEX('Green_rooibos initial weight'!$C$5:$C$2000,MATCH(H303, 'Green_rooibos initial weight'!$A$5:$A$2000,0)),"")</f>
        <v>1.9159999999999999</v>
      </c>
      <c r="K303">
        <f>IFERROR(INDEX('Green_rooibos initial weight'!$C$5:$C$2000,MATCH(I303, 'Green_rooibos initial weight'!$A$5:$A$2000,0)),"")</f>
        <v>2.1509999999999998</v>
      </c>
      <c r="L303" s="194">
        <f t="shared" si="29"/>
        <v>1.6661999999999999</v>
      </c>
      <c r="M303" s="194">
        <f t="shared" si="27"/>
        <v>1.9011999999999998</v>
      </c>
      <c r="N303" s="16">
        <f>IF('WetLitterbags placem_collection'!G10="","",'WetLitterbags placem_collection'!G10)</f>
        <v>42818</v>
      </c>
      <c r="O303" s="194">
        <f>IFERROR(INDEX('Both teabags AfterWet'!$C$3:$C$2000,MATCH(H303,'Both teabags AfterWet'!$A$3:$A$2000,0)),"")</f>
        <v>0.59260000000000002</v>
      </c>
      <c r="P303" s="194">
        <f>IFERROR(INDEX('Both teabags AfterWet'!$C$3:$C$2000,MATCH(I303,'Both teabags AfterWet'!$A$3:$A$2000,0)),"")</f>
        <v>1.4733000000000001</v>
      </c>
      <c r="Q303" s="194">
        <f t="shared" si="30"/>
        <v>0.442</v>
      </c>
      <c r="R303" s="194">
        <f t="shared" si="30"/>
        <v>1.3227</v>
      </c>
      <c r="S303" s="194">
        <f t="shared" si="31"/>
        <v>0.73472572320249663</v>
      </c>
      <c r="T303" s="194">
        <f t="shared" si="32"/>
        <v>0.48167292067432088</v>
      </c>
      <c r="U303" s="194">
        <f t="shared" si="33"/>
        <v>0.69571849358300031</v>
      </c>
      <c r="V303">
        <f t="shared" si="28"/>
        <v>52</v>
      </c>
      <c r="W303" s="194">
        <f t="shared" si="34"/>
        <v>0.12740412921318689</v>
      </c>
      <c r="X303" s="194">
        <f t="shared" si="35"/>
        <v>1.9209742785314624E-2</v>
      </c>
      <c r="Y303" s="245" t="str">
        <f>IF(ISNUMBER(SEARCH("C",'WetLitterbags placem_collection'!$Y10)),"YES","NO")</f>
        <v>NO</v>
      </c>
      <c r="Z303" s="245" t="str">
        <f>IF(ISNUMBER(SEARCH("H", 'WetLitterbags placem_collection'!$Y10)),"YES","NO")</f>
        <v>NO</v>
      </c>
      <c r="AA303" s="245" t="str">
        <f>IF(ISNUMBER(SEARCH("R", 'WetLitterbags placem_collection'!$Y10)),"YES","NO")</f>
        <v>NO</v>
      </c>
      <c r="AB303" s="245" t="str">
        <f>IF(ISNUMBER(SEARCH("C", 'WetLitterbags placem_collection'!$W10)),"YES","NO")</f>
        <v>NO</v>
      </c>
      <c r="AC303" s="245" t="str">
        <f>IF(ISNUMBER(SEARCH("H", 'WetLitterbags placem_collection'!$W10)),"YES","NO")</f>
        <v>NO</v>
      </c>
      <c r="AD303" s="245" t="str">
        <f>IF(ISNUMBER(SEARCH("R", 'WetLitterbags placem_collection'!$W10)),"YES","NO")</f>
        <v>YES</v>
      </c>
    </row>
    <row r="304" spans="1:30">
      <c r="B304" t="str">
        <f>Wetseason!B450</f>
        <v>Wet</v>
      </c>
      <c r="C304" s="253">
        <f>Wetseason!C450</f>
        <v>9</v>
      </c>
      <c r="D304" t="s">
        <v>3103</v>
      </c>
      <c r="E304" t="s">
        <v>25</v>
      </c>
      <c r="F304" s="374">
        <v>1</v>
      </c>
      <c r="G304" s="16">
        <f>'WetLitterbags placem_collection'!E11</f>
        <v>42766</v>
      </c>
      <c r="H304" s="92" t="str">
        <f>Wetseason!L450</f>
        <v>G476</v>
      </c>
      <c r="I304" t="str">
        <f>Wetseason!L670</f>
        <v>R101</v>
      </c>
      <c r="J304">
        <f>IFERROR(INDEX('Green_rooibos initial weight'!$C$5:$C$2000,MATCH(H304, 'Green_rooibos initial weight'!$A$5:$A$2000,0)),"")</f>
        <v>2.121</v>
      </c>
      <c r="K304">
        <f>IFERROR(INDEX('Green_rooibos initial weight'!$C$5:$C$2000,MATCH(I304, 'Green_rooibos initial weight'!$A$5:$A$2000,0)),"")</f>
        <v>2.3039999999999998</v>
      </c>
      <c r="L304" s="194">
        <f t="shared" si="29"/>
        <v>1.8712</v>
      </c>
      <c r="M304" s="194">
        <f t="shared" si="27"/>
        <v>2.0541999999999998</v>
      </c>
      <c r="N304" s="16">
        <f>IF('WetLitterbags placem_collection'!G11="","",'WetLitterbags placem_collection'!G11)</f>
        <v>42818</v>
      </c>
      <c r="O304" s="194">
        <f>IFERROR(INDEX('Both teabags AfterWet'!$C$3:$C$2000,MATCH(H304,'Both teabags AfterWet'!$A$3:$A$2000,0)),"")</f>
        <v>0.66479999999999995</v>
      </c>
      <c r="P304" s="194">
        <f>IFERROR(INDEX('Both teabags AfterWet'!$C$3:$C$2000,MATCH(I304,'Both teabags AfterWet'!$A$3:$A$2000,0)),"")</f>
        <v>1.5383</v>
      </c>
      <c r="Q304" s="194">
        <f t="shared" si="30"/>
        <v>0.51419999999999999</v>
      </c>
      <c r="R304" s="194">
        <f t="shared" si="30"/>
        <v>1.3876999999999999</v>
      </c>
      <c r="S304" s="194">
        <f t="shared" si="31"/>
        <v>0.72520307823856345</v>
      </c>
      <c r="T304" s="194">
        <f t="shared" si="32"/>
        <v>0.47543004654119603</v>
      </c>
      <c r="U304" s="194">
        <f t="shared" si="33"/>
        <v>0.67554279038068354</v>
      </c>
      <c r="V304">
        <f t="shared" si="28"/>
        <v>52</v>
      </c>
      <c r="W304" s="194">
        <f t="shared" si="34"/>
        <v>0.13871368380218119</v>
      </c>
      <c r="X304" s="194">
        <f t="shared" si="35"/>
        <v>2.2059996593908244E-2</v>
      </c>
      <c r="Y304" s="245" t="str">
        <f>IF(ISNUMBER(SEARCH("C",'WetLitterbags placem_collection'!$Y11)),"YES","NO")</f>
        <v>NO</v>
      </c>
      <c r="Z304" s="245" t="str">
        <f>IF(ISNUMBER(SEARCH("H", 'WetLitterbags placem_collection'!$Y11)),"YES","NO")</f>
        <v>NO</v>
      </c>
      <c r="AA304" s="245" t="str">
        <f>IF(ISNUMBER(SEARCH("R", 'WetLitterbags placem_collection'!$Y11)),"YES","NO")</f>
        <v>NO</v>
      </c>
      <c r="AB304" s="245" t="str">
        <f>IF(ISNUMBER(SEARCH("C", 'WetLitterbags placem_collection'!$W11)),"YES","NO")</f>
        <v>YES</v>
      </c>
      <c r="AC304" s="245" t="str">
        <f>IF(ISNUMBER(SEARCH("H", 'WetLitterbags placem_collection'!$W11)),"YES","NO")</f>
        <v>YES</v>
      </c>
      <c r="AD304" s="245" t="str">
        <f>IF(ISNUMBER(SEARCH("R", 'WetLitterbags placem_collection'!$W11)),"YES","NO")</f>
        <v>NO</v>
      </c>
    </row>
    <row r="305" spans="2:30">
      <c r="B305" t="str">
        <f>Wetseason!B451</f>
        <v>Wet</v>
      </c>
      <c r="C305" s="253">
        <f>Wetseason!C451</f>
        <v>10</v>
      </c>
      <c r="D305" t="s">
        <v>3103</v>
      </c>
      <c r="E305" t="s">
        <v>25</v>
      </c>
      <c r="F305" s="374">
        <v>2</v>
      </c>
      <c r="G305" s="16">
        <f>'WetLitterbags placem_collection'!E12</f>
        <v>42766</v>
      </c>
      <c r="H305" s="92" t="str">
        <f>Wetseason!L451</f>
        <v>G606</v>
      </c>
      <c r="I305" t="str">
        <f>Wetseason!L671</f>
        <v>R515</v>
      </c>
      <c r="J305">
        <f>IFERROR(INDEX('Green_rooibos initial weight'!$C$5:$C$2000,MATCH(H305, 'Green_rooibos initial weight'!$A$5:$A$2000,0)),"")</f>
        <v>1.921</v>
      </c>
      <c r="K305">
        <f>IFERROR(INDEX('Green_rooibos initial weight'!$C$5:$C$2000,MATCH(I305, 'Green_rooibos initial weight'!$A$5:$A$2000,0)),"")</f>
        <v>2.2050000000000001</v>
      </c>
      <c r="L305" s="194">
        <f t="shared" si="29"/>
        <v>1.6712</v>
      </c>
      <c r="M305" s="194">
        <f t="shared" si="27"/>
        <v>1.9552</v>
      </c>
      <c r="N305" s="16">
        <f>IF('WetLitterbags placem_collection'!G12="","",'WetLitterbags placem_collection'!G12)</f>
        <v>42818</v>
      </c>
      <c r="O305" s="194">
        <f>IFERROR(INDEX('Both teabags AfterWet'!$C$3:$C$2000,MATCH(H305,'Both teabags AfterWet'!$A$3:$A$2000,0)),"")</f>
        <v>0.63539999999999996</v>
      </c>
      <c r="P305" s="194">
        <f>IFERROR(INDEX('Both teabags AfterWet'!$C$3:$C$2000,MATCH(I305,'Both teabags AfterWet'!$A$3:$A$2000,0)),"")</f>
        <v>1.3853</v>
      </c>
      <c r="Q305" s="194">
        <f t="shared" si="30"/>
        <v>0.48479999999999995</v>
      </c>
      <c r="R305" s="194">
        <f t="shared" si="30"/>
        <v>1.2346999999999999</v>
      </c>
      <c r="S305" s="194">
        <f t="shared" si="31"/>
        <v>0.70990904739109628</v>
      </c>
      <c r="T305" s="194">
        <f t="shared" si="32"/>
        <v>0.46540355600936484</v>
      </c>
      <c r="U305" s="194">
        <f t="shared" si="33"/>
        <v>0.63149549918166936</v>
      </c>
      <c r="V305">
        <f t="shared" si="28"/>
        <v>52</v>
      </c>
      <c r="W305" s="194">
        <f t="shared" si="34"/>
        <v>0.15687761592506377</v>
      </c>
      <c r="X305" s="194">
        <f t="shared" si="35"/>
        <v>3.0177598521146373E-2</v>
      </c>
      <c r="Y305" s="245" t="str">
        <f>IF(ISNUMBER(SEARCH("C",'WetLitterbags placem_collection'!$Y12)),"YES","NO")</f>
        <v>NO</v>
      </c>
      <c r="Z305" s="245" t="str">
        <f>IF(ISNUMBER(SEARCH("H", 'WetLitterbags placem_collection'!$Y12)),"YES","NO")</f>
        <v>NO</v>
      </c>
      <c r="AA305" s="245" t="str">
        <f>IF(ISNUMBER(SEARCH("R", 'WetLitterbags placem_collection'!$Y12)),"YES","NO")</f>
        <v>NO</v>
      </c>
      <c r="AB305" s="245" t="str">
        <f>IF(ISNUMBER(SEARCH("C", 'WetLitterbags placem_collection'!$W12)),"YES","NO")</f>
        <v>NO</v>
      </c>
      <c r="AC305" s="245" t="str">
        <f>IF(ISNUMBER(SEARCH("H", 'WetLitterbags placem_collection'!$W12)),"YES","NO")</f>
        <v>NO</v>
      </c>
      <c r="AD305" s="245" t="str">
        <f>IF(ISNUMBER(SEARCH("R", 'WetLitterbags placem_collection'!$W12)),"YES","NO")</f>
        <v>NO</v>
      </c>
    </row>
    <row r="306" spans="2:30">
      <c r="B306" t="str">
        <f>Wetseason!B452</f>
        <v>Wet</v>
      </c>
      <c r="C306" s="253">
        <f>Wetseason!C452</f>
        <v>11</v>
      </c>
      <c r="D306" t="s">
        <v>3103</v>
      </c>
      <c r="E306" t="s">
        <v>25</v>
      </c>
      <c r="F306" s="374">
        <v>3</v>
      </c>
      <c r="G306" s="16">
        <f>'WetLitterbags placem_collection'!E13</f>
        <v>42766</v>
      </c>
      <c r="H306" s="92" t="str">
        <f>Wetseason!L452</f>
        <v>G523</v>
      </c>
      <c r="I306" t="str">
        <f>Wetseason!L672</f>
        <v>R2</v>
      </c>
      <c r="J306">
        <f>IFERROR(INDEX('Green_rooibos initial weight'!$C$5:$C$2000,MATCH(H306, 'Green_rooibos initial weight'!$A$5:$A$2000,0)),"")</f>
        <v>2.1419999999999999</v>
      </c>
      <c r="K306">
        <f>IFERROR(INDEX('Green_rooibos initial weight'!$C$5:$C$2000,MATCH(I306, 'Green_rooibos initial weight'!$A$5:$A$2000,0)),"")</f>
        <v>2.2679999999999998</v>
      </c>
      <c r="L306" s="194">
        <f t="shared" si="29"/>
        <v>1.8921999999999999</v>
      </c>
      <c r="M306" s="194">
        <f t="shared" si="27"/>
        <v>2.0181999999999998</v>
      </c>
      <c r="N306" s="16">
        <f>IF('WetLitterbags placem_collection'!G13="","",'WetLitterbags placem_collection'!G13)</f>
        <v>42818</v>
      </c>
      <c r="O306" s="194">
        <f>IFERROR(INDEX('Both teabags AfterWet'!$C$3:$C$2000,MATCH(H306,'Both teabags AfterWet'!$A$3:$A$2000,0)),"")</f>
        <v>0.63119999999999998</v>
      </c>
      <c r="P306" s="194">
        <f>IFERROR(INDEX('Both teabags AfterWet'!$C$3:$C$2000,MATCH(I306,'Both teabags AfterWet'!$A$3:$A$2000,0)),"")</f>
        <v>1.43</v>
      </c>
      <c r="Q306" s="194">
        <f t="shared" si="30"/>
        <v>0.48059999999999997</v>
      </c>
      <c r="R306" s="194">
        <f t="shared" si="30"/>
        <v>1.2793999999999999</v>
      </c>
      <c r="S306" s="194">
        <f t="shared" si="31"/>
        <v>0.74600993552478601</v>
      </c>
      <c r="T306" s="194">
        <f t="shared" si="32"/>
        <v>0.48907064656731819</v>
      </c>
      <c r="U306" s="194">
        <f t="shared" si="33"/>
        <v>0.63393122584481221</v>
      </c>
      <c r="V306">
        <f t="shared" si="28"/>
        <v>52</v>
      </c>
      <c r="W306" s="194">
        <f t="shared" si="34"/>
        <v>0.11400245187080049</v>
      </c>
      <c r="X306" s="194">
        <f t="shared" si="35"/>
        <v>2.6544372546697632E-2</v>
      </c>
      <c r="Y306" s="245" t="str">
        <f>IF(ISNUMBER(SEARCH("C",'WetLitterbags placem_collection'!$Y13)),"YES","NO")</f>
        <v>NO</v>
      </c>
      <c r="Z306" s="245" t="str">
        <f>IF(ISNUMBER(SEARCH("H", 'WetLitterbags placem_collection'!$Y13)),"YES","NO")</f>
        <v>NO</v>
      </c>
      <c r="AA306" s="245" t="str">
        <f>IF(ISNUMBER(SEARCH("R", 'WetLitterbags placem_collection'!$Y13)),"YES","NO")</f>
        <v>NO</v>
      </c>
      <c r="AB306" s="245" t="str">
        <f>IF(ISNUMBER(SEARCH("C", 'WetLitterbags placem_collection'!$W13)),"YES","NO")</f>
        <v>NO</v>
      </c>
      <c r="AC306" s="245" t="str">
        <f>IF(ISNUMBER(SEARCH("H", 'WetLitterbags placem_collection'!$W13)),"YES","NO")</f>
        <v>NO</v>
      </c>
      <c r="AD306" s="245" t="str">
        <f>IF(ISNUMBER(SEARCH("R", 'WetLitterbags placem_collection'!$W13)),"YES","NO")</f>
        <v>NO</v>
      </c>
    </row>
    <row r="307" spans="2:30">
      <c r="B307" t="str">
        <f>Wetseason!B453</f>
        <v>Wet</v>
      </c>
      <c r="C307" s="253">
        <f>Wetseason!C453</f>
        <v>12</v>
      </c>
      <c r="D307" t="s">
        <v>3103</v>
      </c>
      <c r="E307" t="s">
        <v>25</v>
      </c>
      <c r="F307" s="375">
        <v>4</v>
      </c>
      <c r="G307" s="16">
        <f>'WetLitterbags placem_collection'!E14</f>
        <v>42766</v>
      </c>
      <c r="H307" s="92" t="str">
        <f>Wetseason!L453</f>
        <v>G510</v>
      </c>
      <c r="I307" t="str">
        <f>Wetseason!L673</f>
        <v>R123</v>
      </c>
      <c r="J307">
        <f>IFERROR(INDEX('Green_rooibos initial weight'!$C$5:$C$2000,MATCH(H307, 'Green_rooibos initial weight'!$A$5:$A$2000,0)),"")</f>
        <v>1.91</v>
      </c>
      <c r="K307">
        <f>IFERROR(INDEX('Green_rooibos initial weight'!$C$5:$C$2000,MATCH(I307, 'Green_rooibos initial weight'!$A$5:$A$2000,0)),"")</f>
        <v>2.2610000000000001</v>
      </c>
      <c r="L307" s="194">
        <f t="shared" si="29"/>
        <v>1.6601999999999999</v>
      </c>
      <c r="M307" s="194">
        <f t="shared" si="27"/>
        <v>2.0112000000000001</v>
      </c>
      <c r="N307" s="16">
        <f>IF('WetLitterbags placem_collection'!G14="","",'WetLitterbags placem_collection'!G14)</f>
        <v>42818</v>
      </c>
      <c r="O307" s="194" t="str">
        <f>IFERROR(INDEX('Both teabags AfterWet'!$C$3:$C$2000,MATCH(H307,'Both teabags AfterWet'!$A$3:$A$2000,0)),"")</f>
        <v/>
      </c>
      <c r="P307" s="194" t="str">
        <f>IFERROR(INDEX('Both teabags AfterWet'!$C$3:$C$2000,MATCH(I307,'Both teabags AfterWet'!$A$3:$A$2000,0)),"")</f>
        <v/>
      </c>
      <c r="Q307" s="194" t="str">
        <f t="shared" si="30"/>
        <v/>
      </c>
      <c r="R307" s="194" t="str">
        <f t="shared" si="30"/>
        <v/>
      </c>
      <c r="S307" s="194" t="str">
        <f t="shared" si="31"/>
        <v/>
      </c>
      <c r="T307" s="194" t="str">
        <f t="shared" si="32"/>
        <v/>
      </c>
      <c r="U307" s="194" t="str">
        <f t="shared" si="33"/>
        <v/>
      </c>
      <c r="V307">
        <f t="shared" si="28"/>
        <v>52</v>
      </c>
      <c r="W307" s="194" t="str">
        <f t="shared" si="34"/>
        <v/>
      </c>
      <c r="X307" s="194" t="str">
        <f t="shared" si="35"/>
        <v/>
      </c>
      <c r="Y307" s="245" t="str">
        <f>IF(ISNUMBER(SEARCH("C",'WetLitterbags placem_collection'!$Y14)),"YES","NO")</f>
        <v>NO</v>
      </c>
      <c r="Z307" s="245" t="str">
        <f>IF(ISNUMBER(SEARCH("H", 'WetLitterbags placem_collection'!$Y14)),"YES","NO")</f>
        <v>NO</v>
      </c>
      <c r="AA307" s="245" t="str">
        <f>IF(ISNUMBER(SEARCH("R", 'WetLitterbags placem_collection'!$Y14)),"YES","NO")</f>
        <v>NO</v>
      </c>
      <c r="AB307" s="245" t="str">
        <f>IF(ISNUMBER(SEARCH("C", 'WetLitterbags placem_collection'!$W14)),"YES","NO")</f>
        <v>NO</v>
      </c>
      <c r="AC307" s="245" t="str">
        <f>IF(ISNUMBER(SEARCH("H", 'WetLitterbags placem_collection'!$W14)),"YES","NO")</f>
        <v>NO</v>
      </c>
      <c r="AD307" s="245" t="str">
        <f>IF(ISNUMBER(SEARCH("R", 'WetLitterbags placem_collection'!$W14)),"YES","NO")</f>
        <v>NO</v>
      </c>
    </row>
    <row r="308" spans="2:30">
      <c r="B308" t="str">
        <f>Wetseason!B454</f>
        <v>Wet</v>
      </c>
      <c r="C308" s="253">
        <f>Wetseason!C454</f>
        <v>13</v>
      </c>
      <c r="D308" t="s">
        <v>3103</v>
      </c>
      <c r="E308" t="s">
        <v>25</v>
      </c>
      <c r="F308" s="375">
        <v>5</v>
      </c>
      <c r="G308" s="16">
        <f>'WetLitterbags placem_collection'!E15</f>
        <v>42766</v>
      </c>
      <c r="H308" s="92" t="str">
        <f>Wetseason!L454</f>
        <v>G241</v>
      </c>
      <c r="I308" t="str">
        <f>Wetseason!L674</f>
        <v>R3</v>
      </c>
      <c r="J308">
        <f>IFERROR(INDEX('Green_rooibos initial weight'!$C$5:$C$2000,MATCH(H308, 'Green_rooibos initial weight'!$A$5:$A$2000,0)),"")</f>
        <v>2.0179999999999998</v>
      </c>
      <c r="K308">
        <f>IFERROR(INDEX('Green_rooibos initial weight'!$C$5:$C$2000,MATCH(I308, 'Green_rooibos initial weight'!$A$5:$A$2000,0)),"")</f>
        <v>2.242</v>
      </c>
      <c r="L308" s="194">
        <f t="shared" si="29"/>
        <v>1.7681999999999998</v>
      </c>
      <c r="M308" s="194">
        <f t="shared" si="27"/>
        <v>1.9922</v>
      </c>
      <c r="N308" s="16">
        <f>IF('WetLitterbags placem_collection'!G15="","",'WetLitterbags placem_collection'!G15)</f>
        <v>42818</v>
      </c>
      <c r="O308" s="194">
        <f>IFERROR(INDEX('Both teabags AfterWet'!$C$3:$C$2000,MATCH(H308,'Both teabags AfterWet'!$A$3:$A$2000,0)),"")</f>
        <v>0.52059999999999995</v>
      </c>
      <c r="P308" s="194">
        <f>IFERROR(INDEX('Both teabags AfterWet'!$C$3:$C$2000,MATCH(I308,'Both teabags AfterWet'!$A$3:$A$2000,0)),"")</f>
        <v>1.4899</v>
      </c>
      <c r="Q308" s="194">
        <f t="shared" si="30"/>
        <v>0.36999999999999994</v>
      </c>
      <c r="R308" s="194">
        <f t="shared" si="30"/>
        <v>1.3392999999999999</v>
      </c>
      <c r="S308" s="194">
        <f t="shared" si="31"/>
        <v>0.79074765298043204</v>
      </c>
      <c r="T308" s="194">
        <f t="shared" si="32"/>
        <v>0.51839988651448754</v>
      </c>
      <c r="U308" s="194">
        <f t="shared" si="33"/>
        <v>0.67227186025499441</v>
      </c>
      <c r="V308">
        <f t="shared" si="28"/>
        <v>52</v>
      </c>
      <c r="W308" s="194">
        <f t="shared" si="34"/>
        <v>6.0869770807087775E-2</v>
      </c>
      <c r="X308" s="194">
        <f t="shared" si="35"/>
        <v>1.9234491920585697E-2</v>
      </c>
      <c r="Y308" s="245" t="str">
        <f>IF(ISNUMBER(SEARCH("C",'WetLitterbags placem_collection'!$Y15)),"YES","NO")</f>
        <v>NO</v>
      </c>
      <c r="Z308" s="245" t="str">
        <f>IF(ISNUMBER(SEARCH("H", 'WetLitterbags placem_collection'!$Y15)),"YES","NO")</f>
        <v>NO</v>
      </c>
      <c r="AA308" s="245" t="str">
        <f>IF(ISNUMBER(SEARCH("R", 'WetLitterbags placem_collection'!$Y15)),"YES","NO")</f>
        <v>NO</v>
      </c>
      <c r="AB308" s="245" t="str">
        <f>IF(ISNUMBER(SEARCH("C", 'WetLitterbags placem_collection'!$W15)),"YES","NO")</f>
        <v>NO</v>
      </c>
      <c r="AC308" s="245" t="str">
        <f>IF(ISNUMBER(SEARCH("H", 'WetLitterbags placem_collection'!$W15)),"YES","NO")</f>
        <v>YES</v>
      </c>
      <c r="AD308" s="245" t="str">
        <f>IF(ISNUMBER(SEARCH("R", 'WetLitterbags placem_collection'!$W15)),"YES","NO")</f>
        <v>YES</v>
      </c>
    </row>
    <row r="309" spans="2:30">
      <c r="B309" t="str">
        <f>Wetseason!B455</f>
        <v>Wet</v>
      </c>
      <c r="C309" s="253">
        <f>Wetseason!C455</f>
        <v>14</v>
      </c>
      <c r="D309" t="s">
        <v>3103</v>
      </c>
      <c r="E309" t="s">
        <v>25</v>
      </c>
      <c r="F309" s="375">
        <v>6</v>
      </c>
      <c r="G309" s="16">
        <f>'WetLitterbags placem_collection'!E16</f>
        <v>42766</v>
      </c>
      <c r="H309" s="92" t="str">
        <f>Wetseason!L455</f>
        <v>G503</v>
      </c>
      <c r="I309" t="str">
        <f>Wetseason!L675</f>
        <v>R282</v>
      </c>
      <c r="J309">
        <f>IFERROR(INDEX('Green_rooibos initial weight'!$C$5:$C$2000,MATCH(H309, 'Green_rooibos initial weight'!$A$5:$A$2000,0)),"")</f>
        <v>1.9810000000000001</v>
      </c>
      <c r="K309">
        <f>IFERROR(INDEX('Green_rooibos initial weight'!$C$5:$C$2000,MATCH(I309, 'Green_rooibos initial weight'!$A$5:$A$2000,0)),"")</f>
        <v>2.1829999999999998</v>
      </c>
      <c r="L309" s="194">
        <f t="shared" si="29"/>
        <v>1.7312000000000001</v>
      </c>
      <c r="M309" s="194">
        <f t="shared" si="27"/>
        <v>1.9331999999999998</v>
      </c>
      <c r="N309" s="16">
        <f>IF('WetLitterbags placem_collection'!G16="","",'WetLitterbags placem_collection'!G16)</f>
        <v>42818</v>
      </c>
      <c r="O309" s="194">
        <f>IFERROR(INDEX('Both teabags AfterWet'!$C$3:$C$2000,MATCH(H309,'Both teabags AfterWet'!$A$3:$A$2000,0)),"")</f>
        <v>0.501</v>
      </c>
      <c r="P309" s="194">
        <f>IFERROR(INDEX('Both teabags AfterWet'!$C$3:$C$2000,MATCH(I309,'Both teabags AfterWet'!$A$3:$A$2000,0)),"")</f>
        <v>1.5669999999999999</v>
      </c>
      <c r="Q309" s="194">
        <f t="shared" si="30"/>
        <v>0.35039999999999999</v>
      </c>
      <c r="R309" s="194">
        <f t="shared" si="30"/>
        <v>1.4163999999999999</v>
      </c>
      <c r="S309" s="194">
        <f t="shared" si="31"/>
        <v>0.79759704251386321</v>
      </c>
      <c r="T309" s="194">
        <f t="shared" si="32"/>
        <v>0.52289022264566809</v>
      </c>
      <c r="U309" s="194">
        <f t="shared" si="33"/>
        <v>0.73267121870473828</v>
      </c>
      <c r="V309">
        <f t="shared" si="28"/>
        <v>52</v>
      </c>
      <c r="W309" s="194">
        <f t="shared" si="34"/>
        <v>5.2735103902775249E-2</v>
      </c>
      <c r="X309" s="194">
        <f t="shared" si="35"/>
        <v>1.3767474750133612E-2</v>
      </c>
      <c r="Y309" s="245" t="str">
        <f>IF(ISNUMBER(SEARCH("C",'WetLitterbags placem_collection'!$Y16)),"YES","NO")</f>
        <v>NO</v>
      </c>
      <c r="Z309" s="245" t="str">
        <f>IF(ISNUMBER(SEARCH("H", 'WetLitterbags placem_collection'!$Y16)),"YES","NO")</f>
        <v>NO</v>
      </c>
      <c r="AA309" s="245" t="str">
        <f>IF(ISNUMBER(SEARCH("R", 'WetLitterbags placem_collection'!$Y16)),"YES","NO")</f>
        <v>NO</v>
      </c>
      <c r="AB309" s="245" t="str">
        <f>IF(ISNUMBER(SEARCH("C", 'WetLitterbags placem_collection'!$W16)),"YES","NO")</f>
        <v>NO</v>
      </c>
      <c r="AC309" s="245" t="str">
        <f>IF(ISNUMBER(SEARCH("H", 'WetLitterbags placem_collection'!$W16)),"YES","NO")</f>
        <v>YES</v>
      </c>
      <c r="AD309" s="245" t="str">
        <f>IF(ISNUMBER(SEARCH("R", 'WetLitterbags placem_collection'!$W16)),"YES","NO")</f>
        <v>YES</v>
      </c>
    </row>
    <row r="310" spans="2:30">
      <c r="B310" t="str">
        <f>Wetseason!B456</f>
        <v>Wet</v>
      </c>
      <c r="C310" s="253">
        <f>Wetseason!C456</f>
        <v>15</v>
      </c>
      <c r="D310" t="s">
        <v>3103</v>
      </c>
      <c r="E310" t="s">
        <v>25</v>
      </c>
      <c r="F310" s="375">
        <v>7</v>
      </c>
      <c r="G310" s="16">
        <f>'WetLitterbags placem_collection'!E17</f>
        <v>42766</v>
      </c>
      <c r="H310" s="92" t="str">
        <f>Wetseason!L456</f>
        <v>G685</v>
      </c>
      <c r="I310" t="str">
        <f>Wetseason!L676</f>
        <v>R99</v>
      </c>
      <c r="J310">
        <f>IFERROR(INDEX('Green_rooibos initial weight'!$C$5:$C$2000,MATCH(H310, 'Green_rooibos initial weight'!$A$5:$A$2000,0)),"")</f>
        <v>1.9810000000000001</v>
      </c>
      <c r="K310">
        <f>IFERROR(INDEX('Green_rooibos initial weight'!$C$5:$C$2000,MATCH(I310, 'Green_rooibos initial weight'!$A$5:$A$2000,0)),"")</f>
        <v>2.1920000000000002</v>
      </c>
      <c r="L310" s="194">
        <f t="shared" si="29"/>
        <v>1.7312000000000001</v>
      </c>
      <c r="M310" s="194">
        <f t="shared" si="27"/>
        <v>1.9422000000000001</v>
      </c>
      <c r="N310" s="16">
        <f>IF('WetLitterbags placem_collection'!G17="","",'WetLitterbags placem_collection'!G17)</f>
        <v>42818</v>
      </c>
      <c r="O310" s="194">
        <f>IFERROR(INDEX('Both teabags AfterWet'!$C$3:$C$2000,MATCH(H310,'Both teabags AfterWet'!$A$3:$A$2000,0)),"")</f>
        <v>0.72199999999999998</v>
      </c>
      <c r="P310" s="194">
        <f>IFERROR(INDEX('Both teabags AfterWet'!$C$3:$C$2000,MATCH(I310,'Both teabags AfterWet'!$A$3:$A$2000,0)),"")</f>
        <v>1.355</v>
      </c>
      <c r="Q310" s="194">
        <f t="shared" si="30"/>
        <v>0.57139999999999991</v>
      </c>
      <c r="R310" s="194">
        <f t="shared" si="30"/>
        <v>1.2043999999999999</v>
      </c>
      <c r="S310" s="194">
        <f t="shared" si="31"/>
        <v>0.66993992606284669</v>
      </c>
      <c r="T310" s="194">
        <f t="shared" si="32"/>
        <v>0.43920052159939599</v>
      </c>
      <c r="U310" s="194">
        <f t="shared" si="33"/>
        <v>0.62012151168777663</v>
      </c>
      <c r="V310">
        <f t="shared" si="28"/>
        <v>52</v>
      </c>
      <c r="W310" s="194">
        <f t="shared" si="34"/>
        <v>0.20434688116051458</v>
      </c>
      <c r="X310" s="194">
        <f t="shared" si="35"/>
        <v>3.8499524702639357E-2</v>
      </c>
      <c r="Y310" s="245" t="str">
        <f>IF(ISNUMBER(SEARCH("C",'WetLitterbags placem_collection'!$Y17)),"YES","NO")</f>
        <v>NO</v>
      </c>
      <c r="Z310" s="245" t="str">
        <f>IF(ISNUMBER(SEARCH("H", 'WetLitterbags placem_collection'!$Y17)),"YES","NO")</f>
        <v>NO</v>
      </c>
      <c r="AA310" s="245" t="str">
        <f>IF(ISNUMBER(SEARCH("R", 'WetLitterbags placem_collection'!$Y17)),"YES","NO")</f>
        <v>YES</v>
      </c>
      <c r="AB310" s="245" t="str">
        <f>IF(ISNUMBER(SEARCH("C", 'WetLitterbags placem_collection'!$W17)),"YES","NO")</f>
        <v>YES</v>
      </c>
      <c r="AC310" s="245" t="str">
        <f>IF(ISNUMBER(SEARCH("H", 'WetLitterbags placem_collection'!$W17)),"YES","NO")</f>
        <v>YES</v>
      </c>
      <c r="AD310" s="245" t="str">
        <f>IF(ISNUMBER(SEARCH("R", 'WetLitterbags placem_collection'!$W17)),"YES","NO")</f>
        <v>YES</v>
      </c>
    </row>
    <row r="311" spans="2:30">
      <c r="B311" t="str">
        <f>Wetseason!B457</f>
        <v>Wet</v>
      </c>
      <c r="C311" s="253">
        <f>Wetseason!C457</f>
        <v>16</v>
      </c>
      <c r="D311" t="s">
        <v>3103</v>
      </c>
      <c r="E311" t="s">
        <v>25</v>
      </c>
      <c r="F311" s="375">
        <v>8</v>
      </c>
      <c r="G311" s="16">
        <f>'WetLitterbags placem_collection'!E18</f>
        <v>42766</v>
      </c>
      <c r="H311" s="92" t="str">
        <f>Wetseason!L457</f>
        <v>G644</v>
      </c>
      <c r="I311" t="str">
        <f>Wetseason!L677</f>
        <v>R154</v>
      </c>
      <c r="J311">
        <f>IFERROR(INDEX('Green_rooibos initial weight'!$C$5:$C$2000,MATCH(H311, 'Green_rooibos initial weight'!$A$5:$A$2000,0)),"")</f>
        <v>2.157</v>
      </c>
      <c r="K311">
        <f>IFERROR(INDEX('Green_rooibos initial weight'!$C$5:$C$2000,MATCH(I311, 'Green_rooibos initial weight'!$A$5:$A$2000,0)),"")</f>
        <v>2.2010000000000001</v>
      </c>
      <c r="L311" s="194">
        <f t="shared" si="29"/>
        <v>1.9072</v>
      </c>
      <c r="M311" s="194">
        <f t="shared" si="27"/>
        <v>1.9512</v>
      </c>
      <c r="N311" s="16">
        <f>IF('WetLitterbags placem_collection'!G18="","",'WetLitterbags placem_collection'!G18)</f>
        <v>42818</v>
      </c>
      <c r="O311" s="194">
        <f>IFERROR(INDEX('Both teabags AfterWet'!$C$3:$C$2000,MATCH(H311,'Both teabags AfterWet'!$A$3:$A$2000,0)),"")</f>
        <v>0.65410000000000001</v>
      </c>
      <c r="P311" s="194">
        <f>IFERROR(INDEX('Both teabags AfterWet'!$C$3:$C$2000,MATCH(I311,'Both teabags AfterWet'!$A$3:$A$2000,0)),"")</f>
        <v>1.421</v>
      </c>
      <c r="Q311" s="194">
        <f t="shared" si="30"/>
        <v>0.50350000000000006</v>
      </c>
      <c r="R311" s="194">
        <f t="shared" si="30"/>
        <v>1.2704</v>
      </c>
      <c r="S311" s="194">
        <f t="shared" si="31"/>
        <v>0.73600041946308714</v>
      </c>
      <c r="T311" s="194">
        <f t="shared" si="32"/>
        <v>0.48250858853162015</v>
      </c>
      <c r="U311" s="194">
        <f t="shared" si="33"/>
        <v>0.6510865108651086</v>
      </c>
      <c r="V311">
        <f t="shared" si="28"/>
        <v>52</v>
      </c>
      <c r="W311" s="194">
        <f t="shared" si="34"/>
        <v>0.1258902381673549</v>
      </c>
      <c r="X311" s="194">
        <f t="shared" si="35"/>
        <v>2.4695868104203655E-2</v>
      </c>
      <c r="Y311" s="245" t="str">
        <f>IF(ISNUMBER(SEARCH("C",'WetLitterbags placem_collection'!$Y18)),"YES","NO")</f>
        <v>NO</v>
      </c>
      <c r="Z311" s="245" t="str">
        <f>IF(ISNUMBER(SEARCH("H", 'WetLitterbags placem_collection'!$Y18)),"YES","NO")</f>
        <v>NO</v>
      </c>
      <c r="AA311" s="245" t="str">
        <f>IF(ISNUMBER(SEARCH("R", 'WetLitterbags placem_collection'!$Y18)),"YES","NO")</f>
        <v>YES</v>
      </c>
      <c r="AB311" s="245" t="str">
        <f>IF(ISNUMBER(SEARCH("C", 'WetLitterbags placem_collection'!$W18)),"YES","NO")</f>
        <v>NO</v>
      </c>
      <c r="AC311" s="245" t="str">
        <f>IF(ISNUMBER(SEARCH("H", 'WetLitterbags placem_collection'!$W18)),"YES","NO")</f>
        <v>YES</v>
      </c>
      <c r="AD311" s="245" t="str">
        <f>IF(ISNUMBER(SEARCH("R", 'WetLitterbags placem_collection'!$W18)),"YES","NO")</f>
        <v>YES</v>
      </c>
    </row>
    <row r="312" spans="2:30">
      <c r="B312" t="str">
        <f>Wetseason!B458</f>
        <v>Wet</v>
      </c>
      <c r="C312" s="253">
        <f>Wetseason!C458</f>
        <v>17</v>
      </c>
      <c r="D312" t="s">
        <v>3104</v>
      </c>
      <c r="E312" t="s">
        <v>25</v>
      </c>
      <c r="F312" s="374">
        <v>1</v>
      </c>
      <c r="G312" s="16">
        <f>'WetLitterbags placem_collection'!E19</f>
        <v>42767</v>
      </c>
      <c r="H312" s="92" t="str">
        <f>Wetseason!L458</f>
        <v>G648</v>
      </c>
      <c r="I312" t="str">
        <f>Wetseason!L678</f>
        <v>R380</v>
      </c>
      <c r="J312">
        <f>IFERROR(INDEX('Green_rooibos initial weight'!$C$5:$C$2000,MATCH(H312, 'Green_rooibos initial weight'!$A$5:$A$2000,0)),"")</f>
        <v>2.0249999999999999</v>
      </c>
      <c r="K312">
        <f>IFERROR(INDEX('Green_rooibos initial weight'!$C$5:$C$2000,MATCH(I312, 'Green_rooibos initial weight'!$A$5:$A$2000,0)),"")</f>
        <v>2.2799999999999998</v>
      </c>
      <c r="L312" s="194">
        <f t="shared" si="29"/>
        <v>1.7751999999999999</v>
      </c>
      <c r="M312" s="194">
        <f t="shared" si="27"/>
        <v>2.0301999999999998</v>
      </c>
      <c r="N312" s="16">
        <f>IF('WetLitterbags placem_collection'!G19="","",'WetLitterbags placem_collection'!G19)</f>
        <v>42818</v>
      </c>
      <c r="O312" s="194">
        <f>IFERROR(INDEX('Both teabags AfterWet'!$C$3:$C$2000,MATCH(H312,'Both teabags AfterWet'!$A$3:$A$2000,0)),"")</f>
        <v>0.6905</v>
      </c>
      <c r="P312" s="194">
        <f>IFERROR(INDEX('Both teabags AfterWet'!$C$3:$C$2000,MATCH(I312,'Both teabags AfterWet'!$A$3:$A$2000,0)),"")</f>
        <v>1.6271</v>
      </c>
      <c r="Q312" s="194">
        <f t="shared" si="30"/>
        <v>0.53990000000000005</v>
      </c>
      <c r="R312" s="194">
        <f t="shared" si="30"/>
        <v>1.4764999999999999</v>
      </c>
      <c r="S312" s="194">
        <f t="shared" si="31"/>
        <v>0.69586525461919779</v>
      </c>
      <c r="T312" s="194">
        <f t="shared" si="32"/>
        <v>0.45619669899025794</v>
      </c>
      <c r="U312" s="194">
        <f t="shared" si="33"/>
        <v>0.72726824943355339</v>
      </c>
      <c r="V312">
        <f t="shared" si="28"/>
        <v>51</v>
      </c>
      <c r="W312" s="194">
        <f t="shared" si="34"/>
        <v>0.17355670472779361</v>
      </c>
      <c r="X312" s="194">
        <f t="shared" si="35"/>
        <v>1.7860792969738453E-2</v>
      </c>
      <c r="Y312" s="245" t="str">
        <f>IF(ISNUMBER(SEARCH("C",'WetLitterbags placem_collection'!$Y19)),"YES","NO")</f>
        <v>NO</v>
      </c>
      <c r="Z312" s="245" t="str">
        <f>IF(ISNUMBER(SEARCH("H", 'WetLitterbags placem_collection'!$Y19)),"YES","NO")</f>
        <v>NO</v>
      </c>
      <c r="AA312" s="245" t="str">
        <f>IF(ISNUMBER(SEARCH("R", 'WetLitterbags placem_collection'!$Y19)),"YES","NO")</f>
        <v>YES</v>
      </c>
      <c r="AB312" s="245" t="str">
        <f>IF(ISNUMBER(SEARCH("C", 'WetLitterbags placem_collection'!$W19)),"YES","NO")</f>
        <v>NO</v>
      </c>
      <c r="AC312" s="245" t="str">
        <f>IF(ISNUMBER(SEARCH("H", 'WetLitterbags placem_collection'!$W19)),"YES","NO")</f>
        <v>NO</v>
      </c>
      <c r="AD312" s="245" t="str">
        <f>IF(ISNUMBER(SEARCH("R", 'WetLitterbags placem_collection'!$W19)),"YES","NO")</f>
        <v>YES</v>
      </c>
    </row>
    <row r="313" spans="2:30">
      <c r="B313" t="str">
        <f>Wetseason!B459</f>
        <v>Wet</v>
      </c>
      <c r="C313" s="253">
        <f>Wetseason!C459</f>
        <v>18</v>
      </c>
      <c r="D313" t="s">
        <v>3104</v>
      </c>
      <c r="E313" t="s">
        <v>25</v>
      </c>
      <c r="F313" s="374">
        <v>2</v>
      </c>
      <c r="G313" s="16">
        <f>'WetLitterbags placem_collection'!E20</f>
        <v>42767</v>
      </c>
      <c r="H313" s="92" t="str">
        <f>Wetseason!L459</f>
        <v>G573</v>
      </c>
      <c r="I313" t="str">
        <f>Wetseason!L679</f>
        <v>R274</v>
      </c>
      <c r="J313">
        <f>IFERROR(INDEX('Green_rooibos initial weight'!$C$5:$C$2000,MATCH(H313, 'Green_rooibos initial weight'!$A$5:$A$2000,0)),"")</f>
        <v>2.0019999999999998</v>
      </c>
      <c r="K313">
        <f>IFERROR(INDEX('Green_rooibos initial weight'!$C$5:$C$2000,MATCH(I313, 'Green_rooibos initial weight'!$A$5:$A$2000,0)),"")</f>
        <v>2.1880000000000002</v>
      </c>
      <c r="L313" s="194">
        <f t="shared" si="29"/>
        <v>1.7521999999999998</v>
      </c>
      <c r="M313" s="194">
        <f t="shared" si="27"/>
        <v>1.9382000000000001</v>
      </c>
      <c r="N313" s="16">
        <f>IF('WetLitterbags placem_collection'!G20="","",'WetLitterbags placem_collection'!G20)</f>
        <v>42818</v>
      </c>
      <c r="O313" s="194">
        <f>IFERROR(INDEX('Both teabags AfterWet'!$C$3:$C$2000,MATCH(H313,'Both teabags AfterWet'!$A$3:$A$2000,0)),"")</f>
        <v>0.72099999999999997</v>
      </c>
      <c r="P313" s="194">
        <f>IFERROR(INDEX('Both teabags AfterWet'!$C$3:$C$2000,MATCH(I313,'Both teabags AfterWet'!$A$3:$A$2000,0)),"")</f>
        <v>1.6060000000000001</v>
      </c>
      <c r="Q313" s="194">
        <f t="shared" si="30"/>
        <v>0.57040000000000002</v>
      </c>
      <c r="R313" s="194">
        <f t="shared" si="30"/>
        <v>1.4554</v>
      </c>
      <c r="S313" s="194">
        <f t="shared" si="31"/>
        <v>0.67446638511585433</v>
      </c>
      <c r="T313" s="194">
        <f t="shared" si="32"/>
        <v>0.44216798644174776</v>
      </c>
      <c r="U313" s="194">
        <f t="shared" si="33"/>
        <v>0.75090289959756473</v>
      </c>
      <c r="V313">
        <f t="shared" si="28"/>
        <v>51</v>
      </c>
      <c r="W313" s="194">
        <f t="shared" si="34"/>
        <v>0.19897103905480484</v>
      </c>
      <c r="X313" s="194">
        <f t="shared" si="35"/>
        <v>1.624769535384776E-2</v>
      </c>
      <c r="Y313" s="245" t="str">
        <f>IF(ISNUMBER(SEARCH("C",'WetLitterbags placem_collection'!$Y20)),"YES","NO")</f>
        <v>NO</v>
      </c>
      <c r="Z313" s="245" t="str">
        <f>IF(ISNUMBER(SEARCH("H", 'WetLitterbags placem_collection'!$Y20)),"YES","NO")</f>
        <v>NO</v>
      </c>
      <c r="AA313" s="245" t="str">
        <f>IF(ISNUMBER(SEARCH("R", 'WetLitterbags placem_collection'!$Y20)),"YES","NO")</f>
        <v>YES</v>
      </c>
      <c r="AB313" s="245" t="str">
        <f>IF(ISNUMBER(SEARCH("C", 'WetLitterbags placem_collection'!$W20)),"YES","NO")</f>
        <v>NO</v>
      </c>
      <c r="AC313" s="245" t="str">
        <f>IF(ISNUMBER(SEARCH("H", 'WetLitterbags placem_collection'!$W20)),"YES","NO")</f>
        <v>NO</v>
      </c>
      <c r="AD313" s="245" t="str">
        <f>IF(ISNUMBER(SEARCH("R", 'WetLitterbags placem_collection'!$W20)),"YES","NO")</f>
        <v>NO</v>
      </c>
    </row>
    <row r="314" spans="2:30">
      <c r="B314" t="str">
        <f>Wetseason!B460</f>
        <v>Wet</v>
      </c>
      <c r="C314" s="253">
        <f>Wetseason!C460</f>
        <v>19</v>
      </c>
      <c r="D314" t="s">
        <v>3104</v>
      </c>
      <c r="E314" t="s">
        <v>25</v>
      </c>
      <c r="F314" s="374">
        <v>3</v>
      </c>
      <c r="G314" s="16">
        <f>'WetLitterbags placem_collection'!E21</f>
        <v>42767</v>
      </c>
      <c r="H314" s="92" t="str">
        <f>Wetseason!L460</f>
        <v>G639</v>
      </c>
      <c r="I314" t="str">
        <f>Wetseason!L680</f>
        <v>R566</v>
      </c>
      <c r="J314">
        <f>IFERROR(INDEX('Green_rooibos initial weight'!$C$5:$C$2000,MATCH(H314, 'Green_rooibos initial weight'!$A$5:$A$2000,0)),"")</f>
        <v>2.1909999999999998</v>
      </c>
      <c r="K314">
        <f>IFERROR(INDEX('Green_rooibos initial weight'!$C$5:$C$2000,MATCH(I314, 'Green_rooibos initial weight'!$A$5:$A$2000,0)),"")</f>
        <v>2.117</v>
      </c>
      <c r="L314" s="194">
        <f t="shared" si="29"/>
        <v>1.9411999999999998</v>
      </c>
      <c r="M314" s="194">
        <f t="shared" si="27"/>
        <v>1.8672</v>
      </c>
      <c r="N314" s="16">
        <f>IF('WetLitterbags placem_collection'!G21="","",'WetLitterbags placem_collection'!G21)</f>
        <v>42818</v>
      </c>
      <c r="O314" s="194">
        <f>IFERROR(INDEX('Both teabags AfterWet'!$C$3:$C$2000,MATCH(H314,'Both teabags AfterWet'!$A$3:$A$2000,0)),"")</f>
        <v>0.89200000000000002</v>
      </c>
      <c r="P314" s="194">
        <f>IFERROR(INDEX('Both teabags AfterWet'!$C$3:$C$2000,MATCH(I314,'Both teabags AfterWet'!$A$3:$A$2000,0)),"")</f>
        <v>1.4496</v>
      </c>
      <c r="Q314" s="194">
        <f t="shared" si="30"/>
        <v>0.74140000000000006</v>
      </c>
      <c r="R314" s="194">
        <f t="shared" si="30"/>
        <v>1.2989999999999999</v>
      </c>
      <c r="S314" s="194">
        <f t="shared" si="31"/>
        <v>0.61807129610550171</v>
      </c>
      <c r="T314" s="194">
        <f t="shared" si="32"/>
        <v>0.40519638414517456</v>
      </c>
      <c r="U314" s="194">
        <f t="shared" si="33"/>
        <v>0.69569408740359895</v>
      </c>
      <c r="V314">
        <f t="shared" si="28"/>
        <v>51</v>
      </c>
      <c r="W314" s="194">
        <f t="shared" si="34"/>
        <v>0.26594857944714756</v>
      </c>
      <c r="X314" s="194">
        <f t="shared" si="35"/>
        <v>2.7261497262850175E-2</v>
      </c>
      <c r="Y314" s="245" t="str">
        <f>IF(ISNUMBER(SEARCH("C",'WetLitterbags placem_collection'!$Y21)),"YES","NO")</f>
        <v>NO</v>
      </c>
      <c r="Z314" s="245" t="str">
        <f>IF(ISNUMBER(SEARCH("H", 'WetLitterbags placem_collection'!$Y21)),"YES","NO")</f>
        <v>NO</v>
      </c>
      <c r="AA314" s="245" t="str">
        <f>IF(ISNUMBER(SEARCH("R", 'WetLitterbags placem_collection'!$Y21)),"YES","NO")</f>
        <v>NO</v>
      </c>
      <c r="AB314" s="245" t="str">
        <f>IF(ISNUMBER(SEARCH("C", 'WetLitterbags placem_collection'!$W21)),"YES","NO")</f>
        <v>NO</v>
      </c>
      <c r="AC314" s="245" t="str">
        <f>IF(ISNUMBER(SEARCH("H", 'WetLitterbags placem_collection'!$W21)),"YES","NO")</f>
        <v>NO</v>
      </c>
      <c r="AD314" s="245" t="str">
        <f>IF(ISNUMBER(SEARCH("R", 'WetLitterbags placem_collection'!$W21)),"YES","NO")</f>
        <v>NO</v>
      </c>
    </row>
    <row r="315" spans="2:30">
      <c r="B315" t="str">
        <f>Wetseason!B461</f>
        <v>Wet</v>
      </c>
      <c r="C315" s="253">
        <f>Wetseason!C461</f>
        <v>20</v>
      </c>
      <c r="D315" t="s">
        <v>3104</v>
      </c>
      <c r="E315" t="s">
        <v>25</v>
      </c>
      <c r="F315" s="375">
        <v>4</v>
      </c>
      <c r="G315" s="16">
        <f>'WetLitterbags placem_collection'!E22</f>
        <v>42767</v>
      </c>
      <c r="H315" s="92" t="str">
        <f>Wetseason!L461</f>
        <v>G505</v>
      </c>
      <c r="I315" t="str">
        <f>Wetseason!L681</f>
        <v>R110</v>
      </c>
      <c r="J315">
        <f>IFERROR(INDEX('Green_rooibos initial weight'!$C$5:$C$2000,MATCH(H315, 'Green_rooibos initial weight'!$A$5:$A$2000,0)),"")</f>
        <v>2.0510000000000002</v>
      </c>
      <c r="K315">
        <f>IFERROR(INDEX('Green_rooibos initial weight'!$C$5:$C$2000,MATCH(I315, 'Green_rooibos initial weight'!$A$5:$A$2000,0)),"")</f>
        <v>2.2530000000000001</v>
      </c>
      <c r="L315" s="194">
        <f t="shared" si="29"/>
        <v>1.8012000000000001</v>
      </c>
      <c r="M315" s="194">
        <f t="shared" si="27"/>
        <v>2.0032000000000001</v>
      </c>
      <c r="N315" s="16">
        <f>IF('WetLitterbags placem_collection'!G22="","",'WetLitterbags placem_collection'!G22)</f>
        <v>42818</v>
      </c>
      <c r="O315" s="194">
        <f>IFERROR(INDEX('Both teabags AfterWet'!$C$3:$C$2000,MATCH(H315,'Both teabags AfterWet'!$A$3:$A$2000,0)),"")</f>
        <v>0.70330000000000004</v>
      </c>
      <c r="P315" s="194">
        <f>IFERROR(INDEX('Both teabags AfterWet'!$C$3:$C$2000,MATCH(I315,'Both teabags AfterWet'!$A$3:$A$2000,0)),"")</f>
        <v>1.6778999999999999</v>
      </c>
      <c r="Q315" s="194">
        <f t="shared" si="30"/>
        <v>0.55269999999999997</v>
      </c>
      <c r="R315" s="194">
        <f t="shared" si="30"/>
        <v>1.5272999999999999</v>
      </c>
      <c r="S315" s="194">
        <f t="shared" si="31"/>
        <v>0.69314901176993127</v>
      </c>
      <c r="T315" s="194">
        <f t="shared" si="32"/>
        <v>0.45441597921259158</v>
      </c>
      <c r="U315" s="194">
        <f t="shared" si="33"/>
        <v>0.76243011182108622</v>
      </c>
      <c r="V315">
        <f t="shared" si="28"/>
        <v>51</v>
      </c>
      <c r="W315" s="194">
        <f t="shared" si="34"/>
        <v>0.17678264635400087</v>
      </c>
      <c r="X315" s="194">
        <f t="shared" si="35"/>
        <v>1.4506376241579626E-2</v>
      </c>
      <c r="Y315" s="245" t="str">
        <f>IF(ISNUMBER(SEARCH("C",'WetLitterbags placem_collection'!$Y22)),"YES","NO")</f>
        <v>NO</v>
      </c>
      <c r="Z315" s="245" t="str">
        <f>IF(ISNUMBER(SEARCH("H", 'WetLitterbags placem_collection'!$Y22)),"YES","NO")</f>
        <v>NO</v>
      </c>
      <c r="AA315" s="245" t="str">
        <f>IF(ISNUMBER(SEARCH("R", 'WetLitterbags placem_collection'!$Y22)),"YES","NO")</f>
        <v>NO</v>
      </c>
      <c r="AB315" s="245" t="str">
        <f>IF(ISNUMBER(SEARCH("C", 'WetLitterbags placem_collection'!$W22)),"YES","NO")</f>
        <v>NO</v>
      </c>
      <c r="AC315" s="245" t="str">
        <f>IF(ISNUMBER(SEARCH("H", 'WetLitterbags placem_collection'!$W22)),"YES","NO")</f>
        <v>NO</v>
      </c>
      <c r="AD315" s="245" t="str">
        <f>IF(ISNUMBER(SEARCH("R", 'WetLitterbags placem_collection'!$W22)),"YES","NO")</f>
        <v>NO</v>
      </c>
    </row>
    <row r="316" spans="2:30">
      <c r="B316" t="str">
        <f>Wetseason!B462</f>
        <v>Wet</v>
      </c>
      <c r="C316" s="253">
        <f>Wetseason!C462</f>
        <v>21</v>
      </c>
      <c r="D316" t="s">
        <v>3104</v>
      </c>
      <c r="E316" t="s">
        <v>25</v>
      </c>
      <c r="F316" s="375">
        <v>5</v>
      </c>
      <c r="G316" s="16">
        <f>'WetLitterbags placem_collection'!E23</f>
        <v>42767</v>
      </c>
      <c r="H316" s="92" t="str">
        <f>Wetseason!L462</f>
        <v>G721</v>
      </c>
      <c r="I316" t="str">
        <f>Wetseason!L682</f>
        <v>R79</v>
      </c>
      <c r="J316">
        <f>IFERROR(INDEX('Green_rooibos initial weight'!$C$5:$C$2000,MATCH(H316, 'Green_rooibos initial weight'!$A$5:$A$2000,0)),"")</f>
        <v>1.9910000000000001</v>
      </c>
      <c r="K316">
        <f>IFERROR(INDEX('Green_rooibos initial weight'!$C$5:$C$2000,MATCH(I316, 'Green_rooibos initial weight'!$A$5:$A$2000,0)),"")</f>
        <v>2.1890000000000001</v>
      </c>
      <c r="L316" s="194">
        <f t="shared" si="29"/>
        <v>1.7412000000000001</v>
      </c>
      <c r="M316" s="194">
        <f t="shared" si="27"/>
        <v>1.9392</v>
      </c>
      <c r="N316" s="16">
        <f>IF('WetLitterbags placem_collection'!G23="","",'WetLitterbags placem_collection'!G23)</f>
        <v>42818</v>
      </c>
      <c r="O316" s="194">
        <f>IFERROR(INDEX('Both teabags AfterWet'!$C$3:$C$2000,MATCH(H316,'Both teabags AfterWet'!$A$3:$A$2000,0)),"")</f>
        <v>0.66739999999999999</v>
      </c>
      <c r="P316" s="194">
        <f>IFERROR(INDEX('Both teabags AfterWet'!$C$3:$C$2000,MATCH(I316,'Both teabags AfterWet'!$A$3:$A$2000,0)),"")</f>
        <v>1.4087000000000001</v>
      </c>
      <c r="Q316" s="194">
        <f t="shared" si="30"/>
        <v>0.51679999999999993</v>
      </c>
      <c r="R316" s="194">
        <f t="shared" si="30"/>
        <v>1.2581</v>
      </c>
      <c r="S316" s="194">
        <f t="shared" si="31"/>
        <v>0.70319320009189068</v>
      </c>
      <c r="T316" s="194">
        <f t="shared" si="32"/>
        <v>0.46100076775620391</v>
      </c>
      <c r="U316" s="194">
        <f t="shared" si="33"/>
        <v>0.64877268976897684</v>
      </c>
      <c r="V316">
        <f t="shared" si="28"/>
        <v>51</v>
      </c>
      <c r="W316" s="194">
        <f t="shared" si="34"/>
        <v>0.16485368160107994</v>
      </c>
      <c r="X316" s="194">
        <f t="shared" si="35"/>
        <v>2.8136881241186032E-2</v>
      </c>
      <c r="Y316" s="245" t="str">
        <f>IF(ISNUMBER(SEARCH("C",'WetLitterbags placem_collection'!$Y23)),"YES","NO")</f>
        <v>NO</v>
      </c>
      <c r="Z316" s="245" t="str">
        <f>IF(ISNUMBER(SEARCH("H", 'WetLitterbags placem_collection'!$Y23)),"YES","NO")</f>
        <v>NO</v>
      </c>
      <c r="AA316" s="245" t="str">
        <f>IF(ISNUMBER(SEARCH("R", 'WetLitterbags placem_collection'!$Y23)),"YES","NO")</f>
        <v>NO</v>
      </c>
      <c r="AB316" s="245" t="str">
        <f>IF(ISNUMBER(SEARCH("C", 'WetLitterbags placem_collection'!$W23)),"YES","NO")</f>
        <v>NO</v>
      </c>
      <c r="AC316" s="245" t="str">
        <f>IF(ISNUMBER(SEARCH("H", 'WetLitterbags placem_collection'!$W23)),"YES","NO")</f>
        <v>NO</v>
      </c>
      <c r="AD316" s="245" t="str">
        <f>IF(ISNUMBER(SEARCH("R", 'WetLitterbags placem_collection'!$W23)),"YES","NO")</f>
        <v>YES</v>
      </c>
    </row>
    <row r="317" spans="2:30">
      <c r="B317" t="str">
        <f>Wetseason!B463</f>
        <v>Wet</v>
      </c>
      <c r="C317" s="253">
        <f>Wetseason!C463</f>
        <v>22</v>
      </c>
      <c r="D317" t="s">
        <v>3104</v>
      </c>
      <c r="E317" t="s">
        <v>25</v>
      </c>
      <c r="F317" s="375">
        <v>6</v>
      </c>
      <c r="G317" s="16">
        <f>'WetLitterbags placem_collection'!E24</f>
        <v>42767</v>
      </c>
      <c r="H317" s="92" t="str">
        <f>Wetseason!L463</f>
        <v>G552</v>
      </c>
      <c r="I317" t="str">
        <f>Wetseason!L683</f>
        <v>R45</v>
      </c>
      <c r="J317">
        <f>IFERROR(INDEX('Green_rooibos initial weight'!$C$5:$C$2000,MATCH(H317, 'Green_rooibos initial weight'!$A$5:$A$2000,0)),"")</f>
        <v>2.1110000000000002</v>
      </c>
      <c r="K317">
        <f>IFERROR(INDEX('Green_rooibos initial weight'!$C$5:$C$2000,MATCH(I317, 'Green_rooibos initial weight'!$A$5:$A$2000,0)),"")</f>
        <v>2.1989999999999998</v>
      </c>
      <c r="L317" s="194">
        <f t="shared" si="29"/>
        <v>1.8612000000000002</v>
      </c>
      <c r="M317" s="194">
        <f t="shared" si="27"/>
        <v>1.9491999999999998</v>
      </c>
      <c r="N317" s="16">
        <f>IF('WetLitterbags placem_collection'!G24="","",'WetLitterbags placem_collection'!G24)</f>
        <v>42818</v>
      </c>
      <c r="O317" s="194">
        <f>IFERROR(INDEX('Both teabags AfterWet'!$C$3:$C$2000,MATCH(H317,'Both teabags AfterWet'!$A$3:$A$2000,0)),"")</f>
        <v>0.75929999999999997</v>
      </c>
      <c r="P317" s="194">
        <f>IFERROR(INDEX('Both teabags AfterWet'!$C$3:$C$2000,MATCH(I317,'Both teabags AfterWet'!$A$3:$A$2000,0)),"")</f>
        <v>1.4908999999999999</v>
      </c>
      <c r="Q317" s="194">
        <f t="shared" si="30"/>
        <v>0.60870000000000002</v>
      </c>
      <c r="R317" s="194">
        <f t="shared" si="30"/>
        <v>1.3402999999999998</v>
      </c>
      <c r="S317" s="194">
        <f t="shared" si="31"/>
        <v>0.67295293359123143</v>
      </c>
      <c r="T317" s="194">
        <f t="shared" si="32"/>
        <v>0.44117579494342019</v>
      </c>
      <c r="U317" s="194">
        <f t="shared" si="33"/>
        <v>0.68761543197209107</v>
      </c>
      <c r="V317">
        <f t="shared" si="28"/>
        <v>51</v>
      </c>
      <c r="W317" s="194">
        <f t="shared" si="34"/>
        <v>0.20076848742134035</v>
      </c>
      <c r="X317" s="194">
        <f t="shared" si="35"/>
        <v>2.4142171111079396E-2</v>
      </c>
      <c r="Y317" s="245" t="str">
        <f>IF(ISNUMBER(SEARCH("C",'WetLitterbags placem_collection'!$Y24)),"YES","NO")</f>
        <v>NO</v>
      </c>
      <c r="Z317" s="245" t="str">
        <f>IF(ISNUMBER(SEARCH("H", 'WetLitterbags placem_collection'!$Y24)),"YES","NO")</f>
        <v>NO</v>
      </c>
      <c r="AA317" s="245" t="str">
        <f>IF(ISNUMBER(SEARCH("R", 'WetLitterbags placem_collection'!$Y24)),"YES","NO")</f>
        <v>NO</v>
      </c>
      <c r="AB317" s="245" t="str">
        <f>IF(ISNUMBER(SEARCH("C", 'WetLitterbags placem_collection'!$W24)),"YES","NO")</f>
        <v>NO</v>
      </c>
      <c r="AC317" s="245" t="str">
        <f>IF(ISNUMBER(SEARCH("H", 'WetLitterbags placem_collection'!$W24)),"YES","NO")</f>
        <v>NO</v>
      </c>
      <c r="AD317" s="245" t="str">
        <f>IF(ISNUMBER(SEARCH("R", 'WetLitterbags placem_collection'!$W24)),"YES","NO")</f>
        <v>NO</v>
      </c>
    </row>
    <row r="318" spans="2:30">
      <c r="B318" t="str">
        <f>Wetseason!B464</f>
        <v>Wet</v>
      </c>
      <c r="C318" s="253">
        <f>Wetseason!C464</f>
        <v>23</v>
      </c>
      <c r="D318" t="s">
        <v>3104</v>
      </c>
      <c r="E318" t="s">
        <v>25</v>
      </c>
      <c r="F318" s="375">
        <v>7</v>
      </c>
      <c r="G318" s="16">
        <f>'WetLitterbags placem_collection'!E25</f>
        <v>42767</v>
      </c>
      <c r="H318" s="92" t="str">
        <f>Wetseason!L464</f>
        <v>G456</v>
      </c>
      <c r="I318" t="str">
        <f>Wetseason!L684</f>
        <v>R132</v>
      </c>
      <c r="J318">
        <f>IFERROR(INDEX('Green_rooibos initial weight'!$C$5:$C$2000,MATCH(H318, 'Green_rooibos initial weight'!$A$5:$A$2000,0)),"")</f>
        <v>2.117</v>
      </c>
      <c r="K318">
        <f>IFERROR(INDEX('Green_rooibos initial weight'!$C$5:$C$2000,MATCH(I318, 'Green_rooibos initial weight'!$A$5:$A$2000,0)),"")</f>
        <v>2.133</v>
      </c>
      <c r="L318" s="194">
        <f t="shared" si="29"/>
        <v>1.8672</v>
      </c>
      <c r="M318" s="194">
        <f t="shared" si="27"/>
        <v>1.8832</v>
      </c>
      <c r="N318" s="16">
        <f>IF('WetLitterbags placem_collection'!G25="","",'WetLitterbags placem_collection'!G25)</f>
        <v>42818</v>
      </c>
      <c r="O318" s="194">
        <f>IFERROR(INDEX('Both teabags AfterWet'!$C$3:$C$2000,MATCH(H318,'Both teabags AfterWet'!$A$3:$A$2000,0)),"")</f>
        <v>0.72629999999999995</v>
      </c>
      <c r="P318" s="194">
        <f>IFERROR(INDEX('Both teabags AfterWet'!$C$3:$C$2000,MATCH(I318,'Both teabags AfterWet'!$A$3:$A$2000,0)),"")</f>
        <v>1.5238</v>
      </c>
      <c r="Q318" s="194">
        <f t="shared" si="30"/>
        <v>0.57569999999999988</v>
      </c>
      <c r="R318" s="194">
        <f t="shared" si="30"/>
        <v>1.3732</v>
      </c>
      <c r="S318" s="194">
        <f t="shared" si="31"/>
        <v>0.69167737789203088</v>
      </c>
      <c r="T318" s="194">
        <f t="shared" si="32"/>
        <v>0.45345120260855237</v>
      </c>
      <c r="U318" s="194">
        <f t="shared" si="33"/>
        <v>0.72918436703483436</v>
      </c>
      <c r="V318">
        <f t="shared" si="28"/>
        <v>51</v>
      </c>
      <c r="W318" s="194">
        <f t="shared" si="34"/>
        <v>0.17853043005697045</v>
      </c>
      <c r="X318" s="194">
        <f t="shared" si="35"/>
        <v>1.7831272890421117E-2</v>
      </c>
      <c r="Y318" s="245" t="str">
        <f>IF(ISNUMBER(SEARCH("C",'WetLitterbags placem_collection'!$Y25)),"YES","NO")</f>
        <v>NO</v>
      </c>
      <c r="Z318" s="245" t="str">
        <f>IF(ISNUMBER(SEARCH("H", 'WetLitterbags placem_collection'!$Y25)),"YES","NO")</f>
        <v>NO</v>
      </c>
      <c r="AA318" s="245" t="str">
        <f>IF(ISNUMBER(SEARCH("R", 'WetLitterbags placem_collection'!$Y25)),"YES","NO")</f>
        <v>NO</v>
      </c>
      <c r="AB318" s="245" t="str">
        <f>IF(ISNUMBER(SEARCH("C", 'WetLitterbags placem_collection'!$W25)),"YES","NO")</f>
        <v>NO</v>
      </c>
      <c r="AC318" s="245" t="str">
        <f>IF(ISNUMBER(SEARCH("H", 'WetLitterbags placem_collection'!$W25)),"YES","NO")</f>
        <v>NO</v>
      </c>
      <c r="AD318" s="245" t="str">
        <f>IF(ISNUMBER(SEARCH("R", 'WetLitterbags placem_collection'!$W25)),"YES","NO")</f>
        <v>NO</v>
      </c>
    </row>
    <row r="319" spans="2:30">
      <c r="B319" t="str">
        <f>Wetseason!B465</f>
        <v>Wet</v>
      </c>
      <c r="C319" s="253">
        <f>Wetseason!C465</f>
        <v>24</v>
      </c>
      <c r="D319" t="s">
        <v>3104</v>
      </c>
      <c r="E319" t="s">
        <v>25</v>
      </c>
      <c r="F319" s="375">
        <v>8</v>
      </c>
      <c r="G319" s="16">
        <f>'WetLitterbags placem_collection'!E26</f>
        <v>42767</v>
      </c>
      <c r="H319" s="92" t="str">
        <f>Wetseason!L465</f>
        <v>G421</v>
      </c>
      <c r="I319" t="str">
        <f>Wetseason!L685</f>
        <v>R71</v>
      </c>
      <c r="J319">
        <f>IFERROR(INDEX('Green_rooibos initial weight'!$C$5:$C$2000,MATCH(H319, 'Green_rooibos initial weight'!$A$5:$A$2000,0)),"")</f>
        <v>2.052</v>
      </c>
      <c r="K319">
        <f>IFERROR(INDEX('Green_rooibos initial weight'!$C$5:$C$2000,MATCH(I319, 'Green_rooibos initial weight'!$A$5:$A$2000,0)),"")</f>
        <v>2.2440000000000002</v>
      </c>
      <c r="L319" s="194">
        <f t="shared" si="29"/>
        <v>1.8022</v>
      </c>
      <c r="M319" s="194">
        <f t="shared" si="27"/>
        <v>1.9942000000000002</v>
      </c>
      <c r="N319" s="16">
        <f>IF('WetLitterbags placem_collection'!G26="","",'WetLitterbags placem_collection'!G26)</f>
        <v>42818</v>
      </c>
      <c r="O319" s="194">
        <f>IFERROR(INDEX('Both teabags AfterWet'!$C$3:$C$2000,MATCH(H319,'Both teabags AfterWet'!$A$3:$A$2000,0)),"")</f>
        <v>0.67</v>
      </c>
      <c r="P319" s="194">
        <f>IFERROR(INDEX('Both teabags AfterWet'!$C$3:$C$2000,MATCH(I319,'Both teabags AfterWet'!$A$3:$A$2000,0)),"")</f>
        <v>1.3083</v>
      </c>
      <c r="Q319" s="194">
        <f t="shared" si="30"/>
        <v>0.51940000000000008</v>
      </c>
      <c r="R319" s="194">
        <f t="shared" si="30"/>
        <v>1.1577</v>
      </c>
      <c r="S319" s="194">
        <f t="shared" si="31"/>
        <v>0.71179669293086223</v>
      </c>
      <c r="T319" s="194">
        <f t="shared" si="32"/>
        <v>0.4666410623489739</v>
      </c>
      <c r="U319" s="194">
        <f t="shared" si="33"/>
        <v>0.58053354728713258</v>
      </c>
      <c r="V319">
        <f t="shared" si="28"/>
        <v>51</v>
      </c>
      <c r="W319" s="194">
        <f t="shared" si="34"/>
        <v>0.15463575661417783</v>
      </c>
      <c r="X319" s="194">
        <f t="shared" si="35"/>
        <v>4.4935383188606008E-2</v>
      </c>
      <c r="Y319" s="245" t="str">
        <f>IF(ISNUMBER(SEARCH("C",'WetLitterbags placem_collection'!$Y26)),"YES","NO")</f>
        <v>NO</v>
      </c>
      <c r="Z319" s="245" t="str">
        <f>IF(ISNUMBER(SEARCH("H", 'WetLitterbags placem_collection'!$Y26)),"YES","NO")</f>
        <v>NO</v>
      </c>
      <c r="AA319" s="245" t="str">
        <f>IF(ISNUMBER(SEARCH("R", 'WetLitterbags placem_collection'!$Y26)),"YES","NO")</f>
        <v>NO</v>
      </c>
      <c r="AB319" s="245" t="str">
        <f>IF(ISNUMBER(SEARCH("C", 'WetLitterbags placem_collection'!$W26)),"YES","NO")</f>
        <v>NO</v>
      </c>
      <c r="AC319" s="245" t="str">
        <f>IF(ISNUMBER(SEARCH("H", 'WetLitterbags placem_collection'!$W26)),"YES","NO")</f>
        <v>NO</v>
      </c>
      <c r="AD319" s="245" t="str">
        <f>IF(ISNUMBER(SEARCH("R", 'WetLitterbags placem_collection'!$W26)),"YES","NO")</f>
        <v>YES</v>
      </c>
    </row>
    <row r="320" spans="2:30">
      <c r="B320" t="str">
        <f>Wetseason!B466</f>
        <v>Wet</v>
      </c>
      <c r="C320" s="253">
        <f>Wetseason!C466</f>
        <v>25</v>
      </c>
      <c r="D320" t="s">
        <v>3105</v>
      </c>
      <c r="E320" t="s">
        <v>25</v>
      </c>
      <c r="F320" s="374">
        <v>1</v>
      </c>
      <c r="G320" s="16">
        <f>'WetLitterbags placem_collection'!E27</f>
        <v>42767</v>
      </c>
      <c r="H320" s="92" t="str">
        <f>Wetseason!L466</f>
        <v>G864</v>
      </c>
      <c r="I320" t="str">
        <f>Wetseason!L686</f>
        <v>R104</v>
      </c>
      <c r="J320">
        <f>IFERROR(INDEX('Green_rooibos initial weight'!$C$5:$C$2000,MATCH(H320, 'Green_rooibos initial weight'!$A$5:$A$2000,0)),"")</f>
        <v>2.0310000000000001</v>
      </c>
      <c r="K320">
        <f>IFERROR(INDEX('Green_rooibos initial weight'!$C$5:$C$2000,MATCH(I320, 'Green_rooibos initial weight'!$A$5:$A$2000,0)),"")</f>
        <v>2.2109999999999999</v>
      </c>
      <c r="L320" s="194">
        <f t="shared" si="29"/>
        <v>1.7812000000000001</v>
      </c>
      <c r="M320" s="194">
        <f t="shared" si="27"/>
        <v>1.9611999999999998</v>
      </c>
      <c r="N320" s="16">
        <f>IF('WetLitterbags placem_collection'!G27="","",'WetLitterbags placem_collection'!G27)</f>
        <v>42818</v>
      </c>
      <c r="O320" s="194">
        <f>IFERROR(INDEX('Both teabags AfterWet'!$C$3:$C$2000,MATCH(H320,'Both teabags AfterWet'!$A$3:$A$2000,0)),"")</f>
        <v>0.65839999999999999</v>
      </c>
      <c r="P320" s="194">
        <f>IFERROR(INDEX('Both teabags AfterWet'!$C$3:$C$2000,MATCH(I320,'Both teabags AfterWet'!$A$3:$A$2000,0)),"")</f>
        <v>1.4184000000000001</v>
      </c>
      <c r="Q320" s="194">
        <f t="shared" si="30"/>
        <v>0.50780000000000003</v>
      </c>
      <c r="R320" s="194">
        <f t="shared" si="30"/>
        <v>1.2678</v>
      </c>
      <c r="S320" s="194">
        <f t="shared" si="31"/>
        <v>0.71491129575567036</v>
      </c>
      <c r="T320" s="194">
        <f t="shared" si="32"/>
        <v>0.46868293973530889</v>
      </c>
      <c r="U320" s="194">
        <f t="shared" si="33"/>
        <v>0.64644095451764239</v>
      </c>
      <c r="V320">
        <f t="shared" si="28"/>
        <v>51</v>
      </c>
      <c r="W320" s="194">
        <f t="shared" si="34"/>
        <v>0.15093670337806364</v>
      </c>
      <c r="X320" s="194">
        <f t="shared" si="35"/>
        <v>2.7527796379896437E-2</v>
      </c>
      <c r="Y320" s="245" t="str">
        <f>IF(ISNUMBER(SEARCH("C",'WetLitterbags placem_collection'!$Y27)),"YES","NO")</f>
        <v>NO</v>
      </c>
      <c r="Z320" s="245" t="str">
        <f>IF(ISNUMBER(SEARCH("H", 'WetLitterbags placem_collection'!$Y27)),"YES","NO")</f>
        <v>NO</v>
      </c>
      <c r="AA320" s="245" t="str">
        <f>IF(ISNUMBER(SEARCH("R", 'WetLitterbags placem_collection'!$Y27)),"YES","NO")</f>
        <v>NO</v>
      </c>
      <c r="AB320" s="245" t="str">
        <f>IF(ISNUMBER(SEARCH("C", 'WetLitterbags placem_collection'!$W27)),"YES","NO")</f>
        <v>NO</v>
      </c>
      <c r="AC320" s="245" t="str">
        <f>IF(ISNUMBER(SEARCH("H", 'WetLitterbags placem_collection'!$W27)),"YES","NO")</f>
        <v>NO</v>
      </c>
      <c r="AD320" s="245" t="str">
        <f>IF(ISNUMBER(SEARCH("R", 'WetLitterbags placem_collection'!$W27)),"YES","NO")</f>
        <v>NO</v>
      </c>
    </row>
    <row r="321" spans="2:30">
      <c r="B321" t="str">
        <f>Wetseason!B467</f>
        <v>Wet</v>
      </c>
      <c r="C321" s="253">
        <f>Wetseason!C467</f>
        <v>26</v>
      </c>
      <c r="D321" t="s">
        <v>3105</v>
      </c>
      <c r="E321" t="s">
        <v>25</v>
      </c>
      <c r="F321" s="374">
        <v>2</v>
      </c>
      <c r="G321" s="16">
        <f>'WetLitterbags placem_collection'!E28</f>
        <v>42767</v>
      </c>
      <c r="H321" s="92" t="str">
        <f>Wetseason!L467</f>
        <v>G506</v>
      </c>
      <c r="I321" t="str">
        <f>Wetseason!L687</f>
        <v>R189</v>
      </c>
      <c r="J321">
        <f>IFERROR(INDEX('Green_rooibos initial weight'!$C$5:$C$2000,MATCH(H321, 'Green_rooibos initial weight'!$A$5:$A$2000,0)),"")</f>
        <v>1.9079999999999999</v>
      </c>
      <c r="K321">
        <f>IFERROR(INDEX('Green_rooibos initial weight'!$C$5:$C$2000,MATCH(I321, 'Green_rooibos initial weight'!$A$5:$A$2000,0)),"")</f>
        <v>2.274</v>
      </c>
      <c r="L321" s="194">
        <f t="shared" si="29"/>
        <v>1.6581999999999999</v>
      </c>
      <c r="M321" s="194">
        <f t="shared" si="27"/>
        <v>2.0242</v>
      </c>
      <c r="N321" s="16">
        <f>IF('WetLitterbags placem_collection'!G28="","",'WetLitterbags placem_collection'!G28)</f>
        <v>42818</v>
      </c>
      <c r="O321" s="194">
        <f>IFERROR(INDEX('Both teabags AfterWet'!$C$3:$C$2000,MATCH(H321,'Both teabags AfterWet'!$A$3:$A$2000,0)),"")</f>
        <v>0.67589999999999995</v>
      </c>
      <c r="P321" s="194">
        <f>IFERROR(INDEX('Both teabags AfterWet'!$C$3:$C$2000,MATCH(I321,'Both teabags AfterWet'!$A$3:$A$2000,0)),"")</f>
        <v>1.464</v>
      </c>
      <c r="Q321" s="194">
        <f t="shared" si="30"/>
        <v>0.52529999999999988</v>
      </c>
      <c r="R321" s="194">
        <f t="shared" si="30"/>
        <v>1.3133999999999999</v>
      </c>
      <c r="S321" s="194">
        <f t="shared" si="31"/>
        <v>0.68321071040887715</v>
      </c>
      <c r="T321" s="194">
        <f t="shared" si="32"/>
        <v>0.4479006082490502</v>
      </c>
      <c r="U321" s="194">
        <f t="shared" si="33"/>
        <v>0.64884892797154425</v>
      </c>
      <c r="V321">
        <f t="shared" si="28"/>
        <v>51</v>
      </c>
      <c r="W321" s="194">
        <f t="shared" si="34"/>
        <v>0.18858585462128596</v>
      </c>
      <c r="X321" s="194">
        <f t="shared" si="35"/>
        <v>3.0047957115714032E-2</v>
      </c>
      <c r="Y321" s="245" t="str">
        <f>IF(ISNUMBER(SEARCH("C",'WetLitterbags placem_collection'!$Y28)),"YES","NO")</f>
        <v>NO</v>
      </c>
      <c r="Z321" s="245" t="str">
        <f>IF(ISNUMBER(SEARCH("H", 'WetLitterbags placem_collection'!$Y28)),"YES","NO")</f>
        <v>NO</v>
      </c>
      <c r="AA321" s="245" t="str">
        <f>IF(ISNUMBER(SEARCH("R", 'WetLitterbags placem_collection'!$Y28)),"YES","NO")</f>
        <v>NO</v>
      </c>
      <c r="AB321" s="245" t="str">
        <f>IF(ISNUMBER(SEARCH("C", 'WetLitterbags placem_collection'!$W28)),"YES","NO")</f>
        <v>NO</v>
      </c>
      <c r="AC321" s="245" t="str">
        <f>IF(ISNUMBER(SEARCH("H", 'WetLitterbags placem_collection'!$W28)),"YES","NO")</f>
        <v>NO</v>
      </c>
      <c r="AD321" s="245" t="str">
        <f>IF(ISNUMBER(SEARCH("R", 'WetLitterbags placem_collection'!$W28)),"YES","NO")</f>
        <v>NO</v>
      </c>
    </row>
    <row r="322" spans="2:30">
      <c r="B322" t="str">
        <f>Wetseason!B468</f>
        <v>Wet</v>
      </c>
      <c r="C322" s="253">
        <f>Wetseason!C468</f>
        <v>27</v>
      </c>
      <c r="D322" t="s">
        <v>3105</v>
      </c>
      <c r="E322" t="s">
        <v>25</v>
      </c>
      <c r="F322" s="374">
        <v>3</v>
      </c>
      <c r="G322" s="16">
        <f>'WetLitterbags placem_collection'!E29</f>
        <v>42767</v>
      </c>
      <c r="H322" s="92" t="str">
        <f>Wetseason!L468</f>
        <v>G449</v>
      </c>
      <c r="I322" t="str">
        <f>Wetseason!L688</f>
        <v>R217</v>
      </c>
      <c r="J322">
        <f>IFERROR(INDEX('Green_rooibos initial weight'!$C$5:$C$2000,MATCH(H322, 'Green_rooibos initial weight'!$A$5:$A$2000,0)),"")</f>
        <v>2.1749999999999998</v>
      </c>
      <c r="K322">
        <f>IFERROR(INDEX('Green_rooibos initial weight'!$C$5:$C$2000,MATCH(I322, 'Green_rooibos initial weight'!$A$5:$A$2000,0)),"")</f>
        <v>2.2109999999999999</v>
      </c>
      <c r="L322" s="194">
        <f t="shared" si="29"/>
        <v>1.9251999999999998</v>
      </c>
      <c r="M322" s="194">
        <f t="shared" si="27"/>
        <v>1.9611999999999998</v>
      </c>
      <c r="N322" s="16">
        <f>IF('WetLitterbags placem_collection'!G29="","",'WetLitterbags placem_collection'!G29)</f>
        <v>42818</v>
      </c>
      <c r="O322" s="194">
        <f>IFERROR(INDEX('Both teabags AfterWet'!$C$3:$C$2000,MATCH(H322,'Both teabags AfterWet'!$A$3:$A$2000,0)),"")</f>
        <v>0.73760000000000003</v>
      </c>
      <c r="P322" s="194">
        <f>IFERROR(INDEX('Both teabags AfterWet'!$C$3:$C$2000,MATCH(I322,'Both teabags AfterWet'!$A$3:$A$2000,0)),"")</f>
        <v>1.5392999999999999</v>
      </c>
      <c r="Q322" s="194">
        <f t="shared" si="30"/>
        <v>0.58699999999999997</v>
      </c>
      <c r="R322" s="194">
        <f t="shared" si="30"/>
        <v>1.3886999999999998</v>
      </c>
      <c r="S322" s="194">
        <f t="shared" si="31"/>
        <v>0.69509661333887385</v>
      </c>
      <c r="T322" s="194">
        <f t="shared" si="32"/>
        <v>0.45569279164258719</v>
      </c>
      <c r="U322" s="194">
        <f t="shared" si="33"/>
        <v>0.70808688558025701</v>
      </c>
      <c r="V322">
        <f t="shared" si="28"/>
        <v>51</v>
      </c>
      <c r="W322" s="194">
        <f t="shared" si="34"/>
        <v>0.17446958035763194</v>
      </c>
      <c r="X322" s="194">
        <f t="shared" si="35"/>
        <v>2.0064642880268799E-2</v>
      </c>
      <c r="Y322" s="245" t="str">
        <f>IF(ISNUMBER(SEARCH("C",'WetLitterbags placem_collection'!$Y29)),"YES","NO")</f>
        <v>NO</v>
      </c>
      <c r="Z322" s="245" t="str">
        <f>IF(ISNUMBER(SEARCH("H", 'WetLitterbags placem_collection'!$Y29)),"YES","NO")</f>
        <v>NO</v>
      </c>
      <c r="AA322" s="245" t="str">
        <f>IF(ISNUMBER(SEARCH("R", 'WetLitterbags placem_collection'!$Y29)),"YES","NO")</f>
        <v>NO</v>
      </c>
      <c r="AB322" s="245" t="str">
        <f>IF(ISNUMBER(SEARCH("C", 'WetLitterbags placem_collection'!$W29)),"YES","NO")</f>
        <v>NO</v>
      </c>
      <c r="AC322" s="245" t="str">
        <f>IF(ISNUMBER(SEARCH("H", 'WetLitterbags placem_collection'!$W29)),"YES","NO")</f>
        <v>NO</v>
      </c>
      <c r="AD322" s="245" t="str">
        <f>IF(ISNUMBER(SEARCH("R", 'WetLitterbags placem_collection'!$W29)),"YES","NO")</f>
        <v>NO</v>
      </c>
    </row>
    <row r="323" spans="2:30">
      <c r="B323" t="str">
        <f>Wetseason!B469</f>
        <v>Wet</v>
      </c>
      <c r="C323" s="253">
        <f>Wetseason!C469</f>
        <v>28</v>
      </c>
      <c r="D323" t="s">
        <v>3105</v>
      </c>
      <c r="E323" t="s">
        <v>25</v>
      </c>
      <c r="F323" s="375">
        <v>4</v>
      </c>
      <c r="G323" s="16">
        <f>'WetLitterbags placem_collection'!E30</f>
        <v>42767</v>
      </c>
      <c r="H323" s="92" t="str">
        <f>Wetseason!L469</f>
        <v>G502</v>
      </c>
      <c r="I323" t="str">
        <f>Wetseason!L689</f>
        <v>R172</v>
      </c>
      <c r="J323">
        <f>IFERROR(INDEX('Green_rooibos initial weight'!$C$5:$C$2000,MATCH(H323, 'Green_rooibos initial weight'!$A$5:$A$2000,0)),"")</f>
        <v>1.929</v>
      </c>
      <c r="K323">
        <f>IFERROR(INDEX('Green_rooibos initial weight'!$C$5:$C$2000,MATCH(I323, 'Green_rooibos initial weight'!$A$5:$A$2000,0)),"")</f>
        <v>2.1520000000000001</v>
      </c>
      <c r="L323" s="194">
        <f t="shared" si="29"/>
        <v>1.6792</v>
      </c>
      <c r="M323" s="194">
        <f t="shared" si="27"/>
        <v>1.9022000000000001</v>
      </c>
      <c r="N323" s="16">
        <f>IF('WetLitterbags placem_collection'!G30="","",'WetLitterbags placem_collection'!G30)</f>
        <v>42818</v>
      </c>
      <c r="O323" s="194">
        <f>IFERROR(INDEX('Both teabags AfterWet'!$C$3:$C$2000,MATCH(H323,'Both teabags AfterWet'!$A$3:$A$2000,0)),"")</f>
        <v>0.60960000000000003</v>
      </c>
      <c r="P323" s="194">
        <f>IFERROR(INDEX('Both teabags AfterWet'!$C$3:$C$2000,MATCH(I323,'Both teabags AfterWet'!$A$3:$A$2000,0)),"")</f>
        <v>1.4665999999999999</v>
      </c>
      <c r="Q323" s="194">
        <f t="shared" si="30"/>
        <v>0.45900000000000002</v>
      </c>
      <c r="R323" s="194">
        <f t="shared" si="30"/>
        <v>1.3159999999999998</v>
      </c>
      <c r="S323" s="194">
        <f t="shared" si="31"/>
        <v>0.72665555026202955</v>
      </c>
      <c r="T323" s="194">
        <f t="shared" si="32"/>
        <v>0.47638226097938285</v>
      </c>
      <c r="U323" s="194">
        <f t="shared" si="33"/>
        <v>0.69183051203869195</v>
      </c>
      <c r="V323">
        <f t="shared" si="28"/>
        <v>51</v>
      </c>
      <c r="W323" s="194">
        <f t="shared" si="34"/>
        <v>0.13698865764604562</v>
      </c>
      <c r="X323" s="194">
        <f t="shared" si="35"/>
        <v>2.0411586609946564E-2</v>
      </c>
      <c r="Y323" s="245" t="str">
        <f>IF(ISNUMBER(SEARCH("C",'WetLitterbags placem_collection'!$Y30)),"YES","NO")</f>
        <v>NO</v>
      </c>
      <c r="Z323" s="245" t="str">
        <f>IF(ISNUMBER(SEARCH("H", 'WetLitterbags placem_collection'!$Y30)),"YES","NO")</f>
        <v>NO</v>
      </c>
      <c r="AA323" s="245" t="str">
        <f>IF(ISNUMBER(SEARCH("R", 'WetLitterbags placem_collection'!$Y30)),"YES","NO")</f>
        <v>NO</v>
      </c>
      <c r="AB323" s="245" t="str">
        <f>IF(ISNUMBER(SEARCH("C", 'WetLitterbags placem_collection'!$W30)),"YES","NO")</f>
        <v>NO</v>
      </c>
      <c r="AC323" s="245" t="str">
        <f>IF(ISNUMBER(SEARCH("H", 'WetLitterbags placem_collection'!$W30)),"YES","NO")</f>
        <v>NO</v>
      </c>
      <c r="AD323" s="245" t="str">
        <f>IF(ISNUMBER(SEARCH("R", 'WetLitterbags placem_collection'!$W30)),"YES","NO")</f>
        <v>NO</v>
      </c>
    </row>
    <row r="324" spans="2:30">
      <c r="B324" t="str">
        <f>Wetseason!B470</f>
        <v>Wet</v>
      </c>
      <c r="C324" s="253">
        <f>Wetseason!C470</f>
        <v>29</v>
      </c>
      <c r="D324" t="s">
        <v>3105</v>
      </c>
      <c r="E324" t="s">
        <v>25</v>
      </c>
      <c r="F324" s="375">
        <v>5</v>
      </c>
      <c r="G324" s="16">
        <f>'WetLitterbags placem_collection'!E31</f>
        <v>42767</v>
      </c>
      <c r="H324" s="92" t="str">
        <f>Wetseason!L470</f>
        <v>G345</v>
      </c>
      <c r="I324" t="str">
        <f>Wetseason!L690</f>
        <v>R349</v>
      </c>
      <c r="J324">
        <f>IFERROR(INDEX('Green_rooibos initial weight'!$C$5:$C$2000,MATCH(H324, 'Green_rooibos initial weight'!$A$5:$A$2000,0)),"")</f>
        <v>2.012</v>
      </c>
      <c r="K324">
        <f>IFERROR(INDEX('Green_rooibos initial weight'!$C$5:$C$2000,MATCH(I324, 'Green_rooibos initial weight'!$A$5:$A$2000,0)),"")</f>
        <v>2.2469999999999999</v>
      </c>
      <c r="L324" s="194">
        <f t="shared" si="29"/>
        <v>1.7622</v>
      </c>
      <c r="M324" s="194">
        <f t="shared" si="27"/>
        <v>1.9971999999999999</v>
      </c>
      <c r="N324" s="16">
        <f>IF('WetLitterbags placem_collection'!G31="","",'WetLitterbags placem_collection'!G31)</f>
        <v>42818</v>
      </c>
      <c r="O324" s="194">
        <f>IFERROR(INDEX('Both teabags AfterWet'!$C$3:$C$2000,MATCH(H324,'Both teabags AfterWet'!$A$3:$A$2000,0)),"")</f>
        <v>0.64829999999999999</v>
      </c>
      <c r="P324" s="194">
        <f>IFERROR(INDEX('Both teabags AfterWet'!$C$3:$C$2000,MATCH(I324,'Both teabags AfterWet'!$A$3:$A$2000,0)),"")</f>
        <v>1.4108000000000001</v>
      </c>
      <c r="Q324" s="194">
        <f t="shared" si="30"/>
        <v>0.49769999999999998</v>
      </c>
      <c r="R324" s="194">
        <f t="shared" si="30"/>
        <v>1.2602</v>
      </c>
      <c r="S324" s="194">
        <f t="shared" si="31"/>
        <v>0.71756894790602654</v>
      </c>
      <c r="T324" s="194">
        <f t="shared" si="32"/>
        <v>0.47042524850846401</v>
      </c>
      <c r="U324" s="194">
        <f t="shared" si="33"/>
        <v>0.63098337672741844</v>
      </c>
      <c r="V324">
        <f t="shared" si="28"/>
        <v>51</v>
      </c>
      <c r="W324" s="194">
        <f t="shared" si="34"/>
        <v>0.14778034690495656</v>
      </c>
      <c r="X324" s="194">
        <f t="shared" si="35"/>
        <v>3.0087821973664369E-2</v>
      </c>
      <c r="Y324" s="245" t="str">
        <f>IF(ISNUMBER(SEARCH("C",'WetLitterbags placem_collection'!$Y31)),"YES","NO")</f>
        <v>NO</v>
      </c>
      <c r="Z324" s="245" t="str">
        <f>IF(ISNUMBER(SEARCH("H", 'WetLitterbags placem_collection'!$Y31)),"YES","NO")</f>
        <v>NO</v>
      </c>
      <c r="AA324" s="245" t="str">
        <f>IF(ISNUMBER(SEARCH("R", 'WetLitterbags placem_collection'!$Y31)),"YES","NO")</f>
        <v>NO</v>
      </c>
      <c r="AB324" s="245" t="str">
        <f>IF(ISNUMBER(SEARCH("C", 'WetLitterbags placem_collection'!$W31)),"YES","NO")</f>
        <v>NO</v>
      </c>
      <c r="AC324" s="245" t="str">
        <f>IF(ISNUMBER(SEARCH("H", 'WetLitterbags placem_collection'!$W31)),"YES","NO")</f>
        <v>YES</v>
      </c>
      <c r="AD324" s="245" t="str">
        <f>IF(ISNUMBER(SEARCH("R", 'WetLitterbags placem_collection'!$W31)),"YES","NO")</f>
        <v>YES</v>
      </c>
    </row>
    <row r="325" spans="2:30">
      <c r="B325" t="str">
        <f>Wetseason!B471</f>
        <v>Wet</v>
      </c>
      <c r="C325" s="253">
        <f>Wetseason!C471</f>
        <v>30</v>
      </c>
      <c r="D325" t="s">
        <v>3105</v>
      </c>
      <c r="E325" t="s">
        <v>25</v>
      </c>
      <c r="F325" s="375">
        <v>6</v>
      </c>
      <c r="G325" s="16">
        <f>'WetLitterbags placem_collection'!E32</f>
        <v>42767</v>
      </c>
      <c r="H325" s="92" t="str">
        <f>Wetseason!L471</f>
        <v>G500</v>
      </c>
      <c r="I325" t="str">
        <f>Wetseason!L691</f>
        <v>R296</v>
      </c>
      <c r="J325">
        <f>IFERROR(INDEX('Green_rooibos initial weight'!$C$5:$C$2000,MATCH(H325, 'Green_rooibos initial weight'!$A$5:$A$2000,0)),"")</f>
        <v>2.0830000000000002</v>
      </c>
      <c r="K325">
        <f>IFERROR(INDEX('Green_rooibos initial weight'!$C$5:$C$2000,MATCH(I325, 'Green_rooibos initial weight'!$A$5:$A$2000,0)),"")</f>
        <v>2.226</v>
      </c>
      <c r="L325" s="194">
        <f t="shared" si="29"/>
        <v>1.8332000000000002</v>
      </c>
      <c r="M325" s="194">
        <f t="shared" si="27"/>
        <v>1.9762</v>
      </c>
      <c r="N325" s="16">
        <f>IF('WetLitterbags placem_collection'!G32="","",'WetLitterbags placem_collection'!G32)</f>
        <v>42818</v>
      </c>
      <c r="O325" s="194">
        <f>IFERROR(INDEX('Both teabags AfterWet'!$C$3:$C$2000,MATCH(H325,'Both teabags AfterWet'!$A$3:$A$2000,0)),"")</f>
        <v>0.61909999999999998</v>
      </c>
      <c r="P325" s="194">
        <f>IFERROR(INDEX('Both teabags AfterWet'!$C$3:$C$2000,MATCH(I325,'Both teabags AfterWet'!$A$3:$A$2000,0)),"")</f>
        <v>1.3653</v>
      </c>
      <c r="Q325" s="194">
        <f t="shared" si="30"/>
        <v>0.46849999999999997</v>
      </c>
      <c r="R325" s="194">
        <f t="shared" si="30"/>
        <v>1.2146999999999999</v>
      </c>
      <c r="S325" s="194">
        <f t="shared" si="31"/>
        <v>0.74443595897883486</v>
      </c>
      <c r="T325" s="194">
        <f t="shared" si="32"/>
        <v>0.48803877595762102</v>
      </c>
      <c r="U325" s="194">
        <f t="shared" si="33"/>
        <v>0.61466450764092695</v>
      </c>
      <c r="V325">
        <f t="shared" si="28"/>
        <v>51</v>
      </c>
      <c r="W325" s="194">
        <f t="shared" si="34"/>
        <v>0.11587178268546927</v>
      </c>
      <c r="X325" s="194">
        <f t="shared" si="35"/>
        <v>3.0559819068247507E-2</v>
      </c>
      <c r="Y325" s="245" t="str">
        <f>IF(ISNUMBER(SEARCH("C",'WetLitterbags placem_collection'!$Y32)),"YES","NO")</f>
        <v>NO</v>
      </c>
      <c r="Z325" s="245" t="str">
        <f>IF(ISNUMBER(SEARCH("H", 'WetLitterbags placem_collection'!$Y32)),"YES","NO")</f>
        <v>NO</v>
      </c>
      <c r="AA325" s="245" t="str">
        <f>IF(ISNUMBER(SEARCH("R", 'WetLitterbags placem_collection'!$Y32)),"YES","NO")</f>
        <v>NO</v>
      </c>
      <c r="AB325" s="245" t="str">
        <f>IF(ISNUMBER(SEARCH("C", 'WetLitterbags placem_collection'!$W32)),"YES","NO")</f>
        <v>NO</v>
      </c>
      <c r="AC325" s="245" t="str">
        <f>IF(ISNUMBER(SEARCH("H", 'WetLitterbags placem_collection'!$W32)),"YES","NO")</f>
        <v>NO</v>
      </c>
      <c r="AD325" s="245" t="str">
        <f>IF(ISNUMBER(SEARCH("R", 'WetLitterbags placem_collection'!$W32)),"YES","NO")</f>
        <v>YES</v>
      </c>
    </row>
    <row r="326" spans="2:30">
      <c r="B326" t="str">
        <f>Wetseason!B472</f>
        <v>Wet</v>
      </c>
      <c r="C326" s="253">
        <f>Wetseason!C472</f>
        <v>31</v>
      </c>
      <c r="D326" t="s">
        <v>3105</v>
      </c>
      <c r="E326" t="s">
        <v>25</v>
      </c>
      <c r="F326" s="375">
        <v>7</v>
      </c>
      <c r="G326" s="16">
        <f>'WetLitterbags placem_collection'!E33</f>
        <v>42767</v>
      </c>
      <c r="H326" s="92" t="str">
        <f>Wetseason!L472</f>
        <v>G521</v>
      </c>
      <c r="I326" t="str">
        <f>Wetseason!L692</f>
        <v>R323</v>
      </c>
      <c r="J326">
        <f>IFERROR(INDEX('Green_rooibos initial weight'!$C$5:$C$2000,MATCH(H326, 'Green_rooibos initial weight'!$A$5:$A$2000,0)),"")</f>
        <v>2.1709999999999998</v>
      </c>
      <c r="K326">
        <f>IFERROR(INDEX('Green_rooibos initial weight'!$C$5:$C$2000,MATCH(I326, 'Green_rooibos initial weight'!$A$5:$A$2000,0)),"")</f>
        <v>2.1949999999999998</v>
      </c>
      <c r="L326" s="194">
        <f t="shared" si="29"/>
        <v>1.9211999999999998</v>
      </c>
      <c r="M326" s="194">
        <f t="shared" si="27"/>
        <v>1.9451999999999998</v>
      </c>
      <c r="N326" s="16">
        <f>IF('WetLitterbags placem_collection'!G33="","",'WetLitterbags placem_collection'!G33)</f>
        <v>42818</v>
      </c>
      <c r="O326" s="194">
        <f>IFERROR(INDEX('Both teabags AfterWet'!$C$3:$C$2000,MATCH(H326,'Both teabags AfterWet'!$A$3:$A$2000,0)),"")</f>
        <v>0.71479999999999999</v>
      </c>
      <c r="P326" s="194">
        <f>IFERROR(INDEX('Both teabags AfterWet'!$C$3:$C$2000,MATCH(I326,'Both teabags AfterWet'!$A$3:$A$2000,0)),"")</f>
        <v>1.425</v>
      </c>
      <c r="Q326" s="194">
        <f t="shared" si="30"/>
        <v>0.56420000000000003</v>
      </c>
      <c r="R326" s="194">
        <f t="shared" si="30"/>
        <v>1.2744</v>
      </c>
      <c r="S326" s="194">
        <f t="shared" si="31"/>
        <v>0.70632937747241309</v>
      </c>
      <c r="T326" s="194">
        <f t="shared" si="32"/>
        <v>0.46305678903179581</v>
      </c>
      <c r="U326" s="194">
        <f t="shared" si="33"/>
        <v>0.65515114127082053</v>
      </c>
      <c r="V326">
        <f t="shared" si="28"/>
        <v>51</v>
      </c>
      <c r="W326" s="194">
        <f t="shared" si="34"/>
        <v>0.16112900537718156</v>
      </c>
      <c r="X326" s="194">
        <f t="shared" si="35"/>
        <v>2.6772637374528913E-2</v>
      </c>
      <c r="Y326" s="245" t="str">
        <f>IF(ISNUMBER(SEARCH("C",'WetLitterbags placem_collection'!$Y33)),"YES","NO")</f>
        <v>NO</v>
      </c>
      <c r="Z326" s="245" t="str">
        <f>IF(ISNUMBER(SEARCH("H", 'WetLitterbags placem_collection'!$Y33)),"YES","NO")</f>
        <v>NO</v>
      </c>
      <c r="AA326" s="245" t="str">
        <f>IF(ISNUMBER(SEARCH("R", 'WetLitterbags placem_collection'!$Y33)),"YES","NO")</f>
        <v>YES</v>
      </c>
      <c r="AB326" s="245" t="str">
        <f>IF(ISNUMBER(SEARCH("C", 'WetLitterbags placem_collection'!$W33)),"YES","NO")</f>
        <v>NO</v>
      </c>
      <c r="AC326" s="245" t="str">
        <f>IF(ISNUMBER(SEARCH("H", 'WetLitterbags placem_collection'!$W33)),"YES","NO")</f>
        <v>NO</v>
      </c>
      <c r="AD326" s="245" t="str">
        <f>IF(ISNUMBER(SEARCH("R", 'WetLitterbags placem_collection'!$W33)),"YES","NO")</f>
        <v>YES</v>
      </c>
    </row>
    <row r="327" spans="2:30">
      <c r="B327" t="str">
        <f>Wetseason!B473</f>
        <v>Wet</v>
      </c>
      <c r="C327" s="253">
        <f>Wetseason!C473</f>
        <v>32</v>
      </c>
      <c r="D327" t="s">
        <v>3105</v>
      </c>
      <c r="E327" t="s">
        <v>25</v>
      </c>
      <c r="F327" s="375">
        <v>8</v>
      </c>
      <c r="G327" s="16">
        <f>'WetLitterbags placem_collection'!E34</f>
        <v>42767</v>
      </c>
      <c r="H327" s="92" t="str">
        <f>Wetseason!L473</f>
        <v>G201</v>
      </c>
      <c r="I327" t="str">
        <f>Wetseason!L693</f>
        <v>R156</v>
      </c>
      <c r="J327">
        <f>IFERROR(INDEX('Green_rooibos initial weight'!$C$5:$C$2000,MATCH(H327, 'Green_rooibos initial weight'!$A$5:$A$2000,0)),"")</f>
        <v>2.2370000000000001</v>
      </c>
      <c r="K327">
        <f>IFERROR(INDEX('Green_rooibos initial weight'!$C$5:$C$2000,MATCH(I327, 'Green_rooibos initial weight'!$A$5:$A$2000,0)),"")</f>
        <v>2.246</v>
      </c>
      <c r="L327" s="194">
        <f t="shared" si="29"/>
        <v>1.9872000000000001</v>
      </c>
      <c r="M327" s="194">
        <f t="shared" si="27"/>
        <v>1.9962</v>
      </c>
      <c r="N327" s="16">
        <f>IF('WetLitterbags placem_collection'!G34="","",'WetLitterbags placem_collection'!G34)</f>
        <v>42818</v>
      </c>
      <c r="O327" s="194" t="str">
        <f>IFERROR(INDEX('Both teabags AfterWet'!$C$3:$C$2000,MATCH(H327,'Both teabags AfterWet'!$A$3:$A$2000,0)),"")</f>
        <v/>
      </c>
      <c r="P327" s="194">
        <f>IFERROR(INDEX('Both teabags AfterWet'!$C$3:$C$2000,MATCH(I327,'Both teabags AfterWet'!$A$3:$A$2000,0)),"")</f>
        <v>1.2625999999999999</v>
      </c>
      <c r="Q327" s="194" t="str">
        <f t="shared" si="30"/>
        <v/>
      </c>
      <c r="R327" s="194">
        <f t="shared" si="30"/>
        <v>1.1119999999999999</v>
      </c>
      <c r="S327" s="194" t="str">
        <f t="shared" si="31"/>
        <v/>
      </c>
      <c r="T327" s="194" t="str">
        <f t="shared" si="32"/>
        <v/>
      </c>
      <c r="U327" s="194">
        <f t="shared" si="33"/>
        <v>0.55705841098086362</v>
      </c>
      <c r="V327">
        <f t="shared" si="28"/>
        <v>51</v>
      </c>
      <c r="W327" s="194" t="str">
        <f t="shared" si="34"/>
        <v/>
      </c>
      <c r="X327" s="194" t="str">
        <f t="shared" si="35"/>
        <v/>
      </c>
      <c r="Y327" s="245" t="str">
        <f>IF(ISNUMBER(SEARCH("C",'WetLitterbags placem_collection'!$Y34)),"YES","NO")</f>
        <v>NO</v>
      </c>
      <c r="Z327" s="245" t="str">
        <f>IF(ISNUMBER(SEARCH("H", 'WetLitterbags placem_collection'!$Y34)),"YES","NO")</f>
        <v>NO</v>
      </c>
      <c r="AA327" s="245" t="str">
        <f>IF(ISNUMBER(SEARCH("R", 'WetLitterbags placem_collection'!$Y34)),"YES","NO")</f>
        <v>YES</v>
      </c>
      <c r="AB327" s="245" t="str">
        <f>IF(ISNUMBER(SEARCH("C", 'WetLitterbags placem_collection'!$W34)),"YES","NO")</f>
        <v>NO</v>
      </c>
      <c r="AC327" s="245" t="str">
        <f>IF(ISNUMBER(SEARCH("H", 'WetLitterbags placem_collection'!$W34)),"YES","NO")</f>
        <v>NO</v>
      </c>
      <c r="AD327" s="245" t="str">
        <f>IF(ISNUMBER(SEARCH("R", 'WetLitterbags placem_collection'!$W34)),"YES","NO")</f>
        <v>YES</v>
      </c>
    </row>
    <row r="328" spans="2:30">
      <c r="B328" t="str">
        <f>Wetseason!B474</f>
        <v>Wet</v>
      </c>
      <c r="C328" s="253">
        <f>Wetseason!C474</f>
        <v>33</v>
      </c>
      <c r="D328" t="s">
        <v>3106</v>
      </c>
      <c r="E328" t="s">
        <v>25</v>
      </c>
      <c r="F328" s="374">
        <v>1</v>
      </c>
      <c r="G328" s="16">
        <f>'WetLitterbags placem_collection'!E35</f>
        <v>42765</v>
      </c>
      <c r="H328" s="92" t="str">
        <f>Wetseason!L474</f>
        <v>G556</v>
      </c>
      <c r="I328" t="str">
        <f>Wetseason!L694</f>
        <v>R452</v>
      </c>
      <c r="J328">
        <f>IFERROR(INDEX('Green_rooibos initial weight'!$C$5:$C$2000,MATCH(H328, 'Green_rooibos initial weight'!$A$5:$A$2000,0)),"")</f>
        <v>2.0329999999999999</v>
      </c>
      <c r="K328">
        <f>IFERROR(INDEX('Green_rooibos initial weight'!$C$5:$C$2000,MATCH(I328, 'Green_rooibos initial weight'!$A$5:$A$2000,0)),"")</f>
        <v>2.2320000000000002</v>
      </c>
      <c r="L328" s="194">
        <f t="shared" si="29"/>
        <v>1.7831999999999999</v>
      </c>
      <c r="M328" s="194">
        <f t="shared" si="27"/>
        <v>1.9822000000000002</v>
      </c>
      <c r="N328" s="16">
        <f>IF('WetLitterbags placem_collection'!G35="","",'WetLitterbags placem_collection'!G35)</f>
        <v>42820</v>
      </c>
      <c r="O328" s="194">
        <f>IFERROR(INDEX('Both teabags AfterWet'!$C$3:$C$2000,MATCH(H328,'Both teabags AfterWet'!$A$3:$A$2000,0)),"")</f>
        <v>0.64400000000000002</v>
      </c>
      <c r="P328" s="194">
        <f>IFERROR(INDEX('Both teabags AfterWet'!$C$3:$C$2000,MATCH(I328,'Both teabags AfterWet'!$A$3:$A$2000,0)),"")</f>
        <v>1.6020000000000001</v>
      </c>
      <c r="Q328" s="194">
        <f t="shared" si="30"/>
        <v>0.49340000000000001</v>
      </c>
      <c r="R328" s="194">
        <f t="shared" si="30"/>
        <v>1.4514</v>
      </c>
      <c r="S328" s="194">
        <f t="shared" si="31"/>
        <v>0.72330641543292962</v>
      </c>
      <c r="T328" s="194">
        <f t="shared" si="32"/>
        <v>0.47418662864486605</v>
      </c>
      <c r="U328" s="194">
        <f t="shared" si="33"/>
        <v>0.7322167288870951</v>
      </c>
      <c r="V328">
        <f t="shared" si="28"/>
        <v>55</v>
      </c>
      <c r="W328" s="194">
        <f t="shared" si="34"/>
        <v>0.14096625245495287</v>
      </c>
      <c r="X328" s="194">
        <f t="shared" si="35"/>
        <v>1.5123066816985622E-2</v>
      </c>
      <c r="Y328" s="245" t="str">
        <f>IF(ISNUMBER(SEARCH("C",'WetLitterbags placem_collection'!$Y35)),"YES","NO")</f>
        <v>NO</v>
      </c>
      <c r="Z328" s="245" t="str">
        <f>IF(ISNUMBER(SEARCH("H", 'WetLitterbags placem_collection'!$Y35)),"YES","NO")</f>
        <v>NO</v>
      </c>
      <c r="AA328" s="245" t="str">
        <f>IF(ISNUMBER(SEARCH("R", 'WetLitterbags placem_collection'!$Y35)),"YES","NO")</f>
        <v>YES</v>
      </c>
      <c r="AB328" s="245" t="str">
        <f>IF(ISNUMBER(SEARCH("C", 'WetLitterbags placem_collection'!$W35)),"YES","NO")</f>
        <v>YES</v>
      </c>
      <c r="AC328" s="245" t="str">
        <f>IF(ISNUMBER(SEARCH("H", 'WetLitterbags placem_collection'!$W35)),"YES","NO")</f>
        <v>YES</v>
      </c>
      <c r="AD328" s="245" t="str">
        <f>IF(ISNUMBER(SEARCH("R", 'WetLitterbags placem_collection'!$W35)),"YES","NO")</f>
        <v>NO</v>
      </c>
    </row>
    <row r="329" spans="2:30">
      <c r="B329" t="str">
        <f>Wetseason!B475</f>
        <v>Wet</v>
      </c>
      <c r="C329" s="253">
        <f>Wetseason!C475</f>
        <v>34</v>
      </c>
      <c r="D329" t="s">
        <v>3106</v>
      </c>
      <c r="E329" t="s">
        <v>25</v>
      </c>
      <c r="F329" s="374">
        <v>2</v>
      </c>
      <c r="G329" s="16">
        <f>'WetLitterbags placem_collection'!E36</f>
        <v>42765</v>
      </c>
      <c r="H329" s="92" t="str">
        <f>Wetseason!L475</f>
        <v>G649</v>
      </c>
      <c r="I329" t="str">
        <f>Wetseason!L695</f>
        <v>R24</v>
      </c>
      <c r="J329">
        <f>IFERROR(INDEX('Green_rooibos initial weight'!$C$5:$C$2000,MATCH(H329, 'Green_rooibos initial weight'!$A$5:$A$2000,0)),"")</f>
        <v>2.1379999999999999</v>
      </c>
      <c r="K329">
        <f>IFERROR(INDEX('Green_rooibos initial weight'!$C$5:$C$2000,MATCH(I329, 'Green_rooibos initial weight'!$A$5:$A$2000,0)),"")</f>
        <v>2.14</v>
      </c>
      <c r="L329" s="194">
        <f t="shared" si="29"/>
        <v>1.8881999999999999</v>
      </c>
      <c r="M329" s="194">
        <f t="shared" si="27"/>
        <v>1.8902000000000001</v>
      </c>
      <c r="N329" s="16">
        <f>IF('WetLitterbags placem_collection'!G36="","",'WetLitterbags placem_collection'!G36)</f>
        <v>42820</v>
      </c>
      <c r="O329" s="194">
        <f>IFERROR(INDEX('Both teabags AfterWet'!$C$3:$C$2000,MATCH(H329,'Both teabags AfterWet'!$A$3:$A$2000,0)),"")</f>
        <v>0.80259999999999998</v>
      </c>
      <c r="P329" s="194">
        <f>IFERROR(INDEX('Both teabags AfterWet'!$C$3:$C$2000,MATCH(I329,'Both teabags AfterWet'!$A$3:$A$2000,0)),"")</f>
        <v>1.4662999999999999</v>
      </c>
      <c r="Q329" s="194">
        <f t="shared" si="30"/>
        <v>0.65199999999999991</v>
      </c>
      <c r="R329" s="194">
        <f t="shared" si="30"/>
        <v>1.3156999999999999</v>
      </c>
      <c r="S329" s="194">
        <f t="shared" si="31"/>
        <v>0.65469759559368712</v>
      </c>
      <c r="T329" s="194">
        <f t="shared" si="32"/>
        <v>0.42920792490227477</v>
      </c>
      <c r="U329" s="194">
        <f t="shared" si="33"/>
        <v>0.69606390858110245</v>
      </c>
      <c r="V329">
        <f t="shared" si="28"/>
        <v>55</v>
      </c>
      <c r="W329" s="194">
        <f t="shared" si="34"/>
        <v>0.2224494114089226</v>
      </c>
      <c r="X329" s="194">
        <f t="shared" si="35"/>
        <v>2.2390098744399255E-2</v>
      </c>
      <c r="Y329" s="245" t="str">
        <f>IF(ISNUMBER(SEARCH("C",'WetLitterbags placem_collection'!$Y36)),"YES","NO")</f>
        <v>NO</v>
      </c>
      <c r="Z329" s="245" t="str">
        <f>IF(ISNUMBER(SEARCH("H", 'WetLitterbags placem_collection'!$Y36)),"YES","NO")</f>
        <v>NO</v>
      </c>
      <c r="AA329" s="245" t="str">
        <f>IF(ISNUMBER(SEARCH("R", 'WetLitterbags placem_collection'!$Y36)),"YES","NO")</f>
        <v>YES</v>
      </c>
      <c r="AB329" s="245" t="str">
        <f>IF(ISNUMBER(SEARCH("C", 'WetLitterbags placem_collection'!$W36)),"YES","NO")</f>
        <v>YES</v>
      </c>
      <c r="AC329" s="245" t="str">
        <f>IF(ISNUMBER(SEARCH("H", 'WetLitterbags placem_collection'!$W36)),"YES","NO")</f>
        <v>YES</v>
      </c>
      <c r="AD329" s="245" t="str">
        <f>IF(ISNUMBER(SEARCH("R", 'WetLitterbags placem_collection'!$W36)),"YES","NO")</f>
        <v>NO</v>
      </c>
    </row>
    <row r="330" spans="2:30">
      <c r="B330" t="str">
        <f>Wetseason!B476</f>
        <v>Wet</v>
      </c>
      <c r="C330" s="253">
        <f>Wetseason!C476</f>
        <v>35</v>
      </c>
      <c r="D330" t="s">
        <v>3106</v>
      </c>
      <c r="E330" t="s">
        <v>25</v>
      </c>
      <c r="F330" s="374">
        <v>3</v>
      </c>
      <c r="G330" s="16">
        <f>'WetLitterbags placem_collection'!E37</f>
        <v>42765</v>
      </c>
      <c r="H330" s="92" t="str">
        <f>Wetseason!L476</f>
        <v>G732</v>
      </c>
      <c r="I330" t="str">
        <f>Wetseason!L696</f>
        <v>R69</v>
      </c>
      <c r="J330">
        <f>IFERROR(INDEX('Green_rooibos initial weight'!$C$5:$C$2000,MATCH(H330, 'Green_rooibos initial weight'!$A$5:$A$2000,0)),"")</f>
        <v>2.0880000000000001</v>
      </c>
      <c r="K330">
        <f>IFERROR(INDEX('Green_rooibos initial weight'!$C$5:$C$2000,MATCH(I330, 'Green_rooibos initial weight'!$A$5:$A$2000,0)),"")</f>
        <v>2.2149999999999999</v>
      </c>
      <c r="L330" s="194">
        <f t="shared" si="29"/>
        <v>1.8382000000000001</v>
      </c>
      <c r="M330" s="194">
        <f t="shared" si="27"/>
        <v>1.9651999999999998</v>
      </c>
      <c r="N330" s="16">
        <f>IF('WetLitterbags placem_collection'!G37="","",'WetLitterbags placem_collection'!G37)</f>
        <v>42820</v>
      </c>
      <c r="O330" s="194">
        <f>IFERROR(INDEX('Both teabags AfterWet'!$C$3:$C$2000,MATCH(H330,'Both teabags AfterWet'!$A$3:$A$2000,0)),"")</f>
        <v>0.71699999999999997</v>
      </c>
      <c r="P330" s="194">
        <f>IFERROR(INDEX('Both teabags AfterWet'!$C$3:$C$2000,MATCH(I330,'Both teabags AfterWet'!$A$3:$A$2000,0)),"")</f>
        <v>1.498</v>
      </c>
      <c r="Q330" s="194">
        <f t="shared" si="30"/>
        <v>0.56640000000000001</v>
      </c>
      <c r="R330" s="194">
        <f t="shared" si="30"/>
        <v>1.3473999999999999</v>
      </c>
      <c r="S330" s="194">
        <f t="shared" si="31"/>
        <v>0.69187248395169187</v>
      </c>
      <c r="T330" s="194">
        <f t="shared" si="32"/>
        <v>0.45357911061916145</v>
      </c>
      <c r="U330" s="194">
        <f t="shared" si="33"/>
        <v>0.68562996132709142</v>
      </c>
      <c r="V330">
        <f t="shared" si="28"/>
        <v>55</v>
      </c>
      <c r="W330" s="194">
        <f t="shared" si="34"/>
        <v>0.1782987126464467</v>
      </c>
      <c r="X330" s="194">
        <f t="shared" si="35"/>
        <v>2.1476232384032914E-2</v>
      </c>
      <c r="Y330" s="245" t="str">
        <f>IF(ISNUMBER(SEARCH("C",'WetLitterbags placem_collection'!$Y37)),"YES","NO")</f>
        <v>NO</v>
      </c>
      <c r="Z330" s="245" t="str">
        <f>IF(ISNUMBER(SEARCH("H", 'WetLitterbags placem_collection'!$Y37)),"YES","NO")</f>
        <v>NO</v>
      </c>
      <c r="AA330" s="245" t="str">
        <f>IF(ISNUMBER(SEARCH("R", 'WetLitterbags placem_collection'!$Y37)),"YES","NO")</f>
        <v>YES</v>
      </c>
      <c r="AB330" s="245" t="str">
        <f>IF(ISNUMBER(SEARCH("C", 'WetLitterbags placem_collection'!$W37)),"YES","NO")</f>
        <v>NO</v>
      </c>
      <c r="AC330" s="245" t="str">
        <f>IF(ISNUMBER(SEARCH("H", 'WetLitterbags placem_collection'!$W37)),"YES","NO")</f>
        <v>NO</v>
      </c>
      <c r="AD330" s="245" t="str">
        <f>IF(ISNUMBER(SEARCH("R", 'WetLitterbags placem_collection'!$W37)),"YES","NO")</f>
        <v>NO</v>
      </c>
    </row>
    <row r="331" spans="2:30">
      <c r="B331" t="str">
        <f>Wetseason!B477</f>
        <v>Wet</v>
      </c>
      <c r="C331" s="253">
        <f>Wetseason!C477</f>
        <v>36</v>
      </c>
      <c r="D331" t="s">
        <v>3106</v>
      </c>
      <c r="E331" t="s">
        <v>25</v>
      </c>
      <c r="F331" s="375">
        <v>4</v>
      </c>
      <c r="G331" s="16">
        <f>'WetLitterbags placem_collection'!E38</f>
        <v>42765</v>
      </c>
      <c r="H331" s="92" t="str">
        <f>Wetseason!L477</f>
        <v>G550</v>
      </c>
      <c r="I331" t="str">
        <f>Wetseason!L697</f>
        <v>R97</v>
      </c>
      <c r="J331">
        <f>IFERROR(INDEX('Green_rooibos initial weight'!$C$5:$C$2000,MATCH(H331, 'Green_rooibos initial weight'!$A$5:$A$2000,0)),"")</f>
        <v>2.097</v>
      </c>
      <c r="K331">
        <f>IFERROR(INDEX('Green_rooibos initial weight'!$C$5:$C$2000,MATCH(I331, 'Green_rooibos initial weight'!$A$5:$A$2000,0)),"")</f>
        <v>2.2959999999999998</v>
      </c>
      <c r="L331" s="194">
        <f t="shared" si="29"/>
        <v>1.8472</v>
      </c>
      <c r="M331" s="194">
        <f t="shared" si="27"/>
        <v>2.0461999999999998</v>
      </c>
      <c r="N331" s="16">
        <f>IF('WetLitterbags placem_collection'!G38="","",'WetLitterbags placem_collection'!G38)</f>
        <v>42820</v>
      </c>
      <c r="O331" s="194">
        <f>IFERROR(INDEX('Both teabags AfterWet'!$C$3:$C$2000,MATCH(H331,'Both teabags AfterWet'!$A$3:$A$2000,0)),"")</f>
        <v>0.72199999999999998</v>
      </c>
      <c r="P331" s="194">
        <f>IFERROR(INDEX('Both teabags AfterWet'!$C$3:$C$2000,MATCH(I331,'Both teabags AfterWet'!$A$3:$A$2000,0)),"")</f>
        <v>1.671</v>
      </c>
      <c r="Q331" s="194">
        <f t="shared" si="30"/>
        <v>0.57139999999999991</v>
      </c>
      <c r="R331" s="194">
        <f t="shared" si="30"/>
        <v>1.5204</v>
      </c>
      <c r="S331" s="194">
        <f t="shared" si="31"/>
        <v>0.69066695539194467</v>
      </c>
      <c r="T331" s="194">
        <f t="shared" si="32"/>
        <v>0.452788787857902</v>
      </c>
      <c r="U331" s="194">
        <f t="shared" si="33"/>
        <v>0.74303587137132254</v>
      </c>
      <c r="V331">
        <f t="shared" si="28"/>
        <v>55</v>
      </c>
      <c r="W331" s="194">
        <f t="shared" si="34"/>
        <v>0.17973045677916311</v>
      </c>
      <c r="X331" s="194">
        <f t="shared" si="35"/>
        <v>1.5240110940233179E-2</v>
      </c>
      <c r="Y331" s="245" t="str">
        <f>IF(ISNUMBER(SEARCH("C",'WetLitterbags placem_collection'!$Y38)),"YES","NO")</f>
        <v>NO</v>
      </c>
      <c r="Z331" s="245" t="str">
        <f>IF(ISNUMBER(SEARCH("H", 'WetLitterbags placem_collection'!$Y38)),"YES","NO")</f>
        <v>NO</v>
      </c>
      <c r="AA331" s="245" t="str">
        <f>IF(ISNUMBER(SEARCH("R", 'WetLitterbags placem_collection'!$Y38)),"YES","NO")</f>
        <v>YES</v>
      </c>
      <c r="AB331" s="245" t="str">
        <f>IF(ISNUMBER(SEARCH("C", 'WetLitterbags placem_collection'!$W38)),"YES","NO")</f>
        <v>YES</v>
      </c>
      <c r="AC331" s="245" t="str">
        <f>IF(ISNUMBER(SEARCH("H", 'WetLitterbags placem_collection'!$W38)),"YES","NO")</f>
        <v>NO</v>
      </c>
      <c r="AD331" s="245" t="str">
        <f>IF(ISNUMBER(SEARCH("R", 'WetLitterbags placem_collection'!$W38)),"YES","NO")</f>
        <v>YES</v>
      </c>
    </row>
    <row r="332" spans="2:30">
      <c r="B332" t="str">
        <f>Wetseason!B478</f>
        <v>Wet</v>
      </c>
      <c r="C332" s="253">
        <f>Wetseason!C478</f>
        <v>37</v>
      </c>
      <c r="D332" t="s">
        <v>3106</v>
      </c>
      <c r="E332" t="s">
        <v>25</v>
      </c>
      <c r="F332" s="375">
        <v>5</v>
      </c>
      <c r="G332" s="16">
        <f>'WetLitterbags placem_collection'!E39</f>
        <v>42765</v>
      </c>
      <c r="H332" s="92" t="str">
        <f>Wetseason!L478</f>
        <v>G528</v>
      </c>
      <c r="I332" t="str">
        <f>Wetseason!L698</f>
        <v>R89</v>
      </c>
      <c r="J332">
        <f>IFERROR(INDEX('Green_rooibos initial weight'!$C$5:$C$2000,MATCH(H332, 'Green_rooibos initial weight'!$A$5:$A$2000,0)),"")</f>
        <v>2.14</v>
      </c>
      <c r="K332">
        <f>IFERROR(INDEX('Green_rooibos initial weight'!$C$5:$C$2000,MATCH(I332, 'Green_rooibos initial weight'!$A$5:$A$2000,0)),"")</f>
        <v>2.1949999999999998</v>
      </c>
      <c r="L332" s="194">
        <f t="shared" si="29"/>
        <v>1.8902000000000001</v>
      </c>
      <c r="M332" s="194">
        <f t="shared" ref="M332:M395" si="36">IF(K332&gt;0,(K332*$F$32-($F$29+$F$30)),"")</f>
        <v>1.9451999999999998</v>
      </c>
      <c r="N332" s="16">
        <f>IF('WetLitterbags placem_collection'!G39="","",'WetLitterbags placem_collection'!G39)</f>
        <v>42820</v>
      </c>
      <c r="O332" s="194">
        <f>IFERROR(INDEX('Both teabags AfterWet'!$C$3:$C$2000,MATCH(H332,'Both teabags AfterWet'!$A$3:$A$2000,0)),"")</f>
        <v>0.89600000000000002</v>
      </c>
      <c r="P332" s="194">
        <f>IFERROR(INDEX('Both teabags AfterWet'!$C$3:$C$2000,MATCH(I332,'Both teabags AfterWet'!$A$3:$A$2000,0)),"")</f>
        <v>1.425</v>
      </c>
      <c r="Q332" s="194">
        <f t="shared" si="30"/>
        <v>0.74540000000000006</v>
      </c>
      <c r="R332" s="194">
        <f t="shared" si="30"/>
        <v>1.2744</v>
      </c>
      <c r="S332" s="194">
        <f t="shared" si="31"/>
        <v>0.60565019574648182</v>
      </c>
      <c r="T332" s="194">
        <f t="shared" si="32"/>
        <v>0.39705333497869122</v>
      </c>
      <c r="U332" s="194">
        <f t="shared" si="33"/>
        <v>0.65515114127082053</v>
      </c>
      <c r="V332">
        <f t="shared" ref="V332:V395" si="37">IFERROR(IF((N332-G332)&gt;0,(IFERROR(N332-G332,"")),""),"")</f>
        <v>55</v>
      </c>
      <c r="W332" s="194">
        <f t="shared" si="34"/>
        <v>0.28070048011106674</v>
      </c>
      <c r="X332" s="194">
        <f t="shared" si="35"/>
        <v>3.6889134065085948E-2</v>
      </c>
      <c r="Y332" s="245" t="str">
        <f>IF(ISNUMBER(SEARCH("C",'WetLitterbags placem_collection'!$Y39)),"YES","NO")</f>
        <v>NO</v>
      </c>
      <c r="Z332" s="245" t="str">
        <f>IF(ISNUMBER(SEARCH("H", 'WetLitterbags placem_collection'!$Y39)),"YES","NO")</f>
        <v>NO</v>
      </c>
      <c r="AA332" s="245" t="str">
        <f>IF(ISNUMBER(SEARCH("R", 'WetLitterbags placem_collection'!$Y39)),"YES","NO")</f>
        <v>YES</v>
      </c>
      <c r="AB332" s="245" t="str">
        <f>IF(ISNUMBER(SEARCH("C", 'WetLitterbags placem_collection'!$W39)),"YES","NO")</f>
        <v>YES</v>
      </c>
      <c r="AC332" s="245" t="str">
        <f>IF(ISNUMBER(SEARCH("H", 'WetLitterbags placem_collection'!$W39)),"YES","NO")</f>
        <v>YES</v>
      </c>
      <c r="AD332" s="245" t="str">
        <f>IF(ISNUMBER(SEARCH("R", 'WetLitterbags placem_collection'!$W39)),"YES","NO")</f>
        <v>YES</v>
      </c>
    </row>
    <row r="333" spans="2:30">
      <c r="B333" t="str">
        <f>Wetseason!B479</f>
        <v>Wet</v>
      </c>
      <c r="C333" s="253">
        <f>Wetseason!C479</f>
        <v>38</v>
      </c>
      <c r="D333" t="s">
        <v>3106</v>
      </c>
      <c r="E333" t="s">
        <v>25</v>
      </c>
      <c r="F333" s="375">
        <v>6</v>
      </c>
      <c r="G333" s="16">
        <f>'WetLitterbags placem_collection'!E40</f>
        <v>42765</v>
      </c>
      <c r="H333" s="92" t="str">
        <f>Wetseason!L479</f>
        <v>G703</v>
      </c>
      <c r="I333" t="str">
        <f>Wetseason!L699</f>
        <v>R147</v>
      </c>
      <c r="J333">
        <f>IFERROR(INDEX('Green_rooibos initial weight'!$C$5:$C$2000,MATCH(H333, 'Green_rooibos initial weight'!$A$5:$A$2000,0)),"")</f>
        <v>1.9159999999999999</v>
      </c>
      <c r="K333">
        <f>IFERROR(INDEX('Green_rooibos initial weight'!$C$5:$C$2000,MATCH(I333, 'Green_rooibos initial weight'!$A$5:$A$2000,0)),"")</f>
        <v>2.1960000000000002</v>
      </c>
      <c r="L333" s="194">
        <f t="shared" ref="L333:L396" si="38">IF(J333&gt;0,(J333*$F$31-($F$29+$F$30)),"")</f>
        <v>1.6661999999999999</v>
      </c>
      <c r="M333" s="194">
        <f t="shared" si="36"/>
        <v>1.9462000000000002</v>
      </c>
      <c r="N333" s="16">
        <f>IF('WetLitterbags placem_collection'!G40="","",'WetLitterbags placem_collection'!G40)</f>
        <v>42820</v>
      </c>
      <c r="O333" s="194">
        <f>IFERROR(INDEX('Both teabags AfterWet'!$C$3:$C$2000,MATCH(H333,'Both teabags AfterWet'!$A$3:$A$2000,0)),"")</f>
        <v>0.81899999999999995</v>
      </c>
      <c r="P333" s="194">
        <f>IFERROR(INDEX('Both teabags AfterWet'!$C$3:$C$2000,MATCH(I333,'Both teabags AfterWet'!$A$3:$A$2000,0)),"")</f>
        <v>1.381</v>
      </c>
      <c r="Q333" s="194">
        <f t="shared" ref="Q333:R396" si="39">IFERROR(IF(O333&gt;0,O333-($F$29),""),"")</f>
        <v>0.66839999999999988</v>
      </c>
      <c r="R333" s="194">
        <f t="shared" si="39"/>
        <v>1.2303999999999999</v>
      </c>
      <c r="S333" s="194">
        <f t="shared" ref="S333:S396" si="40">IFERROR(1-Q333/L333,"")</f>
        <v>0.59884767734965794</v>
      </c>
      <c r="T333" s="194">
        <f t="shared" ref="T333:T396" si="41">IFERROR($F$26*(1-W333),"")</f>
        <v>0.39259372671854065</v>
      </c>
      <c r="U333" s="194">
        <f t="shared" ref="U333:U396" si="42">IFERROR(R333/M333,"")</f>
        <v>0.63220635083752952</v>
      </c>
      <c r="V333">
        <f t="shared" si="37"/>
        <v>55</v>
      </c>
      <c r="W333" s="194">
        <f t="shared" ref="W333:W396" si="43">IFERROR(1-(S333/$F$25),"")</f>
        <v>0.28877948058235392</v>
      </c>
      <c r="X333" s="194">
        <f t="shared" ref="X333:X396" si="44">IFERROR(LN(T333/(U333-(1-T333)))/V333,"")</f>
        <v>5.0216882226838067E-2</v>
      </c>
      <c r="Y333" s="245" t="str">
        <f>IF(ISNUMBER(SEARCH("C",'WetLitterbags placem_collection'!$Y40)),"YES","NO")</f>
        <v>NO</v>
      </c>
      <c r="Z333" s="245" t="str">
        <f>IF(ISNUMBER(SEARCH("H", 'WetLitterbags placem_collection'!$Y40)),"YES","NO")</f>
        <v>NO</v>
      </c>
      <c r="AA333" s="245" t="str">
        <f>IF(ISNUMBER(SEARCH("R", 'WetLitterbags placem_collection'!$Y40)),"YES","NO")</f>
        <v>NO</v>
      </c>
      <c r="AB333" s="245" t="str">
        <f>IF(ISNUMBER(SEARCH("C", 'WetLitterbags placem_collection'!$W40)),"YES","NO")</f>
        <v>YES</v>
      </c>
      <c r="AC333" s="245" t="str">
        <f>IF(ISNUMBER(SEARCH("H", 'WetLitterbags placem_collection'!$W40)),"YES","NO")</f>
        <v>YES</v>
      </c>
      <c r="AD333" s="245" t="str">
        <f>IF(ISNUMBER(SEARCH("R", 'WetLitterbags placem_collection'!$W40)),"YES","NO")</f>
        <v>NO</v>
      </c>
    </row>
    <row r="334" spans="2:30">
      <c r="B334" t="str">
        <f>Wetseason!B480</f>
        <v>Wet</v>
      </c>
      <c r="C334" s="253">
        <f>Wetseason!C480</f>
        <v>39</v>
      </c>
      <c r="D334" t="s">
        <v>3106</v>
      </c>
      <c r="E334" t="s">
        <v>25</v>
      </c>
      <c r="F334" s="375">
        <v>7</v>
      </c>
      <c r="G334" s="16">
        <f>'WetLitterbags placem_collection'!E41</f>
        <v>42765</v>
      </c>
      <c r="H334" s="92" t="str">
        <f>Wetseason!L480</f>
        <v>G566</v>
      </c>
      <c r="I334" t="str">
        <f>Wetseason!L700</f>
        <v>R65</v>
      </c>
      <c r="J334">
        <f>IFERROR(INDEX('Green_rooibos initial weight'!$C$5:$C$2000,MATCH(H334, 'Green_rooibos initial weight'!$A$5:$A$2000,0)),"")</f>
        <v>2.0449999999999999</v>
      </c>
      <c r="K334">
        <f>IFERROR(INDEX('Green_rooibos initial weight'!$C$5:$C$2000,MATCH(I334, 'Green_rooibos initial weight'!$A$5:$A$2000,0)),"")</f>
        <v>2.2559999999999998</v>
      </c>
      <c r="L334" s="194">
        <f t="shared" si="38"/>
        <v>1.7951999999999999</v>
      </c>
      <c r="M334" s="194">
        <f t="shared" si="36"/>
        <v>2.0061999999999998</v>
      </c>
      <c r="N334" s="16">
        <f>IF('WetLitterbags placem_collection'!G41="","",'WetLitterbags placem_collection'!G41)</f>
        <v>42820</v>
      </c>
      <c r="O334" s="194">
        <f>IFERROR(INDEX('Both teabags AfterWet'!$C$3:$C$2000,MATCH(H334,'Both teabags AfterWet'!$A$3:$A$2000,0)),"")</f>
        <v>0.78520000000000001</v>
      </c>
      <c r="P334" s="194">
        <f>IFERROR(INDEX('Both teabags AfterWet'!$C$3:$C$2000,MATCH(I334,'Both teabags AfterWet'!$A$3:$A$2000,0)),"")</f>
        <v>1.5185</v>
      </c>
      <c r="Q334" s="194">
        <f t="shared" si="39"/>
        <v>0.63460000000000005</v>
      </c>
      <c r="R334" s="194">
        <f t="shared" si="39"/>
        <v>1.3678999999999999</v>
      </c>
      <c r="S334" s="194">
        <f t="shared" si="40"/>
        <v>0.64650178253119428</v>
      </c>
      <c r="T334" s="194">
        <f t="shared" si="41"/>
        <v>0.42383489781142436</v>
      </c>
      <c r="U334" s="194">
        <f t="shared" si="42"/>
        <v>0.68183630744691459</v>
      </c>
      <c r="V334">
        <f t="shared" si="37"/>
        <v>55</v>
      </c>
      <c r="W334" s="194">
        <f t="shared" si="43"/>
        <v>0.23218315613872409</v>
      </c>
      <c r="X334" s="194">
        <f t="shared" si="44"/>
        <v>2.5254755476120237E-2</v>
      </c>
      <c r="Y334" s="245" t="str">
        <f>IF(ISNUMBER(SEARCH("C",'WetLitterbags placem_collection'!$Y41)),"YES","NO")</f>
        <v>NO</v>
      </c>
      <c r="Z334" s="245" t="str">
        <f>IF(ISNUMBER(SEARCH("H", 'WetLitterbags placem_collection'!$Y41)),"YES","NO")</f>
        <v>NO</v>
      </c>
      <c r="AA334" s="245" t="str">
        <f>IF(ISNUMBER(SEARCH("R", 'WetLitterbags placem_collection'!$Y41)),"YES","NO")</f>
        <v>YES</v>
      </c>
      <c r="AB334" s="245" t="str">
        <f>IF(ISNUMBER(SEARCH("C", 'WetLitterbags placem_collection'!$W41)),"YES","NO")</f>
        <v>NO</v>
      </c>
      <c r="AC334" s="245" t="str">
        <f>IF(ISNUMBER(SEARCH("H", 'WetLitterbags placem_collection'!$W41)),"YES","NO")</f>
        <v>NO</v>
      </c>
      <c r="AD334" s="245" t="str">
        <f>IF(ISNUMBER(SEARCH("R", 'WetLitterbags placem_collection'!$W41)),"YES","NO")</f>
        <v>YES</v>
      </c>
    </row>
    <row r="335" spans="2:30">
      <c r="B335" t="str">
        <f>Wetseason!B481</f>
        <v>Wet</v>
      </c>
      <c r="C335" s="253">
        <f>Wetseason!C481</f>
        <v>40</v>
      </c>
      <c r="D335" t="s">
        <v>3106</v>
      </c>
      <c r="E335" t="s">
        <v>25</v>
      </c>
      <c r="F335" s="375">
        <v>8</v>
      </c>
      <c r="G335" s="16">
        <f>'WetLitterbags placem_collection'!E42</f>
        <v>42765</v>
      </c>
      <c r="H335" s="92" t="str">
        <f>Wetseason!L481</f>
        <v>G619</v>
      </c>
      <c r="I335" t="str">
        <f>Wetseason!L701</f>
        <v>R420</v>
      </c>
      <c r="J335">
        <f>IFERROR(INDEX('Green_rooibos initial weight'!$C$5:$C$2000,MATCH(H335, 'Green_rooibos initial weight'!$A$5:$A$2000,0)),"")</f>
        <v>2.036</v>
      </c>
      <c r="K335">
        <f>IFERROR(INDEX('Green_rooibos initial weight'!$C$5:$C$2000,MATCH(I335, 'Green_rooibos initial weight'!$A$5:$A$2000,0)),"")</f>
        <v>2.2749999999999999</v>
      </c>
      <c r="L335" s="194">
        <f t="shared" si="38"/>
        <v>1.7862</v>
      </c>
      <c r="M335" s="194">
        <f t="shared" si="36"/>
        <v>2.0251999999999999</v>
      </c>
      <c r="N335" s="16">
        <f>IF('WetLitterbags placem_collection'!G42="","",'WetLitterbags placem_collection'!G42)</f>
        <v>42820</v>
      </c>
      <c r="O335" s="194">
        <f>IFERROR(INDEX('Both teabags AfterWet'!$C$3:$C$2000,MATCH(H335,'Both teabags AfterWet'!$A$3:$A$2000,0)),"")</f>
        <v>0.70599999999999996</v>
      </c>
      <c r="P335" s="194">
        <f>IFERROR(INDEX('Both teabags AfterWet'!$C$3:$C$2000,MATCH(I335,'Both teabags AfterWet'!$A$3:$A$2000,0)),"")</f>
        <v>1.66</v>
      </c>
      <c r="Q335" s="194">
        <f t="shared" si="39"/>
        <v>0.55539999999999989</v>
      </c>
      <c r="R335" s="194">
        <f t="shared" si="39"/>
        <v>1.5093999999999999</v>
      </c>
      <c r="S335" s="194">
        <f t="shared" si="40"/>
        <v>0.68906057552345767</v>
      </c>
      <c r="T335" s="194">
        <f t="shared" si="41"/>
        <v>0.4517356742149034</v>
      </c>
      <c r="U335" s="194">
        <f t="shared" si="42"/>
        <v>0.74530910527355321</v>
      </c>
      <c r="V335">
        <f t="shared" si="37"/>
        <v>55</v>
      </c>
      <c r="W335" s="194">
        <f t="shared" si="43"/>
        <v>0.1816382713498127</v>
      </c>
      <c r="X335" s="194">
        <f t="shared" si="44"/>
        <v>1.5084840131988145E-2</v>
      </c>
      <c r="Y335" s="245" t="str">
        <f>IF(ISNUMBER(SEARCH("C",'WetLitterbags placem_collection'!$Y42)),"YES","NO")</f>
        <v>NO</v>
      </c>
      <c r="Z335" s="245" t="str">
        <f>IF(ISNUMBER(SEARCH("H", 'WetLitterbags placem_collection'!$Y42)),"YES","NO")</f>
        <v>NO</v>
      </c>
      <c r="AA335" s="245" t="str">
        <f>IF(ISNUMBER(SEARCH("R", 'WetLitterbags placem_collection'!$Y42)),"YES","NO")</f>
        <v>NO</v>
      </c>
      <c r="AB335" s="245" t="str">
        <f>IF(ISNUMBER(SEARCH("C", 'WetLitterbags placem_collection'!$W42)),"YES","NO")</f>
        <v>NO</v>
      </c>
      <c r="AC335" s="245" t="str">
        <f>IF(ISNUMBER(SEARCH("H", 'WetLitterbags placem_collection'!$W42)),"YES","NO")</f>
        <v>YES</v>
      </c>
      <c r="AD335" s="245" t="str">
        <f>IF(ISNUMBER(SEARCH("R", 'WetLitterbags placem_collection'!$W42)),"YES","NO")</f>
        <v>NO</v>
      </c>
    </row>
    <row r="336" spans="2:30">
      <c r="B336" t="str">
        <f>Wetseason!B482</f>
        <v>Wet</v>
      </c>
      <c r="C336" s="253">
        <f>Wetseason!C482</f>
        <v>41</v>
      </c>
      <c r="D336" t="s">
        <v>3108</v>
      </c>
      <c r="E336" t="s">
        <v>25</v>
      </c>
      <c r="F336" s="374">
        <v>1</v>
      </c>
      <c r="G336" s="16">
        <f>'WetLitterbags placem_collection'!E43</f>
        <v>42766</v>
      </c>
      <c r="H336" s="92" t="str">
        <f>Wetseason!L482</f>
        <v>G626</v>
      </c>
      <c r="I336" t="str">
        <f>Wetseason!L702</f>
        <v>R77</v>
      </c>
      <c r="J336">
        <f>IFERROR(INDEX('Green_rooibos initial weight'!$C$5:$C$2000,MATCH(H336, 'Green_rooibos initial weight'!$A$5:$A$2000,0)),"")</f>
        <v>2.1179999999999999</v>
      </c>
      <c r="K336">
        <f>IFERROR(INDEX('Green_rooibos initial weight'!$C$5:$C$2000,MATCH(I336, 'Green_rooibos initial weight'!$A$5:$A$2000,0)),"")</f>
        <v>2.1749999999999998</v>
      </c>
      <c r="L336" s="194">
        <f t="shared" si="38"/>
        <v>1.8681999999999999</v>
      </c>
      <c r="M336" s="194">
        <f t="shared" si="36"/>
        <v>1.9251999999999998</v>
      </c>
      <c r="N336" s="16">
        <f>IF('WetLitterbags placem_collection'!G43="","",'WetLitterbags placem_collection'!G43)</f>
        <v>42820</v>
      </c>
      <c r="O336" s="194">
        <f>IFERROR(INDEX('Both teabags AfterWet'!$C$3:$C$2000,MATCH(H336,'Both teabags AfterWet'!$A$3:$A$2000,0)),"")</f>
        <v>0.82899999999999996</v>
      </c>
      <c r="P336" s="194">
        <f>IFERROR(INDEX('Both teabags AfterWet'!$C$3:$C$2000,MATCH(I336,'Both teabags AfterWet'!$A$3:$A$2000,0)),"")</f>
        <v>1.5429999999999999</v>
      </c>
      <c r="Q336" s="194">
        <f t="shared" si="39"/>
        <v>0.67839999999999989</v>
      </c>
      <c r="R336" s="194">
        <f t="shared" si="39"/>
        <v>1.3923999999999999</v>
      </c>
      <c r="S336" s="194">
        <f t="shared" si="40"/>
        <v>0.63686971416336591</v>
      </c>
      <c r="T336" s="194">
        <f t="shared" si="41"/>
        <v>0.41752028767004512</v>
      </c>
      <c r="U336" s="194">
        <f t="shared" si="42"/>
        <v>0.72324953251610224</v>
      </c>
      <c r="V336">
        <f t="shared" si="37"/>
        <v>54</v>
      </c>
      <c r="W336" s="194">
        <f t="shared" si="43"/>
        <v>0.24362266726441106</v>
      </c>
      <c r="X336" s="194">
        <f t="shared" si="44"/>
        <v>2.0133464089853531E-2</v>
      </c>
      <c r="Y336" s="245" t="str">
        <f>IF(ISNUMBER(SEARCH("C",'WetLitterbags placem_collection'!$Y43)),"YES","NO")</f>
        <v>NO</v>
      </c>
      <c r="Z336" s="245" t="str">
        <f>IF(ISNUMBER(SEARCH("H", 'WetLitterbags placem_collection'!$Y43)),"YES","NO")</f>
        <v>NO</v>
      </c>
      <c r="AA336" s="245" t="str">
        <f>IF(ISNUMBER(SEARCH("R", 'WetLitterbags placem_collection'!$Y43)),"YES","NO")</f>
        <v>YES</v>
      </c>
      <c r="AB336" s="245" t="str">
        <f>IF(ISNUMBER(SEARCH("C", 'WetLitterbags placem_collection'!$W43)),"YES","NO")</f>
        <v>NO</v>
      </c>
      <c r="AC336" s="245" t="str">
        <f>IF(ISNUMBER(SEARCH("H", 'WetLitterbags placem_collection'!$W43)),"YES","NO")</f>
        <v>NO</v>
      </c>
      <c r="AD336" s="245" t="str">
        <f>IF(ISNUMBER(SEARCH("R", 'WetLitterbags placem_collection'!$W43)),"YES","NO")</f>
        <v>NO</v>
      </c>
    </row>
    <row r="337" spans="2:30">
      <c r="B337" t="str">
        <f>Wetseason!B483</f>
        <v>Wet</v>
      </c>
      <c r="C337" s="253">
        <f>Wetseason!C483</f>
        <v>42</v>
      </c>
      <c r="D337" t="s">
        <v>3108</v>
      </c>
      <c r="E337" t="s">
        <v>25</v>
      </c>
      <c r="F337" s="374">
        <v>2</v>
      </c>
      <c r="G337" s="16">
        <f>'WetLitterbags placem_collection'!E44</f>
        <v>42766</v>
      </c>
      <c r="H337" s="92" t="str">
        <f>Wetseason!L483</f>
        <v>G437</v>
      </c>
      <c r="I337" t="str">
        <f>Wetseason!L703</f>
        <v>R81</v>
      </c>
      <c r="J337">
        <f>IFERROR(INDEX('Green_rooibos initial weight'!$C$5:$C$2000,MATCH(H337, 'Green_rooibos initial weight'!$A$5:$A$2000,0)),"")</f>
        <v>2.1230000000000002</v>
      </c>
      <c r="K337">
        <f>IFERROR(INDEX('Green_rooibos initial weight'!$C$5:$C$2000,MATCH(I337, 'Green_rooibos initial weight'!$A$5:$A$2000,0)),"")</f>
        <v>2.004</v>
      </c>
      <c r="L337" s="194">
        <f t="shared" si="38"/>
        <v>1.8732000000000002</v>
      </c>
      <c r="M337" s="194">
        <f t="shared" si="36"/>
        <v>1.7542</v>
      </c>
      <c r="N337" s="16">
        <f>IF('WetLitterbags placem_collection'!G44="","",'WetLitterbags placem_collection'!G44)</f>
        <v>42820</v>
      </c>
      <c r="O337" s="194">
        <f>IFERROR(INDEX('Both teabags AfterWet'!$C$3:$C$2000,MATCH(H337,'Both teabags AfterWet'!$A$3:$A$2000,0)),"")</f>
        <v>0.64</v>
      </c>
      <c r="P337" s="194">
        <f>IFERROR(INDEX('Both teabags AfterWet'!$C$3:$C$2000,MATCH(I337,'Both teabags AfterWet'!$A$3:$A$2000,0)),"")</f>
        <v>1.528</v>
      </c>
      <c r="Q337" s="194">
        <f t="shared" si="39"/>
        <v>0.4894</v>
      </c>
      <c r="R337" s="194">
        <f t="shared" si="39"/>
        <v>1.3774</v>
      </c>
      <c r="S337" s="194">
        <f t="shared" si="40"/>
        <v>0.73873585308562895</v>
      </c>
      <c r="T337" s="194">
        <f t="shared" si="41"/>
        <v>0.48430188943380909</v>
      </c>
      <c r="U337" s="194">
        <f t="shared" si="42"/>
        <v>0.785201231330521</v>
      </c>
      <c r="V337">
        <f t="shared" si="37"/>
        <v>54</v>
      </c>
      <c r="W337" s="194">
        <f t="shared" si="43"/>
        <v>0.12264150464889667</v>
      </c>
      <c r="X337" s="194">
        <f t="shared" si="44"/>
        <v>1.0854231123327503E-2</v>
      </c>
      <c r="Y337" s="245" t="str">
        <f>IF(ISNUMBER(SEARCH("C",'WetLitterbags placem_collection'!$Y44)),"YES","NO")</f>
        <v>NO</v>
      </c>
      <c r="Z337" s="245" t="str">
        <f>IF(ISNUMBER(SEARCH("H", 'WetLitterbags placem_collection'!$Y44)),"YES","NO")</f>
        <v>NO</v>
      </c>
      <c r="AA337" s="245" t="str">
        <f>IF(ISNUMBER(SEARCH("R", 'WetLitterbags placem_collection'!$Y44)),"YES","NO")</f>
        <v>NO</v>
      </c>
      <c r="AB337" s="245" t="str">
        <f>IF(ISNUMBER(SEARCH("C", 'WetLitterbags placem_collection'!$W44)),"YES","NO")</f>
        <v>NO</v>
      </c>
      <c r="AC337" s="245" t="str">
        <f>IF(ISNUMBER(SEARCH("H", 'WetLitterbags placem_collection'!$W44)),"YES","NO")</f>
        <v>NO</v>
      </c>
      <c r="AD337" s="245" t="str">
        <f>IF(ISNUMBER(SEARCH("R", 'WetLitterbags placem_collection'!$W44)),"YES","NO")</f>
        <v>NO</v>
      </c>
    </row>
    <row r="338" spans="2:30">
      <c r="B338" t="str">
        <f>Wetseason!B484</f>
        <v>Wet</v>
      </c>
      <c r="C338" s="253">
        <f>Wetseason!C484</f>
        <v>43</v>
      </c>
      <c r="D338" t="s">
        <v>3108</v>
      </c>
      <c r="E338" t="s">
        <v>25</v>
      </c>
      <c r="F338" s="374">
        <v>3</v>
      </c>
      <c r="G338" s="16">
        <f>'WetLitterbags placem_collection'!E45</f>
        <v>42766</v>
      </c>
      <c r="H338" s="92" t="str">
        <f>Wetseason!L484</f>
        <v>G643</v>
      </c>
      <c r="I338" t="str">
        <f>Wetseason!L704</f>
        <v>R117</v>
      </c>
      <c r="J338">
        <f>IFERROR(INDEX('Green_rooibos initial weight'!$C$5:$C$2000,MATCH(H338, 'Green_rooibos initial weight'!$A$5:$A$2000,0)),"")</f>
        <v>2.0510000000000002</v>
      </c>
      <c r="K338">
        <f>IFERROR(INDEX('Green_rooibos initial weight'!$C$5:$C$2000,MATCH(I338, 'Green_rooibos initial weight'!$A$5:$A$2000,0)),"")</f>
        <v>2.2029999999999998</v>
      </c>
      <c r="L338" s="194">
        <f t="shared" si="38"/>
        <v>1.8012000000000001</v>
      </c>
      <c r="M338" s="194">
        <f t="shared" si="36"/>
        <v>1.9531999999999998</v>
      </c>
      <c r="N338" s="16">
        <f>IF('WetLitterbags placem_collection'!G45="","",'WetLitterbags placem_collection'!G45)</f>
        <v>42820</v>
      </c>
      <c r="O338" s="194">
        <f>IFERROR(INDEX('Both teabags AfterWet'!$C$3:$C$2000,MATCH(H338,'Both teabags AfterWet'!$A$3:$A$2000,0)),"")</f>
        <v>0.74509999999999998</v>
      </c>
      <c r="P338" s="194">
        <f>IFERROR(INDEX('Both teabags AfterWet'!$C$3:$C$2000,MATCH(I338,'Both teabags AfterWet'!$A$3:$A$2000,0)),"")</f>
        <v>1.6155999999999999</v>
      </c>
      <c r="Q338" s="194">
        <f t="shared" si="39"/>
        <v>0.59450000000000003</v>
      </c>
      <c r="R338" s="194">
        <f t="shared" si="39"/>
        <v>1.4649999999999999</v>
      </c>
      <c r="S338" s="194">
        <f t="shared" si="40"/>
        <v>0.6699422607150789</v>
      </c>
      <c r="T338" s="194">
        <f t="shared" si="41"/>
        <v>0.43920205215525371</v>
      </c>
      <c r="U338" s="194">
        <f t="shared" si="42"/>
        <v>0.75005119803399545</v>
      </c>
      <c r="V338">
        <f t="shared" si="37"/>
        <v>54</v>
      </c>
      <c r="W338" s="194">
        <f t="shared" si="43"/>
        <v>0.20434410841439554</v>
      </c>
      <c r="X338" s="194">
        <f t="shared" si="44"/>
        <v>1.5590249934211918E-2</v>
      </c>
      <c r="Y338" s="245" t="str">
        <f>IF(ISNUMBER(SEARCH("C",'WetLitterbags placem_collection'!$Y45)),"YES","NO")</f>
        <v>NO</v>
      </c>
      <c r="Z338" s="245" t="str">
        <f>IF(ISNUMBER(SEARCH("H", 'WetLitterbags placem_collection'!$Y45)),"YES","NO")</f>
        <v>NO</v>
      </c>
      <c r="AA338" s="245" t="str">
        <f>IF(ISNUMBER(SEARCH("R", 'WetLitterbags placem_collection'!$Y45)),"YES","NO")</f>
        <v>YES</v>
      </c>
      <c r="AB338" s="245" t="str">
        <f>IF(ISNUMBER(SEARCH("C", 'WetLitterbags placem_collection'!$W45)),"YES","NO")</f>
        <v>YES</v>
      </c>
      <c r="AC338" s="245" t="str">
        <f>IF(ISNUMBER(SEARCH("H", 'WetLitterbags placem_collection'!$W45)),"YES","NO")</f>
        <v>YES</v>
      </c>
      <c r="AD338" s="245" t="str">
        <f>IF(ISNUMBER(SEARCH("R", 'WetLitterbags placem_collection'!$W45)),"YES","NO")</f>
        <v>NO</v>
      </c>
    </row>
    <row r="339" spans="2:30">
      <c r="B339" t="str">
        <f>Wetseason!B485</f>
        <v>Wet</v>
      </c>
      <c r="C339" s="253">
        <f>Wetseason!C485</f>
        <v>44</v>
      </c>
      <c r="D339" t="s">
        <v>3108</v>
      </c>
      <c r="E339" t="s">
        <v>25</v>
      </c>
      <c r="F339" s="375">
        <v>4</v>
      </c>
      <c r="G339" s="16">
        <f>'WetLitterbags placem_collection'!E46</f>
        <v>42766</v>
      </c>
      <c r="H339" s="92" t="str">
        <f>Wetseason!L485</f>
        <v>G283</v>
      </c>
      <c r="I339" t="str">
        <f>Wetseason!L705</f>
        <v>R6</v>
      </c>
      <c r="J339">
        <f>IFERROR(INDEX('Green_rooibos initial weight'!$C$5:$C$2000,MATCH(H339, 'Green_rooibos initial weight'!$A$5:$A$2000,0)),"")</f>
        <v>1.8660000000000001</v>
      </c>
      <c r="K339">
        <f>IFERROR(INDEX('Green_rooibos initial weight'!$C$5:$C$2000,MATCH(I339, 'Green_rooibos initial weight'!$A$5:$A$2000,0)),"")</f>
        <v>2.226</v>
      </c>
      <c r="L339" s="194">
        <f t="shared" si="38"/>
        <v>1.6162000000000001</v>
      </c>
      <c r="M339" s="194">
        <f t="shared" si="36"/>
        <v>1.9762</v>
      </c>
      <c r="N339" s="16">
        <f>IF('WetLitterbags placem_collection'!G46="","",'WetLitterbags placem_collection'!G46)</f>
        <v>42820</v>
      </c>
      <c r="O339" s="194">
        <f>IFERROR(INDEX('Both teabags AfterWet'!$C$3:$C$2000,MATCH(H339,'Both teabags AfterWet'!$A$3:$A$2000,0)),"")</f>
        <v>0.80830000000000002</v>
      </c>
      <c r="P339" s="194">
        <f>IFERROR(INDEX('Both teabags AfterWet'!$C$3:$C$2000,MATCH(I339,'Both teabags AfterWet'!$A$3:$A$2000,0)),"")</f>
        <v>1.5294000000000001</v>
      </c>
      <c r="Q339" s="194">
        <f t="shared" si="39"/>
        <v>0.65769999999999995</v>
      </c>
      <c r="R339" s="194">
        <f t="shared" si="39"/>
        <v>1.3788</v>
      </c>
      <c r="S339" s="194">
        <f t="shared" si="40"/>
        <v>0.59305778987749047</v>
      </c>
      <c r="T339" s="194">
        <f t="shared" si="41"/>
        <v>0.3887979810123216</v>
      </c>
      <c r="U339" s="194">
        <f t="shared" si="42"/>
        <v>0.6977026616739197</v>
      </c>
      <c r="V339">
        <f t="shared" si="37"/>
        <v>54</v>
      </c>
      <c r="W339" s="194">
        <f t="shared" si="43"/>
        <v>0.29565583149941743</v>
      </c>
      <c r="X339" s="194">
        <f t="shared" si="44"/>
        <v>2.783163029433855E-2</v>
      </c>
      <c r="Y339" s="245" t="str">
        <f>IF(ISNUMBER(SEARCH("C",'WetLitterbags placem_collection'!$Y46)),"YES","NO")</f>
        <v>NO</v>
      </c>
      <c r="Z339" s="245" t="str">
        <f>IF(ISNUMBER(SEARCH("H", 'WetLitterbags placem_collection'!$Y46)),"YES","NO")</f>
        <v>NO</v>
      </c>
      <c r="AA339" s="245" t="str">
        <f>IF(ISNUMBER(SEARCH("R", 'WetLitterbags placem_collection'!$Y46)),"YES","NO")</f>
        <v>NO</v>
      </c>
      <c r="AB339" s="245" t="str">
        <f>IF(ISNUMBER(SEARCH("C", 'WetLitterbags placem_collection'!$W46)),"YES","NO")</f>
        <v>NO</v>
      </c>
      <c r="AC339" s="245" t="str">
        <f>IF(ISNUMBER(SEARCH("H", 'WetLitterbags placem_collection'!$W46)),"YES","NO")</f>
        <v>NO</v>
      </c>
      <c r="AD339" s="245" t="str">
        <f>IF(ISNUMBER(SEARCH("R", 'WetLitterbags placem_collection'!$W46)),"YES","NO")</f>
        <v>YES</v>
      </c>
    </row>
    <row r="340" spans="2:30">
      <c r="B340" t="str">
        <f>Wetseason!B486</f>
        <v>Wet</v>
      </c>
      <c r="C340" s="253">
        <f>Wetseason!C486</f>
        <v>45</v>
      </c>
      <c r="D340" t="s">
        <v>3108</v>
      </c>
      <c r="E340" t="s">
        <v>25</v>
      </c>
      <c r="F340" s="375">
        <v>5</v>
      </c>
      <c r="G340" s="16">
        <f>'WetLitterbags placem_collection'!E47</f>
        <v>42766</v>
      </c>
      <c r="H340" s="92" t="str">
        <f>Wetseason!L486</f>
        <v>G602</v>
      </c>
      <c r="I340" t="str">
        <f>Wetseason!L706</f>
        <v>R74</v>
      </c>
      <c r="J340">
        <f>IFERROR(INDEX('Green_rooibos initial weight'!$C$5:$C$2000,MATCH(H340, 'Green_rooibos initial weight'!$A$5:$A$2000,0)),"")</f>
        <v>2.1030000000000002</v>
      </c>
      <c r="K340">
        <f>IFERROR(INDEX('Green_rooibos initial weight'!$C$5:$C$2000,MATCH(I340, 'Green_rooibos initial weight'!$A$5:$A$2000,0)),"")</f>
        <v>2.3340000000000001</v>
      </c>
      <c r="L340" s="194">
        <f t="shared" si="38"/>
        <v>1.8532000000000002</v>
      </c>
      <c r="M340" s="194">
        <f t="shared" si="36"/>
        <v>2.0842000000000001</v>
      </c>
      <c r="N340" s="16">
        <f>IF('WetLitterbags placem_collection'!G47="","",'WetLitterbags placem_collection'!G47)</f>
        <v>42820</v>
      </c>
      <c r="O340" s="194">
        <f>IFERROR(INDEX('Both teabags AfterWet'!$C$3:$C$2000,MATCH(H340,'Both teabags AfterWet'!$A$3:$A$2000,0)),"")</f>
        <v>0.77400000000000002</v>
      </c>
      <c r="P340" s="194">
        <f>IFERROR(INDEX('Both teabags AfterWet'!$C$3:$C$2000,MATCH(I340,'Both teabags AfterWet'!$A$3:$A$2000,0)),"")</f>
        <v>1.5923</v>
      </c>
      <c r="Q340" s="194">
        <f t="shared" si="39"/>
        <v>0.62339999999999995</v>
      </c>
      <c r="R340" s="194">
        <f t="shared" si="39"/>
        <v>1.4417</v>
      </c>
      <c r="S340" s="194">
        <f t="shared" si="40"/>
        <v>0.66360889272609547</v>
      </c>
      <c r="T340" s="194">
        <f t="shared" si="41"/>
        <v>0.43505001043325975</v>
      </c>
      <c r="U340" s="194">
        <f t="shared" si="42"/>
        <v>0.69172824105172248</v>
      </c>
      <c r="V340">
        <f t="shared" si="37"/>
        <v>54</v>
      </c>
      <c r="W340" s="194">
        <f t="shared" si="43"/>
        <v>0.21186592312815267</v>
      </c>
      <c r="X340" s="194">
        <f t="shared" si="44"/>
        <v>2.2833731147385787E-2</v>
      </c>
      <c r="Y340" s="245" t="str">
        <f>IF(ISNUMBER(SEARCH("C",'WetLitterbags placem_collection'!$Y47)),"YES","NO")</f>
        <v>NO</v>
      </c>
      <c r="Z340" s="245" t="str">
        <f>IF(ISNUMBER(SEARCH("H", 'WetLitterbags placem_collection'!$Y47)),"YES","NO")</f>
        <v>NO</v>
      </c>
      <c r="AA340" s="245" t="str">
        <f>IF(ISNUMBER(SEARCH("R", 'WetLitterbags placem_collection'!$Y47)),"YES","NO")</f>
        <v>NO</v>
      </c>
      <c r="AB340" s="245" t="str">
        <f>IF(ISNUMBER(SEARCH("C", 'WetLitterbags placem_collection'!$W47)),"YES","NO")</f>
        <v>NO</v>
      </c>
      <c r="AC340" s="245" t="str">
        <f>IF(ISNUMBER(SEARCH("H", 'WetLitterbags placem_collection'!$W47)),"YES","NO")</f>
        <v>NO</v>
      </c>
      <c r="AD340" s="245" t="str">
        <f>IF(ISNUMBER(SEARCH("R", 'WetLitterbags placem_collection'!$W47)),"YES","NO")</f>
        <v>NO</v>
      </c>
    </row>
    <row r="341" spans="2:30">
      <c r="B341" t="str">
        <f>Wetseason!B487</f>
        <v>Wet</v>
      </c>
      <c r="C341" s="253">
        <f>Wetseason!C487</f>
        <v>46</v>
      </c>
      <c r="D341" t="s">
        <v>3108</v>
      </c>
      <c r="E341" t="s">
        <v>25</v>
      </c>
      <c r="F341" s="375">
        <v>6</v>
      </c>
      <c r="G341" s="16">
        <f>'WetLitterbags placem_collection'!E48</f>
        <v>42766</v>
      </c>
      <c r="H341" s="92" t="str">
        <f>Wetseason!L487</f>
        <v>G427</v>
      </c>
      <c r="I341" t="str">
        <f>Wetseason!L707</f>
        <v>R102</v>
      </c>
      <c r="J341">
        <f>IFERROR(INDEX('Green_rooibos initial weight'!$C$5:$C$2000,MATCH(H341, 'Green_rooibos initial weight'!$A$5:$A$2000,0)),"")</f>
        <v>1.8959999999999999</v>
      </c>
      <c r="K341">
        <f>IFERROR(INDEX('Green_rooibos initial weight'!$C$5:$C$2000,MATCH(I341, 'Green_rooibos initial weight'!$A$5:$A$2000,0)),"")</f>
        <v>2.2469999999999999</v>
      </c>
      <c r="L341" s="194">
        <f t="shared" si="38"/>
        <v>1.6461999999999999</v>
      </c>
      <c r="M341" s="194">
        <f t="shared" si="36"/>
        <v>1.9971999999999999</v>
      </c>
      <c r="N341" s="16">
        <f>IF('WetLitterbags placem_collection'!G48="","",'WetLitterbags placem_collection'!G48)</f>
        <v>42820</v>
      </c>
      <c r="O341" s="194" t="str">
        <f>IFERROR(INDEX('Both teabags AfterWet'!$C$3:$C$2000,MATCH(H341,'Both teabags AfterWet'!$A$3:$A$2000,0)),"")</f>
        <v/>
      </c>
      <c r="P341" s="194" t="str">
        <f>IFERROR(INDEX('Both teabags AfterWet'!$C$3:$C$2000,MATCH(I341,'Both teabags AfterWet'!$A$3:$A$2000,0)),"")</f>
        <v/>
      </c>
      <c r="Q341" s="194" t="str">
        <f t="shared" si="39"/>
        <v/>
      </c>
      <c r="R341" s="194" t="str">
        <f t="shared" si="39"/>
        <v/>
      </c>
      <c r="S341" s="194" t="str">
        <f t="shared" si="40"/>
        <v/>
      </c>
      <c r="T341" s="194" t="str">
        <f t="shared" si="41"/>
        <v/>
      </c>
      <c r="U341" s="194" t="str">
        <f t="shared" si="42"/>
        <v/>
      </c>
      <c r="V341">
        <f t="shared" si="37"/>
        <v>54</v>
      </c>
      <c r="W341" s="194" t="str">
        <f t="shared" si="43"/>
        <v/>
      </c>
      <c r="X341" s="194" t="str">
        <f t="shared" si="44"/>
        <v/>
      </c>
      <c r="Y341" s="245" t="str">
        <f>IF(ISNUMBER(SEARCH("C",'WetLitterbags placem_collection'!$Y48)),"YES","NO")</f>
        <v>NO</v>
      </c>
      <c r="Z341" s="245" t="str">
        <f>IF(ISNUMBER(SEARCH("H", 'WetLitterbags placem_collection'!$Y48)),"YES","NO")</f>
        <v>NO</v>
      </c>
      <c r="AA341" s="245" t="str">
        <f>IF(ISNUMBER(SEARCH("R", 'WetLitterbags placem_collection'!$Y48)),"YES","NO")</f>
        <v>NO</v>
      </c>
      <c r="AB341" s="245" t="str">
        <f>IF(ISNUMBER(SEARCH("C", 'WetLitterbags placem_collection'!$W48)),"YES","NO")</f>
        <v>NO</v>
      </c>
      <c r="AC341" s="245" t="str">
        <f>IF(ISNUMBER(SEARCH("H", 'WetLitterbags placem_collection'!$W48)),"YES","NO")</f>
        <v>NO</v>
      </c>
      <c r="AD341" s="245" t="str">
        <f>IF(ISNUMBER(SEARCH("R", 'WetLitterbags placem_collection'!$W48)),"YES","NO")</f>
        <v>NO</v>
      </c>
    </row>
    <row r="342" spans="2:30">
      <c r="B342" t="str">
        <f>Wetseason!B488</f>
        <v>Wet</v>
      </c>
      <c r="C342" s="253">
        <f>Wetseason!C488</f>
        <v>47</v>
      </c>
      <c r="D342" t="s">
        <v>3108</v>
      </c>
      <c r="E342" t="s">
        <v>25</v>
      </c>
      <c r="F342" s="375">
        <v>7</v>
      </c>
      <c r="G342" s="16">
        <f>'WetLitterbags placem_collection'!E49</f>
        <v>42766</v>
      </c>
      <c r="H342" s="92" t="str">
        <f>Wetseason!L488</f>
        <v>G512</v>
      </c>
      <c r="I342" t="str">
        <f>Wetseason!L708</f>
        <v>R76</v>
      </c>
      <c r="J342">
        <f>IFERROR(INDEX('Green_rooibos initial weight'!$C$5:$C$2000,MATCH(H342, 'Green_rooibos initial weight'!$A$5:$A$2000,0)),"")</f>
        <v>2.0939999999999999</v>
      </c>
      <c r="K342">
        <f>IFERROR(INDEX('Green_rooibos initial weight'!$C$5:$C$2000,MATCH(I342, 'Green_rooibos initial weight'!$A$5:$A$2000,0)),"")</f>
        <v>2.2970000000000002</v>
      </c>
      <c r="L342" s="194">
        <f t="shared" si="38"/>
        <v>1.8441999999999998</v>
      </c>
      <c r="M342" s="194">
        <f t="shared" si="36"/>
        <v>2.0472000000000001</v>
      </c>
      <c r="N342" s="16">
        <f>IF('WetLitterbags placem_collection'!G49="","",'WetLitterbags placem_collection'!G49)</f>
        <v>42820</v>
      </c>
      <c r="O342" s="194">
        <f>IFERROR(INDEX('Both teabags AfterWet'!$C$3:$C$2000,MATCH(H342,'Both teabags AfterWet'!$A$3:$A$2000,0)),"")</f>
        <v>0.77500000000000002</v>
      </c>
      <c r="P342" s="194">
        <f>IFERROR(INDEX('Both teabags AfterWet'!$C$3:$C$2000,MATCH(I342,'Both teabags AfterWet'!$A$3:$A$2000,0)),"")</f>
        <v>1.665</v>
      </c>
      <c r="Q342" s="194">
        <f t="shared" si="39"/>
        <v>0.62440000000000007</v>
      </c>
      <c r="R342" s="194">
        <f t="shared" si="39"/>
        <v>1.5144</v>
      </c>
      <c r="S342" s="194">
        <f t="shared" si="40"/>
        <v>0.66142500813360794</v>
      </c>
      <c r="T342" s="194">
        <f t="shared" si="41"/>
        <v>0.43361829511846983</v>
      </c>
      <c r="U342" s="194">
        <f t="shared" si="42"/>
        <v>0.73974208675263764</v>
      </c>
      <c r="V342">
        <f t="shared" si="37"/>
        <v>54</v>
      </c>
      <c r="W342" s="194">
        <f t="shared" si="43"/>
        <v>0.21445961029262717</v>
      </c>
      <c r="X342" s="194">
        <f t="shared" si="44"/>
        <v>1.6977631162683086E-2</v>
      </c>
      <c r="Y342" s="245" t="str">
        <f>IF(ISNUMBER(SEARCH("C",'WetLitterbags placem_collection'!$Y49)),"YES","NO")</f>
        <v>NO</v>
      </c>
      <c r="Z342" s="245" t="str">
        <f>IF(ISNUMBER(SEARCH("H", 'WetLitterbags placem_collection'!$Y49)),"YES","NO")</f>
        <v>NO</v>
      </c>
      <c r="AA342" s="245" t="str">
        <f>IF(ISNUMBER(SEARCH("R", 'WetLitterbags placem_collection'!$Y49)),"YES","NO")</f>
        <v>NO</v>
      </c>
      <c r="AB342" s="245" t="str">
        <f>IF(ISNUMBER(SEARCH("C", 'WetLitterbags placem_collection'!$W49)),"YES","NO")</f>
        <v>NO</v>
      </c>
      <c r="AC342" s="245" t="str">
        <f>IF(ISNUMBER(SEARCH("H", 'WetLitterbags placem_collection'!$W49)),"YES","NO")</f>
        <v>YES</v>
      </c>
      <c r="AD342" s="245" t="str">
        <f>IF(ISNUMBER(SEARCH("R", 'WetLitterbags placem_collection'!$W49)),"YES","NO")</f>
        <v>YES</v>
      </c>
    </row>
    <row r="343" spans="2:30">
      <c r="B343" t="str">
        <f>Wetseason!B489</f>
        <v>Wet</v>
      </c>
      <c r="C343" s="253">
        <f>Wetseason!C489</f>
        <v>48</v>
      </c>
      <c r="D343" t="s">
        <v>3108</v>
      </c>
      <c r="E343" t="s">
        <v>25</v>
      </c>
      <c r="F343" s="375">
        <v>8</v>
      </c>
      <c r="G343" s="16">
        <f>'WetLitterbags placem_collection'!E50</f>
        <v>42766</v>
      </c>
      <c r="H343" s="92" t="str">
        <f>Wetseason!L489</f>
        <v>G299</v>
      </c>
      <c r="I343" t="str">
        <f>Wetseason!L709</f>
        <v>R107</v>
      </c>
      <c r="J343">
        <f>IFERROR(INDEX('Green_rooibos initial weight'!$C$5:$C$2000,MATCH(H343, 'Green_rooibos initial weight'!$A$5:$A$2000,0)),"")</f>
        <v>2.0110000000000001</v>
      </c>
      <c r="K343">
        <f>IFERROR(INDEX('Green_rooibos initial weight'!$C$5:$C$2000,MATCH(I343, 'Green_rooibos initial weight'!$A$5:$A$2000,0)),"")</f>
        <v>2.19</v>
      </c>
      <c r="L343" s="194">
        <f t="shared" si="38"/>
        <v>1.7612000000000001</v>
      </c>
      <c r="M343" s="194">
        <f t="shared" si="36"/>
        <v>1.9401999999999999</v>
      </c>
      <c r="N343" s="16">
        <f>IF('WetLitterbags placem_collection'!G50="","",'WetLitterbags placem_collection'!G50)</f>
        <v>42820</v>
      </c>
      <c r="O343" s="194">
        <f>IFERROR(INDEX('Both teabags AfterWet'!$C$3:$C$2000,MATCH(H343,'Both teabags AfterWet'!$A$3:$A$2000,0)),"")</f>
        <v>0.88100000000000001</v>
      </c>
      <c r="P343" s="194">
        <f>IFERROR(INDEX('Both teabags AfterWet'!$C$3:$C$2000,MATCH(I343,'Both teabags AfterWet'!$A$3:$A$2000,0)),"")</f>
        <v>1.5349999999999999</v>
      </c>
      <c r="Q343" s="194">
        <f t="shared" si="39"/>
        <v>0.73039999999999994</v>
      </c>
      <c r="R343" s="194">
        <f t="shared" si="39"/>
        <v>1.3843999999999999</v>
      </c>
      <c r="S343" s="194">
        <f t="shared" si="40"/>
        <v>0.58528276175335003</v>
      </c>
      <c r="T343" s="194">
        <f t="shared" si="41"/>
        <v>0.38370081293093733</v>
      </c>
      <c r="U343" s="194">
        <f t="shared" si="42"/>
        <v>0.71353468714565504</v>
      </c>
      <c r="V343">
        <f t="shared" si="37"/>
        <v>54</v>
      </c>
      <c r="W343" s="194">
        <f t="shared" si="43"/>
        <v>0.30488983164685268</v>
      </c>
      <c r="X343" s="194">
        <f t="shared" si="44"/>
        <v>2.5420874888905164E-2</v>
      </c>
      <c r="Y343" s="245" t="str">
        <f>IF(ISNUMBER(SEARCH("C",'WetLitterbags placem_collection'!$Y50)),"YES","NO")</f>
        <v>NO</v>
      </c>
      <c r="Z343" s="245" t="str">
        <f>IF(ISNUMBER(SEARCH("H", 'WetLitterbags placem_collection'!$Y50)),"YES","NO")</f>
        <v>NO</v>
      </c>
      <c r="AA343" s="245" t="str">
        <f>IF(ISNUMBER(SEARCH("R", 'WetLitterbags placem_collection'!$Y50)),"YES","NO")</f>
        <v>NO</v>
      </c>
      <c r="AB343" s="245" t="str">
        <f>IF(ISNUMBER(SEARCH("C", 'WetLitterbags placem_collection'!$W50)),"YES","NO")</f>
        <v>NO</v>
      </c>
      <c r="AC343" s="245" t="str">
        <f>IF(ISNUMBER(SEARCH("H", 'WetLitterbags placem_collection'!$W50)),"YES","NO")</f>
        <v>NO</v>
      </c>
      <c r="AD343" s="245" t="str">
        <f>IF(ISNUMBER(SEARCH("R", 'WetLitterbags placem_collection'!$W50)),"YES","NO")</f>
        <v>YES</v>
      </c>
    </row>
    <row r="344" spans="2:30">
      <c r="B344" t="str">
        <f>Wetseason!B490</f>
        <v>Wet</v>
      </c>
      <c r="C344" s="253">
        <f>Wetseason!C490</f>
        <v>49</v>
      </c>
      <c r="D344" t="s">
        <v>3109</v>
      </c>
      <c r="E344" t="s">
        <v>25</v>
      </c>
      <c r="F344" s="374">
        <v>1</v>
      </c>
      <c r="G344" s="16">
        <f>'WetLitterbags placem_collection'!E51</f>
        <v>42766</v>
      </c>
      <c r="H344" s="92" t="str">
        <f>Wetseason!L490</f>
        <v>G739</v>
      </c>
      <c r="I344" t="str">
        <f>Wetseason!L710</f>
        <v>R155</v>
      </c>
      <c r="J344">
        <f>IFERROR(INDEX('Green_rooibos initial weight'!$C$5:$C$2000,MATCH(H344, 'Green_rooibos initial weight'!$A$5:$A$2000,0)),"")</f>
        <v>2.0499999999999998</v>
      </c>
      <c r="K344">
        <f>IFERROR(INDEX('Green_rooibos initial weight'!$C$5:$C$2000,MATCH(I344, 'Green_rooibos initial weight'!$A$5:$A$2000,0)),"")</f>
        <v>2.206</v>
      </c>
      <c r="L344" s="194">
        <f t="shared" si="38"/>
        <v>1.8001999999999998</v>
      </c>
      <c r="M344" s="194">
        <f t="shared" si="36"/>
        <v>1.9561999999999999</v>
      </c>
      <c r="N344" s="16">
        <f>IF('WetLitterbags placem_collection'!G51="","",'WetLitterbags placem_collection'!G51)</f>
        <v>42820</v>
      </c>
      <c r="O344" s="194">
        <f>IFERROR(INDEX('Both teabags AfterWet'!$C$3:$C$2000,MATCH(H344,'Both teabags AfterWet'!$A$3:$A$2000,0)),"")</f>
        <v>0.87490000000000001</v>
      </c>
      <c r="P344" s="194">
        <f>IFERROR(INDEX('Both teabags AfterWet'!$C$3:$C$2000,MATCH(I344,'Both teabags AfterWet'!$A$3:$A$2000,0)),"")</f>
        <v>1.5909</v>
      </c>
      <c r="Q344" s="194">
        <f t="shared" si="39"/>
        <v>0.72429999999999994</v>
      </c>
      <c r="R344" s="194">
        <f t="shared" si="39"/>
        <v>1.4402999999999999</v>
      </c>
      <c r="S344" s="194">
        <f t="shared" si="40"/>
        <v>0.59765581602044215</v>
      </c>
      <c r="T344" s="194">
        <f t="shared" si="41"/>
        <v>0.39181236394689323</v>
      </c>
      <c r="U344" s="194">
        <f t="shared" si="42"/>
        <v>0.73627440956957368</v>
      </c>
      <c r="V344">
        <f t="shared" si="37"/>
        <v>54</v>
      </c>
      <c r="W344" s="194">
        <f t="shared" si="43"/>
        <v>0.29019499284983119</v>
      </c>
      <c r="X344" s="194">
        <f t="shared" si="44"/>
        <v>2.0705094619619342E-2</v>
      </c>
      <c r="Y344" s="245" t="str">
        <f>IF(ISNUMBER(SEARCH("C",'WetLitterbags placem_collection'!$Y51)),"YES","NO")</f>
        <v>NO</v>
      </c>
      <c r="Z344" s="245" t="str">
        <f>IF(ISNUMBER(SEARCH("H", 'WetLitterbags placem_collection'!$Y51)),"YES","NO")</f>
        <v>NO</v>
      </c>
      <c r="AA344" s="245" t="str">
        <f>IF(ISNUMBER(SEARCH("R", 'WetLitterbags placem_collection'!$Y51)),"YES","NO")</f>
        <v>YES</v>
      </c>
      <c r="AB344" s="245" t="str">
        <f>IF(ISNUMBER(SEARCH("C", 'WetLitterbags placem_collection'!$W51)),"YES","NO")</f>
        <v>NO</v>
      </c>
      <c r="AC344" s="245" t="str">
        <f>IF(ISNUMBER(SEARCH("H", 'WetLitterbags placem_collection'!$W51)),"YES","NO")</f>
        <v>YES</v>
      </c>
      <c r="AD344" s="245" t="str">
        <f>IF(ISNUMBER(SEARCH("R", 'WetLitterbags placem_collection'!$W51)),"YES","NO")</f>
        <v>YES</v>
      </c>
    </row>
    <row r="345" spans="2:30">
      <c r="B345" t="str">
        <f>Wetseason!B491</f>
        <v>Wet</v>
      </c>
      <c r="C345" s="253">
        <f>Wetseason!C491</f>
        <v>50</v>
      </c>
      <c r="D345" t="s">
        <v>3109</v>
      </c>
      <c r="E345" t="s">
        <v>25</v>
      </c>
      <c r="F345" s="374">
        <v>2</v>
      </c>
      <c r="G345" s="16">
        <f>'WetLitterbags placem_collection'!E52</f>
        <v>42766</v>
      </c>
      <c r="H345" s="92" t="str">
        <f>Wetseason!L491</f>
        <v>G559</v>
      </c>
      <c r="I345" t="str">
        <f>Wetseason!L711</f>
        <v>R98</v>
      </c>
      <c r="J345">
        <f>IFERROR(INDEX('Green_rooibos initial weight'!$C$5:$C$2000,MATCH(H345, 'Green_rooibos initial weight'!$A$5:$A$2000,0)),"")</f>
        <v>2.085</v>
      </c>
      <c r="K345">
        <f>IFERROR(INDEX('Green_rooibos initial weight'!$C$5:$C$2000,MATCH(I345, 'Green_rooibos initial weight'!$A$5:$A$2000,0)),"")</f>
        <v>2.1960000000000002</v>
      </c>
      <c r="L345" s="194">
        <f t="shared" si="38"/>
        <v>1.8351999999999999</v>
      </c>
      <c r="M345" s="194">
        <f t="shared" si="36"/>
        <v>1.9462000000000002</v>
      </c>
      <c r="N345" s="16">
        <f>IF('WetLitterbags placem_collection'!G52="","",'WetLitterbags placem_collection'!G52)</f>
        <v>42820</v>
      </c>
      <c r="O345" s="194" t="str">
        <f>IFERROR(INDEX('Both teabags AfterWet'!$C$3:$C$2000,MATCH(H345,'Both teabags AfterWet'!$A$3:$A$2000,0)),"")</f>
        <v/>
      </c>
      <c r="P345" s="194" t="str">
        <f>IFERROR(INDEX('Both teabags AfterWet'!$C$3:$C$2000,MATCH(I345,'Both teabags AfterWet'!$A$3:$A$2000,0)),"")</f>
        <v/>
      </c>
      <c r="Q345" s="194" t="str">
        <f t="shared" si="39"/>
        <v/>
      </c>
      <c r="R345" s="194" t="str">
        <f t="shared" si="39"/>
        <v/>
      </c>
      <c r="S345" s="194" t="str">
        <f t="shared" si="40"/>
        <v/>
      </c>
      <c r="T345" s="194" t="str">
        <f t="shared" si="41"/>
        <v/>
      </c>
      <c r="U345" s="194" t="str">
        <f t="shared" si="42"/>
        <v/>
      </c>
      <c r="V345">
        <f t="shared" si="37"/>
        <v>54</v>
      </c>
      <c r="W345" s="194" t="str">
        <f t="shared" si="43"/>
        <v/>
      </c>
      <c r="X345" s="194" t="str">
        <f t="shared" si="44"/>
        <v/>
      </c>
      <c r="Y345" s="245" t="str">
        <f>IF(ISNUMBER(SEARCH("C",'WetLitterbags placem_collection'!$Y52)),"YES","NO")</f>
        <v>NO</v>
      </c>
      <c r="Z345" s="245" t="str">
        <f>IF(ISNUMBER(SEARCH("H", 'WetLitterbags placem_collection'!$Y52)),"YES","NO")</f>
        <v>NO</v>
      </c>
      <c r="AA345" s="245" t="str">
        <f>IF(ISNUMBER(SEARCH("R", 'WetLitterbags placem_collection'!$Y52)),"YES","NO")</f>
        <v>NO</v>
      </c>
      <c r="AB345" s="245" t="str">
        <f>IF(ISNUMBER(SEARCH("C", 'WetLitterbags placem_collection'!$W52)),"YES","NO")</f>
        <v>NO</v>
      </c>
      <c r="AC345" s="245" t="str">
        <f>IF(ISNUMBER(SEARCH("H", 'WetLitterbags placem_collection'!$W52)),"YES","NO")</f>
        <v>NO</v>
      </c>
      <c r="AD345" s="245" t="str">
        <f>IF(ISNUMBER(SEARCH("R", 'WetLitterbags placem_collection'!$W52)),"YES","NO")</f>
        <v>NO</v>
      </c>
    </row>
    <row r="346" spans="2:30">
      <c r="B346" t="str">
        <f>Wetseason!B492</f>
        <v>Wet</v>
      </c>
      <c r="C346" s="253">
        <f>Wetseason!C492</f>
        <v>51</v>
      </c>
      <c r="D346" t="s">
        <v>3109</v>
      </c>
      <c r="E346" t="s">
        <v>25</v>
      </c>
      <c r="F346" s="374">
        <v>3</v>
      </c>
      <c r="G346" s="16">
        <f>'WetLitterbags placem_collection'!E53</f>
        <v>42766</v>
      </c>
      <c r="H346" s="92" t="str">
        <f>Wetseason!L492</f>
        <v>G856</v>
      </c>
      <c r="I346" t="str">
        <f>Wetseason!L712</f>
        <v>R29</v>
      </c>
      <c r="J346">
        <f>IFERROR(INDEX('Green_rooibos initial weight'!$C$5:$C$2000,MATCH(H346, 'Green_rooibos initial weight'!$A$5:$A$2000,0)),"")</f>
        <v>1.9370000000000001</v>
      </c>
      <c r="K346">
        <f>IFERROR(INDEX('Green_rooibos initial weight'!$C$5:$C$2000,MATCH(I346, 'Green_rooibos initial weight'!$A$5:$A$2000,0)),"")</f>
        <v>2.2400000000000002</v>
      </c>
      <c r="L346" s="194">
        <f t="shared" si="38"/>
        <v>1.6872</v>
      </c>
      <c r="M346" s="194">
        <f t="shared" si="36"/>
        <v>1.9902000000000002</v>
      </c>
      <c r="N346" s="16">
        <f>IF('WetLitterbags placem_collection'!G53="","",'WetLitterbags placem_collection'!G53)</f>
        <v>42820</v>
      </c>
      <c r="O346" s="194">
        <f>IFERROR(INDEX('Both teabags AfterWet'!$C$3:$C$2000,MATCH(H346,'Both teabags AfterWet'!$A$3:$A$2000,0)),"")</f>
        <v>0.77600000000000002</v>
      </c>
      <c r="P346" s="194">
        <f>IFERROR(INDEX('Both teabags AfterWet'!$C$3:$C$2000,MATCH(I346,'Both teabags AfterWet'!$A$3:$A$2000,0)),"")</f>
        <v>1.4950000000000001</v>
      </c>
      <c r="Q346" s="194">
        <f t="shared" si="39"/>
        <v>0.62539999999999996</v>
      </c>
      <c r="R346" s="194">
        <f t="shared" si="39"/>
        <v>1.3444</v>
      </c>
      <c r="S346" s="194">
        <f t="shared" si="40"/>
        <v>0.6293266951161689</v>
      </c>
      <c r="T346" s="194">
        <f t="shared" si="41"/>
        <v>0.4125752205512177</v>
      </c>
      <c r="U346" s="194">
        <f t="shared" si="42"/>
        <v>0.6755099989950758</v>
      </c>
      <c r="V346">
        <f t="shared" si="37"/>
        <v>54</v>
      </c>
      <c r="W346" s="194">
        <f t="shared" si="43"/>
        <v>0.25258112218982309</v>
      </c>
      <c r="X346" s="194">
        <f t="shared" si="44"/>
        <v>2.8594699855354417E-2</v>
      </c>
      <c r="Y346" s="245" t="str">
        <f>IF(ISNUMBER(SEARCH("C",'WetLitterbags placem_collection'!$Y53)),"YES","NO")</f>
        <v>NO</v>
      </c>
      <c r="Z346" s="245" t="str">
        <f>IF(ISNUMBER(SEARCH("H", 'WetLitterbags placem_collection'!$Y53)),"YES","NO")</f>
        <v>NO</v>
      </c>
      <c r="AA346" s="245" t="str">
        <f>IF(ISNUMBER(SEARCH("R", 'WetLitterbags placem_collection'!$Y53)),"YES","NO")</f>
        <v>YES</v>
      </c>
      <c r="AB346" s="245" t="str">
        <f>IF(ISNUMBER(SEARCH("C", 'WetLitterbags placem_collection'!$W53)),"YES","NO")</f>
        <v>NO</v>
      </c>
      <c r="AC346" s="245" t="str">
        <f>IF(ISNUMBER(SEARCH("H", 'WetLitterbags placem_collection'!$W53)),"YES","NO")</f>
        <v>NO</v>
      </c>
      <c r="AD346" s="245" t="str">
        <f>IF(ISNUMBER(SEARCH("R", 'WetLitterbags placem_collection'!$W53)),"YES","NO")</f>
        <v>YES</v>
      </c>
    </row>
    <row r="347" spans="2:30">
      <c r="B347" t="str">
        <f>Wetseason!B493</f>
        <v>Wet</v>
      </c>
      <c r="C347" s="253">
        <f>Wetseason!C493</f>
        <v>52</v>
      </c>
      <c r="D347" t="s">
        <v>3109</v>
      </c>
      <c r="E347" t="s">
        <v>25</v>
      </c>
      <c r="F347" s="375">
        <v>4</v>
      </c>
      <c r="G347" s="16">
        <f>'WetLitterbags placem_collection'!E54</f>
        <v>42766</v>
      </c>
      <c r="H347" s="92" t="str">
        <f>Wetseason!L493</f>
        <v>G599</v>
      </c>
      <c r="I347" t="str">
        <f>Wetseason!L713</f>
        <v>R312</v>
      </c>
      <c r="J347">
        <f>IFERROR(INDEX('Green_rooibos initial weight'!$C$5:$C$2000,MATCH(H347, 'Green_rooibos initial weight'!$A$5:$A$2000,0)),"")</f>
        <v>2.0760000000000001</v>
      </c>
      <c r="K347">
        <f>IFERROR(INDEX('Green_rooibos initial weight'!$C$5:$C$2000,MATCH(I347, 'Green_rooibos initial weight'!$A$5:$A$2000,0)),"")</f>
        <v>2.2360000000000002</v>
      </c>
      <c r="L347" s="194">
        <f t="shared" si="38"/>
        <v>1.8262</v>
      </c>
      <c r="M347" s="194">
        <f t="shared" si="36"/>
        <v>1.9862000000000002</v>
      </c>
      <c r="N347" s="16">
        <f>IF('WetLitterbags placem_collection'!G54="","",'WetLitterbags placem_collection'!G54)</f>
        <v>42820</v>
      </c>
      <c r="O347" s="194">
        <f>IFERROR(INDEX('Both teabags AfterWet'!$C$3:$C$2000,MATCH(H347,'Both teabags AfterWet'!$A$3:$A$2000,0)),"")</f>
        <v>0.88200000000000001</v>
      </c>
      <c r="P347" s="194">
        <f>IFERROR(INDEX('Both teabags AfterWet'!$C$3:$C$2000,MATCH(I347,'Both teabags AfterWet'!$A$3:$A$2000,0)),"")</f>
        <v>1.546</v>
      </c>
      <c r="Q347" s="194">
        <f t="shared" si="39"/>
        <v>0.73140000000000005</v>
      </c>
      <c r="R347" s="194">
        <f t="shared" si="39"/>
        <v>1.3954</v>
      </c>
      <c r="S347" s="194">
        <f t="shared" si="40"/>
        <v>0.59949622166246852</v>
      </c>
      <c r="T347" s="194">
        <f t="shared" si="41"/>
        <v>0.39301890066233097</v>
      </c>
      <c r="U347" s="194">
        <f t="shared" si="42"/>
        <v>0.70254757829020231</v>
      </c>
      <c r="V347">
        <f t="shared" si="37"/>
        <v>54</v>
      </c>
      <c r="W347" s="194">
        <f t="shared" si="43"/>
        <v>0.28800923793055988</v>
      </c>
      <c r="X347" s="194">
        <f t="shared" si="44"/>
        <v>2.6185844148217393E-2</v>
      </c>
      <c r="Y347" s="245" t="str">
        <f>IF(ISNUMBER(SEARCH("C",'WetLitterbags placem_collection'!$Y54)),"YES","NO")</f>
        <v>NO</v>
      </c>
      <c r="Z347" s="245" t="str">
        <f>IF(ISNUMBER(SEARCH("H", 'WetLitterbags placem_collection'!$Y54)),"YES","NO")</f>
        <v>NO</v>
      </c>
      <c r="AA347" s="245" t="str">
        <f>IF(ISNUMBER(SEARCH("R", 'WetLitterbags placem_collection'!$Y54)),"YES","NO")</f>
        <v>YES</v>
      </c>
      <c r="AB347" s="245" t="str">
        <f>IF(ISNUMBER(SEARCH("C", 'WetLitterbags placem_collection'!$W54)),"YES","NO")</f>
        <v>NO</v>
      </c>
      <c r="AC347" s="245" t="str">
        <f>IF(ISNUMBER(SEARCH("H", 'WetLitterbags placem_collection'!$W54)),"YES","NO")</f>
        <v>YES</v>
      </c>
      <c r="AD347" s="245" t="str">
        <f>IF(ISNUMBER(SEARCH("R", 'WetLitterbags placem_collection'!$W54)),"YES","NO")</f>
        <v>NO</v>
      </c>
    </row>
    <row r="348" spans="2:30">
      <c r="B348" t="str">
        <f>Wetseason!B494</f>
        <v>Wet</v>
      </c>
      <c r="C348" s="253">
        <f>Wetseason!C494</f>
        <v>53</v>
      </c>
      <c r="D348" t="s">
        <v>3109</v>
      </c>
      <c r="E348" t="s">
        <v>25</v>
      </c>
      <c r="F348" s="375">
        <v>5</v>
      </c>
      <c r="G348" s="16">
        <f>'WetLitterbags placem_collection'!E55</f>
        <v>42766</v>
      </c>
      <c r="H348" s="92" t="str">
        <f>Wetseason!L494</f>
        <v>G683</v>
      </c>
      <c r="I348" t="str">
        <f>Wetseason!L714</f>
        <v>R113</v>
      </c>
      <c r="J348">
        <f>IFERROR(INDEX('Green_rooibos initial weight'!$C$5:$C$2000,MATCH(H348, 'Green_rooibos initial weight'!$A$5:$A$2000,0)),"")</f>
        <v>2.1179999999999999</v>
      </c>
      <c r="K348">
        <f>IFERROR(INDEX('Green_rooibos initial weight'!$C$5:$C$2000,MATCH(I348, 'Green_rooibos initial weight'!$A$5:$A$2000,0)),"")</f>
        <v>2.202</v>
      </c>
      <c r="L348" s="194">
        <f t="shared" si="38"/>
        <v>1.8681999999999999</v>
      </c>
      <c r="M348" s="194">
        <f t="shared" si="36"/>
        <v>1.9521999999999999</v>
      </c>
      <c r="N348" s="16">
        <f>IF('WetLitterbags placem_collection'!G55="","",'WetLitterbags placem_collection'!G55)</f>
        <v>42820</v>
      </c>
      <c r="O348" s="194" t="str">
        <f>IFERROR(INDEX('Both teabags AfterWet'!$C$3:$C$2000,MATCH(H348,'Both teabags AfterWet'!$A$3:$A$2000,0)),"")</f>
        <v/>
      </c>
      <c r="P348" s="194" t="str">
        <f>IFERROR(INDEX('Both teabags AfterWet'!$C$3:$C$2000,MATCH(I348,'Both teabags AfterWet'!$A$3:$A$2000,0)),"")</f>
        <v/>
      </c>
      <c r="Q348" s="194" t="str">
        <f t="shared" si="39"/>
        <v/>
      </c>
      <c r="R348" s="194" t="str">
        <f t="shared" si="39"/>
        <v/>
      </c>
      <c r="S348" s="194" t="str">
        <f t="shared" si="40"/>
        <v/>
      </c>
      <c r="T348" s="194" t="str">
        <f t="shared" si="41"/>
        <v/>
      </c>
      <c r="U348" s="194" t="str">
        <f t="shared" si="42"/>
        <v/>
      </c>
      <c r="V348">
        <f t="shared" si="37"/>
        <v>54</v>
      </c>
      <c r="W348" s="194" t="str">
        <f t="shared" si="43"/>
        <v/>
      </c>
      <c r="X348" s="194" t="str">
        <f t="shared" si="44"/>
        <v/>
      </c>
      <c r="Y348" s="245" t="str">
        <f>IF(ISNUMBER(SEARCH("C",'WetLitterbags placem_collection'!$Y55)),"YES","NO")</f>
        <v>NO</v>
      </c>
      <c r="Z348" s="245" t="str">
        <f>IF(ISNUMBER(SEARCH("H", 'WetLitterbags placem_collection'!$Y55)),"YES","NO")</f>
        <v>NO</v>
      </c>
      <c r="AA348" s="245" t="str">
        <f>IF(ISNUMBER(SEARCH("R", 'WetLitterbags placem_collection'!$Y55)),"YES","NO")</f>
        <v>NO</v>
      </c>
      <c r="AB348" s="245" t="str">
        <f>IF(ISNUMBER(SEARCH("C", 'WetLitterbags placem_collection'!$W55)),"YES","NO")</f>
        <v>NO</v>
      </c>
      <c r="AC348" s="245" t="str">
        <f>IF(ISNUMBER(SEARCH("H", 'WetLitterbags placem_collection'!$W55)),"YES","NO")</f>
        <v>NO</v>
      </c>
      <c r="AD348" s="245" t="str">
        <f>IF(ISNUMBER(SEARCH("R", 'WetLitterbags placem_collection'!$W55)),"YES","NO")</f>
        <v>NO</v>
      </c>
    </row>
    <row r="349" spans="2:30">
      <c r="B349" t="str">
        <f>Wetseason!B495</f>
        <v>Wet</v>
      </c>
      <c r="C349" s="253">
        <f>Wetseason!C495</f>
        <v>54</v>
      </c>
      <c r="D349" t="s">
        <v>3109</v>
      </c>
      <c r="E349" t="s">
        <v>25</v>
      </c>
      <c r="F349" s="375">
        <v>6</v>
      </c>
      <c r="G349" s="16">
        <f>'WetLitterbags placem_collection'!E56</f>
        <v>42766</v>
      </c>
      <c r="H349" s="92" t="str">
        <f>Wetseason!L495</f>
        <v>G288</v>
      </c>
      <c r="I349" t="str">
        <f>Wetseason!L715</f>
        <v>R441</v>
      </c>
      <c r="J349">
        <f>IFERROR(INDEX('Green_rooibos initial weight'!$C$5:$C$2000,MATCH(H349, 'Green_rooibos initial weight'!$A$5:$A$2000,0)),"")</f>
        <v>1.9830000000000001</v>
      </c>
      <c r="K349">
        <f>IFERROR(INDEX('Green_rooibos initial weight'!$C$5:$C$2000,MATCH(I349, 'Green_rooibos initial weight'!$A$5:$A$2000,0)),"")</f>
        <v>2.1280000000000001</v>
      </c>
      <c r="L349" s="194">
        <f t="shared" si="38"/>
        <v>1.7332000000000001</v>
      </c>
      <c r="M349" s="194">
        <f t="shared" si="36"/>
        <v>1.8782000000000001</v>
      </c>
      <c r="N349" s="16">
        <f>IF('WetLitterbags placem_collection'!G56="","",'WetLitterbags placem_collection'!G56)</f>
        <v>42820</v>
      </c>
      <c r="O349" s="194" t="str">
        <f>IFERROR(INDEX('Both teabags AfterWet'!$C$3:$C$2000,MATCH(H349,'Both teabags AfterWet'!$A$3:$A$2000,0)),"")</f>
        <v/>
      </c>
      <c r="P349" s="194" t="str">
        <f>IFERROR(INDEX('Both teabags AfterWet'!$C$3:$C$2000,MATCH(I349,'Both teabags AfterWet'!$A$3:$A$2000,0)),"")</f>
        <v/>
      </c>
      <c r="Q349" s="194" t="str">
        <f t="shared" si="39"/>
        <v/>
      </c>
      <c r="R349" s="194" t="str">
        <f t="shared" si="39"/>
        <v/>
      </c>
      <c r="S349" s="194" t="str">
        <f t="shared" si="40"/>
        <v/>
      </c>
      <c r="T349" s="194" t="str">
        <f t="shared" si="41"/>
        <v/>
      </c>
      <c r="U349" s="194" t="str">
        <f t="shared" si="42"/>
        <v/>
      </c>
      <c r="V349">
        <f t="shared" si="37"/>
        <v>54</v>
      </c>
      <c r="W349" s="194" t="str">
        <f t="shared" si="43"/>
        <v/>
      </c>
      <c r="X349" s="194" t="str">
        <f t="shared" si="44"/>
        <v/>
      </c>
      <c r="Y349" s="245" t="str">
        <f>IF(ISNUMBER(SEARCH("C",'WetLitterbags placem_collection'!$Y56)),"YES","NO")</f>
        <v>NO</v>
      </c>
      <c r="Z349" s="245" t="str">
        <f>IF(ISNUMBER(SEARCH("H", 'WetLitterbags placem_collection'!$Y56)),"YES","NO")</f>
        <v>NO</v>
      </c>
      <c r="AA349" s="245" t="str">
        <f>IF(ISNUMBER(SEARCH("R", 'WetLitterbags placem_collection'!$Y56)),"YES","NO")</f>
        <v>NO</v>
      </c>
      <c r="AB349" s="245" t="str">
        <f>IF(ISNUMBER(SEARCH("C", 'WetLitterbags placem_collection'!$W56)),"YES","NO")</f>
        <v>NO</v>
      </c>
      <c r="AC349" s="245" t="str">
        <f>IF(ISNUMBER(SEARCH("H", 'WetLitterbags placem_collection'!$W56)),"YES","NO")</f>
        <v>NO</v>
      </c>
      <c r="AD349" s="245" t="str">
        <f>IF(ISNUMBER(SEARCH("R", 'WetLitterbags placem_collection'!$W56)),"YES","NO")</f>
        <v>NO</v>
      </c>
    </row>
    <row r="350" spans="2:30">
      <c r="B350" t="str">
        <f>Wetseason!B496</f>
        <v>Wet</v>
      </c>
      <c r="C350" s="253">
        <f>Wetseason!C496</f>
        <v>55</v>
      </c>
      <c r="D350" t="s">
        <v>3109</v>
      </c>
      <c r="E350" t="s">
        <v>25</v>
      </c>
      <c r="F350" s="375">
        <v>7</v>
      </c>
      <c r="G350" s="16">
        <f>'WetLitterbags placem_collection'!E57</f>
        <v>42766</v>
      </c>
      <c r="H350" s="92" t="str">
        <f>Wetseason!L496</f>
        <v>G616</v>
      </c>
      <c r="I350" t="str">
        <f>Wetseason!L716</f>
        <v>R53</v>
      </c>
      <c r="J350">
        <f>IFERROR(INDEX('Green_rooibos initial weight'!$C$5:$C$2000,MATCH(H350, 'Green_rooibos initial weight'!$A$5:$A$2000,0)),"")</f>
        <v>1.978</v>
      </c>
      <c r="K350">
        <f>IFERROR(INDEX('Green_rooibos initial weight'!$C$5:$C$2000,MATCH(I350, 'Green_rooibos initial weight'!$A$5:$A$2000,0)),"")</f>
        <v>2.2829999999999999</v>
      </c>
      <c r="L350" s="194">
        <f t="shared" si="38"/>
        <v>1.7282</v>
      </c>
      <c r="M350" s="194">
        <f t="shared" si="36"/>
        <v>2.0331999999999999</v>
      </c>
      <c r="N350" s="16">
        <f>IF('WetLitterbags placem_collection'!G57="","",'WetLitterbags placem_collection'!G57)</f>
        <v>42820</v>
      </c>
      <c r="O350" s="194">
        <f>IFERROR(INDEX('Both teabags AfterWet'!$C$3:$C$2000,MATCH(H350,'Both teabags AfterWet'!$A$3:$A$2000,0)),"")</f>
        <v>0.93200000000000005</v>
      </c>
      <c r="P350" s="194">
        <f>IFERROR(INDEX('Both teabags AfterWet'!$C$3:$C$2000,MATCH(I350,'Both teabags AfterWet'!$A$3:$A$2000,0)),"")</f>
        <v>1.5207999999999999</v>
      </c>
      <c r="Q350" s="194">
        <f t="shared" si="39"/>
        <v>0.78140000000000009</v>
      </c>
      <c r="R350" s="194">
        <f t="shared" si="39"/>
        <v>1.3701999999999999</v>
      </c>
      <c r="S350" s="194">
        <f t="shared" si="40"/>
        <v>0.54785325772480031</v>
      </c>
      <c r="T350" s="194">
        <f t="shared" si="41"/>
        <v>0.35916270577682874</v>
      </c>
      <c r="U350" s="194">
        <f t="shared" si="42"/>
        <v>0.67391304347826086</v>
      </c>
      <c r="V350">
        <f t="shared" si="37"/>
        <v>54</v>
      </c>
      <c r="W350" s="194">
        <f t="shared" si="43"/>
        <v>0.34934292431733927</v>
      </c>
      <c r="X350" s="194">
        <f t="shared" si="44"/>
        <v>4.4166206338701691E-2</v>
      </c>
      <c r="Y350" s="245" t="str">
        <f>IF(ISNUMBER(SEARCH("C",'WetLitterbags placem_collection'!$Y57)),"YES","NO")</f>
        <v>NO</v>
      </c>
      <c r="Z350" s="245" t="str">
        <f>IF(ISNUMBER(SEARCH("H", 'WetLitterbags placem_collection'!$Y57)),"YES","NO")</f>
        <v>NO</v>
      </c>
      <c r="AA350" s="245" t="str">
        <f>IF(ISNUMBER(SEARCH("R", 'WetLitterbags placem_collection'!$Y57)),"YES","NO")</f>
        <v>NO</v>
      </c>
      <c r="AB350" s="245" t="str">
        <f>IF(ISNUMBER(SEARCH("C", 'WetLitterbags placem_collection'!$W57)),"YES","NO")</f>
        <v>NO</v>
      </c>
      <c r="AC350" s="245" t="str">
        <f>IF(ISNUMBER(SEARCH("H", 'WetLitterbags placem_collection'!$W57)),"YES","NO")</f>
        <v>YES</v>
      </c>
      <c r="AD350" s="245" t="str">
        <f>IF(ISNUMBER(SEARCH("R", 'WetLitterbags placem_collection'!$W57)),"YES","NO")</f>
        <v>NO</v>
      </c>
    </row>
    <row r="351" spans="2:30">
      <c r="B351" t="str">
        <f>Wetseason!B497</f>
        <v>Wet</v>
      </c>
      <c r="C351" s="253">
        <f>Wetseason!C497</f>
        <v>56</v>
      </c>
      <c r="D351" t="s">
        <v>3109</v>
      </c>
      <c r="E351" t="s">
        <v>25</v>
      </c>
      <c r="F351" s="375">
        <v>8</v>
      </c>
      <c r="G351" s="16">
        <f>'WetLitterbags placem_collection'!E58</f>
        <v>42766</v>
      </c>
      <c r="H351" s="92" t="str">
        <f>Wetseason!L497</f>
        <v>G557</v>
      </c>
      <c r="I351" t="str">
        <f>Wetseason!L717</f>
        <v>R58</v>
      </c>
      <c r="J351">
        <f>IFERROR(INDEX('Green_rooibos initial weight'!$C$5:$C$2000,MATCH(H351, 'Green_rooibos initial weight'!$A$5:$A$2000,0)),"")</f>
        <v>2.12</v>
      </c>
      <c r="K351">
        <f>IFERROR(INDEX('Green_rooibos initial weight'!$C$5:$C$2000,MATCH(I351, 'Green_rooibos initial weight'!$A$5:$A$2000,0)),"")</f>
        <v>2.1760000000000002</v>
      </c>
      <c r="L351" s="194">
        <f t="shared" si="38"/>
        <v>1.8702000000000001</v>
      </c>
      <c r="M351" s="194">
        <f t="shared" si="36"/>
        <v>1.9262000000000001</v>
      </c>
      <c r="N351" s="16">
        <f>IF('WetLitterbags placem_collection'!G58="","",'WetLitterbags placem_collection'!G58)</f>
        <v>42820</v>
      </c>
      <c r="O351" s="194">
        <f>IFERROR(INDEX('Both teabags AfterWet'!$C$3:$C$2000,MATCH(H351,'Both teabags AfterWet'!$A$3:$A$2000,0)),"")</f>
        <v>0.74399999999999999</v>
      </c>
      <c r="P351" s="194">
        <f>IFERROR(INDEX('Both teabags AfterWet'!$C$3:$C$2000,MATCH(I351,'Both teabags AfterWet'!$A$3:$A$2000,0)),"")</f>
        <v>1.5980000000000001</v>
      </c>
      <c r="Q351" s="194">
        <f t="shared" si="39"/>
        <v>0.59339999999999993</v>
      </c>
      <c r="R351" s="194">
        <f t="shared" si="39"/>
        <v>1.4474</v>
      </c>
      <c r="S351" s="194">
        <f t="shared" si="40"/>
        <v>0.68270773179339117</v>
      </c>
      <c r="T351" s="194">
        <f t="shared" si="41"/>
        <v>0.44757086454863654</v>
      </c>
      <c r="U351" s="194">
        <f t="shared" si="42"/>
        <v>0.75142768144533278</v>
      </c>
      <c r="V351">
        <f t="shared" si="37"/>
        <v>54</v>
      </c>
      <c r="W351" s="194">
        <f t="shared" si="43"/>
        <v>0.18918321639739766</v>
      </c>
      <c r="X351" s="194">
        <f t="shared" si="44"/>
        <v>1.5009951177338386E-2</v>
      </c>
      <c r="Y351" s="245" t="str">
        <f>IF(ISNUMBER(SEARCH("C",'WetLitterbags placem_collection'!$Y58)),"YES","NO")</f>
        <v>NO</v>
      </c>
      <c r="Z351" s="245" t="str">
        <f>IF(ISNUMBER(SEARCH("H", 'WetLitterbags placem_collection'!$Y58)),"YES","NO")</f>
        <v>NO</v>
      </c>
      <c r="AA351" s="245" t="str">
        <f>IF(ISNUMBER(SEARCH("R", 'WetLitterbags placem_collection'!$Y58)),"YES","NO")</f>
        <v>NO</v>
      </c>
      <c r="AB351" s="245" t="str">
        <f>IF(ISNUMBER(SEARCH("C", 'WetLitterbags placem_collection'!$W58)),"YES","NO")</f>
        <v>YES</v>
      </c>
      <c r="AC351" s="245" t="str">
        <f>IF(ISNUMBER(SEARCH("H", 'WetLitterbags placem_collection'!$W58)),"YES","NO")</f>
        <v>YES</v>
      </c>
      <c r="AD351" s="245" t="str">
        <f>IF(ISNUMBER(SEARCH("R", 'WetLitterbags placem_collection'!$W58)),"YES","NO")</f>
        <v>NO</v>
      </c>
    </row>
    <row r="352" spans="2:30">
      <c r="B352" t="str">
        <f>Wetseason!B498</f>
        <v>Wet</v>
      </c>
      <c r="C352" s="253">
        <f>Wetseason!C498</f>
        <v>57</v>
      </c>
      <c r="D352" t="s">
        <v>3110</v>
      </c>
      <c r="E352" t="s">
        <v>25</v>
      </c>
      <c r="F352" s="374">
        <v>1</v>
      </c>
      <c r="G352" s="16">
        <f>'WetLitterbags placem_collection'!E59</f>
        <v>42766</v>
      </c>
      <c r="H352" s="92" t="str">
        <f>Wetseason!L498</f>
        <v>G618</v>
      </c>
      <c r="I352" t="str">
        <f>Wetseason!L718</f>
        <v>R435</v>
      </c>
      <c r="J352">
        <f>IFERROR(INDEX('Green_rooibos initial weight'!$C$5:$C$2000,MATCH(H352, 'Green_rooibos initial weight'!$A$5:$A$2000,0)),"")</f>
        <v>2.0449999999999999</v>
      </c>
      <c r="K352">
        <f>IFERROR(INDEX('Green_rooibos initial weight'!$C$5:$C$2000,MATCH(I352, 'Green_rooibos initial weight'!$A$5:$A$2000,0)),"")</f>
        <v>2.141</v>
      </c>
      <c r="L352" s="194">
        <f t="shared" si="38"/>
        <v>1.7951999999999999</v>
      </c>
      <c r="M352" s="194">
        <f t="shared" si="36"/>
        <v>1.8912</v>
      </c>
      <c r="N352" s="16">
        <f>IF('WetLitterbags placem_collection'!G59="","",'WetLitterbags placem_collection'!G59)</f>
        <v>42820</v>
      </c>
      <c r="O352" s="194">
        <f>IFERROR(INDEX('Both teabags AfterWet'!$C$3:$C$2000,MATCH(H352,'Both teabags AfterWet'!$A$3:$A$2000,0)),"")</f>
        <v>0.88129999999999997</v>
      </c>
      <c r="P352" s="194">
        <f>IFERROR(INDEX('Both teabags AfterWet'!$C$3:$C$2000,MATCH(I352,'Both teabags AfterWet'!$A$3:$A$2000,0)),"")</f>
        <v>1.4594</v>
      </c>
      <c r="Q352" s="194">
        <f t="shared" si="39"/>
        <v>0.73069999999999991</v>
      </c>
      <c r="R352" s="194">
        <f t="shared" si="39"/>
        <v>1.3088</v>
      </c>
      <c r="S352" s="194">
        <f t="shared" si="40"/>
        <v>0.59297014260249559</v>
      </c>
      <c r="T352" s="194">
        <f t="shared" si="41"/>
        <v>0.38874052104106599</v>
      </c>
      <c r="U352" s="194">
        <f t="shared" si="42"/>
        <v>0.69204737732656507</v>
      </c>
      <c r="V352">
        <f t="shared" si="37"/>
        <v>54</v>
      </c>
      <c r="W352" s="194">
        <f t="shared" si="43"/>
        <v>0.29575992565024278</v>
      </c>
      <c r="X352" s="194">
        <f t="shared" si="44"/>
        <v>2.9094164784998048E-2</v>
      </c>
      <c r="Y352" s="245" t="str">
        <f>IF(ISNUMBER(SEARCH("C",'WetLitterbags placem_collection'!$Y59)),"YES","NO")</f>
        <v>NO</v>
      </c>
      <c r="Z352" s="245" t="str">
        <f>IF(ISNUMBER(SEARCH("H", 'WetLitterbags placem_collection'!$Y59)),"YES","NO")</f>
        <v>NO</v>
      </c>
      <c r="AA352" s="245" t="str">
        <f>IF(ISNUMBER(SEARCH("R", 'WetLitterbags placem_collection'!$Y59)),"YES","NO")</f>
        <v>YES</v>
      </c>
      <c r="AB352" s="245" t="str">
        <f>IF(ISNUMBER(SEARCH("C", 'WetLitterbags placem_collection'!$W59)),"YES","NO")</f>
        <v>NO</v>
      </c>
      <c r="AC352" s="245" t="str">
        <f>IF(ISNUMBER(SEARCH("H", 'WetLitterbags placem_collection'!$W59)),"YES","NO")</f>
        <v>YES</v>
      </c>
      <c r="AD352" s="245" t="str">
        <f>IF(ISNUMBER(SEARCH("R", 'WetLitterbags placem_collection'!$W59)),"YES","NO")</f>
        <v>YES</v>
      </c>
    </row>
    <row r="353" spans="2:30">
      <c r="B353" t="str">
        <f>Wetseason!B499</f>
        <v>Wet</v>
      </c>
      <c r="C353" s="253">
        <f>Wetseason!C499</f>
        <v>58</v>
      </c>
      <c r="D353" t="s">
        <v>3110</v>
      </c>
      <c r="E353" t="s">
        <v>25</v>
      </c>
      <c r="F353" s="374">
        <v>2</v>
      </c>
      <c r="G353" s="16">
        <f>'WetLitterbags placem_collection'!E60</f>
        <v>42766</v>
      </c>
      <c r="H353" s="92" t="str">
        <f>Wetseason!L499</f>
        <v>G593</v>
      </c>
      <c r="I353" t="str">
        <f>Wetseason!L719</f>
        <v>R31</v>
      </c>
      <c r="J353">
        <f>IFERROR(INDEX('Green_rooibos initial weight'!$C$5:$C$2000,MATCH(H353, 'Green_rooibos initial weight'!$A$5:$A$2000,0)),"")</f>
        <v>2.093</v>
      </c>
      <c r="K353">
        <f>IFERROR(INDEX('Green_rooibos initial weight'!$C$5:$C$2000,MATCH(I353, 'Green_rooibos initial weight'!$A$5:$A$2000,0)),"")</f>
        <v>2.1589999999999998</v>
      </c>
      <c r="L353" s="194">
        <f t="shared" si="38"/>
        <v>1.8431999999999999</v>
      </c>
      <c r="M353" s="194">
        <f t="shared" si="36"/>
        <v>1.9091999999999998</v>
      </c>
      <c r="N353" s="16">
        <f>IF('WetLitterbags placem_collection'!G60="","",'WetLitterbags placem_collection'!G60)</f>
        <v>42820</v>
      </c>
      <c r="O353" s="194">
        <f>IFERROR(INDEX('Both teabags AfterWet'!$C$3:$C$2000,MATCH(H353,'Both teabags AfterWet'!$A$3:$A$2000,0)),"")</f>
        <v>0.97009999999999996</v>
      </c>
      <c r="P353" s="194">
        <f>IFERROR(INDEX('Both teabags AfterWet'!$C$3:$C$2000,MATCH(I353,'Both teabags AfterWet'!$A$3:$A$2000,0)),"")</f>
        <v>1.1857</v>
      </c>
      <c r="Q353" s="194">
        <f t="shared" si="39"/>
        <v>0.8194999999999999</v>
      </c>
      <c r="R353" s="194">
        <f t="shared" si="39"/>
        <v>1.0350999999999999</v>
      </c>
      <c r="S353" s="194">
        <f t="shared" si="40"/>
        <v>0.55539279513888895</v>
      </c>
      <c r="T353" s="194">
        <f t="shared" si="41"/>
        <v>0.36410549039984169</v>
      </c>
      <c r="U353" s="194">
        <f t="shared" si="42"/>
        <v>0.54216425728053641</v>
      </c>
      <c r="V353">
        <f t="shared" si="37"/>
        <v>54</v>
      </c>
      <c r="W353" s="194">
        <f t="shared" si="43"/>
        <v>0.34038860434811291</v>
      </c>
      <c r="X353" s="194" t="str">
        <f t="shared" si="44"/>
        <v/>
      </c>
      <c r="Y353" s="245" t="str">
        <f>IF(ISNUMBER(SEARCH("C",'WetLitterbags placem_collection'!$Y60)),"YES","NO")</f>
        <v>NO</v>
      </c>
      <c r="Z353" s="245" t="str">
        <f>IF(ISNUMBER(SEARCH("H", 'WetLitterbags placem_collection'!$Y60)),"YES","NO")</f>
        <v>NO</v>
      </c>
      <c r="AA353" s="245" t="str">
        <f>IF(ISNUMBER(SEARCH("R", 'WetLitterbags placem_collection'!$Y60)),"YES","NO")</f>
        <v>NO</v>
      </c>
      <c r="AB353" s="245" t="str">
        <f>IF(ISNUMBER(SEARCH("C", 'WetLitterbags placem_collection'!$W60)),"YES","NO")</f>
        <v>NO</v>
      </c>
      <c r="AC353" s="245" t="str">
        <f>IF(ISNUMBER(SEARCH("H", 'WetLitterbags placem_collection'!$W60)),"YES","NO")</f>
        <v>YES</v>
      </c>
      <c r="AD353" s="245" t="str">
        <f>IF(ISNUMBER(SEARCH("R", 'WetLitterbags placem_collection'!$W60)),"YES","NO")</f>
        <v>NO</v>
      </c>
    </row>
    <row r="354" spans="2:30">
      <c r="B354" t="str">
        <f>Wetseason!B500</f>
        <v>Wet</v>
      </c>
      <c r="C354" s="253">
        <f>Wetseason!C500</f>
        <v>59</v>
      </c>
      <c r="D354" t="s">
        <v>3110</v>
      </c>
      <c r="E354" t="s">
        <v>25</v>
      </c>
      <c r="F354" s="374">
        <v>3</v>
      </c>
      <c r="G354" s="16">
        <f>'WetLitterbags placem_collection'!E61</f>
        <v>42766</v>
      </c>
      <c r="H354" s="92" t="str">
        <f>Wetseason!L500</f>
        <v>G600</v>
      </c>
      <c r="I354" t="str">
        <f>Wetseason!L720</f>
        <v>R120</v>
      </c>
      <c r="J354">
        <f>IFERROR(INDEX('Green_rooibos initial weight'!$C$5:$C$2000,MATCH(H354, 'Green_rooibos initial weight'!$A$5:$A$2000,0)),"")</f>
        <v>2.0049999999999999</v>
      </c>
      <c r="K354">
        <f>IFERROR(INDEX('Green_rooibos initial weight'!$C$5:$C$2000,MATCH(I354, 'Green_rooibos initial weight'!$A$5:$A$2000,0)),"")</f>
        <v>2.2450000000000001</v>
      </c>
      <c r="L354" s="194">
        <f t="shared" si="38"/>
        <v>1.7551999999999999</v>
      </c>
      <c r="M354" s="194">
        <f t="shared" si="36"/>
        <v>1.9952000000000001</v>
      </c>
      <c r="N354" s="16">
        <f>IF('WetLitterbags placem_collection'!G61="","",'WetLitterbags placem_collection'!G61)</f>
        <v>42820</v>
      </c>
      <c r="O354" s="194">
        <f>IFERROR(INDEX('Both teabags AfterWet'!$C$3:$C$2000,MATCH(H354,'Both teabags AfterWet'!$A$3:$A$2000,0)),"")</f>
        <v>0.90200000000000002</v>
      </c>
      <c r="P354" s="194">
        <f>IFERROR(INDEX('Both teabags AfterWet'!$C$3:$C$2000,MATCH(I354,'Both teabags AfterWet'!$A$3:$A$2000,0)),"")</f>
        <v>1.4690000000000001</v>
      </c>
      <c r="Q354" s="194">
        <f t="shared" si="39"/>
        <v>0.75140000000000007</v>
      </c>
      <c r="R354" s="194">
        <f t="shared" si="39"/>
        <v>1.3184</v>
      </c>
      <c r="S354" s="194">
        <f t="shared" si="40"/>
        <v>0.57190063810391978</v>
      </c>
      <c r="T354" s="194">
        <f t="shared" si="41"/>
        <v>0.37492773424389997</v>
      </c>
      <c r="U354" s="194">
        <f t="shared" si="42"/>
        <v>0.66078588612670408</v>
      </c>
      <c r="V354">
        <f t="shared" si="37"/>
        <v>54</v>
      </c>
      <c r="W354" s="194">
        <f t="shared" si="43"/>
        <v>0.32078309013786244</v>
      </c>
      <c r="X354" s="194">
        <f t="shared" si="44"/>
        <v>4.3540762216786329E-2</v>
      </c>
      <c r="Y354" s="245" t="str">
        <f>IF(ISNUMBER(SEARCH("C",'WetLitterbags placem_collection'!$Y61)),"YES","NO")</f>
        <v>NO</v>
      </c>
      <c r="Z354" s="245" t="str">
        <f>IF(ISNUMBER(SEARCH("H", 'WetLitterbags placem_collection'!$Y61)),"YES","NO")</f>
        <v>NO</v>
      </c>
      <c r="AA354" s="245" t="str">
        <f>IF(ISNUMBER(SEARCH("R", 'WetLitterbags placem_collection'!$Y61)),"YES","NO")</f>
        <v>NO</v>
      </c>
      <c r="AB354" s="245" t="str">
        <f>IF(ISNUMBER(SEARCH("C", 'WetLitterbags placem_collection'!$W61)),"YES","NO")</f>
        <v>NO</v>
      </c>
      <c r="AC354" s="245" t="str">
        <f>IF(ISNUMBER(SEARCH("H", 'WetLitterbags placem_collection'!$W61)),"YES","NO")</f>
        <v>NO</v>
      </c>
      <c r="AD354" s="245" t="str">
        <f>IF(ISNUMBER(SEARCH("R", 'WetLitterbags placem_collection'!$W61)),"YES","NO")</f>
        <v>NO</v>
      </c>
    </row>
    <row r="355" spans="2:30">
      <c r="B355" t="str">
        <f>Wetseason!B501</f>
        <v>Wet</v>
      </c>
      <c r="C355" s="253">
        <f>Wetseason!C501</f>
        <v>60</v>
      </c>
      <c r="D355" t="s">
        <v>3110</v>
      </c>
      <c r="E355" t="s">
        <v>25</v>
      </c>
      <c r="F355" s="375">
        <v>4</v>
      </c>
      <c r="G355" s="16">
        <f>'WetLitterbags placem_collection'!E62</f>
        <v>42766</v>
      </c>
      <c r="H355" s="92" t="str">
        <f>Wetseason!L501</f>
        <v>G535</v>
      </c>
      <c r="I355" t="str">
        <f>Wetseason!L721</f>
        <v>R390</v>
      </c>
      <c r="J355">
        <f>IFERROR(INDEX('Green_rooibos initial weight'!$C$5:$C$2000,MATCH(H355, 'Green_rooibos initial weight'!$A$5:$A$2000,0)),"")</f>
        <v>2.0920000000000001</v>
      </c>
      <c r="K355">
        <f>IFERROR(INDEX('Green_rooibos initial weight'!$C$5:$C$2000,MATCH(I355, 'Green_rooibos initial weight'!$A$5:$A$2000,0)),"")</f>
        <v>2.2480000000000002</v>
      </c>
      <c r="L355" s="194">
        <f t="shared" si="38"/>
        <v>1.8422000000000001</v>
      </c>
      <c r="M355" s="194">
        <f t="shared" si="36"/>
        <v>1.9982000000000002</v>
      </c>
      <c r="N355" s="16">
        <f>IF('WetLitterbags placem_collection'!G62="","",'WetLitterbags placem_collection'!G62)</f>
        <v>42820</v>
      </c>
      <c r="O355" s="194">
        <f>IFERROR(INDEX('Both teabags AfterWet'!$C$3:$C$2000,MATCH(H355,'Both teabags AfterWet'!$A$3:$A$2000,0)),"")</f>
        <v>0.78</v>
      </c>
      <c r="P355" s="194">
        <f>IFERROR(INDEX('Both teabags AfterWet'!$C$3:$C$2000,MATCH(I355,'Both teabags AfterWet'!$A$3:$A$2000,0)),"")</f>
        <v>1.5309999999999999</v>
      </c>
      <c r="Q355" s="194">
        <f t="shared" si="39"/>
        <v>0.62939999999999996</v>
      </c>
      <c r="R355" s="194">
        <f t="shared" si="39"/>
        <v>1.3803999999999998</v>
      </c>
      <c r="S355" s="194">
        <f t="shared" si="40"/>
        <v>0.65834328520247531</v>
      </c>
      <c r="T355" s="194">
        <f t="shared" si="41"/>
        <v>0.43159797319687221</v>
      </c>
      <c r="U355" s="194">
        <f t="shared" si="42"/>
        <v>0.69082173956560888</v>
      </c>
      <c r="V355">
        <f t="shared" si="37"/>
        <v>54</v>
      </c>
      <c r="W355" s="194">
        <f t="shared" si="43"/>
        <v>0.21811961377378231</v>
      </c>
      <c r="X355" s="194">
        <f t="shared" si="44"/>
        <v>2.3334057930723615E-2</v>
      </c>
      <c r="Y355" s="245" t="str">
        <f>IF(ISNUMBER(SEARCH("C",'WetLitterbags placem_collection'!$Y62)),"YES","NO")</f>
        <v>NO</v>
      </c>
      <c r="Z355" s="245" t="str">
        <f>IF(ISNUMBER(SEARCH("H", 'WetLitterbags placem_collection'!$Y62)),"YES","NO")</f>
        <v>YES</v>
      </c>
      <c r="AA355" s="245" t="str">
        <f>IF(ISNUMBER(SEARCH("R", 'WetLitterbags placem_collection'!$Y62)),"YES","NO")</f>
        <v>NO</v>
      </c>
      <c r="AB355" s="245" t="str">
        <f>IF(ISNUMBER(SEARCH("C", 'WetLitterbags placem_collection'!$W62)),"YES","NO")</f>
        <v>NO</v>
      </c>
      <c r="AC355" s="245" t="str">
        <f>IF(ISNUMBER(SEARCH("H", 'WetLitterbags placem_collection'!$W62)),"YES","NO")</f>
        <v>NO</v>
      </c>
      <c r="AD355" s="245" t="str">
        <f>IF(ISNUMBER(SEARCH("R", 'WetLitterbags placem_collection'!$W62)),"YES","NO")</f>
        <v>NO</v>
      </c>
    </row>
    <row r="356" spans="2:30">
      <c r="B356" t="str">
        <f>Wetseason!B502</f>
        <v>Wet</v>
      </c>
      <c r="C356" s="253">
        <f>Wetseason!C502</f>
        <v>61</v>
      </c>
      <c r="D356" t="s">
        <v>3110</v>
      </c>
      <c r="E356" t="s">
        <v>25</v>
      </c>
      <c r="F356" s="375">
        <v>5</v>
      </c>
      <c r="G356" s="16">
        <f>'WetLitterbags placem_collection'!E63</f>
        <v>42766</v>
      </c>
      <c r="H356" s="92" t="str">
        <f>Wetseason!L502</f>
        <v>G391</v>
      </c>
      <c r="I356" t="str">
        <f>Wetseason!L722</f>
        <v>R143</v>
      </c>
      <c r="J356">
        <f>IFERROR(INDEX('Green_rooibos initial weight'!$C$5:$C$2000,MATCH(H356, 'Green_rooibos initial weight'!$A$5:$A$2000,0)),"")</f>
        <v>1.9419999999999999</v>
      </c>
      <c r="K356">
        <f>IFERROR(INDEX('Green_rooibos initial weight'!$C$5:$C$2000,MATCH(I356, 'Green_rooibos initial weight'!$A$5:$A$2000,0)),"")</f>
        <v>2.1560000000000001</v>
      </c>
      <c r="L356" s="194">
        <f t="shared" si="38"/>
        <v>1.6921999999999999</v>
      </c>
      <c r="M356" s="194">
        <f t="shared" si="36"/>
        <v>1.9062000000000001</v>
      </c>
      <c r="N356" s="16">
        <f>IF('WetLitterbags placem_collection'!G63="","",'WetLitterbags placem_collection'!G63)</f>
        <v>42820</v>
      </c>
      <c r="O356" s="194">
        <f>IFERROR(INDEX('Both teabags AfterWet'!$C$3:$C$2000,MATCH(H356,'Both teabags AfterWet'!$A$3:$A$2000,0)),"")</f>
        <v>0.628</v>
      </c>
      <c r="P356" s="194">
        <f>IFERROR(INDEX('Both teabags AfterWet'!$C$3:$C$2000,MATCH(I356,'Both teabags AfterWet'!$A$3:$A$2000,0)),"")</f>
        <v>1.581</v>
      </c>
      <c r="Q356" s="194">
        <f t="shared" si="39"/>
        <v>0.47739999999999999</v>
      </c>
      <c r="R356" s="194">
        <f t="shared" si="39"/>
        <v>1.4303999999999999</v>
      </c>
      <c r="S356" s="194">
        <f t="shared" si="40"/>
        <v>0.71788204703935699</v>
      </c>
      <c r="T356" s="194">
        <f t="shared" si="41"/>
        <v>0.47063051064812961</v>
      </c>
      <c r="U356" s="194">
        <f t="shared" si="42"/>
        <v>0.75039345294302795</v>
      </c>
      <c r="V356">
        <f t="shared" si="37"/>
        <v>54</v>
      </c>
      <c r="W356" s="194">
        <f t="shared" si="43"/>
        <v>0.14740849520266386</v>
      </c>
      <c r="X356" s="194">
        <f t="shared" si="44"/>
        <v>1.3996336657769519E-2</v>
      </c>
      <c r="Y356" s="245" t="str">
        <f>IF(ISNUMBER(SEARCH("C",'WetLitterbags placem_collection'!$Y63)),"YES","NO")</f>
        <v>NO</v>
      </c>
      <c r="Z356" s="245" t="str">
        <f>IF(ISNUMBER(SEARCH("H", 'WetLitterbags placem_collection'!$Y63)),"YES","NO")</f>
        <v>NO</v>
      </c>
      <c r="AA356" s="245" t="str">
        <f>IF(ISNUMBER(SEARCH("R", 'WetLitterbags placem_collection'!$Y63)),"YES","NO")</f>
        <v>NO</v>
      </c>
      <c r="AB356" s="245" t="str">
        <f>IF(ISNUMBER(SEARCH("C", 'WetLitterbags placem_collection'!$W63)),"YES","NO")</f>
        <v>YES</v>
      </c>
      <c r="AC356" s="245" t="str">
        <f>IF(ISNUMBER(SEARCH("H", 'WetLitterbags placem_collection'!$W63)),"YES","NO")</f>
        <v>YES</v>
      </c>
      <c r="AD356" s="245" t="str">
        <f>IF(ISNUMBER(SEARCH("R", 'WetLitterbags placem_collection'!$W63)),"YES","NO")</f>
        <v>NO</v>
      </c>
    </row>
    <row r="357" spans="2:30">
      <c r="B357" t="str">
        <f>Wetseason!B503</f>
        <v>Wet</v>
      </c>
      <c r="C357" s="253">
        <f>Wetseason!C503</f>
        <v>62</v>
      </c>
      <c r="D357" t="s">
        <v>3110</v>
      </c>
      <c r="E357" t="s">
        <v>25</v>
      </c>
      <c r="F357" s="375">
        <v>6</v>
      </c>
      <c r="G357" s="16">
        <f>'WetLitterbags placem_collection'!E64</f>
        <v>42766</v>
      </c>
      <c r="H357" s="92" t="str">
        <f>Wetseason!L503</f>
        <v>G445</v>
      </c>
      <c r="I357" t="str">
        <f>Wetseason!L723</f>
        <v>R448</v>
      </c>
      <c r="J357">
        <f>IFERROR(INDEX('Green_rooibos initial weight'!$C$5:$C$2000,MATCH(H357, 'Green_rooibos initial weight'!$A$5:$A$2000,0)),"")</f>
        <v>2.1150000000000002</v>
      </c>
      <c r="K357">
        <f>IFERROR(INDEX('Green_rooibos initial weight'!$C$5:$C$2000,MATCH(I357, 'Green_rooibos initial weight'!$A$5:$A$2000,0)),"")</f>
        <v>2.2029999999999998</v>
      </c>
      <c r="L357" s="194">
        <f t="shared" si="38"/>
        <v>1.8652000000000002</v>
      </c>
      <c r="M357" s="194">
        <f t="shared" si="36"/>
        <v>1.9531999999999998</v>
      </c>
      <c r="N357" s="16">
        <f>IF('WetLitterbags placem_collection'!G64="","",'WetLitterbags placem_collection'!G64)</f>
        <v>42820</v>
      </c>
      <c r="O357" s="194">
        <f>IFERROR(INDEX('Both teabags AfterWet'!$C$3:$C$2000,MATCH(H357,'Both teabags AfterWet'!$A$3:$A$2000,0)),"")</f>
        <v>0.80569999999999997</v>
      </c>
      <c r="P357" s="194">
        <f>IFERROR(INDEX('Both teabags AfterWet'!$C$3:$C$2000,MATCH(I357,'Both teabags AfterWet'!$A$3:$A$2000,0)),"")</f>
        <v>1.5379</v>
      </c>
      <c r="Q357" s="194">
        <f t="shared" si="39"/>
        <v>0.65510000000000002</v>
      </c>
      <c r="R357" s="194">
        <f t="shared" si="39"/>
        <v>1.3873</v>
      </c>
      <c r="S357" s="194">
        <f t="shared" si="40"/>
        <v>0.64877761098005582</v>
      </c>
      <c r="T357" s="194">
        <f t="shared" si="41"/>
        <v>0.42532688985865896</v>
      </c>
      <c r="U357" s="194">
        <f t="shared" si="42"/>
        <v>0.71027032561949621</v>
      </c>
      <c r="V357">
        <f t="shared" si="37"/>
        <v>54</v>
      </c>
      <c r="W357" s="194">
        <f t="shared" si="43"/>
        <v>0.22948027199518306</v>
      </c>
      <c r="X357" s="194">
        <f t="shared" si="44"/>
        <v>2.1169799729873304E-2</v>
      </c>
      <c r="Y357" s="245" t="str">
        <f>IF(ISNUMBER(SEARCH("C",'WetLitterbags placem_collection'!$Y64)),"YES","NO")</f>
        <v>NO</v>
      </c>
      <c r="Z357" s="245" t="str">
        <f>IF(ISNUMBER(SEARCH("H", 'WetLitterbags placem_collection'!$Y64)),"YES","NO")</f>
        <v>NO</v>
      </c>
      <c r="AA357" s="245" t="str">
        <f>IF(ISNUMBER(SEARCH("R", 'WetLitterbags placem_collection'!$Y64)),"YES","NO")</f>
        <v>NO</v>
      </c>
      <c r="AB357" s="245" t="str">
        <f>IF(ISNUMBER(SEARCH("C", 'WetLitterbags placem_collection'!$W64)),"YES","NO")</f>
        <v>NO</v>
      </c>
      <c r="AC357" s="245" t="str">
        <f>IF(ISNUMBER(SEARCH("H", 'WetLitterbags placem_collection'!$W64)),"YES","NO")</f>
        <v>YES</v>
      </c>
      <c r="AD357" s="245" t="str">
        <f>IF(ISNUMBER(SEARCH("R", 'WetLitterbags placem_collection'!$W64)),"YES","NO")</f>
        <v>NO</v>
      </c>
    </row>
    <row r="358" spans="2:30">
      <c r="B358" t="str">
        <f>Wetseason!B504</f>
        <v>Wet</v>
      </c>
      <c r="C358" s="253">
        <f>Wetseason!C504</f>
        <v>63</v>
      </c>
      <c r="D358" t="s">
        <v>3110</v>
      </c>
      <c r="E358" t="s">
        <v>25</v>
      </c>
      <c r="F358" s="375">
        <v>7</v>
      </c>
      <c r="G358" s="16">
        <f>'WetLitterbags placem_collection'!E65</f>
        <v>42766</v>
      </c>
      <c r="H358" s="92" t="str">
        <f>Wetseason!L504</f>
        <v>G440</v>
      </c>
      <c r="I358" t="str">
        <f>Wetseason!L724</f>
        <v>R423</v>
      </c>
      <c r="J358">
        <f>IFERROR(INDEX('Green_rooibos initial weight'!$C$5:$C$2000,MATCH(H358, 'Green_rooibos initial weight'!$A$5:$A$2000,0)),"")</f>
        <v>2.1070000000000002</v>
      </c>
      <c r="K358">
        <f>IFERROR(INDEX('Green_rooibos initial weight'!$C$5:$C$2000,MATCH(I358, 'Green_rooibos initial weight'!$A$5:$A$2000,0)),"")</f>
        <v>2.1760000000000002</v>
      </c>
      <c r="L358" s="194">
        <f t="shared" si="38"/>
        <v>1.8572000000000002</v>
      </c>
      <c r="M358" s="194">
        <f t="shared" si="36"/>
        <v>1.9262000000000001</v>
      </c>
      <c r="N358" s="16">
        <f>IF('WetLitterbags placem_collection'!G65="","",'WetLitterbags placem_collection'!G65)</f>
        <v>42820</v>
      </c>
      <c r="O358" s="194">
        <f>IFERROR(INDEX('Both teabags AfterWet'!$C$3:$C$2000,MATCH(H358,'Both teabags AfterWet'!$A$3:$A$2000,0)),"")</f>
        <v>0.94199999999999995</v>
      </c>
      <c r="P358" s="194">
        <f>IFERROR(INDEX('Both teabags AfterWet'!$C$3:$C$2000,MATCH(I358,'Both teabags AfterWet'!$A$3:$A$2000,0)),"")</f>
        <v>1.6359999999999999</v>
      </c>
      <c r="Q358" s="194">
        <f t="shared" si="39"/>
        <v>0.79139999999999988</v>
      </c>
      <c r="R358" s="194">
        <f t="shared" si="39"/>
        <v>1.4853999999999998</v>
      </c>
      <c r="S358" s="194">
        <f t="shared" si="40"/>
        <v>0.57387465001076898</v>
      </c>
      <c r="T358" s="194">
        <f t="shared" si="41"/>
        <v>0.37622186081466091</v>
      </c>
      <c r="U358" s="194">
        <f t="shared" si="42"/>
        <v>0.77115564323538555</v>
      </c>
      <c r="V358">
        <f t="shared" si="37"/>
        <v>54</v>
      </c>
      <c r="W358" s="194">
        <f t="shared" si="43"/>
        <v>0.31843865794445492</v>
      </c>
      <c r="X358" s="194">
        <f t="shared" si="44"/>
        <v>1.7355216203907158E-2</v>
      </c>
      <c r="Y358" s="245" t="str">
        <f>IF(ISNUMBER(SEARCH("C",'WetLitterbags placem_collection'!$Y65)),"YES","NO")</f>
        <v>NO</v>
      </c>
      <c r="Z358" s="245" t="str">
        <f>IF(ISNUMBER(SEARCH("H", 'WetLitterbags placem_collection'!$Y65)),"YES","NO")</f>
        <v>NO</v>
      </c>
      <c r="AA358" s="245" t="str">
        <f>IF(ISNUMBER(SEARCH("R", 'WetLitterbags placem_collection'!$Y65)),"YES","NO")</f>
        <v>YES</v>
      </c>
      <c r="AB358" s="245" t="str">
        <f>IF(ISNUMBER(SEARCH("C", 'WetLitterbags placem_collection'!$W65)),"YES","NO")</f>
        <v>NO</v>
      </c>
      <c r="AC358" s="245" t="str">
        <f>IF(ISNUMBER(SEARCH("H", 'WetLitterbags placem_collection'!$W65)),"YES","NO")</f>
        <v>NO</v>
      </c>
      <c r="AD358" s="245" t="str">
        <f>IF(ISNUMBER(SEARCH("R", 'WetLitterbags placem_collection'!$W65)),"YES","NO")</f>
        <v>YES</v>
      </c>
    </row>
    <row r="359" spans="2:30">
      <c r="B359" t="str">
        <f>Wetseason!B505</f>
        <v>Wet</v>
      </c>
      <c r="C359" s="253">
        <f>Wetseason!C505</f>
        <v>64</v>
      </c>
      <c r="D359" t="s">
        <v>3110</v>
      </c>
      <c r="E359" t="s">
        <v>25</v>
      </c>
      <c r="F359" s="375">
        <v>8</v>
      </c>
      <c r="G359" s="16">
        <f>'WetLitterbags placem_collection'!E66</f>
        <v>42766</v>
      </c>
      <c r="H359" s="92" t="str">
        <f>Wetseason!L505</f>
        <v>G673</v>
      </c>
      <c r="I359" t="str">
        <f>Wetseason!L725</f>
        <v>R550</v>
      </c>
      <c r="J359">
        <f>IFERROR(INDEX('Green_rooibos initial weight'!$C$5:$C$2000,MATCH(H359, 'Green_rooibos initial weight'!$A$5:$A$2000,0)),"")</f>
        <v>2.1160000000000001</v>
      </c>
      <c r="K359">
        <f>IFERROR(INDEX('Green_rooibos initial weight'!$C$5:$C$2000,MATCH(I359, 'Green_rooibos initial weight'!$A$5:$A$2000,0)),"")</f>
        <v>2.177</v>
      </c>
      <c r="L359" s="194">
        <f t="shared" si="38"/>
        <v>1.8662000000000001</v>
      </c>
      <c r="M359" s="194">
        <f t="shared" si="36"/>
        <v>1.9272</v>
      </c>
      <c r="N359" s="16">
        <f>IF('WetLitterbags placem_collection'!G66="","",'WetLitterbags placem_collection'!G66)</f>
        <v>42820</v>
      </c>
      <c r="O359" s="194">
        <f>IFERROR(INDEX('Both teabags AfterWet'!$C$3:$C$2000,MATCH(H359,'Both teabags AfterWet'!$A$3:$A$2000,0)),"")</f>
        <v>1.0449999999999999</v>
      </c>
      <c r="P359" s="194">
        <f>IFERROR(INDEX('Both teabags AfterWet'!$C$3:$C$2000,MATCH(I359,'Both teabags AfterWet'!$A$3:$A$2000,0)),"")</f>
        <v>1.6930000000000001</v>
      </c>
      <c r="Q359" s="194">
        <f t="shared" si="39"/>
        <v>0.89439999999999986</v>
      </c>
      <c r="R359" s="194">
        <f t="shared" si="39"/>
        <v>1.5424</v>
      </c>
      <c r="S359" s="194">
        <f t="shared" si="40"/>
        <v>0.52073732718894017</v>
      </c>
      <c r="T359" s="194">
        <f t="shared" si="41"/>
        <v>0.34138599122125296</v>
      </c>
      <c r="U359" s="194">
        <f t="shared" si="42"/>
        <v>0.8003320880033209</v>
      </c>
      <c r="V359">
        <f t="shared" si="37"/>
        <v>54</v>
      </c>
      <c r="W359" s="194">
        <f t="shared" si="43"/>
        <v>0.38154711735280267</v>
      </c>
      <c r="X359" s="194">
        <f t="shared" si="44"/>
        <v>1.6281000918439117E-2</v>
      </c>
      <c r="Y359" s="245" t="str">
        <f>IF(ISNUMBER(SEARCH("C",'WetLitterbags placem_collection'!$Y66)),"YES","NO")</f>
        <v>NO</v>
      </c>
      <c r="Z359" s="245" t="str">
        <f>IF(ISNUMBER(SEARCH("H", 'WetLitterbags placem_collection'!$Y66)),"YES","NO")</f>
        <v>NO</v>
      </c>
      <c r="AA359" s="245" t="str">
        <f>IF(ISNUMBER(SEARCH("R", 'WetLitterbags placem_collection'!$Y66)),"YES","NO")</f>
        <v>NO</v>
      </c>
      <c r="AB359" s="245" t="str">
        <f>IF(ISNUMBER(SEARCH("C", 'WetLitterbags placem_collection'!$W66)),"YES","NO")</f>
        <v>YES</v>
      </c>
      <c r="AC359" s="245" t="str">
        <f>IF(ISNUMBER(SEARCH("H", 'WetLitterbags placem_collection'!$W66)),"YES","NO")</f>
        <v>YES</v>
      </c>
      <c r="AD359" s="245" t="str">
        <f>IF(ISNUMBER(SEARCH("R", 'WetLitterbags placem_collection'!$W66)),"YES","NO")</f>
        <v>NO</v>
      </c>
    </row>
    <row r="360" spans="2:30">
      <c r="B360" t="str">
        <f>Wetseason!B506</f>
        <v>Wet</v>
      </c>
      <c r="C360" s="253">
        <f>Wetseason!C506</f>
        <v>65</v>
      </c>
      <c r="D360" t="s">
        <v>3111</v>
      </c>
      <c r="E360" t="s">
        <v>25</v>
      </c>
      <c r="F360" s="374">
        <v>1</v>
      </c>
      <c r="G360" s="16">
        <f>'WetLitterbags placem_collection'!E67</f>
        <v>42767</v>
      </c>
      <c r="H360" s="92" t="str">
        <f>Wetseason!L506</f>
        <v>G700</v>
      </c>
      <c r="I360" t="str">
        <f>Wetseason!L726</f>
        <v>R333</v>
      </c>
      <c r="J360">
        <f>IFERROR(INDEX('Green_rooibos initial weight'!$C$5:$C$2000,MATCH(H360, 'Green_rooibos initial weight'!$A$5:$A$2000,0)),"")</f>
        <v>2.0190000000000001</v>
      </c>
      <c r="K360">
        <f>IFERROR(INDEX('Green_rooibos initial weight'!$C$5:$C$2000,MATCH(I360, 'Green_rooibos initial weight'!$A$5:$A$2000,0)),"")</f>
        <v>2.27</v>
      </c>
      <c r="L360" s="194">
        <f t="shared" si="38"/>
        <v>1.7692000000000001</v>
      </c>
      <c r="M360" s="194">
        <f t="shared" si="36"/>
        <v>2.0202</v>
      </c>
      <c r="N360" s="16">
        <f>IF('WetLitterbags placem_collection'!G67="","",'WetLitterbags placem_collection'!G67)</f>
        <v>42818</v>
      </c>
      <c r="O360" s="194">
        <f>IFERROR(INDEX('Both teabags AfterWet'!$C$3:$C$2000,MATCH(H360,'Both teabags AfterWet'!$A$3:$A$2000,0)),"")</f>
        <v>0.82299999999999995</v>
      </c>
      <c r="P360" s="194">
        <f>IFERROR(INDEX('Both teabags AfterWet'!$C$3:$C$2000,MATCH(I360,'Both teabags AfterWet'!$A$3:$A$2000,0)),"")</f>
        <v>1.6319999999999999</v>
      </c>
      <c r="Q360" s="194">
        <f t="shared" si="39"/>
        <v>0.67239999999999989</v>
      </c>
      <c r="R360" s="194">
        <f t="shared" si="39"/>
        <v>1.4813999999999998</v>
      </c>
      <c r="S360" s="194">
        <f t="shared" si="40"/>
        <v>0.61994121636898036</v>
      </c>
      <c r="T360" s="194">
        <f t="shared" si="41"/>
        <v>0.40642227011363091</v>
      </c>
      <c r="U360" s="194">
        <f t="shared" si="42"/>
        <v>0.73329373329373326</v>
      </c>
      <c r="V360">
        <f t="shared" si="37"/>
        <v>51</v>
      </c>
      <c r="W360" s="194">
        <f t="shared" si="43"/>
        <v>0.26372777153327742</v>
      </c>
      <c r="X360" s="194">
        <f t="shared" si="44"/>
        <v>2.0936879961572005E-2</v>
      </c>
      <c r="Y360" s="245" t="str">
        <f>IF(ISNUMBER(SEARCH("C",'WetLitterbags placem_collection'!$Y67)),"YES","NO")</f>
        <v>NO</v>
      </c>
      <c r="Z360" s="245" t="str">
        <f>IF(ISNUMBER(SEARCH("H", 'WetLitterbags placem_collection'!$Y67)),"YES","NO")</f>
        <v>NO</v>
      </c>
      <c r="AA360" s="245" t="str">
        <f>IF(ISNUMBER(SEARCH("R", 'WetLitterbags placem_collection'!$Y67)),"YES","NO")</f>
        <v>YES</v>
      </c>
      <c r="AB360" s="245" t="str">
        <f>IF(ISNUMBER(SEARCH("C", 'WetLitterbags placem_collection'!$W67)),"YES","NO")</f>
        <v>NO</v>
      </c>
      <c r="AC360" s="245" t="str">
        <f>IF(ISNUMBER(SEARCH("H", 'WetLitterbags placem_collection'!$W67)),"YES","NO")</f>
        <v>NO</v>
      </c>
      <c r="AD360" s="245" t="str">
        <f>IF(ISNUMBER(SEARCH("R", 'WetLitterbags placem_collection'!$W67)),"YES","NO")</f>
        <v>NO</v>
      </c>
    </row>
    <row r="361" spans="2:30">
      <c r="B361" t="str">
        <f>Wetseason!B507</f>
        <v>Wet</v>
      </c>
      <c r="C361" s="253">
        <f>Wetseason!C507</f>
        <v>66</v>
      </c>
      <c r="D361" t="s">
        <v>3111</v>
      </c>
      <c r="E361" t="s">
        <v>25</v>
      </c>
      <c r="F361" s="374">
        <v>2</v>
      </c>
      <c r="G361" s="16">
        <f>'WetLitterbags placem_collection'!E68</f>
        <v>42767</v>
      </c>
      <c r="H361" s="92" t="str">
        <f>Wetseason!L507</f>
        <v>G760</v>
      </c>
      <c r="I361" t="str">
        <f>Wetseason!L727</f>
        <v>R252</v>
      </c>
      <c r="J361">
        <f>IFERROR(INDEX('Green_rooibos initial weight'!$C$5:$C$2000,MATCH(H361, 'Green_rooibos initial weight'!$A$5:$A$2000,0)),"")</f>
        <v>1.948</v>
      </c>
      <c r="K361">
        <f>IFERROR(INDEX('Green_rooibos initial weight'!$C$5:$C$2000,MATCH(I361, 'Green_rooibos initial weight'!$A$5:$A$2000,0)),"")</f>
        <v>2.2069999999999999</v>
      </c>
      <c r="L361" s="194">
        <f t="shared" si="38"/>
        <v>1.6981999999999999</v>
      </c>
      <c r="M361" s="194">
        <f t="shared" si="36"/>
        <v>1.9571999999999998</v>
      </c>
      <c r="N361" s="16">
        <f>IF('WetLitterbags placem_collection'!G68="","",'WetLitterbags placem_collection'!G68)</f>
        <v>42818</v>
      </c>
      <c r="O361" s="194">
        <f>IFERROR(INDEX('Both teabags AfterWet'!$C$3:$C$2000,MATCH(H361,'Both teabags AfterWet'!$A$3:$A$2000,0)),"")</f>
        <v>0.93500000000000005</v>
      </c>
      <c r="P361" s="194">
        <f>IFERROR(INDEX('Both teabags AfterWet'!$C$3:$C$2000,MATCH(I361,'Both teabags AfterWet'!$A$3:$A$2000,0)),"")</f>
        <v>1.6584000000000001</v>
      </c>
      <c r="Q361" s="194">
        <f t="shared" si="39"/>
        <v>0.78439999999999999</v>
      </c>
      <c r="R361" s="194">
        <f t="shared" si="39"/>
        <v>1.5078</v>
      </c>
      <c r="S361" s="194">
        <f t="shared" si="40"/>
        <v>0.53809916382051581</v>
      </c>
      <c r="T361" s="194">
        <f t="shared" si="41"/>
        <v>0.3527680978965852</v>
      </c>
      <c r="U361" s="194">
        <f t="shared" si="42"/>
        <v>0.77038626609442074</v>
      </c>
      <c r="V361">
        <f t="shared" si="37"/>
        <v>51</v>
      </c>
      <c r="W361" s="194">
        <f t="shared" si="43"/>
        <v>0.36092735888299787</v>
      </c>
      <c r="X361" s="194">
        <f t="shared" si="44"/>
        <v>2.0634751652069638E-2</v>
      </c>
      <c r="Y361" s="245" t="str">
        <f>IF(ISNUMBER(SEARCH("C",'WetLitterbags placem_collection'!$Y68)),"YES","NO")</f>
        <v>NO</v>
      </c>
      <c r="Z361" s="245" t="str">
        <f>IF(ISNUMBER(SEARCH("H", 'WetLitterbags placem_collection'!$Y68)),"YES","NO")</f>
        <v>NO</v>
      </c>
      <c r="AA361" s="245" t="str">
        <f>IF(ISNUMBER(SEARCH("R", 'WetLitterbags placem_collection'!$Y68)),"YES","NO")</f>
        <v>NO</v>
      </c>
      <c r="AB361" s="245" t="str">
        <f>IF(ISNUMBER(SEARCH("C", 'WetLitterbags placem_collection'!$W68)),"YES","NO")</f>
        <v>NO</v>
      </c>
      <c r="AC361" s="245" t="str">
        <f>IF(ISNUMBER(SEARCH("H", 'WetLitterbags placem_collection'!$W68)),"YES","NO")</f>
        <v>YES</v>
      </c>
      <c r="AD361" s="245" t="str">
        <f>IF(ISNUMBER(SEARCH("R", 'WetLitterbags placem_collection'!$W68)),"YES","NO")</f>
        <v>NO</v>
      </c>
    </row>
    <row r="362" spans="2:30">
      <c r="B362" t="str">
        <f>Wetseason!B508</f>
        <v>Wet</v>
      </c>
      <c r="C362" s="253">
        <f>Wetseason!C508</f>
        <v>67</v>
      </c>
      <c r="D362" t="s">
        <v>3111</v>
      </c>
      <c r="E362" t="s">
        <v>25</v>
      </c>
      <c r="F362" s="374">
        <v>3</v>
      </c>
      <c r="G362" s="16">
        <f>'WetLitterbags placem_collection'!E69</f>
        <v>42767</v>
      </c>
      <c r="H362" s="92" t="str">
        <f>Wetseason!L508</f>
        <v>G660</v>
      </c>
      <c r="I362" t="str">
        <f>Wetseason!L728</f>
        <v>R44</v>
      </c>
      <c r="J362">
        <f>IFERROR(INDEX('Green_rooibos initial weight'!$C$5:$C$2000,MATCH(H362, 'Green_rooibos initial weight'!$A$5:$A$2000,0)),"")</f>
        <v>2.0339999999999998</v>
      </c>
      <c r="K362">
        <f>IFERROR(INDEX('Green_rooibos initial weight'!$C$5:$C$2000,MATCH(I362, 'Green_rooibos initial weight'!$A$5:$A$2000,0)),"")</f>
        <v>2.2480000000000002</v>
      </c>
      <c r="L362" s="194">
        <f t="shared" si="38"/>
        <v>1.7841999999999998</v>
      </c>
      <c r="M362" s="194">
        <f t="shared" si="36"/>
        <v>1.9982000000000002</v>
      </c>
      <c r="N362" s="16">
        <f>IF('WetLitterbags placem_collection'!G69="","",'WetLitterbags placem_collection'!G69)</f>
        <v>42818</v>
      </c>
      <c r="O362" s="194">
        <f>IFERROR(INDEX('Both teabags AfterWet'!$C$3:$C$2000,MATCH(H362,'Both teabags AfterWet'!$A$3:$A$2000,0)),"")</f>
        <v>0.92510000000000003</v>
      </c>
      <c r="P362" s="194">
        <f>IFERROR(INDEX('Both teabags AfterWet'!$C$3:$C$2000,MATCH(I362,'Both teabags AfterWet'!$A$3:$A$2000,0)),"")</f>
        <v>1.5427999999999999</v>
      </c>
      <c r="Q362" s="194">
        <f t="shared" si="39"/>
        <v>0.77449999999999997</v>
      </c>
      <c r="R362" s="194">
        <f t="shared" si="39"/>
        <v>1.3921999999999999</v>
      </c>
      <c r="S362" s="194">
        <f t="shared" si="40"/>
        <v>0.56591189328550606</v>
      </c>
      <c r="T362" s="194">
        <f t="shared" si="41"/>
        <v>0.37100162125130565</v>
      </c>
      <c r="U362" s="194">
        <f t="shared" si="42"/>
        <v>0.69672705434891391</v>
      </c>
      <c r="V362">
        <f t="shared" si="37"/>
        <v>51</v>
      </c>
      <c r="W362" s="194">
        <f t="shared" si="43"/>
        <v>0.32789561367517095</v>
      </c>
      <c r="X362" s="194">
        <f t="shared" si="44"/>
        <v>3.3346995561187115E-2</v>
      </c>
      <c r="Y362" s="245" t="str">
        <f>IF(ISNUMBER(SEARCH("C",'WetLitterbags placem_collection'!$Y69)),"YES","NO")</f>
        <v>NO</v>
      </c>
      <c r="Z362" s="245" t="str">
        <f>IF(ISNUMBER(SEARCH("H", 'WetLitterbags placem_collection'!$Y69)),"YES","NO")</f>
        <v>NO</v>
      </c>
      <c r="AA362" s="245" t="str">
        <f>IF(ISNUMBER(SEARCH("R", 'WetLitterbags placem_collection'!$Y69)),"YES","NO")</f>
        <v>NO</v>
      </c>
      <c r="AB362" s="245" t="str">
        <f>IF(ISNUMBER(SEARCH("C", 'WetLitterbags placem_collection'!$W69)),"YES","NO")</f>
        <v>NO</v>
      </c>
      <c r="AC362" s="245" t="str">
        <f>IF(ISNUMBER(SEARCH("H", 'WetLitterbags placem_collection'!$W69)),"YES","NO")</f>
        <v>NO</v>
      </c>
      <c r="AD362" s="245" t="str">
        <f>IF(ISNUMBER(SEARCH("R", 'WetLitterbags placem_collection'!$W69)),"YES","NO")</f>
        <v>NO</v>
      </c>
    </row>
    <row r="363" spans="2:30">
      <c r="B363" t="str">
        <f>Wetseason!B509</f>
        <v>Wet</v>
      </c>
      <c r="C363" s="253">
        <f>Wetseason!C509</f>
        <v>68</v>
      </c>
      <c r="D363" t="s">
        <v>3111</v>
      </c>
      <c r="E363" t="s">
        <v>25</v>
      </c>
      <c r="F363" s="375">
        <v>4</v>
      </c>
      <c r="G363" s="16">
        <f>'WetLitterbags placem_collection'!E70</f>
        <v>42767</v>
      </c>
      <c r="H363" s="92" t="str">
        <f>Wetseason!L509</f>
        <v>G477</v>
      </c>
      <c r="I363" t="str">
        <f>Wetseason!L729</f>
        <v>R9</v>
      </c>
      <c r="J363">
        <f>IFERROR(INDEX('Green_rooibos initial weight'!$C$5:$C$2000,MATCH(H363, 'Green_rooibos initial weight'!$A$5:$A$2000,0)),"")</f>
        <v>2.073</v>
      </c>
      <c r="K363">
        <f>IFERROR(INDEX('Green_rooibos initial weight'!$C$5:$C$2000,MATCH(I363, 'Green_rooibos initial weight'!$A$5:$A$2000,0)),"")</f>
        <v>2.2679999999999998</v>
      </c>
      <c r="L363" s="194">
        <f t="shared" si="38"/>
        <v>1.8231999999999999</v>
      </c>
      <c r="M363" s="194">
        <f t="shared" si="36"/>
        <v>2.0181999999999998</v>
      </c>
      <c r="N363" s="16">
        <f>IF('WetLitterbags placem_collection'!G70="","",'WetLitterbags placem_collection'!G70)</f>
        <v>42818</v>
      </c>
      <c r="O363" s="194">
        <f>IFERROR(INDEX('Both teabags AfterWet'!$C$3:$C$2000,MATCH(H363,'Both teabags AfterWet'!$A$3:$A$2000,0)),"")</f>
        <v>0.90500000000000003</v>
      </c>
      <c r="P363" s="194">
        <f>IFERROR(INDEX('Both teabags AfterWet'!$C$3:$C$2000,MATCH(I363,'Both teabags AfterWet'!$A$3:$A$2000,0)),"")</f>
        <v>1.7050000000000001</v>
      </c>
      <c r="Q363" s="194">
        <f t="shared" si="39"/>
        <v>0.75439999999999996</v>
      </c>
      <c r="R363" s="194">
        <f t="shared" si="39"/>
        <v>1.5544</v>
      </c>
      <c r="S363" s="194">
        <f t="shared" si="40"/>
        <v>0.58622202720491445</v>
      </c>
      <c r="T363" s="194">
        <f t="shared" si="41"/>
        <v>0.38431657840512212</v>
      </c>
      <c r="U363" s="194">
        <f t="shared" si="42"/>
        <v>0.77019125953820244</v>
      </c>
      <c r="V363">
        <f t="shared" si="37"/>
        <v>51</v>
      </c>
      <c r="W363" s="194">
        <f t="shared" si="43"/>
        <v>0.30377431448347447</v>
      </c>
      <c r="X363" s="194">
        <f t="shared" si="44"/>
        <v>1.7867094309647703E-2</v>
      </c>
      <c r="Y363" s="245" t="str">
        <f>IF(ISNUMBER(SEARCH("C",'WetLitterbags placem_collection'!$Y70)),"YES","NO")</f>
        <v>NO</v>
      </c>
      <c r="Z363" s="245" t="str">
        <f>IF(ISNUMBER(SEARCH("H", 'WetLitterbags placem_collection'!$Y70)),"YES","NO")</f>
        <v>NO</v>
      </c>
      <c r="AA363" s="245" t="str">
        <f>IF(ISNUMBER(SEARCH("R", 'WetLitterbags placem_collection'!$Y70)),"YES","NO")</f>
        <v>NO</v>
      </c>
      <c r="AB363" s="245" t="str">
        <f>IF(ISNUMBER(SEARCH("C", 'WetLitterbags placem_collection'!$W70)),"YES","NO")</f>
        <v>NO</v>
      </c>
      <c r="AC363" s="245" t="str">
        <f>IF(ISNUMBER(SEARCH("H", 'WetLitterbags placem_collection'!$W70)),"YES","NO")</f>
        <v>NO</v>
      </c>
      <c r="AD363" s="245" t="str">
        <f>IF(ISNUMBER(SEARCH("R", 'WetLitterbags placem_collection'!$W70)),"YES","NO")</f>
        <v>NO</v>
      </c>
    </row>
    <row r="364" spans="2:30">
      <c r="B364" t="str">
        <f>Wetseason!B510</f>
        <v>Wet</v>
      </c>
      <c r="C364" s="253">
        <f>Wetseason!C510</f>
        <v>69</v>
      </c>
      <c r="D364" t="s">
        <v>3111</v>
      </c>
      <c r="E364" t="s">
        <v>25</v>
      </c>
      <c r="F364" s="375">
        <v>5</v>
      </c>
      <c r="G364" s="16">
        <f>'WetLitterbags placem_collection'!E71</f>
        <v>42767</v>
      </c>
      <c r="H364" s="92" t="str">
        <f>Wetseason!L510</f>
        <v>G386</v>
      </c>
      <c r="I364" t="str">
        <f>Wetseason!L730</f>
        <v>R251</v>
      </c>
      <c r="J364">
        <f>IFERROR(INDEX('Green_rooibos initial weight'!$C$5:$C$2000,MATCH(H364, 'Green_rooibos initial weight'!$A$5:$A$2000,0)),"")</f>
        <v>1.897</v>
      </c>
      <c r="K364">
        <f>IFERROR(INDEX('Green_rooibos initial weight'!$C$5:$C$2000,MATCH(I364, 'Green_rooibos initial weight'!$A$5:$A$2000,0)),"")</f>
        <v>2.266</v>
      </c>
      <c r="L364" s="194">
        <f t="shared" si="38"/>
        <v>1.6472</v>
      </c>
      <c r="M364" s="194">
        <f t="shared" si="36"/>
        <v>2.0162</v>
      </c>
      <c r="N364" s="16">
        <f>IF('WetLitterbags placem_collection'!G71="","",'WetLitterbags placem_collection'!G71)</f>
        <v>42818</v>
      </c>
      <c r="O364" s="194">
        <f>IFERROR(INDEX('Both teabags AfterWet'!$C$3:$C$2000,MATCH(H364,'Both teabags AfterWet'!$A$3:$A$2000,0)),"")</f>
        <v>0.98899999999999999</v>
      </c>
      <c r="P364" s="194">
        <f>IFERROR(INDEX('Both teabags AfterWet'!$C$3:$C$2000,MATCH(I364,'Both teabags AfterWet'!$A$3:$A$2000,0)),"")</f>
        <v>1.8979999999999999</v>
      </c>
      <c r="Q364" s="194">
        <f t="shared" si="39"/>
        <v>0.83840000000000003</v>
      </c>
      <c r="R364" s="194">
        <f t="shared" si="39"/>
        <v>1.7473999999999998</v>
      </c>
      <c r="S364" s="194">
        <f t="shared" si="40"/>
        <v>0.4910150558523555</v>
      </c>
      <c r="T364" s="194">
        <f t="shared" si="41"/>
        <v>0.32190060668705495</v>
      </c>
      <c r="U364" s="194">
        <f t="shared" si="42"/>
        <v>0.86667989286777103</v>
      </c>
      <c r="V364">
        <f t="shared" si="37"/>
        <v>51</v>
      </c>
      <c r="W364" s="194">
        <f t="shared" si="43"/>
        <v>0.41684672701620484</v>
      </c>
      <c r="X364" s="194">
        <f t="shared" si="44"/>
        <v>1.048466380277639E-2</v>
      </c>
      <c r="Y364" s="245" t="str">
        <f>IF(ISNUMBER(SEARCH("C",'WetLitterbags placem_collection'!$Y71)),"YES","NO")</f>
        <v>NO</v>
      </c>
      <c r="Z364" s="245" t="str">
        <f>IF(ISNUMBER(SEARCH("H", 'WetLitterbags placem_collection'!$Y71)),"YES","NO")</f>
        <v>NO</v>
      </c>
      <c r="AA364" s="245" t="str">
        <f>IF(ISNUMBER(SEARCH("R", 'WetLitterbags placem_collection'!$Y71)),"YES","NO")</f>
        <v>YES</v>
      </c>
      <c r="AB364" s="245" t="str">
        <f>IF(ISNUMBER(SEARCH("C", 'WetLitterbags placem_collection'!$W71)),"YES","NO")</f>
        <v>NO</v>
      </c>
      <c r="AC364" s="245" t="str">
        <f>IF(ISNUMBER(SEARCH("H", 'WetLitterbags placem_collection'!$W71)),"YES","NO")</f>
        <v>NO</v>
      </c>
      <c r="AD364" s="245" t="str">
        <f>IF(ISNUMBER(SEARCH("R", 'WetLitterbags placem_collection'!$W71)),"YES","NO")</f>
        <v>NO</v>
      </c>
    </row>
    <row r="365" spans="2:30">
      <c r="B365" t="str">
        <f>Wetseason!B511</f>
        <v>Wet</v>
      </c>
      <c r="C365" s="253">
        <f>Wetseason!C511</f>
        <v>70</v>
      </c>
      <c r="D365" t="s">
        <v>3111</v>
      </c>
      <c r="E365" t="s">
        <v>25</v>
      </c>
      <c r="F365" s="375">
        <v>6</v>
      </c>
      <c r="G365" s="16">
        <f>'WetLitterbags placem_collection'!E72</f>
        <v>42767</v>
      </c>
      <c r="H365" s="92" t="str">
        <f>Wetseason!L511</f>
        <v>G414</v>
      </c>
      <c r="I365" t="str">
        <f>Wetseason!L731</f>
        <v>R266</v>
      </c>
      <c r="J365">
        <f>IFERROR(INDEX('Green_rooibos initial weight'!$C$5:$C$2000,MATCH(H365, 'Green_rooibos initial weight'!$A$5:$A$2000,0)),"")</f>
        <v>2.0590000000000002</v>
      </c>
      <c r="K365">
        <f>IFERROR(INDEX('Green_rooibos initial weight'!$C$5:$C$2000,MATCH(I365, 'Green_rooibos initial weight'!$A$5:$A$2000,0)),"")</f>
        <v>2.1720000000000002</v>
      </c>
      <c r="L365" s="194">
        <f t="shared" si="38"/>
        <v>1.8092000000000001</v>
      </c>
      <c r="M365" s="194">
        <f t="shared" si="36"/>
        <v>1.9222000000000001</v>
      </c>
      <c r="N365" s="16">
        <f>IF('WetLitterbags placem_collection'!G72="","",'WetLitterbags placem_collection'!G72)</f>
        <v>42818</v>
      </c>
      <c r="O365" s="194">
        <f>IFERROR(INDEX('Both teabags AfterWet'!$C$3:$C$2000,MATCH(H365,'Both teabags AfterWet'!$A$3:$A$2000,0)),"")</f>
        <v>0.84099999999999997</v>
      </c>
      <c r="P365" s="194">
        <f>IFERROR(INDEX('Both teabags AfterWet'!$C$3:$C$2000,MATCH(I365,'Both teabags AfterWet'!$A$3:$A$2000,0)),"")</f>
        <v>1.599</v>
      </c>
      <c r="Q365" s="194">
        <f t="shared" si="39"/>
        <v>0.6903999999999999</v>
      </c>
      <c r="R365" s="194">
        <f t="shared" si="39"/>
        <v>1.4483999999999999</v>
      </c>
      <c r="S365" s="194">
        <f t="shared" si="40"/>
        <v>0.6183948706610658</v>
      </c>
      <c r="T365" s="194">
        <f t="shared" si="41"/>
        <v>0.40540851378255149</v>
      </c>
      <c r="U365" s="194">
        <f t="shared" si="42"/>
        <v>0.75351160129018824</v>
      </c>
      <c r="V365">
        <f t="shared" si="37"/>
        <v>51</v>
      </c>
      <c r="W365" s="194">
        <f t="shared" si="43"/>
        <v>0.26556428662581255</v>
      </c>
      <c r="X365" s="194">
        <f t="shared" si="44"/>
        <v>1.8362619209855699E-2</v>
      </c>
      <c r="Y365" s="245" t="str">
        <f>IF(ISNUMBER(SEARCH("C",'WetLitterbags placem_collection'!$Y72)),"YES","NO")</f>
        <v>NO</v>
      </c>
      <c r="Z365" s="245" t="str">
        <f>IF(ISNUMBER(SEARCH("H", 'WetLitterbags placem_collection'!$Y72)),"YES","NO")</f>
        <v>NO</v>
      </c>
      <c r="AA365" s="245" t="str">
        <f>IF(ISNUMBER(SEARCH("R", 'WetLitterbags placem_collection'!$Y72)),"YES","NO")</f>
        <v>YES</v>
      </c>
      <c r="AB365" s="245" t="str">
        <f>IF(ISNUMBER(SEARCH("C", 'WetLitterbags placem_collection'!$W72)),"YES","NO")</f>
        <v>YES</v>
      </c>
      <c r="AC365" s="245" t="str">
        <f>IF(ISNUMBER(SEARCH("H", 'WetLitterbags placem_collection'!$W72)),"YES","NO")</f>
        <v>YES</v>
      </c>
      <c r="AD365" s="245" t="str">
        <f>IF(ISNUMBER(SEARCH("R", 'WetLitterbags placem_collection'!$W72)),"YES","NO")</f>
        <v>YES</v>
      </c>
    </row>
    <row r="366" spans="2:30">
      <c r="B366" t="str">
        <f>Wetseason!B512</f>
        <v>Wet</v>
      </c>
      <c r="C366" s="253">
        <f>Wetseason!C512</f>
        <v>71</v>
      </c>
      <c r="D366" t="s">
        <v>3111</v>
      </c>
      <c r="E366" t="s">
        <v>25</v>
      </c>
      <c r="F366" s="375">
        <v>7</v>
      </c>
      <c r="G366" s="16">
        <f>'WetLitterbags placem_collection'!E73</f>
        <v>42767</v>
      </c>
      <c r="H366" s="92" t="str">
        <f>Wetseason!L512</f>
        <v>G459</v>
      </c>
      <c r="I366" t="str">
        <f>Wetseason!L732</f>
        <v>R528</v>
      </c>
      <c r="J366">
        <f>IFERROR(INDEX('Green_rooibos initial weight'!$C$5:$C$2000,MATCH(H366, 'Green_rooibos initial weight'!$A$5:$A$2000,0)),"")</f>
        <v>2.0449999999999999</v>
      </c>
      <c r="K366">
        <f>IFERROR(INDEX('Green_rooibos initial weight'!$C$5:$C$2000,MATCH(I366, 'Green_rooibos initial weight'!$A$5:$A$2000,0)),"")</f>
        <v>2.1019999999999999</v>
      </c>
      <c r="L366" s="194">
        <f t="shared" si="38"/>
        <v>1.7951999999999999</v>
      </c>
      <c r="M366" s="194">
        <f t="shared" si="36"/>
        <v>1.8521999999999998</v>
      </c>
      <c r="N366" s="16">
        <f>IF('WetLitterbags placem_collection'!G73="","",'WetLitterbags placem_collection'!G73)</f>
        <v>42818</v>
      </c>
      <c r="O366" s="194">
        <f>IFERROR(INDEX('Both teabags AfterWet'!$C$3:$C$2000,MATCH(H366,'Both teabags AfterWet'!$A$3:$A$2000,0)),"")</f>
        <v>0.89149999999999996</v>
      </c>
      <c r="P366" s="194">
        <f>IFERROR(INDEX('Both teabags AfterWet'!$C$3:$C$2000,MATCH(I366,'Both teabags AfterWet'!$A$3:$A$2000,0)),"")</f>
        <v>1.5779000000000001</v>
      </c>
      <c r="Q366" s="194">
        <f t="shared" si="39"/>
        <v>0.74089999999999989</v>
      </c>
      <c r="R366" s="194">
        <f t="shared" si="39"/>
        <v>1.4273</v>
      </c>
      <c r="S366" s="194">
        <f t="shared" si="40"/>
        <v>0.58728832442067747</v>
      </c>
      <c r="T366" s="194">
        <f t="shared" si="41"/>
        <v>0.38501562361070546</v>
      </c>
      <c r="U366" s="194">
        <f t="shared" si="42"/>
        <v>0.7705971277399849</v>
      </c>
      <c r="V366">
        <f t="shared" si="37"/>
        <v>51</v>
      </c>
      <c r="W366" s="194">
        <f t="shared" si="43"/>
        <v>0.30250792824147565</v>
      </c>
      <c r="X366" s="194">
        <f t="shared" si="44"/>
        <v>1.7763006986867801E-2</v>
      </c>
      <c r="Y366" s="245" t="str">
        <f>IF(ISNUMBER(SEARCH("C",'WetLitterbags placem_collection'!$Y73)),"YES","NO")</f>
        <v>NO</v>
      </c>
      <c r="Z366" s="245" t="str">
        <f>IF(ISNUMBER(SEARCH("H", 'WetLitterbags placem_collection'!$Y73)),"YES","NO")</f>
        <v>NO</v>
      </c>
      <c r="AA366" s="245" t="str">
        <f>IF(ISNUMBER(SEARCH("R", 'WetLitterbags placem_collection'!$Y73)),"YES","NO")</f>
        <v>NO</v>
      </c>
      <c r="AB366" s="245" t="str">
        <f>IF(ISNUMBER(SEARCH("C", 'WetLitterbags placem_collection'!$W73)),"YES","NO")</f>
        <v>NO</v>
      </c>
      <c r="AC366" s="245" t="str">
        <f>IF(ISNUMBER(SEARCH("H", 'WetLitterbags placem_collection'!$W73)),"YES","NO")</f>
        <v>NO</v>
      </c>
      <c r="AD366" s="245" t="str">
        <f>IF(ISNUMBER(SEARCH("R", 'WetLitterbags placem_collection'!$W73)),"YES","NO")</f>
        <v>YES</v>
      </c>
    </row>
    <row r="367" spans="2:30">
      <c r="B367" t="str">
        <f>Wetseason!B513</f>
        <v>Wet</v>
      </c>
      <c r="C367" s="253">
        <f>Wetseason!C513</f>
        <v>72</v>
      </c>
      <c r="D367" t="s">
        <v>3111</v>
      </c>
      <c r="E367" t="s">
        <v>25</v>
      </c>
      <c r="F367" s="375">
        <v>8</v>
      </c>
      <c r="G367" s="16">
        <f>'WetLitterbags placem_collection'!E74</f>
        <v>42767</v>
      </c>
      <c r="H367" s="92" t="str">
        <f>Wetseason!L513</f>
        <v>G627</v>
      </c>
      <c r="I367" t="str">
        <f>Wetseason!L733</f>
        <v>R14</v>
      </c>
      <c r="J367">
        <f>IFERROR(INDEX('Green_rooibos initial weight'!$C$5:$C$2000,MATCH(H367, 'Green_rooibos initial weight'!$A$5:$A$2000,0)),"")</f>
        <v>2.153</v>
      </c>
      <c r="K367">
        <f>IFERROR(INDEX('Green_rooibos initial weight'!$C$5:$C$2000,MATCH(I367, 'Green_rooibos initial weight'!$A$5:$A$2000,0)),"")</f>
        <v>2.181</v>
      </c>
      <c r="L367" s="194">
        <f t="shared" si="38"/>
        <v>1.9032</v>
      </c>
      <c r="M367" s="194">
        <f t="shared" si="36"/>
        <v>1.9312</v>
      </c>
      <c r="N367" s="16">
        <f>IF('WetLitterbags placem_collection'!G74="","",'WetLitterbags placem_collection'!G74)</f>
        <v>42818</v>
      </c>
      <c r="O367" s="194">
        <f>IFERROR(INDEX('Both teabags AfterWet'!$C$3:$C$2000,MATCH(H367,'Both teabags AfterWet'!$A$3:$A$2000,0)),"")</f>
        <v>0.86350000000000005</v>
      </c>
      <c r="P367" s="194">
        <f>IFERROR(INDEX('Both teabags AfterWet'!$C$3:$C$2000,MATCH(I367,'Both teabags AfterWet'!$A$3:$A$2000,0)),"")</f>
        <v>1.5603</v>
      </c>
      <c r="Q367" s="194">
        <f t="shared" si="39"/>
        <v>0.71290000000000009</v>
      </c>
      <c r="R367" s="194">
        <f t="shared" si="39"/>
        <v>1.4097</v>
      </c>
      <c r="S367" s="194">
        <f t="shared" si="40"/>
        <v>0.62542034468263974</v>
      </c>
      <c r="T367" s="194">
        <f t="shared" si="41"/>
        <v>0.41001428772543608</v>
      </c>
      <c r="U367" s="194">
        <f t="shared" si="42"/>
        <v>0.72996064623032308</v>
      </c>
      <c r="V367">
        <f t="shared" si="37"/>
        <v>51</v>
      </c>
      <c r="W367" s="194">
        <f t="shared" si="43"/>
        <v>0.2572204932510217</v>
      </c>
      <c r="X367" s="194">
        <f t="shared" si="44"/>
        <v>2.1073110662666261E-2</v>
      </c>
      <c r="Y367" s="245" t="str">
        <f>IF(ISNUMBER(SEARCH("C",'WetLitterbags placem_collection'!$Y74)),"YES","NO")</f>
        <v>NO</v>
      </c>
      <c r="Z367" s="245" t="str">
        <f>IF(ISNUMBER(SEARCH("H", 'WetLitterbags placem_collection'!$Y74)),"YES","NO")</f>
        <v>NO</v>
      </c>
      <c r="AA367" s="245" t="str">
        <f>IF(ISNUMBER(SEARCH("R", 'WetLitterbags placem_collection'!$Y74)),"YES","NO")</f>
        <v>NO</v>
      </c>
      <c r="AB367" s="245" t="str">
        <f>IF(ISNUMBER(SEARCH("C", 'WetLitterbags placem_collection'!$W74)),"YES","NO")</f>
        <v>NO</v>
      </c>
      <c r="AC367" s="245" t="str">
        <f>IF(ISNUMBER(SEARCH("H", 'WetLitterbags placem_collection'!$W74)),"YES","NO")</f>
        <v>NO</v>
      </c>
      <c r="AD367" s="245" t="str">
        <f>IF(ISNUMBER(SEARCH("R", 'WetLitterbags placem_collection'!$W74)),"YES","NO")</f>
        <v>NO</v>
      </c>
    </row>
    <row r="368" spans="2:30">
      <c r="B368" t="str">
        <f>Wetseason!B514</f>
        <v>Wet</v>
      </c>
      <c r="C368" s="253">
        <f>Wetseason!C514</f>
        <v>73</v>
      </c>
      <c r="D368" t="s">
        <v>3113</v>
      </c>
      <c r="E368" t="s">
        <v>25</v>
      </c>
      <c r="F368" s="374">
        <v>1</v>
      </c>
      <c r="G368" s="16">
        <f>'WetLitterbags placem_collection'!E75</f>
        <v>42767</v>
      </c>
      <c r="H368" s="92" t="str">
        <f>Wetseason!L514</f>
        <v>G498</v>
      </c>
      <c r="I368" t="str">
        <f>Wetseason!L734</f>
        <v>R393</v>
      </c>
      <c r="J368">
        <f>IFERROR(INDEX('Green_rooibos initial weight'!$C$5:$C$2000,MATCH(H368, 'Green_rooibos initial weight'!$A$5:$A$2000,0)),"")</f>
        <v>1.744</v>
      </c>
      <c r="K368">
        <f>IFERROR(INDEX('Green_rooibos initial weight'!$C$5:$C$2000,MATCH(I368, 'Green_rooibos initial weight'!$A$5:$A$2000,0)),"")</f>
        <v>2.1829999999999998</v>
      </c>
      <c r="L368" s="194">
        <f t="shared" si="38"/>
        <v>1.4942</v>
      </c>
      <c r="M368" s="194">
        <f t="shared" si="36"/>
        <v>1.9331999999999998</v>
      </c>
      <c r="N368" s="16">
        <f>IF('WetLitterbags placem_collection'!G75="","",'WetLitterbags placem_collection'!G75)</f>
        <v>42818</v>
      </c>
      <c r="O368" s="194">
        <f>IFERROR(INDEX('Both teabags AfterWet'!$C$3:$C$2000,MATCH(H368,'Both teabags AfterWet'!$A$3:$A$2000,0)),"")</f>
        <v>0.73209999999999997</v>
      </c>
      <c r="P368" s="194">
        <f>IFERROR(INDEX('Both teabags AfterWet'!$C$3:$C$2000,MATCH(I368,'Both teabags AfterWet'!$A$3:$A$2000,0)),"")</f>
        <v>1.6598999999999999</v>
      </c>
      <c r="Q368" s="194">
        <f t="shared" si="39"/>
        <v>0.58149999999999991</v>
      </c>
      <c r="R368" s="194">
        <f t="shared" si="39"/>
        <v>1.5092999999999999</v>
      </c>
      <c r="S368" s="194">
        <f t="shared" si="40"/>
        <v>0.61082853700977124</v>
      </c>
      <c r="T368" s="194">
        <f t="shared" si="41"/>
        <v>0.40044816203015887</v>
      </c>
      <c r="U368" s="194">
        <f t="shared" si="42"/>
        <v>0.78072625698324027</v>
      </c>
      <c r="V368">
        <f t="shared" si="37"/>
        <v>51</v>
      </c>
      <c r="W368" s="194">
        <f t="shared" si="43"/>
        <v>0.27455043110478472</v>
      </c>
      <c r="X368" s="194">
        <f t="shared" si="44"/>
        <v>1.5551453270158585E-2</v>
      </c>
      <c r="Y368" s="245" t="str">
        <f>IF(ISNUMBER(SEARCH("C",'WetLitterbags placem_collection'!$Y75)),"YES","NO")</f>
        <v>NO</v>
      </c>
      <c r="Z368" s="245" t="str">
        <f>IF(ISNUMBER(SEARCH("H", 'WetLitterbags placem_collection'!$Y75)),"YES","NO")</f>
        <v>NO</v>
      </c>
      <c r="AA368" s="245" t="str">
        <f>IF(ISNUMBER(SEARCH("R", 'WetLitterbags placem_collection'!$Y75)),"YES","NO")</f>
        <v>YES</v>
      </c>
      <c r="AB368" s="245" t="str">
        <f>IF(ISNUMBER(SEARCH("C", 'WetLitterbags placem_collection'!$W75)),"YES","NO")</f>
        <v>NO</v>
      </c>
      <c r="AC368" s="245" t="str">
        <f>IF(ISNUMBER(SEARCH("H", 'WetLitterbags placem_collection'!$W75)),"YES","NO")</f>
        <v>YES</v>
      </c>
      <c r="AD368" s="245" t="str">
        <f>IF(ISNUMBER(SEARCH("R", 'WetLitterbags placem_collection'!$W75)),"YES","NO")</f>
        <v>YES</v>
      </c>
    </row>
    <row r="369" spans="2:30">
      <c r="B369" t="str">
        <f>Wetseason!B515</f>
        <v>Wet</v>
      </c>
      <c r="C369" s="253">
        <f>Wetseason!C515</f>
        <v>74</v>
      </c>
      <c r="D369" t="s">
        <v>3113</v>
      </c>
      <c r="E369" t="s">
        <v>25</v>
      </c>
      <c r="F369" s="374">
        <v>2</v>
      </c>
      <c r="G369" s="16">
        <f>'WetLitterbags placem_collection'!E76</f>
        <v>42767</v>
      </c>
      <c r="H369" s="92" t="str">
        <f>Wetseason!L515</f>
        <v>G579</v>
      </c>
      <c r="I369" t="str">
        <f>Wetseason!L735</f>
        <v>R138</v>
      </c>
      <c r="J369">
        <f>IFERROR(INDEX('Green_rooibos initial weight'!$C$5:$C$2000,MATCH(H369, 'Green_rooibos initial weight'!$A$5:$A$2000,0)),"")</f>
        <v>2.012</v>
      </c>
      <c r="K369">
        <f>IFERROR(INDEX('Green_rooibos initial weight'!$C$5:$C$2000,MATCH(I369, 'Green_rooibos initial weight'!$A$5:$A$2000,0)),"")</f>
        <v>2.3140000000000001</v>
      </c>
      <c r="L369" s="194">
        <f t="shared" si="38"/>
        <v>1.7622</v>
      </c>
      <c r="M369" s="194">
        <f t="shared" si="36"/>
        <v>2.0642</v>
      </c>
      <c r="N369" s="16">
        <f>IF('WetLitterbags placem_collection'!G76="","",'WetLitterbags placem_collection'!G76)</f>
        <v>42818</v>
      </c>
      <c r="O369" s="194">
        <f>IFERROR(INDEX('Both teabags AfterWet'!$C$3:$C$2000,MATCH(H369,'Both teabags AfterWet'!$A$3:$A$2000,0)),"")</f>
        <v>0.74199999999999999</v>
      </c>
      <c r="P369" s="194">
        <f>IFERROR(INDEX('Both teabags AfterWet'!$C$3:$C$2000,MATCH(I369,'Both teabags AfterWet'!$A$3:$A$2000,0)),"")</f>
        <v>1.6850000000000001</v>
      </c>
      <c r="Q369" s="194">
        <f t="shared" si="39"/>
        <v>0.59139999999999993</v>
      </c>
      <c r="R369" s="194">
        <f t="shared" si="39"/>
        <v>1.5344</v>
      </c>
      <c r="S369" s="194">
        <f t="shared" si="40"/>
        <v>0.66439677675632736</v>
      </c>
      <c r="T369" s="194">
        <f t="shared" si="41"/>
        <v>0.43556653298039516</v>
      </c>
      <c r="U369" s="194">
        <f t="shared" si="42"/>
        <v>0.7433388237573878</v>
      </c>
      <c r="V369">
        <f t="shared" si="37"/>
        <v>51</v>
      </c>
      <c r="W369" s="194">
        <f t="shared" si="43"/>
        <v>0.2109301938760958</v>
      </c>
      <c r="X369" s="194">
        <f t="shared" si="44"/>
        <v>1.7446875013695552E-2</v>
      </c>
      <c r="Y369" s="245" t="str">
        <f>IF(ISNUMBER(SEARCH("C",'WetLitterbags placem_collection'!$Y76)),"YES","NO")</f>
        <v>NO</v>
      </c>
      <c r="Z369" s="245" t="str">
        <f>IF(ISNUMBER(SEARCH("H", 'WetLitterbags placem_collection'!$Y76)),"YES","NO")</f>
        <v>NO</v>
      </c>
      <c r="AA369" s="245" t="str">
        <f>IF(ISNUMBER(SEARCH("R", 'WetLitterbags placem_collection'!$Y76)),"YES","NO")</f>
        <v>NO</v>
      </c>
      <c r="AB369" s="245" t="str">
        <f>IF(ISNUMBER(SEARCH("C", 'WetLitterbags placem_collection'!$W76)),"YES","NO")</f>
        <v>YES</v>
      </c>
      <c r="AC369" s="245" t="str">
        <f>IF(ISNUMBER(SEARCH("H", 'WetLitterbags placem_collection'!$W76)),"YES","NO")</f>
        <v>YES</v>
      </c>
      <c r="AD369" s="245" t="str">
        <f>IF(ISNUMBER(SEARCH("R", 'WetLitterbags placem_collection'!$W76)),"YES","NO")</f>
        <v>NO</v>
      </c>
    </row>
    <row r="370" spans="2:30">
      <c r="B370" t="str">
        <f>Wetseason!B516</f>
        <v>Wet</v>
      </c>
      <c r="C370" s="253">
        <f>Wetseason!C516</f>
        <v>75</v>
      </c>
      <c r="D370" t="s">
        <v>3113</v>
      </c>
      <c r="E370" t="s">
        <v>25</v>
      </c>
      <c r="F370" s="374">
        <v>3</v>
      </c>
      <c r="G370" s="16">
        <f>'WetLitterbags placem_collection'!E77</f>
        <v>42767</v>
      </c>
      <c r="H370" s="92" t="str">
        <f>Wetseason!L516</f>
        <v>G373</v>
      </c>
      <c r="I370" t="str">
        <f>Wetseason!L736</f>
        <v>R311</v>
      </c>
      <c r="J370">
        <f>IFERROR(INDEX('Green_rooibos initial weight'!$C$5:$C$2000,MATCH(H370, 'Green_rooibos initial weight'!$A$5:$A$2000,0)),"")</f>
        <v>2.1</v>
      </c>
      <c r="K370">
        <f>IFERROR(INDEX('Green_rooibos initial weight'!$C$5:$C$2000,MATCH(I370, 'Green_rooibos initial weight'!$A$5:$A$2000,0)),"")</f>
        <v>2.2719999999999998</v>
      </c>
      <c r="L370" s="194">
        <f t="shared" si="38"/>
        <v>1.8502000000000001</v>
      </c>
      <c r="M370" s="194">
        <f t="shared" si="36"/>
        <v>2.0221999999999998</v>
      </c>
      <c r="N370" s="16">
        <f>IF('WetLitterbags placem_collection'!G77="","",'WetLitterbags placem_collection'!G77)</f>
        <v>42818</v>
      </c>
      <c r="O370" s="194">
        <f>IFERROR(INDEX('Both teabags AfterWet'!$C$3:$C$2000,MATCH(H370,'Both teabags AfterWet'!$A$3:$A$2000,0)),"")</f>
        <v>0.93330000000000002</v>
      </c>
      <c r="P370" s="194">
        <f>IFERROR(INDEX('Both teabags AfterWet'!$C$3:$C$2000,MATCH(I370,'Both teabags AfterWet'!$A$3:$A$2000,0)),"")</f>
        <v>1.6715</v>
      </c>
      <c r="Q370" s="194">
        <f t="shared" si="39"/>
        <v>0.78269999999999995</v>
      </c>
      <c r="R370" s="194">
        <f t="shared" si="39"/>
        <v>1.5208999999999999</v>
      </c>
      <c r="S370" s="194">
        <f t="shared" si="40"/>
        <v>0.57696465247000328</v>
      </c>
      <c r="T370" s="194">
        <f t="shared" si="41"/>
        <v>0.3782476106454179</v>
      </c>
      <c r="U370" s="194">
        <f t="shared" si="42"/>
        <v>0.75210167144693907</v>
      </c>
      <c r="V370">
        <f t="shared" si="37"/>
        <v>51</v>
      </c>
      <c r="W370" s="194">
        <f t="shared" si="43"/>
        <v>0.31476882129453287</v>
      </c>
      <c r="X370" s="194">
        <f t="shared" si="44"/>
        <v>2.0888851038365092E-2</v>
      </c>
      <c r="Y370" s="245" t="str">
        <f>IF(ISNUMBER(SEARCH("C",'WetLitterbags placem_collection'!$Y77)),"YES","NO")</f>
        <v>NO</v>
      </c>
      <c r="Z370" s="245" t="str">
        <f>IF(ISNUMBER(SEARCH("H", 'WetLitterbags placem_collection'!$Y77)),"YES","NO")</f>
        <v>NO</v>
      </c>
      <c r="AA370" s="245" t="str">
        <f>IF(ISNUMBER(SEARCH("R", 'WetLitterbags placem_collection'!$Y77)),"YES","NO")</f>
        <v>NO</v>
      </c>
      <c r="AB370" s="245" t="str">
        <f>IF(ISNUMBER(SEARCH("C", 'WetLitterbags placem_collection'!$W77)),"YES","NO")</f>
        <v>NO</v>
      </c>
      <c r="AC370" s="245" t="str">
        <f>IF(ISNUMBER(SEARCH("H", 'WetLitterbags placem_collection'!$W77)),"YES","NO")</f>
        <v>YES</v>
      </c>
      <c r="AD370" s="245" t="str">
        <f>IF(ISNUMBER(SEARCH("R", 'WetLitterbags placem_collection'!$W77)),"YES","NO")</f>
        <v>YES</v>
      </c>
    </row>
    <row r="371" spans="2:30">
      <c r="B371" t="str">
        <f>Wetseason!B517</f>
        <v>Wet</v>
      </c>
      <c r="C371" s="253">
        <f>Wetseason!C517</f>
        <v>76</v>
      </c>
      <c r="D371" t="s">
        <v>3113</v>
      </c>
      <c r="E371" t="s">
        <v>25</v>
      </c>
      <c r="F371" s="375">
        <v>4</v>
      </c>
      <c r="G371" s="16">
        <f>'WetLitterbags placem_collection'!E78</f>
        <v>42767</v>
      </c>
      <c r="H371" s="92" t="str">
        <f>Wetseason!L517</f>
        <v>G603</v>
      </c>
      <c r="I371" t="str">
        <f>Wetseason!L737</f>
        <v>R183</v>
      </c>
      <c r="J371">
        <f>IFERROR(INDEX('Green_rooibos initial weight'!$C$5:$C$2000,MATCH(H371, 'Green_rooibos initial weight'!$A$5:$A$2000,0)),"")</f>
        <v>2.0430000000000001</v>
      </c>
      <c r="K371">
        <f>IFERROR(INDEX('Green_rooibos initial weight'!$C$5:$C$2000,MATCH(I371, 'Green_rooibos initial weight'!$A$5:$A$2000,0)),"")</f>
        <v>2.262</v>
      </c>
      <c r="L371" s="194">
        <f t="shared" si="38"/>
        <v>1.7932000000000001</v>
      </c>
      <c r="M371" s="194">
        <f t="shared" si="36"/>
        <v>2.0122</v>
      </c>
      <c r="N371" s="16">
        <f>IF('WetLitterbags placem_collection'!G78="","",'WetLitterbags placem_collection'!G78)</f>
        <v>42818</v>
      </c>
      <c r="O371" s="194">
        <f>IFERROR(INDEX('Both teabags AfterWet'!$C$3:$C$2000,MATCH(H371,'Both teabags AfterWet'!$A$3:$A$2000,0)),"")</f>
        <v>0.82299999999999995</v>
      </c>
      <c r="P371" s="194">
        <f>IFERROR(INDEX('Both teabags AfterWet'!$C$3:$C$2000,MATCH(I371,'Both teabags AfterWet'!$A$3:$A$2000,0)),"")</f>
        <v>1.7490000000000001</v>
      </c>
      <c r="Q371" s="194">
        <f t="shared" si="39"/>
        <v>0.67239999999999989</v>
      </c>
      <c r="R371" s="194">
        <f t="shared" si="39"/>
        <v>1.5984</v>
      </c>
      <c r="S371" s="194">
        <f t="shared" si="40"/>
        <v>0.62502788311398627</v>
      </c>
      <c r="T371" s="194">
        <f t="shared" si="41"/>
        <v>0.40975699700584378</v>
      </c>
      <c r="U371" s="194">
        <f t="shared" si="42"/>
        <v>0.79435443792863536</v>
      </c>
      <c r="V371">
        <f t="shared" si="37"/>
        <v>51</v>
      </c>
      <c r="W371" s="194">
        <f t="shared" si="43"/>
        <v>0.25768659962709461</v>
      </c>
      <c r="X371" s="194">
        <f t="shared" si="44"/>
        <v>1.3664670575988812E-2</v>
      </c>
      <c r="Y371" s="245" t="str">
        <f>IF(ISNUMBER(SEARCH("C",'WetLitterbags placem_collection'!$Y78)),"YES","NO")</f>
        <v>NO</v>
      </c>
      <c r="Z371" s="245" t="str">
        <f>IF(ISNUMBER(SEARCH("H", 'WetLitterbags placem_collection'!$Y78)),"YES","NO")</f>
        <v>NO</v>
      </c>
      <c r="AA371" s="245" t="str">
        <f>IF(ISNUMBER(SEARCH("R", 'WetLitterbags placem_collection'!$Y78)),"YES","NO")</f>
        <v>NO</v>
      </c>
      <c r="AB371" s="245" t="str">
        <f>IF(ISNUMBER(SEARCH("C", 'WetLitterbags placem_collection'!$W78)),"YES","NO")</f>
        <v>NO</v>
      </c>
      <c r="AC371" s="245" t="str">
        <f>IF(ISNUMBER(SEARCH("H", 'WetLitterbags placem_collection'!$W78)),"YES","NO")</f>
        <v>YES</v>
      </c>
      <c r="AD371" s="245" t="str">
        <f>IF(ISNUMBER(SEARCH("R", 'WetLitterbags placem_collection'!$W78)),"YES","NO")</f>
        <v>NO</v>
      </c>
    </row>
    <row r="372" spans="2:30">
      <c r="B372" t="str">
        <f>Wetseason!B518</f>
        <v>Wet</v>
      </c>
      <c r="C372" s="253">
        <f>Wetseason!C518</f>
        <v>77</v>
      </c>
      <c r="D372" t="s">
        <v>3113</v>
      </c>
      <c r="E372" t="s">
        <v>25</v>
      </c>
      <c r="F372" s="375">
        <v>5</v>
      </c>
      <c r="G372" s="16">
        <f>'WetLitterbags placem_collection'!E79</f>
        <v>42767</v>
      </c>
      <c r="H372" s="92" t="str">
        <f>Wetseason!L518</f>
        <v>G509</v>
      </c>
      <c r="I372" t="str">
        <f>Wetseason!L738</f>
        <v>R228</v>
      </c>
      <c r="J372">
        <f>IFERROR(INDEX('Green_rooibos initial weight'!$C$5:$C$2000,MATCH(H372, 'Green_rooibos initial weight'!$A$5:$A$2000,0)),"")</f>
        <v>2.048</v>
      </c>
      <c r="K372">
        <f>IFERROR(INDEX('Green_rooibos initial weight'!$C$5:$C$2000,MATCH(I372, 'Green_rooibos initial weight'!$A$5:$A$2000,0)),"")</f>
        <v>2.2040000000000002</v>
      </c>
      <c r="L372" s="194">
        <f t="shared" si="38"/>
        <v>1.7982</v>
      </c>
      <c r="M372" s="194">
        <f t="shared" si="36"/>
        <v>1.9542000000000002</v>
      </c>
      <c r="N372" s="16">
        <f>IF('WetLitterbags placem_collection'!G79="","",'WetLitterbags placem_collection'!G79)</f>
        <v>42818</v>
      </c>
      <c r="O372" s="194">
        <f>IFERROR(INDEX('Both teabags AfterWet'!$C$3:$C$2000,MATCH(H372,'Both teabags AfterWet'!$A$3:$A$2000,0)),"")</f>
        <v>1.012</v>
      </c>
      <c r="P372" s="194">
        <f>IFERROR(INDEX('Both teabags AfterWet'!$C$3:$C$2000,MATCH(I372,'Both teabags AfterWet'!$A$3:$A$2000,0)),"")</f>
        <v>2.2429999999999999</v>
      </c>
      <c r="Q372" s="194">
        <f t="shared" si="39"/>
        <v>0.86139999999999994</v>
      </c>
      <c r="R372" s="194">
        <f t="shared" si="39"/>
        <v>2.0924</v>
      </c>
      <c r="S372" s="194">
        <f t="shared" si="40"/>
        <v>0.52096540985429884</v>
      </c>
      <c r="T372" s="194">
        <f t="shared" si="41"/>
        <v>0.34153551809925531</v>
      </c>
      <c r="U372" s="194">
        <f t="shared" si="42"/>
        <v>1.0707194760004093</v>
      </c>
      <c r="V372">
        <f t="shared" si="37"/>
        <v>51</v>
      </c>
      <c r="W372" s="194">
        <f t="shared" si="43"/>
        <v>0.38127623532743604</v>
      </c>
      <c r="X372" s="194">
        <f t="shared" si="44"/>
        <v>-3.6900077620948637E-3</v>
      </c>
      <c r="Y372" s="245" t="str">
        <f>IF(ISNUMBER(SEARCH("C",'WetLitterbags placem_collection'!$Y79)),"YES","NO")</f>
        <v>NO</v>
      </c>
      <c r="Z372" s="245" t="str">
        <f>IF(ISNUMBER(SEARCH("H", 'WetLitterbags placem_collection'!$Y79)),"YES","NO")</f>
        <v>NO</v>
      </c>
      <c r="AA372" s="245" t="str">
        <f>IF(ISNUMBER(SEARCH("R", 'WetLitterbags placem_collection'!$Y79)),"YES","NO")</f>
        <v>NO</v>
      </c>
      <c r="AB372" s="245" t="str">
        <f>IF(ISNUMBER(SEARCH("C", 'WetLitterbags placem_collection'!$W79)),"YES","NO")</f>
        <v>NO</v>
      </c>
      <c r="AC372" s="245" t="str">
        <f>IF(ISNUMBER(SEARCH("H", 'WetLitterbags placem_collection'!$W79)),"YES","NO")</f>
        <v>NO</v>
      </c>
      <c r="AD372" s="245" t="str">
        <f>IF(ISNUMBER(SEARCH("R", 'WetLitterbags placem_collection'!$W79)),"YES","NO")</f>
        <v>YES</v>
      </c>
    </row>
    <row r="373" spans="2:30">
      <c r="B373" t="str">
        <f>Wetseason!B519</f>
        <v>Wet</v>
      </c>
      <c r="C373" s="253">
        <f>Wetseason!C519</f>
        <v>78</v>
      </c>
      <c r="D373" t="s">
        <v>3113</v>
      </c>
      <c r="E373" t="s">
        <v>25</v>
      </c>
      <c r="F373" s="375">
        <v>6</v>
      </c>
      <c r="G373" s="16">
        <f>'WetLitterbags placem_collection'!E80</f>
        <v>42767</v>
      </c>
      <c r="H373" s="92" t="str">
        <f>Wetseason!L519</f>
        <v>G446</v>
      </c>
      <c r="I373" t="str">
        <f>Wetseason!L739</f>
        <v>R100</v>
      </c>
      <c r="J373">
        <f>IFERROR(INDEX('Green_rooibos initial weight'!$C$5:$C$2000,MATCH(H373, 'Green_rooibos initial weight'!$A$5:$A$2000,0)),"")</f>
        <v>1.9319999999999999</v>
      </c>
      <c r="K373">
        <f>IFERROR(INDEX('Green_rooibos initial weight'!$C$5:$C$2000,MATCH(I373, 'Green_rooibos initial weight'!$A$5:$A$2000,0)),"")</f>
        <v>2.2549999999999999</v>
      </c>
      <c r="L373" s="194">
        <f t="shared" si="38"/>
        <v>1.6821999999999999</v>
      </c>
      <c r="M373" s="194">
        <f t="shared" si="36"/>
        <v>2.0051999999999999</v>
      </c>
      <c r="N373" s="16">
        <f>IF('WetLitterbags placem_collection'!G80="","",'WetLitterbags placem_collection'!G80)</f>
        <v>42818</v>
      </c>
      <c r="O373" s="194">
        <f>IFERROR(INDEX('Both teabags AfterWet'!$C$3:$C$2000,MATCH(H373,'Both teabags AfterWet'!$A$3:$A$2000,0)),"")</f>
        <v>0.77859999999999996</v>
      </c>
      <c r="P373" s="194">
        <f>IFERROR(INDEX('Both teabags AfterWet'!$C$3:$C$2000,MATCH(I373,'Both teabags AfterWet'!$A$3:$A$2000,0)),"")</f>
        <v>1.7222999999999999</v>
      </c>
      <c r="Q373" s="194">
        <f t="shared" si="39"/>
        <v>0.62799999999999989</v>
      </c>
      <c r="R373" s="194">
        <f t="shared" si="39"/>
        <v>1.5716999999999999</v>
      </c>
      <c r="S373" s="194">
        <f t="shared" si="40"/>
        <v>0.62667934847223883</v>
      </c>
      <c r="T373" s="194">
        <f t="shared" si="41"/>
        <v>0.41083966788203785</v>
      </c>
      <c r="U373" s="194">
        <f t="shared" si="42"/>
        <v>0.78381208856971873</v>
      </c>
      <c r="V373">
        <f t="shared" si="37"/>
        <v>51</v>
      </c>
      <c r="W373" s="194">
        <f t="shared" si="43"/>
        <v>0.25572523934413438</v>
      </c>
      <c r="X373" s="194">
        <f t="shared" si="44"/>
        <v>1.4646881142210567E-2</v>
      </c>
      <c r="Y373" s="245" t="str">
        <f>IF(ISNUMBER(SEARCH("C",'WetLitterbags placem_collection'!$Y80)),"YES","NO")</f>
        <v>NO</v>
      </c>
      <c r="Z373" s="245" t="str">
        <f>IF(ISNUMBER(SEARCH("H", 'WetLitterbags placem_collection'!$Y80)),"YES","NO")</f>
        <v>NO</v>
      </c>
      <c r="AA373" s="245" t="str">
        <f>IF(ISNUMBER(SEARCH("R", 'WetLitterbags placem_collection'!$Y80)),"YES","NO")</f>
        <v>NO</v>
      </c>
      <c r="AB373" s="245" t="str">
        <f>IF(ISNUMBER(SEARCH("C", 'WetLitterbags placem_collection'!$W80)),"YES","NO")</f>
        <v>NO</v>
      </c>
      <c r="AC373" s="245" t="str">
        <f>IF(ISNUMBER(SEARCH("H", 'WetLitterbags placem_collection'!$W80)),"YES","NO")</f>
        <v>NO</v>
      </c>
      <c r="AD373" s="245" t="str">
        <f>IF(ISNUMBER(SEARCH("R", 'WetLitterbags placem_collection'!$W80)),"YES","NO")</f>
        <v>YES</v>
      </c>
    </row>
    <row r="374" spans="2:30">
      <c r="B374" t="str">
        <f>Wetseason!B520</f>
        <v>Wet</v>
      </c>
      <c r="C374" s="253">
        <f>Wetseason!C520</f>
        <v>79</v>
      </c>
      <c r="D374" t="s">
        <v>3113</v>
      </c>
      <c r="E374" t="s">
        <v>25</v>
      </c>
      <c r="F374" s="375">
        <v>7</v>
      </c>
      <c r="G374" s="16">
        <f>'WetLitterbags placem_collection'!E81</f>
        <v>42767</v>
      </c>
      <c r="H374" s="92" t="str">
        <f>Wetseason!L520</f>
        <v>G249</v>
      </c>
      <c r="I374" t="str">
        <f>Wetseason!L740</f>
        <v>R56</v>
      </c>
      <c r="J374">
        <f>IFERROR(INDEX('Green_rooibos initial weight'!$C$5:$C$2000,MATCH(H374, 'Green_rooibos initial weight'!$A$5:$A$2000,0)),"")</f>
        <v>2.0219999999999998</v>
      </c>
      <c r="K374">
        <f>IFERROR(INDEX('Green_rooibos initial weight'!$C$5:$C$2000,MATCH(I374, 'Green_rooibos initial weight'!$A$5:$A$2000,0)),"")</f>
        <v>2.1829999999999998</v>
      </c>
      <c r="L374" s="194">
        <f t="shared" si="38"/>
        <v>1.7721999999999998</v>
      </c>
      <c r="M374" s="194">
        <f t="shared" si="36"/>
        <v>1.9331999999999998</v>
      </c>
      <c r="N374" s="16">
        <f>IF('WetLitterbags placem_collection'!G81="","",'WetLitterbags placem_collection'!G81)</f>
        <v>42818</v>
      </c>
      <c r="O374" s="194">
        <f>IFERROR(INDEX('Both teabags AfterWet'!$C$3:$C$2000,MATCH(H374,'Both teabags AfterWet'!$A$3:$A$2000,0)),"")</f>
        <v>0.97550000000000003</v>
      </c>
      <c r="P374" s="194">
        <f>IFERROR(INDEX('Both teabags AfterWet'!$C$3:$C$2000,MATCH(I374,'Both teabags AfterWet'!$A$3:$A$2000,0)),"")</f>
        <v>1.6438999999999999</v>
      </c>
      <c r="Q374" s="194">
        <f t="shared" si="39"/>
        <v>0.82489999999999997</v>
      </c>
      <c r="R374" s="194">
        <f t="shared" si="39"/>
        <v>1.4932999999999998</v>
      </c>
      <c r="S374" s="194">
        <f t="shared" si="40"/>
        <v>0.53453334838054389</v>
      </c>
      <c r="T374" s="194">
        <f t="shared" si="41"/>
        <v>0.35043041366515471</v>
      </c>
      <c r="U374" s="194">
        <f t="shared" si="42"/>
        <v>0.77244982412580177</v>
      </c>
      <c r="V374">
        <f t="shared" si="37"/>
        <v>51</v>
      </c>
      <c r="W374" s="194">
        <f t="shared" si="43"/>
        <v>0.36516229408486467</v>
      </c>
      <c r="X374" s="194">
        <f t="shared" si="44"/>
        <v>2.0548077406665588E-2</v>
      </c>
      <c r="Y374" s="245" t="str">
        <f>IF(ISNUMBER(SEARCH("C",'WetLitterbags placem_collection'!$Y81)),"YES","NO")</f>
        <v>NO</v>
      </c>
      <c r="Z374" s="245" t="str">
        <f>IF(ISNUMBER(SEARCH("H", 'WetLitterbags placem_collection'!$Y81)),"YES","NO")</f>
        <v>NO</v>
      </c>
      <c r="AA374" s="245" t="str">
        <f>IF(ISNUMBER(SEARCH("R", 'WetLitterbags placem_collection'!$Y81)),"YES","NO")</f>
        <v>NO</v>
      </c>
      <c r="AB374" s="245" t="str">
        <f>IF(ISNUMBER(SEARCH("C", 'WetLitterbags placem_collection'!$W81)),"YES","NO")</f>
        <v>NO</v>
      </c>
      <c r="AC374" s="245" t="str">
        <f>IF(ISNUMBER(SEARCH("H", 'WetLitterbags placem_collection'!$W81)),"YES","NO")</f>
        <v>NO</v>
      </c>
      <c r="AD374" s="245" t="str">
        <f>IF(ISNUMBER(SEARCH("R", 'WetLitterbags placem_collection'!$W81)),"YES","NO")</f>
        <v>YES</v>
      </c>
    </row>
    <row r="375" spans="2:30">
      <c r="B375" t="str">
        <f>Wetseason!B521</f>
        <v>Wet</v>
      </c>
      <c r="C375" s="253">
        <f>Wetseason!C521</f>
        <v>80</v>
      </c>
      <c r="D375" t="s">
        <v>3113</v>
      </c>
      <c r="E375" t="s">
        <v>25</v>
      </c>
      <c r="F375" s="375">
        <v>8</v>
      </c>
      <c r="G375" s="16">
        <f>'WetLitterbags placem_collection'!E82</f>
        <v>42767</v>
      </c>
      <c r="H375" s="92" t="str">
        <f>Wetseason!L521</f>
        <v>G474</v>
      </c>
      <c r="I375" t="str">
        <f>Wetseason!L741</f>
        <v>R68</v>
      </c>
      <c r="J375">
        <f>IFERROR(INDEX('Green_rooibos initial weight'!$C$5:$C$2000,MATCH(H375, 'Green_rooibos initial weight'!$A$5:$A$2000,0)),"")</f>
        <v>2.1930000000000001</v>
      </c>
      <c r="K375">
        <f>IFERROR(INDEX('Green_rooibos initial weight'!$C$5:$C$2000,MATCH(I375, 'Green_rooibos initial weight'!$A$5:$A$2000,0)),"")</f>
        <v>2.2370000000000001</v>
      </c>
      <c r="L375" s="194">
        <f t="shared" si="38"/>
        <v>1.9432</v>
      </c>
      <c r="M375" s="194">
        <f t="shared" si="36"/>
        <v>1.9872000000000001</v>
      </c>
      <c r="N375" s="16">
        <f>IF('WetLitterbags placem_collection'!G82="","",'WetLitterbags placem_collection'!G82)</f>
        <v>42818</v>
      </c>
      <c r="O375" s="194">
        <f>IFERROR(INDEX('Both teabags AfterWet'!$C$3:$C$2000,MATCH(H375,'Both teabags AfterWet'!$A$3:$A$2000,0)),"")</f>
        <v>1.0009999999999999</v>
      </c>
      <c r="P375" s="194">
        <f>IFERROR(INDEX('Both teabags AfterWet'!$C$3:$C$2000,MATCH(I375,'Both teabags AfterWet'!$A$3:$A$2000,0)),"")</f>
        <v>1.639</v>
      </c>
      <c r="Q375" s="194">
        <f t="shared" si="39"/>
        <v>0.85039999999999982</v>
      </c>
      <c r="R375" s="194">
        <f t="shared" si="39"/>
        <v>1.4883999999999999</v>
      </c>
      <c r="S375" s="194">
        <f t="shared" si="40"/>
        <v>0.56237134623301777</v>
      </c>
      <c r="T375" s="194">
        <f t="shared" si="41"/>
        <v>0.368680502518558</v>
      </c>
      <c r="U375" s="194">
        <f t="shared" si="42"/>
        <v>0.74899355877616747</v>
      </c>
      <c r="V375">
        <f t="shared" si="37"/>
        <v>51</v>
      </c>
      <c r="W375" s="194">
        <f t="shared" si="43"/>
        <v>0.33210053891565583</v>
      </c>
      <c r="X375" s="194">
        <f t="shared" si="44"/>
        <v>2.2392388470399063E-2</v>
      </c>
      <c r="Y375" s="245" t="str">
        <f>IF(ISNUMBER(SEARCH("C",'WetLitterbags placem_collection'!$Y82)),"YES","NO")</f>
        <v>NO</v>
      </c>
      <c r="Z375" s="245" t="str">
        <f>IF(ISNUMBER(SEARCH("H", 'WetLitterbags placem_collection'!$Y82)),"YES","NO")</f>
        <v>NO</v>
      </c>
      <c r="AA375" s="245" t="str">
        <f>IF(ISNUMBER(SEARCH("R", 'WetLitterbags placem_collection'!$Y82)),"YES","NO")</f>
        <v>NO</v>
      </c>
      <c r="AB375" s="245" t="str">
        <f>IF(ISNUMBER(SEARCH("C", 'WetLitterbags placem_collection'!$W82)),"YES","NO")</f>
        <v>NO</v>
      </c>
      <c r="AC375" s="245" t="str">
        <f>IF(ISNUMBER(SEARCH("H", 'WetLitterbags placem_collection'!$W82)),"YES","NO")</f>
        <v>YES</v>
      </c>
      <c r="AD375" s="245" t="str">
        <f>IF(ISNUMBER(SEARCH("R", 'WetLitterbags placem_collection'!$W82)),"YES","NO")</f>
        <v>NO</v>
      </c>
    </row>
    <row r="376" spans="2:30">
      <c r="B376" t="str">
        <f>Wetseason!B522</f>
        <v>Wet</v>
      </c>
      <c r="C376" s="253">
        <f>Wetseason!C522</f>
        <v>81</v>
      </c>
      <c r="D376" t="s">
        <v>3114</v>
      </c>
      <c r="E376" t="s">
        <v>25</v>
      </c>
      <c r="F376" s="374">
        <v>1</v>
      </c>
      <c r="G376" s="16">
        <f>'WetLitterbags placem_collection'!E83</f>
        <v>42767</v>
      </c>
      <c r="H376" s="92" t="str">
        <f>Wetseason!L522</f>
        <v>G475</v>
      </c>
      <c r="I376" t="str">
        <f>Wetseason!L742</f>
        <v>R293</v>
      </c>
      <c r="J376">
        <f>IFERROR(INDEX('Green_rooibos initial weight'!$C$5:$C$2000,MATCH(H376, 'Green_rooibos initial weight'!$A$5:$A$2000,0)),"")</f>
        <v>2.0110000000000001</v>
      </c>
      <c r="K376">
        <f>IFERROR(INDEX('Green_rooibos initial weight'!$C$5:$C$2000,MATCH(I376, 'Green_rooibos initial weight'!$A$5:$A$2000,0)),"")</f>
        <v>2.165</v>
      </c>
      <c r="L376" s="194">
        <f t="shared" si="38"/>
        <v>1.7612000000000001</v>
      </c>
      <c r="M376" s="194">
        <f t="shared" si="36"/>
        <v>1.9152</v>
      </c>
      <c r="N376" s="16">
        <f>IF('WetLitterbags placem_collection'!G83="","",'WetLitterbags placem_collection'!G83)</f>
        <v>42818</v>
      </c>
      <c r="O376" s="194">
        <f>IFERROR(INDEX('Both teabags AfterWet'!$C$3:$C$2000,MATCH(H376,'Both teabags AfterWet'!$A$3:$A$2000,0)),"")</f>
        <v>0.65200000000000002</v>
      </c>
      <c r="P376" s="194">
        <f>IFERROR(INDEX('Both teabags AfterWet'!$C$3:$C$2000,MATCH(I376,'Both teabags AfterWet'!$A$3:$A$2000,0)),"")</f>
        <v>1.736</v>
      </c>
      <c r="Q376" s="194">
        <f t="shared" si="39"/>
        <v>0.50140000000000007</v>
      </c>
      <c r="R376" s="194">
        <f t="shared" si="39"/>
        <v>1.5853999999999999</v>
      </c>
      <c r="S376" s="194">
        <f t="shared" si="40"/>
        <v>0.71530774471950942</v>
      </c>
      <c r="T376" s="194">
        <f t="shared" si="41"/>
        <v>0.46894284451920337</v>
      </c>
      <c r="U376" s="194">
        <f t="shared" si="42"/>
        <v>0.82779866332497909</v>
      </c>
      <c r="V376">
        <f t="shared" si="37"/>
        <v>51</v>
      </c>
      <c r="W376" s="194">
        <f t="shared" si="43"/>
        <v>0.15046586137825479</v>
      </c>
      <c r="X376" s="194">
        <f t="shared" si="44"/>
        <v>8.9729309499730573E-3</v>
      </c>
      <c r="Y376" s="245" t="str">
        <f>IF(ISNUMBER(SEARCH("C",'WetLitterbags placem_collection'!$Y83)),"YES","NO")</f>
        <v>NO</v>
      </c>
      <c r="Z376" s="245" t="str">
        <f>IF(ISNUMBER(SEARCH("H", 'WetLitterbags placem_collection'!$Y83)),"YES","NO")</f>
        <v>NO</v>
      </c>
      <c r="AA376" s="245" t="str">
        <f>IF(ISNUMBER(SEARCH("R", 'WetLitterbags placem_collection'!$Y83)),"YES","NO")</f>
        <v>YES</v>
      </c>
      <c r="AB376" s="245" t="str">
        <f>IF(ISNUMBER(SEARCH("C", 'WetLitterbags placem_collection'!$W83)),"YES","NO")</f>
        <v>NO</v>
      </c>
      <c r="AC376" s="245" t="str">
        <f>IF(ISNUMBER(SEARCH("H", 'WetLitterbags placem_collection'!$W83)),"YES","NO")</f>
        <v>NO</v>
      </c>
      <c r="AD376" s="245" t="str">
        <f>IF(ISNUMBER(SEARCH("R", 'WetLitterbags placem_collection'!$W83)),"YES","NO")</f>
        <v>NO</v>
      </c>
    </row>
    <row r="377" spans="2:30">
      <c r="B377" t="str">
        <f>Wetseason!B523</f>
        <v>Wet</v>
      </c>
      <c r="C377" s="253">
        <f>Wetseason!C523</f>
        <v>82</v>
      </c>
      <c r="D377" t="s">
        <v>3114</v>
      </c>
      <c r="E377" t="s">
        <v>25</v>
      </c>
      <c r="F377" s="374">
        <v>2</v>
      </c>
      <c r="G377" s="16">
        <f>'WetLitterbags placem_collection'!E84</f>
        <v>42767</v>
      </c>
      <c r="H377" s="92" t="str">
        <f>Wetseason!L523</f>
        <v>G840</v>
      </c>
      <c r="I377" t="str">
        <f>Wetseason!L743</f>
        <v>R368</v>
      </c>
      <c r="J377">
        <f>IFERROR(INDEX('Green_rooibos initial weight'!$C$5:$C$2000,MATCH(H377, 'Green_rooibos initial weight'!$A$5:$A$2000,0)),"")</f>
        <v>2.056</v>
      </c>
      <c r="K377">
        <f>IFERROR(INDEX('Green_rooibos initial weight'!$C$5:$C$2000,MATCH(I377, 'Green_rooibos initial weight'!$A$5:$A$2000,0)),"")</f>
        <v>2.2549999999999999</v>
      </c>
      <c r="L377" s="194">
        <f t="shared" si="38"/>
        <v>1.8062</v>
      </c>
      <c r="M377" s="194">
        <f t="shared" si="36"/>
        <v>2.0051999999999999</v>
      </c>
      <c r="N377" s="16">
        <f>IF('WetLitterbags placem_collection'!G84="","",'WetLitterbags placem_collection'!G84)</f>
        <v>42819</v>
      </c>
      <c r="O377" s="194">
        <f>IFERROR(INDEX('Both teabags AfterWet'!$C$3:$C$2000,MATCH(H377,'Both teabags AfterWet'!$A$3:$A$2000,0)),"")</f>
        <v>0.74299999999999999</v>
      </c>
      <c r="P377" s="194">
        <f>IFERROR(INDEX('Both teabags AfterWet'!$C$3:$C$2000,MATCH(I377,'Both teabags AfterWet'!$A$3:$A$2000,0)),"")</f>
        <v>1.704</v>
      </c>
      <c r="Q377" s="194">
        <f t="shared" si="39"/>
        <v>0.59240000000000004</v>
      </c>
      <c r="R377" s="194">
        <f t="shared" si="39"/>
        <v>1.5533999999999999</v>
      </c>
      <c r="S377" s="194">
        <f t="shared" si="40"/>
        <v>0.67201860259107515</v>
      </c>
      <c r="T377" s="194">
        <f t="shared" si="41"/>
        <v>0.44056326440650062</v>
      </c>
      <c r="U377" s="194">
        <f t="shared" si="42"/>
        <v>0.77468581687612204</v>
      </c>
      <c r="V377">
        <f t="shared" si="37"/>
        <v>52</v>
      </c>
      <c r="W377" s="194">
        <f t="shared" si="43"/>
        <v>0.20187814419112216</v>
      </c>
      <c r="X377" s="194">
        <f t="shared" si="44"/>
        <v>1.3774195758545311E-2</v>
      </c>
      <c r="Y377" s="245" t="str">
        <f>IF(ISNUMBER(SEARCH("C",'WetLitterbags placem_collection'!$Y84)),"YES","NO")</f>
        <v>NO</v>
      </c>
      <c r="Z377" s="245" t="str">
        <f>IF(ISNUMBER(SEARCH("H", 'WetLitterbags placem_collection'!$Y84)),"YES","NO")</f>
        <v>NO</v>
      </c>
      <c r="AA377" s="245" t="str">
        <f>IF(ISNUMBER(SEARCH("R", 'WetLitterbags placem_collection'!$Y84)),"YES","NO")</f>
        <v>NO</v>
      </c>
      <c r="AB377" s="245" t="str">
        <f>IF(ISNUMBER(SEARCH("C", 'WetLitterbags placem_collection'!$W84)),"YES","NO")</f>
        <v>NO</v>
      </c>
      <c r="AC377" s="245" t="str">
        <f>IF(ISNUMBER(SEARCH("H", 'WetLitterbags placem_collection'!$W84)),"YES","NO")</f>
        <v>YES</v>
      </c>
      <c r="AD377" s="245" t="str">
        <f>IF(ISNUMBER(SEARCH("R", 'WetLitterbags placem_collection'!$W84)),"YES","NO")</f>
        <v>YES</v>
      </c>
    </row>
    <row r="378" spans="2:30">
      <c r="B378" t="str">
        <f>Wetseason!B524</f>
        <v>Wet</v>
      </c>
      <c r="C378" s="253">
        <f>Wetseason!C524</f>
        <v>83</v>
      </c>
      <c r="D378" t="s">
        <v>3114</v>
      </c>
      <c r="E378" t="s">
        <v>25</v>
      </c>
      <c r="F378" s="374">
        <v>3</v>
      </c>
      <c r="G378" s="16">
        <f>'WetLitterbags placem_collection'!E85</f>
        <v>42767</v>
      </c>
      <c r="H378" s="92" t="str">
        <f>Wetseason!L524</f>
        <v>G298</v>
      </c>
      <c r="I378" t="str">
        <f>Wetseason!L744</f>
        <v>R22</v>
      </c>
      <c r="J378">
        <f>IFERROR(INDEX('Green_rooibos initial weight'!$C$5:$C$2000,MATCH(H378, 'Green_rooibos initial weight'!$A$5:$A$2000,0)),"")</f>
        <v>2.0550000000000002</v>
      </c>
      <c r="K378">
        <f>IFERROR(INDEX('Green_rooibos initial weight'!$C$5:$C$2000,MATCH(I378, 'Green_rooibos initial weight'!$A$5:$A$2000,0)),"")</f>
        <v>2.0590000000000002</v>
      </c>
      <c r="L378" s="194">
        <f t="shared" si="38"/>
        <v>1.8052000000000001</v>
      </c>
      <c r="M378" s="194">
        <f t="shared" si="36"/>
        <v>1.8092000000000001</v>
      </c>
      <c r="N378" s="16">
        <f>IF('WetLitterbags placem_collection'!G85="","",'WetLitterbags placem_collection'!G85)</f>
        <v>42819</v>
      </c>
      <c r="O378" s="194">
        <f>IFERROR(INDEX('Both teabags AfterWet'!$C$3:$C$2000,MATCH(H378,'Both teabags AfterWet'!$A$3:$A$2000,0)),"")</f>
        <v>0.88800000000000001</v>
      </c>
      <c r="P378" s="194">
        <f>IFERROR(INDEX('Both teabags AfterWet'!$C$3:$C$2000,MATCH(I378,'Both teabags AfterWet'!$A$3:$A$2000,0)),"")</f>
        <v>1.637</v>
      </c>
      <c r="Q378" s="194">
        <f t="shared" si="39"/>
        <v>0.73740000000000006</v>
      </c>
      <c r="R378" s="194">
        <f t="shared" si="39"/>
        <v>1.4863999999999999</v>
      </c>
      <c r="S378" s="194">
        <f t="shared" si="40"/>
        <v>0.5915134057168181</v>
      </c>
      <c r="T378" s="194">
        <f t="shared" si="41"/>
        <v>0.38778551063620381</v>
      </c>
      <c r="U378" s="194">
        <f t="shared" si="42"/>
        <v>0.82157859827548074</v>
      </c>
      <c r="V378">
        <f t="shared" si="37"/>
        <v>52</v>
      </c>
      <c r="W378" s="194">
        <f t="shared" si="43"/>
        <v>0.29749001696339894</v>
      </c>
      <c r="X378" s="194">
        <f t="shared" si="44"/>
        <v>1.1853413366191843E-2</v>
      </c>
      <c r="Y378" s="245" t="str">
        <f>IF(ISNUMBER(SEARCH("C",'WetLitterbags placem_collection'!$Y85)),"YES","NO")</f>
        <v>NO</v>
      </c>
      <c r="Z378" s="245" t="str">
        <f>IF(ISNUMBER(SEARCH("H", 'WetLitterbags placem_collection'!$Y85)),"YES","NO")</f>
        <v>NO</v>
      </c>
      <c r="AA378" s="245" t="str">
        <f>IF(ISNUMBER(SEARCH("R", 'WetLitterbags placem_collection'!$Y85)),"YES","NO")</f>
        <v>NO</v>
      </c>
      <c r="AB378" s="245" t="str">
        <f>IF(ISNUMBER(SEARCH("C", 'WetLitterbags placem_collection'!$W85)),"YES","NO")</f>
        <v>NO</v>
      </c>
      <c r="AC378" s="245" t="str">
        <f>IF(ISNUMBER(SEARCH("H", 'WetLitterbags placem_collection'!$W85)),"YES","NO")</f>
        <v>YES</v>
      </c>
      <c r="AD378" s="245" t="str">
        <f>IF(ISNUMBER(SEARCH("R", 'WetLitterbags placem_collection'!$W85)),"YES","NO")</f>
        <v>NO</v>
      </c>
    </row>
    <row r="379" spans="2:30">
      <c r="B379" t="str">
        <f>Wetseason!B525</f>
        <v>Wet</v>
      </c>
      <c r="C379" s="253">
        <f>Wetseason!C525</f>
        <v>84</v>
      </c>
      <c r="D379" t="s">
        <v>3114</v>
      </c>
      <c r="E379" t="s">
        <v>25</v>
      </c>
      <c r="F379" s="375">
        <v>4</v>
      </c>
      <c r="G379" s="16">
        <f>'WetLitterbags placem_collection'!E86</f>
        <v>42767</v>
      </c>
      <c r="H379" s="92" t="str">
        <f>Wetseason!L525</f>
        <v>G520</v>
      </c>
      <c r="I379" t="str">
        <f>Wetseason!L745</f>
        <v>R417</v>
      </c>
      <c r="J379">
        <f>IFERROR(INDEX('Green_rooibos initial weight'!$C$5:$C$2000,MATCH(H379, 'Green_rooibos initial weight'!$A$5:$A$2000,0)),"")</f>
        <v>1.929</v>
      </c>
      <c r="K379">
        <f>IFERROR(INDEX('Green_rooibos initial weight'!$C$5:$C$2000,MATCH(I379, 'Green_rooibos initial weight'!$A$5:$A$2000,0)),"")</f>
        <v>2.2269999999999999</v>
      </c>
      <c r="L379" s="194">
        <f t="shared" si="38"/>
        <v>1.6792</v>
      </c>
      <c r="M379" s="194">
        <f t="shared" si="36"/>
        <v>1.9771999999999998</v>
      </c>
      <c r="N379" s="16">
        <f>IF('WetLitterbags placem_collection'!G86="","",'WetLitterbags placem_collection'!G86)</f>
        <v>42819</v>
      </c>
      <c r="O379" s="194">
        <f>IFERROR(INDEX('Both teabags AfterWet'!$C$3:$C$2000,MATCH(H379,'Both teabags AfterWet'!$A$3:$A$2000,0)),"")</f>
        <v>0.81299999999999994</v>
      </c>
      <c r="P379" s="194">
        <f>IFERROR(INDEX('Both teabags AfterWet'!$C$3:$C$2000,MATCH(I379,'Both teabags AfterWet'!$A$3:$A$2000,0)),"")</f>
        <v>1.5820000000000001</v>
      </c>
      <c r="Q379" s="194">
        <f t="shared" si="39"/>
        <v>0.66239999999999988</v>
      </c>
      <c r="R379" s="194">
        <f t="shared" si="39"/>
        <v>1.4314</v>
      </c>
      <c r="S379" s="194">
        <f t="shared" si="40"/>
        <v>0.60552644116245835</v>
      </c>
      <c r="T379" s="194">
        <f t="shared" si="41"/>
        <v>0.39697220370745495</v>
      </c>
      <c r="U379" s="194">
        <f t="shared" si="42"/>
        <v>0.72395306494031975</v>
      </c>
      <c r="V379">
        <f t="shared" si="37"/>
        <v>52</v>
      </c>
      <c r="W379" s="194">
        <f t="shared" si="43"/>
        <v>0.2808474570517121</v>
      </c>
      <c r="X379" s="194">
        <f t="shared" si="44"/>
        <v>2.2859490809087994E-2</v>
      </c>
      <c r="Y379" s="245" t="str">
        <f>IF(ISNUMBER(SEARCH("C",'WetLitterbags placem_collection'!$Y86)),"YES","NO")</f>
        <v>NO</v>
      </c>
      <c r="Z379" s="245" t="str">
        <f>IF(ISNUMBER(SEARCH("H", 'WetLitterbags placem_collection'!$Y86)),"YES","NO")</f>
        <v>NO</v>
      </c>
      <c r="AA379" s="245" t="str">
        <f>IF(ISNUMBER(SEARCH("R", 'WetLitterbags placem_collection'!$Y86)),"YES","NO")</f>
        <v>YES</v>
      </c>
      <c r="AB379" s="245" t="str">
        <f>IF(ISNUMBER(SEARCH("C", 'WetLitterbags placem_collection'!$W86)),"YES","NO")</f>
        <v>NO</v>
      </c>
      <c r="AC379" s="245" t="str">
        <f>IF(ISNUMBER(SEARCH("H", 'WetLitterbags placem_collection'!$W86)),"YES","NO")</f>
        <v>NO</v>
      </c>
      <c r="AD379" s="245" t="str">
        <f>IF(ISNUMBER(SEARCH("R", 'WetLitterbags placem_collection'!$W86)),"YES","NO")</f>
        <v>YES</v>
      </c>
    </row>
    <row r="380" spans="2:30">
      <c r="B380" t="str">
        <f>Wetseason!B526</f>
        <v>Wet</v>
      </c>
      <c r="C380" s="253">
        <f>Wetseason!C526</f>
        <v>85</v>
      </c>
      <c r="D380" t="s">
        <v>3114</v>
      </c>
      <c r="E380" t="s">
        <v>25</v>
      </c>
      <c r="F380" s="375">
        <v>5</v>
      </c>
      <c r="G380" s="16">
        <f>'WetLitterbags placem_collection'!E87</f>
        <v>42767</v>
      </c>
      <c r="H380" s="92" t="str">
        <f>Wetseason!L526</f>
        <v>G441</v>
      </c>
      <c r="I380" t="str">
        <f>Wetseason!L746</f>
        <v>R391</v>
      </c>
      <c r="J380">
        <f>IFERROR(INDEX('Green_rooibos initial weight'!$C$5:$C$2000,MATCH(H380, 'Green_rooibos initial weight'!$A$5:$A$2000,0)),"")</f>
        <v>2.1040000000000001</v>
      </c>
      <c r="K380">
        <f>IFERROR(INDEX('Green_rooibos initial weight'!$C$5:$C$2000,MATCH(I380, 'Green_rooibos initial weight'!$A$5:$A$2000,0)),"")</f>
        <v>2.1960000000000002</v>
      </c>
      <c r="L380" s="194">
        <f t="shared" si="38"/>
        <v>1.8542000000000001</v>
      </c>
      <c r="M380" s="194">
        <f t="shared" si="36"/>
        <v>1.9462000000000002</v>
      </c>
      <c r="N380" s="16">
        <f>IF('WetLitterbags placem_collection'!G87="","",'WetLitterbags placem_collection'!G87)</f>
        <v>42819</v>
      </c>
      <c r="O380" s="194">
        <f>IFERROR(INDEX('Both teabags AfterWet'!$C$3:$C$2000,MATCH(H380,'Both teabags AfterWet'!$A$3:$A$2000,0)),"")</f>
        <v>0.96599999999999997</v>
      </c>
      <c r="P380" s="194">
        <f>IFERROR(INDEX('Both teabags AfterWet'!$C$3:$C$2000,MATCH(I380,'Both teabags AfterWet'!$A$3:$A$2000,0)),"")</f>
        <v>1.6220000000000001</v>
      </c>
      <c r="Q380" s="194">
        <f t="shared" si="39"/>
        <v>0.8153999999999999</v>
      </c>
      <c r="R380" s="194">
        <f t="shared" si="39"/>
        <v>1.4714</v>
      </c>
      <c r="S380" s="194">
        <f t="shared" si="40"/>
        <v>0.56024161363391234</v>
      </c>
      <c r="T380" s="194">
        <f t="shared" si="41"/>
        <v>0.3672842882730637</v>
      </c>
      <c r="U380" s="194">
        <f t="shared" si="42"/>
        <v>0.75603740622752025</v>
      </c>
      <c r="V380">
        <f t="shared" si="37"/>
        <v>52</v>
      </c>
      <c r="W380" s="194">
        <f t="shared" si="43"/>
        <v>0.3346299125487977</v>
      </c>
      <c r="X380" s="194">
        <f t="shared" si="44"/>
        <v>2.0987304462108985E-2</v>
      </c>
      <c r="Y380" s="245" t="str">
        <f>IF(ISNUMBER(SEARCH("C",'WetLitterbags placem_collection'!$Y87)),"YES","NO")</f>
        <v>NO</v>
      </c>
      <c r="Z380" s="245" t="str">
        <f>IF(ISNUMBER(SEARCH("H", 'WetLitterbags placem_collection'!$Y87)),"YES","NO")</f>
        <v>NO</v>
      </c>
      <c r="AA380" s="245" t="str">
        <f>IF(ISNUMBER(SEARCH("R", 'WetLitterbags placem_collection'!$Y87)),"YES","NO")</f>
        <v>NO</v>
      </c>
      <c r="AB380" s="245" t="str">
        <f>IF(ISNUMBER(SEARCH("C", 'WetLitterbags placem_collection'!$W87)),"YES","NO")</f>
        <v>YES</v>
      </c>
      <c r="AC380" s="245" t="str">
        <f>IF(ISNUMBER(SEARCH("H", 'WetLitterbags placem_collection'!$W87)),"YES","NO")</f>
        <v>YES</v>
      </c>
      <c r="AD380" s="245" t="str">
        <f>IF(ISNUMBER(SEARCH("R", 'WetLitterbags placem_collection'!$W87)),"YES","NO")</f>
        <v>YES</v>
      </c>
    </row>
    <row r="381" spans="2:30">
      <c r="B381" t="str">
        <f>Wetseason!B527</f>
        <v>Wet</v>
      </c>
      <c r="C381" s="253">
        <f>Wetseason!C527</f>
        <v>86</v>
      </c>
      <c r="D381" t="s">
        <v>3114</v>
      </c>
      <c r="E381" t="s">
        <v>25</v>
      </c>
      <c r="F381" s="375">
        <v>6</v>
      </c>
      <c r="G381" s="16">
        <f>'WetLitterbags placem_collection'!E88</f>
        <v>42767</v>
      </c>
      <c r="H381" s="92" t="str">
        <f>Wetseason!L527</f>
        <v>G561</v>
      </c>
      <c r="I381" t="str">
        <f>Wetseason!L747</f>
        <v>R62</v>
      </c>
      <c r="J381">
        <f>IFERROR(INDEX('Green_rooibos initial weight'!$C$5:$C$2000,MATCH(H381, 'Green_rooibos initial weight'!$A$5:$A$2000,0)),"")</f>
        <v>2.1259999999999999</v>
      </c>
      <c r="K381">
        <f>IFERROR(INDEX('Green_rooibos initial weight'!$C$5:$C$2000,MATCH(I381, 'Green_rooibos initial weight'!$A$5:$A$2000,0)),"")</f>
        <v>2.3660000000000001</v>
      </c>
      <c r="L381" s="194">
        <f t="shared" si="38"/>
        <v>1.8761999999999999</v>
      </c>
      <c r="M381" s="194">
        <f t="shared" si="36"/>
        <v>2.1162000000000001</v>
      </c>
      <c r="N381" s="16">
        <f>IF('WetLitterbags placem_collection'!G88="","",'WetLitterbags placem_collection'!G88)</f>
        <v>42819</v>
      </c>
      <c r="O381" s="194">
        <f>IFERROR(INDEX('Both teabags AfterWet'!$C$3:$C$2000,MATCH(H381,'Both teabags AfterWet'!$A$3:$A$2000,0)),"")</f>
        <v>0.74650000000000005</v>
      </c>
      <c r="P381" s="194">
        <f>IFERROR(INDEX('Both teabags AfterWet'!$C$3:$C$2000,MATCH(I381,'Both teabags AfterWet'!$A$3:$A$2000,0)),"")</f>
        <v>1.6786000000000001</v>
      </c>
      <c r="Q381" s="194">
        <f t="shared" si="39"/>
        <v>0.5959000000000001</v>
      </c>
      <c r="R381" s="194">
        <f t="shared" si="39"/>
        <v>1.528</v>
      </c>
      <c r="S381" s="194">
        <f t="shared" si="40"/>
        <v>0.6823899371069182</v>
      </c>
      <c r="T381" s="194">
        <f t="shared" si="41"/>
        <v>0.4473625240890961</v>
      </c>
      <c r="U381" s="194">
        <f t="shared" si="42"/>
        <v>0.72204895567526695</v>
      </c>
      <c r="V381">
        <f t="shared" si="37"/>
        <v>52</v>
      </c>
      <c r="W381" s="194">
        <f t="shared" si="43"/>
        <v>0.18956064476613033</v>
      </c>
      <c r="X381" s="194">
        <f t="shared" si="44"/>
        <v>1.8673821820217214E-2</v>
      </c>
      <c r="Y381" s="245" t="str">
        <f>IF(ISNUMBER(SEARCH("C",'WetLitterbags placem_collection'!$Y88)),"YES","NO")</f>
        <v>NO</v>
      </c>
      <c r="Z381" s="245" t="str">
        <f>IF(ISNUMBER(SEARCH("H", 'WetLitterbags placem_collection'!$Y88)),"YES","NO")</f>
        <v>NO</v>
      </c>
      <c r="AA381" s="245" t="str">
        <f>IF(ISNUMBER(SEARCH("R", 'WetLitterbags placem_collection'!$Y88)),"YES","NO")</f>
        <v>NO</v>
      </c>
      <c r="AB381" s="245" t="str">
        <f>IF(ISNUMBER(SEARCH("C", 'WetLitterbags placem_collection'!$W88)),"YES","NO")</f>
        <v>YES</v>
      </c>
      <c r="AC381" s="245" t="str">
        <f>IF(ISNUMBER(SEARCH("H", 'WetLitterbags placem_collection'!$W88)),"YES","NO")</f>
        <v>YES</v>
      </c>
      <c r="AD381" s="245" t="str">
        <f>IF(ISNUMBER(SEARCH("R", 'WetLitterbags placem_collection'!$W88)),"YES","NO")</f>
        <v>YES</v>
      </c>
    </row>
    <row r="382" spans="2:30">
      <c r="B382" t="str">
        <f>Wetseason!B528</f>
        <v>Wet</v>
      </c>
      <c r="C382" s="253">
        <f>Wetseason!C528</f>
        <v>87</v>
      </c>
      <c r="D382" t="s">
        <v>3114</v>
      </c>
      <c r="E382" t="s">
        <v>25</v>
      </c>
      <c r="F382" s="375">
        <v>7</v>
      </c>
      <c r="G382" s="16">
        <f>'WetLitterbags placem_collection'!E89</f>
        <v>42767</v>
      </c>
      <c r="H382" s="92" t="str">
        <f>Wetseason!L528</f>
        <v>G632</v>
      </c>
      <c r="I382" t="str">
        <f>Wetseason!L748</f>
        <v>R329</v>
      </c>
      <c r="J382">
        <f>IFERROR(INDEX('Green_rooibos initial weight'!$C$5:$C$2000,MATCH(H382, 'Green_rooibos initial weight'!$A$5:$A$2000,0)),"")</f>
        <v>2.0779999999999998</v>
      </c>
      <c r="K382">
        <f>IFERROR(INDEX('Green_rooibos initial weight'!$C$5:$C$2000,MATCH(I382, 'Green_rooibos initial weight'!$A$5:$A$2000,0)),"")</f>
        <v>2.2120000000000002</v>
      </c>
      <c r="L382" s="194">
        <f t="shared" si="38"/>
        <v>1.8281999999999998</v>
      </c>
      <c r="M382" s="194">
        <f t="shared" si="36"/>
        <v>1.9622000000000002</v>
      </c>
      <c r="N382" s="16">
        <f>IF('WetLitterbags placem_collection'!G89="","",'WetLitterbags placem_collection'!G89)</f>
        <v>42819</v>
      </c>
      <c r="O382" s="194">
        <f>IFERROR(INDEX('Both teabags AfterWet'!$C$3:$C$2000,MATCH(H382,'Both teabags AfterWet'!$A$3:$A$2000,0)),"")</f>
        <v>0.81640000000000001</v>
      </c>
      <c r="P382" s="194">
        <f>IFERROR(INDEX('Both teabags AfterWet'!$C$3:$C$2000,MATCH(I382,'Both teabags AfterWet'!$A$3:$A$2000,0)),"")</f>
        <v>1.7085999999999999</v>
      </c>
      <c r="Q382" s="194">
        <f t="shared" si="39"/>
        <v>0.66579999999999995</v>
      </c>
      <c r="R382" s="194">
        <f t="shared" si="39"/>
        <v>1.5579999999999998</v>
      </c>
      <c r="S382" s="194">
        <f t="shared" si="40"/>
        <v>0.63581665025708345</v>
      </c>
      <c r="T382" s="194">
        <f t="shared" si="41"/>
        <v>0.41682991798326613</v>
      </c>
      <c r="U382" s="194">
        <f t="shared" si="42"/>
        <v>0.79400672714300258</v>
      </c>
      <c r="V382">
        <f t="shared" si="37"/>
        <v>52</v>
      </c>
      <c r="W382" s="194">
        <f t="shared" si="43"/>
        <v>0.24487333698683678</v>
      </c>
      <c r="X382" s="194">
        <f t="shared" si="44"/>
        <v>1.3107589002582333E-2</v>
      </c>
      <c r="Y382" s="245" t="str">
        <f>IF(ISNUMBER(SEARCH("C",'WetLitterbags placem_collection'!$Y89)),"YES","NO")</f>
        <v>NO</v>
      </c>
      <c r="Z382" s="245" t="str">
        <f>IF(ISNUMBER(SEARCH("H", 'WetLitterbags placem_collection'!$Y89)),"YES","NO")</f>
        <v>NO</v>
      </c>
      <c r="AA382" s="245" t="str">
        <f>IF(ISNUMBER(SEARCH("R", 'WetLitterbags placem_collection'!$Y89)),"YES","NO")</f>
        <v>NO</v>
      </c>
      <c r="AB382" s="245" t="str">
        <f>IF(ISNUMBER(SEARCH("C", 'WetLitterbags placem_collection'!$W89)),"YES","NO")</f>
        <v>YES</v>
      </c>
      <c r="AC382" s="245" t="str">
        <f>IF(ISNUMBER(SEARCH("H", 'WetLitterbags placem_collection'!$W89)),"YES","NO")</f>
        <v>NO</v>
      </c>
      <c r="AD382" s="245" t="str">
        <f>IF(ISNUMBER(SEARCH("R", 'WetLitterbags placem_collection'!$W89)),"YES","NO")</f>
        <v>YES</v>
      </c>
    </row>
    <row r="383" spans="2:30">
      <c r="B383" t="str">
        <f>Wetseason!B529</f>
        <v>Wet</v>
      </c>
      <c r="C383" s="253">
        <f>Wetseason!C529</f>
        <v>88</v>
      </c>
      <c r="D383" t="s">
        <v>3114</v>
      </c>
      <c r="E383" t="s">
        <v>25</v>
      </c>
      <c r="F383" s="375">
        <v>8</v>
      </c>
      <c r="G383" s="16">
        <f>'WetLitterbags placem_collection'!E90</f>
        <v>42767</v>
      </c>
      <c r="H383" s="92" t="str">
        <f>Wetseason!L529</f>
        <v>G611</v>
      </c>
      <c r="I383" t="str">
        <f>Wetseason!L749</f>
        <v>R288</v>
      </c>
      <c r="J383">
        <f>IFERROR(INDEX('Green_rooibos initial weight'!$C$5:$C$2000,MATCH(H383, 'Green_rooibos initial weight'!$A$5:$A$2000,0)),"")</f>
        <v>1.99</v>
      </c>
      <c r="K383">
        <f>IFERROR(INDEX('Green_rooibos initial weight'!$C$5:$C$2000,MATCH(I383, 'Green_rooibos initial weight'!$A$5:$A$2000,0)),"")</f>
        <v>2.2450000000000001</v>
      </c>
      <c r="L383" s="194">
        <f t="shared" si="38"/>
        <v>1.7402</v>
      </c>
      <c r="M383" s="194">
        <f t="shared" si="36"/>
        <v>1.9952000000000001</v>
      </c>
      <c r="N383" s="16">
        <f>IF('WetLitterbags placem_collection'!G90="","",'WetLitterbags placem_collection'!G90)</f>
        <v>42819</v>
      </c>
      <c r="O383" s="194">
        <f>IFERROR(INDEX('Both teabags AfterWet'!$C$3:$C$2000,MATCH(H383,'Both teabags AfterWet'!$A$3:$A$2000,0)),"")</f>
        <v>0.89510000000000001</v>
      </c>
      <c r="P383" s="194">
        <f>IFERROR(INDEX('Both teabags AfterWet'!$C$3:$C$2000,MATCH(I383,'Both teabags AfterWet'!$A$3:$A$2000,0)),"")</f>
        <v>1.514</v>
      </c>
      <c r="Q383" s="194">
        <f t="shared" si="39"/>
        <v>0.74449999999999994</v>
      </c>
      <c r="R383" s="194">
        <f t="shared" si="39"/>
        <v>1.3633999999999999</v>
      </c>
      <c r="S383" s="194">
        <f t="shared" si="40"/>
        <v>0.57217561199862088</v>
      </c>
      <c r="T383" s="194">
        <f t="shared" si="41"/>
        <v>0.37510800216536672</v>
      </c>
      <c r="U383" s="194">
        <f t="shared" si="42"/>
        <v>0.68334001603849237</v>
      </c>
      <c r="V383">
        <f t="shared" si="37"/>
        <v>52</v>
      </c>
      <c r="W383" s="194">
        <f t="shared" si="43"/>
        <v>0.32045651781636475</v>
      </c>
      <c r="X383" s="194">
        <f t="shared" si="44"/>
        <v>3.575146555331183E-2</v>
      </c>
      <c r="Y383" s="245" t="str">
        <f>IF(ISNUMBER(SEARCH("C",'WetLitterbags placem_collection'!$Y90)),"YES","NO")</f>
        <v>NO</v>
      </c>
      <c r="Z383" s="245" t="str">
        <f>IF(ISNUMBER(SEARCH("H", 'WetLitterbags placem_collection'!$Y90)),"YES","NO")</f>
        <v>NO</v>
      </c>
      <c r="AA383" s="245" t="str">
        <f>IF(ISNUMBER(SEARCH("R", 'WetLitterbags placem_collection'!$Y90)),"YES","NO")</f>
        <v>NO</v>
      </c>
      <c r="AB383" s="245" t="str">
        <f>IF(ISNUMBER(SEARCH("C", 'WetLitterbags placem_collection'!$W90)),"YES","NO")</f>
        <v>NO</v>
      </c>
      <c r="AC383" s="245" t="str">
        <f>IF(ISNUMBER(SEARCH("H", 'WetLitterbags placem_collection'!$W90)),"YES","NO")</f>
        <v>NO</v>
      </c>
      <c r="AD383" s="245" t="str">
        <f>IF(ISNUMBER(SEARCH("R", 'WetLitterbags placem_collection'!$W90)),"YES","NO")</f>
        <v>NO</v>
      </c>
    </row>
    <row r="384" spans="2:30">
      <c r="B384" t="str">
        <f>Wetseason!B530</f>
        <v>Wet</v>
      </c>
      <c r="C384" s="253">
        <f>Wetseason!C530</f>
        <v>89</v>
      </c>
      <c r="D384" t="s">
        <v>3115</v>
      </c>
      <c r="E384" t="s">
        <v>25</v>
      </c>
      <c r="F384" s="374">
        <v>1</v>
      </c>
      <c r="G384" s="16">
        <f>'WetLitterbags placem_collection'!E91</f>
        <v>42767</v>
      </c>
      <c r="H384" s="92" t="str">
        <f>Wetseason!L530</f>
        <v>G469</v>
      </c>
      <c r="I384" t="str">
        <f>Wetseason!L750</f>
        <v>R171</v>
      </c>
      <c r="J384">
        <f>IFERROR(INDEX('Green_rooibos initial weight'!$C$5:$C$2000,MATCH(H384, 'Green_rooibos initial weight'!$A$5:$A$2000,0)),"")</f>
        <v>1.9630000000000001</v>
      </c>
      <c r="K384">
        <f>IFERROR(INDEX('Green_rooibos initial weight'!$C$5:$C$2000,MATCH(I384, 'Green_rooibos initial weight'!$A$5:$A$2000,0)),"")</f>
        <v>2.1160000000000001</v>
      </c>
      <c r="L384" s="194">
        <f t="shared" si="38"/>
        <v>1.7132000000000001</v>
      </c>
      <c r="M384" s="194">
        <f t="shared" si="36"/>
        <v>1.8662000000000001</v>
      </c>
      <c r="N384" s="16">
        <f>IF('WetLitterbags placem_collection'!G91="","",'WetLitterbags placem_collection'!G91)</f>
        <v>42819</v>
      </c>
      <c r="O384" s="194">
        <f>IFERROR(INDEX('Both teabags AfterWet'!$C$3:$C$2000,MATCH(H384,'Both teabags AfterWet'!$A$3:$A$2000,0)),"")</f>
        <v>1.5169999999999999</v>
      </c>
      <c r="P384" s="194">
        <f>IFERROR(INDEX('Both teabags AfterWet'!$C$3:$C$2000,MATCH(I384,'Both teabags AfterWet'!$A$3:$A$2000,0)),"")</f>
        <v>2.0529999999999999</v>
      </c>
      <c r="Q384" s="194">
        <f t="shared" si="39"/>
        <v>1.3663999999999998</v>
      </c>
      <c r="R384" s="194">
        <f t="shared" si="39"/>
        <v>1.9023999999999999</v>
      </c>
      <c r="S384" s="194">
        <f t="shared" si="40"/>
        <v>0.20242820452953547</v>
      </c>
      <c r="T384" s="194">
        <f t="shared" si="41"/>
        <v>0.132708276603686</v>
      </c>
      <c r="U384" s="194">
        <f t="shared" si="42"/>
        <v>1.0193977065694995</v>
      </c>
      <c r="V384">
        <f t="shared" si="37"/>
        <v>52</v>
      </c>
      <c r="W384" s="194">
        <f t="shared" si="43"/>
        <v>0.7595864554281051</v>
      </c>
      <c r="X384" s="194">
        <f t="shared" si="44"/>
        <v>-2.6235427963711049E-3</v>
      </c>
      <c r="Y384" s="245" t="str">
        <f>IF(ISNUMBER(SEARCH("C",'WetLitterbags placem_collection'!$Y91)),"YES","NO")</f>
        <v>NO</v>
      </c>
      <c r="Z384" s="245" t="str">
        <f>IF(ISNUMBER(SEARCH("H", 'WetLitterbags placem_collection'!$Y91)),"YES","NO")</f>
        <v>NO</v>
      </c>
      <c r="AA384" s="245" t="str">
        <f>IF(ISNUMBER(SEARCH("R", 'WetLitterbags placem_collection'!$Y91)),"YES","NO")</f>
        <v>NO</v>
      </c>
      <c r="AB384" s="245" t="str">
        <f>IF(ISNUMBER(SEARCH("C", 'WetLitterbags placem_collection'!$W91)),"YES","NO")</f>
        <v>NO</v>
      </c>
      <c r="AC384" s="245" t="str">
        <f>IF(ISNUMBER(SEARCH("H", 'WetLitterbags placem_collection'!$W91)),"YES","NO")</f>
        <v>YES</v>
      </c>
      <c r="AD384" s="245" t="str">
        <f>IF(ISNUMBER(SEARCH("R", 'WetLitterbags placem_collection'!$W91)),"YES","NO")</f>
        <v>YES</v>
      </c>
    </row>
    <row r="385" spans="2:30">
      <c r="B385" t="str">
        <f>Wetseason!B531</f>
        <v>Wet</v>
      </c>
      <c r="C385" s="253">
        <f>Wetseason!C531</f>
        <v>90</v>
      </c>
      <c r="D385" t="s">
        <v>3115</v>
      </c>
      <c r="E385" t="s">
        <v>25</v>
      </c>
      <c r="F385" s="374">
        <v>2</v>
      </c>
      <c r="G385" s="16">
        <f>'WetLitterbags placem_collection'!E92</f>
        <v>42767</v>
      </c>
      <c r="H385" s="92" t="str">
        <f>Wetseason!L531</f>
        <v>G355</v>
      </c>
      <c r="I385" t="str">
        <f>Wetseason!L751</f>
        <v>R517</v>
      </c>
      <c r="J385">
        <f>IFERROR(INDEX('Green_rooibos initial weight'!$C$5:$C$2000,MATCH(H385, 'Green_rooibos initial weight'!$A$5:$A$2000,0)),"")</f>
        <v>2.0489999999999999</v>
      </c>
      <c r="K385">
        <f>IFERROR(INDEX('Green_rooibos initial weight'!$C$5:$C$2000,MATCH(I385, 'Green_rooibos initial weight'!$A$5:$A$2000,0)),"")</f>
        <v>2.222</v>
      </c>
      <c r="L385" s="194">
        <f t="shared" si="38"/>
        <v>1.7991999999999999</v>
      </c>
      <c r="M385" s="194">
        <f t="shared" si="36"/>
        <v>1.9722</v>
      </c>
      <c r="N385" s="16">
        <f>IF('WetLitterbags placem_collection'!G92="","",'WetLitterbags placem_collection'!G92)</f>
        <v>42819</v>
      </c>
      <c r="O385" s="194">
        <f>IFERROR(INDEX('Both teabags AfterWet'!$C$3:$C$2000,MATCH(H385,'Both teabags AfterWet'!$A$3:$A$2000,0)),"")</f>
        <v>0.78380000000000005</v>
      </c>
      <c r="P385" s="194">
        <f>IFERROR(INDEX('Both teabags AfterWet'!$C$3:$C$2000,MATCH(I385,'Both teabags AfterWet'!$A$3:$A$2000,0)),"")</f>
        <v>2.2749000000000001</v>
      </c>
      <c r="Q385" s="194">
        <f t="shared" si="39"/>
        <v>0.63319999999999999</v>
      </c>
      <c r="R385" s="194">
        <f t="shared" si="39"/>
        <v>2.1243000000000003</v>
      </c>
      <c r="S385" s="194">
        <f t="shared" si="40"/>
        <v>0.64806580702534466</v>
      </c>
      <c r="T385" s="194">
        <f t="shared" si="41"/>
        <v>0.4248602440356179</v>
      </c>
      <c r="U385" s="194">
        <f t="shared" si="42"/>
        <v>1.0771219957407974</v>
      </c>
      <c r="V385">
        <f t="shared" si="37"/>
        <v>52</v>
      </c>
      <c r="W385" s="194">
        <f t="shared" si="43"/>
        <v>0.2303256448630111</v>
      </c>
      <c r="X385" s="194">
        <f t="shared" si="44"/>
        <v>-3.2077781317730552E-3</v>
      </c>
      <c r="Y385" s="245" t="str">
        <f>IF(ISNUMBER(SEARCH("C",'WetLitterbags placem_collection'!$Y92)),"YES","NO")</f>
        <v>NO</v>
      </c>
      <c r="Z385" s="245" t="str">
        <f>IF(ISNUMBER(SEARCH("H", 'WetLitterbags placem_collection'!$Y92)),"YES","NO")</f>
        <v>NO</v>
      </c>
      <c r="AA385" s="245" t="str">
        <f>IF(ISNUMBER(SEARCH("R", 'WetLitterbags placem_collection'!$Y92)),"YES","NO")</f>
        <v>YES</v>
      </c>
      <c r="AB385" s="245" t="str">
        <f>IF(ISNUMBER(SEARCH("C", 'WetLitterbags placem_collection'!$W92)),"YES","NO")</f>
        <v>NO</v>
      </c>
      <c r="AC385" s="245" t="str">
        <f>IF(ISNUMBER(SEARCH("H", 'WetLitterbags placem_collection'!$W92)),"YES","NO")</f>
        <v>NO</v>
      </c>
      <c r="AD385" s="245" t="str">
        <f>IF(ISNUMBER(SEARCH("R", 'WetLitterbags placem_collection'!$W92)),"YES","NO")</f>
        <v>YES</v>
      </c>
    </row>
    <row r="386" spans="2:30">
      <c r="B386" t="str">
        <f>Wetseason!B532</f>
        <v>Wet</v>
      </c>
      <c r="C386" s="253">
        <f>Wetseason!C532</f>
        <v>91</v>
      </c>
      <c r="D386" t="s">
        <v>3115</v>
      </c>
      <c r="E386" t="s">
        <v>25</v>
      </c>
      <c r="F386" s="374">
        <v>3</v>
      </c>
      <c r="G386" s="16">
        <f>'WetLitterbags placem_collection'!E93</f>
        <v>42767</v>
      </c>
      <c r="H386" s="92" t="str">
        <f>Wetseason!L532</f>
        <v>G547</v>
      </c>
      <c r="I386" t="str">
        <f>Wetseason!L752</f>
        <v>R73</v>
      </c>
      <c r="J386">
        <f>IFERROR(INDEX('Green_rooibos initial weight'!$C$5:$C$2000,MATCH(H386, 'Green_rooibos initial weight'!$A$5:$A$2000,0)),"")</f>
        <v>2.121</v>
      </c>
      <c r="K386">
        <f>IFERROR(INDEX('Green_rooibos initial weight'!$C$5:$C$2000,MATCH(I386, 'Green_rooibos initial weight'!$A$5:$A$2000,0)),"")</f>
        <v>2.1459999999999999</v>
      </c>
      <c r="L386" s="194">
        <f t="shared" si="38"/>
        <v>1.8712</v>
      </c>
      <c r="M386" s="194">
        <f t="shared" si="36"/>
        <v>1.8961999999999999</v>
      </c>
      <c r="N386" s="16">
        <f>IF('WetLitterbags placem_collection'!G93="","",'WetLitterbags placem_collection'!G93)</f>
        <v>42819</v>
      </c>
      <c r="O386" s="194">
        <f>IFERROR(INDEX('Both teabags AfterWet'!$C$3:$C$2000,MATCH(H386,'Both teabags AfterWet'!$A$3:$A$2000,0)),"")</f>
        <v>1.069</v>
      </c>
      <c r="P386" s="194">
        <f>IFERROR(INDEX('Both teabags AfterWet'!$C$3:$C$2000,MATCH(I386,'Both teabags AfterWet'!$A$3:$A$2000,0)),"")</f>
        <v>1.663</v>
      </c>
      <c r="Q386" s="194">
        <f t="shared" si="39"/>
        <v>0.91839999999999988</v>
      </c>
      <c r="R386" s="194">
        <f t="shared" si="39"/>
        <v>1.5124</v>
      </c>
      <c r="S386" s="194">
        <f t="shared" si="40"/>
        <v>0.50919196237708431</v>
      </c>
      <c r="T386" s="194">
        <f t="shared" si="41"/>
        <v>0.33381705847048759</v>
      </c>
      <c r="U386" s="194">
        <f t="shared" si="42"/>
        <v>0.79759519038076154</v>
      </c>
      <c r="V386">
        <f t="shared" si="37"/>
        <v>52</v>
      </c>
      <c r="W386" s="194">
        <f t="shared" si="43"/>
        <v>0.39525895204621819</v>
      </c>
      <c r="X386" s="194">
        <f t="shared" si="44"/>
        <v>1.792795757761563E-2</v>
      </c>
      <c r="Y386" s="245" t="str">
        <f>IF(ISNUMBER(SEARCH("C",'WetLitterbags placem_collection'!$Y93)),"YES","NO")</f>
        <v>NO</v>
      </c>
      <c r="Z386" s="245" t="str">
        <f>IF(ISNUMBER(SEARCH("H", 'WetLitterbags placem_collection'!$Y93)),"YES","NO")</f>
        <v>NO</v>
      </c>
      <c r="AA386" s="245" t="str">
        <f>IF(ISNUMBER(SEARCH("R", 'WetLitterbags placem_collection'!$Y93)),"YES","NO")</f>
        <v>NO</v>
      </c>
      <c r="AB386" s="245" t="str">
        <f>IF(ISNUMBER(SEARCH("C", 'WetLitterbags placem_collection'!$W93)),"YES","NO")</f>
        <v>YES</v>
      </c>
      <c r="AC386" s="245" t="str">
        <f>IF(ISNUMBER(SEARCH("H", 'WetLitterbags placem_collection'!$W93)),"YES","NO")</f>
        <v>YES</v>
      </c>
      <c r="AD386" s="245" t="str">
        <f>IF(ISNUMBER(SEARCH("R", 'WetLitterbags placem_collection'!$W93)),"YES","NO")</f>
        <v>NO</v>
      </c>
    </row>
    <row r="387" spans="2:30">
      <c r="B387" t="str">
        <f>Wetseason!B533</f>
        <v>Wet</v>
      </c>
      <c r="C387" s="253">
        <f>Wetseason!C533</f>
        <v>92</v>
      </c>
      <c r="D387" t="s">
        <v>3115</v>
      </c>
      <c r="E387" t="s">
        <v>25</v>
      </c>
      <c r="F387" s="375">
        <v>4</v>
      </c>
      <c r="G387" s="16">
        <f>'WetLitterbags placem_collection'!E94</f>
        <v>42767</v>
      </c>
      <c r="H387" s="92" t="str">
        <f>Wetseason!L533</f>
        <v>G763</v>
      </c>
      <c r="I387" t="str">
        <f>Wetseason!L753</f>
        <v>R4</v>
      </c>
      <c r="J387">
        <f>IFERROR(INDEX('Green_rooibos initial weight'!$C$5:$C$2000,MATCH(H387, 'Green_rooibos initial weight'!$A$5:$A$2000,0)),"")</f>
        <v>2.0590000000000002</v>
      </c>
      <c r="K387">
        <f>IFERROR(INDEX('Green_rooibos initial weight'!$C$5:$C$2000,MATCH(I387, 'Green_rooibos initial weight'!$A$5:$A$2000,0)),"")</f>
        <v>2.1549999999999998</v>
      </c>
      <c r="L387" s="194">
        <f t="shared" si="38"/>
        <v>1.8092000000000001</v>
      </c>
      <c r="M387" s="194">
        <f t="shared" si="36"/>
        <v>1.9051999999999998</v>
      </c>
      <c r="N387" s="16">
        <f>IF('WetLitterbags placem_collection'!G94="","",'WetLitterbags placem_collection'!G94)</f>
        <v>42819</v>
      </c>
      <c r="O387" s="194">
        <f>IFERROR(INDEX('Both teabags AfterWet'!$C$3:$C$2000,MATCH(H387,'Both teabags AfterWet'!$A$3:$A$2000,0)),"")</f>
        <v>1.448</v>
      </c>
      <c r="P387" s="194">
        <f>IFERROR(INDEX('Both teabags AfterWet'!$C$3:$C$2000,MATCH(I387,'Both teabags AfterWet'!$A$3:$A$2000,0)),"")</f>
        <v>1.6779999999999999</v>
      </c>
      <c r="Q387" s="194">
        <f t="shared" si="39"/>
        <v>1.2973999999999999</v>
      </c>
      <c r="R387" s="194">
        <f t="shared" si="39"/>
        <v>1.5273999999999999</v>
      </c>
      <c r="S387" s="194">
        <f t="shared" si="40"/>
        <v>0.28288746407251841</v>
      </c>
      <c r="T387" s="194">
        <f t="shared" si="41"/>
        <v>0.18545591468887199</v>
      </c>
      <c r="U387" s="194">
        <f t="shared" si="42"/>
        <v>0.80170060885996219</v>
      </c>
      <c r="V387">
        <f t="shared" si="37"/>
        <v>52</v>
      </c>
      <c r="W387" s="194">
        <f t="shared" si="43"/>
        <v>0.66402914005639135</v>
      </c>
      <c r="X387" s="194" t="str">
        <f t="shared" si="44"/>
        <v/>
      </c>
      <c r="Y387" s="245" t="str">
        <f>IF(ISNUMBER(SEARCH("C",'WetLitterbags placem_collection'!$Y94)),"YES","NO")</f>
        <v>NO</v>
      </c>
      <c r="Z387" s="245" t="str">
        <f>IF(ISNUMBER(SEARCH("H", 'WetLitterbags placem_collection'!$Y94)),"YES","NO")</f>
        <v>NO</v>
      </c>
      <c r="AA387" s="245" t="str">
        <f>IF(ISNUMBER(SEARCH("R", 'WetLitterbags placem_collection'!$Y94)),"YES","NO")</f>
        <v>YES</v>
      </c>
      <c r="AB387" s="245" t="str">
        <f>IF(ISNUMBER(SEARCH("C", 'WetLitterbags placem_collection'!$W94)),"YES","NO")</f>
        <v>YES</v>
      </c>
      <c r="AC387" s="245" t="str">
        <f>IF(ISNUMBER(SEARCH("H", 'WetLitterbags placem_collection'!$W94)),"YES","NO")</f>
        <v>YES</v>
      </c>
      <c r="AD387" s="245" t="str">
        <f>IF(ISNUMBER(SEARCH("R", 'WetLitterbags placem_collection'!$W94)),"YES","NO")</f>
        <v>NO</v>
      </c>
    </row>
    <row r="388" spans="2:30">
      <c r="B388" t="str">
        <f>Wetseason!B534</f>
        <v>Wet</v>
      </c>
      <c r="C388" s="253">
        <f>Wetseason!C534</f>
        <v>93</v>
      </c>
      <c r="D388" t="s">
        <v>3115</v>
      </c>
      <c r="E388" t="s">
        <v>25</v>
      </c>
      <c r="F388" s="375">
        <v>5</v>
      </c>
      <c r="G388" s="16">
        <f>'WetLitterbags placem_collection'!E95</f>
        <v>42767</v>
      </c>
      <c r="H388" s="92" t="str">
        <f>Wetseason!L534</f>
        <v>G424</v>
      </c>
      <c r="I388" t="str">
        <f>Wetseason!L754</f>
        <v>R136</v>
      </c>
      <c r="J388">
        <f>IFERROR(INDEX('Green_rooibos initial weight'!$C$5:$C$2000,MATCH(H388, 'Green_rooibos initial weight'!$A$5:$A$2000,0)),"")</f>
        <v>1.9590000000000001</v>
      </c>
      <c r="K388">
        <f>IFERROR(INDEX('Green_rooibos initial weight'!$C$5:$C$2000,MATCH(I388, 'Green_rooibos initial weight'!$A$5:$A$2000,0)),"")</f>
        <v>2.21</v>
      </c>
      <c r="L388" s="194">
        <f t="shared" si="38"/>
        <v>1.7092000000000001</v>
      </c>
      <c r="M388" s="194">
        <f t="shared" si="36"/>
        <v>1.9601999999999999</v>
      </c>
      <c r="N388" s="16">
        <f>IF('WetLitterbags placem_collection'!G95="","",'WetLitterbags placem_collection'!G95)</f>
        <v>42819</v>
      </c>
      <c r="O388" s="194">
        <f>IFERROR(INDEX('Both teabags AfterWet'!$C$3:$C$2000,MATCH(H388,'Both teabags AfterWet'!$A$3:$A$2000,0)),"")</f>
        <v>0.66039999999999999</v>
      </c>
      <c r="P388" s="194">
        <f>IFERROR(INDEX('Both teabags AfterWet'!$C$3:$C$2000,MATCH(I388,'Both teabags AfterWet'!$A$3:$A$2000,0)),"")</f>
        <v>1.6368</v>
      </c>
      <c r="Q388" s="194">
        <f t="shared" si="39"/>
        <v>0.50980000000000003</v>
      </c>
      <c r="R388" s="194">
        <f t="shared" si="39"/>
        <v>1.4862</v>
      </c>
      <c r="S388" s="194">
        <f t="shared" si="40"/>
        <v>0.70173180435291371</v>
      </c>
      <c r="T388" s="194">
        <f t="shared" si="41"/>
        <v>0.46004270309122142</v>
      </c>
      <c r="U388" s="194">
        <f t="shared" si="42"/>
        <v>0.75818794000612177</v>
      </c>
      <c r="V388">
        <f t="shared" si="37"/>
        <v>52</v>
      </c>
      <c r="W388" s="194">
        <f t="shared" si="43"/>
        <v>0.16658930599416422</v>
      </c>
      <c r="X388" s="194">
        <f t="shared" si="44"/>
        <v>1.4341669588772275E-2</v>
      </c>
      <c r="Y388" s="245" t="str">
        <f>IF(ISNUMBER(SEARCH("C",'WetLitterbags placem_collection'!$Y95)),"YES","NO")</f>
        <v>NO</v>
      </c>
      <c r="Z388" s="245" t="str">
        <f>IF(ISNUMBER(SEARCH("H", 'WetLitterbags placem_collection'!$Y95)),"YES","NO")</f>
        <v>NO</v>
      </c>
      <c r="AA388" s="245" t="str">
        <f>IF(ISNUMBER(SEARCH("R", 'WetLitterbags placem_collection'!$Y95)),"YES","NO")</f>
        <v>YES</v>
      </c>
      <c r="AB388" s="245" t="str">
        <f>IF(ISNUMBER(SEARCH("C", 'WetLitterbags placem_collection'!$W95)),"YES","NO")</f>
        <v>NO</v>
      </c>
      <c r="AC388" s="245" t="str">
        <f>IF(ISNUMBER(SEARCH("H", 'WetLitterbags placem_collection'!$W95)),"YES","NO")</f>
        <v>YES</v>
      </c>
      <c r="AD388" s="245" t="str">
        <f>IF(ISNUMBER(SEARCH("R", 'WetLitterbags placem_collection'!$W95)),"YES","NO")</f>
        <v>NO</v>
      </c>
    </row>
    <row r="389" spans="2:30">
      <c r="B389" t="str">
        <f>Wetseason!B535</f>
        <v>Wet</v>
      </c>
      <c r="C389" s="253">
        <f>Wetseason!C535</f>
        <v>94</v>
      </c>
      <c r="D389" t="s">
        <v>3115</v>
      </c>
      <c r="E389" t="s">
        <v>25</v>
      </c>
      <c r="F389" s="375">
        <v>6</v>
      </c>
      <c r="G389" s="16">
        <f>'WetLitterbags placem_collection'!E96</f>
        <v>42767</v>
      </c>
      <c r="H389" s="92" t="str">
        <f>Wetseason!L535</f>
        <v>G588</v>
      </c>
      <c r="I389" t="str">
        <f>Wetseason!L755</f>
        <v>R358</v>
      </c>
      <c r="J389">
        <f>IFERROR(INDEX('Green_rooibos initial weight'!$C$5:$C$2000,MATCH(H389, 'Green_rooibos initial weight'!$A$5:$A$2000,0)),"")</f>
        <v>2.14</v>
      </c>
      <c r="K389">
        <f>IFERROR(INDEX('Green_rooibos initial weight'!$C$5:$C$2000,MATCH(I389, 'Green_rooibos initial weight'!$A$5:$A$2000,0)),"")</f>
        <v>2.2210000000000001</v>
      </c>
      <c r="L389" s="194">
        <f t="shared" si="38"/>
        <v>1.8902000000000001</v>
      </c>
      <c r="M389" s="194">
        <f t="shared" si="36"/>
        <v>1.9712000000000001</v>
      </c>
      <c r="N389" s="16">
        <f>IF('WetLitterbags placem_collection'!G96="","",'WetLitterbags placem_collection'!G96)</f>
        <v>42819</v>
      </c>
      <c r="O389" s="194" t="str">
        <f>IFERROR(INDEX('Both teabags AfterWet'!$C$3:$C$2000,MATCH(H389,'Both teabags AfterWet'!$A$3:$A$2000,0)),"")</f>
        <v/>
      </c>
      <c r="P389" s="194" t="str">
        <f>IFERROR(INDEX('Both teabags AfterWet'!$C$3:$C$2000,MATCH(I389,'Both teabags AfterWet'!$A$3:$A$2000,0)),"")</f>
        <v/>
      </c>
      <c r="Q389" s="194" t="str">
        <f t="shared" si="39"/>
        <v/>
      </c>
      <c r="R389" s="194" t="str">
        <f t="shared" si="39"/>
        <v/>
      </c>
      <c r="S389" s="194" t="str">
        <f t="shared" si="40"/>
        <v/>
      </c>
      <c r="T389" s="194" t="str">
        <f t="shared" si="41"/>
        <v/>
      </c>
      <c r="U389" s="194" t="str">
        <f t="shared" si="42"/>
        <v/>
      </c>
      <c r="V389">
        <f t="shared" si="37"/>
        <v>52</v>
      </c>
      <c r="W389" s="194" t="str">
        <f t="shared" si="43"/>
        <v/>
      </c>
      <c r="X389" s="194" t="str">
        <f t="shared" si="44"/>
        <v/>
      </c>
      <c r="Y389" s="245" t="str">
        <f>IF(ISNUMBER(SEARCH("C",'WetLitterbags placem_collection'!$Y96)),"YES","NO")</f>
        <v>NO</v>
      </c>
      <c r="Z389" s="245" t="str">
        <f>IF(ISNUMBER(SEARCH("H", 'WetLitterbags placem_collection'!$Y96)),"YES","NO")</f>
        <v>NO</v>
      </c>
      <c r="AA389" s="245" t="str">
        <f>IF(ISNUMBER(SEARCH("R", 'WetLitterbags placem_collection'!$Y96)),"YES","NO")</f>
        <v>NO</v>
      </c>
      <c r="AB389" s="245" t="str">
        <f>IF(ISNUMBER(SEARCH("C", 'WetLitterbags placem_collection'!$W96)),"YES","NO")</f>
        <v>NO</v>
      </c>
      <c r="AC389" s="245" t="str">
        <f>IF(ISNUMBER(SEARCH("H", 'WetLitterbags placem_collection'!$W96)),"YES","NO")</f>
        <v>NO</v>
      </c>
      <c r="AD389" s="245" t="str">
        <f>IF(ISNUMBER(SEARCH("R", 'WetLitterbags placem_collection'!$W96)),"YES","NO")</f>
        <v>NO</v>
      </c>
    </row>
    <row r="390" spans="2:30">
      <c r="B390" t="str">
        <f>Wetseason!B536</f>
        <v>Wet</v>
      </c>
      <c r="C390" s="253">
        <f>Wetseason!C536</f>
        <v>95</v>
      </c>
      <c r="D390" t="s">
        <v>3115</v>
      </c>
      <c r="E390" t="s">
        <v>25</v>
      </c>
      <c r="F390" s="375">
        <v>7</v>
      </c>
      <c r="G390" s="16">
        <f>'WetLitterbags placem_collection'!E97</f>
        <v>42767</v>
      </c>
      <c r="H390" s="92" t="str">
        <f>Wetseason!L536</f>
        <v>G486</v>
      </c>
      <c r="I390" t="str">
        <f>Wetseason!L756</f>
        <v>R547</v>
      </c>
      <c r="J390">
        <f>IFERROR(INDEX('Green_rooibos initial weight'!$C$5:$C$2000,MATCH(H390, 'Green_rooibos initial weight'!$A$5:$A$2000,0)),"")</f>
        <v>2.0049999999999999</v>
      </c>
      <c r="K390">
        <f>IFERROR(INDEX('Green_rooibos initial weight'!$C$5:$C$2000,MATCH(I390, 'Green_rooibos initial weight'!$A$5:$A$2000,0)),"")</f>
        <v>2.194</v>
      </c>
      <c r="L390" s="194">
        <f t="shared" si="38"/>
        <v>1.7551999999999999</v>
      </c>
      <c r="M390" s="194">
        <f t="shared" si="36"/>
        <v>1.9441999999999999</v>
      </c>
      <c r="N390" s="16">
        <f>IF('WetLitterbags placem_collection'!G97="","",'WetLitterbags placem_collection'!G97)</f>
        <v>42819</v>
      </c>
      <c r="O390" s="194">
        <f>IFERROR(INDEX('Both teabags AfterWet'!$C$3:$C$2000,MATCH(H390,'Both teabags AfterWet'!$A$3:$A$2000,0)),"")</f>
        <v>0.90400000000000003</v>
      </c>
      <c r="P390" s="194">
        <f>IFERROR(INDEX('Both teabags AfterWet'!$C$3:$C$2000,MATCH(I390,'Both teabags AfterWet'!$A$3:$A$2000,0)),"")</f>
        <v>1.5620000000000001</v>
      </c>
      <c r="Q390" s="194">
        <f t="shared" si="39"/>
        <v>0.75340000000000007</v>
      </c>
      <c r="R390" s="194">
        <f t="shared" si="39"/>
        <v>1.4114</v>
      </c>
      <c r="S390" s="194">
        <f t="shared" si="40"/>
        <v>0.57076116681859612</v>
      </c>
      <c r="T390" s="194">
        <f t="shared" si="41"/>
        <v>0.37418071743926973</v>
      </c>
      <c r="U390" s="194">
        <f t="shared" si="42"/>
        <v>0.7259541199465076</v>
      </c>
      <c r="V390">
        <f t="shared" si="37"/>
        <v>52</v>
      </c>
      <c r="W390" s="194">
        <f t="shared" si="43"/>
        <v>0.32213638145059842</v>
      </c>
      <c r="X390" s="194">
        <f t="shared" si="44"/>
        <v>2.5350408284870816E-2</v>
      </c>
      <c r="Y390" s="245" t="str">
        <f>IF(ISNUMBER(SEARCH("C",'WetLitterbags placem_collection'!$Y97)),"YES","NO")</f>
        <v>NO</v>
      </c>
      <c r="Z390" s="245" t="str">
        <f>IF(ISNUMBER(SEARCH("H", 'WetLitterbags placem_collection'!$Y97)),"YES","NO")</f>
        <v>NO</v>
      </c>
      <c r="AA390" s="245" t="str">
        <f>IF(ISNUMBER(SEARCH("R", 'WetLitterbags placem_collection'!$Y97)),"YES","NO")</f>
        <v>YES</v>
      </c>
      <c r="AB390" s="245" t="str">
        <f>IF(ISNUMBER(SEARCH("C", 'WetLitterbags placem_collection'!$W97)),"YES","NO")</f>
        <v>NO</v>
      </c>
      <c r="AC390" s="245" t="str">
        <f>IF(ISNUMBER(SEARCH("H", 'WetLitterbags placem_collection'!$W97)),"YES","NO")</f>
        <v>YES</v>
      </c>
      <c r="AD390" s="245" t="str">
        <f>IF(ISNUMBER(SEARCH("R", 'WetLitterbags placem_collection'!$W97)),"YES","NO")</f>
        <v>YES</v>
      </c>
    </row>
    <row r="391" spans="2:30">
      <c r="B391" t="str">
        <f>Wetseason!B537</f>
        <v>Wet</v>
      </c>
      <c r="C391" s="253">
        <f>Wetseason!C537</f>
        <v>96</v>
      </c>
      <c r="D391" t="s">
        <v>3115</v>
      </c>
      <c r="E391" t="s">
        <v>25</v>
      </c>
      <c r="F391" s="375">
        <v>8</v>
      </c>
      <c r="G391" s="16">
        <f>'WetLitterbags placem_collection'!E98</f>
        <v>42767</v>
      </c>
      <c r="H391" s="92" t="str">
        <f>Wetseason!L537</f>
        <v>G545</v>
      </c>
      <c r="I391" t="str">
        <f>Wetseason!L757</f>
        <v>R588</v>
      </c>
      <c r="J391">
        <f>IFERROR(INDEX('Green_rooibos initial weight'!$C$5:$C$2000,MATCH(H391, 'Green_rooibos initial weight'!$A$5:$A$2000,0)),"")</f>
        <v>2.0720000000000001</v>
      </c>
      <c r="K391">
        <f>IFERROR(INDEX('Green_rooibos initial weight'!$C$5:$C$2000,MATCH(I391, 'Green_rooibos initial weight'!$A$5:$A$2000,0)),"")</f>
        <v>2.1360000000000001</v>
      </c>
      <c r="L391" s="194">
        <f t="shared" si="38"/>
        <v>1.8222</v>
      </c>
      <c r="M391" s="194">
        <f t="shared" si="36"/>
        <v>1.8862000000000001</v>
      </c>
      <c r="N391" s="16">
        <f>IF('WetLitterbags placem_collection'!G98="","",'WetLitterbags placem_collection'!G98)</f>
        <v>42819</v>
      </c>
      <c r="O391" s="194">
        <f>IFERROR(INDEX('Both teabags AfterWet'!$C$3:$C$2000,MATCH(H391,'Both teabags AfterWet'!$A$3:$A$2000,0)),"")</f>
        <v>0.73950000000000005</v>
      </c>
      <c r="P391" s="194">
        <f>IFERROR(INDEX('Both teabags AfterWet'!$C$3:$C$2000,MATCH(I391,'Both teabags AfterWet'!$A$3:$A$2000,0)),"")</f>
        <v>0.87350000000000005</v>
      </c>
      <c r="Q391" s="194">
        <f t="shared" si="39"/>
        <v>0.58889999999999998</v>
      </c>
      <c r="R391" s="194">
        <f t="shared" si="39"/>
        <v>0.7229000000000001</v>
      </c>
      <c r="S391" s="194">
        <f t="shared" si="40"/>
        <v>0.67681922950279882</v>
      </c>
      <c r="T391" s="194">
        <f t="shared" si="41"/>
        <v>0.44371046874767817</v>
      </c>
      <c r="U391" s="194">
        <f t="shared" si="42"/>
        <v>0.383257342805641</v>
      </c>
      <c r="V391">
        <f t="shared" si="37"/>
        <v>52</v>
      </c>
      <c r="W391" s="194">
        <f t="shared" si="43"/>
        <v>0.19617668705130775</v>
      </c>
      <c r="X391" s="194" t="str">
        <f t="shared" si="44"/>
        <v/>
      </c>
      <c r="Y391" s="245" t="str">
        <f>IF(ISNUMBER(SEARCH("C",'WetLitterbags placem_collection'!$Y98)),"YES","NO")</f>
        <v>NO</v>
      </c>
      <c r="Z391" s="245" t="str">
        <f>IF(ISNUMBER(SEARCH("H", 'WetLitterbags placem_collection'!$Y98)),"YES","NO")</f>
        <v>NO</v>
      </c>
      <c r="AA391" s="245" t="str">
        <f>IF(ISNUMBER(SEARCH("R", 'WetLitterbags placem_collection'!$Y98)),"YES","NO")</f>
        <v>NO</v>
      </c>
      <c r="AB391" s="245" t="str">
        <f>IF(ISNUMBER(SEARCH("C", 'WetLitterbags placem_collection'!$W98)),"YES","NO")</f>
        <v>YES</v>
      </c>
      <c r="AC391" s="245" t="str">
        <f>IF(ISNUMBER(SEARCH("H", 'WetLitterbags placem_collection'!$W98)),"YES","NO")</f>
        <v>YES</v>
      </c>
      <c r="AD391" s="245" t="str">
        <f>IF(ISNUMBER(SEARCH("R", 'WetLitterbags placem_collection'!$W98)),"YES","NO")</f>
        <v>NO</v>
      </c>
    </row>
    <row r="392" spans="2:30">
      <c r="B392" t="str">
        <f>Wetseason!B538</f>
        <v>Wet</v>
      </c>
      <c r="C392" s="253">
        <f>Wetseason!C538</f>
        <v>97</v>
      </c>
      <c r="D392" t="s">
        <v>3116</v>
      </c>
      <c r="E392" t="s">
        <v>25</v>
      </c>
      <c r="F392" s="374">
        <v>1</v>
      </c>
      <c r="G392" s="16">
        <f>'WetLitterbags placem_collection'!E99</f>
        <v>42762</v>
      </c>
      <c r="H392" s="92" t="str">
        <f>Wetseason!L538</f>
        <v>G847</v>
      </c>
      <c r="I392" t="str">
        <f>Wetseason!L758</f>
        <v>R576</v>
      </c>
      <c r="J392">
        <f>IFERROR(INDEX('Green_rooibos initial weight'!$C$5:$C$2000,MATCH(H392, 'Green_rooibos initial weight'!$A$5:$A$2000,0)),"")</f>
        <v>2.1019999999999999</v>
      </c>
      <c r="K392">
        <f>IFERROR(INDEX('Green_rooibos initial weight'!$C$5:$C$2000,MATCH(I392, 'Green_rooibos initial weight'!$A$5:$A$2000,0)),"")</f>
        <v>2.109</v>
      </c>
      <c r="L392" s="194">
        <f t="shared" si="38"/>
        <v>1.8521999999999998</v>
      </c>
      <c r="M392" s="194">
        <f t="shared" si="36"/>
        <v>1.8592</v>
      </c>
      <c r="N392" s="16">
        <f>IF('WetLitterbags placem_collection'!G99="","",'WetLitterbags placem_collection'!G99)</f>
        <v>42816</v>
      </c>
      <c r="O392" s="194">
        <f>IFERROR(INDEX('Both teabags AfterWet'!$C$3:$C$2000,MATCH(H392,'Both teabags AfterWet'!$A$3:$A$2000,0)),"")</f>
        <v>0.61809999999999998</v>
      </c>
      <c r="P392" s="194">
        <f>IFERROR(INDEX('Both teabags AfterWet'!$C$3:$C$2000,MATCH(I392,'Both teabags AfterWet'!$A$3:$A$2000,0)),"")</f>
        <v>1.6898</v>
      </c>
      <c r="Q392" s="194">
        <f t="shared" si="39"/>
        <v>0.46749999999999997</v>
      </c>
      <c r="R392" s="194">
        <f t="shared" si="39"/>
        <v>1.5391999999999999</v>
      </c>
      <c r="S392" s="194">
        <f t="shared" si="40"/>
        <v>0.74759745167908431</v>
      </c>
      <c r="T392" s="194">
        <f t="shared" si="41"/>
        <v>0.49011139349982735</v>
      </c>
      <c r="U392" s="194">
        <f t="shared" si="42"/>
        <v>0.82788296041308085</v>
      </c>
      <c r="V392">
        <f t="shared" si="37"/>
        <v>54</v>
      </c>
      <c r="W392" s="194">
        <f t="shared" si="43"/>
        <v>0.11211704076118245</v>
      </c>
      <c r="X392" s="194">
        <f t="shared" si="44"/>
        <v>8.0110939131426851E-3</v>
      </c>
      <c r="Y392" s="245" t="str">
        <f>IF(ISNUMBER(SEARCH("C",'WetLitterbags placem_collection'!$Y99)),"YES","NO")</f>
        <v>NO</v>
      </c>
      <c r="Z392" s="245" t="str">
        <f>IF(ISNUMBER(SEARCH("H", 'WetLitterbags placem_collection'!$Y99)),"YES","NO")</f>
        <v>NO</v>
      </c>
      <c r="AA392" s="245" t="str">
        <f>IF(ISNUMBER(SEARCH("R", 'WetLitterbags placem_collection'!$Y99)),"YES","NO")</f>
        <v>NO</v>
      </c>
      <c r="AB392" s="245" t="str">
        <f>IF(ISNUMBER(SEARCH("C", 'WetLitterbags placem_collection'!$W99)),"YES","NO")</f>
        <v>YES</v>
      </c>
      <c r="AC392" s="245" t="str">
        <f>IF(ISNUMBER(SEARCH("H", 'WetLitterbags placem_collection'!$W99)),"YES","NO")</f>
        <v>YES</v>
      </c>
      <c r="AD392" s="245" t="str">
        <f>IF(ISNUMBER(SEARCH("R", 'WetLitterbags placem_collection'!$W99)),"YES","NO")</f>
        <v>NO</v>
      </c>
    </row>
    <row r="393" spans="2:30">
      <c r="B393" t="str">
        <f>Wetseason!B539</f>
        <v>Wet</v>
      </c>
      <c r="C393" s="253">
        <f>Wetseason!C539</f>
        <v>98</v>
      </c>
      <c r="D393" t="s">
        <v>3116</v>
      </c>
      <c r="E393" t="s">
        <v>25</v>
      </c>
      <c r="F393" s="374">
        <v>2</v>
      </c>
      <c r="G393" s="16">
        <f>'WetLitterbags placem_collection'!E100</f>
        <v>42762</v>
      </c>
      <c r="H393" s="92" t="str">
        <f>Wetseason!L539</f>
        <v>G730</v>
      </c>
      <c r="I393" t="str">
        <f>Wetseason!L759</f>
        <v>R561</v>
      </c>
      <c r="J393">
        <f>IFERROR(INDEX('Green_rooibos initial weight'!$C$5:$C$2000,MATCH(H393, 'Green_rooibos initial weight'!$A$5:$A$2000,0)),"")</f>
        <v>2.048</v>
      </c>
      <c r="K393">
        <f>IFERROR(INDEX('Green_rooibos initial weight'!$C$5:$C$2000,MATCH(I393, 'Green_rooibos initial weight'!$A$5:$A$2000,0)),"")</f>
        <v>2.0760000000000001</v>
      </c>
      <c r="L393" s="194">
        <f t="shared" si="38"/>
        <v>1.7982</v>
      </c>
      <c r="M393" s="194">
        <f t="shared" si="36"/>
        <v>1.8262</v>
      </c>
      <c r="N393" s="16">
        <f>IF('WetLitterbags placem_collection'!G100="","",'WetLitterbags placem_collection'!G100)</f>
        <v>42816</v>
      </c>
      <c r="O393" s="194">
        <f>IFERROR(INDEX('Both teabags AfterWet'!$C$3:$C$2000,MATCH(H393,'Both teabags AfterWet'!$A$3:$A$2000,0)),"")</f>
        <v>0.629</v>
      </c>
      <c r="P393" s="194">
        <f>IFERROR(INDEX('Both teabags AfterWet'!$C$3:$C$2000,MATCH(I393,'Both teabags AfterWet'!$A$3:$A$2000,0)),"")</f>
        <v>1.661</v>
      </c>
      <c r="Q393" s="194">
        <f t="shared" si="39"/>
        <v>0.47839999999999999</v>
      </c>
      <c r="R393" s="194">
        <f t="shared" si="39"/>
        <v>1.5104</v>
      </c>
      <c r="S393" s="194">
        <f t="shared" si="40"/>
        <v>0.73395617840062277</v>
      </c>
      <c r="T393" s="194">
        <f t="shared" si="41"/>
        <v>0.48116842099423257</v>
      </c>
      <c r="U393" s="194">
        <f t="shared" si="42"/>
        <v>0.82707260979082242</v>
      </c>
      <c r="V393">
        <f t="shared" si="37"/>
        <v>54</v>
      </c>
      <c r="W393" s="194">
        <f t="shared" si="43"/>
        <v>0.12831807790899907</v>
      </c>
      <c r="X393" s="194">
        <f t="shared" si="44"/>
        <v>8.2469502223020547E-3</v>
      </c>
      <c r="Y393" s="245" t="str">
        <f>IF(ISNUMBER(SEARCH("C",'WetLitterbags placem_collection'!$Y100)),"YES","NO")</f>
        <v>NO</v>
      </c>
      <c r="Z393" s="245" t="str">
        <f>IF(ISNUMBER(SEARCH("H", 'WetLitterbags placem_collection'!$Y100)),"YES","NO")</f>
        <v>NO</v>
      </c>
      <c r="AA393" s="245" t="str">
        <f>IF(ISNUMBER(SEARCH("R", 'WetLitterbags placem_collection'!$Y100)),"YES","NO")</f>
        <v>NO</v>
      </c>
      <c r="AB393" s="245" t="str">
        <f>IF(ISNUMBER(SEARCH("C", 'WetLitterbags placem_collection'!$W100)),"YES","NO")</f>
        <v>NO</v>
      </c>
      <c r="AC393" s="245" t="str">
        <f>IF(ISNUMBER(SEARCH("H", 'WetLitterbags placem_collection'!$W100)),"YES","NO")</f>
        <v>NO</v>
      </c>
      <c r="AD393" s="245" t="str">
        <f>IF(ISNUMBER(SEARCH("R", 'WetLitterbags placem_collection'!$W100)),"YES","NO")</f>
        <v>NO</v>
      </c>
    </row>
    <row r="394" spans="2:30">
      <c r="B394" t="str">
        <f>Wetseason!B540</f>
        <v>Wet</v>
      </c>
      <c r="C394" s="253">
        <f>Wetseason!C540</f>
        <v>99</v>
      </c>
      <c r="D394" t="s">
        <v>3116</v>
      </c>
      <c r="E394" t="s">
        <v>25</v>
      </c>
      <c r="F394" s="374">
        <v>3</v>
      </c>
      <c r="G394" s="16">
        <f>'WetLitterbags placem_collection'!E101</f>
        <v>42762</v>
      </c>
      <c r="H394" s="92" t="str">
        <f>Wetseason!L540</f>
        <v>G691</v>
      </c>
      <c r="I394" t="str">
        <f>Wetseason!L760</f>
        <v>R496</v>
      </c>
      <c r="J394">
        <f>IFERROR(INDEX('Green_rooibos initial weight'!$C$5:$C$2000,MATCH(H394, 'Green_rooibos initial weight'!$A$5:$A$2000,0)),"")</f>
        <v>2.0950000000000002</v>
      </c>
      <c r="K394">
        <f>IFERROR(INDEX('Green_rooibos initial weight'!$C$5:$C$2000,MATCH(I394, 'Green_rooibos initial weight'!$A$5:$A$2000,0)),"")</f>
        <v>2.2389999999999999</v>
      </c>
      <c r="L394" s="194">
        <f t="shared" si="38"/>
        <v>1.8452000000000002</v>
      </c>
      <c r="M394" s="194">
        <f t="shared" si="36"/>
        <v>1.9891999999999999</v>
      </c>
      <c r="N394" s="16">
        <f>IF('WetLitterbags placem_collection'!G101="","",'WetLitterbags placem_collection'!G101)</f>
        <v>42816</v>
      </c>
      <c r="O394" s="194">
        <f>IFERROR(INDEX('Both teabags AfterWet'!$C$3:$C$2000,MATCH(H394,'Both teabags AfterWet'!$A$3:$A$2000,0)),"")</f>
        <v>0.52829999999999999</v>
      </c>
      <c r="P394" s="194">
        <f>IFERROR(INDEX('Both teabags AfterWet'!$C$3:$C$2000,MATCH(I394,'Both teabags AfterWet'!$A$3:$A$2000,0)),"")</f>
        <v>1.5016</v>
      </c>
      <c r="Q394" s="194">
        <f t="shared" si="39"/>
        <v>0.37769999999999998</v>
      </c>
      <c r="R394" s="194">
        <f t="shared" si="39"/>
        <v>1.351</v>
      </c>
      <c r="S394" s="194">
        <f t="shared" si="40"/>
        <v>0.79530674181660532</v>
      </c>
      <c r="T394" s="194">
        <f t="shared" si="41"/>
        <v>0.52138874285364156</v>
      </c>
      <c r="U394" s="194">
        <f t="shared" si="42"/>
        <v>0.67916750452443198</v>
      </c>
      <c r="V394">
        <f t="shared" si="37"/>
        <v>54</v>
      </c>
      <c r="W394" s="194">
        <f t="shared" si="43"/>
        <v>5.5455175989779892E-2</v>
      </c>
      <c r="X394" s="194">
        <f t="shared" si="44"/>
        <v>1.7692614223705907E-2</v>
      </c>
      <c r="Y394" s="245" t="str">
        <f>IF(ISNUMBER(SEARCH("C",'WetLitterbags placem_collection'!$Y101)),"YES","NO")</f>
        <v>NO</v>
      </c>
      <c r="Z394" s="245" t="str">
        <f>IF(ISNUMBER(SEARCH("H", 'WetLitterbags placem_collection'!$Y101)),"YES","NO")</f>
        <v>NO</v>
      </c>
      <c r="AA394" s="245" t="str">
        <f>IF(ISNUMBER(SEARCH("R", 'WetLitterbags placem_collection'!$Y101)),"YES","NO")</f>
        <v>NO</v>
      </c>
      <c r="AB394" s="245" t="str">
        <f>IF(ISNUMBER(SEARCH("C", 'WetLitterbags placem_collection'!$W101)),"YES","NO")</f>
        <v>NO</v>
      </c>
      <c r="AC394" s="245" t="str">
        <f>IF(ISNUMBER(SEARCH("H", 'WetLitterbags placem_collection'!$W101)),"YES","NO")</f>
        <v>NO</v>
      </c>
      <c r="AD394" s="245" t="str">
        <f>IF(ISNUMBER(SEARCH("R", 'WetLitterbags placem_collection'!$W101)),"YES","NO")</f>
        <v>YES</v>
      </c>
    </row>
    <row r="395" spans="2:30">
      <c r="B395" t="str">
        <f>Wetseason!B541</f>
        <v>Wet</v>
      </c>
      <c r="C395" s="253">
        <f>Wetseason!C541</f>
        <v>100</v>
      </c>
      <c r="D395" t="s">
        <v>3116</v>
      </c>
      <c r="E395" t="s">
        <v>25</v>
      </c>
      <c r="F395" s="375">
        <v>4</v>
      </c>
      <c r="G395" s="16">
        <f>'WetLitterbags placem_collection'!E102</f>
        <v>42762</v>
      </c>
      <c r="H395" s="92" t="str">
        <f>Wetseason!L541</f>
        <v>G828</v>
      </c>
      <c r="I395" t="str">
        <f>Wetseason!L761</f>
        <v>R497</v>
      </c>
      <c r="J395">
        <f>IFERROR(INDEX('Green_rooibos initial weight'!$C$5:$C$2000,MATCH(H395, 'Green_rooibos initial weight'!$A$5:$A$2000,0)),"")</f>
        <v>1.986</v>
      </c>
      <c r="K395">
        <f>IFERROR(INDEX('Green_rooibos initial weight'!$C$5:$C$2000,MATCH(I395, 'Green_rooibos initial weight'!$A$5:$A$2000,0)),"")</f>
        <v>2.2240000000000002</v>
      </c>
      <c r="L395" s="194">
        <f t="shared" si="38"/>
        <v>1.7362</v>
      </c>
      <c r="M395" s="194">
        <f t="shared" si="36"/>
        <v>1.9742000000000002</v>
      </c>
      <c r="N395" s="16">
        <f>IF('WetLitterbags placem_collection'!G102="","",'WetLitterbags placem_collection'!G102)</f>
        <v>42816</v>
      </c>
      <c r="O395" s="194">
        <f>IFERROR(INDEX('Both teabags AfterWet'!$C$3:$C$2000,MATCH(H395,'Both teabags AfterWet'!$A$3:$A$2000,0)),"")</f>
        <v>0.57399999999999995</v>
      </c>
      <c r="P395" s="194">
        <f>IFERROR(INDEX('Both teabags AfterWet'!$C$3:$C$2000,MATCH(I395,'Both teabags AfterWet'!$A$3:$A$2000,0)),"")</f>
        <v>1.66</v>
      </c>
      <c r="Q395" s="194">
        <f t="shared" si="39"/>
        <v>0.42339999999999994</v>
      </c>
      <c r="R395" s="194">
        <f t="shared" si="39"/>
        <v>1.5093999999999999</v>
      </c>
      <c r="S395" s="194">
        <f t="shared" si="40"/>
        <v>0.75613408593480014</v>
      </c>
      <c r="T395" s="194">
        <f t="shared" si="41"/>
        <v>0.49570785681236307</v>
      </c>
      <c r="U395" s="194">
        <f t="shared" si="42"/>
        <v>0.76456286090568315</v>
      </c>
      <c r="V395">
        <f t="shared" si="37"/>
        <v>54</v>
      </c>
      <c r="W395" s="194">
        <f t="shared" si="43"/>
        <v>0.10197852026745824</v>
      </c>
      <c r="X395" s="194">
        <f t="shared" si="44"/>
        <v>1.1930823028198157E-2</v>
      </c>
      <c r="Y395" s="245" t="str">
        <f>IF(ISNUMBER(SEARCH("C",'WetLitterbags placem_collection'!$Y102)),"YES","NO")</f>
        <v>NO</v>
      </c>
      <c r="Z395" s="245" t="str">
        <f>IF(ISNUMBER(SEARCH("H", 'WetLitterbags placem_collection'!$Y102)),"YES","NO")</f>
        <v>NO</v>
      </c>
      <c r="AA395" s="245" t="str">
        <f>IF(ISNUMBER(SEARCH("R", 'WetLitterbags placem_collection'!$Y102)),"YES","NO")</f>
        <v>NO</v>
      </c>
      <c r="AB395" s="245" t="str">
        <f>IF(ISNUMBER(SEARCH("C", 'WetLitterbags placem_collection'!$W102)),"YES","NO")</f>
        <v>YES</v>
      </c>
      <c r="AC395" s="245" t="str">
        <f>IF(ISNUMBER(SEARCH("H", 'WetLitterbags placem_collection'!$W102)),"YES","NO")</f>
        <v>YES</v>
      </c>
      <c r="AD395" s="245" t="str">
        <f>IF(ISNUMBER(SEARCH("R", 'WetLitterbags placem_collection'!$W102)),"YES","NO")</f>
        <v>NO</v>
      </c>
    </row>
    <row r="396" spans="2:30">
      <c r="B396" t="str">
        <f>Wetseason!B542</f>
        <v>Wet</v>
      </c>
      <c r="C396" s="253">
        <f>Wetseason!C542</f>
        <v>101</v>
      </c>
      <c r="D396" t="s">
        <v>3116</v>
      </c>
      <c r="E396" t="s">
        <v>25</v>
      </c>
      <c r="F396" s="375">
        <v>5</v>
      </c>
      <c r="G396" s="16">
        <f>'WetLitterbags placem_collection'!E103</f>
        <v>42762</v>
      </c>
      <c r="H396" s="92" t="str">
        <f>Wetseason!L542</f>
        <v>G875</v>
      </c>
      <c r="I396" t="str">
        <f>Wetseason!L762</f>
        <v>R10</v>
      </c>
      <c r="J396">
        <f>IFERROR(INDEX('Green_rooibos initial weight'!$C$5:$C$2000,MATCH(H396, 'Green_rooibos initial weight'!$A$5:$A$2000,0)),"")</f>
        <v>2.0880000000000001</v>
      </c>
      <c r="K396">
        <f>IFERROR(INDEX('Green_rooibos initial weight'!$C$5:$C$2000,MATCH(I396, 'Green_rooibos initial weight'!$A$5:$A$2000,0)),"")</f>
        <v>2.29</v>
      </c>
      <c r="L396" s="194">
        <f t="shared" si="38"/>
        <v>1.8382000000000001</v>
      </c>
      <c r="M396" s="194">
        <f t="shared" ref="M396:M459" si="45">IF(K396&gt;0,(K396*$F$32-($F$29+$F$30)),"")</f>
        <v>2.0402</v>
      </c>
      <c r="N396" s="16">
        <f>IF('WetLitterbags placem_collection'!G103="","",'WetLitterbags placem_collection'!G103)</f>
        <v>42816</v>
      </c>
      <c r="O396" s="194">
        <f>IFERROR(INDEX('Both teabags AfterWet'!$C$3:$C$2000,MATCH(H396,'Both teabags AfterWet'!$A$3:$A$2000,0)),"")</f>
        <v>0.62450000000000006</v>
      </c>
      <c r="P396" s="194">
        <f>IFERROR(INDEX('Both teabags AfterWet'!$C$3:$C$2000,MATCH(I396,'Both teabags AfterWet'!$A$3:$A$2000,0)),"")</f>
        <v>1.5687</v>
      </c>
      <c r="Q396" s="194">
        <f t="shared" si="39"/>
        <v>0.47390000000000004</v>
      </c>
      <c r="R396" s="194">
        <f t="shared" si="39"/>
        <v>1.4180999999999999</v>
      </c>
      <c r="S396" s="194">
        <f t="shared" si="40"/>
        <v>0.7421934501142422</v>
      </c>
      <c r="T396" s="194">
        <f t="shared" si="41"/>
        <v>0.48656862762833936</v>
      </c>
      <c r="U396" s="194">
        <f t="shared" si="42"/>
        <v>0.69507891383197717</v>
      </c>
      <c r="V396">
        <f t="shared" ref="V396:V459" si="46">IFERROR(IF((N396-G396)&gt;0,(IFERROR(N396-G396,"")),""),"")</f>
        <v>54</v>
      </c>
      <c r="W396" s="194">
        <f t="shared" si="43"/>
        <v>0.11853509487619684</v>
      </c>
      <c r="X396" s="194">
        <f t="shared" si="44"/>
        <v>1.8246476510625297E-2</v>
      </c>
      <c r="Y396" s="245" t="str">
        <f>IF(ISNUMBER(SEARCH("C",'WetLitterbags placem_collection'!$Y103)),"YES","NO")</f>
        <v>NO</v>
      </c>
      <c r="Z396" s="245" t="str">
        <f>IF(ISNUMBER(SEARCH("H", 'WetLitterbags placem_collection'!$Y103)),"YES","NO")</f>
        <v>NO</v>
      </c>
      <c r="AA396" s="245" t="str">
        <f>IF(ISNUMBER(SEARCH("R", 'WetLitterbags placem_collection'!$Y103)),"YES","NO")</f>
        <v>NO</v>
      </c>
      <c r="AB396" s="245" t="str">
        <f>IF(ISNUMBER(SEARCH("C", 'WetLitterbags placem_collection'!$W103)),"YES","NO")</f>
        <v>NO</v>
      </c>
      <c r="AC396" s="245" t="str">
        <f>IF(ISNUMBER(SEARCH("H", 'WetLitterbags placem_collection'!$W103)),"YES","NO")</f>
        <v>NO</v>
      </c>
      <c r="AD396" s="245" t="str">
        <f>IF(ISNUMBER(SEARCH("R", 'WetLitterbags placem_collection'!$W103)),"YES","NO")</f>
        <v>NO</v>
      </c>
    </row>
    <row r="397" spans="2:30">
      <c r="B397" t="str">
        <f>Wetseason!B543</f>
        <v>Wet</v>
      </c>
      <c r="C397" s="253">
        <f>Wetseason!C543</f>
        <v>102</v>
      </c>
      <c r="D397" t="s">
        <v>3116</v>
      </c>
      <c r="E397" t="s">
        <v>25</v>
      </c>
      <c r="F397" s="375">
        <v>6</v>
      </c>
      <c r="G397" s="16">
        <f>'WetLitterbags placem_collection'!E104</f>
        <v>42762</v>
      </c>
      <c r="H397" s="92" t="str">
        <f>Wetseason!L543</f>
        <v>G824</v>
      </c>
      <c r="I397" t="str">
        <f>Wetseason!L763</f>
        <v>R26</v>
      </c>
      <c r="J397">
        <f>IFERROR(INDEX('Green_rooibos initial weight'!$C$5:$C$2000,MATCH(H397, 'Green_rooibos initial weight'!$A$5:$A$2000,0)),"")</f>
        <v>1.931</v>
      </c>
      <c r="K397">
        <f>IFERROR(INDEX('Green_rooibos initial weight'!$C$5:$C$2000,MATCH(I397, 'Green_rooibos initial weight'!$A$5:$A$2000,0)),"")</f>
        <v>2.2559999999999998</v>
      </c>
      <c r="L397" s="194">
        <f t="shared" ref="L397:L460" si="47">IF(J397&gt;0,(J397*$F$31-($F$29+$F$30)),"")</f>
        <v>1.6812</v>
      </c>
      <c r="M397" s="194">
        <f t="shared" si="45"/>
        <v>2.0061999999999998</v>
      </c>
      <c r="N397" s="16">
        <f>IF('WetLitterbags placem_collection'!G104="","",'WetLitterbags placem_collection'!G104)</f>
        <v>42816</v>
      </c>
      <c r="O397" s="194">
        <f>IFERROR(INDEX('Both teabags AfterWet'!$C$3:$C$2000,MATCH(H397,'Both teabags AfterWet'!$A$3:$A$2000,0)),"")</f>
        <v>0.56499999999999995</v>
      </c>
      <c r="P397" s="194">
        <f>IFERROR(INDEX('Both teabags AfterWet'!$C$3:$C$2000,MATCH(I397,'Both teabags AfterWet'!$A$3:$A$2000,0)),"")</f>
        <v>1.6240000000000001</v>
      </c>
      <c r="Q397" s="194">
        <f t="shared" ref="Q397:R460" si="48">IFERROR(IF(O397&gt;0,O397-($F$29),""),"")</f>
        <v>0.41439999999999994</v>
      </c>
      <c r="R397" s="194">
        <f t="shared" si="48"/>
        <v>1.4734</v>
      </c>
      <c r="S397" s="194">
        <f t="shared" ref="S397:S460" si="49">IFERROR(1-Q397/L397,"")</f>
        <v>0.75350939804901262</v>
      </c>
      <c r="T397" s="194">
        <f t="shared" ref="T397:T460" si="50">IFERROR($F$26*(1-W397),"")</f>
        <v>0.49398715881597982</v>
      </c>
      <c r="U397" s="194">
        <f t="shared" ref="U397:U460" si="51">IFERROR(R397/M397,"")</f>
        <v>0.73442328780779598</v>
      </c>
      <c r="V397">
        <f t="shared" si="46"/>
        <v>54</v>
      </c>
      <c r="W397" s="194">
        <f t="shared" ref="W397:W460" si="52">IFERROR(1-(S397/$F$25),"")</f>
        <v>0.10509572678264534</v>
      </c>
      <c r="X397" s="194">
        <f t="shared" ref="X397:X460" si="53">IFERROR(LN(T397/(U397-(1-T397)))/V397,"")</f>
        <v>1.4284542732070478E-2</v>
      </c>
      <c r="Y397" s="245" t="str">
        <f>IF(ISNUMBER(SEARCH("C",'WetLitterbags placem_collection'!$Y104)),"YES","NO")</f>
        <v>NO</v>
      </c>
      <c r="Z397" s="245" t="str">
        <f>IF(ISNUMBER(SEARCH("H", 'WetLitterbags placem_collection'!$Y104)),"YES","NO")</f>
        <v>NO</v>
      </c>
      <c r="AA397" s="245" t="str">
        <f>IF(ISNUMBER(SEARCH("R", 'WetLitterbags placem_collection'!$Y104)),"YES","NO")</f>
        <v>NO</v>
      </c>
      <c r="AB397" s="245" t="str">
        <f>IF(ISNUMBER(SEARCH("C", 'WetLitterbags placem_collection'!$W104)),"YES","NO")</f>
        <v>NO</v>
      </c>
      <c r="AC397" s="245" t="str">
        <f>IF(ISNUMBER(SEARCH("H", 'WetLitterbags placem_collection'!$W104)),"YES","NO")</f>
        <v>NO</v>
      </c>
      <c r="AD397" s="245" t="str">
        <f>IF(ISNUMBER(SEARCH("R", 'WetLitterbags placem_collection'!$W104)),"YES","NO")</f>
        <v>NO</v>
      </c>
    </row>
    <row r="398" spans="2:30">
      <c r="B398" t="str">
        <f>Wetseason!B544</f>
        <v>Wet</v>
      </c>
      <c r="C398" s="253">
        <f>Wetseason!C544</f>
        <v>103</v>
      </c>
      <c r="D398" t="s">
        <v>3116</v>
      </c>
      <c r="E398" t="s">
        <v>25</v>
      </c>
      <c r="F398" s="375">
        <v>7</v>
      </c>
      <c r="G398" s="16">
        <f>'WetLitterbags placem_collection'!E105</f>
        <v>42762</v>
      </c>
      <c r="H398" s="92" t="str">
        <f>Wetseason!L544</f>
        <v>G692</v>
      </c>
      <c r="I398" t="str">
        <f>Wetseason!L764</f>
        <v>R494</v>
      </c>
      <c r="J398">
        <f>IFERROR(INDEX('Green_rooibos initial weight'!$C$5:$C$2000,MATCH(H398, 'Green_rooibos initial weight'!$A$5:$A$2000,0)),"")</f>
        <v>2.028</v>
      </c>
      <c r="K398">
        <f>IFERROR(INDEX('Green_rooibos initial weight'!$C$5:$C$2000,MATCH(I398, 'Green_rooibos initial weight'!$A$5:$A$2000,0)),"")</f>
        <v>2.2130000000000001</v>
      </c>
      <c r="L398" s="194">
        <f t="shared" si="47"/>
        <v>1.7782</v>
      </c>
      <c r="M398" s="194">
        <f t="shared" si="45"/>
        <v>1.9632000000000001</v>
      </c>
      <c r="N398" s="16">
        <f>IF('WetLitterbags placem_collection'!G105="","",'WetLitterbags placem_collection'!G105)</f>
        <v>42816</v>
      </c>
      <c r="O398" s="194">
        <f>IFERROR(INDEX('Both teabags AfterWet'!$C$3:$C$2000,MATCH(H398,'Both teabags AfterWet'!$A$3:$A$2000,0)),"")</f>
        <v>0.58699999999999997</v>
      </c>
      <c r="P398" s="194">
        <f>IFERROR(INDEX('Both teabags AfterWet'!$C$3:$C$2000,MATCH(I398,'Both teabags AfterWet'!$A$3:$A$2000,0)),"")</f>
        <v>1.6919999999999999</v>
      </c>
      <c r="Q398" s="194">
        <f t="shared" si="48"/>
        <v>0.43639999999999995</v>
      </c>
      <c r="R398" s="194">
        <f t="shared" si="48"/>
        <v>1.5413999999999999</v>
      </c>
      <c r="S398" s="194">
        <f t="shared" si="49"/>
        <v>0.75458328646946349</v>
      </c>
      <c r="T398" s="194">
        <f t="shared" si="50"/>
        <v>0.49469118067831819</v>
      </c>
      <c r="U398" s="194">
        <f t="shared" si="51"/>
        <v>0.7851466992665036</v>
      </c>
      <c r="V398">
        <f t="shared" si="46"/>
        <v>54</v>
      </c>
      <c r="W398" s="194">
        <f t="shared" si="52"/>
        <v>0.10382032485811932</v>
      </c>
      <c r="X398" s="194">
        <f t="shared" si="53"/>
        <v>1.0550430651329889E-2</v>
      </c>
      <c r="Y398" s="245" t="str">
        <f>IF(ISNUMBER(SEARCH("C",'WetLitterbags placem_collection'!$Y105)),"YES","NO")</f>
        <v>NO</v>
      </c>
      <c r="Z398" s="245" t="str">
        <f>IF(ISNUMBER(SEARCH("H", 'WetLitterbags placem_collection'!$Y105)),"YES","NO")</f>
        <v>NO</v>
      </c>
      <c r="AA398" s="245" t="str">
        <f>IF(ISNUMBER(SEARCH("R", 'WetLitterbags placem_collection'!$Y105)),"YES","NO")</f>
        <v>YES</v>
      </c>
      <c r="AB398" s="245" t="str">
        <f>IF(ISNUMBER(SEARCH("C", 'WetLitterbags placem_collection'!$W105)),"YES","NO")</f>
        <v>NO</v>
      </c>
      <c r="AC398" s="245" t="str">
        <f>IF(ISNUMBER(SEARCH("H", 'WetLitterbags placem_collection'!$W105)),"YES","NO")</f>
        <v>NO</v>
      </c>
      <c r="AD398" s="245" t="str">
        <f>IF(ISNUMBER(SEARCH("R", 'WetLitterbags placem_collection'!$W105)),"YES","NO")</f>
        <v>NO</v>
      </c>
    </row>
    <row r="399" spans="2:30">
      <c r="B399" t="str">
        <f>Wetseason!B545</f>
        <v>Wet</v>
      </c>
      <c r="C399" s="253">
        <f>Wetseason!C545</f>
        <v>104</v>
      </c>
      <c r="D399" t="s">
        <v>3116</v>
      </c>
      <c r="E399" t="s">
        <v>25</v>
      </c>
      <c r="F399" s="375">
        <v>8</v>
      </c>
      <c r="G399" s="16">
        <f>'WetLitterbags placem_collection'!E106</f>
        <v>42762</v>
      </c>
      <c r="H399" s="92" t="str">
        <f>Wetseason!L545</f>
        <v>G806</v>
      </c>
      <c r="I399" t="str">
        <f>Wetseason!L765</f>
        <v>R475</v>
      </c>
      <c r="J399">
        <f>IFERROR(INDEX('Green_rooibos initial weight'!$C$5:$C$2000,MATCH(H399, 'Green_rooibos initial weight'!$A$5:$A$2000,0)),"")</f>
        <v>2.0419999999999998</v>
      </c>
      <c r="K399">
        <f>IFERROR(INDEX('Green_rooibos initial weight'!$C$5:$C$2000,MATCH(I399, 'Green_rooibos initial weight'!$A$5:$A$2000,0)),"")</f>
        <v>2.2210000000000001</v>
      </c>
      <c r="L399" s="194">
        <f t="shared" si="47"/>
        <v>1.7921999999999998</v>
      </c>
      <c r="M399" s="194">
        <f t="shared" si="45"/>
        <v>1.9712000000000001</v>
      </c>
      <c r="N399" s="16">
        <f>IF('WetLitterbags placem_collection'!G106="","",'WetLitterbags placem_collection'!G106)</f>
        <v>42816</v>
      </c>
      <c r="O399" s="194">
        <f>IFERROR(INDEX('Both teabags AfterWet'!$C$3:$C$2000,MATCH(H399,'Both teabags AfterWet'!$A$3:$A$2000,0)),"")</f>
        <v>0.72499999999999998</v>
      </c>
      <c r="P399" s="194">
        <f>IFERROR(INDEX('Both teabags AfterWet'!$C$3:$C$2000,MATCH(I399,'Both teabags AfterWet'!$A$3:$A$2000,0)),"")</f>
        <v>1.4970000000000001</v>
      </c>
      <c r="Q399" s="194">
        <f t="shared" si="48"/>
        <v>0.57440000000000002</v>
      </c>
      <c r="R399" s="194">
        <f t="shared" si="48"/>
        <v>1.3464</v>
      </c>
      <c r="S399" s="194">
        <f t="shared" si="49"/>
        <v>0.67950005579734407</v>
      </c>
      <c r="T399" s="194">
        <f t="shared" si="50"/>
        <v>0.44546797007141803</v>
      </c>
      <c r="U399" s="194">
        <f t="shared" si="51"/>
        <v>0.6830357142857143</v>
      </c>
      <c r="V399">
        <f t="shared" si="46"/>
        <v>54</v>
      </c>
      <c r="W399" s="194">
        <f t="shared" si="52"/>
        <v>0.19299280784163408</v>
      </c>
      <c r="X399" s="194">
        <f t="shared" si="53"/>
        <v>2.3021625403279272E-2</v>
      </c>
      <c r="Y399" s="245" t="str">
        <f>IF(ISNUMBER(SEARCH("C",'WetLitterbags placem_collection'!$Y106)),"YES","NO")</f>
        <v>NO</v>
      </c>
      <c r="Z399" s="245" t="str">
        <f>IF(ISNUMBER(SEARCH("H", 'WetLitterbags placem_collection'!$Y106)),"YES","NO")</f>
        <v>NO</v>
      </c>
      <c r="AA399" s="245" t="str">
        <f>IF(ISNUMBER(SEARCH("R", 'WetLitterbags placem_collection'!$Y106)),"YES","NO")</f>
        <v>NO</v>
      </c>
      <c r="AB399" s="245" t="str">
        <f>IF(ISNUMBER(SEARCH("C", 'WetLitterbags placem_collection'!$W106)),"YES","NO")</f>
        <v>NO</v>
      </c>
      <c r="AC399" s="245" t="str">
        <f>IF(ISNUMBER(SEARCH("H", 'WetLitterbags placem_collection'!$W106)),"YES","NO")</f>
        <v>NO</v>
      </c>
      <c r="AD399" s="245" t="str">
        <f>IF(ISNUMBER(SEARCH("R", 'WetLitterbags placem_collection'!$W106)),"YES","NO")</f>
        <v>NO</v>
      </c>
    </row>
    <row r="400" spans="2:30">
      <c r="B400" t="str">
        <f>Wetseason!B546</f>
        <v>Wet</v>
      </c>
      <c r="C400" s="253">
        <f>Wetseason!C546</f>
        <v>105</v>
      </c>
      <c r="D400" t="s">
        <v>3118</v>
      </c>
      <c r="E400" t="s">
        <v>25</v>
      </c>
      <c r="F400" s="374">
        <v>1</v>
      </c>
      <c r="G400" s="16">
        <f>'WetLitterbags placem_collection'!E107</f>
        <v>42762</v>
      </c>
      <c r="H400" s="92" t="str">
        <f>Wetseason!L546</f>
        <v>G861</v>
      </c>
      <c r="I400" t="str">
        <f>Wetseason!L766</f>
        <v>R540</v>
      </c>
      <c r="J400">
        <f>IFERROR(INDEX('Green_rooibos initial weight'!$C$5:$C$2000,MATCH(H400, 'Green_rooibos initial weight'!$A$5:$A$2000,0)),"")</f>
        <v>1.9339999999999999</v>
      </c>
      <c r="K400">
        <f>IFERROR(INDEX('Green_rooibos initial weight'!$C$5:$C$2000,MATCH(I400, 'Green_rooibos initial weight'!$A$5:$A$2000,0)),"")</f>
        <v>2.194</v>
      </c>
      <c r="L400" s="194">
        <f t="shared" si="47"/>
        <v>1.6841999999999999</v>
      </c>
      <c r="M400" s="194">
        <f t="shared" si="45"/>
        <v>1.9441999999999999</v>
      </c>
      <c r="N400" s="16">
        <f>IF('WetLitterbags placem_collection'!G107="","",'WetLitterbags placem_collection'!G107)</f>
        <v>42816</v>
      </c>
      <c r="O400" s="194">
        <f>IFERROR(INDEX('Both teabags AfterWet'!$C$3:$C$2000,MATCH(H400,'Both teabags AfterWet'!$A$3:$A$2000,0)),"")</f>
        <v>0.626</v>
      </c>
      <c r="P400" s="194">
        <f>IFERROR(INDEX('Both teabags AfterWet'!$C$3:$C$2000,MATCH(I400,'Both teabags AfterWet'!$A$3:$A$2000,0)),"")</f>
        <v>1.8080000000000001</v>
      </c>
      <c r="Q400" s="194">
        <f t="shared" si="48"/>
        <v>0.47539999999999999</v>
      </c>
      <c r="R400" s="194">
        <f t="shared" si="48"/>
        <v>1.6574</v>
      </c>
      <c r="S400" s="194">
        <f t="shared" si="49"/>
        <v>0.71772948580928631</v>
      </c>
      <c r="T400" s="194">
        <f t="shared" si="50"/>
        <v>0.47053049425976973</v>
      </c>
      <c r="U400" s="194">
        <f t="shared" si="51"/>
        <v>0.85248431231354804</v>
      </c>
      <c r="V400">
        <f t="shared" si="46"/>
        <v>54</v>
      </c>
      <c r="W400" s="194">
        <f t="shared" si="52"/>
        <v>0.14758968431201147</v>
      </c>
      <c r="X400" s="194">
        <f t="shared" si="53"/>
        <v>6.9659741930236767E-3</v>
      </c>
      <c r="Y400" s="245" t="str">
        <f>IF(ISNUMBER(SEARCH("C",'WetLitterbags placem_collection'!$Y107)),"YES","NO")</f>
        <v>NO</v>
      </c>
      <c r="Z400" s="245" t="str">
        <f>IF(ISNUMBER(SEARCH("H", 'WetLitterbags placem_collection'!$Y107)),"YES","NO")</f>
        <v>NO</v>
      </c>
      <c r="AA400" s="245" t="str">
        <f>IF(ISNUMBER(SEARCH("R", 'WetLitterbags placem_collection'!$Y107)),"YES","NO")</f>
        <v>YES</v>
      </c>
      <c r="AB400" s="245" t="str">
        <f>IF(ISNUMBER(SEARCH("C", 'WetLitterbags placem_collection'!$W107)),"YES","NO")</f>
        <v>NO</v>
      </c>
      <c r="AC400" s="245" t="str">
        <f>IF(ISNUMBER(SEARCH("H", 'WetLitterbags placem_collection'!$W107)),"YES","NO")</f>
        <v>NO</v>
      </c>
      <c r="AD400" s="245" t="str">
        <f>IF(ISNUMBER(SEARCH("R", 'WetLitterbags placem_collection'!$W107)),"YES","NO")</f>
        <v>YES</v>
      </c>
    </row>
    <row r="401" spans="2:30">
      <c r="B401" t="str">
        <f>Wetseason!B547</f>
        <v>Wet</v>
      </c>
      <c r="C401" s="253">
        <f>Wetseason!C547</f>
        <v>106</v>
      </c>
      <c r="D401" t="s">
        <v>3118</v>
      </c>
      <c r="E401" t="s">
        <v>25</v>
      </c>
      <c r="F401" s="374">
        <v>2</v>
      </c>
      <c r="G401" s="16">
        <f>'WetLitterbags placem_collection'!E108</f>
        <v>42762</v>
      </c>
      <c r="H401" s="92" t="str">
        <f>Wetseason!L547</f>
        <v>G738</v>
      </c>
      <c r="I401" t="str">
        <f>Wetseason!L767</f>
        <v>R593</v>
      </c>
      <c r="J401">
        <f>IFERROR(INDEX('Green_rooibos initial weight'!$C$5:$C$2000,MATCH(H401, 'Green_rooibos initial weight'!$A$5:$A$2000,0)),"")</f>
        <v>2.0089999999999999</v>
      </c>
      <c r="K401">
        <f>IFERROR(INDEX('Green_rooibos initial weight'!$C$5:$C$2000,MATCH(I401, 'Green_rooibos initial weight'!$A$5:$A$2000,0)),"")</f>
        <v>2.2090000000000001</v>
      </c>
      <c r="L401" s="194">
        <f t="shared" si="47"/>
        <v>1.7591999999999999</v>
      </c>
      <c r="M401" s="194">
        <f t="shared" si="45"/>
        <v>1.9592000000000001</v>
      </c>
      <c r="N401" s="16">
        <f>IF('WetLitterbags placem_collection'!G108="","",'WetLitterbags placem_collection'!G108)</f>
        <v>42816</v>
      </c>
      <c r="O401" s="194">
        <f>IFERROR(INDEX('Both teabags AfterWet'!$C$3:$C$2000,MATCH(H401,'Both teabags AfterWet'!$A$3:$A$2000,0)),"")</f>
        <v>0.626</v>
      </c>
      <c r="P401" s="194">
        <f>IFERROR(INDEX('Both teabags AfterWet'!$C$3:$C$2000,MATCH(I401,'Both teabags AfterWet'!$A$3:$A$2000,0)),"")</f>
        <v>1.7729999999999999</v>
      </c>
      <c r="Q401" s="194">
        <f t="shared" si="48"/>
        <v>0.47539999999999999</v>
      </c>
      <c r="R401" s="194">
        <f t="shared" si="48"/>
        <v>1.6223999999999998</v>
      </c>
      <c r="S401" s="194">
        <f t="shared" si="49"/>
        <v>0.7297635288767621</v>
      </c>
      <c r="T401" s="194">
        <f t="shared" si="50"/>
        <v>0.47841979565317422</v>
      </c>
      <c r="U401" s="194">
        <f t="shared" si="51"/>
        <v>0.82809309922417307</v>
      </c>
      <c r="V401">
        <f t="shared" si="46"/>
        <v>54</v>
      </c>
      <c r="W401" s="194">
        <f t="shared" si="52"/>
        <v>0.13329747164280037</v>
      </c>
      <c r="X401" s="194">
        <f t="shared" si="53"/>
        <v>8.2449769404587658E-3</v>
      </c>
      <c r="Y401" s="245" t="str">
        <f>IF(ISNUMBER(SEARCH("C",'WetLitterbags placem_collection'!$Y108)),"YES","NO")</f>
        <v>NO</v>
      </c>
      <c r="Z401" s="245" t="str">
        <f>IF(ISNUMBER(SEARCH("H", 'WetLitterbags placem_collection'!$Y108)),"YES","NO")</f>
        <v>NO</v>
      </c>
      <c r="AA401" s="245" t="str">
        <f>IF(ISNUMBER(SEARCH("R", 'WetLitterbags placem_collection'!$Y108)),"YES","NO")</f>
        <v>YES</v>
      </c>
      <c r="AB401" s="245" t="str">
        <f>IF(ISNUMBER(SEARCH("C", 'WetLitterbags placem_collection'!$W108)),"YES","NO")</f>
        <v>NO</v>
      </c>
      <c r="AC401" s="245" t="str">
        <f>IF(ISNUMBER(SEARCH("H", 'WetLitterbags placem_collection'!$W108)),"YES","NO")</f>
        <v>NO</v>
      </c>
      <c r="AD401" s="245" t="str">
        <f>IF(ISNUMBER(SEARCH("R", 'WetLitterbags placem_collection'!$W108)),"YES","NO")</f>
        <v>YES</v>
      </c>
    </row>
    <row r="402" spans="2:30">
      <c r="B402" t="str">
        <f>Wetseason!B548</f>
        <v>Wet</v>
      </c>
      <c r="C402" s="253">
        <f>Wetseason!C548</f>
        <v>107</v>
      </c>
      <c r="D402" t="s">
        <v>3118</v>
      </c>
      <c r="E402" t="s">
        <v>25</v>
      </c>
      <c r="F402" s="374">
        <v>3</v>
      </c>
      <c r="G402" s="16">
        <f>'WetLitterbags placem_collection'!E109</f>
        <v>42762</v>
      </c>
      <c r="H402" s="92" t="str">
        <f>Wetseason!L548</f>
        <v>G676</v>
      </c>
      <c r="I402" t="str">
        <f>Wetseason!L768</f>
        <v>R510</v>
      </c>
      <c r="J402">
        <f>IFERROR(INDEX('Green_rooibos initial weight'!$C$5:$C$2000,MATCH(H402, 'Green_rooibos initial weight'!$A$5:$A$2000,0)),"")</f>
        <v>2.048</v>
      </c>
      <c r="K402">
        <f>IFERROR(INDEX('Green_rooibos initial weight'!$C$5:$C$2000,MATCH(I402, 'Green_rooibos initial weight'!$A$5:$A$2000,0)),"")</f>
        <v>2.2349999999999999</v>
      </c>
      <c r="L402" s="194">
        <f t="shared" si="47"/>
        <v>1.7982</v>
      </c>
      <c r="M402" s="194">
        <f t="shared" si="45"/>
        <v>1.9851999999999999</v>
      </c>
      <c r="N402" s="16">
        <f>IF('WetLitterbags placem_collection'!G109="","",'WetLitterbags placem_collection'!G109)</f>
        <v>42816</v>
      </c>
      <c r="O402" s="194">
        <f>IFERROR(INDEX('Both teabags AfterWet'!$C$3:$C$2000,MATCH(H402,'Both teabags AfterWet'!$A$3:$A$2000,0)),"")</f>
        <v>0.67630000000000001</v>
      </c>
      <c r="P402" s="194">
        <f>IFERROR(INDEX('Both teabags AfterWet'!$C$3:$C$2000,MATCH(I402,'Both teabags AfterWet'!$A$3:$A$2000,0)),"")</f>
        <v>1.5944</v>
      </c>
      <c r="Q402" s="194">
        <f t="shared" si="48"/>
        <v>0.52570000000000006</v>
      </c>
      <c r="R402" s="194">
        <f t="shared" si="48"/>
        <v>1.4438</v>
      </c>
      <c r="S402" s="194">
        <f t="shared" si="49"/>
        <v>0.70765209654098538</v>
      </c>
      <c r="T402" s="194">
        <f t="shared" si="50"/>
        <v>0.46392393977508783</v>
      </c>
      <c r="U402" s="194">
        <f t="shared" si="51"/>
        <v>0.72728188595607501</v>
      </c>
      <c r="V402">
        <f t="shared" si="46"/>
        <v>54</v>
      </c>
      <c r="W402" s="194">
        <f t="shared" si="52"/>
        <v>0.15955808011759454</v>
      </c>
      <c r="X402" s="194">
        <f t="shared" si="53"/>
        <v>1.6414261970973051E-2</v>
      </c>
      <c r="Y402" s="245" t="str">
        <f>IF(ISNUMBER(SEARCH("C",'WetLitterbags placem_collection'!$Y109)),"YES","NO")</f>
        <v>NO</v>
      </c>
      <c r="Z402" s="245" t="str">
        <f>IF(ISNUMBER(SEARCH("H", 'WetLitterbags placem_collection'!$Y109)),"YES","NO")</f>
        <v>NO</v>
      </c>
      <c r="AA402" s="245" t="str">
        <f>IF(ISNUMBER(SEARCH("R", 'WetLitterbags placem_collection'!$Y109)),"YES","NO")</f>
        <v>NO</v>
      </c>
      <c r="AB402" s="245" t="str">
        <f>IF(ISNUMBER(SEARCH("C", 'WetLitterbags placem_collection'!$W109)),"YES","NO")</f>
        <v>NO</v>
      </c>
      <c r="AC402" s="245" t="str">
        <f>IF(ISNUMBER(SEARCH("H", 'WetLitterbags placem_collection'!$W109)),"YES","NO")</f>
        <v>NO</v>
      </c>
      <c r="AD402" s="245" t="str">
        <f>IF(ISNUMBER(SEARCH("R", 'WetLitterbags placem_collection'!$W109)),"YES","NO")</f>
        <v>NO</v>
      </c>
    </row>
    <row r="403" spans="2:30">
      <c r="B403" t="str">
        <f>Wetseason!B549</f>
        <v>Wet</v>
      </c>
      <c r="C403" s="253">
        <f>Wetseason!C549</f>
        <v>108</v>
      </c>
      <c r="D403" t="s">
        <v>3118</v>
      </c>
      <c r="E403" t="s">
        <v>25</v>
      </c>
      <c r="F403" s="375">
        <v>4</v>
      </c>
      <c r="G403" s="16">
        <f>'WetLitterbags placem_collection'!E110</f>
        <v>42762</v>
      </c>
      <c r="H403" s="92" t="str">
        <f>Wetseason!L549</f>
        <v>G845</v>
      </c>
      <c r="I403" t="str">
        <f>Wetseason!L769</f>
        <v>R509</v>
      </c>
      <c r="J403">
        <f>IFERROR(INDEX('Green_rooibos initial weight'!$C$5:$C$2000,MATCH(H403, 'Green_rooibos initial weight'!$A$5:$A$2000,0)),"")</f>
        <v>2.0459999999999998</v>
      </c>
      <c r="K403">
        <f>IFERROR(INDEX('Green_rooibos initial weight'!$C$5:$C$2000,MATCH(I403, 'Green_rooibos initial weight'!$A$5:$A$2000,0)),"")</f>
        <v>2.161</v>
      </c>
      <c r="L403" s="194">
        <f t="shared" si="47"/>
        <v>1.7961999999999998</v>
      </c>
      <c r="M403" s="194">
        <f t="shared" si="45"/>
        <v>1.9112</v>
      </c>
      <c r="N403" s="16">
        <f>IF('WetLitterbags placem_collection'!G110="","",'WetLitterbags placem_collection'!G110)</f>
        <v>42816</v>
      </c>
      <c r="O403" s="194">
        <f>IFERROR(INDEX('Both teabags AfterWet'!$C$3:$C$2000,MATCH(H403,'Both teabags AfterWet'!$A$3:$A$2000,0)),"")</f>
        <v>0.57699999999999996</v>
      </c>
      <c r="P403" s="194">
        <f>IFERROR(INDEX('Both teabags AfterWet'!$C$3:$C$2000,MATCH(I403,'Both teabags AfterWet'!$A$3:$A$2000,0)),"")</f>
        <v>1.6739999999999999</v>
      </c>
      <c r="Q403" s="194">
        <f t="shared" si="48"/>
        <v>0.42639999999999995</v>
      </c>
      <c r="R403" s="194">
        <f t="shared" si="48"/>
        <v>1.5233999999999999</v>
      </c>
      <c r="S403" s="194">
        <f t="shared" si="49"/>
        <v>0.76260995434806811</v>
      </c>
      <c r="T403" s="194">
        <f t="shared" si="50"/>
        <v>0.4999533192400637</v>
      </c>
      <c r="U403" s="194">
        <f t="shared" si="51"/>
        <v>0.79709083298451222</v>
      </c>
      <c r="V403">
        <f t="shared" si="46"/>
        <v>54</v>
      </c>
      <c r="W403" s="194">
        <f t="shared" si="52"/>
        <v>9.4287465144812233E-2</v>
      </c>
      <c r="X403" s="194">
        <f t="shared" si="53"/>
        <v>9.6413693352084984E-3</v>
      </c>
      <c r="Y403" s="245" t="str">
        <f>IF(ISNUMBER(SEARCH("C",'WetLitterbags placem_collection'!$Y110)),"YES","NO")</f>
        <v>NO</v>
      </c>
      <c r="Z403" s="245" t="str">
        <f>IF(ISNUMBER(SEARCH("H", 'WetLitterbags placem_collection'!$Y110)),"YES","NO")</f>
        <v>NO</v>
      </c>
      <c r="AA403" s="245" t="str">
        <f>IF(ISNUMBER(SEARCH("R", 'WetLitterbags placem_collection'!$Y110)),"YES","NO")</f>
        <v>YES</v>
      </c>
      <c r="AB403" s="245" t="str">
        <f>IF(ISNUMBER(SEARCH("C", 'WetLitterbags placem_collection'!$W110)),"YES","NO")</f>
        <v>NO</v>
      </c>
      <c r="AC403" s="245" t="str">
        <f>IF(ISNUMBER(SEARCH("H", 'WetLitterbags placem_collection'!$W110)),"YES","NO")</f>
        <v>YES</v>
      </c>
      <c r="AD403" s="245" t="str">
        <f>IF(ISNUMBER(SEARCH("R", 'WetLitterbags placem_collection'!$W110)),"YES","NO")</f>
        <v>NO</v>
      </c>
    </row>
    <row r="404" spans="2:30">
      <c r="B404" t="str">
        <f>Wetseason!B550</f>
        <v>Wet</v>
      </c>
      <c r="C404" s="253">
        <f>Wetseason!C550</f>
        <v>109</v>
      </c>
      <c r="D404" t="s">
        <v>3118</v>
      </c>
      <c r="E404" t="s">
        <v>25</v>
      </c>
      <c r="F404" s="375">
        <v>5</v>
      </c>
      <c r="G404" s="16">
        <f>'WetLitterbags placem_collection'!E111</f>
        <v>42762</v>
      </c>
      <c r="H404" s="92" t="str">
        <f>Wetseason!L550</f>
        <v>G887</v>
      </c>
      <c r="I404" t="str">
        <f>Wetseason!L770</f>
        <v>R33</v>
      </c>
      <c r="J404">
        <f>IFERROR(INDEX('Green_rooibos initial weight'!$C$5:$C$2000,MATCH(H404, 'Green_rooibos initial weight'!$A$5:$A$2000,0)),"")</f>
        <v>1.998</v>
      </c>
      <c r="K404">
        <f>IFERROR(INDEX('Green_rooibos initial weight'!$C$5:$C$2000,MATCH(I404, 'Green_rooibos initial weight'!$A$5:$A$2000,0)),"")</f>
        <v>2.1989999999999998</v>
      </c>
      <c r="L404" s="194">
        <f t="shared" si="47"/>
        <v>1.7482</v>
      </c>
      <c r="M404" s="194">
        <f t="shared" si="45"/>
        <v>1.9491999999999998</v>
      </c>
      <c r="N404" s="16">
        <f>IF('WetLitterbags placem_collection'!G111="","",'WetLitterbags placem_collection'!G111)</f>
        <v>42816</v>
      </c>
      <c r="O404" s="194">
        <f>IFERROR(INDEX('Both teabags AfterWet'!$C$3:$C$2000,MATCH(H404,'Both teabags AfterWet'!$A$3:$A$2000,0)),"")</f>
        <v>0.64870000000000005</v>
      </c>
      <c r="P404" s="194">
        <f>IFERROR(INDEX('Both teabags AfterWet'!$C$3:$C$2000,MATCH(I404,'Both teabags AfterWet'!$A$3:$A$2000,0)),"")</f>
        <v>1.5922000000000001</v>
      </c>
      <c r="Q404" s="194">
        <f t="shared" si="48"/>
        <v>0.49810000000000004</v>
      </c>
      <c r="R404" s="194">
        <f t="shared" si="48"/>
        <v>1.4416</v>
      </c>
      <c r="S404" s="194">
        <f t="shared" si="49"/>
        <v>0.71507836631964306</v>
      </c>
      <c r="T404" s="194">
        <f t="shared" si="50"/>
        <v>0.46879246818104869</v>
      </c>
      <c r="U404" s="194">
        <f t="shared" si="51"/>
        <v>0.7395854709624462</v>
      </c>
      <c r="V404">
        <f t="shared" si="46"/>
        <v>54</v>
      </c>
      <c r="W404" s="194">
        <f t="shared" si="52"/>
        <v>0.15073828228070896</v>
      </c>
      <c r="X404" s="194">
        <f t="shared" si="53"/>
        <v>1.5014939369033172E-2</v>
      </c>
      <c r="Y404" s="245" t="str">
        <f>IF(ISNUMBER(SEARCH("C",'WetLitterbags placem_collection'!$Y111)),"YES","NO")</f>
        <v>NO</v>
      </c>
      <c r="Z404" s="245" t="str">
        <f>IF(ISNUMBER(SEARCH("H", 'WetLitterbags placem_collection'!$Y111)),"YES","NO")</f>
        <v>NO</v>
      </c>
      <c r="AA404" s="245" t="str">
        <f>IF(ISNUMBER(SEARCH("R", 'WetLitterbags placem_collection'!$Y111)),"YES","NO")</f>
        <v>NO</v>
      </c>
      <c r="AB404" s="245" t="str">
        <f>IF(ISNUMBER(SEARCH("C", 'WetLitterbags placem_collection'!$W111)),"YES","NO")</f>
        <v>NO</v>
      </c>
      <c r="AC404" s="245" t="str">
        <f>IF(ISNUMBER(SEARCH("H", 'WetLitterbags placem_collection'!$W111)),"YES","NO")</f>
        <v>NO</v>
      </c>
      <c r="AD404" s="245" t="str">
        <f>IF(ISNUMBER(SEARCH("R", 'WetLitterbags placem_collection'!$W111)),"YES","NO")</f>
        <v>NO</v>
      </c>
    </row>
    <row r="405" spans="2:30">
      <c r="B405" t="str">
        <f>Wetseason!B551</f>
        <v>Wet</v>
      </c>
      <c r="C405" s="253">
        <f>Wetseason!C551</f>
        <v>110</v>
      </c>
      <c r="D405" t="s">
        <v>3118</v>
      </c>
      <c r="E405" t="s">
        <v>25</v>
      </c>
      <c r="F405" s="375">
        <v>6</v>
      </c>
      <c r="G405" s="16">
        <f>'WetLitterbags placem_collection'!E112</f>
        <v>42762</v>
      </c>
      <c r="H405" s="92" t="str">
        <f>Wetseason!L551</f>
        <v>G882</v>
      </c>
      <c r="I405" t="str">
        <f>Wetseason!L771</f>
        <v>R54</v>
      </c>
      <c r="J405">
        <f>IFERROR(INDEX('Green_rooibos initial weight'!$C$5:$C$2000,MATCH(H405, 'Green_rooibos initial weight'!$A$5:$A$2000,0)),"")</f>
        <v>2.0979999999999999</v>
      </c>
      <c r="K405">
        <f>IFERROR(INDEX('Green_rooibos initial weight'!$C$5:$C$2000,MATCH(I405, 'Green_rooibos initial weight'!$A$5:$A$2000,0)),"")</f>
        <v>2.2069999999999999</v>
      </c>
      <c r="L405" s="194">
        <f t="shared" si="47"/>
        <v>1.8481999999999998</v>
      </c>
      <c r="M405" s="194">
        <f t="shared" si="45"/>
        <v>1.9571999999999998</v>
      </c>
      <c r="N405" s="16">
        <f>IF('WetLitterbags placem_collection'!G112="","",'WetLitterbags placem_collection'!G112)</f>
        <v>42816</v>
      </c>
      <c r="O405" s="194">
        <f>IFERROR(INDEX('Both teabags AfterWet'!$C$3:$C$2000,MATCH(H405,'Both teabags AfterWet'!$A$3:$A$2000,0)),"")</f>
        <v>0.56669999999999998</v>
      </c>
      <c r="P405" s="194">
        <f>IFERROR(INDEX('Both teabags AfterWet'!$C$3:$C$2000,MATCH(I405,'Both teabags AfterWet'!$A$3:$A$2000,0)),"")</f>
        <v>1.4870000000000001</v>
      </c>
      <c r="Q405" s="194">
        <f t="shared" si="48"/>
        <v>0.41609999999999997</v>
      </c>
      <c r="R405" s="194">
        <f t="shared" si="48"/>
        <v>1.3364</v>
      </c>
      <c r="S405" s="194">
        <f t="shared" si="49"/>
        <v>0.77486202791905634</v>
      </c>
      <c r="T405" s="194">
        <f t="shared" si="50"/>
        <v>0.50798555749562846</v>
      </c>
      <c r="U405" s="194">
        <f t="shared" si="51"/>
        <v>0.68281218066625804</v>
      </c>
      <c r="V405">
        <f t="shared" si="46"/>
        <v>54</v>
      </c>
      <c r="W405" s="194">
        <f t="shared" si="52"/>
        <v>7.9736308884731155E-2</v>
      </c>
      <c r="X405" s="194">
        <f t="shared" si="53"/>
        <v>1.8134057640762067E-2</v>
      </c>
      <c r="Y405" s="245" t="str">
        <f>IF(ISNUMBER(SEARCH("C",'WetLitterbags placem_collection'!$Y112)),"YES","NO")</f>
        <v>NO</v>
      </c>
      <c r="Z405" s="245" t="str">
        <f>IF(ISNUMBER(SEARCH("H", 'WetLitterbags placem_collection'!$Y112)),"YES","NO")</f>
        <v>NO</v>
      </c>
      <c r="AA405" s="245" t="str">
        <f>IF(ISNUMBER(SEARCH("R", 'WetLitterbags placem_collection'!$Y112)),"YES","NO")</f>
        <v>YES</v>
      </c>
      <c r="AB405" s="245" t="str">
        <f>IF(ISNUMBER(SEARCH("C", 'WetLitterbags placem_collection'!$W112)),"YES","NO")</f>
        <v>NO</v>
      </c>
      <c r="AC405" s="245" t="str">
        <f>IF(ISNUMBER(SEARCH("H", 'WetLitterbags placem_collection'!$W112)),"YES","NO")</f>
        <v>NO</v>
      </c>
      <c r="AD405" s="245" t="str">
        <f>IF(ISNUMBER(SEARCH("R", 'WetLitterbags placem_collection'!$W112)),"YES","NO")</f>
        <v>NO</v>
      </c>
    </row>
    <row r="406" spans="2:30">
      <c r="B406" t="str">
        <f>Wetseason!B552</f>
        <v>Wet</v>
      </c>
      <c r="C406" s="253">
        <f>Wetseason!C552</f>
        <v>111</v>
      </c>
      <c r="D406" t="s">
        <v>3118</v>
      </c>
      <c r="E406" t="s">
        <v>25</v>
      </c>
      <c r="F406" s="375">
        <v>7</v>
      </c>
      <c r="G406" s="16">
        <f>'WetLitterbags placem_collection'!E113</f>
        <v>42762</v>
      </c>
      <c r="H406" s="92" t="str">
        <f>Wetseason!L552</f>
        <v>G695</v>
      </c>
      <c r="I406" t="str">
        <f>Wetseason!L772</f>
        <v>R487</v>
      </c>
      <c r="J406">
        <f>IFERROR(INDEX('Green_rooibos initial weight'!$C$5:$C$2000,MATCH(H406, 'Green_rooibos initial weight'!$A$5:$A$2000,0)),"")</f>
        <v>2.0190000000000001</v>
      </c>
      <c r="K406">
        <f>IFERROR(INDEX('Green_rooibos initial weight'!$C$5:$C$2000,MATCH(I406, 'Green_rooibos initial weight'!$A$5:$A$2000,0)),"")</f>
        <v>2.222</v>
      </c>
      <c r="L406" s="194">
        <f t="shared" si="47"/>
        <v>1.7692000000000001</v>
      </c>
      <c r="M406" s="194">
        <f t="shared" si="45"/>
        <v>1.9722</v>
      </c>
      <c r="N406" s="16">
        <f>IF('WetLitterbags placem_collection'!G113="","",'WetLitterbags placem_collection'!G113)</f>
        <v>42816</v>
      </c>
      <c r="O406" s="194">
        <f>IFERROR(INDEX('Both teabags AfterWet'!$C$3:$C$2000,MATCH(H406,'Both teabags AfterWet'!$A$3:$A$2000,0)),"")</f>
        <v>0.621</v>
      </c>
      <c r="P406" s="194">
        <f>IFERROR(INDEX('Both teabags AfterWet'!$C$3:$C$2000,MATCH(I406,'Both teabags AfterWet'!$A$3:$A$2000,0)),"")</f>
        <v>1.609</v>
      </c>
      <c r="Q406" s="194">
        <f t="shared" si="48"/>
        <v>0.47039999999999998</v>
      </c>
      <c r="R406" s="194">
        <f t="shared" si="48"/>
        <v>1.4583999999999999</v>
      </c>
      <c r="S406" s="194">
        <f t="shared" si="49"/>
        <v>0.73411711508026234</v>
      </c>
      <c r="T406" s="194">
        <f t="shared" si="50"/>
        <v>0.48127392817613407</v>
      </c>
      <c r="U406" s="194">
        <f t="shared" si="51"/>
        <v>0.73947875469019364</v>
      </c>
      <c r="V406">
        <f t="shared" si="46"/>
        <v>54</v>
      </c>
      <c r="W406" s="194">
        <f t="shared" si="52"/>
        <v>0.12812694170990213</v>
      </c>
      <c r="X406" s="194">
        <f t="shared" si="53"/>
        <v>1.4433215044932593E-2</v>
      </c>
      <c r="Y406" s="245" t="str">
        <f>IF(ISNUMBER(SEARCH("C",'WetLitterbags placem_collection'!$Y113)),"YES","NO")</f>
        <v>NO</v>
      </c>
      <c r="Z406" s="245" t="str">
        <f>IF(ISNUMBER(SEARCH("H", 'WetLitterbags placem_collection'!$Y113)),"YES","NO")</f>
        <v>NO</v>
      </c>
      <c r="AA406" s="245" t="str">
        <f>IF(ISNUMBER(SEARCH("R", 'WetLitterbags placem_collection'!$Y113)),"YES","NO")</f>
        <v>NO</v>
      </c>
      <c r="AB406" s="245" t="str">
        <f>IF(ISNUMBER(SEARCH("C", 'WetLitterbags placem_collection'!$W113)),"YES","NO")</f>
        <v>NO</v>
      </c>
      <c r="AC406" s="245" t="str">
        <f>IF(ISNUMBER(SEARCH("H", 'WetLitterbags placem_collection'!$W113)),"YES","NO")</f>
        <v>NO</v>
      </c>
      <c r="AD406" s="245" t="str">
        <f>IF(ISNUMBER(SEARCH("R", 'WetLitterbags placem_collection'!$W113)),"YES","NO")</f>
        <v>NO</v>
      </c>
    </row>
    <row r="407" spans="2:30">
      <c r="B407" t="str">
        <f>Wetseason!B553</f>
        <v>Wet</v>
      </c>
      <c r="C407" s="253">
        <f>Wetseason!C553</f>
        <v>112</v>
      </c>
      <c r="D407" t="s">
        <v>3118</v>
      </c>
      <c r="E407" t="s">
        <v>25</v>
      </c>
      <c r="F407" s="375">
        <v>8</v>
      </c>
      <c r="G407" s="16">
        <f>'WetLitterbags placem_collection'!E114</f>
        <v>42762</v>
      </c>
      <c r="H407" s="92" t="str">
        <f>Wetseason!L553</f>
        <v>G852</v>
      </c>
      <c r="I407" t="str">
        <f>Wetseason!L773</f>
        <v>R530</v>
      </c>
      <c r="J407">
        <f>IFERROR(INDEX('Green_rooibos initial weight'!$C$5:$C$2000,MATCH(H407, 'Green_rooibos initial weight'!$A$5:$A$2000,0)),"")</f>
        <v>2.0630000000000002</v>
      </c>
      <c r="K407">
        <f>IFERROR(INDEX('Green_rooibos initial weight'!$C$5:$C$2000,MATCH(I407, 'Green_rooibos initial weight'!$A$5:$A$2000,0)),"")</f>
        <v>2.1659999999999999</v>
      </c>
      <c r="L407" s="194">
        <f t="shared" si="47"/>
        <v>1.8132000000000001</v>
      </c>
      <c r="M407" s="194">
        <f t="shared" si="45"/>
        <v>1.9161999999999999</v>
      </c>
      <c r="N407" s="16">
        <f>IF('WetLitterbags placem_collection'!G114="","",'WetLitterbags placem_collection'!G114)</f>
        <v>42816</v>
      </c>
      <c r="O407" s="194">
        <f>IFERROR(INDEX('Both teabags AfterWet'!$C$3:$C$2000,MATCH(H407,'Both teabags AfterWet'!$A$3:$A$2000,0)),"")</f>
        <v>0.69799999999999995</v>
      </c>
      <c r="P407" s="194">
        <f>IFERROR(INDEX('Both teabags AfterWet'!$C$3:$C$2000,MATCH(I407,'Both teabags AfterWet'!$A$3:$A$2000,0)),"")</f>
        <v>1.627</v>
      </c>
      <c r="Q407" s="194">
        <f t="shared" si="48"/>
        <v>0.54739999999999989</v>
      </c>
      <c r="R407" s="194">
        <f t="shared" si="48"/>
        <v>1.4763999999999999</v>
      </c>
      <c r="S407" s="194">
        <f t="shared" si="49"/>
        <v>0.698102801676594</v>
      </c>
      <c r="T407" s="194">
        <f t="shared" si="50"/>
        <v>0.45766359444831345</v>
      </c>
      <c r="U407" s="194">
        <f t="shared" si="51"/>
        <v>0.77048324809518842</v>
      </c>
      <c r="V407">
        <f t="shared" si="46"/>
        <v>54</v>
      </c>
      <c r="W407" s="194">
        <f t="shared" si="52"/>
        <v>0.1708992854197221</v>
      </c>
      <c r="X407" s="194">
        <f t="shared" si="53"/>
        <v>1.2891572896339309E-2</v>
      </c>
      <c r="Y407" s="245" t="str">
        <f>IF(ISNUMBER(SEARCH("C",'WetLitterbags placem_collection'!$Y114)),"YES","NO")</f>
        <v>NO</v>
      </c>
      <c r="Z407" s="245" t="str">
        <f>IF(ISNUMBER(SEARCH("H", 'WetLitterbags placem_collection'!$Y114)),"YES","NO")</f>
        <v>NO</v>
      </c>
      <c r="AA407" s="245" t="str">
        <f>IF(ISNUMBER(SEARCH("R", 'WetLitterbags placem_collection'!$Y114)),"YES","NO")</f>
        <v>NO</v>
      </c>
      <c r="AB407" s="245" t="str">
        <f>IF(ISNUMBER(SEARCH("C", 'WetLitterbags placem_collection'!$W114)),"YES","NO")</f>
        <v>NO</v>
      </c>
      <c r="AC407" s="245" t="str">
        <f>IF(ISNUMBER(SEARCH("H", 'WetLitterbags placem_collection'!$W114)),"YES","NO")</f>
        <v>NO</v>
      </c>
      <c r="AD407" s="245" t="str">
        <f>IF(ISNUMBER(SEARCH("R", 'WetLitterbags placem_collection'!$W114)),"YES","NO")</f>
        <v>YES</v>
      </c>
    </row>
    <row r="408" spans="2:30">
      <c r="B408" t="str">
        <f>Wetseason!B554</f>
        <v>Wet</v>
      </c>
      <c r="C408" s="253">
        <f>Wetseason!C554</f>
        <v>113</v>
      </c>
      <c r="D408" t="s">
        <v>3119</v>
      </c>
      <c r="E408" t="s">
        <v>25</v>
      </c>
      <c r="F408" s="374">
        <v>1</v>
      </c>
      <c r="G408" s="16">
        <f>'WetLitterbags placem_collection'!E115</f>
        <v>42762</v>
      </c>
      <c r="H408" s="92" t="str">
        <f>Wetseason!L554</f>
        <v>G769</v>
      </c>
      <c r="I408" t="str">
        <f>Wetseason!L774</f>
        <v>R578</v>
      </c>
      <c r="J408">
        <f>IFERROR(INDEX('Green_rooibos initial weight'!$C$5:$C$2000,MATCH(H408, 'Green_rooibos initial weight'!$A$5:$A$2000,0)),"")</f>
        <v>2.0550000000000002</v>
      </c>
      <c r="K408">
        <f>IFERROR(INDEX('Green_rooibos initial weight'!$C$5:$C$2000,MATCH(I408, 'Green_rooibos initial weight'!$A$5:$A$2000,0)),"")</f>
        <v>2.1259999999999999</v>
      </c>
      <c r="L408" s="194">
        <f t="shared" si="47"/>
        <v>1.8052000000000001</v>
      </c>
      <c r="M408" s="194">
        <f t="shared" si="45"/>
        <v>1.8761999999999999</v>
      </c>
      <c r="N408" s="16">
        <f>IF('WetLitterbags placem_collection'!G115="","",'WetLitterbags placem_collection'!G115)</f>
        <v>42816</v>
      </c>
      <c r="O408" s="194">
        <f>IFERROR(INDEX('Both teabags AfterWet'!$C$3:$C$2000,MATCH(H408,'Both teabags AfterWet'!$A$3:$A$2000,0)),"")</f>
        <v>0.70799999999999996</v>
      </c>
      <c r="P408" s="194">
        <f>IFERROR(INDEX('Both teabags AfterWet'!$C$3:$C$2000,MATCH(I408,'Both teabags AfterWet'!$A$3:$A$2000,0)),"")</f>
        <v>1.421</v>
      </c>
      <c r="Q408" s="194">
        <f t="shared" si="48"/>
        <v>0.5573999999999999</v>
      </c>
      <c r="R408" s="194">
        <f t="shared" si="48"/>
        <v>1.2704</v>
      </c>
      <c r="S408" s="194">
        <f t="shared" si="49"/>
        <v>0.69122534899180155</v>
      </c>
      <c r="T408" s="194">
        <f t="shared" si="50"/>
        <v>0.45315486062170368</v>
      </c>
      <c r="U408" s="194">
        <f t="shared" si="51"/>
        <v>0.67711331414561349</v>
      </c>
      <c r="V408">
        <f t="shared" si="46"/>
        <v>54</v>
      </c>
      <c r="W408" s="194">
        <f t="shared" si="52"/>
        <v>0.1790672814824209</v>
      </c>
      <c r="X408" s="194">
        <f t="shared" si="53"/>
        <v>2.3085902116310231E-2</v>
      </c>
      <c r="Y408" s="245" t="str">
        <f>IF(ISNUMBER(SEARCH("C",'WetLitterbags placem_collection'!$Y115)),"YES","NO")</f>
        <v>NO</v>
      </c>
      <c r="Z408" s="245" t="str">
        <f>IF(ISNUMBER(SEARCH("H", 'WetLitterbags placem_collection'!$Y115)),"YES","NO")</f>
        <v>NO</v>
      </c>
      <c r="AA408" s="245" t="str">
        <f>IF(ISNUMBER(SEARCH("R", 'WetLitterbags placem_collection'!$Y115)),"YES","NO")</f>
        <v>YES</v>
      </c>
      <c r="AB408" s="245" t="str">
        <f>IF(ISNUMBER(SEARCH("C", 'WetLitterbags placem_collection'!$W115)),"YES","NO")</f>
        <v>NO</v>
      </c>
      <c r="AC408" s="245" t="str">
        <f>IF(ISNUMBER(SEARCH("H", 'WetLitterbags placem_collection'!$W115)),"YES","NO")</f>
        <v>YES</v>
      </c>
      <c r="AD408" s="245" t="str">
        <f>IF(ISNUMBER(SEARCH("R", 'WetLitterbags placem_collection'!$W115)),"YES","NO")</f>
        <v>YES</v>
      </c>
    </row>
    <row r="409" spans="2:30">
      <c r="B409" t="str">
        <f>Wetseason!B555</f>
        <v>Wet</v>
      </c>
      <c r="C409" s="253">
        <f>Wetseason!C555</f>
        <v>114</v>
      </c>
      <c r="D409" t="s">
        <v>3119</v>
      </c>
      <c r="E409" t="s">
        <v>25</v>
      </c>
      <c r="F409" s="374">
        <v>2</v>
      </c>
      <c r="G409" s="16">
        <f>'WetLitterbags placem_collection'!E116</f>
        <v>42762</v>
      </c>
      <c r="H409" s="92" t="str">
        <f>Wetseason!L555</f>
        <v>G889</v>
      </c>
      <c r="I409" t="str">
        <f>Wetseason!L775</f>
        <v>R37</v>
      </c>
      <c r="J409">
        <f>IFERROR(INDEX('Green_rooibos initial weight'!$C$5:$C$2000,MATCH(H409, 'Green_rooibos initial weight'!$A$5:$A$2000,0)),"")</f>
        <v>1.9830000000000001</v>
      </c>
      <c r="K409">
        <f>IFERROR(INDEX('Green_rooibos initial weight'!$C$5:$C$2000,MATCH(I409, 'Green_rooibos initial weight'!$A$5:$A$2000,0)),"")</f>
        <v>2.0979999999999999</v>
      </c>
      <c r="L409" s="194">
        <f t="shared" si="47"/>
        <v>1.7332000000000001</v>
      </c>
      <c r="M409" s="194">
        <f t="shared" si="45"/>
        <v>1.8481999999999998</v>
      </c>
      <c r="N409" s="16">
        <f>IF('WetLitterbags placem_collection'!G116="","",'WetLitterbags placem_collection'!G116)</f>
        <v>42816</v>
      </c>
      <c r="O409" s="194">
        <f>IFERROR(INDEX('Both teabags AfterWet'!$C$3:$C$2000,MATCH(H409,'Both teabags AfterWet'!$A$3:$A$2000,0)),"")</f>
        <v>0.65700000000000003</v>
      </c>
      <c r="P409" s="194">
        <f>IFERROR(INDEX('Both teabags AfterWet'!$C$3:$C$2000,MATCH(I409,'Both teabags AfterWet'!$A$3:$A$2000,0)),"")</f>
        <v>1.504</v>
      </c>
      <c r="Q409" s="194">
        <f t="shared" si="48"/>
        <v>0.50639999999999996</v>
      </c>
      <c r="R409" s="194">
        <f t="shared" si="48"/>
        <v>1.3533999999999999</v>
      </c>
      <c r="S409" s="194">
        <f t="shared" si="49"/>
        <v>0.7078236787445189</v>
      </c>
      <c r="T409" s="194">
        <f t="shared" si="50"/>
        <v>0.46403642597027844</v>
      </c>
      <c r="U409" s="194">
        <f t="shared" si="51"/>
        <v>0.73228005627096637</v>
      </c>
      <c r="V409">
        <f t="shared" si="46"/>
        <v>54</v>
      </c>
      <c r="W409" s="194">
        <f t="shared" si="52"/>
        <v>0.15935430077848112</v>
      </c>
      <c r="X409" s="194">
        <f t="shared" si="53"/>
        <v>1.59302776126528E-2</v>
      </c>
      <c r="Y409" s="245" t="str">
        <f>IF(ISNUMBER(SEARCH("C",'WetLitterbags placem_collection'!$Y116)),"YES","NO")</f>
        <v>NO</v>
      </c>
      <c r="Z409" s="245" t="str">
        <f>IF(ISNUMBER(SEARCH("H", 'WetLitterbags placem_collection'!$Y116)),"YES","NO")</f>
        <v>NO</v>
      </c>
      <c r="AA409" s="245" t="str">
        <f>IF(ISNUMBER(SEARCH("R", 'WetLitterbags placem_collection'!$Y116)),"YES","NO")</f>
        <v>NO</v>
      </c>
      <c r="AB409" s="245" t="str">
        <f>IF(ISNUMBER(SEARCH("C", 'WetLitterbags placem_collection'!$W116)),"YES","NO")</f>
        <v>NO</v>
      </c>
      <c r="AC409" s="245" t="str">
        <f>IF(ISNUMBER(SEARCH("H", 'WetLitterbags placem_collection'!$W116)),"YES","NO")</f>
        <v>YES</v>
      </c>
      <c r="AD409" s="245" t="str">
        <f>IF(ISNUMBER(SEARCH("R", 'WetLitterbags placem_collection'!$W116)),"YES","NO")</f>
        <v>YES</v>
      </c>
    </row>
    <row r="410" spans="2:30">
      <c r="B410" t="str">
        <f>Wetseason!B556</f>
        <v>Wet</v>
      </c>
      <c r="C410" s="253">
        <f>Wetseason!C556</f>
        <v>115</v>
      </c>
      <c r="D410" t="s">
        <v>3119</v>
      </c>
      <c r="E410" t="s">
        <v>25</v>
      </c>
      <c r="F410" s="374">
        <v>3</v>
      </c>
      <c r="G410" s="16">
        <f>'WetLitterbags placem_collection'!E117</f>
        <v>42762</v>
      </c>
      <c r="H410" s="92" t="str">
        <f>Wetseason!L556</f>
        <v>G778</v>
      </c>
      <c r="I410" t="str">
        <f>Wetseason!L776</f>
        <v>R522</v>
      </c>
      <c r="J410">
        <f>IFERROR(INDEX('Green_rooibos initial weight'!$C$5:$C$2000,MATCH(H410, 'Green_rooibos initial weight'!$A$5:$A$2000,0)),"")</f>
        <v>1.992</v>
      </c>
      <c r="K410">
        <f>IFERROR(INDEX('Green_rooibos initial weight'!$C$5:$C$2000,MATCH(I410, 'Green_rooibos initial weight'!$A$5:$A$2000,0)),"")</f>
        <v>2.1819999999999999</v>
      </c>
      <c r="L410" s="194">
        <f t="shared" si="47"/>
        <v>1.7422</v>
      </c>
      <c r="M410" s="194">
        <f t="shared" si="45"/>
        <v>1.9321999999999999</v>
      </c>
      <c r="N410" s="16">
        <f>IF('WetLitterbags placem_collection'!G117="","",'WetLitterbags placem_collection'!G117)</f>
        <v>42816</v>
      </c>
      <c r="O410" s="194">
        <f>IFERROR(INDEX('Both teabags AfterWet'!$C$3:$C$2000,MATCH(H410,'Both teabags AfterWet'!$A$3:$A$2000,0)),"")</f>
        <v>0.73709999999999998</v>
      </c>
      <c r="P410" s="194">
        <f>IFERROR(INDEX('Both teabags AfterWet'!$C$3:$C$2000,MATCH(I410,'Both teabags AfterWet'!$A$3:$A$2000,0)),"")</f>
        <v>1.401</v>
      </c>
      <c r="Q410" s="194">
        <f t="shared" si="48"/>
        <v>0.58650000000000002</v>
      </c>
      <c r="R410" s="194">
        <f t="shared" si="48"/>
        <v>1.2504</v>
      </c>
      <c r="S410" s="194">
        <f t="shared" si="49"/>
        <v>0.66335667546779931</v>
      </c>
      <c r="T410" s="194">
        <f t="shared" si="50"/>
        <v>0.43488466135181147</v>
      </c>
      <c r="U410" s="194">
        <f t="shared" si="51"/>
        <v>0.64713797743504808</v>
      </c>
      <c r="V410">
        <f t="shared" si="46"/>
        <v>54</v>
      </c>
      <c r="W410" s="194">
        <f t="shared" si="52"/>
        <v>0.21216546856555896</v>
      </c>
      <c r="X410" s="194">
        <f t="shared" si="53"/>
        <v>3.0890473290490935E-2</v>
      </c>
      <c r="Y410" s="245" t="str">
        <f>IF(ISNUMBER(SEARCH("C",'WetLitterbags placem_collection'!$Y117)),"YES","NO")</f>
        <v>NO</v>
      </c>
      <c r="Z410" s="245" t="str">
        <f>IF(ISNUMBER(SEARCH("H", 'WetLitterbags placem_collection'!$Y117)),"YES","NO")</f>
        <v>NO</v>
      </c>
      <c r="AA410" s="245" t="str">
        <f>IF(ISNUMBER(SEARCH("R", 'WetLitterbags placem_collection'!$Y117)),"YES","NO")</f>
        <v>YES</v>
      </c>
      <c r="AB410" s="245" t="str">
        <f>IF(ISNUMBER(SEARCH("C", 'WetLitterbags placem_collection'!$W117)),"YES","NO")</f>
        <v>NO</v>
      </c>
      <c r="AC410" s="245" t="str">
        <f>IF(ISNUMBER(SEARCH("H", 'WetLitterbags placem_collection'!$W117)),"YES","NO")</f>
        <v>YES</v>
      </c>
      <c r="AD410" s="245" t="str">
        <f>IF(ISNUMBER(SEARCH("R", 'WetLitterbags placem_collection'!$W117)),"YES","NO")</f>
        <v>YES</v>
      </c>
    </row>
    <row r="411" spans="2:30">
      <c r="B411" t="str">
        <f>Wetseason!B557</f>
        <v>Wet</v>
      </c>
      <c r="C411" s="253">
        <f>Wetseason!C557</f>
        <v>116</v>
      </c>
      <c r="D411" t="s">
        <v>3119</v>
      </c>
      <c r="E411" t="s">
        <v>25</v>
      </c>
      <c r="F411" s="375">
        <v>4</v>
      </c>
      <c r="G411" s="16">
        <f>'WetLitterbags placem_collection'!E118</f>
        <v>42762</v>
      </c>
      <c r="H411" s="92" t="str">
        <f>Wetseason!L557</f>
        <v>G563</v>
      </c>
      <c r="I411" t="str">
        <f>Wetseason!L777</f>
        <v>R480</v>
      </c>
      <c r="J411">
        <f>IFERROR(INDEX('Green_rooibos initial weight'!$C$5:$C$2000,MATCH(H411, 'Green_rooibos initial weight'!$A$5:$A$2000,0)),"")</f>
        <v>1.9390000000000001</v>
      </c>
      <c r="K411">
        <f>IFERROR(INDEX('Green_rooibos initial weight'!$C$5:$C$2000,MATCH(I411, 'Green_rooibos initial weight'!$A$5:$A$2000,0)),"")</f>
        <v>2.17</v>
      </c>
      <c r="L411" s="194">
        <f t="shared" si="47"/>
        <v>1.6892</v>
      </c>
      <c r="M411" s="194">
        <f t="shared" si="45"/>
        <v>1.9201999999999999</v>
      </c>
      <c r="N411" s="16">
        <f>IF('WetLitterbags placem_collection'!G118="","",'WetLitterbags placem_collection'!G118)</f>
        <v>42816</v>
      </c>
      <c r="O411" s="194">
        <f>IFERROR(INDEX('Both teabags AfterWet'!$C$3:$C$2000,MATCH(H411,'Both teabags AfterWet'!$A$3:$A$2000,0)),"")</f>
        <v>0.61660000000000004</v>
      </c>
      <c r="P411" s="194">
        <f>IFERROR(INDEX('Both teabags AfterWet'!$C$3:$C$2000,MATCH(I411,'Both teabags AfterWet'!$A$3:$A$2000,0)),"")</f>
        <v>1.4859</v>
      </c>
      <c r="Q411" s="194">
        <f t="shared" si="48"/>
        <v>0.46600000000000003</v>
      </c>
      <c r="R411" s="194">
        <f t="shared" si="48"/>
        <v>1.3352999999999999</v>
      </c>
      <c r="S411" s="194">
        <f t="shared" si="49"/>
        <v>0.72412976556950037</v>
      </c>
      <c r="T411" s="194">
        <f t="shared" si="50"/>
        <v>0.47472640213107392</v>
      </c>
      <c r="U411" s="194">
        <f t="shared" si="51"/>
        <v>0.69539631288407455</v>
      </c>
      <c r="V411">
        <f t="shared" si="46"/>
        <v>54</v>
      </c>
      <c r="W411" s="194">
        <f t="shared" si="52"/>
        <v>0.13998840193646034</v>
      </c>
      <c r="X411" s="194">
        <f t="shared" si="53"/>
        <v>1.9004048387074257E-2</v>
      </c>
      <c r="Y411" s="245" t="str">
        <f>IF(ISNUMBER(SEARCH("C",'WetLitterbags placem_collection'!$Y118)),"YES","NO")</f>
        <v>NO</v>
      </c>
      <c r="Z411" s="245" t="str">
        <f>IF(ISNUMBER(SEARCH("H", 'WetLitterbags placem_collection'!$Y118)),"YES","NO")</f>
        <v>NO</v>
      </c>
      <c r="AA411" s="245" t="str">
        <f>IF(ISNUMBER(SEARCH("R", 'WetLitterbags placem_collection'!$Y118)),"YES","NO")</f>
        <v>YES</v>
      </c>
      <c r="AB411" s="245" t="str">
        <f>IF(ISNUMBER(SEARCH("C", 'WetLitterbags placem_collection'!$W118)),"YES","NO")</f>
        <v>NO</v>
      </c>
      <c r="AC411" s="245" t="str">
        <f>IF(ISNUMBER(SEARCH("H", 'WetLitterbags placem_collection'!$W118)),"YES","NO")</f>
        <v>YES</v>
      </c>
      <c r="AD411" s="245" t="str">
        <f>IF(ISNUMBER(SEARCH("R", 'WetLitterbags placem_collection'!$W118)),"YES","NO")</f>
        <v>YES</v>
      </c>
    </row>
    <row r="412" spans="2:30">
      <c r="B412" t="str">
        <f>Wetseason!B558</f>
        <v>Wet</v>
      </c>
      <c r="C412" s="253">
        <f>Wetseason!C558</f>
        <v>117</v>
      </c>
      <c r="D412" t="s">
        <v>3119</v>
      </c>
      <c r="E412" t="s">
        <v>25</v>
      </c>
      <c r="F412" s="375">
        <v>5</v>
      </c>
      <c r="G412" s="16">
        <f>'WetLitterbags placem_collection'!E119</f>
        <v>42762</v>
      </c>
      <c r="H412" s="92" t="str">
        <f>Wetseason!L558</f>
        <v>G901</v>
      </c>
      <c r="I412" t="str">
        <f>Wetseason!L778</f>
        <v>R565</v>
      </c>
      <c r="J412">
        <f>IFERROR(INDEX('Green_rooibos initial weight'!$C$5:$C$2000,MATCH(H412, 'Green_rooibos initial weight'!$A$5:$A$2000,0)),"")</f>
        <v>2.0270000000000001</v>
      </c>
      <c r="K412">
        <f>IFERROR(INDEX('Green_rooibos initial weight'!$C$5:$C$2000,MATCH(I412, 'Green_rooibos initial weight'!$A$5:$A$2000,0)),"")</f>
        <v>2.0649999999999999</v>
      </c>
      <c r="L412" s="194">
        <f t="shared" si="47"/>
        <v>1.7772000000000001</v>
      </c>
      <c r="M412" s="194">
        <f t="shared" si="45"/>
        <v>1.8151999999999999</v>
      </c>
      <c r="N412" s="16">
        <f>IF('WetLitterbags placem_collection'!G119="","",'WetLitterbags placem_collection'!G119)</f>
        <v>42816</v>
      </c>
      <c r="O412" s="194">
        <f>IFERROR(INDEX('Both teabags AfterWet'!$C$3:$C$2000,MATCH(H412,'Both teabags AfterWet'!$A$3:$A$2000,0)),"")</f>
        <v>0.621</v>
      </c>
      <c r="P412" s="194">
        <f>IFERROR(INDEX('Both teabags AfterWet'!$C$3:$C$2000,MATCH(I412,'Both teabags AfterWet'!$A$3:$A$2000,0)),"")</f>
        <v>1.343</v>
      </c>
      <c r="Q412" s="194">
        <f t="shared" si="48"/>
        <v>0.47039999999999998</v>
      </c>
      <c r="R412" s="194">
        <f t="shared" si="48"/>
        <v>1.1923999999999999</v>
      </c>
      <c r="S412" s="194">
        <f t="shared" si="49"/>
        <v>0.73531397704253887</v>
      </c>
      <c r="T412" s="194">
        <f t="shared" si="50"/>
        <v>0.48205856927254337</v>
      </c>
      <c r="U412" s="194">
        <f t="shared" si="51"/>
        <v>0.65689731159100928</v>
      </c>
      <c r="V412">
        <f t="shared" si="46"/>
        <v>54</v>
      </c>
      <c r="W412" s="194">
        <f t="shared" si="52"/>
        <v>0.12670549044829105</v>
      </c>
      <c r="X412" s="194">
        <f t="shared" si="53"/>
        <v>2.303535445914769E-2</v>
      </c>
      <c r="Y412" s="245" t="str">
        <f>IF(ISNUMBER(SEARCH("C",'WetLitterbags placem_collection'!$Y119)),"YES","NO")</f>
        <v>NO</v>
      </c>
      <c r="Z412" s="245" t="str">
        <f>IF(ISNUMBER(SEARCH("H", 'WetLitterbags placem_collection'!$Y119)),"YES","NO")</f>
        <v>NO</v>
      </c>
      <c r="AA412" s="245" t="str">
        <f>IF(ISNUMBER(SEARCH("R", 'WetLitterbags placem_collection'!$Y119)),"YES","NO")</f>
        <v>NO</v>
      </c>
      <c r="AB412" s="245" t="str">
        <f>IF(ISNUMBER(SEARCH("C", 'WetLitterbags placem_collection'!$W119)),"YES","NO")</f>
        <v>NO</v>
      </c>
      <c r="AC412" s="245" t="str">
        <f>IF(ISNUMBER(SEARCH("H", 'WetLitterbags placem_collection'!$W119)),"YES","NO")</f>
        <v>YES</v>
      </c>
      <c r="AD412" s="245" t="str">
        <f>IF(ISNUMBER(SEARCH("R", 'WetLitterbags placem_collection'!$W119)),"YES","NO")</f>
        <v>YES</v>
      </c>
    </row>
    <row r="413" spans="2:30">
      <c r="B413" t="str">
        <f>Wetseason!B559</f>
        <v>Wet</v>
      </c>
      <c r="C413" s="253">
        <f>Wetseason!C559</f>
        <v>118</v>
      </c>
      <c r="D413" t="s">
        <v>3119</v>
      </c>
      <c r="E413" t="s">
        <v>25</v>
      </c>
      <c r="F413" s="375">
        <v>6</v>
      </c>
      <c r="G413" s="16">
        <f>'WetLitterbags placem_collection'!E120</f>
        <v>42762</v>
      </c>
      <c r="H413" s="92" t="str">
        <f>Wetseason!L559</f>
        <v>G791</v>
      </c>
      <c r="I413" t="str">
        <f>Wetseason!L779</f>
        <v>R544</v>
      </c>
      <c r="J413">
        <f>IFERROR(INDEX('Green_rooibos initial weight'!$C$5:$C$2000,MATCH(H413, 'Green_rooibos initial weight'!$A$5:$A$2000,0)),"")</f>
        <v>2.0680000000000001</v>
      </c>
      <c r="K413">
        <f>IFERROR(INDEX('Green_rooibos initial weight'!$C$5:$C$2000,MATCH(I413, 'Green_rooibos initial weight'!$A$5:$A$2000,0)),"")</f>
        <v>2.2109999999999999</v>
      </c>
      <c r="L413" s="194">
        <f t="shared" si="47"/>
        <v>1.8182</v>
      </c>
      <c r="M413" s="194">
        <f t="shared" si="45"/>
        <v>1.9611999999999998</v>
      </c>
      <c r="N413" s="16">
        <f>IF('WetLitterbags placem_collection'!G120="","",'WetLitterbags placem_collection'!G120)</f>
        <v>42816</v>
      </c>
      <c r="O413" s="194">
        <f>IFERROR(INDEX('Both teabags AfterWet'!$C$3:$C$2000,MATCH(H413,'Both teabags AfterWet'!$A$3:$A$2000,0)),"")</f>
        <v>0.64600000000000002</v>
      </c>
      <c r="P413" s="194">
        <f>IFERROR(INDEX('Both teabags AfterWet'!$C$3:$C$2000,MATCH(I413,'Both teabags AfterWet'!$A$3:$A$2000,0)),"")</f>
        <v>1.599</v>
      </c>
      <c r="Q413" s="194">
        <f t="shared" si="48"/>
        <v>0.49540000000000001</v>
      </c>
      <c r="R413" s="194">
        <f t="shared" si="48"/>
        <v>1.4483999999999999</v>
      </c>
      <c r="S413" s="194">
        <f t="shared" si="49"/>
        <v>0.72753272467275321</v>
      </c>
      <c r="T413" s="194">
        <f t="shared" si="50"/>
        <v>0.47695732068807578</v>
      </c>
      <c r="U413" s="194">
        <f t="shared" si="51"/>
        <v>0.73852743218437689</v>
      </c>
      <c r="V413">
        <f t="shared" si="46"/>
        <v>54</v>
      </c>
      <c r="W413" s="194">
        <f t="shared" si="52"/>
        <v>0.13594688281145695</v>
      </c>
      <c r="X413" s="194">
        <f t="shared" si="53"/>
        <v>1.4713645513482476E-2</v>
      </c>
      <c r="Y413" s="245" t="str">
        <f>IF(ISNUMBER(SEARCH("C",'WetLitterbags placem_collection'!$Y120)),"YES","NO")</f>
        <v>NO</v>
      </c>
      <c r="Z413" s="245" t="str">
        <f>IF(ISNUMBER(SEARCH("H", 'WetLitterbags placem_collection'!$Y120)),"YES","NO")</f>
        <v>NO</v>
      </c>
      <c r="AA413" s="245" t="str">
        <f>IF(ISNUMBER(SEARCH("R", 'WetLitterbags placem_collection'!$Y120)),"YES","NO")</f>
        <v>NO</v>
      </c>
      <c r="AB413" s="245" t="str">
        <f>IF(ISNUMBER(SEARCH("C", 'WetLitterbags placem_collection'!$W120)),"YES","NO")</f>
        <v>NO</v>
      </c>
      <c r="AC413" s="245" t="str">
        <f>IF(ISNUMBER(SEARCH("H", 'WetLitterbags placem_collection'!$W120)),"YES","NO")</f>
        <v>YES</v>
      </c>
      <c r="AD413" s="245" t="str">
        <f>IF(ISNUMBER(SEARCH("R", 'WetLitterbags placem_collection'!$W120)),"YES","NO")</f>
        <v>NO</v>
      </c>
    </row>
    <row r="414" spans="2:30">
      <c r="B414" t="str">
        <f>Wetseason!B560</f>
        <v>Wet</v>
      </c>
      <c r="C414" s="253">
        <f>Wetseason!C560</f>
        <v>119</v>
      </c>
      <c r="D414" t="s">
        <v>3119</v>
      </c>
      <c r="E414" t="s">
        <v>25</v>
      </c>
      <c r="F414" s="375">
        <v>7</v>
      </c>
      <c r="G414" s="16">
        <f>'WetLitterbags placem_collection'!E121</f>
        <v>42762</v>
      </c>
      <c r="H414" s="92" t="str">
        <f>Wetseason!L560</f>
        <v>G802</v>
      </c>
      <c r="I414" t="str">
        <f>Wetseason!L780</f>
        <v>R526</v>
      </c>
      <c r="J414">
        <f>IFERROR(INDEX('Green_rooibos initial weight'!$C$5:$C$2000,MATCH(H414, 'Green_rooibos initial weight'!$A$5:$A$2000,0)),"")</f>
        <v>2.194</v>
      </c>
      <c r="K414">
        <f>IFERROR(INDEX('Green_rooibos initial weight'!$C$5:$C$2000,MATCH(I414, 'Green_rooibos initial weight'!$A$5:$A$2000,0)),"")</f>
        <v>2.0960000000000001</v>
      </c>
      <c r="L414" s="194">
        <f t="shared" si="47"/>
        <v>1.9441999999999999</v>
      </c>
      <c r="M414" s="194">
        <f t="shared" si="45"/>
        <v>1.8462000000000001</v>
      </c>
      <c r="N414" s="16">
        <f>IF('WetLitterbags placem_collection'!G121="","",'WetLitterbags placem_collection'!G121)</f>
        <v>42816</v>
      </c>
      <c r="O414" s="194">
        <f>IFERROR(INDEX('Both teabags AfterWet'!$C$3:$C$2000,MATCH(H414,'Both teabags AfterWet'!$A$3:$A$2000,0)),"")</f>
        <v>0.65200000000000002</v>
      </c>
      <c r="P414" s="194">
        <f>IFERROR(INDEX('Both teabags AfterWet'!$C$3:$C$2000,MATCH(I414,'Both teabags AfterWet'!$A$3:$A$2000,0)),"")</f>
        <v>1.3</v>
      </c>
      <c r="Q414" s="194">
        <f t="shared" si="48"/>
        <v>0.50140000000000007</v>
      </c>
      <c r="R414" s="194">
        <f t="shared" si="48"/>
        <v>1.1494</v>
      </c>
      <c r="S414" s="194">
        <f t="shared" si="49"/>
        <v>0.74210472173644682</v>
      </c>
      <c r="T414" s="194">
        <f t="shared" si="50"/>
        <v>0.48651045890560413</v>
      </c>
      <c r="U414" s="194">
        <f t="shared" si="51"/>
        <v>0.62257610226410998</v>
      </c>
      <c r="V414">
        <f t="shared" si="46"/>
        <v>54</v>
      </c>
      <c r="W414" s="194">
        <f t="shared" si="52"/>
        <v>0.11864047299709402</v>
      </c>
      <c r="X414" s="194">
        <f t="shared" si="53"/>
        <v>2.7687346174447333E-2</v>
      </c>
      <c r="Y414" s="245" t="str">
        <f>IF(ISNUMBER(SEARCH("C",'WetLitterbags placem_collection'!$Y121)),"YES","NO")</f>
        <v>NO</v>
      </c>
      <c r="Z414" s="245" t="str">
        <f>IF(ISNUMBER(SEARCH("H", 'WetLitterbags placem_collection'!$Y121)),"YES","NO")</f>
        <v>NO</v>
      </c>
      <c r="AA414" s="245" t="str">
        <f>IF(ISNUMBER(SEARCH("R", 'WetLitterbags placem_collection'!$Y121)),"YES","NO")</f>
        <v>YES</v>
      </c>
      <c r="AB414" s="245" t="str">
        <f>IF(ISNUMBER(SEARCH("C", 'WetLitterbags placem_collection'!$W121)),"YES","NO")</f>
        <v>NO</v>
      </c>
      <c r="AC414" s="245" t="str">
        <f>IF(ISNUMBER(SEARCH("H", 'WetLitterbags placem_collection'!$W121)),"YES","NO")</f>
        <v>YES</v>
      </c>
      <c r="AD414" s="245" t="str">
        <f>IF(ISNUMBER(SEARCH("R", 'WetLitterbags placem_collection'!$W121)),"YES","NO")</f>
        <v>NO</v>
      </c>
    </row>
    <row r="415" spans="2:30">
      <c r="B415" t="str">
        <f>Wetseason!B561</f>
        <v>Wet</v>
      </c>
      <c r="C415" s="253">
        <f>Wetseason!C561</f>
        <v>120</v>
      </c>
      <c r="D415" t="s">
        <v>3119</v>
      </c>
      <c r="E415" t="s">
        <v>25</v>
      </c>
      <c r="F415" s="375">
        <v>8</v>
      </c>
      <c r="G415" s="16">
        <f>'WetLitterbags placem_collection'!E122</f>
        <v>42762</v>
      </c>
      <c r="H415" s="92" t="str">
        <f>Wetseason!L561</f>
        <v>G698</v>
      </c>
      <c r="I415" t="str">
        <f>Wetseason!L781</f>
        <v>R594</v>
      </c>
      <c r="J415">
        <f>IFERROR(INDEX('Green_rooibos initial weight'!$C$5:$C$2000,MATCH(H415, 'Green_rooibos initial weight'!$A$5:$A$2000,0)),"")</f>
        <v>2.085</v>
      </c>
      <c r="K415">
        <f>IFERROR(INDEX('Green_rooibos initial weight'!$C$5:$C$2000,MATCH(I415, 'Green_rooibos initial weight'!$A$5:$A$2000,0)),"")</f>
        <v>2.2400000000000002</v>
      </c>
      <c r="L415" s="194">
        <f t="shared" si="47"/>
        <v>1.8351999999999999</v>
      </c>
      <c r="M415" s="194">
        <f t="shared" si="45"/>
        <v>1.9902000000000002</v>
      </c>
      <c r="N415" s="16">
        <f>IF('WetLitterbags placem_collection'!G122="","",'WetLitterbags placem_collection'!G122)</f>
        <v>42816</v>
      </c>
      <c r="O415" s="194">
        <f>IFERROR(INDEX('Both teabags AfterWet'!$C$3:$C$2000,MATCH(H415,'Both teabags AfterWet'!$A$3:$A$2000,0)),"")</f>
        <v>0.55310000000000004</v>
      </c>
      <c r="P415" s="194">
        <f>IFERROR(INDEX('Both teabags AfterWet'!$C$3:$C$2000,MATCH(I415,'Both teabags AfterWet'!$A$3:$A$2000,0)),"")</f>
        <v>1.4142999999999999</v>
      </c>
      <c r="Q415" s="194">
        <f t="shared" si="48"/>
        <v>0.40250000000000002</v>
      </c>
      <c r="R415" s="194">
        <f t="shared" si="48"/>
        <v>1.2636999999999998</v>
      </c>
      <c r="S415" s="194">
        <f t="shared" si="49"/>
        <v>0.78067785527462941</v>
      </c>
      <c r="T415" s="194">
        <f t="shared" si="50"/>
        <v>0.51179830892113476</v>
      </c>
      <c r="U415" s="194">
        <f t="shared" si="51"/>
        <v>0.63496131042106307</v>
      </c>
      <c r="V415">
        <f t="shared" si="46"/>
        <v>54</v>
      </c>
      <c r="W415" s="194">
        <f t="shared" si="52"/>
        <v>7.2829150505190676E-2</v>
      </c>
      <c r="X415" s="194">
        <f t="shared" si="53"/>
        <v>2.3132122477795371E-2</v>
      </c>
      <c r="Y415" s="245" t="str">
        <f>IF(ISNUMBER(SEARCH("C",'WetLitterbags placem_collection'!$Y122)),"YES","NO")</f>
        <v>NO</v>
      </c>
      <c r="Z415" s="245" t="str">
        <f>IF(ISNUMBER(SEARCH("H", 'WetLitterbags placem_collection'!$Y122)),"YES","NO")</f>
        <v>NO</v>
      </c>
      <c r="AA415" s="245" t="str">
        <f>IF(ISNUMBER(SEARCH("R", 'WetLitterbags placem_collection'!$Y122)),"YES","NO")</f>
        <v>YES</v>
      </c>
      <c r="AB415" s="245" t="str">
        <f>IF(ISNUMBER(SEARCH("C", 'WetLitterbags placem_collection'!$W122)),"YES","NO")</f>
        <v>NO</v>
      </c>
      <c r="AC415" s="245" t="str">
        <f>IF(ISNUMBER(SEARCH("H", 'WetLitterbags placem_collection'!$W122)),"YES","NO")</f>
        <v>YES</v>
      </c>
      <c r="AD415" s="245" t="str">
        <f>IF(ISNUMBER(SEARCH("R", 'WetLitterbags placem_collection'!$W122)),"YES","NO")</f>
        <v>NO</v>
      </c>
    </row>
    <row r="416" spans="2:30">
      <c r="B416" t="str">
        <f>Wetseason!B562</f>
        <v>Wet</v>
      </c>
      <c r="C416" s="253">
        <f>Wetseason!C562</f>
        <v>121</v>
      </c>
      <c r="D416" t="s">
        <v>3120</v>
      </c>
      <c r="E416" t="s">
        <v>25</v>
      </c>
      <c r="F416" s="374">
        <v>1</v>
      </c>
      <c r="G416" s="16">
        <f>'WetLitterbags placem_collection'!E123</f>
        <v>42762</v>
      </c>
      <c r="H416" s="92" t="str">
        <f>Wetseason!L562</f>
        <v>G825</v>
      </c>
      <c r="I416" t="str">
        <f>Wetseason!L782</f>
        <v>R564</v>
      </c>
      <c r="J416">
        <f>IFERROR(INDEX('Green_rooibos initial weight'!$C$5:$C$2000,MATCH(H416, 'Green_rooibos initial weight'!$A$5:$A$2000,0)),"")</f>
        <v>2.1240000000000001</v>
      </c>
      <c r="K416">
        <f>IFERROR(INDEX('Green_rooibos initial weight'!$C$5:$C$2000,MATCH(I416, 'Green_rooibos initial weight'!$A$5:$A$2000,0)),"")</f>
        <v>2.145</v>
      </c>
      <c r="L416" s="194">
        <f t="shared" si="47"/>
        <v>1.8742000000000001</v>
      </c>
      <c r="M416" s="194">
        <f t="shared" si="45"/>
        <v>1.8952</v>
      </c>
      <c r="N416" s="16">
        <f>IF('WetLitterbags placem_collection'!G123="","",'WetLitterbags placem_collection'!G123)</f>
        <v>42816</v>
      </c>
      <c r="O416" s="194">
        <f>IFERROR(INDEX('Both teabags AfterWet'!$C$3:$C$2000,MATCH(H416,'Both teabags AfterWet'!$A$3:$A$2000,0)),"")</f>
        <v>0.61199999999999999</v>
      </c>
      <c r="P416" s="194">
        <f>IFERROR(INDEX('Both teabags AfterWet'!$C$3:$C$2000,MATCH(I416,'Both teabags AfterWet'!$A$3:$A$2000,0)),"")</f>
        <v>1.53</v>
      </c>
      <c r="Q416" s="194">
        <f t="shared" si="48"/>
        <v>0.46139999999999998</v>
      </c>
      <c r="R416" s="194">
        <f t="shared" si="48"/>
        <v>1.3794</v>
      </c>
      <c r="S416" s="194">
        <f t="shared" si="49"/>
        <v>0.75381496105004808</v>
      </c>
      <c r="T416" s="194">
        <f t="shared" si="50"/>
        <v>0.49418748040335697</v>
      </c>
      <c r="U416" s="194">
        <f t="shared" si="51"/>
        <v>0.72783875052764879</v>
      </c>
      <c r="V416">
        <f t="shared" si="46"/>
        <v>54</v>
      </c>
      <c r="W416" s="194">
        <f t="shared" si="52"/>
        <v>0.1047328253562374</v>
      </c>
      <c r="X416" s="194">
        <f t="shared" si="53"/>
        <v>1.481702644329176E-2</v>
      </c>
      <c r="Y416" s="245" t="str">
        <f>IF(ISNUMBER(SEARCH("C",'WetLitterbags placem_collection'!$Y123)),"YES","NO")</f>
        <v>NO</v>
      </c>
      <c r="Z416" s="245" t="str">
        <f>IF(ISNUMBER(SEARCH("H", 'WetLitterbags placem_collection'!$Y123)),"YES","NO")</f>
        <v>NO</v>
      </c>
      <c r="AA416" s="245" t="str">
        <f>IF(ISNUMBER(SEARCH("R", 'WetLitterbags placem_collection'!$Y123)),"YES","NO")</f>
        <v>YES</v>
      </c>
      <c r="AB416" s="245" t="str">
        <f>IF(ISNUMBER(SEARCH("C", 'WetLitterbags placem_collection'!$W123)),"YES","NO")</f>
        <v>YES</v>
      </c>
      <c r="AC416" s="245" t="str">
        <f>IF(ISNUMBER(SEARCH("H", 'WetLitterbags placem_collection'!$W123)),"YES","NO")</f>
        <v>NO</v>
      </c>
      <c r="AD416" s="245" t="str">
        <f>IF(ISNUMBER(SEARCH("R", 'WetLitterbags placem_collection'!$W123)),"YES","NO")</f>
        <v>YES</v>
      </c>
    </row>
    <row r="417" spans="2:30">
      <c r="B417" t="str">
        <f>Wetseason!B563</f>
        <v>Wet</v>
      </c>
      <c r="C417" s="253">
        <f>Wetseason!C563</f>
        <v>122</v>
      </c>
      <c r="D417" t="s">
        <v>3120</v>
      </c>
      <c r="E417" t="s">
        <v>25</v>
      </c>
      <c r="F417" s="374">
        <v>2</v>
      </c>
      <c r="G417" s="16">
        <f>'WetLitterbags placem_collection'!E124</f>
        <v>42762</v>
      </c>
      <c r="H417" s="92" t="str">
        <f>Wetseason!L563</f>
        <v>G839</v>
      </c>
      <c r="I417" t="str">
        <f>Wetseason!L783</f>
        <v>R429</v>
      </c>
      <c r="J417">
        <f>IFERROR(INDEX('Green_rooibos initial weight'!$C$5:$C$2000,MATCH(H417, 'Green_rooibos initial weight'!$A$5:$A$2000,0)),"")</f>
        <v>2.0230000000000001</v>
      </c>
      <c r="K417">
        <f>IFERROR(INDEX('Green_rooibos initial weight'!$C$5:$C$2000,MATCH(I417, 'Green_rooibos initial weight'!$A$5:$A$2000,0)),"")</f>
        <v>2.21</v>
      </c>
      <c r="L417" s="194">
        <f t="shared" si="47"/>
        <v>1.7732000000000001</v>
      </c>
      <c r="M417" s="194">
        <f t="shared" si="45"/>
        <v>1.9601999999999999</v>
      </c>
      <c r="N417" s="16">
        <f>IF('WetLitterbags placem_collection'!G124="","",'WetLitterbags placem_collection'!G124)</f>
        <v>42816</v>
      </c>
      <c r="O417" s="194">
        <f>IFERROR(INDEX('Both teabags AfterWet'!$C$3:$C$2000,MATCH(H417,'Both teabags AfterWet'!$A$3:$A$2000,0)),"")</f>
        <v>0.64200000000000002</v>
      </c>
      <c r="P417" s="194">
        <f>IFERROR(INDEX('Both teabags AfterWet'!$C$3:$C$2000,MATCH(I417,'Both teabags AfterWet'!$A$3:$A$2000,0)),"")</f>
        <v>1.2190000000000001</v>
      </c>
      <c r="Q417" s="194">
        <f t="shared" si="48"/>
        <v>0.4914</v>
      </c>
      <c r="R417" s="194">
        <f t="shared" si="48"/>
        <v>1.0684</v>
      </c>
      <c r="S417" s="194">
        <f t="shared" si="49"/>
        <v>0.72287390029325516</v>
      </c>
      <c r="T417" s="194">
        <f t="shared" si="50"/>
        <v>0.4739030795271697</v>
      </c>
      <c r="U417" s="194">
        <f t="shared" si="51"/>
        <v>0.54504642383430268</v>
      </c>
      <c r="V417">
        <f t="shared" si="46"/>
        <v>54</v>
      </c>
      <c r="W417" s="194">
        <f t="shared" si="52"/>
        <v>0.14147992839280854</v>
      </c>
      <c r="X417" s="194">
        <f t="shared" si="53"/>
        <v>5.9615279701277751E-2</v>
      </c>
      <c r="Y417" s="245" t="str">
        <f>IF(ISNUMBER(SEARCH("C",'WetLitterbags placem_collection'!$Y124)),"YES","NO")</f>
        <v>NO</v>
      </c>
      <c r="Z417" s="245" t="str">
        <f>IF(ISNUMBER(SEARCH("H", 'WetLitterbags placem_collection'!$Y124)),"YES","NO")</f>
        <v>NO</v>
      </c>
      <c r="AA417" s="245" t="str">
        <f>IF(ISNUMBER(SEARCH("R", 'WetLitterbags placem_collection'!$Y124)),"YES","NO")</f>
        <v>YES</v>
      </c>
      <c r="AB417" s="245" t="str">
        <f>IF(ISNUMBER(SEARCH("C", 'WetLitterbags placem_collection'!$W124)),"YES","NO")</f>
        <v>NO</v>
      </c>
      <c r="AC417" s="245" t="str">
        <f>IF(ISNUMBER(SEARCH("H", 'WetLitterbags placem_collection'!$W124)),"YES","NO")</f>
        <v>NO</v>
      </c>
      <c r="AD417" s="245" t="str">
        <f>IF(ISNUMBER(SEARCH("R", 'WetLitterbags placem_collection'!$W124)),"YES","NO")</f>
        <v>YES</v>
      </c>
    </row>
    <row r="418" spans="2:30">
      <c r="B418" t="str">
        <f>Wetseason!B564</f>
        <v>Wet</v>
      </c>
      <c r="C418" s="253">
        <f>Wetseason!C564</f>
        <v>123</v>
      </c>
      <c r="D418" t="s">
        <v>3120</v>
      </c>
      <c r="E418" t="s">
        <v>25</v>
      </c>
      <c r="F418" s="374">
        <v>3</v>
      </c>
      <c r="G418" s="16">
        <f>'WetLitterbags placem_collection'!E125</f>
        <v>42762</v>
      </c>
      <c r="H418" s="92" t="str">
        <f>Wetseason!L564</f>
        <v>G895</v>
      </c>
      <c r="I418" t="str">
        <f>Wetseason!L784</f>
        <v>R466</v>
      </c>
      <c r="J418">
        <f>IFERROR(INDEX('Green_rooibos initial weight'!$C$5:$C$2000,MATCH(H418, 'Green_rooibos initial weight'!$A$5:$A$2000,0)),"")</f>
        <v>1.9259999999999999</v>
      </c>
      <c r="K418">
        <f>IFERROR(INDEX('Green_rooibos initial weight'!$C$5:$C$2000,MATCH(I418, 'Green_rooibos initial weight'!$A$5:$A$2000,0)),"")</f>
        <v>2.2269999999999999</v>
      </c>
      <c r="L418" s="194">
        <f t="shared" si="47"/>
        <v>1.6761999999999999</v>
      </c>
      <c r="M418" s="194">
        <f t="shared" si="45"/>
        <v>1.9771999999999998</v>
      </c>
      <c r="N418" s="16">
        <f>IF('WetLitterbags placem_collection'!G125="","",'WetLitterbags placem_collection'!G125)</f>
        <v>42816</v>
      </c>
      <c r="O418" s="194">
        <f>IFERROR(INDEX('Both teabags AfterWet'!$C$3:$C$2000,MATCH(H418,'Both teabags AfterWet'!$A$3:$A$2000,0)),"")</f>
        <v>0.878</v>
      </c>
      <c r="P418" s="194">
        <f>IFERROR(INDEX('Both teabags AfterWet'!$C$3:$C$2000,MATCH(I418,'Both teabags AfterWet'!$A$3:$A$2000,0)),"")</f>
        <v>1.5760000000000001</v>
      </c>
      <c r="Q418" s="194">
        <f t="shared" si="48"/>
        <v>0.72740000000000005</v>
      </c>
      <c r="R418" s="194">
        <f t="shared" si="48"/>
        <v>1.4254</v>
      </c>
      <c r="S418" s="194">
        <f t="shared" si="49"/>
        <v>0.56604223839637269</v>
      </c>
      <c r="T418" s="194">
        <f t="shared" si="50"/>
        <v>0.37108707315296646</v>
      </c>
      <c r="U418" s="194">
        <f t="shared" si="51"/>
        <v>0.72091847056443459</v>
      </c>
      <c r="V418">
        <f t="shared" si="46"/>
        <v>54</v>
      </c>
      <c r="W418" s="194">
        <f t="shared" si="52"/>
        <v>0.32774080950549556</v>
      </c>
      <c r="X418" s="194">
        <f t="shared" si="53"/>
        <v>2.5825701862298347E-2</v>
      </c>
      <c r="Y418" s="245" t="str">
        <f>IF(ISNUMBER(SEARCH("C",'WetLitterbags placem_collection'!$Y125)),"YES","NO")</f>
        <v>NO</v>
      </c>
      <c r="Z418" s="245" t="str">
        <f>IF(ISNUMBER(SEARCH("H", 'WetLitterbags placem_collection'!$Y125)),"YES","NO")</f>
        <v>NO</v>
      </c>
      <c r="AA418" s="245" t="str">
        <f>IF(ISNUMBER(SEARCH("R", 'WetLitterbags placem_collection'!$Y125)),"YES","NO")</f>
        <v>NO</v>
      </c>
      <c r="AB418" s="245" t="str">
        <f>IF(ISNUMBER(SEARCH("C", 'WetLitterbags placem_collection'!$W125)),"YES","NO")</f>
        <v>YES</v>
      </c>
      <c r="AC418" s="245" t="str">
        <f>IF(ISNUMBER(SEARCH("H", 'WetLitterbags placem_collection'!$W125)),"YES","NO")</f>
        <v>YES</v>
      </c>
      <c r="AD418" s="245" t="str">
        <f>IF(ISNUMBER(SEARCH("R", 'WetLitterbags placem_collection'!$W125)),"YES","NO")</f>
        <v>NO</v>
      </c>
    </row>
    <row r="419" spans="2:30">
      <c r="B419" t="str">
        <f>Wetseason!B565</f>
        <v>Wet</v>
      </c>
      <c r="C419" s="253">
        <f>Wetseason!C565</f>
        <v>124</v>
      </c>
      <c r="D419" t="s">
        <v>3120</v>
      </c>
      <c r="E419" t="s">
        <v>25</v>
      </c>
      <c r="F419" s="375">
        <v>4</v>
      </c>
      <c r="G419" s="16">
        <f>'WetLitterbags placem_collection'!E126</f>
        <v>42762</v>
      </c>
      <c r="H419" s="92" t="str">
        <f>Wetseason!L565</f>
        <v>G682</v>
      </c>
      <c r="I419" t="str">
        <f>Wetseason!L785</f>
        <v>R471</v>
      </c>
      <c r="J419">
        <f>IFERROR(INDEX('Green_rooibos initial weight'!$C$5:$C$2000,MATCH(H419, 'Green_rooibos initial weight'!$A$5:$A$2000,0)),"")</f>
        <v>2.0230000000000001</v>
      </c>
      <c r="K419">
        <f>IFERROR(INDEX('Green_rooibos initial weight'!$C$5:$C$2000,MATCH(I419, 'Green_rooibos initial weight'!$A$5:$A$2000,0)),"")</f>
        <v>2.238</v>
      </c>
      <c r="L419" s="194">
        <f t="shared" si="47"/>
        <v>1.7732000000000001</v>
      </c>
      <c r="M419" s="194">
        <f t="shared" si="45"/>
        <v>1.9882</v>
      </c>
      <c r="N419" s="16">
        <f>IF('WetLitterbags placem_collection'!G126="","",'WetLitterbags placem_collection'!G126)</f>
        <v>42816</v>
      </c>
      <c r="O419" s="194">
        <f>IFERROR(INDEX('Both teabags AfterWet'!$C$3:$C$2000,MATCH(H419,'Both teabags AfterWet'!$A$3:$A$2000,0)),"")</f>
        <v>0.61199999999999999</v>
      </c>
      <c r="P419" s="194">
        <f>IFERROR(INDEX('Both teabags AfterWet'!$C$3:$C$2000,MATCH(I419,'Both teabags AfterWet'!$A$3:$A$2000,0)),"")</f>
        <v>1.518</v>
      </c>
      <c r="Q419" s="194">
        <f t="shared" si="48"/>
        <v>0.46139999999999998</v>
      </c>
      <c r="R419" s="194">
        <f t="shared" si="48"/>
        <v>1.3673999999999999</v>
      </c>
      <c r="S419" s="194">
        <f t="shared" si="49"/>
        <v>0.7397924655989172</v>
      </c>
      <c r="T419" s="194">
        <f t="shared" si="50"/>
        <v>0.48499458552328067</v>
      </c>
      <c r="U419" s="194">
        <f t="shared" si="51"/>
        <v>0.68775777084800316</v>
      </c>
      <c r="V419">
        <f t="shared" si="46"/>
        <v>54</v>
      </c>
      <c r="W419" s="194">
        <f t="shared" si="52"/>
        <v>0.12138662042883941</v>
      </c>
      <c r="X419" s="194">
        <f t="shared" si="53"/>
        <v>1.911627081659514E-2</v>
      </c>
      <c r="Y419" s="245" t="str">
        <f>IF(ISNUMBER(SEARCH("C",'WetLitterbags placem_collection'!$Y126)),"YES","NO")</f>
        <v>NO</v>
      </c>
      <c r="Z419" s="245" t="str">
        <f>IF(ISNUMBER(SEARCH("H", 'WetLitterbags placem_collection'!$Y126)),"YES","NO")</f>
        <v>NO</v>
      </c>
      <c r="AA419" s="245" t="str">
        <f>IF(ISNUMBER(SEARCH("R", 'WetLitterbags placem_collection'!$Y126)),"YES","NO")</f>
        <v>NO</v>
      </c>
      <c r="AB419" s="245" t="str">
        <f>IF(ISNUMBER(SEARCH("C", 'WetLitterbags placem_collection'!$W126)),"YES","NO")</f>
        <v>NO</v>
      </c>
      <c r="AC419" s="245" t="str">
        <f>IF(ISNUMBER(SEARCH("H", 'WetLitterbags placem_collection'!$W126)),"YES","NO")</f>
        <v>NO</v>
      </c>
      <c r="AD419" s="245" t="str">
        <f>IF(ISNUMBER(SEARCH("R", 'WetLitterbags placem_collection'!$W126)),"YES","NO")</f>
        <v>YES</v>
      </c>
    </row>
    <row r="420" spans="2:30">
      <c r="B420" t="str">
        <f>Wetseason!B566</f>
        <v>Wet</v>
      </c>
      <c r="C420" s="253">
        <f>Wetseason!C566</f>
        <v>125</v>
      </c>
      <c r="D420" t="s">
        <v>3120</v>
      </c>
      <c r="E420" t="s">
        <v>25</v>
      </c>
      <c r="F420" s="375">
        <v>5</v>
      </c>
      <c r="G420" s="16">
        <f>'WetLitterbags placem_collection'!E127</f>
        <v>42762</v>
      </c>
      <c r="H420" s="92" t="str">
        <f>Wetseason!L566</f>
        <v>G740</v>
      </c>
      <c r="I420" t="str">
        <f>Wetseason!L786</f>
        <v>R486</v>
      </c>
      <c r="J420">
        <f>IFERROR(INDEX('Green_rooibos initial weight'!$C$5:$C$2000,MATCH(H420, 'Green_rooibos initial weight'!$A$5:$A$2000,0)),"")</f>
        <v>1.915</v>
      </c>
      <c r="K420">
        <f>IFERROR(INDEX('Green_rooibos initial weight'!$C$5:$C$2000,MATCH(I420, 'Green_rooibos initial weight'!$A$5:$A$2000,0)),"")</f>
        <v>2.218</v>
      </c>
      <c r="L420" s="194">
        <f t="shared" si="47"/>
        <v>1.6652</v>
      </c>
      <c r="M420" s="194">
        <f t="shared" si="45"/>
        <v>1.9681999999999999</v>
      </c>
      <c r="N420" s="16">
        <f>IF('WetLitterbags placem_collection'!G127="","",'WetLitterbags placem_collection'!G127)</f>
        <v>42816</v>
      </c>
      <c r="O420" s="194">
        <f>IFERROR(INDEX('Both teabags AfterWet'!$C$3:$C$2000,MATCH(H420,'Both teabags AfterWet'!$A$3:$A$2000,0)),"")</f>
        <v>0.60099999999999998</v>
      </c>
      <c r="P420" s="194">
        <f>IFERROR(INDEX('Both teabags AfterWet'!$C$3:$C$2000,MATCH(I420,'Both teabags AfterWet'!$A$3:$A$2000,0)),"")</f>
        <v>1.389</v>
      </c>
      <c r="Q420" s="194">
        <f t="shared" si="48"/>
        <v>0.45039999999999997</v>
      </c>
      <c r="R420" s="194">
        <f t="shared" si="48"/>
        <v>1.2383999999999999</v>
      </c>
      <c r="S420" s="194">
        <f t="shared" si="49"/>
        <v>0.72952197934182084</v>
      </c>
      <c r="T420" s="194">
        <f t="shared" si="50"/>
        <v>0.47826144013858096</v>
      </c>
      <c r="U420" s="194">
        <f t="shared" si="51"/>
        <v>0.62920434915150902</v>
      </c>
      <c r="V420">
        <f t="shared" si="46"/>
        <v>54</v>
      </c>
      <c r="W420" s="194">
        <f t="shared" si="52"/>
        <v>0.13358434757503457</v>
      </c>
      <c r="X420" s="194">
        <f t="shared" si="53"/>
        <v>2.7647869835384135E-2</v>
      </c>
      <c r="Y420" s="245" t="str">
        <f>IF(ISNUMBER(SEARCH("C",'WetLitterbags placem_collection'!$Y127)),"YES","NO")</f>
        <v>NO</v>
      </c>
      <c r="Z420" s="245" t="str">
        <f>IF(ISNUMBER(SEARCH("H", 'WetLitterbags placem_collection'!$Y127)),"YES","NO")</f>
        <v>NO</v>
      </c>
      <c r="AA420" s="245" t="str">
        <f>IF(ISNUMBER(SEARCH("R", 'WetLitterbags placem_collection'!$Y127)),"YES","NO")</f>
        <v>YES</v>
      </c>
      <c r="AB420" s="245" t="str">
        <f>IF(ISNUMBER(SEARCH("C", 'WetLitterbags placem_collection'!$W127)),"YES","NO")</f>
        <v>NO</v>
      </c>
      <c r="AC420" s="245" t="str">
        <f>IF(ISNUMBER(SEARCH("H", 'WetLitterbags placem_collection'!$W127)),"YES","NO")</f>
        <v>YES</v>
      </c>
      <c r="AD420" s="245" t="str">
        <f>IF(ISNUMBER(SEARCH("R", 'WetLitterbags placem_collection'!$W127)),"YES","NO")</f>
        <v>YES</v>
      </c>
    </row>
    <row r="421" spans="2:30">
      <c r="B421" t="str">
        <f>Wetseason!B567</f>
        <v>Wet</v>
      </c>
      <c r="C421" s="253">
        <f>Wetseason!C567</f>
        <v>126</v>
      </c>
      <c r="D421" t="s">
        <v>3120</v>
      </c>
      <c r="E421" t="s">
        <v>25</v>
      </c>
      <c r="F421" s="375">
        <v>6</v>
      </c>
      <c r="G421" s="16">
        <f>'WetLitterbags placem_collection'!E128</f>
        <v>42762</v>
      </c>
      <c r="H421" s="92" t="str">
        <f>Wetseason!L567</f>
        <v>G841</v>
      </c>
      <c r="I421" t="str">
        <f>Wetseason!L787</f>
        <v>R55</v>
      </c>
      <c r="J421">
        <f>IFERROR(INDEX('Green_rooibos initial weight'!$C$5:$C$2000,MATCH(H421, 'Green_rooibos initial weight'!$A$5:$A$2000,0)),"")</f>
        <v>1.96</v>
      </c>
      <c r="K421">
        <f>IFERROR(INDEX('Green_rooibos initial weight'!$C$5:$C$2000,MATCH(I421, 'Green_rooibos initial weight'!$A$5:$A$2000,0)),"")</f>
        <v>2.2010000000000001</v>
      </c>
      <c r="L421" s="194">
        <f t="shared" si="47"/>
        <v>1.7101999999999999</v>
      </c>
      <c r="M421" s="194">
        <f t="shared" si="45"/>
        <v>1.9512</v>
      </c>
      <c r="N421" s="16">
        <f>IF('WetLitterbags placem_collection'!G128="","",'WetLitterbags placem_collection'!G128)</f>
        <v>42816</v>
      </c>
      <c r="O421" s="194">
        <f>IFERROR(INDEX('Both teabags AfterWet'!$C$3:$C$2000,MATCH(H421,'Both teabags AfterWet'!$A$3:$A$2000,0)),"")</f>
        <v>0.58499999999999996</v>
      </c>
      <c r="P421" s="194">
        <f>IFERROR(INDEX('Both teabags AfterWet'!$C$3:$C$2000,MATCH(I421,'Both teabags AfterWet'!$A$3:$A$2000,0)),"")</f>
        <v>1.4419999999999999</v>
      </c>
      <c r="Q421" s="194">
        <f t="shared" si="48"/>
        <v>0.43439999999999995</v>
      </c>
      <c r="R421" s="194">
        <f t="shared" si="48"/>
        <v>1.2913999999999999</v>
      </c>
      <c r="S421" s="194">
        <f t="shared" si="49"/>
        <v>0.74599462051222076</v>
      </c>
      <c r="T421" s="194">
        <f t="shared" si="50"/>
        <v>0.48906060632155096</v>
      </c>
      <c r="U421" s="194">
        <f t="shared" si="51"/>
        <v>0.66184911849118488</v>
      </c>
      <c r="V421">
        <f t="shared" si="46"/>
        <v>54</v>
      </c>
      <c r="W421" s="194">
        <f t="shared" si="52"/>
        <v>0.11402064072182805</v>
      </c>
      <c r="X421" s="194">
        <f t="shared" si="53"/>
        <v>2.1774159481355325E-2</v>
      </c>
      <c r="Y421" s="245" t="str">
        <f>IF(ISNUMBER(SEARCH("C",'WetLitterbags placem_collection'!$Y128)),"YES","NO")</f>
        <v>NO</v>
      </c>
      <c r="Z421" s="245" t="str">
        <f>IF(ISNUMBER(SEARCH("H", 'WetLitterbags placem_collection'!$Y128)),"YES","NO")</f>
        <v>NO</v>
      </c>
      <c r="AA421" s="245" t="str">
        <f>IF(ISNUMBER(SEARCH("R", 'WetLitterbags placem_collection'!$Y128)),"YES","NO")</f>
        <v>YES</v>
      </c>
      <c r="AB421" s="245" t="str">
        <f>IF(ISNUMBER(SEARCH("C", 'WetLitterbags placem_collection'!$W128)),"YES","NO")</f>
        <v>NO</v>
      </c>
      <c r="AC421" s="245" t="str">
        <f>IF(ISNUMBER(SEARCH("H", 'WetLitterbags placem_collection'!$W128)),"YES","NO")</f>
        <v>NO</v>
      </c>
      <c r="AD421" s="245" t="str">
        <f>IF(ISNUMBER(SEARCH("R", 'WetLitterbags placem_collection'!$W128)),"YES","NO")</f>
        <v>NO</v>
      </c>
    </row>
    <row r="422" spans="2:30">
      <c r="B422" t="str">
        <f>Wetseason!B568</f>
        <v>Wet</v>
      </c>
      <c r="C422" s="253">
        <f>Wetseason!C568</f>
        <v>127</v>
      </c>
      <c r="D422" t="s">
        <v>3120</v>
      </c>
      <c r="E422" t="s">
        <v>25</v>
      </c>
      <c r="F422" s="375">
        <v>7</v>
      </c>
      <c r="G422" s="16">
        <f>'WetLitterbags placem_collection'!E129</f>
        <v>42762</v>
      </c>
      <c r="H422" s="92" t="str">
        <f>Wetseason!L568</f>
        <v>G687</v>
      </c>
      <c r="I422" t="str">
        <f>Wetseason!L788</f>
        <v>R424</v>
      </c>
      <c r="J422">
        <f>IFERROR(INDEX('Green_rooibos initial weight'!$C$5:$C$2000,MATCH(H422, 'Green_rooibos initial weight'!$A$5:$A$2000,0)),"")</f>
        <v>2.0649999999999999</v>
      </c>
      <c r="K422">
        <f>IFERROR(INDEX('Green_rooibos initial weight'!$C$5:$C$2000,MATCH(I422, 'Green_rooibos initial weight'!$A$5:$A$2000,0)),"")</f>
        <v>2.214</v>
      </c>
      <c r="L422" s="194">
        <f t="shared" si="47"/>
        <v>1.8151999999999999</v>
      </c>
      <c r="M422" s="194">
        <f t="shared" si="45"/>
        <v>1.9641999999999999</v>
      </c>
      <c r="N422" s="16">
        <f>IF('WetLitterbags placem_collection'!G129="","",'WetLitterbags placem_collection'!G129)</f>
        <v>42816</v>
      </c>
      <c r="O422" s="194">
        <f>IFERROR(INDEX('Both teabags AfterWet'!$C$3:$C$2000,MATCH(H422,'Both teabags AfterWet'!$A$3:$A$2000,0)),"")</f>
        <v>0.57699999999999996</v>
      </c>
      <c r="P422" s="194">
        <f>IFERROR(INDEX('Both teabags AfterWet'!$C$3:$C$2000,MATCH(I422,'Both teabags AfterWet'!$A$3:$A$2000,0)),"")</f>
        <v>1.552</v>
      </c>
      <c r="Q422" s="194">
        <f t="shared" si="48"/>
        <v>0.42639999999999995</v>
      </c>
      <c r="R422" s="194">
        <f t="shared" si="48"/>
        <v>1.4014</v>
      </c>
      <c r="S422" s="194">
        <f t="shared" si="49"/>
        <v>0.76509475539885408</v>
      </c>
      <c r="T422" s="194">
        <f t="shared" si="50"/>
        <v>0.50158230995269293</v>
      </c>
      <c r="U422" s="194">
        <f t="shared" si="51"/>
        <v>0.71347113328581613</v>
      </c>
      <c r="V422">
        <f t="shared" si="46"/>
        <v>54</v>
      </c>
      <c r="W422" s="194">
        <f t="shared" si="52"/>
        <v>9.1336395013237426E-2</v>
      </c>
      <c r="X422" s="194">
        <f t="shared" si="53"/>
        <v>1.5682984278083862E-2</v>
      </c>
      <c r="Y422" s="245" t="str">
        <f>IF(ISNUMBER(SEARCH("C",'WetLitterbags placem_collection'!$Y129)),"YES","NO")</f>
        <v>NO</v>
      </c>
      <c r="Z422" s="245" t="str">
        <f>IF(ISNUMBER(SEARCH("H", 'WetLitterbags placem_collection'!$Y129)),"YES","NO")</f>
        <v>NO</v>
      </c>
      <c r="AA422" s="245" t="str">
        <f>IF(ISNUMBER(SEARCH("R", 'WetLitterbags placem_collection'!$Y129)),"YES","NO")</f>
        <v>YES</v>
      </c>
      <c r="AB422" s="245" t="str">
        <f>IF(ISNUMBER(SEARCH("C", 'WetLitterbags placem_collection'!$W129)),"YES","NO")</f>
        <v>NO</v>
      </c>
      <c r="AC422" s="245" t="str">
        <f>IF(ISNUMBER(SEARCH("H", 'WetLitterbags placem_collection'!$W129)),"YES","NO")</f>
        <v>NO</v>
      </c>
      <c r="AD422" s="245" t="str">
        <f>IF(ISNUMBER(SEARCH("R", 'WetLitterbags placem_collection'!$W129)),"YES","NO")</f>
        <v>NO</v>
      </c>
    </row>
    <row r="423" spans="2:30">
      <c r="B423" t="str">
        <f>Wetseason!B569</f>
        <v>Wet</v>
      </c>
      <c r="C423" s="253">
        <f>Wetseason!C569</f>
        <v>128</v>
      </c>
      <c r="D423" t="s">
        <v>3120</v>
      </c>
      <c r="E423" t="s">
        <v>25</v>
      </c>
      <c r="F423" s="375">
        <v>8</v>
      </c>
      <c r="G423" s="16">
        <f>'WetLitterbags placem_collection'!E130</f>
        <v>42762</v>
      </c>
      <c r="H423" s="92" t="str">
        <f>Wetseason!L569</f>
        <v>G833</v>
      </c>
      <c r="I423" t="str">
        <f>Wetseason!L789</f>
        <v>R418</v>
      </c>
      <c r="J423">
        <f>IFERROR(INDEX('Green_rooibos initial weight'!$C$5:$C$2000,MATCH(H423, 'Green_rooibos initial weight'!$A$5:$A$2000,0)),"")</f>
        <v>1.964</v>
      </c>
      <c r="K423">
        <f>IFERROR(INDEX('Green_rooibos initial weight'!$C$5:$C$2000,MATCH(I423, 'Green_rooibos initial weight'!$A$5:$A$2000,0)),"")</f>
        <v>2.2029999999999998</v>
      </c>
      <c r="L423" s="194">
        <f t="shared" si="47"/>
        <v>1.7141999999999999</v>
      </c>
      <c r="M423" s="194">
        <f t="shared" si="45"/>
        <v>1.9531999999999998</v>
      </c>
      <c r="N423" s="16">
        <f>IF('WetLitterbags placem_collection'!G130="","",'WetLitterbags placem_collection'!G130)</f>
        <v>42816</v>
      </c>
      <c r="O423" s="194">
        <f>IFERROR(INDEX('Both teabags AfterWet'!$C$3:$C$2000,MATCH(H423,'Both teabags AfterWet'!$A$3:$A$2000,0)),"")</f>
        <v>0.57199999999999995</v>
      </c>
      <c r="P423" s="194">
        <f>IFERROR(INDEX('Both teabags AfterWet'!$C$3:$C$2000,MATCH(I423,'Both teabags AfterWet'!$A$3:$A$2000,0)),"")</f>
        <v>1.4119999999999999</v>
      </c>
      <c r="Q423" s="194">
        <f t="shared" si="48"/>
        <v>0.42139999999999994</v>
      </c>
      <c r="R423" s="194">
        <f t="shared" si="48"/>
        <v>1.2613999999999999</v>
      </c>
      <c r="S423" s="194">
        <f t="shared" si="49"/>
        <v>0.75417104188542761</v>
      </c>
      <c r="T423" s="194">
        <f t="shared" si="50"/>
        <v>0.4944209205709692</v>
      </c>
      <c r="U423" s="194">
        <f t="shared" si="51"/>
        <v>0.64581200081916856</v>
      </c>
      <c r="V423">
        <f t="shared" si="46"/>
        <v>54</v>
      </c>
      <c r="W423" s="194">
        <f t="shared" si="52"/>
        <v>0.10430992650186743</v>
      </c>
      <c r="X423" s="194">
        <f t="shared" si="53"/>
        <v>2.3334860295377305E-2</v>
      </c>
      <c r="Y423" s="245" t="str">
        <f>IF(ISNUMBER(SEARCH("C",'WetLitterbags placem_collection'!$Y130)),"YES","NO")</f>
        <v>NO</v>
      </c>
      <c r="Z423" s="245" t="str">
        <f>IF(ISNUMBER(SEARCH("H", 'WetLitterbags placem_collection'!$Y130)),"YES","NO")</f>
        <v>NO</v>
      </c>
      <c r="AA423" s="245" t="str">
        <f>IF(ISNUMBER(SEARCH("R", 'WetLitterbags placem_collection'!$Y130)),"YES","NO")</f>
        <v>YES</v>
      </c>
      <c r="AB423" s="245" t="str">
        <f>IF(ISNUMBER(SEARCH("C", 'WetLitterbags placem_collection'!$W130)),"YES","NO")</f>
        <v>YES</v>
      </c>
      <c r="AC423" s="245" t="str">
        <f>IF(ISNUMBER(SEARCH("H", 'WetLitterbags placem_collection'!$W130)),"YES","NO")</f>
        <v>YES</v>
      </c>
      <c r="AD423" s="245" t="str">
        <f>IF(ISNUMBER(SEARCH("R", 'WetLitterbags placem_collection'!$W130)),"YES","NO")</f>
        <v>YES</v>
      </c>
    </row>
    <row r="424" spans="2:30">
      <c r="B424" t="str">
        <f>Wetseason!B570</f>
        <v>Wet</v>
      </c>
      <c r="C424" s="253">
        <f>Wetseason!C570</f>
        <v>129</v>
      </c>
      <c r="D424" t="s">
        <v>3121</v>
      </c>
      <c r="E424" t="s">
        <v>25</v>
      </c>
      <c r="F424" s="374">
        <v>1</v>
      </c>
      <c r="G424" s="16">
        <f>'WetLitterbags placem_collection'!E131</f>
        <v>42762</v>
      </c>
      <c r="H424" s="92" t="str">
        <f>Wetseason!L570</f>
        <v>G888</v>
      </c>
      <c r="I424" t="str">
        <f>Wetseason!L790</f>
        <v>R520</v>
      </c>
      <c r="J424">
        <f>IFERROR(INDEX('Green_rooibos initial weight'!$C$5:$C$2000,MATCH(H424, 'Green_rooibos initial weight'!$A$5:$A$2000,0)),"")</f>
        <v>2.089</v>
      </c>
      <c r="K424">
        <f>IFERROR(INDEX('Green_rooibos initial weight'!$C$5:$C$2000,MATCH(I424, 'Green_rooibos initial weight'!$A$5:$A$2000,0)),"")</f>
        <v>2.2210000000000001</v>
      </c>
      <c r="L424" s="194">
        <f t="shared" si="47"/>
        <v>1.8391999999999999</v>
      </c>
      <c r="M424" s="194">
        <f t="shared" si="45"/>
        <v>1.9712000000000001</v>
      </c>
      <c r="N424" s="16">
        <f>IF('WetLitterbags placem_collection'!G131="","",'WetLitterbags placem_collection'!G131)</f>
        <v>42816</v>
      </c>
      <c r="O424" s="194">
        <f>IFERROR(INDEX('Both teabags AfterWet'!$C$3:$C$2000,MATCH(H424,'Both teabags AfterWet'!$A$3:$A$2000,0)),"")</f>
        <v>0.59440000000000004</v>
      </c>
      <c r="P424" s="194">
        <f>IFERROR(INDEX('Both teabags AfterWet'!$C$3:$C$2000,MATCH(I424,'Both teabags AfterWet'!$A$3:$A$2000,0)),"")</f>
        <v>1.5878000000000001</v>
      </c>
      <c r="Q424" s="194">
        <f t="shared" si="48"/>
        <v>0.44380000000000003</v>
      </c>
      <c r="R424" s="194">
        <f t="shared" si="48"/>
        <v>1.4372</v>
      </c>
      <c r="S424" s="194">
        <f t="shared" si="49"/>
        <v>0.75869943453675504</v>
      </c>
      <c r="T424" s="194">
        <f t="shared" si="50"/>
        <v>0.49738965304547367</v>
      </c>
      <c r="U424" s="194">
        <f t="shared" si="51"/>
        <v>0.72909902597402598</v>
      </c>
      <c r="V424">
        <f t="shared" si="46"/>
        <v>54</v>
      </c>
      <c r="W424" s="194">
        <f t="shared" si="52"/>
        <v>9.8931787961098472E-2</v>
      </c>
      <c r="X424" s="194">
        <f t="shared" si="53"/>
        <v>1.4568125326907419E-2</v>
      </c>
      <c r="Y424" s="245" t="str">
        <f>IF(ISNUMBER(SEARCH("C",'WetLitterbags placem_collection'!$Y131)),"YES","NO")</f>
        <v>NO</v>
      </c>
      <c r="Z424" s="245" t="str">
        <f>IF(ISNUMBER(SEARCH("H", 'WetLitterbags placem_collection'!$Y131)),"YES","NO")</f>
        <v>NO</v>
      </c>
      <c r="AA424" s="245" t="str">
        <f>IF(ISNUMBER(SEARCH("R", 'WetLitterbags placem_collection'!$Y131)),"YES","NO")</f>
        <v>NO</v>
      </c>
      <c r="AB424" s="245" t="str">
        <f>IF(ISNUMBER(SEARCH("C", 'WetLitterbags placem_collection'!$W131)),"YES","NO")</f>
        <v>NO</v>
      </c>
      <c r="AC424" s="245" t="str">
        <f>IF(ISNUMBER(SEARCH("H", 'WetLitterbags placem_collection'!$W131)),"YES","NO")</f>
        <v>YES</v>
      </c>
      <c r="AD424" s="245" t="str">
        <f>IF(ISNUMBER(SEARCH("R", 'WetLitterbags placem_collection'!$W131)),"YES","NO")</f>
        <v>NO</v>
      </c>
    </row>
    <row r="425" spans="2:30">
      <c r="B425" t="str">
        <f>Wetseason!B571</f>
        <v>Wet</v>
      </c>
      <c r="C425" s="253">
        <f>Wetseason!C571</f>
        <v>130</v>
      </c>
      <c r="D425" t="s">
        <v>3121</v>
      </c>
      <c r="E425" t="s">
        <v>25</v>
      </c>
      <c r="F425" s="374">
        <v>2</v>
      </c>
      <c r="G425" s="16">
        <f>'WetLitterbags placem_collection'!E132</f>
        <v>42762</v>
      </c>
      <c r="H425" s="92" t="str">
        <f>Wetseason!L571</f>
        <v>G708</v>
      </c>
      <c r="I425" t="str">
        <f>Wetseason!L791</f>
        <v>R433</v>
      </c>
      <c r="J425">
        <f>IFERROR(INDEX('Green_rooibos initial weight'!$C$5:$C$2000,MATCH(H425, 'Green_rooibos initial weight'!$A$5:$A$2000,0)),"")</f>
        <v>2.0030000000000001</v>
      </c>
      <c r="K425">
        <f>IFERROR(INDEX('Green_rooibos initial weight'!$C$5:$C$2000,MATCH(I425, 'Green_rooibos initial weight'!$A$5:$A$2000,0)),"")</f>
        <v>2.0750000000000002</v>
      </c>
      <c r="L425" s="194">
        <f t="shared" si="47"/>
        <v>1.7532000000000001</v>
      </c>
      <c r="M425" s="194">
        <f t="shared" si="45"/>
        <v>1.8252000000000002</v>
      </c>
      <c r="N425" s="16">
        <f>IF('WetLitterbags placem_collection'!G132="","",'WetLitterbags placem_collection'!G132)</f>
        <v>42816</v>
      </c>
      <c r="O425" s="194">
        <f>IFERROR(INDEX('Both teabags AfterWet'!$C$3:$C$2000,MATCH(H425,'Both teabags AfterWet'!$A$3:$A$2000,0)),"")</f>
        <v>0.56599999999999995</v>
      </c>
      <c r="P425" s="194">
        <f>IFERROR(INDEX('Both teabags AfterWet'!$C$3:$C$2000,MATCH(I425,'Both teabags AfterWet'!$A$3:$A$2000,0)),"")</f>
        <v>1.5069999999999999</v>
      </c>
      <c r="Q425" s="194">
        <f t="shared" si="48"/>
        <v>0.41539999999999994</v>
      </c>
      <c r="R425" s="194">
        <f t="shared" si="48"/>
        <v>1.3563999999999998</v>
      </c>
      <c r="S425" s="194">
        <f t="shared" si="49"/>
        <v>0.76306182979694281</v>
      </c>
      <c r="T425" s="194">
        <f t="shared" si="50"/>
        <v>0.50024956062697445</v>
      </c>
      <c r="U425" s="194">
        <f t="shared" si="51"/>
        <v>0.74315143545912765</v>
      </c>
      <c r="V425">
        <f t="shared" si="46"/>
        <v>54</v>
      </c>
      <c r="W425" s="194">
        <f t="shared" si="52"/>
        <v>9.3750795965626077E-2</v>
      </c>
      <c r="X425" s="194">
        <f t="shared" si="53"/>
        <v>1.3340681893114411E-2</v>
      </c>
      <c r="Y425" s="245" t="str">
        <f>IF(ISNUMBER(SEARCH("C",'WetLitterbags placem_collection'!$Y132)),"YES","NO")</f>
        <v>NO</v>
      </c>
      <c r="Z425" s="245" t="str">
        <f>IF(ISNUMBER(SEARCH("H", 'WetLitterbags placem_collection'!$Y132)),"YES","NO")</f>
        <v>NO</v>
      </c>
      <c r="AA425" s="245" t="str">
        <f>IF(ISNUMBER(SEARCH("R", 'WetLitterbags placem_collection'!$Y132)),"YES","NO")</f>
        <v>NO</v>
      </c>
      <c r="AB425" s="245" t="str">
        <f>IF(ISNUMBER(SEARCH("C", 'WetLitterbags placem_collection'!$W132)),"YES","NO")</f>
        <v>NO</v>
      </c>
      <c r="AC425" s="245" t="str">
        <f>IF(ISNUMBER(SEARCH("H", 'WetLitterbags placem_collection'!$W132)),"YES","NO")</f>
        <v>NO</v>
      </c>
      <c r="AD425" s="245" t="str">
        <f>IF(ISNUMBER(SEARCH("R", 'WetLitterbags placem_collection'!$W132)),"YES","NO")</f>
        <v>NO</v>
      </c>
    </row>
    <row r="426" spans="2:30">
      <c r="B426" t="str">
        <f>Wetseason!B572</f>
        <v>Wet</v>
      </c>
      <c r="C426" s="253">
        <f>Wetseason!C572</f>
        <v>131</v>
      </c>
      <c r="D426" t="s">
        <v>3121</v>
      </c>
      <c r="E426" t="s">
        <v>25</v>
      </c>
      <c r="F426" s="374">
        <v>3</v>
      </c>
      <c r="G426" s="16">
        <f>'WetLitterbags placem_collection'!E133</f>
        <v>42762</v>
      </c>
      <c r="H426" s="92" t="str">
        <f>Wetseason!L572</f>
        <v>G768</v>
      </c>
      <c r="I426" t="str">
        <f>Wetseason!L792</f>
        <v>R592</v>
      </c>
      <c r="J426">
        <f>IFERROR(INDEX('Green_rooibos initial weight'!$C$5:$C$2000,MATCH(H426, 'Green_rooibos initial weight'!$A$5:$A$2000,0)),"")</f>
        <v>2.0089999999999999</v>
      </c>
      <c r="K426">
        <f>IFERROR(INDEX('Green_rooibos initial weight'!$C$5:$C$2000,MATCH(I426, 'Green_rooibos initial weight'!$A$5:$A$2000,0)),"")</f>
        <v>2.2549999999999999</v>
      </c>
      <c r="L426" s="194">
        <f t="shared" si="47"/>
        <v>1.7591999999999999</v>
      </c>
      <c r="M426" s="194">
        <f t="shared" si="45"/>
        <v>2.0051999999999999</v>
      </c>
      <c r="N426" s="16">
        <f>IF('WetLitterbags placem_collection'!G133="","",'WetLitterbags placem_collection'!G133)</f>
        <v>42816</v>
      </c>
      <c r="O426" s="194">
        <f>IFERROR(INDEX('Both teabags AfterWet'!$C$3:$C$2000,MATCH(H426,'Both teabags AfterWet'!$A$3:$A$2000,0)),"")</f>
        <v>0.62819999999999998</v>
      </c>
      <c r="P426" s="194">
        <f>IFERROR(INDEX('Both teabags AfterWet'!$C$3:$C$2000,MATCH(I426,'Both teabags AfterWet'!$A$3:$A$2000,0)),"")</f>
        <v>1.6073999999999999</v>
      </c>
      <c r="Q426" s="194">
        <f t="shared" si="48"/>
        <v>0.47759999999999997</v>
      </c>
      <c r="R426" s="194">
        <f t="shared" si="48"/>
        <v>1.4567999999999999</v>
      </c>
      <c r="S426" s="194">
        <f t="shared" si="49"/>
        <v>0.72851296043656211</v>
      </c>
      <c r="T426" s="194">
        <f t="shared" si="50"/>
        <v>0.47759994555936147</v>
      </c>
      <c r="U426" s="194">
        <f t="shared" si="51"/>
        <v>0.72651107121484138</v>
      </c>
      <c r="V426">
        <f t="shared" si="46"/>
        <v>54</v>
      </c>
      <c r="W426" s="194">
        <f t="shared" si="52"/>
        <v>0.13478270731999742</v>
      </c>
      <c r="X426" s="194">
        <f t="shared" si="53"/>
        <v>1.5742766711032228E-2</v>
      </c>
      <c r="Y426" s="245" t="str">
        <f>IF(ISNUMBER(SEARCH("C",'WetLitterbags placem_collection'!$Y133)),"YES","NO")</f>
        <v>NO</v>
      </c>
      <c r="Z426" s="245" t="str">
        <f>IF(ISNUMBER(SEARCH("H", 'WetLitterbags placem_collection'!$Y133)),"YES","NO")</f>
        <v>NO</v>
      </c>
      <c r="AA426" s="245" t="str">
        <f>IF(ISNUMBER(SEARCH("R", 'WetLitterbags placem_collection'!$Y133)),"YES","NO")</f>
        <v>NO</v>
      </c>
      <c r="AB426" s="245" t="str">
        <f>IF(ISNUMBER(SEARCH("C", 'WetLitterbags placem_collection'!$W133)),"YES","NO")</f>
        <v>YES</v>
      </c>
      <c r="AC426" s="245" t="str">
        <f>IF(ISNUMBER(SEARCH("H", 'WetLitterbags placem_collection'!$W133)),"YES","NO")</f>
        <v>YES</v>
      </c>
      <c r="AD426" s="245" t="str">
        <f>IF(ISNUMBER(SEARCH("R", 'WetLitterbags placem_collection'!$W133)),"YES","NO")</f>
        <v>NO</v>
      </c>
    </row>
    <row r="427" spans="2:30">
      <c r="B427" t="str">
        <f>Wetseason!B573</f>
        <v>Wet</v>
      </c>
      <c r="C427" s="253">
        <f>Wetseason!C573</f>
        <v>132</v>
      </c>
      <c r="D427" t="s">
        <v>3121</v>
      </c>
      <c r="E427" t="s">
        <v>25</v>
      </c>
      <c r="F427" s="375">
        <v>4</v>
      </c>
      <c r="G427" s="16">
        <f>'WetLitterbags placem_collection'!E134</f>
        <v>42762</v>
      </c>
      <c r="H427" s="92" t="str">
        <f>Wetseason!L573</f>
        <v>G779</v>
      </c>
      <c r="I427" t="str">
        <f>Wetseason!L793</f>
        <v>R477</v>
      </c>
      <c r="J427">
        <f>IFERROR(INDEX('Green_rooibos initial weight'!$C$5:$C$2000,MATCH(H427, 'Green_rooibos initial weight'!$A$5:$A$2000,0)),"")</f>
        <v>2.0110000000000001</v>
      </c>
      <c r="K427">
        <f>IFERROR(INDEX('Green_rooibos initial weight'!$C$5:$C$2000,MATCH(I427, 'Green_rooibos initial weight'!$A$5:$A$2000,0)),"")</f>
        <v>2.169</v>
      </c>
      <c r="L427" s="194">
        <f t="shared" si="47"/>
        <v>1.7612000000000001</v>
      </c>
      <c r="M427" s="194">
        <f t="shared" si="45"/>
        <v>1.9192</v>
      </c>
      <c r="N427" s="16">
        <f>IF('WetLitterbags placem_collection'!G134="","",'WetLitterbags placem_collection'!G134)</f>
        <v>42816</v>
      </c>
      <c r="O427" s="194">
        <f>IFERROR(INDEX('Both teabags AfterWet'!$C$3:$C$2000,MATCH(H427,'Both teabags AfterWet'!$A$3:$A$2000,0)),"")</f>
        <v>0.63490000000000002</v>
      </c>
      <c r="P427" s="194">
        <f>IFERROR(INDEX('Both teabags AfterWet'!$C$3:$C$2000,MATCH(I427,'Both teabags AfterWet'!$A$3:$A$2000,0)),"")</f>
        <v>1.573</v>
      </c>
      <c r="Q427" s="194">
        <f t="shared" si="48"/>
        <v>0.48430000000000001</v>
      </c>
      <c r="R427" s="194">
        <f t="shared" si="48"/>
        <v>1.4223999999999999</v>
      </c>
      <c r="S427" s="194">
        <f t="shared" si="49"/>
        <v>0.72501703384056326</v>
      </c>
      <c r="T427" s="194">
        <f t="shared" si="50"/>
        <v>0.47530807919238832</v>
      </c>
      <c r="U427" s="194">
        <f t="shared" si="51"/>
        <v>0.7411421425593997</v>
      </c>
      <c r="V427">
        <f t="shared" si="46"/>
        <v>54</v>
      </c>
      <c r="W427" s="194">
        <f t="shared" si="52"/>
        <v>0.1389346391442241</v>
      </c>
      <c r="X427" s="194">
        <f t="shared" si="53"/>
        <v>1.4566714503410979E-2</v>
      </c>
      <c r="Y427" s="245" t="str">
        <f>IF(ISNUMBER(SEARCH("C",'WetLitterbags placem_collection'!$Y134)),"YES","NO")</f>
        <v>NO</v>
      </c>
      <c r="Z427" s="245" t="str">
        <f>IF(ISNUMBER(SEARCH("H", 'WetLitterbags placem_collection'!$Y134)),"YES","NO")</f>
        <v>NO</v>
      </c>
      <c r="AA427" s="245" t="str">
        <f>IF(ISNUMBER(SEARCH("R", 'WetLitterbags placem_collection'!$Y134)),"YES","NO")</f>
        <v>NO</v>
      </c>
      <c r="AB427" s="245" t="str">
        <f>IF(ISNUMBER(SEARCH("C", 'WetLitterbags placem_collection'!$W134)),"YES","NO")</f>
        <v>YES</v>
      </c>
      <c r="AC427" s="245" t="str">
        <f>IF(ISNUMBER(SEARCH("H", 'WetLitterbags placem_collection'!$W134)),"YES","NO")</f>
        <v>YES</v>
      </c>
      <c r="AD427" s="245" t="str">
        <f>IF(ISNUMBER(SEARCH("R", 'WetLitterbags placem_collection'!$W134)),"YES","NO")</f>
        <v>NO</v>
      </c>
    </row>
    <row r="428" spans="2:30">
      <c r="B428" t="str">
        <f>Wetseason!B574</f>
        <v>Wet</v>
      </c>
      <c r="C428" s="253">
        <f>Wetseason!C574</f>
        <v>133</v>
      </c>
      <c r="D428" t="s">
        <v>3121</v>
      </c>
      <c r="E428" t="s">
        <v>25</v>
      </c>
      <c r="F428" s="375">
        <v>5</v>
      </c>
      <c r="G428" s="16">
        <f>'WetLitterbags placem_collection'!E135</f>
        <v>42762</v>
      </c>
      <c r="H428" s="92" t="str">
        <f>Wetseason!L574</f>
        <v>G799</v>
      </c>
      <c r="I428" t="str">
        <f>Wetseason!L794</f>
        <v>R597</v>
      </c>
      <c r="J428">
        <f>IFERROR(INDEX('Green_rooibos initial weight'!$C$5:$C$2000,MATCH(H428, 'Green_rooibos initial weight'!$A$5:$A$2000,0)),"")</f>
        <v>2.093</v>
      </c>
      <c r="K428">
        <f>IFERROR(INDEX('Green_rooibos initial weight'!$C$5:$C$2000,MATCH(I428, 'Green_rooibos initial weight'!$A$5:$A$2000,0)),"")</f>
        <v>2.165</v>
      </c>
      <c r="L428" s="194">
        <f t="shared" si="47"/>
        <v>1.8431999999999999</v>
      </c>
      <c r="M428" s="194">
        <f t="shared" si="45"/>
        <v>1.9152</v>
      </c>
      <c r="N428" s="16">
        <f>IF('WetLitterbags placem_collection'!G135="","",'WetLitterbags placem_collection'!G135)</f>
        <v>42816</v>
      </c>
      <c r="O428" s="194">
        <f>IFERROR(INDEX('Both teabags AfterWet'!$C$3:$C$2000,MATCH(H428,'Both teabags AfterWet'!$A$3:$A$2000,0)),"")</f>
        <v>0.63380000000000003</v>
      </c>
      <c r="P428" s="194">
        <f>IFERROR(INDEX('Both teabags AfterWet'!$C$3:$C$2000,MATCH(I428,'Both teabags AfterWet'!$A$3:$A$2000,0)),"")</f>
        <v>1.5714999999999999</v>
      </c>
      <c r="Q428" s="194">
        <f t="shared" si="48"/>
        <v>0.48320000000000002</v>
      </c>
      <c r="R428" s="194">
        <f t="shared" si="48"/>
        <v>1.4208999999999998</v>
      </c>
      <c r="S428" s="194">
        <f t="shared" si="49"/>
        <v>0.73784722222222221</v>
      </c>
      <c r="T428" s="194">
        <f t="shared" si="50"/>
        <v>0.48371931908155191</v>
      </c>
      <c r="U428" s="194">
        <f t="shared" si="51"/>
        <v>0.7419068504594819</v>
      </c>
      <c r="V428">
        <f t="shared" si="46"/>
        <v>54</v>
      </c>
      <c r="W428" s="194">
        <f t="shared" si="52"/>
        <v>0.12369688572182636</v>
      </c>
      <c r="X428" s="194">
        <f t="shared" si="53"/>
        <v>1.4122690863154668E-2</v>
      </c>
      <c r="Y428" s="245" t="str">
        <f>IF(ISNUMBER(SEARCH("C",'WetLitterbags placem_collection'!$Y135)),"YES","NO")</f>
        <v>NO</v>
      </c>
      <c r="Z428" s="245" t="str">
        <f>IF(ISNUMBER(SEARCH("H", 'WetLitterbags placem_collection'!$Y135)),"YES","NO")</f>
        <v>NO</v>
      </c>
      <c r="AA428" s="245" t="str">
        <f>IF(ISNUMBER(SEARCH("R", 'WetLitterbags placem_collection'!$Y135)),"YES","NO")</f>
        <v>NO</v>
      </c>
      <c r="AB428" s="245" t="str">
        <f>IF(ISNUMBER(SEARCH("C", 'WetLitterbags placem_collection'!$W135)),"YES","NO")</f>
        <v>NO</v>
      </c>
      <c r="AC428" s="245" t="str">
        <f>IF(ISNUMBER(SEARCH("H", 'WetLitterbags placem_collection'!$W135)),"YES","NO")</f>
        <v>NO</v>
      </c>
      <c r="AD428" s="245" t="str">
        <f>IF(ISNUMBER(SEARCH("R", 'WetLitterbags placem_collection'!$W135)),"YES","NO")</f>
        <v>NO</v>
      </c>
    </row>
    <row r="429" spans="2:30">
      <c r="B429" t="str">
        <f>Wetseason!B575</f>
        <v>Wet</v>
      </c>
      <c r="C429" s="253">
        <f>Wetseason!C575</f>
        <v>134</v>
      </c>
      <c r="D429" t="s">
        <v>3121</v>
      </c>
      <c r="E429" t="s">
        <v>25</v>
      </c>
      <c r="F429" s="375">
        <v>6</v>
      </c>
      <c r="G429" s="16">
        <f>'WetLitterbags placem_collection'!E136</f>
        <v>42762</v>
      </c>
      <c r="H429" s="92" t="str">
        <f>Wetseason!L575</f>
        <v>G820</v>
      </c>
      <c r="I429" t="str">
        <f>Wetseason!L795</f>
        <v>R467</v>
      </c>
      <c r="J429">
        <f>IFERROR(INDEX('Green_rooibos initial weight'!$C$5:$C$2000,MATCH(H429, 'Green_rooibos initial weight'!$A$5:$A$2000,0)),"")</f>
        <v>1.927</v>
      </c>
      <c r="K429">
        <f>IFERROR(INDEX('Green_rooibos initial weight'!$C$5:$C$2000,MATCH(I429, 'Green_rooibos initial weight'!$A$5:$A$2000,0)),"")</f>
        <v>2.3140000000000001</v>
      </c>
      <c r="L429" s="194">
        <f t="shared" si="47"/>
        <v>1.6772</v>
      </c>
      <c r="M429" s="194">
        <f t="shared" si="45"/>
        <v>2.0642</v>
      </c>
      <c r="N429" s="16">
        <f>IF('WetLitterbags placem_collection'!G136="","",'WetLitterbags placem_collection'!G136)</f>
        <v>42816</v>
      </c>
      <c r="O429" s="194">
        <f>IFERROR(INDEX('Both teabags AfterWet'!$C$3:$C$2000,MATCH(H429,'Both teabags AfterWet'!$A$3:$A$2000,0)),"")</f>
        <v>0.53400000000000003</v>
      </c>
      <c r="P429" s="194">
        <f>IFERROR(INDEX('Both teabags AfterWet'!$C$3:$C$2000,MATCH(I429,'Both teabags AfterWet'!$A$3:$A$2000,0)),"")</f>
        <v>1.591</v>
      </c>
      <c r="Q429" s="194">
        <f t="shared" si="48"/>
        <v>0.38340000000000002</v>
      </c>
      <c r="R429" s="194">
        <f t="shared" si="48"/>
        <v>1.4403999999999999</v>
      </c>
      <c r="S429" s="194">
        <f t="shared" si="49"/>
        <v>0.77140472215597422</v>
      </c>
      <c r="T429" s="194">
        <f t="shared" si="50"/>
        <v>0.50571901024952237</v>
      </c>
      <c r="U429" s="194">
        <f t="shared" si="51"/>
        <v>0.69780060071698469</v>
      </c>
      <c r="V429">
        <f t="shared" si="46"/>
        <v>54</v>
      </c>
      <c r="W429" s="194">
        <f t="shared" si="52"/>
        <v>8.3842372736372628E-2</v>
      </c>
      <c r="X429" s="194">
        <f t="shared" si="53"/>
        <v>1.6855904272312667E-2</v>
      </c>
      <c r="Y429" s="245" t="str">
        <f>IF(ISNUMBER(SEARCH("C",'WetLitterbags placem_collection'!$Y136)),"YES","NO")</f>
        <v>NO</v>
      </c>
      <c r="Z429" s="245" t="str">
        <f>IF(ISNUMBER(SEARCH("H", 'WetLitterbags placem_collection'!$Y136)),"YES","NO")</f>
        <v>NO</v>
      </c>
      <c r="AA429" s="245" t="str">
        <f>IF(ISNUMBER(SEARCH("R", 'WetLitterbags placem_collection'!$Y136)),"YES","NO")</f>
        <v>NO</v>
      </c>
      <c r="AB429" s="245" t="str">
        <f>IF(ISNUMBER(SEARCH("C", 'WetLitterbags placem_collection'!$W136)),"YES","NO")</f>
        <v>NO</v>
      </c>
      <c r="AC429" s="245" t="str">
        <f>IF(ISNUMBER(SEARCH("H", 'WetLitterbags placem_collection'!$W136)),"YES","NO")</f>
        <v>NO</v>
      </c>
      <c r="AD429" s="245" t="str">
        <f>IF(ISNUMBER(SEARCH("R", 'WetLitterbags placem_collection'!$W136)),"YES","NO")</f>
        <v>NO</v>
      </c>
    </row>
    <row r="430" spans="2:30">
      <c r="B430" t="str">
        <f>Wetseason!B576</f>
        <v>Wet</v>
      </c>
      <c r="C430" s="253">
        <f>Wetseason!C576</f>
        <v>135</v>
      </c>
      <c r="D430" t="s">
        <v>3121</v>
      </c>
      <c r="E430" t="s">
        <v>25</v>
      </c>
      <c r="F430" s="375">
        <v>7</v>
      </c>
      <c r="G430" s="16">
        <f>'WetLitterbags placem_collection'!E137</f>
        <v>42762</v>
      </c>
      <c r="H430" s="92" t="str">
        <f>Wetseason!L576</f>
        <v>G842</v>
      </c>
      <c r="I430" t="str">
        <f>Wetseason!L796</f>
        <v>R596</v>
      </c>
      <c r="J430">
        <f>IFERROR(INDEX('Green_rooibos initial weight'!$C$5:$C$2000,MATCH(H430, 'Green_rooibos initial weight'!$A$5:$A$2000,0)),"")</f>
        <v>1.9670000000000001</v>
      </c>
      <c r="K430">
        <f>IFERROR(INDEX('Green_rooibos initial weight'!$C$5:$C$2000,MATCH(I430, 'Green_rooibos initial weight'!$A$5:$A$2000,0)),"")</f>
        <v>2.1749999999999998</v>
      </c>
      <c r="L430" s="194">
        <f t="shared" si="47"/>
        <v>1.7172000000000001</v>
      </c>
      <c r="M430" s="194">
        <f t="shared" si="45"/>
        <v>1.9251999999999998</v>
      </c>
      <c r="N430" s="16">
        <f>IF('WetLitterbags placem_collection'!G137="","",'WetLitterbags placem_collection'!G137)</f>
        <v>42816</v>
      </c>
      <c r="O430" s="194">
        <f>IFERROR(INDEX('Both teabags AfterWet'!$C$3:$C$2000,MATCH(H430,'Both teabags AfterWet'!$A$3:$A$2000,0)),"")</f>
        <v>0.56399999999999995</v>
      </c>
      <c r="P430" s="194">
        <f>IFERROR(INDEX('Both teabags AfterWet'!$C$3:$C$2000,MATCH(I430,'Both teabags AfterWet'!$A$3:$A$2000,0)),"")</f>
        <v>1.512</v>
      </c>
      <c r="Q430" s="194">
        <f t="shared" si="48"/>
        <v>0.41339999999999993</v>
      </c>
      <c r="R430" s="194">
        <f t="shared" si="48"/>
        <v>1.3613999999999999</v>
      </c>
      <c r="S430" s="194">
        <f t="shared" si="49"/>
        <v>0.7592592592592593</v>
      </c>
      <c r="T430" s="194">
        <f t="shared" si="50"/>
        <v>0.49775666402744795</v>
      </c>
      <c r="U430" s="194">
        <f t="shared" si="51"/>
        <v>0.70714730937045511</v>
      </c>
      <c r="V430">
        <f t="shared" si="46"/>
        <v>54</v>
      </c>
      <c r="W430" s="194">
        <f t="shared" si="52"/>
        <v>9.8266912993753786E-2</v>
      </c>
      <c r="X430" s="194">
        <f t="shared" si="53"/>
        <v>1.6436479337256518E-2</v>
      </c>
      <c r="Y430" s="245" t="str">
        <f>IF(ISNUMBER(SEARCH("C",'WetLitterbags placem_collection'!$Y137)),"YES","NO")</f>
        <v>NO</v>
      </c>
      <c r="Z430" s="245" t="str">
        <f>IF(ISNUMBER(SEARCH("H", 'WetLitterbags placem_collection'!$Y137)),"YES","NO")</f>
        <v>NO</v>
      </c>
      <c r="AA430" s="245" t="str">
        <f>IF(ISNUMBER(SEARCH("R", 'WetLitterbags placem_collection'!$Y137)),"YES","NO")</f>
        <v>NO</v>
      </c>
      <c r="AB430" s="245" t="str">
        <f>IF(ISNUMBER(SEARCH("C", 'WetLitterbags placem_collection'!$W137)),"YES","NO")</f>
        <v>NO</v>
      </c>
      <c r="AC430" s="245" t="str">
        <f>IF(ISNUMBER(SEARCH("H", 'WetLitterbags placem_collection'!$W137)),"YES","NO")</f>
        <v>NO</v>
      </c>
      <c r="AD430" s="245" t="str">
        <f>IF(ISNUMBER(SEARCH("R", 'WetLitterbags placem_collection'!$W137)),"YES","NO")</f>
        <v>YES</v>
      </c>
    </row>
    <row r="431" spans="2:30">
      <c r="B431" t="str">
        <f>Wetseason!B577</f>
        <v>Wet</v>
      </c>
      <c r="C431" s="253">
        <f>Wetseason!C577</f>
        <v>136</v>
      </c>
      <c r="D431" t="s">
        <v>3121</v>
      </c>
      <c r="E431" t="s">
        <v>25</v>
      </c>
      <c r="F431" s="375">
        <v>8</v>
      </c>
      <c r="G431" s="16">
        <f>'WetLitterbags placem_collection'!E138</f>
        <v>42762</v>
      </c>
      <c r="H431" s="92" t="str">
        <f>Wetseason!L577</f>
        <v>G747</v>
      </c>
      <c r="I431" t="str">
        <f>Wetseason!L797</f>
        <v>R543</v>
      </c>
      <c r="J431">
        <f>IFERROR(INDEX('Green_rooibos initial weight'!$C$5:$C$2000,MATCH(H431, 'Green_rooibos initial weight'!$A$5:$A$2000,0)),"")</f>
        <v>2.044</v>
      </c>
      <c r="K431">
        <f>IFERROR(INDEX('Green_rooibos initial weight'!$C$5:$C$2000,MATCH(I431, 'Green_rooibos initial weight'!$A$5:$A$2000,0)),"")</f>
        <v>2.2730000000000001</v>
      </c>
      <c r="L431" s="194">
        <f t="shared" si="47"/>
        <v>1.7942</v>
      </c>
      <c r="M431" s="194">
        <f t="shared" si="45"/>
        <v>2.0232000000000001</v>
      </c>
      <c r="N431" s="16">
        <f>IF('WetLitterbags placem_collection'!G138="","",'WetLitterbags placem_collection'!G138)</f>
        <v>42816</v>
      </c>
      <c r="O431" s="194">
        <f>IFERROR(INDEX('Both teabags AfterWet'!$C$3:$C$2000,MATCH(H431,'Both teabags AfterWet'!$A$3:$A$2000,0)),"")</f>
        <v>0.59630000000000005</v>
      </c>
      <c r="P431" s="194">
        <f>IFERROR(INDEX('Both teabags AfterWet'!$C$3:$C$2000,MATCH(I431,'Both teabags AfterWet'!$A$3:$A$2000,0)),"")</f>
        <v>1.5604</v>
      </c>
      <c r="Q431" s="194">
        <f t="shared" si="48"/>
        <v>0.44570000000000004</v>
      </c>
      <c r="R431" s="194">
        <f t="shared" si="48"/>
        <v>1.4097999999999999</v>
      </c>
      <c r="S431" s="194">
        <f t="shared" si="49"/>
        <v>0.75158845167762789</v>
      </c>
      <c r="T431" s="194">
        <f t="shared" si="50"/>
        <v>0.49272782105231666</v>
      </c>
      <c r="U431" s="194">
        <f t="shared" si="51"/>
        <v>0.69681692368525106</v>
      </c>
      <c r="V431">
        <f t="shared" si="46"/>
        <v>54</v>
      </c>
      <c r="W431" s="194">
        <f t="shared" si="52"/>
        <v>0.10737713577478869</v>
      </c>
      <c r="X431" s="194">
        <f t="shared" si="53"/>
        <v>1.7691329959885146E-2</v>
      </c>
      <c r="Y431" s="245" t="str">
        <f>IF(ISNUMBER(SEARCH("C",'WetLitterbags placem_collection'!$Y138)),"YES","NO")</f>
        <v>NO</v>
      </c>
      <c r="Z431" s="245" t="str">
        <f>IF(ISNUMBER(SEARCH("H", 'WetLitterbags placem_collection'!$Y138)),"YES","NO")</f>
        <v>NO</v>
      </c>
      <c r="AA431" s="245" t="str">
        <f>IF(ISNUMBER(SEARCH("R", 'WetLitterbags placem_collection'!$Y138)),"YES","NO")</f>
        <v>YES</v>
      </c>
      <c r="AB431" s="245" t="str">
        <f>IF(ISNUMBER(SEARCH("C", 'WetLitterbags placem_collection'!$W138)),"YES","NO")</f>
        <v>NO</v>
      </c>
      <c r="AC431" s="245" t="str">
        <f>IF(ISNUMBER(SEARCH("H", 'WetLitterbags placem_collection'!$W138)),"YES","NO")</f>
        <v>NO</v>
      </c>
      <c r="AD431" s="245" t="str">
        <f>IF(ISNUMBER(SEARCH("R", 'WetLitterbags placem_collection'!$W138)),"YES","NO")</f>
        <v>YES</v>
      </c>
    </row>
    <row r="432" spans="2:30">
      <c r="B432" t="str">
        <f>Wetseason!B578</f>
        <v>Wet</v>
      </c>
      <c r="C432" s="253">
        <f>Wetseason!C578</f>
        <v>137</v>
      </c>
      <c r="D432" t="s">
        <v>3123</v>
      </c>
      <c r="E432" t="s">
        <v>25</v>
      </c>
      <c r="F432" s="374">
        <v>1</v>
      </c>
      <c r="G432" s="16">
        <f>'WetLitterbags placem_collection'!E139</f>
        <v>42762</v>
      </c>
      <c r="H432" s="92" t="str">
        <f>Wetseason!L578</f>
        <v>G857</v>
      </c>
      <c r="I432" t="str">
        <f>Wetseason!L798</f>
        <v>R483</v>
      </c>
      <c r="J432">
        <f>IFERROR(INDEX('Green_rooibos initial weight'!$C$5:$C$2000,MATCH(H432, 'Green_rooibos initial weight'!$A$5:$A$2000,0)),"")</f>
        <v>1.927</v>
      </c>
      <c r="K432">
        <f>IFERROR(INDEX('Green_rooibos initial weight'!$C$5:$C$2000,MATCH(I432, 'Green_rooibos initial weight'!$A$5:$A$2000,0)),"")</f>
        <v>2.1970000000000001</v>
      </c>
      <c r="L432" s="194">
        <f t="shared" si="47"/>
        <v>1.6772</v>
      </c>
      <c r="M432" s="194">
        <f t="shared" si="45"/>
        <v>1.9472</v>
      </c>
      <c r="N432" s="16">
        <f>IF('WetLitterbags placem_collection'!G139="","",'WetLitterbags placem_collection'!G139)</f>
        <v>42816</v>
      </c>
      <c r="O432" s="194">
        <f>IFERROR(INDEX('Both teabags AfterWet'!$C$3:$C$2000,MATCH(H432,'Both teabags AfterWet'!$A$3:$A$2000,0)),"")</f>
        <v>0.6</v>
      </c>
      <c r="P432" s="194">
        <f>IFERROR(INDEX('Both teabags AfterWet'!$C$3:$C$2000,MATCH(I432,'Both teabags AfterWet'!$A$3:$A$2000,0)),"")</f>
        <v>1.778</v>
      </c>
      <c r="Q432" s="194">
        <f t="shared" si="48"/>
        <v>0.44939999999999997</v>
      </c>
      <c r="R432" s="194">
        <f t="shared" si="48"/>
        <v>1.6274</v>
      </c>
      <c r="S432" s="194">
        <f t="shared" si="49"/>
        <v>0.73205342237061766</v>
      </c>
      <c r="T432" s="194">
        <f t="shared" si="50"/>
        <v>0.47992100849000119</v>
      </c>
      <c r="U432" s="194">
        <f t="shared" si="51"/>
        <v>0.83576417419884963</v>
      </c>
      <c r="V432">
        <f t="shared" si="46"/>
        <v>54</v>
      </c>
      <c r="W432" s="194">
        <f t="shared" si="52"/>
        <v>0.13057788317028773</v>
      </c>
      <c r="X432" s="194">
        <f t="shared" si="53"/>
        <v>7.7569641673095194E-3</v>
      </c>
      <c r="Y432" s="245" t="str">
        <f>IF(ISNUMBER(SEARCH("C",'WetLitterbags placem_collection'!$Y139)),"YES","NO")</f>
        <v>NO</v>
      </c>
      <c r="Z432" s="245" t="str">
        <f>IF(ISNUMBER(SEARCH("H", 'WetLitterbags placem_collection'!$Y139)),"YES","NO")</f>
        <v>NO</v>
      </c>
      <c r="AA432" s="245" t="str">
        <f>IF(ISNUMBER(SEARCH("R", 'WetLitterbags placem_collection'!$Y139)),"YES","NO")</f>
        <v>NO</v>
      </c>
      <c r="AB432" s="245" t="str">
        <f>IF(ISNUMBER(SEARCH("C", 'WetLitterbags placem_collection'!$W139)),"YES","NO")</f>
        <v>YES</v>
      </c>
      <c r="AC432" s="245" t="str">
        <f>IF(ISNUMBER(SEARCH("H", 'WetLitterbags placem_collection'!$W139)),"YES","NO")</f>
        <v>NO</v>
      </c>
      <c r="AD432" s="245" t="str">
        <f>IF(ISNUMBER(SEARCH("R", 'WetLitterbags placem_collection'!$W139)),"YES","NO")</f>
        <v>NO</v>
      </c>
    </row>
    <row r="433" spans="2:30">
      <c r="B433" t="str">
        <f>Wetseason!B579</f>
        <v>Wet</v>
      </c>
      <c r="C433" s="253">
        <f>Wetseason!C579</f>
        <v>138</v>
      </c>
      <c r="D433" t="s">
        <v>3123</v>
      </c>
      <c r="E433" t="s">
        <v>25</v>
      </c>
      <c r="F433" s="374">
        <v>2</v>
      </c>
      <c r="G433" s="16">
        <f>'WetLitterbags placem_collection'!E140</f>
        <v>42762</v>
      </c>
      <c r="H433" s="92" t="str">
        <f>Wetseason!L579</f>
        <v>G623</v>
      </c>
      <c r="I433" t="str">
        <f>Wetseason!L799</f>
        <v>R21</v>
      </c>
      <c r="J433">
        <f>IFERROR(INDEX('Green_rooibos initial weight'!$C$5:$C$2000,MATCH(H433, 'Green_rooibos initial weight'!$A$5:$A$2000,0)),"")</f>
        <v>2.1040000000000001</v>
      </c>
      <c r="K433">
        <f>IFERROR(INDEX('Green_rooibos initial weight'!$C$5:$C$2000,MATCH(I433, 'Green_rooibos initial weight'!$A$5:$A$2000,0)),"")</f>
        <v>2.0249999999999999</v>
      </c>
      <c r="L433" s="194">
        <f t="shared" si="47"/>
        <v>1.8542000000000001</v>
      </c>
      <c r="M433" s="194">
        <f t="shared" si="45"/>
        <v>1.7751999999999999</v>
      </c>
      <c r="N433" s="16">
        <f>IF('WetLitterbags placem_collection'!G140="","",'WetLitterbags placem_collection'!G140)</f>
        <v>42816</v>
      </c>
      <c r="O433" s="194">
        <f>IFERROR(INDEX('Both teabags AfterWet'!$C$3:$C$2000,MATCH(H433,'Both teabags AfterWet'!$A$3:$A$2000,0)),"")</f>
        <v>0.64800000000000002</v>
      </c>
      <c r="P433" s="194">
        <f>IFERROR(INDEX('Both teabags AfterWet'!$C$3:$C$2000,MATCH(I433,'Both teabags AfterWet'!$A$3:$A$2000,0)),"")</f>
        <v>1.522</v>
      </c>
      <c r="Q433" s="194">
        <f t="shared" si="48"/>
        <v>0.49740000000000001</v>
      </c>
      <c r="R433" s="194">
        <f t="shared" si="48"/>
        <v>1.3714</v>
      </c>
      <c r="S433" s="194">
        <f t="shared" si="49"/>
        <v>0.73174414841980373</v>
      </c>
      <c r="T433" s="194">
        <f t="shared" si="50"/>
        <v>0.47971825407094026</v>
      </c>
      <c r="U433" s="194">
        <f t="shared" si="51"/>
        <v>0.77253267237494372</v>
      </c>
      <c r="V433">
        <f t="shared" si="46"/>
        <v>54</v>
      </c>
      <c r="W433" s="194">
        <f t="shared" si="52"/>
        <v>0.1309451919004706</v>
      </c>
      <c r="X433" s="194">
        <f t="shared" si="53"/>
        <v>1.1903233868994691E-2</v>
      </c>
      <c r="Y433" s="245" t="str">
        <f>IF(ISNUMBER(SEARCH("C",'WetLitterbags placem_collection'!$Y140)),"YES","NO")</f>
        <v>NO</v>
      </c>
      <c r="Z433" s="245" t="str">
        <f>IF(ISNUMBER(SEARCH("H", 'WetLitterbags placem_collection'!$Y140)),"YES","NO")</f>
        <v>NO</v>
      </c>
      <c r="AA433" s="245" t="str">
        <f>IF(ISNUMBER(SEARCH("R", 'WetLitterbags placem_collection'!$Y140)),"YES","NO")</f>
        <v>NO</v>
      </c>
      <c r="AB433" s="245" t="str">
        <f>IF(ISNUMBER(SEARCH("C", 'WetLitterbags placem_collection'!$W140)),"YES","NO")</f>
        <v>NO</v>
      </c>
      <c r="AC433" s="245" t="str">
        <f>IF(ISNUMBER(SEARCH("H", 'WetLitterbags placem_collection'!$W140)),"YES","NO")</f>
        <v>NO</v>
      </c>
      <c r="AD433" s="245" t="str">
        <f>IF(ISNUMBER(SEARCH("R", 'WetLitterbags placem_collection'!$W140)),"YES","NO")</f>
        <v>NO</v>
      </c>
    </row>
    <row r="434" spans="2:30">
      <c r="B434" t="str">
        <f>Wetseason!B580</f>
        <v>Wet</v>
      </c>
      <c r="C434" s="253">
        <f>Wetseason!C580</f>
        <v>139</v>
      </c>
      <c r="D434" t="s">
        <v>3123</v>
      </c>
      <c r="E434" t="s">
        <v>25</v>
      </c>
      <c r="F434" s="374">
        <v>3</v>
      </c>
      <c r="G434" s="16">
        <f>'WetLitterbags placem_collection'!E141</f>
        <v>42762</v>
      </c>
      <c r="H434" s="92" t="str">
        <f>Wetseason!L580</f>
        <v>G880</v>
      </c>
      <c r="I434" t="str">
        <f>Wetseason!L800</f>
        <v>R538</v>
      </c>
      <c r="J434">
        <f>IFERROR(INDEX('Green_rooibos initial weight'!$C$5:$C$2000,MATCH(H434, 'Green_rooibos initial weight'!$A$5:$A$2000,0)),"")</f>
        <v>2.1030000000000002</v>
      </c>
      <c r="K434">
        <f>IFERROR(INDEX('Green_rooibos initial weight'!$C$5:$C$2000,MATCH(I434, 'Green_rooibos initial weight'!$A$5:$A$2000,0)),"")</f>
        <v>2.2000000000000002</v>
      </c>
      <c r="L434" s="194">
        <f t="shared" si="47"/>
        <v>1.8532000000000002</v>
      </c>
      <c r="M434" s="194">
        <f t="shared" si="45"/>
        <v>1.9502000000000002</v>
      </c>
      <c r="N434" s="16">
        <f>IF('WetLitterbags placem_collection'!G141="","",'WetLitterbags placem_collection'!G141)</f>
        <v>42816</v>
      </c>
      <c r="O434" s="194">
        <f>IFERROR(INDEX('Both teabags AfterWet'!$C$3:$C$2000,MATCH(H434,'Both teabags AfterWet'!$A$3:$A$2000,0)),"")</f>
        <v>0.73599999999999999</v>
      </c>
      <c r="P434" s="194">
        <f>IFERROR(INDEX('Both teabags AfterWet'!$C$3:$C$2000,MATCH(I434,'Both teabags AfterWet'!$A$3:$A$2000,0)),"")</f>
        <v>1.415</v>
      </c>
      <c r="Q434" s="194">
        <f t="shared" si="48"/>
        <v>0.58539999999999992</v>
      </c>
      <c r="R434" s="194">
        <f t="shared" si="48"/>
        <v>1.2644</v>
      </c>
      <c r="S434" s="194">
        <f t="shared" si="49"/>
        <v>0.68411396503345578</v>
      </c>
      <c r="T434" s="194">
        <f t="shared" si="50"/>
        <v>0.44849276567513968</v>
      </c>
      <c r="U434" s="194">
        <f t="shared" si="51"/>
        <v>0.6483437596143985</v>
      </c>
      <c r="V434">
        <f t="shared" si="46"/>
        <v>54</v>
      </c>
      <c r="W434" s="194">
        <f t="shared" si="52"/>
        <v>0.1875131056609789</v>
      </c>
      <c r="X434" s="194">
        <f t="shared" si="53"/>
        <v>2.838645001556955E-2</v>
      </c>
      <c r="Y434" s="245" t="str">
        <f>IF(ISNUMBER(SEARCH("C",'WetLitterbags placem_collection'!$Y141)),"YES","NO")</f>
        <v>NO</v>
      </c>
      <c r="Z434" s="245" t="str">
        <f>IF(ISNUMBER(SEARCH("H", 'WetLitterbags placem_collection'!$Y141)),"YES","NO")</f>
        <v>NO</v>
      </c>
      <c r="AA434" s="245" t="str">
        <f>IF(ISNUMBER(SEARCH("R", 'WetLitterbags placem_collection'!$Y141)),"YES","NO")</f>
        <v>NO</v>
      </c>
      <c r="AB434" s="245" t="str">
        <f>IF(ISNUMBER(SEARCH("C", 'WetLitterbags placem_collection'!$W141)),"YES","NO")</f>
        <v>YES</v>
      </c>
      <c r="AC434" s="245" t="str">
        <f>IF(ISNUMBER(SEARCH("H", 'WetLitterbags placem_collection'!$W141)),"YES","NO")</f>
        <v>YES</v>
      </c>
      <c r="AD434" s="245" t="str">
        <f>IF(ISNUMBER(SEARCH("R", 'WetLitterbags placem_collection'!$W141)),"YES","NO")</f>
        <v>YES</v>
      </c>
    </row>
    <row r="435" spans="2:30">
      <c r="B435" t="str">
        <f>Wetseason!B581</f>
        <v>Wet</v>
      </c>
      <c r="C435" s="253">
        <f>Wetseason!C581</f>
        <v>140</v>
      </c>
      <c r="D435" t="s">
        <v>3123</v>
      </c>
      <c r="E435" t="s">
        <v>25</v>
      </c>
      <c r="F435" s="375">
        <v>4</v>
      </c>
      <c r="G435" s="16">
        <f>'WetLitterbags placem_collection'!E142</f>
        <v>42762</v>
      </c>
      <c r="H435" s="92" t="str">
        <f>Wetseason!L581</f>
        <v>G706</v>
      </c>
      <c r="I435" t="str">
        <f>Wetseason!L801</f>
        <v>R559</v>
      </c>
      <c r="J435">
        <f>IFERROR(INDEX('Green_rooibos initial weight'!$C$5:$C$2000,MATCH(H435, 'Green_rooibos initial weight'!$A$5:$A$2000,0)),"")</f>
        <v>1.9450000000000001</v>
      </c>
      <c r="K435">
        <f>IFERROR(INDEX('Green_rooibos initial weight'!$C$5:$C$2000,MATCH(I435, 'Green_rooibos initial weight'!$A$5:$A$2000,0)),"")</f>
        <v>2.161</v>
      </c>
      <c r="L435" s="194">
        <f t="shared" si="47"/>
        <v>1.6952</v>
      </c>
      <c r="M435" s="194">
        <f t="shared" si="45"/>
        <v>1.9112</v>
      </c>
      <c r="N435" s="16">
        <f>IF('WetLitterbags placem_collection'!G142="","",'WetLitterbags placem_collection'!G142)</f>
        <v>42816</v>
      </c>
      <c r="O435" s="194">
        <f>IFERROR(INDEX('Both teabags AfterWet'!$C$3:$C$2000,MATCH(H435,'Both teabags AfterWet'!$A$3:$A$2000,0)),"")</f>
        <v>0.60780000000000001</v>
      </c>
      <c r="P435" s="194">
        <f>IFERROR(INDEX('Both teabags AfterWet'!$C$3:$C$2000,MATCH(I435,'Both teabags AfterWet'!$A$3:$A$2000,0)),"")</f>
        <v>1.6634</v>
      </c>
      <c r="Q435" s="194">
        <f t="shared" si="48"/>
        <v>0.4572</v>
      </c>
      <c r="R435" s="194">
        <f t="shared" si="48"/>
        <v>1.5127999999999999</v>
      </c>
      <c r="S435" s="194">
        <f t="shared" si="49"/>
        <v>0.73029731005191123</v>
      </c>
      <c r="T435" s="194">
        <f t="shared" si="50"/>
        <v>0.47876973295564734</v>
      </c>
      <c r="U435" s="194">
        <f t="shared" si="51"/>
        <v>0.79154457932189193</v>
      </c>
      <c r="V435">
        <f t="shared" si="46"/>
        <v>54</v>
      </c>
      <c r="W435" s="194">
        <f t="shared" si="52"/>
        <v>0.13266352725426211</v>
      </c>
      <c r="X435" s="194">
        <f t="shared" si="53"/>
        <v>1.0585821404153662E-2</v>
      </c>
      <c r="Y435" s="245" t="str">
        <f>IF(ISNUMBER(SEARCH("C",'WetLitterbags placem_collection'!$Y142)),"YES","NO")</f>
        <v>NO</v>
      </c>
      <c r="Z435" s="245" t="str">
        <f>IF(ISNUMBER(SEARCH("H", 'WetLitterbags placem_collection'!$Y142)),"YES","NO")</f>
        <v>NO</v>
      </c>
      <c r="AA435" s="245" t="str">
        <f>IF(ISNUMBER(SEARCH("R", 'WetLitterbags placem_collection'!$Y142)),"YES","NO")</f>
        <v>NO</v>
      </c>
      <c r="AB435" s="245" t="str">
        <f>IF(ISNUMBER(SEARCH("C", 'WetLitterbags placem_collection'!$W142)),"YES","NO")</f>
        <v>NO</v>
      </c>
      <c r="AC435" s="245" t="str">
        <f>IF(ISNUMBER(SEARCH("H", 'WetLitterbags placem_collection'!$W142)),"YES","NO")</f>
        <v>NO</v>
      </c>
      <c r="AD435" s="245" t="str">
        <f>IF(ISNUMBER(SEARCH("R", 'WetLitterbags placem_collection'!$W142)),"YES","NO")</f>
        <v>YES</v>
      </c>
    </row>
    <row r="436" spans="2:30">
      <c r="B436" t="str">
        <f>Wetseason!B582</f>
        <v>Wet</v>
      </c>
      <c r="C436" s="253">
        <f>Wetseason!C582</f>
        <v>141</v>
      </c>
      <c r="D436" t="s">
        <v>3123</v>
      </c>
      <c r="E436" t="s">
        <v>25</v>
      </c>
      <c r="F436" s="375">
        <v>5</v>
      </c>
      <c r="G436" s="16">
        <f>'WetLitterbags placem_collection'!E143</f>
        <v>42762</v>
      </c>
      <c r="H436" s="92" t="str">
        <f>Wetseason!L582</f>
        <v>G775</v>
      </c>
      <c r="I436" t="str">
        <f>Wetseason!L802</f>
        <v>R465</v>
      </c>
      <c r="J436">
        <f>IFERROR(INDEX('Green_rooibos initial weight'!$C$5:$C$2000,MATCH(H436, 'Green_rooibos initial weight'!$A$5:$A$2000,0)),"")</f>
        <v>2.1389999999999998</v>
      </c>
      <c r="K436">
        <f>IFERROR(INDEX('Green_rooibos initial weight'!$C$5:$C$2000,MATCH(I436, 'Green_rooibos initial weight'!$A$5:$A$2000,0)),"")</f>
        <v>2.206</v>
      </c>
      <c r="L436" s="194">
        <f t="shared" si="47"/>
        <v>1.8891999999999998</v>
      </c>
      <c r="M436" s="194">
        <f t="shared" si="45"/>
        <v>1.9561999999999999</v>
      </c>
      <c r="N436" s="16">
        <f>IF('WetLitterbags placem_collection'!G143="","",'WetLitterbags placem_collection'!G143)</f>
        <v>42816</v>
      </c>
      <c r="O436" s="194">
        <f>IFERROR(INDEX('Both teabags AfterWet'!$C$3:$C$2000,MATCH(H436,'Both teabags AfterWet'!$A$3:$A$2000,0)),"")</f>
        <v>0.69099999999999995</v>
      </c>
      <c r="P436" s="194">
        <f>IFERROR(INDEX('Both teabags AfterWet'!$C$3:$C$2000,MATCH(I436,'Both teabags AfterWet'!$A$3:$A$2000,0)),"")</f>
        <v>1.6759999999999999</v>
      </c>
      <c r="Q436" s="194">
        <f t="shared" si="48"/>
        <v>0.54039999999999999</v>
      </c>
      <c r="R436" s="194">
        <f t="shared" si="48"/>
        <v>1.5253999999999999</v>
      </c>
      <c r="S436" s="194">
        <f t="shared" si="49"/>
        <v>0.71395299597713313</v>
      </c>
      <c r="T436" s="194">
        <f t="shared" si="50"/>
        <v>0.46805469569997332</v>
      </c>
      <c r="U436" s="194">
        <f t="shared" si="51"/>
        <v>0.77977711890399748</v>
      </c>
      <c r="V436">
        <f t="shared" si="46"/>
        <v>54</v>
      </c>
      <c r="W436" s="194">
        <f t="shared" si="52"/>
        <v>0.15207482663048322</v>
      </c>
      <c r="X436" s="194">
        <f t="shared" si="53"/>
        <v>1.1774718723263489E-2</v>
      </c>
      <c r="Y436" s="245" t="str">
        <f>IF(ISNUMBER(SEARCH("C",'WetLitterbags placem_collection'!$Y143)),"YES","NO")</f>
        <v>NO</v>
      </c>
      <c r="Z436" s="245" t="str">
        <f>IF(ISNUMBER(SEARCH("H", 'WetLitterbags placem_collection'!$Y143)),"YES","NO")</f>
        <v>NO</v>
      </c>
      <c r="AA436" s="245" t="str">
        <f>IF(ISNUMBER(SEARCH("R", 'WetLitterbags placem_collection'!$Y143)),"YES","NO")</f>
        <v>NO</v>
      </c>
      <c r="AB436" s="245" t="str">
        <f>IF(ISNUMBER(SEARCH("C", 'WetLitterbags placem_collection'!$W143)),"YES","NO")</f>
        <v>YES</v>
      </c>
      <c r="AC436" s="245" t="str">
        <f>IF(ISNUMBER(SEARCH("H", 'WetLitterbags placem_collection'!$W143)),"YES","NO")</f>
        <v>YES</v>
      </c>
      <c r="AD436" s="245" t="str">
        <f>IF(ISNUMBER(SEARCH("R", 'WetLitterbags placem_collection'!$W143)),"YES","NO")</f>
        <v>YES</v>
      </c>
    </row>
    <row r="437" spans="2:30">
      <c r="B437" t="str">
        <f>Wetseason!B583</f>
        <v>Wet</v>
      </c>
      <c r="C437" s="253">
        <f>Wetseason!C583</f>
        <v>142</v>
      </c>
      <c r="D437" t="s">
        <v>3123</v>
      </c>
      <c r="E437" t="s">
        <v>25</v>
      </c>
      <c r="F437" s="375">
        <v>6</v>
      </c>
      <c r="G437" s="16">
        <f>'WetLitterbags placem_collection'!E144</f>
        <v>42762</v>
      </c>
      <c r="H437" s="92" t="str">
        <f>Wetseason!L583</f>
        <v>G850</v>
      </c>
      <c r="I437" t="str">
        <f>Wetseason!L803</f>
        <v>R503</v>
      </c>
      <c r="J437">
        <f>IFERROR(INDEX('Green_rooibos initial weight'!$C$5:$C$2000,MATCH(H437, 'Green_rooibos initial weight'!$A$5:$A$2000,0)),"")</f>
        <v>2.0379999999999998</v>
      </c>
      <c r="K437">
        <f>IFERROR(INDEX('Green_rooibos initial weight'!$C$5:$C$2000,MATCH(I437, 'Green_rooibos initial weight'!$A$5:$A$2000,0)),"")</f>
        <v>2.1709999999999998</v>
      </c>
      <c r="L437" s="194">
        <f t="shared" si="47"/>
        <v>1.7881999999999998</v>
      </c>
      <c r="M437" s="194">
        <f t="shared" si="45"/>
        <v>1.9211999999999998</v>
      </c>
      <c r="N437" s="16">
        <f>IF('WetLitterbags placem_collection'!G144="","",'WetLitterbags placem_collection'!G144)</f>
        <v>42816</v>
      </c>
      <c r="O437" s="194">
        <f>IFERROR(INDEX('Both teabags AfterWet'!$C$3:$C$2000,MATCH(H437,'Both teabags AfterWet'!$A$3:$A$2000,0)),"")</f>
        <v>0.78500000000000003</v>
      </c>
      <c r="P437" s="194">
        <f>IFERROR(INDEX('Both teabags AfterWet'!$C$3:$C$2000,MATCH(I437,'Both teabags AfterWet'!$A$3:$A$2000,0)),"")</f>
        <v>1.0640000000000001</v>
      </c>
      <c r="Q437" s="194">
        <f t="shared" si="48"/>
        <v>0.63440000000000007</v>
      </c>
      <c r="R437" s="194">
        <f t="shared" si="48"/>
        <v>0.91339999999999999</v>
      </c>
      <c r="S437" s="194">
        <f t="shared" si="49"/>
        <v>0.64522984006263273</v>
      </c>
      <c r="T437" s="194">
        <f t="shared" si="50"/>
        <v>0.42300103529046712</v>
      </c>
      <c r="U437" s="194">
        <f t="shared" si="51"/>
        <v>0.47543202165313353</v>
      </c>
      <c r="V437">
        <f t="shared" si="46"/>
        <v>54</v>
      </c>
      <c r="W437" s="194">
        <f t="shared" si="52"/>
        <v>0.23369377664770452</v>
      </c>
      <c r="X437" s="194" t="str">
        <f t="shared" si="53"/>
        <v/>
      </c>
      <c r="Y437" s="245" t="str">
        <f>IF(ISNUMBER(SEARCH("C",'WetLitterbags placem_collection'!$Y144)),"YES","NO")</f>
        <v>NO</v>
      </c>
      <c r="Z437" s="245" t="str">
        <f>IF(ISNUMBER(SEARCH("H", 'WetLitterbags placem_collection'!$Y144)),"YES","NO")</f>
        <v>NO</v>
      </c>
      <c r="AA437" s="245" t="str">
        <f>IF(ISNUMBER(SEARCH("R", 'WetLitterbags placem_collection'!$Y144)),"YES","NO")</f>
        <v>YES</v>
      </c>
      <c r="AB437" s="245" t="str">
        <f>IF(ISNUMBER(SEARCH("C", 'WetLitterbags placem_collection'!$W144)),"YES","NO")</f>
        <v>NO</v>
      </c>
      <c r="AC437" s="245" t="str">
        <f>IF(ISNUMBER(SEARCH("H", 'WetLitterbags placem_collection'!$W144)),"YES","NO")</f>
        <v>YES</v>
      </c>
      <c r="AD437" s="245" t="str">
        <f>IF(ISNUMBER(SEARCH("R", 'WetLitterbags placem_collection'!$W144)),"YES","NO")</f>
        <v>NO</v>
      </c>
    </row>
    <row r="438" spans="2:30">
      <c r="B438" t="str">
        <f>Wetseason!B584</f>
        <v>Wet</v>
      </c>
      <c r="C438" s="253">
        <f>Wetseason!C584</f>
        <v>143</v>
      </c>
      <c r="D438" t="s">
        <v>3123</v>
      </c>
      <c r="E438" t="s">
        <v>25</v>
      </c>
      <c r="F438" s="375">
        <v>7</v>
      </c>
      <c r="G438" s="16">
        <f>'WetLitterbags placem_collection'!E145</f>
        <v>42762</v>
      </c>
      <c r="H438" s="92" t="str">
        <f>Wetseason!L584</f>
        <v>G697</v>
      </c>
      <c r="I438" t="str">
        <f>Wetseason!L804</f>
        <v>R567</v>
      </c>
      <c r="J438">
        <f>IFERROR(INDEX('Green_rooibos initial weight'!$C$5:$C$2000,MATCH(H438, 'Green_rooibos initial weight'!$A$5:$A$2000,0)),"")</f>
        <v>2.1110000000000002</v>
      </c>
      <c r="K438">
        <f>IFERROR(INDEX('Green_rooibos initial weight'!$C$5:$C$2000,MATCH(I438, 'Green_rooibos initial weight'!$A$5:$A$2000,0)),"")</f>
        <v>2.097</v>
      </c>
      <c r="L438" s="194">
        <f t="shared" si="47"/>
        <v>1.8612000000000002</v>
      </c>
      <c r="M438" s="194">
        <f t="shared" si="45"/>
        <v>1.8472</v>
      </c>
      <c r="N438" s="16">
        <f>IF('WetLitterbags placem_collection'!G145="","",'WetLitterbags placem_collection'!G145)</f>
        <v>42816</v>
      </c>
      <c r="O438" s="194">
        <f>IFERROR(INDEX('Both teabags AfterWet'!$C$3:$C$2000,MATCH(H438,'Both teabags AfterWet'!$A$3:$A$2000,0)),"")</f>
        <v>0.67500000000000004</v>
      </c>
      <c r="P438" s="194">
        <f>IFERROR(INDEX('Both teabags AfterWet'!$C$3:$C$2000,MATCH(I438,'Both teabags AfterWet'!$A$3:$A$2000,0)),"")</f>
        <v>1.5908</v>
      </c>
      <c r="Q438" s="194">
        <f t="shared" si="48"/>
        <v>0.52439999999999998</v>
      </c>
      <c r="R438" s="194">
        <f t="shared" si="48"/>
        <v>1.4401999999999999</v>
      </c>
      <c r="S438" s="194">
        <f t="shared" si="49"/>
        <v>0.71824629271437779</v>
      </c>
      <c r="T438" s="194">
        <f t="shared" si="50"/>
        <v>0.4708693035372169</v>
      </c>
      <c r="U438" s="194">
        <f t="shared" si="51"/>
        <v>0.77966652230402766</v>
      </c>
      <c r="V438">
        <f t="shared" si="46"/>
        <v>54</v>
      </c>
      <c r="W438" s="194">
        <f t="shared" si="52"/>
        <v>0.14697589938909994</v>
      </c>
      <c r="X438" s="194">
        <f t="shared" si="53"/>
        <v>1.1684789642562268E-2</v>
      </c>
      <c r="Y438" s="245" t="str">
        <f>IF(ISNUMBER(SEARCH("C",'WetLitterbags placem_collection'!$Y145)),"YES","NO")</f>
        <v>NO</v>
      </c>
      <c r="Z438" s="245" t="str">
        <f>IF(ISNUMBER(SEARCH("H", 'WetLitterbags placem_collection'!$Y145)),"YES","NO")</f>
        <v>NO</v>
      </c>
      <c r="AA438" s="245" t="str">
        <f>IF(ISNUMBER(SEARCH("R", 'WetLitterbags placem_collection'!$Y145)),"YES","NO")</f>
        <v>NO</v>
      </c>
      <c r="AB438" s="245" t="str">
        <f>IF(ISNUMBER(SEARCH("C", 'WetLitterbags placem_collection'!$W145)),"YES","NO")</f>
        <v>NO</v>
      </c>
      <c r="AC438" s="245" t="str">
        <f>IF(ISNUMBER(SEARCH("H", 'WetLitterbags placem_collection'!$W145)),"YES","NO")</f>
        <v>NO</v>
      </c>
      <c r="AD438" s="245" t="str">
        <f>IF(ISNUMBER(SEARCH("R", 'WetLitterbags placem_collection'!$W145)),"YES","NO")</f>
        <v>NO</v>
      </c>
    </row>
    <row r="439" spans="2:30">
      <c r="B439" t="str">
        <f>Wetseason!B585</f>
        <v>Wet</v>
      </c>
      <c r="C439" s="253">
        <f>Wetseason!C585</f>
        <v>144</v>
      </c>
      <c r="D439" t="s">
        <v>3123</v>
      </c>
      <c r="E439" t="s">
        <v>25</v>
      </c>
      <c r="F439" s="375">
        <v>8</v>
      </c>
      <c r="G439" s="16">
        <f>'WetLitterbags placem_collection'!E146</f>
        <v>42762</v>
      </c>
      <c r="H439" s="92" t="str">
        <f>Wetseason!L585</f>
        <v>G894</v>
      </c>
      <c r="I439" t="str">
        <f>Wetseason!L805</f>
        <v>R15</v>
      </c>
      <c r="J439">
        <f>IFERROR(INDEX('Green_rooibos initial weight'!$C$5:$C$2000,MATCH(H439, 'Green_rooibos initial weight'!$A$5:$A$2000,0)),"")</f>
        <v>1.9630000000000001</v>
      </c>
      <c r="K439">
        <f>IFERROR(INDEX('Green_rooibos initial weight'!$C$5:$C$2000,MATCH(I439, 'Green_rooibos initial weight'!$A$5:$A$2000,0)),"")</f>
        <v>2.2269999999999999</v>
      </c>
      <c r="L439" s="194">
        <f t="shared" si="47"/>
        <v>1.7132000000000001</v>
      </c>
      <c r="M439" s="194">
        <f t="shared" si="45"/>
        <v>1.9771999999999998</v>
      </c>
      <c r="N439" s="16">
        <f>IF('WetLitterbags placem_collection'!G146="","",'WetLitterbags placem_collection'!G146)</f>
        <v>42816</v>
      </c>
      <c r="O439" s="194">
        <f>IFERROR(INDEX('Both teabags AfterWet'!$C$3:$C$2000,MATCH(H439,'Both teabags AfterWet'!$A$3:$A$2000,0)),"")</f>
        <v>0.68200000000000005</v>
      </c>
      <c r="P439" s="194">
        <f>IFERROR(INDEX('Both teabags AfterWet'!$C$3:$C$2000,MATCH(I439,'Both teabags AfterWet'!$A$3:$A$2000,0)),"")</f>
        <v>1.7290000000000001</v>
      </c>
      <c r="Q439" s="194">
        <f t="shared" si="48"/>
        <v>0.53140000000000009</v>
      </c>
      <c r="R439" s="194">
        <f t="shared" si="48"/>
        <v>1.5784</v>
      </c>
      <c r="S439" s="194">
        <f t="shared" si="49"/>
        <v>0.68982021947233241</v>
      </c>
      <c r="T439" s="194">
        <f t="shared" si="50"/>
        <v>0.45223368307449829</v>
      </c>
      <c r="U439" s="194">
        <f t="shared" si="51"/>
        <v>0.79830062714950445</v>
      </c>
      <c r="V439">
        <f t="shared" si="46"/>
        <v>54</v>
      </c>
      <c r="W439" s="194">
        <f t="shared" si="52"/>
        <v>0.18073608138677855</v>
      </c>
      <c r="X439" s="194">
        <f t="shared" si="53"/>
        <v>1.0937095668136587E-2</v>
      </c>
      <c r="Y439" s="245" t="str">
        <f>IF(ISNUMBER(SEARCH("C",'WetLitterbags placem_collection'!$Y146)),"YES","NO")</f>
        <v>NO</v>
      </c>
      <c r="Z439" s="245" t="str">
        <f>IF(ISNUMBER(SEARCH("H", 'WetLitterbags placem_collection'!$Y146)),"YES","NO")</f>
        <v>NO</v>
      </c>
      <c r="AA439" s="245" t="str">
        <f>IF(ISNUMBER(SEARCH("R", 'WetLitterbags placem_collection'!$Y146)),"YES","NO")</f>
        <v>NO</v>
      </c>
      <c r="AB439" s="245" t="str">
        <f>IF(ISNUMBER(SEARCH("C", 'WetLitterbags placem_collection'!$W146)),"YES","NO")</f>
        <v>NO</v>
      </c>
      <c r="AC439" s="245" t="str">
        <f>IF(ISNUMBER(SEARCH("H", 'WetLitterbags placem_collection'!$W146)),"YES","NO")</f>
        <v>YES</v>
      </c>
      <c r="AD439" s="245" t="str">
        <f>IF(ISNUMBER(SEARCH("R", 'WetLitterbags placem_collection'!$W146)),"YES","NO")</f>
        <v>NO</v>
      </c>
    </row>
    <row r="440" spans="2:30">
      <c r="B440" t="str">
        <f>Wetseason!B586</f>
        <v>Wet</v>
      </c>
      <c r="C440" s="253">
        <f>Wetseason!C586</f>
        <v>145</v>
      </c>
      <c r="D440" t="s">
        <v>3124</v>
      </c>
      <c r="E440" t="s">
        <v>25</v>
      </c>
      <c r="F440" s="374">
        <v>1</v>
      </c>
      <c r="G440" s="16">
        <f>'WetLitterbags placem_collection'!E147</f>
        <v>42762</v>
      </c>
      <c r="H440" s="92" t="str">
        <f>Wetseason!L586</f>
        <v>G653</v>
      </c>
      <c r="I440" t="str">
        <f>Wetseason!L806</f>
        <v>R40</v>
      </c>
      <c r="J440">
        <f>IFERROR(INDEX('Green_rooibos initial weight'!$C$5:$C$2000,MATCH(H440, 'Green_rooibos initial weight'!$A$5:$A$2000,0)),"")</f>
        <v>2.089</v>
      </c>
      <c r="K440">
        <f>IFERROR(INDEX('Green_rooibos initial weight'!$C$5:$C$2000,MATCH(I440, 'Green_rooibos initial weight'!$A$5:$A$2000,0)),"")</f>
        <v>2.121</v>
      </c>
      <c r="L440" s="194">
        <f t="shared" si="47"/>
        <v>1.8391999999999999</v>
      </c>
      <c r="M440" s="194">
        <f t="shared" si="45"/>
        <v>1.8712</v>
      </c>
      <c r="N440" s="16">
        <f>IF('WetLitterbags placem_collection'!G147="","",'WetLitterbags placem_collection'!G147)</f>
        <v>42815</v>
      </c>
      <c r="O440" s="194">
        <f>IFERROR(INDEX('Both teabags AfterWet'!$C$3:$C$2000,MATCH(H440,'Both teabags AfterWet'!$A$3:$A$2000,0)),"")</f>
        <v>0.69799999999999995</v>
      </c>
      <c r="P440" s="194">
        <f>IFERROR(INDEX('Both teabags AfterWet'!$C$3:$C$2000,MATCH(I440,'Both teabags AfterWet'!$A$3:$A$2000,0)),"")</f>
        <v>1.589</v>
      </c>
      <c r="Q440" s="194">
        <f t="shared" si="48"/>
        <v>0.54739999999999989</v>
      </c>
      <c r="R440" s="194">
        <f t="shared" si="48"/>
        <v>1.4383999999999999</v>
      </c>
      <c r="S440" s="194">
        <f t="shared" si="49"/>
        <v>0.70237059591126583</v>
      </c>
      <c r="T440" s="194">
        <f t="shared" si="50"/>
        <v>0.46046148330524794</v>
      </c>
      <c r="U440" s="194">
        <f t="shared" si="51"/>
        <v>0.76870457460453179</v>
      </c>
      <c r="V440">
        <f t="shared" si="46"/>
        <v>53</v>
      </c>
      <c r="W440" s="194">
        <f t="shared" si="52"/>
        <v>0.16583064618614507</v>
      </c>
      <c r="X440" s="194">
        <f t="shared" si="53"/>
        <v>1.3165704277186913E-2</v>
      </c>
      <c r="Y440" s="245" t="str">
        <f>IF(ISNUMBER(SEARCH("C",'WetLitterbags placem_collection'!$Y147)),"YES","NO")</f>
        <v>NO</v>
      </c>
      <c r="Z440" s="245" t="str">
        <f>IF(ISNUMBER(SEARCH("H", 'WetLitterbags placem_collection'!$Y147)),"YES","NO")</f>
        <v>NO</v>
      </c>
      <c r="AA440" s="245" t="str">
        <f>IF(ISNUMBER(SEARCH("R", 'WetLitterbags placem_collection'!$Y147)),"YES","NO")</f>
        <v>NO</v>
      </c>
      <c r="AB440" s="245" t="str">
        <f>IF(ISNUMBER(SEARCH("C", 'WetLitterbags placem_collection'!$W147)),"YES","NO")</f>
        <v>NO</v>
      </c>
      <c r="AC440" s="245" t="str">
        <f>IF(ISNUMBER(SEARCH("H", 'WetLitterbags placem_collection'!$W147)),"YES","NO")</f>
        <v>NO</v>
      </c>
      <c r="AD440" s="245" t="str">
        <f>IF(ISNUMBER(SEARCH("R", 'WetLitterbags placem_collection'!$W147)),"YES","NO")</f>
        <v>NO</v>
      </c>
    </row>
    <row r="441" spans="2:30">
      <c r="B441" t="str">
        <f>Wetseason!B587</f>
        <v>Wet</v>
      </c>
      <c r="C441" s="253">
        <f>Wetseason!C587</f>
        <v>146</v>
      </c>
      <c r="D441" t="s">
        <v>3124</v>
      </c>
      <c r="E441" t="s">
        <v>25</v>
      </c>
      <c r="F441" s="374">
        <v>2</v>
      </c>
      <c r="G441" s="16">
        <f>'WetLitterbags placem_collection'!E148</f>
        <v>42762</v>
      </c>
      <c r="H441" s="92" t="str">
        <f>Wetseason!L587</f>
        <v>G762</v>
      </c>
      <c r="I441" t="str">
        <f>Wetseason!L807</f>
        <v>R468</v>
      </c>
      <c r="J441">
        <f>IFERROR(INDEX('Green_rooibos initial weight'!$C$5:$C$2000,MATCH(H441, 'Green_rooibos initial weight'!$A$5:$A$2000,0)),"")</f>
        <v>2.016</v>
      </c>
      <c r="K441">
        <f>IFERROR(INDEX('Green_rooibos initial weight'!$C$5:$C$2000,MATCH(I441, 'Green_rooibos initial weight'!$A$5:$A$2000,0)),"")</f>
        <v>2.2869999999999999</v>
      </c>
      <c r="L441" s="194">
        <f t="shared" si="47"/>
        <v>1.7662</v>
      </c>
      <c r="M441" s="194">
        <f t="shared" si="45"/>
        <v>2.0371999999999999</v>
      </c>
      <c r="N441" s="16">
        <f>IF('WetLitterbags placem_collection'!G148="","",'WetLitterbags placem_collection'!G148)</f>
        <v>42815</v>
      </c>
      <c r="O441" s="194">
        <f>IFERROR(INDEX('Both teabags AfterWet'!$C$3:$C$2000,MATCH(H441,'Both teabags AfterWet'!$A$3:$A$2000,0)),"")</f>
        <v>0.59199999999999997</v>
      </c>
      <c r="P441" s="194">
        <f>IFERROR(INDEX('Both teabags AfterWet'!$C$3:$C$2000,MATCH(I441,'Both teabags AfterWet'!$A$3:$A$2000,0)),"")</f>
        <v>1.657</v>
      </c>
      <c r="Q441" s="194">
        <f t="shared" si="48"/>
        <v>0.44139999999999996</v>
      </c>
      <c r="R441" s="194">
        <f t="shared" si="48"/>
        <v>1.5064</v>
      </c>
      <c r="S441" s="194">
        <f t="shared" si="49"/>
        <v>0.75008492809421357</v>
      </c>
      <c r="T441" s="194">
        <f t="shared" si="50"/>
        <v>0.49174213813302364</v>
      </c>
      <c r="U441" s="194">
        <f t="shared" si="51"/>
        <v>0.73944629884154722</v>
      </c>
      <c r="V441">
        <f t="shared" si="46"/>
        <v>53</v>
      </c>
      <c r="W441" s="194">
        <f t="shared" si="52"/>
        <v>0.10916279323727607</v>
      </c>
      <c r="X441" s="194">
        <f t="shared" si="53"/>
        <v>1.424002541795168E-2</v>
      </c>
      <c r="Y441" s="245" t="str">
        <f>IF(ISNUMBER(SEARCH("C",'WetLitterbags placem_collection'!$Y148)),"YES","NO")</f>
        <v>NO</v>
      </c>
      <c r="Z441" s="245" t="str">
        <f>IF(ISNUMBER(SEARCH("H", 'WetLitterbags placem_collection'!$Y148)),"YES","NO")</f>
        <v>NO</v>
      </c>
      <c r="AA441" s="245" t="str">
        <f>IF(ISNUMBER(SEARCH("R", 'WetLitterbags placem_collection'!$Y148)),"YES","NO")</f>
        <v>NO</v>
      </c>
      <c r="AB441" s="245" t="str">
        <f>IF(ISNUMBER(SEARCH("C", 'WetLitterbags placem_collection'!$W148)),"YES","NO")</f>
        <v>NO</v>
      </c>
      <c r="AC441" s="245" t="str">
        <f>IF(ISNUMBER(SEARCH("H", 'WetLitterbags placem_collection'!$W148)),"YES","NO")</f>
        <v>NO</v>
      </c>
      <c r="AD441" s="245" t="str">
        <f>IF(ISNUMBER(SEARCH("R", 'WetLitterbags placem_collection'!$W148)),"YES","NO")</f>
        <v>NO</v>
      </c>
    </row>
    <row r="442" spans="2:30">
      <c r="B442" t="str">
        <f>Wetseason!B588</f>
        <v>Wet</v>
      </c>
      <c r="C442" s="253">
        <f>Wetseason!C588</f>
        <v>147</v>
      </c>
      <c r="D442" t="s">
        <v>3124</v>
      </c>
      <c r="E442" t="s">
        <v>25</v>
      </c>
      <c r="F442" s="374">
        <v>3</v>
      </c>
      <c r="G442" s="16">
        <f>'WetLitterbags placem_collection'!E149</f>
        <v>42762</v>
      </c>
      <c r="H442" s="92" t="str">
        <f>Wetseason!L588</f>
        <v>G878</v>
      </c>
      <c r="I442" t="str">
        <f>Wetseason!L808</f>
        <v>R582</v>
      </c>
      <c r="J442">
        <f>IFERROR(INDEX('Green_rooibos initial weight'!$C$5:$C$2000,MATCH(H442, 'Green_rooibos initial weight'!$A$5:$A$2000,0)),"")</f>
        <v>2.0939999999999999</v>
      </c>
      <c r="K442">
        <f>IFERROR(INDEX('Green_rooibos initial weight'!$C$5:$C$2000,MATCH(I442, 'Green_rooibos initial weight'!$A$5:$A$2000,0)),"")</f>
        <v>2.2360000000000002</v>
      </c>
      <c r="L442" s="194">
        <f t="shared" si="47"/>
        <v>1.8441999999999998</v>
      </c>
      <c r="M442" s="194">
        <f t="shared" si="45"/>
        <v>1.9862000000000002</v>
      </c>
      <c r="N442" s="16">
        <f>IF('WetLitterbags placem_collection'!G149="","",'WetLitterbags placem_collection'!G149)</f>
        <v>42816</v>
      </c>
      <c r="O442" s="194">
        <f>IFERROR(INDEX('Both teabags AfterWet'!$C$3:$C$2000,MATCH(H442,'Both teabags AfterWet'!$A$3:$A$2000,0)),"")</f>
        <v>0.628</v>
      </c>
      <c r="P442" s="194">
        <f>IFERROR(INDEX('Both teabags AfterWet'!$C$3:$C$2000,MATCH(I442,'Both teabags AfterWet'!$A$3:$A$2000,0)),"")</f>
        <v>1.742</v>
      </c>
      <c r="Q442" s="194">
        <f t="shared" si="48"/>
        <v>0.47739999999999999</v>
      </c>
      <c r="R442" s="194">
        <f t="shared" si="48"/>
        <v>1.5913999999999999</v>
      </c>
      <c r="S442" s="194">
        <f t="shared" si="49"/>
        <v>0.74113436720529224</v>
      </c>
      <c r="T442" s="194">
        <f t="shared" si="50"/>
        <v>0.48587431199206815</v>
      </c>
      <c r="U442" s="194">
        <f t="shared" si="51"/>
        <v>0.80122847648776552</v>
      </c>
      <c r="V442">
        <f t="shared" si="46"/>
        <v>54</v>
      </c>
      <c r="W442" s="194">
        <f t="shared" si="52"/>
        <v>0.11979291305784767</v>
      </c>
      <c r="X442" s="194">
        <f t="shared" si="53"/>
        <v>9.7427717314761807E-3</v>
      </c>
      <c r="Y442" s="245" t="str">
        <f>IF(ISNUMBER(SEARCH("C",'WetLitterbags placem_collection'!$Y149)),"YES","NO")</f>
        <v>NO</v>
      </c>
      <c r="Z442" s="245" t="str">
        <f>IF(ISNUMBER(SEARCH("H", 'WetLitterbags placem_collection'!$Y149)),"YES","NO")</f>
        <v>NO</v>
      </c>
      <c r="AA442" s="245" t="str">
        <f>IF(ISNUMBER(SEARCH("R", 'WetLitterbags placem_collection'!$Y149)),"YES","NO")</f>
        <v>NO</v>
      </c>
      <c r="AB442" s="245" t="str">
        <f>IF(ISNUMBER(SEARCH("C", 'WetLitterbags placem_collection'!$W149)),"YES","NO")</f>
        <v>NO</v>
      </c>
      <c r="AC442" s="245" t="str">
        <f>IF(ISNUMBER(SEARCH("H", 'WetLitterbags placem_collection'!$W149)),"YES","NO")</f>
        <v>NO</v>
      </c>
      <c r="AD442" s="245" t="str">
        <f>IF(ISNUMBER(SEARCH("R", 'WetLitterbags placem_collection'!$W149)),"YES","NO")</f>
        <v>NO</v>
      </c>
    </row>
    <row r="443" spans="2:30">
      <c r="B443" t="str">
        <f>Wetseason!B589</f>
        <v>Wet</v>
      </c>
      <c r="C443" s="253">
        <f>Wetseason!C589</f>
        <v>148</v>
      </c>
      <c r="D443" t="s">
        <v>3124</v>
      </c>
      <c r="E443" t="s">
        <v>25</v>
      </c>
      <c r="F443" s="375">
        <v>4</v>
      </c>
      <c r="G443" s="16">
        <f>'WetLitterbags placem_collection'!E150</f>
        <v>42762</v>
      </c>
      <c r="H443" s="92" t="str">
        <f>Wetseason!L589</f>
        <v>G807</v>
      </c>
      <c r="I443" t="str">
        <f>Wetseason!L809</f>
        <v>R20</v>
      </c>
      <c r="J443">
        <f>IFERROR(INDEX('Green_rooibos initial weight'!$C$5:$C$2000,MATCH(H443, 'Green_rooibos initial weight'!$A$5:$A$2000,0)),"")</f>
        <v>2.0310000000000001</v>
      </c>
      <c r="K443">
        <f>IFERROR(INDEX('Green_rooibos initial weight'!$C$5:$C$2000,MATCH(I443, 'Green_rooibos initial weight'!$A$5:$A$2000,0)),"")</f>
        <v>2.2400000000000002</v>
      </c>
      <c r="L443" s="194">
        <f t="shared" si="47"/>
        <v>1.7812000000000001</v>
      </c>
      <c r="M443" s="194">
        <f t="shared" si="45"/>
        <v>1.9902000000000002</v>
      </c>
      <c r="N443" s="16">
        <f>IF('WetLitterbags placem_collection'!G150="","",'WetLitterbags placem_collection'!G150)</f>
        <v>42816</v>
      </c>
      <c r="O443" s="194">
        <f>IFERROR(INDEX('Both teabags AfterWet'!$C$3:$C$2000,MATCH(H443,'Both teabags AfterWet'!$A$3:$A$2000,0)),"")</f>
        <v>0.74309999999999998</v>
      </c>
      <c r="P443" s="194">
        <f>IFERROR(INDEX('Both teabags AfterWet'!$C$3:$C$2000,MATCH(I443,'Both teabags AfterWet'!$A$3:$A$2000,0)),"")</f>
        <v>1.6375999999999999</v>
      </c>
      <c r="Q443" s="194">
        <f t="shared" si="48"/>
        <v>0.59250000000000003</v>
      </c>
      <c r="R443" s="194">
        <f t="shared" si="48"/>
        <v>1.4869999999999999</v>
      </c>
      <c r="S443" s="194">
        <f t="shared" si="49"/>
        <v>0.66735908376375486</v>
      </c>
      <c r="T443" s="194">
        <f t="shared" si="50"/>
        <v>0.43750856797813864</v>
      </c>
      <c r="U443" s="194">
        <f t="shared" si="51"/>
        <v>0.74716108933775482</v>
      </c>
      <c r="V443">
        <f t="shared" si="46"/>
        <v>54</v>
      </c>
      <c r="W443" s="194">
        <f t="shared" si="52"/>
        <v>0.20741201453235758</v>
      </c>
      <c r="X443" s="194">
        <f t="shared" si="53"/>
        <v>1.597273512512018E-2</v>
      </c>
      <c r="Y443" s="245" t="str">
        <f>IF(ISNUMBER(SEARCH("C",'WetLitterbags placem_collection'!$Y150)),"YES","NO")</f>
        <v>NO</v>
      </c>
      <c r="Z443" s="245" t="str">
        <f>IF(ISNUMBER(SEARCH("H", 'WetLitterbags placem_collection'!$Y150)),"YES","NO")</f>
        <v>NO</v>
      </c>
      <c r="AA443" s="245" t="str">
        <f>IF(ISNUMBER(SEARCH("R", 'WetLitterbags placem_collection'!$Y150)),"YES","NO")</f>
        <v>NO</v>
      </c>
      <c r="AB443" s="245" t="str">
        <f>IF(ISNUMBER(SEARCH("C", 'WetLitterbags placem_collection'!$W150)),"YES","NO")</f>
        <v>NO</v>
      </c>
      <c r="AC443" s="245" t="str">
        <f>IF(ISNUMBER(SEARCH("H", 'WetLitterbags placem_collection'!$W150)),"YES","NO")</f>
        <v>YES</v>
      </c>
      <c r="AD443" s="245" t="str">
        <f>IF(ISNUMBER(SEARCH("R", 'WetLitterbags placem_collection'!$W150)),"YES","NO")</f>
        <v>NO</v>
      </c>
    </row>
    <row r="444" spans="2:30">
      <c r="B444" t="str">
        <f>Wetseason!B590</f>
        <v>Wet</v>
      </c>
      <c r="C444" s="253">
        <f>Wetseason!C590</f>
        <v>149</v>
      </c>
      <c r="D444" t="s">
        <v>3124</v>
      </c>
      <c r="E444" t="s">
        <v>25</v>
      </c>
      <c r="F444" s="375">
        <v>5</v>
      </c>
      <c r="G444" s="16">
        <f>'WetLitterbags placem_collection'!E151</f>
        <v>42762</v>
      </c>
      <c r="H444" s="92" t="str">
        <f>Wetseason!L590</f>
        <v>G696</v>
      </c>
      <c r="I444" t="str">
        <f>Wetseason!L810</f>
        <v>R533</v>
      </c>
      <c r="J444">
        <f>IFERROR(INDEX('Green_rooibos initial weight'!$C$5:$C$2000,MATCH(H444, 'Green_rooibos initial weight'!$A$5:$A$2000,0)),"")</f>
        <v>2.036</v>
      </c>
      <c r="K444">
        <f>IFERROR(INDEX('Green_rooibos initial weight'!$C$5:$C$2000,MATCH(I444, 'Green_rooibos initial weight'!$A$5:$A$2000,0)),"")</f>
        <v>2.1970000000000001</v>
      </c>
      <c r="L444" s="194">
        <f t="shared" si="47"/>
        <v>1.7862</v>
      </c>
      <c r="M444" s="194">
        <f t="shared" si="45"/>
        <v>1.9472</v>
      </c>
      <c r="N444" s="16">
        <f>IF('WetLitterbags placem_collection'!G151="","",'WetLitterbags placem_collection'!G151)</f>
        <v>42816</v>
      </c>
      <c r="O444" s="194">
        <f>IFERROR(INDEX('Both teabags AfterWet'!$C$3:$C$2000,MATCH(H444,'Both teabags AfterWet'!$A$3:$A$2000,0)),"")</f>
        <v>0.82469999999999999</v>
      </c>
      <c r="P444" s="194">
        <f>IFERROR(INDEX('Both teabags AfterWet'!$C$3:$C$2000,MATCH(I444,'Both teabags AfterWet'!$A$3:$A$2000,0)),"")</f>
        <v>1.7899</v>
      </c>
      <c r="Q444" s="194">
        <f t="shared" si="48"/>
        <v>0.67409999999999992</v>
      </c>
      <c r="R444" s="194">
        <f t="shared" si="48"/>
        <v>1.6393</v>
      </c>
      <c r="S444" s="194">
        <f t="shared" si="49"/>
        <v>0.62260665099093049</v>
      </c>
      <c r="T444" s="194">
        <f t="shared" si="50"/>
        <v>0.40816968093467182</v>
      </c>
      <c r="U444" s="194">
        <f t="shared" si="51"/>
        <v>0.84187551355792933</v>
      </c>
      <c r="V444">
        <f t="shared" si="46"/>
        <v>54</v>
      </c>
      <c r="W444" s="194">
        <f t="shared" si="52"/>
        <v>0.26056217221979749</v>
      </c>
      <c r="X444" s="194">
        <f t="shared" si="53"/>
        <v>9.0748387610672925E-3</v>
      </c>
      <c r="Y444" s="245" t="str">
        <f>IF(ISNUMBER(SEARCH("C",'WetLitterbags placem_collection'!$Y151)),"YES","NO")</f>
        <v>NO</v>
      </c>
      <c r="Z444" s="245" t="str">
        <f>IF(ISNUMBER(SEARCH("H", 'WetLitterbags placem_collection'!$Y151)),"YES","NO")</f>
        <v>NO</v>
      </c>
      <c r="AA444" s="245" t="str">
        <f>IF(ISNUMBER(SEARCH("R", 'WetLitterbags placem_collection'!$Y151)),"YES","NO")</f>
        <v>NO</v>
      </c>
      <c r="AB444" s="245" t="str">
        <f>IF(ISNUMBER(SEARCH("C", 'WetLitterbags placem_collection'!$W151)),"YES","NO")</f>
        <v>NO</v>
      </c>
      <c r="AC444" s="245" t="str">
        <f>IF(ISNUMBER(SEARCH("H", 'WetLitterbags placem_collection'!$W151)),"YES","NO")</f>
        <v>NO</v>
      </c>
      <c r="AD444" s="245" t="str">
        <f>IF(ISNUMBER(SEARCH("R", 'WetLitterbags placem_collection'!$W151)),"YES","NO")</f>
        <v>NO</v>
      </c>
    </row>
    <row r="445" spans="2:30">
      <c r="B445" t="str">
        <f>Wetseason!B591</f>
        <v>Wet</v>
      </c>
      <c r="C445" s="253">
        <f>Wetseason!C591</f>
        <v>150</v>
      </c>
      <c r="D445" t="s">
        <v>3124</v>
      </c>
      <c r="E445" t="s">
        <v>25</v>
      </c>
      <c r="F445" s="375">
        <v>6</v>
      </c>
      <c r="G445" s="16">
        <f>'WetLitterbags placem_collection'!E152</f>
        <v>42762</v>
      </c>
      <c r="H445" s="92" t="str">
        <f>Wetseason!L591</f>
        <v>G801</v>
      </c>
      <c r="I445" t="str">
        <f>Wetseason!L811</f>
        <v>R572</v>
      </c>
      <c r="J445">
        <f>IFERROR(INDEX('Green_rooibos initial weight'!$C$5:$C$2000,MATCH(H445, 'Green_rooibos initial weight'!$A$5:$A$2000,0)),"")</f>
        <v>2.0720000000000001</v>
      </c>
      <c r="K445">
        <f>IFERROR(INDEX('Green_rooibos initial weight'!$C$5:$C$2000,MATCH(I445, 'Green_rooibos initial weight'!$A$5:$A$2000,0)),"")</f>
        <v>2.0819999999999999</v>
      </c>
      <c r="L445" s="194">
        <f t="shared" si="47"/>
        <v>1.8222</v>
      </c>
      <c r="M445" s="194">
        <f t="shared" si="45"/>
        <v>1.8321999999999998</v>
      </c>
      <c r="N445" s="16">
        <f>IF('WetLitterbags placem_collection'!G152="","",'WetLitterbags placem_collection'!G152)</f>
        <v>42816</v>
      </c>
      <c r="O445" s="194">
        <f>IFERROR(INDEX('Both teabags AfterWet'!$C$3:$C$2000,MATCH(H445,'Both teabags AfterWet'!$A$3:$A$2000,0)),"")</f>
        <v>0.60099999999999998</v>
      </c>
      <c r="P445" s="194">
        <f>IFERROR(INDEX('Both teabags AfterWet'!$C$3:$C$2000,MATCH(I445,'Both teabags AfterWet'!$A$3:$A$2000,0)),"")</f>
        <v>1.5680000000000001</v>
      </c>
      <c r="Q445" s="194">
        <f t="shared" si="48"/>
        <v>0.45039999999999997</v>
      </c>
      <c r="R445" s="194">
        <f t="shared" si="48"/>
        <v>1.4174</v>
      </c>
      <c r="S445" s="194">
        <f t="shared" si="49"/>
        <v>0.75282625397870706</v>
      </c>
      <c r="T445" s="194">
        <f t="shared" si="50"/>
        <v>0.49353930189577949</v>
      </c>
      <c r="U445" s="194">
        <f t="shared" si="51"/>
        <v>0.77360550158279673</v>
      </c>
      <c r="V445">
        <f t="shared" si="46"/>
        <v>54</v>
      </c>
      <c r="W445" s="194">
        <f t="shared" si="52"/>
        <v>0.10590706178300824</v>
      </c>
      <c r="X445" s="194">
        <f t="shared" si="53"/>
        <v>1.1366882375683514E-2</v>
      </c>
      <c r="Y445" s="245" t="str">
        <f>IF(ISNUMBER(SEARCH("C",'WetLitterbags placem_collection'!$Y152)),"YES","NO")</f>
        <v>NO</v>
      </c>
      <c r="Z445" s="245" t="str">
        <f>IF(ISNUMBER(SEARCH("H", 'WetLitterbags placem_collection'!$Y152)),"YES","NO")</f>
        <v>NO</v>
      </c>
      <c r="AA445" s="245" t="str">
        <f>IF(ISNUMBER(SEARCH("R", 'WetLitterbags placem_collection'!$Y152)),"YES","NO")</f>
        <v>NO</v>
      </c>
      <c r="AB445" s="245" t="str">
        <f>IF(ISNUMBER(SEARCH("C", 'WetLitterbags placem_collection'!$W152)),"YES","NO")</f>
        <v>NO</v>
      </c>
      <c r="AC445" s="245" t="str">
        <f>IF(ISNUMBER(SEARCH("H", 'WetLitterbags placem_collection'!$W152)),"YES","NO")</f>
        <v>NO</v>
      </c>
      <c r="AD445" s="245" t="str">
        <f>IF(ISNUMBER(SEARCH("R", 'WetLitterbags placem_collection'!$W152)),"YES","NO")</f>
        <v>NO</v>
      </c>
    </row>
    <row r="446" spans="2:30">
      <c r="B446" t="str">
        <f>Wetseason!B592</f>
        <v>Wet</v>
      </c>
      <c r="C446" s="253">
        <f>Wetseason!C592</f>
        <v>151</v>
      </c>
      <c r="D446" t="s">
        <v>3124</v>
      </c>
      <c r="E446" t="s">
        <v>25</v>
      </c>
      <c r="F446" s="375">
        <v>7</v>
      </c>
      <c r="G446" s="16">
        <f>'WetLitterbags placem_collection'!E153</f>
        <v>42762</v>
      </c>
      <c r="H446" s="92" t="str">
        <f>Wetseason!L592</f>
        <v>G647</v>
      </c>
      <c r="I446" t="str">
        <f>Wetseason!L812</f>
        <v>R504</v>
      </c>
      <c r="J446">
        <f>IFERROR(INDEX('Green_rooibos initial weight'!$C$5:$C$2000,MATCH(H446, 'Green_rooibos initial weight'!$A$5:$A$2000,0)),"")</f>
        <v>2.1240000000000001</v>
      </c>
      <c r="K446">
        <f>IFERROR(INDEX('Green_rooibos initial weight'!$C$5:$C$2000,MATCH(I446, 'Green_rooibos initial weight'!$A$5:$A$2000,0)),"")</f>
        <v>2.1629999999999998</v>
      </c>
      <c r="L446" s="194">
        <f t="shared" si="47"/>
        <v>1.8742000000000001</v>
      </c>
      <c r="M446" s="194">
        <f t="shared" si="45"/>
        <v>1.9131999999999998</v>
      </c>
      <c r="N446" s="16">
        <f>IF('WetLitterbags placem_collection'!G153="","",'WetLitterbags placem_collection'!G153)</f>
        <v>42816</v>
      </c>
      <c r="O446" s="194">
        <f>IFERROR(INDEX('Both teabags AfterWet'!$C$3:$C$2000,MATCH(H446,'Both teabags AfterWet'!$A$3:$A$2000,0)),"")</f>
        <v>0.78700000000000003</v>
      </c>
      <c r="P446" s="194">
        <f>IFERROR(INDEX('Both teabags AfterWet'!$C$3:$C$2000,MATCH(I446,'Both teabags AfterWet'!$A$3:$A$2000,0)),"")</f>
        <v>1.798</v>
      </c>
      <c r="Q446" s="194">
        <f t="shared" si="48"/>
        <v>0.63640000000000008</v>
      </c>
      <c r="R446" s="194">
        <f t="shared" si="48"/>
        <v>1.6474</v>
      </c>
      <c r="S446" s="194">
        <f t="shared" si="49"/>
        <v>0.6604417884964251</v>
      </c>
      <c r="T446" s="194">
        <f t="shared" si="50"/>
        <v>0.43297371407366592</v>
      </c>
      <c r="U446" s="194">
        <f t="shared" si="51"/>
        <v>0.86107045787162872</v>
      </c>
      <c r="V446">
        <f t="shared" si="46"/>
        <v>54</v>
      </c>
      <c r="W446" s="194">
        <f t="shared" si="52"/>
        <v>0.21562732957669228</v>
      </c>
      <c r="X446" s="194">
        <f t="shared" si="53"/>
        <v>7.1656855345829957E-3</v>
      </c>
      <c r="Y446" s="245" t="str">
        <f>IF(ISNUMBER(SEARCH("C",'WetLitterbags placem_collection'!$Y153)),"YES","NO")</f>
        <v>NO</v>
      </c>
      <c r="Z446" s="245" t="str">
        <f>IF(ISNUMBER(SEARCH("H", 'WetLitterbags placem_collection'!$Y153)),"YES","NO")</f>
        <v>NO</v>
      </c>
      <c r="AA446" s="245" t="str">
        <f>IF(ISNUMBER(SEARCH("R", 'WetLitterbags placem_collection'!$Y153)),"YES","NO")</f>
        <v>NO</v>
      </c>
      <c r="AB446" s="245" t="str">
        <f>IF(ISNUMBER(SEARCH("C", 'WetLitterbags placem_collection'!$W153)),"YES","NO")</f>
        <v>NO</v>
      </c>
      <c r="AC446" s="245" t="str">
        <f>IF(ISNUMBER(SEARCH("H", 'WetLitterbags placem_collection'!$W153)),"YES","NO")</f>
        <v>NO</v>
      </c>
      <c r="AD446" s="245" t="str">
        <f>IF(ISNUMBER(SEARCH("R", 'WetLitterbags placem_collection'!$W153)),"YES","NO")</f>
        <v>NO</v>
      </c>
    </row>
    <row r="447" spans="2:30">
      <c r="B447" t="str">
        <f>Wetseason!B593</f>
        <v>Wet</v>
      </c>
      <c r="C447" s="253">
        <f>Wetseason!C593</f>
        <v>152</v>
      </c>
      <c r="D447" t="s">
        <v>3124</v>
      </c>
      <c r="E447" t="s">
        <v>25</v>
      </c>
      <c r="F447" s="375">
        <v>8</v>
      </c>
      <c r="G447" s="16">
        <f>'WetLitterbags placem_collection'!E154</f>
        <v>42762</v>
      </c>
      <c r="H447" s="92" t="str">
        <f>Wetseason!L593</f>
        <v>G744</v>
      </c>
      <c r="I447" t="str">
        <f>Wetseason!L813</f>
        <v>R579</v>
      </c>
      <c r="J447">
        <f>IFERROR(INDEX('Green_rooibos initial weight'!$C$5:$C$2000,MATCH(H447, 'Green_rooibos initial weight'!$A$5:$A$2000,0)),"")</f>
        <v>2.085</v>
      </c>
      <c r="K447">
        <f>IFERROR(INDEX('Green_rooibos initial weight'!$C$5:$C$2000,MATCH(I447, 'Green_rooibos initial weight'!$A$5:$A$2000,0)),"")</f>
        <v>2.1349999999999998</v>
      </c>
      <c r="L447" s="194">
        <f t="shared" si="47"/>
        <v>1.8351999999999999</v>
      </c>
      <c r="M447" s="194">
        <f t="shared" si="45"/>
        <v>1.8851999999999998</v>
      </c>
      <c r="N447" s="16">
        <f>IF('WetLitterbags placem_collection'!G154="","",'WetLitterbags placem_collection'!G154)</f>
        <v>42816</v>
      </c>
      <c r="O447" s="194">
        <f>IFERROR(INDEX('Both teabags AfterWet'!$C$3:$C$2000,MATCH(H447,'Both teabags AfterWet'!$A$3:$A$2000,0)),"")</f>
        <v>0.62919999999999998</v>
      </c>
      <c r="P447" s="194">
        <f>IFERROR(INDEX('Both teabags AfterWet'!$C$3:$C$2000,MATCH(I447,'Both teabags AfterWet'!$A$3:$A$2000,0)),"")</f>
        <v>1.5234000000000001</v>
      </c>
      <c r="Q447" s="194">
        <f t="shared" si="48"/>
        <v>0.47859999999999997</v>
      </c>
      <c r="R447" s="194">
        <f t="shared" si="48"/>
        <v>1.3728</v>
      </c>
      <c r="S447" s="194">
        <f t="shared" si="49"/>
        <v>0.73921098517872719</v>
      </c>
      <c r="T447" s="194">
        <f t="shared" si="50"/>
        <v>0.48461337745683786</v>
      </c>
      <c r="U447" s="194">
        <f t="shared" si="51"/>
        <v>0.72819859961807776</v>
      </c>
      <c r="V447">
        <f t="shared" si="46"/>
        <v>54</v>
      </c>
      <c r="W447" s="194">
        <f t="shared" si="52"/>
        <v>0.12207721475210542</v>
      </c>
      <c r="X447" s="194">
        <f t="shared" si="53"/>
        <v>1.5239673593024965E-2</v>
      </c>
      <c r="Y447" s="245" t="str">
        <f>IF(ISNUMBER(SEARCH("C",'WetLitterbags placem_collection'!$Y154)),"YES","NO")</f>
        <v>NO</v>
      </c>
      <c r="Z447" s="245" t="str">
        <f>IF(ISNUMBER(SEARCH("H", 'WetLitterbags placem_collection'!$Y154)),"YES","NO")</f>
        <v>NO</v>
      </c>
      <c r="AA447" s="245" t="str">
        <f>IF(ISNUMBER(SEARCH("R", 'WetLitterbags placem_collection'!$Y154)),"YES","NO")</f>
        <v>NO</v>
      </c>
      <c r="AB447" s="245" t="str">
        <f>IF(ISNUMBER(SEARCH("C", 'WetLitterbags placem_collection'!$W154)),"YES","NO")</f>
        <v>NO</v>
      </c>
      <c r="AC447" s="245" t="str">
        <f>IF(ISNUMBER(SEARCH("H", 'WetLitterbags placem_collection'!$W154)),"YES","NO")</f>
        <v>NO</v>
      </c>
      <c r="AD447" s="245" t="str">
        <f>IF(ISNUMBER(SEARCH("R", 'WetLitterbags placem_collection'!$W154)),"YES","NO")</f>
        <v>YES</v>
      </c>
    </row>
    <row r="448" spans="2:30">
      <c r="B448" t="str">
        <f>Wetseason!B594</f>
        <v>Wet</v>
      </c>
      <c r="C448" s="253">
        <f>Wetseason!C594</f>
        <v>153</v>
      </c>
      <c r="D448" t="s">
        <v>3125</v>
      </c>
      <c r="E448" t="s">
        <v>25</v>
      </c>
      <c r="F448" s="374">
        <v>1</v>
      </c>
      <c r="G448" s="16">
        <f>'WetLitterbags placem_collection'!E155</f>
        <v>42762</v>
      </c>
      <c r="H448" s="92" t="str">
        <f>Wetseason!L594</f>
        <v>G885</v>
      </c>
      <c r="I448" t="str">
        <f>Wetseason!L814</f>
        <v>R440</v>
      </c>
      <c r="J448">
        <f>IFERROR(INDEX('Green_rooibos initial weight'!$C$5:$C$2000,MATCH(H448, 'Green_rooibos initial weight'!$A$5:$A$2000,0)),"")</f>
        <v>1.8939999999999999</v>
      </c>
      <c r="K448">
        <f>IFERROR(INDEX('Green_rooibos initial weight'!$C$5:$C$2000,MATCH(I448, 'Green_rooibos initial weight'!$A$5:$A$2000,0)),"")</f>
        <v>2.1110000000000002</v>
      </c>
      <c r="L448" s="194">
        <f t="shared" si="47"/>
        <v>1.6441999999999999</v>
      </c>
      <c r="M448" s="194">
        <f t="shared" si="45"/>
        <v>1.8612000000000002</v>
      </c>
      <c r="N448" s="16">
        <f>IF('WetLitterbags placem_collection'!G155="","",'WetLitterbags placem_collection'!G155)</f>
        <v>42816</v>
      </c>
      <c r="O448" s="194">
        <f>IFERROR(INDEX('Both teabags AfterWet'!$C$3:$C$2000,MATCH(H448,'Both teabags AfterWet'!$A$3:$A$2000,0)),"")</f>
        <v>0.5756</v>
      </c>
      <c r="P448" s="194">
        <f>IFERROR(INDEX('Both teabags AfterWet'!$C$3:$C$2000,MATCH(I448,'Both teabags AfterWet'!$A$3:$A$2000,0)),"")</f>
        <v>1.6322000000000001</v>
      </c>
      <c r="Q448" s="194">
        <f t="shared" si="48"/>
        <v>0.42499999999999999</v>
      </c>
      <c r="R448" s="194">
        <f t="shared" si="48"/>
        <v>1.4816</v>
      </c>
      <c r="S448" s="194">
        <f t="shared" si="49"/>
        <v>0.74151563070186111</v>
      </c>
      <c r="T448" s="194">
        <f t="shared" si="50"/>
        <v>0.48612426145775223</v>
      </c>
      <c r="U448" s="194">
        <f t="shared" si="51"/>
        <v>0.7960455620030088</v>
      </c>
      <c r="V448">
        <f t="shared" si="46"/>
        <v>54</v>
      </c>
      <c r="W448" s="194">
        <f t="shared" si="52"/>
        <v>0.11934010605479672</v>
      </c>
      <c r="X448" s="194">
        <f t="shared" si="53"/>
        <v>1.0073243938806827E-2</v>
      </c>
      <c r="Y448" s="245" t="str">
        <f>IF(ISNUMBER(SEARCH("C",'WetLitterbags placem_collection'!$Y155)),"YES","NO")</f>
        <v>NO</v>
      </c>
      <c r="Z448" s="245" t="str">
        <f>IF(ISNUMBER(SEARCH("H", 'WetLitterbags placem_collection'!$Y155)),"YES","NO")</f>
        <v>NO</v>
      </c>
      <c r="AA448" s="245" t="str">
        <f>IF(ISNUMBER(SEARCH("R", 'WetLitterbags placem_collection'!$Y155)),"YES","NO")</f>
        <v>NO</v>
      </c>
      <c r="AB448" s="245" t="str">
        <f>IF(ISNUMBER(SEARCH("C", 'WetLitterbags placem_collection'!$W155)),"YES","NO")</f>
        <v>NO</v>
      </c>
      <c r="AC448" s="245" t="str">
        <f>IF(ISNUMBER(SEARCH("H", 'WetLitterbags placem_collection'!$W155)),"YES","NO")</f>
        <v>YES</v>
      </c>
      <c r="AD448" s="245" t="str">
        <f>IF(ISNUMBER(SEARCH("R", 'WetLitterbags placem_collection'!$W155)),"YES","NO")</f>
        <v>YES</v>
      </c>
    </row>
    <row r="449" spans="2:30">
      <c r="B449" t="str">
        <f>Wetseason!B595</f>
        <v>Wet</v>
      </c>
      <c r="C449" s="253">
        <f>Wetseason!C595</f>
        <v>154</v>
      </c>
      <c r="D449" t="s">
        <v>3125</v>
      </c>
      <c r="E449" t="s">
        <v>25</v>
      </c>
      <c r="F449" s="374">
        <v>2</v>
      </c>
      <c r="G449" s="16">
        <f>'WetLitterbags placem_collection'!E156</f>
        <v>42762</v>
      </c>
      <c r="H449" s="92" t="str">
        <f>Wetseason!L595</f>
        <v>G684</v>
      </c>
      <c r="I449" t="str">
        <f>Wetseason!L815</f>
        <v>R485</v>
      </c>
      <c r="J449">
        <f>IFERROR(INDEX('Green_rooibos initial weight'!$C$5:$C$2000,MATCH(H449, 'Green_rooibos initial weight'!$A$5:$A$2000,0)),"")</f>
        <v>2.0819999999999999</v>
      </c>
      <c r="K449">
        <f>IFERROR(INDEX('Green_rooibos initial weight'!$C$5:$C$2000,MATCH(I449, 'Green_rooibos initial weight'!$A$5:$A$2000,0)),"")</f>
        <v>2.242</v>
      </c>
      <c r="L449" s="194">
        <f t="shared" si="47"/>
        <v>1.8321999999999998</v>
      </c>
      <c r="M449" s="194">
        <f t="shared" si="45"/>
        <v>1.9922</v>
      </c>
      <c r="N449" s="16">
        <f>IF('WetLitterbags placem_collection'!G156="","",'WetLitterbags placem_collection'!G156)</f>
        <v>42816</v>
      </c>
      <c r="O449" s="194">
        <f>IFERROR(INDEX('Both teabags AfterWet'!$C$3:$C$2000,MATCH(H449,'Both teabags AfterWet'!$A$3:$A$2000,0)),"")</f>
        <v>0.60499999999999998</v>
      </c>
      <c r="P449" s="194">
        <f>IFERROR(INDEX('Both teabags AfterWet'!$C$3:$C$2000,MATCH(I449,'Both teabags AfterWet'!$A$3:$A$2000,0)),"")</f>
        <v>1.839</v>
      </c>
      <c r="Q449" s="194">
        <f t="shared" si="48"/>
        <v>0.45439999999999997</v>
      </c>
      <c r="R449" s="194">
        <f t="shared" si="48"/>
        <v>1.6883999999999999</v>
      </c>
      <c r="S449" s="194">
        <f t="shared" si="49"/>
        <v>0.75199214059600483</v>
      </c>
      <c r="T449" s="194">
        <f t="shared" si="50"/>
        <v>0.49299247221970866</v>
      </c>
      <c r="U449" s="194">
        <f t="shared" si="51"/>
        <v>0.84750527055516511</v>
      </c>
      <c r="V449">
        <f t="shared" si="46"/>
        <v>54</v>
      </c>
      <c r="W449" s="194">
        <f t="shared" si="52"/>
        <v>0.10689769525415105</v>
      </c>
      <c r="X449" s="194">
        <f t="shared" si="53"/>
        <v>6.8534334847403849E-3</v>
      </c>
      <c r="Y449" s="245" t="str">
        <f>IF(ISNUMBER(SEARCH("C",'WetLitterbags placem_collection'!$Y156)),"YES","NO")</f>
        <v>NO</v>
      </c>
      <c r="Z449" s="245" t="str">
        <f>IF(ISNUMBER(SEARCH("H", 'WetLitterbags placem_collection'!$Y156)),"YES","NO")</f>
        <v>NO</v>
      </c>
      <c r="AA449" s="245" t="str">
        <f>IF(ISNUMBER(SEARCH("R", 'WetLitterbags placem_collection'!$Y156)),"YES","NO")</f>
        <v>NO</v>
      </c>
      <c r="AB449" s="245" t="str">
        <f>IF(ISNUMBER(SEARCH("C", 'WetLitterbags placem_collection'!$W156)),"YES","NO")</f>
        <v>YES</v>
      </c>
      <c r="AC449" s="245" t="str">
        <f>IF(ISNUMBER(SEARCH("H", 'WetLitterbags placem_collection'!$W156)),"YES","NO")</f>
        <v>YES</v>
      </c>
      <c r="AD449" s="245" t="str">
        <f>IF(ISNUMBER(SEARCH("R", 'WetLitterbags placem_collection'!$W156)),"YES","NO")</f>
        <v>NO</v>
      </c>
    </row>
    <row r="450" spans="2:30">
      <c r="B450" t="str">
        <f>Wetseason!B596</f>
        <v>Wet</v>
      </c>
      <c r="C450" s="253">
        <f>Wetseason!C596</f>
        <v>155</v>
      </c>
      <c r="D450" t="s">
        <v>3125</v>
      </c>
      <c r="E450" t="s">
        <v>25</v>
      </c>
      <c r="F450" s="374">
        <v>3</v>
      </c>
      <c r="G450" s="16">
        <f>'WetLitterbags placem_collection'!E157</f>
        <v>42762</v>
      </c>
      <c r="H450" s="92" t="str">
        <f>Wetseason!L596</f>
        <v>G827</v>
      </c>
      <c r="I450" t="str">
        <f>Wetseason!L816</f>
        <v>R556</v>
      </c>
      <c r="J450">
        <f>IFERROR(INDEX('Green_rooibos initial weight'!$C$5:$C$2000,MATCH(H450, 'Green_rooibos initial weight'!$A$5:$A$2000,0)),"")</f>
        <v>1.883</v>
      </c>
      <c r="K450">
        <f>IFERROR(INDEX('Green_rooibos initial weight'!$C$5:$C$2000,MATCH(I450, 'Green_rooibos initial weight'!$A$5:$A$2000,0)),"")</f>
        <v>2.0830000000000002</v>
      </c>
      <c r="L450" s="194">
        <f t="shared" si="47"/>
        <v>1.6332</v>
      </c>
      <c r="M450" s="194">
        <f t="shared" si="45"/>
        <v>1.8332000000000002</v>
      </c>
      <c r="N450" s="16">
        <f>IF('WetLitterbags placem_collection'!G157="","",'WetLitterbags placem_collection'!G157)</f>
        <v>42816</v>
      </c>
      <c r="O450" s="194">
        <f>IFERROR(INDEX('Both teabags AfterWet'!$C$3:$C$2000,MATCH(H450,'Both teabags AfterWet'!$A$3:$A$2000,0)),"")</f>
        <v>0.63800000000000001</v>
      </c>
      <c r="P450" s="194">
        <f>IFERROR(INDEX('Both teabags AfterWet'!$C$3:$C$2000,MATCH(I450,'Both teabags AfterWet'!$A$3:$A$2000,0)),"")</f>
        <v>1.643</v>
      </c>
      <c r="Q450" s="194">
        <f t="shared" si="48"/>
        <v>0.4874</v>
      </c>
      <c r="R450" s="194">
        <f t="shared" si="48"/>
        <v>1.4923999999999999</v>
      </c>
      <c r="S450" s="194">
        <f t="shared" si="49"/>
        <v>0.70156747489590987</v>
      </c>
      <c r="T450" s="194">
        <f t="shared" si="50"/>
        <v>0.45993497166572722</v>
      </c>
      <c r="U450" s="194">
        <f t="shared" si="51"/>
        <v>0.8140955705869517</v>
      </c>
      <c r="V450">
        <f t="shared" si="46"/>
        <v>54</v>
      </c>
      <c r="W450" s="194">
        <f t="shared" si="52"/>
        <v>0.16678447162005949</v>
      </c>
      <c r="X450" s="194">
        <f t="shared" si="53"/>
        <v>9.5897323202689972E-3</v>
      </c>
      <c r="Y450" s="245" t="str">
        <f>IF(ISNUMBER(SEARCH("C",'WetLitterbags placem_collection'!$Y157)),"YES","NO")</f>
        <v>NO</v>
      </c>
      <c r="Z450" s="245" t="str">
        <f>IF(ISNUMBER(SEARCH("H", 'WetLitterbags placem_collection'!$Y157)),"YES","NO")</f>
        <v>NO</v>
      </c>
      <c r="AA450" s="245" t="str">
        <f>IF(ISNUMBER(SEARCH("R", 'WetLitterbags placem_collection'!$Y157)),"YES","NO")</f>
        <v>NO</v>
      </c>
      <c r="AB450" s="245" t="str">
        <f>IF(ISNUMBER(SEARCH("C", 'WetLitterbags placem_collection'!$W157)),"YES","NO")</f>
        <v>NO</v>
      </c>
      <c r="AC450" s="245" t="str">
        <f>IF(ISNUMBER(SEARCH("H", 'WetLitterbags placem_collection'!$W157)),"YES","NO")</f>
        <v>NO</v>
      </c>
      <c r="AD450" s="245" t="str">
        <f>IF(ISNUMBER(SEARCH("R", 'WetLitterbags placem_collection'!$W157)),"YES","NO")</f>
        <v>YES</v>
      </c>
    </row>
    <row r="451" spans="2:30">
      <c r="B451" t="str">
        <f>Wetseason!B597</f>
        <v>Wet</v>
      </c>
      <c r="C451" s="253">
        <f>Wetseason!C597</f>
        <v>156</v>
      </c>
      <c r="D451" t="s">
        <v>3125</v>
      </c>
      <c r="E451" t="s">
        <v>25</v>
      </c>
      <c r="F451" s="375">
        <v>4</v>
      </c>
      <c r="G451" s="16">
        <f>'WetLitterbags placem_collection'!E158</f>
        <v>42762</v>
      </c>
      <c r="H451" s="92" t="str">
        <f>Wetseason!L597</f>
        <v>G667</v>
      </c>
      <c r="I451" t="str">
        <f>Wetseason!L817</f>
        <v>R464</v>
      </c>
      <c r="J451">
        <f>IFERROR(INDEX('Green_rooibos initial weight'!$C$5:$C$2000,MATCH(H451, 'Green_rooibos initial weight'!$A$5:$A$2000,0)),"")</f>
        <v>2.048</v>
      </c>
      <c r="K451">
        <f>IFERROR(INDEX('Green_rooibos initial weight'!$C$5:$C$2000,MATCH(I451, 'Green_rooibos initial weight'!$A$5:$A$2000,0)),"")</f>
        <v>2.2040000000000002</v>
      </c>
      <c r="L451" s="194">
        <f t="shared" si="47"/>
        <v>1.7982</v>
      </c>
      <c r="M451" s="194">
        <f t="shared" si="45"/>
        <v>1.9542000000000002</v>
      </c>
      <c r="N451" s="16">
        <f>IF('WetLitterbags placem_collection'!G158="","",'WetLitterbags placem_collection'!G158)</f>
        <v>42816</v>
      </c>
      <c r="O451" s="194">
        <f>IFERROR(INDEX('Both teabags AfterWet'!$C$3:$C$2000,MATCH(H451,'Both teabags AfterWet'!$A$3:$A$2000,0)),"")</f>
        <v>0.65800000000000003</v>
      </c>
      <c r="P451" s="194">
        <f>IFERROR(INDEX('Both teabags AfterWet'!$C$3:$C$2000,MATCH(I451,'Both teabags AfterWet'!$A$3:$A$2000,0)),"")</f>
        <v>1.802</v>
      </c>
      <c r="Q451" s="194">
        <f t="shared" si="48"/>
        <v>0.50740000000000007</v>
      </c>
      <c r="R451" s="194">
        <f t="shared" si="48"/>
        <v>1.6514</v>
      </c>
      <c r="S451" s="194">
        <f t="shared" si="49"/>
        <v>0.71782894005116216</v>
      </c>
      <c r="T451" s="194">
        <f t="shared" si="50"/>
        <v>0.47059569466537005</v>
      </c>
      <c r="U451" s="194">
        <f t="shared" si="51"/>
        <v>0.84505168355337212</v>
      </c>
      <c r="V451">
        <f t="shared" si="46"/>
        <v>54</v>
      </c>
      <c r="W451" s="194">
        <f t="shared" si="52"/>
        <v>0.14747156763519931</v>
      </c>
      <c r="X451" s="194">
        <f t="shared" si="53"/>
        <v>7.395807941494247E-3</v>
      </c>
      <c r="Y451" s="245" t="str">
        <f>IF(ISNUMBER(SEARCH("C",'WetLitterbags placem_collection'!$Y158)),"YES","NO")</f>
        <v>NO</v>
      </c>
      <c r="Z451" s="245" t="str">
        <f>IF(ISNUMBER(SEARCH("H", 'WetLitterbags placem_collection'!$Y158)),"YES","NO")</f>
        <v>NO</v>
      </c>
      <c r="AA451" s="245" t="str">
        <f>IF(ISNUMBER(SEARCH("R", 'WetLitterbags placem_collection'!$Y158)),"YES","NO")</f>
        <v>YES</v>
      </c>
      <c r="AB451" s="245" t="str">
        <f>IF(ISNUMBER(SEARCH("C", 'WetLitterbags placem_collection'!$W158)),"YES","NO")</f>
        <v>NO</v>
      </c>
      <c r="AC451" s="245" t="str">
        <f>IF(ISNUMBER(SEARCH("H", 'WetLitterbags placem_collection'!$W158)),"YES","NO")</f>
        <v>NO</v>
      </c>
      <c r="AD451" s="245" t="str">
        <f>IF(ISNUMBER(SEARCH("R", 'WetLitterbags placem_collection'!$W158)),"YES","NO")</f>
        <v>YES</v>
      </c>
    </row>
    <row r="452" spans="2:30">
      <c r="B452" t="str">
        <f>Wetseason!B598</f>
        <v>Wet</v>
      </c>
      <c r="C452" s="253">
        <f>Wetseason!C598</f>
        <v>157</v>
      </c>
      <c r="D452" t="s">
        <v>3125</v>
      </c>
      <c r="E452" t="s">
        <v>25</v>
      </c>
      <c r="F452" s="375">
        <v>5</v>
      </c>
      <c r="G452" s="16">
        <f>'WetLitterbags placem_collection'!E159</f>
        <v>42762</v>
      </c>
      <c r="H452" s="92" t="str">
        <f>Wetseason!L598</f>
        <v>G777</v>
      </c>
      <c r="I452" t="str">
        <f>Wetseason!L818</f>
        <v>R35</v>
      </c>
      <c r="J452">
        <f>IFERROR(INDEX('Green_rooibos initial weight'!$C$5:$C$2000,MATCH(H452, 'Green_rooibos initial weight'!$A$5:$A$2000,0)),"")</f>
        <v>2.0470000000000002</v>
      </c>
      <c r="K452">
        <f>IFERROR(INDEX('Green_rooibos initial weight'!$C$5:$C$2000,MATCH(I452, 'Green_rooibos initial weight'!$A$5:$A$2000,0)),"")</f>
        <v>2.0630000000000002</v>
      </c>
      <c r="L452" s="194">
        <f t="shared" si="47"/>
        <v>1.7972000000000001</v>
      </c>
      <c r="M452" s="194">
        <f t="shared" si="45"/>
        <v>1.8132000000000001</v>
      </c>
      <c r="N452" s="16">
        <f>IF('WetLitterbags placem_collection'!G159="","",'WetLitterbags placem_collection'!G159)</f>
        <v>42816</v>
      </c>
      <c r="O452" s="194">
        <f>IFERROR(INDEX('Both teabags AfterWet'!$C$3:$C$2000,MATCH(H452,'Both teabags AfterWet'!$A$3:$A$2000,0)),"")</f>
        <v>0.70499999999999996</v>
      </c>
      <c r="P452" s="194">
        <f>IFERROR(INDEX('Both teabags AfterWet'!$C$3:$C$2000,MATCH(I452,'Both teabags AfterWet'!$A$3:$A$2000,0)),"")</f>
        <v>1.994</v>
      </c>
      <c r="Q452" s="194">
        <f t="shared" si="48"/>
        <v>0.5544</v>
      </c>
      <c r="R452" s="194">
        <f t="shared" si="48"/>
        <v>1.8433999999999999</v>
      </c>
      <c r="S452" s="194">
        <f t="shared" si="49"/>
        <v>0.69152014244380156</v>
      </c>
      <c r="T452" s="194">
        <f t="shared" si="50"/>
        <v>0.4533481218871479</v>
      </c>
      <c r="U452" s="194">
        <f t="shared" si="51"/>
        <v>1.0166556364438561</v>
      </c>
      <c r="V452">
        <f t="shared" si="46"/>
        <v>54</v>
      </c>
      <c r="W452" s="194">
        <f t="shared" si="52"/>
        <v>0.17871717049429736</v>
      </c>
      <c r="X452" s="194">
        <f t="shared" si="53"/>
        <v>-6.6815518113489281E-4</v>
      </c>
      <c r="Y452" s="245" t="str">
        <f>IF(ISNUMBER(SEARCH("C",'WetLitterbags placem_collection'!$Y159)),"YES","NO")</f>
        <v>NO</v>
      </c>
      <c r="Z452" s="245" t="str">
        <f>IF(ISNUMBER(SEARCH("H", 'WetLitterbags placem_collection'!$Y159)),"YES","NO")</f>
        <v>NO</v>
      </c>
      <c r="AA452" s="245" t="str">
        <f>IF(ISNUMBER(SEARCH("R", 'WetLitterbags placem_collection'!$Y159)),"YES","NO")</f>
        <v>NO</v>
      </c>
      <c r="AB452" s="245" t="str">
        <f>IF(ISNUMBER(SEARCH("C", 'WetLitterbags placem_collection'!$W159)),"YES","NO")</f>
        <v>YES</v>
      </c>
      <c r="AC452" s="245" t="str">
        <f>IF(ISNUMBER(SEARCH("H", 'WetLitterbags placem_collection'!$W159)),"YES","NO")</f>
        <v>NO</v>
      </c>
      <c r="AD452" s="245" t="str">
        <f>IF(ISNUMBER(SEARCH("R", 'WetLitterbags placem_collection'!$W159)),"YES","NO")</f>
        <v>YES</v>
      </c>
    </row>
    <row r="453" spans="2:30">
      <c r="B453" t="str">
        <f>Wetseason!B599</f>
        <v>Wet</v>
      </c>
      <c r="C453" s="253">
        <f>Wetseason!C599</f>
        <v>158</v>
      </c>
      <c r="D453" t="s">
        <v>3125</v>
      </c>
      <c r="E453" t="s">
        <v>25</v>
      </c>
      <c r="F453" s="375">
        <v>6</v>
      </c>
      <c r="G453" s="16">
        <f>'WetLitterbags placem_collection'!E160</f>
        <v>42762</v>
      </c>
      <c r="H453" s="92" t="str">
        <f>Wetseason!L599</f>
        <v>G884</v>
      </c>
      <c r="I453" t="str">
        <f>Wetseason!L819</f>
        <v>R570</v>
      </c>
      <c r="J453">
        <f>IFERROR(INDEX('Green_rooibos initial weight'!$C$5:$C$2000,MATCH(H453, 'Green_rooibos initial weight'!$A$5:$A$2000,0)),"")</f>
        <v>2.0710000000000002</v>
      </c>
      <c r="K453">
        <f>IFERROR(INDEX('Green_rooibos initial weight'!$C$5:$C$2000,MATCH(I453, 'Green_rooibos initial weight'!$A$5:$A$2000,0)),"")</f>
        <v>2.0910000000000002</v>
      </c>
      <c r="L453" s="194">
        <f t="shared" si="47"/>
        <v>1.8212000000000002</v>
      </c>
      <c r="M453" s="194">
        <f t="shared" si="45"/>
        <v>1.8412000000000002</v>
      </c>
      <c r="N453" s="16">
        <f>IF('WetLitterbags placem_collection'!G160="","",'WetLitterbags placem_collection'!G160)</f>
        <v>42816</v>
      </c>
      <c r="O453" s="194">
        <f>IFERROR(INDEX('Both teabags AfterWet'!$C$3:$C$2000,MATCH(H453,'Both teabags AfterWet'!$A$3:$A$2000,0)),"")</f>
        <v>0.629</v>
      </c>
      <c r="P453" s="194">
        <f>IFERROR(INDEX('Both teabags AfterWet'!$C$3:$C$2000,MATCH(I453,'Both teabags AfterWet'!$A$3:$A$2000,0)),"")</f>
        <v>1.718</v>
      </c>
      <c r="Q453" s="194">
        <f t="shared" si="48"/>
        <v>0.47839999999999999</v>
      </c>
      <c r="R453" s="194">
        <f t="shared" si="48"/>
        <v>1.5673999999999999</v>
      </c>
      <c r="S453" s="194">
        <f t="shared" si="49"/>
        <v>0.73731605534812217</v>
      </c>
      <c r="T453" s="194">
        <f t="shared" si="50"/>
        <v>0.48337109566765257</v>
      </c>
      <c r="U453" s="194">
        <f t="shared" si="51"/>
        <v>0.85129263523788823</v>
      </c>
      <c r="V453">
        <f t="shared" si="46"/>
        <v>54</v>
      </c>
      <c r="W453" s="194">
        <f t="shared" si="52"/>
        <v>0.12432772523975988</v>
      </c>
      <c r="X453" s="194">
        <f t="shared" si="53"/>
        <v>6.8084895057716468E-3</v>
      </c>
      <c r="Y453" s="245" t="str">
        <f>IF(ISNUMBER(SEARCH("C",'WetLitterbags placem_collection'!$Y160)),"YES","NO")</f>
        <v>NO</v>
      </c>
      <c r="Z453" s="245" t="str">
        <f>IF(ISNUMBER(SEARCH("H", 'WetLitterbags placem_collection'!$Y160)),"YES","NO")</f>
        <v>NO</v>
      </c>
      <c r="AA453" s="245" t="str">
        <f>IF(ISNUMBER(SEARCH("R", 'WetLitterbags placem_collection'!$Y160)),"YES","NO")</f>
        <v>NO</v>
      </c>
      <c r="AB453" s="245" t="str">
        <f>IF(ISNUMBER(SEARCH("C", 'WetLitterbags placem_collection'!$W160)),"YES","NO")</f>
        <v>NO</v>
      </c>
      <c r="AC453" s="245" t="str">
        <f>IF(ISNUMBER(SEARCH("H", 'WetLitterbags placem_collection'!$W160)),"YES","NO")</f>
        <v>NO</v>
      </c>
      <c r="AD453" s="245" t="str">
        <f>IF(ISNUMBER(SEARCH("R", 'WetLitterbags placem_collection'!$W160)),"YES","NO")</f>
        <v>YES</v>
      </c>
    </row>
    <row r="454" spans="2:30">
      <c r="B454" t="str">
        <f>Wetseason!B600</f>
        <v>Wet</v>
      </c>
      <c r="C454" s="253">
        <f>Wetseason!C600</f>
        <v>159</v>
      </c>
      <c r="D454" t="s">
        <v>3125</v>
      </c>
      <c r="E454" t="s">
        <v>25</v>
      </c>
      <c r="F454" s="375">
        <v>7</v>
      </c>
      <c r="G454" s="16">
        <f>'WetLitterbags placem_collection'!E161</f>
        <v>42762</v>
      </c>
      <c r="H454" s="92" t="str">
        <f>Wetseason!L600</f>
        <v>G731</v>
      </c>
      <c r="I454" t="str">
        <f>Wetseason!L820</f>
        <v>R439</v>
      </c>
      <c r="J454">
        <f>IFERROR(INDEX('Green_rooibos initial weight'!$C$5:$C$2000,MATCH(H454, 'Green_rooibos initial weight'!$A$5:$A$2000,0)),"")</f>
        <v>2.14</v>
      </c>
      <c r="K454">
        <f>IFERROR(INDEX('Green_rooibos initial weight'!$C$5:$C$2000,MATCH(I454, 'Green_rooibos initial weight'!$A$5:$A$2000,0)),"")</f>
        <v>2.2450000000000001</v>
      </c>
      <c r="L454" s="194">
        <f t="shared" si="47"/>
        <v>1.8902000000000001</v>
      </c>
      <c r="M454" s="194">
        <f t="shared" si="45"/>
        <v>1.9952000000000001</v>
      </c>
      <c r="N454" s="16">
        <f>IF('WetLitterbags placem_collection'!G161="","",'WetLitterbags placem_collection'!G161)</f>
        <v>42816</v>
      </c>
      <c r="O454" s="194" t="str">
        <f>IFERROR(INDEX('Both teabags AfterWet'!$C$3:$C$2000,MATCH(H454,'Both teabags AfterWet'!$A$3:$A$2000,0)),"")</f>
        <v/>
      </c>
      <c r="P454" s="194" t="str">
        <f>IFERROR(INDEX('Both teabags AfterWet'!$C$3:$C$2000,MATCH(I454,'Both teabags AfterWet'!$A$3:$A$2000,0)),"")</f>
        <v/>
      </c>
      <c r="Q454" s="194" t="str">
        <f t="shared" si="48"/>
        <v/>
      </c>
      <c r="R454" s="194" t="str">
        <f t="shared" si="48"/>
        <v/>
      </c>
      <c r="S454" s="194" t="str">
        <f t="shared" si="49"/>
        <v/>
      </c>
      <c r="T454" s="194" t="str">
        <f t="shared" si="50"/>
        <v/>
      </c>
      <c r="U454" s="194" t="str">
        <f t="shared" si="51"/>
        <v/>
      </c>
      <c r="V454">
        <f t="shared" si="46"/>
        <v>54</v>
      </c>
      <c r="W454" s="194" t="str">
        <f t="shared" si="52"/>
        <v/>
      </c>
      <c r="X454" s="194" t="str">
        <f t="shared" si="53"/>
        <v/>
      </c>
      <c r="Y454" s="245" t="str">
        <f>IF(ISNUMBER(SEARCH("C",'WetLitterbags placem_collection'!$Y161)),"YES","NO")</f>
        <v>NO</v>
      </c>
      <c r="Z454" s="245" t="str">
        <f>IF(ISNUMBER(SEARCH("H", 'WetLitterbags placem_collection'!$Y161)),"YES","NO")</f>
        <v>NO</v>
      </c>
      <c r="AA454" s="245" t="str">
        <f>IF(ISNUMBER(SEARCH("R", 'WetLitterbags placem_collection'!$Y161)),"YES","NO")</f>
        <v>NO</v>
      </c>
      <c r="AB454" s="245" t="str">
        <f>IF(ISNUMBER(SEARCH("C", 'WetLitterbags placem_collection'!$W161)),"YES","NO")</f>
        <v>NO</v>
      </c>
      <c r="AC454" s="245" t="str">
        <f>IF(ISNUMBER(SEARCH("H", 'WetLitterbags placem_collection'!$W161)),"YES","NO")</f>
        <v>NO</v>
      </c>
      <c r="AD454" s="245" t="str">
        <f>IF(ISNUMBER(SEARCH("R", 'WetLitterbags placem_collection'!$W161)),"YES","NO")</f>
        <v>NO</v>
      </c>
    </row>
    <row r="455" spans="2:30">
      <c r="B455" t="str">
        <f>Wetseason!B601</f>
        <v>Wet</v>
      </c>
      <c r="C455" s="253">
        <f>Wetseason!C601</f>
        <v>160</v>
      </c>
      <c r="D455" t="s">
        <v>3125</v>
      </c>
      <c r="E455" t="s">
        <v>25</v>
      </c>
      <c r="F455" s="375">
        <v>8</v>
      </c>
      <c r="G455" s="16">
        <f>'WetLitterbags placem_collection'!E162</f>
        <v>42762</v>
      </c>
      <c r="H455" s="92" t="str">
        <f>Wetseason!L601</f>
        <v>G876</v>
      </c>
      <c r="I455" t="str">
        <f>Wetseason!L821</f>
        <v>R461</v>
      </c>
      <c r="J455">
        <f>IFERROR(INDEX('Green_rooibos initial weight'!$C$5:$C$2000,MATCH(H455, 'Green_rooibos initial weight'!$A$5:$A$2000,0)),"")</f>
        <v>1.9550000000000001</v>
      </c>
      <c r="K455">
        <f>IFERROR(INDEX('Green_rooibos initial weight'!$C$5:$C$2000,MATCH(I455, 'Green_rooibos initial weight'!$A$5:$A$2000,0)),"")</f>
        <v>2.1930000000000001</v>
      </c>
      <c r="L455" s="194">
        <f t="shared" si="47"/>
        <v>1.7052</v>
      </c>
      <c r="M455" s="194">
        <f t="shared" si="45"/>
        <v>1.9432</v>
      </c>
      <c r="N455" s="16">
        <f>IF('WetLitterbags placem_collection'!G162="","",'WetLitterbags placem_collection'!G162)</f>
        <v>42816</v>
      </c>
      <c r="O455" s="194">
        <f>IFERROR(INDEX('Both teabags AfterWet'!$C$3:$C$2000,MATCH(H455,'Both teabags AfterWet'!$A$3:$A$2000,0)),"")</f>
        <v>0.68100000000000005</v>
      </c>
      <c r="P455" s="194">
        <f>IFERROR(INDEX('Both teabags AfterWet'!$C$3:$C$2000,MATCH(I455,'Both teabags AfterWet'!$A$3:$A$2000,0)),"")</f>
        <v>1.744</v>
      </c>
      <c r="Q455" s="194">
        <f t="shared" si="48"/>
        <v>0.53039999999999998</v>
      </c>
      <c r="R455" s="194">
        <f t="shared" si="48"/>
        <v>1.5933999999999999</v>
      </c>
      <c r="S455" s="194">
        <f t="shared" si="49"/>
        <v>0.68895144264602393</v>
      </c>
      <c r="T455" s="194">
        <f t="shared" si="50"/>
        <v>0.45166412867055256</v>
      </c>
      <c r="U455" s="194">
        <f t="shared" si="51"/>
        <v>0.81998764923836964</v>
      </c>
      <c r="V455">
        <f t="shared" si="46"/>
        <v>54</v>
      </c>
      <c r="W455" s="194">
        <f t="shared" si="52"/>
        <v>0.181767882843202</v>
      </c>
      <c r="X455" s="194">
        <f t="shared" si="53"/>
        <v>9.4151445856047421E-3</v>
      </c>
      <c r="Y455" s="245" t="str">
        <f>IF(ISNUMBER(SEARCH("C",'WetLitterbags placem_collection'!$Y162)),"YES","NO")</f>
        <v>NO</v>
      </c>
      <c r="Z455" s="245" t="str">
        <f>IF(ISNUMBER(SEARCH("H", 'WetLitterbags placem_collection'!$Y162)),"YES","NO")</f>
        <v>NO</v>
      </c>
      <c r="AA455" s="245" t="str">
        <f>IF(ISNUMBER(SEARCH("R", 'WetLitterbags placem_collection'!$Y162)),"YES","NO")</f>
        <v>NO</v>
      </c>
      <c r="AB455" s="245" t="str">
        <f>IF(ISNUMBER(SEARCH("C", 'WetLitterbags placem_collection'!$W162)),"YES","NO")</f>
        <v>NO</v>
      </c>
      <c r="AC455" s="245" t="str">
        <f>IF(ISNUMBER(SEARCH("H", 'WetLitterbags placem_collection'!$W162)),"YES","NO")</f>
        <v>NO</v>
      </c>
      <c r="AD455" s="245" t="str">
        <f>IF(ISNUMBER(SEARCH("R", 'WetLitterbags placem_collection'!$W162)),"YES","NO")</f>
        <v>YES</v>
      </c>
    </row>
    <row r="456" spans="2:30">
      <c r="B456" t="str">
        <f>Wetseason!B602</f>
        <v>Wet</v>
      </c>
      <c r="C456" s="253">
        <f>Wetseason!C602</f>
        <v>161</v>
      </c>
      <c r="D456" t="s">
        <v>3126</v>
      </c>
      <c r="E456" t="s">
        <v>25</v>
      </c>
      <c r="F456" s="374">
        <v>1</v>
      </c>
      <c r="G456" s="16">
        <f>'WetLitterbags placem_collection'!E163</f>
        <v>42763</v>
      </c>
      <c r="H456" s="92" t="str">
        <f>Wetseason!L602</f>
        <v>G351</v>
      </c>
      <c r="I456" t="str">
        <f>Wetseason!L822</f>
        <v>R253</v>
      </c>
      <c r="J456">
        <f>IFERROR(INDEX('Green_rooibos initial weight'!$C$5:$C$2000,MATCH(H456, 'Green_rooibos initial weight'!$A$5:$A$2000,0)),"")</f>
        <v>1.909</v>
      </c>
      <c r="K456">
        <f>IFERROR(INDEX('Green_rooibos initial weight'!$C$5:$C$2000,MATCH(I456, 'Green_rooibos initial weight'!$A$5:$A$2000,0)),"")</f>
        <v>2.2130000000000001</v>
      </c>
      <c r="L456" s="194">
        <f t="shared" si="47"/>
        <v>1.6592</v>
      </c>
      <c r="M456" s="194">
        <f t="shared" si="45"/>
        <v>1.9632000000000001</v>
      </c>
      <c r="N456" s="16">
        <f>IF('WetLitterbags placem_collection'!G163="","",'WetLitterbags placem_collection'!G163)</f>
        <v>42814</v>
      </c>
      <c r="O456" s="194">
        <f>IFERROR(INDEX('Both teabags AfterWet'!$C$3:$C$2000,MATCH(H456,'Both teabags AfterWet'!$A$3:$A$2000,0)),"")</f>
        <v>0.58709999999999996</v>
      </c>
      <c r="P456" s="194">
        <f>IFERROR(INDEX('Both teabags AfterWet'!$C$3:$C$2000,MATCH(I456,'Both teabags AfterWet'!$A$3:$A$2000,0)),"")</f>
        <v>1.7033</v>
      </c>
      <c r="Q456" s="194">
        <f t="shared" si="48"/>
        <v>0.43649999999999994</v>
      </c>
      <c r="R456" s="194">
        <f t="shared" si="48"/>
        <v>1.5527</v>
      </c>
      <c r="S456" s="194">
        <f t="shared" si="49"/>
        <v>0.73692140790742533</v>
      </c>
      <c r="T456" s="194">
        <f t="shared" si="50"/>
        <v>0.4831123719298086</v>
      </c>
      <c r="U456" s="194">
        <f t="shared" si="51"/>
        <v>0.79090260798695999</v>
      </c>
      <c r="V456">
        <f t="shared" si="46"/>
        <v>51</v>
      </c>
      <c r="W456" s="194">
        <f t="shared" si="52"/>
        <v>0.12479642766339027</v>
      </c>
      <c r="X456" s="194">
        <f t="shared" si="53"/>
        <v>1.1118951069981408E-2</v>
      </c>
      <c r="Y456" s="245" t="str">
        <f>IF(ISNUMBER(SEARCH("C",'WetLitterbags placem_collection'!$Y163)),"YES","NO")</f>
        <v>NO</v>
      </c>
      <c r="Z456" s="245" t="str">
        <f>IF(ISNUMBER(SEARCH("H", 'WetLitterbags placem_collection'!$Y163)),"YES","NO")</f>
        <v>NO</v>
      </c>
      <c r="AA456" s="245" t="str">
        <f>IF(ISNUMBER(SEARCH("R", 'WetLitterbags placem_collection'!$Y163)),"YES","NO")</f>
        <v>NO</v>
      </c>
      <c r="AB456" s="245" t="str">
        <f>IF(ISNUMBER(SEARCH("C", 'WetLitterbags placem_collection'!$W163)),"YES","NO")</f>
        <v>NO</v>
      </c>
      <c r="AC456" s="245" t="str">
        <f>IF(ISNUMBER(SEARCH("H", 'WetLitterbags placem_collection'!$W163)),"YES","NO")</f>
        <v>NO</v>
      </c>
      <c r="AD456" s="245" t="str">
        <f>IF(ISNUMBER(SEARCH("R", 'WetLitterbags placem_collection'!$W163)),"YES","NO")</f>
        <v>NO</v>
      </c>
    </row>
    <row r="457" spans="2:30">
      <c r="B457" t="str">
        <f>Wetseason!B603</f>
        <v>Wet</v>
      </c>
      <c r="C457" s="253">
        <f>Wetseason!C603</f>
        <v>162</v>
      </c>
      <c r="D457" t="s">
        <v>3126</v>
      </c>
      <c r="E457" t="s">
        <v>25</v>
      </c>
      <c r="F457" s="374">
        <v>2</v>
      </c>
      <c r="G457" s="16">
        <f>'WetLitterbags placem_collection'!E164</f>
        <v>42763</v>
      </c>
      <c r="H457" s="92" t="str">
        <f>Wetseason!L603</f>
        <v>G442</v>
      </c>
      <c r="I457" t="str">
        <f>Wetseason!L823</f>
        <v>R285</v>
      </c>
      <c r="J457">
        <f>IFERROR(INDEX('Green_rooibos initial weight'!$C$5:$C$2000,MATCH(H457, 'Green_rooibos initial weight'!$A$5:$A$2000,0)),"")</f>
        <v>2.056</v>
      </c>
      <c r="K457">
        <f>IFERROR(INDEX('Green_rooibos initial weight'!$C$5:$C$2000,MATCH(I457, 'Green_rooibos initial weight'!$A$5:$A$2000,0)),"")</f>
        <v>2.2400000000000002</v>
      </c>
      <c r="L457" s="194">
        <f t="shared" si="47"/>
        <v>1.8062</v>
      </c>
      <c r="M457" s="194">
        <f t="shared" si="45"/>
        <v>1.9902000000000002</v>
      </c>
      <c r="N457" s="16">
        <f>IF('WetLitterbags placem_collection'!G164="","",'WetLitterbags placem_collection'!G164)</f>
        <v>42814</v>
      </c>
      <c r="O457" s="194">
        <f>IFERROR(INDEX('Both teabags AfterWet'!$C$3:$C$2000,MATCH(H457,'Both teabags AfterWet'!$A$3:$A$2000,0)),"")</f>
        <v>0.66290000000000004</v>
      </c>
      <c r="P457" s="194">
        <f>IFERROR(INDEX('Both teabags AfterWet'!$C$3:$C$2000,MATCH(I457,'Both teabags AfterWet'!$A$3:$A$2000,0)),"")</f>
        <v>1.6621999999999999</v>
      </c>
      <c r="Q457" s="194">
        <f t="shared" si="48"/>
        <v>0.51229999999999998</v>
      </c>
      <c r="R457" s="194">
        <f t="shared" si="48"/>
        <v>1.5115999999999998</v>
      </c>
      <c r="S457" s="194">
        <f t="shared" si="49"/>
        <v>0.71636585095781202</v>
      </c>
      <c r="T457" s="194">
        <f t="shared" si="50"/>
        <v>0.46963651986782928</v>
      </c>
      <c r="U457" s="194">
        <f t="shared" si="51"/>
        <v>0.75952165611496314</v>
      </c>
      <c r="V457">
        <f t="shared" si="46"/>
        <v>51</v>
      </c>
      <c r="W457" s="194">
        <f t="shared" si="52"/>
        <v>0.14920920313799046</v>
      </c>
      <c r="X457" s="194">
        <f t="shared" si="53"/>
        <v>1.4069540070446694E-2</v>
      </c>
      <c r="Y457" s="245" t="str">
        <f>IF(ISNUMBER(SEARCH("C",'WetLitterbags placem_collection'!$Y164)),"YES","NO")</f>
        <v>NO</v>
      </c>
      <c r="Z457" s="245" t="str">
        <f>IF(ISNUMBER(SEARCH("H", 'WetLitterbags placem_collection'!$Y164)),"YES","NO")</f>
        <v>NO</v>
      </c>
      <c r="AA457" s="245" t="str">
        <f>IF(ISNUMBER(SEARCH("R", 'WetLitterbags placem_collection'!$Y164)),"YES","NO")</f>
        <v>YES</v>
      </c>
      <c r="AB457" s="245" t="str">
        <f>IF(ISNUMBER(SEARCH("C", 'WetLitterbags placem_collection'!$W164)),"YES","NO")</f>
        <v>NO</v>
      </c>
      <c r="AC457" s="245" t="str">
        <f>IF(ISNUMBER(SEARCH("H", 'WetLitterbags placem_collection'!$W164)),"YES","NO")</f>
        <v>YES</v>
      </c>
      <c r="AD457" s="245" t="str">
        <f>IF(ISNUMBER(SEARCH("R", 'WetLitterbags placem_collection'!$W164)),"YES","NO")</f>
        <v>NO</v>
      </c>
    </row>
    <row r="458" spans="2:30">
      <c r="B458" t="str">
        <f>Wetseason!B604</f>
        <v>Wet</v>
      </c>
      <c r="C458" s="253">
        <f>Wetseason!C604</f>
        <v>163</v>
      </c>
      <c r="D458" t="s">
        <v>3126</v>
      </c>
      <c r="E458" t="s">
        <v>25</v>
      </c>
      <c r="F458" s="374">
        <v>3</v>
      </c>
      <c r="G458" s="16">
        <f>'WetLitterbags placem_collection'!E165</f>
        <v>42763</v>
      </c>
      <c r="H458" s="92" t="str">
        <f>Wetseason!L604</f>
        <v>G743</v>
      </c>
      <c r="I458" t="str">
        <f>Wetseason!L824</f>
        <v>R341</v>
      </c>
      <c r="J458">
        <f>IFERROR(INDEX('Green_rooibos initial weight'!$C$5:$C$2000,MATCH(H458, 'Green_rooibos initial weight'!$A$5:$A$2000,0)),"")</f>
        <v>2.0339999999999998</v>
      </c>
      <c r="K458">
        <f>IFERROR(INDEX('Green_rooibos initial weight'!$C$5:$C$2000,MATCH(I458, 'Green_rooibos initial weight'!$A$5:$A$2000,0)),"")</f>
        <v>2.1560000000000001</v>
      </c>
      <c r="L458" s="194">
        <f t="shared" si="47"/>
        <v>1.7841999999999998</v>
      </c>
      <c r="M458" s="194">
        <f t="shared" si="45"/>
        <v>1.9062000000000001</v>
      </c>
      <c r="N458" s="16">
        <f>IF('WetLitterbags placem_collection'!G165="","",'WetLitterbags placem_collection'!G165)</f>
        <v>42814</v>
      </c>
      <c r="O458" s="194">
        <f>IFERROR(INDEX('Both teabags AfterWet'!$C$3:$C$2000,MATCH(H458,'Both teabags AfterWet'!$A$3:$A$2000,0)),"")</f>
        <v>0.68700000000000006</v>
      </c>
      <c r="P458" s="194">
        <f>IFERROR(INDEX('Both teabags AfterWet'!$C$3:$C$2000,MATCH(I458,'Both teabags AfterWet'!$A$3:$A$2000,0)),"")</f>
        <v>1.738</v>
      </c>
      <c r="Q458" s="194">
        <f t="shared" si="48"/>
        <v>0.53639999999999999</v>
      </c>
      <c r="R458" s="194">
        <f t="shared" si="48"/>
        <v>1.5873999999999999</v>
      </c>
      <c r="S458" s="194">
        <f t="shared" si="49"/>
        <v>0.6993610581773344</v>
      </c>
      <c r="T458" s="194">
        <f t="shared" si="50"/>
        <v>0.45848848469582976</v>
      </c>
      <c r="U458" s="194">
        <f t="shared" si="51"/>
        <v>0.83275626901689215</v>
      </c>
      <c r="V458">
        <f t="shared" si="46"/>
        <v>51</v>
      </c>
      <c r="W458" s="194">
        <f t="shared" si="52"/>
        <v>0.169404919029294</v>
      </c>
      <c r="X458" s="194">
        <f t="shared" si="53"/>
        <v>8.8974742058777357E-3</v>
      </c>
      <c r="Y458" s="245" t="str">
        <f>IF(ISNUMBER(SEARCH("C",'WetLitterbags placem_collection'!$Y165)),"YES","NO")</f>
        <v>NO</v>
      </c>
      <c r="Z458" s="245" t="str">
        <f>IF(ISNUMBER(SEARCH("H", 'WetLitterbags placem_collection'!$Y165)),"YES","NO")</f>
        <v>NO</v>
      </c>
      <c r="AA458" s="245" t="str">
        <f>IF(ISNUMBER(SEARCH("R", 'WetLitterbags placem_collection'!$Y165)),"YES","NO")</f>
        <v>NO</v>
      </c>
      <c r="AB458" s="245" t="str">
        <f>IF(ISNUMBER(SEARCH("C", 'WetLitterbags placem_collection'!$W165)),"YES","NO")</f>
        <v>NO</v>
      </c>
      <c r="AC458" s="245" t="str">
        <f>IF(ISNUMBER(SEARCH("H", 'WetLitterbags placem_collection'!$W165)),"YES","NO")</f>
        <v>NO</v>
      </c>
      <c r="AD458" s="245" t="str">
        <f>IF(ISNUMBER(SEARCH("R", 'WetLitterbags placem_collection'!$W165)),"YES","NO")</f>
        <v>NO</v>
      </c>
    </row>
    <row r="459" spans="2:30">
      <c r="B459" t="str">
        <f>Wetseason!B605</f>
        <v>Wet</v>
      </c>
      <c r="C459" s="253">
        <f>Wetseason!C605</f>
        <v>164</v>
      </c>
      <c r="D459" t="s">
        <v>3126</v>
      </c>
      <c r="E459" t="s">
        <v>25</v>
      </c>
      <c r="F459" s="375">
        <v>4</v>
      </c>
      <c r="G459" s="16">
        <f>'WetLitterbags placem_collection'!E166</f>
        <v>42763</v>
      </c>
      <c r="H459" s="92" t="str">
        <f>Wetseason!L605</f>
        <v>G390</v>
      </c>
      <c r="I459" t="str">
        <f>Wetseason!L825</f>
        <v>R264</v>
      </c>
      <c r="J459">
        <f>IFERROR(INDEX('Green_rooibos initial weight'!$C$5:$C$2000,MATCH(H459, 'Green_rooibos initial weight'!$A$5:$A$2000,0)),"")</f>
        <v>2.0630000000000002</v>
      </c>
      <c r="K459">
        <f>IFERROR(INDEX('Green_rooibos initial weight'!$C$5:$C$2000,MATCH(I459, 'Green_rooibos initial weight'!$A$5:$A$2000,0)),"")</f>
        <v>2.2250000000000001</v>
      </c>
      <c r="L459" s="194">
        <f t="shared" si="47"/>
        <v>1.8132000000000001</v>
      </c>
      <c r="M459" s="194">
        <f t="shared" si="45"/>
        <v>1.9752000000000001</v>
      </c>
      <c r="N459" s="16">
        <f>IF('WetLitterbags placem_collection'!G166="","",'WetLitterbags placem_collection'!G166)</f>
        <v>42814</v>
      </c>
      <c r="O459" s="194">
        <f>IFERROR(INDEX('Both teabags AfterWet'!$C$3:$C$2000,MATCH(H459,'Both teabags AfterWet'!$A$3:$A$2000,0)),"")</f>
        <v>0.63800000000000001</v>
      </c>
      <c r="P459" s="194">
        <f>IFERROR(INDEX('Both teabags AfterWet'!$C$3:$C$2000,MATCH(I459,'Both teabags AfterWet'!$A$3:$A$2000,0)),"")</f>
        <v>1.7050000000000001</v>
      </c>
      <c r="Q459" s="194">
        <f t="shared" si="48"/>
        <v>0.4874</v>
      </c>
      <c r="R459" s="194">
        <f t="shared" si="48"/>
        <v>1.5544</v>
      </c>
      <c r="S459" s="194">
        <f t="shared" si="49"/>
        <v>0.73119347010809621</v>
      </c>
      <c r="T459" s="194">
        <f t="shared" si="50"/>
        <v>0.47935723931077096</v>
      </c>
      <c r="U459" s="194">
        <f t="shared" si="51"/>
        <v>0.7869582827055488</v>
      </c>
      <c r="V459">
        <f t="shared" si="46"/>
        <v>51</v>
      </c>
      <c r="W459" s="194">
        <f t="shared" si="52"/>
        <v>0.13159920414715409</v>
      </c>
      <c r="X459" s="194">
        <f t="shared" si="53"/>
        <v>1.1524791037832991E-2</v>
      </c>
      <c r="Y459" s="245" t="str">
        <f>IF(ISNUMBER(SEARCH("C",'WetLitterbags placem_collection'!$Y166)),"YES","NO")</f>
        <v>NO</v>
      </c>
      <c r="Z459" s="245" t="str">
        <f>IF(ISNUMBER(SEARCH("H", 'WetLitterbags placem_collection'!$Y166)),"YES","NO")</f>
        <v>NO</v>
      </c>
      <c r="AA459" s="245" t="str">
        <f>IF(ISNUMBER(SEARCH("R", 'WetLitterbags placem_collection'!$Y166)),"YES","NO")</f>
        <v>NO</v>
      </c>
      <c r="AB459" s="245" t="str">
        <f>IF(ISNUMBER(SEARCH("C", 'WetLitterbags placem_collection'!$W166)),"YES","NO")</f>
        <v>NO</v>
      </c>
      <c r="AC459" s="245" t="str">
        <f>IF(ISNUMBER(SEARCH("H", 'WetLitterbags placem_collection'!$W166)),"YES","NO")</f>
        <v>NO</v>
      </c>
      <c r="AD459" s="245" t="str">
        <f>IF(ISNUMBER(SEARCH("R", 'WetLitterbags placem_collection'!$W166)),"YES","NO")</f>
        <v>NO</v>
      </c>
    </row>
    <row r="460" spans="2:30">
      <c r="B460" t="str">
        <f>Wetseason!B606</f>
        <v>Wet</v>
      </c>
      <c r="C460" s="253">
        <f>Wetseason!C606</f>
        <v>165</v>
      </c>
      <c r="D460" t="s">
        <v>3126</v>
      </c>
      <c r="E460" t="s">
        <v>25</v>
      </c>
      <c r="F460" s="375">
        <v>5</v>
      </c>
      <c r="G460" s="16">
        <f>'WetLitterbags placem_collection'!E167</f>
        <v>42763</v>
      </c>
      <c r="H460" s="92" t="str">
        <f>Wetseason!L606</f>
        <v>G810</v>
      </c>
      <c r="I460" t="str">
        <f>Wetseason!L826</f>
        <v>R411</v>
      </c>
      <c r="J460">
        <f>IFERROR(INDEX('Green_rooibos initial weight'!$C$5:$C$2000,MATCH(H460, 'Green_rooibos initial weight'!$A$5:$A$2000,0)),"")</f>
        <v>1.946</v>
      </c>
      <c r="K460">
        <f>IFERROR(INDEX('Green_rooibos initial weight'!$C$5:$C$2000,MATCH(I460, 'Green_rooibos initial weight'!$A$5:$A$2000,0)),"")</f>
        <v>2.2240000000000002</v>
      </c>
      <c r="L460" s="194">
        <f t="shared" si="47"/>
        <v>1.6961999999999999</v>
      </c>
      <c r="M460" s="194">
        <f t="shared" ref="M460:M515" si="54">IF(K460&gt;0,(K460*$F$32-($F$29+$F$30)),"")</f>
        <v>1.9742000000000002</v>
      </c>
      <c r="N460" s="16">
        <f>IF('WetLitterbags placem_collection'!G167="","",'WetLitterbags placem_collection'!G167)</f>
        <v>42814</v>
      </c>
      <c r="O460" s="194">
        <f>IFERROR(INDEX('Both teabags AfterWet'!$C$3:$C$2000,MATCH(H460,'Both teabags AfterWet'!$A$3:$A$2000,0)),"")</f>
        <v>0.64800000000000002</v>
      </c>
      <c r="P460" s="194">
        <f>IFERROR(INDEX('Both teabags AfterWet'!$C$3:$C$2000,MATCH(I460,'Both teabags AfterWet'!$A$3:$A$2000,0)),"")</f>
        <v>1.728</v>
      </c>
      <c r="Q460" s="194">
        <f t="shared" si="48"/>
        <v>0.49740000000000001</v>
      </c>
      <c r="R460" s="194">
        <f t="shared" si="48"/>
        <v>1.5773999999999999</v>
      </c>
      <c r="S460" s="194">
        <f t="shared" si="49"/>
        <v>0.70675627874071445</v>
      </c>
      <c r="T460" s="194">
        <f t="shared" si="50"/>
        <v>0.46333665779676297</v>
      </c>
      <c r="U460" s="194">
        <f t="shared" si="51"/>
        <v>0.79900719278695154</v>
      </c>
      <c r="V460">
        <f t="shared" ref="V460:V515" si="55">IFERROR(IF((N460-G460)&gt;0,(IFERROR(N460-G460,"")),""),"")</f>
        <v>51</v>
      </c>
      <c r="W460" s="194">
        <f t="shared" si="52"/>
        <v>0.16062199674499467</v>
      </c>
      <c r="X460" s="194">
        <f t="shared" si="53"/>
        <v>1.1152899263052954E-2</v>
      </c>
      <c r="Y460" s="245" t="str">
        <f>IF(ISNUMBER(SEARCH("C",'WetLitterbags placem_collection'!$Y167)),"YES","NO")</f>
        <v>NO</v>
      </c>
      <c r="Z460" s="245" t="str">
        <f>IF(ISNUMBER(SEARCH("H", 'WetLitterbags placem_collection'!$Y167)),"YES","NO")</f>
        <v>NO</v>
      </c>
      <c r="AA460" s="245" t="str">
        <f>IF(ISNUMBER(SEARCH("R", 'WetLitterbags placem_collection'!$Y167)),"YES","NO")</f>
        <v>NO</v>
      </c>
      <c r="AB460" s="245" t="str">
        <f>IF(ISNUMBER(SEARCH("C", 'WetLitterbags placem_collection'!$W167)),"YES","NO")</f>
        <v>NO</v>
      </c>
      <c r="AC460" s="245" t="str">
        <f>IF(ISNUMBER(SEARCH("H", 'WetLitterbags placem_collection'!$W167)),"YES","NO")</f>
        <v>YES</v>
      </c>
      <c r="AD460" s="245" t="str">
        <f>IF(ISNUMBER(SEARCH("R", 'WetLitterbags placem_collection'!$W167)),"YES","NO")</f>
        <v>NO</v>
      </c>
    </row>
    <row r="461" spans="2:30">
      <c r="B461" t="str">
        <f>Wetseason!B607</f>
        <v>Wet</v>
      </c>
      <c r="C461" s="253">
        <f>Wetseason!C607</f>
        <v>166</v>
      </c>
      <c r="D461" t="s">
        <v>3126</v>
      </c>
      <c r="E461" t="s">
        <v>25</v>
      </c>
      <c r="F461" s="375">
        <v>6</v>
      </c>
      <c r="G461" s="16">
        <f>'WetLitterbags placem_collection'!E168</f>
        <v>42763</v>
      </c>
      <c r="H461" s="92" t="str">
        <f>Wetseason!L607</f>
        <v>G287</v>
      </c>
      <c r="I461" t="str">
        <f>Wetseason!L827</f>
        <v>R259</v>
      </c>
      <c r="J461">
        <f>IFERROR(INDEX('Green_rooibos initial weight'!$C$5:$C$2000,MATCH(H461, 'Green_rooibos initial weight'!$A$5:$A$2000,0)),"")</f>
        <v>1.9970000000000001</v>
      </c>
      <c r="K461">
        <f>IFERROR(INDEX('Green_rooibos initial weight'!$C$5:$C$2000,MATCH(I461, 'Green_rooibos initial weight'!$A$5:$A$2000,0)),"")</f>
        <v>2.218</v>
      </c>
      <c r="L461" s="194">
        <f t="shared" ref="L461:L515" si="56">IF(J461&gt;0,(J461*$F$31-($F$29+$F$30)),"")</f>
        <v>1.7472000000000001</v>
      </c>
      <c r="M461" s="194">
        <f t="shared" si="54"/>
        <v>1.9681999999999999</v>
      </c>
      <c r="N461" s="16">
        <f>IF('WetLitterbags placem_collection'!G168="","",'WetLitterbags placem_collection'!G168)</f>
        <v>42814</v>
      </c>
      <c r="O461" s="194">
        <f>IFERROR(INDEX('Both teabags AfterWet'!$C$3:$C$2000,MATCH(H461,'Both teabags AfterWet'!$A$3:$A$2000,0)),"")</f>
        <v>0.72240000000000004</v>
      </c>
      <c r="P461" s="194">
        <f>IFERROR(INDEX('Both teabags AfterWet'!$C$3:$C$2000,MATCH(I461,'Both teabags AfterWet'!$A$3:$A$2000,0)),"")</f>
        <v>1.7169000000000001</v>
      </c>
      <c r="Q461" s="194">
        <f t="shared" ref="Q461:R515" si="57">IFERROR(IF(O461&gt;0,O461-($F$29),""),"")</f>
        <v>0.57180000000000009</v>
      </c>
      <c r="R461" s="194">
        <f t="shared" si="57"/>
        <v>1.5663</v>
      </c>
      <c r="S461" s="194">
        <f t="shared" ref="S461:S515" si="58">IFERROR(1-Q461/L461,"")</f>
        <v>0.67273351648351642</v>
      </c>
      <c r="T461" s="194">
        <f t="shared" ref="T461:T515" si="59">IFERROR($F$26*(1-W461),"")</f>
        <v>0.44103194904857612</v>
      </c>
      <c r="U461" s="194">
        <f t="shared" ref="U461:U515" si="60">IFERROR(R461/M461,"")</f>
        <v>0.79580327202520074</v>
      </c>
      <c r="V461">
        <f t="shared" si="55"/>
        <v>51</v>
      </c>
      <c r="W461" s="194">
        <f t="shared" ref="W461:W515" si="61">IFERROR(1-(S461/$F$25),"")</f>
        <v>0.20102907781055057</v>
      </c>
      <c r="X461" s="194">
        <f t="shared" ref="X461:X515" si="62">IFERROR(LN(T461/(U461-(1-T461)))/V461,"")</f>
        <v>1.2191229216720135E-2</v>
      </c>
      <c r="Y461" s="245" t="str">
        <f>IF(ISNUMBER(SEARCH("C",'WetLitterbags placem_collection'!$Y168)),"YES","NO")</f>
        <v>NO</v>
      </c>
      <c r="Z461" s="245" t="str">
        <f>IF(ISNUMBER(SEARCH("H", 'WetLitterbags placem_collection'!$Y168)),"YES","NO")</f>
        <v>NO</v>
      </c>
      <c r="AA461" s="245" t="str">
        <f>IF(ISNUMBER(SEARCH("R", 'WetLitterbags placem_collection'!$Y168)),"YES","NO")</f>
        <v>NO</v>
      </c>
      <c r="AB461" s="245" t="str">
        <f>IF(ISNUMBER(SEARCH("C", 'WetLitterbags placem_collection'!$W168)),"YES","NO")</f>
        <v>NO</v>
      </c>
      <c r="AC461" s="245" t="str">
        <f>IF(ISNUMBER(SEARCH("H", 'WetLitterbags placem_collection'!$W168)),"YES","NO")</f>
        <v>NO</v>
      </c>
      <c r="AD461" s="245" t="str">
        <f>IF(ISNUMBER(SEARCH("R", 'WetLitterbags placem_collection'!$W168)),"YES","NO")</f>
        <v>NO</v>
      </c>
    </row>
    <row r="462" spans="2:30">
      <c r="B462" t="str">
        <f>Wetseason!B608</f>
        <v>Wet</v>
      </c>
      <c r="C462" s="253">
        <f>Wetseason!C608</f>
        <v>167</v>
      </c>
      <c r="D462" t="s">
        <v>3126</v>
      </c>
      <c r="E462" t="s">
        <v>25</v>
      </c>
      <c r="F462" s="375">
        <v>7</v>
      </c>
      <c r="G462" s="16">
        <f>'WetLitterbags placem_collection'!E169</f>
        <v>42763</v>
      </c>
      <c r="H462" s="92" t="str">
        <f>Wetseason!L608</f>
        <v>G443</v>
      </c>
      <c r="I462" t="str">
        <f>Wetseason!L828</f>
        <v>R215</v>
      </c>
      <c r="J462">
        <f>IFERROR(INDEX('Green_rooibos initial weight'!$C$5:$C$2000,MATCH(H462, 'Green_rooibos initial weight'!$A$5:$A$2000,0)),"")</f>
        <v>2.0310000000000001</v>
      </c>
      <c r="K462">
        <f>IFERROR(INDEX('Green_rooibos initial weight'!$C$5:$C$2000,MATCH(I462, 'Green_rooibos initial weight'!$A$5:$A$2000,0)),"")</f>
        <v>2.1949999999999998</v>
      </c>
      <c r="L462" s="194">
        <f t="shared" si="56"/>
        <v>1.7812000000000001</v>
      </c>
      <c r="M462" s="194">
        <f t="shared" si="54"/>
        <v>1.9451999999999998</v>
      </c>
      <c r="N462" s="16">
        <f>IF('WetLitterbags placem_collection'!G169="","",'WetLitterbags placem_collection'!G169)</f>
        <v>42814</v>
      </c>
      <c r="O462" s="194">
        <f>IFERROR(INDEX('Both teabags AfterWet'!$C$3:$C$2000,MATCH(H462,'Both teabags AfterWet'!$A$3:$A$2000,0)),"")</f>
        <v>0.69789999999999996</v>
      </c>
      <c r="P462" s="194">
        <f>IFERROR(INDEX('Both teabags AfterWet'!$C$3:$C$2000,MATCH(I462,'Both teabags AfterWet'!$A$3:$A$2000,0)),"")</f>
        <v>1.7432000000000001</v>
      </c>
      <c r="Q462" s="194">
        <f t="shared" si="57"/>
        <v>0.5472999999999999</v>
      </c>
      <c r="R462" s="194">
        <f t="shared" si="57"/>
        <v>1.5926</v>
      </c>
      <c r="S462" s="194">
        <f t="shared" si="58"/>
        <v>0.69273523467325404</v>
      </c>
      <c r="T462" s="194">
        <f t="shared" si="59"/>
        <v>0.45414471441762028</v>
      </c>
      <c r="U462" s="194">
        <f t="shared" si="60"/>
        <v>0.81873329220645696</v>
      </c>
      <c r="V462">
        <f t="shared" si="55"/>
        <v>51</v>
      </c>
      <c r="W462" s="194">
        <f t="shared" si="61"/>
        <v>0.17727406808402135</v>
      </c>
      <c r="X462" s="194">
        <f t="shared" si="62"/>
        <v>9.9880601636159489E-3</v>
      </c>
      <c r="Y462" s="245" t="str">
        <f>IF(ISNUMBER(SEARCH("C",'WetLitterbags placem_collection'!$Y169)),"YES","NO")</f>
        <v>NO</v>
      </c>
      <c r="Z462" s="245" t="str">
        <f>IF(ISNUMBER(SEARCH("H", 'WetLitterbags placem_collection'!$Y169)),"YES","NO")</f>
        <v>NO</v>
      </c>
      <c r="AA462" s="245" t="str">
        <f>IF(ISNUMBER(SEARCH("R", 'WetLitterbags placem_collection'!$Y169)),"YES","NO")</f>
        <v>NO</v>
      </c>
      <c r="AB462" s="245" t="str">
        <f>IF(ISNUMBER(SEARCH("C", 'WetLitterbags placem_collection'!$W169)),"YES","NO")</f>
        <v>NO</v>
      </c>
      <c r="AC462" s="245" t="str">
        <f>IF(ISNUMBER(SEARCH("H", 'WetLitterbags placem_collection'!$W169)),"YES","NO")</f>
        <v>NO</v>
      </c>
      <c r="AD462" s="245" t="str">
        <f>IF(ISNUMBER(SEARCH("R", 'WetLitterbags placem_collection'!$W169)),"YES","NO")</f>
        <v>NO</v>
      </c>
    </row>
    <row r="463" spans="2:30">
      <c r="B463" t="str">
        <f>Wetseason!B609</f>
        <v>Wet</v>
      </c>
      <c r="C463" s="253">
        <f>Wetseason!C609</f>
        <v>168</v>
      </c>
      <c r="D463" t="s">
        <v>3126</v>
      </c>
      <c r="E463" t="s">
        <v>25</v>
      </c>
      <c r="F463" s="375">
        <v>8</v>
      </c>
      <c r="G463" s="16">
        <f>'WetLitterbags placem_collection'!E170</f>
        <v>42763</v>
      </c>
      <c r="H463" s="92" t="str">
        <f>Wetseason!L609</f>
        <v>G680</v>
      </c>
      <c r="I463" t="str">
        <f>Wetseason!L829</f>
        <v>R322</v>
      </c>
      <c r="J463">
        <f>IFERROR(INDEX('Green_rooibos initial weight'!$C$5:$C$2000,MATCH(H463, 'Green_rooibos initial weight'!$A$5:$A$2000,0)),"")</f>
        <v>2.0049999999999999</v>
      </c>
      <c r="K463">
        <f>IFERROR(INDEX('Green_rooibos initial weight'!$C$5:$C$2000,MATCH(I463, 'Green_rooibos initial weight'!$A$5:$A$2000,0)),"")</f>
        <v>2.1909999999999998</v>
      </c>
      <c r="L463" s="194">
        <f t="shared" si="56"/>
        <v>1.7551999999999999</v>
      </c>
      <c r="M463" s="194">
        <f t="shared" si="54"/>
        <v>1.9411999999999998</v>
      </c>
      <c r="N463" s="16">
        <f>IF('WetLitterbags placem_collection'!G170="","",'WetLitterbags placem_collection'!G170)</f>
        <v>42814</v>
      </c>
      <c r="O463" s="194">
        <f>IFERROR(INDEX('Both teabags AfterWet'!$C$3:$C$2000,MATCH(H463,'Both teabags AfterWet'!$A$3:$A$2000,0)),"")</f>
        <v>0.998</v>
      </c>
      <c r="P463" s="194">
        <f>IFERROR(INDEX('Both teabags AfterWet'!$C$3:$C$2000,MATCH(I463,'Both teabags AfterWet'!$A$3:$A$2000,0)),"")</f>
        <v>1.6950000000000001</v>
      </c>
      <c r="Q463" s="194">
        <f t="shared" si="57"/>
        <v>0.84739999999999993</v>
      </c>
      <c r="R463" s="194">
        <f t="shared" si="57"/>
        <v>1.5444</v>
      </c>
      <c r="S463" s="194">
        <f t="shared" si="58"/>
        <v>0.51720601640838648</v>
      </c>
      <c r="T463" s="194">
        <f t="shared" si="59"/>
        <v>0.33907092762165009</v>
      </c>
      <c r="U463" s="194">
        <f t="shared" si="60"/>
        <v>0.79559035648052756</v>
      </c>
      <c r="V463">
        <f t="shared" si="55"/>
        <v>51</v>
      </c>
      <c r="W463" s="194">
        <f t="shared" si="61"/>
        <v>0.38574107314918471</v>
      </c>
      <c r="X463" s="194">
        <f t="shared" si="62"/>
        <v>1.8106797893379462E-2</v>
      </c>
      <c r="Y463" s="245" t="str">
        <f>IF(ISNUMBER(SEARCH("C",'WetLitterbags placem_collection'!$Y170)),"YES","NO")</f>
        <v>NO</v>
      </c>
      <c r="Z463" s="245" t="str">
        <f>IF(ISNUMBER(SEARCH("H", 'WetLitterbags placem_collection'!$Y170)),"YES","NO")</f>
        <v>NO</v>
      </c>
      <c r="AA463" s="245" t="str">
        <f>IF(ISNUMBER(SEARCH("R", 'WetLitterbags placem_collection'!$Y170)),"YES","NO")</f>
        <v>NO</v>
      </c>
      <c r="AB463" s="245" t="str">
        <f>IF(ISNUMBER(SEARCH("C", 'WetLitterbags placem_collection'!$W170)),"YES","NO")</f>
        <v>NO</v>
      </c>
      <c r="AC463" s="245" t="str">
        <f>IF(ISNUMBER(SEARCH("H", 'WetLitterbags placem_collection'!$W170)),"YES","NO")</f>
        <v>NO</v>
      </c>
      <c r="AD463" s="245" t="str">
        <f>IF(ISNUMBER(SEARCH("R", 'WetLitterbags placem_collection'!$W170)),"YES","NO")</f>
        <v>NO</v>
      </c>
    </row>
    <row r="464" spans="2:30">
      <c r="B464" t="str">
        <f>Wetseason!B610</f>
        <v>Wet</v>
      </c>
      <c r="C464" s="253">
        <f>Wetseason!C610</f>
        <v>169</v>
      </c>
      <c r="D464" t="s">
        <v>3128</v>
      </c>
      <c r="E464" t="s">
        <v>25</v>
      </c>
      <c r="F464" s="374">
        <v>1</v>
      </c>
      <c r="G464" s="16">
        <f>'WetLitterbags placem_collection'!E171</f>
        <v>42763</v>
      </c>
      <c r="H464" s="92" t="str">
        <f>Wetseason!L610</f>
        <v>G496</v>
      </c>
      <c r="I464" t="str">
        <f>Wetseason!L830</f>
        <v>R403</v>
      </c>
      <c r="J464">
        <f>IFERROR(INDEX('Green_rooibos initial weight'!$C$5:$C$2000,MATCH(H464, 'Green_rooibos initial weight'!$A$5:$A$2000,0)),"")</f>
        <v>1.8480000000000001</v>
      </c>
      <c r="K464">
        <f>IFERROR(INDEX('Green_rooibos initial weight'!$C$5:$C$2000,MATCH(I464, 'Green_rooibos initial weight'!$A$5:$A$2000,0)),"")</f>
        <v>2.2679999999999998</v>
      </c>
      <c r="L464" s="194">
        <f t="shared" si="56"/>
        <v>1.5982000000000001</v>
      </c>
      <c r="M464" s="194">
        <f t="shared" si="54"/>
        <v>2.0181999999999998</v>
      </c>
      <c r="N464" s="16">
        <f>IF('WetLitterbags placem_collection'!G171="","",'WetLitterbags placem_collection'!G171)</f>
        <v>42814</v>
      </c>
      <c r="O464" s="194">
        <f>IFERROR(INDEX('Both teabags AfterWet'!$C$3:$C$2000,MATCH(H464,'Both teabags AfterWet'!$A$3:$A$2000,0)),"")</f>
        <v>0.57199999999999995</v>
      </c>
      <c r="P464" s="194">
        <f>IFERROR(INDEX('Both teabags AfterWet'!$C$3:$C$2000,MATCH(I464,'Both teabags AfterWet'!$A$3:$A$2000,0)),"")</f>
        <v>1.736</v>
      </c>
      <c r="Q464" s="194">
        <f t="shared" si="57"/>
        <v>0.42139999999999994</v>
      </c>
      <c r="R464" s="194">
        <f t="shared" si="57"/>
        <v>1.5853999999999999</v>
      </c>
      <c r="S464" s="194">
        <f t="shared" si="58"/>
        <v>0.73632836941559265</v>
      </c>
      <c r="T464" s="194">
        <f t="shared" si="59"/>
        <v>0.48272358660024606</v>
      </c>
      <c r="U464" s="194">
        <f t="shared" si="60"/>
        <v>0.78555148151818455</v>
      </c>
      <c r="V464">
        <f t="shared" si="55"/>
        <v>51</v>
      </c>
      <c r="W464" s="194">
        <f t="shared" si="61"/>
        <v>0.12550074891259777</v>
      </c>
      <c r="X464" s="194">
        <f t="shared" si="62"/>
        <v>1.1518262306625657E-2</v>
      </c>
      <c r="Y464" s="245" t="str">
        <f>IF(ISNUMBER(SEARCH("C",'WetLitterbags placem_collection'!$Y171)),"YES","NO")</f>
        <v>NO</v>
      </c>
      <c r="Z464" s="245" t="str">
        <f>IF(ISNUMBER(SEARCH("H", 'WetLitterbags placem_collection'!$Y171)),"YES","NO")</f>
        <v>NO</v>
      </c>
      <c r="AA464" s="245" t="str">
        <f>IF(ISNUMBER(SEARCH("R", 'WetLitterbags placem_collection'!$Y171)),"YES","NO")</f>
        <v>NO</v>
      </c>
      <c r="AB464" s="245" t="str">
        <f>IF(ISNUMBER(SEARCH("C", 'WetLitterbags placem_collection'!$W171)),"YES","NO")</f>
        <v>YES</v>
      </c>
      <c r="AC464" s="245" t="str">
        <f>IF(ISNUMBER(SEARCH("H", 'WetLitterbags placem_collection'!$W171)),"YES","NO")</f>
        <v>YES</v>
      </c>
      <c r="AD464" s="245" t="str">
        <f>IF(ISNUMBER(SEARCH("R", 'WetLitterbags placem_collection'!$W171)),"YES","NO")</f>
        <v>NO</v>
      </c>
    </row>
    <row r="465" spans="2:30">
      <c r="B465" t="str">
        <f>Wetseason!B611</f>
        <v>Wet</v>
      </c>
      <c r="C465" s="253">
        <f>Wetseason!C611</f>
        <v>170</v>
      </c>
      <c r="D465" t="s">
        <v>3128</v>
      </c>
      <c r="E465" t="s">
        <v>25</v>
      </c>
      <c r="F465" s="374">
        <v>2</v>
      </c>
      <c r="G465" s="16">
        <f>'WetLitterbags placem_collection'!E172</f>
        <v>42763</v>
      </c>
      <c r="H465" s="92" t="str">
        <f>Wetseason!L611</f>
        <v>G674</v>
      </c>
      <c r="I465" t="str">
        <f>Wetseason!L831</f>
        <v>R583</v>
      </c>
      <c r="J465">
        <f>IFERROR(INDEX('Green_rooibos initial weight'!$C$5:$C$2000,MATCH(H465, 'Green_rooibos initial weight'!$A$5:$A$2000,0)),"")</f>
        <v>1.9950000000000001</v>
      </c>
      <c r="K465">
        <f>IFERROR(INDEX('Green_rooibos initial weight'!$C$5:$C$2000,MATCH(I465, 'Green_rooibos initial weight'!$A$5:$A$2000,0)),"")</f>
        <v>2.2549999999999999</v>
      </c>
      <c r="L465" s="194">
        <f t="shared" si="56"/>
        <v>1.7452000000000001</v>
      </c>
      <c r="M465" s="194">
        <f t="shared" si="54"/>
        <v>2.0051999999999999</v>
      </c>
      <c r="N465" s="16">
        <f>IF('WetLitterbags placem_collection'!G172="","",'WetLitterbags placem_collection'!G172)</f>
        <v>42814</v>
      </c>
      <c r="O465" s="194">
        <f>IFERROR(INDEX('Both teabags AfterWet'!$C$3:$C$2000,MATCH(H465,'Both teabags AfterWet'!$A$3:$A$2000,0)),"")</f>
        <v>0.61299999999999999</v>
      </c>
      <c r="P465" s="194">
        <f>IFERROR(INDEX('Both teabags AfterWet'!$C$3:$C$2000,MATCH(I465,'Both teabags AfterWet'!$A$3:$A$2000,0)),"")</f>
        <v>1.71</v>
      </c>
      <c r="Q465" s="194">
        <f t="shared" si="57"/>
        <v>0.46239999999999998</v>
      </c>
      <c r="R465" s="194">
        <f t="shared" si="57"/>
        <v>1.5593999999999999</v>
      </c>
      <c r="S465" s="194">
        <f t="shared" si="58"/>
        <v>0.73504469401787764</v>
      </c>
      <c r="T465" s="194">
        <f t="shared" si="59"/>
        <v>0.48188203218274167</v>
      </c>
      <c r="U465" s="194">
        <f t="shared" si="60"/>
        <v>0.77767803710353078</v>
      </c>
      <c r="V465">
        <f t="shared" si="55"/>
        <v>51</v>
      </c>
      <c r="W465" s="194">
        <f t="shared" si="61"/>
        <v>0.12702530401677237</v>
      </c>
      <c r="X465" s="194">
        <f t="shared" si="62"/>
        <v>1.2131591782276772E-2</v>
      </c>
      <c r="Y465" s="245" t="str">
        <f>IF(ISNUMBER(SEARCH("C",'WetLitterbags placem_collection'!$Y172)),"YES","NO")</f>
        <v>NO</v>
      </c>
      <c r="Z465" s="245" t="str">
        <f>IF(ISNUMBER(SEARCH("H", 'WetLitterbags placem_collection'!$Y172)),"YES","NO")</f>
        <v>NO</v>
      </c>
      <c r="AA465" s="245" t="str">
        <f>IF(ISNUMBER(SEARCH("R", 'WetLitterbags placem_collection'!$Y172)),"YES","NO")</f>
        <v>NO</v>
      </c>
      <c r="AB465" s="245" t="str">
        <f>IF(ISNUMBER(SEARCH("C", 'WetLitterbags placem_collection'!$W172)),"YES","NO")</f>
        <v>NO</v>
      </c>
      <c r="AC465" s="245" t="str">
        <f>IF(ISNUMBER(SEARCH("H", 'WetLitterbags placem_collection'!$W172)),"YES","NO")</f>
        <v>NO</v>
      </c>
      <c r="AD465" s="245" t="str">
        <f>IF(ISNUMBER(SEARCH("R", 'WetLitterbags placem_collection'!$W172)),"YES","NO")</f>
        <v>NO</v>
      </c>
    </row>
    <row r="466" spans="2:30">
      <c r="B466" t="str">
        <f>Wetseason!B612</f>
        <v>Wet</v>
      </c>
      <c r="C466" s="253">
        <f>Wetseason!C612</f>
        <v>171</v>
      </c>
      <c r="D466" t="s">
        <v>3128</v>
      </c>
      <c r="E466" t="s">
        <v>25</v>
      </c>
      <c r="F466" s="374">
        <v>3</v>
      </c>
      <c r="G466" s="16">
        <f>'WetLitterbags placem_collection'!E173</f>
        <v>42763</v>
      </c>
      <c r="H466" s="92" t="str">
        <f>Wetseason!L612</f>
        <v>G504</v>
      </c>
      <c r="I466" t="str">
        <f>Wetseason!L832</f>
        <v>R451</v>
      </c>
      <c r="J466">
        <f>IFERROR(INDEX('Green_rooibos initial weight'!$C$5:$C$2000,MATCH(H466, 'Green_rooibos initial weight'!$A$5:$A$2000,0)),"")</f>
        <v>2.0009999999999999</v>
      </c>
      <c r="K466">
        <f>IFERROR(INDEX('Green_rooibos initial weight'!$C$5:$C$2000,MATCH(I466, 'Green_rooibos initial weight'!$A$5:$A$2000,0)),"")</f>
        <v>2.1970000000000001</v>
      </c>
      <c r="L466" s="194">
        <f t="shared" si="56"/>
        <v>1.7511999999999999</v>
      </c>
      <c r="M466" s="194">
        <f t="shared" si="54"/>
        <v>1.9472</v>
      </c>
      <c r="N466" s="16">
        <f>IF('WetLitterbags placem_collection'!G173="","",'WetLitterbags placem_collection'!G173)</f>
        <v>42814</v>
      </c>
      <c r="O466" s="194">
        <f>IFERROR(INDEX('Both teabags AfterWet'!$C$3:$C$2000,MATCH(H466,'Both teabags AfterWet'!$A$3:$A$2000,0)),"")</f>
        <v>0.53500000000000003</v>
      </c>
      <c r="P466" s="194">
        <f>IFERROR(INDEX('Both teabags AfterWet'!$C$3:$C$2000,MATCH(I466,'Both teabags AfterWet'!$A$3:$A$2000,0)),"")</f>
        <v>1.629</v>
      </c>
      <c r="Q466" s="194">
        <f t="shared" si="57"/>
        <v>0.38440000000000002</v>
      </c>
      <c r="R466" s="194">
        <f t="shared" si="57"/>
        <v>1.4783999999999999</v>
      </c>
      <c r="S466" s="194">
        <f t="shared" si="58"/>
        <v>0.78049337597076285</v>
      </c>
      <c r="T466" s="194">
        <f t="shared" si="59"/>
        <v>0.51167736761978755</v>
      </c>
      <c r="U466" s="194">
        <f t="shared" si="60"/>
        <v>0.75924404272801971</v>
      </c>
      <c r="V466">
        <f t="shared" si="55"/>
        <v>51</v>
      </c>
      <c r="W466" s="194">
        <f t="shared" si="61"/>
        <v>7.3048247065602312E-2</v>
      </c>
      <c r="X466" s="194">
        <f t="shared" si="62"/>
        <v>1.246795107733384E-2</v>
      </c>
      <c r="Y466" s="245" t="str">
        <f>IF(ISNUMBER(SEARCH("C",'WetLitterbags placem_collection'!$Y173)),"YES","NO")</f>
        <v>NO</v>
      </c>
      <c r="Z466" s="245" t="str">
        <f>IF(ISNUMBER(SEARCH("H", 'WetLitterbags placem_collection'!$Y173)),"YES","NO")</f>
        <v>NO</v>
      </c>
      <c r="AA466" s="245" t="str">
        <f>IF(ISNUMBER(SEARCH("R", 'WetLitterbags placem_collection'!$Y173)),"YES","NO")</f>
        <v>NO</v>
      </c>
      <c r="AB466" s="245" t="str">
        <f>IF(ISNUMBER(SEARCH("C", 'WetLitterbags placem_collection'!$W173)),"YES","NO")</f>
        <v>NO</v>
      </c>
      <c r="AC466" s="245" t="str">
        <f>IF(ISNUMBER(SEARCH("H", 'WetLitterbags placem_collection'!$W173)),"YES","NO")</f>
        <v>NO</v>
      </c>
      <c r="AD466" s="245" t="str">
        <f>IF(ISNUMBER(SEARCH("R", 'WetLitterbags placem_collection'!$W173)),"YES","NO")</f>
        <v>NO</v>
      </c>
    </row>
    <row r="467" spans="2:30">
      <c r="B467" t="str">
        <f>Wetseason!B613</f>
        <v>Wet</v>
      </c>
      <c r="C467" s="253">
        <f>Wetseason!C613</f>
        <v>172</v>
      </c>
      <c r="D467" t="s">
        <v>3128</v>
      </c>
      <c r="E467" t="s">
        <v>25</v>
      </c>
      <c r="F467" s="375">
        <v>4</v>
      </c>
      <c r="G467" s="16">
        <f>'WetLitterbags placem_collection'!E174</f>
        <v>42763</v>
      </c>
      <c r="H467" s="92" t="str">
        <f>Wetseason!L613</f>
        <v>G439</v>
      </c>
      <c r="I467" t="str">
        <f>Wetseason!L833</f>
        <v>R353</v>
      </c>
      <c r="J467">
        <f>IFERROR(INDEX('Green_rooibos initial weight'!$C$5:$C$2000,MATCH(H467, 'Green_rooibos initial weight'!$A$5:$A$2000,0)),"")</f>
        <v>2.069</v>
      </c>
      <c r="K467">
        <f>IFERROR(INDEX('Green_rooibos initial weight'!$C$5:$C$2000,MATCH(I467, 'Green_rooibos initial weight'!$A$5:$A$2000,0)),"")</f>
        <v>2.2909999999999999</v>
      </c>
      <c r="L467" s="194">
        <f t="shared" si="56"/>
        <v>1.8191999999999999</v>
      </c>
      <c r="M467" s="194">
        <f t="shared" si="54"/>
        <v>2.0411999999999999</v>
      </c>
      <c r="N467" s="16">
        <f>IF('WetLitterbags placem_collection'!G174="","",'WetLitterbags placem_collection'!G174)</f>
        <v>42814</v>
      </c>
      <c r="O467" s="194">
        <f>IFERROR(INDEX('Both teabags AfterWet'!$C$3:$C$2000,MATCH(H467,'Both teabags AfterWet'!$A$3:$A$2000,0)),"")</f>
        <v>0.59599999999999997</v>
      </c>
      <c r="P467" s="194">
        <f>IFERROR(INDEX('Both teabags AfterWet'!$C$3:$C$2000,MATCH(I467,'Both teabags AfterWet'!$A$3:$A$2000,0)),"")</f>
        <v>1.7694000000000001</v>
      </c>
      <c r="Q467" s="194">
        <f t="shared" si="57"/>
        <v>0.44539999999999996</v>
      </c>
      <c r="R467" s="194">
        <f t="shared" si="57"/>
        <v>1.6188</v>
      </c>
      <c r="S467" s="194">
        <f t="shared" si="58"/>
        <v>0.75516710642040463</v>
      </c>
      <c r="T467" s="194">
        <f t="shared" si="59"/>
        <v>0.49507392249888765</v>
      </c>
      <c r="U467" s="194">
        <f t="shared" si="60"/>
        <v>0.79306290417401537</v>
      </c>
      <c r="V467">
        <f t="shared" si="55"/>
        <v>51</v>
      </c>
      <c r="W467" s="194">
        <f t="shared" si="61"/>
        <v>0.10312695199476885</v>
      </c>
      <c r="X467" s="194">
        <f t="shared" si="62"/>
        <v>1.0613169213156607E-2</v>
      </c>
      <c r="Y467" s="245" t="str">
        <f>IF(ISNUMBER(SEARCH("C",'WetLitterbags placem_collection'!$Y174)),"YES","NO")</f>
        <v>NO</v>
      </c>
      <c r="Z467" s="245" t="str">
        <f>IF(ISNUMBER(SEARCH("H", 'WetLitterbags placem_collection'!$Y174)),"YES","NO")</f>
        <v>NO</v>
      </c>
      <c r="AA467" s="245" t="str">
        <f>IF(ISNUMBER(SEARCH("R", 'WetLitterbags placem_collection'!$Y174)),"YES","NO")</f>
        <v>NO</v>
      </c>
      <c r="AB467" s="245" t="str">
        <f>IF(ISNUMBER(SEARCH("C", 'WetLitterbags placem_collection'!$W174)),"YES","NO")</f>
        <v>NO</v>
      </c>
      <c r="AC467" s="245" t="str">
        <f>IF(ISNUMBER(SEARCH("H", 'WetLitterbags placem_collection'!$W174)),"YES","NO")</f>
        <v>NO</v>
      </c>
      <c r="AD467" s="245" t="str">
        <f>IF(ISNUMBER(SEARCH("R", 'WetLitterbags placem_collection'!$W174)),"YES","NO")</f>
        <v>YES</v>
      </c>
    </row>
    <row r="468" spans="2:30">
      <c r="B468" t="str">
        <f>Wetseason!B614</f>
        <v>Wet</v>
      </c>
      <c r="C468" s="253">
        <f>Wetseason!C614</f>
        <v>173</v>
      </c>
      <c r="D468" t="s">
        <v>3128</v>
      </c>
      <c r="E468" t="s">
        <v>25</v>
      </c>
      <c r="F468" s="375">
        <v>5</v>
      </c>
      <c r="G468" s="16">
        <f>'WetLitterbags placem_collection'!E175</f>
        <v>42763</v>
      </c>
      <c r="H468" s="92" t="str">
        <f>Wetseason!L614</f>
        <v>G865</v>
      </c>
      <c r="I468" t="str">
        <f>Wetseason!L834</f>
        <v>R105</v>
      </c>
      <c r="J468">
        <f>IFERROR(INDEX('Green_rooibos initial weight'!$C$5:$C$2000,MATCH(H468, 'Green_rooibos initial weight'!$A$5:$A$2000,0)),"")</f>
        <v>2.036</v>
      </c>
      <c r="K468">
        <f>IFERROR(INDEX('Green_rooibos initial weight'!$C$5:$C$2000,MATCH(I468, 'Green_rooibos initial weight'!$A$5:$A$2000,0)),"")</f>
        <v>2.254</v>
      </c>
      <c r="L468" s="194">
        <f t="shared" si="56"/>
        <v>1.7862</v>
      </c>
      <c r="M468" s="194">
        <f t="shared" si="54"/>
        <v>2.0042</v>
      </c>
      <c r="N468" s="16">
        <f>IF('WetLitterbags placem_collection'!G175="","",'WetLitterbags placem_collection'!G175)</f>
        <v>42814</v>
      </c>
      <c r="O468" s="194">
        <f>IFERROR(INDEX('Both teabags AfterWet'!$C$3:$C$2000,MATCH(H468,'Both teabags AfterWet'!$A$3:$A$2000,0)),"")</f>
        <v>0.65549999999999997</v>
      </c>
      <c r="P468" s="194">
        <f>IFERROR(INDEX('Both teabags AfterWet'!$C$3:$C$2000,MATCH(I468,'Both teabags AfterWet'!$A$3:$A$2000,0)),"")</f>
        <v>1.6919999999999999</v>
      </c>
      <c r="Q468" s="194">
        <f t="shared" si="57"/>
        <v>0.5048999999999999</v>
      </c>
      <c r="R468" s="194">
        <f t="shared" si="57"/>
        <v>1.5413999999999999</v>
      </c>
      <c r="S468" s="194">
        <f t="shared" si="58"/>
        <v>0.71733288545515628</v>
      </c>
      <c r="T468" s="194">
        <f t="shared" si="59"/>
        <v>0.47027049022713341</v>
      </c>
      <c r="U468" s="194">
        <f t="shared" si="60"/>
        <v>0.76908492166450448</v>
      </c>
      <c r="V468">
        <f t="shared" si="55"/>
        <v>51</v>
      </c>
      <c r="W468" s="194">
        <f t="shared" si="61"/>
        <v>0.14806070611026567</v>
      </c>
      <c r="X468" s="194">
        <f t="shared" si="62"/>
        <v>1.3242323802229724E-2</v>
      </c>
      <c r="Y468" s="245" t="str">
        <f>IF(ISNUMBER(SEARCH("C",'WetLitterbags placem_collection'!$Y175)),"YES","NO")</f>
        <v>NO</v>
      </c>
      <c r="Z468" s="245" t="str">
        <f>IF(ISNUMBER(SEARCH("H", 'WetLitterbags placem_collection'!$Y175)),"YES","NO")</f>
        <v>NO</v>
      </c>
      <c r="AA468" s="245" t="str">
        <f>IF(ISNUMBER(SEARCH("R", 'WetLitterbags placem_collection'!$Y175)),"YES","NO")</f>
        <v>NO</v>
      </c>
      <c r="AB468" s="245" t="str">
        <f>IF(ISNUMBER(SEARCH("C", 'WetLitterbags placem_collection'!$W175)),"YES","NO")</f>
        <v>YES</v>
      </c>
      <c r="AC468" s="245" t="str">
        <f>IF(ISNUMBER(SEARCH("H", 'WetLitterbags placem_collection'!$W175)),"YES","NO")</f>
        <v>YES</v>
      </c>
      <c r="AD468" s="245" t="str">
        <f>IF(ISNUMBER(SEARCH("R", 'WetLitterbags placem_collection'!$W175)),"YES","NO")</f>
        <v>NO</v>
      </c>
    </row>
    <row r="469" spans="2:30">
      <c r="B469" t="str">
        <f>Wetseason!B615</f>
        <v>Wet</v>
      </c>
      <c r="C469" s="253">
        <f>Wetseason!C615</f>
        <v>174</v>
      </c>
      <c r="D469" t="s">
        <v>3128</v>
      </c>
      <c r="E469" t="s">
        <v>25</v>
      </c>
      <c r="F469" s="375">
        <v>6</v>
      </c>
      <c r="G469" s="16">
        <f>'WetLitterbags placem_collection'!E176</f>
        <v>42763</v>
      </c>
      <c r="H469" s="92" t="str">
        <f>Wetseason!L615</f>
        <v>G736</v>
      </c>
      <c r="I469" t="str">
        <f>Wetseason!L835</f>
        <v>R384</v>
      </c>
      <c r="J469">
        <f>IFERROR(INDEX('Green_rooibos initial weight'!$C$5:$C$2000,MATCH(H469, 'Green_rooibos initial weight'!$A$5:$A$2000,0)),"")</f>
        <v>2.0760000000000001</v>
      </c>
      <c r="K469">
        <f>IFERROR(INDEX('Green_rooibos initial weight'!$C$5:$C$2000,MATCH(I469, 'Green_rooibos initial weight'!$A$5:$A$2000,0)),"")</f>
        <v>2.2240000000000002</v>
      </c>
      <c r="L469" s="194">
        <f t="shared" si="56"/>
        <v>1.8262</v>
      </c>
      <c r="M469" s="194">
        <f t="shared" si="54"/>
        <v>1.9742000000000002</v>
      </c>
      <c r="N469" s="16">
        <f>IF('WetLitterbags placem_collection'!G176="","",'WetLitterbags placem_collection'!G176)</f>
        <v>42814</v>
      </c>
      <c r="O469" s="194">
        <f>IFERROR(INDEX('Both teabags AfterWet'!$C$3:$C$2000,MATCH(H469,'Both teabags AfterWet'!$A$3:$A$2000,0)),"")</f>
        <v>0.63500000000000001</v>
      </c>
      <c r="P469" s="194">
        <f>IFERROR(INDEX('Both teabags AfterWet'!$C$3:$C$2000,MATCH(I469,'Both teabags AfterWet'!$A$3:$A$2000,0)),"")</f>
        <v>1.772</v>
      </c>
      <c r="Q469" s="194">
        <f t="shared" si="57"/>
        <v>0.4844</v>
      </c>
      <c r="R469" s="194">
        <f t="shared" si="57"/>
        <v>1.6214</v>
      </c>
      <c r="S469" s="194">
        <f t="shared" si="58"/>
        <v>0.73474975358668271</v>
      </c>
      <c r="T469" s="194">
        <f t="shared" si="59"/>
        <v>0.48168867456039066</v>
      </c>
      <c r="U469" s="194">
        <f t="shared" si="60"/>
        <v>0.8212947016513017</v>
      </c>
      <c r="V469">
        <f t="shared" si="55"/>
        <v>51</v>
      </c>
      <c r="W469" s="194">
        <f t="shared" si="61"/>
        <v>0.12737558956450978</v>
      </c>
      <c r="X469" s="194">
        <f t="shared" si="62"/>
        <v>9.0905894499408273E-3</v>
      </c>
      <c r="Y469" s="245" t="str">
        <f>IF(ISNUMBER(SEARCH("C",'WetLitterbags placem_collection'!$Y176)),"YES","NO")</f>
        <v>NO</v>
      </c>
      <c r="Z469" s="245" t="str">
        <f>IF(ISNUMBER(SEARCH("H", 'WetLitterbags placem_collection'!$Y176)),"YES","NO")</f>
        <v>NO</v>
      </c>
      <c r="AA469" s="245" t="str">
        <f>IF(ISNUMBER(SEARCH("R", 'WetLitterbags placem_collection'!$Y176)),"YES","NO")</f>
        <v>NO</v>
      </c>
      <c r="AB469" s="245" t="str">
        <f>IF(ISNUMBER(SEARCH("C", 'WetLitterbags placem_collection'!$W176)),"YES","NO")</f>
        <v>NO</v>
      </c>
      <c r="AC469" s="245" t="str">
        <f>IF(ISNUMBER(SEARCH("H", 'WetLitterbags placem_collection'!$W176)),"YES","NO")</f>
        <v>NO</v>
      </c>
      <c r="AD469" s="245" t="str">
        <f>IF(ISNUMBER(SEARCH("R", 'WetLitterbags placem_collection'!$W176)),"YES","NO")</f>
        <v>YES</v>
      </c>
    </row>
    <row r="470" spans="2:30">
      <c r="B470" t="str">
        <f>Wetseason!B616</f>
        <v>Wet</v>
      </c>
      <c r="C470" s="253">
        <f>Wetseason!C616</f>
        <v>175</v>
      </c>
      <c r="D470" t="s">
        <v>3128</v>
      </c>
      <c r="E470" t="s">
        <v>25</v>
      </c>
      <c r="F470" s="375">
        <v>7</v>
      </c>
      <c r="G470" s="16">
        <f>'WetLitterbags placem_collection'!E177</f>
        <v>42763</v>
      </c>
      <c r="H470" s="92" t="str">
        <f>Wetseason!L616</f>
        <v>G772</v>
      </c>
      <c r="I470" t="str">
        <f>Wetseason!L836</f>
        <v>R481</v>
      </c>
      <c r="J470">
        <f>IFERROR(INDEX('Green_rooibos initial weight'!$C$5:$C$2000,MATCH(H470, 'Green_rooibos initial weight'!$A$5:$A$2000,0)),"")</f>
        <v>2.0419999999999998</v>
      </c>
      <c r="K470">
        <f>IFERROR(INDEX('Green_rooibos initial weight'!$C$5:$C$2000,MATCH(I470, 'Green_rooibos initial weight'!$A$5:$A$2000,0)),"")</f>
        <v>2.1589999999999998</v>
      </c>
      <c r="L470" s="194">
        <f t="shared" si="56"/>
        <v>1.7921999999999998</v>
      </c>
      <c r="M470" s="194">
        <f t="shared" si="54"/>
        <v>1.9091999999999998</v>
      </c>
      <c r="N470" s="16">
        <f>IF('WetLitterbags placem_collection'!G177="","",'WetLitterbags placem_collection'!G177)</f>
        <v>42814</v>
      </c>
      <c r="O470" s="194">
        <f>IFERROR(INDEX('Both teabags AfterWet'!$C$3:$C$2000,MATCH(H470,'Both teabags AfterWet'!$A$3:$A$2000,0)),"")</f>
        <v>0.58099999999999996</v>
      </c>
      <c r="P470" s="194">
        <f>IFERROR(INDEX('Both teabags AfterWet'!$C$3:$C$2000,MATCH(I470,'Both teabags AfterWet'!$A$3:$A$2000,0)),"")</f>
        <v>1.681</v>
      </c>
      <c r="Q470" s="194">
        <f t="shared" si="57"/>
        <v>0.43039999999999995</v>
      </c>
      <c r="R470" s="194">
        <f t="shared" si="57"/>
        <v>1.5304</v>
      </c>
      <c r="S470" s="194">
        <f t="shared" si="58"/>
        <v>0.75984823122419376</v>
      </c>
      <c r="T470" s="194">
        <f t="shared" si="59"/>
        <v>0.49814278341538598</v>
      </c>
      <c r="U470" s="194">
        <f t="shared" si="60"/>
        <v>0.80159228996438303</v>
      </c>
      <c r="V470">
        <f t="shared" si="55"/>
        <v>51</v>
      </c>
      <c r="W470" s="194">
        <f t="shared" si="61"/>
        <v>9.7567421348938477E-2</v>
      </c>
      <c r="X470" s="194">
        <f t="shared" si="62"/>
        <v>9.9605441930611972E-3</v>
      </c>
      <c r="Y470" s="245" t="str">
        <f>IF(ISNUMBER(SEARCH("C",'WetLitterbags placem_collection'!$Y177)),"YES","NO")</f>
        <v>NO</v>
      </c>
      <c r="Z470" s="245" t="str">
        <f>IF(ISNUMBER(SEARCH("H", 'WetLitterbags placem_collection'!$Y177)),"YES","NO")</f>
        <v>NO</v>
      </c>
      <c r="AA470" s="245" t="str">
        <f>IF(ISNUMBER(SEARCH("R", 'WetLitterbags placem_collection'!$Y177)),"YES","NO")</f>
        <v>NO</v>
      </c>
      <c r="AB470" s="245" t="str">
        <f>IF(ISNUMBER(SEARCH("C", 'WetLitterbags placem_collection'!$W177)),"YES","NO")</f>
        <v>YES</v>
      </c>
      <c r="AC470" s="245" t="str">
        <f>IF(ISNUMBER(SEARCH("H", 'WetLitterbags placem_collection'!$W177)),"YES","NO")</f>
        <v>YES</v>
      </c>
      <c r="AD470" s="245" t="str">
        <f>IF(ISNUMBER(SEARCH("R", 'WetLitterbags placem_collection'!$W177)),"YES","NO")</f>
        <v>NO</v>
      </c>
    </row>
    <row r="471" spans="2:30">
      <c r="B471" t="str">
        <f>Wetseason!B617</f>
        <v>Wet</v>
      </c>
      <c r="C471" s="253">
        <f>Wetseason!C617</f>
        <v>176</v>
      </c>
      <c r="D471" t="s">
        <v>3128</v>
      </c>
      <c r="E471" t="s">
        <v>25</v>
      </c>
      <c r="F471" s="375">
        <v>8</v>
      </c>
      <c r="G471" s="16">
        <f>'WetLitterbags placem_collection'!E178</f>
        <v>42763</v>
      </c>
      <c r="H471" s="92" t="str">
        <f>Wetseason!L617</f>
        <v>G470</v>
      </c>
      <c r="I471" t="str">
        <f>Wetseason!L837</f>
        <v>R490</v>
      </c>
      <c r="J471">
        <f>IFERROR(INDEX('Green_rooibos initial weight'!$C$5:$C$2000,MATCH(H471, 'Green_rooibos initial weight'!$A$5:$A$2000,0)),"")</f>
        <v>1.9970000000000001</v>
      </c>
      <c r="K471">
        <f>IFERROR(INDEX('Green_rooibos initial weight'!$C$5:$C$2000,MATCH(I471, 'Green_rooibos initial weight'!$A$5:$A$2000,0)),"")</f>
        <v>2.1890000000000001</v>
      </c>
      <c r="L471" s="194">
        <f t="shared" si="56"/>
        <v>1.7472000000000001</v>
      </c>
      <c r="M471" s="194">
        <f t="shared" si="54"/>
        <v>1.9392</v>
      </c>
      <c r="N471" s="16">
        <f>IF('WetLitterbags placem_collection'!G178="","",'WetLitterbags placem_collection'!G178)</f>
        <v>42814</v>
      </c>
      <c r="O471" s="194">
        <f>IFERROR(INDEX('Both teabags AfterWet'!$C$3:$C$2000,MATCH(H471,'Both teabags AfterWet'!$A$3:$A$2000,0)),"")</f>
        <v>0.60299999999999998</v>
      </c>
      <c r="P471" s="194">
        <f>IFERROR(INDEX('Both teabags AfterWet'!$C$3:$C$2000,MATCH(I471,'Both teabags AfterWet'!$A$3:$A$2000,0)),"")</f>
        <v>1.7070000000000001</v>
      </c>
      <c r="Q471" s="194">
        <f t="shared" si="57"/>
        <v>0.45239999999999997</v>
      </c>
      <c r="R471" s="194">
        <f t="shared" si="57"/>
        <v>1.5564</v>
      </c>
      <c r="S471" s="194">
        <f t="shared" si="58"/>
        <v>0.7410714285714286</v>
      </c>
      <c r="T471" s="194">
        <f t="shared" si="59"/>
        <v>0.48583305055989146</v>
      </c>
      <c r="U471" s="194">
        <f t="shared" si="60"/>
        <v>0.80259900990099009</v>
      </c>
      <c r="V471">
        <f t="shared" si="55"/>
        <v>51</v>
      </c>
      <c r="W471" s="194">
        <f t="shared" si="61"/>
        <v>0.1198676620291822</v>
      </c>
      <c r="X471" s="194">
        <f t="shared" si="62"/>
        <v>1.0223636894893362E-2</v>
      </c>
      <c r="Y471" s="245" t="str">
        <f>IF(ISNUMBER(SEARCH("C",'WetLitterbags placem_collection'!$Y178)),"YES","NO")</f>
        <v>NO</v>
      </c>
      <c r="Z471" s="245" t="str">
        <f>IF(ISNUMBER(SEARCH("H", 'WetLitterbags placem_collection'!$Y178)),"YES","NO")</f>
        <v>NO</v>
      </c>
      <c r="AA471" s="245" t="str">
        <f>IF(ISNUMBER(SEARCH("R", 'WetLitterbags placem_collection'!$Y178)),"YES","NO")</f>
        <v>NO</v>
      </c>
      <c r="AB471" s="245" t="str">
        <f>IF(ISNUMBER(SEARCH("C", 'WetLitterbags placem_collection'!$W178)),"YES","NO")</f>
        <v>NO</v>
      </c>
      <c r="AC471" s="245" t="str">
        <f>IF(ISNUMBER(SEARCH("H", 'WetLitterbags placem_collection'!$W178)),"YES","NO")</f>
        <v>NO</v>
      </c>
      <c r="AD471" s="245" t="str">
        <f>IF(ISNUMBER(SEARCH("R", 'WetLitterbags placem_collection'!$W178)),"YES","NO")</f>
        <v>NO</v>
      </c>
    </row>
    <row r="472" spans="2:30">
      <c r="B472" t="str">
        <f>Wetseason!B618</f>
        <v>Wet</v>
      </c>
      <c r="C472" s="253">
        <f>Wetseason!C618</f>
        <v>177</v>
      </c>
      <c r="D472" t="s">
        <v>3129</v>
      </c>
      <c r="E472" t="s">
        <v>25</v>
      </c>
      <c r="F472" s="374">
        <v>1</v>
      </c>
      <c r="G472" s="16">
        <f>'WetLitterbags placem_collection'!E179</f>
        <v>42763</v>
      </c>
      <c r="H472" s="92" t="str">
        <f>Wetseason!L618</f>
        <v>G483</v>
      </c>
      <c r="I472" t="str">
        <f>Wetseason!L838</f>
        <v>R470</v>
      </c>
      <c r="J472">
        <f>IFERROR(INDEX('Green_rooibos initial weight'!$C$5:$C$2000,MATCH(H472, 'Green_rooibos initial weight'!$A$5:$A$2000,0)),"")</f>
        <v>1.9750000000000001</v>
      </c>
      <c r="K472">
        <f>IFERROR(INDEX('Green_rooibos initial weight'!$C$5:$C$2000,MATCH(I472, 'Green_rooibos initial weight'!$A$5:$A$2000,0)),"")</f>
        <v>2.1240000000000001</v>
      </c>
      <c r="L472" s="194">
        <f t="shared" si="56"/>
        <v>1.7252000000000001</v>
      </c>
      <c r="M472" s="194">
        <f t="shared" si="54"/>
        <v>1.8742000000000001</v>
      </c>
      <c r="N472" s="16">
        <f>IF('WetLitterbags placem_collection'!G179="","",'WetLitterbags placem_collection'!G179)</f>
        <v>42815</v>
      </c>
      <c r="O472" s="194">
        <f>IFERROR(INDEX('Both teabags AfterWet'!$C$3:$C$2000,MATCH(H472,'Both teabags AfterWet'!$A$3:$A$2000,0)),"")</f>
        <v>0.58399999999999996</v>
      </c>
      <c r="P472" s="194">
        <f>IFERROR(INDEX('Both teabags AfterWet'!$C$3:$C$2000,MATCH(I472,'Both teabags AfterWet'!$A$3:$A$2000,0)),"")</f>
        <v>1.677</v>
      </c>
      <c r="Q472" s="194">
        <f t="shared" si="57"/>
        <v>0.43339999999999995</v>
      </c>
      <c r="R472" s="194">
        <f t="shared" si="57"/>
        <v>1.5264</v>
      </c>
      <c r="S472" s="194">
        <f t="shared" si="58"/>
        <v>0.74878274982610715</v>
      </c>
      <c r="T472" s="194">
        <f t="shared" si="59"/>
        <v>0.49088845356770922</v>
      </c>
      <c r="U472" s="194">
        <f t="shared" si="60"/>
        <v>0.81442748906199969</v>
      </c>
      <c r="V472">
        <f t="shared" si="55"/>
        <v>52</v>
      </c>
      <c r="W472" s="194">
        <f t="shared" si="61"/>
        <v>0.11070932324690363</v>
      </c>
      <c r="X472" s="194">
        <f t="shared" si="62"/>
        <v>9.1321115752032375E-3</v>
      </c>
      <c r="Y472" s="245" t="str">
        <f>IF(ISNUMBER(SEARCH("C",'WetLitterbags placem_collection'!$Y179)),"YES","NO")</f>
        <v>NO</v>
      </c>
      <c r="Z472" s="245" t="str">
        <f>IF(ISNUMBER(SEARCH("H", 'WetLitterbags placem_collection'!$Y179)),"YES","NO")</f>
        <v>NO</v>
      </c>
      <c r="AA472" s="245" t="str">
        <f>IF(ISNUMBER(SEARCH("R", 'WetLitterbags placem_collection'!$Y179)),"YES","NO")</f>
        <v>NO</v>
      </c>
      <c r="AB472" s="245" t="str">
        <f>IF(ISNUMBER(SEARCH("C", 'WetLitterbags placem_collection'!$W179)),"YES","NO")</f>
        <v>YES</v>
      </c>
      <c r="AC472" s="245" t="str">
        <f>IF(ISNUMBER(SEARCH("H", 'WetLitterbags placem_collection'!$W179)),"YES","NO")</f>
        <v>NO</v>
      </c>
      <c r="AD472" s="245" t="str">
        <f>IF(ISNUMBER(SEARCH("R", 'WetLitterbags placem_collection'!$W179)),"YES","NO")</f>
        <v>YES</v>
      </c>
    </row>
    <row r="473" spans="2:30">
      <c r="B473" t="str">
        <f>Wetseason!B619</f>
        <v>Wet</v>
      </c>
      <c r="C473" s="253">
        <f>Wetseason!C619</f>
        <v>178</v>
      </c>
      <c r="D473" t="s">
        <v>3129</v>
      </c>
      <c r="E473" t="s">
        <v>25</v>
      </c>
      <c r="F473" s="374">
        <v>2</v>
      </c>
      <c r="G473" s="16">
        <f>'WetLitterbags placem_collection'!E180</f>
        <v>42763</v>
      </c>
      <c r="H473" s="92" t="str">
        <f>Wetseason!L619</f>
        <v>G893</v>
      </c>
      <c r="I473" t="str">
        <f>Wetseason!L839</f>
        <v>R488</v>
      </c>
      <c r="J473">
        <f>IFERROR(INDEX('Green_rooibos initial weight'!$C$5:$C$2000,MATCH(H473, 'Green_rooibos initial weight'!$A$5:$A$2000,0)),"")</f>
        <v>2.036</v>
      </c>
      <c r="K473">
        <f>IFERROR(INDEX('Green_rooibos initial weight'!$C$5:$C$2000,MATCH(I473, 'Green_rooibos initial weight'!$A$5:$A$2000,0)),"")</f>
        <v>2.1589999999999998</v>
      </c>
      <c r="L473" s="194">
        <f t="shared" si="56"/>
        <v>1.7862</v>
      </c>
      <c r="M473" s="194">
        <f t="shared" si="54"/>
        <v>1.9091999999999998</v>
      </c>
      <c r="N473" s="16">
        <f>IF('WetLitterbags placem_collection'!G180="","",'WetLitterbags placem_collection'!G180)</f>
        <v>42815</v>
      </c>
      <c r="O473" s="194">
        <f>IFERROR(INDEX('Both teabags AfterWet'!$C$3:$C$2000,MATCH(H473,'Both teabags AfterWet'!$A$3:$A$2000,0)),"")</f>
        <v>0.60699999999999998</v>
      </c>
      <c r="P473" s="194">
        <f>IFERROR(INDEX('Both teabags AfterWet'!$C$3:$C$2000,MATCH(I473,'Both teabags AfterWet'!$A$3:$A$2000,0)),"")</f>
        <v>1.6446000000000001</v>
      </c>
      <c r="Q473" s="194">
        <f t="shared" si="57"/>
        <v>0.45639999999999997</v>
      </c>
      <c r="R473" s="194">
        <f t="shared" si="57"/>
        <v>1.494</v>
      </c>
      <c r="S473" s="194">
        <f t="shared" si="58"/>
        <v>0.74448549994401525</v>
      </c>
      <c r="T473" s="194">
        <f t="shared" si="59"/>
        <v>0.48807125412006708</v>
      </c>
      <c r="U473" s="194">
        <f t="shared" si="60"/>
        <v>0.78252671275927099</v>
      </c>
      <c r="V473">
        <f t="shared" si="55"/>
        <v>52</v>
      </c>
      <c r="W473" s="194">
        <f t="shared" si="61"/>
        <v>0.11581294543466114</v>
      </c>
      <c r="X473" s="194">
        <f t="shared" si="62"/>
        <v>1.1342830873214187E-2</v>
      </c>
      <c r="Y473" s="245" t="str">
        <f>IF(ISNUMBER(SEARCH("C",'WetLitterbags placem_collection'!$Y180)),"YES","NO")</f>
        <v>NO</v>
      </c>
      <c r="Z473" s="245" t="str">
        <f>IF(ISNUMBER(SEARCH("H", 'WetLitterbags placem_collection'!$Y180)),"YES","NO")</f>
        <v>NO</v>
      </c>
      <c r="AA473" s="245" t="str">
        <f>IF(ISNUMBER(SEARCH("R", 'WetLitterbags placem_collection'!$Y180)),"YES","NO")</f>
        <v>NO</v>
      </c>
      <c r="AB473" s="245" t="str">
        <f>IF(ISNUMBER(SEARCH("C", 'WetLitterbags placem_collection'!$W180)),"YES","NO")</f>
        <v>NO</v>
      </c>
      <c r="AC473" s="245" t="str">
        <f>IF(ISNUMBER(SEARCH("H", 'WetLitterbags placem_collection'!$W180)),"YES","NO")</f>
        <v>NO</v>
      </c>
      <c r="AD473" s="245" t="str">
        <f>IF(ISNUMBER(SEARCH("R", 'WetLitterbags placem_collection'!$W180)),"YES","NO")</f>
        <v>NO</v>
      </c>
    </row>
    <row r="474" spans="2:30">
      <c r="B474" t="str">
        <f>Wetseason!B620</f>
        <v>Wet</v>
      </c>
      <c r="C474" s="253">
        <f>Wetseason!C620</f>
        <v>179</v>
      </c>
      <c r="D474" t="s">
        <v>3129</v>
      </c>
      <c r="E474" t="s">
        <v>25</v>
      </c>
      <c r="F474" s="374">
        <v>3</v>
      </c>
      <c r="G474" s="16">
        <f>'WetLitterbags placem_collection'!E181</f>
        <v>42763</v>
      </c>
      <c r="H474" s="92" t="str">
        <f>Wetseason!L620</f>
        <v>G826</v>
      </c>
      <c r="I474" t="str">
        <f>Wetseason!L840</f>
        <v>R273</v>
      </c>
      <c r="J474">
        <f>IFERROR(INDEX('Green_rooibos initial weight'!$C$5:$C$2000,MATCH(H474, 'Green_rooibos initial weight'!$A$5:$A$2000,0)),"")</f>
        <v>2.15</v>
      </c>
      <c r="K474">
        <f>IFERROR(INDEX('Green_rooibos initial weight'!$C$5:$C$2000,MATCH(I474, 'Green_rooibos initial weight'!$A$5:$A$2000,0)),"")</f>
        <v>2.2090000000000001</v>
      </c>
      <c r="L474" s="194">
        <f t="shared" si="56"/>
        <v>1.9001999999999999</v>
      </c>
      <c r="M474" s="194">
        <f t="shared" si="54"/>
        <v>1.9592000000000001</v>
      </c>
      <c r="N474" s="16">
        <f>IF('WetLitterbags placem_collection'!G181="","",'WetLitterbags placem_collection'!G181)</f>
        <v>42815</v>
      </c>
      <c r="O474" s="194">
        <f>IFERROR(INDEX('Both teabags AfterWet'!$C$3:$C$2000,MATCH(H474,'Both teabags AfterWet'!$A$3:$A$2000,0)),"")</f>
        <v>0.60060000000000002</v>
      </c>
      <c r="P474" s="194">
        <f>IFERROR(INDEX('Both teabags AfterWet'!$C$3:$C$2000,MATCH(I474,'Both teabags AfterWet'!$A$3:$A$2000,0)),"")</f>
        <v>1.655</v>
      </c>
      <c r="Q474" s="194">
        <f t="shared" si="57"/>
        <v>0.45</v>
      </c>
      <c r="R474" s="194">
        <f t="shared" si="57"/>
        <v>1.5044</v>
      </c>
      <c r="S474" s="194">
        <f t="shared" si="58"/>
        <v>0.76318282286075145</v>
      </c>
      <c r="T474" s="194">
        <f t="shared" si="59"/>
        <v>0.50032888149540955</v>
      </c>
      <c r="U474" s="194">
        <f t="shared" si="60"/>
        <v>0.76786443446304609</v>
      </c>
      <c r="V474">
        <f t="shared" si="55"/>
        <v>52</v>
      </c>
      <c r="W474" s="194">
        <f t="shared" si="61"/>
        <v>9.3607098740200123E-2</v>
      </c>
      <c r="X474" s="194">
        <f t="shared" si="62"/>
        <v>1.1991492240381724E-2</v>
      </c>
      <c r="Y474" s="245" t="str">
        <f>IF(ISNUMBER(SEARCH("C",'WetLitterbags placem_collection'!$Y181)),"YES","NO")</f>
        <v>NO</v>
      </c>
      <c r="Z474" s="245" t="str">
        <f>IF(ISNUMBER(SEARCH("H", 'WetLitterbags placem_collection'!$Y181)),"YES","NO")</f>
        <v>NO</v>
      </c>
      <c r="AA474" s="245" t="str">
        <f>IF(ISNUMBER(SEARCH("R", 'WetLitterbags placem_collection'!$Y181)),"YES","NO")</f>
        <v>NO</v>
      </c>
      <c r="AB474" s="245" t="str">
        <f>IF(ISNUMBER(SEARCH("C", 'WetLitterbags placem_collection'!$W181)),"YES","NO")</f>
        <v>NO</v>
      </c>
      <c r="AC474" s="245" t="str">
        <f>IF(ISNUMBER(SEARCH("H", 'WetLitterbags placem_collection'!$W181)),"YES","NO")</f>
        <v>NO</v>
      </c>
      <c r="AD474" s="245" t="str">
        <f>IF(ISNUMBER(SEARCH("R", 'WetLitterbags placem_collection'!$W181)),"YES","NO")</f>
        <v>YES</v>
      </c>
    </row>
    <row r="475" spans="2:30">
      <c r="B475" t="str">
        <f>Wetseason!B621</f>
        <v>Wet</v>
      </c>
      <c r="C475" s="253">
        <f>Wetseason!C621</f>
        <v>180</v>
      </c>
      <c r="D475" t="s">
        <v>3129</v>
      </c>
      <c r="E475" t="s">
        <v>25</v>
      </c>
      <c r="F475" s="375">
        <v>4</v>
      </c>
      <c r="G475" s="16">
        <f>'WetLitterbags placem_collection'!E182</f>
        <v>42763</v>
      </c>
      <c r="H475" s="92" t="str">
        <f>Wetseason!L621</f>
        <v>G783</v>
      </c>
      <c r="I475" t="str">
        <f>Wetseason!L841</f>
        <v>R301</v>
      </c>
      <c r="J475">
        <f>IFERROR(INDEX('Green_rooibos initial weight'!$C$5:$C$2000,MATCH(H475, 'Green_rooibos initial weight'!$A$5:$A$2000,0)),"")</f>
        <v>1.976</v>
      </c>
      <c r="K475">
        <f>IFERROR(INDEX('Green_rooibos initial weight'!$C$5:$C$2000,MATCH(I475, 'Green_rooibos initial weight'!$A$5:$A$2000,0)),"")</f>
        <v>2.2530000000000001</v>
      </c>
      <c r="L475" s="194">
        <f t="shared" si="56"/>
        <v>1.7262</v>
      </c>
      <c r="M475" s="194">
        <f t="shared" si="54"/>
        <v>2.0032000000000001</v>
      </c>
      <c r="N475" s="16">
        <f>IF('WetLitterbags placem_collection'!G182="","",'WetLitterbags placem_collection'!G182)</f>
        <v>42815</v>
      </c>
      <c r="O475" s="194">
        <f>IFERROR(INDEX('Both teabags AfterWet'!$C$3:$C$2000,MATCH(H475,'Both teabags AfterWet'!$A$3:$A$2000,0)),"")</f>
        <v>0.627</v>
      </c>
      <c r="P475" s="194">
        <f>IFERROR(INDEX('Both teabags AfterWet'!$C$3:$C$2000,MATCH(I475,'Both teabags AfterWet'!$A$3:$A$2000,0)),"")</f>
        <v>1.6709000000000001</v>
      </c>
      <c r="Q475" s="194">
        <f t="shared" si="57"/>
        <v>0.47639999999999999</v>
      </c>
      <c r="R475" s="194">
        <f t="shared" si="57"/>
        <v>1.5203</v>
      </c>
      <c r="S475" s="194">
        <f t="shared" si="58"/>
        <v>0.72401807438303789</v>
      </c>
      <c r="T475" s="194">
        <f t="shared" si="59"/>
        <v>0.47465317940550705</v>
      </c>
      <c r="U475" s="194">
        <f t="shared" si="60"/>
        <v>0.75893570287539935</v>
      </c>
      <c r="V475">
        <f t="shared" si="55"/>
        <v>52</v>
      </c>
      <c r="W475" s="194">
        <f t="shared" si="61"/>
        <v>0.14012105180161771</v>
      </c>
      <c r="X475" s="194">
        <f t="shared" si="62"/>
        <v>1.3635033305392523E-2</v>
      </c>
      <c r="Y475" s="245" t="str">
        <f>IF(ISNUMBER(SEARCH("C",'WetLitterbags placem_collection'!$Y182)),"YES","NO")</f>
        <v>NO</v>
      </c>
      <c r="Z475" s="245" t="str">
        <f>IF(ISNUMBER(SEARCH("H", 'WetLitterbags placem_collection'!$Y182)),"YES","NO")</f>
        <v>NO</v>
      </c>
      <c r="AA475" s="245" t="str">
        <f>IF(ISNUMBER(SEARCH("R", 'WetLitterbags placem_collection'!$Y182)),"YES","NO")</f>
        <v>YES</v>
      </c>
      <c r="AB475" s="245" t="str">
        <f>IF(ISNUMBER(SEARCH("C", 'WetLitterbags placem_collection'!$W182)),"YES","NO")</f>
        <v>NO</v>
      </c>
      <c r="AC475" s="245" t="str">
        <f>IF(ISNUMBER(SEARCH("H", 'WetLitterbags placem_collection'!$W182)),"YES","NO")</f>
        <v>NO</v>
      </c>
      <c r="AD475" s="245" t="str">
        <f>IF(ISNUMBER(SEARCH("R", 'WetLitterbags placem_collection'!$W182)),"YES","NO")</f>
        <v>NO</v>
      </c>
    </row>
    <row r="476" spans="2:30">
      <c r="B476" t="str">
        <f>Wetseason!B622</f>
        <v>Wet</v>
      </c>
      <c r="C476" s="253">
        <f>Wetseason!C622</f>
        <v>181</v>
      </c>
      <c r="D476" t="s">
        <v>3129</v>
      </c>
      <c r="E476" t="s">
        <v>25</v>
      </c>
      <c r="F476" s="375">
        <v>5</v>
      </c>
      <c r="G476" s="16">
        <f>'WetLitterbags placem_collection'!E183</f>
        <v>42763</v>
      </c>
      <c r="H476" s="92" t="str">
        <f>Wetseason!L622</f>
        <v>G551</v>
      </c>
      <c r="I476" t="str">
        <f>Wetseason!L842</f>
        <v>R291</v>
      </c>
      <c r="J476">
        <f>IFERROR(INDEX('Green_rooibos initial weight'!$C$5:$C$2000,MATCH(H476, 'Green_rooibos initial weight'!$A$5:$A$2000,0)),"")</f>
        <v>2.1160000000000001</v>
      </c>
      <c r="K476">
        <f>IFERROR(INDEX('Green_rooibos initial weight'!$C$5:$C$2000,MATCH(I476, 'Green_rooibos initial weight'!$A$5:$A$2000,0)),"")</f>
        <v>2.2320000000000002</v>
      </c>
      <c r="L476" s="194">
        <f t="shared" si="56"/>
        <v>1.8662000000000001</v>
      </c>
      <c r="M476" s="194">
        <f t="shared" si="54"/>
        <v>1.9822000000000002</v>
      </c>
      <c r="N476" s="16">
        <f>IF('WetLitterbags placem_collection'!G183="","",'WetLitterbags placem_collection'!G183)</f>
        <v>42815</v>
      </c>
      <c r="O476" s="194">
        <f>IFERROR(INDEX('Both teabags AfterWet'!$C$3:$C$2000,MATCH(H476,'Both teabags AfterWet'!$A$3:$A$2000,0)),"")</f>
        <v>0.61199999999999999</v>
      </c>
      <c r="P476" s="194">
        <f>IFERROR(INDEX('Both teabags AfterWet'!$C$3:$C$2000,MATCH(I476,'Both teabags AfterWet'!$A$3:$A$2000,0)),"")</f>
        <v>1.6970000000000001</v>
      </c>
      <c r="Q476" s="194">
        <f t="shared" si="57"/>
        <v>0.46139999999999998</v>
      </c>
      <c r="R476" s="194">
        <f t="shared" si="57"/>
        <v>1.5464</v>
      </c>
      <c r="S476" s="194">
        <f t="shared" si="58"/>
        <v>0.75275961847604766</v>
      </c>
      <c r="T476" s="194">
        <f t="shared" si="59"/>
        <v>0.49349561686315718</v>
      </c>
      <c r="U476" s="194">
        <f t="shared" si="60"/>
        <v>0.78014327514882442</v>
      </c>
      <c r="V476">
        <f t="shared" si="55"/>
        <v>52</v>
      </c>
      <c r="W476" s="194">
        <f t="shared" si="61"/>
        <v>0.10598620133486025</v>
      </c>
      <c r="X476" s="194">
        <f t="shared" si="62"/>
        <v>1.1340474082405324E-2</v>
      </c>
      <c r="Y476" s="245" t="str">
        <f>IF(ISNUMBER(SEARCH("C",'WetLitterbags placem_collection'!$Y183)),"YES","NO")</f>
        <v>NO</v>
      </c>
      <c r="Z476" s="245" t="str">
        <f>IF(ISNUMBER(SEARCH("H", 'WetLitterbags placem_collection'!$Y183)),"YES","NO")</f>
        <v>NO</v>
      </c>
      <c r="AA476" s="245" t="str">
        <f>IF(ISNUMBER(SEARCH("R", 'WetLitterbags placem_collection'!$Y183)),"YES","NO")</f>
        <v>NO</v>
      </c>
      <c r="AB476" s="245" t="str">
        <f>IF(ISNUMBER(SEARCH("C", 'WetLitterbags placem_collection'!$W183)),"YES","NO")</f>
        <v>NO</v>
      </c>
      <c r="AC476" s="245" t="str">
        <f>IF(ISNUMBER(SEARCH("H", 'WetLitterbags placem_collection'!$W183)),"YES","NO")</f>
        <v>NO</v>
      </c>
      <c r="AD476" s="245" t="str">
        <f>IF(ISNUMBER(SEARCH("R", 'WetLitterbags placem_collection'!$W183)),"YES","NO")</f>
        <v>NO</v>
      </c>
    </row>
    <row r="477" spans="2:30">
      <c r="B477" t="str">
        <f>Wetseason!B623</f>
        <v>Wet</v>
      </c>
      <c r="C477" s="253">
        <f>Wetseason!C623</f>
        <v>182</v>
      </c>
      <c r="D477" t="s">
        <v>3129</v>
      </c>
      <c r="E477" t="s">
        <v>25</v>
      </c>
      <c r="F477" s="375">
        <v>6</v>
      </c>
      <c r="G477" s="16">
        <f>'WetLitterbags placem_collection'!E184</f>
        <v>42763</v>
      </c>
      <c r="H477" s="92" t="str">
        <f>Wetseason!L623</f>
        <v>G818</v>
      </c>
      <c r="I477" t="str">
        <f>Wetseason!L843</f>
        <v>R537</v>
      </c>
      <c r="J477">
        <f>IFERROR(INDEX('Green_rooibos initial weight'!$C$5:$C$2000,MATCH(H477, 'Green_rooibos initial weight'!$A$5:$A$2000,0)),"")</f>
        <v>2.0099999999999998</v>
      </c>
      <c r="K477">
        <f>IFERROR(INDEX('Green_rooibos initial weight'!$C$5:$C$2000,MATCH(I477, 'Green_rooibos initial weight'!$A$5:$A$2000,0)),"")</f>
        <v>2.145</v>
      </c>
      <c r="L477" s="194">
        <f t="shared" si="56"/>
        <v>1.7601999999999998</v>
      </c>
      <c r="M477" s="194">
        <f t="shared" si="54"/>
        <v>1.8952</v>
      </c>
      <c r="N477" s="16">
        <f>IF('WetLitterbags placem_collection'!G184="","",'WetLitterbags placem_collection'!G184)</f>
        <v>42815</v>
      </c>
      <c r="O477" s="194">
        <f>IFERROR(INDEX('Both teabags AfterWet'!$C$3:$C$2000,MATCH(H477,'Both teabags AfterWet'!$A$3:$A$2000,0)),"")</f>
        <v>0.60450000000000004</v>
      </c>
      <c r="P477" s="194">
        <f>IFERROR(INDEX('Both teabags AfterWet'!$C$3:$C$2000,MATCH(I477,'Both teabags AfterWet'!$A$3:$A$2000,0)),"")</f>
        <v>1.7152000000000001</v>
      </c>
      <c r="Q477" s="194">
        <f t="shared" si="57"/>
        <v>0.45390000000000003</v>
      </c>
      <c r="R477" s="194">
        <f t="shared" si="57"/>
        <v>1.5646</v>
      </c>
      <c r="S477" s="194">
        <f t="shared" si="58"/>
        <v>0.74213157595727752</v>
      </c>
      <c r="T477" s="194">
        <f t="shared" si="59"/>
        <v>0.48652806404800147</v>
      </c>
      <c r="U477" s="194">
        <f t="shared" si="60"/>
        <v>0.82555930772477837</v>
      </c>
      <c r="V477">
        <f t="shared" si="55"/>
        <v>52</v>
      </c>
      <c r="W477" s="194">
        <f t="shared" si="61"/>
        <v>0.11860857962318583</v>
      </c>
      <c r="X477" s="194">
        <f t="shared" si="62"/>
        <v>8.5386807544270815E-3</v>
      </c>
      <c r="Y477" s="245" t="str">
        <f>IF(ISNUMBER(SEARCH("C",'WetLitterbags placem_collection'!$Y184)),"YES","NO")</f>
        <v>NO</v>
      </c>
      <c r="Z477" s="245" t="str">
        <f>IF(ISNUMBER(SEARCH("H", 'WetLitterbags placem_collection'!$Y184)),"YES","NO")</f>
        <v>NO</v>
      </c>
      <c r="AA477" s="245" t="str">
        <f>IF(ISNUMBER(SEARCH("R", 'WetLitterbags placem_collection'!$Y184)),"YES","NO")</f>
        <v>NO</v>
      </c>
      <c r="AB477" s="245" t="str">
        <f>IF(ISNUMBER(SEARCH("C", 'WetLitterbags placem_collection'!$W184)),"YES","NO")</f>
        <v>NO</v>
      </c>
      <c r="AC477" s="245" t="str">
        <f>IF(ISNUMBER(SEARCH("H", 'WetLitterbags placem_collection'!$W184)),"YES","NO")</f>
        <v>NO</v>
      </c>
      <c r="AD477" s="245" t="str">
        <f>IF(ISNUMBER(SEARCH("R", 'WetLitterbags placem_collection'!$W184)),"YES","NO")</f>
        <v>NO</v>
      </c>
    </row>
    <row r="478" spans="2:30">
      <c r="B478" t="str">
        <f>Wetseason!B624</f>
        <v>Wet</v>
      </c>
      <c r="C478" s="253">
        <f>Wetseason!C624</f>
        <v>183</v>
      </c>
      <c r="D478" t="s">
        <v>3129</v>
      </c>
      <c r="E478" t="s">
        <v>25</v>
      </c>
      <c r="F478" s="375">
        <v>7</v>
      </c>
      <c r="G478" s="16">
        <f>'WetLitterbags placem_collection'!E185</f>
        <v>42763</v>
      </c>
      <c r="H478" s="92" t="str">
        <f>Wetseason!L624</f>
        <v>G896</v>
      </c>
      <c r="I478" t="str">
        <f>Wetseason!L844</f>
        <v>R290</v>
      </c>
      <c r="J478">
        <f>IFERROR(INDEX('Green_rooibos initial weight'!$C$5:$C$2000,MATCH(H478, 'Green_rooibos initial weight'!$A$5:$A$2000,0)),"")</f>
        <v>1.982</v>
      </c>
      <c r="K478">
        <f>IFERROR(INDEX('Green_rooibos initial weight'!$C$5:$C$2000,MATCH(I478, 'Green_rooibos initial weight'!$A$5:$A$2000,0)),"")</f>
        <v>2.153</v>
      </c>
      <c r="L478" s="194">
        <f t="shared" si="56"/>
        <v>1.7322</v>
      </c>
      <c r="M478" s="194">
        <f t="shared" si="54"/>
        <v>1.9032</v>
      </c>
      <c r="N478" s="16">
        <f>IF('WetLitterbags placem_collection'!G185="","",'WetLitterbags placem_collection'!G185)</f>
        <v>42815</v>
      </c>
      <c r="O478" s="194">
        <f>IFERROR(INDEX('Both teabags AfterWet'!$C$3:$C$2000,MATCH(H478,'Both teabags AfterWet'!$A$3:$A$2000,0)),"")</f>
        <v>0.61</v>
      </c>
      <c r="P478" s="194">
        <f>IFERROR(INDEX('Both teabags AfterWet'!$C$3:$C$2000,MATCH(I478,'Both teabags AfterWet'!$A$3:$A$2000,0)),"")</f>
        <v>1.7310000000000001</v>
      </c>
      <c r="Q478" s="194">
        <f t="shared" si="57"/>
        <v>0.45939999999999998</v>
      </c>
      <c r="R478" s="194">
        <f t="shared" si="57"/>
        <v>1.5804</v>
      </c>
      <c r="S478" s="194">
        <f t="shared" si="58"/>
        <v>0.73478813070084281</v>
      </c>
      <c r="T478" s="194">
        <f t="shared" si="59"/>
        <v>0.48171383390364048</v>
      </c>
      <c r="U478" s="194">
        <f t="shared" si="60"/>
        <v>0.83039092055485497</v>
      </c>
      <c r="V478">
        <f t="shared" si="55"/>
        <v>52</v>
      </c>
      <c r="W478" s="194">
        <f t="shared" si="61"/>
        <v>0.12733001104412967</v>
      </c>
      <c r="X478" s="194">
        <f t="shared" si="62"/>
        <v>8.3463721003159807E-3</v>
      </c>
      <c r="Y478" s="245" t="str">
        <f>IF(ISNUMBER(SEARCH("C",'WetLitterbags placem_collection'!$Y185)),"YES","NO")</f>
        <v>NO</v>
      </c>
      <c r="Z478" s="245" t="str">
        <f>IF(ISNUMBER(SEARCH("H", 'WetLitterbags placem_collection'!$Y185)),"YES","NO")</f>
        <v>NO</v>
      </c>
      <c r="AA478" s="245" t="str">
        <f>IF(ISNUMBER(SEARCH("R", 'WetLitterbags placem_collection'!$Y185)),"YES","NO")</f>
        <v>NO</v>
      </c>
      <c r="AB478" s="245" t="str">
        <f>IF(ISNUMBER(SEARCH("C", 'WetLitterbags placem_collection'!$W185)),"YES","NO")</f>
        <v>YES</v>
      </c>
      <c r="AC478" s="245" t="str">
        <f>IF(ISNUMBER(SEARCH("H", 'WetLitterbags placem_collection'!$W185)),"YES","NO")</f>
        <v>YES</v>
      </c>
      <c r="AD478" s="245" t="str">
        <f>IF(ISNUMBER(SEARCH("R", 'WetLitterbags placem_collection'!$W185)),"YES","NO")</f>
        <v>NO</v>
      </c>
    </row>
    <row r="479" spans="2:30">
      <c r="B479" t="str">
        <f>Wetseason!B625</f>
        <v>Wet</v>
      </c>
      <c r="C479" s="253">
        <f>Wetseason!C625</f>
        <v>184</v>
      </c>
      <c r="D479" t="s">
        <v>3129</v>
      </c>
      <c r="E479" t="s">
        <v>25</v>
      </c>
      <c r="F479" s="375">
        <v>8</v>
      </c>
      <c r="G479" s="16">
        <f>'WetLitterbags placem_collection'!E186</f>
        <v>42763</v>
      </c>
      <c r="H479" s="92" t="str">
        <f>Wetseason!L625</f>
        <v>G337</v>
      </c>
      <c r="I479" t="str">
        <f>Wetseason!L845</f>
        <v>R555</v>
      </c>
      <c r="J479">
        <f>IFERROR(INDEX('Green_rooibos initial weight'!$C$5:$C$2000,MATCH(H479, 'Green_rooibos initial weight'!$A$5:$A$2000,0)),"")</f>
        <v>1.8680000000000001</v>
      </c>
      <c r="K479">
        <f>IFERROR(INDEX('Green_rooibos initial weight'!$C$5:$C$2000,MATCH(I479, 'Green_rooibos initial weight'!$A$5:$A$2000,0)),"")</f>
        <v>2.1789999999999998</v>
      </c>
      <c r="L479" s="194">
        <f t="shared" si="56"/>
        <v>1.6182000000000001</v>
      </c>
      <c r="M479" s="194">
        <f t="shared" si="54"/>
        <v>1.9291999999999998</v>
      </c>
      <c r="N479" s="16">
        <f>IF('WetLitterbags placem_collection'!G186="","",'WetLitterbags placem_collection'!G186)</f>
        <v>42815</v>
      </c>
      <c r="O479" s="194">
        <f>IFERROR(INDEX('Both teabags AfterWet'!$C$3:$C$2000,MATCH(H479,'Both teabags AfterWet'!$A$3:$A$2000,0)),"")</f>
        <v>0.63060000000000005</v>
      </c>
      <c r="P479" s="194">
        <f>IFERROR(INDEX('Both teabags AfterWet'!$C$3:$C$2000,MATCH(I479,'Both teabags AfterWet'!$A$3:$A$2000,0)),"")</f>
        <v>1.7096</v>
      </c>
      <c r="Q479" s="194">
        <f t="shared" si="57"/>
        <v>0.48000000000000004</v>
      </c>
      <c r="R479" s="194">
        <f t="shared" si="57"/>
        <v>1.5589999999999999</v>
      </c>
      <c r="S479" s="194">
        <f t="shared" si="58"/>
        <v>0.70337411939191696</v>
      </c>
      <c r="T479" s="194">
        <f t="shared" si="59"/>
        <v>0.46111937518329948</v>
      </c>
      <c r="U479" s="194">
        <f t="shared" si="60"/>
        <v>0.80810698735227038</v>
      </c>
      <c r="V479">
        <f t="shared" si="55"/>
        <v>52</v>
      </c>
      <c r="W479" s="194">
        <f t="shared" si="61"/>
        <v>0.16463881307373285</v>
      </c>
      <c r="X479" s="194">
        <f t="shared" si="62"/>
        <v>1.0348162224138469E-2</v>
      </c>
      <c r="Y479" s="245" t="str">
        <f>IF(ISNUMBER(SEARCH("C",'WetLitterbags placem_collection'!$Y186)),"YES","NO")</f>
        <v>NO</v>
      </c>
      <c r="Z479" s="245" t="str">
        <f>IF(ISNUMBER(SEARCH("H", 'WetLitterbags placem_collection'!$Y186)),"YES","NO")</f>
        <v>NO</v>
      </c>
      <c r="AA479" s="245" t="str">
        <f>IF(ISNUMBER(SEARCH("R", 'WetLitterbags placem_collection'!$Y186)),"YES","NO")</f>
        <v>NO</v>
      </c>
      <c r="AB479" s="245" t="str">
        <f>IF(ISNUMBER(SEARCH("C", 'WetLitterbags placem_collection'!$W186)),"YES","NO")</f>
        <v>NO</v>
      </c>
      <c r="AC479" s="245" t="str">
        <f>IF(ISNUMBER(SEARCH("H", 'WetLitterbags placem_collection'!$W186)),"YES","NO")</f>
        <v>NO</v>
      </c>
      <c r="AD479" s="245" t="str">
        <f>IF(ISNUMBER(SEARCH("R", 'WetLitterbags placem_collection'!$W186)),"YES","NO")</f>
        <v>NO</v>
      </c>
    </row>
    <row r="480" spans="2:30">
      <c r="B480" t="str">
        <f>Wetseason!B626</f>
        <v>Wet</v>
      </c>
      <c r="C480" s="253">
        <f>Wetseason!C626</f>
        <v>185</v>
      </c>
      <c r="D480" t="s">
        <v>3130</v>
      </c>
      <c r="E480" t="s">
        <v>25</v>
      </c>
      <c r="F480" s="374">
        <v>1</v>
      </c>
      <c r="G480" s="16">
        <f>'WetLitterbags placem_collection'!E187</f>
        <v>42763</v>
      </c>
      <c r="H480" s="92" t="str">
        <f>Wetseason!L626</f>
        <v>G564</v>
      </c>
      <c r="I480" t="str">
        <f>Wetseason!L846</f>
        <v>R539</v>
      </c>
      <c r="J480">
        <f>IFERROR(INDEX('Green_rooibos initial weight'!$C$5:$C$2000,MATCH(H480, 'Green_rooibos initial weight'!$A$5:$A$2000,0)),"")</f>
        <v>1.95</v>
      </c>
      <c r="K480">
        <f>IFERROR(INDEX('Green_rooibos initial weight'!$C$5:$C$2000,MATCH(I480, 'Green_rooibos initial weight'!$A$5:$A$2000,0)),"")</f>
        <v>2.16</v>
      </c>
      <c r="L480" s="194">
        <f t="shared" si="56"/>
        <v>1.7001999999999999</v>
      </c>
      <c r="M480" s="194">
        <f t="shared" si="54"/>
        <v>1.9102000000000001</v>
      </c>
      <c r="N480" s="16">
        <f>IF('WetLitterbags placem_collection'!G187="","",'WetLitterbags placem_collection'!G187)</f>
        <v>42815</v>
      </c>
      <c r="O480" s="194">
        <f>IFERROR(INDEX('Both teabags AfterWet'!$C$3:$C$2000,MATCH(H480,'Both teabags AfterWet'!$A$3:$A$2000,0)),"")</f>
        <v>0.626</v>
      </c>
      <c r="P480" s="194">
        <f>IFERROR(INDEX('Both teabags AfterWet'!$C$3:$C$2000,MATCH(I480,'Both teabags AfterWet'!$A$3:$A$2000,0)),"")</f>
        <v>1.7513000000000001</v>
      </c>
      <c r="Q480" s="194">
        <f t="shared" si="57"/>
        <v>0.47539999999999999</v>
      </c>
      <c r="R480" s="194">
        <f t="shared" si="57"/>
        <v>1.6007</v>
      </c>
      <c r="S480" s="194">
        <f t="shared" si="58"/>
        <v>0.72038583696035752</v>
      </c>
      <c r="T480" s="194">
        <f t="shared" si="59"/>
        <v>0.47227195012127959</v>
      </c>
      <c r="U480" s="194">
        <f t="shared" si="60"/>
        <v>0.83797508114333574</v>
      </c>
      <c r="V480">
        <f t="shared" si="55"/>
        <v>52</v>
      </c>
      <c r="W480" s="194">
        <f t="shared" si="61"/>
        <v>0.1444348729686965</v>
      </c>
      <c r="X480" s="194">
        <f t="shared" si="62"/>
        <v>8.0805024997524962E-3</v>
      </c>
      <c r="Y480" s="245" t="str">
        <f>IF(ISNUMBER(SEARCH("C",'WetLitterbags placem_collection'!$Y187)),"YES","NO")</f>
        <v>NO</v>
      </c>
      <c r="Z480" s="245" t="str">
        <f>IF(ISNUMBER(SEARCH("H", 'WetLitterbags placem_collection'!$Y187)),"YES","NO")</f>
        <v>NO</v>
      </c>
      <c r="AA480" s="245" t="str">
        <f>IF(ISNUMBER(SEARCH("R", 'WetLitterbags placem_collection'!$Y187)),"YES","NO")</f>
        <v>NO</v>
      </c>
      <c r="AB480" s="245" t="str">
        <f>IF(ISNUMBER(SEARCH("C", 'WetLitterbags placem_collection'!$W187)),"YES","NO")</f>
        <v>YES</v>
      </c>
      <c r="AC480" s="245" t="str">
        <f>IF(ISNUMBER(SEARCH("H", 'WetLitterbags placem_collection'!$W187)),"YES","NO")</f>
        <v>YES</v>
      </c>
      <c r="AD480" s="245" t="str">
        <f>IF(ISNUMBER(SEARCH("R", 'WetLitterbags placem_collection'!$W187)),"YES","NO")</f>
        <v>NO</v>
      </c>
    </row>
    <row r="481" spans="2:30">
      <c r="B481" t="str">
        <f>Wetseason!B627</f>
        <v>Wet</v>
      </c>
      <c r="C481" s="253">
        <f>Wetseason!C627</f>
        <v>186</v>
      </c>
      <c r="D481" t="s">
        <v>3130</v>
      </c>
      <c r="E481" t="s">
        <v>25</v>
      </c>
      <c r="F481" s="374">
        <v>2</v>
      </c>
      <c r="G481" s="16">
        <f>'WetLitterbags placem_collection'!E188</f>
        <v>42763</v>
      </c>
      <c r="H481" s="92" t="str">
        <f>Wetseason!L627</f>
        <v>G608</v>
      </c>
      <c r="I481" t="str">
        <f>Wetseason!L847</f>
        <v>R186</v>
      </c>
      <c r="J481">
        <f>IFERROR(INDEX('Green_rooibos initial weight'!$C$5:$C$2000,MATCH(H481, 'Green_rooibos initial weight'!$A$5:$A$2000,0)),"")</f>
        <v>2.0259999999999998</v>
      </c>
      <c r="K481">
        <f>IFERROR(INDEX('Green_rooibos initial weight'!$C$5:$C$2000,MATCH(I481, 'Green_rooibos initial weight'!$A$5:$A$2000,0)),"")</f>
        <v>2.2530000000000001</v>
      </c>
      <c r="L481" s="194">
        <f t="shared" si="56"/>
        <v>1.7761999999999998</v>
      </c>
      <c r="M481" s="194">
        <f t="shared" si="54"/>
        <v>2.0032000000000001</v>
      </c>
      <c r="N481" s="16">
        <f>IF('WetLitterbags placem_collection'!G188="","",'WetLitterbags placem_collection'!G188)</f>
        <v>42815</v>
      </c>
      <c r="O481" s="194">
        <f>IFERROR(INDEX('Both teabags AfterWet'!$C$3:$C$2000,MATCH(H481,'Both teabags AfterWet'!$A$3:$A$2000,0)),"")</f>
        <v>0.61599999999999999</v>
      </c>
      <c r="P481" s="194">
        <f>IFERROR(INDEX('Both teabags AfterWet'!$C$3:$C$2000,MATCH(I481,'Both teabags AfterWet'!$A$3:$A$2000,0)),"")</f>
        <v>1.7809999999999999</v>
      </c>
      <c r="Q481" s="194">
        <f t="shared" si="57"/>
        <v>0.46539999999999998</v>
      </c>
      <c r="R481" s="194">
        <f t="shared" si="57"/>
        <v>1.6303999999999998</v>
      </c>
      <c r="S481" s="194">
        <f t="shared" si="58"/>
        <v>0.73797995721202558</v>
      </c>
      <c r="T481" s="194">
        <f t="shared" si="59"/>
        <v>0.48380633774470089</v>
      </c>
      <c r="U481" s="194">
        <f t="shared" si="60"/>
        <v>0.8138977635782747</v>
      </c>
      <c r="V481">
        <f t="shared" si="55"/>
        <v>52</v>
      </c>
      <c r="W481" s="194">
        <f t="shared" si="61"/>
        <v>0.12353924321612164</v>
      </c>
      <c r="X481" s="194">
        <f t="shared" si="62"/>
        <v>9.3381664113921636E-3</v>
      </c>
      <c r="Y481" s="245" t="str">
        <f>IF(ISNUMBER(SEARCH("C",'WetLitterbags placem_collection'!$Y188)),"YES","NO")</f>
        <v>NO</v>
      </c>
      <c r="Z481" s="245" t="str">
        <f>IF(ISNUMBER(SEARCH("H", 'WetLitterbags placem_collection'!$Y188)),"YES","NO")</f>
        <v>NO</v>
      </c>
      <c r="AA481" s="245" t="str">
        <f>IF(ISNUMBER(SEARCH("R", 'WetLitterbags placem_collection'!$Y188)),"YES","NO")</f>
        <v>NO</v>
      </c>
      <c r="AB481" s="245" t="str">
        <f>IF(ISNUMBER(SEARCH("C", 'WetLitterbags placem_collection'!$W188)),"YES","NO")</f>
        <v>NO</v>
      </c>
      <c r="AC481" s="245" t="str">
        <f>IF(ISNUMBER(SEARCH("H", 'WetLitterbags placem_collection'!$W188)),"YES","NO")</f>
        <v>YES</v>
      </c>
      <c r="AD481" s="245" t="str">
        <f>IF(ISNUMBER(SEARCH("R", 'WetLitterbags placem_collection'!$W188)),"YES","NO")</f>
        <v>NO</v>
      </c>
    </row>
    <row r="482" spans="2:30">
      <c r="B482" t="str">
        <f>Wetseason!B628</f>
        <v>Wet</v>
      </c>
      <c r="C482" s="253">
        <f>Wetseason!C628</f>
        <v>187</v>
      </c>
      <c r="D482" t="s">
        <v>3130</v>
      </c>
      <c r="E482" t="s">
        <v>25</v>
      </c>
      <c r="F482" s="374">
        <v>3</v>
      </c>
      <c r="G482" s="16">
        <f>'WetLitterbags placem_collection'!E189</f>
        <v>42763</v>
      </c>
      <c r="H482" s="92" t="str">
        <f>Wetseason!L628</f>
        <v>G365</v>
      </c>
      <c r="I482" t="str">
        <f>Wetseason!L848</f>
        <v>R580</v>
      </c>
      <c r="J482">
        <f>IFERROR(INDEX('Green_rooibos initial weight'!$C$5:$C$2000,MATCH(H482, 'Green_rooibos initial weight'!$A$5:$A$2000,0)),"")</f>
        <v>1.954</v>
      </c>
      <c r="K482">
        <f>IFERROR(INDEX('Green_rooibos initial weight'!$C$5:$C$2000,MATCH(I482, 'Green_rooibos initial weight'!$A$5:$A$2000,0)),"")</f>
        <v>2.0870000000000002</v>
      </c>
      <c r="L482" s="194">
        <f t="shared" si="56"/>
        <v>1.7041999999999999</v>
      </c>
      <c r="M482" s="194">
        <f t="shared" si="54"/>
        <v>1.8372000000000002</v>
      </c>
      <c r="N482" s="16">
        <f>IF('WetLitterbags placem_collection'!G189="","",'WetLitterbags placem_collection'!G189)</f>
        <v>42815</v>
      </c>
      <c r="O482" s="194">
        <f>IFERROR(INDEX('Both teabags AfterWet'!$C$3:$C$2000,MATCH(H482,'Both teabags AfterWet'!$A$3:$A$2000,0)),"")</f>
        <v>0.6714</v>
      </c>
      <c r="P482" s="194">
        <f>IFERROR(INDEX('Both teabags AfterWet'!$C$3:$C$2000,MATCH(I482,'Both teabags AfterWet'!$A$3:$A$2000,0)),"")</f>
        <v>1.6225000000000001</v>
      </c>
      <c r="Q482" s="194">
        <f t="shared" si="57"/>
        <v>0.52079999999999993</v>
      </c>
      <c r="R482" s="194">
        <f t="shared" si="57"/>
        <v>1.4719</v>
      </c>
      <c r="S482" s="194">
        <f t="shared" si="58"/>
        <v>0.69440206548527172</v>
      </c>
      <c r="T482" s="194">
        <f t="shared" si="59"/>
        <v>0.45523745860792164</v>
      </c>
      <c r="U482" s="194">
        <f t="shared" si="60"/>
        <v>0.80116481602438483</v>
      </c>
      <c r="V482">
        <f t="shared" si="55"/>
        <v>52</v>
      </c>
      <c r="W482" s="194">
        <f t="shared" si="61"/>
        <v>0.17529445904362029</v>
      </c>
      <c r="X482" s="194">
        <f t="shared" si="62"/>
        <v>1.1039837950723609E-2</v>
      </c>
      <c r="Y482" s="245" t="str">
        <f>IF(ISNUMBER(SEARCH("C",'WetLitterbags placem_collection'!$Y189)),"YES","NO")</f>
        <v>NO</v>
      </c>
      <c r="Z482" s="245" t="str">
        <f>IF(ISNUMBER(SEARCH("H", 'WetLitterbags placem_collection'!$Y189)),"YES","NO")</f>
        <v>NO</v>
      </c>
      <c r="AA482" s="245" t="str">
        <f>IF(ISNUMBER(SEARCH("R", 'WetLitterbags placem_collection'!$Y189)),"YES","NO")</f>
        <v>NO</v>
      </c>
      <c r="AB482" s="245" t="str">
        <f>IF(ISNUMBER(SEARCH("C", 'WetLitterbags placem_collection'!$W189)),"YES","NO")</f>
        <v>NO</v>
      </c>
      <c r="AC482" s="245" t="str">
        <f>IF(ISNUMBER(SEARCH("H", 'WetLitterbags placem_collection'!$W189)),"YES","NO")</f>
        <v>NO</v>
      </c>
      <c r="AD482" s="245" t="str">
        <f>IF(ISNUMBER(SEARCH("R", 'WetLitterbags placem_collection'!$W189)),"YES","NO")</f>
        <v>NO</v>
      </c>
    </row>
    <row r="483" spans="2:30">
      <c r="B483" t="str">
        <f>Wetseason!B629</f>
        <v>Wet</v>
      </c>
      <c r="C483" s="253">
        <f>Wetseason!C629</f>
        <v>188</v>
      </c>
      <c r="D483" t="s">
        <v>3130</v>
      </c>
      <c r="E483" t="s">
        <v>25</v>
      </c>
      <c r="F483" s="375">
        <v>4</v>
      </c>
      <c r="G483" s="16">
        <f>'WetLitterbags placem_collection'!E190</f>
        <v>42763</v>
      </c>
      <c r="H483" s="92" t="str">
        <f>Wetseason!L629</f>
        <v>G375</v>
      </c>
      <c r="I483" t="str">
        <f>Wetseason!L849</f>
        <v>R222</v>
      </c>
      <c r="J483">
        <f>IFERROR(INDEX('Green_rooibos initial weight'!$C$5:$C$2000,MATCH(H483, 'Green_rooibos initial weight'!$A$5:$A$2000,0)),"")</f>
        <v>1.9810000000000001</v>
      </c>
      <c r="K483">
        <f>IFERROR(INDEX('Green_rooibos initial weight'!$C$5:$C$2000,MATCH(I483, 'Green_rooibos initial weight'!$A$5:$A$2000,0)),"")</f>
        <v>2.194</v>
      </c>
      <c r="L483" s="194">
        <f t="shared" si="56"/>
        <v>1.7312000000000001</v>
      </c>
      <c r="M483" s="194">
        <f t="shared" si="54"/>
        <v>1.9441999999999999</v>
      </c>
      <c r="N483" s="16">
        <f>IF('WetLitterbags placem_collection'!G190="","",'WetLitterbags placem_collection'!G190)</f>
        <v>42815</v>
      </c>
      <c r="O483" s="194">
        <f>IFERROR(INDEX('Both teabags AfterWet'!$C$3:$C$2000,MATCH(H483,'Both teabags AfterWet'!$A$3:$A$2000,0)),"")</f>
        <v>0.55700000000000005</v>
      </c>
      <c r="P483" s="194">
        <f>IFERROR(INDEX('Both teabags AfterWet'!$C$3:$C$2000,MATCH(I483,'Both teabags AfterWet'!$A$3:$A$2000,0)),"")</f>
        <v>1.5732999999999999</v>
      </c>
      <c r="Q483" s="194">
        <f t="shared" si="57"/>
        <v>0.40640000000000004</v>
      </c>
      <c r="R483" s="194">
        <f t="shared" si="57"/>
        <v>1.4226999999999999</v>
      </c>
      <c r="S483" s="194">
        <f t="shared" si="58"/>
        <v>0.76524953789279115</v>
      </c>
      <c r="T483" s="194">
        <f t="shared" si="59"/>
        <v>0.50168378256154489</v>
      </c>
      <c r="U483" s="194">
        <f t="shared" si="60"/>
        <v>0.73176627918938375</v>
      </c>
      <c r="V483">
        <f t="shared" si="55"/>
        <v>52</v>
      </c>
      <c r="W483" s="194">
        <f t="shared" si="61"/>
        <v>9.11525678232884E-2</v>
      </c>
      <c r="X483" s="194">
        <f t="shared" si="62"/>
        <v>1.4711573462774E-2</v>
      </c>
      <c r="Y483" s="245" t="str">
        <f>IF(ISNUMBER(SEARCH("C",'WetLitterbags placem_collection'!$Y190)),"YES","NO")</f>
        <v>NO</v>
      </c>
      <c r="Z483" s="245" t="str">
        <f>IF(ISNUMBER(SEARCH("H", 'WetLitterbags placem_collection'!$Y190)),"YES","NO")</f>
        <v>NO</v>
      </c>
      <c r="AA483" s="245" t="str">
        <f>IF(ISNUMBER(SEARCH("R", 'WetLitterbags placem_collection'!$Y190)),"YES","NO")</f>
        <v>NO</v>
      </c>
      <c r="AB483" s="245" t="str">
        <f>IF(ISNUMBER(SEARCH("C", 'WetLitterbags placem_collection'!$W190)),"YES","NO")</f>
        <v>YES</v>
      </c>
      <c r="AC483" s="245" t="str">
        <f>IF(ISNUMBER(SEARCH("H", 'WetLitterbags placem_collection'!$W190)),"YES","NO")</f>
        <v>YES</v>
      </c>
      <c r="AD483" s="245" t="str">
        <f>IF(ISNUMBER(SEARCH("R", 'WetLitterbags placem_collection'!$W190)),"YES","NO")</f>
        <v>YES</v>
      </c>
    </row>
    <row r="484" spans="2:30">
      <c r="B484" t="str">
        <f>Wetseason!B630</f>
        <v>Wet</v>
      </c>
      <c r="C484" s="253">
        <f>Wetseason!C630</f>
        <v>189</v>
      </c>
      <c r="D484" t="s">
        <v>3130</v>
      </c>
      <c r="E484" t="s">
        <v>25</v>
      </c>
      <c r="F484" s="375">
        <v>5</v>
      </c>
      <c r="G484" s="16">
        <f>'WetLitterbags placem_collection'!E191</f>
        <v>42763</v>
      </c>
      <c r="H484" s="92" t="str">
        <f>Wetseason!L630</f>
        <v>G537</v>
      </c>
      <c r="I484" t="str">
        <f>Wetseason!L850</f>
        <v>R216</v>
      </c>
      <c r="J484">
        <f>IFERROR(INDEX('Green_rooibos initial weight'!$C$5:$C$2000,MATCH(H484, 'Green_rooibos initial weight'!$A$5:$A$2000,0)),"")</f>
        <v>1.9630000000000001</v>
      </c>
      <c r="K484">
        <f>IFERROR(INDEX('Green_rooibos initial weight'!$C$5:$C$2000,MATCH(I484, 'Green_rooibos initial weight'!$A$5:$A$2000,0)),"")</f>
        <v>2.1880000000000002</v>
      </c>
      <c r="L484" s="194">
        <f t="shared" si="56"/>
        <v>1.7132000000000001</v>
      </c>
      <c r="M484" s="194">
        <f t="shared" si="54"/>
        <v>1.9382000000000001</v>
      </c>
      <c r="N484" s="16">
        <f>IF('WetLitterbags placem_collection'!G191="","",'WetLitterbags placem_collection'!G191)</f>
        <v>42815</v>
      </c>
      <c r="O484" s="194">
        <f>IFERROR(INDEX('Both teabags AfterWet'!$C$3:$C$2000,MATCH(H484,'Both teabags AfterWet'!$A$3:$A$2000,0)),"")</f>
        <v>0.72030000000000005</v>
      </c>
      <c r="P484" s="194">
        <f>IFERROR(INDEX('Both teabags AfterWet'!$C$3:$C$2000,MATCH(I484,'Both teabags AfterWet'!$A$3:$A$2000,0)),"")</f>
        <v>1.6973</v>
      </c>
      <c r="Q484" s="194">
        <f t="shared" si="57"/>
        <v>0.5697000000000001</v>
      </c>
      <c r="R484" s="194">
        <f t="shared" si="57"/>
        <v>1.5467</v>
      </c>
      <c r="S484" s="194">
        <f t="shared" si="58"/>
        <v>0.66746439411627367</v>
      </c>
      <c r="T484" s="194">
        <f t="shared" si="59"/>
        <v>0.43757760754416042</v>
      </c>
      <c r="U484" s="194">
        <f t="shared" si="60"/>
        <v>0.79800846145908566</v>
      </c>
      <c r="V484">
        <f t="shared" si="55"/>
        <v>52</v>
      </c>
      <c r="W484" s="194">
        <f t="shared" si="61"/>
        <v>0.20728694285478189</v>
      </c>
      <c r="X484" s="194">
        <f t="shared" si="62"/>
        <v>1.1907264588013656E-2</v>
      </c>
      <c r="Y484" s="245" t="str">
        <f>IF(ISNUMBER(SEARCH("C",'WetLitterbags placem_collection'!$Y191)),"YES","NO")</f>
        <v>NO</v>
      </c>
      <c r="Z484" s="245" t="str">
        <f>IF(ISNUMBER(SEARCH("H", 'WetLitterbags placem_collection'!$Y191)),"YES","NO")</f>
        <v>NO</v>
      </c>
      <c r="AA484" s="245" t="str">
        <f>IF(ISNUMBER(SEARCH("R", 'WetLitterbags placem_collection'!$Y191)),"YES","NO")</f>
        <v>YES</v>
      </c>
      <c r="AB484" s="245" t="str">
        <f>IF(ISNUMBER(SEARCH("C", 'WetLitterbags placem_collection'!$W191)),"YES","NO")</f>
        <v>NO</v>
      </c>
      <c r="AC484" s="245" t="str">
        <f>IF(ISNUMBER(SEARCH("H", 'WetLitterbags placem_collection'!$W191)),"YES","NO")</f>
        <v>NO</v>
      </c>
      <c r="AD484" s="245" t="str">
        <f>IF(ISNUMBER(SEARCH("R", 'WetLitterbags placem_collection'!$W191)),"YES","NO")</f>
        <v>YES</v>
      </c>
    </row>
    <row r="485" spans="2:30">
      <c r="B485" t="str">
        <f>Wetseason!B631</f>
        <v>Wet</v>
      </c>
      <c r="C485" s="253">
        <f>Wetseason!C631</f>
        <v>190</v>
      </c>
      <c r="D485" t="s">
        <v>3130</v>
      </c>
      <c r="E485" t="s">
        <v>25</v>
      </c>
      <c r="F485" s="375">
        <v>6</v>
      </c>
      <c r="G485" s="16">
        <f>'WetLitterbags placem_collection'!E192</f>
        <v>42763</v>
      </c>
      <c r="H485" s="92" t="str">
        <f>Wetseason!L631</f>
        <v>G393</v>
      </c>
      <c r="I485" t="str">
        <f>Wetseason!L851</f>
        <v>R232</v>
      </c>
      <c r="J485">
        <f>IFERROR(INDEX('Green_rooibos initial weight'!$C$5:$C$2000,MATCH(H485, 'Green_rooibos initial weight'!$A$5:$A$2000,0)),"")</f>
        <v>2.0089999999999999</v>
      </c>
      <c r="K485">
        <f>IFERROR(INDEX('Green_rooibos initial weight'!$C$5:$C$2000,MATCH(I485, 'Green_rooibos initial weight'!$A$5:$A$2000,0)),"")</f>
        <v>2.2440000000000002</v>
      </c>
      <c r="L485" s="194">
        <f t="shared" si="56"/>
        <v>1.7591999999999999</v>
      </c>
      <c r="M485" s="194">
        <f t="shared" si="54"/>
        <v>1.9942000000000002</v>
      </c>
      <c r="N485" s="16">
        <f>IF('WetLitterbags placem_collection'!G192="","",'WetLitterbags placem_collection'!G192)</f>
        <v>42815</v>
      </c>
      <c r="O485" s="194">
        <f>IFERROR(INDEX('Both teabags AfterWet'!$C$3:$C$2000,MATCH(H485,'Both teabags AfterWet'!$A$3:$A$2000,0)),"")</f>
        <v>0.62090000000000001</v>
      </c>
      <c r="P485" s="194">
        <f>IFERROR(INDEX('Both teabags AfterWet'!$C$3:$C$2000,MATCH(I485,'Both teabags AfterWet'!$A$3:$A$2000,0)),"")</f>
        <v>1.7355</v>
      </c>
      <c r="Q485" s="194">
        <f t="shared" si="57"/>
        <v>0.4703</v>
      </c>
      <c r="R485" s="194">
        <f t="shared" si="57"/>
        <v>1.5849</v>
      </c>
      <c r="S485" s="194">
        <f t="shared" si="58"/>
        <v>0.732662573897226</v>
      </c>
      <c r="T485" s="194">
        <f t="shared" si="59"/>
        <v>0.48032035723428596</v>
      </c>
      <c r="U485" s="194">
        <f t="shared" si="60"/>
        <v>0.79475478888777451</v>
      </c>
      <c r="V485">
        <f t="shared" si="55"/>
        <v>52</v>
      </c>
      <c r="W485" s="194">
        <f t="shared" si="61"/>
        <v>0.12985442530020663</v>
      </c>
      <c r="X485" s="194">
        <f t="shared" si="62"/>
        <v>1.0719403331215009E-2</v>
      </c>
      <c r="Y485" s="245" t="str">
        <f>IF(ISNUMBER(SEARCH("C",'WetLitterbags placem_collection'!$Y192)),"YES","NO")</f>
        <v>NO</v>
      </c>
      <c r="Z485" s="245" t="str">
        <f>IF(ISNUMBER(SEARCH("H", 'WetLitterbags placem_collection'!$Y192)),"YES","NO")</f>
        <v>NO</v>
      </c>
      <c r="AA485" s="245" t="str">
        <f>IF(ISNUMBER(SEARCH("R", 'WetLitterbags placem_collection'!$Y192)),"YES","NO")</f>
        <v>NO</v>
      </c>
      <c r="AB485" s="245" t="str">
        <f>IF(ISNUMBER(SEARCH("C", 'WetLitterbags placem_collection'!$W192)),"YES","NO")</f>
        <v>YES</v>
      </c>
      <c r="AC485" s="245" t="str">
        <f>IF(ISNUMBER(SEARCH("H", 'WetLitterbags placem_collection'!$W192)),"YES","NO")</f>
        <v>YES</v>
      </c>
      <c r="AD485" s="245" t="str">
        <f>IF(ISNUMBER(SEARCH("R", 'WetLitterbags placem_collection'!$W192)),"YES","NO")</f>
        <v>NO</v>
      </c>
    </row>
    <row r="486" spans="2:30">
      <c r="B486" t="str">
        <f>Wetseason!B632</f>
        <v>Wet</v>
      </c>
      <c r="C486" s="253">
        <f>Wetseason!C632</f>
        <v>191</v>
      </c>
      <c r="D486" t="s">
        <v>3130</v>
      </c>
      <c r="E486" t="s">
        <v>25</v>
      </c>
      <c r="F486" s="375">
        <v>7</v>
      </c>
      <c r="G486" s="16">
        <f>'WetLitterbags placem_collection'!E193</f>
        <v>42763</v>
      </c>
      <c r="H486" s="92" t="str">
        <f>Wetseason!L632</f>
        <v>G417</v>
      </c>
      <c r="I486" t="str">
        <f>Wetseason!L852</f>
        <v>R387</v>
      </c>
      <c r="J486">
        <f>IFERROR(INDEX('Green_rooibos initial weight'!$C$5:$C$2000,MATCH(H486, 'Green_rooibos initial weight'!$A$5:$A$2000,0)),"")</f>
        <v>2.0209999999999999</v>
      </c>
      <c r="K486">
        <f>IFERROR(INDEX('Green_rooibos initial weight'!$C$5:$C$2000,MATCH(I486, 'Green_rooibos initial weight'!$A$5:$A$2000,0)),"")</f>
        <v>2.1080000000000001</v>
      </c>
      <c r="L486" s="194">
        <f t="shared" si="56"/>
        <v>1.7711999999999999</v>
      </c>
      <c r="M486" s="194">
        <f t="shared" si="54"/>
        <v>1.8582000000000001</v>
      </c>
      <c r="N486" s="16">
        <f>IF('WetLitterbags placem_collection'!G193="","",'WetLitterbags placem_collection'!G193)</f>
        <v>42815</v>
      </c>
      <c r="O486" s="194">
        <f>IFERROR(INDEX('Both teabags AfterWet'!$C$3:$C$2000,MATCH(H486,'Both teabags AfterWet'!$A$3:$A$2000,0)),"")</f>
        <v>0.62309999999999999</v>
      </c>
      <c r="P486" s="194">
        <f>IFERROR(INDEX('Both teabags AfterWet'!$C$3:$C$2000,MATCH(I486,'Both teabags AfterWet'!$A$3:$A$2000,0)),"")</f>
        <v>1.6520999999999999</v>
      </c>
      <c r="Q486" s="194">
        <f t="shared" si="57"/>
        <v>0.47249999999999998</v>
      </c>
      <c r="R486" s="194">
        <f t="shared" si="57"/>
        <v>1.5014999999999998</v>
      </c>
      <c r="S486" s="194">
        <f t="shared" si="58"/>
        <v>0.7332317073170731</v>
      </c>
      <c r="T486" s="194">
        <f t="shared" si="59"/>
        <v>0.48069347083019526</v>
      </c>
      <c r="U486" s="194">
        <f t="shared" si="60"/>
        <v>0.80804003874717456</v>
      </c>
      <c r="V486">
        <f t="shared" si="55"/>
        <v>52</v>
      </c>
      <c r="W486" s="194">
        <f t="shared" si="61"/>
        <v>0.12917849487283473</v>
      </c>
      <c r="X486" s="194">
        <f t="shared" si="62"/>
        <v>9.8024161858107171E-3</v>
      </c>
      <c r="Y486" s="245" t="str">
        <f>IF(ISNUMBER(SEARCH("C",'WetLitterbags placem_collection'!$Y193)),"YES","NO")</f>
        <v>NO</v>
      </c>
      <c r="Z486" s="245" t="str">
        <f>IF(ISNUMBER(SEARCH("H", 'WetLitterbags placem_collection'!$Y193)),"YES","NO")</f>
        <v>NO</v>
      </c>
      <c r="AA486" s="245" t="str">
        <f>IF(ISNUMBER(SEARCH("R", 'WetLitterbags placem_collection'!$Y193)),"YES","NO")</f>
        <v>NO</v>
      </c>
      <c r="AB486" s="245" t="str">
        <f>IF(ISNUMBER(SEARCH("C", 'WetLitterbags placem_collection'!$W193)),"YES","NO")</f>
        <v>YES</v>
      </c>
      <c r="AC486" s="245" t="str">
        <f>IF(ISNUMBER(SEARCH("H", 'WetLitterbags placem_collection'!$W193)),"YES","NO")</f>
        <v>YES</v>
      </c>
      <c r="AD486" s="245" t="str">
        <f>IF(ISNUMBER(SEARCH("R", 'WetLitterbags placem_collection'!$W193)),"YES","NO")</f>
        <v>NO</v>
      </c>
    </row>
    <row r="487" spans="2:30">
      <c r="B487" t="str">
        <f>Wetseason!B633</f>
        <v>Wet</v>
      </c>
      <c r="C487" s="253">
        <f>Wetseason!C633</f>
        <v>192</v>
      </c>
      <c r="D487" t="s">
        <v>3130</v>
      </c>
      <c r="E487" t="s">
        <v>25</v>
      </c>
      <c r="F487" s="375">
        <v>8</v>
      </c>
      <c r="G487" s="16">
        <f>'WetLitterbags placem_collection'!E194</f>
        <v>42763</v>
      </c>
      <c r="H487" s="92" t="str">
        <f>Wetseason!L633</f>
        <v>G297</v>
      </c>
      <c r="I487" t="str">
        <f>Wetseason!L853</f>
        <v>R346</v>
      </c>
      <c r="J487">
        <f>IFERROR(INDEX('Green_rooibos initial weight'!$C$5:$C$2000,MATCH(H487, 'Green_rooibos initial weight'!$A$5:$A$2000,0)),"")</f>
        <v>1.9419999999999999</v>
      </c>
      <c r="K487">
        <f>IFERROR(INDEX('Green_rooibos initial weight'!$C$5:$C$2000,MATCH(I487, 'Green_rooibos initial weight'!$A$5:$A$2000,0)),"")</f>
        <v>2.2349999999999999</v>
      </c>
      <c r="L487" s="194">
        <f t="shared" si="56"/>
        <v>1.6921999999999999</v>
      </c>
      <c r="M487" s="194">
        <f t="shared" si="54"/>
        <v>1.9851999999999999</v>
      </c>
      <c r="N487" s="16">
        <f>IF('WetLitterbags placem_collection'!G194="","",'WetLitterbags placem_collection'!G194)</f>
        <v>42815</v>
      </c>
      <c r="O487" s="194">
        <f>IFERROR(INDEX('Both teabags AfterWet'!$C$3:$C$2000,MATCH(H487,'Both teabags AfterWet'!$A$3:$A$2000,0)),"")</f>
        <v>0.60899999999999999</v>
      </c>
      <c r="P487" s="194">
        <f>IFERROR(INDEX('Both teabags AfterWet'!$C$3:$C$2000,MATCH(I487,'Both teabags AfterWet'!$A$3:$A$2000,0)),"")</f>
        <v>1.6679999999999999</v>
      </c>
      <c r="Q487" s="194">
        <f t="shared" si="57"/>
        <v>0.45839999999999997</v>
      </c>
      <c r="R487" s="194">
        <f t="shared" si="57"/>
        <v>1.5173999999999999</v>
      </c>
      <c r="S487" s="194">
        <f t="shared" si="58"/>
        <v>0.72911003427490839</v>
      </c>
      <c r="T487" s="194">
        <f t="shared" si="59"/>
        <v>0.47799137638925115</v>
      </c>
      <c r="U487" s="194">
        <f t="shared" si="60"/>
        <v>0.76435623614749137</v>
      </c>
      <c r="V487">
        <f t="shared" si="55"/>
        <v>52</v>
      </c>
      <c r="W487" s="194">
        <f t="shared" si="61"/>
        <v>0.13407359349773351</v>
      </c>
      <c r="X487" s="194">
        <f t="shared" si="62"/>
        <v>1.3061915006963104E-2</v>
      </c>
      <c r="Y487" s="245" t="str">
        <f>IF(ISNUMBER(SEARCH("C",'WetLitterbags placem_collection'!$Y194)),"YES","NO")</f>
        <v>NO</v>
      </c>
      <c r="Z487" s="245" t="str">
        <f>IF(ISNUMBER(SEARCH("H", 'WetLitterbags placem_collection'!$Y194)),"YES","NO")</f>
        <v>NO</v>
      </c>
      <c r="AA487" s="245" t="str">
        <f>IF(ISNUMBER(SEARCH("R", 'WetLitterbags placem_collection'!$Y194)),"YES","NO")</f>
        <v>NO</v>
      </c>
      <c r="AB487" s="245" t="str">
        <f>IF(ISNUMBER(SEARCH("C", 'WetLitterbags placem_collection'!$W194)),"YES","NO")</f>
        <v>YES</v>
      </c>
      <c r="AC487" s="245" t="str">
        <f>IF(ISNUMBER(SEARCH("H", 'WetLitterbags placem_collection'!$W194)),"YES","NO")</f>
        <v>YES</v>
      </c>
      <c r="AD487" s="245" t="str">
        <f>IF(ISNUMBER(SEARCH("R", 'WetLitterbags placem_collection'!$W194)),"YES","NO")</f>
        <v>NO</v>
      </c>
    </row>
    <row r="488" spans="2:30">
      <c r="B488" t="str">
        <f>Wetseason!B634</f>
        <v>Wet</v>
      </c>
      <c r="C488" s="253">
        <f>Wetseason!C634</f>
        <v>193</v>
      </c>
      <c r="D488" t="s">
        <v>2440</v>
      </c>
      <c r="E488" t="s">
        <v>25</v>
      </c>
      <c r="F488" s="375">
        <v>1</v>
      </c>
      <c r="G488" s="16">
        <f>'WetLitterbags placem_collection'!E195</f>
        <v>42769</v>
      </c>
      <c r="H488" s="92" t="str">
        <f>Wetseason!L634</f>
        <v>G584</v>
      </c>
      <c r="I488" t="str">
        <f>Wetseason!L854</f>
        <v>R364</v>
      </c>
      <c r="J488">
        <f>IFERROR(INDEX('Green_rooibos initial weight'!$C$5:$C$2000,MATCH(H488, 'Green_rooibos initial weight'!$A$5:$A$2000,0)),"")</f>
        <v>2.1960000000000002</v>
      </c>
      <c r="K488">
        <f>IFERROR(INDEX('Green_rooibos initial weight'!$C$5:$C$2000,MATCH(I488, 'Green_rooibos initial weight'!$A$5:$A$2000,0)),"")</f>
        <v>2.234</v>
      </c>
      <c r="L488" s="194">
        <f t="shared" si="56"/>
        <v>1.9462000000000002</v>
      </c>
      <c r="M488" s="194">
        <f t="shared" si="54"/>
        <v>1.9842</v>
      </c>
      <c r="N488" s="16">
        <f>IF('WetLitterbags placem_collection'!G195="","",'WetLitterbags placem_collection'!G195)</f>
        <v>42813</v>
      </c>
      <c r="O488" s="194">
        <f>IFERROR(INDEX('Both teabags AfterWet'!$C$3:$C$2000,MATCH(H488,'Both teabags AfterWet'!$A$3:$A$2000,0)),"")</f>
        <v>0.63959999999999995</v>
      </c>
      <c r="P488" s="194">
        <f>IFERROR(INDEX('Both teabags AfterWet'!$C$3:$C$2000,MATCH(I488,'Both teabags AfterWet'!$A$3:$A$2000,0)),"")</f>
        <v>1.3913</v>
      </c>
      <c r="Q488" s="194">
        <f t="shared" si="57"/>
        <v>0.48899999999999993</v>
      </c>
      <c r="R488" s="194">
        <f t="shared" si="57"/>
        <v>1.2406999999999999</v>
      </c>
      <c r="S488" s="194">
        <f t="shared" si="58"/>
        <v>0.74874113657383623</v>
      </c>
      <c r="T488" s="194">
        <f t="shared" si="59"/>
        <v>0.49086117267073354</v>
      </c>
      <c r="U488" s="194">
        <f t="shared" si="60"/>
        <v>0.62528978933575241</v>
      </c>
      <c r="V488">
        <f t="shared" si="55"/>
        <v>44</v>
      </c>
      <c r="W488" s="194">
        <f t="shared" si="61"/>
        <v>0.11075874516171469</v>
      </c>
      <c r="X488" s="194">
        <f t="shared" si="62"/>
        <v>3.2756150048454766E-2</v>
      </c>
      <c r="Y488" s="245" t="str">
        <f>IF(ISNUMBER(SEARCH("C",'WetLitterbags placem_collection'!$Y195)),"YES","NO")</f>
        <v>NO</v>
      </c>
      <c r="Z488" s="245" t="str">
        <f>IF(ISNUMBER(SEARCH("H", 'WetLitterbags placem_collection'!$Y195)),"YES","NO")</f>
        <v>NO</v>
      </c>
      <c r="AA488" s="245" t="str">
        <f>IF(ISNUMBER(SEARCH("R", 'WetLitterbags placem_collection'!$Y195)),"YES","NO")</f>
        <v>NO</v>
      </c>
      <c r="AB488" s="245" t="str">
        <f>IF(ISNUMBER(SEARCH("C", 'WetLitterbags placem_collection'!$W195)),"YES","NO")</f>
        <v>NO</v>
      </c>
      <c r="AC488" s="245" t="str">
        <f>IF(ISNUMBER(SEARCH("H", 'WetLitterbags placem_collection'!$W195)),"YES","NO")</f>
        <v>NO</v>
      </c>
      <c r="AD488" s="245" t="str">
        <f>IF(ISNUMBER(SEARCH("R", 'WetLitterbags placem_collection'!$W195)),"YES","NO")</f>
        <v>NO</v>
      </c>
    </row>
    <row r="489" spans="2:30">
      <c r="B489" t="str">
        <f>Wetseason!B635</f>
        <v>Wet</v>
      </c>
      <c r="C489" s="253">
        <f>Wetseason!C635</f>
        <v>194</v>
      </c>
      <c r="D489" t="s">
        <v>2433</v>
      </c>
      <c r="E489" t="s">
        <v>25</v>
      </c>
      <c r="F489" s="375">
        <v>2</v>
      </c>
      <c r="G489" s="16">
        <f>'WetLitterbags placem_collection'!E196</f>
        <v>42769</v>
      </c>
      <c r="H489" s="92" t="str">
        <f>Wetseason!L635</f>
        <v>G713</v>
      </c>
      <c r="I489" t="str">
        <f>Wetseason!L855</f>
        <v>R167</v>
      </c>
      <c r="J489">
        <f>IFERROR(INDEX('Green_rooibos initial weight'!$C$5:$C$2000,MATCH(H489, 'Green_rooibos initial weight'!$A$5:$A$2000,0)),"")</f>
        <v>2.1779999999999999</v>
      </c>
      <c r="K489">
        <f>IFERROR(INDEX('Green_rooibos initial weight'!$C$5:$C$2000,MATCH(I489, 'Green_rooibos initial weight'!$A$5:$A$2000,0)),"")</f>
        <v>2.177</v>
      </c>
      <c r="L489" s="194">
        <f t="shared" si="56"/>
        <v>1.9281999999999999</v>
      </c>
      <c r="M489" s="194">
        <f t="shared" si="54"/>
        <v>1.9272</v>
      </c>
      <c r="N489" s="16">
        <f>IF('WetLitterbags placem_collection'!G196="","",'WetLitterbags placem_collection'!G196)</f>
        <v>42813</v>
      </c>
      <c r="O489" s="194">
        <f>IFERROR(INDEX('Both teabags AfterWet'!$C$3:$C$2000,MATCH(H489,'Both teabags AfterWet'!$A$3:$A$2000,0)),"")</f>
        <v>0.63500000000000001</v>
      </c>
      <c r="P489" s="194">
        <f>IFERROR(INDEX('Both teabags AfterWet'!$C$3:$C$2000,MATCH(I489,'Both teabags AfterWet'!$A$3:$A$2000,0)),"")</f>
        <v>1.4750000000000001</v>
      </c>
      <c r="Q489" s="194">
        <f t="shared" si="57"/>
        <v>0.4844</v>
      </c>
      <c r="R489" s="194">
        <f t="shared" si="57"/>
        <v>1.3244</v>
      </c>
      <c r="S489" s="194">
        <f t="shared" si="58"/>
        <v>0.748781246758635</v>
      </c>
      <c r="T489" s="194">
        <f t="shared" si="59"/>
        <v>0.49088746818380824</v>
      </c>
      <c r="U489" s="194">
        <f t="shared" si="60"/>
        <v>0.68721461187214616</v>
      </c>
      <c r="V489">
        <f t="shared" si="55"/>
        <v>44</v>
      </c>
      <c r="W489" s="194">
        <f t="shared" si="61"/>
        <v>0.11071110836266629</v>
      </c>
      <c r="X489" s="194">
        <f t="shared" si="62"/>
        <v>2.304222825268137E-2</v>
      </c>
      <c r="Y489" s="245" t="str">
        <f>IF(ISNUMBER(SEARCH("C",'WetLitterbags placem_collection'!$Y196)),"YES","NO")</f>
        <v>NO</v>
      </c>
      <c r="Z489" s="245" t="str">
        <f>IF(ISNUMBER(SEARCH("H", 'WetLitterbags placem_collection'!$Y196)),"YES","NO")</f>
        <v>NO</v>
      </c>
      <c r="AA489" s="245" t="str">
        <f>IF(ISNUMBER(SEARCH("R", 'WetLitterbags placem_collection'!$Y196)),"YES","NO")</f>
        <v>YES</v>
      </c>
      <c r="AB489" s="245" t="str">
        <f>IF(ISNUMBER(SEARCH("C", 'WetLitterbags placem_collection'!$W196)),"YES","NO")</f>
        <v>NO</v>
      </c>
      <c r="AC489" s="245" t="str">
        <f>IF(ISNUMBER(SEARCH("H", 'WetLitterbags placem_collection'!$W196)),"YES","NO")</f>
        <v>NO</v>
      </c>
      <c r="AD489" s="245" t="str">
        <f>IF(ISNUMBER(SEARCH("R", 'WetLitterbags placem_collection'!$W196)),"YES","NO")</f>
        <v>YES</v>
      </c>
    </row>
    <row r="490" spans="2:30">
      <c r="B490" t="str">
        <f>Wetseason!B636</f>
        <v>Wet</v>
      </c>
      <c r="C490" s="253">
        <f>Wetseason!C636</f>
        <v>195</v>
      </c>
      <c r="D490" t="s">
        <v>2425</v>
      </c>
      <c r="E490" t="s">
        <v>25</v>
      </c>
      <c r="F490" s="375">
        <v>3</v>
      </c>
      <c r="G490" s="16">
        <f>'WetLitterbags placem_collection'!E197</f>
        <v>42769</v>
      </c>
      <c r="H490" s="92" t="str">
        <f>Wetseason!L636</f>
        <v>G525</v>
      </c>
      <c r="I490" t="str">
        <f>Wetseason!L856</f>
        <v>R25</v>
      </c>
      <c r="J490">
        <f>IFERROR(INDEX('Green_rooibos initial weight'!$C$5:$C$2000,MATCH(H490, 'Green_rooibos initial weight'!$A$5:$A$2000,0)),"")</f>
        <v>2.0790000000000002</v>
      </c>
      <c r="K490">
        <f>IFERROR(INDEX('Green_rooibos initial weight'!$C$5:$C$2000,MATCH(I490, 'Green_rooibos initial weight'!$A$5:$A$2000,0)),"")</f>
        <v>2.16</v>
      </c>
      <c r="L490" s="194">
        <f t="shared" si="56"/>
        <v>1.8292000000000002</v>
      </c>
      <c r="M490" s="194">
        <f t="shared" si="54"/>
        <v>1.9102000000000001</v>
      </c>
      <c r="N490" s="16">
        <f>IF('WetLitterbags placem_collection'!G197="","",'WetLitterbags placem_collection'!G197)</f>
        <v>42814</v>
      </c>
      <c r="O490" s="194">
        <f>IFERROR(INDEX('Both teabags AfterWet'!$C$3:$C$2000,MATCH(H490,'Both teabags AfterWet'!$A$3:$A$2000,0)),"")</f>
        <v>0.67859999999999998</v>
      </c>
      <c r="P490" s="194">
        <f>IFERROR(INDEX('Both teabags AfterWet'!$C$3:$C$2000,MATCH(I490,'Both teabags AfterWet'!$A$3:$A$2000,0)),"")</f>
        <v>1.3527</v>
      </c>
      <c r="Q490" s="194">
        <f t="shared" si="57"/>
        <v>0.52800000000000002</v>
      </c>
      <c r="R490" s="194">
        <f t="shared" si="57"/>
        <v>1.2020999999999999</v>
      </c>
      <c r="S490" s="194">
        <f t="shared" si="58"/>
        <v>0.71134922370435172</v>
      </c>
      <c r="T490" s="194">
        <f t="shared" si="59"/>
        <v>0.46634770960190286</v>
      </c>
      <c r="U490" s="194">
        <f t="shared" si="60"/>
        <v>0.62930583185006794</v>
      </c>
      <c r="V490">
        <f t="shared" si="55"/>
        <v>45</v>
      </c>
      <c r="W490" s="194">
        <f t="shared" si="61"/>
        <v>0.1551671927501761</v>
      </c>
      <c r="X490" s="194">
        <f t="shared" si="62"/>
        <v>3.5204417633761538E-2</v>
      </c>
      <c r="Y490" s="245" t="str">
        <f>IF(ISNUMBER(SEARCH("C",'WetLitterbags placem_collection'!$Y197)),"YES","NO")</f>
        <v>NO</v>
      </c>
      <c r="Z490" s="245" t="str">
        <f>IF(ISNUMBER(SEARCH("H", 'WetLitterbags placem_collection'!$Y197)),"YES","NO")</f>
        <v>NO</v>
      </c>
      <c r="AA490" s="245" t="str">
        <f>IF(ISNUMBER(SEARCH("R", 'WetLitterbags placem_collection'!$Y197)),"YES","NO")</f>
        <v>NO</v>
      </c>
      <c r="AB490" s="245" t="str">
        <f>IF(ISNUMBER(SEARCH("C", 'WetLitterbags placem_collection'!$W197)),"YES","NO")</f>
        <v>YES</v>
      </c>
      <c r="AC490" s="245" t="str">
        <f>IF(ISNUMBER(SEARCH("H", 'WetLitterbags placem_collection'!$W197)),"YES","NO")</f>
        <v>NO</v>
      </c>
      <c r="AD490" s="245" t="str">
        <f>IF(ISNUMBER(SEARCH("R", 'WetLitterbags placem_collection'!$W197)),"YES","NO")</f>
        <v>YES</v>
      </c>
    </row>
    <row r="491" spans="2:30">
      <c r="B491" t="str">
        <f>Wetseason!B637</f>
        <v>Wet</v>
      </c>
      <c r="C491" s="253">
        <f>Wetseason!C637</f>
        <v>196</v>
      </c>
      <c r="D491" t="s">
        <v>2416</v>
      </c>
      <c r="E491" t="s">
        <v>25</v>
      </c>
      <c r="F491" s="375">
        <v>4</v>
      </c>
      <c r="G491" s="16">
        <f>'WetLitterbags placem_collection'!E198</f>
        <v>42769</v>
      </c>
      <c r="H491" s="92" t="str">
        <f>Wetseason!L637</f>
        <v>G886</v>
      </c>
      <c r="I491" t="str">
        <f>Wetseason!L857</f>
        <v>R362</v>
      </c>
      <c r="J491">
        <f>IFERROR(INDEX('Green_rooibos initial weight'!$C$5:$C$2000,MATCH(H491, 'Green_rooibos initial weight'!$A$5:$A$2000,0)),"")</f>
        <v>1.9590000000000001</v>
      </c>
      <c r="K491">
        <f>IFERROR(INDEX('Green_rooibos initial weight'!$C$5:$C$2000,MATCH(I491, 'Green_rooibos initial weight'!$A$5:$A$2000,0)),"")</f>
        <v>2.246</v>
      </c>
      <c r="L491" s="194">
        <f t="shared" si="56"/>
        <v>1.7092000000000001</v>
      </c>
      <c r="M491" s="194">
        <f t="shared" si="54"/>
        <v>1.9962</v>
      </c>
      <c r="N491" s="16">
        <f>IF('WetLitterbags placem_collection'!G198="","",'WetLitterbags placem_collection'!G198)</f>
        <v>42814</v>
      </c>
      <c r="O491" s="194">
        <f>IFERROR(INDEX('Both teabags AfterWet'!$C$3:$C$2000,MATCH(H491,'Both teabags AfterWet'!$A$3:$A$2000,0)),"")</f>
        <v>0.58389999999999997</v>
      </c>
      <c r="P491" s="194">
        <f>IFERROR(INDEX('Both teabags AfterWet'!$C$3:$C$2000,MATCH(I491,'Both teabags AfterWet'!$A$3:$A$2000,0)),"")</f>
        <v>1.5253000000000001</v>
      </c>
      <c r="Q491" s="194">
        <f t="shared" si="57"/>
        <v>0.43329999999999996</v>
      </c>
      <c r="R491" s="194">
        <f t="shared" si="57"/>
        <v>1.3747</v>
      </c>
      <c r="S491" s="194">
        <f t="shared" si="58"/>
        <v>0.74648958577112101</v>
      </c>
      <c r="T491" s="194">
        <f t="shared" si="59"/>
        <v>0.48938509661004614</v>
      </c>
      <c r="U491" s="194">
        <f t="shared" si="60"/>
        <v>0.68865845105700829</v>
      </c>
      <c r="V491">
        <f t="shared" si="55"/>
        <v>45</v>
      </c>
      <c r="W491" s="194">
        <f t="shared" si="61"/>
        <v>0.1134327959962933</v>
      </c>
      <c r="X491" s="194">
        <f t="shared" si="62"/>
        <v>2.2469367288658258E-2</v>
      </c>
      <c r="Y491" s="245" t="str">
        <f>IF(ISNUMBER(SEARCH("C",'WetLitterbags placem_collection'!$Y198)),"YES","NO")</f>
        <v>NO</v>
      </c>
      <c r="Z491" s="245" t="str">
        <f>IF(ISNUMBER(SEARCH("H", 'WetLitterbags placem_collection'!$Y198)),"YES","NO")</f>
        <v>NO</v>
      </c>
      <c r="AA491" s="245" t="str">
        <f>IF(ISNUMBER(SEARCH("R", 'WetLitterbags placem_collection'!$Y198)),"YES","NO")</f>
        <v>NO</v>
      </c>
      <c r="AB491" s="245" t="str">
        <f>IF(ISNUMBER(SEARCH("C", 'WetLitterbags placem_collection'!$W198)),"YES","NO")</f>
        <v>NO</v>
      </c>
      <c r="AC491" s="245" t="str">
        <f>IF(ISNUMBER(SEARCH("H", 'WetLitterbags placem_collection'!$W198)),"YES","NO")</f>
        <v>NO</v>
      </c>
      <c r="AD491" s="245" t="str">
        <f>IF(ISNUMBER(SEARCH("R", 'WetLitterbags placem_collection'!$W198)),"YES","NO")</f>
        <v>NO</v>
      </c>
    </row>
    <row r="492" spans="2:30">
      <c r="B492" t="str">
        <f>Wetseason!B638</f>
        <v>Wet</v>
      </c>
      <c r="C492" s="253">
        <f>Wetseason!C638</f>
        <v>197</v>
      </c>
      <c r="D492" t="s">
        <v>2426</v>
      </c>
      <c r="E492" t="s">
        <v>25</v>
      </c>
      <c r="F492" s="375">
        <v>1</v>
      </c>
      <c r="G492" s="16">
        <f>'WetLitterbags placem_collection'!E199</f>
        <v>42769</v>
      </c>
      <c r="H492" s="92" t="str">
        <f>Wetseason!L638</f>
        <v>G388</v>
      </c>
      <c r="I492" t="str">
        <f>Wetseason!L858</f>
        <v>R370</v>
      </c>
      <c r="J492">
        <f>IFERROR(INDEX('Green_rooibos initial weight'!$C$5:$C$2000,MATCH(H492, 'Green_rooibos initial weight'!$A$5:$A$2000,0)),"")</f>
        <v>2.024</v>
      </c>
      <c r="K492">
        <f>IFERROR(INDEX('Green_rooibos initial weight'!$C$5:$C$2000,MATCH(I492, 'Green_rooibos initial weight'!$A$5:$A$2000,0)),"")</f>
        <v>2.2290000000000001</v>
      </c>
      <c r="L492" s="194">
        <f t="shared" si="56"/>
        <v>1.7742</v>
      </c>
      <c r="M492" s="194">
        <f t="shared" si="54"/>
        <v>1.9792000000000001</v>
      </c>
      <c r="N492" s="16">
        <f>IF('WetLitterbags placem_collection'!G199="","",'WetLitterbags placem_collection'!G199)</f>
        <v>42814</v>
      </c>
      <c r="O492" s="194">
        <f>IFERROR(INDEX('Both teabags AfterWet'!$C$3:$C$2000,MATCH(H492,'Both teabags AfterWet'!$A$3:$A$2000,0)),"")</f>
        <v>0.7046</v>
      </c>
      <c r="P492" s="194">
        <f>IFERROR(INDEX('Both teabags AfterWet'!$C$3:$C$2000,MATCH(I492,'Both teabags AfterWet'!$A$3:$A$2000,0)),"")</f>
        <v>1.488</v>
      </c>
      <c r="Q492" s="194">
        <f t="shared" si="57"/>
        <v>0.55400000000000005</v>
      </c>
      <c r="R492" s="194">
        <f t="shared" si="57"/>
        <v>1.3373999999999999</v>
      </c>
      <c r="S492" s="194">
        <f t="shared" si="58"/>
        <v>0.68774659001239991</v>
      </c>
      <c r="T492" s="194">
        <f t="shared" si="59"/>
        <v>0.45087424903425749</v>
      </c>
      <c r="U492" s="194">
        <f t="shared" si="60"/>
        <v>0.67572756669361356</v>
      </c>
      <c r="V492">
        <f t="shared" si="55"/>
        <v>45</v>
      </c>
      <c r="W492" s="194">
        <f t="shared" si="61"/>
        <v>0.18319882421330169</v>
      </c>
      <c r="X492" s="194">
        <f t="shared" si="62"/>
        <v>2.8225369373303947E-2</v>
      </c>
      <c r="Y492" s="245" t="str">
        <f>IF(ISNUMBER(SEARCH("C",'WetLitterbags placem_collection'!$Y199)),"YES","NO")</f>
        <v>NO</v>
      </c>
      <c r="Z492" s="245" t="str">
        <f>IF(ISNUMBER(SEARCH("H", 'WetLitterbags placem_collection'!$Y199)),"YES","NO")</f>
        <v>NO</v>
      </c>
      <c r="AA492" s="245" t="str">
        <f>IF(ISNUMBER(SEARCH("R", 'WetLitterbags placem_collection'!$Y199)),"YES","NO")</f>
        <v>YES</v>
      </c>
      <c r="AB492" s="245" t="str">
        <f>IF(ISNUMBER(SEARCH("C", 'WetLitterbags placem_collection'!$W199)),"YES","NO")</f>
        <v>YES</v>
      </c>
      <c r="AC492" s="245" t="str">
        <f>IF(ISNUMBER(SEARCH("H", 'WetLitterbags placem_collection'!$W199)),"YES","NO")</f>
        <v>YES</v>
      </c>
      <c r="AD492" s="245" t="str">
        <f>IF(ISNUMBER(SEARCH("R", 'WetLitterbags placem_collection'!$W199)),"YES","NO")</f>
        <v>YES</v>
      </c>
    </row>
    <row r="493" spans="2:30">
      <c r="B493" t="str">
        <f>Wetseason!B639</f>
        <v>Wet</v>
      </c>
      <c r="C493" s="253">
        <f>Wetseason!C639</f>
        <v>198</v>
      </c>
      <c r="D493" t="s">
        <v>2434</v>
      </c>
      <c r="E493" t="s">
        <v>25</v>
      </c>
      <c r="F493" s="375">
        <v>2</v>
      </c>
      <c r="G493" s="16">
        <f>'WetLitterbags placem_collection'!E200</f>
        <v>42769</v>
      </c>
      <c r="H493" s="92" t="str">
        <f>Wetseason!L639</f>
        <v>G462</v>
      </c>
      <c r="I493" t="str">
        <f>Wetseason!L859</f>
        <v>R168</v>
      </c>
      <c r="J493">
        <f>IFERROR(INDEX('Green_rooibos initial weight'!$C$5:$C$2000,MATCH(H493, 'Green_rooibos initial weight'!$A$5:$A$2000,0)),"")</f>
        <v>2.169</v>
      </c>
      <c r="K493">
        <f>IFERROR(INDEX('Green_rooibos initial weight'!$C$5:$C$2000,MATCH(I493, 'Green_rooibos initial weight'!$A$5:$A$2000,0)),"")</f>
        <v>2.1459999999999999</v>
      </c>
      <c r="L493" s="194">
        <f t="shared" si="56"/>
        <v>1.9192</v>
      </c>
      <c r="M493" s="194">
        <f t="shared" si="54"/>
        <v>1.8961999999999999</v>
      </c>
      <c r="N493" s="16">
        <f>IF('WetLitterbags placem_collection'!G200="","",'WetLitterbags placem_collection'!G200)</f>
        <v>42813</v>
      </c>
      <c r="O493" s="194">
        <f>IFERROR(INDEX('Both teabags AfterWet'!$C$3:$C$2000,MATCH(H493,'Both teabags AfterWet'!$A$3:$A$2000,0)),"")</f>
        <v>0.71250000000000002</v>
      </c>
      <c r="P493" s="194">
        <f>IFERROR(INDEX('Both teabags AfterWet'!$C$3:$C$2000,MATCH(I493,'Both teabags AfterWet'!$A$3:$A$2000,0)),"")</f>
        <v>1.5734999999999999</v>
      </c>
      <c r="Q493" s="194">
        <f t="shared" si="57"/>
        <v>0.56190000000000007</v>
      </c>
      <c r="R493" s="194">
        <f t="shared" si="57"/>
        <v>1.4228999999999998</v>
      </c>
      <c r="S493" s="194">
        <f t="shared" si="58"/>
        <v>0.7072217590662776</v>
      </c>
      <c r="T493" s="194">
        <f t="shared" si="59"/>
        <v>0.46364181829523193</v>
      </c>
      <c r="U493" s="194">
        <f t="shared" si="60"/>
        <v>0.75039552789790098</v>
      </c>
      <c r="V493">
        <f t="shared" si="55"/>
        <v>44</v>
      </c>
      <c r="W493" s="194">
        <f t="shared" si="61"/>
        <v>0.16006916975501473</v>
      </c>
      <c r="X493" s="194">
        <f t="shared" si="62"/>
        <v>1.7567313547233277E-2</v>
      </c>
      <c r="Y493" s="245" t="str">
        <f>IF(ISNUMBER(SEARCH("C",'WetLitterbags placem_collection'!$Y200)),"YES","NO")</f>
        <v>NO</v>
      </c>
      <c r="Z493" s="245" t="str">
        <f>IF(ISNUMBER(SEARCH("H", 'WetLitterbags placem_collection'!$Y200)),"YES","NO")</f>
        <v>NO</v>
      </c>
      <c r="AA493" s="245" t="str">
        <f>IF(ISNUMBER(SEARCH("R", 'WetLitterbags placem_collection'!$Y200)),"YES","NO")</f>
        <v>YES</v>
      </c>
      <c r="AB493" s="245" t="str">
        <f>IF(ISNUMBER(SEARCH("C", 'WetLitterbags placem_collection'!$W200)),"YES","NO")</f>
        <v>NO</v>
      </c>
      <c r="AC493" s="245" t="str">
        <f>IF(ISNUMBER(SEARCH("H", 'WetLitterbags placem_collection'!$W200)),"YES","NO")</f>
        <v>NO</v>
      </c>
      <c r="AD493" s="245" t="str">
        <f>IF(ISNUMBER(SEARCH("R", 'WetLitterbags placem_collection'!$W200)),"YES","NO")</f>
        <v>NO</v>
      </c>
    </row>
    <row r="494" spans="2:30">
      <c r="B494" t="str">
        <f>Wetseason!B640</f>
        <v>Wet</v>
      </c>
      <c r="C494" s="253">
        <f>Wetseason!C640</f>
        <v>199</v>
      </c>
      <c r="D494" t="s">
        <v>2418</v>
      </c>
      <c r="E494" t="s">
        <v>25</v>
      </c>
      <c r="F494" s="375">
        <v>3</v>
      </c>
      <c r="G494" s="16">
        <f>'WetLitterbags placem_collection'!E201</f>
        <v>42769</v>
      </c>
      <c r="H494" s="92" t="str">
        <f>Wetseason!L640</f>
        <v>G712</v>
      </c>
      <c r="I494" t="str">
        <f>Wetseason!L860</f>
        <v>R369</v>
      </c>
      <c r="J494">
        <f>IFERROR(INDEX('Green_rooibos initial weight'!$C$5:$C$2000,MATCH(H494, 'Green_rooibos initial weight'!$A$5:$A$2000,0)),"")</f>
        <v>2.0630000000000002</v>
      </c>
      <c r="K494">
        <f>IFERROR(INDEX('Green_rooibos initial weight'!$C$5:$C$2000,MATCH(I494, 'Green_rooibos initial weight'!$A$5:$A$2000,0)),"")</f>
        <v>2.2400000000000002</v>
      </c>
      <c r="L494" s="194">
        <f t="shared" si="56"/>
        <v>1.8132000000000001</v>
      </c>
      <c r="M494" s="194">
        <f t="shared" si="54"/>
        <v>1.9902000000000002</v>
      </c>
      <c r="N494" s="16">
        <f>IF('WetLitterbags placem_collection'!G201="","",'WetLitterbags placem_collection'!G201)</f>
        <v>42814</v>
      </c>
      <c r="O494" s="194">
        <f>IFERROR(INDEX('Both teabags AfterWet'!$C$3:$C$2000,MATCH(H494,'Both teabags AfterWet'!$A$3:$A$2000,0)),"")</f>
        <v>0.65500000000000003</v>
      </c>
      <c r="P494" s="194">
        <f>IFERROR(INDEX('Both teabags AfterWet'!$C$3:$C$2000,MATCH(I494,'Both teabags AfterWet'!$A$3:$A$2000,0)),"")</f>
        <v>1.667</v>
      </c>
      <c r="Q494" s="194">
        <f t="shared" si="57"/>
        <v>0.50439999999999996</v>
      </c>
      <c r="R494" s="194">
        <f t="shared" si="57"/>
        <v>1.5164</v>
      </c>
      <c r="S494" s="194">
        <f t="shared" si="58"/>
        <v>0.72181778071917058</v>
      </c>
      <c r="T494" s="194">
        <f t="shared" si="59"/>
        <v>0.47321070659974135</v>
      </c>
      <c r="U494" s="194">
        <f t="shared" si="60"/>
        <v>0.76193347402271117</v>
      </c>
      <c r="V494">
        <f t="shared" si="55"/>
        <v>45</v>
      </c>
      <c r="W494" s="194">
        <f t="shared" si="61"/>
        <v>0.14273422717438167</v>
      </c>
      <c r="X494" s="194">
        <f t="shared" si="62"/>
        <v>1.5540931049473119E-2</v>
      </c>
      <c r="Y494" s="245" t="str">
        <f>IF(ISNUMBER(SEARCH("C",'WetLitterbags placem_collection'!$Y201)),"YES","NO")</f>
        <v>NO</v>
      </c>
      <c r="Z494" s="245" t="str">
        <f>IF(ISNUMBER(SEARCH("H", 'WetLitterbags placem_collection'!$Y201)),"YES","NO")</f>
        <v>NO</v>
      </c>
      <c r="AA494" s="245" t="str">
        <f>IF(ISNUMBER(SEARCH("R", 'WetLitterbags placem_collection'!$Y201)),"YES","NO")</f>
        <v>YES</v>
      </c>
      <c r="AB494" s="245" t="str">
        <f>IF(ISNUMBER(SEARCH("C", 'WetLitterbags placem_collection'!$W201)),"YES","NO")</f>
        <v>NO</v>
      </c>
      <c r="AC494" s="245" t="str">
        <f>IF(ISNUMBER(SEARCH("H", 'WetLitterbags placem_collection'!$W201)),"YES","NO")</f>
        <v>NO</v>
      </c>
      <c r="AD494" s="245" t="str">
        <f>IF(ISNUMBER(SEARCH("R", 'WetLitterbags placem_collection'!$W201)),"YES","NO")</f>
        <v>YES</v>
      </c>
    </row>
    <row r="495" spans="2:30">
      <c r="B495" t="str">
        <f>Wetseason!B641</f>
        <v>Wet</v>
      </c>
      <c r="C495" s="253">
        <f>Wetseason!C641</f>
        <v>200</v>
      </c>
      <c r="D495" t="s">
        <v>2441</v>
      </c>
      <c r="E495" t="s">
        <v>25</v>
      </c>
      <c r="F495" s="375">
        <v>4</v>
      </c>
      <c r="G495" s="16">
        <f>'WetLitterbags placem_collection'!E202</f>
        <v>42769</v>
      </c>
      <c r="H495" s="92" t="str">
        <f>Wetseason!L641</f>
        <v>G709</v>
      </c>
      <c r="I495" t="str">
        <f>Wetseason!L861</f>
        <v>R359</v>
      </c>
      <c r="J495">
        <f>IFERROR(INDEX('Green_rooibos initial weight'!$C$5:$C$2000,MATCH(H495, 'Green_rooibos initial weight'!$A$5:$A$2000,0)),"")</f>
        <v>1.9670000000000001</v>
      </c>
      <c r="K495">
        <f>IFERROR(INDEX('Green_rooibos initial weight'!$C$5:$C$2000,MATCH(I495, 'Green_rooibos initial weight'!$A$5:$A$2000,0)),"")</f>
        <v>2.198</v>
      </c>
      <c r="L495" s="194">
        <f t="shared" si="56"/>
        <v>1.7172000000000001</v>
      </c>
      <c r="M495" s="194">
        <f t="shared" si="54"/>
        <v>1.9481999999999999</v>
      </c>
      <c r="N495" s="16">
        <f>IF('WetLitterbags placem_collection'!G202="","",'WetLitterbags placem_collection'!G202)</f>
        <v>42813</v>
      </c>
      <c r="O495" s="194">
        <f>IFERROR(INDEX('Both teabags AfterWet'!$C$3:$C$2000,MATCH(H495,'Both teabags AfterWet'!$A$3:$A$2000,0)),"")</f>
        <v>0.56469999999999998</v>
      </c>
      <c r="P495" s="194">
        <f>IFERROR(INDEX('Both teabags AfterWet'!$C$3:$C$2000,MATCH(I495,'Both teabags AfterWet'!$A$3:$A$2000,0)),"")</f>
        <v>1.4882</v>
      </c>
      <c r="Q495" s="194">
        <f t="shared" si="57"/>
        <v>0.41409999999999997</v>
      </c>
      <c r="R495" s="194">
        <f t="shared" si="57"/>
        <v>1.3375999999999999</v>
      </c>
      <c r="S495" s="194">
        <f t="shared" si="58"/>
        <v>0.75885161891451203</v>
      </c>
      <c r="T495" s="194">
        <f t="shared" si="59"/>
        <v>0.4974894223762597</v>
      </c>
      <c r="U495" s="194">
        <f t="shared" si="60"/>
        <v>0.68658248639770036</v>
      </c>
      <c r="V495">
        <f t="shared" si="55"/>
        <v>44</v>
      </c>
      <c r="W495" s="194">
        <f t="shared" si="61"/>
        <v>9.8751046419819466E-2</v>
      </c>
      <c r="X495" s="194">
        <f t="shared" si="62"/>
        <v>2.2596541022727651E-2</v>
      </c>
      <c r="Y495" s="245" t="str">
        <f>IF(ISNUMBER(SEARCH("C",'WetLitterbags placem_collection'!$Y202)),"YES","NO")</f>
        <v>NO</v>
      </c>
      <c r="Z495" s="245" t="str">
        <f>IF(ISNUMBER(SEARCH("H", 'WetLitterbags placem_collection'!$Y202)),"YES","NO")</f>
        <v>NO</v>
      </c>
      <c r="AA495" s="245" t="str">
        <f>IF(ISNUMBER(SEARCH("R", 'WetLitterbags placem_collection'!$Y202)),"YES","NO")</f>
        <v>YES</v>
      </c>
      <c r="AB495" s="245" t="str">
        <f>IF(ISNUMBER(SEARCH("C", 'WetLitterbags placem_collection'!$W202)),"YES","NO")</f>
        <v>NO</v>
      </c>
      <c r="AC495" s="245" t="str">
        <f>IF(ISNUMBER(SEARCH("H", 'WetLitterbags placem_collection'!$W202)),"YES","NO")</f>
        <v>NO</v>
      </c>
      <c r="AD495" s="245" t="str">
        <f>IF(ISNUMBER(SEARCH("R", 'WetLitterbags placem_collection'!$W202)),"YES","NO")</f>
        <v>YES</v>
      </c>
    </row>
    <row r="496" spans="2:30">
      <c r="B496" t="str">
        <f>Wetseason!B642</f>
        <v>Wet</v>
      </c>
      <c r="C496" s="253">
        <f>Wetseason!C642</f>
        <v>201</v>
      </c>
      <c r="D496" t="s">
        <v>2442</v>
      </c>
      <c r="E496" t="s">
        <v>25</v>
      </c>
      <c r="F496" s="375">
        <v>1</v>
      </c>
      <c r="G496" s="16">
        <f>'WetLitterbags placem_collection'!E203</f>
        <v>42769</v>
      </c>
      <c r="H496" s="92" t="str">
        <f>Wetseason!L642</f>
        <v>G707</v>
      </c>
      <c r="I496" t="str">
        <f>Wetseason!L862</f>
        <v>R395</v>
      </c>
      <c r="J496">
        <f>IFERROR(INDEX('Green_rooibos initial weight'!$C$5:$C$2000,MATCH(H496, 'Green_rooibos initial weight'!$A$5:$A$2000,0)),"")</f>
        <v>2.008</v>
      </c>
      <c r="K496">
        <f>IFERROR(INDEX('Green_rooibos initial weight'!$C$5:$C$2000,MATCH(I496, 'Green_rooibos initial weight'!$A$5:$A$2000,0)),"")</f>
        <v>2.1280000000000001</v>
      </c>
      <c r="L496" s="194">
        <f t="shared" si="56"/>
        <v>1.7582</v>
      </c>
      <c r="M496" s="194">
        <f t="shared" si="54"/>
        <v>1.8782000000000001</v>
      </c>
      <c r="N496" s="16">
        <f>IF('WetLitterbags placem_collection'!G203="","",'WetLitterbags placem_collection'!G203)</f>
        <v>42813</v>
      </c>
      <c r="O496" s="194">
        <f>IFERROR(INDEX('Both teabags AfterWet'!$C$3:$C$2000,MATCH(H496,'Both teabags AfterWet'!$A$3:$A$2000,0)),"")</f>
        <v>0.63959999999999995</v>
      </c>
      <c r="P496" s="194">
        <f>IFERROR(INDEX('Both teabags AfterWet'!$C$3:$C$2000,MATCH(I496,'Both teabags AfterWet'!$A$3:$A$2000,0)),"")</f>
        <v>1.5786</v>
      </c>
      <c r="Q496" s="194">
        <f t="shared" si="57"/>
        <v>0.48899999999999993</v>
      </c>
      <c r="R496" s="194">
        <f t="shared" si="57"/>
        <v>1.4279999999999999</v>
      </c>
      <c r="S496" s="194">
        <f t="shared" si="58"/>
        <v>0.72187464452280747</v>
      </c>
      <c r="T496" s="194">
        <f t="shared" si="59"/>
        <v>0.47324798548288571</v>
      </c>
      <c r="U496" s="194">
        <f t="shared" si="60"/>
        <v>0.76030241720796499</v>
      </c>
      <c r="V496">
        <f t="shared" si="55"/>
        <v>44</v>
      </c>
      <c r="W496" s="194">
        <f t="shared" si="61"/>
        <v>0.14266669296578682</v>
      </c>
      <c r="X496" s="194">
        <f t="shared" si="62"/>
        <v>1.6050491412394646E-2</v>
      </c>
      <c r="Y496" s="245" t="str">
        <f>IF(ISNUMBER(SEARCH("C",'WetLitterbags placem_collection'!$Y203)),"YES","NO")</f>
        <v>NO</v>
      </c>
      <c r="Z496" s="245" t="str">
        <f>IF(ISNUMBER(SEARCH("H", 'WetLitterbags placem_collection'!$Y203)),"YES","NO")</f>
        <v>NO</v>
      </c>
      <c r="AA496" s="245" t="str">
        <f>IF(ISNUMBER(SEARCH("R", 'WetLitterbags placem_collection'!$Y203)),"YES","NO")</f>
        <v>NO</v>
      </c>
      <c r="AB496" s="245" t="str">
        <f>IF(ISNUMBER(SEARCH("C", 'WetLitterbags placem_collection'!$W203)),"YES","NO")</f>
        <v>NO</v>
      </c>
      <c r="AC496" s="245" t="str">
        <f>IF(ISNUMBER(SEARCH("H", 'WetLitterbags placem_collection'!$W203)),"YES","NO")</f>
        <v>NO</v>
      </c>
      <c r="AD496" s="245" t="str">
        <f>IF(ISNUMBER(SEARCH("R", 'WetLitterbags placem_collection'!$W203)),"YES","NO")</f>
        <v>YES</v>
      </c>
    </row>
    <row r="497" spans="2:30">
      <c r="B497" t="str">
        <f>Wetseason!B643</f>
        <v>Wet</v>
      </c>
      <c r="C497" s="253">
        <f>Wetseason!C643</f>
        <v>202</v>
      </c>
      <c r="D497" t="s">
        <v>2419</v>
      </c>
      <c r="E497" t="s">
        <v>25</v>
      </c>
      <c r="F497" s="375">
        <v>2</v>
      </c>
      <c r="G497" s="16">
        <f>'WetLitterbags placem_collection'!E204</f>
        <v>42769</v>
      </c>
      <c r="H497" s="92" t="str">
        <f>Wetseason!L643</f>
        <v>G770</v>
      </c>
      <c r="I497" t="str">
        <f>Wetseason!L863</f>
        <v>R182</v>
      </c>
      <c r="J497">
        <f>IFERROR(INDEX('Green_rooibos initial weight'!$C$5:$C$2000,MATCH(H497, 'Green_rooibos initial weight'!$A$5:$A$2000,0)),"")</f>
        <v>1.958</v>
      </c>
      <c r="K497">
        <f>IFERROR(INDEX('Green_rooibos initial weight'!$C$5:$C$2000,MATCH(I497, 'Green_rooibos initial weight'!$A$5:$A$2000,0)),"")</f>
        <v>2.161</v>
      </c>
      <c r="L497" s="194">
        <f t="shared" si="56"/>
        <v>1.7081999999999999</v>
      </c>
      <c r="M497" s="194">
        <f t="shared" si="54"/>
        <v>1.9112</v>
      </c>
      <c r="N497" s="16">
        <f>IF('WetLitterbags placem_collection'!G204="","",'WetLitterbags placem_collection'!G204)</f>
        <v>42814</v>
      </c>
      <c r="O497" s="194">
        <f>IFERROR(INDEX('Both teabags AfterWet'!$C$3:$C$2000,MATCH(H497,'Both teabags AfterWet'!$A$3:$A$2000,0)),"")</f>
        <v>0.98199999999999998</v>
      </c>
      <c r="P497" s="194">
        <f>IFERROR(INDEX('Both teabags AfterWet'!$C$3:$C$2000,MATCH(I497,'Both teabags AfterWet'!$A$3:$A$2000,0)),"")</f>
        <v>1.679</v>
      </c>
      <c r="Q497" s="194">
        <f t="shared" si="57"/>
        <v>0.83139999999999992</v>
      </c>
      <c r="R497" s="194">
        <f t="shared" si="57"/>
        <v>1.5284</v>
      </c>
      <c r="S497" s="194">
        <f t="shared" si="58"/>
        <v>0.51328884205596537</v>
      </c>
      <c r="T497" s="194">
        <f t="shared" si="59"/>
        <v>0.33650289883003914</v>
      </c>
      <c r="U497" s="194">
        <f t="shared" si="60"/>
        <v>0.79970699037254078</v>
      </c>
      <c r="V497">
        <f t="shared" si="55"/>
        <v>45</v>
      </c>
      <c r="W497" s="194">
        <f t="shared" si="61"/>
        <v>0.39039329922094368</v>
      </c>
      <c r="X497" s="194">
        <f t="shared" si="62"/>
        <v>2.0097994770457112E-2</v>
      </c>
      <c r="Y497" s="245" t="str">
        <f>IF(ISNUMBER(SEARCH("C",'WetLitterbags placem_collection'!$Y204)),"YES","NO")</f>
        <v>NO</v>
      </c>
      <c r="Z497" s="245" t="str">
        <f>IF(ISNUMBER(SEARCH("H", 'WetLitterbags placem_collection'!$Y204)),"YES","NO")</f>
        <v>NO</v>
      </c>
      <c r="AA497" s="245" t="str">
        <f>IF(ISNUMBER(SEARCH("R", 'WetLitterbags placem_collection'!$Y204)),"YES","NO")</f>
        <v>NO</v>
      </c>
      <c r="AB497" s="245" t="str">
        <f>IF(ISNUMBER(SEARCH("C", 'WetLitterbags placem_collection'!$W204)),"YES","NO")</f>
        <v>NO</v>
      </c>
      <c r="AC497" s="245" t="str">
        <f>IF(ISNUMBER(SEARCH("H", 'WetLitterbags placem_collection'!$W204)),"YES","NO")</f>
        <v>NO</v>
      </c>
      <c r="AD497" s="245" t="str">
        <f>IF(ISNUMBER(SEARCH("R", 'WetLitterbags placem_collection'!$W204)),"YES","NO")</f>
        <v>YES</v>
      </c>
    </row>
    <row r="498" spans="2:30">
      <c r="B498" t="str">
        <f>Wetseason!B644</f>
        <v>Wet</v>
      </c>
      <c r="C498" s="253">
        <f>Wetseason!C644</f>
        <v>203</v>
      </c>
      <c r="D498" t="s">
        <v>2428</v>
      </c>
      <c r="E498" t="s">
        <v>25</v>
      </c>
      <c r="F498" s="375">
        <v>3</v>
      </c>
      <c r="G498" s="16">
        <f>'WetLitterbags placem_collection'!E205</f>
        <v>42769</v>
      </c>
      <c r="H498" s="92" t="str">
        <f>Wetseason!L644</f>
        <v>G753</v>
      </c>
      <c r="I498" t="str">
        <f>Wetseason!L864</f>
        <v>R342</v>
      </c>
      <c r="J498">
        <f>IFERROR(INDEX('Green_rooibos initial weight'!$C$5:$C$2000,MATCH(H498, 'Green_rooibos initial weight'!$A$5:$A$2000,0)),"")</f>
        <v>2.0649999999999999</v>
      </c>
      <c r="K498">
        <f>IFERROR(INDEX('Green_rooibos initial weight'!$C$5:$C$2000,MATCH(I498, 'Green_rooibos initial weight'!$A$5:$A$2000,0)),"")</f>
        <v>2.2450000000000001</v>
      </c>
      <c r="L498" s="194">
        <f t="shared" si="56"/>
        <v>1.8151999999999999</v>
      </c>
      <c r="M498" s="194">
        <f t="shared" si="54"/>
        <v>1.9952000000000001</v>
      </c>
      <c r="N498" s="16">
        <f>IF('WetLitterbags placem_collection'!G205="","",'WetLitterbags placem_collection'!G205)</f>
        <v>42814</v>
      </c>
      <c r="O498" s="194">
        <f>IFERROR(INDEX('Both teabags AfterWet'!$C$3:$C$2000,MATCH(H498,'Both teabags AfterWet'!$A$3:$A$2000,0)),"")</f>
        <v>0.7681</v>
      </c>
      <c r="P498" s="194">
        <f>IFERROR(INDEX('Both teabags AfterWet'!$C$3:$C$2000,MATCH(I498,'Both teabags AfterWet'!$A$3:$A$2000,0)),"")</f>
        <v>1.5906</v>
      </c>
      <c r="Q498" s="194">
        <f t="shared" si="57"/>
        <v>0.61749999999999994</v>
      </c>
      <c r="R498" s="194">
        <f t="shared" si="57"/>
        <v>1.44</v>
      </c>
      <c r="S498" s="194">
        <f t="shared" si="58"/>
        <v>0.65981710004407224</v>
      </c>
      <c r="T498" s="194">
        <f t="shared" si="59"/>
        <v>0.43256417960133958</v>
      </c>
      <c r="U498" s="194">
        <f t="shared" si="60"/>
        <v>0.72173215717722528</v>
      </c>
      <c r="V498">
        <f t="shared" si="55"/>
        <v>45</v>
      </c>
      <c r="W498" s="194">
        <f t="shared" si="61"/>
        <v>0.21636923985264578</v>
      </c>
      <c r="X498" s="194">
        <f t="shared" si="62"/>
        <v>2.2907904207135611E-2</v>
      </c>
      <c r="Y498" s="245" t="str">
        <f>IF(ISNUMBER(SEARCH("C",'WetLitterbags placem_collection'!$Y205)),"YES","NO")</f>
        <v>NO</v>
      </c>
      <c r="Z498" s="245" t="str">
        <f>IF(ISNUMBER(SEARCH("H", 'WetLitterbags placem_collection'!$Y205)),"YES","NO")</f>
        <v>NO</v>
      </c>
      <c r="AA498" s="245" t="str">
        <f>IF(ISNUMBER(SEARCH("R", 'WetLitterbags placem_collection'!$Y205)),"YES","NO")</f>
        <v>NO</v>
      </c>
      <c r="AB498" s="245" t="str">
        <f>IF(ISNUMBER(SEARCH("C", 'WetLitterbags placem_collection'!$W205)),"YES","NO")</f>
        <v>NO</v>
      </c>
      <c r="AC498" s="245" t="str">
        <f>IF(ISNUMBER(SEARCH("H", 'WetLitterbags placem_collection'!$W205)),"YES","NO")</f>
        <v>YES</v>
      </c>
      <c r="AD498" s="245" t="str">
        <f>IF(ISNUMBER(SEARCH("R", 'WetLitterbags placem_collection'!$W205)),"YES","NO")</f>
        <v>NO</v>
      </c>
    </row>
    <row r="499" spans="2:30">
      <c r="B499" t="str">
        <f>Wetseason!B645</f>
        <v>Wet</v>
      </c>
      <c r="C499" s="253">
        <f>Wetseason!C645</f>
        <v>204</v>
      </c>
      <c r="D499" t="s">
        <v>2435</v>
      </c>
      <c r="E499" t="s">
        <v>25</v>
      </c>
      <c r="F499" s="375">
        <v>4</v>
      </c>
      <c r="G499" s="16">
        <f>'WetLitterbags placem_collection'!E206</f>
        <v>42769</v>
      </c>
      <c r="H499" s="92" t="str">
        <f>Wetseason!L645</f>
        <v>G640</v>
      </c>
      <c r="I499" t="str">
        <f>Wetseason!L865</f>
        <v>R139</v>
      </c>
      <c r="J499">
        <f>IFERROR(INDEX('Green_rooibos initial weight'!$C$5:$C$2000,MATCH(H499, 'Green_rooibos initial weight'!$A$5:$A$2000,0)),"")</f>
        <v>2.0640000000000001</v>
      </c>
      <c r="K499">
        <f>IFERROR(INDEX('Green_rooibos initial weight'!$C$5:$C$2000,MATCH(I499, 'Green_rooibos initial weight'!$A$5:$A$2000,0)),"")</f>
        <v>2.2829999999999999</v>
      </c>
      <c r="L499" s="194">
        <f t="shared" si="56"/>
        <v>1.8142</v>
      </c>
      <c r="M499" s="194">
        <f t="shared" si="54"/>
        <v>2.0331999999999999</v>
      </c>
      <c r="N499" s="16">
        <f>IF('WetLitterbags placem_collection'!G206="","",'WetLitterbags placem_collection'!G206)</f>
        <v>42813</v>
      </c>
      <c r="O499" s="194">
        <f>IFERROR(INDEX('Both teabags AfterWet'!$C$3:$C$2000,MATCH(H499,'Both teabags AfterWet'!$A$3:$A$2000,0)),"")</f>
        <v>0.72450000000000003</v>
      </c>
      <c r="P499" s="194">
        <f>IFERROR(INDEX('Both teabags AfterWet'!$C$3:$C$2000,MATCH(I499,'Both teabags AfterWet'!$A$3:$A$2000,0)),"")</f>
        <v>1.6255999999999999</v>
      </c>
      <c r="Q499" s="194">
        <f t="shared" si="57"/>
        <v>0.57390000000000008</v>
      </c>
      <c r="R499" s="194">
        <f t="shared" si="57"/>
        <v>1.4749999999999999</v>
      </c>
      <c r="S499" s="194">
        <f t="shared" si="58"/>
        <v>0.68366222026237455</v>
      </c>
      <c r="T499" s="194">
        <f t="shared" si="59"/>
        <v>0.44819660995823135</v>
      </c>
      <c r="U499" s="194">
        <f t="shared" si="60"/>
        <v>0.72545740704308481</v>
      </c>
      <c r="V499">
        <f t="shared" si="55"/>
        <v>44</v>
      </c>
      <c r="W499" s="194">
        <f t="shared" si="61"/>
        <v>0.18804961964088529</v>
      </c>
      <c r="X499" s="194">
        <f t="shared" si="62"/>
        <v>2.1549251954294885E-2</v>
      </c>
      <c r="Y499" s="245" t="str">
        <f>IF(ISNUMBER(SEARCH("C",'WetLitterbags placem_collection'!$Y206)),"YES","NO")</f>
        <v>NO</v>
      </c>
      <c r="Z499" s="245" t="str">
        <f>IF(ISNUMBER(SEARCH("H", 'WetLitterbags placem_collection'!$Y206)),"YES","NO")</f>
        <v>NO</v>
      </c>
      <c r="AA499" s="245" t="str">
        <f>IF(ISNUMBER(SEARCH("R", 'WetLitterbags placem_collection'!$Y206)),"YES","NO")</f>
        <v>NO</v>
      </c>
      <c r="AB499" s="245" t="str">
        <f>IF(ISNUMBER(SEARCH("C", 'WetLitterbags placem_collection'!$W206)),"YES","NO")</f>
        <v>NO</v>
      </c>
      <c r="AC499" s="245" t="str">
        <f>IF(ISNUMBER(SEARCH("H", 'WetLitterbags placem_collection'!$W206)),"YES","NO")</f>
        <v>NO</v>
      </c>
      <c r="AD499" s="245" t="str">
        <f>IF(ISNUMBER(SEARCH("R", 'WetLitterbags placem_collection'!$W206)),"YES","NO")</f>
        <v>YES</v>
      </c>
    </row>
    <row r="500" spans="2:30">
      <c r="B500" t="str">
        <f>Wetseason!B646</f>
        <v>Wet</v>
      </c>
      <c r="C500" s="253">
        <f>Wetseason!C646</f>
        <v>205</v>
      </c>
      <c r="D500" t="s">
        <v>2429</v>
      </c>
      <c r="E500" t="s">
        <v>25</v>
      </c>
      <c r="F500" s="375">
        <v>1</v>
      </c>
      <c r="G500" s="16">
        <f>'WetLitterbags placem_collection'!E207</f>
        <v>42769</v>
      </c>
      <c r="H500" s="92" t="str">
        <f>Wetseason!L646</f>
        <v>G668</v>
      </c>
      <c r="I500" t="str">
        <f>Wetseason!L866</f>
        <v>R92</v>
      </c>
      <c r="J500">
        <f>IFERROR(INDEX('Green_rooibos initial weight'!$C$5:$C$2000,MATCH(H500, 'Green_rooibos initial weight'!$A$5:$A$2000,0)),"")</f>
        <v>2.0299999999999998</v>
      </c>
      <c r="K500">
        <f>IFERROR(INDEX('Green_rooibos initial weight'!$C$5:$C$2000,MATCH(I500, 'Green_rooibos initial weight'!$A$5:$A$2000,0)),"")</f>
        <v>2.246</v>
      </c>
      <c r="L500" s="194">
        <f t="shared" si="56"/>
        <v>1.7801999999999998</v>
      </c>
      <c r="M500" s="194">
        <f t="shared" si="54"/>
        <v>1.9962</v>
      </c>
      <c r="N500" s="16">
        <f>IF('WetLitterbags placem_collection'!G207="","",'WetLitterbags placem_collection'!G207)</f>
        <v>42814</v>
      </c>
      <c r="O500" s="194">
        <f>IFERROR(INDEX('Both teabags AfterWet'!$C$3:$C$2000,MATCH(H500,'Both teabags AfterWet'!$A$3:$A$2000,0)),"")</f>
        <v>0.71</v>
      </c>
      <c r="P500" s="194">
        <f>IFERROR(INDEX('Both teabags AfterWet'!$C$3:$C$2000,MATCH(I500,'Both teabags AfterWet'!$A$3:$A$2000,0)),"")</f>
        <v>1.7204999999999999</v>
      </c>
      <c r="Q500" s="194">
        <f t="shared" si="57"/>
        <v>0.5593999999999999</v>
      </c>
      <c r="R500" s="194">
        <f t="shared" si="57"/>
        <v>1.5698999999999999</v>
      </c>
      <c r="S500" s="194">
        <f t="shared" si="58"/>
        <v>0.68576564430962816</v>
      </c>
      <c r="T500" s="194">
        <f t="shared" si="59"/>
        <v>0.44957557679206034</v>
      </c>
      <c r="U500" s="194">
        <f t="shared" si="60"/>
        <v>0.78644424406372104</v>
      </c>
      <c r="V500">
        <f t="shared" si="55"/>
        <v>45</v>
      </c>
      <c r="W500" s="194">
        <f t="shared" si="61"/>
        <v>0.18555149131873139</v>
      </c>
      <c r="X500" s="194">
        <f t="shared" si="62"/>
        <v>1.431973748547335E-2</v>
      </c>
      <c r="Y500" s="245" t="str">
        <f>IF(ISNUMBER(SEARCH("C",'WetLitterbags placem_collection'!$Y207)),"YES","NO")</f>
        <v>NO</v>
      </c>
      <c r="Z500" s="245" t="str">
        <f>IF(ISNUMBER(SEARCH("H", 'WetLitterbags placem_collection'!$Y207)),"YES","NO")</f>
        <v>NO</v>
      </c>
      <c r="AA500" s="245" t="str">
        <f>IF(ISNUMBER(SEARCH("R", 'WetLitterbags placem_collection'!$Y207)),"YES","NO")</f>
        <v>NO</v>
      </c>
      <c r="AB500" s="245" t="str">
        <f>IF(ISNUMBER(SEARCH("C", 'WetLitterbags placem_collection'!$W207)),"YES","NO")</f>
        <v>NO</v>
      </c>
      <c r="AC500" s="245" t="str">
        <f>IF(ISNUMBER(SEARCH("H", 'WetLitterbags placem_collection'!$W207)),"YES","NO")</f>
        <v>NO</v>
      </c>
      <c r="AD500" s="245" t="str">
        <f>IF(ISNUMBER(SEARCH("R", 'WetLitterbags placem_collection'!$W207)),"YES","NO")</f>
        <v>YES</v>
      </c>
    </row>
    <row r="501" spans="2:30">
      <c r="B501" t="str">
        <f>Wetseason!B647</f>
        <v>Wet</v>
      </c>
      <c r="C501" s="253">
        <f>Wetseason!C647</f>
        <v>206</v>
      </c>
      <c r="D501" t="s">
        <v>2420</v>
      </c>
      <c r="E501" t="s">
        <v>25</v>
      </c>
      <c r="F501" s="375">
        <v>2</v>
      </c>
      <c r="G501" s="16">
        <f>'WetLitterbags placem_collection'!E208</f>
        <v>42769</v>
      </c>
      <c r="H501" s="92" t="str">
        <f>Wetseason!L647</f>
        <v>G891</v>
      </c>
      <c r="I501" t="str">
        <f>Wetseason!L867</f>
        <v>R328</v>
      </c>
      <c r="J501">
        <f>IFERROR(INDEX('Green_rooibos initial weight'!$C$5:$C$2000,MATCH(H501, 'Green_rooibos initial weight'!$A$5:$A$2000,0)),"")</f>
        <v>2.0169999999999999</v>
      </c>
      <c r="K501">
        <f>IFERROR(INDEX('Green_rooibos initial weight'!$C$5:$C$2000,MATCH(I501, 'Green_rooibos initial weight'!$A$5:$A$2000,0)),"")</f>
        <v>2.2549999999999999</v>
      </c>
      <c r="L501" s="194">
        <f t="shared" si="56"/>
        <v>1.7671999999999999</v>
      </c>
      <c r="M501" s="194">
        <f t="shared" si="54"/>
        <v>2.0051999999999999</v>
      </c>
      <c r="N501" s="16">
        <f>IF('WetLitterbags placem_collection'!G208="","",'WetLitterbags placem_collection'!G208)</f>
        <v>42814</v>
      </c>
      <c r="O501" s="194">
        <f>IFERROR(INDEX('Both teabags AfterWet'!$C$3:$C$2000,MATCH(H501,'Both teabags AfterWet'!$A$3:$A$2000,0)),"")</f>
        <v>0.70199999999999996</v>
      </c>
      <c r="P501" s="194">
        <f>IFERROR(INDEX('Both teabags AfterWet'!$C$3:$C$2000,MATCH(I501,'Both teabags AfterWet'!$A$3:$A$2000,0)),"")</f>
        <v>1.609</v>
      </c>
      <c r="Q501" s="194">
        <f t="shared" si="57"/>
        <v>0.55139999999999989</v>
      </c>
      <c r="R501" s="194">
        <f t="shared" si="57"/>
        <v>1.4583999999999999</v>
      </c>
      <c r="S501" s="194">
        <f t="shared" si="58"/>
        <v>0.6879809868718878</v>
      </c>
      <c r="T501" s="194">
        <f t="shared" si="59"/>
        <v>0.45102791538394549</v>
      </c>
      <c r="U501" s="194">
        <f t="shared" si="60"/>
        <v>0.72730899660881709</v>
      </c>
      <c r="V501">
        <f t="shared" si="55"/>
        <v>45</v>
      </c>
      <c r="W501" s="194">
        <f t="shared" si="61"/>
        <v>0.18292044314502631</v>
      </c>
      <c r="X501" s="194">
        <f t="shared" si="62"/>
        <v>2.0618993532220718E-2</v>
      </c>
      <c r="Y501" s="245" t="str">
        <f>IF(ISNUMBER(SEARCH("C",'WetLitterbags placem_collection'!$Y208)),"YES","NO")</f>
        <v>NO</v>
      </c>
      <c r="Z501" s="245" t="str">
        <f>IF(ISNUMBER(SEARCH("H", 'WetLitterbags placem_collection'!$Y208)),"YES","NO")</f>
        <v>NO</v>
      </c>
      <c r="AA501" s="245" t="str">
        <f>IF(ISNUMBER(SEARCH("R", 'WetLitterbags placem_collection'!$Y208)),"YES","NO")</f>
        <v>YES</v>
      </c>
      <c r="AB501" s="245" t="str">
        <f>IF(ISNUMBER(SEARCH("C", 'WetLitterbags placem_collection'!$W208)),"YES","NO")</f>
        <v>NO</v>
      </c>
      <c r="AC501" s="245" t="str">
        <f>IF(ISNUMBER(SEARCH("H", 'WetLitterbags placem_collection'!$W208)),"YES","NO")</f>
        <v>NO</v>
      </c>
      <c r="AD501" s="245" t="str">
        <f>IF(ISNUMBER(SEARCH("R", 'WetLitterbags placem_collection'!$W208)),"YES","NO")</f>
        <v>NO</v>
      </c>
    </row>
    <row r="502" spans="2:30">
      <c r="B502" t="str">
        <f>Wetseason!B648</f>
        <v>Wet</v>
      </c>
      <c r="C502" s="253">
        <f>Wetseason!C648</f>
        <v>207</v>
      </c>
      <c r="D502" t="s">
        <v>2443</v>
      </c>
      <c r="E502" t="s">
        <v>25</v>
      </c>
      <c r="F502" s="375">
        <v>3</v>
      </c>
      <c r="G502" s="16">
        <f>'WetLitterbags placem_collection'!E209</f>
        <v>42769</v>
      </c>
      <c r="H502" s="92" t="str">
        <f>Wetseason!L648</f>
        <v>G540</v>
      </c>
      <c r="I502" t="str">
        <f>Wetseason!L868</f>
        <v>R149</v>
      </c>
      <c r="J502">
        <f>IFERROR(INDEX('Green_rooibos initial weight'!$C$5:$C$2000,MATCH(H502, 'Green_rooibos initial weight'!$A$5:$A$2000,0)),"")</f>
        <v>2.0830000000000002</v>
      </c>
      <c r="K502">
        <f>IFERROR(INDEX('Green_rooibos initial weight'!$C$5:$C$2000,MATCH(I502, 'Green_rooibos initial weight'!$A$5:$A$2000,0)),"")</f>
        <v>2.2400000000000002</v>
      </c>
      <c r="L502" s="194">
        <f t="shared" si="56"/>
        <v>1.8332000000000002</v>
      </c>
      <c r="M502" s="194">
        <f t="shared" si="54"/>
        <v>1.9902000000000002</v>
      </c>
      <c r="N502" s="16">
        <f>IF('WetLitterbags placem_collection'!G209="","",'WetLitterbags placem_collection'!G209)</f>
        <v>42813</v>
      </c>
      <c r="O502" s="194">
        <f>IFERROR(INDEX('Both teabags AfterWet'!$C$3:$C$2000,MATCH(H502,'Both teabags AfterWet'!$A$3:$A$2000,0)),"")</f>
        <v>0.73299999999999998</v>
      </c>
      <c r="P502" s="194">
        <f>IFERROR(INDEX('Both teabags AfterWet'!$C$3:$C$2000,MATCH(I502,'Both teabags AfterWet'!$A$3:$A$2000,0)),"")</f>
        <v>1.401</v>
      </c>
      <c r="Q502" s="194">
        <f t="shared" si="57"/>
        <v>0.58240000000000003</v>
      </c>
      <c r="R502" s="194">
        <f t="shared" si="57"/>
        <v>1.2504</v>
      </c>
      <c r="S502" s="194">
        <f t="shared" si="58"/>
        <v>0.68230416757582368</v>
      </c>
      <c r="T502" s="194">
        <f t="shared" si="59"/>
        <v>0.44730629513284409</v>
      </c>
      <c r="U502" s="194">
        <f t="shared" si="60"/>
        <v>0.62827856496834478</v>
      </c>
      <c r="V502">
        <f t="shared" si="55"/>
        <v>44</v>
      </c>
      <c r="W502" s="194">
        <f t="shared" si="61"/>
        <v>0.1896625088173115</v>
      </c>
      <c r="X502" s="194">
        <f t="shared" si="62"/>
        <v>4.0408808728347206E-2</v>
      </c>
      <c r="Y502" s="245" t="str">
        <f>IF(ISNUMBER(SEARCH("C",'WetLitterbags placem_collection'!$Y209)),"YES","NO")</f>
        <v>NO</v>
      </c>
      <c r="Z502" s="245" t="str">
        <f>IF(ISNUMBER(SEARCH("H", 'WetLitterbags placem_collection'!$Y209)),"YES","NO")</f>
        <v>NO</v>
      </c>
      <c r="AA502" s="245" t="str">
        <f>IF(ISNUMBER(SEARCH("R", 'WetLitterbags placem_collection'!$Y209)),"YES","NO")</f>
        <v>NO</v>
      </c>
      <c r="AB502" s="245" t="str">
        <f>IF(ISNUMBER(SEARCH("C", 'WetLitterbags placem_collection'!$W209)),"YES","NO")</f>
        <v>YES</v>
      </c>
      <c r="AC502" s="245" t="str">
        <f>IF(ISNUMBER(SEARCH("H", 'WetLitterbags placem_collection'!$W209)),"YES","NO")</f>
        <v>YES</v>
      </c>
      <c r="AD502" s="245" t="str">
        <f>IF(ISNUMBER(SEARCH("R", 'WetLitterbags placem_collection'!$W209)),"YES","NO")</f>
        <v>NO</v>
      </c>
    </row>
    <row r="503" spans="2:30">
      <c r="B503" t="str">
        <f>Wetseason!B649</f>
        <v>Wet</v>
      </c>
      <c r="C503" s="253">
        <f>Wetseason!C649</f>
        <v>208</v>
      </c>
      <c r="D503" t="s">
        <v>2436</v>
      </c>
      <c r="E503" t="s">
        <v>25</v>
      </c>
      <c r="F503" s="375">
        <v>4</v>
      </c>
      <c r="G503" s="16">
        <f>'WetLitterbags placem_collection'!E210</f>
        <v>42769</v>
      </c>
      <c r="H503" s="92" t="str">
        <f>Wetseason!L649</f>
        <v>G508</v>
      </c>
      <c r="I503" t="str">
        <f>Wetseason!L869</f>
        <v>R449</v>
      </c>
      <c r="J503">
        <f>IFERROR(INDEX('Green_rooibos initial weight'!$C$5:$C$2000,MATCH(H503, 'Green_rooibos initial weight'!$A$5:$A$2000,0)),"")</f>
        <v>1.9910000000000001</v>
      </c>
      <c r="K503">
        <f>IFERROR(INDEX('Green_rooibos initial weight'!$C$5:$C$2000,MATCH(I503, 'Green_rooibos initial weight'!$A$5:$A$2000,0)),"")</f>
        <v>2.2709999999999999</v>
      </c>
      <c r="L503" s="194">
        <f t="shared" si="56"/>
        <v>1.7412000000000001</v>
      </c>
      <c r="M503" s="194">
        <f t="shared" si="54"/>
        <v>2.0211999999999999</v>
      </c>
      <c r="N503" s="16">
        <f>IF('WetLitterbags placem_collection'!G210="","",'WetLitterbags placem_collection'!G210)</f>
        <v>42813</v>
      </c>
      <c r="O503" s="194">
        <f>IFERROR(INDEX('Both teabags AfterWet'!$C$3:$C$2000,MATCH(H503,'Both teabags AfterWet'!$A$3:$A$2000,0)),"")</f>
        <v>0.84599999999999997</v>
      </c>
      <c r="P503" s="194">
        <f>IFERROR(INDEX('Both teabags AfterWet'!$C$3:$C$2000,MATCH(I503,'Both teabags AfterWet'!$A$3:$A$2000,0)),"")</f>
        <v>1.611</v>
      </c>
      <c r="Q503" s="194">
        <f t="shared" si="57"/>
        <v>0.69540000000000002</v>
      </c>
      <c r="R503" s="194">
        <f t="shared" si="57"/>
        <v>1.4603999999999999</v>
      </c>
      <c r="S503" s="194">
        <f t="shared" si="58"/>
        <v>0.60062026188835294</v>
      </c>
      <c r="T503" s="194">
        <f t="shared" si="59"/>
        <v>0.39375580114295827</v>
      </c>
      <c r="U503" s="194">
        <f t="shared" si="60"/>
        <v>0.72254106471403123</v>
      </c>
      <c r="V503">
        <f t="shared" si="55"/>
        <v>44</v>
      </c>
      <c r="W503" s="194">
        <f t="shared" si="61"/>
        <v>0.28667427329174233</v>
      </c>
      <c r="X503" s="194">
        <f t="shared" si="62"/>
        <v>2.771783665250931E-2</v>
      </c>
      <c r="Y503" s="245" t="str">
        <f>IF(ISNUMBER(SEARCH("C",'WetLitterbags placem_collection'!$Y210)),"YES","NO")</f>
        <v>NO</v>
      </c>
      <c r="Z503" s="245" t="str">
        <f>IF(ISNUMBER(SEARCH("H", 'WetLitterbags placem_collection'!$Y210)),"YES","NO")</f>
        <v>NO</v>
      </c>
      <c r="AA503" s="245" t="str">
        <f>IF(ISNUMBER(SEARCH("R", 'WetLitterbags placem_collection'!$Y210)),"YES","NO")</f>
        <v>YES</v>
      </c>
      <c r="AB503" s="245" t="str">
        <f>IF(ISNUMBER(SEARCH("C", 'WetLitterbags placem_collection'!$W210)),"YES","NO")</f>
        <v>NO</v>
      </c>
      <c r="AC503" s="245" t="str">
        <f>IF(ISNUMBER(SEARCH("H", 'WetLitterbags placem_collection'!$W210)),"YES","NO")</f>
        <v>NO</v>
      </c>
      <c r="AD503" s="245" t="str">
        <f>IF(ISNUMBER(SEARCH("R", 'WetLitterbags placem_collection'!$W210)),"YES","NO")</f>
        <v>YES</v>
      </c>
    </row>
    <row r="504" spans="2:30">
      <c r="B504" t="str">
        <f>Wetseason!B650</f>
        <v>Wet</v>
      </c>
      <c r="C504" s="253">
        <f>Wetseason!C650</f>
        <v>209</v>
      </c>
      <c r="D504" t="s">
        <v>2430</v>
      </c>
      <c r="E504" t="s">
        <v>25</v>
      </c>
      <c r="F504" s="375">
        <v>1</v>
      </c>
      <c r="G504" s="16">
        <f>'WetLitterbags placem_collection'!E211</f>
        <v>42769</v>
      </c>
      <c r="H504" s="92" t="str">
        <f>Wetseason!L650</f>
        <v>G637</v>
      </c>
      <c r="I504" t="str">
        <f>Wetseason!L870</f>
        <v>R142</v>
      </c>
      <c r="J504">
        <f>IFERROR(INDEX('Green_rooibos initial weight'!$C$5:$C$2000,MATCH(H504, 'Green_rooibos initial weight'!$A$5:$A$2000,0)),"")</f>
        <v>2.1110000000000002</v>
      </c>
      <c r="K504">
        <f>IFERROR(INDEX('Green_rooibos initial weight'!$C$5:$C$2000,MATCH(I504, 'Green_rooibos initial weight'!$A$5:$A$2000,0)),"")</f>
        <v>2.0870000000000002</v>
      </c>
      <c r="L504" s="194">
        <f t="shared" si="56"/>
        <v>1.8612000000000002</v>
      </c>
      <c r="M504" s="194">
        <f t="shared" si="54"/>
        <v>1.8372000000000002</v>
      </c>
      <c r="N504" s="16">
        <f>IF('WetLitterbags placem_collection'!G211="","",'WetLitterbags placem_collection'!G211)</f>
        <v>42814</v>
      </c>
      <c r="O504" s="194">
        <f>IFERROR(INDEX('Both teabags AfterWet'!$C$3:$C$2000,MATCH(H504,'Both teabags AfterWet'!$A$3:$A$2000,0)),"")</f>
        <v>0.86399999999999999</v>
      </c>
      <c r="P504" s="194">
        <f>IFERROR(INDEX('Both teabags AfterWet'!$C$3:$C$2000,MATCH(I504,'Both teabags AfterWet'!$A$3:$A$2000,0)),"")</f>
        <v>1.5780000000000001</v>
      </c>
      <c r="Q504" s="194">
        <f t="shared" si="57"/>
        <v>0.71340000000000003</v>
      </c>
      <c r="R504" s="194">
        <f t="shared" si="57"/>
        <v>1.4274</v>
      </c>
      <c r="S504" s="194">
        <f t="shared" si="58"/>
        <v>0.61669890393294646</v>
      </c>
      <c r="T504" s="194">
        <f t="shared" si="59"/>
        <v>0.40429666861162289</v>
      </c>
      <c r="U504" s="194">
        <f t="shared" si="60"/>
        <v>0.77694317439581961</v>
      </c>
      <c r="V504">
        <f t="shared" si="55"/>
        <v>45</v>
      </c>
      <c r="W504" s="194">
        <f t="shared" si="61"/>
        <v>0.26757849889198759</v>
      </c>
      <c r="X504" s="194">
        <f t="shared" si="62"/>
        <v>1.782950406968305E-2</v>
      </c>
      <c r="Y504" s="245" t="str">
        <f>IF(ISNUMBER(SEARCH("C",'WetLitterbags placem_collection'!$Y211)),"YES","NO")</f>
        <v>NO</v>
      </c>
      <c r="Z504" s="245" t="str">
        <f>IF(ISNUMBER(SEARCH("H", 'WetLitterbags placem_collection'!$Y211)),"YES","NO")</f>
        <v>NO</v>
      </c>
      <c r="AA504" s="245" t="str">
        <f>IF(ISNUMBER(SEARCH("R", 'WetLitterbags placem_collection'!$Y211)),"YES","NO")</f>
        <v>YES</v>
      </c>
      <c r="AB504" s="245" t="str">
        <f>IF(ISNUMBER(SEARCH("C", 'WetLitterbags placem_collection'!$W211)),"YES","NO")</f>
        <v>NO</v>
      </c>
      <c r="AC504" s="245" t="str">
        <f>IF(ISNUMBER(SEARCH("H", 'WetLitterbags placem_collection'!$W211)),"YES","NO")</f>
        <v>NO</v>
      </c>
      <c r="AD504" s="245" t="str">
        <f>IF(ISNUMBER(SEARCH("R", 'WetLitterbags placem_collection'!$W211)),"YES","NO")</f>
        <v>YES</v>
      </c>
    </row>
    <row r="505" spans="2:30">
      <c r="B505" t="str">
        <f>Wetseason!B651</f>
        <v>Wet</v>
      </c>
      <c r="C505" s="253">
        <f>Wetseason!C651</f>
        <v>210</v>
      </c>
      <c r="D505" t="s">
        <v>2444</v>
      </c>
      <c r="E505" t="s">
        <v>25</v>
      </c>
      <c r="F505" s="375">
        <v>2</v>
      </c>
      <c r="G505" s="16">
        <f>'WetLitterbags placem_collection'!E212</f>
        <v>42769</v>
      </c>
      <c r="H505" s="92" t="str">
        <f>Wetseason!L651</f>
        <v>G720</v>
      </c>
      <c r="I505" t="str">
        <f>Wetseason!L871</f>
        <v>R392</v>
      </c>
      <c r="J505">
        <f>IFERROR(INDEX('Green_rooibos initial weight'!$C$5:$C$2000,MATCH(H505, 'Green_rooibos initial weight'!$A$5:$A$2000,0)),"")</f>
        <v>2.0350000000000001</v>
      </c>
      <c r="K505">
        <f>IFERROR(INDEX('Green_rooibos initial weight'!$C$5:$C$2000,MATCH(I505, 'Green_rooibos initial weight'!$A$5:$A$2000,0)),"")</f>
        <v>2.2309999999999999</v>
      </c>
      <c r="L505" s="194">
        <f t="shared" si="56"/>
        <v>1.7852000000000001</v>
      </c>
      <c r="M505" s="194">
        <f t="shared" si="54"/>
        <v>1.9811999999999999</v>
      </c>
      <c r="N505" s="16">
        <f>IF('WetLitterbags placem_collection'!G212="","",'WetLitterbags placem_collection'!G212)</f>
        <v>42813</v>
      </c>
      <c r="O505" s="194">
        <f>IFERROR(INDEX('Both teabags AfterWet'!$C$3:$C$2000,MATCH(H505,'Both teabags AfterWet'!$A$3:$A$2000,0)),"")</f>
        <v>0.72160000000000002</v>
      </c>
      <c r="P505" s="194">
        <f>IFERROR(INDEX('Both teabags AfterWet'!$C$3:$C$2000,MATCH(I505,'Both teabags AfterWet'!$A$3:$A$2000,0)),"")</f>
        <v>1.6165</v>
      </c>
      <c r="Q505" s="194">
        <f t="shared" si="57"/>
        <v>0.57099999999999995</v>
      </c>
      <c r="R505" s="194">
        <f t="shared" si="57"/>
        <v>1.4659</v>
      </c>
      <c r="S505" s="194">
        <f t="shared" si="58"/>
        <v>0.6801478825901861</v>
      </c>
      <c r="T505" s="194">
        <f t="shared" si="59"/>
        <v>0.4458926736220698</v>
      </c>
      <c r="U505" s="194">
        <f t="shared" si="60"/>
        <v>0.73990510801534426</v>
      </c>
      <c r="V505">
        <f t="shared" si="55"/>
        <v>44</v>
      </c>
      <c r="W505" s="194">
        <f t="shared" si="61"/>
        <v>0.19222341735132287</v>
      </c>
      <c r="X505" s="194">
        <f t="shared" si="62"/>
        <v>1.9895895322009652E-2</v>
      </c>
      <c r="Y505" s="245" t="str">
        <f>IF(ISNUMBER(SEARCH("C",'WetLitterbags placem_collection'!$Y212)),"YES","NO")</f>
        <v>NO</v>
      </c>
      <c r="Z505" s="245" t="str">
        <f>IF(ISNUMBER(SEARCH("H", 'WetLitterbags placem_collection'!$Y212)),"YES","NO")</f>
        <v>NO</v>
      </c>
      <c r="AA505" s="245" t="str">
        <f>IF(ISNUMBER(SEARCH("R", 'WetLitterbags placem_collection'!$Y212)),"YES","NO")</f>
        <v>NO</v>
      </c>
      <c r="AB505" s="245" t="str">
        <f>IF(ISNUMBER(SEARCH("C", 'WetLitterbags placem_collection'!$W212)),"YES","NO")</f>
        <v>NO</v>
      </c>
      <c r="AC505" s="245" t="str">
        <f>IF(ISNUMBER(SEARCH("H", 'WetLitterbags placem_collection'!$W212)),"YES","NO")</f>
        <v>NO</v>
      </c>
      <c r="AD505" s="245" t="str">
        <f>IF(ISNUMBER(SEARCH("R", 'WetLitterbags placem_collection'!$W212)),"YES","NO")</f>
        <v>YES</v>
      </c>
    </row>
    <row r="506" spans="2:30">
      <c r="B506" t="str">
        <f>Wetseason!B652</f>
        <v>Wet</v>
      </c>
      <c r="C506" s="253">
        <f>Wetseason!C652</f>
        <v>211</v>
      </c>
      <c r="D506" t="s">
        <v>2421</v>
      </c>
      <c r="E506" t="s">
        <v>25</v>
      </c>
      <c r="F506" s="375">
        <v>3</v>
      </c>
      <c r="G506" s="16">
        <f>'WetLitterbags placem_collection'!E213</f>
        <v>42769</v>
      </c>
      <c r="H506" s="92" t="str">
        <f>Wetseason!L652</f>
        <v>G796</v>
      </c>
      <c r="I506" t="str">
        <f>Wetseason!L872</f>
        <v>R589</v>
      </c>
      <c r="J506">
        <f>IFERROR(INDEX('Green_rooibos initial weight'!$C$5:$C$2000,MATCH(H506, 'Green_rooibos initial weight'!$A$5:$A$2000,0)),"")</f>
        <v>2.1070000000000002</v>
      </c>
      <c r="K506">
        <f>IFERROR(INDEX('Green_rooibos initial weight'!$C$5:$C$2000,MATCH(I506, 'Green_rooibos initial weight'!$A$5:$A$2000,0)),"")</f>
        <v>2.157</v>
      </c>
      <c r="L506" s="194">
        <f t="shared" si="56"/>
        <v>1.8572000000000002</v>
      </c>
      <c r="M506" s="194">
        <f t="shared" si="54"/>
        <v>1.9072</v>
      </c>
      <c r="N506" s="16">
        <f>IF('WetLitterbags placem_collection'!G213="","",'WetLitterbags placem_collection'!G213)</f>
        <v>42814</v>
      </c>
      <c r="O506" s="194">
        <f>IFERROR(INDEX('Both teabags AfterWet'!$C$3:$C$2000,MATCH(H506,'Both teabags AfterWet'!$A$3:$A$2000,0)),"")</f>
        <v>0.67200000000000004</v>
      </c>
      <c r="P506" s="194">
        <f>IFERROR(INDEX('Both teabags AfterWet'!$C$3:$C$2000,MATCH(I506,'Both teabags AfterWet'!$A$3:$A$2000,0)),"")</f>
        <v>1.5489999999999999</v>
      </c>
      <c r="Q506" s="194">
        <f t="shared" si="57"/>
        <v>0.52140000000000009</v>
      </c>
      <c r="R506" s="194">
        <f t="shared" si="57"/>
        <v>1.3983999999999999</v>
      </c>
      <c r="S506" s="194">
        <f t="shared" si="58"/>
        <v>0.71925479216024124</v>
      </c>
      <c r="T506" s="194">
        <f t="shared" si="59"/>
        <v>0.4715304575682342</v>
      </c>
      <c r="U506" s="194">
        <f t="shared" si="60"/>
        <v>0.73322147651006708</v>
      </c>
      <c r="V506">
        <f t="shared" si="55"/>
        <v>45</v>
      </c>
      <c r="W506" s="194">
        <f t="shared" si="61"/>
        <v>0.14577815657928594</v>
      </c>
      <c r="X506" s="194">
        <f t="shared" si="62"/>
        <v>1.8537433965027557E-2</v>
      </c>
      <c r="Y506" s="245" t="str">
        <f>IF(ISNUMBER(SEARCH("C",'WetLitterbags placem_collection'!$Y213)),"YES","NO")</f>
        <v>NO</v>
      </c>
      <c r="Z506" s="245" t="str">
        <f>IF(ISNUMBER(SEARCH("H", 'WetLitterbags placem_collection'!$Y213)),"YES","NO")</f>
        <v>NO</v>
      </c>
      <c r="AA506" s="245" t="str">
        <f>IF(ISNUMBER(SEARCH("R", 'WetLitterbags placem_collection'!$Y213)),"YES","NO")</f>
        <v>YES</v>
      </c>
      <c r="AB506" s="245" t="str">
        <f>IF(ISNUMBER(SEARCH("C", 'WetLitterbags placem_collection'!$W213)),"YES","NO")</f>
        <v>NO</v>
      </c>
      <c r="AC506" s="245" t="str">
        <f>IF(ISNUMBER(SEARCH("H", 'WetLitterbags placem_collection'!$W213)),"YES","NO")</f>
        <v>NO</v>
      </c>
      <c r="AD506" s="245" t="str">
        <f>IF(ISNUMBER(SEARCH("R", 'WetLitterbags placem_collection'!$W213)),"YES","NO")</f>
        <v>YES</v>
      </c>
    </row>
    <row r="507" spans="2:30">
      <c r="B507" t="str">
        <f>Wetseason!B653</f>
        <v>Wet</v>
      </c>
      <c r="C507" s="253">
        <f>Wetseason!C653</f>
        <v>215</v>
      </c>
      <c r="D507" t="s">
        <v>2422</v>
      </c>
      <c r="E507" t="s">
        <v>25</v>
      </c>
      <c r="F507" s="375">
        <v>3</v>
      </c>
      <c r="G507" s="16">
        <f>'WetLitterbags placem_collection'!E214</f>
        <v>42769</v>
      </c>
      <c r="H507" s="92" t="str">
        <f>Wetseason!L653</f>
        <v>G560</v>
      </c>
      <c r="I507" t="str">
        <f>Wetseason!L873</f>
        <v>R130</v>
      </c>
      <c r="J507">
        <f>IFERROR(INDEX('Green_rooibos initial weight'!$C$5:$C$2000,MATCH(H507, 'Green_rooibos initial weight'!$A$5:$A$2000,0)),"")</f>
        <v>2.1219999999999999</v>
      </c>
      <c r="K507">
        <f>IFERROR(INDEX('Green_rooibos initial weight'!$C$5:$C$2000,MATCH(I507, 'Green_rooibos initial weight'!$A$5:$A$2000,0)),"")</f>
        <v>2.2410000000000001</v>
      </c>
      <c r="L507" s="194">
        <f t="shared" si="56"/>
        <v>1.8721999999999999</v>
      </c>
      <c r="M507" s="194">
        <f t="shared" si="54"/>
        <v>1.9912000000000001</v>
      </c>
      <c r="N507" s="16">
        <f>IF('WetLitterbags placem_collection'!G214="","",'WetLitterbags placem_collection'!G214)</f>
        <v>42813</v>
      </c>
      <c r="O507" s="194">
        <f>IFERROR(INDEX('Both teabags AfterWet'!$C$3:$C$2000,MATCH(H507,'Both teabags AfterWet'!$A$3:$A$2000,0)),"")</f>
        <v>1.4097999999999999</v>
      </c>
      <c r="P507" s="194">
        <f>IFERROR(INDEX('Both teabags AfterWet'!$C$3:$C$2000,MATCH(I507,'Both teabags AfterWet'!$A$3:$A$2000,0)),"")</f>
        <v>1.6712</v>
      </c>
      <c r="Q507" s="194">
        <f t="shared" si="57"/>
        <v>1.2591999999999999</v>
      </c>
      <c r="R507" s="194">
        <f t="shared" si="57"/>
        <v>1.5206</v>
      </c>
      <c r="S507" s="194">
        <f t="shared" si="58"/>
        <v>0.32742228394402306</v>
      </c>
      <c r="T507" s="194">
        <f t="shared" si="59"/>
        <v>0.21465213864263746</v>
      </c>
      <c r="U507" s="194">
        <f t="shared" si="60"/>
        <v>0.76366010445962229</v>
      </c>
      <c r="V507">
        <f t="shared" si="55"/>
        <v>44</v>
      </c>
      <c r="W507" s="194">
        <f t="shared" si="61"/>
        <v>0.61113742999522203</v>
      </c>
      <c r="X507" s="194" t="str">
        <f t="shared" si="62"/>
        <v/>
      </c>
      <c r="Y507" s="245" t="str">
        <f>IF(ISNUMBER(SEARCH("C",'WetLitterbags placem_collection'!$Y214)),"YES","NO")</f>
        <v>NO</v>
      </c>
      <c r="Z507" s="245" t="str">
        <f>IF(ISNUMBER(SEARCH("H", 'WetLitterbags placem_collection'!$Y214)),"YES","NO")</f>
        <v>NO</v>
      </c>
      <c r="AA507" s="245" t="str">
        <f>IF(ISNUMBER(SEARCH("R", 'WetLitterbags placem_collection'!$Y214)),"YES","NO")</f>
        <v>YES</v>
      </c>
      <c r="AB507" s="245" t="str">
        <f>IF(ISNUMBER(SEARCH("C", 'WetLitterbags placem_collection'!$W214)),"YES","NO")</f>
        <v>YES</v>
      </c>
      <c r="AC507" s="245" t="str">
        <f>IF(ISNUMBER(SEARCH("H", 'WetLitterbags placem_collection'!$W214)),"YES","NO")</f>
        <v>NO</v>
      </c>
      <c r="AD507" s="245" t="str">
        <f>IF(ISNUMBER(SEARCH("R", 'WetLitterbags placem_collection'!$W214)),"YES","NO")</f>
        <v>YES</v>
      </c>
    </row>
    <row r="508" spans="2:30">
      <c r="B508" t="str">
        <f>Wetseason!B654</f>
        <v>Wet</v>
      </c>
      <c r="C508" s="253">
        <f>Wetseason!C654</f>
        <v>212</v>
      </c>
      <c r="D508" t="s">
        <v>2437</v>
      </c>
      <c r="E508" t="s">
        <v>25</v>
      </c>
      <c r="F508" s="375">
        <v>4</v>
      </c>
      <c r="G508" s="16">
        <f>'WetLitterbags placem_collection'!E215</f>
        <v>42769</v>
      </c>
      <c r="H508" s="92" t="str">
        <f>Wetseason!L654</f>
        <v>G716</v>
      </c>
      <c r="I508" t="str">
        <f>Wetseason!L874</f>
        <v>R111</v>
      </c>
      <c r="J508">
        <f>IFERROR(INDEX('Green_rooibos initial weight'!$C$5:$C$2000,MATCH(H508, 'Green_rooibos initial weight'!$A$5:$A$2000,0)),"")</f>
        <v>2.117</v>
      </c>
      <c r="K508">
        <f>IFERROR(INDEX('Green_rooibos initial weight'!$C$5:$C$2000,MATCH(I508, 'Green_rooibos initial weight'!$A$5:$A$2000,0)),"")</f>
        <v>2.3170000000000002</v>
      </c>
      <c r="L508" s="194">
        <f t="shared" si="56"/>
        <v>1.8672</v>
      </c>
      <c r="M508" s="194">
        <f t="shared" si="54"/>
        <v>2.0672000000000001</v>
      </c>
      <c r="N508" s="16">
        <f>IF('WetLitterbags placem_collection'!G215="","",'WetLitterbags placem_collection'!G215)</f>
        <v>42813</v>
      </c>
      <c r="O508" s="194">
        <f>IFERROR(INDEX('Both teabags AfterWet'!$C$3:$C$2000,MATCH(H508,'Both teabags AfterWet'!$A$3:$A$2000,0)),"")</f>
        <v>0.83</v>
      </c>
      <c r="P508" s="194">
        <f>IFERROR(INDEX('Both teabags AfterWet'!$C$3:$C$2000,MATCH(I508,'Both teabags AfterWet'!$A$3:$A$2000,0)),"")</f>
        <v>1.587</v>
      </c>
      <c r="Q508" s="194">
        <f t="shared" si="57"/>
        <v>0.6794</v>
      </c>
      <c r="R508" s="194">
        <f t="shared" si="57"/>
        <v>1.4363999999999999</v>
      </c>
      <c r="S508" s="194">
        <f t="shared" si="58"/>
        <v>0.63613967437874885</v>
      </c>
      <c r="T508" s="194">
        <f t="shared" si="59"/>
        <v>0.41704168676611569</v>
      </c>
      <c r="U508" s="194">
        <f t="shared" si="60"/>
        <v>0.69485294117647045</v>
      </c>
      <c r="V508">
        <f t="shared" si="55"/>
        <v>44</v>
      </c>
      <c r="W508" s="194">
        <f t="shared" si="61"/>
        <v>0.24448969788747166</v>
      </c>
      <c r="X508" s="194">
        <f t="shared" si="62"/>
        <v>2.990064951280047E-2</v>
      </c>
      <c r="Y508" s="245" t="str">
        <f>IF(ISNUMBER(SEARCH("C",'WetLitterbags placem_collection'!$Y215)),"YES","NO")</f>
        <v>NO</v>
      </c>
      <c r="Z508" s="245" t="str">
        <f>IF(ISNUMBER(SEARCH("H", 'WetLitterbags placem_collection'!$Y215)),"YES","NO")</f>
        <v>NO</v>
      </c>
      <c r="AA508" s="245" t="str">
        <f>IF(ISNUMBER(SEARCH("R", 'WetLitterbags placem_collection'!$Y215)),"YES","NO")</f>
        <v>NO</v>
      </c>
      <c r="AB508" s="245" t="str">
        <f>IF(ISNUMBER(SEARCH("C", 'WetLitterbags placem_collection'!$W215)),"YES","NO")</f>
        <v>NO</v>
      </c>
      <c r="AC508" s="245" t="str">
        <f>IF(ISNUMBER(SEARCH("H", 'WetLitterbags placem_collection'!$W215)),"YES","NO")</f>
        <v>NO</v>
      </c>
      <c r="AD508" s="245" t="str">
        <f>IF(ISNUMBER(SEARCH("R", 'WetLitterbags placem_collection'!$W215)),"YES","NO")</f>
        <v>YES</v>
      </c>
    </row>
    <row r="509" spans="2:30">
      <c r="B509" t="str">
        <f>Wetseason!B655</f>
        <v>Wet</v>
      </c>
      <c r="C509" s="253">
        <f>Wetseason!C655</f>
        <v>213</v>
      </c>
      <c r="D509" t="s">
        <v>2445</v>
      </c>
      <c r="E509" t="s">
        <v>25</v>
      </c>
      <c r="F509" s="375">
        <v>1</v>
      </c>
      <c r="G509" s="16">
        <f>'WetLitterbags placem_collection'!E216</f>
        <v>42769</v>
      </c>
      <c r="H509" s="92" t="str">
        <f>Wetseason!L655</f>
        <v>G581</v>
      </c>
      <c r="I509" t="str">
        <f>Wetseason!L875</f>
        <v>R412</v>
      </c>
      <c r="J509">
        <f>IFERROR(INDEX('Green_rooibos initial weight'!$C$5:$C$2000,MATCH(H509, 'Green_rooibos initial weight'!$A$5:$A$2000,0)),"")</f>
        <v>2.0070000000000001</v>
      </c>
      <c r="K509">
        <f>IFERROR(INDEX('Green_rooibos initial weight'!$C$5:$C$2000,MATCH(I509, 'Green_rooibos initial weight'!$A$5:$A$2000,0)),"")</f>
        <v>2.2709999999999999</v>
      </c>
      <c r="L509" s="194">
        <f t="shared" si="56"/>
        <v>1.7572000000000001</v>
      </c>
      <c r="M509" s="194">
        <f t="shared" si="54"/>
        <v>2.0211999999999999</v>
      </c>
      <c r="N509" s="16">
        <f>IF('WetLitterbags placem_collection'!G216="","",'WetLitterbags placem_collection'!G216)</f>
        <v>42813</v>
      </c>
      <c r="O509" s="194">
        <f>IFERROR(INDEX('Both teabags AfterWet'!$C$3:$C$2000,MATCH(H509,'Both teabags AfterWet'!$A$3:$A$2000,0)),"")</f>
        <v>0.63400000000000001</v>
      </c>
      <c r="P509" s="194">
        <f>IFERROR(INDEX('Both teabags AfterWet'!$C$3:$C$2000,MATCH(I509,'Both teabags AfterWet'!$A$3:$A$2000,0)),"")</f>
        <v>1.4850000000000001</v>
      </c>
      <c r="Q509" s="194">
        <f t="shared" si="57"/>
        <v>0.4834</v>
      </c>
      <c r="R509" s="194">
        <f t="shared" si="57"/>
        <v>1.3344</v>
      </c>
      <c r="S509" s="194">
        <f t="shared" si="58"/>
        <v>0.72490325517869336</v>
      </c>
      <c r="T509" s="194">
        <f t="shared" si="59"/>
        <v>0.47523348795562803</v>
      </c>
      <c r="U509" s="194">
        <f t="shared" si="60"/>
        <v>0.66020186028102124</v>
      </c>
      <c r="V509">
        <f t="shared" si="55"/>
        <v>44</v>
      </c>
      <c r="W509" s="194">
        <f t="shared" si="61"/>
        <v>0.1390697681963261</v>
      </c>
      <c r="X509" s="194">
        <f t="shared" si="62"/>
        <v>2.8529814663242944E-2</v>
      </c>
      <c r="Y509" s="245" t="str">
        <f>IF(ISNUMBER(SEARCH("C",'WetLitterbags placem_collection'!$Y216)),"YES","NO")</f>
        <v>NO</v>
      </c>
      <c r="Z509" s="245" t="str">
        <f>IF(ISNUMBER(SEARCH("H", 'WetLitterbags placem_collection'!$Y216)),"YES","NO")</f>
        <v>NO</v>
      </c>
      <c r="AA509" s="245" t="str">
        <f>IF(ISNUMBER(SEARCH("R", 'WetLitterbags placem_collection'!$Y216)),"YES","NO")</f>
        <v>YES</v>
      </c>
      <c r="AB509" s="245" t="str">
        <f>IF(ISNUMBER(SEARCH("C", 'WetLitterbags placem_collection'!$W216)),"YES","NO")</f>
        <v>NO</v>
      </c>
      <c r="AC509" s="245" t="str">
        <f>IF(ISNUMBER(SEARCH("H", 'WetLitterbags placem_collection'!$W216)),"YES","NO")</f>
        <v>NO</v>
      </c>
      <c r="AD509" s="245" t="str">
        <f>IF(ISNUMBER(SEARCH("R", 'WetLitterbags placem_collection'!$W216)),"YES","NO")</f>
        <v>YES</v>
      </c>
    </row>
    <row r="510" spans="2:30">
      <c r="B510" t="str">
        <f>Wetseason!B656</f>
        <v>Wet</v>
      </c>
      <c r="C510" s="253">
        <f>Wetseason!C656</f>
        <v>214</v>
      </c>
      <c r="D510" t="s">
        <v>2438</v>
      </c>
      <c r="E510" t="s">
        <v>25</v>
      </c>
      <c r="F510" s="375">
        <v>2</v>
      </c>
      <c r="G510" s="16">
        <f>'WetLitterbags placem_collection'!E217</f>
        <v>42769</v>
      </c>
      <c r="H510" s="92" t="str">
        <f>Wetseason!L656</f>
        <v>G718</v>
      </c>
      <c r="I510" t="str">
        <f>Wetseason!L876</f>
        <v>R434</v>
      </c>
      <c r="J510">
        <f>IFERROR(INDEX('Green_rooibos initial weight'!$C$5:$C$2000,MATCH(H510, 'Green_rooibos initial weight'!$A$5:$A$2000,0)),"")</f>
        <v>2.0369999999999999</v>
      </c>
      <c r="K510">
        <f>IFERROR(INDEX('Green_rooibos initial weight'!$C$5:$C$2000,MATCH(I510, 'Green_rooibos initial weight'!$A$5:$A$2000,0)),"")</f>
        <v>2.0840000000000001</v>
      </c>
      <c r="L510" s="194">
        <f t="shared" si="56"/>
        <v>1.7871999999999999</v>
      </c>
      <c r="M510" s="194">
        <f t="shared" si="54"/>
        <v>1.8342000000000001</v>
      </c>
      <c r="N510" s="16">
        <f>IF('WetLitterbags placem_collection'!G217="","",'WetLitterbags placem_collection'!G217)</f>
        <v>42814</v>
      </c>
      <c r="O510" s="194">
        <f>IFERROR(INDEX('Both teabags AfterWet'!$C$3:$C$2000,MATCH(H510,'Both teabags AfterWet'!$A$3:$A$2000,0)),"")</f>
        <v>0.67769999999999997</v>
      </c>
      <c r="P510" s="194">
        <f>IFERROR(INDEX('Both teabags AfterWet'!$C$3:$C$2000,MATCH(I510,'Both teabags AfterWet'!$A$3:$A$2000,0)),"")</f>
        <v>1.5467</v>
      </c>
      <c r="Q510" s="194">
        <f t="shared" si="57"/>
        <v>0.5270999999999999</v>
      </c>
      <c r="R510" s="194">
        <f t="shared" si="57"/>
        <v>1.3960999999999999</v>
      </c>
      <c r="S510" s="194">
        <f t="shared" si="58"/>
        <v>0.70506938227394811</v>
      </c>
      <c r="T510" s="194">
        <f t="shared" si="59"/>
        <v>0.46223075892543869</v>
      </c>
      <c r="U510" s="194">
        <f t="shared" si="60"/>
        <v>0.76114927488823458</v>
      </c>
      <c r="V510">
        <f t="shared" si="55"/>
        <v>45</v>
      </c>
      <c r="W510" s="194">
        <f t="shared" si="61"/>
        <v>0.16262543672927776</v>
      </c>
      <c r="X510" s="194">
        <f t="shared" si="62"/>
        <v>1.6159771913157133E-2</v>
      </c>
      <c r="Y510" s="245" t="str">
        <f>IF(ISNUMBER(SEARCH("C",'WetLitterbags placem_collection'!$Y217)),"YES","NO")</f>
        <v>NO</v>
      </c>
      <c r="Z510" s="245" t="str">
        <f>IF(ISNUMBER(SEARCH("H", 'WetLitterbags placem_collection'!$Y217)),"YES","NO")</f>
        <v>NO</v>
      </c>
      <c r="AA510" s="245" t="str">
        <f>IF(ISNUMBER(SEARCH("R", 'WetLitterbags placem_collection'!$Y217)),"YES","NO")</f>
        <v>YES</v>
      </c>
      <c r="AB510" s="245" t="str">
        <f>IF(ISNUMBER(SEARCH("C", 'WetLitterbags placem_collection'!$W217)),"YES","NO")</f>
        <v>NO</v>
      </c>
      <c r="AC510" s="245" t="str">
        <f>IF(ISNUMBER(SEARCH("H", 'WetLitterbags placem_collection'!$W217)),"YES","NO")</f>
        <v>NO</v>
      </c>
      <c r="AD510" s="245" t="str">
        <f>IF(ISNUMBER(SEARCH("R", 'WetLitterbags placem_collection'!$W217)),"YES","NO")</f>
        <v>NO</v>
      </c>
    </row>
    <row r="511" spans="2:30">
      <c r="B511" t="str">
        <f>Wetseason!B657</f>
        <v>Wet</v>
      </c>
      <c r="C511" s="253">
        <f>Wetseason!C657</f>
        <v>216</v>
      </c>
      <c r="D511" t="s">
        <v>2431</v>
      </c>
      <c r="E511" t="s">
        <v>25</v>
      </c>
      <c r="F511" s="375">
        <v>4</v>
      </c>
      <c r="G511" s="16">
        <f>'WetLitterbags placem_collection'!E218</f>
        <v>42769</v>
      </c>
      <c r="H511" s="92" t="str">
        <f>Wetseason!L657</f>
        <v>G613</v>
      </c>
      <c r="I511" t="str">
        <f>Wetseason!L877</f>
        <v>R457</v>
      </c>
      <c r="J511">
        <f>IFERROR(INDEX('Green_rooibos initial weight'!$C$5:$C$2000,MATCH(H511, 'Green_rooibos initial weight'!$A$5:$A$2000,0)),"")</f>
        <v>2.0339999999999998</v>
      </c>
      <c r="K511">
        <f>IFERROR(INDEX('Green_rooibos initial weight'!$C$5:$C$2000,MATCH(I511, 'Green_rooibos initial weight'!$A$5:$A$2000,0)),"")</f>
        <v>2.2410000000000001</v>
      </c>
      <c r="L511" s="194">
        <f t="shared" si="56"/>
        <v>1.7841999999999998</v>
      </c>
      <c r="M511" s="194">
        <f t="shared" si="54"/>
        <v>1.9912000000000001</v>
      </c>
      <c r="N511" s="16">
        <f>IF('WetLitterbags placem_collection'!G218="","",'WetLitterbags placem_collection'!G218)</f>
        <v>42814</v>
      </c>
      <c r="O511" s="194">
        <f>IFERROR(INDEX('Both teabags AfterWet'!$C$3:$C$2000,MATCH(H511,'Both teabags AfterWet'!$A$3:$A$2000,0)),"")</f>
        <v>0.82499999999999996</v>
      </c>
      <c r="P511" s="194">
        <f>IFERROR(INDEX('Both teabags AfterWet'!$C$3:$C$2000,MATCH(I511,'Both teabags AfterWet'!$A$3:$A$2000,0)),"")</f>
        <v>1.5940000000000001</v>
      </c>
      <c r="Q511" s="194">
        <f t="shared" si="57"/>
        <v>0.67439999999999989</v>
      </c>
      <c r="R511" s="194">
        <f t="shared" si="57"/>
        <v>1.4434</v>
      </c>
      <c r="S511" s="194">
        <f t="shared" si="58"/>
        <v>0.62201546911781191</v>
      </c>
      <c r="T511" s="194">
        <f t="shared" si="59"/>
        <v>0.4077821127708221</v>
      </c>
      <c r="U511" s="194">
        <f t="shared" si="60"/>
        <v>0.72488951386098832</v>
      </c>
      <c r="V511">
        <f t="shared" si="55"/>
        <v>45</v>
      </c>
      <c r="W511" s="194">
        <f t="shared" si="61"/>
        <v>0.26126428845865568</v>
      </c>
      <c r="X511" s="194">
        <f t="shared" si="62"/>
        <v>2.4952353151991596E-2</v>
      </c>
      <c r="Y511" s="245" t="str">
        <f>IF(ISNUMBER(SEARCH("C",'WetLitterbags placem_collection'!$Y218)),"YES","NO")</f>
        <v>NO</v>
      </c>
      <c r="Z511" s="245" t="str">
        <f>IF(ISNUMBER(SEARCH("H", 'WetLitterbags placem_collection'!$Y218)),"YES","NO")</f>
        <v>NO</v>
      </c>
      <c r="AA511" s="245" t="str">
        <f>IF(ISNUMBER(SEARCH("R", 'WetLitterbags placem_collection'!$Y218)),"YES","NO")</f>
        <v>YES</v>
      </c>
      <c r="AB511" s="245" t="str">
        <f>IF(ISNUMBER(SEARCH("C", 'WetLitterbags placem_collection'!$W218)),"YES","NO")</f>
        <v>NO</v>
      </c>
      <c r="AC511" s="245" t="str">
        <f>IF(ISNUMBER(SEARCH("H", 'WetLitterbags placem_collection'!$W218)),"YES","NO")</f>
        <v>YES</v>
      </c>
      <c r="AD511" s="245" t="str">
        <f>IF(ISNUMBER(SEARCH("R", 'WetLitterbags placem_collection'!$W218)),"YES","NO")</f>
        <v>NO</v>
      </c>
    </row>
    <row r="512" spans="2:30">
      <c r="B512" t="str">
        <f>Wetseason!B658</f>
        <v>Wet</v>
      </c>
      <c r="C512" s="253">
        <f>Wetseason!C658</f>
        <v>217</v>
      </c>
      <c r="D512" t="s">
        <v>2424</v>
      </c>
      <c r="E512" t="s">
        <v>25</v>
      </c>
      <c r="F512" s="375">
        <v>1</v>
      </c>
      <c r="G512" s="16">
        <f>'WetLitterbags placem_collection'!E219</f>
        <v>42769</v>
      </c>
      <c r="H512" s="92" t="str">
        <f>Wetseason!L658</f>
        <v>G804</v>
      </c>
      <c r="I512" t="str">
        <f>Wetseason!L878</f>
        <v>R410</v>
      </c>
      <c r="J512">
        <f>IFERROR(INDEX('Green_rooibos initial weight'!$C$5:$C$2000,MATCH(H512, 'Green_rooibos initial weight'!$A$5:$A$2000,0)),"")</f>
        <v>2.028</v>
      </c>
      <c r="K512">
        <f>IFERROR(INDEX('Green_rooibos initial weight'!$C$5:$C$2000,MATCH(I512, 'Green_rooibos initial weight'!$A$5:$A$2000,0)),"")</f>
        <v>2.1930000000000001</v>
      </c>
      <c r="L512" s="194">
        <f t="shared" si="56"/>
        <v>1.7782</v>
      </c>
      <c r="M512" s="194">
        <f t="shared" si="54"/>
        <v>1.9432</v>
      </c>
      <c r="N512" s="16">
        <f>IF('WetLitterbags placem_collection'!G219="","",'WetLitterbags placem_collection'!G219)</f>
        <v>42814</v>
      </c>
      <c r="O512" s="194">
        <f>IFERROR(INDEX('Both teabags AfterWet'!$C$3:$C$2000,MATCH(H512,'Both teabags AfterWet'!$A$3:$A$2000,0)),"")</f>
        <v>0.66200000000000003</v>
      </c>
      <c r="P512" s="194">
        <f>IFERROR(INDEX('Both teabags AfterWet'!$C$3:$C$2000,MATCH(I512,'Both teabags AfterWet'!$A$3:$A$2000,0)),"")</f>
        <v>1.488</v>
      </c>
      <c r="Q512" s="194">
        <f t="shared" si="57"/>
        <v>0.51140000000000008</v>
      </c>
      <c r="R512" s="194">
        <f t="shared" si="57"/>
        <v>1.3373999999999999</v>
      </c>
      <c r="S512" s="194">
        <f t="shared" si="58"/>
        <v>0.71240580362163985</v>
      </c>
      <c r="T512" s="194">
        <f t="shared" si="59"/>
        <v>0.46704038432202521</v>
      </c>
      <c r="U512" s="194">
        <f t="shared" si="60"/>
        <v>0.68824619184849722</v>
      </c>
      <c r="V512">
        <f t="shared" si="55"/>
        <v>45</v>
      </c>
      <c r="W512" s="194">
        <f t="shared" si="61"/>
        <v>0.15391234724270797</v>
      </c>
      <c r="X512" s="194">
        <f t="shared" si="62"/>
        <v>2.4469854258393486E-2</v>
      </c>
      <c r="Y512" s="245" t="str">
        <f>IF(ISNUMBER(SEARCH("C",'WetLitterbags placem_collection'!$Y219)),"YES","NO")</f>
        <v>NO</v>
      </c>
      <c r="Z512" s="245" t="str">
        <f>IF(ISNUMBER(SEARCH("H", 'WetLitterbags placem_collection'!$Y219)),"YES","NO")</f>
        <v>NO</v>
      </c>
      <c r="AA512" s="245" t="str">
        <f>IF(ISNUMBER(SEARCH("R", 'WetLitterbags placem_collection'!$Y219)),"YES","NO")</f>
        <v>NO</v>
      </c>
      <c r="AB512" s="245" t="str">
        <f>IF(ISNUMBER(SEARCH("C", 'WetLitterbags placem_collection'!$W219)),"YES","NO")</f>
        <v>NO</v>
      </c>
      <c r="AC512" s="245" t="str">
        <f>IF(ISNUMBER(SEARCH("H", 'WetLitterbags placem_collection'!$W219)),"YES","NO")</f>
        <v>NO</v>
      </c>
      <c r="AD512" s="245" t="str">
        <f>IF(ISNUMBER(SEARCH("R", 'WetLitterbags placem_collection'!$W219)),"YES","NO")</f>
        <v>YES</v>
      </c>
    </row>
    <row r="513" spans="2:30">
      <c r="B513" t="str">
        <f>Wetseason!B659</f>
        <v>Wet</v>
      </c>
      <c r="C513" s="253">
        <f>Wetseason!C659</f>
        <v>218</v>
      </c>
      <c r="D513" t="s">
        <v>2432</v>
      </c>
      <c r="E513" t="s">
        <v>25</v>
      </c>
      <c r="F513" s="375">
        <v>2</v>
      </c>
      <c r="G513" s="16">
        <f>'WetLitterbags placem_collection'!E220</f>
        <v>42769</v>
      </c>
      <c r="H513" s="92" t="str">
        <f>Wetseason!L659</f>
        <v>G587</v>
      </c>
      <c r="I513" t="str">
        <f>Wetseason!L879</f>
        <v>R103</v>
      </c>
      <c r="J513">
        <f>IFERROR(INDEX('Green_rooibos initial weight'!$C$5:$C$2000,MATCH(H513, 'Green_rooibos initial weight'!$A$5:$A$2000,0)),"")</f>
        <v>2.0640000000000001</v>
      </c>
      <c r="K513">
        <f>IFERROR(INDEX('Green_rooibos initial weight'!$C$5:$C$2000,MATCH(I513, 'Green_rooibos initial weight'!$A$5:$A$2000,0)),"")</f>
        <v>2.246</v>
      </c>
      <c r="L513" s="194">
        <f t="shared" si="56"/>
        <v>1.8142</v>
      </c>
      <c r="M513" s="194">
        <f t="shared" si="54"/>
        <v>1.9962</v>
      </c>
      <c r="N513" s="16">
        <f>IF('WetLitterbags placem_collection'!G220="","",'WetLitterbags placem_collection'!G220)</f>
        <v>42814</v>
      </c>
      <c r="O513" s="194">
        <f>IFERROR(INDEX('Both teabags AfterWet'!$C$3:$C$2000,MATCH(H513,'Both teabags AfterWet'!$A$3:$A$2000,0)),"")</f>
        <v>0.7167</v>
      </c>
      <c r="P513" s="194">
        <f>IFERROR(INDEX('Both teabags AfterWet'!$C$3:$C$2000,MATCH(I513,'Both teabags AfterWet'!$A$3:$A$2000,0)),"")</f>
        <v>1.4296</v>
      </c>
      <c r="Q513" s="194">
        <f t="shared" si="57"/>
        <v>0.56610000000000005</v>
      </c>
      <c r="R513" s="194">
        <f t="shared" si="57"/>
        <v>1.2789999999999999</v>
      </c>
      <c r="S513" s="194">
        <f t="shared" si="58"/>
        <v>0.68796163598280224</v>
      </c>
      <c r="T513" s="194">
        <f t="shared" si="59"/>
        <v>0.45101522929038823</v>
      </c>
      <c r="U513" s="194">
        <f t="shared" si="60"/>
        <v>0.64071736298968041</v>
      </c>
      <c r="V513">
        <f t="shared" si="55"/>
        <v>45</v>
      </c>
      <c r="W513" s="194">
        <f t="shared" si="61"/>
        <v>0.1829434251985721</v>
      </c>
      <c r="X513" s="194">
        <f t="shared" si="62"/>
        <v>3.5391630394317704E-2</v>
      </c>
      <c r="Y513" s="245" t="str">
        <f>IF(ISNUMBER(SEARCH("C",'WetLitterbags placem_collection'!$Y220)),"YES","NO")</f>
        <v>NO</v>
      </c>
      <c r="Z513" s="245" t="str">
        <f>IF(ISNUMBER(SEARCH("H", 'WetLitterbags placem_collection'!$Y220)),"YES","NO")</f>
        <v>NO</v>
      </c>
      <c r="AA513" s="245" t="str">
        <f>IF(ISNUMBER(SEARCH("R", 'WetLitterbags placem_collection'!$Y220)),"YES","NO")</f>
        <v>YES</v>
      </c>
      <c r="AB513" s="245" t="str">
        <f>IF(ISNUMBER(SEARCH("C", 'WetLitterbags placem_collection'!$W220)),"YES","NO")</f>
        <v>NO</v>
      </c>
      <c r="AC513" s="245" t="str">
        <f>IF(ISNUMBER(SEARCH("H", 'WetLitterbags placem_collection'!$W220)),"YES","NO")</f>
        <v>NO</v>
      </c>
      <c r="AD513" s="245" t="str">
        <f>IF(ISNUMBER(SEARCH("R", 'WetLitterbags placem_collection'!$W220)),"YES","NO")</f>
        <v>YES</v>
      </c>
    </row>
    <row r="514" spans="2:30">
      <c r="B514" t="str">
        <f>Wetseason!B660</f>
        <v>Wet</v>
      </c>
      <c r="C514" s="253">
        <f>Wetseason!C660</f>
        <v>219</v>
      </c>
      <c r="D514" t="s">
        <v>2439</v>
      </c>
      <c r="E514" t="s">
        <v>25</v>
      </c>
      <c r="F514" s="375">
        <v>3</v>
      </c>
      <c r="G514" s="16">
        <f>'WetLitterbags placem_collection'!E221</f>
        <v>42769</v>
      </c>
      <c r="H514" s="92" t="str">
        <f>Wetseason!L660</f>
        <v>G491</v>
      </c>
      <c r="I514" t="str">
        <f>Wetseason!L880</f>
        <v>R356</v>
      </c>
      <c r="J514">
        <f>IFERROR(INDEX('Green_rooibos initial weight'!$C$5:$C$2000,MATCH(H514, 'Green_rooibos initial weight'!$A$5:$A$2000,0)),"")</f>
        <v>2.0249999999999999</v>
      </c>
      <c r="K514">
        <f>IFERROR(INDEX('Green_rooibos initial weight'!$C$5:$C$2000,MATCH(I514, 'Green_rooibos initial weight'!$A$5:$A$2000,0)),"")</f>
        <v>2.1619999999999999</v>
      </c>
      <c r="L514" s="194">
        <f t="shared" si="56"/>
        <v>1.7751999999999999</v>
      </c>
      <c r="M514" s="194">
        <f t="shared" si="54"/>
        <v>1.9121999999999999</v>
      </c>
      <c r="N514" s="16">
        <f>IF('WetLitterbags placem_collection'!G221="","",'WetLitterbags placem_collection'!G221)</f>
        <v>42813</v>
      </c>
      <c r="O514" s="194">
        <f>IFERROR(INDEX('Both teabags AfterWet'!$C$3:$C$2000,MATCH(H514,'Both teabags AfterWet'!$A$3:$A$2000,0)),"")</f>
        <v>0.65569999999999995</v>
      </c>
      <c r="P514" s="194">
        <f>IFERROR(INDEX('Both teabags AfterWet'!$C$3:$C$2000,MATCH(I514,'Both teabags AfterWet'!$A$3:$A$2000,0)),"")</f>
        <v>1.4823</v>
      </c>
      <c r="Q514" s="194">
        <f t="shared" si="57"/>
        <v>0.50509999999999988</v>
      </c>
      <c r="R514" s="194">
        <f t="shared" si="57"/>
        <v>1.3316999999999999</v>
      </c>
      <c r="S514" s="194">
        <f t="shared" si="58"/>
        <v>0.71546867958539884</v>
      </c>
      <c r="T514" s="194">
        <f t="shared" si="59"/>
        <v>0.46904835051204297</v>
      </c>
      <c r="U514" s="194">
        <f t="shared" si="60"/>
        <v>0.69642296830875428</v>
      </c>
      <c r="V514">
        <f t="shared" si="55"/>
        <v>44</v>
      </c>
      <c r="W514" s="194">
        <f t="shared" si="61"/>
        <v>0.15027472733325553</v>
      </c>
      <c r="X514" s="194">
        <f t="shared" si="62"/>
        <v>2.3679726733780458E-2</v>
      </c>
      <c r="Y514" s="245" t="str">
        <f>IF(ISNUMBER(SEARCH("C",'WetLitterbags placem_collection'!$Y221)),"YES","NO")</f>
        <v>NO</v>
      </c>
      <c r="Z514" s="245" t="str">
        <f>IF(ISNUMBER(SEARCH("H", 'WetLitterbags placem_collection'!$Y221)),"YES","NO")</f>
        <v>NO</v>
      </c>
      <c r="AA514" s="245" t="str">
        <f>IF(ISNUMBER(SEARCH("R", 'WetLitterbags placem_collection'!$Y221)),"YES","NO")</f>
        <v>NO</v>
      </c>
      <c r="AB514" s="245" t="str">
        <f>IF(ISNUMBER(SEARCH("C", 'WetLitterbags placem_collection'!$W221)),"YES","NO")</f>
        <v>NO</v>
      </c>
      <c r="AC514" s="245" t="str">
        <f>IF(ISNUMBER(SEARCH("H", 'WetLitterbags placem_collection'!$W221)),"YES","NO")</f>
        <v>NO</v>
      </c>
      <c r="AD514" s="245" t="str">
        <f>IF(ISNUMBER(SEARCH("R", 'WetLitterbags placem_collection'!$W221)),"YES","NO")</f>
        <v>YES</v>
      </c>
    </row>
    <row r="515" spans="2:30">
      <c r="B515" t="str">
        <f>Wetseason!B661</f>
        <v>Wet</v>
      </c>
      <c r="C515" s="374">
        <f>Wetseason!C661</f>
        <v>220</v>
      </c>
      <c r="D515" t="s">
        <v>2446</v>
      </c>
      <c r="E515" t="s">
        <v>25</v>
      </c>
      <c r="F515" s="375">
        <v>4</v>
      </c>
      <c r="G515" s="376">
        <f>'WetLitterbags placem_collection'!E222</f>
        <v>42769</v>
      </c>
      <c r="H515" s="92" t="str">
        <f>Wetseason!L661</f>
        <v>G849</v>
      </c>
      <c r="I515" s="92" t="str">
        <f>Wetseason!L881</f>
        <v>R319</v>
      </c>
      <c r="J515">
        <f>IFERROR(INDEX('Green_rooibos initial weight'!$C$5:$C$2000,MATCH(H515, 'Green_rooibos initial weight'!$A$5:$A$2000,0)),"")</f>
        <v>2.1070000000000002</v>
      </c>
      <c r="K515">
        <f>IFERROR(INDEX('Green_rooibos initial weight'!$C$5:$C$2000,MATCH(I515, 'Green_rooibos initial weight'!$A$5:$A$2000,0)),"")</f>
        <v>2.1709999999999998</v>
      </c>
      <c r="L515" s="194">
        <f t="shared" si="56"/>
        <v>1.8572000000000002</v>
      </c>
      <c r="M515" s="194">
        <f t="shared" si="54"/>
        <v>1.9211999999999998</v>
      </c>
      <c r="N515" s="16">
        <f>IF('WetLitterbags placem_collection'!G222="","",'WetLitterbags placem_collection'!G222)</f>
        <v>42813</v>
      </c>
      <c r="O515" s="194">
        <f>IFERROR(INDEX('Both teabags AfterWet'!$C$3:$C$2000,MATCH(H515,'Both teabags AfterWet'!$A$3:$A$2000,0)),"")</f>
        <v>0.65239999999999998</v>
      </c>
      <c r="P515" s="194">
        <f>IFERROR(INDEX('Both teabags AfterWet'!$C$3:$C$2000,MATCH(I515,'Both teabags AfterWet'!$A$3:$A$2000,0)),"")</f>
        <v>1.5328999999999999</v>
      </c>
      <c r="Q515" s="194">
        <f t="shared" si="57"/>
        <v>0.50180000000000002</v>
      </c>
      <c r="R515" s="194">
        <f t="shared" si="57"/>
        <v>1.3822999999999999</v>
      </c>
      <c r="S515" s="194">
        <f t="shared" si="58"/>
        <v>0.72980831359035103</v>
      </c>
      <c r="T515" s="194">
        <f t="shared" si="59"/>
        <v>0.47844915570293806</v>
      </c>
      <c r="U515" s="194">
        <f t="shared" si="60"/>
        <v>0.71949823027274618</v>
      </c>
      <c r="V515">
        <f t="shared" si="55"/>
        <v>44</v>
      </c>
      <c r="W515" s="194">
        <f t="shared" si="61"/>
        <v>0.13324428314685144</v>
      </c>
      <c r="X515" s="194">
        <f t="shared" si="62"/>
        <v>2.0057924536043888E-2</v>
      </c>
      <c r="Y515" s="245" t="str">
        <f>IF(ISNUMBER(SEARCH("C",'WetLitterbags placem_collection'!$Y222)),"YES","NO")</f>
        <v>NO</v>
      </c>
      <c r="Z515" s="245" t="str">
        <f>IF(ISNUMBER(SEARCH("H", 'WetLitterbags placem_collection'!$Y222)),"YES","NO")</f>
        <v>NO</v>
      </c>
      <c r="AA515" s="245" t="str">
        <f>IF(ISNUMBER(SEARCH("R", 'WetLitterbags placem_collection'!$Y222)),"YES","NO")</f>
        <v>NO</v>
      </c>
      <c r="AB515" s="245" t="str">
        <f>IF(ISNUMBER(SEARCH("C", 'WetLitterbags placem_collection'!$W222)),"YES","NO")</f>
        <v>NO</v>
      </c>
      <c r="AC515" s="245" t="str">
        <f>IF(ISNUMBER(SEARCH("H", 'WetLitterbags placem_collection'!$W222)),"YES","NO")</f>
        <v>YES</v>
      </c>
      <c r="AD515" s="245" t="str">
        <f>IF(ISNUMBER(SEARCH("R", 'WetLitterbags placem_collection'!$W222)),"YES","NO")</f>
        <v>NO</v>
      </c>
    </row>
  </sheetData>
  <mergeCells count="27">
    <mergeCell ref="D73:H74"/>
    <mergeCell ref="Y74:AD74"/>
    <mergeCell ref="B68:E68"/>
    <mergeCell ref="B69:E69"/>
    <mergeCell ref="B70:E70"/>
    <mergeCell ref="F70:L70"/>
    <mergeCell ref="K37:N37"/>
    <mergeCell ref="B38:D38"/>
    <mergeCell ref="B28:E28"/>
    <mergeCell ref="B29:E29"/>
    <mergeCell ref="B30:E30"/>
    <mergeCell ref="B31:E31"/>
    <mergeCell ref="B32:E32"/>
    <mergeCell ref="B37:D37"/>
    <mergeCell ref="E37:F37"/>
    <mergeCell ref="B27:E27"/>
    <mergeCell ref="B12:E12"/>
    <mergeCell ref="B13:E13"/>
    <mergeCell ref="B14:E14"/>
    <mergeCell ref="B15:E15"/>
    <mergeCell ref="B16:E16"/>
    <mergeCell ref="B17:E17"/>
    <mergeCell ref="B18:E18"/>
    <mergeCell ref="B19:E19"/>
    <mergeCell ref="B20:E20"/>
    <mergeCell ref="B25:E25"/>
    <mergeCell ref="B26:E26"/>
  </mergeCells>
  <dataValidations count="6">
    <dataValidation type="list" allowBlank="1" showInputMessage="1" showErrorMessage="1" sqref="P39:P63" xr:uid="{81B985FA-0811-41F0-9403-81F78105EBEC}">
      <formula1>aspect</formula1>
    </dataValidation>
    <dataValidation type="list" allowBlank="1" showInputMessage="1" showErrorMessage="1" sqref="O39:O63" xr:uid="{20A3A64E-548A-43DA-BF16-35F19F169B08}">
      <formula1>slope</formula1>
    </dataValidation>
    <dataValidation type="list" allowBlank="1" showInputMessage="1" showErrorMessage="1" sqref="N39:N63" xr:uid="{BADAEFDE-95A7-4819-A9A7-561D8286B057}">
      <formula1>rootingdepth</formula1>
    </dataValidation>
    <dataValidation type="list" allowBlank="1" showInputMessage="1" showErrorMessage="1" sqref="M39:M63" xr:uid="{4F8703B2-7070-47A8-9CCF-87921876AC5E}">
      <formula1>ecosystem</formula1>
    </dataValidation>
    <dataValidation type="list" allowBlank="1" showInputMessage="1" showErrorMessage="1" sqref="L39:L63" xr:uid="{C66940E8-BF76-44B1-ADAD-D5B7EE4895A3}">
      <formula1>human_impact</formula1>
    </dataValidation>
    <dataValidation type="list" allowBlank="1" showInputMessage="1" showErrorMessage="1" sqref="K39:K63" xr:uid="{A44C5028-293E-4520-8E30-F0FAC0D887A6}">
      <formula1>shading</formula1>
    </dataValidation>
  </dataValidations>
  <hyperlinks>
    <hyperlink ref="F16" r:id="rId1" xr:uid="{4328D6EE-289F-4A4E-8779-3FBE6B2FB678}"/>
    <hyperlink ref="F15" r:id="rId2" xr:uid="{439BCB62-44D6-49A5-A93F-629B273A2B28}"/>
  </hyperlinks>
  <pageMargins left="0.7" right="0.7" top="0.75" bottom="0.75" header="0.3" footer="0.3"/>
  <pageSetup paperSize="9" orientation="portrait" r:id="rId3"/>
  <legacyDrawing r:id="rId4"/>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04BAD4-2164-4E03-92D5-6B21C908D064}">
  <dimension ref="A1:AO515"/>
  <sheetViews>
    <sheetView topLeftCell="W481" zoomScale="85" zoomScaleNormal="85" workbookViewId="0">
      <selection activeCell="R83" sqref="R83"/>
    </sheetView>
  </sheetViews>
  <sheetFormatPr baseColWidth="10" defaultRowHeight="14.4"/>
  <cols>
    <col min="3" max="3" width="9.6640625" customWidth="1"/>
    <col min="4" max="4" width="23" customWidth="1"/>
    <col min="5" max="5" width="22.21875" customWidth="1"/>
    <col min="6" max="6" width="20.33203125" customWidth="1"/>
    <col min="7" max="7" width="18.33203125" customWidth="1"/>
    <col min="8" max="8" width="18.77734375" customWidth="1"/>
    <col min="9" max="9" width="13.77734375" customWidth="1"/>
    <col min="11" max="11" width="25.44140625" customWidth="1"/>
    <col min="14" max="14" width="25.77734375" customWidth="1"/>
    <col min="15" max="15" width="15.44140625" customWidth="1"/>
    <col min="16" max="16" width="27.33203125" customWidth="1"/>
    <col min="17" max="17" width="17.21875" customWidth="1"/>
    <col min="18" max="18" width="15.21875" customWidth="1"/>
  </cols>
  <sheetData>
    <row r="1" spans="2:13" s="279" customFormat="1">
      <c r="B1" s="279" t="s">
        <v>3068</v>
      </c>
      <c r="D1" s="279" t="s">
        <v>3069</v>
      </c>
      <c r="E1" s="280"/>
      <c r="K1" s="280"/>
      <c r="L1" s="281"/>
      <c r="M1" s="281"/>
    </row>
    <row r="2" spans="2:13" s="279" customFormat="1">
      <c r="B2" s="282" t="s">
        <v>3070</v>
      </c>
      <c r="E2" s="280"/>
      <c r="K2" s="280"/>
      <c r="L2" s="281"/>
      <c r="M2" s="281"/>
    </row>
    <row r="3" spans="2:13" s="284" customFormat="1" ht="30" customHeight="1">
      <c r="B3" s="283" t="s">
        <v>3071</v>
      </c>
      <c r="E3" s="285"/>
      <c r="K3" s="285"/>
      <c r="L3" s="286"/>
      <c r="M3" s="286"/>
    </row>
    <row r="4" spans="2:13" s="288" customFormat="1">
      <c r="B4" s="287" t="s">
        <v>3072</v>
      </c>
      <c r="E4" s="289"/>
      <c r="K4" s="289"/>
      <c r="L4" s="290"/>
      <c r="M4" s="290"/>
    </row>
    <row r="5" spans="2:13" s="288" customFormat="1">
      <c r="B5" s="288" t="s">
        <v>3073</v>
      </c>
      <c r="E5" s="289"/>
      <c r="K5" s="289"/>
      <c r="L5" s="290"/>
      <c r="M5" s="290"/>
    </row>
    <row r="6" spans="2:13" s="287" customFormat="1">
      <c r="B6" s="287" t="s">
        <v>3074</v>
      </c>
      <c r="E6" s="291"/>
      <c r="K6" s="291"/>
      <c r="L6" s="292"/>
      <c r="M6" s="292"/>
    </row>
    <row r="7" spans="2:13" s="279" customFormat="1">
      <c r="B7" s="293" t="s">
        <v>3075</v>
      </c>
      <c r="C7" s="294"/>
      <c r="D7" s="294"/>
      <c r="E7" s="295"/>
      <c r="G7" s="294"/>
      <c r="K7" s="280"/>
      <c r="L7" s="281"/>
      <c r="M7" s="281"/>
    </row>
    <row r="8" spans="2:13" s="279" customFormat="1">
      <c r="B8" s="294"/>
      <c r="C8" s="294"/>
      <c r="D8" s="294"/>
      <c r="E8" s="295"/>
      <c r="G8" s="294"/>
      <c r="K8" s="280"/>
      <c r="L8" s="281"/>
      <c r="M8" s="281"/>
    </row>
    <row r="9" spans="2:13" s="279" customFormat="1">
      <c r="B9" s="294"/>
      <c r="C9" s="294"/>
      <c r="D9" s="294"/>
      <c r="E9" s="295"/>
      <c r="G9" s="294"/>
      <c r="K9" s="280"/>
      <c r="L9" s="281"/>
      <c r="M9" s="281"/>
    </row>
    <row r="10" spans="2:13" s="294" customFormat="1">
      <c r="B10" s="296" t="s">
        <v>3076</v>
      </c>
      <c r="C10" s="296"/>
      <c r="E10" s="295"/>
      <c r="K10" s="295"/>
      <c r="L10" s="297"/>
      <c r="M10" s="297"/>
    </row>
    <row r="11" spans="2:13" s="294" customFormat="1" ht="15" thickBot="1">
      <c r="B11" s="296" t="s">
        <v>3077</v>
      </c>
      <c r="C11" s="296"/>
      <c r="E11" s="295"/>
      <c r="F11" s="294" t="s">
        <v>3078</v>
      </c>
      <c r="K11" s="295"/>
      <c r="L11" s="297"/>
      <c r="M11" s="297"/>
    </row>
    <row r="12" spans="2:13" s="293" customFormat="1">
      <c r="B12" s="443" t="s">
        <v>0</v>
      </c>
      <c r="C12" s="444"/>
      <c r="D12" s="444"/>
      <c r="E12" s="444"/>
      <c r="F12" s="298" t="s">
        <v>3079</v>
      </c>
      <c r="G12" s="299"/>
      <c r="H12" s="299"/>
      <c r="I12" s="299"/>
      <c r="K12" s="300"/>
      <c r="L12" s="301"/>
      <c r="M12" s="301"/>
    </row>
    <row r="13" spans="2:13" s="293" customFormat="1">
      <c r="B13" s="441" t="s">
        <v>3080</v>
      </c>
      <c r="C13" s="442"/>
      <c r="D13" s="442"/>
      <c r="E13" s="442"/>
      <c r="F13" s="302" t="s">
        <v>3081</v>
      </c>
      <c r="G13" s="299"/>
      <c r="H13" s="299"/>
      <c r="I13" s="299"/>
      <c r="K13" s="300"/>
      <c r="L13" s="301"/>
      <c r="M13" s="301"/>
    </row>
    <row r="14" spans="2:13" s="293" customFormat="1">
      <c r="B14" s="441" t="s">
        <v>1</v>
      </c>
      <c r="C14" s="442"/>
      <c r="D14" s="442"/>
      <c r="E14" s="442"/>
      <c r="F14" s="303" t="s">
        <v>3082</v>
      </c>
      <c r="G14" s="304"/>
      <c r="H14" s="305"/>
      <c r="I14" s="305"/>
      <c r="J14" s="305"/>
      <c r="K14" s="300"/>
      <c r="L14" s="301"/>
      <c r="M14" s="301"/>
    </row>
    <row r="15" spans="2:13" s="293" customFormat="1">
      <c r="B15" s="441" t="s">
        <v>2</v>
      </c>
      <c r="C15" s="442"/>
      <c r="D15" s="442"/>
      <c r="E15" s="442"/>
      <c r="F15" s="306" t="s">
        <v>3083</v>
      </c>
      <c r="G15" s="307"/>
      <c r="H15" s="308"/>
      <c r="I15" s="308"/>
      <c r="K15" s="300"/>
      <c r="L15" s="301"/>
      <c r="M15" s="301"/>
    </row>
    <row r="16" spans="2:13" s="293" customFormat="1">
      <c r="B16" s="441" t="s">
        <v>3</v>
      </c>
      <c r="C16" s="442"/>
      <c r="D16" s="442"/>
      <c r="E16" s="442"/>
      <c r="F16" s="309" t="s">
        <v>3084</v>
      </c>
      <c r="G16" s="308"/>
      <c r="H16" s="308"/>
      <c r="I16" s="308"/>
      <c r="K16" s="300"/>
      <c r="L16" s="301"/>
      <c r="M16" s="301"/>
    </row>
    <row r="17" spans="2:14" s="293" customFormat="1">
      <c r="B17" s="441" t="s">
        <v>4</v>
      </c>
      <c r="C17" s="442"/>
      <c r="D17" s="442"/>
      <c r="E17" s="442"/>
      <c r="F17" s="310" t="s">
        <v>3085</v>
      </c>
      <c r="G17" s="308"/>
      <c r="H17" s="308"/>
      <c r="I17" s="308"/>
      <c r="K17" s="300"/>
      <c r="L17" s="301"/>
      <c r="M17" s="301"/>
    </row>
    <row r="18" spans="2:14" s="293" customFormat="1">
      <c r="B18" s="441" t="s">
        <v>5</v>
      </c>
      <c r="C18" s="442"/>
      <c r="D18" s="442"/>
      <c r="E18" s="442"/>
      <c r="F18" s="310" t="s">
        <v>3086</v>
      </c>
      <c r="G18" s="308"/>
      <c r="H18" s="308"/>
      <c r="I18" s="308"/>
      <c r="K18" s="300"/>
      <c r="L18" s="301"/>
      <c r="M18" s="301"/>
    </row>
    <row r="19" spans="2:14" s="293" customFormat="1">
      <c r="B19" s="441" t="s">
        <v>6</v>
      </c>
      <c r="C19" s="442"/>
      <c r="D19" s="442"/>
      <c r="E19" s="442"/>
      <c r="F19" s="303" t="s">
        <v>3087</v>
      </c>
      <c r="G19" s="307"/>
      <c r="H19" s="311"/>
      <c r="I19" s="311"/>
      <c r="J19" s="311"/>
      <c r="K19" s="311"/>
      <c r="L19" s="311"/>
      <c r="M19" s="311"/>
      <c r="N19" s="311"/>
    </row>
    <row r="20" spans="2:14" s="293" customFormat="1" ht="15" thickBot="1">
      <c r="B20" s="445" t="s">
        <v>7</v>
      </c>
      <c r="C20" s="446"/>
      <c r="D20" s="446"/>
      <c r="E20" s="446"/>
      <c r="F20" s="312" t="s">
        <v>3088</v>
      </c>
      <c r="G20" s="308"/>
      <c r="H20" s="308"/>
      <c r="I20" s="308"/>
      <c r="K20" s="300"/>
      <c r="L20" s="301"/>
      <c r="M20" s="301"/>
    </row>
    <row r="21" spans="2:14">
      <c r="B21" s="299" t="s">
        <v>3089</v>
      </c>
      <c r="C21" s="299"/>
      <c r="D21" s="299"/>
      <c r="E21" s="299"/>
      <c r="F21" s="308"/>
    </row>
    <row r="23" spans="2:14">
      <c r="B23" s="313" t="s">
        <v>3090</v>
      </c>
      <c r="C23" s="299"/>
      <c r="D23" s="314"/>
      <c r="E23" s="315"/>
      <c r="F23" s="293"/>
      <c r="G23" s="293"/>
      <c r="H23" s="293"/>
      <c r="I23" s="293"/>
    </row>
    <row r="24" spans="2:14" ht="15" thickBot="1">
      <c r="B24" s="313" t="s">
        <v>3091</v>
      </c>
      <c r="C24" s="299"/>
      <c r="D24" s="314"/>
      <c r="E24" s="315"/>
      <c r="F24" s="293" t="s">
        <v>3078</v>
      </c>
      <c r="G24" s="293"/>
      <c r="H24" s="293"/>
      <c r="I24" s="293"/>
    </row>
    <row r="25" spans="2:14">
      <c r="B25" s="443" t="s">
        <v>8</v>
      </c>
      <c r="C25" s="444"/>
      <c r="D25" s="444"/>
      <c r="E25" s="444"/>
      <c r="F25" s="316">
        <v>0.84199999999999997</v>
      </c>
      <c r="G25" s="293"/>
      <c r="H25" s="293"/>
      <c r="I25" s="293"/>
    </row>
    <row r="26" spans="2:14">
      <c r="B26" s="441" t="s">
        <v>9</v>
      </c>
      <c r="C26" s="442"/>
      <c r="D26" s="442"/>
      <c r="E26" s="442"/>
      <c r="F26" s="317">
        <v>0.55200000000000005</v>
      </c>
      <c r="G26" s="293"/>
      <c r="H26" s="293"/>
      <c r="I26" s="293"/>
    </row>
    <row r="27" spans="2:14">
      <c r="B27" s="441" t="s">
        <v>10</v>
      </c>
      <c r="C27" s="442"/>
      <c r="D27" s="442"/>
      <c r="E27" s="442"/>
      <c r="F27" s="318">
        <v>0.12180000000000001</v>
      </c>
      <c r="G27" s="293"/>
      <c r="H27" s="293"/>
      <c r="I27" s="293"/>
    </row>
    <row r="28" spans="2:14">
      <c r="B28" s="441" t="s">
        <v>11</v>
      </c>
      <c r="C28" s="442"/>
      <c r="D28" s="442"/>
      <c r="E28" s="442"/>
      <c r="F28" s="318">
        <v>2.8799999999999999E-2</v>
      </c>
      <c r="G28" s="293"/>
      <c r="H28" s="293"/>
      <c r="I28" s="293"/>
    </row>
    <row r="29" spans="2:14">
      <c r="B29" s="441" t="s">
        <v>12</v>
      </c>
      <c r="C29" s="442"/>
      <c r="D29" s="442"/>
      <c r="E29" s="442"/>
      <c r="F29" s="319">
        <f>F27+F28</f>
        <v>0.15060000000000001</v>
      </c>
      <c r="G29" s="293"/>
      <c r="H29" s="293"/>
      <c r="I29" s="293"/>
    </row>
    <row r="30" spans="2:14">
      <c r="B30" s="441" t="s">
        <v>13</v>
      </c>
      <c r="C30" s="442"/>
      <c r="D30" s="442"/>
      <c r="E30" s="442"/>
      <c r="F30" s="318">
        <v>9.9199999999999997E-2</v>
      </c>
      <c r="G30" s="293"/>
      <c r="H30" s="293"/>
      <c r="I30" s="293"/>
    </row>
    <row r="31" spans="2:14">
      <c r="B31" s="441" t="s">
        <v>14</v>
      </c>
      <c r="C31" s="442"/>
      <c r="D31" s="442"/>
      <c r="E31" s="442"/>
      <c r="F31" s="318">
        <v>1</v>
      </c>
      <c r="G31" s="293" t="s">
        <v>3092</v>
      </c>
      <c r="H31" s="293"/>
      <c r="I31" s="293"/>
    </row>
    <row r="32" spans="2:14" ht="15" thickBot="1">
      <c r="B32" s="445" t="s">
        <v>15</v>
      </c>
      <c r="C32" s="446"/>
      <c r="D32" s="446"/>
      <c r="E32" s="446"/>
      <c r="F32" s="320">
        <v>1</v>
      </c>
      <c r="G32" s="293"/>
      <c r="H32" s="293"/>
      <c r="I32" s="293"/>
    </row>
    <row r="33" spans="1:24">
      <c r="A33" s="293"/>
      <c r="B33" s="299"/>
      <c r="C33" s="299"/>
      <c r="D33" s="299"/>
      <c r="E33" s="299"/>
      <c r="F33" s="321"/>
      <c r="G33" s="293"/>
      <c r="H33" s="293"/>
      <c r="I33" s="293"/>
      <c r="J33" s="293"/>
      <c r="K33" s="300"/>
      <c r="L33" s="301"/>
      <c r="M33" s="301"/>
      <c r="N33" s="293"/>
      <c r="O33" s="293"/>
      <c r="P33" s="293"/>
      <c r="Q33" s="293"/>
      <c r="R33" s="293"/>
      <c r="S33" s="293"/>
      <c r="T33" s="293"/>
      <c r="U33" s="293"/>
      <c r="V33" s="293"/>
      <c r="W33" s="293"/>
      <c r="X33" s="293"/>
    </row>
    <row r="34" spans="1:24">
      <c r="A34" s="293"/>
      <c r="B34" s="322" t="s">
        <v>3093</v>
      </c>
      <c r="C34" s="308"/>
      <c r="D34" s="293"/>
      <c r="E34" s="300"/>
      <c r="F34" s="293"/>
      <c r="G34" s="293"/>
      <c r="H34" s="293"/>
      <c r="I34" s="293"/>
      <c r="J34" s="293"/>
      <c r="K34" s="300"/>
      <c r="L34" s="301"/>
      <c r="M34" s="301"/>
      <c r="N34" s="293"/>
      <c r="O34" s="293"/>
      <c r="P34" s="293"/>
      <c r="Q34" s="293"/>
      <c r="R34" s="293"/>
      <c r="S34" s="293"/>
      <c r="T34" s="293"/>
      <c r="U34" s="293"/>
      <c r="V34" s="293"/>
      <c r="W34" s="293"/>
      <c r="X34" s="293"/>
    </row>
    <row r="35" spans="1:24">
      <c r="A35" s="279"/>
      <c r="B35" s="279"/>
      <c r="C35" s="279"/>
      <c r="D35" s="279"/>
      <c r="E35" s="279"/>
      <c r="F35" s="280"/>
      <c r="G35" s="279"/>
      <c r="H35" s="294"/>
      <c r="I35" s="294"/>
      <c r="J35" s="279"/>
      <c r="K35" s="279"/>
      <c r="L35" s="279"/>
      <c r="M35" s="279"/>
      <c r="N35" s="279"/>
      <c r="O35" s="279"/>
      <c r="P35" s="279"/>
      <c r="Q35" s="279"/>
      <c r="R35" s="279"/>
      <c r="S35" s="279"/>
      <c r="T35" s="279"/>
      <c r="U35" s="279"/>
      <c r="V35" s="279"/>
      <c r="W35" s="279"/>
      <c r="X35" s="279"/>
    </row>
    <row r="36" spans="1:24" ht="15" thickBot="1">
      <c r="A36" s="293"/>
      <c r="B36" s="322" t="s">
        <v>3094</v>
      </c>
      <c r="C36" s="293"/>
      <c r="D36" s="293"/>
      <c r="E36" s="300"/>
      <c r="F36" s="300"/>
      <c r="G36" s="293"/>
      <c r="H36" s="293" t="s">
        <v>3095</v>
      </c>
      <c r="I36" s="293"/>
      <c r="J36" s="293"/>
      <c r="K36" s="293"/>
      <c r="L36" s="293"/>
      <c r="M36" s="293"/>
      <c r="N36" s="293"/>
      <c r="O36" s="293"/>
      <c r="P36" s="293"/>
      <c r="Q36" s="293"/>
      <c r="R36" s="293"/>
      <c r="S36" s="293"/>
      <c r="T36" s="293"/>
      <c r="U36" s="293"/>
      <c r="V36" s="293"/>
      <c r="W36" s="293"/>
      <c r="X36" s="293"/>
    </row>
    <row r="37" spans="1:24" ht="15" customHeight="1" thickBot="1">
      <c r="A37" s="308"/>
      <c r="B37" s="452" t="s">
        <v>3096</v>
      </c>
      <c r="C37" s="453"/>
      <c r="D37" s="453"/>
      <c r="E37" s="454" t="s">
        <v>17</v>
      </c>
      <c r="F37" s="455"/>
      <c r="G37" s="323" t="s">
        <v>3097</v>
      </c>
      <c r="H37" s="324"/>
      <c r="I37" s="324"/>
      <c r="J37" s="325"/>
      <c r="K37" s="447" t="s">
        <v>3098</v>
      </c>
      <c r="L37" s="448"/>
      <c r="M37" s="448"/>
      <c r="N37" s="448"/>
      <c r="O37" s="448"/>
      <c r="P37" s="448"/>
      <c r="Q37" s="448"/>
      <c r="R37" s="449"/>
    </row>
    <row r="38" spans="1:24" ht="15" thickBot="1">
      <c r="A38" s="308"/>
      <c r="B38" s="450" t="s">
        <v>16</v>
      </c>
      <c r="C38" s="451"/>
      <c r="D38" s="451"/>
      <c r="E38" s="326" t="s">
        <v>18</v>
      </c>
      <c r="F38" s="327" t="s">
        <v>212</v>
      </c>
      <c r="G38" s="328" t="s">
        <v>2657</v>
      </c>
      <c r="H38" s="329" t="s">
        <v>2658</v>
      </c>
      <c r="I38" s="329" t="s">
        <v>2659</v>
      </c>
      <c r="J38" s="329" t="s">
        <v>2660</v>
      </c>
      <c r="K38" s="323" t="s">
        <v>204</v>
      </c>
      <c r="L38" s="325" t="s">
        <v>203</v>
      </c>
      <c r="M38" s="325"/>
      <c r="N38" s="325" t="s">
        <v>205</v>
      </c>
      <c r="O38" s="444" t="s">
        <v>216</v>
      </c>
      <c r="P38" s="444"/>
      <c r="Q38" s="325" t="s">
        <v>206</v>
      </c>
      <c r="R38" s="325" t="s">
        <v>207</v>
      </c>
      <c r="S38" s="325" t="s">
        <v>217</v>
      </c>
      <c r="T38" s="316" t="s">
        <v>218</v>
      </c>
    </row>
    <row r="39" spans="1:24">
      <c r="A39" s="308"/>
      <c r="B39" s="330" t="s">
        <v>3099</v>
      </c>
      <c r="C39" s="331"/>
      <c r="D39" s="332" t="s">
        <v>3100</v>
      </c>
      <c r="E39" s="333">
        <v>-3.3978609999999998</v>
      </c>
      <c r="F39" s="334">
        <v>34.837608000000003</v>
      </c>
      <c r="G39" s="335">
        <v>12.565665055683967</v>
      </c>
      <c r="H39" s="336">
        <v>0.9665896196679955</v>
      </c>
      <c r="I39" s="336">
        <v>86.467745324648035</v>
      </c>
      <c r="J39" s="337">
        <v>1.0225726959093147</v>
      </c>
      <c r="K39" s="333" t="s">
        <v>229</v>
      </c>
      <c r="L39" s="338" t="s">
        <v>257</v>
      </c>
      <c r="M39" s="338"/>
      <c r="N39" s="338" t="s">
        <v>2653</v>
      </c>
      <c r="O39" s="338" t="s">
        <v>3101</v>
      </c>
      <c r="P39" s="338"/>
      <c r="Q39" s="338" t="s">
        <v>247</v>
      </c>
      <c r="R39" s="338" t="s">
        <v>247</v>
      </c>
      <c r="S39" s="338" t="s">
        <v>234</v>
      </c>
      <c r="T39" s="298" t="s">
        <v>3102</v>
      </c>
    </row>
    <row r="40" spans="1:24">
      <c r="A40" s="308"/>
      <c r="B40" s="339" t="s">
        <v>3103</v>
      </c>
      <c r="C40" s="340"/>
      <c r="D40" s="341" t="s">
        <v>3100</v>
      </c>
      <c r="E40" s="342">
        <v>-3.3978290019999999</v>
      </c>
      <c r="F40" s="343">
        <v>34.837011969999999</v>
      </c>
      <c r="G40" s="344">
        <v>21.13063730679653</v>
      </c>
      <c r="H40" s="345">
        <v>3.0912555579081076</v>
      </c>
      <c r="I40" s="345">
        <v>75.778107135295357</v>
      </c>
      <c r="J40" s="346">
        <v>0.46131099063578063</v>
      </c>
      <c r="K40" s="342" t="s">
        <v>229</v>
      </c>
      <c r="L40" s="466" t="s">
        <v>257</v>
      </c>
      <c r="M40" s="466"/>
      <c r="N40" s="347" t="s">
        <v>2651</v>
      </c>
      <c r="O40" s="347" t="s">
        <v>3101</v>
      </c>
      <c r="P40" s="347"/>
      <c r="Q40" s="347" t="s">
        <v>247</v>
      </c>
      <c r="R40" s="347" t="s">
        <v>247</v>
      </c>
      <c r="S40" s="347" t="s">
        <v>234</v>
      </c>
      <c r="T40" s="302" t="s">
        <v>3102</v>
      </c>
    </row>
    <row r="41" spans="1:24">
      <c r="A41" s="308"/>
      <c r="B41" s="339" t="s">
        <v>3104</v>
      </c>
      <c r="C41" s="340"/>
      <c r="D41" s="341" t="s">
        <v>3100</v>
      </c>
      <c r="E41" s="342">
        <v>-3.3854090330000002</v>
      </c>
      <c r="F41" s="343">
        <v>34.818901029999999</v>
      </c>
      <c r="G41" s="344">
        <v>54.080969906906262</v>
      </c>
      <c r="H41" s="345">
        <v>21.264484651351896</v>
      </c>
      <c r="I41" s="345">
        <v>24.654545441741845</v>
      </c>
      <c r="J41" s="346">
        <v>1.8433218334154755</v>
      </c>
      <c r="K41" s="342" t="s">
        <v>229</v>
      </c>
      <c r="L41" s="466" t="s">
        <v>257</v>
      </c>
      <c r="M41" s="466"/>
      <c r="N41" s="347" t="s">
        <v>2654</v>
      </c>
      <c r="O41" s="347" t="s">
        <v>3101</v>
      </c>
      <c r="P41" s="347"/>
      <c r="Q41" s="347" t="s">
        <v>247</v>
      </c>
      <c r="R41" s="347" t="s">
        <v>247</v>
      </c>
      <c r="S41" s="347" t="s">
        <v>234</v>
      </c>
      <c r="T41" s="302" t="s">
        <v>3102</v>
      </c>
    </row>
    <row r="42" spans="1:24">
      <c r="A42" s="308"/>
      <c r="B42" s="339" t="s">
        <v>3105</v>
      </c>
      <c r="C42" s="340"/>
      <c r="D42" s="341" t="s">
        <v>3100</v>
      </c>
      <c r="E42" s="342">
        <v>-3.3849129919999998</v>
      </c>
      <c r="F42" s="343">
        <v>34.818899020000003</v>
      </c>
      <c r="G42" s="344">
        <v>51.960000000000008</v>
      </c>
      <c r="H42" s="345">
        <v>18.919999999999995</v>
      </c>
      <c r="I42" s="345">
        <v>29.120000000000005</v>
      </c>
      <c r="J42" s="346">
        <v>1.85293247905372</v>
      </c>
      <c r="K42" s="342" t="s">
        <v>229</v>
      </c>
      <c r="L42" s="466" t="s">
        <v>257</v>
      </c>
      <c r="M42" s="466"/>
      <c r="N42" s="347" t="s">
        <v>2654</v>
      </c>
      <c r="O42" s="347" t="s">
        <v>3101</v>
      </c>
      <c r="P42" s="347"/>
      <c r="Q42" s="347" t="s">
        <v>247</v>
      </c>
      <c r="R42" s="347" t="s">
        <v>247</v>
      </c>
      <c r="S42" s="347" t="s">
        <v>234</v>
      </c>
      <c r="T42" s="302" t="s">
        <v>3102</v>
      </c>
    </row>
    <row r="43" spans="1:24">
      <c r="A43" s="308"/>
      <c r="B43" s="339" t="s">
        <v>3106</v>
      </c>
      <c r="C43" s="340"/>
      <c r="D43" s="341" t="s">
        <v>3107</v>
      </c>
      <c r="E43" s="342">
        <v>-3.4092039989999998</v>
      </c>
      <c r="F43" s="343">
        <v>34.852751009999999</v>
      </c>
      <c r="G43" s="344">
        <v>23.96</v>
      </c>
      <c r="H43" s="345">
        <v>0.91999999999999804</v>
      </c>
      <c r="I43" s="345">
        <v>75.12</v>
      </c>
      <c r="J43" s="346">
        <v>1.2493839329719072</v>
      </c>
      <c r="K43" s="342" t="s">
        <v>229</v>
      </c>
      <c r="L43" s="466" t="s">
        <v>244</v>
      </c>
      <c r="M43" s="466"/>
      <c r="N43" s="347" t="s">
        <v>2651</v>
      </c>
      <c r="O43" s="347" t="s">
        <v>3101</v>
      </c>
      <c r="P43" s="347"/>
      <c r="Q43" s="347" t="s">
        <v>247</v>
      </c>
      <c r="R43" s="347" t="s">
        <v>247</v>
      </c>
      <c r="S43" s="347" t="s">
        <v>234</v>
      </c>
      <c r="T43" s="302" t="s">
        <v>3102</v>
      </c>
    </row>
    <row r="44" spans="1:24">
      <c r="A44" s="308"/>
      <c r="B44" s="339" t="s">
        <v>3108</v>
      </c>
      <c r="C44" s="340"/>
      <c r="D44" s="341" t="s">
        <v>3107</v>
      </c>
      <c r="E44" s="342">
        <v>-3.4083420040000001</v>
      </c>
      <c r="F44" s="343">
        <v>34.850283040000001</v>
      </c>
      <c r="G44" s="344">
        <v>19.96</v>
      </c>
      <c r="H44" s="345">
        <v>4.9199999999999982</v>
      </c>
      <c r="I44" s="345">
        <v>75.12</v>
      </c>
      <c r="J44" s="346">
        <v>1.641498275012321</v>
      </c>
      <c r="K44" s="342" t="s">
        <v>229</v>
      </c>
      <c r="L44" s="466" t="s">
        <v>244</v>
      </c>
      <c r="M44" s="466"/>
      <c r="N44" s="347" t="s">
        <v>2652</v>
      </c>
      <c r="O44" s="347" t="s">
        <v>3101</v>
      </c>
      <c r="P44" s="347"/>
      <c r="Q44" s="347" t="s">
        <v>247</v>
      </c>
      <c r="R44" s="347" t="s">
        <v>247</v>
      </c>
      <c r="S44" s="347" t="s">
        <v>234</v>
      </c>
      <c r="T44" s="302" t="s">
        <v>3102</v>
      </c>
    </row>
    <row r="45" spans="1:24">
      <c r="A45" s="308"/>
      <c r="B45" s="339" t="s">
        <v>3109</v>
      </c>
      <c r="C45" s="340"/>
      <c r="D45" s="341" t="s">
        <v>3107</v>
      </c>
      <c r="E45" s="342">
        <v>-3.406225992</v>
      </c>
      <c r="F45" s="343">
        <v>34.85055998</v>
      </c>
      <c r="G45" s="344">
        <v>21.96</v>
      </c>
      <c r="H45" s="345">
        <v>8.9199999999999982</v>
      </c>
      <c r="I45" s="345">
        <v>69.12</v>
      </c>
      <c r="J45" s="346">
        <v>1.7491375061606702</v>
      </c>
      <c r="K45" s="342" t="s">
        <v>229</v>
      </c>
      <c r="L45" s="466" t="s">
        <v>244</v>
      </c>
      <c r="M45" s="466"/>
      <c r="N45" s="347" t="s">
        <v>2651</v>
      </c>
      <c r="O45" s="347" t="s">
        <v>3101</v>
      </c>
      <c r="P45" s="347"/>
      <c r="Q45" s="347" t="s">
        <v>247</v>
      </c>
      <c r="R45" s="347" t="s">
        <v>247</v>
      </c>
      <c r="S45" s="347" t="s">
        <v>234</v>
      </c>
      <c r="T45" s="302" t="s">
        <v>3102</v>
      </c>
    </row>
    <row r="46" spans="1:24">
      <c r="A46" s="308"/>
      <c r="B46" s="339" t="s">
        <v>3110</v>
      </c>
      <c r="C46" s="340"/>
      <c r="D46" s="341" t="s">
        <v>3107</v>
      </c>
      <c r="E46" s="342">
        <v>-3.4064239729999999</v>
      </c>
      <c r="F46" s="343">
        <v>34.851213010000002</v>
      </c>
      <c r="G46" s="344">
        <v>25.96</v>
      </c>
      <c r="H46" s="345">
        <v>6.9200000000000008</v>
      </c>
      <c r="I46" s="345">
        <v>67.12</v>
      </c>
      <c r="J46" s="346">
        <v>1.7568260226712666</v>
      </c>
      <c r="K46" s="342" t="s">
        <v>229</v>
      </c>
      <c r="L46" s="466" t="s">
        <v>244</v>
      </c>
      <c r="M46" s="466"/>
      <c r="N46" s="347" t="s">
        <v>2651</v>
      </c>
      <c r="O46" s="347" t="s">
        <v>3101</v>
      </c>
      <c r="P46" s="347"/>
      <c r="Q46" s="347" t="s">
        <v>247</v>
      </c>
      <c r="R46" s="347" t="s">
        <v>247</v>
      </c>
      <c r="S46" s="347" t="s">
        <v>234</v>
      </c>
      <c r="T46" s="302" t="s">
        <v>3102</v>
      </c>
    </row>
    <row r="47" spans="1:24">
      <c r="A47" s="308"/>
      <c r="B47" s="339" t="s">
        <v>3111</v>
      </c>
      <c r="C47" s="340"/>
      <c r="D47" s="341" t="s">
        <v>3112</v>
      </c>
      <c r="E47" s="342">
        <v>-3.2993960379999998</v>
      </c>
      <c r="F47" s="343">
        <v>34.848240959999998</v>
      </c>
      <c r="G47" s="344">
        <v>47.96</v>
      </c>
      <c r="H47" s="345">
        <v>22.919999999999995</v>
      </c>
      <c r="I47" s="345">
        <v>29.120000000000012</v>
      </c>
      <c r="J47" s="346">
        <v>2.8831936914736325</v>
      </c>
      <c r="K47" s="342" t="s">
        <v>229</v>
      </c>
      <c r="L47" s="466" t="s">
        <v>230</v>
      </c>
      <c r="M47" s="466"/>
      <c r="N47" s="347" t="s">
        <v>2654</v>
      </c>
      <c r="O47" s="347" t="s">
        <v>3101</v>
      </c>
      <c r="P47" s="347"/>
      <c r="Q47" s="347" t="s">
        <v>247</v>
      </c>
      <c r="R47" s="347" t="s">
        <v>247</v>
      </c>
      <c r="S47" s="347" t="s">
        <v>234</v>
      </c>
      <c r="T47" s="302" t="s">
        <v>3102</v>
      </c>
    </row>
    <row r="48" spans="1:24">
      <c r="A48" s="308"/>
      <c r="B48" s="339" t="s">
        <v>3113</v>
      </c>
      <c r="C48" s="340"/>
      <c r="D48" s="341" t="s">
        <v>3112</v>
      </c>
      <c r="E48" s="342">
        <v>-3.3025860229999999</v>
      </c>
      <c r="F48" s="343">
        <v>34.848048009999999</v>
      </c>
      <c r="G48" s="344">
        <v>45.272914521112256</v>
      </c>
      <c r="H48" s="345">
        <v>23.604531410916575</v>
      </c>
      <c r="I48" s="345">
        <v>31.122554067971166</v>
      </c>
      <c r="J48" s="346">
        <v>2.0547560374568752</v>
      </c>
      <c r="K48" s="342" t="s">
        <v>229</v>
      </c>
      <c r="L48" s="466" t="s">
        <v>230</v>
      </c>
      <c r="M48" s="466"/>
      <c r="N48" s="347" t="s">
        <v>2654</v>
      </c>
      <c r="O48" s="347" t="s">
        <v>3101</v>
      </c>
      <c r="P48" s="347"/>
      <c r="Q48" s="347" t="s">
        <v>247</v>
      </c>
      <c r="R48" s="347" t="s">
        <v>247</v>
      </c>
      <c r="S48" s="347" t="s">
        <v>234</v>
      </c>
      <c r="T48" s="302" t="s">
        <v>3102</v>
      </c>
    </row>
    <row r="49" spans="1:20">
      <c r="A49" s="308"/>
      <c r="B49" s="339" t="s">
        <v>3114</v>
      </c>
      <c r="C49" s="340"/>
      <c r="D49" s="341" t="s">
        <v>3112</v>
      </c>
      <c r="E49" s="342">
        <v>-3.2957159630000001</v>
      </c>
      <c r="F49" s="343">
        <v>34.852460999999998</v>
      </c>
      <c r="G49" s="344">
        <v>38.691629007962128</v>
      </c>
      <c r="H49" s="345">
        <v>26.81299763288143</v>
      </c>
      <c r="I49" s="345">
        <v>34.495373359156439</v>
      </c>
      <c r="J49" s="346">
        <v>2.5483587974371611</v>
      </c>
      <c r="K49" s="342" t="s">
        <v>229</v>
      </c>
      <c r="L49" s="466" t="s">
        <v>230</v>
      </c>
      <c r="M49" s="466"/>
      <c r="N49" s="347" t="s">
        <v>2656</v>
      </c>
      <c r="O49" s="347" t="s">
        <v>3101</v>
      </c>
      <c r="P49" s="347"/>
      <c r="Q49" s="347" t="s">
        <v>247</v>
      </c>
      <c r="R49" s="347" t="s">
        <v>247</v>
      </c>
      <c r="S49" s="347" t="s">
        <v>234</v>
      </c>
      <c r="T49" s="302" t="s">
        <v>3102</v>
      </c>
    </row>
    <row r="50" spans="1:20">
      <c r="A50" s="308"/>
      <c r="B50" s="339" t="s">
        <v>3115</v>
      </c>
      <c r="C50" s="340"/>
      <c r="D50" s="341" t="s">
        <v>3112</v>
      </c>
      <c r="E50" s="342">
        <v>-3.2966709980000002</v>
      </c>
      <c r="F50" s="343">
        <v>34.854407019999996</v>
      </c>
      <c r="G50" s="344">
        <v>28.145762029394</v>
      </c>
      <c r="H50" s="345">
        <v>25.085564727199518</v>
      </c>
      <c r="I50" s="345">
        <v>46.768673243406489</v>
      </c>
      <c r="J50" s="346">
        <v>2.1716214884179394</v>
      </c>
      <c r="K50" s="342" t="s">
        <v>229</v>
      </c>
      <c r="L50" s="466" t="s">
        <v>230</v>
      </c>
      <c r="M50" s="466"/>
      <c r="N50" s="347" t="s">
        <v>2651</v>
      </c>
      <c r="O50" s="347" t="s">
        <v>3101</v>
      </c>
      <c r="P50" s="347"/>
      <c r="Q50" s="347" t="s">
        <v>247</v>
      </c>
      <c r="R50" s="347" t="s">
        <v>247</v>
      </c>
      <c r="S50" s="347" t="s">
        <v>234</v>
      </c>
      <c r="T50" s="302" t="s">
        <v>3102</v>
      </c>
    </row>
    <row r="51" spans="1:20">
      <c r="A51" s="293"/>
      <c r="B51" s="339" t="s">
        <v>3116</v>
      </c>
      <c r="C51" s="340"/>
      <c r="D51" s="341" t="s">
        <v>3117</v>
      </c>
      <c r="E51" s="342">
        <v>-2.3691620310000001</v>
      </c>
      <c r="F51" s="343">
        <v>34.06028104</v>
      </c>
      <c r="G51" s="344">
        <v>45.96</v>
      </c>
      <c r="H51" s="345">
        <v>14.920000000000003</v>
      </c>
      <c r="I51" s="345">
        <v>39.119999999999997</v>
      </c>
      <c r="J51" s="346">
        <v>2.0374568753080333</v>
      </c>
      <c r="K51" s="342" t="s">
        <v>229</v>
      </c>
      <c r="L51" s="466" t="s">
        <v>257</v>
      </c>
      <c r="M51" s="466"/>
      <c r="N51" s="347" t="s">
        <v>2654</v>
      </c>
      <c r="O51" s="347" t="s">
        <v>3101</v>
      </c>
      <c r="P51" s="347"/>
      <c r="Q51" s="347" t="s">
        <v>247</v>
      </c>
      <c r="R51" s="347" t="s">
        <v>247</v>
      </c>
      <c r="S51" s="347" t="s">
        <v>234</v>
      </c>
      <c r="T51" s="302" t="s">
        <v>3102</v>
      </c>
    </row>
    <row r="52" spans="1:20">
      <c r="A52" s="293"/>
      <c r="B52" s="339" t="s">
        <v>3118</v>
      </c>
      <c r="C52" s="340"/>
      <c r="D52" s="341" t="s">
        <v>3117</v>
      </c>
      <c r="E52" s="342">
        <v>-2.3698080240000001</v>
      </c>
      <c r="F52" s="343">
        <v>34.059671010000002</v>
      </c>
      <c r="G52" s="344">
        <v>34.344660194174757</v>
      </c>
      <c r="H52" s="345">
        <v>19.22727272727273</v>
      </c>
      <c r="I52" s="345">
        <v>46.428067078552509</v>
      </c>
      <c r="J52" s="346">
        <v>1.7452932479053718</v>
      </c>
      <c r="K52" s="342" t="s">
        <v>229</v>
      </c>
      <c r="L52" s="466" t="s">
        <v>257</v>
      </c>
      <c r="M52" s="466"/>
      <c r="N52" s="347" t="s">
        <v>2651</v>
      </c>
      <c r="O52" s="347" t="s">
        <v>3101</v>
      </c>
      <c r="P52" s="347"/>
      <c r="Q52" s="347" t="s">
        <v>247</v>
      </c>
      <c r="R52" s="347" t="s">
        <v>247</v>
      </c>
      <c r="S52" s="347" t="s">
        <v>234</v>
      </c>
      <c r="T52" s="302" t="s">
        <v>3102</v>
      </c>
    </row>
    <row r="53" spans="1:20">
      <c r="A53" s="293"/>
      <c r="B53" s="339" t="s">
        <v>3119</v>
      </c>
      <c r="C53" s="340"/>
      <c r="D53" s="341" t="s">
        <v>3117</v>
      </c>
      <c r="E53" s="342">
        <v>-2.3487199940000001</v>
      </c>
      <c r="F53" s="343">
        <v>34.051391029999998</v>
      </c>
      <c r="G53" s="344">
        <v>27.96</v>
      </c>
      <c r="H53" s="345">
        <v>4.9200000000000017</v>
      </c>
      <c r="I53" s="345">
        <v>67.12</v>
      </c>
      <c r="J53" s="346">
        <v>0.88610152784622953</v>
      </c>
      <c r="K53" s="342" t="s">
        <v>229</v>
      </c>
      <c r="L53" s="466" t="s">
        <v>257</v>
      </c>
      <c r="M53" s="466"/>
      <c r="N53" s="347" t="s">
        <v>2651</v>
      </c>
      <c r="O53" s="347" t="s">
        <v>3101</v>
      </c>
      <c r="P53" s="347"/>
      <c r="Q53" s="347" t="s">
        <v>247</v>
      </c>
      <c r="R53" s="347" t="s">
        <v>247</v>
      </c>
      <c r="S53" s="347" t="s">
        <v>234</v>
      </c>
      <c r="T53" s="302" t="s">
        <v>3102</v>
      </c>
    </row>
    <row r="54" spans="1:20">
      <c r="A54" s="293"/>
      <c r="B54" s="339" t="s">
        <v>3120</v>
      </c>
      <c r="C54" s="340"/>
      <c r="D54" s="341" t="s">
        <v>3117</v>
      </c>
      <c r="E54" s="342">
        <v>-2.3492639789999998</v>
      </c>
      <c r="F54" s="343">
        <v>34.051464029999998</v>
      </c>
      <c r="G54" s="344">
        <v>17.96</v>
      </c>
      <c r="H54" s="345">
        <v>4.9199999999999982</v>
      </c>
      <c r="I54" s="345">
        <v>77.12</v>
      </c>
      <c r="J54" s="346">
        <v>2.0220798422868409</v>
      </c>
      <c r="K54" s="342" t="s">
        <v>229</v>
      </c>
      <c r="L54" s="466" t="s">
        <v>257</v>
      </c>
      <c r="M54" s="466"/>
      <c r="N54" s="347" t="s">
        <v>2652</v>
      </c>
      <c r="O54" s="347" t="s">
        <v>3101</v>
      </c>
      <c r="P54" s="347"/>
      <c r="Q54" s="347" t="s">
        <v>247</v>
      </c>
      <c r="R54" s="347" t="s">
        <v>247</v>
      </c>
      <c r="S54" s="347" t="s">
        <v>234</v>
      </c>
      <c r="T54" s="302" t="s">
        <v>3102</v>
      </c>
    </row>
    <row r="55" spans="1:20">
      <c r="B55" s="339" t="s">
        <v>3121</v>
      </c>
      <c r="C55" s="340"/>
      <c r="D55" s="341" t="s">
        <v>3122</v>
      </c>
      <c r="E55" s="342">
        <v>-2.3503360249999998</v>
      </c>
      <c r="F55" s="343">
        <v>34.049662009999999</v>
      </c>
      <c r="G55" s="344">
        <v>31.214836424255054</v>
      </c>
      <c r="H55" s="345">
        <v>11.377370285476141</v>
      </c>
      <c r="I55" s="345">
        <v>57.407793290268799</v>
      </c>
      <c r="J55" s="346">
        <v>1.7337604731394776</v>
      </c>
      <c r="K55" s="342" t="s">
        <v>229</v>
      </c>
      <c r="L55" s="466" t="s">
        <v>244</v>
      </c>
      <c r="M55" s="466"/>
      <c r="N55" s="347" t="s">
        <v>2651</v>
      </c>
      <c r="O55" s="347" t="s">
        <v>3101</v>
      </c>
      <c r="P55" s="347"/>
      <c r="Q55" s="347" t="s">
        <v>247</v>
      </c>
      <c r="R55" s="347" t="s">
        <v>247</v>
      </c>
      <c r="S55" s="347" t="s">
        <v>234</v>
      </c>
      <c r="T55" s="302" t="s">
        <v>3102</v>
      </c>
    </row>
    <row r="56" spans="1:20">
      <c r="B56" s="339" t="s">
        <v>3123</v>
      </c>
      <c r="C56" s="340"/>
      <c r="D56" s="341" t="s">
        <v>3122</v>
      </c>
      <c r="E56" s="342">
        <v>-2.348596025</v>
      </c>
      <c r="F56" s="343">
        <v>34.050070959999999</v>
      </c>
      <c r="G56" s="344">
        <v>33.96</v>
      </c>
      <c r="H56" s="345">
        <v>8.9200000000000017</v>
      </c>
      <c r="I56" s="345">
        <v>57.12</v>
      </c>
      <c r="J56" s="346">
        <v>2.072055199605717</v>
      </c>
      <c r="K56" s="342" t="s">
        <v>229</v>
      </c>
      <c r="L56" s="466" t="s">
        <v>244</v>
      </c>
      <c r="M56" s="466"/>
      <c r="N56" s="347" t="s">
        <v>2651</v>
      </c>
      <c r="O56" s="347" t="s">
        <v>3101</v>
      </c>
      <c r="P56" s="347"/>
      <c r="Q56" s="347" t="s">
        <v>247</v>
      </c>
      <c r="R56" s="347" t="s">
        <v>247</v>
      </c>
      <c r="S56" s="347" t="s">
        <v>234</v>
      </c>
      <c r="T56" s="302" t="s">
        <v>3102</v>
      </c>
    </row>
    <row r="57" spans="1:20">
      <c r="B57" s="339" t="s">
        <v>3124</v>
      </c>
      <c r="C57" s="340"/>
      <c r="D57" s="341" t="s">
        <v>3122</v>
      </c>
      <c r="E57" s="342">
        <v>-2.3675269729999999</v>
      </c>
      <c r="F57" s="343">
        <v>34.06035799</v>
      </c>
      <c r="G57" s="344">
        <v>39.96</v>
      </c>
      <c r="H57" s="345">
        <v>12.920000000000002</v>
      </c>
      <c r="I57" s="345">
        <v>47.12</v>
      </c>
      <c r="J57" s="346">
        <v>1.6549531789058647</v>
      </c>
      <c r="K57" s="342" t="s">
        <v>229</v>
      </c>
      <c r="L57" s="466" t="s">
        <v>244</v>
      </c>
      <c r="M57" s="466"/>
      <c r="N57" s="347" t="s">
        <v>2655</v>
      </c>
      <c r="O57" s="347" t="s">
        <v>3101</v>
      </c>
      <c r="P57" s="347"/>
      <c r="Q57" s="347" t="s">
        <v>247</v>
      </c>
      <c r="R57" s="347" t="s">
        <v>247</v>
      </c>
      <c r="S57" s="347" t="s">
        <v>234</v>
      </c>
      <c r="T57" s="302" t="s">
        <v>3102</v>
      </c>
    </row>
    <row r="58" spans="1:20">
      <c r="B58" s="339" t="s">
        <v>3125</v>
      </c>
      <c r="C58" s="340"/>
      <c r="D58" s="341" t="s">
        <v>3122</v>
      </c>
      <c r="E58" s="342">
        <v>-2.3676780150000001</v>
      </c>
      <c r="F58" s="343">
        <v>34.05937797</v>
      </c>
      <c r="G58" s="344">
        <v>27.96</v>
      </c>
      <c r="H58" s="345">
        <v>4.9200000000000017</v>
      </c>
      <c r="I58" s="345">
        <v>67.12</v>
      </c>
      <c r="J58" s="346">
        <v>1.0437161163134547</v>
      </c>
      <c r="K58" s="342" t="s">
        <v>229</v>
      </c>
      <c r="L58" s="466" t="s">
        <v>244</v>
      </c>
      <c r="M58" s="466"/>
      <c r="N58" s="347" t="s">
        <v>2651</v>
      </c>
      <c r="O58" s="347" t="s">
        <v>3101</v>
      </c>
      <c r="P58" s="347"/>
      <c r="Q58" s="347" t="s">
        <v>247</v>
      </c>
      <c r="R58" s="347" t="s">
        <v>247</v>
      </c>
      <c r="S58" s="347" t="s">
        <v>234</v>
      </c>
      <c r="T58" s="302" t="s">
        <v>3102</v>
      </c>
    </row>
    <row r="59" spans="1:20">
      <c r="B59" s="339" t="s">
        <v>3126</v>
      </c>
      <c r="C59" s="340"/>
      <c r="D59" s="341" t="s">
        <v>3127</v>
      </c>
      <c r="E59" s="342">
        <v>-2.272751033</v>
      </c>
      <c r="F59" s="343">
        <v>34.023176030000002</v>
      </c>
      <c r="G59" s="344">
        <v>21.96</v>
      </c>
      <c r="H59" s="345">
        <v>4.9199999999999982</v>
      </c>
      <c r="I59" s="345">
        <v>73.12</v>
      </c>
      <c r="J59" s="346">
        <v>1.2416954164613114</v>
      </c>
      <c r="K59" s="342" t="s">
        <v>229</v>
      </c>
      <c r="L59" s="466" t="s">
        <v>230</v>
      </c>
      <c r="M59" s="466"/>
      <c r="N59" s="347" t="s">
        <v>2651</v>
      </c>
      <c r="O59" s="347" t="s">
        <v>3101</v>
      </c>
      <c r="P59" s="347"/>
      <c r="Q59" s="347" t="s">
        <v>247</v>
      </c>
      <c r="R59" s="347" t="s">
        <v>247</v>
      </c>
      <c r="S59" s="347" t="s">
        <v>234</v>
      </c>
      <c r="T59" s="302" t="s">
        <v>3102</v>
      </c>
    </row>
    <row r="60" spans="1:20">
      <c r="B60" s="339" t="s">
        <v>3128</v>
      </c>
      <c r="C60" s="340"/>
      <c r="D60" s="341" t="s">
        <v>3127</v>
      </c>
      <c r="E60" s="342">
        <v>-2.2784290180000002</v>
      </c>
      <c r="F60" s="343">
        <v>34.024240030000001</v>
      </c>
      <c r="G60" s="344">
        <v>23.96</v>
      </c>
      <c r="H60" s="345">
        <v>4.9199999999999982</v>
      </c>
      <c r="I60" s="345">
        <v>71.12</v>
      </c>
      <c r="J60" s="346">
        <v>3.30913750616067</v>
      </c>
      <c r="K60" s="342" t="s">
        <v>229</v>
      </c>
      <c r="L60" s="466" t="s">
        <v>230</v>
      </c>
      <c r="M60" s="466"/>
      <c r="N60" s="347" t="s">
        <v>2651</v>
      </c>
      <c r="O60" s="347" t="s">
        <v>3101</v>
      </c>
      <c r="P60" s="347"/>
      <c r="Q60" s="347" t="s">
        <v>247</v>
      </c>
      <c r="R60" s="347" t="s">
        <v>247</v>
      </c>
      <c r="S60" s="347" t="s">
        <v>234</v>
      </c>
      <c r="T60" s="302" t="s">
        <v>3102</v>
      </c>
    </row>
    <row r="61" spans="1:20">
      <c r="B61" s="339" t="s">
        <v>3129</v>
      </c>
      <c r="C61" s="340"/>
      <c r="D61" s="341" t="s">
        <v>3127</v>
      </c>
      <c r="E61" s="342">
        <v>-2.277740026</v>
      </c>
      <c r="F61" s="343">
        <v>34.027640990000002</v>
      </c>
      <c r="G61" s="344">
        <v>25.96</v>
      </c>
      <c r="H61" s="345">
        <v>8.9200000000000017</v>
      </c>
      <c r="I61" s="345">
        <v>65.12</v>
      </c>
      <c r="J61" s="346">
        <v>1.614588467225234</v>
      </c>
      <c r="K61" s="342" t="s">
        <v>229</v>
      </c>
      <c r="L61" s="466" t="s">
        <v>230</v>
      </c>
      <c r="M61" s="466"/>
      <c r="N61" s="347" t="s">
        <v>2651</v>
      </c>
      <c r="O61" s="347" t="s">
        <v>3101</v>
      </c>
      <c r="P61" s="347"/>
      <c r="Q61" s="347" t="s">
        <v>247</v>
      </c>
      <c r="R61" s="347" t="s">
        <v>247</v>
      </c>
      <c r="S61" s="347" t="s">
        <v>234</v>
      </c>
      <c r="T61" s="302" t="s">
        <v>3102</v>
      </c>
    </row>
    <row r="62" spans="1:20">
      <c r="B62" s="339" t="s">
        <v>3130</v>
      </c>
      <c r="C62" s="340"/>
      <c r="D62" s="341" t="s">
        <v>3127</v>
      </c>
      <c r="E62" s="342">
        <v>-2.2787330300000002</v>
      </c>
      <c r="F62" s="343">
        <v>34.032136029999997</v>
      </c>
      <c r="G62" s="344">
        <v>25.96</v>
      </c>
      <c r="H62" s="345">
        <v>8.9200000000000017</v>
      </c>
      <c r="I62" s="345">
        <v>65.12</v>
      </c>
      <c r="J62" s="346">
        <v>1.6991621488417901</v>
      </c>
      <c r="K62" s="342" t="s">
        <v>229</v>
      </c>
      <c r="L62" s="466" t="s">
        <v>230</v>
      </c>
      <c r="M62" s="466"/>
      <c r="N62" s="347" t="s">
        <v>2651</v>
      </c>
      <c r="O62" s="347" t="s">
        <v>3101</v>
      </c>
      <c r="P62" s="347"/>
      <c r="Q62" s="347" t="s">
        <v>247</v>
      </c>
      <c r="R62" s="347" t="s">
        <v>247</v>
      </c>
      <c r="S62" s="347" t="s">
        <v>234</v>
      </c>
      <c r="T62" s="302" t="s">
        <v>3102</v>
      </c>
    </row>
    <row r="63" spans="1:20" ht="15" thickBot="1">
      <c r="B63" s="348" t="s">
        <v>2512</v>
      </c>
      <c r="C63" s="349"/>
      <c r="D63" s="350" t="s">
        <v>3131</v>
      </c>
      <c r="E63" s="351">
        <v>-2.439403972</v>
      </c>
      <c r="F63" s="352">
        <v>34.838404959999998</v>
      </c>
      <c r="G63" s="353">
        <v>22.017293559158162</v>
      </c>
      <c r="H63" s="354">
        <v>6.5855206693798616</v>
      </c>
      <c r="I63" s="354">
        <v>71.397185771461977</v>
      </c>
      <c r="J63" s="355">
        <v>1.1393420404139967</v>
      </c>
      <c r="K63" s="351" t="s">
        <v>229</v>
      </c>
      <c r="L63" s="356" t="s">
        <v>230</v>
      </c>
      <c r="M63" s="356"/>
      <c r="N63" s="356" t="s">
        <v>2651</v>
      </c>
      <c r="O63" s="356" t="s">
        <v>3101</v>
      </c>
      <c r="P63" s="356"/>
      <c r="Q63" s="356" t="s">
        <v>247</v>
      </c>
      <c r="R63" s="356" t="s">
        <v>247</v>
      </c>
      <c r="S63" s="356" t="s">
        <v>234</v>
      </c>
      <c r="T63" s="357" t="s">
        <v>3102</v>
      </c>
    </row>
    <row r="64" spans="1:20">
      <c r="B64" s="322" t="s">
        <v>3132</v>
      </c>
    </row>
    <row r="67" spans="2:41" ht="15" thickBot="1">
      <c r="B67" s="322" t="s">
        <v>3133</v>
      </c>
      <c r="C67" s="308"/>
      <c r="D67" s="308"/>
      <c r="E67" s="308"/>
      <c r="F67" s="358"/>
      <c r="G67" s="358"/>
      <c r="H67" s="358"/>
      <c r="I67" s="358"/>
      <c r="J67" s="308"/>
      <c r="K67" s="359"/>
      <c r="L67" s="360"/>
    </row>
    <row r="68" spans="2:41" ht="15" thickBot="1">
      <c r="B68" s="459" t="s">
        <v>21</v>
      </c>
      <c r="C68" s="460"/>
      <c r="D68" s="460"/>
      <c r="E68" s="460"/>
      <c r="F68" s="361" t="s">
        <v>3134</v>
      </c>
      <c r="G68" s="362"/>
      <c r="H68" s="362"/>
      <c r="I68" s="362"/>
      <c r="J68" s="362"/>
      <c r="K68" s="362"/>
      <c r="L68" s="363"/>
    </row>
    <row r="69" spans="2:41">
      <c r="B69" s="461" t="s">
        <v>22</v>
      </c>
      <c r="C69" s="462"/>
      <c r="D69" s="462"/>
      <c r="E69" s="462"/>
      <c r="F69" s="364" t="s">
        <v>3135</v>
      </c>
      <c r="G69" s="365"/>
      <c r="H69" s="365"/>
      <c r="I69" s="365"/>
      <c r="J69" s="365"/>
      <c r="K69" s="365"/>
      <c r="L69" s="366"/>
    </row>
    <row r="70" spans="2:41" ht="15" thickBot="1">
      <c r="B70" s="463" t="s">
        <v>25</v>
      </c>
      <c r="C70" s="464"/>
      <c r="D70" s="464"/>
      <c r="E70" s="464"/>
      <c r="F70" s="465" t="s">
        <v>3136</v>
      </c>
      <c r="G70" s="466"/>
      <c r="H70" s="466"/>
      <c r="I70" s="466"/>
      <c r="J70" s="466"/>
      <c r="K70" s="466"/>
      <c r="L70" s="466"/>
      <c r="M70" s="466"/>
      <c r="N70" s="466"/>
    </row>
    <row r="71" spans="2:41">
      <c r="B71" s="322" t="s">
        <v>3137</v>
      </c>
    </row>
    <row r="72" spans="2:41" ht="18">
      <c r="AO72" s="367"/>
    </row>
    <row r="73" spans="2:41">
      <c r="D73" s="456" t="s">
        <v>3138</v>
      </c>
      <c r="E73" s="456"/>
      <c r="F73" s="456"/>
      <c r="G73" s="456"/>
      <c r="H73" s="456"/>
    </row>
    <row r="74" spans="2:41" ht="18.600000000000001" thickBot="1">
      <c r="B74" s="368" t="s">
        <v>3139</v>
      </c>
      <c r="D74" s="457"/>
      <c r="E74" s="457"/>
      <c r="F74" s="457"/>
      <c r="G74" s="457"/>
      <c r="H74" s="457"/>
      <c r="AG74" s="458" t="s">
        <v>3140</v>
      </c>
      <c r="AH74" s="458"/>
      <c r="AI74" s="458"/>
      <c r="AJ74" s="458"/>
      <c r="AK74" s="458"/>
      <c r="AL74" s="458"/>
    </row>
    <row r="75" spans="2:41" ht="101.4" thickBot="1">
      <c r="B75" s="369" t="s">
        <v>2451</v>
      </c>
      <c r="C75" s="109" t="s">
        <v>23</v>
      </c>
      <c r="D75" s="109" t="s">
        <v>3141</v>
      </c>
      <c r="E75" s="109" t="s">
        <v>25</v>
      </c>
      <c r="F75" s="109" t="s">
        <v>26</v>
      </c>
      <c r="G75" s="370" t="s">
        <v>27</v>
      </c>
      <c r="H75" s="109" t="s">
        <v>3142</v>
      </c>
      <c r="I75" s="109" t="s">
        <v>3143</v>
      </c>
      <c r="J75" s="109" t="s">
        <v>3144</v>
      </c>
      <c r="K75" s="109" t="s">
        <v>28</v>
      </c>
      <c r="L75" s="109" t="s">
        <v>29</v>
      </c>
      <c r="M75" s="109" t="s">
        <v>3145</v>
      </c>
      <c r="N75" s="109" t="s">
        <v>3146</v>
      </c>
      <c r="O75" s="109" t="s">
        <v>30</v>
      </c>
      <c r="P75" s="109" t="s">
        <v>3147</v>
      </c>
      <c r="Q75" s="109" t="s">
        <v>3148</v>
      </c>
      <c r="R75" s="370" t="s">
        <v>31</v>
      </c>
      <c r="S75" s="109" t="s">
        <v>3149</v>
      </c>
      <c r="T75" s="109" t="s">
        <v>3150</v>
      </c>
      <c r="U75" s="109" t="s">
        <v>34</v>
      </c>
      <c r="V75" s="109" t="s">
        <v>35</v>
      </c>
      <c r="W75" s="109" t="s">
        <v>3151</v>
      </c>
      <c r="X75" s="109" t="s">
        <v>3152</v>
      </c>
      <c r="Y75" s="109" t="s">
        <v>3153</v>
      </c>
      <c r="Z75" s="109" t="s">
        <v>3154</v>
      </c>
      <c r="AA75" s="109" t="s">
        <v>3155</v>
      </c>
      <c r="AB75" s="109" t="s">
        <v>288</v>
      </c>
      <c r="AC75" s="109" t="s">
        <v>291</v>
      </c>
      <c r="AD75" s="109" t="s">
        <v>292</v>
      </c>
      <c r="AE75" s="109" t="s">
        <v>40</v>
      </c>
      <c r="AF75" s="371" t="s">
        <v>41</v>
      </c>
      <c r="AG75" s="372" t="s">
        <v>3245</v>
      </c>
      <c r="AH75" s="372" t="s">
        <v>3156</v>
      </c>
      <c r="AI75" s="372" t="s">
        <v>3157</v>
      </c>
      <c r="AJ75" s="372" t="s">
        <v>3246</v>
      </c>
      <c r="AK75" s="372" t="s">
        <v>3158</v>
      </c>
      <c r="AL75" s="373" t="s">
        <v>3159</v>
      </c>
    </row>
    <row r="76" spans="2:41">
      <c r="B76" t="str">
        <f>Wetseason!B2</f>
        <v>Wet</v>
      </c>
      <c r="C76" s="253">
        <f>Wetseason!C2</f>
        <v>1</v>
      </c>
      <c r="D76" t="s">
        <v>3099</v>
      </c>
      <c r="E76" t="s">
        <v>22</v>
      </c>
      <c r="F76" s="374">
        <v>1</v>
      </c>
      <c r="G76" s="16">
        <f>'WetLitterbags placem_collection'!E3</f>
        <v>42766</v>
      </c>
      <c r="H76" t="str">
        <f>Wetseason!L2</f>
        <v>G436</v>
      </c>
      <c r="I76" t="str">
        <f>Wetseason!L222</f>
        <v>R17</v>
      </c>
      <c r="J76">
        <f>IFERROR(INDEX('Green_rooibos initial weight'!$C$5:$C$2000,MATCH(H76, 'Green_rooibos initial weight'!$A$5:$A$2000,0)),"")</f>
        <v>2.0329999999999999</v>
      </c>
      <c r="K76">
        <f>IFERROR(INDEX('Green_rooibos initial weight'!$C$5:$C$2000,MATCH(I76, 'Green_rooibos initial weight'!$A$5:$A$2000,0)),"")</f>
        <v>2.169</v>
      </c>
      <c r="L76" s="194">
        <f>IF(J76&gt;0,(J76*$F$31-($F$29+$F$30)),"")</f>
        <v>1.7831999999999999</v>
      </c>
      <c r="M76" s="194">
        <f>AVERAGE(Ashed_controlls!$K$2:$K$11)</f>
        <v>5.5147656768714146</v>
      </c>
      <c r="N76" s="194">
        <f t="shared" ref="N76:N139" si="0">IFERROR(L76-(M76/100)*L76,"")</f>
        <v>1.6848606984500289</v>
      </c>
      <c r="O76" s="194">
        <f>IF(K76&gt;0,(K76*$F$32-($F$29+$F$30)),"")</f>
        <v>1.9192</v>
      </c>
      <c r="P76" s="194">
        <f>AVERAGE(Ashed_controlls!$K$12:$K$14)</f>
        <v>2.2816647271287041</v>
      </c>
      <c r="Q76" s="194">
        <f>IFERROR(O76-(P76/100)*O76,"")</f>
        <v>1.8754102905569459</v>
      </c>
      <c r="R76" s="16">
        <f>IF('WetLitterbags placem_collection'!G3="","",'WetLitterbags placem_collection'!G3)</f>
        <v>42818</v>
      </c>
      <c r="S76" s="194">
        <f>IFERROR(INDEX('Both teabags AfterWet'!$C$3:$C$2000,MATCH(H76,'Both teabags AfterWet'!$A$3:$A$2000,0)),"")</f>
        <v>0.43290000000000001</v>
      </c>
      <c r="T76" s="194">
        <f>IFERROR(INDEX('Both teabags AfterWet'!$C$3:$C$2000,MATCH(I76,'Both teabags AfterWet'!$A$3:$A$2000,0)),"")</f>
        <v>1.0208999999999999</v>
      </c>
      <c r="U76" s="194">
        <f>IFERROR(IF(S76&gt;0,S76-($F$29),""),"")</f>
        <v>0.2823</v>
      </c>
      <c r="V76" s="194">
        <f>IFERROR(IF(T76&gt;0,T76-($F$29),""),"")</f>
        <v>0.87029999999999985</v>
      </c>
      <c r="W76" s="194">
        <f>IFERROR(INDEX('Ashed teabags wet'!$K$2:$K$2000,MATCH(H76,'Ashed teabags wet'!$A$2:$A$2000,0)),"")</f>
        <v>27.683896620278237</v>
      </c>
      <c r="X76" s="233">
        <f>IFERROR(INDEX('Ashed teabags wet'!$K$2:$K$2000,MATCH(I76,'Ashed teabags wet'!$A$2:$A$2000,0)),"")</f>
        <v>17.918507609229575</v>
      </c>
      <c r="Y76" s="194">
        <f t="shared" ref="Y76:Z77" si="1">IFERROR(U76-(W76/100)*U76,"")</f>
        <v>0.20414835984095453</v>
      </c>
      <c r="Z76" s="194">
        <f t="shared" si="1"/>
        <v>0.71435522827687492</v>
      </c>
      <c r="AA76" s="194">
        <f>IFERROR(1-Y76/N76,"")</f>
        <v>0.87883368635237391</v>
      </c>
      <c r="AB76" s="194">
        <f>IFERROR($F$26*(1-AE76),"")</f>
        <v>0.57614749984146141</v>
      </c>
      <c r="AC76" s="194">
        <f t="shared" ref="AC76:AC139" si="2">IFERROR(Z76/Q76,"")</f>
        <v>0.38090610458617608</v>
      </c>
      <c r="AD76">
        <f t="shared" ref="AD76:AD139" si="3">IFERROR(IF((R76-G76)&gt;0,(IFERROR(R76-G76,"")),""),"")</f>
        <v>52</v>
      </c>
      <c r="AE76" s="194">
        <f>IFERROR(1-(AA76/$F$25),"")</f>
        <v>-4.3745470727285074E-2</v>
      </c>
      <c r="AF76" s="194" t="str">
        <f>IFERROR(LN(AB76/(AC76-(1-AB76)))/AD76,"")</f>
        <v/>
      </c>
      <c r="AG76" s="245" t="str">
        <f>IF(ISNUMBER(SEARCH("C",'WetLitterbags placem_collection'!$X3)),"YES","NO")</f>
        <v>NO</v>
      </c>
      <c r="AH76" s="245" t="str">
        <f>IF(ISNUMBER(SEARCH("H", 'WetLitterbags placem_collection'!$X3)),"YES","NO")</f>
        <v>NO</v>
      </c>
      <c r="AI76" s="245" t="str">
        <f>IF(ISNUMBER(SEARCH("R", 'WetLitterbags placem_collection'!$X3)),"YES","NO")</f>
        <v>NO</v>
      </c>
      <c r="AJ76" s="245" t="str">
        <f>IF(ISNUMBER(SEARCH("C", 'WetLitterbags placem_collection'!$V3)),"YES","NO")</f>
        <v>NO</v>
      </c>
      <c r="AK76" s="245" t="str">
        <f>IF(ISNUMBER(SEARCH("H", 'WetLitterbags placem_collection'!$V3)),"YES","NO")</f>
        <v>YES</v>
      </c>
      <c r="AL76" s="245" t="str">
        <f>IF(ISNUMBER(SEARCH("R", 'WetLitterbags placem_collection'!$V3)),"YES","NO")</f>
        <v>NO</v>
      </c>
    </row>
    <row r="77" spans="2:41">
      <c r="B77" t="str">
        <f>Wetseason!B3</f>
        <v>Wet</v>
      </c>
      <c r="C77" s="253">
        <f>Wetseason!C3</f>
        <v>2</v>
      </c>
      <c r="D77" t="s">
        <v>3099</v>
      </c>
      <c r="E77" t="s">
        <v>22</v>
      </c>
      <c r="F77" s="374">
        <v>2</v>
      </c>
      <c r="G77" s="16">
        <f>'WetLitterbags placem_collection'!E4</f>
        <v>42766</v>
      </c>
      <c r="H77" t="str">
        <f>Wetseason!L3</f>
        <v>G568</v>
      </c>
      <c r="I77" t="str">
        <f>Wetseason!L223</f>
        <v>R121</v>
      </c>
      <c r="J77">
        <f>IFERROR(INDEX('Green_rooibos initial weight'!$C$5:$C$2000,MATCH(H77, 'Green_rooibos initial weight'!$A$5:$A$2000,0)),"")</f>
        <v>2.0059999999999998</v>
      </c>
      <c r="K77">
        <f>IFERROR(INDEX('Green_rooibos initial weight'!$C$5:$C$2000,MATCH(I77, 'Green_rooibos initial weight'!$A$5:$A$2000,0)),"")</f>
        <v>2.165</v>
      </c>
      <c r="L77" s="194">
        <f t="shared" ref="L77:L140" si="4">IF(J77&gt;0,(J77*$F$31-($F$29+$F$30)),"")</f>
        <v>1.7561999999999998</v>
      </c>
      <c r="M77" s="194">
        <f>AVERAGE(Ashed_controlls!$K$2:$K$11)</f>
        <v>5.5147656768714146</v>
      </c>
      <c r="N77" s="194">
        <f t="shared" si="0"/>
        <v>1.659349685182784</v>
      </c>
      <c r="O77" s="194">
        <f t="shared" ref="O77:O140" si="5">IF(K77&gt;0,(K77*$F$32-($F$29+$F$30)),"")</f>
        <v>1.9152</v>
      </c>
      <c r="P77" s="194">
        <f>AVERAGE(Ashed_controlls!$K$12:$K$14)</f>
        <v>2.2816647271287041</v>
      </c>
      <c r="Q77" s="194">
        <f t="shared" ref="Q77:Q140" si="6">IFERROR(O77-(P77/100)*O77,"")</f>
        <v>1.8715015571460312</v>
      </c>
      <c r="R77" s="16">
        <f>IF('WetLitterbags placem_collection'!G4="","",'WetLitterbags placem_collection'!G4)</f>
        <v>42818</v>
      </c>
      <c r="S77" s="194">
        <f>IFERROR(INDEX('Both teabags AfterWet'!$C$3:$C$2000,MATCH(H77,'Both teabags AfterWet'!$A$3:$A$2000,0)),"")</f>
        <v>0.629</v>
      </c>
      <c r="T77" s="194">
        <f>IFERROR(INDEX('Both teabags AfterWet'!$C$3:$C$2000,MATCH(I77,'Both teabags AfterWet'!$A$3:$A$2000,0)),"")</f>
        <v>1.3073999999999999</v>
      </c>
      <c r="U77" s="194">
        <f t="shared" ref="U77:U140" si="7">IFERROR(IF(S77&gt;0,S77-($F$29),""),"")</f>
        <v>0.47839999999999999</v>
      </c>
      <c r="V77" s="194">
        <f t="shared" ref="V77:V140" si="8">IFERROR(IF(T77&gt;0,T77-($F$29),""),"")</f>
        <v>1.1567999999999998</v>
      </c>
      <c r="W77" s="194">
        <f>IFERROR(INDEX('Ashed teabags wet'!$K$2:$K$2000,MATCH(H77,'Ashed teabags wet'!$A$2:$A$2000,0)),"")</f>
        <v>8.5032322227742174</v>
      </c>
      <c r="X77" s="233">
        <f>IFERROR(INDEX('Ashed teabags wet'!$K$2:$K$2000,MATCH(I77,'Ashed teabags wet'!$A$2:$A$2000,0)),"")</f>
        <v>5.6218905472635869</v>
      </c>
      <c r="Y77" s="194">
        <f t="shared" si="1"/>
        <v>0.43772053704624814</v>
      </c>
      <c r="Z77" s="194">
        <f t="shared" ref="Z77:Z140" si="9">IFERROR(V77-(X77/100)*V77,"")</f>
        <v>1.0917659701492546</v>
      </c>
      <c r="AA77" s="194">
        <f t="shared" ref="AA77:AA140" si="10">IFERROR(1-Y77/N77,"")</f>
        <v>0.73620958803627246</v>
      </c>
      <c r="AB77" s="194">
        <f t="shared" ref="AB77:AB140" si="11">IFERROR($F$26*(1-AE77),"")</f>
        <v>0.48264571567223569</v>
      </c>
      <c r="AC77" s="194">
        <f t="shared" si="2"/>
        <v>0.58336364507981298</v>
      </c>
      <c r="AD77">
        <f t="shared" si="3"/>
        <v>52</v>
      </c>
      <c r="AE77" s="194">
        <f t="shared" ref="AE77:AE140" si="12">IFERROR(1-(AA77/$F$25),"")</f>
        <v>0.12564181943435571</v>
      </c>
      <c r="AF77" s="194">
        <f t="shared" ref="AF77:AF140" si="13">IFERROR(LN(AB77/(AC77-(1-AB77)))/AD77,"")</f>
        <v>3.825935221217263E-2</v>
      </c>
      <c r="AG77" s="245" t="str">
        <f>IF(ISNUMBER(SEARCH("C",'WetLitterbags placem_collection'!$X4)),"YES","NO")</f>
        <v>NO</v>
      </c>
      <c r="AH77" s="245" t="str">
        <f>IF(ISNUMBER(SEARCH("H", 'WetLitterbags placem_collection'!$X4)),"YES","NO")</f>
        <v>NO</v>
      </c>
      <c r="AI77" s="245" t="str">
        <f>IF(ISNUMBER(SEARCH("R", 'WetLitterbags placem_collection'!$X4)),"YES","NO")</f>
        <v>NO</v>
      </c>
      <c r="AJ77" s="245" t="str">
        <f>IF(ISNUMBER(SEARCH("C", 'WetLitterbags placem_collection'!$V4)),"YES","NO")</f>
        <v>NO</v>
      </c>
      <c r="AK77" s="245" t="str">
        <f>IF(ISNUMBER(SEARCH("H", 'WetLitterbags placem_collection'!$V4)),"YES","NO")</f>
        <v>NO</v>
      </c>
      <c r="AL77" s="245" t="str">
        <f>IF(ISNUMBER(SEARCH("R", 'WetLitterbags placem_collection'!$V4)),"YES","NO")</f>
        <v>NO</v>
      </c>
    </row>
    <row r="78" spans="2:41">
      <c r="B78" t="str">
        <f>Wetseason!B4</f>
        <v>Wet</v>
      </c>
      <c r="C78" s="253">
        <f>Wetseason!C4</f>
        <v>3</v>
      </c>
      <c r="D78" t="s">
        <v>3099</v>
      </c>
      <c r="E78" t="s">
        <v>22</v>
      </c>
      <c r="F78" s="374">
        <v>3</v>
      </c>
      <c r="G78" s="16">
        <f>'WetLitterbags placem_collection'!E5</f>
        <v>42766</v>
      </c>
      <c r="H78" t="str">
        <f>Wetseason!L4</f>
        <v>G631</v>
      </c>
      <c r="I78" t="str">
        <f>Wetseason!L224</f>
        <v>R158</v>
      </c>
      <c r="J78">
        <f>IFERROR(INDEX('Green_rooibos initial weight'!$C$5:$C$2000,MATCH(H78, 'Green_rooibos initial weight'!$A$5:$A$2000,0)),"")</f>
        <v>1.99</v>
      </c>
      <c r="K78">
        <f>IFERROR(INDEX('Green_rooibos initial weight'!$C$5:$C$2000,MATCH(I78, 'Green_rooibos initial weight'!$A$5:$A$2000,0)),"")</f>
        <v>2.2959999999999998</v>
      </c>
      <c r="L78" s="194">
        <f t="shared" si="4"/>
        <v>1.7402</v>
      </c>
      <c r="M78" s="194">
        <f>AVERAGE(Ashed_controlls!$K$2:$K$11)</f>
        <v>5.5147656768714146</v>
      </c>
      <c r="N78" s="194">
        <f t="shared" si="0"/>
        <v>1.6442320476910837</v>
      </c>
      <c r="O78" s="194">
        <f t="shared" si="5"/>
        <v>2.0461999999999998</v>
      </c>
      <c r="P78" s="194">
        <f>AVERAGE(Ashed_controlls!$K$12:$K$14)</f>
        <v>2.2816647271287041</v>
      </c>
      <c r="Q78" s="194">
        <f t="shared" si="6"/>
        <v>1.9995125763534922</v>
      </c>
      <c r="R78" s="16">
        <f>IF('WetLitterbags placem_collection'!G5="","",'WetLitterbags placem_collection'!G5)</f>
        <v>42819</v>
      </c>
      <c r="S78" s="194" t="str">
        <f>IFERROR(INDEX('Both teabags AfterWet'!$C$3:$C$2000,MATCH(H78,'Both teabags AfterWet'!$A$3:$A$2000,0)),"")</f>
        <v/>
      </c>
      <c r="T78" s="194" t="str">
        <f>IFERROR(INDEX('Both teabags AfterWet'!$C$3:$C$2000,MATCH(I78,'Both teabags AfterWet'!$A$3:$A$2000,0)),"")</f>
        <v/>
      </c>
      <c r="U78" s="194" t="str">
        <f t="shared" si="7"/>
        <v/>
      </c>
      <c r="V78" s="194" t="str">
        <f t="shared" si="8"/>
        <v/>
      </c>
      <c r="W78" s="194" t="str">
        <f>IFERROR(INDEX('Ashed teabags wet'!$K$2:$K$2000,MATCH(H78,'Ashed teabags wet'!$A$2:$A$2000,0)),"")</f>
        <v/>
      </c>
      <c r="X78" s="233" t="str">
        <f>IFERROR(INDEX('Ashed teabags wet'!$K$2:$K$2000,MATCH(I78,'Ashed teabags wet'!$A$2:$A$2000,0)),"")</f>
        <v/>
      </c>
      <c r="Y78" s="194" t="str">
        <f t="shared" ref="Y78:Z141" si="14">IFERROR(U78-(W78/100)*U78,"")</f>
        <v/>
      </c>
      <c r="Z78" s="194" t="str">
        <f t="shared" si="9"/>
        <v/>
      </c>
      <c r="AA78" s="194" t="str">
        <f t="shared" si="10"/>
        <v/>
      </c>
      <c r="AB78" s="194" t="str">
        <f t="shared" si="11"/>
        <v/>
      </c>
      <c r="AC78" s="194" t="str">
        <f t="shared" si="2"/>
        <v/>
      </c>
      <c r="AD78">
        <f t="shared" si="3"/>
        <v>53</v>
      </c>
      <c r="AE78" s="194" t="str">
        <f t="shared" si="12"/>
        <v/>
      </c>
      <c r="AF78" s="194" t="str">
        <f t="shared" si="13"/>
        <v/>
      </c>
      <c r="AG78" s="245" t="str">
        <f>IF(ISNUMBER(SEARCH("C",'WetLitterbags placem_collection'!$X5)),"YES","NO")</f>
        <v>NO</v>
      </c>
      <c r="AH78" s="245" t="str">
        <f>IF(ISNUMBER(SEARCH("H", 'WetLitterbags placem_collection'!$X5)),"YES","NO")</f>
        <v>NO</v>
      </c>
      <c r="AI78" s="245" t="str">
        <f>IF(ISNUMBER(SEARCH("R", 'WetLitterbags placem_collection'!$X5)),"YES","NO")</f>
        <v>NO</v>
      </c>
      <c r="AJ78" s="245" t="str">
        <f>IF(ISNUMBER(SEARCH("C", 'WetLitterbags placem_collection'!$V5)),"YES","NO")</f>
        <v>NO</v>
      </c>
      <c r="AK78" s="245" t="str">
        <f>IF(ISNUMBER(SEARCH("H", 'WetLitterbags placem_collection'!$V5)),"YES","NO")</f>
        <v>NO</v>
      </c>
      <c r="AL78" s="245" t="str">
        <f>IF(ISNUMBER(SEARCH("R", 'WetLitterbags placem_collection'!$V5)),"YES","NO")</f>
        <v>NO</v>
      </c>
    </row>
    <row r="79" spans="2:41">
      <c r="B79" t="str">
        <f>Wetseason!B5</f>
        <v>Wet</v>
      </c>
      <c r="C79" s="253">
        <f>Wetseason!C5</f>
        <v>4</v>
      </c>
      <c r="D79" t="s">
        <v>3099</v>
      </c>
      <c r="E79" t="s">
        <v>22</v>
      </c>
      <c r="F79" s="375">
        <v>4</v>
      </c>
      <c r="G79" s="16">
        <f>'WetLitterbags placem_collection'!E6</f>
        <v>42766</v>
      </c>
      <c r="H79" t="str">
        <f>Wetseason!L5</f>
        <v>G652</v>
      </c>
      <c r="I79" t="str">
        <f>Wetseason!L225</f>
        <v>R115</v>
      </c>
      <c r="J79">
        <f>IFERROR(INDEX('Green_rooibos initial weight'!$C$5:$C$2000,MATCH(H79, 'Green_rooibos initial weight'!$A$5:$A$2000,0)),"")</f>
        <v>2.024</v>
      </c>
      <c r="K79">
        <f>IFERROR(INDEX('Green_rooibos initial weight'!$C$5:$C$2000,MATCH(I79, 'Green_rooibos initial weight'!$A$5:$A$2000,0)),"")</f>
        <v>2.3119999999999998</v>
      </c>
      <c r="L79" s="194">
        <f t="shared" si="4"/>
        <v>1.7742</v>
      </c>
      <c r="M79" s="194">
        <f>AVERAGE(Ashed_controlls!$K$2:$K$11)</f>
        <v>5.5147656768714146</v>
      </c>
      <c r="N79" s="194">
        <f t="shared" si="0"/>
        <v>1.6763570273609474</v>
      </c>
      <c r="O79" s="194">
        <f t="shared" si="5"/>
        <v>2.0621999999999998</v>
      </c>
      <c r="P79" s="194">
        <f>AVERAGE(Ashed_controlls!$K$12:$K$14)</f>
        <v>2.2816647271287041</v>
      </c>
      <c r="Q79" s="194">
        <f t="shared" si="6"/>
        <v>2.0151475099971519</v>
      </c>
      <c r="R79" s="16">
        <f>IF('WetLitterbags placem_collection'!G6="","",'WetLitterbags placem_collection'!G6)</f>
        <v>42818</v>
      </c>
      <c r="S79" s="194" t="str">
        <f>IFERROR(INDEX('Both teabags AfterWet'!$C$3:$C$2000,MATCH(H79,'Both teabags AfterWet'!$A$3:$A$2000,0)),"")</f>
        <v/>
      </c>
      <c r="T79" s="194">
        <f>IFERROR(INDEX('Both teabags AfterWet'!$C$3:$C$2000,MATCH(I79,'Both teabags AfterWet'!$A$3:$A$2000,0)),"")</f>
        <v>1.4075</v>
      </c>
      <c r="U79" s="194" t="str">
        <f t="shared" si="7"/>
        <v/>
      </c>
      <c r="V79" s="194">
        <f t="shared" si="8"/>
        <v>1.2568999999999999</v>
      </c>
      <c r="W79" s="194" t="str">
        <f>IFERROR(INDEX('Ashed teabags wet'!$K$2:$K$2000,MATCH(H79,'Ashed teabags wet'!$A$2:$A$2000,0)),"")</f>
        <v/>
      </c>
      <c r="X79" s="233">
        <f>IFERROR(INDEX('Ashed teabags wet'!$K$2:$K$2000,MATCH(I79,'Ashed teabags wet'!$A$2:$A$2000,0)),"")</f>
        <v>5.3919121318019663</v>
      </c>
      <c r="Y79" s="194" t="str">
        <f t="shared" si="14"/>
        <v/>
      </c>
      <c r="Z79" s="194">
        <f t="shared" si="9"/>
        <v>1.1891290564153809</v>
      </c>
      <c r="AA79" s="194" t="str">
        <f t="shared" si="10"/>
        <v/>
      </c>
      <c r="AB79" s="194" t="str">
        <f t="shared" si="11"/>
        <v/>
      </c>
      <c r="AC79" s="194">
        <f t="shared" si="2"/>
        <v>0.59009529104748348</v>
      </c>
      <c r="AD79">
        <f t="shared" si="3"/>
        <v>52</v>
      </c>
      <c r="AE79" s="194" t="str">
        <f t="shared" si="12"/>
        <v/>
      </c>
      <c r="AF79" s="194" t="str">
        <f t="shared" si="13"/>
        <v/>
      </c>
      <c r="AG79" s="245" t="str">
        <f>IF(ISNUMBER(SEARCH("C",'WetLitterbags placem_collection'!$X6)),"YES","NO")</f>
        <v>NO</v>
      </c>
      <c r="AH79" s="245" t="str">
        <f>IF(ISNUMBER(SEARCH("H", 'WetLitterbags placem_collection'!$X6)),"YES","NO")</f>
        <v>NO</v>
      </c>
      <c r="AI79" s="245" t="str">
        <f>IF(ISNUMBER(SEARCH("R", 'WetLitterbags placem_collection'!$X6)),"YES","NO")</f>
        <v>NO</v>
      </c>
      <c r="AJ79" s="245" t="str">
        <f>IF(ISNUMBER(SEARCH("C", 'WetLitterbags placem_collection'!$V6)),"YES","NO")</f>
        <v>NO</v>
      </c>
      <c r="AK79" s="245" t="str">
        <f>IF(ISNUMBER(SEARCH("H", 'WetLitterbags placem_collection'!$V6)),"YES","NO")</f>
        <v>NO</v>
      </c>
      <c r="AL79" s="245" t="str">
        <f>IF(ISNUMBER(SEARCH("R", 'WetLitterbags placem_collection'!$V6)),"YES","NO")</f>
        <v>NO</v>
      </c>
    </row>
    <row r="80" spans="2:41">
      <c r="B80" t="str">
        <f>Wetseason!B6</f>
        <v>Wet</v>
      </c>
      <c r="C80" s="253">
        <f>Wetseason!C6</f>
        <v>5</v>
      </c>
      <c r="D80" t="s">
        <v>3099</v>
      </c>
      <c r="E80" t="s">
        <v>22</v>
      </c>
      <c r="F80" s="375">
        <v>5</v>
      </c>
      <c r="G80" s="16">
        <f>'WetLitterbags placem_collection'!E7</f>
        <v>42766</v>
      </c>
      <c r="H80" t="str">
        <f>Wetseason!L6</f>
        <v>G497</v>
      </c>
      <c r="I80" t="str">
        <f>Wetseason!L226</f>
        <v>R502</v>
      </c>
      <c r="J80">
        <f>IFERROR(INDEX('Green_rooibos initial weight'!$C$5:$C$2000,MATCH(H80, 'Green_rooibos initial weight'!$A$5:$A$2000,0)),"")</f>
        <v>2.0019999999999998</v>
      </c>
      <c r="K80">
        <f>IFERROR(INDEX('Green_rooibos initial weight'!$C$5:$C$2000,MATCH(I80, 'Green_rooibos initial weight'!$A$5:$A$2000,0)),"")</f>
        <v>2.1840000000000002</v>
      </c>
      <c r="L80" s="194">
        <f t="shared" si="4"/>
        <v>1.7521999999999998</v>
      </c>
      <c r="M80" s="194">
        <f>AVERAGE(Ashed_controlls!$K$2:$K$11)</f>
        <v>5.5147656768714146</v>
      </c>
      <c r="N80" s="194">
        <f t="shared" si="0"/>
        <v>1.6555702758098589</v>
      </c>
      <c r="O80" s="194">
        <f t="shared" si="5"/>
        <v>1.9342000000000001</v>
      </c>
      <c r="P80" s="194">
        <f>AVERAGE(Ashed_controlls!$K$12:$K$14)</f>
        <v>2.2816647271287041</v>
      </c>
      <c r="Q80" s="194">
        <f t="shared" si="6"/>
        <v>1.8900680408478767</v>
      </c>
      <c r="R80" s="16">
        <f>IF('WetLitterbags placem_collection'!G7="","",'WetLitterbags placem_collection'!G7)</f>
        <v>42818</v>
      </c>
      <c r="S80" s="194">
        <f>IFERROR(INDEX('Both teabags AfterWet'!$C$3:$C$2000,MATCH(H80,'Both teabags AfterWet'!$A$3:$A$2000,0)),"")</f>
        <v>0.46</v>
      </c>
      <c r="T80" s="194">
        <f>IFERROR(INDEX('Both teabags AfterWet'!$C$3:$C$2000,MATCH(I80,'Both teabags AfterWet'!$A$3:$A$2000,0)),"")</f>
        <v>1.3823000000000001</v>
      </c>
      <c r="U80" s="194">
        <f t="shared" si="7"/>
        <v>0.30940000000000001</v>
      </c>
      <c r="V80" s="194">
        <f t="shared" si="8"/>
        <v>1.2317</v>
      </c>
      <c r="W80" s="194">
        <f>IFERROR(INDEX('Ashed teabags wet'!$K$2:$K$2000,MATCH(H80,'Ashed teabags wet'!$A$2:$A$2000,0)),"")</f>
        <v>19.444444444444176</v>
      </c>
      <c r="X80" s="233">
        <f>IFERROR(INDEX('Ashed teabags wet'!$K$2:$K$2000,MATCH(I80,'Ashed teabags wet'!$A$2:$A$2000,0)),"")</f>
        <v>4.6214355948865089</v>
      </c>
      <c r="Y80" s="194">
        <f t="shared" si="14"/>
        <v>0.24923888888888973</v>
      </c>
      <c r="Z80" s="194">
        <f t="shared" si="9"/>
        <v>1.1747777777777828</v>
      </c>
      <c r="AA80" s="194">
        <f t="shared" si="10"/>
        <v>0.84945435870007446</v>
      </c>
      <c r="AB80" s="194">
        <f t="shared" si="11"/>
        <v>0.55688694299577335</v>
      </c>
      <c r="AC80" s="194">
        <f t="shared" si="2"/>
        <v>0.62155316760489865</v>
      </c>
      <c r="AD80">
        <f t="shared" si="3"/>
        <v>52</v>
      </c>
      <c r="AE80" s="194">
        <f t="shared" si="12"/>
        <v>-8.8531576010386637E-3</v>
      </c>
      <c r="AF80" s="194">
        <f t="shared" si="13"/>
        <v>2.1886715661006455E-2</v>
      </c>
      <c r="AG80" s="245" t="str">
        <f>IF(ISNUMBER(SEARCH("C",'WetLitterbags placem_collection'!$X7)),"YES","NO")</f>
        <v>NO</v>
      </c>
      <c r="AH80" s="245" t="str">
        <f>IF(ISNUMBER(SEARCH("H", 'WetLitterbags placem_collection'!$X7)),"YES","NO")</f>
        <v>NO</v>
      </c>
      <c r="AI80" s="245" t="str">
        <f>IF(ISNUMBER(SEARCH("R", 'WetLitterbags placem_collection'!$X7)),"YES","NO")</f>
        <v>NO</v>
      </c>
      <c r="AJ80" s="245" t="str">
        <f>IF(ISNUMBER(SEARCH("C", 'WetLitterbags placem_collection'!$V7)),"YES","NO")</f>
        <v>NO</v>
      </c>
      <c r="AK80" s="245" t="str">
        <f>IF(ISNUMBER(SEARCH("H", 'WetLitterbags placem_collection'!$V7)),"YES","NO")</f>
        <v>NO</v>
      </c>
      <c r="AL80" s="245" t="str">
        <f>IF(ISNUMBER(SEARCH("R", 'WetLitterbags placem_collection'!$V7)),"YES","NO")</f>
        <v>NO</v>
      </c>
    </row>
    <row r="81" spans="2:38">
      <c r="B81" t="str">
        <f>Wetseason!B7</f>
        <v>Wet</v>
      </c>
      <c r="C81" s="253">
        <f>Wetseason!C7</f>
        <v>6</v>
      </c>
      <c r="D81" t="s">
        <v>3099</v>
      </c>
      <c r="E81" t="s">
        <v>22</v>
      </c>
      <c r="F81" s="375">
        <v>6</v>
      </c>
      <c r="G81" s="16">
        <f>'WetLitterbags placem_collection'!E8</f>
        <v>42766</v>
      </c>
      <c r="H81" t="str">
        <f>Wetseason!L7</f>
        <v>G447</v>
      </c>
      <c r="I81" t="str">
        <f>Wetseason!L227</f>
        <v>R177</v>
      </c>
      <c r="J81">
        <f>IFERROR(INDEX('Green_rooibos initial weight'!$C$5:$C$2000,MATCH(H81, 'Green_rooibos initial weight'!$A$5:$A$2000,0)),"")</f>
        <v>2.0579999999999998</v>
      </c>
      <c r="K81">
        <f>IFERROR(INDEX('Green_rooibos initial weight'!$C$5:$C$2000,MATCH(I81, 'Green_rooibos initial weight'!$A$5:$A$2000,0)),"")</f>
        <v>2.153</v>
      </c>
      <c r="L81" s="194">
        <f t="shared" si="4"/>
        <v>1.8081999999999998</v>
      </c>
      <c r="M81" s="194">
        <f>AVERAGE(Ashed_controlls!$K$2:$K$11)</f>
        <v>5.5147656768714146</v>
      </c>
      <c r="N81" s="194">
        <f t="shared" si="0"/>
        <v>1.7084820070308109</v>
      </c>
      <c r="O81" s="194">
        <f t="shared" si="5"/>
        <v>1.9032</v>
      </c>
      <c r="P81" s="194">
        <f>AVERAGE(Ashed_controlls!$K$12:$K$14)</f>
        <v>2.2816647271287041</v>
      </c>
      <c r="Q81" s="194">
        <f t="shared" si="6"/>
        <v>1.8597753569132864</v>
      </c>
      <c r="R81" s="16">
        <f>IF('WetLitterbags placem_collection'!G8="","",'WetLitterbags placem_collection'!G8)</f>
        <v>42818</v>
      </c>
      <c r="S81" s="194">
        <f>IFERROR(INDEX('Both teabags AfterWet'!$C$3:$C$2000,MATCH(H81,'Both teabags AfterWet'!$A$3:$A$2000,0)),"")</f>
        <v>0.67749999999999999</v>
      </c>
      <c r="T81" s="194">
        <f>IFERROR(INDEX('Both teabags AfterWet'!$C$3:$C$2000,MATCH(I81,'Both teabags AfterWet'!$A$3:$A$2000,0)),"")</f>
        <v>1.4271</v>
      </c>
      <c r="U81" s="194">
        <f t="shared" si="7"/>
        <v>0.52689999999999992</v>
      </c>
      <c r="V81" s="194">
        <f t="shared" si="8"/>
        <v>1.2765</v>
      </c>
      <c r="W81" s="194">
        <f>IFERROR(INDEX('Ashed teabags wet'!$K$2:$K$2000,MATCH(H81,'Ashed teabags wet'!$A$2:$A$2000,0)),"")</f>
        <v>11.472945891783862</v>
      </c>
      <c r="X81" s="233">
        <f>IFERROR(INDEX('Ashed teabags wet'!$K$2:$K$2000,MATCH(I81,'Ashed teabags wet'!$A$2:$A$2000,0)),"")</f>
        <v>14.46446446446422</v>
      </c>
      <c r="Y81" s="194">
        <f t="shared" si="14"/>
        <v>0.46644904809619075</v>
      </c>
      <c r="Z81" s="194">
        <f t="shared" si="9"/>
        <v>1.0918611111111143</v>
      </c>
      <c r="AA81" s="194">
        <f t="shared" si="10"/>
        <v>0.72698041525948676</v>
      </c>
      <c r="AB81" s="194">
        <f t="shared" si="11"/>
        <v>0.47659523660716951</v>
      </c>
      <c r="AC81" s="194">
        <f t="shared" si="2"/>
        <v>0.58709300940695452</v>
      </c>
      <c r="AD81">
        <f t="shared" si="3"/>
        <v>52</v>
      </c>
      <c r="AE81" s="194">
        <f t="shared" si="12"/>
        <v>0.13660283223338865</v>
      </c>
      <c r="AF81" s="194">
        <f t="shared" si="13"/>
        <v>3.8705145105853538E-2</v>
      </c>
      <c r="AG81" s="245" t="str">
        <f>IF(ISNUMBER(SEARCH("C",'WetLitterbags placem_collection'!$X8)),"YES","NO")</f>
        <v>NO</v>
      </c>
      <c r="AH81" s="245" t="str">
        <f>IF(ISNUMBER(SEARCH("H", 'WetLitterbags placem_collection'!$X8)),"YES","NO")</f>
        <v>NO</v>
      </c>
      <c r="AI81" s="245" t="str">
        <f>IF(ISNUMBER(SEARCH("R", 'WetLitterbags placem_collection'!$X8)),"YES","NO")</f>
        <v>YES</v>
      </c>
      <c r="AJ81" s="245" t="str">
        <f>IF(ISNUMBER(SEARCH("C", 'WetLitterbags placem_collection'!$V8)),"YES","NO")</f>
        <v>NO</v>
      </c>
      <c r="AK81" s="245" t="str">
        <f>IF(ISNUMBER(SEARCH("H", 'WetLitterbags placem_collection'!$V8)),"YES","NO")</f>
        <v>NO</v>
      </c>
      <c r="AL81" s="245" t="str">
        <f>IF(ISNUMBER(SEARCH("R", 'WetLitterbags placem_collection'!$V8)),"YES","NO")</f>
        <v>NO</v>
      </c>
    </row>
    <row r="82" spans="2:38">
      <c r="B82" t="str">
        <f>Wetseason!B8</f>
        <v>Wet</v>
      </c>
      <c r="C82" s="253">
        <f>Wetseason!C8</f>
        <v>7</v>
      </c>
      <c r="D82" t="s">
        <v>3099</v>
      </c>
      <c r="E82" t="s">
        <v>22</v>
      </c>
      <c r="F82" s="375">
        <v>7</v>
      </c>
      <c r="G82" s="16">
        <f>'WetLitterbags placem_collection'!E9</f>
        <v>42766</v>
      </c>
      <c r="H82" t="str">
        <f>Wetseason!L8</f>
        <v>G452</v>
      </c>
      <c r="I82" t="str">
        <f>Wetseason!L228</f>
        <v>R531</v>
      </c>
      <c r="J82">
        <f>IFERROR(INDEX('Green_rooibos initial weight'!$C$5:$C$2000,MATCH(H82, 'Green_rooibos initial weight'!$A$5:$A$2000,0)),"")</f>
        <v>2.0550000000000002</v>
      </c>
      <c r="K82">
        <f>IFERROR(INDEX('Green_rooibos initial weight'!$C$5:$C$2000,MATCH(I82, 'Green_rooibos initial weight'!$A$5:$A$2000,0)),"")</f>
        <v>2.101</v>
      </c>
      <c r="L82" s="194">
        <f t="shared" si="4"/>
        <v>1.8052000000000001</v>
      </c>
      <c r="M82" s="194">
        <f>AVERAGE(Ashed_controlls!$K$2:$K$11)</f>
        <v>5.5147656768714146</v>
      </c>
      <c r="N82" s="194">
        <f t="shared" si="0"/>
        <v>1.7056474500011174</v>
      </c>
      <c r="O82" s="194">
        <f t="shared" si="5"/>
        <v>1.8512</v>
      </c>
      <c r="P82" s="194">
        <f>AVERAGE(Ashed_controlls!$K$12:$K$14)</f>
        <v>2.2816647271287041</v>
      </c>
      <c r="Q82" s="194">
        <f t="shared" si="6"/>
        <v>1.8089618225713935</v>
      </c>
      <c r="R82" s="16">
        <f>IF('WetLitterbags placem_collection'!G9="","",'WetLitterbags placem_collection'!G9)</f>
        <v>42818</v>
      </c>
      <c r="S82" s="194">
        <f>IFERROR(INDEX('Both teabags AfterWet'!$C$3:$C$2000,MATCH(H82,'Both teabags AfterWet'!$A$3:$A$2000,0)),"")</f>
        <v>0.67900000000000005</v>
      </c>
      <c r="T82" s="194">
        <f>IFERROR(INDEX('Both teabags AfterWet'!$C$3:$C$2000,MATCH(I82,'Both teabags AfterWet'!$A$3:$A$2000,0)),"")</f>
        <v>1.4430000000000001</v>
      </c>
      <c r="U82" s="194">
        <f t="shared" si="7"/>
        <v>0.52839999999999998</v>
      </c>
      <c r="V82" s="194">
        <f t="shared" si="8"/>
        <v>1.2924</v>
      </c>
      <c r="W82" s="194">
        <f>IFERROR(INDEX('Ashed teabags wet'!$K$2:$K$2000,MATCH(H82,'Ashed teabags wet'!$A$2:$A$2000,0)),"")</f>
        <v>11.36705057586399</v>
      </c>
      <c r="X82" s="233">
        <f>IFERROR(INDEX('Ashed teabags wet'!$K$2:$K$2000,MATCH(I82,'Ashed teabags wet'!$A$2:$A$2000,0)),"")</f>
        <v>3.1630170316302406</v>
      </c>
      <c r="Y82" s="194">
        <f t="shared" si="14"/>
        <v>0.46833650475713468</v>
      </c>
      <c r="Z82" s="194">
        <f t="shared" si="9"/>
        <v>1.2515211678832108</v>
      </c>
      <c r="AA82" s="194">
        <f t="shared" si="10"/>
        <v>0.72542010087909559</v>
      </c>
      <c r="AB82" s="194">
        <f t="shared" si="11"/>
        <v>0.47557232266658056</v>
      </c>
      <c r="AC82" s="194">
        <f t="shared" si="2"/>
        <v>0.69184498659247828</v>
      </c>
      <c r="AD82">
        <f t="shared" si="3"/>
        <v>52</v>
      </c>
      <c r="AE82" s="194">
        <f t="shared" si="12"/>
        <v>0.13845593719822369</v>
      </c>
      <c r="AF82" s="194">
        <f t="shared" si="13"/>
        <v>2.0077488755003252E-2</v>
      </c>
      <c r="AG82" s="245" t="str">
        <f>IF(ISNUMBER(SEARCH("C",'WetLitterbags placem_collection'!$X9)),"YES","NO")</f>
        <v>NO</v>
      </c>
      <c r="AH82" s="245" t="str">
        <f>IF(ISNUMBER(SEARCH("H", 'WetLitterbags placem_collection'!$X9)),"YES","NO")</f>
        <v>NO</v>
      </c>
      <c r="AI82" s="245" t="str">
        <f>IF(ISNUMBER(SEARCH("R", 'WetLitterbags placem_collection'!$X9)),"YES","NO")</f>
        <v>YES</v>
      </c>
      <c r="AJ82" s="245" t="str">
        <f>IF(ISNUMBER(SEARCH("C", 'WetLitterbags placem_collection'!$V9)),"YES","NO")</f>
        <v>NO</v>
      </c>
      <c r="AK82" s="245" t="str">
        <f>IF(ISNUMBER(SEARCH("H", 'WetLitterbags placem_collection'!$V9)),"YES","NO")</f>
        <v>NO</v>
      </c>
      <c r="AL82" s="245" t="str">
        <f>IF(ISNUMBER(SEARCH("R", 'WetLitterbags placem_collection'!$V9)),"YES","NO")</f>
        <v>NO</v>
      </c>
    </row>
    <row r="83" spans="2:38">
      <c r="B83" t="str">
        <f>Wetseason!B9</f>
        <v>Wet</v>
      </c>
      <c r="C83" s="253">
        <f>Wetseason!C9</f>
        <v>8</v>
      </c>
      <c r="D83" t="s">
        <v>3099</v>
      </c>
      <c r="E83" t="s">
        <v>22</v>
      </c>
      <c r="F83" s="375">
        <v>8</v>
      </c>
      <c r="G83" s="16">
        <f>'WetLitterbags placem_collection'!E10</f>
        <v>42766</v>
      </c>
      <c r="H83" t="str">
        <f>Wetseason!L9</f>
        <v>G389</v>
      </c>
      <c r="I83" t="str">
        <f>Wetseason!L229</f>
        <v>R406</v>
      </c>
      <c r="J83">
        <f>IFERROR(INDEX('Green_rooibos initial weight'!$C$5:$C$2000,MATCH(H83, 'Green_rooibos initial weight'!$A$5:$A$2000,0)),"")</f>
        <v>1.9710000000000001</v>
      </c>
      <c r="K83">
        <f>IFERROR(INDEX('Green_rooibos initial weight'!$C$5:$C$2000,MATCH(I83, 'Green_rooibos initial weight'!$A$5:$A$2000,0)),"")</f>
        <v>2.1739999999999999</v>
      </c>
      <c r="L83" s="194">
        <f t="shared" si="4"/>
        <v>1.7212000000000001</v>
      </c>
      <c r="M83" s="194">
        <f>AVERAGE(Ashed_controlls!$K$2:$K$11)</f>
        <v>5.5147656768714146</v>
      </c>
      <c r="N83" s="194">
        <f t="shared" si="0"/>
        <v>1.6262798531696894</v>
      </c>
      <c r="O83" s="194">
        <f t="shared" si="5"/>
        <v>1.9241999999999999</v>
      </c>
      <c r="P83" s="194">
        <f>AVERAGE(Ashed_controlls!$K$12:$K$14)</f>
        <v>2.2816647271287041</v>
      </c>
      <c r="Q83" s="194">
        <f t="shared" si="6"/>
        <v>1.8802962073205893</v>
      </c>
      <c r="R83" s="16">
        <f>IF('WetLitterbags placem_collection'!G10="","",'WetLitterbags placem_collection'!G10)</f>
        <v>42818</v>
      </c>
      <c r="S83" s="194">
        <f>IFERROR(INDEX('Both teabags AfterWet'!$C$3:$C$2000,MATCH(H83,'Both teabags AfterWet'!$A$3:$A$2000,0)),"")</f>
        <v>0.61950000000000005</v>
      </c>
      <c r="T83" s="194">
        <f>IFERROR(INDEX('Both teabags AfterWet'!$C$3:$C$2000,MATCH(I83,'Both teabags AfterWet'!$A$3:$A$2000,0)),"")</f>
        <v>1.4278999999999999</v>
      </c>
      <c r="U83" s="194">
        <f t="shared" si="7"/>
        <v>0.46890000000000004</v>
      </c>
      <c r="V83" s="194">
        <f t="shared" si="8"/>
        <v>1.2772999999999999</v>
      </c>
      <c r="W83" s="194">
        <f>IFERROR(INDEX('Ashed teabags wet'!$K$2:$K$2000,MATCH(H83,'Ashed teabags wet'!$A$2:$A$2000,0)),"")</f>
        <v>9.7706879361918428</v>
      </c>
      <c r="X83" s="233">
        <f>IFERROR(INDEX('Ashed teabags wet'!$K$2:$K$2000,MATCH(I83,'Ashed teabags wet'!$A$2:$A$2000,0)),"")</f>
        <v>2.5291828793778013</v>
      </c>
      <c r="Y83" s="194">
        <f t="shared" si="14"/>
        <v>0.42308524426719651</v>
      </c>
      <c r="Z83" s="194">
        <f t="shared" si="9"/>
        <v>1.2449947470817073</v>
      </c>
      <c r="AA83" s="194">
        <f t="shared" si="10"/>
        <v>0.73984474846528703</v>
      </c>
      <c r="AB83" s="194">
        <f t="shared" si="11"/>
        <v>0.48502886122664901</v>
      </c>
      <c r="AC83" s="194">
        <f t="shared" si="2"/>
        <v>0.66212692565913178</v>
      </c>
      <c r="AD83">
        <f t="shared" si="3"/>
        <v>52</v>
      </c>
      <c r="AE83" s="194">
        <f t="shared" si="12"/>
        <v>0.12132452676331706</v>
      </c>
      <c r="AF83" s="194">
        <f t="shared" si="13"/>
        <v>2.2936857625070192E-2</v>
      </c>
      <c r="AG83" s="245" t="str">
        <f>IF(ISNUMBER(SEARCH("C",'WetLitterbags placem_collection'!$X10)),"YES","NO")</f>
        <v>NO</v>
      </c>
      <c r="AH83" s="245" t="str">
        <f>IF(ISNUMBER(SEARCH("H", 'WetLitterbags placem_collection'!$X10)),"YES","NO")</f>
        <v>NO</v>
      </c>
      <c r="AI83" s="245" t="str">
        <f>IF(ISNUMBER(SEARCH("R", 'WetLitterbags placem_collection'!$X10)),"YES","NO")</f>
        <v>NO</v>
      </c>
      <c r="AJ83" s="245" t="str">
        <f>IF(ISNUMBER(SEARCH("C", 'WetLitterbags placem_collection'!$V10)),"YES","NO")</f>
        <v>NO</v>
      </c>
      <c r="AK83" s="245" t="str">
        <f>IF(ISNUMBER(SEARCH("H", 'WetLitterbags placem_collection'!$V10)),"YES","NO")</f>
        <v>YES</v>
      </c>
      <c r="AL83" s="245" t="str">
        <f>IF(ISNUMBER(SEARCH("R", 'WetLitterbags placem_collection'!$V10)),"YES","NO")</f>
        <v>NO</v>
      </c>
    </row>
    <row r="84" spans="2:38">
      <c r="B84" t="str">
        <f>Wetseason!B10</f>
        <v>Wet</v>
      </c>
      <c r="C84" s="253">
        <f>Wetseason!C10</f>
        <v>9</v>
      </c>
      <c r="D84" t="s">
        <v>3103</v>
      </c>
      <c r="E84" t="s">
        <v>22</v>
      </c>
      <c r="F84" s="374">
        <v>1</v>
      </c>
      <c r="G84" s="16">
        <f>'WetLitterbags placem_collection'!E11</f>
        <v>42766</v>
      </c>
      <c r="H84" t="str">
        <f>Wetseason!L10</f>
        <v>G514</v>
      </c>
      <c r="I84" t="str">
        <f>Wetseason!L230</f>
        <v>R169</v>
      </c>
      <c r="J84">
        <f>IFERROR(INDEX('Green_rooibos initial weight'!$C$5:$C$2000,MATCH(H84, 'Green_rooibos initial weight'!$A$5:$A$2000,0)),"")</f>
        <v>1.9350000000000001</v>
      </c>
      <c r="K84">
        <f>IFERROR(INDEX('Green_rooibos initial weight'!$C$5:$C$2000,MATCH(I84, 'Green_rooibos initial weight'!$A$5:$A$2000,0)),"")</f>
        <v>2.2010000000000001</v>
      </c>
      <c r="L84" s="194">
        <f t="shared" si="4"/>
        <v>1.6852</v>
      </c>
      <c r="M84" s="194">
        <f>AVERAGE(Ashed_controlls!$K$2:$K$11)</f>
        <v>5.5147656768714146</v>
      </c>
      <c r="N84" s="194">
        <f t="shared" si="0"/>
        <v>1.5922651688133629</v>
      </c>
      <c r="O84" s="194">
        <f t="shared" si="5"/>
        <v>1.9512</v>
      </c>
      <c r="P84" s="194">
        <f>AVERAGE(Ashed_controlls!$K$12:$K$14)</f>
        <v>2.2816647271287041</v>
      </c>
      <c r="Q84" s="194">
        <f t="shared" si="6"/>
        <v>1.9066801578442647</v>
      </c>
      <c r="R84" s="16">
        <f>IF('WetLitterbags placem_collection'!G11="","",'WetLitterbags placem_collection'!G11)</f>
        <v>42818</v>
      </c>
      <c r="S84" s="194">
        <f>IFERROR(INDEX('Both teabags AfterWet'!$C$3:$C$2000,MATCH(H84,'Both teabags AfterWet'!$A$3:$A$2000,0)),"")</f>
        <v>0.59470000000000001</v>
      </c>
      <c r="T84" s="194">
        <f>IFERROR(INDEX('Both teabags AfterWet'!$C$3:$C$2000,MATCH(I84,'Both teabags AfterWet'!$A$3:$A$2000,0)),"")</f>
        <v>2.8336999999999999</v>
      </c>
      <c r="U84" s="194">
        <f t="shared" si="7"/>
        <v>0.44409999999999999</v>
      </c>
      <c r="V84" s="194">
        <f t="shared" si="8"/>
        <v>2.6831</v>
      </c>
      <c r="W84" s="194">
        <f>IFERROR(INDEX('Ashed teabags wet'!$K$2:$K$2000,MATCH(H84,'Ashed teabags wet'!$A$2:$A$2000,0)),"")</f>
        <v>9.2933204259437421</v>
      </c>
      <c r="X84" s="233">
        <f>IFERROR(INDEX('Ashed teabags wet'!$K$2:$K$2000,MATCH(I84,'Ashed teabags wet'!$A$2:$A$2000,0)),"")</f>
        <v>95.2866861030124</v>
      </c>
      <c r="Y84" s="194">
        <f t="shared" si="14"/>
        <v>0.40282836398838384</v>
      </c>
      <c r="Z84" s="194">
        <f t="shared" si="9"/>
        <v>0.1264629251700744</v>
      </c>
      <c r="AA84" s="194">
        <f t="shared" si="10"/>
        <v>0.7470092470285008</v>
      </c>
      <c r="AB84" s="194">
        <f t="shared" si="11"/>
        <v>0.48972577714932602</v>
      </c>
      <c r="AC84" s="194">
        <f t="shared" si="2"/>
        <v>6.6326239694577946E-2</v>
      </c>
      <c r="AD84">
        <f t="shared" si="3"/>
        <v>52</v>
      </c>
      <c r="AE84" s="194">
        <f t="shared" si="12"/>
        <v>0.11281562110629351</v>
      </c>
      <c r="AF84" s="194" t="str">
        <f t="shared" si="13"/>
        <v/>
      </c>
      <c r="AG84" s="245" t="str">
        <f>IF(ISNUMBER(SEARCH("C",'WetLitterbags placem_collection'!$X11)),"YES","NO")</f>
        <v>NO</v>
      </c>
      <c r="AH84" s="245" t="str">
        <f>IF(ISNUMBER(SEARCH("H", 'WetLitterbags placem_collection'!$X11)),"YES","NO")</f>
        <v>NO</v>
      </c>
      <c r="AI84" s="245" t="str">
        <f>IF(ISNUMBER(SEARCH("R", 'WetLitterbags placem_collection'!$X11)),"YES","NO")</f>
        <v>NO</v>
      </c>
      <c r="AJ84" s="245" t="str">
        <f>IF(ISNUMBER(SEARCH("C", 'WetLitterbags placem_collection'!$V11)),"YES","NO")</f>
        <v>NO</v>
      </c>
      <c r="AK84" s="245" t="str">
        <f>IF(ISNUMBER(SEARCH("H", 'WetLitterbags placem_collection'!$V11)),"YES","NO")</f>
        <v>NO</v>
      </c>
      <c r="AL84" s="245" t="str">
        <f>IF(ISNUMBER(SEARCH("R", 'WetLitterbags placem_collection'!$V11)),"YES","NO")</f>
        <v>YES</v>
      </c>
    </row>
    <row r="85" spans="2:38">
      <c r="B85" t="str">
        <f>Wetseason!B11</f>
        <v>Wet</v>
      </c>
      <c r="C85" s="253">
        <f>Wetseason!C11</f>
        <v>10</v>
      </c>
      <c r="D85" t="s">
        <v>3103</v>
      </c>
      <c r="E85" t="s">
        <v>22</v>
      </c>
      <c r="F85" s="374">
        <v>2</v>
      </c>
      <c r="G85" s="16">
        <f>'WetLitterbags placem_collection'!E12</f>
        <v>42766</v>
      </c>
      <c r="H85" t="str">
        <f>Wetseason!L11</f>
        <v>G286</v>
      </c>
      <c r="I85" t="str">
        <f>Wetseason!L231</f>
        <v>R91</v>
      </c>
      <c r="J85">
        <f>IFERROR(INDEX('Green_rooibos initial weight'!$C$5:$C$2000,MATCH(H85, 'Green_rooibos initial weight'!$A$5:$A$2000,0)),"")</f>
        <v>2.0710000000000002</v>
      </c>
      <c r="K85">
        <f>IFERROR(INDEX('Green_rooibos initial weight'!$C$5:$C$2000,MATCH(I85, 'Green_rooibos initial weight'!$A$5:$A$2000,0)),"")</f>
        <v>2.133</v>
      </c>
      <c r="L85" s="194">
        <f t="shared" si="4"/>
        <v>1.8212000000000002</v>
      </c>
      <c r="M85" s="194">
        <f>AVERAGE(Ashed_controlls!$K$2:$K$11)</f>
        <v>5.5147656768714146</v>
      </c>
      <c r="N85" s="194">
        <f t="shared" si="0"/>
        <v>1.720765087492818</v>
      </c>
      <c r="O85" s="194">
        <f t="shared" si="5"/>
        <v>1.8832</v>
      </c>
      <c r="P85" s="194">
        <f>AVERAGE(Ashed_controlls!$K$12:$K$14)</f>
        <v>2.2816647271287041</v>
      </c>
      <c r="Q85" s="194">
        <f t="shared" si="6"/>
        <v>1.8402316898587123</v>
      </c>
      <c r="R85" s="16">
        <f>IF('WetLitterbags placem_collection'!G12="","",'WetLitterbags placem_collection'!G12)</f>
        <v>42818</v>
      </c>
      <c r="S85" s="194">
        <f>IFERROR(INDEX('Both teabags AfterWet'!$C$3:$C$2000,MATCH(H85,'Both teabags AfterWet'!$A$3:$A$2000,0)),"")</f>
        <v>0.80200000000000005</v>
      </c>
      <c r="T85" s="194">
        <f>IFERROR(INDEX('Both teabags AfterWet'!$C$3:$C$2000,MATCH(I85,'Both teabags AfterWet'!$A$3:$A$2000,0)),"")</f>
        <v>1.3628</v>
      </c>
      <c r="U85" s="194">
        <f t="shared" si="7"/>
        <v>0.65139999999999998</v>
      </c>
      <c r="V85" s="194">
        <f t="shared" si="8"/>
        <v>1.2121999999999999</v>
      </c>
      <c r="W85" s="194">
        <f>IFERROR(INDEX('Ashed teabags wet'!$K$2:$K$2000,MATCH(H85,'Ashed teabags wet'!$A$2:$A$2000,0)),"")</f>
        <v>14.321233217304874</v>
      </c>
      <c r="X85" s="233">
        <f>IFERROR(INDEX('Ashed teabags wet'!$K$2:$K$2000,MATCH(I85,'Ashed teabags wet'!$A$2:$A$2000,0)),"")</f>
        <v>4.3562439496613994</v>
      </c>
      <c r="Y85" s="194">
        <f t="shared" si="14"/>
        <v>0.55811148682247602</v>
      </c>
      <c r="Z85" s="194">
        <f t="shared" si="9"/>
        <v>1.1593936108422045</v>
      </c>
      <c r="AA85" s="194">
        <f t="shared" si="10"/>
        <v>0.67566084942154814</v>
      </c>
      <c r="AB85" s="194">
        <f t="shared" si="11"/>
        <v>0.44295105567778459</v>
      </c>
      <c r="AC85" s="194">
        <f t="shared" si="2"/>
        <v>0.63002589143067056</v>
      </c>
      <c r="AD85">
        <f t="shared" si="3"/>
        <v>52</v>
      </c>
      <c r="AE85" s="194">
        <f t="shared" si="12"/>
        <v>0.19755243536633238</v>
      </c>
      <c r="AF85" s="194">
        <f t="shared" si="13"/>
        <v>3.4679147728915685E-2</v>
      </c>
      <c r="AG85" s="245" t="str">
        <f>IF(ISNUMBER(SEARCH("C",'WetLitterbags placem_collection'!$X12)),"YES","NO")</f>
        <v>NO</v>
      </c>
      <c r="AH85" s="245" t="str">
        <f>IF(ISNUMBER(SEARCH("H", 'WetLitterbags placem_collection'!$X12)),"YES","NO")</f>
        <v>NO</v>
      </c>
      <c r="AI85" s="245" t="str">
        <f>IF(ISNUMBER(SEARCH("R", 'WetLitterbags placem_collection'!$X12)),"YES","NO")</f>
        <v>NO</v>
      </c>
      <c r="AJ85" s="245" t="str">
        <f>IF(ISNUMBER(SEARCH("C", 'WetLitterbags placem_collection'!$V12)),"YES","NO")</f>
        <v>NO</v>
      </c>
      <c r="AK85" s="245" t="str">
        <f>IF(ISNUMBER(SEARCH("H", 'WetLitterbags placem_collection'!$V12)),"YES","NO")</f>
        <v>NO</v>
      </c>
      <c r="AL85" s="245" t="str">
        <f>IF(ISNUMBER(SEARCH("R", 'WetLitterbags placem_collection'!$V12)),"YES","NO")</f>
        <v>NO</v>
      </c>
    </row>
    <row r="86" spans="2:38">
      <c r="B86" t="str">
        <f>Wetseason!B12</f>
        <v>Wet</v>
      </c>
      <c r="C86" s="253">
        <f>Wetseason!C12</f>
        <v>11</v>
      </c>
      <c r="D86" t="s">
        <v>3103</v>
      </c>
      <c r="E86" t="s">
        <v>22</v>
      </c>
      <c r="F86" s="374">
        <v>3</v>
      </c>
      <c r="G86" s="16">
        <f>'WetLitterbags placem_collection'!E13</f>
        <v>42766</v>
      </c>
      <c r="H86" t="str">
        <f>Wetseason!L12</f>
        <v>G543</v>
      </c>
      <c r="I86" t="str">
        <f>Wetseason!L232</f>
        <v>R446</v>
      </c>
      <c r="J86">
        <f>IFERROR(INDEX('Green_rooibos initial weight'!$C$5:$C$2000,MATCH(H86, 'Green_rooibos initial weight'!$A$5:$A$2000,0)),"")</f>
        <v>2.0920000000000001</v>
      </c>
      <c r="K86">
        <f>IFERROR(INDEX('Green_rooibos initial weight'!$C$5:$C$2000,MATCH(I86, 'Green_rooibos initial weight'!$A$5:$A$2000,0)),"")</f>
        <v>2.2679999999999998</v>
      </c>
      <c r="L86" s="194">
        <f t="shared" si="4"/>
        <v>1.8422000000000001</v>
      </c>
      <c r="M86" s="194">
        <f>AVERAGE(Ashed_controlls!$K$2:$K$11)</f>
        <v>5.5147656768714146</v>
      </c>
      <c r="N86" s="194">
        <f t="shared" si="0"/>
        <v>1.7406069867006748</v>
      </c>
      <c r="O86" s="194">
        <f t="shared" si="5"/>
        <v>2.0181999999999998</v>
      </c>
      <c r="P86" s="194">
        <f>AVERAGE(Ashed_controlls!$K$12:$K$14)</f>
        <v>2.2816647271287041</v>
      </c>
      <c r="Q86" s="194">
        <f t="shared" si="6"/>
        <v>1.9721514424770883</v>
      </c>
      <c r="R86" s="16">
        <f>IF('WetLitterbags placem_collection'!G13="","",'WetLitterbags placem_collection'!G13)</f>
        <v>42818</v>
      </c>
      <c r="S86" s="194">
        <f>IFERROR(INDEX('Both teabags AfterWet'!$C$3:$C$2000,MATCH(H86,'Both teabags AfterWet'!$A$3:$A$2000,0)),"")</f>
        <v>0.71650000000000003</v>
      </c>
      <c r="T86" s="194">
        <f>IFERROR(INDEX('Both teabags AfterWet'!$C$3:$C$2000,MATCH(I86,'Both teabags AfterWet'!$A$3:$A$2000,0)),"")</f>
        <v>1.4224000000000001</v>
      </c>
      <c r="U86" s="194">
        <f t="shared" si="7"/>
        <v>0.56590000000000007</v>
      </c>
      <c r="V86" s="194">
        <f t="shared" si="8"/>
        <v>1.2718</v>
      </c>
      <c r="W86" s="194">
        <f>IFERROR(INDEX('Ashed teabags wet'!$K$2:$K$2000,MATCH(H86,'Ashed teabags wet'!$A$2:$A$2000,0)),"")</f>
        <v>12.04819277108421</v>
      </c>
      <c r="X86" s="233">
        <f>IFERROR(INDEX('Ashed teabags wet'!$K$2:$K$2000,MATCH(I86,'Ashed teabags wet'!$A$2:$A$2000,0)),"")</f>
        <v>5.1775147928992347</v>
      </c>
      <c r="Y86" s="194">
        <f t="shared" si="14"/>
        <v>0.4977192771084345</v>
      </c>
      <c r="Z86" s="194">
        <f t="shared" si="9"/>
        <v>1.2059523668639076</v>
      </c>
      <c r="AA86" s="194">
        <f t="shared" si="10"/>
        <v>0.71405418861849868</v>
      </c>
      <c r="AB86" s="194">
        <f t="shared" si="11"/>
        <v>0.46812103576889708</v>
      </c>
      <c r="AC86" s="194">
        <f t="shared" si="2"/>
        <v>0.61149075111046802</v>
      </c>
      <c r="AD86">
        <f t="shared" si="3"/>
        <v>52</v>
      </c>
      <c r="AE86" s="194">
        <f t="shared" si="12"/>
        <v>0.15195464534620107</v>
      </c>
      <c r="AF86" s="194">
        <f t="shared" si="13"/>
        <v>3.4068552454925731E-2</v>
      </c>
      <c r="AG86" s="245" t="str">
        <f>IF(ISNUMBER(SEARCH("C",'WetLitterbags placem_collection'!$X13)),"YES","NO")</f>
        <v>NO</v>
      </c>
      <c r="AH86" s="245" t="str">
        <f>IF(ISNUMBER(SEARCH("H", 'WetLitterbags placem_collection'!$X13)),"YES","NO")</f>
        <v>NO</v>
      </c>
      <c r="AI86" s="245" t="str">
        <f>IF(ISNUMBER(SEARCH("R", 'WetLitterbags placem_collection'!$X13)),"YES","NO")</f>
        <v>NO</v>
      </c>
      <c r="AJ86" s="245" t="str">
        <f>IF(ISNUMBER(SEARCH("C", 'WetLitterbags placem_collection'!$V13)),"YES","NO")</f>
        <v>NO</v>
      </c>
      <c r="AK86" s="245" t="str">
        <f>IF(ISNUMBER(SEARCH("H", 'WetLitterbags placem_collection'!$V13)),"YES","NO")</f>
        <v>NO</v>
      </c>
      <c r="AL86" s="245" t="str">
        <f>IF(ISNUMBER(SEARCH("R", 'WetLitterbags placem_collection'!$V13)),"YES","NO")</f>
        <v>YES</v>
      </c>
    </row>
    <row r="87" spans="2:38">
      <c r="B87" t="str">
        <f>Wetseason!B13</f>
        <v>Wet</v>
      </c>
      <c r="C87" s="253">
        <f>Wetseason!C13</f>
        <v>12</v>
      </c>
      <c r="D87" t="s">
        <v>3103</v>
      </c>
      <c r="E87" t="s">
        <v>22</v>
      </c>
      <c r="F87" s="375">
        <v>4</v>
      </c>
      <c r="G87" s="16">
        <f>'WetLitterbags placem_collection'!E14</f>
        <v>42766</v>
      </c>
      <c r="H87" t="str">
        <f>Wetseason!L13</f>
        <v>G590</v>
      </c>
      <c r="I87" t="str">
        <f>Wetseason!L233</f>
        <v>R409</v>
      </c>
      <c r="J87">
        <f>IFERROR(INDEX('Green_rooibos initial weight'!$C$5:$C$2000,MATCH(H87, 'Green_rooibos initial weight'!$A$5:$A$2000,0)),"")</f>
        <v>2.0830000000000002</v>
      </c>
      <c r="K87">
        <f>IFERROR(INDEX('Green_rooibos initial weight'!$C$5:$C$2000,MATCH(I87, 'Green_rooibos initial weight'!$A$5:$A$2000,0)),"")</f>
        <v>2.2000000000000002</v>
      </c>
      <c r="L87" s="194">
        <f t="shared" si="4"/>
        <v>1.8332000000000002</v>
      </c>
      <c r="M87" s="194">
        <f>AVERAGE(Ashed_controlls!$K$2:$K$11)</f>
        <v>5.5147656768714146</v>
      </c>
      <c r="N87" s="194">
        <f t="shared" si="0"/>
        <v>1.7321033156115935</v>
      </c>
      <c r="O87" s="194">
        <f t="shared" si="5"/>
        <v>1.9502000000000002</v>
      </c>
      <c r="P87" s="194">
        <f>AVERAGE(Ashed_controlls!$K$12:$K$14)</f>
        <v>2.2816647271287041</v>
      </c>
      <c r="Q87" s="194">
        <f t="shared" si="6"/>
        <v>1.9057029744915361</v>
      </c>
      <c r="R87" s="16">
        <f>IF('WetLitterbags placem_collection'!G14="","",'WetLitterbags placem_collection'!G14)</f>
        <v>42818</v>
      </c>
      <c r="S87" s="194" t="str">
        <f>IFERROR(INDEX('Both teabags AfterWet'!$C$3:$C$2000,MATCH(H87,'Both teabags AfterWet'!$A$3:$A$2000,0)),"")</f>
        <v/>
      </c>
      <c r="T87" s="194" t="str">
        <f>IFERROR(INDEX('Both teabags AfterWet'!$C$3:$C$2000,MATCH(I87,'Both teabags AfterWet'!$A$3:$A$2000,0)),"")</f>
        <v/>
      </c>
      <c r="U87" s="194" t="str">
        <f t="shared" si="7"/>
        <v/>
      </c>
      <c r="V87" s="194" t="str">
        <f t="shared" si="8"/>
        <v/>
      </c>
      <c r="W87" s="194" t="str">
        <f>IFERROR(INDEX('Ashed teabags wet'!$K$2:$K$2000,MATCH(H87,'Ashed teabags wet'!$A$2:$A$2000,0)),"")</f>
        <v/>
      </c>
      <c r="X87" s="233" t="str">
        <f>IFERROR(INDEX('Ashed teabags wet'!$K$2:$K$2000,MATCH(I87,'Ashed teabags wet'!$A$2:$A$2000,0)),"")</f>
        <v/>
      </c>
      <c r="Y87" s="194" t="str">
        <f t="shared" si="14"/>
        <v/>
      </c>
      <c r="Z87" s="194" t="str">
        <f t="shared" si="9"/>
        <v/>
      </c>
      <c r="AA87" s="194" t="str">
        <f t="shared" si="10"/>
        <v/>
      </c>
      <c r="AB87" s="194" t="str">
        <f t="shared" si="11"/>
        <v/>
      </c>
      <c r="AC87" s="194" t="str">
        <f t="shared" si="2"/>
        <v/>
      </c>
      <c r="AD87">
        <f t="shared" si="3"/>
        <v>52</v>
      </c>
      <c r="AE87" s="194" t="str">
        <f t="shared" si="12"/>
        <v/>
      </c>
      <c r="AF87" s="194" t="str">
        <f t="shared" si="13"/>
        <v/>
      </c>
      <c r="AG87" s="245" t="str">
        <f>IF(ISNUMBER(SEARCH("C",'WetLitterbags placem_collection'!$X14)),"YES","NO")</f>
        <v>NO</v>
      </c>
      <c r="AH87" s="245" t="str">
        <f>IF(ISNUMBER(SEARCH("H", 'WetLitterbags placem_collection'!$X14)),"YES","NO")</f>
        <v>NO</v>
      </c>
      <c r="AI87" s="245" t="str">
        <f>IF(ISNUMBER(SEARCH("R", 'WetLitterbags placem_collection'!$X14)),"YES","NO")</f>
        <v>NO</v>
      </c>
      <c r="AJ87" s="245" t="str">
        <f>IF(ISNUMBER(SEARCH("C", 'WetLitterbags placem_collection'!$V14)),"YES","NO")</f>
        <v>NO</v>
      </c>
      <c r="AK87" s="245" t="str">
        <f>IF(ISNUMBER(SEARCH("H", 'WetLitterbags placem_collection'!$V14)),"YES","NO")</f>
        <v>NO</v>
      </c>
      <c r="AL87" s="245" t="str">
        <f>IF(ISNUMBER(SEARCH("R", 'WetLitterbags placem_collection'!$V14)),"YES","NO")</f>
        <v>NO</v>
      </c>
    </row>
    <row r="88" spans="2:38">
      <c r="B88" t="str">
        <f>Wetseason!B14</f>
        <v>Wet</v>
      </c>
      <c r="C88" s="253">
        <f>Wetseason!C14</f>
        <v>13</v>
      </c>
      <c r="D88" t="s">
        <v>3103</v>
      </c>
      <c r="E88" t="s">
        <v>22</v>
      </c>
      <c r="F88" s="375">
        <v>5</v>
      </c>
      <c r="G88" s="16">
        <f>'WetLitterbags placem_collection'!E15</f>
        <v>42766</v>
      </c>
      <c r="H88" t="str">
        <f>Wetseason!L14</f>
        <v>G595</v>
      </c>
      <c r="I88" t="str">
        <f>Wetseason!L234</f>
        <v>R450</v>
      </c>
      <c r="J88">
        <f>IFERROR(INDEX('Green_rooibos initial weight'!$C$5:$C$2000,MATCH(H88, 'Green_rooibos initial weight'!$A$5:$A$2000,0)),"")</f>
        <v>2.1160000000000001</v>
      </c>
      <c r="K88">
        <f>IFERROR(INDEX('Green_rooibos initial weight'!$C$5:$C$2000,MATCH(I88, 'Green_rooibos initial weight'!$A$5:$A$2000,0)),"")</f>
        <v>2.2250000000000001</v>
      </c>
      <c r="L88" s="194">
        <f t="shared" si="4"/>
        <v>1.8662000000000001</v>
      </c>
      <c r="M88" s="194">
        <f>AVERAGE(Ashed_controlls!$K$2:$K$11)</f>
        <v>5.5147656768714146</v>
      </c>
      <c r="N88" s="194">
        <f t="shared" si="0"/>
        <v>1.7632834429382258</v>
      </c>
      <c r="O88" s="194">
        <f t="shared" si="5"/>
        <v>1.9752000000000001</v>
      </c>
      <c r="P88" s="194">
        <f>AVERAGE(Ashed_controlls!$K$12:$K$14)</f>
        <v>2.2816647271287041</v>
      </c>
      <c r="Q88" s="194">
        <f t="shared" si="6"/>
        <v>1.9301325583097539</v>
      </c>
      <c r="R88" s="16">
        <f>IF('WetLitterbags placem_collection'!G15="","",'WetLitterbags placem_collection'!G15)</f>
        <v>42818</v>
      </c>
      <c r="S88" s="194">
        <f>IFERROR(INDEX('Both teabags AfterWet'!$C$3:$C$2000,MATCH(H88,'Both teabags AfterWet'!$A$3:$A$2000,0)),"")</f>
        <v>0.62809999999999999</v>
      </c>
      <c r="T88" s="194">
        <f>IFERROR(INDEX('Both teabags AfterWet'!$C$3:$C$2000,MATCH(I88,'Both teabags AfterWet'!$A$3:$A$2000,0)),"")</f>
        <v>0.91920000000000002</v>
      </c>
      <c r="U88" s="194">
        <f t="shared" si="7"/>
        <v>0.47749999999999998</v>
      </c>
      <c r="V88" s="194">
        <f t="shared" si="8"/>
        <v>0.76859999999999995</v>
      </c>
      <c r="W88" s="194">
        <f>IFERROR(INDEX('Ashed teabags wet'!$K$2:$K$2000,MATCH(H88,'Ashed teabags wet'!$A$2:$A$2000,0)),"")</f>
        <v>29.168740666998239</v>
      </c>
      <c r="X88" s="233">
        <f>IFERROR(INDEX('Ashed teabags wet'!$K$2:$K$2000,MATCH(I88,'Ashed teabags wet'!$A$2:$A$2000,0)),"")</f>
        <v>41.214534594325485</v>
      </c>
      <c r="Y88" s="194">
        <f t="shared" si="14"/>
        <v>0.3382192633150834</v>
      </c>
      <c r="Z88" s="194">
        <f t="shared" si="9"/>
        <v>0.45182508710801428</v>
      </c>
      <c r="AA88" s="194">
        <f t="shared" si="10"/>
        <v>0.8081878074284552</v>
      </c>
      <c r="AB88" s="194">
        <f t="shared" si="11"/>
        <v>0.5298333369364695</v>
      </c>
      <c r="AC88" s="194">
        <f t="shared" si="2"/>
        <v>0.23409018471958437</v>
      </c>
      <c r="AD88">
        <f t="shared" si="3"/>
        <v>52</v>
      </c>
      <c r="AE88" s="194">
        <f t="shared" si="12"/>
        <v>4.0156998303497393E-2</v>
      </c>
      <c r="AF88" s="194" t="str">
        <f t="shared" si="13"/>
        <v/>
      </c>
      <c r="AG88" s="245" t="str">
        <f>IF(ISNUMBER(SEARCH("C",'WetLitterbags placem_collection'!$X15)),"YES","NO")</f>
        <v>NO</v>
      </c>
      <c r="AH88" s="245" t="str">
        <f>IF(ISNUMBER(SEARCH("H", 'WetLitterbags placem_collection'!$X15)),"YES","NO")</f>
        <v>NO</v>
      </c>
      <c r="AI88" s="245" t="str">
        <f>IF(ISNUMBER(SEARCH("R", 'WetLitterbags placem_collection'!$X15)),"YES","NO")</f>
        <v>NO</v>
      </c>
      <c r="AJ88" s="245" t="str">
        <f>IF(ISNUMBER(SEARCH("C", 'WetLitterbags placem_collection'!$V15)),"YES","NO")</f>
        <v>NO</v>
      </c>
      <c r="AK88" s="245" t="str">
        <f>IF(ISNUMBER(SEARCH("H", 'WetLitterbags placem_collection'!$V15)),"YES","NO")</f>
        <v>YES</v>
      </c>
      <c r="AL88" s="245" t="str">
        <f>IF(ISNUMBER(SEARCH("R", 'WetLitterbags placem_collection'!$V15)),"YES","NO")</f>
        <v>NO</v>
      </c>
    </row>
    <row r="89" spans="2:38">
      <c r="B89" t="str">
        <f>Wetseason!B15</f>
        <v>Wet</v>
      </c>
      <c r="C89" s="253">
        <f>Wetseason!C15</f>
        <v>14</v>
      </c>
      <c r="D89" t="s">
        <v>3103</v>
      </c>
      <c r="E89" t="s">
        <v>22</v>
      </c>
      <c r="F89" s="375">
        <v>6</v>
      </c>
      <c r="G89" s="16">
        <f>'WetLitterbags placem_collection'!E16</f>
        <v>42766</v>
      </c>
      <c r="H89" t="str">
        <f>Wetseason!L15</f>
        <v>G609</v>
      </c>
      <c r="I89" t="str">
        <f>Wetseason!L235</f>
        <v>R382</v>
      </c>
      <c r="J89">
        <f>IFERROR(INDEX('Green_rooibos initial weight'!$C$5:$C$2000,MATCH(H89, 'Green_rooibos initial weight'!$A$5:$A$2000,0)),"")</f>
        <v>2.089</v>
      </c>
      <c r="K89">
        <f>IFERROR(INDEX('Green_rooibos initial weight'!$C$5:$C$2000,MATCH(I89, 'Green_rooibos initial weight'!$A$5:$A$2000,0)),"")</f>
        <v>2.2210000000000001</v>
      </c>
      <c r="L89" s="194">
        <f t="shared" si="4"/>
        <v>1.8391999999999999</v>
      </c>
      <c r="M89" s="194">
        <f>AVERAGE(Ashed_controlls!$K$2:$K$11)</f>
        <v>5.5147656768714146</v>
      </c>
      <c r="N89" s="194">
        <f t="shared" si="0"/>
        <v>1.7377724296709809</v>
      </c>
      <c r="O89" s="194">
        <f t="shared" si="5"/>
        <v>1.9712000000000001</v>
      </c>
      <c r="P89" s="194">
        <f>AVERAGE(Ashed_controlls!$K$12:$K$14)</f>
        <v>2.2816647271287041</v>
      </c>
      <c r="Q89" s="194">
        <f t="shared" si="6"/>
        <v>1.926223824898839</v>
      </c>
      <c r="R89" s="16">
        <f>IF('WetLitterbags placem_collection'!G16="","",'WetLitterbags placem_collection'!G16)</f>
        <v>42818</v>
      </c>
      <c r="S89" s="194">
        <f>IFERROR(INDEX('Both teabags AfterWet'!$C$3:$C$2000,MATCH(H89,'Both teabags AfterWet'!$A$3:$A$2000,0)),"")</f>
        <v>0.498</v>
      </c>
      <c r="T89" s="194">
        <f>IFERROR(INDEX('Both teabags AfterWet'!$C$3:$C$2000,MATCH(I89,'Both teabags AfterWet'!$A$3:$A$2000,0)),"")</f>
        <v>1.794</v>
      </c>
      <c r="U89" s="194">
        <f t="shared" si="7"/>
        <v>0.34739999999999999</v>
      </c>
      <c r="V89" s="194">
        <f t="shared" si="8"/>
        <v>1.6434</v>
      </c>
      <c r="W89" s="194">
        <f>IFERROR(INDEX('Ashed teabags wet'!$K$2:$K$2000,MATCH(H89,'Ashed teabags wet'!$A$2:$A$2000,0)),"")</f>
        <v>16.033966033965626</v>
      </c>
      <c r="X89" s="233">
        <f>IFERROR(INDEX('Ashed teabags wet'!$K$2:$K$2000,MATCH(I89,'Ashed teabags wet'!$A$2:$A$2000,0)),"")</f>
        <v>87.890437289764591</v>
      </c>
      <c r="Y89" s="194">
        <f t="shared" si="14"/>
        <v>0.29169800199800339</v>
      </c>
      <c r="Z89" s="194">
        <f t="shared" si="9"/>
        <v>0.1990085535800088</v>
      </c>
      <c r="AA89" s="194">
        <f t="shared" si="10"/>
        <v>0.83214257688894766</v>
      </c>
      <c r="AB89" s="194">
        <f t="shared" si="11"/>
        <v>0.54553765135712495</v>
      </c>
      <c r="AC89" s="194">
        <f t="shared" si="2"/>
        <v>0.10331538370960616</v>
      </c>
      <c r="AD89">
        <f t="shared" si="3"/>
        <v>52</v>
      </c>
      <c r="AE89" s="194">
        <f t="shared" si="12"/>
        <v>1.1707153338541887E-2</v>
      </c>
      <c r="AF89" s="194" t="str">
        <f t="shared" si="13"/>
        <v/>
      </c>
      <c r="AG89" s="245" t="str">
        <f>IF(ISNUMBER(SEARCH("C",'WetLitterbags placem_collection'!$X16)),"YES","NO")</f>
        <v>NO</v>
      </c>
      <c r="AH89" s="245" t="str">
        <f>IF(ISNUMBER(SEARCH("H", 'WetLitterbags placem_collection'!$X16)),"YES","NO")</f>
        <v>NO</v>
      </c>
      <c r="AI89" s="245" t="str">
        <f>IF(ISNUMBER(SEARCH("R", 'WetLitterbags placem_collection'!$X16)),"YES","NO")</f>
        <v>NO</v>
      </c>
      <c r="AJ89" s="245" t="str">
        <f>IF(ISNUMBER(SEARCH("C", 'WetLitterbags placem_collection'!$V16)),"YES","NO")</f>
        <v>NO</v>
      </c>
      <c r="AK89" s="245" t="str">
        <f>IF(ISNUMBER(SEARCH("H", 'WetLitterbags placem_collection'!$V16)),"YES","NO")</f>
        <v>NO</v>
      </c>
      <c r="AL89" s="245" t="str">
        <f>IF(ISNUMBER(SEARCH("R", 'WetLitterbags placem_collection'!$V16)),"YES","NO")</f>
        <v>NO</v>
      </c>
    </row>
    <row r="90" spans="2:38">
      <c r="B90" t="str">
        <f>Wetseason!B16</f>
        <v>Wet</v>
      </c>
      <c r="C90" s="253">
        <f>Wetseason!C16</f>
        <v>15</v>
      </c>
      <c r="D90" t="s">
        <v>3103</v>
      </c>
      <c r="E90" t="s">
        <v>22</v>
      </c>
      <c r="F90" s="375">
        <v>7</v>
      </c>
      <c r="G90" s="16">
        <f>'WetLitterbags placem_collection'!E17</f>
        <v>42766</v>
      </c>
      <c r="H90" t="str">
        <f>Wetseason!L16</f>
        <v>G222</v>
      </c>
      <c r="I90" t="str">
        <f>Wetseason!L236</f>
        <v>R415</v>
      </c>
      <c r="J90">
        <f>IFERROR(INDEX('Green_rooibos initial weight'!$C$5:$C$2000,MATCH(H90, 'Green_rooibos initial weight'!$A$5:$A$2000,0)),"")</f>
        <v>1.889</v>
      </c>
      <c r="K90">
        <f>IFERROR(INDEX('Green_rooibos initial weight'!$C$5:$C$2000,MATCH(I90, 'Green_rooibos initial weight'!$A$5:$A$2000,0)),"")</f>
        <v>2.2160000000000002</v>
      </c>
      <c r="L90" s="194">
        <f t="shared" si="4"/>
        <v>1.6392</v>
      </c>
      <c r="M90" s="194">
        <f>AVERAGE(Ashed_controlls!$K$2:$K$11)</f>
        <v>5.5147656768714146</v>
      </c>
      <c r="N90" s="194">
        <f t="shared" si="0"/>
        <v>1.5488019610247237</v>
      </c>
      <c r="O90" s="194">
        <f t="shared" si="5"/>
        <v>1.9662000000000002</v>
      </c>
      <c r="P90" s="194">
        <f>AVERAGE(Ashed_controlls!$K$12:$K$14)</f>
        <v>2.2816647271287041</v>
      </c>
      <c r="Q90" s="194">
        <f t="shared" si="6"/>
        <v>1.9213379081351956</v>
      </c>
      <c r="R90" s="16">
        <f>IF('WetLitterbags placem_collection'!G17="","",'WetLitterbags placem_collection'!G17)</f>
        <v>42818</v>
      </c>
      <c r="S90" s="194">
        <f>IFERROR(INDEX('Both teabags AfterWet'!$C$3:$C$2000,MATCH(H90,'Both teabags AfterWet'!$A$3:$A$2000,0)),"")</f>
        <v>0.67100000000000004</v>
      </c>
      <c r="T90" s="194">
        <f>IFERROR(INDEX('Both teabags AfterWet'!$C$3:$C$2000,MATCH(I90,'Both teabags AfterWet'!$A$3:$A$2000,0)),"")</f>
        <v>2.96</v>
      </c>
      <c r="U90" s="194">
        <f t="shared" si="7"/>
        <v>0.52039999999999997</v>
      </c>
      <c r="V90" s="194">
        <f t="shared" si="8"/>
        <v>2.8094000000000001</v>
      </c>
      <c r="W90" s="194">
        <f>IFERROR(INDEX('Ashed teabags wet'!$K$2:$K$2000,MATCH(H90,'Ashed teabags wet'!$A$2:$A$2000,0)),"")</f>
        <v>15.805168986083718</v>
      </c>
      <c r="X90" s="233">
        <f>IFERROR(INDEX('Ashed teabags wet'!$K$2:$K$2000,MATCH(I90,'Ashed teabags wet'!$A$2:$A$2000,0)),"")</f>
        <v>78.641732283464947</v>
      </c>
      <c r="Y90" s="194">
        <f t="shared" si="14"/>
        <v>0.43814990059642034</v>
      </c>
      <c r="Z90" s="194">
        <f t="shared" si="9"/>
        <v>0.60003917322833589</v>
      </c>
      <c r="AA90" s="194">
        <f t="shared" si="10"/>
        <v>0.71710398642152406</v>
      </c>
      <c r="AB90" s="194">
        <f t="shared" si="11"/>
        <v>0.47012042815282823</v>
      </c>
      <c r="AC90" s="194">
        <f t="shared" si="2"/>
        <v>0.31230278166463676</v>
      </c>
      <c r="AD90">
        <f t="shared" si="3"/>
        <v>52</v>
      </c>
      <c r="AE90" s="194">
        <f t="shared" si="12"/>
        <v>0.14833255769415188</v>
      </c>
      <c r="AF90" s="194" t="str">
        <f t="shared" si="13"/>
        <v/>
      </c>
      <c r="AG90" s="245" t="str">
        <f>IF(ISNUMBER(SEARCH("C",'WetLitterbags placem_collection'!$X17)),"YES","NO")</f>
        <v>NO</v>
      </c>
      <c r="AH90" s="245" t="str">
        <f>IF(ISNUMBER(SEARCH("H", 'WetLitterbags placem_collection'!$X17)),"YES","NO")</f>
        <v>NO</v>
      </c>
      <c r="AI90" s="245" t="str">
        <f>IF(ISNUMBER(SEARCH("R", 'WetLitterbags placem_collection'!$X17)),"YES","NO")</f>
        <v>YES</v>
      </c>
      <c r="AJ90" s="245" t="str">
        <f>IF(ISNUMBER(SEARCH("C", 'WetLitterbags placem_collection'!$V17)),"YES","NO")</f>
        <v>NO</v>
      </c>
      <c r="AK90" s="245" t="str">
        <f>IF(ISNUMBER(SEARCH("H", 'WetLitterbags placem_collection'!$V17)),"YES","NO")</f>
        <v>NO</v>
      </c>
      <c r="AL90" s="245" t="str">
        <f>IF(ISNUMBER(SEARCH("R", 'WetLitterbags placem_collection'!$V17)),"YES","NO")</f>
        <v>NO</v>
      </c>
    </row>
    <row r="91" spans="2:38">
      <c r="B91" t="str">
        <f>Wetseason!B17</f>
        <v>Wet</v>
      </c>
      <c r="C91" s="253">
        <f>Wetseason!C17</f>
        <v>16</v>
      </c>
      <c r="D91" t="s">
        <v>3103</v>
      </c>
      <c r="E91" t="s">
        <v>22</v>
      </c>
      <c r="F91" s="375">
        <v>8</v>
      </c>
      <c r="G91" s="16">
        <f>'WetLitterbags placem_collection'!E18</f>
        <v>42766</v>
      </c>
      <c r="H91" t="str">
        <f>Wetseason!L17</f>
        <v>G405</v>
      </c>
      <c r="I91" t="str">
        <f>Wetseason!L237</f>
        <v>R519</v>
      </c>
      <c r="J91">
        <f>IFERROR(INDEX('Green_rooibos initial weight'!$C$5:$C$2000,MATCH(H91, 'Green_rooibos initial weight'!$A$5:$A$2000,0)),"")</f>
        <v>2.056</v>
      </c>
      <c r="K91">
        <f>IFERROR(INDEX('Green_rooibos initial weight'!$C$5:$C$2000,MATCH(I91, 'Green_rooibos initial weight'!$A$5:$A$2000,0)),"")</f>
        <v>2.21</v>
      </c>
      <c r="L91" s="194">
        <f t="shared" si="4"/>
        <v>1.8062</v>
      </c>
      <c r="M91" s="194">
        <f>AVERAGE(Ashed_controlls!$K$2:$K$11)</f>
        <v>5.5147656768714146</v>
      </c>
      <c r="N91" s="194">
        <f t="shared" si="0"/>
        <v>1.7065923023443486</v>
      </c>
      <c r="O91" s="194">
        <f t="shared" si="5"/>
        <v>1.9601999999999999</v>
      </c>
      <c r="P91" s="194">
        <f>AVERAGE(Ashed_controlls!$K$12:$K$14)</f>
        <v>2.2816647271287041</v>
      </c>
      <c r="Q91" s="194">
        <f t="shared" si="6"/>
        <v>1.9154748080188231</v>
      </c>
      <c r="R91" s="16">
        <f>IF('WetLitterbags placem_collection'!G18="","",'WetLitterbags placem_collection'!G18)</f>
        <v>42818</v>
      </c>
      <c r="S91" s="194">
        <f>IFERROR(INDEX('Both teabags AfterWet'!$C$3:$C$2000,MATCH(H91,'Both teabags AfterWet'!$A$3:$A$2000,0)),"")</f>
        <v>0.70150000000000001</v>
      </c>
      <c r="T91" s="194">
        <f>IFERROR(INDEX('Both teabags AfterWet'!$C$3:$C$2000,MATCH(I91,'Both teabags AfterWet'!$A$3:$A$2000,0)),"")</f>
        <v>1.4281999999999999</v>
      </c>
      <c r="U91" s="194">
        <f t="shared" si="7"/>
        <v>0.55089999999999995</v>
      </c>
      <c r="V91" s="194">
        <f t="shared" si="8"/>
        <v>1.2775999999999998</v>
      </c>
      <c r="W91" s="194">
        <f>IFERROR(INDEX('Ashed teabags wet'!$K$2:$K$2000,MATCH(H91,'Ashed teabags wet'!$A$2:$A$2000,0)),"")</f>
        <v>15.725413826680606</v>
      </c>
      <c r="X91" s="233">
        <f>IFERROR(INDEX('Ashed teabags wet'!$K$2:$K$2000,MATCH(I91,'Ashed teabags wet'!$A$2:$A$2000,0)),"")</f>
        <v>5.8709364386224854</v>
      </c>
      <c r="Y91" s="194">
        <f t="shared" si="14"/>
        <v>0.46426869522881647</v>
      </c>
      <c r="Z91" s="194">
        <f t="shared" si="9"/>
        <v>1.2025929160601589</v>
      </c>
      <c r="AA91" s="194">
        <f t="shared" si="10"/>
        <v>0.72795570764555206</v>
      </c>
      <c r="AB91" s="194">
        <f t="shared" si="11"/>
        <v>0.4772346206892456</v>
      </c>
      <c r="AC91" s="194">
        <f t="shared" si="2"/>
        <v>0.62783019177579347</v>
      </c>
      <c r="AD91">
        <f t="shared" si="3"/>
        <v>52</v>
      </c>
      <c r="AE91" s="194">
        <f t="shared" si="12"/>
        <v>0.13544452773687399</v>
      </c>
      <c r="AF91" s="194">
        <f t="shared" si="13"/>
        <v>2.9104438767934209E-2</v>
      </c>
      <c r="AG91" s="245" t="str">
        <f>IF(ISNUMBER(SEARCH("C",'WetLitterbags placem_collection'!$X18)),"YES","NO")</f>
        <v>NO</v>
      </c>
      <c r="AH91" s="245" t="str">
        <f>IF(ISNUMBER(SEARCH("H", 'WetLitterbags placem_collection'!$X18)),"YES","NO")</f>
        <v>NO</v>
      </c>
      <c r="AI91" s="245" t="str">
        <f>IF(ISNUMBER(SEARCH("R", 'WetLitterbags placem_collection'!$X18)),"YES","NO")</f>
        <v>YES</v>
      </c>
      <c r="AJ91" s="245" t="str">
        <f>IF(ISNUMBER(SEARCH("C", 'WetLitterbags placem_collection'!$V18)),"YES","NO")</f>
        <v>NO</v>
      </c>
      <c r="AK91" s="245" t="str">
        <f>IF(ISNUMBER(SEARCH("H", 'WetLitterbags placem_collection'!$V18)),"YES","NO")</f>
        <v>YES</v>
      </c>
      <c r="AL91" s="245" t="str">
        <f>IF(ISNUMBER(SEARCH("R", 'WetLitterbags placem_collection'!$V18)),"YES","NO")</f>
        <v>YES</v>
      </c>
    </row>
    <row r="92" spans="2:38">
      <c r="B92" t="str">
        <f>Wetseason!B18</f>
        <v>Wet</v>
      </c>
      <c r="C92" s="253">
        <f>Wetseason!C18</f>
        <v>17</v>
      </c>
      <c r="D92" t="s">
        <v>3104</v>
      </c>
      <c r="E92" t="s">
        <v>22</v>
      </c>
      <c r="F92" s="374">
        <v>1</v>
      </c>
      <c r="G92" s="16">
        <f>'WetLitterbags placem_collection'!E19</f>
        <v>42767</v>
      </c>
      <c r="H92" t="str">
        <f>Wetseason!L18</f>
        <v>G571</v>
      </c>
      <c r="I92" t="str">
        <f>Wetseason!L238</f>
        <v>R542</v>
      </c>
      <c r="J92">
        <f>IFERROR(INDEX('Green_rooibos initial weight'!$C$5:$C$2000,MATCH(H92, 'Green_rooibos initial weight'!$A$5:$A$2000,0)),"")</f>
        <v>2.0489999999999999</v>
      </c>
      <c r="K92">
        <f>IFERROR(INDEX('Green_rooibos initial weight'!$C$5:$C$2000,MATCH(I92, 'Green_rooibos initial weight'!$A$5:$A$2000,0)),"")</f>
        <v>2.2010000000000001</v>
      </c>
      <c r="L92" s="194">
        <f t="shared" si="4"/>
        <v>1.7991999999999999</v>
      </c>
      <c r="M92" s="194">
        <f>AVERAGE(Ashed_controlls!$K$2:$K$11)</f>
        <v>5.5147656768714146</v>
      </c>
      <c r="N92" s="194">
        <f t="shared" si="0"/>
        <v>1.6999783359417293</v>
      </c>
      <c r="O92" s="194">
        <f t="shared" si="5"/>
        <v>1.9512</v>
      </c>
      <c r="P92" s="194">
        <f>AVERAGE(Ashed_controlls!$K$12:$K$14)</f>
        <v>2.2816647271287041</v>
      </c>
      <c r="Q92" s="194">
        <f t="shared" si="6"/>
        <v>1.9066801578442647</v>
      </c>
      <c r="R92" s="16">
        <f>IF('WetLitterbags placem_collection'!G19="","",'WetLitterbags placem_collection'!G19)</f>
        <v>42818</v>
      </c>
      <c r="S92" s="194">
        <f>IFERROR(INDEX('Both teabags AfterWet'!$C$3:$C$2000,MATCH(H92,'Both teabags AfterWet'!$A$3:$A$2000,0)),"")</f>
        <v>0.67520000000000002</v>
      </c>
      <c r="T92" s="194">
        <f>IFERROR(INDEX('Both teabags AfterWet'!$C$3:$C$2000,MATCH(I92,'Both teabags AfterWet'!$A$3:$A$2000,0)),"")</f>
        <v>1.6227</v>
      </c>
      <c r="U92" s="194">
        <f t="shared" si="7"/>
        <v>0.52459999999999996</v>
      </c>
      <c r="V92" s="194">
        <f t="shared" si="8"/>
        <v>1.4721</v>
      </c>
      <c r="W92" s="194">
        <f>IFERROR(INDEX('Ashed teabags wet'!$K$2:$K$2000,MATCH(H92,'Ashed teabags wet'!$A$2:$A$2000,0)),"")</f>
        <v>9.6710849288172405</v>
      </c>
      <c r="X92" s="233">
        <f>IFERROR(INDEX('Ashed teabags wet'!$K$2:$K$2000,MATCH(I92,'Ashed teabags wet'!$A$2:$A$2000,0)),"")</f>
        <v>7.361376673040378</v>
      </c>
      <c r="Y92" s="194">
        <f t="shared" si="14"/>
        <v>0.47386548846342469</v>
      </c>
      <c r="Z92" s="194">
        <f t="shared" si="9"/>
        <v>1.3637331739961727</v>
      </c>
      <c r="AA92" s="194">
        <f t="shared" si="10"/>
        <v>0.72125204277916899</v>
      </c>
      <c r="AB92" s="194">
        <f t="shared" si="11"/>
        <v>0.47283981901912275</v>
      </c>
      <c r="AC92" s="194">
        <f t="shared" si="2"/>
        <v>0.71523961078927889</v>
      </c>
      <c r="AD92">
        <f t="shared" si="3"/>
        <v>51</v>
      </c>
      <c r="AE92" s="194">
        <f t="shared" si="12"/>
        <v>0.14340612496535743</v>
      </c>
      <c r="AF92" s="194">
        <f t="shared" si="13"/>
        <v>1.8076319795018926E-2</v>
      </c>
      <c r="AG92" s="245" t="str">
        <f>IF(ISNUMBER(SEARCH("C",'WetLitterbags placem_collection'!$X19)),"YES","NO")</f>
        <v>NO</v>
      </c>
      <c r="AH92" s="245" t="str">
        <f>IF(ISNUMBER(SEARCH("H", 'WetLitterbags placem_collection'!$X19)),"YES","NO")</f>
        <v>NO</v>
      </c>
      <c r="AI92" s="245" t="str">
        <f>IF(ISNUMBER(SEARCH("R", 'WetLitterbags placem_collection'!$X19)),"YES","NO")</f>
        <v>YES</v>
      </c>
      <c r="AJ92" s="245" t="str">
        <f>IF(ISNUMBER(SEARCH("C", 'WetLitterbags placem_collection'!$V19)),"YES","NO")</f>
        <v>NO</v>
      </c>
      <c r="AK92" s="245" t="str">
        <f>IF(ISNUMBER(SEARCH("H", 'WetLitterbags placem_collection'!$V19)),"YES","NO")</f>
        <v>NO</v>
      </c>
      <c r="AL92" s="245" t="str">
        <f>IF(ISNUMBER(SEARCH("R", 'WetLitterbags placem_collection'!$V19)),"YES","NO")</f>
        <v>NO</v>
      </c>
    </row>
    <row r="93" spans="2:38">
      <c r="B93" t="str">
        <f>Wetseason!B19</f>
        <v>Wet</v>
      </c>
      <c r="C93" s="253">
        <f>Wetseason!C19</f>
        <v>18</v>
      </c>
      <c r="D93" t="s">
        <v>3104</v>
      </c>
      <c r="E93" t="s">
        <v>22</v>
      </c>
      <c r="F93" s="374">
        <v>2</v>
      </c>
      <c r="G93" s="16">
        <f>'WetLitterbags placem_collection'!E20</f>
        <v>42767</v>
      </c>
      <c r="H93" t="str">
        <f>Wetseason!L19</f>
        <v>G419</v>
      </c>
      <c r="I93" t="str">
        <f>Wetseason!L239</f>
        <v>R128</v>
      </c>
      <c r="J93">
        <f>IFERROR(INDEX('Green_rooibos initial weight'!$C$5:$C$2000,MATCH(H93, 'Green_rooibos initial weight'!$A$5:$A$2000,0)),"")</f>
        <v>2.0779999999999998</v>
      </c>
      <c r="K93">
        <f>IFERROR(INDEX('Green_rooibos initial weight'!$C$5:$C$2000,MATCH(I93, 'Green_rooibos initial weight'!$A$5:$A$2000,0)),"")</f>
        <v>2.2370000000000001</v>
      </c>
      <c r="L93" s="194">
        <f t="shared" si="4"/>
        <v>1.8281999999999998</v>
      </c>
      <c r="M93" s="194">
        <f>AVERAGE(Ashed_controlls!$K$2:$K$11)</f>
        <v>5.5147656768714146</v>
      </c>
      <c r="N93" s="194">
        <f t="shared" si="0"/>
        <v>1.7273790538954366</v>
      </c>
      <c r="O93" s="194">
        <f t="shared" si="5"/>
        <v>1.9872000000000001</v>
      </c>
      <c r="P93" s="194">
        <f>AVERAGE(Ashed_controlls!$K$12:$K$14)</f>
        <v>2.2816647271287041</v>
      </c>
      <c r="Q93" s="194">
        <f t="shared" si="6"/>
        <v>1.9418587585424985</v>
      </c>
      <c r="R93" s="16">
        <f>IF('WetLitterbags placem_collection'!G20="","",'WetLitterbags placem_collection'!G20)</f>
        <v>42818</v>
      </c>
      <c r="S93" s="194">
        <f>IFERROR(INDEX('Both teabags AfterWet'!$C$3:$C$2000,MATCH(H93,'Both teabags AfterWet'!$A$3:$A$2000,0)),"")</f>
        <v>0.79100000000000004</v>
      </c>
      <c r="T93" s="194">
        <f>IFERROR(INDEX('Both teabags AfterWet'!$C$3:$C$2000,MATCH(I93,'Both teabags AfterWet'!$A$3:$A$2000,0)),"")</f>
        <v>1.79</v>
      </c>
      <c r="U93" s="194">
        <f t="shared" si="7"/>
        <v>0.64040000000000008</v>
      </c>
      <c r="V93" s="194">
        <f t="shared" si="8"/>
        <v>1.6394</v>
      </c>
      <c r="W93" s="194">
        <f>IFERROR(INDEX('Ashed teabags wet'!$K$2:$K$2000,MATCH(H93,'Ashed teabags wet'!$A$2:$A$2000,0)),"")</f>
        <v>15.166340508806261</v>
      </c>
      <c r="X93" s="233">
        <f>IFERROR(INDEX('Ashed teabags wet'!$K$2:$K$2000,MATCH(I93,'Ashed teabags wet'!$A$2:$A$2000,0)),"")</f>
        <v>6.4723320158097151</v>
      </c>
      <c r="Y93" s="194">
        <f t="shared" si="14"/>
        <v>0.54327475538160475</v>
      </c>
      <c r="Z93" s="194">
        <f t="shared" si="9"/>
        <v>1.5332925889328155</v>
      </c>
      <c r="AA93" s="194">
        <f t="shared" si="10"/>
        <v>0.68549187038220805</v>
      </c>
      <c r="AB93" s="194">
        <f t="shared" si="11"/>
        <v>0.44939609554748089</v>
      </c>
      <c r="AC93" s="194">
        <f t="shared" si="2"/>
        <v>0.78960047026471658</v>
      </c>
      <c r="AD93">
        <f t="shared" si="3"/>
        <v>51</v>
      </c>
      <c r="AE93" s="194">
        <f t="shared" si="12"/>
        <v>0.18587663850094049</v>
      </c>
      <c r="AF93" s="194">
        <f t="shared" si="13"/>
        <v>1.2381480171107543E-2</v>
      </c>
      <c r="AG93" s="245" t="str">
        <f>IF(ISNUMBER(SEARCH("C",'WetLitterbags placem_collection'!$X20)),"YES","NO")</f>
        <v>NO</v>
      </c>
      <c r="AH93" s="245" t="str">
        <f>IF(ISNUMBER(SEARCH("H", 'WetLitterbags placem_collection'!$X20)),"YES","NO")</f>
        <v>NO</v>
      </c>
      <c r="AI93" s="245" t="str">
        <f>IF(ISNUMBER(SEARCH("R", 'WetLitterbags placem_collection'!$X20)),"YES","NO")</f>
        <v>YES</v>
      </c>
      <c r="AJ93" s="245" t="str">
        <f>IF(ISNUMBER(SEARCH("C", 'WetLitterbags placem_collection'!$V20)),"YES","NO")</f>
        <v>NO</v>
      </c>
      <c r="AK93" s="245" t="str">
        <f>IF(ISNUMBER(SEARCH("H", 'WetLitterbags placem_collection'!$V20)),"YES","NO")</f>
        <v>NO</v>
      </c>
      <c r="AL93" s="245" t="str">
        <f>IF(ISNUMBER(SEARCH("R", 'WetLitterbags placem_collection'!$V20)),"YES","NO")</f>
        <v>YES</v>
      </c>
    </row>
    <row r="94" spans="2:38">
      <c r="B94" t="str">
        <f>Wetseason!B20</f>
        <v>Wet</v>
      </c>
      <c r="C94" s="253">
        <f>Wetseason!C20</f>
        <v>19</v>
      </c>
      <c r="D94" t="s">
        <v>3104</v>
      </c>
      <c r="E94" t="s">
        <v>22</v>
      </c>
      <c r="F94" s="374">
        <v>3</v>
      </c>
      <c r="G94" s="16">
        <f>'WetLitterbags placem_collection'!E21</f>
        <v>42767</v>
      </c>
      <c r="H94" t="str">
        <f>Wetseason!L20</f>
        <v>G240</v>
      </c>
      <c r="I94" t="str">
        <f>Wetseason!L240</f>
        <v>R82</v>
      </c>
      <c r="J94">
        <f>IFERROR(INDEX('Green_rooibos initial weight'!$C$5:$C$2000,MATCH(H94, 'Green_rooibos initial weight'!$A$5:$A$2000,0)),"")</f>
        <v>2.117</v>
      </c>
      <c r="K94">
        <f>IFERROR(INDEX('Green_rooibos initial weight'!$C$5:$C$2000,MATCH(I94, 'Green_rooibos initial weight'!$A$5:$A$2000,0)),"")</f>
        <v>2.2490000000000001</v>
      </c>
      <c r="L94" s="194">
        <f t="shared" si="4"/>
        <v>1.8672</v>
      </c>
      <c r="M94" s="194">
        <f>AVERAGE(Ashed_controlls!$K$2:$K$11)</f>
        <v>5.5147656768714146</v>
      </c>
      <c r="N94" s="194">
        <f t="shared" si="0"/>
        <v>1.764228295281457</v>
      </c>
      <c r="O94" s="194">
        <f t="shared" si="5"/>
        <v>1.9992000000000001</v>
      </c>
      <c r="P94" s="194">
        <f>AVERAGE(Ashed_controlls!$K$12:$K$14)</f>
        <v>2.2816647271287041</v>
      </c>
      <c r="Q94" s="194">
        <f t="shared" si="6"/>
        <v>1.953584958775243</v>
      </c>
      <c r="R94" s="16">
        <f>IF('WetLitterbags placem_collection'!G21="","",'WetLitterbags placem_collection'!G21)</f>
        <v>42818</v>
      </c>
      <c r="S94" s="194">
        <f>IFERROR(INDEX('Both teabags AfterWet'!$C$3:$C$2000,MATCH(H94,'Both teabags AfterWet'!$A$3:$A$2000,0)),"")</f>
        <v>0.88690000000000002</v>
      </c>
      <c r="T94" s="194">
        <f>IFERROR(INDEX('Both teabags AfterWet'!$C$3:$C$2000,MATCH(I94,'Both teabags AfterWet'!$A$3:$A$2000,0)),"")</f>
        <v>1.514</v>
      </c>
      <c r="U94" s="194">
        <f t="shared" si="7"/>
        <v>0.73629999999999995</v>
      </c>
      <c r="V94" s="194">
        <f t="shared" si="8"/>
        <v>1.3633999999999999</v>
      </c>
      <c r="W94" s="194">
        <f>IFERROR(INDEX('Ashed teabags wet'!$K$2:$K$2000,MATCH(H94,'Ashed teabags wet'!$A$2:$A$2000,0)),"")</f>
        <v>18.480392156862031</v>
      </c>
      <c r="X94" s="233">
        <f>IFERROR(INDEX('Ashed teabags wet'!$K$2:$K$2000,MATCH(I94,'Ashed teabags wet'!$A$2:$A$2000,0)),"")</f>
        <v>11.013215859030426</v>
      </c>
      <c r="Y94" s="194">
        <f t="shared" si="14"/>
        <v>0.60022887254902479</v>
      </c>
      <c r="Z94" s="194">
        <f t="shared" si="9"/>
        <v>1.213245814977979</v>
      </c>
      <c r="AA94" s="194">
        <f t="shared" si="10"/>
        <v>0.65977823042835448</v>
      </c>
      <c r="AB94" s="194">
        <f t="shared" si="11"/>
        <v>0.4325386973829593</v>
      </c>
      <c r="AC94" s="194">
        <f t="shared" si="2"/>
        <v>0.62103560407149982</v>
      </c>
      <c r="AD94">
        <f t="shared" si="3"/>
        <v>51</v>
      </c>
      <c r="AE94" s="194">
        <f t="shared" si="12"/>
        <v>0.21641540329174047</v>
      </c>
      <c r="AF94" s="194">
        <f t="shared" si="13"/>
        <v>4.095298614627664E-2</v>
      </c>
      <c r="AG94" s="245" t="str">
        <f>IF(ISNUMBER(SEARCH("C",'WetLitterbags placem_collection'!$X21)),"YES","NO")</f>
        <v>NO</v>
      </c>
      <c r="AH94" s="245" t="str">
        <f>IF(ISNUMBER(SEARCH("H", 'WetLitterbags placem_collection'!$X21)),"YES","NO")</f>
        <v>NO</v>
      </c>
      <c r="AI94" s="245" t="str">
        <f>IF(ISNUMBER(SEARCH("R", 'WetLitterbags placem_collection'!$X21)),"YES","NO")</f>
        <v>NO</v>
      </c>
      <c r="AJ94" s="245" t="str">
        <f>IF(ISNUMBER(SEARCH("C", 'WetLitterbags placem_collection'!$V21)),"YES","NO")</f>
        <v>NO</v>
      </c>
      <c r="AK94" s="245" t="str">
        <f>IF(ISNUMBER(SEARCH("H", 'WetLitterbags placem_collection'!$V21)),"YES","NO")</f>
        <v>NO</v>
      </c>
      <c r="AL94" s="245" t="str">
        <f>IF(ISNUMBER(SEARCH("R", 'WetLitterbags placem_collection'!$V21)),"YES","NO")</f>
        <v>NO</v>
      </c>
    </row>
    <row r="95" spans="2:38">
      <c r="B95" t="str">
        <f>Wetseason!B21</f>
        <v>Wet</v>
      </c>
      <c r="C95" s="253">
        <f>Wetseason!C21</f>
        <v>20</v>
      </c>
      <c r="D95" t="s">
        <v>3104</v>
      </c>
      <c r="E95" t="s">
        <v>22</v>
      </c>
      <c r="F95" s="375">
        <v>4</v>
      </c>
      <c r="G95" s="16">
        <f>'WetLitterbags placem_collection'!E22</f>
        <v>42767</v>
      </c>
      <c r="H95" t="str">
        <f>Wetseason!L21</f>
        <v>G524</v>
      </c>
      <c r="I95" t="str">
        <f>Wetseason!L241</f>
        <v>R50</v>
      </c>
      <c r="J95">
        <f>IFERROR(INDEX('Green_rooibos initial weight'!$C$5:$C$2000,MATCH(H95, 'Green_rooibos initial weight'!$A$5:$A$2000,0)),"")</f>
        <v>1.962</v>
      </c>
      <c r="K95">
        <f>IFERROR(INDEX('Green_rooibos initial weight'!$C$5:$C$2000,MATCH(I95, 'Green_rooibos initial weight'!$A$5:$A$2000,0)),"")</f>
        <v>2.2490000000000001</v>
      </c>
      <c r="L95" s="194">
        <f t="shared" si="4"/>
        <v>1.7121999999999999</v>
      </c>
      <c r="M95" s="194">
        <f>AVERAGE(Ashed_controlls!$K$2:$K$11)</f>
        <v>5.5147656768714146</v>
      </c>
      <c r="N95" s="194">
        <f t="shared" si="0"/>
        <v>1.6177761820806076</v>
      </c>
      <c r="O95" s="194">
        <f t="shared" si="5"/>
        <v>1.9992000000000001</v>
      </c>
      <c r="P95" s="194">
        <f>AVERAGE(Ashed_controlls!$K$12:$K$14)</f>
        <v>2.2816647271287041</v>
      </c>
      <c r="Q95" s="194">
        <f t="shared" si="6"/>
        <v>1.953584958775243</v>
      </c>
      <c r="R95" s="16">
        <f>IF('WetLitterbags placem_collection'!G22="","",'WetLitterbags placem_collection'!G22)</f>
        <v>42818</v>
      </c>
      <c r="S95" s="194">
        <f>IFERROR(INDEX('Both teabags AfterWet'!$C$3:$C$2000,MATCH(H95,'Both teabags AfterWet'!$A$3:$A$2000,0)),"")</f>
        <v>0.71609999999999996</v>
      </c>
      <c r="T95" s="194">
        <f>IFERROR(INDEX('Both teabags AfterWet'!$C$3:$C$2000,MATCH(I95,'Both teabags AfterWet'!$A$3:$A$2000,0)),"")</f>
        <v>1.51</v>
      </c>
      <c r="U95" s="194">
        <f t="shared" si="7"/>
        <v>0.56549999999999989</v>
      </c>
      <c r="V95" s="194">
        <f t="shared" si="8"/>
        <v>1.3593999999999999</v>
      </c>
      <c r="W95" s="194">
        <f>IFERROR(INDEX('Ashed teabags wet'!$K$2:$K$2000,MATCH(H95,'Ashed teabags wet'!$A$2:$A$2000,0)),"")</f>
        <v>12.986381322956955</v>
      </c>
      <c r="X95" s="233">
        <f>IFERROR(INDEX('Ashed teabags wet'!$K$2:$K$2000,MATCH(I95,'Ashed teabags wet'!$A$2:$A$2000,0)),"")</f>
        <v>8.4126189283921065</v>
      </c>
      <c r="Y95" s="194">
        <f t="shared" si="14"/>
        <v>0.4920620136186783</v>
      </c>
      <c r="Z95" s="194">
        <f t="shared" si="9"/>
        <v>1.2450388582874377</v>
      </c>
      <c r="AA95" s="194">
        <f t="shared" si="10"/>
        <v>0.69584048827703615</v>
      </c>
      <c r="AB95" s="194">
        <f t="shared" si="11"/>
        <v>0.45618046262342515</v>
      </c>
      <c r="AC95" s="194">
        <f t="shared" si="2"/>
        <v>0.63730980968853657</v>
      </c>
      <c r="AD95">
        <f t="shared" si="3"/>
        <v>51</v>
      </c>
      <c r="AE95" s="194">
        <f t="shared" si="12"/>
        <v>0.17358611843582405</v>
      </c>
      <c r="AF95" s="194">
        <f t="shared" si="13"/>
        <v>3.1079041003033835E-2</v>
      </c>
      <c r="AG95" s="245" t="str">
        <f>IF(ISNUMBER(SEARCH("C",'WetLitterbags placem_collection'!$X22)),"YES","NO")</f>
        <v>NO</v>
      </c>
      <c r="AH95" s="245" t="str">
        <f>IF(ISNUMBER(SEARCH("H", 'WetLitterbags placem_collection'!$X22)),"YES","NO")</f>
        <v>NO</v>
      </c>
      <c r="AI95" s="245" t="str">
        <f>IF(ISNUMBER(SEARCH("R", 'WetLitterbags placem_collection'!$X22)),"YES","NO")</f>
        <v>NO</v>
      </c>
      <c r="AJ95" s="245" t="str">
        <f>IF(ISNUMBER(SEARCH("C", 'WetLitterbags placem_collection'!$V22)),"YES","NO")</f>
        <v>NO</v>
      </c>
      <c r="AK95" s="245" t="str">
        <f>IF(ISNUMBER(SEARCH("H", 'WetLitterbags placem_collection'!$V22)),"YES","NO")</f>
        <v>NO</v>
      </c>
      <c r="AL95" s="245" t="str">
        <f>IF(ISNUMBER(SEARCH("R", 'WetLitterbags placem_collection'!$V22)),"YES","NO")</f>
        <v>NO</v>
      </c>
    </row>
    <row r="96" spans="2:38">
      <c r="B96" t="str">
        <f>Wetseason!B22</f>
        <v>Wet</v>
      </c>
      <c r="C96" s="253">
        <f>Wetseason!C22</f>
        <v>21</v>
      </c>
      <c r="D96" t="s">
        <v>3104</v>
      </c>
      <c r="E96" t="s">
        <v>22</v>
      </c>
      <c r="F96" s="375">
        <v>5</v>
      </c>
      <c r="G96" s="16">
        <f>'WetLitterbags placem_collection'!E23</f>
        <v>42767</v>
      </c>
      <c r="H96" t="str">
        <f>Wetseason!L22</f>
        <v>G699</v>
      </c>
      <c r="I96" t="str">
        <f>Wetseason!L242</f>
        <v>R529</v>
      </c>
      <c r="J96">
        <f>IFERROR(INDEX('Green_rooibos initial weight'!$C$5:$C$2000,MATCH(H96, 'Green_rooibos initial weight'!$A$5:$A$2000,0)),"")</f>
        <v>1.984</v>
      </c>
      <c r="K96">
        <f>IFERROR(INDEX('Green_rooibos initial weight'!$C$5:$C$2000,MATCH(I96, 'Green_rooibos initial weight'!$A$5:$A$2000,0)),"")</f>
        <v>2.157</v>
      </c>
      <c r="L96" s="194">
        <f t="shared" si="4"/>
        <v>1.7342</v>
      </c>
      <c r="M96" s="194">
        <f>AVERAGE(Ashed_controlls!$K$2:$K$11)</f>
        <v>5.5147656768714146</v>
      </c>
      <c r="N96" s="194">
        <f t="shared" si="0"/>
        <v>1.6385629336316958</v>
      </c>
      <c r="O96" s="194">
        <f t="shared" si="5"/>
        <v>1.9072</v>
      </c>
      <c r="P96" s="194">
        <f>AVERAGE(Ashed_controlls!$K$12:$K$14)</f>
        <v>2.2816647271287041</v>
      </c>
      <c r="Q96" s="194">
        <f t="shared" si="6"/>
        <v>1.8636840903242013</v>
      </c>
      <c r="R96" s="16">
        <f>IF('WetLitterbags placem_collection'!G23="","",'WetLitterbags placem_collection'!G23)</f>
        <v>42818</v>
      </c>
      <c r="S96" s="194">
        <f>IFERROR(INDEX('Both teabags AfterWet'!$C$3:$C$2000,MATCH(H96,'Both teabags AfterWet'!$A$3:$A$2000,0)),"")</f>
        <v>0.7389</v>
      </c>
      <c r="T96" s="194">
        <f>IFERROR(INDEX('Both teabags AfterWet'!$C$3:$C$2000,MATCH(I96,'Both teabags AfterWet'!$A$3:$A$2000,0)),"")</f>
        <v>1.4387000000000001</v>
      </c>
      <c r="U96" s="194">
        <f t="shared" si="7"/>
        <v>0.58830000000000005</v>
      </c>
      <c r="V96" s="194">
        <f t="shared" si="8"/>
        <v>1.2881</v>
      </c>
      <c r="W96" s="194">
        <f>IFERROR(INDEX('Ashed teabags wet'!$K$2:$K$2000,MATCH(H96,'Ashed teabags wet'!$A$2:$A$2000,0)),"")</f>
        <v>10.099009900989453</v>
      </c>
      <c r="X96" s="233">
        <f>IFERROR(INDEX('Ashed teabags wet'!$K$2:$K$2000,MATCH(I96,'Ashed teabags wet'!$A$2:$A$2000,0)),"")</f>
        <v>6.9930069930072492</v>
      </c>
      <c r="Y96" s="194">
        <f t="shared" si="14"/>
        <v>0.52888752475247913</v>
      </c>
      <c r="Z96" s="194">
        <f t="shared" si="9"/>
        <v>1.1980230769230737</v>
      </c>
      <c r="AA96" s="194">
        <f t="shared" si="10"/>
        <v>0.67722477184305774</v>
      </c>
      <c r="AB96" s="194">
        <f t="shared" si="11"/>
        <v>0.44397633498499756</v>
      </c>
      <c r="AC96" s="194">
        <f t="shared" si="2"/>
        <v>0.64282518863734517</v>
      </c>
      <c r="AD96">
        <f t="shared" si="3"/>
        <v>51</v>
      </c>
      <c r="AE96" s="194">
        <f t="shared" si="12"/>
        <v>0.19569504531703352</v>
      </c>
      <c r="AF96" s="194">
        <f t="shared" si="13"/>
        <v>3.2002884052222909E-2</v>
      </c>
      <c r="AG96" s="245" t="str">
        <f>IF(ISNUMBER(SEARCH("C",'WetLitterbags placem_collection'!$X23)),"YES","NO")</f>
        <v>NO</v>
      </c>
      <c r="AH96" s="245" t="str">
        <f>IF(ISNUMBER(SEARCH("H", 'WetLitterbags placem_collection'!$X23)),"YES","NO")</f>
        <v>NO</v>
      </c>
      <c r="AI96" s="245" t="str">
        <f>IF(ISNUMBER(SEARCH("R", 'WetLitterbags placem_collection'!$X23)),"YES","NO")</f>
        <v>NO</v>
      </c>
      <c r="AJ96" s="245" t="str">
        <f>IF(ISNUMBER(SEARCH("C", 'WetLitterbags placem_collection'!$V23)),"YES","NO")</f>
        <v>NO</v>
      </c>
      <c r="AK96" s="245" t="str">
        <f>IF(ISNUMBER(SEARCH("H", 'WetLitterbags placem_collection'!$V23)),"YES","NO")</f>
        <v>NO</v>
      </c>
      <c r="AL96" s="245" t="str">
        <f>IF(ISNUMBER(SEARCH("R", 'WetLitterbags placem_collection'!$V23)),"YES","NO")</f>
        <v>YES</v>
      </c>
    </row>
    <row r="97" spans="2:38">
      <c r="B97" t="str">
        <f>Wetseason!B23</f>
        <v>Wet</v>
      </c>
      <c r="C97" s="253">
        <f>Wetseason!C23</f>
        <v>22</v>
      </c>
      <c r="D97" t="s">
        <v>3104</v>
      </c>
      <c r="E97" t="s">
        <v>22</v>
      </c>
      <c r="F97" s="375">
        <v>6</v>
      </c>
      <c r="G97" s="16">
        <f>'WetLitterbags placem_collection'!E24</f>
        <v>42767</v>
      </c>
      <c r="H97" t="str">
        <f>Wetseason!L23</f>
        <v>G575</v>
      </c>
      <c r="I97" t="str">
        <f>Wetseason!L243</f>
        <v>R363</v>
      </c>
      <c r="J97">
        <f>IFERROR(INDEX('Green_rooibos initial weight'!$C$5:$C$2000,MATCH(H97, 'Green_rooibos initial weight'!$A$5:$A$2000,0)),"")</f>
        <v>1.9970000000000001</v>
      </c>
      <c r="K97">
        <f>IFERROR(INDEX('Green_rooibos initial weight'!$C$5:$C$2000,MATCH(I97, 'Green_rooibos initial weight'!$A$5:$A$2000,0)),"")</f>
        <v>2.1659999999999999</v>
      </c>
      <c r="L97" s="194">
        <f t="shared" si="4"/>
        <v>1.7472000000000001</v>
      </c>
      <c r="M97" s="194">
        <f>AVERAGE(Ashed_controlls!$K$2:$K$11)</f>
        <v>5.5147656768714146</v>
      </c>
      <c r="N97" s="194">
        <f t="shared" si="0"/>
        <v>1.6508460140937027</v>
      </c>
      <c r="O97" s="194">
        <f t="shared" si="5"/>
        <v>1.9161999999999999</v>
      </c>
      <c r="P97" s="194">
        <f>AVERAGE(Ashed_controlls!$K$12:$K$14)</f>
        <v>2.2816647271287041</v>
      </c>
      <c r="Q97" s="194">
        <f t="shared" si="6"/>
        <v>1.8724787404987597</v>
      </c>
      <c r="R97" s="16">
        <f>IF('WetLitterbags placem_collection'!G24="","",'WetLitterbags placem_collection'!G24)</f>
        <v>42818</v>
      </c>
      <c r="S97" s="194">
        <f>IFERROR(INDEX('Both teabags AfterWet'!$C$3:$C$2000,MATCH(H97,'Both teabags AfterWet'!$A$3:$A$2000,0)),"")</f>
        <v>0.74019999999999997</v>
      </c>
      <c r="T97" s="194">
        <f>IFERROR(INDEX('Both teabags AfterWet'!$C$3:$C$2000,MATCH(I97,'Both teabags AfterWet'!$A$3:$A$2000,0)),"")</f>
        <v>1.5164</v>
      </c>
      <c r="U97" s="194">
        <f t="shared" si="7"/>
        <v>0.5895999999999999</v>
      </c>
      <c r="V97" s="194">
        <f t="shared" si="8"/>
        <v>1.3657999999999999</v>
      </c>
      <c r="W97" s="194">
        <f>IFERROR(INDEX('Ashed teabags wet'!$K$2:$K$2000,MATCH(H97,'Ashed teabags wet'!$A$2:$A$2000,0)),"")</f>
        <v>9.8263027295288854</v>
      </c>
      <c r="X97" s="233">
        <f>IFERROR(INDEX('Ashed teabags wet'!$K$2:$K$2000,MATCH(I97,'Ashed teabags wet'!$A$2:$A$2000,0)),"")</f>
        <v>3.5079051383401243</v>
      </c>
      <c r="Y97" s="194">
        <f t="shared" si="14"/>
        <v>0.53166411910669764</v>
      </c>
      <c r="Z97" s="194">
        <f t="shared" si="9"/>
        <v>1.3178890316205505</v>
      </c>
      <c r="AA97" s="194">
        <f t="shared" si="10"/>
        <v>0.67794445116761803</v>
      </c>
      <c r="AB97" s="194">
        <f t="shared" si="11"/>
        <v>0.44444814375834346</v>
      </c>
      <c r="AC97" s="194">
        <f t="shared" si="2"/>
        <v>0.70382055780751518</v>
      </c>
      <c r="AD97">
        <f t="shared" si="3"/>
        <v>51</v>
      </c>
      <c r="AE97" s="194">
        <f t="shared" si="12"/>
        <v>0.19484031927836332</v>
      </c>
      <c r="AF97" s="194">
        <f t="shared" si="13"/>
        <v>2.1525631518107571E-2</v>
      </c>
      <c r="AG97" s="245" t="str">
        <f>IF(ISNUMBER(SEARCH("C",'WetLitterbags placem_collection'!$X24)),"YES","NO")</f>
        <v>NO</v>
      </c>
      <c r="AH97" s="245" t="str">
        <f>IF(ISNUMBER(SEARCH("H", 'WetLitterbags placem_collection'!$X24)),"YES","NO")</f>
        <v>NO</v>
      </c>
      <c r="AI97" s="245" t="str">
        <f>IF(ISNUMBER(SEARCH("R", 'WetLitterbags placem_collection'!$X24)),"YES","NO")</f>
        <v>NO</v>
      </c>
      <c r="AJ97" s="245" t="str">
        <f>IF(ISNUMBER(SEARCH("C", 'WetLitterbags placem_collection'!$V24)),"YES","NO")</f>
        <v>NO</v>
      </c>
      <c r="AK97" s="245" t="str">
        <f>IF(ISNUMBER(SEARCH("H", 'WetLitterbags placem_collection'!$V24)),"YES","NO")</f>
        <v>NO</v>
      </c>
      <c r="AL97" s="245" t="str">
        <f>IF(ISNUMBER(SEARCH("R", 'WetLitterbags placem_collection'!$V24)),"YES","NO")</f>
        <v>YES</v>
      </c>
    </row>
    <row r="98" spans="2:38">
      <c r="B98" t="str">
        <f>Wetseason!B24</f>
        <v>Wet</v>
      </c>
      <c r="C98" s="253">
        <f>Wetseason!C24</f>
        <v>23</v>
      </c>
      <c r="D98" t="s">
        <v>3104</v>
      </c>
      <c r="E98" t="s">
        <v>22</v>
      </c>
      <c r="F98" s="375">
        <v>7</v>
      </c>
      <c r="G98" s="16">
        <f>'WetLitterbags placem_collection'!E25</f>
        <v>42767</v>
      </c>
      <c r="H98" t="str">
        <f>Wetseason!L24</f>
        <v>G492</v>
      </c>
      <c r="I98" t="str">
        <f>Wetseason!L244</f>
        <v>R190</v>
      </c>
      <c r="J98">
        <f>IFERROR(INDEX('Green_rooibos initial weight'!$C$5:$C$2000,MATCH(H98, 'Green_rooibos initial weight'!$A$5:$A$2000,0)),"")</f>
        <v>1.948</v>
      </c>
      <c r="K98">
        <f>IFERROR(INDEX('Green_rooibos initial weight'!$C$5:$C$2000,MATCH(I98, 'Green_rooibos initial weight'!$A$5:$A$2000,0)),"")</f>
        <v>2.2240000000000002</v>
      </c>
      <c r="L98" s="194">
        <f t="shared" si="4"/>
        <v>1.6981999999999999</v>
      </c>
      <c r="M98" s="194">
        <f>AVERAGE(Ashed_controlls!$K$2:$K$11)</f>
        <v>5.5147656768714146</v>
      </c>
      <c r="N98" s="194">
        <f t="shared" si="0"/>
        <v>1.6045482492753695</v>
      </c>
      <c r="O98" s="194">
        <f t="shared" si="5"/>
        <v>1.9742000000000002</v>
      </c>
      <c r="P98" s="194">
        <f>AVERAGE(Ashed_controlls!$K$12:$K$14)</f>
        <v>2.2816647271287041</v>
      </c>
      <c r="Q98" s="194">
        <f t="shared" si="6"/>
        <v>1.9291553749570254</v>
      </c>
      <c r="R98" s="16">
        <f>IF('WetLitterbags placem_collection'!G25="","",'WetLitterbags placem_collection'!G25)</f>
        <v>42818</v>
      </c>
      <c r="S98" s="194">
        <f>IFERROR(INDEX('Both teabags AfterWet'!$C$3:$C$2000,MATCH(H98,'Both teabags AfterWet'!$A$3:$A$2000,0)),"")</f>
        <v>0.76959999999999995</v>
      </c>
      <c r="T98" s="194">
        <f>IFERROR(INDEX('Both teabags AfterWet'!$C$3:$C$2000,MATCH(I98,'Both teabags AfterWet'!$A$3:$A$2000,0)),"")</f>
        <v>1.5019</v>
      </c>
      <c r="U98" s="194">
        <f t="shared" si="7"/>
        <v>0.61899999999999999</v>
      </c>
      <c r="V98" s="194">
        <f t="shared" si="8"/>
        <v>1.3512999999999999</v>
      </c>
      <c r="W98" s="194">
        <f>IFERROR(INDEX('Ashed teabags wet'!$K$2:$K$2000,MATCH(H98,'Ashed teabags wet'!$A$2:$A$2000,0)),"")</f>
        <v>11.478696741854373</v>
      </c>
      <c r="X98" s="233">
        <f>IFERROR(INDEX('Ashed teabags wet'!$K$2:$K$2000,MATCH(I98,'Ashed teabags wet'!$A$2:$A$2000,0)),"")</f>
        <v>3.0390738060779063</v>
      </c>
      <c r="Y98" s="194">
        <f t="shared" si="14"/>
        <v>0.5479468671679214</v>
      </c>
      <c r="Z98" s="194">
        <f t="shared" si="9"/>
        <v>1.3102329956584693</v>
      </c>
      <c r="AA98" s="194">
        <f t="shared" si="10"/>
        <v>0.65850396370730524</v>
      </c>
      <c r="AB98" s="194">
        <f t="shared" si="11"/>
        <v>0.43170331112402915</v>
      </c>
      <c r="AC98" s="194">
        <f t="shared" si="2"/>
        <v>0.67917442662577476</v>
      </c>
      <c r="AD98">
        <f t="shared" si="3"/>
        <v>51</v>
      </c>
      <c r="AE98" s="194">
        <f t="shared" si="12"/>
        <v>0.21792878419559947</v>
      </c>
      <c r="AF98" s="194">
        <f t="shared" si="13"/>
        <v>2.6653145881436118E-2</v>
      </c>
      <c r="AG98" s="245" t="str">
        <f>IF(ISNUMBER(SEARCH("C",'WetLitterbags placem_collection'!$X25)),"YES","NO")</f>
        <v>NO</v>
      </c>
      <c r="AH98" s="245" t="str">
        <f>IF(ISNUMBER(SEARCH("H", 'WetLitterbags placem_collection'!$X25)),"YES","NO")</f>
        <v>NO</v>
      </c>
      <c r="AI98" s="245" t="str">
        <f>IF(ISNUMBER(SEARCH("R", 'WetLitterbags placem_collection'!$X25)),"YES","NO")</f>
        <v>NO</v>
      </c>
      <c r="AJ98" s="245" t="str">
        <f>IF(ISNUMBER(SEARCH("C", 'WetLitterbags placem_collection'!$V25)),"YES","NO")</f>
        <v>NO</v>
      </c>
      <c r="AK98" s="245" t="str">
        <f>IF(ISNUMBER(SEARCH("H", 'WetLitterbags placem_collection'!$V25)),"YES","NO")</f>
        <v>NO</v>
      </c>
      <c r="AL98" s="245" t="str">
        <f>IF(ISNUMBER(SEARCH("R", 'WetLitterbags placem_collection'!$V25)),"YES","NO")</f>
        <v>YES</v>
      </c>
    </row>
    <row r="99" spans="2:38">
      <c r="B99" t="str">
        <f>Wetseason!B25</f>
        <v>Wet</v>
      </c>
      <c r="C99" s="253">
        <f>Wetseason!C25</f>
        <v>24</v>
      </c>
      <c r="D99" t="s">
        <v>3104</v>
      </c>
      <c r="E99" t="s">
        <v>22</v>
      </c>
      <c r="F99" s="375">
        <v>8</v>
      </c>
      <c r="G99" s="16">
        <f>'WetLitterbags placem_collection'!E26</f>
        <v>42767</v>
      </c>
      <c r="H99" t="str">
        <f>Wetseason!L25</f>
        <v>G813</v>
      </c>
      <c r="I99" t="str">
        <f>Wetseason!L245</f>
        <v>R144</v>
      </c>
      <c r="J99">
        <f>IFERROR(INDEX('Green_rooibos initial weight'!$C$5:$C$2000,MATCH(H99, 'Green_rooibos initial weight'!$A$5:$A$2000,0)),"")</f>
        <v>1.9550000000000001</v>
      </c>
      <c r="K99">
        <f>IFERROR(INDEX('Green_rooibos initial weight'!$C$5:$C$2000,MATCH(I99, 'Green_rooibos initial weight'!$A$5:$A$2000,0)),"")</f>
        <v>2.1429999999999998</v>
      </c>
      <c r="L99" s="194">
        <f t="shared" si="4"/>
        <v>1.7052</v>
      </c>
      <c r="M99" s="194">
        <f>AVERAGE(Ashed_controlls!$K$2:$K$11)</f>
        <v>5.5147656768714146</v>
      </c>
      <c r="N99" s="194">
        <f t="shared" si="0"/>
        <v>1.6111622156779888</v>
      </c>
      <c r="O99" s="194">
        <f t="shared" si="5"/>
        <v>1.8931999999999998</v>
      </c>
      <c r="P99" s="194">
        <f>AVERAGE(Ashed_controlls!$K$12:$K$14)</f>
        <v>2.2816647271287041</v>
      </c>
      <c r="Q99" s="194">
        <f t="shared" si="6"/>
        <v>1.850003523385999</v>
      </c>
      <c r="R99" s="16">
        <f>IF('WetLitterbags placem_collection'!G26="","",'WetLitterbags placem_collection'!G26)</f>
        <v>42818</v>
      </c>
      <c r="S99" s="194">
        <f>IFERROR(INDEX('Both teabags AfterWet'!$C$3:$C$2000,MATCH(H99,'Both teabags AfterWet'!$A$3:$A$2000,0)),"")</f>
        <v>0.74790000000000001</v>
      </c>
      <c r="T99" s="194">
        <f>IFERROR(INDEX('Both teabags AfterWet'!$C$3:$C$2000,MATCH(I99,'Both teabags AfterWet'!$A$3:$A$2000,0)),"")</f>
        <v>1.6077999999999999</v>
      </c>
      <c r="U99" s="194">
        <f t="shared" si="7"/>
        <v>0.59729999999999994</v>
      </c>
      <c r="V99" s="194">
        <f t="shared" si="8"/>
        <v>1.4571999999999998</v>
      </c>
      <c r="W99" s="194">
        <f>IFERROR(INDEX('Ashed teabags wet'!$K$2:$K$2000,MATCH(H99,'Ashed teabags wet'!$A$2:$A$2000,0)),"")</f>
        <v>11.584158415841873</v>
      </c>
      <c r="X99" s="233">
        <f>IFERROR(INDEX('Ashed teabags wet'!$K$2:$K$2000,MATCH(I99,'Ashed teabags wet'!$A$2:$A$2000,0)),"")</f>
        <v>4.9655850540802868</v>
      </c>
      <c r="Y99" s="194">
        <f t="shared" si="14"/>
        <v>0.52810782178217641</v>
      </c>
      <c r="Z99" s="194">
        <f t="shared" si="9"/>
        <v>1.3848414945919418</v>
      </c>
      <c r="AA99" s="194">
        <f t="shared" si="10"/>
        <v>0.67221933543175549</v>
      </c>
      <c r="AB99" s="194">
        <f t="shared" si="11"/>
        <v>0.44069486123316992</v>
      </c>
      <c r="AC99" s="194">
        <f t="shared" si="2"/>
        <v>0.74856154438955513</v>
      </c>
      <c r="AD99">
        <f t="shared" si="3"/>
        <v>51</v>
      </c>
      <c r="AE99" s="194">
        <f t="shared" si="12"/>
        <v>0.20163974414280816</v>
      </c>
      <c r="AF99" s="194">
        <f t="shared" si="13"/>
        <v>1.6573528865851082E-2</v>
      </c>
      <c r="AG99" s="245" t="str">
        <f>IF(ISNUMBER(SEARCH("C",'WetLitterbags placem_collection'!$X26)),"YES","NO")</f>
        <v>NO</v>
      </c>
      <c r="AH99" s="245" t="str">
        <f>IF(ISNUMBER(SEARCH("H", 'WetLitterbags placem_collection'!$X26)),"YES","NO")</f>
        <v>NO</v>
      </c>
      <c r="AI99" s="245" t="str">
        <f>IF(ISNUMBER(SEARCH("R", 'WetLitterbags placem_collection'!$X26)),"YES","NO")</f>
        <v>NO</v>
      </c>
      <c r="AJ99" s="245" t="str">
        <f>IF(ISNUMBER(SEARCH("C", 'WetLitterbags placem_collection'!$V26)),"YES","NO")</f>
        <v>NO</v>
      </c>
      <c r="AK99" s="245" t="str">
        <f>IF(ISNUMBER(SEARCH("H", 'WetLitterbags placem_collection'!$V26)),"YES","NO")</f>
        <v>NO</v>
      </c>
      <c r="AL99" s="245" t="str">
        <f>IF(ISNUMBER(SEARCH("R", 'WetLitterbags placem_collection'!$V26)),"YES","NO")</f>
        <v>YES</v>
      </c>
    </row>
    <row r="100" spans="2:38">
      <c r="B100" t="str">
        <f>Wetseason!B26</f>
        <v>Wet</v>
      </c>
      <c r="C100" s="253">
        <f>Wetseason!C26</f>
        <v>25</v>
      </c>
      <c r="D100" t="s">
        <v>3105</v>
      </c>
      <c r="E100" t="s">
        <v>22</v>
      </c>
      <c r="F100" s="374">
        <v>1</v>
      </c>
      <c r="G100" s="16">
        <f>'WetLitterbags placem_collection'!E27</f>
        <v>42767</v>
      </c>
      <c r="H100" t="str">
        <f>Wetseason!L26</f>
        <v>G406</v>
      </c>
      <c r="I100" t="str">
        <f>Wetseason!L246</f>
        <v>R279</v>
      </c>
      <c r="J100">
        <f>IFERROR(INDEX('Green_rooibos initial weight'!$C$5:$C$2000,MATCH(H100, 'Green_rooibos initial weight'!$A$5:$A$2000,0)),"")</f>
        <v>2.0910000000000002</v>
      </c>
      <c r="K100">
        <f>IFERROR(INDEX('Green_rooibos initial weight'!$C$5:$C$2000,MATCH(I100, 'Green_rooibos initial weight'!$A$5:$A$2000,0)),"")</f>
        <v>2.161</v>
      </c>
      <c r="L100" s="194">
        <f t="shared" si="4"/>
        <v>1.8412000000000002</v>
      </c>
      <c r="M100" s="194">
        <f>AVERAGE(Ashed_controlls!$K$2:$K$11)</f>
        <v>5.5147656768714146</v>
      </c>
      <c r="N100" s="194">
        <f t="shared" si="0"/>
        <v>1.7396621343574437</v>
      </c>
      <c r="O100" s="194">
        <f t="shared" si="5"/>
        <v>1.9112</v>
      </c>
      <c r="P100" s="194">
        <f>AVERAGE(Ashed_controlls!$K$12:$K$14)</f>
        <v>2.2816647271287041</v>
      </c>
      <c r="Q100" s="194">
        <f t="shared" si="6"/>
        <v>1.8675928237351163</v>
      </c>
      <c r="R100" s="16">
        <f>IF('WetLitterbags placem_collection'!G27="","",'WetLitterbags placem_collection'!G27)</f>
        <v>42818</v>
      </c>
      <c r="S100" s="194">
        <f>IFERROR(INDEX('Both teabags AfterWet'!$C$3:$C$2000,MATCH(H100,'Both teabags AfterWet'!$A$3:$A$2000,0)),"")</f>
        <v>0.68400000000000005</v>
      </c>
      <c r="T100" s="194">
        <f>IFERROR(INDEX('Both teabags AfterWet'!$C$3:$C$2000,MATCH(I100,'Both teabags AfterWet'!$A$3:$A$2000,0)),"")</f>
        <v>1.6192</v>
      </c>
      <c r="U100" s="194">
        <f t="shared" si="7"/>
        <v>0.5334000000000001</v>
      </c>
      <c r="V100" s="194">
        <f t="shared" si="8"/>
        <v>1.4685999999999999</v>
      </c>
      <c r="W100" s="194">
        <f>IFERROR(INDEX('Ashed teabags wet'!$K$2:$K$2000,MATCH(H100,'Ashed teabags wet'!$A$2:$A$2000,0)),"")</f>
        <v>12.537313432835518</v>
      </c>
      <c r="X100" s="233">
        <f>IFERROR(INDEX('Ashed teabags wet'!$K$2:$K$2000,MATCH(I100,'Ashed teabags wet'!$A$2:$A$2000,0)),"")</f>
        <v>2.7040077257358202</v>
      </c>
      <c r="Y100" s="194">
        <f t="shared" si="14"/>
        <v>0.46652597014925545</v>
      </c>
      <c r="Z100" s="194">
        <f t="shared" si="9"/>
        <v>1.4288889425398437</v>
      </c>
      <c r="AA100" s="194">
        <f t="shared" si="10"/>
        <v>0.7318295541785933</v>
      </c>
      <c r="AB100" s="194">
        <f t="shared" si="11"/>
        <v>0.47977424454463607</v>
      </c>
      <c r="AC100" s="194">
        <f t="shared" si="2"/>
        <v>0.76509661227018366</v>
      </c>
      <c r="AD100">
        <f t="shared" si="3"/>
        <v>51</v>
      </c>
      <c r="AE100" s="194">
        <f t="shared" si="12"/>
        <v>0.13084375988290575</v>
      </c>
      <c r="AF100" s="194">
        <f t="shared" si="13"/>
        <v>1.3187935546479065E-2</v>
      </c>
      <c r="AG100" s="245" t="str">
        <f>IF(ISNUMBER(SEARCH("C",'WetLitterbags placem_collection'!$X27)),"YES","NO")</f>
        <v>NO</v>
      </c>
      <c r="AH100" s="245" t="str">
        <f>IF(ISNUMBER(SEARCH("H", 'WetLitterbags placem_collection'!$X27)),"YES","NO")</f>
        <v>NO</v>
      </c>
      <c r="AI100" s="245" t="str">
        <f>IF(ISNUMBER(SEARCH("R", 'WetLitterbags placem_collection'!$X27)),"YES","NO")</f>
        <v>NO</v>
      </c>
      <c r="AJ100" s="245" t="str">
        <f>IF(ISNUMBER(SEARCH("C", 'WetLitterbags placem_collection'!$V27)),"YES","NO")</f>
        <v>NO</v>
      </c>
      <c r="AK100" s="245" t="str">
        <f>IF(ISNUMBER(SEARCH("H", 'WetLitterbags placem_collection'!$V27)),"YES","NO")</f>
        <v>NO</v>
      </c>
      <c r="AL100" s="245" t="str">
        <f>IF(ISNUMBER(SEARCH("R", 'WetLitterbags placem_collection'!$V27)),"YES","NO")</f>
        <v>NO</v>
      </c>
    </row>
    <row r="101" spans="2:38">
      <c r="B101" t="str">
        <f>Wetseason!B27</f>
        <v>Wet</v>
      </c>
      <c r="C101" s="253">
        <f>Wetseason!C27</f>
        <v>26</v>
      </c>
      <c r="D101" t="s">
        <v>3105</v>
      </c>
      <c r="E101" t="s">
        <v>22</v>
      </c>
      <c r="F101" s="374">
        <v>2</v>
      </c>
      <c r="G101" s="16">
        <f>'WetLitterbags placem_collection'!E28</f>
        <v>42767</v>
      </c>
      <c r="H101" t="str">
        <f>Wetseason!L27</f>
        <v>G651</v>
      </c>
      <c r="I101" t="str">
        <f>Wetseason!L247</f>
        <v>R148</v>
      </c>
      <c r="J101">
        <f>IFERROR(INDEX('Green_rooibos initial weight'!$C$5:$C$2000,MATCH(H101, 'Green_rooibos initial weight'!$A$5:$A$2000,0)),"")</f>
        <v>1.97</v>
      </c>
      <c r="K101">
        <f>IFERROR(INDEX('Green_rooibos initial weight'!$C$5:$C$2000,MATCH(I101, 'Green_rooibos initial weight'!$A$5:$A$2000,0)),"")</f>
        <v>2.149</v>
      </c>
      <c r="L101" s="194">
        <f t="shared" si="4"/>
        <v>1.7202</v>
      </c>
      <c r="M101" s="194">
        <f>AVERAGE(Ashed_controlls!$K$2:$K$11)</f>
        <v>5.5147656768714146</v>
      </c>
      <c r="N101" s="194">
        <f t="shared" si="0"/>
        <v>1.6253350008264578</v>
      </c>
      <c r="O101" s="194">
        <f t="shared" si="5"/>
        <v>1.8992</v>
      </c>
      <c r="P101" s="194">
        <f>AVERAGE(Ashed_controlls!$K$12:$K$14)</f>
        <v>2.2816647271287041</v>
      </c>
      <c r="Q101" s="194">
        <f t="shared" si="6"/>
        <v>1.8558666235023717</v>
      </c>
      <c r="R101" s="16">
        <f>IF('WetLitterbags placem_collection'!G28="","",'WetLitterbags placem_collection'!G28)</f>
        <v>42818</v>
      </c>
      <c r="S101" s="194">
        <f>IFERROR(INDEX('Both teabags AfterWet'!$C$3:$C$2000,MATCH(H101,'Both teabags AfterWet'!$A$3:$A$2000,0)),"")</f>
        <v>0.77580000000000005</v>
      </c>
      <c r="T101" s="194">
        <f>IFERROR(INDEX('Both teabags AfterWet'!$C$3:$C$2000,MATCH(I101,'Both teabags AfterWet'!$A$3:$A$2000,0)),"")</f>
        <v>1.5741000000000001</v>
      </c>
      <c r="U101" s="194">
        <f t="shared" si="7"/>
        <v>0.62519999999999998</v>
      </c>
      <c r="V101" s="194">
        <f t="shared" si="8"/>
        <v>1.4235</v>
      </c>
      <c r="W101" s="194">
        <f>IFERROR(INDEX('Ashed teabags wet'!$K$2:$K$2000,MATCH(H101,'Ashed teabags wet'!$A$2:$A$2000,0)),"")</f>
        <v>12.512218963832606</v>
      </c>
      <c r="X101" s="233">
        <f>IFERROR(INDEX('Ashed teabags wet'!$K$2:$K$2000,MATCH(I101,'Ashed teabags wet'!$A$2:$A$2000,0)),"")</f>
        <v>3.3466533466532278</v>
      </c>
      <c r="Y101" s="194">
        <f t="shared" si="14"/>
        <v>0.54697360703811859</v>
      </c>
      <c r="Z101" s="194">
        <f t="shared" si="9"/>
        <v>1.3758603896103914</v>
      </c>
      <c r="AA101" s="194">
        <f t="shared" si="10"/>
        <v>0.66347023428401464</v>
      </c>
      <c r="AB101" s="194">
        <f t="shared" si="11"/>
        <v>0.43495910846172936</v>
      </c>
      <c r="AC101" s="194">
        <f t="shared" si="2"/>
        <v>0.74135736490259319</v>
      </c>
      <c r="AD101">
        <f t="shared" si="3"/>
        <v>51</v>
      </c>
      <c r="AE101" s="194">
        <f t="shared" si="12"/>
        <v>0.21203060061280921</v>
      </c>
      <c r="AF101" s="194">
        <f t="shared" si="13"/>
        <v>1.7705323504038164E-2</v>
      </c>
      <c r="AG101" s="245" t="str">
        <f>IF(ISNUMBER(SEARCH("C",'WetLitterbags placem_collection'!$X28)),"YES","NO")</f>
        <v>NO</v>
      </c>
      <c r="AH101" s="245" t="str">
        <f>IF(ISNUMBER(SEARCH("H", 'WetLitterbags placem_collection'!$X28)),"YES","NO")</f>
        <v>NO</v>
      </c>
      <c r="AI101" s="245" t="str">
        <f>IF(ISNUMBER(SEARCH("R", 'WetLitterbags placem_collection'!$X28)),"YES","NO")</f>
        <v>NO</v>
      </c>
      <c r="AJ101" s="245" t="str">
        <f>IF(ISNUMBER(SEARCH("C", 'WetLitterbags placem_collection'!$V28)),"YES","NO")</f>
        <v>NO</v>
      </c>
      <c r="AK101" s="245" t="str">
        <f>IF(ISNUMBER(SEARCH("H", 'WetLitterbags placem_collection'!$V28)),"YES","NO")</f>
        <v>NO</v>
      </c>
      <c r="AL101" s="245" t="str">
        <f>IF(ISNUMBER(SEARCH("R", 'WetLitterbags placem_collection'!$V28)),"YES","NO")</f>
        <v>YES</v>
      </c>
    </row>
    <row r="102" spans="2:38">
      <c r="B102" t="str">
        <f>Wetseason!B28</f>
        <v>Wet</v>
      </c>
      <c r="C102" s="253">
        <f>Wetseason!C28</f>
        <v>27</v>
      </c>
      <c r="D102" t="s">
        <v>3105</v>
      </c>
      <c r="E102" t="s">
        <v>22</v>
      </c>
      <c r="F102" s="374">
        <v>3</v>
      </c>
      <c r="G102" s="16">
        <f>'WetLitterbags placem_collection'!E29</f>
        <v>42767</v>
      </c>
      <c r="H102" t="str">
        <f>Wetseason!L28</f>
        <v>G583</v>
      </c>
      <c r="I102" t="str">
        <f>Wetseason!L248</f>
        <v>R112</v>
      </c>
      <c r="J102">
        <f>IFERROR(INDEX('Green_rooibos initial weight'!$C$5:$C$2000,MATCH(H102, 'Green_rooibos initial weight'!$A$5:$A$2000,0)),"")</f>
        <v>2.1829999999999998</v>
      </c>
      <c r="K102">
        <f>IFERROR(INDEX('Green_rooibos initial weight'!$C$5:$C$2000,MATCH(I102, 'Green_rooibos initial weight'!$A$5:$A$2000,0)),"")</f>
        <v>2.2610000000000001</v>
      </c>
      <c r="L102" s="194">
        <f t="shared" si="4"/>
        <v>1.9331999999999998</v>
      </c>
      <c r="M102" s="194">
        <f>AVERAGE(Ashed_controlls!$K$2:$K$11)</f>
        <v>5.5147656768714146</v>
      </c>
      <c r="N102" s="194">
        <f t="shared" si="0"/>
        <v>1.8265885499347216</v>
      </c>
      <c r="O102" s="194">
        <f t="shared" si="5"/>
        <v>2.0112000000000001</v>
      </c>
      <c r="P102" s="194">
        <f>AVERAGE(Ashed_controlls!$K$12:$K$14)</f>
        <v>2.2816647271287041</v>
      </c>
      <c r="Q102" s="194">
        <f t="shared" si="6"/>
        <v>1.9653111590079877</v>
      </c>
      <c r="R102" s="16">
        <f>IF('WetLitterbags placem_collection'!G29="","",'WetLitterbags placem_collection'!G29)</f>
        <v>42818</v>
      </c>
      <c r="S102" s="194">
        <f>IFERROR(INDEX('Both teabags AfterWet'!$C$3:$C$2000,MATCH(H102,'Both teabags AfterWet'!$A$3:$A$2000,0)),"")</f>
        <v>0.66169999999999995</v>
      </c>
      <c r="T102" s="194">
        <f>IFERROR(INDEX('Both teabags AfterWet'!$C$3:$C$2000,MATCH(I102,'Both teabags AfterWet'!$A$3:$A$2000,0)),"")</f>
        <v>1.3584000000000001</v>
      </c>
      <c r="U102" s="194">
        <f t="shared" si="7"/>
        <v>0.51109999999999989</v>
      </c>
      <c r="V102" s="194">
        <f t="shared" si="8"/>
        <v>1.2078</v>
      </c>
      <c r="W102" s="194">
        <f>IFERROR(INDEX('Ashed teabags wet'!$K$2:$K$2000,MATCH(H102,'Ashed teabags wet'!$A$2:$A$2000,0)),"")</f>
        <v>12.756598240469378</v>
      </c>
      <c r="X102" s="233">
        <f>IFERROR(INDEX('Ashed teabags wet'!$K$2:$K$2000,MATCH(I102,'Ashed teabags wet'!$A$2:$A$2000,0)),"")</f>
        <v>6.1105722599418044</v>
      </c>
      <c r="Y102" s="194">
        <f t="shared" si="14"/>
        <v>0.44590102639296092</v>
      </c>
      <c r="Z102" s="194">
        <f t="shared" si="9"/>
        <v>1.1339965082444228</v>
      </c>
      <c r="AA102" s="194">
        <f t="shared" si="10"/>
        <v>0.7558831591225641</v>
      </c>
      <c r="AB102" s="194">
        <f t="shared" si="11"/>
        <v>0.49554335372405633</v>
      </c>
      <c r="AC102" s="194">
        <f t="shared" si="2"/>
        <v>0.57700609038256312</v>
      </c>
      <c r="AD102">
        <f t="shared" si="3"/>
        <v>51</v>
      </c>
      <c r="AE102" s="194">
        <f t="shared" si="12"/>
        <v>0.10227653310859364</v>
      </c>
      <c r="AF102" s="194">
        <f t="shared" si="13"/>
        <v>3.7674245642247035E-2</v>
      </c>
      <c r="AG102" s="245" t="str">
        <f>IF(ISNUMBER(SEARCH("C",'WetLitterbags placem_collection'!$X29)),"YES","NO")</f>
        <v>NO</v>
      </c>
      <c r="AH102" s="245" t="str">
        <f>IF(ISNUMBER(SEARCH("H", 'WetLitterbags placem_collection'!$X29)),"YES","NO")</f>
        <v>NO</v>
      </c>
      <c r="AI102" s="245" t="str">
        <f>IF(ISNUMBER(SEARCH("R", 'WetLitterbags placem_collection'!$X29)),"YES","NO")</f>
        <v>NO</v>
      </c>
      <c r="AJ102" s="245" t="str">
        <f>IF(ISNUMBER(SEARCH("C", 'WetLitterbags placem_collection'!$V29)),"YES","NO")</f>
        <v>NO</v>
      </c>
      <c r="AK102" s="245" t="str">
        <f>IF(ISNUMBER(SEARCH("H", 'WetLitterbags placem_collection'!$V29)),"YES","NO")</f>
        <v>NO</v>
      </c>
      <c r="AL102" s="245" t="str">
        <f>IF(ISNUMBER(SEARCH("R", 'WetLitterbags placem_collection'!$V29)),"YES","NO")</f>
        <v>NO</v>
      </c>
    </row>
    <row r="103" spans="2:38">
      <c r="B103" t="str">
        <f>Wetseason!B29</f>
        <v>Wet</v>
      </c>
      <c r="C103" s="253">
        <f>Wetseason!C29</f>
        <v>28</v>
      </c>
      <c r="D103" t="s">
        <v>3105</v>
      </c>
      <c r="E103" t="s">
        <v>22</v>
      </c>
      <c r="F103" s="375">
        <v>4</v>
      </c>
      <c r="G103" s="16">
        <f>'WetLitterbags placem_collection'!E30</f>
        <v>42767</v>
      </c>
      <c r="H103" t="str">
        <f>Wetseason!L29</f>
        <v>G702</v>
      </c>
      <c r="I103" t="str">
        <f>Wetseason!L249</f>
        <v>R436</v>
      </c>
      <c r="J103">
        <f>IFERROR(INDEX('Green_rooibos initial weight'!$C$5:$C$2000,MATCH(H103, 'Green_rooibos initial weight'!$A$5:$A$2000,0)),"")</f>
        <v>2.109</v>
      </c>
      <c r="K103">
        <f>IFERROR(INDEX('Green_rooibos initial weight'!$C$5:$C$2000,MATCH(I103, 'Green_rooibos initial weight'!$A$5:$A$2000,0)),"")</f>
        <v>2.2240000000000002</v>
      </c>
      <c r="L103" s="194">
        <f t="shared" si="4"/>
        <v>1.8592</v>
      </c>
      <c r="M103" s="194">
        <f>AVERAGE(Ashed_controlls!$K$2:$K$11)</f>
        <v>5.5147656768714146</v>
      </c>
      <c r="N103" s="194">
        <f t="shared" si="0"/>
        <v>1.7566694765356066</v>
      </c>
      <c r="O103" s="194">
        <f t="shared" si="5"/>
        <v>1.9742000000000002</v>
      </c>
      <c r="P103" s="194">
        <f>AVERAGE(Ashed_controlls!$K$12:$K$14)</f>
        <v>2.2816647271287041</v>
      </c>
      <c r="Q103" s="194">
        <f t="shared" si="6"/>
        <v>1.9291553749570254</v>
      </c>
      <c r="R103" s="16">
        <f>IF('WetLitterbags placem_collection'!G30="","",'WetLitterbags placem_collection'!G30)</f>
        <v>42818</v>
      </c>
      <c r="S103" s="194">
        <f>IFERROR(INDEX('Both teabags AfterWet'!$C$3:$C$2000,MATCH(H103,'Both teabags AfterWet'!$A$3:$A$2000,0)),"")</f>
        <v>0.73699999999999999</v>
      </c>
      <c r="T103" s="194">
        <f>IFERROR(INDEX('Both teabags AfterWet'!$C$3:$C$2000,MATCH(I103,'Both teabags AfterWet'!$A$3:$A$2000,0)),"")</f>
        <v>1.5295000000000001</v>
      </c>
      <c r="U103" s="194">
        <f t="shared" si="7"/>
        <v>0.58640000000000003</v>
      </c>
      <c r="V103" s="194">
        <f t="shared" si="8"/>
        <v>1.3789</v>
      </c>
      <c r="W103" s="194">
        <f>IFERROR(INDEX('Ashed teabags wet'!$K$2:$K$2000,MATCH(H103,'Ashed teabags wet'!$A$2:$A$2000,0)),"")</f>
        <v>10.710760118459444</v>
      </c>
      <c r="X103" s="233">
        <f>IFERROR(INDEX('Ashed teabags wet'!$K$2:$K$2000,MATCH(I103,'Ashed teabags wet'!$A$2:$A$2000,0)),"")</f>
        <v>4.1749502982106899</v>
      </c>
      <c r="Y103" s="194">
        <f t="shared" si="14"/>
        <v>0.52359210266535383</v>
      </c>
      <c r="Z103" s="194">
        <f t="shared" si="9"/>
        <v>1.3213316103379729</v>
      </c>
      <c r="AA103" s="194">
        <f t="shared" si="10"/>
        <v>0.70194045626730572</v>
      </c>
      <c r="AB103" s="194">
        <f t="shared" si="11"/>
        <v>0.46017949151965892</v>
      </c>
      <c r="AC103" s="194">
        <f t="shared" si="2"/>
        <v>0.68492752190445383</v>
      </c>
      <c r="AD103">
        <f t="shared" si="3"/>
        <v>51</v>
      </c>
      <c r="AE103" s="194">
        <f t="shared" si="12"/>
        <v>0.16634150087018318</v>
      </c>
      <c r="AF103" s="194">
        <f t="shared" si="13"/>
        <v>2.2630296441205254E-2</v>
      </c>
      <c r="AG103" s="245" t="str">
        <f>IF(ISNUMBER(SEARCH("C",'WetLitterbags placem_collection'!$X30)),"YES","NO")</f>
        <v>NO</v>
      </c>
      <c r="AH103" s="245" t="str">
        <f>IF(ISNUMBER(SEARCH("H", 'WetLitterbags placem_collection'!$X30)),"YES","NO")</f>
        <v>NO</v>
      </c>
      <c r="AI103" s="245" t="str">
        <f>IF(ISNUMBER(SEARCH("R", 'WetLitterbags placem_collection'!$X30)),"YES","NO")</f>
        <v>NO</v>
      </c>
      <c r="AJ103" s="245" t="str">
        <f>IF(ISNUMBER(SEARCH("C", 'WetLitterbags placem_collection'!$V30)),"YES","NO")</f>
        <v>NO</v>
      </c>
      <c r="AK103" s="245" t="str">
        <f>IF(ISNUMBER(SEARCH("H", 'WetLitterbags placem_collection'!$V30)),"YES","NO")</f>
        <v>NO</v>
      </c>
      <c r="AL103" s="245" t="str">
        <f>IF(ISNUMBER(SEARCH("R", 'WetLitterbags placem_collection'!$V30)),"YES","NO")</f>
        <v>NO</v>
      </c>
    </row>
    <row r="104" spans="2:38">
      <c r="B104" t="str">
        <f>Wetseason!B30</f>
        <v>Wet</v>
      </c>
      <c r="C104" s="253">
        <f>Wetseason!C30</f>
        <v>29</v>
      </c>
      <c r="D104" t="s">
        <v>3105</v>
      </c>
      <c r="E104" t="s">
        <v>22</v>
      </c>
      <c r="F104" s="375">
        <v>5</v>
      </c>
      <c r="G104" s="16">
        <f>'WetLitterbags placem_collection'!E31</f>
        <v>42767</v>
      </c>
      <c r="H104" t="str">
        <f>Wetseason!L30</f>
        <v>G838</v>
      </c>
      <c r="I104" t="str">
        <f>Wetseason!L250</f>
        <v>R386</v>
      </c>
      <c r="J104">
        <f>IFERROR(INDEX('Green_rooibos initial weight'!$C$5:$C$2000,MATCH(H104, 'Green_rooibos initial weight'!$A$5:$A$2000,0)),"")</f>
        <v>2.0369999999999999</v>
      </c>
      <c r="K104">
        <f>IFERROR(INDEX('Green_rooibos initial weight'!$C$5:$C$2000,MATCH(I104, 'Green_rooibos initial weight'!$A$5:$A$2000,0)),"")</f>
        <v>2.2309999999999999</v>
      </c>
      <c r="L104" s="194">
        <f t="shared" si="4"/>
        <v>1.7871999999999999</v>
      </c>
      <c r="M104" s="194">
        <f>AVERAGE(Ashed_controlls!$K$2:$K$11)</f>
        <v>5.5147656768714146</v>
      </c>
      <c r="N104" s="194">
        <f t="shared" si="0"/>
        <v>1.688640107822954</v>
      </c>
      <c r="O104" s="194">
        <f t="shared" si="5"/>
        <v>1.9811999999999999</v>
      </c>
      <c r="P104" s="194">
        <f>AVERAGE(Ashed_controlls!$K$12:$K$14)</f>
        <v>2.2816647271287041</v>
      </c>
      <c r="Q104" s="194">
        <f t="shared" si="6"/>
        <v>1.935995658426126</v>
      </c>
      <c r="R104" s="16">
        <f>IF('WetLitterbags placem_collection'!G31="","",'WetLitterbags placem_collection'!G31)</f>
        <v>42818</v>
      </c>
      <c r="S104" s="194">
        <f>IFERROR(INDEX('Both teabags AfterWet'!$C$3:$C$2000,MATCH(H104,'Both teabags AfterWet'!$A$3:$A$2000,0)),"")</f>
        <v>0.70830000000000004</v>
      </c>
      <c r="T104" s="194">
        <f>IFERROR(INDEX('Both teabags AfterWet'!$C$3:$C$2000,MATCH(I104,'Both teabags AfterWet'!$A$3:$A$2000,0)),"")</f>
        <v>1.5941000000000001</v>
      </c>
      <c r="U104" s="194">
        <f t="shared" si="7"/>
        <v>0.55770000000000008</v>
      </c>
      <c r="V104" s="194">
        <f t="shared" si="8"/>
        <v>1.4435</v>
      </c>
      <c r="W104" s="194">
        <f>IFERROR(INDEX('Ashed teabags wet'!$K$2:$K$2000,MATCH(H104,'Ashed teabags wet'!$A$2:$A$2000,0)),"")</f>
        <v>8.2404265632568467</v>
      </c>
      <c r="X104" s="233">
        <f>IFERROR(INDEX('Ashed teabags wet'!$K$2:$K$2000,MATCH(I104,'Ashed teabags wet'!$A$2:$A$2000,0)),"")</f>
        <v>10.99756690997477</v>
      </c>
      <c r="Y104" s="194">
        <f t="shared" si="14"/>
        <v>0.51174314105671659</v>
      </c>
      <c r="Z104" s="194">
        <f t="shared" si="9"/>
        <v>1.2847501216545143</v>
      </c>
      <c r="AA104" s="194">
        <f t="shared" si="10"/>
        <v>0.69694955207686538</v>
      </c>
      <c r="AB104" s="194">
        <f t="shared" si="11"/>
        <v>0.45690754482948898</v>
      </c>
      <c r="AC104" s="194">
        <f t="shared" si="2"/>
        <v>0.66361208821044371</v>
      </c>
      <c r="AD104">
        <f t="shared" si="3"/>
        <v>51</v>
      </c>
      <c r="AE104" s="194">
        <f t="shared" si="12"/>
        <v>0.17226894052628816</v>
      </c>
      <c r="AF104" s="194">
        <f t="shared" si="13"/>
        <v>2.6130752785664811E-2</v>
      </c>
      <c r="AG104" s="245" t="str">
        <f>IF(ISNUMBER(SEARCH("C",'WetLitterbags placem_collection'!$X31)),"YES","NO")</f>
        <v>NO</v>
      </c>
      <c r="AH104" s="245" t="str">
        <f>IF(ISNUMBER(SEARCH("H", 'WetLitterbags placem_collection'!$X31)),"YES","NO")</f>
        <v>NO</v>
      </c>
      <c r="AI104" s="245" t="str">
        <f>IF(ISNUMBER(SEARCH("R", 'WetLitterbags placem_collection'!$X31)),"YES","NO")</f>
        <v>NO</v>
      </c>
      <c r="AJ104" s="245" t="str">
        <f>IF(ISNUMBER(SEARCH("C", 'WetLitterbags placem_collection'!$V31)),"YES","NO")</f>
        <v>NO</v>
      </c>
      <c r="AK104" s="245" t="str">
        <f>IF(ISNUMBER(SEARCH("H", 'WetLitterbags placem_collection'!$V31)),"YES","NO")</f>
        <v>NO</v>
      </c>
      <c r="AL104" s="245" t="str">
        <f>IF(ISNUMBER(SEARCH("R", 'WetLitterbags placem_collection'!$V31)),"YES","NO")</f>
        <v>YES</v>
      </c>
    </row>
    <row r="105" spans="2:38">
      <c r="B105" t="str">
        <f>Wetseason!B31</f>
        <v>Wet</v>
      </c>
      <c r="C105" s="253">
        <f>Wetseason!C31</f>
        <v>30</v>
      </c>
      <c r="D105" t="s">
        <v>3105</v>
      </c>
      <c r="E105" t="s">
        <v>22</v>
      </c>
      <c r="F105" s="375">
        <v>6</v>
      </c>
      <c r="G105" s="16">
        <f>'WetLitterbags placem_collection'!E32</f>
        <v>42767</v>
      </c>
      <c r="H105" t="str">
        <f>Wetseason!L31</f>
        <v>G518</v>
      </c>
      <c r="I105" t="str">
        <f>Wetseason!L251</f>
        <v>R507</v>
      </c>
      <c r="J105">
        <f>IFERROR(INDEX('Green_rooibos initial weight'!$C$5:$C$2000,MATCH(H105, 'Green_rooibos initial weight'!$A$5:$A$2000,0)),"")</f>
        <v>1.9950000000000001</v>
      </c>
      <c r="K105">
        <f>IFERROR(INDEX('Green_rooibos initial weight'!$C$5:$C$2000,MATCH(I105, 'Green_rooibos initial weight'!$A$5:$A$2000,0)),"")</f>
        <v>2.1920000000000002</v>
      </c>
      <c r="L105" s="194">
        <f t="shared" si="4"/>
        <v>1.7452000000000001</v>
      </c>
      <c r="M105" s="194">
        <f>AVERAGE(Ashed_controlls!$K$2:$K$11)</f>
        <v>5.5147656768714146</v>
      </c>
      <c r="N105" s="194">
        <f t="shared" si="0"/>
        <v>1.6489563094072401</v>
      </c>
      <c r="O105" s="194">
        <f t="shared" si="5"/>
        <v>1.9422000000000001</v>
      </c>
      <c r="P105" s="194">
        <f>AVERAGE(Ashed_controlls!$K$12:$K$14)</f>
        <v>2.2816647271287041</v>
      </c>
      <c r="Q105" s="194">
        <f t="shared" si="6"/>
        <v>1.8978855076697065</v>
      </c>
      <c r="R105" s="16">
        <f>IF('WetLitterbags placem_collection'!G32="","",'WetLitterbags placem_collection'!G32)</f>
        <v>42818</v>
      </c>
      <c r="S105" s="194">
        <f>IFERROR(INDEX('Both teabags AfterWet'!$C$3:$C$2000,MATCH(H105,'Both teabags AfterWet'!$A$3:$A$2000,0)),"")</f>
        <v>0.68200000000000005</v>
      </c>
      <c r="T105" s="194">
        <f>IFERROR(INDEX('Both teabags AfterWet'!$C$3:$C$2000,MATCH(I105,'Both teabags AfterWet'!$A$3:$A$2000,0)),"")</f>
        <v>1.3523000000000001</v>
      </c>
      <c r="U105" s="194">
        <f t="shared" si="7"/>
        <v>0.53140000000000009</v>
      </c>
      <c r="V105" s="194">
        <f t="shared" si="8"/>
        <v>1.2017</v>
      </c>
      <c r="W105" s="194">
        <f>IFERROR(INDEX('Ashed teabags wet'!$K$2:$K$2000,MATCH(H105,'Ashed teabags wet'!$A$2:$A$2000,0)),"")</f>
        <v>11.009615384615254</v>
      </c>
      <c r="X105" s="233">
        <f>IFERROR(INDEX('Ashed teabags wet'!$K$2:$K$2000,MATCH(I105,'Ashed teabags wet'!$A$2:$A$2000,0)),"")</f>
        <v>4.821073558648326</v>
      </c>
      <c r="Y105" s="194">
        <f t="shared" si="14"/>
        <v>0.47289490384615462</v>
      </c>
      <c r="Z105" s="194">
        <f t="shared" si="9"/>
        <v>1.143765159045723</v>
      </c>
      <c r="AA105" s="194">
        <f t="shared" si="10"/>
        <v>0.71321562545453432</v>
      </c>
      <c r="AB105" s="194">
        <f t="shared" si="11"/>
        <v>0.46757128889655941</v>
      </c>
      <c r="AC105" s="194">
        <f t="shared" si="2"/>
        <v>0.60265234885010521</v>
      </c>
      <c r="AD105">
        <f t="shared" si="3"/>
        <v>51</v>
      </c>
      <c r="AE105" s="194">
        <f t="shared" si="12"/>
        <v>0.15295056359318959</v>
      </c>
      <c r="AF105" s="194">
        <f t="shared" si="13"/>
        <v>3.7173859849596799E-2</v>
      </c>
      <c r="AG105" s="245" t="str">
        <f>IF(ISNUMBER(SEARCH("C",'WetLitterbags placem_collection'!$X32)),"YES","NO")</f>
        <v>NO</v>
      </c>
      <c r="AH105" s="245" t="str">
        <f>IF(ISNUMBER(SEARCH("H", 'WetLitterbags placem_collection'!$X32)),"YES","NO")</f>
        <v>NO</v>
      </c>
      <c r="AI105" s="245" t="str">
        <f>IF(ISNUMBER(SEARCH("R", 'WetLitterbags placem_collection'!$X32)),"YES","NO")</f>
        <v>NO</v>
      </c>
      <c r="AJ105" s="245" t="str">
        <f>IF(ISNUMBER(SEARCH("C", 'WetLitterbags placem_collection'!$V32)),"YES","NO")</f>
        <v>NO</v>
      </c>
      <c r="AK105" s="245" t="str">
        <f>IF(ISNUMBER(SEARCH("H", 'WetLitterbags placem_collection'!$V32)),"YES","NO")</f>
        <v>NO</v>
      </c>
      <c r="AL105" s="245" t="str">
        <f>IF(ISNUMBER(SEARCH("R", 'WetLitterbags placem_collection'!$V32)),"YES","NO")</f>
        <v>YES</v>
      </c>
    </row>
    <row r="106" spans="2:38">
      <c r="B106" t="str">
        <f>Wetseason!B32</f>
        <v>Wet</v>
      </c>
      <c r="C106" s="253">
        <f>Wetseason!C32</f>
        <v>31</v>
      </c>
      <c r="D106" t="s">
        <v>3105</v>
      </c>
      <c r="E106" t="s">
        <v>22</v>
      </c>
      <c r="F106" s="375">
        <v>7</v>
      </c>
      <c r="G106" s="16">
        <f>'WetLitterbags placem_collection'!E33</f>
        <v>42767</v>
      </c>
      <c r="H106" t="str">
        <f>Wetseason!L32</f>
        <v>G404</v>
      </c>
      <c r="I106" t="str">
        <f>Wetseason!L252</f>
        <v>R141</v>
      </c>
      <c r="J106">
        <f>IFERROR(INDEX('Green_rooibos initial weight'!$C$5:$C$2000,MATCH(H106, 'Green_rooibos initial weight'!$A$5:$A$2000,0)),"")</f>
        <v>2.113</v>
      </c>
      <c r="K106">
        <f>IFERROR(INDEX('Green_rooibos initial weight'!$C$5:$C$2000,MATCH(I106, 'Green_rooibos initial weight'!$A$5:$A$2000,0)),"")</f>
        <v>2.2029999999999998</v>
      </c>
      <c r="L106" s="194">
        <f t="shared" si="4"/>
        <v>1.8632</v>
      </c>
      <c r="M106" s="194">
        <f>AVERAGE(Ashed_controlls!$K$2:$K$11)</f>
        <v>5.5147656768714146</v>
      </c>
      <c r="N106" s="194">
        <f t="shared" si="0"/>
        <v>1.7604488859085319</v>
      </c>
      <c r="O106" s="194">
        <f t="shared" si="5"/>
        <v>1.9531999999999998</v>
      </c>
      <c r="P106" s="194">
        <f>AVERAGE(Ashed_controlls!$K$12:$K$14)</f>
        <v>2.2816647271287041</v>
      </c>
      <c r="Q106" s="194">
        <f t="shared" si="6"/>
        <v>1.908634524549722</v>
      </c>
      <c r="R106" s="16">
        <f>IF('WetLitterbags placem_collection'!G33="","",'WetLitterbags placem_collection'!G33)</f>
        <v>42818</v>
      </c>
      <c r="S106" s="194">
        <f>IFERROR(INDEX('Both teabags AfterWet'!$C$3:$C$2000,MATCH(H106,'Both teabags AfterWet'!$A$3:$A$2000,0)),"")</f>
        <v>0.75349999999999995</v>
      </c>
      <c r="T106" s="194">
        <f>IFERROR(INDEX('Both teabags AfterWet'!$C$3:$C$2000,MATCH(I106,'Both teabags AfterWet'!$A$3:$A$2000,0)),"")</f>
        <v>1.3197000000000001</v>
      </c>
      <c r="U106" s="194">
        <f t="shared" si="7"/>
        <v>0.60289999999999999</v>
      </c>
      <c r="V106" s="194">
        <f t="shared" si="8"/>
        <v>1.1691</v>
      </c>
      <c r="W106" s="194">
        <f>IFERROR(INDEX('Ashed teabags wet'!$K$2:$K$2000,MATCH(H106,'Ashed teabags wet'!$A$2:$A$2000,0)),"")</f>
        <v>13.930110100526482</v>
      </c>
      <c r="X106" s="233">
        <f>IFERROR(INDEX('Ashed teabags wet'!$K$2:$K$2000,MATCH(I106,'Ashed teabags wet'!$A$2:$A$2000,0)),"")</f>
        <v>5.5501460564756266</v>
      </c>
      <c r="Y106" s="194">
        <f t="shared" si="14"/>
        <v>0.51891536620392587</v>
      </c>
      <c r="Z106" s="194">
        <f t="shared" si="9"/>
        <v>1.1042132424537434</v>
      </c>
      <c r="AA106" s="194">
        <f t="shared" si="10"/>
        <v>0.70523690272545214</v>
      </c>
      <c r="AB106" s="194">
        <f t="shared" si="11"/>
        <v>0.46234058230932262</v>
      </c>
      <c r="AC106" s="194">
        <f t="shared" si="2"/>
        <v>0.57853571663451142</v>
      </c>
      <c r="AD106">
        <f t="shared" si="3"/>
        <v>51</v>
      </c>
      <c r="AE106" s="194">
        <f t="shared" si="12"/>
        <v>0.16242648132369097</v>
      </c>
      <c r="AF106" s="194">
        <f t="shared" si="13"/>
        <v>4.7563753009423886E-2</v>
      </c>
      <c r="AG106" s="245" t="str">
        <f>IF(ISNUMBER(SEARCH("C",'WetLitterbags placem_collection'!$X33)),"YES","NO")</f>
        <v>NO</v>
      </c>
      <c r="AH106" s="245" t="str">
        <f>IF(ISNUMBER(SEARCH("H", 'WetLitterbags placem_collection'!$X33)),"YES","NO")</f>
        <v>NO</v>
      </c>
      <c r="AI106" s="245" t="str">
        <f>IF(ISNUMBER(SEARCH("R", 'WetLitterbags placem_collection'!$X33)),"YES","NO")</f>
        <v>YES</v>
      </c>
      <c r="AJ106" s="245" t="str">
        <f>IF(ISNUMBER(SEARCH("C", 'WetLitterbags placem_collection'!$V33)),"YES","NO")</f>
        <v>NO</v>
      </c>
      <c r="AK106" s="245" t="str">
        <f>IF(ISNUMBER(SEARCH("H", 'WetLitterbags placem_collection'!$V33)),"YES","NO")</f>
        <v>NO</v>
      </c>
      <c r="AL106" s="245" t="str">
        <f>IF(ISNUMBER(SEARCH("R", 'WetLitterbags placem_collection'!$V33)),"YES","NO")</f>
        <v>YES</v>
      </c>
    </row>
    <row r="107" spans="2:38">
      <c r="B107" t="str">
        <f>Wetseason!B33</f>
        <v>Wet</v>
      </c>
      <c r="C107" s="253">
        <f>Wetseason!C33</f>
        <v>32</v>
      </c>
      <c r="D107" t="s">
        <v>3105</v>
      </c>
      <c r="E107" t="s">
        <v>22</v>
      </c>
      <c r="F107" s="375">
        <v>8</v>
      </c>
      <c r="G107" s="16">
        <f>'WetLitterbags placem_collection'!E34</f>
        <v>42767</v>
      </c>
      <c r="H107" t="str">
        <f>Wetseason!L33</f>
        <v>G527</v>
      </c>
      <c r="I107" t="str">
        <f>Wetseason!L253</f>
        <v>R396</v>
      </c>
      <c r="J107">
        <f>IFERROR(INDEX('Green_rooibos initial weight'!$C$5:$C$2000,MATCH(H107, 'Green_rooibos initial weight'!$A$5:$A$2000,0)),"")</f>
        <v>1.913</v>
      </c>
      <c r="K107">
        <f>IFERROR(INDEX('Green_rooibos initial weight'!$C$5:$C$2000,MATCH(I107, 'Green_rooibos initial weight'!$A$5:$A$2000,0)),"")</f>
        <v>2.14</v>
      </c>
      <c r="L107" s="194">
        <f t="shared" si="4"/>
        <v>1.6632</v>
      </c>
      <c r="M107" s="194">
        <f>AVERAGE(Ashed_controlls!$K$2:$K$11)</f>
        <v>5.5147656768714146</v>
      </c>
      <c r="N107" s="194">
        <f t="shared" si="0"/>
        <v>1.5714784172622747</v>
      </c>
      <c r="O107" s="194">
        <f t="shared" si="5"/>
        <v>1.8902000000000001</v>
      </c>
      <c r="P107" s="194">
        <f>AVERAGE(Ashed_controlls!$K$12:$K$14)</f>
        <v>2.2816647271287041</v>
      </c>
      <c r="Q107" s="194">
        <f t="shared" si="6"/>
        <v>1.8470719733278134</v>
      </c>
      <c r="R107" s="16">
        <f>IF('WetLitterbags placem_collection'!G34="","",'WetLitterbags placem_collection'!G34)</f>
        <v>42818</v>
      </c>
      <c r="S107" s="194">
        <f>IFERROR(INDEX('Both teabags AfterWet'!$C$3:$C$2000,MATCH(H107,'Both teabags AfterWet'!$A$3:$A$2000,0)),"")</f>
        <v>0.66439999999999999</v>
      </c>
      <c r="T107" s="194">
        <f>IFERROR(INDEX('Both teabags AfterWet'!$C$3:$C$2000,MATCH(I107,'Both teabags AfterWet'!$A$3:$A$2000,0)),"")</f>
        <v>1.3464</v>
      </c>
      <c r="U107" s="194">
        <f t="shared" si="7"/>
        <v>0.51380000000000003</v>
      </c>
      <c r="V107" s="194">
        <f t="shared" si="8"/>
        <v>1.1958</v>
      </c>
      <c r="W107" s="194">
        <f>IFERROR(INDEX('Ashed teabags wet'!$K$2:$K$2000,MATCH(H107,'Ashed teabags wet'!$A$2:$A$2000,0)),"")</f>
        <v>8.4915084915079166</v>
      </c>
      <c r="X107" s="233">
        <f>IFERROR(INDEX('Ashed teabags wet'!$K$2:$K$2000,MATCH(I107,'Ashed teabags wet'!$A$2:$A$2000,0)),"")</f>
        <v>7.5764934434188538</v>
      </c>
      <c r="Y107" s="194">
        <f t="shared" si="14"/>
        <v>0.47017062937063236</v>
      </c>
      <c r="Z107" s="194">
        <f t="shared" si="9"/>
        <v>1.1052002914035972</v>
      </c>
      <c r="AA107" s="194">
        <f t="shared" si="10"/>
        <v>0.70080999891189566</v>
      </c>
      <c r="AB107" s="194">
        <f t="shared" si="11"/>
        <v>0.45943838408475829</v>
      </c>
      <c r="AC107" s="194">
        <f t="shared" si="2"/>
        <v>0.59835258580226924</v>
      </c>
      <c r="AD107">
        <f t="shared" si="3"/>
        <v>51</v>
      </c>
      <c r="AE107" s="194">
        <f t="shared" si="12"/>
        <v>0.1676840868029742</v>
      </c>
      <c r="AF107" s="194">
        <f t="shared" si="13"/>
        <v>4.0650437377726265E-2</v>
      </c>
      <c r="AG107" s="245" t="str">
        <f>IF(ISNUMBER(SEARCH("C",'WetLitterbags placem_collection'!$X34)),"YES","NO")</f>
        <v>NO</v>
      </c>
      <c r="AH107" s="245" t="str">
        <f>IF(ISNUMBER(SEARCH("H", 'WetLitterbags placem_collection'!$X34)),"YES","NO")</f>
        <v>NO</v>
      </c>
      <c r="AI107" s="245" t="str">
        <f>IF(ISNUMBER(SEARCH("R", 'WetLitterbags placem_collection'!$X34)),"YES","NO")</f>
        <v>YES</v>
      </c>
      <c r="AJ107" s="245" t="str">
        <f>IF(ISNUMBER(SEARCH("C", 'WetLitterbags placem_collection'!$V34)),"YES","NO")</f>
        <v>NO</v>
      </c>
      <c r="AK107" s="245" t="str">
        <f>IF(ISNUMBER(SEARCH("H", 'WetLitterbags placem_collection'!$V34)),"YES","NO")</f>
        <v>NO</v>
      </c>
      <c r="AL107" s="245" t="str">
        <f>IF(ISNUMBER(SEARCH("R", 'WetLitterbags placem_collection'!$V34)),"YES","NO")</f>
        <v>YES</v>
      </c>
    </row>
    <row r="108" spans="2:38">
      <c r="B108" t="str">
        <f>Wetseason!B34</f>
        <v>Wet</v>
      </c>
      <c r="C108" s="253">
        <f>Wetseason!C34</f>
        <v>33</v>
      </c>
      <c r="D108" t="s">
        <v>3106</v>
      </c>
      <c r="E108" t="s">
        <v>22</v>
      </c>
      <c r="F108" s="374">
        <v>1</v>
      </c>
      <c r="G108" s="16">
        <f>'WetLitterbags placem_collection'!E35</f>
        <v>42765</v>
      </c>
      <c r="H108" t="str">
        <f>Wetseason!L34</f>
        <v>G366</v>
      </c>
      <c r="I108" t="str">
        <f>Wetseason!L254</f>
        <v>R109</v>
      </c>
      <c r="J108">
        <f>IFERROR(INDEX('Green_rooibos initial weight'!$C$5:$C$2000,MATCH(H108, 'Green_rooibos initial weight'!$A$5:$A$2000,0)),"")</f>
        <v>2.1070000000000002</v>
      </c>
      <c r="K108">
        <f>IFERROR(INDEX('Green_rooibos initial weight'!$C$5:$C$2000,MATCH(I108, 'Green_rooibos initial weight'!$A$5:$A$2000,0)),"")</f>
        <v>2.2090000000000001</v>
      </c>
      <c r="L108" s="194">
        <f t="shared" si="4"/>
        <v>1.8572000000000002</v>
      </c>
      <c r="M108" s="194">
        <f>AVERAGE(Ashed_controlls!$K$2:$K$11)</f>
        <v>5.5147656768714146</v>
      </c>
      <c r="N108" s="194">
        <f t="shared" si="0"/>
        <v>1.7547797718491442</v>
      </c>
      <c r="O108" s="194">
        <f t="shared" si="5"/>
        <v>1.9592000000000001</v>
      </c>
      <c r="P108" s="194">
        <f>AVERAGE(Ashed_controlls!$K$12:$K$14)</f>
        <v>2.2816647271287041</v>
      </c>
      <c r="Q108" s="194">
        <f t="shared" si="6"/>
        <v>1.9144976246660945</v>
      </c>
      <c r="R108" s="16">
        <f>IF('WetLitterbags placem_collection'!G35="","",'WetLitterbags placem_collection'!G35)</f>
        <v>42820</v>
      </c>
      <c r="S108" s="194">
        <f>IFERROR(INDEX('Both teabags AfterWet'!$C$3:$C$2000,MATCH(H108,'Both teabags AfterWet'!$A$3:$A$2000,0)),"")</f>
        <v>0.76700000000000002</v>
      </c>
      <c r="T108" s="194">
        <f>IFERROR(INDEX('Both teabags AfterWet'!$C$3:$C$2000,MATCH(I108,'Both teabags AfterWet'!$A$3:$A$2000,0)),"")</f>
        <v>0.41499999999999998</v>
      </c>
      <c r="U108" s="194">
        <f t="shared" si="7"/>
        <v>0.61640000000000006</v>
      </c>
      <c r="V108" s="194">
        <f t="shared" si="8"/>
        <v>0.26439999999999997</v>
      </c>
      <c r="W108" s="194">
        <f>IFERROR(INDEX('Ashed teabags wet'!$K$2:$K$2000,MATCH(H108,'Ashed teabags wet'!$A$2:$A$2000,0)),"")</f>
        <v>9.3672147483803556</v>
      </c>
      <c r="X108" s="233">
        <f>IFERROR(INDEX('Ashed teabags wet'!$K$2:$K$2000,MATCH(I108,'Ashed teabags wet'!$A$2:$A$2000,0)),"")</f>
        <v>0</v>
      </c>
      <c r="Y108" s="194">
        <f t="shared" si="14"/>
        <v>0.55866048829098358</v>
      </c>
      <c r="Z108" s="194">
        <f t="shared" si="9"/>
        <v>0.26439999999999997</v>
      </c>
      <c r="AA108" s="194">
        <f t="shared" si="10"/>
        <v>0.68163498505440323</v>
      </c>
      <c r="AB108" s="194">
        <f t="shared" si="11"/>
        <v>0.44686759115205538</v>
      </c>
      <c r="AC108" s="194">
        <f t="shared" si="2"/>
        <v>0.13810411493517194</v>
      </c>
      <c r="AD108">
        <f t="shared" si="3"/>
        <v>55</v>
      </c>
      <c r="AE108" s="194">
        <f t="shared" si="12"/>
        <v>0.19045726240569683</v>
      </c>
      <c r="AF108" s="194" t="str">
        <f t="shared" si="13"/>
        <v/>
      </c>
      <c r="AG108" s="245" t="str">
        <f>IF(ISNUMBER(SEARCH("C",'WetLitterbags placem_collection'!$X35)),"YES","NO")</f>
        <v>NO</v>
      </c>
      <c r="AH108" s="245" t="str">
        <f>IF(ISNUMBER(SEARCH("H", 'WetLitterbags placem_collection'!$X35)),"YES","NO")</f>
        <v>NO</v>
      </c>
      <c r="AI108" s="245" t="str">
        <f>IF(ISNUMBER(SEARCH("R", 'WetLitterbags placem_collection'!$X35)),"YES","NO")</f>
        <v>YES</v>
      </c>
      <c r="AJ108" s="245" t="str">
        <f>IF(ISNUMBER(SEARCH("C", 'WetLitterbags placem_collection'!$V35)),"YES","NO")</f>
        <v>NO</v>
      </c>
      <c r="AK108" s="245" t="str">
        <f>IF(ISNUMBER(SEARCH("H", 'WetLitterbags placem_collection'!$V35)),"YES","NO")</f>
        <v>NO</v>
      </c>
      <c r="AL108" s="245" t="str">
        <f>IF(ISNUMBER(SEARCH("R", 'WetLitterbags placem_collection'!$V35)),"YES","NO")</f>
        <v>YES</v>
      </c>
    </row>
    <row r="109" spans="2:38">
      <c r="B109" t="str">
        <f>Wetseason!B35</f>
        <v>Wet</v>
      </c>
      <c r="C109" s="253">
        <f>Wetseason!C35</f>
        <v>34</v>
      </c>
      <c r="D109" t="s">
        <v>3106</v>
      </c>
      <c r="E109" t="s">
        <v>22</v>
      </c>
      <c r="F109" s="374">
        <v>2</v>
      </c>
      <c r="G109" s="16">
        <f>'WetLitterbags placem_collection'!E36</f>
        <v>42765</v>
      </c>
      <c r="H109" t="str">
        <f>Wetseason!L35</f>
        <v>G516</v>
      </c>
      <c r="I109" t="str">
        <f>Wetseason!L255</f>
        <v>R153</v>
      </c>
      <c r="J109">
        <f>IFERROR(INDEX('Green_rooibos initial weight'!$C$5:$C$2000,MATCH(H109, 'Green_rooibos initial weight'!$A$5:$A$2000,0)),"")</f>
        <v>2.1160000000000001</v>
      </c>
      <c r="K109">
        <f>IFERROR(INDEX('Green_rooibos initial weight'!$C$5:$C$2000,MATCH(I109, 'Green_rooibos initial weight'!$A$5:$A$2000,0)),"")</f>
        <v>2.2200000000000002</v>
      </c>
      <c r="L109" s="194">
        <f t="shared" si="4"/>
        <v>1.8662000000000001</v>
      </c>
      <c r="M109" s="194">
        <f>AVERAGE(Ashed_controlls!$K$2:$K$11)</f>
        <v>5.5147656768714146</v>
      </c>
      <c r="N109" s="194">
        <f t="shared" si="0"/>
        <v>1.7632834429382258</v>
      </c>
      <c r="O109" s="194">
        <f t="shared" si="5"/>
        <v>1.9702000000000002</v>
      </c>
      <c r="P109" s="194">
        <f>AVERAGE(Ashed_controlls!$K$12:$K$14)</f>
        <v>2.2816647271287041</v>
      </c>
      <c r="Q109" s="194">
        <f t="shared" si="6"/>
        <v>1.9252466415461105</v>
      </c>
      <c r="R109" s="16">
        <f>IF('WetLitterbags placem_collection'!G36="","",'WetLitterbags placem_collection'!G36)</f>
        <v>42820</v>
      </c>
      <c r="S109" s="194">
        <f>IFERROR(INDEX('Both teabags AfterWet'!$C$3:$C$2000,MATCH(H109,'Both teabags AfterWet'!$A$3:$A$2000,0)),"")</f>
        <v>0.87270000000000003</v>
      </c>
      <c r="T109" s="194">
        <f>IFERROR(INDEX('Both teabags AfterWet'!$C$3:$C$2000,MATCH(I109,'Both teabags AfterWet'!$A$3:$A$2000,0)),"")</f>
        <v>0.34520000000000001</v>
      </c>
      <c r="U109" s="194">
        <f t="shared" si="7"/>
        <v>0.72209999999999996</v>
      </c>
      <c r="V109" s="194">
        <f t="shared" si="8"/>
        <v>0.1946</v>
      </c>
      <c r="W109" s="194">
        <f>IFERROR(INDEX('Ashed teabags wet'!$K$2:$K$2000,MATCH(H109,'Ashed teabags wet'!$A$2:$A$2000,0)),"")</f>
        <v>39.314115308151266</v>
      </c>
      <c r="X109" s="233">
        <f>IFERROR(INDEX('Ashed teabags wet'!$K$2:$K$2000,MATCH(I109,'Ashed teabags wet'!$A$2:$A$2000,0)),"")</f>
        <v>0</v>
      </c>
      <c r="Y109" s="194">
        <f t="shared" si="14"/>
        <v>0.43821277335983971</v>
      </c>
      <c r="Z109" s="194">
        <f t="shared" si="9"/>
        <v>0.1946</v>
      </c>
      <c r="AA109" s="194">
        <f t="shared" si="10"/>
        <v>0.75147910841286569</v>
      </c>
      <c r="AB109" s="194">
        <f t="shared" si="11"/>
        <v>0.49265613758183124</v>
      </c>
      <c r="AC109" s="194">
        <f t="shared" si="2"/>
        <v>0.10107795842911967</v>
      </c>
      <c r="AD109">
        <f t="shared" si="3"/>
        <v>55</v>
      </c>
      <c r="AE109" s="194">
        <f t="shared" si="12"/>
        <v>0.10750699713436374</v>
      </c>
      <c r="AF109" s="194" t="str">
        <f t="shared" si="13"/>
        <v/>
      </c>
      <c r="AG109" s="245" t="str">
        <f>IF(ISNUMBER(SEARCH("C",'WetLitterbags placem_collection'!$X36)),"YES","NO")</f>
        <v>NO</v>
      </c>
      <c r="AH109" s="245" t="str">
        <f>IF(ISNUMBER(SEARCH("H", 'WetLitterbags placem_collection'!$X36)),"YES","NO")</f>
        <v>NO</v>
      </c>
      <c r="AI109" s="245" t="str">
        <f>IF(ISNUMBER(SEARCH("R", 'WetLitterbags placem_collection'!$X36)),"YES","NO")</f>
        <v>YES</v>
      </c>
      <c r="AJ109" s="245" t="str">
        <f>IF(ISNUMBER(SEARCH("C", 'WetLitterbags placem_collection'!$V36)),"YES","NO")</f>
        <v>YES</v>
      </c>
      <c r="AK109" s="245" t="str">
        <f>IF(ISNUMBER(SEARCH("H", 'WetLitterbags placem_collection'!$V36)),"YES","NO")</f>
        <v>YES</v>
      </c>
      <c r="AL109" s="245" t="str">
        <f>IF(ISNUMBER(SEARCH("R", 'WetLitterbags placem_collection'!$V36)),"YES","NO")</f>
        <v>YES</v>
      </c>
    </row>
    <row r="110" spans="2:38">
      <c r="B110" t="str">
        <f>Wetseason!B36</f>
        <v>Wet</v>
      </c>
      <c r="C110" s="253">
        <f>Wetseason!C36</f>
        <v>35</v>
      </c>
      <c r="D110" t="s">
        <v>3106</v>
      </c>
      <c r="E110" t="s">
        <v>22</v>
      </c>
      <c r="F110" s="374">
        <v>3</v>
      </c>
      <c r="G110" s="16">
        <f>'WetLitterbags placem_collection'!E37</f>
        <v>42765</v>
      </c>
      <c r="H110" t="str">
        <f>Wetseason!L36</f>
        <v>G670</v>
      </c>
      <c r="I110" t="str">
        <f>Wetseason!L256</f>
        <v>R64</v>
      </c>
      <c r="J110">
        <f>IFERROR(INDEX('Green_rooibos initial weight'!$C$5:$C$2000,MATCH(H110, 'Green_rooibos initial weight'!$A$5:$A$2000,0)),"")</f>
        <v>2.0950000000000002</v>
      </c>
      <c r="K110">
        <f>IFERROR(INDEX('Green_rooibos initial weight'!$C$5:$C$2000,MATCH(I110, 'Green_rooibos initial weight'!$A$5:$A$2000,0)),"")</f>
        <v>2.2879999999999998</v>
      </c>
      <c r="L110" s="194">
        <f t="shared" si="4"/>
        <v>1.8452000000000002</v>
      </c>
      <c r="M110" s="194">
        <f>AVERAGE(Ashed_controlls!$K$2:$K$11)</f>
        <v>5.5147656768714146</v>
      </c>
      <c r="N110" s="194">
        <f t="shared" si="0"/>
        <v>1.7434415437303687</v>
      </c>
      <c r="O110" s="194">
        <f t="shared" si="5"/>
        <v>2.0381999999999998</v>
      </c>
      <c r="P110" s="194">
        <f>AVERAGE(Ashed_controlls!$K$12:$K$14)</f>
        <v>2.2816647271287041</v>
      </c>
      <c r="Q110" s="194">
        <f t="shared" si="6"/>
        <v>1.9916951095316626</v>
      </c>
      <c r="R110" s="16">
        <f>IF('WetLitterbags placem_collection'!G37="","",'WetLitterbags placem_collection'!G37)</f>
        <v>42820</v>
      </c>
      <c r="S110" s="194">
        <f>IFERROR(INDEX('Both teabags AfterWet'!$C$3:$C$2000,MATCH(H110,'Both teabags AfterWet'!$A$3:$A$2000,0)),"")</f>
        <v>0.81699999999999995</v>
      </c>
      <c r="T110" s="194">
        <f>IFERROR(INDEX('Both teabags AfterWet'!$C$3:$C$2000,MATCH(I110,'Both teabags AfterWet'!$A$3:$A$2000,0)),"")</f>
        <v>1.615</v>
      </c>
      <c r="U110" s="194">
        <f t="shared" si="7"/>
        <v>0.66639999999999988</v>
      </c>
      <c r="V110" s="194">
        <f t="shared" si="8"/>
        <v>1.4643999999999999</v>
      </c>
      <c r="W110" s="194">
        <f>IFERROR(INDEX('Ashed teabags wet'!$K$2:$K$2000,MATCH(H110,'Ashed teabags wet'!$A$2:$A$2000,0)),"")</f>
        <v>18.585762064022571</v>
      </c>
      <c r="X110" s="233">
        <f>IFERROR(INDEX('Ashed teabags wet'!$K$2:$K$2000,MATCH(I110,'Ashed teabags wet'!$A$2:$A$2000,0)),"")</f>
        <v>5.3045186640471123</v>
      </c>
      <c r="Y110" s="194">
        <f t="shared" si="14"/>
        <v>0.54254448160535351</v>
      </c>
      <c r="Z110" s="194">
        <f t="shared" si="9"/>
        <v>1.3867206286836939</v>
      </c>
      <c r="AA110" s="194">
        <f t="shared" si="10"/>
        <v>0.6888083322573042</v>
      </c>
      <c r="AB110" s="194">
        <f t="shared" si="11"/>
        <v>0.45157030808317333</v>
      </c>
      <c r="AC110" s="194">
        <f t="shared" si="2"/>
        <v>0.69625146040036945</v>
      </c>
      <c r="AD110">
        <f t="shared" si="3"/>
        <v>55</v>
      </c>
      <c r="AE110" s="194">
        <f t="shared" si="12"/>
        <v>0.18193784767541066</v>
      </c>
      <c r="AF110" s="194">
        <f t="shared" si="13"/>
        <v>2.0304069105443422E-2</v>
      </c>
      <c r="AG110" s="245" t="str">
        <f>IF(ISNUMBER(SEARCH("C",'WetLitterbags placem_collection'!$X37)),"YES","NO")</f>
        <v>NO</v>
      </c>
      <c r="AH110" s="245" t="str">
        <f>IF(ISNUMBER(SEARCH("H", 'WetLitterbags placem_collection'!$X37)),"YES","NO")</f>
        <v>NO</v>
      </c>
      <c r="AI110" s="245" t="str">
        <f>IF(ISNUMBER(SEARCH("R", 'WetLitterbags placem_collection'!$X37)),"YES","NO")</f>
        <v>YES</v>
      </c>
      <c r="AJ110" s="245" t="str">
        <f>IF(ISNUMBER(SEARCH("C", 'WetLitterbags placem_collection'!$V37)),"YES","NO")</f>
        <v>NO</v>
      </c>
      <c r="AK110" s="245" t="str">
        <f>IF(ISNUMBER(SEARCH("H", 'WetLitterbags placem_collection'!$V37)),"YES","NO")</f>
        <v>NO</v>
      </c>
      <c r="AL110" s="245" t="str">
        <f>IF(ISNUMBER(SEARCH("R", 'WetLitterbags placem_collection'!$V37)),"YES","NO")</f>
        <v>NO</v>
      </c>
    </row>
    <row r="111" spans="2:38">
      <c r="B111" t="str">
        <f>Wetseason!B37</f>
        <v>Wet</v>
      </c>
      <c r="C111" s="253">
        <f>Wetseason!C37</f>
        <v>36</v>
      </c>
      <c r="D111" t="s">
        <v>3106</v>
      </c>
      <c r="E111" t="s">
        <v>22</v>
      </c>
      <c r="F111" s="375">
        <v>4</v>
      </c>
      <c r="G111" s="16">
        <f>'WetLitterbags placem_collection'!E38</f>
        <v>42765</v>
      </c>
      <c r="H111" t="str">
        <f>Wetseason!L37</f>
        <v>G507</v>
      </c>
      <c r="I111" t="str">
        <f>Wetseason!L257</f>
        <v>R126</v>
      </c>
      <c r="J111">
        <f>IFERROR(INDEX('Green_rooibos initial weight'!$C$5:$C$2000,MATCH(H111, 'Green_rooibos initial weight'!$A$5:$A$2000,0)),"")</f>
        <v>1.99</v>
      </c>
      <c r="K111">
        <f>IFERROR(INDEX('Green_rooibos initial weight'!$C$5:$C$2000,MATCH(I111, 'Green_rooibos initial weight'!$A$5:$A$2000,0)),"")</f>
        <v>2.2400000000000002</v>
      </c>
      <c r="L111" s="194">
        <f t="shared" si="4"/>
        <v>1.7402</v>
      </c>
      <c r="M111" s="194">
        <f>AVERAGE(Ashed_controlls!$K$2:$K$11)</f>
        <v>5.5147656768714146</v>
      </c>
      <c r="N111" s="194">
        <f t="shared" si="0"/>
        <v>1.6442320476910837</v>
      </c>
      <c r="O111" s="194">
        <f t="shared" si="5"/>
        <v>1.9902000000000002</v>
      </c>
      <c r="P111" s="194">
        <f>AVERAGE(Ashed_controlls!$K$12:$K$14)</f>
        <v>2.2816647271287041</v>
      </c>
      <c r="Q111" s="194">
        <f t="shared" si="6"/>
        <v>1.9447903086006848</v>
      </c>
      <c r="R111" s="16">
        <f>IF('WetLitterbags placem_collection'!G38="","",'WetLitterbags placem_collection'!G38)</f>
        <v>42820</v>
      </c>
      <c r="S111" s="194">
        <f>IFERROR(INDEX('Both teabags AfterWet'!$C$3:$C$2000,MATCH(H111,'Both teabags AfterWet'!$A$3:$A$2000,0)),"")</f>
        <v>0.68100000000000005</v>
      </c>
      <c r="T111" s="194">
        <f>IFERROR(INDEX('Both teabags AfterWet'!$C$3:$C$2000,MATCH(I111,'Both teabags AfterWet'!$A$3:$A$2000,0)),"")</f>
        <v>1.6180000000000001</v>
      </c>
      <c r="U111" s="194">
        <f t="shared" si="7"/>
        <v>0.53039999999999998</v>
      </c>
      <c r="V111" s="194">
        <f t="shared" si="8"/>
        <v>1.4674</v>
      </c>
      <c r="W111" s="194">
        <f>IFERROR(INDEX('Ashed teabags wet'!$K$2:$K$2000,MATCH(H111,'Ashed teabags wet'!$A$2:$A$2000,0)),"")</f>
        <v>8.3009708737862624</v>
      </c>
      <c r="X111" s="233">
        <f>IFERROR(INDEX('Ashed teabags wet'!$K$2:$K$2000,MATCH(I111,'Ashed teabags wet'!$A$2:$A$2000,0)),"")</f>
        <v>3.2897919690366213</v>
      </c>
      <c r="Y111" s="194">
        <f t="shared" si="14"/>
        <v>0.48637165048543762</v>
      </c>
      <c r="Z111" s="194">
        <f t="shared" si="9"/>
        <v>1.4191255926463566</v>
      </c>
      <c r="AA111" s="194">
        <f t="shared" si="10"/>
        <v>0.70419524958875113</v>
      </c>
      <c r="AB111" s="194">
        <f t="shared" si="11"/>
        <v>0.46165769331709106</v>
      </c>
      <c r="AC111" s="194">
        <f t="shared" si="2"/>
        <v>0.72970622404399255</v>
      </c>
      <c r="AD111">
        <f t="shared" si="3"/>
        <v>55</v>
      </c>
      <c r="AE111" s="194">
        <f t="shared" si="12"/>
        <v>0.16366359906324091</v>
      </c>
      <c r="AF111" s="194">
        <f t="shared" si="13"/>
        <v>1.6011759112616365E-2</v>
      </c>
      <c r="AG111" s="245" t="str">
        <f>IF(ISNUMBER(SEARCH("C",'WetLitterbags placem_collection'!$X38)),"YES","NO")</f>
        <v>NO</v>
      </c>
      <c r="AH111" s="245" t="str">
        <f>IF(ISNUMBER(SEARCH("H", 'WetLitterbags placem_collection'!$X38)),"YES","NO")</f>
        <v>NO</v>
      </c>
      <c r="AI111" s="245" t="str">
        <f>IF(ISNUMBER(SEARCH("R", 'WetLitterbags placem_collection'!$X38)),"YES","NO")</f>
        <v>YES</v>
      </c>
      <c r="AJ111" s="245" t="str">
        <f>IF(ISNUMBER(SEARCH("C", 'WetLitterbags placem_collection'!$V38)),"YES","NO")</f>
        <v>NO</v>
      </c>
      <c r="AK111" s="245" t="str">
        <f>IF(ISNUMBER(SEARCH("H", 'WetLitterbags placem_collection'!$V38)),"YES","NO")</f>
        <v>NO</v>
      </c>
      <c r="AL111" s="245" t="str">
        <f>IF(ISNUMBER(SEARCH("R", 'WetLitterbags placem_collection'!$V38)),"YES","NO")</f>
        <v>YES</v>
      </c>
    </row>
    <row r="112" spans="2:38">
      <c r="B112" t="str">
        <f>Wetseason!B38</f>
        <v>Wet</v>
      </c>
      <c r="C112" s="253">
        <f>Wetseason!C38</f>
        <v>37</v>
      </c>
      <c r="D112" t="s">
        <v>3106</v>
      </c>
      <c r="E112" t="s">
        <v>22</v>
      </c>
      <c r="F112" s="375">
        <v>5</v>
      </c>
      <c r="G112" s="16">
        <f>'WetLitterbags placem_collection'!E39</f>
        <v>42765</v>
      </c>
      <c r="H112" t="str">
        <f>Wetseason!L38</f>
        <v>G359</v>
      </c>
      <c r="I112" t="str">
        <f>Wetseason!L258</f>
        <v>R63</v>
      </c>
      <c r="J112">
        <f>IFERROR(INDEX('Green_rooibos initial weight'!$C$5:$C$2000,MATCH(H112, 'Green_rooibos initial weight'!$A$5:$A$2000,0)),"")</f>
        <v>1.9790000000000001</v>
      </c>
      <c r="K112">
        <f>IFERROR(INDEX('Green_rooibos initial weight'!$C$5:$C$2000,MATCH(I112, 'Green_rooibos initial weight'!$A$5:$A$2000,0)),"")</f>
        <v>2.1749999999999998</v>
      </c>
      <c r="L112" s="194">
        <f t="shared" si="4"/>
        <v>1.7292000000000001</v>
      </c>
      <c r="M112" s="194">
        <f>AVERAGE(Ashed_controlls!$K$2:$K$11)</f>
        <v>5.5147656768714146</v>
      </c>
      <c r="N112" s="194">
        <f t="shared" si="0"/>
        <v>1.6338386719155396</v>
      </c>
      <c r="O112" s="194">
        <f t="shared" si="5"/>
        <v>1.9251999999999998</v>
      </c>
      <c r="P112" s="194">
        <f>AVERAGE(Ashed_controlls!$K$12:$K$14)</f>
        <v>2.2816647271287041</v>
      </c>
      <c r="Q112" s="194">
        <f t="shared" si="6"/>
        <v>1.8812733906733179</v>
      </c>
      <c r="R112" s="16">
        <f>IF('WetLitterbags placem_collection'!G39="","",'WetLitterbags placem_collection'!G39)</f>
        <v>42820</v>
      </c>
      <c r="S112" s="194">
        <f>IFERROR(INDEX('Both teabags AfterWet'!$C$3:$C$2000,MATCH(H112,'Both teabags AfterWet'!$A$3:$A$2000,0)),"")</f>
        <v>0.94699999999999995</v>
      </c>
      <c r="T112" s="194">
        <f>IFERROR(INDEX('Both teabags AfterWet'!$C$3:$C$2000,MATCH(I112,'Both teabags AfterWet'!$A$3:$A$2000,0)),"")</f>
        <v>1.3620000000000001</v>
      </c>
      <c r="U112" s="194">
        <f t="shared" si="7"/>
        <v>0.7964</v>
      </c>
      <c r="V112" s="194">
        <f t="shared" si="8"/>
        <v>1.2114</v>
      </c>
      <c r="W112" s="194">
        <f>IFERROR(INDEX('Ashed teabags wet'!$K$2:$K$2000,MATCH(H112,'Ashed teabags wet'!$A$2:$A$2000,0)),"")</f>
        <v>25.172074729596577</v>
      </c>
      <c r="X112" s="233">
        <f>IFERROR(INDEX('Ashed teabags wet'!$K$2:$K$2000,MATCH(I112,'Ashed teabags wet'!$A$2:$A$2000,0)),"")</f>
        <v>70.931372549019429</v>
      </c>
      <c r="Y112" s="194">
        <f t="shared" si="14"/>
        <v>0.59592959685349289</v>
      </c>
      <c r="Z112" s="194">
        <f t="shared" si="9"/>
        <v>0.35213735294117854</v>
      </c>
      <c r="AA112" s="194">
        <f t="shared" si="10"/>
        <v>0.63525799266654936</v>
      </c>
      <c r="AB112" s="194">
        <f t="shared" si="11"/>
        <v>0.41646367215194213</v>
      </c>
      <c r="AC112" s="194">
        <f t="shared" si="2"/>
        <v>0.18718031876012806</v>
      </c>
      <c r="AD112">
        <f t="shared" si="3"/>
        <v>55</v>
      </c>
      <c r="AE112" s="194">
        <f t="shared" si="12"/>
        <v>0.24553682581169911</v>
      </c>
      <c r="AF112" s="194" t="str">
        <f t="shared" si="13"/>
        <v/>
      </c>
      <c r="AG112" s="245" t="str">
        <f>IF(ISNUMBER(SEARCH("C",'WetLitterbags placem_collection'!$X39)),"YES","NO")</f>
        <v>NO</v>
      </c>
      <c r="AH112" s="245" t="str">
        <f>IF(ISNUMBER(SEARCH("H", 'WetLitterbags placem_collection'!$X39)),"YES","NO")</f>
        <v>NO</v>
      </c>
      <c r="AI112" s="245" t="str">
        <f>IF(ISNUMBER(SEARCH("R", 'WetLitterbags placem_collection'!$X39)),"YES","NO")</f>
        <v>YES</v>
      </c>
      <c r="AJ112" s="245" t="str">
        <f>IF(ISNUMBER(SEARCH("C", 'WetLitterbags placem_collection'!$V39)),"YES","NO")</f>
        <v>YES</v>
      </c>
      <c r="AK112" s="245" t="str">
        <f>IF(ISNUMBER(SEARCH("H", 'WetLitterbags placem_collection'!$V39)),"YES","NO")</f>
        <v>YES</v>
      </c>
      <c r="AL112" s="245" t="str">
        <f>IF(ISNUMBER(SEARCH("R", 'WetLitterbags placem_collection'!$V39)),"YES","NO")</f>
        <v>NO</v>
      </c>
    </row>
    <row r="113" spans="2:38">
      <c r="B113" t="str">
        <f>Wetseason!B39</f>
        <v>Wet</v>
      </c>
      <c r="C113" s="253">
        <f>Wetseason!C39</f>
        <v>38</v>
      </c>
      <c r="D113" t="s">
        <v>3106</v>
      </c>
      <c r="E113" t="s">
        <v>22</v>
      </c>
      <c r="F113" s="375">
        <v>6</v>
      </c>
      <c r="G113" s="16">
        <f>'WetLitterbags placem_collection'!E40</f>
        <v>42765</v>
      </c>
      <c r="H113" t="str">
        <f>Wetseason!L39</f>
        <v>G499</v>
      </c>
      <c r="I113" t="str">
        <f>Wetseason!L259</f>
        <v>R87</v>
      </c>
      <c r="J113">
        <f>IFERROR(INDEX('Green_rooibos initial weight'!$C$5:$C$2000,MATCH(H113, 'Green_rooibos initial weight'!$A$5:$A$2000,0)),"")</f>
        <v>1.9419999999999999</v>
      </c>
      <c r="K113">
        <f>IFERROR(INDEX('Green_rooibos initial weight'!$C$5:$C$2000,MATCH(I113, 'Green_rooibos initial weight'!$A$5:$A$2000,0)),"")</f>
        <v>2.2930000000000001</v>
      </c>
      <c r="L113" s="194">
        <f t="shared" si="4"/>
        <v>1.6921999999999999</v>
      </c>
      <c r="M113" s="194">
        <f>AVERAGE(Ashed_controlls!$K$2:$K$11)</f>
        <v>5.5147656768714146</v>
      </c>
      <c r="N113" s="194">
        <f t="shared" si="0"/>
        <v>1.5988791352159819</v>
      </c>
      <c r="O113" s="194">
        <f t="shared" si="5"/>
        <v>2.0432000000000001</v>
      </c>
      <c r="P113" s="194">
        <f>AVERAGE(Ashed_controlls!$K$12:$K$14)</f>
        <v>2.2816647271287041</v>
      </c>
      <c r="Q113" s="194">
        <f t="shared" si="6"/>
        <v>1.9965810262953065</v>
      </c>
      <c r="R113" s="16">
        <f>IF('WetLitterbags placem_collection'!G40="","",'WetLitterbags placem_collection'!G40)</f>
        <v>42820</v>
      </c>
      <c r="S113" s="194">
        <f>IFERROR(INDEX('Both teabags AfterWet'!$C$3:$C$2000,MATCH(H113,'Both teabags AfterWet'!$A$3:$A$2000,0)),"")</f>
        <v>1.4741</v>
      </c>
      <c r="T113" s="194">
        <f>IFERROR(INDEX('Both teabags AfterWet'!$C$3:$C$2000,MATCH(I113,'Both teabags AfterWet'!$A$3:$A$2000,0)),"")</f>
        <v>1.1399999999999999</v>
      </c>
      <c r="U113" s="194">
        <f t="shared" si="7"/>
        <v>1.3234999999999999</v>
      </c>
      <c r="V113" s="194">
        <f t="shared" si="8"/>
        <v>0.98939999999999984</v>
      </c>
      <c r="W113" s="194">
        <f>IFERROR(INDEX('Ashed teabags wet'!$K$2:$K$2000,MATCH(H113,'Ashed teabags wet'!$A$2:$A$2000,0)),"")</f>
        <v>18.802992518703331</v>
      </c>
      <c r="X113" s="233">
        <f>IFERROR(INDEX('Ashed teabags wet'!$K$2:$K$2000,MATCH(I113,'Ashed teabags wet'!$A$2:$A$2000,0)),"")</f>
        <v>21.801629132725651</v>
      </c>
      <c r="Y113" s="194">
        <f t="shared" si="14"/>
        <v>1.0746423940149614</v>
      </c>
      <c r="Z113" s="194">
        <f t="shared" si="9"/>
        <v>0.77369468136081232</v>
      </c>
      <c r="AA113" s="194">
        <f t="shared" si="10"/>
        <v>0.32787765482361164</v>
      </c>
      <c r="AB113" s="194">
        <f t="shared" si="11"/>
        <v>0.21495067157082381</v>
      </c>
      <c r="AC113" s="194">
        <f t="shared" si="2"/>
        <v>0.38750978356055865</v>
      </c>
      <c r="AD113">
        <f t="shared" si="3"/>
        <v>55</v>
      </c>
      <c r="AE113" s="194">
        <f t="shared" si="12"/>
        <v>0.61059660947314531</v>
      </c>
      <c r="AF113" s="194" t="str">
        <f t="shared" si="13"/>
        <v/>
      </c>
      <c r="AG113" s="245" t="str">
        <f>IF(ISNUMBER(SEARCH("C",'WetLitterbags placem_collection'!$X40)),"YES","NO")</f>
        <v>NO</v>
      </c>
      <c r="AH113" s="245" t="str">
        <f>IF(ISNUMBER(SEARCH("H", 'WetLitterbags placem_collection'!$X40)),"YES","NO")</f>
        <v>NO</v>
      </c>
      <c r="AI113" s="245" t="str">
        <f>IF(ISNUMBER(SEARCH("R", 'WetLitterbags placem_collection'!$X40)),"YES","NO")</f>
        <v>YES</v>
      </c>
      <c r="AJ113" s="245" t="str">
        <f>IF(ISNUMBER(SEARCH("C", 'WetLitterbags placem_collection'!$V40)),"YES","NO")</f>
        <v>YES</v>
      </c>
      <c r="AK113" s="245" t="str">
        <f>IF(ISNUMBER(SEARCH("H", 'WetLitterbags placem_collection'!$V40)),"YES","NO")</f>
        <v>YES</v>
      </c>
      <c r="AL113" s="245" t="str">
        <f>IF(ISNUMBER(SEARCH("R", 'WetLitterbags placem_collection'!$V40)),"YES","NO")</f>
        <v>YES</v>
      </c>
    </row>
    <row r="114" spans="2:38">
      <c r="B114" t="str">
        <f>Wetseason!B40</f>
        <v>Wet</v>
      </c>
      <c r="C114" s="253">
        <f>Wetseason!C40</f>
        <v>39</v>
      </c>
      <c r="D114" t="s">
        <v>3106</v>
      </c>
      <c r="E114" t="s">
        <v>22</v>
      </c>
      <c r="F114" s="375">
        <v>7</v>
      </c>
      <c r="G114" s="16">
        <f>'WetLitterbags placem_collection'!E41</f>
        <v>42765</v>
      </c>
      <c r="H114" t="str">
        <f>Wetseason!L40</f>
        <v>G214</v>
      </c>
      <c r="I114" t="str">
        <f>Wetseason!L260</f>
        <v>R437</v>
      </c>
      <c r="J114">
        <f>IFERROR(INDEX('Green_rooibos initial weight'!$C$5:$C$2000,MATCH(H114, 'Green_rooibos initial weight'!$A$5:$A$2000,0)),"")</f>
        <v>1.9850000000000001</v>
      </c>
      <c r="K114">
        <f>IFERROR(INDEX('Green_rooibos initial weight'!$C$5:$C$2000,MATCH(I114, 'Green_rooibos initial weight'!$A$5:$A$2000,0)),"")</f>
        <v>2.1970000000000001</v>
      </c>
      <c r="L114" s="194">
        <f t="shared" si="4"/>
        <v>1.7352000000000001</v>
      </c>
      <c r="M114" s="194">
        <f>AVERAGE(Ashed_controlls!$K$2:$K$11)</f>
        <v>5.5147656768714146</v>
      </c>
      <c r="N114" s="194">
        <f t="shared" si="0"/>
        <v>1.6395077859749272</v>
      </c>
      <c r="O114" s="194">
        <f t="shared" si="5"/>
        <v>1.9472</v>
      </c>
      <c r="P114" s="194">
        <f>AVERAGE(Ashed_controlls!$K$12:$K$14)</f>
        <v>2.2816647271287041</v>
      </c>
      <c r="Q114" s="194">
        <f t="shared" si="6"/>
        <v>1.90277142443335</v>
      </c>
      <c r="R114" s="16">
        <f>IF('WetLitterbags placem_collection'!G41="","",'WetLitterbags placem_collection'!G41)</f>
        <v>42820</v>
      </c>
      <c r="S114" s="194">
        <f>IFERROR(INDEX('Both teabags AfterWet'!$C$3:$C$2000,MATCH(H114,'Both teabags AfterWet'!$A$3:$A$2000,0)),"")</f>
        <v>0.8327</v>
      </c>
      <c r="T114" s="194">
        <f>IFERROR(INDEX('Both teabags AfterWet'!$C$3:$C$2000,MATCH(I114,'Both teabags AfterWet'!$A$3:$A$2000,0)),"")</f>
        <v>1.4531000000000001</v>
      </c>
      <c r="U114" s="194">
        <f t="shared" si="7"/>
        <v>0.68209999999999993</v>
      </c>
      <c r="V114" s="194">
        <f t="shared" si="8"/>
        <v>1.3025</v>
      </c>
      <c r="W114" s="194">
        <f>IFERROR(INDEX('Ashed teabags wet'!$K$2:$K$2000,MATCH(H114,'Ashed teabags wet'!$A$2:$A$2000,0)),"")</f>
        <v>9.9461048505627083</v>
      </c>
      <c r="X114" s="233">
        <f>IFERROR(INDEX('Ashed teabags wet'!$K$2:$K$2000,MATCH(I114,'Ashed teabags wet'!$A$2:$A$2000,0)),"")</f>
        <v>3.6638983878844686</v>
      </c>
      <c r="Y114" s="194">
        <f t="shared" si="14"/>
        <v>0.61425761881431173</v>
      </c>
      <c r="Z114" s="194">
        <f t="shared" si="9"/>
        <v>1.2547777234978048</v>
      </c>
      <c r="AA114" s="194">
        <f t="shared" si="10"/>
        <v>0.6253402246278168</v>
      </c>
      <c r="AB114" s="194">
        <f t="shared" si="11"/>
        <v>0.40996176246384192</v>
      </c>
      <c r="AC114" s="194">
        <f t="shared" si="2"/>
        <v>0.65944742883212082</v>
      </c>
      <c r="AD114">
        <f t="shared" si="3"/>
        <v>55</v>
      </c>
      <c r="AE114" s="194">
        <f t="shared" si="12"/>
        <v>0.25731564771043136</v>
      </c>
      <c r="AF114" s="194">
        <f t="shared" si="13"/>
        <v>3.2291719907260326E-2</v>
      </c>
      <c r="AG114" s="245" t="str">
        <f>IF(ISNUMBER(SEARCH("C",'WetLitterbags placem_collection'!$X41)),"YES","NO")</f>
        <v>NO</v>
      </c>
      <c r="AH114" s="245" t="str">
        <f>IF(ISNUMBER(SEARCH("H", 'WetLitterbags placem_collection'!$X41)),"YES","NO")</f>
        <v>NO</v>
      </c>
      <c r="AI114" s="245" t="str">
        <f>IF(ISNUMBER(SEARCH("R", 'WetLitterbags placem_collection'!$X41)),"YES","NO")</f>
        <v>YES</v>
      </c>
      <c r="AJ114" s="245" t="str">
        <f>IF(ISNUMBER(SEARCH("C", 'WetLitterbags placem_collection'!$V41)),"YES","NO")</f>
        <v>NO</v>
      </c>
      <c r="AK114" s="245" t="str">
        <f>IF(ISNUMBER(SEARCH("H", 'WetLitterbags placem_collection'!$V41)),"YES","NO")</f>
        <v>NO</v>
      </c>
      <c r="AL114" s="245" t="str">
        <f>IF(ISNUMBER(SEARCH("R", 'WetLitterbags placem_collection'!$V41)),"YES","NO")</f>
        <v>YES</v>
      </c>
    </row>
    <row r="115" spans="2:38">
      <c r="B115" t="str">
        <f>Wetseason!B41</f>
        <v>Wet</v>
      </c>
      <c r="C115" s="253">
        <f>Wetseason!C41</f>
        <v>40</v>
      </c>
      <c r="D115" t="s">
        <v>3106</v>
      </c>
      <c r="E115" t="s">
        <v>22</v>
      </c>
      <c r="F115" s="375">
        <v>8</v>
      </c>
      <c r="G115" s="16">
        <f>'WetLitterbags placem_collection'!E42</f>
        <v>42765</v>
      </c>
      <c r="H115" t="str">
        <f>Wetseason!L41</f>
        <v>G582</v>
      </c>
      <c r="I115" t="str">
        <f>Wetseason!L261</f>
        <v>R114</v>
      </c>
      <c r="J115">
        <f>IFERROR(INDEX('Green_rooibos initial weight'!$C$5:$C$2000,MATCH(H115, 'Green_rooibos initial weight'!$A$5:$A$2000,0)),"")</f>
        <v>2.0219999999999998</v>
      </c>
      <c r="K115">
        <f>IFERROR(INDEX('Green_rooibos initial weight'!$C$5:$C$2000,MATCH(I115, 'Green_rooibos initial weight'!$A$5:$A$2000,0)),"")</f>
        <v>2.2450000000000001</v>
      </c>
      <c r="L115" s="194">
        <f t="shared" si="4"/>
        <v>1.7721999999999998</v>
      </c>
      <c r="M115" s="194">
        <f>AVERAGE(Ashed_controlls!$K$2:$K$11)</f>
        <v>5.5147656768714146</v>
      </c>
      <c r="N115" s="194">
        <f t="shared" si="0"/>
        <v>1.6744673226744846</v>
      </c>
      <c r="O115" s="194">
        <f t="shared" si="5"/>
        <v>1.9952000000000001</v>
      </c>
      <c r="P115" s="194">
        <f>AVERAGE(Ashed_controlls!$K$12:$K$14)</f>
        <v>2.2816647271287041</v>
      </c>
      <c r="Q115" s="194">
        <f t="shared" si="6"/>
        <v>1.9496762253643283</v>
      </c>
      <c r="R115" s="16">
        <f>IF('WetLitterbags placem_collection'!G42="","",'WetLitterbags placem_collection'!G42)</f>
        <v>42820</v>
      </c>
      <c r="S115" s="194">
        <f>IFERROR(INDEX('Both teabags AfterWet'!$C$3:$C$2000,MATCH(H115,'Both teabags AfterWet'!$A$3:$A$2000,0)),"")</f>
        <v>0.89800000000000002</v>
      </c>
      <c r="T115" s="194">
        <f>IFERROR(INDEX('Both teabags AfterWet'!$C$3:$C$2000,MATCH(I115,'Both teabags AfterWet'!$A$3:$A$2000,0)),"")</f>
        <v>2.2269999999999999</v>
      </c>
      <c r="U115" s="194">
        <f t="shared" si="7"/>
        <v>0.74740000000000006</v>
      </c>
      <c r="V115" s="194">
        <f t="shared" si="8"/>
        <v>2.0764</v>
      </c>
      <c r="W115" s="194">
        <f>IFERROR(INDEX('Ashed teabags wet'!$K$2:$K$2000,MATCH(H115,'Ashed teabags wet'!$A$2:$A$2000,0)),"")</f>
        <v>16.507777220271233</v>
      </c>
      <c r="X115" s="233">
        <f>IFERROR(INDEX('Ashed teabags wet'!$K$2:$K$2000,MATCH(I115,'Ashed teabags wet'!$A$2:$A$2000,0)),"")</f>
        <v>24.826560951436655</v>
      </c>
      <c r="Y115" s="194">
        <f t="shared" si="14"/>
        <v>0.62402087305569287</v>
      </c>
      <c r="Z115" s="194">
        <f t="shared" si="9"/>
        <v>1.5609012884043694</v>
      </c>
      <c r="AA115" s="194">
        <f t="shared" si="10"/>
        <v>0.62733171044568536</v>
      </c>
      <c r="AB115" s="194">
        <f t="shared" si="11"/>
        <v>0.41126734461522368</v>
      </c>
      <c r="AC115" s="194">
        <f t="shared" si="2"/>
        <v>0.80059512861561921</v>
      </c>
      <c r="AD115">
        <f t="shared" si="3"/>
        <v>55</v>
      </c>
      <c r="AE115" s="194">
        <f t="shared" si="12"/>
        <v>0.25495046265358035</v>
      </c>
      <c r="AF115" s="194">
        <f t="shared" si="13"/>
        <v>1.206011133734158E-2</v>
      </c>
      <c r="AG115" s="245" t="str">
        <f>IF(ISNUMBER(SEARCH("C",'WetLitterbags placem_collection'!$X42)),"YES","NO")</f>
        <v>NO</v>
      </c>
      <c r="AH115" s="245" t="str">
        <f>IF(ISNUMBER(SEARCH("H", 'WetLitterbags placem_collection'!$X42)),"YES","NO")</f>
        <v>NO</v>
      </c>
      <c r="AI115" s="245" t="str">
        <f>IF(ISNUMBER(SEARCH("R", 'WetLitterbags placem_collection'!$X42)),"YES","NO")</f>
        <v>YES</v>
      </c>
      <c r="AJ115" s="245" t="str">
        <f>IF(ISNUMBER(SEARCH("C", 'WetLitterbags placem_collection'!$V42)),"YES","NO")</f>
        <v>NO</v>
      </c>
      <c r="AK115" s="245" t="str">
        <f>IF(ISNUMBER(SEARCH("H", 'WetLitterbags placem_collection'!$V42)),"YES","NO")</f>
        <v>YES</v>
      </c>
      <c r="AL115" s="245" t="str">
        <f>IF(ISNUMBER(SEARCH("R", 'WetLitterbags placem_collection'!$V42)),"YES","NO")</f>
        <v>NO</v>
      </c>
    </row>
    <row r="116" spans="2:38">
      <c r="B116" t="str">
        <f>Wetseason!B42</f>
        <v>Wet</v>
      </c>
      <c r="C116" s="253">
        <f>Wetseason!C42</f>
        <v>41</v>
      </c>
      <c r="D116" t="s">
        <v>3108</v>
      </c>
      <c r="E116" t="s">
        <v>22</v>
      </c>
      <c r="F116" s="374">
        <v>1</v>
      </c>
      <c r="G116" s="16">
        <f>'WetLitterbags placem_collection'!E43</f>
        <v>42766</v>
      </c>
      <c r="H116" t="str">
        <f>Wetseason!L42</f>
        <v>G453</v>
      </c>
      <c r="I116" t="str">
        <f>Wetseason!L262</f>
        <v>R521</v>
      </c>
      <c r="J116">
        <f>IFERROR(INDEX('Green_rooibos initial weight'!$C$5:$C$2000,MATCH(H116, 'Green_rooibos initial weight'!$A$5:$A$2000,0)),"")</f>
        <v>2.0790000000000002</v>
      </c>
      <c r="K116">
        <f>IFERROR(INDEX('Green_rooibos initial weight'!$C$5:$C$2000,MATCH(I116, 'Green_rooibos initial weight'!$A$5:$A$2000,0)),"")</f>
        <v>2.1440000000000001</v>
      </c>
      <c r="L116" s="194">
        <f t="shared" si="4"/>
        <v>1.8292000000000002</v>
      </c>
      <c r="M116" s="194">
        <f>AVERAGE(Ashed_controlls!$K$2:$K$11)</f>
        <v>5.5147656768714146</v>
      </c>
      <c r="N116" s="194">
        <f t="shared" si="0"/>
        <v>1.7283239062386682</v>
      </c>
      <c r="O116" s="194">
        <f t="shared" si="5"/>
        <v>1.8942000000000001</v>
      </c>
      <c r="P116" s="194">
        <f>AVERAGE(Ashed_controlls!$K$12:$K$14)</f>
        <v>2.2816647271287041</v>
      </c>
      <c r="Q116" s="194">
        <f t="shared" si="6"/>
        <v>1.8509807067387283</v>
      </c>
      <c r="R116" s="16">
        <f>IF('WetLitterbags placem_collection'!G43="","",'WetLitterbags placem_collection'!G43)</f>
        <v>42820</v>
      </c>
      <c r="S116" s="194">
        <f>IFERROR(INDEX('Both teabags AfterWet'!$C$3:$C$2000,MATCH(H116,'Both teabags AfterWet'!$A$3:$A$2000,0)),"")</f>
        <v>1.0509999999999999</v>
      </c>
      <c r="T116" s="194">
        <f>IFERROR(INDEX('Both teabags AfterWet'!$C$3:$C$2000,MATCH(I116,'Both teabags AfterWet'!$A$3:$A$2000,0)),"")</f>
        <v>1.512</v>
      </c>
      <c r="U116" s="194">
        <f t="shared" si="7"/>
        <v>0.90039999999999987</v>
      </c>
      <c r="V116" s="194">
        <f t="shared" si="8"/>
        <v>1.3613999999999999</v>
      </c>
      <c r="W116" s="194">
        <f>IFERROR(INDEX('Ashed teabags wet'!$K$2:$K$2000,MATCH(H116,'Ashed teabags wet'!$A$2:$A$2000,0)),"")</f>
        <v>20.029673590504579</v>
      </c>
      <c r="X116" s="233">
        <f>IFERROR(INDEX('Ashed teabags wet'!$K$2:$K$2000,MATCH(I116,'Ashed teabags wet'!$A$2:$A$2000,0)),"")</f>
        <v>6.8728522336777456</v>
      </c>
      <c r="Y116" s="194">
        <f t="shared" si="14"/>
        <v>0.72005281899109663</v>
      </c>
      <c r="Z116" s="194">
        <f t="shared" si="9"/>
        <v>1.267832989690711</v>
      </c>
      <c r="AA116" s="194">
        <f t="shared" si="10"/>
        <v>0.58338086027049207</v>
      </c>
      <c r="AB116" s="194">
        <f t="shared" si="11"/>
        <v>0.38245396065238912</v>
      </c>
      <c r="AC116" s="194">
        <f t="shared" si="2"/>
        <v>0.68495202844362746</v>
      </c>
      <c r="AD116">
        <f t="shared" si="3"/>
        <v>54</v>
      </c>
      <c r="AE116" s="194">
        <f t="shared" si="12"/>
        <v>0.30714862200654147</v>
      </c>
      <c r="AF116" s="194">
        <f t="shared" si="13"/>
        <v>3.2145822384312357E-2</v>
      </c>
      <c r="AG116" s="245" t="str">
        <f>IF(ISNUMBER(SEARCH("C",'WetLitterbags placem_collection'!$X43)),"YES","NO")</f>
        <v>NO</v>
      </c>
      <c r="AH116" s="245" t="str">
        <f>IF(ISNUMBER(SEARCH("H", 'WetLitterbags placem_collection'!$X43)),"YES","NO")</f>
        <v>NO</v>
      </c>
      <c r="AI116" s="245" t="str">
        <f>IF(ISNUMBER(SEARCH("R", 'WetLitterbags placem_collection'!$X43)),"YES","NO")</f>
        <v>YES</v>
      </c>
      <c r="AJ116" s="245" t="str">
        <f>IF(ISNUMBER(SEARCH("C", 'WetLitterbags placem_collection'!$V43)),"YES","NO")</f>
        <v>NO</v>
      </c>
      <c r="AK116" s="245" t="str">
        <f>IF(ISNUMBER(SEARCH("H", 'WetLitterbags placem_collection'!$V43)),"YES","NO")</f>
        <v>YES</v>
      </c>
      <c r="AL116" s="245" t="str">
        <f>IF(ISNUMBER(SEARCH("R", 'WetLitterbags placem_collection'!$V43)),"YES","NO")</f>
        <v>YES</v>
      </c>
    </row>
    <row r="117" spans="2:38">
      <c r="B117" t="str">
        <f>Wetseason!B43</f>
        <v>Wet</v>
      </c>
      <c r="C117" s="253">
        <f>Wetseason!C43</f>
        <v>42</v>
      </c>
      <c r="D117" t="s">
        <v>3108</v>
      </c>
      <c r="E117" t="s">
        <v>22</v>
      </c>
      <c r="F117" s="374">
        <v>2</v>
      </c>
      <c r="G117" s="16">
        <f>'WetLitterbags placem_collection'!E44</f>
        <v>42766</v>
      </c>
      <c r="H117" t="str">
        <f>Wetseason!L43</f>
        <v>G764</v>
      </c>
      <c r="I117" t="str">
        <f>Wetseason!L263</f>
        <v>R371</v>
      </c>
      <c r="J117">
        <f>IFERROR(INDEX('Green_rooibos initial weight'!$C$5:$C$2000,MATCH(H117, 'Green_rooibos initial weight'!$A$5:$A$2000,0)),"")</f>
        <v>1.9510000000000001</v>
      </c>
      <c r="K117">
        <f>IFERROR(INDEX('Green_rooibos initial weight'!$C$5:$C$2000,MATCH(I117, 'Green_rooibos initial weight'!$A$5:$A$2000,0)),"")</f>
        <v>2.2530000000000001</v>
      </c>
      <c r="L117" s="194">
        <f t="shared" si="4"/>
        <v>1.7012</v>
      </c>
      <c r="M117" s="194">
        <f>AVERAGE(Ashed_controlls!$K$2:$K$11)</f>
        <v>5.5147656768714146</v>
      </c>
      <c r="N117" s="194">
        <f t="shared" si="0"/>
        <v>1.6073828063050635</v>
      </c>
      <c r="O117" s="194">
        <f t="shared" si="5"/>
        <v>2.0032000000000001</v>
      </c>
      <c r="P117" s="194">
        <f>AVERAGE(Ashed_controlls!$K$12:$K$14)</f>
        <v>2.2816647271287041</v>
      </c>
      <c r="Q117" s="194">
        <f t="shared" si="6"/>
        <v>1.9574936921861579</v>
      </c>
      <c r="R117" s="16">
        <f>IF('WetLitterbags placem_collection'!G44="","",'WetLitterbags placem_collection'!G44)</f>
        <v>42820</v>
      </c>
      <c r="S117" s="194">
        <f>IFERROR(INDEX('Both teabags AfterWet'!$C$3:$C$2000,MATCH(H117,'Both teabags AfterWet'!$A$3:$A$2000,0)),"")</f>
        <v>0.72199999999999998</v>
      </c>
      <c r="T117" s="194">
        <f>IFERROR(INDEX('Both teabags AfterWet'!$C$3:$C$2000,MATCH(I117,'Both teabags AfterWet'!$A$3:$A$2000,0)),"")</f>
        <v>1.649</v>
      </c>
      <c r="U117" s="194">
        <f t="shared" si="7"/>
        <v>0.57139999999999991</v>
      </c>
      <c r="V117" s="194">
        <f t="shared" si="8"/>
        <v>1.4984</v>
      </c>
      <c r="W117" s="194">
        <f>IFERROR(INDEX('Ashed teabags wet'!$K$2:$K$2000,MATCH(H117,'Ashed teabags wet'!$A$2:$A$2000,0)),"")</f>
        <v>14.236790606653615</v>
      </c>
      <c r="X117" s="233">
        <f>IFERROR(INDEX('Ashed teabags wet'!$K$2:$K$2000,MATCH(I117,'Ashed teabags wet'!$A$2:$A$2000,0)),"")</f>
        <v>2.6627218934911183</v>
      </c>
      <c r="Y117" s="194">
        <f t="shared" si="14"/>
        <v>0.49005097847358114</v>
      </c>
      <c r="Z117" s="194">
        <f t="shared" si="9"/>
        <v>1.458501775147929</v>
      </c>
      <c r="AA117" s="194">
        <f t="shared" si="10"/>
        <v>0.69512490954157014</v>
      </c>
      <c r="AB117" s="194">
        <f t="shared" si="11"/>
        <v>0.45571134212226461</v>
      </c>
      <c r="AC117" s="194">
        <f t="shared" si="2"/>
        <v>0.74508632184610146</v>
      </c>
      <c r="AD117">
        <f t="shared" si="3"/>
        <v>54</v>
      </c>
      <c r="AE117" s="194">
        <f t="shared" si="12"/>
        <v>0.17443597441618741</v>
      </c>
      <c r="AF117" s="194">
        <f t="shared" si="13"/>
        <v>1.5177070986734285E-2</v>
      </c>
      <c r="AG117" s="245" t="str">
        <f>IF(ISNUMBER(SEARCH("C",'WetLitterbags placem_collection'!$X44)),"YES","NO")</f>
        <v>NO</v>
      </c>
      <c r="AH117" s="245" t="str">
        <f>IF(ISNUMBER(SEARCH("H", 'WetLitterbags placem_collection'!$X44)),"YES","NO")</f>
        <v>NO</v>
      </c>
      <c r="AI117" s="245" t="str">
        <f>IF(ISNUMBER(SEARCH("R", 'WetLitterbags placem_collection'!$X44)),"YES","NO")</f>
        <v>NO</v>
      </c>
      <c r="AJ117" s="245" t="str">
        <f>IF(ISNUMBER(SEARCH("C", 'WetLitterbags placem_collection'!$V44)),"YES","NO")</f>
        <v>NO</v>
      </c>
      <c r="AK117" s="245" t="str">
        <f>IF(ISNUMBER(SEARCH("H", 'WetLitterbags placem_collection'!$V44)),"YES","NO")</f>
        <v>YES</v>
      </c>
      <c r="AL117" s="245" t="str">
        <f>IF(ISNUMBER(SEARCH("R", 'WetLitterbags placem_collection'!$V44)),"YES","NO")</f>
        <v>NO</v>
      </c>
    </row>
    <row r="118" spans="2:38">
      <c r="B118" t="str">
        <f>Wetseason!B44</f>
        <v>Wet</v>
      </c>
      <c r="C118" s="253">
        <f>Wetseason!C44</f>
        <v>43</v>
      </c>
      <c r="D118" t="s">
        <v>3108</v>
      </c>
      <c r="E118" t="s">
        <v>22</v>
      </c>
      <c r="F118" s="374">
        <v>3</v>
      </c>
      <c r="G118" s="16">
        <f>'WetLitterbags placem_collection'!E45</f>
        <v>42766</v>
      </c>
      <c r="H118" t="str">
        <f>Wetseason!L44</f>
        <v>G690</v>
      </c>
      <c r="I118" t="str">
        <f>Wetseason!L264</f>
        <v>R376</v>
      </c>
      <c r="J118">
        <f>IFERROR(INDEX('Green_rooibos initial weight'!$C$5:$C$2000,MATCH(H118, 'Green_rooibos initial weight'!$A$5:$A$2000,0)),"")</f>
        <v>2.0739999999999998</v>
      </c>
      <c r="K118">
        <f>IFERROR(INDEX('Green_rooibos initial weight'!$C$5:$C$2000,MATCH(I118, 'Green_rooibos initial weight'!$A$5:$A$2000,0)),"")</f>
        <v>2.177</v>
      </c>
      <c r="L118" s="194">
        <f t="shared" si="4"/>
        <v>1.8241999999999998</v>
      </c>
      <c r="M118" s="194">
        <f>AVERAGE(Ashed_controlls!$K$2:$K$11)</f>
        <v>5.5147656768714146</v>
      </c>
      <c r="N118" s="194">
        <f t="shared" si="0"/>
        <v>1.7235996445225115</v>
      </c>
      <c r="O118" s="194">
        <f t="shared" si="5"/>
        <v>1.9272</v>
      </c>
      <c r="P118" s="194">
        <f>AVERAGE(Ashed_controlls!$K$12:$K$14)</f>
        <v>2.2816647271287041</v>
      </c>
      <c r="Q118" s="194">
        <f t="shared" si="6"/>
        <v>1.8832277573787757</v>
      </c>
      <c r="R118" s="16">
        <f>IF('WetLitterbags placem_collection'!G45="","",'WetLitterbags placem_collection'!G45)</f>
        <v>42820</v>
      </c>
      <c r="S118" s="194">
        <f>IFERROR(INDEX('Both teabags AfterWet'!$C$3:$C$2000,MATCH(H118,'Both teabags AfterWet'!$A$3:$A$2000,0)),"")</f>
        <v>0.71519999999999995</v>
      </c>
      <c r="T118" s="194">
        <f>IFERROR(INDEX('Both teabags AfterWet'!$C$3:$C$2000,MATCH(I118,'Both teabags AfterWet'!$A$3:$A$2000,0)),"")</f>
        <v>1.3532999999999999</v>
      </c>
      <c r="U118" s="194">
        <f t="shared" si="7"/>
        <v>0.56459999999999999</v>
      </c>
      <c r="V118" s="194">
        <f t="shared" si="8"/>
        <v>1.2026999999999999</v>
      </c>
      <c r="W118" s="194">
        <f>IFERROR(INDEX('Ashed teabags wet'!$K$2:$K$2000,MATCH(H118,'Ashed teabags wet'!$A$2:$A$2000,0)),"")</f>
        <v>10.60532687651348</v>
      </c>
      <c r="X118" s="233">
        <f>IFERROR(INDEX('Ashed teabags wet'!$K$2:$K$2000,MATCH(I118,'Ashed teabags wet'!$A$2:$A$2000,0)),"")</f>
        <v>6.7788461538456346</v>
      </c>
      <c r="Y118" s="194">
        <f t="shared" si="14"/>
        <v>0.50472232445520493</v>
      </c>
      <c r="Z118" s="194">
        <f t="shared" si="9"/>
        <v>1.1211708173076984</v>
      </c>
      <c r="AA118" s="194">
        <f t="shared" si="10"/>
        <v>0.70716962836516006</v>
      </c>
      <c r="AB118" s="194">
        <f t="shared" si="11"/>
        <v>0.46360764234865609</v>
      </c>
      <c r="AC118" s="194">
        <f t="shared" si="2"/>
        <v>0.59534531227823029</v>
      </c>
      <c r="AD118">
        <f t="shared" si="3"/>
        <v>54</v>
      </c>
      <c r="AE118" s="194">
        <f t="shared" si="12"/>
        <v>0.16013108270171006</v>
      </c>
      <c r="AF118" s="194">
        <f t="shared" si="13"/>
        <v>3.8190719435097033E-2</v>
      </c>
      <c r="AG118" s="245" t="str">
        <f>IF(ISNUMBER(SEARCH("C",'WetLitterbags placem_collection'!$X45)),"YES","NO")</f>
        <v>NO</v>
      </c>
      <c r="AH118" s="245" t="str">
        <f>IF(ISNUMBER(SEARCH("H", 'WetLitterbags placem_collection'!$X45)),"YES","NO")</f>
        <v>NO</v>
      </c>
      <c r="AI118" s="245" t="str">
        <f>IF(ISNUMBER(SEARCH("R", 'WetLitterbags placem_collection'!$X45)),"YES","NO")</f>
        <v>YES</v>
      </c>
      <c r="AJ118" s="245" t="str">
        <f>IF(ISNUMBER(SEARCH("C", 'WetLitterbags placem_collection'!$V45)),"YES","NO")</f>
        <v>NO</v>
      </c>
      <c r="AK118" s="245" t="str">
        <f>IF(ISNUMBER(SEARCH("H", 'WetLitterbags placem_collection'!$V45)),"YES","NO")</f>
        <v>YES</v>
      </c>
      <c r="AL118" s="245" t="str">
        <f>IF(ISNUMBER(SEARCH("R", 'WetLitterbags placem_collection'!$V45)),"YES","NO")</f>
        <v>YES</v>
      </c>
    </row>
    <row r="119" spans="2:38">
      <c r="B119" t="str">
        <f>Wetseason!B45</f>
        <v>Wet</v>
      </c>
      <c r="C119" s="253">
        <f>Wetseason!C45</f>
        <v>44</v>
      </c>
      <c r="D119" t="s">
        <v>3108</v>
      </c>
      <c r="E119" t="s">
        <v>22</v>
      </c>
      <c r="F119" s="375">
        <v>4</v>
      </c>
      <c r="G119" s="16">
        <f>'WetLitterbags placem_collection'!E46</f>
        <v>42766</v>
      </c>
      <c r="H119" t="str">
        <f>Wetseason!L45</f>
        <v>G774</v>
      </c>
      <c r="I119" t="str">
        <f>Wetseason!L265</f>
        <v>R166</v>
      </c>
      <c r="J119">
        <f>IFERROR(INDEX('Green_rooibos initial weight'!$C$5:$C$2000,MATCH(H119, 'Green_rooibos initial weight'!$A$5:$A$2000,0)),"")</f>
        <v>2.0049999999999999</v>
      </c>
      <c r="K119">
        <f>IFERROR(INDEX('Green_rooibos initial weight'!$C$5:$C$2000,MATCH(I119, 'Green_rooibos initial weight'!$A$5:$A$2000,0)),"")</f>
        <v>2.222</v>
      </c>
      <c r="L119" s="194">
        <f t="shared" si="4"/>
        <v>1.7551999999999999</v>
      </c>
      <c r="M119" s="194">
        <f>AVERAGE(Ashed_controlls!$K$2:$K$11)</f>
        <v>5.5147656768714146</v>
      </c>
      <c r="N119" s="194">
        <f t="shared" si="0"/>
        <v>1.6584048328395529</v>
      </c>
      <c r="O119" s="194">
        <f t="shared" si="5"/>
        <v>1.9722</v>
      </c>
      <c r="P119" s="194">
        <f>AVERAGE(Ashed_controlls!$K$12:$K$14)</f>
        <v>2.2816647271287041</v>
      </c>
      <c r="Q119" s="194">
        <f t="shared" si="6"/>
        <v>1.9272010082515676</v>
      </c>
      <c r="R119" s="16">
        <f>IF('WetLitterbags placem_collection'!G46="","",'WetLitterbags placem_collection'!G46)</f>
        <v>42820</v>
      </c>
      <c r="S119" s="194">
        <f>IFERROR(INDEX('Both teabags AfterWet'!$C$3:$C$2000,MATCH(H119,'Both teabags AfterWet'!$A$3:$A$2000,0)),"")</f>
        <v>0.89559999999999995</v>
      </c>
      <c r="T119" s="194">
        <f>IFERROR(INDEX('Both teabags AfterWet'!$C$3:$C$2000,MATCH(I119,'Both teabags AfterWet'!$A$3:$A$2000,0)),"")</f>
        <v>1.6101000000000001</v>
      </c>
      <c r="U119" s="194">
        <f t="shared" si="7"/>
        <v>0.74499999999999988</v>
      </c>
      <c r="V119" s="194">
        <f t="shared" si="8"/>
        <v>1.4595</v>
      </c>
      <c r="W119" s="194">
        <f>IFERROR(INDEX('Ashed teabags wet'!$K$2:$K$2000,MATCH(H119,'Ashed teabags wet'!$A$2:$A$2000,0)),"")</f>
        <v>8.346293416277824</v>
      </c>
      <c r="X119" s="233">
        <f>IFERROR(INDEX('Ashed teabags wet'!$K$2:$K$2000,MATCH(I119,'Ashed teabags wet'!$A$2:$A$2000,0)),"")</f>
        <v>4.868355688028041</v>
      </c>
      <c r="Y119" s="194">
        <f t="shared" si="14"/>
        <v>0.68282011404873011</v>
      </c>
      <c r="Z119" s="194">
        <f t="shared" si="9"/>
        <v>1.3884463487332308</v>
      </c>
      <c r="AA119" s="194">
        <f t="shared" si="10"/>
        <v>0.58826692944472891</v>
      </c>
      <c r="AB119" s="194">
        <f t="shared" si="11"/>
        <v>0.38565717939844463</v>
      </c>
      <c r="AC119" s="194">
        <f t="shared" si="2"/>
        <v>0.72044708506710664</v>
      </c>
      <c r="AD119">
        <f t="shared" si="3"/>
        <v>54</v>
      </c>
      <c r="AE119" s="194">
        <f t="shared" si="12"/>
        <v>0.30134568949557139</v>
      </c>
      <c r="AF119" s="194">
        <f t="shared" si="13"/>
        <v>2.389864075672567E-2</v>
      </c>
      <c r="AG119" s="245" t="str">
        <f>IF(ISNUMBER(SEARCH("C",'WetLitterbags placem_collection'!$X46)),"YES","NO")</f>
        <v>NO</v>
      </c>
      <c r="AH119" s="245" t="str">
        <f>IF(ISNUMBER(SEARCH("H", 'WetLitterbags placem_collection'!$X46)),"YES","NO")</f>
        <v>NO</v>
      </c>
      <c r="AI119" s="245" t="str">
        <f>IF(ISNUMBER(SEARCH("R", 'WetLitterbags placem_collection'!$X46)),"YES","NO")</f>
        <v>YES</v>
      </c>
      <c r="AJ119" s="245" t="str">
        <f>IF(ISNUMBER(SEARCH("C", 'WetLitterbags placem_collection'!$V46)),"YES","NO")</f>
        <v>NO</v>
      </c>
      <c r="AK119" s="245" t="str">
        <f>IF(ISNUMBER(SEARCH("H", 'WetLitterbags placem_collection'!$V46)),"YES","NO")</f>
        <v>NO</v>
      </c>
      <c r="AL119" s="245" t="str">
        <f>IF(ISNUMBER(SEARCH("R", 'WetLitterbags placem_collection'!$V46)),"YES","NO")</f>
        <v>YES</v>
      </c>
    </row>
    <row r="120" spans="2:38">
      <c r="B120" t="str">
        <f>Wetseason!B46</f>
        <v>Wet</v>
      </c>
      <c r="C120" s="253">
        <f>Wetseason!C46</f>
        <v>45</v>
      </c>
      <c r="D120" t="s">
        <v>3108</v>
      </c>
      <c r="E120" t="s">
        <v>22</v>
      </c>
      <c r="F120" s="375">
        <v>5</v>
      </c>
      <c r="G120" s="16">
        <f>'WetLitterbags placem_collection'!E47</f>
        <v>42766</v>
      </c>
      <c r="H120" t="str">
        <f>Wetseason!L46</f>
        <v>G519</v>
      </c>
      <c r="I120" t="str">
        <f>Wetseason!L266</f>
        <v>R469</v>
      </c>
      <c r="J120">
        <f>IFERROR(INDEX('Green_rooibos initial weight'!$C$5:$C$2000,MATCH(H120, 'Green_rooibos initial weight'!$A$5:$A$2000,0)),"")</f>
        <v>2.1429999999999998</v>
      </c>
      <c r="K120">
        <f>IFERROR(INDEX('Green_rooibos initial weight'!$C$5:$C$2000,MATCH(I120, 'Green_rooibos initial weight'!$A$5:$A$2000,0)),"")</f>
        <v>2.2309999999999999</v>
      </c>
      <c r="L120" s="194">
        <f t="shared" si="4"/>
        <v>1.8931999999999998</v>
      </c>
      <c r="M120" s="194">
        <f>AVERAGE(Ashed_controlls!$K$2:$K$11)</f>
        <v>5.5147656768714146</v>
      </c>
      <c r="N120" s="194">
        <f t="shared" si="0"/>
        <v>1.7887944562054701</v>
      </c>
      <c r="O120" s="194">
        <f t="shared" si="5"/>
        <v>1.9811999999999999</v>
      </c>
      <c r="P120" s="194">
        <f>AVERAGE(Ashed_controlls!$K$12:$K$14)</f>
        <v>2.2816647271287041</v>
      </c>
      <c r="Q120" s="194">
        <f t="shared" si="6"/>
        <v>1.935995658426126</v>
      </c>
      <c r="R120" s="16">
        <f>IF('WetLitterbags placem_collection'!G47="","",'WetLitterbags placem_collection'!G47)</f>
        <v>42820</v>
      </c>
      <c r="S120" s="194">
        <f>IFERROR(INDEX('Both teabags AfterWet'!$C$3:$C$2000,MATCH(H120,'Both teabags AfterWet'!$A$3:$A$2000,0)),"")</f>
        <v>0.77569999999999995</v>
      </c>
      <c r="T120" s="194">
        <f>IFERROR(INDEX('Both teabags AfterWet'!$C$3:$C$2000,MATCH(I120,'Both teabags AfterWet'!$A$3:$A$2000,0)),"")</f>
        <v>1.5804</v>
      </c>
      <c r="U120" s="194">
        <f t="shared" si="7"/>
        <v>0.62509999999999999</v>
      </c>
      <c r="V120" s="194">
        <f t="shared" si="8"/>
        <v>1.4298</v>
      </c>
      <c r="W120" s="194">
        <f>IFERROR(INDEX('Ashed teabags wet'!$K$2:$K$2000,MATCH(H120,'Ashed teabags wet'!$A$2:$A$2000,0)),"")</f>
        <v>9.376558603491624</v>
      </c>
      <c r="X120" s="233">
        <f>IFERROR(INDEX('Ashed teabags wet'!$K$2:$K$2000,MATCH(I120,'Ashed teabags wet'!$A$2:$A$2000,0)),"")</f>
        <v>3.5248672139064463</v>
      </c>
      <c r="Y120" s="194">
        <f t="shared" si="14"/>
        <v>0.5664871321695738</v>
      </c>
      <c r="Z120" s="194">
        <f t="shared" si="9"/>
        <v>1.3794014485755657</v>
      </c>
      <c r="AA120" s="194">
        <f t="shared" si="10"/>
        <v>0.68331345716977987</v>
      </c>
      <c r="AB120" s="194">
        <f t="shared" si="11"/>
        <v>0.4479679671706871</v>
      </c>
      <c r="AC120" s="194">
        <f t="shared" si="2"/>
        <v>0.71250234605223994</v>
      </c>
      <c r="AD120">
        <f t="shared" si="3"/>
        <v>54</v>
      </c>
      <c r="AE120" s="194">
        <f t="shared" si="12"/>
        <v>0.188463827589335</v>
      </c>
      <c r="AF120" s="194">
        <f t="shared" si="13"/>
        <v>1.9011347534972928E-2</v>
      </c>
      <c r="AG120" s="245" t="str">
        <f>IF(ISNUMBER(SEARCH("C",'WetLitterbags placem_collection'!$X47)),"YES","NO")</f>
        <v>NO</v>
      </c>
      <c r="AH120" s="245" t="str">
        <f>IF(ISNUMBER(SEARCH("H", 'WetLitterbags placem_collection'!$X47)),"YES","NO")</f>
        <v>NO</v>
      </c>
      <c r="AI120" s="245" t="str">
        <f>IF(ISNUMBER(SEARCH("R", 'WetLitterbags placem_collection'!$X47)),"YES","NO")</f>
        <v>YES</v>
      </c>
      <c r="AJ120" s="245" t="str">
        <f>IF(ISNUMBER(SEARCH("C", 'WetLitterbags placem_collection'!$V47)),"YES","NO")</f>
        <v>NO</v>
      </c>
      <c r="AK120" s="245" t="str">
        <f>IF(ISNUMBER(SEARCH("H", 'WetLitterbags placem_collection'!$V47)),"YES","NO")</f>
        <v>NO</v>
      </c>
      <c r="AL120" s="245" t="str">
        <f>IF(ISNUMBER(SEARCH("R", 'WetLitterbags placem_collection'!$V47)),"YES","NO")</f>
        <v>YES</v>
      </c>
    </row>
    <row r="121" spans="2:38">
      <c r="B121" t="str">
        <f>Wetseason!B47</f>
        <v>Wet</v>
      </c>
      <c r="C121" s="253">
        <f>Wetseason!C47</f>
        <v>46</v>
      </c>
      <c r="D121" t="s">
        <v>3108</v>
      </c>
      <c r="E121" t="s">
        <v>22</v>
      </c>
      <c r="F121" s="375">
        <v>6</v>
      </c>
      <c r="G121" s="16">
        <f>'WetLitterbags placem_collection'!E48</f>
        <v>42766</v>
      </c>
      <c r="H121" t="str">
        <f>Wetseason!L47</f>
        <v>G635</v>
      </c>
      <c r="I121" t="str">
        <f>Wetseason!L267</f>
        <v>R86</v>
      </c>
      <c r="J121">
        <f>IFERROR(INDEX('Green_rooibos initial weight'!$C$5:$C$2000,MATCH(H121, 'Green_rooibos initial weight'!$A$5:$A$2000,0)),"")</f>
        <v>2.073</v>
      </c>
      <c r="K121">
        <f>IFERROR(INDEX('Green_rooibos initial weight'!$C$5:$C$2000,MATCH(I121, 'Green_rooibos initial weight'!$A$5:$A$2000,0)),"")</f>
        <v>2.242</v>
      </c>
      <c r="L121" s="194">
        <f t="shared" si="4"/>
        <v>1.8231999999999999</v>
      </c>
      <c r="M121" s="194">
        <f>AVERAGE(Ashed_controlls!$K$2:$K$11)</f>
        <v>5.5147656768714146</v>
      </c>
      <c r="N121" s="194">
        <f t="shared" si="0"/>
        <v>1.7226547921792803</v>
      </c>
      <c r="O121" s="194">
        <f t="shared" si="5"/>
        <v>1.9922</v>
      </c>
      <c r="P121" s="194">
        <f>AVERAGE(Ashed_controlls!$K$12:$K$14)</f>
        <v>2.2816647271287041</v>
      </c>
      <c r="Q121" s="194">
        <f t="shared" si="6"/>
        <v>1.9467446753061419</v>
      </c>
      <c r="R121" s="16">
        <f>IF('WetLitterbags placem_collection'!G48="","",'WetLitterbags placem_collection'!G48)</f>
        <v>42820</v>
      </c>
      <c r="S121" s="194" t="str">
        <f>IFERROR(INDEX('Both teabags AfterWet'!$C$3:$C$2000,MATCH(H121,'Both teabags AfterWet'!$A$3:$A$2000,0)),"")</f>
        <v/>
      </c>
      <c r="T121" s="194" t="str">
        <f>IFERROR(INDEX('Both teabags AfterWet'!$C$3:$C$2000,MATCH(I121,'Both teabags AfterWet'!$A$3:$A$2000,0)),"")</f>
        <v/>
      </c>
      <c r="U121" s="194" t="str">
        <f t="shared" si="7"/>
        <v/>
      </c>
      <c r="V121" s="194" t="str">
        <f t="shared" si="8"/>
        <v/>
      </c>
      <c r="W121" s="194" t="str">
        <f>IFERROR(INDEX('Ashed teabags wet'!$K$2:$K$2000,MATCH(H121,'Ashed teabags wet'!$A$2:$A$2000,0)),"")</f>
        <v/>
      </c>
      <c r="X121" s="233" t="str">
        <f>IFERROR(INDEX('Ashed teabags wet'!$K$2:$K$2000,MATCH(I121,'Ashed teabags wet'!$A$2:$A$2000,0)),"")</f>
        <v/>
      </c>
      <c r="Y121" s="194" t="str">
        <f t="shared" si="14"/>
        <v/>
      </c>
      <c r="Z121" s="194" t="str">
        <f t="shared" si="9"/>
        <v/>
      </c>
      <c r="AA121" s="194" t="str">
        <f t="shared" si="10"/>
        <v/>
      </c>
      <c r="AB121" s="194" t="str">
        <f t="shared" si="11"/>
        <v/>
      </c>
      <c r="AC121" s="194" t="str">
        <f t="shared" si="2"/>
        <v/>
      </c>
      <c r="AD121">
        <f t="shared" si="3"/>
        <v>54</v>
      </c>
      <c r="AE121" s="194" t="str">
        <f t="shared" si="12"/>
        <v/>
      </c>
      <c r="AF121" s="194" t="str">
        <f t="shared" si="13"/>
        <v/>
      </c>
      <c r="AG121" s="245" t="str">
        <f>IF(ISNUMBER(SEARCH("C",'WetLitterbags placem_collection'!$X48)),"YES","NO")</f>
        <v>NO</v>
      </c>
      <c r="AH121" s="245" t="str">
        <f>IF(ISNUMBER(SEARCH("H", 'WetLitterbags placem_collection'!$X48)),"YES","NO")</f>
        <v>NO</v>
      </c>
      <c r="AI121" s="245" t="str">
        <f>IF(ISNUMBER(SEARCH("R", 'WetLitterbags placem_collection'!$X48)),"YES","NO")</f>
        <v>NO</v>
      </c>
      <c r="AJ121" s="245" t="str">
        <f>IF(ISNUMBER(SEARCH("C", 'WetLitterbags placem_collection'!$V48)),"YES","NO")</f>
        <v>NO</v>
      </c>
      <c r="AK121" s="245" t="str">
        <f>IF(ISNUMBER(SEARCH("H", 'WetLitterbags placem_collection'!$V48)),"YES","NO")</f>
        <v>NO</v>
      </c>
      <c r="AL121" s="245" t="str">
        <f>IF(ISNUMBER(SEARCH("R", 'WetLitterbags placem_collection'!$V48)),"YES","NO")</f>
        <v>NO</v>
      </c>
    </row>
    <row r="122" spans="2:38">
      <c r="B122" t="str">
        <f>Wetseason!B48</f>
        <v>Wet</v>
      </c>
      <c r="C122" s="253">
        <f>Wetseason!C48</f>
        <v>47</v>
      </c>
      <c r="D122" t="s">
        <v>3108</v>
      </c>
      <c r="E122" t="s">
        <v>22</v>
      </c>
      <c r="F122" s="375">
        <v>7</v>
      </c>
      <c r="G122" s="16">
        <f>'WetLitterbags placem_collection'!E49</f>
        <v>42766</v>
      </c>
      <c r="H122" t="str">
        <f>Wetseason!L48</f>
        <v>G539</v>
      </c>
      <c r="I122" t="str">
        <f>Wetseason!L268</f>
        <v>R146</v>
      </c>
      <c r="J122">
        <f>IFERROR(INDEX('Green_rooibos initial weight'!$C$5:$C$2000,MATCH(H122, 'Green_rooibos initial weight'!$A$5:$A$2000,0)),"")</f>
        <v>2.1219999999999999</v>
      </c>
      <c r="K122">
        <f>IFERROR(INDEX('Green_rooibos initial weight'!$C$5:$C$2000,MATCH(I122, 'Green_rooibos initial weight'!$A$5:$A$2000,0)),"")</f>
        <v>2.2010000000000001</v>
      </c>
      <c r="L122" s="194">
        <f t="shared" si="4"/>
        <v>1.8721999999999999</v>
      </c>
      <c r="M122" s="194">
        <f>AVERAGE(Ashed_controlls!$K$2:$K$11)</f>
        <v>5.5147656768714146</v>
      </c>
      <c r="N122" s="194">
        <f t="shared" si="0"/>
        <v>1.7689525569976132</v>
      </c>
      <c r="O122" s="194">
        <f t="shared" si="5"/>
        <v>1.9512</v>
      </c>
      <c r="P122" s="194">
        <f>AVERAGE(Ashed_controlls!$K$12:$K$14)</f>
        <v>2.2816647271287041</v>
      </c>
      <c r="Q122" s="194">
        <f t="shared" si="6"/>
        <v>1.9066801578442647</v>
      </c>
      <c r="R122" s="16">
        <f>IF('WetLitterbags placem_collection'!G49="","",'WetLitterbags placem_collection'!G49)</f>
        <v>42820</v>
      </c>
      <c r="S122" s="194">
        <f>IFERROR(INDEX('Both teabags AfterWet'!$C$3:$C$2000,MATCH(H122,'Both teabags AfterWet'!$A$3:$A$2000,0)),"")</f>
        <v>0.80700000000000005</v>
      </c>
      <c r="T122" s="194">
        <f>IFERROR(INDEX('Both teabags AfterWet'!$C$3:$C$2000,MATCH(I122,'Both teabags AfterWet'!$A$3:$A$2000,0)),"")</f>
        <v>1.651</v>
      </c>
      <c r="U122" s="194">
        <f t="shared" si="7"/>
        <v>0.65640000000000009</v>
      </c>
      <c r="V122" s="194">
        <f t="shared" si="8"/>
        <v>1.5004</v>
      </c>
      <c r="W122" s="194">
        <f>IFERROR(INDEX('Ashed teabags wet'!$K$2:$K$2000,MATCH(H122,'Ashed teabags wet'!$A$2:$A$2000,0)),"")</f>
        <v>11.917347429120182</v>
      </c>
      <c r="X122" s="233">
        <f>IFERROR(INDEX('Ashed teabags wet'!$K$2:$K$2000,MATCH(I122,'Ashed teabags wet'!$A$2:$A$2000,0)),"")</f>
        <v>7.3593073593070963</v>
      </c>
      <c r="Y122" s="194">
        <f t="shared" si="14"/>
        <v>0.57817453147525522</v>
      </c>
      <c r="Z122" s="194">
        <f t="shared" si="9"/>
        <v>1.3899809523809563</v>
      </c>
      <c r="AA122" s="194">
        <f t="shared" si="10"/>
        <v>0.67315430298675027</v>
      </c>
      <c r="AB122" s="194">
        <f t="shared" si="11"/>
        <v>0.44130780908395034</v>
      </c>
      <c r="AC122" s="194">
        <f t="shared" si="2"/>
        <v>0.72900583071704061</v>
      </c>
      <c r="AD122">
        <f t="shared" si="3"/>
        <v>54</v>
      </c>
      <c r="AE122" s="194">
        <f t="shared" si="12"/>
        <v>0.20052933136965523</v>
      </c>
      <c r="AF122" s="194">
        <f t="shared" si="13"/>
        <v>1.7631498787218286E-2</v>
      </c>
      <c r="AG122" s="245" t="str">
        <f>IF(ISNUMBER(SEARCH("C",'WetLitterbags placem_collection'!$X49)),"YES","NO")</f>
        <v>NO</v>
      </c>
      <c r="AH122" s="245" t="str">
        <f>IF(ISNUMBER(SEARCH("H", 'WetLitterbags placem_collection'!$X49)),"YES","NO")</f>
        <v>NO</v>
      </c>
      <c r="AI122" s="245" t="str">
        <f>IF(ISNUMBER(SEARCH("R", 'WetLitterbags placem_collection'!$X49)),"YES","NO")</f>
        <v>YES</v>
      </c>
      <c r="AJ122" s="245" t="str">
        <f>IF(ISNUMBER(SEARCH("C", 'WetLitterbags placem_collection'!$V49)),"YES","NO")</f>
        <v>NO</v>
      </c>
      <c r="AK122" s="245" t="str">
        <f>IF(ISNUMBER(SEARCH("H", 'WetLitterbags placem_collection'!$V49)),"YES","NO")</f>
        <v>NO</v>
      </c>
      <c r="AL122" s="245" t="str">
        <f>IF(ISNUMBER(SEARCH("R", 'WetLitterbags placem_collection'!$V49)),"YES","NO")</f>
        <v>YES</v>
      </c>
    </row>
    <row r="123" spans="2:38">
      <c r="B123" t="str">
        <f>Wetseason!B49</f>
        <v>Wet</v>
      </c>
      <c r="C123" s="253">
        <f>Wetseason!C49</f>
        <v>48</v>
      </c>
      <c r="D123" t="s">
        <v>3108</v>
      </c>
      <c r="E123" t="s">
        <v>22</v>
      </c>
      <c r="F123" s="375">
        <v>8</v>
      </c>
      <c r="G123" s="16">
        <f>'WetLitterbags placem_collection'!E50</f>
        <v>42766</v>
      </c>
      <c r="H123" t="str">
        <f>Wetseason!L49</f>
        <v>G679</v>
      </c>
      <c r="I123" t="str">
        <f>Wetseason!L269</f>
        <v>R72</v>
      </c>
      <c r="J123">
        <f>IFERROR(INDEX('Green_rooibos initial weight'!$C$5:$C$2000,MATCH(H123, 'Green_rooibos initial weight'!$A$5:$A$2000,0)),"")</f>
        <v>2.052</v>
      </c>
      <c r="K123">
        <f>IFERROR(INDEX('Green_rooibos initial weight'!$C$5:$C$2000,MATCH(I123, 'Green_rooibos initial weight'!$A$5:$A$2000,0)),"")</f>
        <v>2.2349999999999999</v>
      </c>
      <c r="L123" s="194">
        <f t="shared" si="4"/>
        <v>1.8022</v>
      </c>
      <c r="M123" s="194">
        <f>AVERAGE(Ashed_controlls!$K$2:$K$11)</f>
        <v>5.5147656768714146</v>
      </c>
      <c r="N123" s="194">
        <f t="shared" si="0"/>
        <v>1.7028128929714235</v>
      </c>
      <c r="O123" s="194">
        <f t="shared" si="5"/>
        <v>1.9851999999999999</v>
      </c>
      <c r="P123" s="194">
        <f>AVERAGE(Ashed_controlls!$K$12:$K$14)</f>
        <v>2.2816647271287041</v>
      </c>
      <c r="Q123" s="194">
        <f t="shared" si="6"/>
        <v>1.9399043918370409</v>
      </c>
      <c r="R123" s="16">
        <f>IF('WetLitterbags placem_collection'!G50="","",'WetLitterbags placem_collection'!G50)</f>
        <v>42820</v>
      </c>
      <c r="S123" s="194">
        <f>IFERROR(INDEX('Both teabags AfterWet'!$C$3:$C$2000,MATCH(H123,'Both teabags AfterWet'!$A$3:$A$2000,0)),"")</f>
        <v>0.83199999999999996</v>
      </c>
      <c r="T123" s="194">
        <f>IFERROR(INDEX('Both teabags AfterWet'!$C$3:$C$2000,MATCH(I123,'Both teabags AfterWet'!$A$3:$A$2000,0)),"")</f>
        <v>1.6359999999999999</v>
      </c>
      <c r="U123" s="194">
        <f t="shared" si="7"/>
        <v>0.68140000000000001</v>
      </c>
      <c r="V123" s="194">
        <f t="shared" si="8"/>
        <v>1.4853999999999998</v>
      </c>
      <c r="W123" s="194">
        <f>IFERROR(INDEX('Ashed teabags wet'!$K$2:$K$2000,MATCH(H123,'Ashed teabags wet'!$A$2:$A$2000,0)),"")</f>
        <v>7.6283618581914308</v>
      </c>
      <c r="X123" s="233">
        <f>IFERROR(INDEX('Ashed teabags wet'!$K$2:$K$2000,MATCH(I123,'Ashed teabags wet'!$A$2:$A$2000,0)),"")</f>
        <v>4.6647230320703335</v>
      </c>
      <c r="Y123" s="194">
        <f t="shared" si="14"/>
        <v>0.62942034229828359</v>
      </c>
      <c r="Z123" s="194">
        <f t="shared" si="9"/>
        <v>1.4161102040816271</v>
      </c>
      <c r="AA123" s="194">
        <f t="shared" si="10"/>
        <v>0.63036435482941433</v>
      </c>
      <c r="AB123" s="194">
        <f t="shared" si="11"/>
        <v>0.41325549152712204</v>
      </c>
      <c r="AC123" s="194">
        <f t="shared" si="2"/>
        <v>0.72998968920350049</v>
      </c>
      <c r="AD123">
        <f t="shared" si="3"/>
        <v>54</v>
      </c>
      <c r="AE123" s="194">
        <f t="shared" si="12"/>
        <v>0.25134874723347467</v>
      </c>
      <c r="AF123" s="194">
        <f t="shared" si="13"/>
        <v>1.9620524307127966E-2</v>
      </c>
      <c r="AG123" s="245" t="str">
        <f>IF(ISNUMBER(SEARCH("C",'WetLitterbags placem_collection'!$X50)),"YES","NO")</f>
        <v>NO</v>
      </c>
      <c r="AH123" s="245" t="str">
        <f>IF(ISNUMBER(SEARCH("H", 'WetLitterbags placem_collection'!$X50)),"YES","NO")</f>
        <v>NO</v>
      </c>
      <c r="AI123" s="245" t="str">
        <f>IF(ISNUMBER(SEARCH("R", 'WetLitterbags placem_collection'!$X50)),"YES","NO")</f>
        <v>YES</v>
      </c>
      <c r="AJ123" s="245" t="str">
        <f>IF(ISNUMBER(SEARCH("C", 'WetLitterbags placem_collection'!$V50)),"YES","NO")</f>
        <v>NO</v>
      </c>
      <c r="AK123" s="245" t="str">
        <f>IF(ISNUMBER(SEARCH("H", 'WetLitterbags placem_collection'!$V50)),"YES","NO")</f>
        <v>NO</v>
      </c>
      <c r="AL123" s="245" t="str">
        <f>IF(ISNUMBER(SEARCH("R", 'WetLitterbags placem_collection'!$V50)),"YES","NO")</f>
        <v>YES</v>
      </c>
    </row>
    <row r="124" spans="2:38">
      <c r="B124" t="str">
        <f>Wetseason!B50</f>
        <v>Wet</v>
      </c>
      <c r="C124" s="253">
        <f>Wetseason!C50</f>
        <v>49</v>
      </c>
      <c r="D124" t="s">
        <v>3109</v>
      </c>
      <c r="E124" t="s">
        <v>22</v>
      </c>
      <c r="F124" s="374">
        <v>1</v>
      </c>
      <c r="G124" s="16">
        <f>'WetLitterbags placem_collection'!E51</f>
        <v>42766</v>
      </c>
      <c r="H124" t="str">
        <f>Wetseason!L50</f>
        <v>G346</v>
      </c>
      <c r="I124" t="str">
        <f>Wetseason!L270</f>
        <v>R28</v>
      </c>
      <c r="J124">
        <f>IFERROR(INDEX('Green_rooibos initial weight'!$C$5:$C$2000,MATCH(H124, 'Green_rooibos initial weight'!$A$5:$A$2000,0)),"")</f>
        <v>2.012</v>
      </c>
      <c r="K124">
        <f>IFERROR(INDEX('Green_rooibos initial weight'!$C$5:$C$2000,MATCH(I124, 'Green_rooibos initial weight'!$A$5:$A$2000,0)),"")</f>
        <v>2.1030000000000002</v>
      </c>
      <c r="L124" s="194">
        <f t="shared" si="4"/>
        <v>1.7622</v>
      </c>
      <c r="M124" s="194">
        <f>AVERAGE(Ashed_controlls!$K$2:$K$11)</f>
        <v>5.5147656768714146</v>
      </c>
      <c r="N124" s="194">
        <f t="shared" si="0"/>
        <v>1.6650187992421719</v>
      </c>
      <c r="O124" s="194">
        <f t="shared" si="5"/>
        <v>1.8532000000000002</v>
      </c>
      <c r="P124" s="194">
        <f>AVERAGE(Ashed_controlls!$K$12:$K$14)</f>
        <v>2.2816647271287041</v>
      </c>
      <c r="Q124" s="194">
        <f t="shared" si="6"/>
        <v>1.8109161892768511</v>
      </c>
      <c r="R124" s="16">
        <f>IF('WetLitterbags placem_collection'!G51="","",'WetLitterbags placem_collection'!G51)</f>
        <v>42820</v>
      </c>
      <c r="S124" s="194">
        <f>IFERROR(INDEX('Both teabags AfterWet'!$C$3:$C$2000,MATCH(H124,'Both teabags AfterWet'!$A$3:$A$2000,0)),"")</f>
        <v>1.0001</v>
      </c>
      <c r="T124" s="194">
        <f>IFERROR(INDEX('Both teabags AfterWet'!$C$3:$C$2000,MATCH(I124,'Both teabags AfterWet'!$A$3:$A$2000,0)),"")</f>
        <v>1.5992999999999999</v>
      </c>
      <c r="U124" s="194">
        <f t="shared" si="7"/>
        <v>0.84949999999999992</v>
      </c>
      <c r="V124" s="194">
        <f t="shared" si="8"/>
        <v>1.4486999999999999</v>
      </c>
      <c r="W124" s="194">
        <f>IFERROR(INDEX('Ashed teabags wet'!$K$2:$K$2000,MATCH(H124,'Ashed teabags wet'!$A$2:$A$2000,0)),"")</f>
        <v>20.217498764212234</v>
      </c>
      <c r="X124" s="233">
        <f>IFERROR(INDEX('Ashed teabags wet'!$K$2:$K$2000,MATCH(I124,'Ashed teabags wet'!$A$2:$A$2000,0)),"")</f>
        <v>11.563275434243886</v>
      </c>
      <c r="Y124" s="194">
        <f t="shared" si="14"/>
        <v>0.67775234799801698</v>
      </c>
      <c r="Z124" s="194">
        <f t="shared" si="9"/>
        <v>1.2811828287841087</v>
      </c>
      <c r="AA124" s="194">
        <f t="shared" si="10"/>
        <v>0.59294612871248431</v>
      </c>
      <c r="AB124" s="194">
        <f t="shared" si="11"/>
        <v>0.38872477796827953</v>
      </c>
      <c r="AC124" s="194">
        <f t="shared" si="2"/>
        <v>0.70747770458428583</v>
      </c>
      <c r="AD124">
        <f t="shared" si="3"/>
        <v>54</v>
      </c>
      <c r="AE124" s="194">
        <f t="shared" si="12"/>
        <v>0.29578844570963858</v>
      </c>
      <c r="AF124" s="194">
        <f t="shared" si="13"/>
        <v>2.5859563297516392E-2</v>
      </c>
      <c r="AG124" s="245" t="str">
        <f>IF(ISNUMBER(SEARCH("C",'WetLitterbags placem_collection'!$X51)),"YES","NO")</f>
        <v>NO</v>
      </c>
      <c r="AH124" s="245" t="str">
        <f>IF(ISNUMBER(SEARCH("H", 'WetLitterbags placem_collection'!$X51)),"YES","NO")</f>
        <v>NO</v>
      </c>
      <c r="AI124" s="245" t="str">
        <f>IF(ISNUMBER(SEARCH("R", 'WetLitterbags placem_collection'!$X51)),"YES","NO")</f>
        <v>YES</v>
      </c>
      <c r="AJ124" s="245" t="str">
        <f>IF(ISNUMBER(SEARCH("C", 'WetLitterbags placem_collection'!$V51)),"YES","NO")</f>
        <v>NO</v>
      </c>
      <c r="AK124" s="245" t="str">
        <f>IF(ISNUMBER(SEARCH("H", 'WetLitterbags placem_collection'!$V51)),"YES","NO")</f>
        <v>NO</v>
      </c>
      <c r="AL124" s="245" t="str">
        <f>IF(ISNUMBER(SEARCH("R", 'WetLitterbags placem_collection'!$V51)),"YES","NO")</f>
        <v>YES</v>
      </c>
    </row>
    <row r="125" spans="2:38">
      <c r="B125" t="str">
        <f>Wetseason!B51</f>
        <v>Wet</v>
      </c>
      <c r="C125" s="253">
        <f>Wetseason!C51</f>
        <v>50</v>
      </c>
      <c r="D125" t="s">
        <v>3109</v>
      </c>
      <c r="E125" t="s">
        <v>22</v>
      </c>
      <c r="F125" s="374">
        <v>2</v>
      </c>
      <c r="G125" s="16">
        <f>'WetLitterbags placem_collection'!E52</f>
        <v>42766</v>
      </c>
      <c r="H125" t="str">
        <f>Wetseason!L51</f>
        <v>G418</v>
      </c>
      <c r="I125" t="str">
        <f>Wetseason!L271</f>
        <v>R5</v>
      </c>
      <c r="J125">
        <f>IFERROR(INDEX('Green_rooibos initial weight'!$C$5:$C$2000,MATCH(H125, 'Green_rooibos initial weight'!$A$5:$A$2000,0)),"")</f>
        <v>2.016</v>
      </c>
      <c r="K125">
        <f>IFERROR(INDEX('Green_rooibos initial weight'!$C$5:$C$2000,MATCH(I125, 'Green_rooibos initial weight'!$A$5:$A$2000,0)),"")</f>
        <v>2.1800000000000002</v>
      </c>
      <c r="L125" s="194">
        <f t="shared" si="4"/>
        <v>1.7662</v>
      </c>
      <c r="M125" s="194">
        <f>AVERAGE(Ashed_controlls!$K$2:$K$11)</f>
        <v>5.5147656768714146</v>
      </c>
      <c r="N125" s="194">
        <f t="shared" si="0"/>
        <v>1.668798208615097</v>
      </c>
      <c r="O125" s="194">
        <f t="shared" si="5"/>
        <v>1.9302000000000001</v>
      </c>
      <c r="P125" s="194">
        <f>AVERAGE(Ashed_controlls!$K$12:$K$14)</f>
        <v>2.2816647271287041</v>
      </c>
      <c r="Q125" s="194">
        <f t="shared" si="6"/>
        <v>1.8861593074369618</v>
      </c>
      <c r="R125" s="16">
        <f>IF('WetLitterbags placem_collection'!G52="","",'WetLitterbags placem_collection'!G52)</f>
        <v>42820</v>
      </c>
      <c r="S125" s="194" t="str">
        <f>IFERROR(INDEX('Both teabags AfterWet'!$C$3:$C$2000,MATCH(H125,'Both teabags AfterWet'!$A$3:$A$2000,0)),"")</f>
        <v/>
      </c>
      <c r="T125" s="194">
        <f>IFERROR(INDEX('Both teabags AfterWet'!$C$3:$C$2000,MATCH(I125,'Both teabags AfterWet'!$A$3:$A$2000,0)),"")</f>
        <v>0.32769999999999999</v>
      </c>
      <c r="U125" s="194" t="str">
        <f t="shared" si="7"/>
        <v/>
      </c>
      <c r="V125" s="194">
        <f t="shared" si="8"/>
        <v>0.17709999999999998</v>
      </c>
      <c r="W125" s="194" t="str">
        <f>IFERROR(INDEX('Ashed teabags wet'!$K$2:$K$2000,MATCH(H125,'Ashed teabags wet'!$A$2:$A$2000,0)),"")</f>
        <v/>
      </c>
      <c r="X125" s="233">
        <f>IFERROR(INDEX('Ashed teabags wet'!$K$2:$K$2000,MATCH(I125,'Ashed teabags wet'!$A$2:$A$2000,0)),"")</f>
        <v>0</v>
      </c>
      <c r="Y125" s="194" t="str">
        <f t="shared" si="14"/>
        <v/>
      </c>
      <c r="Z125" s="194">
        <f t="shared" si="9"/>
        <v>0.17709999999999998</v>
      </c>
      <c r="AA125" s="194" t="str">
        <f t="shared" si="10"/>
        <v/>
      </c>
      <c r="AB125" s="194" t="str">
        <f t="shared" si="11"/>
        <v/>
      </c>
      <c r="AC125" s="194">
        <f t="shared" si="2"/>
        <v>9.3894507903818147E-2</v>
      </c>
      <c r="AD125">
        <f t="shared" si="3"/>
        <v>54</v>
      </c>
      <c r="AE125" s="194" t="str">
        <f t="shared" si="12"/>
        <v/>
      </c>
      <c r="AF125" s="194" t="str">
        <f t="shared" si="13"/>
        <v/>
      </c>
      <c r="AG125" s="245" t="str">
        <f>IF(ISNUMBER(SEARCH("C",'WetLitterbags placem_collection'!$X52)),"YES","NO")</f>
        <v>NO</v>
      </c>
      <c r="AH125" s="245" t="str">
        <f>IF(ISNUMBER(SEARCH("H", 'WetLitterbags placem_collection'!$X52)),"YES","NO")</f>
        <v>NO</v>
      </c>
      <c r="AI125" s="245" t="str">
        <f>IF(ISNUMBER(SEARCH("R", 'WetLitterbags placem_collection'!$X52)),"YES","NO")</f>
        <v>NO</v>
      </c>
      <c r="AJ125" s="245" t="str">
        <f>IF(ISNUMBER(SEARCH("C", 'WetLitterbags placem_collection'!$V52)),"YES","NO")</f>
        <v>NO</v>
      </c>
      <c r="AK125" s="245" t="str">
        <f>IF(ISNUMBER(SEARCH("H", 'WetLitterbags placem_collection'!$V52)),"YES","NO")</f>
        <v>NO</v>
      </c>
      <c r="AL125" s="245" t="str">
        <f>IF(ISNUMBER(SEARCH("R", 'WetLitterbags placem_collection'!$V52)),"YES","NO")</f>
        <v>NO</v>
      </c>
    </row>
    <row r="126" spans="2:38">
      <c r="B126" t="str">
        <f>Wetseason!B52</f>
        <v>Wet</v>
      </c>
      <c r="C126" s="253">
        <f>Wetseason!C52</f>
        <v>51</v>
      </c>
      <c r="D126" t="s">
        <v>3109</v>
      </c>
      <c r="E126" t="s">
        <v>22</v>
      </c>
      <c r="F126" s="374">
        <v>3</v>
      </c>
      <c r="G126" s="16">
        <f>'WetLitterbags placem_collection'!E53</f>
        <v>42766</v>
      </c>
      <c r="H126" t="str">
        <f>Wetseason!L52</f>
        <v>G548</v>
      </c>
      <c r="I126" t="str">
        <f>Wetseason!L272</f>
        <v>R85</v>
      </c>
      <c r="J126">
        <f>IFERROR(INDEX('Green_rooibos initial weight'!$C$5:$C$2000,MATCH(H126, 'Green_rooibos initial weight'!$A$5:$A$2000,0)),"")</f>
        <v>2.169</v>
      </c>
      <c r="K126">
        <f>IFERROR(INDEX('Green_rooibos initial weight'!$C$5:$C$2000,MATCH(I126, 'Green_rooibos initial weight'!$A$5:$A$2000,0)),"")</f>
        <v>2.1930000000000001</v>
      </c>
      <c r="L126" s="194">
        <f t="shared" si="4"/>
        <v>1.9192</v>
      </c>
      <c r="M126" s="194">
        <f>AVERAGE(Ashed_controlls!$K$2:$K$11)</f>
        <v>5.5147656768714146</v>
      </c>
      <c r="N126" s="194">
        <f t="shared" si="0"/>
        <v>1.8133606171294838</v>
      </c>
      <c r="O126" s="194">
        <f t="shared" si="5"/>
        <v>1.9432</v>
      </c>
      <c r="P126" s="194">
        <f>AVERAGE(Ashed_controlls!$K$12:$K$14)</f>
        <v>2.2816647271287041</v>
      </c>
      <c r="Q126" s="194">
        <f t="shared" si="6"/>
        <v>1.8988626910224351</v>
      </c>
      <c r="R126" s="16">
        <f>IF('WetLitterbags placem_collection'!G53="","",'WetLitterbags placem_collection'!G53)</f>
        <v>42820</v>
      </c>
      <c r="S126" s="194">
        <f>IFERROR(INDEX('Both teabags AfterWet'!$C$3:$C$2000,MATCH(H126,'Both teabags AfterWet'!$A$3:$A$2000,0)),"")</f>
        <v>0.86399999999999999</v>
      </c>
      <c r="T126" s="194">
        <f>IFERROR(INDEX('Both teabags AfterWet'!$C$3:$C$2000,MATCH(I126,'Both teabags AfterWet'!$A$3:$A$2000,0)),"")</f>
        <v>1.599</v>
      </c>
      <c r="U126" s="194">
        <f t="shared" si="7"/>
        <v>0.71340000000000003</v>
      </c>
      <c r="V126" s="194">
        <f t="shared" si="8"/>
        <v>1.4483999999999999</v>
      </c>
      <c r="W126" s="194">
        <f>IFERROR(INDEX('Ashed teabags wet'!$K$2:$K$2000,MATCH(H126,'Ashed teabags wet'!$A$2:$A$2000,0)),"")</f>
        <v>8.9955022488745993</v>
      </c>
      <c r="X126" s="233">
        <f>IFERROR(INDEX('Ashed teabags wet'!$K$2:$K$2000,MATCH(I126,'Ashed teabags wet'!$A$2:$A$2000,0)),"")</f>
        <v>6.0009601536244919</v>
      </c>
      <c r="Y126" s="194">
        <f t="shared" si="14"/>
        <v>0.64922608695652861</v>
      </c>
      <c r="Z126" s="194">
        <f t="shared" si="9"/>
        <v>1.3614820931349028</v>
      </c>
      <c r="AA126" s="194">
        <f t="shared" si="10"/>
        <v>0.64197629482863627</v>
      </c>
      <c r="AB126" s="194">
        <f t="shared" si="11"/>
        <v>0.42086806976889218</v>
      </c>
      <c r="AC126" s="194">
        <f t="shared" si="2"/>
        <v>0.71699870642137797</v>
      </c>
      <c r="AD126">
        <f t="shared" si="3"/>
        <v>54</v>
      </c>
      <c r="AE126" s="194">
        <f t="shared" si="12"/>
        <v>0.23755784462157215</v>
      </c>
      <c r="AF126" s="194">
        <f t="shared" si="13"/>
        <v>2.0667251521434116E-2</v>
      </c>
      <c r="AG126" s="245" t="str">
        <f>IF(ISNUMBER(SEARCH("C",'WetLitterbags placem_collection'!$X53)),"YES","NO")</f>
        <v>NO</v>
      </c>
      <c r="AH126" s="245" t="str">
        <f>IF(ISNUMBER(SEARCH("H", 'WetLitterbags placem_collection'!$X53)),"YES","NO")</f>
        <v>NO</v>
      </c>
      <c r="AI126" s="245" t="str">
        <f>IF(ISNUMBER(SEARCH("R", 'WetLitterbags placem_collection'!$X53)),"YES","NO")</f>
        <v>YES</v>
      </c>
      <c r="AJ126" s="245" t="str">
        <f>IF(ISNUMBER(SEARCH("C", 'WetLitterbags placem_collection'!$V53)),"YES","NO")</f>
        <v>NO</v>
      </c>
      <c r="AK126" s="245" t="str">
        <f>IF(ISNUMBER(SEARCH("H", 'WetLitterbags placem_collection'!$V53)),"YES","NO")</f>
        <v>NO</v>
      </c>
      <c r="AL126" s="245" t="str">
        <f>IF(ISNUMBER(SEARCH("R", 'WetLitterbags placem_collection'!$V53)),"YES","NO")</f>
        <v>YES</v>
      </c>
    </row>
    <row r="127" spans="2:38">
      <c r="B127" t="str">
        <f>Wetseason!B53</f>
        <v>Wet</v>
      </c>
      <c r="C127" s="253">
        <f>Wetseason!C53</f>
        <v>52</v>
      </c>
      <c r="D127" t="s">
        <v>3109</v>
      </c>
      <c r="E127" t="s">
        <v>22</v>
      </c>
      <c r="F127" s="375">
        <v>4</v>
      </c>
      <c r="G127" s="16">
        <f>'WetLitterbags placem_collection'!E54</f>
        <v>42766</v>
      </c>
      <c r="H127" t="str">
        <f>Wetseason!L53</f>
        <v>G638</v>
      </c>
      <c r="I127" t="str">
        <f>Wetseason!L273</f>
        <v>R513</v>
      </c>
      <c r="J127">
        <f>IFERROR(INDEX('Green_rooibos initial weight'!$C$5:$C$2000,MATCH(H127, 'Green_rooibos initial weight'!$A$5:$A$2000,0)),"")</f>
        <v>2.0409999999999999</v>
      </c>
      <c r="K127">
        <f>IFERROR(INDEX('Green_rooibos initial weight'!$C$5:$C$2000,MATCH(I127, 'Green_rooibos initial weight'!$A$5:$A$2000,0)),"")</f>
        <v>2.1389999999999998</v>
      </c>
      <c r="L127" s="194">
        <f t="shared" si="4"/>
        <v>1.7911999999999999</v>
      </c>
      <c r="M127" s="194">
        <f>AVERAGE(Ashed_controlls!$K$2:$K$11)</f>
        <v>5.5147656768714146</v>
      </c>
      <c r="N127" s="194">
        <f t="shared" si="0"/>
        <v>1.6924195171958791</v>
      </c>
      <c r="O127" s="194">
        <f t="shared" si="5"/>
        <v>1.8891999999999998</v>
      </c>
      <c r="P127" s="194">
        <f>AVERAGE(Ashed_controlls!$K$12:$K$14)</f>
        <v>2.2816647271287041</v>
      </c>
      <c r="Q127" s="194">
        <f t="shared" si="6"/>
        <v>1.8460947899750844</v>
      </c>
      <c r="R127" s="16">
        <f>IF('WetLitterbags placem_collection'!G54="","",'WetLitterbags placem_collection'!G54)</f>
        <v>42820</v>
      </c>
      <c r="S127" s="194">
        <f>IFERROR(INDEX('Both teabags AfterWet'!$C$3:$C$2000,MATCH(H127,'Both teabags AfterWet'!$A$3:$A$2000,0)),"")</f>
        <v>1.075</v>
      </c>
      <c r="T127" s="194">
        <f>IFERROR(INDEX('Both teabags AfterWet'!$C$3:$C$2000,MATCH(I127,'Both teabags AfterWet'!$A$3:$A$2000,0)),"")</f>
        <v>1.6279999999999999</v>
      </c>
      <c r="U127" s="194">
        <f t="shared" si="7"/>
        <v>0.92439999999999989</v>
      </c>
      <c r="V127" s="194">
        <f t="shared" si="8"/>
        <v>1.4773999999999998</v>
      </c>
      <c r="W127" s="194">
        <f>IFERROR(INDEX('Ashed teabags wet'!$K$2:$K$2000,MATCH(H127,'Ashed teabags wet'!$A$2:$A$2000,0)),"")</f>
        <v>30.654761904762275</v>
      </c>
      <c r="X127" s="233">
        <f>IFERROR(INDEX('Ashed teabags wet'!$K$2:$K$2000,MATCH(I127,'Ashed teabags wet'!$A$2:$A$2000,0)),"")</f>
        <v>11.073500967118232</v>
      </c>
      <c r="Y127" s="194">
        <f t="shared" si="14"/>
        <v>0.64102738095237743</v>
      </c>
      <c r="Z127" s="194">
        <f t="shared" si="9"/>
        <v>1.3138000967117951</v>
      </c>
      <c r="AA127" s="194">
        <f t="shared" si="10"/>
        <v>0.62123612116310434</v>
      </c>
      <c r="AB127" s="194">
        <f t="shared" si="11"/>
        <v>0.40727118632070503</v>
      </c>
      <c r="AC127" s="194">
        <f t="shared" si="2"/>
        <v>0.71166448431909968</v>
      </c>
      <c r="AD127">
        <f t="shared" si="3"/>
        <v>54</v>
      </c>
      <c r="AE127" s="194">
        <f t="shared" si="12"/>
        <v>0.26218987985379527</v>
      </c>
      <c r="AF127" s="194">
        <f t="shared" si="13"/>
        <v>2.2794379720940658E-2</v>
      </c>
      <c r="AG127" s="245" t="str">
        <f>IF(ISNUMBER(SEARCH("C",'WetLitterbags placem_collection'!$X54)),"YES","NO")</f>
        <v>NO</v>
      </c>
      <c r="AH127" s="245" t="str">
        <f>IF(ISNUMBER(SEARCH("H", 'WetLitterbags placem_collection'!$X54)),"YES","NO")</f>
        <v>NO</v>
      </c>
      <c r="AI127" s="245" t="str">
        <f>IF(ISNUMBER(SEARCH("R", 'WetLitterbags placem_collection'!$X54)),"YES","NO")</f>
        <v>YES</v>
      </c>
      <c r="AJ127" s="245" t="str">
        <f>IF(ISNUMBER(SEARCH("C", 'WetLitterbags placem_collection'!$V54)),"YES","NO")</f>
        <v>NO</v>
      </c>
      <c r="AK127" s="245" t="str">
        <f>IF(ISNUMBER(SEARCH("H", 'WetLitterbags placem_collection'!$V54)),"YES","NO")</f>
        <v>YES</v>
      </c>
      <c r="AL127" s="245" t="str">
        <f>IF(ISNUMBER(SEARCH("R", 'WetLitterbags placem_collection'!$V54)),"YES","NO")</f>
        <v>YES</v>
      </c>
    </row>
    <row r="128" spans="2:38">
      <c r="B128" t="str">
        <f>Wetseason!B54</f>
        <v>Wet</v>
      </c>
      <c r="C128" s="253">
        <f>Wetseason!C54</f>
        <v>53</v>
      </c>
      <c r="D128" t="s">
        <v>3109</v>
      </c>
      <c r="E128" t="s">
        <v>22</v>
      </c>
      <c r="F128" s="375">
        <v>5</v>
      </c>
      <c r="G128" s="16">
        <f>'WetLitterbags placem_collection'!E55</f>
        <v>42766</v>
      </c>
      <c r="H128" t="str">
        <f>Wetseason!L54</f>
        <v>G426</v>
      </c>
      <c r="I128" t="str">
        <f>Wetseason!L274</f>
        <v>R399</v>
      </c>
      <c r="J128">
        <f>IFERROR(INDEX('Green_rooibos initial weight'!$C$5:$C$2000,MATCH(H128, 'Green_rooibos initial weight'!$A$5:$A$2000,0)),"")</f>
        <v>2.0230000000000001</v>
      </c>
      <c r="K128">
        <f>IFERROR(INDEX('Green_rooibos initial weight'!$C$5:$C$2000,MATCH(I128, 'Green_rooibos initial weight'!$A$5:$A$2000,0)),"")</f>
        <v>2.1389999999999998</v>
      </c>
      <c r="L128" s="194">
        <f t="shared" si="4"/>
        <v>1.7732000000000001</v>
      </c>
      <c r="M128" s="194">
        <f>AVERAGE(Ashed_controlls!$K$2:$K$11)</f>
        <v>5.5147656768714146</v>
      </c>
      <c r="N128" s="194">
        <f t="shared" si="0"/>
        <v>1.6754121750177162</v>
      </c>
      <c r="O128" s="194">
        <f t="shared" si="5"/>
        <v>1.8891999999999998</v>
      </c>
      <c r="P128" s="194">
        <f>AVERAGE(Ashed_controlls!$K$12:$K$14)</f>
        <v>2.2816647271287041</v>
      </c>
      <c r="Q128" s="194">
        <f t="shared" si="6"/>
        <v>1.8460947899750844</v>
      </c>
      <c r="R128" s="16">
        <f>IF('WetLitterbags placem_collection'!G55="","",'WetLitterbags placem_collection'!G55)</f>
        <v>42820</v>
      </c>
      <c r="S128" s="194" t="str">
        <f>IFERROR(INDEX('Both teabags AfterWet'!$C$3:$C$2000,MATCH(H128,'Both teabags AfterWet'!$A$3:$A$2000,0)),"")</f>
        <v/>
      </c>
      <c r="T128" s="194" t="str">
        <f>IFERROR(INDEX('Both teabags AfterWet'!$C$3:$C$2000,MATCH(I128,'Both teabags AfterWet'!$A$3:$A$2000,0)),"")</f>
        <v/>
      </c>
      <c r="U128" s="194" t="str">
        <f t="shared" si="7"/>
        <v/>
      </c>
      <c r="V128" s="194" t="str">
        <f t="shared" si="8"/>
        <v/>
      </c>
      <c r="W128" s="194" t="str">
        <f>IFERROR(INDEX('Ashed teabags wet'!$K$2:$K$2000,MATCH(H128,'Ashed teabags wet'!$A$2:$A$2000,0)),"")</f>
        <v/>
      </c>
      <c r="X128" s="233" t="str">
        <f>IFERROR(INDEX('Ashed teabags wet'!$K$2:$K$2000,MATCH(I128,'Ashed teabags wet'!$A$2:$A$2000,0)),"")</f>
        <v/>
      </c>
      <c r="Y128" s="194" t="str">
        <f t="shared" si="14"/>
        <v/>
      </c>
      <c r="Z128" s="194" t="str">
        <f t="shared" si="9"/>
        <v/>
      </c>
      <c r="AA128" s="194" t="str">
        <f t="shared" si="10"/>
        <v/>
      </c>
      <c r="AB128" s="194" t="str">
        <f t="shared" si="11"/>
        <v/>
      </c>
      <c r="AC128" s="194" t="str">
        <f t="shared" si="2"/>
        <v/>
      </c>
      <c r="AD128">
        <f t="shared" si="3"/>
        <v>54</v>
      </c>
      <c r="AE128" s="194" t="str">
        <f t="shared" si="12"/>
        <v/>
      </c>
      <c r="AF128" s="194" t="str">
        <f t="shared" si="13"/>
        <v/>
      </c>
      <c r="AG128" s="245" t="str">
        <f>IF(ISNUMBER(SEARCH("C",'WetLitterbags placem_collection'!$X55)),"YES","NO")</f>
        <v>NO</v>
      </c>
      <c r="AH128" s="245" t="str">
        <f>IF(ISNUMBER(SEARCH("H", 'WetLitterbags placem_collection'!$X55)),"YES","NO")</f>
        <v>NO</v>
      </c>
      <c r="AI128" s="245" t="str">
        <f>IF(ISNUMBER(SEARCH("R", 'WetLitterbags placem_collection'!$X55)),"YES","NO")</f>
        <v>NO</v>
      </c>
      <c r="AJ128" s="245" t="str">
        <f>IF(ISNUMBER(SEARCH("C", 'WetLitterbags placem_collection'!$V55)),"YES","NO")</f>
        <v>NO</v>
      </c>
      <c r="AK128" s="245" t="str">
        <f>IF(ISNUMBER(SEARCH("H", 'WetLitterbags placem_collection'!$V55)),"YES","NO")</f>
        <v>NO</v>
      </c>
      <c r="AL128" s="245" t="str">
        <f>IF(ISNUMBER(SEARCH("R", 'WetLitterbags placem_collection'!$V55)),"YES","NO")</f>
        <v>NO</v>
      </c>
    </row>
    <row r="129" spans="2:38">
      <c r="B129" t="str">
        <f>Wetseason!B55</f>
        <v>Wet</v>
      </c>
      <c r="C129" s="253">
        <f>Wetseason!C55</f>
        <v>54</v>
      </c>
      <c r="D129" t="s">
        <v>3109</v>
      </c>
      <c r="E129" t="s">
        <v>22</v>
      </c>
      <c r="F129" s="375">
        <v>6</v>
      </c>
      <c r="G129" s="16">
        <f>'WetLitterbags placem_collection'!E56</f>
        <v>42766</v>
      </c>
      <c r="H129" t="str">
        <f>Wetseason!L55</f>
        <v>G589</v>
      </c>
      <c r="I129" t="str">
        <f>Wetseason!L275</f>
        <v>R400</v>
      </c>
      <c r="J129">
        <f>IFERROR(INDEX('Green_rooibos initial weight'!$C$5:$C$2000,MATCH(H129, 'Green_rooibos initial weight'!$A$5:$A$2000,0)),"")</f>
        <v>2.0419999999999998</v>
      </c>
      <c r="K129">
        <f>IFERROR(INDEX('Green_rooibos initial weight'!$C$5:$C$2000,MATCH(I129, 'Green_rooibos initial weight'!$A$5:$A$2000,0)),"")</f>
        <v>2.181</v>
      </c>
      <c r="L129" s="194">
        <f t="shared" si="4"/>
        <v>1.7921999999999998</v>
      </c>
      <c r="M129" s="194">
        <f>AVERAGE(Ashed_controlls!$K$2:$K$11)</f>
        <v>5.5147656768714146</v>
      </c>
      <c r="N129" s="194">
        <f t="shared" si="0"/>
        <v>1.6933643695391103</v>
      </c>
      <c r="O129" s="194">
        <f t="shared" si="5"/>
        <v>1.9312</v>
      </c>
      <c r="P129" s="194">
        <f>AVERAGE(Ashed_controlls!$K$12:$K$14)</f>
        <v>2.2816647271287041</v>
      </c>
      <c r="Q129" s="194">
        <f t="shared" si="6"/>
        <v>1.8871364907896906</v>
      </c>
      <c r="R129" s="16">
        <f>IF('WetLitterbags placem_collection'!G56="","",'WetLitterbags placem_collection'!G56)</f>
        <v>42820</v>
      </c>
      <c r="S129" s="194" t="str">
        <f>IFERROR(INDEX('Both teabags AfterWet'!$C$3:$C$2000,MATCH(H129,'Both teabags AfterWet'!$A$3:$A$2000,0)),"")</f>
        <v/>
      </c>
      <c r="T129" s="194" t="str">
        <f>IFERROR(INDEX('Both teabags AfterWet'!$C$3:$C$2000,MATCH(I129,'Both teabags AfterWet'!$A$3:$A$2000,0)),"")</f>
        <v/>
      </c>
      <c r="U129" s="194" t="str">
        <f t="shared" si="7"/>
        <v/>
      </c>
      <c r="V129" s="194" t="str">
        <f t="shared" si="8"/>
        <v/>
      </c>
      <c r="W129" s="194" t="str">
        <f>IFERROR(INDEX('Ashed teabags wet'!$K$2:$K$2000,MATCH(H129,'Ashed teabags wet'!$A$2:$A$2000,0)),"")</f>
        <v/>
      </c>
      <c r="X129" s="233" t="str">
        <f>IFERROR(INDEX('Ashed teabags wet'!$K$2:$K$2000,MATCH(I129,'Ashed teabags wet'!$A$2:$A$2000,0)),"")</f>
        <v/>
      </c>
      <c r="Y129" s="194" t="str">
        <f t="shared" si="14"/>
        <v/>
      </c>
      <c r="Z129" s="194" t="str">
        <f t="shared" si="9"/>
        <v/>
      </c>
      <c r="AA129" s="194" t="str">
        <f t="shared" si="10"/>
        <v/>
      </c>
      <c r="AB129" s="194" t="str">
        <f t="shared" si="11"/>
        <v/>
      </c>
      <c r="AC129" s="194" t="str">
        <f t="shared" si="2"/>
        <v/>
      </c>
      <c r="AD129">
        <f t="shared" si="3"/>
        <v>54</v>
      </c>
      <c r="AE129" s="194" t="str">
        <f t="shared" si="12"/>
        <v/>
      </c>
      <c r="AF129" s="194" t="str">
        <f t="shared" si="13"/>
        <v/>
      </c>
      <c r="AG129" s="245" t="str">
        <f>IF(ISNUMBER(SEARCH("C",'WetLitterbags placem_collection'!$X56)),"YES","NO")</f>
        <v>NO</v>
      </c>
      <c r="AH129" s="245" t="str">
        <f>IF(ISNUMBER(SEARCH("H", 'WetLitterbags placem_collection'!$X56)),"YES","NO")</f>
        <v>NO</v>
      </c>
      <c r="AI129" s="245" t="str">
        <f>IF(ISNUMBER(SEARCH("R", 'WetLitterbags placem_collection'!$X56)),"YES","NO")</f>
        <v>NO</v>
      </c>
      <c r="AJ129" s="245" t="str">
        <f>IF(ISNUMBER(SEARCH("C", 'WetLitterbags placem_collection'!$V56)),"YES","NO")</f>
        <v>NO</v>
      </c>
      <c r="AK129" s="245" t="str">
        <f>IF(ISNUMBER(SEARCH("H", 'WetLitterbags placem_collection'!$V56)),"YES","NO")</f>
        <v>NO</v>
      </c>
      <c r="AL129" s="245" t="str">
        <f>IF(ISNUMBER(SEARCH("R", 'WetLitterbags placem_collection'!$V56)),"YES","NO")</f>
        <v>NO</v>
      </c>
    </row>
    <row r="130" spans="2:38">
      <c r="B130" t="str">
        <f>Wetseason!B56</f>
        <v>Wet</v>
      </c>
      <c r="C130" s="253">
        <f>Wetseason!C56</f>
        <v>55</v>
      </c>
      <c r="D130" t="s">
        <v>3109</v>
      </c>
      <c r="E130" t="s">
        <v>22</v>
      </c>
      <c r="F130" s="375">
        <v>7</v>
      </c>
      <c r="G130" s="16">
        <f>'WetLitterbags placem_collection'!E57</f>
        <v>42766</v>
      </c>
      <c r="H130" t="str">
        <f>Wetseason!L56</f>
        <v>G622</v>
      </c>
      <c r="I130" t="str">
        <f>Wetseason!L276</f>
        <v>R19</v>
      </c>
      <c r="J130">
        <f>IFERROR(INDEX('Green_rooibos initial weight'!$C$5:$C$2000,MATCH(H130, 'Green_rooibos initial weight'!$A$5:$A$2000,0)),"")</f>
        <v>1.978</v>
      </c>
      <c r="K130">
        <f>IFERROR(INDEX('Green_rooibos initial weight'!$C$5:$C$2000,MATCH(I130, 'Green_rooibos initial weight'!$A$5:$A$2000,0)),"")</f>
        <v>2.2589999999999999</v>
      </c>
      <c r="L130" s="194">
        <f t="shared" si="4"/>
        <v>1.7282</v>
      </c>
      <c r="M130" s="194">
        <f>AVERAGE(Ashed_controlls!$K$2:$K$11)</f>
        <v>5.5147656768714146</v>
      </c>
      <c r="N130" s="194">
        <f t="shared" si="0"/>
        <v>1.6328938195723082</v>
      </c>
      <c r="O130" s="194">
        <f t="shared" si="5"/>
        <v>2.0091999999999999</v>
      </c>
      <c r="P130" s="194">
        <f>AVERAGE(Ashed_controlls!$K$12:$K$14)</f>
        <v>2.2816647271287041</v>
      </c>
      <c r="Q130" s="194">
        <f t="shared" si="6"/>
        <v>1.9633567923025299</v>
      </c>
      <c r="R130" s="16">
        <f>IF('WetLitterbags placem_collection'!G57="","",'WetLitterbags placem_collection'!G57)</f>
        <v>42820</v>
      </c>
      <c r="S130" s="194" t="str">
        <f>IFERROR(INDEX('Both teabags AfterWet'!$C$3:$C$2000,MATCH(H130,'Both teabags AfterWet'!$A$3:$A$2000,0)),"")</f>
        <v/>
      </c>
      <c r="T130" s="194">
        <f>IFERROR(INDEX('Both teabags AfterWet'!$C$3:$C$2000,MATCH(I130,'Both teabags AfterWet'!$A$3:$A$2000,0)),"")</f>
        <v>0.22600000000000001</v>
      </c>
      <c r="U130" s="194" t="str">
        <f t="shared" si="7"/>
        <v/>
      </c>
      <c r="V130" s="194">
        <f t="shared" si="8"/>
        <v>7.5399999999999995E-2</v>
      </c>
      <c r="W130" s="194" t="str">
        <f>IFERROR(INDEX('Ashed teabags wet'!$K$2:$K$2000,MATCH(H130,'Ashed teabags wet'!$A$2:$A$2000,0)),"")</f>
        <v/>
      </c>
      <c r="X130" s="233">
        <f>IFERROR(INDEX('Ashed teabags wet'!$K$2:$K$2000,MATCH(I130,'Ashed teabags wet'!$A$2:$A$2000,0)),"")</f>
        <v>0</v>
      </c>
      <c r="Y130" s="194" t="str">
        <f t="shared" si="14"/>
        <v/>
      </c>
      <c r="Z130" s="194">
        <f t="shared" si="9"/>
        <v>7.5399999999999995E-2</v>
      </c>
      <c r="AA130" s="194" t="str">
        <f t="shared" si="10"/>
        <v/>
      </c>
      <c r="AB130" s="194" t="str">
        <f t="shared" si="11"/>
        <v/>
      </c>
      <c r="AC130" s="194">
        <f t="shared" si="2"/>
        <v>3.8403615835700712E-2</v>
      </c>
      <c r="AD130">
        <f t="shared" si="3"/>
        <v>54</v>
      </c>
      <c r="AE130" s="194" t="str">
        <f t="shared" si="12"/>
        <v/>
      </c>
      <c r="AF130" s="194" t="str">
        <f t="shared" si="13"/>
        <v/>
      </c>
      <c r="AG130" s="245" t="str">
        <f>IF(ISNUMBER(SEARCH("C",'WetLitterbags placem_collection'!$X57)),"YES","NO")</f>
        <v>NO</v>
      </c>
      <c r="AH130" s="245" t="str">
        <f>IF(ISNUMBER(SEARCH("H", 'WetLitterbags placem_collection'!$X57)),"YES","NO")</f>
        <v>NO</v>
      </c>
      <c r="AI130" s="245" t="str">
        <f>IF(ISNUMBER(SEARCH("R", 'WetLitterbags placem_collection'!$X57)),"YES","NO")</f>
        <v>YES</v>
      </c>
      <c r="AJ130" s="245" t="str">
        <f>IF(ISNUMBER(SEARCH("C", 'WetLitterbags placem_collection'!$V57)),"YES","NO")</f>
        <v>NO</v>
      </c>
      <c r="AK130" s="245" t="str">
        <f>IF(ISNUMBER(SEARCH("H", 'WetLitterbags placem_collection'!$V57)),"YES","NO")</f>
        <v>NO</v>
      </c>
      <c r="AL130" s="245" t="str">
        <f>IF(ISNUMBER(SEARCH("R", 'WetLitterbags placem_collection'!$V57)),"YES","NO")</f>
        <v>NO</v>
      </c>
    </row>
    <row r="131" spans="2:38">
      <c r="B131" t="str">
        <f>Wetseason!B57</f>
        <v>Wet</v>
      </c>
      <c r="C131" s="253">
        <f>Wetseason!C57</f>
        <v>56</v>
      </c>
      <c r="D131" t="s">
        <v>3109</v>
      </c>
      <c r="E131" t="s">
        <v>22</v>
      </c>
      <c r="F131" s="375">
        <v>8</v>
      </c>
      <c r="G131" s="16">
        <f>'WetLitterbags placem_collection'!E58</f>
        <v>42766</v>
      </c>
      <c r="H131" t="str">
        <f>Wetseason!L57</f>
        <v>G538</v>
      </c>
      <c r="I131" t="str">
        <f>Wetseason!L277</f>
        <v>R60</v>
      </c>
      <c r="J131">
        <f>IFERROR(INDEX('Green_rooibos initial weight'!$C$5:$C$2000,MATCH(H131, 'Green_rooibos initial weight'!$A$5:$A$2000,0)),"")</f>
        <v>2.1760000000000002</v>
      </c>
      <c r="K131">
        <f>IFERROR(INDEX('Green_rooibos initial weight'!$C$5:$C$2000,MATCH(I131, 'Green_rooibos initial weight'!$A$5:$A$2000,0)),"")</f>
        <v>2.3220000000000001</v>
      </c>
      <c r="L131" s="194">
        <f t="shared" si="4"/>
        <v>1.9262000000000001</v>
      </c>
      <c r="M131" s="194">
        <f>AVERAGE(Ashed_controlls!$K$2:$K$11)</f>
        <v>5.5147656768714146</v>
      </c>
      <c r="N131" s="194">
        <f t="shared" si="0"/>
        <v>1.8199745835321028</v>
      </c>
      <c r="O131" s="194">
        <f t="shared" si="5"/>
        <v>2.0722</v>
      </c>
      <c r="P131" s="194">
        <f>AVERAGE(Ashed_controlls!$K$12:$K$14)</f>
        <v>2.2816647271287041</v>
      </c>
      <c r="Q131" s="194">
        <f t="shared" si="6"/>
        <v>2.0249193435244393</v>
      </c>
      <c r="R131" s="16">
        <f>IF('WetLitterbags placem_collection'!G58="","",'WetLitterbags placem_collection'!G58)</f>
        <v>42820</v>
      </c>
      <c r="S131" s="194">
        <f>IFERROR(INDEX('Both teabags AfterWet'!$C$3:$C$2000,MATCH(H131,'Both teabags AfterWet'!$A$3:$A$2000,0)),"")</f>
        <v>0.81</v>
      </c>
      <c r="T131" s="194">
        <f>IFERROR(INDEX('Both teabags AfterWet'!$C$3:$C$2000,MATCH(I131,'Both teabags AfterWet'!$A$3:$A$2000,0)),"")</f>
        <v>2.2909999999999999</v>
      </c>
      <c r="U131" s="194">
        <f t="shared" si="7"/>
        <v>0.65939999999999999</v>
      </c>
      <c r="V131" s="194">
        <f t="shared" si="8"/>
        <v>2.1404000000000001</v>
      </c>
      <c r="W131" s="194">
        <f>IFERROR(INDEX('Ashed teabags wet'!$K$2:$K$2000,MATCH(H131,'Ashed teabags wet'!$A$2:$A$2000,0)),"")</f>
        <v>21.852387843704392</v>
      </c>
      <c r="X131" s="233">
        <f>IFERROR(INDEX('Ashed teabags wet'!$K$2:$K$2000,MATCH(I131,'Ashed teabags wet'!$A$2:$A$2000,0)),"")</f>
        <v>90.284005979073754</v>
      </c>
      <c r="Y131" s="194">
        <f t="shared" si="14"/>
        <v>0.51530535455861326</v>
      </c>
      <c r="Z131" s="194">
        <f t="shared" si="9"/>
        <v>0.20796113602390531</v>
      </c>
      <c r="AA131" s="194">
        <f t="shared" si="10"/>
        <v>0.71686123574399696</v>
      </c>
      <c r="AB131" s="194">
        <f t="shared" si="11"/>
        <v>0.46996128519083891</v>
      </c>
      <c r="AC131" s="194">
        <f t="shared" si="2"/>
        <v>0.10270094791130893</v>
      </c>
      <c r="AD131">
        <f t="shared" si="3"/>
        <v>54</v>
      </c>
      <c r="AE131" s="194">
        <f t="shared" si="12"/>
        <v>0.14862086016152376</v>
      </c>
      <c r="AF131" s="194" t="str">
        <f t="shared" si="13"/>
        <v/>
      </c>
      <c r="AG131" s="245" t="str">
        <f>IF(ISNUMBER(SEARCH("C",'WetLitterbags placem_collection'!$X58)),"YES","NO")</f>
        <v>NO</v>
      </c>
      <c r="AH131" s="245" t="str">
        <f>IF(ISNUMBER(SEARCH("H", 'WetLitterbags placem_collection'!$X58)),"YES","NO")</f>
        <v>NO</v>
      </c>
      <c r="AI131" s="245" t="str">
        <f>IF(ISNUMBER(SEARCH("R", 'WetLitterbags placem_collection'!$X58)),"YES","NO")</f>
        <v>YES</v>
      </c>
      <c r="AJ131" s="245" t="str">
        <f>IF(ISNUMBER(SEARCH("C", 'WetLitterbags placem_collection'!$V58)),"YES","NO")</f>
        <v>NO</v>
      </c>
      <c r="AK131" s="245" t="str">
        <f>IF(ISNUMBER(SEARCH("H", 'WetLitterbags placem_collection'!$V58)),"YES","NO")</f>
        <v>YES</v>
      </c>
      <c r="AL131" s="245" t="str">
        <f>IF(ISNUMBER(SEARCH("R", 'WetLitterbags placem_collection'!$V58)),"YES","NO")</f>
        <v>YES</v>
      </c>
    </row>
    <row r="132" spans="2:38">
      <c r="B132" t="str">
        <f>Wetseason!B58</f>
        <v>Wet</v>
      </c>
      <c r="C132" s="253">
        <f>Wetseason!C58</f>
        <v>57</v>
      </c>
      <c r="D132" t="s">
        <v>3110</v>
      </c>
      <c r="E132" t="s">
        <v>22</v>
      </c>
      <c r="F132" s="374">
        <v>1</v>
      </c>
      <c r="G132" s="16">
        <f>'WetLitterbags placem_collection'!E59</f>
        <v>42766</v>
      </c>
      <c r="H132" t="str">
        <f>Wetseason!L58</f>
        <v>G546</v>
      </c>
      <c r="I132" t="str">
        <f>Wetseason!L278</f>
        <v>R161</v>
      </c>
      <c r="J132">
        <f>IFERROR(INDEX('Green_rooibos initial weight'!$C$5:$C$2000,MATCH(H132, 'Green_rooibos initial weight'!$A$5:$A$2000,0)),"")</f>
        <v>2.1429999999999998</v>
      </c>
      <c r="K132">
        <f>IFERROR(INDEX('Green_rooibos initial weight'!$C$5:$C$2000,MATCH(I132, 'Green_rooibos initial weight'!$A$5:$A$2000,0)),"")</f>
        <v>2.1829999999999998</v>
      </c>
      <c r="L132" s="194">
        <f t="shared" si="4"/>
        <v>1.8931999999999998</v>
      </c>
      <c r="M132" s="194">
        <f>AVERAGE(Ashed_controlls!$K$2:$K$11)</f>
        <v>5.5147656768714146</v>
      </c>
      <c r="N132" s="194">
        <f t="shared" si="0"/>
        <v>1.7887944562054701</v>
      </c>
      <c r="O132" s="194">
        <f t="shared" si="5"/>
        <v>1.9331999999999998</v>
      </c>
      <c r="P132" s="194">
        <f>AVERAGE(Ashed_controlls!$K$12:$K$14)</f>
        <v>2.2816647271287041</v>
      </c>
      <c r="Q132" s="194">
        <f t="shared" si="6"/>
        <v>1.8890908574951477</v>
      </c>
      <c r="R132" s="16">
        <f>IF('WetLitterbags placem_collection'!G59="","",'WetLitterbags placem_collection'!G59)</f>
        <v>42820</v>
      </c>
      <c r="S132" s="194">
        <f>IFERROR(INDEX('Both teabags AfterWet'!$C$3:$C$2000,MATCH(H132,'Both teabags AfterWet'!$A$3:$A$2000,0)),"")</f>
        <v>0.88660000000000005</v>
      </c>
      <c r="T132" s="194">
        <f>IFERROR(INDEX('Both teabags AfterWet'!$C$3:$C$2000,MATCH(I132,'Both teabags AfterWet'!$A$3:$A$2000,0)),"")</f>
        <v>1.266</v>
      </c>
      <c r="U132" s="194">
        <f t="shared" si="7"/>
        <v>0.73599999999999999</v>
      </c>
      <c r="V132" s="194">
        <f t="shared" si="8"/>
        <v>1.1153999999999999</v>
      </c>
      <c r="W132" s="194">
        <f>IFERROR(INDEX('Ashed teabags wet'!$K$2:$K$2000,MATCH(H132,'Ashed teabags wet'!$A$2:$A$2000,0)),"")</f>
        <v>16.553398058252881</v>
      </c>
      <c r="X132" s="233">
        <f>IFERROR(INDEX('Ashed teabags wet'!$K$2:$K$2000,MATCH(I132,'Ashed teabags wet'!$A$2:$A$2000,0)),"")</f>
        <v>9.63680387409185</v>
      </c>
      <c r="Y132" s="194">
        <f t="shared" si="14"/>
        <v>0.61416699029125876</v>
      </c>
      <c r="Z132" s="194">
        <f t="shared" si="9"/>
        <v>1.0079110895883794</v>
      </c>
      <c r="AA132" s="194">
        <f t="shared" si="10"/>
        <v>0.65665871326878023</v>
      </c>
      <c r="AB132" s="194">
        <f t="shared" si="11"/>
        <v>0.43049359824746641</v>
      </c>
      <c r="AC132" s="194">
        <f t="shared" si="2"/>
        <v>0.53354293976353562</v>
      </c>
      <c r="AD132">
        <f t="shared" si="3"/>
        <v>54</v>
      </c>
      <c r="AE132" s="194">
        <f t="shared" si="12"/>
        <v>0.22012029302995217</v>
      </c>
      <c r="AF132" s="194" t="str">
        <f t="shared" si="13"/>
        <v/>
      </c>
      <c r="AG132" s="245" t="str">
        <f>IF(ISNUMBER(SEARCH("C",'WetLitterbags placem_collection'!$X59)),"YES","NO")</f>
        <v>NO</v>
      </c>
      <c r="AH132" s="245" t="str">
        <f>IF(ISNUMBER(SEARCH("H", 'WetLitterbags placem_collection'!$X59)),"YES","NO")</f>
        <v>NO</v>
      </c>
      <c r="AI132" s="245" t="str">
        <f>IF(ISNUMBER(SEARCH("R", 'WetLitterbags placem_collection'!$X59)),"YES","NO")</f>
        <v>YES</v>
      </c>
      <c r="AJ132" s="245" t="str">
        <f>IF(ISNUMBER(SEARCH("C", 'WetLitterbags placem_collection'!$V59)),"YES","NO")</f>
        <v>NO</v>
      </c>
      <c r="AK132" s="245" t="str">
        <f>IF(ISNUMBER(SEARCH("H", 'WetLitterbags placem_collection'!$V59)),"YES","NO")</f>
        <v>NO</v>
      </c>
      <c r="AL132" s="245" t="str">
        <f>IF(ISNUMBER(SEARCH("R", 'WetLitterbags placem_collection'!$V59)),"YES","NO")</f>
        <v>YES</v>
      </c>
    </row>
    <row r="133" spans="2:38">
      <c r="B133" t="str">
        <f>Wetseason!B59</f>
        <v>Wet</v>
      </c>
      <c r="C133" s="253">
        <f>Wetseason!C59</f>
        <v>58</v>
      </c>
      <c r="D133" t="s">
        <v>3110</v>
      </c>
      <c r="E133" t="s">
        <v>22</v>
      </c>
      <c r="F133" s="374">
        <v>2</v>
      </c>
      <c r="G133" s="16">
        <f>'WetLitterbags placem_collection'!E60</f>
        <v>42766</v>
      </c>
      <c r="H133" t="str">
        <f>Wetseason!L59</f>
        <v>G513</v>
      </c>
      <c r="I133" t="str">
        <f>Wetseason!L279</f>
        <v>R48</v>
      </c>
      <c r="J133">
        <f>IFERROR(INDEX('Green_rooibos initial weight'!$C$5:$C$2000,MATCH(H133, 'Green_rooibos initial weight'!$A$5:$A$2000,0)),"")</f>
        <v>2.0179999999999998</v>
      </c>
      <c r="K133">
        <f>IFERROR(INDEX('Green_rooibos initial weight'!$C$5:$C$2000,MATCH(I133, 'Green_rooibos initial weight'!$A$5:$A$2000,0)),"")</f>
        <v>2.2149999999999999</v>
      </c>
      <c r="L133" s="194">
        <f t="shared" si="4"/>
        <v>1.7681999999999998</v>
      </c>
      <c r="M133" s="194">
        <f>AVERAGE(Ashed_controlls!$K$2:$K$11)</f>
        <v>5.5147656768714146</v>
      </c>
      <c r="N133" s="194">
        <f t="shared" si="0"/>
        <v>1.6706879133015595</v>
      </c>
      <c r="O133" s="194">
        <f t="shared" si="5"/>
        <v>1.9651999999999998</v>
      </c>
      <c r="P133" s="194">
        <f>AVERAGE(Ashed_controlls!$K$12:$K$14)</f>
        <v>2.2816647271287041</v>
      </c>
      <c r="Q133" s="194">
        <f t="shared" si="6"/>
        <v>1.9203607247824666</v>
      </c>
      <c r="R133" s="16">
        <f>IF('WetLitterbags placem_collection'!G60="","",'WetLitterbags placem_collection'!G60)</f>
        <v>42820</v>
      </c>
      <c r="S133" s="194">
        <f>IFERROR(INDEX('Both teabags AfterWet'!$C$3:$C$2000,MATCH(H133,'Both teabags AfterWet'!$A$3:$A$2000,0)),"")</f>
        <v>0.93279999999999996</v>
      </c>
      <c r="T133" s="194">
        <f>IFERROR(INDEX('Both teabags AfterWet'!$C$3:$C$2000,MATCH(I133,'Both teabags AfterWet'!$A$3:$A$2000,0)),"")</f>
        <v>0.74880000000000002</v>
      </c>
      <c r="U133" s="194">
        <f t="shared" si="7"/>
        <v>0.78220000000000001</v>
      </c>
      <c r="V133" s="194">
        <f t="shared" si="8"/>
        <v>0.59820000000000007</v>
      </c>
      <c r="W133" s="194">
        <f>IFERROR(INDEX('Ashed teabags wet'!$K$2:$K$2000,MATCH(H133,'Ashed teabags wet'!$A$2:$A$2000,0)),"")</f>
        <v>17.757936507936094</v>
      </c>
      <c r="X133" s="233">
        <f>IFERROR(INDEX('Ashed teabags wet'!$K$2:$K$2000,MATCH(I133,'Ashed teabags wet'!$A$2:$A$2000,0)),"")</f>
        <v>25.956144824069355</v>
      </c>
      <c r="Y133" s="194">
        <f t="shared" si="14"/>
        <v>0.6432974206349239</v>
      </c>
      <c r="Z133" s="194">
        <f t="shared" si="9"/>
        <v>0.44293034166241718</v>
      </c>
      <c r="AA133" s="194">
        <f t="shared" si="10"/>
        <v>0.61495057484215576</v>
      </c>
      <c r="AB133" s="194">
        <f t="shared" si="11"/>
        <v>0.40315049562098582</v>
      </c>
      <c r="AC133" s="194">
        <f t="shared" si="2"/>
        <v>0.23064955242332982</v>
      </c>
      <c r="AD133">
        <f t="shared" si="3"/>
        <v>54</v>
      </c>
      <c r="AE133" s="194">
        <f t="shared" si="12"/>
        <v>0.26965489923734465</v>
      </c>
      <c r="AF133" s="194" t="str">
        <f t="shared" si="13"/>
        <v/>
      </c>
      <c r="AG133" s="245" t="str">
        <f>IF(ISNUMBER(SEARCH("C",'WetLitterbags placem_collection'!$X60)),"YES","NO")</f>
        <v>NO</v>
      </c>
      <c r="AH133" s="245" t="str">
        <f>IF(ISNUMBER(SEARCH("H", 'WetLitterbags placem_collection'!$X60)),"YES","NO")</f>
        <v>NO</v>
      </c>
      <c r="AI133" s="245" t="str">
        <f>IF(ISNUMBER(SEARCH("R", 'WetLitterbags placem_collection'!$X60)),"YES","NO")</f>
        <v>YES</v>
      </c>
      <c r="AJ133" s="245" t="str">
        <f>IF(ISNUMBER(SEARCH("C", 'WetLitterbags placem_collection'!$V60)),"YES","NO")</f>
        <v>NO</v>
      </c>
      <c r="AK133" s="245" t="str">
        <f>IF(ISNUMBER(SEARCH("H", 'WetLitterbags placem_collection'!$V60)),"YES","NO")</f>
        <v>YES</v>
      </c>
      <c r="AL133" s="245" t="str">
        <f>IF(ISNUMBER(SEARCH("R", 'WetLitterbags placem_collection'!$V60)),"YES","NO")</f>
        <v>YES</v>
      </c>
    </row>
    <row r="134" spans="2:38">
      <c r="B134" t="str">
        <f>Wetseason!B60</f>
        <v>Wet</v>
      </c>
      <c r="C134" s="253">
        <f>Wetseason!C60</f>
        <v>59</v>
      </c>
      <c r="D134" t="s">
        <v>3110</v>
      </c>
      <c r="E134" t="s">
        <v>22</v>
      </c>
      <c r="F134" s="374">
        <v>3</v>
      </c>
      <c r="G134" s="16">
        <f>'WetLitterbags placem_collection'!E61</f>
        <v>42766</v>
      </c>
      <c r="H134" t="str">
        <f>Wetseason!L60</f>
        <v>G489</v>
      </c>
      <c r="I134" t="str">
        <f>Wetseason!L280</f>
        <v>R23</v>
      </c>
      <c r="J134">
        <f>IFERROR(INDEX('Green_rooibos initial weight'!$C$5:$C$2000,MATCH(H134, 'Green_rooibos initial weight'!$A$5:$A$2000,0)),"")</f>
        <v>1.9</v>
      </c>
      <c r="K134">
        <f>IFERROR(INDEX('Green_rooibos initial weight'!$C$5:$C$2000,MATCH(I134, 'Green_rooibos initial weight'!$A$5:$A$2000,0)),"")</f>
        <v>2.2770000000000001</v>
      </c>
      <c r="L134" s="194">
        <f t="shared" si="4"/>
        <v>1.6501999999999999</v>
      </c>
      <c r="M134" s="194">
        <f>AVERAGE(Ashed_controlls!$K$2:$K$11)</f>
        <v>5.5147656768714146</v>
      </c>
      <c r="N134" s="194">
        <f t="shared" si="0"/>
        <v>1.5591953368002678</v>
      </c>
      <c r="O134" s="194">
        <f t="shared" si="5"/>
        <v>2.0272000000000001</v>
      </c>
      <c r="P134" s="194">
        <f>AVERAGE(Ashed_controlls!$K$12:$K$14)</f>
        <v>2.2816647271287041</v>
      </c>
      <c r="Q134" s="194">
        <f t="shared" si="6"/>
        <v>1.9809460926516471</v>
      </c>
      <c r="R134" s="16">
        <f>IF('WetLitterbags placem_collection'!G61="","",'WetLitterbags placem_collection'!G61)</f>
        <v>42820</v>
      </c>
      <c r="S134" s="194">
        <f>IFERROR(INDEX('Both teabags AfterWet'!$C$3:$C$2000,MATCH(H134,'Both teabags AfterWet'!$A$3:$A$2000,0)),"")</f>
        <v>0.88400000000000001</v>
      </c>
      <c r="T134" s="194">
        <f>IFERROR(INDEX('Both teabags AfterWet'!$C$3:$C$2000,MATCH(I134,'Both teabags AfterWet'!$A$3:$A$2000,0)),"")</f>
        <v>1.38</v>
      </c>
      <c r="U134" s="194">
        <f t="shared" si="7"/>
        <v>0.73340000000000005</v>
      </c>
      <c r="V134" s="194">
        <f t="shared" si="8"/>
        <v>1.2293999999999998</v>
      </c>
      <c r="W134" s="194">
        <f>IFERROR(INDEX('Ashed teabags wet'!$K$2:$K$2000,MATCH(H134,'Ashed teabags wet'!$A$2:$A$2000,0)),"")</f>
        <v>11.144278606964582</v>
      </c>
      <c r="X134" s="233">
        <f>IFERROR(INDEX('Ashed teabags wet'!$K$2:$K$2000,MATCH(I134,'Ashed teabags wet'!$A$2:$A$2000,0)),"")</f>
        <v>6.2753036437244685</v>
      </c>
      <c r="Y134" s="194">
        <f t="shared" si="14"/>
        <v>0.65166786069652183</v>
      </c>
      <c r="Z134" s="194">
        <f t="shared" si="9"/>
        <v>1.1522514170040512</v>
      </c>
      <c r="AA134" s="194">
        <f t="shared" si="10"/>
        <v>0.58204860846117312</v>
      </c>
      <c r="AB134" s="194">
        <f t="shared" si="11"/>
        <v>0.38158056041635108</v>
      </c>
      <c r="AC134" s="194">
        <f t="shared" si="2"/>
        <v>0.58166722521039171</v>
      </c>
      <c r="AD134">
        <f t="shared" si="3"/>
        <v>54</v>
      </c>
      <c r="AE134" s="194">
        <f t="shared" si="12"/>
        <v>0.30873086881095824</v>
      </c>
      <c r="AF134" s="194" t="str">
        <f t="shared" si="13"/>
        <v/>
      </c>
      <c r="AG134" s="245" t="str">
        <f>IF(ISNUMBER(SEARCH("C",'WetLitterbags placem_collection'!$X61)),"YES","NO")</f>
        <v>NO</v>
      </c>
      <c r="AH134" s="245" t="str">
        <f>IF(ISNUMBER(SEARCH("H", 'WetLitterbags placem_collection'!$X61)),"YES","NO")</f>
        <v>NO</v>
      </c>
      <c r="AI134" s="245" t="str">
        <f>IF(ISNUMBER(SEARCH("R", 'WetLitterbags placem_collection'!$X61)),"YES","NO")</f>
        <v>NO</v>
      </c>
      <c r="AJ134" s="245" t="str">
        <f>IF(ISNUMBER(SEARCH("C", 'WetLitterbags placem_collection'!$V61)),"YES","NO")</f>
        <v>NO</v>
      </c>
      <c r="AK134" s="245" t="str">
        <f>IF(ISNUMBER(SEARCH("H", 'WetLitterbags placem_collection'!$V61)),"YES","NO")</f>
        <v>NO</v>
      </c>
      <c r="AL134" s="245" t="str">
        <f>IF(ISNUMBER(SEARCH("R", 'WetLitterbags placem_collection'!$V61)),"YES","NO")</f>
        <v>NO</v>
      </c>
    </row>
    <row r="135" spans="2:38">
      <c r="B135" t="str">
        <f>Wetseason!B61</f>
        <v>Wet</v>
      </c>
      <c r="C135" s="253">
        <f>Wetseason!C61</f>
        <v>60</v>
      </c>
      <c r="D135" t="s">
        <v>3110</v>
      </c>
      <c r="E135" t="s">
        <v>22</v>
      </c>
      <c r="F135" s="375">
        <v>4</v>
      </c>
      <c r="G135" s="16">
        <f>'WetLitterbags placem_collection'!E62</f>
        <v>42766</v>
      </c>
      <c r="H135" t="str">
        <f>Wetseason!L61</f>
        <v>G633</v>
      </c>
      <c r="I135" t="str">
        <f>Wetseason!L281</f>
        <v>R78</v>
      </c>
      <c r="J135">
        <f>IFERROR(INDEX('Green_rooibos initial weight'!$C$5:$C$2000,MATCH(H135, 'Green_rooibos initial weight'!$A$5:$A$2000,0)),"")</f>
        <v>2.0630000000000002</v>
      </c>
      <c r="K135">
        <f>IFERROR(INDEX('Green_rooibos initial weight'!$C$5:$C$2000,MATCH(I135, 'Green_rooibos initial weight'!$A$5:$A$2000,0)),"")</f>
        <v>2.2200000000000002</v>
      </c>
      <c r="L135" s="194">
        <f t="shared" si="4"/>
        <v>1.8132000000000001</v>
      </c>
      <c r="M135" s="194">
        <f>AVERAGE(Ashed_controlls!$K$2:$K$11)</f>
        <v>5.5147656768714146</v>
      </c>
      <c r="N135" s="194">
        <f t="shared" si="0"/>
        <v>1.7132062687469676</v>
      </c>
      <c r="O135" s="194">
        <f t="shared" si="5"/>
        <v>1.9702000000000002</v>
      </c>
      <c r="P135" s="194">
        <f>AVERAGE(Ashed_controlls!$K$12:$K$14)</f>
        <v>2.2816647271287041</v>
      </c>
      <c r="Q135" s="194">
        <f t="shared" si="6"/>
        <v>1.9252466415461105</v>
      </c>
      <c r="R135" s="16">
        <f>IF('WetLitterbags placem_collection'!G62="","",'WetLitterbags placem_collection'!G62)</f>
        <v>42820</v>
      </c>
      <c r="S135" s="194">
        <f>IFERROR(INDEX('Both teabags AfterWet'!$C$3:$C$2000,MATCH(H135,'Both teabags AfterWet'!$A$3:$A$2000,0)),"")</f>
        <v>0.874</v>
      </c>
      <c r="T135" s="194">
        <f>IFERROR(INDEX('Both teabags AfterWet'!$C$3:$C$2000,MATCH(I135,'Both teabags AfterWet'!$A$3:$A$2000,0)),"")</f>
        <v>1.665</v>
      </c>
      <c r="U135" s="194">
        <f t="shared" si="7"/>
        <v>0.72340000000000004</v>
      </c>
      <c r="V135" s="194">
        <f t="shared" si="8"/>
        <v>1.5144</v>
      </c>
      <c r="W135" s="194">
        <f>IFERROR(INDEX('Ashed teabags wet'!$K$2:$K$2000,MATCH(H135,'Ashed teabags wet'!$A$2:$A$2000,0)),"")</f>
        <v>12.827988338192315</v>
      </c>
      <c r="X135" s="233">
        <f>IFERROR(INDEX('Ashed teabags wet'!$K$2:$K$2000,MATCH(I135,'Ashed teabags wet'!$A$2:$A$2000,0)),"")</f>
        <v>5.8219178082196645</v>
      </c>
      <c r="Y135" s="194">
        <f t="shared" si="14"/>
        <v>0.63060233236151686</v>
      </c>
      <c r="Z135" s="194">
        <f t="shared" si="9"/>
        <v>1.4262328767123214</v>
      </c>
      <c r="AA135" s="194">
        <f t="shared" si="10"/>
        <v>0.63191686613268294</v>
      </c>
      <c r="AB135" s="194">
        <f t="shared" si="11"/>
        <v>0.41427328991121265</v>
      </c>
      <c r="AC135" s="194">
        <f t="shared" si="2"/>
        <v>0.74080527966378096</v>
      </c>
      <c r="AD135">
        <f t="shared" si="3"/>
        <v>54</v>
      </c>
      <c r="AE135" s="194">
        <f t="shared" si="12"/>
        <v>0.24950490958113658</v>
      </c>
      <c r="AF135" s="194">
        <f t="shared" si="13"/>
        <v>1.8196184956067306E-2</v>
      </c>
      <c r="AG135" s="245" t="str">
        <f>IF(ISNUMBER(SEARCH("C",'WetLitterbags placem_collection'!$X62)),"YES","NO")</f>
        <v>NO</v>
      </c>
      <c r="AH135" s="245" t="str">
        <f>IF(ISNUMBER(SEARCH("H", 'WetLitterbags placem_collection'!$X62)),"YES","NO")</f>
        <v>NO</v>
      </c>
      <c r="AI135" s="245" t="str">
        <f>IF(ISNUMBER(SEARCH("R", 'WetLitterbags placem_collection'!$X62)),"YES","NO")</f>
        <v>NO</v>
      </c>
      <c r="AJ135" s="245" t="str">
        <f>IF(ISNUMBER(SEARCH("C", 'WetLitterbags placem_collection'!$V62)),"YES","NO")</f>
        <v>NO</v>
      </c>
      <c r="AK135" s="245" t="str">
        <f>IF(ISNUMBER(SEARCH("H", 'WetLitterbags placem_collection'!$V62)),"YES","NO")</f>
        <v>NO</v>
      </c>
      <c r="AL135" s="245" t="str">
        <f>IF(ISNUMBER(SEARCH("R", 'WetLitterbags placem_collection'!$V62)),"YES","NO")</f>
        <v>YES</v>
      </c>
    </row>
    <row r="136" spans="2:38">
      <c r="B136" t="str">
        <f>Wetseason!B62</f>
        <v>Wet</v>
      </c>
      <c r="C136" s="253">
        <f>Wetseason!C62</f>
        <v>61</v>
      </c>
      <c r="D136" t="s">
        <v>3110</v>
      </c>
      <c r="E136" t="s">
        <v>22</v>
      </c>
      <c r="F136" s="375">
        <v>5</v>
      </c>
      <c r="G136" s="16">
        <f>'WetLitterbags placem_collection'!E63</f>
        <v>42766</v>
      </c>
      <c r="H136" t="str">
        <f>Wetseason!L62</f>
        <v>G541</v>
      </c>
      <c r="I136" t="str">
        <f>Wetseason!L282</f>
        <v>R42</v>
      </c>
      <c r="J136">
        <f>IFERROR(INDEX('Green_rooibos initial weight'!$C$5:$C$2000,MATCH(H136, 'Green_rooibos initial weight'!$A$5:$A$2000,0)),"")</f>
        <v>1.978</v>
      </c>
      <c r="K136">
        <f>IFERROR(INDEX('Green_rooibos initial weight'!$C$5:$C$2000,MATCH(I136, 'Green_rooibos initial weight'!$A$5:$A$2000,0)),"")</f>
        <v>2.2389999999999999</v>
      </c>
      <c r="L136" s="194">
        <f t="shared" si="4"/>
        <v>1.7282</v>
      </c>
      <c r="M136" s="194">
        <f>AVERAGE(Ashed_controlls!$K$2:$K$11)</f>
        <v>5.5147656768714146</v>
      </c>
      <c r="N136" s="194">
        <f t="shared" si="0"/>
        <v>1.6328938195723082</v>
      </c>
      <c r="O136" s="194">
        <f t="shared" si="5"/>
        <v>1.9891999999999999</v>
      </c>
      <c r="P136" s="194">
        <f>AVERAGE(Ashed_controlls!$K$12:$K$14)</f>
        <v>2.2816647271287041</v>
      </c>
      <c r="Q136" s="194">
        <f t="shared" si="6"/>
        <v>1.9438131252479556</v>
      </c>
      <c r="R136" s="16">
        <f>IF('WetLitterbags placem_collection'!G63="","",'WetLitterbags placem_collection'!G63)</f>
        <v>42820</v>
      </c>
      <c r="S136" s="194">
        <f>IFERROR(INDEX('Both teabags AfterWet'!$C$3:$C$2000,MATCH(H136,'Both teabags AfterWet'!$A$3:$A$2000,0)),"")</f>
        <v>0.78600000000000003</v>
      </c>
      <c r="T136" s="194">
        <f>IFERROR(INDEX('Both teabags AfterWet'!$C$3:$C$2000,MATCH(I136,'Both teabags AfterWet'!$A$3:$A$2000,0)),"")</f>
        <v>0.182</v>
      </c>
      <c r="U136" s="194">
        <f t="shared" si="7"/>
        <v>0.63539999999999996</v>
      </c>
      <c r="V136" s="194">
        <f t="shared" si="8"/>
        <v>3.1399999999999983E-2</v>
      </c>
      <c r="W136" s="194">
        <f>IFERROR(INDEX('Ashed teabags wet'!$K$2:$K$2000,MATCH(H136,'Ashed teabags wet'!$A$2:$A$2000,0)),"")</f>
        <v>12.728194726166139</v>
      </c>
      <c r="X136" s="233">
        <f>IFERROR(INDEX('Ashed teabags wet'!$K$2:$K$2000,MATCH(I136,'Ashed teabags wet'!$A$2:$A$2000,0)),"")</f>
        <v>0</v>
      </c>
      <c r="Y136" s="194">
        <f t="shared" si="14"/>
        <v>0.55452505070994029</v>
      </c>
      <c r="Z136" s="194">
        <f t="shared" si="9"/>
        <v>3.1399999999999983E-2</v>
      </c>
      <c r="AA136" s="194">
        <f t="shared" si="10"/>
        <v>0.66040348486640554</v>
      </c>
      <c r="AB136" s="194">
        <f t="shared" si="11"/>
        <v>0.43294860290529202</v>
      </c>
      <c r="AC136" s="194">
        <f t="shared" si="2"/>
        <v>1.6153816224486372E-2</v>
      </c>
      <c r="AD136">
        <f t="shared" si="3"/>
        <v>54</v>
      </c>
      <c r="AE136" s="194">
        <f t="shared" si="12"/>
        <v>0.21567282082374639</v>
      </c>
      <c r="AF136" s="194" t="str">
        <f t="shared" si="13"/>
        <v/>
      </c>
      <c r="AG136" s="245" t="str">
        <f>IF(ISNUMBER(SEARCH("C",'WetLitterbags placem_collection'!$X63)),"YES","NO")</f>
        <v>NO</v>
      </c>
      <c r="AH136" s="245" t="str">
        <f>IF(ISNUMBER(SEARCH("H", 'WetLitterbags placem_collection'!$X63)),"YES","NO")</f>
        <v>NO</v>
      </c>
      <c r="AI136" s="245" t="str">
        <f>IF(ISNUMBER(SEARCH("R", 'WetLitterbags placem_collection'!$X63)),"YES","NO")</f>
        <v>YES</v>
      </c>
      <c r="AJ136" s="245" t="str">
        <f>IF(ISNUMBER(SEARCH("C", 'WetLitterbags placem_collection'!$V63)),"YES","NO")</f>
        <v>YES</v>
      </c>
      <c r="AK136" s="245" t="str">
        <f>IF(ISNUMBER(SEARCH("H", 'WetLitterbags placem_collection'!$V63)),"YES","NO")</f>
        <v>YES</v>
      </c>
      <c r="AL136" s="245" t="str">
        <f>IF(ISNUMBER(SEARCH("R", 'WetLitterbags placem_collection'!$V63)),"YES","NO")</f>
        <v>NO</v>
      </c>
    </row>
    <row r="137" spans="2:38">
      <c r="B137" t="str">
        <f>Wetseason!B63</f>
        <v>Wet</v>
      </c>
      <c r="C137" s="253">
        <f>Wetseason!C63</f>
        <v>62</v>
      </c>
      <c r="D137" t="s">
        <v>3110</v>
      </c>
      <c r="E137" t="s">
        <v>22</v>
      </c>
      <c r="F137" s="375">
        <v>6</v>
      </c>
      <c r="G137" s="16">
        <f>'WetLitterbags placem_collection'!E64</f>
        <v>42766</v>
      </c>
      <c r="H137" t="str">
        <f>Wetseason!L63</f>
        <v>G565</v>
      </c>
      <c r="I137" t="str">
        <f>Wetseason!L283</f>
        <v>R119</v>
      </c>
      <c r="J137">
        <f>IFERROR(INDEX('Green_rooibos initial weight'!$C$5:$C$2000,MATCH(H137, 'Green_rooibos initial weight'!$A$5:$A$2000,0)),"")</f>
        <v>2.109</v>
      </c>
      <c r="K137">
        <f>IFERROR(INDEX('Green_rooibos initial weight'!$C$5:$C$2000,MATCH(I137, 'Green_rooibos initial weight'!$A$5:$A$2000,0)),"")</f>
        <v>2.1589999999999998</v>
      </c>
      <c r="L137" s="194">
        <f t="shared" si="4"/>
        <v>1.8592</v>
      </c>
      <c r="M137" s="194">
        <f>AVERAGE(Ashed_controlls!$K$2:$K$11)</f>
        <v>5.5147656768714146</v>
      </c>
      <c r="N137" s="194">
        <f t="shared" si="0"/>
        <v>1.7566694765356066</v>
      </c>
      <c r="O137" s="194">
        <f t="shared" si="5"/>
        <v>1.9091999999999998</v>
      </c>
      <c r="P137" s="194">
        <f>AVERAGE(Ashed_controlls!$K$12:$K$14)</f>
        <v>2.2816647271287041</v>
      </c>
      <c r="Q137" s="194">
        <f t="shared" si="6"/>
        <v>1.8656384570296585</v>
      </c>
      <c r="R137" s="16">
        <f>IF('WetLitterbags placem_collection'!G64="","",'WetLitterbags placem_collection'!G64)</f>
        <v>42820</v>
      </c>
      <c r="S137" s="194">
        <f>IFERROR(INDEX('Both teabags AfterWet'!$C$3:$C$2000,MATCH(H137,'Both teabags AfterWet'!$A$3:$A$2000,0)),"")</f>
        <v>0.9224</v>
      </c>
      <c r="T137" s="194">
        <f>IFERROR(INDEX('Both teabags AfterWet'!$C$3:$C$2000,MATCH(I137,'Both teabags AfterWet'!$A$3:$A$2000,0)),"")</f>
        <v>1.6374</v>
      </c>
      <c r="U137" s="194">
        <f t="shared" si="7"/>
        <v>0.77180000000000004</v>
      </c>
      <c r="V137" s="194">
        <f t="shared" si="8"/>
        <v>1.4867999999999999</v>
      </c>
      <c r="W137" s="194">
        <f>IFERROR(INDEX('Ashed teabags wet'!$K$2:$K$2000,MATCH(H137,'Ashed teabags wet'!$A$2:$A$2000,0)),"")</f>
        <v>20.729927007299029</v>
      </c>
      <c r="X137" s="233">
        <f>IFERROR(INDEX('Ashed teabags wet'!$K$2:$K$2000,MATCH(I137,'Ashed teabags wet'!$A$2:$A$2000,0)),"")</f>
        <v>8.4343434343433188</v>
      </c>
      <c r="Y137" s="194">
        <f t="shared" si="14"/>
        <v>0.61180642335766611</v>
      </c>
      <c r="Z137" s="194">
        <f t="shared" si="9"/>
        <v>1.3613981818181835</v>
      </c>
      <c r="AA137" s="194">
        <f t="shared" si="10"/>
        <v>0.65172365574186875</v>
      </c>
      <c r="AB137" s="194">
        <f t="shared" si="11"/>
        <v>0.42725826362174774</v>
      </c>
      <c r="AC137" s="194">
        <f t="shared" si="2"/>
        <v>0.72972240505039132</v>
      </c>
      <c r="AD137">
        <f t="shared" si="3"/>
        <v>54</v>
      </c>
      <c r="AE137" s="194">
        <f t="shared" si="12"/>
        <v>0.22598140648234111</v>
      </c>
      <c r="AF137" s="194">
        <f t="shared" si="13"/>
        <v>1.8541962869228715E-2</v>
      </c>
      <c r="AG137" s="245" t="str">
        <f>IF(ISNUMBER(SEARCH("C",'WetLitterbags placem_collection'!$X64)),"YES","NO")</f>
        <v>NO</v>
      </c>
      <c r="AH137" s="245" t="str">
        <f>IF(ISNUMBER(SEARCH("H", 'WetLitterbags placem_collection'!$X64)),"YES","NO")</f>
        <v>NO</v>
      </c>
      <c r="AI137" s="245" t="str">
        <f>IF(ISNUMBER(SEARCH("R", 'WetLitterbags placem_collection'!$X64)),"YES","NO")</f>
        <v>NO</v>
      </c>
      <c r="AJ137" s="245" t="str">
        <f>IF(ISNUMBER(SEARCH("C", 'WetLitterbags placem_collection'!$V64)),"YES","NO")</f>
        <v>NO</v>
      </c>
      <c r="AK137" s="245" t="str">
        <f>IF(ISNUMBER(SEARCH("H", 'WetLitterbags placem_collection'!$V64)),"YES","NO")</f>
        <v>YES</v>
      </c>
      <c r="AL137" s="245" t="str">
        <f>IF(ISNUMBER(SEARCH("R", 'WetLitterbags placem_collection'!$V64)),"YES","NO")</f>
        <v>NO</v>
      </c>
    </row>
    <row r="138" spans="2:38">
      <c r="B138" t="str">
        <f>Wetseason!B64</f>
        <v>Wet</v>
      </c>
      <c r="C138" s="253">
        <f>Wetseason!C64</f>
        <v>63</v>
      </c>
      <c r="D138" t="s">
        <v>3110</v>
      </c>
      <c r="E138" t="s">
        <v>22</v>
      </c>
      <c r="F138" s="375">
        <v>7</v>
      </c>
      <c r="G138" s="16">
        <f>'WetLitterbags placem_collection'!E65</f>
        <v>42766</v>
      </c>
      <c r="H138" t="str">
        <f>Wetseason!L64</f>
        <v>G387</v>
      </c>
      <c r="I138" t="str">
        <f>Wetseason!L284</f>
        <v>R185</v>
      </c>
      <c r="J138">
        <f>IFERROR(INDEX('Green_rooibos initial weight'!$C$5:$C$2000,MATCH(H138, 'Green_rooibos initial weight'!$A$5:$A$2000,0)),"")</f>
        <v>2.0139999999999998</v>
      </c>
      <c r="K138">
        <f>IFERROR(INDEX('Green_rooibos initial weight'!$C$5:$C$2000,MATCH(I138, 'Green_rooibos initial weight'!$A$5:$A$2000,0)),"")</f>
        <v>2.2909999999999999</v>
      </c>
      <c r="L138" s="194">
        <f t="shared" si="4"/>
        <v>1.7641999999999998</v>
      </c>
      <c r="M138" s="194">
        <f>AVERAGE(Ashed_controlls!$K$2:$K$11)</f>
        <v>5.5147656768714146</v>
      </c>
      <c r="N138" s="194">
        <f t="shared" si="0"/>
        <v>1.6669085039286342</v>
      </c>
      <c r="O138" s="194">
        <f t="shared" si="5"/>
        <v>2.0411999999999999</v>
      </c>
      <c r="P138" s="194">
        <f>AVERAGE(Ashed_controlls!$K$12:$K$14)</f>
        <v>2.2816647271287041</v>
      </c>
      <c r="Q138" s="194">
        <f t="shared" si="6"/>
        <v>1.9946266595898487</v>
      </c>
      <c r="R138" s="16">
        <f>IF('WetLitterbags placem_collection'!G65="","",'WetLitterbags placem_collection'!G65)</f>
        <v>42820</v>
      </c>
      <c r="S138" s="194">
        <f>IFERROR(INDEX('Both teabags AfterWet'!$C$3:$C$2000,MATCH(H138,'Both teabags AfterWet'!$A$3:$A$2000,0)),"")</f>
        <v>1.083</v>
      </c>
      <c r="T138" s="194">
        <f>IFERROR(INDEX('Both teabags AfterWet'!$C$3:$C$2000,MATCH(I138,'Both teabags AfterWet'!$A$3:$A$2000,0)),"")</f>
        <v>1.6850000000000001</v>
      </c>
      <c r="U138" s="194">
        <f t="shared" si="7"/>
        <v>0.9323999999999999</v>
      </c>
      <c r="V138" s="194">
        <f t="shared" si="8"/>
        <v>1.5344</v>
      </c>
      <c r="W138" s="194">
        <f>IFERROR(INDEX('Ashed teabags wet'!$K$2:$K$2000,MATCH(H138,'Ashed teabags wet'!$A$2:$A$2000,0)),"")</f>
        <v>20.515313563441481</v>
      </c>
      <c r="X138" s="233">
        <f>IFERROR(INDEX('Ashed teabags wet'!$K$2:$K$2000,MATCH(I138,'Ashed teabags wet'!$A$2:$A$2000,0)),"")</f>
        <v>8.6122047244091302</v>
      </c>
      <c r="Y138" s="194">
        <f t="shared" si="14"/>
        <v>0.74111521633447153</v>
      </c>
      <c r="Z138" s="194">
        <f t="shared" si="9"/>
        <v>1.4022543307086663</v>
      </c>
      <c r="AA138" s="194">
        <f t="shared" si="10"/>
        <v>0.5553953833772024</v>
      </c>
      <c r="AB138" s="194">
        <f t="shared" si="11"/>
        <v>0.36410718720215651</v>
      </c>
      <c r="AC138" s="194">
        <f t="shared" si="2"/>
        <v>0.70301593732684253</v>
      </c>
      <c r="AD138">
        <f t="shared" si="3"/>
        <v>54</v>
      </c>
      <c r="AE138" s="194">
        <f t="shared" si="12"/>
        <v>0.34038553043087594</v>
      </c>
      <c r="AF138" s="194">
        <f t="shared" si="13"/>
        <v>3.1313327447470805E-2</v>
      </c>
      <c r="AG138" s="245" t="str">
        <f>IF(ISNUMBER(SEARCH("C",'WetLitterbags placem_collection'!$X65)),"YES","NO")</f>
        <v>NO</v>
      </c>
      <c r="AH138" s="245" t="str">
        <f>IF(ISNUMBER(SEARCH("H", 'WetLitterbags placem_collection'!$X65)),"YES","NO")</f>
        <v>NO</v>
      </c>
      <c r="AI138" s="245" t="str">
        <f>IF(ISNUMBER(SEARCH("R", 'WetLitterbags placem_collection'!$X65)),"YES","NO")</f>
        <v>YES</v>
      </c>
      <c r="AJ138" s="245" t="str">
        <f>IF(ISNUMBER(SEARCH("C", 'WetLitterbags placem_collection'!$V65)),"YES","NO")</f>
        <v>NO</v>
      </c>
      <c r="AK138" s="245" t="str">
        <f>IF(ISNUMBER(SEARCH("H", 'WetLitterbags placem_collection'!$V65)),"YES","NO")</f>
        <v>NO</v>
      </c>
      <c r="AL138" s="245" t="str">
        <f>IF(ISNUMBER(SEARCH("R", 'WetLitterbags placem_collection'!$V65)),"YES","NO")</f>
        <v>YES</v>
      </c>
    </row>
    <row r="139" spans="2:38">
      <c r="B139" t="str">
        <f>Wetseason!B65</f>
        <v>Wet</v>
      </c>
      <c r="C139" s="253">
        <f>Wetseason!C65</f>
        <v>64</v>
      </c>
      <c r="D139" t="s">
        <v>3110</v>
      </c>
      <c r="E139" t="s">
        <v>22</v>
      </c>
      <c r="F139" s="375">
        <v>8</v>
      </c>
      <c r="G139" s="16">
        <f>'WetLitterbags placem_collection'!E66</f>
        <v>42766</v>
      </c>
      <c r="H139" t="str">
        <f>Wetseason!L65</f>
        <v>G554</v>
      </c>
      <c r="I139" t="str">
        <f>Wetseason!L285</f>
        <v>R159</v>
      </c>
      <c r="J139">
        <f>IFERROR(INDEX('Green_rooibos initial weight'!$C$5:$C$2000,MATCH(H139, 'Green_rooibos initial weight'!$A$5:$A$2000,0)),"")</f>
        <v>2.0840000000000001</v>
      </c>
      <c r="K139">
        <f>IFERROR(INDEX('Green_rooibos initial weight'!$C$5:$C$2000,MATCH(I139, 'Green_rooibos initial weight'!$A$5:$A$2000,0)),"")</f>
        <v>2.2930000000000001</v>
      </c>
      <c r="L139" s="194">
        <f t="shared" si="4"/>
        <v>1.8342000000000001</v>
      </c>
      <c r="M139" s="194">
        <f>AVERAGE(Ashed_controlls!$K$2:$K$11)</f>
        <v>5.5147656768714146</v>
      </c>
      <c r="N139" s="194">
        <f t="shared" si="0"/>
        <v>1.7330481679548246</v>
      </c>
      <c r="O139" s="194">
        <f t="shared" si="5"/>
        <v>2.0432000000000001</v>
      </c>
      <c r="P139" s="194">
        <f>AVERAGE(Ashed_controlls!$K$12:$K$14)</f>
        <v>2.2816647271287041</v>
      </c>
      <c r="Q139" s="194">
        <f t="shared" si="6"/>
        <v>1.9965810262953065</v>
      </c>
      <c r="R139" s="16">
        <f>IF('WetLitterbags placem_collection'!G66="","",'WetLitterbags placem_collection'!G66)</f>
        <v>42820</v>
      </c>
      <c r="S139" s="194">
        <f>IFERROR(INDEX('Both teabags AfterWet'!$C$3:$C$2000,MATCH(H139,'Both teabags AfterWet'!$A$3:$A$2000,0)),"")</f>
        <v>1.29</v>
      </c>
      <c r="T139" s="194">
        <f>IFERROR(INDEX('Both teabags AfterWet'!$C$3:$C$2000,MATCH(I139,'Both teabags AfterWet'!$A$3:$A$2000,0)),"")</f>
        <v>1.3160000000000001</v>
      </c>
      <c r="U139" s="194">
        <f t="shared" si="7"/>
        <v>1.1394</v>
      </c>
      <c r="V139" s="194">
        <f t="shared" si="8"/>
        <v>1.1654</v>
      </c>
      <c r="W139" s="194">
        <f>IFERROR(INDEX('Ashed teabags wet'!$K$2:$K$2000,MATCH(H139,'Ashed teabags wet'!$A$2:$A$2000,0)),"")</f>
        <v>36.815920398009624</v>
      </c>
      <c r="X139" s="233">
        <f>IFERROR(INDEX('Ashed teabags wet'!$K$2:$K$2000,MATCH(I139,'Ashed teabags wet'!$A$2:$A$2000,0)),"")</f>
        <v>82.454411039920885</v>
      </c>
      <c r="Y139" s="194">
        <f t="shared" si="14"/>
        <v>0.71991940298507839</v>
      </c>
      <c r="Z139" s="194">
        <f t="shared" si="9"/>
        <v>0.20447629374076204</v>
      </c>
      <c r="AA139" s="194">
        <f t="shared" si="10"/>
        <v>0.58459354085082504</v>
      </c>
      <c r="AB139" s="194">
        <f t="shared" si="11"/>
        <v>0.38324897214923453</v>
      </c>
      <c r="AC139" s="194">
        <f t="shared" si="2"/>
        <v>0.10241322092505889</v>
      </c>
      <c r="AD139">
        <f t="shared" si="3"/>
        <v>54</v>
      </c>
      <c r="AE139" s="194">
        <f t="shared" si="12"/>
        <v>0.30570838378761866</v>
      </c>
      <c r="AF139" s="194" t="str">
        <f t="shared" si="13"/>
        <v/>
      </c>
      <c r="AG139" s="245" t="str">
        <f>IF(ISNUMBER(SEARCH("C",'WetLitterbags placem_collection'!$X66)),"YES","NO")</f>
        <v>NO</v>
      </c>
      <c r="AH139" s="245" t="str">
        <f>IF(ISNUMBER(SEARCH("H", 'WetLitterbags placem_collection'!$X66)),"YES","NO")</f>
        <v>NO</v>
      </c>
      <c r="AI139" s="245" t="str">
        <f>IF(ISNUMBER(SEARCH("R", 'WetLitterbags placem_collection'!$X66)),"YES","NO")</f>
        <v>NO</v>
      </c>
      <c r="AJ139" s="245" t="str">
        <f>IF(ISNUMBER(SEARCH("C", 'WetLitterbags placem_collection'!$V66)),"YES","NO")</f>
        <v>NO</v>
      </c>
      <c r="AK139" s="245" t="str">
        <f>IF(ISNUMBER(SEARCH("H", 'WetLitterbags placem_collection'!$V66)),"YES","NO")</f>
        <v>YES</v>
      </c>
      <c r="AL139" s="245" t="str">
        <f>IF(ISNUMBER(SEARCH("R", 'WetLitterbags placem_collection'!$V66)),"YES","NO")</f>
        <v>YES</v>
      </c>
    </row>
    <row r="140" spans="2:38">
      <c r="B140" t="str">
        <f>Wetseason!B66</f>
        <v>Wet</v>
      </c>
      <c r="C140" s="253">
        <f>Wetseason!C66</f>
        <v>65</v>
      </c>
      <c r="D140" t="s">
        <v>3111</v>
      </c>
      <c r="E140" t="s">
        <v>22</v>
      </c>
      <c r="F140" s="374">
        <v>1</v>
      </c>
      <c r="G140" s="16">
        <f>'WetLitterbags placem_collection'!E67</f>
        <v>42767</v>
      </c>
      <c r="H140" t="str">
        <f>Wetseason!L66</f>
        <v>G614</v>
      </c>
      <c r="I140" t="str">
        <f>Wetseason!L286</f>
        <v>R525</v>
      </c>
      <c r="J140">
        <f>IFERROR(INDEX('Green_rooibos initial weight'!$C$5:$C$2000,MATCH(H140, 'Green_rooibos initial weight'!$A$5:$A$2000,0)),"")</f>
        <v>2.1709999999999998</v>
      </c>
      <c r="K140">
        <f>IFERROR(INDEX('Green_rooibos initial weight'!$C$5:$C$2000,MATCH(I140, 'Green_rooibos initial weight'!$A$5:$A$2000,0)),"")</f>
        <v>2.1469999999999998</v>
      </c>
      <c r="L140" s="194">
        <f t="shared" si="4"/>
        <v>1.9211999999999998</v>
      </c>
      <c r="M140" s="194">
        <f>AVERAGE(Ashed_controlls!$K$2:$K$11)</f>
        <v>5.5147656768714146</v>
      </c>
      <c r="N140" s="194">
        <f t="shared" ref="N140:N203" si="15">IFERROR(L140-(M140/100)*L140,"")</f>
        <v>1.8152503218159461</v>
      </c>
      <c r="O140" s="194">
        <f t="shared" si="5"/>
        <v>1.8971999999999998</v>
      </c>
      <c r="P140" s="194">
        <f>AVERAGE(Ashed_controlls!$K$12:$K$14)</f>
        <v>2.2816647271287041</v>
      </c>
      <c r="Q140" s="194">
        <f t="shared" si="6"/>
        <v>1.853912256796914</v>
      </c>
      <c r="R140" s="16">
        <f>IF('WetLitterbags placem_collection'!G67="","",'WetLitterbags placem_collection'!G67)</f>
        <v>42818</v>
      </c>
      <c r="S140" s="194">
        <f>IFERROR(INDEX('Both teabags AfterWet'!$C$3:$C$2000,MATCH(H140,'Both teabags AfterWet'!$A$3:$A$2000,0)),"")</f>
        <v>0.96099999999999997</v>
      </c>
      <c r="T140" s="194">
        <f>IFERROR(INDEX('Both teabags AfterWet'!$C$3:$C$2000,MATCH(I140,'Both teabags AfterWet'!$A$3:$A$2000,0)),"")</f>
        <v>1.704</v>
      </c>
      <c r="U140" s="194">
        <f t="shared" si="7"/>
        <v>0.81040000000000001</v>
      </c>
      <c r="V140" s="194">
        <f t="shared" si="8"/>
        <v>1.5533999999999999</v>
      </c>
      <c r="W140" s="194">
        <f>IFERROR(INDEX('Ashed teabags wet'!$K$2:$K$2000,MATCH(H140,'Ashed teabags wet'!$A$2:$A$2000,0)),"")</f>
        <v>15.67460317460233</v>
      </c>
      <c r="X140" s="233">
        <f>IFERROR(INDEX('Ashed teabags wet'!$K$2:$K$2000,MATCH(I140,'Ashed teabags wet'!$A$2:$A$2000,0)),"")</f>
        <v>3.9941548952748618</v>
      </c>
      <c r="Y140" s="194">
        <f t="shared" si="14"/>
        <v>0.68337301587302268</v>
      </c>
      <c r="Z140" s="194">
        <f t="shared" si="9"/>
        <v>1.4913547978568003</v>
      </c>
      <c r="AA140" s="194">
        <f t="shared" si="10"/>
        <v>0.62353786270678757</v>
      </c>
      <c r="AB140" s="194">
        <f t="shared" si="11"/>
        <v>0.4087801665251149</v>
      </c>
      <c r="AC140" s="194">
        <f t="shared" ref="AC140:AC203" si="16">IFERROR(Z140/Q140,"")</f>
        <v>0.80443655970724293</v>
      </c>
      <c r="AD140">
        <f t="shared" ref="AD140:AD203" si="17">IFERROR(IF((R140-G140)&gt;0,(IFERROR(R140-G140,"")),""),"")</f>
        <v>51</v>
      </c>
      <c r="AE140" s="194">
        <f t="shared" si="12"/>
        <v>0.25945622006319768</v>
      </c>
      <c r="AF140" s="194">
        <f t="shared" si="13"/>
        <v>1.2762125076915515E-2</v>
      </c>
      <c r="AG140" s="245" t="str">
        <f>IF(ISNUMBER(SEARCH("C",'WetLitterbags placem_collection'!$X67)),"YES","NO")</f>
        <v>NO</v>
      </c>
      <c r="AH140" s="245" t="str">
        <f>IF(ISNUMBER(SEARCH("H", 'WetLitterbags placem_collection'!$X67)),"YES","NO")</f>
        <v>NO</v>
      </c>
      <c r="AI140" s="245" t="str">
        <f>IF(ISNUMBER(SEARCH("R", 'WetLitterbags placem_collection'!$X67)),"YES","NO")</f>
        <v>YES</v>
      </c>
      <c r="AJ140" s="245" t="str">
        <f>IF(ISNUMBER(SEARCH("C", 'WetLitterbags placem_collection'!$V67)),"YES","NO")</f>
        <v>NO</v>
      </c>
      <c r="AK140" s="245" t="str">
        <f>IF(ISNUMBER(SEARCH("H", 'WetLitterbags placem_collection'!$V67)),"YES","NO")</f>
        <v>NO</v>
      </c>
      <c r="AL140" s="245" t="str">
        <f>IF(ISNUMBER(SEARCH("R", 'WetLitterbags placem_collection'!$V67)),"YES","NO")</f>
        <v>YES</v>
      </c>
    </row>
    <row r="141" spans="2:38">
      <c r="B141" t="str">
        <f>Wetseason!B67</f>
        <v>Wet</v>
      </c>
      <c r="C141" s="253">
        <f>Wetseason!C67</f>
        <v>66</v>
      </c>
      <c r="D141" t="s">
        <v>3111</v>
      </c>
      <c r="E141" t="s">
        <v>22</v>
      </c>
      <c r="F141" s="374">
        <v>2</v>
      </c>
      <c r="G141" s="16">
        <f>'WetLitterbags placem_collection'!E68</f>
        <v>42767</v>
      </c>
      <c r="H141" t="str">
        <f>Wetseason!L67</f>
        <v>G282</v>
      </c>
      <c r="I141" t="str">
        <f>Wetseason!L287</f>
        <v>R150</v>
      </c>
      <c r="J141">
        <f>IFERROR(INDEX('Green_rooibos initial weight'!$C$5:$C$2000,MATCH(H141, 'Green_rooibos initial weight'!$A$5:$A$2000,0)),"")</f>
        <v>1.9730000000000001</v>
      </c>
      <c r="K141">
        <f>IFERROR(INDEX('Green_rooibos initial weight'!$C$5:$C$2000,MATCH(I141, 'Green_rooibos initial weight'!$A$5:$A$2000,0)),"")</f>
        <v>2.1469999999999998</v>
      </c>
      <c r="L141" s="194">
        <f t="shared" ref="L141:L204" si="18">IF(J141&gt;0,(J141*$F$31-($F$29+$F$30)),"")</f>
        <v>1.7232000000000001</v>
      </c>
      <c r="M141" s="194">
        <f>AVERAGE(Ashed_controlls!$K$2:$K$11)</f>
        <v>5.5147656768714146</v>
      </c>
      <c r="N141" s="194">
        <f t="shared" si="15"/>
        <v>1.6281695578561519</v>
      </c>
      <c r="O141" s="194">
        <f t="shared" ref="O141:O204" si="19">IF(K141&gt;0,(K141*$F$32-($F$29+$F$30)),"")</f>
        <v>1.8971999999999998</v>
      </c>
      <c r="P141" s="194">
        <f>AVERAGE(Ashed_controlls!$K$12:$K$14)</f>
        <v>2.2816647271287041</v>
      </c>
      <c r="Q141" s="194">
        <f t="shared" ref="Q141:Q204" si="20">IFERROR(O141-(P141/100)*O141,"")</f>
        <v>1.853912256796914</v>
      </c>
      <c r="R141" s="16">
        <f>IF('WetLitterbags placem_collection'!G68="","",'WetLitterbags placem_collection'!G68)</f>
        <v>42818</v>
      </c>
      <c r="S141" s="194">
        <f>IFERROR(INDEX('Both teabags AfterWet'!$C$3:$C$2000,MATCH(H141,'Both teabags AfterWet'!$A$3:$A$2000,0)),"")</f>
        <v>1.1456</v>
      </c>
      <c r="T141" s="194">
        <f>IFERROR(INDEX('Both teabags AfterWet'!$C$3:$C$2000,MATCH(I141,'Both teabags AfterWet'!$A$3:$A$2000,0)),"")</f>
        <v>0.21360000000000001</v>
      </c>
      <c r="U141" s="194">
        <f t="shared" ref="U141:U204" si="21">IFERROR(IF(S141&gt;0,S141-($F$29),""),"")</f>
        <v>0.99499999999999988</v>
      </c>
      <c r="V141" s="194">
        <f t="shared" ref="V141:V204" si="22">IFERROR(IF(T141&gt;0,T141-($F$29),""),"")</f>
        <v>6.3E-2</v>
      </c>
      <c r="W141" s="194">
        <f>IFERROR(INDEX('Ashed teabags wet'!$K$2:$K$2000,MATCH(H141,'Ashed teabags wet'!$A$2:$A$2000,0)),"")</f>
        <v>31.190019193858088</v>
      </c>
      <c r="X141" s="233" t="str">
        <f>IFERROR(INDEX('Ashed teabags wet'!$K$2:$K$2000,MATCH(I141,'Ashed teabags wet'!$A$2:$A$2000,0)),"")</f>
        <v/>
      </c>
      <c r="Y141" s="194">
        <f t="shared" si="14"/>
        <v>0.68465930902111194</v>
      </c>
      <c r="Z141" s="194" t="str">
        <f t="shared" si="14"/>
        <v/>
      </c>
      <c r="AA141" s="194">
        <f t="shared" ref="AA141:AA204" si="23">IFERROR(1-Y141/N141,"")</f>
        <v>0.57949139528034266</v>
      </c>
      <c r="AB141" s="194">
        <f t="shared" ref="AB141:AB204" si="24">IFERROR($F$26*(1-AE141),"")</f>
        <v>0.37990409761846694</v>
      </c>
      <c r="AC141" s="194" t="str">
        <f t="shared" si="16"/>
        <v/>
      </c>
      <c r="AD141">
        <f t="shared" si="17"/>
        <v>51</v>
      </c>
      <c r="AE141" s="194">
        <f t="shared" ref="AE141:AE204" si="25">IFERROR(1-(AA141/$F$25),"")</f>
        <v>0.3117679390969802</v>
      </c>
      <c r="AF141" s="194" t="str">
        <f t="shared" ref="AF141:AF204" si="26">IFERROR(LN(AB141/(AC141-(1-AB141)))/AD141,"")</f>
        <v/>
      </c>
      <c r="AG141" s="245" t="str">
        <f>IF(ISNUMBER(SEARCH("C",'WetLitterbags placem_collection'!$X68)),"YES","NO")</f>
        <v>NO</v>
      </c>
      <c r="AH141" s="245" t="str">
        <f>IF(ISNUMBER(SEARCH("H", 'WetLitterbags placem_collection'!$X68)),"YES","NO")</f>
        <v>NO</v>
      </c>
      <c r="AI141" s="245" t="str">
        <f>IF(ISNUMBER(SEARCH("R", 'WetLitterbags placem_collection'!$X68)),"YES","NO")</f>
        <v>YES</v>
      </c>
      <c r="AJ141" s="245" t="str">
        <f>IF(ISNUMBER(SEARCH("C", 'WetLitterbags placem_collection'!$V68)),"YES","NO")</f>
        <v>NO</v>
      </c>
      <c r="AK141" s="245" t="str">
        <f>IF(ISNUMBER(SEARCH("H", 'WetLitterbags placem_collection'!$V68)),"YES","NO")</f>
        <v>NO</v>
      </c>
      <c r="AL141" s="245" t="str">
        <f>IF(ISNUMBER(SEARCH("R", 'WetLitterbags placem_collection'!$V68)),"YES","NO")</f>
        <v>YES</v>
      </c>
    </row>
    <row r="142" spans="2:38">
      <c r="B142" t="str">
        <f>Wetseason!B68</f>
        <v>Wet</v>
      </c>
      <c r="C142" s="253">
        <f>Wetseason!C68</f>
        <v>67</v>
      </c>
      <c r="D142" t="s">
        <v>3111</v>
      </c>
      <c r="E142" t="s">
        <v>22</v>
      </c>
      <c r="F142" s="374">
        <v>3</v>
      </c>
      <c r="G142" s="16">
        <f>'WetLitterbags placem_collection'!E69</f>
        <v>42767</v>
      </c>
      <c r="H142" t="str">
        <f>Wetseason!L68</f>
        <v>G450</v>
      </c>
      <c r="I142" t="str">
        <f>Wetseason!L288</f>
        <v>R165</v>
      </c>
      <c r="J142">
        <f>IFERROR(INDEX('Green_rooibos initial weight'!$C$5:$C$2000,MATCH(H142, 'Green_rooibos initial weight'!$A$5:$A$2000,0)),"")</f>
        <v>2.1629999999999998</v>
      </c>
      <c r="K142">
        <f>IFERROR(INDEX('Green_rooibos initial weight'!$C$5:$C$2000,MATCH(I142, 'Green_rooibos initial weight'!$A$5:$A$2000,0)),"")</f>
        <v>2.169</v>
      </c>
      <c r="L142" s="194">
        <f t="shared" si="18"/>
        <v>1.9131999999999998</v>
      </c>
      <c r="M142" s="194">
        <f>AVERAGE(Ashed_controlls!$K$2:$K$11)</f>
        <v>5.5147656768714146</v>
      </c>
      <c r="N142" s="194">
        <f t="shared" si="15"/>
        <v>1.807691503070096</v>
      </c>
      <c r="O142" s="194">
        <f t="shared" si="19"/>
        <v>1.9192</v>
      </c>
      <c r="P142" s="194">
        <f>AVERAGE(Ashed_controlls!$K$12:$K$14)</f>
        <v>2.2816647271287041</v>
      </c>
      <c r="Q142" s="194">
        <f t="shared" si="20"/>
        <v>1.8754102905569459</v>
      </c>
      <c r="R142" s="16">
        <f>IF('WetLitterbags placem_collection'!G69="","",'WetLitterbags placem_collection'!G69)</f>
        <v>42818</v>
      </c>
      <c r="S142" s="194">
        <f>IFERROR(INDEX('Both teabags AfterWet'!$C$3:$C$2000,MATCH(H142,'Both teabags AfterWet'!$A$3:$A$2000,0)),"")</f>
        <v>0.89059999999999995</v>
      </c>
      <c r="T142" s="194">
        <f>IFERROR(INDEX('Both teabags AfterWet'!$C$3:$C$2000,MATCH(I142,'Both teabags AfterWet'!$A$3:$A$2000,0)),"")</f>
        <v>1.4942</v>
      </c>
      <c r="U142" s="194">
        <f t="shared" si="21"/>
        <v>0.74</v>
      </c>
      <c r="V142" s="194">
        <f t="shared" si="22"/>
        <v>1.3435999999999999</v>
      </c>
      <c r="W142" s="194">
        <f>IFERROR(INDEX('Ashed teabags wet'!$K$2:$K$2000,MATCH(H142,'Ashed teabags wet'!$A$2:$A$2000,0)),"")</f>
        <v>13.860419716935581</v>
      </c>
      <c r="X142" s="233">
        <f>IFERROR(INDEX('Ashed teabags wet'!$K$2:$K$2000,MATCH(I142,'Ashed teabags wet'!$A$2:$A$2000,0)),"")</f>
        <v>4.9107142857138548</v>
      </c>
      <c r="Y142" s="194">
        <f t="shared" ref="Y142:Z205" si="27">IFERROR(U142-(W142/100)*U142,"")</f>
        <v>0.63743289409467674</v>
      </c>
      <c r="Z142" s="194">
        <f t="shared" si="27"/>
        <v>1.2776196428571485</v>
      </c>
      <c r="AA142" s="194">
        <f t="shared" si="23"/>
        <v>0.64737739099171976</v>
      </c>
      <c r="AB142" s="194">
        <f t="shared" si="24"/>
        <v>0.42440893091143628</v>
      </c>
      <c r="AC142" s="194">
        <f t="shared" si="16"/>
        <v>0.68124807104355289</v>
      </c>
      <c r="AD142">
        <f t="shared" si="17"/>
        <v>51</v>
      </c>
      <c r="AE142" s="194">
        <f t="shared" si="25"/>
        <v>0.23114324110247053</v>
      </c>
      <c r="AF142" s="194">
        <f t="shared" si="26"/>
        <v>2.7264694769776662E-2</v>
      </c>
      <c r="AG142" s="245" t="str">
        <f>IF(ISNUMBER(SEARCH("C",'WetLitterbags placem_collection'!$X69)),"YES","NO")</f>
        <v>NO</v>
      </c>
      <c r="AH142" s="245" t="str">
        <f>IF(ISNUMBER(SEARCH("H", 'WetLitterbags placem_collection'!$X69)),"YES","NO")</f>
        <v>NO</v>
      </c>
      <c r="AI142" s="245" t="str">
        <f>IF(ISNUMBER(SEARCH("R", 'WetLitterbags placem_collection'!$X69)),"YES","NO")</f>
        <v>YES</v>
      </c>
      <c r="AJ142" s="245" t="str">
        <f>IF(ISNUMBER(SEARCH("C", 'WetLitterbags placem_collection'!$V69)),"YES","NO")</f>
        <v>NO</v>
      </c>
      <c r="AK142" s="245" t="str">
        <f>IF(ISNUMBER(SEARCH("H", 'WetLitterbags placem_collection'!$V69)),"YES","NO")</f>
        <v>YES</v>
      </c>
      <c r="AL142" s="245" t="str">
        <f>IF(ISNUMBER(SEARCH("R", 'WetLitterbags placem_collection'!$V69)),"YES","NO")</f>
        <v>YES</v>
      </c>
    </row>
    <row r="143" spans="2:38">
      <c r="B143" t="str">
        <f>Wetseason!B69</f>
        <v>Wet</v>
      </c>
      <c r="C143" s="253">
        <f>Wetseason!C69</f>
        <v>68</v>
      </c>
      <c r="D143" t="s">
        <v>3111</v>
      </c>
      <c r="E143" t="s">
        <v>22</v>
      </c>
      <c r="F143" s="375">
        <v>4</v>
      </c>
      <c r="G143" s="16">
        <f>'WetLitterbags placem_collection'!E70</f>
        <v>42767</v>
      </c>
      <c r="H143" t="str">
        <f>Wetseason!L69</f>
        <v>G269</v>
      </c>
      <c r="I143" t="str">
        <f>Wetseason!L289</f>
        <v>R129</v>
      </c>
      <c r="J143">
        <f>IFERROR(INDEX('Green_rooibos initial weight'!$C$5:$C$2000,MATCH(H143, 'Green_rooibos initial weight'!$A$5:$A$2000,0)),"")</f>
        <v>2.0419999999999998</v>
      </c>
      <c r="K143">
        <f>IFERROR(INDEX('Green_rooibos initial weight'!$C$5:$C$2000,MATCH(I143, 'Green_rooibos initial weight'!$A$5:$A$2000,0)),"")</f>
        <v>2.2829999999999999</v>
      </c>
      <c r="L143" s="194">
        <f t="shared" si="18"/>
        <v>1.7921999999999998</v>
      </c>
      <c r="M143" s="194">
        <f>AVERAGE(Ashed_controlls!$K$2:$K$11)</f>
        <v>5.5147656768714146</v>
      </c>
      <c r="N143" s="194">
        <f t="shared" si="15"/>
        <v>1.6933643695391103</v>
      </c>
      <c r="O143" s="194">
        <f t="shared" si="19"/>
        <v>2.0331999999999999</v>
      </c>
      <c r="P143" s="194">
        <f>AVERAGE(Ashed_controlls!$K$12:$K$14)</f>
        <v>2.2816647271287041</v>
      </c>
      <c r="Q143" s="194">
        <f t="shared" si="20"/>
        <v>1.9868091927680191</v>
      </c>
      <c r="R143" s="16">
        <f>IF('WetLitterbags placem_collection'!G70="","",'WetLitterbags placem_collection'!G70)</f>
        <v>42818</v>
      </c>
      <c r="S143" s="194">
        <f>IFERROR(INDEX('Both teabags AfterWet'!$C$3:$C$2000,MATCH(H143,'Both teabags AfterWet'!$A$3:$A$2000,0)),"")</f>
        <v>1.018</v>
      </c>
      <c r="T143" s="194">
        <f>IFERROR(INDEX('Both teabags AfterWet'!$C$3:$C$2000,MATCH(I143,'Both teabags AfterWet'!$A$3:$A$2000,0)),"")</f>
        <v>1.885</v>
      </c>
      <c r="U143" s="194">
        <f t="shared" si="21"/>
        <v>0.86739999999999995</v>
      </c>
      <c r="V143" s="194">
        <f t="shared" si="22"/>
        <v>1.7343999999999999</v>
      </c>
      <c r="W143" s="194">
        <f>IFERROR(INDEX('Ashed teabags wet'!$K$2:$K$2000,MATCH(H143,'Ashed teabags wet'!$A$2:$A$2000,0)),"")</f>
        <v>19.040626529613323</v>
      </c>
      <c r="X143" s="233">
        <f>IFERROR(INDEX('Ashed teabags wet'!$K$2:$K$2000,MATCH(I143,'Ashed teabags wet'!$A$2:$A$2000,0)),"")</f>
        <v>14.637752587481726</v>
      </c>
      <c r="Y143" s="194">
        <f t="shared" si="27"/>
        <v>0.70224160548213399</v>
      </c>
      <c r="Z143" s="194">
        <f t="shared" si="27"/>
        <v>1.4805228191227169</v>
      </c>
      <c r="AA143" s="194">
        <f t="shared" si="23"/>
        <v>0.58529799131579352</v>
      </c>
      <c r="AB143" s="194">
        <f t="shared" si="24"/>
        <v>0.38371079715714734</v>
      </c>
      <c r="AC143" s="194">
        <f t="shared" si="16"/>
        <v>0.74517614701593715</v>
      </c>
      <c r="AD143">
        <f t="shared" si="17"/>
        <v>51</v>
      </c>
      <c r="AE143" s="194">
        <f t="shared" si="25"/>
        <v>0.30487174428053021</v>
      </c>
      <c r="AF143" s="194">
        <f t="shared" si="26"/>
        <v>2.1391245452935203E-2</v>
      </c>
      <c r="AG143" s="245" t="str">
        <f>IF(ISNUMBER(SEARCH("C",'WetLitterbags placem_collection'!$X70)),"YES","NO")</f>
        <v>NO</v>
      </c>
      <c r="AH143" s="245" t="str">
        <f>IF(ISNUMBER(SEARCH("H", 'WetLitterbags placem_collection'!$X70)),"YES","NO")</f>
        <v>NO</v>
      </c>
      <c r="AI143" s="245" t="str">
        <f>IF(ISNUMBER(SEARCH("R", 'WetLitterbags placem_collection'!$X70)),"YES","NO")</f>
        <v>YES</v>
      </c>
      <c r="AJ143" s="245" t="str">
        <f>IF(ISNUMBER(SEARCH("C", 'WetLitterbags placem_collection'!$V70)),"YES","NO")</f>
        <v>NO</v>
      </c>
      <c r="AK143" s="245" t="str">
        <f>IF(ISNUMBER(SEARCH("H", 'WetLitterbags placem_collection'!$V70)),"YES","NO")</f>
        <v>NO</v>
      </c>
      <c r="AL143" s="245" t="str">
        <f>IF(ISNUMBER(SEARCH("R", 'WetLitterbags placem_collection'!$V70)),"YES","NO")</f>
        <v>YES</v>
      </c>
    </row>
    <row r="144" spans="2:38">
      <c r="B144" t="str">
        <f>Wetseason!B70</f>
        <v>Wet</v>
      </c>
      <c r="C144" s="253">
        <f>Wetseason!C70</f>
        <v>69</v>
      </c>
      <c r="D144" t="s">
        <v>3111</v>
      </c>
      <c r="E144" t="s">
        <v>22</v>
      </c>
      <c r="F144" s="375">
        <v>5</v>
      </c>
      <c r="G144" s="16">
        <f>'WetLitterbags placem_collection'!E71</f>
        <v>42767</v>
      </c>
      <c r="H144" t="str">
        <f>Wetseason!L70</f>
        <v>G448</v>
      </c>
      <c r="I144" t="str">
        <f>Wetseason!L290</f>
        <v>R414</v>
      </c>
      <c r="J144">
        <f>IFERROR(INDEX('Green_rooibos initial weight'!$C$5:$C$2000,MATCH(H144, 'Green_rooibos initial weight'!$A$5:$A$2000,0)),"")</f>
        <v>2.0179999999999998</v>
      </c>
      <c r="K144">
        <f>IFERROR(INDEX('Green_rooibos initial weight'!$C$5:$C$2000,MATCH(I144, 'Green_rooibos initial weight'!$A$5:$A$2000,0)),"")</f>
        <v>2.1349999999999998</v>
      </c>
      <c r="L144" s="194">
        <f t="shared" si="18"/>
        <v>1.7681999999999998</v>
      </c>
      <c r="M144" s="194">
        <f>AVERAGE(Ashed_controlls!$K$2:$K$11)</f>
        <v>5.5147656768714146</v>
      </c>
      <c r="N144" s="194">
        <f t="shared" si="15"/>
        <v>1.6706879133015595</v>
      </c>
      <c r="O144" s="194">
        <f t="shared" si="19"/>
        <v>1.8851999999999998</v>
      </c>
      <c r="P144" s="194">
        <f>AVERAGE(Ashed_controlls!$K$12:$K$14)</f>
        <v>2.2816647271287041</v>
      </c>
      <c r="Q144" s="194">
        <f t="shared" si="20"/>
        <v>1.8421860565641694</v>
      </c>
      <c r="R144" s="16">
        <f>IF('WetLitterbags placem_collection'!G71="","",'WetLitterbags placem_collection'!G71)</f>
        <v>42818</v>
      </c>
      <c r="S144" s="194" t="str">
        <f>IFERROR(INDEX('Both teabags AfterWet'!$C$3:$C$2000,MATCH(H144,'Both teabags AfterWet'!$A$3:$A$2000,0)),"")</f>
        <v/>
      </c>
      <c r="T144" s="194">
        <f>IFERROR(INDEX('Both teabags AfterWet'!$C$3:$C$2000,MATCH(I144,'Both teabags AfterWet'!$A$3:$A$2000,0)),"")</f>
        <v>2.403</v>
      </c>
      <c r="U144" s="194" t="str">
        <f t="shared" si="21"/>
        <v/>
      </c>
      <c r="V144" s="194">
        <f t="shared" si="22"/>
        <v>2.2524000000000002</v>
      </c>
      <c r="W144" s="194" t="str">
        <f>IFERROR(INDEX('Ashed teabags wet'!$K$2:$K$2000,MATCH(H144,'Ashed teabags wet'!$A$2:$A$2000,0)),"")</f>
        <v/>
      </c>
      <c r="X144" s="233">
        <f>IFERROR(INDEX('Ashed teabags wet'!$K$2:$K$2000,MATCH(I144,'Ashed teabags wet'!$A$2:$A$2000,0)),"")</f>
        <v>16.515513126491193</v>
      </c>
      <c r="Y144" s="194" t="str">
        <f t="shared" si="27"/>
        <v/>
      </c>
      <c r="Z144" s="194">
        <f t="shared" si="27"/>
        <v>1.8804045823389126</v>
      </c>
      <c r="AA144" s="194" t="str">
        <f t="shared" si="23"/>
        <v/>
      </c>
      <c r="AB144" s="194" t="str">
        <f t="shared" si="24"/>
        <v/>
      </c>
      <c r="AC144" s="194">
        <f t="shared" si="16"/>
        <v>1.0207462897890043</v>
      </c>
      <c r="AD144">
        <f t="shared" si="17"/>
        <v>51</v>
      </c>
      <c r="AE144" s="194" t="str">
        <f t="shared" si="25"/>
        <v/>
      </c>
      <c r="AF144" s="194" t="str">
        <f t="shared" si="26"/>
        <v/>
      </c>
      <c r="AG144" s="245" t="str">
        <f>IF(ISNUMBER(SEARCH("C",'WetLitterbags placem_collection'!$X71)),"YES","NO")</f>
        <v>NO</v>
      </c>
      <c r="AH144" s="245" t="str">
        <f>IF(ISNUMBER(SEARCH("H", 'WetLitterbags placem_collection'!$X71)),"YES","NO")</f>
        <v>NO</v>
      </c>
      <c r="AI144" s="245" t="str">
        <f>IF(ISNUMBER(SEARCH("R", 'WetLitterbags placem_collection'!$X71)),"YES","NO")</f>
        <v>YES</v>
      </c>
      <c r="AJ144" s="245" t="str">
        <f>IF(ISNUMBER(SEARCH("C", 'WetLitterbags placem_collection'!$V71)),"YES","NO")</f>
        <v>NO</v>
      </c>
      <c r="AK144" s="245" t="str">
        <f>IF(ISNUMBER(SEARCH("H", 'WetLitterbags placem_collection'!$V71)),"YES","NO")</f>
        <v>NO</v>
      </c>
      <c r="AL144" s="245" t="str">
        <f>IF(ISNUMBER(SEARCH("R", 'WetLitterbags placem_collection'!$V71)),"YES","NO")</f>
        <v>NO</v>
      </c>
    </row>
    <row r="145" spans="2:38">
      <c r="B145" t="str">
        <f>Wetseason!B71</f>
        <v>Wet</v>
      </c>
      <c r="C145" s="253">
        <f>Wetseason!C71</f>
        <v>70</v>
      </c>
      <c r="D145" t="s">
        <v>3111</v>
      </c>
      <c r="E145" t="s">
        <v>22</v>
      </c>
      <c r="F145" s="375">
        <v>6</v>
      </c>
      <c r="G145" s="16">
        <f>'WetLitterbags placem_collection'!E72</f>
        <v>42767</v>
      </c>
      <c r="H145" t="str">
        <f>Wetseason!L71</f>
        <v>G358</v>
      </c>
      <c r="I145" t="str">
        <f>Wetseason!L291</f>
        <v>R151</v>
      </c>
      <c r="J145">
        <f>IFERROR(INDEX('Green_rooibos initial weight'!$C$5:$C$2000,MATCH(H145, 'Green_rooibos initial weight'!$A$5:$A$2000,0)),"")</f>
        <v>2.016</v>
      </c>
      <c r="K145">
        <f>IFERROR(INDEX('Green_rooibos initial weight'!$C$5:$C$2000,MATCH(I145, 'Green_rooibos initial weight'!$A$5:$A$2000,0)),"")</f>
        <v>2.1920000000000002</v>
      </c>
      <c r="L145" s="194">
        <f t="shared" si="18"/>
        <v>1.7662</v>
      </c>
      <c r="M145" s="194">
        <f>AVERAGE(Ashed_controlls!$K$2:$K$11)</f>
        <v>5.5147656768714146</v>
      </c>
      <c r="N145" s="194">
        <f t="shared" si="15"/>
        <v>1.668798208615097</v>
      </c>
      <c r="O145" s="194">
        <f t="shared" si="19"/>
        <v>1.9422000000000001</v>
      </c>
      <c r="P145" s="194">
        <f>AVERAGE(Ashed_controlls!$K$12:$K$14)</f>
        <v>2.2816647271287041</v>
      </c>
      <c r="Q145" s="194">
        <f t="shared" si="20"/>
        <v>1.8978855076697065</v>
      </c>
      <c r="R145" s="16">
        <f>IF('WetLitterbags placem_collection'!G72="","",'WetLitterbags placem_collection'!G72)</f>
        <v>42818</v>
      </c>
      <c r="S145" s="194">
        <f>IFERROR(INDEX('Both teabags AfterWet'!$C$3:$C$2000,MATCH(H145,'Both teabags AfterWet'!$A$3:$A$2000,0)),"")</f>
        <v>0.84299999999999997</v>
      </c>
      <c r="T145" s="194">
        <f>IFERROR(INDEX('Both teabags AfterWet'!$C$3:$C$2000,MATCH(I145,'Both teabags AfterWet'!$A$3:$A$2000,0)),"")</f>
        <v>1.536</v>
      </c>
      <c r="U145" s="194">
        <f t="shared" si="21"/>
        <v>0.6923999999999999</v>
      </c>
      <c r="V145" s="194">
        <f t="shared" si="22"/>
        <v>1.3854</v>
      </c>
      <c r="W145" s="194">
        <f>IFERROR(INDEX('Ashed teabags wet'!$K$2:$K$2000,MATCH(H145,'Ashed teabags wet'!$A$2:$A$2000,0)),"")</f>
        <v>13.570741097208547</v>
      </c>
      <c r="X145" s="233">
        <f>IFERROR(INDEX('Ashed teabags wet'!$K$2:$K$2000,MATCH(I145,'Ashed teabags wet'!$A$2:$A$2000,0)),"")</f>
        <v>89.048562933597623</v>
      </c>
      <c r="Y145" s="194">
        <f t="shared" si="27"/>
        <v>0.59843618864292791</v>
      </c>
      <c r="Z145" s="194">
        <f t="shared" si="27"/>
        <v>0.15172120911793852</v>
      </c>
      <c r="AA145" s="194">
        <f t="shared" si="23"/>
        <v>0.6413969133274906</v>
      </c>
      <c r="AB145" s="194">
        <f t="shared" si="24"/>
        <v>0.42048823771588462</v>
      </c>
      <c r="AC145" s="194">
        <f t="shared" si="16"/>
        <v>7.9942234926609138E-2</v>
      </c>
      <c r="AD145">
        <f t="shared" si="17"/>
        <v>51</v>
      </c>
      <c r="AE145" s="194">
        <f t="shared" si="25"/>
        <v>0.23824594616687578</v>
      </c>
      <c r="AF145" s="194" t="str">
        <f t="shared" si="26"/>
        <v/>
      </c>
      <c r="AG145" s="245" t="str">
        <f>IF(ISNUMBER(SEARCH("C",'WetLitterbags placem_collection'!$X72)),"YES","NO")</f>
        <v>NO</v>
      </c>
      <c r="AH145" s="245" t="str">
        <f>IF(ISNUMBER(SEARCH("H", 'WetLitterbags placem_collection'!$X72)),"YES","NO")</f>
        <v>NO</v>
      </c>
      <c r="AI145" s="245" t="str">
        <f>IF(ISNUMBER(SEARCH("R", 'WetLitterbags placem_collection'!$X72)),"YES","NO")</f>
        <v>YES</v>
      </c>
      <c r="AJ145" s="245" t="str">
        <f>IF(ISNUMBER(SEARCH("C", 'WetLitterbags placem_collection'!$V72)),"YES","NO")</f>
        <v>YES</v>
      </c>
      <c r="AK145" s="245" t="str">
        <f>IF(ISNUMBER(SEARCH("H", 'WetLitterbags placem_collection'!$V72)),"YES","NO")</f>
        <v>YES</v>
      </c>
      <c r="AL145" s="245" t="str">
        <f>IF(ISNUMBER(SEARCH("R", 'WetLitterbags placem_collection'!$V72)),"YES","NO")</f>
        <v>YES</v>
      </c>
    </row>
    <row r="146" spans="2:38">
      <c r="B146" t="str">
        <f>Wetseason!B72</f>
        <v>Wet</v>
      </c>
      <c r="C146" s="253">
        <f>Wetseason!C72</f>
        <v>71</v>
      </c>
      <c r="D146" t="s">
        <v>3111</v>
      </c>
      <c r="E146" t="s">
        <v>22</v>
      </c>
      <c r="F146" s="375">
        <v>7</v>
      </c>
      <c r="G146" s="16">
        <f>'WetLitterbags placem_collection'!E73</f>
        <v>42767</v>
      </c>
      <c r="H146" t="str">
        <f>Wetseason!L72</f>
        <v>G511</v>
      </c>
      <c r="I146" t="str">
        <f>Wetseason!L292</f>
        <v>R95</v>
      </c>
      <c r="J146">
        <f>IFERROR(INDEX('Green_rooibos initial weight'!$C$5:$C$2000,MATCH(H146, 'Green_rooibos initial weight'!$A$5:$A$2000,0)),"")</f>
        <v>1.9930000000000001</v>
      </c>
      <c r="K146">
        <f>IFERROR(INDEX('Green_rooibos initial weight'!$C$5:$C$2000,MATCH(I146, 'Green_rooibos initial weight'!$A$5:$A$2000,0)),"")</f>
        <v>2.2160000000000002</v>
      </c>
      <c r="L146" s="194">
        <f t="shared" si="18"/>
        <v>1.7432000000000001</v>
      </c>
      <c r="M146" s="194">
        <f>AVERAGE(Ashed_controlls!$K$2:$K$11)</f>
        <v>5.5147656768714146</v>
      </c>
      <c r="N146" s="194">
        <f t="shared" si="15"/>
        <v>1.6470666047207776</v>
      </c>
      <c r="O146" s="194">
        <f t="shared" si="19"/>
        <v>1.9662000000000002</v>
      </c>
      <c r="P146" s="194">
        <f>AVERAGE(Ashed_controlls!$K$12:$K$14)</f>
        <v>2.2816647271287041</v>
      </c>
      <c r="Q146" s="194">
        <f t="shared" si="20"/>
        <v>1.9213379081351956</v>
      </c>
      <c r="R146" s="16">
        <f>IF('WetLitterbags placem_collection'!G73="","",'WetLitterbags placem_collection'!G73)</f>
        <v>42818</v>
      </c>
      <c r="S146" s="194">
        <f>IFERROR(INDEX('Both teabags AfterWet'!$C$3:$C$2000,MATCH(H146,'Both teabags AfterWet'!$A$3:$A$2000,0)),"")</f>
        <v>0.83740000000000003</v>
      </c>
      <c r="T146" s="194">
        <f>IFERROR(INDEX('Both teabags AfterWet'!$C$3:$C$2000,MATCH(I146,'Both teabags AfterWet'!$A$3:$A$2000,0)),"")</f>
        <v>1.6388</v>
      </c>
      <c r="U146" s="194">
        <f t="shared" si="21"/>
        <v>0.68680000000000008</v>
      </c>
      <c r="V146" s="194">
        <f t="shared" si="22"/>
        <v>1.4882</v>
      </c>
      <c r="W146" s="194">
        <f>IFERROR(INDEX('Ashed teabags wet'!$K$2:$K$2000,MATCH(H146,'Ashed teabags wet'!$A$2:$A$2000,0)),"")</f>
        <v>9.3359960059912463</v>
      </c>
      <c r="X146" s="233">
        <f>IFERROR(INDEX('Ashed teabags wet'!$K$2:$K$2000,MATCH(I146,'Ashed teabags wet'!$A$2:$A$2000,0)),"")</f>
        <v>3.275434243175928</v>
      </c>
      <c r="Y146" s="194">
        <f t="shared" si="27"/>
        <v>0.62268037943085219</v>
      </c>
      <c r="Z146" s="194">
        <f t="shared" si="27"/>
        <v>1.4394549875930558</v>
      </c>
      <c r="AA146" s="194">
        <f t="shared" si="23"/>
        <v>0.62194584138483378</v>
      </c>
      <c r="AB146" s="194">
        <f t="shared" si="24"/>
        <v>0.40773646608601932</v>
      </c>
      <c r="AC146" s="194">
        <f t="shared" si="16"/>
        <v>0.74919408059259929</v>
      </c>
      <c r="AD146">
        <f t="shared" si="17"/>
        <v>51</v>
      </c>
      <c r="AE146" s="194">
        <f t="shared" si="25"/>
        <v>0.2613469817282259</v>
      </c>
      <c r="AF146" s="194">
        <f t="shared" si="26"/>
        <v>1.8721916071122599E-2</v>
      </c>
      <c r="AG146" s="245" t="str">
        <f>IF(ISNUMBER(SEARCH("C",'WetLitterbags placem_collection'!$X73)),"YES","NO")</f>
        <v>NO</v>
      </c>
      <c r="AH146" s="245" t="str">
        <f>IF(ISNUMBER(SEARCH("H", 'WetLitterbags placem_collection'!$X73)),"YES","NO")</f>
        <v>NO</v>
      </c>
      <c r="AI146" s="245" t="str">
        <f>IF(ISNUMBER(SEARCH("R", 'WetLitterbags placem_collection'!$X73)),"YES","NO")</f>
        <v>YES</v>
      </c>
      <c r="AJ146" s="245" t="str">
        <f>IF(ISNUMBER(SEARCH("C", 'WetLitterbags placem_collection'!$V73)),"YES","NO")</f>
        <v>NO</v>
      </c>
      <c r="AK146" s="245" t="str">
        <f>IF(ISNUMBER(SEARCH("H", 'WetLitterbags placem_collection'!$V73)),"YES","NO")</f>
        <v>NO</v>
      </c>
      <c r="AL146" s="245" t="str">
        <f>IF(ISNUMBER(SEARCH("R", 'WetLitterbags placem_collection'!$V73)),"YES","NO")</f>
        <v>YES</v>
      </c>
    </row>
    <row r="147" spans="2:38">
      <c r="B147" t="str">
        <f>Wetseason!B73</f>
        <v>Wet</v>
      </c>
      <c r="C147" s="253">
        <f>Wetseason!C73</f>
        <v>72</v>
      </c>
      <c r="D147" t="s">
        <v>3111</v>
      </c>
      <c r="E147" t="s">
        <v>22</v>
      </c>
      <c r="F147" s="375">
        <v>8</v>
      </c>
      <c r="G147" s="16">
        <f>'WetLitterbags placem_collection'!E74</f>
        <v>42767</v>
      </c>
      <c r="H147" t="str">
        <f>Wetseason!L73</f>
        <v>G383</v>
      </c>
      <c r="I147" t="str">
        <f>Wetseason!L293</f>
        <v>R546</v>
      </c>
      <c r="J147">
        <f>IFERROR(INDEX('Green_rooibos initial weight'!$C$5:$C$2000,MATCH(H147, 'Green_rooibos initial weight'!$A$5:$A$2000,0)),"")</f>
        <v>1.956</v>
      </c>
      <c r="K147">
        <f>IFERROR(INDEX('Green_rooibos initial weight'!$C$5:$C$2000,MATCH(I147, 'Green_rooibos initial weight'!$A$5:$A$2000,0)),"")</f>
        <v>2.2250000000000001</v>
      </c>
      <c r="L147" s="194">
        <f t="shared" si="18"/>
        <v>1.7061999999999999</v>
      </c>
      <c r="M147" s="194">
        <f>AVERAGE(Ashed_controlls!$K$2:$K$11)</f>
        <v>5.5147656768714146</v>
      </c>
      <c r="N147" s="194">
        <f t="shared" si="15"/>
        <v>1.6121070680212199</v>
      </c>
      <c r="O147" s="194">
        <f t="shared" si="19"/>
        <v>1.9752000000000001</v>
      </c>
      <c r="P147" s="194">
        <f>AVERAGE(Ashed_controlls!$K$12:$K$14)</f>
        <v>2.2816647271287041</v>
      </c>
      <c r="Q147" s="194">
        <f t="shared" si="20"/>
        <v>1.9301325583097539</v>
      </c>
      <c r="R147" s="16">
        <f>IF('WetLitterbags placem_collection'!G74="","",'WetLitterbags placem_collection'!G74)</f>
        <v>42818</v>
      </c>
      <c r="S147" s="194">
        <f>IFERROR(INDEX('Both teabags AfterWet'!$C$3:$C$2000,MATCH(H147,'Both teabags AfterWet'!$A$3:$A$2000,0)),"")</f>
        <v>0.82550000000000001</v>
      </c>
      <c r="T147" s="194">
        <f>IFERROR(INDEX('Both teabags AfterWet'!$C$3:$C$2000,MATCH(I147,'Both teabags AfterWet'!$A$3:$A$2000,0)),"")</f>
        <v>1.5403</v>
      </c>
      <c r="U147" s="194">
        <f t="shared" si="21"/>
        <v>0.67490000000000006</v>
      </c>
      <c r="V147" s="194">
        <f t="shared" si="22"/>
        <v>1.3896999999999999</v>
      </c>
      <c r="W147" s="194">
        <f>IFERROR(INDEX('Ashed teabags wet'!$K$2:$K$2000,MATCH(H147,'Ashed teabags wet'!$A$2:$A$2000,0)),"")</f>
        <v>8.9603960396033298</v>
      </c>
      <c r="X147" s="233">
        <f>IFERROR(INDEX('Ashed teabags wet'!$K$2:$K$2000,MATCH(I147,'Ashed teabags wet'!$A$2:$A$2000,0)),"")</f>
        <v>5.6566650270533065</v>
      </c>
      <c r="Y147" s="194">
        <f t="shared" si="27"/>
        <v>0.61442628712871716</v>
      </c>
      <c r="Z147" s="194">
        <f t="shared" si="27"/>
        <v>1.3110893261190402</v>
      </c>
      <c r="AA147" s="194">
        <f t="shared" si="23"/>
        <v>0.61886756821747924</v>
      </c>
      <c r="AB147" s="194">
        <f t="shared" si="24"/>
        <v>0.40571840576727863</v>
      </c>
      <c r="AC147" s="194">
        <f t="shared" si="16"/>
        <v>0.67927423972744172</v>
      </c>
      <c r="AD147">
        <f t="shared" si="17"/>
        <v>51</v>
      </c>
      <c r="AE147" s="194">
        <f t="shared" si="25"/>
        <v>0.26500288810275618</v>
      </c>
      <c r="AF147" s="194">
        <f t="shared" si="26"/>
        <v>3.0648913881434509E-2</v>
      </c>
      <c r="AG147" s="245" t="str">
        <f>IF(ISNUMBER(SEARCH("C",'WetLitterbags placem_collection'!$X74)),"YES","NO")</f>
        <v>NO</v>
      </c>
      <c r="AH147" s="245" t="str">
        <f>IF(ISNUMBER(SEARCH("H", 'WetLitterbags placem_collection'!$X74)),"YES","NO")</f>
        <v>NO</v>
      </c>
      <c r="AI147" s="245" t="str">
        <f>IF(ISNUMBER(SEARCH("R", 'WetLitterbags placem_collection'!$X74)),"YES","NO")</f>
        <v>YES</v>
      </c>
      <c r="AJ147" s="245" t="str">
        <f>IF(ISNUMBER(SEARCH("C", 'WetLitterbags placem_collection'!$V74)),"YES","NO")</f>
        <v>NO</v>
      </c>
      <c r="AK147" s="245" t="str">
        <f>IF(ISNUMBER(SEARCH("H", 'WetLitterbags placem_collection'!$V74)),"YES","NO")</f>
        <v>NO</v>
      </c>
      <c r="AL147" s="245" t="str">
        <f>IF(ISNUMBER(SEARCH("R", 'WetLitterbags placem_collection'!$V74)),"YES","NO")</f>
        <v>YES</v>
      </c>
    </row>
    <row r="148" spans="2:38">
      <c r="B148" t="str">
        <f>Wetseason!B74</f>
        <v>Wet</v>
      </c>
      <c r="C148" s="253">
        <f>Wetseason!C74</f>
        <v>73</v>
      </c>
      <c r="D148" t="s">
        <v>3113</v>
      </c>
      <c r="E148" t="s">
        <v>22</v>
      </c>
      <c r="F148" s="374">
        <v>1</v>
      </c>
      <c r="G148" s="16">
        <f>'WetLitterbags placem_collection'!E75</f>
        <v>42767</v>
      </c>
      <c r="H148" t="str">
        <f>Wetseason!L74</f>
        <v>G549</v>
      </c>
      <c r="I148" t="str">
        <f>Wetseason!L294</f>
        <v>R438</v>
      </c>
      <c r="J148">
        <f>IFERROR(INDEX('Green_rooibos initial weight'!$C$5:$C$2000,MATCH(H148, 'Green_rooibos initial weight'!$A$5:$A$2000,0)),"")</f>
        <v>2.016</v>
      </c>
      <c r="K148">
        <f>IFERROR(INDEX('Green_rooibos initial weight'!$C$5:$C$2000,MATCH(I148, 'Green_rooibos initial weight'!$A$5:$A$2000,0)),"")</f>
        <v>2.1829999999999998</v>
      </c>
      <c r="L148" s="194">
        <f t="shared" si="18"/>
        <v>1.7662</v>
      </c>
      <c r="M148" s="194">
        <f>AVERAGE(Ashed_controlls!$K$2:$K$11)</f>
        <v>5.5147656768714146</v>
      </c>
      <c r="N148" s="194">
        <f t="shared" si="15"/>
        <v>1.668798208615097</v>
      </c>
      <c r="O148" s="194">
        <f t="shared" si="19"/>
        <v>1.9331999999999998</v>
      </c>
      <c r="P148" s="194">
        <f>AVERAGE(Ashed_controlls!$K$12:$K$14)</f>
        <v>2.2816647271287041</v>
      </c>
      <c r="Q148" s="194">
        <f t="shared" si="20"/>
        <v>1.8890908574951477</v>
      </c>
      <c r="R148" s="16">
        <f>IF('WetLitterbags placem_collection'!G75="","",'WetLitterbags placem_collection'!G75)</f>
        <v>42818</v>
      </c>
      <c r="S148" s="194">
        <f>IFERROR(INDEX('Both teabags AfterWet'!$C$3:$C$2000,MATCH(H148,'Both teabags AfterWet'!$A$3:$A$2000,0)),"")</f>
        <v>0.74199999999999999</v>
      </c>
      <c r="T148" s="194">
        <f>IFERROR(INDEX('Both teabags AfterWet'!$C$3:$C$2000,MATCH(I148,'Both teabags AfterWet'!$A$3:$A$2000,0)),"")</f>
        <v>0.17480000000000001</v>
      </c>
      <c r="U148" s="194">
        <f t="shared" si="21"/>
        <v>0.59139999999999993</v>
      </c>
      <c r="V148" s="194">
        <f t="shared" si="22"/>
        <v>2.4199999999999999E-2</v>
      </c>
      <c r="W148" s="194">
        <f>IFERROR(INDEX('Ashed teabags wet'!$K$2:$K$2000,MATCH(H148,'Ashed teabags wet'!$A$2:$A$2000,0)),"")</f>
        <v>10.980392156862093</v>
      </c>
      <c r="X148" s="233">
        <f>IFERROR(INDEX('Ashed teabags wet'!$K$2:$K$2000,MATCH(I148,'Ashed teabags wet'!$A$2:$A$2000,0)),"")</f>
        <v>0</v>
      </c>
      <c r="Y148" s="194">
        <f t="shared" si="27"/>
        <v>0.52646196078431751</v>
      </c>
      <c r="Z148" s="194">
        <f t="shared" si="27"/>
        <v>2.4199999999999999E-2</v>
      </c>
      <c r="AA148" s="194">
        <f t="shared" si="23"/>
        <v>0.68452629079628635</v>
      </c>
      <c r="AB148" s="194">
        <f t="shared" si="24"/>
        <v>0.44876307900184098</v>
      </c>
      <c r="AC148" s="194">
        <f t="shared" si="16"/>
        <v>1.2810394960085798E-2</v>
      </c>
      <c r="AD148">
        <f t="shared" si="17"/>
        <v>51</v>
      </c>
      <c r="AE148" s="194">
        <f t="shared" si="25"/>
        <v>0.18702340760536063</v>
      </c>
      <c r="AF148" s="194" t="str">
        <f t="shared" si="26"/>
        <v/>
      </c>
      <c r="AG148" s="245" t="str">
        <f>IF(ISNUMBER(SEARCH("C",'WetLitterbags placem_collection'!$X75)),"YES","NO")</f>
        <v>NO</v>
      </c>
      <c r="AH148" s="245" t="str">
        <f>IF(ISNUMBER(SEARCH("H", 'WetLitterbags placem_collection'!$X75)),"YES","NO")</f>
        <v>NO</v>
      </c>
      <c r="AI148" s="245" t="str">
        <f>IF(ISNUMBER(SEARCH("R", 'WetLitterbags placem_collection'!$X75)),"YES","NO")</f>
        <v>YES</v>
      </c>
      <c r="AJ148" s="245" t="str">
        <f>IF(ISNUMBER(SEARCH("C", 'WetLitterbags placem_collection'!$V75)),"YES","NO")</f>
        <v>NO</v>
      </c>
      <c r="AK148" s="245" t="str">
        <f>IF(ISNUMBER(SEARCH("H", 'WetLitterbags placem_collection'!$V75)),"YES","NO")</f>
        <v>YES</v>
      </c>
      <c r="AL148" s="245" t="str">
        <f>IF(ISNUMBER(SEARCH("R", 'WetLitterbags placem_collection'!$V75)),"YES","NO")</f>
        <v>YES</v>
      </c>
    </row>
    <row r="149" spans="2:38">
      <c r="B149" t="str">
        <f>Wetseason!B75</f>
        <v>Wet</v>
      </c>
      <c r="C149" s="253">
        <f>Wetseason!C75</f>
        <v>74</v>
      </c>
      <c r="D149" t="s">
        <v>3113</v>
      </c>
      <c r="E149" t="s">
        <v>22</v>
      </c>
      <c r="F149" s="374">
        <v>2</v>
      </c>
      <c r="G149" s="16">
        <f>'WetLitterbags placem_collection'!E76</f>
        <v>42767</v>
      </c>
      <c r="H149" t="str">
        <f>Wetseason!L75</f>
        <v>G605</v>
      </c>
      <c r="I149" t="str">
        <f>Wetseason!L295</f>
        <v>R122</v>
      </c>
      <c r="J149">
        <f>IFERROR(INDEX('Green_rooibos initial weight'!$C$5:$C$2000,MATCH(H149, 'Green_rooibos initial weight'!$A$5:$A$2000,0)),"")</f>
        <v>2.0459999999999998</v>
      </c>
      <c r="K149">
        <f>IFERROR(INDEX('Green_rooibos initial weight'!$C$5:$C$2000,MATCH(I149, 'Green_rooibos initial weight'!$A$5:$A$2000,0)),"")</f>
        <v>2.2189999999999999</v>
      </c>
      <c r="L149" s="194">
        <f t="shared" si="18"/>
        <v>1.7961999999999998</v>
      </c>
      <c r="M149" s="194">
        <f>AVERAGE(Ashed_controlls!$K$2:$K$11)</f>
        <v>5.5147656768714146</v>
      </c>
      <c r="N149" s="194">
        <f t="shared" si="15"/>
        <v>1.6971437789120354</v>
      </c>
      <c r="O149" s="194">
        <f t="shared" si="19"/>
        <v>1.9691999999999998</v>
      </c>
      <c r="P149" s="194">
        <f>AVERAGE(Ashed_controlls!$K$12:$K$14)</f>
        <v>2.2816647271287041</v>
      </c>
      <c r="Q149" s="194">
        <f t="shared" si="20"/>
        <v>1.9242694581933815</v>
      </c>
      <c r="R149" s="16">
        <f>IF('WetLitterbags placem_collection'!G76="","",'WetLitterbags placem_collection'!G76)</f>
        <v>42818</v>
      </c>
      <c r="S149" s="194">
        <f>IFERROR(INDEX('Both teabags AfterWet'!$C$3:$C$2000,MATCH(H149,'Both teabags AfterWet'!$A$3:$A$2000,0)),"")</f>
        <v>1.1950000000000001</v>
      </c>
      <c r="T149" s="194">
        <f>IFERROR(INDEX('Both teabags AfterWet'!$C$3:$C$2000,MATCH(I149,'Both teabags AfterWet'!$A$3:$A$2000,0)),"")</f>
        <v>0.35499999999999998</v>
      </c>
      <c r="U149" s="194">
        <f t="shared" si="21"/>
        <v>1.0444</v>
      </c>
      <c r="V149" s="194">
        <f t="shared" si="22"/>
        <v>0.20439999999999997</v>
      </c>
      <c r="W149" s="194">
        <f>IFERROR(INDEX('Ashed teabags wet'!$K$2:$K$2000,MATCH(H149,'Ashed teabags wet'!$A$2:$A$2000,0)),"")</f>
        <v>62.512315270936703</v>
      </c>
      <c r="X149" s="233">
        <f>IFERROR(INDEX('Ashed teabags wet'!$K$2:$K$2000,MATCH(I149,'Ashed teabags wet'!$A$2:$A$2000,0)),"")</f>
        <v>0</v>
      </c>
      <c r="Y149" s="194">
        <f t="shared" si="27"/>
        <v>0.39152137931033704</v>
      </c>
      <c r="Z149" s="194">
        <f t="shared" si="27"/>
        <v>0.20439999999999997</v>
      </c>
      <c r="AA149" s="194">
        <f t="shared" si="23"/>
        <v>0.76930570987843805</v>
      </c>
      <c r="AB149" s="194">
        <f t="shared" si="24"/>
        <v>0.50434293569227773</v>
      </c>
      <c r="AC149" s="194">
        <f t="shared" si="16"/>
        <v>0.10622212971768664</v>
      </c>
      <c r="AD149">
        <f t="shared" si="17"/>
        <v>51</v>
      </c>
      <c r="AE149" s="194">
        <f t="shared" si="25"/>
        <v>8.6335261427033183E-2</v>
      </c>
      <c r="AF149" s="194" t="str">
        <f t="shared" si="26"/>
        <v/>
      </c>
      <c r="AG149" s="245" t="str">
        <f>IF(ISNUMBER(SEARCH("C",'WetLitterbags placem_collection'!$X76)),"YES","NO")</f>
        <v>NO</v>
      </c>
      <c r="AH149" s="245" t="str">
        <f>IF(ISNUMBER(SEARCH("H", 'WetLitterbags placem_collection'!$X76)),"YES","NO")</f>
        <v>NO</v>
      </c>
      <c r="AI149" s="245" t="str">
        <f>IF(ISNUMBER(SEARCH("R", 'WetLitterbags placem_collection'!$X76)),"YES","NO")</f>
        <v>YES</v>
      </c>
      <c r="AJ149" s="245" t="str">
        <f>IF(ISNUMBER(SEARCH("C", 'WetLitterbags placem_collection'!$V76)),"YES","NO")</f>
        <v>NO</v>
      </c>
      <c r="AK149" s="245" t="str">
        <f>IF(ISNUMBER(SEARCH("H", 'WetLitterbags placem_collection'!$V76)),"YES","NO")</f>
        <v>YES</v>
      </c>
      <c r="AL149" s="245" t="str">
        <f>IF(ISNUMBER(SEARCH("R", 'WetLitterbags placem_collection'!$V76)),"YES","NO")</f>
        <v>YES</v>
      </c>
    </row>
    <row r="150" spans="2:38">
      <c r="B150" t="str">
        <f>Wetseason!B76</f>
        <v>Wet</v>
      </c>
      <c r="C150" s="253">
        <f>Wetseason!C76</f>
        <v>75</v>
      </c>
      <c r="D150" t="s">
        <v>3113</v>
      </c>
      <c r="E150" t="s">
        <v>22</v>
      </c>
      <c r="F150" s="374">
        <v>3</v>
      </c>
      <c r="G150" s="16">
        <f>'WetLitterbags placem_collection'!E77</f>
        <v>42767</v>
      </c>
      <c r="H150" t="str">
        <f>Wetseason!L76</f>
        <v>G408</v>
      </c>
      <c r="I150" t="str">
        <f>Wetseason!L296</f>
        <v>R404</v>
      </c>
      <c r="J150">
        <f>IFERROR(INDEX('Green_rooibos initial weight'!$C$5:$C$2000,MATCH(H150, 'Green_rooibos initial weight'!$A$5:$A$2000,0)),"")</f>
        <v>2.044</v>
      </c>
      <c r="K150">
        <f>IFERROR(INDEX('Green_rooibos initial weight'!$C$5:$C$2000,MATCH(I150, 'Green_rooibos initial weight'!$A$5:$A$2000,0)),"")</f>
        <v>2.1779999999999999</v>
      </c>
      <c r="L150" s="194">
        <f t="shared" si="18"/>
        <v>1.7942</v>
      </c>
      <c r="M150" s="194">
        <f>AVERAGE(Ashed_controlls!$K$2:$K$11)</f>
        <v>5.5147656768714146</v>
      </c>
      <c r="N150" s="194">
        <f t="shared" si="15"/>
        <v>1.6952540742255731</v>
      </c>
      <c r="O150" s="194">
        <f t="shared" si="19"/>
        <v>1.9281999999999999</v>
      </c>
      <c r="P150" s="194">
        <f>AVERAGE(Ashed_controlls!$K$12:$K$14)</f>
        <v>2.2816647271287041</v>
      </c>
      <c r="Q150" s="194">
        <f t="shared" si="20"/>
        <v>1.8842049407315042</v>
      </c>
      <c r="R150" s="16">
        <f>IF('WetLitterbags placem_collection'!G77="","",'WetLitterbags placem_collection'!G77)</f>
        <v>42818</v>
      </c>
      <c r="S150" s="194">
        <f>IFERROR(INDEX('Both teabags AfterWet'!$C$3:$C$2000,MATCH(H150,'Both teabags AfterWet'!$A$3:$A$2000,0)),"")</f>
        <v>0.85780000000000001</v>
      </c>
      <c r="T150" s="194">
        <f>IFERROR(INDEX('Both teabags AfterWet'!$C$3:$C$2000,MATCH(I150,'Both teabags AfterWet'!$A$3:$A$2000,0)),"")</f>
        <v>0.15579999999999999</v>
      </c>
      <c r="U150" s="194">
        <f t="shared" si="21"/>
        <v>0.70720000000000005</v>
      </c>
      <c r="V150" s="194">
        <f t="shared" si="22"/>
        <v>5.1999999999999824E-3</v>
      </c>
      <c r="W150" s="194">
        <f>IFERROR(INDEX('Ashed teabags wet'!$K$2:$K$2000,MATCH(H150,'Ashed teabags wet'!$A$2:$A$2000,0)),"")</f>
        <v>10.812157448929053</v>
      </c>
      <c r="X150" s="233">
        <f>IFERROR(INDEX('Ashed teabags wet'!$K$2:$K$2000,MATCH(I150,'Ashed teabags wet'!$A$2:$A$2000,0)),"")</f>
        <v>0</v>
      </c>
      <c r="Y150" s="194">
        <f t="shared" si="27"/>
        <v>0.63073642252117379</v>
      </c>
      <c r="Z150" s="194">
        <f t="shared" si="27"/>
        <v>5.1999999999999824E-3</v>
      </c>
      <c r="AA150" s="194">
        <f t="shared" si="23"/>
        <v>0.62793988694036496</v>
      </c>
      <c r="AB150" s="194">
        <f t="shared" si="24"/>
        <v>0.41166605414617757</v>
      </c>
      <c r="AC150" s="194">
        <f t="shared" si="16"/>
        <v>2.7597847174634775E-3</v>
      </c>
      <c r="AD150">
        <f t="shared" si="17"/>
        <v>51</v>
      </c>
      <c r="AE150" s="194">
        <f t="shared" si="25"/>
        <v>0.25422816277866389</v>
      </c>
      <c r="AF150" s="194" t="str">
        <f t="shared" si="26"/>
        <v/>
      </c>
      <c r="AG150" s="245" t="str">
        <f>IF(ISNUMBER(SEARCH("C",'WetLitterbags placem_collection'!$X77)),"YES","NO")</f>
        <v>NO</v>
      </c>
      <c r="AH150" s="245" t="str">
        <f>IF(ISNUMBER(SEARCH("H", 'WetLitterbags placem_collection'!$X77)),"YES","NO")</f>
        <v>NO</v>
      </c>
      <c r="AI150" s="245" t="str">
        <f>IF(ISNUMBER(SEARCH("R", 'WetLitterbags placem_collection'!$X77)),"YES","NO")</f>
        <v>YES</v>
      </c>
      <c r="AJ150" s="245" t="str">
        <f>IF(ISNUMBER(SEARCH("C", 'WetLitterbags placem_collection'!$V77)),"YES","NO")</f>
        <v>NO</v>
      </c>
      <c r="AK150" s="245" t="str">
        <f>IF(ISNUMBER(SEARCH("H", 'WetLitterbags placem_collection'!$V77)),"YES","NO")</f>
        <v>YES</v>
      </c>
      <c r="AL150" s="245" t="str">
        <f>IF(ISNUMBER(SEARCH("R", 'WetLitterbags placem_collection'!$V77)),"YES","NO")</f>
        <v>YES</v>
      </c>
    </row>
    <row r="151" spans="2:38">
      <c r="B151" t="str">
        <f>Wetseason!B77</f>
        <v>Wet</v>
      </c>
      <c r="C151" s="253">
        <f>Wetseason!C77</f>
        <v>76</v>
      </c>
      <c r="D151" t="s">
        <v>3113</v>
      </c>
      <c r="E151" t="s">
        <v>22</v>
      </c>
      <c r="F151" s="375">
        <v>4</v>
      </c>
      <c r="G151" s="16">
        <f>'WetLitterbags placem_collection'!E78</f>
        <v>42767</v>
      </c>
      <c r="H151" t="str">
        <f>Wetseason!L77</f>
        <v>G416</v>
      </c>
      <c r="I151" t="str">
        <f>Wetseason!L297</f>
        <v>R501</v>
      </c>
      <c r="J151">
        <f>IFERROR(INDEX('Green_rooibos initial weight'!$C$5:$C$2000,MATCH(H151, 'Green_rooibos initial weight'!$A$5:$A$2000,0)),"")</f>
        <v>2.1819999999999999</v>
      </c>
      <c r="K151">
        <f>IFERROR(INDEX('Green_rooibos initial weight'!$C$5:$C$2000,MATCH(I151, 'Green_rooibos initial weight'!$A$5:$A$2000,0)),"")</f>
        <v>2.1379999999999999</v>
      </c>
      <c r="L151" s="194">
        <f t="shared" si="18"/>
        <v>1.9321999999999999</v>
      </c>
      <c r="M151" s="194">
        <f>AVERAGE(Ashed_controlls!$K$2:$K$11)</f>
        <v>5.5147656768714146</v>
      </c>
      <c r="N151" s="194">
        <f t="shared" si="15"/>
        <v>1.8256436975914905</v>
      </c>
      <c r="O151" s="194">
        <f t="shared" si="19"/>
        <v>1.8881999999999999</v>
      </c>
      <c r="P151" s="194">
        <f>AVERAGE(Ashed_controlls!$K$12:$K$14)</f>
        <v>2.2816647271287041</v>
      </c>
      <c r="Q151" s="194">
        <f t="shared" si="20"/>
        <v>1.8451176066223556</v>
      </c>
      <c r="R151" s="16">
        <f>IF('WetLitterbags placem_collection'!G78="","",'WetLitterbags placem_collection'!G78)</f>
        <v>42818</v>
      </c>
      <c r="S151" s="194">
        <f>IFERROR(INDEX('Both teabags AfterWet'!$C$3:$C$2000,MATCH(H151,'Both teabags AfterWet'!$A$3:$A$2000,0)),"")</f>
        <v>0.94399999999999995</v>
      </c>
      <c r="T151" s="194">
        <f>IFERROR(INDEX('Both teabags AfterWet'!$C$3:$C$2000,MATCH(I151,'Both teabags AfterWet'!$A$3:$A$2000,0)),"")</f>
        <v>0.29499999999999998</v>
      </c>
      <c r="U151" s="194">
        <f t="shared" si="21"/>
        <v>0.79339999999999988</v>
      </c>
      <c r="V151" s="194">
        <f t="shared" si="22"/>
        <v>0.14439999999999997</v>
      </c>
      <c r="W151" s="194">
        <f>IFERROR(INDEX('Ashed teabags wet'!$K$2:$K$2000,MATCH(H151,'Ashed teabags wet'!$A$2:$A$2000,0)),"")</f>
        <v>14.711729622266519</v>
      </c>
      <c r="X151" s="233">
        <f>IFERROR(INDEX('Ashed teabags wet'!$K$2:$K$2000,MATCH(I151,'Ashed teabags wet'!$A$2:$A$2000,0)),"")</f>
        <v>84.313725490194741</v>
      </c>
      <c r="Y151" s="194">
        <f t="shared" si="27"/>
        <v>0.67667713717693734</v>
      </c>
      <c r="Z151" s="194">
        <f t="shared" si="27"/>
        <v>2.2650980392158779E-2</v>
      </c>
      <c r="AA151" s="194">
        <f t="shared" si="23"/>
        <v>0.62934873980631911</v>
      </c>
      <c r="AB151" s="194">
        <f t="shared" si="24"/>
        <v>0.41258967265212371</v>
      </c>
      <c r="AC151" s="194">
        <f t="shared" si="16"/>
        <v>1.2276171616845239E-2</v>
      </c>
      <c r="AD151">
        <f t="shared" si="17"/>
        <v>51</v>
      </c>
      <c r="AE151" s="194">
        <f t="shared" si="25"/>
        <v>0.25255494084760199</v>
      </c>
      <c r="AF151" s="194" t="str">
        <f t="shared" si="26"/>
        <v/>
      </c>
      <c r="AG151" s="245" t="str">
        <f>IF(ISNUMBER(SEARCH("C",'WetLitterbags placem_collection'!$X78)),"YES","NO")</f>
        <v>NO</v>
      </c>
      <c r="AH151" s="245" t="str">
        <f>IF(ISNUMBER(SEARCH("H", 'WetLitterbags placem_collection'!$X78)),"YES","NO")</f>
        <v>NO</v>
      </c>
      <c r="AI151" s="245" t="str">
        <f>IF(ISNUMBER(SEARCH("R", 'WetLitterbags placem_collection'!$X78)),"YES","NO")</f>
        <v>YES</v>
      </c>
      <c r="AJ151" s="245" t="str">
        <f>IF(ISNUMBER(SEARCH("C", 'WetLitterbags placem_collection'!$V78)),"YES","NO")</f>
        <v>NO</v>
      </c>
      <c r="AK151" s="245" t="str">
        <f>IF(ISNUMBER(SEARCH("H", 'WetLitterbags placem_collection'!$V78)),"YES","NO")</f>
        <v>YES</v>
      </c>
      <c r="AL151" s="245" t="str">
        <f>IF(ISNUMBER(SEARCH("R", 'WetLitterbags placem_collection'!$V78)),"YES","NO")</f>
        <v>NO</v>
      </c>
    </row>
    <row r="152" spans="2:38">
      <c r="B152" t="str">
        <f>Wetseason!B78</f>
        <v>Wet</v>
      </c>
      <c r="C152" s="253">
        <f>Wetseason!C78</f>
        <v>77</v>
      </c>
      <c r="D152" t="s">
        <v>3113</v>
      </c>
      <c r="E152" t="s">
        <v>22</v>
      </c>
      <c r="F152" s="375">
        <v>5</v>
      </c>
      <c r="G152" s="16">
        <f>'WetLitterbags placem_collection'!E79</f>
        <v>42767</v>
      </c>
      <c r="H152" t="str">
        <f>Wetseason!L78</f>
        <v>G594</v>
      </c>
      <c r="I152" t="str">
        <f>Wetseason!L298</f>
        <v>R137</v>
      </c>
      <c r="J152">
        <f>IFERROR(INDEX('Green_rooibos initial weight'!$C$5:$C$2000,MATCH(H152, 'Green_rooibos initial weight'!$A$5:$A$2000,0)),"")</f>
        <v>2.0680000000000001</v>
      </c>
      <c r="K152">
        <f>IFERROR(INDEX('Green_rooibos initial weight'!$C$5:$C$2000,MATCH(I152, 'Green_rooibos initial weight'!$A$5:$A$2000,0)),"")</f>
        <v>2.198</v>
      </c>
      <c r="L152" s="194">
        <f t="shared" si="18"/>
        <v>1.8182</v>
      </c>
      <c r="M152" s="194">
        <f>AVERAGE(Ashed_controlls!$K$2:$K$11)</f>
        <v>5.5147656768714146</v>
      </c>
      <c r="N152" s="194">
        <f t="shared" si="15"/>
        <v>1.7179305304631241</v>
      </c>
      <c r="O152" s="194">
        <f t="shared" si="19"/>
        <v>1.9481999999999999</v>
      </c>
      <c r="P152" s="194">
        <f>AVERAGE(Ashed_controlls!$K$12:$K$14)</f>
        <v>2.2816647271287041</v>
      </c>
      <c r="Q152" s="194">
        <f t="shared" si="20"/>
        <v>1.9037486077860786</v>
      </c>
      <c r="R152" s="16">
        <f>IF('WetLitterbags placem_collection'!G79="","",'WetLitterbags placem_collection'!G79)</f>
        <v>42818</v>
      </c>
      <c r="S152" s="194">
        <f>IFERROR(INDEX('Both teabags AfterWet'!$C$3:$C$2000,MATCH(H152,'Both teabags AfterWet'!$A$3:$A$2000,0)),"")</f>
        <v>0.94699999999999995</v>
      </c>
      <c r="T152" s="194">
        <f>IFERROR(INDEX('Both teabags AfterWet'!$C$3:$C$2000,MATCH(I152,'Both teabags AfterWet'!$A$3:$A$2000,0)),"")</f>
        <v>1.698</v>
      </c>
      <c r="U152" s="194">
        <f t="shared" si="21"/>
        <v>0.7964</v>
      </c>
      <c r="V152" s="194">
        <f t="shared" si="22"/>
        <v>1.5473999999999999</v>
      </c>
      <c r="W152" s="194">
        <f>IFERROR(INDEX('Ashed teabags wet'!$K$2:$K$2000,MATCH(H152,'Ashed teabags wet'!$A$2:$A$2000,0)),"")</f>
        <v>12.475633528264789</v>
      </c>
      <c r="X152" s="233">
        <f>IFERROR(INDEX('Ashed teabags wet'!$K$2:$K$2000,MATCH(I152,'Ashed teabags wet'!$A$2:$A$2000,0)),"")</f>
        <v>11.808300395256206</v>
      </c>
      <c r="Y152" s="194">
        <f t="shared" si="27"/>
        <v>0.69704405458089924</v>
      </c>
      <c r="Z152" s="194">
        <f t="shared" si="27"/>
        <v>1.3646783596838055</v>
      </c>
      <c r="AA152" s="194">
        <f t="shared" si="23"/>
        <v>0.59425364284492432</v>
      </c>
      <c r="AB152" s="194">
        <f t="shared" si="24"/>
        <v>0.38958196062992673</v>
      </c>
      <c r="AC152" s="194">
        <f t="shared" si="16"/>
        <v>0.71683748269201752</v>
      </c>
      <c r="AD152">
        <f t="shared" si="17"/>
        <v>51</v>
      </c>
      <c r="AE152" s="194">
        <f t="shared" si="25"/>
        <v>0.29423557856897342</v>
      </c>
      <c r="AF152" s="194">
        <f t="shared" si="26"/>
        <v>2.544482294530637E-2</v>
      </c>
      <c r="AG152" s="245" t="str">
        <f>IF(ISNUMBER(SEARCH("C",'WetLitterbags placem_collection'!$X79)),"YES","NO")</f>
        <v>NO</v>
      </c>
      <c r="AH152" s="245" t="str">
        <f>IF(ISNUMBER(SEARCH("H", 'WetLitterbags placem_collection'!$X79)),"YES","NO")</f>
        <v>NO</v>
      </c>
      <c r="AI152" s="245" t="str">
        <f>IF(ISNUMBER(SEARCH("R", 'WetLitterbags placem_collection'!$X79)),"YES","NO")</f>
        <v>YES</v>
      </c>
      <c r="AJ152" s="245" t="str">
        <f>IF(ISNUMBER(SEARCH("C", 'WetLitterbags placem_collection'!$V79)),"YES","NO")</f>
        <v>NO</v>
      </c>
      <c r="AK152" s="245" t="str">
        <f>IF(ISNUMBER(SEARCH("H", 'WetLitterbags placem_collection'!$V79)),"YES","NO")</f>
        <v>NO</v>
      </c>
      <c r="AL152" s="245" t="str">
        <f>IF(ISNUMBER(SEARCH("R", 'WetLitterbags placem_collection'!$V79)),"YES","NO")</f>
        <v>YES</v>
      </c>
    </row>
    <row r="153" spans="2:38">
      <c r="B153" t="str">
        <f>Wetseason!B79</f>
        <v>Wet</v>
      </c>
      <c r="C153" s="253">
        <f>Wetseason!C79</f>
        <v>78</v>
      </c>
      <c r="D153" t="s">
        <v>3113</v>
      </c>
      <c r="E153" t="s">
        <v>22</v>
      </c>
      <c r="F153" s="375">
        <v>6</v>
      </c>
      <c r="G153" s="16">
        <f>'WetLitterbags placem_collection'!E80</f>
        <v>42767</v>
      </c>
      <c r="H153" t="str">
        <f>Wetseason!L79</f>
        <v>G460</v>
      </c>
      <c r="I153" t="str">
        <f>Wetseason!L299</f>
        <v>R278</v>
      </c>
      <c r="J153">
        <f>IFERROR(INDEX('Green_rooibos initial weight'!$C$5:$C$2000,MATCH(H153, 'Green_rooibos initial weight'!$A$5:$A$2000,0)),"")</f>
        <v>2.1560000000000001</v>
      </c>
      <c r="K153">
        <f>IFERROR(INDEX('Green_rooibos initial weight'!$C$5:$C$2000,MATCH(I153, 'Green_rooibos initial weight'!$A$5:$A$2000,0)),"")</f>
        <v>2.198</v>
      </c>
      <c r="L153" s="194">
        <f t="shared" si="18"/>
        <v>1.9062000000000001</v>
      </c>
      <c r="M153" s="194">
        <f>AVERAGE(Ashed_controlls!$K$2:$K$11)</f>
        <v>5.5147656768714146</v>
      </c>
      <c r="N153" s="194">
        <f t="shared" si="15"/>
        <v>1.8010775366674772</v>
      </c>
      <c r="O153" s="194">
        <f t="shared" si="19"/>
        <v>1.9481999999999999</v>
      </c>
      <c r="P153" s="194">
        <f>AVERAGE(Ashed_controlls!$K$12:$K$14)</f>
        <v>2.2816647271287041</v>
      </c>
      <c r="Q153" s="194">
        <f t="shared" si="20"/>
        <v>1.9037486077860786</v>
      </c>
      <c r="R153" s="16">
        <f>IF('WetLitterbags placem_collection'!G80="","",'WetLitterbags placem_collection'!G80)</f>
        <v>42818</v>
      </c>
      <c r="S153" s="194">
        <f>IFERROR(INDEX('Both teabags AfterWet'!$C$3:$C$2000,MATCH(H153,'Both teabags AfterWet'!$A$3:$A$2000,0)),"")</f>
        <v>0.90669999999999995</v>
      </c>
      <c r="T153" s="194">
        <f>IFERROR(INDEX('Both teabags AfterWet'!$C$3:$C$2000,MATCH(I153,'Both teabags AfterWet'!$A$3:$A$2000,0)),"")</f>
        <v>1.6845000000000001</v>
      </c>
      <c r="U153" s="194">
        <f t="shared" si="21"/>
        <v>0.75609999999999999</v>
      </c>
      <c r="V153" s="194">
        <f t="shared" si="22"/>
        <v>1.5339</v>
      </c>
      <c r="W153" s="194">
        <f>IFERROR(INDEX('Ashed teabags wet'!$K$2:$K$2000,MATCH(H153,'Ashed teabags wet'!$A$2:$A$2000,0)),"")</f>
        <v>10.069790628115374</v>
      </c>
      <c r="X153" s="233">
        <f>IFERROR(INDEX('Ashed teabags wet'!$K$2:$K$2000,MATCH(I153,'Ashed teabags wet'!$A$2:$A$2000,0)),"")</f>
        <v>0</v>
      </c>
      <c r="Y153" s="194">
        <f t="shared" si="27"/>
        <v>0.67996231306081967</v>
      </c>
      <c r="Z153" s="194">
        <f t="shared" si="27"/>
        <v>1.5339</v>
      </c>
      <c r="AA153" s="194">
        <f t="shared" si="23"/>
        <v>0.62246916125612795</v>
      </c>
      <c r="AB153" s="194">
        <f t="shared" si="24"/>
        <v>0.40807954514653527</v>
      </c>
      <c r="AC153" s="194">
        <f t="shared" si="16"/>
        <v>0.80572613092219902</v>
      </c>
      <c r="AD153">
        <f t="shared" si="17"/>
        <v>51</v>
      </c>
      <c r="AE153" s="194">
        <f t="shared" si="25"/>
        <v>0.26072546169105937</v>
      </c>
      <c r="AF153" s="194">
        <f t="shared" si="26"/>
        <v>1.2674403377642847E-2</v>
      </c>
      <c r="AG153" s="245" t="str">
        <f>IF(ISNUMBER(SEARCH("C",'WetLitterbags placem_collection'!$X80)),"YES","NO")</f>
        <v>NO</v>
      </c>
      <c r="AH153" s="245" t="str">
        <f>IF(ISNUMBER(SEARCH("H", 'WetLitterbags placem_collection'!$X80)),"YES","NO")</f>
        <v>NO</v>
      </c>
      <c r="AI153" s="245" t="str">
        <f>IF(ISNUMBER(SEARCH("R", 'WetLitterbags placem_collection'!$X80)),"YES","NO")</f>
        <v>YES</v>
      </c>
      <c r="AJ153" s="245" t="str">
        <f>IF(ISNUMBER(SEARCH("C", 'WetLitterbags placem_collection'!$V80)),"YES","NO")</f>
        <v>NO</v>
      </c>
      <c r="AK153" s="245" t="str">
        <f>IF(ISNUMBER(SEARCH("H", 'WetLitterbags placem_collection'!$V80)),"YES","NO")</f>
        <v>NO</v>
      </c>
      <c r="AL153" s="245" t="str">
        <f>IF(ISNUMBER(SEARCH("R", 'WetLitterbags placem_collection'!$V80)),"YES","NO")</f>
        <v>YES</v>
      </c>
    </row>
    <row r="154" spans="2:38">
      <c r="B154" t="str">
        <f>Wetseason!B80</f>
        <v>Wet</v>
      </c>
      <c r="C154" s="253">
        <f>Wetseason!C80</f>
        <v>79</v>
      </c>
      <c r="D154" t="s">
        <v>3113</v>
      </c>
      <c r="E154" t="s">
        <v>22</v>
      </c>
      <c r="F154" s="375">
        <v>7</v>
      </c>
      <c r="G154" s="16">
        <f>'WetLitterbags placem_collection'!E81</f>
        <v>42767</v>
      </c>
      <c r="H154" t="str">
        <f>Wetseason!L80</f>
        <v>G217</v>
      </c>
      <c r="I154" t="str">
        <f>Wetseason!L300</f>
        <v>R235</v>
      </c>
      <c r="J154">
        <f>IFERROR(INDEX('Green_rooibos initial weight'!$C$5:$C$2000,MATCH(H154, 'Green_rooibos initial weight'!$A$5:$A$2000,0)),"")</f>
        <v>1.944</v>
      </c>
      <c r="K154">
        <f>IFERROR(INDEX('Green_rooibos initial weight'!$C$5:$C$2000,MATCH(I154, 'Green_rooibos initial weight'!$A$5:$A$2000,0)),"")</f>
        <v>2.169</v>
      </c>
      <c r="L154" s="194">
        <f t="shared" si="18"/>
        <v>1.6941999999999999</v>
      </c>
      <c r="M154" s="194">
        <f>AVERAGE(Ashed_controlls!$K$2:$K$11)</f>
        <v>5.5147656768714146</v>
      </c>
      <c r="N154" s="194">
        <f t="shared" si="15"/>
        <v>1.6007688399024445</v>
      </c>
      <c r="O154" s="194">
        <f t="shared" si="19"/>
        <v>1.9192</v>
      </c>
      <c r="P154" s="194">
        <f>AVERAGE(Ashed_controlls!$K$12:$K$14)</f>
        <v>2.2816647271287041</v>
      </c>
      <c r="Q154" s="194">
        <f t="shared" si="20"/>
        <v>1.8754102905569459</v>
      </c>
      <c r="R154" s="16">
        <f>IF('WetLitterbags placem_collection'!G81="","",'WetLitterbags placem_collection'!G81)</f>
        <v>42818</v>
      </c>
      <c r="S154" s="194">
        <f>IFERROR(INDEX('Both teabags AfterWet'!$C$3:$C$2000,MATCH(H154,'Both teabags AfterWet'!$A$3:$A$2000,0)),"")</f>
        <v>0.85370000000000001</v>
      </c>
      <c r="T154" s="194">
        <f>IFERROR(INDEX('Both teabags AfterWet'!$C$3:$C$2000,MATCH(I154,'Both teabags AfterWet'!$A$3:$A$2000,0)),"")</f>
        <v>1.5528</v>
      </c>
      <c r="U154" s="194">
        <f t="shared" si="21"/>
        <v>0.70310000000000006</v>
      </c>
      <c r="V154" s="194">
        <f t="shared" si="22"/>
        <v>1.4021999999999999</v>
      </c>
      <c r="W154" s="194">
        <f>IFERROR(INDEX('Ashed teabags wet'!$K$2:$K$2000,MATCH(H154,'Ashed teabags wet'!$A$2:$A$2000,0)),"")</f>
        <v>15.104419621176483</v>
      </c>
      <c r="X154" s="233">
        <f>IFERROR(INDEX('Ashed teabags wet'!$K$2:$K$2000,MATCH(I154,'Ashed teabags wet'!$A$2:$A$2000,0)),"")</f>
        <v>8.7084148727974071</v>
      </c>
      <c r="Y154" s="194">
        <f t="shared" si="27"/>
        <v>0.59690082564350821</v>
      </c>
      <c r="Z154" s="194">
        <f t="shared" si="27"/>
        <v>1.2800906066536346</v>
      </c>
      <c r="AA154" s="194">
        <f t="shared" si="23"/>
        <v>0.62711616395538716</v>
      </c>
      <c r="AB154" s="194">
        <f t="shared" si="24"/>
        <v>0.41112603622728472</v>
      </c>
      <c r="AC154" s="194">
        <f t="shared" si="16"/>
        <v>0.68256563009125992</v>
      </c>
      <c r="AD154">
        <f t="shared" si="17"/>
        <v>51</v>
      </c>
      <c r="AE154" s="194">
        <f t="shared" si="25"/>
        <v>0.25520645610999149</v>
      </c>
      <c r="AF154" s="194">
        <f t="shared" si="26"/>
        <v>2.8997854504346048E-2</v>
      </c>
      <c r="AG154" s="245" t="str">
        <f>IF(ISNUMBER(SEARCH("C",'WetLitterbags placem_collection'!$X81)),"YES","NO")</f>
        <v>NO</v>
      </c>
      <c r="AH154" s="245" t="str">
        <f>IF(ISNUMBER(SEARCH("H", 'WetLitterbags placem_collection'!$X81)),"YES","NO")</f>
        <v>NO</v>
      </c>
      <c r="AI154" s="245" t="str">
        <f>IF(ISNUMBER(SEARCH("R", 'WetLitterbags placem_collection'!$X81)),"YES","NO")</f>
        <v>YES</v>
      </c>
      <c r="AJ154" s="245" t="str">
        <f>IF(ISNUMBER(SEARCH("C", 'WetLitterbags placem_collection'!$V81)),"YES","NO")</f>
        <v>NO</v>
      </c>
      <c r="AK154" s="245" t="str">
        <f>IF(ISNUMBER(SEARCH("H", 'WetLitterbags placem_collection'!$V81)),"YES","NO")</f>
        <v>NO</v>
      </c>
      <c r="AL154" s="245" t="str">
        <f>IF(ISNUMBER(SEARCH("R", 'WetLitterbags placem_collection'!$V81)),"YES","NO")</f>
        <v>YES</v>
      </c>
    </row>
    <row r="155" spans="2:38">
      <c r="B155" t="str">
        <f>Wetseason!B81</f>
        <v>Wet</v>
      </c>
      <c r="C155" s="253">
        <f>Wetseason!C81</f>
        <v>80</v>
      </c>
      <c r="D155" t="s">
        <v>3113</v>
      </c>
      <c r="E155" t="s">
        <v>22</v>
      </c>
      <c r="F155" s="375">
        <v>8</v>
      </c>
      <c r="G155" s="16">
        <f>'WetLitterbags placem_collection'!E82</f>
        <v>42767</v>
      </c>
      <c r="H155" t="str">
        <f>Wetseason!L81</f>
        <v>G607</v>
      </c>
      <c r="I155" t="str">
        <f>Wetseason!L301</f>
        <v>R181</v>
      </c>
      <c r="J155">
        <f>IFERROR(INDEX('Green_rooibos initial weight'!$C$5:$C$2000,MATCH(H155, 'Green_rooibos initial weight'!$A$5:$A$2000,0)),"")</f>
        <v>1.9450000000000001</v>
      </c>
      <c r="K155">
        <f>IFERROR(INDEX('Green_rooibos initial weight'!$C$5:$C$2000,MATCH(I155, 'Green_rooibos initial weight'!$A$5:$A$2000,0)),"")</f>
        <v>2.1749999999999998</v>
      </c>
      <c r="L155" s="194">
        <f t="shared" si="18"/>
        <v>1.6952</v>
      </c>
      <c r="M155" s="194">
        <f>AVERAGE(Ashed_controlls!$K$2:$K$11)</f>
        <v>5.5147656768714146</v>
      </c>
      <c r="N155" s="194">
        <f t="shared" si="15"/>
        <v>1.6017136922456758</v>
      </c>
      <c r="O155" s="194">
        <f t="shared" si="19"/>
        <v>1.9251999999999998</v>
      </c>
      <c r="P155" s="194">
        <f>AVERAGE(Ashed_controlls!$K$12:$K$14)</f>
        <v>2.2816647271287041</v>
      </c>
      <c r="Q155" s="194">
        <f t="shared" si="20"/>
        <v>1.8812733906733179</v>
      </c>
      <c r="R155" s="16">
        <f>IF('WetLitterbags placem_collection'!G82="","",'WetLitterbags placem_collection'!G82)</f>
        <v>42818</v>
      </c>
      <c r="S155" s="194">
        <f>IFERROR(INDEX('Both teabags AfterWet'!$C$3:$C$2000,MATCH(H155,'Both teabags AfterWet'!$A$3:$A$2000,0)),"")</f>
        <v>0.92400000000000004</v>
      </c>
      <c r="T155" s="194">
        <f>IFERROR(INDEX('Both teabags AfterWet'!$C$3:$C$2000,MATCH(I155,'Both teabags AfterWet'!$A$3:$A$2000,0)),"")</f>
        <v>0.23799999999999999</v>
      </c>
      <c r="U155" s="194">
        <f t="shared" si="21"/>
        <v>0.77340000000000009</v>
      </c>
      <c r="V155" s="194">
        <f t="shared" si="22"/>
        <v>8.7399999999999978E-2</v>
      </c>
      <c r="W155" s="194">
        <f>IFERROR(INDEX('Ashed teabags wet'!$K$2:$K$2000,MATCH(H155,'Ashed teabags wet'!$A$2:$A$2000,0)),"")</f>
        <v>13.619696176008233</v>
      </c>
      <c r="X155" s="233">
        <f>IFERROR(INDEX('Ashed teabags wet'!$K$2:$K$2000,MATCH(I155,'Ashed teabags wet'!$A$2:$A$2000,0)),"")</f>
        <v>0</v>
      </c>
      <c r="Y155" s="194">
        <f t="shared" si="27"/>
        <v>0.66806526977475245</v>
      </c>
      <c r="Z155" s="194">
        <f t="shared" si="27"/>
        <v>8.7399999999999978E-2</v>
      </c>
      <c r="AA155" s="194">
        <f t="shared" si="23"/>
        <v>0.58290593817794334</v>
      </c>
      <c r="AB155" s="194">
        <f t="shared" si="24"/>
        <v>0.38214261030192964</v>
      </c>
      <c r="AC155" s="194">
        <f t="shared" si="16"/>
        <v>4.6457894122830835E-2</v>
      </c>
      <c r="AD155">
        <f t="shared" si="17"/>
        <v>51</v>
      </c>
      <c r="AE155" s="194">
        <f t="shared" si="25"/>
        <v>0.30771266249650431</v>
      </c>
      <c r="AF155" s="194" t="str">
        <f t="shared" si="26"/>
        <v/>
      </c>
      <c r="AG155" s="245" t="str">
        <f>IF(ISNUMBER(SEARCH("C",'WetLitterbags placem_collection'!$X82)),"YES","NO")</f>
        <v>NO</v>
      </c>
      <c r="AH155" s="245" t="str">
        <f>IF(ISNUMBER(SEARCH("H", 'WetLitterbags placem_collection'!$X82)),"YES","NO")</f>
        <v>NO</v>
      </c>
      <c r="AI155" s="245" t="str">
        <f>IF(ISNUMBER(SEARCH("R", 'WetLitterbags placem_collection'!$X82)),"YES","NO")</f>
        <v>YES</v>
      </c>
      <c r="AJ155" s="245" t="str">
        <f>IF(ISNUMBER(SEARCH("C", 'WetLitterbags placem_collection'!$V82)),"YES","NO")</f>
        <v>YES</v>
      </c>
      <c r="AK155" s="245" t="str">
        <f>IF(ISNUMBER(SEARCH("H", 'WetLitterbags placem_collection'!$V82)),"YES","NO")</f>
        <v>YES</v>
      </c>
      <c r="AL155" s="245" t="str">
        <f>IF(ISNUMBER(SEARCH("R", 'WetLitterbags placem_collection'!$V82)),"YES","NO")</f>
        <v>NO</v>
      </c>
    </row>
    <row r="156" spans="2:38">
      <c r="B156" t="str">
        <f>Wetseason!B82</f>
        <v>Wet</v>
      </c>
      <c r="C156" s="253">
        <f>Wetseason!C82</f>
        <v>81</v>
      </c>
      <c r="D156" t="s">
        <v>3114</v>
      </c>
      <c r="E156" t="s">
        <v>22</v>
      </c>
      <c r="F156" s="374">
        <v>1</v>
      </c>
      <c r="G156" s="16">
        <f>'WetLitterbags placem_collection'!E83</f>
        <v>42767</v>
      </c>
      <c r="H156" t="str">
        <f>Wetseason!L82</f>
        <v>G542</v>
      </c>
      <c r="I156" t="str">
        <f>Wetseason!L302</f>
        <v>R187</v>
      </c>
      <c r="J156">
        <f>IFERROR(INDEX('Green_rooibos initial weight'!$C$5:$C$2000,MATCH(H156, 'Green_rooibos initial weight'!$A$5:$A$2000,0)),"")</f>
        <v>2.0779999999999998</v>
      </c>
      <c r="K156">
        <f>IFERROR(INDEX('Green_rooibos initial weight'!$C$5:$C$2000,MATCH(I156, 'Green_rooibos initial weight'!$A$5:$A$2000,0)),"")</f>
        <v>2.2210000000000001</v>
      </c>
      <c r="L156" s="194">
        <f t="shared" si="18"/>
        <v>1.8281999999999998</v>
      </c>
      <c r="M156" s="194">
        <f>AVERAGE(Ashed_controlls!$K$2:$K$11)</f>
        <v>5.5147656768714146</v>
      </c>
      <c r="N156" s="194">
        <f t="shared" si="15"/>
        <v>1.7273790538954366</v>
      </c>
      <c r="O156" s="194">
        <f t="shared" si="19"/>
        <v>1.9712000000000001</v>
      </c>
      <c r="P156" s="194">
        <f>AVERAGE(Ashed_controlls!$K$12:$K$14)</f>
        <v>2.2816647271287041</v>
      </c>
      <c r="Q156" s="194">
        <f t="shared" si="20"/>
        <v>1.926223824898839</v>
      </c>
      <c r="R156" s="16">
        <f>IF('WetLitterbags placem_collection'!G83="","",'WetLitterbags placem_collection'!G83)</f>
        <v>42818</v>
      </c>
      <c r="S156" s="194">
        <f>IFERROR(INDEX('Both teabags AfterWet'!$C$3:$C$2000,MATCH(H156,'Both teabags AfterWet'!$A$3:$A$2000,0)),"")</f>
        <v>0.85099999999999998</v>
      </c>
      <c r="T156" s="194">
        <f>IFERROR(INDEX('Both teabags AfterWet'!$C$3:$C$2000,MATCH(I156,'Both teabags AfterWet'!$A$3:$A$2000,0)),"")</f>
        <v>1.8420000000000001</v>
      </c>
      <c r="U156" s="194">
        <f t="shared" si="21"/>
        <v>0.70039999999999991</v>
      </c>
      <c r="V156" s="194">
        <f t="shared" si="22"/>
        <v>1.6914</v>
      </c>
      <c r="W156" s="194">
        <f>IFERROR(INDEX('Ashed teabags wet'!$K$2:$K$2000,MATCH(H156,'Ashed teabags wet'!$A$2:$A$2000,0)),"")</f>
        <v>15.009940357852306</v>
      </c>
      <c r="X156" s="233">
        <f>IFERROR(INDEX('Ashed teabags wet'!$K$2:$K$2000,MATCH(I156,'Ashed teabags wet'!$A$2:$A$2000,0)),"")</f>
        <v>4.2141794744665662</v>
      </c>
      <c r="Y156" s="194">
        <f t="shared" si="27"/>
        <v>0.59527037773360236</v>
      </c>
      <c r="Z156" s="194">
        <f t="shared" si="27"/>
        <v>1.6201213683688724</v>
      </c>
      <c r="AA156" s="194">
        <f t="shared" si="23"/>
        <v>0.65539099458732009</v>
      </c>
      <c r="AB156" s="194">
        <f t="shared" si="24"/>
        <v>0.429662504765084</v>
      </c>
      <c r="AC156" s="194">
        <f t="shared" si="16"/>
        <v>0.84108676646337177</v>
      </c>
      <c r="AD156">
        <f t="shared" si="17"/>
        <v>51</v>
      </c>
      <c r="AE156" s="194">
        <f t="shared" si="25"/>
        <v>0.22162589716470293</v>
      </c>
      <c r="AF156" s="194">
        <f t="shared" si="26"/>
        <v>9.0550359543918896E-3</v>
      </c>
      <c r="AG156" s="245" t="str">
        <f>IF(ISNUMBER(SEARCH("C",'WetLitterbags placem_collection'!$X83)),"YES","NO")</f>
        <v>NO</v>
      </c>
      <c r="AH156" s="245" t="str">
        <f>IF(ISNUMBER(SEARCH("H", 'WetLitterbags placem_collection'!$X83)),"YES","NO")</f>
        <v>NO</v>
      </c>
      <c r="AI156" s="245" t="str">
        <f>IF(ISNUMBER(SEARCH("R", 'WetLitterbags placem_collection'!$X83)),"YES","NO")</f>
        <v>YES</v>
      </c>
      <c r="AJ156" s="245" t="str">
        <f>IF(ISNUMBER(SEARCH("C", 'WetLitterbags placem_collection'!$V83)),"YES","NO")</f>
        <v>NO</v>
      </c>
      <c r="AK156" s="245" t="str">
        <f>IF(ISNUMBER(SEARCH("H", 'WetLitterbags placem_collection'!$V83)),"YES","NO")</f>
        <v>YES</v>
      </c>
      <c r="AL156" s="245" t="str">
        <f>IF(ISNUMBER(SEARCH("R", 'WetLitterbags placem_collection'!$V83)),"YES","NO")</f>
        <v>YES</v>
      </c>
    </row>
    <row r="157" spans="2:38">
      <c r="B157" t="str">
        <f>Wetseason!B83</f>
        <v>Wet</v>
      </c>
      <c r="C157" s="253">
        <f>Wetseason!C83</f>
        <v>82</v>
      </c>
      <c r="D157" t="s">
        <v>3114</v>
      </c>
      <c r="E157" t="s">
        <v>22</v>
      </c>
      <c r="F157" s="374">
        <v>2</v>
      </c>
      <c r="G157" s="16">
        <f>'WetLitterbags placem_collection'!E84</f>
        <v>42767</v>
      </c>
      <c r="H157" t="str">
        <f>Wetseason!L83</f>
        <v>G536</v>
      </c>
      <c r="I157" t="str">
        <f>Wetseason!L303</f>
        <v>R83</v>
      </c>
      <c r="J157">
        <f>IFERROR(INDEX('Green_rooibos initial weight'!$C$5:$C$2000,MATCH(H157, 'Green_rooibos initial weight'!$A$5:$A$2000,0)),"")</f>
        <v>2.0510000000000002</v>
      </c>
      <c r="K157">
        <f>IFERROR(INDEX('Green_rooibos initial weight'!$C$5:$C$2000,MATCH(I157, 'Green_rooibos initial weight'!$A$5:$A$2000,0)),"")</f>
        <v>2.0390000000000001</v>
      </c>
      <c r="L157" s="194">
        <f t="shared" si="18"/>
        <v>1.8012000000000001</v>
      </c>
      <c r="M157" s="194">
        <f>AVERAGE(Ashed_controlls!$K$2:$K$11)</f>
        <v>5.5147656768714146</v>
      </c>
      <c r="N157" s="194">
        <f t="shared" si="15"/>
        <v>1.7018680406281923</v>
      </c>
      <c r="O157" s="194">
        <f t="shared" si="19"/>
        <v>1.7892000000000001</v>
      </c>
      <c r="P157" s="194">
        <f>AVERAGE(Ashed_controlls!$K$12:$K$14)</f>
        <v>2.2816647271287041</v>
      </c>
      <c r="Q157" s="194">
        <f t="shared" si="20"/>
        <v>1.7483764547022134</v>
      </c>
      <c r="R157" s="16">
        <f>IF('WetLitterbags placem_collection'!G84="","",'WetLitterbags placem_collection'!G84)</f>
        <v>42819</v>
      </c>
      <c r="S157" s="194">
        <f>IFERROR(INDEX('Both teabags AfterWet'!$C$3:$C$2000,MATCH(H157,'Both teabags AfterWet'!$A$3:$A$2000,0)),"")</f>
        <v>0.748</v>
      </c>
      <c r="T157" s="194">
        <f>IFERROR(INDEX('Both teabags AfterWet'!$C$3:$C$2000,MATCH(I157,'Both teabags AfterWet'!$A$3:$A$2000,0)),"")</f>
        <v>1.5940000000000001</v>
      </c>
      <c r="U157" s="194">
        <f t="shared" si="21"/>
        <v>0.59739999999999993</v>
      </c>
      <c r="V157" s="194">
        <f t="shared" si="22"/>
        <v>1.4434</v>
      </c>
      <c r="W157" s="194">
        <f>IFERROR(INDEX('Ashed teabags wet'!$K$2:$K$2000,MATCH(H157,'Ashed teabags wet'!$A$2:$A$2000,0)),"")</f>
        <v>10.317848410758481</v>
      </c>
      <c r="X157" s="233">
        <f>IFERROR(INDEX('Ashed teabags wet'!$K$2:$K$2000,MATCH(I157,'Ashed teabags wet'!$A$2:$A$2000,0)),"")</f>
        <v>4.9489795918371247</v>
      </c>
      <c r="Y157" s="194">
        <f t="shared" si="27"/>
        <v>0.53576117359412878</v>
      </c>
      <c r="Z157" s="194">
        <f t="shared" si="27"/>
        <v>1.371966428571423</v>
      </c>
      <c r="AA157" s="194">
        <f t="shared" si="23"/>
        <v>0.68519229411208116</v>
      </c>
      <c r="AB157" s="194">
        <f t="shared" si="24"/>
        <v>0.44919969875281335</v>
      </c>
      <c r="AC157" s="194">
        <f t="shared" si="16"/>
        <v>0.78470882222278548</v>
      </c>
      <c r="AD157">
        <f t="shared" si="17"/>
        <v>52</v>
      </c>
      <c r="AE157" s="194">
        <f t="shared" si="25"/>
        <v>0.18623242979562804</v>
      </c>
      <c r="AF157" s="194">
        <f t="shared" si="26"/>
        <v>1.2548797102174084E-2</v>
      </c>
      <c r="AG157" s="245" t="str">
        <f>IF(ISNUMBER(SEARCH("C",'WetLitterbags placem_collection'!$X84)),"YES","NO")</f>
        <v>NO</v>
      </c>
      <c r="AH157" s="245" t="str">
        <f>IF(ISNUMBER(SEARCH("H", 'WetLitterbags placem_collection'!$X84)),"YES","NO")</f>
        <v>NO</v>
      </c>
      <c r="AI157" s="245" t="str">
        <f>IF(ISNUMBER(SEARCH("R", 'WetLitterbags placem_collection'!$X84)),"YES","NO")</f>
        <v>YES</v>
      </c>
      <c r="AJ157" s="245" t="str">
        <f>IF(ISNUMBER(SEARCH("C", 'WetLitterbags placem_collection'!$V84)),"YES","NO")</f>
        <v>NO</v>
      </c>
      <c r="AK157" s="245" t="str">
        <f>IF(ISNUMBER(SEARCH("H", 'WetLitterbags placem_collection'!$V84)),"YES","NO")</f>
        <v>YES</v>
      </c>
      <c r="AL157" s="245" t="str">
        <f>IF(ISNUMBER(SEARCH("R", 'WetLitterbags placem_collection'!$V84)),"YES","NO")</f>
        <v>YES</v>
      </c>
    </row>
    <row r="158" spans="2:38">
      <c r="B158" t="str">
        <f>Wetseason!B84</f>
        <v>Wet</v>
      </c>
      <c r="C158" s="253">
        <f>Wetseason!C84</f>
        <v>83</v>
      </c>
      <c r="D158" t="s">
        <v>3114</v>
      </c>
      <c r="E158" t="s">
        <v>22</v>
      </c>
      <c r="F158" s="374">
        <v>3</v>
      </c>
      <c r="G158" s="16">
        <f>'WetLitterbags placem_collection'!E85</f>
        <v>42767</v>
      </c>
      <c r="H158" t="str">
        <f>Wetseason!L84</f>
        <v>G494</v>
      </c>
      <c r="I158" t="str">
        <f>Wetseason!L304</f>
        <v>R134</v>
      </c>
      <c r="J158">
        <f>IFERROR(INDEX('Green_rooibos initial weight'!$C$5:$C$2000,MATCH(H158, 'Green_rooibos initial weight'!$A$5:$A$2000,0)),"")</f>
        <v>1.903</v>
      </c>
      <c r="K158">
        <f>IFERROR(INDEX('Green_rooibos initial weight'!$C$5:$C$2000,MATCH(I158, 'Green_rooibos initial weight'!$A$5:$A$2000,0)),"")</f>
        <v>2.21</v>
      </c>
      <c r="L158" s="194">
        <f t="shared" si="18"/>
        <v>1.6532</v>
      </c>
      <c r="M158" s="194">
        <f>AVERAGE(Ashed_controlls!$K$2:$K$11)</f>
        <v>5.5147656768714146</v>
      </c>
      <c r="N158" s="194">
        <f t="shared" si="15"/>
        <v>1.5620298938299617</v>
      </c>
      <c r="O158" s="194">
        <f t="shared" si="19"/>
        <v>1.9601999999999999</v>
      </c>
      <c r="P158" s="194">
        <f>AVERAGE(Ashed_controlls!$K$12:$K$14)</f>
        <v>2.2816647271287041</v>
      </c>
      <c r="Q158" s="194">
        <f t="shared" si="20"/>
        <v>1.9154748080188231</v>
      </c>
      <c r="R158" s="16">
        <f>IF('WetLitterbags placem_collection'!G85="","",'WetLitterbags placem_collection'!G85)</f>
        <v>42819</v>
      </c>
      <c r="S158" s="194">
        <f>IFERROR(INDEX('Both teabags AfterWet'!$C$3:$C$2000,MATCH(H158,'Both teabags AfterWet'!$A$3:$A$2000,0)),"")</f>
        <v>0.90200000000000002</v>
      </c>
      <c r="T158" s="194">
        <f>IFERROR(INDEX('Both teabags AfterWet'!$C$3:$C$2000,MATCH(I158,'Both teabags AfterWet'!$A$3:$A$2000,0)),"")</f>
        <v>0.98799999999999999</v>
      </c>
      <c r="U158" s="194">
        <f t="shared" si="21"/>
        <v>0.75140000000000007</v>
      </c>
      <c r="V158" s="194">
        <f t="shared" si="22"/>
        <v>0.83739999999999992</v>
      </c>
      <c r="W158" s="194">
        <f>IFERROR(INDEX('Ashed teabags wet'!$K$2:$K$2000,MATCH(H158,'Ashed teabags wet'!$A$2:$A$2000,0)),"")</f>
        <v>18.525798525798983</v>
      </c>
      <c r="X158" s="233">
        <f>IFERROR(INDEX('Ashed teabags wet'!$K$2:$K$2000,MATCH(I158,'Ashed teabags wet'!$A$2:$A$2000,0)),"")</f>
        <v>61.99804113614087</v>
      </c>
      <c r="Y158" s="194">
        <f t="shared" si="27"/>
        <v>0.61219714987714646</v>
      </c>
      <c r="Z158" s="194">
        <f t="shared" si="27"/>
        <v>0.31822840352595638</v>
      </c>
      <c r="AA158" s="194">
        <f t="shared" si="23"/>
        <v>0.60807590668057432</v>
      </c>
      <c r="AB158" s="194">
        <f t="shared" si="24"/>
        <v>0.39864358727752619</v>
      </c>
      <c r="AC158" s="194">
        <f t="shared" si="16"/>
        <v>0.16613552012991506</v>
      </c>
      <c r="AD158">
        <f t="shared" si="17"/>
        <v>52</v>
      </c>
      <c r="AE158" s="194">
        <f t="shared" si="25"/>
        <v>0.27781958826535114</v>
      </c>
      <c r="AF158" s="194" t="str">
        <f t="shared" si="26"/>
        <v/>
      </c>
      <c r="AG158" s="245" t="str">
        <f>IF(ISNUMBER(SEARCH("C",'WetLitterbags placem_collection'!$X85)),"YES","NO")</f>
        <v>NO</v>
      </c>
      <c r="AH158" s="245" t="str">
        <f>IF(ISNUMBER(SEARCH("H", 'WetLitterbags placem_collection'!$X85)),"YES","NO")</f>
        <v>NO</v>
      </c>
      <c r="AI158" s="245" t="str">
        <f>IF(ISNUMBER(SEARCH("R", 'WetLitterbags placem_collection'!$X85)),"YES","NO")</f>
        <v>YES</v>
      </c>
      <c r="AJ158" s="245" t="str">
        <f>IF(ISNUMBER(SEARCH("C", 'WetLitterbags placem_collection'!$V85)),"YES","NO")</f>
        <v>NO</v>
      </c>
      <c r="AK158" s="245" t="str">
        <f>IF(ISNUMBER(SEARCH("H", 'WetLitterbags placem_collection'!$V85)),"YES","NO")</f>
        <v>NO</v>
      </c>
      <c r="AL158" s="245" t="str">
        <f>IF(ISNUMBER(SEARCH("R", 'WetLitterbags placem_collection'!$V85)),"YES","NO")</f>
        <v>YES</v>
      </c>
    </row>
    <row r="159" spans="2:38">
      <c r="B159" t="str">
        <f>Wetseason!B85</f>
        <v>Wet</v>
      </c>
      <c r="C159" s="253">
        <f>Wetseason!C85</f>
        <v>84</v>
      </c>
      <c r="D159" t="s">
        <v>3114</v>
      </c>
      <c r="E159" t="s">
        <v>22</v>
      </c>
      <c r="F159" s="375">
        <v>4</v>
      </c>
      <c r="G159" s="16">
        <f>'WetLitterbags placem_collection'!E86</f>
        <v>42767</v>
      </c>
      <c r="H159" t="str">
        <f>Wetseason!L85</f>
        <v>G291</v>
      </c>
      <c r="I159" t="str">
        <f>Wetseason!L305</f>
        <v>R49</v>
      </c>
      <c r="J159">
        <f>IFERROR(INDEX('Green_rooibos initial weight'!$C$5:$C$2000,MATCH(H159, 'Green_rooibos initial weight'!$A$5:$A$2000,0)),"")</f>
        <v>2.0880000000000001</v>
      </c>
      <c r="K159">
        <f>IFERROR(INDEX('Green_rooibos initial weight'!$C$5:$C$2000,MATCH(I159, 'Green_rooibos initial weight'!$A$5:$A$2000,0)),"")</f>
        <v>2.2999999999999998</v>
      </c>
      <c r="L159" s="194">
        <f t="shared" si="18"/>
        <v>1.8382000000000001</v>
      </c>
      <c r="M159" s="194">
        <f>AVERAGE(Ashed_controlls!$K$2:$K$11)</f>
        <v>5.5147656768714146</v>
      </c>
      <c r="N159" s="194">
        <f t="shared" si="15"/>
        <v>1.7368275773277497</v>
      </c>
      <c r="O159" s="194">
        <f t="shared" si="19"/>
        <v>2.0501999999999998</v>
      </c>
      <c r="P159" s="194">
        <f>AVERAGE(Ashed_controlls!$K$12:$K$14)</f>
        <v>2.2816647271287041</v>
      </c>
      <c r="Q159" s="194">
        <f t="shared" si="20"/>
        <v>2.0034213097644069</v>
      </c>
      <c r="R159" s="16">
        <f>IF('WetLitterbags placem_collection'!G86="","",'WetLitterbags placem_collection'!G86)</f>
        <v>42819</v>
      </c>
      <c r="S159" s="194">
        <f>IFERROR(INDEX('Both teabags AfterWet'!$C$3:$C$2000,MATCH(H159,'Both teabags AfterWet'!$A$3:$A$2000,0)),"")</f>
        <v>0.90300000000000002</v>
      </c>
      <c r="T159" s="194">
        <f>IFERROR(INDEX('Both teabags AfterWet'!$C$3:$C$2000,MATCH(I159,'Both teabags AfterWet'!$A$3:$A$2000,0)),"")</f>
        <v>1.6379999999999999</v>
      </c>
      <c r="U159" s="194">
        <f t="shared" si="21"/>
        <v>0.75239999999999996</v>
      </c>
      <c r="V159" s="194">
        <f t="shared" si="22"/>
        <v>1.4873999999999998</v>
      </c>
      <c r="W159" s="194">
        <f>IFERROR(INDEX('Ashed teabags wet'!$K$2:$K$2000,MATCH(H159,'Ashed teabags wet'!$A$2:$A$2000,0)),"")</f>
        <v>11.922503725782521</v>
      </c>
      <c r="X159" s="233">
        <f>IFERROR(INDEX('Ashed teabags wet'!$K$2:$K$2000,MATCH(I159,'Ashed teabags wet'!$A$2:$A$2000,0)),"")</f>
        <v>8.8249634324722646</v>
      </c>
      <c r="Y159" s="194">
        <f t="shared" si="27"/>
        <v>0.66269508196721227</v>
      </c>
      <c r="Z159" s="194">
        <f t="shared" si="27"/>
        <v>1.3561374939054074</v>
      </c>
      <c r="AA159" s="194">
        <f t="shared" si="23"/>
        <v>0.6184450945978055</v>
      </c>
      <c r="AB159" s="194">
        <f t="shared" si="24"/>
        <v>0.40544143968882262</v>
      </c>
      <c r="AC159" s="194">
        <f t="shared" si="16"/>
        <v>0.67691078621145484</v>
      </c>
      <c r="AD159">
        <f t="shared" si="17"/>
        <v>52</v>
      </c>
      <c r="AE159" s="194">
        <f t="shared" si="25"/>
        <v>0.26550463824488657</v>
      </c>
      <c r="AF159" s="194">
        <f t="shared" si="26"/>
        <v>3.065328773159812E-2</v>
      </c>
      <c r="AG159" s="245" t="str">
        <f>IF(ISNUMBER(SEARCH("C",'WetLitterbags placem_collection'!$X86)),"YES","NO")</f>
        <v>NO</v>
      </c>
      <c r="AH159" s="245" t="str">
        <f>IF(ISNUMBER(SEARCH("H", 'WetLitterbags placem_collection'!$X86)),"YES","NO")</f>
        <v>NO</v>
      </c>
      <c r="AI159" s="245" t="str">
        <f>IF(ISNUMBER(SEARCH("R", 'WetLitterbags placem_collection'!$X86)),"YES","NO")</f>
        <v>YES</v>
      </c>
      <c r="AJ159" s="245" t="str">
        <f>IF(ISNUMBER(SEARCH("C", 'WetLitterbags placem_collection'!$V86)),"YES","NO")</f>
        <v>NO</v>
      </c>
      <c r="AK159" s="245" t="str">
        <f>IF(ISNUMBER(SEARCH("H", 'WetLitterbags placem_collection'!$V86)),"YES","NO")</f>
        <v>NO</v>
      </c>
      <c r="AL159" s="245" t="str">
        <f>IF(ISNUMBER(SEARCH("R", 'WetLitterbags placem_collection'!$V86)),"YES","NO")</f>
        <v>YES</v>
      </c>
    </row>
    <row r="160" spans="2:38">
      <c r="B160" t="str">
        <f>Wetseason!B86</f>
        <v>Wet</v>
      </c>
      <c r="C160" s="253">
        <f>Wetseason!C86</f>
        <v>85</v>
      </c>
      <c r="D160" t="s">
        <v>3114</v>
      </c>
      <c r="E160" t="s">
        <v>22</v>
      </c>
      <c r="F160" s="375">
        <v>5</v>
      </c>
      <c r="G160" s="16">
        <f>'WetLitterbags placem_collection'!E87</f>
        <v>42767</v>
      </c>
      <c r="H160" t="str">
        <f>Wetseason!L86</f>
        <v>G308</v>
      </c>
      <c r="I160" t="str">
        <f>Wetseason!L306</f>
        <v>R315</v>
      </c>
      <c r="J160">
        <f>IFERROR(INDEX('Green_rooibos initial weight'!$C$5:$C$2000,MATCH(H160, 'Green_rooibos initial weight'!$A$5:$A$2000,0)),"")</f>
        <v>1.982</v>
      </c>
      <c r="K160">
        <f>IFERROR(INDEX('Green_rooibos initial weight'!$C$5:$C$2000,MATCH(I160, 'Green_rooibos initial weight'!$A$5:$A$2000,0)),"")</f>
        <v>2.2440000000000002</v>
      </c>
      <c r="L160" s="194">
        <f t="shared" si="18"/>
        <v>1.7322</v>
      </c>
      <c r="M160" s="194">
        <f>AVERAGE(Ashed_controlls!$K$2:$K$11)</f>
        <v>5.5147656768714146</v>
      </c>
      <c r="N160" s="194">
        <f t="shared" si="15"/>
        <v>1.6366732289452333</v>
      </c>
      <c r="O160" s="194">
        <f t="shared" si="19"/>
        <v>1.9942000000000002</v>
      </c>
      <c r="P160" s="194">
        <f>AVERAGE(Ashed_controlls!$K$12:$K$14)</f>
        <v>2.2816647271287041</v>
      </c>
      <c r="Q160" s="194">
        <f t="shared" si="20"/>
        <v>1.9486990420115995</v>
      </c>
      <c r="R160" s="16">
        <f>IF('WetLitterbags placem_collection'!G87="","",'WetLitterbags placem_collection'!G87)</f>
        <v>42819</v>
      </c>
      <c r="S160" s="194">
        <f>IFERROR(INDEX('Both teabags AfterWet'!$C$3:$C$2000,MATCH(H160,'Both teabags AfterWet'!$A$3:$A$2000,0)),"")</f>
        <v>1.256</v>
      </c>
      <c r="T160" s="194">
        <f>IFERROR(INDEX('Both teabags AfterWet'!$C$3:$C$2000,MATCH(I160,'Both teabags AfterWet'!$A$3:$A$2000,0)),"")</f>
        <v>1.4850000000000001</v>
      </c>
      <c r="U160" s="194">
        <f t="shared" si="21"/>
        <v>1.1053999999999999</v>
      </c>
      <c r="V160" s="194">
        <f t="shared" si="22"/>
        <v>1.3344</v>
      </c>
      <c r="W160" s="194">
        <f>IFERROR(INDEX('Ashed teabags wet'!$K$2:$K$2000,MATCH(H160,'Ashed teabags wet'!$A$2:$A$2000,0)),"")</f>
        <v>39.801980198020281</v>
      </c>
      <c r="X160" s="233">
        <f>IFERROR(INDEX('Ashed teabags wet'!$K$2:$K$2000,MATCH(I160,'Ashed teabags wet'!$A$2:$A$2000,0)),"")</f>
        <v>10.368550368550631</v>
      </c>
      <c r="Y160" s="194">
        <f t="shared" si="27"/>
        <v>0.6654289108910838</v>
      </c>
      <c r="Z160" s="194">
        <f t="shared" si="27"/>
        <v>1.1960420638820604</v>
      </c>
      <c r="AA160" s="194">
        <f t="shared" si="23"/>
        <v>0.59342592087247337</v>
      </c>
      <c r="AB160" s="194">
        <f t="shared" si="24"/>
        <v>0.38903932104703726</v>
      </c>
      <c r="AC160" s="194">
        <f t="shared" si="16"/>
        <v>0.61376438233756825</v>
      </c>
      <c r="AD160">
        <f t="shared" si="17"/>
        <v>52</v>
      </c>
      <c r="AE160" s="194">
        <f t="shared" si="25"/>
        <v>0.29521862129159926</v>
      </c>
      <c r="AF160" s="194">
        <f t="shared" si="26"/>
        <v>9.4860370005136627E-2</v>
      </c>
      <c r="AG160" s="245" t="str">
        <f>IF(ISNUMBER(SEARCH("C",'WetLitterbags placem_collection'!$X87)),"YES","NO")</f>
        <v>NO</v>
      </c>
      <c r="AH160" s="245" t="str">
        <f>IF(ISNUMBER(SEARCH("H", 'WetLitterbags placem_collection'!$X87)),"YES","NO")</f>
        <v>NO</v>
      </c>
      <c r="AI160" s="245" t="str">
        <f>IF(ISNUMBER(SEARCH("R", 'WetLitterbags placem_collection'!$X87)),"YES","NO")</f>
        <v>YES</v>
      </c>
      <c r="AJ160" s="245" t="str">
        <f>IF(ISNUMBER(SEARCH("C", 'WetLitterbags placem_collection'!$V87)),"YES","NO")</f>
        <v>NO</v>
      </c>
      <c r="AK160" s="245" t="str">
        <f>IF(ISNUMBER(SEARCH("H", 'WetLitterbags placem_collection'!$V87)),"YES","NO")</f>
        <v>YES</v>
      </c>
      <c r="AL160" s="245" t="str">
        <f>IF(ISNUMBER(SEARCH("R", 'WetLitterbags placem_collection'!$V87)),"YES","NO")</f>
        <v>YES</v>
      </c>
    </row>
    <row r="161" spans="2:38">
      <c r="B161" t="str">
        <f>Wetseason!B87</f>
        <v>Wet</v>
      </c>
      <c r="C161" s="253">
        <f>Wetseason!C87</f>
        <v>86</v>
      </c>
      <c r="D161" t="s">
        <v>3114</v>
      </c>
      <c r="E161" t="s">
        <v>22</v>
      </c>
      <c r="F161" s="375">
        <v>6</v>
      </c>
      <c r="G161" s="16">
        <f>'WetLitterbags placem_collection'!E88</f>
        <v>42767</v>
      </c>
      <c r="H161" t="str">
        <f>Wetseason!L87</f>
        <v>G723</v>
      </c>
      <c r="I161" t="str">
        <f>Wetseason!L307</f>
        <v>R1</v>
      </c>
      <c r="J161">
        <f>IFERROR(INDEX('Green_rooibos initial weight'!$C$5:$C$2000,MATCH(H161, 'Green_rooibos initial weight'!$A$5:$A$2000,0)),"")</f>
        <v>2.0129999999999999</v>
      </c>
      <c r="K161">
        <f>IFERROR(INDEX('Green_rooibos initial weight'!$C$5:$C$2000,MATCH(I161, 'Green_rooibos initial weight'!$A$5:$A$2000,0)),"")</f>
        <v>2.2109999999999999</v>
      </c>
      <c r="L161" s="194">
        <f t="shared" si="18"/>
        <v>1.7631999999999999</v>
      </c>
      <c r="M161" s="194">
        <f>AVERAGE(Ashed_controlls!$K$2:$K$11)</f>
        <v>5.5147656768714146</v>
      </c>
      <c r="N161" s="194">
        <f t="shared" si="15"/>
        <v>1.665963651585403</v>
      </c>
      <c r="O161" s="194">
        <f t="shared" si="19"/>
        <v>1.9611999999999998</v>
      </c>
      <c r="P161" s="194">
        <f>AVERAGE(Ashed_controlls!$K$12:$K$14)</f>
        <v>2.2816647271287041</v>
      </c>
      <c r="Q161" s="194">
        <f t="shared" si="20"/>
        <v>1.9164519913715516</v>
      </c>
      <c r="R161" s="16">
        <f>IF('WetLitterbags placem_collection'!G88="","",'WetLitterbags placem_collection'!G88)</f>
        <v>42819</v>
      </c>
      <c r="S161" s="194">
        <f>IFERROR(INDEX('Both teabags AfterWet'!$C$3:$C$2000,MATCH(H161,'Both teabags AfterWet'!$A$3:$A$2000,0)),"")</f>
        <v>0.78249999999999997</v>
      </c>
      <c r="T161" s="194">
        <f>IFERROR(INDEX('Both teabags AfterWet'!$C$3:$C$2000,MATCH(I161,'Both teabags AfterWet'!$A$3:$A$2000,0)),"")</f>
        <v>0.38169999999999998</v>
      </c>
      <c r="U161" s="194">
        <f t="shared" si="21"/>
        <v>0.63189999999999991</v>
      </c>
      <c r="V161" s="194">
        <f t="shared" si="22"/>
        <v>0.23109999999999997</v>
      </c>
      <c r="W161" s="194">
        <f>IFERROR(INDEX('Ashed teabags wet'!$K$2:$K$2000,MATCH(H161,'Ashed teabags wet'!$A$2:$A$2000,0)),"")</f>
        <v>7.4680306905364882</v>
      </c>
      <c r="X161" s="233">
        <f>IFERROR(INDEX('Ashed teabags wet'!$K$2:$K$2000,MATCH(I161,'Ashed teabags wet'!$A$2:$A$2000,0)),"")</f>
        <v>0</v>
      </c>
      <c r="Y161" s="194">
        <f t="shared" si="27"/>
        <v>0.58470951406649985</v>
      </c>
      <c r="Z161" s="194">
        <f t="shared" si="27"/>
        <v>0.23109999999999997</v>
      </c>
      <c r="AA161" s="194">
        <f t="shared" si="23"/>
        <v>0.64902624765548456</v>
      </c>
      <c r="AB161" s="194">
        <f t="shared" si="24"/>
        <v>0.42548989157461697</v>
      </c>
      <c r="AC161" s="194">
        <f t="shared" si="16"/>
        <v>0.12058741937730885</v>
      </c>
      <c r="AD161">
        <f t="shared" si="17"/>
        <v>52</v>
      </c>
      <c r="AE161" s="194">
        <f t="shared" si="25"/>
        <v>0.22918497903149104</v>
      </c>
      <c r="AF161" s="194" t="str">
        <f t="shared" si="26"/>
        <v/>
      </c>
      <c r="AG161" s="245" t="str">
        <f>IF(ISNUMBER(SEARCH("C",'WetLitterbags placem_collection'!$X88)),"YES","NO")</f>
        <v>NO</v>
      </c>
      <c r="AH161" s="245" t="str">
        <f>IF(ISNUMBER(SEARCH("H", 'WetLitterbags placem_collection'!$X88)),"YES","NO")</f>
        <v>NO</v>
      </c>
      <c r="AI161" s="245" t="str">
        <f>IF(ISNUMBER(SEARCH("R", 'WetLitterbags placem_collection'!$X88)),"YES","NO")</f>
        <v>YES</v>
      </c>
      <c r="AJ161" s="245" t="str">
        <f>IF(ISNUMBER(SEARCH("C", 'WetLitterbags placem_collection'!$V88)),"YES","NO")</f>
        <v>NO</v>
      </c>
      <c r="AK161" s="245" t="str">
        <f>IF(ISNUMBER(SEARCH("H", 'WetLitterbags placem_collection'!$V88)),"YES","NO")</f>
        <v>NO</v>
      </c>
      <c r="AL161" s="245" t="str">
        <f>IF(ISNUMBER(SEARCH("R", 'WetLitterbags placem_collection'!$V88)),"YES","NO")</f>
        <v>YES</v>
      </c>
    </row>
    <row r="162" spans="2:38">
      <c r="B162" t="str">
        <f>Wetseason!B88</f>
        <v>Wet</v>
      </c>
      <c r="C162" s="253">
        <f>Wetseason!C88</f>
        <v>87</v>
      </c>
      <c r="D162" t="s">
        <v>3114</v>
      </c>
      <c r="E162" t="s">
        <v>22</v>
      </c>
      <c r="F162" s="375">
        <v>7</v>
      </c>
      <c r="G162" s="16">
        <f>'WetLitterbags placem_collection'!E89</f>
        <v>42767</v>
      </c>
      <c r="H162" t="str">
        <f>Wetseason!L88</f>
        <v>G628</v>
      </c>
      <c r="I162" t="str">
        <f>Wetseason!L308</f>
        <v>R408</v>
      </c>
      <c r="J162">
        <f>IFERROR(INDEX('Green_rooibos initial weight'!$C$5:$C$2000,MATCH(H162, 'Green_rooibos initial weight'!$A$5:$A$2000,0)),"")</f>
        <v>2.0739999999999998</v>
      </c>
      <c r="K162">
        <f>IFERROR(INDEX('Green_rooibos initial weight'!$C$5:$C$2000,MATCH(I162, 'Green_rooibos initial weight'!$A$5:$A$2000,0)),"")</f>
        <v>2.2480000000000002</v>
      </c>
      <c r="L162" s="194">
        <f t="shared" si="18"/>
        <v>1.8241999999999998</v>
      </c>
      <c r="M162" s="194">
        <f>AVERAGE(Ashed_controlls!$K$2:$K$11)</f>
        <v>5.5147656768714146</v>
      </c>
      <c r="N162" s="194">
        <f t="shared" si="15"/>
        <v>1.7235996445225115</v>
      </c>
      <c r="O162" s="194">
        <f t="shared" si="19"/>
        <v>1.9982000000000002</v>
      </c>
      <c r="P162" s="194">
        <f>AVERAGE(Ashed_controlls!$K$12:$K$14)</f>
        <v>2.2816647271287041</v>
      </c>
      <c r="Q162" s="194">
        <f t="shared" si="20"/>
        <v>1.9526077754225144</v>
      </c>
      <c r="R162" s="16">
        <f>IF('WetLitterbags placem_collection'!G89="","",'WetLitterbags placem_collection'!G89)</f>
        <v>42819</v>
      </c>
      <c r="S162" s="194">
        <f>IFERROR(INDEX('Both teabags AfterWet'!$C$3:$C$2000,MATCH(H162,'Both teabags AfterWet'!$A$3:$A$2000,0)),"")</f>
        <v>0.8639</v>
      </c>
      <c r="T162" s="194">
        <f>IFERROR(INDEX('Both teabags AfterWet'!$C$3:$C$2000,MATCH(I162,'Both teabags AfterWet'!$A$3:$A$2000,0)),"")</f>
        <v>0.3599</v>
      </c>
      <c r="U162" s="194">
        <f t="shared" si="21"/>
        <v>0.71330000000000005</v>
      </c>
      <c r="V162" s="194">
        <f t="shared" si="22"/>
        <v>0.20929999999999999</v>
      </c>
      <c r="W162" s="194">
        <f>IFERROR(INDEX('Ashed teabags wet'!$K$2:$K$2000,MATCH(H162,'Ashed teabags wet'!$A$2:$A$2000,0)),"")</f>
        <v>12.74038461538643</v>
      </c>
      <c r="X162" s="233">
        <f>IFERROR(INDEX('Ashed teabags wet'!$K$2:$K$2000,MATCH(I162,'Ashed teabags wet'!$A$2:$A$2000,0)),"")</f>
        <v>0</v>
      </c>
      <c r="Y162" s="194">
        <f t="shared" si="27"/>
        <v>0.62242283653844865</v>
      </c>
      <c r="Z162" s="194">
        <f t="shared" si="27"/>
        <v>0.20929999999999999</v>
      </c>
      <c r="AA162" s="194">
        <f t="shared" si="23"/>
        <v>0.63888201154109758</v>
      </c>
      <c r="AB162" s="194">
        <f t="shared" si="24"/>
        <v>0.41883951350437754</v>
      </c>
      <c r="AC162" s="194">
        <f t="shared" si="16"/>
        <v>0.10718998594313733</v>
      </c>
      <c r="AD162">
        <f t="shared" si="17"/>
        <v>52</v>
      </c>
      <c r="AE162" s="194">
        <f t="shared" si="25"/>
        <v>0.24123276539062044</v>
      </c>
      <c r="AF162" s="194" t="str">
        <f t="shared" si="26"/>
        <v/>
      </c>
      <c r="AG162" s="245" t="str">
        <f>IF(ISNUMBER(SEARCH("C",'WetLitterbags placem_collection'!$X89)),"YES","NO")</f>
        <v>NO</v>
      </c>
      <c r="AH162" s="245" t="str">
        <f>IF(ISNUMBER(SEARCH("H", 'WetLitterbags placem_collection'!$X89)),"YES","NO")</f>
        <v>NO</v>
      </c>
      <c r="AI162" s="245" t="str">
        <f>IF(ISNUMBER(SEARCH("R", 'WetLitterbags placem_collection'!$X89)),"YES","NO")</f>
        <v>YES</v>
      </c>
      <c r="AJ162" s="245" t="str">
        <f>IF(ISNUMBER(SEARCH("C", 'WetLitterbags placem_collection'!$V89)),"YES","NO")</f>
        <v>YES</v>
      </c>
      <c r="AK162" s="245" t="str">
        <f>IF(ISNUMBER(SEARCH("H", 'WetLitterbags placem_collection'!$V89)),"YES","NO")</f>
        <v>YES</v>
      </c>
      <c r="AL162" s="245" t="str">
        <f>IF(ISNUMBER(SEARCH("R", 'WetLitterbags placem_collection'!$V89)),"YES","NO")</f>
        <v>YES</v>
      </c>
    </row>
    <row r="163" spans="2:38">
      <c r="B163" t="str">
        <f>Wetseason!B89</f>
        <v>Wet</v>
      </c>
      <c r="C163" s="253">
        <f>Wetseason!C89</f>
        <v>88</v>
      </c>
      <c r="D163" t="s">
        <v>3114</v>
      </c>
      <c r="E163" t="s">
        <v>22</v>
      </c>
      <c r="F163" s="375">
        <v>8</v>
      </c>
      <c r="G163" s="16">
        <f>'WetLitterbags placem_collection'!E90</f>
        <v>42767</v>
      </c>
      <c r="H163" t="str">
        <f>Wetseason!L89</f>
        <v>G569</v>
      </c>
      <c r="I163" t="str">
        <f>Wetseason!L309</f>
        <v>R385</v>
      </c>
      <c r="J163">
        <f>IFERROR(INDEX('Green_rooibos initial weight'!$C$5:$C$2000,MATCH(H163, 'Green_rooibos initial weight'!$A$5:$A$2000,0)),"")</f>
        <v>1.9950000000000001</v>
      </c>
      <c r="K163">
        <f>IFERROR(INDEX('Green_rooibos initial weight'!$C$5:$C$2000,MATCH(I163, 'Green_rooibos initial weight'!$A$5:$A$2000,0)),"")</f>
        <v>2.2559999999999998</v>
      </c>
      <c r="L163" s="194">
        <f t="shared" si="18"/>
        <v>1.7452000000000001</v>
      </c>
      <c r="M163" s="194">
        <f>AVERAGE(Ashed_controlls!$K$2:$K$11)</f>
        <v>5.5147656768714146</v>
      </c>
      <c r="N163" s="194">
        <f t="shared" si="15"/>
        <v>1.6489563094072401</v>
      </c>
      <c r="O163" s="194">
        <f t="shared" si="19"/>
        <v>2.0061999999999998</v>
      </c>
      <c r="P163" s="194">
        <f>AVERAGE(Ashed_controlls!$K$12:$K$14)</f>
        <v>2.2816647271287041</v>
      </c>
      <c r="Q163" s="194">
        <f t="shared" si="20"/>
        <v>1.9604252422443438</v>
      </c>
      <c r="R163" s="16">
        <f>IF('WetLitterbags placem_collection'!G90="","",'WetLitterbags placem_collection'!G90)</f>
        <v>42819</v>
      </c>
      <c r="S163" s="194">
        <f>IFERROR(INDEX('Both teabags AfterWet'!$C$3:$C$2000,MATCH(H163,'Both teabags AfterWet'!$A$3:$A$2000,0)),"")</f>
        <v>0.75700000000000001</v>
      </c>
      <c r="T163" s="194" t="str">
        <f>IFERROR(INDEX('Both teabags AfterWet'!$C$3:$C$2000,MATCH(I163,'Both teabags AfterWet'!$A$3:$A$2000,0)),"")</f>
        <v/>
      </c>
      <c r="U163" s="194">
        <f t="shared" si="21"/>
        <v>0.60640000000000005</v>
      </c>
      <c r="V163" s="194" t="str">
        <f t="shared" si="22"/>
        <v/>
      </c>
      <c r="W163" s="194">
        <f>IFERROR(INDEX('Ashed teabags wet'!$K$2:$K$2000,MATCH(H163,'Ashed teabags wet'!$A$2:$A$2000,0)),"")</f>
        <v>14.724480578138884</v>
      </c>
      <c r="X163" s="233" t="str">
        <f>IFERROR(INDEX('Ashed teabags wet'!$K$2:$K$2000,MATCH(I163,'Ashed teabags wet'!$A$2:$A$2000,0)),"")</f>
        <v/>
      </c>
      <c r="Y163" s="194">
        <f t="shared" si="27"/>
        <v>0.51711074977416582</v>
      </c>
      <c r="Z163" s="194" t="str">
        <f t="shared" si="27"/>
        <v/>
      </c>
      <c r="AA163" s="194">
        <f t="shared" si="23"/>
        <v>0.68640118187239629</v>
      </c>
      <c r="AB163" s="194">
        <f t="shared" si="24"/>
        <v>0.44999222374532399</v>
      </c>
      <c r="AC163" s="194" t="str">
        <f t="shared" si="16"/>
        <v/>
      </c>
      <c r="AD163">
        <f t="shared" si="17"/>
        <v>52</v>
      </c>
      <c r="AE163" s="194">
        <f t="shared" si="25"/>
        <v>0.18479669611354355</v>
      </c>
      <c r="AF163" s="194" t="str">
        <f t="shared" si="26"/>
        <v/>
      </c>
      <c r="AG163" s="245" t="str">
        <f>IF(ISNUMBER(SEARCH("C",'WetLitterbags placem_collection'!$X90)),"YES","NO")</f>
        <v>NO</v>
      </c>
      <c r="AH163" s="245" t="str">
        <f>IF(ISNUMBER(SEARCH("H", 'WetLitterbags placem_collection'!$X90)),"YES","NO")</f>
        <v>NO</v>
      </c>
      <c r="AI163" s="245" t="str">
        <f>IF(ISNUMBER(SEARCH("R", 'WetLitterbags placem_collection'!$X90)),"YES","NO")</f>
        <v>NO</v>
      </c>
      <c r="AJ163" s="245" t="str">
        <f>IF(ISNUMBER(SEARCH("C", 'WetLitterbags placem_collection'!$V90)),"YES","NO")</f>
        <v>NO</v>
      </c>
      <c r="AK163" s="245" t="str">
        <f>IF(ISNUMBER(SEARCH("H", 'WetLitterbags placem_collection'!$V90)),"YES","NO")</f>
        <v>NO</v>
      </c>
      <c r="AL163" s="245" t="str">
        <f>IF(ISNUMBER(SEARCH("R", 'WetLitterbags placem_collection'!$V90)),"YES","NO")</f>
        <v>NO</v>
      </c>
    </row>
    <row r="164" spans="2:38">
      <c r="B164" t="str">
        <f>Wetseason!B90</f>
        <v>Wet</v>
      </c>
      <c r="C164" s="253">
        <f>Wetseason!C90</f>
        <v>89</v>
      </c>
      <c r="D164" t="s">
        <v>3115</v>
      </c>
      <c r="E164" t="s">
        <v>22</v>
      </c>
      <c r="F164" s="374">
        <v>1</v>
      </c>
      <c r="G164" s="16">
        <f>'WetLitterbags placem_collection'!E91</f>
        <v>42767</v>
      </c>
      <c r="H164" t="str">
        <f>Wetseason!L90</f>
        <v>G339</v>
      </c>
      <c r="I164" t="str">
        <f>Wetseason!L310</f>
        <v>R196</v>
      </c>
      <c r="J164">
        <f>IFERROR(INDEX('Green_rooibos initial weight'!$C$5:$C$2000,MATCH(H164, 'Green_rooibos initial weight'!$A$5:$A$2000,0)),"")</f>
        <v>2.0219999999999998</v>
      </c>
      <c r="K164">
        <f>IFERROR(INDEX('Green_rooibos initial weight'!$C$5:$C$2000,MATCH(I164, 'Green_rooibos initial weight'!$A$5:$A$2000,0)),"")</f>
        <v>2.242</v>
      </c>
      <c r="L164" s="194">
        <f t="shared" si="18"/>
        <v>1.7721999999999998</v>
      </c>
      <c r="M164" s="194">
        <f>AVERAGE(Ashed_controlls!$K$2:$K$11)</f>
        <v>5.5147656768714146</v>
      </c>
      <c r="N164" s="194">
        <f t="shared" si="15"/>
        <v>1.6744673226744846</v>
      </c>
      <c r="O164" s="194">
        <f t="shared" si="19"/>
        <v>1.9922</v>
      </c>
      <c r="P164" s="194">
        <f>AVERAGE(Ashed_controlls!$K$12:$K$14)</f>
        <v>2.2816647271287041</v>
      </c>
      <c r="Q164" s="194">
        <f t="shared" si="20"/>
        <v>1.9467446753061419</v>
      </c>
      <c r="R164" s="16">
        <f>IF('WetLitterbags placem_collection'!G91="","",'WetLitterbags placem_collection'!G91)</f>
        <v>42819</v>
      </c>
      <c r="S164" s="194" t="str">
        <f>IFERROR(INDEX('Both teabags AfterWet'!$C$3:$C$2000,MATCH(H164,'Both teabags AfterWet'!$A$3:$A$2000,0)),"")</f>
        <v/>
      </c>
      <c r="T164" s="194">
        <f>IFERROR(INDEX('Both teabags AfterWet'!$C$3:$C$2000,MATCH(I164,'Both teabags AfterWet'!$A$3:$A$2000,0)),"")</f>
        <v>0.17399999999999999</v>
      </c>
      <c r="U164" s="194" t="str">
        <f t="shared" si="21"/>
        <v/>
      </c>
      <c r="V164" s="194">
        <f t="shared" si="22"/>
        <v>2.3399999999999976E-2</v>
      </c>
      <c r="W164" s="194" t="str">
        <f>IFERROR(INDEX('Ashed teabags wet'!$K$2:$K$2000,MATCH(H164,'Ashed teabags wet'!$A$2:$A$2000,0)),"")</f>
        <v/>
      </c>
      <c r="X164" s="233">
        <f>IFERROR(INDEX('Ashed teabags wet'!$K$2:$K$2000,MATCH(I164,'Ashed teabags wet'!$A$2:$A$2000,0)),"")</f>
        <v>0</v>
      </c>
      <c r="Y164" s="194" t="str">
        <f t="shared" si="27"/>
        <v/>
      </c>
      <c r="Z164" s="194">
        <f t="shared" si="27"/>
        <v>2.3399999999999976E-2</v>
      </c>
      <c r="AA164" s="194" t="str">
        <f t="shared" si="23"/>
        <v/>
      </c>
      <c r="AB164" s="194" t="str">
        <f t="shared" si="24"/>
        <v/>
      </c>
      <c r="AC164" s="194">
        <f t="shared" si="16"/>
        <v>1.2020066265916526E-2</v>
      </c>
      <c r="AD164">
        <f t="shared" si="17"/>
        <v>52</v>
      </c>
      <c r="AE164" s="194" t="str">
        <f t="shared" si="25"/>
        <v/>
      </c>
      <c r="AF164" s="194" t="str">
        <f t="shared" si="26"/>
        <v/>
      </c>
      <c r="AG164" s="245" t="str">
        <f>IF(ISNUMBER(SEARCH("C",'WetLitterbags placem_collection'!$X91)),"YES","NO")</f>
        <v>NO</v>
      </c>
      <c r="AH164" s="245" t="str">
        <f>IF(ISNUMBER(SEARCH("H", 'WetLitterbags placem_collection'!$X91)),"YES","NO")</f>
        <v>NO</v>
      </c>
      <c r="AI164" s="245" t="str">
        <f>IF(ISNUMBER(SEARCH("R", 'WetLitterbags placem_collection'!$X91)),"YES","NO")</f>
        <v>YES</v>
      </c>
      <c r="AJ164" s="245" t="str">
        <f>IF(ISNUMBER(SEARCH("C", 'WetLitterbags placem_collection'!$V91)),"YES","NO")</f>
        <v>NO</v>
      </c>
      <c r="AK164" s="245" t="str">
        <f>IF(ISNUMBER(SEARCH("H", 'WetLitterbags placem_collection'!$V91)),"YES","NO")</f>
        <v>NO</v>
      </c>
      <c r="AL164" s="245" t="str">
        <f>IF(ISNUMBER(SEARCH("R", 'WetLitterbags placem_collection'!$V91)),"YES","NO")</f>
        <v>NO</v>
      </c>
    </row>
    <row r="165" spans="2:38">
      <c r="B165" t="str">
        <f>Wetseason!B91</f>
        <v>Wet</v>
      </c>
      <c r="C165" s="253">
        <f>Wetseason!C91</f>
        <v>90</v>
      </c>
      <c r="D165" t="s">
        <v>3115</v>
      </c>
      <c r="E165" t="s">
        <v>22</v>
      </c>
      <c r="F165" s="374">
        <v>2</v>
      </c>
      <c r="G165" s="16">
        <f>'WetLitterbags placem_collection'!E92</f>
        <v>42767</v>
      </c>
      <c r="H165" t="str">
        <f>Wetseason!L91</f>
        <v>G592</v>
      </c>
      <c r="I165" t="str">
        <f>Wetseason!L311</f>
        <v>R94</v>
      </c>
      <c r="J165">
        <f>IFERROR(INDEX('Green_rooibos initial weight'!$C$5:$C$2000,MATCH(H165, 'Green_rooibos initial weight'!$A$5:$A$2000,0)),"")</f>
        <v>2.0699999999999998</v>
      </c>
      <c r="K165">
        <f>IFERROR(INDEX('Green_rooibos initial weight'!$C$5:$C$2000,MATCH(I165, 'Green_rooibos initial weight'!$A$5:$A$2000,0)),"")</f>
        <v>2.2770000000000001</v>
      </c>
      <c r="L165" s="194">
        <f t="shared" si="18"/>
        <v>1.8201999999999998</v>
      </c>
      <c r="M165" s="194">
        <f>AVERAGE(Ashed_controlls!$K$2:$K$11)</f>
        <v>5.5147656768714146</v>
      </c>
      <c r="N165" s="194">
        <f t="shared" si="15"/>
        <v>1.7198202351495864</v>
      </c>
      <c r="O165" s="194">
        <f t="shared" si="19"/>
        <v>2.0272000000000001</v>
      </c>
      <c r="P165" s="194">
        <f>AVERAGE(Ashed_controlls!$K$12:$K$14)</f>
        <v>2.2816647271287041</v>
      </c>
      <c r="Q165" s="194">
        <f t="shared" si="20"/>
        <v>1.9809460926516471</v>
      </c>
      <c r="R165" s="16">
        <f>IF('WetLitterbags placem_collection'!G92="","",'WetLitterbags placem_collection'!G92)</f>
        <v>42819</v>
      </c>
      <c r="S165" s="194">
        <f>IFERROR(INDEX('Both teabags AfterWet'!$C$3:$C$2000,MATCH(H165,'Both teabags AfterWet'!$A$3:$A$2000,0)),"")</f>
        <v>1.0779000000000001</v>
      </c>
      <c r="T165" s="194">
        <f>IFERROR(INDEX('Both teabags AfterWet'!$C$3:$C$2000,MATCH(I165,'Both teabags AfterWet'!$A$3:$A$2000,0)),"")</f>
        <v>1.7455000000000001</v>
      </c>
      <c r="U165" s="194">
        <f t="shared" si="21"/>
        <v>0.92730000000000001</v>
      </c>
      <c r="V165" s="194">
        <f t="shared" si="22"/>
        <v>1.5949</v>
      </c>
      <c r="W165" s="194">
        <f>IFERROR(INDEX('Ashed teabags wet'!$K$2:$K$2000,MATCH(H165,'Ashed teabags wet'!$A$2:$A$2000,0)),"")</f>
        <v>33.166583291646958</v>
      </c>
      <c r="X165" s="233">
        <f>IFERROR(INDEX('Ashed teabags wet'!$K$2:$K$2000,MATCH(I165,'Ashed teabags wet'!$A$2:$A$2000,0)),"")</f>
        <v>4.0694789081900105</v>
      </c>
      <c r="Y165" s="194">
        <f t="shared" si="27"/>
        <v>0.61974627313655772</v>
      </c>
      <c r="Z165" s="194">
        <f t="shared" si="27"/>
        <v>1.5299958808932774</v>
      </c>
      <c r="AA165" s="194">
        <f t="shared" si="23"/>
        <v>0.63964473700784574</v>
      </c>
      <c r="AB165" s="194">
        <f t="shared" si="24"/>
        <v>0.41933954255146183</v>
      </c>
      <c r="AC165" s="194">
        <f t="shared" si="16"/>
        <v>0.77235614162789334</v>
      </c>
      <c r="AD165">
        <f t="shared" si="17"/>
        <v>52</v>
      </c>
      <c r="AE165" s="194">
        <f t="shared" si="25"/>
        <v>0.24032691566764164</v>
      </c>
      <c r="AF165" s="194">
        <f t="shared" si="26"/>
        <v>1.505330422020452E-2</v>
      </c>
      <c r="AG165" s="245" t="str">
        <f>IF(ISNUMBER(SEARCH("C",'WetLitterbags placem_collection'!$X92)),"YES","NO")</f>
        <v>NO</v>
      </c>
      <c r="AH165" s="245" t="str">
        <f>IF(ISNUMBER(SEARCH("H", 'WetLitterbags placem_collection'!$X92)),"YES","NO")</f>
        <v>NO</v>
      </c>
      <c r="AI165" s="245" t="str">
        <f>IF(ISNUMBER(SEARCH("R", 'WetLitterbags placem_collection'!$X92)),"YES","NO")</f>
        <v>NO</v>
      </c>
      <c r="AJ165" s="245" t="str">
        <f>IF(ISNUMBER(SEARCH("C", 'WetLitterbags placem_collection'!$V92)),"YES","NO")</f>
        <v>NO</v>
      </c>
      <c r="AK165" s="245" t="str">
        <f>IF(ISNUMBER(SEARCH("H", 'WetLitterbags placem_collection'!$V92)),"YES","NO")</f>
        <v>NO</v>
      </c>
      <c r="AL165" s="245" t="str">
        <f>IF(ISNUMBER(SEARCH("R", 'WetLitterbags placem_collection'!$V92)),"YES","NO")</f>
        <v>NO</v>
      </c>
    </row>
    <row r="166" spans="2:38">
      <c r="B166" t="str">
        <f>Wetseason!B92</f>
        <v>Wet</v>
      </c>
      <c r="C166" s="253">
        <f>Wetseason!C92</f>
        <v>91</v>
      </c>
      <c r="D166" t="s">
        <v>3115</v>
      </c>
      <c r="E166" t="s">
        <v>22</v>
      </c>
      <c r="F166" s="374">
        <v>3</v>
      </c>
      <c r="G166" s="16">
        <f>'WetLitterbags placem_collection'!E93</f>
        <v>42767</v>
      </c>
      <c r="H166" t="str">
        <f>Wetseason!L92</f>
        <v>G472</v>
      </c>
      <c r="I166" t="str">
        <f>Wetseason!L312</f>
        <v>R343</v>
      </c>
      <c r="J166">
        <f>IFERROR(INDEX('Green_rooibos initial weight'!$C$5:$C$2000,MATCH(H166, 'Green_rooibos initial weight'!$A$5:$A$2000,0)),"")</f>
        <v>1.9710000000000001</v>
      </c>
      <c r="K166">
        <f>IFERROR(INDEX('Green_rooibos initial weight'!$C$5:$C$2000,MATCH(I166, 'Green_rooibos initial weight'!$A$5:$A$2000,0)),"")</f>
        <v>2.2429999999999999</v>
      </c>
      <c r="L166" s="194">
        <f t="shared" si="18"/>
        <v>1.7212000000000001</v>
      </c>
      <c r="M166" s="194">
        <f>AVERAGE(Ashed_controlls!$K$2:$K$11)</f>
        <v>5.5147656768714146</v>
      </c>
      <c r="N166" s="194">
        <f t="shared" si="15"/>
        <v>1.6262798531696894</v>
      </c>
      <c r="O166" s="194">
        <f t="shared" si="19"/>
        <v>1.9931999999999999</v>
      </c>
      <c r="P166" s="194">
        <f>AVERAGE(Ashed_controlls!$K$12:$K$14)</f>
        <v>2.2816647271287041</v>
      </c>
      <c r="Q166" s="194">
        <f t="shared" si="20"/>
        <v>1.9477218586588705</v>
      </c>
      <c r="R166" s="16">
        <f>IF('WetLitterbags placem_collection'!G93="","",'WetLitterbags placem_collection'!G93)</f>
        <v>42819</v>
      </c>
      <c r="S166" s="194">
        <f>IFERROR(INDEX('Both teabags AfterWet'!$C$3:$C$2000,MATCH(H166,'Both teabags AfterWet'!$A$3:$A$2000,0)),"")</f>
        <v>0.76100000000000001</v>
      </c>
      <c r="T166" s="194">
        <f>IFERROR(INDEX('Both teabags AfterWet'!$C$3:$C$2000,MATCH(I166,'Both teabags AfterWet'!$A$3:$A$2000,0)),"")</f>
        <v>0.16200000000000001</v>
      </c>
      <c r="U166" s="194">
        <f t="shared" si="21"/>
        <v>0.61040000000000005</v>
      </c>
      <c r="V166" s="194">
        <f t="shared" si="22"/>
        <v>1.1399999999999993E-2</v>
      </c>
      <c r="W166" s="194">
        <f>IFERROR(INDEX('Ashed teabags wet'!$K$2:$K$2000,MATCH(H166,'Ashed teabags wet'!$A$2:$A$2000,0)),"")</f>
        <v>13.069604406610589</v>
      </c>
      <c r="X166" s="233">
        <f>IFERROR(INDEX('Ashed teabags wet'!$K$2:$K$2000,MATCH(I166,'Ashed teabags wet'!$A$2:$A$2000,0)),"")</f>
        <v>83.97683397683403</v>
      </c>
      <c r="Y166" s="194">
        <f t="shared" si="27"/>
        <v>0.53062313470204903</v>
      </c>
      <c r="Z166" s="194">
        <f t="shared" si="27"/>
        <v>1.8266409266409194E-3</v>
      </c>
      <c r="AA166" s="194">
        <f t="shared" si="23"/>
        <v>0.67371966536519423</v>
      </c>
      <c r="AB166" s="194">
        <f t="shared" si="24"/>
        <v>0.44167845045319154</v>
      </c>
      <c r="AC166" s="194">
        <f t="shared" si="16"/>
        <v>9.378345878906329E-4</v>
      </c>
      <c r="AD166">
        <f t="shared" si="17"/>
        <v>52</v>
      </c>
      <c r="AE166" s="194">
        <f t="shared" si="25"/>
        <v>0.19985787961378354</v>
      </c>
      <c r="AF166" s="194" t="str">
        <f t="shared" si="26"/>
        <v/>
      </c>
      <c r="AG166" s="245" t="str">
        <f>IF(ISNUMBER(SEARCH("C",'WetLitterbags placem_collection'!$X93)),"YES","NO")</f>
        <v>NO</v>
      </c>
      <c r="AH166" s="245" t="str">
        <f>IF(ISNUMBER(SEARCH("H", 'WetLitterbags placem_collection'!$X93)),"YES","NO")</f>
        <v>NO</v>
      </c>
      <c r="AI166" s="245" t="str">
        <f>IF(ISNUMBER(SEARCH("R", 'WetLitterbags placem_collection'!$X93)),"YES","NO")</f>
        <v>YES</v>
      </c>
      <c r="AJ166" s="245" t="str">
        <f>IF(ISNUMBER(SEARCH("C", 'WetLitterbags placem_collection'!$V93)),"YES","NO")</f>
        <v>NO</v>
      </c>
      <c r="AK166" s="245" t="str">
        <f>IF(ISNUMBER(SEARCH("H", 'WetLitterbags placem_collection'!$V93)),"YES","NO")</f>
        <v>YES</v>
      </c>
      <c r="AL166" s="245" t="str">
        <f>IF(ISNUMBER(SEARCH("R", 'WetLitterbags placem_collection'!$V93)),"YES","NO")</f>
        <v>YES</v>
      </c>
    </row>
    <row r="167" spans="2:38">
      <c r="B167" t="str">
        <f>Wetseason!B93</f>
        <v>Wet</v>
      </c>
      <c r="C167" s="253">
        <f>Wetseason!C93</f>
        <v>92</v>
      </c>
      <c r="D167" t="s">
        <v>3115</v>
      </c>
      <c r="E167" t="s">
        <v>22</v>
      </c>
      <c r="F167" s="375">
        <v>4</v>
      </c>
      <c r="G167" s="16">
        <f>'WetLitterbags placem_collection'!E94</f>
        <v>42767</v>
      </c>
      <c r="H167" t="str">
        <f>Wetseason!L93</f>
        <v>G529</v>
      </c>
      <c r="I167" t="str">
        <f>Wetseason!L313</f>
        <v>R445</v>
      </c>
      <c r="J167">
        <f>IFERROR(INDEX('Green_rooibos initial weight'!$C$5:$C$2000,MATCH(H167, 'Green_rooibos initial weight'!$A$5:$A$2000,0)),"")</f>
        <v>2.089</v>
      </c>
      <c r="K167">
        <f>IFERROR(INDEX('Green_rooibos initial weight'!$C$5:$C$2000,MATCH(I167, 'Green_rooibos initial weight'!$A$5:$A$2000,0)),"")</f>
        <v>2.2389999999999999</v>
      </c>
      <c r="L167" s="194">
        <f t="shared" si="18"/>
        <v>1.8391999999999999</v>
      </c>
      <c r="M167" s="194">
        <f>AVERAGE(Ashed_controlls!$K$2:$K$11)</f>
        <v>5.5147656768714146</v>
      </c>
      <c r="N167" s="194">
        <f t="shared" si="15"/>
        <v>1.7377724296709809</v>
      </c>
      <c r="O167" s="194">
        <f t="shared" si="19"/>
        <v>1.9891999999999999</v>
      </c>
      <c r="P167" s="194">
        <f>AVERAGE(Ashed_controlls!$K$12:$K$14)</f>
        <v>2.2816647271287041</v>
      </c>
      <c r="Q167" s="194">
        <f t="shared" si="20"/>
        <v>1.9438131252479556</v>
      </c>
      <c r="R167" s="16">
        <f>IF('WetLitterbags placem_collection'!G94="","",'WetLitterbags placem_collection'!G94)</f>
        <v>42819</v>
      </c>
      <c r="S167" s="194">
        <f>IFERROR(INDEX('Both teabags AfterWet'!$C$3:$C$2000,MATCH(H167,'Both teabags AfterWet'!$A$3:$A$2000,0)),"")</f>
        <v>0.76500000000000001</v>
      </c>
      <c r="T167" s="194">
        <f>IFERROR(INDEX('Both teabags AfterWet'!$C$3:$C$2000,MATCH(I167,'Both teabags AfterWet'!$A$3:$A$2000,0)),"")</f>
        <v>0.31</v>
      </c>
      <c r="U167" s="194">
        <f t="shared" si="21"/>
        <v>0.61440000000000006</v>
      </c>
      <c r="V167" s="194">
        <f t="shared" si="22"/>
        <v>0.15939999999999999</v>
      </c>
      <c r="W167" s="194">
        <f>IFERROR(INDEX('Ashed teabags wet'!$K$2:$K$2000,MATCH(H167,'Ashed teabags wet'!$A$2:$A$2000,0)),"")</f>
        <v>11.868446139180241</v>
      </c>
      <c r="X167" s="233">
        <f>IFERROR(INDEX('Ashed teabags wet'!$K$2:$K$2000,MATCH(I167,'Ashed teabags wet'!$A$2:$A$2000,0)),"")</f>
        <v>0</v>
      </c>
      <c r="Y167" s="194">
        <f t="shared" si="27"/>
        <v>0.5414802669208767</v>
      </c>
      <c r="Z167" s="194">
        <f t="shared" si="27"/>
        <v>0.15939999999999999</v>
      </c>
      <c r="AA167" s="194">
        <f t="shared" si="23"/>
        <v>0.68840553706828156</v>
      </c>
      <c r="AB167" s="194">
        <f t="shared" si="24"/>
        <v>0.4513062428286122</v>
      </c>
      <c r="AC167" s="194">
        <f t="shared" si="16"/>
        <v>8.2003767712838488E-2</v>
      </c>
      <c r="AD167">
        <f t="shared" si="17"/>
        <v>52</v>
      </c>
      <c r="AE167" s="194">
        <f t="shared" si="25"/>
        <v>0.18241622675976055</v>
      </c>
      <c r="AF167" s="194" t="str">
        <f t="shared" si="26"/>
        <v/>
      </c>
      <c r="AG167" s="245" t="str">
        <f>IF(ISNUMBER(SEARCH("C",'WetLitterbags placem_collection'!$X94)),"YES","NO")</f>
        <v>NO</v>
      </c>
      <c r="AH167" s="245" t="str">
        <f>IF(ISNUMBER(SEARCH("H", 'WetLitterbags placem_collection'!$X94)),"YES","NO")</f>
        <v>NO</v>
      </c>
      <c r="AI167" s="245" t="str">
        <f>IF(ISNUMBER(SEARCH("R", 'WetLitterbags placem_collection'!$X94)),"YES","NO")</f>
        <v>YES</v>
      </c>
      <c r="AJ167" s="245" t="str">
        <f>IF(ISNUMBER(SEARCH("C", 'WetLitterbags placem_collection'!$V94)),"YES","NO")</f>
        <v>YES</v>
      </c>
      <c r="AK167" s="245" t="str">
        <f>IF(ISNUMBER(SEARCH("H", 'WetLitterbags placem_collection'!$V94)),"YES","NO")</f>
        <v>YES</v>
      </c>
      <c r="AL167" s="245" t="str">
        <f>IF(ISNUMBER(SEARCH("R", 'WetLitterbags placem_collection'!$V94)),"YES","NO")</f>
        <v>NO</v>
      </c>
    </row>
    <row r="168" spans="2:38">
      <c r="B168" t="str">
        <f>Wetseason!B94</f>
        <v>Wet</v>
      </c>
      <c r="C168" s="253">
        <f>Wetseason!C94</f>
        <v>93</v>
      </c>
      <c r="D168" t="s">
        <v>3115</v>
      </c>
      <c r="E168" t="s">
        <v>22</v>
      </c>
      <c r="F168" s="375">
        <v>5</v>
      </c>
      <c r="G168" s="16">
        <f>'WetLitterbags placem_collection'!E95</f>
        <v>42767</v>
      </c>
      <c r="H168" t="str">
        <f>Wetseason!L94</f>
        <v>G636</v>
      </c>
      <c r="I168" t="str">
        <f>Wetseason!L314</f>
        <v>R12</v>
      </c>
      <c r="J168">
        <f>IFERROR(INDEX('Green_rooibos initial weight'!$C$5:$C$2000,MATCH(H168, 'Green_rooibos initial weight'!$A$5:$A$2000,0)),"")</f>
        <v>2.133</v>
      </c>
      <c r="K168">
        <f>IFERROR(INDEX('Green_rooibos initial weight'!$C$5:$C$2000,MATCH(I168, 'Green_rooibos initial weight'!$A$5:$A$2000,0)),"")</f>
        <v>2.1709999999999998</v>
      </c>
      <c r="L168" s="194">
        <f t="shared" si="18"/>
        <v>1.8832</v>
      </c>
      <c r="M168" s="194">
        <f>AVERAGE(Ashed_controlls!$K$2:$K$11)</f>
        <v>5.5147656768714146</v>
      </c>
      <c r="N168" s="194">
        <f t="shared" si="15"/>
        <v>1.7793459327731576</v>
      </c>
      <c r="O168" s="194">
        <f t="shared" si="19"/>
        <v>1.9211999999999998</v>
      </c>
      <c r="P168" s="194">
        <f>AVERAGE(Ashed_controlls!$K$12:$K$14)</f>
        <v>2.2816647271287041</v>
      </c>
      <c r="Q168" s="194">
        <f t="shared" si="20"/>
        <v>1.8773646572624032</v>
      </c>
      <c r="R168" s="16">
        <f>IF('WetLitterbags placem_collection'!G95="","",'WetLitterbags placem_collection'!G95)</f>
        <v>42819</v>
      </c>
      <c r="S168" s="194">
        <f>IFERROR(INDEX('Both teabags AfterWet'!$C$3:$C$2000,MATCH(H168,'Both teabags AfterWet'!$A$3:$A$2000,0)),"")</f>
        <v>0.79630000000000001</v>
      </c>
      <c r="T168" s="194">
        <f>IFERROR(INDEX('Both teabags AfterWet'!$C$3:$C$2000,MATCH(I168,'Both teabags AfterWet'!$A$3:$A$2000,0)),"")</f>
        <v>0.17</v>
      </c>
      <c r="U168" s="194">
        <f t="shared" si="21"/>
        <v>0.64569999999999994</v>
      </c>
      <c r="V168" s="194">
        <f t="shared" si="22"/>
        <v>1.9400000000000001E-2</v>
      </c>
      <c r="W168" s="194">
        <f>IFERROR(INDEX('Ashed teabags wet'!$K$2:$K$2000,MATCH(H168,'Ashed teabags wet'!$A$2:$A$2000,0)),"")</f>
        <v>13.477619281849297</v>
      </c>
      <c r="X168" s="233">
        <f>IFERROR(INDEX('Ashed teabags wet'!$K$2:$K$2000,MATCH(I168,'Ashed teabags wet'!$A$2:$A$2000,0)),"")</f>
        <v>0</v>
      </c>
      <c r="Y168" s="194">
        <f t="shared" si="27"/>
        <v>0.55867501229709904</v>
      </c>
      <c r="Z168" s="194">
        <f t="shared" si="27"/>
        <v>1.9400000000000001E-2</v>
      </c>
      <c r="AA168" s="194">
        <f t="shared" si="23"/>
        <v>0.68602226132251343</v>
      </c>
      <c r="AB168" s="194">
        <f t="shared" si="24"/>
        <v>0.44974381027319177</v>
      </c>
      <c r="AC168" s="194">
        <f t="shared" si="16"/>
        <v>1.0333634398065917E-2</v>
      </c>
      <c r="AD168">
        <f t="shared" si="17"/>
        <v>52</v>
      </c>
      <c r="AE168" s="194">
        <f t="shared" si="25"/>
        <v>0.18524672051958024</v>
      </c>
      <c r="AF168" s="194" t="str">
        <f t="shared" si="26"/>
        <v/>
      </c>
      <c r="AG168" s="245" t="str">
        <f>IF(ISNUMBER(SEARCH("C",'WetLitterbags placem_collection'!$X95)),"YES","NO")</f>
        <v>NO</v>
      </c>
      <c r="AH168" s="245" t="str">
        <f>IF(ISNUMBER(SEARCH("H", 'WetLitterbags placem_collection'!$X95)),"YES","NO")</f>
        <v>NO</v>
      </c>
      <c r="AI168" s="245" t="str">
        <f>IF(ISNUMBER(SEARCH("R", 'WetLitterbags placem_collection'!$X95)),"YES","NO")</f>
        <v>YES</v>
      </c>
      <c r="AJ168" s="245" t="str">
        <f>IF(ISNUMBER(SEARCH("C", 'WetLitterbags placem_collection'!$V95)),"YES","NO")</f>
        <v>NO</v>
      </c>
      <c r="AK168" s="245" t="str">
        <f>IF(ISNUMBER(SEARCH("H", 'WetLitterbags placem_collection'!$V95)),"YES","NO")</f>
        <v>NO</v>
      </c>
      <c r="AL168" s="245" t="str">
        <f>IF(ISNUMBER(SEARCH("R", 'WetLitterbags placem_collection'!$V95)),"YES","NO")</f>
        <v>YES</v>
      </c>
    </row>
    <row r="169" spans="2:38">
      <c r="B169" t="str">
        <f>Wetseason!B95</f>
        <v>Wet</v>
      </c>
      <c r="C169" s="253">
        <f>Wetseason!C95</f>
        <v>94</v>
      </c>
      <c r="D169" t="s">
        <v>3115</v>
      </c>
      <c r="E169" t="s">
        <v>22</v>
      </c>
      <c r="F169" s="375">
        <v>6</v>
      </c>
      <c r="G169" s="16">
        <f>'WetLitterbags placem_collection'!E96</f>
        <v>42767</v>
      </c>
      <c r="H169" t="str">
        <f>Wetseason!L95</f>
        <v>G534</v>
      </c>
      <c r="I169" t="str">
        <f>Wetseason!L315</f>
        <v>R244</v>
      </c>
      <c r="J169">
        <f>IFERROR(INDEX('Green_rooibos initial weight'!$C$5:$C$2000,MATCH(H169, 'Green_rooibos initial weight'!$A$5:$A$2000,0)),"")</f>
        <v>2.169</v>
      </c>
      <c r="K169">
        <f>IFERROR(INDEX('Green_rooibos initial weight'!$C$5:$C$2000,MATCH(I169, 'Green_rooibos initial weight'!$A$5:$A$2000,0)),"")</f>
        <v>2.2490000000000001</v>
      </c>
      <c r="L169" s="194">
        <f t="shared" si="18"/>
        <v>1.9192</v>
      </c>
      <c r="M169" s="194">
        <f>AVERAGE(Ashed_controlls!$K$2:$K$11)</f>
        <v>5.5147656768714146</v>
      </c>
      <c r="N169" s="194">
        <f t="shared" si="15"/>
        <v>1.8133606171294838</v>
      </c>
      <c r="O169" s="194">
        <f t="shared" si="19"/>
        <v>1.9992000000000001</v>
      </c>
      <c r="P169" s="194">
        <f>AVERAGE(Ashed_controlls!$K$12:$K$14)</f>
        <v>2.2816647271287041</v>
      </c>
      <c r="Q169" s="194">
        <f t="shared" si="20"/>
        <v>1.953584958775243</v>
      </c>
      <c r="R169" s="16">
        <f>IF('WetLitterbags placem_collection'!G96="","",'WetLitterbags placem_collection'!G96)</f>
        <v>42819</v>
      </c>
      <c r="S169" s="194" t="str">
        <f>IFERROR(INDEX('Both teabags AfterWet'!$C$3:$C$2000,MATCH(H169,'Both teabags AfterWet'!$A$3:$A$2000,0)),"")</f>
        <v/>
      </c>
      <c r="T169" s="194" t="str">
        <f>IFERROR(INDEX('Both teabags AfterWet'!$C$3:$C$2000,MATCH(I169,'Both teabags AfterWet'!$A$3:$A$2000,0)),"")</f>
        <v/>
      </c>
      <c r="U169" s="194" t="str">
        <f t="shared" si="21"/>
        <v/>
      </c>
      <c r="V169" s="194" t="str">
        <f t="shared" si="22"/>
        <v/>
      </c>
      <c r="W169" s="194" t="str">
        <f>IFERROR(INDEX('Ashed teabags wet'!$K$2:$K$2000,MATCH(H169,'Ashed teabags wet'!$A$2:$A$2000,0)),"")</f>
        <v/>
      </c>
      <c r="X169" s="233" t="str">
        <f>IFERROR(INDEX('Ashed teabags wet'!$K$2:$K$2000,MATCH(I169,'Ashed teabags wet'!$A$2:$A$2000,0)),"")</f>
        <v/>
      </c>
      <c r="Y169" s="194" t="str">
        <f t="shared" si="27"/>
        <v/>
      </c>
      <c r="Z169" s="194" t="str">
        <f t="shared" si="27"/>
        <v/>
      </c>
      <c r="AA169" s="194" t="str">
        <f t="shared" si="23"/>
        <v/>
      </c>
      <c r="AB169" s="194" t="str">
        <f t="shared" si="24"/>
        <v/>
      </c>
      <c r="AC169" s="194" t="str">
        <f t="shared" si="16"/>
        <v/>
      </c>
      <c r="AD169">
        <f t="shared" si="17"/>
        <v>52</v>
      </c>
      <c r="AE169" s="194" t="str">
        <f t="shared" si="25"/>
        <v/>
      </c>
      <c r="AF169" s="194" t="str">
        <f t="shared" si="26"/>
        <v/>
      </c>
      <c r="AG169" s="245" t="str">
        <f>IF(ISNUMBER(SEARCH("C",'WetLitterbags placem_collection'!$X96)),"YES","NO")</f>
        <v>NO</v>
      </c>
      <c r="AH169" s="245" t="str">
        <f>IF(ISNUMBER(SEARCH("H", 'WetLitterbags placem_collection'!$X96)),"YES","NO")</f>
        <v>NO</v>
      </c>
      <c r="AI169" s="245" t="str">
        <f>IF(ISNUMBER(SEARCH("R", 'WetLitterbags placem_collection'!$X96)),"YES","NO")</f>
        <v>NO</v>
      </c>
      <c r="AJ169" s="245" t="str">
        <f>IF(ISNUMBER(SEARCH("C", 'WetLitterbags placem_collection'!$V96)),"YES","NO")</f>
        <v>NO</v>
      </c>
      <c r="AK169" s="245" t="str">
        <f>IF(ISNUMBER(SEARCH("H", 'WetLitterbags placem_collection'!$V96)),"YES","NO")</f>
        <v>NO</v>
      </c>
      <c r="AL169" s="245" t="str">
        <f>IF(ISNUMBER(SEARCH("R", 'WetLitterbags placem_collection'!$V96)),"YES","NO")</f>
        <v>NO</v>
      </c>
    </row>
    <row r="170" spans="2:38">
      <c r="B170" t="str">
        <f>Wetseason!B96</f>
        <v>Wet</v>
      </c>
      <c r="C170" s="253">
        <f>Wetseason!C96</f>
        <v>95</v>
      </c>
      <c r="D170" t="s">
        <v>3115</v>
      </c>
      <c r="E170" t="s">
        <v>22</v>
      </c>
      <c r="F170" s="375">
        <v>7</v>
      </c>
      <c r="G170" s="16">
        <f>'WetLitterbags placem_collection'!E97</f>
        <v>42767</v>
      </c>
      <c r="H170" t="str">
        <f>Wetseason!L96</f>
        <v>G641</v>
      </c>
      <c r="I170" t="str">
        <f>Wetseason!L316</f>
        <v>R360</v>
      </c>
      <c r="J170">
        <f>IFERROR(INDEX('Green_rooibos initial weight'!$C$5:$C$2000,MATCH(H170, 'Green_rooibos initial weight'!$A$5:$A$2000,0)),"")</f>
        <v>2.14</v>
      </c>
      <c r="K170">
        <f>IFERROR(INDEX('Green_rooibos initial weight'!$C$5:$C$2000,MATCH(I170, 'Green_rooibos initial weight'!$A$5:$A$2000,0)),"")</f>
        <v>2.206</v>
      </c>
      <c r="L170" s="194">
        <f t="shared" si="18"/>
        <v>1.8902000000000001</v>
      </c>
      <c r="M170" s="194">
        <f>AVERAGE(Ashed_controlls!$K$2:$K$11)</f>
        <v>5.5147656768714146</v>
      </c>
      <c r="N170" s="194">
        <f t="shared" si="15"/>
        <v>1.7859598991757766</v>
      </c>
      <c r="O170" s="194">
        <f t="shared" si="19"/>
        <v>1.9561999999999999</v>
      </c>
      <c r="P170" s="194">
        <f>AVERAGE(Ashed_controlls!$K$12:$K$14)</f>
        <v>2.2816647271287041</v>
      </c>
      <c r="Q170" s="194">
        <f t="shared" si="20"/>
        <v>1.9115660746079082</v>
      </c>
      <c r="R170" s="16">
        <f>IF('WetLitterbags placem_collection'!G97="","",'WetLitterbags placem_collection'!G97)</f>
        <v>42819</v>
      </c>
      <c r="S170" s="194">
        <f>IFERROR(INDEX('Both teabags AfterWet'!$C$3:$C$2000,MATCH(H170,'Both teabags AfterWet'!$A$3:$A$2000,0)),"")</f>
        <v>1.254</v>
      </c>
      <c r="T170" s="194">
        <f>IFERROR(INDEX('Both teabags AfterWet'!$C$3:$C$2000,MATCH(I170,'Both teabags AfterWet'!$A$3:$A$2000,0)),"")</f>
        <v>0.45800000000000002</v>
      </c>
      <c r="U170" s="194">
        <f t="shared" si="21"/>
        <v>1.1033999999999999</v>
      </c>
      <c r="V170" s="194">
        <f t="shared" si="22"/>
        <v>0.30740000000000001</v>
      </c>
      <c r="W170" s="194">
        <f>IFERROR(INDEX('Ashed teabags wet'!$K$2:$K$2000,MATCH(H170,'Ashed teabags wet'!$A$2:$A$2000,0)),"")</f>
        <v>33.235294117646788</v>
      </c>
      <c r="X170" s="233">
        <f>IFERROR(INDEX('Ashed teabags wet'!$K$2:$K$2000,MATCH(I170,'Ashed teabags wet'!$A$2:$A$2000,0)),"")</f>
        <v>89.327146171693883</v>
      </c>
      <c r="Y170" s="194">
        <f t="shared" si="27"/>
        <v>0.73668176470588531</v>
      </c>
      <c r="Z170" s="194">
        <f t="shared" si="27"/>
        <v>3.2808352668213026E-2</v>
      </c>
      <c r="AA170" s="194">
        <f t="shared" si="23"/>
        <v>0.58751494641852531</v>
      </c>
      <c r="AB170" s="194">
        <f t="shared" si="24"/>
        <v>0.38516419290145604</v>
      </c>
      <c r="AC170" s="194">
        <f t="shared" si="16"/>
        <v>1.716307539876304E-2</v>
      </c>
      <c r="AD170">
        <f t="shared" si="17"/>
        <v>52</v>
      </c>
      <c r="AE170" s="194">
        <f t="shared" si="25"/>
        <v>0.30223878097562318</v>
      </c>
      <c r="AF170" s="194" t="str">
        <f t="shared" si="26"/>
        <v/>
      </c>
      <c r="AG170" s="245" t="str">
        <f>IF(ISNUMBER(SEARCH("C",'WetLitterbags placem_collection'!$X97)),"YES","NO")</f>
        <v>NO</v>
      </c>
      <c r="AH170" s="245" t="str">
        <f>IF(ISNUMBER(SEARCH("H", 'WetLitterbags placem_collection'!$X97)),"YES","NO")</f>
        <v>NO</v>
      </c>
      <c r="AI170" s="245" t="str">
        <f>IF(ISNUMBER(SEARCH("R", 'WetLitterbags placem_collection'!$X97)),"YES","NO")</f>
        <v>YES</v>
      </c>
      <c r="AJ170" s="245" t="str">
        <f>IF(ISNUMBER(SEARCH("C", 'WetLitterbags placem_collection'!$V97)),"YES","NO")</f>
        <v>YES</v>
      </c>
      <c r="AK170" s="245" t="str">
        <f>IF(ISNUMBER(SEARCH("H", 'WetLitterbags placem_collection'!$V97)),"YES","NO")</f>
        <v>YES</v>
      </c>
      <c r="AL170" s="245" t="str">
        <f>IF(ISNUMBER(SEARCH("R", 'WetLitterbags placem_collection'!$V97)),"YES","NO")</f>
        <v>YES</v>
      </c>
    </row>
    <row r="171" spans="2:38">
      <c r="B171" t="str">
        <f>Wetseason!B97</f>
        <v>Wet</v>
      </c>
      <c r="C171" s="253">
        <f>Wetseason!C97</f>
        <v>96</v>
      </c>
      <c r="D171" t="s">
        <v>3115</v>
      </c>
      <c r="E171" t="s">
        <v>22</v>
      </c>
      <c r="F171" s="375">
        <v>8</v>
      </c>
      <c r="G171" s="16">
        <f>'WetLitterbags placem_collection'!E98</f>
        <v>42767</v>
      </c>
      <c r="H171" t="str">
        <f>Wetseason!L97</f>
        <v>G479</v>
      </c>
      <c r="I171" t="str">
        <f>Wetseason!L317</f>
        <v>R318</v>
      </c>
      <c r="J171">
        <f>IFERROR(INDEX('Green_rooibos initial weight'!$C$5:$C$2000,MATCH(H171, 'Green_rooibos initial weight'!$A$5:$A$2000,0)),"")</f>
        <v>1.982</v>
      </c>
      <c r="K171">
        <f>IFERROR(INDEX('Green_rooibos initial weight'!$C$5:$C$2000,MATCH(I171, 'Green_rooibos initial weight'!$A$5:$A$2000,0)),"")</f>
        <v>2.23</v>
      </c>
      <c r="L171" s="194">
        <f t="shared" si="18"/>
        <v>1.7322</v>
      </c>
      <c r="M171" s="194">
        <f>AVERAGE(Ashed_controlls!$K$2:$K$11)</f>
        <v>5.5147656768714146</v>
      </c>
      <c r="N171" s="194">
        <f t="shared" si="15"/>
        <v>1.6366732289452333</v>
      </c>
      <c r="O171" s="194">
        <f t="shared" si="19"/>
        <v>1.9802</v>
      </c>
      <c r="P171" s="194">
        <f>AVERAGE(Ashed_controlls!$K$12:$K$14)</f>
        <v>2.2816647271287041</v>
      </c>
      <c r="Q171" s="194">
        <f t="shared" si="20"/>
        <v>1.9350184750733974</v>
      </c>
      <c r="R171" s="16">
        <f>IF('WetLitterbags placem_collection'!G98="","",'WetLitterbags placem_collection'!G98)</f>
        <v>42819</v>
      </c>
      <c r="S171" s="194">
        <f>IFERROR(INDEX('Both teabags AfterWet'!$C$3:$C$2000,MATCH(H171,'Both teabags AfterWet'!$A$3:$A$2000,0)),"")</f>
        <v>0.90410000000000001</v>
      </c>
      <c r="T171" s="194">
        <f>IFERROR(INDEX('Both teabags AfterWet'!$C$3:$C$2000,MATCH(I171,'Both teabags AfterWet'!$A$3:$A$2000,0)),"")</f>
        <v>1.748</v>
      </c>
      <c r="U171" s="194">
        <f t="shared" si="21"/>
        <v>0.75350000000000006</v>
      </c>
      <c r="V171" s="194">
        <f t="shared" si="22"/>
        <v>1.5973999999999999</v>
      </c>
      <c r="W171" s="194">
        <f>IFERROR(INDEX('Ashed teabags wet'!$K$2:$K$2000,MATCH(H171,'Ashed teabags wet'!$A$2:$A$2000,0)),"")</f>
        <v>16.839506172838583</v>
      </c>
      <c r="X171" s="233">
        <f>IFERROR(INDEX('Ashed teabags wet'!$K$2:$K$2000,MATCH(I171,'Ashed teabags wet'!$A$2:$A$2000,0)),"")</f>
        <v>11.127670144063339</v>
      </c>
      <c r="Y171" s="194">
        <f t="shared" si="27"/>
        <v>0.62661432098766134</v>
      </c>
      <c r="Z171" s="194">
        <f t="shared" si="27"/>
        <v>1.4196465971187322</v>
      </c>
      <c r="AA171" s="194">
        <f t="shared" si="23"/>
        <v>0.61714146116296664</v>
      </c>
      <c r="AB171" s="194">
        <f t="shared" si="24"/>
        <v>0.40458680114246748</v>
      </c>
      <c r="AC171" s="194">
        <f t="shared" si="16"/>
        <v>0.73366048717694199</v>
      </c>
      <c r="AD171">
        <f t="shared" si="17"/>
        <v>52</v>
      </c>
      <c r="AE171" s="194">
        <f t="shared" si="25"/>
        <v>0.26705289648103725</v>
      </c>
      <c r="AF171" s="194">
        <f t="shared" si="26"/>
        <v>2.0650428390897542E-2</v>
      </c>
      <c r="AG171" s="245" t="str">
        <f>IF(ISNUMBER(SEARCH("C",'WetLitterbags placem_collection'!$X98)),"YES","NO")</f>
        <v>NO</v>
      </c>
      <c r="AH171" s="245" t="str">
        <f>IF(ISNUMBER(SEARCH("H", 'WetLitterbags placem_collection'!$X98)),"YES","NO")</f>
        <v>NO</v>
      </c>
      <c r="AI171" s="245" t="str">
        <f>IF(ISNUMBER(SEARCH("R", 'WetLitterbags placem_collection'!$X98)),"YES","NO")</f>
        <v>YES</v>
      </c>
      <c r="AJ171" s="245" t="str">
        <f>IF(ISNUMBER(SEARCH("C", 'WetLitterbags placem_collection'!$V98)),"YES","NO")</f>
        <v>NO</v>
      </c>
      <c r="AK171" s="245" t="str">
        <f>IF(ISNUMBER(SEARCH("H", 'WetLitterbags placem_collection'!$V98)),"YES","NO")</f>
        <v>NO</v>
      </c>
      <c r="AL171" s="245" t="str">
        <f>IF(ISNUMBER(SEARCH("R", 'WetLitterbags placem_collection'!$V98)),"YES","NO")</f>
        <v>YES</v>
      </c>
    </row>
    <row r="172" spans="2:38">
      <c r="B172" t="str">
        <f>Wetseason!B98</f>
        <v>Wet</v>
      </c>
      <c r="C172" s="253">
        <f>Wetseason!C98</f>
        <v>97</v>
      </c>
      <c r="D172" t="s">
        <v>3116</v>
      </c>
      <c r="E172" t="s">
        <v>22</v>
      </c>
      <c r="F172" s="374">
        <v>1</v>
      </c>
      <c r="G172" s="16">
        <f>'WetLitterbags placem_collection'!E99</f>
        <v>42762</v>
      </c>
      <c r="H172" t="str">
        <f>Wetseason!L98</f>
        <v>G741</v>
      </c>
      <c r="I172" t="str">
        <f>Wetseason!L318</f>
        <v>R518</v>
      </c>
      <c r="J172">
        <f>IFERROR(INDEX('Green_rooibos initial weight'!$C$5:$C$2000,MATCH(H172, 'Green_rooibos initial weight'!$A$5:$A$2000,0)),"")</f>
        <v>2.1019999999999999</v>
      </c>
      <c r="K172">
        <f>IFERROR(INDEX('Green_rooibos initial weight'!$C$5:$C$2000,MATCH(I172, 'Green_rooibos initial weight'!$A$5:$A$2000,0)),"")</f>
        <v>2.198</v>
      </c>
      <c r="L172" s="194">
        <f t="shared" si="18"/>
        <v>1.8521999999999998</v>
      </c>
      <c r="M172" s="194">
        <f>AVERAGE(Ashed_controlls!$K$2:$K$11)</f>
        <v>5.5147656768714146</v>
      </c>
      <c r="N172" s="194">
        <f t="shared" si="15"/>
        <v>1.7500555101329875</v>
      </c>
      <c r="O172" s="194">
        <f t="shared" si="19"/>
        <v>1.9481999999999999</v>
      </c>
      <c r="P172" s="194">
        <f>AVERAGE(Ashed_controlls!$K$12:$K$14)</f>
        <v>2.2816647271287041</v>
      </c>
      <c r="Q172" s="194">
        <f t="shared" si="20"/>
        <v>1.9037486077860786</v>
      </c>
      <c r="R172" s="16">
        <f>IF('WetLitterbags placem_collection'!G99="","",'WetLitterbags placem_collection'!G99)</f>
        <v>42816</v>
      </c>
      <c r="S172" s="194">
        <f>IFERROR(INDEX('Both teabags AfterWet'!$C$3:$C$2000,MATCH(H172,'Both teabags AfterWet'!$A$3:$A$2000,0)),"")</f>
        <v>0.60680000000000001</v>
      </c>
      <c r="T172" s="194">
        <f>IFERROR(INDEX('Both teabags AfterWet'!$C$3:$C$2000,MATCH(I172,'Both teabags AfterWet'!$A$3:$A$2000,0)),"")</f>
        <v>0</v>
      </c>
      <c r="U172" s="194">
        <f t="shared" si="21"/>
        <v>0.45619999999999999</v>
      </c>
      <c r="V172" s="194" t="str">
        <f t="shared" si="22"/>
        <v/>
      </c>
      <c r="W172" s="194">
        <f>IFERROR(INDEX('Ashed teabags wet'!$K$2:$K$2000,MATCH(H172,'Ashed teabags wet'!$A$2:$A$2000,0)),"")</f>
        <v>20.517928286852939</v>
      </c>
      <c r="X172" s="233">
        <f>IFERROR(INDEX('Ashed teabags wet'!$K$2:$K$2000,MATCH(I172,'Ashed teabags wet'!$A$2:$A$2000,0)),"")</f>
        <v>0</v>
      </c>
      <c r="Y172" s="194">
        <f t="shared" si="27"/>
        <v>0.36259721115537691</v>
      </c>
      <c r="Z172" s="194" t="str">
        <f t="shared" si="27"/>
        <v/>
      </c>
      <c r="AA172" s="194">
        <f t="shared" si="23"/>
        <v>0.79280816576622593</v>
      </c>
      <c r="AB172" s="194">
        <f t="shared" si="24"/>
        <v>0.51975072149994861</v>
      </c>
      <c r="AC172" s="194" t="str">
        <f t="shared" si="16"/>
        <v/>
      </c>
      <c r="AD172">
        <f t="shared" si="17"/>
        <v>54</v>
      </c>
      <c r="AE172" s="194">
        <f t="shared" si="25"/>
        <v>5.8422605978354025E-2</v>
      </c>
      <c r="AF172" s="194" t="str">
        <f t="shared" si="26"/>
        <v/>
      </c>
      <c r="AG172" s="245" t="str">
        <f>IF(ISNUMBER(SEARCH("C",'WetLitterbags placem_collection'!$X99)),"YES","NO")</f>
        <v>NO</v>
      </c>
      <c r="AH172" s="245" t="str">
        <f>IF(ISNUMBER(SEARCH("H", 'WetLitterbags placem_collection'!$X99)),"YES","NO")</f>
        <v>NO</v>
      </c>
      <c r="AI172" s="245" t="str">
        <f>IF(ISNUMBER(SEARCH("R", 'WetLitterbags placem_collection'!$X99)),"YES","NO")</f>
        <v>NO</v>
      </c>
      <c r="AJ172" s="245" t="str">
        <f>IF(ISNUMBER(SEARCH("C", 'WetLitterbags placem_collection'!$V99)),"YES","NO")</f>
        <v>NO</v>
      </c>
      <c r="AK172" s="245" t="str">
        <f>IF(ISNUMBER(SEARCH("H", 'WetLitterbags placem_collection'!$V99)),"YES","NO")</f>
        <v>NO</v>
      </c>
      <c r="AL172" s="245" t="str">
        <f>IF(ISNUMBER(SEARCH("R", 'WetLitterbags placem_collection'!$V99)),"YES","NO")</f>
        <v>NO</v>
      </c>
    </row>
    <row r="173" spans="2:38">
      <c r="B173" t="str">
        <f>Wetseason!B99</f>
        <v>Wet</v>
      </c>
      <c r="C173" s="253">
        <f>Wetseason!C99</f>
        <v>98</v>
      </c>
      <c r="D173" t="s">
        <v>3116</v>
      </c>
      <c r="E173" t="s">
        <v>22</v>
      </c>
      <c r="F173" s="374">
        <v>2</v>
      </c>
      <c r="G173" s="16">
        <f>'WetLitterbags placem_collection'!E100</f>
        <v>42762</v>
      </c>
      <c r="H173" t="str">
        <f>Wetseason!L99</f>
        <v>G610</v>
      </c>
      <c r="I173" t="str">
        <f>Wetseason!L319</f>
        <v>R489</v>
      </c>
      <c r="J173">
        <f>IFERROR(INDEX('Green_rooibos initial weight'!$C$5:$C$2000,MATCH(H173, 'Green_rooibos initial weight'!$A$5:$A$2000,0)),"")</f>
        <v>2.0379999999999998</v>
      </c>
      <c r="K173">
        <f>IFERROR(INDEX('Green_rooibos initial weight'!$C$5:$C$2000,MATCH(I173, 'Green_rooibos initial weight'!$A$5:$A$2000,0)),"")</f>
        <v>2.157</v>
      </c>
      <c r="L173" s="194">
        <f t="shared" si="18"/>
        <v>1.7881999999999998</v>
      </c>
      <c r="M173" s="194">
        <f>AVERAGE(Ashed_controlls!$K$2:$K$11)</f>
        <v>5.5147656768714146</v>
      </c>
      <c r="N173" s="194">
        <f t="shared" si="15"/>
        <v>1.6895849601661852</v>
      </c>
      <c r="O173" s="194">
        <f t="shared" si="19"/>
        <v>1.9072</v>
      </c>
      <c r="P173" s="194">
        <f>AVERAGE(Ashed_controlls!$K$12:$K$14)</f>
        <v>2.2816647271287041</v>
      </c>
      <c r="Q173" s="194">
        <f t="shared" si="20"/>
        <v>1.8636840903242013</v>
      </c>
      <c r="R173" s="16">
        <f>IF('WetLitterbags placem_collection'!G100="","",'WetLitterbags placem_collection'!G100)</f>
        <v>42816</v>
      </c>
      <c r="S173" s="194">
        <f>IFERROR(INDEX('Both teabags AfterWet'!$C$3:$C$2000,MATCH(H173,'Both teabags AfterWet'!$A$3:$A$2000,0)),"")</f>
        <v>0.56599999999999995</v>
      </c>
      <c r="T173" s="194">
        <f>IFERROR(INDEX('Both teabags AfterWet'!$C$3:$C$2000,MATCH(I173,'Both teabags AfterWet'!$A$3:$A$2000,0)),"")</f>
        <v>1.5389999999999999</v>
      </c>
      <c r="U173" s="194">
        <f t="shared" si="21"/>
        <v>0.41539999999999994</v>
      </c>
      <c r="V173" s="194">
        <f t="shared" si="22"/>
        <v>1.3883999999999999</v>
      </c>
      <c r="W173" s="194">
        <f>IFERROR(INDEX('Ashed teabags wet'!$K$2:$K$2000,MATCH(H173,'Ashed teabags wet'!$A$2:$A$2000,0)),"")</f>
        <v>14.682539682539385</v>
      </c>
      <c r="X173" s="233">
        <f>IFERROR(INDEX('Ashed teabags wet'!$K$2:$K$2000,MATCH(I173,'Ashed teabags wet'!$A$2:$A$2000,0)),"")</f>
        <v>12.679544328875947</v>
      </c>
      <c r="Y173" s="194">
        <f t="shared" si="27"/>
        <v>0.35440873015873131</v>
      </c>
      <c r="Z173" s="194">
        <f t="shared" si="27"/>
        <v>1.2123572065378863</v>
      </c>
      <c r="AA173" s="194">
        <f t="shared" si="23"/>
        <v>0.79023917795535292</v>
      </c>
      <c r="AB173" s="194">
        <f t="shared" si="24"/>
        <v>0.5180665394671673</v>
      </c>
      <c r="AC173" s="194">
        <f t="shared" si="16"/>
        <v>0.65051647585132732</v>
      </c>
      <c r="AD173">
        <f t="shared" si="17"/>
        <v>54</v>
      </c>
      <c r="AE173" s="194">
        <f t="shared" si="25"/>
        <v>6.1473660385566564E-2</v>
      </c>
      <c r="AF173" s="194">
        <f t="shared" si="26"/>
        <v>2.0790284955504456E-2</v>
      </c>
      <c r="AG173" s="245" t="str">
        <f>IF(ISNUMBER(SEARCH("C",'WetLitterbags placem_collection'!$X100)),"YES","NO")</f>
        <v>NO</v>
      </c>
      <c r="AH173" s="245" t="str">
        <f>IF(ISNUMBER(SEARCH("H", 'WetLitterbags placem_collection'!$X100)),"YES","NO")</f>
        <v>NO</v>
      </c>
      <c r="AI173" s="245" t="str">
        <f>IF(ISNUMBER(SEARCH("R", 'WetLitterbags placem_collection'!$X100)),"YES","NO")</f>
        <v>NO</v>
      </c>
      <c r="AJ173" s="245" t="str">
        <f>IF(ISNUMBER(SEARCH("C", 'WetLitterbags placem_collection'!$V100)),"YES","NO")</f>
        <v>NO</v>
      </c>
      <c r="AK173" s="245" t="str">
        <f>IF(ISNUMBER(SEARCH("H", 'WetLitterbags placem_collection'!$V100)),"YES","NO")</f>
        <v>NO</v>
      </c>
      <c r="AL173" s="245" t="str">
        <f>IF(ISNUMBER(SEARCH("R", 'WetLitterbags placem_collection'!$V100)),"YES","NO")</f>
        <v>NO</v>
      </c>
    </row>
    <row r="174" spans="2:38">
      <c r="B174" t="str">
        <f>Wetseason!B100</f>
        <v>Wet</v>
      </c>
      <c r="C174" s="253">
        <f>Wetseason!C100</f>
        <v>99</v>
      </c>
      <c r="D174" t="s">
        <v>3116</v>
      </c>
      <c r="E174" t="s">
        <v>22</v>
      </c>
      <c r="F174" s="374">
        <v>3</v>
      </c>
      <c r="G174" s="16">
        <f>'WetLitterbags placem_collection'!E101</f>
        <v>42762</v>
      </c>
      <c r="H174" t="str">
        <f>Wetseason!L100</f>
        <v>G765</v>
      </c>
      <c r="I174" t="str">
        <f>Wetseason!L320</f>
        <v>R549</v>
      </c>
      <c r="J174">
        <f>IFERROR(INDEX('Green_rooibos initial weight'!$C$5:$C$2000,MATCH(H174, 'Green_rooibos initial weight'!$A$5:$A$2000,0)),"")</f>
        <v>2.08</v>
      </c>
      <c r="K174">
        <f>IFERROR(INDEX('Green_rooibos initial weight'!$C$5:$C$2000,MATCH(I174, 'Green_rooibos initial weight'!$A$5:$A$2000,0)),"")</f>
        <v>2.2320000000000002</v>
      </c>
      <c r="L174" s="194">
        <f t="shared" si="18"/>
        <v>1.8302</v>
      </c>
      <c r="M174" s="194">
        <f>AVERAGE(Ashed_controlls!$K$2:$K$11)</f>
        <v>5.5147656768714146</v>
      </c>
      <c r="N174" s="194">
        <f t="shared" si="15"/>
        <v>1.7292687585818993</v>
      </c>
      <c r="O174" s="194">
        <f t="shared" si="19"/>
        <v>1.9822000000000002</v>
      </c>
      <c r="P174" s="194">
        <f>AVERAGE(Ashed_controlls!$K$12:$K$14)</f>
        <v>2.2816647271287041</v>
      </c>
      <c r="Q174" s="194">
        <f t="shared" si="20"/>
        <v>1.936972841778855</v>
      </c>
      <c r="R174" s="16">
        <f>IF('WetLitterbags placem_collection'!G101="","",'WetLitterbags placem_collection'!G101)</f>
        <v>42816</v>
      </c>
      <c r="S174" s="194">
        <f>IFERROR(INDEX('Both teabags AfterWet'!$C$3:$C$2000,MATCH(H174,'Both teabags AfterWet'!$A$3:$A$2000,0)),"")</f>
        <v>0.65149999999999997</v>
      </c>
      <c r="T174" s="194">
        <f>IFERROR(INDEX('Both teabags AfterWet'!$C$3:$C$2000,MATCH(I174,'Both teabags AfterWet'!$A$3:$A$2000,0)),"")</f>
        <v>1.5992</v>
      </c>
      <c r="U174" s="194">
        <f t="shared" si="21"/>
        <v>0.5008999999999999</v>
      </c>
      <c r="V174" s="194">
        <f t="shared" si="22"/>
        <v>1.4485999999999999</v>
      </c>
      <c r="W174" s="194">
        <f>IFERROR(INDEX('Ashed teabags wet'!$K$2:$K$2000,MATCH(H174,'Ashed teabags wet'!$A$2:$A$2000,0)),"")</f>
        <v>16.733295259852824</v>
      </c>
      <c r="X174" s="233">
        <f>IFERROR(INDEX('Ashed teabags wet'!$K$2:$K$2000,MATCH(I174,'Ashed teabags wet'!$A$2:$A$2000,0)),"")</f>
        <v>3.4003831417629944</v>
      </c>
      <c r="Y174" s="194">
        <f t="shared" si="27"/>
        <v>0.41708292404339714</v>
      </c>
      <c r="Z174" s="194">
        <f t="shared" si="27"/>
        <v>1.3993420498084213</v>
      </c>
      <c r="AA174" s="194">
        <f t="shared" si="23"/>
        <v>0.75880965756564678</v>
      </c>
      <c r="AB174" s="194">
        <f t="shared" si="24"/>
        <v>0.49746191327344069</v>
      </c>
      <c r="AC174" s="194">
        <f t="shared" si="16"/>
        <v>0.72243761999435652</v>
      </c>
      <c r="AD174">
        <f t="shared" si="17"/>
        <v>54</v>
      </c>
      <c r="AE174" s="194">
        <f t="shared" si="25"/>
        <v>9.8800881751013314E-2</v>
      </c>
      <c r="AF174" s="194">
        <f t="shared" si="26"/>
        <v>1.5117559673149818E-2</v>
      </c>
      <c r="AG174" s="245" t="str">
        <f>IF(ISNUMBER(SEARCH("C",'WetLitterbags placem_collection'!$X101)),"YES","NO")</f>
        <v>NO</v>
      </c>
      <c r="AH174" s="245" t="str">
        <f>IF(ISNUMBER(SEARCH("H", 'WetLitterbags placem_collection'!$X101)),"YES","NO")</f>
        <v>NO</v>
      </c>
      <c r="AI174" s="245" t="str">
        <f>IF(ISNUMBER(SEARCH("R", 'WetLitterbags placem_collection'!$X101)),"YES","NO")</f>
        <v>NO</v>
      </c>
      <c r="AJ174" s="245" t="str">
        <f>IF(ISNUMBER(SEARCH("C", 'WetLitterbags placem_collection'!$V101)),"YES","NO")</f>
        <v>NO</v>
      </c>
      <c r="AK174" s="245" t="str">
        <f>IF(ISNUMBER(SEARCH("H", 'WetLitterbags placem_collection'!$V101)),"YES","NO")</f>
        <v>NO</v>
      </c>
      <c r="AL174" s="245" t="str">
        <f>IF(ISNUMBER(SEARCH("R", 'WetLitterbags placem_collection'!$V101)),"YES","NO")</f>
        <v>YES</v>
      </c>
    </row>
    <row r="175" spans="2:38">
      <c r="B175" t="str">
        <f>Wetseason!B101</f>
        <v>Wet</v>
      </c>
      <c r="C175" s="253">
        <f>Wetseason!C101</f>
        <v>100</v>
      </c>
      <c r="D175" t="s">
        <v>3116</v>
      </c>
      <c r="E175" t="s">
        <v>22</v>
      </c>
      <c r="F175" s="375">
        <v>4</v>
      </c>
      <c r="G175" s="16">
        <f>'WetLitterbags placem_collection'!E102</f>
        <v>42762</v>
      </c>
      <c r="H175" t="str">
        <f>Wetseason!L101</f>
        <v>G728</v>
      </c>
      <c r="I175" t="str">
        <f>Wetseason!L321</f>
        <v>R500</v>
      </c>
      <c r="J175">
        <f>IFERROR(INDEX('Green_rooibos initial weight'!$C$5:$C$2000,MATCH(H175, 'Green_rooibos initial weight'!$A$5:$A$2000,0)),"")</f>
        <v>1.962</v>
      </c>
      <c r="K175">
        <f>IFERROR(INDEX('Green_rooibos initial weight'!$C$5:$C$2000,MATCH(I175, 'Green_rooibos initial weight'!$A$5:$A$2000,0)),"")</f>
        <v>2.2069999999999999</v>
      </c>
      <c r="L175" s="194">
        <f t="shared" si="18"/>
        <v>1.7121999999999999</v>
      </c>
      <c r="M175" s="194">
        <f>AVERAGE(Ashed_controlls!$K$2:$K$11)</f>
        <v>5.5147656768714146</v>
      </c>
      <c r="N175" s="194">
        <f t="shared" si="15"/>
        <v>1.6177761820806076</v>
      </c>
      <c r="O175" s="194">
        <f t="shared" si="19"/>
        <v>1.9571999999999998</v>
      </c>
      <c r="P175" s="194">
        <f>AVERAGE(Ashed_controlls!$K$12:$K$14)</f>
        <v>2.2816647271287041</v>
      </c>
      <c r="Q175" s="194">
        <f t="shared" si="20"/>
        <v>1.9125432579606367</v>
      </c>
      <c r="R175" s="16">
        <f>IF('WetLitterbags placem_collection'!G102="","",'WetLitterbags placem_collection'!G102)</f>
        <v>42816</v>
      </c>
      <c r="S175" s="194">
        <f>IFERROR(INDEX('Both teabags AfterWet'!$C$3:$C$2000,MATCH(H175,'Both teabags AfterWet'!$A$3:$A$2000,0)),"")</f>
        <v>0.59699999999999998</v>
      </c>
      <c r="T175" s="194">
        <f>IFERROR(INDEX('Both teabags AfterWet'!$C$3:$C$2000,MATCH(I175,'Both teabags AfterWet'!$A$3:$A$2000,0)),"")</f>
        <v>1.764</v>
      </c>
      <c r="U175" s="194">
        <f t="shared" si="21"/>
        <v>0.44639999999999996</v>
      </c>
      <c r="V175" s="194">
        <f t="shared" si="22"/>
        <v>1.6133999999999999</v>
      </c>
      <c r="W175" s="194">
        <f>IFERROR(INDEX('Ashed teabags wet'!$K$2:$K$2000,MATCH(H175,'Ashed teabags wet'!$A$2:$A$2000,0)),"")</f>
        <v>12.794117647059169</v>
      </c>
      <c r="X175" s="233">
        <f>IFERROR(INDEX('Ashed teabags wet'!$K$2:$K$2000,MATCH(I175,'Ashed teabags wet'!$A$2:$A$2000,0)),"")</f>
        <v>22.316525212181858</v>
      </c>
      <c r="Y175" s="194">
        <f t="shared" si="27"/>
        <v>0.38928705882352782</v>
      </c>
      <c r="Z175" s="194">
        <f t="shared" si="27"/>
        <v>1.2533451822266579</v>
      </c>
      <c r="AA175" s="194">
        <f t="shared" si="23"/>
        <v>0.75936902574318454</v>
      </c>
      <c r="AB175" s="194">
        <f t="shared" si="24"/>
        <v>0.49782862495277663</v>
      </c>
      <c r="AC175" s="194">
        <f t="shared" si="16"/>
        <v>0.6553290635439597</v>
      </c>
      <c r="AD175">
        <f t="shared" si="17"/>
        <v>54</v>
      </c>
      <c r="AE175" s="194">
        <f t="shared" si="25"/>
        <v>9.8136548998593143E-2</v>
      </c>
      <c r="AF175" s="194">
        <f t="shared" si="26"/>
        <v>2.1829404755284235E-2</v>
      </c>
      <c r="AG175" s="245" t="str">
        <f>IF(ISNUMBER(SEARCH("C",'WetLitterbags placem_collection'!$X102)),"YES","NO")</f>
        <v>NO</v>
      </c>
      <c r="AH175" s="245" t="str">
        <f>IF(ISNUMBER(SEARCH("H", 'WetLitterbags placem_collection'!$X102)),"YES","NO")</f>
        <v>NO</v>
      </c>
      <c r="AI175" s="245" t="str">
        <f>IF(ISNUMBER(SEARCH("R", 'WetLitterbags placem_collection'!$X102)),"YES","NO")</f>
        <v>NO</v>
      </c>
      <c r="AJ175" s="245" t="str">
        <f>IF(ISNUMBER(SEARCH("C", 'WetLitterbags placem_collection'!$V102)),"YES","NO")</f>
        <v>YES</v>
      </c>
      <c r="AK175" s="245" t="str">
        <f>IF(ISNUMBER(SEARCH("H", 'WetLitterbags placem_collection'!$V102)),"YES","NO")</f>
        <v>NO</v>
      </c>
      <c r="AL175" s="245" t="str">
        <f>IF(ISNUMBER(SEARCH("R", 'WetLitterbags placem_collection'!$V102)),"YES","NO")</f>
        <v>NO</v>
      </c>
    </row>
    <row r="176" spans="2:38">
      <c r="B176" t="str">
        <f>Wetseason!B102</f>
        <v>Wet</v>
      </c>
      <c r="C176" s="253">
        <f>Wetseason!C102</f>
        <v>101</v>
      </c>
      <c r="D176" t="s">
        <v>3116</v>
      </c>
      <c r="E176" t="s">
        <v>22</v>
      </c>
      <c r="F176" s="375">
        <v>5</v>
      </c>
      <c r="G176" s="16">
        <f>'WetLitterbags placem_collection'!E103</f>
        <v>42762</v>
      </c>
      <c r="H176" t="str">
        <f>Wetseason!L102</f>
        <v>G808</v>
      </c>
      <c r="I176" t="str">
        <f>Wetseason!L322</f>
        <v>R482</v>
      </c>
      <c r="J176">
        <f>IFERROR(INDEX('Green_rooibos initial weight'!$C$5:$C$2000,MATCH(H176, 'Green_rooibos initial weight'!$A$5:$A$2000,0)),"")</f>
        <v>1.86</v>
      </c>
      <c r="K176">
        <f>IFERROR(INDEX('Green_rooibos initial weight'!$C$5:$C$2000,MATCH(I176, 'Green_rooibos initial weight'!$A$5:$A$2000,0)),"")</f>
        <v>2.17</v>
      </c>
      <c r="L176" s="194">
        <f t="shared" si="18"/>
        <v>1.6102000000000001</v>
      </c>
      <c r="M176" s="194">
        <f>AVERAGE(Ashed_controlls!$K$2:$K$11)</f>
        <v>5.5147656768714146</v>
      </c>
      <c r="N176" s="194">
        <f t="shared" si="15"/>
        <v>1.5214012430710167</v>
      </c>
      <c r="O176" s="194">
        <f t="shared" si="19"/>
        <v>1.9201999999999999</v>
      </c>
      <c r="P176" s="194">
        <f>AVERAGE(Ashed_controlls!$K$12:$K$14)</f>
        <v>2.2816647271287041</v>
      </c>
      <c r="Q176" s="194">
        <f t="shared" si="20"/>
        <v>1.8763874739096746</v>
      </c>
      <c r="R176" s="16">
        <f>IF('WetLitterbags placem_collection'!G103="","",'WetLitterbags placem_collection'!G103)</f>
        <v>42816</v>
      </c>
      <c r="S176" s="194">
        <f>IFERROR(INDEX('Both teabags AfterWet'!$C$3:$C$2000,MATCH(H176,'Both teabags AfterWet'!$A$3:$A$2000,0)),"")</f>
        <v>0.54810000000000003</v>
      </c>
      <c r="T176" s="194">
        <f>IFERROR(INDEX('Both teabags AfterWet'!$C$3:$C$2000,MATCH(I176,'Both teabags AfterWet'!$A$3:$A$2000,0)),"")</f>
        <v>1.6348</v>
      </c>
      <c r="U176" s="194">
        <f t="shared" si="21"/>
        <v>0.39750000000000002</v>
      </c>
      <c r="V176" s="194">
        <f t="shared" si="22"/>
        <v>1.4842</v>
      </c>
      <c r="W176" s="194">
        <f>IFERROR(INDEX('Ashed teabags wet'!$K$2:$K$2000,MATCH(H176,'Ashed teabags wet'!$A$2:$A$2000,0)),"")</f>
        <v>16.81547619047533</v>
      </c>
      <c r="X176" s="233">
        <f>IFERROR(INDEX('Ashed teabags wet'!$K$2:$K$2000,MATCH(I176,'Ashed teabags wet'!$A$2:$A$2000,0)),"")</f>
        <v>8.9805825242718385</v>
      </c>
      <c r="Y176" s="194">
        <f t="shared" si="27"/>
        <v>0.33065848214286059</v>
      </c>
      <c r="Z176" s="194">
        <f t="shared" si="27"/>
        <v>1.3509101941747574</v>
      </c>
      <c r="AA176" s="194">
        <f t="shared" si="23"/>
        <v>0.78266188249234525</v>
      </c>
      <c r="AB176" s="194">
        <f t="shared" si="24"/>
        <v>0.51309900134890096</v>
      </c>
      <c r="AC176" s="194">
        <f t="shared" si="16"/>
        <v>0.71995268192660478</v>
      </c>
      <c r="AD176">
        <f t="shared" si="17"/>
        <v>54</v>
      </c>
      <c r="AE176" s="194">
        <f t="shared" si="25"/>
        <v>7.0472823643295435E-2</v>
      </c>
      <c r="AF176" s="194">
        <f t="shared" si="26"/>
        <v>1.4614973445111479E-2</v>
      </c>
      <c r="AG176" s="245" t="str">
        <f>IF(ISNUMBER(SEARCH("C",'WetLitterbags placem_collection'!$X103)),"YES","NO")</f>
        <v>NO</v>
      </c>
      <c r="AH176" s="245" t="str">
        <f>IF(ISNUMBER(SEARCH("H", 'WetLitterbags placem_collection'!$X103)),"YES","NO")</f>
        <v>NO</v>
      </c>
      <c r="AI176" s="245" t="str">
        <f>IF(ISNUMBER(SEARCH("R", 'WetLitterbags placem_collection'!$X103)),"YES","NO")</f>
        <v>NO</v>
      </c>
      <c r="AJ176" s="245" t="str">
        <f>IF(ISNUMBER(SEARCH("C", 'WetLitterbags placem_collection'!$V103)),"YES","NO")</f>
        <v>NO</v>
      </c>
      <c r="AK176" s="245" t="str">
        <f>IF(ISNUMBER(SEARCH("H", 'WetLitterbags placem_collection'!$V103)),"YES","NO")</f>
        <v>YES</v>
      </c>
      <c r="AL176" s="245" t="str">
        <f>IF(ISNUMBER(SEARCH("R", 'WetLitterbags placem_collection'!$V103)),"YES","NO")</f>
        <v>NO</v>
      </c>
    </row>
    <row r="177" spans="2:38">
      <c r="B177" t="str">
        <f>Wetseason!B103</f>
        <v>Wet</v>
      </c>
      <c r="C177" s="253">
        <f>Wetseason!C103</f>
        <v>102</v>
      </c>
      <c r="D177" t="s">
        <v>3116</v>
      </c>
      <c r="E177" t="s">
        <v>22</v>
      </c>
      <c r="F177" s="375">
        <v>6</v>
      </c>
      <c r="G177" s="16">
        <f>'WetLitterbags placem_collection'!E104</f>
        <v>42762</v>
      </c>
      <c r="H177" t="str">
        <f>Wetseason!L103</f>
        <v>G892</v>
      </c>
      <c r="I177" t="str">
        <f>Wetseason!L323</f>
        <v>R569</v>
      </c>
      <c r="J177">
        <f>IFERROR(INDEX('Green_rooibos initial weight'!$C$5:$C$2000,MATCH(H177, 'Green_rooibos initial weight'!$A$5:$A$2000,0)),"")</f>
        <v>1.9510000000000001</v>
      </c>
      <c r="K177">
        <f>IFERROR(INDEX('Green_rooibos initial weight'!$C$5:$C$2000,MATCH(I177, 'Green_rooibos initial weight'!$A$5:$A$2000,0)),"")</f>
        <v>2.0960000000000001</v>
      </c>
      <c r="L177" s="194">
        <f t="shared" si="18"/>
        <v>1.7012</v>
      </c>
      <c r="M177" s="194">
        <f>AVERAGE(Ashed_controlls!$K$2:$K$11)</f>
        <v>5.5147656768714146</v>
      </c>
      <c r="N177" s="194">
        <f t="shared" si="15"/>
        <v>1.6073828063050635</v>
      </c>
      <c r="O177" s="194">
        <f t="shared" si="19"/>
        <v>1.8462000000000001</v>
      </c>
      <c r="P177" s="194">
        <f>AVERAGE(Ashed_controlls!$K$12:$K$14)</f>
        <v>2.2816647271287041</v>
      </c>
      <c r="Q177" s="194">
        <f t="shared" si="20"/>
        <v>1.80407590580775</v>
      </c>
      <c r="R177" s="16">
        <f>IF('WetLitterbags placem_collection'!G104="","",'WetLitterbags placem_collection'!G104)</f>
        <v>42816</v>
      </c>
      <c r="S177" s="194">
        <f>IFERROR(INDEX('Both teabags AfterWet'!$C$3:$C$2000,MATCH(H177,'Both teabags AfterWet'!$A$3:$A$2000,0)),"")</f>
        <v>0.63100000000000001</v>
      </c>
      <c r="T177" s="194">
        <f>IFERROR(INDEX('Both teabags AfterWet'!$C$3:$C$2000,MATCH(I177,'Both teabags AfterWet'!$A$3:$A$2000,0)),"")</f>
        <v>1.655</v>
      </c>
      <c r="U177" s="194">
        <f t="shared" si="21"/>
        <v>0.48039999999999999</v>
      </c>
      <c r="V177" s="194">
        <f t="shared" si="22"/>
        <v>1.5044</v>
      </c>
      <c r="W177" s="194">
        <f>IFERROR(INDEX('Ashed teabags wet'!$K$2:$K$2000,MATCH(H177,'Ashed teabags wet'!$A$2:$A$2000,0)),"")</f>
        <v>12.703905091448961</v>
      </c>
      <c r="X177" s="233">
        <f>IFERROR(INDEX('Ashed teabags wet'!$K$2:$K$2000,MATCH(I177,'Ashed teabags wet'!$A$2:$A$2000,0)),"")</f>
        <v>6.4211050273764974</v>
      </c>
      <c r="Y177" s="194">
        <f t="shared" si="27"/>
        <v>0.41937043994067918</v>
      </c>
      <c r="Z177" s="194">
        <f t="shared" si="27"/>
        <v>1.4078008959681478</v>
      </c>
      <c r="AA177" s="194">
        <f t="shared" si="23"/>
        <v>0.73909734613579825</v>
      </c>
      <c r="AB177" s="194">
        <f t="shared" si="24"/>
        <v>0.48453887775173476</v>
      </c>
      <c r="AC177" s="194">
        <f t="shared" si="16"/>
        <v>0.78034460270551886</v>
      </c>
      <c r="AD177">
        <f t="shared" si="17"/>
        <v>54</v>
      </c>
      <c r="AE177" s="194">
        <f t="shared" si="25"/>
        <v>0.12221217798598782</v>
      </c>
      <c r="AF177" s="194">
        <f t="shared" si="26"/>
        <v>1.1183474782323311E-2</v>
      </c>
      <c r="AG177" s="245" t="str">
        <f>IF(ISNUMBER(SEARCH("C",'WetLitterbags placem_collection'!$X104)),"YES","NO")</f>
        <v>NO</v>
      </c>
      <c r="AH177" s="245" t="str">
        <f>IF(ISNUMBER(SEARCH("H", 'WetLitterbags placem_collection'!$X104)),"YES","NO")</f>
        <v>NO</v>
      </c>
      <c r="AI177" s="245" t="str">
        <f>IF(ISNUMBER(SEARCH("R", 'WetLitterbags placem_collection'!$X104)),"YES","NO")</f>
        <v>NO</v>
      </c>
      <c r="AJ177" s="245" t="str">
        <f>IF(ISNUMBER(SEARCH("C", 'WetLitterbags placem_collection'!$V104)),"YES","NO")</f>
        <v>NO</v>
      </c>
      <c r="AK177" s="245" t="str">
        <f>IF(ISNUMBER(SEARCH("H", 'WetLitterbags placem_collection'!$V104)),"YES","NO")</f>
        <v>NO</v>
      </c>
      <c r="AL177" s="245" t="str">
        <f>IF(ISNUMBER(SEARCH("R", 'WetLitterbags placem_collection'!$V104)),"YES","NO")</f>
        <v>NO</v>
      </c>
    </row>
    <row r="178" spans="2:38">
      <c r="B178" t="str">
        <f>Wetseason!B104</f>
        <v>Wet</v>
      </c>
      <c r="C178" s="253">
        <f>Wetseason!C104</f>
        <v>103</v>
      </c>
      <c r="D178" t="s">
        <v>3116</v>
      </c>
      <c r="E178" t="s">
        <v>22</v>
      </c>
      <c r="F178" s="375">
        <v>7</v>
      </c>
      <c r="G178" s="16">
        <f>'WetLitterbags placem_collection'!E105</f>
        <v>42762</v>
      </c>
      <c r="H178" t="str">
        <f>Wetseason!L104</f>
        <v>G869</v>
      </c>
      <c r="I178" t="str">
        <f>Wetseason!L324</f>
        <v>R430</v>
      </c>
      <c r="J178">
        <f>IFERROR(INDEX('Green_rooibos initial weight'!$C$5:$C$2000,MATCH(H178, 'Green_rooibos initial weight'!$A$5:$A$2000,0)),"")</f>
        <v>2.0489999999999999</v>
      </c>
      <c r="K178">
        <f>IFERROR(INDEX('Green_rooibos initial weight'!$C$5:$C$2000,MATCH(I178, 'Green_rooibos initial weight'!$A$5:$A$2000,0)),"")</f>
        <v>2.1829999999999998</v>
      </c>
      <c r="L178" s="194">
        <f t="shared" si="18"/>
        <v>1.7991999999999999</v>
      </c>
      <c r="M178" s="194">
        <f>AVERAGE(Ashed_controlls!$K$2:$K$11)</f>
        <v>5.5147656768714146</v>
      </c>
      <c r="N178" s="194">
        <f t="shared" si="15"/>
        <v>1.6999783359417293</v>
      </c>
      <c r="O178" s="194">
        <f t="shared" si="19"/>
        <v>1.9331999999999998</v>
      </c>
      <c r="P178" s="194">
        <f>AVERAGE(Ashed_controlls!$K$12:$K$14)</f>
        <v>2.2816647271287041</v>
      </c>
      <c r="Q178" s="194">
        <f t="shared" si="20"/>
        <v>1.8890908574951477</v>
      </c>
      <c r="R178" s="16">
        <f>IF('WetLitterbags placem_collection'!G105="","",'WetLitterbags placem_collection'!G105)</f>
        <v>42816</v>
      </c>
      <c r="S178" s="194">
        <f>IFERROR(INDEX('Both teabags AfterWet'!$C$3:$C$2000,MATCH(H178,'Both teabags AfterWet'!$A$3:$A$2000,0)),"")</f>
        <v>0.55800000000000005</v>
      </c>
      <c r="T178" s="194">
        <f>IFERROR(INDEX('Both teabags AfterWet'!$C$3:$C$2000,MATCH(I178,'Both teabags AfterWet'!$A$3:$A$2000,0)),"")</f>
        <v>1.629</v>
      </c>
      <c r="U178" s="194">
        <f t="shared" si="21"/>
        <v>0.40740000000000004</v>
      </c>
      <c r="V178" s="194">
        <f t="shared" si="22"/>
        <v>1.4783999999999999</v>
      </c>
      <c r="W178" s="194">
        <f>IFERROR(INDEX('Ashed teabags wet'!$K$2:$K$2000,MATCH(H178,'Ashed teabags wet'!$A$2:$A$2000,0)),"")</f>
        <v>13.925925925925654</v>
      </c>
      <c r="X178" s="233">
        <f>IFERROR(INDEX('Ashed teabags wet'!$K$2:$K$2000,MATCH(I178,'Ashed teabags wet'!$A$2:$A$2000,0)),"")</f>
        <v>4.7409579667641673</v>
      </c>
      <c r="Y178" s="194">
        <f t="shared" si="27"/>
        <v>0.35066577777777891</v>
      </c>
      <c r="Z178" s="194">
        <f t="shared" si="27"/>
        <v>1.4083096774193584</v>
      </c>
      <c r="AA178" s="194">
        <f t="shared" si="23"/>
        <v>0.79372338437270606</v>
      </c>
      <c r="AB178" s="194">
        <f t="shared" si="24"/>
        <v>0.52035072229659596</v>
      </c>
      <c r="AC178" s="194">
        <f t="shared" si="16"/>
        <v>0.74549599974599201</v>
      </c>
      <c r="AD178">
        <f t="shared" si="17"/>
        <v>54</v>
      </c>
      <c r="AE178" s="194">
        <f t="shared" si="25"/>
        <v>5.7335648013413176E-2</v>
      </c>
      <c r="AF178" s="194">
        <f t="shared" si="26"/>
        <v>1.2436724822359682E-2</v>
      </c>
      <c r="AG178" s="245" t="str">
        <f>IF(ISNUMBER(SEARCH("C",'WetLitterbags placem_collection'!$X105)),"YES","NO")</f>
        <v>NO</v>
      </c>
      <c r="AH178" s="245" t="str">
        <f>IF(ISNUMBER(SEARCH("H", 'WetLitterbags placem_collection'!$X105)),"YES","NO")</f>
        <v>NO</v>
      </c>
      <c r="AI178" s="245" t="str">
        <f>IF(ISNUMBER(SEARCH("R", 'WetLitterbags placem_collection'!$X105)),"YES","NO")</f>
        <v>NO</v>
      </c>
      <c r="AJ178" s="245" t="str">
        <f>IF(ISNUMBER(SEARCH("C", 'WetLitterbags placem_collection'!$V105)),"YES","NO")</f>
        <v>NO</v>
      </c>
      <c r="AK178" s="245" t="str">
        <f>IF(ISNUMBER(SEARCH("H", 'WetLitterbags placem_collection'!$V105)),"YES","NO")</f>
        <v>NO</v>
      </c>
      <c r="AL178" s="245" t="str">
        <f>IF(ISNUMBER(SEARCH("R", 'WetLitterbags placem_collection'!$V105)),"YES","NO")</f>
        <v>NO</v>
      </c>
    </row>
    <row r="179" spans="2:38">
      <c r="B179" t="str">
        <f>Wetseason!B105</f>
        <v>Wet</v>
      </c>
      <c r="C179" s="253">
        <f>Wetseason!C105</f>
        <v>104</v>
      </c>
      <c r="D179" t="s">
        <v>3116</v>
      </c>
      <c r="E179" t="s">
        <v>22</v>
      </c>
      <c r="F179" s="375">
        <v>8</v>
      </c>
      <c r="G179" s="16">
        <f>'WetLitterbags placem_collection'!E106</f>
        <v>42762</v>
      </c>
      <c r="H179" t="str">
        <f>Wetseason!L105</f>
        <v>G881</v>
      </c>
      <c r="I179" t="str">
        <f>Wetseason!L325</f>
        <v>R577</v>
      </c>
      <c r="J179">
        <f>IFERROR(INDEX('Green_rooibos initial weight'!$C$5:$C$2000,MATCH(H179, 'Green_rooibos initial weight'!$A$5:$A$2000,0)),"")</f>
        <v>1.9570000000000001</v>
      </c>
      <c r="K179">
        <f>IFERROR(INDEX('Green_rooibos initial weight'!$C$5:$C$2000,MATCH(I179, 'Green_rooibos initial weight'!$A$5:$A$2000,0)),"")</f>
        <v>2.0859999999999999</v>
      </c>
      <c r="L179" s="194">
        <f t="shared" si="18"/>
        <v>1.7072000000000001</v>
      </c>
      <c r="M179" s="194">
        <f>AVERAGE(Ashed_controlls!$K$2:$K$11)</f>
        <v>5.5147656768714146</v>
      </c>
      <c r="N179" s="194">
        <f t="shared" si="15"/>
        <v>1.6130519203644513</v>
      </c>
      <c r="O179" s="194">
        <f t="shared" si="19"/>
        <v>1.8361999999999998</v>
      </c>
      <c r="P179" s="194">
        <f>AVERAGE(Ashed_controlls!$K$12:$K$14)</f>
        <v>2.2816647271287041</v>
      </c>
      <c r="Q179" s="194">
        <f t="shared" si="20"/>
        <v>1.7943040722804626</v>
      </c>
      <c r="R179" s="16">
        <f>IF('WetLitterbags placem_collection'!G106="","",'WetLitterbags placem_collection'!G106)</f>
        <v>42816</v>
      </c>
      <c r="S179" s="194">
        <f>IFERROR(INDEX('Both teabags AfterWet'!$C$3:$C$2000,MATCH(H179,'Both teabags AfterWet'!$A$3:$A$2000,0)),"")</f>
        <v>0.61</v>
      </c>
      <c r="T179" s="194">
        <f>IFERROR(INDEX('Both teabags AfterWet'!$C$3:$C$2000,MATCH(I179,'Both teabags AfterWet'!$A$3:$A$2000,0)),"")</f>
        <v>1.4470000000000001</v>
      </c>
      <c r="U179" s="194">
        <f t="shared" si="21"/>
        <v>0.45939999999999998</v>
      </c>
      <c r="V179" s="194">
        <f t="shared" si="22"/>
        <v>1.2964</v>
      </c>
      <c r="W179" s="194">
        <f>IFERROR(INDEX('Ashed teabags wet'!$K$2:$K$2000,MATCH(H179,'Ashed teabags wet'!$A$2:$A$2000,0)),"")</f>
        <v>13.465250965250315</v>
      </c>
      <c r="X179" s="233">
        <f>IFERROR(INDEX('Ashed teabags wet'!$K$2:$K$2000,MATCH(I179,'Ashed teabags wet'!$A$2:$A$2000,0)),"")</f>
        <v>6.3583815028902215</v>
      </c>
      <c r="Y179" s="194">
        <f t="shared" si="27"/>
        <v>0.39754063706564002</v>
      </c>
      <c r="Z179" s="194">
        <f t="shared" si="27"/>
        <v>1.2139699421965311</v>
      </c>
      <c r="AA179" s="194">
        <f t="shared" si="23"/>
        <v>0.75354752562718497</v>
      </c>
      <c r="AB179" s="194">
        <f t="shared" si="24"/>
        <v>0.49401215456794079</v>
      </c>
      <c r="AC179" s="194">
        <f t="shared" si="16"/>
        <v>0.67656868250521296</v>
      </c>
      <c r="AD179">
        <f t="shared" si="17"/>
        <v>54</v>
      </c>
      <c r="AE179" s="194">
        <f t="shared" si="25"/>
        <v>0.10505044462329571</v>
      </c>
      <c r="AF179" s="194">
        <f t="shared" si="26"/>
        <v>1.9691681836618593E-2</v>
      </c>
      <c r="AG179" s="245" t="str">
        <f>IF(ISNUMBER(SEARCH("C",'WetLitterbags placem_collection'!$X106)),"YES","NO")</f>
        <v>NO</v>
      </c>
      <c r="AH179" s="245" t="str">
        <f>IF(ISNUMBER(SEARCH("H", 'WetLitterbags placem_collection'!$X106)),"YES","NO")</f>
        <v>NO</v>
      </c>
      <c r="AI179" s="245" t="str">
        <f>IF(ISNUMBER(SEARCH("R", 'WetLitterbags placem_collection'!$X106)),"YES","NO")</f>
        <v>NO</v>
      </c>
      <c r="AJ179" s="245" t="str">
        <f>IF(ISNUMBER(SEARCH("C", 'WetLitterbags placem_collection'!$V106)),"YES","NO")</f>
        <v>NO</v>
      </c>
      <c r="AK179" s="245" t="str">
        <f>IF(ISNUMBER(SEARCH("H", 'WetLitterbags placem_collection'!$V106)),"YES","NO")</f>
        <v>NO</v>
      </c>
      <c r="AL179" s="245" t="str">
        <f>IF(ISNUMBER(SEARCH("R", 'WetLitterbags placem_collection'!$V106)),"YES","NO")</f>
        <v>NO</v>
      </c>
    </row>
    <row r="180" spans="2:38">
      <c r="B180" t="str">
        <f>Wetseason!B106</f>
        <v>Wet</v>
      </c>
      <c r="C180" s="253">
        <f>Wetseason!C106</f>
        <v>105</v>
      </c>
      <c r="D180" t="s">
        <v>3118</v>
      </c>
      <c r="E180" t="s">
        <v>22</v>
      </c>
      <c r="F180" s="374">
        <v>1</v>
      </c>
      <c r="G180" s="16">
        <f>'WetLitterbags placem_collection'!E107</f>
        <v>42762</v>
      </c>
      <c r="H180" t="str">
        <f>Wetseason!L106</f>
        <v>G729</v>
      </c>
      <c r="I180" t="str">
        <f>Wetseason!L326</f>
        <v>R548</v>
      </c>
      <c r="J180">
        <f>IFERROR(INDEX('Green_rooibos initial weight'!$C$5:$C$2000,MATCH(H180, 'Green_rooibos initial weight'!$A$5:$A$2000,0)),"")</f>
        <v>1.984</v>
      </c>
      <c r="K180">
        <f>IFERROR(INDEX('Green_rooibos initial weight'!$C$5:$C$2000,MATCH(I180, 'Green_rooibos initial weight'!$A$5:$A$2000,0)),"")</f>
        <v>2.1920000000000002</v>
      </c>
      <c r="L180" s="194">
        <f t="shared" si="18"/>
        <v>1.7342</v>
      </c>
      <c r="M180" s="194">
        <f>AVERAGE(Ashed_controlls!$K$2:$K$11)</f>
        <v>5.5147656768714146</v>
      </c>
      <c r="N180" s="194">
        <f t="shared" si="15"/>
        <v>1.6385629336316958</v>
      </c>
      <c r="O180" s="194">
        <f t="shared" si="19"/>
        <v>1.9422000000000001</v>
      </c>
      <c r="P180" s="194">
        <f>AVERAGE(Ashed_controlls!$K$12:$K$14)</f>
        <v>2.2816647271287041</v>
      </c>
      <c r="Q180" s="194">
        <f t="shared" si="20"/>
        <v>1.8978855076697065</v>
      </c>
      <c r="R180" s="16">
        <f>IF('WetLitterbags placem_collection'!G107="","",'WetLitterbags placem_collection'!G107)</f>
        <v>42816</v>
      </c>
      <c r="S180" s="194">
        <f>IFERROR(INDEX('Both teabags AfterWet'!$C$3:$C$2000,MATCH(H180,'Both teabags AfterWet'!$A$3:$A$2000,0)),"")</f>
        <v>0.72399999999999998</v>
      </c>
      <c r="T180" s="194">
        <f>IFERROR(INDEX('Both teabags AfterWet'!$C$3:$C$2000,MATCH(I180,'Both teabags AfterWet'!$A$3:$A$2000,0)),"")</f>
        <v>1.859</v>
      </c>
      <c r="U180" s="194">
        <f t="shared" si="21"/>
        <v>0.57339999999999991</v>
      </c>
      <c r="V180" s="194">
        <f t="shared" si="22"/>
        <v>1.7083999999999999</v>
      </c>
      <c r="W180" s="194">
        <f>IFERROR(INDEX('Ashed teabags wet'!$K$2:$K$2000,MATCH(H180,'Ashed teabags wet'!$A$2:$A$2000,0)),"")</f>
        <v>19.719771665802661</v>
      </c>
      <c r="X180" s="233">
        <f>IFERROR(INDEX('Ashed teabags wet'!$K$2:$K$2000,MATCH(I180,'Ashed teabags wet'!$A$2:$A$2000,0)),"")</f>
        <v>16.476991588322143</v>
      </c>
      <c r="Y180" s="194">
        <f t="shared" si="27"/>
        <v>0.4603268292682875</v>
      </c>
      <c r="Z180" s="194">
        <f t="shared" si="27"/>
        <v>1.4269070757051043</v>
      </c>
      <c r="AA180" s="194">
        <f t="shared" si="23"/>
        <v>0.71906673840837876</v>
      </c>
      <c r="AB180" s="194">
        <f t="shared" si="24"/>
        <v>0.47140717292330775</v>
      </c>
      <c r="AC180" s="194">
        <f t="shared" si="16"/>
        <v>0.75184044028931607</v>
      </c>
      <c r="AD180">
        <f t="shared" si="17"/>
        <v>54</v>
      </c>
      <c r="AE180" s="194">
        <f t="shared" si="25"/>
        <v>0.14600149832734111</v>
      </c>
      <c r="AF180" s="194">
        <f t="shared" si="26"/>
        <v>1.3841494036995118E-2</v>
      </c>
      <c r="AG180" s="245" t="str">
        <f>IF(ISNUMBER(SEARCH("C",'WetLitterbags placem_collection'!$X107)),"YES","NO")</f>
        <v>NO</v>
      </c>
      <c r="AH180" s="245" t="str">
        <f>IF(ISNUMBER(SEARCH("H", 'WetLitterbags placem_collection'!$X107)),"YES","NO")</f>
        <v>NO</v>
      </c>
      <c r="AI180" s="245" t="str">
        <f>IF(ISNUMBER(SEARCH("R", 'WetLitterbags placem_collection'!$X107)),"YES","NO")</f>
        <v>NO</v>
      </c>
      <c r="AJ180" s="245" t="str">
        <f>IF(ISNUMBER(SEARCH("C", 'WetLitterbags placem_collection'!$V107)),"YES","NO")</f>
        <v>NO</v>
      </c>
      <c r="AK180" s="245" t="str">
        <f>IF(ISNUMBER(SEARCH("H", 'WetLitterbags placem_collection'!$V107)),"YES","NO")</f>
        <v>NO</v>
      </c>
      <c r="AL180" s="245" t="str">
        <f>IF(ISNUMBER(SEARCH("R", 'WetLitterbags placem_collection'!$V107)),"YES","NO")</f>
        <v>NO</v>
      </c>
    </row>
    <row r="181" spans="2:38">
      <c r="B181" t="str">
        <f>Wetseason!B107</f>
        <v>Wet</v>
      </c>
      <c r="C181" s="253">
        <f>Wetseason!C107</f>
        <v>106</v>
      </c>
      <c r="D181" t="s">
        <v>3118</v>
      </c>
      <c r="E181" t="s">
        <v>22</v>
      </c>
      <c r="F181" s="374">
        <v>2</v>
      </c>
      <c r="G181" s="16">
        <f>'WetLitterbags placem_collection'!E108</f>
        <v>42762</v>
      </c>
      <c r="H181" t="str">
        <f>Wetseason!L107</f>
        <v>G837</v>
      </c>
      <c r="I181" t="str">
        <f>Wetseason!L327</f>
        <v>R590</v>
      </c>
      <c r="J181">
        <f>IFERROR(INDEX('Green_rooibos initial weight'!$C$5:$C$2000,MATCH(H181, 'Green_rooibos initial weight'!$A$5:$A$2000,0)),"")</f>
        <v>1.1910000000000001</v>
      </c>
      <c r="K181">
        <f>IFERROR(INDEX('Green_rooibos initial weight'!$C$5:$C$2000,MATCH(I181, 'Green_rooibos initial weight'!$A$5:$A$2000,0)),"")</f>
        <v>2.218</v>
      </c>
      <c r="L181" s="194">
        <f t="shared" si="18"/>
        <v>0.94120000000000004</v>
      </c>
      <c r="M181" s="194">
        <f>AVERAGE(Ashed_controlls!$K$2:$K$11)</f>
        <v>5.5147656768714146</v>
      </c>
      <c r="N181" s="194">
        <f t="shared" si="15"/>
        <v>0.88929502544928629</v>
      </c>
      <c r="O181" s="194">
        <f t="shared" si="19"/>
        <v>1.9681999999999999</v>
      </c>
      <c r="P181" s="194">
        <f>AVERAGE(Ashed_controlls!$K$12:$K$14)</f>
        <v>2.2816647271287041</v>
      </c>
      <c r="Q181" s="194">
        <f t="shared" si="20"/>
        <v>1.9232922748406529</v>
      </c>
      <c r="R181" s="16">
        <f>IF('WetLitterbags placem_collection'!G108="","",'WetLitterbags placem_collection'!G108)</f>
        <v>42816</v>
      </c>
      <c r="S181" s="194">
        <f>IFERROR(INDEX('Both teabags AfterWet'!$C$3:$C$2000,MATCH(H181,'Both teabags AfterWet'!$A$3:$A$2000,0)),"")</f>
        <v>0.62</v>
      </c>
      <c r="T181" s="194">
        <f>IFERROR(INDEX('Both teabags AfterWet'!$C$3:$C$2000,MATCH(I181,'Both teabags AfterWet'!$A$3:$A$2000,0)),"")</f>
        <v>1.7769999999999999</v>
      </c>
      <c r="U181" s="194">
        <f t="shared" si="21"/>
        <v>0.46939999999999998</v>
      </c>
      <c r="V181" s="194">
        <f t="shared" si="22"/>
        <v>1.6263999999999998</v>
      </c>
      <c r="W181" s="194">
        <f>IFERROR(INDEX('Ashed teabags wet'!$K$2:$K$2000,MATCH(H181,'Ashed teabags wet'!$A$2:$A$2000,0)),"")</f>
        <v>13.95235780262451</v>
      </c>
      <c r="X181" s="233">
        <f>IFERROR(INDEX('Ashed teabags wet'!$K$2:$K$2000,MATCH(I181,'Ashed teabags wet'!$A$2:$A$2000,0)),"")</f>
        <v>10.077145612343887</v>
      </c>
      <c r="Y181" s="194">
        <f t="shared" si="27"/>
        <v>0.40390763247448053</v>
      </c>
      <c r="Z181" s="194">
        <f t="shared" si="27"/>
        <v>1.4625053037608389</v>
      </c>
      <c r="AA181" s="194">
        <f t="shared" si="23"/>
        <v>0.5458114338709813</v>
      </c>
      <c r="AB181" s="194">
        <f t="shared" si="24"/>
        <v>0.35782412291779303</v>
      </c>
      <c r="AC181" s="194">
        <f t="shared" si="16"/>
        <v>0.76041760417407656</v>
      </c>
      <c r="AD181">
        <f t="shared" si="17"/>
        <v>54</v>
      </c>
      <c r="AE181" s="194">
        <f t="shared" si="25"/>
        <v>0.35176789326486779</v>
      </c>
      <c r="AF181" s="194">
        <f t="shared" si="26"/>
        <v>2.0505750465967906E-2</v>
      </c>
      <c r="AG181" s="245" t="str">
        <f>IF(ISNUMBER(SEARCH("C",'WetLitterbags placem_collection'!$X108)),"YES","NO")</f>
        <v>NO</v>
      </c>
      <c r="AH181" s="245" t="str">
        <f>IF(ISNUMBER(SEARCH("H", 'WetLitterbags placem_collection'!$X108)),"YES","NO")</f>
        <v>NO</v>
      </c>
      <c r="AI181" s="245" t="str">
        <f>IF(ISNUMBER(SEARCH("R", 'WetLitterbags placem_collection'!$X108)),"YES","NO")</f>
        <v>YES</v>
      </c>
      <c r="AJ181" s="245" t="str">
        <f>IF(ISNUMBER(SEARCH("C", 'WetLitterbags placem_collection'!$V108)),"YES","NO")</f>
        <v>NO</v>
      </c>
      <c r="AK181" s="245" t="str">
        <f>IF(ISNUMBER(SEARCH("H", 'WetLitterbags placem_collection'!$V108)),"YES","NO")</f>
        <v>NO</v>
      </c>
      <c r="AL181" s="245" t="str">
        <f>IF(ISNUMBER(SEARCH("R", 'WetLitterbags placem_collection'!$V108)),"YES","NO")</f>
        <v>YES</v>
      </c>
    </row>
    <row r="182" spans="2:38">
      <c r="B182" t="str">
        <f>Wetseason!B108</f>
        <v>Wet</v>
      </c>
      <c r="C182" s="253">
        <f>Wetseason!C108</f>
        <v>107</v>
      </c>
      <c r="D182" t="s">
        <v>3118</v>
      </c>
      <c r="E182" t="s">
        <v>22</v>
      </c>
      <c r="F182" s="374">
        <v>3</v>
      </c>
      <c r="G182" s="16">
        <f>'WetLitterbags placem_collection'!E109</f>
        <v>42762</v>
      </c>
      <c r="H182" t="str">
        <f>Wetseason!L108</f>
        <v>G688</v>
      </c>
      <c r="I182" t="str">
        <f>Wetseason!L328</f>
        <v>R574</v>
      </c>
      <c r="J182">
        <f>IFERROR(INDEX('Green_rooibos initial weight'!$C$5:$C$2000,MATCH(H182, 'Green_rooibos initial weight'!$A$5:$A$2000,0)),"")</f>
        <v>2.125</v>
      </c>
      <c r="K182">
        <f>IFERROR(INDEX('Green_rooibos initial weight'!$C$5:$C$2000,MATCH(I182, 'Green_rooibos initial weight'!$A$5:$A$2000,0)),"")</f>
        <v>2.16</v>
      </c>
      <c r="L182" s="194">
        <f t="shared" si="18"/>
        <v>1.8752</v>
      </c>
      <c r="M182" s="194">
        <f>AVERAGE(Ashed_controlls!$K$2:$K$11)</f>
        <v>5.5147656768714146</v>
      </c>
      <c r="N182" s="194">
        <f t="shared" si="15"/>
        <v>1.7717871140273072</v>
      </c>
      <c r="O182" s="194">
        <f t="shared" si="19"/>
        <v>1.9102000000000001</v>
      </c>
      <c r="P182" s="194">
        <f>AVERAGE(Ashed_controlls!$K$12:$K$14)</f>
        <v>2.2816647271287041</v>
      </c>
      <c r="Q182" s="194">
        <f t="shared" si="20"/>
        <v>1.8666156403823877</v>
      </c>
      <c r="R182" s="16">
        <f>IF('WetLitterbags placem_collection'!G109="","",'WetLitterbags placem_collection'!G109)</f>
        <v>42816</v>
      </c>
      <c r="S182" s="194">
        <f>IFERROR(INDEX('Both teabags AfterWet'!$C$3:$C$2000,MATCH(H182,'Both teabags AfterWet'!$A$3:$A$2000,0)),"")</f>
        <v>0.60899999999999999</v>
      </c>
      <c r="T182" s="194">
        <f>IFERROR(INDEX('Both teabags AfterWet'!$C$3:$C$2000,MATCH(I182,'Both teabags AfterWet'!$A$3:$A$2000,0)),"")</f>
        <v>1.706</v>
      </c>
      <c r="U182" s="194">
        <f t="shared" si="21"/>
        <v>0.45839999999999997</v>
      </c>
      <c r="V182" s="194">
        <f t="shared" si="22"/>
        <v>1.5553999999999999</v>
      </c>
      <c r="W182" s="194">
        <f>IFERROR(INDEX('Ashed teabags wet'!$K$2:$K$2000,MATCH(H182,'Ashed teabags wet'!$A$2:$A$2000,0)),"")</f>
        <v>14.504950495050023</v>
      </c>
      <c r="X182" s="233">
        <f>IFERROR(INDEX('Ashed teabags wet'!$K$2:$K$2000,MATCH(I182,'Ashed teabags wet'!$A$2:$A$2000,0)),"")</f>
        <v>6.0532687651327608</v>
      </c>
      <c r="Y182" s="194">
        <f t="shared" si="27"/>
        <v>0.3919093069306907</v>
      </c>
      <c r="Z182" s="194">
        <f t="shared" si="27"/>
        <v>1.461247457627125</v>
      </c>
      <c r="AA182" s="194">
        <f t="shared" si="23"/>
        <v>0.77880564553837783</v>
      </c>
      <c r="AB182" s="194">
        <f t="shared" si="24"/>
        <v>0.51057092201565868</v>
      </c>
      <c r="AC182" s="194">
        <f t="shared" si="16"/>
        <v>0.78283253714073642</v>
      </c>
      <c r="AD182">
        <f t="shared" si="17"/>
        <v>54</v>
      </c>
      <c r="AE182" s="194">
        <f t="shared" si="25"/>
        <v>7.5052677507864818E-2</v>
      </c>
      <c r="AF182" s="194">
        <f t="shared" si="26"/>
        <v>1.0258905536854036E-2</v>
      </c>
      <c r="AG182" s="245" t="str">
        <f>IF(ISNUMBER(SEARCH("C",'WetLitterbags placem_collection'!$X109)),"YES","NO")</f>
        <v>NO</v>
      </c>
      <c r="AH182" s="245" t="str">
        <f>IF(ISNUMBER(SEARCH("H", 'WetLitterbags placem_collection'!$X109)),"YES","NO")</f>
        <v>NO</v>
      </c>
      <c r="AI182" s="245" t="str">
        <f>IF(ISNUMBER(SEARCH("R", 'WetLitterbags placem_collection'!$X109)),"YES","NO")</f>
        <v>YES</v>
      </c>
      <c r="AJ182" s="245" t="str">
        <f>IF(ISNUMBER(SEARCH("C", 'WetLitterbags placem_collection'!$V109)),"YES","NO")</f>
        <v>NO</v>
      </c>
      <c r="AK182" s="245" t="str">
        <f>IF(ISNUMBER(SEARCH("H", 'WetLitterbags placem_collection'!$V109)),"YES","NO")</f>
        <v>NO</v>
      </c>
      <c r="AL182" s="245" t="str">
        <f>IF(ISNUMBER(SEARCH("R", 'WetLitterbags placem_collection'!$V109)),"YES","NO")</f>
        <v>YES</v>
      </c>
    </row>
    <row r="183" spans="2:38">
      <c r="B183" t="str">
        <f>Wetseason!B109</f>
        <v>Wet</v>
      </c>
      <c r="C183" s="253">
        <f>Wetseason!C109</f>
        <v>108</v>
      </c>
      <c r="D183" t="s">
        <v>3118</v>
      </c>
      <c r="E183" t="s">
        <v>22</v>
      </c>
      <c r="F183" s="375">
        <v>4</v>
      </c>
      <c r="G183" s="16">
        <f>'WetLitterbags placem_collection'!E110</f>
        <v>42762</v>
      </c>
      <c r="H183" t="str">
        <f>Wetseason!L109</f>
        <v>G883</v>
      </c>
      <c r="I183" t="str">
        <f>Wetseason!L329</f>
        <v>R8</v>
      </c>
      <c r="J183">
        <f>IFERROR(INDEX('Green_rooibos initial weight'!$C$5:$C$2000,MATCH(H183, 'Green_rooibos initial weight'!$A$5:$A$2000,0)),"")</f>
        <v>2.073</v>
      </c>
      <c r="K183">
        <f>IFERROR(INDEX('Green_rooibos initial weight'!$C$5:$C$2000,MATCH(I183, 'Green_rooibos initial weight'!$A$5:$A$2000,0)),"")</f>
        <v>2.23</v>
      </c>
      <c r="L183" s="194">
        <f t="shared" si="18"/>
        <v>1.8231999999999999</v>
      </c>
      <c r="M183" s="194">
        <f>AVERAGE(Ashed_controlls!$K$2:$K$11)</f>
        <v>5.5147656768714146</v>
      </c>
      <c r="N183" s="194">
        <f t="shared" si="15"/>
        <v>1.7226547921792803</v>
      </c>
      <c r="O183" s="194">
        <f t="shared" si="19"/>
        <v>1.9802</v>
      </c>
      <c r="P183" s="194">
        <f>AVERAGE(Ashed_controlls!$K$12:$K$14)</f>
        <v>2.2816647271287041</v>
      </c>
      <c r="Q183" s="194">
        <f t="shared" si="20"/>
        <v>1.9350184750733974</v>
      </c>
      <c r="R183" s="16">
        <f>IF('WetLitterbags placem_collection'!G110="","",'WetLitterbags placem_collection'!G110)</f>
        <v>42816</v>
      </c>
      <c r="S183" s="194">
        <f>IFERROR(INDEX('Both teabags AfterWet'!$C$3:$C$2000,MATCH(H183,'Both teabags AfterWet'!$A$3:$A$2000,0)),"")</f>
        <v>0.67200000000000004</v>
      </c>
      <c r="T183" s="194">
        <f>IFERROR(INDEX('Both teabags AfterWet'!$C$3:$C$2000,MATCH(I183,'Both teabags AfterWet'!$A$3:$A$2000,0)),"")</f>
        <v>1.536</v>
      </c>
      <c r="U183" s="194">
        <f t="shared" si="21"/>
        <v>0.52140000000000009</v>
      </c>
      <c r="V183" s="194">
        <f t="shared" si="22"/>
        <v>1.3854</v>
      </c>
      <c r="W183" s="194">
        <f>IFERROR(INDEX('Ashed teabags wet'!$K$2:$K$2000,MATCH(H183,'Ashed teabags wet'!$A$2:$A$2000,0)),"")</f>
        <v>14.878892733563953</v>
      </c>
      <c r="X183" s="233">
        <f>IFERROR(INDEX('Ashed teabags wet'!$K$2:$K$2000,MATCH(I183,'Ashed teabags wet'!$A$2:$A$2000,0)),"")</f>
        <v>8.2171314741042973</v>
      </c>
      <c r="Y183" s="194">
        <f t="shared" si="27"/>
        <v>0.44382145328719763</v>
      </c>
      <c r="Z183" s="194">
        <f t="shared" si="27"/>
        <v>1.2715598605577589</v>
      </c>
      <c r="AA183" s="194">
        <f t="shared" si="23"/>
        <v>0.74236193153607277</v>
      </c>
      <c r="AB183" s="194">
        <f t="shared" si="24"/>
        <v>0.48667908100702167</v>
      </c>
      <c r="AC183" s="194">
        <f t="shared" si="16"/>
        <v>0.65713060466232875</v>
      </c>
      <c r="AD183">
        <f t="shared" si="17"/>
        <v>54</v>
      </c>
      <c r="AE183" s="194">
        <f t="shared" si="25"/>
        <v>0.11833499817568549</v>
      </c>
      <c r="AF183" s="194">
        <f t="shared" si="26"/>
        <v>2.2576187712356557E-2</v>
      </c>
      <c r="AG183" s="245" t="str">
        <f>IF(ISNUMBER(SEARCH("C",'WetLitterbags placem_collection'!$X110)),"YES","NO")</f>
        <v>NO</v>
      </c>
      <c r="AH183" s="245" t="str">
        <f>IF(ISNUMBER(SEARCH("H", 'WetLitterbags placem_collection'!$X110)),"YES","NO")</f>
        <v>NO</v>
      </c>
      <c r="AI183" s="245" t="str">
        <f>IF(ISNUMBER(SEARCH("R", 'WetLitterbags placem_collection'!$X110)),"YES","NO")</f>
        <v>YES</v>
      </c>
      <c r="AJ183" s="245" t="str">
        <f>IF(ISNUMBER(SEARCH("C", 'WetLitterbags placem_collection'!$V110)),"YES","NO")</f>
        <v>NO</v>
      </c>
      <c r="AK183" s="245" t="str">
        <f>IF(ISNUMBER(SEARCH("H", 'WetLitterbags placem_collection'!$V110)),"YES","NO")</f>
        <v>NO</v>
      </c>
      <c r="AL183" s="245" t="str">
        <f>IF(ISNUMBER(SEARCH("R", 'WetLitterbags placem_collection'!$V110)),"YES","NO")</f>
        <v>YES</v>
      </c>
    </row>
    <row r="184" spans="2:38">
      <c r="B184" t="str">
        <f>Wetseason!B110</f>
        <v>Wet</v>
      </c>
      <c r="C184" s="253">
        <f>Wetseason!C110</f>
        <v>109</v>
      </c>
      <c r="D184" t="s">
        <v>3118</v>
      </c>
      <c r="E184" t="s">
        <v>22</v>
      </c>
      <c r="F184" s="375">
        <v>5</v>
      </c>
      <c r="G184" s="16">
        <f>'WetLitterbags placem_collection'!E111</f>
        <v>42762</v>
      </c>
      <c r="H184" t="str">
        <f>Wetseason!L110</f>
        <v>G704</v>
      </c>
      <c r="I184" t="str">
        <f>Wetseason!L330</f>
        <v>R552</v>
      </c>
      <c r="J184">
        <f>IFERROR(INDEX('Green_rooibos initial weight'!$C$5:$C$2000,MATCH(H184, 'Green_rooibos initial weight'!$A$5:$A$2000,0)),"")</f>
        <v>2.0219999999999998</v>
      </c>
      <c r="K184">
        <f>IFERROR(INDEX('Green_rooibos initial weight'!$C$5:$C$2000,MATCH(I184, 'Green_rooibos initial weight'!$A$5:$A$2000,0)),"")</f>
        <v>2.222</v>
      </c>
      <c r="L184" s="194">
        <f t="shared" si="18"/>
        <v>1.7721999999999998</v>
      </c>
      <c r="M184" s="194">
        <f>AVERAGE(Ashed_controlls!$K$2:$K$11)</f>
        <v>5.5147656768714146</v>
      </c>
      <c r="N184" s="194">
        <f t="shared" si="15"/>
        <v>1.6744673226744846</v>
      </c>
      <c r="O184" s="194">
        <f t="shared" si="19"/>
        <v>1.9722</v>
      </c>
      <c r="P184" s="194">
        <f>AVERAGE(Ashed_controlls!$K$12:$K$14)</f>
        <v>2.2816647271287041</v>
      </c>
      <c r="Q184" s="194">
        <f t="shared" si="20"/>
        <v>1.9272010082515676</v>
      </c>
      <c r="R184" s="16">
        <f>IF('WetLitterbags placem_collection'!G111="","",'WetLitterbags placem_collection'!G111)</f>
        <v>42816</v>
      </c>
      <c r="S184" s="194">
        <f>IFERROR(INDEX('Both teabags AfterWet'!$C$3:$C$2000,MATCH(H184,'Both teabags AfterWet'!$A$3:$A$2000,0)),"")</f>
        <v>0.63019999999999998</v>
      </c>
      <c r="T184" s="194">
        <f>IFERROR(INDEX('Both teabags AfterWet'!$C$3:$C$2000,MATCH(I184,'Both teabags AfterWet'!$A$3:$A$2000,0)),"")</f>
        <v>1.7532000000000001</v>
      </c>
      <c r="U184" s="194">
        <f t="shared" si="21"/>
        <v>0.47959999999999997</v>
      </c>
      <c r="V184" s="194">
        <f t="shared" si="22"/>
        <v>1.6026</v>
      </c>
      <c r="W184" s="194">
        <f>IFERROR(INDEX('Ashed teabags wet'!$K$2:$K$2000,MATCH(H184,'Ashed teabags wet'!$A$2:$A$2000,0)),"")</f>
        <v>7.733990147783028</v>
      </c>
      <c r="X184" s="233">
        <f>IFERROR(INDEX('Ashed teabags wet'!$K$2:$K$2000,MATCH(I184,'Ashed teabags wet'!$A$2:$A$2000,0)),"")</f>
        <v>9.2346938775513898</v>
      </c>
      <c r="Y184" s="194">
        <f t="shared" si="27"/>
        <v>0.44250778325123258</v>
      </c>
      <c r="Z184" s="194">
        <f t="shared" si="27"/>
        <v>1.4546047959183614</v>
      </c>
      <c r="AA184" s="194">
        <f t="shared" si="23"/>
        <v>0.73573220733597089</v>
      </c>
      <c r="AB184" s="194">
        <f t="shared" si="24"/>
        <v>0.48233275350291682</v>
      </c>
      <c r="AC184" s="194">
        <f t="shared" si="16"/>
        <v>0.75477585871441399</v>
      </c>
      <c r="AD184">
        <f t="shared" si="17"/>
        <v>54</v>
      </c>
      <c r="AE184" s="194">
        <f t="shared" si="25"/>
        <v>0.12620877988602031</v>
      </c>
      <c r="AF184" s="194">
        <f t="shared" si="26"/>
        <v>1.3150294819835475E-2</v>
      </c>
      <c r="AG184" s="245" t="str">
        <f>IF(ISNUMBER(SEARCH("C",'WetLitterbags placem_collection'!$X111)),"YES","NO")</f>
        <v>NO</v>
      </c>
      <c r="AH184" s="245" t="str">
        <f>IF(ISNUMBER(SEARCH("H", 'WetLitterbags placem_collection'!$X111)),"YES","NO")</f>
        <v>NO</v>
      </c>
      <c r="AI184" s="245" t="str">
        <f>IF(ISNUMBER(SEARCH("R", 'WetLitterbags placem_collection'!$X111)),"YES","NO")</f>
        <v>NO</v>
      </c>
      <c r="AJ184" s="245" t="str">
        <f>IF(ISNUMBER(SEARCH("C", 'WetLitterbags placem_collection'!$V111)),"YES","NO")</f>
        <v>NO</v>
      </c>
      <c r="AK184" s="245" t="str">
        <f>IF(ISNUMBER(SEARCH("H", 'WetLitterbags placem_collection'!$V111)),"YES","NO")</f>
        <v>YES</v>
      </c>
      <c r="AL184" s="245" t="str">
        <f>IF(ISNUMBER(SEARCH("R", 'WetLitterbags placem_collection'!$V111)),"YES","NO")</f>
        <v>NO</v>
      </c>
    </row>
    <row r="185" spans="2:38">
      <c r="B185" t="str">
        <f>Wetseason!B111</f>
        <v>Wet</v>
      </c>
      <c r="C185" s="253">
        <f>Wetseason!C111</f>
        <v>110</v>
      </c>
      <c r="D185" t="s">
        <v>3118</v>
      </c>
      <c r="E185" t="s">
        <v>22</v>
      </c>
      <c r="F185" s="375">
        <v>6</v>
      </c>
      <c r="G185" s="16">
        <f>'WetLitterbags placem_collection'!E112</f>
        <v>42762</v>
      </c>
      <c r="H185" t="str">
        <f>Wetseason!L111</f>
        <v>G742</v>
      </c>
      <c r="I185" t="str">
        <f>Wetseason!L331</f>
        <v>R462</v>
      </c>
      <c r="J185">
        <f>IFERROR(INDEX('Green_rooibos initial weight'!$C$5:$C$2000,MATCH(H185, 'Green_rooibos initial weight'!$A$5:$A$2000,0)),"")</f>
        <v>2.0510000000000002</v>
      </c>
      <c r="K185">
        <f>IFERROR(INDEX('Green_rooibos initial weight'!$C$5:$C$2000,MATCH(I185, 'Green_rooibos initial weight'!$A$5:$A$2000,0)),"")</f>
        <v>2.226</v>
      </c>
      <c r="L185" s="194">
        <f t="shared" si="18"/>
        <v>1.8012000000000001</v>
      </c>
      <c r="M185" s="194">
        <f>AVERAGE(Ashed_controlls!$K$2:$K$11)</f>
        <v>5.5147656768714146</v>
      </c>
      <c r="N185" s="194">
        <f t="shared" si="15"/>
        <v>1.7018680406281923</v>
      </c>
      <c r="O185" s="194">
        <f t="shared" si="19"/>
        <v>1.9762</v>
      </c>
      <c r="P185" s="194">
        <f>AVERAGE(Ashed_controlls!$K$12:$K$14)</f>
        <v>2.2816647271287041</v>
      </c>
      <c r="Q185" s="194">
        <f t="shared" si="20"/>
        <v>1.9311097416624825</v>
      </c>
      <c r="R185" s="16">
        <f>IF('WetLitterbags placem_collection'!G112="","",'WetLitterbags placem_collection'!G112)</f>
        <v>42816</v>
      </c>
      <c r="S185" s="194">
        <f>IFERROR(INDEX('Both teabags AfterWet'!$C$3:$C$2000,MATCH(H185,'Both teabags AfterWet'!$A$3:$A$2000,0)),"")</f>
        <v>0.57879999999999998</v>
      </c>
      <c r="T185" s="194">
        <f>IFERROR(INDEX('Both teabags AfterWet'!$C$3:$C$2000,MATCH(I185,'Both teabags AfterWet'!$A$3:$A$2000,0)),"")</f>
        <v>1.5465</v>
      </c>
      <c r="U185" s="194">
        <f t="shared" si="21"/>
        <v>0.42819999999999997</v>
      </c>
      <c r="V185" s="194">
        <f t="shared" si="22"/>
        <v>1.3958999999999999</v>
      </c>
      <c r="W185" s="194">
        <f>IFERROR(INDEX('Ashed teabags wet'!$K$2:$K$2000,MATCH(H185,'Ashed teabags wet'!$A$2:$A$2000,0)),"")</f>
        <v>13.253612356751738</v>
      </c>
      <c r="X185" s="233">
        <f>IFERROR(INDEX('Ashed teabags wet'!$K$2:$K$2000,MATCH(I185,'Ashed teabags wet'!$A$2:$A$2000,0)),"")</f>
        <v>7.3158914728682047</v>
      </c>
      <c r="Y185" s="194">
        <f t="shared" si="27"/>
        <v>0.37144803188838904</v>
      </c>
      <c r="Z185" s="194">
        <f t="shared" si="27"/>
        <v>1.2937774709302325</v>
      </c>
      <c r="AA185" s="194">
        <f t="shared" si="23"/>
        <v>0.78174099106339623</v>
      </c>
      <c r="AB185" s="194">
        <f t="shared" si="24"/>
        <v>0.51249528155225033</v>
      </c>
      <c r="AC185" s="194">
        <f t="shared" si="16"/>
        <v>0.66996579377018006</v>
      </c>
      <c r="AD185">
        <f t="shared" si="17"/>
        <v>54</v>
      </c>
      <c r="AE185" s="194">
        <f t="shared" si="25"/>
        <v>7.1566518927082878E-2</v>
      </c>
      <c r="AF185" s="194">
        <f t="shared" si="26"/>
        <v>1.9125085923583016E-2</v>
      </c>
      <c r="AG185" s="245" t="str">
        <f>IF(ISNUMBER(SEARCH("C",'WetLitterbags placem_collection'!$X112)),"YES","NO")</f>
        <v>NO</v>
      </c>
      <c r="AH185" s="245" t="str">
        <f>IF(ISNUMBER(SEARCH("H", 'WetLitterbags placem_collection'!$X112)),"YES","NO")</f>
        <v>NO</v>
      </c>
      <c r="AI185" s="245" t="str">
        <f>IF(ISNUMBER(SEARCH("R", 'WetLitterbags placem_collection'!$X112)),"YES","NO")</f>
        <v>NO</v>
      </c>
      <c r="AJ185" s="245" t="str">
        <f>IF(ISNUMBER(SEARCH("C", 'WetLitterbags placem_collection'!$V112)),"YES","NO")</f>
        <v>NO</v>
      </c>
      <c r="AK185" s="245" t="str">
        <f>IF(ISNUMBER(SEARCH("H", 'WetLitterbags placem_collection'!$V112)),"YES","NO")</f>
        <v>NO</v>
      </c>
      <c r="AL185" s="245" t="str">
        <f>IF(ISNUMBER(SEARCH("R", 'WetLitterbags placem_collection'!$V112)),"YES","NO")</f>
        <v>NO</v>
      </c>
    </row>
    <row r="186" spans="2:38">
      <c r="B186" t="str">
        <f>Wetseason!B112</f>
        <v>Wet</v>
      </c>
      <c r="C186" s="253">
        <f>Wetseason!C112</f>
        <v>111</v>
      </c>
      <c r="D186" t="s">
        <v>3118</v>
      </c>
      <c r="E186" t="s">
        <v>22</v>
      </c>
      <c r="F186" s="375">
        <v>7</v>
      </c>
      <c r="G186" s="16">
        <f>'WetLitterbags placem_collection'!E113</f>
        <v>42762</v>
      </c>
      <c r="H186" t="str">
        <f>Wetseason!L112</f>
        <v>G831</v>
      </c>
      <c r="I186" t="str">
        <f>Wetseason!L332</f>
        <v>R505</v>
      </c>
      <c r="J186">
        <f>IFERROR(INDEX('Green_rooibos initial weight'!$C$5:$C$2000,MATCH(H186, 'Green_rooibos initial weight'!$A$5:$A$2000,0)),"")</f>
        <v>2.1190000000000002</v>
      </c>
      <c r="K186">
        <f>IFERROR(INDEX('Green_rooibos initial weight'!$C$5:$C$2000,MATCH(I186, 'Green_rooibos initial weight'!$A$5:$A$2000,0)),"")</f>
        <v>2.198</v>
      </c>
      <c r="L186" s="194">
        <f t="shared" si="18"/>
        <v>1.8692000000000002</v>
      </c>
      <c r="M186" s="194">
        <f>AVERAGE(Ashed_controlls!$K$2:$K$11)</f>
        <v>5.5147656768714146</v>
      </c>
      <c r="N186" s="194">
        <f t="shared" si="15"/>
        <v>1.7661179999679197</v>
      </c>
      <c r="O186" s="194">
        <f t="shared" si="19"/>
        <v>1.9481999999999999</v>
      </c>
      <c r="P186" s="194">
        <f>AVERAGE(Ashed_controlls!$K$12:$K$14)</f>
        <v>2.2816647271287041</v>
      </c>
      <c r="Q186" s="194">
        <f t="shared" si="20"/>
        <v>1.9037486077860786</v>
      </c>
      <c r="R186" s="16">
        <f>IF('WetLitterbags placem_collection'!G113="","",'WetLitterbags placem_collection'!G113)</f>
        <v>42816</v>
      </c>
      <c r="S186" s="194">
        <f>IFERROR(INDEX('Both teabags AfterWet'!$C$3:$C$2000,MATCH(H186,'Both teabags AfterWet'!$A$3:$A$2000,0)),"")</f>
        <v>0.66200000000000003</v>
      </c>
      <c r="T186" s="194">
        <f>IFERROR(INDEX('Both teabags AfterWet'!$C$3:$C$2000,MATCH(I186,'Both teabags AfterWet'!$A$3:$A$2000,0)),"")</f>
        <v>1.673</v>
      </c>
      <c r="U186" s="194">
        <f t="shared" si="21"/>
        <v>0.51140000000000008</v>
      </c>
      <c r="V186" s="194">
        <f t="shared" si="22"/>
        <v>1.5224</v>
      </c>
      <c r="W186" s="194">
        <f>IFERROR(INDEX('Ashed teabags wet'!$K$2:$K$2000,MATCH(H186,'Ashed teabags wet'!$A$2:$A$2000,0)),"")</f>
        <v>14.3622200584224</v>
      </c>
      <c r="X186" s="233">
        <f>IFERROR(INDEX('Ashed teabags wet'!$K$2:$K$2000,MATCH(I186,'Ashed teabags wet'!$A$2:$A$2000,0)),"")</f>
        <v>8.7623762376235934</v>
      </c>
      <c r="Y186" s="194">
        <f t="shared" si="27"/>
        <v>0.4379516066212279</v>
      </c>
      <c r="Z186" s="194">
        <f t="shared" si="27"/>
        <v>1.3890015841584185</v>
      </c>
      <c r="AA186" s="194">
        <f t="shared" si="23"/>
        <v>0.75202585182350046</v>
      </c>
      <c r="AB186" s="194">
        <f t="shared" si="24"/>
        <v>0.49301457269189114</v>
      </c>
      <c r="AC186" s="194">
        <f t="shared" si="16"/>
        <v>0.72961397238983483</v>
      </c>
      <c r="AD186">
        <f t="shared" si="17"/>
        <v>54</v>
      </c>
      <c r="AE186" s="194">
        <f t="shared" si="25"/>
        <v>0.10685765816686399</v>
      </c>
      <c r="AF186" s="194">
        <f t="shared" si="26"/>
        <v>1.4722853098704435E-2</v>
      </c>
      <c r="AG186" s="245" t="str">
        <f>IF(ISNUMBER(SEARCH("C",'WetLitterbags placem_collection'!$X113)),"YES","NO")</f>
        <v>NO</v>
      </c>
      <c r="AH186" s="245" t="str">
        <f>IF(ISNUMBER(SEARCH("H", 'WetLitterbags placem_collection'!$X113)),"YES","NO")</f>
        <v>NO</v>
      </c>
      <c r="AI186" s="245" t="str">
        <f>IF(ISNUMBER(SEARCH("R", 'WetLitterbags placem_collection'!$X113)),"YES","NO")</f>
        <v>YES</v>
      </c>
      <c r="AJ186" s="245" t="str">
        <f>IF(ISNUMBER(SEARCH("C", 'WetLitterbags placem_collection'!$V113)),"YES","NO")</f>
        <v>NO</v>
      </c>
      <c r="AK186" s="245" t="str">
        <f>IF(ISNUMBER(SEARCH("H", 'WetLitterbags placem_collection'!$V113)),"YES","NO")</f>
        <v>NO</v>
      </c>
      <c r="AL186" s="245" t="str">
        <f>IF(ISNUMBER(SEARCH("R", 'WetLitterbags placem_collection'!$V113)),"YES","NO")</f>
        <v>NO</v>
      </c>
    </row>
    <row r="187" spans="2:38">
      <c r="B187" t="str">
        <f>Wetseason!B113</f>
        <v>Wet</v>
      </c>
      <c r="C187" s="253">
        <f>Wetseason!C113</f>
        <v>112</v>
      </c>
      <c r="D187" t="s">
        <v>3118</v>
      </c>
      <c r="E187" t="s">
        <v>22</v>
      </c>
      <c r="F187" s="375">
        <v>8</v>
      </c>
      <c r="G187" s="16">
        <f>'WetLitterbags placem_collection'!E114</f>
        <v>42762</v>
      </c>
      <c r="H187" t="str">
        <f>Wetseason!L113</f>
        <v>G899</v>
      </c>
      <c r="I187" t="str">
        <f>Wetseason!L333</f>
        <v>R41</v>
      </c>
      <c r="J187">
        <f>IFERROR(INDEX('Green_rooibos initial weight'!$C$5:$C$2000,MATCH(H187, 'Green_rooibos initial weight'!$A$5:$A$2000,0)),"")</f>
        <v>2.0129999999999999</v>
      </c>
      <c r="K187">
        <f>IFERROR(INDEX('Green_rooibos initial weight'!$C$5:$C$2000,MATCH(I187, 'Green_rooibos initial weight'!$A$5:$A$2000,0)),"")</f>
        <v>2.2010000000000001</v>
      </c>
      <c r="L187" s="194">
        <f t="shared" si="18"/>
        <v>1.7631999999999999</v>
      </c>
      <c r="M187" s="194">
        <f>AVERAGE(Ashed_controlls!$K$2:$K$11)</f>
        <v>5.5147656768714146</v>
      </c>
      <c r="N187" s="194">
        <f t="shared" si="15"/>
        <v>1.665963651585403</v>
      </c>
      <c r="O187" s="194">
        <f t="shared" si="19"/>
        <v>1.9512</v>
      </c>
      <c r="P187" s="194">
        <f>AVERAGE(Ashed_controlls!$K$12:$K$14)</f>
        <v>2.2816647271287041</v>
      </c>
      <c r="Q187" s="194">
        <f t="shared" si="20"/>
        <v>1.9066801578442647</v>
      </c>
      <c r="R187" s="16">
        <f>IF('WetLitterbags placem_collection'!G114="","",'WetLitterbags placem_collection'!G114)</f>
        <v>42816</v>
      </c>
      <c r="S187" s="194">
        <f>IFERROR(INDEX('Both teabags AfterWet'!$C$3:$C$2000,MATCH(H187,'Both teabags AfterWet'!$A$3:$A$2000,0)),"")</f>
        <v>0.71899999999999997</v>
      </c>
      <c r="T187" s="194">
        <f>IFERROR(INDEX('Both teabags AfterWet'!$C$3:$C$2000,MATCH(I187,'Both teabags AfterWet'!$A$3:$A$2000,0)),"")</f>
        <v>1.6910000000000001</v>
      </c>
      <c r="U187" s="194">
        <f t="shared" si="21"/>
        <v>0.56840000000000002</v>
      </c>
      <c r="V187" s="194">
        <f t="shared" si="22"/>
        <v>1.5404</v>
      </c>
      <c r="W187" s="194">
        <f>IFERROR(INDEX('Ashed teabags wet'!$K$2:$K$2000,MATCH(H187,'Ashed teabags wet'!$A$2:$A$2000,0)),"")</f>
        <v>25.775193798450474</v>
      </c>
      <c r="X187" s="233">
        <f>IFERROR(INDEX('Ashed teabags wet'!$K$2:$K$2000,MATCH(I187,'Ashed teabags wet'!$A$2:$A$2000,0)),"")</f>
        <v>6.9995105237407165</v>
      </c>
      <c r="Y187" s="194">
        <f t="shared" si="27"/>
        <v>0.4218937984496075</v>
      </c>
      <c r="Z187" s="194">
        <f t="shared" si="27"/>
        <v>1.432579539892298</v>
      </c>
      <c r="AA187" s="194">
        <f t="shared" si="23"/>
        <v>0.74675690069941503</v>
      </c>
      <c r="AB187" s="194">
        <f t="shared" si="24"/>
        <v>0.48956034345139804</v>
      </c>
      <c r="AC187" s="194">
        <f t="shared" si="16"/>
        <v>0.75134758915832245</v>
      </c>
      <c r="AD187">
        <f t="shared" si="17"/>
        <v>54</v>
      </c>
      <c r="AE187" s="194">
        <f t="shared" si="25"/>
        <v>0.11311531983442391</v>
      </c>
      <c r="AF187" s="194">
        <f t="shared" si="26"/>
        <v>1.3131349850552969E-2</v>
      </c>
      <c r="AG187" s="245" t="str">
        <f>IF(ISNUMBER(SEARCH("C",'WetLitterbags placem_collection'!$X114)),"YES","NO")</f>
        <v>NO</v>
      </c>
      <c r="AH187" s="245" t="str">
        <f>IF(ISNUMBER(SEARCH("H", 'WetLitterbags placem_collection'!$X114)),"YES","NO")</f>
        <v>NO</v>
      </c>
      <c r="AI187" s="245" t="str">
        <f>IF(ISNUMBER(SEARCH("R", 'WetLitterbags placem_collection'!$X114)),"YES","NO")</f>
        <v>NO</v>
      </c>
      <c r="AJ187" s="245" t="str">
        <f>IF(ISNUMBER(SEARCH("C", 'WetLitterbags placem_collection'!$V114)),"YES","NO")</f>
        <v>NO</v>
      </c>
      <c r="AK187" s="245" t="str">
        <f>IF(ISNUMBER(SEARCH("H", 'WetLitterbags placem_collection'!$V114)),"YES","NO")</f>
        <v>YES</v>
      </c>
      <c r="AL187" s="245" t="str">
        <f>IF(ISNUMBER(SEARCH("R", 'WetLitterbags placem_collection'!$V114)),"YES","NO")</f>
        <v>NO</v>
      </c>
    </row>
    <row r="188" spans="2:38">
      <c r="B188" t="str">
        <f>Wetseason!B114</f>
        <v>Wet</v>
      </c>
      <c r="C188" s="253">
        <f>Wetseason!C114</f>
        <v>113</v>
      </c>
      <c r="D188" t="s">
        <v>3119</v>
      </c>
      <c r="E188" t="s">
        <v>22</v>
      </c>
      <c r="F188" s="374">
        <v>1</v>
      </c>
      <c r="G188" s="16">
        <f>'WetLitterbags placem_collection'!E115</f>
        <v>42762</v>
      </c>
      <c r="H188" t="str">
        <f>Wetseason!L114</f>
        <v>G724</v>
      </c>
      <c r="I188" t="str">
        <f>Wetseason!L334</f>
        <v>R428</v>
      </c>
      <c r="J188">
        <f>IFERROR(INDEX('Green_rooibos initial weight'!$C$5:$C$2000,MATCH(H188, 'Green_rooibos initial weight'!$A$5:$A$2000,0)),"")</f>
        <v>2.0289999999999999</v>
      </c>
      <c r="K188">
        <f>IFERROR(INDEX('Green_rooibos initial weight'!$C$5:$C$2000,MATCH(I188, 'Green_rooibos initial weight'!$A$5:$A$2000,0)),"")</f>
        <v>2.202</v>
      </c>
      <c r="L188" s="194">
        <f t="shared" si="18"/>
        <v>1.7791999999999999</v>
      </c>
      <c r="M188" s="194">
        <f>AVERAGE(Ashed_controlls!$K$2:$K$11)</f>
        <v>5.5147656768714146</v>
      </c>
      <c r="N188" s="194">
        <f t="shared" si="15"/>
        <v>1.6810812890771036</v>
      </c>
      <c r="O188" s="194">
        <f t="shared" si="19"/>
        <v>1.9521999999999999</v>
      </c>
      <c r="P188" s="194">
        <f>AVERAGE(Ashed_controlls!$K$12:$K$14)</f>
        <v>2.2816647271287041</v>
      </c>
      <c r="Q188" s="194">
        <f t="shared" si="20"/>
        <v>1.9076573411969935</v>
      </c>
      <c r="R188" s="16">
        <f>IF('WetLitterbags placem_collection'!G115="","",'WetLitterbags placem_collection'!G115)</f>
        <v>42816</v>
      </c>
      <c r="S188" s="194">
        <f>IFERROR(INDEX('Both teabags AfterWet'!$C$3:$C$2000,MATCH(H188,'Both teabags AfterWet'!$A$3:$A$2000,0)),"")</f>
        <v>0.61099999999999999</v>
      </c>
      <c r="T188" s="194">
        <f>IFERROR(INDEX('Both teabags AfterWet'!$C$3:$C$2000,MATCH(I188,'Both teabags AfterWet'!$A$3:$A$2000,0)),"")</f>
        <v>1.768</v>
      </c>
      <c r="U188" s="194">
        <f t="shared" si="21"/>
        <v>0.46039999999999998</v>
      </c>
      <c r="V188" s="194">
        <f t="shared" si="22"/>
        <v>1.6173999999999999</v>
      </c>
      <c r="W188" s="194">
        <f>IFERROR(INDEX('Ashed teabags wet'!$K$2:$K$2000,MATCH(H188,'Ashed teabags wet'!$A$2:$A$2000,0)),"")</f>
        <v>15.414073719482863</v>
      </c>
      <c r="X188" s="233">
        <f>IFERROR(INDEX('Ashed teabags wet'!$K$2:$K$2000,MATCH(I188,'Ashed teabags wet'!$A$2:$A$2000,0)),"")</f>
        <v>90.530490827962367</v>
      </c>
      <c r="Y188" s="194">
        <f t="shared" si="27"/>
        <v>0.38943360459550092</v>
      </c>
      <c r="Z188" s="194">
        <f t="shared" si="27"/>
        <v>0.15315984134853666</v>
      </c>
      <c r="AA188" s="194">
        <f t="shared" si="23"/>
        <v>0.76834338284182802</v>
      </c>
      <c r="AB188" s="194">
        <f t="shared" si="24"/>
        <v>0.50371205145925069</v>
      </c>
      <c r="AC188" s="194">
        <f t="shared" si="16"/>
        <v>8.0286872301937512E-2</v>
      </c>
      <c r="AD188">
        <f t="shared" si="17"/>
        <v>54</v>
      </c>
      <c r="AE188" s="194">
        <f t="shared" si="25"/>
        <v>8.7478167646285021E-2</v>
      </c>
      <c r="AF188" s="194" t="str">
        <f t="shared" si="26"/>
        <v/>
      </c>
      <c r="AG188" s="245" t="str">
        <f>IF(ISNUMBER(SEARCH("C",'WetLitterbags placem_collection'!$X115)),"YES","NO")</f>
        <v>NO</v>
      </c>
      <c r="AH188" s="245" t="str">
        <f>IF(ISNUMBER(SEARCH("H", 'WetLitterbags placem_collection'!$X115)),"YES","NO")</f>
        <v>NO</v>
      </c>
      <c r="AI188" s="245" t="str">
        <f>IF(ISNUMBER(SEARCH("R", 'WetLitterbags placem_collection'!$X115)),"YES","NO")</f>
        <v>YES</v>
      </c>
      <c r="AJ188" s="245" t="str">
        <f>IF(ISNUMBER(SEARCH("C", 'WetLitterbags placem_collection'!$V115)),"YES","NO")</f>
        <v>YES</v>
      </c>
      <c r="AK188" s="245" t="str">
        <f>IF(ISNUMBER(SEARCH("H", 'WetLitterbags placem_collection'!$V115)),"YES","NO")</f>
        <v>NO</v>
      </c>
      <c r="AL188" s="245" t="str">
        <f>IF(ISNUMBER(SEARCH("R", 'WetLitterbags placem_collection'!$V115)),"YES","NO")</f>
        <v>YES</v>
      </c>
    </row>
    <row r="189" spans="2:38">
      <c r="B189" t="str">
        <f>Wetseason!B115</f>
        <v>Wet</v>
      </c>
      <c r="C189" s="253">
        <f>Wetseason!C115</f>
        <v>114</v>
      </c>
      <c r="D189" t="s">
        <v>3119</v>
      </c>
      <c r="E189" t="s">
        <v>22</v>
      </c>
      <c r="F189" s="374">
        <v>2</v>
      </c>
      <c r="G189" s="16">
        <f>'WetLitterbags placem_collection'!E116</f>
        <v>42762</v>
      </c>
      <c r="H189" t="str">
        <f>Wetseason!L115</f>
        <v>G803</v>
      </c>
      <c r="I189" t="str">
        <f>Wetseason!L335</f>
        <v>R601</v>
      </c>
      <c r="J189">
        <f>IFERROR(INDEX('Green_rooibos initial weight'!$C$5:$C$2000,MATCH(H189, 'Green_rooibos initial weight'!$A$5:$A$2000,0)),"")</f>
        <v>2.0590000000000002</v>
      </c>
      <c r="K189">
        <f>IFERROR(INDEX('Green_rooibos initial weight'!$C$5:$C$2000,MATCH(I189, 'Green_rooibos initial weight'!$A$5:$A$2000,0)),"")</f>
        <v>2.198</v>
      </c>
      <c r="L189" s="194">
        <f t="shared" si="18"/>
        <v>1.8092000000000001</v>
      </c>
      <c r="M189" s="194">
        <f>AVERAGE(Ashed_controlls!$K$2:$K$11)</f>
        <v>5.5147656768714146</v>
      </c>
      <c r="N189" s="194">
        <f t="shared" si="15"/>
        <v>1.7094268593740425</v>
      </c>
      <c r="O189" s="194">
        <f t="shared" si="19"/>
        <v>1.9481999999999999</v>
      </c>
      <c r="P189" s="194">
        <f>AVERAGE(Ashed_controlls!$K$12:$K$14)</f>
        <v>2.2816647271287041</v>
      </c>
      <c r="Q189" s="194">
        <f t="shared" si="20"/>
        <v>1.9037486077860786</v>
      </c>
      <c r="R189" s="16">
        <f>IF('WetLitterbags placem_collection'!G116="","",'WetLitterbags placem_collection'!G116)</f>
        <v>42816</v>
      </c>
      <c r="S189" s="194">
        <f>IFERROR(INDEX('Both teabags AfterWet'!$C$3:$C$2000,MATCH(H189,'Both teabags AfterWet'!$A$3:$A$2000,0)),"")</f>
        <v>0.64300000000000002</v>
      </c>
      <c r="T189" s="194">
        <f>IFERROR(INDEX('Both teabags AfterWet'!$C$3:$C$2000,MATCH(I189,'Both teabags AfterWet'!$A$3:$A$2000,0)),"")</f>
        <v>2.7930000000000001</v>
      </c>
      <c r="U189" s="194">
        <f t="shared" si="21"/>
        <v>0.4924</v>
      </c>
      <c r="V189" s="194">
        <f t="shared" si="22"/>
        <v>2.6424000000000003</v>
      </c>
      <c r="W189" s="194">
        <f>IFERROR(INDEX('Ashed teabags wet'!$K$2:$K$2000,MATCH(H189,'Ashed teabags wet'!$A$2:$A$2000,0)),"")</f>
        <v>21.028971028971405</v>
      </c>
      <c r="X189" s="233">
        <f>IFERROR(INDEX('Ashed teabags wet'!$K$2:$K$2000,MATCH(I189,'Ashed teabags wet'!$A$2:$A$2000,0)),"")</f>
        <v>95.101842870998382</v>
      </c>
      <c r="Y189" s="194">
        <f t="shared" si="27"/>
        <v>0.38885334665334481</v>
      </c>
      <c r="Z189" s="194">
        <f t="shared" si="27"/>
        <v>0.12942890397673867</v>
      </c>
      <c r="AA189" s="194">
        <f t="shared" si="23"/>
        <v>0.7725241389995855</v>
      </c>
      <c r="AB189" s="194">
        <f t="shared" si="24"/>
        <v>0.50645287972419384</v>
      </c>
      <c r="AC189" s="194">
        <f t="shared" si="16"/>
        <v>6.7986342024042287E-2</v>
      </c>
      <c r="AD189">
        <f t="shared" si="17"/>
        <v>54</v>
      </c>
      <c r="AE189" s="194">
        <f t="shared" si="25"/>
        <v>8.2512899050373512E-2</v>
      </c>
      <c r="AF189" s="194" t="str">
        <f t="shared" si="26"/>
        <v/>
      </c>
      <c r="AG189" s="245" t="str">
        <f>IF(ISNUMBER(SEARCH("C",'WetLitterbags placem_collection'!$X116)),"YES","NO")</f>
        <v>NO</v>
      </c>
      <c r="AH189" s="245" t="str">
        <f>IF(ISNUMBER(SEARCH("H", 'WetLitterbags placem_collection'!$X116)),"YES","NO")</f>
        <v>NO</v>
      </c>
      <c r="AI189" s="245" t="str">
        <f>IF(ISNUMBER(SEARCH("R", 'WetLitterbags placem_collection'!$X116)),"YES","NO")</f>
        <v>YES</v>
      </c>
      <c r="AJ189" s="245" t="str">
        <f>IF(ISNUMBER(SEARCH("C", 'WetLitterbags placem_collection'!$V116)),"YES","NO")</f>
        <v>NO</v>
      </c>
      <c r="AK189" s="245" t="str">
        <f>IF(ISNUMBER(SEARCH("H", 'WetLitterbags placem_collection'!$V116)),"YES","NO")</f>
        <v>YES</v>
      </c>
      <c r="AL189" s="245" t="str">
        <f>IF(ISNUMBER(SEARCH("R", 'WetLitterbags placem_collection'!$V116)),"YES","NO")</f>
        <v>YES</v>
      </c>
    </row>
    <row r="190" spans="2:38">
      <c r="B190" t="str">
        <f>Wetseason!B116</f>
        <v>Wet</v>
      </c>
      <c r="C190" s="253">
        <f>Wetseason!C116</f>
        <v>115</v>
      </c>
      <c r="D190" t="s">
        <v>3119</v>
      </c>
      <c r="E190" t="s">
        <v>22</v>
      </c>
      <c r="F190" s="374">
        <v>3</v>
      </c>
      <c r="G190" s="16">
        <f>'WetLitterbags placem_collection'!E117</f>
        <v>42762</v>
      </c>
      <c r="H190" t="str">
        <f>Wetseason!L116</f>
        <v>G693</v>
      </c>
      <c r="I190" t="str">
        <f>Wetseason!L336</f>
        <v>R553</v>
      </c>
      <c r="J190">
        <f>IFERROR(INDEX('Green_rooibos initial weight'!$C$5:$C$2000,MATCH(H190, 'Green_rooibos initial weight'!$A$5:$A$2000,0)),"")</f>
        <v>2.0710000000000002</v>
      </c>
      <c r="K190">
        <f>IFERROR(INDEX('Green_rooibos initial weight'!$C$5:$C$2000,MATCH(I190, 'Green_rooibos initial weight'!$A$5:$A$2000,0)),"")</f>
        <v>2.1949999999999998</v>
      </c>
      <c r="L190" s="194">
        <f t="shared" si="18"/>
        <v>1.8212000000000002</v>
      </c>
      <c r="M190" s="194">
        <f>AVERAGE(Ashed_controlls!$K$2:$K$11)</f>
        <v>5.5147656768714146</v>
      </c>
      <c r="N190" s="194">
        <f t="shared" si="15"/>
        <v>1.720765087492818</v>
      </c>
      <c r="O190" s="194">
        <f t="shared" si="19"/>
        <v>1.9451999999999998</v>
      </c>
      <c r="P190" s="194">
        <f>AVERAGE(Ashed_controlls!$K$12:$K$14)</f>
        <v>2.2816647271287041</v>
      </c>
      <c r="Q190" s="194">
        <f t="shared" si="20"/>
        <v>1.9008170577278922</v>
      </c>
      <c r="R190" s="16">
        <f>IF('WetLitterbags placem_collection'!G117="","",'WetLitterbags placem_collection'!G117)</f>
        <v>42816</v>
      </c>
      <c r="S190" s="194">
        <f>IFERROR(INDEX('Both teabags AfterWet'!$C$3:$C$2000,MATCH(H190,'Both teabags AfterWet'!$A$3:$A$2000,0)),"")</f>
        <v>0.63400000000000001</v>
      </c>
      <c r="T190" s="194">
        <f>IFERROR(INDEX('Both teabags AfterWet'!$C$3:$C$2000,MATCH(I190,'Both teabags AfterWet'!$A$3:$A$2000,0)),"")</f>
        <v>0.99990000000000001</v>
      </c>
      <c r="U190" s="194">
        <f t="shared" si="21"/>
        <v>0.4834</v>
      </c>
      <c r="V190" s="194">
        <f t="shared" si="22"/>
        <v>0.84929999999999994</v>
      </c>
      <c r="W190" s="194">
        <f>IFERROR(INDEX('Ashed teabags wet'!$K$2:$K$2000,MATCH(H190,'Ashed teabags wet'!$A$2:$A$2000,0)),"")</f>
        <v>16.568993074054781</v>
      </c>
      <c r="X190" s="233">
        <f>IFERROR(INDEX('Ashed teabags wet'!$K$2:$K$2000,MATCH(I190,'Ashed teabags wet'!$A$2:$A$2000,0)),"")</f>
        <v>91.722365038559602</v>
      </c>
      <c r="Y190" s="194">
        <f t="shared" si="27"/>
        <v>0.40330548748001921</v>
      </c>
      <c r="Z190" s="194">
        <f t="shared" si="27"/>
        <v>7.0301953727513244E-2</v>
      </c>
      <c r="AA190" s="194">
        <f t="shared" si="23"/>
        <v>0.76562432001241865</v>
      </c>
      <c r="AB190" s="194">
        <f t="shared" si="24"/>
        <v>0.5019294829535097</v>
      </c>
      <c r="AC190" s="194">
        <f t="shared" si="16"/>
        <v>3.6985123550788958E-2</v>
      </c>
      <c r="AD190">
        <f t="shared" si="17"/>
        <v>54</v>
      </c>
      <c r="AE190" s="194">
        <f t="shared" si="25"/>
        <v>9.0707458417555009E-2</v>
      </c>
      <c r="AF190" s="194" t="str">
        <f t="shared" si="26"/>
        <v/>
      </c>
      <c r="AG190" s="245" t="str">
        <f>IF(ISNUMBER(SEARCH("C",'WetLitterbags placem_collection'!$X117)),"YES","NO")</f>
        <v>NO</v>
      </c>
      <c r="AH190" s="245" t="str">
        <f>IF(ISNUMBER(SEARCH("H", 'WetLitterbags placem_collection'!$X117)),"YES","NO")</f>
        <v>NO</v>
      </c>
      <c r="AI190" s="245" t="str">
        <f>IF(ISNUMBER(SEARCH("R", 'WetLitterbags placem_collection'!$X117)),"YES","NO")</f>
        <v>YES</v>
      </c>
      <c r="AJ190" s="245" t="str">
        <f>IF(ISNUMBER(SEARCH("C", 'WetLitterbags placem_collection'!$V117)),"YES","NO")</f>
        <v>NO</v>
      </c>
      <c r="AK190" s="245" t="str">
        <f>IF(ISNUMBER(SEARCH("H", 'WetLitterbags placem_collection'!$V117)),"YES","NO")</f>
        <v>NO</v>
      </c>
      <c r="AL190" s="245" t="str">
        <f>IF(ISNUMBER(SEARCH("R", 'WetLitterbags placem_collection'!$V117)),"YES","NO")</f>
        <v>YES</v>
      </c>
    </row>
    <row r="191" spans="2:38">
      <c r="B191" t="str">
        <f>Wetseason!B117</f>
        <v>Wet</v>
      </c>
      <c r="C191" s="253">
        <f>Wetseason!C117</f>
        <v>116</v>
      </c>
      <c r="D191" t="s">
        <v>3119</v>
      </c>
      <c r="E191" t="s">
        <v>22</v>
      </c>
      <c r="F191" s="375">
        <v>4</v>
      </c>
      <c r="G191" s="16">
        <f>'WetLitterbags placem_collection'!E118</f>
        <v>42762</v>
      </c>
      <c r="H191" t="str">
        <f>Wetseason!L117</f>
        <v>G897</v>
      </c>
      <c r="I191" t="str">
        <f>Wetseason!L337</f>
        <v>R459</v>
      </c>
      <c r="J191">
        <f>IFERROR(INDEX('Green_rooibos initial weight'!$C$5:$C$2000,MATCH(H191, 'Green_rooibos initial weight'!$A$5:$A$2000,0)),"")</f>
        <v>2.0299999999999998</v>
      </c>
      <c r="K191">
        <f>IFERROR(INDEX('Green_rooibos initial weight'!$C$5:$C$2000,MATCH(I191, 'Green_rooibos initial weight'!$A$5:$A$2000,0)),"")</f>
        <v>2.2090000000000001</v>
      </c>
      <c r="L191" s="194">
        <f t="shared" si="18"/>
        <v>1.7801999999999998</v>
      </c>
      <c r="M191" s="194">
        <f>AVERAGE(Ashed_controlls!$K$2:$K$11)</f>
        <v>5.5147656768714146</v>
      </c>
      <c r="N191" s="194">
        <f t="shared" si="15"/>
        <v>1.6820261414203348</v>
      </c>
      <c r="O191" s="194">
        <f t="shared" si="19"/>
        <v>1.9592000000000001</v>
      </c>
      <c r="P191" s="194">
        <f>AVERAGE(Ashed_controlls!$K$12:$K$14)</f>
        <v>2.2816647271287041</v>
      </c>
      <c r="Q191" s="194">
        <f t="shared" si="20"/>
        <v>1.9144976246660945</v>
      </c>
      <c r="R191" s="16">
        <f>IF('WetLitterbags placem_collection'!G118="","",'WetLitterbags placem_collection'!G118)</f>
        <v>42816</v>
      </c>
      <c r="S191" s="194">
        <f>IFERROR(INDEX('Both teabags AfterWet'!$C$3:$C$2000,MATCH(H191,'Both teabags AfterWet'!$A$3:$A$2000,0)),"")</f>
        <v>0.67869999999999997</v>
      </c>
      <c r="T191" s="194">
        <f>IFERROR(INDEX('Both teabags AfterWet'!$C$3:$C$2000,MATCH(I191,'Both teabags AfterWet'!$A$3:$A$2000,0)),"")</f>
        <v>0.68710000000000004</v>
      </c>
      <c r="U191" s="194">
        <f t="shared" si="21"/>
        <v>0.52810000000000001</v>
      </c>
      <c r="V191" s="194">
        <f t="shared" si="22"/>
        <v>0.53649999999999998</v>
      </c>
      <c r="W191" s="194">
        <f>IFERROR(INDEX('Ashed teabags wet'!$K$2:$K$2000,MATCH(H191,'Ashed teabags wet'!$A$2:$A$2000,0)),"")</f>
        <v>16.164658634537794</v>
      </c>
      <c r="X191" s="233">
        <f>IFERROR(INDEX('Ashed teabags wet'!$K$2:$K$2000,MATCH(I191,'Ashed teabags wet'!$A$2:$A$2000,0)),"")</f>
        <v>84.783689706613757</v>
      </c>
      <c r="Y191" s="194">
        <f t="shared" si="27"/>
        <v>0.44273443775100596</v>
      </c>
      <c r="Z191" s="194">
        <f t="shared" si="27"/>
        <v>8.1635504724017205E-2</v>
      </c>
      <c r="AA191" s="194">
        <f t="shared" si="23"/>
        <v>0.73678504343746254</v>
      </c>
      <c r="AB191" s="194">
        <f t="shared" si="24"/>
        <v>0.48302297384498738</v>
      </c>
      <c r="AC191" s="194">
        <f t="shared" si="16"/>
        <v>4.2640692614207429E-2</v>
      </c>
      <c r="AD191">
        <f t="shared" si="17"/>
        <v>54</v>
      </c>
      <c r="AE191" s="194">
        <f t="shared" si="25"/>
        <v>0.12495838071560261</v>
      </c>
      <c r="AF191" s="194" t="str">
        <f t="shared" si="26"/>
        <v/>
      </c>
      <c r="AG191" s="245" t="str">
        <f>IF(ISNUMBER(SEARCH("C",'WetLitterbags placem_collection'!$X118)),"YES","NO")</f>
        <v>NO</v>
      </c>
      <c r="AH191" s="245" t="str">
        <f>IF(ISNUMBER(SEARCH("H", 'WetLitterbags placem_collection'!$X118)),"YES","NO")</f>
        <v>NO</v>
      </c>
      <c r="AI191" s="245" t="str">
        <f>IF(ISNUMBER(SEARCH("R", 'WetLitterbags placem_collection'!$X118)),"YES","NO")</f>
        <v>YES</v>
      </c>
      <c r="AJ191" s="245" t="str">
        <f>IF(ISNUMBER(SEARCH("C", 'WetLitterbags placem_collection'!$V118)),"YES","NO")</f>
        <v>NO</v>
      </c>
      <c r="AK191" s="245" t="str">
        <f>IF(ISNUMBER(SEARCH("H", 'WetLitterbags placem_collection'!$V118)),"YES","NO")</f>
        <v>NO</v>
      </c>
      <c r="AL191" s="245" t="str">
        <f>IF(ISNUMBER(SEARCH("R", 'WetLitterbags placem_collection'!$V118)),"YES","NO")</f>
        <v>NO</v>
      </c>
    </row>
    <row r="192" spans="2:38">
      <c r="B192" t="str">
        <f>Wetseason!B118</f>
        <v>Wet</v>
      </c>
      <c r="C192" s="253">
        <f>Wetseason!C118</f>
        <v>117</v>
      </c>
      <c r="D192" t="s">
        <v>3119</v>
      </c>
      <c r="E192" t="s">
        <v>22</v>
      </c>
      <c r="F192" s="375">
        <v>5</v>
      </c>
      <c r="G192" s="16">
        <f>'WetLitterbags placem_collection'!E119</f>
        <v>42762</v>
      </c>
      <c r="H192" t="str">
        <f>Wetseason!L118</f>
        <v>G789</v>
      </c>
      <c r="I192" t="str">
        <f>Wetseason!L338</f>
        <v>R511</v>
      </c>
      <c r="J192">
        <f>IFERROR(INDEX('Green_rooibos initial weight'!$C$5:$C$2000,MATCH(H192, 'Green_rooibos initial weight'!$A$5:$A$2000,0)),"")</f>
        <v>2.109</v>
      </c>
      <c r="K192">
        <f>IFERROR(INDEX('Green_rooibos initial weight'!$C$5:$C$2000,MATCH(I192, 'Green_rooibos initial weight'!$A$5:$A$2000,0)),"")</f>
        <v>2.1779999999999999</v>
      </c>
      <c r="L192" s="194">
        <f t="shared" si="18"/>
        <v>1.8592</v>
      </c>
      <c r="M192" s="194">
        <f>AVERAGE(Ashed_controlls!$K$2:$K$11)</f>
        <v>5.5147656768714146</v>
      </c>
      <c r="N192" s="194">
        <f t="shared" si="15"/>
        <v>1.7566694765356066</v>
      </c>
      <c r="O192" s="194">
        <f t="shared" si="19"/>
        <v>1.9281999999999999</v>
      </c>
      <c r="P192" s="194">
        <f>AVERAGE(Ashed_controlls!$K$12:$K$14)</f>
        <v>2.2816647271287041</v>
      </c>
      <c r="Q192" s="194">
        <f t="shared" si="20"/>
        <v>1.8842049407315042</v>
      </c>
      <c r="R192" s="16">
        <f>IF('WetLitterbags placem_collection'!G119="","",'WetLitterbags placem_collection'!G119)</f>
        <v>42816</v>
      </c>
      <c r="S192" s="194">
        <f>IFERROR(INDEX('Both teabags AfterWet'!$C$3:$C$2000,MATCH(H192,'Both teabags AfterWet'!$A$3:$A$2000,0)),"")</f>
        <v>0.79800000000000004</v>
      </c>
      <c r="T192" s="194">
        <f>IFERROR(INDEX('Both teabags AfterWet'!$C$3:$C$2000,MATCH(I192,'Both teabags AfterWet'!$A$3:$A$2000,0)),"")</f>
        <v>0.39700000000000002</v>
      </c>
      <c r="U192" s="194">
        <f t="shared" si="21"/>
        <v>0.64739999999999998</v>
      </c>
      <c r="V192" s="194">
        <f t="shared" si="22"/>
        <v>0.24640000000000001</v>
      </c>
      <c r="W192" s="194">
        <f>IFERROR(INDEX('Ashed teabags wet'!$K$2:$K$2000,MATCH(H192,'Ashed teabags wet'!$A$2:$A$2000,0)),"")</f>
        <v>28.215353938185377</v>
      </c>
      <c r="X192" s="233">
        <f>IFERROR(INDEX('Ashed teabags wet'!$K$2:$K$2000,MATCH(I192,'Ashed teabags wet'!$A$2:$A$2000,0)),"")</f>
        <v>90.300678952473106</v>
      </c>
      <c r="Y192" s="194">
        <f t="shared" si="27"/>
        <v>0.46473379860418784</v>
      </c>
      <c r="Z192" s="194">
        <f t="shared" si="27"/>
        <v>2.3899127061106279E-2</v>
      </c>
      <c r="AA192" s="194">
        <f t="shared" si="23"/>
        <v>0.73544607860967293</v>
      </c>
      <c r="AB192" s="194">
        <f t="shared" si="24"/>
        <v>0.48214517267522505</v>
      </c>
      <c r="AC192" s="194">
        <f t="shared" si="16"/>
        <v>1.2683931850761377E-2</v>
      </c>
      <c r="AD192">
        <f t="shared" si="17"/>
        <v>54</v>
      </c>
      <c r="AE192" s="194">
        <f t="shared" si="25"/>
        <v>0.12654860022604164</v>
      </c>
      <c r="AF192" s="194" t="str">
        <f t="shared" si="26"/>
        <v/>
      </c>
      <c r="AG192" s="245" t="str">
        <f>IF(ISNUMBER(SEARCH("C",'WetLitterbags placem_collection'!$X119)),"YES","NO")</f>
        <v>NO</v>
      </c>
      <c r="AH192" s="245" t="str">
        <f>IF(ISNUMBER(SEARCH("H", 'WetLitterbags placem_collection'!$X119)),"YES","NO")</f>
        <v>NO</v>
      </c>
      <c r="AI192" s="245" t="str">
        <f>IF(ISNUMBER(SEARCH("R", 'WetLitterbags placem_collection'!$X119)),"YES","NO")</f>
        <v>YES</v>
      </c>
      <c r="AJ192" s="245" t="str">
        <f>IF(ISNUMBER(SEARCH("C", 'WetLitterbags placem_collection'!$V119)),"YES","NO")</f>
        <v>NO</v>
      </c>
      <c r="AK192" s="245" t="str">
        <f>IF(ISNUMBER(SEARCH("H", 'WetLitterbags placem_collection'!$V119)),"YES","NO")</f>
        <v>YES</v>
      </c>
      <c r="AL192" s="245" t="str">
        <f>IF(ISNUMBER(SEARCH("R", 'WetLitterbags placem_collection'!$V119)),"YES","NO")</f>
        <v>YES</v>
      </c>
    </row>
    <row r="193" spans="2:38">
      <c r="B193" t="str">
        <f>Wetseason!B119</f>
        <v>Wet</v>
      </c>
      <c r="C193" s="253">
        <f>Wetseason!C119</f>
        <v>118</v>
      </c>
      <c r="D193" t="s">
        <v>3119</v>
      </c>
      <c r="E193" t="s">
        <v>22</v>
      </c>
      <c r="F193" s="375">
        <v>6</v>
      </c>
      <c r="G193" s="16">
        <f>'WetLitterbags placem_collection'!E120</f>
        <v>42762</v>
      </c>
      <c r="H193" t="str">
        <f>Wetseason!L119</f>
        <v>G681</v>
      </c>
      <c r="I193" t="str">
        <f>Wetseason!L339</f>
        <v>R495</v>
      </c>
      <c r="J193">
        <f>IFERROR(INDEX('Green_rooibos initial weight'!$C$5:$C$2000,MATCH(H193, 'Green_rooibos initial weight'!$A$5:$A$2000,0)),"")</f>
        <v>2.0790000000000002</v>
      </c>
      <c r="K193">
        <f>IFERROR(INDEX('Green_rooibos initial weight'!$C$5:$C$2000,MATCH(I193, 'Green_rooibos initial weight'!$A$5:$A$2000,0)),"")</f>
        <v>2.25</v>
      </c>
      <c r="L193" s="194">
        <f t="shared" si="18"/>
        <v>1.8292000000000002</v>
      </c>
      <c r="M193" s="194">
        <f>AVERAGE(Ashed_controlls!$K$2:$K$11)</f>
        <v>5.5147656768714146</v>
      </c>
      <c r="N193" s="194">
        <f t="shared" si="15"/>
        <v>1.7283239062386682</v>
      </c>
      <c r="O193" s="194">
        <f t="shared" si="19"/>
        <v>2.0002</v>
      </c>
      <c r="P193" s="194">
        <f>AVERAGE(Ashed_controlls!$K$12:$K$14)</f>
        <v>2.2816647271287041</v>
      </c>
      <c r="Q193" s="194">
        <f t="shared" si="20"/>
        <v>1.9545621421279717</v>
      </c>
      <c r="R193" s="16">
        <f>IF('WetLitterbags placem_collection'!G120="","",'WetLitterbags placem_collection'!G120)</f>
        <v>42816</v>
      </c>
      <c r="S193" s="194">
        <f>IFERROR(INDEX('Both teabags AfterWet'!$C$3:$C$2000,MATCH(H193,'Both teabags AfterWet'!$A$3:$A$2000,0)),"")</f>
        <v>0.56799999999999995</v>
      </c>
      <c r="T193" s="194">
        <f>IFERROR(INDEX('Both teabags AfterWet'!$C$3:$C$2000,MATCH(I193,'Both teabags AfterWet'!$A$3:$A$2000,0)),"")</f>
        <v>1.468</v>
      </c>
      <c r="U193" s="194">
        <f t="shared" si="21"/>
        <v>0.41739999999999994</v>
      </c>
      <c r="V193" s="194">
        <f t="shared" si="22"/>
        <v>1.3173999999999999</v>
      </c>
      <c r="W193" s="194">
        <f>IFERROR(INDEX('Ashed teabags wet'!$K$2:$K$2000,MATCH(H193,'Ashed teabags wet'!$A$2:$A$2000,0)),"")</f>
        <v>15.039447731755478</v>
      </c>
      <c r="X193" s="233">
        <f>IFERROR(INDEX('Ashed teabags wet'!$K$2:$K$2000,MATCH(I193,'Ashed teabags wet'!$A$2:$A$2000,0)),"")</f>
        <v>90.558576371725209</v>
      </c>
      <c r="Y193" s="194">
        <f t="shared" si="27"/>
        <v>0.35462534516765259</v>
      </c>
      <c r="Z193" s="194">
        <f t="shared" si="27"/>
        <v>0.12438131487889215</v>
      </c>
      <c r="AA193" s="194">
        <f t="shared" si="23"/>
        <v>0.79481546029215111</v>
      </c>
      <c r="AB193" s="194">
        <f t="shared" si="24"/>
        <v>0.52106666755494946</v>
      </c>
      <c r="AC193" s="194">
        <f t="shared" si="16"/>
        <v>6.3636408481479986E-2</v>
      </c>
      <c r="AD193">
        <f t="shared" si="17"/>
        <v>54</v>
      </c>
      <c r="AE193" s="194">
        <f t="shared" si="25"/>
        <v>5.6038645733787251E-2</v>
      </c>
      <c r="AF193" s="194" t="str">
        <f t="shared" si="26"/>
        <v/>
      </c>
      <c r="AG193" s="245" t="str">
        <f>IF(ISNUMBER(SEARCH("C",'WetLitterbags placem_collection'!$X120)),"YES","NO")</f>
        <v>NO</v>
      </c>
      <c r="AH193" s="245" t="str">
        <f>IF(ISNUMBER(SEARCH("H", 'WetLitterbags placem_collection'!$X120)),"YES","NO")</f>
        <v>NO</v>
      </c>
      <c r="AI193" s="245" t="str">
        <f>IF(ISNUMBER(SEARCH("R", 'WetLitterbags placem_collection'!$X120)),"YES","NO")</f>
        <v>YES</v>
      </c>
      <c r="AJ193" s="245" t="str">
        <f>IF(ISNUMBER(SEARCH("C", 'WetLitterbags placem_collection'!$V120)),"YES","NO")</f>
        <v>YES</v>
      </c>
      <c r="AK193" s="245" t="str">
        <f>IF(ISNUMBER(SEARCH("H", 'WetLitterbags placem_collection'!$V120)),"YES","NO")</f>
        <v>YES</v>
      </c>
      <c r="AL193" s="245" t="str">
        <f>IF(ISNUMBER(SEARCH("R", 'WetLitterbags placem_collection'!$V120)),"YES","NO")</f>
        <v>YES</v>
      </c>
    </row>
    <row r="194" spans="2:38">
      <c r="B194" t="str">
        <f>Wetseason!B120</f>
        <v>Wet</v>
      </c>
      <c r="C194" s="253">
        <f>Wetseason!C120</f>
        <v>119</v>
      </c>
      <c r="D194" t="s">
        <v>3119</v>
      </c>
      <c r="E194" t="s">
        <v>22</v>
      </c>
      <c r="F194" s="375">
        <v>7</v>
      </c>
      <c r="G194" s="16">
        <f>'WetLitterbags placem_collection'!E121</f>
        <v>42762</v>
      </c>
      <c r="H194" t="str">
        <f>Wetseason!L120</f>
        <v>G657</v>
      </c>
      <c r="I194" t="str">
        <f>Wetseason!L340</f>
        <v>R584</v>
      </c>
      <c r="J194">
        <f>IFERROR(INDEX('Green_rooibos initial weight'!$C$5:$C$2000,MATCH(H194, 'Green_rooibos initial weight'!$A$5:$A$2000,0)),"")</f>
        <v>1.9910000000000001</v>
      </c>
      <c r="K194">
        <f>IFERROR(INDEX('Green_rooibos initial weight'!$C$5:$C$2000,MATCH(I194, 'Green_rooibos initial weight'!$A$5:$A$2000,0)),"")</f>
        <v>2.2170000000000001</v>
      </c>
      <c r="L194" s="194">
        <f t="shared" si="18"/>
        <v>1.7412000000000001</v>
      </c>
      <c r="M194" s="194">
        <f>AVERAGE(Ashed_controlls!$K$2:$K$11)</f>
        <v>5.5147656768714146</v>
      </c>
      <c r="N194" s="194">
        <f t="shared" si="15"/>
        <v>1.645176900034315</v>
      </c>
      <c r="O194" s="194">
        <f t="shared" si="19"/>
        <v>1.9672000000000001</v>
      </c>
      <c r="P194" s="194">
        <f>AVERAGE(Ashed_controlls!$K$12:$K$14)</f>
        <v>2.2816647271287041</v>
      </c>
      <c r="Q194" s="194">
        <f t="shared" si="20"/>
        <v>1.9223150914879241</v>
      </c>
      <c r="R194" s="16">
        <f>IF('WetLitterbags placem_collection'!G121="","",'WetLitterbags placem_collection'!G121)</f>
        <v>42816</v>
      </c>
      <c r="S194" s="194">
        <f>IFERROR(INDEX('Both teabags AfterWet'!$C$3:$C$2000,MATCH(H194,'Both teabags AfterWet'!$A$3:$A$2000,0)),"")</f>
        <v>0.70099999999999996</v>
      </c>
      <c r="T194" s="194">
        <f>IFERROR(INDEX('Both teabags AfterWet'!$C$3:$C$2000,MATCH(I194,'Both teabags AfterWet'!$A$3:$A$2000,0)),"")</f>
        <v>0.435</v>
      </c>
      <c r="U194" s="194">
        <f t="shared" si="21"/>
        <v>0.5504</v>
      </c>
      <c r="V194" s="194">
        <f t="shared" si="22"/>
        <v>0.28439999999999999</v>
      </c>
      <c r="W194" s="194">
        <f>IFERROR(INDEX('Ashed teabags wet'!$K$2:$K$2000,MATCH(H194,'Ashed teabags wet'!$A$2:$A$2000,0)),"")</f>
        <v>15.711556829035821</v>
      </c>
      <c r="X194" s="233">
        <f>IFERROR(INDEX('Ashed teabags wet'!$K$2:$K$2000,MATCH(I194,'Ashed teabags wet'!$A$2:$A$2000,0)),"")</f>
        <v>0</v>
      </c>
      <c r="Y194" s="194">
        <f t="shared" si="27"/>
        <v>0.46392359121298682</v>
      </c>
      <c r="Z194" s="194">
        <f t="shared" si="27"/>
        <v>0.28439999999999999</v>
      </c>
      <c r="AA194" s="194">
        <f t="shared" si="23"/>
        <v>0.71800990446479629</v>
      </c>
      <c r="AB194" s="194">
        <f t="shared" si="24"/>
        <v>0.47071433166813254</v>
      </c>
      <c r="AC194" s="194">
        <f t="shared" si="16"/>
        <v>0.14794660940827689</v>
      </c>
      <c r="AD194">
        <f t="shared" si="17"/>
        <v>54</v>
      </c>
      <c r="AE194" s="194">
        <f t="shared" si="25"/>
        <v>0.14725664552874551</v>
      </c>
      <c r="AF194" s="194" t="str">
        <f t="shared" si="26"/>
        <v/>
      </c>
      <c r="AG194" s="245" t="str">
        <f>IF(ISNUMBER(SEARCH("C",'WetLitterbags placem_collection'!$X121)),"YES","NO")</f>
        <v>NO</v>
      </c>
      <c r="AH194" s="245" t="str">
        <f>IF(ISNUMBER(SEARCH("H", 'WetLitterbags placem_collection'!$X121)),"YES","NO")</f>
        <v>NO</v>
      </c>
      <c r="AI194" s="245" t="str">
        <f>IF(ISNUMBER(SEARCH("R", 'WetLitterbags placem_collection'!$X121)),"YES","NO")</f>
        <v>YES</v>
      </c>
      <c r="AJ194" s="245" t="str">
        <f>IF(ISNUMBER(SEARCH("C", 'WetLitterbags placem_collection'!$V121)),"YES","NO")</f>
        <v>NO</v>
      </c>
      <c r="AK194" s="245" t="str">
        <f>IF(ISNUMBER(SEARCH("H", 'WetLitterbags placem_collection'!$V121)),"YES","NO")</f>
        <v>NO</v>
      </c>
      <c r="AL194" s="245" t="str">
        <f>IF(ISNUMBER(SEARCH("R", 'WetLitterbags placem_collection'!$V121)),"YES","NO")</f>
        <v>YES</v>
      </c>
    </row>
    <row r="195" spans="2:38">
      <c r="B195" t="str">
        <f>Wetseason!B121</f>
        <v>Wet</v>
      </c>
      <c r="C195" s="253">
        <f>Wetseason!C121</f>
        <v>120</v>
      </c>
      <c r="D195" t="s">
        <v>3119</v>
      </c>
      <c r="E195" t="s">
        <v>22</v>
      </c>
      <c r="F195" s="375">
        <v>8</v>
      </c>
      <c r="G195" s="16">
        <f>'WetLitterbags placem_collection'!E122</f>
        <v>42762</v>
      </c>
      <c r="H195" t="str">
        <f>Wetseason!L121</f>
        <v>G758</v>
      </c>
      <c r="I195" t="str">
        <f>Wetseason!L341</f>
        <v>R454</v>
      </c>
      <c r="J195">
        <f>IFERROR(INDEX('Green_rooibos initial weight'!$C$5:$C$2000,MATCH(H195, 'Green_rooibos initial weight'!$A$5:$A$2000,0)),"")</f>
        <v>2.0310000000000001</v>
      </c>
      <c r="K195">
        <f>IFERROR(INDEX('Green_rooibos initial weight'!$C$5:$C$2000,MATCH(I195, 'Green_rooibos initial weight'!$A$5:$A$2000,0)),"")</f>
        <v>2.1819999999999999</v>
      </c>
      <c r="L195" s="194">
        <f t="shared" si="18"/>
        <v>1.7812000000000001</v>
      </c>
      <c r="M195" s="194">
        <f>AVERAGE(Ashed_controlls!$K$2:$K$11)</f>
        <v>5.5147656768714146</v>
      </c>
      <c r="N195" s="194">
        <f t="shared" si="15"/>
        <v>1.6829709937635664</v>
      </c>
      <c r="O195" s="194">
        <f t="shared" si="19"/>
        <v>1.9321999999999999</v>
      </c>
      <c r="P195" s="194">
        <f>AVERAGE(Ashed_controlls!$K$12:$K$14)</f>
        <v>2.2816647271287041</v>
      </c>
      <c r="Q195" s="194">
        <f t="shared" si="20"/>
        <v>1.8881136741424192</v>
      </c>
      <c r="R195" s="16">
        <f>IF('WetLitterbags placem_collection'!G122="","",'WetLitterbags placem_collection'!G122)</f>
        <v>42816</v>
      </c>
      <c r="S195" s="194">
        <f>IFERROR(INDEX('Both teabags AfterWet'!$C$3:$C$2000,MATCH(H195,'Both teabags AfterWet'!$A$3:$A$2000,0)),"")</f>
        <v>0.67110000000000003</v>
      </c>
      <c r="T195" s="194">
        <f>IFERROR(INDEX('Both teabags AfterWet'!$C$3:$C$2000,MATCH(I195,'Both teabags AfterWet'!$A$3:$A$2000,0)),"")</f>
        <v>0.3876</v>
      </c>
      <c r="U195" s="194">
        <f t="shared" si="21"/>
        <v>0.52049999999999996</v>
      </c>
      <c r="V195" s="194">
        <f t="shared" si="22"/>
        <v>0.23699999999999999</v>
      </c>
      <c r="W195" s="194">
        <f>IFERROR(INDEX('Ashed teabags wet'!$K$2:$K$2000,MATCH(H195,'Ashed teabags wet'!$A$2:$A$2000,0)),"")</f>
        <v>20.466444550213541</v>
      </c>
      <c r="X195" s="233">
        <f>IFERROR(INDEX('Ashed teabags wet'!$K$2:$K$2000,MATCH(I195,'Ashed teabags wet'!$A$2:$A$2000,0)),"")</f>
        <v>0</v>
      </c>
      <c r="Y195" s="194">
        <f t="shared" si="27"/>
        <v>0.41397215611613847</v>
      </c>
      <c r="Z195" s="194">
        <f t="shared" si="27"/>
        <v>0.23699999999999999</v>
      </c>
      <c r="AA195" s="194">
        <f t="shared" si="23"/>
        <v>0.75402300001000744</v>
      </c>
      <c r="AB195" s="194">
        <f t="shared" si="24"/>
        <v>0.49432386698993369</v>
      </c>
      <c r="AC195" s="194">
        <f t="shared" si="16"/>
        <v>0.12552210348651033</v>
      </c>
      <c r="AD195">
        <f t="shared" si="17"/>
        <v>54</v>
      </c>
      <c r="AE195" s="194">
        <f t="shared" si="25"/>
        <v>0.10448574820664192</v>
      </c>
      <c r="AF195" s="194" t="str">
        <f t="shared" si="26"/>
        <v/>
      </c>
      <c r="AG195" s="245" t="str">
        <f>IF(ISNUMBER(SEARCH("C",'WetLitterbags placem_collection'!$X122)),"YES","NO")</f>
        <v>NO</v>
      </c>
      <c r="AH195" s="245" t="str">
        <f>IF(ISNUMBER(SEARCH("H", 'WetLitterbags placem_collection'!$X122)),"YES","NO")</f>
        <v>NO</v>
      </c>
      <c r="AI195" s="245" t="str">
        <f>IF(ISNUMBER(SEARCH("R", 'WetLitterbags placem_collection'!$X122)),"YES","NO")</f>
        <v>NO</v>
      </c>
      <c r="AJ195" s="245" t="str">
        <f>IF(ISNUMBER(SEARCH("C", 'WetLitterbags placem_collection'!$V122)),"YES","NO")</f>
        <v>NO</v>
      </c>
      <c r="AK195" s="245" t="str">
        <f>IF(ISNUMBER(SEARCH("H", 'WetLitterbags placem_collection'!$V122)),"YES","NO")</f>
        <v>YES</v>
      </c>
      <c r="AL195" s="245" t="str">
        <f>IF(ISNUMBER(SEARCH("R", 'WetLitterbags placem_collection'!$V122)),"YES","NO")</f>
        <v>NO</v>
      </c>
    </row>
    <row r="196" spans="2:38">
      <c r="B196" t="str">
        <f>Wetseason!B122</f>
        <v>Wet</v>
      </c>
      <c r="C196" s="253">
        <f>Wetseason!C122</f>
        <v>121</v>
      </c>
      <c r="D196" t="s">
        <v>3120</v>
      </c>
      <c r="E196" t="s">
        <v>22</v>
      </c>
      <c r="F196" s="374">
        <v>1</v>
      </c>
      <c r="G196" s="16">
        <f>'WetLitterbags placem_collection'!E123</f>
        <v>42762</v>
      </c>
      <c r="H196" t="str">
        <f>Wetseason!L122</f>
        <v>G666</v>
      </c>
      <c r="I196" t="str">
        <f>Wetseason!L342</f>
        <v>R532</v>
      </c>
      <c r="J196">
        <f>IFERROR(INDEX('Green_rooibos initial weight'!$C$5:$C$2000,MATCH(H196, 'Green_rooibos initial weight'!$A$5:$A$2000,0)),"")</f>
        <v>2.0819999999999999</v>
      </c>
      <c r="K196">
        <f>IFERROR(INDEX('Green_rooibos initial weight'!$C$5:$C$2000,MATCH(I196, 'Green_rooibos initial weight'!$A$5:$A$2000,0)),"")</f>
        <v>2.19</v>
      </c>
      <c r="L196" s="194">
        <f t="shared" si="18"/>
        <v>1.8321999999999998</v>
      </c>
      <c r="M196" s="194">
        <f>AVERAGE(Ashed_controlls!$K$2:$K$11)</f>
        <v>5.5147656768714146</v>
      </c>
      <c r="N196" s="194">
        <f t="shared" si="15"/>
        <v>1.7311584632683619</v>
      </c>
      <c r="O196" s="194">
        <f t="shared" si="19"/>
        <v>1.9401999999999999</v>
      </c>
      <c r="P196" s="194">
        <f>AVERAGE(Ashed_controlls!$K$12:$K$14)</f>
        <v>2.2816647271287041</v>
      </c>
      <c r="Q196" s="194">
        <f t="shared" si="20"/>
        <v>1.8959311409642488</v>
      </c>
      <c r="R196" s="16">
        <f>IF('WetLitterbags placem_collection'!G123="","",'WetLitterbags placem_collection'!G123)</f>
        <v>42816</v>
      </c>
      <c r="S196" s="194">
        <f>IFERROR(INDEX('Both teabags AfterWet'!$C$3:$C$2000,MATCH(H196,'Both teabags AfterWet'!$A$3:$A$2000,0)),"")</f>
        <v>0.63500000000000001</v>
      </c>
      <c r="T196" s="194">
        <f>IFERROR(INDEX('Both teabags AfterWet'!$C$3:$C$2000,MATCH(I196,'Both teabags AfterWet'!$A$3:$A$2000,0)),"")</f>
        <v>1.7050000000000001</v>
      </c>
      <c r="U196" s="194">
        <f t="shared" si="21"/>
        <v>0.4844</v>
      </c>
      <c r="V196" s="194">
        <f t="shared" si="22"/>
        <v>1.5544</v>
      </c>
      <c r="W196" s="194">
        <f>IFERROR(INDEX('Ashed teabags wet'!$K$2:$K$2000,MATCH(H196,'Ashed teabags wet'!$A$2:$A$2000,0)),"")</f>
        <v>11.971153846154037</v>
      </c>
      <c r="X196" s="233">
        <f>IFERROR(INDEX('Ashed teabags wet'!$K$2:$K$2000,MATCH(I196,'Ashed teabags wet'!$A$2:$A$2000,0)),"")</f>
        <v>7.423795476892864</v>
      </c>
      <c r="Y196" s="194">
        <f t="shared" si="27"/>
        <v>0.42641173076922984</v>
      </c>
      <c r="Z196" s="194">
        <f t="shared" si="27"/>
        <v>1.4390045231071773</v>
      </c>
      <c r="AA196" s="194">
        <f t="shared" si="23"/>
        <v>0.75368417171690882</v>
      </c>
      <c r="AB196" s="194">
        <f t="shared" si="24"/>
        <v>0.49410173727759349</v>
      </c>
      <c r="AC196" s="194">
        <f t="shared" si="16"/>
        <v>0.75899619559775577</v>
      </c>
      <c r="AD196">
        <f t="shared" si="17"/>
        <v>54</v>
      </c>
      <c r="AE196" s="194">
        <f t="shared" si="25"/>
        <v>0.10488815710580901</v>
      </c>
      <c r="AF196" s="194">
        <f t="shared" si="26"/>
        <v>1.2388239659209656E-2</v>
      </c>
      <c r="AG196" s="245" t="str">
        <f>IF(ISNUMBER(SEARCH("C",'WetLitterbags placem_collection'!$X123)),"YES","NO")</f>
        <v>NO</v>
      </c>
      <c r="AH196" s="245" t="str">
        <f>IF(ISNUMBER(SEARCH("H", 'WetLitterbags placem_collection'!$X123)),"YES","NO")</f>
        <v>NO</v>
      </c>
      <c r="AI196" s="245" t="str">
        <f>IF(ISNUMBER(SEARCH("R", 'WetLitterbags placem_collection'!$X123)),"YES","NO")</f>
        <v>YES</v>
      </c>
      <c r="AJ196" s="245" t="str">
        <f>IF(ISNUMBER(SEARCH("C", 'WetLitterbags placem_collection'!$V123)),"YES","NO")</f>
        <v>NO</v>
      </c>
      <c r="AK196" s="245" t="str">
        <f>IF(ISNUMBER(SEARCH("H", 'WetLitterbags placem_collection'!$V123)),"YES","NO")</f>
        <v>NO</v>
      </c>
      <c r="AL196" s="245" t="str">
        <f>IF(ISNUMBER(SEARCH("R", 'WetLitterbags placem_collection'!$V123)),"YES","NO")</f>
        <v>YES</v>
      </c>
    </row>
    <row r="197" spans="2:38">
      <c r="B197" t="str">
        <f>Wetseason!B123</f>
        <v>Wet</v>
      </c>
      <c r="C197" s="253">
        <f>Wetseason!C123</f>
        <v>122</v>
      </c>
      <c r="D197" t="s">
        <v>3120</v>
      </c>
      <c r="E197" t="s">
        <v>22</v>
      </c>
      <c r="F197" s="374">
        <v>2</v>
      </c>
      <c r="G197" s="16">
        <f>'WetLitterbags placem_collection'!E124</f>
        <v>42762</v>
      </c>
      <c r="H197" t="str">
        <f>Wetseason!L123</f>
        <v>G860</v>
      </c>
      <c r="I197" t="str">
        <f>Wetseason!L343</f>
        <v>R11</v>
      </c>
      <c r="J197">
        <f>IFERROR(INDEX('Green_rooibos initial weight'!$C$5:$C$2000,MATCH(H197, 'Green_rooibos initial weight'!$A$5:$A$2000,0)),"")</f>
        <v>1.9570000000000001</v>
      </c>
      <c r="K197">
        <f>IFERROR(INDEX('Green_rooibos initial weight'!$C$5:$C$2000,MATCH(I197, 'Green_rooibos initial weight'!$A$5:$A$2000,0)),"")</f>
        <v>2.2160000000000002</v>
      </c>
      <c r="L197" s="194">
        <f t="shared" si="18"/>
        <v>1.7072000000000001</v>
      </c>
      <c r="M197" s="194">
        <f>AVERAGE(Ashed_controlls!$K$2:$K$11)</f>
        <v>5.5147656768714146</v>
      </c>
      <c r="N197" s="194">
        <f t="shared" si="15"/>
        <v>1.6130519203644513</v>
      </c>
      <c r="O197" s="194">
        <f t="shared" si="19"/>
        <v>1.9662000000000002</v>
      </c>
      <c r="P197" s="194">
        <f>AVERAGE(Ashed_controlls!$K$12:$K$14)</f>
        <v>2.2816647271287041</v>
      </c>
      <c r="Q197" s="194">
        <f t="shared" si="20"/>
        <v>1.9213379081351956</v>
      </c>
      <c r="R197" s="16">
        <f>IF('WetLitterbags placem_collection'!G124="","",'WetLitterbags placem_collection'!G124)</f>
        <v>42816</v>
      </c>
      <c r="S197" s="194">
        <f>IFERROR(INDEX('Both teabags AfterWet'!$C$3:$C$2000,MATCH(H197,'Both teabags AfterWet'!$A$3:$A$2000,0)),"")</f>
        <v>0.76800000000000002</v>
      </c>
      <c r="T197" s="194">
        <f>IFERROR(INDEX('Both teabags AfterWet'!$C$3:$C$2000,MATCH(I197,'Both teabags AfterWet'!$A$3:$A$2000,0)),"")</f>
        <v>1.25</v>
      </c>
      <c r="U197" s="194">
        <f t="shared" si="21"/>
        <v>0.61739999999999995</v>
      </c>
      <c r="V197" s="194">
        <f t="shared" si="22"/>
        <v>1.0993999999999999</v>
      </c>
      <c r="W197" s="194">
        <f>IFERROR(INDEX('Ashed teabags wet'!$K$2:$K$2000,MATCH(H197,'Ashed teabags wet'!$A$2:$A$2000,0)),"")</f>
        <v>32.606541129831015</v>
      </c>
      <c r="X197" s="233">
        <f>IFERROR(INDEX('Ashed teabags wet'!$K$2:$K$2000,MATCH(I197,'Ashed teabags wet'!$A$2:$A$2000,0)),"")</f>
        <v>8.4720121028745492</v>
      </c>
      <c r="Y197" s="194">
        <f t="shared" si="27"/>
        <v>0.41608721506442325</v>
      </c>
      <c r="Z197" s="194">
        <f t="shared" si="27"/>
        <v>1.0062586989409972</v>
      </c>
      <c r="AA197" s="194">
        <f t="shared" si="23"/>
        <v>0.74204970725901187</v>
      </c>
      <c r="AB197" s="194">
        <f t="shared" si="24"/>
        <v>0.48647439240733326</v>
      </c>
      <c r="AC197" s="194">
        <f t="shared" si="16"/>
        <v>0.52372812438684857</v>
      </c>
      <c r="AD197">
        <f t="shared" si="17"/>
        <v>54</v>
      </c>
      <c r="AE197" s="194">
        <f t="shared" si="25"/>
        <v>0.1187058108562804</v>
      </c>
      <c r="AF197" s="194">
        <f t="shared" si="26"/>
        <v>7.1565737583185879E-2</v>
      </c>
      <c r="AG197" s="245" t="str">
        <f>IF(ISNUMBER(SEARCH("C",'WetLitterbags placem_collection'!$X124)),"YES","NO")</f>
        <v>NO</v>
      </c>
      <c r="AH197" s="245" t="str">
        <f>IF(ISNUMBER(SEARCH("H", 'WetLitterbags placem_collection'!$X124)),"YES","NO")</f>
        <v>NO</v>
      </c>
      <c r="AI197" s="245" t="str">
        <f>IF(ISNUMBER(SEARCH("R", 'WetLitterbags placem_collection'!$X124)),"YES","NO")</f>
        <v>YES</v>
      </c>
      <c r="AJ197" s="245" t="str">
        <f>IF(ISNUMBER(SEARCH("C", 'WetLitterbags placem_collection'!$V124)),"YES","NO")</f>
        <v>NO</v>
      </c>
      <c r="AK197" s="245" t="str">
        <f>IF(ISNUMBER(SEARCH("H", 'WetLitterbags placem_collection'!$V124)),"YES","NO")</f>
        <v>YES</v>
      </c>
      <c r="AL197" s="245" t="str">
        <f>IF(ISNUMBER(SEARCH("R", 'WetLitterbags placem_collection'!$V124)),"YES","NO")</f>
        <v>YES</v>
      </c>
    </row>
    <row r="198" spans="2:38">
      <c r="B198" t="str">
        <f>Wetseason!B124</f>
        <v>Wet</v>
      </c>
      <c r="C198" s="253">
        <f>Wetseason!C124</f>
        <v>123</v>
      </c>
      <c r="D198" t="s">
        <v>3120</v>
      </c>
      <c r="E198" t="s">
        <v>22</v>
      </c>
      <c r="F198" s="374">
        <v>3</v>
      </c>
      <c r="G198" s="16">
        <f>'WetLitterbags placem_collection'!E125</f>
        <v>42762</v>
      </c>
      <c r="H198" t="str">
        <f>Wetseason!L124</f>
        <v>G694</v>
      </c>
      <c r="I198" t="str">
        <f>Wetseason!L344</f>
        <v>R575</v>
      </c>
      <c r="J198">
        <f>IFERROR(INDEX('Green_rooibos initial weight'!$C$5:$C$2000,MATCH(H198, 'Green_rooibos initial weight'!$A$5:$A$2000,0)),"")</f>
        <v>1.992</v>
      </c>
      <c r="K198">
        <f>IFERROR(INDEX('Green_rooibos initial weight'!$C$5:$C$2000,MATCH(I198, 'Green_rooibos initial weight'!$A$5:$A$2000,0)),"")</f>
        <v>2.0990000000000002</v>
      </c>
      <c r="L198" s="194">
        <f t="shared" si="18"/>
        <v>1.7422</v>
      </c>
      <c r="M198" s="194">
        <f>AVERAGE(Ashed_controlls!$K$2:$K$11)</f>
        <v>5.5147656768714146</v>
      </c>
      <c r="N198" s="194">
        <f t="shared" si="15"/>
        <v>1.6461217523775462</v>
      </c>
      <c r="O198" s="194">
        <f t="shared" si="19"/>
        <v>1.8492000000000002</v>
      </c>
      <c r="P198" s="194">
        <f>AVERAGE(Ashed_controlls!$K$12:$K$14)</f>
        <v>2.2816647271287041</v>
      </c>
      <c r="Q198" s="194">
        <f t="shared" si="20"/>
        <v>1.8070074558659361</v>
      </c>
      <c r="R198" s="16">
        <f>IF('WetLitterbags placem_collection'!G125="","",'WetLitterbags placem_collection'!G125)</f>
        <v>42816</v>
      </c>
      <c r="S198" s="194">
        <f>IFERROR(INDEX('Both teabags AfterWet'!$C$3:$C$2000,MATCH(H198,'Both teabags AfterWet'!$A$3:$A$2000,0)),"")</f>
        <v>0.622</v>
      </c>
      <c r="T198" s="194">
        <f>IFERROR(INDEX('Both teabags AfterWet'!$C$3:$C$2000,MATCH(I198,'Both teabags AfterWet'!$A$3:$A$2000,0)),"")</f>
        <v>1.6872</v>
      </c>
      <c r="U198" s="194">
        <f t="shared" si="21"/>
        <v>0.47139999999999999</v>
      </c>
      <c r="V198" s="194">
        <f t="shared" si="22"/>
        <v>1.5366</v>
      </c>
      <c r="W198" s="194">
        <f>IFERROR(INDEX('Ashed teabags wet'!$K$2:$K$2000,MATCH(H198,'Ashed teabags wet'!$A$2:$A$2000,0)),"")</f>
        <v>15.574174470182131</v>
      </c>
      <c r="X198" s="233">
        <f>IFERROR(INDEX('Ashed teabags wet'!$K$2:$K$2000,MATCH(I198,'Ashed teabags wet'!$A$2:$A$2000,0)),"")</f>
        <v>26.082677165354383</v>
      </c>
      <c r="Y198" s="194">
        <f t="shared" si="27"/>
        <v>0.39798334154756143</v>
      </c>
      <c r="Z198" s="194">
        <f t="shared" si="27"/>
        <v>1.1358135826771645</v>
      </c>
      <c r="AA198" s="194">
        <f t="shared" si="23"/>
        <v>0.75822970507938348</v>
      </c>
      <c r="AB198" s="194">
        <f t="shared" si="24"/>
        <v>0.49708170689289755</v>
      </c>
      <c r="AC198" s="194">
        <f t="shared" si="16"/>
        <v>0.62856054024020125</v>
      </c>
      <c r="AD198">
        <f t="shared" si="17"/>
        <v>54</v>
      </c>
      <c r="AE198" s="194">
        <f t="shared" si="25"/>
        <v>9.9489661425910314E-2</v>
      </c>
      <c r="AF198" s="194">
        <f t="shared" si="26"/>
        <v>2.5468812088328466E-2</v>
      </c>
      <c r="AG198" s="245" t="str">
        <f>IF(ISNUMBER(SEARCH("C",'WetLitterbags placem_collection'!$X125)),"YES","NO")</f>
        <v>NO</v>
      </c>
      <c r="AH198" s="245" t="str">
        <f>IF(ISNUMBER(SEARCH("H", 'WetLitterbags placem_collection'!$X125)),"YES","NO")</f>
        <v>NO</v>
      </c>
      <c r="AI198" s="245" t="str">
        <f>IF(ISNUMBER(SEARCH("R", 'WetLitterbags placem_collection'!$X125)),"YES","NO")</f>
        <v>NO</v>
      </c>
      <c r="AJ198" s="245" t="str">
        <f>IF(ISNUMBER(SEARCH("C", 'WetLitterbags placem_collection'!$V125)),"YES","NO")</f>
        <v>NO</v>
      </c>
      <c r="AK198" s="245" t="str">
        <f>IF(ISNUMBER(SEARCH("H", 'WetLitterbags placem_collection'!$V125)),"YES","NO")</f>
        <v>NO</v>
      </c>
      <c r="AL198" s="245" t="str">
        <f>IF(ISNUMBER(SEARCH("R", 'WetLitterbags placem_collection'!$V125)),"YES","NO")</f>
        <v>YES</v>
      </c>
    </row>
    <row r="199" spans="2:38">
      <c r="B199" t="str">
        <f>Wetseason!B125</f>
        <v>Wet</v>
      </c>
      <c r="C199" s="253">
        <f>Wetseason!C125</f>
        <v>124</v>
      </c>
      <c r="D199" t="s">
        <v>3120</v>
      </c>
      <c r="E199" t="s">
        <v>22</v>
      </c>
      <c r="F199" s="375">
        <v>4</v>
      </c>
      <c r="G199" s="16">
        <f>'WetLitterbags placem_collection'!E126</f>
        <v>42762</v>
      </c>
      <c r="H199" t="str">
        <f>Wetseason!L125</f>
        <v>G867</v>
      </c>
      <c r="I199" t="str">
        <f>Wetseason!L345</f>
        <v>R39</v>
      </c>
      <c r="J199">
        <f>IFERROR(INDEX('Green_rooibos initial weight'!$C$5:$C$2000,MATCH(H199, 'Green_rooibos initial weight'!$A$5:$A$2000,0)),"")</f>
        <v>1.907</v>
      </c>
      <c r="K199">
        <f>IFERROR(INDEX('Green_rooibos initial weight'!$C$5:$C$2000,MATCH(I199, 'Green_rooibos initial weight'!$A$5:$A$2000,0)),"")</f>
        <v>2.1429999999999998</v>
      </c>
      <c r="L199" s="194">
        <f t="shared" si="18"/>
        <v>1.6572</v>
      </c>
      <c r="M199" s="194">
        <f>AVERAGE(Ashed_controlls!$K$2:$K$11)</f>
        <v>5.5147656768714146</v>
      </c>
      <c r="N199" s="194">
        <f t="shared" si="15"/>
        <v>1.565809303202887</v>
      </c>
      <c r="O199" s="194">
        <f t="shared" si="19"/>
        <v>1.8931999999999998</v>
      </c>
      <c r="P199" s="194">
        <f>AVERAGE(Ashed_controlls!$K$12:$K$14)</f>
        <v>2.2816647271287041</v>
      </c>
      <c r="Q199" s="194">
        <f t="shared" si="20"/>
        <v>1.850003523385999</v>
      </c>
      <c r="R199" s="16">
        <f>IF('WetLitterbags placem_collection'!G126="","",'WetLitterbags placem_collection'!G126)</f>
        <v>42816</v>
      </c>
      <c r="S199" s="194">
        <f>IFERROR(INDEX('Both teabags AfterWet'!$C$3:$C$2000,MATCH(H199,'Both teabags AfterWet'!$A$3:$A$2000,0)),"")</f>
        <v>0.84799999999999998</v>
      </c>
      <c r="T199" s="194">
        <f>IFERROR(INDEX('Both teabags AfterWet'!$C$3:$C$2000,MATCH(I199,'Both teabags AfterWet'!$A$3:$A$2000,0)),"")</f>
        <v>1.4910000000000001</v>
      </c>
      <c r="U199" s="194">
        <f t="shared" si="21"/>
        <v>0.69740000000000002</v>
      </c>
      <c r="V199" s="194">
        <f t="shared" si="22"/>
        <v>1.3404</v>
      </c>
      <c r="W199" s="194">
        <f>IFERROR(INDEX('Ashed teabags wet'!$K$2:$K$2000,MATCH(H199,'Ashed teabags wet'!$A$2:$A$2000,0)),"")</f>
        <v>31.594202898550535</v>
      </c>
      <c r="X199" s="233">
        <f>IFERROR(INDEX('Ashed teabags wet'!$K$2:$K$2000,MATCH(I199,'Ashed teabags wet'!$A$2:$A$2000,0)),"")</f>
        <v>7.1782178217821846</v>
      </c>
      <c r="Y199" s="194">
        <f t="shared" si="27"/>
        <v>0.47706202898550859</v>
      </c>
      <c r="Z199" s="194">
        <f t="shared" si="27"/>
        <v>1.2441831683168316</v>
      </c>
      <c r="AA199" s="194">
        <f t="shared" si="23"/>
        <v>0.69532558785436338</v>
      </c>
      <c r="AB199" s="194">
        <f t="shared" si="24"/>
        <v>0.45584290320143539</v>
      </c>
      <c r="AC199" s="194">
        <f t="shared" si="16"/>
        <v>0.67253016147755496</v>
      </c>
      <c r="AD199">
        <f t="shared" si="17"/>
        <v>54</v>
      </c>
      <c r="AE199" s="194">
        <f t="shared" si="25"/>
        <v>0.17419763912783448</v>
      </c>
      <c r="AF199" s="194">
        <f t="shared" si="26"/>
        <v>2.346680827828794E-2</v>
      </c>
      <c r="AG199" s="245" t="str">
        <f>IF(ISNUMBER(SEARCH("C",'WetLitterbags placem_collection'!$X126)),"YES","NO")</f>
        <v>NO</v>
      </c>
      <c r="AH199" s="245" t="str">
        <f>IF(ISNUMBER(SEARCH("H", 'WetLitterbags placem_collection'!$X126)),"YES","NO")</f>
        <v>NO</v>
      </c>
      <c r="AI199" s="245" t="str">
        <f>IF(ISNUMBER(SEARCH("R", 'WetLitterbags placem_collection'!$X126)),"YES","NO")</f>
        <v>NO</v>
      </c>
      <c r="AJ199" s="245" t="str">
        <f>IF(ISNUMBER(SEARCH("C", 'WetLitterbags placem_collection'!$V126)),"YES","NO")</f>
        <v>NO</v>
      </c>
      <c r="AK199" s="245" t="str">
        <f>IF(ISNUMBER(SEARCH("H", 'WetLitterbags placem_collection'!$V126)),"YES","NO")</f>
        <v>YES</v>
      </c>
      <c r="AL199" s="245" t="str">
        <f>IF(ISNUMBER(SEARCH("R", 'WetLitterbags placem_collection'!$V126)),"YES","NO")</f>
        <v>YES</v>
      </c>
    </row>
    <row r="200" spans="2:38">
      <c r="B200" t="str">
        <f>Wetseason!B126</f>
        <v>Wet</v>
      </c>
      <c r="C200" s="253">
        <f>Wetseason!C126</f>
        <v>125</v>
      </c>
      <c r="D200" t="s">
        <v>3120</v>
      </c>
      <c r="E200" t="s">
        <v>22</v>
      </c>
      <c r="F200" s="375">
        <v>5</v>
      </c>
      <c r="G200" s="16">
        <f>'WetLitterbags placem_collection'!E127</f>
        <v>42762</v>
      </c>
      <c r="H200" t="str">
        <f>Wetseason!L126</f>
        <v>G793</v>
      </c>
      <c r="I200" t="str">
        <f>Wetseason!L346</f>
        <v>R560</v>
      </c>
      <c r="J200">
        <f>IFERROR(INDEX('Green_rooibos initial weight'!$C$5:$C$2000,MATCH(H200, 'Green_rooibos initial weight'!$A$5:$A$2000,0)),"")</f>
        <v>2.0459999999999998</v>
      </c>
      <c r="K200">
        <f>IFERROR(INDEX('Green_rooibos initial weight'!$C$5:$C$2000,MATCH(I200, 'Green_rooibos initial weight'!$A$5:$A$2000,0)),"")</f>
        <v>2.157</v>
      </c>
      <c r="L200" s="194">
        <f t="shared" si="18"/>
        <v>1.7961999999999998</v>
      </c>
      <c r="M200" s="194">
        <f>AVERAGE(Ashed_controlls!$K$2:$K$11)</f>
        <v>5.5147656768714146</v>
      </c>
      <c r="N200" s="194">
        <f t="shared" si="15"/>
        <v>1.6971437789120354</v>
      </c>
      <c r="O200" s="194">
        <f t="shared" si="19"/>
        <v>1.9072</v>
      </c>
      <c r="P200" s="194">
        <f>AVERAGE(Ashed_controlls!$K$12:$K$14)</f>
        <v>2.2816647271287041</v>
      </c>
      <c r="Q200" s="194">
        <f t="shared" si="20"/>
        <v>1.8636840903242013</v>
      </c>
      <c r="R200" s="16">
        <f>IF('WetLitterbags placem_collection'!G127="","",'WetLitterbags placem_collection'!G127)</f>
        <v>42816</v>
      </c>
      <c r="S200" s="194">
        <f>IFERROR(INDEX('Both teabags AfterWet'!$C$3:$C$2000,MATCH(H200,'Both teabags AfterWet'!$A$3:$A$2000,0)),"")</f>
        <v>0.77200000000000002</v>
      </c>
      <c r="T200" s="194">
        <f>IFERROR(INDEX('Both teabags AfterWet'!$C$3:$C$2000,MATCH(I200,'Both teabags AfterWet'!$A$3:$A$2000,0)),"")</f>
        <v>1.254</v>
      </c>
      <c r="U200" s="194">
        <f t="shared" si="21"/>
        <v>0.62139999999999995</v>
      </c>
      <c r="V200" s="194">
        <f t="shared" si="22"/>
        <v>1.1033999999999999</v>
      </c>
      <c r="W200" s="194">
        <f>IFERROR(INDEX('Ashed teabags wet'!$K$2:$K$2000,MATCH(H200,'Ashed teabags wet'!$A$2:$A$2000,0)),"")</f>
        <v>27.918529557873711</v>
      </c>
      <c r="X200" s="233">
        <f>IFERROR(INDEX('Ashed teabags wet'!$K$2:$K$2000,MATCH(I200,'Ashed teabags wet'!$A$2:$A$2000,0)),"")</f>
        <v>92.570579494799119</v>
      </c>
      <c r="Y200" s="194">
        <f t="shared" si="27"/>
        <v>0.44791425732737272</v>
      </c>
      <c r="Z200" s="194">
        <f t="shared" si="27"/>
        <v>8.1976225854386575E-2</v>
      </c>
      <c r="AA200" s="194">
        <f t="shared" si="23"/>
        <v>0.73607760114790577</v>
      </c>
      <c r="AB200" s="194">
        <f t="shared" si="24"/>
        <v>0.48255918745088366</v>
      </c>
      <c r="AC200" s="194">
        <f t="shared" si="16"/>
        <v>4.3986116681463017E-2</v>
      </c>
      <c r="AD200">
        <f t="shared" si="17"/>
        <v>54</v>
      </c>
      <c r="AE200" s="194">
        <f t="shared" si="25"/>
        <v>0.12579857345854417</v>
      </c>
      <c r="AF200" s="194" t="str">
        <f t="shared" si="26"/>
        <v/>
      </c>
      <c r="AG200" s="245" t="str">
        <f>IF(ISNUMBER(SEARCH("C",'WetLitterbags placem_collection'!$X127)),"YES","NO")</f>
        <v>NO</v>
      </c>
      <c r="AH200" s="245" t="str">
        <f>IF(ISNUMBER(SEARCH("H", 'WetLitterbags placem_collection'!$X127)),"YES","NO")</f>
        <v>NO</v>
      </c>
      <c r="AI200" s="245" t="str">
        <f>IF(ISNUMBER(SEARCH("R", 'WetLitterbags placem_collection'!$X127)),"YES","NO")</f>
        <v>YES</v>
      </c>
      <c r="AJ200" s="245" t="str">
        <f>IF(ISNUMBER(SEARCH("C", 'WetLitterbags placem_collection'!$V127)),"YES","NO")</f>
        <v>NO</v>
      </c>
      <c r="AK200" s="245" t="str">
        <f>IF(ISNUMBER(SEARCH("H", 'WetLitterbags placem_collection'!$V127)),"YES","NO")</f>
        <v>YES</v>
      </c>
      <c r="AL200" s="245" t="str">
        <f>IF(ISNUMBER(SEARCH("R", 'WetLitterbags placem_collection'!$V127)),"YES","NO")</f>
        <v>YES</v>
      </c>
    </row>
    <row r="201" spans="2:38">
      <c r="B201" t="str">
        <f>Wetseason!B127</f>
        <v>Wet</v>
      </c>
      <c r="C201" s="253">
        <f>Wetseason!C127</f>
        <v>126</v>
      </c>
      <c r="D201" t="s">
        <v>3120</v>
      </c>
      <c r="E201" t="s">
        <v>22</v>
      </c>
      <c r="F201" s="375">
        <v>6</v>
      </c>
      <c r="G201" s="16">
        <f>'WetLitterbags placem_collection'!E128</f>
        <v>42762</v>
      </c>
      <c r="H201" t="str">
        <f>Wetseason!L127</f>
        <v>G749</v>
      </c>
      <c r="I201" t="str">
        <f>Wetseason!L347</f>
        <v>R562</v>
      </c>
      <c r="J201">
        <f>IFERROR(INDEX('Green_rooibos initial weight'!$C$5:$C$2000,MATCH(H201, 'Green_rooibos initial weight'!$A$5:$A$2000,0)),"")</f>
        <v>2.0179999999999998</v>
      </c>
      <c r="K201">
        <f>IFERROR(INDEX('Green_rooibos initial weight'!$C$5:$C$2000,MATCH(I201, 'Green_rooibos initial weight'!$A$5:$A$2000,0)),"")</f>
        <v>2.2810000000000001</v>
      </c>
      <c r="L201" s="194">
        <f t="shared" si="18"/>
        <v>1.7681999999999998</v>
      </c>
      <c r="M201" s="194">
        <f>AVERAGE(Ashed_controlls!$K$2:$K$11)</f>
        <v>5.5147656768714146</v>
      </c>
      <c r="N201" s="194">
        <f t="shared" si="15"/>
        <v>1.6706879133015595</v>
      </c>
      <c r="O201" s="194">
        <f t="shared" si="19"/>
        <v>2.0312000000000001</v>
      </c>
      <c r="P201" s="194">
        <f>AVERAGE(Ashed_controlls!$K$12:$K$14)</f>
        <v>2.2816647271287041</v>
      </c>
      <c r="Q201" s="194">
        <f t="shared" si="20"/>
        <v>1.9848548260625618</v>
      </c>
      <c r="R201" s="16">
        <f>IF('WetLitterbags placem_collection'!G128="","",'WetLitterbags placem_collection'!G128)</f>
        <v>42816</v>
      </c>
      <c r="S201" s="194">
        <f>IFERROR(INDEX('Both teabags AfterWet'!$C$3:$C$2000,MATCH(H201,'Both teabags AfterWet'!$A$3:$A$2000,0)),"")</f>
        <v>0.67800000000000005</v>
      </c>
      <c r="T201" s="194">
        <f>IFERROR(INDEX('Both teabags AfterWet'!$C$3:$C$2000,MATCH(I201,'Both teabags AfterWet'!$A$3:$A$2000,0)),"")</f>
        <v>0.17599999999999999</v>
      </c>
      <c r="U201" s="194">
        <f t="shared" si="21"/>
        <v>0.52740000000000009</v>
      </c>
      <c r="V201" s="194">
        <f t="shared" si="22"/>
        <v>2.5399999999999978E-2</v>
      </c>
      <c r="W201" s="194">
        <f>IFERROR(INDEX('Ashed teabags wet'!$K$2:$K$2000,MATCH(H201,'Ashed teabags wet'!$A$2:$A$2000,0)),"")</f>
        <v>14.484818317570399</v>
      </c>
      <c r="X201" s="233">
        <f>IFERROR(INDEX('Ashed teabags wet'!$K$2:$K$2000,MATCH(I201,'Ashed teabags wet'!$A$2:$A$2000,0)),"")</f>
        <v>0</v>
      </c>
      <c r="Y201" s="194">
        <f t="shared" si="27"/>
        <v>0.4510070681931338</v>
      </c>
      <c r="Z201" s="194">
        <f t="shared" si="27"/>
        <v>2.5399999999999978E-2</v>
      </c>
      <c r="AA201" s="194">
        <f t="shared" si="23"/>
        <v>0.73004708742887336</v>
      </c>
      <c r="AB201" s="194">
        <f t="shared" si="24"/>
        <v>0.47860569152106669</v>
      </c>
      <c r="AC201" s="194">
        <f t="shared" si="16"/>
        <v>1.2796905681201383E-2</v>
      </c>
      <c r="AD201">
        <f t="shared" si="17"/>
        <v>54</v>
      </c>
      <c r="AE201" s="194">
        <f t="shared" si="25"/>
        <v>0.13296070376618363</v>
      </c>
      <c r="AF201" s="194" t="str">
        <f t="shared" si="26"/>
        <v/>
      </c>
      <c r="AG201" s="245" t="str">
        <f>IF(ISNUMBER(SEARCH("C",'WetLitterbags placem_collection'!$X128)),"YES","NO")</f>
        <v>NO</v>
      </c>
      <c r="AH201" s="245" t="str">
        <f>IF(ISNUMBER(SEARCH("H", 'WetLitterbags placem_collection'!$X128)),"YES","NO")</f>
        <v>NO</v>
      </c>
      <c r="AI201" s="245" t="str">
        <f>IF(ISNUMBER(SEARCH("R", 'WetLitterbags placem_collection'!$X128)),"YES","NO")</f>
        <v>YES</v>
      </c>
      <c r="AJ201" s="245" t="str">
        <f>IF(ISNUMBER(SEARCH("C", 'WetLitterbags placem_collection'!$V128)),"YES","NO")</f>
        <v>NO</v>
      </c>
      <c r="AK201" s="245" t="str">
        <f>IF(ISNUMBER(SEARCH("H", 'WetLitterbags placem_collection'!$V128)),"YES","NO")</f>
        <v>YES</v>
      </c>
      <c r="AL201" s="245" t="str">
        <f>IF(ISNUMBER(SEARCH("R", 'WetLitterbags placem_collection'!$V128)),"YES","NO")</f>
        <v>YES</v>
      </c>
    </row>
    <row r="202" spans="2:38">
      <c r="B202" t="str">
        <f>Wetseason!B128</f>
        <v>Wet</v>
      </c>
      <c r="C202" s="253">
        <f>Wetseason!C128</f>
        <v>127</v>
      </c>
      <c r="D202" t="s">
        <v>3120</v>
      </c>
      <c r="E202" t="s">
        <v>22</v>
      </c>
      <c r="F202" s="375">
        <v>7</v>
      </c>
      <c r="G202" s="16">
        <f>'WetLitterbags placem_collection'!E129</f>
        <v>42762</v>
      </c>
      <c r="H202" t="str">
        <f>Wetseason!L128</f>
        <v>G898</v>
      </c>
      <c r="I202" t="str">
        <f>Wetseason!L348</f>
        <v>R506</v>
      </c>
      <c r="J202">
        <f>IFERROR(INDEX('Green_rooibos initial weight'!$C$5:$C$2000,MATCH(H202, 'Green_rooibos initial weight'!$A$5:$A$2000,0)),"")</f>
        <v>1.893</v>
      </c>
      <c r="K202">
        <f>IFERROR(INDEX('Green_rooibos initial weight'!$C$5:$C$2000,MATCH(I202, 'Green_rooibos initial weight'!$A$5:$A$2000,0)),"")</f>
        <v>2.1579999999999999</v>
      </c>
      <c r="L202" s="194">
        <f t="shared" si="18"/>
        <v>1.6432</v>
      </c>
      <c r="M202" s="194">
        <f>AVERAGE(Ashed_controlls!$K$2:$K$11)</f>
        <v>5.5147656768714146</v>
      </c>
      <c r="N202" s="194">
        <f t="shared" si="15"/>
        <v>1.552581370397649</v>
      </c>
      <c r="O202" s="194">
        <f t="shared" si="19"/>
        <v>1.9081999999999999</v>
      </c>
      <c r="P202" s="194">
        <f>AVERAGE(Ashed_controlls!$K$12:$K$14)</f>
        <v>2.2816647271287041</v>
      </c>
      <c r="Q202" s="194">
        <f t="shared" si="20"/>
        <v>1.8646612736769299</v>
      </c>
      <c r="R202" s="16">
        <f>IF('WetLitterbags placem_collection'!G129="","",'WetLitterbags placem_collection'!G129)</f>
        <v>42816</v>
      </c>
      <c r="S202" s="194">
        <f>IFERROR(INDEX('Both teabags AfterWet'!$C$3:$C$2000,MATCH(H202,'Both teabags AfterWet'!$A$3:$A$2000,0)),"")</f>
        <v>0.59099999999999997</v>
      </c>
      <c r="T202" s="194">
        <f>IFERROR(INDEX('Both teabags AfterWet'!$C$3:$C$2000,MATCH(I202,'Both teabags AfterWet'!$A$3:$A$2000,0)),"")</f>
        <v>1.4710000000000001</v>
      </c>
      <c r="U202" s="194">
        <f t="shared" si="21"/>
        <v>0.44039999999999996</v>
      </c>
      <c r="V202" s="194">
        <f t="shared" si="22"/>
        <v>1.3204</v>
      </c>
      <c r="W202" s="194">
        <f>IFERROR(INDEX('Ashed teabags wet'!$K$2:$K$2000,MATCH(H202,'Ashed teabags wet'!$A$2:$A$2000,0)),"")</f>
        <v>18.25037707390678</v>
      </c>
      <c r="X202" s="233">
        <f>IFERROR(INDEX('Ashed teabags wet'!$K$2:$K$2000,MATCH(I202,'Ashed teabags wet'!$A$2:$A$2000,0)),"")</f>
        <v>5.8622374206153776</v>
      </c>
      <c r="Y202" s="194">
        <f t="shared" si="27"/>
        <v>0.36002533936651449</v>
      </c>
      <c r="Z202" s="194">
        <f t="shared" si="27"/>
        <v>1.2429950170981945</v>
      </c>
      <c r="AA202" s="194">
        <f t="shared" si="23"/>
        <v>0.76811177421618526</v>
      </c>
      <c r="AB202" s="194">
        <f t="shared" si="24"/>
        <v>0.50356021302533771</v>
      </c>
      <c r="AC202" s="194">
        <f t="shared" si="16"/>
        <v>0.66660633469752373</v>
      </c>
      <c r="AD202">
        <f t="shared" si="17"/>
        <v>54</v>
      </c>
      <c r="AE202" s="194">
        <f t="shared" si="25"/>
        <v>8.7753237272939044E-2</v>
      </c>
      <c r="AF202" s="194">
        <f t="shared" si="26"/>
        <v>2.009121562934087E-2</v>
      </c>
      <c r="AG202" s="245" t="str">
        <f>IF(ISNUMBER(SEARCH("C",'WetLitterbags placem_collection'!$X129)),"YES","NO")</f>
        <v>NO</v>
      </c>
      <c r="AH202" s="245" t="str">
        <f>IF(ISNUMBER(SEARCH("H", 'WetLitterbags placem_collection'!$X129)),"YES","NO")</f>
        <v>NO</v>
      </c>
      <c r="AI202" s="245" t="str">
        <f>IF(ISNUMBER(SEARCH("R", 'WetLitterbags placem_collection'!$X129)),"YES","NO")</f>
        <v>YES</v>
      </c>
      <c r="AJ202" s="245" t="str">
        <f>IF(ISNUMBER(SEARCH("C", 'WetLitterbags placem_collection'!$V129)),"YES","NO")</f>
        <v>NO</v>
      </c>
      <c r="AK202" s="245" t="str">
        <f>IF(ISNUMBER(SEARCH("H", 'WetLitterbags placem_collection'!$V129)),"YES","NO")</f>
        <v>YES</v>
      </c>
      <c r="AL202" s="245" t="str">
        <f>IF(ISNUMBER(SEARCH("R", 'WetLitterbags placem_collection'!$V129)),"YES","NO")</f>
        <v>YES</v>
      </c>
    </row>
    <row r="203" spans="2:38">
      <c r="B203" t="str">
        <f>Wetseason!B129</f>
        <v>Wet</v>
      </c>
      <c r="C203" s="253">
        <f>Wetseason!C129</f>
        <v>128</v>
      </c>
      <c r="D203" t="s">
        <v>3120</v>
      </c>
      <c r="E203" t="s">
        <v>22</v>
      </c>
      <c r="F203" s="375">
        <v>8</v>
      </c>
      <c r="G203" s="16">
        <f>'WetLitterbags placem_collection'!E130</f>
        <v>42762</v>
      </c>
      <c r="H203" t="str">
        <f>Wetseason!L129</f>
        <v>G834</v>
      </c>
      <c r="I203" t="str">
        <f>Wetseason!L349</f>
        <v>R554</v>
      </c>
      <c r="J203">
        <f>IFERROR(INDEX('Green_rooibos initial weight'!$C$5:$C$2000,MATCH(H203, 'Green_rooibos initial weight'!$A$5:$A$2000,0)),"")</f>
        <v>1.956</v>
      </c>
      <c r="K203">
        <f>IFERROR(INDEX('Green_rooibos initial weight'!$C$5:$C$2000,MATCH(I203, 'Green_rooibos initial weight'!$A$5:$A$2000,0)),"")</f>
        <v>2.1779999999999999</v>
      </c>
      <c r="L203" s="194">
        <f t="shared" si="18"/>
        <v>1.7061999999999999</v>
      </c>
      <c r="M203" s="194">
        <f>AVERAGE(Ashed_controlls!$K$2:$K$11)</f>
        <v>5.5147656768714146</v>
      </c>
      <c r="N203" s="194">
        <f t="shared" si="15"/>
        <v>1.6121070680212199</v>
      </c>
      <c r="O203" s="194">
        <f t="shared" si="19"/>
        <v>1.9281999999999999</v>
      </c>
      <c r="P203" s="194">
        <f>AVERAGE(Ashed_controlls!$K$12:$K$14)</f>
        <v>2.2816647271287041</v>
      </c>
      <c r="Q203" s="194">
        <f t="shared" si="20"/>
        <v>1.8842049407315042</v>
      </c>
      <c r="R203" s="16">
        <f>IF('WetLitterbags placem_collection'!G130="","",'WetLitterbags placem_collection'!G130)</f>
        <v>42816</v>
      </c>
      <c r="S203" s="194">
        <f>IFERROR(INDEX('Both teabags AfterWet'!$C$3:$C$2000,MATCH(H203,'Both teabags AfterWet'!$A$3:$A$2000,0)),"")</f>
        <v>0.54500000000000004</v>
      </c>
      <c r="T203" s="194">
        <f>IFERROR(INDEX('Both teabags AfterWet'!$C$3:$C$2000,MATCH(I203,'Both teabags AfterWet'!$A$3:$A$2000,0)),"")</f>
        <v>2.5259999999999998</v>
      </c>
      <c r="U203" s="194">
        <f t="shared" si="21"/>
        <v>0.39440000000000003</v>
      </c>
      <c r="V203" s="194">
        <f t="shared" si="22"/>
        <v>2.3754</v>
      </c>
      <c r="W203" s="194">
        <f>IFERROR(INDEX('Ashed teabags wet'!$K$2:$K$2000,MATCH(H203,'Ashed teabags wet'!$A$2:$A$2000,0)),"")</f>
        <v>12.928123492523619</v>
      </c>
      <c r="X203" s="233">
        <f>IFERROR(INDEX('Ashed teabags wet'!$K$2:$K$2000,MATCH(I203,'Ashed teabags wet'!$A$2:$A$2000,0)),"")</f>
        <v>66.458433445459406</v>
      </c>
      <c r="Y203" s="194">
        <f t="shared" si="27"/>
        <v>0.3434114809454869</v>
      </c>
      <c r="Z203" s="194">
        <f t="shared" si="27"/>
        <v>0.79674637193655728</v>
      </c>
      <c r="AA203" s="194">
        <f t="shared" si="23"/>
        <v>0.78697973121164511</v>
      </c>
      <c r="AB203" s="194">
        <f t="shared" si="24"/>
        <v>0.51592970502236124</v>
      </c>
      <c r="AC203" s="194">
        <f t="shared" si="16"/>
        <v>0.42285547326249806</v>
      </c>
      <c r="AD203">
        <f t="shared" si="17"/>
        <v>54</v>
      </c>
      <c r="AE203" s="194">
        <f t="shared" si="25"/>
        <v>6.5344737278331233E-2</v>
      </c>
      <c r="AF203" s="194" t="str">
        <f t="shared" si="26"/>
        <v/>
      </c>
      <c r="AG203" s="245" t="str">
        <f>IF(ISNUMBER(SEARCH("C",'WetLitterbags placem_collection'!$X130)),"YES","NO")</f>
        <v>NO</v>
      </c>
      <c r="AH203" s="245" t="str">
        <f>IF(ISNUMBER(SEARCH("H", 'WetLitterbags placem_collection'!$X130)),"YES","NO")</f>
        <v>NO</v>
      </c>
      <c r="AI203" s="245" t="str">
        <f>IF(ISNUMBER(SEARCH("R", 'WetLitterbags placem_collection'!$X130)),"YES","NO")</f>
        <v>YES</v>
      </c>
      <c r="AJ203" s="245" t="str">
        <f>IF(ISNUMBER(SEARCH("C", 'WetLitterbags placem_collection'!$V130)),"YES","NO")</f>
        <v>NO</v>
      </c>
      <c r="AK203" s="245" t="str">
        <f>IF(ISNUMBER(SEARCH("H", 'WetLitterbags placem_collection'!$V130)),"YES","NO")</f>
        <v>NO</v>
      </c>
      <c r="AL203" s="245" t="str">
        <f>IF(ISNUMBER(SEARCH("R", 'WetLitterbags placem_collection'!$V130)),"YES","NO")</f>
        <v>YES</v>
      </c>
    </row>
    <row r="204" spans="2:38">
      <c r="B204" t="str">
        <f>Wetseason!B130</f>
        <v>Wet</v>
      </c>
      <c r="C204" s="253">
        <f>Wetseason!C130</f>
        <v>129</v>
      </c>
      <c r="D204" t="s">
        <v>3121</v>
      </c>
      <c r="E204" t="s">
        <v>22</v>
      </c>
      <c r="F204" s="374">
        <v>1</v>
      </c>
      <c r="G204" s="16">
        <f>'WetLitterbags placem_collection'!E131</f>
        <v>42762</v>
      </c>
      <c r="H204" t="str">
        <f>Wetseason!L130</f>
        <v>G819</v>
      </c>
      <c r="I204" t="str">
        <f>Wetseason!L350</f>
        <v>R46</v>
      </c>
      <c r="J204">
        <f>IFERROR(INDEX('Green_rooibos initial weight'!$C$5:$C$2000,MATCH(H204, 'Green_rooibos initial weight'!$A$5:$A$2000,0)),"")</f>
        <v>1.9770000000000001</v>
      </c>
      <c r="K204">
        <f>IFERROR(INDEX('Green_rooibos initial weight'!$C$5:$C$2000,MATCH(I204, 'Green_rooibos initial weight'!$A$5:$A$2000,0)),"")</f>
        <v>2.2890000000000001</v>
      </c>
      <c r="L204" s="194">
        <f t="shared" si="18"/>
        <v>1.7272000000000001</v>
      </c>
      <c r="M204" s="194">
        <f>AVERAGE(Ashed_controlls!$K$2:$K$11)</f>
        <v>5.5147656768714146</v>
      </c>
      <c r="N204" s="194">
        <f t="shared" ref="N204:N267" si="28">IFERROR(L204-(M204/100)*L204,"")</f>
        <v>1.631948967229077</v>
      </c>
      <c r="O204" s="194">
        <f t="shared" si="19"/>
        <v>2.0392000000000001</v>
      </c>
      <c r="P204" s="194">
        <f>AVERAGE(Ashed_controlls!$K$12:$K$14)</f>
        <v>2.2816647271287041</v>
      </c>
      <c r="Q204" s="194">
        <f t="shared" si="20"/>
        <v>1.9926722928843916</v>
      </c>
      <c r="R204" s="16">
        <f>IF('WetLitterbags placem_collection'!G131="","",'WetLitterbags placem_collection'!G131)</f>
        <v>42816</v>
      </c>
      <c r="S204" s="194">
        <f>IFERROR(INDEX('Both teabags AfterWet'!$C$3:$C$2000,MATCH(H204,'Both teabags AfterWet'!$A$3:$A$2000,0)),"")</f>
        <v>0.59719999999999995</v>
      </c>
      <c r="T204" s="194">
        <f>IFERROR(INDEX('Both teabags AfterWet'!$C$3:$C$2000,MATCH(I204,'Both teabags AfterWet'!$A$3:$A$2000,0)),"")</f>
        <v>0.48970000000000002</v>
      </c>
      <c r="U204" s="194">
        <f t="shared" si="21"/>
        <v>0.44659999999999994</v>
      </c>
      <c r="V204" s="194">
        <f t="shared" si="22"/>
        <v>0.33910000000000001</v>
      </c>
      <c r="W204" s="194">
        <f>IFERROR(INDEX('Ashed teabags wet'!$K$2:$K$2000,MATCH(H204,'Ashed teabags wet'!$A$2:$A$2000,0)),"")</f>
        <v>16.047548291233621</v>
      </c>
      <c r="X204" s="233">
        <f>IFERROR(INDEX('Ashed teabags wet'!$K$2:$K$2000,MATCH(I204,'Ashed teabags wet'!$A$2:$A$2000,0)),"")</f>
        <v>0</v>
      </c>
      <c r="Y204" s="194">
        <f t="shared" si="27"/>
        <v>0.37493164933135059</v>
      </c>
      <c r="Z204" s="194">
        <f t="shared" si="27"/>
        <v>0.33910000000000001</v>
      </c>
      <c r="AA204" s="194">
        <f t="shared" si="23"/>
        <v>0.7702552856368079</v>
      </c>
      <c r="AB204" s="194">
        <f t="shared" si="24"/>
        <v>0.50496546041747981</v>
      </c>
      <c r="AC204" s="194">
        <f t="shared" ref="AC204:AC267" si="29">IFERROR(Z204/Q204,"")</f>
        <v>0.17017349074952662</v>
      </c>
      <c r="AD204">
        <f t="shared" ref="AD204:AD267" si="30">IFERROR(IF((R204-G204)&gt;0,(IFERROR(R204-G204,"")),""),"")</f>
        <v>54</v>
      </c>
      <c r="AE204" s="194">
        <f t="shared" si="25"/>
        <v>8.5207499243696083E-2</v>
      </c>
      <c r="AF204" s="194" t="str">
        <f t="shared" si="26"/>
        <v/>
      </c>
      <c r="AG204" s="245" t="str">
        <f>IF(ISNUMBER(SEARCH("C",'WetLitterbags placem_collection'!$X131)),"YES","NO")</f>
        <v>NO</v>
      </c>
      <c r="AH204" s="245" t="str">
        <f>IF(ISNUMBER(SEARCH("H", 'WetLitterbags placem_collection'!$X131)),"YES","NO")</f>
        <v>NO</v>
      </c>
      <c r="AI204" s="245" t="str">
        <f>IF(ISNUMBER(SEARCH("R", 'WetLitterbags placem_collection'!$X131)),"YES","NO")</f>
        <v>YES</v>
      </c>
      <c r="AJ204" s="245" t="str">
        <f>IF(ISNUMBER(SEARCH("C", 'WetLitterbags placem_collection'!$V131)),"YES","NO")</f>
        <v>NO</v>
      </c>
      <c r="AK204" s="245" t="str">
        <f>IF(ISNUMBER(SEARCH("H", 'WetLitterbags placem_collection'!$V131)),"YES","NO")</f>
        <v>NO</v>
      </c>
      <c r="AL204" s="245" t="str">
        <f>IF(ISNUMBER(SEARCH("R", 'WetLitterbags placem_collection'!$V131)),"YES","NO")</f>
        <v>NO</v>
      </c>
    </row>
    <row r="205" spans="2:38">
      <c r="B205" t="str">
        <f>Wetseason!B131</f>
        <v>Wet</v>
      </c>
      <c r="C205" s="253">
        <f>Wetseason!C131</f>
        <v>130</v>
      </c>
      <c r="D205" t="s">
        <v>3121</v>
      </c>
      <c r="E205" t="s">
        <v>22</v>
      </c>
      <c r="F205" s="374">
        <v>2</v>
      </c>
      <c r="G205" s="16">
        <f>'WetLitterbags placem_collection'!E132</f>
        <v>42762</v>
      </c>
      <c r="H205" t="str">
        <f>Wetseason!L131</f>
        <v>G830</v>
      </c>
      <c r="I205" t="str">
        <f>Wetseason!L351</f>
        <v>R585</v>
      </c>
      <c r="J205">
        <f>IFERROR(INDEX('Green_rooibos initial weight'!$C$5:$C$2000,MATCH(H205, 'Green_rooibos initial weight'!$A$5:$A$2000,0)),"")</f>
        <v>1.8939999999999999</v>
      </c>
      <c r="K205">
        <f>IFERROR(INDEX('Green_rooibos initial weight'!$C$5:$C$2000,MATCH(I205, 'Green_rooibos initial weight'!$A$5:$A$2000,0)),"")</f>
        <v>2.17</v>
      </c>
      <c r="L205" s="194">
        <f t="shared" ref="L205:L268" si="31">IF(J205&gt;0,(J205*$F$31-($F$29+$F$30)),"")</f>
        <v>1.6441999999999999</v>
      </c>
      <c r="M205" s="194">
        <f>AVERAGE(Ashed_controlls!$K$2:$K$11)</f>
        <v>5.5147656768714146</v>
      </c>
      <c r="N205" s="194">
        <f t="shared" si="28"/>
        <v>1.5535262227408801</v>
      </c>
      <c r="O205" s="194">
        <f t="shared" ref="O205:O268" si="32">IF(K205&gt;0,(K205*$F$32-($F$29+$F$30)),"")</f>
        <v>1.9201999999999999</v>
      </c>
      <c r="P205" s="194">
        <f>AVERAGE(Ashed_controlls!$K$12:$K$14)</f>
        <v>2.2816647271287041</v>
      </c>
      <c r="Q205" s="194">
        <f t="shared" ref="Q205:Q268" si="33">IFERROR(O205-(P205/100)*O205,"")</f>
        <v>1.8763874739096746</v>
      </c>
      <c r="R205" s="16">
        <f>IF('WetLitterbags placem_collection'!G132="","",'WetLitterbags placem_collection'!G132)</f>
        <v>42816</v>
      </c>
      <c r="S205" s="194">
        <f>IFERROR(INDEX('Both teabags AfterWet'!$C$3:$C$2000,MATCH(H205,'Both teabags AfterWet'!$A$3:$A$2000,0)),"")</f>
        <v>0.54</v>
      </c>
      <c r="T205" s="194">
        <f>IFERROR(INDEX('Both teabags AfterWet'!$C$3:$C$2000,MATCH(I205,'Both teabags AfterWet'!$A$3:$A$2000,0)),"")</f>
        <v>1.6379999999999999</v>
      </c>
      <c r="U205" s="194">
        <f t="shared" ref="U205:U268" si="34">IFERROR(IF(S205&gt;0,S205-($F$29),""),"")</f>
        <v>0.38940000000000002</v>
      </c>
      <c r="V205" s="194">
        <f t="shared" ref="V205:V268" si="35">IFERROR(IF(T205&gt;0,T205-($F$29),""),"")</f>
        <v>1.4873999999999998</v>
      </c>
      <c r="W205" s="194">
        <f>IFERROR(INDEX('Ashed teabags wet'!$K$2:$K$2000,MATCH(H205,'Ashed teabags wet'!$A$2:$A$2000,0)),"")</f>
        <v>12.680978532201229</v>
      </c>
      <c r="X205" s="233">
        <f>IFERROR(INDEX('Ashed teabags wet'!$K$2:$K$2000,MATCH(I205,'Ashed teabags wet'!$A$2:$A$2000,0)),"")</f>
        <v>4.8913043478256997</v>
      </c>
      <c r="Y205" s="194">
        <f t="shared" si="27"/>
        <v>0.34002026959560844</v>
      </c>
      <c r="Z205" s="194">
        <f t="shared" si="27"/>
        <v>1.4146467391304405</v>
      </c>
      <c r="AA205" s="194">
        <f t="shared" ref="AA205:AA268" si="36">IFERROR(1-Y205/N205,"")</f>
        <v>0.78113000951106448</v>
      </c>
      <c r="AB205" s="194">
        <f t="shared" ref="AB205:AB268" si="37">IFERROR($F$26*(1-AE205),"")</f>
        <v>0.51209473307613729</v>
      </c>
      <c r="AC205" s="194">
        <f t="shared" si="29"/>
        <v>0.75392037028623793</v>
      </c>
      <c r="AD205">
        <f t="shared" si="30"/>
        <v>54</v>
      </c>
      <c r="AE205" s="194">
        <f t="shared" ref="AE205:AE268" si="38">IFERROR(1-(AA205/$F$25),"")</f>
        <v>7.2292150224388951E-2</v>
      </c>
      <c r="AF205" s="194">
        <f t="shared" ref="AF205:AF268" si="39">IFERROR(LN(AB205/(AC205-(1-AB205)))/AD205,"")</f>
        <v>1.2128824939557812E-2</v>
      </c>
      <c r="AG205" s="245" t="str">
        <f>IF(ISNUMBER(SEARCH("C",'WetLitterbags placem_collection'!$X132)),"YES","NO")</f>
        <v>NO</v>
      </c>
      <c r="AH205" s="245" t="str">
        <f>IF(ISNUMBER(SEARCH("H", 'WetLitterbags placem_collection'!$X132)),"YES","NO")</f>
        <v>NO</v>
      </c>
      <c r="AI205" s="245" t="str">
        <f>IF(ISNUMBER(SEARCH("R", 'WetLitterbags placem_collection'!$X132)),"YES","NO")</f>
        <v>NO</v>
      </c>
      <c r="AJ205" s="245" t="str">
        <f>IF(ISNUMBER(SEARCH("C", 'WetLitterbags placem_collection'!$V132)),"YES","NO")</f>
        <v>NO</v>
      </c>
      <c r="AK205" s="245" t="str">
        <f>IF(ISNUMBER(SEARCH("H", 'WetLitterbags placem_collection'!$V132)),"YES","NO")</f>
        <v>NO</v>
      </c>
      <c r="AL205" s="245" t="str">
        <f>IF(ISNUMBER(SEARCH("R", 'WetLitterbags placem_collection'!$V132)),"YES","NO")</f>
        <v>YES</v>
      </c>
    </row>
    <row r="206" spans="2:38">
      <c r="B206" t="str">
        <f>Wetseason!B132</f>
        <v>Wet</v>
      </c>
      <c r="C206" s="253">
        <f>Wetseason!C132</f>
        <v>131</v>
      </c>
      <c r="D206" t="s">
        <v>3121</v>
      </c>
      <c r="E206" t="s">
        <v>22</v>
      </c>
      <c r="F206" s="374">
        <v>3</v>
      </c>
      <c r="G206" s="16">
        <f>'WetLitterbags placem_collection'!E133</f>
        <v>42762</v>
      </c>
      <c r="H206" t="str">
        <f>Wetseason!L132</f>
        <v>G746</v>
      </c>
      <c r="I206" t="str">
        <f>Wetseason!L352</f>
        <v>R476</v>
      </c>
      <c r="J206">
        <f>IFERROR(INDEX('Green_rooibos initial weight'!$C$5:$C$2000,MATCH(H206, 'Green_rooibos initial weight'!$A$5:$A$2000,0)),"")</f>
        <v>2.198</v>
      </c>
      <c r="K206">
        <f>IFERROR(INDEX('Green_rooibos initial weight'!$C$5:$C$2000,MATCH(I206, 'Green_rooibos initial weight'!$A$5:$A$2000,0)),"")</f>
        <v>2.2429999999999999</v>
      </c>
      <c r="L206" s="194">
        <f t="shared" si="31"/>
        <v>1.9481999999999999</v>
      </c>
      <c r="M206" s="194">
        <f>AVERAGE(Ashed_controlls!$K$2:$K$11)</f>
        <v>5.5147656768714146</v>
      </c>
      <c r="N206" s="194">
        <f t="shared" si="28"/>
        <v>1.8407613350831911</v>
      </c>
      <c r="O206" s="194">
        <f t="shared" si="32"/>
        <v>1.9931999999999999</v>
      </c>
      <c r="P206" s="194">
        <f>AVERAGE(Ashed_controlls!$K$12:$K$14)</f>
        <v>2.2816647271287041</v>
      </c>
      <c r="Q206" s="194">
        <f t="shared" si="33"/>
        <v>1.9477218586588705</v>
      </c>
      <c r="R206" s="16">
        <f>IF('WetLitterbags placem_collection'!G133="","",'WetLitterbags placem_collection'!G133)</f>
        <v>42816</v>
      </c>
      <c r="S206" s="194">
        <f>IFERROR(INDEX('Both teabags AfterWet'!$C$3:$C$2000,MATCH(H206,'Both teabags AfterWet'!$A$3:$A$2000,0)),"")</f>
        <v>0.6613</v>
      </c>
      <c r="T206" s="194">
        <f>IFERROR(INDEX('Both teabags AfterWet'!$C$3:$C$2000,MATCH(I206,'Both teabags AfterWet'!$A$3:$A$2000,0)),"")</f>
        <v>0.64019999999999999</v>
      </c>
      <c r="U206" s="194">
        <f t="shared" si="34"/>
        <v>0.51069999999999993</v>
      </c>
      <c r="V206" s="194">
        <f t="shared" si="35"/>
        <v>0.48959999999999998</v>
      </c>
      <c r="W206" s="194">
        <f>IFERROR(INDEX('Ashed teabags wet'!$K$2:$K$2000,MATCH(H206,'Ashed teabags wet'!$A$2:$A$2000,0)),"")</f>
        <v>16.72456575682352</v>
      </c>
      <c r="X206" s="233">
        <f>IFERROR(INDEX('Ashed teabags wet'!$K$2:$K$2000,MATCH(I206,'Ashed teabags wet'!$A$2:$A$2000,0)),"")</f>
        <v>0</v>
      </c>
      <c r="Y206" s="194">
        <f t="shared" ref="Y206:Z269" si="40">IFERROR(U206-(W206/100)*U206,"")</f>
        <v>0.42528764267990221</v>
      </c>
      <c r="Z206" s="194">
        <f t="shared" si="40"/>
        <v>0.48959999999999998</v>
      </c>
      <c r="AA206" s="194">
        <f t="shared" si="36"/>
        <v>0.76896100837500381</v>
      </c>
      <c r="AB206" s="194">
        <f t="shared" si="37"/>
        <v>0.50411695560926617</v>
      </c>
      <c r="AC206" s="194">
        <f t="shared" si="29"/>
        <v>0.25137059371358111</v>
      </c>
      <c r="AD206">
        <f t="shared" si="30"/>
        <v>54</v>
      </c>
      <c r="AE206" s="194">
        <f t="shared" si="38"/>
        <v>8.6744645635387418E-2</v>
      </c>
      <c r="AF206" s="194" t="str">
        <f t="shared" si="39"/>
        <v/>
      </c>
      <c r="AG206" s="245" t="str">
        <f>IF(ISNUMBER(SEARCH("C",'WetLitterbags placem_collection'!$X133)),"YES","NO")</f>
        <v>NO</v>
      </c>
      <c r="AH206" s="245" t="str">
        <f>IF(ISNUMBER(SEARCH("H", 'WetLitterbags placem_collection'!$X133)),"YES","NO")</f>
        <v>NO</v>
      </c>
      <c r="AI206" s="245" t="str">
        <f>IF(ISNUMBER(SEARCH("R", 'WetLitterbags placem_collection'!$X133)),"YES","NO")</f>
        <v>NO</v>
      </c>
      <c r="AJ206" s="245" t="str">
        <f>IF(ISNUMBER(SEARCH("C", 'WetLitterbags placem_collection'!$V133)),"YES","NO")</f>
        <v>NO</v>
      </c>
      <c r="AK206" s="245" t="str">
        <f>IF(ISNUMBER(SEARCH("H", 'WetLitterbags placem_collection'!$V133)),"YES","NO")</f>
        <v>YES</v>
      </c>
      <c r="AL206" s="245" t="str">
        <f>IF(ISNUMBER(SEARCH("R", 'WetLitterbags placem_collection'!$V133)),"YES","NO")</f>
        <v>NO</v>
      </c>
    </row>
    <row r="207" spans="2:38">
      <c r="B207" t="str">
        <f>Wetseason!B133</f>
        <v>Wet</v>
      </c>
      <c r="C207" s="253">
        <f>Wetseason!C133</f>
        <v>132</v>
      </c>
      <c r="D207" t="s">
        <v>3121</v>
      </c>
      <c r="E207" t="s">
        <v>22</v>
      </c>
      <c r="F207" s="375">
        <v>4</v>
      </c>
      <c r="G207" s="16">
        <f>'WetLitterbags placem_collection'!E134</f>
        <v>42762</v>
      </c>
      <c r="H207" t="str">
        <f>Wetseason!L133</f>
        <v>G725</v>
      </c>
      <c r="I207" t="str">
        <f>Wetseason!L353</f>
        <v>R536</v>
      </c>
      <c r="J207">
        <f>IFERROR(INDEX('Green_rooibos initial weight'!$C$5:$C$2000,MATCH(H207, 'Green_rooibos initial weight'!$A$5:$A$2000,0)),"")</f>
        <v>2.0270000000000001</v>
      </c>
      <c r="K207">
        <f>IFERROR(INDEX('Green_rooibos initial weight'!$C$5:$C$2000,MATCH(I207, 'Green_rooibos initial weight'!$A$5:$A$2000,0)),"")</f>
        <v>2.1970000000000001</v>
      </c>
      <c r="L207" s="194">
        <f t="shared" si="31"/>
        <v>1.7772000000000001</v>
      </c>
      <c r="M207" s="194">
        <f>AVERAGE(Ashed_controlls!$K$2:$K$11)</f>
        <v>5.5147656768714146</v>
      </c>
      <c r="N207" s="194">
        <f t="shared" si="28"/>
        <v>1.6791915843906413</v>
      </c>
      <c r="O207" s="194">
        <f t="shared" si="32"/>
        <v>1.9472</v>
      </c>
      <c r="P207" s="194">
        <f>AVERAGE(Ashed_controlls!$K$12:$K$14)</f>
        <v>2.2816647271287041</v>
      </c>
      <c r="Q207" s="194">
        <f t="shared" si="33"/>
        <v>1.90277142443335</v>
      </c>
      <c r="R207" s="16">
        <f>IF('WetLitterbags placem_collection'!G134="","",'WetLitterbags placem_collection'!G134)</f>
        <v>42816</v>
      </c>
      <c r="S207" s="194">
        <f>IFERROR(INDEX('Both teabags AfterWet'!$C$3:$C$2000,MATCH(H207,'Both teabags AfterWet'!$A$3:$A$2000,0)),"")</f>
        <v>0.56820000000000004</v>
      </c>
      <c r="T207" s="194">
        <f>IFERROR(INDEX('Both teabags AfterWet'!$C$3:$C$2000,MATCH(I207,'Both teabags AfterWet'!$A$3:$A$2000,0)),"")</f>
        <v>1.593</v>
      </c>
      <c r="U207" s="194">
        <f t="shared" si="34"/>
        <v>0.41760000000000003</v>
      </c>
      <c r="V207" s="194">
        <f t="shared" si="35"/>
        <v>1.4423999999999999</v>
      </c>
      <c r="W207" s="194">
        <f>IFERROR(INDEX('Ashed teabags wet'!$K$2:$K$2000,MATCH(H207,'Ashed teabags wet'!$A$2:$A$2000,0)),"")</f>
        <v>14.355948869222813</v>
      </c>
      <c r="X207" s="233">
        <f>IFERROR(INDEX('Ashed teabags wet'!$K$2:$K$2000,MATCH(I207,'Ashed teabags wet'!$A$2:$A$2000,0)),"")</f>
        <v>91.768144179250029</v>
      </c>
      <c r="Y207" s="194">
        <f t="shared" si="40"/>
        <v>0.35764955752212557</v>
      </c>
      <c r="Z207" s="194">
        <f t="shared" si="40"/>
        <v>0.11873628835849748</v>
      </c>
      <c r="AA207" s="194">
        <f t="shared" si="36"/>
        <v>0.78701086829713218</v>
      </c>
      <c r="AB207" s="194">
        <f t="shared" si="37"/>
        <v>0.51595011793351186</v>
      </c>
      <c r="AC207" s="194">
        <f t="shared" si="29"/>
        <v>6.2401761364404257E-2</v>
      </c>
      <c r="AD207">
        <f t="shared" si="30"/>
        <v>54</v>
      </c>
      <c r="AE207" s="194">
        <f t="shared" si="38"/>
        <v>6.5307757366826369E-2</v>
      </c>
      <c r="AF207" s="194" t="str">
        <f t="shared" si="39"/>
        <v/>
      </c>
      <c r="AG207" s="245" t="str">
        <f>IF(ISNUMBER(SEARCH("C",'WetLitterbags placem_collection'!$X134)),"YES","NO")</f>
        <v>NO</v>
      </c>
      <c r="AH207" s="245" t="str">
        <f>IF(ISNUMBER(SEARCH("H", 'WetLitterbags placem_collection'!$X134)),"YES","NO")</f>
        <v>NO</v>
      </c>
      <c r="AI207" s="245" t="str">
        <f>IF(ISNUMBER(SEARCH("R", 'WetLitterbags placem_collection'!$X134)),"YES","NO")</f>
        <v>NO</v>
      </c>
      <c r="AJ207" s="245" t="str">
        <f>IF(ISNUMBER(SEARCH("C", 'WetLitterbags placem_collection'!$V134)),"YES","NO")</f>
        <v>NO</v>
      </c>
      <c r="AK207" s="245" t="str">
        <f>IF(ISNUMBER(SEARCH("H", 'WetLitterbags placem_collection'!$V134)),"YES","NO")</f>
        <v>NO</v>
      </c>
      <c r="AL207" s="245" t="str">
        <f>IF(ISNUMBER(SEARCH("R", 'WetLitterbags placem_collection'!$V134)),"YES","NO")</f>
        <v>NO</v>
      </c>
    </row>
    <row r="208" spans="2:38">
      <c r="B208" t="str">
        <f>Wetseason!B134</f>
        <v>Wet</v>
      </c>
      <c r="C208" s="253">
        <f>Wetseason!C134</f>
        <v>133</v>
      </c>
      <c r="D208" t="s">
        <v>3121</v>
      </c>
      <c r="E208" t="s">
        <v>22</v>
      </c>
      <c r="F208" s="375">
        <v>5</v>
      </c>
      <c r="G208" s="16">
        <f>'WetLitterbags placem_collection'!E135</f>
        <v>42762</v>
      </c>
      <c r="H208" t="str">
        <f>Wetseason!L134</f>
        <v>G846</v>
      </c>
      <c r="I208" t="str">
        <f>Wetseason!L354</f>
        <v>R524</v>
      </c>
      <c r="J208">
        <f>IFERROR(INDEX('Green_rooibos initial weight'!$C$5:$C$2000,MATCH(H208, 'Green_rooibos initial weight'!$A$5:$A$2000,0)),"")</f>
        <v>2.0350000000000001</v>
      </c>
      <c r="K208">
        <f>IFERROR(INDEX('Green_rooibos initial weight'!$C$5:$C$2000,MATCH(I208, 'Green_rooibos initial weight'!$A$5:$A$2000,0)),"")</f>
        <v>2.1080000000000001</v>
      </c>
      <c r="L208" s="194">
        <f t="shared" si="31"/>
        <v>1.7852000000000001</v>
      </c>
      <c r="M208" s="194">
        <f>AVERAGE(Ashed_controlls!$K$2:$K$11)</f>
        <v>5.5147656768714146</v>
      </c>
      <c r="N208" s="194">
        <f t="shared" si="28"/>
        <v>1.6867504031364917</v>
      </c>
      <c r="O208" s="194">
        <f t="shared" si="32"/>
        <v>1.8582000000000001</v>
      </c>
      <c r="P208" s="194">
        <f>AVERAGE(Ashed_controlls!$K$12:$K$14)</f>
        <v>2.2816647271287041</v>
      </c>
      <c r="Q208" s="194">
        <f t="shared" si="33"/>
        <v>1.8158021060404945</v>
      </c>
      <c r="R208" s="16">
        <f>IF('WetLitterbags placem_collection'!G135="","",'WetLitterbags placem_collection'!G135)</f>
        <v>42816</v>
      </c>
      <c r="S208" s="194">
        <f>IFERROR(INDEX('Both teabags AfterWet'!$C$3:$C$2000,MATCH(H208,'Both teabags AfterWet'!$A$3:$A$2000,0)),"")</f>
        <v>0.59309999999999996</v>
      </c>
      <c r="T208" s="194">
        <f>IFERROR(INDEX('Both teabags AfterWet'!$C$3:$C$2000,MATCH(I208,'Both teabags AfterWet'!$A$3:$A$2000,0)),"")</f>
        <v>1.5687</v>
      </c>
      <c r="U208" s="194">
        <f t="shared" si="34"/>
        <v>0.44249999999999995</v>
      </c>
      <c r="V208" s="194">
        <f t="shared" si="35"/>
        <v>1.4180999999999999</v>
      </c>
      <c r="W208" s="194">
        <f>IFERROR(INDEX('Ashed teabags wet'!$K$2:$K$2000,MATCH(H208,'Ashed teabags wet'!$A$2:$A$2000,0)),"")</f>
        <v>11.326378539493467</v>
      </c>
      <c r="X208" s="233">
        <f>IFERROR(INDEX('Ashed teabags wet'!$K$2:$K$2000,MATCH(I208,'Ashed teabags wet'!$A$2:$A$2000,0)),"")</f>
        <v>2.521432173474186</v>
      </c>
      <c r="Y208" s="194">
        <f t="shared" si="40"/>
        <v>0.39238077496274137</v>
      </c>
      <c r="Z208" s="194">
        <f t="shared" si="40"/>
        <v>1.3823435703479625</v>
      </c>
      <c r="AA208" s="194">
        <f t="shared" si="36"/>
        <v>0.76737472584377975</v>
      </c>
      <c r="AB208" s="194">
        <f t="shared" si="37"/>
        <v>0.50307701741777489</v>
      </c>
      <c r="AC208" s="194">
        <f t="shared" si="29"/>
        <v>0.76128536570666072</v>
      </c>
      <c r="AD208">
        <f t="shared" si="30"/>
        <v>54</v>
      </c>
      <c r="AE208" s="194">
        <f t="shared" si="38"/>
        <v>8.8628591634465792E-2</v>
      </c>
      <c r="AF208" s="194">
        <f t="shared" si="39"/>
        <v>1.1915230541889312E-2</v>
      </c>
      <c r="AG208" s="245" t="str">
        <f>IF(ISNUMBER(SEARCH("C",'WetLitterbags placem_collection'!$X135)),"YES","NO")</f>
        <v>NO</v>
      </c>
      <c r="AH208" s="245" t="str">
        <f>IF(ISNUMBER(SEARCH("H", 'WetLitterbags placem_collection'!$X135)),"YES","NO")</f>
        <v>NO</v>
      </c>
      <c r="AI208" s="245" t="str">
        <f>IF(ISNUMBER(SEARCH("R", 'WetLitterbags placem_collection'!$X135)),"YES","NO")</f>
        <v>NO</v>
      </c>
      <c r="AJ208" s="245" t="str">
        <f>IF(ISNUMBER(SEARCH("C", 'WetLitterbags placem_collection'!$V135)),"YES","NO")</f>
        <v>NO</v>
      </c>
      <c r="AK208" s="245" t="str">
        <f>IF(ISNUMBER(SEARCH("H", 'WetLitterbags placem_collection'!$V135)),"YES","NO")</f>
        <v>NO</v>
      </c>
      <c r="AL208" s="245" t="str">
        <f>IF(ISNUMBER(SEARCH("R", 'WetLitterbags placem_collection'!$V135)),"YES","NO")</f>
        <v>NO</v>
      </c>
    </row>
    <row r="209" spans="2:38">
      <c r="B209" t="str">
        <f>Wetseason!B135</f>
        <v>Wet</v>
      </c>
      <c r="C209" s="253">
        <f>Wetseason!C135</f>
        <v>134</v>
      </c>
      <c r="D209" t="s">
        <v>3121</v>
      </c>
      <c r="E209" t="s">
        <v>22</v>
      </c>
      <c r="F209" s="375">
        <v>6</v>
      </c>
      <c r="G209" s="16">
        <f>'WetLitterbags placem_collection'!E136</f>
        <v>42762</v>
      </c>
      <c r="H209" t="str">
        <f>Wetseason!L135</f>
        <v>G756</v>
      </c>
      <c r="I209" t="str">
        <f>Wetseason!L355</f>
        <v>R600</v>
      </c>
      <c r="J209">
        <f>IFERROR(INDEX('Green_rooibos initial weight'!$C$5:$C$2000,MATCH(H209, 'Green_rooibos initial weight'!$A$5:$A$2000,0)),"")</f>
        <v>2.1459999999999999</v>
      </c>
      <c r="K209">
        <f>IFERROR(INDEX('Green_rooibos initial weight'!$C$5:$C$2000,MATCH(I209, 'Green_rooibos initial weight'!$A$5:$A$2000,0)),"")</f>
        <v>2.2440000000000002</v>
      </c>
      <c r="L209" s="194">
        <f t="shared" si="31"/>
        <v>1.8961999999999999</v>
      </c>
      <c r="M209" s="194">
        <f>AVERAGE(Ashed_controlls!$K$2:$K$11)</f>
        <v>5.5147656768714146</v>
      </c>
      <c r="N209" s="194">
        <f t="shared" si="28"/>
        <v>1.7916290132351642</v>
      </c>
      <c r="O209" s="194">
        <f t="shared" si="32"/>
        <v>1.9942000000000002</v>
      </c>
      <c r="P209" s="194">
        <f>AVERAGE(Ashed_controlls!$K$12:$K$14)</f>
        <v>2.2816647271287041</v>
      </c>
      <c r="Q209" s="194">
        <f t="shared" si="33"/>
        <v>1.9486990420115995</v>
      </c>
      <c r="R209" s="16">
        <f>IF('WetLitterbags placem_collection'!G136="","",'WetLitterbags placem_collection'!G136)</f>
        <v>42816</v>
      </c>
      <c r="S209" s="194">
        <f>IFERROR(INDEX('Both teabags AfterWet'!$C$3:$C$2000,MATCH(H209,'Both teabags AfterWet'!$A$3:$A$2000,0)),"")</f>
        <v>0.69399999999999995</v>
      </c>
      <c r="T209" s="194">
        <f>IFERROR(INDEX('Both teabags AfterWet'!$C$3:$C$2000,MATCH(I209,'Both teabags AfterWet'!$A$3:$A$2000,0)),"")</f>
        <v>1.4419999999999999</v>
      </c>
      <c r="U209" s="194">
        <f t="shared" si="34"/>
        <v>0.54339999999999988</v>
      </c>
      <c r="V209" s="194">
        <f t="shared" si="35"/>
        <v>1.2913999999999999</v>
      </c>
      <c r="W209" s="194">
        <f>IFERROR(INDEX('Ashed teabags wet'!$K$2:$K$2000,MATCH(H209,'Ashed teabags wet'!$A$2:$A$2000,0)),"")</f>
        <v>17.213930348258991</v>
      </c>
      <c r="X209" s="233">
        <f>IFERROR(INDEX('Ashed teabags wet'!$K$2:$K$2000,MATCH(I209,'Ashed teabags wet'!$A$2:$A$2000,0)),"")</f>
        <v>7.2860635696819331</v>
      </c>
      <c r="Y209" s="194">
        <f t="shared" si="40"/>
        <v>0.44985950248756057</v>
      </c>
      <c r="Z209" s="194">
        <f t="shared" si="40"/>
        <v>1.1973077750611274</v>
      </c>
      <c r="AA209" s="194">
        <f t="shared" si="36"/>
        <v>0.74891034965143577</v>
      </c>
      <c r="AB209" s="194">
        <f t="shared" si="37"/>
        <v>0.49097210570972993</v>
      </c>
      <c r="AC209" s="194">
        <f t="shared" si="29"/>
        <v>0.61441389832324889</v>
      </c>
      <c r="AD209">
        <f t="shared" si="30"/>
        <v>54</v>
      </c>
      <c r="AE209" s="194">
        <f t="shared" si="38"/>
        <v>0.11055777951135892</v>
      </c>
      <c r="AF209" s="194">
        <f t="shared" si="39"/>
        <v>2.8495508829070364E-2</v>
      </c>
      <c r="AG209" s="245" t="str">
        <f>IF(ISNUMBER(SEARCH("C",'WetLitterbags placem_collection'!$X136)),"YES","NO")</f>
        <v>NO</v>
      </c>
      <c r="AH209" s="245" t="str">
        <f>IF(ISNUMBER(SEARCH("H", 'WetLitterbags placem_collection'!$X136)),"YES","NO")</f>
        <v>NO</v>
      </c>
      <c r="AI209" s="245" t="str">
        <f>IF(ISNUMBER(SEARCH("R", 'WetLitterbags placem_collection'!$X136)),"YES","NO")</f>
        <v>NO</v>
      </c>
      <c r="AJ209" s="245" t="str">
        <f>IF(ISNUMBER(SEARCH("C", 'WetLitterbags placem_collection'!$V136)),"YES","NO")</f>
        <v>NO</v>
      </c>
      <c r="AK209" s="245" t="str">
        <f>IF(ISNUMBER(SEARCH("H", 'WetLitterbags placem_collection'!$V136)),"YES","NO")</f>
        <v>NO</v>
      </c>
      <c r="AL209" s="245" t="str">
        <f>IF(ISNUMBER(SEARCH("R", 'WetLitterbags placem_collection'!$V136)),"YES","NO")</f>
        <v>YES</v>
      </c>
    </row>
    <row r="210" spans="2:38">
      <c r="B210" t="str">
        <f>Wetseason!B136</f>
        <v>Wet</v>
      </c>
      <c r="C210" s="253">
        <f>Wetseason!C136</f>
        <v>135</v>
      </c>
      <c r="D210" t="s">
        <v>3121</v>
      </c>
      <c r="E210" t="s">
        <v>22</v>
      </c>
      <c r="F210" s="375">
        <v>7</v>
      </c>
      <c r="G210" s="16">
        <f>'WetLitterbags placem_collection'!E137</f>
        <v>42762</v>
      </c>
      <c r="H210" t="str">
        <f>Wetseason!L136</f>
        <v>G745</v>
      </c>
      <c r="I210" t="str">
        <f>Wetseason!L356</f>
        <v>R432</v>
      </c>
      <c r="J210">
        <f>IFERROR(INDEX('Green_rooibos initial weight'!$C$5:$C$2000,MATCH(H210, 'Green_rooibos initial weight'!$A$5:$A$2000,0)),"")</f>
        <v>1.9570000000000001</v>
      </c>
      <c r="K210">
        <f>IFERROR(INDEX('Green_rooibos initial weight'!$C$5:$C$2000,MATCH(I210, 'Green_rooibos initial weight'!$A$5:$A$2000,0)),"")</f>
        <v>2.2240000000000002</v>
      </c>
      <c r="L210" s="194">
        <f t="shared" si="31"/>
        <v>1.7072000000000001</v>
      </c>
      <c r="M210" s="194">
        <f>AVERAGE(Ashed_controlls!$K$2:$K$11)</f>
        <v>5.5147656768714146</v>
      </c>
      <c r="N210" s="194">
        <f t="shared" si="28"/>
        <v>1.6130519203644513</v>
      </c>
      <c r="O210" s="194">
        <f t="shared" si="32"/>
        <v>1.9742000000000002</v>
      </c>
      <c r="P210" s="194">
        <f>AVERAGE(Ashed_controlls!$K$12:$K$14)</f>
        <v>2.2816647271287041</v>
      </c>
      <c r="Q210" s="194">
        <f t="shared" si="33"/>
        <v>1.9291553749570254</v>
      </c>
      <c r="R210" s="16">
        <f>IF('WetLitterbags placem_collection'!G137="","",'WetLitterbags placem_collection'!G137)</f>
        <v>42816</v>
      </c>
      <c r="S210" s="194">
        <f>IFERROR(INDEX('Both teabags AfterWet'!$C$3:$C$2000,MATCH(H210,'Both teabags AfterWet'!$A$3:$A$2000,0)),"")</f>
        <v>0.61099999999999999</v>
      </c>
      <c r="T210" s="194">
        <f>IFERROR(INDEX('Both teabags AfterWet'!$C$3:$C$2000,MATCH(I210,'Both teabags AfterWet'!$A$3:$A$2000,0)),"")</f>
        <v>1.6830000000000001</v>
      </c>
      <c r="U210" s="194">
        <f t="shared" si="34"/>
        <v>0.46039999999999998</v>
      </c>
      <c r="V210" s="194">
        <f t="shared" si="35"/>
        <v>1.5324</v>
      </c>
      <c r="W210" s="194">
        <f>IFERROR(INDEX('Ashed teabags wet'!$K$2:$K$2000,MATCH(H210,'Ashed teabags wet'!$A$2:$A$2000,0)),"")</f>
        <v>14.334637964774716</v>
      </c>
      <c r="X210" s="233">
        <f>IFERROR(INDEX('Ashed teabags wet'!$K$2:$K$2000,MATCH(I210,'Ashed teabags wet'!$A$2:$A$2000,0)),"")</f>
        <v>13.470757430488819</v>
      </c>
      <c r="Y210" s="194">
        <f t="shared" si="40"/>
        <v>0.3944033268101772</v>
      </c>
      <c r="Z210" s="194">
        <f t="shared" si="40"/>
        <v>1.3259741131351892</v>
      </c>
      <c r="AA210" s="194">
        <f t="shared" si="36"/>
        <v>0.75549247867913261</v>
      </c>
      <c r="AB210" s="194">
        <f t="shared" si="37"/>
        <v>0.49528723067800623</v>
      </c>
      <c r="AC210" s="194">
        <f t="shared" si="29"/>
        <v>0.68733401692164231</v>
      </c>
      <c r="AD210">
        <f t="shared" si="30"/>
        <v>54</v>
      </c>
      <c r="AE210" s="194">
        <f t="shared" si="38"/>
        <v>0.10274052413404677</v>
      </c>
      <c r="AF210" s="194">
        <f t="shared" si="39"/>
        <v>1.8476361767432385E-2</v>
      </c>
      <c r="AG210" s="245" t="str">
        <f>IF(ISNUMBER(SEARCH("C",'WetLitterbags placem_collection'!$X137)),"YES","NO")</f>
        <v>NO</v>
      </c>
      <c r="AH210" s="245" t="str">
        <f>IF(ISNUMBER(SEARCH("H", 'WetLitterbags placem_collection'!$X137)),"YES","NO")</f>
        <v>NO</v>
      </c>
      <c r="AI210" s="245" t="str">
        <f>IF(ISNUMBER(SEARCH("R", 'WetLitterbags placem_collection'!$X137)),"YES","NO")</f>
        <v>NO</v>
      </c>
      <c r="AJ210" s="245" t="str">
        <f>IF(ISNUMBER(SEARCH("C", 'WetLitterbags placem_collection'!$V137)),"YES","NO")</f>
        <v>NO</v>
      </c>
      <c r="AK210" s="245" t="str">
        <f>IF(ISNUMBER(SEARCH("H", 'WetLitterbags placem_collection'!$V137)),"YES","NO")</f>
        <v>NO</v>
      </c>
      <c r="AL210" s="245" t="str">
        <f>IF(ISNUMBER(SEARCH("R", 'WetLitterbags placem_collection'!$V137)),"YES","NO")</f>
        <v>YES</v>
      </c>
    </row>
    <row r="211" spans="2:38">
      <c r="B211" t="str">
        <f>Wetseason!B137</f>
        <v>Wet</v>
      </c>
      <c r="C211" s="253">
        <f>Wetseason!C137</f>
        <v>136</v>
      </c>
      <c r="D211" t="s">
        <v>3121</v>
      </c>
      <c r="E211" t="s">
        <v>22</v>
      </c>
      <c r="F211" s="375">
        <v>8</v>
      </c>
      <c r="G211" s="16">
        <f>'WetLitterbags placem_collection'!E138</f>
        <v>42762</v>
      </c>
      <c r="H211" t="str">
        <f>Wetseason!L137</f>
        <v>G832</v>
      </c>
      <c r="I211" t="str">
        <f>Wetseason!L357</f>
        <v>R474</v>
      </c>
      <c r="J211">
        <f>IFERROR(INDEX('Green_rooibos initial weight'!$C$5:$C$2000,MATCH(H211, 'Green_rooibos initial weight'!$A$5:$A$2000,0)),"")</f>
        <v>2.0470000000000002</v>
      </c>
      <c r="K211">
        <f>IFERROR(INDEX('Green_rooibos initial weight'!$C$5:$C$2000,MATCH(I211, 'Green_rooibos initial weight'!$A$5:$A$2000,0)),"")</f>
        <v>2.258</v>
      </c>
      <c r="L211" s="194">
        <f t="shared" si="31"/>
        <v>1.7972000000000001</v>
      </c>
      <c r="M211" s="194">
        <f>AVERAGE(Ashed_controlls!$K$2:$K$11)</f>
        <v>5.5147656768714146</v>
      </c>
      <c r="N211" s="194">
        <f t="shared" si="28"/>
        <v>1.698088631255267</v>
      </c>
      <c r="O211" s="194">
        <f t="shared" si="32"/>
        <v>2.0082</v>
      </c>
      <c r="P211" s="194">
        <f>AVERAGE(Ashed_controlls!$K$12:$K$14)</f>
        <v>2.2816647271287041</v>
      </c>
      <c r="Q211" s="194">
        <f t="shared" si="33"/>
        <v>1.9623796089498013</v>
      </c>
      <c r="R211" s="16">
        <f>IF('WetLitterbags placem_collection'!G138="","",'WetLitterbags placem_collection'!G138)</f>
        <v>42816</v>
      </c>
      <c r="S211" s="194">
        <f>IFERROR(INDEX('Both teabags AfterWet'!$C$3:$C$2000,MATCH(H211,'Both teabags AfterWet'!$A$3:$A$2000,0)),"")</f>
        <v>0.5796</v>
      </c>
      <c r="T211" s="194">
        <f>IFERROR(INDEX('Both teabags AfterWet'!$C$3:$C$2000,MATCH(I211,'Both teabags AfterWet'!$A$3:$A$2000,0)),"")</f>
        <v>1.5827</v>
      </c>
      <c r="U211" s="194">
        <f t="shared" si="34"/>
        <v>0.42899999999999999</v>
      </c>
      <c r="V211" s="194">
        <f t="shared" si="35"/>
        <v>1.4320999999999999</v>
      </c>
      <c r="W211" s="194">
        <f>IFERROR(INDEX('Ashed teabags wet'!$K$2:$K$2000,MATCH(H211,'Ashed teabags wet'!$A$2:$A$2000,0)),"")</f>
        <v>15.08132084770828</v>
      </c>
      <c r="X211" s="233">
        <f>IFERROR(INDEX('Ashed teabags wet'!$K$2:$K$2000,MATCH(I211,'Ashed teabags wet'!$A$2:$A$2000,0)),"")</f>
        <v>5.0395256916988718</v>
      </c>
      <c r="Y211" s="194">
        <f t="shared" si="40"/>
        <v>0.36430113356333149</v>
      </c>
      <c r="Z211" s="194">
        <f t="shared" si="40"/>
        <v>1.3599289525691804</v>
      </c>
      <c r="AA211" s="194">
        <f t="shared" si="36"/>
        <v>0.78546400531871441</v>
      </c>
      <c r="AB211" s="194">
        <f t="shared" si="37"/>
        <v>0.51493602248922854</v>
      </c>
      <c r="AC211" s="194">
        <f t="shared" si="29"/>
        <v>0.69299994066742676</v>
      </c>
      <c r="AD211">
        <f t="shared" si="30"/>
        <v>54</v>
      </c>
      <c r="AE211" s="194">
        <f t="shared" si="38"/>
        <v>6.7144886794875958E-2</v>
      </c>
      <c r="AF211" s="194">
        <f t="shared" si="39"/>
        <v>1.6792824109442335E-2</v>
      </c>
      <c r="AG211" s="245" t="str">
        <f>IF(ISNUMBER(SEARCH("C",'WetLitterbags placem_collection'!$X138)),"YES","NO")</f>
        <v>NO</v>
      </c>
      <c r="AH211" s="245" t="str">
        <f>IF(ISNUMBER(SEARCH("H", 'WetLitterbags placem_collection'!$X138)),"YES","NO")</f>
        <v>NO</v>
      </c>
      <c r="AI211" s="245" t="str">
        <f>IF(ISNUMBER(SEARCH("R", 'WetLitterbags placem_collection'!$X138)),"YES","NO")</f>
        <v>YES</v>
      </c>
      <c r="AJ211" s="245" t="str">
        <f>IF(ISNUMBER(SEARCH("C", 'WetLitterbags placem_collection'!$V138)),"YES","NO")</f>
        <v>NO</v>
      </c>
      <c r="AK211" s="245" t="str">
        <f>IF(ISNUMBER(SEARCH("H", 'WetLitterbags placem_collection'!$V138)),"YES","NO")</f>
        <v>NO</v>
      </c>
      <c r="AL211" s="245" t="str">
        <f>IF(ISNUMBER(SEARCH("R", 'WetLitterbags placem_collection'!$V138)),"YES","NO")</f>
        <v>YES</v>
      </c>
    </row>
    <row r="212" spans="2:38">
      <c r="B212" t="str">
        <f>Wetseason!B138</f>
        <v>Wet</v>
      </c>
      <c r="C212" s="253">
        <f>Wetseason!C138</f>
        <v>137</v>
      </c>
      <c r="D212" t="s">
        <v>3123</v>
      </c>
      <c r="E212" t="s">
        <v>22</v>
      </c>
      <c r="F212" s="374">
        <v>1</v>
      </c>
      <c r="G212" s="16">
        <f>'WetLitterbags placem_collection'!E139</f>
        <v>42762</v>
      </c>
      <c r="H212" t="str">
        <f>Wetseason!L138</f>
        <v>G805</v>
      </c>
      <c r="I212" t="str">
        <f>Wetseason!L358</f>
        <v>R34</v>
      </c>
      <c r="J212">
        <f>IFERROR(INDEX('Green_rooibos initial weight'!$C$5:$C$2000,MATCH(H212, 'Green_rooibos initial weight'!$A$5:$A$2000,0)),"")</f>
        <v>1.9810000000000001</v>
      </c>
      <c r="K212">
        <f>IFERROR(INDEX('Green_rooibos initial weight'!$C$5:$C$2000,MATCH(I212, 'Green_rooibos initial weight'!$A$5:$A$2000,0)),"")</f>
        <v>2.1349999999999998</v>
      </c>
      <c r="L212" s="194">
        <f t="shared" si="31"/>
        <v>1.7312000000000001</v>
      </c>
      <c r="M212" s="194">
        <f>AVERAGE(Ashed_controlls!$K$2:$K$11)</f>
        <v>5.5147656768714146</v>
      </c>
      <c r="N212" s="194">
        <f t="shared" si="28"/>
        <v>1.6357283766020021</v>
      </c>
      <c r="O212" s="194">
        <f t="shared" si="32"/>
        <v>1.8851999999999998</v>
      </c>
      <c r="P212" s="194">
        <f>AVERAGE(Ashed_controlls!$K$12:$K$14)</f>
        <v>2.2816647271287041</v>
      </c>
      <c r="Q212" s="194">
        <f t="shared" si="33"/>
        <v>1.8421860565641694</v>
      </c>
      <c r="R212" s="16">
        <f>IF('WetLitterbags placem_collection'!G139="","",'WetLitterbags placem_collection'!G139)</f>
        <v>42816</v>
      </c>
      <c r="S212" s="194">
        <f>IFERROR(INDEX('Both teabags AfterWet'!$C$3:$C$2000,MATCH(H212,'Both teabags AfterWet'!$A$3:$A$2000,0)),"")</f>
        <v>1.5740000000000001</v>
      </c>
      <c r="T212" s="194">
        <f>IFERROR(INDEX('Both teabags AfterWet'!$C$3:$C$2000,MATCH(I212,'Both teabags AfterWet'!$A$3:$A$2000,0)),"")</f>
        <v>1.571</v>
      </c>
      <c r="U212" s="194">
        <f t="shared" si="34"/>
        <v>1.4234</v>
      </c>
      <c r="V212" s="194">
        <f t="shared" si="35"/>
        <v>1.4203999999999999</v>
      </c>
      <c r="W212" s="194">
        <f>IFERROR(INDEX('Ashed teabags wet'!$K$2:$K$2000,MATCH(H212,'Ashed teabags wet'!$A$2:$A$2000,0)),"")</f>
        <v>15.662650602409292</v>
      </c>
      <c r="X212" s="233">
        <f>IFERROR(INDEX('Ashed teabags wet'!$K$2:$K$2000,MATCH(I212,'Ashed teabags wet'!$A$2:$A$2000,0)),"")</f>
        <v>7.897334649555618</v>
      </c>
      <c r="Y212" s="194">
        <f t="shared" si="40"/>
        <v>1.200457831325306</v>
      </c>
      <c r="Z212" s="194">
        <f t="shared" si="40"/>
        <v>1.3082262586377118</v>
      </c>
      <c r="AA212" s="194">
        <f t="shared" si="36"/>
        <v>0.26610197114811318</v>
      </c>
      <c r="AB212" s="194">
        <f t="shared" si="37"/>
        <v>0.17445164854365619</v>
      </c>
      <c r="AC212" s="194">
        <f t="shared" si="29"/>
        <v>0.71014882236035526</v>
      </c>
      <c r="AD212">
        <f t="shared" si="30"/>
        <v>54</v>
      </c>
      <c r="AE212" s="194">
        <f t="shared" si="38"/>
        <v>0.6839644048122171</v>
      </c>
      <c r="AF212" s="194" t="str">
        <f t="shared" si="39"/>
        <v/>
      </c>
      <c r="AG212" s="245" t="str">
        <f>IF(ISNUMBER(SEARCH("C",'WetLitterbags placem_collection'!$X139)),"YES","NO")</f>
        <v>NO</v>
      </c>
      <c r="AH212" s="245" t="str">
        <f>IF(ISNUMBER(SEARCH("H", 'WetLitterbags placem_collection'!$X139)),"YES","NO")</f>
        <v>NO</v>
      </c>
      <c r="AI212" s="245" t="str">
        <f>IF(ISNUMBER(SEARCH("R", 'WetLitterbags placem_collection'!$X139)),"YES","NO")</f>
        <v>NO</v>
      </c>
      <c r="AJ212" s="245" t="str">
        <f>IF(ISNUMBER(SEARCH("C", 'WetLitterbags placem_collection'!$V139)),"YES","NO")</f>
        <v>NO</v>
      </c>
      <c r="AK212" s="245" t="str">
        <f>IF(ISNUMBER(SEARCH("H", 'WetLitterbags placem_collection'!$V139)),"YES","NO")</f>
        <v>NO</v>
      </c>
      <c r="AL212" s="245" t="str">
        <f>IF(ISNUMBER(SEARCH("R", 'WetLitterbags placem_collection'!$V139)),"YES","NO")</f>
        <v>YES</v>
      </c>
    </row>
    <row r="213" spans="2:38">
      <c r="B213" t="str">
        <f>Wetseason!B139</f>
        <v>Wet</v>
      </c>
      <c r="C213" s="253">
        <f>Wetseason!C139</f>
        <v>138</v>
      </c>
      <c r="D213" t="s">
        <v>3123</v>
      </c>
      <c r="E213" t="s">
        <v>22</v>
      </c>
      <c r="F213" s="374">
        <v>2</v>
      </c>
      <c r="G213" s="16">
        <f>'WetLitterbags placem_collection'!E140</f>
        <v>42762</v>
      </c>
      <c r="H213" t="str">
        <f>Wetseason!L139</f>
        <v>G815</v>
      </c>
      <c r="I213" t="str">
        <f>Wetseason!L359</f>
        <v>R426</v>
      </c>
      <c r="J213">
        <f>IFERROR(INDEX('Green_rooibos initial weight'!$C$5:$C$2000,MATCH(H213, 'Green_rooibos initial weight'!$A$5:$A$2000,0)),"")</f>
        <v>1.998</v>
      </c>
      <c r="K213">
        <f>IFERROR(INDEX('Green_rooibos initial weight'!$C$5:$C$2000,MATCH(I213, 'Green_rooibos initial weight'!$A$5:$A$2000,0)),"")</f>
        <v>2.153</v>
      </c>
      <c r="L213" s="194">
        <f t="shared" si="31"/>
        <v>1.7482</v>
      </c>
      <c r="M213" s="194">
        <f>AVERAGE(Ashed_controlls!$K$2:$K$11)</f>
        <v>5.5147656768714146</v>
      </c>
      <c r="N213" s="194">
        <f t="shared" si="28"/>
        <v>1.6517908664369338</v>
      </c>
      <c r="O213" s="194">
        <f t="shared" si="32"/>
        <v>1.9032</v>
      </c>
      <c r="P213" s="194">
        <f>AVERAGE(Ashed_controlls!$K$12:$K$14)</f>
        <v>2.2816647271287041</v>
      </c>
      <c r="Q213" s="194">
        <f t="shared" si="33"/>
        <v>1.8597753569132864</v>
      </c>
      <c r="R213" s="16">
        <f>IF('WetLitterbags placem_collection'!G140="","",'WetLitterbags placem_collection'!G140)</f>
        <v>42816</v>
      </c>
      <c r="S213" s="194">
        <f>IFERROR(INDEX('Both teabags AfterWet'!$C$3:$C$2000,MATCH(H213,'Both teabags AfterWet'!$A$3:$A$2000,0)),"")</f>
        <v>0.64300000000000002</v>
      </c>
      <c r="T213" s="194">
        <f>IFERROR(INDEX('Both teabags AfterWet'!$C$3:$C$2000,MATCH(I213,'Both teabags AfterWet'!$A$3:$A$2000,0)),"")</f>
        <v>1.613</v>
      </c>
      <c r="U213" s="194">
        <f t="shared" si="34"/>
        <v>0.4924</v>
      </c>
      <c r="V213" s="194">
        <f t="shared" si="35"/>
        <v>1.4623999999999999</v>
      </c>
      <c r="W213" s="194">
        <f>IFERROR(INDEX('Ashed teabags wet'!$K$2:$K$2000,MATCH(H213,'Ashed teabags wet'!$A$2:$A$2000,0)),"")</f>
        <v>14.392059553350164</v>
      </c>
      <c r="X213" s="233">
        <f>IFERROR(INDEX('Ashed teabags wet'!$K$2:$K$2000,MATCH(I213,'Ashed teabags wet'!$A$2:$A$2000,0)),"")</f>
        <v>4.7996041563577378</v>
      </c>
      <c r="Y213" s="194">
        <f t="shared" si="40"/>
        <v>0.42153349875930379</v>
      </c>
      <c r="Z213" s="194">
        <f t="shared" si="40"/>
        <v>1.3922105888174243</v>
      </c>
      <c r="AA213" s="194">
        <f t="shared" si="36"/>
        <v>0.74480213728957678</v>
      </c>
      <c r="AB213" s="194">
        <f t="shared" si="37"/>
        <v>0.48827883584779858</v>
      </c>
      <c r="AC213" s="194">
        <f t="shared" si="29"/>
        <v>0.74859072825231399</v>
      </c>
      <c r="AD213">
        <f t="shared" si="30"/>
        <v>54</v>
      </c>
      <c r="AE213" s="194">
        <f t="shared" si="38"/>
        <v>0.11543689158007508</v>
      </c>
      <c r="AF213" s="194">
        <f t="shared" si="39"/>
        <v>1.3395870378251826E-2</v>
      </c>
      <c r="AG213" s="245" t="str">
        <f>IF(ISNUMBER(SEARCH("C",'WetLitterbags placem_collection'!$X140)),"YES","NO")</f>
        <v>NO</v>
      </c>
      <c r="AH213" s="245" t="str">
        <f>IF(ISNUMBER(SEARCH("H", 'WetLitterbags placem_collection'!$X140)),"YES","NO")</f>
        <v>NO</v>
      </c>
      <c r="AI213" s="245" t="str">
        <f>IF(ISNUMBER(SEARCH("R", 'WetLitterbags placem_collection'!$X140)),"YES","NO")</f>
        <v>YES</v>
      </c>
      <c r="AJ213" s="245" t="str">
        <f>IF(ISNUMBER(SEARCH("C", 'WetLitterbags placem_collection'!$V140)),"YES","NO")</f>
        <v>NO</v>
      </c>
      <c r="AK213" s="245" t="str">
        <f>IF(ISNUMBER(SEARCH("H", 'WetLitterbags placem_collection'!$V140)),"YES","NO")</f>
        <v>NO</v>
      </c>
      <c r="AL213" s="245" t="str">
        <f>IF(ISNUMBER(SEARCH("R", 'WetLitterbags placem_collection'!$V140)),"YES","NO")</f>
        <v>YES</v>
      </c>
    </row>
    <row r="214" spans="2:38">
      <c r="B214" t="str">
        <f>Wetseason!B140</f>
        <v>Wet</v>
      </c>
      <c r="C214" s="253">
        <f>Wetseason!C140</f>
        <v>139</v>
      </c>
      <c r="D214" t="s">
        <v>3123</v>
      </c>
      <c r="E214" t="s">
        <v>22</v>
      </c>
      <c r="F214" s="374">
        <v>3</v>
      </c>
      <c r="G214" s="16">
        <f>'WetLitterbags placem_collection'!E141</f>
        <v>42762</v>
      </c>
      <c r="H214" t="str">
        <f>Wetseason!L140</f>
        <v>G798</v>
      </c>
      <c r="I214" t="str">
        <f>Wetseason!L360</f>
        <v>R563</v>
      </c>
      <c r="J214">
        <f>IFERROR(INDEX('Green_rooibos initial weight'!$C$5:$C$2000,MATCH(H214, 'Green_rooibos initial weight'!$A$5:$A$2000,0)),"")</f>
        <v>2.089</v>
      </c>
      <c r="K214">
        <f>IFERROR(INDEX('Green_rooibos initial weight'!$C$5:$C$2000,MATCH(I214, 'Green_rooibos initial weight'!$A$5:$A$2000,0)),"")</f>
        <v>2.1150000000000002</v>
      </c>
      <c r="L214" s="194">
        <f t="shared" si="31"/>
        <v>1.8391999999999999</v>
      </c>
      <c r="M214" s="194">
        <f>AVERAGE(Ashed_controlls!$K$2:$K$11)</f>
        <v>5.5147656768714146</v>
      </c>
      <c r="N214" s="194">
        <f t="shared" si="28"/>
        <v>1.7377724296709809</v>
      </c>
      <c r="O214" s="194">
        <f t="shared" si="32"/>
        <v>1.8652000000000002</v>
      </c>
      <c r="P214" s="194">
        <f>AVERAGE(Ashed_controlls!$K$12:$K$14)</f>
        <v>2.2816647271287041</v>
      </c>
      <c r="Q214" s="194">
        <f t="shared" si="33"/>
        <v>1.8226423895095956</v>
      </c>
      <c r="R214" s="16">
        <f>IF('WetLitterbags placem_collection'!G141="","",'WetLitterbags placem_collection'!G141)</f>
        <v>42816</v>
      </c>
      <c r="S214" s="194">
        <f>IFERROR(INDEX('Both teabags AfterWet'!$C$3:$C$2000,MATCH(H214,'Both teabags AfterWet'!$A$3:$A$2000,0)),"")</f>
        <v>0.73499999999999999</v>
      </c>
      <c r="T214" s="194">
        <f>IFERROR(INDEX('Both teabags AfterWet'!$C$3:$C$2000,MATCH(I214,'Both teabags AfterWet'!$A$3:$A$2000,0)),"")</f>
        <v>2.5009999999999999</v>
      </c>
      <c r="U214" s="194">
        <f t="shared" si="34"/>
        <v>0.58440000000000003</v>
      </c>
      <c r="V214" s="194">
        <f t="shared" si="35"/>
        <v>2.3504</v>
      </c>
      <c r="W214" s="194">
        <f>IFERROR(INDEX('Ashed teabags wet'!$K$2:$K$2000,MATCH(H214,'Ashed teabags wet'!$A$2:$A$2000,0)),"")</f>
        <v>19.704433497536826</v>
      </c>
      <c r="X214" s="233">
        <f>IFERROR(INDEX('Ashed teabags wet'!$K$2:$K$2000,MATCH(I214,'Ashed teabags wet'!$A$2:$A$2000,0)),"")</f>
        <v>90.192212912765001</v>
      </c>
      <c r="Y214" s="194">
        <f t="shared" si="40"/>
        <v>0.46924729064039483</v>
      </c>
      <c r="Z214" s="194">
        <f t="shared" si="40"/>
        <v>0.23052222769837138</v>
      </c>
      <c r="AA214" s="194">
        <f t="shared" si="36"/>
        <v>0.72997195568971063</v>
      </c>
      <c r="AB214" s="194">
        <f t="shared" si="37"/>
        <v>0.47855643650916901</v>
      </c>
      <c r="AC214" s="194">
        <f t="shared" si="29"/>
        <v>0.12647693756337811</v>
      </c>
      <c r="AD214">
        <f t="shared" si="30"/>
        <v>54</v>
      </c>
      <c r="AE214" s="194">
        <f t="shared" si="38"/>
        <v>0.13304993386020114</v>
      </c>
      <c r="AF214" s="194" t="str">
        <f t="shared" si="39"/>
        <v/>
      </c>
      <c r="AG214" s="245" t="str">
        <f>IF(ISNUMBER(SEARCH("C",'WetLitterbags placem_collection'!$X141)),"YES","NO")</f>
        <v>NO</v>
      </c>
      <c r="AH214" s="245" t="str">
        <f>IF(ISNUMBER(SEARCH("H", 'WetLitterbags placem_collection'!$X141)),"YES","NO")</f>
        <v>NO</v>
      </c>
      <c r="AI214" s="245" t="str">
        <f>IF(ISNUMBER(SEARCH("R", 'WetLitterbags placem_collection'!$X141)),"YES","NO")</f>
        <v>YES</v>
      </c>
      <c r="AJ214" s="245" t="str">
        <f>IF(ISNUMBER(SEARCH("C", 'WetLitterbags placem_collection'!$V141)),"YES","NO")</f>
        <v>NO</v>
      </c>
      <c r="AK214" s="245" t="str">
        <f>IF(ISNUMBER(SEARCH("H", 'WetLitterbags placem_collection'!$V141)),"YES","NO")</f>
        <v>NO</v>
      </c>
      <c r="AL214" s="245" t="str">
        <f>IF(ISNUMBER(SEARCH("R", 'WetLitterbags placem_collection'!$V141)),"YES","NO")</f>
        <v>NO</v>
      </c>
    </row>
    <row r="215" spans="2:38">
      <c r="B215" t="str">
        <f>Wetseason!B141</f>
        <v>Wet</v>
      </c>
      <c r="C215" s="253">
        <f>Wetseason!C141</f>
        <v>140</v>
      </c>
      <c r="D215" t="s">
        <v>3123</v>
      </c>
      <c r="E215" t="s">
        <v>22</v>
      </c>
      <c r="F215" s="375">
        <v>4</v>
      </c>
      <c r="G215" s="16">
        <f>'WetLitterbags placem_collection'!E142</f>
        <v>42762</v>
      </c>
      <c r="H215" t="str">
        <f>Wetseason!L141</f>
        <v>G787</v>
      </c>
      <c r="I215" t="str">
        <f>Wetseason!L361</f>
        <v>R535</v>
      </c>
      <c r="J215">
        <f>IFERROR(INDEX('Green_rooibos initial weight'!$C$5:$C$2000,MATCH(H215, 'Green_rooibos initial weight'!$A$5:$A$2000,0)),"")</f>
        <v>2.11</v>
      </c>
      <c r="K215">
        <f>IFERROR(INDEX('Green_rooibos initial weight'!$C$5:$C$2000,MATCH(I215, 'Green_rooibos initial weight'!$A$5:$A$2000,0)),"")</f>
        <v>2.1259999999999999</v>
      </c>
      <c r="L215" s="194">
        <f t="shared" si="31"/>
        <v>1.8601999999999999</v>
      </c>
      <c r="M215" s="194">
        <f>AVERAGE(Ashed_controlls!$K$2:$K$11)</f>
        <v>5.5147656768714146</v>
      </c>
      <c r="N215" s="194">
        <f t="shared" si="28"/>
        <v>1.7576143288788377</v>
      </c>
      <c r="O215" s="194">
        <f t="shared" si="32"/>
        <v>1.8761999999999999</v>
      </c>
      <c r="P215" s="194">
        <f>AVERAGE(Ashed_controlls!$K$12:$K$14)</f>
        <v>2.2816647271287041</v>
      </c>
      <c r="Q215" s="194">
        <f t="shared" si="33"/>
        <v>1.8333914063896111</v>
      </c>
      <c r="R215" s="16">
        <f>IF('WetLitterbags placem_collection'!G142="","",'WetLitterbags placem_collection'!G142)</f>
        <v>42816</v>
      </c>
      <c r="S215" s="194">
        <f>IFERROR(INDEX('Both teabags AfterWet'!$C$3:$C$2000,MATCH(H215,'Both teabags AfterWet'!$A$3:$A$2000,0)),"")</f>
        <v>0.67869999999999997</v>
      </c>
      <c r="T215" s="194">
        <f>IFERROR(INDEX('Both teabags AfterWet'!$C$3:$C$2000,MATCH(I215,'Both teabags AfterWet'!$A$3:$A$2000,0)),"")</f>
        <v>1.5517000000000001</v>
      </c>
      <c r="U215" s="194">
        <f t="shared" si="34"/>
        <v>0.52810000000000001</v>
      </c>
      <c r="V215" s="194">
        <f t="shared" si="35"/>
        <v>1.4011</v>
      </c>
      <c r="W215" s="194">
        <f>IFERROR(INDEX('Ashed teabags wet'!$K$2:$K$2000,MATCH(H215,'Ashed teabags wet'!$A$2:$A$2000,0)),"")</f>
        <v>15.0602409638563</v>
      </c>
      <c r="X215" s="233">
        <f>IFERROR(INDEX('Ashed teabags wet'!$K$2:$K$2000,MATCH(I215,'Ashed teabags wet'!$A$2:$A$2000,0)),"")</f>
        <v>6.5646594274426793</v>
      </c>
      <c r="Y215" s="194">
        <f t="shared" si="40"/>
        <v>0.4485668674698749</v>
      </c>
      <c r="Z215" s="194">
        <f t="shared" si="40"/>
        <v>1.3091225567621005</v>
      </c>
      <c r="AA215" s="194">
        <f t="shared" si="36"/>
        <v>0.74478652108166954</v>
      </c>
      <c r="AB215" s="194">
        <f t="shared" si="37"/>
        <v>0.48826859814380241</v>
      </c>
      <c r="AC215" s="194">
        <f t="shared" si="29"/>
        <v>0.71404423092615987</v>
      </c>
      <c r="AD215">
        <f t="shared" si="30"/>
        <v>54</v>
      </c>
      <c r="AE215" s="194">
        <f t="shared" si="38"/>
        <v>0.11545543814528558</v>
      </c>
      <c r="AF215" s="194">
        <f t="shared" si="39"/>
        <v>1.6315750041474775E-2</v>
      </c>
      <c r="AG215" s="245" t="str">
        <f>IF(ISNUMBER(SEARCH("C",'WetLitterbags placem_collection'!$X142)),"YES","NO")</f>
        <v>NO</v>
      </c>
      <c r="AH215" s="245" t="str">
        <f>IF(ISNUMBER(SEARCH("H", 'WetLitterbags placem_collection'!$X142)),"YES","NO")</f>
        <v>NO</v>
      </c>
      <c r="AI215" s="245" t="str">
        <f>IF(ISNUMBER(SEARCH("R", 'WetLitterbags placem_collection'!$X142)),"YES","NO")</f>
        <v>NO</v>
      </c>
      <c r="AJ215" s="245" t="str">
        <f>IF(ISNUMBER(SEARCH("C", 'WetLitterbags placem_collection'!$V142)),"YES","NO")</f>
        <v>NO</v>
      </c>
      <c r="AK215" s="245" t="str">
        <f>IF(ISNUMBER(SEARCH("H", 'WetLitterbags placem_collection'!$V142)),"YES","NO")</f>
        <v>NO</v>
      </c>
      <c r="AL215" s="245" t="str">
        <f>IF(ISNUMBER(SEARCH("R", 'WetLitterbags placem_collection'!$V142)),"YES","NO")</f>
        <v>NO</v>
      </c>
    </row>
    <row r="216" spans="2:38">
      <c r="B216" t="str">
        <f>Wetseason!B142</f>
        <v>Wet</v>
      </c>
      <c r="C216" s="253">
        <f>Wetseason!C142</f>
        <v>141</v>
      </c>
      <c r="D216" t="s">
        <v>3123</v>
      </c>
      <c r="E216" t="s">
        <v>22</v>
      </c>
      <c r="F216" s="375">
        <v>5</v>
      </c>
      <c r="G216" s="16">
        <f>'WetLitterbags placem_collection'!E143</f>
        <v>42762</v>
      </c>
      <c r="H216" t="str">
        <f>Wetseason!L142</f>
        <v>G900</v>
      </c>
      <c r="I216" t="str">
        <f>Wetseason!L362</f>
        <v>R581</v>
      </c>
      <c r="J216">
        <f>IFERROR(INDEX('Green_rooibos initial weight'!$C$5:$C$2000,MATCH(H216, 'Green_rooibos initial weight'!$A$5:$A$2000,0)),"")</f>
        <v>2.0910000000000002</v>
      </c>
      <c r="K216">
        <f>IFERROR(INDEX('Green_rooibos initial weight'!$C$5:$C$2000,MATCH(I216, 'Green_rooibos initial weight'!$A$5:$A$2000,0)),"")</f>
        <v>2.069</v>
      </c>
      <c r="L216" s="194">
        <f t="shared" si="31"/>
        <v>1.8412000000000002</v>
      </c>
      <c r="M216" s="194">
        <f>AVERAGE(Ashed_controlls!$K$2:$K$11)</f>
        <v>5.5147656768714146</v>
      </c>
      <c r="N216" s="194">
        <f t="shared" si="28"/>
        <v>1.7396621343574437</v>
      </c>
      <c r="O216" s="194">
        <f t="shared" si="32"/>
        <v>1.8191999999999999</v>
      </c>
      <c r="P216" s="194">
        <f>AVERAGE(Ashed_controlls!$K$12:$K$14)</f>
        <v>2.2816647271287041</v>
      </c>
      <c r="Q216" s="194">
        <f t="shared" si="33"/>
        <v>1.7776919552840746</v>
      </c>
      <c r="R216" s="16">
        <f>IF('WetLitterbags placem_collection'!G143="","",'WetLitterbags placem_collection'!G143)</f>
        <v>42816</v>
      </c>
      <c r="S216" s="194">
        <f>IFERROR(INDEX('Both teabags AfterWet'!$C$3:$C$2000,MATCH(H216,'Both teabags AfterWet'!$A$3:$A$2000,0)),"")</f>
        <v>1.5369999999999999</v>
      </c>
      <c r="T216" s="194">
        <f>IFERROR(INDEX('Both teabags AfterWet'!$C$3:$C$2000,MATCH(I216,'Both teabags AfterWet'!$A$3:$A$2000,0)),"")</f>
        <v>1.2849999999999999</v>
      </c>
      <c r="U216" s="194">
        <f t="shared" si="34"/>
        <v>1.3863999999999999</v>
      </c>
      <c r="V216" s="194">
        <f t="shared" si="35"/>
        <v>1.1343999999999999</v>
      </c>
      <c r="W216" s="194">
        <f>IFERROR(INDEX('Ashed teabags wet'!$K$2:$K$2000,MATCH(H216,'Ashed teabags wet'!$A$2:$A$2000,0)),"")</f>
        <v>34.652509652509345</v>
      </c>
      <c r="X216" s="233">
        <f>IFERROR(INDEX('Ashed teabags wet'!$K$2:$K$2000,MATCH(I216,'Ashed teabags wet'!$A$2:$A$2000,0)),"")</f>
        <v>87.823960880195301</v>
      </c>
      <c r="Y216" s="194">
        <f t="shared" si="40"/>
        <v>0.90597760617761036</v>
      </c>
      <c r="Z216" s="194">
        <f t="shared" si="40"/>
        <v>0.13812498777506443</v>
      </c>
      <c r="AA216" s="194">
        <f t="shared" si="36"/>
        <v>0.4792220924482905</v>
      </c>
      <c r="AB216" s="194">
        <f t="shared" si="37"/>
        <v>0.31416935276895058</v>
      </c>
      <c r="AC216" s="194">
        <f t="shared" si="29"/>
        <v>7.769905655729431E-2</v>
      </c>
      <c r="AD216">
        <f t="shared" si="30"/>
        <v>54</v>
      </c>
      <c r="AE216" s="194">
        <f t="shared" si="38"/>
        <v>0.43085262179537942</v>
      </c>
      <c r="AF216" s="194" t="str">
        <f t="shared" si="39"/>
        <v/>
      </c>
      <c r="AG216" s="245" t="str">
        <f>IF(ISNUMBER(SEARCH("C",'WetLitterbags placem_collection'!$X143)),"YES","NO")</f>
        <v>NO</v>
      </c>
      <c r="AH216" s="245" t="str">
        <f>IF(ISNUMBER(SEARCH("H", 'WetLitterbags placem_collection'!$X143)),"YES","NO")</f>
        <v>NO</v>
      </c>
      <c r="AI216" s="245" t="str">
        <f>IF(ISNUMBER(SEARCH("R", 'WetLitterbags placem_collection'!$X143)),"YES","NO")</f>
        <v>NO</v>
      </c>
      <c r="AJ216" s="245" t="str">
        <f>IF(ISNUMBER(SEARCH("C", 'WetLitterbags placem_collection'!$V143)),"YES","NO")</f>
        <v>NO</v>
      </c>
      <c r="AK216" s="245" t="str">
        <f>IF(ISNUMBER(SEARCH("H", 'WetLitterbags placem_collection'!$V143)),"YES","NO")</f>
        <v>YES</v>
      </c>
      <c r="AL216" s="245" t="str">
        <f>IF(ISNUMBER(SEARCH("R", 'WetLitterbags placem_collection'!$V143)),"YES","NO")</f>
        <v>YES</v>
      </c>
    </row>
    <row r="217" spans="2:38">
      <c r="B217" t="str">
        <f>Wetseason!B143</f>
        <v>Wet</v>
      </c>
      <c r="C217" s="253">
        <f>Wetseason!C143</f>
        <v>142</v>
      </c>
      <c r="D217" t="s">
        <v>3123</v>
      </c>
      <c r="E217" t="s">
        <v>22</v>
      </c>
      <c r="F217" s="375">
        <v>6</v>
      </c>
      <c r="G217" s="16">
        <f>'WetLitterbags placem_collection'!E144</f>
        <v>42762</v>
      </c>
      <c r="H217" t="str">
        <f>Wetseason!L143</f>
        <v>G817</v>
      </c>
      <c r="I217" t="str">
        <f>Wetseason!L363</f>
        <v>R460</v>
      </c>
      <c r="J217">
        <f>IFERROR(INDEX('Green_rooibos initial weight'!$C$5:$C$2000,MATCH(H217, 'Green_rooibos initial weight'!$A$5:$A$2000,0)),"")</f>
        <v>1.9770000000000001</v>
      </c>
      <c r="K217">
        <f>IFERROR(INDEX('Green_rooibos initial weight'!$C$5:$C$2000,MATCH(I217, 'Green_rooibos initial weight'!$A$5:$A$2000,0)),"")</f>
        <v>2.1659999999999999</v>
      </c>
      <c r="L217" s="194">
        <f t="shared" si="31"/>
        <v>1.7272000000000001</v>
      </c>
      <c r="M217" s="194">
        <f>AVERAGE(Ashed_controlls!$K$2:$K$11)</f>
        <v>5.5147656768714146</v>
      </c>
      <c r="N217" s="194">
        <f t="shared" si="28"/>
        <v>1.631948967229077</v>
      </c>
      <c r="O217" s="194">
        <f t="shared" si="32"/>
        <v>1.9161999999999999</v>
      </c>
      <c r="P217" s="194">
        <f>AVERAGE(Ashed_controlls!$K$12:$K$14)</f>
        <v>2.2816647271287041</v>
      </c>
      <c r="Q217" s="194">
        <f t="shared" si="33"/>
        <v>1.8724787404987597</v>
      </c>
      <c r="R217" s="16">
        <f>IF('WetLitterbags placem_collection'!G144="","",'WetLitterbags placem_collection'!G144)</f>
        <v>42816</v>
      </c>
      <c r="S217" s="194">
        <f>IFERROR(INDEX('Both teabags AfterWet'!$C$3:$C$2000,MATCH(H217,'Both teabags AfterWet'!$A$3:$A$2000,0)),"")</f>
        <v>0.99069999999999991</v>
      </c>
      <c r="T217" s="194">
        <f>IFERROR(INDEX('Both teabags AfterWet'!$C$3:$C$2000,MATCH(I217,'Both teabags AfterWet'!$A$3:$A$2000,0)),"")</f>
        <v>0.14299999999999999</v>
      </c>
      <c r="U217" s="194">
        <f t="shared" si="34"/>
        <v>0.84009999999999985</v>
      </c>
      <c r="V217" s="194">
        <f t="shared" si="35"/>
        <v>-7.6000000000000234E-3</v>
      </c>
      <c r="W217" s="194">
        <f>IFERROR(INDEX('Ashed teabags wet'!$K$2:$K$2000,MATCH(H217,'Ashed teabags wet'!$A$2:$A$2000,0)),"")</f>
        <v>45.987198424421408</v>
      </c>
      <c r="X217" s="233">
        <f>IFERROR(INDEX('Ashed teabags wet'!$K$2:$K$2000,MATCH(I217,'Ashed teabags wet'!$A$2:$A$2000,0)),"")</f>
        <v>0</v>
      </c>
      <c r="Y217" s="194">
        <f t="shared" si="40"/>
        <v>0.4537615460364357</v>
      </c>
      <c r="Z217" s="194">
        <f t="shared" si="40"/>
        <v>-7.6000000000000234E-3</v>
      </c>
      <c r="AA217" s="194">
        <f t="shared" si="36"/>
        <v>0.72195114237739455</v>
      </c>
      <c r="AB217" s="194">
        <f t="shared" si="37"/>
        <v>0.47329813609539412</v>
      </c>
      <c r="AC217" s="194">
        <f t="shared" si="29"/>
        <v>-4.0587910749660429E-3</v>
      </c>
      <c r="AD217">
        <f t="shared" si="30"/>
        <v>54</v>
      </c>
      <c r="AE217" s="194">
        <f t="shared" si="38"/>
        <v>0.14257584040689475</v>
      </c>
      <c r="AF217" s="194" t="str">
        <f t="shared" si="39"/>
        <v/>
      </c>
      <c r="AG217" s="245" t="str">
        <f>IF(ISNUMBER(SEARCH("C",'WetLitterbags placem_collection'!$X144)),"YES","NO")</f>
        <v>NO</v>
      </c>
      <c r="AH217" s="245" t="str">
        <f>IF(ISNUMBER(SEARCH("H", 'WetLitterbags placem_collection'!$X144)),"YES","NO")</f>
        <v>NO</v>
      </c>
      <c r="AI217" s="245" t="str">
        <f>IF(ISNUMBER(SEARCH("R", 'WetLitterbags placem_collection'!$X144)),"YES","NO")</f>
        <v>NO</v>
      </c>
      <c r="AJ217" s="245" t="str">
        <f>IF(ISNUMBER(SEARCH("C", 'WetLitterbags placem_collection'!$V144)),"YES","NO")</f>
        <v>NO</v>
      </c>
      <c r="AK217" s="245" t="str">
        <f>IF(ISNUMBER(SEARCH("H", 'WetLitterbags placem_collection'!$V144)),"YES","NO")</f>
        <v>YES</v>
      </c>
      <c r="AL217" s="245" t="str">
        <f>IF(ISNUMBER(SEARCH("R", 'WetLitterbags placem_collection'!$V144)),"YES","NO")</f>
        <v>NO</v>
      </c>
    </row>
    <row r="218" spans="2:38">
      <c r="B218" t="str">
        <f>Wetseason!B144</f>
        <v>Wet</v>
      </c>
      <c r="C218" s="253">
        <f>Wetseason!C144</f>
        <v>143</v>
      </c>
      <c r="D218" t="s">
        <v>3123</v>
      </c>
      <c r="E218" t="s">
        <v>22</v>
      </c>
      <c r="F218" s="375">
        <v>7</v>
      </c>
      <c r="G218" s="16">
        <f>'WetLitterbags placem_collection'!E145</f>
        <v>42762</v>
      </c>
      <c r="H218" t="str">
        <f>Wetseason!L144</f>
        <v>G836</v>
      </c>
      <c r="I218" t="str">
        <f>Wetseason!L364</f>
        <v>R456</v>
      </c>
      <c r="J218">
        <f>IFERROR(INDEX('Green_rooibos initial weight'!$C$5:$C$2000,MATCH(H218, 'Green_rooibos initial weight'!$A$5:$A$2000,0)),"")</f>
        <v>2.0419999999999998</v>
      </c>
      <c r="K218">
        <f>IFERROR(INDEX('Green_rooibos initial weight'!$C$5:$C$2000,MATCH(I218, 'Green_rooibos initial weight'!$A$5:$A$2000,0)),"")</f>
        <v>2.23</v>
      </c>
      <c r="L218" s="194">
        <f t="shared" si="31"/>
        <v>1.7921999999999998</v>
      </c>
      <c r="M218" s="194">
        <f>AVERAGE(Ashed_controlls!$K$2:$K$11)</f>
        <v>5.5147656768714146</v>
      </c>
      <c r="N218" s="194">
        <f t="shared" si="28"/>
        <v>1.6933643695391103</v>
      </c>
      <c r="O218" s="194">
        <f t="shared" si="32"/>
        <v>1.9802</v>
      </c>
      <c r="P218" s="194">
        <f>AVERAGE(Ashed_controlls!$K$12:$K$14)</f>
        <v>2.2816647271287041</v>
      </c>
      <c r="Q218" s="194">
        <f t="shared" si="33"/>
        <v>1.9350184750733974</v>
      </c>
      <c r="R218" s="16">
        <f>IF('WetLitterbags placem_collection'!G145="","",'WetLitterbags placem_collection'!G145)</f>
        <v>42816</v>
      </c>
      <c r="S218" s="194">
        <f>IFERROR(INDEX('Both teabags AfterWet'!$C$3:$C$2000,MATCH(H218,'Both teabags AfterWet'!$A$3:$A$2000,0)),"")</f>
        <v>0.60970000000000002</v>
      </c>
      <c r="T218" s="194">
        <f>IFERROR(INDEX('Both teabags AfterWet'!$C$3:$C$2000,MATCH(I218,'Both teabags AfterWet'!$A$3:$A$2000,0)),"")</f>
        <v>1.6178999999999999</v>
      </c>
      <c r="U218" s="194">
        <f t="shared" si="34"/>
        <v>0.45910000000000001</v>
      </c>
      <c r="V218" s="194">
        <f t="shared" si="35"/>
        <v>1.4672999999999998</v>
      </c>
      <c r="W218" s="194">
        <f>IFERROR(INDEX('Ashed teabags wet'!$K$2:$K$2000,MATCH(H218,'Ashed teabags wet'!$A$2:$A$2000,0)),"")</f>
        <v>13.060240963856003</v>
      </c>
      <c r="X218" s="233">
        <f>IFERROR(INDEX('Ashed teabags wet'!$K$2:$K$2000,MATCH(I218,'Ashed teabags wet'!$A$2:$A$2000,0)),"")</f>
        <v>1.7996108949419758</v>
      </c>
      <c r="Y218" s="194">
        <f t="shared" si="40"/>
        <v>0.39914043373493707</v>
      </c>
      <c r="Z218" s="194">
        <f t="shared" si="40"/>
        <v>1.4408943093385163</v>
      </c>
      <c r="AA218" s="194">
        <f t="shared" si="36"/>
        <v>0.76429146560844863</v>
      </c>
      <c r="AB218" s="194">
        <f t="shared" si="37"/>
        <v>0.50105568766729658</v>
      </c>
      <c r="AC218" s="194">
        <f t="shared" si="29"/>
        <v>0.74464111216502027</v>
      </c>
      <c r="AD218">
        <f t="shared" si="30"/>
        <v>54</v>
      </c>
      <c r="AE218" s="194">
        <f t="shared" si="38"/>
        <v>9.2290420892578773E-2</v>
      </c>
      <c r="AF218" s="194">
        <f t="shared" si="39"/>
        <v>1.3196648022028601E-2</v>
      </c>
      <c r="AG218" s="245" t="str">
        <f>IF(ISNUMBER(SEARCH("C",'WetLitterbags placem_collection'!$X145)),"YES","NO")</f>
        <v>NO</v>
      </c>
      <c r="AH218" s="245" t="str">
        <f>IF(ISNUMBER(SEARCH("H", 'WetLitterbags placem_collection'!$X145)),"YES","NO")</f>
        <v>NO</v>
      </c>
      <c r="AI218" s="245" t="str">
        <f>IF(ISNUMBER(SEARCH("R", 'WetLitterbags placem_collection'!$X145)),"YES","NO")</f>
        <v>YES</v>
      </c>
      <c r="AJ218" s="245" t="str">
        <f>IF(ISNUMBER(SEARCH("C", 'WetLitterbags placem_collection'!$V145)),"YES","NO")</f>
        <v>NO</v>
      </c>
      <c r="AK218" s="245" t="str">
        <f>IF(ISNUMBER(SEARCH("H", 'WetLitterbags placem_collection'!$V145)),"YES","NO")</f>
        <v>NO</v>
      </c>
      <c r="AL218" s="245" t="str">
        <f>IF(ISNUMBER(SEARCH("R", 'WetLitterbags placem_collection'!$V145)),"YES","NO")</f>
        <v>YES</v>
      </c>
    </row>
    <row r="219" spans="2:38">
      <c r="B219" t="str">
        <f>Wetseason!B145</f>
        <v>Wet</v>
      </c>
      <c r="C219" s="253">
        <f>Wetseason!C145</f>
        <v>144</v>
      </c>
      <c r="D219" t="s">
        <v>3123</v>
      </c>
      <c r="E219" t="s">
        <v>22</v>
      </c>
      <c r="F219" s="375">
        <v>8</v>
      </c>
      <c r="G219" s="16">
        <f>'WetLitterbags placem_collection'!E146</f>
        <v>42762</v>
      </c>
      <c r="H219" t="str">
        <f>Wetseason!L145</f>
        <v>G784</v>
      </c>
      <c r="I219" t="str">
        <f>Wetseason!L365</f>
        <v>R571</v>
      </c>
      <c r="J219">
        <f>IFERROR(INDEX('Green_rooibos initial weight'!$C$5:$C$2000,MATCH(H219, 'Green_rooibos initial weight'!$A$5:$A$2000,0)),"")</f>
        <v>2.1070000000000002</v>
      </c>
      <c r="K219">
        <f>IFERROR(INDEX('Green_rooibos initial weight'!$C$5:$C$2000,MATCH(I219, 'Green_rooibos initial weight'!$A$5:$A$2000,0)),"")</f>
        <v>2.117</v>
      </c>
      <c r="L219" s="194">
        <f t="shared" si="31"/>
        <v>1.8572000000000002</v>
      </c>
      <c r="M219" s="194">
        <f>AVERAGE(Ashed_controlls!$K$2:$K$11)</f>
        <v>5.5147656768714146</v>
      </c>
      <c r="N219" s="194">
        <f t="shared" si="28"/>
        <v>1.7547797718491442</v>
      </c>
      <c r="O219" s="194">
        <f t="shared" si="32"/>
        <v>1.8672</v>
      </c>
      <c r="P219" s="194">
        <f>AVERAGE(Ashed_controlls!$K$12:$K$14)</f>
        <v>2.2816647271287041</v>
      </c>
      <c r="Q219" s="194">
        <f t="shared" si="33"/>
        <v>1.8245967562150529</v>
      </c>
      <c r="R219" s="16">
        <f>IF('WetLitterbags placem_collection'!G146="","",'WetLitterbags placem_collection'!G146)</f>
        <v>42816</v>
      </c>
      <c r="S219" s="194">
        <f>IFERROR(INDEX('Both teabags AfterWet'!$C$3:$C$2000,MATCH(H219,'Both teabags AfterWet'!$A$3:$A$2000,0)),"")</f>
        <v>0.78500000000000003</v>
      </c>
      <c r="T219" s="194">
        <f>IFERROR(INDEX('Both teabags AfterWet'!$C$3:$C$2000,MATCH(I219,'Both teabags AfterWet'!$A$3:$A$2000,0)),"")</f>
        <v>1.365</v>
      </c>
      <c r="U219" s="194">
        <f t="shared" si="34"/>
        <v>0.63440000000000007</v>
      </c>
      <c r="V219" s="194">
        <f t="shared" si="35"/>
        <v>1.2143999999999999</v>
      </c>
      <c r="W219" s="194">
        <f>IFERROR(INDEX('Ashed teabags wet'!$K$2:$K$2000,MATCH(H219,'Ashed teabags wet'!$A$2:$A$2000,0)),"")</f>
        <v>26.404773744405041</v>
      </c>
      <c r="X219" s="233">
        <f>IFERROR(INDEX('Ashed teabags wet'!$K$2:$K$2000,MATCH(I219,'Ashed teabags wet'!$A$2:$A$2000,0)),"")</f>
        <v>77.783132530120469</v>
      </c>
      <c r="Y219" s="194">
        <f t="shared" si="40"/>
        <v>0.46688811536549446</v>
      </c>
      <c r="Z219" s="194">
        <f t="shared" si="40"/>
        <v>0.26980163855421702</v>
      </c>
      <c r="AA219" s="194">
        <f t="shared" si="36"/>
        <v>0.73393349817709652</v>
      </c>
      <c r="AB219" s="194">
        <f t="shared" si="37"/>
        <v>0.48115355224911799</v>
      </c>
      <c r="AC219" s="194">
        <f t="shared" si="29"/>
        <v>0.14786918678617739</v>
      </c>
      <c r="AD219">
        <f t="shared" si="30"/>
        <v>54</v>
      </c>
      <c r="AE219" s="194">
        <f t="shared" si="38"/>
        <v>0.12834501404145304</v>
      </c>
      <c r="AF219" s="194" t="str">
        <f t="shared" si="39"/>
        <v/>
      </c>
      <c r="AG219" s="245" t="str">
        <f>IF(ISNUMBER(SEARCH("C",'WetLitterbags placem_collection'!$X146)),"YES","NO")</f>
        <v>NO</v>
      </c>
      <c r="AH219" s="245" t="str">
        <f>IF(ISNUMBER(SEARCH("H", 'WetLitterbags placem_collection'!$X146)),"YES","NO")</f>
        <v>NO</v>
      </c>
      <c r="AI219" s="245" t="str">
        <f>IF(ISNUMBER(SEARCH("R", 'WetLitterbags placem_collection'!$X146)),"YES","NO")</f>
        <v>YES</v>
      </c>
      <c r="AJ219" s="245" t="str">
        <f>IF(ISNUMBER(SEARCH("C", 'WetLitterbags placem_collection'!$V146)),"YES","NO")</f>
        <v>NO</v>
      </c>
      <c r="AK219" s="245" t="str">
        <f>IF(ISNUMBER(SEARCH("H", 'WetLitterbags placem_collection'!$V146)),"YES","NO")</f>
        <v>NO</v>
      </c>
      <c r="AL219" s="245" t="str">
        <f>IF(ISNUMBER(SEARCH("R", 'WetLitterbags placem_collection'!$V146)),"YES","NO")</f>
        <v>YES</v>
      </c>
    </row>
    <row r="220" spans="2:38">
      <c r="B220" t="str">
        <f>Wetseason!B146</f>
        <v>Wet</v>
      </c>
      <c r="C220" s="253">
        <f>Wetseason!C146</f>
        <v>145</v>
      </c>
      <c r="D220" t="s">
        <v>3124</v>
      </c>
      <c r="E220" t="s">
        <v>22</v>
      </c>
      <c r="F220" s="374">
        <v>1</v>
      </c>
      <c r="G220" s="16">
        <f>'WetLitterbags placem_collection'!E147</f>
        <v>42762</v>
      </c>
      <c r="H220" t="str">
        <f>Wetseason!L146</f>
        <v>G902</v>
      </c>
      <c r="I220" t="str">
        <f>Wetseason!L366</f>
        <v>R27</v>
      </c>
      <c r="J220">
        <f>IFERROR(INDEX('Green_rooibos initial weight'!$C$5:$C$2000,MATCH(H220, 'Green_rooibos initial weight'!$A$5:$A$2000,0)),"")</f>
        <v>2.0750000000000002</v>
      </c>
      <c r="K220">
        <f>IFERROR(INDEX('Green_rooibos initial weight'!$C$5:$C$2000,MATCH(I220, 'Green_rooibos initial weight'!$A$5:$A$2000,0)),"")</f>
        <v>2.0550000000000002</v>
      </c>
      <c r="L220" s="194">
        <f t="shared" si="31"/>
        <v>1.8252000000000002</v>
      </c>
      <c r="M220" s="194">
        <f>AVERAGE(Ashed_controlls!$K$2:$K$11)</f>
        <v>5.5147656768714146</v>
      </c>
      <c r="N220" s="194">
        <f t="shared" si="28"/>
        <v>1.7245444968657431</v>
      </c>
      <c r="O220" s="194">
        <f t="shared" si="32"/>
        <v>1.8052000000000001</v>
      </c>
      <c r="P220" s="194">
        <f>AVERAGE(Ashed_controlls!$K$12:$K$14)</f>
        <v>2.2816647271287041</v>
      </c>
      <c r="Q220" s="194">
        <f t="shared" si="33"/>
        <v>1.7640113883458728</v>
      </c>
      <c r="R220" s="16">
        <f>IF('WetLitterbags placem_collection'!G147="","",'WetLitterbags placem_collection'!G147)</f>
        <v>42815</v>
      </c>
      <c r="S220" s="194">
        <f>IFERROR(INDEX('Both teabags AfterWet'!$C$3:$C$2000,MATCH(H220,'Both teabags AfterWet'!$A$3:$A$2000,0)),"")</f>
        <v>0.79200000000000004</v>
      </c>
      <c r="T220" s="194">
        <f>IFERROR(INDEX('Both teabags AfterWet'!$C$3:$C$2000,MATCH(I220,'Both teabags AfterWet'!$A$3:$A$2000,0)),"")</f>
        <v>1.6830000000000001</v>
      </c>
      <c r="U220" s="194">
        <f t="shared" si="34"/>
        <v>0.64139999999999997</v>
      </c>
      <c r="V220" s="194">
        <f t="shared" si="35"/>
        <v>1.5324</v>
      </c>
      <c r="W220" s="194">
        <f>IFERROR(INDEX('Ashed teabags wet'!$K$2:$K$2000,MATCH(H220,'Ashed teabags wet'!$A$2:$A$2000,0)),"")</f>
        <v>20.158102766798436</v>
      </c>
      <c r="X220" s="233">
        <f>IFERROR(INDEX('Ashed teabags wet'!$K$2:$K$2000,MATCH(I220,'Ashed teabags wet'!$A$2:$A$2000,0)),"")</f>
        <v>8.5603112840463975</v>
      </c>
      <c r="Y220" s="194">
        <f t="shared" si="40"/>
        <v>0.51210592885375483</v>
      </c>
      <c r="Z220" s="194">
        <f t="shared" si="40"/>
        <v>1.4012217898832731</v>
      </c>
      <c r="AA220" s="194">
        <f t="shared" si="36"/>
        <v>0.70304858483821264</v>
      </c>
      <c r="AB220" s="194">
        <f t="shared" si="37"/>
        <v>0.46090596060652428</v>
      </c>
      <c r="AC220" s="194">
        <f t="shared" si="29"/>
        <v>0.7943382900703434</v>
      </c>
      <c r="AD220">
        <f t="shared" si="30"/>
        <v>53</v>
      </c>
      <c r="AE220" s="194">
        <f t="shared" si="38"/>
        <v>0.16502543368383293</v>
      </c>
      <c r="AF220" s="194">
        <f t="shared" si="39"/>
        <v>1.1150435842864397E-2</v>
      </c>
      <c r="AG220" s="245" t="str">
        <f>IF(ISNUMBER(SEARCH("C",'WetLitterbags placem_collection'!$X147)),"YES","NO")</f>
        <v>NO</v>
      </c>
      <c r="AH220" s="245" t="str">
        <f>IF(ISNUMBER(SEARCH("H", 'WetLitterbags placem_collection'!$X147)),"YES","NO")</f>
        <v>NO</v>
      </c>
      <c r="AI220" s="245" t="str">
        <f>IF(ISNUMBER(SEARCH("R", 'WetLitterbags placem_collection'!$X147)),"YES","NO")</f>
        <v>NO</v>
      </c>
      <c r="AJ220" s="245" t="str">
        <f>IF(ISNUMBER(SEARCH("C", 'WetLitterbags placem_collection'!$V147)),"YES","NO")</f>
        <v>NO</v>
      </c>
      <c r="AK220" s="245" t="str">
        <f>IF(ISNUMBER(SEARCH("H", 'WetLitterbags placem_collection'!$V147)),"YES","NO")</f>
        <v>NO</v>
      </c>
      <c r="AL220" s="245" t="str">
        <f>IF(ISNUMBER(SEARCH("R", 'WetLitterbags placem_collection'!$V147)),"YES","NO")</f>
        <v>YES</v>
      </c>
    </row>
    <row r="221" spans="2:38">
      <c r="B221" t="str">
        <f>Wetseason!B147</f>
        <v>Wet</v>
      </c>
      <c r="C221" s="253">
        <f>Wetseason!C147</f>
        <v>146</v>
      </c>
      <c r="D221" t="s">
        <v>3124</v>
      </c>
      <c r="E221" t="s">
        <v>22</v>
      </c>
      <c r="F221" s="374">
        <v>2</v>
      </c>
      <c r="G221" s="16">
        <f>'WetLitterbags placem_collection'!E148</f>
        <v>42762</v>
      </c>
      <c r="H221" t="str">
        <f>Wetseason!L147</f>
        <v>G689</v>
      </c>
      <c r="I221" t="str">
        <f>Wetseason!L367</f>
        <v>R492</v>
      </c>
      <c r="J221">
        <f>IFERROR(INDEX('Green_rooibos initial weight'!$C$5:$C$2000,MATCH(H221, 'Green_rooibos initial weight'!$A$5:$A$2000,0)),"")</f>
        <v>2.0339999999999998</v>
      </c>
      <c r="K221">
        <f>IFERROR(INDEX('Green_rooibos initial weight'!$C$5:$C$2000,MATCH(I221, 'Green_rooibos initial weight'!$A$5:$A$2000,0)),"")</f>
        <v>2.2519999999999998</v>
      </c>
      <c r="L221" s="194">
        <f t="shared" si="31"/>
        <v>1.7841999999999998</v>
      </c>
      <c r="M221" s="194">
        <f>AVERAGE(Ashed_controlls!$K$2:$K$11)</f>
        <v>5.5147656768714146</v>
      </c>
      <c r="N221" s="194">
        <f t="shared" si="28"/>
        <v>1.6858055507932601</v>
      </c>
      <c r="O221" s="194">
        <f t="shared" si="32"/>
        <v>2.0021999999999998</v>
      </c>
      <c r="P221" s="194">
        <f>AVERAGE(Ashed_controlls!$K$12:$K$14)</f>
        <v>2.2816647271287041</v>
      </c>
      <c r="Q221" s="194">
        <f t="shared" si="33"/>
        <v>1.9565165088334289</v>
      </c>
      <c r="R221" s="16">
        <f>IF('WetLitterbags placem_collection'!G148="","",'WetLitterbags placem_collection'!G148)</f>
        <v>42815</v>
      </c>
      <c r="S221" s="194">
        <f>IFERROR(INDEX('Both teabags AfterWet'!$C$3:$C$2000,MATCH(H221,'Both teabags AfterWet'!$A$3:$A$2000,0)),"")</f>
        <v>0.52200000000000002</v>
      </c>
      <c r="T221" s="194">
        <f>IFERROR(INDEX('Both teabags AfterWet'!$C$3:$C$2000,MATCH(I221,'Both teabags AfterWet'!$A$3:$A$2000,0)),"")</f>
        <v>1.6579999999999999</v>
      </c>
      <c r="U221" s="194">
        <f t="shared" si="34"/>
        <v>0.37140000000000001</v>
      </c>
      <c r="V221" s="194">
        <f t="shared" si="35"/>
        <v>1.5073999999999999</v>
      </c>
      <c r="W221" s="194">
        <f>IFERROR(INDEX('Ashed teabags wet'!$K$2:$K$2000,MATCH(H221,'Ashed teabags wet'!$A$2:$A$2000,0)),"")</f>
        <v>14.092009685229803</v>
      </c>
      <c r="X221" s="233">
        <f>IFERROR(INDEX('Ashed teabags wet'!$K$2:$K$2000,MATCH(I221,'Ashed teabags wet'!$A$2:$A$2000,0)),"")</f>
        <v>4.0599323344614637</v>
      </c>
      <c r="Y221" s="194">
        <f t="shared" si="40"/>
        <v>0.31906227602905651</v>
      </c>
      <c r="Z221" s="194">
        <f t="shared" si="40"/>
        <v>1.4462005799903277</v>
      </c>
      <c r="AA221" s="194">
        <f t="shared" si="36"/>
        <v>0.81073601526645767</v>
      </c>
      <c r="AB221" s="194">
        <f t="shared" si="37"/>
        <v>0.53150389599416226</v>
      </c>
      <c r="AC221" s="194">
        <f t="shared" si="29"/>
        <v>0.73917116132724248</v>
      </c>
      <c r="AD221">
        <f t="shared" si="30"/>
        <v>53</v>
      </c>
      <c r="AE221" s="194">
        <f t="shared" si="38"/>
        <v>3.7130623198981416E-2</v>
      </c>
      <c r="AF221" s="194">
        <f t="shared" si="39"/>
        <v>1.2731914659862249E-2</v>
      </c>
      <c r="AG221" s="245" t="str">
        <f>IF(ISNUMBER(SEARCH("C",'WetLitterbags placem_collection'!$X148)),"YES","NO")</f>
        <v>NO</v>
      </c>
      <c r="AH221" s="245" t="str">
        <f>IF(ISNUMBER(SEARCH("H", 'WetLitterbags placem_collection'!$X148)),"YES","NO")</f>
        <v>NO</v>
      </c>
      <c r="AI221" s="245" t="str">
        <f>IF(ISNUMBER(SEARCH("R", 'WetLitterbags placem_collection'!$X148)),"YES","NO")</f>
        <v>YES</v>
      </c>
      <c r="AJ221" s="245" t="str">
        <f>IF(ISNUMBER(SEARCH("C", 'WetLitterbags placem_collection'!$V148)),"YES","NO")</f>
        <v>NO</v>
      </c>
      <c r="AK221" s="245" t="str">
        <f>IF(ISNUMBER(SEARCH("H", 'WetLitterbags placem_collection'!$V148)),"YES","NO")</f>
        <v>YES</v>
      </c>
      <c r="AL221" s="245" t="str">
        <f>IF(ISNUMBER(SEARCH("R", 'WetLitterbags placem_collection'!$V148)),"YES","NO")</f>
        <v>YES</v>
      </c>
    </row>
    <row r="222" spans="2:38">
      <c r="B222" t="str">
        <f>Wetseason!B148</f>
        <v>Wet</v>
      </c>
      <c r="C222" s="253">
        <f>Wetseason!C148</f>
        <v>147</v>
      </c>
      <c r="D222" t="s">
        <v>3124</v>
      </c>
      <c r="E222" t="s">
        <v>22</v>
      </c>
      <c r="F222" s="374">
        <v>3</v>
      </c>
      <c r="G222" s="16">
        <f>'WetLitterbags placem_collection'!E149</f>
        <v>42762</v>
      </c>
      <c r="H222" t="str">
        <f>Wetseason!L148</f>
        <v>G678</v>
      </c>
      <c r="I222" t="str">
        <f>Wetseason!L368</f>
        <v>R573</v>
      </c>
      <c r="J222">
        <f>IFERROR(INDEX('Green_rooibos initial weight'!$C$5:$C$2000,MATCH(H222, 'Green_rooibos initial weight'!$A$5:$A$2000,0)),"")</f>
        <v>2.012</v>
      </c>
      <c r="K222">
        <f>IFERROR(INDEX('Green_rooibos initial weight'!$C$5:$C$2000,MATCH(I222, 'Green_rooibos initial weight'!$A$5:$A$2000,0)),"")</f>
        <v>2.097</v>
      </c>
      <c r="L222" s="194">
        <f t="shared" si="31"/>
        <v>1.7622</v>
      </c>
      <c r="M222" s="194">
        <f>AVERAGE(Ashed_controlls!$K$2:$K$11)</f>
        <v>5.5147656768714146</v>
      </c>
      <c r="N222" s="194">
        <f t="shared" si="28"/>
        <v>1.6650187992421719</v>
      </c>
      <c r="O222" s="194">
        <f t="shared" si="32"/>
        <v>1.8472</v>
      </c>
      <c r="P222" s="194">
        <f>AVERAGE(Ashed_controlls!$K$12:$K$14)</f>
        <v>2.2816647271287041</v>
      </c>
      <c r="Q222" s="194">
        <f t="shared" si="33"/>
        <v>1.8050530891604786</v>
      </c>
      <c r="R222" s="16">
        <f>IF('WetLitterbags placem_collection'!G149="","",'WetLitterbags placem_collection'!G149)</f>
        <v>42816</v>
      </c>
      <c r="S222" s="194">
        <f>IFERROR(INDEX('Both teabags AfterWet'!$C$3:$C$2000,MATCH(H222,'Both teabags AfterWet'!$A$3:$A$2000,0)),"")</f>
        <v>0.70199999999999996</v>
      </c>
      <c r="T222" s="194">
        <f>IFERROR(INDEX('Both teabags AfterWet'!$C$3:$C$2000,MATCH(I222,'Both teabags AfterWet'!$A$3:$A$2000,0)),"")</f>
        <v>1.746</v>
      </c>
      <c r="U222" s="194">
        <f t="shared" si="34"/>
        <v>0.55139999999999989</v>
      </c>
      <c r="V222" s="194">
        <f t="shared" si="35"/>
        <v>1.5953999999999999</v>
      </c>
      <c r="W222" s="194">
        <f>IFERROR(INDEX('Ashed teabags wet'!$K$2:$K$2000,MATCH(H222,'Ashed teabags wet'!$A$2:$A$2000,0)),"")</f>
        <v>16.333666333666116</v>
      </c>
      <c r="X222" s="233">
        <f>IFERROR(INDEX('Ashed teabags wet'!$K$2:$K$2000,MATCH(I222,'Ashed teabags wet'!$A$2:$A$2000,0)),"")</f>
        <v>8.8007736943911006</v>
      </c>
      <c r="Y222" s="194">
        <f t="shared" si="40"/>
        <v>0.46133616383616494</v>
      </c>
      <c r="Z222" s="194">
        <f t="shared" si="40"/>
        <v>1.4549924564796843</v>
      </c>
      <c r="AA222" s="194">
        <f t="shared" si="36"/>
        <v>0.72292435133696942</v>
      </c>
      <c r="AB222" s="194">
        <f t="shared" si="37"/>
        <v>0.4739361543206736</v>
      </c>
      <c r="AC222" s="194">
        <f t="shared" si="29"/>
        <v>0.80606629534447338</v>
      </c>
      <c r="AD222">
        <f t="shared" si="30"/>
        <v>54</v>
      </c>
      <c r="AE222" s="194">
        <f t="shared" si="38"/>
        <v>0.14142001028863482</v>
      </c>
      <c r="AF222" s="194">
        <f t="shared" si="39"/>
        <v>9.7458197252173889E-3</v>
      </c>
      <c r="AG222" s="245" t="str">
        <f>IF(ISNUMBER(SEARCH("C",'WetLitterbags placem_collection'!$X149)),"YES","NO")</f>
        <v>NO</v>
      </c>
      <c r="AH222" s="245" t="str">
        <f>IF(ISNUMBER(SEARCH("H", 'WetLitterbags placem_collection'!$X149)),"YES","NO")</f>
        <v>NO</v>
      </c>
      <c r="AI222" s="245" t="str">
        <f>IF(ISNUMBER(SEARCH("R", 'WetLitterbags placem_collection'!$X149)),"YES","NO")</f>
        <v>NO</v>
      </c>
      <c r="AJ222" s="245" t="str">
        <f>IF(ISNUMBER(SEARCH("C", 'WetLitterbags placem_collection'!$V149)),"YES","NO")</f>
        <v>NO</v>
      </c>
      <c r="AK222" s="245" t="str">
        <f>IF(ISNUMBER(SEARCH("H", 'WetLitterbags placem_collection'!$V149)),"YES","NO")</f>
        <v>NO</v>
      </c>
      <c r="AL222" s="245" t="str">
        <f>IF(ISNUMBER(SEARCH("R", 'WetLitterbags placem_collection'!$V149)),"YES","NO")</f>
        <v>NO</v>
      </c>
    </row>
    <row r="223" spans="2:38">
      <c r="B223" t="str">
        <f>Wetseason!B149</f>
        <v>Wet</v>
      </c>
      <c r="C223" s="253">
        <f>Wetseason!C149</f>
        <v>148</v>
      </c>
      <c r="D223" t="s">
        <v>3124</v>
      </c>
      <c r="E223" t="s">
        <v>22</v>
      </c>
      <c r="F223" s="375">
        <v>4</v>
      </c>
      <c r="G223" s="16">
        <f>'WetLitterbags placem_collection'!E150</f>
        <v>42762</v>
      </c>
      <c r="H223" t="str">
        <f>Wetseason!L149</f>
        <v>G835</v>
      </c>
      <c r="I223" t="str">
        <f>Wetseason!L369</f>
        <v>R472</v>
      </c>
      <c r="J223">
        <f>IFERROR(INDEX('Green_rooibos initial weight'!$C$5:$C$2000,MATCH(H223, 'Green_rooibos initial weight'!$A$5:$A$2000,0)),"")</f>
        <v>1.819</v>
      </c>
      <c r="K223">
        <f>IFERROR(INDEX('Green_rooibos initial weight'!$C$5:$C$2000,MATCH(I223, 'Green_rooibos initial weight'!$A$5:$A$2000,0)),"")</f>
        <v>2.2679999999999998</v>
      </c>
      <c r="L223" s="194">
        <f t="shared" si="31"/>
        <v>1.5691999999999999</v>
      </c>
      <c r="M223" s="194">
        <f>AVERAGE(Ashed_controlls!$K$2:$K$11)</f>
        <v>5.5147656768714146</v>
      </c>
      <c r="N223" s="194">
        <f t="shared" si="28"/>
        <v>1.4826622969985337</v>
      </c>
      <c r="O223" s="194">
        <f t="shared" si="32"/>
        <v>2.0181999999999998</v>
      </c>
      <c r="P223" s="194">
        <f>AVERAGE(Ashed_controlls!$K$12:$K$14)</f>
        <v>2.2816647271287041</v>
      </c>
      <c r="Q223" s="194">
        <f t="shared" si="33"/>
        <v>1.9721514424770883</v>
      </c>
      <c r="R223" s="16">
        <f>IF('WetLitterbags placem_collection'!G150="","",'WetLitterbags placem_collection'!G150)</f>
        <v>42816</v>
      </c>
      <c r="S223" s="194">
        <f>IFERROR(INDEX('Both teabags AfterWet'!$C$3:$C$2000,MATCH(H223,'Both teabags AfterWet'!$A$3:$A$2000,0)),"")</f>
        <v>0.24560000000000001</v>
      </c>
      <c r="T223" s="194">
        <f>IFERROR(INDEX('Both teabags AfterWet'!$C$3:$C$2000,MATCH(I223,'Both teabags AfterWet'!$A$3:$A$2000,0)),"")</f>
        <v>0.37559999999999999</v>
      </c>
      <c r="U223" s="194">
        <f t="shared" si="34"/>
        <v>9.5000000000000001E-2</v>
      </c>
      <c r="V223" s="194">
        <f t="shared" si="35"/>
        <v>0.22499999999999998</v>
      </c>
      <c r="W223" s="194">
        <f>IFERROR(INDEX('Ashed teabags wet'!$K$2:$K$2000,MATCH(H223,'Ashed teabags wet'!$A$2:$A$2000,0)),"")</f>
        <v>0</v>
      </c>
      <c r="X223" s="233">
        <f>IFERROR(INDEX('Ashed teabags wet'!$K$2:$K$2000,MATCH(I223,'Ashed teabags wet'!$A$2:$A$2000,0)),"")</f>
        <v>0</v>
      </c>
      <c r="Y223" s="194">
        <f t="shared" si="40"/>
        <v>9.5000000000000001E-2</v>
      </c>
      <c r="Z223" s="194">
        <f t="shared" si="40"/>
        <v>0.22499999999999998</v>
      </c>
      <c r="AA223" s="194">
        <f t="shared" si="36"/>
        <v>0.9359260701561537</v>
      </c>
      <c r="AB223" s="194">
        <f t="shared" si="37"/>
        <v>0.61357623601686095</v>
      </c>
      <c r="AC223" s="194">
        <f t="shared" si="29"/>
        <v>0.11408860149066059</v>
      </c>
      <c r="AD223">
        <f t="shared" si="30"/>
        <v>54</v>
      </c>
      <c r="AE223" s="194">
        <f t="shared" si="38"/>
        <v>-0.1115511522044581</v>
      </c>
      <c r="AF223" s="194" t="str">
        <f t="shared" si="39"/>
        <v/>
      </c>
      <c r="AG223" s="245" t="str">
        <f>IF(ISNUMBER(SEARCH("C",'WetLitterbags placem_collection'!$X150)),"YES","NO")</f>
        <v>NO</v>
      </c>
      <c r="AH223" s="245" t="str">
        <f>IF(ISNUMBER(SEARCH("H", 'WetLitterbags placem_collection'!$X150)),"YES","NO")</f>
        <v>NO</v>
      </c>
      <c r="AI223" s="245" t="str">
        <f>IF(ISNUMBER(SEARCH("R", 'WetLitterbags placem_collection'!$X150)),"YES","NO")</f>
        <v>YES</v>
      </c>
      <c r="AJ223" s="245" t="str">
        <f>IF(ISNUMBER(SEARCH("C", 'WetLitterbags placem_collection'!$V150)),"YES","NO")</f>
        <v>NO</v>
      </c>
      <c r="AK223" s="245" t="str">
        <f>IF(ISNUMBER(SEARCH("H", 'WetLitterbags placem_collection'!$V150)),"YES","NO")</f>
        <v>YES</v>
      </c>
      <c r="AL223" s="245" t="str">
        <f>IF(ISNUMBER(SEARCH("R", 'WetLitterbags placem_collection'!$V150)),"YES","NO")</f>
        <v>NO</v>
      </c>
    </row>
    <row r="224" spans="2:38">
      <c r="B224" t="str">
        <f>Wetseason!B150</f>
        <v>Wet</v>
      </c>
      <c r="C224" s="253">
        <f>Wetseason!C150</f>
        <v>149</v>
      </c>
      <c r="D224" t="s">
        <v>3124</v>
      </c>
      <c r="E224" t="s">
        <v>22</v>
      </c>
      <c r="F224" s="375">
        <v>5</v>
      </c>
      <c r="G224" s="16">
        <f>'WetLitterbags placem_collection'!E151</f>
        <v>42762</v>
      </c>
      <c r="H224" t="str">
        <f>Wetseason!L150</f>
        <v>G733</v>
      </c>
      <c r="I224" t="str">
        <f>Wetseason!L370</f>
        <v>R545</v>
      </c>
      <c r="J224">
        <f>IFERROR(INDEX('Green_rooibos initial weight'!$C$5:$C$2000,MATCH(H224, 'Green_rooibos initial weight'!$A$5:$A$2000,0)),"")</f>
        <v>1.8280000000000001</v>
      </c>
      <c r="K224">
        <f>IFERROR(INDEX('Green_rooibos initial weight'!$C$5:$C$2000,MATCH(I224, 'Green_rooibos initial weight'!$A$5:$A$2000,0)),"")</f>
        <v>2.2280000000000002</v>
      </c>
      <c r="L224" s="194">
        <f t="shared" si="31"/>
        <v>1.5782</v>
      </c>
      <c r="M224" s="194">
        <f>AVERAGE(Ashed_controlls!$K$2:$K$11)</f>
        <v>5.5147656768714146</v>
      </c>
      <c r="N224" s="194">
        <f t="shared" si="28"/>
        <v>1.4911659680876155</v>
      </c>
      <c r="O224" s="194">
        <f t="shared" si="32"/>
        <v>1.9782000000000002</v>
      </c>
      <c r="P224" s="194">
        <f>AVERAGE(Ashed_controlls!$K$12:$K$14)</f>
        <v>2.2816647271287041</v>
      </c>
      <c r="Q224" s="194">
        <f t="shared" si="33"/>
        <v>1.9330641083679401</v>
      </c>
      <c r="R224" s="16">
        <f>IF('WetLitterbags placem_collection'!G151="","",'WetLitterbags placem_collection'!G151)</f>
        <v>42816</v>
      </c>
      <c r="S224" s="194">
        <f>IFERROR(INDEX('Both teabags AfterWet'!$C$3:$C$2000,MATCH(H224,'Both teabags AfterWet'!$A$3:$A$2000,0)),"")</f>
        <v>0.73760000000000003</v>
      </c>
      <c r="T224" s="194">
        <f>IFERROR(INDEX('Both teabags AfterWet'!$C$3:$C$2000,MATCH(I224,'Both teabags AfterWet'!$A$3:$A$2000,0)),"")</f>
        <v>1.7096</v>
      </c>
      <c r="U224" s="194">
        <f t="shared" si="34"/>
        <v>0.58699999999999997</v>
      </c>
      <c r="V224" s="194">
        <f t="shared" si="35"/>
        <v>1.5589999999999999</v>
      </c>
      <c r="W224" s="194">
        <f>IFERROR(INDEX('Ashed teabags wet'!$K$2:$K$2000,MATCH(H224,'Ashed teabags wet'!$A$2:$A$2000,0)),"")</f>
        <v>30.262506191183512</v>
      </c>
      <c r="X224" s="233">
        <f>IFERROR(INDEX('Ashed teabags wet'!$K$2:$K$2000,MATCH(I224,'Ashed teabags wet'!$A$2:$A$2000,0)),"")</f>
        <v>8.8976767177461902</v>
      </c>
      <c r="Y224" s="194">
        <f t="shared" si="40"/>
        <v>0.40935908865775272</v>
      </c>
      <c r="Z224" s="194">
        <f t="shared" si="40"/>
        <v>1.4202852199703369</v>
      </c>
      <c r="AA224" s="194">
        <f t="shared" si="36"/>
        <v>0.72547717865185324</v>
      </c>
      <c r="AB224" s="194">
        <f t="shared" si="37"/>
        <v>0.47560974182401783</v>
      </c>
      <c r="AC224" s="194">
        <f t="shared" si="29"/>
        <v>0.73473260086002246</v>
      </c>
      <c r="AD224">
        <f t="shared" si="30"/>
        <v>54</v>
      </c>
      <c r="AE224" s="194">
        <f t="shared" si="38"/>
        <v>0.13838814886953299</v>
      </c>
      <c r="AF224" s="194">
        <f t="shared" si="39"/>
        <v>1.510854150371589E-2</v>
      </c>
      <c r="AG224" s="245" t="str">
        <f>IF(ISNUMBER(SEARCH("C",'WetLitterbags placem_collection'!$X151)),"YES","NO")</f>
        <v>NO</v>
      </c>
      <c r="AH224" s="245" t="str">
        <f>IF(ISNUMBER(SEARCH("H", 'WetLitterbags placem_collection'!$X151)),"YES","NO")</f>
        <v>NO</v>
      </c>
      <c r="AI224" s="245" t="str">
        <f>IF(ISNUMBER(SEARCH("R", 'WetLitterbags placem_collection'!$X151)),"YES","NO")</f>
        <v>NO</v>
      </c>
      <c r="AJ224" s="245" t="str">
        <f>IF(ISNUMBER(SEARCH("C", 'WetLitterbags placem_collection'!$V151)),"YES","NO")</f>
        <v>NO</v>
      </c>
      <c r="AK224" s="245" t="str">
        <f>IF(ISNUMBER(SEARCH("H", 'WetLitterbags placem_collection'!$V151)),"YES","NO")</f>
        <v>NO</v>
      </c>
      <c r="AL224" s="245" t="str">
        <f>IF(ISNUMBER(SEARCH("R", 'WetLitterbags placem_collection'!$V151)),"YES","NO")</f>
        <v>NO</v>
      </c>
    </row>
    <row r="225" spans="2:38">
      <c r="B225" t="str">
        <f>Wetseason!B151</f>
        <v>Wet</v>
      </c>
      <c r="C225" s="253">
        <f>Wetseason!C151</f>
        <v>150</v>
      </c>
      <c r="D225" t="s">
        <v>3124</v>
      </c>
      <c r="E225" t="s">
        <v>22</v>
      </c>
      <c r="F225" s="375">
        <v>6</v>
      </c>
      <c r="G225" s="16">
        <f>'WetLitterbags placem_collection'!E152</f>
        <v>42762</v>
      </c>
      <c r="H225" t="str">
        <f>Wetseason!L151</f>
        <v>G658</v>
      </c>
      <c r="I225" t="str">
        <f>Wetseason!L371</f>
        <v>R7</v>
      </c>
      <c r="J225">
        <f>IFERROR(INDEX('Green_rooibos initial weight'!$C$5:$C$2000,MATCH(H225, 'Green_rooibos initial weight'!$A$5:$A$2000,0)),"")</f>
        <v>2.129</v>
      </c>
      <c r="K225">
        <f>IFERROR(INDEX('Green_rooibos initial weight'!$C$5:$C$2000,MATCH(I225, 'Green_rooibos initial weight'!$A$5:$A$2000,0)),"")</f>
        <v>2.2090000000000001</v>
      </c>
      <c r="L225" s="194">
        <f t="shared" si="31"/>
        <v>1.8792</v>
      </c>
      <c r="M225" s="194">
        <f>AVERAGE(Ashed_controlls!$K$2:$K$11)</f>
        <v>5.5147656768714146</v>
      </c>
      <c r="N225" s="194">
        <f t="shared" si="28"/>
        <v>1.7755665234002325</v>
      </c>
      <c r="O225" s="194">
        <f t="shared" si="32"/>
        <v>1.9592000000000001</v>
      </c>
      <c r="P225" s="194">
        <f>AVERAGE(Ashed_controlls!$K$12:$K$14)</f>
        <v>2.2816647271287041</v>
      </c>
      <c r="Q225" s="194">
        <f t="shared" si="33"/>
        <v>1.9144976246660945</v>
      </c>
      <c r="R225" s="16">
        <f>IF('WetLitterbags placem_collection'!G152="","",'WetLitterbags placem_collection'!G152)</f>
        <v>42816</v>
      </c>
      <c r="S225" s="194">
        <f>IFERROR(INDEX('Both teabags AfterWet'!$C$3:$C$2000,MATCH(H225,'Both teabags AfterWet'!$A$3:$A$2000,0)),"")</f>
        <v>0.71799999999999997</v>
      </c>
      <c r="T225" s="194">
        <f>IFERROR(INDEX('Both teabags AfterWet'!$C$3:$C$2000,MATCH(I225,'Both teabags AfterWet'!$A$3:$A$2000,0)),"")</f>
        <v>1.718</v>
      </c>
      <c r="U225" s="194">
        <f t="shared" si="34"/>
        <v>0.5673999999999999</v>
      </c>
      <c r="V225" s="194">
        <f t="shared" si="35"/>
        <v>1.5673999999999999</v>
      </c>
      <c r="W225" s="194">
        <f>IFERROR(INDEX('Ashed teabags wet'!$K$2:$K$2000,MATCH(H225,'Ashed teabags wet'!$A$2:$A$2000,0)),"")</f>
        <v>23.716990533134794</v>
      </c>
      <c r="X225" s="233">
        <f>IFERROR(INDEX('Ashed teabags wet'!$K$2:$K$2000,MATCH(I225,'Ashed teabags wet'!$A$2:$A$2000,0)),"")</f>
        <v>10.190151145782695</v>
      </c>
      <c r="Y225" s="194">
        <f t="shared" si="40"/>
        <v>0.43282979571499314</v>
      </c>
      <c r="Z225" s="194">
        <f t="shared" si="40"/>
        <v>1.4076795709410019</v>
      </c>
      <c r="AA225" s="194">
        <f t="shared" si="36"/>
        <v>0.75623003136704869</v>
      </c>
      <c r="AB225" s="194">
        <f t="shared" si="37"/>
        <v>0.49577075690571371</v>
      </c>
      <c r="AC225" s="194">
        <f t="shared" si="29"/>
        <v>0.73527360535979447</v>
      </c>
      <c r="AD225">
        <f t="shared" si="30"/>
        <v>54</v>
      </c>
      <c r="AE225" s="194">
        <f t="shared" si="38"/>
        <v>0.1018645708229825</v>
      </c>
      <c r="AF225" s="194">
        <f t="shared" si="39"/>
        <v>1.413896110563434E-2</v>
      </c>
      <c r="AG225" s="245" t="str">
        <f>IF(ISNUMBER(SEARCH("C",'WetLitterbags placem_collection'!$X152)),"YES","NO")</f>
        <v>NO</v>
      </c>
      <c r="AH225" s="245" t="str">
        <f>IF(ISNUMBER(SEARCH("H", 'WetLitterbags placem_collection'!$X152)),"YES","NO")</f>
        <v>NO</v>
      </c>
      <c r="AI225" s="245" t="str">
        <f>IF(ISNUMBER(SEARCH("R", 'WetLitterbags placem_collection'!$X152)),"YES","NO")</f>
        <v>NO</v>
      </c>
      <c r="AJ225" s="245" t="str">
        <f>IF(ISNUMBER(SEARCH("C", 'WetLitterbags placem_collection'!$V152)),"YES","NO")</f>
        <v>NO</v>
      </c>
      <c r="AK225" s="245" t="str">
        <f>IF(ISNUMBER(SEARCH("H", 'WetLitterbags placem_collection'!$V152)),"YES","NO")</f>
        <v>NO</v>
      </c>
      <c r="AL225" s="245" t="str">
        <f>IF(ISNUMBER(SEARCH("R", 'WetLitterbags placem_collection'!$V152)),"YES","NO")</f>
        <v>NO</v>
      </c>
    </row>
    <row r="226" spans="2:38">
      <c r="B226" t="str">
        <f>Wetseason!B152</f>
        <v>Wet</v>
      </c>
      <c r="C226" s="253">
        <f>Wetseason!C152</f>
        <v>151</v>
      </c>
      <c r="D226" t="s">
        <v>3124</v>
      </c>
      <c r="E226" t="s">
        <v>22</v>
      </c>
      <c r="F226" s="375">
        <v>7</v>
      </c>
      <c r="G226" s="16">
        <f>'WetLitterbags placem_collection'!E153</f>
        <v>42762</v>
      </c>
      <c r="H226" t="str">
        <f>Wetseason!L152</f>
        <v>G567</v>
      </c>
      <c r="I226" t="str">
        <f>Wetseason!L372</f>
        <v>R447</v>
      </c>
      <c r="J226">
        <f>IFERROR(INDEX('Green_rooibos initial weight'!$C$5:$C$2000,MATCH(H226, 'Green_rooibos initial weight'!$A$5:$A$2000,0)),"")</f>
        <v>2.0569999999999999</v>
      </c>
      <c r="K226">
        <f>IFERROR(INDEX('Green_rooibos initial weight'!$C$5:$C$2000,MATCH(I226, 'Green_rooibos initial weight'!$A$5:$A$2000,0)),"")</f>
        <v>2.206</v>
      </c>
      <c r="L226" s="194">
        <f t="shared" si="31"/>
        <v>1.8071999999999999</v>
      </c>
      <c r="M226" s="194">
        <f>AVERAGE(Ashed_controlls!$K$2:$K$11)</f>
        <v>5.5147656768714146</v>
      </c>
      <c r="N226" s="194">
        <f t="shared" si="28"/>
        <v>1.7075371546875797</v>
      </c>
      <c r="O226" s="194">
        <f t="shared" si="32"/>
        <v>1.9561999999999999</v>
      </c>
      <c r="P226" s="194">
        <f>AVERAGE(Ashed_controlls!$K$12:$K$14)</f>
        <v>2.2816647271287041</v>
      </c>
      <c r="Q226" s="194">
        <f t="shared" si="33"/>
        <v>1.9115660746079082</v>
      </c>
      <c r="R226" s="16">
        <f>IF('WetLitterbags placem_collection'!G153="","",'WetLitterbags placem_collection'!G153)</f>
        <v>42816</v>
      </c>
      <c r="S226" s="194">
        <f>IFERROR(INDEX('Both teabags AfterWet'!$C$3:$C$2000,MATCH(H226,'Both teabags AfterWet'!$A$3:$A$2000,0)),"")</f>
        <v>0.86499999999999999</v>
      </c>
      <c r="T226" s="194">
        <f>IFERROR(INDEX('Both teabags AfterWet'!$C$3:$C$2000,MATCH(I226,'Both teabags AfterWet'!$A$3:$A$2000,0)),"")</f>
        <v>1.782</v>
      </c>
      <c r="U226" s="194">
        <f t="shared" si="34"/>
        <v>0.71439999999999992</v>
      </c>
      <c r="V226" s="194">
        <f t="shared" si="35"/>
        <v>1.6314</v>
      </c>
      <c r="W226" s="194">
        <f>IFERROR(INDEX('Ashed teabags wet'!$K$2:$K$2000,MATCH(H226,'Ashed teabags wet'!$A$2:$A$2000,0)),"")</f>
        <v>20.077034183919789</v>
      </c>
      <c r="X226" s="233">
        <f>IFERROR(INDEX('Ashed teabags wet'!$K$2:$K$2000,MATCH(I226,'Ashed teabags wet'!$A$2:$A$2000,0)),"")</f>
        <v>6.4642507345735885</v>
      </c>
      <c r="Y226" s="194">
        <f t="shared" si="40"/>
        <v>0.57096966779007696</v>
      </c>
      <c r="Z226" s="194">
        <f t="shared" si="40"/>
        <v>1.5259422135161664</v>
      </c>
      <c r="AA226" s="194">
        <f t="shared" si="36"/>
        <v>0.66561801233862772</v>
      </c>
      <c r="AB226" s="194">
        <f t="shared" si="37"/>
        <v>0.43636715298209328</v>
      </c>
      <c r="AC226" s="194">
        <f t="shared" si="29"/>
        <v>0.79826809744421778</v>
      </c>
      <c r="AD226">
        <f t="shared" si="30"/>
        <v>54</v>
      </c>
      <c r="AE226" s="194">
        <f t="shared" si="38"/>
        <v>0.20947979532229488</v>
      </c>
      <c r="AF226" s="194">
        <f t="shared" si="39"/>
        <v>1.1489848157017422E-2</v>
      </c>
      <c r="AG226" s="245" t="str">
        <f>IF(ISNUMBER(SEARCH("C",'WetLitterbags placem_collection'!$X153)),"YES","NO")</f>
        <v>NO</v>
      </c>
      <c r="AH226" s="245" t="str">
        <f>IF(ISNUMBER(SEARCH("H", 'WetLitterbags placem_collection'!$X153)),"YES","NO")</f>
        <v>NO</v>
      </c>
      <c r="AI226" s="245" t="str">
        <f>IF(ISNUMBER(SEARCH("R", 'WetLitterbags placem_collection'!$X153)),"YES","NO")</f>
        <v>YES</v>
      </c>
      <c r="AJ226" s="245" t="str">
        <f>IF(ISNUMBER(SEARCH("C", 'WetLitterbags placem_collection'!$V153)),"YES","NO")</f>
        <v>NO</v>
      </c>
      <c r="AK226" s="245" t="str">
        <f>IF(ISNUMBER(SEARCH("H", 'WetLitterbags placem_collection'!$V153)),"YES","NO")</f>
        <v>NO</v>
      </c>
      <c r="AL226" s="245" t="str">
        <f>IF(ISNUMBER(SEARCH("R", 'WetLitterbags placem_collection'!$V153)),"YES","NO")</f>
        <v>YES</v>
      </c>
    </row>
    <row r="227" spans="2:38">
      <c r="B227" t="str">
        <f>Wetseason!B153</f>
        <v>Wet</v>
      </c>
      <c r="C227" s="253">
        <f>Wetseason!C153</f>
        <v>152</v>
      </c>
      <c r="D227" t="s">
        <v>3124</v>
      </c>
      <c r="E227" t="s">
        <v>22</v>
      </c>
      <c r="F227" s="375">
        <v>8</v>
      </c>
      <c r="G227" s="16">
        <f>'WetLitterbags placem_collection'!E154</f>
        <v>42762</v>
      </c>
      <c r="H227" t="str">
        <f>Wetseason!L153</f>
        <v>G853</v>
      </c>
      <c r="I227" t="str">
        <f>Wetseason!L373</f>
        <v>R591</v>
      </c>
      <c r="J227">
        <f>IFERROR(INDEX('Green_rooibos initial weight'!$C$5:$C$2000,MATCH(H227, 'Green_rooibos initial weight'!$A$5:$A$2000,0)),"")</f>
        <v>1.972</v>
      </c>
      <c r="K227">
        <f>IFERROR(INDEX('Green_rooibos initial weight'!$C$5:$C$2000,MATCH(I227, 'Green_rooibos initial weight'!$A$5:$A$2000,0)),"")</f>
        <v>2.2599999999999998</v>
      </c>
      <c r="L227" s="194">
        <f t="shared" si="31"/>
        <v>1.7222</v>
      </c>
      <c r="M227" s="194">
        <f>AVERAGE(Ashed_controlls!$K$2:$K$11)</f>
        <v>5.5147656768714146</v>
      </c>
      <c r="N227" s="194">
        <f t="shared" si="28"/>
        <v>1.6272247055129205</v>
      </c>
      <c r="O227" s="194">
        <f t="shared" si="32"/>
        <v>2.0101999999999998</v>
      </c>
      <c r="P227" s="194">
        <f>AVERAGE(Ashed_controlls!$K$12:$K$14)</f>
        <v>2.2816647271287041</v>
      </c>
      <c r="Q227" s="194">
        <f t="shared" si="33"/>
        <v>1.9643339756552585</v>
      </c>
      <c r="R227" s="16">
        <f>IF('WetLitterbags placem_collection'!G154="","",'WetLitterbags placem_collection'!G154)</f>
        <v>42816</v>
      </c>
      <c r="S227" s="194">
        <f>IFERROR(INDEX('Both teabags AfterWet'!$C$3:$C$2000,MATCH(H227,'Both teabags AfterWet'!$A$3:$A$2000,0)),"")</f>
        <v>0.58509999999999995</v>
      </c>
      <c r="T227" s="194">
        <f>IFERROR(INDEX('Both teabags AfterWet'!$C$3:$C$2000,MATCH(I227,'Both teabags AfterWet'!$A$3:$A$2000,0)),"")</f>
        <v>1.6958</v>
      </c>
      <c r="U227" s="194">
        <f t="shared" si="34"/>
        <v>0.43449999999999994</v>
      </c>
      <c r="V227" s="194">
        <f t="shared" si="35"/>
        <v>1.5451999999999999</v>
      </c>
      <c r="W227" s="194">
        <f>IFERROR(INDEX('Ashed teabags wet'!$K$2:$K$2000,MATCH(H227,'Ashed teabags wet'!$A$2:$A$2000,0)),"")</f>
        <v>20.802377414561477</v>
      </c>
      <c r="X227" s="233">
        <f>IFERROR(INDEX('Ashed teabags wet'!$K$2:$K$2000,MATCH(I227,'Ashed teabags wet'!$A$2:$A$2000,0)),"")</f>
        <v>6.0969755160831145</v>
      </c>
      <c r="Y227" s="194">
        <f t="shared" si="40"/>
        <v>0.34411367013373034</v>
      </c>
      <c r="Z227" s="194">
        <f t="shared" si="40"/>
        <v>1.4509895343254837</v>
      </c>
      <c r="AA227" s="194">
        <f t="shared" si="36"/>
        <v>0.78852725811751878</v>
      </c>
      <c r="AB227" s="194">
        <f t="shared" si="37"/>
        <v>0.5169442357254993</v>
      </c>
      <c r="AC227" s="194">
        <f t="shared" si="29"/>
        <v>0.73866743247744604</v>
      </c>
      <c r="AD227">
        <f t="shared" si="30"/>
        <v>54</v>
      </c>
      <c r="AE227" s="194">
        <f t="shared" si="38"/>
        <v>6.3506819337863618E-2</v>
      </c>
      <c r="AF227" s="194">
        <f t="shared" si="39"/>
        <v>1.3042141402172625E-2</v>
      </c>
      <c r="AG227" s="245" t="str">
        <f>IF(ISNUMBER(SEARCH("C",'WetLitterbags placem_collection'!$X154)),"YES","NO")</f>
        <v>NO</v>
      </c>
      <c r="AH227" s="245" t="str">
        <f>IF(ISNUMBER(SEARCH("H", 'WetLitterbags placem_collection'!$X154)),"YES","NO")</f>
        <v>NO</v>
      </c>
      <c r="AI227" s="245" t="str">
        <f>IF(ISNUMBER(SEARCH("R", 'WetLitterbags placem_collection'!$X154)),"YES","NO")</f>
        <v>YES</v>
      </c>
      <c r="AJ227" s="245" t="str">
        <f>IF(ISNUMBER(SEARCH("C", 'WetLitterbags placem_collection'!$V154)),"YES","NO")</f>
        <v>NO</v>
      </c>
      <c r="AK227" s="245" t="str">
        <f>IF(ISNUMBER(SEARCH("H", 'WetLitterbags placem_collection'!$V154)),"YES","NO")</f>
        <v>NO</v>
      </c>
      <c r="AL227" s="245" t="str">
        <f>IF(ISNUMBER(SEARCH("R", 'WetLitterbags placem_collection'!$V154)),"YES","NO")</f>
        <v>NO</v>
      </c>
    </row>
    <row r="228" spans="2:38">
      <c r="B228" t="str">
        <f>Wetseason!B154</f>
        <v>Wet</v>
      </c>
      <c r="C228" s="253">
        <f>Wetseason!C154</f>
        <v>153</v>
      </c>
      <c r="D228" t="s">
        <v>3125</v>
      </c>
      <c r="E228" t="s">
        <v>22</v>
      </c>
      <c r="F228" s="374">
        <v>1</v>
      </c>
      <c r="G228" s="16">
        <f>'WetLitterbags placem_collection'!E155</f>
        <v>42762</v>
      </c>
      <c r="H228" t="str">
        <f>Wetseason!L154</f>
        <v>G800</v>
      </c>
      <c r="I228" t="str">
        <f>Wetseason!L374</f>
        <v>R479</v>
      </c>
      <c r="J228">
        <f>IFERROR(INDEX('Green_rooibos initial weight'!$C$5:$C$2000,MATCH(H228, 'Green_rooibos initial weight'!$A$5:$A$2000,0)),"")</f>
        <v>2.1179999999999999</v>
      </c>
      <c r="K228">
        <f>IFERROR(INDEX('Green_rooibos initial weight'!$C$5:$C$2000,MATCH(I228, 'Green_rooibos initial weight'!$A$5:$A$2000,0)),"")</f>
        <v>2.2749999999999999</v>
      </c>
      <c r="L228" s="194">
        <f t="shared" si="31"/>
        <v>1.8681999999999999</v>
      </c>
      <c r="M228" s="194">
        <f>AVERAGE(Ashed_controlls!$K$2:$K$11)</f>
        <v>5.5147656768714146</v>
      </c>
      <c r="N228" s="194">
        <f t="shared" si="28"/>
        <v>1.7651731476246881</v>
      </c>
      <c r="O228" s="194">
        <f t="shared" si="32"/>
        <v>2.0251999999999999</v>
      </c>
      <c r="P228" s="194">
        <f>AVERAGE(Ashed_controlls!$K$12:$K$14)</f>
        <v>2.2816647271287041</v>
      </c>
      <c r="Q228" s="194">
        <f t="shared" si="33"/>
        <v>1.9789917259461893</v>
      </c>
      <c r="R228" s="16">
        <f>IF('WetLitterbags placem_collection'!G155="","",'WetLitterbags placem_collection'!G155)</f>
        <v>42816</v>
      </c>
      <c r="S228" s="194">
        <f>IFERROR(INDEX('Both teabags AfterWet'!$C$3:$C$2000,MATCH(H228,'Both teabags AfterWet'!$A$3:$A$2000,0)),"")</f>
        <v>0.58630000000000004</v>
      </c>
      <c r="T228" s="194">
        <f>IFERROR(INDEX('Both teabags AfterWet'!$C$3:$C$2000,MATCH(I228,'Both teabags AfterWet'!$A$3:$A$2000,0)),"")</f>
        <v>1.2541</v>
      </c>
      <c r="U228" s="194">
        <f t="shared" si="34"/>
        <v>0.43570000000000003</v>
      </c>
      <c r="V228" s="194">
        <f t="shared" si="35"/>
        <v>1.1034999999999999</v>
      </c>
      <c r="W228" s="194">
        <f>IFERROR(INDEX('Ashed teabags wet'!$K$2:$K$2000,MATCH(H228,'Ashed teabags wet'!$A$2:$A$2000,0)),"")</f>
        <v>16.871618298081419</v>
      </c>
      <c r="X228" s="233">
        <f>IFERROR(INDEX('Ashed teabags wet'!$K$2:$K$2000,MATCH(I228,'Ashed teabags wet'!$A$2:$A$2000,0)),"")</f>
        <v>77.007481296757646</v>
      </c>
      <c r="Y228" s="194">
        <f t="shared" si="40"/>
        <v>0.36219035907525926</v>
      </c>
      <c r="Z228" s="194">
        <f t="shared" si="40"/>
        <v>0.25372244389027931</v>
      </c>
      <c r="AA228" s="194">
        <f t="shared" si="36"/>
        <v>0.79481312665409509</v>
      </c>
      <c r="AB228" s="194">
        <f t="shared" si="37"/>
        <v>0.52106513766396745</v>
      </c>
      <c r="AC228" s="194">
        <f t="shared" si="29"/>
        <v>0.12820793566934716</v>
      </c>
      <c r="AD228">
        <f t="shared" si="30"/>
        <v>54</v>
      </c>
      <c r="AE228" s="194">
        <f t="shared" si="38"/>
        <v>5.6041417275421446E-2</v>
      </c>
      <c r="AF228" s="194" t="str">
        <f t="shared" si="39"/>
        <v/>
      </c>
      <c r="AG228" s="245" t="str">
        <f>IF(ISNUMBER(SEARCH("C",'WetLitterbags placem_collection'!$X155)),"YES","NO")</f>
        <v>NO</v>
      </c>
      <c r="AH228" s="245" t="str">
        <f>IF(ISNUMBER(SEARCH("H", 'WetLitterbags placem_collection'!$X155)),"YES","NO")</f>
        <v>NO</v>
      </c>
      <c r="AI228" s="245" t="str">
        <f>IF(ISNUMBER(SEARCH("R", 'WetLitterbags placem_collection'!$X155)),"YES","NO")</f>
        <v>YES</v>
      </c>
      <c r="AJ228" s="245" t="str">
        <f>IF(ISNUMBER(SEARCH("C", 'WetLitterbags placem_collection'!$V155)),"YES","NO")</f>
        <v>NO</v>
      </c>
      <c r="AK228" s="245" t="str">
        <f>IF(ISNUMBER(SEARCH("H", 'WetLitterbags placem_collection'!$V155)),"YES","NO")</f>
        <v>NO</v>
      </c>
      <c r="AL228" s="245" t="str">
        <f>IF(ISNUMBER(SEARCH("R", 'WetLitterbags placem_collection'!$V155)),"YES","NO")</f>
        <v>YES</v>
      </c>
    </row>
    <row r="229" spans="2:38">
      <c r="B229" t="str">
        <f>Wetseason!B155</f>
        <v>Wet</v>
      </c>
      <c r="C229" s="253">
        <f>Wetseason!C155</f>
        <v>154</v>
      </c>
      <c r="D229" t="s">
        <v>3125</v>
      </c>
      <c r="E229" t="s">
        <v>22</v>
      </c>
      <c r="F229" s="374">
        <v>2</v>
      </c>
      <c r="G229" s="16">
        <f>'WetLitterbags placem_collection'!E156</f>
        <v>42762</v>
      </c>
      <c r="H229" t="str">
        <f>Wetseason!L155</f>
        <v>G675</v>
      </c>
      <c r="I229" t="str">
        <f>Wetseason!L375</f>
        <v>R493</v>
      </c>
      <c r="J229">
        <f>IFERROR(INDEX('Green_rooibos initial weight'!$C$5:$C$2000,MATCH(H229, 'Green_rooibos initial weight'!$A$5:$A$2000,0)),"")</f>
        <v>1.9950000000000001</v>
      </c>
      <c r="K229">
        <f>IFERROR(INDEX('Green_rooibos initial weight'!$C$5:$C$2000,MATCH(I229, 'Green_rooibos initial weight'!$A$5:$A$2000,0)),"")</f>
        <v>2.2410000000000001</v>
      </c>
      <c r="L229" s="194">
        <f t="shared" si="31"/>
        <v>1.7452000000000001</v>
      </c>
      <c r="M229" s="194">
        <f>AVERAGE(Ashed_controlls!$K$2:$K$11)</f>
        <v>5.5147656768714146</v>
      </c>
      <c r="N229" s="194">
        <f t="shared" si="28"/>
        <v>1.6489563094072401</v>
      </c>
      <c r="O229" s="194">
        <f t="shared" si="32"/>
        <v>1.9912000000000001</v>
      </c>
      <c r="P229" s="194">
        <f>AVERAGE(Ashed_controlls!$K$12:$K$14)</f>
        <v>2.2816647271287041</v>
      </c>
      <c r="Q229" s="194">
        <f t="shared" si="33"/>
        <v>1.9457674919534134</v>
      </c>
      <c r="R229" s="16">
        <f>IF('WetLitterbags placem_collection'!G156="","",'WetLitterbags placem_collection'!G156)</f>
        <v>42816</v>
      </c>
      <c r="S229" s="194">
        <f>IFERROR(INDEX('Both teabags AfterWet'!$C$3:$C$2000,MATCH(H229,'Both teabags AfterWet'!$A$3:$A$2000,0)),"")</f>
        <v>0.61299999999999999</v>
      </c>
      <c r="T229" s="194">
        <f>IFERROR(INDEX('Both teabags AfterWet'!$C$3:$C$2000,MATCH(I229,'Both teabags AfterWet'!$A$3:$A$2000,0)),"")</f>
        <v>0.69099999999999995</v>
      </c>
      <c r="U229" s="194">
        <f t="shared" si="34"/>
        <v>0.46239999999999998</v>
      </c>
      <c r="V229" s="194">
        <f t="shared" si="35"/>
        <v>0.54039999999999999</v>
      </c>
      <c r="W229" s="194">
        <f>IFERROR(INDEX('Ashed teabags wet'!$K$2:$K$2000,MATCH(H229,'Ashed teabags wet'!$A$2:$A$2000,0)),"")</f>
        <v>18.033573141486571</v>
      </c>
      <c r="X229" s="233">
        <f>IFERROR(INDEX('Ashed teabags wet'!$K$2:$K$2000,MATCH(I229,'Ashed teabags wet'!$A$2:$A$2000,0)),"")</f>
        <v>0</v>
      </c>
      <c r="Y229" s="194">
        <f t="shared" si="40"/>
        <v>0.37901275779376609</v>
      </c>
      <c r="Z229" s="194">
        <f t="shared" si="40"/>
        <v>0.54039999999999999</v>
      </c>
      <c r="AA229" s="194">
        <f t="shared" si="36"/>
        <v>0.77014990898696889</v>
      </c>
      <c r="AB229" s="194">
        <f t="shared" si="37"/>
        <v>0.50489637738813165</v>
      </c>
      <c r="AC229" s="194">
        <f t="shared" si="29"/>
        <v>0.27773102502471991</v>
      </c>
      <c r="AD229">
        <f t="shared" si="30"/>
        <v>54</v>
      </c>
      <c r="AE229" s="194">
        <f t="shared" si="38"/>
        <v>8.5332649659181858E-2</v>
      </c>
      <c r="AF229" s="194" t="str">
        <f t="shared" si="39"/>
        <v/>
      </c>
      <c r="AG229" s="245" t="str">
        <f>IF(ISNUMBER(SEARCH("C",'WetLitterbags placem_collection'!$X156)),"YES","NO")</f>
        <v>NO</v>
      </c>
      <c r="AH229" s="245" t="str">
        <f>IF(ISNUMBER(SEARCH("H", 'WetLitterbags placem_collection'!$X156)),"YES","NO")</f>
        <v>NO</v>
      </c>
      <c r="AI229" s="245" t="str">
        <f>IF(ISNUMBER(SEARCH("R", 'WetLitterbags placem_collection'!$X156)),"YES","NO")</f>
        <v>YES</v>
      </c>
      <c r="AJ229" s="245" t="str">
        <f>IF(ISNUMBER(SEARCH("C", 'WetLitterbags placem_collection'!$V156)),"YES","NO")</f>
        <v>YES</v>
      </c>
      <c r="AK229" s="245" t="str">
        <f>IF(ISNUMBER(SEARCH("H", 'WetLitterbags placem_collection'!$V156)),"YES","NO")</f>
        <v>YES</v>
      </c>
      <c r="AL229" s="245" t="str">
        <f>IF(ISNUMBER(SEARCH("R", 'WetLitterbags placem_collection'!$V156)),"YES","NO")</f>
        <v>NO</v>
      </c>
    </row>
    <row r="230" spans="2:38">
      <c r="B230" t="str">
        <f>Wetseason!B156</f>
        <v>Wet</v>
      </c>
      <c r="C230" s="253">
        <f>Wetseason!C156</f>
        <v>155</v>
      </c>
      <c r="D230" t="s">
        <v>3125</v>
      </c>
      <c r="E230" t="s">
        <v>22</v>
      </c>
      <c r="F230" s="374">
        <v>3</v>
      </c>
      <c r="G230" s="16">
        <f>'WetLitterbags placem_collection'!E157</f>
        <v>42762</v>
      </c>
      <c r="H230" t="str">
        <f>Wetseason!L156</f>
        <v>G859</v>
      </c>
      <c r="I230" t="str">
        <f>Wetseason!L376</f>
        <v>R484</v>
      </c>
      <c r="J230">
        <f>IFERROR(INDEX('Green_rooibos initial weight'!$C$5:$C$2000,MATCH(H230, 'Green_rooibos initial weight'!$A$5:$A$2000,0)),"")</f>
        <v>2</v>
      </c>
      <c r="K230">
        <f>IFERROR(INDEX('Green_rooibos initial weight'!$C$5:$C$2000,MATCH(I230, 'Green_rooibos initial weight'!$A$5:$A$2000,0)),"")</f>
        <v>2.1850000000000001</v>
      </c>
      <c r="L230" s="194">
        <f t="shared" si="31"/>
        <v>1.7502</v>
      </c>
      <c r="M230" s="194">
        <f>AVERAGE(Ashed_controlls!$K$2:$K$11)</f>
        <v>5.5147656768714146</v>
      </c>
      <c r="N230" s="194">
        <f t="shared" si="28"/>
        <v>1.6536805711233964</v>
      </c>
      <c r="O230" s="194">
        <f t="shared" si="32"/>
        <v>1.9352</v>
      </c>
      <c r="P230" s="194">
        <f>AVERAGE(Ashed_controlls!$K$12:$K$14)</f>
        <v>2.2816647271287041</v>
      </c>
      <c r="Q230" s="194">
        <f t="shared" si="33"/>
        <v>1.8910452242006053</v>
      </c>
      <c r="R230" s="16">
        <f>IF('WetLitterbags placem_collection'!G157="","",'WetLitterbags placem_collection'!G157)</f>
        <v>42816</v>
      </c>
      <c r="S230" s="194">
        <f>IFERROR(INDEX('Both teabags AfterWet'!$C$3:$C$2000,MATCH(H230,'Both teabags AfterWet'!$A$3:$A$2000,0)),"")</f>
        <v>0.71599999999999997</v>
      </c>
      <c r="T230" s="194">
        <f>IFERROR(INDEX('Both teabags AfterWet'!$C$3:$C$2000,MATCH(I230,'Both teabags AfterWet'!$A$3:$A$2000,0)),"")</f>
        <v>1.7509999999999999</v>
      </c>
      <c r="U230" s="194">
        <f t="shared" si="34"/>
        <v>0.5653999999999999</v>
      </c>
      <c r="V230" s="194">
        <f t="shared" si="35"/>
        <v>1.6003999999999998</v>
      </c>
      <c r="W230" s="194">
        <f>IFERROR(INDEX('Ashed teabags wet'!$K$2:$K$2000,MATCH(H230,'Ashed teabags wet'!$A$2:$A$2000,0)),"")</f>
        <v>17.148456638902378</v>
      </c>
      <c r="X230" s="233">
        <f>IFERROR(INDEX('Ashed teabags wet'!$K$2:$K$2000,MATCH(I230,'Ashed teabags wet'!$A$2:$A$2000,0)),"")</f>
        <v>9.822309970384735</v>
      </c>
      <c r="Y230" s="194">
        <f t="shared" si="40"/>
        <v>0.4684426261636459</v>
      </c>
      <c r="Z230" s="194">
        <f t="shared" si="40"/>
        <v>1.4432037512339626</v>
      </c>
      <c r="AA230" s="194">
        <f t="shared" si="36"/>
        <v>0.71672726018337496</v>
      </c>
      <c r="AB230" s="194">
        <f t="shared" si="37"/>
        <v>0.46987345323185631</v>
      </c>
      <c r="AC230" s="194">
        <f t="shared" si="29"/>
        <v>0.76317780916320654</v>
      </c>
      <c r="AD230">
        <f t="shared" si="30"/>
        <v>54</v>
      </c>
      <c r="AE230" s="194">
        <f t="shared" si="38"/>
        <v>0.14877997602924586</v>
      </c>
      <c r="AF230" s="194">
        <f t="shared" si="39"/>
        <v>1.2985277228910146E-2</v>
      </c>
      <c r="AG230" s="245" t="str">
        <f>IF(ISNUMBER(SEARCH("C",'WetLitterbags placem_collection'!$X157)),"YES","NO")</f>
        <v>NO</v>
      </c>
      <c r="AH230" s="245" t="str">
        <f>IF(ISNUMBER(SEARCH("H", 'WetLitterbags placem_collection'!$X157)),"YES","NO")</f>
        <v>NO</v>
      </c>
      <c r="AI230" s="245" t="str">
        <f>IF(ISNUMBER(SEARCH("R", 'WetLitterbags placem_collection'!$X157)),"YES","NO")</f>
        <v>NO</v>
      </c>
      <c r="AJ230" s="245" t="str">
        <f>IF(ISNUMBER(SEARCH("C", 'WetLitterbags placem_collection'!$V157)),"YES","NO")</f>
        <v>NO</v>
      </c>
      <c r="AK230" s="245" t="str">
        <f>IF(ISNUMBER(SEARCH("H", 'WetLitterbags placem_collection'!$V157)),"YES","NO")</f>
        <v>NO</v>
      </c>
      <c r="AL230" s="245" t="str">
        <f>IF(ISNUMBER(SEARCH("R", 'WetLitterbags placem_collection'!$V157)),"YES","NO")</f>
        <v>YES</v>
      </c>
    </row>
    <row r="231" spans="2:38">
      <c r="B231" t="str">
        <f>Wetseason!B157</f>
        <v>Wet</v>
      </c>
      <c r="C231" s="253">
        <f>Wetseason!C157</f>
        <v>156</v>
      </c>
      <c r="D231" t="s">
        <v>3125</v>
      </c>
      <c r="E231" t="s">
        <v>22</v>
      </c>
      <c r="F231" s="375">
        <v>4</v>
      </c>
      <c r="G231" s="16">
        <f>'WetLitterbags placem_collection'!E158</f>
        <v>42762</v>
      </c>
      <c r="H231" t="str">
        <f>Wetseason!L157</f>
        <v>G654</v>
      </c>
      <c r="I231" t="str">
        <f>Wetseason!L377</f>
        <v>R598</v>
      </c>
      <c r="J231">
        <f>IFERROR(INDEX('Green_rooibos initial weight'!$C$5:$C$2000,MATCH(H231, 'Green_rooibos initial weight'!$A$5:$A$2000,0)),"")</f>
        <v>2.0169999999999999</v>
      </c>
      <c r="K231">
        <f>IFERROR(INDEX('Green_rooibos initial weight'!$C$5:$C$2000,MATCH(I231, 'Green_rooibos initial weight'!$A$5:$A$2000,0)),"")</f>
        <v>2.206</v>
      </c>
      <c r="L231" s="194">
        <f t="shared" si="31"/>
        <v>1.7671999999999999</v>
      </c>
      <c r="M231" s="194">
        <f>AVERAGE(Ashed_controlls!$K$2:$K$11)</f>
        <v>5.5147656768714146</v>
      </c>
      <c r="N231" s="194">
        <f t="shared" si="28"/>
        <v>1.6697430609583281</v>
      </c>
      <c r="O231" s="194">
        <f t="shared" si="32"/>
        <v>1.9561999999999999</v>
      </c>
      <c r="P231" s="194">
        <f>AVERAGE(Ashed_controlls!$K$12:$K$14)</f>
        <v>2.2816647271287041</v>
      </c>
      <c r="Q231" s="194">
        <f t="shared" si="33"/>
        <v>1.9115660746079082</v>
      </c>
      <c r="R231" s="16">
        <f>IF('WetLitterbags placem_collection'!G158="","",'WetLitterbags placem_collection'!G158)</f>
        <v>42816</v>
      </c>
      <c r="S231" s="194">
        <f>IFERROR(INDEX('Both teabags AfterWet'!$C$3:$C$2000,MATCH(H231,'Both teabags AfterWet'!$A$3:$A$2000,0)),"")</f>
        <v>0.73799999999999999</v>
      </c>
      <c r="T231" s="194">
        <f>IFERROR(INDEX('Both teabags AfterWet'!$C$3:$C$2000,MATCH(I231,'Both teabags AfterWet'!$A$3:$A$2000,0)),"")</f>
        <v>1.8080000000000001</v>
      </c>
      <c r="U231" s="194">
        <f t="shared" si="34"/>
        <v>0.58739999999999992</v>
      </c>
      <c r="V231" s="194">
        <f t="shared" si="35"/>
        <v>1.6574</v>
      </c>
      <c r="W231" s="194">
        <f>IFERROR(INDEX('Ashed teabags wet'!$K$2:$K$2000,MATCH(H231,'Ashed teabags wet'!$A$2:$A$2000,0)),"")</f>
        <v>25.036109773712322</v>
      </c>
      <c r="X231" s="233">
        <f>IFERROR(INDEX('Ashed teabags wet'!$K$2:$K$2000,MATCH(I231,'Ashed teabags wet'!$A$2:$A$2000,0)),"")</f>
        <v>7.6581027667986037</v>
      </c>
      <c r="Y231" s="194">
        <f t="shared" si="40"/>
        <v>0.44033789118921374</v>
      </c>
      <c r="Z231" s="194">
        <f t="shared" si="40"/>
        <v>1.5304746047430799</v>
      </c>
      <c r="AA231" s="194">
        <f t="shared" si="36"/>
        <v>0.73628404184744012</v>
      </c>
      <c r="AB231" s="194">
        <f t="shared" si="37"/>
        <v>0.48269452624677789</v>
      </c>
      <c r="AC231" s="194">
        <f t="shared" si="29"/>
        <v>0.80063913305063439</v>
      </c>
      <c r="AD231">
        <f t="shared" si="30"/>
        <v>54</v>
      </c>
      <c r="AE231" s="194">
        <f t="shared" si="38"/>
        <v>0.12555339448047487</v>
      </c>
      <c r="AF231" s="194">
        <f t="shared" si="39"/>
        <v>9.8659035455426619E-3</v>
      </c>
      <c r="AG231" s="245" t="str">
        <f>IF(ISNUMBER(SEARCH("C",'WetLitterbags placem_collection'!$X158)),"YES","NO")</f>
        <v>NO</v>
      </c>
      <c r="AH231" s="245" t="str">
        <f>IF(ISNUMBER(SEARCH("H", 'WetLitterbags placem_collection'!$X158)),"YES","NO")</f>
        <v>NO</v>
      </c>
      <c r="AI231" s="245" t="str">
        <f>IF(ISNUMBER(SEARCH("R", 'WetLitterbags placem_collection'!$X158)),"YES","NO")</f>
        <v>YES</v>
      </c>
      <c r="AJ231" s="245" t="str">
        <f>IF(ISNUMBER(SEARCH("C", 'WetLitterbags placem_collection'!$V158)),"YES","NO")</f>
        <v>NO</v>
      </c>
      <c r="AK231" s="245" t="str">
        <f>IF(ISNUMBER(SEARCH("H", 'WetLitterbags placem_collection'!$V158)),"YES","NO")</f>
        <v>YES</v>
      </c>
      <c r="AL231" s="245" t="str">
        <f>IF(ISNUMBER(SEARCH("R", 'WetLitterbags placem_collection'!$V158)),"YES","NO")</f>
        <v>NO</v>
      </c>
    </row>
    <row r="232" spans="2:38">
      <c r="B232" t="str">
        <f>Wetseason!B158</f>
        <v>Wet</v>
      </c>
      <c r="C232" s="253">
        <f>Wetseason!C158</f>
        <v>157</v>
      </c>
      <c r="D232" t="s">
        <v>3125</v>
      </c>
      <c r="E232" t="s">
        <v>22</v>
      </c>
      <c r="F232" s="375">
        <v>5</v>
      </c>
      <c r="G232" s="16">
        <f>'WetLitterbags placem_collection'!E159</f>
        <v>42762</v>
      </c>
      <c r="H232" t="str">
        <f>Wetseason!L158</f>
        <v>G890</v>
      </c>
      <c r="I232" t="str">
        <f>Wetseason!L378</f>
        <v>R30</v>
      </c>
      <c r="J232">
        <f>IFERROR(INDEX('Green_rooibos initial weight'!$C$5:$C$2000,MATCH(H232, 'Green_rooibos initial weight'!$A$5:$A$2000,0)),"")</f>
        <v>1.9930000000000001</v>
      </c>
      <c r="K232">
        <f>IFERROR(INDEX('Green_rooibos initial weight'!$C$5:$C$2000,MATCH(I232, 'Green_rooibos initial weight'!$A$5:$A$2000,0)),"")</f>
        <v>2.177</v>
      </c>
      <c r="L232" s="194">
        <f t="shared" si="31"/>
        <v>1.7432000000000001</v>
      </c>
      <c r="M232" s="194">
        <f>AVERAGE(Ashed_controlls!$K$2:$K$11)</f>
        <v>5.5147656768714146</v>
      </c>
      <c r="N232" s="194">
        <f t="shared" si="28"/>
        <v>1.6470666047207776</v>
      </c>
      <c r="O232" s="194">
        <f t="shared" si="32"/>
        <v>1.9272</v>
      </c>
      <c r="P232" s="194">
        <f>AVERAGE(Ashed_controlls!$K$12:$K$14)</f>
        <v>2.2816647271287041</v>
      </c>
      <c r="Q232" s="194">
        <f t="shared" si="33"/>
        <v>1.8832277573787757</v>
      </c>
      <c r="R232" s="16">
        <f>IF('WetLitterbags placem_collection'!G159="","",'WetLitterbags placem_collection'!G159)</f>
        <v>42816</v>
      </c>
      <c r="S232" s="194">
        <f>IFERROR(INDEX('Both teabags AfterWet'!$C$3:$C$2000,MATCH(H232,'Both teabags AfterWet'!$A$3:$A$2000,0)),"")</f>
        <v>0.74099999999999999</v>
      </c>
      <c r="T232" s="194">
        <f>IFERROR(INDEX('Both teabags AfterWet'!$C$3:$C$2000,MATCH(I232,'Both teabags AfterWet'!$A$3:$A$2000,0)),"")</f>
        <v>1.825</v>
      </c>
      <c r="U232" s="194">
        <f t="shared" si="34"/>
        <v>0.59040000000000004</v>
      </c>
      <c r="V232" s="194">
        <f t="shared" si="35"/>
        <v>1.6743999999999999</v>
      </c>
      <c r="W232" s="194">
        <f>IFERROR(INDEX('Ashed teabags wet'!$K$2:$K$2000,MATCH(H232,'Ashed teabags wet'!$A$2:$A$2000,0)),"")</f>
        <v>13.769192669637922</v>
      </c>
      <c r="X232" s="233">
        <f>IFERROR(INDEX('Ashed teabags wet'!$K$2:$K$2000,MATCH(I232,'Ashed teabags wet'!$A$2:$A$2000,0)),"")</f>
        <v>8.6618004866182261</v>
      </c>
      <c r="Y232" s="194">
        <f t="shared" si="40"/>
        <v>0.50910668647845769</v>
      </c>
      <c r="Z232" s="194">
        <f t="shared" si="40"/>
        <v>1.5293668126520643</v>
      </c>
      <c r="AA232" s="194">
        <f t="shared" si="36"/>
        <v>0.69090097205585377</v>
      </c>
      <c r="AB232" s="194">
        <f t="shared" si="37"/>
        <v>0.45294220495823195</v>
      </c>
      <c r="AC232" s="194">
        <f t="shared" si="29"/>
        <v>0.81209869951192581</v>
      </c>
      <c r="AD232">
        <f t="shared" si="30"/>
        <v>54</v>
      </c>
      <c r="AE232" s="194">
        <f t="shared" si="38"/>
        <v>0.17945252724957983</v>
      </c>
      <c r="AF232" s="194">
        <f t="shared" si="39"/>
        <v>9.9237104426729769E-3</v>
      </c>
      <c r="AG232" s="245" t="str">
        <f>IF(ISNUMBER(SEARCH("C",'WetLitterbags placem_collection'!$X159)),"YES","NO")</f>
        <v>NO</v>
      </c>
      <c r="AH232" s="245" t="str">
        <f>IF(ISNUMBER(SEARCH("H", 'WetLitterbags placem_collection'!$X159)),"YES","NO")</f>
        <v>NO</v>
      </c>
      <c r="AI232" s="245" t="str">
        <f>IF(ISNUMBER(SEARCH("R", 'WetLitterbags placem_collection'!$X159)),"YES","NO")</f>
        <v>YES</v>
      </c>
      <c r="AJ232" s="245" t="str">
        <f>IF(ISNUMBER(SEARCH("C", 'WetLitterbags placem_collection'!$V159)),"YES","NO")</f>
        <v>NO</v>
      </c>
      <c r="AK232" s="245" t="str">
        <f>IF(ISNUMBER(SEARCH("H", 'WetLitterbags placem_collection'!$V159)),"YES","NO")</f>
        <v>NO</v>
      </c>
      <c r="AL232" s="245" t="str">
        <f>IF(ISNUMBER(SEARCH("R", 'WetLitterbags placem_collection'!$V159)),"YES","NO")</f>
        <v>YES</v>
      </c>
    </row>
    <row r="233" spans="2:38">
      <c r="B233" t="str">
        <f>Wetseason!B159</f>
        <v>Wet</v>
      </c>
      <c r="C233" s="253">
        <f>Wetseason!C159</f>
        <v>158</v>
      </c>
      <c r="D233" t="s">
        <v>3125</v>
      </c>
      <c r="E233" t="s">
        <v>22</v>
      </c>
      <c r="F233" s="375">
        <v>6</v>
      </c>
      <c r="G233" s="16">
        <f>'WetLitterbags placem_collection'!E160</f>
        <v>42762</v>
      </c>
      <c r="H233" t="str">
        <f>Wetseason!L159</f>
        <v>G576</v>
      </c>
      <c r="I233" t="str">
        <f>Wetseason!L379</f>
        <v>R16</v>
      </c>
      <c r="J233">
        <f>IFERROR(INDEX('Green_rooibos initial weight'!$C$5:$C$2000,MATCH(H233, 'Green_rooibos initial weight'!$A$5:$A$2000,0)),"")</f>
        <v>2.056</v>
      </c>
      <c r="K233">
        <f>IFERROR(INDEX('Green_rooibos initial weight'!$C$5:$C$2000,MATCH(I233, 'Green_rooibos initial weight'!$A$5:$A$2000,0)),"")</f>
        <v>2.2629999999999999</v>
      </c>
      <c r="L233" s="194">
        <f t="shared" si="31"/>
        <v>1.8062</v>
      </c>
      <c r="M233" s="194">
        <f>AVERAGE(Ashed_controlls!$K$2:$K$11)</f>
        <v>5.5147656768714146</v>
      </c>
      <c r="N233" s="194">
        <f t="shared" si="28"/>
        <v>1.7065923023443486</v>
      </c>
      <c r="O233" s="194">
        <f t="shared" si="32"/>
        <v>2.0131999999999999</v>
      </c>
      <c r="P233" s="194">
        <f>AVERAGE(Ashed_controlls!$K$12:$K$14)</f>
        <v>2.2816647271287041</v>
      </c>
      <c r="Q233" s="194">
        <f t="shared" si="33"/>
        <v>1.9672655257134448</v>
      </c>
      <c r="R233" s="16">
        <f>IF('WetLitterbags placem_collection'!G160="","",'WetLitterbags placem_collection'!G160)</f>
        <v>42816</v>
      </c>
      <c r="S233" s="194">
        <f>IFERROR(INDEX('Both teabags AfterWet'!$C$3:$C$2000,MATCH(H233,'Both teabags AfterWet'!$A$3:$A$2000,0)),"")</f>
        <v>0.26600000000000001</v>
      </c>
      <c r="T233" s="194">
        <f>IFERROR(INDEX('Both teabags AfterWet'!$C$3:$C$2000,MATCH(I233,'Both teabags AfterWet'!$A$3:$A$2000,0)),"")</f>
        <v>1.786</v>
      </c>
      <c r="U233" s="194">
        <f t="shared" si="34"/>
        <v>0.1154</v>
      </c>
      <c r="V233" s="194">
        <f t="shared" si="35"/>
        <v>1.6354</v>
      </c>
      <c r="W233" s="194">
        <f>IFERROR(INDEX('Ashed teabags wet'!$K$2:$K$2000,MATCH(H233,'Ashed teabags wet'!$A$2:$A$2000,0)),"")</f>
        <v>0</v>
      </c>
      <c r="X233" s="233">
        <f>IFERROR(INDEX('Ashed teabags wet'!$K$2:$K$2000,MATCH(I233,'Ashed teabags wet'!$A$2:$A$2000,0)),"")</f>
        <v>4.8505634492893828</v>
      </c>
      <c r="Y233" s="194">
        <f t="shared" si="40"/>
        <v>0.1154</v>
      </c>
      <c r="Z233" s="194">
        <f t="shared" si="40"/>
        <v>1.5560738853503213</v>
      </c>
      <c r="AA233" s="194">
        <f t="shared" si="36"/>
        <v>0.93237986609837931</v>
      </c>
      <c r="AB233" s="194">
        <f t="shared" si="37"/>
        <v>0.61125140865356942</v>
      </c>
      <c r="AC233" s="194">
        <f t="shared" si="29"/>
        <v>0.79098315149196674</v>
      </c>
      <c r="AD233">
        <f t="shared" si="30"/>
        <v>54</v>
      </c>
      <c r="AE233" s="194">
        <f t="shared" si="38"/>
        <v>-0.1073395084303792</v>
      </c>
      <c r="AF233" s="194">
        <f t="shared" si="39"/>
        <v>7.7494989615558528E-3</v>
      </c>
      <c r="AG233" s="245" t="str">
        <f>IF(ISNUMBER(SEARCH("C",'WetLitterbags placem_collection'!$X160)),"YES","NO")</f>
        <v>NO</v>
      </c>
      <c r="AH233" s="245" t="str">
        <f>IF(ISNUMBER(SEARCH("H", 'WetLitterbags placem_collection'!$X160)),"YES","NO")</f>
        <v>NO</v>
      </c>
      <c r="AI233" s="245" t="str">
        <f>IF(ISNUMBER(SEARCH("R", 'WetLitterbags placem_collection'!$X160)),"YES","NO")</f>
        <v>YES</v>
      </c>
      <c r="AJ233" s="245" t="str">
        <f>IF(ISNUMBER(SEARCH("C", 'WetLitterbags placem_collection'!$V160)),"YES","NO")</f>
        <v>NO</v>
      </c>
      <c r="AK233" s="245" t="str">
        <f>IF(ISNUMBER(SEARCH("H", 'WetLitterbags placem_collection'!$V160)),"YES","NO")</f>
        <v>YES</v>
      </c>
      <c r="AL233" s="245" t="str">
        <f>IF(ISNUMBER(SEARCH("R", 'WetLitterbags placem_collection'!$V160)),"YES","NO")</f>
        <v>YES</v>
      </c>
    </row>
    <row r="234" spans="2:38">
      <c r="B234" t="str">
        <f>Wetseason!B160</f>
        <v>Wet</v>
      </c>
      <c r="C234" s="253">
        <f>Wetseason!C160</f>
        <v>159</v>
      </c>
      <c r="D234" t="s">
        <v>3125</v>
      </c>
      <c r="E234" t="s">
        <v>22</v>
      </c>
      <c r="F234" s="375">
        <v>7</v>
      </c>
      <c r="G234" s="16">
        <f>'WetLitterbags placem_collection'!E161</f>
        <v>42762</v>
      </c>
      <c r="H234" t="str">
        <f>Wetseason!L160</f>
        <v>G829</v>
      </c>
      <c r="I234" t="str">
        <f>Wetseason!L380</f>
        <v>R499</v>
      </c>
      <c r="J234">
        <f>IFERROR(INDEX('Green_rooibos initial weight'!$C$5:$C$2000,MATCH(H234, 'Green_rooibos initial weight'!$A$5:$A$2000,0)),"")</f>
        <v>1.9610000000000001</v>
      </c>
      <c r="K234">
        <f>IFERROR(INDEX('Green_rooibos initial weight'!$C$5:$C$2000,MATCH(I234, 'Green_rooibos initial weight'!$A$5:$A$2000,0)),"")</f>
        <v>2.194</v>
      </c>
      <c r="L234" s="194">
        <f t="shared" si="31"/>
        <v>1.7112000000000001</v>
      </c>
      <c r="M234" s="194">
        <f>AVERAGE(Ashed_controlls!$K$2:$K$11)</f>
        <v>5.5147656768714146</v>
      </c>
      <c r="N234" s="194">
        <f t="shared" si="28"/>
        <v>1.6168313297373764</v>
      </c>
      <c r="O234" s="194">
        <f t="shared" si="32"/>
        <v>1.9441999999999999</v>
      </c>
      <c r="P234" s="194">
        <f>AVERAGE(Ashed_controlls!$K$12:$K$14)</f>
        <v>2.2816647271287041</v>
      </c>
      <c r="Q234" s="194">
        <f t="shared" si="33"/>
        <v>1.8998398743751637</v>
      </c>
      <c r="R234" s="16">
        <f>IF('WetLitterbags placem_collection'!G161="","",'WetLitterbags placem_collection'!G161)</f>
        <v>42816</v>
      </c>
      <c r="S234" s="194" t="str">
        <f>IFERROR(INDEX('Both teabags AfterWet'!$C$3:$C$2000,MATCH(H234,'Both teabags AfterWet'!$A$3:$A$2000,0)),"")</f>
        <v/>
      </c>
      <c r="T234" s="194" t="str">
        <f>IFERROR(INDEX('Both teabags AfterWet'!$C$3:$C$2000,MATCH(I234,'Both teabags AfterWet'!$A$3:$A$2000,0)),"")</f>
        <v/>
      </c>
      <c r="U234" s="194" t="str">
        <f t="shared" si="34"/>
        <v/>
      </c>
      <c r="V234" s="194" t="str">
        <f t="shared" si="35"/>
        <v/>
      </c>
      <c r="W234" s="194" t="str">
        <f>IFERROR(INDEX('Ashed teabags wet'!$K$2:$K$2000,MATCH(H234,'Ashed teabags wet'!$A$2:$A$2000,0)),"")</f>
        <v/>
      </c>
      <c r="X234" s="233" t="str">
        <f>IFERROR(INDEX('Ashed teabags wet'!$K$2:$K$2000,MATCH(I234,'Ashed teabags wet'!$A$2:$A$2000,0)),"")</f>
        <v/>
      </c>
      <c r="Y234" s="194" t="str">
        <f t="shared" si="40"/>
        <v/>
      </c>
      <c r="Z234" s="194" t="str">
        <f t="shared" si="40"/>
        <v/>
      </c>
      <c r="AA234" s="194" t="str">
        <f t="shared" si="36"/>
        <v/>
      </c>
      <c r="AB234" s="194" t="str">
        <f t="shared" si="37"/>
        <v/>
      </c>
      <c r="AC234" s="194" t="str">
        <f t="shared" si="29"/>
        <v/>
      </c>
      <c r="AD234">
        <f t="shared" si="30"/>
        <v>54</v>
      </c>
      <c r="AE234" s="194" t="str">
        <f t="shared" si="38"/>
        <v/>
      </c>
      <c r="AF234" s="194" t="str">
        <f t="shared" si="39"/>
        <v/>
      </c>
      <c r="AG234" s="245" t="str">
        <f>IF(ISNUMBER(SEARCH("C",'WetLitterbags placem_collection'!$X161)),"YES","NO")</f>
        <v>NO</v>
      </c>
      <c r="AH234" s="245" t="str">
        <f>IF(ISNUMBER(SEARCH("H", 'WetLitterbags placem_collection'!$X161)),"YES","NO")</f>
        <v>NO</v>
      </c>
      <c r="AI234" s="245" t="str">
        <f>IF(ISNUMBER(SEARCH("R", 'WetLitterbags placem_collection'!$X161)),"YES","NO")</f>
        <v>NO</v>
      </c>
      <c r="AJ234" s="245" t="str">
        <f>IF(ISNUMBER(SEARCH("C", 'WetLitterbags placem_collection'!$V161)),"YES","NO")</f>
        <v>NO</v>
      </c>
      <c r="AK234" s="245" t="str">
        <f>IF(ISNUMBER(SEARCH("H", 'WetLitterbags placem_collection'!$V161)),"YES","NO")</f>
        <v>NO</v>
      </c>
      <c r="AL234" s="245" t="str">
        <f>IF(ISNUMBER(SEARCH("R", 'WetLitterbags placem_collection'!$V161)),"YES","NO")</f>
        <v>NO</v>
      </c>
    </row>
    <row r="235" spans="2:38">
      <c r="B235" t="str">
        <f>Wetseason!B161</f>
        <v>Wet</v>
      </c>
      <c r="C235" s="253">
        <f>Wetseason!C161</f>
        <v>160</v>
      </c>
      <c r="D235" t="s">
        <v>3125</v>
      </c>
      <c r="E235" t="s">
        <v>22</v>
      </c>
      <c r="F235" s="375">
        <v>8</v>
      </c>
      <c r="G235" s="16">
        <f>'WetLitterbags placem_collection'!E162</f>
        <v>42762</v>
      </c>
      <c r="H235" t="str">
        <f>Wetseason!L161</f>
        <v>G809</v>
      </c>
      <c r="I235" t="str">
        <f>Wetseason!L381</f>
        <v>R421</v>
      </c>
      <c r="J235">
        <f>IFERROR(INDEX('Green_rooibos initial weight'!$C$5:$C$2000,MATCH(H235, 'Green_rooibos initial weight'!$A$5:$A$2000,0)),"")</f>
        <v>1.9279999999999999</v>
      </c>
      <c r="K235">
        <f>IFERROR(INDEX('Green_rooibos initial weight'!$C$5:$C$2000,MATCH(I235, 'Green_rooibos initial weight'!$A$5:$A$2000,0)),"")</f>
        <v>2.2170000000000001</v>
      </c>
      <c r="L235" s="194">
        <f t="shared" si="31"/>
        <v>1.6781999999999999</v>
      </c>
      <c r="M235" s="194">
        <f>AVERAGE(Ashed_controlls!$K$2:$K$11)</f>
        <v>5.5147656768714146</v>
      </c>
      <c r="N235" s="194">
        <f t="shared" si="28"/>
        <v>1.5856512024107439</v>
      </c>
      <c r="O235" s="194">
        <f t="shared" si="32"/>
        <v>1.9672000000000001</v>
      </c>
      <c r="P235" s="194">
        <f>AVERAGE(Ashed_controlls!$K$12:$K$14)</f>
        <v>2.2816647271287041</v>
      </c>
      <c r="Q235" s="194">
        <f t="shared" si="33"/>
        <v>1.9223150914879241</v>
      </c>
      <c r="R235" s="16">
        <f>IF('WetLitterbags placem_collection'!G162="","",'WetLitterbags placem_collection'!G162)</f>
        <v>42816</v>
      </c>
      <c r="S235" s="194">
        <f>IFERROR(INDEX('Both teabags AfterWet'!$C$3:$C$2000,MATCH(H235,'Both teabags AfterWet'!$A$3:$A$2000,0)),"")</f>
        <v>0.72</v>
      </c>
      <c r="T235" s="194">
        <f>IFERROR(INDEX('Both teabags AfterWet'!$C$3:$C$2000,MATCH(I235,'Both teabags AfterWet'!$A$3:$A$2000,0)),"")</f>
        <v>1.744</v>
      </c>
      <c r="U235" s="194">
        <f t="shared" si="34"/>
        <v>0.56939999999999991</v>
      </c>
      <c r="V235" s="194">
        <f t="shared" si="35"/>
        <v>1.5933999999999999</v>
      </c>
      <c r="W235" s="194">
        <f>IFERROR(INDEX('Ashed teabags wet'!$K$2:$K$2000,MATCH(H235,'Ashed teabags wet'!$A$2:$A$2000,0)),"")</f>
        <v>14.278846153846089</v>
      </c>
      <c r="X235" s="233">
        <f>IFERROR(INDEX('Ashed teabags wet'!$K$2:$K$2000,MATCH(I235,'Ashed teabags wet'!$A$2:$A$2000,0)),"")</f>
        <v>4.8926610084872157</v>
      </c>
      <c r="Y235" s="194">
        <f t="shared" si="40"/>
        <v>0.48809625000000029</v>
      </c>
      <c r="Z235" s="194">
        <f t="shared" si="40"/>
        <v>1.5154403394907647</v>
      </c>
      <c r="AA235" s="194">
        <f t="shared" si="36"/>
        <v>0.69217930825018548</v>
      </c>
      <c r="AB235" s="194">
        <f t="shared" si="37"/>
        <v>0.45378025909038294</v>
      </c>
      <c r="AC235" s="194">
        <f t="shared" si="29"/>
        <v>0.78834127984594493</v>
      </c>
      <c r="AD235">
        <f t="shared" si="30"/>
        <v>54</v>
      </c>
      <c r="AE235" s="194">
        <f t="shared" si="38"/>
        <v>0.17793431324205999</v>
      </c>
      <c r="AF235" s="194">
        <f t="shared" si="39"/>
        <v>1.1632837832659972E-2</v>
      </c>
      <c r="AG235" s="245" t="str">
        <f>IF(ISNUMBER(SEARCH("C",'WetLitterbags placem_collection'!$X162)),"YES","NO")</f>
        <v>NO</v>
      </c>
      <c r="AH235" s="245" t="str">
        <f>IF(ISNUMBER(SEARCH("H", 'WetLitterbags placem_collection'!$X162)),"YES","NO")</f>
        <v>NO</v>
      </c>
      <c r="AI235" s="245" t="str">
        <f>IF(ISNUMBER(SEARCH("R", 'WetLitterbags placem_collection'!$X162)),"YES","NO")</f>
        <v>YES</v>
      </c>
      <c r="AJ235" s="245" t="str">
        <f>IF(ISNUMBER(SEARCH("C", 'WetLitterbags placem_collection'!$V162)),"YES","NO")</f>
        <v>NO</v>
      </c>
      <c r="AK235" s="245" t="str">
        <f>IF(ISNUMBER(SEARCH("H", 'WetLitterbags placem_collection'!$V162)),"YES","NO")</f>
        <v>NO</v>
      </c>
      <c r="AL235" s="245" t="str">
        <f>IF(ISNUMBER(SEARCH("R", 'WetLitterbags placem_collection'!$V162)),"YES","NO")</f>
        <v>YES</v>
      </c>
    </row>
    <row r="236" spans="2:38">
      <c r="B236" t="str">
        <f>Wetseason!B162</f>
        <v>Wet</v>
      </c>
      <c r="C236" s="253">
        <f>Wetseason!C162</f>
        <v>161</v>
      </c>
      <c r="D236" t="s">
        <v>3126</v>
      </c>
      <c r="E236" t="s">
        <v>22</v>
      </c>
      <c r="F236" s="374">
        <v>1</v>
      </c>
      <c r="G236" s="16">
        <f>'WetLitterbags placem_collection'!E163</f>
        <v>42763</v>
      </c>
      <c r="H236" t="str">
        <f>Wetseason!L162</f>
        <v>G352</v>
      </c>
      <c r="I236" t="str">
        <f>Wetseason!L382</f>
        <v>R124</v>
      </c>
      <c r="J236">
        <f>IFERROR(INDEX('Green_rooibos initial weight'!$C$5:$C$2000,MATCH(H236, 'Green_rooibos initial weight'!$A$5:$A$2000,0)),"")</f>
        <v>1.9490000000000001</v>
      </c>
      <c r="K236">
        <f>IFERROR(INDEX('Green_rooibos initial weight'!$C$5:$C$2000,MATCH(I236, 'Green_rooibos initial weight'!$A$5:$A$2000,0)),"")</f>
        <v>2.2120000000000002</v>
      </c>
      <c r="L236" s="194">
        <f t="shared" si="31"/>
        <v>1.6992</v>
      </c>
      <c r="M236" s="194">
        <f>AVERAGE(Ashed_controlls!$K$2:$K$11)</f>
        <v>5.5147656768714146</v>
      </c>
      <c r="N236" s="194">
        <f t="shared" si="28"/>
        <v>1.6054931016186009</v>
      </c>
      <c r="O236" s="194">
        <f t="shared" si="32"/>
        <v>1.9622000000000002</v>
      </c>
      <c r="P236" s="194">
        <f>AVERAGE(Ashed_controlls!$K$12:$K$14)</f>
        <v>2.2816647271287041</v>
      </c>
      <c r="Q236" s="194">
        <f t="shared" si="33"/>
        <v>1.9174291747242806</v>
      </c>
      <c r="R236" s="16">
        <f>IF('WetLitterbags placem_collection'!G163="","",'WetLitterbags placem_collection'!G163)</f>
        <v>42814</v>
      </c>
      <c r="S236" s="194">
        <f>IFERROR(INDEX('Both teabags AfterWet'!$C$3:$C$2000,MATCH(H236,'Both teabags AfterWet'!$A$3:$A$2000,0)),"")</f>
        <v>0.57509999999999994</v>
      </c>
      <c r="T236" s="194">
        <f>IFERROR(INDEX('Both teabags AfterWet'!$C$3:$C$2000,MATCH(I236,'Both teabags AfterWet'!$A$3:$A$2000,0)),"")</f>
        <v>1.6863999999999999</v>
      </c>
      <c r="U236" s="194">
        <f t="shared" si="34"/>
        <v>0.42449999999999993</v>
      </c>
      <c r="V236" s="194">
        <f t="shared" si="35"/>
        <v>1.5357999999999998</v>
      </c>
      <c r="W236" s="194">
        <f>IFERROR(INDEX('Ashed teabags wet'!$K$2:$K$2000,MATCH(H236,'Ashed teabags wet'!$A$2:$A$2000,0)),"")</f>
        <v>6.9085487077541252</v>
      </c>
      <c r="X236" s="233">
        <f>IFERROR(INDEX('Ashed teabags wet'!$K$2:$K$2000,MATCH(I236,'Ashed teabags wet'!$A$2:$A$2000,0)),"")</f>
        <v>1.0140028971511033</v>
      </c>
      <c r="Y236" s="194">
        <f t="shared" si="40"/>
        <v>0.3951732107355837</v>
      </c>
      <c r="Z236" s="194">
        <f t="shared" si="40"/>
        <v>1.5202269435055531</v>
      </c>
      <c r="AA236" s="194">
        <f t="shared" si="36"/>
        <v>0.75386178219191091</v>
      </c>
      <c r="AB236" s="194">
        <f t="shared" si="37"/>
        <v>0.49421817549873504</v>
      </c>
      <c r="AC236" s="194">
        <f t="shared" si="29"/>
        <v>0.79284646522819091</v>
      </c>
      <c r="AD236">
        <f t="shared" si="30"/>
        <v>51</v>
      </c>
      <c r="AE236" s="194">
        <f t="shared" si="38"/>
        <v>0.10467721829939314</v>
      </c>
      <c r="AF236" s="194">
        <f t="shared" si="39"/>
        <v>1.0652346099666919E-2</v>
      </c>
      <c r="AG236" s="245" t="str">
        <f>IF(ISNUMBER(SEARCH("C",'WetLitterbags placem_collection'!$X163)),"YES","NO")</f>
        <v>NO</v>
      </c>
      <c r="AH236" s="245" t="str">
        <f>IF(ISNUMBER(SEARCH("H", 'WetLitterbags placem_collection'!$X163)),"YES","NO")</f>
        <v>NO</v>
      </c>
      <c r="AI236" s="245" t="str">
        <f>IF(ISNUMBER(SEARCH("R", 'WetLitterbags placem_collection'!$X163)),"YES","NO")</f>
        <v>NO</v>
      </c>
      <c r="AJ236" s="245" t="str">
        <f>IF(ISNUMBER(SEARCH("C", 'WetLitterbags placem_collection'!$V163)),"YES","NO")</f>
        <v>NO</v>
      </c>
      <c r="AK236" s="245" t="str">
        <f>IF(ISNUMBER(SEARCH("H", 'WetLitterbags placem_collection'!$V163)),"YES","NO")</f>
        <v>NO</v>
      </c>
      <c r="AL236" s="245" t="str">
        <f>IF(ISNUMBER(SEARCH("R", 'WetLitterbags placem_collection'!$V163)),"YES","NO")</f>
        <v>NO</v>
      </c>
    </row>
    <row r="237" spans="2:38">
      <c r="B237" t="str">
        <f>Wetseason!B163</f>
        <v>Wet</v>
      </c>
      <c r="C237" s="253">
        <f>Wetseason!C163</f>
        <v>162</v>
      </c>
      <c r="D237" t="s">
        <v>3126</v>
      </c>
      <c r="E237" t="s">
        <v>22</v>
      </c>
      <c r="F237" s="374">
        <v>2</v>
      </c>
      <c r="G237" s="16">
        <f>'WetLitterbags placem_collection'!E164</f>
        <v>42763</v>
      </c>
      <c r="H237" t="str">
        <f>Wetseason!L163</f>
        <v>G385</v>
      </c>
      <c r="I237" t="str">
        <f>Wetseason!L383</f>
        <v>R202</v>
      </c>
      <c r="J237">
        <f>IFERROR(INDEX('Green_rooibos initial weight'!$C$5:$C$2000,MATCH(H237, 'Green_rooibos initial weight'!$A$5:$A$2000,0)),"")</f>
        <v>1.962</v>
      </c>
      <c r="K237">
        <f>IFERROR(INDEX('Green_rooibos initial weight'!$C$5:$C$2000,MATCH(I237, 'Green_rooibos initial weight'!$A$5:$A$2000,0)),"")</f>
        <v>2.298</v>
      </c>
      <c r="L237" s="194">
        <f t="shared" si="31"/>
        <v>1.7121999999999999</v>
      </c>
      <c r="M237" s="194">
        <f>AVERAGE(Ashed_controlls!$K$2:$K$11)</f>
        <v>5.5147656768714146</v>
      </c>
      <c r="N237" s="194">
        <f t="shared" si="28"/>
        <v>1.6177761820806076</v>
      </c>
      <c r="O237" s="194">
        <f t="shared" si="32"/>
        <v>2.0482</v>
      </c>
      <c r="P237" s="194">
        <f>AVERAGE(Ashed_controlls!$K$12:$K$14)</f>
        <v>2.2816647271287041</v>
      </c>
      <c r="Q237" s="194">
        <f t="shared" si="33"/>
        <v>2.0014669430589498</v>
      </c>
      <c r="R237" s="16">
        <f>IF('WetLitterbags placem_collection'!G164="","",'WetLitterbags placem_collection'!G164)</f>
        <v>42814</v>
      </c>
      <c r="S237" s="194">
        <f>IFERROR(INDEX('Both teabags AfterWet'!$C$3:$C$2000,MATCH(H237,'Both teabags AfterWet'!$A$3:$A$2000,0)),"")</f>
        <v>0.62280000000000002</v>
      </c>
      <c r="T237" s="194">
        <f>IFERROR(INDEX('Both teabags AfterWet'!$C$3:$C$2000,MATCH(I237,'Both teabags AfterWet'!$A$3:$A$2000,0)),"")</f>
        <v>0.52</v>
      </c>
      <c r="U237" s="194">
        <f t="shared" si="34"/>
        <v>0.47220000000000001</v>
      </c>
      <c r="V237" s="194">
        <f t="shared" si="35"/>
        <v>0.36940000000000001</v>
      </c>
      <c r="W237" s="194">
        <f>IFERROR(INDEX('Ashed teabags wet'!$K$2:$K$2000,MATCH(H237,'Ashed teabags wet'!$A$2:$A$2000,0)),"")</f>
        <v>8.5545722713864567</v>
      </c>
      <c r="X237" s="233">
        <f>IFERROR(INDEX('Ashed teabags wet'!$K$2:$K$2000,MATCH(I237,'Ashed teabags wet'!$A$2:$A$2000,0)),"")</f>
        <v>79.460269865066508</v>
      </c>
      <c r="Y237" s="194">
        <f t="shared" si="40"/>
        <v>0.43180530973451314</v>
      </c>
      <c r="Z237" s="194">
        <f t="shared" si="40"/>
        <v>7.5873763118444293E-2</v>
      </c>
      <c r="AA237" s="194">
        <f t="shared" si="36"/>
        <v>0.73308711395468062</v>
      </c>
      <c r="AB237" s="194">
        <f t="shared" si="37"/>
        <v>0.4805986780320472</v>
      </c>
      <c r="AC237" s="194">
        <f t="shared" si="29"/>
        <v>3.7909076331024652E-2</v>
      </c>
      <c r="AD237">
        <f t="shared" si="30"/>
        <v>51</v>
      </c>
      <c r="AE237" s="194">
        <f t="shared" si="38"/>
        <v>0.12935022095643633</v>
      </c>
      <c r="AF237" s="194" t="str">
        <f t="shared" si="39"/>
        <v/>
      </c>
      <c r="AG237" s="245" t="str">
        <f>IF(ISNUMBER(SEARCH("C",'WetLitterbags placem_collection'!$X164)),"YES","NO")</f>
        <v>NO</v>
      </c>
      <c r="AH237" s="245" t="str">
        <f>IF(ISNUMBER(SEARCH("H", 'WetLitterbags placem_collection'!$X164)),"YES","NO")</f>
        <v>NO</v>
      </c>
      <c r="AI237" s="245" t="str">
        <f>IF(ISNUMBER(SEARCH("R", 'WetLitterbags placem_collection'!$X164)),"YES","NO")</f>
        <v>NO</v>
      </c>
      <c r="AJ237" s="245" t="str">
        <f>IF(ISNUMBER(SEARCH("C", 'WetLitterbags placem_collection'!$V164)),"YES","NO")</f>
        <v>NO</v>
      </c>
      <c r="AK237" s="245" t="str">
        <f>IF(ISNUMBER(SEARCH("H", 'WetLitterbags placem_collection'!$V164)),"YES","NO")</f>
        <v>NO</v>
      </c>
      <c r="AL237" s="245" t="str">
        <f>IF(ISNUMBER(SEARCH("R", 'WetLitterbags placem_collection'!$V164)),"YES","NO")</f>
        <v>NO</v>
      </c>
    </row>
    <row r="238" spans="2:38">
      <c r="B238" t="str">
        <f>Wetseason!B164</f>
        <v>Wet</v>
      </c>
      <c r="C238" s="253">
        <f>Wetseason!C164</f>
        <v>163</v>
      </c>
      <c r="D238" t="s">
        <v>3126</v>
      </c>
      <c r="E238" t="s">
        <v>22</v>
      </c>
      <c r="F238" s="374">
        <v>3</v>
      </c>
      <c r="G238" s="16">
        <f>'WetLitterbags placem_collection'!E165</f>
        <v>42763</v>
      </c>
      <c r="H238" t="str">
        <f>Wetseason!L164</f>
        <v>G202</v>
      </c>
      <c r="I238" t="str">
        <f>Wetseason!L384</f>
        <v>R96</v>
      </c>
      <c r="J238">
        <f>IFERROR(INDEX('Green_rooibos initial weight'!$C$5:$C$2000,MATCH(H238, 'Green_rooibos initial weight'!$A$5:$A$2000,0)),"")</f>
        <v>1.986</v>
      </c>
      <c r="K238">
        <f>IFERROR(INDEX('Green_rooibos initial weight'!$C$5:$C$2000,MATCH(I238, 'Green_rooibos initial weight'!$A$5:$A$2000,0)),"")</f>
        <v>2.2309999999999999</v>
      </c>
      <c r="L238" s="194">
        <f t="shared" si="31"/>
        <v>1.7362</v>
      </c>
      <c r="M238" s="194">
        <f>AVERAGE(Ashed_controlls!$K$2:$K$11)</f>
        <v>5.5147656768714146</v>
      </c>
      <c r="N238" s="194">
        <f t="shared" si="28"/>
        <v>1.6404526383181586</v>
      </c>
      <c r="O238" s="194">
        <f t="shared" si="32"/>
        <v>1.9811999999999999</v>
      </c>
      <c r="P238" s="194">
        <f>AVERAGE(Ashed_controlls!$K$12:$K$14)</f>
        <v>2.2816647271287041</v>
      </c>
      <c r="Q238" s="194">
        <f t="shared" si="33"/>
        <v>1.935995658426126</v>
      </c>
      <c r="R238" s="16">
        <f>IF('WetLitterbags placem_collection'!G165="","",'WetLitterbags placem_collection'!G165)</f>
        <v>42814</v>
      </c>
      <c r="S238" s="194">
        <f>IFERROR(INDEX('Both teabags AfterWet'!$C$3:$C$2000,MATCH(H238,'Both teabags AfterWet'!$A$3:$A$2000,0)),"")</f>
        <v>0.64500000000000002</v>
      </c>
      <c r="T238" s="194">
        <f>IFERROR(INDEX('Both teabags AfterWet'!$C$3:$C$2000,MATCH(I238,'Both teabags AfterWet'!$A$3:$A$2000,0)),"")</f>
        <v>1.696</v>
      </c>
      <c r="U238" s="194">
        <f t="shared" si="34"/>
        <v>0.49440000000000001</v>
      </c>
      <c r="V238" s="194">
        <f t="shared" si="35"/>
        <v>1.5453999999999999</v>
      </c>
      <c r="W238" s="194">
        <f>IFERROR(INDEX('Ashed teabags wet'!$K$2:$K$2000,MATCH(H238,'Ashed teabags wet'!$A$2:$A$2000,0)),"")</f>
        <v>9.4152626362733951</v>
      </c>
      <c r="X238" s="233">
        <f>IFERROR(INDEX('Ashed teabags wet'!$K$2:$K$2000,MATCH(I238,'Ashed teabags wet'!$A$2:$A$2000,0)),"")</f>
        <v>2.3336643495531879</v>
      </c>
      <c r="Y238" s="194">
        <f t="shared" si="40"/>
        <v>0.44785094152626437</v>
      </c>
      <c r="Z238" s="194">
        <f t="shared" si="40"/>
        <v>1.509335551142005</v>
      </c>
      <c r="AA238" s="194">
        <f t="shared" si="36"/>
        <v>0.72699550656615441</v>
      </c>
      <c r="AB238" s="194">
        <f t="shared" si="37"/>
        <v>0.47660513019538869</v>
      </c>
      <c r="AC238" s="194">
        <f t="shared" si="29"/>
        <v>0.77961721896061709</v>
      </c>
      <c r="AD238">
        <f t="shared" si="30"/>
        <v>51</v>
      </c>
      <c r="AE238" s="194">
        <f t="shared" si="38"/>
        <v>0.13658490906632492</v>
      </c>
      <c r="AF238" s="194">
        <f t="shared" si="39"/>
        <v>1.2169464899257612E-2</v>
      </c>
      <c r="AG238" s="245" t="str">
        <f>IF(ISNUMBER(SEARCH("C",'WetLitterbags placem_collection'!$X165)),"YES","NO")</f>
        <v>NO</v>
      </c>
      <c r="AH238" s="245" t="str">
        <f>IF(ISNUMBER(SEARCH("H", 'WetLitterbags placem_collection'!$X165)),"YES","NO")</f>
        <v>NO</v>
      </c>
      <c r="AI238" s="245" t="str">
        <f>IF(ISNUMBER(SEARCH("R", 'WetLitterbags placem_collection'!$X165)),"YES","NO")</f>
        <v>NO</v>
      </c>
      <c r="AJ238" s="245" t="str">
        <f>IF(ISNUMBER(SEARCH("C", 'WetLitterbags placem_collection'!$V165)),"YES","NO")</f>
        <v>NO</v>
      </c>
      <c r="AK238" s="245" t="str">
        <f>IF(ISNUMBER(SEARCH("H", 'WetLitterbags placem_collection'!$V165)),"YES","NO")</f>
        <v>YES</v>
      </c>
      <c r="AL238" s="245" t="str">
        <f>IF(ISNUMBER(SEARCH("R", 'WetLitterbags placem_collection'!$V165)),"YES","NO")</f>
        <v>NO</v>
      </c>
    </row>
    <row r="239" spans="2:38">
      <c r="B239" t="str">
        <f>Wetseason!B165</f>
        <v>Wet</v>
      </c>
      <c r="C239" s="253">
        <f>Wetseason!C165</f>
        <v>164</v>
      </c>
      <c r="D239" t="s">
        <v>3126</v>
      </c>
      <c r="E239" t="s">
        <v>22</v>
      </c>
      <c r="F239" s="375">
        <v>4</v>
      </c>
      <c r="G239" s="16">
        <f>'WetLitterbags placem_collection'!E166</f>
        <v>42763</v>
      </c>
      <c r="H239" t="str">
        <f>Wetseason!L165</f>
        <v>G686</v>
      </c>
      <c r="I239" t="str">
        <f>Wetseason!L385</f>
        <v>R317</v>
      </c>
      <c r="J239">
        <f>IFERROR(INDEX('Green_rooibos initial weight'!$C$5:$C$2000,MATCH(H239, 'Green_rooibos initial weight'!$A$5:$A$2000,0)),"")</f>
        <v>1.9510000000000001</v>
      </c>
      <c r="K239">
        <f>IFERROR(INDEX('Green_rooibos initial weight'!$C$5:$C$2000,MATCH(I239, 'Green_rooibos initial weight'!$A$5:$A$2000,0)),"")</f>
        <v>2.2240000000000002</v>
      </c>
      <c r="L239" s="194">
        <f t="shared" si="31"/>
        <v>1.7012</v>
      </c>
      <c r="M239" s="194">
        <f>AVERAGE(Ashed_controlls!$K$2:$K$11)</f>
        <v>5.5147656768714146</v>
      </c>
      <c r="N239" s="194">
        <f t="shared" si="28"/>
        <v>1.6073828063050635</v>
      </c>
      <c r="O239" s="194">
        <f t="shared" si="32"/>
        <v>1.9742000000000002</v>
      </c>
      <c r="P239" s="194">
        <f>AVERAGE(Ashed_controlls!$K$12:$K$14)</f>
        <v>2.2816647271287041</v>
      </c>
      <c r="Q239" s="194">
        <f t="shared" si="33"/>
        <v>1.9291553749570254</v>
      </c>
      <c r="R239" s="16">
        <f>IF('WetLitterbags placem_collection'!G166="","",'WetLitterbags placem_collection'!G166)</f>
        <v>42814</v>
      </c>
      <c r="S239" s="194">
        <f>IFERROR(INDEX('Both teabags AfterWet'!$C$3:$C$2000,MATCH(H239,'Both teabags AfterWet'!$A$3:$A$2000,0)),"")</f>
        <v>0.628</v>
      </c>
      <c r="T239" s="194">
        <f>IFERROR(INDEX('Both teabags AfterWet'!$C$3:$C$2000,MATCH(I239,'Both teabags AfterWet'!$A$3:$A$2000,0)),"")</f>
        <v>1.7210000000000001</v>
      </c>
      <c r="U239" s="194">
        <f t="shared" si="34"/>
        <v>0.47739999999999999</v>
      </c>
      <c r="V239" s="194">
        <f t="shared" si="35"/>
        <v>1.5704</v>
      </c>
      <c r="W239" s="194">
        <f>IFERROR(INDEX('Ashed teabags wet'!$K$2:$K$2000,MATCH(H239,'Ashed teabags wet'!$A$2:$A$2000,0)),"")</f>
        <v>9.7268806899849256</v>
      </c>
      <c r="X239" s="233">
        <f>IFERROR(INDEX('Ashed teabags wet'!$K$2:$K$2000,MATCH(I239,'Ashed teabags wet'!$A$2:$A$2000,0)),"")</f>
        <v>2.0937188434697482</v>
      </c>
      <c r="Y239" s="194">
        <f t="shared" si="40"/>
        <v>0.43096387158601196</v>
      </c>
      <c r="Z239" s="194">
        <f t="shared" si="40"/>
        <v>1.5375202392821512</v>
      </c>
      <c r="AA239" s="194">
        <f t="shared" si="36"/>
        <v>0.73188473218978811</v>
      </c>
      <c r="AB239" s="194">
        <f t="shared" si="37"/>
        <v>0.47981041825268772</v>
      </c>
      <c r="AC239" s="194">
        <f t="shared" si="29"/>
        <v>0.79699139801862851</v>
      </c>
      <c r="AD239">
        <f t="shared" si="30"/>
        <v>51</v>
      </c>
      <c r="AE239" s="194">
        <f t="shared" si="38"/>
        <v>0.130778227803102</v>
      </c>
      <c r="AF239" s="194">
        <f t="shared" si="39"/>
        <v>1.0786064284598601E-2</v>
      </c>
      <c r="AG239" s="245" t="str">
        <f>IF(ISNUMBER(SEARCH("C",'WetLitterbags placem_collection'!$X166)),"YES","NO")</f>
        <v>NO</v>
      </c>
      <c r="AH239" s="245" t="str">
        <f>IF(ISNUMBER(SEARCH("H", 'WetLitterbags placem_collection'!$X166)),"YES","NO")</f>
        <v>NO</v>
      </c>
      <c r="AI239" s="245" t="str">
        <f>IF(ISNUMBER(SEARCH("R", 'WetLitterbags placem_collection'!$X166)),"YES","NO")</f>
        <v>NO</v>
      </c>
      <c r="AJ239" s="245" t="str">
        <f>IF(ISNUMBER(SEARCH("C", 'WetLitterbags placem_collection'!$V166)),"YES","NO")</f>
        <v>NO</v>
      </c>
      <c r="AK239" s="245" t="str">
        <f>IF(ISNUMBER(SEARCH("H", 'WetLitterbags placem_collection'!$V166)),"YES","NO")</f>
        <v>NO</v>
      </c>
      <c r="AL239" s="245" t="str">
        <f>IF(ISNUMBER(SEARCH("R", 'WetLitterbags placem_collection'!$V166)),"YES","NO")</f>
        <v>NO</v>
      </c>
    </row>
    <row r="240" spans="2:38">
      <c r="B240" t="str">
        <f>Wetseason!B166</f>
        <v>Wet</v>
      </c>
      <c r="C240" s="253">
        <f>Wetseason!C166</f>
        <v>165</v>
      </c>
      <c r="D240" t="s">
        <v>3126</v>
      </c>
      <c r="E240" t="s">
        <v>22</v>
      </c>
      <c r="F240" s="375">
        <v>5</v>
      </c>
      <c r="G240" s="16">
        <f>'WetLitterbags placem_collection'!E167</f>
        <v>42763</v>
      </c>
      <c r="H240" t="str">
        <f>Wetseason!L166</f>
        <v>G368</v>
      </c>
      <c r="I240" t="str">
        <f>Wetseason!L386</f>
        <v>R331</v>
      </c>
      <c r="J240">
        <f>IFERROR(INDEX('Green_rooibos initial weight'!$C$5:$C$2000,MATCH(H240, 'Green_rooibos initial weight'!$A$5:$A$2000,0)),"")</f>
        <v>2.1709999999999998</v>
      </c>
      <c r="K240">
        <f>IFERROR(INDEX('Green_rooibos initial weight'!$C$5:$C$2000,MATCH(I240, 'Green_rooibos initial weight'!$A$5:$A$2000,0)),"")</f>
        <v>2.2410000000000001</v>
      </c>
      <c r="L240" s="194">
        <f t="shared" si="31"/>
        <v>1.9211999999999998</v>
      </c>
      <c r="M240" s="194">
        <f>AVERAGE(Ashed_controlls!$K$2:$K$11)</f>
        <v>5.5147656768714146</v>
      </c>
      <c r="N240" s="194">
        <f t="shared" si="28"/>
        <v>1.8152503218159461</v>
      </c>
      <c r="O240" s="194">
        <f t="shared" si="32"/>
        <v>1.9912000000000001</v>
      </c>
      <c r="P240" s="194">
        <f>AVERAGE(Ashed_controlls!$K$12:$K$14)</f>
        <v>2.2816647271287041</v>
      </c>
      <c r="Q240" s="194">
        <f t="shared" si="33"/>
        <v>1.9457674919534134</v>
      </c>
      <c r="R240" s="16">
        <f>IF('WetLitterbags placem_collection'!G167="","",'WetLitterbags placem_collection'!G167)</f>
        <v>42814</v>
      </c>
      <c r="S240" s="194">
        <f>IFERROR(INDEX('Both teabags AfterWet'!$C$3:$C$2000,MATCH(H240,'Both teabags AfterWet'!$A$3:$A$2000,0)),"")</f>
        <v>0.72699999999999998</v>
      </c>
      <c r="T240" s="194">
        <f>IFERROR(INDEX('Both teabags AfterWet'!$C$3:$C$2000,MATCH(I240,'Both teabags AfterWet'!$A$3:$A$2000,0)),"")</f>
        <v>1.724</v>
      </c>
      <c r="U240" s="194">
        <f t="shared" si="34"/>
        <v>0.57640000000000002</v>
      </c>
      <c r="V240" s="194">
        <f t="shared" si="35"/>
        <v>1.5733999999999999</v>
      </c>
      <c r="W240" s="194">
        <f>IFERROR(INDEX('Ashed teabags wet'!$K$2:$K$2000,MATCH(H240,'Ashed teabags wet'!$A$2:$A$2000,0)),"")</f>
        <v>7.2371638141808248</v>
      </c>
      <c r="X240" s="233">
        <f>IFERROR(INDEX('Ashed teabags wet'!$K$2:$K$2000,MATCH(I240,'Ashed teabags wet'!$A$2:$A$2000,0)),"")</f>
        <v>2.562929061785161</v>
      </c>
      <c r="Y240" s="194">
        <f t="shared" si="40"/>
        <v>0.53468498777506179</v>
      </c>
      <c r="Z240" s="194">
        <f t="shared" si="40"/>
        <v>1.5330748741418723</v>
      </c>
      <c r="AA240" s="194">
        <f t="shared" si="36"/>
        <v>0.70544834431420356</v>
      </c>
      <c r="AB240" s="194">
        <f t="shared" si="37"/>
        <v>0.46247919959791017</v>
      </c>
      <c r="AC240" s="194">
        <f t="shared" si="29"/>
        <v>0.78790239865852274</v>
      </c>
      <c r="AD240">
        <f t="shared" si="30"/>
        <v>51</v>
      </c>
      <c r="AE240" s="194">
        <f t="shared" si="38"/>
        <v>0.16217536304726421</v>
      </c>
      <c r="AF240" s="194">
        <f t="shared" si="39"/>
        <v>1.2031675195383265E-2</v>
      </c>
      <c r="AG240" s="245" t="str">
        <f>IF(ISNUMBER(SEARCH("C",'WetLitterbags placem_collection'!$X167)),"YES","NO")</f>
        <v>NO</v>
      </c>
      <c r="AH240" s="245" t="str">
        <f>IF(ISNUMBER(SEARCH("H", 'WetLitterbags placem_collection'!$X167)),"YES","NO")</f>
        <v>NO</v>
      </c>
      <c r="AI240" s="245" t="str">
        <f>IF(ISNUMBER(SEARCH("R", 'WetLitterbags placem_collection'!$X167)),"YES","NO")</f>
        <v>NO</v>
      </c>
      <c r="AJ240" s="245" t="str">
        <f>IF(ISNUMBER(SEARCH("C", 'WetLitterbags placem_collection'!$V167)),"YES","NO")</f>
        <v>NO</v>
      </c>
      <c r="AK240" s="245" t="str">
        <f>IF(ISNUMBER(SEARCH("H", 'WetLitterbags placem_collection'!$V167)),"YES","NO")</f>
        <v>NO</v>
      </c>
      <c r="AL240" s="245" t="str">
        <f>IF(ISNUMBER(SEARCH("R", 'WetLitterbags placem_collection'!$V167)),"YES","NO")</f>
        <v>NO</v>
      </c>
    </row>
    <row r="241" spans="2:38">
      <c r="B241" t="str">
        <f>Wetseason!B167</f>
        <v>Wet</v>
      </c>
      <c r="C241" s="253">
        <f>Wetseason!C167</f>
        <v>166</v>
      </c>
      <c r="D241" t="s">
        <v>3126</v>
      </c>
      <c r="E241" t="s">
        <v>22</v>
      </c>
      <c r="F241" s="375">
        <v>6</v>
      </c>
      <c r="G241" s="16">
        <f>'WetLitterbags placem_collection'!E168</f>
        <v>42763</v>
      </c>
      <c r="H241" t="str">
        <f>Wetseason!L167</f>
        <v>G334</v>
      </c>
      <c r="I241" t="str">
        <f>Wetseason!L387</f>
        <v>R287</v>
      </c>
      <c r="J241">
        <f>IFERROR(INDEX('Green_rooibos initial weight'!$C$5:$C$2000,MATCH(H241, 'Green_rooibos initial weight'!$A$5:$A$2000,0)),"")</f>
        <v>2.0710000000000002</v>
      </c>
      <c r="K241">
        <f>IFERROR(INDEX('Green_rooibos initial weight'!$C$5:$C$2000,MATCH(I241, 'Green_rooibos initial weight'!$A$5:$A$2000,0)),"")</f>
        <v>2.1960000000000002</v>
      </c>
      <c r="L241" s="194">
        <f t="shared" si="31"/>
        <v>1.8212000000000002</v>
      </c>
      <c r="M241" s="194">
        <f>AVERAGE(Ashed_controlls!$K$2:$K$11)</f>
        <v>5.5147656768714146</v>
      </c>
      <c r="N241" s="194">
        <f t="shared" si="28"/>
        <v>1.720765087492818</v>
      </c>
      <c r="O241" s="194">
        <f t="shared" si="32"/>
        <v>1.9462000000000002</v>
      </c>
      <c r="P241" s="194">
        <f>AVERAGE(Ashed_controlls!$K$12:$K$14)</f>
        <v>2.2816647271287041</v>
      </c>
      <c r="Q241" s="194">
        <f t="shared" si="33"/>
        <v>1.9017942410806212</v>
      </c>
      <c r="R241" s="16">
        <f>IF('WetLitterbags placem_collection'!G168="","",'WetLitterbags placem_collection'!G168)</f>
        <v>42814</v>
      </c>
      <c r="S241" s="194">
        <f>IFERROR(INDEX('Both teabags AfterWet'!$C$3:$C$2000,MATCH(H241,'Both teabags AfterWet'!$A$3:$A$2000,0)),"")</f>
        <v>0.80800000000000005</v>
      </c>
      <c r="T241" s="194">
        <f>IFERROR(INDEX('Both teabags AfterWet'!$C$3:$C$2000,MATCH(I241,'Both teabags AfterWet'!$A$3:$A$2000,0)),"")</f>
        <v>1.6496999999999999</v>
      </c>
      <c r="U241" s="194">
        <f t="shared" si="34"/>
        <v>0.65739999999999998</v>
      </c>
      <c r="V241" s="194">
        <f t="shared" si="35"/>
        <v>1.4990999999999999</v>
      </c>
      <c r="W241" s="194">
        <f>IFERROR(INDEX('Ashed teabags wet'!$K$2:$K$2000,MATCH(H241,'Ashed teabags wet'!$A$2:$A$2000,0)),"")</f>
        <v>13.234567901234151</v>
      </c>
      <c r="X241" s="233">
        <f>IFERROR(INDEX('Ashed teabags wet'!$K$2:$K$2000,MATCH(I241,'Ashed teabags wet'!$A$2:$A$2000,0)),"")</f>
        <v>1.9136408243378245</v>
      </c>
      <c r="Y241" s="194">
        <f t="shared" si="40"/>
        <v>0.57039595061728665</v>
      </c>
      <c r="Z241" s="194">
        <f t="shared" si="40"/>
        <v>1.4704126104023516</v>
      </c>
      <c r="AA241" s="194">
        <f t="shared" si="36"/>
        <v>0.668521894845994</v>
      </c>
      <c r="AB241" s="194">
        <f t="shared" si="37"/>
        <v>0.43827088593229063</v>
      </c>
      <c r="AC241" s="194">
        <f t="shared" si="29"/>
        <v>0.77317123936964194</v>
      </c>
      <c r="AD241">
        <f t="shared" si="30"/>
        <v>51</v>
      </c>
      <c r="AE241" s="194">
        <f t="shared" si="38"/>
        <v>0.20603100374585037</v>
      </c>
      <c r="AF241" s="194">
        <f t="shared" si="39"/>
        <v>1.4291879577155688E-2</v>
      </c>
      <c r="AG241" s="245" t="str">
        <f>IF(ISNUMBER(SEARCH("C",'WetLitterbags placem_collection'!$X168)),"YES","NO")</f>
        <v>NO</v>
      </c>
      <c r="AH241" s="245" t="str">
        <f>IF(ISNUMBER(SEARCH("H", 'WetLitterbags placem_collection'!$X168)),"YES","NO")</f>
        <v>NO</v>
      </c>
      <c r="AI241" s="245" t="str">
        <f>IF(ISNUMBER(SEARCH("R", 'WetLitterbags placem_collection'!$X168)),"YES","NO")</f>
        <v>NO</v>
      </c>
      <c r="AJ241" s="245" t="str">
        <f>IF(ISNUMBER(SEARCH("C", 'WetLitterbags placem_collection'!$V168)),"YES","NO")</f>
        <v>NO</v>
      </c>
      <c r="AK241" s="245" t="str">
        <f>IF(ISNUMBER(SEARCH("H", 'WetLitterbags placem_collection'!$V168)),"YES","NO")</f>
        <v>NO</v>
      </c>
      <c r="AL241" s="245" t="str">
        <f>IF(ISNUMBER(SEARCH("R", 'WetLitterbags placem_collection'!$V168)),"YES","NO")</f>
        <v>NO</v>
      </c>
    </row>
    <row r="242" spans="2:38">
      <c r="B242" t="str">
        <f>Wetseason!B168</f>
        <v>Wet</v>
      </c>
      <c r="C242" s="253">
        <f>Wetseason!C168</f>
        <v>167</v>
      </c>
      <c r="D242" t="s">
        <v>3126</v>
      </c>
      <c r="E242" t="s">
        <v>22</v>
      </c>
      <c r="F242" s="375">
        <v>7</v>
      </c>
      <c r="G242" s="16">
        <f>'WetLitterbags placem_collection'!E169</f>
        <v>42763</v>
      </c>
      <c r="H242" t="str">
        <f>Wetseason!L168</f>
        <v>G429</v>
      </c>
      <c r="I242" t="str">
        <f>Wetseason!L388</f>
        <v>R255</v>
      </c>
      <c r="J242">
        <f>IFERROR(INDEX('Green_rooibos initial weight'!$C$5:$C$2000,MATCH(H242, 'Green_rooibos initial weight'!$A$5:$A$2000,0)),"")</f>
        <v>1.9319999999999999</v>
      </c>
      <c r="K242">
        <f>IFERROR(INDEX('Green_rooibos initial weight'!$C$5:$C$2000,MATCH(I242, 'Green_rooibos initial weight'!$A$5:$A$2000,0)),"")</f>
        <v>2.1859999999999999</v>
      </c>
      <c r="L242" s="194">
        <f t="shared" si="31"/>
        <v>1.6821999999999999</v>
      </c>
      <c r="M242" s="194">
        <f>AVERAGE(Ashed_controlls!$K$2:$K$11)</f>
        <v>5.5147656768714146</v>
      </c>
      <c r="N242" s="194">
        <f t="shared" si="28"/>
        <v>1.589430611783669</v>
      </c>
      <c r="O242" s="194">
        <f t="shared" si="32"/>
        <v>1.9361999999999999</v>
      </c>
      <c r="P242" s="194">
        <f>AVERAGE(Ashed_controlls!$K$12:$K$14)</f>
        <v>2.2816647271287041</v>
      </c>
      <c r="Q242" s="194">
        <f t="shared" si="33"/>
        <v>1.8920224075533341</v>
      </c>
      <c r="R242" s="16">
        <f>IF('WetLitterbags placem_collection'!G169="","",'WetLitterbags placem_collection'!G169)</f>
        <v>42814</v>
      </c>
      <c r="S242" s="194">
        <f>IFERROR(INDEX('Both teabags AfterWet'!$C$3:$C$2000,MATCH(H242,'Both teabags AfterWet'!$A$3:$A$2000,0)),"")</f>
        <v>0.64529999999999998</v>
      </c>
      <c r="T242" s="194">
        <f>IFERROR(INDEX('Both teabags AfterWet'!$C$3:$C$2000,MATCH(I242,'Both teabags AfterWet'!$A$3:$A$2000,0)),"")</f>
        <v>1.7073</v>
      </c>
      <c r="U242" s="194">
        <f t="shared" si="34"/>
        <v>0.49469999999999997</v>
      </c>
      <c r="V242" s="194">
        <f t="shared" si="35"/>
        <v>1.5567</v>
      </c>
      <c r="W242" s="194">
        <f>IFERROR(INDEX('Ashed teabags wet'!$K$2:$K$2000,MATCH(H242,'Ashed teabags wet'!$A$2:$A$2000,0)),"")</f>
        <v>8.4409136047665729</v>
      </c>
      <c r="X242" s="233">
        <f>IFERROR(INDEX('Ashed teabags wet'!$K$2:$K$2000,MATCH(I242,'Ashed teabags wet'!$A$2:$A$2000,0)),"")</f>
        <v>1.7424975798647639</v>
      </c>
      <c r="Y242" s="194">
        <f t="shared" si="40"/>
        <v>0.45294280039721974</v>
      </c>
      <c r="Z242" s="194">
        <f t="shared" si="40"/>
        <v>1.5295745401742451</v>
      </c>
      <c r="AA242" s="194">
        <f t="shared" si="36"/>
        <v>0.71502826418516974</v>
      </c>
      <c r="AB242" s="194">
        <f t="shared" si="37"/>
        <v>0.46875962212614458</v>
      </c>
      <c r="AC242" s="194">
        <f t="shared" si="29"/>
        <v>0.80843362851722889</v>
      </c>
      <c r="AD242">
        <f t="shared" si="30"/>
        <v>51</v>
      </c>
      <c r="AE242" s="194">
        <f t="shared" si="38"/>
        <v>0.15079778600336136</v>
      </c>
      <c r="AF242" s="194">
        <f t="shared" si="39"/>
        <v>1.0301474227165455E-2</v>
      </c>
      <c r="AG242" s="245" t="str">
        <f>IF(ISNUMBER(SEARCH("C",'WetLitterbags placem_collection'!$X169)),"YES","NO")</f>
        <v>NO</v>
      </c>
      <c r="AH242" s="245" t="str">
        <f>IF(ISNUMBER(SEARCH("H", 'WetLitterbags placem_collection'!$X169)),"YES","NO")</f>
        <v>NO</v>
      </c>
      <c r="AI242" s="245" t="str">
        <f>IF(ISNUMBER(SEARCH("R", 'WetLitterbags placem_collection'!$X169)),"YES","NO")</f>
        <v>NO</v>
      </c>
      <c r="AJ242" s="245" t="str">
        <f>IF(ISNUMBER(SEARCH("C", 'WetLitterbags placem_collection'!$V169)),"YES","NO")</f>
        <v>NO</v>
      </c>
      <c r="AK242" s="245" t="str">
        <f>IF(ISNUMBER(SEARCH("H", 'WetLitterbags placem_collection'!$V169)),"YES","NO")</f>
        <v>NO</v>
      </c>
      <c r="AL242" s="245" t="str">
        <f>IF(ISNUMBER(SEARCH("R", 'WetLitterbags placem_collection'!$V169)),"YES","NO")</f>
        <v>NO</v>
      </c>
    </row>
    <row r="243" spans="2:38">
      <c r="B243" t="str">
        <f>Wetseason!B169</f>
        <v>Wet</v>
      </c>
      <c r="C243" s="253">
        <f>Wetseason!C169</f>
        <v>168</v>
      </c>
      <c r="D243" t="s">
        <v>3126</v>
      </c>
      <c r="E243" t="s">
        <v>22</v>
      </c>
      <c r="F243" s="375">
        <v>8</v>
      </c>
      <c r="G243" s="16">
        <f>'WetLitterbags placem_collection'!E170</f>
        <v>42763</v>
      </c>
      <c r="H243" t="str">
        <f>Wetseason!L169</f>
        <v>G461</v>
      </c>
      <c r="I243" t="str">
        <f>Wetseason!L389</f>
        <v>R534</v>
      </c>
      <c r="J243">
        <f>IFERROR(INDEX('Green_rooibos initial weight'!$C$5:$C$2000,MATCH(H243, 'Green_rooibos initial weight'!$A$5:$A$2000,0)),"")</f>
        <v>2.1030000000000002</v>
      </c>
      <c r="K243">
        <f>IFERROR(INDEX('Green_rooibos initial weight'!$C$5:$C$2000,MATCH(I243, 'Green_rooibos initial weight'!$A$5:$A$2000,0)),"")</f>
        <v>2.17</v>
      </c>
      <c r="L243" s="194">
        <f t="shared" si="31"/>
        <v>1.8532000000000002</v>
      </c>
      <c r="M243" s="194">
        <f>AVERAGE(Ashed_controlls!$K$2:$K$11)</f>
        <v>5.5147656768714146</v>
      </c>
      <c r="N243" s="194">
        <f t="shared" si="28"/>
        <v>1.7510003624762192</v>
      </c>
      <c r="O243" s="194">
        <f t="shared" si="32"/>
        <v>1.9201999999999999</v>
      </c>
      <c r="P243" s="194">
        <f>AVERAGE(Ashed_controlls!$K$12:$K$14)</f>
        <v>2.2816647271287041</v>
      </c>
      <c r="Q243" s="194">
        <f t="shared" si="33"/>
        <v>1.8763874739096746</v>
      </c>
      <c r="R243" s="16">
        <f>IF('WetLitterbags placem_collection'!G170="","",'WetLitterbags placem_collection'!G170)</f>
        <v>42814</v>
      </c>
      <c r="S243" s="194">
        <f>IFERROR(INDEX('Both teabags AfterWet'!$C$3:$C$2000,MATCH(H243,'Both teabags AfterWet'!$A$3:$A$2000,0)),"")</f>
        <v>0.79400000000000004</v>
      </c>
      <c r="T243" s="194">
        <f>IFERROR(INDEX('Both teabags AfterWet'!$C$3:$C$2000,MATCH(I243,'Both teabags AfterWet'!$A$3:$A$2000,0)),"")</f>
        <v>1.722</v>
      </c>
      <c r="U243" s="194">
        <f t="shared" si="34"/>
        <v>0.64339999999999997</v>
      </c>
      <c r="V243" s="194">
        <f t="shared" si="35"/>
        <v>1.5713999999999999</v>
      </c>
      <c r="W243" s="194">
        <f>IFERROR(INDEX('Ashed teabags wet'!$K$2:$K$2000,MATCH(H243,'Ashed teabags wet'!$A$2:$A$2000,0)),"")</f>
        <v>8.9463220675947444</v>
      </c>
      <c r="X243" s="233">
        <f>IFERROR(INDEX('Ashed teabags wet'!$K$2:$K$2000,MATCH(I243,'Ashed teabags wet'!$A$2:$A$2000,0)),"")</f>
        <v>1.9733596447958683</v>
      </c>
      <c r="Y243" s="194">
        <f t="shared" si="40"/>
        <v>0.58583936381709534</v>
      </c>
      <c r="Z243" s="194">
        <f t="shared" si="40"/>
        <v>1.5403906265416776</v>
      </c>
      <c r="AA243" s="194">
        <f t="shared" si="36"/>
        <v>0.66542590374532162</v>
      </c>
      <c r="AB243" s="194">
        <f t="shared" si="37"/>
        <v>0.43624121005631544</v>
      </c>
      <c r="AC243" s="194">
        <f t="shared" si="29"/>
        <v>0.82093418761322889</v>
      </c>
      <c r="AD243">
        <f t="shared" si="30"/>
        <v>51</v>
      </c>
      <c r="AE243" s="194">
        <f t="shared" si="38"/>
        <v>0.20970795279653009</v>
      </c>
      <c r="AF243" s="194">
        <f t="shared" si="39"/>
        <v>1.0361509630006227E-2</v>
      </c>
      <c r="AG243" s="245" t="str">
        <f>IF(ISNUMBER(SEARCH("C",'WetLitterbags placem_collection'!$X170)),"YES","NO")</f>
        <v>NO</v>
      </c>
      <c r="AH243" s="245" t="str">
        <f>IF(ISNUMBER(SEARCH("H", 'WetLitterbags placem_collection'!$X170)),"YES","NO")</f>
        <v>NO</v>
      </c>
      <c r="AI243" s="245" t="str">
        <f>IF(ISNUMBER(SEARCH("R", 'WetLitterbags placem_collection'!$X170)),"YES","NO")</f>
        <v>NO</v>
      </c>
      <c r="AJ243" s="245" t="str">
        <f>IF(ISNUMBER(SEARCH("C", 'WetLitterbags placem_collection'!$V170)),"YES","NO")</f>
        <v>YES</v>
      </c>
      <c r="AK243" s="245" t="str">
        <f>IF(ISNUMBER(SEARCH("H", 'WetLitterbags placem_collection'!$V170)),"YES","NO")</f>
        <v>YES</v>
      </c>
      <c r="AL243" s="245" t="str">
        <f>IF(ISNUMBER(SEARCH("R", 'WetLitterbags placem_collection'!$V170)),"YES","NO")</f>
        <v>NO</v>
      </c>
    </row>
    <row r="244" spans="2:38">
      <c r="B244" t="str">
        <f>Wetseason!B170</f>
        <v>Wet</v>
      </c>
      <c r="C244" s="253">
        <f>Wetseason!C170</f>
        <v>169</v>
      </c>
      <c r="D244" t="s">
        <v>3128</v>
      </c>
      <c r="E244" t="s">
        <v>22</v>
      </c>
      <c r="F244" s="374">
        <v>1</v>
      </c>
      <c r="G244" s="16">
        <f>'WetLitterbags placem_collection'!E171</f>
        <v>42763</v>
      </c>
      <c r="H244" t="str">
        <f>Wetseason!L170</f>
        <v>G425</v>
      </c>
      <c r="I244" t="str">
        <f>Wetseason!L390</f>
        <v>R453</v>
      </c>
      <c r="J244">
        <f>IFERROR(INDEX('Green_rooibos initial weight'!$C$5:$C$2000,MATCH(H244, 'Green_rooibos initial weight'!$A$5:$A$2000,0)),"")</f>
        <v>1.9750000000000001</v>
      </c>
      <c r="K244">
        <f>IFERROR(INDEX('Green_rooibos initial weight'!$C$5:$C$2000,MATCH(I244, 'Green_rooibos initial weight'!$A$5:$A$2000,0)),"")</f>
        <v>2.165</v>
      </c>
      <c r="L244" s="194">
        <f t="shared" si="31"/>
        <v>1.7252000000000001</v>
      </c>
      <c r="M244" s="194">
        <f>AVERAGE(Ashed_controlls!$K$2:$K$11)</f>
        <v>5.5147656768714146</v>
      </c>
      <c r="N244" s="194">
        <f t="shared" si="28"/>
        <v>1.6300592625426145</v>
      </c>
      <c r="O244" s="194">
        <f t="shared" si="32"/>
        <v>1.9152</v>
      </c>
      <c r="P244" s="194">
        <f>AVERAGE(Ashed_controlls!$K$12:$K$14)</f>
        <v>2.2816647271287041</v>
      </c>
      <c r="Q244" s="194">
        <f t="shared" si="33"/>
        <v>1.8715015571460312</v>
      </c>
      <c r="R244" s="16">
        <f>IF('WetLitterbags placem_collection'!G171="","",'WetLitterbags placem_collection'!G171)</f>
        <v>42814</v>
      </c>
      <c r="S244" s="194">
        <f>IFERROR(INDEX('Both teabags AfterWet'!$C$3:$C$2000,MATCH(H244,'Both teabags AfterWet'!$A$3:$A$2000,0)),"")</f>
        <v>0.65800000000000003</v>
      </c>
      <c r="T244" s="194">
        <f>IFERROR(INDEX('Both teabags AfterWet'!$C$3:$C$2000,MATCH(I244,'Both teabags AfterWet'!$A$3:$A$2000,0)),"")</f>
        <v>0.14299999999999999</v>
      </c>
      <c r="U244" s="194">
        <f t="shared" si="34"/>
        <v>0.50740000000000007</v>
      </c>
      <c r="V244" s="194">
        <f t="shared" si="35"/>
        <v>-7.6000000000000234E-3</v>
      </c>
      <c r="W244" s="194">
        <f>IFERROR(INDEX('Ashed teabags wet'!$K$2:$K$2000,MATCH(H244,'Ashed teabags wet'!$A$2:$A$2000,0)),"")</f>
        <v>11.404382470119883</v>
      </c>
      <c r="X244" s="233">
        <f>IFERROR(INDEX('Ashed teabags wet'!$K$2:$K$2000,MATCH(I244,'Ashed teabags wet'!$A$2:$A$2000,0)),"")</f>
        <v>0</v>
      </c>
      <c r="Y244" s="194">
        <f t="shared" si="40"/>
        <v>0.44953416334661178</v>
      </c>
      <c r="Z244" s="194">
        <f t="shared" si="40"/>
        <v>-7.6000000000000234E-3</v>
      </c>
      <c r="AA244" s="194">
        <f t="shared" si="36"/>
        <v>0.72422219628664597</v>
      </c>
      <c r="AB244" s="194">
        <f t="shared" si="37"/>
        <v>0.47478699804065155</v>
      </c>
      <c r="AC244" s="194">
        <f t="shared" si="29"/>
        <v>-4.0609103267804569E-3</v>
      </c>
      <c r="AD244">
        <f t="shared" si="30"/>
        <v>51</v>
      </c>
      <c r="AE244" s="194">
        <f t="shared" si="38"/>
        <v>0.13987862673795015</v>
      </c>
      <c r="AF244" s="194" t="str">
        <f t="shared" si="39"/>
        <v/>
      </c>
      <c r="AG244" s="245" t="str">
        <f>IF(ISNUMBER(SEARCH("C",'WetLitterbags placem_collection'!$X171)),"YES","NO")</f>
        <v>NO</v>
      </c>
      <c r="AH244" s="245" t="str">
        <f>IF(ISNUMBER(SEARCH("H", 'WetLitterbags placem_collection'!$X171)),"YES","NO")</f>
        <v>NO</v>
      </c>
      <c r="AI244" s="245" t="str">
        <f>IF(ISNUMBER(SEARCH("R", 'WetLitterbags placem_collection'!$X171)),"YES","NO")</f>
        <v>NO</v>
      </c>
      <c r="AJ244" s="245" t="str">
        <f>IF(ISNUMBER(SEARCH("C", 'WetLitterbags placem_collection'!$V171)),"YES","NO")</f>
        <v>NO</v>
      </c>
      <c r="AK244" s="245" t="str">
        <f>IF(ISNUMBER(SEARCH("H", 'WetLitterbags placem_collection'!$V171)),"YES","NO")</f>
        <v>NO</v>
      </c>
      <c r="AL244" s="245" t="str">
        <f>IF(ISNUMBER(SEARCH("R", 'WetLitterbags placem_collection'!$V171)),"YES","NO")</f>
        <v>NO</v>
      </c>
    </row>
    <row r="245" spans="2:38">
      <c r="B245" t="str">
        <f>Wetseason!B171</f>
        <v>Wet</v>
      </c>
      <c r="C245" s="253">
        <f>Wetseason!C171</f>
        <v>170</v>
      </c>
      <c r="D245" t="s">
        <v>3128</v>
      </c>
      <c r="E245" t="s">
        <v>22</v>
      </c>
      <c r="F245" s="374">
        <v>2</v>
      </c>
      <c r="G245" s="16">
        <f>'WetLitterbags placem_collection'!E172</f>
        <v>42763</v>
      </c>
      <c r="H245" t="str">
        <f>Wetseason!L171</f>
        <v>G433</v>
      </c>
      <c r="I245" t="str">
        <f>Wetseason!L391</f>
        <v>R330</v>
      </c>
      <c r="J245">
        <f>IFERROR(INDEX('Green_rooibos initial weight'!$C$5:$C$2000,MATCH(H245, 'Green_rooibos initial weight'!$A$5:$A$2000,0)),"")</f>
        <v>2.06</v>
      </c>
      <c r="K245">
        <f>IFERROR(INDEX('Green_rooibos initial weight'!$C$5:$C$2000,MATCH(I245, 'Green_rooibos initial weight'!$A$5:$A$2000,0)),"")</f>
        <v>2.12</v>
      </c>
      <c r="L245" s="194">
        <f t="shared" si="31"/>
        <v>1.8102</v>
      </c>
      <c r="M245" s="194">
        <f>AVERAGE(Ashed_controlls!$K$2:$K$11)</f>
        <v>5.5147656768714146</v>
      </c>
      <c r="N245" s="194">
        <f t="shared" si="28"/>
        <v>1.7103717117172736</v>
      </c>
      <c r="O245" s="194">
        <f t="shared" si="32"/>
        <v>1.8702000000000001</v>
      </c>
      <c r="P245" s="194">
        <f>AVERAGE(Ashed_controlls!$K$12:$K$14)</f>
        <v>2.2816647271287041</v>
      </c>
      <c r="Q245" s="194">
        <f t="shared" si="33"/>
        <v>1.827528306273239</v>
      </c>
      <c r="R245" s="16">
        <f>IF('WetLitterbags placem_collection'!G172="","",'WetLitterbags placem_collection'!G172)</f>
        <v>42814</v>
      </c>
      <c r="S245" s="194">
        <f>IFERROR(INDEX('Both teabags AfterWet'!$C$3:$C$2000,MATCH(H245,'Both teabags AfterWet'!$A$3:$A$2000,0)),"")</f>
        <v>0.64800000000000002</v>
      </c>
      <c r="T245" s="194">
        <f>IFERROR(INDEX('Both teabags AfterWet'!$C$3:$C$2000,MATCH(I245,'Both teabags AfterWet'!$A$3:$A$2000,0)),"")</f>
        <v>1.7769999999999999</v>
      </c>
      <c r="U245" s="194">
        <f t="shared" si="34"/>
        <v>0.49740000000000001</v>
      </c>
      <c r="V245" s="194">
        <f t="shared" si="35"/>
        <v>1.6263999999999998</v>
      </c>
      <c r="W245" s="194">
        <f>IFERROR(INDEX('Ashed teabags wet'!$K$2:$K$2000,MATCH(H245,'Ashed teabags wet'!$A$2:$A$2000,0)),"")</f>
        <v>9.4836146971203146</v>
      </c>
      <c r="X245" s="233">
        <f>IFERROR(INDEX('Ashed teabags wet'!$K$2:$K$2000,MATCH(I245,'Ashed teabags wet'!$A$2:$A$2000,0)),"")</f>
        <v>2.1642892277422194</v>
      </c>
      <c r="Y245" s="194">
        <f t="shared" si="40"/>
        <v>0.45022850049652358</v>
      </c>
      <c r="Z245" s="194">
        <f t="shared" si="40"/>
        <v>1.5912000000000004</v>
      </c>
      <c r="AA245" s="194">
        <f t="shared" si="36"/>
        <v>0.73676569986972118</v>
      </c>
      <c r="AB245" s="194">
        <f t="shared" si="37"/>
        <v>0.48301029255117123</v>
      </c>
      <c r="AC245" s="194">
        <f t="shared" si="29"/>
        <v>0.87068418833130534</v>
      </c>
      <c r="AD245">
        <f t="shared" si="30"/>
        <v>51</v>
      </c>
      <c r="AE245" s="194">
        <f t="shared" si="38"/>
        <v>0.12498135407396527</v>
      </c>
      <c r="AF245" s="194">
        <f t="shared" si="39"/>
        <v>6.1098915866027968E-3</v>
      </c>
      <c r="AG245" s="245" t="str">
        <f>IF(ISNUMBER(SEARCH("C",'WetLitterbags placem_collection'!$X172)),"YES","NO")</f>
        <v>NO</v>
      </c>
      <c r="AH245" s="245" t="str">
        <f>IF(ISNUMBER(SEARCH("H", 'WetLitterbags placem_collection'!$X172)),"YES","NO")</f>
        <v>NO</v>
      </c>
      <c r="AI245" s="245" t="str">
        <f>IF(ISNUMBER(SEARCH("R", 'WetLitterbags placem_collection'!$X172)),"YES","NO")</f>
        <v>NO</v>
      </c>
      <c r="AJ245" s="245" t="str">
        <f>IF(ISNUMBER(SEARCH("C", 'WetLitterbags placem_collection'!$V172)),"YES","NO")</f>
        <v>NO</v>
      </c>
      <c r="AK245" s="245" t="str">
        <f>IF(ISNUMBER(SEARCH("H", 'WetLitterbags placem_collection'!$V172)),"YES","NO")</f>
        <v>NO</v>
      </c>
      <c r="AL245" s="245" t="str">
        <f>IF(ISNUMBER(SEARCH("R", 'WetLitterbags placem_collection'!$V172)),"YES","NO")</f>
        <v>NO</v>
      </c>
    </row>
    <row r="246" spans="2:38">
      <c r="B246" t="str">
        <f>Wetseason!B172</f>
        <v>Wet</v>
      </c>
      <c r="C246" s="253">
        <f>Wetseason!C172</f>
        <v>171</v>
      </c>
      <c r="D246" t="s">
        <v>3128</v>
      </c>
      <c r="E246" t="s">
        <v>22</v>
      </c>
      <c r="F246" s="374">
        <v>3</v>
      </c>
      <c r="G246" s="16">
        <f>'WetLitterbags placem_collection'!E173</f>
        <v>42763</v>
      </c>
      <c r="H246" t="str">
        <f>Wetseason!L172</f>
        <v>G656</v>
      </c>
      <c r="I246" t="str">
        <f>Wetseason!L392</f>
        <v>R558</v>
      </c>
      <c r="J246">
        <f>IFERROR(INDEX('Green_rooibos initial weight'!$C$5:$C$2000,MATCH(H246, 'Green_rooibos initial weight'!$A$5:$A$2000,0)),"")</f>
        <v>2.1320000000000001</v>
      </c>
      <c r="K246">
        <f>IFERROR(INDEX('Green_rooibos initial weight'!$C$5:$C$2000,MATCH(I246, 'Green_rooibos initial weight'!$A$5:$A$2000,0)),"")</f>
        <v>2.1760000000000002</v>
      </c>
      <c r="L246" s="194">
        <f t="shared" si="31"/>
        <v>1.8822000000000001</v>
      </c>
      <c r="M246" s="194">
        <f>AVERAGE(Ashed_controlls!$K$2:$K$11)</f>
        <v>5.5147656768714146</v>
      </c>
      <c r="N246" s="194">
        <f t="shared" si="28"/>
        <v>1.7784010804299264</v>
      </c>
      <c r="O246" s="194">
        <f t="shared" si="32"/>
        <v>1.9262000000000001</v>
      </c>
      <c r="P246" s="194">
        <f>AVERAGE(Ashed_controlls!$K$12:$K$14)</f>
        <v>2.2816647271287041</v>
      </c>
      <c r="Q246" s="194">
        <f t="shared" si="33"/>
        <v>1.8822505740260471</v>
      </c>
      <c r="R246" s="16">
        <f>IF('WetLitterbags placem_collection'!G173="","",'WetLitterbags placem_collection'!G173)</f>
        <v>42814</v>
      </c>
      <c r="S246" s="194">
        <f>IFERROR(INDEX('Both teabags AfterWet'!$C$3:$C$2000,MATCH(H246,'Both teabags AfterWet'!$A$3:$A$2000,0)),"")</f>
        <v>0.63100000000000001</v>
      </c>
      <c r="T246" s="194">
        <f>IFERROR(INDEX('Both teabags AfterWet'!$C$3:$C$2000,MATCH(I246,'Both teabags AfterWet'!$A$3:$A$2000,0)),"")</f>
        <v>1.61</v>
      </c>
      <c r="U246" s="194">
        <f t="shared" si="34"/>
        <v>0.48039999999999999</v>
      </c>
      <c r="V246" s="194">
        <f t="shared" si="35"/>
        <v>1.4594</v>
      </c>
      <c r="W246" s="194">
        <f>IFERROR(INDEX('Ashed teabags wet'!$K$2:$K$2000,MATCH(H246,'Ashed teabags wet'!$A$2:$A$2000,0)),"")</f>
        <v>12.283308568598626</v>
      </c>
      <c r="X246" s="233">
        <f>IFERROR(INDEX('Ashed teabags wet'!$K$2:$K$2000,MATCH(I246,'Ashed teabags wet'!$A$2:$A$2000,0)),"")</f>
        <v>2.9640427599611376</v>
      </c>
      <c r="Y246" s="194">
        <f t="shared" si="40"/>
        <v>0.42139098563645216</v>
      </c>
      <c r="Z246" s="194">
        <f t="shared" si="40"/>
        <v>1.4161427599611272</v>
      </c>
      <c r="AA246" s="194">
        <f t="shared" si="36"/>
        <v>0.76305064685712998</v>
      </c>
      <c r="AB246" s="194">
        <f t="shared" si="37"/>
        <v>0.50024222929351048</v>
      </c>
      <c r="AC246" s="194">
        <f t="shared" si="29"/>
        <v>0.75236675685111531</v>
      </c>
      <c r="AD246">
        <f t="shared" si="30"/>
        <v>51</v>
      </c>
      <c r="AE246" s="194">
        <f t="shared" si="38"/>
        <v>9.3764077366829013E-2</v>
      </c>
      <c r="AF246" s="194">
        <f t="shared" si="39"/>
        <v>1.3397052074721041E-2</v>
      </c>
      <c r="AG246" s="245" t="str">
        <f>IF(ISNUMBER(SEARCH("C",'WetLitterbags placem_collection'!$X173)),"YES","NO")</f>
        <v>NO</v>
      </c>
      <c r="AH246" s="245" t="str">
        <f>IF(ISNUMBER(SEARCH("H", 'WetLitterbags placem_collection'!$X173)),"YES","NO")</f>
        <v>NO</v>
      </c>
      <c r="AI246" s="245" t="str">
        <f>IF(ISNUMBER(SEARCH("R", 'WetLitterbags placem_collection'!$X173)),"YES","NO")</f>
        <v>NO</v>
      </c>
      <c r="AJ246" s="245" t="str">
        <f>IF(ISNUMBER(SEARCH("C", 'WetLitterbags placem_collection'!$V173)),"YES","NO")</f>
        <v>NO</v>
      </c>
      <c r="AK246" s="245" t="str">
        <f>IF(ISNUMBER(SEARCH("H", 'WetLitterbags placem_collection'!$V173)),"YES","NO")</f>
        <v>NO</v>
      </c>
      <c r="AL246" s="245" t="str">
        <f>IF(ISNUMBER(SEARCH("R", 'WetLitterbags placem_collection'!$V173)),"YES","NO")</f>
        <v>YES</v>
      </c>
    </row>
    <row r="247" spans="2:38">
      <c r="B247" t="str">
        <f>Wetseason!B173</f>
        <v>Wet</v>
      </c>
      <c r="C247" s="253">
        <f>Wetseason!C173</f>
        <v>172</v>
      </c>
      <c r="D247" t="s">
        <v>3128</v>
      </c>
      <c r="E247" t="s">
        <v>22</v>
      </c>
      <c r="F247" s="375">
        <v>4</v>
      </c>
      <c r="G247" s="16">
        <f>'WetLitterbags placem_collection'!E174</f>
        <v>42763</v>
      </c>
      <c r="H247" t="str">
        <f>Wetseason!L173</f>
        <v>G281</v>
      </c>
      <c r="I247" t="str">
        <f>Wetseason!L393</f>
        <v>R157</v>
      </c>
      <c r="J247">
        <f>IFERROR(INDEX('Green_rooibos initial weight'!$C$5:$C$2000,MATCH(H247, 'Green_rooibos initial weight'!$A$5:$A$2000,0)),"")</f>
        <v>2.0419999999999998</v>
      </c>
      <c r="K247">
        <f>IFERROR(INDEX('Green_rooibos initial weight'!$C$5:$C$2000,MATCH(I247, 'Green_rooibos initial weight'!$A$5:$A$2000,0)),"")</f>
        <v>2.1819999999999999</v>
      </c>
      <c r="L247" s="194">
        <f t="shared" si="31"/>
        <v>1.7921999999999998</v>
      </c>
      <c r="M247" s="194">
        <f>AVERAGE(Ashed_controlls!$K$2:$K$11)</f>
        <v>5.5147656768714146</v>
      </c>
      <c r="N247" s="194">
        <f t="shared" si="28"/>
        <v>1.6933643695391103</v>
      </c>
      <c r="O247" s="194">
        <f t="shared" si="32"/>
        <v>1.9321999999999999</v>
      </c>
      <c r="P247" s="194">
        <f>AVERAGE(Ashed_controlls!$K$12:$K$14)</f>
        <v>2.2816647271287041</v>
      </c>
      <c r="Q247" s="194">
        <f t="shared" si="33"/>
        <v>1.8881136741424192</v>
      </c>
      <c r="R247" s="16">
        <f>IF('WetLitterbags placem_collection'!G174="","",'WetLitterbags placem_collection'!G174)</f>
        <v>42814</v>
      </c>
      <c r="S247" s="194">
        <f>IFERROR(INDEX('Both teabags AfterWet'!$C$3:$C$2000,MATCH(H247,'Both teabags AfterWet'!$A$3:$A$2000,0)),"")</f>
        <v>0.69520000000000004</v>
      </c>
      <c r="T247" s="194">
        <f>IFERROR(INDEX('Both teabags AfterWet'!$C$3:$C$2000,MATCH(I247,'Both teabags AfterWet'!$A$3:$A$2000,0)),"")</f>
        <v>1.6782000000000001</v>
      </c>
      <c r="U247" s="194">
        <f t="shared" si="34"/>
        <v>0.54459999999999997</v>
      </c>
      <c r="V247" s="194">
        <f t="shared" si="35"/>
        <v>1.5276000000000001</v>
      </c>
      <c r="W247" s="194">
        <f>IFERROR(INDEX('Ashed teabags wet'!$K$2:$K$2000,MATCH(H247,'Ashed teabags wet'!$A$2:$A$2000,0)),"")</f>
        <v>8.6181277860327441</v>
      </c>
      <c r="X247" s="233">
        <f>IFERROR(INDEX('Ashed teabags wet'!$K$2:$K$2000,MATCH(I247,'Ashed teabags wet'!$A$2:$A$2000,0)),"")</f>
        <v>4.6332046332039889</v>
      </c>
      <c r="Y247" s="194">
        <f t="shared" si="40"/>
        <v>0.49766567607726564</v>
      </c>
      <c r="Z247" s="194">
        <f t="shared" si="40"/>
        <v>1.4568231660231759</v>
      </c>
      <c r="AA247" s="194">
        <f t="shared" si="36"/>
        <v>0.70610833378245852</v>
      </c>
      <c r="AB247" s="194">
        <f t="shared" si="37"/>
        <v>0.46291187677899903</v>
      </c>
      <c r="AC247" s="194">
        <f t="shared" si="29"/>
        <v>0.77157598399623084</v>
      </c>
      <c r="AD247">
        <f t="shared" si="30"/>
        <v>51</v>
      </c>
      <c r="AE247" s="194">
        <f t="shared" si="38"/>
        <v>0.16139152757427722</v>
      </c>
      <c r="AF247" s="194">
        <f t="shared" si="39"/>
        <v>1.3335938919816461E-2</v>
      </c>
      <c r="AG247" s="245" t="str">
        <f>IF(ISNUMBER(SEARCH("C",'WetLitterbags placem_collection'!$X174)),"YES","NO")</f>
        <v>NO</v>
      </c>
      <c r="AH247" s="245" t="str">
        <f>IF(ISNUMBER(SEARCH("H", 'WetLitterbags placem_collection'!$X174)),"YES","NO")</f>
        <v>NO</v>
      </c>
      <c r="AI247" s="245" t="str">
        <f>IF(ISNUMBER(SEARCH("R", 'WetLitterbags placem_collection'!$X174)),"YES","NO")</f>
        <v>NO</v>
      </c>
      <c r="AJ247" s="245" t="str">
        <f>IF(ISNUMBER(SEARCH("C", 'WetLitterbags placem_collection'!$V174)),"YES","NO")</f>
        <v>NO</v>
      </c>
      <c r="AK247" s="245" t="str">
        <f>IF(ISNUMBER(SEARCH("H", 'WetLitterbags placem_collection'!$V174)),"YES","NO")</f>
        <v>NO</v>
      </c>
      <c r="AL247" s="245" t="str">
        <f>IF(ISNUMBER(SEARCH("R", 'WetLitterbags placem_collection'!$V174)),"YES","NO")</f>
        <v>YES</v>
      </c>
    </row>
    <row r="248" spans="2:38">
      <c r="B248" t="str">
        <f>Wetseason!B174</f>
        <v>Wet</v>
      </c>
      <c r="C248" s="253">
        <f>Wetseason!C174</f>
        <v>173</v>
      </c>
      <c r="D248" t="s">
        <v>3128</v>
      </c>
      <c r="E248" t="s">
        <v>22</v>
      </c>
      <c r="F248" s="375">
        <v>5</v>
      </c>
      <c r="G248" s="16">
        <f>'WetLitterbags placem_collection'!E175</f>
        <v>42763</v>
      </c>
      <c r="H248" t="str">
        <f>Wetseason!L174</f>
        <v>G216</v>
      </c>
      <c r="I248" t="str">
        <f>Wetseason!L394</f>
        <v>R57</v>
      </c>
      <c r="J248">
        <f>IFERROR(INDEX('Green_rooibos initial weight'!$C$5:$C$2000,MATCH(H248, 'Green_rooibos initial weight'!$A$5:$A$2000,0)),"")</f>
        <v>2.1150000000000002</v>
      </c>
      <c r="K248">
        <f>IFERROR(INDEX('Green_rooibos initial weight'!$C$5:$C$2000,MATCH(I248, 'Green_rooibos initial weight'!$A$5:$A$2000,0)),"")</f>
        <v>2.1890000000000001</v>
      </c>
      <c r="L248" s="194">
        <f t="shared" si="31"/>
        <v>1.8652000000000002</v>
      </c>
      <c r="M248" s="194">
        <f>AVERAGE(Ashed_controlls!$K$2:$K$11)</f>
        <v>5.5147656768714146</v>
      </c>
      <c r="N248" s="194">
        <f t="shared" si="28"/>
        <v>1.7623385905949946</v>
      </c>
      <c r="O248" s="194">
        <f t="shared" si="32"/>
        <v>1.9392</v>
      </c>
      <c r="P248" s="194">
        <f>AVERAGE(Ashed_controlls!$K$12:$K$14)</f>
        <v>2.2816647271287041</v>
      </c>
      <c r="Q248" s="194">
        <f t="shared" si="33"/>
        <v>1.8949539576115202</v>
      </c>
      <c r="R248" s="16">
        <f>IF('WetLitterbags placem_collection'!G175="","",'WetLitterbags placem_collection'!G175)</f>
        <v>42814</v>
      </c>
      <c r="S248" s="194">
        <f>IFERROR(INDEX('Both teabags AfterWet'!$C$3:$C$2000,MATCH(H248,'Both teabags AfterWet'!$A$3:$A$2000,0)),"")</f>
        <v>0.57999999999999996</v>
      </c>
      <c r="T248" s="194">
        <f>IFERROR(INDEX('Both teabags AfterWet'!$C$3:$C$2000,MATCH(I248,'Both teabags AfterWet'!$A$3:$A$2000,0)),"")</f>
        <v>7.1999999999999995E-2</v>
      </c>
      <c r="U248" s="194">
        <f t="shared" si="34"/>
        <v>0.42939999999999995</v>
      </c>
      <c r="V248" s="194">
        <f t="shared" si="35"/>
        <v>-7.8600000000000017E-2</v>
      </c>
      <c r="W248" s="194">
        <f>IFERROR(INDEX('Ashed teabags wet'!$K$2:$K$2000,MATCH(H248,'Ashed teabags wet'!$A$2:$A$2000,0)),"")</f>
        <v>9.4980314960627936</v>
      </c>
      <c r="X248" s="233">
        <f>IFERROR(INDEX('Ashed teabags wet'!$K$2:$K$2000,MATCH(I248,'Ashed teabags wet'!$A$2:$A$2000,0)),"")</f>
        <v>0</v>
      </c>
      <c r="Y248" s="194">
        <f t="shared" si="40"/>
        <v>0.38861545275590631</v>
      </c>
      <c r="Z248" s="194">
        <f t="shared" si="40"/>
        <v>-7.8600000000000017E-2</v>
      </c>
      <c r="AA248" s="194">
        <f t="shared" si="36"/>
        <v>0.77948876859996385</v>
      </c>
      <c r="AB248" s="194">
        <f t="shared" si="37"/>
        <v>0.51101876516292177</v>
      </c>
      <c r="AC248" s="194">
        <f t="shared" si="29"/>
        <v>-4.1478580355097792E-2</v>
      </c>
      <c r="AD248">
        <f t="shared" si="30"/>
        <v>51</v>
      </c>
      <c r="AE248" s="194">
        <f t="shared" si="38"/>
        <v>7.4241367458475205E-2</v>
      </c>
      <c r="AF248" s="194" t="str">
        <f t="shared" si="39"/>
        <v/>
      </c>
      <c r="AG248" s="245" t="str">
        <f>IF(ISNUMBER(SEARCH("C",'WetLitterbags placem_collection'!$X175)),"YES","NO")</f>
        <v>NO</v>
      </c>
      <c r="AH248" s="245" t="str">
        <f>IF(ISNUMBER(SEARCH("H", 'WetLitterbags placem_collection'!$X175)),"YES","NO")</f>
        <v>NO</v>
      </c>
      <c r="AI248" s="245" t="str">
        <f>IF(ISNUMBER(SEARCH("R", 'WetLitterbags placem_collection'!$X175)),"YES","NO")</f>
        <v>NO</v>
      </c>
      <c r="AJ248" s="245" t="str">
        <f>IF(ISNUMBER(SEARCH("C", 'WetLitterbags placem_collection'!$V175)),"YES","NO")</f>
        <v>NO</v>
      </c>
      <c r="AK248" s="245" t="str">
        <f>IF(ISNUMBER(SEARCH("H", 'WetLitterbags placem_collection'!$V175)),"YES","NO")</f>
        <v>NO</v>
      </c>
      <c r="AL248" s="245" t="str">
        <f>IF(ISNUMBER(SEARCH("R", 'WetLitterbags placem_collection'!$V175)),"YES","NO")</f>
        <v>YES</v>
      </c>
    </row>
    <row r="249" spans="2:38">
      <c r="B249" t="str">
        <f>Wetseason!B175</f>
        <v>Wet</v>
      </c>
      <c r="C249" s="253">
        <f>Wetseason!C175</f>
        <v>174</v>
      </c>
      <c r="D249" t="s">
        <v>3128</v>
      </c>
      <c r="E249" t="s">
        <v>22</v>
      </c>
      <c r="F249" s="375">
        <v>6</v>
      </c>
      <c r="G249" s="16">
        <f>'WetLitterbags placem_collection'!E176</f>
        <v>42763</v>
      </c>
      <c r="H249" t="str">
        <f>Wetseason!L175</f>
        <v>G655</v>
      </c>
      <c r="I249" t="str">
        <f>Wetseason!L395</f>
        <v>R307</v>
      </c>
      <c r="J249">
        <f>IFERROR(INDEX('Green_rooibos initial weight'!$C$5:$C$2000,MATCH(H249, 'Green_rooibos initial weight'!$A$5:$A$2000,0)),"")</f>
        <v>2.0009999999999999</v>
      </c>
      <c r="K249">
        <f>IFERROR(INDEX('Green_rooibos initial weight'!$C$5:$C$2000,MATCH(I249, 'Green_rooibos initial weight'!$A$5:$A$2000,0)),"")</f>
        <v>2.2010000000000001</v>
      </c>
      <c r="L249" s="194">
        <f t="shared" si="31"/>
        <v>1.7511999999999999</v>
      </c>
      <c r="M249" s="194">
        <f>AVERAGE(Ashed_controlls!$K$2:$K$11)</f>
        <v>5.5147656768714146</v>
      </c>
      <c r="N249" s="194">
        <f t="shared" si="28"/>
        <v>1.6546254234666278</v>
      </c>
      <c r="O249" s="194">
        <f t="shared" si="32"/>
        <v>1.9512</v>
      </c>
      <c r="P249" s="194">
        <f>AVERAGE(Ashed_controlls!$K$12:$K$14)</f>
        <v>2.2816647271287041</v>
      </c>
      <c r="Q249" s="194">
        <f t="shared" si="33"/>
        <v>1.9066801578442647</v>
      </c>
      <c r="R249" s="16">
        <f>IF('WetLitterbags placem_collection'!G176="","",'WetLitterbags placem_collection'!G176)</f>
        <v>42814</v>
      </c>
      <c r="S249" s="194">
        <f>IFERROR(INDEX('Both teabags AfterWet'!$C$3:$C$2000,MATCH(H249,'Both teabags AfterWet'!$A$3:$A$2000,0)),"")</f>
        <v>0.68300000000000005</v>
      </c>
      <c r="T249" s="194">
        <f>IFERROR(INDEX('Both teabags AfterWet'!$C$3:$C$2000,MATCH(I249,'Both teabags AfterWet'!$A$3:$A$2000,0)),"")</f>
        <v>1.724</v>
      </c>
      <c r="U249" s="194">
        <f t="shared" si="34"/>
        <v>0.53239999999999998</v>
      </c>
      <c r="V249" s="194">
        <f t="shared" si="35"/>
        <v>1.5733999999999999</v>
      </c>
      <c r="W249" s="194">
        <f>IFERROR(INDEX('Ashed teabags wet'!$K$2:$K$2000,MATCH(H249,'Ashed teabags wet'!$A$2:$A$2000,0)),"")</f>
        <v>7.6961026147010658</v>
      </c>
      <c r="X249" s="233">
        <f>IFERROR(INDEX('Ashed teabags wet'!$K$2:$K$2000,MATCH(I249,'Ashed teabags wet'!$A$2:$A$2000,0)),"")</f>
        <v>1.5880893300249692</v>
      </c>
      <c r="Y249" s="194">
        <f t="shared" si="40"/>
        <v>0.49142594967933151</v>
      </c>
      <c r="Z249" s="194">
        <f t="shared" si="40"/>
        <v>1.5484130024813871</v>
      </c>
      <c r="AA249" s="194">
        <f t="shared" si="36"/>
        <v>0.70299867105284863</v>
      </c>
      <c r="AB249" s="194">
        <f t="shared" si="37"/>
        <v>0.46087323802989605</v>
      </c>
      <c r="AC249" s="194">
        <f t="shared" si="29"/>
        <v>0.81209897533735154</v>
      </c>
      <c r="AD249">
        <f t="shared" si="30"/>
        <v>51</v>
      </c>
      <c r="AE249" s="194">
        <f t="shared" si="38"/>
        <v>0.1650847137139565</v>
      </c>
      <c r="AF249" s="194">
        <f t="shared" si="39"/>
        <v>1.0269667176121461E-2</v>
      </c>
      <c r="AG249" s="245" t="str">
        <f>IF(ISNUMBER(SEARCH("C",'WetLitterbags placem_collection'!$X176)),"YES","NO")</f>
        <v>NO</v>
      </c>
      <c r="AH249" s="245" t="str">
        <f>IF(ISNUMBER(SEARCH("H", 'WetLitterbags placem_collection'!$X176)),"YES","NO")</f>
        <v>NO</v>
      </c>
      <c r="AI249" s="245" t="str">
        <f>IF(ISNUMBER(SEARCH("R", 'WetLitterbags placem_collection'!$X176)),"YES","NO")</f>
        <v>NO</v>
      </c>
      <c r="AJ249" s="245" t="str">
        <f>IF(ISNUMBER(SEARCH("C", 'WetLitterbags placem_collection'!$V176)),"YES","NO")</f>
        <v>NO</v>
      </c>
      <c r="AK249" s="245" t="str">
        <f>IF(ISNUMBER(SEARCH("H", 'WetLitterbags placem_collection'!$V176)),"YES","NO")</f>
        <v>NO</v>
      </c>
      <c r="AL249" s="245" t="str">
        <f>IF(ISNUMBER(SEARCH("R", 'WetLitterbags placem_collection'!$V176)),"YES","NO")</f>
        <v>YES</v>
      </c>
    </row>
    <row r="250" spans="2:38">
      <c r="B250" t="str">
        <f>Wetseason!B176</f>
        <v>Wet</v>
      </c>
      <c r="C250" s="253">
        <f>Wetseason!C176</f>
        <v>175</v>
      </c>
      <c r="D250" t="s">
        <v>3128</v>
      </c>
      <c r="E250" t="s">
        <v>22</v>
      </c>
      <c r="F250" s="375">
        <v>7</v>
      </c>
      <c r="G250" s="16">
        <f>'WetLitterbags placem_collection'!E177</f>
        <v>42763</v>
      </c>
      <c r="H250" t="str">
        <f>Wetseason!L176</f>
        <v>G457</v>
      </c>
      <c r="I250" t="str">
        <f>Wetseason!L396</f>
        <v>R458</v>
      </c>
      <c r="J250">
        <f>IFERROR(INDEX('Green_rooibos initial weight'!$C$5:$C$2000,MATCH(H250, 'Green_rooibos initial weight'!$A$5:$A$2000,0)),"")</f>
        <v>2.1579999999999999</v>
      </c>
      <c r="K250">
        <f>IFERROR(INDEX('Green_rooibos initial weight'!$C$5:$C$2000,MATCH(I250, 'Green_rooibos initial weight'!$A$5:$A$2000,0)),"")</f>
        <v>2.2370000000000001</v>
      </c>
      <c r="L250" s="194">
        <f t="shared" si="31"/>
        <v>1.9081999999999999</v>
      </c>
      <c r="M250" s="194">
        <f>AVERAGE(Ashed_controlls!$K$2:$K$11)</f>
        <v>5.5147656768714146</v>
      </c>
      <c r="N250" s="194">
        <f t="shared" si="28"/>
        <v>1.8029672413539395</v>
      </c>
      <c r="O250" s="194">
        <f t="shared" si="32"/>
        <v>1.9872000000000001</v>
      </c>
      <c r="P250" s="194">
        <f>AVERAGE(Ashed_controlls!$K$12:$K$14)</f>
        <v>2.2816647271287041</v>
      </c>
      <c r="Q250" s="194">
        <f t="shared" si="33"/>
        <v>1.9418587585424985</v>
      </c>
      <c r="R250" s="16">
        <f>IF('WetLitterbags placem_collection'!G177="","",'WetLitterbags placem_collection'!G177)</f>
        <v>42814</v>
      </c>
      <c r="S250" s="194">
        <f>IFERROR(INDEX('Both teabags AfterWet'!$C$3:$C$2000,MATCH(H250,'Both teabags AfterWet'!$A$3:$A$2000,0)),"")</f>
        <v>0.68200000000000005</v>
      </c>
      <c r="T250" s="194">
        <f>IFERROR(INDEX('Both teabags AfterWet'!$C$3:$C$2000,MATCH(I250,'Both teabags AfterWet'!$A$3:$A$2000,0)),"")</f>
        <v>0.61699999999999999</v>
      </c>
      <c r="U250" s="194">
        <f t="shared" si="34"/>
        <v>0.53140000000000009</v>
      </c>
      <c r="V250" s="194">
        <f t="shared" si="35"/>
        <v>0.46639999999999998</v>
      </c>
      <c r="W250" s="194">
        <f>IFERROR(INDEX('Ashed teabags wet'!$K$2:$K$2000,MATCH(H250,'Ashed teabags wet'!$A$2:$A$2000,0)),"")</f>
        <v>9.6918489065609759</v>
      </c>
      <c r="X250" s="233">
        <f>IFERROR(INDEX('Ashed teabags wet'!$K$2:$K$2000,MATCH(I250,'Ashed teabags wet'!$A$2:$A$2000,0)),"")</f>
        <v>65.665665665665671</v>
      </c>
      <c r="Y250" s="194">
        <f t="shared" si="40"/>
        <v>0.47989751491053506</v>
      </c>
      <c r="Z250" s="194">
        <f t="shared" si="40"/>
        <v>0.1601353353353353</v>
      </c>
      <c r="AA250" s="194">
        <f t="shared" si="36"/>
        <v>0.7338290436435464</v>
      </c>
      <c r="AB250" s="194">
        <f t="shared" si="37"/>
        <v>0.48108507374256254</v>
      </c>
      <c r="AC250" s="194">
        <f t="shared" si="29"/>
        <v>8.2464975699637469E-2</v>
      </c>
      <c r="AD250">
        <f t="shared" si="30"/>
        <v>51</v>
      </c>
      <c r="AE250" s="194">
        <f t="shared" si="38"/>
        <v>0.12846906930695201</v>
      </c>
      <c r="AF250" s="194" t="str">
        <f t="shared" si="39"/>
        <v/>
      </c>
      <c r="AG250" s="245" t="str">
        <f>IF(ISNUMBER(SEARCH("C",'WetLitterbags placem_collection'!$X177)),"YES","NO")</f>
        <v>NO</v>
      </c>
      <c r="AH250" s="245" t="str">
        <f>IF(ISNUMBER(SEARCH("H", 'WetLitterbags placem_collection'!$X177)),"YES","NO")</f>
        <v>NO</v>
      </c>
      <c r="AI250" s="245" t="str">
        <f>IF(ISNUMBER(SEARCH("R", 'WetLitterbags placem_collection'!$X177)),"YES","NO")</f>
        <v>NO</v>
      </c>
      <c r="AJ250" s="245" t="str">
        <f>IF(ISNUMBER(SEARCH("C", 'WetLitterbags placem_collection'!$V177)),"YES","NO")</f>
        <v>NO</v>
      </c>
      <c r="AK250" s="245" t="str">
        <f>IF(ISNUMBER(SEARCH("H", 'WetLitterbags placem_collection'!$V177)),"YES","NO")</f>
        <v>NO</v>
      </c>
      <c r="AL250" s="245" t="str">
        <f>IF(ISNUMBER(SEARCH("R", 'WetLitterbags placem_collection'!$V177)),"YES","NO")</f>
        <v>NO</v>
      </c>
    </row>
    <row r="251" spans="2:38">
      <c r="B251" t="str">
        <f>Wetseason!B177</f>
        <v>Wet</v>
      </c>
      <c r="C251" s="253">
        <f>Wetseason!C177</f>
        <v>176</v>
      </c>
      <c r="D251" t="s">
        <v>3128</v>
      </c>
      <c r="E251" t="s">
        <v>22</v>
      </c>
      <c r="F251" s="375">
        <v>8</v>
      </c>
      <c r="G251" s="16">
        <f>'WetLitterbags placem_collection'!E178</f>
        <v>42763</v>
      </c>
      <c r="H251" t="str">
        <f>Wetseason!L177</f>
        <v>G454</v>
      </c>
      <c r="I251" t="str">
        <f>Wetseason!L397</f>
        <v>R326</v>
      </c>
      <c r="J251">
        <f>IFERROR(INDEX('Green_rooibos initial weight'!$C$5:$C$2000,MATCH(H251, 'Green_rooibos initial weight'!$A$5:$A$2000,0)),"")</f>
        <v>2.0920000000000001</v>
      </c>
      <c r="K251">
        <f>IFERROR(INDEX('Green_rooibos initial weight'!$C$5:$C$2000,MATCH(I251, 'Green_rooibos initial weight'!$A$5:$A$2000,0)),"")</f>
        <v>2.1890000000000001</v>
      </c>
      <c r="L251" s="194">
        <f t="shared" si="31"/>
        <v>1.8422000000000001</v>
      </c>
      <c r="M251" s="194">
        <f>AVERAGE(Ashed_controlls!$K$2:$K$11)</f>
        <v>5.5147656768714146</v>
      </c>
      <c r="N251" s="194">
        <f t="shared" si="28"/>
        <v>1.7406069867006748</v>
      </c>
      <c r="O251" s="194">
        <f t="shared" si="32"/>
        <v>1.9392</v>
      </c>
      <c r="P251" s="194">
        <f>AVERAGE(Ashed_controlls!$K$12:$K$14)</f>
        <v>2.2816647271287041</v>
      </c>
      <c r="Q251" s="194">
        <f t="shared" si="33"/>
        <v>1.8949539576115202</v>
      </c>
      <c r="R251" s="16">
        <f>IF('WetLitterbags placem_collection'!G178="","",'WetLitterbags placem_collection'!G178)</f>
        <v>42814</v>
      </c>
      <c r="S251" s="194">
        <f>IFERROR(INDEX('Both teabags AfterWet'!$C$3:$C$2000,MATCH(H251,'Both teabags AfterWet'!$A$3:$A$2000,0)),"")</f>
        <v>0.63900000000000001</v>
      </c>
      <c r="T251" s="194">
        <f>IFERROR(INDEX('Both teabags AfterWet'!$C$3:$C$2000,MATCH(I251,'Both teabags AfterWet'!$A$3:$A$2000,0)),"")</f>
        <v>1.694</v>
      </c>
      <c r="U251" s="194">
        <f t="shared" si="34"/>
        <v>0.4884</v>
      </c>
      <c r="V251" s="194">
        <f t="shared" si="35"/>
        <v>1.5433999999999999</v>
      </c>
      <c r="W251" s="194">
        <f>IFERROR(INDEX('Ashed teabags wet'!$K$2:$K$2000,MATCH(H251,'Ashed teabags wet'!$A$2:$A$2000,0)),"")</f>
        <v>10.539215686274888</v>
      </c>
      <c r="X251" s="233">
        <f>IFERROR(INDEX('Ashed teabags wet'!$K$2:$K$2000,MATCH(I251,'Ashed teabags wet'!$A$2:$A$2000,0)),"")</f>
        <v>5.9808612440189712</v>
      </c>
      <c r="Y251" s="194">
        <f t="shared" si="40"/>
        <v>0.43692647058823342</v>
      </c>
      <c r="Z251" s="194">
        <f t="shared" si="40"/>
        <v>1.451091387559811</v>
      </c>
      <c r="AA251" s="194">
        <f t="shared" si="36"/>
        <v>0.74898039940858285</v>
      </c>
      <c r="AB251" s="194">
        <f t="shared" si="37"/>
        <v>0.49101802906595932</v>
      </c>
      <c r="AC251" s="194">
        <f t="shared" si="29"/>
        <v>0.76576603971361279</v>
      </c>
      <c r="AD251">
        <f t="shared" si="30"/>
        <v>51</v>
      </c>
      <c r="AE251" s="194">
        <f t="shared" si="38"/>
        <v>0.11047458502543606</v>
      </c>
      <c r="AF251" s="194">
        <f t="shared" si="39"/>
        <v>1.2710692426803677E-2</v>
      </c>
      <c r="AG251" s="245" t="str">
        <f>IF(ISNUMBER(SEARCH("C",'WetLitterbags placem_collection'!$X178)),"YES","NO")</f>
        <v>NO</v>
      </c>
      <c r="AH251" s="245" t="str">
        <f>IF(ISNUMBER(SEARCH("H", 'WetLitterbags placem_collection'!$X178)),"YES","NO")</f>
        <v>NO</v>
      </c>
      <c r="AI251" s="245" t="str">
        <f>IF(ISNUMBER(SEARCH("R", 'WetLitterbags placem_collection'!$X178)),"YES","NO")</f>
        <v>NO</v>
      </c>
      <c r="AJ251" s="245" t="str">
        <f>IF(ISNUMBER(SEARCH("C", 'WetLitterbags placem_collection'!$V178)),"YES","NO")</f>
        <v>NO</v>
      </c>
      <c r="AK251" s="245" t="str">
        <f>IF(ISNUMBER(SEARCH("H", 'WetLitterbags placem_collection'!$V178)),"YES","NO")</f>
        <v>NO</v>
      </c>
      <c r="AL251" s="245" t="str">
        <f>IF(ISNUMBER(SEARCH("R", 'WetLitterbags placem_collection'!$V178)),"YES","NO")</f>
        <v>NO</v>
      </c>
    </row>
    <row r="252" spans="2:38">
      <c r="B252" t="str">
        <f>Wetseason!B178</f>
        <v>Wet</v>
      </c>
      <c r="C252" s="253">
        <f>Wetseason!C178</f>
        <v>177</v>
      </c>
      <c r="D252" t="s">
        <v>3129</v>
      </c>
      <c r="E252" t="s">
        <v>22</v>
      </c>
      <c r="F252" s="374">
        <v>1</v>
      </c>
      <c r="G252" s="16">
        <f>'WetLitterbags placem_collection'!E179</f>
        <v>42763</v>
      </c>
      <c r="H252" t="str">
        <f>Wetseason!L178</f>
        <v>G362</v>
      </c>
      <c r="I252" t="str">
        <f>Wetseason!L398</f>
        <v>R262</v>
      </c>
      <c r="J252">
        <f>IFERROR(INDEX('Green_rooibos initial weight'!$C$5:$C$2000,MATCH(H252, 'Green_rooibos initial weight'!$A$5:$A$2000,0)),"")</f>
        <v>2.0659999999999998</v>
      </c>
      <c r="K252">
        <f>IFERROR(INDEX('Green_rooibos initial weight'!$C$5:$C$2000,MATCH(I252, 'Green_rooibos initial weight'!$A$5:$A$2000,0)),"")</f>
        <v>2.1949999999999998</v>
      </c>
      <c r="L252" s="194">
        <f t="shared" si="31"/>
        <v>1.8161999999999998</v>
      </c>
      <c r="M252" s="194">
        <f>AVERAGE(Ashed_controlls!$K$2:$K$11)</f>
        <v>5.5147656768714146</v>
      </c>
      <c r="N252" s="194">
        <f t="shared" si="28"/>
        <v>1.7160408257766613</v>
      </c>
      <c r="O252" s="194">
        <f t="shared" si="32"/>
        <v>1.9451999999999998</v>
      </c>
      <c r="P252" s="194">
        <f>AVERAGE(Ashed_controlls!$K$12:$K$14)</f>
        <v>2.2816647271287041</v>
      </c>
      <c r="Q252" s="194">
        <f t="shared" si="33"/>
        <v>1.9008170577278922</v>
      </c>
      <c r="R252" s="16">
        <f>IF('WetLitterbags placem_collection'!G179="","",'WetLitterbags placem_collection'!G179)</f>
        <v>42815</v>
      </c>
      <c r="S252" s="194">
        <f>IFERROR(INDEX('Both teabags AfterWet'!$C$3:$C$2000,MATCH(H252,'Both teabags AfterWet'!$A$3:$A$2000,0)),"")</f>
        <v>0.61299999999999999</v>
      </c>
      <c r="T252" s="194">
        <f>IFERROR(INDEX('Both teabags AfterWet'!$C$3:$C$2000,MATCH(I252,'Both teabags AfterWet'!$A$3:$A$2000,0)),"")</f>
        <v>1.671</v>
      </c>
      <c r="U252" s="194">
        <f t="shared" si="34"/>
        <v>0.46239999999999998</v>
      </c>
      <c r="V252" s="194">
        <f t="shared" si="35"/>
        <v>1.5204</v>
      </c>
      <c r="W252" s="194">
        <f>IFERROR(INDEX('Ashed teabags wet'!$K$2:$K$2000,MATCH(H252,'Ashed teabags wet'!$A$2:$A$2000,0)),"")</f>
        <v>9.1395235780264326</v>
      </c>
      <c r="X252" s="233">
        <f>IFERROR(INDEX('Ashed teabags wet'!$K$2:$K$2000,MATCH(I252,'Ashed teabags wet'!$A$2:$A$2000,0)),"")</f>
        <v>2.7363184079606433</v>
      </c>
      <c r="Y252" s="194">
        <f t="shared" si="40"/>
        <v>0.42013884297520576</v>
      </c>
      <c r="Z252" s="194">
        <f t="shared" si="40"/>
        <v>1.4787970149253664</v>
      </c>
      <c r="AA252" s="194">
        <f t="shared" si="36"/>
        <v>0.75516966923846029</v>
      </c>
      <c r="AB252" s="194">
        <f t="shared" si="37"/>
        <v>0.49507560263614026</v>
      </c>
      <c r="AC252" s="194">
        <f t="shared" si="29"/>
        <v>0.77797966348903669</v>
      </c>
      <c r="AD252">
        <f t="shared" si="30"/>
        <v>52</v>
      </c>
      <c r="AE252" s="194">
        <f t="shared" si="38"/>
        <v>0.10312390826786189</v>
      </c>
      <c r="AF252" s="194">
        <f t="shared" si="39"/>
        <v>1.1443005169015584E-2</v>
      </c>
      <c r="AG252" s="245" t="str">
        <f>IF(ISNUMBER(SEARCH("C",'WetLitterbags placem_collection'!$X179)),"YES","NO")</f>
        <v>NO</v>
      </c>
      <c r="AH252" s="245" t="str">
        <f>IF(ISNUMBER(SEARCH("H", 'WetLitterbags placem_collection'!$X179)),"YES","NO")</f>
        <v>NO</v>
      </c>
      <c r="AI252" s="245" t="str">
        <f>IF(ISNUMBER(SEARCH("R", 'WetLitterbags placem_collection'!$X179)),"YES","NO")</f>
        <v>NO</v>
      </c>
      <c r="AJ252" s="245" t="str">
        <f>IF(ISNUMBER(SEARCH("C", 'WetLitterbags placem_collection'!$V179)),"YES","NO")</f>
        <v>NO</v>
      </c>
      <c r="AK252" s="245" t="str">
        <f>IF(ISNUMBER(SEARCH("H", 'WetLitterbags placem_collection'!$V179)),"YES","NO")</f>
        <v>NO</v>
      </c>
      <c r="AL252" s="245" t="str">
        <f>IF(ISNUMBER(SEARCH("R", 'WetLitterbags placem_collection'!$V179)),"YES","NO")</f>
        <v>NO</v>
      </c>
    </row>
    <row r="253" spans="2:38">
      <c r="B253" t="str">
        <f>Wetseason!B179</f>
        <v>Wet</v>
      </c>
      <c r="C253" s="253">
        <f>Wetseason!C179</f>
        <v>178</v>
      </c>
      <c r="D253" t="s">
        <v>3129</v>
      </c>
      <c r="E253" t="s">
        <v>22</v>
      </c>
      <c r="F253" s="374">
        <v>2</v>
      </c>
      <c r="G253" s="16">
        <f>'WetLitterbags placem_collection'!E180</f>
        <v>42763</v>
      </c>
      <c r="H253" t="str">
        <f>Wetseason!L179</f>
        <v>G781</v>
      </c>
      <c r="I253" t="str">
        <f>Wetseason!L399</f>
        <v>R309</v>
      </c>
      <c r="J253">
        <f>IFERROR(INDEX('Green_rooibos initial weight'!$C$5:$C$2000,MATCH(H253, 'Green_rooibos initial weight'!$A$5:$A$2000,0)),"")</f>
        <v>2.0920000000000001</v>
      </c>
      <c r="K253">
        <f>IFERROR(INDEX('Green_rooibos initial weight'!$C$5:$C$2000,MATCH(I253, 'Green_rooibos initial weight'!$A$5:$A$2000,0)),"")</f>
        <v>2.1960000000000002</v>
      </c>
      <c r="L253" s="194">
        <f t="shared" si="31"/>
        <v>1.8422000000000001</v>
      </c>
      <c r="M253" s="194">
        <f>AVERAGE(Ashed_controlls!$K$2:$K$11)</f>
        <v>5.5147656768714146</v>
      </c>
      <c r="N253" s="194">
        <f t="shared" si="28"/>
        <v>1.7406069867006748</v>
      </c>
      <c r="O253" s="194">
        <f t="shared" si="32"/>
        <v>1.9462000000000002</v>
      </c>
      <c r="P253" s="194">
        <f>AVERAGE(Ashed_controlls!$K$12:$K$14)</f>
        <v>2.2816647271287041</v>
      </c>
      <c r="Q253" s="194">
        <f t="shared" si="33"/>
        <v>1.9017942410806212</v>
      </c>
      <c r="R253" s="16">
        <f>IF('WetLitterbags placem_collection'!G180="","",'WetLitterbags placem_collection'!G180)</f>
        <v>42815</v>
      </c>
      <c r="S253" s="194">
        <f>IFERROR(INDEX('Both teabags AfterWet'!$C$3:$C$2000,MATCH(H253,'Both teabags AfterWet'!$A$3:$A$2000,0)),"")</f>
        <v>0.62549999999999994</v>
      </c>
      <c r="T253" s="194">
        <f>IFERROR(INDEX('Both teabags AfterWet'!$C$3:$C$2000,MATCH(I253,'Both teabags AfterWet'!$A$3:$A$2000,0)),"")</f>
        <v>1.6866000000000001</v>
      </c>
      <c r="U253" s="194">
        <f t="shared" si="34"/>
        <v>0.47489999999999993</v>
      </c>
      <c r="V253" s="194">
        <f t="shared" si="35"/>
        <v>1.536</v>
      </c>
      <c r="W253" s="194">
        <f>IFERROR(INDEX('Ashed teabags wet'!$K$2:$K$2000,MATCH(H253,'Ashed teabags wet'!$A$2:$A$2000,0)),"")</f>
        <v>7.0843373493975461</v>
      </c>
      <c r="X253" s="233">
        <f>IFERROR(INDEX('Ashed teabags wet'!$K$2:$K$2000,MATCH(I253,'Ashed teabags wet'!$A$2:$A$2000,0)),"")</f>
        <v>0.87633885102250153</v>
      </c>
      <c r="Y253" s="194">
        <f t="shared" si="40"/>
        <v>0.441256481927711</v>
      </c>
      <c r="Z253" s="194">
        <f t="shared" si="40"/>
        <v>1.5225394352482944</v>
      </c>
      <c r="AA253" s="194">
        <f t="shared" si="36"/>
        <v>0.74649275494170353</v>
      </c>
      <c r="AB253" s="194">
        <f t="shared" si="37"/>
        <v>0.48938717426106937</v>
      </c>
      <c r="AC253" s="194">
        <f t="shared" si="29"/>
        <v>0.80058052672573565</v>
      </c>
      <c r="AD253">
        <f t="shared" si="30"/>
        <v>52</v>
      </c>
      <c r="AE253" s="194">
        <f t="shared" si="38"/>
        <v>0.11342903213574396</v>
      </c>
      <c r="AF253" s="194">
        <f t="shared" si="39"/>
        <v>1.0065084667832113E-2</v>
      </c>
      <c r="AG253" s="245" t="str">
        <f>IF(ISNUMBER(SEARCH("C",'WetLitterbags placem_collection'!$X180)),"YES","NO")</f>
        <v>NO</v>
      </c>
      <c r="AH253" s="245" t="str">
        <f>IF(ISNUMBER(SEARCH("H", 'WetLitterbags placem_collection'!$X180)),"YES","NO")</f>
        <v>NO</v>
      </c>
      <c r="AI253" s="245" t="str">
        <f>IF(ISNUMBER(SEARCH("R", 'WetLitterbags placem_collection'!$X180)),"YES","NO")</f>
        <v>YES</v>
      </c>
      <c r="AJ253" s="245" t="str">
        <f>IF(ISNUMBER(SEARCH("C", 'WetLitterbags placem_collection'!$V180)),"YES","NO")</f>
        <v>YES</v>
      </c>
      <c r="AK253" s="245" t="str">
        <f>IF(ISNUMBER(SEARCH("H", 'WetLitterbags placem_collection'!$V180)),"YES","NO")</f>
        <v>YES</v>
      </c>
      <c r="AL253" s="245" t="str">
        <f>IF(ISNUMBER(SEARCH("R", 'WetLitterbags placem_collection'!$V180)),"YES","NO")</f>
        <v>NO</v>
      </c>
    </row>
    <row r="254" spans="2:38">
      <c r="B254" t="str">
        <f>Wetseason!B180</f>
        <v>Wet</v>
      </c>
      <c r="C254" s="253">
        <f>Wetseason!C180</f>
        <v>179</v>
      </c>
      <c r="D254" t="s">
        <v>3129</v>
      </c>
      <c r="E254" t="s">
        <v>22</v>
      </c>
      <c r="F254" s="374">
        <v>3</v>
      </c>
      <c r="G254" s="16">
        <f>'WetLitterbags placem_collection'!E181</f>
        <v>42763</v>
      </c>
      <c r="H254" t="str">
        <f>Wetseason!L180</f>
        <v>G451</v>
      </c>
      <c r="I254" t="str">
        <f>Wetseason!L400</f>
        <v>R32</v>
      </c>
      <c r="J254">
        <f>IFERROR(INDEX('Green_rooibos initial weight'!$C$5:$C$2000,MATCH(H254, 'Green_rooibos initial weight'!$A$5:$A$2000,0)),"")</f>
        <v>2.1139999999999999</v>
      </c>
      <c r="K254">
        <f>IFERROR(INDEX('Green_rooibos initial weight'!$C$5:$C$2000,MATCH(I254, 'Green_rooibos initial weight'!$A$5:$A$2000,0)),"")</f>
        <v>2.2290000000000001</v>
      </c>
      <c r="L254" s="194">
        <f t="shared" si="31"/>
        <v>1.8641999999999999</v>
      </c>
      <c r="M254" s="194">
        <f>AVERAGE(Ashed_controlls!$K$2:$K$11)</f>
        <v>5.5147656768714146</v>
      </c>
      <c r="N254" s="194">
        <f t="shared" si="28"/>
        <v>1.761393738251763</v>
      </c>
      <c r="O254" s="194">
        <f t="shared" si="32"/>
        <v>1.9792000000000001</v>
      </c>
      <c r="P254" s="194">
        <f>AVERAGE(Ashed_controlls!$K$12:$K$14)</f>
        <v>2.2816647271287041</v>
      </c>
      <c r="Q254" s="194">
        <f t="shared" si="33"/>
        <v>1.9340412917206689</v>
      </c>
      <c r="R254" s="16">
        <f>IF('WetLitterbags placem_collection'!G181="","",'WetLitterbags placem_collection'!G181)</f>
        <v>42815</v>
      </c>
      <c r="S254" s="194">
        <f>IFERROR(INDEX('Both teabags AfterWet'!$C$3:$C$2000,MATCH(H254,'Both teabags AfterWet'!$A$3:$A$2000,0)),"")</f>
        <v>0.60329999999999995</v>
      </c>
      <c r="T254" s="194">
        <f>IFERROR(INDEX('Both teabags AfterWet'!$C$3:$C$2000,MATCH(I254,'Both teabags AfterWet'!$A$3:$A$2000,0)),"")</f>
        <v>1.6146</v>
      </c>
      <c r="U254" s="194">
        <f t="shared" si="34"/>
        <v>0.45269999999999994</v>
      </c>
      <c r="V254" s="194">
        <f t="shared" si="35"/>
        <v>1.464</v>
      </c>
      <c r="W254" s="194">
        <f>IFERROR(INDEX('Ashed teabags wet'!$K$2:$K$2000,MATCH(H254,'Ashed teabags wet'!$A$2:$A$2000,0)),"")</f>
        <v>8.9466089466084018</v>
      </c>
      <c r="X254" s="233">
        <f>IFERROR(INDEX('Ashed teabags wet'!$K$2:$K$2000,MATCH(I254,'Ashed teabags wet'!$A$2:$A$2000,0)),"")</f>
        <v>1.8482490272371503</v>
      </c>
      <c r="Y254" s="194">
        <f t="shared" si="40"/>
        <v>0.41219870129870373</v>
      </c>
      <c r="Z254" s="194">
        <f t="shared" si="40"/>
        <v>1.436941634241248</v>
      </c>
      <c r="AA254" s="194">
        <f t="shared" si="36"/>
        <v>0.76598151092110534</v>
      </c>
      <c r="AB254" s="194">
        <f t="shared" si="37"/>
        <v>0.5021636508651427</v>
      </c>
      <c r="AC254" s="194">
        <f t="shared" si="29"/>
        <v>0.74297360681624147</v>
      </c>
      <c r="AD254">
        <f t="shared" si="30"/>
        <v>52</v>
      </c>
      <c r="AE254" s="194">
        <f t="shared" si="38"/>
        <v>9.0283241186335683E-2</v>
      </c>
      <c r="AF254" s="194">
        <f t="shared" si="39"/>
        <v>1.3790534138455284E-2</v>
      </c>
      <c r="AG254" s="245" t="str">
        <f>IF(ISNUMBER(SEARCH("C",'WetLitterbags placem_collection'!$X181)),"YES","NO")</f>
        <v>NO</v>
      </c>
      <c r="AH254" s="245" t="str">
        <f>IF(ISNUMBER(SEARCH("H", 'WetLitterbags placem_collection'!$X181)),"YES","NO")</f>
        <v>NO</v>
      </c>
      <c r="AI254" s="245" t="str">
        <f>IF(ISNUMBER(SEARCH("R", 'WetLitterbags placem_collection'!$X181)),"YES","NO")</f>
        <v>NO</v>
      </c>
      <c r="AJ254" s="245" t="str">
        <f>IF(ISNUMBER(SEARCH("C", 'WetLitterbags placem_collection'!$V181)),"YES","NO")</f>
        <v>NO</v>
      </c>
      <c r="AK254" s="245" t="str">
        <f>IF(ISNUMBER(SEARCH("H", 'WetLitterbags placem_collection'!$V181)),"YES","NO")</f>
        <v>NO</v>
      </c>
      <c r="AL254" s="245" t="str">
        <f>IF(ISNUMBER(SEARCH("R", 'WetLitterbags placem_collection'!$V181)),"YES","NO")</f>
        <v>YES</v>
      </c>
    </row>
    <row r="255" spans="2:38">
      <c r="B255" t="str">
        <f>Wetseason!B181</f>
        <v>Wet</v>
      </c>
      <c r="C255" s="253">
        <f>Wetseason!C181</f>
        <v>180</v>
      </c>
      <c r="D255" t="s">
        <v>3129</v>
      </c>
      <c r="E255" t="s">
        <v>22</v>
      </c>
      <c r="F255" s="375">
        <v>4</v>
      </c>
      <c r="G255" s="16">
        <f>'WetLitterbags placem_collection'!E182</f>
        <v>42763</v>
      </c>
      <c r="H255" t="str">
        <f>Wetseason!L181</f>
        <v>G360</v>
      </c>
      <c r="I255" t="str">
        <f>Wetseason!L401</f>
        <v>R268</v>
      </c>
      <c r="J255">
        <f>IFERROR(INDEX('Green_rooibos initial weight'!$C$5:$C$2000,MATCH(H255, 'Green_rooibos initial weight'!$A$5:$A$2000,0)),"")</f>
        <v>2.0099999999999998</v>
      </c>
      <c r="K255">
        <f>IFERROR(INDEX('Green_rooibos initial weight'!$C$5:$C$2000,MATCH(I255, 'Green_rooibos initial weight'!$A$5:$A$2000,0)),"")</f>
        <v>2.1709999999999998</v>
      </c>
      <c r="L255" s="194">
        <f t="shared" si="31"/>
        <v>1.7601999999999998</v>
      </c>
      <c r="M255" s="194">
        <f>AVERAGE(Ashed_controlls!$K$2:$K$11)</f>
        <v>5.5147656768714146</v>
      </c>
      <c r="N255" s="194">
        <f t="shared" si="28"/>
        <v>1.6631290945557091</v>
      </c>
      <c r="O255" s="194">
        <f t="shared" si="32"/>
        <v>1.9211999999999998</v>
      </c>
      <c r="P255" s="194">
        <f>AVERAGE(Ashed_controlls!$K$12:$K$14)</f>
        <v>2.2816647271287041</v>
      </c>
      <c r="Q255" s="194">
        <f t="shared" si="33"/>
        <v>1.8773646572624032</v>
      </c>
      <c r="R255" s="16">
        <f>IF('WetLitterbags placem_collection'!G182="","",'WetLitterbags placem_collection'!G182)</f>
        <v>42815</v>
      </c>
      <c r="S255" s="194">
        <f>IFERROR(INDEX('Both teabags AfterWet'!$C$3:$C$2000,MATCH(H255,'Both teabags AfterWet'!$A$3:$A$2000,0)),"")</f>
        <v>0.62219999999999998</v>
      </c>
      <c r="T255" s="194">
        <f>IFERROR(INDEX('Both teabags AfterWet'!$C$3:$C$2000,MATCH(I255,'Both teabags AfterWet'!$A$3:$A$2000,0)),"")</f>
        <v>1.6403000000000001</v>
      </c>
      <c r="U255" s="194">
        <f t="shared" si="34"/>
        <v>0.47159999999999996</v>
      </c>
      <c r="V255" s="194">
        <f t="shared" si="35"/>
        <v>1.4897</v>
      </c>
      <c r="W255" s="194">
        <f>IFERROR(INDEX('Ashed teabags wet'!$K$2:$K$2000,MATCH(H255,'Ashed teabags wet'!$A$2:$A$2000,0)),"")</f>
        <v>9.1525423728814648</v>
      </c>
      <c r="X255" s="233">
        <f>IFERROR(INDEX('Ashed teabags wet'!$K$2:$K$2000,MATCH(I255,'Ashed teabags wet'!$A$2:$A$2000,0)),"")</f>
        <v>2.0588235294118782</v>
      </c>
      <c r="Y255" s="194">
        <f t="shared" si="40"/>
        <v>0.42843661016949097</v>
      </c>
      <c r="Z255" s="194">
        <f t="shared" si="40"/>
        <v>1.4590297058823514</v>
      </c>
      <c r="AA255" s="194">
        <f t="shared" si="36"/>
        <v>0.7423912481767122</v>
      </c>
      <c r="AB255" s="194">
        <f t="shared" si="37"/>
        <v>0.48669830046739332</v>
      </c>
      <c r="AC255" s="194">
        <f t="shared" si="29"/>
        <v>0.77716904930442599</v>
      </c>
      <c r="AD255">
        <f t="shared" si="30"/>
        <v>52</v>
      </c>
      <c r="AE255" s="194">
        <f t="shared" si="38"/>
        <v>0.11830018031269329</v>
      </c>
      <c r="AF255" s="194">
        <f t="shared" si="39"/>
        <v>1.1773036749966213E-2</v>
      </c>
      <c r="AG255" s="245" t="str">
        <f>IF(ISNUMBER(SEARCH("C",'WetLitterbags placem_collection'!$X182)),"YES","NO")</f>
        <v>NO</v>
      </c>
      <c r="AH255" s="245" t="str">
        <f>IF(ISNUMBER(SEARCH("H", 'WetLitterbags placem_collection'!$X182)),"YES","NO")</f>
        <v>NO</v>
      </c>
      <c r="AI255" s="245" t="str">
        <f>IF(ISNUMBER(SEARCH("R", 'WetLitterbags placem_collection'!$X182)),"YES","NO")</f>
        <v>NO</v>
      </c>
      <c r="AJ255" s="245" t="str">
        <f>IF(ISNUMBER(SEARCH("C", 'WetLitterbags placem_collection'!$V182)),"YES","NO")</f>
        <v>NO</v>
      </c>
      <c r="AK255" s="245" t="str">
        <f>IF(ISNUMBER(SEARCH("H", 'WetLitterbags placem_collection'!$V182)),"YES","NO")</f>
        <v>NO</v>
      </c>
      <c r="AL255" s="245" t="str">
        <f>IF(ISNUMBER(SEARCH("R", 'WetLitterbags placem_collection'!$V182)),"YES","NO")</f>
        <v>NO</v>
      </c>
    </row>
    <row r="256" spans="2:38">
      <c r="B256" t="str">
        <f>Wetseason!B182</f>
        <v>Wet</v>
      </c>
      <c r="C256" s="253">
        <f>Wetseason!C182</f>
        <v>181</v>
      </c>
      <c r="D256" t="s">
        <v>3129</v>
      </c>
      <c r="E256" t="s">
        <v>22</v>
      </c>
      <c r="F256" s="375">
        <v>5</v>
      </c>
      <c r="G256" s="16">
        <f>'WetLitterbags placem_collection'!E183</f>
        <v>42763</v>
      </c>
      <c r="H256" t="str">
        <f>Wetseason!L182</f>
        <v>G458</v>
      </c>
      <c r="I256" t="str">
        <f>Wetseason!L402</f>
        <v>R587</v>
      </c>
      <c r="J256">
        <f>IFERROR(INDEX('Green_rooibos initial weight'!$C$5:$C$2000,MATCH(H256, 'Green_rooibos initial weight'!$A$5:$A$2000,0)),"")</f>
        <v>1.9770000000000001</v>
      </c>
      <c r="K256">
        <f>IFERROR(INDEX('Green_rooibos initial weight'!$C$5:$C$2000,MATCH(I256, 'Green_rooibos initial weight'!$A$5:$A$2000,0)),"")</f>
        <v>2.2250000000000001</v>
      </c>
      <c r="L256" s="194">
        <f t="shared" si="31"/>
        <v>1.7272000000000001</v>
      </c>
      <c r="M256" s="194">
        <f>AVERAGE(Ashed_controlls!$K$2:$K$11)</f>
        <v>5.5147656768714146</v>
      </c>
      <c r="N256" s="194">
        <f t="shared" si="28"/>
        <v>1.631948967229077</v>
      </c>
      <c r="O256" s="194">
        <f t="shared" si="32"/>
        <v>1.9752000000000001</v>
      </c>
      <c r="P256" s="194">
        <f>AVERAGE(Ashed_controlls!$K$12:$K$14)</f>
        <v>2.2816647271287041</v>
      </c>
      <c r="Q256" s="194">
        <f t="shared" si="33"/>
        <v>1.9301325583097539</v>
      </c>
      <c r="R256" s="16">
        <f>IF('WetLitterbags placem_collection'!G183="","",'WetLitterbags placem_collection'!G183)</f>
        <v>42815</v>
      </c>
      <c r="S256" s="194">
        <f>IFERROR(INDEX('Both teabags AfterWet'!$C$3:$C$2000,MATCH(H256,'Both teabags AfterWet'!$A$3:$A$2000,0)),"")</f>
        <v>0.57499999999999996</v>
      </c>
      <c r="T256" s="194">
        <f>IFERROR(INDEX('Both teabags AfterWet'!$C$3:$C$2000,MATCH(I256,'Both teabags AfterWet'!$A$3:$A$2000,0)),"")</f>
        <v>1.5119</v>
      </c>
      <c r="U256" s="194">
        <f t="shared" si="34"/>
        <v>0.42439999999999994</v>
      </c>
      <c r="V256" s="194">
        <f t="shared" si="35"/>
        <v>1.3613</v>
      </c>
      <c r="W256" s="194">
        <f>IFERROR(INDEX('Ashed teabags wet'!$K$2:$K$2000,MATCH(H256,'Ashed teabags wet'!$A$2:$A$2000,0)),"")</f>
        <v>9.1358024691352888</v>
      </c>
      <c r="X256" s="233">
        <f>IFERROR(INDEX('Ashed teabags wet'!$K$2:$K$2000,MATCH(I256,'Ashed teabags wet'!$A$2:$A$2000,0)),"")</f>
        <v>1.9743336623894387</v>
      </c>
      <c r="Y256" s="194">
        <f t="shared" si="40"/>
        <v>0.38562765432098978</v>
      </c>
      <c r="Z256" s="194">
        <f t="shared" si="40"/>
        <v>1.3344233958538925</v>
      </c>
      <c r="AA256" s="194">
        <f t="shared" si="36"/>
        <v>0.76370115606264599</v>
      </c>
      <c r="AB256" s="194">
        <f t="shared" si="37"/>
        <v>0.50066869138548764</v>
      </c>
      <c r="AC256" s="194">
        <f t="shared" si="29"/>
        <v>0.69136360096555605</v>
      </c>
      <c r="AD256">
        <f t="shared" si="30"/>
        <v>52</v>
      </c>
      <c r="AE256" s="194">
        <f t="shared" si="38"/>
        <v>9.2991501113247055E-2</v>
      </c>
      <c r="AF256" s="194">
        <f t="shared" si="39"/>
        <v>1.8428481547682306E-2</v>
      </c>
      <c r="AG256" s="245" t="str">
        <f>IF(ISNUMBER(SEARCH("C",'WetLitterbags placem_collection'!$X183)),"YES","NO")</f>
        <v>NO</v>
      </c>
      <c r="AH256" s="245" t="str">
        <f>IF(ISNUMBER(SEARCH("H", 'WetLitterbags placem_collection'!$X183)),"YES","NO")</f>
        <v>NO</v>
      </c>
      <c r="AI256" s="245" t="str">
        <f>IF(ISNUMBER(SEARCH("R", 'WetLitterbags placem_collection'!$X183)),"YES","NO")</f>
        <v>NO</v>
      </c>
      <c r="AJ256" s="245" t="str">
        <f>IF(ISNUMBER(SEARCH("C", 'WetLitterbags placem_collection'!$V183)),"YES","NO")</f>
        <v>NO</v>
      </c>
      <c r="AK256" s="245" t="str">
        <f>IF(ISNUMBER(SEARCH("H", 'WetLitterbags placem_collection'!$V183)),"YES","NO")</f>
        <v>NO</v>
      </c>
      <c r="AL256" s="245" t="str">
        <f>IF(ISNUMBER(SEARCH("R", 'WetLitterbags placem_collection'!$V183)),"YES","NO")</f>
        <v>NO</v>
      </c>
    </row>
    <row r="257" spans="2:38">
      <c r="B257" t="str">
        <f>Wetseason!B183</f>
        <v>Wet</v>
      </c>
      <c r="C257" s="253">
        <f>Wetseason!C183</f>
        <v>182</v>
      </c>
      <c r="D257" t="s">
        <v>3129</v>
      </c>
      <c r="E257" t="s">
        <v>22</v>
      </c>
      <c r="F257" s="375">
        <v>6</v>
      </c>
      <c r="G257" s="16">
        <f>'WetLitterbags placem_collection'!E184</f>
        <v>42763</v>
      </c>
      <c r="H257" t="str">
        <f>Wetseason!L183</f>
        <v>G403</v>
      </c>
      <c r="I257" t="str">
        <f>Wetseason!L403</f>
        <v>R444</v>
      </c>
      <c r="J257">
        <f>IFERROR(INDEX('Green_rooibos initial weight'!$C$5:$C$2000,MATCH(H257, 'Green_rooibos initial weight'!$A$5:$A$2000,0)),"")</f>
        <v>2.06</v>
      </c>
      <c r="K257">
        <f>IFERROR(INDEX('Green_rooibos initial weight'!$C$5:$C$2000,MATCH(I257, 'Green_rooibos initial weight'!$A$5:$A$2000,0)),"")</f>
        <v>2.2149999999999999</v>
      </c>
      <c r="L257" s="194">
        <f t="shared" si="31"/>
        <v>1.8102</v>
      </c>
      <c r="M257" s="194">
        <f>AVERAGE(Ashed_controlls!$K$2:$K$11)</f>
        <v>5.5147656768714146</v>
      </c>
      <c r="N257" s="194">
        <f t="shared" si="28"/>
        <v>1.7103717117172736</v>
      </c>
      <c r="O257" s="194">
        <f t="shared" si="32"/>
        <v>1.9651999999999998</v>
      </c>
      <c r="P257" s="194">
        <f>AVERAGE(Ashed_controlls!$K$12:$K$14)</f>
        <v>2.2816647271287041</v>
      </c>
      <c r="Q257" s="194">
        <f t="shared" si="33"/>
        <v>1.9203607247824666</v>
      </c>
      <c r="R257" s="16">
        <f>IF('WetLitterbags placem_collection'!G184="","",'WetLitterbags placem_collection'!G184)</f>
        <v>42815</v>
      </c>
      <c r="S257" s="194">
        <f>IFERROR(INDEX('Both teabags AfterWet'!$C$3:$C$2000,MATCH(H257,'Both teabags AfterWet'!$A$3:$A$2000,0)),"")</f>
        <v>0.69440000000000002</v>
      </c>
      <c r="T257" s="194">
        <f>IFERROR(INDEX('Both teabags AfterWet'!$C$3:$C$2000,MATCH(I257,'Both teabags AfterWet'!$A$3:$A$2000,0)),"")</f>
        <v>1.7522</v>
      </c>
      <c r="U257" s="194">
        <f t="shared" si="34"/>
        <v>0.54380000000000006</v>
      </c>
      <c r="V257" s="194">
        <f t="shared" si="35"/>
        <v>1.6015999999999999</v>
      </c>
      <c r="W257" s="194">
        <f>IFERROR(INDEX('Ashed teabags wet'!$K$2:$K$2000,MATCH(H257,'Ashed teabags wet'!$A$2:$A$2000,0)),"")</f>
        <v>8.8845014807495417</v>
      </c>
      <c r="X257" s="233">
        <f>IFERROR(INDEX('Ashed teabags wet'!$K$2:$K$2000,MATCH(I257,'Ashed teabags wet'!$A$2:$A$2000,0)),"")</f>
        <v>2.2682445759369214</v>
      </c>
      <c r="Y257" s="194">
        <f t="shared" si="40"/>
        <v>0.49548608094768404</v>
      </c>
      <c r="Z257" s="194">
        <f t="shared" si="40"/>
        <v>1.5652717948717942</v>
      </c>
      <c r="AA257" s="194">
        <f t="shared" si="36"/>
        <v>0.71030503044849913</v>
      </c>
      <c r="AB257" s="194">
        <f t="shared" si="37"/>
        <v>0.46566315535341041</v>
      </c>
      <c r="AC257" s="194">
        <f t="shared" si="29"/>
        <v>0.81509258894529002</v>
      </c>
      <c r="AD257">
        <f t="shared" si="30"/>
        <v>52</v>
      </c>
      <c r="AE257" s="194">
        <f t="shared" si="38"/>
        <v>0.15640732725831452</v>
      </c>
      <c r="AF257" s="194">
        <f t="shared" si="39"/>
        <v>9.7303360808274533E-3</v>
      </c>
      <c r="AG257" s="245" t="str">
        <f>IF(ISNUMBER(SEARCH("C",'WetLitterbags placem_collection'!$X184)),"YES","NO")</f>
        <v>NO</v>
      </c>
      <c r="AH257" s="245" t="str">
        <f>IF(ISNUMBER(SEARCH("H", 'WetLitterbags placem_collection'!$X184)),"YES","NO")</f>
        <v>NO</v>
      </c>
      <c r="AI257" s="245" t="str">
        <f>IF(ISNUMBER(SEARCH("R", 'WetLitterbags placem_collection'!$X184)),"YES","NO")</f>
        <v>NO</v>
      </c>
      <c r="AJ257" s="245" t="str">
        <f>IF(ISNUMBER(SEARCH("C", 'WetLitterbags placem_collection'!$V184)),"YES","NO")</f>
        <v>NO</v>
      </c>
      <c r="AK257" s="245" t="str">
        <f>IF(ISNUMBER(SEARCH("H", 'WetLitterbags placem_collection'!$V184)),"YES","NO")</f>
        <v>YES</v>
      </c>
      <c r="AL257" s="245" t="str">
        <f>IF(ISNUMBER(SEARCH("R", 'WetLitterbags placem_collection'!$V184)),"YES","NO")</f>
        <v>YES</v>
      </c>
    </row>
    <row r="258" spans="2:38">
      <c r="B258" t="str">
        <f>Wetseason!B184</f>
        <v>Wet</v>
      </c>
      <c r="C258" s="253">
        <f>Wetseason!C184</f>
        <v>183</v>
      </c>
      <c r="D258" t="s">
        <v>3129</v>
      </c>
      <c r="E258" t="s">
        <v>22</v>
      </c>
      <c r="F258" s="375">
        <v>7</v>
      </c>
      <c r="G258" s="16">
        <f>'WetLitterbags placem_collection'!E185</f>
        <v>42763</v>
      </c>
      <c r="H258" t="str">
        <f>Wetseason!L184</f>
        <v>G585</v>
      </c>
      <c r="I258" t="str">
        <f>Wetseason!L404</f>
        <v>R568</v>
      </c>
      <c r="J258">
        <f>IFERROR(INDEX('Green_rooibos initial weight'!$C$5:$C$2000,MATCH(H258, 'Green_rooibos initial weight'!$A$5:$A$2000,0)),"")</f>
        <v>2.1669999999999998</v>
      </c>
      <c r="K258">
        <f>IFERROR(INDEX('Green_rooibos initial weight'!$C$5:$C$2000,MATCH(I258, 'Green_rooibos initial weight'!$A$5:$A$2000,0)),"")</f>
        <v>2.04</v>
      </c>
      <c r="L258" s="194">
        <f t="shared" si="31"/>
        <v>1.9171999999999998</v>
      </c>
      <c r="M258" s="194">
        <f>AVERAGE(Ashed_controlls!$K$2:$K$11)</f>
        <v>5.5147656768714146</v>
      </c>
      <c r="N258" s="194">
        <f t="shared" si="28"/>
        <v>1.8114709124430211</v>
      </c>
      <c r="O258" s="194">
        <f t="shared" si="32"/>
        <v>1.7902</v>
      </c>
      <c r="P258" s="194">
        <f>AVERAGE(Ashed_controlls!$K$12:$K$14)</f>
        <v>2.2816647271287041</v>
      </c>
      <c r="Q258" s="194">
        <f t="shared" si="33"/>
        <v>1.7493536380549419</v>
      </c>
      <c r="R258" s="16">
        <f>IF('WetLitterbags placem_collection'!G185="","",'WetLitterbags placem_collection'!G185)</f>
        <v>42815</v>
      </c>
      <c r="S258" s="194">
        <f>IFERROR(INDEX('Both teabags AfterWet'!$C$3:$C$2000,MATCH(H258,'Both teabags AfterWet'!$A$3:$A$2000,0)),"")</f>
        <v>0.71799999999999997</v>
      </c>
      <c r="T258" s="194">
        <f>IFERROR(INDEX('Both teabags AfterWet'!$C$3:$C$2000,MATCH(I258,'Both teabags AfterWet'!$A$3:$A$2000,0)),"")</f>
        <v>0.30299999999999999</v>
      </c>
      <c r="U258" s="194">
        <f t="shared" si="34"/>
        <v>0.5673999999999999</v>
      </c>
      <c r="V258" s="194">
        <f t="shared" si="35"/>
        <v>0.15239999999999998</v>
      </c>
      <c r="W258" s="194">
        <f>IFERROR(INDEX('Ashed teabags wet'!$K$2:$K$2000,MATCH(H258,'Ashed teabags wet'!$A$2:$A$2000,0)),"")</f>
        <v>10.155490767735316</v>
      </c>
      <c r="X258" s="233">
        <f>IFERROR(INDEX('Ashed teabags wet'!$K$2:$K$2000,MATCH(I258,'Ashed teabags wet'!$A$2:$A$2000,0)),"")</f>
        <v>0</v>
      </c>
      <c r="Y258" s="194">
        <f t="shared" si="40"/>
        <v>0.50977774538386977</v>
      </c>
      <c r="Z258" s="194">
        <f t="shared" si="40"/>
        <v>0.15239999999999998</v>
      </c>
      <c r="AA258" s="194">
        <f t="shared" si="36"/>
        <v>0.71858353237570705</v>
      </c>
      <c r="AB258" s="194">
        <f t="shared" si="37"/>
        <v>0.47109039177124745</v>
      </c>
      <c r="AC258" s="194">
        <f t="shared" si="29"/>
        <v>8.7117891251221991E-2</v>
      </c>
      <c r="AD258">
        <f t="shared" si="30"/>
        <v>52</v>
      </c>
      <c r="AE258" s="194">
        <f t="shared" si="38"/>
        <v>0.14657537722600111</v>
      </c>
      <c r="AF258" s="194" t="str">
        <f t="shared" si="39"/>
        <v/>
      </c>
      <c r="AG258" s="245" t="str">
        <f>IF(ISNUMBER(SEARCH("C",'WetLitterbags placem_collection'!$X185)),"YES","NO")</f>
        <v>NO</v>
      </c>
      <c r="AH258" s="245" t="str">
        <f>IF(ISNUMBER(SEARCH("H", 'WetLitterbags placem_collection'!$X185)),"YES","NO")</f>
        <v>NO</v>
      </c>
      <c r="AI258" s="245" t="str">
        <f>IF(ISNUMBER(SEARCH("R", 'WetLitterbags placem_collection'!$X185)),"YES","NO")</f>
        <v>NO</v>
      </c>
      <c r="AJ258" s="245" t="str">
        <f>IF(ISNUMBER(SEARCH("C", 'WetLitterbags placem_collection'!$V185)),"YES","NO")</f>
        <v>YES</v>
      </c>
      <c r="AK258" s="245" t="str">
        <f>IF(ISNUMBER(SEARCH("H", 'WetLitterbags placem_collection'!$V185)),"YES","NO")</f>
        <v>NO</v>
      </c>
      <c r="AL258" s="245" t="str">
        <f>IF(ISNUMBER(SEARCH("R", 'WetLitterbags placem_collection'!$V185)),"YES","NO")</f>
        <v>NO</v>
      </c>
    </row>
    <row r="259" spans="2:38">
      <c r="B259" t="str">
        <f>Wetseason!B185</f>
        <v>Wet</v>
      </c>
      <c r="C259" s="253">
        <f>Wetseason!C185</f>
        <v>184</v>
      </c>
      <c r="D259" t="s">
        <v>3129</v>
      </c>
      <c r="E259" t="s">
        <v>22</v>
      </c>
      <c r="F259" s="375">
        <v>8</v>
      </c>
      <c r="G259" s="16">
        <f>'WetLitterbags placem_collection'!E186</f>
        <v>42763</v>
      </c>
      <c r="H259" t="str">
        <f>Wetseason!L185</f>
        <v>G669</v>
      </c>
      <c r="I259" t="str">
        <f>Wetseason!L405</f>
        <v>R541</v>
      </c>
      <c r="J259">
        <f>IFERROR(INDEX('Green_rooibos initial weight'!$C$5:$C$2000,MATCH(H259, 'Green_rooibos initial weight'!$A$5:$A$2000,0)),"")</f>
        <v>1.9359999999999999</v>
      </c>
      <c r="K259">
        <f>IFERROR(INDEX('Green_rooibos initial weight'!$C$5:$C$2000,MATCH(I259, 'Green_rooibos initial weight'!$A$5:$A$2000,0)),"")</f>
        <v>2.226</v>
      </c>
      <c r="L259" s="194">
        <f t="shared" si="31"/>
        <v>1.6861999999999999</v>
      </c>
      <c r="M259" s="194">
        <f>AVERAGE(Ashed_controlls!$K$2:$K$11)</f>
        <v>5.5147656768714146</v>
      </c>
      <c r="N259" s="194">
        <f t="shared" si="28"/>
        <v>1.593210021156594</v>
      </c>
      <c r="O259" s="194">
        <f t="shared" si="32"/>
        <v>1.9762</v>
      </c>
      <c r="P259" s="194">
        <f>AVERAGE(Ashed_controlls!$K$12:$K$14)</f>
        <v>2.2816647271287041</v>
      </c>
      <c r="Q259" s="194">
        <f t="shared" si="33"/>
        <v>1.9311097416624825</v>
      </c>
      <c r="R259" s="16">
        <f>IF('WetLitterbags placem_collection'!G186="","",'WetLitterbags placem_collection'!G186)</f>
        <v>42815</v>
      </c>
      <c r="S259" s="194">
        <f>IFERROR(INDEX('Both teabags AfterWet'!$C$3:$C$2000,MATCH(H259,'Both teabags AfterWet'!$A$3:$A$2000,0)),"")</f>
        <v>0.7097</v>
      </c>
      <c r="T259" s="194">
        <f>IFERROR(INDEX('Both teabags AfterWet'!$C$3:$C$2000,MATCH(I259,'Both teabags AfterWet'!$A$3:$A$2000,0)),"")</f>
        <v>1.7278</v>
      </c>
      <c r="U259" s="194">
        <f t="shared" si="34"/>
        <v>0.55909999999999993</v>
      </c>
      <c r="V259" s="194">
        <f t="shared" si="35"/>
        <v>1.5771999999999999</v>
      </c>
      <c r="W259" s="194">
        <f>IFERROR(INDEX('Ashed teabags wet'!$K$2:$K$2000,MATCH(H259,'Ashed teabags wet'!$A$2:$A$2000,0)),"")</f>
        <v>8.7171867261018541</v>
      </c>
      <c r="X259" s="233">
        <f>IFERROR(INDEX('Ashed teabags wet'!$K$2:$K$2000,MATCH(I259,'Ashed teabags wet'!$A$2:$A$2000,0)),"")</f>
        <v>2.6018654884636851</v>
      </c>
      <c r="Y259" s="194">
        <f t="shared" si="40"/>
        <v>0.51036220901436447</v>
      </c>
      <c r="Z259" s="194">
        <f t="shared" si="40"/>
        <v>1.5361633775159507</v>
      </c>
      <c r="AA259" s="194">
        <f t="shared" si="36"/>
        <v>0.67966419854435389</v>
      </c>
      <c r="AB259" s="194">
        <f t="shared" si="37"/>
        <v>0.44557557909321066</v>
      </c>
      <c r="AC259" s="194">
        <f t="shared" si="29"/>
        <v>0.79548217502826923</v>
      </c>
      <c r="AD259">
        <f t="shared" si="30"/>
        <v>52</v>
      </c>
      <c r="AE259" s="194">
        <f t="shared" si="38"/>
        <v>0.19279786396157494</v>
      </c>
      <c r="AF259" s="194">
        <f t="shared" si="39"/>
        <v>1.1814044887009746E-2</v>
      </c>
      <c r="AG259" s="245" t="str">
        <f>IF(ISNUMBER(SEARCH("C",'WetLitterbags placem_collection'!$X186)),"YES","NO")</f>
        <v>NO</v>
      </c>
      <c r="AH259" s="245" t="str">
        <f>IF(ISNUMBER(SEARCH("H", 'WetLitterbags placem_collection'!$X186)),"YES","NO")</f>
        <v>YES</v>
      </c>
      <c r="AI259" s="245" t="str">
        <f>IF(ISNUMBER(SEARCH("R", 'WetLitterbags placem_collection'!$X186)),"YES","NO")</f>
        <v>NO</v>
      </c>
      <c r="AJ259" s="245" t="str">
        <f>IF(ISNUMBER(SEARCH("C", 'WetLitterbags placem_collection'!$V186)),"YES","NO")</f>
        <v>NO</v>
      </c>
      <c r="AK259" s="245" t="str">
        <f>IF(ISNUMBER(SEARCH("H", 'WetLitterbags placem_collection'!$V186)),"YES","NO")</f>
        <v>NO</v>
      </c>
      <c r="AL259" s="245" t="str">
        <f>IF(ISNUMBER(SEARCH("R", 'WetLitterbags placem_collection'!$V186)),"YES","NO")</f>
        <v>YES</v>
      </c>
    </row>
    <row r="260" spans="2:38">
      <c r="B260" t="str">
        <f>Wetseason!B186</f>
        <v>Wet</v>
      </c>
      <c r="C260" s="253">
        <f>Wetseason!C186</f>
        <v>185</v>
      </c>
      <c r="D260" t="s">
        <v>3130</v>
      </c>
      <c r="E260" t="s">
        <v>22</v>
      </c>
      <c r="F260" s="374">
        <v>1</v>
      </c>
      <c r="G260" s="16">
        <f>'WetLitterbags placem_collection'!E187</f>
        <v>42763</v>
      </c>
      <c r="H260" t="str">
        <f>Wetseason!L186</f>
        <v>G423</v>
      </c>
      <c r="I260" t="str">
        <f>Wetseason!L406</f>
        <v>R51</v>
      </c>
      <c r="J260">
        <f>IFERROR(INDEX('Green_rooibos initial weight'!$C$5:$C$2000,MATCH(H260, 'Green_rooibos initial weight'!$A$5:$A$2000,0)),"")</f>
        <v>2.0649999999999999</v>
      </c>
      <c r="K260">
        <f>IFERROR(INDEX('Green_rooibos initial weight'!$C$5:$C$2000,MATCH(I260, 'Green_rooibos initial weight'!$A$5:$A$2000,0)),"")</f>
        <v>2.3149999999999999</v>
      </c>
      <c r="L260" s="194">
        <f t="shared" si="31"/>
        <v>1.8151999999999999</v>
      </c>
      <c r="M260" s="194">
        <f>AVERAGE(Ashed_controlls!$K$2:$K$11)</f>
        <v>5.5147656768714146</v>
      </c>
      <c r="N260" s="194">
        <f t="shared" si="28"/>
        <v>1.7150959734334301</v>
      </c>
      <c r="O260" s="194">
        <f t="shared" si="32"/>
        <v>2.0651999999999999</v>
      </c>
      <c r="P260" s="194">
        <f>AVERAGE(Ashed_controlls!$K$12:$K$14)</f>
        <v>2.2816647271287041</v>
      </c>
      <c r="Q260" s="194">
        <f t="shared" si="33"/>
        <v>2.0180790600553378</v>
      </c>
      <c r="R260" s="16">
        <f>IF('WetLitterbags placem_collection'!G187="","",'WetLitterbags placem_collection'!G187)</f>
        <v>42815</v>
      </c>
      <c r="S260" s="194">
        <f>IFERROR(INDEX('Both teabags AfterWet'!$C$3:$C$2000,MATCH(H260,'Both teabags AfterWet'!$A$3:$A$2000,0)),"")</f>
        <v>0.62319999999999998</v>
      </c>
      <c r="T260" s="194">
        <f>IFERROR(INDEX('Both teabags AfterWet'!$C$3:$C$2000,MATCH(I260,'Both teabags AfterWet'!$A$3:$A$2000,0)),"")</f>
        <v>1.7762</v>
      </c>
      <c r="U260" s="194">
        <f t="shared" si="34"/>
        <v>0.47259999999999996</v>
      </c>
      <c r="V260" s="194">
        <f t="shared" si="35"/>
        <v>1.6255999999999999</v>
      </c>
      <c r="W260" s="194">
        <f>IFERROR(INDEX('Ashed teabags wet'!$K$2:$K$2000,MATCH(H260,'Ashed teabags wet'!$A$2:$A$2000,0)),"")</f>
        <v>9.4793713163063114</v>
      </c>
      <c r="X260" s="233">
        <f>IFERROR(INDEX('Ashed teabags wet'!$K$2:$K$2000,MATCH(I260,'Ashed teabags wet'!$A$2:$A$2000,0)),"")</f>
        <v>2.0874751491048897</v>
      </c>
      <c r="Y260" s="194">
        <f t="shared" si="40"/>
        <v>0.42780049115913632</v>
      </c>
      <c r="Z260" s="194">
        <f t="shared" si="40"/>
        <v>1.5916660039761508</v>
      </c>
      <c r="AA260" s="194">
        <f t="shared" si="36"/>
        <v>0.75056760800229294</v>
      </c>
      <c r="AB260" s="194">
        <f t="shared" si="37"/>
        <v>0.492058574367299</v>
      </c>
      <c r="AC260" s="194">
        <f t="shared" si="29"/>
        <v>0.78870349307945631</v>
      </c>
      <c r="AD260">
        <f t="shared" si="30"/>
        <v>52</v>
      </c>
      <c r="AE260" s="194">
        <f t="shared" si="38"/>
        <v>0.10858953918967584</v>
      </c>
      <c r="AF260" s="194">
        <f t="shared" si="39"/>
        <v>1.0790195911766675E-2</v>
      </c>
      <c r="AG260" s="245" t="str">
        <f>IF(ISNUMBER(SEARCH("C",'WetLitterbags placem_collection'!$X187)),"YES","NO")</f>
        <v>NO</v>
      </c>
      <c r="AH260" s="245" t="str">
        <f>IF(ISNUMBER(SEARCH("H", 'WetLitterbags placem_collection'!$X187)),"YES","NO")</f>
        <v>NO</v>
      </c>
      <c r="AI260" s="245" t="str">
        <f>IF(ISNUMBER(SEARCH("R", 'WetLitterbags placem_collection'!$X187)),"YES","NO")</f>
        <v>NO</v>
      </c>
      <c r="AJ260" s="245" t="str">
        <f>IF(ISNUMBER(SEARCH("C", 'WetLitterbags placem_collection'!$V187)),"YES","NO")</f>
        <v>NO</v>
      </c>
      <c r="AK260" s="245" t="str">
        <f>IF(ISNUMBER(SEARCH("H", 'WetLitterbags placem_collection'!$V187)),"YES","NO")</f>
        <v>NO</v>
      </c>
      <c r="AL260" s="245" t="str">
        <f>IF(ISNUMBER(SEARCH("R", 'WetLitterbags placem_collection'!$V187)),"YES","NO")</f>
        <v>NO</v>
      </c>
    </row>
    <row r="261" spans="2:38">
      <c r="B261" t="str">
        <f>Wetseason!B187</f>
        <v>Wet</v>
      </c>
      <c r="C261" s="253">
        <f>Wetseason!C187</f>
        <v>186</v>
      </c>
      <c r="D261" t="s">
        <v>3130</v>
      </c>
      <c r="E261" t="s">
        <v>22</v>
      </c>
      <c r="F261" s="374">
        <v>2</v>
      </c>
      <c r="G261" s="16">
        <f>'WetLitterbags placem_collection'!E188</f>
        <v>42763</v>
      </c>
      <c r="H261" t="str">
        <f>Wetseason!L187</f>
        <v>G544</v>
      </c>
      <c r="I261" t="str">
        <f>Wetseason!L407</f>
        <v>R557</v>
      </c>
      <c r="J261">
        <f>IFERROR(INDEX('Green_rooibos initial weight'!$C$5:$C$2000,MATCH(H261, 'Green_rooibos initial weight'!$A$5:$A$2000,0)),"")</f>
        <v>2.0830000000000002</v>
      </c>
      <c r="K261">
        <f>IFERROR(INDEX('Green_rooibos initial weight'!$C$5:$C$2000,MATCH(I261, 'Green_rooibos initial weight'!$A$5:$A$2000,0)),"")</f>
        <v>2.2229999999999999</v>
      </c>
      <c r="L261" s="194">
        <f t="shared" si="31"/>
        <v>1.8332000000000002</v>
      </c>
      <c r="M261" s="194">
        <f>AVERAGE(Ashed_controlls!$K$2:$K$11)</f>
        <v>5.5147656768714146</v>
      </c>
      <c r="N261" s="194">
        <f t="shared" si="28"/>
        <v>1.7321033156115935</v>
      </c>
      <c r="O261" s="194">
        <f t="shared" si="32"/>
        <v>1.9731999999999998</v>
      </c>
      <c r="P261" s="194">
        <f>AVERAGE(Ashed_controlls!$K$12:$K$14)</f>
        <v>2.2816647271287041</v>
      </c>
      <c r="Q261" s="194">
        <f t="shared" si="33"/>
        <v>1.9281781916042962</v>
      </c>
      <c r="R261" s="16">
        <f>IF('WetLitterbags placem_collection'!G188="","",'WetLitterbags placem_collection'!G188)</f>
        <v>42815</v>
      </c>
      <c r="S261" s="194">
        <f>IFERROR(INDEX('Both teabags AfterWet'!$C$3:$C$2000,MATCH(H261,'Both teabags AfterWet'!$A$3:$A$2000,0)),"")</f>
        <v>0.69</v>
      </c>
      <c r="T261" s="194">
        <f>IFERROR(INDEX('Both teabags AfterWet'!$C$3:$C$2000,MATCH(I261,'Both teabags AfterWet'!$A$3:$A$2000,0)),"")</f>
        <v>1.7509999999999999</v>
      </c>
      <c r="U261" s="194">
        <f t="shared" si="34"/>
        <v>0.53939999999999988</v>
      </c>
      <c r="V261" s="194">
        <f t="shared" si="35"/>
        <v>1.6003999999999998</v>
      </c>
      <c r="W261" s="194">
        <f>IFERROR(INDEX('Ashed teabags wet'!$K$2:$K$2000,MATCH(H261,'Ashed teabags wet'!$A$2:$A$2000,0)),"")</f>
        <v>9.5401174168302578</v>
      </c>
      <c r="X261" s="233">
        <f>IFERROR(INDEX('Ashed teabags wet'!$K$2:$K$2000,MATCH(I261,'Ashed teabags wet'!$A$2:$A$2000,0)),"")</f>
        <v>2.1547502448572287</v>
      </c>
      <c r="Y261" s="194">
        <f t="shared" si="40"/>
        <v>0.48794060665361749</v>
      </c>
      <c r="Z261" s="194">
        <f t="shared" si="40"/>
        <v>1.5659153770813048</v>
      </c>
      <c r="AA261" s="194">
        <f t="shared" si="36"/>
        <v>0.71829589940982874</v>
      </c>
      <c r="AB261" s="194">
        <f t="shared" si="37"/>
        <v>0.47090182479124171</v>
      </c>
      <c r="AC261" s="194">
        <f t="shared" si="29"/>
        <v>0.81212171359454133</v>
      </c>
      <c r="AD261">
        <f t="shared" si="30"/>
        <v>52</v>
      </c>
      <c r="AE261" s="194">
        <f t="shared" si="38"/>
        <v>0.14691698407383758</v>
      </c>
      <c r="AF261" s="194">
        <f t="shared" si="39"/>
        <v>9.7907608396851659E-3</v>
      </c>
      <c r="AG261" s="245" t="str">
        <f>IF(ISNUMBER(SEARCH("C",'WetLitterbags placem_collection'!$X188)),"YES","NO")</f>
        <v>NO</v>
      </c>
      <c r="AH261" s="245" t="str">
        <f>IF(ISNUMBER(SEARCH("H", 'WetLitterbags placem_collection'!$X188)),"YES","NO")</f>
        <v>NO</v>
      </c>
      <c r="AI261" s="245" t="str">
        <f>IF(ISNUMBER(SEARCH("R", 'WetLitterbags placem_collection'!$X188)),"YES","NO")</f>
        <v>NO</v>
      </c>
      <c r="AJ261" s="245" t="str">
        <f>IF(ISNUMBER(SEARCH("C", 'WetLitterbags placem_collection'!$V188)),"YES","NO")</f>
        <v>NO</v>
      </c>
      <c r="AK261" s="245" t="str">
        <f>IF(ISNUMBER(SEARCH("H", 'WetLitterbags placem_collection'!$V188)),"YES","NO")</f>
        <v>NO</v>
      </c>
      <c r="AL261" s="245" t="str">
        <f>IF(ISNUMBER(SEARCH("R", 'WetLitterbags placem_collection'!$V188)),"YES","NO")</f>
        <v>YES</v>
      </c>
    </row>
    <row r="262" spans="2:38">
      <c r="B262" t="str">
        <f>Wetseason!B188</f>
        <v>Wet</v>
      </c>
      <c r="C262" s="253">
        <f>Wetseason!C188</f>
        <v>187</v>
      </c>
      <c r="D262" t="s">
        <v>3130</v>
      </c>
      <c r="E262" t="s">
        <v>22</v>
      </c>
      <c r="F262" s="374">
        <v>3</v>
      </c>
      <c r="G262" s="16">
        <f>'WetLitterbags placem_collection'!E189</f>
        <v>42763</v>
      </c>
      <c r="H262" t="str">
        <f>Wetseason!L188</f>
        <v>G620</v>
      </c>
      <c r="I262" t="str">
        <f>Wetseason!L408</f>
        <v>R427</v>
      </c>
      <c r="J262">
        <f>IFERROR(INDEX('Green_rooibos initial weight'!$C$5:$C$2000,MATCH(H262, 'Green_rooibos initial weight'!$A$5:$A$2000,0)),"")</f>
        <v>2.0019999999999998</v>
      </c>
      <c r="K262">
        <f>IFERROR(INDEX('Green_rooibos initial weight'!$C$5:$C$2000,MATCH(I262, 'Green_rooibos initial weight'!$A$5:$A$2000,0)),"")</f>
        <v>2.1760000000000002</v>
      </c>
      <c r="L262" s="194">
        <f t="shared" si="31"/>
        <v>1.7521999999999998</v>
      </c>
      <c r="M262" s="194">
        <f>AVERAGE(Ashed_controlls!$K$2:$K$11)</f>
        <v>5.5147656768714146</v>
      </c>
      <c r="N262" s="194">
        <f t="shared" si="28"/>
        <v>1.6555702758098589</v>
      </c>
      <c r="O262" s="194">
        <f t="shared" si="32"/>
        <v>1.9262000000000001</v>
      </c>
      <c r="P262" s="194">
        <f>AVERAGE(Ashed_controlls!$K$12:$K$14)</f>
        <v>2.2816647271287041</v>
      </c>
      <c r="Q262" s="194">
        <f t="shared" si="33"/>
        <v>1.8822505740260471</v>
      </c>
      <c r="R262" s="16">
        <f>IF('WetLitterbags placem_collection'!G189="","",'WetLitterbags placem_collection'!G189)</f>
        <v>42815</v>
      </c>
      <c r="S262" s="194">
        <f>IFERROR(INDEX('Both teabags AfterWet'!$C$3:$C$2000,MATCH(H262,'Both teabags AfterWet'!$A$3:$A$2000,0)),"")</f>
        <v>0.59950000000000003</v>
      </c>
      <c r="T262" s="194">
        <f>IFERROR(INDEX('Both teabags AfterWet'!$C$3:$C$2000,MATCH(I262,'Both teabags AfterWet'!$A$3:$A$2000,0)),"")</f>
        <v>1.6979</v>
      </c>
      <c r="U262" s="194">
        <f t="shared" si="34"/>
        <v>0.44890000000000002</v>
      </c>
      <c r="V262" s="194">
        <f t="shared" si="35"/>
        <v>1.5472999999999999</v>
      </c>
      <c r="W262" s="194">
        <f>IFERROR(INDEX('Ashed teabags wet'!$K$2:$K$2000,MATCH(H262,'Ashed teabags wet'!$A$2:$A$2000,0)),"")</f>
        <v>8.6766844401358867</v>
      </c>
      <c r="X262" s="233">
        <f>IFERROR(INDEX('Ashed teabags wet'!$K$2:$K$2000,MATCH(I262,'Ashed teabags wet'!$A$2:$A$2000,0)),"")</f>
        <v>1.9455252918283636</v>
      </c>
      <c r="Y262" s="194">
        <f t="shared" si="40"/>
        <v>0.40995036354823</v>
      </c>
      <c r="Z262" s="194">
        <f t="shared" si="40"/>
        <v>1.5171968871595396</v>
      </c>
      <c r="AA262" s="194">
        <f t="shared" si="36"/>
        <v>0.75238117672311211</v>
      </c>
      <c r="AB262" s="194">
        <f t="shared" si="37"/>
        <v>0.49324751728166027</v>
      </c>
      <c r="AC262" s="194">
        <f t="shared" si="29"/>
        <v>0.80605468161145277</v>
      </c>
      <c r="AD262">
        <f t="shared" si="30"/>
        <v>52</v>
      </c>
      <c r="AE262" s="194">
        <f t="shared" si="38"/>
        <v>0.10643565709844161</v>
      </c>
      <c r="AF262" s="194">
        <f t="shared" si="39"/>
        <v>9.6068721131686678E-3</v>
      </c>
      <c r="AG262" s="245" t="str">
        <f>IF(ISNUMBER(SEARCH("C",'WetLitterbags placem_collection'!$X189)),"YES","NO")</f>
        <v>NO</v>
      </c>
      <c r="AH262" s="245" t="str">
        <f>IF(ISNUMBER(SEARCH("H", 'WetLitterbags placem_collection'!$X189)),"YES","NO")</f>
        <v>NO</v>
      </c>
      <c r="AI262" s="245" t="str">
        <f>IF(ISNUMBER(SEARCH("R", 'WetLitterbags placem_collection'!$X189)),"YES","NO")</f>
        <v>NO</v>
      </c>
      <c r="AJ262" s="245" t="str">
        <f>IF(ISNUMBER(SEARCH("C", 'WetLitterbags placem_collection'!$V189)),"YES","NO")</f>
        <v>NO</v>
      </c>
      <c r="AK262" s="245" t="str">
        <f>IF(ISNUMBER(SEARCH("H", 'WetLitterbags placem_collection'!$V189)),"YES","NO")</f>
        <v>NO</v>
      </c>
      <c r="AL262" s="245" t="str">
        <f>IF(ISNUMBER(SEARCH("R", 'WetLitterbags placem_collection'!$V189)),"YES","NO")</f>
        <v>NO</v>
      </c>
    </row>
    <row r="263" spans="2:38">
      <c r="B263" t="str">
        <f>Wetseason!B189</f>
        <v>Wet</v>
      </c>
      <c r="C263" s="253">
        <f>Wetseason!C189</f>
        <v>188</v>
      </c>
      <c r="D263" t="s">
        <v>3130</v>
      </c>
      <c r="E263" t="s">
        <v>22</v>
      </c>
      <c r="F263" s="375">
        <v>4</v>
      </c>
      <c r="G263" s="16">
        <f>'WetLitterbags placem_collection'!E190</f>
        <v>42763</v>
      </c>
      <c r="H263" t="str">
        <f>Wetseason!L189</f>
        <v>G420</v>
      </c>
      <c r="I263" t="str">
        <f>Wetseason!L409</f>
        <v>R523</v>
      </c>
      <c r="J263">
        <f>IFERROR(INDEX('Green_rooibos initial weight'!$C$5:$C$2000,MATCH(H263, 'Green_rooibos initial weight'!$A$5:$A$2000,0)),"")</f>
        <v>2.0390000000000001</v>
      </c>
      <c r="K263">
        <f>IFERROR(INDEX('Green_rooibos initial weight'!$C$5:$C$2000,MATCH(I263, 'Green_rooibos initial weight'!$A$5:$A$2000,0)),"")</f>
        <v>2.1179999999999999</v>
      </c>
      <c r="L263" s="194">
        <f t="shared" si="31"/>
        <v>1.7892000000000001</v>
      </c>
      <c r="M263" s="194">
        <f>AVERAGE(Ashed_controlls!$K$2:$K$11)</f>
        <v>5.5147656768714146</v>
      </c>
      <c r="N263" s="194">
        <f t="shared" si="28"/>
        <v>1.6905298125094168</v>
      </c>
      <c r="O263" s="194">
        <f t="shared" si="32"/>
        <v>1.8681999999999999</v>
      </c>
      <c r="P263" s="194">
        <f>AVERAGE(Ashed_controlls!$K$12:$K$14)</f>
        <v>2.2816647271287041</v>
      </c>
      <c r="Q263" s="194">
        <f t="shared" si="33"/>
        <v>1.8255739395677815</v>
      </c>
      <c r="R263" s="16">
        <f>IF('WetLitterbags placem_collection'!G190="","",'WetLitterbags placem_collection'!G190)</f>
        <v>42815</v>
      </c>
      <c r="S263" s="194">
        <f>IFERROR(INDEX('Both teabags AfterWet'!$C$3:$C$2000,MATCH(H263,'Both teabags AfterWet'!$A$3:$A$2000,0)),"")</f>
        <v>0.29980000000000001</v>
      </c>
      <c r="T263" s="194">
        <f>IFERROR(INDEX('Both teabags AfterWet'!$C$3:$C$2000,MATCH(I263,'Both teabags AfterWet'!$A$3:$A$2000,0)),"")</f>
        <v>1.54</v>
      </c>
      <c r="U263" s="194">
        <f t="shared" si="34"/>
        <v>0.1492</v>
      </c>
      <c r="V263" s="194">
        <f t="shared" si="35"/>
        <v>1.3894</v>
      </c>
      <c r="W263" s="194">
        <f>IFERROR(INDEX('Ashed teabags wet'!$K$2:$K$2000,MATCH(H263,'Ashed teabags wet'!$A$2:$A$2000,0)),"")</f>
        <v>12.313003452243912</v>
      </c>
      <c r="X263" s="233">
        <f>IFERROR(INDEX('Ashed teabags wet'!$K$2:$K$2000,MATCH(I263,'Ashed teabags wet'!$A$2:$A$2000,0)),"")</f>
        <v>2.4709302325582305</v>
      </c>
      <c r="Y263" s="194">
        <f t="shared" si="40"/>
        <v>0.13082899884925209</v>
      </c>
      <c r="Z263" s="194">
        <f t="shared" si="40"/>
        <v>1.3550688953488359</v>
      </c>
      <c r="AA263" s="194">
        <f t="shared" si="36"/>
        <v>0.92261065265980136</v>
      </c>
      <c r="AB263" s="194">
        <f t="shared" si="37"/>
        <v>0.6048468886795848</v>
      </c>
      <c r="AC263" s="194">
        <f t="shared" si="29"/>
        <v>0.74227006969088238</v>
      </c>
      <c r="AD263">
        <f t="shared" si="30"/>
        <v>52</v>
      </c>
      <c r="AE263" s="194">
        <f t="shared" si="38"/>
        <v>-9.5737117173160691E-2</v>
      </c>
      <c r="AF263" s="194">
        <f t="shared" si="39"/>
        <v>1.067910712422916E-2</v>
      </c>
      <c r="AG263" s="245" t="str">
        <f>IF(ISNUMBER(SEARCH("C",'WetLitterbags placem_collection'!$X190)),"YES","NO")</f>
        <v>NO</v>
      </c>
      <c r="AH263" s="245" t="str">
        <f>IF(ISNUMBER(SEARCH("H", 'WetLitterbags placem_collection'!$X190)),"YES","NO")</f>
        <v>NO</v>
      </c>
      <c r="AI263" s="245" t="str">
        <f>IF(ISNUMBER(SEARCH("R", 'WetLitterbags placem_collection'!$X190)),"YES","NO")</f>
        <v>NO</v>
      </c>
      <c r="AJ263" s="245" t="str">
        <f>IF(ISNUMBER(SEARCH("C", 'WetLitterbags placem_collection'!$V190)),"YES","NO")</f>
        <v>NO</v>
      </c>
      <c r="AK263" s="245" t="str">
        <f>IF(ISNUMBER(SEARCH("H", 'WetLitterbags placem_collection'!$V190)),"YES","NO")</f>
        <v>YES</v>
      </c>
      <c r="AL263" s="245" t="str">
        <f>IF(ISNUMBER(SEARCH("R", 'WetLitterbags placem_collection'!$V190)),"YES","NO")</f>
        <v>NO</v>
      </c>
    </row>
    <row r="264" spans="2:38">
      <c r="B264" t="str">
        <f>Wetseason!B190</f>
        <v>Wet</v>
      </c>
      <c r="C264" s="253">
        <f>Wetseason!C190</f>
        <v>189</v>
      </c>
      <c r="D264" t="s">
        <v>3130</v>
      </c>
      <c r="E264" t="s">
        <v>22</v>
      </c>
      <c r="F264" s="375">
        <v>5</v>
      </c>
      <c r="G264" s="16">
        <f>'WetLitterbags placem_collection'!E191</f>
        <v>42763</v>
      </c>
      <c r="H264" t="str">
        <f>Wetseason!L190</f>
        <v>G367</v>
      </c>
      <c r="I264" t="str">
        <f>Wetseason!L410</f>
        <v>R354</v>
      </c>
      <c r="J264">
        <f>IFERROR(INDEX('Green_rooibos initial weight'!$C$5:$C$2000,MATCH(H264, 'Green_rooibos initial weight'!$A$5:$A$2000,0)),"")</f>
        <v>2.0990000000000002</v>
      </c>
      <c r="K264">
        <f>IFERROR(INDEX('Green_rooibos initial weight'!$C$5:$C$2000,MATCH(I264, 'Green_rooibos initial weight'!$A$5:$A$2000,0)),"")</f>
        <v>2.286</v>
      </c>
      <c r="L264" s="194">
        <f t="shared" si="31"/>
        <v>1.8492000000000002</v>
      </c>
      <c r="M264" s="194">
        <f>AVERAGE(Ashed_controlls!$K$2:$K$11)</f>
        <v>5.5147656768714146</v>
      </c>
      <c r="N264" s="194">
        <f t="shared" si="28"/>
        <v>1.7472209531032941</v>
      </c>
      <c r="O264" s="194">
        <f t="shared" si="32"/>
        <v>2.0362</v>
      </c>
      <c r="P264" s="194">
        <f>AVERAGE(Ashed_controlls!$K$12:$K$14)</f>
        <v>2.2816647271287041</v>
      </c>
      <c r="Q264" s="194">
        <f t="shared" si="33"/>
        <v>1.9897407428262053</v>
      </c>
      <c r="R264" s="16">
        <f>IF('WetLitterbags placem_collection'!G191="","",'WetLitterbags placem_collection'!G191)</f>
        <v>42815</v>
      </c>
      <c r="S264" s="194">
        <f>IFERROR(INDEX('Both teabags AfterWet'!$C$3:$C$2000,MATCH(H264,'Both teabags AfterWet'!$A$3:$A$2000,0)),"")</f>
        <v>0.80840000000000001</v>
      </c>
      <c r="T264" s="194">
        <f>IFERROR(INDEX('Both teabags AfterWet'!$C$3:$C$2000,MATCH(I264,'Both teabags AfterWet'!$A$3:$A$2000,0)),"")</f>
        <v>1.7630999999999999</v>
      </c>
      <c r="U264" s="194">
        <f t="shared" si="34"/>
        <v>0.65779999999999994</v>
      </c>
      <c r="V264" s="194">
        <f t="shared" si="35"/>
        <v>1.6124999999999998</v>
      </c>
      <c r="W264" s="194">
        <f>IFERROR(INDEX('Ashed teabags wet'!$K$2:$K$2000,MATCH(H264,'Ashed teabags wet'!$A$2:$A$2000,0)),"")</f>
        <v>9.3843098311821134</v>
      </c>
      <c r="X264" s="233">
        <f>IFERROR(INDEX('Ashed teabags wet'!$K$2:$K$2000,MATCH(I264,'Ashed teabags wet'!$A$2:$A$2000,0)),"")</f>
        <v>2.4789291026277223</v>
      </c>
      <c r="Y264" s="194">
        <f t="shared" si="40"/>
        <v>0.59607000993048398</v>
      </c>
      <c r="Z264" s="194">
        <f t="shared" si="40"/>
        <v>1.5725272682201279</v>
      </c>
      <c r="AA264" s="194">
        <f t="shared" si="36"/>
        <v>0.65884680533862339</v>
      </c>
      <c r="AB264" s="194">
        <f t="shared" si="37"/>
        <v>0.43192807190845622</v>
      </c>
      <c r="AC264" s="194">
        <f t="shared" si="29"/>
        <v>0.79031767022397492</v>
      </c>
      <c r="AD264">
        <f t="shared" si="30"/>
        <v>52</v>
      </c>
      <c r="AE264" s="194">
        <f t="shared" si="38"/>
        <v>0.21752160886149241</v>
      </c>
      <c r="AF264" s="194">
        <f t="shared" si="39"/>
        <v>1.2778372268621467E-2</v>
      </c>
      <c r="AG264" s="245" t="str">
        <f>IF(ISNUMBER(SEARCH("C",'WetLitterbags placem_collection'!$X191)),"YES","NO")</f>
        <v>NO</v>
      </c>
      <c r="AH264" s="245" t="str">
        <f>IF(ISNUMBER(SEARCH("H", 'WetLitterbags placem_collection'!$X191)),"YES","NO")</f>
        <v>NO</v>
      </c>
      <c r="AI264" s="245" t="str">
        <f>IF(ISNUMBER(SEARCH("R", 'WetLitterbags placem_collection'!$X191)),"YES","NO")</f>
        <v>NO</v>
      </c>
      <c r="AJ264" s="245" t="str">
        <f>IF(ISNUMBER(SEARCH("C", 'WetLitterbags placem_collection'!$V191)),"YES","NO")</f>
        <v>YES</v>
      </c>
      <c r="AK264" s="245" t="str">
        <f>IF(ISNUMBER(SEARCH("H", 'WetLitterbags placem_collection'!$V191)),"YES","NO")</f>
        <v>NO</v>
      </c>
      <c r="AL264" s="245" t="str">
        <f>IF(ISNUMBER(SEARCH("R", 'WetLitterbags placem_collection'!$V191)),"YES","NO")</f>
        <v>YES</v>
      </c>
    </row>
    <row r="265" spans="2:38">
      <c r="B265" t="str">
        <f>Wetseason!B191</f>
        <v>Wet</v>
      </c>
      <c r="C265" s="253">
        <f>Wetseason!C191</f>
        <v>190</v>
      </c>
      <c r="D265" t="s">
        <v>3130</v>
      </c>
      <c r="E265" t="s">
        <v>22</v>
      </c>
      <c r="F265" s="375">
        <v>6</v>
      </c>
      <c r="G265" s="16">
        <f>'WetLitterbags placem_collection'!E192</f>
        <v>42763</v>
      </c>
      <c r="H265" t="str">
        <f>Wetseason!L191</f>
        <v>G526</v>
      </c>
      <c r="I265" t="str">
        <f>Wetseason!L411</f>
        <v>R164</v>
      </c>
      <c r="J265">
        <f>IFERROR(INDEX('Green_rooibos initial weight'!$C$5:$C$2000,MATCH(H265, 'Green_rooibos initial weight'!$A$5:$A$2000,0)),"")</f>
        <v>2.0760000000000001</v>
      </c>
      <c r="K265">
        <f>IFERROR(INDEX('Green_rooibos initial weight'!$C$5:$C$2000,MATCH(I265, 'Green_rooibos initial weight'!$A$5:$A$2000,0)),"")</f>
        <v>2.2040000000000002</v>
      </c>
      <c r="L265" s="194">
        <f t="shared" si="31"/>
        <v>1.8262</v>
      </c>
      <c r="M265" s="194">
        <f>AVERAGE(Ashed_controlls!$K$2:$K$11)</f>
        <v>5.5147656768714146</v>
      </c>
      <c r="N265" s="194">
        <f t="shared" si="28"/>
        <v>1.7254893492089742</v>
      </c>
      <c r="O265" s="194">
        <f t="shared" si="32"/>
        <v>1.9542000000000002</v>
      </c>
      <c r="P265" s="194">
        <f>AVERAGE(Ashed_controlls!$K$12:$K$14)</f>
        <v>2.2816647271287041</v>
      </c>
      <c r="Q265" s="194">
        <f t="shared" si="33"/>
        <v>1.909611707902451</v>
      </c>
      <c r="R265" s="16">
        <f>IF('WetLitterbags placem_collection'!G192="","",'WetLitterbags placem_collection'!G192)</f>
        <v>42815</v>
      </c>
      <c r="S265" s="194">
        <f>IFERROR(INDEX('Both teabags AfterWet'!$C$3:$C$2000,MATCH(H265,'Both teabags AfterWet'!$A$3:$A$2000,0)),"")</f>
        <v>0.61960000000000004</v>
      </c>
      <c r="T265" s="194">
        <f>IFERROR(INDEX('Both teabags AfterWet'!$C$3:$C$2000,MATCH(I265,'Both teabags AfterWet'!$A$3:$A$2000,0)),"")</f>
        <v>1.6649</v>
      </c>
      <c r="U265" s="194">
        <f t="shared" si="34"/>
        <v>0.46900000000000003</v>
      </c>
      <c r="V265" s="194">
        <f t="shared" si="35"/>
        <v>1.5143</v>
      </c>
      <c r="W265" s="194">
        <f>IFERROR(INDEX('Ashed teabags wet'!$K$2:$K$2000,MATCH(H265,'Ashed teabags wet'!$A$2:$A$2000,0)),"")</f>
        <v>9.78043912175667</v>
      </c>
      <c r="X265" s="233">
        <f>IFERROR(INDEX('Ashed teabags wet'!$K$2:$K$2000,MATCH(I265,'Ashed teabags wet'!$A$2:$A$2000,0)),"")</f>
        <v>2.591687041564656</v>
      </c>
      <c r="Y265" s="194">
        <f t="shared" si="40"/>
        <v>0.42312974051896124</v>
      </c>
      <c r="Z265" s="194">
        <f t="shared" si="40"/>
        <v>1.4750540831295864</v>
      </c>
      <c r="AA265" s="194">
        <f t="shared" si="36"/>
        <v>0.75477696184393195</v>
      </c>
      <c r="AB265" s="194">
        <f t="shared" si="37"/>
        <v>0.49481815075754215</v>
      </c>
      <c r="AC265" s="194">
        <f t="shared" si="29"/>
        <v>0.77243665663833305</v>
      </c>
      <c r="AD265">
        <f t="shared" si="30"/>
        <v>52</v>
      </c>
      <c r="AE265" s="194">
        <f t="shared" si="38"/>
        <v>0.10359030659865565</v>
      </c>
      <c r="AF265" s="194">
        <f t="shared" si="39"/>
        <v>1.1845918937224963E-2</v>
      </c>
      <c r="AG265" s="245" t="str">
        <f>IF(ISNUMBER(SEARCH("C",'WetLitterbags placem_collection'!$X192)),"YES","NO")</f>
        <v>NO</v>
      </c>
      <c r="AH265" s="245" t="str">
        <f>IF(ISNUMBER(SEARCH("H", 'WetLitterbags placem_collection'!$X192)),"YES","NO")</f>
        <v>NO</v>
      </c>
      <c r="AI265" s="245" t="str">
        <f>IF(ISNUMBER(SEARCH("R", 'WetLitterbags placem_collection'!$X192)),"YES","NO")</f>
        <v>NO</v>
      </c>
      <c r="AJ265" s="245" t="str">
        <f>IF(ISNUMBER(SEARCH("C", 'WetLitterbags placem_collection'!$V192)),"YES","NO")</f>
        <v>NO</v>
      </c>
      <c r="AK265" s="245" t="str">
        <f>IF(ISNUMBER(SEARCH("H", 'WetLitterbags placem_collection'!$V192)),"YES","NO")</f>
        <v>NO</v>
      </c>
      <c r="AL265" s="245" t="str">
        <f>IF(ISNUMBER(SEARCH("R", 'WetLitterbags placem_collection'!$V192)),"YES","NO")</f>
        <v>NO</v>
      </c>
    </row>
    <row r="266" spans="2:38">
      <c r="B266" t="str">
        <f>Wetseason!B192</f>
        <v>Wet</v>
      </c>
      <c r="C266" s="253">
        <f>Wetseason!C192</f>
        <v>191</v>
      </c>
      <c r="D266" t="s">
        <v>3130</v>
      </c>
      <c r="E266" t="s">
        <v>22</v>
      </c>
      <c r="F266" s="375">
        <v>7</v>
      </c>
      <c r="G266" s="16">
        <f>'WetLitterbags placem_collection'!E193</f>
        <v>42763</v>
      </c>
      <c r="H266" t="str">
        <f>Wetseason!L192</f>
        <v>G522</v>
      </c>
      <c r="I266" t="str">
        <f>Wetseason!L412</f>
        <v>R336</v>
      </c>
      <c r="J266">
        <f>IFERROR(INDEX('Green_rooibos initial weight'!$C$5:$C$2000,MATCH(H266, 'Green_rooibos initial weight'!$A$5:$A$2000,0)),"")</f>
        <v>1.821</v>
      </c>
      <c r="K266">
        <f>IFERROR(INDEX('Green_rooibos initial weight'!$C$5:$C$2000,MATCH(I266, 'Green_rooibos initial weight'!$A$5:$A$2000,0)),"")</f>
        <v>2.11</v>
      </c>
      <c r="L266" s="194">
        <f t="shared" si="31"/>
        <v>1.5711999999999999</v>
      </c>
      <c r="M266" s="194">
        <f>AVERAGE(Ashed_controlls!$K$2:$K$11)</f>
        <v>5.5147656768714146</v>
      </c>
      <c r="N266" s="194">
        <f t="shared" si="28"/>
        <v>1.4845520016849962</v>
      </c>
      <c r="O266" s="194">
        <f t="shared" si="32"/>
        <v>1.8601999999999999</v>
      </c>
      <c r="P266" s="194">
        <f>AVERAGE(Ashed_controlls!$K$12:$K$14)</f>
        <v>2.2816647271287041</v>
      </c>
      <c r="Q266" s="194">
        <f t="shared" si="33"/>
        <v>1.8177564727459516</v>
      </c>
      <c r="R266" s="16">
        <f>IF('WetLitterbags placem_collection'!G193="","",'WetLitterbags placem_collection'!G193)</f>
        <v>42815</v>
      </c>
      <c r="S266" s="194">
        <f>IFERROR(INDEX('Both teabags AfterWet'!$C$3:$C$2000,MATCH(H266,'Both teabags AfterWet'!$A$3:$A$2000,0)),"")</f>
        <v>0.628</v>
      </c>
      <c r="T266" s="194">
        <f>IFERROR(INDEX('Both teabags AfterWet'!$C$3:$C$2000,MATCH(I266,'Both teabags AfterWet'!$A$3:$A$2000,0)),"")</f>
        <v>1.671</v>
      </c>
      <c r="U266" s="194">
        <f t="shared" si="34"/>
        <v>0.47739999999999999</v>
      </c>
      <c r="V266" s="194">
        <f t="shared" si="35"/>
        <v>1.5204</v>
      </c>
      <c r="W266" s="194">
        <f>IFERROR(INDEX('Ashed teabags wet'!$K$2:$K$2000,MATCH(H266,'Ashed teabags wet'!$A$2:$A$2000,0)),"")</f>
        <v>9.2361457813275862</v>
      </c>
      <c r="X266" s="233">
        <f>IFERROR(INDEX('Ashed teabags wet'!$K$2:$K$2000,MATCH(I266,'Ashed teabags wet'!$A$2:$A$2000,0)),"")</f>
        <v>1.9089574155652842</v>
      </c>
      <c r="Y266" s="194">
        <f t="shared" si="40"/>
        <v>0.43330664003994213</v>
      </c>
      <c r="Z266" s="194">
        <f t="shared" si="40"/>
        <v>1.4913762114537454</v>
      </c>
      <c r="AA266" s="194">
        <f t="shared" si="36"/>
        <v>0.7081229626526182</v>
      </c>
      <c r="AB266" s="194">
        <f t="shared" si="37"/>
        <v>0.46423263109767848</v>
      </c>
      <c r="AC266" s="194">
        <f t="shared" si="29"/>
        <v>0.82044885209559038</v>
      </c>
      <c r="AD266">
        <f t="shared" si="30"/>
        <v>52</v>
      </c>
      <c r="AE266" s="194">
        <f t="shared" si="38"/>
        <v>0.15899885670710423</v>
      </c>
      <c r="AF266" s="194">
        <f t="shared" si="39"/>
        <v>9.4041314280248964E-3</v>
      </c>
      <c r="AG266" s="245" t="str">
        <f>IF(ISNUMBER(SEARCH("C",'WetLitterbags placem_collection'!$X193)),"YES","NO")</f>
        <v>NO</v>
      </c>
      <c r="AH266" s="245" t="str">
        <f>IF(ISNUMBER(SEARCH("H", 'WetLitterbags placem_collection'!$X193)),"YES","NO")</f>
        <v>NO</v>
      </c>
      <c r="AI266" s="245" t="str">
        <f>IF(ISNUMBER(SEARCH("R", 'WetLitterbags placem_collection'!$X193)),"YES","NO")</f>
        <v>NO</v>
      </c>
      <c r="AJ266" s="245" t="str">
        <f>IF(ISNUMBER(SEARCH("C", 'WetLitterbags placem_collection'!$V193)),"YES","NO")</f>
        <v>NO</v>
      </c>
      <c r="AK266" s="245" t="str">
        <f>IF(ISNUMBER(SEARCH("H", 'WetLitterbags placem_collection'!$V193)),"YES","NO")</f>
        <v>NO</v>
      </c>
      <c r="AL266" s="245" t="str">
        <f>IF(ISNUMBER(SEARCH("R", 'WetLitterbags placem_collection'!$V193)),"YES","NO")</f>
        <v>NO</v>
      </c>
    </row>
    <row r="267" spans="2:38">
      <c r="B267" t="str">
        <f>Wetseason!B193</f>
        <v>Wet</v>
      </c>
      <c r="C267" s="253">
        <f>Wetseason!C193</f>
        <v>192</v>
      </c>
      <c r="D267" t="s">
        <v>3130</v>
      </c>
      <c r="E267" t="s">
        <v>22</v>
      </c>
      <c r="F267" s="375">
        <v>8</v>
      </c>
      <c r="G267" s="16">
        <f>'WetLitterbags placem_collection'!E194</f>
        <v>42763</v>
      </c>
      <c r="H267" t="str">
        <f>Wetseason!L193</f>
        <v>G591</v>
      </c>
      <c r="I267" t="str">
        <f>Wetseason!L413</f>
        <v>R263</v>
      </c>
      <c r="J267">
        <f>IFERROR(INDEX('Green_rooibos initial weight'!$C$5:$C$2000,MATCH(H267, 'Green_rooibos initial weight'!$A$5:$A$2000,0)),"")</f>
        <v>2.0920000000000001</v>
      </c>
      <c r="K267">
        <f>IFERROR(INDEX('Green_rooibos initial weight'!$C$5:$C$2000,MATCH(I267, 'Green_rooibos initial weight'!$A$5:$A$2000,0)),"")</f>
        <v>2.1850000000000001</v>
      </c>
      <c r="L267" s="194">
        <f t="shared" si="31"/>
        <v>1.8422000000000001</v>
      </c>
      <c r="M267" s="194">
        <f>AVERAGE(Ashed_controlls!$K$2:$K$11)</f>
        <v>5.5147656768714146</v>
      </c>
      <c r="N267" s="194">
        <f t="shared" si="28"/>
        <v>1.7406069867006748</v>
      </c>
      <c r="O267" s="194">
        <f t="shared" si="32"/>
        <v>1.9352</v>
      </c>
      <c r="P267" s="194">
        <f>AVERAGE(Ashed_controlls!$K$12:$K$14)</f>
        <v>2.2816647271287041</v>
      </c>
      <c r="Q267" s="194">
        <f t="shared" si="33"/>
        <v>1.8910452242006053</v>
      </c>
      <c r="R267" s="16">
        <f>IF('WetLitterbags placem_collection'!G194="","",'WetLitterbags placem_collection'!G194)</f>
        <v>42815</v>
      </c>
      <c r="S267" s="194">
        <f>IFERROR(INDEX('Both teabags AfterWet'!$C$3:$C$2000,MATCH(H267,'Both teabags AfterWet'!$A$3:$A$2000,0)),"")</f>
        <v>0.66100000000000003</v>
      </c>
      <c r="T267" s="194">
        <f>IFERROR(INDEX('Both teabags AfterWet'!$C$3:$C$2000,MATCH(I267,'Both teabags AfterWet'!$A$3:$A$2000,0)),"")</f>
        <v>1.0369999999999999</v>
      </c>
      <c r="U267" s="194">
        <f t="shared" si="34"/>
        <v>0.51039999999999996</v>
      </c>
      <c r="V267" s="194">
        <f t="shared" si="35"/>
        <v>0.88639999999999985</v>
      </c>
      <c r="W267" s="194">
        <f>IFERROR(INDEX('Ashed teabags wet'!$K$2:$K$2000,MATCH(H267,'Ashed teabags wet'!$A$2:$A$2000,0)),"")</f>
        <v>10.322580645161365</v>
      </c>
      <c r="X267" s="233">
        <f>IFERROR(INDEX('Ashed teabags wet'!$K$2:$K$2000,MATCH(I267,'Ashed teabags wet'!$A$2:$A$2000,0)),"")</f>
        <v>44.460570875664885</v>
      </c>
      <c r="Y267" s="194">
        <f t="shared" si="40"/>
        <v>0.45771354838709638</v>
      </c>
      <c r="Z267" s="194">
        <f t="shared" si="40"/>
        <v>0.49230149975810639</v>
      </c>
      <c r="AA267" s="194">
        <f t="shared" si="36"/>
        <v>0.73703796900488516</v>
      </c>
      <c r="AB267" s="194">
        <f t="shared" si="37"/>
        <v>0.48318878728111242</v>
      </c>
      <c r="AC267" s="194">
        <f t="shared" si="29"/>
        <v>0.26033301237743545</v>
      </c>
      <c r="AD267">
        <f t="shared" si="30"/>
        <v>52</v>
      </c>
      <c r="AE267" s="194">
        <f t="shared" si="38"/>
        <v>0.12465799405595579</v>
      </c>
      <c r="AF267" s="194" t="str">
        <f t="shared" si="39"/>
        <v/>
      </c>
      <c r="AG267" s="245" t="str">
        <f>IF(ISNUMBER(SEARCH("C",'WetLitterbags placem_collection'!$X194)),"YES","NO")</f>
        <v>NO</v>
      </c>
      <c r="AH267" s="245" t="str">
        <f>IF(ISNUMBER(SEARCH("H", 'WetLitterbags placem_collection'!$X194)),"YES","NO")</f>
        <v>NO</v>
      </c>
      <c r="AI267" s="245" t="str">
        <f>IF(ISNUMBER(SEARCH("R", 'WetLitterbags placem_collection'!$X194)),"YES","NO")</f>
        <v>NO</v>
      </c>
      <c r="AJ267" s="245" t="str">
        <f>IF(ISNUMBER(SEARCH("C", 'WetLitterbags placem_collection'!$V194)),"YES","NO")</f>
        <v>NO</v>
      </c>
      <c r="AK267" s="245" t="str">
        <f>IF(ISNUMBER(SEARCH("H", 'WetLitterbags placem_collection'!$V194)),"YES","NO")</f>
        <v>NO</v>
      </c>
      <c r="AL267" s="245" t="str">
        <f>IF(ISNUMBER(SEARCH("R", 'WetLitterbags placem_collection'!$V194)),"YES","NO")</f>
        <v>NO</v>
      </c>
    </row>
    <row r="268" spans="2:38">
      <c r="B268" t="str">
        <f>Wetseason!B194</f>
        <v>Wet</v>
      </c>
      <c r="C268" s="253">
        <f>Wetseason!C194</f>
        <v>193</v>
      </c>
      <c r="D268" t="s">
        <v>2440</v>
      </c>
      <c r="E268" t="s">
        <v>22</v>
      </c>
      <c r="F268" s="375">
        <v>1</v>
      </c>
      <c r="G268" s="16">
        <f>'WetLitterbags placem_collection'!E195</f>
        <v>42769</v>
      </c>
      <c r="H268" t="str">
        <f>Wetseason!L194</f>
        <v>G863</v>
      </c>
      <c r="I268" t="str">
        <f>Wetseason!L414</f>
        <v>R125</v>
      </c>
      <c r="J268">
        <f>IFERROR(INDEX('Green_rooibos initial weight'!$C$5:$C$2000,MATCH(H268, 'Green_rooibos initial weight'!$A$5:$A$2000,0)),"")</f>
        <v>2.0230000000000001</v>
      </c>
      <c r="K268">
        <f>IFERROR(INDEX('Green_rooibos initial weight'!$C$5:$C$2000,MATCH(I268, 'Green_rooibos initial weight'!$A$5:$A$2000,0)),"")</f>
        <v>2.2040000000000002</v>
      </c>
      <c r="L268" s="194">
        <f t="shared" si="31"/>
        <v>1.7732000000000001</v>
      </c>
      <c r="M268" s="194">
        <f>AVERAGE(Ashed_controlls!$K$2:$K$11)</f>
        <v>5.5147656768714146</v>
      </c>
      <c r="N268" s="194">
        <f t="shared" ref="N268:N331" si="41">IFERROR(L268-(M268/100)*L268,"")</f>
        <v>1.6754121750177162</v>
      </c>
      <c r="O268" s="194">
        <f t="shared" si="32"/>
        <v>1.9542000000000002</v>
      </c>
      <c r="P268" s="194">
        <f>AVERAGE(Ashed_controlls!$K$12:$K$14)</f>
        <v>2.2816647271287041</v>
      </c>
      <c r="Q268" s="194">
        <f t="shared" si="33"/>
        <v>1.909611707902451</v>
      </c>
      <c r="R268" s="16">
        <f>IF('WetLitterbags placem_collection'!G195="","",'WetLitterbags placem_collection'!G195)</f>
        <v>42813</v>
      </c>
      <c r="S268" s="194">
        <f>IFERROR(INDEX('Both teabags AfterWet'!$C$3:$C$2000,MATCH(H268,'Both teabags AfterWet'!$A$3:$A$2000,0)),"")</f>
        <v>0.64890000000000003</v>
      </c>
      <c r="T268" s="194">
        <f>IFERROR(INDEX('Both teabags AfterWet'!$C$3:$C$2000,MATCH(I268,'Both teabags AfterWet'!$A$3:$A$2000,0)),"")</f>
        <v>1.2266999999999999</v>
      </c>
      <c r="U268" s="194">
        <f t="shared" si="34"/>
        <v>0.49830000000000002</v>
      </c>
      <c r="V268" s="194">
        <f t="shared" si="35"/>
        <v>1.0760999999999998</v>
      </c>
      <c r="W268" s="194">
        <f>IFERROR(INDEX('Ashed teabags wet'!$K$2:$K$2000,MATCH(H268,'Ashed teabags wet'!$A$2:$A$2000,0)),"")</f>
        <v>8.2238442822379554</v>
      </c>
      <c r="X268" s="233">
        <f>IFERROR(INDEX('Ashed teabags wet'!$K$2:$K$2000,MATCH(I268,'Ashed teabags wet'!$A$2:$A$2000,0)),"")</f>
        <v>4.8379052369080275</v>
      </c>
      <c r="Y268" s="194">
        <f t="shared" si="40"/>
        <v>0.45732058394160829</v>
      </c>
      <c r="Z268" s="194">
        <f t="shared" si="40"/>
        <v>1.0240393017456326</v>
      </c>
      <c r="AA268" s="194">
        <f t="shared" si="36"/>
        <v>0.72703995425079659</v>
      </c>
      <c r="AB268" s="194">
        <f t="shared" si="37"/>
        <v>0.47663426929505914</v>
      </c>
      <c r="AC268" s="194">
        <f t="shared" ref="AC268:AC331" si="42">IFERROR(Z268/Q268,"")</f>
        <v>0.53625524891154663</v>
      </c>
      <c r="AD268">
        <f t="shared" ref="AD268:AD331" si="43">IFERROR(IF((R268-G268)&gt;0,(IFERROR(R268-G268,"")),""),"")</f>
        <v>44</v>
      </c>
      <c r="AE268" s="194">
        <f t="shared" si="38"/>
        <v>0.13653212084228428</v>
      </c>
      <c r="AF268" s="194">
        <f t="shared" si="39"/>
        <v>8.2053068791122508E-2</v>
      </c>
      <c r="AG268" s="245" t="str">
        <f>IF(ISNUMBER(SEARCH("C",'WetLitterbags placem_collection'!$X195)),"YES","NO")</f>
        <v>NO</v>
      </c>
      <c r="AH268" s="245" t="str">
        <f>IF(ISNUMBER(SEARCH("H", 'WetLitterbags placem_collection'!$X195)),"YES","NO")</f>
        <v>NO</v>
      </c>
      <c r="AI268" s="245" t="str">
        <f>IF(ISNUMBER(SEARCH("R", 'WetLitterbags placem_collection'!$X195)),"YES","NO")</f>
        <v>YES</v>
      </c>
      <c r="AJ268" s="245" t="str">
        <f>IF(ISNUMBER(SEARCH("C", 'WetLitterbags placem_collection'!$V195)),"YES","NO")</f>
        <v>NO</v>
      </c>
      <c r="AK268" s="245" t="str">
        <f>IF(ISNUMBER(SEARCH("H", 'WetLitterbags placem_collection'!$V195)),"YES","NO")</f>
        <v>NO</v>
      </c>
      <c r="AL268" s="245" t="str">
        <f>IF(ISNUMBER(SEARCH("R", 'WetLitterbags placem_collection'!$V195)),"YES","NO")</f>
        <v>YES</v>
      </c>
    </row>
    <row r="269" spans="2:38">
      <c r="B269" t="str">
        <f>Wetseason!B195</f>
        <v>Wet</v>
      </c>
      <c r="C269" s="253">
        <f>Wetseason!C195</f>
        <v>194</v>
      </c>
      <c r="D269" t="s">
        <v>2433</v>
      </c>
      <c r="E269" t="s">
        <v>22</v>
      </c>
      <c r="F269" s="375">
        <v>2</v>
      </c>
      <c r="G269" s="16">
        <f>'WetLitterbags placem_collection'!E196</f>
        <v>42769</v>
      </c>
      <c r="H269" t="str">
        <f>Wetseason!L195</f>
        <v>G615</v>
      </c>
      <c r="I269" t="str">
        <f>Wetseason!L415</f>
        <v>R289</v>
      </c>
      <c r="J269">
        <f>IFERROR(INDEX('Green_rooibos initial weight'!$C$5:$C$2000,MATCH(H269, 'Green_rooibos initial weight'!$A$5:$A$2000,0)),"")</f>
        <v>1.9630000000000001</v>
      </c>
      <c r="K269">
        <f>IFERROR(INDEX('Green_rooibos initial weight'!$C$5:$C$2000,MATCH(I269, 'Green_rooibos initial weight'!$A$5:$A$2000,0)),"")</f>
        <v>2.2160000000000002</v>
      </c>
      <c r="L269" s="194">
        <f t="shared" ref="L269:L295" si="44">IF(J269&gt;0,(J269*$F$31-($F$29+$F$30)),"")</f>
        <v>1.7132000000000001</v>
      </c>
      <c r="M269" s="194">
        <f>AVERAGE(Ashed_controlls!$K$2:$K$11)</f>
        <v>5.5147656768714146</v>
      </c>
      <c r="N269" s="194">
        <f t="shared" si="41"/>
        <v>1.618721034423839</v>
      </c>
      <c r="O269" s="194">
        <f t="shared" ref="O269:O332" si="45">IF(K269&gt;0,(K269*$F$32-($F$29+$F$30)),"")</f>
        <v>1.9662000000000002</v>
      </c>
      <c r="P269" s="194">
        <f>AVERAGE(Ashed_controlls!$K$12:$K$14)</f>
        <v>2.2816647271287041</v>
      </c>
      <c r="Q269" s="194">
        <f t="shared" ref="Q269:Q332" si="46">IFERROR(O269-(P269/100)*O269,"")</f>
        <v>1.9213379081351956</v>
      </c>
      <c r="R269" s="16">
        <f>IF('WetLitterbags placem_collection'!G196="","",'WetLitterbags placem_collection'!G196)</f>
        <v>42813</v>
      </c>
      <c r="S269" s="194">
        <f>IFERROR(INDEX('Both teabags AfterWet'!$C$3:$C$2000,MATCH(H269,'Both teabags AfterWet'!$A$3:$A$2000,0)),"")</f>
        <v>0.64100000000000001</v>
      </c>
      <c r="T269" s="194">
        <f>IFERROR(INDEX('Both teabags AfterWet'!$C$3:$C$2000,MATCH(I269,'Both teabags AfterWet'!$A$3:$A$2000,0)),"")</f>
        <v>1.512</v>
      </c>
      <c r="U269" s="194">
        <f t="shared" ref="U269:U332" si="47">IFERROR(IF(S269&gt;0,S269-($F$29),""),"")</f>
        <v>0.4904</v>
      </c>
      <c r="V269" s="194">
        <f t="shared" ref="V269:V332" si="48">IFERROR(IF(T269&gt;0,T269-($F$29),""),"")</f>
        <v>1.3613999999999999</v>
      </c>
      <c r="W269" s="194">
        <f>IFERROR(INDEX('Ashed teabags wet'!$K$2:$K$2000,MATCH(H269,'Ashed teabags wet'!$A$2:$A$2000,0)),"")</f>
        <v>11.187777230163009</v>
      </c>
      <c r="X269" s="233">
        <f>IFERROR(INDEX('Ashed teabags wet'!$K$2:$K$2000,MATCH(I269,'Ashed teabags wet'!$A$2:$A$2000,0)),"")</f>
        <v>3.5180722891571889</v>
      </c>
      <c r="Y269" s="194">
        <f t="shared" si="40"/>
        <v>0.43553514046328062</v>
      </c>
      <c r="Z269" s="194">
        <f t="shared" si="40"/>
        <v>1.3135049638554139</v>
      </c>
      <c r="AA269" s="194">
        <f t="shared" ref="AA269:AA332" si="49">IFERROR(1-Y269/N269,"")</f>
        <v>0.7309387280444507</v>
      </c>
      <c r="AB269" s="194">
        <f t="shared" ref="AB269:AB332" si="50">IFERROR($F$26*(1-AE269),"")</f>
        <v>0.47919023501251401</v>
      </c>
      <c r="AC269" s="194">
        <f t="shared" si="42"/>
        <v>0.68364078920936422</v>
      </c>
      <c r="AD269">
        <f t="shared" si="43"/>
        <v>44</v>
      </c>
      <c r="AE269" s="194">
        <f t="shared" ref="AE269:AE332" si="51">IFERROR(1-(AA269/$F$25),"")</f>
        <v>0.13190174816573552</v>
      </c>
      <c r="AF269" s="194">
        <f t="shared" ref="AF269:AF332" si="52">IFERROR(LN(AB269/(AC269-(1-AB269)))/AD269,"")</f>
        <v>2.4531469705010498E-2</v>
      </c>
      <c r="AG269" s="245" t="str">
        <f>IF(ISNUMBER(SEARCH("C",'WetLitterbags placem_collection'!$X196)),"YES","NO")</f>
        <v>NO</v>
      </c>
      <c r="AH269" s="245" t="str">
        <f>IF(ISNUMBER(SEARCH("H", 'WetLitterbags placem_collection'!$X196)),"YES","NO")</f>
        <v>NO</v>
      </c>
      <c r="AI269" s="245" t="str">
        <f>IF(ISNUMBER(SEARCH("R", 'WetLitterbags placem_collection'!$X196)),"YES","NO")</f>
        <v>YES</v>
      </c>
      <c r="AJ269" s="245" t="str">
        <f>IF(ISNUMBER(SEARCH("C", 'WetLitterbags placem_collection'!$V196)),"YES","NO")</f>
        <v>NO</v>
      </c>
      <c r="AK269" s="245" t="str">
        <f>IF(ISNUMBER(SEARCH("H", 'WetLitterbags placem_collection'!$V196)),"YES","NO")</f>
        <v>NO</v>
      </c>
      <c r="AL269" s="245" t="str">
        <f>IF(ISNUMBER(SEARCH("R", 'WetLitterbags placem_collection'!$V196)),"YES","NO")</f>
        <v>YES</v>
      </c>
    </row>
    <row r="270" spans="2:38">
      <c r="B270" t="str">
        <f>Wetseason!B196</f>
        <v>Wet</v>
      </c>
      <c r="C270" s="253">
        <f>Wetseason!C196</f>
        <v>195</v>
      </c>
      <c r="D270" t="s">
        <v>2425</v>
      </c>
      <c r="E270" t="s">
        <v>22</v>
      </c>
      <c r="F270" s="375">
        <v>3</v>
      </c>
      <c r="G270" s="16">
        <f>'WetLitterbags placem_collection'!E197</f>
        <v>42769</v>
      </c>
      <c r="H270" t="str">
        <f>Wetseason!L196</f>
        <v>G821</v>
      </c>
      <c r="I270" t="str">
        <f>Wetseason!L416</f>
        <v>R378</v>
      </c>
      <c r="J270">
        <f>IFERROR(INDEX('Green_rooibos initial weight'!$C$5:$C$2000,MATCH(H270, 'Green_rooibos initial weight'!$A$5:$A$2000,0)),"")</f>
        <v>1.9990000000000001</v>
      </c>
      <c r="K270">
        <f>IFERROR(INDEX('Green_rooibos initial weight'!$C$5:$C$2000,MATCH(I270, 'Green_rooibos initial weight'!$A$5:$A$2000,0)),"")</f>
        <v>2.2320000000000002</v>
      </c>
      <c r="L270" s="194">
        <f t="shared" si="44"/>
        <v>1.7492000000000001</v>
      </c>
      <c r="M270" s="194">
        <f>AVERAGE(Ashed_controlls!$K$2:$K$11)</f>
        <v>5.5147656768714146</v>
      </c>
      <c r="N270" s="194">
        <f t="shared" si="41"/>
        <v>1.6527357187801652</v>
      </c>
      <c r="O270" s="194">
        <f t="shared" si="45"/>
        <v>1.9822000000000002</v>
      </c>
      <c r="P270" s="194">
        <f>AVERAGE(Ashed_controlls!$K$12:$K$14)</f>
        <v>2.2816647271287041</v>
      </c>
      <c r="Q270" s="194">
        <f t="shared" si="46"/>
        <v>1.936972841778855</v>
      </c>
      <c r="R270" s="16">
        <f>IF('WetLitterbags placem_collection'!G197="","",'WetLitterbags placem_collection'!G197)</f>
        <v>42814</v>
      </c>
      <c r="S270" s="194">
        <f>IFERROR(INDEX('Both teabags AfterWet'!$C$3:$C$2000,MATCH(H270,'Both teabags AfterWet'!$A$3:$A$2000,0)),"")</f>
        <v>0.7641</v>
      </c>
      <c r="T270" s="194">
        <f>IFERROR(INDEX('Both teabags AfterWet'!$C$3:$C$2000,MATCH(I270,'Both teabags AfterWet'!$A$3:$A$2000,0)),"")</f>
        <v>1.5296000000000001</v>
      </c>
      <c r="U270" s="194">
        <f t="shared" si="47"/>
        <v>0.61349999999999993</v>
      </c>
      <c r="V270" s="194">
        <f t="shared" si="48"/>
        <v>1.379</v>
      </c>
      <c r="W270" s="194">
        <f>IFERROR(INDEX('Ashed teabags wet'!$K$2:$K$2000,MATCH(H270,'Ashed teabags wet'!$A$2:$A$2000,0)),"")</f>
        <v>15.097159940208879</v>
      </c>
      <c r="X270" s="233">
        <f>IFERROR(INDEX('Ashed teabags wet'!$K$2:$K$2000,MATCH(I270,'Ashed teabags wet'!$A$2:$A$2000,0)),"")</f>
        <v>1.2339585389935566</v>
      </c>
      <c r="Y270" s="194">
        <f t="shared" ref="Y270:Z333" si="53">IFERROR(U270-(W270/100)*U270,"")</f>
        <v>0.52087892376681844</v>
      </c>
      <c r="Z270" s="194">
        <f t="shared" si="53"/>
        <v>1.3619837117472788</v>
      </c>
      <c r="AA270" s="194">
        <f t="shared" si="49"/>
        <v>0.68483834538817634</v>
      </c>
      <c r="AB270" s="194">
        <f t="shared" si="50"/>
        <v>0.44896765635899449</v>
      </c>
      <c r="AC270" s="194">
        <f t="shared" si="42"/>
        <v>0.70315064949309036</v>
      </c>
      <c r="AD270">
        <f t="shared" si="43"/>
        <v>45</v>
      </c>
      <c r="AE270" s="194">
        <f t="shared" si="51"/>
        <v>0.186652796451097</v>
      </c>
      <c r="AF270" s="194">
        <f t="shared" si="52"/>
        <v>2.4050940094045358E-2</v>
      </c>
      <c r="AG270" s="245" t="str">
        <f>IF(ISNUMBER(SEARCH("C",'WetLitterbags placem_collection'!$X197)),"YES","NO")</f>
        <v>NO</v>
      </c>
      <c r="AH270" s="245" t="str">
        <f>IF(ISNUMBER(SEARCH("H", 'WetLitterbags placem_collection'!$X197)),"YES","NO")</f>
        <v>NO</v>
      </c>
      <c r="AI270" s="245" t="str">
        <f>IF(ISNUMBER(SEARCH("R", 'WetLitterbags placem_collection'!$X197)),"YES","NO")</f>
        <v>YES</v>
      </c>
      <c r="AJ270" s="245" t="str">
        <f>IF(ISNUMBER(SEARCH("C", 'WetLitterbags placem_collection'!$V197)),"YES","NO")</f>
        <v>NO</v>
      </c>
      <c r="AK270" s="245" t="str">
        <f>IF(ISNUMBER(SEARCH("H", 'WetLitterbags placem_collection'!$V197)),"YES","NO")</f>
        <v>NO</v>
      </c>
      <c r="AL270" s="245" t="str">
        <f>IF(ISNUMBER(SEARCH("R", 'WetLitterbags placem_collection'!$V197)),"YES","NO")</f>
        <v>YES</v>
      </c>
    </row>
    <row r="271" spans="2:38">
      <c r="B271" t="str">
        <f>Wetseason!B197</f>
        <v>Wet</v>
      </c>
      <c r="C271" s="253">
        <f>Wetseason!C197</f>
        <v>196</v>
      </c>
      <c r="D271" t="s">
        <v>2416</v>
      </c>
      <c r="E271" t="s">
        <v>22</v>
      </c>
      <c r="F271" s="375">
        <v>4</v>
      </c>
      <c r="G271" s="16">
        <f>'WetLitterbags placem_collection'!E198</f>
        <v>42769</v>
      </c>
      <c r="H271" t="str">
        <f>Wetseason!L197</f>
        <v>G754</v>
      </c>
      <c r="I271" t="str">
        <f>Wetseason!L417</f>
        <v>R375</v>
      </c>
      <c r="J271">
        <f>IFERROR(INDEX('Green_rooibos initial weight'!$C$5:$C$2000,MATCH(H271, 'Green_rooibos initial weight'!$A$5:$A$2000,0)),"")</f>
        <v>2.0609999999999999</v>
      </c>
      <c r="K271">
        <f>IFERROR(INDEX('Green_rooibos initial weight'!$C$5:$C$2000,MATCH(I271, 'Green_rooibos initial weight'!$A$5:$A$2000,0)),"")</f>
        <v>2.23</v>
      </c>
      <c r="L271" s="194">
        <f t="shared" si="44"/>
        <v>1.8111999999999999</v>
      </c>
      <c r="M271" s="194">
        <f>AVERAGE(Ashed_controlls!$K$2:$K$11)</f>
        <v>5.5147656768714146</v>
      </c>
      <c r="N271" s="194">
        <f t="shared" si="41"/>
        <v>1.7113165640605048</v>
      </c>
      <c r="O271" s="194">
        <f t="shared" si="45"/>
        <v>1.9802</v>
      </c>
      <c r="P271" s="194">
        <f>AVERAGE(Ashed_controlls!$K$12:$K$14)</f>
        <v>2.2816647271287041</v>
      </c>
      <c r="Q271" s="194">
        <f t="shared" si="46"/>
        <v>1.9350184750733974</v>
      </c>
      <c r="R271" s="16">
        <f>IF('WetLitterbags placem_collection'!G198="","",'WetLitterbags placem_collection'!G198)</f>
        <v>42814</v>
      </c>
      <c r="S271" s="194">
        <f>IFERROR(INDEX('Both teabags AfterWet'!$C$3:$C$2000,MATCH(H271,'Both teabags AfterWet'!$A$3:$A$2000,0)),"")</f>
        <v>0.6452</v>
      </c>
      <c r="T271" s="194">
        <f>IFERROR(INDEX('Both teabags AfterWet'!$C$3:$C$2000,MATCH(I271,'Both teabags AfterWet'!$A$3:$A$2000,0)),"")</f>
        <v>1.3742000000000001</v>
      </c>
      <c r="U271" s="194">
        <f t="shared" si="47"/>
        <v>0.49459999999999998</v>
      </c>
      <c r="V271" s="194">
        <f t="shared" si="48"/>
        <v>1.2236</v>
      </c>
      <c r="W271" s="194">
        <f>IFERROR(INDEX('Ashed teabags wet'!$K$2:$K$2000,MATCH(H271,'Ashed teabags wet'!$A$2:$A$2000,0)),"")</f>
        <v>10.498306724722434</v>
      </c>
      <c r="X271" s="233">
        <f>IFERROR(INDEX('Ashed teabags wet'!$K$2:$K$2000,MATCH(I271,'Ashed teabags wet'!$A$2:$A$2000,0)),"")</f>
        <v>5.0314465408809701</v>
      </c>
      <c r="Y271" s="194">
        <f t="shared" si="53"/>
        <v>0.4426753749395228</v>
      </c>
      <c r="Z271" s="194">
        <f t="shared" si="53"/>
        <v>1.1620352201257804</v>
      </c>
      <c r="AA271" s="194">
        <f t="shared" si="49"/>
        <v>0.74132467117061585</v>
      </c>
      <c r="AB271" s="194">
        <f t="shared" si="50"/>
        <v>0.4859990718363183</v>
      </c>
      <c r="AC271" s="194">
        <f t="shared" si="42"/>
        <v>0.60052926372276783</v>
      </c>
      <c r="AD271">
        <f t="shared" si="43"/>
        <v>45</v>
      </c>
      <c r="AE271" s="194">
        <f t="shared" si="51"/>
        <v>0.11956689884724958</v>
      </c>
      <c r="AF271" s="194">
        <f t="shared" si="52"/>
        <v>3.8349661668521273E-2</v>
      </c>
      <c r="AG271" s="245" t="str">
        <f>IF(ISNUMBER(SEARCH("C",'WetLitterbags placem_collection'!$X198)),"YES","NO")</f>
        <v>NO</v>
      </c>
      <c r="AH271" s="245" t="str">
        <f>IF(ISNUMBER(SEARCH("H", 'WetLitterbags placem_collection'!$X198)),"YES","NO")</f>
        <v>NO</v>
      </c>
      <c r="AI271" s="245" t="str">
        <f>IF(ISNUMBER(SEARCH("R", 'WetLitterbags placem_collection'!$X198)),"YES","NO")</f>
        <v>NO</v>
      </c>
      <c r="AJ271" s="245" t="str">
        <f>IF(ISNUMBER(SEARCH("C", 'WetLitterbags placem_collection'!$V198)),"YES","NO")</f>
        <v>NO</v>
      </c>
      <c r="AK271" s="245" t="str">
        <f>IF(ISNUMBER(SEARCH("H", 'WetLitterbags placem_collection'!$V198)),"YES","NO")</f>
        <v>NO</v>
      </c>
      <c r="AL271" s="245" t="str">
        <f>IF(ISNUMBER(SEARCH("R", 'WetLitterbags placem_collection'!$V198)),"YES","NO")</f>
        <v>YES</v>
      </c>
    </row>
    <row r="272" spans="2:38">
      <c r="B272" t="str">
        <f>Wetseason!B198</f>
        <v>Wet</v>
      </c>
      <c r="C272" s="253">
        <f>Wetseason!C198</f>
        <v>197</v>
      </c>
      <c r="D272" t="s">
        <v>2426</v>
      </c>
      <c r="E272" t="s">
        <v>22</v>
      </c>
      <c r="F272" s="375">
        <v>1</v>
      </c>
      <c r="G272" s="16">
        <f>'WetLitterbags placem_collection'!E199</f>
        <v>42769</v>
      </c>
      <c r="H272" t="str">
        <f>Wetseason!L198</f>
        <v>G715</v>
      </c>
      <c r="I272" t="str">
        <f>Wetseason!L418</f>
        <v>R219</v>
      </c>
      <c r="J272">
        <f>IFERROR(INDEX('Green_rooibos initial weight'!$C$5:$C$2000,MATCH(H272, 'Green_rooibos initial weight'!$A$5:$A$2000,0)),"")</f>
        <v>2.0179999999999998</v>
      </c>
      <c r="K272">
        <f>IFERROR(INDEX('Green_rooibos initial weight'!$C$5:$C$2000,MATCH(I272, 'Green_rooibos initial weight'!$A$5:$A$2000,0)),"")</f>
        <v>2.2160000000000002</v>
      </c>
      <c r="L272" s="194">
        <f t="shared" si="44"/>
        <v>1.7681999999999998</v>
      </c>
      <c r="M272" s="194">
        <f>AVERAGE(Ashed_controlls!$K$2:$K$11)</f>
        <v>5.5147656768714146</v>
      </c>
      <c r="N272" s="194">
        <f t="shared" si="41"/>
        <v>1.6706879133015595</v>
      </c>
      <c r="O272" s="194">
        <f t="shared" si="45"/>
        <v>1.9662000000000002</v>
      </c>
      <c r="P272" s="194">
        <f>AVERAGE(Ashed_controlls!$K$12:$K$14)</f>
        <v>2.2816647271287041</v>
      </c>
      <c r="Q272" s="194">
        <f t="shared" si="46"/>
        <v>1.9213379081351956</v>
      </c>
      <c r="R272" s="16">
        <f>IF('WetLitterbags placem_collection'!G199="","",'WetLitterbags placem_collection'!G199)</f>
        <v>42814</v>
      </c>
      <c r="S272" s="194">
        <f>IFERROR(INDEX('Both teabags AfterWet'!$C$3:$C$2000,MATCH(H272,'Both teabags AfterWet'!$A$3:$A$2000,0)),"")</f>
        <v>0.69089999999999996</v>
      </c>
      <c r="T272" s="194">
        <f>IFERROR(INDEX('Both teabags AfterWet'!$C$3:$C$2000,MATCH(I272,'Both teabags AfterWet'!$A$3:$A$2000,0)),"")</f>
        <v>1.5786</v>
      </c>
      <c r="U272" s="194">
        <f t="shared" si="47"/>
        <v>0.5403</v>
      </c>
      <c r="V272" s="194">
        <f t="shared" si="48"/>
        <v>1.4279999999999999</v>
      </c>
      <c r="W272" s="194">
        <f>IFERROR(INDEX('Ashed teabags wet'!$K$2:$K$2000,MATCH(H272,'Ashed teabags wet'!$A$2:$A$2000,0)),"")</f>
        <v>12.326732673267644</v>
      </c>
      <c r="X272" s="233">
        <f>IFERROR(INDEX('Ashed teabags wet'!$K$2:$K$2000,MATCH(I272,'Ashed teabags wet'!$A$2:$A$2000,0)),"")</f>
        <v>11.480214948704322</v>
      </c>
      <c r="Y272" s="194">
        <f t="shared" si="53"/>
        <v>0.47369866336633493</v>
      </c>
      <c r="Z272" s="194">
        <f t="shared" si="53"/>
        <v>1.2640625305325022</v>
      </c>
      <c r="AA272" s="194">
        <f t="shared" si="49"/>
        <v>0.71646490071851487</v>
      </c>
      <c r="AB272" s="194">
        <f t="shared" si="50"/>
        <v>0.46970145510287437</v>
      </c>
      <c r="AC272" s="194">
        <f t="shared" si="42"/>
        <v>0.65790745354073132</v>
      </c>
      <c r="AD272">
        <f t="shared" si="43"/>
        <v>45</v>
      </c>
      <c r="AE272" s="194">
        <f t="shared" si="51"/>
        <v>0.14909156684261893</v>
      </c>
      <c r="AF272" s="194">
        <f t="shared" si="52"/>
        <v>2.8958380123097007E-2</v>
      </c>
      <c r="AG272" s="245" t="str">
        <f>IF(ISNUMBER(SEARCH("C",'WetLitterbags placem_collection'!$X199)),"YES","NO")</f>
        <v>NO</v>
      </c>
      <c r="AH272" s="245" t="str">
        <f>IF(ISNUMBER(SEARCH("H", 'WetLitterbags placem_collection'!$X199)),"YES","NO")</f>
        <v>NO</v>
      </c>
      <c r="AI272" s="245" t="str">
        <f>IF(ISNUMBER(SEARCH("R", 'WetLitterbags placem_collection'!$X199)),"YES","NO")</f>
        <v>YES</v>
      </c>
      <c r="AJ272" s="245" t="str">
        <f>IF(ISNUMBER(SEARCH("C", 'WetLitterbags placem_collection'!$V199)),"YES","NO")</f>
        <v>NO</v>
      </c>
      <c r="AK272" s="245" t="str">
        <f>IF(ISNUMBER(SEARCH("H", 'WetLitterbags placem_collection'!$V199)),"YES","NO")</f>
        <v>NO</v>
      </c>
      <c r="AL272" s="245" t="str">
        <f>IF(ISNUMBER(SEARCH("R", 'WetLitterbags placem_collection'!$V199)),"YES","NO")</f>
        <v>YES</v>
      </c>
    </row>
    <row r="273" spans="2:38">
      <c r="B273" t="str">
        <f>Wetseason!B199</f>
        <v>Wet</v>
      </c>
      <c r="C273" s="253">
        <f>Wetseason!C199</f>
        <v>198</v>
      </c>
      <c r="D273" t="s">
        <v>2434</v>
      </c>
      <c r="E273" t="s">
        <v>22</v>
      </c>
      <c r="F273" s="375">
        <v>2</v>
      </c>
      <c r="G273" s="16">
        <f>'WetLitterbags placem_collection'!E200</f>
        <v>42769</v>
      </c>
      <c r="H273" t="str">
        <f>Wetseason!L199</f>
        <v>G785</v>
      </c>
      <c r="I273" t="str">
        <f>Wetseason!L419</f>
        <v>R463</v>
      </c>
      <c r="J273">
        <f>IFERROR(INDEX('Green_rooibos initial weight'!$C$5:$C$2000,MATCH(H273, 'Green_rooibos initial weight'!$A$5:$A$2000,0)),"")</f>
        <v>2.008</v>
      </c>
      <c r="K273">
        <f>IFERROR(INDEX('Green_rooibos initial weight'!$C$5:$C$2000,MATCH(I273, 'Green_rooibos initial weight'!$A$5:$A$2000,0)),"")</f>
        <v>2.1579999999999999</v>
      </c>
      <c r="L273" s="194">
        <f t="shared" si="44"/>
        <v>1.7582</v>
      </c>
      <c r="M273" s="194">
        <f>AVERAGE(Ashed_controlls!$K$2:$K$11)</f>
        <v>5.5147656768714146</v>
      </c>
      <c r="N273" s="194">
        <f t="shared" si="41"/>
        <v>1.6612393898692468</v>
      </c>
      <c r="O273" s="194">
        <f t="shared" si="45"/>
        <v>1.9081999999999999</v>
      </c>
      <c r="P273" s="194">
        <f>AVERAGE(Ashed_controlls!$K$12:$K$14)</f>
        <v>2.2816647271287041</v>
      </c>
      <c r="Q273" s="194">
        <f t="shared" si="46"/>
        <v>1.8646612736769299</v>
      </c>
      <c r="R273" s="16">
        <f>IF('WetLitterbags placem_collection'!G200="","",'WetLitterbags placem_collection'!G200)</f>
        <v>42813</v>
      </c>
      <c r="S273" s="194">
        <f>IFERROR(INDEX('Both teabags AfterWet'!$C$3:$C$2000,MATCH(H273,'Both teabags AfterWet'!$A$3:$A$2000,0)),"")</f>
        <v>0.64690000000000003</v>
      </c>
      <c r="T273" s="194">
        <f>IFERROR(INDEX('Both teabags AfterWet'!$C$3:$C$2000,MATCH(I273,'Both teabags AfterWet'!$A$3:$A$2000,0)),"")</f>
        <v>1.5485</v>
      </c>
      <c r="U273" s="194">
        <f t="shared" si="47"/>
        <v>0.49630000000000002</v>
      </c>
      <c r="V273" s="194">
        <f t="shared" si="48"/>
        <v>1.3978999999999999</v>
      </c>
      <c r="W273" s="194">
        <f>IFERROR(INDEX('Ashed teabags wet'!$K$2:$K$2000,MATCH(H273,'Ashed teabags wet'!$A$2:$A$2000,0)),"")</f>
        <v>9.3718843469595843</v>
      </c>
      <c r="X273" s="233">
        <f>IFERROR(INDEX('Ashed teabags wet'!$K$2:$K$2000,MATCH(I273,'Ashed teabags wet'!$A$2:$A$2000,0)),"")</f>
        <v>7.7074128620517337</v>
      </c>
      <c r="Y273" s="194">
        <f t="shared" si="53"/>
        <v>0.44978733798603959</v>
      </c>
      <c r="Z273" s="194">
        <f t="shared" si="53"/>
        <v>1.2901580756013789</v>
      </c>
      <c r="AA273" s="194">
        <f t="shared" si="49"/>
        <v>0.72924592281583123</v>
      </c>
      <c r="AB273" s="194">
        <f t="shared" si="50"/>
        <v>0.47808046246358538</v>
      </c>
      <c r="AC273" s="194">
        <f t="shared" si="42"/>
        <v>0.6918994317167928</v>
      </c>
      <c r="AD273">
        <f t="shared" si="43"/>
        <v>44</v>
      </c>
      <c r="AE273" s="194">
        <f t="shared" si="51"/>
        <v>0.13391220568191065</v>
      </c>
      <c r="AF273" s="194">
        <f t="shared" si="52"/>
        <v>2.3502247484327065E-2</v>
      </c>
      <c r="AG273" s="245" t="str">
        <f>IF(ISNUMBER(SEARCH("C",'WetLitterbags placem_collection'!$X200)),"YES","NO")</f>
        <v>NO</v>
      </c>
      <c r="AH273" s="245" t="str">
        <f>IF(ISNUMBER(SEARCH("H", 'WetLitterbags placem_collection'!$X200)),"YES","NO")</f>
        <v>NO</v>
      </c>
      <c r="AI273" s="245" t="str">
        <f>IF(ISNUMBER(SEARCH("R", 'WetLitterbags placem_collection'!$X200)),"YES","NO")</f>
        <v>YES</v>
      </c>
      <c r="AJ273" s="245" t="str">
        <f>IF(ISNUMBER(SEARCH("C", 'WetLitterbags placem_collection'!$V200)),"YES","NO")</f>
        <v>NO</v>
      </c>
      <c r="AK273" s="245" t="str">
        <f>IF(ISNUMBER(SEARCH("H", 'WetLitterbags placem_collection'!$V200)),"YES","NO")</f>
        <v>NO</v>
      </c>
      <c r="AL273" s="245" t="str">
        <f>IF(ISNUMBER(SEARCH("R", 'WetLitterbags placem_collection'!$V200)),"YES","NO")</f>
        <v>YES</v>
      </c>
    </row>
    <row r="274" spans="2:38">
      <c r="B274" t="str">
        <f>Wetseason!B200</f>
        <v>Wet</v>
      </c>
      <c r="C274" s="253">
        <f>Wetseason!C200</f>
        <v>199</v>
      </c>
      <c r="D274" t="s">
        <v>2418</v>
      </c>
      <c r="E274" t="s">
        <v>22</v>
      </c>
      <c r="F274" s="375">
        <v>3</v>
      </c>
      <c r="G274" s="16">
        <f>'WetLitterbags placem_collection'!E201</f>
        <v>42769</v>
      </c>
      <c r="H274" t="str">
        <f>Wetseason!L200</f>
        <v>G877</v>
      </c>
      <c r="I274" t="str">
        <f>Wetseason!L420</f>
        <v>R339</v>
      </c>
      <c r="J274">
        <f>IFERROR(INDEX('Green_rooibos initial weight'!$C$5:$C$2000,MATCH(H274, 'Green_rooibos initial weight'!$A$5:$A$2000,0)),"")</f>
        <v>2.0649999999999999</v>
      </c>
      <c r="K274">
        <f>IFERROR(INDEX('Green_rooibos initial weight'!$C$5:$C$2000,MATCH(I274, 'Green_rooibos initial weight'!$A$5:$A$2000,0)),"")</f>
        <v>2.214</v>
      </c>
      <c r="L274" s="194">
        <f t="shared" si="44"/>
        <v>1.8151999999999999</v>
      </c>
      <c r="M274" s="194">
        <f>AVERAGE(Ashed_controlls!$K$2:$K$11)</f>
        <v>5.5147656768714146</v>
      </c>
      <c r="N274" s="194">
        <f t="shared" si="41"/>
        <v>1.7150959734334301</v>
      </c>
      <c r="O274" s="194">
        <f t="shared" si="45"/>
        <v>1.9641999999999999</v>
      </c>
      <c r="P274" s="194">
        <f>AVERAGE(Ashed_controlls!$K$12:$K$14)</f>
        <v>2.2816647271287041</v>
      </c>
      <c r="Q274" s="194">
        <f t="shared" si="46"/>
        <v>1.919383541429738</v>
      </c>
      <c r="R274" s="16">
        <f>IF('WetLitterbags placem_collection'!G201="","",'WetLitterbags placem_collection'!G201)</f>
        <v>42814</v>
      </c>
      <c r="S274" s="194">
        <f>IFERROR(INDEX('Both teabags AfterWet'!$C$3:$C$2000,MATCH(H274,'Both teabags AfterWet'!$A$3:$A$2000,0)),"")</f>
        <v>0.67900000000000005</v>
      </c>
      <c r="T274" s="194">
        <f>IFERROR(INDEX('Both teabags AfterWet'!$C$3:$C$2000,MATCH(I274,'Both teabags AfterWet'!$A$3:$A$2000,0)),"")</f>
        <v>1.6160000000000001</v>
      </c>
      <c r="U274" s="194">
        <f t="shared" si="47"/>
        <v>0.52839999999999998</v>
      </c>
      <c r="V274" s="194">
        <f t="shared" si="48"/>
        <v>1.4654</v>
      </c>
      <c r="W274" s="194">
        <f>IFERROR(INDEX('Ashed teabags wet'!$K$2:$K$2000,MATCH(H274,'Ashed teabags wet'!$A$2:$A$2000,0)),"")</f>
        <v>11.636001989060295</v>
      </c>
      <c r="X274" s="233">
        <f>IFERROR(INDEX('Ashed teabags wet'!$K$2:$K$2000,MATCH(I274,'Ashed teabags wet'!$A$2:$A$2000,0)),"")</f>
        <v>3.6390101892290181</v>
      </c>
      <c r="Y274" s="194">
        <f t="shared" si="53"/>
        <v>0.46691536548980539</v>
      </c>
      <c r="Z274" s="194">
        <f t="shared" si="53"/>
        <v>1.4120739446870381</v>
      </c>
      <c r="AA274" s="194">
        <f t="shared" si="49"/>
        <v>0.72776137736765067</v>
      </c>
      <c r="AB274" s="194">
        <f t="shared" si="50"/>
        <v>0.47710722126715349</v>
      </c>
      <c r="AC274" s="194">
        <f t="shared" si="42"/>
        <v>0.73569138955687419</v>
      </c>
      <c r="AD274">
        <f t="shared" si="43"/>
        <v>45</v>
      </c>
      <c r="AE274" s="194">
        <f t="shared" si="51"/>
        <v>0.13567532379138869</v>
      </c>
      <c r="AF274" s="194">
        <f t="shared" si="52"/>
        <v>1.7942111528792205E-2</v>
      </c>
      <c r="AG274" s="245" t="str">
        <f>IF(ISNUMBER(SEARCH("C",'WetLitterbags placem_collection'!$X201)),"YES","NO")</f>
        <v>NO</v>
      </c>
      <c r="AH274" s="245" t="str">
        <f>IF(ISNUMBER(SEARCH("H", 'WetLitterbags placem_collection'!$X201)),"YES","NO")</f>
        <v>NO</v>
      </c>
      <c r="AI274" s="245" t="str">
        <f>IF(ISNUMBER(SEARCH("R", 'WetLitterbags placem_collection'!$X201)),"YES","NO")</f>
        <v>NO</v>
      </c>
      <c r="AJ274" s="245" t="str">
        <f>IF(ISNUMBER(SEARCH("C", 'WetLitterbags placem_collection'!$V201)),"YES","NO")</f>
        <v>NO</v>
      </c>
      <c r="AK274" s="245" t="str">
        <f>IF(ISNUMBER(SEARCH("H", 'WetLitterbags placem_collection'!$V201)),"YES","NO")</f>
        <v>NO</v>
      </c>
      <c r="AL274" s="245" t="str">
        <f>IF(ISNUMBER(SEARCH("R", 'WetLitterbags placem_collection'!$V201)),"YES","NO")</f>
        <v>YES</v>
      </c>
    </row>
    <row r="275" spans="2:38">
      <c r="B275" t="str">
        <f>Wetseason!B201</f>
        <v>Wet</v>
      </c>
      <c r="C275" s="253">
        <f>Wetseason!C201</f>
        <v>200</v>
      </c>
      <c r="D275" t="s">
        <v>2441</v>
      </c>
      <c r="E275" t="s">
        <v>22</v>
      </c>
      <c r="F275" s="375">
        <v>4</v>
      </c>
      <c r="G275" s="16">
        <f>'WetLitterbags placem_collection'!E202</f>
        <v>42769</v>
      </c>
      <c r="H275" t="str">
        <f>Wetseason!L201</f>
        <v>G816</v>
      </c>
      <c r="I275" t="str">
        <f>Wetseason!L421</f>
        <v>R303</v>
      </c>
      <c r="J275">
        <f>IFERROR(INDEX('Green_rooibos initial weight'!$C$5:$C$2000,MATCH(H275, 'Green_rooibos initial weight'!$A$5:$A$2000,0)),"")</f>
        <v>2.0139999999999998</v>
      </c>
      <c r="K275">
        <f>IFERROR(INDEX('Green_rooibos initial weight'!$C$5:$C$2000,MATCH(I275, 'Green_rooibos initial weight'!$A$5:$A$2000,0)),"")</f>
        <v>2.2490000000000001</v>
      </c>
      <c r="L275" s="194">
        <f t="shared" si="44"/>
        <v>1.7641999999999998</v>
      </c>
      <c r="M275" s="194">
        <f>AVERAGE(Ashed_controlls!$K$2:$K$11)</f>
        <v>5.5147656768714146</v>
      </c>
      <c r="N275" s="194">
        <f t="shared" si="41"/>
        <v>1.6669085039286342</v>
      </c>
      <c r="O275" s="194">
        <f t="shared" si="45"/>
        <v>1.9992000000000001</v>
      </c>
      <c r="P275" s="194">
        <f>AVERAGE(Ashed_controlls!$K$12:$K$14)</f>
        <v>2.2816647271287041</v>
      </c>
      <c r="Q275" s="194">
        <f t="shared" si="46"/>
        <v>1.953584958775243</v>
      </c>
      <c r="R275" s="16">
        <f>IF('WetLitterbags placem_collection'!G202="","",'WetLitterbags placem_collection'!G202)</f>
        <v>42813</v>
      </c>
      <c r="S275" s="194">
        <f>IFERROR(INDEX('Both teabags AfterWet'!$C$3:$C$2000,MATCH(H275,'Both teabags AfterWet'!$A$3:$A$2000,0)),"")</f>
        <v>0.67120000000000002</v>
      </c>
      <c r="T275" s="194">
        <f>IFERROR(INDEX('Both teabags AfterWet'!$C$3:$C$2000,MATCH(I275,'Both teabags AfterWet'!$A$3:$A$2000,0)),"")</f>
        <v>1.5651999999999999</v>
      </c>
      <c r="U275" s="194">
        <f t="shared" si="47"/>
        <v>0.52059999999999995</v>
      </c>
      <c r="V275" s="194">
        <f t="shared" si="48"/>
        <v>1.4145999999999999</v>
      </c>
      <c r="W275" s="194">
        <f>IFERROR(INDEX('Ashed teabags wet'!$K$2:$K$2000,MATCH(H275,'Ashed teabags wet'!$A$2:$A$2000,0)),"")</f>
        <v>11.089206505668416</v>
      </c>
      <c r="X275" s="233">
        <f>IFERROR(INDEX('Ashed teabags wet'!$K$2:$K$2000,MATCH(I275,'Ashed teabags wet'!$A$2:$A$2000,0)),"")</f>
        <v>4.4411177644712749</v>
      </c>
      <c r="Y275" s="194">
        <f t="shared" si="53"/>
        <v>0.46286959093149016</v>
      </c>
      <c r="Z275" s="194">
        <f t="shared" si="53"/>
        <v>1.3517759481037892</v>
      </c>
      <c r="AA275" s="194">
        <f t="shared" si="49"/>
        <v>0.72231853767583454</v>
      </c>
      <c r="AB275" s="194">
        <f t="shared" si="50"/>
        <v>0.47353899382073716</v>
      </c>
      <c r="AC275" s="194">
        <f t="shared" si="42"/>
        <v>0.69194633283379459</v>
      </c>
      <c r="AD275">
        <f t="shared" si="43"/>
        <v>44</v>
      </c>
      <c r="AE275" s="194">
        <f t="shared" si="51"/>
        <v>0.14213950394793995</v>
      </c>
      <c r="AF275" s="194">
        <f t="shared" si="52"/>
        <v>2.3894357530924039E-2</v>
      </c>
      <c r="AG275" s="245" t="str">
        <f>IF(ISNUMBER(SEARCH("C",'WetLitterbags placem_collection'!$X202)),"YES","NO")</f>
        <v>NO</v>
      </c>
      <c r="AH275" s="245" t="str">
        <f>IF(ISNUMBER(SEARCH("H", 'WetLitterbags placem_collection'!$X202)),"YES","NO")</f>
        <v>NO</v>
      </c>
      <c r="AI275" s="245" t="str">
        <f>IF(ISNUMBER(SEARCH("R", 'WetLitterbags placem_collection'!$X202)),"YES","NO")</f>
        <v>YES</v>
      </c>
      <c r="AJ275" s="245" t="str">
        <f>IF(ISNUMBER(SEARCH("C", 'WetLitterbags placem_collection'!$V202)),"YES","NO")</f>
        <v>NO</v>
      </c>
      <c r="AK275" s="245" t="str">
        <f>IF(ISNUMBER(SEARCH("H", 'WetLitterbags placem_collection'!$V202)),"YES","NO")</f>
        <v>NO</v>
      </c>
      <c r="AL275" s="245" t="str">
        <f>IF(ISNUMBER(SEARCH("R", 'WetLitterbags placem_collection'!$V202)),"YES","NO")</f>
        <v>YES</v>
      </c>
    </row>
    <row r="276" spans="2:38">
      <c r="B276" t="str">
        <f>Wetseason!B202</f>
        <v>Wet</v>
      </c>
      <c r="C276" s="253">
        <f>Wetseason!C202</f>
        <v>201</v>
      </c>
      <c r="D276" t="s">
        <v>2442</v>
      </c>
      <c r="E276" t="s">
        <v>22</v>
      </c>
      <c r="F276" s="375">
        <v>1</v>
      </c>
      <c r="G276" s="16">
        <f>'WetLitterbags placem_collection'!E203</f>
        <v>42769</v>
      </c>
      <c r="H276" t="str">
        <f>Wetseason!L202</f>
        <v>G811</v>
      </c>
      <c r="I276" t="str">
        <f>Wetseason!L422</f>
        <v>R218</v>
      </c>
      <c r="J276">
        <f>IFERROR(INDEX('Green_rooibos initial weight'!$C$5:$C$2000,MATCH(H276, 'Green_rooibos initial weight'!$A$5:$A$2000,0)),"")</f>
        <v>1.9930000000000001</v>
      </c>
      <c r="K276">
        <f>IFERROR(INDEX('Green_rooibos initial weight'!$C$5:$C$2000,MATCH(I276, 'Green_rooibos initial weight'!$A$5:$A$2000,0)),"")</f>
        <v>2.2309999999999999</v>
      </c>
      <c r="L276" s="194">
        <f t="shared" si="44"/>
        <v>1.7432000000000001</v>
      </c>
      <c r="M276" s="194">
        <f>AVERAGE(Ashed_controlls!$K$2:$K$11)</f>
        <v>5.5147656768714146</v>
      </c>
      <c r="N276" s="194">
        <f t="shared" si="41"/>
        <v>1.6470666047207776</v>
      </c>
      <c r="O276" s="194">
        <f t="shared" si="45"/>
        <v>1.9811999999999999</v>
      </c>
      <c r="P276" s="194">
        <f>AVERAGE(Ashed_controlls!$K$12:$K$14)</f>
        <v>2.2816647271287041</v>
      </c>
      <c r="Q276" s="194">
        <f t="shared" si="46"/>
        <v>1.935995658426126</v>
      </c>
      <c r="R276" s="16">
        <f>IF('WetLitterbags placem_collection'!G203="","",'WetLitterbags placem_collection'!G203)</f>
        <v>42813</v>
      </c>
      <c r="S276" s="194">
        <f>IFERROR(INDEX('Both teabags AfterWet'!$C$3:$C$2000,MATCH(H276,'Both teabags AfterWet'!$A$3:$A$2000,0)),"")</f>
        <v>0.56630000000000003</v>
      </c>
      <c r="T276" s="194">
        <f>IFERROR(INDEX('Both teabags AfterWet'!$C$3:$C$2000,MATCH(I276,'Both teabags AfterWet'!$A$3:$A$2000,0)),"")</f>
        <v>1.5928</v>
      </c>
      <c r="U276" s="194">
        <f t="shared" si="47"/>
        <v>0.41570000000000001</v>
      </c>
      <c r="V276" s="194">
        <f t="shared" si="48"/>
        <v>1.4421999999999999</v>
      </c>
      <c r="W276" s="194">
        <f>IFERROR(INDEX('Ashed teabags wet'!$K$2:$K$2000,MATCH(H276,'Ashed teabags wet'!$A$2:$A$2000,0)),"")</f>
        <v>11.712158808933365</v>
      </c>
      <c r="X276" s="233">
        <f>IFERROR(INDEX('Ashed teabags wet'!$K$2:$K$2000,MATCH(I276,'Ashed teabags wet'!$A$2:$A$2000,0)),"")</f>
        <v>3.3009708737867043</v>
      </c>
      <c r="Y276" s="194">
        <f t="shared" si="53"/>
        <v>0.36701255583126402</v>
      </c>
      <c r="Z276" s="194">
        <f t="shared" si="53"/>
        <v>1.3945933980582481</v>
      </c>
      <c r="AA276" s="194">
        <f t="shared" si="49"/>
        <v>0.7771720009504518</v>
      </c>
      <c r="AB276" s="194">
        <f t="shared" si="50"/>
        <v>0.50949993411478556</v>
      </c>
      <c r="AC276" s="194">
        <f t="shared" si="42"/>
        <v>0.72034944499410059</v>
      </c>
      <c r="AD276">
        <f t="shared" si="43"/>
        <v>44</v>
      </c>
      <c r="AE276" s="194">
        <f t="shared" si="51"/>
        <v>7.699287298046098E-2</v>
      </c>
      <c r="AF276" s="194">
        <f t="shared" si="52"/>
        <v>1.809103414520458E-2</v>
      </c>
      <c r="AG276" s="245" t="str">
        <f>IF(ISNUMBER(SEARCH("C",'WetLitterbags placem_collection'!$X203)),"YES","NO")</f>
        <v>NO</v>
      </c>
      <c r="AH276" s="245" t="str">
        <f>IF(ISNUMBER(SEARCH("H", 'WetLitterbags placem_collection'!$X203)),"YES","NO")</f>
        <v>NO</v>
      </c>
      <c r="AI276" s="245" t="str">
        <f>IF(ISNUMBER(SEARCH("R", 'WetLitterbags placem_collection'!$X203)),"YES","NO")</f>
        <v>YES</v>
      </c>
      <c r="AJ276" s="245" t="str">
        <f>IF(ISNUMBER(SEARCH("C", 'WetLitterbags placem_collection'!$V203)),"YES","NO")</f>
        <v>NO</v>
      </c>
      <c r="AK276" s="245" t="str">
        <f>IF(ISNUMBER(SEARCH("H", 'WetLitterbags placem_collection'!$V203)),"YES","NO")</f>
        <v>NO</v>
      </c>
      <c r="AL276" s="245" t="str">
        <f>IF(ISNUMBER(SEARCH("R", 'WetLitterbags placem_collection'!$V203)),"YES","NO")</f>
        <v>YES</v>
      </c>
    </row>
    <row r="277" spans="2:38">
      <c r="B277" t="str">
        <f>Wetseason!B203</f>
        <v>Wet</v>
      </c>
      <c r="C277" s="253">
        <f>Wetseason!C203</f>
        <v>202</v>
      </c>
      <c r="D277" t="s">
        <v>2419</v>
      </c>
      <c r="E277" t="s">
        <v>22</v>
      </c>
      <c r="F277" s="375">
        <v>2</v>
      </c>
      <c r="G277" s="16">
        <f>'WetLitterbags placem_collection'!E204</f>
        <v>42769</v>
      </c>
      <c r="H277" t="str">
        <f>Wetseason!L203</f>
        <v>G773</v>
      </c>
      <c r="I277" t="str">
        <f>Wetseason!L423</f>
        <v>R135</v>
      </c>
      <c r="J277">
        <f>IFERROR(INDEX('Green_rooibos initial weight'!$C$5:$C$2000,MATCH(H277, 'Green_rooibos initial weight'!$A$5:$A$2000,0)),"")</f>
        <v>1.718</v>
      </c>
      <c r="K277">
        <f>IFERROR(INDEX('Green_rooibos initial weight'!$C$5:$C$2000,MATCH(I277, 'Green_rooibos initial weight'!$A$5:$A$2000,0)),"")</f>
        <v>2.286</v>
      </c>
      <c r="L277" s="194">
        <f t="shared" si="44"/>
        <v>1.4681999999999999</v>
      </c>
      <c r="M277" s="194">
        <f>AVERAGE(Ashed_controlls!$K$2:$K$11)</f>
        <v>5.5147656768714146</v>
      </c>
      <c r="N277" s="194">
        <f t="shared" si="41"/>
        <v>1.3872322103321739</v>
      </c>
      <c r="O277" s="194">
        <f t="shared" si="45"/>
        <v>2.0362</v>
      </c>
      <c r="P277" s="194">
        <f>AVERAGE(Ashed_controlls!$K$12:$K$14)</f>
        <v>2.2816647271287041</v>
      </c>
      <c r="Q277" s="194">
        <f t="shared" si="46"/>
        <v>1.9897407428262053</v>
      </c>
      <c r="R277" s="16">
        <f>IF('WetLitterbags placem_collection'!G204="","",'WetLitterbags placem_collection'!G204)</f>
        <v>42814</v>
      </c>
      <c r="S277" s="194">
        <f>IFERROR(INDEX('Both teabags AfterWet'!$C$3:$C$2000,MATCH(H277,'Both teabags AfterWet'!$A$3:$A$2000,0)),"")</f>
        <v>0.84</v>
      </c>
      <c r="T277" s="194">
        <f>IFERROR(INDEX('Both teabags AfterWet'!$C$3:$C$2000,MATCH(I277,'Both teabags AfterWet'!$A$3:$A$2000,0)),"")</f>
        <v>1.6419999999999999</v>
      </c>
      <c r="U277" s="194">
        <f t="shared" si="47"/>
        <v>0.68940000000000001</v>
      </c>
      <c r="V277" s="194">
        <f t="shared" si="48"/>
        <v>1.4913999999999998</v>
      </c>
      <c r="W277" s="194">
        <f>IFERROR(INDEX('Ashed teabags wet'!$K$2:$K$2000,MATCH(H277,'Ashed teabags wet'!$A$2:$A$2000,0)),"")</f>
        <v>12.200000000000349</v>
      </c>
      <c r="X277" s="233">
        <f>IFERROR(INDEX('Ashed teabags wet'!$K$2:$K$2000,MATCH(I277,'Ashed teabags wet'!$A$2:$A$2000,0)),"")</f>
        <v>3.9196472317485203</v>
      </c>
      <c r="Y277" s="194">
        <f t="shared" si="53"/>
        <v>0.60529319999999764</v>
      </c>
      <c r="Z277" s="194">
        <f t="shared" si="53"/>
        <v>1.4329423811857025</v>
      </c>
      <c r="AA277" s="194">
        <f t="shared" si="49"/>
        <v>0.56366843597507033</v>
      </c>
      <c r="AB277" s="194">
        <f t="shared" si="50"/>
        <v>0.3695308511380509</v>
      </c>
      <c r="AC277" s="194">
        <f t="shared" si="42"/>
        <v>0.72016537146963544</v>
      </c>
      <c r="AD277">
        <f t="shared" si="43"/>
        <v>45</v>
      </c>
      <c r="AE277" s="194">
        <f t="shared" si="51"/>
        <v>0.33056005228613972</v>
      </c>
      <c r="AF277" s="194">
        <f t="shared" si="52"/>
        <v>3.1462346097913312E-2</v>
      </c>
      <c r="AG277" s="245" t="str">
        <f>IF(ISNUMBER(SEARCH("C",'WetLitterbags placem_collection'!$X204)),"YES","NO")</f>
        <v>NO</v>
      </c>
      <c r="AH277" s="245" t="str">
        <f>IF(ISNUMBER(SEARCH("H", 'WetLitterbags placem_collection'!$X204)),"YES","NO")</f>
        <v>NO</v>
      </c>
      <c r="AI277" s="245" t="str">
        <f>IF(ISNUMBER(SEARCH("R", 'WetLitterbags placem_collection'!$X204)),"YES","NO")</f>
        <v>YES</v>
      </c>
      <c r="AJ277" s="245" t="str">
        <f>IF(ISNUMBER(SEARCH("C", 'WetLitterbags placem_collection'!$V204)),"YES","NO")</f>
        <v>NO</v>
      </c>
      <c r="AK277" s="245" t="str">
        <f>IF(ISNUMBER(SEARCH("H", 'WetLitterbags placem_collection'!$V204)),"YES","NO")</f>
        <v>NO</v>
      </c>
      <c r="AL277" s="245" t="str">
        <f>IF(ISNUMBER(SEARCH("R", 'WetLitterbags placem_collection'!$V204)),"YES","NO")</f>
        <v>YES</v>
      </c>
    </row>
    <row r="278" spans="2:38">
      <c r="B278" t="str">
        <f>Wetseason!B204</f>
        <v>Wet</v>
      </c>
      <c r="C278" s="253">
        <f>Wetseason!C204</f>
        <v>203</v>
      </c>
      <c r="D278" t="s">
        <v>2428</v>
      </c>
      <c r="E278" t="s">
        <v>22</v>
      </c>
      <c r="F278" s="375">
        <v>3</v>
      </c>
      <c r="G278" s="16">
        <f>'WetLitterbags placem_collection'!E205</f>
        <v>42769</v>
      </c>
      <c r="H278" t="str">
        <f>Wetseason!L204</f>
        <v>G645</v>
      </c>
      <c r="I278" t="str">
        <f>Wetseason!L424</f>
        <v>R372</v>
      </c>
      <c r="J278">
        <f>IFERROR(INDEX('Green_rooibos initial weight'!$C$5:$C$2000,MATCH(H278, 'Green_rooibos initial weight'!$A$5:$A$2000,0)),"")</f>
        <v>2.238</v>
      </c>
      <c r="K278">
        <f>IFERROR(INDEX('Green_rooibos initial weight'!$C$5:$C$2000,MATCH(I278, 'Green_rooibos initial weight'!$A$5:$A$2000,0)),"")</f>
        <v>2.202</v>
      </c>
      <c r="L278" s="194">
        <f t="shared" si="44"/>
        <v>1.9882</v>
      </c>
      <c r="M278" s="194">
        <f>AVERAGE(Ashed_controlls!$K$2:$K$11)</f>
        <v>5.5147656768714146</v>
      </c>
      <c r="N278" s="194">
        <f t="shared" si="41"/>
        <v>1.8785554288124424</v>
      </c>
      <c r="O278" s="194">
        <f t="shared" si="45"/>
        <v>1.9521999999999999</v>
      </c>
      <c r="P278" s="194">
        <f>AVERAGE(Ashed_controlls!$K$12:$K$14)</f>
        <v>2.2816647271287041</v>
      </c>
      <c r="Q278" s="194">
        <f t="shared" si="46"/>
        <v>1.9076573411969935</v>
      </c>
      <c r="R278" s="16">
        <f>IF('WetLitterbags placem_collection'!G205="","",'WetLitterbags placem_collection'!G205)</f>
        <v>42814</v>
      </c>
      <c r="S278" s="194">
        <f>IFERROR(INDEX('Both teabags AfterWet'!$C$3:$C$2000,MATCH(H278,'Both teabags AfterWet'!$A$3:$A$2000,0)),"")</f>
        <v>0.80930000000000002</v>
      </c>
      <c r="T278" s="194">
        <f>IFERROR(INDEX('Both teabags AfterWet'!$C$3:$C$2000,MATCH(I278,'Both teabags AfterWet'!$A$3:$A$2000,0)),"")</f>
        <v>1.6213</v>
      </c>
      <c r="U278" s="194">
        <f t="shared" si="47"/>
        <v>0.65870000000000006</v>
      </c>
      <c r="V278" s="194">
        <f t="shared" si="48"/>
        <v>1.4706999999999999</v>
      </c>
      <c r="W278" s="194">
        <f>IFERROR(INDEX('Ashed teabags wet'!$K$2:$K$2000,MATCH(H278,'Ashed teabags wet'!$A$2:$A$2000,0)),"")</f>
        <v>11.067388096409434</v>
      </c>
      <c r="X278" s="233">
        <f>IFERROR(INDEX('Ashed teabags wet'!$K$2:$K$2000,MATCH(I278,'Ashed teabags wet'!$A$2:$A$2000,0)),"")</f>
        <v>4.1958041958038725</v>
      </c>
      <c r="Y278" s="194">
        <f t="shared" si="53"/>
        <v>0.58579911460895107</v>
      </c>
      <c r="Z278" s="194">
        <f t="shared" si="53"/>
        <v>1.4089923076923123</v>
      </c>
      <c r="AA278" s="194">
        <f t="shared" si="49"/>
        <v>0.68816511579896633</v>
      </c>
      <c r="AB278" s="194">
        <f t="shared" si="50"/>
        <v>0.45114862698459551</v>
      </c>
      <c r="AC278" s="194">
        <f t="shared" si="42"/>
        <v>0.7385982153420777</v>
      </c>
      <c r="AD278">
        <f t="shared" si="43"/>
        <v>45</v>
      </c>
      <c r="AE278" s="194">
        <f t="shared" si="51"/>
        <v>0.18270176270906613</v>
      </c>
      <c r="AF278" s="194">
        <f t="shared" si="52"/>
        <v>1.9246801336898055E-2</v>
      </c>
      <c r="AG278" s="245" t="str">
        <f>IF(ISNUMBER(SEARCH("C",'WetLitterbags placem_collection'!$X205)),"YES","NO")</f>
        <v>NO</v>
      </c>
      <c r="AH278" s="245" t="str">
        <f>IF(ISNUMBER(SEARCH("H", 'WetLitterbags placem_collection'!$X205)),"YES","NO")</f>
        <v>NO</v>
      </c>
      <c r="AI278" s="245" t="str">
        <f>IF(ISNUMBER(SEARCH("R", 'WetLitterbags placem_collection'!$X205)),"YES","NO")</f>
        <v>YES</v>
      </c>
      <c r="AJ278" s="245" t="str">
        <f>IF(ISNUMBER(SEARCH("C", 'WetLitterbags placem_collection'!$V205)),"YES","NO")</f>
        <v>NO</v>
      </c>
      <c r="AK278" s="245" t="str">
        <f>IF(ISNUMBER(SEARCH("H", 'WetLitterbags placem_collection'!$V205)),"YES","NO")</f>
        <v>NO</v>
      </c>
      <c r="AL278" s="245" t="str">
        <f>IF(ISNUMBER(SEARCH("R", 'WetLitterbags placem_collection'!$V205)),"YES","NO")</f>
        <v>YES</v>
      </c>
    </row>
    <row r="279" spans="2:38">
      <c r="B279" t="str">
        <f>Wetseason!B205</f>
        <v>Wet</v>
      </c>
      <c r="C279" s="253">
        <f>Wetseason!C205</f>
        <v>204</v>
      </c>
      <c r="D279" t="s">
        <v>2435</v>
      </c>
      <c r="E279" t="s">
        <v>22</v>
      </c>
      <c r="F279" s="375">
        <v>4</v>
      </c>
      <c r="G279" s="16">
        <f>'WetLitterbags placem_collection'!E206</f>
        <v>42769</v>
      </c>
      <c r="H279" t="str">
        <f>Wetseason!L205</f>
        <v>G814</v>
      </c>
      <c r="I279" t="str">
        <f>Wetseason!L425</f>
        <v>R334</v>
      </c>
      <c r="J279">
        <f>IFERROR(INDEX('Green_rooibos initial weight'!$C$5:$C$2000,MATCH(H279, 'Green_rooibos initial weight'!$A$5:$A$2000,0)),"")</f>
        <v>2.1480000000000001</v>
      </c>
      <c r="K279">
        <f>IFERROR(INDEX('Green_rooibos initial weight'!$C$5:$C$2000,MATCH(I279, 'Green_rooibos initial weight'!$A$5:$A$2000,0)),"")</f>
        <v>2.1419999999999999</v>
      </c>
      <c r="L279" s="194">
        <f t="shared" si="44"/>
        <v>1.8982000000000001</v>
      </c>
      <c r="M279" s="194">
        <f>AVERAGE(Ashed_controlls!$K$2:$K$11)</f>
        <v>5.5147656768714146</v>
      </c>
      <c r="N279" s="194">
        <f t="shared" si="41"/>
        <v>1.793518717921627</v>
      </c>
      <c r="O279" s="194">
        <f t="shared" si="45"/>
        <v>1.8921999999999999</v>
      </c>
      <c r="P279" s="194">
        <f>AVERAGE(Ashed_controlls!$K$12:$K$14)</f>
        <v>2.2816647271287041</v>
      </c>
      <c r="Q279" s="194">
        <f t="shared" si="46"/>
        <v>1.8490263400332705</v>
      </c>
      <c r="R279" s="16">
        <f>IF('WetLitterbags placem_collection'!G206="","",'WetLitterbags placem_collection'!G206)</f>
        <v>42813</v>
      </c>
      <c r="S279" s="194">
        <f>IFERROR(INDEX('Both teabags AfterWet'!$C$3:$C$2000,MATCH(H279,'Both teabags AfterWet'!$A$3:$A$2000,0)),"")</f>
        <v>0.68300000000000005</v>
      </c>
      <c r="T279" s="194">
        <f>IFERROR(INDEX('Both teabags AfterWet'!$C$3:$C$2000,MATCH(I279,'Both teabags AfterWet'!$A$3:$A$2000,0)),"")</f>
        <v>1.544</v>
      </c>
      <c r="U279" s="194">
        <f t="shared" si="47"/>
        <v>0.53239999999999998</v>
      </c>
      <c r="V279" s="194">
        <f t="shared" si="48"/>
        <v>1.3934</v>
      </c>
      <c r="W279" s="194">
        <f>IFERROR(INDEX('Ashed teabags wet'!$K$2:$K$2000,MATCH(H279,'Ashed teabags wet'!$A$2:$A$2000,0)),"")</f>
        <v>11.500000000000204</v>
      </c>
      <c r="X279" s="233">
        <f>IFERROR(INDEX('Ashed teabags wet'!$K$2:$K$2000,MATCH(I279,'Ashed teabags wet'!$A$2:$A$2000,0)),"")</f>
        <v>5.4642166344294019</v>
      </c>
      <c r="Y279" s="194">
        <f t="shared" si="53"/>
        <v>0.47117399999999887</v>
      </c>
      <c r="Z279" s="194">
        <f t="shared" si="53"/>
        <v>1.3172616054158608</v>
      </c>
      <c r="AA279" s="194">
        <f t="shared" si="49"/>
        <v>0.73729072616202929</v>
      </c>
      <c r="AB279" s="194">
        <f t="shared" si="50"/>
        <v>0.4833544903104991</v>
      </c>
      <c r="AC279" s="194">
        <f t="shared" si="42"/>
        <v>0.7124082425954833</v>
      </c>
      <c r="AD279">
        <f t="shared" si="43"/>
        <v>44</v>
      </c>
      <c r="AE279" s="194">
        <f t="shared" si="51"/>
        <v>0.12435780740851621</v>
      </c>
      <c r="AF279" s="194">
        <f t="shared" si="52"/>
        <v>2.0541975893531447E-2</v>
      </c>
      <c r="AG279" s="245" t="str">
        <f>IF(ISNUMBER(SEARCH("C",'WetLitterbags placem_collection'!$X206)),"YES","NO")</f>
        <v>NO</v>
      </c>
      <c r="AH279" s="245" t="str">
        <f>IF(ISNUMBER(SEARCH("H", 'WetLitterbags placem_collection'!$X206)),"YES","NO")</f>
        <v>NO</v>
      </c>
      <c r="AI279" s="245" t="str">
        <f>IF(ISNUMBER(SEARCH("R", 'WetLitterbags placem_collection'!$X206)),"YES","NO")</f>
        <v>YES</v>
      </c>
      <c r="AJ279" s="245" t="str">
        <f>IF(ISNUMBER(SEARCH("C", 'WetLitterbags placem_collection'!$V206)),"YES","NO")</f>
        <v>NO</v>
      </c>
      <c r="AK279" s="245" t="str">
        <f>IF(ISNUMBER(SEARCH("H", 'WetLitterbags placem_collection'!$V206)),"YES","NO")</f>
        <v>NO</v>
      </c>
      <c r="AL279" s="245" t="str">
        <f>IF(ISNUMBER(SEARCH("R", 'WetLitterbags placem_collection'!$V206)),"YES","NO")</f>
        <v>YES</v>
      </c>
    </row>
    <row r="280" spans="2:38">
      <c r="B280" t="str">
        <f>Wetseason!B206</f>
        <v>Wet</v>
      </c>
      <c r="C280" s="253">
        <f>Wetseason!C206</f>
        <v>205</v>
      </c>
      <c r="D280" t="s">
        <v>2429</v>
      </c>
      <c r="E280" t="s">
        <v>22</v>
      </c>
      <c r="F280" s="375">
        <v>1</v>
      </c>
      <c r="G280" s="16">
        <f>'WetLitterbags placem_collection'!E207</f>
        <v>42769</v>
      </c>
      <c r="H280" t="str">
        <f>Wetseason!L206</f>
        <v>G621</v>
      </c>
      <c r="I280" t="str">
        <f>Wetseason!L426</f>
        <v>R265</v>
      </c>
      <c r="J280">
        <f>IFERROR(INDEX('Green_rooibos initial weight'!$C$5:$C$2000,MATCH(H280, 'Green_rooibos initial weight'!$A$5:$A$2000,0)),"")</f>
        <v>1.925</v>
      </c>
      <c r="K280">
        <f>IFERROR(INDEX('Green_rooibos initial weight'!$C$5:$C$2000,MATCH(I280, 'Green_rooibos initial weight'!$A$5:$A$2000,0)),"")</f>
        <v>2.2210000000000001</v>
      </c>
      <c r="L280" s="194">
        <f t="shared" si="44"/>
        <v>1.6752</v>
      </c>
      <c r="M280" s="194">
        <f>AVERAGE(Ashed_controlls!$K$2:$K$11)</f>
        <v>5.5147656768714146</v>
      </c>
      <c r="N280" s="194">
        <f t="shared" si="41"/>
        <v>1.5828166453810502</v>
      </c>
      <c r="O280" s="194">
        <f t="shared" si="45"/>
        <v>1.9712000000000001</v>
      </c>
      <c r="P280" s="194">
        <f>AVERAGE(Ashed_controlls!$K$12:$K$14)</f>
        <v>2.2816647271287041</v>
      </c>
      <c r="Q280" s="194">
        <f t="shared" si="46"/>
        <v>1.926223824898839</v>
      </c>
      <c r="R280" s="16">
        <f>IF('WetLitterbags placem_collection'!G207="","",'WetLitterbags placem_collection'!G207)</f>
        <v>42814</v>
      </c>
      <c r="S280" s="194">
        <f>IFERROR(INDEX('Both teabags AfterWet'!$C$3:$C$2000,MATCH(H280,'Both teabags AfterWet'!$A$3:$A$2000,0)),"")</f>
        <v>0.74099999999999999</v>
      </c>
      <c r="T280" s="194">
        <f>IFERROR(INDEX('Both teabags AfterWet'!$C$3:$C$2000,MATCH(I280,'Both teabags AfterWet'!$A$3:$A$2000,0)),"")</f>
        <v>1.6680999999999999</v>
      </c>
      <c r="U280" s="194">
        <f t="shared" si="47"/>
        <v>0.59040000000000004</v>
      </c>
      <c r="V280" s="194">
        <f t="shared" si="48"/>
        <v>1.5174999999999998</v>
      </c>
      <c r="W280" s="194">
        <f>IFERROR(INDEX('Ashed teabags wet'!$K$2:$K$2000,MATCH(H280,'Ashed teabags wet'!$A$2:$A$2000,0)),"")</f>
        <v>22.042218949435743</v>
      </c>
      <c r="X280" s="233">
        <f>IFERROR(INDEX('Ashed teabags wet'!$K$2:$K$2000,MATCH(I280,'Ashed teabags wet'!$A$2:$A$2000,0)),"")</f>
        <v>13.867187500000384</v>
      </c>
      <c r="Y280" s="194">
        <f t="shared" si="53"/>
        <v>0.46026273932253137</v>
      </c>
      <c r="Z280" s="194">
        <f t="shared" si="53"/>
        <v>1.3070654296874942</v>
      </c>
      <c r="AA280" s="194">
        <f t="shared" si="49"/>
        <v>0.70921285123854205</v>
      </c>
      <c r="AB280" s="194">
        <f t="shared" si="50"/>
        <v>0.46494714237966184</v>
      </c>
      <c r="AC280" s="194">
        <f t="shared" si="42"/>
        <v>0.67856362941421844</v>
      </c>
      <c r="AD280">
        <f t="shared" si="43"/>
        <v>45</v>
      </c>
      <c r="AE280" s="194">
        <f t="shared" si="51"/>
        <v>0.15770445221075757</v>
      </c>
      <c r="AF280" s="194">
        <f t="shared" si="52"/>
        <v>2.6122525103915436E-2</v>
      </c>
      <c r="AG280" s="245" t="str">
        <f>IF(ISNUMBER(SEARCH("C",'WetLitterbags placem_collection'!$X207)),"YES","NO")</f>
        <v>NO</v>
      </c>
      <c r="AH280" s="245" t="str">
        <f>IF(ISNUMBER(SEARCH("H", 'WetLitterbags placem_collection'!$X207)),"YES","NO")</f>
        <v>NO</v>
      </c>
      <c r="AI280" s="245" t="str">
        <f>IF(ISNUMBER(SEARCH("R", 'WetLitterbags placem_collection'!$X207)),"YES","NO")</f>
        <v>YES</v>
      </c>
      <c r="AJ280" s="245" t="str">
        <f>IF(ISNUMBER(SEARCH("C", 'WetLitterbags placem_collection'!$V207)),"YES","NO")</f>
        <v>NO</v>
      </c>
      <c r="AK280" s="245" t="str">
        <f>IF(ISNUMBER(SEARCH("H", 'WetLitterbags placem_collection'!$V207)),"YES","NO")</f>
        <v>YES</v>
      </c>
      <c r="AL280" s="245" t="str">
        <f>IF(ISNUMBER(SEARCH("R", 'WetLitterbags placem_collection'!$V207)),"YES","NO")</f>
        <v>YES</v>
      </c>
    </row>
    <row r="281" spans="2:38">
      <c r="B281" t="str">
        <f>Wetseason!B207</f>
        <v>Wet</v>
      </c>
      <c r="C281" s="253">
        <f>Wetseason!C207</f>
        <v>206</v>
      </c>
      <c r="D281" t="s">
        <v>2420</v>
      </c>
      <c r="E281" t="s">
        <v>22</v>
      </c>
      <c r="F281" s="375">
        <v>2</v>
      </c>
      <c r="G281" s="16">
        <f>'WetLitterbags placem_collection'!E208</f>
        <v>42769</v>
      </c>
      <c r="H281" t="str">
        <f>Wetseason!L207</f>
        <v>G677</v>
      </c>
      <c r="I281" t="str">
        <f>Wetseason!L427</f>
        <v>R234</v>
      </c>
      <c r="J281">
        <f>IFERROR(INDEX('Green_rooibos initial weight'!$C$5:$C$2000,MATCH(H281, 'Green_rooibos initial weight'!$A$5:$A$2000,0)),"")</f>
        <v>2.1269999999999998</v>
      </c>
      <c r="K281">
        <f>IFERROR(INDEX('Green_rooibos initial weight'!$C$5:$C$2000,MATCH(I281, 'Green_rooibos initial weight'!$A$5:$A$2000,0)),"")</f>
        <v>2.194</v>
      </c>
      <c r="L281" s="194">
        <f t="shared" si="44"/>
        <v>1.8771999999999998</v>
      </c>
      <c r="M281" s="194">
        <f>AVERAGE(Ashed_controlls!$K$2:$K$11)</f>
        <v>5.5147656768714146</v>
      </c>
      <c r="N281" s="194">
        <f t="shared" si="41"/>
        <v>1.7736768187137695</v>
      </c>
      <c r="O281" s="194">
        <f t="shared" si="45"/>
        <v>1.9441999999999999</v>
      </c>
      <c r="P281" s="194">
        <f>AVERAGE(Ashed_controlls!$K$12:$K$14)</f>
        <v>2.2816647271287041</v>
      </c>
      <c r="Q281" s="194">
        <f t="shared" si="46"/>
        <v>1.8998398743751637</v>
      </c>
      <c r="R281" s="16">
        <f>IF('WetLitterbags placem_collection'!G208="","",'WetLitterbags placem_collection'!G208)</f>
        <v>42814</v>
      </c>
      <c r="S281" s="194">
        <f>IFERROR(INDEX('Both teabags AfterWet'!$C$3:$C$2000,MATCH(H281,'Both teabags AfterWet'!$A$3:$A$2000,0)),"")</f>
        <v>0.85699999999999998</v>
      </c>
      <c r="T281" s="194">
        <f>IFERROR(INDEX('Both teabags AfterWet'!$C$3:$C$2000,MATCH(I281,'Both teabags AfterWet'!$A$3:$A$2000,0)),"")</f>
        <v>1.7410000000000001</v>
      </c>
      <c r="U281" s="194">
        <f t="shared" si="47"/>
        <v>0.70639999999999992</v>
      </c>
      <c r="V281" s="194">
        <f t="shared" si="48"/>
        <v>1.5904</v>
      </c>
      <c r="W281" s="194">
        <f>IFERROR(INDEX('Ashed teabags wet'!$K$2:$K$2000,MATCH(H281,'Ashed teabags wet'!$A$2:$A$2000,0)),"")</f>
        <v>17.335314512134694</v>
      </c>
      <c r="X281" s="233">
        <f>IFERROR(INDEX('Ashed teabags wet'!$K$2:$K$2000,MATCH(I281,'Ashed teabags wet'!$A$2:$A$2000,0)),"")</f>
        <v>9.9903006789520461</v>
      </c>
      <c r="Y281" s="194">
        <f t="shared" si="53"/>
        <v>0.58394333828628042</v>
      </c>
      <c r="Z281" s="194">
        <f t="shared" si="53"/>
        <v>1.4315142580019466</v>
      </c>
      <c r="AA281" s="194">
        <f t="shared" si="49"/>
        <v>0.67077241348300243</v>
      </c>
      <c r="AB281" s="194">
        <f t="shared" si="50"/>
        <v>0.43974628532377363</v>
      </c>
      <c r="AC281" s="194">
        <f t="shared" si="42"/>
        <v>0.75349205862560176</v>
      </c>
      <c r="AD281">
        <f t="shared" si="43"/>
        <v>45</v>
      </c>
      <c r="AE281" s="194">
        <f t="shared" si="51"/>
        <v>0.20335817876127971</v>
      </c>
      <c r="AF281" s="194">
        <f t="shared" si="52"/>
        <v>1.8272745924516855E-2</v>
      </c>
      <c r="AG281" s="245" t="str">
        <f>IF(ISNUMBER(SEARCH("C",'WetLitterbags placem_collection'!$X208)),"YES","NO")</f>
        <v>NO</v>
      </c>
      <c r="AH281" s="245" t="str">
        <f>IF(ISNUMBER(SEARCH("H", 'WetLitterbags placem_collection'!$X208)),"YES","NO")</f>
        <v>NO</v>
      </c>
      <c r="AI281" s="245" t="str">
        <f>IF(ISNUMBER(SEARCH("R", 'WetLitterbags placem_collection'!$X208)),"YES","NO")</f>
        <v>YES</v>
      </c>
      <c r="AJ281" s="245" t="str">
        <f>IF(ISNUMBER(SEARCH("C", 'WetLitterbags placem_collection'!$V208)),"YES","NO")</f>
        <v>NO</v>
      </c>
      <c r="AK281" s="245" t="str">
        <f>IF(ISNUMBER(SEARCH("H", 'WetLitterbags placem_collection'!$V208)),"YES","NO")</f>
        <v>NO</v>
      </c>
      <c r="AL281" s="245" t="str">
        <f>IF(ISNUMBER(SEARCH("R", 'WetLitterbags placem_collection'!$V208)),"YES","NO")</f>
        <v>YES</v>
      </c>
    </row>
    <row r="282" spans="2:38">
      <c r="B282" t="str">
        <f>Wetseason!B208</f>
        <v>Wet</v>
      </c>
      <c r="C282" s="253">
        <f>Wetseason!C208</f>
        <v>207</v>
      </c>
      <c r="D282" t="s">
        <v>2443</v>
      </c>
      <c r="E282" t="s">
        <v>22</v>
      </c>
      <c r="F282" s="375">
        <v>3</v>
      </c>
      <c r="G282" s="16">
        <f>'WetLitterbags placem_collection'!E209</f>
        <v>42769</v>
      </c>
      <c r="H282" t="str">
        <f>Wetseason!L208</f>
        <v>G574</v>
      </c>
      <c r="I282" t="str">
        <f>Wetseason!L428</f>
        <v>R258</v>
      </c>
      <c r="J282">
        <f>IFERROR(INDEX('Green_rooibos initial weight'!$C$5:$C$2000,MATCH(H282, 'Green_rooibos initial weight'!$A$5:$A$2000,0)),"")</f>
        <v>1.984</v>
      </c>
      <c r="K282">
        <f>IFERROR(INDEX('Green_rooibos initial weight'!$C$5:$C$2000,MATCH(I282, 'Green_rooibos initial weight'!$A$5:$A$2000,0)),"")</f>
        <v>2.17</v>
      </c>
      <c r="L282" s="194">
        <f t="shared" si="44"/>
        <v>1.7342</v>
      </c>
      <c r="M282" s="194">
        <f>AVERAGE(Ashed_controlls!$K$2:$K$11)</f>
        <v>5.5147656768714146</v>
      </c>
      <c r="N282" s="194">
        <f t="shared" si="41"/>
        <v>1.6385629336316958</v>
      </c>
      <c r="O282" s="194">
        <f t="shared" si="45"/>
        <v>1.9201999999999999</v>
      </c>
      <c r="P282" s="194">
        <f>AVERAGE(Ashed_controlls!$K$12:$K$14)</f>
        <v>2.2816647271287041</v>
      </c>
      <c r="Q282" s="194">
        <f t="shared" si="46"/>
        <v>1.8763874739096746</v>
      </c>
      <c r="R282" s="16">
        <f>IF('WetLitterbags placem_collection'!G209="","",'WetLitterbags placem_collection'!G209)</f>
        <v>42813</v>
      </c>
      <c r="S282" s="194">
        <f>IFERROR(INDEX('Both teabags AfterWet'!$C$3:$C$2000,MATCH(H282,'Both teabags AfterWet'!$A$3:$A$2000,0)),"")</f>
        <v>0.77700000000000002</v>
      </c>
      <c r="T282" s="194">
        <f>IFERROR(INDEX('Both teabags AfterWet'!$C$3:$C$2000,MATCH(I282,'Both teabags AfterWet'!$A$3:$A$2000,0)),"")</f>
        <v>1.5820000000000001</v>
      </c>
      <c r="U282" s="194">
        <f t="shared" si="47"/>
        <v>0.62640000000000007</v>
      </c>
      <c r="V282" s="194">
        <f t="shared" si="48"/>
        <v>1.4314</v>
      </c>
      <c r="W282" s="194">
        <f>IFERROR(INDEX('Ashed teabags wet'!$K$2:$K$2000,MATCH(H282,'Ashed teabags wet'!$A$2:$A$2000,0)),"")</f>
        <v>23.600000000000428</v>
      </c>
      <c r="X282" s="233">
        <f>IFERROR(INDEX('Ashed teabags wet'!$K$2:$K$2000,MATCH(I282,'Ashed teabags wet'!$A$2:$A$2000,0)),"")</f>
        <v>16.261774913237122</v>
      </c>
      <c r="Y282" s="194">
        <f t="shared" si="53"/>
        <v>0.47856959999999737</v>
      </c>
      <c r="Z282" s="194">
        <f t="shared" si="53"/>
        <v>1.1986289538919239</v>
      </c>
      <c r="AA282" s="194">
        <f t="shared" si="49"/>
        <v>0.70793334196856261</v>
      </c>
      <c r="AB282" s="194">
        <f t="shared" si="50"/>
        <v>0.46410831920029288</v>
      </c>
      <c r="AC282" s="194">
        <f t="shared" si="42"/>
        <v>0.63879607520212178</v>
      </c>
      <c r="AD282">
        <f t="shared" si="43"/>
        <v>44</v>
      </c>
      <c r="AE282" s="194">
        <f t="shared" si="51"/>
        <v>0.15922405941975937</v>
      </c>
      <c r="AF282" s="194">
        <f t="shared" si="52"/>
        <v>3.4234491455528017E-2</v>
      </c>
      <c r="AG282" s="245" t="str">
        <f>IF(ISNUMBER(SEARCH("C",'WetLitterbags placem_collection'!$X209)),"YES","NO")</f>
        <v>NO</v>
      </c>
      <c r="AH282" s="245" t="str">
        <f>IF(ISNUMBER(SEARCH("H", 'WetLitterbags placem_collection'!$X209)),"YES","NO")</f>
        <v>NO</v>
      </c>
      <c r="AI282" s="245" t="str">
        <f>IF(ISNUMBER(SEARCH("R", 'WetLitterbags placem_collection'!$X209)),"YES","NO")</f>
        <v>YES</v>
      </c>
      <c r="AJ282" s="245" t="str">
        <f>IF(ISNUMBER(SEARCH("C", 'WetLitterbags placem_collection'!$V209)),"YES","NO")</f>
        <v>NO</v>
      </c>
      <c r="AK282" s="245" t="str">
        <f>IF(ISNUMBER(SEARCH("H", 'WetLitterbags placem_collection'!$V209)),"YES","NO")</f>
        <v>NO</v>
      </c>
      <c r="AL282" s="245" t="str">
        <f>IF(ISNUMBER(SEARCH("R", 'WetLitterbags placem_collection'!$V209)),"YES","NO")</f>
        <v>YES</v>
      </c>
    </row>
    <row r="283" spans="2:38">
      <c r="B283" t="str">
        <f>Wetseason!B209</f>
        <v>Wet</v>
      </c>
      <c r="C283" s="253">
        <f>Wetseason!C209</f>
        <v>208</v>
      </c>
      <c r="D283" t="s">
        <v>2436</v>
      </c>
      <c r="E283" t="s">
        <v>22</v>
      </c>
      <c r="F283" s="375">
        <v>4</v>
      </c>
      <c r="G283" s="16">
        <f>'WetLitterbags placem_collection'!E210</f>
        <v>42769</v>
      </c>
      <c r="H283" t="str">
        <f>Wetseason!L209</f>
        <v>G710</v>
      </c>
      <c r="I283" t="str">
        <f>Wetseason!L429</f>
        <v>R344</v>
      </c>
      <c r="J283">
        <f>IFERROR(INDEX('Green_rooibos initial weight'!$C$5:$C$2000,MATCH(H283, 'Green_rooibos initial weight'!$A$5:$A$2000,0)),"")</f>
        <v>2.0270000000000001</v>
      </c>
      <c r="K283">
        <f>IFERROR(INDEX('Green_rooibos initial weight'!$C$5:$C$2000,MATCH(I283, 'Green_rooibos initial weight'!$A$5:$A$2000,0)),"")</f>
        <v>2.153</v>
      </c>
      <c r="L283" s="194">
        <f t="shared" si="44"/>
        <v>1.7772000000000001</v>
      </c>
      <c r="M283" s="194">
        <f>AVERAGE(Ashed_controlls!$K$2:$K$11)</f>
        <v>5.5147656768714146</v>
      </c>
      <c r="N283" s="194">
        <f t="shared" si="41"/>
        <v>1.6791915843906413</v>
      </c>
      <c r="O283" s="194">
        <f t="shared" si="45"/>
        <v>1.9032</v>
      </c>
      <c r="P283" s="194">
        <f>AVERAGE(Ashed_controlls!$K$12:$K$14)</f>
        <v>2.2816647271287041</v>
      </c>
      <c r="Q283" s="194">
        <f t="shared" si="46"/>
        <v>1.8597753569132864</v>
      </c>
      <c r="R283" s="16">
        <f>IF('WetLitterbags placem_collection'!G210="","",'WetLitterbags placem_collection'!G210)</f>
        <v>42813</v>
      </c>
      <c r="S283" s="194">
        <f>IFERROR(INDEX('Both teabags AfterWet'!$C$3:$C$2000,MATCH(H283,'Both teabags AfterWet'!$A$3:$A$2000,0)),"")</f>
        <v>0.91</v>
      </c>
      <c r="T283" s="194">
        <f>IFERROR(INDEX('Both teabags AfterWet'!$C$3:$C$2000,MATCH(I283,'Both teabags AfterWet'!$A$3:$A$2000,0)),"")</f>
        <v>1.476</v>
      </c>
      <c r="U283" s="194">
        <f t="shared" si="47"/>
        <v>0.75940000000000007</v>
      </c>
      <c r="V283" s="194">
        <f t="shared" si="48"/>
        <v>1.3253999999999999</v>
      </c>
      <c r="W283" s="194">
        <f>IFERROR(INDEX('Ashed teabags wet'!$K$2:$K$2000,MATCH(H283,'Ashed teabags wet'!$A$2:$A$2000,0)),"")</f>
        <v>18.435475834579655</v>
      </c>
      <c r="X283" s="233">
        <f>IFERROR(INDEX('Ashed teabags wet'!$K$2:$K$2000,MATCH(I283,'Ashed teabags wet'!$A$2:$A$2000,0)),"")</f>
        <v>8.5305719921103496</v>
      </c>
      <c r="Y283" s="194">
        <f t="shared" si="53"/>
        <v>0.61940099651220215</v>
      </c>
      <c r="Z283" s="194">
        <f t="shared" si="53"/>
        <v>1.2123357988165693</v>
      </c>
      <c r="AA283" s="194">
        <f t="shared" si="49"/>
        <v>0.63113143117795256</v>
      </c>
      <c r="AB283" s="194">
        <f t="shared" si="50"/>
        <v>0.41375837293376466</v>
      </c>
      <c r="AC283" s="194">
        <f t="shared" si="42"/>
        <v>0.65187217064146497</v>
      </c>
      <c r="AD283">
        <f t="shared" si="43"/>
        <v>44</v>
      </c>
      <c r="AE283" s="194">
        <f t="shared" si="51"/>
        <v>0.25043773019245541</v>
      </c>
      <c r="AF283" s="194">
        <f t="shared" si="52"/>
        <v>4.1846385734386954E-2</v>
      </c>
      <c r="AG283" s="245" t="str">
        <f>IF(ISNUMBER(SEARCH("C",'WetLitterbags placem_collection'!$X210)),"YES","NO")</f>
        <v>NO</v>
      </c>
      <c r="AH283" s="245" t="str">
        <f>IF(ISNUMBER(SEARCH("H", 'WetLitterbags placem_collection'!$X210)),"YES","NO")</f>
        <v>NO</v>
      </c>
      <c r="AI283" s="245" t="str">
        <f>IF(ISNUMBER(SEARCH("R", 'WetLitterbags placem_collection'!$X210)),"YES","NO")</f>
        <v>YES</v>
      </c>
      <c r="AJ283" s="245" t="str">
        <f>IF(ISNUMBER(SEARCH("C", 'WetLitterbags placem_collection'!$V210)),"YES","NO")</f>
        <v>NO</v>
      </c>
      <c r="AK283" s="245" t="str">
        <f>IF(ISNUMBER(SEARCH("H", 'WetLitterbags placem_collection'!$V210)),"YES","NO")</f>
        <v>NO</v>
      </c>
      <c r="AL283" s="245" t="str">
        <f>IF(ISNUMBER(SEARCH("R", 'WetLitterbags placem_collection'!$V210)),"YES","NO")</f>
        <v>YES</v>
      </c>
    </row>
    <row r="284" spans="2:38">
      <c r="B284" t="str">
        <f>Wetseason!B210</f>
        <v>Wet</v>
      </c>
      <c r="C284" s="253">
        <f>Wetseason!C210</f>
        <v>209</v>
      </c>
      <c r="D284" t="s">
        <v>2430</v>
      </c>
      <c r="E284" t="s">
        <v>22</v>
      </c>
      <c r="F284" s="375">
        <v>1</v>
      </c>
      <c r="G284" s="16">
        <f>'WetLitterbags placem_collection'!E211</f>
        <v>42769</v>
      </c>
      <c r="H284" t="str">
        <f>Wetseason!L210</f>
        <v>G604</v>
      </c>
      <c r="I284" t="str">
        <f>Wetseason!L430</f>
        <v>R271</v>
      </c>
      <c r="J284">
        <f>IFERROR(INDEX('Green_rooibos initial weight'!$C$5:$C$2000,MATCH(H284, 'Green_rooibos initial weight'!$A$5:$A$2000,0)),"")</f>
        <v>2.0390000000000001</v>
      </c>
      <c r="K284">
        <f>IFERROR(INDEX('Green_rooibos initial weight'!$C$5:$C$2000,MATCH(I284, 'Green_rooibos initial weight'!$A$5:$A$2000,0)),"")</f>
        <v>2.2829999999999999</v>
      </c>
      <c r="L284" s="194">
        <f t="shared" si="44"/>
        <v>1.7892000000000001</v>
      </c>
      <c r="M284" s="194">
        <f>AVERAGE(Ashed_controlls!$K$2:$K$11)</f>
        <v>5.5147656768714146</v>
      </c>
      <c r="N284" s="194">
        <f t="shared" si="41"/>
        <v>1.6905298125094168</v>
      </c>
      <c r="O284" s="194">
        <f t="shared" si="45"/>
        <v>2.0331999999999999</v>
      </c>
      <c r="P284" s="194">
        <f>AVERAGE(Ashed_controlls!$K$12:$K$14)</f>
        <v>2.2816647271287041</v>
      </c>
      <c r="Q284" s="194">
        <f t="shared" si="46"/>
        <v>1.9868091927680191</v>
      </c>
      <c r="R284" s="16">
        <f>IF('WetLitterbags placem_collection'!G211="","",'WetLitterbags placem_collection'!G211)</f>
        <v>42814</v>
      </c>
      <c r="S284" s="194">
        <f>IFERROR(INDEX('Both teabags AfterWet'!$C$3:$C$2000,MATCH(H284,'Both teabags AfterWet'!$A$3:$A$2000,0)),"")</f>
        <v>0.748</v>
      </c>
      <c r="T284" s="194">
        <f>IFERROR(INDEX('Both teabags AfterWet'!$C$3:$C$2000,MATCH(I284,'Both teabags AfterWet'!$A$3:$A$2000,0)),"")</f>
        <v>1.754</v>
      </c>
      <c r="U284" s="194">
        <f t="shared" si="47"/>
        <v>0.59739999999999993</v>
      </c>
      <c r="V284" s="194">
        <f t="shared" si="48"/>
        <v>1.6033999999999999</v>
      </c>
      <c r="W284" s="194">
        <f>IFERROR(INDEX('Ashed teabags wet'!$K$2:$K$2000,MATCH(H284,'Ashed teabags wet'!$A$2:$A$2000,0)),"")</f>
        <v>16.351888667991876</v>
      </c>
      <c r="X284" s="233">
        <f>IFERROR(INDEX('Ashed teabags wet'!$K$2:$K$2000,MATCH(I284,'Ashed teabags wet'!$A$2:$A$2000,0)),"")</f>
        <v>9.0597453476988878</v>
      </c>
      <c r="Y284" s="194">
        <f t="shared" si="53"/>
        <v>0.49971381709741647</v>
      </c>
      <c r="Z284" s="194">
        <f t="shared" si="53"/>
        <v>1.4581360430949959</v>
      </c>
      <c r="AA284" s="194">
        <f t="shared" si="49"/>
        <v>0.70440401973411937</v>
      </c>
      <c r="AB284" s="194">
        <f t="shared" si="50"/>
        <v>0.46179455925562229</v>
      </c>
      <c r="AC284" s="194">
        <f t="shared" si="42"/>
        <v>0.73390844395254851</v>
      </c>
      <c r="AD284">
        <f t="shared" si="43"/>
        <v>45</v>
      </c>
      <c r="AE284" s="194">
        <f t="shared" si="51"/>
        <v>0.16341565352242349</v>
      </c>
      <c r="AF284" s="194">
        <f t="shared" si="52"/>
        <v>1.9078264332978993E-2</v>
      </c>
      <c r="AG284" s="245" t="str">
        <f>IF(ISNUMBER(SEARCH("C",'WetLitterbags placem_collection'!$X211)),"YES","NO")</f>
        <v>YES</v>
      </c>
      <c r="AH284" s="245" t="str">
        <f>IF(ISNUMBER(SEARCH("H", 'WetLitterbags placem_collection'!$X211)),"YES","NO")</f>
        <v>NO</v>
      </c>
      <c r="AI284" s="245" t="str">
        <f>IF(ISNUMBER(SEARCH("R", 'WetLitterbags placem_collection'!$X211)),"YES","NO")</f>
        <v>YES</v>
      </c>
      <c r="AJ284" s="245" t="str">
        <f>IF(ISNUMBER(SEARCH("C", 'WetLitterbags placem_collection'!$V211)),"YES","NO")</f>
        <v>NO</v>
      </c>
      <c r="AK284" s="245" t="str">
        <f>IF(ISNUMBER(SEARCH("H", 'WetLitterbags placem_collection'!$V211)),"YES","NO")</f>
        <v>NO</v>
      </c>
      <c r="AL284" s="245" t="str">
        <f>IF(ISNUMBER(SEARCH("R", 'WetLitterbags placem_collection'!$V211)),"YES","NO")</f>
        <v>YES</v>
      </c>
    </row>
    <row r="285" spans="2:38">
      <c r="B285" t="str">
        <f>Wetseason!B211</f>
        <v>Wet</v>
      </c>
      <c r="C285" s="253">
        <f>Wetseason!C211</f>
        <v>210</v>
      </c>
      <c r="D285" t="s">
        <v>2444</v>
      </c>
      <c r="E285" t="s">
        <v>22</v>
      </c>
      <c r="F285" s="375">
        <v>2</v>
      </c>
      <c r="G285" s="16">
        <f>'WetLitterbags placem_collection'!E212</f>
        <v>42769</v>
      </c>
      <c r="H285" t="str">
        <f>Wetseason!L211</f>
        <v>G871</v>
      </c>
      <c r="I285" t="str">
        <f>Wetseason!L431</f>
        <v>R340</v>
      </c>
      <c r="J285">
        <f>IFERROR(INDEX('Green_rooibos initial weight'!$C$5:$C$2000,MATCH(H285, 'Green_rooibos initial weight'!$A$5:$A$2000,0)),"")</f>
        <v>2.0680000000000001</v>
      </c>
      <c r="K285">
        <f>IFERROR(INDEX('Green_rooibos initial weight'!$C$5:$C$2000,MATCH(I285, 'Green_rooibos initial weight'!$A$5:$A$2000,0)),"")</f>
        <v>2.2130000000000001</v>
      </c>
      <c r="L285" s="194">
        <f t="shared" si="44"/>
        <v>1.8182</v>
      </c>
      <c r="M285" s="194">
        <f>AVERAGE(Ashed_controlls!$K$2:$K$11)</f>
        <v>5.5147656768714146</v>
      </c>
      <c r="N285" s="194">
        <f t="shared" si="41"/>
        <v>1.7179305304631241</v>
      </c>
      <c r="O285" s="194">
        <f t="shared" si="45"/>
        <v>1.9632000000000001</v>
      </c>
      <c r="P285" s="194">
        <f>AVERAGE(Ashed_controlls!$K$12:$K$14)</f>
        <v>2.2816647271287041</v>
      </c>
      <c r="Q285" s="194">
        <f t="shared" si="46"/>
        <v>1.9184063580770094</v>
      </c>
      <c r="R285" s="16">
        <f>IF('WetLitterbags placem_collection'!G212="","",'WetLitterbags placem_collection'!G212)</f>
        <v>42813</v>
      </c>
      <c r="S285" s="194">
        <f>IFERROR(INDEX('Both teabags AfterWet'!$C$3:$C$2000,MATCH(H285,'Both teabags AfterWet'!$A$3:$A$2000,0)),"")</f>
        <v>0.83130000000000004</v>
      </c>
      <c r="T285" s="194">
        <f>IFERROR(INDEX('Both teabags AfterWet'!$C$3:$C$2000,MATCH(I285,'Both teabags AfterWet'!$A$3:$A$2000,0)),"")</f>
        <v>1.6197999999999999</v>
      </c>
      <c r="U285" s="194">
        <f t="shared" si="47"/>
        <v>0.68070000000000008</v>
      </c>
      <c r="V285" s="194">
        <f t="shared" si="48"/>
        <v>1.4691999999999998</v>
      </c>
      <c r="W285" s="194">
        <f>IFERROR(INDEX('Ashed teabags wet'!$K$2:$K$2000,MATCH(H285,'Ashed teabags wet'!$A$2:$A$2000,0)),"")</f>
        <v>17.063492063492387</v>
      </c>
      <c r="X285" s="233">
        <f>IFERROR(INDEX('Ashed teabags wet'!$K$2:$K$2000,MATCH(I285,'Ashed teabags wet'!$A$2:$A$2000,0)),"")</f>
        <v>10.541586073501591</v>
      </c>
      <c r="Y285" s="194">
        <f t="shared" si="53"/>
        <v>0.56454880952380737</v>
      </c>
      <c r="Z285" s="194">
        <f t="shared" si="53"/>
        <v>1.3143230174081144</v>
      </c>
      <c r="AA285" s="194">
        <f t="shared" si="49"/>
        <v>0.67137855721580619</v>
      </c>
      <c r="AB285" s="194">
        <f t="shared" si="50"/>
        <v>0.4401436622127376</v>
      </c>
      <c r="AC285" s="194">
        <f t="shared" si="42"/>
        <v>0.6851118960664716</v>
      </c>
      <c r="AD285">
        <f t="shared" si="43"/>
        <v>44</v>
      </c>
      <c r="AE285" s="194">
        <f t="shared" si="51"/>
        <v>0.20263829309286674</v>
      </c>
      <c r="AF285" s="194">
        <f t="shared" si="52"/>
        <v>2.8562387777069306E-2</v>
      </c>
      <c r="AG285" s="245" t="str">
        <f>IF(ISNUMBER(SEARCH("C",'WetLitterbags placem_collection'!$X212)),"YES","NO")</f>
        <v>NO</v>
      </c>
      <c r="AH285" s="245" t="str">
        <f>IF(ISNUMBER(SEARCH("H", 'WetLitterbags placem_collection'!$X212)),"YES","NO")</f>
        <v>NO</v>
      </c>
      <c r="AI285" s="245" t="str">
        <f>IF(ISNUMBER(SEARCH("R", 'WetLitterbags placem_collection'!$X212)),"YES","NO")</f>
        <v>YES</v>
      </c>
      <c r="AJ285" s="245" t="str">
        <f>IF(ISNUMBER(SEARCH("C", 'WetLitterbags placem_collection'!$V212)),"YES","NO")</f>
        <v>NO</v>
      </c>
      <c r="AK285" s="245" t="str">
        <f>IF(ISNUMBER(SEARCH("H", 'WetLitterbags placem_collection'!$V212)),"YES","NO")</f>
        <v>NO</v>
      </c>
      <c r="AL285" s="245" t="str">
        <f>IF(ISNUMBER(SEARCH("R", 'WetLitterbags placem_collection'!$V212)),"YES","NO")</f>
        <v>YES</v>
      </c>
    </row>
    <row r="286" spans="2:38">
      <c r="B286" t="str">
        <f>Wetseason!B212</f>
        <v>Wet</v>
      </c>
      <c r="C286" s="253">
        <f>Wetseason!C212</f>
        <v>211</v>
      </c>
      <c r="D286" t="s">
        <v>2421</v>
      </c>
      <c r="E286" t="s">
        <v>22</v>
      </c>
      <c r="F286" s="375">
        <v>3</v>
      </c>
      <c r="G286" s="16">
        <f>'WetLitterbags placem_collection'!E213</f>
        <v>42769</v>
      </c>
      <c r="H286" t="str">
        <f>Wetseason!L212</f>
        <v>G822</v>
      </c>
      <c r="I286" t="str">
        <f>Wetseason!L432</f>
        <v>R381</v>
      </c>
      <c r="J286">
        <f>IFERROR(INDEX('Green_rooibos initial weight'!$C$5:$C$2000,MATCH(H286, 'Green_rooibos initial weight'!$A$5:$A$2000,0)),"")</f>
        <v>2.02</v>
      </c>
      <c r="K286">
        <f>IFERROR(INDEX('Green_rooibos initial weight'!$C$5:$C$2000,MATCH(I286, 'Green_rooibos initial weight'!$A$5:$A$2000,0)),"")</f>
        <v>2.2349999999999999</v>
      </c>
      <c r="L286" s="194">
        <f t="shared" si="44"/>
        <v>1.7702</v>
      </c>
      <c r="M286" s="194">
        <f>AVERAGE(Ashed_controlls!$K$2:$K$11)</f>
        <v>5.5147656768714146</v>
      </c>
      <c r="N286" s="194">
        <f t="shared" si="41"/>
        <v>1.6725776179880223</v>
      </c>
      <c r="O286" s="194">
        <f t="shared" si="45"/>
        <v>1.9851999999999999</v>
      </c>
      <c r="P286" s="194">
        <f>AVERAGE(Ashed_controlls!$K$12:$K$14)</f>
        <v>2.2816647271287041</v>
      </c>
      <c r="Q286" s="194">
        <f t="shared" si="46"/>
        <v>1.9399043918370409</v>
      </c>
      <c r="R286" s="16">
        <f>IF('WetLitterbags placem_collection'!G213="","",'WetLitterbags placem_collection'!G213)</f>
        <v>42814</v>
      </c>
      <c r="S286" s="194">
        <f>IFERROR(INDEX('Both teabags AfterWet'!$C$3:$C$2000,MATCH(H286,'Both teabags AfterWet'!$A$3:$A$2000,0)),"")</f>
        <v>0.85699999999999998</v>
      </c>
      <c r="T286" s="194">
        <f>IFERROR(INDEX('Both teabags AfterWet'!$C$3:$C$2000,MATCH(I286,'Both teabags AfterWet'!$A$3:$A$2000,0)),"")</f>
        <v>1.528</v>
      </c>
      <c r="U286" s="194">
        <f t="shared" si="47"/>
        <v>0.70639999999999992</v>
      </c>
      <c r="V286" s="194">
        <f t="shared" si="48"/>
        <v>1.3774</v>
      </c>
      <c r="W286" s="194">
        <f>IFERROR(INDEX('Ashed teabags wet'!$K$2:$K$2000,MATCH(H286,'Ashed teabags wet'!$A$2:$A$2000,0)),"")</f>
        <v>17.246520874750999</v>
      </c>
      <c r="X286" s="233">
        <f>IFERROR(INDEX('Ashed teabags wet'!$K$2:$K$2000,MATCH(I286,'Ashed teabags wet'!$A$2:$A$2000,0)),"")</f>
        <v>10.112911143839174</v>
      </c>
      <c r="Y286" s="194">
        <f t="shared" si="53"/>
        <v>0.58457057654075884</v>
      </c>
      <c r="Z286" s="194">
        <f t="shared" si="53"/>
        <v>1.2381047619047592</v>
      </c>
      <c r="AA286" s="194">
        <f t="shared" si="49"/>
        <v>0.65049719053161148</v>
      </c>
      <c r="AB286" s="194">
        <f t="shared" si="50"/>
        <v>0.42645421517036769</v>
      </c>
      <c r="AC286" s="194">
        <f t="shared" si="42"/>
        <v>0.63822978447525702</v>
      </c>
      <c r="AD286">
        <f t="shared" si="43"/>
        <v>45</v>
      </c>
      <c r="AE286" s="194">
        <f t="shared" si="51"/>
        <v>0.22743801599571078</v>
      </c>
      <c r="AF286" s="194">
        <f t="shared" si="52"/>
        <v>4.1910914240090379E-2</v>
      </c>
      <c r="AG286" s="245" t="str">
        <f>IF(ISNUMBER(SEARCH("C",'WetLitterbags placem_collection'!$X213)),"YES","NO")</f>
        <v>NO</v>
      </c>
      <c r="AH286" s="245" t="str">
        <f>IF(ISNUMBER(SEARCH("H", 'WetLitterbags placem_collection'!$X213)),"YES","NO")</f>
        <v>NO</v>
      </c>
      <c r="AI286" s="245" t="str">
        <f>IF(ISNUMBER(SEARCH("R", 'WetLitterbags placem_collection'!$X213)),"YES","NO")</f>
        <v>YES</v>
      </c>
      <c r="AJ286" s="245" t="str">
        <f>IF(ISNUMBER(SEARCH("C", 'WetLitterbags placem_collection'!$V213)),"YES","NO")</f>
        <v>NO</v>
      </c>
      <c r="AK286" s="245" t="str">
        <f>IF(ISNUMBER(SEARCH("H", 'WetLitterbags placem_collection'!$V213)),"YES","NO")</f>
        <v>NO</v>
      </c>
      <c r="AL286" s="245" t="str">
        <f>IF(ISNUMBER(SEARCH("R", 'WetLitterbags placem_collection'!$V213)),"YES","NO")</f>
        <v>YES</v>
      </c>
    </row>
    <row r="287" spans="2:38">
      <c r="B287" t="str">
        <f>Wetseason!B213</f>
        <v>Wet</v>
      </c>
      <c r="C287" s="253">
        <f>Wetseason!C213</f>
        <v>215</v>
      </c>
      <c r="D287" t="s">
        <v>2422</v>
      </c>
      <c r="E287" t="s">
        <v>22</v>
      </c>
      <c r="F287" s="375">
        <v>3</v>
      </c>
      <c r="G287" s="16">
        <f>'WetLitterbags placem_collection'!E214</f>
        <v>42769</v>
      </c>
      <c r="H287" t="str">
        <f>Wetseason!L213</f>
        <v>G786</v>
      </c>
      <c r="I287" t="str">
        <f>Wetseason!L433</f>
        <v>R93</v>
      </c>
      <c r="J287">
        <f>IFERROR(INDEX('Green_rooibos initial weight'!$C$5:$C$2000,MATCH(H287, 'Green_rooibos initial weight'!$A$5:$A$2000,0)),"")</f>
        <v>2.097</v>
      </c>
      <c r="K287">
        <f>IFERROR(INDEX('Green_rooibos initial weight'!$C$5:$C$2000,MATCH(I287, 'Green_rooibos initial weight'!$A$5:$A$2000,0)),"")</f>
        <v>2.1709999999999998</v>
      </c>
      <c r="L287" s="194">
        <f t="shared" si="44"/>
        <v>1.8472</v>
      </c>
      <c r="M287" s="194">
        <f>AVERAGE(Ashed_controlls!$K$2:$K$11)</f>
        <v>5.5147656768714146</v>
      </c>
      <c r="N287" s="194">
        <f t="shared" si="41"/>
        <v>1.7453312484168313</v>
      </c>
      <c r="O287" s="194">
        <f t="shared" si="45"/>
        <v>1.9211999999999998</v>
      </c>
      <c r="P287" s="194">
        <f>AVERAGE(Ashed_controlls!$K$12:$K$14)</f>
        <v>2.2816647271287041</v>
      </c>
      <c r="Q287" s="194">
        <f t="shared" si="46"/>
        <v>1.8773646572624032</v>
      </c>
      <c r="R287" s="16">
        <f>IF('WetLitterbags placem_collection'!G214="","",'WetLitterbags placem_collection'!G214)</f>
        <v>42813</v>
      </c>
      <c r="S287" s="194">
        <f>IFERROR(INDEX('Both teabags AfterWet'!$C$3:$C$2000,MATCH(H287,'Both teabags AfterWet'!$A$3:$A$2000,0)),"")</f>
        <v>0.86439999999999995</v>
      </c>
      <c r="T287" s="194">
        <f>IFERROR(INDEX('Both teabags AfterWet'!$C$3:$C$2000,MATCH(I287,'Both teabags AfterWet'!$A$3:$A$2000,0)),"")</f>
        <v>1.5831999999999999</v>
      </c>
      <c r="U287" s="194">
        <f t="shared" si="47"/>
        <v>0.71379999999999999</v>
      </c>
      <c r="V287" s="194">
        <f t="shared" si="48"/>
        <v>1.4325999999999999</v>
      </c>
      <c r="W287" s="194">
        <f>IFERROR(INDEX('Ashed teabags wet'!$K$2:$K$2000,MATCH(H287,'Ashed teabags wet'!$A$2:$A$2000,0)),"")</f>
        <v>12.518778167251055</v>
      </c>
      <c r="X287" s="233">
        <f>IFERROR(INDEX('Ashed teabags wet'!$K$2:$K$2000,MATCH(I287,'Ashed teabags wet'!$A$2:$A$2000,0)),"")</f>
        <v>7.2365225837790437</v>
      </c>
      <c r="Y287" s="194">
        <f t="shared" si="53"/>
        <v>0.62444096144216199</v>
      </c>
      <c r="Z287" s="194">
        <f t="shared" si="53"/>
        <v>1.3289295774647814</v>
      </c>
      <c r="AA287" s="194">
        <f t="shared" si="49"/>
        <v>0.64222209279265197</v>
      </c>
      <c r="AB287" s="194">
        <f t="shared" si="50"/>
        <v>0.42102921047689307</v>
      </c>
      <c r="AC287" s="194">
        <f t="shared" si="42"/>
        <v>0.70786971104625096</v>
      </c>
      <c r="AD287">
        <f t="shared" si="43"/>
        <v>44</v>
      </c>
      <c r="AE287" s="194">
        <f t="shared" si="51"/>
        <v>0.23726592304910687</v>
      </c>
      <c r="AF287" s="194">
        <f t="shared" si="52"/>
        <v>2.6901674356646667E-2</v>
      </c>
      <c r="AG287" s="245" t="str">
        <f>IF(ISNUMBER(SEARCH("C",'WetLitterbags placem_collection'!$X214)),"YES","NO")</f>
        <v>NO</v>
      </c>
      <c r="AH287" s="245" t="str">
        <f>IF(ISNUMBER(SEARCH("H", 'WetLitterbags placem_collection'!$X214)),"YES","NO")</f>
        <v>NO</v>
      </c>
      <c r="AI287" s="245" t="str">
        <f>IF(ISNUMBER(SEARCH("R", 'WetLitterbags placem_collection'!$X214)),"YES","NO")</f>
        <v>YES</v>
      </c>
      <c r="AJ287" s="245" t="str">
        <f>IF(ISNUMBER(SEARCH("C", 'WetLitterbags placem_collection'!$V214)),"YES","NO")</f>
        <v>NO</v>
      </c>
      <c r="AK287" s="245" t="str">
        <f>IF(ISNUMBER(SEARCH("H", 'WetLitterbags placem_collection'!$V214)),"YES","NO")</f>
        <v>NO</v>
      </c>
      <c r="AL287" s="245" t="str">
        <f>IF(ISNUMBER(SEARCH("R", 'WetLitterbags placem_collection'!$V214)),"YES","NO")</f>
        <v>NO</v>
      </c>
    </row>
    <row r="288" spans="2:38">
      <c r="B288" t="str">
        <f>Wetseason!B214</f>
        <v>Wet</v>
      </c>
      <c r="C288" s="253">
        <f>Wetseason!C214</f>
        <v>212</v>
      </c>
      <c r="D288" t="s">
        <v>2437</v>
      </c>
      <c r="E288" t="s">
        <v>22</v>
      </c>
      <c r="F288" s="375">
        <v>4</v>
      </c>
      <c r="G288" s="16">
        <f>'WetLitterbags placem_collection'!E215</f>
        <v>42769</v>
      </c>
      <c r="H288" t="str">
        <f>Wetseason!L214</f>
        <v>G572</v>
      </c>
      <c r="I288" t="str">
        <f>Wetseason!L434</f>
        <v>R88</v>
      </c>
      <c r="J288">
        <f>IFERROR(INDEX('Green_rooibos initial weight'!$C$5:$C$2000,MATCH(H288, 'Green_rooibos initial weight'!$A$5:$A$2000,0)),"")</f>
        <v>1.972</v>
      </c>
      <c r="K288">
        <f>IFERROR(INDEX('Green_rooibos initial weight'!$C$5:$C$2000,MATCH(I288, 'Green_rooibos initial weight'!$A$5:$A$2000,0)),"")</f>
        <v>2.1520000000000001</v>
      </c>
      <c r="L288" s="194">
        <f t="shared" si="44"/>
        <v>1.7222</v>
      </c>
      <c r="M288" s="194">
        <f>AVERAGE(Ashed_controlls!$K$2:$K$11)</f>
        <v>5.5147656768714146</v>
      </c>
      <c r="N288" s="194">
        <f t="shared" si="41"/>
        <v>1.6272247055129205</v>
      </c>
      <c r="O288" s="194">
        <f t="shared" si="45"/>
        <v>1.9022000000000001</v>
      </c>
      <c r="P288" s="194">
        <f>AVERAGE(Ashed_controlls!$K$12:$K$14)</f>
        <v>2.2816647271287041</v>
      </c>
      <c r="Q288" s="194">
        <f t="shared" si="46"/>
        <v>1.8587981735605579</v>
      </c>
      <c r="R288" s="16">
        <f>IF('WetLitterbags placem_collection'!G215="","",'WetLitterbags placem_collection'!G215)</f>
        <v>42813</v>
      </c>
      <c r="S288" s="194">
        <f>IFERROR(INDEX('Both teabags AfterWet'!$C$3:$C$2000,MATCH(H288,'Both teabags AfterWet'!$A$3:$A$2000,0)),"")</f>
        <v>0.71399999999999997</v>
      </c>
      <c r="T288" s="194">
        <f>IFERROR(INDEX('Both teabags AfterWet'!$C$3:$C$2000,MATCH(I288,'Both teabags AfterWet'!$A$3:$A$2000,0)),"")</f>
        <v>1.542</v>
      </c>
      <c r="U288" s="194">
        <f t="shared" si="47"/>
        <v>0.5633999999999999</v>
      </c>
      <c r="V288" s="194">
        <f t="shared" si="48"/>
        <v>1.3914</v>
      </c>
      <c r="W288" s="194">
        <f>IFERROR(INDEX('Ashed teabags wet'!$K$2:$K$2000,MATCH(H288,'Ashed teabags wet'!$A$2:$A$2000,0)),"")</f>
        <v>10.252600297176585</v>
      </c>
      <c r="X288" s="233">
        <f>IFERROR(INDEX('Ashed teabags wet'!$K$2:$K$2000,MATCH(I288,'Ashed teabags wet'!$A$2:$A$2000,0)),"")</f>
        <v>3.5402521823463347</v>
      </c>
      <c r="Y288" s="194">
        <f t="shared" si="53"/>
        <v>0.50563684992570701</v>
      </c>
      <c r="Z288" s="194">
        <f t="shared" si="53"/>
        <v>1.3421409311348331</v>
      </c>
      <c r="AA288" s="194">
        <f t="shared" si="49"/>
        <v>0.68926427418865654</v>
      </c>
      <c r="AB288" s="194">
        <f t="shared" si="50"/>
        <v>0.45186921538258723</v>
      </c>
      <c r="AC288" s="194">
        <f t="shared" si="42"/>
        <v>0.72204769201162955</v>
      </c>
      <c r="AD288">
        <f t="shared" si="43"/>
        <v>44</v>
      </c>
      <c r="AE288" s="194">
        <f t="shared" si="51"/>
        <v>0.18139634894458845</v>
      </c>
      <c r="AF288" s="194">
        <f t="shared" si="52"/>
        <v>2.1700344318680384E-2</v>
      </c>
      <c r="AG288" s="245" t="str">
        <f>IF(ISNUMBER(SEARCH("C",'WetLitterbags placem_collection'!$X215)),"YES","NO")</f>
        <v>NO</v>
      </c>
      <c r="AH288" s="245" t="str">
        <f>IF(ISNUMBER(SEARCH("H", 'WetLitterbags placem_collection'!$X215)),"YES","NO")</f>
        <v>NO</v>
      </c>
      <c r="AI288" s="245" t="str">
        <f>IF(ISNUMBER(SEARCH("R", 'WetLitterbags placem_collection'!$X215)),"YES","NO")</f>
        <v>YES</v>
      </c>
      <c r="AJ288" s="245" t="str">
        <f>IF(ISNUMBER(SEARCH("C", 'WetLitterbags placem_collection'!$V215)),"YES","NO")</f>
        <v>NO</v>
      </c>
      <c r="AK288" s="245" t="str">
        <f>IF(ISNUMBER(SEARCH("H", 'WetLitterbags placem_collection'!$V215)),"YES","NO")</f>
        <v>NO</v>
      </c>
      <c r="AL288" s="245" t="str">
        <f>IF(ISNUMBER(SEARCH("R", 'WetLitterbags placem_collection'!$V215)),"YES","NO")</f>
        <v>YES</v>
      </c>
    </row>
    <row r="289" spans="1:39">
      <c r="B289" t="str">
        <f>Wetseason!B215</f>
        <v>Wet</v>
      </c>
      <c r="C289" s="253">
        <f>Wetseason!C215</f>
        <v>213</v>
      </c>
      <c r="D289" t="s">
        <v>2445</v>
      </c>
      <c r="E289" t="s">
        <v>22</v>
      </c>
      <c r="F289" s="375">
        <v>1</v>
      </c>
      <c r="G289" s="16">
        <f>'WetLitterbags placem_collection'!E216</f>
        <v>42769</v>
      </c>
      <c r="H289" t="str">
        <f>Wetseason!L215</f>
        <v>G761</v>
      </c>
      <c r="I289" t="str">
        <f>Wetseason!L435</f>
        <v>R383</v>
      </c>
      <c r="J289">
        <f>IFERROR(INDEX('Green_rooibos initial weight'!$C$5:$C$2000,MATCH(H289, 'Green_rooibos initial weight'!$A$5:$A$2000,0)),"")</f>
        <v>2.0110000000000001</v>
      </c>
      <c r="K289">
        <f>IFERROR(INDEX('Green_rooibos initial weight'!$C$5:$C$2000,MATCH(I289, 'Green_rooibos initial weight'!$A$5:$A$2000,0)),"")</f>
        <v>2.234</v>
      </c>
      <c r="L289" s="194">
        <f t="shared" si="44"/>
        <v>1.7612000000000001</v>
      </c>
      <c r="M289" s="194">
        <f>AVERAGE(Ashed_controlls!$K$2:$K$11)</f>
        <v>5.5147656768714146</v>
      </c>
      <c r="N289" s="194">
        <f t="shared" si="41"/>
        <v>1.6640739468989407</v>
      </c>
      <c r="O289" s="194">
        <f t="shared" si="45"/>
        <v>1.9842</v>
      </c>
      <c r="P289" s="194">
        <f>AVERAGE(Ashed_controlls!$K$12:$K$14)</f>
        <v>2.2816647271287041</v>
      </c>
      <c r="Q289" s="194">
        <f t="shared" si="46"/>
        <v>1.9389272084843123</v>
      </c>
      <c r="R289" s="16">
        <f>IF('WetLitterbags placem_collection'!G216="","",'WetLitterbags placem_collection'!G216)</f>
        <v>42813</v>
      </c>
      <c r="S289" s="194">
        <f>IFERROR(INDEX('Both teabags AfterWet'!$C$3:$C$2000,MATCH(H289,'Both teabags AfterWet'!$A$3:$A$2000,0)),"")</f>
        <v>0.71299999999999997</v>
      </c>
      <c r="T289" s="194">
        <f>IFERROR(INDEX('Both teabags AfterWet'!$C$3:$C$2000,MATCH(I289,'Both teabags AfterWet'!$A$3:$A$2000,0)),"")</f>
        <v>1.587</v>
      </c>
      <c r="U289" s="194">
        <f t="shared" si="47"/>
        <v>0.56240000000000001</v>
      </c>
      <c r="V289" s="194">
        <f t="shared" si="48"/>
        <v>1.4363999999999999</v>
      </c>
      <c r="W289" s="194">
        <f>IFERROR(INDEX('Ashed teabags wet'!$K$2:$K$2000,MATCH(H289,'Ashed teabags wet'!$A$2:$A$2000,0)),"")</f>
        <v>10.989010989010806</v>
      </c>
      <c r="X289" s="233">
        <f>IFERROR(INDEX('Ashed teabags wet'!$K$2:$K$2000,MATCH(I289,'Ashed teabags wet'!$A$2:$A$2000,0)),"")</f>
        <v>4.7142857142857366</v>
      </c>
      <c r="Y289" s="194">
        <f t="shared" si="53"/>
        <v>0.50059780219780325</v>
      </c>
      <c r="Z289" s="194">
        <f t="shared" si="53"/>
        <v>1.3686839999999996</v>
      </c>
      <c r="AA289" s="194">
        <f t="shared" si="49"/>
        <v>0.69917334314939272</v>
      </c>
      <c r="AB289" s="194">
        <f t="shared" si="50"/>
        <v>0.458365422112191</v>
      </c>
      <c r="AC289" s="194">
        <f t="shared" si="42"/>
        <v>0.70589756748522803</v>
      </c>
      <c r="AD289">
        <f t="shared" si="43"/>
        <v>44</v>
      </c>
      <c r="AE289" s="194">
        <f t="shared" si="51"/>
        <v>0.16962785849240769</v>
      </c>
      <c r="AF289" s="194">
        <f t="shared" si="52"/>
        <v>2.3322681643597784E-2</v>
      </c>
      <c r="AG289" s="245" t="str">
        <f>IF(ISNUMBER(SEARCH("C",'WetLitterbags placem_collection'!$X216)),"YES","NO")</f>
        <v>NO</v>
      </c>
      <c r="AH289" s="245" t="str">
        <f>IF(ISNUMBER(SEARCH("H", 'WetLitterbags placem_collection'!$X216)),"YES","NO")</f>
        <v>NO</v>
      </c>
      <c r="AI289" s="245" t="str">
        <f>IF(ISNUMBER(SEARCH("R", 'WetLitterbags placem_collection'!$X216)),"YES","NO")</f>
        <v>YES</v>
      </c>
      <c r="AJ289" s="245" t="str">
        <f>IF(ISNUMBER(SEARCH("C", 'WetLitterbags placem_collection'!$V216)),"YES","NO")</f>
        <v>NO</v>
      </c>
      <c r="AK289" s="245" t="str">
        <f>IF(ISNUMBER(SEARCH("H", 'WetLitterbags placem_collection'!$V216)),"YES","NO")</f>
        <v>NO</v>
      </c>
      <c r="AL289" s="245" t="str">
        <f>IF(ISNUMBER(SEARCH("R", 'WetLitterbags placem_collection'!$V216)),"YES","NO")</f>
        <v>YES</v>
      </c>
    </row>
    <row r="290" spans="1:39">
      <c r="B290" t="str">
        <f>Wetseason!B216</f>
        <v>Wet</v>
      </c>
      <c r="C290" s="253">
        <f>Wetseason!C216</f>
        <v>214</v>
      </c>
      <c r="D290" t="s">
        <v>2438</v>
      </c>
      <c r="E290" t="s">
        <v>22</v>
      </c>
      <c r="F290" s="375">
        <v>2</v>
      </c>
      <c r="G290" s="16">
        <f>'WetLitterbags placem_collection'!E217</f>
        <v>42769</v>
      </c>
      <c r="H290" t="str">
        <f>Wetseason!L216</f>
        <v>G858</v>
      </c>
      <c r="I290" t="str">
        <f>Wetseason!L436</f>
        <v>R145</v>
      </c>
      <c r="J290">
        <f>IFERROR(INDEX('Green_rooibos initial weight'!$C$5:$C$2000,MATCH(H290, 'Green_rooibos initial weight'!$A$5:$A$2000,0)),"")</f>
        <v>2.1040000000000001</v>
      </c>
      <c r="K290">
        <f>IFERROR(INDEX('Green_rooibos initial weight'!$C$5:$C$2000,MATCH(I290, 'Green_rooibos initial weight'!$A$5:$A$2000,0)),"")</f>
        <v>2.2719999999999998</v>
      </c>
      <c r="L290" s="194">
        <f t="shared" si="44"/>
        <v>1.8542000000000001</v>
      </c>
      <c r="M290" s="194">
        <f>AVERAGE(Ashed_controlls!$K$2:$K$11)</f>
        <v>5.5147656768714146</v>
      </c>
      <c r="N290" s="194">
        <f t="shared" si="41"/>
        <v>1.7519452148194503</v>
      </c>
      <c r="O290" s="194">
        <f t="shared" si="45"/>
        <v>2.0221999999999998</v>
      </c>
      <c r="P290" s="194">
        <f>AVERAGE(Ashed_controlls!$K$12:$K$14)</f>
        <v>2.2816647271287041</v>
      </c>
      <c r="Q290" s="194">
        <f t="shared" si="46"/>
        <v>1.9760601758880032</v>
      </c>
      <c r="R290" s="16">
        <f>IF('WetLitterbags placem_collection'!G217="","",'WetLitterbags placem_collection'!G217)</f>
        <v>42814</v>
      </c>
      <c r="S290" s="194">
        <f>IFERROR(INDEX('Both teabags AfterWet'!$C$3:$C$2000,MATCH(H290,'Both teabags AfterWet'!$A$3:$A$2000,0)),"")</f>
        <v>0.69730000000000003</v>
      </c>
      <c r="T290" s="194">
        <f>IFERROR(INDEX('Both teabags AfterWet'!$C$3:$C$2000,MATCH(I290,'Both teabags AfterWet'!$A$3:$A$2000,0)),"")</f>
        <v>1.5481</v>
      </c>
      <c r="U290" s="194">
        <f t="shared" si="47"/>
        <v>0.54669999999999996</v>
      </c>
      <c r="V290" s="194">
        <f t="shared" si="48"/>
        <v>1.3975</v>
      </c>
      <c r="W290" s="194">
        <f>IFERROR(INDEX('Ashed teabags wet'!$K$2:$K$2000,MATCH(H290,'Ashed teabags wet'!$A$2:$A$2000,0)),"")</f>
        <v>7.1357285429143147</v>
      </c>
      <c r="X290" s="233">
        <f>IFERROR(INDEX('Ashed teabags wet'!$K$2:$K$2000,MATCH(I290,'Ashed teabags wet'!$A$2:$A$2000,0)),"")</f>
        <v>2.4271844660191637</v>
      </c>
      <c r="Y290" s="194">
        <f t="shared" si="53"/>
        <v>0.50768897205588737</v>
      </c>
      <c r="Z290" s="194">
        <f t="shared" si="53"/>
        <v>1.3635800970873821</v>
      </c>
      <c r="AA290" s="194">
        <f t="shared" si="49"/>
        <v>0.71021412783834792</v>
      </c>
      <c r="AB290" s="194">
        <f t="shared" si="50"/>
        <v>0.46560356124319247</v>
      </c>
      <c r="AC290" s="194">
        <f t="shared" si="42"/>
        <v>0.69004988498116748</v>
      </c>
      <c r="AD290">
        <f t="shared" si="43"/>
        <v>45</v>
      </c>
      <c r="AE290" s="194">
        <f t="shared" si="51"/>
        <v>0.15651528760291222</v>
      </c>
      <c r="AF290" s="194">
        <f t="shared" si="52"/>
        <v>2.434894461348595E-2</v>
      </c>
      <c r="AG290" s="245" t="str">
        <f>IF(ISNUMBER(SEARCH("C",'WetLitterbags placem_collection'!$X217)),"YES","NO")</f>
        <v>NO</v>
      </c>
      <c r="AH290" s="245" t="str">
        <f>IF(ISNUMBER(SEARCH("H", 'WetLitterbags placem_collection'!$X217)),"YES","NO")</f>
        <v>NO</v>
      </c>
      <c r="AI290" s="245" t="str">
        <f>IF(ISNUMBER(SEARCH("R", 'WetLitterbags placem_collection'!$X217)),"YES","NO")</f>
        <v>YES</v>
      </c>
      <c r="AJ290" s="245" t="str">
        <f>IF(ISNUMBER(SEARCH("C", 'WetLitterbags placem_collection'!$V217)),"YES","NO")</f>
        <v>NO</v>
      </c>
      <c r="AK290" s="245" t="str">
        <f>IF(ISNUMBER(SEARCH("H", 'WetLitterbags placem_collection'!$V217)),"YES","NO")</f>
        <v>NO</v>
      </c>
      <c r="AL290" s="245" t="str">
        <f>IF(ISNUMBER(SEARCH("R", 'WetLitterbags placem_collection'!$V217)),"YES","NO")</f>
        <v>YES</v>
      </c>
    </row>
    <row r="291" spans="1:39">
      <c r="B291" t="str">
        <f>Wetseason!B217</f>
        <v>Wet</v>
      </c>
      <c r="C291" s="253">
        <f>Wetseason!C217</f>
        <v>216</v>
      </c>
      <c r="D291" t="s">
        <v>2431</v>
      </c>
      <c r="E291" t="s">
        <v>22</v>
      </c>
      <c r="F291" s="375">
        <v>4</v>
      </c>
      <c r="G291" s="16">
        <f>'WetLitterbags placem_collection'!E218</f>
        <v>42769</v>
      </c>
      <c r="H291" t="str">
        <f>Wetseason!L217</f>
        <v>G755</v>
      </c>
      <c r="I291" t="str">
        <f>Wetseason!L437</f>
        <v>R241</v>
      </c>
      <c r="J291">
        <f>IFERROR(INDEX('Green_rooibos initial weight'!$C$5:$C$2000,MATCH(H291, 'Green_rooibos initial weight'!$A$5:$A$2000,0)),"")</f>
        <v>2.0190000000000001</v>
      </c>
      <c r="K291">
        <f>IFERROR(INDEX('Green_rooibos initial weight'!$C$5:$C$2000,MATCH(I291, 'Green_rooibos initial weight'!$A$5:$A$2000,0)),"")</f>
        <v>2.1680000000000001</v>
      </c>
      <c r="L291" s="194">
        <f t="shared" si="44"/>
        <v>1.7692000000000001</v>
      </c>
      <c r="M291" s="194">
        <f>AVERAGE(Ashed_controlls!$K$2:$K$11)</f>
        <v>5.5147656768714146</v>
      </c>
      <c r="N291" s="194">
        <f t="shared" si="41"/>
        <v>1.6716327656447911</v>
      </c>
      <c r="O291" s="194">
        <f t="shared" si="45"/>
        <v>1.9182000000000001</v>
      </c>
      <c r="P291" s="194">
        <f>AVERAGE(Ashed_controlls!$K$12:$K$14)</f>
        <v>2.2816647271287041</v>
      </c>
      <c r="Q291" s="194">
        <f t="shared" si="46"/>
        <v>1.8744331072042173</v>
      </c>
      <c r="R291" s="16">
        <f>IF('WetLitterbags placem_collection'!G218="","",'WetLitterbags placem_collection'!G218)</f>
        <v>42814</v>
      </c>
      <c r="S291" s="194">
        <f>IFERROR(INDEX('Both teabags AfterWet'!$C$3:$C$2000,MATCH(H291,'Both teabags AfterWet'!$A$3:$A$2000,0)),"")</f>
        <v>0.88700000000000001</v>
      </c>
      <c r="T291" s="194">
        <f>IFERROR(INDEX('Both teabags AfterWet'!$C$3:$C$2000,MATCH(I291,'Both teabags AfterWet'!$A$3:$A$2000,0)),"")</f>
        <v>1.5349999999999999</v>
      </c>
      <c r="U291" s="194">
        <f t="shared" si="47"/>
        <v>0.73639999999999994</v>
      </c>
      <c r="V291" s="194">
        <f t="shared" si="48"/>
        <v>1.3843999999999999</v>
      </c>
      <c r="W291" s="194">
        <f>IFERROR(INDEX('Ashed teabags wet'!$K$2:$K$2000,MATCH(H291,'Ashed teabags wet'!$A$2:$A$2000,0)),"")</f>
        <v>8.3005893909626298</v>
      </c>
      <c r="X291" s="233">
        <f>IFERROR(INDEX('Ashed teabags wet'!$K$2:$K$2000,MATCH(I291,'Ashed teabags wet'!$A$2:$A$2000,0)),"")</f>
        <v>21.520236920039142</v>
      </c>
      <c r="Y291" s="194">
        <f t="shared" si="53"/>
        <v>0.67527445972495115</v>
      </c>
      <c r="Z291" s="194">
        <f t="shared" si="53"/>
        <v>1.086473840078978</v>
      </c>
      <c r="AA291" s="194">
        <f t="shared" si="49"/>
        <v>0.5960389903792771</v>
      </c>
      <c r="AB291" s="194">
        <f t="shared" si="50"/>
        <v>0.39075240224389668</v>
      </c>
      <c r="AC291" s="194">
        <f t="shared" si="42"/>
        <v>0.57962796106364756</v>
      </c>
      <c r="AD291">
        <f t="shared" si="43"/>
        <v>45</v>
      </c>
      <c r="AE291" s="194">
        <f t="shared" si="51"/>
        <v>0.29211521332627421</v>
      </c>
      <c r="AF291" s="194" t="str">
        <f t="shared" si="52"/>
        <v/>
      </c>
      <c r="AG291" s="245" t="str">
        <f>IF(ISNUMBER(SEARCH("C",'WetLitterbags placem_collection'!$X218)),"YES","NO")</f>
        <v>NO</v>
      </c>
      <c r="AH291" s="245" t="str">
        <f>IF(ISNUMBER(SEARCH("H", 'WetLitterbags placem_collection'!$X218)),"YES","NO")</f>
        <v>NO</v>
      </c>
      <c r="AI291" s="245" t="str">
        <f>IF(ISNUMBER(SEARCH("R", 'WetLitterbags placem_collection'!$X218)),"YES","NO")</f>
        <v>YES</v>
      </c>
      <c r="AJ291" s="245" t="str">
        <f>IF(ISNUMBER(SEARCH("C", 'WetLitterbags placem_collection'!$V218)),"YES","NO")</f>
        <v>YES</v>
      </c>
      <c r="AK291" s="245" t="str">
        <f>IF(ISNUMBER(SEARCH("H", 'WetLitterbags placem_collection'!$V218)),"YES","NO")</f>
        <v>YES</v>
      </c>
      <c r="AL291" s="245" t="str">
        <f>IF(ISNUMBER(SEARCH("R", 'WetLitterbags placem_collection'!$V218)),"YES","NO")</f>
        <v>YES</v>
      </c>
    </row>
    <row r="292" spans="1:39">
      <c r="B292" t="str">
        <f>Wetseason!B218</f>
        <v>Wet</v>
      </c>
      <c r="C292" s="253">
        <f>Wetseason!C218</f>
        <v>217</v>
      </c>
      <c r="D292" t="s">
        <v>2424</v>
      </c>
      <c r="E292" t="s">
        <v>22</v>
      </c>
      <c r="F292" s="375">
        <v>1</v>
      </c>
      <c r="G292" s="16">
        <f>'WetLitterbags placem_collection'!E219</f>
        <v>42769</v>
      </c>
      <c r="H292" t="str">
        <f>Wetseason!L218</f>
        <v>G795</v>
      </c>
      <c r="I292" t="str">
        <f>Wetseason!L438</f>
        <v>R302</v>
      </c>
      <c r="J292">
        <f>IFERROR(INDEX('Green_rooibos initial weight'!$C$5:$C$2000,MATCH(H292, 'Green_rooibos initial weight'!$A$5:$A$2000,0)),"")</f>
        <v>1.9530000000000001</v>
      </c>
      <c r="K292">
        <f>IFERROR(INDEX('Green_rooibos initial weight'!$C$5:$C$2000,MATCH(I292, 'Green_rooibos initial weight'!$A$5:$A$2000,0)),"")</f>
        <v>2.19</v>
      </c>
      <c r="L292" s="194">
        <f t="shared" si="44"/>
        <v>1.7032</v>
      </c>
      <c r="M292" s="194">
        <f>AVERAGE(Ashed_controlls!$K$2:$K$11)</f>
        <v>5.5147656768714146</v>
      </c>
      <c r="N292" s="194">
        <f t="shared" si="41"/>
        <v>1.609272510991526</v>
      </c>
      <c r="O292" s="194">
        <f t="shared" si="45"/>
        <v>1.9401999999999999</v>
      </c>
      <c r="P292" s="194">
        <f>AVERAGE(Ashed_controlls!$K$12:$K$14)</f>
        <v>2.2816647271287041</v>
      </c>
      <c r="Q292" s="194">
        <f t="shared" si="46"/>
        <v>1.8959311409642488</v>
      </c>
      <c r="R292" s="16">
        <f>IF('WetLitterbags placem_collection'!G219="","",'WetLitterbags placem_collection'!G219)</f>
        <v>42814</v>
      </c>
      <c r="S292" s="194">
        <f>IFERROR(INDEX('Both teabags AfterWet'!$C$3:$C$2000,MATCH(H292,'Both teabags AfterWet'!$A$3:$A$2000,0)),"")</f>
        <v>0.78100000000000003</v>
      </c>
      <c r="T292" s="194">
        <f>IFERROR(INDEX('Both teabags AfterWet'!$C$3:$C$2000,MATCH(I292,'Both teabags AfterWet'!$A$3:$A$2000,0)),"")</f>
        <v>1.38</v>
      </c>
      <c r="U292" s="194">
        <f t="shared" si="47"/>
        <v>0.63040000000000007</v>
      </c>
      <c r="V292" s="194">
        <f t="shared" si="48"/>
        <v>1.2293999999999998</v>
      </c>
      <c r="W292" s="194">
        <f>IFERROR(INDEX('Ashed teabags wet'!$K$2:$K$2000,MATCH(H292,'Ashed teabags wet'!$A$2:$A$2000,0)),"")</f>
        <v>8.99805447470772</v>
      </c>
      <c r="X292" s="233">
        <f>IFERROR(INDEX('Ashed teabags wet'!$K$2:$K$2000,MATCH(I292,'Ashed teabags wet'!$A$2:$A$2000,0)),"")</f>
        <v>5.5199605717097722</v>
      </c>
      <c r="Y292" s="194">
        <f t="shared" si="53"/>
        <v>0.57367626459144261</v>
      </c>
      <c r="Z292" s="194">
        <f t="shared" si="53"/>
        <v>1.1615376047313999</v>
      </c>
      <c r="AA292" s="194">
        <f t="shared" si="49"/>
        <v>0.64351826016217628</v>
      </c>
      <c r="AB292" s="194">
        <f t="shared" si="50"/>
        <v>0.4218789544056073</v>
      </c>
      <c r="AC292" s="194">
        <f t="shared" si="42"/>
        <v>0.61264756912039287</v>
      </c>
      <c r="AD292">
        <f t="shared" si="43"/>
        <v>45</v>
      </c>
      <c r="AE292" s="194">
        <f t="shared" si="51"/>
        <v>0.23572653187389991</v>
      </c>
      <c r="AF292" s="194">
        <f t="shared" si="52"/>
        <v>5.5622013521556643E-2</v>
      </c>
      <c r="AG292" s="245" t="str">
        <f>IF(ISNUMBER(SEARCH("C",'WetLitterbags placem_collection'!$X219)),"YES","NO")</f>
        <v>NO</v>
      </c>
      <c r="AH292" s="245" t="str">
        <f>IF(ISNUMBER(SEARCH("H", 'WetLitterbags placem_collection'!$X219)),"YES","NO")</f>
        <v>NO</v>
      </c>
      <c r="AI292" s="245" t="str">
        <f>IF(ISNUMBER(SEARCH("R", 'WetLitterbags placem_collection'!$X219)),"YES","NO")</f>
        <v>YES</v>
      </c>
      <c r="AJ292" s="245" t="str">
        <f>IF(ISNUMBER(SEARCH("C", 'WetLitterbags placem_collection'!$V219)),"YES","NO")</f>
        <v>NO</v>
      </c>
      <c r="AK292" s="245" t="str">
        <f>IF(ISNUMBER(SEARCH("H", 'WetLitterbags placem_collection'!$V219)),"YES","NO")</f>
        <v>NO</v>
      </c>
      <c r="AL292" s="245" t="str">
        <f>IF(ISNUMBER(SEARCH("R", 'WetLitterbags placem_collection'!$V219)),"YES","NO")</f>
        <v>YES</v>
      </c>
    </row>
    <row r="293" spans="1:39">
      <c r="B293" t="str">
        <f>Wetseason!B219</f>
        <v>Wet</v>
      </c>
      <c r="C293" s="253">
        <f>Wetseason!C219</f>
        <v>218</v>
      </c>
      <c r="D293" t="s">
        <v>2432</v>
      </c>
      <c r="E293" t="s">
        <v>22</v>
      </c>
      <c r="F293" s="375">
        <v>2</v>
      </c>
      <c r="G293" s="16">
        <f>'WetLitterbags placem_collection'!E220</f>
        <v>42769</v>
      </c>
      <c r="H293" t="str">
        <f>Wetseason!L219</f>
        <v>G251</v>
      </c>
      <c r="I293" t="str">
        <f>Wetseason!L439</f>
        <v>R442</v>
      </c>
      <c r="J293">
        <f>IFERROR(INDEX('Green_rooibos initial weight'!$C$5:$C$2000,MATCH(H293, 'Green_rooibos initial weight'!$A$5:$A$2000,0)),"")</f>
        <v>2.0539999999999998</v>
      </c>
      <c r="K293">
        <f>IFERROR(INDEX('Green_rooibos initial weight'!$C$5:$C$2000,MATCH(I293, 'Green_rooibos initial weight'!$A$5:$A$2000,0)),"")</f>
        <v>2.2290000000000001</v>
      </c>
      <c r="L293" s="194">
        <f t="shared" si="44"/>
        <v>1.8041999999999998</v>
      </c>
      <c r="M293" s="194">
        <f>AVERAGE(Ashed_controlls!$K$2:$K$11)</f>
        <v>5.5147656768714146</v>
      </c>
      <c r="N293" s="194">
        <f t="shared" si="41"/>
        <v>1.7047025976578858</v>
      </c>
      <c r="O293" s="194">
        <f t="shared" si="45"/>
        <v>1.9792000000000001</v>
      </c>
      <c r="P293" s="194">
        <f>AVERAGE(Ashed_controlls!$K$12:$K$14)</f>
        <v>2.2816647271287041</v>
      </c>
      <c r="Q293" s="194">
        <f t="shared" si="46"/>
        <v>1.9340412917206689</v>
      </c>
      <c r="R293" s="16">
        <f>IF('WetLitterbags placem_collection'!G220="","",'WetLitterbags placem_collection'!G220)</f>
        <v>42814</v>
      </c>
      <c r="S293" s="194">
        <f>IFERROR(INDEX('Both teabags AfterWet'!$C$3:$C$2000,MATCH(H293,'Both teabags AfterWet'!$A$3:$A$2000,0)),"")</f>
        <v>0.75700000000000001</v>
      </c>
      <c r="T293" s="194">
        <f>IFERROR(INDEX('Both teabags AfterWet'!$C$3:$C$2000,MATCH(I293,'Both teabags AfterWet'!$A$3:$A$2000,0)),"")</f>
        <v>1.3831</v>
      </c>
      <c r="U293" s="194">
        <f t="shared" si="47"/>
        <v>0.60640000000000005</v>
      </c>
      <c r="V293" s="194">
        <f t="shared" si="48"/>
        <v>1.2324999999999999</v>
      </c>
      <c r="W293" s="194">
        <f>IFERROR(INDEX('Ashed teabags wet'!$K$2:$K$2000,MATCH(H293,'Ashed teabags wet'!$A$2:$A$2000,0)),"")</f>
        <v>12.853598014887801</v>
      </c>
      <c r="X293" s="233">
        <f>IFERROR(INDEX('Ashed teabags wet'!$K$2:$K$2000,MATCH(I293,'Ashed teabags wet'!$A$2:$A$2000,0)),"")</f>
        <v>6.7454455933042237</v>
      </c>
      <c r="Y293" s="194">
        <f t="shared" si="53"/>
        <v>0.52845578163772045</v>
      </c>
      <c r="Z293" s="194">
        <f t="shared" si="53"/>
        <v>1.1493623830625255</v>
      </c>
      <c r="AA293" s="194">
        <f t="shared" si="49"/>
        <v>0.69000118709047953</v>
      </c>
      <c r="AB293" s="194">
        <f t="shared" si="50"/>
        <v>0.45235232217808163</v>
      </c>
      <c r="AC293" s="194">
        <f t="shared" si="42"/>
        <v>0.59428016763797531</v>
      </c>
      <c r="AD293">
        <f t="shared" si="43"/>
        <v>45</v>
      </c>
      <c r="AE293" s="194">
        <f t="shared" si="51"/>
        <v>0.18052115547448988</v>
      </c>
      <c r="AF293" s="194">
        <f t="shared" si="52"/>
        <v>5.0492529899916969E-2</v>
      </c>
      <c r="AG293" s="245" t="str">
        <f>IF(ISNUMBER(SEARCH("C",'WetLitterbags placem_collection'!$X220)),"YES","NO")</f>
        <v>NO</v>
      </c>
      <c r="AH293" s="245" t="str">
        <f>IF(ISNUMBER(SEARCH("H", 'WetLitterbags placem_collection'!$X220)),"YES","NO")</f>
        <v>NO</v>
      </c>
      <c r="AI293" s="245" t="str">
        <f>IF(ISNUMBER(SEARCH("R", 'WetLitterbags placem_collection'!$X220)),"YES","NO")</f>
        <v>YES</v>
      </c>
      <c r="AJ293" s="245" t="str">
        <f>IF(ISNUMBER(SEARCH("C", 'WetLitterbags placem_collection'!$V220)),"YES","NO")</f>
        <v>NO</v>
      </c>
      <c r="AK293" s="245" t="str">
        <f>IF(ISNUMBER(SEARCH("H", 'WetLitterbags placem_collection'!$V220)),"YES","NO")</f>
        <v>NO</v>
      </c>
      <c r="AL293" s="245" t="str">
        <f>IF(ISNUMBER(SEARCH("R", 'WetLitterbags placem_collection'!$V220)),"YES","NO")</f>
        <v>YES</v>
      </c>
    </row>
    <row r="294" spans="1:39">
      <c r="B294" t="str">
        <f>Wetseason!B220</f>
        <v>Wet</v>
      </c>
      <c r="C294" s="374">
        <f>Wetseason!C220</f>
        <v>219</v>
      </c>
      <c r="D294" t="s">
        <v>2439</v>
      </c>
      <c r="E294" t="s">
        <v>22</v>
      </c>
      <c r="F294" s="375">
        <v>3</v>
      </c>
      <c r="G294" s="376">
        <f>'WetLitterbags placem_collection'!E221</f>
        <v>42769</v>
      </c>
      <c r="H294" s="92" t="str">
        <f>Wetseason!L220</f>
        <v>G727</v>
      </c>
      <c r="I294" s="92" t="str">
        <f>Wetseason!L440</f>
        <v>R176</v>
      </c>
      <c r="J294">
        <f>IFERROR(INDEX('Green_rooibos initial weight'!$C$5:$C$2000,MATCH(H294, 'Green_rooibos initial weight'!$A$5:$A$2000,0)),"")</f>
        <v>2.0270000000000001</v>
      </c>
      <c r="K294">
        <f>IFERROR(INDEX('Green_rooibos initial weight'!$C$5:$C$2000,MATCH(I294, 'Green_rooibos initial weight'!$A$5:$A$2000,0)),"")</f>
        <v>2.2160000000000002</v>
      </c>
      <c r="L294" s="194">
        <f t="shared" si="44"/>
        <v>1.7772000000000001</v>
      </c>
      <c r="M294" s="194">
        <f>AVERAGE(Ashed_controlls!$K$2:$K$11)</f>
        <v>5.5147656768714146</v>
      </c>
      <c r="N294" s="377">
        <f t="shared" si="41"/>
        <v>1.6791915843906413</v>
      </c>
      <c r="O294" s="194">
        <f t="shared" si="45"/>
        <v>1.9662000000000002</v>
      </c>
      <c r="P294" s="194">
        <f>AVERAGE(Ashed_controlls!$K$12:$K$14)</f>
        <v>2.2816647271287041</v>
      </c>
      <c r="Q294" s="194">
        <f t="shared" si="46"/>
        <v>1.9213379081351956</v>
      </c>
      <c r="R294" s="16">
        <f>IF('WetLitterbags placem_collection'!G221="","",'WetLitterbags placem_collection'!G221)</f>
        <v>42813</v>
      </c>
      <c r="S294" s="194">
        <f>IFERROR(INDEX('Both teabags AfterWet'!$C$3:$C$2000,MATCH(H294,'Both teabags AfterWet'!$A$3:$A$2000,0)),"")</f>
        <v>0.70650000000000002</v>
      </c>
      <c r="T294" s="194">
        <f>IFERROR(INDEX('Both teabags AfterWet'!$C$3:$C$2000,MATCH(I294,'Both teabags AfterWet'!$A$3:$A$2000,0)),"")</f>
        <v>1.4293</v>
      </c>
      <c r="U294" s="194">
        <f t="shared" si="47"/>
        <v>0.55590000000000006</v>
      </c>
      <c r="V294" s="194">
        <f t="shared" si="48"/>
        <v>1.2786999999999999</v>
      </c>
      <c r="W294" s="194">
        <f>IFERROR(INDEX('Ashed teabags wet'!$K$2:$K$2000,MATCH(H294,'Ashed teabags wet'!$A$2:$A$2000,0)),"")</f>
        <v>11.604439959636602</v>
      </c>
      <c r="X294" s="233">
        <f>IFERROR(INDEX('Ashed teabags wet'!$K$2:$K$2000,MATCH(I294,'Ashed teabags wet'!$A$2:$A$2000,0)),"")</f>
        <v>6.3788027477918092</v>
      </c>
      <c r="Y294" s="194">
        <f t="shared" si="53"/>
        <v>0.49139091826438019</v>
      </c>
      <c r="Z294" s="194">
        <f t="shared" si="53"/>
        <v>1.197134249263986</v>
      </c>
      <c r="AA294" s="194">
        <f t="shared" si="49"/>
        <v>0.70736458970362204</v>
      </c>
      <c r="AB294" s="194">
        <f t="shared" si="50"/>
        <v>0.46373545548265965</v>
      </c>
      <c r="AC294" s="194">
        <f t="shared" si="42"/>
        <v>0.62307324713428247</v>
      </c>
      <c r="AD294">
        <f t="shared" si="43"/>
        <v>44</v>
      </c>
      <c r="AE294" s="194">
        <f t="shared" si="51"/>
        <v>0.15989953716909489</v>
      </c>
      <c r="AF294" s="194">
        <f t="shared" si="52"/>
        <v>3.8081985758745357E-2</v>
      </c>
      <c r="AG294" s="245" t="str">
        <f>IF(ISNUMBER(SEARCH("C",'WetLitterbags placem_collection'!$X221)),"YES","NO")</f>
        <v>NO</v>
      </c>
      <c r="AH294" s="245" t="str">
        <f>IF(ISNUMBER(SEARCH("H", 'WetLitterbags placem_collection'!$X221)),"YES","NO")</f>
        <v>NO</v>
      </c>
      <c r="AI294" s="245" t="str">
        <f>IF(ISNUMBER(SEARCH("R", 'WetLitterbags placem_collection'!$X221)),"YES","NO")</f>
        <v>YES</v>
      </c>
      <c r="AJ294" s="245" t="str">
        <f>IF(ISNUMBER(SEARCH("C", 'WetLitterbags placem_collection'!$V221)),"YES","NO")</f>
        <v>NO</v>
      </c>
      <c r="AK294" s="245" t="str">
        <f>IF(ISNUMBER(SEARCH("H", 'WetLitterbags placem_collection'!$V221)),"YES","NO")</f>
        <v>YES</v>
      </c>
      <c r="AL294" s="245" t="str">
        <f>IF(ISNUMBER(SEARCH("R", 'WetLitterbags placem_collection'!$V221)),"YES","NO")</f>
        <v>YES</v>
      </c>
    </row>
    <row r="295" spans="1:39" ht="15" thickBot="1">
      <c r="A295" s="420"/>
      <c r="B295" s="420" t="str">
        <f>Wetseason!B221</f>
        <v>Wet</v>
      </c>
      <c r="C295" s="421">
        <f>Wetseason!C221</f>
        <v>220</v>
      </c>
      <c r="D295" s="420" t="s">
        <v>2446</v>
      </c>
      <c r="E295" s="420" t="s">
        <v>22</v>
      </c>
      <c r="F295" s="422">
        <v>4</v>
      </c>
      <c r="G295" s="423">
        <f>'WetLitterbags placem_collection'!E222</f>
        <v>42769</v>
      </c>
      <c r="H295" s="420" t="str">
        <f>Wetseason!L221</f>
        <v>G782</v>
      </c>
      <c r="I295" s="420" t="str">
        <f>Wetseason!L441</f>
        <v>R250</v>
      </c>
      <c r="J295" s="420">
        <f>IFERROR(INDEX('Green_rooibos initial weight'!$C$5:$C$2000,MATCH(H295, 'Green_rooibos initial weight'!$A$5:$A$2000,0)),"")</f>
        <v>1.9510000000000001</v>
      </c>
      <c r="K295" s="420">
        <f>IFERROR(INDEX('Green_rooibos initial weight'!$C$5:$C$2000,MATCH(I295, 'Green_rooibos initial weight'!$A$5:$A$2000,0)),"")</f>
        <v>2.2639999999999998</v>
      </c>
      <c r="L295" s="424">
        <f t="shared" si="44"/>
        <v>1.7012</v>
      </c>
      <c r="M295" s="424">
        <f>AVERAGE(Ashed_controlls!$K$2:$K$11)</f>
        <v>5.5147656768714146</v>
      </c>
      <c r="N295" s="424">
        <f t="shared" si="41"/>
        <v>1.6073828063050635</v>
      </c>
      <c r="O295" s="424">
        <f t="shared" si="45"/>
        <v>2.0141999999999998</v>
      </c>
      <c r="P295" s="424">
        <f>AVERAGE(Ashed_controlls!$K$12:$K$14)</f>
        <v>2.2816647271287041</v>
      </c>
      <c r="Q295" s="424">
        <f t="shared" si="46"/>
        <v>1.9682427090661734</v>
      </c>
      <c r="R295" s="423">
        <f>IF('WetLitterbags placem_collection'!G222="","",'WetLitterbags placem_collection'!G222)</f>
        <v>42813</v>
      </c>
      <c r="S295" s="424">
        <f>IFERROR(INDEX('Both teabags AfterWet'!$C$3:$C$2000,MATCH(H295,'Both teabags AfterWet'!$A$3:$A$2000,0)),"")</f>
        <v>0.6169</v>
      </c>
      <c r="T295" s="424">
        <f>IFERROR(INDEX('Both teabags AfterWet'!$C$3:$C$2000,MATCH(I295,'Both teabags AfterWet'!$A$3:$A$2000,0)),"")</f>
        <v>1.5303</v>
      </c>
      <c r="U295" s="424">
        <f t="shared" si="47"/>
        <v>0.46629999999999999</v>
      </c>
      <c r="V295" s="424">
        <f t="shared" si="48"/>
        <v>1.3796999999999999</v>
      </c>
      <c r="W295" s="424">
        <f>IFERROR(INDEX('Ashed teabags wet'!$K$2:$K$2000,MATCH(H295,'Ashed teabags wet'!$A$2:$A$2000,0)),"")</f>
        <v>11.045655375552919</v>
      </c>
      <c r="X295" s="425">
        <f>IFERROR(INDEX('Ashed teabags wet'!$K$2:$K$2000,MATCH(I295,'Ashed teabags wet'!$A$2:$A$2000,0)),"")</f>
        <v>5.6310679611650896</v>
      </c>
      <c r="Y295" s="424">
        <f t="shared" si="53"/>
        <v>0.41479410898379676</v>
      </c>
      <c r="Z295" s="424">
        <f t="shared" si="53"/>
        <v>1.3020081553398053</v>
      </c>
      <c r="AA295" s="424">
        <f t="shared" si="49"/>
        <v>0.74194441588105842</v>
      </c>
      <c r="AB295" s="424">
        <f t="shared" si="50"/>
        <v>0.48640536528069389</v>
      </c>
      <c r="AC295" s="424">
        <f t="shared" si="42"/>
        <v>0.66150792752461862</v>
      </c>
      <c r="AD295" s="420">
        <f t="shared" si="43"/>
        <v>44</v>
      </c>
      <c r="AE295" s="424">
        <f t="shared" si="51"/>
        <v>0.11883085999874299</v>
      </c>
      <c r="AF295" s="424">
        <f t="shared" si="52"/>
        <v>2.705491178469981E-2</v>
      </c>
      <c r="AG295" s="245" t="str">
        <f>IF(ISNUMBER(SEARCH("C",'WetLitterbags placem_collection'!$X222)),"YES","NO")</f>
        <v>NO</v>
      </c>
      <c r="AH295" s="245" t="str">
        <f>IF(ISNUMBER(SEARCH("H", 'WetLitterbags placem_collection'!$X222)),"YES","NO")</f>
        <v>NO</v>
      </c>
      <c r="AI295" s="245" t="str">
        <f>IF(ISNUMBER(SEARCH("R", 'WetLitterbags placem_collection'!$X222)),"YES","NO")</f>
        <v>YES</v>
      </c>
      <c r="AJ295" s="245" t="str">
        <f>IF(ISNUMBER(SEARCH("C", 'WetLitterbags placem_collection'!$V222)),"YES","NO")</f>
        <v>NO</v>
      </c>
      <c r="AK295" s="245" t="str">
        <f>IF(ISNUMBER(SEARCH("H", 'WetLitterbags placem_collection'!$V222)),"YES","NO")</f>
        <v>NO</v>
      </c>
      <c r="AL295" s="245" t="str">
        <f>IF(ISNUMBER(SEARCH("R", 'WetLitterbags placem_collection'!$V222)),"YES","NO")</f>
        <v>YES</v>
      </c>
    </row>
    <row r="296" spans="1:39">
      <c r="A296" s="92"/>
      <c r="B296" s="92" t="str">
        <f>Wetseason!B442</f>
        <v>Wet</v>
      </c>
      <c r="C296" s="374">
        <f>Wetseason!C442</f>
        <v>1</v>
      </c>
      <c r="D296" s="92" t="s">
        <v>3099</v>
      </c>
      <c r="E296" s="92" t="s">
        <v>25</v>
      </c>
      <c r="F296" s="374">
        <v>1</v>
      </c>
      <c r="G296" s="376">
        <f>'WetLitterbags placem_collection'!E3</f>
        <v>42766</v>
      </c>
      <c r="H296" s="92" t="str">
        <f>Wetseason!L442</f>
        <v>G752</v>
      </c>
      <c r="I296" s="92" t="str">
        <f>Wetseason!L662</f>
        <v>R133</v>
      </c>
      <c r="J296">
        <f>IFERROR(INDEX('Green_rooibos initial weight'!$C$5:$C$2000,MATCH(H296, 'Green_rooibos initial weight'!$A$5:$A$2000,0)),"")</f>
        <v>2.15</v>
      </c>
      <c r="K296">
        <f>IFERROR(INDEX('Green_rooibos initial weight'!$C$5:$C$2000,MATCH(I296, 'Green_rooibos initial weight'!$A$5:$A$2000,0)),"")</f>
        <v>2.1760000000000002</v>
      </c>
      <c r="L296" s="377">
        <f t="shared" ref="L296:L332" si="54">IF(J296&gt;0,(J296*$F$31-($F$29+$F$30)),"")</f>
        <v>1.9001999999999999</v>
      </c>
      <c r="M296" s="377">
        <f>AVERAGE(Ashed_controlls!$K$2:$K$11)</f>
        <v>5.5147656768714146</v>
      </c>
      <c r="N296" s="377">
        <f t="shared" si="41"/>
        <v>1.7954084226080893</v>
      </c>
      <c r="O296" s="377">
        <f t="shared" si="45"/>
        <v>1.9262000000000001</v>
      </c>
      <c r="P296" s="377">
        <f>AVERAGE(Ashed_controlls!$K$12:$K$14)</f>
        <v>2.2816647271287041</v>
      </c>
      <c r="Q296" s="377">
        <f t="shared" si="46"/>
        <v>1.8822505740260471</v>
      </c>
      <c r="R296" s="376">
        <f>IF('WetLitterbags placem_collection'!G3="","",'WetLitterbags placem_collection'!G3)</f>
        <v>42818</v>
      </c>
      <c r="S296" s="194">
        <f>IFERROR(INDEX('Both teabags AfterWet'!$C$3:$C$2000,MATCH(H296,'Both teabags AfterWet'!$A$3:$A$2000,0)),"")</f>
        <v>0.47</v>
      </c>
      <c r="T296" s="194">
        <f>IFERROR(INDEX('Both teabags AfterWet'!$C$3:$C$2000,MATCH(I296,'Both teabags AfterWet'!$A$3:$A$2000,0)),"")</f>
        <v>1.4104000000000001</v>
      </c>
      <c r="U296" s="194">
        <f t="shared" si="47"/>
        <v>0.31939999999999996</v>
      </c>
      <c r="V296" s="194">
        <f t="shared" si="48"/>
        <v>1.2598</v>
      </c>
      <c r="W296" s="194">
        <f>IFERROR(INDEX('Ashed teabags wet'!$K$2:$K$2000,MATCH(H296,'Ashed teabags wet'!$A$2:$A$2000,0)),"")</f>
        <v>15.221674876847116</v>
      </c>
      <c r="X296" s="233">
        <f>IFERROR(INDEX('Ashed teabags wet'!$K$2:$K$2000,MATCH(I296,'Ashed teabags wet'!$A$2:$A$2000,0)),"")</f>
        <v>2.8344107409252359</v>
      </c>
      <c r="Y296" s="194">
        <f t="shared" si="53"/>
        <v>0.27078197044335028</v>
      </c>
      <c r="Z296" s="194">
        <f t="shared" si="53"/>
        <v>1.2240920934858239</v>
      </c>
      <c r="AA296" s="194">
        <f t="shared" si="49"/>
        <v>0.84918085097874252</v>
      </c>
      <c r="AB296" s="194">
        <f t="shared" si="50"/>
        <v>0.55670763627109976</v>
      </c>
      <c r="AC296" s="194">
        <f t="shared" si="42"/>
        <v>0.6503342915005984</v>
      </c>
      <c r="AD296">
        <f t="shared" si="43"/>
        <v>52</v>
      </c>
      <c r="AE296" s="194">
        <f t="shared" si="51"/>
        <v>-8.5283265780791151E-3</v>
      </c>
      <c r="AF296" s="194">
        <f t="shared" si="52"/>
        <v>1.9021517110568965E-2</v>
      </c>
      <c r="AG296" s="245" t="str">
        <f>IF(ISNUMBER(SEARCH("C",'WetLitterbags placem_collection'!$Y3)),"YES","NO")</f>
        <v>NO</v>
      </c>
      <c r="AH296" s="245" t="str">
        <f>IF(ISNUMBER(SEARCH("H", 'WetLitterbags placem_collection'!$Y3)),"YES","NO")</f>
        <v>NO</v>
      </c>
      <c r="AI296" s="245" t="str">
        <f>IF(ISNUMBER(SEARCH("R", 'WetLitterbags placem_collection'!$Y3)),"YES","NO")</f>
        <v>NO</v>
      </c>
      <c r="AJ296" s="245" t="str">
        <f>IF(ISNUMBER(SEARCH("C", 'WetLitterbags placem_collection'!$W3)),"YES","NO")</f>
        <v>NO</v>
      </c>
      <c r="AK296" s="245" t="str">
        <f>IF(ISNUMBER(SEARCH("H", 'WetLitterbags placem_collection'!$W3)),"YES","NO")</f>
        <v>YES</v>
      </c>
      <c r="AL296" s="245" t="str">
        <f>IF(ISNUMBER(SEARCH("R", 'WetLitterbags placem_collection'!$W3)),"YES","NO")</f>
        <v>NO</v>
      </c>
      <c r="AM296" s="245"/>
    </row>
    <row r="297" spans="1:39">
      <c r="B297" t="str">
        <f>Wetseason!B443</f>
        <v>Wet</v>
      </c>
      <c r="C297" s="374">
        <f>Wetseason!C443</f>
        <v>2</v>
      </c>
      <c r="D297" t="s">
        <v>3099</v>
      </c>
      <c r="E297" t="s">
        <v>25</v>
      </c>
      <c r="F297" s="374">
        <v>2</v>
      </c>
      <c r="G297" s="376">
        <f>'WetLitterbags placem_collection'!E4</f>
        <v>42766</v>
      </c>
      <c r="H297" s="92" t="str">
        <f>Wetseason!L443</f>
        <v>G737</v>
      </c>
      <c r="I297" s="92" t="str">
        <f>Wetseason!L663</f>
        <v>R527</v>
      </c>
      <c r="J297">
        <f>IFERROR(INDEX('Green_rooibos initial weight'!$C$5:$C$2000,MATCH(H297, 'Green_rooibos initial weight'!$A$5:$A$2000,0)),"")</f>
        <v>1.841</v>
      </c>
      <c r="K297">
        <f>IFERROR(INDEX('Green_rooibos initial weight'!$C$5:$C$2000,MATCH(I297, 'Green_rooibos initial weight'!$A$5:$A$2000,0)),"")</f>
        <v>2.1859999999999999</v>
      </c>
      <c r="L297" s="194">
        <f t="shared" si="54"/>
        <v>1.5911999999999999</v>
      </c>
      <c r="M297" s="194">
        <f>AVERAGE(Ashed_controlls!$K$2:$K$11)</f>
        <v>5.5147656768714146</v>
      </c>
      <c r="N297" s="377">
        <f t="shared" si="41"/>
        <v>1.5034490485496219</v>
      </c>
      <c r="O297" s="194">
        <f t="shared" si="45"/>
        <v>1.9361999999999999</v>
      </c>
      <c r="P297" s="194">
        <f>AVERAGE(Ashed_controlls!$K$12:$K$14)</f>
        <v>2.2816647271287041</v>
      </c>
      <c r="Q297" s="194">
        <f t="shared" si="46"/>
        <v>1.8920224075533341</v>
      </c>
      <c r="R297" s="16">
        <f>IF('WetLitterbags placem_collection'!G4="","",'WetLitterbags placem_collection'!G4)</f>
        <v>42818</v>
      </c>
      <c r="S297" s="194">
        <f>IFERROR(INDEX('Both teabags AfterWet'!$C$3:$C$2000,MATCH(H297,'Both teabags AfterWet'!$A$3:$A$2000,0)),"")</f>
        <v>0.57869999999999999</v>
      </c>
      <c r="T297" s="194">
        <f>IFERROR(INDEX('Both teabags AfterWet'!$C$3:$C$2000,MATCH(I297,'Both teabags AfterWet'!$A$3:$A$2000,0)),"")</f>
        <v>1.3275999999999999</v>
      </c>
      <c r="U297" s="194">
        <f t="shared" si="47"/>
        <v>0.42809999999999998</v>
      </c>
      <c r="V297" s="194">
        <f t="shared" si="48"/>
        <v>1.1769999999999998</v>
      </c>
      <c r="W297" s="194">
        <f>IFERROR(INDEX('Ashed teabags wet'!$K$2:$K$2000,MATCH(H297,'Ashed teabags wet'!$A$2:$A$2000,0)),"")</f>
        <v>8.1337325349297291</v>
      </c>
      <c r="X297" s="233">
        <f>IFERROR(INDEX('Ashed teabags wet'!$K$2:$K$2000,MATCH(I297,'Ashed teabags wet'!$A$2:$A$2000,0)),"")</f>
        <v>4.4433349975038503</v>
      </c>
      <c r="Y297" s="194">
        <f t="shared" si="53"/>
        <v>0.39327949101796583</v>
      </c>
      <c r="Z297" s="194">
        <f t="shared" si="53"/>
        <v>1.1247019470793795</v>
      </c>
      <c r="AA297" s="194">
        <f t="shared" si="49"/>
        <v>0.73841515188202567</v>
      </c>
      <c r="AB297" s="194">
        <f t="shared" si="50"/>
        <v>0.48409164351410716</v>
      </c>
      <c r="AC297" s="194">
        <f t="shared" si="42"/>
        <v>0.59444430604486664</v>
      </c>
      <c r="AD297">
        <f t="shared" si="43"/>
        <v>52</v>
      </c>
      <c r="AE297" s="194">
        <f t="shared" si="51"/>
        <v>0.12302238493821172</v>
      </c>
      <c r="AF297" s="194">
        <f t="shared" si="52"/>
        <v>3.4975341514860286E-2</v>
      </c>
      <c r="AG297" s="245" t="str">
        <f>IF(ISNUMBER(SEARCH("C",'WetLitterbags placem_collection'!$Y4)),"YES","NO")</f>
        <v>NO</v>
      </c>
      <c r="AH297" s="245" t="str">
        <f>IF(ISNUMBER(SEARCH("H", 'WetLitterbags placem_collection'!$Y4)),"YES","NO")</f>
        <v>NO</v>
      </c>
      <c r="AI297" s="245" t="str">
        <f>IF(ISNUMBER(SEARCH("R", 'WetLitterbags placem_collection'!$Y4)),"YES","NO")</f>
        <v>NO</v>
      </c>
      <c r="AJ297" s="245" t="str">
        <f>IF(ISNUMBER(SEARCH("C", 'WetLitterbags placem_collection'!$W4)),"YES","NO")</f>
        <v>NO</v>
      </c>
      <c r="AK297" s="245" t="str">
        <f>IF(ISNUMBER(SEARCH("H", 'WetLitterbags placem_collection'!$W4)),"YES","NO")</f>
        <v>NO</v>
      </c>
      <c r="AL297" s="245" t="str">
        <f>IF(ISNUMBER(SEARCH("R", 'WetLitterbags placem_collection'!$W4)),"YES","NO")</f>
        <v>NO</v>
      </c>
    </row>
    <row r="298" spans="1:39">
      <c r="B298" t="str">
        <f>Wetseason!B444</f>
        <v>Wet</v>
      </c>
      <c r="C298" s="253">
        <f>Wetseason!C444</f>
        <v>3</v>
      </c>
      <c r="D298" t="s">
        <v>3099</v>
      </c>
      <c r="E298" t="s">
        <v>25</v>
      </c>
      <c r="F298" s="374">
        <v>3</v>
      </c>
      <c r="G298" s="16">
        <f>'WetLitterbags placem_collection'!E5</f>
        <v>42766</v>
      </c>
      <c r="H298" s="92" t="str">
        <f>Wetseason!L444</f>
        <v>G661</v>
      </c>
      <c r="I298" t="str">
        <f>Wetseason!L664</f>
        <v>R498</v>
      </c>
      <c r="J298">
        <f>IFERROR(INDEX('Green_rooibos initial weight'!$C$5:$C$2000,MATCH(H298, 'Green_rooibos initial weight'!$A$5:$A$2000,0)),"")</f>
        <v>2.0630000000000002</v>
      </c>
      <c r="K298">
        <f>IFERROR(INDEX('Green_rooibos initial weight'!$C$5:$C$2000,MATCH(I298, 'Green_rooibos initial weight'!$A$5:$A$2000,0)),"")</f>
        <v>2.1520000000000001</v>
      </c>
      <c r="L298" s="194">
        <f t="shared" si="54"/>
        <v>1.8132000000000001</v>
      </c>
      <c r="M298" s="194">
        <f>AVERAGE(Ashed_controlls!$K$2:$K$11)</f>
        <v>5.5147656768714146</v>
      </c>
      <c r="N298" s="194">
        <f t="shared" si="41"/>
        <v>1.7132062687469676</v>
      </c>
      <c r="O298" s="194">
        <f t="shared" si="45"/>
        <v>1.9022000000000001</v>
      </c>
      <c r="P298" s="194">
        <f>AVERAGE(Ashed_controlls!$K$12:$K$14)</f>
        <v>2.2816647271287041</v>
      </c>
      <c r="Q298" s="194">
        <f t="shared" si="46"/>
        <v>1.8587981735605579</v>
      </c>
      <c r="R298" s="16">
        <f>IF('WetLitterbags placem_collection'!G5="","",'WetLitterbags placem_collection'!G5)</f>
        <v>42819</v>
      </c>
      <c r="S298" s="194" t="str">
        <f>IFERROR(INDEX('Both teabags AfterWet'!$C$3:$C$2000,MATCH(H298,'Both teabags AfterWet'!$A$3:$A$2000,0)),"")</f>
        <v/>
      </c>
      <c r="T298" s="194" t="str">
        <f>IFERROR(INDEX('Both teabags AfterWet'!$C$3:$C$2000,MATCH(I298,'Both teabags AfterWet'!$A$3:$A$2000,0)),"")</f>
        <v/>
      </c>
      <c r="U298" s="194" t="str">
        <f t="shared" si="47"/>
        <v/>
      </c>
      <c r="V298" s="194" t="str">
        <f t="shared" si="48"/>
        <v/>
      </c>
      <c r="W298" s="194" t="str">
        <f>IFERROR(INDEX('Ashed teabags wet'!$K$2:$K$2000,MATCH(H298,'Ashed teabags wet'!$A$2:$A$2000,0)),"")</f>
        <v/>
      </c>
      <c r="X298" s="233" t="str">
        <f>IFERROR(INDEX('Ashed teabags wet'!$K$2:$K$2000,MATCH(I298,'Ashed teabags wet'!$A$2:$A$2000,0)),"")</f>
        <v/>
      </c>
      <c r="Y298" s="194" t="str">
        <f t="shared" si="53"/>
        <v/>
      </c>
      <c r="Z298" s="194" t="str">
        <f t="shared" si="53"/>
        <v/>
      </c>
      <c r="AA298" s="194" t="str">
        <f t="shared" si="49"/>
        <v/>
      </c>
      <c r="AB298" s="194" t="str">
        <f t="shared" si="50"/>
        <v/>
      </c>
      <c r="AC298" s="194" t="str">
        <f t="shared" si="42"/>
        <v/>
      </c>
      <c r="AD298">
        <f t="shared" si="43"/>
        <v>53</v>
      </c>
      <c r="AE298" s="194" t="str">
        <f t="shared" si="51"/>
        <v/>
      </c>
      <c r="AF298" s="194" t="str">
        <f t="shared" si="52"/>
        <v/>
      </c>
      <c r="AG298" s="245" t="str">
        <f>IF(ISNUMBER(SEARCH("C",'WetLitterbags placem_collection'!$Y5)),"YES","NO")</f>
        <v>NO</v>
      </c>
      <c r="AH298" s="245" t="str">
        <f>IF(ISNUMBER(SEARCH("H", 'WetLitterbags placem_collection'!$Y5)),"YES","NO")</f>
        <v>NO</v>
      </c>
      <c r="AI298" s="245" t="str">
        <f>IF(ISNUMBER(SEARCH("R", 'WetLitterbags placem_collection'!$Y5)),"YES","NO")</f>
        <v>NO</v>
      </c>
      <c r="AJ298" s="245" t="str">
        <f>IF(ISNUMBER(SEARCH("C", 'WetLitterbags placem_collection'!$W5)),"YES","NO")</f>
        <v>NO</v>
      </c>
      <c r="AK298" s="245" t="str">
        <f>IF(ISNUMBER(SEARCH("H", 'WetLitterbags placem_collection'!$W5)),"YES","NO")</f>
        <v>NO</v>
      </c>
      <c r="AL298" s="245" t="str">
        <f>IF(ISNUMBER(SEARCH("R", 'WetLitterbags placem_collection'!$W5)),"YES","NO")</f>
        <v>NO</v>
      </c>
    </row>
    <row r="299" spans="1:39">
      <c r="B299" t="str">
        <f>Wetseason!B445</f>
        <v>Wet</v>
      </c>
      <c r="C299" s="253">
        <f>Wetseason!C445</f>
        <v>4</v>
      </c>
      <c r="D299" t="s">
        <v>3099</v>
      </c>
      <c r="E299" t="s">
        <v>25</v>
      </c>
      <c r="F299" s="375">
        <v>4</v>
      </c>
      <c r="G299" s="16">
        <f>'WetLitterbags placem_collection'!E6</f>
        <v>42766</v>
      </c>
      <c r="H299" s="92" t="str">
        <f>Wetseason!L445</f>
        <v>G532</v>
      </c>
      <c r="I299" t="str">
        <f>Wetseason!L665</f>
        <v>R508</v>
      </c>
      <c r="J299">
        <f>IFERROR(INDEX('Green_rooibos initial weight'!$C$5:$C$2000,MATCH(H299, 'Green_rooibos initial weight'!$A$5:$A$2000,0)),"")</f>
        <v>2.036</v>
      </c>
      <c r="K299">
        <f>IFERROR(INDEX('Green_rooibos initial weight'!$C$5:$C$2000,MATCH(I299, 'Green_rooibos initial weight'!$A$5:$A$2000,0)),"")</f>
        <v>2.169</v>
      </c>
      <c r="L299" s="194">
        <f t="shared" si="54"/>
        <v>1.7862</v>
      </c>
      <c r="M299" s="194">
        <f>AVERAGE(Ashed_controlls!$K$2:$K$11)</f>
        <v>5.5147656768714146</v>
      </c>
      <c r="N299" s="194">
        <f t="shared" si="41"/>
        <v>1.6876952554797229</v>
      </c>
      <c r="O299" s="194">
        <f t="shared" si="45"/>
        <v>1.9192</v>
      </c>
      <c r="P299" s="194">
        <f>AVERAGE(Ashed_controlls!$K$12:$K$14)</f>
        <v>2.2816647271287041</v>
      </c>
      <c r="Q299" s="194">
        <f t="shared" si="46"/>
        <v>1.8754102905569459</v>
      </c>
      <c r="R299" s="16">
        <f>IF('WetLitterbags placem_collection'!G6="","",'WetLitterbags placem_collection'!G6)</f>
        <v>42818</v>
      </c>
      <c r="S299" s="194">
        <f>IFERROR(INDEX('Both teabags AfterWet'!$C$3:$C$2000,MATCH(H299,'Both teabags AfterWet'!$A$3:$A$2000,0)),"")</f>
        <v>0.55969999999999998</v>
      </c>
      <c r="T299" s="194">
        <f>IFERROR(INDEX('Both teabags AfterWet'!$C$3:$C$2000,MATCH(I299,'Both teabags AfterWet'!$A$3:$A$2000,0)),"")</f>
        <v>1.3392999999999999</v>
      </c>
      <c r="U299" s="194">
        <f t="shared" si="47"/>
        <v>0.40909999999999996</v>
      </c>
      <c r="V299" s="194">
        <f t="shared" si="48"/>
        <v>1.1886999999999999</v>
      </c>
      <c r="W299" s="194">
        <f>IFERROR(INDEX('Ashed teabags wet'!$K$2:$K$2000,MATCH(H299,'Ashed teabags wet'!$A$2:$A$2000,0)),"")</f>
        <v>9.5283926852740137</v>
      </c>
      <c r="X299" s="233">
        <f>IFERROR(INDEX('Ashed teabags wet'!$K$2:$K$2000,MATCH(I299,'Ashed teabags wet'!$A$2:$A$2000,0)),"")</f>
        <v>4.9578582052553344</v>
      </c>
      <c r="Y299" s="194">
        <f t="shared" si="53"/>
        <v>0.37011934552454395</v>
      </c>
      <c r="Z299" s="194">
        <f t="shared" si="53"/>
        <v>1.1297659395141297</v>
      </c>
      <c r="AA299" s="194">
        <f t="shared" si="49"/>
        <v>0.78069539253439535</v>
      </c>
      <c r="AB299" s="194">
        <f t="shared" si="50"/>
        <v>0.51180980603205017</v>
      </c>
      <c r="AC299" s="194">
        <f t="shared" si="42"/>
        <v>0.60241001406610606</v>
      </c>
      <c r="AD299">
        <f t="shared" si="43"/>
        <v>52</v>
      </c>
      <c r="AE299" s="194">
        <f t="shared" si="51"/>
        <v>7.2808322405706227E-2</v>
      </c>
      <c r="AF299" s="194">
        <f t="shared" si="52"/>
        <v>2.8842850870079397E-2</v>
      </c>
      <c r="AG299" s="245" t="str">
        <f>IF(ISNUMBER(SEARCH("C",'WetLitterbags placem_collection'!$Y6)),"YES","NO")</f>
        <v>NO</v>
      </c>
      <c r="AH299" s="245" t="str">
        <f>IF(ISNUMBER(SEARCH("H", 'WetLitterbags placem_collection'!$Y6)),"YES","NO")</f>
        <v>NO</v>
      </c>
      <c r="AI299" s="245" t="str">
        <f>IF(ISNUMBER(SEARCH("R", 'WetLitterbags placem_collection'!$Y6)),"YES","NO")</f>
        <v>NO</v>
      </c>
      <c r="AJ299" s="245" t="str">
        <f>IF(ISNUMBER(SEARCH("C", 'WetLitterbags placem_collection'!$W6)),"YES","NO")</f>
        <v>NO</v>
      </c>
      <c r="AK299" s="245" t="str">
        <f>IF(ISNUMBER(SEARCH("H", 'WetLitterbags placem_collection'!$W6)),"YES","NO")</f>
        <v>NO</v>
      </c>
      <c r="AL299" s="245" t="str">
        <f>IF(ISNUMBER(SEARCH("R", 'WetLitterbags placem_collection'!$W6)),"YES","NO")</f>
        <v>YES</v>
      </c>
    </row>
    <row r="300" spans="1:39">
      <c r="B300" t="str">
        <f>Wetseason!B446</f>
        <v>Wet</v>
      </c>
      <c r="C300" s="253">
        <f>Wetseason!C446</f>
        <v>5</v>
      </c>
      <c r="D300" t="s">
        <v>3099</v>
      </c>
      <c r="E300" t="s">
        <v>25</v>
      </c>
      <c r="F300" s="375">
        <v>5</v>
      </c>
      <c r="G300" s="16">
        <f>'WetLitterbags placem_collection'!E7</f>
        <v>42766</v>
      </c>
      <c r="H300" s="92" t="str">
        <f>Wetseason!L446</f>
        <v>G577</v>
      </c>
      <c r="I300" t="str">
        <f>Wetseason!L666</f>
        <v>R38</v>
      </c>
      <c r="J300">
        <f>IFERROR(INDEX('Green_rooibos initial weight'!$C$5:$C$2000,MATCH(H300, 'Green_rooibos initial weight'!$A$5:$A$2000,0)),"")</f>
        <v>1.9830000000000001</v>
      </c>
      <c r="K300">
        <f>IFERROR(INDEX('Green_rooibos initial weight'!$C$5:$C$2000,MATCH(I300, 'Green_rooibos initial weight'!$A$5:$A$2000,0)),"")</f>
        <v>2.12</v>
      </c>
      <c r="L300" s="194">
        <f t="shared" si="54"/>
        <v>1.7332000000000001</v>
      </c>
      <c r="M300" s="194">
        <f>AVERAGE(Ashed_controlls!$K$2:$K$11)</f>
        <v>5.5147656768714146</v>
      </c>
      <c r="N300" s="194">
        <f t="shared" si="41"/>
        <v>1.6376180812884646</v>
      </c>
      <c r="O300" s="194">
        <f t="shared" si="45"/>
        <v>1.8702000000000001</v>
      </c>
      <c r="P300" s="194">
        <f>AVERAGE(Ashed_controlls!$K$12:$K$14)</f>
        <v>2.2816647271287041</v>
      </c>
      <c r="Q300" s="194">
        <f t="shared" si="46"/>
        <v>1.827528306273239</v>
      </c>
      <c r="R300" s="16">
        <f>IF('WetLitterbags placem_collection'!G7="","",'WetLitterbags placem_collection'!G7)</f>
        <v>42818</v>
      </c>
      <c r="S300" s="194">
        <f>IFERROR(INDEX('Both teabags AfterWet'!$C$3:$C$2000,MATCH(H300,'Both teabags AfterWet'!$A$3:$A$2000,0)),"")</f>
        <v>0.41870000000000002</v>
      </c>
      <c r="T300" s="194">
        <f>IFERROR(INDEX('Both teabags AfterWet'!$C$3:$C$2000,MATCH(I300,'Both teabags AfterWet'!$A$3:$A$2000,0)),"")</f>
        <v>1.2627999999999999</v>
      </c>
      <c r="U300" s="194">
        <f t="shared" si="47"/>
        <v>0.2681</v>
      </c>
      <c r="V300" s="194">
        <f t="shared" si="48"/>
        <v>1.1121999999999999</v>
      </c>
      <c r="W300" s="194">
        <f>IFERROR(INDEX('Ashed teabags wet'!$K$2:$K$2000,MATCH(H300,'Ashed teabags wet'!$A$2:$A$2000,0)),"")</f>
        <v>14.349775784752945</v>
      </c>
      <c r="X300" s="233">
        <f>IFERROR(INDEX('Ashed teabags wet'!$K$2:$K$2000,MATCH(I300,'Ashed teabags wet'!$A$2:$A$2000,0)),"")</f>
        <v>5.8070866141733264</v>
      </c>
      <c r="Y300" s="194">
        <f t="shared" si="53"/>
        <v>0.22962825112107738</v>
      </c>
      <c r="Z300" s="194">
        <f t="shared" si="53"/>
        <v>1.0476135826771642</v>
      </c>
      <c r="AA300" s="194">
        <f t="shared" si="49"/>
        <v>0.85977911837636301</v>
      </c>
      <c r="AB300" s="194">
        <f t="shared" si="50"/>
        <v>0.56365566905433784</v>
      </c>
      <c r="AC300" s="194">
        <f t="shared" si="42"/>
        <v>0.57324068747996315</v>
      </c>
      <c r="AD300">
        <f t="shared" si="43"/>
        <v>52</v>
      </c>
      <c r="AE300" s="194">
        <f t="shared" si="51"/>
        <v>-2.1115342489742339E-2</v>
      </c>
      <c r="AF300" s="194">
        <f t="shared" si="52"/>
        <v>2.7215758294663123E-2</v>
      </c>
      <c r="AG300" s="245" t="str">
        <f>IF(ISNUMBER(SEARCH("C",'WetLitterbags placem_collection'!$Y7)),"YES","NO")</f>
        <v>NO</v>
      </c>
      <c r="AH300" s="245" t="str">
        <f>IF(ISNUMBER(SEARCH("H", 'WetLitterbags placem_collection'!$Y7)),"YES","NO")</f>
        <v>NO</v>
      </c>
      <c r="AI300" s="245" t="str">
        <f>IF(ISNUMBER(SEARCH("R", 'WetLitterbags placem_collection'!$Y7)),"YES","NO")</f>
        <v>NO</v>
      </c>
      <c r="AJ300" s="245" t="str">
        <f>IF(ISNUMBER(SEARCH("C", 'WetLitterbags placem_collection'!$W7)),"YES","NO")</f>
        <v>NO</v>
      </c>
      <c r="AK300" s="245" t="str">
        <f>IF(ISNUMBER(SEARCH("H", 'WetLitterbags placem_collection'!$W7)),"YES","NO")</f>
        <v>NO</v>
      </c>
      <c r="AL300" s="245" t="str">
        <f>IF(ISNUMBER(SEARCH("R", 'WetLitterbags placem_collection'!$W7)),"YES","NO")</f>
        <v>NO</v>
      </c>
    </row>
    <row r="301" spans="1:39">
      <c r="B301" t="str">
        <f>Wetseason!B447</f>
        <v>Wet</v>
      </c>
      <c r="C301" s="253">
        <f>Wetseason!C447</f>
        <v>6</v>
      </c>
      <c r="D301" t="s">
        <v>3099</v>
      </c>
      <c r="E301" t="s">
        <v>25</v>
      </c>
      <c r="F301" s="375">
        <v>6</v>
      </c>
      <c r="G301" s="16">
        <f>'WetLitterbags placem_collection'!E8</f>
        <v>42766</v>
      </c>
      <c r="H301" s="92" t="str">
        <f>Wetseason!L447</f>
        <v>G634</v>
      </c>
      <c r="I301" t="str">
        <f>Wetseason!L667</f>
        <v>R59</v>
      </c>
      <c r="J301">
        <f>IFERROR(INDEX('Green_rooibos initial weight'!$C$5:$C$2000,MATCH(H301, 'Green_rooibos initial weight'!$A$5:$A$2000,0)),"")</f>
        <v>2.02</v>
      </c>
      <c r="K301">
        <f>IFERROR(INDEX('Green_rooibos initial weight'!$C$5:$C$2000,MATCH(I301, 'Green_rooibos initial weight'!$A$5:$A$2000,0)),"")</f>
        <v>2.2029999999999998</v>
      </c>
      <c r="L301" s="194">
        <f t="shared" si="54"/>
        <v>1.7702</v>
      </c>
      <c r="M301" s="194">
        <f>AVERAGE(Ashed_controlls!$K$2:$K$11)</f>
        <v>5.5147656768714146</v>
      </c>
      <c r="N301" s="194">
        <f t="shared" si="41"/>
        <v>1.6725776179880223</v>
      </c>
      <c r="O301" s="194">
        <f t="shared" si="45"/>
        <v>1.9531999999999998</v>
      </c>
      <c r="P301" s="194">
        <f>AVERAGE(Ashed_controlls!$K$12:$K$14)</f>
        <v>2.2816647271287041</v>
      </c>
      <c r="Q301" s="194">
        <f t="shared" si="46"/>
        <v>1.908634524549722</v>
      </c>
      <c r="R301" s="16">
        <f>IF('WetLitterbags placem_collection'!G8="","",'WetLitterbags placem_collection'!G8)</f>
        <v>42818</v>
      </c>
      <c r="S301" s="194">
        <f>IFERROR(INDEX('Both teabags AfterWet'!$C$3:$C$2000,MATCH(H301,'Both teabags AfterWet'!$A$3:$A$2000,0)),"")</f>
        <v>0.60129999999999995</v>
      </c>
      <c r="T301" s="194">
        <f>IFERROR(INDEX('Both teabags AfterWet'!$C$3:$C$2000,MATCH(I301,'Both teabags AfterWet'!$A$3:$A$2000,0)),"")</f>
        <v>1.4990000000000001</v>
      </c>
      <c r="U301" s="194">
        <f t="shared" si="47"/>
        <v>0.45069999999999993</v>
      </c>
      <c r="V301" s="194">
        <f t="shared" si="48"/>
        <v>1.3484</v>
      </c>
      <c r="W301" s="194">
        <f>IFERROR(INDEX('Ashed teabags wet'!$K$2:$K$2000,MATCH(H301,'Ashed teabags wet'!$A$2:$A$2000,0)),"")</f>
        <v>9.6630327056488774</v>
      </c>
      <c r="X301" s="233">
        <f>IFERROR(INDEX('Ashed teabags wet'!$K$2:$K$2000,MATCH(I301,'Ashed teabags wet'!$A$2:$A$2000,0)),"")</f>
        <v>5.3641732283467132</v>
      </c>
      <c r="Y301" s="194">
        <f t="shared" si="53"/>
        <v>0.40714871159564048</v>
      </c>
      <c r="Z301" s="194">
        <f t="shared" si="53"/>
        <v>1.2760694881889729</v>
      </c>
      <c r="AA301" s="194">
        <f t="shared" si="49"/>
        <v>0.75657410022895799</v>
      </c>
      <c r="AB301" s="194">
        <f t="shared" si="50"/>
        <v>0.49599632224036205</v>
      </c>
      <c r="AC301" s="194">
        <f t="shared" si="42"/>
        <v>0.66857718006018907</v>
      </c>
      <c r="AD301">
        <f t="shared" si="43"/>
        <v>52</v>
      </c>
      <c r="AE301" s="194">
        <f t="shared" si="51"/>
        <v>0.10145593797035868</v>
      </c>
      <c r="AF301" s="194">
        <f t="shared" si="52"/>
        <v>2.121560036449471E-2</v>
      </c>
      <c r="AG301" s="245" t="str">
        <f>IF(ISNUMBER(SEARCH("C",'WetLitterbags placem_collection'!$Y8)),"YES","NO")</f>
        <v>NO</v>
      </c>
      <c r="AH301" s="245" t="str">
        <f>IF(ISNUMBER(SEARCH("H", 'WetLitterbags placem_collection'!$Y8)),"YES","NO")</f>
        <v>NO</v>
      </c>
      <c r="AI301" s="245" t="str">
        <f>IF(ISNUMBER(SEARCH("R", 'WetLitterbags placem_collection'!$Y8)),"YES","NO")</f>
        <v>YES</v>
      </c>
      <c r="AJ301" s="245" t="str">
        <f>IF(ISNUMBER(SEARCH("C", 'WetLitterbags placem_collection'!$W8)),"YES","NO")</f>
        <v>NO</v>
      </c>
      <c r="AK301" s="245" t="str">
        <f>IF(ISNUMBER(SEARCH("H", 'WetLitterbags placem_collection'!$W8)),"YES","NO")</f>
        <v>NO</v>
      </c>
      <c r="AL301" s="245" t="str">
        <f>IF(ISNUMBER(SEARCH("R", 'WetLitterbags placem_collection'!$W8)),"YES","NO")</f>
        <v>YES</v>
      </c>
    </row>
    <row r="302" spans="1:39">
      <c r="B302" t="str">
        <f>Wetseason!B448</f>
        <v>Wet</v>
      </c>
      <c r="C302" s="253">
        <f>Wetseason!C448</f>
        <v>7</v>
      </c>
      <c r="D302" t="s">
        <v>3099</v>
      </c>
      <c r="E302" t="s">
        <v>25</v>
      </c>
      <c r="F302" s="375">
        <v>7</v>
      </c>
      <c r="G302" s="16">
        <f>'WetLitterbags placem_collection'!E9</f>
        <v>42766</v>
      </c>
      <c r="H302" s="92" t="str">
        <f>Wetseason!L448</f>
        <v>G665</v>
      </c>
      <c r="I302" t="str">
        <f>Wetseason!L668</f>
        <v>R398</v>
      </c>
      <c r="J302">
        <f>IFERROR(INDEX('Green_rooibos initial weight'!$C$5:$C$2000,MATCH(H302, 'Green_rooibos initial weight'!$A$5:$A$2000,0)),"")</f>
        <v>2.09</v>
      </c>
      <c r="K302">
        <f>IFERROR(INDEX('Green_rooibos initial weight'!$C$5:$C$2000,MATCH(I302, 'Green_rooibos initial weight'!$A$5:$A$2000,0)),"")</f>
        <v>2.19</v>
      </c>
      <c r="L302" s="194">
        <f t="shared" si="54"/>
        <v>1.8401999999999998</v>
      </c>
      <c r="M302" s="194">
        <f>AVERAGE(Ashed_controlls!$K$2:$K$11)</f>
        <v>5.5147656768714146</v>
      </c>
      <c r="N302" s="194">
        <f t="shared" si="41"/>
        <v>1.7387172820142121</v>
      </c>
      <c r="O302" s="194">
        <f t="shared" si="45"/>
        <v>1.9401999999999999</v>
      </c>
      <c r="P302" s="194">
        <f>AVERAGE(Ashed_controlls!$K$12:$K$14)</f>
        <v>2.2816647271287041</v>
      </c>
      <c r="Q302" s="194">
        <f t="shared" si="46"/>
        <v>1.8959311409642488</v>
      </c>
      <c r="R302" s="16">
        <f>IF('WetLitterbags placem_collection'!G9="","",'WetLitterbags placem_collection'!G9)</f>
        <v>42818</v>
      </c>
      <c r="S302" s="194">
        <f>IFERROR(INDEX('Both teabags AfterWet'!$C$3:$C$2000,MATCH(H302,'Both teabags AfterWet'!$A$3:$A$2000,0)),"")</f>
        <v>0.56399999999999995</v>
      </c>
      <c r="T302" s="194">
        <f>IFERROR(INDEX('Both teabags AfterWet'!$C$3:$C$2000,MATCH(I302,'Both teabags AfterWet'!$A$3:$A$2000,0)),"")</f>
        <v>1.518</v>
      </c>
      <c r="U302" s="194">
        <f t="shared" si="47"/>
        <v>0.41339999999999993</v>
      </c>
      <c r="V302" s="194">
        <f t="shared" si="48"/>
        <v>1.3673999999999999</v>
      </c>
      <c r="W302" s="194">
        <f>IFERROR(INDEX('Ashed teabags wet'!$K$2:$K$2000,MATCH(H302,'Ashed teabags wet'!$A$2:$A$2000,0)),"")</f>
        <v>10.694923607688283</v>
      </c>
      <c r="X302" s="233">
        <f>IFERROR(INDEX('Ashed teabags wet'!$K$2:$K$2000,MATCH(I302,'Ashed teabags wet'!$A$2:$A$2000,0)),"")</f>
        <v>3.7092731829574301</v>
      </c>
      <c r="Y302" s="194">
        <f t="shared" si="53"/>
        <v>0.36918718580581655</v>
      </c>
      <c r="Z302" s="194">
        <f t="shared" si="53"/>
        <v>1.3166793984962402</v>
      </c>
      <c r="AA302" s="194">
        <f t="shared" si="49"/>
        <v>0.78766692571311381</v>
      </c>
      <c r="AB302" s="194">
        <f t="shared" si="50"/>
        <v>0.5163802173321127</v>
      </c>
      <c r="AC302" s="194">
        <f t="shared" si="42"/>
        <v>0.69447638157712421</v>
      </c>
      <c r="AD302">
        <f t="shared" si="43"/>
        <v>52</v>
      </c>
      <c r="AE302" s="194">
        <f t="shared" si="51"/>
        <v>6.452859178965098E-2</v>
      </c>
      <c r="AF302" s="194">
        <f t="shared" si="52"/>
        <v>1.7224328327475811E-2</v>
      </c>
      <c r="AG302" s="245" t="str">
        <f>IF(ISNUMBER(SEARCH("C",'WetLitterbags placem_collection'!$Y9)),"YES","NO")</f>
        <v>NO</v>
      </c>
      <c r="AH302" s="245" t="str">
        <f>IF(ISNUMBER(SEARCH("H", 'WetLitterbags placem_collection'!$Y9)),"YES","NO")</f>
        <v>NO</v>
      </c>
      <c r="AI302" s="245" t="str">
        <f>IF(ISNUMBER(SEARCH("R", 'WetLitterbags placem_collection'!$Y9)),"YES","NO")</f>
        <v>YES</v>
      </c>
      <c r="AJ302" s="245" t="str">
        <f>IF(ISNUMBER(SEARCH("C", 'WetLitterbags placem_collection'!$W9)),"YES","NO")</f>
        <v>NO</v>
      </c>
      <c r="AK302" s="245" t="str">
        <f>IF(ISNUMBER(SEARCH("H", 'WetLitterbags placem_collection'!$W9)),"YES","NO")</f>
        <v>NO</v>
      </c>
      <c r="AL302" s="245" t="str">
        <f>IF(ISNUMBER(SEARCH("R", 'WetLitterbags placem_collection'!$W9)),"YES","NO")</f>
        <v>NO</v>
      </c>
    </row>
    <row r="303" spans="1:39">
      <c r="B303" t="str">
        <f>Wetseason!B449</f>
        <v>Wet</v>
      </c>
      <c r="C303" s="253">
        <f>Wetseason!C449</f>
        <v>8</v>
      </c>
      <c r="D303" t="s">
        <v>3099</v>
      </c>
      <c r="E303" t="s">
        <v>25</v>
      </c>
      <c r="F303" s="375">
        <v>8</v>
      </c>
      <c r="G303" s="16">
        <f>'WetLitterbags placem_collection'!E10</f>
        <v>42766</v>
      </c>
      <c r="H303" s="92" t="str">
        <f>Wetseason!L449</f>
        <v>G701</v>
      </c>
      <c r="I303" t="str">
        <f>Wetseason!L669</f>
        <v>R512</v>
      </c>
      <c r="J303">
        <f>IFERROR(INDEX('Green_rooibos initial weight'!$C$5:$C$2000,MATCH(H303, 'Green_rooibos initial weight'!$A$5:$A$2000,0)),"")</f>
        <v>1.9159999999999999</v>
      </c>
      <c r="K303">
        <f>IFERROR(INDEX('Green_rooibos initial weight'!$C$5:$C$2000,MATCH(I303, 'Green_rooibos initial weight'!$A$5:$A$2000,0)),"")</f>
        <v>2.1509999999999998</v>
      </c>
      <c r="L303" s="194">
        <f t="shared" si="54"/>
        <v>1.6661999999999999</v>
      </c>
      <c r="M303" s="194">
        <f>AVERAGE(Ashed_controlls!$K$2:$K$11)</f>
        <v>5.5147656768714146</v>
      </c>
      <c r="N303" s="194">
        <f t="shared" si="41"/>
        <v>1.5743129742919684</v>
      </c>
      <c r="O303" s="194">
        <f t="shared" si="45"/>
        <v>1.9011999999999998</v>
      </c>
      <c r="P303" s="194">
        <f>AVERAGE(Ashed_controlls!$K$12:$K$14)</f>
        <v>2.2816647271287041</v>
      </c>
      <c r="Q303" s="194">
        <f t="shared" si="46"/>
        <v>1.8578209902078289</v>
      </c>
      <c r="R303" s="16">
        <f>IF('WetLitterbags placem_collection'!G10="","",'WetLitterbags placem_collection'!G10)</f>
        <v>42818</v>
      </c>
      <c r="S303" s="194">
        <f>IFERROR(INDEX('Both teabags AfterWet'!$C$3:$C$2000,MATCH(H303,'Both teabags AfterWet'!$A$3:$A$2000,0)),"")</f>
        <v>0.59260000000000002</v>
      </c>
      <c r="T303" s="194">
        <f>IFERROR(INDEX('Both teabags AfterWet'!$C$3:$C$2000,MATCH(I303,'Both teabags AfterWet'!$A$3:$A$2000,0)),"")</f>
        <v>1.4733000000000001</v>
      </c>
      <c r="U303" s="194">
        <f t="shared" si="47"/>
        <v>0.442</v>
      </c>
      <c r="V303" s="194">
        <f t="shared" si="48"/>
        <v>1.3227</v>
      </c>
      <c r="W303" s="194">
        <f>IFERROR(INDEX('Ashed teabags wet'!$K$2:$K$2000,MATCH(H303,'Ashed teabags wet'!$A$2:$A$2000,0)),"")</f>
        <v>8.8163662932295175</v>
      </c>
      <c r="X303" s="233">
        <f>IFERROR(INDEX('Ashed teabags wet'!$K$2:$K$2000,MATCH(I303,'Ashed teabags wet'!$A$2:$A$2000,0)),"")</f>
        <v>3.0097087378641909</v>
      </c>
      <c r="Y303" s="194">
        <f t="shared" si="53"/>
        <v>0.40303166098392551</v>
      </c>
      <c r="Z303" s="194">
        <f t="shared" si="53"/>
        <v>1.2828905825242702</v>
      </c>
      <c r="AA303" s="194">
        <f t="shared" si="49"/>
        <v>0.74399521088544351</v>
      </c>
      <c r="AB303" s="194">
        <f t="shared" si="50"/>
        <v>0.48774982946409129</v>
      </c>
      <c r="AC303" s="194">
        <f t="shared" si="42"/>
        <v>0.69053508884123282</v>
      </c>
      <c r="AD303">
        <f t="shared" si="43"/>
        <v>52</v>
      </c>
      <c r="AE303" s="194">
        <f t="shared" si="51"/>
        <v>0.11639523647809558</v>
      </c>
      <c r="AF303" s="194">
        <f t="shared" si="52"/>
        <v>1.9354224896821499E-2</v>
      </c>
      <c r="AG303" s="245" t="str">
        <f>IF(ISNUMBER(SEARCH("C",'WetLitterbags placem_collection'!$Y10)),"YES","NO")</f>
        <v>NO</v>
      </c>
      <c r="AH303" s="245" t="str">
        <f>IF(ISNUMBER(SEARCH("H", 'WetLitterbags placem_collection'!$Y10)),"YES","NO")</f>
        <v>NO</v>
      </c>
      <c r="AI303" s="245" t="str">
        <f>IF(ISNUMBER(SEARCH("R", 'WetLitterbags placem_collection'!$Y10)),"YES","NO")</f>
        <v>NO</v>
      </c>
      <c r="AJ303" s="245" t="str">
        <f>IF(ISNUMBER(SEARCH("C", 'WetLitterbags placem_collection'!$W10)),"YES","NO")</f>
        <v>NO</v>
      </c>
      <c r="AK303" s="245" t="str">
        <f>IF(ISNUMBER(SEARCH("H", 'WetLitterbags placem_collection'!$W10)),"YES","NO")</f>
        <v>NO</v>
      </c>
      <c r="AL303" s="245" t="str">
        <f>IF(ISNUMBER(SEARCH("R", 'WetLitterbags placem_collection'!$W10)),"YES","NO")</f>
        <v>YES</v>
      </c>
    </row>
    <row r="304" spans="1:39">
      <c r="B304" t="str">
        <f>Wetseason!B450</f>
        <v>Wet</v>
      </c>
      <c r="C304" s="253">
        <f>Wetseason!C450</f>
        <v>9</v>
      </c>
      <c r="D304" t="s">
        <v>3103</v>
      </c>
      <c r="E304" t="s">
        <v>25</v>
      </c>
      <c r="F304" s="374">
        <v>1</v>
      </c>
      <c r="G304" s="16">
        <f>'WetLitterbags placem_collection'!E11</f>
        <v>42766</v>
      </c>
      <c r="H304" s="92" t="str">
        <f>Wetseason!L450</f>
        <v>G476</v>
      </c>
      <c r="I304" t="str">
        <f>Wetseason!L670</f>
        <v>R101</v>
      </c>
      <c r="J304">
        <f>IFERROR(INDEX('Green_rooibos initial weight'!$C$5:$C$2000,MATCH(H304, 'Green_rooibos initial weight'!$A$5:$A$2000,0)),"")</f>
        <v>2.121</v>
      </c>
      <c r="K304">
        <f>IFERROR(INDEX('Green_rooibos initial weight'!$C$5:$C$2000,MATCH(I304, 'Green_rooibos initial weight'!$A$5:$A$2000,0)),"")</f>
        <v>2.3039999999999998</v>
      </c>
      <c r="L304" s="194">
        <f t="shared" si="54"/>
        <v>1.8712</v>
      </c>
      <c r="M304" s="194">
        <f>AVERAGE(Ashed_controlls!$K$2:$K$11)</f>
        <v>5.5147656768714146</v>
      </c>
      <c r="N304" s="194">
        <f t="shared" si="41"/>
        <v>1.7680077046543821</v>
      </c>
      <c r="O304" s="194">
        <f t="shared" si="45"/>
        <v>2.0541999999999998</v>
      </c>
      <c r="P304" s="194">
        <f>AVERAGE(Ashed_controlls!$K$12:$K$14)</f>
        <v>2.2816647271287041</v>
      </c>
      <c r="Q304" s="194">
        <f t="shared" si="46"/>
        <v>2.007330043175322</v>
      </c>
      <c r="R304" s="16">
        <f>IF('WetLitterbags placem_collection'!G11="","",'WetLitterbags placem_collection'!G11)</f>
        <v>42818</v>
      </c>
      <c r="S304" s="194">
        <f>IFERROR(INDEX('Both teabags AfterWet'!$C$3:$C$2000,MATCH(H304,'Both teabags AfterWet'!$A$3:$A$2000,0)),"")</f>
        <v>0.66479999999999995</v>
      </c>
      <c r="T304" s="194">
        <f>IFERROR(INDEX('Both teabags AfterWet'!$C$3:$C$2000,MATCH(I304,'Both teabags AfterWet'!$A$3:$A$2000,0)),"")</f>
        <v>1.5383</v>
      </c>
      <c r="U304" s="194">
        <f t="shared" si="47"/>
        <v>0.51419999999999999</v>
      </c>
      <c r="V304" s="194">
        <f t="shared" si="48"/>
        <v>1.3876999999999999</v>
      </c>
      <c r="W304" s="194">
        <f>IFERROR(INDEX('Ashed teabags wet'!$K$2:$K$2000,MATCH(H304,'Ashed teabags wet'!$A$2:$A$2000,0)),"")</f>
        <v>18.05555555555533</v>
      </c>
      <c r="X304" s="233">
        <f>IFERROR(INDEX('Ashed teabags wet'!$K$2:$K$2000,MATCH(I304,'Ashed teabags wet'!$A$2:$A$2000,0)),"")</f>
        <v>6.1446977205149187</v>
      </c>
      <c r="Y304" s="194">
        <f t="shared" si="53"/>
        <v>0.4213583333333345</v>
      </c>
      <c r="Z304" s="194">
        <f t="shared" si="53"/>
        <v>1.3024300297324145</v>
      </c>
      <c r="AA304" s="194">
        <f t="shared" si="49"/>
        <v>0.76167618940568849</v>
      </c>
      <c r="AB304" s="194">
        <f t="shared" si="50"/>
        <v>0.49934115980040394</v>
      </c>
      <c r="AC304" s="194">
        <f t="shared" si="42"/>
        <v>0.64883701320593401</v>
      </c>
      <c r="AD304">
        <f t="shared" si="43"/>
        <v>52</v>
      </c>
      <c r="AE304" s="194">
        <f t="shared" si="51"/>
        <v>9.5396449636949487E-2</v>
      </c>
      <c r="AF304" s="194">
        <f t="shared" si="52"/>
        <v>2.3362963995435953E-2</v>
      </c>
      <c r="AG304" s="245" t="str">
        <f>IF(ISNUMBER(SEARCH("C",'WetLitterbags placem_collection'!$Y11)),"YES","NO")</f>
        <v>NO</v>
      </c>
      <c r="AH304" s="245" t="str">
        <f>IF(ISNUMBER(SEARCH("H", 'WetLitterbags placem_collection'!$Y11)),"YES","NO")</f>
        <v>NO</v>
      </c>
      <c r="AI304" s="245" t="str">
        <f>IF(ISNUMBER(SEARCH("R", 'WetLitterbags placem_collection'!$Y11)),"YES","NO")</f>
        <v>NO</v>
      </c>
      <c r="AJ304" s="245" t="str">
        <f>IF(ISNUMBER(SEARCH("C", 'WetLitterbags placem_collection'!$W11)),"YES","NO")</f>
        <v>YES</v>
      </c>
      <c r="AK304" s="245" t="str">
        <f>IF(ISNUMBER(SEARCH("H", 'WetLitterbags placem_collection'!$W11)),"YES","NO")</f>
        <v>YES</v>
      </c>
      <c r="AL304" s="245" t="str">
        <f>IF(ISNUMBER(SEARCH("R", 'WetLitterbags placem_collection'!$W11)),"YES","NO")</f>
        <v>NO</v>
      </c>
    </row>
    <row r="305" spans="2:38">
      <c r="B305" t="str">
        <f>Wetseason!B451</f>
        <v>Wet</v>
      </c>
      <c r="C305" s="253">
        <f>Wetseason!C451</f>
        <v>10</v>
      </c>
      <c r="D305" t="s">
        <v>3103</v>
      </c>
      <c r="E305" t="s">
        <v>25</v>
      </c>
      <c r="F305" s="374">
        <v>2</v>
      </c>
      <c r="G305" s="16">
        <f>'WetLitterbags placem_collection'!E12</f>
        <v>42766</v>
      </c>
      <c r="H305" s="92" t="str">
        <f>Wetseason!L451</f>
        <v>G606</v>
      </c>
      <c r="I305" t="str">
        <f>Wetseason!L671</f>
        <v>R515</v>
      </c>
      <c r="J305">
        <f>IFERROR(INDEX('Green_rooibos initial weight'!$C$5:$C$2000,MATCH(H305, 'Green_rooibos initial weight'!$A$5:$A$2000,0)),"")</f>
        <v>1.921</v>
      </c>
      <c r="K305">
        <f>IFERROR(INDEX('Green_rooibos initial weight'!$C$5:$C$2000,MATCH(I305, 'Green_rooibos initial weight'!$A$5:$A$2000,0)),"")</f>
        <v>2.2050000000000001</v>
      </c>
      <c r="L305" s="194">
        <f t="shared" si="54"/>
        <v>1.6712</v>
      </c>
      <c r="M305" s="194">
        <f>AVERAGE(Ashed_controlls!$K$2:$K$11)</f>
        <v>5.5147656768714146</v>
      </c>
      <c r="N305" s="194">
        <f t="shared" si="41"/>
        <v>1.5790372360081248</v>
      </c>
      <c r="O305" s="194">
        <f t="shared" si="45"/>
        <v>1.9552</v>
      </c>
      <c r="P305" s="194">
        <f>AVERAGE(Ashed_controlls!$K$12:$K$14)</f>
        <v>2.2816647271287041</v>
      </c>
      <c r="Q305" s="194">
        <f t="shared" si="46"/>
        <v>1.9105888912551796</v>
      </c>
      <c r="R305" s="16">
        <f>IF('WetLitterbags placem_collection'!G12="","",'WetLitterbags placem_collection'!G12)</f>
        <v>42818</v>
      </c>
      <c r="S305" s="194">
        <f>IFERROR(INDEX('Both teabags AfterWet'!$C$3:$C$2000,MATCH(H305,'Both teabags AfterWet'!$A$3:$A$2000,0)),"")</f>
        <v>0.63539999999999996</v>
      </c>
      <c r="T305" s="194">
        <f>IFERROR(INDEX('Both teabags AfterWet'!$C$3:$C$2000,MATCH(I305,'Both teabags AfterWet'!$A$3:$A$2000,0)),"")</f>
        <v>1.3853</v>
      </c>
      <c r="U305" s="194">
        <f t="shared" si="47"/>
        <v>0.48479999999999995</v>
      </c>
      <c r="V305" s="194">
        <f t="shared" si="48"/>
        <v>1.2346999999999999</v>
      </c>
      <c r="W305" s="194">
        <f>IFERROR(INDEX('Ashed teabags wet'!$K$2:$K$2000,MATCH(H305,'Ashed teabags wet'!$A$2:$A$2000,0)),"")</f>
        <v>10.416666666666313</v>
      </c>
      <c r="X305" s="233">
        <f>IFERROR(INDEX('Ashed teabags wet'!$K$2:$K$2000,MATCH(I305,'Ashed teabags wet'!$A$2:$A$2000,0)),"")</f>
        <v>4.2016806722691449</v>
      </c>
      <c r="Y305" s="194">
        <f t="shared" si="53"/>
        <v>0.43430000000000168</v>
      </c>
      <c r="Z305" s="194">
        <f t="shared" si="53"/>
        <v>1.1828218487394928</v>
      </c>
      <c r="AA305" s="194">
        <f t="shared" si="49"/>
        <v>0.72495898760568112</v>
      </c>
      <c r="AB305" s="194">
        <f t="shared" si="50"/>
        <v>0.47527002512866512</v>
      </c>
      <c r="AC305" s="194">
        <f t="shared" si="42"/>
        <v>0.61908757773757739</v>
      </c>
      <c r="AD305">
        <f t="shared" si="43"/>
        <v>52</v>
      </c>
      <c r="AE305" s="194">
        <f t="shared" si="51"/>
        <v>0.13900357766546179</v>
      </c>
      <c r="AF305" s="194">
        <f t="shared" si="52"/>
        <v>3.1092139738141747E-2</v>
      </c>
      <c r="AG305" s="245" t="str">
        <f>IF(ISNUMBER(SEARCH("C",'WetLitterbags placem_collection'!$Y12)),"YES","NO")</f>
        <v>NO</v>
      </c>
      <c r="AH305" s="245" t="str">
        <f>IF(ISNUMBER(SEARCH("H", 'WetLitterbags placem_collection'!$Y12)),"YES","NO")</f>
        <v>NO</v>
      </c>
      <c r="AI305" s="245" t="str">
        <f>IF(ISNUMBER(SEARCH("R", 'WetLitterbags placem_collection'!$Y12)),"YES","NO")</f>
        <v>NO</v>
      </c>
      <c r="AJ305" s="245" t="str">
        <f>IF(ISNUMBER(SEARCH("C", 'WetLitterbags placem_collection'!$W12)),"YES","NO")</f>
        <v>NO</v>
      </c>
      <c r="AK305" s="245" t="str">
        <f>IF(ISNUMBER(SEARCH("H", 'WetLitterbags placem_collection'!$W12)),"YES","NO")</f>
        <v>NO</v>
      </c>
      <c r="AL305" s="245" t="str">
        <f>IF(ISNUMBER(SEARCH("R", 'WetLitterbags placem_collection'!$W12)),"YES","NO")</f>
        <v>NO</v>
      </c>
    </row>
    <row r="306" spans="2:38">
      <c r="B306" t="str">
        <f>Wetseason!B452</f>
        <v>Wet</v>
      </c>
      <c r="C306" s="253">
        <f>Wetseason!C452</f>
        <v>11</v>
      </c>
      <c r="D306" t="s">
        <v>3103</v>
      </c>
      <c r="E306" t="s">
        <v>25</v>
      </c>
      <c r="F306" s="374">
        <v>3</v>
      </c>
      <c r="G306" s="16">
        <f>'WetLitterbags placem_collection'!E13</f>
        <v>42766</v>
      </c>
      <c r="H306" s="92" t="str">
        <f>Wetseason!L452</f>
        <v>G523</v>
      </c>
      <c r="I306" t="str">
        <f>Wetseason!L672</f>
        <v>R2</v>
      </c>
      <c r="J306">
        <f>IFERROR(INDEX('Green_rooibos initial weight'!$C$5:$C$2000,MATCH(H306, 'Green_rooibos initial weight'!$A$5:$A$2000,0)),"")</f>
        <v>2.1419999999999999</v>
      </c>
      <c r="K306">
        <f>IFERROR(INDEX('Green_rooibos initial weight'!$C$5:$C$2000,MATCH(I306, 'Green_rooibos initial weight'!$A$5:$A$2000,0)),"")</f>
        <v>2.2679999999999998</v>
      </c>
      <c r="L306" s="194">
        <f t="shared" si="54"/>
        <v>1.8921999999999999</v>
      </c>
      <c r="M306" s="194">
        <f>AVERAGE(Ashed_controlls!$K$2:$K$11)</f>
        <v>5.5147656768714146</v>
      </c>
      <c r="N306" s="194">
        <f t="shared" si="41"/>
        <v>1.7878496038622389</v>
      </c>
      <c r="O306" s="194">
        <f t="shared" si="45"/>
        <v>2.0181999999999998</v>
      </c>
      <c r="P306" s="194">
        <f>AVERAGE(Ashed_controlls!$K$12:$K$14)</f>
        <v>2.2816647271287041</v>
      </c>
      <c r="Q306" s="194">
        <f t="shared" si="46"/>
        <v>1.9721514424770883</v>
      </c>
      <c r="R306" s="16">
        <f>IF('WetLitterbags placem_collection'!G13="","",'WetLitterbags placem_collection'!G13)</f>
        <v>42818</v>
      </c>
      <c r="S306" s="194">
        <f>IFERROR(INDEX('Both teabags AfterWet'!$C$3:$C$2000,MATCH(H306,'Both teabags AfterWet'!$A$3:$A$2000,0)),"")</f>
        <v>0.63119999999999998</v>
      </c>
      <c r="T306" s="194">
        <f>IFERROR(INDEX('Both teabags AfterWet'!$C$3:$C$2000,MATCH(I306,'Both teabags AfterWet'!$A$3:$A$2000,0)),"")</f>
        <v>1.43</v>
      </c>
      <c r="U306" s="194">
        <f t="shared" si="47"/>
        <v>0.48059999999999997</v>
      </c>
      <c r="V306" s="194">
        <f t="shared" si="48"/>
        <v>1.2793999999999999</v>
      </c>
      <c r="W306" s="194">
        <f>IFERROR(INDEX('Ashed teabags wet'!$K$2:$K$2000,MATCH(H306,'Ashed teabags wet'!$A$2:$A$2000,0)),"")</f>
        <v>9.5734126984128558</v>
      </c>
      <c r="X306" s="233">
        <f>IFERROR(INDEX('Ashed teabags wet'!$K$2:$K$2000,MATCH(I306,'Ashed teabags wet'!$A$2:$A$2000,0)),"")</f>
        <v>4.6087373979834227</v>
      </c>
      <c r="Y306" s="194">
        <f t="shared" si="53"/>
        <v>0.43459017857142779</v>
      </c>
      <c r="Z306" s="194">
        <f t="shared" si="53"/>
        <v>1.2204358137302</v>
      </c>
      <c r="AA306" s="194">
        <f t="shared" si="49"/>
        <v>0.75692016955307906</v>
      </c>
      <c r="AB306" s="194">
        <f t="shared" si="50"/>
        <v>0.49622319904192363</v>
      </c>
      <c r="AC306" s="194">
        <f t="shared" si="42"/>
        <v>0.6188347342115329</v>
      </c>
      <c r="AD306">
        <f t="shared" si="43"/>
        <v>52</v>
      </c>
      <c r="AE306" s="194">
        <f t="shared" si="51"/>
        <v>0.10104492927187758</v>
      </c>
      <c r="AF306" s="194">
        <f t="shared" si="52"/>
        <v>2.8107501050733681E-2</v>
      </c>
      <c r="AG306" s="245" t="str">
        <f>IF(ISNUMBER(SEARCH("C",'WetLitterbags placem_collection'!$Y13)),"YES","NO")</f>
        <v>NO</v>
      </c>
      <c r="AH306" s="245" t="str">
        <f>IF(ISNUMBER(SEARCH("H", 'WetLitterbags placem_collection'!$Y13)),"YES","NO")</f>
        <v>NO</v>
      </c>
      <c r="AI306" s="245" t="str">
        <f>IF(ISNUMBER(SEARCH("R", 'WetLitterbags placem_collection'!$Y13)),"YES","NO")</f>
        <v>NO</v>
      </c>
      <c r="AJ306" s="245" t="str">
        <f>IF(ISNUMBER(SEARCH("C", 'WetLitterbags placem_collection'!$W13)),"YES","NO")</f>
        <v>NO</v>
      </c>
      <c r="AK306" s="245" t="str">
        <f>IF(ISNUMBER(SEARCH("H", 'WetLitterbags placem_collection'!$W13)),"YES","NO")</f>
        <v>NO</v>
      </c>
      <c r="AL306" s="245" t="str">
        <f>IF(ISNUMBER(SEARCH("R", 'WetLitterbags placem_collection'!$W13)),"YES","NO")</f>
        <v>NO</v>
      </c>
    </row>
    <row r="307" spans="2:38">
      <c r="B307" t="str">
        <f>Wetseason!B453</f>
        <v>Wet</v>
      </c>
      <c r="C307" s="253">
        <f>Wetseason!C453</f>
        <v>12</v>
      </c>
      <c r="D307" t="s">
        <v>3103</v>
      </c>
      <c r="E307" t="s">
        <v>25</v>
      </c>
      <c r="F307" s="375">
        <v>4</v>
      </c>
      <c r="G307" s="16">
        <f>'WetLitterbags placem_collection'!E14</f>
        <v>42766</v>
      </c>
      <c r="H307" s="92" t="str">
        <f>Wetseason!L453</f>
        <v>G510</v>
      </c>
      <c r="I307" t="str">
        <f>Wetseason!L673</f>
        <v>R123</v>
      </c>
      <c r="J307">
        <f>IFERROR(INDEX('Green_rooibos initial weight'!$C$5:$C$2000,MATCH(H307, 'Green_rooibos initial weight'!$A$5:$A$2000,0)),"")</f>
        <v>1.91</v>
      </c>
      <c r="K307">
        <f>IFERROR(INDEX('Green_rooibos initial weight'!$C$5:$C$2000,MATCH(I307, 'Green_rooibos initial weight'!$A$5:$A$2000,0)),"")</f>
        <v>2.2610000000000001</v>
      </c>
      <c r="L307" s="194">
        <f t="shared" si="54"/>
        <v>1.6601999999999999</v>
      </c>
      <c r="M307" s="194">
        <f>AVERAGE(Ashed_controlls!$K$2:$K$11)</f>
        <v>5.5147656768714146</v>
      </c>
      <c r="N307" s="194">
        <f t="shared" si="41"/>
        <v>1.5686438602325807</v>
      </c>
      <c r="O307" s="194">
        <f t="shared" si="45"/>
        <v>2.0112000000000001</v>
      </c>
      <c r="P307" s="194">
        <f>AVERAGE(Ashed_controlls!$K$12:$K$14)</f>
        <v>2.2816647271287041</v>
      </c>
      <c r="Q307" s="194">
        <f t="shared" si="46"/>
        <v>1.9653111590079877</v>
      </c>
      <c r="R307" s="16">
        <f>IF('WetLitterbags placem_collection'!G14="","",'WetLitterbags placem_collection'!G14)</f>
        <v>42818</v>
      </c>
      <c r="S307" s="194" t="str">
        <f>IFERROR(INDEX('Both teabags AfterWet'!$C$3:$C$2000,MATCH(H307,'Both teabags AfterWet'!$A$3:$A$2000,0)),"")</f>
        <v/>
      </c>
      <c r="T307" s="194" t="str">
        <f>IFERROR(INDEX('Both teabags AfterWet'!$C$3:$C$2000,MATCH(I307,'Both teabags AfterWet'!$A$3:$A$2000,0)),"")</f>
        <v/>
      </c>
      <c r="U307" s="194" t="str">
        <f t="shared" si="47"/>
        <v/>
      </c>
      <c r="V307" s="194" t="str">
        <f t="shared" si="48"/>
        <v/>
      </c>
      <c r="W307" s="194" t="str">
        <f>IFERROR(INDEX('Ashed teabags wet'!$K$2:$K$2000,MATCH(H307,'Ashed teabags wet'!$A$2:$A$2000,0)),"")</f>
        <v/>
      </c>
      <c r="X307" s="233" t="str">
        <f>IFERROR(INDEX('Ashed teabags wet'!$K$2:$K$2000,MATCH(I307,'Ashed teabags wet'!$A$2:$A$2000,0)),"")</f>
        <v/>
      </c>
      <c r="Y307" s="194" t="str">
        <f t="shared" si="53"/>
        <v/>
      </c>
      <c r="Z307" s="194" t="str">
        <f t="shared" si="53"/>
        <v/>
      </c>
      <c r="AA307" s="194" t="str">
        <f t="shared" si="49"/>
        <v/>
      </c>
      <c r="AB307" s="194" t="str">
        <f t="shared" si="50"/>
        <v/>
      </c>
      <c r="AC307" s="194" t="str">
        <f t="shared" si="42"/>
        <v/>
      </c>
      <c r="AD307">
        <f t="shared" si="43"/>
        <v>52</v>
      </c>
      <c r="AE307" s="194" t="str">
        <f t="shared" si="51"/>
        <v/>
      </c>
      <c r="AF307" s="194" t="str">
        <f t="shared" si="52"/>
        <v/>
      </c>
      <c r="AG307" s="245" t="str">
        <f>IF(ISNUMBER(SEARCH("C",'WetLitterbags placem_collection'!$Y14)),"YES","NO")</f>
        <v>NO</v>
      </c>
      <c r="AH307" s="245" t="str">
        <f>IF(ISNUMBER(SEARCH("H", 'WetLitterbags placem_collection'!$Y14)),"YES","NO")</f>
        <v>NO</v>
      </c>
      <c r="AI307" s="245" t="str">
        <f>IF(ISNUMBER(SEARCH("R", 'WetLitterbags placem_collection'!$Y14)),"YES","NO")</f>
        <v>NO</v>
      </c>
      <c r="AJ307" s="245" t="str">
        <f>IF(ISNUMBER(SEARCH("C", 'WetLitterbags placem_collection'!$W14)),"YES","NO")</f>
        <v>NO</v>
      </c>
      <c r="AK307" s="245" t="str">
        <f>IF(ISNUMBER(SEARCH("H", 'WetLitterbags placem_collection'!$W14)),"YES","NO")</f>
        <v>NO</v>
      </c>
      <c r="AL307" s="245" t="str">
        <f>IF(ISNUMBER(SEARCH("R", 'WetLitterbags placem_collection'!$W14)),"YES","NO")</f>
        <v>NO</v>
      </c>
    </row>
    <row r="308" spans="2:38">
      <c r="B308" t="str">
        <f>Wetseason!B454</f>
        <v>Wet</v>
      </c>
      <c r="C308" s="253">
        <f>Wetseason!C454</f>
        <v>13</v>
      </c>
      <c r="D308" t="s">
        <v>3103</v>
      </c>
      <c r="E308" t="s">
        <v>25</v>
      </c>
      <c r="F308" s="375">
        <v>5</v>
      </c>
      <c r="G308" s="16">
        <f>'WetLitterbags placem_collection'!E15</f>
        <v>42766</v>
      </c>
      <c r="H308" s="92" t="str">
        <f>Wetseason!L454</f>
        <v>G241</v>
      </c>
      <c r="I308" t="str">
        <f>Wetseason!L674</f>
        <v>R3</v>
      </c>
      <c r="J308">
        <f>IFERROR(INDEX('Green_rooibos initial weight'!$C$5:$C$2000,MATCH(H308, 'Green_rooibos initial weight'!$A$5:$A$2000,0)),"")</f>
        <v>2.0179999999999998</v>
      </c>
      <c r="K308">
        <f>IFERROR(INDEX('Green_rooibos initial weight'!$C$5:$C$2000,MATCH(I308, 'Green_rooibos initial weight'!$A$5:$A$2000,0)),"")</f>
        <v>2.242</v>
      </c>
      <c r="L308" s="194">
        <f t="shared" si="54"/>
        <v>1.7681999999999998</v>
      </c>
      <c r="M308" s="194">
        <f>AVERAGE(Ashed_controlls!$K$2:$K$11)</f>
        <v>5.5147656768714146</v>
      </c>
      <c r="N308" s="194">
        <f t="shared" si="41"/>
        <v>1.6706879133015595</v>
      </c>
      <c r="O308" s="194">
        <f t="shared" si="45"/>
        <v>1.9922</v>
      </c>
      <c r="P308" s="194">
        <f>AVERAGE(Ashed_controlls!$K$12:$K$14)</f>
        <v>2.2816647271287041</v>
      </c>
      <c r="Q308" s="194">
        <f t="shared" si="46"/>
        <v>1.9467446753061419</v>
      </c>
      <c r="R308" s="16">
        <f>IF('WetLitterbags placem_collection'!G15="","",'WetLitterbags placem_collection'!G15)</f>
        <v>42818</v>
      </c>
      <c r="S308" s="194">
        <f>IFERROR(INDEX('Both teabags AfterWet'!$C$3:$C$2000,MATCH(H308,'Both teabags AfterWet'!$A$3:$A$2000,0)),"")</f>
        <v>0.52059999999999995</v>
      </c>
      <c r="T308" s="194">
        <f>IFERROR(INDEX('Both teabags AfterWet'!$C$3:$C$2000,MATCH(I308,'Both teabags AfterWet'!$A$3:$A$2000,0)),"")</f>
        <v>1.4899</v>
      </c>
      <c r="U308" s="194">
        <f t="shared" si="47"/>
        <v>0.36999999999999994</v>
      </c>
      <c r="V308" s="194">
        <f t="shared" si="48"/>
        <v>1.3392999999999999</v>
      </c>
      <c r="W308" s="194">
        <f>IFERROR(INDEX('Ashed teabags wet'!$K$2:$K$2000,MATCH(H308,'Ashed teabags wet'!$A$2:$A$2000,0)),"")</f>
        <v>17.872968980798372</v>
      </c>
      <c r="X308" s="233">
        <f>IFERROR(INDEX('Ashed teabags wet'!$K$2:$K$2000,MATCH(I308,'Ashed teabags wet'!$A$2:$A$2000,0)),"")</f>
        <v>3.0078895463511506</v>
      </c>
      <c r="Y308" s="194">
        <f t="shared" si="53"/>
        <v>0.30387001477104597</v>
      </c>
      <c r="Z308" s="194">
        <f t="shared" si="53"/>
        <v>1.299015335305719</v>
      </c>
      <c r="AA308" s="194">
        <f t="shared" si="49"/>
        <v>0.81811682939002783</v>
      </c>
      <c r="AB308" s="194">
        <f t="shared" si="50"/>
        <v>0.5363426244932249</v>
      </c>
      <c r="AC308" s="194">
        <f t="shared" si="42"/>
        <v>0.66727565858190308</v>
      </c>
      <c r="AD308">
        <f t="shared" si="43"/>
        <v>52</v>
      </c>
      <c r="AE308" s="194">
        <f t="shared" si="51"/>
        <v>2.8364810700679532E-2</v>
      </c>
      <c r="AF308" s="194">
        <f t="shared" si="52"/>
        <v>1.8625501961846393E-2</v>
      </c>
      <c r="AG308" s="245" t="str">
        <f>IF(ISNUMBER(SEARCH("C",'WetLitterbags placem_collection'!$Y15)),"YES","NO")</f>
        <v>NO</v>
      </c>
      <c r="AH308" s="245" t="str">
        <f>IF(ISNUMBER(SEARCH("H", 'WetLitterbags placem_collection'!$Y15)),"YES","NO")</f>
        <v>NO</v>
      </c>
      <c r="AI308" s="245" t="str">
        <f>IF(ISNUMBER(SEARCH("R", 'WetLitterbags placem_collection'!$Y15)),"YES","NO")</f>
        <v>NO</v>
      </c>
      <c r="AJ308" s="245" t="str">
        <f>IF(ISNUMBER(SEARCH("C", 'WetLitterbags placem_collection'!$W15)),"YES","NO")</f>
        <v>NO</v>
      </c>
      <c r="AK308" s="245" t="str">
        <f>IF(ISNUMBER(SEARCH("H", 'WetLitterbags placem_collection'!$W15)),"YES","NO")</f>
        <v>YES</v>
      </c>
      <c r="AL308" s="245" t="str">
        <f>IF(ISNUMBER(SEARCH("R", 'WetLitterbags placem_collection'!$W15)),"YES","NO")</f>
        <v>YES</v>
      </c>
    </row>
    <row r="309" spans="2:38">
      <c r="B309" t="str">
        <f>Wetseason!B455</f>
        <v>Wet</v>
      </c>
      <c r="C309" s="253">
        <f>Wetseason!C455</f>
        <v>14</v>
      </c>
      <c r="D309" t="s">
        <v>3103</v>
      </c>
      <c r="E309" t="s">
        <v>25</v>
      </c>
      <c r="F309" s="375">
        <v>6</v>
      </c>
      <c r="G309" s="16">
        <f>'WetLitterbags placem_collection'!E16</f>
        <v>42766</v>
      </c>
      <c r="H309" s="92" t="str">
        <f>Wetseason!L455</f>
        <v>G503</v>
      </c>
      <c r="I309" t="str">
        <f>Wetseason!L675</f>
        <v>R282</v>
      </c>
      <c r="J309">
        <f>IFERROR(INDEX('Green_rooibos initial weight'!$C$5:$C$2000,MATCH(H309, 'Green_rooibos initial weight'!$A$5:$A$2000,0)),"")</f>
        <v>1.9810000000000001</v>
      </c>
      <c r="K309">
        <f>IFERROR(INDEX('Green_rooibos initial weight'!$C$5:$C$2000,MATCH(I309, 'Green_rooibos initial weight'!$A$5:$A$2000,0)),"")</f>
        <v>2.1829999999999998</v>
      </c>
      <c r="L309" s="194">
        <f t="shared" si="54"/>
        <v>1.7312000000000001</v>
      </c>
      <c r="M309" s="194">
        <f>AVERAGE(Ashed_controlls!$K$2:$K$11)</f>
        <v>5.5147656768714146</v>
      </c>
      <c r="N309" s="194">
        <f t="shared" si="41"/>
        <v>1.6357283766020021</v>
      </c>
      <c r="O309" s="194">
        <f t="shared" si="45"/>
        <v>1.9331999999999998</v>
      </c>
      <c r="P309" s="194">
        <f>AVERAGE(Ashed_controlls!$K$12:$K$14)</f>
        <v>2.2816647271287041</v>
      </c>
      <c r="Q309" s="194">
        <f t="shared" si="46"/>
        <v>1.8890908574951477</v>
      </c>
      <c r="R309" s="16">
        <f>IF('WetLitterbags placem_collection'!G16="","",'WetLitterbags placem_collection'!G16)</f>
        <v>42818</v>
      </c>
      <c r="S309" s="194">
        <f>IFERROR(INDEX('Both teabags AfterWet'!$C$3:$C$2000,MATCH(H309,'Both teabags AfterWet'!$A$3:$A$2000,0)),"")</f>
        <v>0.501</v>
      </c>
      <c r="T309" s="194">
        <f>IFERROR(INDEX('Both teabags AfterWet'!$C$3:$C$2000,MATCH(I309,'Both teabags AfterWet'!$A$3:$A$2000,0)),"")</f>
        <v>1.5669999999999999</v>
      </c>
      <c r="U309" s="194">
        <f t="shared" si="47"/>
        <v>0.35039999999999999</v>
      </c>
      <c r="V309" s="194">
        <f t="shared" si="48"/>
        <v>1.4163999999999999</v>
      </c>
      <c r="W309" s="194">
        <f>IFERROR(INDEX('Ashed teabags wet'!$K$2:$K$2000,MATCH(H309,'Ashed teabags wet'!$A$2:$A$2000,0)),"")</f>
        <v>12.970297029702667</v>
      </c>
      <c r="X309" s="233">
        <f>IFERROR(INDEX('Ashed teabags wet'!$K$2:$K$2000,MATCH(I309,'Ashed teabags wet'!$A$2:$A$2000,0)),"")</f>
        <v>2.903543307086486</v>
      </c>
      <c r="Y309" s="194">
        <f t="shared" si="53"/>
        <v>0.30495207920792183</v>
      </c>
      <c r="Z309" s="194">
        <f t="shared" si="53"/>
        <v>1.375274212598427</v>
      </c>
      <c r="AA309" s="194">
        <f t="shared" si="49"/>
        <v>0.81356802047940424</v>
      </c>
      <c r="AB309" s="194">
        <f t="shared" si="50"/>
        <v>0.53336050748768549</v>
      </c>
      <c r="AC309" s="194">
        <f t="shared" si="42"/>
        <v>0.72800850585978738</v>
      </c>
      <c r="AD309">
        <f t="shared" si="43"/>
        <v>52</v>
      </c>
      <c r="AE309" s="194">
        <f t="shared" si="51"/>
        <v>3.3767196580279935E-2</v>
      </c>
      <c r="AF309" s="194">
        <f t="shared" si="52"/>
        <v>1.3716621476384659E-2</v>
      </c>
      <c r="AG309" s="245" t="str">
        <f>IF(ISNUMBER(SEARCH("C",'WetLitterbags placem_collection'!$Y16)),"YES","NO")</f>
        <v>NO</v>
      </c>
      <c r="AH309" s="245" t="str">
        <f>IF(ISNUMBER(SEARCH("H", 'WetLitterbags placem_collection'!$Y16)),"YES","NO")</f>
        <v>NO</v>
      </c>
      <c r="AI309" s="245" t="str">
        <f>IF(ISNUMBER(SEARCH("R", 'WetLitterbags placem_collection'!$Y16)),"YES","NO")</f>
        <v>NO</v>
      </c>
      <c r="AJ309" s="245" t="str">
        <f>IF(ISNUMBER(SEARCH("C", 'WetLitterbags placem_collection'!$W16)),"YES","NO")</f>
        <v>NO</v>
      </c>
      <c r="AK309" s="245" t="str">
        <f>IF(ISNUMBER(SEARCH("H", 'WetLitterbags placem_collection'!$W16)),"YES","NO")</f>
        <v>YES</v>
      </c>
      <c r="AL309" s="245" t="str">
        <f>IF(ISNUMBER(SEARCH("R", 'WetLitterbags placem_collection'!$W16)),"YES","NO")</f>
        <v>YES</v>
      </c>
    </row>
    <row r="310" spans="2:38">
      <c r="B310" t="str">
        <f>Wetseason!B456</f>
        <v>Wet</v>
      </c>
      <c r="C310" s="253">
        <f>Wetseason!C456</f>
        <v>15</v>
      </c>
      <c r="D310" t="s">
        <v>3103</v>
      </c>
      <c r="E310" t="s">
        <v>25</v>
      </c>
      <c r="F310" s="375">
        <v>7</v>
      </c>
      <c r="G310" s="16">
        <f>'WetLitterbags placem_collection'!E17</f>
        <v>42766</v>
      </c>
      <c r="H310" s="92" t="str">
        <f>Wetseason!L456</f>
        <v>G685</v>
      </c>
      <c r="I310" t="str">
        <f>Wetseason!L676</f>
        <v>R99</v>
      </c>
      <c r="J310">
        <f>IFERROR(INDEX('Green_rooibos initial weight'!$C$5:$C$2000,MATCH(H310, 'Green_rooibos initial weight'!$A$5:$A$2000,0)),"")</f>
        <v>1.9810000000000001</v>
      </c>
      <c r="K310">
        <f>IFERROR(INDEX('Green_rooibos initial weight'!$C$5:$C$2000,MATCH(I310, 'Green_rooibos initial weight'!$A$5:$A$2000,0)),"")</f>
        <v>2.1920000000000002</v>
      </c>
      <c r="L310" s="194">
        <f t="shared" si="54"/>
        <v>1.7312000000000001</v>
      </c>
      <c r="M310" s="194">
        <f>AVERAGE(Ashed_controlls!$K$2:$K$11)</f>
        <v>5.5147656768714146</v>
      </c>
      <c r="N310" s="194">
        <f t="shared" si="41"/>
        <v>1.6357283766020021</v>
      </c>
      <c r="O310" s="194">
        <f t="shared" si="45"/>
        <v>1.9422000000000001</v>
      </c>
      <c r="P310" s="194">
        <f>AVERAGE(Ashed_controlls!$K$12:$K$14)</f>
        <v>2.2816647271287041</v>
      </c>
      <c r="Q310" s="194">
        <f t="shared" si="46"/>
        <v>1.8978855076697065</v>
      </c>
      <c r="R310" s="16">
        <f>IF('WetLitterbags placem_collection'!G17="","",'WetLitterbags placem_collection'!G17)</f>
        <v>42818</v>
      </c>
      <c r="S310" s="194">
        <f>IFERROR(INDEX('Both teabags AfterWet'!$C$3:$C$2000,MATCH(H310,'Both teabags AfterWet'!$A$3:$A$2000,0)),"")</f>
        <v>0.72199999999999998</v>
      </c>
      <c r="T310" s="194">
        <f>IFERROR(INDEX('Both teabags AfterWet'!$C$3:$C$2000,MATCH(I310,'Both teabags AfterWet'!$A$3:$A$2000,0)),"")</f>
        <v>1.355</v>
      </c>
      <c r="U310" s="194">
        <f t="shared" si="47"/>
        <v>0.57139999999999991</v>
      </c>
      <c r="V310" s="194">
        <f t="shared" si="48"/>
        <v>1.2043999999999999</v>
      </c>
      <c r="W310" s="194">
        <f>IFERROR(INDEX('Ashed teabags wet'!$K$2:$K$2000,MATCH(H310,'Ashed teabags wet'!$A$2:$A$2000,0)),"")</f>
        <v>22.716049382715465</v>
      </c>
      <c r="X310" s="233">
        <f>IFERROR(INDEX('Ashed teabags wet'!$K$2:$K$2000,MATCH(I310,'Ashed teabags wet'!$A$2:$A$2000,0)),"")</f>
        <v>7.6999503229018247</v>
      </c>
      <c r="Y310" s="194">
        <f t="shared" si="53"/>
        <v>0.44160049382716376</v>
      </c>
      <c r="Z310" s="194">
        <f t="shared" si="53"/>
        <v>1.1116617983109705</v>
      </c>
      <c r="AA310" s="194">
        <f t="shared" si="49"/>
        <v>0.73002822464660833</v>
      </c>
      <c r="AB310" s="194">
        <f t="shared" si="50"/>
        <v>0.47859332542152949</v>
      </c>
      <c r="AC310" s="194">
        <f t="shared" si="42"/>
        <v>0.58573701828616076</v>
      </c>
      <c r="AD310">
        <f t="shared" si="43"/>
        <v>52</v>
      </c>
      <c r="AE310" s="194">
        <f t="shared" si="51"/>
        <v>0.13298310612041764</v>
      </c>
      <c r="AF310" s="194">
        <f t="shared" si="52"/>
        <v>3.8592688481484339E-2</v>
      </c>
      <c r="AG310" s="245" t="str">
        <f>IF(ISNUMBER(SEARCH("C",'WetLitterbags placem_collection'!$Y17)),"YES","NO")</f>
        <v>NO</v>
      </c>
      <c r="AH310" s="245" t="str">
        <f>IF(ISNUMBER(SEARCH("H", 'WetLitterbags placem_collection'!$Y17)),"YES","NO")</f>
        <v>NO</v>
      </c>
      <c r="AI310" s="245" t="str">
        <f>IF(ISNUMBER(SEARCH("R", 'WetLitterbags placem_collection'!$Y17)),"YES","NO")</f>
        <v>YES</v>
      </c>
      <c r="AJ310" s="245" t="str">
        <f>IF(ISNUMBER(SEARCH("C", 'WetLitterbags placem_collection'!$W17)),"YES","NO")</f>
        <v>YES</v>
      </c>
      <c r="AK310" s="245" t="str">
        <f>IF(ISNUMBER(SEARCH("H", 'WetLitterbags placem_collection'!$W17)),"YES","NO")</f>
        <v>YES</v>
      </c>
      <c r="AL310" s="245" t="str">
        <f>IF(ISNUMBER(SEARCH("R", 'WetLitterbags placem_collection'!$W17)),"YES","NO")</f>
        <v>YES</v>
      </c>
    </row>
    <row r="311" spans="2:38">
      <c r="B311" t="str">
        <f>Wetseason!B457</f>
        <v>Wet</v>
      </c>
      <c r="C311" s="253">
        <f>Wetseason!C457</f>
        <v>16</v>
      </c>
      <c r="D311" t="s">
        <v>3103</v>
      </c>
      <c r="E311" t="s">
        <v>25</v>
      </c>
      <c r="F311" s="375">
        <v>8</v>
      </c>
      <c r="G311" s="16">
        <f>'WetLitterbags placem_collection'!E18</f>
        <v>42766</v>
      </c>
      <c r="H311" s="92" t="str">
        <f>Wetseason!L457</f>
        <v>G644</v>
      </c>
      <c r="I311" t="str">
        <f>Wetseason!L677</f>
        <v>R154</v>
      </c>
      <c r="J311">
        <f>IFERROR(INDEX('Green_rooibos initial weight'!$C$5:$C$2000,MATCH(H311, 'Green_rooibos initial weight'!$A$5:$A$2000,0)),"")</f>
        <v>2.157</v>
      </c>
      <c r="K311">
        <f>IFERROR(INDEX('Green_rooibos initial weight'!$C$5:$C$2000,MATCH(I311, 'Green_rooibos initial weight'!$A$5:$A$2000,0)),"")</f>
        <v>2.2010000000000001</v>
      </c>
      <c r="L311" s="194">
        <f t="shared" si="54"/>
        <v>1.9072</v>
      </c>
      <c r="M311" s="194">
        <f>AVERAGE(Ashed_controlls!$K$2:$K$11)</f>
        <v>5.5147656768714146</v>
      </c>
      <c r="N311" s="194">
        <f t="shared" si="41"/>
        <v>1.8020223890107083</v>
      </c>
      <c r="O311" s="194">
        <f t="shared" si="45"/>
        <v>1.9512</v>
      </c>
      <c r="P311" s="194">
        <f>AVERAGE(Ashed_controlls!$K$12:$K$14)</f>
        <v>2.2816647271287041</v>
      </c>
      <c r="Q311" s="194">
        <f t="shared" si="46"/>
        <v>1.9066801578442647</v>
      </c>
      <c r="R311" s="16">
        <f>IF('WetLitterbags placem_collection'!G18="","",'WetLitterbags placem_collection'!G18)</f>
        <v>42818</v>
      </c>
      <c r="S311" s="194">
        <f>IFERROR(INDEX('Both teabags AfterWet'!$C$3:$C$2000,MATCH(H311,'Both teabags AfterWet'!$A$3:$A$2000,0)),"")</f>
        <v>0.65410000000000001</v>
      </c>
      <c r="T311" s="194">
        <f>IFERROR(INDEX('Both teabags AfterWet'!$C$3:$C$2000,MATCH(I311,'Both teabags AfterWet'!$A$3:$A$2000,0)),"")</f>
        <v>1.421</v>
      </c>
      <c r="U311" s="194">
        <f t="shared" si="47"/>
        <v>0.50350000000000006</v>
      </c>
      <c r="V311" s="194">
        <f t="shared" si="48"/>
        <v>1.2704</v>
      </c>
      <c r="W311" s="194">
        <f>IFERROR(INDEX('Ashed teabags wet'!$K$2:$K$2000,MATCH(H311,'Ashed teabags wet'!$A$2:$A$2000,0)),"")</f>
        <v>8.8551859099799302</v>
      </c>
      <c r="X311" s="233">
        <f>IFERROR(INDEX('Ashed teabags wet'!$K$2:$K$2000,MATCH(I311,'Ashed teabags wet'!$A$2:$A$2000,0)),"")</f>
        <v>4.0579710144928036</v>
      </c>
      <c r="Y311" s="194">
        <f t="shared" si="53"/>
        <v>0.45891413894325112</v>
      </c>
      <c r="Z311" s="194">
        <f t="shared" si="53"/>
        <v>1.2188475362318834</v>
      </c>
      <c r="AA311" s="194">
        <f t="shared" si="49"/>
        <v>0.74533383062172143</v>
      </c>
      <c r="AB311" s="194">
        <f t="shared" si="50"/>
        <v>0.48862740439808822</v>
      </c>
      <c r="AC311" s="194">
        <f t="shared" si="42"/>
        <v>0.63925117761226391</v>
      </c>
      <c r="AD311">
        <f t="shared" si="43"/>
        <v>52</v>
      </c>
      <c r="AE311" s="194">
        <f t="shared" si="51"/>
        <v>0.11480542681505768</v>
      </c>
      <c r="AF311" s="194">
        <f t="shared" si="52"/>
        <v>2.5779211714489728E-2</v>
      </c>
      <c r="AG311" s="245" t="str">
        <f>IF(ISNUMBER(SEARCH("C",'WetLitterbags placem_collection'!$Y18)),"YES","NO")</f>
        <v>NO</v>
      </c>
      <c r="AH311" s="245" t="str">
        <f>IF(ISNUMBER(SEARCH("H", 'WetLitterbags placem_collection'!$Y18)),"YES","NO")</f>
        <v>NO</v>
      </c>
      <c r="AI311" s="245" t="str">
        <f>IF(ISNUMBER(SEARCH("R", 'WetLitterbags placem_collection'!$Y18)),"YES","NO")</f>
        <v>YES</v>
      </c>
      <c r="AJ311" s="245" t="str">
        <f>IF(ISNUMBER(SEARCH("C", 'WetLitterbags placem_collection'!$W18)),"YES","NO")</f>
        <v>NO</v>
      </c>
      <c r="AK311" s="245" t="str">
        <f>IF(ISNUMBER(SEARCH("H", 'WetLitterbags placem_collection'!$W18)),"YES","NO")</f>
        <v>YES</v>
      </c>
      <c r="AL311" s="245" t="str">
        <f>IF(ISNUMBER(SEARCH("R", 'WetLitterbags placem_collection'!$W18)),"YES","NO")</f>
        <v>YES</v>
      </c>
    </row>
    <row r="312" spans="2:38">
      <c r="B312" t="str">
        <f>Wetseason!B458</f>
        <v>Wet</v>
      </c>
      <c r="C312" s="253">
        <f>Wetseason!C458</f>
        <v>17</v>
      </c>
      <c r="D312" t="s">
        <v>3104</v>
      </c>
      <c r="E312" t="s">
        <v>25</v>
      </c>
      <c r="F312" s="374">
        <v>1</v>
      </c>
      <c r="G312" s="16">
        <f>'WetLitterbags placem_collection'!E19</f>
        <v>42767</v>
      </c>
      <c r="H312" s="92" t="str">
        <f>Wetseason!L458</f>
        <v>G648</v>
      </c>
      <c r="I312" t="str">
        <f>Wetseason!L678</f>
        <v>R380</v>
      </c>
      <c r="J312">
        <f>IFERROR(INDEX('Green_rooibos initial weight'!$C$5:$C$2000,MATCH(H312, 'Green_rooibos initial weight'!$A$5:$A$2000,0)),"")</f>
        <v>2.0249999999999999</v>
      </c>
      <c r="K312">
        <f>IFERROR(INDEX('Green_rooibos initial weight'!$C$5:$C$2000,MATCH(I312, 'Green_rooibos initial weight'!$A$5:$A$2000,0)),"")</f>
        <v>2.2799999999999998</v>
      </c>
      <c r="L312" s="194">
        <f t="shared" si="54"/>
        <v>1.7751999999999999</v>
      </c>
      <c r="M312" s="194">
        <f>AVERAGE(Ashed_controlls!$K$2:$K$11)</f>
        <v>5.5147656768714146</v>
      </c>
      <c r="N312" s="194">
        <f t="shared" si="41"/>
        <v>1.6773018797041785</v>
      </c>
      <c r="O312" s="194">
        <f t="shared" si="45"/>
        <v>2.0301999999999998</v>
      </c>
      <c r="P312" s="194">
        <f>AVERAGE(Ashed_controlls!$K$12:$K$14)</f>
        <v>2.2816647271287041</v>
      </c>
      <c r="Q312" s="194">
        <f t="shared" si="46"/>
        <v>1.9838776427098328</v>
      </c>
      <c r="R312" s="16">
        <f>IF('WetLitterbags placem_collection'!G19="","",'WetLitterbags placem_collection'!G19)</f>
        <v>42818</v>
      </c>
      <c r="S312" s="194">
        <f>IFERROR(INDEX('Both teabags AfterWet'!$C$3:$C$2000,MATCH(H312,'Both teabags AfterWet'!$A$3:$A$2000,0)),"")</f>
        <v>0.6905</v>
      </c>
      <c r="T312" s="194">
        <f>IFERROR(INDEX('Both teabags AfterWet'!$C$3:$C$2000,MATCH(I312,'Both teabags AfterWet'!$A$3:$A$2000,0)),"")</f>
        <v>1.6271</v>
      </c>
      <c r="U312" s="194">
        <f t="shared" si="47"/>
        <v>0.53990000000000005</v>
      </c>
      <c r="V312" s="194">
        <f t="shared" si="48"/>
        <v>1.4764999999999999</v>
      </c>
      <c r="W312" s="194">
        <f>IFERROR(INDEX('Ashed teabags wet'!$K$2:$K$2000,MATCH(H312,'Ashed teabags wet'!$A$2:$A$2000,0)),"")</f>
        <v>10.088582677165091</v>
      </c>
      <c r="X312" s="233">
        <f>IFERROR(INDEX('Ashed teabags wet'!$K$2:$K$2000,MATCH(I312,'Ashed teabags wet'!$A$2:$A$2000,0)),"")</f>
        <v>3.3600802407224508</v>
      </c>
      <c r="Y312" s="194">
        <f t="shared" si="53"/>
        <v>0.48543174212598572</v>
      </c>
      <c r="Z312" s="194">
        <f t="shared" si="53"/>
        <v>1.4268884152457328</v>
      </c>
      <c r="AA312" s="194">
        <f t="shared" si="49"/>
        <v>0.71058773140372322</v>
      </c>
      <c r="AB312" s="194">
        <f t="shared" si="50"/>
        <v>0.46584848899626519</v>
      </c>
      <c r="AC312" s="194">
        <f t="shared" si="42"/>
        <v>0.71924214705938561</v>
      </c>
      <c r="AD312">
        <f t="shared" si="43"/>
        <v>51</v>
      </c>
      <c r="AE312" s="194">
        <f t="shared" si="51"/>
        <v>0.15607157790531678</v>
      </c>
      <c r="AF312" s="194">
        <f t="shared" si="52"/>
        <v>1.809832981608336E-2</v>
      </c>
      <c r="AG312" s="245" t="str">
        <f>IF(ISNUMBER(SEARCH("C",'WetLitterbags placem_collection'!$Y19)),"YES","NO")</f>
        <v>NO</v>
      </c>
      <c r="AH312" s="245" t="str">
        <f>IF(ISNUMBER(SEARCH("H", 'WetLitterbags placem_collection'!$Y19)),"YES","NO")</f>
        <v>NO</v>
      </c>
      <c r="AI312" s="245" t="str">
        <f>IF(ISNUMBER(SEARCH("R", 'WetLitterbags placem_collection'!$Y19)),"YES","NO")</f>
        <v>YES</v>
      </c>
      <c r="AJ312" s="245" t="str">
        <f>IF(ISNUMBER(SEARCH("C", 'WetLitterbags placem_collection'!$W19)),"YES","NO")</f>
        <v>NO</v>
      </c>
      <c r="AK312" s="245" t="str">
        <f>IF(ISNUMBER(SEARCH("H", 'WetLitterbags placem_collection'!$W19)),"YES","NO")</f>
        <v>NO</v>
      </c>
      <c r="AL312" s="245" t="str">
        <f>IF(ISNUMBER(SEARCH("R", 'WetLitterbags placem_collection'!$W19)),"YES","NO")</f>
        <v>YES</v>
      </c>
    </row>
    <row r="313" spans="2:38">
      <c r="B313" t="str">
        <f>Wetseason!B459</f>
        <v>Wet</v>
      </c>
      <c r="C313" s="253">
        <f>Wetseason!C459</f>
        <v>18</v>
      </c>
      <c r="D313" t="s">
        <v>3104</v>
      </c>
      <c r="E313" t="s">
        <v>25</v>
      </c>
      <c r="F313" s="374">
        <v>2</v>
      </c>
      <c r="G313" s="16">
        <f>'WetLitterbags placem_collection'!E20</f>
        <v>42767</v>
      </c>
      <c r="H313" s="92" t="str">
        <f>Wetseason!L459</f>
        <v>G573</v>
      </c>
      <c r="I313" t="str">
        <f>Wetseason!L679</f>
        <v>R274</v>
      </c>
      <c r="J313">
        <f>IFERROR(INDEX('Green_rooibos initial weight'!$C$5:$C$2000,MATCH(H313, 'Green_rooibos initial weight'!$A$5:$A$2000,0)),"")</f>
        <v>2.0019999999999998</v>
      </c>
      <c r="K313">
        <f>IFERROR(INDEX('Green_rooibos initial weight'!$C$5:$C$2000,MATCH(I313, 'Green_rooibos initial weight'!$A$5:$A$2000,0)),"")</f>
        <v>2.1880000000000002</v>
      </c>
      <c r="L313" s="194">
        <f t="shared" si="54"/>
        <v>1.7521999999999998</v>
      </c>
      <c r="M313" s="194">
        <f>AVERAGE(Ashed_controlls!$K$2:$K$11)</f>
        <v>5.5147656768714146</v>
      </c>
      <c r="N313" s="194">
        <f t="shared" si="41"/>
        <v>1.6555702758098589</v>
      </c>
      <c r="O313" s="194">
        <f t="shared" si="45"/>
        <v>1.9382000000000001</v>
      </c>
      <c r="P313" s="194">
        <f>AVERAGE(Ashed_controlls!$K$12:$K$14)</f>
        <v>2.2816647271287041</v>
      </c>
      <c r="Q313" s="194">
        <f t="shared" si="46"/>
        <v>1.8939767742587916</v>
      </c>
      <c r="R313" s="16">
        <f>IF('WetLitterbags placem_collection'!G20="","",'WetLitterbags placem_collection'!G20)</f>
        <v>42818</v>
      </c>
      <c r="S313" s="194">
        <f>IFERROR(INDEX('Both teabags AfterWet'!$C$3:$C$2000,MATCH(H313,'Both teabags AfterWet'!$A$3:$A$2000,0)),"")</f>
        <v>0.72099999999999997</v>
      </c>
      <c r="T313" s="194">
        <f>IFERROR(INDEX('Both teabags AfterWet'!$C$3:$C$2000,MATCH(I313,'Both teabags AfterWet'!$A$3:$A$2000,0)),"")</f>
        <v>1.6060000000000001</v>
      </c>
      <c r="U313" s="194">
        <f t="shared" si="47"/>
        <v>0.57040000000000002</v>
      </c>
      <c r="V313" s="194">
        <f t="shared" si="48"/>
        <v>1.4554</v>
      </c>
      <c r="W313" s="194">
        <f>IFERROR(INDEX('Ashed teabags wet'!$K$2:$K$2000,MATCH(H313,'Ashed teabags wet'!$A$2:$A$2000,0)),"")</f>
        <v>14.100096246390503</v>
      </c>
      <c r="X313" s="233">
        <f>IFERROR(INDEX('Ashed teabags wet'!$K$2:$K$2000,MATCH(I313,'Ashed teabags wet'!$A$2:$A$2000,0)),"")</f>
        <v>4.6344959388436653</v>
      </c>
      <c r="Y313" s="194">
        <f t="shared" si="53"/>
        <v>0.48997305101058858</v>
      </c>
      <c r="Z313" s="194">
        <f t="shared" si="53"/>
        <v>1.3879495461060694</v>
      </c>
      <c r="AA313" s="194">
        <f t="shared" si="49"/>
        <v>0.70404575500674094</v>
      </c>
      <c r="AB313" s="194">
        <f t="shared" si="50"/>
        <v>0.4615596873678397</v>
      </c>
      <c r="AC313" s="194">
        <f t="shared" si="42"/>
        <v>0.73282289675872281</v>
      </c>
      <c r="AD313">
        <f t="shared" si="43"/>
        <v>51</v>
      </c>
      <c r="AE313" s="194">
        <f t="shared" si="51"/>
        <v>0.16384114607275424</v>
      </c>
      <c r="AF313" s="194">
        <f t="shared" si="52"/>
        <v>1.6956530956889822E-2</v>
      </c>
      <c r="AG313" s="245" t="str">
        <f>IF(ISNUMBER(SEARCH("C",'WetLitterbags placem_collection'!$Y20)),"YES","NO")</f>
        <v>NO</v>
      </c>
      <c r="AH313" s="245" t="str">
        <f>IF(ISNUMBER(SEARCH("H", 'WetLitterbags placem_collection'!$Y20)),"YES","NO")</f>
        <v>NO</v>
      </c>
      <c r="AI313" s="245" t="str">
        <f>IF(ISNUMBER(SEARCH("R", 'WetLitterbags placem_collection'!$Y20)),"YES","NO")</f>
        <v>YES</v>
      </c>
      <c r="AJ313" s="245" t="str">
        <f>IF(ISNUMBER(SEARCH("C", 'WetLitterbags placem_collection'!$W20)),"YES","NO")</f>
        <v>NO</v>
      </c>
      <c r="AK313" s="245" t="str">
        <f>IF(ISNUMBER(SEARCH("H", 'WetLitterbags placem_collection'!$W20)),"YES","NO")</f>
        <v>NO</v>
      </c>
      <c r="AL313" s="245" t="str">
        <f>IF(ISNUMBER(SEARCH("R", 'WetLitterbags placem_collection'!$W20)),"YES","NO")</f>
        <v>NO</v>
      </c>
    </row>
    <row r="314" spans="2:38">
      <c r="B314" t="str">
        <f>Wetseason!B460</f>
        <v>Wet</v>
      </c>
      <c r="C314" s="253">
        <f>Wetseason!C460</f>
        <v>19</v>
      </c>
      <c r="D314" t="s">
        <v>3104</v>
      </c>
      <c r="E314" t="s">
        <v>25</v>
      </c>
      <c r="F314" s="374">
        <v>3</v>
      </c>
      <c r="G314" s="16">
        <f>'WetLitterbags placem_collection'!E21</f>
        <v>42767</v>
      </c>
      <c r="H314" s="92" t="str">
        <f>Wetseason!L460</f>
        <v>G639</v>
      </c>
      <c r="I314" t="str">
        <f>Wetseason!L680</f>
        <v>R566</v>
      </c>
      <c r="J314">
        <f>IFERROR(INDEX('Green_rooibos initial weight'!$C$5:$C$2000,MATCH(H314, 'Green_rooibos initial weight'!$A$5:$A$2000,0)),"")</f>
        <v>2.1909999999999998</v>
      </c>
      <c r="K314">
        <f>IFERROR(INDEX('Green_rooibos initial weight'!$C$5:$C$2000,MATCH(I314, 'Green_rooibos initial weight'!$A$5:$A$2000,0)),"")</f>
        <v>2.117</v>
      </c>
      <c r="L314" s="194">
        <f t="shared" si="54"/>
        <v>1.9411999999999998</v>
      </c>
      <c r="M314" s="194">
        <f>AVERAGE(Ashed_controlls!$K$2:$K$11)</f>
        <v>5.5147656768714146</v>
      </c>
      <c r="N314" s="194">
        <f t="shared" si="41"/>
        <v>1.834147368680572</v>
      </c>
      <c r="O314" s="194">
        <f t="shared" si="45"/>
        <v>1.8672</v>
      </c>
      <c r="P314" s="194">
        <f>AVERAGE(Ashed_controlls!$K$12:$K$14)</f>
        <v>2.2816647271287041</v>
      </c>
      <c r="Q314" s="194">
        <f t="shared" si="46"/>
        <v>1.8245967562150529</v>
      </c>
      <c r="R314" s="16">
        <f>IF('WetLitterbags placem_collection'!G21="","",'WetLitterbags placem_collection'!G21)</f>
        <v>42818</v>
      </c>
      <c r="S314" s="194">
        <f>IFERROR(INDEX('Both teabags AfterWet'!$C$3:$C$2000,MATCH(H314,'Both teabags AfterWet'!$A$3:$A$2000,0)),"")</f>
        <v>0.89200000000000002</v>
      </c>
      <c r="T314" s="194">
        <f>IFERROR(INDEX('Both teabags AfterWet'!$C$3:$C$2000,MATCH(I314,'Both teabags AfterWet'!$A$3:$A$2000,0)),"")</f>
        <v>1.4496</v>
      </c>
      <c r="U314" s="194">
        <f t="shared" si="47"/>
        <v>0.74140000000000006</v>
      </c>
      <c r="V314" s="194">
        <f t="shared" si="48"/>
        <v>1.2989999999999999</v>
      </c>
      <c r="W314" s="194">
        <f>IFERROR(INDEX('Ashed teabags wet'!$K$2:$K$2000,MATCH(H314,'Ashed teabags wet'!$A$2:$A$2000,0)),"")</f>
        <v>16.616616616617133</v>
      </c>
      <c r="X314" s="233">
        <f>IFERROR(INDEX('Ashed teabags wet'!$K$2:$K$2000,MATCH(I314,'Ashed teabags wet'!$A$2:$A$2000,0)),"")</f>
        <v>8.439646712463917</v>
      </c>
      <c r="Y314" s="194">
        <f t="shared" si="53"/>
        <v>0.61820440440440061</v>
      </c>
      <c r="Z314" s="194">
        <f t="shared" si="53"/>
        <v>1.1893689892050936</v>
      </c>
      <c r="AA314" s="194">
        <f t="shared" si="49"/>
        <v>0.66294725551463318</v>
      </c>
      <c r="AB314" s="194">
        <f t="shared" si="50"/>
        <v>0.43461625302146983</v>
      </c>
      <c r="AC314" s="194">
        <f t="shared" si="42"/>
        <v>0.65185306570001966</v>
      </c>
      <c r="AD314">
        <f t="shared" si="43"/>
        <v>51</v>
      </c>
      <c r="AE314" s="194">
        <f t="shared" si="51"/>
        <v>0.21265171554081563</v>
      </c>
      <c r="AF314" s="194">
        <f t="shared" si="52"/>
        <v>3.1660270796525884E-2</v>
      </c>
      <c r="AG314" s="245" t="str">
        <f>IF(ISNUMBER(SEARCH("C",'WetLitterbags placem_collection'!$Y21)),"YES","NO")</f>
        <v>NO</v>
      </c>
      <c r="AH314" s="245" t="str">
        <f>IF(ISNUMBER(SEARCH("H", 'WetLitterbags placem_collection'!$Y21)),"YES","NO")</f>
        <v>NO</v>
      </c>
      <c r="AI314" s="245" t="str">
        <f>IF(ISNUMBER(SEARCH("R", 'WetLitterbags placem_collection'!$Y21)),"YES","NO")</f>
        <v>NO</v>
      </c>
      <c r="AJ314" s="245" t="str">
        <f>IF(ISNUMBER(SEARCH("C", 'WetLitterbags placem_collection'!$W21)),"YES","NO")</f>
        <v>NO</v>
      </c>
      <c r="AK314" s="245" t="str">
        <f>IF(ISNUMBER(SEARCH("H", 'WetLitterbags placem_collection'!$W21)),"YES","NO")</f>
        <v>NO</v>
      </c>
      <c r="AL314" s="245" t="str">
        <f>IF(ISNUMBER(SEARCH("R", 'WetLitterbags placem_collection'!$W21)),"YES","NO")</f>
        <v>NO</v>
      </c>
    </row>
    <row r="315" spans="2:38">
      <c r="B315" t="str">
        <f>Wetseason!B461</f>
        <v>Wet</v>
      </c>
      <c r="C315" s="253">
        <f>Wetseason!C461</f>
        <v>20</v>
      </c>
      <c r="D315" t="s">
        <v>3104</v>
      </c>
      <c r="E315" t="s">
        <v>25</v>
      </c>
      <c r="F315" s="375">
        <v>4</v>
      </c>
      <c r="G315" s="16">
        <f>'WetLitterbags placem_collection'!E22</f>
        <v>42767</v>
      </c>
      <c r="H315" s="92" t="str">
        <f>Wetseason!L461</f>
        <v>G505</v>
      </c>
      <c r="I315" t="str">
        <f>Wetseason!L681</f>
        <v>R110</v>
      </c>
      <c r="J315">
        <f>IFERROR(INDEX('Green_rooibos initial weight'!$C$5:$C$2000,MATCH(H315, 'Green_rooibos initial weight'!$A$5:$A$2000,0)),"")</f>
        <v>2.0510000000000002</v>
      </c>
      <c r="K315">
        <f>IFERROR(INDEX('Green_rooibos initial weight'!$C$5:$C$2000,MATCH(I315, 'Green_rooibos initial weight'!$A$5:$A$2000,0)),"")</f>
        <v>2.2530000000000001</v>
      </c>
      <c r="L315" s="194">
        <f t="shared" si="54"/>
        <v>1.8012000000000001</v>
      </c>
      <c r="M315" s="194">
        <f>AVERAGE(Ashed_controlls!$K$2:$K$11)</f>
        <v>5.5147656768714146</v>
      </c>
      <c r="N315" s="194">
        <f t="shared" si="41"/>
        <v>1.7018680406281923</v>
      </c>
      <c r="O315" s="194">
        <f t="shared" si="45"/>
        <v>2.0032000000000001</v>
      </c>
      <c r="P315" s="194">
        <f>AVERAGE(Ashed_controlls!$K$12:$K$14)</f>
        <v>2.2816647271287041</v>
      </c>
      <c r="Q315" s="194">
        <f t="shared" si="46"/>
        <v>1.9574936921861579</v>
      </c>
      <c r="R315" s="16">
        <f>IF('WetLitterbags placem_collection'!G22="","",'WetLitterbags placem_collection'!G22)</f>
        <v>42818</v>
      </c>
      <c r="S315" s="194">
        <f>IFERROR(INDEX('Both teabags AfterWet'!$C$3:$C$2000,MATCH(H315,'Both teabags AfterWet'!$A$3:$A$2000,0)),"")</f>
        <v>0.70330000000000004</v>
      </c>
      <c r="T315" s="194">
        <f>IFERROR(INDEX('Both teabags AfterWet'!$C$3:$C$2000,MATCH(I315,'Both teabags AfterWet'!$A$3:$A$2000,0)),"")</f>
        <v>1.6778999999999999</v>
      </c>
      <c r="U315" s="194">
        <f t="shared" si="47"/>
        <v>0.55269999999999997</v>
      </c>
      <c r="V315" s="194">
        <f t="shared" si="48"/>
        <v>1.5272999999999999</v>
      </c>
      <c r="W315" s="194">
        <f>IFERROR(INDEX('Ashed teabags wet'!$K$2:$K$2000,MATCH(H315,'Ashed teabags wet'!$A$2:$A$2000,0)),"")</f>
        <v>10.945273631841108</v>
      </c>
      <c r="X315" s="233">
        <f>IFERROR(INDEX('Ashed teabags wet'!$K$2:$K$2000,MATCH(I315,'Ashed teabags wet'!$A$2:$A$2000,0)),"")</f>
        <v>6.496631376323327</v>
      </c>
      <c r="Y315" s="194">
        <f t="shared" si="53"/>
        <v>0.49220547263681419</v>
      </c>
      <c r="Z315" s="194">
        <f t="shared" si="53"/>
        <v>1.4280769489894136</v>
      </c>
      <c r="AA315" s="194">
        <f t="shared" si="49"/>
        <v>0.7107851720071483</v>
      </c>
      <c r="AB315" s="194">
        <f t="shared" si="50"/>
        <v>0.4659779274916222</v>
      </c>
      <c r="AC315" s="194">
        <f t="shared" si="42"/>
        <v>0.72954357640586631</v>
      </c>
      <c r="AD315">
        <f t="shared" si="43"/>
        <v>51</v>
      </c>
      <c r="AE315" s="194">
        <f t="shared" si="51"/>
        <v>0.15583708787749606</v>
      </c>
      <c r="AF315" s="194">
        <f t="shared" si="52"/>
        <v>1.7028782340568632E-2</v>
      </c>
      <c r="AG315" s="245" t="str">
        <f>IF(ISNUMBER(SEARCH("C",'WetLitterbags placem_collection'!$Y22)),"YES","NO")</f>
        <v>NO</v>
      </c>
      <c r="AH315" s="245" t="str">
        <f>IF(ISNUMBER(SEARCH("H", 'WetLitterbags placem_collection'!$Y22)),"YES","NO")</f>
        <v>NO</v>
      </c>
      <c r="AI315" s="245" t="str">
        <f>IF(ISNUMBER(SEARCH("R", 'WetLitterbags placem_collection'!$Y22)),"YES","NO")</f>
        <v>NO</v>
      </c>
      <c r="AJ315" s="245" t="str">
        <f>IF(ISNUMBER(SEARCH("C", 'WetLitterbags placem_collection'!$W22)),"YES","NO")</f>
        <v>NO</v>
      </c>
      <c r="AK315" s="245" t="str">
        <f>IF(ISNUMBER(SEARCH("H", 'WetLitterbags placem_collection'!$W22)),"YES","NO")</f>
        <v>NO</v>
      </c>
      <c r="AL315" s="245" t="str">
        <f>IF(ISNUMBER(SEARCH("R", 'WetLitterbags placem_collection'!$W22)),"YES","NO")</f>
        <v>NO</v>
      </c>
    </row>
    <row r="316" spans="2:38">
      <c r="B316" t="str">
        <f>Wetseason!B462</f>
        <v>Wet</v>
      </c>
      <c r="C316" s="253">
        <f>Wetseason!C462</f>
        <v>21</v>
      </c>
      <c r="D316" t="s">
        <v>3104</v>
      </c>
      <c r="E316" t="s">
        <v>25</v>
      </c>
      <c r="F316" s="375">
        <v>5</v>
      </c>
      <c r="G316" s="16">
        <f>'WetLitterbags placem_collection'!E23</f>
        <v>42767</v>
      </c>
      <c r="H316" s="92" t="str">
        <f>Wetseason!L462</f>
        <v>G721</v>
      </c>
      <c r="I316" t="str">
        <f>Wetseason!L682</f>
        <v>R79</v>
      </c>
      <c r="J316">
        <f>IFERROR(INDEX('Green_rooibos initial weight'!$C$5:$C$2000,MATCH(H316, 'Green_rooibos initial weight'!$A$5:$A$2000,0)),"")</f>
        <v>1.9910000000000001</v>
      </c>
      <c r="K316">
        <f>IFERROR(INDEX('Green_rooibos initial weight'!$C$5:$C$2000,MATCH(I316, 'Green_rooibos initial weight'!$A$5:$A$2000,0)),"")</f>
        <v>2.1890000000000001</v>
      </c>
      <c r="L316" s="194">
        <f t="shared" si="54"/>
        <v>1.7412000000000001</v>
      </c>
      <c r="M316" s="194">
        <f>AVERAGE(Ashed_controlls!$K$2:$K$11)</f>
        <v>5.5147656768714146</v>
      </c>
      <c r="N316" s="194">
        <f t="shared" si="41"/>
        <v>1.645176900034315</v>
      </c>
      <c r="O316" s="194">
        <f t="shared" si="45"/>
        <v>1.9392</v>
      </c>
      <c r="P316" s="194">
        <f>AVERAGE(Ashed_controlls!$K$12:$K$14)</f>
        <v>2.2816647271287041</v>
      </c>
      <c r="Q316" s="194">
        <f t="shared" si="46"/>
        <v>1.8949539576115202</v>
      </c>
      <c r="R316" s="16">
        <f>IF('WetLitterbags placem_collection'!G23="","",'WetLitterbags placem_collection'!G23)</f>
        <v>42818</v>
      </c>
      <c r="S316" s="194">
        <f>IFERROR(INDEX('Both teabags AfterWet'!$C$3:$C$2000,MATCH(H316,'Both teabags AfterWet'!$A$3:$A$2000,0)),"")</f>
        <v>0.66739999999999999</v>
      </c>
      <c r="T316" s="194">
        <f>IFERROR(INDEX('Both teabags AfterWet'!$C$3:$C$2000,MATCH(I316,'Both teabags AfterWet'!$A$3:$A$2000,0)),"")</f>
        <v>1.4087000000000001</v>
      </c>
      <c r="U316" s="194">
        <f t="shared" si="47"/>
        <v>0.51679999999999993</v>
      </c>
      <c r="V316" s="194">
        <f t="shared" si="48"/>
        <v>1.2581</v>
      </c>
      <c r="W316" s="194">
        <f>IFERROR(INDEX('Ashed teabags wet'!$K$2:$K$2000,MATCH(H316,'Ashed teabags wet'!$A$2:$A$2000,0)),"")</f>
        <v>10.415623435152472</v>
      </c>
      <c r="X316" s="233">
        <f>IFERROR(INDEX('Ashed teabags wet'!$K$2:$K$2000,MATCH(I316,'Ashed teabags wet'!$A$2:$A$2000,0)),"")</f>
        <v>6.7426871591461754</v>
      </c>
      <c r="Y316" s="194">
        <f t="shared" si="53"/>
        <v>0.46297205808713193</v>
      </c>
      <c r="Z316" s="194">
        <f t="shared" si="53"/>
        <v>1.1732702528507819</v>
      </c>
      <c r="AA316" s="194">
        <f t="shared" si="49"/>
        <v>0.71858828185742496</v>
      </c>
      <c r="AB316" s="194">
        <f t="shared" si="50"/>
        <v>0.47109350544572287</v>
      </c>
      <c r="AC316" s="194">
        <f t="shared" si="42"/>
        <v>0.61915501858927546</v>
      </c>
      <c r="AD316">
        <f t="shared" si="43"/>
        <v>51</v>
      </c>
      <c r="AE316" s="194">
        <f t="shared" si="51"/>
        <v>0.14656973651137173</v>
      </c>
      <c r="AF316" s="194">
        <f t="shared" si="52"/>
        <v>3.2401752093704314E-2</v>
      </c>
      <c r="AG316" s="245" t="str">
        <f>IF(ISNUMBER(SEARCH("C",'WetLitterbags placem_collection'!$Y23)),"YES","NO")</f>
        <v>NO</v>
      </c>
      <c r="AH316" s="245" t="str">
        <f>IF(ISNUMBER(SEARCH("H", 'WetLitterbags placem_collection'!$Y23)),"YES","NO")</f>
        <v>NO</v>
      </c>
      <c r="AI316" s="245" t="str">
        <f>IF(ISNUMBER(SEARCH("R", 'WetLitterbags placem_collection'!$Y23)),"YES","NO")</f>
        <v>NO</v>
      </c>
      <c r="AJ316" s="245" t="str">
        <f>IF(ISNUMBER(SEARCH("C", 'WetLitterbags placem_collection'!$W23)),"YES","NO")</f>
        <v>NO</v>
      </c>
      <c r="AK316" s="245" t="str">
        <f>IF(ISNUMBER(SEARCH("H", 'WetLitterbags placem_collection'!$W23)),"YES","NO")</f>
        <v>NO</v>
      </c>
      <c r="AL316" s="245" t="str">
        <f>IF(ISNUMBER(SEARCH("R", 'WetLitterbags placem_collection'!$W23)),"YES","NO")</f>
        <v>YES</v>
      </c>
    </row>
    <row r="317" spans="2:38">
      <c r="B317" t="str">
        <f>Wetseason!B463</f>
        <v>Wet</v>
      </c>
      <c r="C317" s="253">
        <f>Wetseason!C463</f>
        <v>22</v>
      </c>
      <c r="D317" t="s">
        <v>3104</v>
      </c>
      <c r="E317" t="s">
        <v>25</v>
      </c>
      <c r="F317" s="375">
        <v>6</v>
      </c>
      <c r="G317" s="16">
        <f>'WetLitterbags placem_collection'!E24</f>
        <v>42767</v>
      </c>
      <c r="H317" s="92" t="str">
        <f>Wetseason!L463</f>
        <v>G552</v>
      </c>
      <c r="I317" t="str">
        <f>Wetseason!L683</f>
        <v>R45</v>
      </c>
      <c r="J317">
        <f>IFERROR(INDEX('Green_rooibos initial weight'!$C$5:$C$2000,MATCH(H317, 'Green_rooibos initial weight'!$A$5:$A$2000,0)),"")</f>
        <v>2.1110000000000002</v>
      </c>
      <c r="K317">
        <f>IFERROR(INDEX('Green_rooibos initial weight'!$C$5:$C$2000,MATCH(I317, 'Green_rooibos initial weight'!$A$5:$A$2000,0)),"")</f>
        <v>2.1989999999999998</v>
      </c>
      <c r="L317" s="194">
        <f t="shared" si="54"/>
        <v>1.8612000000000002</v>
      </c>
      <c r="M317" s="194">
        <f>AVERAGE(Ashed_controlls!$K$2:$K$11)</f>
        <v>5.5147656768714146</v>
      </c>
      <c r="N317" s="194">
        <f t="shared" si="41"/>
        <v>1.7585591812220693</v>
      </c>
      <c r="O317" s="194">
        <f t="shared" si="45"/>
        <v>1.9491999999999998</v>
      </c>
      <c r="P317" s="194">
        <f>AVERAGE(Ashed_controlls!$K$12:$K$14)</f>
        <v>2.2816647271287041</v>
      </c>
      <c r="Q317" s="194">
        <f t="shared" si="46"/>
        <v>1.9047257911388071</v>
      </c>
      <c r="R317" s="16">
        <f>IF('WetLitterbags placem_collection'!G24="","",'WetLitterbags placem_collection'!G24)</f>
        <v>42818</v>
      </c>
      <c r="S317" s="194">
        <f>IFERROR(INDEX('Both teabags AfterWet'!$C$3:$C$2000,MATCH(H317,'Both teabags AfterWet'!$A$3:$A$2000,0)),"")</f>
        <v>0.75929999999999997</v>
      </c>
      <c r="T317" s="194">
        <f>IFERROR(INDEX('Both teabags AfterWet'!$C$3:$C$2000,MATCH(I317,'Both teabags AfterWet'!$A$3:$A$2000,0)),"")</f>
        <v>1.4908999999999999</v>
      </c>
      <c r="U317" s="194">
        <f t="shared" si="47"/>
        <v>0.60870000000000002</v>
      </c>
      <c r="V317" s="194">
        <f t="shared" si="48"/>
        <v>1.3402999999999998</v>
      </c>
      <c r="W317" s="194">
        <f>IFERROR(INDEX('Ashed teabags wet'!$K$2:$K$2000,MATCH(H317,'Ashed teabags wet'!$A$2:$A$2000,0)),"")</f>
        <v>12.068965517241553</v>
      </c>
      <c r="X317" s="233">
        <f>IFERROR(INDEX('Ashed teabags wet'!$K$2:$K$2000,MATCH(I317,'Ashed teabags wet'!$A$2:$A$2000,0)),"")</f>
        <v>3.3797216699801611</v>
      </c>
      <c r="Y317" s="194">
        <f t="shared" si="53"/>
        <v>0.53523620689655071</v>
      </c>
      <c r="Z317" s="194">
        <f t="shared" si="53"/>
        <v>1.2950015904572558</v>
      </c>
      <c r="AA317" s="194">
        <f t="shared" si="49"/>
        <v>0.69563935486970596</v>
      </c>
      <c r="AB317" s="194">
        <f t="shared" si="50"/>
        <v>0.45604860319249135</v>
      </c>
      <c r="AC317" s="194">
        <f t="shared" si="42"/>
        <v>0.67988872544377832</v>
      </c>
      <c r="AD317">
        <f t="shared" si="43"/>
        <v>51</v>
      </c>
      <c r="AE317" s="194">
        <f t="shared" si="51"/>
        <v>0.17382499421650122</v>
      </c>
      <c r="AF317" s="194">
        <f t="shared" si="52"/>
        <v>2.373343978642151E-2</v>
      </c>
      <c r="AG317" s="245" t="str">
        <f>IF(ISNUMBER(SEARCH("C",'WetLitterbags placem_collection'!$Y24)),"YES","NO")</f>
        <v>NO</v>
      </c>
      <c r="AH317" s="245" t="str">
        <f>IF(ISNUMBER(SEARCH("H", 'WetLitterbags placem_collection'!$Y24)),"YES","NO")</f>
        <v>NO</v>
      </c>
      <c r="AI317" s="245" t="str">
        <f>IF(ISNUMBER(SEARCH("R", 'WetLitterbags placem_collection'!$Y24)),"YES","NO")</f>
        <v>NO</v>
      </c>
      <c r="AJ317" s="245" t="str">
        <f>IF(ISNUMBER(SEARCH("C", 'WetLitterbags placem_collection'!$W24)),"YES","NO")</f>
        <v>NO</v>
      </c>
      <c r="AK317" s="245" t="str">
        <f>IF(ISNUMBER(SEARCH("H", 'WetLitterbags placem_collection'!$W24)),"YES","NO")</f>
        <v>NO</v>
      </c>
      <c r="AL317" s="245" t="str">
        <f>IF(ISNUMBER(SEARCH("R", 'WetLitterbags placem_collection'!$W24)),"YES","NO")</f>
        <v>NO</v>
      </c>
    </row>
    <row r="318" spans="2:38">
      <c r="B318" t="str">
        <f>Wetseason!B464</f>
        <v>Wet</v>
      </c>
      <c r="C318" s="253">
        <f>Wetseason!C464</f>
        <v>23</v>
      </c>
      <c r="D318" t="s">
        <v>3104</v>
      </c>
      <c r="E318" t="s">
        <v>25</v>
      </c>
      <c r="F318" s="375">
        <v>7</v>
      </c>
      <c r="G318" s="16">
        <f>'WetLitterbags placem_collection'!E25</f>
        <v>42767</v>
      </c>
      <c r="H318" s="92" t="str">
        <f>Wetseason!L464</f>
        <v>G456</v>
      </c>
      <c r="I318" t="str">
        <f>Wetseason!L684</f>
        <v>R132</v>
      </c>
      <c r="J318">
        <f>IFERROR(INDEX('Green_rooibos initial weight'!$C$5:$C$2000,MATCH(H318, 'Green_rooibos initial weight'!$A$5:$A$2000,0)),"")</f>
        <v>2.117</v>
      </c>
      <c r="K318">
        <f>IFERROR(INDEX('Green_rooibos initial weight'!$C$5:$C$2000,MATCH(I318, 'Green_rooibos initial weight'!$A$5:$A$2000,0)),"")</f>
        <v>2.133</v>
      </c>
      <c r="L318" s="194">
        <f t="shared" si="54"/>
        <v>1.8672</v>
      </c>
      <c r="M318" s="194">
        <f>AVERAGE(Ashed_controlls!$K$2:$K$11)</f>
        <v>5.5147656768714146</v>
      </c>
      <c r="N318" s="194">
        <f t="shared" si="41"/>
        <v>1.764228295281457</v>
      </c>
      <c r="O318" s="194">
        <f t="shared" si="45"/>
        <v>1.8832</v>
      </c>
      <c r="P318" s="194">
        <f>AVERAGE(Ashed_controlls!$K$12:$K$14)</f>
        <v>2.2816647271287041</v>
      </c>
      <c r="Q318" s="194">
        <f t="shared" si="46"/>
        <v>1.8402316898587123</v>
      </c>
      <c r="R318" s="16">
        <f>IF('WetLitterbags placem_collection'!G25="","",'WetLitterbags placem_collection'!G25)</f>
        <v>42818</v>
      </c>
      <c r="S318" s="194">
        <f>IFERROR(INDEX('Both teabags AfterWet'!$C$3:$C$2000,MATCH(H318,'Both teabags AfterWet'!$A$3:$A$2000,0)),"")</f>
        <v>0.72629999999999995</v>
      </c>
      <c r="T318" s="194">
        <f>IFERROR(INDEX('Both teabags AfterWet'!$C$3:$C$2000,MATCH(I318,'Both teabags AfterWet'!$A$3:$A$2000,0)),"")</f>
        <v>1.5238</v>
      </c>
      <c r="U318" s="194">
        <f t="shared" si="47"/>
        <v>0.57569999999999988</v>
      </c>
      <c r="V318" s="194">
        <f t="shared" si="48"/>
        <v>1.3732</v>
      </c>
      <c r="W318" s="194">
        <f>IFERROR(INDEX('Ashed teabags wet'!$K$2:$K$2000,MATCH(H318,'Ashed teabags wet'!$A$2:$A$2000,0)),"")</f>
        <v>5.4787506400411408</v>
      </c>
      <c r="X318" s="233">
        <f>IFERROR(INDEX('Ashed teabags wet'!$K$2:$K$2000,MATCH(I318,'Ashed teabags wet'!$A$2:$A$2000,0)),"")</f>
        <v>1.7982017982017391</v>
      </c>
      <c r="Y318" s="194">
        <f t="shared" si="53"/>
        <v>0.54415883256528308</v>
      </c>
      <c r="Z318" s="194">
        <f t="shared" si="53"/>
        <v>1.3485070929070937</v>
      </c>
      <c r="AA318" s="194">
        <f t="shared" si="49"/>
        <v>0.69155985423163702</v>
      </c>
      <c r="AB318" s="194">
        <f t="shared" si="50"/>
        <v>0.45337415621836541</v>
      </c>
      <c r="AC318" s="194">
        <f t="shared" si="42"/>
        <v>0.7327920176239483</v>
      </c>
      <c r="AD318">
        <f t="shared" si="43"/>
        <v>51</v>
      </c>
      <c r="AE318" s="194">
        <f t="shared" si="51"/>
        <v>0.17867000685078738</v>
      </c>
      <c r="AF318" s="194">
        <f t="shared" si="52"/>
        <v>1.7452510860254254E-2</v>
      </c>
      <c r="AG318" s="245" t="str">
        <f>IF(ISNUMBER(SEARCH("C",'WetLitterbags placem_collection'!$Y25)),"YES","NO")</f>
        <v>NO</v>
      </c>
      <c r="AH318" s="245" t="str">
        <f>IF(ISNUMBER(SEARCH("H", 'WetLitterbags placem_collection'!$Y25)),"YES","NO")</f>
        <v>NO</v>
      </c>
      <c r="AI318" s="245" t="str">
        <f>IF(ISNUMBER(SEARCH("R", 'WetLitterbags placem_collection'!$Y25)),"YES","NO")</f>
        <v>NO</v>
      </c>
      <c r="AJ318" s="245" t="str">
        <f>IF(ISNUMBER(SEARCH("C", 'WetLitterbags placem_collection'!$W25)),"YES","NO")</f>
        <v>NO</v>
      </c>
      <c r="AK318" s="245" t="str">
        <f>IF(ISNUMBER(SEARCH("H", 'WetLitterbags placem_collection'!$W25)),"YES","NO")</f>
        <v>NO</v>
      </c>
      <c r="AL318" s="245" t="str">
        <f>IF(ISNUMBER(SEARCH("R", 'WetLitterbags placem_collection'!$W25)),"YES","NO")</f>
        <v>NO</v>
      </c>
    </row>
    <row r="319" spans="2:38">
      <c r="B319" t="str">
        <f>Wetseason!B465</f>
        <v>Wet</v>
      </c>
      <c r="C319" s="253">
        <f>Wetseason!C465</f>
        <v>24</v>
      </c>
      <c r="D319" t="s">
        <v>3104</v>
      </c>
      <c r="E319" t="s">
        <v>25</v>
      </c>
      <c r="F319" s="375">
        <v>8</v>
      </c>
      <c r="G319" s="16">
        <f>'WetLitterbags placem_collection'!E26</f>
        <v>42767</v>
      </c>
      <c r="H319" s="92" t="str">
        <f>Wetseason!L465</f>
        <v>G421</v>
      </c>
      <c r="I319" t="str">
        <f>Wetseason!L685</f>
        <v>R71</v>
      </c>
      <c r="J319">
        <f>IFERROR(INDEX('Green_rooibos initial weight'!$C$5:$C$2000,MATCH(H319, 'Green_rooibos initial weight'!$A$5:$A$2000,0)),"")</f>
        <v>2.052</v>
      </c>
      <c r="K319">
        <f>IFERROR(INDEX('Green_rooibos initial weight'!$C$5:$C$2000,MATCH(I319, 'Green_rooibos initial weight'!$A$5:$A$2000,0)),"")</f>
        <v>2.2440000000000002</v>
      </c>
      <c r="L319" s="194">
        <f t="shared" si="54"/>
        <v>1.8022</v>
      </c>
      <c r="M319" s="194">
        <f>AVERAGE(Ashed_controlls!$K$2:$K$11)</f>
        <v>5.5147656768714146</v>
      </c>
      <c r="N319" s="194">
        <f t="shared" si="41"/>
        <v>1.7028128929714235</v>
      </c>
      <c r="O319" s="194">
        <f t="shared" si="45"/>
        <v>1.9942000000000002</v>
      </c>
      <c r="P319" s="194">
        <f>AVERAGE(Ashed_controlls!$K$12:$K$14)</f>
        <v>2.2816647271287041</v>
      </c>
      <c r="Q319" s="194">
        <f t="shared" si="46"/>
        <v>1.9486990420115995</v>
      </c>
      <c r="R319" s="16">
        <f>IF('WetLitterbags placem_collection'!G26="","",'WetLitterbags placem_collection'!G26)</f>
        <v>42818</v>
      </c>
      <c r="S319" s="194">
        <f>IFERROR(INDEX('Both teabags AfterWet'!$C$3:$C$2000,MATCH(H319,'Both teabags AfterWet'!$A$3:$A$2000,0)),"")</f>
        <v>0.67</v>
      </c>
      <c r="T319" s="194">
        <f>IFERROR(INDEX('Both teabags AfterWet'!$C$3:$C$2000,MATCH(I319,'Both teabags AfterWet'!$A$3:$A$2000,0)),"")</f>
        <v>1.3083</v>
      </c>
      <c r="U319" s="194">
        <f t="shared" si="47"/>
        <v>0.51940000000000008</v>
      </c>
      <c r="V319" s="194">
        <f t="shared" si="48"/>
        <v>1.1577</v>
      </c>
      <c r="W319" s="194">
        <f>IFERROR(INDEX('Ashed teabags wet'!$K$2:$K$2000,MATCH(H319,'Ashed teabags wet'!$A$2:$A$2000,0)),"")</f>
        <v>10.957551826258362</v>
      </c>
      <c r="X319" s="233">
        <f>IFERROR(INDEX('Ashed teabags wet'!$K$2:$K$2000,MATCH(I319,'Ashed teabags wet'!$A$2:$A$2000,0)),"")</f>
        <v>5.6575682382137682</v>
      </c>
      <c r="Y319" s="194">
        <f t="shared" si="53"/>
        <v>0.46248647581441416</v>
      </c>
      <c r="Z319" s="194">
        <f t="shared" si="53"/>
        <v>1.0922023325061991</v>
      </c>
      <c r="AA319" s="194">
        <f t="shared" si="49"/>
        <v>0.72839853531566168</v>
      </c>
      <c r="AB319" s="194">
        <f t="shared" si="50"/>
        <v>0.47752493051573075</v>
      </c>
      <c r="AC319" s="194">
        <f t="shared" si="42"/>
        <v>0.56047768740048365</v>
      </c>
      <c r="AD319">
        <f t="shared" si="43"/>
        <v>51</v>
      </c>
      <c r="AE319" s="194">
        <f t="shared" si="51"/>
        <v>0.13491860413816903</v>
      </c>
      <c r="AF319" s="194">
        <f t="shared" si="52"/>
        <v>4.9626692532875494E-2</v>
      </c>
      <c r="AG319" s="245" t="str">
        <f>IF(ISNUMBER(SEARCH("C",'WetLitterbags placem_collection'!$Y26)),"YES","NO")</f>
        <v>NO</v>
      </c>
      <c r="AH319" s="245" t="str">
        <f>IF(ISNUMBER(SEARCH("H", 'WetLitterbags placem_collection'!$Y26)),"YES","NO")</f>
        <v>NO</v>
      </c>
      <c r="AI319" s="245" t="str">
        <f>IF(ISNUMBER(SEARCH("R", 'WetLitterbags placem_collection'!$Y26)),"YES","NO")</f>
        <v>NO</v>
      </c>
      <c r="AJ319" s="245" t="str">
        <f>IF(ISNUMBER(SEARCH("C", 'WetLitterbags placem_collection'!$W26)),"YES","NO")</f>
        <v>NO</v>
      </c>
      <c r="AK319" s="245" t="str">
        <f>IF(ISNUMBER(SEARCH("H", 'WetLitterbags placem_collection'!$W26)),"YES","NO")</f>
        <v>NO</v>
      </c>
      <c r="AL319" s="245" t="str">
        <f>IF(ISNUMBER(SEARCH("R", 'WetLitterbags placem_collection'!$W26)),"YES","NO")</f>
        <v>YES</v>
      </c>
    </row>
    <row r="320" spans="2:38">
      <c r="B320" t="str">
        <f>Wetseason!B466</f>
        <v>Wet</v>
      </c>
      <c r="C320" s="253">
        <f>Wetseason!C466</f>
        <v>25</v>
      </c>
      <c r="D320" t="s">
        <v>3105</v>
      </c>
      <c r="E320" t="s">
        <v>25</v>
      </c>
      <c r="F320" s="374">
        <v>1</v>
      </c>
      <c r="G320" s="16">
        <f>'WetLitterbags placem_collection'!E27</f>
        <v>42767</v>
      </c>
      <c r="H320" s="92" t="str">
        <f>Wetseason!L466</f>
        <v>G864</v>
      </c>
      <c r="I320" t="str">
        <f>Wetseason!L686</f>
        <v>R104</v>
      </c>
      <c r="J320">
        <f>IFERROR(INDEX('Green_rooibos initial weight'!$C$5:$C$2000,MATCH(H320, 'Green_rooibos initial weight'!$A$5:$A$2000,0)),"")</f>
        <v>2.0310000000000001</v>
      </c>
      <c r="K320">
        <f>IFERROR(INDEX('Green_rooibos initial weight'!$C$5:$C$2000,MATCH(I320, 'Green_rooibos initial weight'!$A$5:$A$2000,0)),"")</f>
        <v>2.2109999999999999</v>
      </c>
      <c r="L320" s="194">
        <f t="shared" si="54"/>
        <v>1.7812000000000001</v>
      </c>
      <c r="M320" s="194">
        <f>AVERAGE(Ashed_controlls!$K$2:$K$11)</f>
        <v>5.5147656768714146</v>
      </c>
      <c r="N320" s="194">
        <f t="shared" si="41"/>
        <v>1.6829709937635664</v>
      </c>
      <c r="O320" s="194">
        <f t="shared" si="45"/>
        <v>1.9611999999999998</v>
      </c>
      <c r="P320" s="194">
        <f>AVERAGE(Ashed_controlls!$K$12:$K$14)</f>
        <v>2.2816647271287041</v>
      </c>
      <c r="Q320" s="194">
        <f t="shared" si="46"/>
        <v>1.9164519913715516</v>
      </c>
      <c r="R320" s="16">
        <f>IF('WetLitterbags placem_collection'!G27="","",'WetLitterbags placem_collection'!G27)</f>
        <v>42818</v>
      </c>
      <c r="S320" s="194">
        <f>IFERROR(INDEX('Both teabags AfterWet'!$C$3:$C$2000,MATCH(H320,'Both teabags AfterWet'!$A$3:$A$2000,0)),"")</f>
        <v>0.65839999999999999</v>
      </c>
      <c r="T320" s="194">
        <f>IFERROR(INDEX('Both teabags AfterWet'!$C$3:$C$2000,MATCH(I320,'Both teabags AfterWet'!$A$3:$A$2000,0)),"")</f>
        <v>1.4184000000000001</v>
      </c>
      <c r="U320" s="194">
        <f t="shared" si="47"/>
        <v>0.50780000000000003</v>
      </c>
      <c r="V320" s="194">
        <f t="shared" si="48"/>
        <v>1.2678</v>
      </c>
      <c r="W320" s="194">
        <f>IFERROR(INDEX('Ashed teabags wet'!$K$2:$K$2000,MATCH(H320,'Ashed teabags wet'!$A$2:$A$2000,0)),"")</f>
        <v>15.647921760391469</v>
      </c>
      <c r="X320" s="233">
        <f>IFERROR(INDEX('Ashed teabags wet'!$K$2:$K$2000,MATCH(I320,'Ashed teabags wet'!$A$2:$A$2000,0)),"")</f>
        <v>3.8194444444447946</v>
      </c>
      <c r="Y320" s="194">
        <f t="shared" si="53"/>
        <v>0.42833985330073215</v>
      </c>
      <c r="Z320" s="194">
        <f t="shared" si="53"/>
        <v>1.2193770833333288</v>
      </c>
      <c r="AA320" s="194">
        <f t="shared" si="49"/>
        <v>0.74548589673381627</v>
      </c>
      <c r="AB320" s="194">
        <f t="shared" si="50"/>
        <v>0.4887270961960411</v>
      </c>
      <c r="AC320" s="194">
        <f t="shared" si="42"/>
        <v>0.6362680040112324</v>
      </c>
      <c r="AD320">
        <f t="shared" si="43"/>
        <v>51</v>
      </c>
      <c r="AE320" s="194">
        <f t="shared" si="51"/>
        <v>0.11462482573180965</v>
      </c>
      <c r="AF320" s="194">
        <f t="shared" si="52"/>
        <v>2.6735876666790566E-2</v>
      </c>
      <c r="AG320" s="245" t="str">
        <f>IF(ISNUMBER(SEARCH("C",'WetLitterbags placem_collection'!$Y27)),"YES","NO")</f>
        <v>NO</v>
      </c>
      <c r="AH320" s="245" t="str">
        <f>IF(ISNUMBER(SEARCH("H", 'WetLitterbags placem_collection'!$Y27)),"YES","NO")</f>
        <v>NO</v>
      </c>
      <c r="AI320" s="245" t="str">
        <f>IF(ISNUMBER(SEARCH("R", 'WetLitterbags placem_collection'!$Y27)),"YES","NO")</f>
        <v>NO</v>
      </c>
      <c r="AJ320" s="245" t="str">
        <f>IF(ISNUMBER(SEARCH("C", 'WetLitterbags placem_collection'!$W27)),"YES","NO")</f>
        <v>NO</v>
      </c>
      <c r="AK320" s="245" t="str">
        <f>IF(ISNUMBER(SEARCH("H", 'WetLitterbags placem_collection'!$W27)),"YES","NO")</f>
        <v>NO</v>
      </c>
      <c r="AL320" s="245" t="str">
        <f>IF(ISNUMBER(SEARCH("R", 'WetLitterbags placem_collection'!$W27)),"YES","NO")</f>
        <v>NO</v>
      </c>
    </row>
    <row r="321" spans="2:38">
      <c r="B321" t="str">
        <f>Wetseason!B467</f>
        <v>Wet</v>
      </c>
      <c r="C321" s="253">
        <f>Wetseason!C467</f>
        <v>26</v>
      </c>
      <c r="D321" t="s">
        <v>3105</v>
      </c>
      <c r="E321" t="s">
        <v>25</v>
      </c>
      <c r="F321" s="374">
        <v>2</v>
      </c>
      <c r="G321" s="16">
        <f>'WetLitterbags placem_collection'!E28</f>
        <v>42767</v>
      </c>
      <c r="H321" s="92" t="str">
        <f>Wetseason!L467</f>
        <v>G506</v>
      </c>
      <c r="I321" t="str">
        <f>Wetseason!L687</f>
        <v>R189</v>
      </c>
      <c r="J321">
        <f>IFERROR(INDEX('Green_rooibos initial weight'!$C$5:$C$2000,MATCH(H321, 'Green_rooibos initial weight'!$A$5:$A$2000,0)),"")</f>
        <v>1.9079999999999999</v>
      </c>
      <c r="K321">
        <f>IFERROR(INDEX('Green_rooibos initial weight'!$C$5:$C$2000,MATCH(I321, 'Green_rooibos initial weight'!$A$5:$A$2000,0)),"")</f>
        <v>2.274</v>
      </c>
      <c r="L321" s="194">
        <f t="shared" si="54"/>
        <v>1.6581999999999999</v>
      </c>
      <c r="M321" s="194">
        <f>AVERAGE(Ashed_controlls!$K$2:$K$11)</f>
        <v>5.5147656768714146</v>
      </c>
      <c r="N321" s="194">
        <f t="shared" si="41"/>
        <v>1.5667541555461182</v>
      </c>
      <c r="O321" s="194">
        <f t="shared" si="45"/>
        <v>2.0242</v>
      </c>
      <c r="P321" s="194">
        <f>AVERAGE(Ashed_controlls!$K$12:$K$14)</f>
        <v>2.2816647271287041</v>
      </c>
      <c r="Q321" s="194">
        <f t="shared" si="46"/>
        <v>1.9780145425934608</v>
      </c>
      <c r="R321" s="16">
        <f>IF('WetLitterbags placem_collection'!G28="","",'WetLitterbags placem_collection'!G28)</f>
        <v>42818</v>
      </c>
      <c r="S321" s="194">
        <f>IFERROR(INDEX('Both teabags AfterWet'!$C$3:$C$2000,MATCH(H321,'Both teabags AfterWet'!$A$3:$A$2000,0)),"")</f>
        <v>0.67589999999999995</v>
      </c>
      <c r="T321" s="194">
        <f>IFERROR(INDEX('Both teabags AfterWet'!$C$3:$C$2000,MATCH(I321,'Both teabags AfterWet'!$A$3:$A$2000,0)),"")</f>
        <v>1.464</v>
      </c>
      <c r="U321" s="194">
        <f t="shared" si="47"/>
        <v>0.52529999999999988</v>
      </c>
      <c r="V321" s="194">
        <f t="shared" si="48"/>
        <v>1.3133999999999999</v>
      </c>
      <c r="W321" s="194">
        <f>IFERROR(INDEX('Ashed teabags wet'!$K$2:$K$2000,MATCH(H321,'Ashed teabags wet'!$A$2:$A$2000,0)),"")</f>
        <v>8.561473369835749</v>
      </c>
      <c r="X321" s="233">
        <f>IFERROR(INDEX('Ashed teabags wet'!$K$2:$K$2000,MATCH(I321,'Ashed teabags wet'!$A$2:$A$2000,0)),"")</f>
        <v>2.9721955896448731</v>
      </c>
      <c r="Y321" s="194">
        <f t="shared" si="53"/>
        <v>0.48032658038825271</v>
      </c>
      <c r="Z321" s="194">
        <f t="shared" si="53"/>
        <v>1.2743631831256041</v>
      </c>
      <c r="AA321" s="194">
        <f t="shared" si="49"/>
        <v>0.69342568603507115</v>
      </c>
      <c r="AB321" s="194">
        <f t="shared" si="50"/>
        <v>0.45459736186622252</v>
      </c>
      <c r="AC321" s="194">
        <f t="shared" si="42"/>
        <v>0.64426380882656764</v>
      </c>
      <c r="AD321">
        <f t="shared" si="43"/>
        <v>51</v>
      </c>
      <c r="AE321" s="194">
        <f t="shared" si="51"/>
        <v>0.17645405459017671</v>
      </c>
      <c r="AF321" s="194">
        <f t="shared" si="52"/>
        <v>2.9915599185669085E-2</v>
      </c>
      <c r="AG321" s="245" t="str">
        <f>IF(ISNUMBER(SEARCH("C",'WetLitterbags placem_collection'!$Y28)),"YES","NO")</f>
        <v>NO</v>
      </c>
      <c r="AH321" s="245" t="str">
        <f>IF(ISNUMBER(SEARCH("H", 'WetLitterbags placem_collection'!$Y28)),"YES","NO")</f>
        <v>NO</v>
      </c>
      <c r="AI321" s="245" t="str">
        <f>IF(ISNUMBER(SEARCH("R", 'WetLitterbags placem_collection'!$Y28)),"YES","NO")</f>
        <v>NO</v>
      </c>
      <c r="AJ321" s="245" t="str">
        <f>IF(ISNUMBER(SEARCH("C", 'WetLitterbags placem_collection'!$W28)),"YES","NO")</f>
        <v>NO</v>
      </c>
      <c r="AK321" s="245" t="str">
        <f>IF(ISNUMBER(SEARCH("H", 'WetLitterbags placem_collection'!$W28)),"YES","NO")</f>
        <v>NO</v>
      </c>
      <c r="AL321" s="245" t="str">
        <f>IF(ISNUMBER(SEARCH("R", 'WetLitterbags placem_collection'!$W28)),"YES","NO")</f>
        <v>NO</v>
      </c>
    </row>
    <row r="322" spans="2:38">
      <c r="B322" t="str">
        <f>Wetseason!B468</f>
        <v>Wet</v>
      </c>
      <c r="C322" s="253">
        <f>Wetseason!C468</f>
        <v>27</v>
      </c>
      <c r="D322" t="s">
        <v>3105</v>
      </c>
      <c r="E322" t="s">
        <v>25</v>
      </c>
      <c r="F322" s="374">
        <v>3</v>
      </c>
      <c r="G322" s="16">
        <f>'WetLitterbags placem_collection'!E29</f>
        <v>42767</v>
      </c>
      <c r="H322" s="92" t="str">
        <f>Wetseason!L468</f>
        <v>G449</v>
      </c>
      <c r="I322" t="str">
        <f>Wetseason!L688</f>
        <v>R217</v>
      </c>
      <c r="J322">
        <f>IFERROR(INDEX('Green_rooibos initial weight'!$C$5:$C$2000,MATCH(H322, 'Green_rooibos initial weight'!$A$5:$A$2000,0)),"")</f>
        <v>2.1749999999999998</v>
      </c>
      <c r="K322">
        <f>IFERROR(INDEX('Green_rooibos initial weight'!$C$5:$C$2000,MATCH(I322, 'Green_rooibos initial weight'!$A$5:$A$2000,0)),"")</f>
        <v>2.2109999999999999</v>
      </c>
      <c r="L322" s="194">
        <f t="shared" si="54"/>
        <v>1.9251999999999998</v>
      </c>
      <c r="M322" s="194">
        <f>AVERAGE(Ashed_controlls!$K$2:$K$11)</f>
        <v>5.5147656768714146</v>
      </c>
      <c r="N322" s="194">
        <f t="shared" si="41"/>
        <v>1.8190297311888712</v>
      </c>
      <c r="O322" s="194">
        <f t="shared" si="45"/>
        <v>1.9611999999999998</v>
      </c>
      <c r="P322" s="194">
        <f>AVERAGE(Ashed_controlls!$K$12:$K$14)</f>
        <v>2.2816647271287041</v>
      </c>
      <c r="Q322" s="194">
        <f t="shared" si="46"/>
        <v>1.9164519913715516</v>
      </c>
      <c r="R322" s="16">
        <f>IF('WetLitterbags placem_collection'!G29="","",'WetLitterbags placem_collection'!G29)</f>
        <v>42818</v>
      </c>
      <c r="S322" s="194">
        <f>IFERROR(INDEX('Both teabags AfterWet'!$C$3:$C$2000,MATCH(H322,'Both teabags AfterWet'!$A$3:$A$2000,0)),"")</f>
        <v>0.73760000000000003</v>
      </c>
      <c r="T322" s="194">
        <f>IFERROR(INDEX('Both teabags AfterWet'!$C$3:$C$2000,MATCH(I322,'Both teabags AfterWet'!$A$3:$A$2000,0)),"")</f>
        <v>1.5392999999999999</v>
      </c>
      <c r="U322" s="194">
        <f t="shared" si="47"/>
        <v>0.58699999999999997</v>
      </c>
      <c r="V322" s="194">
        <f t="shared" si="48"/>
        <v>1.3886999999999998</v>
      </c>
      <c r="W322" s="194">
        <f>IFERROR(INDEX('Ashed teabags wet'!$K$2:$K$2000,MATCH(H322,'Ashed teabags wet'!$A$2:$A$2000,0)),"")</f>
        <v>10.444777611194501</v>
      </c>
      <c r="X322" s="233">
        <f>IFERROR(INDEX('Ashed teabags wet'!$K$2:$K$2000,MATCH(I322,'Ashed teabags wet'!$A$2:$A$2000,0)),"")</f>
        <v>3.5156250000002229</v>
      </c>
      <c r="Y322" s="194">
        <f t="shared" si="53"/>
        <v>0.52568915542228822</v>
      </c>
      <c r="Z322" s="194">
        <f t="shared" si="53"/>
        <v>1.3398785156249968</v>
      </c>
      <c r="AA322" s="194">
        <f t="shared" si="49"/>
        <v>0.71100573761446362</v>
      </c>
      <c r="AB322" s="194">
        <f t="shared" si="50"/>
        <v>0.46612252632207124</v>
      </c>
      <c r="AC322" s="194">
        <f t="shared" si="42"/>
        <v>0.69914535905805963</v>
      </c>
      <c r="AD322">
        <f t="shared" si="43"/>
        <v>51</v>
      </c>
      <c r="AE322" s="194">
        <f t="shared" si="51"/>
        <v>0.15557513347450869</v>
      </c>
      <c r="AF322" s="194">
        <f t="shared" si="52"/>
        <v>2.0330996597188868E-2</v>
      </c>
      <c r="AG322" s="245" t="str">
        <f>IF(ISNUMBER(SEARCH("C",'WetLitterbags placem_collection'!$Y29)),"YES","NO")</f>
        <v>NO</v>
      </c>
      <c r="AH322" s="245" t="str">
        <f>IF(ISNUMBER(SEARCH("H", 'WetLitterbags placem_collection'!$Y29)),"YES","NO")</f>
        <v>NO</v>
      </c>
      <c r="AI322" s="245" t="str">
        <f>IF(ISNUMBER(SEARCH("R", 'WetLitterbags placem_collection'!$Y29)),"YES","NO")</f>
        <v>NO</v>
      </c>
      <c r="AJ322" s="245" t="str">
        <f>IF(ISNUMBER(SEARCH("C", 'WetLitterbags placem_collection'!$W29)),"YES","NO")</f>
        <v>NO</v>
      </c>
      <c r="AK322" s="245" t="str">
        <f>IF(ISNUMBER(SEARCH("H", 'WetLitterbags placem_collection'!$W29)),"YES","NO")</f>
        <v>NO</v>
      </c>
      <c r="AL322" s="245" t="str">
        <f>IF(ISNUMBER(SEARCH("R", 'WetLitterbags placem_collection'!$W29)),"YES","NO")</f>
        <v>NO</v>
      </c>
    </row>
    <row r="323" spans="2:38">
      <c r="B323" t="str">
        <f>Wetseason!B469</f>
        <v>Wet</v>
      </c>
      <c r="C323" s="253">
        <f>Wetseason!C469</f>
        <v>28</v>
      </c>
      <c r="D323" t="s">
        <v>3105</v>
      </c>
      <c r="E323" t="s">
        <v>25</v>
      </c>
      <c r="F323" s="375">
        <v>4</v>
      </c>
      <c r="G323" s="16">
        <f>'WetLitterbags placem_collection'!E30</f>
        <v>42767</v>
      </c>
      <c r="H323" s="92" t="str">
        <f>Wetseason!L469</f>
        <v>G502</v>
      </c>
      <c r="I323" t="str">
        <f>Wetseason!L689</f>
        <v>R172</v>
      </c>
      <c r="J323">
        <f>IFERROR(INDEX('Green_rooibos initial weight'!$C$5:$C$2000,MATCH(H323, 'Green_rooibos initial weight'!$A$5:$A$2000,0)),"")</f>
        <v>1.929</v>
      </c>
      <c r="K323">
        <f>IFERROR(INDEX('Green_rooibos initial weight'!$C$5:$C$2000,MATCH(I323, 'Green_rooibos initial weight'!$A$5:$A$2000,0)),"")</f>
        <v>2.1520000000000001</v>
      </c>
      <c r="L323" s="194">
        <f t="shared" si="54"/>
        <v>1.6792</v>
      </c>
      <c r="M323" s="194">
        <f>AVERAGE(Ashed_controlls!$K$2:$K$11)</f>
        <v>5.5147656768714146</v>
      </c>
      <c r="N323" s="194">
        <f t="shared" si="41"/>
        <v>1.5865960547539752</v>
      </c>
      <c r="O323" s="194">
        <f t="shared" si="45"/>
        <v>1.9022000000000001</v>
      </c>
      <c r="P323" s="194">
        <f>AVERAGE(Ashed_controlls!$K$12:$K$14)</f>
        <v>2.2816647271287041</v>
      </c>
      <c r="Q323" s="194">
        <f t="shared" si="46"/>
        <v>1.8587981735605579</v>
      </c>
      <c r="R323" s="16">
        <f>IF('WetLitterbags placem_collection'!G30="","",'WetLitterbags placem_collection'!G30)</f>
        <v>42818</v>
      </c>
      <c r="S323" s="194">
        <f>IFERROR(INDEX('Both teabags AfterWet'!$C$3:$C$2000,MATCH(H323,'Both teabags AfterWet'!$A$3:$A$2000,0)),"")</f>
        <v>0.60960000000000003</v>
      </c>
      <c r="T323" s="194">
        <f>IFERROR(INDEX('Both teabags AfterWet'!$C$3:$C$2000,MATCH(I323,'Both teabags AfterWet'!$A$3:$A$2000,0)),"")</f>
        <v>1.4665999999999999</v>
      </c>
      <c r="U323" s="194">
        <f t="shared" si="47"/>
        <v>0.45900000000000002</v>
      </c>
      <c r="V323" s="194">
        <f t="shared" si="48"/>
        <v>1.3159999999999998</v>
      </c>
      <c r="W323" s="194">
        <f>IFERROR(INDEX('Ashed teabags wet'!$K$2:$K$2000,MATCH(H323,'Ashed teabags wet'!$A$2:$A$2000,0)),"")</f>
        <v>10.16121152906673</v>
      </c>
      <c r="X323" s="233">
        <f>IFERROR(INDEX('Ashed teabags wet'!$K$2:$K$2000,MATCH(I323,'Ashed teabags wet'!$A$2:$A$2000,0)),"")</f>
        <v>4.6569854782171465</v>
      </c>
      <c r="Y323" s="194">
        <f t="shared" si="53"/>
        <v>0.41236003908158375</v>
      </c>
      <c r="Z323" s="194">
        <f t="shared" si="53"/>
        <v>1.2547140711066622</v>
      </c>
      <c r="AA323" s="194">
        <f t="shared" si="49"/>
        <v>0.74009765255244742</v>
      </c>
      <c r="AB323" s="194">
        <f t="shared" si="50"/>
        <v>0.48519466058070193</v>
      </c>
      <c r="AC323" s="194">
        <f t="shared" si="42"/>
        <v>0.67501361307195451</v>
      </c>
      <c r="AD323">
        <f t="shared" si="43"/>
        <v>51</v>
      </c>
      <c r="AE323" s="194">
        <f t="shared" si="51"/>
        <v>0.12102416561467044</v>
      </c>
      <c r="AF323" s="194">
        <f t="shared" si="52"/>
        <v>2.1726970458094279E-2</v>
      </c>
      <c r="AG323" s="245" t="str">
        <f>IF(ISNUMBER(SEARCH("C",'WetLitterbags placem_collection'!$Y30)),"YES","NO")</f>
        <v>NO</v>
      </c>
      <c r="AH323" s="245" t="str">
        <f>IF(ISNUMBER(SEARCH("H", 'WetLitterbags placem_collection'!$Y30)),"YES","NO")</f>
        <v>NO</v>
      </c>
      <c r="AI323" s="245" t="str">
        <f>IF(ISNUMBER(SEARCH("R", 'WetLitterbags placem_collection'!$Y30)),"YES","NO")</f>
        <v>NO</v>
      </c>
      <c r="AJ323" s="245" t="str">
        <f>IF(ISNUMBER(SEARCH("C", 'WetLitterbags placem_collection'!$W30)),"YES","NO")</f>
        <v>NO</v>
      </c>
      <c r="AK323" s="245" t="str">
        <f>IF(ISNUMBER(SEARCH("H", 'WetLitterbags placem_collection'!$W30)),"YES","NO")</f>
        <v>NO</v>
      </c>
      <c r="AL323" s="245" t="str">
        <f>IF(ISNUMBER(SEARCH("R", 'WetLitterbags placem_collection'!$W30)),"YES","NO")</f>
        <v>NO</v>
      </c>
    </row>
    <row r="324" spans="2:38">
      <c r="B324" t="str">
        <f>Wetseason!B470</f>
        <v>Wet</v>
      </c>
      <c r="C324" s="253">
        <f>Wetseason!C470</f>
        <v>29</v>
      </c>
      <c r="D324" t="s">
        <v>3105</v>
      </c>
      <c r="E324" t="s">
        <v>25</v>
      </c>
      <c r="F324" s="375">
        <v>5</v>
      </c>
      <c r="G324" s="16">
        <f>'WetLitterbags placem_collection'!E31</f>
        <v>42767</v>
      </c>
      <c r="H324" s="92" t="str">
        <f>Wetseason!L470</f>
        <v>G345</v>
      </c>
      <c r="I324" t="str">
        <f>Wetseason!L690</f>
        <v>R349</v>
      </c>
      <c r="J324">
        <f>IFERROR(INDEX('Green_rooibos initial weight'!$C$5:$C$2000,MATCH(H324, 'Green_rooibos initial weight'!$A$5:$A$2000,0)),"")</f>
        <v>2.012</v>
      </c>
      <c r="K324">
        <f>IFERROR(INDEX('Green_rooibos initial weight'!$C$5:$C$2000,MATCH(I324, 'Green_rooibos initial weight'!$A$5:$A$2000,0)),"")</f>
        <v>2.2469999999999999</v>
      </c>
      <c r="L324" s="194">
        <f t="shared" si="54"/>
        <v>1.7622</v>
      </c>
      <c r="M324" s="194">
        <f>AVERAGE(Ashed_controlls!$K$2:$K$11)</f>
        <v>5.5147656768714146</v>
      </c>
      <c r="N324" s="194">
        <f t="shared" si="41"/>
        <v>1.6650187992421719</v>
      </c>
      <c r="O324" s="194">
        <f t="shared" si="45"/>
        <v>1.9971999999999999</v>
      </c>
      <c r="P324" s="194">
        <f>AVERAGE(Ashed_controlls!$K$12:$K$14)</f>
        <v>2.2816647271287041</v>
      </c>
      <c r="Q324" s="194">
        <f t="shared" si="46"/>
        <v>1.9516305920697854</v>
      </c>
      <c r="R324" s="16">
        <f>IF('WetLitterbags placem_collection'!G31="","",'WetLitterbags placem_collection'!G31)</f>
        <v>42818</v>
      </c>
      <c r="S324" s="194">
        <f>IFERROR(INDEX('Both teabags AfterWet'!$C$3:$C$2000,MATCH(H324,'Both teabags AfterWet'!$A$3:$A$2000,0)),"")</f>
        <v>0.64829999999999999</v>
      </c>
      <c r="T324" s="194">
        <f>IFERROR(INDEX('Both teabags AfterWet'!$C$3:$C$2000,MATCH(I324,'Both teabags AfterWet'!$A$3:$A$2000,0)),"")</f>
        <v>1.4108000000000001</v>
      </c>
      <c r="U324" s="194">
        <f t="shared" si="47"/>
        <v>0.49769999999999998</v>
      </c>
      <c r="V324" s="194">
        <f t="shared" si="48"/>
        <v>1.2602</v>
      </c>
      <c r="W324" s="194">
        <f>IFERROR(INDEX('Ashed teabags wet'!$K$2:$K$2000,MATCH(H324,'Ashed teabags wet'!$A$2:$A$2000,0)),"")</f>
        <v>9.5937347038662821</v>
      </c>
      <c r="X324" s="233">
        <f>IFERROR(INDEX('Ashed teabags wet'!$K$2:$K$2000,MATCH(I324,'Ashed teabags wet'!$A$2:$A$2000,0)),"")</f>
        <v>3.0821917808218364</v>
      </c>
      <c r="Y324" s="194">
        <f t="shared" si="53"/>
        <v>0.44995198237885747</v>
      </c>
      <c r="Z324" s="194">
        <f t="shared" si="53"/>
        <v>1.2213582191780832</v>
      </c>
      <c r="AA324" s="194">
        <f t="shared" si="49"/>
        <v>0.72976162035909042</v>
      </c>
      <c r="AB324" s="194">
        <f t="shared" si="50"/>
        <v>0.47841854446344173</v>
      </c>
      <c r="AC324" s="194">
        <f t="shared" si="42"/>
        <v>0.62581424176323353</v>
      </c>
      <c r="AD324">
        <f t="shared" si="43"/>
        <v>51</v>
      </c>
      <c r="AE324" s="194">
        <f t="shared" si="51"/>
        <v>0.1332997382908665</v>
      </c>
      <c r="AF324" s="194">
        <f t="shared" si="52"/>
        <v>2.987959291134136E-2</v>
      </c>
      <c r="AG324" s="245" t="str">
        <f>IF(ISNUMBER(SEARCH("C",'WetLitterbags placem_collection'!$Y31)),"YES","NO")</f>
        <v>NO</v>
      </c>
      <c r="AH324" s="245" t="str">
        <f>IF(ISNUMBER(SEARCH("H", 'WetLitterbags placem_collection'!$Y31)),"YES","NO")</f>
        <v>NO</v>
      </c>
      <c r="AI324" s="245" t="str">
        <f>IF(ISNUMBER(SEARCH("R", 'WetLitterbags placem_collection'!$Y31)),"YES","NO")</f>
        <v>NO</v>
      </c>
      <c r="AJ324" s="245" t="str">
        <f>IF(ISNUMBER(SEARCH("C", 'WetLitterbags placem_collection'!$W31)),"YES","NO")</f>
        <v>NO</v>
      </c>
      <c r="AK324" s="245" t="str">
        <f>IF(ISNUMBER(SEARCH("H", 'WetLitterbags placem_collection'!$W31)),"YES","NO")</f>
        <v>YES</v>
      </c>
      <c r="AL324" s="245" t="str">
        <f>IF(ISNUMBER(SEARCH("R", 'WetLitterbags placem_collection'!$W31)),"YES","NO")</f>
        <v>YES</v>
      </c>
    </row>
    <row r="325" spans="2:38">
      <c r="B325" t="str">
        <f>Wetseason!B471</f>
        <v>Wet</v>
      </c>
      <c r="C325" s="253">
        <f>Wetseason!C471</f>
        <v>30</v>
      </c>
      <c r="D325" t="s">
        <v>3105</v>
      </c>
      <c r="E325" t="s">
        <v>25</v>
      </c>
      <c r="F325" s="375">
        <v>6</v>
      </c>
      <c r="G325" s="16">
        <f>'WetLitterbags placem_collection'!E32</f>
        <v>42767</v>
      </c>
      <c r="H325" s="92" t="str">
        <f>Wetseason!L471</f>
        <v>G500</v>
      </c>
      <c r="I325" t="str">
        <f>Wetseason!L691</f>
        <v>R296</v>
      </c>
      <c r="J325">
        <f>IFERROR(INDEX('Green_rooibos initial weight'!$C$5:$C$2000,MATCH(H325, 'Green_rooibos initial weight'!$A$5:$A$2000,0)),"")</f>
        <v>2.0830000000000002</v>
      </c>
      <c r="K325">
        <f>IFERROR(INDEX('Green_rooibos initial weight'!$C$5:$C$2000,MATCH(I325, 'Green_rooibos initial weight'!$A$5:$A$2000,0)),"")</f>
        <v>2.226</v>
      </c>
      <c r="L325" s="194">
        <f t="shared" si="54"/>
        <v>1.8332000000000002</v>
      </c>
      <c r="M325" s="194">
        <f>AVERAGE(Ashed_controlls!$K$2:$K$11)</f>
        <v>5.5147656768714146</v>
      </c>
      <c r="N325" s="194">
        <f t="shared" si="41"/>
        <v>1.7321033156115935</v>
      </c>
      <c r="O325" s="194">
        <f t="shared" si="45"/>
        <v>1.9762</v>
      </c>
      <c r="P325" s="194">
        <f>AVERAGE(Ashed_controlls!$K$12:$K$14)</f>
        <v>2.2816647271287041</v>
      </c>
      <c r="Q325" s="194">
        <f t="shared" si="46"/>
        <v>1.9311097416624825</v>
      </c>
      <c r="R325" s="16">
        <f>IF('WetLitterbags placem_collection'!G32="","",'WetLitterbags placem_collection'!G32)</f>
        <v>42818</v>
      </c>
      <c r="S325" s="194">
        <f>IFERROR(INDEX('Both teabags AfterWet'!$C$3:$C$2000,MATCH(H325,'Both teabags AfterWet'!$A$3:$A$2000,0)),"")</f>
        <v>0.61909999999999998</v>
      </c>
      <c r="T325" s="194">
        <f>IFERROR(INDEX('Both teabags AfterWet'!$C$3:$C$2000,MATCH(I325,'Both teabags AfterWet'!$A$3:$A$2000,0)),"")</f>
        <v>1.3653</v>
      </c>
      <c r="U325" s="194">
        <f t="shared" si="47"/>
        <v>0.46849999999999997</v>
      </c>
      <c r="V325" s="194">
        <f t="shared" si="48"/>
        <v>1.2146999999999999</v>
      </c>
      <c r="W325" s="194">
        <f>IFERROR(INDEX('Ashed teabags wet'!$K$2:$K$2000,MATCH(H325,'Ashed teabags wet'!$A$2:$A$2000,0)),"")</f>
        <v>10.952848722986133</v>
      </c>
      <c r="X325" s="233">
        <f>IFERROR(INDEX('Ashed teabags wet'!$K$2:$K$2000,MATCH(I325,'Ashed teabags wet'!$A$2:$A$2000,0)),"")</f>
        <v>3.9301310043674835</v>
      </c>
      <c r="Y325" s="194">
        <f t="shared" si="53"/>
        <v>0.41718590373280995</v>
      </c>
      <c r="Z325" s="194">
        <f t="shared" si="53"/>
        <v>1.1669606986899481</v>
      </c>
      <c r="AA325" s="194">
        <f t="shared" si="49"/>
        <v>0.7591449078281427</v>
      </c>
      <c r="AB325" s="194">
        <f t="shared" si="50"/>
        <v>0.49768169729350931</v>
      </c>
      <c r="AC325" s="194">
        <f t="shared" si="42"/>
        <v>0.60429538182812836</v>
      </c>
      <c r="AD325">
        <f t="shared" si="43"/>
        <v>51</v>
      </c>
      <c r="AE325" s="194">
        <f t="shared" si="51"/>
        <v>9.8402722294367306E-2</v>
      </c>
      <c r="AF325" s="194">
        <f t="shared" si="52"/>
        <v>3.1082600726938008E-2</v>
      </c>
      <c r="AG325" s="245" t="str">
        <f>IF(ISNUMBER(SEARCH("C",'WetLitterbags placem_collection'!$Y32)),"YES","NO")</f>
        <v>NO</v>
      </c>
      <c r="AH325" s="245" t="str">
        <f>IF(ISNUMBER(SEARCH("H", 'WetLitterbags placem_collection'!$Y32)),"YES","NO")</f>
        <v>NO</v>
      </c>
      <c r="AI325" s="245" t="str">
        <f>IF(ISNUMBER(SEARCH("R", 'WetLitterbags placem_collection'!$Y32)),"YES","NO")</f>
        <v>NO</v>
      </c>
      <c r="AJ325" s="245" t="str">
        <f>IF(ISNUMBER(SEARCH("C", 'WetLitterbags placem_collection'!$W32)),"YES","NO")</f>
        <v>NO</v>
      </c>
      <c r="AK325" s="245" t="str">
        <f>IF(ISNUMBER(SEARCH("H", 'WetLitterbags placem_collection'!$W32)),"YES","NO")</f>
        <v>NO</v>
      </c>
      <c r="AL325" s="245" t="str">
        <f>IF(ISNUMBER(SEARCH("R", 'WetLitterbags placem_collection'!$W32)),"YES","NO")</f>
        <v>YES</v>
      </c>
    </row>
    <row r="326" spans="2:38">
      <c r="B326" t="str">
        <f>Wetseason!B472</f>
        <v>Wet</v>
      </c>
      <c r="C326" s="253">
        <f>Wetseason!C472</f>
        <v>31</v>
      </c>
      <c r="D326" t="s">
        <v>3105</v>
      </c>
      <c r="E326" t="s">
        <v>25</v>
      </c>
      <c r="F326" s="375">
        <v>7</v>
      </c>
      <c r="G326" s="16">
        <f>'WetLitterbags placem_collection'!E33</f>
        <v>42767</v>
      </c>
      <c r="H326" s="92" t="str">
        <f>Wetseason!L472</f>
        <v>G521</v>
      </c>
      <c r="I326" t="str">
        <f>Wetseason!L692</f>
        <v>R323</v>
      </c>
      <c r="J326">
        <f>IFERROR(INDEX('Green_rooibos initial weight'!$C$5:$C$2000,MATCH(H326, 'Green_rooibos initial weight'!$A$5:$A$2000,0)),"")</f>
        <v>2.1709999999999998</v>
      </c>
      <c r="K326">
        <f>IFERROR(INDEX('Green_rooibos initial weight'!$C$5:$C$2000,MATCH(I326, 'Green_rooibos initial weight'!$A$5:$A$2000,0)),"")</f>
        <v>2.1949999999999998</v>
      </c>
      <c r="L326" s="194">
        <f t="shared" si="54"/>
        <v>1.9211999999999998</v>
      </c>
      <c r="M326" s="194">
        <f>AVERAGE(Ashed_controlls!$K$2:$K$11)</f>
        <v>5.5147656768714146</v>
      </c>
      <c r="N326" s="194">
        <f t="shared" si="41"/>
        <v>1.8152503218159461</v>
      </c>
      <c r="O326" s="194">
        <f t="shared" si="45"/>
        <v>1.9451999999999998</v>
      </c>
      <c r="P326" s="194">
        <f>AVERAGE(Ashed_controlls!$K$12:$K$14)</f>
        <v>2.2816647271287041</v>
      </c>
      <c r="Q326" s="194">
        <f t="shared" si="46"/>
        <v>1.9008170577278922</v>
      </c>
      <c r="R326" s="16">
        <f>IF('WetLitterbags placem_collection'!G33="","",'WetLitterbags placem_collection'!G33)</f>
        <v>42818</v>
      </c>
      <c r="S326" s="194">
        <f>IFERROR(INDEX('Both teabags AfterWet'!$C$3:$C$2000,MATCH(H326,'Both teabags AfterWet'!$A$3:$A$2000,0)),"")</f>
        <v>0.71479999999999999</v>
      </c>
      <c r="T326" s="194">
        <f>IFERROR(INDEX('Both teabags AfterWet'!$C$3:$C$2000,MATCH(I326,'Both teabags AfterWet'!$A$3:$A$2000,0)),"")</f>
        <v>1.425</v>
      </c>
      <c r="U326" s="194">
        <f t="shared" si="47"/>
        <v>0.56420000000000003</v>
      </c>
      <c r="V326" s="194">
        <f t="shared" si="48"/>
        <v>1.2744</v>
      </c>
      <c r="W326" s="194">
        <f>IFERROR(INDEX('Ashed teabags wet'!$K$2:$K$2000,MATCH(H326,'Ashed teabags wet'!$A$2:$A$2000,0)),"")</f>
        <v>14.161008729389133</v>
      </c>
      <c r="X326" s="233">
        <f>IFERROR(INDEX('Ashed teabags wet'!$K$2:$K$2000,MATCH(I326,'Ashed teabags wet'!$A$2:$A$2000,0)),"")</f>
        <v>20.058139534884134</v>
      </c>
      <c r="Y326" s="194">
        <f t="shared" si="53"/>
        <v>0.48430358874878654</v>
      </c>
      <c r="Z326" s="194">
        <f t="shared" si="53"/>
        <v>1.0187790697674366</v>
      </c>
      <c r="AA326" s="194">
        <f t="shared" si="49"/>
        <v>0.73320286302756454</v>
      </c>
      <c r="AB326" s="194">
        <f t="shared" si="50"/>
        <v>0.48067456103469791</v>
      </c>
      <c r="AC326" s="194">
        <f t="shared" si="42"/>
        <v>0.53596902743771457</v>
      </c>
      <c r="AD326">
        <f t="shared" si="43"/>
        <v>51</v>
      </c>
      <c r="AE326" s="194">
        <f t="shared" si="51"/>
        <v>0.1292127517487357</v>
      </c>
      <c r="AF326" s="194">
        <f t="shared" si="52"/>
        <v>6.5944419358779996E-2</v>
      </c>
      <c r="AG326" s="245" t="str">
        <f>IF(ISNUMBER(SEARCH("C",'WetLitterbags placem_collection'!$Y33)),"YES","NO")</f>
        <v>NO</v>
      </c>
      <c r="AH326" s="245" t="str">
        <f>IF(ISNUMBER(SEARCH("H", 'WetLitterbags placem_collection'!$Y33)),"YES","NO")</f>
        <v>NO</v>
      </c>
      <c r="AI326" s="245" t="str">
        <f>IF(ISNUMBER(SEARCH("R", 'WetLitterbags placem_collection'!$Y33)),"YES","NO")</f>
        <v>YES</v>
      </c>
      <c r="AJ326" s="245" t="str">
        <f>IF(ISNUMBER(SEARCH("C", 'WetLitterbags placem_collection'!$W33)),"YES","NO")</f>
        <v>NO</v>
      </c>
      <c r="AK326" s="245" t="str">
        <f>IF(ISNUMBER(SEARCH("H", 'WetLitterbags placem_collection'!$W33)),"YES","NO")</f>
        <v>NO</v>
      </c>
      <c r="AL326" s="245" t="str">
        <f>IF(ISNUMBER(SEARCH("R", 'WetLitterbags placem_collection'!$W33)),"YES","NO")</f>
        <v>YES</v>
      </c>
    </row>
    <row r="327" spans="2:38">
      <c r="B327" t="str">
        <f>Wetseason!B473</f>
        <v>Wet</v>
      </c>
      <c r="C327" s="253">
        <f>Wetseason!C473</f>
        <v>32</v>
      </c>
      <c r="D327" t="s">
        <v>3105</v>
      </c>
      <c r="E327" t="s">
        <v>25</v>
      </c>
      <c r="F327" s="375">
        <v>8</v>
      </c>
      <c r="G327" s="16">
        <f>'WetLitterbags placem_collection'!E34</f>
        <v>42767</v>
      </c>
      <c r="H327" s="92" t="str">
        <f>Wetseason!L473</f>
        <v>G201</v>
      </c>
      <c r="I327" t="str">
        <f>Wetseason!L693</f>
        <v>R156</v>
      </c>
      <c r="J327">
        <f>IFERROR(INDEX('Green_rooibos initial weight'!$C$5:$C$2000,MATCH(H327, 'Green_rooibos initial weight'!$A$5:$A$2000,0)),"")</f>
        <v>2.2370000000000001</v>
      </c>
      <c r="K327">
        <f>IFERROR(INDEX('Green_rooibos initial weight'!$C$5:$C$2000,MATCH(I327, 'Green_rooibos initial weight'!$A$5:$A$2000,0)),"")</f>
        <v>2.246</v>
      </c>
      <c r="L327" s="194">
        <f t="shared" si="54"/>
        <v>1.9872000000000001</v>
      </c>
      <c r="M327" s="194">
        <f>AVERAGE(Ashed_controlls!$K$2:$K$11)</f>
        <v>5.5147656768714146</v>
      </c>
      <c r="N327" s="194">
        <f t="shared" si="41"/>
        <v>1.8776105764692113</v>
      </c>
      <c r="O327" s="194">
        <f t="shared" si="45"/>
        <v>1.9962</v>
      </c>
      <c r="P327" s="194">
        <f>AVERAGE(Ashed_controlls!$K$12:$K$14)</f>
        <v>2.2816647271287041</v>
      </c>
      <c r="Q327" s="194">
        <f t="shared" si="46"/>
        <v>1.9506534087170568</v>
      </c>
      <c r="R327" s="16">
        <f>IF('WetLitterbags placem_collection'!G34="","",'WetLitterbags placem_collection'!G34)</f>
        <v>42818</v>
      </c>
      <c r="S327" s="194" t="str">
        <f>IFERROR(INDEX('Both teabags AfterWet'!$C$3:$C$2000,MATCH(H327,'Both teabags AfterWet'!$A$3:$A$2000,0)),"")</f>
        <v/>
      </c>
      <c r="T327" s="194">
        <f>IFERROR(INDEX('Both teabags AfterWet'!$C$3:$C$2000,MATCH(I327,'Both teabags AfterWet'!$A$3:$A$2000,0)),"")</f>
        <v>1.2625999999999999</v>
      </c>
      <c r="U327" s="194" t="str">
        <f t="shared" si="47"/>
        <v/>
      </c>
      <c r="V327" s="194">
        <f t="shared" si="48"/>
        <v>1.1119999999999999</v>
      </c>
      <c r="W327" s="194">
        <f>IFERROR(INDEX('Ashed teabags wet'!$K$2:$K$2000,MATCH(H327,'Ashed teabags wet'!$A$2:$A$2000,0)),"")</f>
        <v>7.292707292707294</v>
      </c>
      <c r="X327" s="233">
        <f>IFERROR(INDEX('Ashed teabags wet'!$K$2:$K$2000,MATCH(I327,'Ashed teabags wet'!$A$2:$A$2000,0)),"")</f>
        <v>5.5555555555557818</v>
      </c>
      <c r="Y327" s="194" t="str">
        <f t="shared" si="53"/>
        <v/>
      </c>
      <c r="Z327" s="194">
        <f t="shared" si="53"/>
        <v>1.0502222222222195</v>
      </c>
      <c r="AA327" s="194" t="str">
        <f t="shared" si="49"/>
        <v/>
      </c>
      <c r="AB327" s="194" t="str">
        <f t="shared" si="50"/>
        <v/>
      </c>
      <c r="AC327" s="194">
        <f t="shared" si="42"/>
        <v>0.53839509239775707</v>
      </c>
      <c r="AD327">
        <f t="shared" si="43"/>
        <v>51</v>
      </c>
      <c r="AE327" s="194" t="str">
        <f t="shared" si="51"/>
        <v/>
      </c>
      <c r="AF327" s="194" t="str">
        <f t="shared" si="52"/>
        <v/>
      </c>
      <c r="AG327" s="245" t="str">
        <f>IF(ISNUMBER(SEARCH("C",'WetLitterbags placem_collection'!$Y34)),"YES","NO")</f>
        <v>NO</v>
      </c>
      <c r="AH327" s="245" t="str">
        <f>IF(ISNUMBER(SEARCH("H", 'WetLitterbags placem_collection'!$Y34)),"YES","NO")</f>
        <v>NO</v>
      </c>
      <c r="AI327" s="245" t="str">
        <f>IF(ISNUMBER(SEARCH("R", 'WetLitterbags placem_collection'!$Y34)),"YES","NO")</f>
        <v>YES</v>
      </c>
      <c r="AJ327" s="245" t="str">
        <f>IF(ISNUMBER(SEARCH("C", 'WetLitterbags placem_collection'!$W34)),"YES","NO")</f>
        <v>NO</v>
      </c>
      <c r="AK327" s="245" t="str">
        <f>IF(ISNUMBER(SEARCH("H", 'WetLitterbags placem_collection'!$W34)),"YES","NO")</f>
        <v>NO</v>
      </c>
      <c r="AL327" s="245" t="str">
        <f>IF(ISNUMBER(SEARCH("R", 'WetLitterbags placem_collection'!$W34)),"YES","NO")</f>
        <v>YES</v>
      </c>
    </row>
    <row r="328" spans="2:38">
      <c r="B328" t="str">
        <f>Wetseason!B474</f>
        <v>Wet</v>
      </c>
      <c r="C328" s="253">
        <f>Wetseason!C474</f>
        <v>33</v>
      </c>
      <c r="D328" t="s">
        <v>3106</v>
      </c>
      <c r="E328" t="s">
        <v>25</v>
      </c>
      <c r="F328" s="374">
        <v>1</v>
      </c>
      <c r="G328" s="16">
        <f>'WetLitterbags placem_collection'!E35</f>
        <v>42765</v>
      </c>
      <c r="H328" s="92" t="str">
        <f>Wetseason!L474</f>
        <v>G556</v>
      </c>
      <c r="I328" t="str">
        <f>Wetseason!L694</f>
        <v>R452</v>
      </c>
      <c r="J328">
        <f>IFERROR(INDEX('Green_rooibos initial weight'!$C$5:$C$2000,MATCH(H328, 'Green_rooibos initial weight'!$A$5:$A$2000,0)),"")</f>
        <v>2.0329999999999999</v>
      </c>
      <c r="K328">
        <f>IFERROR(INDEX('Green_rooibos initial weight'!$C$5:$C$2000,MATCH(I328, 'Green_rooibos initial weight'!$A$5:$A$2000,0)),"")</f>
        <v>2.2320000000000002</v>
      </c>
      <c r="L328" s="194">
        <f t="shared" si="54"/>
        <v>1.7831999999999999</v>
      </c>
      <c r="M328" s="194">
        <f>AVERAGE(Ashed_controlls!$K$2:$K$11)</f>
        <v>5.5147656768714146</v>
      </c>
      <c r="N328" s="194">
        <f t="shared" si="41"/>
        <v>1.6848606984500289</v>
      </c>
      <c r="O328" s="194">
        <f t="shared" si="45"/>
        <v>1.9822000000000002</v>
      </c>
      <c r="P328" s="194">
        <f>AVERAGE(Ashed_controlls!$K$12:$K$14)</f>
        <v>2.2816647271287041</v>
      </c>
      <c r="Q328" s="194">
        <f t="shared" si="46"/>
        <v>1.936972841778855</v>
      </c>
      <c r="R328" s="16">
        <f>IF('WetLitterbags placem_collection'!G35="","",'WetLitterbags placem_collection'!G35)</f>
        <v>42820</v>
      </c>
      <c r="S328" s="194">
        <f>IFERROR(INDEX('Both teabags AfterWet'!$C$3:$C$2000,MATCH(H328,'Both teabags AfterWet'!$A$3:$A$2000,0)),"")</f>
        <v>0.64400000000000002</v>
      </c>
      <c r="T328" s="194">
        <f>IFERROR(INDEX('Both teabags AfterWet'!$C$3:$C$2000,MATCH(I328,'Both teabags AfterWet'!$A$3:$A$2000,0)),"")</f>
        <v>1.6020000000000001</v>
      </c>
      <c r="U328" s="194">
        <f t="shared" si="47"/>
        <v>0.49340000000000001</v>
      </c>
      <c r="V328" s="194">
        <f t="shared" si="48"/>
        <v>1.4514</v>
      </c>
      <c r="W328" s="194">
        <f>IFERROR(INDEX('Ashed teabags wet'!$K$2:$K$2000,MATCH(H328,'Ashed teabags wet'!$A$2:$A$2000,0)),"")</f>
        <v>10.776075135937448</v>
      </c>
      <c r="X328" s="233">
        <f>IFERROR(INDEX('Ashed teabags wet'!$K$2:$K$2000,MATCH(I328,'Ashed teabags wet'!$A$2:$A$2000,0)),"")</f>
        <v>4.5318725099597295</v>
      </c>
      <c r="Y328" s="194">
        <f t="shared" si="53"/>
        <v>0.44023084527928463</v>
      </c>
      <c r="Z328" s="194">
        <f t="shared" si="53"/>
        <v>1.3856244023904445</v>
      </c>
      <c r="AA328" s="194">
        <f t="shared" si="49"/>
        <v>0.73871380246196572</v>
      </c>
      <c r="AB328" s="194">
        <f t="shared" si="50"/>
        <v>0.48428743344299896</v>
      </c>
      <c r="AC328" s="194">
        <f t="shared" si="42"/>
        <v>0.71535561702451678</v>
      </c>
      <c r="AD328">
        <f t="shared" si="43"/>
        <v>55</v>
      </c>
      <c r="AE328" s="194">
        <f t="shared" si="51"/>
        <v>0.12266769303804548</v>
      </c>
      <c r="AF328" s="194">
        <f t="shared" si="52"/>
        <v>1.6111774124894809E-2</v>
      </c>
      <c r="AG328" s="245" t="str">
        <f>IF(ISNUMBER(SEARCH("C",'WetLitterbags placem_collection'!$Y35)),"YES","NO")</f>
        <v>NO</v>
      </c>
      <c r="AH328" s="245" t="str">
        <f>IF(ISNUMBER(SEARCH("H", 'WetLitterbags placem_collection'!$Y35)),"YES","NO")</f>
        <v>NO</v>
      </c>
      <c r="AI328" s="245" t="str">
        <f>IF(ISNUMBER(SEARCH("R", 'WetLitterbags placem_collection'!$Y35)),"YES","NO")</f>
        <v>YES</v>
      </c>
      <c r="AJ328" s="245" t="str">
        <f>IF(ISNUMBER(SEARCH("C", 'WetLitterbags placem_collection'!$W35)),"YES","NO")</f>
        <v>YES</v>
      </c>
      <c r="AK328" s="245" t="str">
        <f>IF(ISNUMBER(SEARCH("H", 'WetLitterbags placem_collection'!$W35)),"YES","NO")</f>
        <v>YES</v>
      </c>
      <c r="AL328" s="245" t="str">
        <f>IF(ISNUMBER(SEARCH("R", 'WetLitterbags placem_collection'!$W35)),"YES","NO")</f>
        <v>NO</v>
      </c>
    </row>
    <row r="329" spans="2:38">
      <c r="B329" t="str">
        <f>Wetseason!B475</f>
        <v>Wet</v>
      </c>
      <c r="C329" s="253">
        <f>Wetseason!C475</f>
        <v>34</v>
      </c>
      <c r="D329" t="s">
        <v>3106</v>
      </c>
      <c r="E329" t="s">
        <v>25</v>
      </c>
      <c r="F329" s="374">
        <v>2</v>
      </c>
      <c r="G329" s="16">
        <f>'WetLitterbags placem_collection'!E36</f>
        <v>42765</v>
      </c>
      <c r="H329" s="92" t="str">
        <f>Wetseason!L475</f>
        <v>G649</v>
      </c>
      <c r="I329" t="str">
        <f>Wetseason!L695</f>
        <v>R24</v>
      </c>
      <c r="J329">
        <f>IFERROR(INDEX('Green_rooibos initial weight'!$C$5:$C$2000,MATCH(H329, 'Green_rooibos initial weight'!$A$5:$A$2000,0)),"")</f>
        <v>2.1379999999999999</v>
      </c>
      <c r="K329">
        <f>IFERROR(INDEX('Green_rooibos initial weight'!$C$5:$C$2000,MATCH(I329, 'Green_rooibos initial weight'!$A$5:$A$2000,0)),"")</f>
        <v>2.14</v>
      </c>
      <c r="L329" s="194">
        <f t="shared" si="54"/>
        <v>1.8881999999999999</v>
      </c>
      <c r="M329" s="194">
        <f>AVERAGE(Ashed_controlls!$K$2:$K$11)</f>
        <v>5.5147656768714146</v>
      </c>
      <c r="N329" s="194">
        <f t="shared" si="41"/>
        <v>1.7840701944893138</v>
      </c>
      <c r="O329" s="194">
        <f t="shared" si="45"/>
        <v>1.8902000000000001</v>
      </c>
      <c r="P329" s="194">
        <f>AVERAGE(Ashed_controlls!$K$12:$K$14)</f>
        <v>2.2816647271287041</v>
      </c>
      <c r="Q329" s="194">
        <f t="shared" si="46"/>
        <v>1.8470719733278134</v>
      </c>
      <c r="R329" s="16">
        <f>IF('WetLitterbags placem_collection'!G36="","",'WetLitterbags placem_collection'!G36)</f>
        <v>42820</v>
      </c>
      <c r="S329" s="194">
        <f>IFERROR(INDEX('Both teabags AfterWet'!$C$3:$C$2000,MATCH(H329,'Both teabags AfterWet'!$A$3:$A$2000,0)),"")</f>
        <v>0.80259999999999998</v>
      </c>
      <c r="T329" s="194">
        <f>IFERROR(INDEX('Both teabags AfterWet'!$C$3:$C$2000,MATCH(I329,'Both teabags AfterWet'!$A$3:$A$2000,0)),"")</f>
        <v>1.4662999999999999</v>
      </c>
      <c r="U329" s="194">
        <f t="shared" si="47"/>
        <v>0.65199999999999991</v>
      </c>
      <c r="V329" s="194">
        <f t="shared" si="48"/>
        <v>1.3156999999999999</v>
      </c>
      <c r="W329" s="194">
        <f>IFERROR(INDEX('Ashed teabags wet'!$K$2:$K$2000,MATCH(H329,'Ashed teabags wet'!$A$2:$A$2000,0)),"")</f>
        <v>11.012345679011846</v>
      </c>
      <c r="X329" s="233">
        <f>IFERROR(INDEX('Ashed teabags wet'!$K$2:$K$2000,MATCH(I329,'Ashed teabags wet'!$A$2:$A$2000,0)),"")</f>
        <v>7.4839980305272942</v>
      </c>
      <c r="Y329" s="194">
        <f t="shared" si="53"/>
        <v>0.58019950617284266</v>
      </c>
      <c r="Z329" s="194">
        <f t="shared" si="53"/>
        <v>1.2172330379123522</v>
      </c>
      <c r="AA329" s="194">
        <f t="shared" si="49"/>
        <v>0.67478885754328544</v>
      </c>
      <c r="AB329" s="194">
        <f t="shared" si="50"/>
        <v>0.44237939354381667</v>
      </c>
      <c r="AC329" s="194">
        <f t="shared" si="42"/>
        <v>0.65900682566218605</v>
      </c>
      <c r="AD329">
        <f t="shared" si="43"/>
        <v>55</v>
      </c>
      <c r="AE329" s="194">
        <f t="shared" si="51"/>
        <v>0.19858805517424527</v>
      </c>
      <c r="AF329" s="194">
        <f t="shared" si="52"/>
        <v>2.6786012612355966E-2</v>
      </c>
      <c r="AG329" s="245" t="str">
        <f>IF(ISNUMBER(SEARCH("C",'WetLitterbags placem_collection'!$Y36)),"YES","NO")</f>
        <v>NO</v>
      </c>
      <c r="AH329" s="245" t="str">
        <f>IF(ISNUMBER(SEARCH("H", 'WetLitterbags placem_collection'!$Y36)),"YES","NO")</f>
        <v>NO</v>
      </c>
      <c r="AI329" s="245" t="str">
        <f>IF(ISNUMBER(SEARCH("R", 'WetLitterbags placem_collection'!$Y36)),"YES","NO")</f>
        <v>YES</v>
      </c>
      <c r="AJ329" s="245" t="str">
        <f>IF(ISNUMBER(SEARCH("C", 'WetLitterbags placem_collection'!$W36)),"YES","NO")</f>
        <v>YES</v>
      </c>
      <c r="AK329" s="245" t="str">
        <f>IF(ISNUMBER(SEARCH("H", 'WetLitterbags placem_collection'!$W36)),"YES","NO")</f>
        <v>YES</v>
      </c>
      <c r="AL329" s="245" t="str">
        <f>IF(ISNUMBER(SEARCH("R", 'WetLitterbags placem_collection'!$W36)),"YES","NO")</f>
        <v>NO</v>
      </c>
    </row>
    <row r="330" spans="2:38">
      <c r="B330" t="str">
        <f>Wetseason!B476</f>
        <v>Wet</v>
      </c>
      <c r="C330" s="253">
        <f>Wetseason!C476</f>
        <v>35</v>
      </c>
      <c r="D330" t="s">
        <v>3106</v>
      </c>
      <c r="E330" t="s">
        <v>25</v>
      </c>
      <c r="F330" s="374">
        <v>3</v>
      </c>
      <c r="G330" s="16">
        <f>'WetLitterbags placem_collection'!E37</f>
        <v>42765</v>
      </c>
      <c r="H330" s="92" t="str">
        <f>Wetseason!L476</f>
        <v>G732</v>
      </c>
      <c r="I330" t="str">
        <f>Wetseason!L696</f>
        <v>R69</v>
      </c>
      <c r="J330">
        <f>IFERROR(INDEX('Green_rooibos initial weight'!$C$5:$C$2000,MATCH(H330, 'Green_rooibos initial weight'!$A$5:$A$2000,0)),"")</f>
        <v>2.0880000000000001</v>
      </c>
      <c r="K330">
        <f>IFERROR(INDEX('Green_rooibos initial weight'!$C$5:$C$2000,MATCH(I330, 'Green_rooibos initial weight'!$A$5:$A$2000,0)),"")</f>
        <v>2.2149999999999999</v>
      </c>
      <c r="L330" s="194">
        <f t="shared" si="54"/>
        <v>1.8382000000000001</v>
      </c>
      <c r="M330" s="194">
        <f>AVERAGE(Ashed_controlls!$K$2:$K$11)</f>
        <v>5.5147656768714146</v>
      </c>
      <c r="N330" s="194">
        <f t="shared" si="41"/>
        <v>1.7368275773277497</v>
      </c>
      <c r="O330" s="194">
        <f t="shared" si="45"/>
        <v>1.9651999999999998</v>
      </c>
      <c r="P330" s="194">
        <f>AVERAGE(Ashed_controlls!$K$12:$K$14)</f>
        <v>2.2816647271287041</v>
      </c>
      <c r="Q330" s="194">
        <f t="shared" si="46"/>
        <v>1.9203607247824666</v>
      </c>
      <c r="R330" s="16">
        <f>IF('WetLitterbags placem_collection'!G37="","",'WetLitterbags placem_collection'!G37)</f>
        <v>42820</v>
      </c>
      <c r="S330" s="194">
        <f>IFERROR(INDEX('Both teabags AfterWet'!$C$3:$C$2000,MATCH(H330,'Both teabags AfterWet'!$A$3:$A$2000,0)),"")</f>
        <v>0.71699999999999997</v>
      </c>
      <c r="T330" s="194">
        <f>IFERROR(INDEX('Both teabags AfterWet'!$C$3:$C$2000,MATCH(I330,'Both teabags AfterWet'!$A$3:$A$2000,0)),"")</f>
        <v>1.498</v>
      </c>
      <c r="U330" s="194">
        <f t="shared" si="47"/>
        <v>0.56640000000000001</v>
      </c>
      <c r="V330" s="194">
        <f t="shared" si="48"/>
        <v>1.3473999999999999</v>
      </c>
      <c r="W330" s="194">
        <f>IFERROR(INDEX('Ashed teabags wet'!$K$2:$K$2000,MATCH(H330,'Ashed teabags wet'!$A$2:$A$2000,0)),"")</f>
        <v>10.182896688086906</v>
      </c>
      <c r="X330" s="233">
        <f>IFERROR(INDEX('Ashed teabags wet'!$K$2:$K$2000,MATCH(I330,'Ashed teabags wet'!$A$2:$A$2000,0)),"")</f>
        <v>7.3362875430821557</v>
      </c>
      <c r="Y330" s="194">
        <f t="shared" si="53"/>
        <v>0.50872407315867574</v>
      </c>
      <c r="Z330" s="194">
        <f t="shared" si="53"/>
        <v>1.2485508616445109</v>
      </c>
      <c r="AA330" s="194">
        <f t="shared" si="49"/>
        <v>0.70709581089137874</v>
      </c>
      <c r="AB330" s="194">
        <f t="shared" si="50"/>
        <v>0.463559248945417</v>
      </c>
      <c r="AC330" s="194">
        <f t="shared" si="42"/>
        <v>0.65016475578354871</v>
      </c>
      <c r="AD330">
        <f t="shared" si="43"/>
        <v>55</v>
      </c>
      <c r="AE330" s="194">
        <f t="shared" si="51"/>
        <v>0.16021875191047652</v>
      </c>
      <c r="AF330" s="194">
        <f t="shared" si="52"/>
        <v>2.5548358262136119E-2</v>
      </c>
      <c r="AG330" s="245" t="str">
        <f>IF(ISNUMBER(SEARCH("C",'WetLitterbags placem_collection'!$Y37)),"YES","NO")</f>
        <v>NO</v>
      </c>
      <c r="AH330" s="245" t="str">
        <f>IF(ISNUMBER(SEARCH("H", 'WetLitterbags placem_collection'!$Y37)),"YES","NO")</f>
        <v>NO</v>
      </c>
      <c r="AI330" s="245" t="str">
        <f>IF(ISNUMBER(SEARCH("R", 'WetLitterbags placem_collection'!$Y37)),"YES","NO")</f>
        <v>YES</v>
      </c>
      <c r="AJ330" s="245" t="str">
        <f>IF(ISNUMBER(SEARCH("C", 'WetLitterbags placem_collection'!$W37)),"YES","NO")</f>
        <v>NO</v>
      </c>
      <c r="AK330" s="245" t="str">
        <f>IF(ISNUMBER(SEARCH("H", 'WetLitterbags placem_collection'!$W37)),"YES","NO")</f>
        <v>NO</v>
      </c>
      <c r="AL330" s="245" t="str">
        <f>IF(ISNUMBER(SEARCH("R", 'WetLitterbags placem_collection'!$W37)),"YES","NO")</f>
        <v>NO</v>
      </c>
    </row>
    <row r="331" spans="2:38">
      <c r="B331" t="str">
        <f>Wetseason!B477</f>
        <v>Wet</v>
      </c>
      <c r="C331" s="253">
        <f>Wetseason!C477</f>
        <v>36</v>
      </c>
      <c r="D331" t="s">
        <v>3106</v>
      </c>
      <c r="E331" t="s">
        <v>25</v>
      </c>
      <c r="F331" s="375">
        <v>4</v>
      </c>
      <c r="G331" s="16">
        <f>'WetLitterbags placem_collection'!E38</f>
        <v>42765</v>
      </c>
      <c r="H331" s="92" t="str">
        <f>Wetseason!L477</f>
        <v>G550</v>
      </c>
      <c r="I331" t="str">
        <f>Wetseason!L697</f>
        <v>R97</v>
      </c>
      <c r="J331">
        <f>IFERROR(INDEX('Green_rooibos initial weight'!$C$5:$C$2000,MATCH(H331, 'Green_rooibos initial weight'!$A$5:$A$2000,0)),"")</f>
        <v>2.097</v>
      </c>
      <c r="K331">
        <f>IFERROR(INDEX('Green_rooibos initial weight'!$C$5:$C$2000,MATCH(I331, 'Green_rooibos initial weight'!$A$5:$A$2000,0)),"")</f>
        <v>2.2959999999999998</v>
      </c>
      <c r="L331" s="194">
        <f t="shared" si="54"/>
        <v>1.8472</v>
      </c>
      <c r="M331" s="194">
        <f>AVERAGE(Ashed_controlls!$K$2:$K$11)</f>
        <v>5.5147656768714146</v>
      </c>
      <c r="N331" s="194">
        <f t="shared" si="41"/>
        <v>1.7453312484168313</v>
      </c>
      <c r="O331" s="194">
        <f t="shared" si="45"/>
        <v>2.0461999999999998</v>
      </c>
      <c r="P331" s="194">
        <f>AVERAGE(Ashed_controlls!$K$12:$K$14)</f>
        <v>2.2816647271287041</v>
      </c>
      <c r="Q331" s="194">
        <f t="shared" si="46"/>
        <v>1.9995125763534922</v>
      </c>
      <c r="R331" s="16">
        <f>IF('WetLitterbags placem_collection'!G38="","",'WetLitterbags placem_collection'!G38)</f>
        <v>42820</v>
      </c>
      <c r="S331" s="194">
        <f>IFERROR(INDEX('Both teabags AfterWet'!$C$3:$C$2000,MATCH(H331,'Both teabags AfterWet'!$A$3:$A$2000,0)),"")</f>
        <v>0.72199999999999998</v>
      </c>
      <c r="T331" s="194">
        <f>IFERROR(INDEX('Both teabags AfterWet'!$C$3:$C$2000,MATCH(I331,'Both teabags AfterWet'!$A$3:$A$2000,0)),"")</f>
        <v>1.671</v>
      </c>
      <c r="U331" s="194">
        <f t="shared" si="47"/>
        <v>0.57139999999999991</v>
      </c>
      <c r="V331" s="194">
        <f t="shared" si="48"/>
        <v>1.5204</v>
      </c>
      <c r="W331" s="194">
        <f>IFERROR(INDEX('Ashed teabags wet'!$K$2:$K$2000,MATCH(H331,'Ashed teabags wet'!$A$2:$A$2000,0)),"")</f>
        <v>6.3737324963780466</v>
      </c>
      <c r="X331" s="233">
        <f>IFERROR(INDEX('Ashed teabags wet'!$K$2:$K$2000,MATCH(I331,'Ashed teabags wet'!$A$2:$A$2000,0)),"")</f>
        <v>2.0873786407763748</v>
      </c>
      <c r="Y331" s="194">
        <f t="shared" si="53"/>
        <v>0.53498049251569579</v>
      </c>
      <c r="Z331" s="194">
        <f t="shared" si="53"/>
        <v>1.4886634951456359</v>
      </c>
      <c r="AA331" s="194">
        <f t="shared" si="49"/>
        <v>0.69347910718898198</v>
      </c>
      <c r="AB331" s="194">
        <f t="shared" si="50"/>
        <v>0.45463238381035403</v>
      </c>
      <c r="AC331" s="194">
        <f t="shared" si="42"/>
        <v>0.74451319424082296</v>
      </c>
      <c r="AD331">
        <f t="shared" si="43"/>
        <v>55</v>
      </c>
      <c r="AE331" s="194">
        <f t="shared" si="51"/>
        <v>0.17639060903921377</v>
      </c>
      <c r="AF331" s="194">
        <f t="shared" si="52"/>
        <v>1.5008237080840375E-2</v>
      </c>
      <c r="AG331" s="245" t="str">
        <f>IF(ISNUMBER(SEARCH("C",'WetLitterbags placem_collection'!$Y38)),"YES","NO")</f>
        <v>NO</v>
      </c>
      <c r="AH331" s="245" t="str">
        <f>IF(ISNUMBER(SEARCH("H", 'WetLitterbags placem_collection'!$Y38)),"YES","NO")</f>
        <v>NO</v>
      </c>
      <c r="AI331" s="245" t="str">
        <f>IF(ISNUMBER(SEARCH("R", 'WetLitterbags placem_collection'!$Y38)),"YES","NO")</f>
        <v>YES</v>
      </c>
      <c r="AJ331" s="245" t="str">
        <f>IF(ISNUMBER(SEARCH("C", 'WetLitterbags placem_collection'!$W38)),"YES","NO")</f>
        <v>YES</v>
      </c>
      <c r="AK331" s="245" t="str">
        <f>IF(ISNUMBER(SEARCH("H", 'WetLitterbags placem_collection'!$W38)),"YES","NO")</f>
        <v>NO</v>
      </c>
      <c r="AL331" s="245" t="str">
        <f>IF(ISNUMBER(SEARCH("R", 'WetLitterbags placem_collection'!$W38)),"YES","NO")</f>
        <v>YES</v>
      </c>
    </row>
    <row r="332" spans="2:38">
      <c r="B332" t="str">
        <f>Wetseason!B478</f>
        <v>Wet</v>
      </c>
      <c r="C332" s="253">
        <f>Wetseason!C478</f>
        <v>37</v>
      </c>
      <c r="D332" t="s">
        <v>3106</v>
      </c>
      <c r="E332" t="s">
        <v>25</v>
      </c>
      <c r="F332" s="375">
        <v>5</v>
      </c>
      <c r="G332" s="16">
        <f>'WetLitterbags placem_collection'!E39</f>
        <v>42765</v>
      </c>
      <c r="H332" s="92" t="str">
        <f>Wetseason!L478</f>
        <v>G528</v>
      </c>
      <c r="I332" t="str">
        <f>Wetseason!L698</f>
        <v>R89</v>
      </c>
      <c r="J332">
        <f>IFERROR(INDEX('Green_rooibos initial weight'!$C$5:$C$2000,MATCH(H332, 'Green_rooibos initial weight'!$A$5:$A$2000,0)),"")</f>
        <v>2.14</v>
      </c>
      <c r="K332">
        <f>IFERROR(INDEX('Green_rooibos initial weight'!$C$5:$C$2000,MATCH(I332, 'Green_rooibos initial weight'!$A$5:$A$2000,0)),"")</f>
        <v>2.1949999999999998</v>
      </c>
      <c r="L332" s="194">
        <f t="shared" si="54"/>
        <v>1.8902000000000001</v>
      </c>
      <c r="M332" s="194">
        <f>AVERAGE(Ashed_controlls!$K$2:$K$11)</f>
        <v>5.5147656768714146</v>
      </c>
      <c r="N332" s="194">
        <f t="shared" ref="N332:N395" si="55">IFERROR(L332-(M332/100)*L332,"")</f>
        <v>1.7859598991757766</v>
      </c>
      <c r="O332" s="194">
        <f t="shared" si="45"/>
        <v>1.9451999999999998</v>
      </c>
      <c r="P332" s="194">
        <f>AVERAGE(Ashed_controlls!$K$12:$K$14)</f>
        <v>2.2816647271287041</v>
      </c>
      <c r="Q332" s="194">
        <f t="shared" si="46"/>
        <v>1.9008170577278922</v>
      </c>
      <c r="R332" s="16">
        <f>IF('WetLitterbags placem_collection'!G39="","",'WetLitterbags placem_collection'!G39)</f>
        <v>42820</v>
      </c>
      <c r="S332" s="194">
        <f>IFERROR(INDEX('Both teabags AfterWet'!$C$3:$C$2000,MATCH(H332,'Both teabags AfterWet'!$A$3:$A$2000,0)),"")</f>
        <v>0.89600000000000002</v>
      </c>
      <c r="T332" s="194">
        <f>IFERROR(INDEX('Both teabags AfterWet'!$C$3:$C$2000,MATCH(I332,'Both teabags AfterWet'!$A$3:$A$2000,0)),"")</f>
        <v>1.425</v>
      </c>
      <c r="U332" s="194">
        <f t="shared" si="47"/>
        <v>0.74540000000000006</v>
      </c>
      <c r="V332" s="194">
        <f t="shared" si="48"/>
        <v>1.2744</v>
      </c>
      <c r="W332" s="194">
        <f>IFERROR(INDEX('Ashed teabags wet'!$K$2:$K$2000,MATCH(H332,'Ashed teabags wet'!$A$2:$A$2000,0)),"")</f>
        <v>15.032354405176665</v>
      </c>
      <c r="X332" s="233">
        <f>IFERROR(INDEX('Ashed teabags wet'!$K$2:$K$2000,MATCH(I332,'Ashed teabags wet'!$A$2:$A$2000,0)),"")</f>
        <v>8.2721488007830519</v>
      </c>
      <c r="Y332" s="194">
        <f t="shared" si="53"/>
        <v>0.63334883026381317</v>
      </c>
      <c r="Z332" s="194">
        <f t="shared" si="53"/>
        <v>1.1689797356828207</v>
      </c>
      <c r="AA332" s="194">
        <f t="shared" si="49"/>
        <v>0.64537343164529914</v>
      </c>
      <c r="AB332" s="194">
        <f t="shared" si="50"/>
        <v>0.42309517133991109</v>
      </c>
      <c r="AC332" s="194">
        <f t="shared" ref="AC332:AC395" si="56">IFERROR(Z332/Q332,"")</f>
        <v>0.61498802892696036</v>
      </c>
      <c r="AD332">
        <f t="shared" ref="AD332:AD395" si="57">IFERROR(IF((R332-G332)&gt;0,(IFERROR(R332-G332,"")),""),"")</f>
        <v>55</v>
      </c>
      <c r="AE332" s="194">
        <f t="shared" si="51"/>
        <v>0.23352324032624805</v>
      </c>
      <c r="AF332" s="194">
        <f t="shared" si="52"/>
        <v>4.3778616328604601E-2</v>
      </c>
      <c r="AG332" s="245" t="str">
        <f>IF(ISNUMBER(SEARCH("C",'WetLitterbags placem_collection'!$Y39)),"YES","NO")</f>
        <v>NO</v>
      </c>
      <c r="AH332" s="245" t="str">
        <f>IF(ISNUMBER(SEARCH("H", 'WetLitterbags placem_collection'!$Y39)),"YES","NO")</f>
        <v>NO</v>
      </c>
      <c r="AI332" s="245" t="str">
        <f>IF(ISNUMBER(SEARCH("R", 'WetLitterbags placem_collection'!$Y39)),"YES","NO")</f>
        <v>YES</v>
      </c>
      <c r="AJ332" s="245" t="str">
        <f>IF(ISNUMBER(SEARCH("C", 'WetLitterbags placem_collection'!$W39)),"YES","NO")</f>
        <v>YES</v>
      </c>
      <c r="AK332" s="245" t="str">
        <f>IF(ISNUMBER(SEARCH("H", 'WetLitterbags placem_collection'!$W39)),"YES","NO")</f>
        <v>YES</v>
      </c>
      <c r="AL332" s="245" t="str">
        <f>IF(ISNUMBER(SEARCH("R", 'WetLitterbags placem_collection'!$W39)),"YES","NO")</f>
        <v>YES</v>
      </c>
    </row>
    <row r="333" spans="2:38">
      <c r="B333" t="str">
        <f>Wetseason!B479</f>
        <v>Wet</v>
      </c>
      <c r="C333" s="253">
        <f>Wetseason!C479</f>
        <v>38</v>
      </c>
      <c r="D333" t="s">
        <v>3106</v>
      </c>
      <c r="E333" t="s">
        <v>25</v>
      </c>
      <c r="F333" s="375">
        <v>6</v>
      </c>
      <c r="G333" s="16">
        <f>'WetLitterbags placem_collection'!E40</f>
        <v>42765</v>
      </c>
      <c r="H333" s="92" t="str">
        <f>Wetseason!L479</f>
        <v>G703</v>
      </c>
      <c r="I333" t="str">
        <f>Wetseason!L699</f>
        <v>R147</v>
      </c>
      <c r="J333">
        <f>IFERROR(INDEX('Green_rooibos initial weight'!$C$5:$C$2000,MATCH(H333, 'Green_rooibos initial weight'!$A$5:$A$2000,0)),"")</f>
        <v>1.9159999999999999</v>
      </c>
      <c r="K333">
        <f>IFERROR(INDEX('Green_rooibos initial weight'!$C$5:$C$2000,MATCH(I333, 'Green_rooibos initial weight'!$A$5:$A$2000,0)),"")</f>
        <v>2.1960000000000002</v>
      </c>
      <c r="L333" s="194">
        <f t="shared" ref="L333:L396" si="58">IF(J333&gt;0,(J333*$F$31-($F$29+$F$30)),"")</f>
        <v>1.6661999999999999</v>
      </c>
      <c r="M333" s="194">
        <f>AVERAGE(Ashed_controlls!$K$2:$K$11)</f>
        <v>5.5147656768714146</v>
      </c>
      <c r="N333" s="194">
        <f t="shared" si="55"/>
        <v>1.5743129742919684</v>
      </c>
      <c r="O333" s="194">
        <f t="shared" ref="O333:O396" si="59">IF(K333&gt;0,(K333*$F$32-($F$29+$F$30)),"")</f>
        <v>1.9462000000000002</v>
      </c>
      <c r="P333" s="194">
        <f>AVERAGE(Ashed_controlls!$K$12:$K$14)</f>
        <v>2.2816647271287041</v>
      </c>
      <c r="Q333" s="194">
        <f t="shared" ref="Q333:Q396" si="60">IFERROR(O333-(P333/100)*O333,"")</f>
        <v>1.9017942410806212</v>
      </c>
      <c r="R333" s="16">
        <f>IF('WetLitterbags placem_collection'!G40="","",'WetLitterbags placem_collection'!G40)</f>
        <v>42820</v>
      </c>
      <c r="S333" s="194">
        <f>IFERROR(INDEX('Both teabags AfterWet'!$C$3:$C$2000,MATCH(H333,'Both teabags AfterWet'!$A$3:$A$2000,0)),"")</f>
        <v>0.81899999999999995</v>
      </c>
      <c r="T333" s="194">
        <f>IFERROR(INDEX('Both teabags AfterWet'!$C$3:$C$2000,MATCH(I333,'Both teabags AfterWet'!$A$3:$A$2000,0)),"")</f>
        <v>1.381</v>
      </c>
      <c r="U333" s="194">
        <f t="shared" ref="U333:U396" si="61">IFERROR(IF(S333&gt;0,S333-($F$29),""),"")</f>
        <v>0.66839999999999988</v>
      </c>
      <c r="V333" s="194">
        <f t="shared" ref="V333:V396" si="62">IFERROR(IF(T333&gt;0,T333-($F$29),""),"")</f>
        <v>1.2303999999999999</v>
      </c>
      <c r="W333" s="194">
        <f>IFERROR(INDEX('Ashed teabags wet'!$K$2:$K$2000,MATCH(H333,'Ashed teabags wet'!$A$2:$A$2000,0)),"")</f>
        <v>13.181367690782835</v>
      </c>
      <c r="X333" s="233">
        <f>IFERROR(INDEX('Ashed teabags wet'!$K$2:$K$2000,MATCH(I333,'Ashed teabags wet'!$A$2:$A$2000,0)),"")</f>
        <v>6.8948891031825541</v>
      </c>
      <c r="Y333" s="194">
        <f t="shared" si="53"/>
        <v>0.58029573835480741</v>
      </c>
      <c r="Z333" s="194">
        <f t="shared" si="53"/>
        <v>1.1455652844744417</v>
      </c>
      <c r="AA333" s="194">
        <f t="shared" ref="AA333:AA396" si="63">IFERROR(1-Y333/N333,"")</f>
        <v>0.6313974744343388</v>
      </c>
      <c r="AB333" s="194">
        <f t="shared" ref="AB333:AB396" si="64">IFERROR($F$26*(1-AE333),"")</f>
        <v>0.41393278608997036</v>
      </c>
      <c r="AC333" s="194">
        <f t="shared" si="56"/>
        <v>0.60236026575804458</v>
      </c>
      <c r="AD333">
        <f t="shared" si="57"/>
        <v>55</v>
      </c>
      <c r="AE333" s="194">
        <f t="shared" ref="AE333:AE396" si="65">IFERROR(1-(AA333/$F$25),"")</f>
        <v>0.25012176432976385</v>
      </c>
      <c r="AF333" s="194">
        <f t="shared" ref="AF333:AF396" si="66">IFERROR(LN(AB333/(AC333-(1-AB333)))/AD333,"")</f>
        <v>5.8817542877506811E-2</v>
      </c>
      <c r="AG333" s="245" t="str">
        <f>IF(ISNUMBER(SEARCH("C",'WetLitterbags placem_collection'!$Y40)),"YES","NO")</f>
        <v>NO</v>
      </c>
      <c r="AH333" s="245" t="str">
        <f>IF(ISNUMBER(SEARCH("H", 'WetLitterbags placem_collection'!$Y40)),"YES","NO")</f>
        <v>NO</v>
      </c>
      <c r="AI333" s="245" t="str">
        <f>IF(ISNUMBER(SEARCH("R", 'WetLitterbags placem_collection'!$Y40)),"YES","NO")</f>
        <v>NO</v>
      </c>
      <c r="AJ333" s="245" t="str">
        <f>IF(ISNUMBER(SEARCH("C", 'WetLitterbags placem_collection'!$W40)),"YES","NO")</f>
        <v>YES</v>
      </c>
      <c r="AK333" s="245" t="str">
        <f>IF(ISNUMBER(SEARCH("H", 'WetLitterbags placem_collection'!$W40)),"YES","NO")</f>
        <v>YES</v>
      </c>
      <c r="AL333" s="245" t="str">
        <f>IF(ISNUMBER(SEARCH("R", 'WetLitterbags placem_collection'!$W40)),"YES","NO")</f>
        <v>NO</v>
      </c>
    </row>
    <row r="334" spans="2:38">
      <c r="B334" t="str">
        <f>Wetseason!B480</f>
        <v>Wet</v>
      </c>
      <c r="C334" s="253">
        <f>Wetseason!C480</f>
        <v>39</v>
      </c>
      <c r="D334" t="s">
        <v>3106</v>
      </c>
      <c r="E334" t="s">
        <v>25</v>
      </c>
      <c r="F334" s="375">
        <v>7</v>
      </c>
      <c r="G334" s="16">
        <f>'WetLitterbags placem_collection'!E41</f>
        <v>42765</v>
      </c>
      <c r="H334" s="92" t="str">
        <f>Wetseason!L480</f>
        <v>G566</v>
      </c>
      <c r="I334" t="str">
        <f>Wetseason!L700</f>
        <v>R65</v>
      </c>
      <c r="J334">
        <f>IFERROR(INDEX('Green_rooibos initial weight'!$C$5:$C$2000,MATCH(H334, 'Green_rooibos initial weight'!$A$5:$A$2000,0)),"")</f>
        <v>2.0449999999999999</v>
      </c>
      <c r="K334">
        <f>IFERROR(INDEX('Green_rooibos initial weight'!$C$5:$C$2000,MATCH(I334, 'Green_rooibos initial weight'!$A$5:$A$2000,0)),"")</f>
        <v>2.2559999999999998</v>
      </c>
      <c r="L334" s="194">
        <f t="shared" si="58"/>
        <v>1.7951999999999999</v>
      </c>
      <c r="M334" s="194">
        <f>AVERAGE(Ashed_controlls!$K$2:$K$11)</f>
        <v>5.5147656768714146</v>
      </c>
      <c r="N334" s="194">
        <f t="shared" si="55"/>
        <v>1.6961989265688042</v>
      </c>
      <c r="O334" s="194">
        <f t="shared" si="59"/>
        <v>2.0061999999999998</v>
      </c>
      <c r="P334" s="194">
        <f>AVERAGE(Ashed_controlls!$K$12:$K$14)</f>
        <v>2.2816647271287041</v>
      </c>
      <c r="Q334" s="194">
        <f t="shared" si="60"/>
        <v>1.9604252422443438</v>
      </c>
      <c r="R334" s="16">
        <f>IF('WetLitterbags placem_collection'!G41="","",'WetLitterbags placem_collection'!G41)</f>
        <v>42820</v>
      </c>
      <c r="S334" s="194">
        <f>IFERROR(INDEX('Both teabags AfterWet'!$C$3:$C$2000,MATCH(H334,'Both teabags AfterWet'!$A$3:$A$2000,0)),"")</f>
        <v>0.78520000000000001</v>
      </c>
      <c r="T334" s="194">
        <f>IFERROR(INDEX('Both teabags AfterWet'!$C$3:$C$2000,MATCH(I334,'Both teabags AfterWet'!$A$3:$A$2000,0)),"")</f>
        <v>1.5185</v>
      </c>
      <c r="U334" s="194">
        <f t="shared" si="61"/>
        <v>0.63460000000000005</v>
      </c>
      <c r="V334" s="194">
        <f t="shared" si="62"/>
        <v>1.3678999999999999</v>
      </c>
      <c r="W334" s="194">
        <f>IFERROR(INDEX('Ashed teabags wet'!$K$2:$K$2000,MATCH(H334,'Ashed teabags wet'!$A$2:$A$2000,0)),"")</f>
        <v>4.4278606965170084</v>
      </c>
      <c r="X334" s="233">
        <f>IFERROR(INDEX('Ashed teabags wet'!$K$2:$K$2000,MATCH(I334,'Ashed teabags wet'!$A$2:$A$2000,0)),"")</f>
        <v>3.3680039623575757</v>
      </c>
      <c r="Y334" s="194">
        <f t="shared" ref="Y334:Z397" si="67">IFERROR(U334-(W334/100)*U334,"")</f>
        <v>0.60650079601990314</v>
      </c>
      <c r="Z334" s="194">
        <f t="shared" si="67"/>
        <v>1.3218290737989107</v>
      </c>
      <c r="AA334" s="194">
        <f t="shared" si="63"/>
        <v>0.64243533790769614</v>
      </c>
      <c r="AB334" s="194">
        <f t="shared" si="64"/>
        <v>0.42116901012476043</v>
      </c>
      <c r="AC334" s="194">
        <f t="shared" si="56"/>
        <v>0.67425630180401463</v>
      </c>
      <c r="AD334">
        <f t="shared" si="57"/>
        <v>55</v>
      </c>
      <c r="AE334" s="194">
        <f t="shared" si="65"/>
        <v>0.23701266281746303</v>
      </c>
      <c r="AF334" s="194">
        <f t="shared" si="66"/>
        <v>2.6994369725230224E-2</v>
      </c>
      <c r="AG334" s="245" t="str">
        <f>IF(ISNUMBER(SEARCH("C",'WetLitterbags placem_collection'!$Y41)),"YES","NO")</f>
        <v>NO</v>
      </c>
      <c r="AH334" s="245" t="str">
        <f>IF(ISNUMBER(SEARCH("H", 'WetLitterbags placem_collection'!$Y41)),"YES","NO")</f>
        <v>NO</v>
      </c>
      <c r="AI334" s="245" t="str">
        <f>IF(ISNUMBER(SEARCH("R", 'WetLitterbags placem_collection'!$Y41)),"YES","NO")</f>
        <v>YES</v>
      </c>
      <c r="AJ334" s="245" t="str">
        <f>IF(ISNUMBER(SEARCH("C", 'WetLitterbags placem_collection'!$W41)),"YES","NO")</f>
        <v>NO</v>
      </c>
      <c r="AK334" s="245" t="str">
        <f>IF(ISNUMBER(SEARCH("H", 'WetLitterbags placem_collection'!$W41)),"YES","NO")</f>
        <v>NO</v>
      </c>
      <c r="AL334" s="245" t="str">
        <f>IF(ISNUMBER(SEARCH("R", 'WetLitterbags placem_collection'!$W41)),"YES","NO")</f>
        <v>YES</v>
      </c>
    </row>
    <row r="335" spans="2:38">
      <c r="B335" t="str">
        <f>Wetseason!B481</f>
        <v>Wet</v>
      </c>
      <c r="C335" s="253">
        <f>Wetseason!C481</f>
        <v>40</v>
      </c>
      <c r="D335" t="s">
        <v>3106</v>
      </c>
      <c r="E335" t="s">
        <v>25</v>
      </c>
      <c r="F335" s="375">
        <v>8</v>
      </c>
      <c r="G335" s="16">
        <f>'WetLitterbags placem_collection'!E42</f>
        <v>42765</v>
      </c>
      <c r="H335" s="92" t="str">
        <f>Wetseason!L481</f>
        <v>G619</v>
      </c>
      <c r="I335" t="str">
        <f>Wetseason!L701</f>
        <v>R420</v>
      </c>
      <c r="J335">
        <f>IFERROR(INDEX('Green_rooibos initial weight'!$C$5:$C$2000,MATCH(H335, 'Green_rooibos initial weight'!$A$5:$A$2000,0)),"")</f>
        <v>2.036</v>
      </c>
      <c r="K335">
        <f>IFERROR(INDEX('Green_rooibos initial weight'!$C$5:$C$2000,MATCH(I335, 'Green_rooibos initial weight'!$A$5:$A$2000,0)),"")</f>
        <v>2.2749999999999999</v>
      </c>
      <c r="L335" s="194">
        <f t="shared" si="58"/>
        <v>1.7862</v>
      </c>
      <c r="M335" s="194">
        <f>AVERAGE(Ashed_controlls!$K$2:$K$11)</f>
        <v>5.5147656768714146</v>
      </c>
      <c r="N335" s="194">
        <f t="shared" si="55"/>
        <v>1.6876952554797229</v>
      </c>
      <c r="O335" s="194">
        <f t="shared" si="59"/>
        <v>2.0251999999999999</v>
      </c>
      <c r="P335" s="194">
        <f>AVERAGE(Ashed_controlls!$K$12:$K$14)</f>
        <v>2.2816647271287041</v>
      </c>
      <c r="Q335" s="194">
        <f t="shared" si="60"/>
        <v>1.9789917259461893</v>
      </c>
      <c r="R335" s="16">
        <f>IF('WetLitterbags placem_collection'!G42="","",'WetLitterbags placem_collection'!G42)</f>
        <v>42820</v>
      </c>
      <c r="S335" s="194">
        <f>IFERROR(INDEX('Both teabags AfterWet'!$C$3:$C$2000,MATCH(H335,'Both teabags AfterWet'!$A$3:$A$2000,0)),"")</f>
        <v>0.70599999999999996</v>
      </c>
      <c r="T335" s="194">
        <f>IFERROR(INDEX('Both teabags AfterWet'!$C$3:$C$2000,MATCH(I335,'Both teabags AfterWet'!$A$3:$A$2000,0)),"")</f>
        <v>1.66</v>
      </c>
      <c r="U335" s="194">
        <f t="shared" si="61"/>
        <v>0.55539999999999989</v>
      </c>
      <c r="V335" s="194">
        <f t="shared" si="62"/>
        <v>1.5093999999999999</v>
      </c>
      <c r="W335" s="194">
        <f>IFERROR(INDEX('Ashed teabags wet'!$K$2:$K$2000,MATCH(H335,'Ashed teabags wet'!$A$2:$A$2000,0)),"")</f>
        <v>8.6005830903788301</v>
      </c>
      <c r="X335" s="233">
        <f>IFERROR(INDEX('Ashed teabags wet'!$K$2:$K$2000,MATCH(I335,'Ashed teabags wet'!$A$2:$A$2000,0)),"")</f>
        <v>4.7856430707881614</v>
      </c>
      <c r="Y335" s="194">
        <f t="shared" si="67"/>
        <v>0.50763236151603586</v>
      </c>
      <c r="Z335" s="194">
        <f t="shared" si="67"/>
        <v>1.4371655034895234</v>
      </c>
      <c r="AA335" s="194">
        <f t="shared" si="63"/>
        <v>0.69921562564816075</v>
      </c>
      <c r="AB335" s="194">
        <f t="shared" si="64"/>
        <v>0.45839314175508883</v>
      </c>
      <c r="AC335" s="194">
        <f t="shared" si="56"/>
        <v>0.72621097129771495</v>
      </c>
      <c r="AD335">
        <f t="shared" si="57"/>
        <v>55</v>
      </c>
      <c r="AE335" s="194">
        <f t="shared" si="65"/>
        <v>0.16957764174802759</v>
      </c>
      <c r="AF335" s="194">
        <f t="shared" si="66"/>
        <v>1.6536610932873688E-2</v>
      </c>
      <c r="AG335" s="245" t="str">
        <f>IF(ISNUMBER(SEARCH("C",'WetLitterbags placem_collection'!$Y42)),"YES","NO")</f>
        <v>NO</v>
      </c>
      <c r="AH335" s="245" t="str">
        <f>IF(ISNUMBER(SEARCH("H", 'WetLitterbags placem_collection'!$Y42)),"YES","NO")</f>
        <v>NO</v>
      </c>
      <c r="AI335" s="245" t="str">
        <f>IF(ISNUMBER(SEARCH("R", 'WetLitterbags placem_collection'!$Y42)),"YES","NO")</f>
        <v>NO</v>
      </c>
      <c r="AJ335" s="245" t="str">
        <f>IF(ISNUMBER(SEARCH("C", 'WetLitterbags placem_collection'!$W42)),"YES","NO")</f>
        <v>NO</v>
      </c>
      <c r="AK335" s="245" t="str">
        <f>IF(ISNUMBER(SEARCH("H", 'WetLitterbags placem_collection'!$W42)),"YES","NO")</f>
        <v>YES</v>
      </c>
      <c r="AL335" s="245" t="str">
        <f>IF(ISNUMBER(SEARCH("R", 'WetLitterbags placem_collection'!$W42)),"YES","NO")</f>
        <v>NO</v>
      </c>
    </row>
    <row r="336" spans="2:38">
      <c r="B336" t="str">
        <f>Wetseason!B482</f>
        <v>Wet</v>
      </c>
      <c r="C336" s="253">
        <f>Wetseason!C482</f>
        <v>41</v>
      </c>
      <c r="D336" t="s">
        <v>3108</v>
      </c>
      <c r="E336" t="s">
        <v>25</v>
      </c>
      <c r="F336" s="374">
        <v>1</v>
      </c>
      <c r="G336" s="16">
        <f>'WetLitterbags placem_collection'!E43</f>
        <v>42766</v>
      </c>
      <c r="H336" s="92" t="str">
        <f>Wetseason!L482</f>
        <v>G626</v>
      </c>
      <c r="I336" t="str">
        <f>Wetseason!L702</f>
        <v>R77</v>
      </c>
      <c r="J336">
        <f>IFERROR(INDEX('Green_rooibos initial weight'!$C$5:$C$2000,MATCH(H336, 'Green_rooibos initial weight'!$A$5:$A$2000,0)),"")</f>
        <v>2.1179999999999999</v>
      </c>
      <c r="K336">
        <f>IFERROR(INDEX('Green_rooibos initial weight'!$C$5:$C$2000,MATCH(I336, 'Green_rooibos initial weight'!$A$5:$A$2000,0)),"")</f>
        <v>2.1749999999999998</v>
      </c>
      <c r="L336" s="194">
        <f t="shared" si="58"/>
        <v>1.8681999999999999</v>
      </c>
      <c r="M336" s="194">
        <f>AVERAGE(Ashed_controlls!$K$2:$K$11)</f>
        <v>5.5147656768714146</v>
      </c>
      <c r="N336" s="194">
        <f t="shared" si="55"/>
        <v>1.7651731476246881</v>
      </c>
      <c r="O336" s="194">
        <f t="shared" si="59"/>
        <v>1.9251999999999998</v>
      </c>
      <c r="P336" s="194">
        <f>AVERAGE(Ashed_controlls!$K$12:$K$14)</f>
        <v>2.2816647271287041</v>
      </c>
      <c r="Q336" s="194">
        <f t="shared" si="60"/>
        <v>1.8812733906733179</v>
      </c>
      <c r="R336" s="16">
        <f>IF('WetLitterbags placem_collection'!G43="","",'WetLitterbags placem_collection'!G43)</f>
        <v>42820</v>
      </c>
      <c r="S336" s="194">
        <f>IFERROR(INDEX('Both teabags AfterWet'!$C$3:$C$2000,MATCH(H336,'Both teabags AfterWet'!$A$3:$A$2000,0)),"")</f>
        <v>0.82899999999999996</v>
      </c>
      <c r="T336" s="194">
        <f>IFERROR(INDEX('Both teabags AfterWet'!$C$3:$C$2000,MATCH(I336,'Both teabags AfterWet'!$A$3:$A$2000,0)),"")</f>
        <v>1.5429999999999999</v>
      </c>
      <c r="U336" s="194">
        <f t="shared" si="61"/>
        <v>0.67839999999999989</v>
      </c>
      <c r="V336" s="194">
        <f t="shared" si="62"/>
        <v>1.3923999999999999</v>
      </c>
      <c r="W336" s="194">
        <f>IFERROR(INDEX('Ashed teabags wet'!$K$2:$K$2000,MATCH(H336,'Ashed teabags wet'!$A$2:$A$2000,0)),"")</f>
        <v>11.014911014910776</v>
      </c>
      <c r="X336" s="233">
        <f>IFERROR(INDEX('Ashed teabags wet'!$K$2:$K$2000,MATCH(I336,'Ashed teabags wet'!$A$2:$A$2000,0)),"")</f>
        <v>6.0530265132569756</v>
      </c>
      <c r="Y336" s="194">
        <f t="shared" si="67"/>
        <v>0.60367484367484514</v>
      </c>
      <c r="Z336" s="194">
        <f t="shared" si="67"/>
        <v>1.3081176588294097</v>
      </c>
      <c r="AA336" s="194">
        <f t="shared" si="63"/>
        <v>0.65800814243793448</v>
      </c>
      <c r="AB336" s="194">
        <f t="shared" si="64"/>
        <v>0.4313782596505224</v>
      </c>
      <c r="AC336" s="194">
        <f t="shared" si="56"/>
        <v>0.69533628940620229</v>
      </c>
      <c r="AD336">
        <f t="shared" si="57"/>
        <v>54</v>
      </c>
      <c r="AE336" s="194">
        <f t="shared" si="65"/>
        <v>0.2185176455606479</v>
      </c>
      <c r="AF336" s="194">
        <f t="shared" si="66"/>
        <v>2.2686081968873863E-2</v>
      </c>
      <c r="AG336" s="245" t="str">
        <f>IF(ISNUMBER(SEARCH("C",'WetLitterbags placem_collection'!$Y43)),"YES","NO")</f>
        <v>NO</v>
      </c>
      <c r="AH336" s="245" t="str">
        <f>IF(ISNUMBER(SEARCH("H", 'WetLitterbags placem_collection'!$Y43)),"YES","NO")</f>
        <v>NO</v>
      </c>
      <c r="AI336" s="245" t="str">
        <f>IF(ISNUMBER(SEARCH("R", 'WetLitterbags placem_collection'!$Y43)),"YES","NO")</f>
        <v>YES</v>
      </c>
      <c r="AJ336" s="245" t="str">
        <f>IF(ISNUMBER(SEARCH("C", 'WetLitterbags placem_collection'!$W43)),"YES","NO")</f>
        <v>NO</v>
      </c>
      <c r="AK336" s="245" t="str">
        <f>IF(ISNUMBER(SEARCH("H", 'WetLitterbags placem_collection'!$W43)),"YES","NO")</f>
        <v>NO</v>
      </c>
      <c r="AL336" s="245" t="str">
        <f>IF(ISNUMBER(SEARCH("R", 'WetLitterbags placem_collection'!$W43)),"YES","NO")</f>
        <v>NO</v>
      </c>
    </row>
    <row r="337" spans="2:38">
      <c r="B337" t="str">
        <f>Wetseason!B483</f>
        <v>Wet</v>
      </c>
      <c r="C337" s="253">
        <f>Wetseason!C483</f>
        <v>42</v>
      </c>
      <c r="D337" t="s">
        <v>3108</v>
      </c>
      <c r="E337" t="s">
        <v>25</v>
      </c>
      <c r="F337" s="374">
        <v>2</v>
      </c>
      <c r="G337" s="16">
        <f>'WetLitterbags placem_collection'!E44</f>
        <v>42766</v>
      </c>
      <c r="H337" s="92" t="str">
        <f>Wetseason!L483</f>
        <v>G437</v>
      </c>
      <c r="I337" t="str">
        <f>Wetseason!L703</f>
        <v>R81</v>
      </c>
      <c r="J337">
        <f>IFERROR(INDEX('Green_rooibos initial weight'!$C$5:$C$2000,MATCH(H337, 'Green_rooibos initial weight'!$A$5:$A$2000,0)),"")</f>
        <v>2.1230000000000002</v>
      </c>
      <c r="K337">
        <f>IFERROR(INDEX('Green_rooibos initial weight'!$C$5:$C$2000,MATCH(I337, 'Green_rooibos initial weight'!$A$5:$A$2000,0)),"")</f>
        <v>2.004</v>
      </c>
      <c r="L337" s="194">
        <f t="shared" si="58"/>
        <v>1.8732000000000002</v>
      </c>
      <c r="M337" s="194">
        <f>AVERAGE(Ashed_controlls!$K$2:$K$11)</f>
        <v>5.5147656768714146</v>
      </c>
      <c r="N337" s="194">
        <f t="shared" si="55"/>
        <v>1.7698974093408448</v>
      </c>
      <c r="O337" s="194">
        <f t="shared" si="59"/>
        <v>1.7542</v>
      </c>
      <c r="P337" s="194">
        <f>AVERAGE(Ashed_controlls!$K$12:$K$14)</f>
        <v>2.2816647271287041</v>
      </c>
      <c r="Q337" s="194">
        <f t="shared" si="60"/>
        <v>1.7141750373567082</v>
      </c>
      <c r="R337" s="16">
        <f>IF('WetLitterbags placem_collection'!G44="","",'WetLitterbags placem_collection'!G44)</f>
        <v>42820</v>
      </c>
      <c r="S337" s="194">
        <f>IFERROR(INDEX('Both teabags AfterWet'!$C$3:$C$2000,MATCH(H337,'Both teabags AfterWet'!$A$3:$A$2000,0)),"")</f>
        <v>0.64</v>
      </c>
      <c r="T337" s="194">
        <f>IFERROR(INDEX('Both teabags AfterWet'!$C$3:$C$2000,MATCH(I337,'Both teabags AfterWet'!$A$3:$A$2000,0)),"")</f>
        <v>1.528</v>
      </c>
      <c r="U337" s="194">
        <f t="shared" si="61"/>
        <v>0.4894</v>
      </c>
      <c r="V337" s="194">
        <f t="shared" si="62"/>
        <v>1.3774</v>
      </c>
      <c r="W337" s="194">
        <f>IFERROR(INDEX('Ashed teabags wet'!$K$2:$K$2000,MATCH(H337,'Ashed teabags wet'!$A$2:$A$2000,0)),"")</f>
        <v>8.5335948994602457</v>
      </c>
      <c r="X337" s="233">
        <f>IFERROR(INDEX('Ashed teabags wet'!$K$2:$K$2000,MATCH(I337,'Ashed teabags wet'!$A$2:$A$2000,0)),"")</f>
        <v>2.5036109773709327</v>
      </c>
      <c r="Y337" s="194">
        <f t="shared" si="67"/>
        <v>0.44763658656204158</v>
      </c>
      <c r="Z337" s="194">
        <f t="shared" si="67"/>
        <v>1.3429152623976928</v>
      </c>
      <c r="AA337" s="194">
        <f t="shared" si="63"/>
        <v>0.74708331443416665</v>
      </c>
      <c r="AB337" s="194">
        <f t="shared" si="64"/>
        <v>0.48977433440339674</v>
      </c>
      <c r="AC337" s="194">
        <f t="shared" si="56"/>
        <v>0.78341781506076225</v>
      </c>
      <c r="AD337">
        <f t="shared" si="57"/>
        <v>54</v>
      </c>
      <c r="AE337" s="194">
        <f t="shared" si="65"/>
        <v>0.11272765506631033</v>
      </c>
      <c r="AF337" s="194">
        <f t="shared" si="66"/>
        <v>1.0810543540645791E-2</v>
      </c>
      <c r="AG337" s="245" t="str">
        <f>IF(ISNUMBER(SEARCH("C",'WetLitterbags placem_collection'!$Y44)),"YES","NO")</f>
        <v>NO</v>
      </c>
      <c r="AH337" s="245" t="str">
        <f>IF(ISNUMBER(SEARCH("H", 'WetLitterbags placem_collection'!$Y44)),"YES","NO")</f>
        <v>NO</v>
      </c>
      <c r="AI337" s="245" t="str">
        <f>IF(ISNUMBER(SEARCH("R", 'WetLitterbags placem_collection'!$Y44)),"YES","NO")</f>
        <v>NO</v>
      </c>
      <c r="AJ337" s="245" t="str">
        <f>IF(ISNUMBER(SEARCH("C", 'WetLitterbags placem_collection'!$W44)),"YES","NO")</f>
        <v>NO</v>
      </c>
      <c r="AK337" s="245" t="str">
        <f>IF(ISNUMBER(SEARCH("H", 'WetLitterbags placem_collection'!$W44)),"YES","NO")</f>
        <v>NO</v>
      </c>
      <c r="AL337" s="245" t="str">
        <f>IF(ISNUMBER(SEARCH("R", 'WetLitterbags placem_collection'!$W44)),"YES","NO")</f>
        <v>NO</v>
      </c>
    </row>
    <row r="338" spans="2:38">
      <c r="B338" t="str">
        <f>Wetseason!B484</f>
        <v>Wet</v>
      </c>
      <c r="C338" s="253">
        <f>Wetseason!C484</f>
        <v>43</v>
      </c>
      <c r="D338" t="s">
        <v>3108</v>
      </c>
      <c r="E338" t="s">
        <v>25</v>
      </c>
      <c r="F338" s="374">
        <v>3</v>
      </c>
      <c r="G338" s="16">
        <f>'WetLitterbags placem_collection'!E45</f>
        <v>42766</v>
      </c>
      <c r="H338" s="92" t="str">
        <f>Wetseason!L484</f>
        <v>G643</v>
      </c>
      <c r="I338" t="str">
        <f>Wetseason!L704</f>
        <v>R117</v>
      </c>
      <c r="J338">
        <f>IFERROR(INDEX('Green_rooibos initial weight'!$C$5:$C$2000,MATCH(H338, 'Green_rooibos initial weight'!$A$5:$A$2000,0)),"")</f>
        <v>2.0510000000000002</v>
      </c>
      <c r="K338">
        <f>IFERROR(INDEX('Green_rooibos initial weight'!$C$5:$C$2000,MATCH(I338, 'Green_rooibos initial weight'!$A$5:$A$2000,0)),"")</f>
        <v>2.2029999999999998</v>
      </c>
      <c r="L338" s="194">
        <f t="shared" si="58"/>
        <v>1.8012000000000001</v>
      </c>
      <c r="M338" s="194">
        <f>AVERAGE(Ashed_controlls!$K$2:$K$11)</f>
        <v>5.5147656768714146</v>
      </c>
      <c r="N338" s="194">
        <f t="shared" si="55"/>
        <v>1.7018680406281923</v>
      </c>
      <c r="O338" s="194">
        <f t="shared" si="59"/>
        <v>1.9531999999999998</v>
      </c>
      <c r="P338" s="194">
        <f>AVERAGE(Ashed_controlls!$K$12:$K$14)</f>
        <v>2.2816647271287041</v>
      </c>
      <c r="Q338" s="194">
        <f t="shared" si="60"/>
        <v>1.908634524549722</v>
      </c>
      <c r="R338" s="16">
        <f>IF('WetLitterbags placem_collection'!G45="","",'WetLitterbags placem_collection'!G45)</f>
        <v>42820</v>
      </c>
      <c r="S338" s="194">
        <f>IFERROR(INDEX('Both teabags AfterWet'!$C$3:$C$2000,MATCH(H338,'Both teabags AfterWet'!$A$3:$A$2000,0)),"")</f>
        <v>0.74509999999999998</v>
      </c>
      <c r="T338" s="194">
        <f>IFERROR(INDEX('Both teabags AfterWet'!$C$3:$C$2000,MATCH(I338,'Both teabags AfterWet'!$A$3:$A$2000,0)),"")</f>
        <v>1.6155999999999999</v>
      </c>
      <c r="U338" s="194">
        <f t="shared" si="61"/>
        <v>0.59450000000000003</v>
      </c>
      <c r="V338" s="194">
        <f t="shared" si="62"/>
        <v>1.4649999999999999</v>
      </c>
      <c r="W338" s="194">
        <f>IFERROR(INDEX('Ashed teabags wet'!$K$2:$K$2000,MATCH(H338,'Ashed teabags wet'!$A$2:$A$2000,0)),"")</f>
        <v>7.6658476658481174</v>
      </c>
      <c r="X338" s="233">
        <f>IFERROR(INDEX('Ashed teabags wet'!$K$2:$K$2000,MATCH(I338,'Ashed teabags wet'!$A$2:$A$2000,0)),"")</f>
        <v>1.8435475834578603</v>
      </c>
      <c r="Y338" s="194">
        <f t="shared" si="67"/>
        <v>0.54892653562653293</v>
      </c>
      <c r="Z338" s="194">
        <f t="shared" si="67"/>
        <v>1.4379920279023422</v>
      </c>
      <c r="AA338" s="194">
        <f t="shared" si="63"/>
        <v>0.67745646400180737</v>
      </c>
      <c r="AB338" s="194">
        <f t="shared" si="64"/>
        <v>0.4441282281817075</v>
      </c>
      <c r="AC338" s="194">
        <f t="shared" si="56"/>
        <v>0.75341402945730951</v>
      </c>
      <c r="AD338">
        <f t="shared" si="57"/>
        <v>54</v>
      </c>
      <c r="AE338" s="194">
        <f t="shared" si="65"/>
        <v>0.19541987648241399</v>
      </c>
      <c r="AF338" s="194">
        <f t="shared" si="66"/>
        <v>1.5002977754895005E-2</v>
      </c>
      <c r="AG338" s="245" t="str">
        <f>IF(ISNUMBER(SEARCH("C",'WetLitterbags placem_collection'!$Y45)),"YES","NO")</f>
        <v>NO</v>
      </c>
      <c r="AH338" s="245" t="str">
        <f>IF(ISNUMBER(SEARCH("H", 'WetLitterbags placem_collection'!$Y45)),"YES","NO")</f>
        <v>NO</v>
      </c>
      <c r="AI338" s="245" t="str">
        <f>IF(ISNUMBER(SEARCH("R", 'WetLitterbags placem_collection'!$Y45)),"YES","NO")</f>
        <v>YES</v>
      </c>
      <c r="AJ338" s="245" t="str">
        <f>IF(ISNUMBER(SEARCH("C", 'WetLitterbags placem_collection'!$W45)),"YES","NO")</f>
        <v>YES</v>
      </c>
      <c r="AK338" s="245" t="str">
        <f>IF(ISNUMBER(SEARCH("H", 'WetLitterbags placem_collection'!$W45)),"YES","NO")</f>
        <v>YES</v>
      </c>
      <c r="AL338" s="245" t="str">
        <f>IF(ISNUMBER(SEARCH("R", 'WetLitterbags placem_collection'!$W45)),"YES","NO")</f>
        <v>NO</v>
      </c>
    </row>
    <row r="339" spans="2:38">
      <c r="B339" t="str">
        <f>Wetseason!B485</f>
        <v>Wet</v>
      </c>
      <c r="C339" s="253">
        <f>Wetseason!C485</f>
        <v>44</v>
      </c>
      <c r="D339" t="s">
        <v>3108</v>
      </c>
      <c r="E339" t="s">
        <v>25</v>
      </c>
      <c r="F339" s="375">
        <v>4</v>
      </c>
      <c r="G339" s="16">
        <f>'WetLitterbags placem_collection'!E46</f>
        <v>42766</v>
      </c>
      <c r="H339" s="92" t="str">
        <f>Wetseason!L485</f>
        <v>G283</v>
      </c>
      <c r="I339" t="str">
        <f>Wetseason!L705</f>
        <v>R6</v>
      </c>
      <c r="J339">
        <f>IFERROR(INDEX('Green_rooibos initial weight'!$C$5:$C$2000,MATCH(H339, 'Green_rooibos initial weight'!$A$5:$A$2000,0)),"")</f>
        <v>1.8660000000000001</v>
      </c>
      <c r="K339">
        <f>IFERROR(INDEX('Green_rooibos initial weight'!$C$5:$C$2000,MATCH(I339, 'Green_rooibos initial weight'!$A$5:$A$2000,0)),"")</f>
        <v>2.226</v>
      </c>
      <c r="L339" s="194">
        <f t="shared" si="58"/>
        <v>1.6162000000000001</v>
      </c>
      <c r="M339" s="194">
        <f>AVERAGE(Ashed_controlls!$K$2:$K$11)</f>
        <v>5.5147656768714146</v>
      </c>
      <c r="N339" s="194">
        <f t="shared" si="55"/>
        <v>1.5270703571304043</v>
      </c>
      <c r="O339" s="194">
        <f t="shared" si="59"/>
        <v>1.9762</v>
      </c>
      <c r="P339" s="194">
        <f>AVERAGE(Ashed_controlls!$K$12:$K$14)</f>
        <v>2.2816647271287041</v>
      </c>
      <c r="Q339" s="194">
        <f t="shared" si="60"/>
        <v>1.9311097416624825</v>
      </c>
      <c r="R339" s="16">
        <f>IF('WetLitterbags placem_collection'!G46="","",'WetLitterbags placem_collection'!G46)</f>
        <v>42820</v>
      </c>
      <c r="S339" s="194">
        <f>IFERROR(INDEX('Both teabags AfterWet'!$C$3:$C$2000,MATCH(H339,'Both teabags AfterWet'!$A$3:$A$2000,0)),"")</f>
        <v>0.80830000000000002</v>
      </c>
      <c r="T339" s="194">
        <f>IFERROR(INDEX('Both teabags AfterWet'!$C$3:$C$2000,MATCH(I339,'Both teabags AfterWet'!$A$3:$A$2000,0)),"")</f>
        <v>1.5294000000000001</v>
      </c>
      <c r="U339" s="194">
        <f t="shared" si="61"/>
        <v>0.65769999999999995</v>
      </c>
      <c r="V339" s="194">
        <f t="shared" si="62"/>
        <v>1.3788</v>
      </c>
      <c r="W339" s="194">
        <f>IFERROR(INDEX('Ashed teabags wet'!$K$2:$K$2000,MATCH(H339,'Ashed teabags wet'!$A$2:$A$2000,0)),"")</f>
        <v>10.544217687075299</v>
      </c>
      <c r="X339" s="233">
        <f>IFERROR(INDEX('Ashed teabags wet'!$K$2:$K$2000,MATCH(I339,'Ashed teabags wet'!$A$2:$A$2000,0)),"")</f>
        <v>3.8782523318604794</v>
      </c>
      <c r="Y339" s="194">
        <f t="shared" si="67"/>
        <v>0.58835068027210569</v>
      </c>
      <c r="Z339" s="194">
        <f t="shared" si="67"/>
        <v>1.3253266568483077</v>
      </c>
      <c r="AA339" s="194">
        <f t="shared" si="63"/>
        <v>0.61471933658793199</v>
      </c>
      <c r="AB339" s="194">
        <f t="shared" si="64"/>
        <v>0.40299889999588895</v>
      </c>
      <c r="AC339" s="194">
        <f t="shared" si="56"/>
        <v>0.68630312832834695</v>
      </c>
      <c r="AD339">
        <f t="shared" si="57"/>
        <v>54</v>
      </c>
      <c r="AE339" s="194">
        <f t="shared" si="65"/>
        <v>0.26992952899295486</v>
      </c>
      <c r="AF339" s="194">
        <f t="shared" si="66"/>
        <v>2.7905733910786133E-2</v>
      </c>
      <c r="AG339" s="245" t="str">
        <f>IF(ISNUMBER(SEARCH("C",'WetLitterbags placem_collection'!$Y46)),"YES","NO")</f>
        <v>NO</v>
      </c>
      <c r="AH339" s="245" t="str">
        <f>IF(ISNUMBER(SEARCH("H", 'WetLitterbags placem_collection'!$Y46)),"YES","NO")</f>
        <v>NO</v>
      </c>
      <c r="AI339" s="245" t="str">
        <f>IF(ISNUMBER(SEARCH("R", 'WetLitterbags placem_collection'!$Y46)),"YES","NO")</f>
        <v>NO</v>
      </c>
      <c r="AJ339" s="245" t="str">
        <f>IF(ISNUMBER(SEARCH("C", 'WetLitterbags placem_collection'!$W46)),"YES","NO")</f>
        <v>NO</v>
      </c>
      <c r="AK339" s="245" t="str">
        <f>IF(ISNUMBER(SEARCH("H", 'WetLitterbags placem_collection'!$W46)),"YES","NO")</f>
        <v>NO</v>
      </c>
      <c r="AL339" s="245" t="str">
        <f>IF(ISNUMBER(SEARCH("R", 'WetLitterbags placem_collection'!$W46)),"YES","NO")</f>
        <v>YES</v>
      </c>
    </row>
    <row r="340" spans="2:38">
      <c r="B340" t="str">
        <f>Wetseason!B486</f>
        <v>Wet</v>
      </c>
      <c r="C340" s="253">
        <f>Wetseason!C486</f>
        <v>45</v>
      </c>
      <c r="D340" t="s">
        <v>3108</v>
      </c>
      <c r="E340" t="s">
        <v>25</v>
      </c>
      <c r="F340" s="375">
        <v>5</v>
      </c>
      <c r="G340" s="16">
        <f>'WetLitterbags placem_collection'!E47</f>
        <v>42766</v>
      </c>
      <c r="H340" s="92" t="str">
        <f>Wetseason!L486</f>
        <v>G602</v>
      </c>
      <c r="I340" t="str">
        <f>Wetseason!L706</f>
        <v>R74</v>
      </c>
      <c r="J340">
        <f>IFERROR(INDEX('Green_rooibos initial weight'!$C$5:$C$2000,MATCH(H340, 'Green_rooibos initial weight'!$A$5:$A$2000,0)),"")</f>
        <v>2.1030000000000002</v>
      </c>
      <c r="K340">
        <f>IFERROR(INDEX('Green_rooibos initial weight'!$C$5:$C$2000,MATCH(I340, 'Green_rooibos initial weight'!$A$5:$A$2000,0)),"")</f>
        <v>2.3340000000000001</v>
      </c>
      <c r="L340" s="194">
        <f t="shared" si="58"/>
        <v>1.8532000000000002</v>
      </c>
      <c r="M340" s="194">
        <f>AVERAGE(Ashed_controlls!$K$2:$K$11)</f>
        <v>5.5147656768714146</v>
      </c>
      <c r="N340" s="194">
        <f t="shared" si="55"/>
        <v>1.7510003624762192</v>
      </c>
      <c r="O340" s="194">
        <f t="shared" si="59"/>
        <v>2.0842000000000001</v>
      </c>
      <c r="P340" s="194">
        <f>AVERAGE(Ashed_controlls!$K$12:$K$14)</f>
        <v>2.2816647271287041</v>
      </c>
      <c r="Q340" s="194">
        <f t="shared" si="60"/>
        <v>2.0366455437571838</v>
      </c>
      <c r="R340" s="16">
        <f>IF('WetLitterbags placem_collection'!G47="","",'WetLitterbags placem_collection'!G47)</f>
        <v>42820</v>
      </c>
      <c r="S340" s="194">
        <f>IFERROR(INDEX('Both teabags AfterWet'!$C$3:$C$2000,MATCH(H340,'Both teabags AfterWet'!$A$3:$A$2000,0)),"")</f>
        <v>0.77400000000000002</v>
      </c>
      <c r="T340" s="194">
        <f>IFERROR(INDEX('Both teabags AfterWet'!$C$3:$C$2000,MATCH(I340,'Both teabags AfterWet'!$A$3:$A$2000,0)),"")</f>
        <v>1.5923</v>
      </c>
      <c r="U340" s="194">
        <f t="shared" si="61"/>
        <v>0.62339999999999995</v>
      </c>
      <c r="V340" s="194">
        <f t="shared" si="62"/>
        <v>1.4417</v>
      </c>
      <c r="W340" s="194">
        <f>IFERROR(INDEX('Ashed teabags wet'!$K$2:$K$2000,MATCH(H340,'Ashed teabags wet'!$A$2:$A$2000,0)),"")</f>
        <v>5.9288537549396603</v>
      </c>
      <c r="X340" s="233">
        <f>IFERROR(INDEX('Ashed teabags wet'!$K$2:$K$2000,MATCH(I340,'Ashed teabags wet'!$A$2:$A$2000,0)),"")</f>
        <v>3.1049778215869339</v>
      </c>
      <c r="Y340" s="194">
        <f t="shared" si="67"/>
        <v>0.5864395256917061</v>
      </c>
      <c r="Z340" s="194">
        <f t="shared" si="67"/>
        <v>1.3969355347461812</v>
      </c>
      <c r="AA340" s="194">
        <f t="shared" si="63"/>
        <v>0.66508315003294538</v>
      </c>
      <c r="AB340" s="194">
        <f t="shared" si="64"/>
        <v>0.43601650690995947</v>
      </c>
      <c r="AC340" s="194">
        <f t="shared" si="56"/>
        <v>0.68590017493624744</v>
      </c>
      <c r="AD340">
        <f t="shared" si="57"/>
        <v>54</v>
      </c>
      <c r="AE340" s="194">
        <f t="shared" si="65"/>
        <v>0.21011502371384161</v>
      </c>
      <c r="AF340" s="194">
        <f t="shared" si="66"/>
        <v>2.3598930125517985E-2</v>
      </c>
      <c r="AG340" s="245" t="str">
        <f>IF(ISNUMBER(SEARCH("C",'WetLitterbags placem_collection'!$Y47)),"YES","NO")</f>
        <v>NO</v>
      </c>
      <c r="AH340" s="245" t="str">
        <f>IF(ISNUMBER(SEARCH("H", 'WetLitterbags placem_collection'!$Y47)),"YES","NO")</f>
        <v>NO</v>
      </c>
      <c r="AI340" s="245" t="str">
        <f>IF(ISNUMBER(SEARCH("R", 'WetLitterbags placem_collection'!$Y47)),"YES","NO")</f>
        <v>NO</v>
      </c>
      <c r="AJ340" s="245" t="str">
        <f>IF(ISNUMBER(SEARCH("C", 'WetLitterbags placem_collection'!$W47)),"YES","NO")</f>
        <v>NO</v>
      </c>
      <c r="AK340" s="245" t="str">
        <f>IF(ISNUMBER(SEARCH("H", 'WetLitterbags placem_collection'!$W47)),"YES","NO")</f>
        <v>NO</v>
      </c>
      <c r="AL340" s="245" t="str">
        <f>IF(ISNUMBER(SEARCH("R", 'WetLitterbags placem_collection'!$W47)),"YES","NO")</f>
        <v>NO</v>
      </c>
    </row>
    <row r="341" spans="2:38">
      <c r="B341" t="str">
        <f>Wetseason!B487</f>
        <v>Wet</v>
      </c>
      <c r="C341" s="253">
        <f>Wetseason!C487</f>
        <v>46</v>
      </c>
      <c r="D341" t="s">
        <v>3108</v>
      </c>
      <c r="E341" t="s">
        <v>25</v>
      </c>
      <c r="F341" s="375">
        <v>6</v>
      </c>
      <c r="G341" s="16">
        <f>'WetLitterbags placem_collection'!E48</f>
        <v>42766</v>
      </c>
      <c r="H341" s="92" t="str">
        <f>Wetseason!L487</f>
        <v>G427</v>
      </c>
      <c r="I341" t="str">
        <f>Wetseason!L707</f>
        <v>R102</v>
      </c>
      <c r="J341">
        <f>IFERROR(INDEX('Green_rooibos initial weight'!$C$5:$C$2000,MATCH(H341, 'Green_rooibos initial weight'!$A$5:$A$2000,0)),"")</f>
        <v>1.8959999999999999</v>
      </c>
      <c r="K341">
        <f>IFERROR(INDEX('Green_rooibos initial weight'!$C$5:$C$2000,MATCH(I341, 'Green_rooibos initial weight'!$A$5:$A$2000,0)),"")</f>
        <v>2.2469999999999999</v>
      </c>
      <c r="L341" s="194">
        <f t="shared" si="58"/>
        <v>1.6461999999999999</v>
      </c>
      <c r="M341" s="194">
        <f>AVERAGE(Ashed_controlls!$K$2:$K$11)</f>
        <v>5.5147656768714146</v>
      </c>
      <c r="N341" s="194">
        <f t="shared" si="55"/>
        <v>1.5554159274273427</v>
      </c>
      <c r="O341" s="194">
        <f t="shared" si="59"/>
        <v>1.9971999999999999</v>
      </c>
      <c r="P341" s="194">
        <f>AVERAGE(Ashed_controlls!$K$12:$K$14)</f>
        <v>2.2816647271287041</v>
      </c>
      <c r="Q341" s="194">
        <f t="shared" si="60"/>
        <v>1.9516305920697854</v>
      </c>
      <c r="R341" s="16">
        <f>IF('WetLitterbags placem_collection'!G48="","",'WetLitterbags placem_collection'!G48)</f>
        <v>42820</v>
      </c>
      <c r="S341" s="194" t="str">
        <f>IFERROR(INDEX('Both teabags AfterWet'!$C$3:$C$2000,MATCH(H341,'Both teabags AfterWet'!$A$3:$A$2000,0)),"")</f>
        <v/>
      </c>
      <c r="T341" s="194" t="str">
        <f>IFERROR(INDEX('Both teabags AfterWet'!$C$3:$C$2000,MATCH(I341,'Both teabags AfterWet'!$A$3:$A$2000,0)),"")</f>
        <v/>
      </c>
      <c r="U341" s="194" t="str">
        <f t="shared" si="61"/>
        <v/>
      </c>
      <c r="V341" s="194" t="str">
        <f t="shared" si="62"/>
        <v/>
      </c>
      <c r="W341" s="194" t="str">
        <f>IFERROR(INDEX('Ashed teabags wet'!$K$2:$K$2000,MATCH(H341,'Ashed teabags wet'!$A$2:$A$2000,0)),"")</f>
        <v/>
      </c>
      <c r="X341" s="233" t="str">
        <f>IFERROR(INDEX('Ashed teabags wet'!$K$2:$K$2000,MATCH(I341,'Ashed teabags wet'!$A$2:$A$2000,0)),"")</f>
        <v/>
      </c>
      <c r="Y341" s="194" t="str">
        <f t="shared" si="67"/>
        <v/>
      </c>
      <c r="Z341" s="194" t="str">
        <f t="shared" si="67"/>
        <v/>
      </c>
      <c r="AA341" s="194" t="str">
        <f t="shared" si="63"/>
        <v/>
      </c>
      <c r="AB341" s="194" t="str">
        <f t="shared" si="64"/>
        <v/>
      </c>
      <c r="AC341" s="194" t="str">
        <f t="shared" si="56"/>
        <v/>
      </c>
      <c r="AD341">
        <f t="shared" si="57"/>
        <v>54</v>
      </c>
      <c r="AE341" s="194" t="str">
        <f t="shared" si="65"/>
        <v/>
      </c>
      <c r="AF341" s="194" t="str">
        <f t="shared" si="66"/>
        <v/>
      </c>
      <c r="AG341" s="245" t="str">
        <f>IF(ISNUMBER(SEARCH("C",'WetLitterbags placem_collection'!$Y48)),"YES","NO")</f>
        <v>NO</v>
      </c>
      <c r="AH341" s="245" t="str">
        <f>IF(ISNUMBER(SEARCH("H", 'WetLitterbags placem_collection'!$Y48)),"YES","NO")</f>
        <v>NO</v>
      </c>
      <c r="AI341" s="245" t="str">
        <f>IF(ISNUMBER(SEARCH("R", 'WetLitterbags placem_collection'!$Y48)),"YES","NO")</f>
        <v>NO</v>
      </c>
      <c r="AJ341" s="245" t="str">
        <f>IF(ISNUMBER(SEARCH("C", 'WetLitterbags placem_collection'!$W48)),"YES","NO")</f>
        <v>NO</v>
      </c>
      <c r="AK341" s="245" t="str">
        <f>IF(ISNUMBER(SEARCH("H", 'WetLitterbags placem_collection'!$W48)),"YES","NO")</f>
        <v>NO</v>
      </c>
      <c r="AL341" s="245" t="str">
        <f>IF(ISNUMBER(SEARCH("R", 'WetLitterbags placem_collection'!$W48)),"YES","NO")</f>
        <v>NO</v>
      </c>
    </row>
    <row r="342" spans="2:38">
      <c r="B342" t="str">
        <f>Wetseason!B488</f>
        <v>Wet</v>
      </c>
      <c r="C342" s="253">
        <f>Wetseason!C488</f>
        <v>47</v>
      </c>
      <c r="D342" t="s">
        <v>3108</v>
      </c>
      <c r="E342" t="s">
        <v>25</v>
      </c>
      <c r="F342" s="375">
        <v>7</v>
      </c>
      <c r="G342" s="16">
        <f>'WetLitterbags placem_collection'!E49</f>
        <v>42766</v>
      </c>
      <c r="H342" s="92" t="str">
        <f>Wetseason!L488</f>
        <v>G512</v>
      </c>
      <c r="I342" t="str">
        <f>Wetseason!L708</f>
        <v>R76</v>
      </c>
      <c r="J342">
        <f>IFERROR(INDEX('Green_rooibos initial weight'!$C$5:$C$2000,MATCH(H342, 'Green_rooibos initial weight'!$A$5:$A$2000,0)),"")</f>
        <v>2.0939999999999999</v>
      </c>
      <c r="K342">
        <f>IFERROR(INDEX('Green_rooibos initial weight'!$C$5:$C$2000,MATCH(I342, 'Green_rooibos initial weight'!$A$5:$A$2000,0)),"")</f>
        <v>2.2970000000000002</v>
      </c>
      <c r="L342" s="194">
        <f t="shared" si="58"/>
        <v>1.8441999999999998</v>
      </c>
      <c r="M342" s="194">
        <f>AVERAGE(Ashed_controlls!$K$2:$K$11)</f>
        <v>5.5147656768714146</v>
      </c>
      <c r="N342" s="194">
        <f t="shared" si="55"/>
        <v>1.7424966913871371</v>
      </c>
      <c r="O342" s="194">
        <f t="shared" si="59"/>
        <v>2.0472000000000001</v>
      </c>
      <c r="P342" s="194">
        <f>AVERAGE(Ashed_controlls!$K$12:$K$14)</f>
        <v>2.2816647271287041</v>
      </c>
      <c r="Q342" s="194">
        <f t="shared" si="60"/>
        <v>2.0004897597062214</v>
      </c>
      <c r="R342" s="16">
        <f>IF('WetLitterbags placem_collection'!G49="","",'WetLitterbags placem_collection'!G49)</f>
        <v>42820</v>
      </c>
      <c r="S342" s="194">
        <f>IFERROR(INDEX('Both teabags AfterWet'!$C$3:$C$2000,MATCH(H342,'Both teabags AfterWet'!$A$3:$A$2000,0)),"")</f>
        <v>0.77500000000000002</v>
      </c>
      <c r="T342" s="194">
        <f>IFERROR(INDEX('Both teabags AfterWet'!$C$3:$C$2000,MATCH(I342,'Both teabags AfterWet'!$A$3:$A$2000,0)),"")</f>
        <v>1.665</v>
      </c>
      <c r="U342" s="194">
        <f t="shared" si="61"/>
        <v>0.62440000000000007</v>
      </c>
      <c r="V342" s="194">
        <f t="shared" si="62"/>
        <v>1.5144</v>
      </c>
      <c r="W342" s="194">
        <f>IFERROR(INDEX('Ashed teabags wet'!$K$2:$K$2000,MATCH(H342,'Ashed teabags wet'!$A$2:$A$2000,0)),"")</f>
        <v>8.2123184777170053</v>
      </c>
      <c r="X342" s="233">
        <f>IFERROR(INDEX('Ashed teabags wet'!$K$2:$K$2000,MATCH(I342,'Ashed teabags wet'!$A$2:$A$2000,0)),"")</f>
        <v>3.0587074494324868</v>
      </c>
      <c r="Y342" s="194">
        <f t="shared" si="67"/>
        <v>0.57312228342513505</v>
      </c>
      <c r="Z342" s="194">
        <f t="shared" si="67"/>
        <v>1.4680789343857943</v>
      </c>
      <c r="AA342" s="194">
        <f t="shared" si="63"/>
        <v>0.67109132186133813</v>
      </c>
      <c r="AB342" s="194">
        <f t="shared" si="64"/>
        <v>0.43995535589959467</v>
      </c>
      <c r="AC342" s="194">
        <f t="shared" si="56"/>
        <v>0.73385975972273232</v>
      </c>
      <c r="AD342">
        <f t="shared" si="57"/>
        <v>54</v>
      </c>
      <c r="AE342" s="194">
        <f t="shared" si="65"/>
        <v>0.20297942771812572</v>
      </c>
      <c r="AF342" s="194">
        <f t="shared" si="66"/>
        <v>1.719779773130883E-2</v>
      </c>
      <c r="AG342" s="245" t="str">
        <f>IF(ISNUMBER(SEARCH("C",'WetLitterbags placem_collection'!$Y49)),"YES","NO")</f>
        <v>NO</v>
      </c>
      <c r="AH342" s="245" t="str">
        <f>IF(ISNUMBER(SEARCH("H", 'WetLitterbags placem_collection'!$Y49)),"YES","NO")</f>
        <v>NO</v>
      </c>
      <c r="AI342" s="245" t="str">
        <f>IF(ISNUMBER(SEARCH("R", 'WetLitterbags placem_collection'!$Y49)),"YES","NO")</f>
        <v>NO</v>
      </c>
      <c r="AJ342" s="245" t="str">
        <f>IF(ISNUMBER(SEARCH("C", 'WetLitterbags placem_collection'!$W49)),"YES","NO")</f>
        <v>NO</v>
      </c>
      <c r="AK342" s="245" t="str">
        <f>IF(ISNUMBER(SEARCH("H", 'WetLitterbags placem_collection'!$W49)),"YES","NO")</f>
        <v>YES</v>
      </c>
      <c r="AL342" s="245" t="str">
        <f>IF(ISNUMBER(SEARCH("R", 'WetLitterbags placem_collection'!$W49)),"YES","NO")</f>
        <v>YES</v>
      </c>
    </row>
    <row r="343" spans="2:38">
      <c r="B343" t="str">
        <f>Wetseason!B489</f>
        <v>Wet</v>
      </c>
      <c r="C343" s="253">
        <f>Wetseason!C489</f>
        <v>48</v>
      </c>
      <c r="D343" t="s">
        <v>3108</v>
      </c>
      <c r="E343" t="s">
        <v>25</v>
      </c>
      <c r="F343" s="375">
        <v>8</v>
      </c>
      <c r="G343" s="16">
        <f>'WetLitterbags placem_collection'!E50</f>
        <v>42766</v>
      </c>
      <c r="H343" s="92" t="str">
        <f>Wetseason!L489</f>
        <v>G299</v>
      </c>
      <c r="I343" t="str">
        <f>Wetseason!L709</f>
        <v>R107</v>
      </c>
      <c r="J343">
        <f>IFERROR(INDEX('Green_rooibos initial weight'!$C$5:$C$2000,MATCH(H343, 'Green_rooibos initial weight'!$A$5:$A$2000,0)),"")</f>
        <v>2.0110000000000001</v>
      </c>
      <c r="K343">
        <f>IFERROR(INDEX('Green_rooibos initial weight'!$C$5:$C$2000,MATCH(I343, 'Green_rooibos initial weight'!$A$5:$A$2000,0)),"")</f>
        <v>2.19</v>
      </c>
      <c r="L343" s="194">
        <f t="shared" si="58"/>
        <v>1.7612000000000001</v>
      </c>
      <c r="M343" s="194">
        <f>AVERAGE(Ashed_controlls!$K$2:$K$11)</f>
        <v>5.5147656768714146</v>
      </c>
      <c r="N343" s="194">
        <f t="shared" si="55"/>
        <v>1.6640739468989407</v>
      </c>
      <c r="O343" s="194">
        <f t="shared" si="59"/>
        <v>1.9401999999999999</v>
      </c>
      <c r="P343" s="194">
        <f>AVERAGE(Ashed_controlls!$K$12:$K$14)</f>
        <v>2.2816647271287041</v>
      </c>
      <c r="Q343" s="194">
        <f t="shared" si="60"/>
        <v>1.8959311409642488</v>
      </c>
      <c r="R343" s="16">
        <f>IF('WetLitterbags placem_collection'!G50="","",'WetLitterbags placem_collection'!G50)</f>
        <v>42820</v>
      </c>
      <c r="S343" s="194">
        <f>IFERROR(INDEX('Both teabags AfterWet'!$C$3:$C$2000,MATCH(H343,'Both teabags AfterWet'!$A$3:$A$2000,0)),"")</f>
        <v>0.88100000000000001</v>
      </c>
      <c r="T343" s="194">
        <f>IFERROR(INDEX('Both teabags AfterWet'!$C$3:$C$2000,MATCH(I343,'Both teabags AfterWet'!$A$3:$A$2000,0)),"")</f>
        <v>1.5349999999999999</v>
      </c>
      <c r="U343" s="194">
        <f t="shared" si="61"/>
        <v>0.73039999999999994</v>
      </c>
      <c r="V343" s="194">
        <f t="shared" si="62"/>
        <v>1.3843999999999999</v>
      </c>
      <c r="W343" s="194">
        <f>IFERROR(INDEX('Ashed teabags wet'!$K$2:$K$2000,MATCH(H343,'Ashed teabags wet'!$A$2:$A$2000,0)),"")</f>
        <v>7.4656188605105287</v>
      </c>
      <c r="X343" s="233">
        <f>IFERROR(INDEX('Ashed teabags wet'!$K$2:$K$2000,MATCH(I343,'Ashed teabags wet'!$A$2:$A$2000,0)),"")</f>
        <v>3.4431137724549741</v>
      </c>
      <c r="Y343" s="194">
        <f t="shared" si="67"/>
        <v>0.67587111984283099</v>
      </c>
      <c r="Z343" s="194">
        <f t="shared" si="67"/>
        <v>1.3367335329341332</v>
      </c>
      <c r="AA343" s="194">
        <f t="shared" si="63"/>
        <v>0.59384550121565205</v>
      </c>
      <c r="AB343" s="194">
        <f t="shared" si="64"/>
        <v>0.38931439034565318</v>
      </c>
      <c r="AC343" s="194">
        <f t="shared" si="56"/>
        <v>0.70505384085536249</v>
      </c>
      <c r="AD343">
        <f t="shared" si="57"/>
        <v>54</v>
      </c>
      <c r="AE343" s="194">
        <f t="shared" si="65"/>
        <v>0.29472030734483123</v>
      </c>
      <c r="AF343" s="194">
        <f t="shared" si="66"/>
        <v>2.6244124740344269E-2</v>
      </c>
      <c r="AG343" s="245" t="str">
        <f>IF(ISNUMBER(SEARCH("C",'WetLitterbags placem_collection'!$Y50)),"YES","NO")</f>
        <v>NO</v>
      </c>
      <c r="AH343" s="245" t="str">
        <f>IF(ISNUMBER(SEARCH("H", 'WetLitterbags placem_collection'!$Y50)),"YES","NO")</f>
        <v>NO</v>
      </c>
      <c r="AI343" s="245" t="str">
        <f>IF(ISNUMBER(SEARCH("R", 'WetLitterbags placem_collection'!$Y50)),"YES","NO")</f>
        <v>NO</v>
      </c>
      <c r="AJ343" s="245" t="str">
        <f>IF(ISNUMBER(SEARCH("C", 'WetLitterbags placem_collection'!$W50)),"YES","NO")</f>
        <v>NO</v>
      </c>
      <c r="AK343" s="245" t="str">
        <f>IF(ISNUMBER(SEARCH("H", 'WetLitterbags placem_collection'!$W50)),"YES","NO")</f>
        <v>NO</v>
      </c>
      <c r="AL343" s="245" t="str">
        <f>IF(ISNUMBER(SEARCH("R", 'WetLitterbags placem_collection'!$W50)),"YES","NO")</f>
        <v>YES</v>
      </c>
    </row>
    <row r="344" spans="2:38">
      <c r="B344" t="str">
        <f>Wetseason!B490</f>
        <v>Wet</v>
      </c>
      <c r="C344" s="253">
        <f>Wetseason!C490</f>
        <v>49</v>
      </c>
      <c r="D344" t="s">
        <v>3109</v>
      </c>
      <c r="E344" t="s">
        <v>25</v>
      </c>
      <c r="F344" s="374">
        <v>1</v>
      </c>
      <c r="G344" s="16">
        <f>'WetLitterbags placem_collection'!E51</f>
        <v>42766</v>
      </c>
      <c r="H344" s="92" t="str">
        <f>Wetseason!L490</f>
        <v>G739</v>
      </c>
      <c r="I344" t="str">
        <f>Wetseason!L710</f>
        <v>R155</v>
      </c>
      <c r="J344">
        <f>IFERROR(INDEX('Green_rooibos initial weight'!$C$5:$C$2000,MATCH(H344, 'Green_rooibos initial weight'!$A$5:$A$2000,0)),"")</f>
        <v>2.0499999999999998</v>
      </c>
      <c r="K344">
        <f>IFERROR(INDEX('Green_rooibos initial weight'!$C$5:$C$2000,MATCH(I344, 'Green_rooibos initial weight'!$A$5:$A$2000,0)),"")</f>
        <v>2.206</v>
      </c>
      <c r="L344" s="194">
        <f t="shared" si="58"/>
        <v>1.8001999999999998</v>
      </c>
      <c r="M344" s="194">
        <f>AVERAGE(Ashed_controlls!$K$2:$K$11)</f>
        <v>5.5147656768714146</v>
      </c>
      <c r="N344" s="194">
        <f t="shared" si="55"/>
        <v>1.7009231882849607</v>
      </c>
      <c r="O344" s="194">
        <f t="shared" si="59"/>
        <v>1.9561999999999999</v>
      </c>
      <c r="P344" s="194">
        <f>AVERAGE(Ashed_controlls!$K$12:$K$14)</f>
        <v>2.2816647271287041</v>
      </c>
      <c r="Q344" s="194">
        <f t="shared" si="60"/>
        <v>1.9115660746079082</v>
      </c>
      <c r="R344" s="16">
        <f>IF('WetLitterbags placem_collection'!G51="","",'WetLitterbags placem_collection'!G51)</f>
        <v>42820</v>
      </c>
      <c r="S344" s="194">
        <f>IFERROR(INDEX('Both teabags AfterWet'!$C$3:$C$2000,MATCH(H344,'Both teabags AfterWet'!$A$3:$A$2000,0)),"")</f>
        <v>0.87490000000000001</v>
      </c>
      <c r="T344" s="194">
        <f>IFERROR(INDEX('Both teabags AfterWet'!$C$3:$C$2000,MATCH(I344,'Both teabags AfterWet'!$A$3:$A$2000,0)),"")</f>
        <v>1.5909</v>
      </c>
      <c r="U344" s="194">
        <f t="shared" si="61"/>
        <v>0.72429999999999994</v>
      </c>
      <c r="V344" s="194">
        <f t="shared" si="62"/>
        <v>1.4402999999999999</v>
      </c>
      <c r="W344" s="194">
        <f>IFERROR(INDEX('Ashed teabags wet'!$K$2:$K$2000,MATCH(H344,'Ashed teabags wet'!$A$2:$A$2000,0)),"")</f>
        <v>16.486751717369803</v>
      </c>
      <c r="X344" s="233">
        <f>IFERROR(INDEX('Ashed teabags wet'!$K$2:$K$2000,MATCH(I344,'Ashed teabags wet'!$A$2:$A$2000,0)),"")</f>
        <v>10.705352676338336</v>
      </c>
      <c r="Y344" s="194">
        <f t="shared" si="67"/>
        <v>0.60488645731109048</v>
      </c>
      <c r="Z344" s="194">
        <f t="shared" si="67"/>
        <v>1.2861108054026988</v>
      </c>
      <c r="AA344" s="194">
        <f t="shared" si="63"/>
        <v>0.64437755832995791</v>
      </c>
      <c r="AB344" s="194">
        <f t="shared" si="64"/>
        <v>0.42244229477213396</v>
      </c>
      <c r="AC344" s="194">
        <f t="shared" si="56"/>
        <v>0.6728047868638285</v>
      </c>
      <c r="AD344">
        <f t="shared" si="57"/>
        <v>54</v>
      </c>
      <c r="AE344" s="194">
        <f t="shared" si="65"/>
        <v>0.23470598773164142</v>
      </c>
      <c r="AF344" s="194">
        <f t="shared" si="66"/>
        <v>2.7584786713025583E-2</v>
      </c>
      <c r="AG344" s="245" t="str">
        <f>IF(ISNUMBER(SEARCH("C",'WetLitterbags placem_collection'!$Y51)),"YES","NO")</f>
        <v>NO</v>
      </c>
      <c r="AH344" s="245" t="str">
        <f>IF(ISNUMBER(SEARCH("H", 'WetLitterbags placem_collection'!$Y51)),"YES","NO")</f>
        <v>NO</v>
      </c>
      <c r="AI344" s="245" t="str">
        <f>IF(ISNUMBER(SEARCH("R", 'WetLitterbags placem_collection'!$Y51)),"YES","NO")</f>
        <v>YES</v>
      </c>
      <c r="AJ344" s="245" t="str">
        <f>IF(ISNUMBER(SEARCH("C", 'WetLitterbags placem_collection'!$W51)),"YES","NO")</f>
        <v>NO</v>
      </c>
      <c r="AK344" s="245" t="str">
        <f>IF(ISNUMBER(SEARCH("H", 'WetLitterbags placem_collection'!$W51)),"YES","NO")</f>
        <v>YES</v>
      </c>
      <c r="AL344" s="245" t="str">
        <f>IF(ISNUMBER(SEARCH("R", 'WetLitterbags placem_collection'!$W51)),"YES","NO")</f>
        <v>YES</v>
      </c>
    </row>
    <row r="345" spans="2:38">
      <c r="B345" t="str">
        <f>Wetseason!B491</f>
        <v>Wet</v>
      </c>
      <c r="C345" s="253">
        <f>Wetseason!C491</f>
        <v>50</v>
      </c>
      <c r="D345" t="s">
        <v>3109</v>
      </c>
      <c r="E345" t="s">
        <v>25</v>
      </c>
      <c r="F345" s="374">
        <v>2</v>
      </c>
      <c r="G345" s="16">
        <f>'WetLitterbags placem_collection'!E52</f>
        <v>42766</v>
      </c>
      <c r="H345" s="92" t="str">
        <f>Wetseason!L491</f>
        <v>G559</v>
      </c>
      <c r="I345" t="str">
        <f>Wetseason!L711</f>
        <v>R98</v>
      </c>
      <c r="J345">
        <f>IFERROR(INDEX('Green_rooibos initial weight'!$C$5:$C$2000,MATCH(H345, 'Green_rooibos initial weight'!$A$5:$A$2000,0)),"")</f>
        <v>2.085</v>
      </c>
      <c r="K345">
        <f>IFERROR(INDEX('Green_rooibos initial weight'!$C$5:$C$2000,MATCH(I345, 'Green_rooibos initial weight'!$A$5:$A$2000,0)),"")</f>
        <v>2.1960000000000002</v>
      </c>
      <c r="L345" s="194">
        <f t="shared" si="58"/>
        <v>1.8351999999999999</v>
      </c>
      <c r="M345" s="194">
        <f>AVERAGE(Ashed_controlls!$K$2:$K$11)</f>
        <v>5.5147656768714146</v>
      </c>
      <c r="N345" s="194">
        <f t="shared" si="55"/>
        <v>1.7339930202980558</v>
      </c>
      <c r="O345" s="194">
        <f t="shared" si="59"/>
        <v>1.9462000000000002</v>
      </c>
      <c r="P345" s="194">
        <f>AVERAGE(Ashed_controlls!$K$12:$K$14)</f>
        <v>2.2816647271287041</v>
      </c>
      <c r="Q345" s="194">
        <f t="shared" si="60"/>
        <v>1.9017942410806212</v>
      </c>
      <c r="R345" s="16">
        <f>IF('WetLitterbags placem_collection'!G52="","",'WetLitterbags placem_collection'!G52)</f>
        <v>42820</v>
      </c>
      <c r="S345" s="194" t="str">
        <f>IFERROR(INDEX('Both teabags AfterWet'!$C$3:$C$2000,MATCH(H345,'Both teabags AfterWet'!$A$3:$A$2000,0)),"")</f>
        <v/>
      </c>
      <c r="T345" s="194" t="str">
        <f>IFERROR(INDEX('Both teabags AfterWet'!$C$3:$C$2000,MATCH(I345,'Both teabags AfterWet'!$A$3:$A$2000,0)),"")</f>
        <v/>
      </c>
      <c r="U345" s="194" t="str">
        <f t="shared" si="61"/>
        <v/>
      </c>
      <c r="V345" s="194" t="str">
        <f t="shared" si="62"/>
        <v/>
      </c>
      <c r="W345" s="194" t="str">
        <f>IFERROR(INDEX('Ashed teabags wet'!$K$2:$K$2000,MATCH(H345,'Ashed teabags wet'!$A$2:$A$2000,0)),"")</f>
        <v/>
      </c>
      <c r="X345" s="233" t="str">
        <f>IFERROR(INDEX('Ashed teabags wet'!$K$2:$K$2000,MATCH(I345,'Ashed teabags wet'!$A$2:$A$2000,0)),"")</f>
        <v/>
      </c>
      <c r="Y345" s="194" t="str">
        <f t="shared" si="67"/>
        <v/>
      </c>
      <c r="Z345" s="194" t="str">
        <f t="shared" si="67"/>
        <v/>
      </c>
      <c r="AA345" s="194" t="str">
        <f t="shared" si="63"/>
        <v/>
      </c>
      <c r="AB345" s="194" t="str">
        <f t="shared" si="64"/>
        <v/>
      </c>
      <c r="AC345" s="194" t="str">
        <f t="shared" si="56"/>
        <v/>
      </c>
      <c r="AD345">
        <f t="shared" si="57"/>
        <v>54</v>
      </c>
      <c r="AE345" s="194" t="str">
        <f t="shared" si="65"/>
        <v/>
      </c>
      <c r="AF345" s="194" t="str">
        <f t="shared" si="66"/>
        <v/>
      </c>
      <c r="AG345" s="245" t="str">
        <f>IF(ISNUMBER(SEARCH("C",'WetLitterbags placem_collection'!$Y52)),"YES","NO")</f>
        <v>NO</v>
      </c>
      <c r="AH345" s="245" t="str">
        <f>IF(ISNUMBER(SEARCH("H", 'WetLitterbags placem_collection'!$Y52)),"YES","NO")</f>
        <v>NO</v>
      </c>
      <c r="AI345" s="245" t="str">
        <f>IF(ISNUMBER(SEARCH("R", 'WetLitterbags placem_collection'!$Y52)),"YES","NO")</f>
        <v>NO</v>
      </c>
      <c r="AJ345" s="245" t="str">
        <f>IF(ISNUMBER(SEARCH("C", 'WetLitterbags placem_collection'!$W52)),"YES","NO")</f>
        <v>NO</v>
      </c>
      <c r="AK345" s="245" t="str">
        <f>IF(ISNUMBER(SEARCH("H", 'WetLitterbags placem_collection'!$W52)),"YES","NO")</f>
        <v>NO</v>
      </c>
      <c r="AL345" s="245" t="str">
        <f>IF(ISNUMBER(SEARCH("R", 'WetLitterbags placem_collection'!$W52)),"YES","NO")</f>
        <v>NO</v>
      </c>
    </row>
    <row r="346" spans="2:38">
      <c r="B346" t="str">
        <f>Wetseason!B492</f>
        <v>Wet</v>
      </c>
      <c r="C346" s="253">
        <f>Wetseason!C492</f>
        <v>51</v>
      </c>
      <c r="D346" t="s">
        <v>3109</v>
      </c>
      <c r="E346" t="s">
        <v>25</v>
      </c>
      <c r="F346" s="374">
        <v>3</v>
      </c>
      <c r="G346" s="16">
        <f>'WetLitterbags placem_collection'!E53</f>
        <v>42766</v>
      </c>
      <c r="H346" s="92" t="str">
        <f>Wetseason!L492</f>
        <v>G856</v>
      </c>
      <c r="I346" t="str">
        <f>Wetseason!L712</f>
        <v>R29</v>
      </c>
      <c r="J346">
        <f>IFERROR(INDEX('Green_rooibos initial weight'!$C$5:$C$2000,MATCH(H346, 'Green_rooibos initial weight'!$A$5:$A$2000,0)),"")</f>
        <v>1.9370000000000001</v>
      </c>
      <c r="K346">
        <f>IFERROR(INDEX('Green_rooibos initial weight'!$C$5:$C$2000,MATCH(I346, 'Green_rooibos initial weight'!$A$5:$A$2000,0)),"")</f>
        <v>2.2400000000000002</v>
      </c>
      <c r="L346" s="194">
        <f t="shared" si="58"/>
        <v>1.6872</v>
      </c>
      <c r="M346" s="194">
        <f>AVERAGE(Ashed_controlls!$K$2:$K$11)</f>
        <v>5.5147656768714146</v>
      </c>
      <c r="N346" s="194">
        <f t="shared" si="55"/>
        <v>1.5941548734998254</v>
      </c>
      <c r="O346" s="194">
        <f t="shared" si="59"/>
        <v>1.9902000000000002</v>
      </c>
      <c r="P346" s="194">
        <f>AVERAGE(Ashed_controlls!$K$12:$K$14)</f>
        <v>2.2816647271287041</v>
      </c>
      <c r="Q346" s="194">
        <f t="shared" si="60"/>
        <v>1.9447903086006848</v>
      </c>
      <c r="R346" s="16">
        <f>IF('WetLitterbags placem_collection'!G53="","",'WetLitterbags placem_collection'!G53)</f>
        <v>42820</v>
      </c>
      <c r="S346" s="194">
        <f>IFERROR(INDEX('Both teabags AfterWet'!$C$3:$C$2000,MATCH(H346,'Both teabags AfterWet'!$A$3:$A$2000,0)),"")</f>
        <v>0.77600000000000002</v>
      </c>
      <c r="T346" s="194">
        <f>IFERROR(INDEX('Both teabags AfterWet'!$C$3:$C$2000,MATCH(I346,'Both teabags AfterWet'!$A$3:$A$2000,0)),"")</f>
        <v>1.4950000000000001</v>
      </c>
      <c r="U346" s="194">
        <f t="shared" si="61"/>
        <v>0.62539999999999996</v>
      </c>
      <c r="V346" s="194">
        <f t="shared" si="62"/>
        <v>1.3444</v>
      </c>
      <c r="W346" s="194">
        <f>IFERROR(INDEX('Ashed teabags wet'!$K$2:$K$2000,MATCH(H346,'Ashed teabags wet'!$A$2:$A$2000,0)),"")</f>
        <v>9.5957135898680637</v>
      </c>
      <c r="X346" s="233">
        <f>IFERROR(INDEX('Ashed teabags wet'!$K$2:$K$2000,MATCH(I346,'Ashed teabags wet'!$A$2:$A$2000,0)),"")</f>
        <v>3.8327526132399545</v>
      </c>
      <c r="Y346" s="194">
        <f t="shared" si="67"/>
        <v>0.5653884072089651</v>
      </c>
      <c r="Z346" s="194">
        <f t="shared" si="67"/>
        <v>1.2928724738676021</v>
      </c>
      <c r="AA346" s="194">
        <f t="shared" si="63"/>
        <v>0.64533658767563462</v>
      </c>
      <c r="AB346" s="194">
        <f t="shared" si="64"/>
        <v>0.42307101709851586</v>
      </c>
      <c r="AC346" s="194">
        <f t="shared" si="56"/>
        <v>0.66478759594284975</v>
      </c>
      <c r="AD346">
        <f t="shared" si="57"/>
        <v>54</v>
      </c>
      <c r="AE346" s="194">
        <f t="shared" si="65"/>
        <v>0.23356699800993508</v>
      </c>
      <c r="AF346" s="194">
        <f t="shared" si="66"/>
        <v>2.9107614845572321E-2</v>
      </c>
      <c r="AG346" s="245" t="str">
        <f>IF(ISNUMBER(SEARCH("C",'WetLitterbags placem_collection'!$Y53)),"YES","NO")</f>
        <v>NO</v>
      </c>
      <c r="AH346" s="245" t="str">
        <f>IF(ISNUMBER(SEARCH("H", 'WetLitterbags placem_collection'!$Y53)),"YES","NO")</f>
        <v>NO</v>
      </c>
      <c r="AI346" s="245" t="str">
        <f>IF(ISNUMBER(SEARCH("R", 'WetLitterbags placem_collection'!$Y53)),"YES","NO")</f>
        <v>YES</v>
      </c>
      <c r="AJ346" s="245" t="str">
        <f>IF(ISNUMBER(SEARCH("C", 'WetLitterbags placem_collection'!$W53)),"YES","NO")</f>
        <v>NO</v>
      </c>
      <c r="AK346" s="245" t="str">
        <f>IF(ISNUMBER(SEARCH("H", 'WetLitterbags placem_collection'!$W53)),"YES","NO")</f>
        <v>NO</v>
      </c>
      <c r="AL346" s="245" t="str">
        <f>IF(ISNUMBER(SEARCH("R", 'WetLitterbags placem_collection'!$W53)),"YES","NO")</f>
        <v>YES</v>
      </c>
    </row>
    <row r="347" spans="2:38">
      <c r="B347" t="str">
        <f>Wetseason!B493</f>
        <v>Wet</v>
      </c>
      <c r="C347" s="253">
        <f>Wetseason!C493</f>
        <v>52</v>
      </c>
      <c r="D347" t="s">
        <v>3109</v>
      </c>
      <c r="E347" t="s">
        <v>25</v>
      </c>
      <c r="F347" s="375">
        <v>4</v>
      </c>
      <c r="G347" s="16">
        <f>'WetLitterbags placem_collection'!E54</f>
        <v>42766</v>
      </c>
      <c r="H347" s="92" t="str">
        <f>Wetseason!L493</f>
        <v>G599</v>
      </c>
      <c r="I347" t="str">
        <f>Wetseason!L713</f>
        <v>R312</v>
      </c>
      <c r="J347">
        <f>IFERROR(INDEX('Green_rooibos initial weight'!$C$5:$C$2000,MATCH(H347, 'Green_rooibos initial weight'!$A$5:$A$2000,0)),"")</f>
        <v>2.0760000000000001</v>
      </c>
      <c r="K347">
        <f>IFERROR(INDEX('Green_rooibos initial weight'!$C$5:$C$2000,MATCH(I347, 'Green_rooibos initial weight'!$A$5:$A$2000,0)),"")</f>
        <v>2.2360000000000002</v>
      </c>
      <c r="L347" s="194">
        <f t="shared" si="58"/>
        <v>1.8262</v>
      </c>
      <c r="M347" s="194">
        <f>AVERAGE(Ashed_controlls!$K$2:$K$11)</f>
        <v>5.5147656768714146</v>
      </c>
      <c r="N347" s="194">
        <f t="shared" si="55"/>
        <v>1.7254893492089742</v>
      </c>
      <c r="O347" s="194">
        <f t="shared" si="59"/>
        <v>1.9862000000000002</v>
      </c>
      <c r="P347" s="194">
        <f>AVERAGE(Ashed_controlls!$K$12:$K$14)</f>
        <v>2.2816647271287041</v>
      </c>
      <c r="Q347" s="194">
        <f t="shared" si="60"/>
        <v>1.9408815751897699</v>
      </c>
      <c r="R347" s="16">
        <f>IF('WetLitterbags placem_collection'!G54="","",'WetLitterbags placem_collection'!G54)</f>
        <v>42820</v>
      </c>
      <c r="S347" s="194">
        <f>IFERROR(INDEX('Both teabags AfterWet'!$C$3:$C$2000,MATCH(H347,'Both teabags AfterWet'!$A$3:$A$2000,0)),"")</f>
        <v>0.88200000000000001</v>
      </c>
      <c r="T347" s="194">
        <f>IFERROR(INDEX('Both teabags AfterWet'!$C$3:$C$2000,MATCH(I347,'Both teabags AfterWet'!$A$3:$A$2000,0)),"")</f>
        <v>1.546</v>
      </c>
      <c r="U347" s="194">
        <f t="shared" si="61"/>
        <v>0.73140000000000005</v>
      </c>
      <c r="V347" s="194">
        <f t="shared" si="62"/>
        <v>1.3954</v>
      </c>
      <c r="W347" s="194">
        <f>IFERROR(INDEX('Ashed teabags wet'!$K$2:$K$2000,MATCH(H347,'Ashed teabags wet'!$A$2:$A$2000,0)),"")</f>
        <v>14.285714285714219</v>
      </c>
      <c r="X347" s="233">
        <f>IFERROR(INDEX('Ashed teabags wet'!$K$2:$K$2000,MATCH(I347,'Ashed teabags wet'!$A$2:$A$2000,0)),"")</f>
        <v>9.8235574630425244</v>
      </c>
      <c r="Y347" s="194">
        <f t="shared" si="67"/>
        <v>0.6269142857142862</v>
      </c>
      <c r="Z347" s="194">
        <f t="shared" si="67"/>
        <v>1.2583220791607046</v>
      </c>
      <c r="AA347" s="194">
        <f t="shared" si="63"/>
        <v>0.63667449700475631</v>
      </c>
      <c r="AB347" s="194">
        <f t="shared" si="64"/>
        <v>0.41739230682497092</v>
      </c>
      <c r="AC347" s="194">
        <f t="shared" si="56"/>
        <v>0.64832501644912155</v>
      </c>
      <c r="AD347">
        <f t="shared" si="57"/>
        <v>54</v>
      </c>
      <c r="AE347" s="194">
        <f t="shared" si="65"/>
        <v>0.24385451662142954</v>
      </c>
      <c r="AF347" s="194">
        <f t="shared" si="66"/>
        <v>3.4234518522154062E-2</v>
      </c>
      <c r="AG347" s="245" t="str">
        <f>IF(ISNUMBER(SEARCH("C",'WetLitterbags placem_collection'!$Y54)),"YES","NO")</f>
        <v>NO</v>
      </c>
      <c r="AH347" s="245" t="str">
        <f>IF(ISNUMBER(SEARCH("H", 'WetLitterbags placem_collection'!$Y54)),"YES","NO")</f>
        <v>NO</v>
      </c>
      <c r="AI347" s="245" t="str">
        <f>IF(ISNUMBER(SEARCH("R", 'WetLitterbags placem_collection'!$Y54)),"YES","NO")</f>
        <v>YES</v>
      </c>
      <c r="AJ347" s="245" t="str">
        <f>IF(ISNUMBER(SEARCH("C", 'WetLitterbags placem_collection'!$W54)),"YES","NO")</f>
        <v>NO</v>
      </c>
      <c r="AK347" s="245" t="str">
        <f>IF(ISNUMBER(SEARCH("H", 'WetLitterbags placem_collection'!$W54)),"YES","NO")</f>
        <v>YES</v>
      </c>
      <c r="AL347" s="245" t="str">
        <f>IF(ISNUMBER(SEARCH("R", 'WetLitterbags placem_collection'!$W54)),"YES","NO")</f>
        <v>NO</v>
      </c>
    </row>
    <row r="348" spans="2:38">
      <c r="B348" t="str">
        <f>Wetseason!B494</f>
        <v>Wet</v>
      </c>
      <c r="C348" s="253">
        <f>Wetseason!C494</f>
        <v>53</v>
      </c>
      <c r="D348" t="s">
        <v>3109</v>
      </c>
      <c r="E348" t="s">
        <v>25</v>
      </c>
      <c r="F348" s="375">
        <v>5</v>
      </c>
      <c r="G348" s="16">
        <f>'WetLitterbags placem_collection'!E55</f>
        <v>42766</v>
      </c>
      <c r="H348" s="92" t="str">
        <f>Wetseason!L494</f>
        <v>G683</v>
      </c>
      <c r="I348" t="str">
        <f>Wetseason!L714</f>
        <v>R113</v>
      </c>
      <c r="J348">
        <f>IFERROR(INDEX('Green_rooibos initial weight'!$C$5:$C$2000,MATCH(H348, 'Green_rooibos initial weight'!$A$5:$A$2000,0)),"")</f>
        <v>2.1179999999999999</v>
      </c>
      <c r="K348">
        <f>IFERROR(INDEX('Green_rooibos initial weight'!$C$5:$C$2000,MATCH(I348, 'Green_rooibos initial weight'!$A$5:$A$2000,0)),"")</f>
        <v>2.202</v>
      </c>
      <c r="L348" s="194">
        <f t="shared" si="58"/>
        <v>1.8681999999999999</v>
      </c>
      <c r="M348" s="194">
        <f>AVERAGE(Ashed_controlls!$K$2:$K$11)</f>
        <v>5.5147656768714146</v>
      </c>
      <c r="N348" s="194">
        <f t="shared" si="55"/>
        <v>1.7651731476246881</v>
      </c>
      <c r="O348" s="194">
        <f t="shared" si="59"/>
        <v>1.9521999999999999</v>
      </c>
      <c r="P348" s="194">
        <f>AVERAGE(Ashed_controlls!$K$12:$K$14)</f>
        <v>2.2816647271287041</v>
      </c>
      <c r="Q348" s="194">
        <f t="shared" si="60"/>
        <v>1.9076573411969935</v>
      </c>
      <c r="R348" s="16">
        <f>IF('WetLitterbags placem_collection'!G55="","",'WetLitterbags placem_collection'!G55)</f>
        <v>42820</v>
      </c>
      <c r="S348" s="194" t="str">
        <f>IFERROR(INDEX('Both teabags AfterWet'!$C$3:$C$2000,MATCH(H348,'Both teabags AfterWet'!$A$3:$A$2000,0)),"")</f>
        <v/>
      </c>
      <c r="T348" s="194" t="str">
        <f>IFERROR(INDEX('Both teabags AfterWet'!$C$3:$C$2000,MATCH(I348,'Both teabags AfterWet'!$A$3:$A$2000,0)),"")</f>
        <v/>
      </c>
      <c r="U348" s="194" t="str">
        <f t="shared" si="61"/>
        <v/>
      </c>
      <c r="V348" s="194" t="str">
        <f t="shared" si="62"/>
        <v/>
      </c>
      <c r="W348" s="194" t="str">
        <f>IFERROR(INDEX('Ashed teabags wet'!$K$2:$K$2000,MATCH(H348,'Ashed teabags wet'!$A$2:$A$2000,0)),"")</f>
        <v/>
      </c>
      <c r="X348" s="233" t="str">
        <f>IFERROR(INDEX('Ashed teabags wet'!$K$2:$K$2000,MATCH(I348,'Ashed teabags wet'!$A$2:$A$2000,0)),"")</f>
        <v/>
      </c>
      <c r="Y348" s="194" t="str">
        <f t="shared" si="67"/>
        <v/>
      </c>
      <c r="Z348" s="194" t="str">
        <f t="shared" si="67"/>
        <v/>
      </c>
      <c r="AA348" s="194" t="str">
        <f t="shared" si="63"/>
        <v/>
      </c>
      <c r="AB348" s="194" t="str">
        <f t="shared" si="64"/>
        <v/>
      </c>
      <c r="AC348" s="194" t="str">
        <f t="shared" si="56"/>
        <v/>
      </c>
      <c r="AD348">
        <f t="shared" si="57"/>
        <v>54</v>
      </c>
      <c r="AE348" s="194" t="str">
        <f t="shared" si="65"/>
        <v/>
      </c>
      <c r="AF348" s="194" t="str">
        <f t="shared" si="66"/>
        <v/>
      </c>
      <c r="AG348" s="245" t="str">
        <f>IF(ISNUMBER(SEARCH("C",'WetLitterbags placem_collection'!$Y55)),"YES","NO")</f>
        <v>NO</v>
      </c>
      <c r="AH348" s="245" t="str">
        <f>IF(ISNUMBER(SEARCH("H", 'WetLitterbags placem_collection'!$Y55)),"YES","NO")</f>
        <v>NO</v>
      </c>
      <c r="AI348" s="245" t="str">
        <f>IF(ISNUMBER(SEARCH("R", 'WetLitterbags placem_collection'!$Y55)),"YES","NO")</f>
        <v>NO</v>
      </c>
      <c r="AJ348" s="245" t="str">
        <f>IF(ISNUMBER(SEARCH("C", 'WetLitterbags placem_collection'!$W55)),"YES","NO")</f>
        <v>NO</v>
      </c>
      <c r="AK348" s="245" t="str">
        <f>IF(ISNUMBER(SEARCH("H", 'WetLitterbags placem_collection'!$W55)),"YES","NO")</f>
        <v>NO</v>
      </c>
      <c r="AL348" s="245" t="str">
        <f>IF(ISNUMBER(SEARCH("R", 'WetLitterbags placem_collection'!$W55)),"YES","NO")</f>
        <v>NO</v>
      </c>
    </row>
    <row r="349" spans="2:38">
      <c r="B349" t="str">
        <f>Wetseason!B495</f>
        <v>Wet</v>
      </c>
      <c r="C349" s="253">
        <f>Wetseason!C495</f>
        <v>54</v>
      </c>
      <c r="D349" t="s">
        <v>3109</v>
      </c>
      <c r="E349" t="s">
        <v>25</v>
      </c>
      <c r="F349" s="375">
        <v>6</v>
      </c>
      <c r="G349" s="16">
        <f>'WetLitterbags placem_collection'!E56</f>
        <v>42766</v>
      </c>
      <c r="H349" s="92" t="str">
        <f>Wetseason!L495</f>
        <v>G288</v>
      </c>
      <c r="I349" t="str">
        <f>Wetseason!L715</f>
        <v>R441</v>
      </c>
      <c r="J349">
        <f>IFERROR(INDEX('Green_rooibos initial weight'!$C$5:$C$2000,MATCH(H349, 'Green_rooibos initial weight'!$A$5:$A$2000,0)),"")</f>
        <v>1.9830000000000001</v>
      </c>
      <c r="K349">
        <f>IFERROR(INDEX('Green_rooibos initial weight'!$C$5:$C$2000,MATCH(I349, 'Green_rooibos initial weight'!$A$5:$A$2000,0)),"")</f>
        <v>2.1280000000000001</v>
      </c>
      <c r="L349" s="194">
        <f t="shared" si="58"/>
        <v>1.7332000000000001</v>
      </c>
      <c r="M349" s="194">
        <f>AVERAGE(Ashed_controlls!$K$2:$K$11)</f>
        <v>5.5147656768714146</v>
      </c>
      <c r="N349" s="194">
        <f t="shared" si="55"/>
        <v>1.6376180812884646</v>
      </c>
      <c r="O349" s="194">
        <f t="shared" si="59"/>
        <v>1.8782000000000001</v>
      </c>
      <c r="P349" s="194">
        <f>AVERAGE(Ashed_controlls!$K$12:$K$14)</f>
        <v>2.2816647271287041</v>
      </c>
      <c r="Q349" s="194">
        <f t="shared" si="60"/>
        <v>1.8353457730950689</v>
      </c>
      <c r="R349" s="16">
        <f>IF('WetLitterbags placem_collection'!G56="","",'WetLitterbags placem_collection'!G56)</f>
        <v>42820</v>
      </c>
      <c r="S349" s="194" t="str">
        <f>IFERROR(INDEX('Both teabags AfterWet'!$C$3:$C$2000,MATCH(H349,'Both teabags AfterWet'!$A$3:$A$2000,0)),"")</f>
        <v/>
      </c>
      <c r="T349" s="194" t="str">
        <f>IFERROR(INDEX('Both teabags AfterWet'!$C$3:$C$2000,MATCH(I349,'Both teabags AfterWet'!$A$3:$A$2000,0)),"")</f>
        <v/>
      </c>
      <c r="U349" s="194" t="str">
        <f t="shared" si="61"/>
        <v/>
      </c>
      <c r="V349" s="194" t="str">
        <f t="shared" si="62"/>
        <v/>
      </c>
      <c r="W349" s="194" t="str">
        <f>IFERROR(INDEX('Ashed teabags wet'!$K$2:$K$2000,MATCH(H349,'Ashed teabags wet'!$A$2:$A$2000,0)),"")</f>
        <v/>
      </c>
      <c r="X349" s="233" t="str">
        <f>IFERROR(INDEX('Ashed teabags wet'!$K$2:$K$2000,MATCH(I349,'Ashed teabags wet'!$A$2:$A$2000,0)),"")</f>
        <v/>
      </c>
      <c r="Y349" s="194" t="str">
        <f t="shared" si="67"/>
        <v/>
      </c>
      <c r="Z349" s="194" t="str">
        <f t="shared" si="67"/>
        <v/>
      </c>
      <c r="AA349" s="194" t="str">
        <f t="shared" si="63"/>
        <v/>
      </c>
      <c r="AB349" s="194" t="str">
        <f t="shared" si="64"/>
        <v/>
      </c>
      <c r="AC349" s="194" t="str">
        <f t="shared" si="56"/>
        <v/>
      </c>
      <c r="AD349">
        <f t="shared" si="57"/>
        <v>54</v>
      </c>
      <c r="AE349" s="194" t="str">
        <f t="shared" si="65"/>
        <v/>
      </c>
      <c r="AF349" s="194" t="str">
        <f t="shared" si="66"/>
        <v/>
      </c>
      <c r="AG349" s="245" t="str">
        <f>IF(ISNUMBER(SEARCH("C",'WetLitterbags placem_collection'!$Y56)),"YES","NO")</f>
        <v>NO</v>
      </c>
      <c r="AH349" s="245" t="str">
        <f>IF(ISNUMBER(SEARCH("H", 'WetLitterbags placem_collection'!$Y56)),"YES","NO")</f>
        <v>NO</v>
      </c>
      <c r="AI349" s="245" t="str">
        <f>IF(ISNUMBER(SEARCH("R", 'WetLitterbags placem_collection'!$Y56)),"YES","NO")</f>
        <v>NO</v>
      </c>
      <c r="AJ349" s="245" t="str">
        <f>IF(ISNUMBER(SEARCH("C", 'WetLitterbags placem_collection'!$W56)),"YES","NO")</f>
        <v>NO</v>
      </c>
      <c r="AK349" s="245" t="str">
        <f>IF(ISNUMBER(SEARCH("H", 'WetLitterbags placem_collection'!$W56)),"YES","NO")</f>
        <v>NO</v>
      </c>
      <c r="AL349" s="245" t="str">
        <f>IF(ISNUMBER(SEARCH("R", 'WetLitterbags placem_collection'!$W56)),"YES","NO")</f>
        <v>NO</v>
      </c>
    </row>
    <row r="350" spans="2:38">
      <c r="B350" t="str">
        <f>Wetseason!B496</f>
        <v>Wet</v>
      </c>
      <c r="C350" s="253">
        <f>Wetseason!C496</f>
        <v>55</v>
      </c>
      <c r="D350" t="s">
        <v>3109</v>
      </c>
      <c r="E350" t="s">
        <v>25</v>
      </c>
      <c r="F350" s="375">
        <v>7</v>
      </c>
      <c r="G350" s="16">
        <f>'WetLitterbags placem_collection'!E57</f>
        <v>42766</v>
      </c>
      <c r="H350" s="92" t="str">
        <f>Wetseason!L496</f>
        <v>G616</v>
      </c>
      <c r="I350" t="str">
        <f>Wetseason!L716</f>
        <v>R53</v>
      </c>
      <c r="J350">
        <f>IFERROR(INDEX('Green_rooibos initial weight'!$C$5:$C$2000,MATCH(H350, 'Green_rooibos initial weight'!$A$5:$A$2000,0)),"")</f>
        <v>1.978</v>
      </c>
      <c r="K350">
        <f>IFERROR(INDEX('Green_rooibos initial weight'!$C$5:$C$2000,MATCH(I350, 'Green_rooibos initial weight'!$A$5:$A$2000,0)),"")</f>
        <v>2.2829999999999999</v>
      </c>
      <c r="L350" s="194">
        <f t="shared" si="58"/>
        <v>1.7282</v>
      </c>
      <c r="M350" s="194">
        <f>AVERAGE(Ashed_controlls!$K$2:$K$11)</f>
        <v>5.5147656768714146</v>
      </c>
      <c r="N350" s="194">
        <f t="shared" si="55"/>
        <v>1.6328938195723082</v>
      </c>
      <c r="O350" s="194">
        <f t="shared" si="59"/>
        <v>2.0331999999999999</v>
      </c>
      <c r="P350" s="194">
        <f>AVERAGE(Ashed_controlls!$K$12:$K$14)</f>
        <v>2.2816647271287041</v>
      </c>
      <c r="Q350" s="194">
        <f t="shared" si="60"/>
        <v>1.9868091927680191</v>
      </c>
      <c r="R350" s="16">
        <f>IF('WetLitterbags placem_collection'!G57="","",'WetLitterbags placem_collection'!G57)</f>
        <v>42820</v>
      </c>
      <c r="S350" s="194">
        <f>IFERROR(INDEX('Both teabags AfterWet'!$C$3:$C$2000,MATCH(H350,'Both teabags AfterWet'!$A$3:$A$2000,0)),"")</f>
        <v>0.93200000000000005</v>
      </c>
      <c r="T350" s="194">
        <f>IFERROR(INDEX('Both teabags AfterWet'!$C$3:$C$2000,MATCH(I350,'Both teabags AfterWet'!$A$3:$A$2000,0)),"")</f>
        <v>1.5207999999999999</v>
      </c>
      <c r="U350" s="194">
        <f t="shared" si="61"/>
        <v>0.78140000000000009</v>
      </c>
      <c r="V350" s="194">
        <f t="shared" si="62"/>
        <v>1.3701999999999999</v>
      </c>
      <c r="W350" s="194">
        <f>IFERROR(INDEX('Ashed teabags wet'!$K$2:$K$2000,MATCH(H350,'Ashed teabags wet'!$A$2:$A$2000,0)),"")</f>
        <v>25.927734375000028</v>
      </c>
      <c r="X350" s="233">
        <f>IFERROR(INDEX('Ashed teabags wet'!$K$2:$K$2000,MATCH(I350,'Ashed teabags wet'!$A$2:$A$2000,0)),"")</f>
        <v>10.692124105011484</v>
      </c>
      <c r="Y350" s="194">
        <f t="shared" si="67"/>
        <v>0.57880068359374981</v>
      </c>
      <c r="Z350" s="194">
        <f t="shared" si="67"/>
        <v>1.2236965155131325</v>
      </c>
      <c r="AA350" s="194">
        <f t="shared" si="63"/>
        <v>0.64553685202547295</v>
      </c>
      <c r="AB350" s="194">
        <f t="shared" si="64"/>
        <v>0.42320230679104648</v>
      </c>
      <c r="AC350" s="194">
        <f t="shared" si="56"/>
        <v>0.61591043567111781</v>
      </c>
      <c r="AD350">
        <f t="shared" si="57"/>
        <v>54</v>
      </c>
      <c r="AE350" s="194">
        <f t="shared" si="65"/>
        <v>0.23332915436404633</v>
      </c>
      <c r="AF350" s="194">
        <f t="shared" si="66"/>
        <v>4.4100037468266517E-2</v>
      </c>
      <c r="AG350" s="245" t="str">
        <f>IF(ISNUMBER(SEARCH("C",'WetLitterbags placem_collection'!$Y57)),"YES","NO")</f>
        <v>NO</v>
      </c>
      <c r="AH350" s="245" t="str">
        <f>IF(ISNUMBER(SEARCH("H", 'WetLitterbags placem_collection'!$Y57)),"YES","NO")</f>
        <v>NO</v>
      </c>
      <c r="AI350" s="245" t="str">
        <f>IF(ISNUMBER(SEARCH("R", 'WetLitterbags placem_collection'!$Y57)),"YES","NO")</f>
        <v>NO</v>
      </c>
      <c r="AJ350" s="245" t="str">
        <f>IF(ISNUMBER(SEARCH("C", 'WetLitterbags placem_collection'!$W57)),"YES","NO")</f>
        <v>NO</v>
      </c>
      <c r="AK350" s="245" t="str">
        <f>IF(ISNUMBER(SEARCH("H", 'WetLitterbags placem_collection'!$W57)),"YES","NO")</f>
        <v>YES</v>
      </c>
      <c r="AL350" s="245" t="str">
        <f>IF(ISNUMBER(SEARCH("R", 'WetLitterbags placem_collection'!$W57)),"YES","NO")</f>
        <v>NO</v>
      </c>
    </row>
    <row r="351" spans="2:38">
      <c r="B351" t="str">
        <f>Wetseason!B497</f>
        <v>Wet</v>
      </c>
      <c r="C351" s="253">
        <f>Wetseason!C497</f>
        <v>56</v>
      </c>
      <c r="D351" t="s">
        <v>3109</v>
      </c>
      <c r="E351" t="s">
        <v>25</v>
      </c>
      <c r="F351" s="375">
        <v>8</v>
      </c>
      <c r="G351" s="16">
        <f>'WetLitterbags placem_collection'!E58</f>
        <v>42766</v>
      </c>
      <c r="H351" s="92" t="str">
        <f>Wetseason!L497</f>
        <v>G557</v>
      </c>
      <c r="I351" t="str">
        <f>Wetseason!L717</f>
        <v>R58</v>
      </c>
      <c r="J351">
        <f>IFERROR(INDEX('Green_rooibos initial weight'!$C$5:$C$2000,MATCH(H351, 'Green_rooibos initial weight'!$A$5:$A$2000,0)),"")</f>
        <v>2.12</v>
      </c>
      <c r="K351">
        <f>IFERROR(INDEX('Green_rooibos initial weight'!$C$5:$C$2000,MATCH(I351, 'Green_rooibos initial weight'!$A$5:$A$2000,0)),"")</f>
        <v>2.1760000000000002</v>
      </c>
      <c r="L351" s="194">
        <f t="shared" si="58"/>
        <v>1.8702000000000001</v>
      </c>
      <c r="M351" s="194">
        <f>AVERAGE(Ashed_controlls!$K$2:$K$11)</f>
        <v>5.5147656768714146</v>
      </c>
      <c r="N351" s="194">
        <f t="shared" si="55"/>
        <v>1.7670628523111509</v>
      </c>
      <c r="O351" s="194">
        <f t="shared" si="59"/>
        <v>1.9262000000000001</v>
      </c>
      <c r="P351" s="194">
        <f>AVERAGE(Ashed_controlls!$K$12:$K$14)</f>
        <v>2.2816647271287041</v>
      </c>
      <c r="Q351" s="194">
        <f t="shared" si="60"/>
        <v>1.8822505740260471</v>
      </c>
      <c r="R351" s="16">
        <f>IF('WetLitterbags placem_collection'!G58="","",'WetLitterbags placem_collection'!G58)</f>
        <v>42820</v>
      </c>
      <c r="S351" s="194">
        <f>IFERROR(INDEX('Both teabags AfterWet'!$C$3:$C$2000,MATCH(H351,'Both teabags AfterWet'!$A$3:$A$2000,0)),"")</f>
        <v>0.74399999999999999</v>
      </c>
      <c r="T351" s="194">
        <f>IFERROR(INDEX('Both teabags AfterWet'!$C$3:$C$2000,MATCH(I351,'Both teabags AfterWet'!$A$3:$A$2000,0)),"")</f>
        <v>1.5980000000000001</v>
      </c>
      <c r="U351" s="194">
        <f t="shared" si="61"/>
        <v>0.59339999999999993</v>
      </c>
      <c r="V351" s="194">
        <f t="shared" si="62"/>
        <v>1.4474</v>
      </c>
      <c r="W351" s="194">
        <f>IFERROR(INDEX('Ashed teabags wet'!$K$2:$K$2000,MATCH(H351,'Ashed teabags wet'!$A$2:$A$2000,0)),"")</f>
        <v>11.235408560310804</v>
      </c>
      <c r="X351" s="233">
        <f>IFERROR(INDEX('Ashed teabags wet'!$K$2:$K$2000,MATCH(I351,'Ashed teabags wet'!$A$2:$A$2000,0)),"")</f>
        <v>3.1372549019609965</v>
      </c>
      <c r="Y351" s="194">
        <f t="shared" si="67"/>
        <v>0.5267290856031156</v>
      </c>
      <c r="Z351" s="194">
        <f t="shared" si="67"/>
        <v>1.4019913725490165</v>
      </c>
      <c r="AA351" s="194">
        <f t="shared" si="63"/>
        <v>0.70191830759488616</v>
      </c>
      <c r="AB351" s="194">
        <f t="shared" si="64"/>
        <v>0.46016497124985417</v>
      </c>
      <c r="AC351" s="194">
        <f t="shared" si="56"/>
        <v>0.74484842342229796</v>
      </c>
      <c r="AD351">
        <f t="shared" si="57"/>
        <v>54</v>
      </c>
      <c r="AE351" s="194">
        <f t="shared" si="65"/>
        <v>0.166367805706786</v>
      </c>
      <c r="AF351" s="194">
        <f t="shared" si="66"/>
        <v>1.497240261987947E-2</v>
      </c>
      <c r="AG351" s="245" t="str">
        <f>IF(ISNUMBER(SEARCH("C",'WetLitterbags placem_collection'!$Y58)),"YES","NO")</f>
        <v>NO</v>
      </c>
      <c r="AH351" s="245" t="str">
        <f>IF(ISNUMBER(SEARCH("H", 'WetLitterbags placem_collection'!$Y58)),"YES","NO")</f>
        <v>NO</v>
      </c>
      <c r="AI351" s="245" t="str">
        <f>IF(ISNUMBER(SEARCH("R", 'WetLitterbags placem_collection'!$Y58)),"YES","NO")</f>
        <v>NO</v>
      </c>
      <c r="AJ351" s="245" t="str">
        <f>IF(ISNUMBER(SEARCH("C", 'WetLitterbags placem_collection'!$W58)),"YES","NO")</f>
        <v>YES</v>
      </c>
      <c r="AK351" s="245" t="str">
        <f>IF(ISNUMBER(SEARCH("H", 'WetLitterbags placem_collection'!$W58)),"YES","NO")</f>
        <v>YES</v>
      </c>
      <c r="AL351" s="245" t="str">
        <f>IF(ISNUMBER(SEARCH("R", 'WetLitterbags placem_collection'!$W58)),"YES","NO")</f>
        <v>NO</v>
      </c>
    </row>
    <row r="352" spans="2:38">
      <c r="B352" t="str">
        <f>Wetseason!B498</f>
        <v>Wet</v>
      </c>
      <c r="C352" s="253">
        <f>Wetseason!C498</f>
        <v>57</v>
      </c>
      <c r="D352" t="s">
        <v>3110</v>
      </c>
      <c r="E352" t="s">
        <v>25</v>
      </c>
      <c r="F352" s="374">
        <v>1</v>
      </c>
      <c r="G352" s="16">
        <f>'WetLitterbags placem_collection'!E59</f>
        <v>42766</v>
      </c>
      <c r="H352" s="92" t="str">
        <f>Wetseason!L498</f>
        <v>G618</v>
      </c>
      <c r="I352" t="str">
        <f>Wetseason!L718</f>
        <v>R435</v>
      </c>
      <c r="J352">
        <f>IFERROR(INDEX('Green_rooibos initial weight'!$C$5:$C$2000,MATCH(H352, 'Green_rooibos initial weight'!$A$5:$A$2000,0)),"")</f>
        <v>2.0449999999999999</v>
      </c>
      <c r="K352">
        <f>IFERROR(INDEX('Green_rooibos initial weight'!$C$5:$C$2000,MATCH(I352, 'Green_rooibos initial weight'!$A$5:$A$2000,0)),"")</f>
        <v>2.141</v>
      </c>
      <c r="L352" s="194">
        <f t="shared" si="58"/>
        <v>1.7951999999999999</v>
      </c>
      <c r="M352" s="194">
        <f>AVERAGE(Ashed_controlls!$K$2:$K$11)</f>
        <v>5.5147656768714146</v>
      </c>
      <c r="N352" s="194">
        <f t="shared" si="55"/>
        <v>1.6961989265688042</v>
      </c>
      <c r="O352" s="194">
        <f t="shared" si="59"/>
        <v>1.8912</v>
      </c>
      <c r="P352" s="194">
        <f>AVERAGE(Ashed_controlls!$K$12:$K$14)</f>
        <v>2.2816647271287041</v>
      </c>
      <c r="Q352" s="194">
        <f t="shared" si="60"/>
        <v>1.8480491566805419</v>
      </c>
      <c r="R352" s="16">
        <f>IF('WetLitterbags placem_collection'!G59="","",'WetLitterbags placem_collection'!G59)</f>
        <v>42820</v>
      </c>
      <c r="S352" s="194">
        <f>IFERROR(INDEX('Both teabags AfterWet'!$C$3:$C$2000,MATCH(H352,'Both teabags AfterWet'!$A$3:$A$2000,0)),"")</f>
        <v>0.88129999999999997</v>
      </c>
      <c r="T352" s="194">
        <f>IFERROR(INDEX('Both teabags AfterWet'!$C$3:$C$2000,MATCH(I352,'Both teabags AfterWet'!$A$3:$A$2000,0)),"")</f>
        <v>1.4594</v>
      </c>
      <c r="U352" s="194">
        <f t="shared" si="61"/>
        <v>0.73069999999999991</v>
      </c>
      <c r="V352" s="194">
        <f t="shared" si="62"/>
        <v>1.3088</v>
      </c>
      <c r="W352" s="194">
        <f>IFERROR(INDEX('Ashed teabags wet'!$K$2:$K$2000,MATCH(H352,'Ashed teabags wet'!$A$2:$A$2000,0)),"")</f>
        <v>11.534653465346061</v>
      </c>
      <c r="X352" s="233">
        <f>IFERROR(INDEX('Ashed teabags wet'!$K$2:$K$2000,MATCH(I352,'Ashed teabags wet'!$A$2:$A$2000,0)),"")</f>
        <v>7.3673870333987725</v>
      </c>
      <c r="Y352" s="194">
        <f t="shared" si="67"/>
        <v>0.64641628712871624</v>
      </c>
      <c r="Z352" s="194">
        <f t="shared" si="67"/>
        <v>1.2123756385068769</v>
      </c>
      <c r="AA352" s="194">
        <f t="shared" si="63"/>
        <v>0.61890302074631387</v>
      </c>
      <c r="AB352" s="194">
        <f t="shared" si="64"/>
        <v>0.4057416478051844</v>
      </c>
      <c r="AC352" s="194">
        <f t="shared" si="56"/>
        <v>0.65602997307958022</v>
      </c>
      <c r="AD352">
        <f t="shared" si="57"/>
        <v>54</v>
      </c>
      <c r="AE352" s="194">
        <f t="shared" si="65"/>
        <v>0.26496078296162251</v>
      </c>
      <c r="AF352" s="194">
        <f t="shared" si="66"/>
        <v>3.4856899473864209E-2</v>
      </c>
      <c r="AG352" s="245" t="str">
        <f>IF(ISNUMBER(SEARCH("C",'WetLitterbags placem_collection'!$Y59)),"YES","NO")</f>
        <v>NO</v>
      </c>
      <c r="AH352" s="245" t="str">
        <f>IF(ISNUMBER(SEARCH("H", 'WetLitterbags placem_collection'!$Y59)),"YES","NO")</f>
        <v>NO</v>
      </c>
      <c r="AI352" s="245" t="str">
        <f>IF(ISNUMBER(SEARCH("R", 'WetLitterbags placem_collection'!$Y59)),"YES","NO")</f>
        <v>YES</v>
      </c>
      <c r="AJ352" s="245" t="str">
        <f>IF(ISNUMBER(SEARCH("C", 'WetLitterbags placem_collection'!$W59)),"YES","NO")</f>
        <v>NO</v>
      </c>
      <c r="AK352" s="245" t="str">
        <f>IF(ISNUMBER(SEARCH("H", 'WetLitterbags placem_collection'!$W59)),"YES","NO")</f>
        <v>YES</v>
      </c>
      <c r="AL352" s="245" t="str">
        <f>IF(ISNUMBER(SEARCH("R", 'WetLitterbags placem_collection'!$W59)),"YES","NO")</f>
        <v>YES</v>
      </c>
    </row>
    <row r="353" spans="2:38">
      <c r="B353" t="str">
        <f>Wetseason!B499</f>
        <v>Wet</v>
      </c>
      <c r="C353" s="253">
        <f>Wetseason!C499</f>
        <v>58</v>
      </c>
      <c r="D353" t="s">
        <v>3110</v>
      </c>
      <c r="E353" t="s">
        <v>25</v>
      </c>
      <c r="F353" s="374">
        <v>2</v>
      </c>
      <c r="G353" s="16">
        <f>'WetLitterbags placem_collection'!E60</f>
        <v>42766</v>
      </c>
      <c r="H353" s="92" t="str">
        <f>Wetseason!L499</f>
        <v>G593</v>
      </c>
      <c r="I353" t="str">
        <f>Wetseason!L719</f>
        <v>R31</v>
      </c>
      <c r="J353">
        <f>IFERROR(INDEX('Green_rooibos initial weight'!$C$5:$C$2000,MATCH(H353, 'Green_rooibos initial weight'!$A$5:$A$2000,0)),"")</f>
        <v>2.093</v>
      </c>
      <c r="K353">
        <f>IFERROR(INDEX('Green_rooibos initial weight'!$C$5:$C$2000,MATCH(I353, 'Green_rooibos initial weight'!$A$5:$A$2000,0)),"")</f>
        <v>2.1589999999999998</v>
      </c>
      <c r="L353" s="194">
        <f t="shared" si="58"/>
        <v>1.8431999999999999</v>
      </c>
      <c r="M353" s="194">
        <f>AVERAGE(Ashed_controlls!$K$2:$K$11)</f>
        <v>5.5147656768714146</v>
      </c>
      <c r="N353" s="194">
        <f t="shared" si="55"/>
        <v>1.741551839043906</v>
      </c>
      <c r="O353" s="194">
        <f t="shared" si="59"/>
        <v>1.9091999999999998</v>
      </c>
      <c r="P353" s="194">
        <f>AVERAGE(Ashed_controlls!$K$12:$K$14)</f>
        <v>2.2816647271287041</v>
      </c>
      <c r="Q353" s="194">
        <f t="shared" si="60"/>
        <v>1.8656384570296585</v>
      </c>
      <c r="R353" s="16">
        <f>IF('WetLitterbags placem_collection'!G60="","",'WetLitterbags placem_collection'!G60)</f>
        <v>42820</v>
      </c>
      <c r="S353" s="194">
        <f>IFERROR(INDEX('Both teabags AfterWet'!$C$3:$C$2000,MATCH(H353,'Both teabags AfterWet'!$A$3:$A$2000,0)),"")</f>
        <v>0.97009999999999996</v>
      </c>
      <c r="T353" s="194">
        <f>IFERROR(INDEX('Both teabags AfterWet'!$C$3:$C$2000,MATCH(I353,'Both teabags AfterWet'!$A$3:$A$2000,0)),"")</f>
        <v>1.1857</v>
      </c>
      <c r="U353" s="194">
        <f t="shared" si="61"/>
        <v>0.8194999999999999</v>
      </c>
      <c r="V353" s="194">
        <f t="shared" si="62"/>
        <v>1.0350999999999999</v>
      </c>
      <c r="W353" s="194">
        <f>IFERROR(INDEX('Ashed teabags wet'!$K$2:$K$2000,MATCH(H353,'Ashed teabags wet'!$A$2:$A$2000,0)),"")</f>
        <v>12.412761714855449</v>
      </c>
      <c r="X353" s="233">
        <f>IFERROR(INDEX('Ashed teabags wet'!$K$2:$K$2000,MATCH(I353,'Ashed teabags wet'!$A$2:$A$2000,0)),"")</f>
        <v>14.436090225563877</v>
      </c>
      <c r="Y353" s="194">
        <f t="shared" si="67"/>
        <v>0.71777741774675952</v>
      </c>
      <c r="Z353" s="194">
        <f t="shared" si="67"/>
        <v>0.88567203007518824</v>
      </c>
      <c r="AA353" s="194">
        <f t="shared" si="63"/>
        <v>0.58785182177476158</v>
      </c>
      <c r="AB353" s="194">
        <f t="shared" si="64"/>
        <v>0.38538504230364423</v>
      </c>
      <c r="AC353" s="194">
        <f t="shared" si="56"/>
        <v>0.47472865213407667</v>
      </c>
      <c r="AD353">
        <f t="shared" si="57"/>
        <v>54</v>
      </c>
      <c r="AE353" s="194">
        <f t="shared" si="65"/>
        <v>0.30183869147890541</v>
      </c>
      <c r="AF353" s="194" t="str">
        <f t="shared" si="66"/>
        <v/>
      </c>
      <c r="AG353" s="245" t="str">
        <f>IF(ISNUMBER(SEARCH("C",'WetLitterbags placem_collection'!$Y60)),"YES","NO")</f>
        <v>NO</v>
      </c>
      <c r="AH353" s="245" t="str">
        <f>IF(ISNUMBER(SEARCH("H", 'WetLitterbags placem_collection'!$Y60)),"YES","NO")</f>
        <v>NO</v>
      </c>
      <c r="AI353" s="245" t="str">
        <f>IF(ISNUMBER(SEARCH("R", 'WetLitterbags placem_collection'!$Y60)),"YES","NO")</f>
        <v>NO</v>
      </c>
      <c r="AJ353" s="245" t="str">
        <f>IF(ISNUMBER(SEARCH("C", 'WetLitterbags placem_collection'!$W60)),"YES","NO")</f>
        <v>NO</v>
      </c>
      <c r="AK353" s="245" t="str">
        <f>IF(ISNUMBER(SEARCH("H", 'WetLitterbags placem_collection'!$W60)),"YES","NO")</f>
        <v>YES</v>
      </c>
      <c r="AL353" s="245" t="str">
        <f>IF(ISNUMBER(SEARCH("R", 'WetLitterbags placem_collection'!$W60)),"YES","NO")</f>
        <v>NO</v>
      </c>
    </row>
    <row r="354" spans="2:38">
      <c r="B354" t="str">
        <f>Wetseason!B500</f>
        <v>Wet</v>
      </c>
      <c r="C354" s="253">
        <f>Wetseason!C500</f>
        <v>59</v>
      </c>
      <c r="D354" t="s">
        <v>3110</v>
      </c>
      <c r="E354" t="s">
        <v>25</v>
      </c>
      <c r="F354" s="374">
        <v>3</v>
      </c>
      <c r="G354" s="16">
        <f>'WetLitterbags placem_collection'!E61</f>
        <v>42766</v>
      </c>
      <c r="H354" s="92" t="str">
        <f>Wetseason!L500</f>
        <v>G600</v>
      </c>
      <c r="I354" t="str">
        <f>Wetseason!L720</f>
        <v>R120</v>
      </c>
      <c r="J354">
        <f>IFERROR(INDEX('Green_rooibos initial weight'!$C$5:$C$2000,MATCH(H354, 'Green_rooibos initial weight'!$A$5:$A$2000,0)),"")</f>
        <v>2.0049999999999999</v>
      </c>
      <c r="K354">
        <f>IFERROR(INDEX('Green_rooibos initial weight'!$C$5:$C$2000,MATCH(I354, 'Green_rooibos initial weight'!$A$5:$A$2000,0)),"")</f>
        <v>2.2450000000000001</v>
      </c>
      <c r="L354" s="194">
        <f t="shared" si="58"/>
        <v>1.7551999999999999</v>
      </c>
      <c r="M354" s="194">
        <f>AVERAGE(Ashed_controlls!$K$2:$K$11)</f>
        <v>5.5147656768714146</v>
      </c>
      <c r="N354" s="194">
        <f t="shared" si="55"/>
        <v>1.6584048328395529</v>
      </c>
      <c r="O354" s="194">
        <f t="shared" si="59"/>
        <v>1.9952000000000001</v>
      </c>
      <c r="P354" s="194">
        <f>AVERAGE(Ashed_controlls!$K$12:$K$14)</f>
        <v>2.2816647271287041</v>
      </c>
      <c r="Q354" s="194">
        <f t="shared" si="60"/>
        <v>1.9496762253643283</v>
      </c>
      <c r="R354" s="16">
        <f>IF('WetLitterbags placem_collection'!G61="","",'WetLitterbags placem_collection'!G61)</f>
        <v>42820</v>
      </c>
      <c r="S354" s="194">
        <f>IFERROR(INDEX('Both teabags AfterWet'!$C$3:$C$2000,MATCH(H354,'Both teabags AfterWet'!$A$3:$A$2000,0)),"")</f>
        <v>0.90200000000000002</v>
      </c>
      <c r="T354" s="194">
        <f>IFERROR(INDEX('Both teabags AfterWet'!$C$3:$C$2000,MATCH(I354,'Both teabags AfterWet'!$A$3:$A$2000,0)),"")</f>
        <v>1.4690000000000001</v>
      </c>
      <c r="U354" s="194">
        <f t="shared" si="61"/>
        <v>0.75140000000000007</v>
      </c>
      <c r="V354" s="194">
        <f t="shared" si="62"/>
        <v>1.3184</v>
      </c>
      <c r="W354" s="194">
        <f>IFERROR(INDEX('Ashed teabags wet'!$K$2:$K$2000,MATCH(H354,'Ashed teabags wet'!$A$2:$A$2000,0)),"")</f>
        <v>13.942071674030428</v>
      </c>
      <c r="X354" s="233">
        <f>IFERROR(INDEX('Ashed teabags wet'!$K$2:$K$2000,MATCH(I354,'Ashed teabags wet'!$A$2:$A$2000,0)),"")</f>
        <v>3.836571998007162</v>
      </c>
      <c r="Y354" s="194">
        <f t="shared" si="67"/>
        <v>0.64663927344133543</v>
      </c>
      <c r="Z354" s="194">
        <f t="shared" si="67"/>
        <v>1.2678186347782736</v>
      </c>
      <c r="AA354" s="194">
        <f t="shared" si="63"/>
        <v>0.6100835811397467</v>
      </c>
      <c r="AB354" s="194">
        <f t="shared" si="64"/>
        <v>0.39995978240990526</v>
      </c>
      <c r="AC354" s="194">
        <f t="shared" si="56"/>
        <v>0.65027137238715693</v>
      </c>
      <c r="AD354">
        <f t="shared" si="57"/>
        <v>54</v>
      </c>
      <c r="AE354" s="194">
        <f t="shared" si="65"/>
        <v>0.27543517679364993</v>
      </c>
      <c r="AF354" s="194">
        <f t="shared" si="66"/>
        <v>3.8420899081366505E-2</v>
      </c>
      <c r="AG354" s="245" t="str">
        <f>IF(ISNUMBER(SEARCH("C",'WetLitterbags placem_collection'!$Y61)),"YES","NO")</f>
        <v>NO</v>
      </c>
      <c r="AH354" s="245" t="str">
        <f>IF(ISNUMBER(SEARCH("H", 'WetLitterbags placem_collection'!$Y61)),"YES","NO")</f>
        <v>NO</v>
      </c>
      <c r="AI354" s="245" t="str">
        <f>IF(ISNUMBER(SEARCH("R", 'WetLitterbags placem_collection'!$Y61)),"YES","NO")</f>
        <v>NO</v>
      </c>
      <c r="AJ354" s="245" t="str">
        <f>IF(ISNUMBER(SEARCH("C", 'WetLitterbags placem_collection'!$W61)),"YES","NO")</f>
        <v>NO</v>
      </c>
      <c r="AK354" s="245" t="str">
        <f>IF(ISNUMBER(SEARCH("H", 'WetLitterbags placem_collection'!$W61)),"YES","NO")</f>
        <v>NO</v>
      </c>
      <c r="AL354" s="245" t="str">
        <f>IF(ISNUMBER(SEARCH("R", 'WetLitterbags placem_collection'!$W61)),"YES","NO")</f>
        <v>NO</v>
      </c>
    </row>
    <row r="355" spans="2:38">
      <c r="B355" t="str">
        <f>Wetseason!B501</f>
        <v>Wet</v>
      </c>
      <c r="C355" s="253">
        <f>Wetseason!C501</f>
        <v>60</v>
      </c>
      <c r="D355" t="s">
        <v>3110</v>
      </c>
      <c r="E355" t="s">
        <v>25</v>
      </c>
      <c r="F355" s="375">
        <v>4</v>
      </c>
      <c r="G355" s="16">
        <f>'WetLitterbags placem_collection'!E62</f>
        <v>42766</v>
      </c>
      <c r="H355" s="92" t="str">
        <f>Wetseason!L501</f>
        <v>G535</v>
      </c>
      <c r="I355" t="str">
        <f>Wetseason!L721</f>
        <v>R390</v>
      </c>
      <c r="J355">
        <f>IFERROR(INDEX('Green_rooibos initial weight'!$C$5:$C$2000,MATCH(H355, 'Green_rooibos initial weight'!$A$5:$A$2000,0)),"")</f>
        <v>2.0920000000000001</v>
      </c>
      <c r="K355">
        <f>IFERROR(INDEX('Green_rooibos initial weight'!$C$5:$C$2000,MATCH(I355, 'Green_rooibos initial weight'!$A$5:$A$2000,0)),"")</f>
        <v>2.2480000000000002</v>
      </c>
      <c r="L355" s="194">
        <f t="shared" si="58"/>
        <v>1.8422000000000001</v>
      </c>
      <c r="M355" s="194">
        <f>AVERAGE(Ashed_controlls!$K$2:$K$11)</f>
        <v>5.5147656768714146</v>
      </c>
      <c r="N355" s="194">
        <f t="shared" si="55"/>
        <v>1.7406069867006748</v>
      </c>
      <c r="O355" s="194">
        <f t="shared" si="59"/>
        <v>1.9982000000000002</v>
      </c>
      <c r="P355" s="194">
        <f>AVERAGE(Ashed_controlls!$K$12:$K$14)</f>
        <v>2.2816647271287041</v>
      </c>
      <c r="Q355" s="194">
        <f t="shared" si="60"/>
        <v>1.9526077754225144</v>
      </c>
      <c r="R355" s="16">
        <f>IF('WetLitterbags placem_collection'!G62="","",'WetLitterbags placem_collection'!G62)</f>
        <v>42820</v>
      </c>
      <c r="S355" s="194">
        <f>IFERROR(INDEX('Both teabags AfterWet'!$C$3:$C$2000,MATCH(H355,'Both teabags AfterWet'!$A$3:$A$2000,0)),"")</f>
        <v>0.78</v>
      </c>
      <c r="T355" s="194">
        <f>IFERROR(INDEX('Both teabags AfterWet'!$C$3:$C$2000,MATCH(I355,'Both teabags AfterWet'!$A$3:$A$2000,0)),"")</f>
        <v>1.5309999999999999</v>
      </c>
      <c r="U355" s="194">
        <f t="shared" si="61"/>
        <v>0.62939999999999996</v>
      </c>
      <c r="V355" s="194">
        <f t="shared" si="62"/>
        <v>1.3803999999999998</v>
      </c>
      <c r="W355" s="194">
        <f>IFERROR(INDEX('Ashed teabags wet'!$K$2:$K$2000,MATCH(H355,'Ashed teabags wet'!$A$2:$A$2000,0)),"")</f>
        <v>10.099009900990334</v>
      </c>
      <c r="X355" s="233">
        <f>IFERROR(INDEX('Ashed teabags wet'!$K$2:$K$2000,MATCH(I355,'Ashed teabags wet'!$A$2:$A$2000,0)),"")</f>
        <v>9.7068716962994532</v>
      </c>
      <c r="Y355" s="194">
        <f t="shared" si="67"/>
        <v>0.56583683168316679</v>
      </c>
      <c r="Z355" s="194">
        <f t="shared" si="67"/>
        <v>1.2464063431042822</v>
      </c>
      <c r="AA355" s="194">
        <f t="shared" si="63"/>
        <v>0.67491982049565824</v>
      </c>
      <c r="AB355" s="194">
        <f t="shared" si="64"/>
        <v>0.44246525049121543</v>
      </c>
      <c r="AC355" s="194">
        <f t="shared" si="56"/>
        <v>0.63832908933007759</v>
      </c>
      <c r="AD355">
        <f t="shared" si="57"/>
        <v>54</v>
      </c>
      <c r="AE355" s="194">
        <f t="shared" si="65"/>
        <v>0.19843251722605904</v>
      </c>
      <c r="AF355" s="194">
        <f t="shared" si="66"/>
        <v>3.1489907778599023E-2</v>
      </c>
      <c r="AG355" s="245" t="str">
        <f>IF(ISNUMBER(SEARCH("C",'WetLitterbags placem_collection'!$Y62)),"YES","NO")</f>
        <v>NO</v>
      </c>
      <c r="AH355" s="245" t="str">
        <f>IF(ISNUMBER(SEARCH("H", 'WetLitterbags placem_collection'!$Y62)),"YES","NO")</f>
        <v>YES</v>
      </c>
      <c r="AI355" s="245" t="str">
        <f>IF(ISNUMBER(SEARCH("R", 'WetLitterbags placem_collection'!$Y62)),"YES","NO")</f>
        <v>NO</v>
      </c>
      <c r="AJ355" s="245" t="str">
        <f>IF(ISNUMBER(SEARCH("C", 'WetLitterbags placem_collection'!$W62)),"YES","NO")</f>
        <v>NO</v>
      </c>
      <c r="AK355" s="245" t="str">
        <f>IF(ISNUMBER(SEARCH("H", 'WetLitterbags placem_collection'!$W62)),"YES","NO")</f>
        <v>NO</v>
      </c>
      <c r="AL355" s="245" t="str">
        <f>IF(ISNUMBER(SEARCH("R", 'WetLitterbags placem_collection'!$W62)),"YES","NO")</f>
        <v>NO</v>
      </c>
    </row>
    <row r="356" spans="2:38">
      <c r="B356" t="str">
        <f>Wetseason!B502</f>
        <v>Wet</v>
      </c>
      <c r="C356" s="253">
        <f>Wetseason!C502</f>
        <v>61</v>
      </c>
      <c r="D356" t="s">
        <v>3110</v>
      </c>
      <c r="E356" t="s">
        <v>25</v>
      </c>
      <c r="F356" s="375">
        <v>5</v>
      </c>
      <c r="G356" s="16">
        <f>'WetLitterbags placem_collection'!E63</f>
        <v>42766</v>
      </c>
      <c r="H356" s="92" t="str">
        <f>Wetseason!L502</f>
        <v>G391</v>
      </c>
      <c r="I356" t="str">
        <f>Wetseason!L722</f>
        <v>R143</v>
      </c>
      <c r="J356">
        <f>IFERROR(INDEX('Green_rooibos initial weight'!$C$5:$C$2000,MATCH(H356, 'Green_rooibos initial weight'!$A$5:$A$2000,0)),"")</f>
        <v>1.9419999999999999</v>
      </c>
      <c r="K356">
        <f>IFERROR(INDEX('Green_rooibos initial weight'!$C$5:$C$2000,MATCH(I356, 'Green_rooibos initial weight'!$A$5:$A$2000,0)),"")</f>
        <v>2.1560000000000001</v>
      </c>
      <c r="L356" s="194">
        <f t="shared" si="58"/>
        <v>1.6921999999999999</v>
      </c>
      <c r="M356" s="194">
        <f>AVERAGE(Ashed_controlls!$K$2:$K$11)</f>
        <v>5.5147656768714146</v>
      </c>
      <c r="N356" s="194">
        <f t="shared" si="55"/>
        <v>1.5988791352159819</v>
      </c>
      <c r="O356" s="194">
        <f t="shared" si="59"/>
        <v>1.9062000000000001</v>
      </c>
      <c r="P356" s="194">
        <f>AVERAGE(Ashed_controlls!$K$12:$K$14)</f>
        <v>2.2816647271287041</v>
      </c>
      <c r="Q356" s="194">
        <f t="shared" si="60"/>
        <v>1.8627069069714728</v>
      </c>
      <c r="R356" s="16">
        <f>IF('WetLitterbags placem_collection'!G63="","",'WetLitterbags placem_collection'!G63)</f>
        <v>42820</v>
      </c>
      <c r="S356" s="194">
        <f>IFERROR(INDEX('Both teabags AfterWet'!$C$3:$C$2000,MATCH(H356,'Both teabags AfterWet'!$A$3:$A$2000,0)),"")</f>
        <v>0.628</v>
      </c>
      <c r="T356" s="194">
        <f>IFERROR(INDEX('Both teabags AfterWet'!$C$3:$C$2000,MATCH(I356,'Both teabags AfterWet'!$A$3:$A$2000,0)),"")</f>
        <v>1.581</v>
      </c>
      <c r="U356" s="194">
        <f t="shared" si="61"/>
        <v>0.47739999999999999</v>
      </c>
      <c r="V356" s="194">
        <f t="shared" si="62"/>
        <v>1.4303999999999999</v>
      </c>
      <c r="W356" s="194">
        <f>IFERROR(INDEX('Ashed teabags wet'!$K$2:$K$2000,MATCH(H356,'Ashed teabags wet'!$A$2:$A$2000,0)),"")</f>
        <v>8.0533596837941683</v>
      </c>
      <c r="X356" s="233">
        <f>IFERROR(INDEX('Ashed teabags wet'!$K$2:$K$2000,MATCH(I356,'Ashed teabags wet'!$A$2:$A$2000,0)),"")</f>
        <v>5.6762092793688481</v>
      </c>
      <c r="Y356" s="194">
        <f t="shared" si="67"/>
        <v>0.43895326086956665</v>
      </c>
      <c r="Z356" s="194">
        <f t="shared" si="67"/>
        <v>1.349207502467908</v>
      </c>
      <c r="AA356" s="194">
        <f t="shared" si="63"/>
        <v>0.72546188689223756</v>
      </c>
      <c r="AB356" s="194">
        <f t="shared" si="64"/>
        <v>0.4755997168224646</v>
      </c>
      <c r="AC356" s="194">
        <f t="shared" si="56"/>
        <v>0.72432624661361766</v>
      </c>
      <c r="AD356">
        <f t="shared" si="57"/>
        <v>54</v>
      </c>
      <c r="AE356" s="194">
        <f t="shared" si="65"/>
        <v>0.13840631010423088</v>
      </c>
      <c r="AF356" s="194">
        <f t="shared" si="66"/>
        <v>1.6048693596508172E-2</v>
      </c>
      <c r="AG356" s="245" t="str">
        <f>IF(ISNUMBER(SEARCH("C",'WetLitterbags placem_collection'!$Y63)),"YES","NO")</f>
        <v>NO</v>
      </c>
      <c r="AH356" s="245" t="str">
        <f>IF(ISNUMBER(SEARCH("H", 'WetLitterbags placem_collection'!$Y63)),"YES","NO")</f>
        <v>NO</v>
      </c>
      <c r="AI356" s="245" t="str">
        <f>IF(ISNUMBER(SEARCH("R", 'WetLitterbags placem_collection'!$Y63)),"YES","NO")</f>
        <v>NO</v>
      </c>
      <c r="AJ356" s="245" t="str">
        <f>IF(ISNUMBER(SEARCH("C", 'WetLitterbags placem_collection'!$W63)),"YES","NO")</f>
        <v>YES</v>
      </c>
      <c r="AK356" s="245" t="str">
        <f>IF(ISNUMBER(SEARCH("H", 'WetLitterbags placem_collection'!$W63)),"YES","NO")</f>
        <v>YES</v>
      </c>
      <c r="AL356" s="245" t="str">
        <f>IF(ISNUMBER(SEARCH("R", 'WetLitterbags placem_collection'!$W63)),"YES","NO")</f>
        <v>NO</v>
      </c>
    </row>
    <row r="357" spans="2:38">
      <c r="B357" t="str">
        <f>Wetseason!B503</f>
        <v>Wet</v>
      </c>
      <c r="C357" s="253">
        <f>Wetseason!C503</f>
        <v>62</v>
      </c>
      <c r="D357" t="s">
        <v>3110</v>
      </c>
      <c r="E357" t="s">
        <v>25</v>
      </c>
      <c r="F357" s="375">
        <v>6</v>
      </c>
      <c r="G357" s="16">
        <f>'WetLitterbags placem_collection'!E64</f>
        <v>42766</v>
      </c>
      <c r="H357" s="92" t="str">
        <f>Wetseason!L503</f>
        <v>G445</v>
      </c>
      <c r="I357" t="str">
        <f>Wetseason!L723</f>
        <v>R448</v>
      </c>
      <c r="J357">
        <f>IFERROR(INDEX('Green_rooibos initial weight'!$C$5:$C$2000,MATCH(H357, 'Green_rooibos initial weight'!$A$5:$A$2000,0)),"")</f>
        <v>2.1150000000000002</v>
      </c>
      <c r="K357">
        <f>IFERROR(INDEX('Green_rooibos initial weight'!$C$5:$C$2000,MATCH(I357, 'Green_rooibos initial weight'!$A$5:$A$2000,0)),"")</f>
        <v>2.2029999999999998</v>
      </c>
      <c r="L357" s="194">
        <f t="shared" si="58"/>
        <v>1.8652000000000002</v>
      </c>
      <c r="M357" s="194">
        <f>AVERAGE(Ashed_controlls!$K$2:$K$11)</f>
        <v>5.5147656768714146</v>
      </c>
      <c r="N357" s="194">
        <f t="shared" si="55"/>
        <v>1.7623385905949946</v>
      </c>
      <c r="O357" s="194">
        <f t="shared" si="59"/>
        <v>1.9531999999999998</v>
      </c>
      <c r="P357" s="194">
        <f>AVERAGE(Ashed_controlls!$K$12:$K$14)</f>
        <v>2.2816647271287041</v>
      </c>
      <c r="Q357" s="194">
        <f t="shared" si="60"/>
        <v>1.908634524549722</v>
      </c>
      <c r="R357" s="16">
        <f>IF('WetLitterbags placem_collection'!G64="","",'WetLitterbags placem_collection'!G64)</f>
        <v>42820</v>
      </c>
      <c r="S357" s="194">
        <f>IFERROR(INDEX('Both teabags AfterWet'!$C$3:$C$2000,MATCH(H357,'Both teabags AfterWet'!$A$3:$A$2000,0)),"")</f>
        <v>0.80569999999999997</v>
      </c>
      <c r="T357" s="194">
        <f>IFERROR(INDEX('Both teabags AfterWet'!$C$3:$C$2000,MATCH(I357,'Both teabags AfterWet'!$A$3:$A$2000,0)),"")</f>
        <v>1.5379</v>
      </c>
      <c r="U357" s="194">
        <f t="shared" si="61"/>
        <v>0.65510000000000002</v>
      </c>
      <c r="V357" s="194">
        <f t="shared" si="62"/>
        <v>1.3873</v>
      </c>
      <c r="W357" s="194">
        <f>IFERROR(INDEX('Ashed teabags wet'!$K$2:$K$2000,MATCH(H357,'Ashed teabags wet'!$A$2:$A$2000,0)),"")</f>
        <v>12.3862487360974</v>
      </c>
      <c r="X357" s="233">
        <f>IFERROR(INDEX('Ashed teabags wet'!$K$2:$K$2000,MATCH(I357,'Ashed teabags wet'!$A$2:$A$2000,0)),"")</f>
        <v>6.7460317460323242</v>
      </c>
      <c r="Y357" s="194">
        <f t="shared" si="67"/>
        <v>0.57395768452982598</v>
      </c>
      <c r="Z357" s="194">
        <f t="shared" si="67"/>
        <v>1.2937123015872936</v>
      </c>
      <c r="AA357" s="194">
        <f t="shared" si="63"/>
        <v>0.67432042424035643</v>
      </c>
      <c r="AB357" s="194">
        <f t="shared" si="64"/>
        <v>0.44207229712669455</v>
      </c>
      <c r="AC357" s="194">
        <f t="shared" si="56"/>
        <v>0.67782086352676729</v>
      </c>
      <c r="AD357">
        <f t="shared" si="57"/>
        <v>54</v>
      </c>
      <c r="AE357" s="194">
        <f t="shared" si="65"/>
        <v>0.19914438926323463</v>
      </c>
      <c r="AF357" s="194">
        <f t="shared" si="66"/>
        <v>2.4164304047127407E-2</v>
      </c>
      <c r="AG357" s="245" t="str">
        <f>IF(ISNUMBER(SEARCH("C",'WetLitterbags placem_collection'!$Y64)),"YES","NO")</f>
        <v>NO</v>
      </c>
      <c r="AH357" s="245" t="str">
        <f>IF(ISNUMBER(SEARCH("H", 'WetLitterbags placem_collection'!$Y64)),"YES","NO")</f>
        <v>NO</v>
      </c>
      <c r="AI357" s="245" t="str">
        <f>IF(ISNUMBER(SEARCH("R", 'WetLitterbags placem_collection'!$Y64)),"YES","NO")</f>
        <v>NO</v>
      </c>
      <c r="AJ357" s="245" t="str">
        <f>IF(ISNUMBER(SEARCH("C", 'WetLitterbags placem_collection'!$W64)),"YES","NO")</f>
        <v>NO</v>
      </c>
      <c r="AK357" s="245" t="str">
        <f>IF(ISNUMBER(SEARCH("H", 'WetLitterbags placem_collection'!$W64)),"YES","NO")</f>
        <v>YES</v>
      </c>
      <c r="AL357" s="245" t="str">
        <f>IF(ISNUMBER(SEARCH("R", 'WetLitterbags placem_collection'!$W64)),"YES","NO")</f>
        <v>NO</v>
      </c>
    </row>
    <row r="358" spans="2:38">
      <c r="B358" t="str">
        <f>Wetseason!B504</f>
        <v>Wet</v>
      </c>
      <c r="C358" s="253">
        <f>Wetseason!C504</f>
        <v>63</v>
      </c>
      <c r="D358" t="s">
        <v>3110</v>
      </c>
      <c r="E358" t="s">
        <v>25</v>
      </c>
      <c r="F358" s="375">
        <v>7</v>
      </c>
      <c r="G358" s="16">
        <f>'WetLitterbags placem_collection'!E65</f>
        <v>42766</v>
      </c>
      <c r="H358" s="92" t="str">
        <f>Wetseason!L504</f>
        <v>G440</v>
      </c>
      <c r="I358" t="str">
        <f>Wetseason!L724</f>
        <v>R423</v>
      </c>
      <c r="J358">
        <f>IFERROR(INDEX('Green_rooibos initial weight'!$C$5:$C$2000,MATCH(H358, 'Green_rooibos initial weight'!$A$5:$A$2000,0)),"")</f>
        <v>2.1070000000000002</v>
      </c>
      <c r="K358">
        <f>IFERROR(INDEX('Green_rooibos initial weight'!$C$5:$C$2000,MATCH(I358, 'Green_rooibos initial weight'!$A$5:$A$2000,0)),"")</f>
        <v>2.1760000000000002</v>
      </c>
      <c r="L358" s="194">
        <f t="shared" si="58"/>
        <v>1.8572000000000002</v>
      </c>
      <c r="M358" s="194">
        <f>AVERAGE(Ashed_controlls!$K$2:$K$11)</f>
        <v>5.5147656768714146</v>
      </c>
      <c r="N358" s="194">
        <f t="shared" si="55"/>
        <v>1.7547797718491442</v>
      </c>
      <c r="O358" s="194">
        <f t="shared" si="59"/>
        <v>1.9262000000000001</v>
      </c>
      <c r="P358" s="194">
        <f>AVERAGE(Ashed_controlls!$K$12:$K$14)</f>
        <v>2.2816647271287041</v>
      </c>
      <c r="Q358" s="194">
        <f t="shared" si="60"/>
        <v>1.8822505740260471</v>
      </c>
      <c r="R358" s="16">
        <f>IF('WetLitterbags placem_collection'!G65="","",'WetLitterbags placem_collection'!G65)</f>
        <v>42820</v>
      </c>
      <c r="S358" s="194">
        <f>IFERROR(INDEX('Both teabags AfterWet'!$C$3:$C$2000,MATCH(H358,'Both teabags AfterWet'!$A$3:$A$2000,0)),"")</f>
        <v>0.94199999999999995</v>
      </c>
      <c r="T358" s="194">
        <f>IFERROR(INDEX('Both teabags AfterWet'!$C$3:$C$2000,MATCH(I358,'Both teabags AfterWet'!$A$3:$A$2000,0)),"")</f>
        <v>1.6359999999999999</v>
      </c>
      <c r="U358" s="194">
        <f t="shared" si="61"/>
        <v>0.79139999999999988</v>
      </c>
      <c r="V358" s="194">
        <f t="shared" si="62"/>
        <v>1.4853999999999998</v>
      </c>
      <c r="W358" s="194">
        <f>IFERROR(INDEX('Ashed teabags wet'!$K$2:$K$2000,MATCH(H358,'Ashed teabags wet'!$A$2:$A$2000,0)),"")</f>
        <v>14.278728606356959</v>
      </c>
      <c r="X358" s="233">
        <f>IFERROR(INDEX('Ashed teabags wet'!$K$2:$K$2000,MATCH(I358,'Ashed teabags wet'!$A$2:$A$2000,0)),"")</f>
        <v>8.0404429465571852</v>
      </c>
      <c r="Y358" s="194">
        <f t="shared" si="67"/>
        <v>0.67839814180929092</v>
      </c>
      <c r="Z358" s="194">
        <f t="shared" si="67"/>
        <v>1.3659672604718394</v>
      </c>
      <c r="AA358" s="194">
        <f t="shared" si="63"/>
        <v>0.6133998392890001</v>
      </c>
      <c r="AB358" s="194">
        <f t="shared" si="64"/>
        <v>0.40213386138661295</v>
      </c>
      <c r="AC358" s="194">
        <f t="shared" si="56"/>
        <v>0.72570957306183648</v>
      </c>
      <c r="AD358">
        <f t="shared" si="57"/>
        <v>54</v>
      </c>
      <c r="AE358" s="194">
        <f t="shared" si="65"/>
        <v>0.27149662792280271</v>
      </c>
      <c r="AF358" s="194">
        <f t="shared" si="66"/>
        <v>2.1221827311989523E-2</v>
      </c>
      <c r="AG358" s="245" t="str">
        <f>IF(ISNUMBER(SEARCH("C",'WetLitterbags placem_collection'!$Y65)),"YES","NO")</f>
        <v>NO</v>
      </c>
      <c r="AH358" s="245" t="str">
        <f>IF(ISNUMBER(SEARCH("H", 'WetLitterbags placem_collection'!$Y65)),"YES","NO")</f>
        <v>NO</v>
      </c>
      <c r="AI358" s="245" t="str">
        <f>IF(ISNUMBER(SEARCH("R", 'WetLitterbags placem_collection'!$Y65)),"YES","NO")</f>
        <v>YES</v>
      </c>
      <c r="AJ358" s="245" t="str">
        <f>IF(ISNUMBER(SEARCH("C", 'WetLitterbags placem_collection'!$W65)),"YES","NO")</f>
        <v>NO</v>
      </c>
      <c r="AK358" s="245" t="str">
        <f>IF(ISNUMBER(SEARCH("H", 'WetLitterbags placem_collection'!$W65)),"YES","NO")</f>
        <v>NO</v>
      </c>
      <c r="AL358" s="245" t="str">
        <f>IF(ISNUMBER(SEARCH("R", 'WetLitterbags placem_collection'!$W65)),"YES","NO")</f>
        <v>YES</v>
      </c>
    </row>
    <row r="359" spans="2:38">
      <c r="B359" t="str">
        <f>Wetseason!B505</f>
        <v>Wet</v>
      </c>
      <c r="C359" s="253">
        <f>Wetseason!C505</f>
        <v>64</v>
      </c>
      <c r="D359" t="s">
        <v>3110</v>
      </c>
      <c r="E359" t="s">
        <v>25</v>
      </c>
      <c r="F359" s="375">
        <v>8</v>
      </c>
      <c r="G359" s="16">
        <f>'WetLitterbags placem_collection'!E66</f>
        <v>42766</v>
      </c>
      <c r="H359" s="92" t="str">
        <f>Wetseason!L505</f>
        <v>G673</v>
      </c>
      <c r="I359" t="str">
        <f>Wetseason!L725</f>
        <v>R550</v>
      </c>
      <c r="J359">
        <f>IFERROR(INDEX('Green_rooibos initial weight'!$C$5:$C$2000,MATCH(H359, 'Green_rooibos initial weight'!$A$5:$A$2000,0)),"")</f>
        <v>2.1160000000000001</v>
      </c>
      <c r="K359">
        <f>IFERROR(INDEX('Green_rooibos initial weight'!$C$5:$C$2000,MATCH(I359, 'Green_rooibos initial weight'!$A$5:$A$2000,0)),"")</f>
        <v>2.177</v>
      </c>
      <c r="L359" s="194">
        <f t="shared" si="58"/>
        <v>1.8662000000000001</v>
      </c>
      <c r="M359" s="194">
        <f>AVERAGE(Ashed_controlls!$K$2:$K$11)</f>
        <v>5.5147656768714146</v>
      </c>
      <c r="N359" s="194">
        <f t="shared" si="55"/>
        <v>1.7632834429382258</v>
      </c>
      <c r="O359" s="194">
        <f t="shared" si="59"/>
        <v>1.9272</v>
      </c>
      <c r="P359" s="194">
        <f>AVERAGE(Ashed_controlls!$K$12:$K$14)</f>
        <v>2.2816647271287041</v>
      </c>
      <c r="Q359" s="194">
        <f t="shared" si="60"/>
        <v>1.8832277573787757</v>
      </c>
      <c r="R359" s="16">
        <f>IF('WetLitterbags placem_collection'!G66="","",'WetLitterbags placem_collection'!G66)</f>
        <v>42820</v>
      </c>
      <c r="S359" s="194">
        <f>IFERROR(INDEX('Both teabags AfterWet'!$C$3:$C$2000,MATCH(H359,'Both teabags AfterWet'!$A$3:$A$2000,0)),"")</f>
        <v>1.0449999999999999</v>
      </c>
      <c r="T359" s="194">
        <f>IFERROR(INDEX('Both teabags AfterWet'!$C$3:$C$2000,MATCH(I359,'Both teabags AfterWet'!$A$3:$A$2000,0)),"")</f>
        <v>1.6930000000000001</v>
      </c>
      <c r="U359" s="194">
        <f t="shared" si="61"/>
        <v>0.89439999999999986</v>
      </c>
      <c r="V359" s="194">
        <f t="shared" si="62"/>
        <v>1.5424</v>
      </c>
      <c r="W359" s="194">
        <f>IFERROR(INDEX('Ashed teabags wet'!$K$2:$K$2000,MATCH(H359,'Ashed teabags wet'!$A$2:$A$2000,0)),"")</f>
        <v>23.760932944607156</v>
      </c>
      <c r="X359" s="233">
        <f>IFERROR(INDEX('Ashed teabags wet'!$K$2:$K$2000,MATCH(I359,'Ashed teabags wet'!$A$2:$A$2000,0)),"")</f>
        <v>15.844027640671007</v>
      </c>
      <c r="Y359" s="194">
        <f t="shared" si="67"/>
        <v>0.68188221574343344</v>
      </c>
      <c r="Z359" s="194">
        <f t="shared" si="67"/>
        <v>1.2980217176702904</v>
      </c>
      <c r="AA359" s="194">
        <f t="shared" si="63"/>
        <v>0.61328836922146368</v>
      </c>
      <c r="AB359" s="194">
        <f t="shared" si="64"/>
        <v>0.40206078362262232</v>
      </c>
      <c r="AC359" s="194">
        <f t="shared" si="56"/>
        <v>0.68925370953377352</v>
      </c>
      <c r="AD359">
        <f t="shared" si="57"/>
        <v>54</v>
      </c>
      <c r="AE359" s="194">
        <f t="shared" si="65"/>
        <v>0.27162901517640892</v>
      </c>
      <c r="AF359" s="194">
        <f t="shared" si="66"/>
        <v>2.7449884501822588E-2</v>
      </c>
      <c r="AG359" s="245" t="str">
        <f>IF(ISNUMBER(SEARCH("C",'WetLitterbags placem_collection'!$Y66)),"YES","NO")</f>
        <v>NO</v>
      </c>
      <c r="AH359" s="245" t="str">
        <f>IF(ISNUMBER(SEARCH("H", 'WetLitterbags placem_collection'!$Y66)),"YES","NO")</f>
        <v>NO</v>
      </c>
      <c r="AI359" s="245" t="str">
        <f>IF(ISNUMBER(SEARCH("R", 'WetLitterbags placem_collection'!$Y66)),"YES","NO")</f>
        <v>NO</v>
      </c>
      <c r="AJ359" s="245" t="str">
        <f>IF(ISNUMBER(SEARCH("C", 'WetLitterbags placem_collection'!$W66)),"YES","NO")</f>
        <v>YES</v>
      </c>
      <c r="AK359" s="245" t="str">
        <f>IF(ISNUMBER(SEARCH("H", 'WetLitterbags placem_collection'!$W66)),"YES","NO")</f>
        <v>YES</v>
      </c>
      <c r="AL359" s="245" t="str">
        <f>IF(ISNUMBER(SEARCH("R", 'WetLitterbags placem_collection'!$W66)),"YES","NO")</f>
        <v>NO</v>
      </c>
    </row>
    <row r="360" spans="2:38">
      <c r="B360" t="str">
        <f>Wetseason!B506</f>
        <v>Wet</v>
      </c>
      <c r="C360" s="253">
        <f>Wetseason!C506</f>
        <v>65</v>
      </c>
      <c r="D360" t="s">
        <v>3111</v>
      </c>
      <c r="E360" t="s">
        <v>25</v>
      </c>
      <c r="F360" s="374">
        <v>1</v>
      </c>
      <c r="G360" s="16">
        <f>'WetLitterbags placem_collection'!E67</f>
        <v>42767</v>
      </c>
      <c r="H360" s="92" t="str">
        <f>Wetseason!L506</f>
        <v>G700</v>
      </c>
      <c r="I360" t="str">
        <f>Wetseason!L726</f>
        <v>R333</v>
      </c>
      <c r="J360">
        <f>IFERROR(INDEX('Green_rooibos initial weight'!$C$5:$C$2000,MATCH(H360, 'Green_rooibos initial weight'!$A$5:$A$2000,0)),"")</f>
        <v>2.0190000000000001</v>
      </c>
      <c r="K360">
        <f>IFERROR(INDEX('Green_rooibos initial weight'!$C$5:$C$2000,MATCH(I360, 'Green_rooibos initial weight'!$A$5:$A$2000,0)),"")</f>
        <v>2.27</v>
      </c>
      <c r="L360" s="194">
        <f t="shared" si="58"/>
        <v>1.7692000000000001</v>
      </c>
      <c r="M360" s="194">
        <f>AVERAGE(Ashed_controlls!$K$2:$K$11)</f>
        <v>5.5147656768714146</v>
      </c>
      <c r="N360" s="194">
        <f t="shared" si="55"/>
        <v>1.6716327656447911</v>
      </c>
      <c r="O360" s="194">
        <f t="shared" si="59"/>
        <v>2.0202</v>
      </c>
      <c r="P360" s="194">
        <f>AVERAGE(Ashed_controlls!$K$12:$K$14)</f>
        <v>2.2816647271287041</v>
      </c>
      <c r="Q360" s="194">
        <f t="shared" si="60"/>
        <v>1.9741058091825459</v>
      </c>
      <c r="R360" s="16">
        <f>IF('WetLitterbags placem_collection'!G67="","",'WetLitterbags placem_collection'!G67)</f>
        <v>42818</v>
      </c>
      <c r="S360" s="194">
        <f>IFERROR(INDEX('Both teabags AfterWet'!$C$3:$C$2000,MATCH(H360,'Both teabags AfterWet'!$A$3:$A$2000,0)),"")</f>
        <v>0.82299999999999995</v>
      </c>
      <c r="T360" s="194">
        <f>IFERROR(INDEX('Both teabags AfterWet'!$C$3:$C$2000,MATCH(I360,'Both teabags AfterWet'!$A$3:$A$2000,0)),"")</f>
        <v>1.6319999999999999</v>
      </c>
      <c r="U360" s="194">
        <f t="shared" si="61"/>
        <v>0.67239999999999989</v>
      </c>
      <c r="V360" s="194">
        <f t="shared" si="62"/>
        <v>1.4813999999999998</v>
      </c>
      <c r="W360" s="194">
        <f>IFERROR(INDEX('Ashed teabags wet'!$K$2:$K$2000,MATCH(H360,'Ashed teabags wet'!$A$2:$A$2000,0)),"")</f>
        <v>15.626560159760119</v>
      </c>
      <c r="X360" s="233">
        <f>IFERROR(INDEX('Ashed teabags wet'!$K$2:$K$2000,MATCH(I360,'Ashed teabags wet'!$A$2:$A$2000,0)),"")</f>
        <v>3.9440838741890998</v>
      </c>
      <c r="Y360" s="194">
        <f t="shared" si="67"/>
        <v>0.56732700948577286</v>
      </c>
      <c r="Z360" s="194">
        <f t="shared" si="67"/>
        <v>1.4229723414877624</v>
      </c>
      <c r="AA360" s="194">
        <f t="shared" si="63"/>
        <v>0.66061504587286524</v>
      </c>
      <c r="AB360" s="194">
        <f t="shared" si="64"/>
        <v>0.43308729848197347</v>
      </c>
      <c r="AC360" s="194">
        <f t="shared" si="56"/>
        <v>0.72081867895267404</v>
      </c>
      <c r="AD360">
        <f t="shared" si="57"/>
        <v>51</v>
      </c>
      <c r="AE360" s="194">
        <f t="shared" si="65"/>
        <v>0.21542156072106267</v>
      </c>
      <c r="AF360" s="194">
        <f t="shared" si="66"/>
        <v>2.0286224332975347E-2</v>
      </c>
      <c r="AG360" s="245" t="str">
        <f>IF(ISNUMBER(SEARCH("C",'WetLitterbags placem_collection'!$Y67)),"YES","NO")</f>
        <v>NO</v>
      </c>
      <c r="AH360" s="245" t="str">
        <f>IF(ISNUMBER(SEARCH("H", 'WetLitterbags placem_collection'!$Y67)),"YES","NO")</f>
        <v>NO</v>
      </c>
      <c r="AI360" s="245" t="str">
        <f>IF(ISNUMBER(SEARCH("R", 'WetLitterbags placem_collection'!$Y67)),"YES","NO")</f>
        <v>YES</v>
      </c>
      <c r="AJ360" s="245" t="str">
        <f>IF(ISNUMBER(SEARCH("C", 'WetLitterbags placem_collection'!$W67)),"YES","NO")</f>
        <v>NO</v>
      </c>
      <c r="AK360" s="245" t="str">
        <f>IF(ISNUMBER(SEARCH("H", 'WetLitterbags placem_collection'!$W67)),"YES","NO")</f>
        <v>NO</v>
      </c>
      <c r="AL360" s="245" t="str">
        <f>IF(ISNUMBER(SEARCH("R", 'WetLitterbags placem_collection'!$W67)),"YES","NO")</f>
        <v>NO</v>
      </c>
    </row>
    <row r="361" spans="2:38">
      <c r="B361" t="str">
        <f>Wetseason!B507</f>
        <v>Wet</v>
      </c>
      <c r="C361" s="253">
        <f>Wetseason!C507</f>
        <v>66</v>
      </c>
      <c r="D361" t="s">
        <v>3111</v>
      </c>
      <c r="E361" t="s">
        <v>25</v>
      </c>
      <c r="F361" s="374">
        <v>2</v>
      </c>
      <c r="G361" s="16">
        <f>'WetLitterbags placem_collection'!E68</f>
        <v>42767</v>
      </c>
      <c r="H361" s="92" t="str">
        <f>Wetseason!L507</f>
        <v>G760</v>
      </c>
      <c r="I361" t="str">
        <f>Wetseason!L727</f>
        <v>R252</v>
      </c>
      <c r="J361">
        <f>IFERROR(INDEX('Green_rooibos initial weight'!$C$5:$C$2000,MATCH(H361, 'Green_rooibos initial weight'!$A$5:$A$2000,0)),"")</f>
        <v>1.948</v>
      </c>
      <c r="K361">
        <f>IFERROR(INDEX('Green_rooibos initial weight'!$C$5:$C$2000,MATCH(I361, 'Green_rooibos initial weight'!$A$5:$A$2000,0)),"")</f>
        <v>2.2069999999999999</v>
      </c>
      <c r="L361" s="194">
        <f t="shared" si="58"/>
        <v>1.6981999999999999</v>
      </c>
      <c r="M361" s="194">
        <f>AVERAGE(Ashed_controlls!$K$2:$K$11)</f>
        <v>5.5147656768714146</v>
      </c>
      <c r="N361" s="194">
        <f t="shared" si="55"/>
        <v>1.6045482492753695</v>
      </c>
      <c r="O361" s="194">
        <f t="shared" si="59"/>
        <v>1.9571999999999998</v>
      </c>
      <c r="P361" s="194">
        <f>AVERAGE(Ashed_controlls!$K$12:$K$14)</f>
        <v>2.2816647271287041</v>
      </c>
      <c r="Q361" s="194">
        <f t="shared" si="60"/>
        <v>1.9125432579606367</v>
      </c>
      <c r="R361" s="16">
        <f>IF('WetLitterbags placem_collection'!G68="","",'WetLitterbags placem_collection'!G68)</f>
        <v>42818</v>
      </c>
      <c r="S361" s="194">
        <f>IFERROR(INDEX('Both teabags AfterWet'!$C$3:$C$2000,MATCH(H361,'Both teabags AfterWet'!$A$3:$A$2000,0)),"")</f>
        <v>0.93500000000000005</v>
      </c>
      <c r="T361" s="194">
        <f>IFERROR(INDEX('Both teabags AfterWet'!$C$3:$C$2000,MATCH(I361,'Both teabags AfterWet'!$A$3:$A$2000,0)),"")</f>
        <v>1.6584000000000001</v>
      </c>
      <c r="U361" s="194">
        <f t="shared" si="61"/>
        <v>0.78439999999999999</v>
      </c>
      <c r="V361" s="194">
        <f t="shared" si="62"/>
        <v>1.5078</v>
      </c>
      <c r="W361" s="194">
        <f>IFERROR(INDEX('Ashed teabags wet'!$K$2:$K$2000,MATCH(H361,'Ashed teabags wet'!$A$2:$A$2000,0)),"")</f>
        <v>12.432959531935326</v>
      </c>
      <c r="X361" s="233">
        <f>IFERROR(INDEX('Ashed teabags wet'!$K$2:$K$2000,MATCH(I361,'Ashed teabags wet'!$A$2:$A$2000,0)),"")</f>
        <v>8.0431584109849048</v>
      </c>
      <c r="Y361" s="194">
        <f t="shared" si="67"/>
        <v>0.68687586543149926</v>
      </c>
      <c r="Z361" s="194">
        <f t="shared" si="67"/>
        <v>1.3865252574791695</v>
      </c>
      <c r="AA361" s="194">
        <f t="shared" si="63"/>
        <v>0.5719194697063803</v>
      </c>
      <c r="AB361" s="194">
        <f t="shared" si="64"/>
        <v>0.3749400799025201</v>
      </c>
      <c r="AC361" s="194">
        <f t="shared" si="56"/>
        <v>0.72496412915524577</v>
      </c>
      <c r="AD361">
        <f t="shared" si="57"/>
        <v>51</v>
      </c>
      <c r="AE361" s="194">
        <f t="shared" si="65"/>
        <v>0.3207607248142752</v>
      </c>
      <c r="AF361" s="194">
        <f t="shared" si="66"/>
        <v>2.5932439388219364E-2</v>
      </c>
      <c r="AG361" s="245" t="str">
        <f>IF(ISNUMBER(SEARCH("C",'WetLitterbags placem_collection'!$Y68)),"YES","NO")</f>
        <v>NO</v>
      </c>
      <c r="AH361" s="245" t="str">
        <f>IF(ISNUMBER(SEARCH("H", 'WetLitterbags placem_collection'!$Y68)),"YES","NO")</f>
        <v>NO</v>
      </c>
      <c r="AI361" s="245" t="str">
        <f>IF(ISNUMBER(SEARCH("R", 'WetLitterbags placem_collection'!$Y68)),"YES","NO")</f>
        <v>NO</v>
      </c>
      <c r="AJ361" s="245" t="str">
        <f>IF(ISNUMBER(SEARCH("C", 'WetLitterbags placem_collection'!$W68)),"YES","NO")</f>
        <v>NO</v>
      </c>
      <c r="AK361" s="245" t="str">
        <f>IF(ISNUMBER(SEARCH("H", 'WetLitterbags placem_collection'!$W68)),"YES","NO")</f>
        <v>YES</v>
      </c>
      <c r="AL361" s="245" t="str">
        <f>IF(ISNUMBER(SEARCH("R", 'WetLitterbags placem_collection'!$W68)),"YES","NO")</f>
        <v>NO</v>
      </c>
    </row>
    <row r="362" spans="2:38">
      <c r="B362" t="str">
        <f>Wetseason!B508</f>
        <v>Wet</v>
      </c>
      <c r="C362" s="253">
        <f>Wetseason!C508</f>
        <v>67</v>
      </c>
      <c r="D362" t="s">
        <v>3111</v>
      </c>
      <c r="E362" t="s">
        <v>25</v>
      </c>
      <c r="F362" s="374">
        <v>3</v>
      </c>
      <c r="G362" s="16">
        <f>'WetLitterbags placem_collection'!E69</f>
        <v>42767</v>
      </c>
      <c r="H362" s="92" t="str">
        <f>Wetseason!L508</f>
        <v>G660</v>
      </c>
      <c r="I362" t="str">
        <f>Wetseason!L728</f>
        <v>R44</v>
      </c>
      <c r="J362">
        <f>IFERROR(INDEX('Green_rooibos initial weight'!$C$5:$C$2000,MATCH(H362, 'Green_rooibos initial weight'!$A$5:$A$2000,0)),"")</f>
        <v>2.0339999999999998</v>
      </c>
      <c r="K362">
        <f>IFERROR(INDEX('Green_rooibos initial weight'!$C$5:$C$2000,MATCH(I362, 'Green_rooibos initial weight'!$A$5:$A$2000,0)),"")</f>
        <v>2.2480000000000002</v>
      </c>
      <c r="L362" s="194">
        <f t="shared" si="58"/>
        <v>1.7841999999999998</v>
      </c>
      <c r="M362" s="194">
        <f>AVERAGE(Ashed_controlls!$K$2:$K$11)</f>
        <v>5.5147656768714146</v>
      </c>
      <c r="N362" s="194">
        <f t="shared" si="55"/>
        <v>1.6858055507932601</v>
      </c>
      <c r="O362" s="194">
        <f t="shared" si="59"/>
        <v>1.9982000000000002</v>
      </c>
      <c r="P362" s="194">
        <f>AVERAGE(Ashed_controlls!$K$12:$K$14)</f>
        <v>2.2816647271287041</v>
      </c>
      <c r="Q362" s="194">
        <f t="shared" si="60"/>
        <v>1.9526077754225144</v>
      </c>
      <c r="R362" s="16">
        <f>IF('WetLitterbags placem_collection'!G69="","",'WetLitterbags placem_collection'!G69)</f>
        <v>42818</v>
      </c>
      <c r="S362" s="194">
        <f>IFERROR(INDEX('Both teabags AfterWet'!$C$3:$C$2000,MATCH(H362,'Both teabags AfterWet'!$A$3:$A$2000,0)),"")</f>
        <v>0.92510000000000003</v>
      </c>
      <c r="T362" s="194">
        <f>IFERROR(INDEX('Both teabags AfterWet'!$C$3:$C$2000,MATCH(I362,'Both teabags AfterWet'!$A$3:$A$2000,0)),"")</f>
        <v>1.5427999999999999</v>
      </c>
      <c r="U362" s="194">
        <f t="shared" si="61"/>
        <v>0.77449999999999997</v>
      </c>
      <c r="V362" s="194">
        <f t="shared" si="62"/>
        <v>1.3921999999999999</v>
      </c>
      <c r="W362" s="194">
        <f>IFERROR(INDEX('Ashed teabags wet'!$K$2:$K$2000,MATCH(H362,'Ashed teabags wet'!$A$2:$A$2000,0)),"")</f>
        <v>10.402684563757722</v>
      </c>
      <c r="X362" s="233">
        <f>IFERROR(INDEX('Ashed teabags wet'!$K$2:$K$2000,MATCH(I362,'Ashed teabags wet'!$A$2:$A$2000,0)),"")</f>
        <v>3.2098765432091394</v>
      </c>
      <c r="Y362" s="194">
        <f t="shared" si="67"/>
        <v>0.69393120805369646</v>
      </c>
      <c r="Z362" s="194">
        <f t="shared" si="67"/>
        <v>1.3475120987654423</v>
      </c>
      <c r="AA362" s="194">
        <f t="shared" si="63"/>
        <v>0.58836817939817232</v>
      </c>
      <c r="AB362" s="194">
        <f t="shared" si="64"/>
        <v>0.385723557040132</v>
      </c>
      <c r="AC362" s="194">
        <f t="shared" si="56"/>
        <v>0.69010894851827642</v>
      </c>
      <c r="AD362">
        <f t="shared" si="57"/>
        <v>51</v>
      </c>
      <c r="AE362" s="194">
        <f t="shared" si="65"/>
        <v>0.30122544014468844</v>
      </c>
      <c r="AF362" s="194">
        <f t="shared" si="66"/>
        <v>3.1893998146449359E-2</v>
      </c>
      <c r="AG362" s="245" t="str">
        <f>IF(ISNUMBER(SEARCH("C",'WetLitterbags placem_collection'!$Y69)),"YES","NO")</f>
        <v>NO</v>
      </c>
      <c r="AH362" s="245" t="str">
        <f>IF(ISNUMBER(SEARCH("H", 'WetLitterbags placem_collection'!$Y69)),"YES","NO")</f>
        <v>NO</v>
      </c>
      <c r="AI362" s="245" t="str">
        <f>IF(ISNUMBER(SEARCH("R", 'WetLitterbags placem_collection'!$Y69)),"YES","NO")</f>
        <v>NO</v>
      </c>
      <c r="AJ362" s="245" t="str">
        <f>IF(ISNUMBER(SEARCH("C", 'WetLitterbags placem_collection'!$W69)),"YES","NO")</f>
        <v>NO</v>
      </c>
      <c r="AK362" s="245" t="str">
        <f>IF(ISNUMBER(SEARCH("H", 'WetLitterbags placem_collection'!$W69)),"YES","NO")</f>
        <v>NO</v>
      </c>
      <c r="AL362" s="245" t="str">
        <f>IF(ISNUMBER(SEARCH("R", 'WetLitterbags placem_collection'!$W69)),"YES","NO")</f>
        <v>NO</v>
      </c>
    </row>
    <row r="363" spans="2:38">
      <c r="B363" t="str">
        <f>Wetseason!B509</f>
        <v>Wet</v>
      </c>
      <c r="C363" s="253">
        <f>Wetseason!C509</f>
        <v>68</v>
      </c>
      <c r="D363" t="s">
        <v>3111</v>
      </c>
      <c r="E363" t="s">
        <v>25</v>
      </c>
      <c r="F363" s="375">
        <v>4</v>
      </c>
      <c r="G363" s="16">
        <f>'WetLitterbags placem_collection'!E70</f>
        <v>42767</v>
      </c>
      <c r="H363" s="92" t="str">
        <f>Wetseason!L509</f>
        <v>G477</v>
      </c>
      <c r="I363" t="str">
        <f>Wetseason!L729</f>
        <v>R9</v>
      </c>
      <c r="J363">
        <f>IFERROR(INDEX('Green_rooibos initial weight'!$C$5:$C$2000,MATCH(H363, 'Green_rooibos initial weight'!$A$5:$A$2000,0)),"")</f>
        <v>2.073</v>
      </c>
      <c r="K363">
        <f>IFERROR(INDEX('Green_rooibos initial weight'!$C$5:$C$2000,MATCH(I363, 'Green_rooibos initial weight'!$A$5:$A$2000,0)),"")</f>
        <v>2.2679999999999998</v>
      </c>
      <c r="L363" s="194">
        <f t="shared" si="58"/>
        <v>1.8231999999999999</v>
      </c>
      <c r="M363" s="194">
        <f>AVERAGE(Ashed_controlls!$K$2:$K$11)</f>
        <v>5.5147656768714146</v>
      </c>
      <c r="N363" s="194">
        <f t="shared" si="55"/>
        <v>1.7226547921792803</v>
      </c>
      <c r="O363" s="194">
        <f t="shared" si="59"/>
        <v>2.0181999999999998</v>
      </c>
      <c r="P363" s="194">
        <f>AVERAGE(Ashed_controlls!$K$12:$K$14)</f>
        <v>2.2816647271287041</v>
      </c>
      <c r="Q363" s="194">
        <f t="shared" si="60"/>
        <v>1.9721514424770883</v>
      </c>
      <c r="R363" s="16">
        <f>IF('WetLitterbags placem_collection'!G70="","",'WetLitterbags placem_collection'!G70)</f>
        <v>42818</v>
      </c>
      <c r="S363" s="194">
        <f>IFERROR(INDEX('Both teabags AfterWet'!$C$3:$C$2000,MATCH(H363,'Both teabags AfterWet'!$A$3:$A$2000,0)),"")</f>
        <v>0.90500000000000003</v>
      </c>
      <c r="T363" s="194">
        <f>IFERROR(INDEX('Both teabags AfterWet'!$C$3:$C$2000,MATCH(I363,'Both teabags AfterWet'!$A$3:$A$2000,0)),"")</f>
        <v>1.7050000000000001</v>
      </c>
      <c r="U363" s="194">
        <f t="shared" si="61"/>
        <v>0.75439999999999996</v>
      </c>
      <c r="V363" s="194">
        <f t="shared" si="62"/>
        <v>1.5544</v>
      </c>
      <c r="W363" s="194">
        <f>IFERROR(INDEX('Ashed teabags wet'!$K$2:$K$2000,MATCH(H363,'Ashed teabags wet'!$A$2:$A$2000,0)),"")</f>
        <v>16.691358024691656</v>
      </c>
      <c r="X363" s="233">
        <f>IFERROR(INDEX('Ashed teabags wet'!$K$2:$K$2000,MATCH(I363,'Ashed teabags wet'!$A$2:$A$2000,0)),"")</f>
        <v>6.1938061938065374</v>
      </c>
      <c r="Y363" s="194">
        <f t="shared" si="67"/>
        <v>0.62848039506172615</v>
      </c>
      <c r="Z363" s="194">
        <f t="shared" si="67"/>
        <v>1.4581234765234712</v>
      </c>
      <c r="AA363" s="194">
        <f t="shared" si="63"/>
        <v>0.63516753448515706</v>
      </c>
      <c r="AB363" s="194">
        <f t="shared" si="64"/>
        <v>0.41640436940119568</v>
      </c>
      <c r="AC363" s="194">
        <f t="shared" si="56"/>
        <v>0.73935674772116855</v>
      </c>
      <c r="AD363">
        <f t="shared" si="57"/>
        <v>51</v>
      </c>
      <c r="AE363" s="194">
        <f t="shared" si="65"/>
        <v>0.24564425833116732</v>
      </c>
      <c r="AF363" s="194">
        <f t="shared" si="66"/>
        <v>1.928104503630089E-2</v>
      </c>
      <c r="AG363" s="245" t="str">
        <f>IF(ISNUMBER(SEARCH("C",'WetLitterbags placem_collection'!$Y70)),"YES","NO")</f>
        <v>NO</v>
      </c>
      <c r="AH363" s="245" t="str">
        <f>IF(ISNUMBER(SEARCH("H", 'WetLitterbags placem_collection'!$Y70)),"YES","NO")</f>
        <v>NO</v>
      </c>
      <c r="AI363" s="245" t="str">
        <f>IF(ISNUMBER(SEARCH("R", 'WetLitterbags placem_collection'!$Y70)),"YES","NO")</f>
        <v>NO</v>
      </c>
      <c r="AJ363" s="245" t="str">
        <f>IF(ISNUMBER(SEARCH("C", 'WetLitterbags placem_collection'!$W70)),"YES","NO")</f>
        <v>NO</v>
      </c>
      <c r="AK363" s="245" t="str">
        <f>IF(ISNUMBER(SEARCH("H", 'WetLitterbags placem_collection'!$W70)),"YES","NO")</f>
        <v>NO</v>
      </c>
      <c r="AL363" s="245" t="str">
        <f>IF(ISNUMBER(SEARCH("R", 'WetLitterbags placem_collection'!$W70)),"YES","NO")</f>
        <v>NO</v>
      </c>
    </row>
    <row r="364" spans="2:38">
      <c r="B364" t="str">
        <f>Wetseason!B510</f>
        <v>Wet</v>
      </c>
      <c r="C364" s="253">
        <f>Wetseason!C510</f>
        <v>69</v>
      </c>
      <c r="D364" t="s">
        <v>3111</v>
      </c>
      <c r="E364" t="s">
        <v>25</v>
      </c>
      <c r="F364" s="375">
        <v>5</v>
      </c>
      <c r="G364" s="16">
        <f>'WetLitterbags placem_collection'!E71</f>
        <v>42767</v>
      </c>
      <c r="H364" s="92" t="str">
        <f>Wetseason!L510</f>
        <v>G386</v>
      </c>
      <c r="I364" t="str">
        <f>Wetseason!L730</f>
        <v>R251</v>
      </c>
      <c r="J364">
        <f>IFERROR(INDEX('Green_rooibos initial weight'!$C$5:$C$2000,MATCH(H364, 'Green_rooibos initial weight'!$A$5:$A$2000,0)),"")</f>
        <v>1.897</v>
      </c>
      <c r="K364">
        <f>IFERROR(INDEX('Green_rooibos initial weight'!$C$5:$C$2000,MATCH(I364, 'Green_rooibos initial weight'!$A$5:$A$2000,0)),"")</f>
        <v>2.266</v>
      </c>
      <c r="L364" s="194">
        <f t="shared" si="58"/>
        <v>1.6472</v>
      </c>
      <c r="M364" s="194">
        <f>AVERAGE(Ashed_controlls!$K$2:$K$11)</f>
        <v>5.5147656768714146</v>
      </c>
      <c r="N364" s="194">
        <f t="shared" si="55"/>
        <v>1.5563607797705741</v>
      </c>
      <c r="O364" s="194">
        <f t="shared" si="59"/>
        <v>2.0162</v>
      </c>
      <c r="P364" s="194">
        <f>AVERAGE(Ashed_controlls!$K$12:$K$14)</f>
        <v>2.2816647271287041</v>
      </c>
      <c r="Q364" s="194">
        <f t="shared" si="60"/>
        <v>1.9701970757716312</v>
      </c>
      <c r="R364" s="16">
        <f>IF('WetLitterbags placem_collection'!G71="","",'WetLitterbags placem_collection'!G71)</f>
        <v>42818</v>
      </c>
      <c r="S364" s="194">
        <f>IFERROR(INDEX('Both teabags AfterWet'!$C$3:$C$2000,MATCH(H364,'Both teabags AfterWet'!$A$3:$A$2000,0)),"")</f>
        <v>0.98899999999999999</v>
      </c>
      <c r="T364" s="194">
        <f>IFERROR(INDEX('Both teabags AfterWet'!$C$3:$C$2000,MATCH(I364,'Both teabags AfterWet'!$A$3:$A$2000,0)),"")</f>
        <v>1.8979999999999999</v>
      </c>
      <c r="U364" s="194">
        <f t="shared" si="61"/>
        <v>0.83840000000000003</v>
      </c>
      <c r="V364" s="194">
        <f t="shared" si="62"/>
        <v>1.7473999999999998</v>
      </c>
      <c r="W364" s="194">
        <f>IFERROR(INDEX('Ashed teabags wet'!$K$2:$K$2000,MATCH(H364,'Ashed teabags wet'!$A$2:$A$2000,0)),"")</f>
        <v>28.64945382323781</v>
      </c>
      <c r="X364" s="233">
        <f>IFERROR(INDEX('Ashed teabags wet'!$K$2:$K$2000,MATCH(I364,'Ashed teabags wet'!$A$2:$A$2000,0)),"")</f>
        <v>14.026483570377628</v>
      </c>
      <c r="Y364" s="194">
        <f t="shared" si="67"/>
        <v>0.5982029791459742</v>
      </c>
      <c r="Z364" s="194">
        <f t="shared" si="67"/>
        <v>1.5023012260912212</v>
      </c>
      <c r="AA364" s="194">
        <f t="shared" si="63"/>
        <v>0.61563990372839106</v>
      </c>
      <c r="AB364" s="194">
        <f t="shared" si="64"/>
        <v>0.40360240719485974</v>
      </c>
      <c r="AC364" s="194">
        <f t="shared" si="56"/>
        <v>0.76251317422285902</v>
      </c>
      <c r="AD364">
        <f t="shared" si="57"/>
        <v>51</v>
      </c>
      <c r="AE364" s="194">
        <f t="shared" si="65"/>
        <v>0.26883621884989184</v>
      </c>
      <c r="AF364" s="194">
        <f t="shared" si="66"/>
        <v>1.7406792805858589E-2</v>
      </c>
      <c r="AG364" s="245" t="str">
        <f>IF(ISNUMBER(SEARCH("C",'WetLitterbags placem_collection'!$Y71)),"YES","NO")</f>
        <v>NO</v>
      </c>
      <c r="AH364" s="245" t="str">
        <f>IF(ISNUMBER(SEARCH("H", 'WetLitterbags placem_collection'!$Y71)),"YES","NO")</f>
        <v>NO</v>
      </c>
      <c r="AI364" s="245" t="str">
        <f>IF(ISNUMBER(SEARCH("R", 'WetLitterbags placem_collection'!$Y71)),"YES","NO")</f>
        <v>YES</v>
      </c>
      <c r="AJ364" s="245" t="str">
        <f>IF(ISNUMBER(SEARCH("C", 'WetLitterbags placem_collection'!$W71)),"YES","NO")</f>
        <v>NO</v>
      </c>
      <c r="AK364" s="245" t="str">
        <f>IF(ISNUMBER(SEARCH("H", 'WetLitterbags placem_collection'!$W71)),"YES","NO")</f>
        <v>NO</v>
      </c>
      <c r="AL364" s="245" t="str">
        <f>IF(ISNUMBER(SEARCH("R", 'WetLitterbags placem_collection'!$W71)),"YES","NO")</f>
        <v>NO</v>
      </c>
    </row>
    <row r="365" spans="2:38">
      <c r="B365" t="str">
        <f>Wetseason!B511</f>
        <v>Wet</v>
      </c>
      <c r="C365" s="253">
        <f>Wetseason!C511</f>
        <v>70</v>
      </c>
      <c r="D365" t="s">
        <v>3111</v>
      </c>
      <c r="E365" t="s">
        <v>25</v>
      </c>
      <c r="F365" s="375">
        <v>6</v>
      </c>
      <c r="G365" s="16">
        <f>'WetLitterbags placem_collection'!E72</f>
        <v>42767</v>
      </c>
      <c r="H365" s="92" t="str">
        <f>Wetseason!L511</f>
        <v>G414</v>
      </c>
      <c r="I365" t="str">
        <f>Wetseason!L731</f>
        <v>R266</v>
      </c>
      <c r="J365">
        <f>IFERROR(INDEX('Green_rooibos initial weight'!$C$5:$C$2000,MATCH(H365, 'Green_rooibos initial weight'!$A$5:$A$2000,0)),"")</f>
        <v>2.0590000000000002</v>
      </c>
      <c r="K365">
        <f>IFERROR(INDEX('Green_rooibos initial weight'!$C$5:$C$2000,MATCH(I365, 'Green_rooibos initial weight'!$A$5:$A$2000,0)),"")</f>
        <v>2.1720000000000002</v>
      </c>
      <c r="L365" s="194">
        <f t="shared" si="58"/>
        <v>1.8092000000000001</v>
      </c>
      <c r="M365" s="194">
        <f>AVERAGE(Ashed_controlls!$K$2:$K$11)</f>
        <v>5.5147656768714146</v>
      </c>
      <c r="N365" s="194">
        <f t="shared" si="55"/>
        <v>1.7094268593740425</v>
      </c>
      <c r="O365" s="194">
        <f t="shared" si="59"/>
        <v>1.9222000000000001</v>
      </c>
      <c r="P365" s="194">
        <f>AVERAGE(Ashed_controlls!$K$12:$K$14)</f>
        <v>2.2816647271287041</v>
      </c>
      <c r="Q365" s="194">
        <f t="shared" si="60"/>
        <v>1.8783418406151322</v>
      </c>
      <c r="R365" s="16">
        <f>IF('WetLitterbags placem_collection'!G72="","",'WetLitterbags placem_collection'!G72)</f>
        <v>42818</v>
      </c>
      <c r="S365" s="194">
        <f>IFERROR(INDEX('Both teabags AfterWet'!$C$3:$C$2000,MATCH(H365,'Both teabags AfterWet'!$A$3:$A$2000,0)),"")</f>
        <v>0.84099999999999997</v>
      </c>
      <c r="T365" s="194">
        <f>IFERROR(INDEX('Both teabags AfterWet'!$C$3:$C$2000,MATCH(I365,'Both teabags AfterWet'!$A$3:$A$2000,0)),"")</f>
        <v>1.599</v>
      </c>
      <c r="U365" s="194">
        <f t="shared" si="61"/>
        <v>0.6903999999999999</v>
      </c>
      <c r="V365" s="194">
        <f t="shared" si="62"/>
        <v>1.4483999999999999</v>
      </c>
      <c r="W365" s="194">
        <f>IFERROR(INDEX('Ashed teabags wet'!$K$2:$K$2000,MATCH(H365,'Ashed teabags wet'!$A$2:$A$2000,0)),"")</f>
        <v>8.7493821057836652</v>
      </c>
      <c r="X365" s="233">
        <f>IFERROR(INDEX('Ashed teabags wet'!$K$2:$K$2000,MATCH(I365,'Ashed teabags wet'!$A$2:$A$2000,0)),"")</f>
        <v>2.9397110114603966</v>
      </c>
      <c r="Y365" s="194">
        <f t="shared" si="67"/>
        <v>0.62999426594166952</v>
      </c>
      <c r="Z365" s="194">
        <f t="shared" si="67"/>
        <v>1.4058212257100076</v>
      </c>
      <c r="AA365" s="194">
        <f t="shared" si="63"/>
        <v>0.63145877667304195</v>
      </c>
      <c r="AB365" s="194">
        <f t="shared" si="64"/>
        <v>0.41397297473102046</v>
      </c>
      <c r="AC365" s="194">
        <f t="shared" si="56"/>
        <v>0.7484373692328653</v>
      </c>
      <c r="AD365">
        <f t="shared" si="57"/>
        <v>51</v>
      </c>
      <c r="AE365" s="194">
        <f t="shared" si="65"/>
        <v>0.25004895882061517</v>
      </c>
      <c r="AF365" s="194">
        <f t="shared" si="66"/>
        <v>1.834656025900035E-2</v>
      </c>
      <c r="AG365" s="245" t="str">
        <f>IF(ISNUMBER(SEARCH("C",'WetLitterbags placem_collection'!$Y72)),"YES","NO")</f>
        <v>NO</v>
      </c>
      <c r="AH365" s="245" t="str">
        <f>IF(ISNUMBER(SEARCH("H", 'WetLitterbags placem_collection'!$Y72)),"YES","NO")</f>
        <v>NO</v>
      </c>
      <c r="AI365" s="245" t="str">
        <f>IF(ISNUMBER(SEARCH("R", 'WetLitterbags placem_collection'!$Y72)),"YES","NO")</f>
        <v>YES</v>
      </c>
      <c r="AJ365" s="245" t="str">
        <f>IF(ISNUMBER(SEARCH("C", 'WetLitterbags placem_collection'!$W72)),"YES","NO")</f>
        <v>YES</v>
      </c>
      <c r="AK365" s="245" t="str">
        <f>IF(ISNUMBER(SEARCH("H", 'WetLitterbags placem_collection'!$W72)),"YES","NO")</f>
        <v>YES</v>
      </c>
      <c r="AL365" s="245" t="str">
        <f>IF(ISNUMBER(SEARCH("R", 'WetLitterbags placem_collection'!$W72)),"YES","NO")</f>
        <v>YES</v>
      </c>
    </row>
    <row r="366" spans="2:38">
      <c r="B366" t="str">
        <f>Wetseason!B512</f>
        <v>Wet</v>
      </c>
      <c r="C366" s="253">
        <f>Wetseason!C512</f>
        <v>71</v>
      </c>
      <c r="D366" t="s">
        <v>3111</v>
      </c>
      <c r="E366" t="s">
        <v>25</v>
      </c>
      <c r="F366" s="375">
        <v>7</v>
      </c>
      <c r="G366" s="16">
        <f>'WetLitterbags placem_collection'!E73</f>
        <v>42767</v>
      </c>
      <c r="H366" s="92" t="str">
        <f>Wetseason!L512</f>
        <v>G459</v>
      </c>
      <c r="I366" t="str">
        <f>Wetseason!L732</f>
        <v>R528</v>
      </c>
      <c r="J366">
        <f>IFERROR(INDEX('Green_rooibos initial weight'!$C$5:$C$2000,MATCH(H366, 'Green_rooibos initial weight'!$A$5:$A$2000,0)),"")</f>
        <v>2.0449999999999999</v>
      </c>
      <c r="K366">
        <f>IFERROR(INDEX('Green_rooibos initial weight'!$C$5:$C$2000,MATCH(I366, 'Green_rooibos initial weight'!$A$5:$A$2000,0)),"")</f>
        <v>2.1019999999999999</v>
      </c>
      <c r="L366" s="194">
        <f t="shared" si="58"/>
        <v>1.7951999999999999</v>
      </c>
      <c r="M366" s="194">
        <f>AVERAGE(Ashed_controlls!$K$2:$K$11)</f>
        <v>5.5147656768714146</v>
      </c>
      <c r="N366" s="194">
        <f t="shared" si="55"/>
        <v>1.6961989265688042</v>
      </c>
      <c r="O366" s="194">
        <f t="shared" si="59"/>
        <v>1.8521999999999998</v>
      </c>
      <c r="P366" s="194">
        <f>AVERAGE(Ashed_controlls!$K$12:$K$14)</f>
        <v>2.2816647271287041</v>
      </c>
      <c r="Q366" s="194">
        <f t="shared" si="60"/>
        <v>1.809939005924122</v>
      </c>
      <c r="R366" s="16">
        <f>IF('WetLitterbags placem_collection'!G73="","",'WetLitterbags placem_collection'!G73)</f>
        <v>42818</v>
      </c>
      <c r="S366" s="194">
        <f>IFERROR(INDEX('Both teabags AfterWet'!$C$3:$C$2000,MATCH(H366,'Both teabags AfterWet'!$A$3:$A$2000,0)),"")</f>
        <v>0.89149999999999996</v>
      </c>
      <c r="T366" s="194">
        <f>IFERROR(INDEX('Both teabags AfterWet'!$C$3:$C$2000,MATCH(I366,'Both teabags AfterWet'!$A$3:$A$2000,0)),"")</f>
        <v>1.5779000000000001</v>
      </c>
      <c r="U366" s="194">
        <f t="shared" si="61"/>
        <v>0.74089999999999989</v>
      </c>
      <c r="V366" s="194">
        <f t="shared" si="62"/>
        <v>1.4273</v>
      </c>
      <c r="W366" s="194">
        <f>IFERROR(INDEX('Ashed teabags wet'!$K$2:$K$2000,MATCH(H366,'Ashed teabags wet'!$A$2:$A$2000,0)),"")</f>
        <v>7.7519379844959557</v>
      </c>
      <c r="X366" s="233">
        <f>IFERROR(INDEX('Ashed teabags wet'!$K$2:$K$2000,MATCH(I366,'Ashed teabags wet'!$A$2:$A$2000,0)),"")</f>
        <v>2.689243027888772</v>
      </c>
      <c r="Y366" s="194">
        <f t="shared" si="67"/>
        <v>0.6834658914728694</v>
      </c>
      <c r="Z366" s="194">
        <f t="shared" si="67"/>
        <v>1.3889164342629436</v>
      </c>
      <c r="AA366" s="194">
        <f t="shared" si="63"/>
        <v>0.59706029713423159</v>
      </c>
      <c r="AB366" s="194">
        <f t="shared" si="64"/>
        <v>0.39142195251555328</v>
      </c>
      <c r="AC366" s="194">
        <f t="shared" si="56"/>
        <v>0.76738300556917838</v>
      </c>
      <c r="AD366">
        <f t="shared" si="57"/>
        <v>51</v>
      </c>
      <c r="AE366" s="194">
        <f t="shared" si="65"/>
        <v>0.29090225993559193</v>
      </c>
      <c r="AF366" s="194">
        <f t="shared" si="66"/>
        <v>1.7688419020203114E-2</v>
      </c>
      <c r="AG366" s="245" t="str">
        <f>IF(ISNUMBER(SEARCH("C",'WetLitterbags placem_collection'!$Y73)),"YES","NO")</f>
        <v>NO</v>
      </c>
      <c r="AH366" s="245" t="str">
        <f>IF(ISNUMBER(SEARCH("H", 'WetLitterbags placem_collection'!$Y73)),"YES","NO")</f>
        <v>NO</v>
      </c>
      <c r="AI366" s="245" t="str">
        <f>IF(ISNUMBER(SEARCH("R", 'WetLitterbags placem_collection'!$Y73)),"YES","NO")</f>
        <v>NO</v>
      </c>
      <c r="AJ366" s="245" t="str">
        <f>IF(ISNUMBER(SEARCH("C", 'WetLitterbags placem_collection'!$W73)),"YES","NO")</f>
        <v>NO</v>
      </c>
      <c r="AK366" s="245" t="str">
        <f>IF(ISNUMBER(SEARCH("H", 'WetLitterbags placem_collection'!$W73)),"YES","NO")</f>
        <v>NO</v>
      </c>
      <c r="AL366" s="245" t="str">
        <f>IF(ISNUMBER(SEARCH("R", 'WetLitterbags placem_collection'!$W73)),"YES","NO")</f>
        <v>YES</v>
      </c>
    </row>
    <row r="367" spans="2:38">
      <c r="B367" t="str">
        <f>Wetseason!B513</f>
        <v>Wet</v>
      </c>
      <c r="C367" s="253">
        <f>Wetseason!C513</f>
        <v>72</v>
      </c>
      <c r="D367" t="s">
        <v>3111</v>
      </c>
      <c r="E367" t="s">
        <v>25</v>
      </c>
      <c r="F367" s="375">
        <v>8</v>
      </c>
      <c r="G367" s="16">
        <f>'WetLitterbags placem_collection'!E74</f>
        <v>42767</v>
      </c>
      <c r="H367" s="92" t="str">
        <f>Wetseason!L513</f>
        <v>G627</v>
      </c>
      <c r="I367" t="str">
        <f>Wetseason!L733</f>
        <v>R14</v>
      </c>
      <c r="J367">
        <f>IFERROR(INDEX('Green_rooibos initial weight'!$C$5:$C$2000,MATCH(H367, 'Green_rooibos initial weight'!$A$5:$A$2000,0)),"")</f>
        <v>2.153</v>
      </c>
      <c r="K367">
        <f>IFERROR(INDEX('Green_rooibos initial weight'!$C$5:$C$2000,MATCH(I367, 'Green_rooibos initial weight'!$A$5:$A$2000,0)),"")</f>
        <v>2.181</v>
      </c>
      <c r="L367" s="194">
        <f t="shared" si="58"/>
        <v>1.9032</v>
      </c>
      <c r="M367" s="194">
        <f>AVERAGE(Ashed_controlls!$K$2:$K$11)</f>
        <v>5.5147656768714146</v>
      </c>
      <c r="N367" s="194">
        <f t="shared" si="55"/>
        <v>1.7982429796377832</v>
      </c>
      <c r="O367" s="194">
        <f t="shared" si="59"/>
        <v>1.9312</v>
      </c>
      <c r="P367" s="194">
        <f>AVERAGE(Ashed_controlls!$K$12:$K$14)</f>
        <v>2.2816647271287041</v>
      </c>
      <c r="Q367" s="194">
        <f t="shared" si="60"/>
        <v>1.8871364907896906</v>
      </c>
      <c r="R367" s="16">
        <f>IF('WetLitterbags placem_collection'!G74="","",'WetLitterbags placem_collection'!G74)</f>
        <v>42818</v>
      </c>
      <c r="S367" s="194">
        <f>IFERROR(INDEX('Both teabags AfterWet'!$C$3:$C$2000,MATCH(H367,'Both teabags AfterWet'!$A$3:$A$2000,0)),"")</f>
        <v>0.86350000000000005</v>
      </c>
      <c r="T367" s="194">
        <f>IFERROR(INDEX('Both teabags AfterWet'!$C$3:$C$2000,MATCH(I367,'Both teabags AfterWet'!$A$3:$A$2000,0)),"")</f>
        <v>1.5603</v>
      </c>
      <c r="U367" s="194">
        <f t="shared" si="61"/>
        <v>0.71290000000000009</v>
      </c>
      <c r="V367" s="194">
        <f t="shared" si="62"/>
        <v>1.4097</v>
      </c>
      <c r="W367" s="194">
        <f>IFERROR(INDEX('Ashed teabags wet'!$K$2:$K$2000,MATCH(H367,'Ashed teabags wet'!$A$2:$A$2000,0)),"")</f>
        <v>8.0899952130205044</v>
      </c>
      <c r="X367" s="233">
        <f>IFERROR(INDEX('Ashed teabags wet'!$K$2:$K$2000,MATCH(I367,'Ashed teabags wet'!$A$2:$A$2000,0)),"")</f>
        <v>3.0571992110453157</v>
      </c>
      <c r="Y367" s="194">
        <f t="shared" si="67"/>
        <v>0.65522642412637688</v>
      </c>
      <c r="Z367" s="194">
        <f t="shared" si="67"/>
        <v>1.3666026627218941</v>
      </c>
      <c r="AA367" s="194">
        <f t="shared" si="63"/>
        <v>0.63562964986057779</v>
      </c>
      <c r="AB367" s="194">
        <f t="shared" si="64"/>
        <v>0.4167073238990962</v>
      </c>
      <c r="AC367" s="194">
        <f t="shared" si="56"/>
        <v>0.72416736647916014</v>
      </c>
      <c r="AD367">
        <f t="shared" si="57"/>
        <v>51</v>
      </c>
      <c r="AE367" s="194">
        <f t="shared" si="65"/>
        <v>0.2450954277190287</v>
      </c>
      <c r="AF367" s="194">
        <f t="shared" si="66"/>
        <v>2.1264967445402353E-2</v>
      </c>
      <c r="AG367" s="245" t="str">
        <f>IF(ISNUMBER(SEARCH("C",'WetLitterbags placem_collection'!$Y74)),"YES","NO")</f>
        <v>NO</v>
      </c>
      <c r="AH367" s="245" t="str">
        <f>IF(ISNUMBER(SEARCH("H", 'WetLitterbags placem_collection'!$Y74)),"YES","NO")</f>
        <v>NO</v>
      </c>
      <c r="AI367" s="245" t="str">
        <f>IF(ISNUMBER(SEARCH("R", 'WetLitterbags placem_collection'!$Y74)),"YES","NO")</f>
        <v>NO</v>
      </c>
      <c r="AJ367" s="245" t="str">
        <f>IF(ISNUMBER(SEARCH("C", 'WetLitterbags placem_collection'!$W74)),"YES","NO")</f>
        <v>NO</v>
      </c>
      <c r="AK367" s="245" t="str">
        <f>IF(ISNUMBER(SEARCH("H", 'WetLitterbags placem_collection'!$W74)),"YES","NO")</f>
        <v>NO</v>
      </c>
      <c r="AL367" s="245" t="str">
        <f>IF(ISNUMBER(SEARCH("R", 'WetLitterbags placem_collection'!$W74)),"YES","NO")</f>
        <v>NO</v>
      </c>
    </row>
    <row r="368" spans="2:38">
      <c r="B368" t="str">
        <f>Wetseason!B514</f>
        <v>Wet</v>
      </c>
      <c r="C368" s="253">
        <f>Wetseason!C514</f>
        <v>73</v>
      </c>
      <c r="D368" t="s">
        <v>3113</v>
      </c>
      <c r="E368" t="s">
        <v>25</v>
      </c>
      <c r="F368" s="374">
        <v>1</v>
      </c>
      <c r="G368" s="16">
        <f>'WetLitterbags placem_collection'!E75</f>
        <v>42767</v>
      </c>
      <c r="H368" s="92" t="str">
        <f>Wetseason!L514</f>
        <v>G498</v>
      </c>
      <c r="I368" t="str">
        <f>Wetseason!L734</f>
        <v>R393</v>
      </c>
      <c r="J368">
        <f>IFERROR(INDEX('Green_rooibos initial weight'!$C$5:$C$2000,MATCH(H368, 'Green_rooibos initial weight'!$A$5:$A$2000,0)),"")</f>
        <v>1.744</v>
      </c>
      <c r="K368">
        <f>IFERROR(INDEX('Green_rooibos initial weight'!$C$5:$C$2000,MATCH(I368, 'Green_rooibos initial weight'!$A$5:$A$2000,0)),"")</f>
        <v>2.1829999999999998</v>
      </c>
      <c r="L368" s="194">
        <f t="shared" si="58"/>
        <v>1.4942</v>
      </c>
      <c r="M368" s="194">
        <f>AVERAGE(Ashed_controlls!$K$2:$K$11)</f>
        <v>5.5147656768714146</v>
      </c>
      <c r="N368" s="194">
        <f t="shared" si="55"/>
        <v>1.4117983712561872</v>
      </c>
      <c r="O368" s="194">
        <f t="shared" si="59"/>
        <v>1.9331999999999998</v>
      </c>
      <c r="P368" s="194">
        <f>AVERAGE(Ashed_controlls!$K$12:$K$14)</f>
        <v>2.2816647271287041</v>
      </c>
      <c r="Q368" s="194">
        <f t="shared" si="60"/>
        <v>1.8890908574951477</v>
      </c>
      <c r="R368" s="16">
        <f>IF('WetLitterbags placem_collection'!G75="","",'WetLitterbags placem_collection'!G75)</f>
        <v>42818</v>
      </c>
      <c r="S368" s="194">
        <f>IFERROR(INDEX('Both teabags AfterWet'!$C$3:$C$2000,MATCH(H368,'Both teabags AfterWet'!$A$3:$A$2000,0)),"")</f>
        <v>0.73209999999999997</v>
      </c>
      <c r="T368" s="194">
        <f>IFERROR(INDEX('Both teabags AfterWet'!$C$3:$C$2000,MATCH(I368,'Both teabags AfterWet'!$A$3:$A$2000,0)),"")</f>
        <v>1.6598999999999999</v>
      </c>
      <c r="U368" s="194">
        <f t="shared" si="61"/>
        <v>0.58149999999999991</v>
      </c>
      <c r="V368" s="194">
        <f t="shared" si="62"/>
        <v>1.5092999999999999</v>
      </c>
      <c r="W368" s="194">
        <f>IFERROR(INDEX('Ashed teabags wet'!$K$2:$K$2000,MATCH(H368,'Ashed teabags wet'!$A$2:$A$2000,0)),"")</f>
        <v>8.2123184777161153</v>
      </c>
      <c r="X368" s="233">
        <f>IFERROR(INDEX('Ashed teabags wet'!$K$2:$K$2000,MATCH(I368,'Ashed teabags wet'!$A$2:$A$2000,0)),"")</f>
        <v>2.4769305488104898</v>
      </c>
      <c r="Y368" s="194">
        <f t="shared" si="67"/>
        <v>0.53374536805208073</v>
      </c>
      <c r="Z368" s="194">
        <f t="shared" si="67"/>
        <v>1.4719156872268031</v>
      </c>
      <c r="AA368" s="194">
        <f t="shared" si="63"/>
        <v>0.62193937964585855</v>
      </c>
      <c r="AB368" s="194">
        <f t="shared" si="64"/>
        <v>0.40773222988659613</v>
      </c>
      <c r="AC368" s="194">
        <f t="shared" si="56"/>
        <v>0.77916616947609352</v>
      </c>
      <c r="AD368">
        <f t="shared" si="57"/>
        <v>51</v>
      </c>
      <c r="AE368" s="194">
        <f t="shared" si="65"/>
        <v>0.26135465600254326</v>
      </c>
      <c r="AF368" s="194">
        <f t="shared" si="66"/>
        <v>1.5295009987463941E-2</v>
      </c>
      <c r="AG368" s="245" t="str">
        <f>IF(ISNUMBER(SEARCH("C",'WetLitterbags placem_collection'!$Y75)),"YES","NO")</f>
        <v>NO</v>
      </c>
      <c r="AH368" s="245" t="str">
        <f>IF(ISNUMBER(SEARCH("H", 'WetLitterbags placem_collection'!$Y75)),"YES","NO")</f>
        <v>NO</v>
      </c>
      <c r="AI368" s="245" t="str">
        <f>IF(ISNUMBER(SEARCH("R", 'WetLitterbags placem_collection'!$Y75)),"YES","NO")</f>
        <v>YES</v>
      </c>
      <c r="AJ368" s="245" t="str">
        <f>IF(ISNUMBER(SEARCH("C", 'WetLitterbags placem_collection'!$W75)),"YES","NO")</f>
        <v>NO</v>
      </c>
      <c r="AK368" s="245" t="str">
        <f>IF(ISNUMBER(SEARCH("H", 'WetLitterbags placem_collection'!$W75)),"YES","NO")</f>
        <v>YES</v>
      </c>
      <c r="AL368" s="245" t="str">
        <f>IF(ISNUMBER(SEARCH("R", 'WetLitterbags placem_collection'!$W75)),"YES","NO")</f>
        <v>YES</v>
      </c>
    </row>
    <row r="369" spans="2:38">
      <c r="B369" t="str">
        <f>Wetseason!B515</f>
        <v>Wet</v>
      </c>
      <c r="C369" s="253">
        <f>Wetseason!C515</f>
        <v>74</v>
      </c>
      <c r="D369" t="s">
        <v>3113</v>
      </c>
      <c r="E369" t="s">
        <v>25</v>
      </c>
      <c r="F369" s="374">
        <v>2</v>
      </c>
      <c r="G369" s="16">
        <f>'WetLitterbags placem_collection'!E76</f>
        <v>42767</v>
      </c>
      <c r="H369" s="92" t="str">
        <f>Wetseason!L515</f>
        <v>G579</v>
      </c>
      <c r="I369" t="str">
        <f>Wetseason!L735</f>
        <v>R138</v>
      </c>
      <c r="J369">
        <f>IFERROR(INDEX('Green_rooibos initial weight'!$C$5:$C$2000,MATCH(H369, 'Green_rooibos initial weight'!$A$5:$A$2000,0)),"")</f>
        <v>2.012</v>
      </c>
      <c r="K369">
        <f>IFERROR(INDEX('Green_rooibos initial weight'!$C$5:$C$2000,MATCH(I369, 'Green_rooibos initial weight'!$A$5:$A$2000,0)),"")</f>
        <v>2.3140000000000001</v>
      </c>
      <c r="L369" s="194">
        <f t="shared" si="58"/>
        <v>1.7622</v>
      </c>
      <c r="M369" s="194">
        <f>AVERAGE(Ashed_controlls!$K$2:$K$11)</f>
        <v>5.5147656768714146</v>
      </c>
      <c r="N369" s="194">
        <f t="shared" si="55"/>
        <v>1.6650187992421719</v>
      </c>
      <c r="O369" s="194">
        <f t="shared" si="59"/>
        <v>2.0642</v>
      </c>
      <c r="P369" s="194">
        <f>AVERAGE(Ashed_controlls!$K$12:$K$14)</f>
        <v>2.2816647271287041</v>
      </c>
      <c r="Q369" s="194">
        <f t="shared" si="60"/>
        <v>2.0171018767026094</v>
      </c>
      <c r="R369" s="16">
        <f>IF('WetLitterbags placem_collection'!G76="","",'WetLitterbags placem_collection'!G76)</f>
        <v>42818</v>
      </c>
      <c r="S369" s="194">
        <f>IFERROR(INDEX('Both teabags AfterWet'!$C$3:$C$2000,MATCH(H369,'Both teabags AfterWet'!$A$3:$A$2000,0)),"")</f>
        <v>0.74199999999999999</v>
      </c>
      <c r="T369" s="194">
        <f>IFERROR(INDEX('Both teabags AfterWet'!$C$3:$C$2000,MATCH(I369,'Both teabags AfterWet'!$A$3:$A$2000,0)),"")</f>
        <v>1.6850000000000001</v>
      </c>
      <c r="U369" s="194">
        <f t="shared" si="61"/>
        <v>0.59139999999999993</v>
      </c>
      <c r="V369" s="194">
        <f t="shared" si="62"/>
        <v>1.5344</v>
      </c>
      <c r="W369" s="194">
        <f>IFERROR(INDEX('Ashed teabags wet'!$K$2:$K$2000,MATCH(H369,'Ashed teabags wet'!$A$2:$A$2000,0)),"")</f>
        <v>9.0817862518813506</v>
      </c>
      <c r="X369" s="233">
        <f>IFERROR(INDEX('Ashed teabags wet'!$K$2:$K$2000,MATCH(I369,'Ashed teabags wet'!$A$2:$A$2000,0)),"")</f>
        <v>3.6873156342174327</v>
      </c>
      <c r="Y369" s="194">
        <f t="shared" si="67"/>
        <v>0.53769031610637363</v>
      </c>
      <c r="Z369" s="194">
        <f t="shared" si="67"/>
        <v>1.4778218289085676</v>
      </c>
      <c r="AA369" s="194">
        <f t="shared" si="63"/>
        <v>0.67706651939839857</v>
      </c>
      <c r="AB369" s="194">
        <f t="shared" si="64"/>
        <v>0.4438725875390927</v>
      </c>
      <c r="AC369" s="194">
        <f t="shared" si="56"/>
        <v>0.73264610279595199</v>
      </c>
      <c r="AD369">
        <f t="shared" si="57"/>
        <v>51</v>
      </c>
      <c r="AE369" s="194">
        <f t="shared" si="65"/>
        <v>0.19588299358860028</v>
      </c>
      <c r="AF369" s="194">
        <f t="shared" si="66"/>
        <v>1.808060374963431E-2</v>
      </c>
      <c r="AG369" s="245" t="str">
        <f>IF(ISNUMBER(SEARCH("C",'WetLitterbags placem_collection'!$Y76)),"YES","NO")</f>
        <v>NO</v>
      </c>
      <c r="AH369" s="245" t="str">
        <f>IF(ISNUMBER(SEARCH("H", 'WetLitterbags placem_collection'!$Y76)),"YES","NO")</f>
        <v>NO</v>
      </c>
      <c r="AI369" s="245" t="str">
        <f>IF(ISNUMBER(SEARCH("R", 'WetLitterbags placem_collection'!$Y76)),"YES","NO")</f>
        <v>NO</v>
      </c>
      <c r="AJ369" s="245" t="str">
        <f>IF(ISNUMBER(SEARCH("C", 'WetLitterbags placem_collection'!$W76)),"YES","NO")</f>
        <v>YES</v>
      </c>
      <c r="AK369" s="245" t="str">
        <f>IF(ISNUMBER(SEARCH("H", 'WetLitterbags placem_collection'!$W76)),"YES","NO")</f>
        <v>YES</v>
      </c>
      <c r="AL369" s="245" t="str">
        <f>IF(ISNUMBER(SEARCH("R", 'WetLitterbags placem_collection'!$W76)),"YES","NO")</f>
        <v>NO</v>
      </c>
    </row>
    <row r="370" spans="2:38">
      <c r="B370" t="str">
        <f>Wetseason!B516</f>
        <v>Wet</v>
      </c>
      <c r="C370" s="253">
        <f>Wetseason!C516</f>
        <v>75</v>
      </c>
      <c r="D370" t="s">
        <v>3113</v>
      </c>
      <c r="E370" t="s">
        <v>25</v>
      </c>
      <c r="F370" s="374">
        <v>3</v>
      </c>
      <c r="G370" s="16">
        <f>'WetLitterbags placem_collection'!E77</f>
        <v>42767</v>
      </c>
      <c r="H370" s="92" t="str">
        <f>Wetseason!L516</f>
        <v>G373</v>
      </c>
      <c r="I370" t="str">
        <f>Wetseason!L736</f>
        <v>R311</v>
      </c>
      <c r="J370">
        <f>IFERROR(INDEX('Green_rooibos initial weight'!$C$5:$C$2000,MATCH(H370, 'Green_rooibos initial weight'!$A$5:$A$2000,0)),"")</f>
        <v>2.1</v>
      </c>
      <c r="K370">
        <f>IFERROR(INDEX('Green_rooibos initial weight'!$C$5:$C$2000,MATCH(I370, 'Green_rooibos initial weight'!$A$5:$A$2000,0)),"")</f>
        <v>2.2719999999999998</v>
      </c>
      <c r="L370" s="194">
        <f t="shared" si="58"/>
        <v>1.8502000000000001</v>
      </c>
      <c r="M370" s="194">
        <f>AVERAGE(Ashed_controlls!$K$2:$K$11)</f>
        <v>5.5147656768714146</v>
      </c>
      <c r="N370" s="194">
        <f t="shared" si="55"/>
        <v>1.7481658054465252</v>
      </c>
      <c r="O370" s="194">
        <f t="shared" si="59"/>
        <v>2.0221999999999998</v>
      </c>
      <c r="P370" s="194">
        <f>AVERAGE(Ashed_controlls!$K$12:$K$14)</f>
        <v>2.2816647271287041</v>
      </c>
      <c r="Q370" s="194">
        <f t="shared" si="60"/>
        <v>1.9760601758880032</v>
      </c>
      <c r="R370" s="16">
        <f>IF('WetLitterbags placem_collection'!G77="","",'WetLitterbags placem_collection'!G77)</f>
        <v>42818</v>
      </c>
      <c r="S370" s="194">
        <f>IFERROR(INDEX('Both teabags AfterWet'!$C$3:$C$2000,MATCH(H370,'Both teabags AfterWet'!$A$3:$A$2000,0)),"")</f>
        <v>0.93330000000000002</v>
      </c>
      <c r="T370" s="194">
        <f>IFERROR(INDEX('Both teabags AfterWet'!$C$3:$C$2000,MATCH(I370,'Both teabags AfterWet'!$A$3:$A$2000,0)),"")</f>
        <v>1.6715</v>
      </c>
      <c r="U370" s="194">
        <f t="shared" si="61"/>
        <v>0.78269999999999995</v>
      </c>
      <c r="V370" s="194">
        <f t="shared" si="62"/>
        <v>1.5208999999999999</v>
      </c>
      <c r="W370" s="194">
        <f>IFERROR(INDEX('Ashed teabags wet'!$K$2:$K$2000,MATCH(H370,'Ashed teabags wet'!$A$2:$A$2000,0)),"")</f>
        <v>10.547263681591955</v>
      </c>
      <c r="X370" s="233">
        <f>IFERROR(INDEX('Ashed teabags wet'!$K$2:$K$2000,MATCH(I370,'Ashed teabags wet'!$A$2:$A$2000,0)),"")</f>
        <v>3.5363457760311539</v>
      </c>
      <c r="Y370" s="194">
        <f t="shared" si="67"/>
        <v>0.70014656716417978</v>
      </c>
      <c r="Z370" s="194">
        <f t="shared" si="67"/>
        <v>1.4671157170923421</v>
      </c>
      <c r="AA370" s="194">
        <f t="shared" si="63"/>
        <v>0.59949647511533111</v>
      </c>
      <c r="AB370" s="194">
        <f t="shared" si="64"/>
        <v>0.39301906682145232</v>
      </c>
      <c r="AC370" s="194">
        <f t="shared" si="56"/>
        <v>0.74244485820531692</v>
      </c>
      <c r="AD370">
        <f t="shared" si="57"/>
        <v>51</v>
      </c>
      <c r="AE370" s="194">
        <f t="shared" si="65"/>
        <v>0.28800893691765894</v>
      </c>
      <c r="AF370" s="194">
        <f t="shared" si="66"/>
        <v>2.0885348193522491E-2</v>
      </c>
      <c r="AG370" s="245" t="str">
        <f>IF(ISNUMBER(SEARCH("C",'WetLitterbags placem_collection'!$Y77)),"YES","NO")</f>
        <v>NO</v>
      </c>
      <c r="AH370" s="245" t="str">
        <f>IF(ISNUMBER(SEARCH("H", 'WetLitterbags placem_collection'!$Y77)),"YES","NO")</f>
        <v>NO</v>
      </c>
      <c r="AI370" s="245" t="str">
        <f>IF(ISNUMBER(SEARCH("R", 'WetLitterbags placem_collection'!$Y77)),"YES","NO")</f>
        <v>NO</v>
      </c>
      <c r="AJ370" s="245" t="str">
        <f>IF(ISNUMBER(SEARCH("C", 'WetLitterbags placem_collection'!$W77)),"YES","NO")</f>
        <v>NO</v>
      </c>
      <c r="AK370" s="245" t="str">
        <f>IF(ISNUMBER(SEARCH("H", 'WetLitterbags placem_collection'!$W77)),"YES","NO")</f>
        <v>YES</v>
      </c>
      <c r="AL370" s="245" t="str">
        <f>IF(ISNUMBER(SEARCH("R", 'WetLitterbags placem_collection'!$W77)),"YES","NO")</f>
        <v>YES</v>
      </c>
    </row>
    <row r="371" spans="2:38">
      <c r="B371" t="str">
        <f>Wetseason!B517</f>
        <v>Wet</v>
      </c>
      <c r="C371" s="253">
        <f>Wetseason!C517</f>
        <v>76</v>
      </c>
      <c r="D371" t="s">
        <v>3113</v>
      </c>
      <c r="E371" t="s">
        <v>25</v>
      </c>
      <c r="F371" s="375">
        <v>4</v>
      </c>
      <c r="G371" s="16">
        <f>'WetLitterbags placem_collection'!E78</f>
        <v>42767</v>
      </c>
      <c r="H371" s="92" t="str">
        <f>Wetseason!L517</f>
        <v>G603</v>
      </c>
      <c r="I371" t="str">
        <f>Wetseason!L737</f>
        <v>R183</v>
      </c>
      <c r="J371">
        <f>IFERROR(INDEX('Green_rooibos initial weight'!$C$5:$C$2000,MATCH(H371, 'Green_rooibos initial weight'!$A$5:$A$2000,0)),"")</f>
        <v>2.0430000000000001</v>
      </c>
      <c r="K371">
        <f>IFERROR(INDEX('Green_rooibos initial weight'!$C$5:$C$2000,MATCH(I371, 'Green_rooibos initial weight'!$A$5:$A$2000,0)),"")</f>
        <v>2.262</v>
      </c>
      <c r="L371" s="194">
        <f t="shared" si="58"/>
        <v>1.7932000000000001</v>
      </c>
      <c r="M371" s="194">
        <f>AVERAGE(Ashed_controlls!$K$2:$K$11)</f>
        <v>5.5147656768714146</v>
      </c>
      <c r="N371" s="194">
        <f t="shared" si="55"/>
        <v>1.6943092218823419</v>
      </c>
      <c r="O371" s="194">
        <f t="shared" si="59"/>
        <v>2.0122</v>
      </c>
      <c r="P371" s="194">
        <f>AVERAGE(Ashed_controlls!$K$12:$K$14)</f>
        <v>2.2816647271287041</v>
      </c>
      <c r="Q371" s="194">
        <f t="shared" si="60"/>
        <v>1.9662883423607163</v>
      </c>
      <c r="R371" s="16">
        <f>IF('WetLitterbags placem_collection'!G78="","",'WetLitterbags placem_collection'!G78)</f>
        <v>42818</v>
      </c>
      <c r="S371" s="194">
        <f>IFERROR(INDEX('Both teabags AfterWet'!$C$3:$C$2000,MATCH(H371,'Both teabags AfterWet'!$A$3:$A$2000,0)),"")</f>
        <v>0.82299999999999995</v>
      </c>
      <c r="T371" s="194">
        <f>IFERROR(INDEX('Both teabags AfterWet'!$C$3:$C$2000,MATCH(I371,'Both teabags AfterWet'!$A$3:$A$2000,0)),"")</f>
        <v>1.7490000000000001</v>
      </c>
      <c r="U371" s="194">
        <f t="shared" si="61"/>
        <v>0.67239999999999989</v>
      </c>
      <c r="V371" s="194">
        <f t="shared" si="62"/>
        <v>1.5984</v>
      </c>
      <c r="W371" s="194">
        <f>IFERROR(INDEX('Ashed teabags wet'!$K$2:$K$2000,MATCH(H371,'Ashed teabags wet'!$A$2:$A$2000,0)),"")</f>
        <v>8.9330024813902469</v>
      </c>
      <c r="X371" s="233">
        <f>IFERROR(INDEX('Ashed teabags wet'!$K$2:$K$2000,MATCH(I371,'Ashed teabags wet'!$A$2:$A$2000,0)),"")</f>
        <v>2.262879152624262</v>
      </c>
      <c r="Y371" s="194">
        <f t="shared" si="67"/>
        <v>0.61233449131513185</v>
      </c>
      <c r="Z371" s="194">
        <f t="shared" si="67"/>
        <v>1.5622301396244538</v>
      </c>
      <c r="AA371" s="194">
        <f t="shared" si="63"/>
        <v>0.63859342591853385</v>
      </c>
      <c r="AB371" s="194">
        <f t="shared" si="64"/>
        <v>0.41865032197984647</v>
      </c>
      <c r="AC371" s="194">
        <f t="shared" si="56"/>
        <v>0.7945071462656631</v>
      </c>
      <c r="AD371">
        <f t="shared" si="57"/>
        <v>51</v>
      </c>
      <c r="AE371" s="194">
        <f t="shared" si="65"/>
        <v>0.24157550365969849</v>
      </c>
      <c r="AF371" s="194">
        <f t="shared" si="66"/>
        <v>1.3235388973182294E-2</v>
      </c>
      <c r="AG371" s="245" t="str">
        <f>IF(ISNUMBER(SEARCH("C",'WetLitterbags placem_collection'!$Y78)),"YES","NO")</f>
        <v>NO</v>
      </c>
      <c r="AH371" s="245" t="str">
        <f>IF(ISNUMBER(SEARCH("H", 'WetLitterbags placem_collection'!$Y78)),"YES","NO")</f>
        <v>NO</v>
      </c>
      <c r="AI371" s="245" t="str">
        <f>IF(ISNUMBER(SEARCH("R", 'WetLitterbags placem_collection'!$Y78)),"YES","NO")</f>
        <v>NO</v>
      </c>
      <c r="AJ371" s="245" t="str">
        <f>IF(ISNUMBER(SEARCH("C", 'WetLitterbags placem_collection'!$W78)),"YES","NO")</f>
        <v>NO</v>
      </c>
      <c r="AK371" s="245" t="str">
        <f>IF(ISNUMBER(SEARCH("H", 'WetLitterbags placem_collection'!$W78)),"YES","NO")</f>
        <v>YES</v>
      </c>
      <c r="AL371" s="245" t="str">
        <f>IF(ISNUMBER(SEARCH("R", 'WetLitterbags placem_collection'!$W78)),"YES","NO")</f>
        <v>NO</v>
      </c>
    </row>
    <row r="372" spans="2:38">
      <c r="B372" t="str">
        <f>Wetseason!B518</f>
        <v>Wet</v>
      </c>
      <c r="C372" s="253">
        <f>Wetseason!C518</f>
        <v>77</v>
      </c>
      <c r="D372" t="s">
        <v>3113</v>
      </c>
      <c r="E372" t="s">
        <v>25</v>
      </c>
      <c r="F372" s="375">
        <v>5</v>
      </c>
      <c r="G372" s="16">
        <f>'WetLitterbags placem_collection'!E79</f>
        <v>42767</v>
      </c>
      <c r="H372" s="92" t="str">
        <f>Wetseason!L518</f>
        <v>G509</v>
      </c>
      <c r="I372" t="str">
        <f>Wetseason!L738</f>
        <v>R228</v>
      </c>
      <c r="J372">
        <f>IFERROR(INDEX('Green_rooibos initial weight'!$C$5:$C$2000,MATCH(H372, 'Green_rooibos initial weight'!$A$5:$A$2000,0)),"")</f>
        <v>2.048</v>
      </c>
      <c r="K372">
        <f>IFERROR(INDEX('Green_rooibos initial weight'!$C$5:$C$2000,MATCH(I372, 'Green_rooibos initial weight'!$A$5:$A$2000,0)),"")</f>
        <v>2.2040000000000002</v>
      </c>
      <c r="L372" s="194">
        <f t="shared" si="58"/>
        <v>1.7982</v>
      </c>
      <c r="M372" s="194">
        <f>AVERAGE(Ashed_controlls!$K$2:$K$11)</f>
        <v>5.5147656768714146</v>
      </c>
      <c r="N372" s="194">
        <f t="shared" si="55"/>
        <v>1.6990334835984982</v>
      </c>
      <c r="O372" s="194">
        <f t="shared" si="59"/>
        <v>1.9542000000000002</v>
      </c>
      <c r="P372" s="194">
        <f>AVERAGE(Ashed_controlls!$K$12:$K$14)</f>
        <v>2.2816647271287041</v>
      </c>
      <c r="Q372" s="194">
        <f t="shared" si="60"/>
        <v>1.909611707902451</v>
      </c>
      <c r="R372" s="16">
        <f>IF('WetLitterbags placem_collection'!G79="","",'WetLitterbags placem_collection'!G79)</f>
        <v>42818</v>
      </c>
      <c r="S372" s="194">
        <f>IFERROR(INDEX('Both teabags AfterWet'!$C$3:$C$2000,MATCH(H372,'Both teabags AfterWet'!$A$3:$A$2000,0)),"")</f>
        <v>1.012</v>
      </c>
      <c r="T372" s="194">
        <f>IFERROR(INDEX('Both teabags AfterWet'!$C$3:$C$2000,MATCH(I372,'Both teabags AfterWet'!$A$3:$A$2000,0)),"")</f>
        <v>2.2429999999999999</v>
      </c>
      <c r="U372" s="194">
        <f t="shared" si="61"/>
        <v>0.86139999999999994</v>
      </c>
      <c r="V372" s="194">
        <f t="shared" si="62"/>
        <v>2.0924</v>
      </c>
      <c r="W372" s="194">
        <f>IFERROR(INDEX('Ashed teabags wet'!$K$2:$K$2000,MATCH(H372,'Ashed teabags wet'!$A$2:$A$2000,0)),"")</f>
        <v>0.1847000000000012</v>
      </c>
      <c r="X372" s="233">
        <f>IFERROR(INDEX('Ashed teabags wet'!$K$2:$K$2000,MATCH(I372,'Ashed teabags wet'!$A$2:$A$2000,0)),"")</f>
        <v>25.765054294176</v>
      </c>
      <c r="Y372" s="194">
        <f t="shared" si="67"/>
        <v>0.8598089941999999</v>
      </c>
      <c r="Z372" s="194">
        <f t="shared" si="67"/>
        <v>1.5532920039486613</v>
      </c>
      <c r="AA372" s="194">
        <f t="shared" si="63"/>
        <v>0.49394228983707122</v>
      </c>
      <c r="AB372" s="194">
        <f t="shared" si="64"/>
        <v>0.32381964844425576</v>
      </c>
      <c r="AC372" s="194">
        <f t="shared" si="56"/>
        <v>0.8134072479346196</v>
      </c>
      <c r="AD372">
        <f t="shared" si="57"/>
        <v>51</v>
      </c>
      <c r="AE372" s="194">
        <f t="shared" si="65"/>
        <v>0.41337020209373965</v>
      </c>
      <c r="AF372" s="194">
        <f t="shared" si="66"/>
        <v>1.6834333066283975E-2</v>
      </c>
      <c r="AG372" s="245" t="str">
        <f>IF(ISNUMBER(SEARCH("C",'WetLitterbags placem_collection'!$Y79)),"YES","NO")</f>
        <v>NO</v>
      </c>
      <c r="AH372" s="245" t="str">
        <f>IF(ISNUMBER(SEARCH("H", 'WetLitterbags placem_collection'!$Y79)),"YES","NO")</f>
        <v>NO</v>
      </c>
      <c r="AI372" s="245" t="str">
        <f>IF(ISNUMBER(SEARCH("R", 'WetLitterbags placem_collection'!$Y79)),"YES","NO")</f>
        <v>NO</v>
      </c>
      <c r="AJ372" s="245" t="str">
        <f>IF(ISNUMBER(SEARCH("C", 'WetLitterbags placem_collection'!$W79)),"YES","NO")</f>
        <v>NO</v>
      </c>
      <c r="AK372" s="245" t="str">
        <f>IF(ISNUMBER(SEARCH("H", 'WetLitterbags placem_collection'!$W79)),"YES","NO")</f>
        <v>NO</v>
      </c>
      <c r="AL372" s="245" t="str">
        <f>IF(ISNUMBER(SEARCH("R", 'WetLitterbags placem_collection'!$W79)),"YES","NO")</f>
        <v>YES</v>
      </c>
    </row>
    <row r="373" spans="2:38">
      <c r="B373" t="str">
        <f>Wetseason!B519</f>
        <v>Wet</v>
      </c>
      <c r="C373" s="253">
        <f>Wetseason!C519</f>
        <v>78</v>
      </c>
      <c r="D373" t="s">
        <v>3113</v>
      </c>
      <c r="E373" t="s">
        <v>25</v>
      </c>
      <c r="F373" s="375">
        <v>6</v>
      </c>
      <c r="G373" s="16">
        <f>'WetLitterbags placem_collection'!E80</f>
        <v>42767</v>
      </c>
      <c r="H373" s="92" t="str">
        <f>Wetseason!L519</f>
        <v>G446</v>
      </c>
      <c r="I373" t="str">
        <f>Wetseason!L739</f>
        <v>R100</v>
      </c>
      <c r="J373">
        <f>IFERROR(INDEX('Green_rooibos initial weight'!$C$5:$C$2000,MATCH(H373, 'Green_rooibos initial weight'!$A$5:$A$2000,0)),"")</f>
        <v>1.9319999999999999</v>
      </c>
      <c r="K373">
        <f>IFERROR(INDEX('Green_rooibos initial weight'!$C$5:$C$2000,MATCH(I373, 'Green_rooibos initial weight'!$A$5:$A$2000,0)),"")</f>
        <v>2.2549999999999999</v>
      </c>
      <c r="L373" s="194">
        <f t="shared" si="58"/>
        <v>1.6821999999999999</v>
      </c>
      <c r="M373" s="194">
        <f>AVERAGE(Ashed_controlls!$K$2:$K$11)</f>
        <v>5.5147656768714146</v>
      </c>
      <c r="N373" s="194">
        <f t="shared" si="55"/>
        <v>1.589430611783669</v>
      </c>
      <c r="O373" s="194">
        <f t="shared" si="59"/>
        <v>2.0051999999999999</v>
      </c>
      <c r="P373" s="194">
        <f>AVERAGE(Ashed_controlls!$K$12:$K$14)</f>
        <v>2.2816647271287041</v>
      </c>
      <c r="Q373" s="194">
        <f t="shared" si="60"/>
        <v>1.959448058891615</v>
      </c>
      <c r="R373" s="16">
        <f>IF('WetLitterbags placem_collection'!G80="","",'WetLitterbags placem_collection'!G80)</f>
        <v>42818</v>
      </c>
      <c r="S373" s="194">
        <f>IFERROR(INDEX('Both teabags AfterWet'!$C$3:$C$2000,MATCH(H373,'Both teabags AfterWet'!$A$3:$A$2000,0)),"")</f>
        <v>0.77859999999999996</v>
      </c>
      <c r="T373" s="194">
        <f>IFERROR(INDEX('Both teabags AfterWet'!$C$3:$C$2000,MATCH(I373,'Both teabags AfterWet'!$A$3:$A$2000,0)),"")</f>
        <v>1.7222999999999999</v>
      </c>
      <c r="U373" s="194">
        <f t="shared" si="61"/>
        <v>0.62799999999999989</v>
      </c>
      <c r="V373" s="194">
        <f t="shared" si="62"/>
        <v>1.5716999999999999</v>
      </c>
      <c r="W373" s="194">
        <f>IFERROR(INDEX('Ashed teabags wet'!$K$2:$K$2000,MATCH(H373,'Ashed teabags wet'!$A$2:$A$2000,0)),"")</f>
        <v>9.6451774112936519</v>
      </c>
      <c r="X373" s="233">
        <f>IFERROR(INDEX('Ashed teabags wet'!$K$2:$K$2000,MATCH(I373,'Ashed teabags wet'!$A$2:$A$2000,0)),"")</f>
        <v>2.8361858190706335</v>
      </c>
      <c r="Y373" s="194">
        <f t="shared" si="67"/>
        <v>0.56742828585707572</v>
      </c>
      <c r="Z373" s="194">
        <f t="shared" si="67"/>
        <v>1.5271236674816668</v>
      </c>
      <c r="AA373" s="194">
        <f t="shared" si="63"/>
        <v>0.64299902012060528</v>
      </c>
      <c r="AB373" s="194">
        <f t="shared" si="64"/>
        <v>0.42153855000780777</v>
      </c>
      <c r="AC373" s="194">
        <f t="shared" si="56"/>
        <v>0.77936419929676648</v>
      </c>
      <c r="AD373">
        <f t="shared" si="57"/>
        <v>51</v>
      </c>
      <c r="AE373" s="194">
        <f t="shared" si="65"/>
        <v>0.23634320650759466</v>
      </c>
      <c r="AF373" s="194">
        <f t="shared" si="66"/>
        <v>1.4531181876179416E-2</v>
      </c>
      <c r="AG373" s="245" t="str">
        <f>IF(ISNUMBER(SEARCH("C",'WetLitterbags placem_collection'!$Y80)),"YES","NO")</f>
        <v>NO</v>
      </c>
      <c r="AH373" s="245" t="str">
        <f>IF(ISNUMBER(SEARCH("H", 'WetLitterbags placem_collection'!$Y80)),"YES","NO")</f>
        <v>NO</v>
      </c>
      <c r="AI373" s="245" t="str">
        <f>IF(ISNUMBER(SEARCH("R", 'WetLitterbags placem_collection'!$Y80)),"YES","NO")</f>
        <v>NO</v>
      </c>
      <c r="AJ373" s="245" t="str">
        <f>IF(ISNUMBER(SEARCH("C", 'WetLitterbags placem_collection'!$W80)),"YES","NO")</f>
        <v>NO</v>
      </c>
      <c r="AK373" s="245" t="str">
        <f>IF(ISNUMBER(SEARCH("H", 'WetLitterbags placem_collection'!$W80)),"YES","NO")</f>
        <v>NO</v>
      </c>
      <c r="AL373" s="245" t="str">
        <f>IF(ISNUMBER(SEARCH("R", 'WetLitterbags placem_collection'!$W80)),"YES","NO")</f>
        <v>YES</v>
      </c>
    </row>
    <row r="374" spans="2:38">
      <c r="B374" t="str">
        <f>Wetseason!B520</f>
        <v>Wet</v>
      </c>
      <c r="C374" s="253">
        <f>Wetseason!C520</f>
        <v>79</v>
      </c>
      <c r="D374" t="s">
        <v>3113</v>
      </c>
      <c r="E374" t="s">
        <v>25</v>
      </c>
      <c r="F374" s="375">
        <v>7</v>
      </c>
      <c r="G374" s="16">
        <f>'WetLitterbags placem_collection'!E81</f>
        <v>42767</v>
      </c>
      <c r="H374" s="92" t="str">
        <f>Wetseason!L520</f>
        <v>G249</v>
      </c>
      <c r="I374" t="str">
        <f>Wetseason!L740</f>
        <v>R56</v>
      </c>
      <c r="J374">
        <f>IFERROR(INDEX('Green_rooibos initial weight'!$C$5:$C$2000,MATCH(H374, 'Green_rooibos initial weight'!$A$5:$A$2000,0)),"")</f>
        <v>2.0219999999999998</v>
      </c>
      <c r="K374">
        <f>IFERROR(INDEX('Green_rooibos initial weight'!$C$5:$C$2000,MATCH(I374, 'Green_rooibos initial weight'!$A$5:$A$2000,0)),"")</f>
        <v>2.1829999999999998</v>
      </c>
      <c r="L374" s="194">
        <f t="shared" si="58"/>
        <v>1.7721999999999998</v>
      </c>
      <c r="M374" s="194">
        <f>AVERAGE(Ashed_controlls!$K$2:$K$11)</f>
        <v>5.5147656768714146</v>
      </c>
      <c r="N374" s="194">
        <f t="shared" si="55"/>
        <v>1.6744673226744846</v>
      </c>
      <c r="O374" s="194">
        <f t="shared" si="59"/>
        <v>1.9331999999999998</v>
      </c>
      <c r="P374" s="194">
        <f>AVERAGE(Ashed_controlls!$K$12:$K$14)</f>
        <v>2.2816647271287041</v>
      </c>
      <c r="Q374" s="194">
        <f t="shared" si="60"/>
        <v>1.8890908574951477</v>
      </c>
      <c r="R374" s="16">
        <f>IF('WetLitterbags placem_collection'!G81="","",'WetLitterbags placem_collection'!G81)</f>
        <v>42818</v>
      </c>
      <c r="S374" s="194">
        <f>IFERROR(INDEX('Both teabags AfterWet'!$C$3:$C$2000,MATCH(H374,'Both teabags AfterWet'!$A$3:$A$2000,0)),"")</f>
        <v>0.97550000000000003</v>
      </c>
      <c r="T374" s="194">
        <f>IFERROR(INDEX('Both teabags AfterWet'!$C$3:$C$2000,MATCH(I374,'Both teabags AfterWet'!$A$3:$A$2000,0)),"")</f>
        <v>1.6438999999999999</v>
      </c>
      <c r="U374" s="194">
        <f t="shared" si="61"/>
        <v>0.82489999999999997</v>
      </c>
      <c r="V374" s="194">
        <f t="shared" si="62"/>
        <v>1.4932999999999998</v>
      </c>
      <c r="W374" s="194">
        <f>IFERROR(INDEX('Ashed teabags wet'!$K$2:$K$2000,MATCH(H374,'Ashed teabags wet'!$A$2:$A$2000,0)),"")</f>
        <v>18.702865761691211</v>
      </c>
      <c r="X374" s="233">
        <f>IFERROR(INDEX('Ashed teabags wet'!$K$2:$K$2000,MATCH(I374,'Ashed teabags wet'!$A$2:$A$2000,0)),"")</f>
        <v>1.8838304552590228</v>
      </c>
      <c r="Y374" s="194">
        <f t="shared" si="67"/>
        <v>0.6706200603318091</v>
      </c>
      <c r="Z374" s="194">
        <f t="shared" si="67"/>
        <v>1.4651687598116168</v>
      </c>
      <c r="AA374" s="194">
        <f t="shared" si="63"/>
        <v>0.59950244997275637</v>
      </c>
      <c r="AB374" s="194">
        <f t="shared" si="64"/>
        <v>0.39302298383012063</v>
      </c>
      <c r="AC374" s="194">
        <f t="shared" si="56"/>
        <v>0.77559464861016092</v>
      </c>
      <c r="AD374">
        <f t="shared" si="57"/>
        <v>51</v>
      </c>
      <c r="AE374" s="194">
        <f t="shared" si="65"/>
        <v>0.28800184088746272</v>
      </c>
      <c r="AF374" s="194">
        <f t="shared" si="66"/>
        <v>1.6592832776307225E-2</v>
      </c>
      <c r="AG374" s="245" t="str">
        <f>IF(ISNUMBER(SEARCH("C",'WetLitterbags placem_collection'!$Y81)),"YES","NO")</f>
        <v>NO</v>
      </c>
      <c r="AH374" s="245" t="str">
        <f>IF(ISNUMBER(SEARCH("H", 'WetLitterbags placem_collection'!$Y81)),"YES","NO")</f>
        <v>NO</v>
      </c>
      <c r="AI374" s="245" t="str">
        <f>IF(ISNUMBER(SEARCH("R", 'WetLitterbags placem_collection'!$Y81)),"YES","NO")</f>
        <v>NO</v>
      </c>
      <c r="AJ374" s="245" t="str">
        <f>IF(ISNUMBER(SEARCH("C", 'WetLitterbags placem_collection'!$W81)),"YES","NO")</f>
        <v>NO</v>
      </c>
      <c r="AK374" s="245" t="str">
        <f>IF(ISNUMBER(SEARCH("H", 'WetLitterbags placem_collection'!$W81)),"YES","NO")</f>
        <v>NO</v>
      </c>
      <c r="AL374" s="245" t="str">
        <f>IF(ISNUMBER(SEARCH("R", 'WetLitterbags placem_collection'!$W81)),"YES","NO")</f>
        <v>YES</v>
      </c>
    </row>
    <row r="375" spans="2:38">
      <c r="B375" t="str">
        <f>Wetseason!B521</f>
        <v>Wet</v>
      </c>
      <c r="C375" s="253">
        <f>Wetseason!C521</f>
        <v>80</v>
      </c>
      <c r="D375" t="s">
        <v>3113</v>
      </c>
      <c r="E375" t="s">
        <v>25</v>
      </c>
      <c r="F375" s="375">
        <v>8</v>
      </c>
      <c r="G375" s="16">
        <f>'WetLitterbags placem_collection'!E82</f>
        <v>42767</v>
      </c>
      <c r="H375" s="92" t="str">
        <f>Wetseason!L521</f>
        <v>G474</v>
      </c>
      <c r="I375" t="str">
        <f>Wetseason!L741</f>
        <v>R68</v>
      </c>
      <c r="J375">
        <f>IFERROR(INDEX('Green_rooibos initial weight'!$C$5:$C$2000,MATCH(H375, 'Green_rooibos initial weight'!$A$5:$A$2000,0)),"")</f>
        <v>2.1930000000000001</v>
      </c>
      <c r="K375">
        <f>IFERROR(INDEX('Green_rooibos initial weight'!$C$5:$C$2000,MATCH(I375, 'Green_rooibos initial weight'!$A$5:$A$2000,0)),"")</f>
        <v>2.2370000000000001</v>
      </c>
      <c r="L375" s="194">
        <f t="shared" si="58"/>
        <v>1.9432</v>
      </c>
      <c r="M375" s="194">
        <f>AVERAGE(Ashed_controlls!$K$2:$K$11)</f>
        <v>5.5147656768714146</v>
      </c>
      <c r="N375" s="194">
        <f t="shared" si="55"/>
        <v>1.8360370733670348</v>
      </c>
      <c r="O375" s="194">
        <f t="shared" si="59"/>
        <v>1.9872000000000001</v>
      </c>
      <c r="P375" s="194">
        <f>AVERAGE(Ashed_controlls!$K$12:$K$14)</f>
        <v>2.2816647271287041</v>
      </c>
      <c r="Q375" s="194">
        <f t="shared" si="60"/>
        <v>1.9418587585424985</v>
      </c>
      <c r="R375" s="16">
        <f>IF('WetLitterbags placem_collection'!G82="","",'WetLitterbags placem_collection'!G82)</f>
        <v>42818</v>
      </c>
      <c r="S375" s="194">
        <f>IFERROR(INDEX('Both teabags AfterWet'!$C$3:$C$2000,MATCH(H375,'Both teabags AfterWet'!$A$3:$A$2000,0)),"")</f>
        <v>1.0009999999999999</v>
      </c>
      <c r="T375" s="194">
        <f>IFERROR(INDEX('Both teabags AfterWet'!$C$3:$C$2000,MATCH(I375,'Both teabags AfterWet'!$A$3:$A$2000,0)),"")</f>
        <v>1.639</v>
      </c>
      <c r="U375" s="194">
        <f t="shared" si="61"/>
        <v>0.85039999999999982</v>
      </c>
      <c r="V375" s="194">
        <f t="shared" si="62"/>
        <v>1.4883999999999999</v>
      </c>
      <c r="W375" s="194">
        <f>IFERROR(INDEX('Ashed teabags wet'!$K$2:$K$2000,MATCH(H375,'Ashed teabags wet'!$A$2:$A$2000,0)),"")</f>
        <v>5.8354114713218834</v>
      </c>
      <c r="X375" s="233">
        <f>IFERROR(INDEX('Ashed teabags wet'!$K$2:$K$2000,MATCH(I375,'Ashed teabags wet'!$A$2:$A$2000,0)),"")</f>
        <v>10.359922178988159</v>
      </c>
      <c r="Y375" s="194">
        <f t="shared" si="67"/>
        <v>0.80077566084787855</v>
      </c>
      <c r="Z375" s="194">
        <f t="shared" si="67"/>
        <v>1.3342029182879402</v>
      </c>
      <c r="AA375" s="194">
        <f t="shared" si="63"/>
        <v>0.56385648608970174</v>
      </c>
      <c r="AB375" s="194">
        <f t="shared" si="64"/>
        <v>0.3696541333984743</v>
      </c>
      <c r="AC375" s="194">
        <f t="shared" si="56"/>
        <v>0.68707516054841877</v>
      </c>
      <c r="AD375">
        <f t="shared" si="57"/>
        <v>51</v>
      </c>
      <c r="AE375" s="194">
        <f t="shared" si="65"/>
        <v>0.33033671485783644</v>
      </c>
      <c r="AF375" s="194">
        <f t="shared" si="66"/>
        <v>3.6750530754018282E-2</v>
      </c>
      <c r="AG375" s="245" t="str">
        <f>IF(ISNUMBER(SEARCH("C",'WetLitterbags placem_collection'!$Y82)),"YES","NO")</f>
        <v>NO</v>
      </c>
      <c r="AH375" s="245" t="str">
        <f>IF(ISNUMBER(SEARCH("H", 'WetLitterbags placem_collection'!$Y82)),"YES","NO")</f>
        <v>NO</v>
      </c>
      <c r="AI375" s="245" t="str">
        <f>IF(ISNUMBER(SEARCH("R", 'WetLitterbags placem_collection'!$Y82)),"YES","NO")</f>
        <v>NO</v>
      </c>
      <c r="AJ375" s="245" t="str">
        <f>IF(ISNUMBER(SEARCH("C", 'WetLitterbags placem_collection'!$W82)),"YES","NO")</f>
        <v>NO</v>
      </c>
      <c r="AK375" s="245" t="str">
        <f>IF(ISNUMBER(SEARCH("H", 'WetLitterbags placem_collection'!$W82)),"YES","NO")</f>
        <v>YES</v>
      </c>
      <c r="AL375" s="245" t="str">
        <f>IF(ISNUMBER(SEARCH("R", 'WetLitterbags placem_collection'!$W82)),"YES","NO")</f>
        <v>NO</v>
      </c>
    </row>
    <row r="376" spans="2:38">
      <c r="B376" t="str">
        <f>Wetseason!B522</f>
        <v>Wet</v>
      </c>
      <c r="C376" s="253">
        <f>Wetseason!C522</f>
        <v>81</v>
      </c>
      <c r="D376" t="s">
        <v>3114</v>
      </c>
      <c r="E376" t="s">
        <v>25</v>
      </c>
      <c r="F376" s="374">
        <v>1</v>
      </c>
      <c r="G376" s="16">
        <f>'WetLitterbags placem_collection'!E83</f>
        <v>42767</v>
      </c>
      <c r="H376" s="92" t="str">
        <f>Wetseason!L522</f>
        <v>G475</v>
      </c>
      <c r="I376" t="str">
        <f>Wetseason!L742</f>
        <v>R293</v>
      </c>
      <c r="J376">
        <f>IFERROR(INDEX('Green_rooibos initial weight'!$C$5:$C$2000,MATCH(H376, 'Green_rooibos initial weight'!$A$5:$A$2000,0)),"")</f>
        <v>2.0110000000000001</v>
      </c>
      <c r="K376">
        <f>IFERROR(INDEX('Green_rooibos initial weight'!$C$5:$C$2000,MATCH(I376, 'Green_rooibos initial weight'!$A$5:$A$2000,0)),"")</f>
        <v>2.165</v>
      </c>
      <c r="L376" s="194">
        <f t="shared" si="58"/>
        <v>1.7612000000000001</v>
      </c>
      <c r="M376" s="194">
        <f>AVERAGE(Ashed_controlls!$K$2:$K$11)</f>
        <v>5.5147656768714146</v>
      </c>
      <c r="N376" s="194">
        <f t="shared" si="55"/>
        <v>1.6640739468989407</v>
      </c>
      <c r="O376" s="194">
        <f t="shared" si="59"/>
        <v>1.9152</v>
      </c>
      <c r="P376" s="194">
        <f>AVERAGE(Ashed_controlls!$K$12:$K$14)</f>
        <v>2.2816647271287041</v>
      </c>
      <c r="Q376" s="194">
        <f t="shared" si="60"/>
        <v>1.8715015571460312</v>
      </c>
      <c r="R376" s="16">
        <f>IF('WetLitterbags placem_collection'!G83="","",'WetLitterbags placem_collection'!G83)</f>
        <v>42818</v>
      </c>
      <c r="S376" s="194">
        <f>IFERROR(INDEX('Both teabags AfterWet'!$C$3:$C$2000,MATCH(H376,'Both teabags AfterWet'!$A$3:$A$2000,0)),"")</f>
        <v>0.65200000000000002</v>
      </c>
      <c r="T376" s="194">
        <f>IFERROR(INDEX('Both teabags AfterWet'!$C$3:$C$2000,MATCH(I376,'Both teabags AfterWet'!$A$3:$A$2000,0)),"")</f>
        <v>1.736</v>
      </c>
      <c r="U376" s="194">
        <f t="shared" si="61"/>
        <v>0.50140000000000007</v>
      </c>
      <c r="V376" s="194">
        <f t="shared" si="62"/>
        <v>1.5853999999999999</v>
      </c>
      <c r="W376" s="194">
        <f>IFERROR(INDEX('Ashed teabags wet'!$K$2:$K$2000,MATCH(H376,'Ashed teabags wet'!$A$2:$A$2000,0)),"")</f>
        <v>11.582626060908067</v>
      </c>
      <c r="X376" s="233">
        <f>IFERROR(INDEX('Ashed teabags wet'!$K$2:$K$2000,MATCH(I376,'Ashed teabags wet'!$A$2:$A$2000,0)),"")</f>
        <v>2.1037181996090717</v>
      </c>
      <c r="Y376" s="194">
        <f t="shared" si="67"/>
        <v>0.44332471293060699</v>
      </c>
      <c r="Z376" s="194">
        <f t="shared" si="67"/>
        <v>1.5520476516633976</v>
      </c>
      <c r="AA376" s="194">
        <f t="shared" si="63"/>
        <v>0.73359073750492998</v>
      </c>
      <c r="AB376" s="194">
        <f t="shared" si="64"/>
        <v>0.48092884454004914</v>
      </c>
      <c r="AC376" s="194">
        <f t="shared" si="56"/>
        <v>0.82930609688095125</v>
      </c>
      <c r="AD376">
        <f t="shared" si="57"/>
        <v>51</v>
      </c>
      <c r="AE376" s="194">
        <f t="shared" si="65"/>
        <v>0.12875209322454872</v>
      </c>
      <c r="AF376" s="194">
        <f t="shared" si="66"/>
        <v>8.5958713887327905E-3</v>
      </c>
      <c r="AG376" s="245" t="str">
        <f>IF(ISNUMBER(SEARCH("C",'WetLitterbags placem_collection'!$Y83)),"YES","NO")</f>
        <v>NO</v>
      </c>
      <c r="AH376" s="245" t="str">
        <f>IF(ISNUMBER(SEARCH("H", 'WetLitterbags placem_collection'!$Y83)),"YES","NO")</f>
        <v>NO</v>
      </c>
      <c r="AI376" s="245" t="str">
        <f>IF(ISNUMBER(SEARCH("R", 'WetLitterbags placem_collection'!$Y83)),"YES","NO")</f>
        <v>YES</v>
      </c>
      <c r="AJ376" s="245" t="str">
        <f>IF(ISNUMBER(SEARCH("C", 'WetLitterbags placem_collection'!$W83)),"YES","NO")</f>
        <v>NO</v>
      </c>
      <c r="AK376" s="245" t="str">
        <f>IF(ISNUMBER(SEARCH("H", 'WetLitterbags placem_collection'!$W83)),"YES","NO")</f>
        <v>NO</v>
      </c>
      <c r="AL376" s="245" t="str">
        <f>IF(ISNUMBER(SEARCH("R", 'WetLitterbags placem_collection'!$W83)),"YES","NO")</f>
        <v>NO</v>
      </c>
    </row>
    <row r="377" spans="2:38">
      <c r="B377" t="str">
        <f>Wetseason!B523</f>
        <v>Wet</v>
      </c>
      <c r="C377" s="253">
        <f>Wetseason!C523</f>
        <v>82</v>
      </c>
      <c r="D377" t="s">
        <v>3114</v>
      </c>
      <c r="E377" t="s">
        <v>25</v>
      </c>
      <c r="F377" s="374">
        <v>2</v>
      </c>
      <c r="G377" s="16">
        <f>'WetLitterbags placem_collection'!E84</f>
        <v>42767</v>
      </c>
      <c r="H377" s="92" t="str">
        <f>Wetseason!L523</f>
        <v>G840</v>
      </c>
      <c r="I377" t="str">
        <f>Wetseason!L743</f>
        <v>R368</v>
      </c>
      <c r="J377">
        <f>IFERROR(INDEX('Green_rooibos initial weight'!$C$5:$C$2000,MATCH(H377, 'Green_rooibos initial weight'!$A$5:$A$2000,0)),"")</f>
        <v>2.056</v>
      </c>
      <c r="K377">
        <f>IFERROR(INDEX('Green_rooibos initial weight'!$C$5:$C$2000,MATCH(I377, 'Green_rooibos initial weight'!$A$5:$A$2000,0)),"")</f>
        <v>2.2549999999999999</v>
      </c>
      <c r="L377" s="194">
        <f t="shared" si="58"/>
        <v>1.8062</v>
      </c>
      <c r="M377" s="194">
        <f>AVERAGE(Ashed_controlls!$K$2:$K$11)</f>
        <v>5.5147656768714146</v>
      </c>
      <c r="N377" s="194">
        <f t="shared" si="55"/>
        <v>1.7065923023443486</v>
      </c>
      <c r="O377" s="194">
        <f t="shared" si="59"/>
        <v>2.0051999999999999</v>
      </c>
      <c r="P377" s="194">
        <f>AVERAGE(Ashed_controlls!$K$12:$K$14)</f>
        <v>2.2816647271287041</v>
      </c>
      <c r="Q377" s="194">
        <f t="shared" si="60"/>
        <v>1.959448058891615</v>
      </c>
      <c r="R377" s="16">
        <f>IF('WetLitterbags placem_collection'!G84="","",'WetLitterbags placem_collection'!G84)</f>
        <v>42819</v>
      </c>
      <c r="S377" s="194">
        <f>IFERROR(INDEX('Both teabags AfterWet'!$C$3:$C$2000,MATCH(H377,'Both teabags AfterWet'!$A$3:$A$2000,0)),"")</f>
        <v>0.74299999999999999</v>
      </c>
      <c r="T377" s="194">
        <f>IFERROR(INDEX('Both teabags AfterWet'!$C$3:$C$2000,MATCH(I377,'Both teabags AfterWet'!$A$3:$A$2000,0)),"")</f>
        <v>1.704</v>
      </c>
      <c r="U377" s="194">
        <f t="shared" si="61"/>
        <v>0.59240000000000004</v>
      </c>
      <c r="V377" s="194">
        <f t="shared" si="62"/>
        <v>1.5533999999999999</v>
      </c>
      <c r="W377" s="194">
        <f>IFERROR(INDEX('Ashed teabags wet'!$K$2:$K$2000,MATCH(H377,'Ashed teabags wet'!$A$2:$A$2000,0)),"")</f>
        <v>8.3909180651525794</v>
      </c>
      <c r="X377" s="233">
        <f>IFERROR(INDEX('Ashed teabags wet'!$K$2:$K$2000,MATCH(I377,'Ashed teabags wet'!$A$2:$A$2000,0)),"")</f>
        <v>4.0756914119362859</v>
      </c>
      <c r="Y377" s="194">
        <f t="shared" si="67"/>
        <v>0.54269220138203611</v>
      </c>
      <c r="Z377" s="194">
        <f t="shared" si="67"/>
        <v>1.4900882096069816</v>
      </c>
      <c r="AA377" s="194">
        <f t="shared" si="63"/>
        <v>0.68200243219394641</v>
      </c>
      <c r="AB377" s="194">
        <f t="shared" si="64"/>
        <v>0.44710848286348986</v>
      </c>
      <c r="AC377" s="194">
        <f t="shared" si="56"/>
        <v>0.7604632349631496</v>
      </c>
      <c r="AD377">
        <f t="shared" si="57"/>
        <v>52</v>
      </c>
      <c r="AE377" s="194">
        <f t="shared" si="65"/>
        <v>0.1900208643777358</v>
      </c>
      <c r="AF377" s="194">
        <f t="shared" si="66"/>
        <v>1.4756237463525721E-2</v>
      </c>
      <c r="AG377" s="245" t="str">
        <f>IF(ISNUMBER(SEARCH("C",'WetLitterbags placem_collection'!$Y84)),"YES","NO")</f>
        <v>NO</v>
      </c>
      <c r="AH377" s="245" t="str">
        <f>IF(ISNUMBER(SEARCH("H", 'WetLitterbags placem_collection'!$Y84)),"YES","NO")</f>
        <v>NO</v>
      </c>
      <c r="AI377" s="245" t="str">
        <f>IF(ISNUMBER(SEARCH("R", 'WetLitterbags placem_collection'!$Y84)),"YES","NO")</f>
        <v>NO</v>
      </c>
      <c r="AJ377" s="245" t="str">
        <f>IF(ISNUMBER(SEARCH("C", 'WetLitterbags placem_collection'!$W84)),"YES","NO")</f>
        <v>NO</v>
      </c>
      <c r="AK377" s="245" t="str">
        <f>IF(ISNUMBER(SEARCH("H", 'WetLitterbags placem_collection'!$W84)),"YES","NO")</f>
        <v>YES</v>
      </c>
      <c r="AL377" s="245" t="str">
        <f>IF(ISNUMBER(SEARCH("R", 'WetLitterbags placem_collection'!$W84)),"YES","NO")</f>
        <v>YES</v>
      </c>
    </row>
    <row r="378" spans="2:38">
      <c r="B378" t="str">
        <f>Wetseason!B524</f>
        <v>Wet</v>
      </c>
      <c r="C378" s="253">
        <f>Wetseason!C524</f>
        <v>83</v>
      </c>
      <c r="D378" t="s">
        <v>3114</v>
      </c>
      <c r="E378" t="s">
        <v>25</v>
      </c>
      <c r="F378" s="374">
        <v>3</v>
      </c>
      <c r="G378" s="16">
        <f>'WetLitterbags placem_collection'!E85</f>
        <v>42767</v>
      </c>
      <c r="H378" s="92" t="str">
        <f>Wetseason!L524</f>
        <v>G298</v>
      </c>
      <c r="I378" t="str">
        <f>Wetseason!L744</f>
        <v>R22</v>
      </c>
      <c r="J378">
        <f>IFERROR(INDEX('Green_rooibos initial weight'!$C$5:$C$2000,MATCH(H378, 'Green_rooibos initial weight'!$A$5:$A$2000,0)),"")</f>
        <v>2.0550000000000002</v>
      </c>
      <c r="K378">
        <f>IFERROR(INDEX('Green_rooibos initial weight'!$C$5:$C$2000,MATCH(I378, 'Green_rooibos initial weight'!$A$5:$A$2000,0)),"")</f>
        <v>2.0590000000000002</v>
      </c>
      <c r="L378" s="194">
        <f t="shared" si="58"/>
        <v>1.8052000000000001</v>
      </c>
      <c r="M378" s="194">
        <f>AVERAGE(Ashed_controlls!$K$2:$K$11)</f>
        <v>5.5147656768714146</v>
      </c>
      <c r="N378" s="194">
        <f t="shared" si="55"/>
        <v>1.7056474500011174</v>
      </c>
      <c r="O378" s="194">
        <f t="shared" si="59"/>
        <v>1.8092000000000001</v>
      </c>
      <c r="P378" s="194">
        <f>AVERAGE(Ashed_controlls!$K$12:$K$14)</f>
        <v>2.2816647271287041</v>
      </c>
      <c r="Q378" s="194">
        <f t="shared" si="60"/>
        <v>1.7679201217567877</v>
      </c>
      <c r="R378" s="16">
        <f>IF('WetLitterbags placem_collection'!G85="","",'WetLitterbags placem_collection'!G85)</f>
        <v>42819</v>
      </c>
      <c r="S378" s="194">
        <f>IFERROR(INDEX('Both teabags AfterWet'!$C$3:$C$2000,MATCH(H378,'Both teabags AfterWet'!$A$3:$A$2000,0)),"")</f>
        <v>0.88800000000000001</v>
      </c>
      <c r="T378" s="194">
        <f>IFERROR(INDEX('Both teabags AfterWet'!$C$3:$C$2000,MATCH(I378,'Both teabags AfterWet'!$A$3:$A$2000,0)),"")</f>
        <v>1.637</v>
      </c>
      <c r="U378" s="194">
        <f t="shared" si="61"/>
        <v>0.73740000000000006</v>
      </c>
      <c r="V378" s="194">
        <f t="shared" si="62"/>
        <v>1.4863999999999999</v>
      </c>
      <c r="W378" s="194">
        <f>IFERROR(INDEX('Ashed teabags wet'!$K$2:$K$2000,MATCH(H378,'Ashed teabags wet'!$A$2:$A$2000,0)),"")</f>
        <v>14.849074975657658</v>
      </c>
      <c r="X378" s="233">
        <f>IFERROR(INDEX('Ashed teabags wet'!$K$2:$K$2000,MATCH(I378,'Ashed teabags wet'!$A$2:$A$2000,0)),"")</f>
        <v>7.3339940535177606</v>
      </c>
      <c r="Y378" s="194">
        <f t="shared" si="67"/>
        <v>0.62790292112950041</v>
      </c>
      <c r="Z378" s="194">
        <f t="shared" si="67"/>
        <v>1.377387512388512</v>
      </c>
      <c r="AA378" s="194">
        <f t="shared" si="63"/>
        <v>0.6318682848972752</v>
      </c>
      <c r="AB378" s="194">
        <f t="shared" si="64"/>
        <v>0.41424144093028026</v>
      </c>
      <c r="AC378" s="194">
        <f t="shared" si="56"/>
        <v>0.77910053482495445</v>
      </c>
      <c r="AD378">
        <f t="shared" si="57"/>
        <v>52</v>
      </c>
      <c r="AE378" s="194">
        <f t="shared" si="65"/>
        <v>0.24956260701036193</v>
      </c>
      <c r="AF378" s="194">
        <f t="shared" si="66"/>
        <v>1.4653624585251792E-2</v>
      </c>
      <c r="AG378" s="245" t="str">
        <f>IF(ISNUMBER(SEARCH("C",'WetLitterbags placem_collection'!$Y85)),"YES","NO")</f>
        <v>NO</v>
      </c>
      <c r="AH378" s="245" t="str">
        <f>IF(ISNUMBER(SEARCH("H", 'WetLitterbags placem_collection'!$Y85)),"YES","NO")</f>
        <v>NO</v>
      </c>
      <c r="AI378" s="245" t="str">
        <f>IF(ISNUMBER(SEARCH("R", 'WetLitterbags placem_collection'!$Y85)),"YES","NO")</f>
        <v>NO</v>
      </c>
      <c r="AJ378" s="245" t="str">
        <f>IF(ISNUMBER(SEARCH("C", 'WetLitterbags placem_collection'!$W85)),"YES","NO")</f>
        <v>NO</v>
      </c>
      <c r="AK378" s="245" t="str">
        <f>IF(ISNUMBER(SEARCH("H", 'WetLitterbags placem_collection'!$W85)),"YES","NO")</f>
        <v>YES</v>
      </c>
      <c r="AL378" s="245" t="str">
        <f>IF(ISNUMBER(SEARCH("R", 'WetLitterbags placem_collection'!$W85)),"YES","NO")</f>
        <v>NO</v>
      </c>
    </row>
    <row r="379" spans="2:38">
      <c r="B379" t="str">
        <f>Wetseason!B525</f>
        <v>Wet</v>
      </c>
      <c r="C379" s="253">
        <f>Wetseason!C525</f>
        <v>84</v>
      </c>
      <c r="D379" t="s">
        <v>3114</v>
      </c>
      <c r="E379" t="s">
        <v>25</v>
      </c>
      <c r="F379" s="375">
        <v>4</v>
      </c>
      <c r="G379" s="16">
        <f>'WetLitterbags placem_collection'!E86</f>
        <v>42767</v>
      </c>
      <c r="H379" s="92" t="str">
        <f>Wetseason!L525</f>
        <v>G520</v>
      </c>
      <c r="I379" t="str">
        <f>Wetseason!L745</f>
        <v>R417</v>
      </c>
      <c r="J379">
        <f>IFERROR(INDEX('Green_rooibos initial weight'!$C$5:$C$2000,MATCH(H379, 'Green_rooibos initial weight'!$A$5:$A$2000,0)),"")</f>
        <v>1.929</v>
      </c>
      <c r="K379">
        <f>IFERROR(INDEX('Green_rooibos initial weight'!$C$5:$C$2000,MATCH(I379, 'Green_rooibos initial weight'!$A$5:$A$2000,0)),"")</f>
        <v>2.2269999999999999</v>
      </c>
      <c r="L379" s="194">
        <f t="shared" si="58"/>
        <v>1.6792</v>
      </c>
      <c r="M379" s="194">
        <f>AVERAGE(Ashed_controlls!$K$2:$K$11)</f>
        <v>5.5147656768714146</v>
      </c>
      <c r="N379" s="194">
        <f t="shared" si="55"/>
        <v>1.5865960547539752</v>
      </c>
      <c r="O379" s="194">
        <f t="shared" si="59"/>
        <v>1.9771999999999998</v>
      </c>
      <c r="P379" s="194">
        <f>AVERAGE(Ashed_controlls!$K$12:$K$14)</f>
        <v>2.2816647271287041</v>
      </c>
      <c r="Q379" s="194">
        <f t="shared" si="60"/>
        <v>1.9320869250152111</v>
      </c>
      <c r="R379" s="16">
        <f>IF('WetLitterbags placem_collection'!G86="","",'WetLitterbags placem_collection'!G86)</f>
        <v>42819</v>
      </c>
      <c r="S379" s="194">
        <f>IFERROR(INDEX('Both teabags AfterWet'!$C$3:$C$2000,MATCH(H379,'Both teabags AfterWet'!$A$3:$A$2000,0)),"")</f>
        <v>0.81299999999999994</v>
      </c>
      <c r="T379" s="194">
        <f>IFERROR(INDEX('Both teabags AfterWet'!$C$3:$C$2000,MATCH(I379,'Both teabags AfterWet'!$A$3:$A$2000,0)),"")</f>
        <v>1.5820000000000001</v>
      </c>
      <c r="U379" s="194">
        <f t="shared" si="61"/>
        <v>0.66239999999999988</v>
      </c>
      <c r="V379" s="194">
        <f t="shared" si="62"/>
        <v>1.4314</v>
      </c>
      <c r="W379" s="194">
        <f>IFERROR(INDEX('Ashed teabags wet'!$K$2:$K$2000,MATCH(H379,'Ashed teabags wet'!$A$2:$A$2000,0)),"")</f>
        <v>10.723192019949995</v>
      </c>
      <c r="X379" s="233">
        <f>IFERROR(INDEX('Ashed teabags wet'!$K$2:$K$2000,MATCH(I379,'Ashed teabags wet'!$A$2:$A$2000,0)),"")</f>
        <v>7.3412698412690327</v>
      </c>
      <c r="Y379" s="194">
        <f t="shared" si="67"/>
        <v>0.59136957605985108</v>
      </c>
      <c r="Z379" s="194">
        <f t="shared" si="67"/>
        <v>1.3263170634920751</v>
      </c>
      <c r="AA379" s="194">
        <f t="shared" si="63"/>
        <v>0.62727149466437349</v>
      </c>
      <c r="AB379" s="194">
        <f t="shared" si="64"/>
        <v>0.41122786823602636</v>
      </c>
      <c r="AC379" s="194">
        <f t="shared" si="56"/>
        <v>0.68646862950104237</v>
      </c>
      <c r="AD379">
        <f t="shared" si="57"/>
        <v>52</v>
      </c>
      <c r="AE379" s="194">
        <f t="shared" si="65"/>
        <v>0.25502197783328562</v>
      </c>
      <c r="AF379" s="194">
        <f t="shared" si="66"/>
        <v>2.7640034105744286E-2</v>
      </c>
      <c r="AG379" s="245" t="str">
        <f>IF(ISNUMBER(SEARCH("C",'WetLitterbags placem_collection'!$Y86)),"YES","NO")</f>
        <v>NO</v>
      </c>
      <c r="AH379" s="245" t="str">
        <f>IF(ISNUMBER(SEARCH("H", 'WetLitterbags placem_collection'!$Y86)),"YES","NO")</f>
        <v>NO</v>
      </c>
      <c r="AI379" s="245" t="str">
        <f>IF(ISNUMBER(SEARCH("R", 'WetLitterbags placem_collection'!$Y86)),"YES","NO")</f>
        <v>YES</v>
      </c>
      <c r="AJ379" s="245" t="str">
        <f>IF(ISNUMBER(SEARCH("C", 'WetLitterbags placem_collection'!$W86)),"YES","NO")</f>
        <v>NO</v>
      </c>
      <c r="AK379" s="245" t="str">
        <f>IF(ISNUMBER(SEARCH("H", 'WetLitterbags placem_collection'!$W86)),"YES","NO")</f>
        <v>NO</v>
      </c>
      <c r="AL379" s="245" t="str">
        <f>IF(ISNUMBER(SEARCH("R", 'WetLitterbags placem_collection'!$W86)),"YES","NO")</f>
        <v>YES</v>
      </c>
    </row>
    <row r="380" spans="2:38">
      <c r="B380" t="str">
        <f>Wetseason!B526</f>
        <v>Wet</v>
      </c>
      <c r="C380" s="253">
        <f>Wetseason!C526</f>
        <v>85</v>
      </c>
      <c r="D380" t="s">
        <v>3114</v>
      </c>
      <c r="E380" t="s">
        <v>25</v>
      </c>
      <c r="F380" s="375">
        <v>5</v>
      </c>
      <c r="G380" s="16">
        <f>'WetLitterbags placem_collection'!E87</f>
        <v>42767</v>
      </c>
      <c r="H380" s="92" t="str">
        <f>Wetseason!L526</f>
        <v>G441</v>
      </c>
      <c r="I380" t="str">
        <f>Wetseason!L746</f>
        <v>R391</v>
      </c>
      <c r="J380">
        <f>IFERROR(INDEX('Green_rooibos initial weight'!$C$5:$C$2000,MATCH(H380, 'Green_rooibos initial weight'!$A$5:$A$2000,0)),"")</f>
        <v>2.1040000000000001</v>
      </c>
      <c r="K380">
        <f>IFERROR(INDEX('Green_rooibos initial weight'!$C$5:$C$2000,MATCH(I380, 'Green_rooibos initial weight'!$A$5:$A$2000,0)),"")</f>
        <v>2.1960000000000002</v>
      </c>
      <c r="L380" s="194">
        <f t="shared" si="58"/>
        <v>1.8542000000000001</v>
      </c>
      <c r="M380" s="194">
        <f>AVERAGE(Ashed_controlls!$K$2:$K$11)</f>
        <v>5.5147656768714146</v>
      </c>
      <c r="N380" s="194">
        <f t="shared" si="55"/>
        <v>1.7519452148194503</v>
      </c>
      <c r="O380" s="194">
        <f t="shared" si="59"/>
        <v>1.9462000000000002</v>
      </c>
      <c r="P380" s="194">
        <f>AVERAGE(Ashed_controlls!$K$12:$K$14)</f>
        <v>2.2816647271287041</v>
      </c>
      <c r="Q380" s="194">
        <f t="shared" si="60"/>
        <v>1.9017942410806212</v>
      </c>
      <c r="R380" s="16">
        <f>IF('WetLitterbags placem_collection'!G87="","",'WetLitterbags placem_collection'!G87)</f>
        <v>42819</v>
      </c>
      <c r="S380" s="194">
        <f>IFERROR(INDEX('Both teabags AfterWet'!$C$3:$C$2000,MATCH(H380,'Both teabags AfterWet'!$A$3:$A$2000,0)),"")</f>
        <v>0.96599999999999997</v>
      </c>
      <c r="T380" s="194">
        <f>IFERROR(INDEX('Both teabags AfterWet'!$C$3:$C$2000,MATCH(I380,'Both teabags AfterWet'!$A$3:$A$2000,0)),"")</f>
        <v>1.6220000000000001</v>
      </c>
      <c r="U380" s="194">
        <f t="shared" si="61"/>
        <v>0.8153999999999999</v>
      </c>
      <c r="V380" s="194">
        <f t="shared" si="62"/>
        <v>1.4714</v>
      </c>
      <c r="W380" s="194">
        <f>IFERROR(INDEX('Ashed teabags wet'!$K$2:$K$2000,MATCH(H380,'Ashed teabags wet'!$A$2:$A$2000,0)),"")</f>
        <v>11.595639246779045</v>
      </c>
      <c r="X380" s="233">
        <f>IFERROR(INDEX('Ashed teabags wet'!$K$2:$K$2000,MATCH(I380,'Ashed teabags wet'!$A$2:$A$2000,0)),"")</f>
        <v>3.6463536463541599</v>
      </c>
      <c r="Y380" s="194">
        <f t="shared" si="67"/>
        <v>0.7208491575817636</v>
      </c>
      <c r="Z380" s="194">
        <f t="shared" si="67"/>
        <v>1.4177475524475449</v>
      </c>
      <c r="AA380" s="194">
        <f t="shared" si="63"/>
        <v>0.58854355062920627</v>
      </c>
      <c r="AB380" s="194">
        <f t="shared" si="64"/>
        <v>0.38583852725335138</v>
      </c>
      <c r="AC380" s="194">
        <f t="shared" si="56"/>
        <v>0.74547893869000492</v>
      </c>
      <c r="AD380">
        <f t="shared" si="57"/>
        <v>52</v>
      </c>
      <c r="AE380" s="194">
        <f t="shared" si="65"/>
        <v>0.30101716077291418</v>
      </c>
      <c r="AF380" s="194">
        <f t="shared" si="66"/>
        <v>2.0726945444708399E-2</v>
      </c>
      <c r="AG380" s="245" t="str">
        <f>IF(ISNUMBER(SEARCH("C",'WetLitterbags placem_collection'!$Y87)),"YES","NO")</f>
        <v>NO</v>
      </c>
      <c r="AH380" s="245" t="str">
        <f>IF(ISNUMBER(SEARCH("H", 'WetLitterbags placem_collection'!$Y87)),"YES","NO")</f>
        <v>NO</v>
      </c>
      <c r="AI380" s="245" t="str">
        <f>IF(ISNUMBER(SEARCH("R", 'WetLitterbags placem_collection'!$Y87)),"YES","NO")</f>
        <v>NO</v>
      </c>
      <c r="AJ380" s="245" t="str">
        <f>IF(ISNUMBER(SEARCH("C", 'WetLitterbags placem_collection'!$W87)),"YES","NO")</f>
        <v>YES</v>
      </c>
      <c r="AK380" s="245" t="str">
        <f>IF(ISNUMBER(SEARCH("H", 'WetLitterbags placem_collection'!$W87)),"YES","NO")</f>
        <v>YES</v>
      </c>
      <c r="AL380" s="245" t="str">
        <f>IF(ISNUMBER(SEARCH("R", 'WetLitterbags placem_collection'!$W87)),"YES","NO")</f>
        <v>YES</v>
      </c>
    </row>
    <row r="381" spans="2:38">
      <c r="B381" t="str">
        <f>Wetseason!B527</f>
        <v>Wet</v>
      </c>
      <c r="C381" s="253">
        <f>Wetseason!C527</f>
        <v>86</v>
      </c>
      <c r="D381" t="s">
        <v>3114</v>
      </c>
      <c r="E381" t="s">
        <v>25</v>
      </c>
      <c r="F381" s="375">
        <v>6</v>
      </c>
      <c r="G381" s="16">
        <f>'WetLitterbags placem_collection'!E88</f>
        <v>42767</v>
      </c>
      <c r="H381" s="92" t="str">
        <f>Wetseason!L527</f>
        <v>G561</v>
      </c>
      <c r="I381" t="str">
        <f>Wetseason!L747</f>
        <v>R62</v>
      </c>
      <c r="J381">
        <f>IFERROR(INDEX('Green_rooibos initial weight'!$C$5:$C$2000,MATCH(H381, 'Green_rooibos initial weight'!$A$5:$A$2000,0)),"")</f>
        <v>2.1259999999999999</v>
      </c>
      <c r="K381">
        <f>IFERROR(INDEX('Green_rooibos initial weight'!$C$5:$C$2000,MATCH(I381, 'Green_rooibos initial weight'!$A$5:$A$2000,0)),"")</f>
        <v>2.3660000000000001</v>
      </c>
      <c r="L381" s="194">
        <f t="shared" si="58"/>
        <v>1.8761999999999999</v>
      </c>
      <c r="M381" s="194">
        <f>AVERAGE(Ashed_controlls!$K$2:$K$11)</f>
        <v>5.5147656768714146</v>
      </c>
      <c r="N381" s="194">
        <f t="shared" si="55"/>
        <v>1.7727319663705383</v>
      </c>
      <c r="O381" s="194">
        <f t="shared" si="59"/>
        <v>2.1162000000000001</v>
      </c>
      <c r="P381" s="194">
        <f>AVERAGE(Ashed_controlls!$K$12:$K$14)</f>
        <v>2.2816647271287041</v>
      </c>
      <c r="Q381" s="194">
        <f t="shared" si="60"/>
        <v>2.0679154110445026</v>
      </c>
      <c r="R381" s="16">
        <f>IF('WetLitterbags placem_collection'!G88="","",'WetLitterbags placem_collection'!G88)</f>
        <v>42819</v>
      </c>
      <c r="S381" s="194">
        <f>IFERROR(INDEX('Both teabags AfterWet'!$C$3:$C$2000,MATCH(H381,'Both teabags AfterWet'!$A$3:$A$2000,0)),"")</f>
        <v>0.74650000000000005</v>
      </c>
      <c r="T381" s="194">
        <f>IFERROR(INDEX('Both teabags AfterWet'!$C$3:$C$2000,MATCH(I381,'Both teabags AfterWet'!$A$3:$A$2000,0)),"")</f>
        <v>1.6786000000000001</v>
      </c>
      <c r="U381" s="194">
        <f t="shared" si="61"/>
        <v>0.5959000000000001</v>
      </c>
      <c r="V381" s="194">
        <f t="shared" si="62"/>
        <v>1.528</v>
      </c>
      <c r="W381" s="194">
        <f>IFERROR(INDEX('Ashed teabags wet'!$K$2:$K$2000,MATCH(H381,'Ashed teabags wet'!$A$2:$A$2000,0)),"")</f>
        <v>8.6978131212732563</v>
      </c>
      <c r="X381" s="233">
        <f>IFERROR(INDEX('Ashed teabags wet'!$K$2:$K$2000,MATCH(I381,'Ashed teabags wet'!$A$2:$A$2000,0)),"")</f>
        <v>28.338278931750832</v>
      </c>
      <c r="Y381" s="194">
        <f t="shared" si="67"/>
        <v>0.54406973161033279</v>
      </c>
      <c r="Z381" s="194">
        <f t="shared" si="67"/>
        <v>1.0949910979228474</v>
      </c>
      <c r="AA381" s="194">
        <f t="shared" si="63"/>
        <v>0.69308968195330056</v>
      </c>
      <c r="AB381" s="194">
        <f t="shared" si="64"/>
        <v>0.45437708365584556</v>
      </c>
      <c r="AC381" s="194">
        <f t="shared" si="56"/>
        <v>0.52951445309349876</v>
      </c>
      <c r="AD381">
        <f t="shared" si="57"/>
        <v>52</v>
      </c>
      <c r="AE381" s="194">
        <f t="shared" si="65"/>
        <v>0.17685310931912046</v>
      </c>
      <c r="AF381" s="194" t="str">
        <f t="shared" si="66"/>
        <v/>
      </c>
      <c r="AG381" s="245" t="str">
        <f>IF(ISNUMBER(SEARCH("C",'WetLitterbags placem_collection'!$Y88)),"YES","NO")</f>
        <v>NO</v>
      </c>
      <c r="AH381" s="245" t="str">
        <f>IF(ISNUMBER(SEARCH("H", 'WetLitterbags placem_collection'!$Y88)),"YES","NO")</f>
        <v>NO</v>
      </c>
      <c r="AI381" s="245" t="str">
        <f>IF(ISNUMBER(SEARCH("R", 'WetLitterbags placem_collection'!$Y88)),"YES","NO")</f>
        <v>NO</v>
      </c>
      <c r="AJ381" s="245" t="str">
        <f>IF(ISNUMBER(SEARCH("C", 'WetLitterbags placem_collection'!$W88)),"YES","NO")</f>
        <v>YES</v>
      </c>
      <c r="AK381" s="245" t="str">
        <f>IF(ISNUMBER(SEARCH("H", 'WetLitterbags placem_collection'!$W88)),"YES","NO")</f>
        <v>YES</v>
      </c>
      <c r="AL381" s="245" t="str">
        <f>IF(ISNUMBER(SEARCH("R", 'WetLitterbags placem_collection'!$W88)),"YES","NO")</f>
        <v>YES</v>
      </c>
    </row>
    <row r="382" spans="2:38">
      <c r="B382" t="str">
        <f>Wetseason!B528</f>
        <v>Wet</v>
      </c>
      <c r="C382" s="253">
        <f>Wetseason!C528</f>
        <v>87</v>
      </c>
      <c r="D382" t="s">
        <v>3114</v>
      </c>
      <c r="E382" t="s">
        <v>25</v>
      </c>
      <c r="F382" s="375">
        <v>7</v>
      </c>
      <c r="G382" s="16">
        <f>'WetLitterbags placem_collection'!E89</f>
        <v>42767</v>
      </c>
      <c r="H382" s="92" t="str">
        <f>Wetseason!L528</f>
        <v>G632</v>
      </c>
      <c r="I382" t="str">
        <f>Wetseason!L748</f>
        <v>R329</v>
      </c>
      <c r="J382">
        <f>IFERROR(INDEX('Green_rooibos initial weight'!$C$5:$C$2000,MATCH(H382, 'Green_rooibos initial weight'!$A$5:$A$2000,0)),"")</f>
        <v>2.0779999999999998</v>
      </c>
      <c r="K382">
        <f>IFERROR(INDEX('Green_rooibos initial weight'!$C$5:$C$2000,MATCH(I382, 'Green_rooibos initial weight'!$A$5:$A$2000,0)),"")</f>
        <v>2.2120000000000002</v>
      </c>
      <c r="L382" s="194">
        <f t="shared" si="58"/>
        <v>1.8281999999999998</v>
      </c>
      <c r="M382" s="194">
        <f>AVERAGE(Ashed_controlls!$K$2:$K$11)</f>
        <v>5.5147656768714146</v>
      </c>
      <c r="N382" s="194">
        <f t="shared" si="55"/>
        <v>1.7273790538954366</v>
      </c>
      <c r="O382" s="194">
        <f t="shared" si="59"/>
        <v>1.9622000000000002</v>
      </c>
      <c r="P382" s="194">
        <f>AVERAGE(Ashed_controlls!$K$12:$K$14)</f>
        <v>2.2816647271287041</v>
      </c>
      <c r="Q382" s="194">
        <f t="shared" si="60"/>
        <v>1.9174291747242806</v>
      </c>
      <c r="R382" s="16">
        <f>IF('WetLitterbags placem_collection'!G89="","",'WetLitterbags placem_collection'!G89)</f>
        <v>42819</v>
      </c>
      <c r="S382" s="194">
        <f>IFERROR(INDEX('Both teabags AfterWet'!$C$3:$C$2000,MATCH(H382,'Both teabags AfterWet'!$A$3:$A$2000,0)),"")</f>
        <v>0.81640000000000001</v>
      </c>
      <c r="T382" s="194">
        <f>IFERROR(INDEX('Both teabags AfterWet'!$C$3:$C$2000,MATCH(I382,'Both teabags AfterWet'!$A$3:$A$2000,0)),"")</f>
        <v>1.7085999999999999</v>
      </c>
      <c r="U382" s="194">
        <f t="shared" si="61"/>
        <v>0.66579999999999995</v>
      </c>
      <c r="V382" s="194">
        <f t="shared" si="62"/>
        <v>1.5579999999999998</v>
      </c>
      <c r="W382" s="194">
        <f>IFERROR(INDEX('Ashed teabags wet'!$K$2:$K$2000,MATCH(H382,'Ashed teabags wet'!$A$2:$A$2000,0)),"")</f>
        <v>14.564493098524098</v>
      </c>
      <c r="X382" s="233">
        <f>IFERROR(INDEX('Ashed teabags wet'!$K$2:$K$2000,MATCH(I382,'Ashed teabags wet'!$A$2:$A$2000,0)),"")</f>
        <v>5.7663873829462604</v>
      </c>
      <c r="Y382" s="194">
        <f t="shared" si="67"/>
        <v>0.56882960495002655</v>
      </c>
      <c r="Z382" s="194">
        <f t="shared" si="67"/>
        <v>1.4681596845736971</v>
      </c>
      <c r="AA382" s="194">
        <f t="shared" si="63"/>
        <v>0.67069786815623877</v>
      </c>
      <c r="AB382" s="194">
        <f t="shared" si="64"/>
        <v>0.43969741475325874</v>
      </c>
      <c r="AC382" s="194">
        <f t="shared" si="56"/>
        <v>0.76569174180048294</v>
      </c>
      <c r="AD382">
        <f t="shared" si="57"/>
        <v>52</v>
      </c>
      <c r="AE382" s="194">
        <f t="shared" si="65"/>
        <v>0.20344671240351686</v>
      </c>
      <c r="AF382" s="194">
        <f t="shared" si="66"/>
        <v>1.4638082545197958E-2</v>
      </c>
      <c r="AG382" s="245" t="str">
        <f>IF(ISNUMBER(SEARCH("C",'WetLitterbags placem_collection'!$Y89)),"YES","NO")</f>
        <v>NO</v>
      </c>
      <c r="AH382" s="245" t="str">
        <f>IF(ISNUMBER(SEARCH("H", 'WetLitterbags placem_collection'!$Y89)),"YES","NO")</f>
        <v>NO</v>
      </c>
      <c r="AI382" s="245" t="str">
        <f>IF(ISNUMBER(SEARCH("R", 'WetLitterbags placem_collection'!$Y89)),"YES","NO")</f>
        <v>NO</v>
      </c>
      <c r="AJ382" s="245" t="str">
        <f>IF(ISNUMBER(SEARCH("C", 'WetLitterbags placem_collection'!$W89)),"YES","NO")</f>
        <v>YES</v>
      </c>
      <c r="AK382" s="245" t="str">
        <f>IF(ISNUMBER(SEARCH("H", 'WetLitterbags placem_collection'!$W89)),"YES","NO")</f>
        <v>NO</v>
      </c>
      <c r="AL382" s="245" t="str">
        <f>IF(ISNUMBER(SEARCH("R", 'WetLitterbags placem_collection'!$W89)),"YES","NO")</f>
        <v>YES</v>
      </c>
    </row>
    <row r="383" spans="2:38">
      <c r="B383" t="str">
        <f>Wetseason!B529</f>
        <v>Wet</v>
      </c>
      <c r="C383" s="253">
        <f>Wetseason!C529</f>
        <v>88</v>
      </c>
      <c r="D383" t="s">
        <v>3114</v>
      </c>
      <c r="E383" t="s">
        <v>25</v>
      </c>
      <c r="F383" s="375">
        <v>8</v>
      </c>
      <c r="G383" s="16">
        <f>'WetLitterbags placem_collection'!E90</f>
        <v>42767</v>
      </c>
      <c r="H383" s="92" t="str">
        <f>Wetseason!L529</f>
        <v>G611</v>
      </c>
      <c r="I383" t="str">
        <f>Wetseason!L749</f>
        <v>R288</v>
      </c>
      <c r="J383">
        <f>IFERROR(INDEX('Green_rooibos initial weight'!$C$5:$C$2000,MATCH(H383, 'Green_rooibos initial weight'!$A$5:$A$2000,0)),"")</f>
        <v>1.99</v>
      </c>
      <c r="K383">
        <f>IFERROR(INDEX('Green_rooibos initial weight'!$C$5:$C$2000,MATCH(I383, 'Green_rooibos initial weight'!$A$5:$A$2000,0)),"")</f>
        <v>2.2450000000000001</v>
      </c>
      <c r="L383" s="194">
        <f t="shared" si="58"/>
        <v>1.7402</v>
      </c>
      <c r="M383" s="194">
        <f>AVERAGE(Ashed_controlls!$K$2:$K$11)</f>
        <v>5.5147656768714146</v>
      </c>
      <c r="N383" s="194">
        <f t="shared" si="55"/>
        <v>1.6442320476910837</v>
      </c>
      <c r="O383" s="194">
        <f t="shared" si="59"/>
        <v>1.9952000000000001</v>
      </c>
      <c r="P383" s="194">
        <f>AVERAGE(Ashed_controlls!$K$12:$K$14)</f>
        <v>2.2816647271287041</v>
      </c>
      <c r="Q383" s="194">
        <f t="shared" si="60"/>
        <v>1.9496762253643283</v>
      </c>
      <c r="R383" s="16">
        <f>IF('WetLitterbags placem_collection'!G90="","",'WetLitterbags placem_collection'!G90)</f>
        <v>42819</v>
      </c>
      <c r="S383" s="194">
        <f>IFERROR(INDEX('Both teabags AfterWet'!$C$3:$C$2000,MATCH(H383,'Both teabags AfterWet'!$A$3:$A$2000,0)),"")</f>
        <v>0.89510000000000001</v>
      </c>
      <c r="T383" s="194">
        <f>IFERROR(INDEX('Both teabags AfterWet'!$C$3:$C$2000,MATCH(I383,'Both teabags AfterWet'!$A$3:$A$2000,0)),"")</f>
        <v>1.514</v>
      </c>
      <c r="U383" s="194">
        <f t="shared" si="61"/>
        <v>0.74449999999999994</v>
      </c>
      <c r="V383" s="194">
        <f t="shared" si="62"/>
        <v>1.3633999999999999</v>
      </c>
      <c r="W383" s="194">
        <f>IFERROR(INDEX('Ashed teabags wet'!$K$2:$K$2000,MATCH(H383,'Ashed teabags wet'!$A$2:$A$2000,0)),"")</f>
        <v>16.371681415929352</v>
      </c>
      <c r="X383" s="233">
        <f>IFERROR(INDEX('Ashed teabags wet'!$K$2:$K$2000,MATCH(I383,'Ashed teabags wet'!$A$2:$A$2000,0)),"")</f>
        <v>4.106972301815091</v>
      </c>
      <c r="Y383" s="194">
        <f t="shared" si="67"/>
        <v>0.62261283185840588</v>
      </c>
      <c r="Z383" s="194">
        <f t="shared" si="67"/>
        <v>1.307405539637053</v>
      </c>
      <c r="AA383" s="194">
        <f t="shared" si="63"/>
        <v>0.62133518031550883</v>
      </c>
      <c r="AB383" s="194">
        <f t="shared" si="64"/>
        <v>0.40733612771278016</v>
      </c>
      <c r="AC383" s="194">
        <f t="shared" si="56"/>
        <v>0.67057572053674874</v>
      </c>
      <c r="AD383">
        <f t="shared" si="57"/>
        <v>52</v>
      </c>
      <c r="AE383" s="194">
        <f t="shared" si="65"/>
        <v>0.26207223240438382</v>
      </c>
      <c r="AF383" s="194">
        <f t="shared" si="66"/>
        <v>3.180885912072802E-2</v>
      </c>
      <c r="AG383" s="245" t="str">
        <f>IF(ISNUMBER(SEARCH("C",'WetLitterbags placem_collection'!$Y90)),"YES","NO")</f>
        <v>NO</v>
      </c>
      <c r="AH383" s="245" t="str">
        <f>IF(ISNUMBER(SEARCH("H", 'WetLitterbags placem_collection'!$Y90)),"YES","NO")</f>
        <v>NO</v>
      </c>
      <c r="AI383" s="245" t="str">
        <f>IF(ISNUMBER(SEARCH("R", 'WetLitterbags placem_collection'!$Y90)),"YES","NO")</f>
        <v>NO</v>
      </c>
      <c r="AJ383" s="245" t="str">
        <f>IF(ISNUMBER(SEARCH("C", 'WetLitterbags placem_collection'!$W90)),"YES","NO")</f>
        <v>NO</v>
      </c>
      <c r="AK383" s="245" t="str">
        <f>IF(ISNUMBER(SEARCH("H", 'WetLitterbags placem_collection'!$W90)),"YES","NO")</f>
        <v>NO</v>
      </c>
      <c r="AL383" s="245" t="str">
        <f>IF(ISNUMBER(SEARCH("R", 'WetLitterbags placem_collection'!$W90)),"YES","NO")</f>
        <v>NO</v>
      </c>
    </row>
    <row r="384" spans="2:38">
      <c r="B384" t="str">
        <f>Wetseason!B530</f>
        <v>Wet</v>
      </c>
      <c r="C384" s="253">
        <f>Wetseason!C530</f>
        <v>89</v>
      </c>
      <c r="D384" t="s">
        <v>3115</v>
      </c>
      <c r="E384" t="s">
        <v>25</v>
      </c>
      <c r="F384" s="374">
        <v>1</v>
      </c>
      <c r="G384" s="16">
        <f>'WetLitterbags placem_collection'!E91</f>
        <v>42767</v>
      </c>
      <c r="H384" s="92" t="str">
        <f>Wetseason!L530</f>
        <v>G469</v>
      </c>
      <c r="I384" t="str">
        <f>Wetseason!L750</f>
        <v>R171</v>
      </c>
      <c r="J384">
        <f>IFERROR(INDEX('Green_rooibos initial weight'!$C$5:$C$2000,MATCH(H384, 'Green_rooibos initial weight'!$A$5:$A$2000,0)),"")</f>
        <v>1.9630000000000001</v>
      </c>
      <c r="K384">
        <f>IFERROR(INDEX('Green_rooibos initial weight'!$C$5:$C$2000,MATCH(I384, 'Green_rooibos initial weight'!$A$5:$A$2000,0)),"")</f>
        <v>2.1160000000000001</v>
      </c>
      <c r="L384" s="194">
        <f t="shared" si="58"/>
        <v>1.7132000000000001</v>
      </c>
      <c r="M384" s="194">
        <f>AVERAGE(Ashed_controlls!$K$2:$K$11)</f>
        <v>5.5147656768714146</v>
      </c>
      <c r="N384" s="194">
        <f t="shared" si="55"/>
        <v>1.618721034423839</v>
      </c>
      <c r="O384" s="194">
        <f t="shared" si="59"/>
        <v>1.8662000000000001</v>
      </c>
      <c r="P384" s="194">
        <f>AVERAGE(Ashed_controlls!$K$12:$K$14)</f>
        <v>2.2816647271287041</v>
      </c>
      <c r="Q384" s="194">
        <f t="shared" si="60"/>
        <v>1.8236195728623241</v>
      </c>
      <c r="R384" s="16">
        <f>IF('WetLitterbags placem_collection'!G91="","",'WetLitterbags placem_collection'!G91)</f>
        <v>42819</v>
      </c>
      <c r="S384" s="194">
        <f>IFERROR(INDEX('Both teabags AfterWet'!$C$3:$C$2000,MATCH(H384,'Both teabags AfterWet'!$A$3:$A$2000,0)),"")</f>
        <v>1.5169999999999999</v>
      </c>
      <c r="T384" s="194">
        <f>IFERROR(INDEX('Both teabags AfterWet'!$C$3:$C$2000,MATCH(I384,'Both teabags AfterWet'!$A$3:$A$2000,0)),"")</f>
        <v>2.0529999999999999</v>
      </c>
      <c r="U384" s="194">
        <f t="shared" si="61"/>
        <v>1.3663999999999998</v>
      </c>
      <c r="V384" s="194">
        <f t="shared" si="62"/>
        <v>1.9023999999999999</v>
      </c>
      <c r="W384" s="194">
        <f>IFERROR(INDEX('Ashed teabags wet'!$K$2:$K$2000,MATCH(H384,'Ashed teabags wet'!$A$2:$A$2000,0)),"")</f>
        <v>48.044965786901678</v>
      </c>
      <c r="X384" s="233">
        <f>IFERROR(INDEX('Ashed teabags wet'!$K$2:$K$2000,MATCH(I384,'Ashed teabags wet'!$A$2:$A$2000,0)),"")</f>
        <v>19.890873015872916</v>
      </c>
      <c r="Y384" s="194">
        <f t="shared" si="67"/>
        <v>0.70991358748777544</v>
      </c>
      <c r="Z384" s="194">
        <f t="shared" si="67"/>
        <v>1.5239960317460335</v>
      </c>
      <c r="AA384" s="194">
        <f t="shared" si="63"/>
        <v>0.56143549605478549</v>
      </c>
      <c r="AB384" s="194">
        <f t="shared" si="64"/>
        <v>0.36806697603591643</v>
      </c>
      <c r="AC384" s="194">
        <f t="shared" si="56"/>
        <v>0.8356984397540731</v>
      </c>
      <c r="AD384">
        <f t="shared" si="57"/>
        <v>52</v>
      </c>
      <c r="AE384" s="194">
        <f t="shared" si="65"/>
        <v>0.33321199993493411</v>
      </c>
      <c r="AF384" s="194">
        <f t="shared" si="66"/>
        <v>1.1371067540936152E-2</v>
      </c>
      <c r="AG384" s="245" t="str">
        <f>IF(ISNUMBER(SEARCH("C",'WetLitterbags placem_collection'!$Y91)),"YES","NO")</f>
        <v>NO</v>
      </c>
      <c r="AH384" s="245" t="str">
        <f>IF(ISNUMBER(SEARCH("H", 'WetLitterbags placem_collection'!$Y91)),"YES","NO")</f>
        <v>NO</v>
      </c>
      <c r="AI384" s="245" t="str">
        <f>IF(ISNUMBER(SEARCH("R", 'WetLitterbags placem_collection'!$Y91)),"YES","NO")</f>
        <v>NO</v>
      </c>
      <c r="AJ384" s="245" t="str">
        <f>IF(ISNUMBER(SEARCH("C", 'WetLitterbags placem_collection'!$W91)),"YES","NO")</f>
        <v>NO</v>
      </c>
      <c r="AK384" s="245" t="str">
        <f>IF(ISNUMBER(SEARCH("H", 'WetLitterbags placem_collection'!$W91)),"YES","NO")</f>
        <v>YES</v>
      </c>
      <c r="AL384" s="245" t="str">
        <f>IF(ISNUMBER(SEARCH("R", 'WetLitterbags placem_collection'!$W91)),"YES","NO")</f>
        <v>YES</v>
      </c>
    </row>
    <row r="385" spans="2:38">
      <c r="B385" t="str">
        <f>Wetseason!B531</f>
        <v>Wet</v>
      </c>
      <c r="C385" s="253">
        <f>Wetseason!C531</f>
        <v>90</v>
      </c>
      <c r="D385" t="s">
        <v>3115</v>
      </c>
      <c r="E385" t="s">
        <v>25</v>
      </c>
      <c r="F385" s="374">
        <v>2</v>
      </c>
      <c r="G385" s="16">
        <f>'WetLitterbags placem_collection'!E92</f>
        <v>42767</v>
      </c>
      <c r="H385" s="92" t="str">
        <f>Wetseason!L531</f>
        <v>G355</v>
      </c>
      <c r="I385" t="str">
        <f>Wetseason!L751</f>
        <v>R517</v>
      </c>
      <c r="J385">
        <f>IFERROR(INDEX('Green_rooibos initial weight'!$C$5:$C$2000,MATCH(H385, 'Green_rooibos initial weight'!$A$5:$A$2000,0)),"")</f>
        <v>2.0489999999999999</v>
      </c>
      <c r="K385">
        <f>IFERROR(INDEX('Green_rooibos initial weight'!$C$5:$C$2000,MATCH(I385, 'Green_rooibos initial weight'!$A$5:$A$2000,0)),"")</f>
        <v>2.222</v>
      </c>
      <c r="L385" s="194">
        <f t="shared" si="58"/>
        <v>1.7991999999999999</v>
      </c>
      <c r="M385" s="194">
        <f>AVERAGE(Ashed_controlls!$K$2:$K$11)</f>
        <v>5.5147656768714146</v>
      </c>
      <c r="N385" s="194">
        <f t="shared" si="55"/>
        <v>1.6999783359417293</v>
      </c>
      <c r="O385" s="194">
        <f t="shared" si="59"/>
        <v>1.9722</v>
      </c>
      <c r="P385" s="194">
        <f>AVERAGE(Ashed_controlls!$K$12:$K$14)</f>
        <v>2.2816647271287041</v>
      </c>
      <c r="Q385" s="194">
        <f t="shared" si="60"/>
        <v>1.9272010082515676</v>
      </c>
      <c r="R385" s="16">
        <f>IF('WetLitterbags placem_collection'!G92="","",'WetLitterbags placem_collection'!G92)</f>
        <v>42819</v>
      </c>
      <c r="S385" s="194">
        <f>IFERROR(INDEX('Both teabags AfterWet'!$C$3:$C$2000,MATCH(H385,'Both teabags AfterWet'!$A$3:$A$2000,0)),"")</f>
        <v>0.78380000000000005</v>
      </c>
      <c r="T385" s="194">
        <f>IFERROR(INDEX('Both teabags AfterWet'!$C$3:$C$2000,MATCH(I385,'Both teabags AfterWet'!$A$3:$A$2000,0)),"")</f>
        <v>2.2749000000000001</v>
      </c>
      <c r="U385" s="194">
        <f t="shared" si="61"/>
        <v>0.63319999999999999</v>
      </c>
      <c r="V385" s="194">
        <f t="shared" si="62"/>
        <v>2.1243000000000003</v>
      </c>
      <c r="W385" s="194">
        <f>IFERROR(INDEX('Ashed teabags wet'!$K$2:$K$2000,MATCH(H385,'Ashed teabags wet'!$A$2:$A$2000,0)),"")</f>
        <v>6.6735644076571221</v>
      </c>
      <c r="X385" s="233">
        <f>IFERROR(INDEX('Ashed teabags wet'!$K$2:$K$2000,MATCH(I385,'Ashed teabags wet'!$A$2:$A$2000,0)),"")</f>
        <v>22.544750846637683</v>
      </c>
      <c r="Y385" s="194">
        <f t="shared" si="67"/>
        <v>0.59094299017071505</v>
      </c>
      <c r="Z385" s="194">
        <f t="shared" si="67"/>
        <v>1.645381857764876</v>
      </c>
      <c r="AA385" s="194">
        <f t="shared" si="63"/>
        <v>0.65238204647863762</v>
      </c>
      <c r="AB385" s="194">
        <f t="shared" si="64"/>
        <v>0.42768989270333491</v>
      </c>
      <c r="AC385" s="194">
        <f t="shared" si="56"/>
        <v>0.85376764059377019</v>
      </c>
      <c r="AD385">
        <f t="shared" si="57"/>
        <v>52</v>
      </c>
      <c r="AE385" s="194">
        <f t="shared" si="65"/>
        <v>0.22519946974033533</v>
      </c>
      <c r="AF385" s="194">
        <f t="shared" si="66"/>
        <v>8.0464770314540232E-3</v>
      </c>
      <c r="AG385" s="245" t="str">
        <f>IF(ISNUMBER(SEARCH("C",'WetLitterbags placem_collection'!$Y92)),"YES","NO")</f>
        <v>NO</v>
      </c>
      <c r="AH385" s="245" t="str">
        <f>IF(ISNUMBER(SEARCH("H", 'WetLitterbags placem_collection'!$Y92)),"YES","NO")</f>
        <v>NO</v>
      </c>
      <c r="AI385" s="245" t="str">
        <f>IF(ISNUMBER(SEARCH("R", 'WetLitterbags placem_collection'!$Y92)),"YES","NO")</f>
        <v>YES</v>
      </c>
      <c r="AJ385" s="245" t="str">
        <f>IF(ISNUMBER(SEARCH("C", 'WetLitterbags placem_collection'!$W92)),"YES","NO")</f>
        <v>NO</v>
      </c>
      <c r="AK385" s="245" t="str">
        <f>IF(ISNUMBER(SEARCH("H", 'WetLitterbags placem_collection'!$W92)),"YES","NO")</f>
        <v>NO</v>
      </c>
      <c r="AL385" s="245" t="str">
        <f>IF(ISNUMBER(SEARCH("R", 'WetLitterbags placem_collection'!$W92)),"YES","NO")</f>
        <v>YES</v>
      </c>
    </row>
    <row r="386" spans="2:38">
      <c r="B386" t="str">
        <f>Wetseason!B532</f>
        <v>Wet</v>
      </c>
      <c r="C386" s="253">
        <f>Wetseason!C532</f>
        <v>91</v>
      </c>
      <c r="D386" t="s">
        <v>3115</v>
      </c>
      <c r="E386" t="s">
        <v>25</v>
      </c>
      <c r="F386" s="374">
        <v>3</v>
      </c>
      <c r="G386" s="16">
        <f>'WetLitterbags placem_collection'!E93</f>
        <v>42767</v>
      </c>
      <c r="H386" s="92" t="str">
        <f>Wetseason!L532</f>
        <v>G547</v>
      </c>
      <c r="I386" t="str">
        <f>Wetseason!L752</f>
        <v>R73</v>
      </c>
      <c r="J386">
        <f>IFERROR(INDEX('Green_rooibos initial weight'!$C$5:$C$2000,MATCH(H386, 'Green_rooibos initial weight'!$A$5:$A$2000,0)),"")</f>
        <v>2.121</v>
      </c>
      <c r="K386">
        <f>IFERROR(INDEX('Green_rooibos initial weight'!$C$5:$C$2000,MATCH(I386, 'Green_rooibos initial weight'!$A$5:$A$2000,0)),"")</f>
        <v>2.1459999999999999</v>
      </c>
      <c r="L386" s="194">
        <f t="shared" si="58"/>
        <v>1.8712</v>
      </c>
      <c r="M386" s="194">
        <f>AVERAGE(Ashed_controlls!$K$2:$K$11)</f>
        <v>5.5147656768714146</v>
      </c>
      <c r="N386" s="194">
        <f t="shared" si="55"/>
        <v>1.7680077046543821</v>
      </c>
      <c r="O386" s="194">
        <f t="shared" si="59"/>
        <v>1.8961999999999999</v>
      </c>
      <c r="P386" s="194">
        <f>AVERAGE(Ashed_controlls!$K$12:$K$14)</f>
        <v>2.2816647271287041</v>
      </c>
      <c r="Q386" s="194">
        <f t="shared" si="60"/>
        <v>1.8529350734441854</v>
      </c>
      <c r="R386" s="16">
        <f>IF('WetLitterbags placem_collection'!G93="","",'WetLitterbags placem_collection'!G93)</f>
        <v>42819</v>
      </c>
      <c r="S386" s="194">
        <f>IFERROR(INDEX('Both teabags AfterWet'!$C$3:$C$2000,MATCH(H386,'Both teabags AfterWet'!$A$3:$A$2000,0)),"")</f>
        <v>1.069</v>
      </c>
      <c r="T386" s="194">
        <f>IFERROR(INDEX('Both teabags AfterWet'!$C$3:$C$2000,MATCH(I386,'Both teabags AfterWet'!$A$3:$A$2000,0)),"")</f>
        <v>1.663</v>
      </c>
      <c r="U386" s="194">
        <f t="shared" si="61"/>
        <v>0.91839999999999988</v>
      </c>
      <c r="V386" s="194">
        <f t="shared" si="62"/>
        <v>1.5124</v>
      </c>
      <c r="W386" s="194">
        <f>IFERROR(INDEX('Ashed teabags wet'!$K$2:$K$2000,MATCH(H386,'Ashed teabags wet'!$A$2:$A$2000,0)),"")</f>
        <v>26.348448687350785</v>
      </c>
      <c r="X386" s="233">
        <f>IFERROR(INDEX('Ashed teabags wet'!$K$2:$K$2000,MATCH(I386,'Ashed teabags wet'!$A$2:$A$2000,0)),"")</f>
        <v>3.2402791625130467</v>
      </c>
      <c r="Y386" s="194">
        <f t="shared" si="67"/>
        <v>0.67641584725537029</v>
      </c>
      <c r="Z386" s="194">
        <f t="shared" si="67"/>
        <v>1.4633940179461526</v>
      </c>
      <c r="AA386" s="194">
        <f t="shared" si="63"/>
        <v>0.61741351834911884</v>
      </c>
      <c r="AB386" s="194">
        <f t="shared" si="64"/>
        <v>0.40476515692246279</v>
      </c>
      <c r="AC386" s="194">
        <f t="shared" si="56"/>
        <v>0.78977080142696832</v>
      </c>
      <c r="AD386">
        <f t="shared" si="57"/>
        <v>52</v>
      </c>
      <c r="AE386" s="194">
        <f t="shared" si="65"/>
        <v>0.26672978818394433</v>
      </c>
      <c r="AF386" s="194">
        <f t="shared" si="66"/>
        <v>1.4090192647474981E-2</v>
      </c>
      <c r="AG386" s="245" t="str">
        <f>IF(ISNUMBER(SEARCH("C",'WetLitterbags placem_collection'!$Y93)),"YES","NO")</f>
        <v>NO</v>
      </c>
      <c r="AH386" s="245" t="str">
        <f>IF(ISNUMBER(SEARCH("H", 'WetLitterbags placem_collection'!$Y93)),"YES","NO")</f>
        <v>NO</v>
      </c>
      <c r="AI386" s="245" t="str">
        <f>IF(ISNUMBER(SEARCH("R", 'WetLitterbags placem_collection'!$Y93)),"YES","NO")</f>
        <v>NO</v>
      </c>
      <c r="AJ386" s="245" t="str">
        <f>IF(ISNUMBER(SEARCH("C", 'WetLitterbags placem_collection'!$W93)),"YES","NO")</f>
        <v>YES</v>
      </c>
      <c r="AK386" s="245" t="str">
        <f>IF(ISNUMBER(SEARCH("H", 'WetLitterbags placem_collection'!$W93)),"YES","NO")</f>
        <v>YES</v>
      </c>
      <c r="AL386" s="245" t="str">
        <f>IF(ISNUMBER(SEARCH("R", 'WetLitterbags placem_collection'!$W93)),"YES","NO")</f>
        <v>NO</v>
      </c>
    </row>
    <row r="387" spans="2:38">
      <c r="B387" t="str">
        <f>Wetseason!B533</f>
        <v>Wet</v>
      </c>
      <c r="C387" s="253">
        <f>Wetseason!C533</f>
        <v>92</v>
      </c>
      <c r="D387" t="s">
        <v>3115</v>
      </c>
      <c r="E387" t="s">
        <v>25</v>
      </c>
      <c r="F387" s="375">
        <v>4</v>
      </c>
      <c r="G387" s="16">
        <f>'WetLitterbags placem_collection'!E94</f>
        <v>42767</v>
      </c>
      <c r="H387" s="92" t="str">
        <f>Wetseason!L533</f>
        <v>G763</v>
      </c>
      <c r="I387" t="str">
        <f>Wetseason!L753</f>
        <v>R4</v>
      </c>
      <c r="J387">
        <f>IFERROR(INDEX('Green_rooibos initial weight'!$C$5:$C$2000,MATCH(H387, 'Green_rooibos initial weight'!$A$5:$A$2000,0)),"")</f>
        <v>2.0590000000000002</v>
      </c>
      <c r="K387">
        <f>IFERROR(INDEX('Green_rooibos initial weight'!$C$5:$C$2000,MATCH(I387, 'Green_rooibos initial weight'!$A$5:$A$2000,0)),"")</f>
        <v>2.1549999999999998</v>
      </c>
      <c r="L387" s="194">
        <f t="shared" si="58"/>
        <v>1.8092000000000001</v>
      </c>
      <c r="M387" s="194">
        <f>AVERAGE(Ashed_controlls!$K$2:$K$11)</f>
        <v>5.5147656768714146</v>
      </c>
      <c r="N387" s="194">
        <f t="shared" si="55"/>
        <v>1.7094268593740425</v>
      </c>
      <c r="O387" s="194">
        <f t="shared" si="59"/>
        <v>1.9051999999999998</v>
      </c>
      <c r="P387" s="194">
        <f>AVERAGE(Ashed_controlls!$K$12:$K$14)</f>
        <v>2.2816647271287041</v>
      </c>
      <c r="Q387" s="194">
        <f t="shared" si="60"/>
        <v>1.8617297236187438</v>
      </c>
      <c r="R387" s="16">
        <f>IF('WetLitterbags placem_collection'!G94="","",'WetLitterbags placem_collection'!G94)</f>
        <v>42819</v>
      </c>
      <c r="S387" s="194">
        <f>IFERROR(INDEX('Both teabags AfterWet'!$C$3:$C$2000,MATCH(H387,'Both teabags AfterWet'!$A$3:$A$2000,0)),"")</f>
        <v>1.448</v>
      </c>
      <c r="T387" s="194">
        <f>IFERROR(INDEX('Both teabags AfterWet'!$C$3:$C$2000,MATCH(I387,'Both teabags AfterWet'!$A$3:$A$2000,0)),"")</f>
        <v>1.6779999999999999</v>
      </c>
      <c r="U387" s="194">
        <f t="shared" si="61"/>
        <v>1.2973999999999999</v>
      </c>
      <c r="V387" s="194">
        <f t="shared" si="62"/>
        <v>1.5273999999999999</v>
      </c>
      <c r="W387" s="194">
        <f>IFERROR(INDEX('Ashed teabags wet'!$K$2:$K$2000,MATCH(H387,'Ashed teabags wet'!$A$2:$A$2000,0)),"")</f>
        <v>39.468503937007327</v>
      </c>
      <c r="X387" s="233">
        <f>IFERROR(INDEX('Ashed teabags wet'!$K$2:$K$2000,MATCH(I387,'Ashed teabags wet'!$A$2:$A$2000,0)),"")</f>
        <v>2.4590163934421247</v>
      </c>
      <c r="Y387" s="194">
        <f t="shared" si="67"/>
        <v>0.78533562992126693</v>
      </c>
      <c r="Z387" s="194">
        <f t="shared" si="67"/>
        <v>1.4898409836065649</v>
      </c>
      <c r="AA387" s="194">
        <f t="shared" si="63"/>
        <v>0.54058541574054764</v>
      </c>
      <c r="AB387" s="194">
        <f t="shared" si="64"/>
        <v>0.35439803977290063</v>
      </c>
      <c r="AC387" s="194">
        <f t="shared" si="56"/>
        <v>0.8002455806048373</v>
      </c>
      <c r="AD387">
        <f t="shared" si="57"/>
        <v>52</v>
      </c>
      <c r="AE387" s="194">
        <f t="shared" si="65"/>
        <v>0.35797456562880325</v>
      </c>
      <c r="AF387" s="194">
        <f t="shared" si="66"/>
        <v>1.5948027717761257E-2</v>
      </c>
      <c r="AG387" s="245" t="str">
        <f>IF(ISNUMBER(SEARCH("C",'WetLitterbags placem_collection'!$Y94)),"YES","NO")</f>
        <v>NO</v>
      </c>
      <c r="AH387" s="245" t="str">
        <f>IF(ISNUMBER(SEARCH("H", 'WetLitterbags placem_collection'!$Y94)),"YES","NO")</f>
        <v>NO</v>
      </c>
      <c r="AI387" s="245" t="str">
        <f>IF(ISNUMBER(SEARCH("R", 'WetLitterbags placem_collection'!$Y94)),"YES","NO")</f>
        <v>YES</v>
      </c>
      <c r="AJ387" s="245" t="str">
        <f>IF(ISNUMBER(SEARCH("C", 'WetLitterbags placem_collection'!$W94)),"YES","NO")</f>
        <v>YES</v>
      </c>
      <c r="AK387" s="245" t="str">
        <f>IF(ISNUMBER(SEARCH("H", 'WetLitterbags placem_collection'!$W94)),"YES","NO")</f>
        <v>YES</v>
      </c>
      <c r="AL387" s="245" t="str">
        <f>IF(ISNUMBER(SEARCH("R", 'WetLitterbags placem_collection'!$W94)),"YES","NO")</f>
        <v>NO</v>
      </c>
    </row>
    <row r="388" spans="2:38">
      <c r="B388" t="str">
        <f>Wetseason!B534</f>
        <v>Wet</v>
      </c>
      <c r="C388" s="253">
        <f>Wetseason!C534</f>
        <v>93</v>
      </c>
      <c r="D388" t="s">
        <v>3115</v>
      </c>
      <c r="E388" t="s">
        <v>25</v>
      </c>
      <c r="F388" s="375">
        <v>5</v>
      </c>
      <c r="G388" s="16">
        <f>'WetLitterbags placem_collection'!E95</f>
        <v>42767</v>
      </c>
      <c r="H388" s="92" t="str">
        <f>Wetseason!L534</f>
        <v>G424</v>
      </c>
      <c r="I388" t="str">
        <f>Wetseason!L754</f>
        <v>R136</v>
      </c>
      <c r="J388">
        <f>IFERROR(INDEX('Green_rooibos initial weight'!$C$5:$C$2000,MATCH(H388, 'Green_rooibos initial weight'!$A$5:$A$2000,0)),"")</f>
        <v>1.9590000000000001</v>
      </c>
      <c r="K388">
        <f>IFERROR(INDEX('Green_rooibos initial weight'!$C$5:$C$2000,MATCH(I388, 'Green_rooibos initial weight'!$A$5:$A$2000,0)),"")</f>
        <v>2.21</v>
      </c>
      <c r="L388" s="194">
        <f t="shared" si="58"/>
        <v>1.7092000000000001</v>
      </c>
      <c r="M388" s="194">
        <f>AVERAGE(Ashed_controlls!$K$2:$K$11)</f>
        <v>5.5147656768714146</v>
      </c>
      <c r="N388" s="194">
        <f t="shared" si="55"/>
        <v>1.6149416250509139</v>
      </c>
      <c r="O388" s="194">
        <f t="shared" si="59"/>
        <v>1.9601999999999999</v>
      </c>
      <c r="P388" s="194">
        <f>AVERAGE(Ashed_controlls!$K$12:$K$14)</f>
        <v>2.2816647271287041</v>
      </c>
      <c r="Q388" s="194">
        <f t="shared" si="60"/>
        <v>1.9154748080188231</v>
      </c>
      <c r="R388" s="16">
        <f>IF('WetLitterbags placem_collection'!G95="","",'WetLitterbags placem_collection'!G95)</f>
        <v>42819</v>
      </c>
      <c r="S388" s="194">
        <f>IFERROR(INDEX('Both teabags AfterWet'!$C$3:$C$2000,MATCH(H388,'Both teabags AfterWet'!$A$3:$A$2000,0)),"")</f>
        <v>0.66039999999999999</v>
      </c>
      <c r="T388" s="194">
        <f>IFERROR(INDEX('Both teabags AfterWet'!$C$3:$C$2000,MATCH(I388,'Both teabags AfterWet'!$A$3:$A$2000,0)),"")</f>
        <v>1.6368</v>
      </c>
      <c r="U388" s="194">
        <f t="shared" si="61"/>
        <v>0.50980000000000003</v>
      </c>
      <c r="V388" s="194">
        <f t="shared" si="62"/>
        <v>1.4862</v>
      </c>
      <c r="W388" s="194">
        <f>IFERROR(INDEX('Ashed teabags wet'!$K$2:$K$2000,MATCH(H388,'Ashed teabags wet'!$A$2:$A$2000,0)),"")</f>
        <v>9.5166915794729583</v>
      </c>
      <c r="X388" s="233">
        <f>IFERROR(INDEX('Ashed teabags wet'!$K$2:$K$2000,MATCH(I388,'Ashed teabags wet'!$A$2:$A$2000,0)),"")</f>
        <v>2.2232962783957189</v>
      </c>
      <c r="Y388" s="194">
        <f t="shared" si="67"/>
        <v>0.46128390632784688</v>
      </c>
      <c r="Z388" s="194">
        <f t="shared" si="67"/>
        <v>1.4531573707104828</v>
      </c>
      <c r="AA388" s="194">
        <f t="shared" si="63"/>
        <v>0.71436496578425612</v>
      </c>
      <c r="AB388" s="194">
        <f t="shared" si="64"/>
        <v>0.46832477566853853</v>
      </c>
      <c r="AC388" s="194">
        <f t="shared" si="56"/>
        <v>0.75864081564898489</v>
      </c>
      <c r="AD388">
        <f t="shared" si="57"/>
        <v>52</v>
      </c>
      <c r="AE388" s="194">
        <f t="shared" si="65"/>
        <v>0.15158555132511142</v>
      </c>
      <c r="AF388" s="194">
        <f t="shared" si="66"/>
        <v>1.3930069123960775E-2</v>
      </c>
      <c r="AG388" s="245" t="str">
        <f>IF(ISNUMBER(SEARCH("C",'WetLitterbags placem_collection'!$Y95)),"YES","NO")</f>
        <v>NO</v>
      </c>
      <c r="AH388" s="245" t="str">
        <f>IF(ISNUMBER(SEARCH("H", 'WetLitterbags placem_collection'!$Y95)),"YES","NO")</f>
        <v>NO</v>
      </c>
      <c r="AI388" s="245" t="str">
        <f>IF(ISNUMBER(SEARCH("R", 'WetLitterbags placem_collection'!$Y95)),"YES","NO")</f>
        <v>YES</v>
      </c>
      <c r="AJ388" s="245" t="str">
        <f>IF(ISNUMBER(SEARCH("C", 'WetLitterbags placem_collection'!$W95)),"YES","NO")</f>
        <v>NO</v>
      </c>
      <c r="AK388" s="245" t="str">
        <f>IF(ISNUMBER(SEARCH("H", 'WetLitterbags placem_collection'!$W95)),"YES","NO")</f>
        <v>YES</v>
      </c>
      <c r="AL388" s="245" t="str">
        <f>IF(ISNUMBER(SEARCH("R", 'WetLitterbags placem_collection'!$W95)),"YES","NO")</f>
        <v>NO</v>
      </c>
    </row>
    <row r="389" spans="2:38">
      <c r="B389" t="str">
        <f>Wetseason!B535</f>
        <v>Wet</v>
      </c>
      <c r="C389" s="253">
        <f>Wetseason!C535</f>
        <v>94</v>
      </c>
      <c r="D389" t="s">
        <v>3115</v>
      </c>
      <c r="E389" t="s">
        <v>25</v>
      </c>
      <c r="F389" s="375">
        <v>6</v>
      </c>
      <c r="G389" s="16">
        <f>'WetLitterbags placem_collection'!E96</f>
        <v>42767</v>
      </c>
      <c r="H389" s="92" t="str">
        <f>Wetseason!L535</f>
        <v>G588</v>
      </c>
      <c r="I389" t="str">
        <f>Wetseason!L755</f>
        <v>R358</v>
      </c>
      <c r="J389">
        <f>IFERROR(INDEX('Green_rooibos initial weight'!$C$5:$C$2000,MATCH(H389, 'Green_rooibos initial weight'!$A$5:$A$2000,0)),"")</f>
        <v>2.14</v>
      </c>
      <c r="K389">
        <f>IFERROR(INDEX('Green_rooibos initial weight'!$C$5:$C$2000,MATCH(I389, 'Green_rooibos initial weight'!$A$5:$A$2000,0)),"")</f>
        <v>2.2210000000000001</v>
      </c>
      <c r="L389" s="194">
        <f t="shared" si="58"/>
        <v>1.8902000000000001</v>
      </c>
      <c r="M389" s="194">
        <f>AVERAGE(Ashed_controlls!$K$2:$K$11)</f>
        <v>5.5147656768714146</v>
      </c>
      <c r="N389" s="194">
        <f t="shared" si="55"/>
        <v>1.7859598991757766</v>
      </c>
      <c r="O389" s="194">
        <f t="shared" si="59"/>
        <v>1.9712000000000001</v>
      </c>
      <c r="P389" s="194">
        <f>AVERAGE(Ashed_controlls!$K$12:$K$14)</f>
        <v>2.2816647271287041</v>
      </c>
      <c r="Q389" s="194">
        <f t="shared" si="60"/>
        <v>1.926223824898839</v>
      </c>
      <c r="R389" s="16">
        <f>IF('WetLitterbags placem_collection'!G96="","",'WetLitterbags placem_collection'!G96)</f>
        <v>42819</v>
      </c>
      <c r="S389" s="194" t="str">
        <f>IFERROR(INDEX('Both teabags AfterWet'!$C$3:$C$2000,MATCH(H389,'Both teabags AfterWet'!$A$3:$A$2000,0)),"")</f>
        <v/>
      </c>
      <c r="T389" s="194" t="str">
        <f>IFERROR(INDEX('Both teabags AfterWet'!$C$3:$C$2000,MATCH(I389,'Both teabags AfterWet'!$A$3:$A$2000,0)),"")</f>
        <v/>
      </c>
      <c r="U389" s="194" t="str">
        <f t="shared" si="61"/>
        <v/>
      </c>
      <c r="V389" s="194" t="str">
        <f t="shared" si="62"/>
        <v/>
      </c>
      <c r="W389" s="194" t="str">
        <f>IFERROR(INDEX('Ashed teabags wet'!$K$2:$K$2000,MATCH(H389,'Ashed teabags wet'!$A$2:$A$2000,0)),"")</f>
        <v/>
      </c>
      <c r="X389" s="233" t="str">
        <f>IFERROR(INDEX('Ashed teabags wet'!$K$2:$K$2000,MATCH(I389,'Ashed teabags wet'!$A$2:$A$2000,0)),"")</f>
        <v/>
      </c>
      <c r="Y389" s="194" t="str">
        <f t="shared" si="67"/>
        <v/>
      </c>
      <c r="Z389" s="194" t="str">
        <f t="shared" si="67"/>
        <v/>
      </c>
      <c r="AA389" s="194" t="str">
        <f t="shared" si="63"/>
        <v/>
      </c>
      <c r="AB389" s="194" t="str">
        <f t="shared" si="64"/>
        <v/>
      </c>
      <c r="AC389" s="194" t="str">
        <f t="shared" si="56"/>
        <v/>
      </c>
      <c r="AD389">
        <f t="shared" si="57"/>
        <v>52</v>
      </c>
      <c r="AE389" s="194" t="str">
        <f t="shared" si="65"/>
        <v/>
      </c>
      <c r="AF389" s="194" t="str">
        <f t="shared" si="66"/>
        <v/>
      </c>
      <c r="AG389" s="245" t="str">
        <f>IF(ISNUMBER(SEARCH("C",'WetLitterbags placem_collection'!$Y96)),"YES","NO")</f>
        <v>NO</v>
      </c>
      <c r="AH389" s="245" t="str">
        <f>IF(ISNUMBER(SEARCH("H", 'WetLitterbags placem_collection'!$Y96)),"YES","NO")</f>
        <v>NO</v>
      </c>
      <c r="AI389" s="245" t="str">
        <f>IF(ISNUMBER(SEARCH("R", 'WetLitterbags placem_collection'!$Y96)),"YES","NO")</f>
        <v>NO</v>
      </c>
      <c r="AJ389" s="245" t="str">
        <f>IF(ISNUMBER(SEARCH("C", 'WetLitterbags placem_collection'!$W96)),"YES","NO")</f>
        <v>NO</v>
      </c>
      <c r="AK389" s="245" t="str">
        <f>IF(ISNUMBER(SEARCH("H", 'WetLitterbags placem_collection'!$W96)),"YES","NO")</f>
        <v>NO</v>
      </c>
      <c r="AL389" s="245" t="str">
        <f>IF(ISNUMBER(SEARCH("R", 'WetLitterbags placem_collection'!$W96)),"YES","NO")</f>
        <v>NO</v>
      </c>
    </row>
    <row r="390" spans="2:38">
      <c r="B390" t="str">
        <f>Wetseason!B536</f>
        <v>Wet</v>
      </c>
      <c r="C390" s="253">
        <f>Wetseason!C536</f>
        <v>95</v>
      </c>
      <c r="D390" t="s">
        <v>3115</v>
      </c>
      <c r="E390" t="s">
        <v>25</v>
      </c>
      <c r="F390" s="375">
        <v>7</v>
      </c>
      <c r="G390" s="16">
        <f>'WetLitterbags placem_collection'!E97</f>
        <v>42767</v>
      </c>
      <c r="H390" s="92" t="str">
        <f>Wetseason!L536</f>
        <v>G486</v>
      </c>
      <c r="I390" t="str">
        <f>Wetseason!L756</f>
        <v>R547</v>
      </c>
      <c r="J390">
        <f>IFERROR(INDEX('Green_rooibos initial weight'!$C$5:$C$2000,MATCH(H390, 'Green_rooibos initial weight'!$A$5:$A$2000,0)),"")</f>
        <v>2.0049999999999999</v>
      </c>
      <c r="K390">
        <f>IFERROR(INDEX('Green_rooibos initial weight'!$C$5:$C$2000,MATCH(I390, 'Green_rooibos initial weight'!$A$5:$A$2000,0)),"")</f>
        <v>2.194</v>
      </c>
      <c r="L390" s="194">
        <f t="shared" si="58"/>
        <v>1.7551999999999999</v>
      </c>
      <c r="M390" s="194">
        <f>AVERAGE(Ashed_controlls!$K$2:$K$11)</f>
        <v>5.5147656768714146</v>
      </c>
      <c r="N390" s="194">
        <f t="shared" si="55"/>
        <v>1.6584048328395529</v>
      </c>
      <c r="O390" s="194">
        <f t="shared" si="59"/>
        <v>1.9441999999999999</v>
      </c>
      <c r="P390" s="194">
        <f>AVERAGE(Ashed_controlls!$K$12:$K$14)</f>
        <v>2.2816647271287041</v>
      </c>
      <c r="Q390" s="194">
        <f t="shared" si="60"/>
        <v>1.8998398743751637</v>
      </c>
      <c r="R390" s="16">
        <f>IF('WetLitterbags placem_collection'!G97="","",'WetLitterbags placem_collection'!G97)</f>
        <v>42819</v>
      </c>
      <c r="S390" s="194">
        <f>IFERROR(INDEX('Both teabags AfterWet'!$C$3:$C$2000,MATCH(H390,'Both teabags AfterWet'!$A$3:$A$2000,0)),"")</f>
        <v>0.90400000000000003</v>
      </c>
      <c r="T390" s="194">
        <f>IFERROR(INDEX('Both teabags AfterWet'!$C$3:$C$2000,MATCH(I390,'Both teabags AfterWet'!$A$3:$A$2000,0)),"")</f>
        <v>1.5620000000000001</v>
      </c>
      <c r="U390" s="194">
        <f t="shared" si="61"/>
        <v>0.75340000000000007</v>
      </c>
      <c r="V390" s="194">
        <f t="shared" si="62"/>
        <v>1.4114</v>
      </c>
      <c r="W390" s="194">
        <f>IFERROR(INDEX('Ashed teabags wet'!$K$2:$K$2000,MATCH(H390,'Ashed teabags wet'!$A$2:$A$2000,0)),"")</f>
        <v>17.120622568093445</v>
      </c>
      <c r="X390" s="233">
        <f>IFERROR(INDEX('Ashed teabags wet'!$K$2:$K$2000,MATCH(I390,'Ashed teabags wet'!$A$2:$A$2000,0)),"")</f>
        <v>13.011335633317401</v>
      </c>
      <c r="Y390" s="194">
        <f t="shared" si="67"/>
        <v>0.62441322957198397</v>
      </c>
      <c r="Z390" s="194">
        <f t="shared" si="67"/>
        <v>1.2277580088713582</v>
      </c>
      <c r="AA390" s="194">
        <f t="shared" si="63"/>
        <v>0.62348564282530972</v>
      </c>
      <c r="AB390" s="194">
        <f t="shared" si="64"/>
        <v>0.40874593211350474</v>
      </c>
      <c r="AC390" s="194">
        <f t="shared" si="56"/>
        <v>0.64624288890407366</v>
      </c>
      <c r="AD390">
        <f t="shared" si="57"/>
        <v>52</v>
      </c>
      <c r="AE390" s="194">
        <f t="shared" si="65"/>
        <v>0.2595182389248103</v>
      </c>
      <c r="AF390" s="194">
        <f t="shared" si="66"/>
        <v>3.8576228073045511E-2</v>
      </c>
      <c r="AG390" s="245" t="str">
        <f>IF(ISNUMBER(SEARCH("C",'WetLitterbags placem_collection'!$Y97)),"YES","NO")</f>
        <v>NO</v>
      </c>
      <c r="AH390" s="245" t="str">
        <f>IF(ISNUMBER(SEARCH("H", 'WetLitterbags placem_collection'!$Y97)),"YES","NO")</f>
        <v>NO</v>
      </c>
      <c r="AI390" s="245" t="str">
        <f>IF(ISNUMBER(SEARCH("R", 'WetLitterbags placem_collection'!$Y97)),"YES","NO")</f>
        <v>YES</v>
      </c>
      <c r="AJ390" s="245" t="str">
        <f>IF(ISNUMBER(SEARCH("C", 'WetLitterbags placem_collection'!$W97)),"YES","NO")</f>
        <v>NO</v>
      </c>
      <c r="AK390" s="245" t="str">
        <f>IF(ISNUMBER(SEARCH("H", 'WetLitterbags placem_collection'!$W97)),"YES","NO")</f>
        <v>YES</v>
      </c>
      <c r="AL390" s="245" t="str">
        <f>IF(ISNUMBER(SEARCH("R", 'WetLitterbags placem_collection'!$W97)),"YES","NO")</f>
        <v>YES</v>
      </c>
    </row>
    <row r="391" spans="2:38">
      <c r="B391" t="str">
        <f>Wetseason!B537</f>
        <v>Wet</v>
      </c>
      <c r="C391" s="253">
        <f>Wetseason!C537</f>
        <v>96</v>
      </c>
      <c r="D391" t="s">
        <v>3115</v>
      </c>
      <c r="E391" t="s">
        <v>25</v>
      </c>
      <c r="F391" s="375">
        <v>8</v>
      </c>
      <c r="G391" s="16">
        <f>'WetLitterbags placem_collection'!E98</f>
        <v>42767</v>
      </c>
      <c r="H391" s="92" t="str">
        <f>Wetseason!L537</f>
        <v>G545</v>
      </c>
      <c r="I391" t="str">
        <f>Wetseason!L757</f>
        <v>R588</v>
      </c>
      <c r="J391">
        <f>IFERROR(INDEX('Green_rooibos initial weight'!$C$5:$C$2000,MATCH(H391, 'Green_rooibos initial weight'!$A$5:$A$2000,0)),"")</f>
        <v>2.0720000000000001</v>
      </c>
      <c r="K391">
        <f>IFERROR(INDEX('Green_rooibos initial weight'!$C$5:$C$2000,MATCH(I391, 'Green_rooibos initial weight'!$A$5:$A$2000,0)),"")</f>
        <v>2.1360000000000001</v>
      </c>
      <c r="L391" s="194">
        <f t="shared" si="58"/>
        <v>1.8222</v>
      </c>
      <c r="M391" s="194">
        <f>AVERAGE(Ashed_controlls!$K$2:$K$11)</f>
        <v>5.5147656768714146</v>
      </c>
      <c r="N391" s="194">
        <f t="shared" si="55"/>
        <v>1.7217099398360491</v>
      </c>
      <c r="O391" s="194">
        <f t="shared" si="59"/>
        <v>1.8862000000000001</v>
      </c>
      <c r="P391" s="194">
        <f>AVERAGE(Ashed_controlls!$K$12:$K$14)</f>
        <v>2.2816647271287041</v>
      </c>
      <c r="Q391" s="194">
        <f t="shared" si="60"/>
        <v>1.8431632399168985</v>
      </c>
      <c r="R391" s="16">
        <f>IF('WetLitterbags placem_collection'!G98="","",'WetLitterbags placem_collection'!G98)</f>
        <v>42819</v>
      </c>
      <c r="S391" s="194">
        <f>IFERROR(INDEX('Both teabags AfterWet'!$C$3:$C$2000,MATCH(H391,'Both teabags AfterWet'!$A$3:$A$2000,0)),"")</f>
        <v>0.73950000000000005</v>
      </c>
      <c r="T391" s="194">
        <f>IFERROR(INDEX('Both teabags AfterWet'!$C$3:$C$2000,MATCH(I391,'Both teabags AfterWet'!$A$3:$A$2000,0)),"")</f>
        <v>0.87350000000000005</v>
      </c>
      <c r="U391" s="194">
        <f t="shared" si="61"/>
        <v>0.58889999999999998</v>
      </c>
      <c r="V391" s="194">
        <f t="shared" si="62"/>
        <v>0.7229000000000001</v>
      </c>
      <c r="W391" s="194">
        <f>IFERROR(INDEX('Ashed teabags wet'!$K$2:$K$2000,MATCH(H391,'Ashed teabags wet'!$A$2:$A$2000,0)),"")</f>
        <v>13.426156141222759</v>
      </c>
      <c r="X391" s="233">
        <f>IFERROR(INDEX('Ashed teabags wet'!$K$2:$K$2000,MATCH(I391,'Ashed teabags wet'!$A$2:$A$2000,0)),"")</f>
        <v>6.1660865241169791</v>
      </c>
      <c r="Y391" s="194">
        <f t="shared" si="67"/>
        <v>0.50983336648433919</v>
      </c>
      <c r="Z391" s="194">
        <f t="shared" si="67"/>
        <v>0.67832536051715842</v>
      </c>
      <c r="AA391" s="194">
        <f t="shared" si="63"/>
        <v>0.70387964041556939</v>
      </c>
      <c r="AB391" s="194">
        <f t="shared" si="64"/>
        <v>0.46145078564061087</v>
      </c>
      <c r="AC391" s="194">
        <f t="shared" si="56"/>
        <v>0.36802240074391979</v>
      </c>
      <c r="AD391">
        <f t="shared" si="57"/>
        <v>52</v>
      </c>
      <c r="AE391" s="194">
        <f t="shared" si="65"/>
        <v>0.16403843181048761</v>
      </c>
      <c r="AF391" s="194" t="str">
        <f t="shared" si="66"/>
        <v/>
      </c>
      <c r="AG391" s="245" t="str">
        <f>IF(ISNUMBER(SEARCH("C",'WetLitterbags placem_collection'!$Y98)),"YES","NO")</f>
        <v>NO</v>
      </c>
      <c r="AH391" s="245" t="str">
        <f>IF(ISNUMBER(SEARCH("H", 'WetLitterbags placem_collection'!$Y98)),"YES","NO")</f>
        <v>NO</v>
      </c>
      <c r="AI391" s="245" t="str">
        <f>IF(ISNUMBER(SEARCH("R", 'WetLitterbags placem_collection'!$Y98)),"YES","NO")</f>
        <v>NO</v>
      </c>
      <c r="AJ391" s="245" t="str">
        <f>IF(ISNUMBER(SEARCH("C", 'WetLitterbags placem_collection'!$W98)),"YES","NO")</f>
        <v>YES</v>
      </c>
      <c r="AK391" s="245" t="str">
        <f>IF(ISNUMBER(SEARCH("H", 'WetLitterbags placem_collection'!$W98)),"YES","NO")</f>
        <v>YES</v>
      </c>
      <c r="AL391" s="245" t="str">
        <f>IF(ISNUMBER(SEARCH("R", 'WetLitterbags placem_collection'!$W98)),"YES","NO")</f>
        <v>NO</v>
      </c>
    </row>
    <row r="392" spans="2:38">
      <c r="B392" t="str">
        <f>Wetseason!B538</f>
        <v>Wet</v>
      </c>
      <c r="C392" s="253">
        <f>Wetseason!C538</f>
        <v>97</v>
      </c>
      <c r="D392" t="s">
        <v>3116</v>
      </c>
      <c r="E392" t="s">
        <v>25</v>
      </c>
      <c r="F392" s="374">
        <v>1</v>
      </c>
      <c r="G392" s="16">
        <f>'WetLitterbags placem_collection'!E99</f>
        <v>42762</v>
      </c>
      <c r="H392" s="92" t="str">
        <f>Wetseason!L538</f>
        <v>G847</v>
      </c>
      <c r="I392" t="str">
        <f>Wetseason!L758</f>
        <v>R576</v>
      </c>
      <c r="J392">
        <f>IFERROR(INDEX('Green_rooibos initial weight'!$C$5:$C$2000,MATCH(H392, 'Green_rooibos initial weight'!$A$5:$A$2000,0)),"")</f>
        <v>2.1019999999999999</v>
      </c>
      <c r="K392">
        <f>IFERROR(INDEX('Green_rooibos initial weight'!$C$5:$C$2000,MATCH(I392, 'Green_rooibos initial weight'!$A$5:$A$2000,0)),"")</f>
        <v>2.109</v>
      </c>
      <c r="L392" s="194">
        <f t="shared" si="58"/>
        <v>1.8521999999999998</v>
      </c>
      <c r="M392" s="194">
        <f>AVERAGE(Ashed_controlls!$K$2:$K$11)</f>
        <v>5.5147656768714146</v>
      </c>
      <c r="N392" s="194">
        <f t="shared" si="55"/>
        <v>1.7500555101329875</v>
      </c>
      <c r="O392" s="194">
        <f t="shared" si="59"/>
        <v>1.8592</v>
      </c>
      <c r="P392" s="194">
        <f>AVERAGE(Ashed_controlls!$K$12:$K$14)</f>
        <v>2.2816647271287041</v>
      </c>
      <c r="Q392" s="194">
        <f t="shared" si="60"/>
        <v>1.8167792893932231</v>
      </c>
      <c r="R392" s="16">
        <f>IF('WetLitterbags placem_collection'!G99="","",'WetLitterbags placem_collection'!G99)</f>
        <v>42816</v>
      </c>
      <c r="S392" s="194">
        <f>IFERROR(INDEX('Both teabags AfterWet'!$C$3:$C$2000,MATCH(H392,'Both teabags AfterWet'!$A$3:$A$2000,0)),"")</f>
        <v>0.61809999999999998</v>
      </c>
      <c r="T392" s="194">
        <f>IFERROR(INDEX('Both teabags AfterWet'!$C$3:$C$2000,MATCH(I392,'Both teabags AfterWet'!$A$3:$A$2000,0)),"")</f>
        <v>1.6898</v>
      </c>
      <c r="U392" s="194">
        <f t="shared" si="61"/>
        <v>0.46749999999999997</v>
      </c>
      <c r="V392" s="194">
        <f t="shared" si="62"/>
        <v>1.5391999999999999</v>
      </c>
      <c r="W392" s="194">
        <f>IFERROR(INDEX('Ashed teabags wet'!$K$2:$K$2000,MATCH(H392,'Ashed teabags wet'!$A$2:$A$2000,0)),"")</f>
        <v>21.620325982741679</v>
      </c>
      <c r="X392" s="233">
        <f>IFERROR(INDEX('Ashed teabags wet'!$K$2:$K$2000,MATCH(I392,'Ashed teabags wet'!$A$2:$A$2000,0)),"")</f>
        <v>8.4409136047665729</v>
      </c>
      <c r="Y392" s="194">
        <f t="shared" si="67"/>
        <v>0.36642497603068264</v>
      </c>
      <c r="Z392" s="194">
        <f t="shared" si="67"/>
        <v>1.4092774577954328</v>
      </c>
      <c r="AA392" s="194">
        <f t="shared" si="63"/>
        <v>0.79062094093070345</v>
      </c>
      <c r="AB392" s="194">
        <f t="shared" si="64"/>
        <v>0.5183168163821239</v>
      </c>
      <c r="AC392" s="194">
        <f t="shared" si="56"/>
        <v>0.77570097040577246</v>
      </c>
      <c r="AD392">
        <f t="shared" si="57"/>
        <v>54</v>
      </c>
      <c r="AE392" s="194">
        <f t="shared" si="65"/>
        <v>6.1020260177311769E-2</v>
      </c>
      <c r="AF392" s="194">
        <f t="shared" si="66"/>
        <v>1.0499007502769451E-2</v>
      </c>
      <c r="AG392" s="245" t="str">
        <f>IF(ISNUMBER(SEARCH("C",'WetLitterbags placem_collection'!$Y99)),"YES","NO")</f>
        <v>NO</v>
      </c>
      <c r="AH392" s="245" t="str">
        <f>IF(ISNUMBER(SEARCH("H", 'WetLitterbags placem_collection'!$Y99)),"YES","NO")</f>
        <v>NO</v>
      </c>
      <c r="AI392" s="245" t="str">
        <f>IF(ISNUMBER(SEARCH("R", 'WetLitterbags placem_collection'!$Y99)),"YES","NO")</f>
        <v>NO</v>
      </c>
      <c r="AJ392" s="245" t="str">
        <f>IF(ISNUMBER(SEARCH("C", 'WetLitterbags placem_collection'!$W99)),"YES","NO")</f>
        <v>YES</v>
      </c>
      <c r="AK392" s="245" t="str">
        <f>IF(ISNUMBER(SEARCH("H", 'WetLitterbags placem_collection'!$W99)),"YES","NO")</f>
        <v>YES</v>
      </c>
      <c r="AL392" s="245" t="str">
        <f>IF(ISNUMBER(SEARCH("R", 'WetLitterbags placem_collection'!$W99)),"YES","NO")</f>
        <v>NO</v>
      </c>
    </row>
    <row r="393" spans="2:38">
      <c r="B393" t="str">
        <f>Wetseason!B539</f>
        <v>Wet</v>
      </c>
      <c r="C393" s="253">
        <f>Wetseason!C539</f>
        <v>98</v>
      </c>
      <c r="D393" t="s">
        <v>3116</v>
      </c>
      <c r="E393" t="s">
        <v>25</v>
      </c>
      <c r="F393" s="374">
        <v>2</v>
      </c>
      <c r="G393" s="16">
        <f>'WetLitterbags placem_collection'!E100</f>
        <v>42762</v>
      </c>
      <c r="H393" s="92" t="str">
        <f>Wetseason!L539</f>
        <v>G730</v>
      </c>
      <c r="I393" t="str">
        <f>Wetseason!L759</f>
        <v>R561</v>
      </c>
      <c r="J393">
        <f>IFERROR(INDEX('Green_rooibos initial weight'!$C$5:$C$2000,MATCH(H393, 'Green_rooibos initial weight'!$A$5:$A$2000,0)),"")</f>
        <v>2.048</v>
      </c>
      <c r="K393">
        <f>IFERROR(INDEX('Green_rooibos initial weight'!$C$5:$C$2000,MATCH(I393, 'Green_rooibos initial weight'!$A$5:$A$2000,0)),"")</f>
        <v>2.0760000000000001</v>
      </c>
      <c r="L393" s="194">
        <f t="shared" si="58"/>
        <v>1.7982</v>
      </c>
      <c r="M393" s="194">
        <f>AVERAGE(Ashed_controlls!$K$2:$K$11)</f>
        <v>5.5147656768714146</v>
      </c>
      <c r="N393" s="194">
        <f t="shared" si="55"/>
        <v>1.6990334835984982</v>
      </c>
      <c r="O393" s="194">
        <f t="shared" si="59"/>
        <v>1.8262</v>
      </c>
      <c r="P393" s="194">
        <f>AVERAGE(Ashed_controlls!$K$12:$K$14)</f>
        <v>2.2816647271287041</v>
      </c>
      <c r="Q393" s="194">
        <f t="shared" si="60"/>
        <v>1.7845322387531757</v>
      </c>
      <c r="R393" s="16">
        <f>IF('WetLitterbags placem_collection'!G100="","",'WetLitterbags placem_collection'!G100)</f>
        <v>42816</v>
      </c>
      <c r="S393" s="194">
        <f>IFERROR(INDEX('Both teabags AfterWet'!$C$3:$C$2000,MATCH(H393,'Both teabags AfterWet'!$A$3:$A$2000,0)),"")</f>
        <v>0.629</v>
      </c>
      <c r="T393" s="194">
        <f>IFERROR(INDEX('Both teabags AfterWet'!$C$3:$C$2000,MATCH(I393,'Both teabags AfterWet'!$A$3:$A$2000,0)),"")</f>
        <v>1.661</v>
      </c>
      <c r="U393" s="194">
        <f t="shared" si="61"/>
        <v>0.47839999999999999</v>
      </c>
      <c r="V393" s="194">
        <f t="shared" si="62"/>
        <v>1.5104</v>
      </c>
      <c r="W393" s="194">
        <f>IFERROR(INDEX('Ashed teabags wet'!$K$2:$K$2000,MATCH(H393,'Ashed teabags wet'!$A$2:$A$2000,0)),"")</f>
        <v>15.206692913385</v>
      </c>
      <c r="X393" s="233">
        <f>IFERROR(INDEX('Ashed teabags wet'!$K$2:$K$2000,MATCH(I393,'Ashed teabags wet'!$A$2:$A$2000,0)),"")</f>
        <v>12.28244654400746</v>
      </c>
      <c r="Y393" s="194">
        <f t="shared" si="67"/>
        <v>0.40565118110236614</v>
      </c>
      <c r="Z393" s="194">
        <f t="shared" si="67"/>
        <v>1.3248859273993112</v>
      </c>
      <c r="AA393" s="194">
        <f t="shared" si="63"/>
        <v>0.76124591715331591</v>
      </c>
      <c r="AB393" s="194">
        <f t="shared" si="64"/>
        <v>0.49905908107913349</v>
      </c>
      <c r="AC393" s="194">
        <f t="shared" si="56"/>
        <v>0.74242756652297182</v>
      </c>
      <c r="AD393">
        <f t="shared" si="57"/>
        <v>54</v>
      </c>
      <c r="AE393" s="194">
        <f t="shared" si="65"/>
        <v>9.5907461813164008E-2</v>
      </c>
      <c r="AF393" s="194">
        <f t="shared" si="66"/>
        <v>1.3442783436430749E-2</v>
      </c>
      <c r="AG393" s="245" t="str">
        <f>IF(ISNUMBER(SEARCH("C",'WetLitterbags placem_collection'!$Y100)),"YES","NO")</f>
        <v>NO</v>
      </c>
      <c r="AH393" s="245" t="str">
        <f>IF(ISNUMBER(SEARCH("H", 'WetLitterbags placem_collection'!$Y100)),"YES","NO")</f>
        <v>NO</v>
      </c>
      <c r="AI393" s="245" t="str">
        <f>IF(ISNUMBER(SEARCH("R", 'WetLitterbags placem_collection'!$Y100)),"YES","NO")</f>
        <v>NO</v>
      </c>
      <c r="AJ393" s="245" t="str">
        <f>IF(ISNUMBER(SEARCH("C", 'WetLitterbags placem_collection'!$W100)),"YES","NO")</f>
        <v>NO</v>
      </c>
      <c r="AK393" s="245" t="str">
        <f>IF(ISNUMBER(SEARCH("H", 'WetLitterbags placem_collection'!$W100)),"YES","NO")</f>
        <v>NO</v>
      </c>
      <c r="AL393" s="245" t="str">
        <f>IF(ISNUMBER(SEARCH("R", 'WetLitterbags placem_collection'!$W100)),"YES","NO")</f>
        <v>NO</v>
      </c>
    </row>
    <row r="394" spans="2:38">
      <c r="B394" t="str">
        <f>Wetseason!B540</f>
        <v>Wet</v>
      </c>
      <c r="C394" s="253">
        <f>Wetseason!C540</f>
        <v>99</v>
      </c>
      <c r="D394" t="s">
        <v>3116</v>
      </c>
      <c r="E394" t="s">
        <v>25</v>
      </c>
      <c r="F394" s="374">
        <v>3</v>
      </c>
      <c r="G394" s="16">
        <f>'WetLitterbags placem_collection'!E101</f>
        <v>42762</v>
      </c>
      <c r="H394" s="92" t="str">
        <f>Wetseason!L540</f>
        <v>G691</v>
      </c>
      <c r="I394" t="str">
        <f>Wetseason!L760</f>
        <v>R496</v>
      </c>
      <c r="J394">
        <f>IFERROR(INDEX('Green_rooibos initial weight'!$C$5:$C$2000,MATCH(H394, 'Green_rooibos initial weight'!$A$5:$A$2000,0)),"")</f>
        <v>2.0950000000000002</v>
      </c>
      <c r="K394">
        <f>IFERROR(INDEX('Green_rooibos initial weight'!$C$5:$C$2000,MATCH(I394, 'Green_rooibos initial weight'!$A$5:$A$2000,0)),"")</f>
        <v>2.2389999999999999</v>
      </c>
      <c r="L394" s="194">
        <f t="shared" si="58"/>
        <v>1.8452000000000002</v>
      </c>
      <c r="M394" s="194">
        <f>AVERAGE(Ashed_controlls!$K$2:$K$11)</f>
        <v>5.5147656768714146</v>
      </c>
      <c r="N394" s="194">
        <f t="shared" si="55"/>
        <v>1.7434415437303687</v>
      </c>
      <c r="O394" s="194">
        <f t="shared" si="59"/>
        <v>1.9891999999999999</v>
      </c>
      <c r="P394" s="194">
        <f>AVERAGE(Ashed_controlls!$K$12:$K$14)</f>
        <v>2.2816647271287041</v>
      </c>
      <c r="Q394" s="194">
        <f t="shared" si="60"/>
        <v>1.9438131252479556</v>
      </c>
      <c r="R394" s="16">
        <f>IF('WetLitterbags placem_collection'!G101="","",'WetLitterbags placem_collection'!G101)</f>
        <v>42816</v>
      </c>
      <c r="S394" s="194">
        <f>IFERROR(INDEX('Both teabags AfterWet'!$C$3:$C$2000,MATCH(H394,'Both teabags AfterWet'!$A$3:$A$2000,0)),"")</f>
        <v>0.52829999999999999</v>
      </c>
      <c r="T394" s="194">
        <f>IFERROR(INDEX('Both teabags AfterWet'!$C$3:$C$2000,MATCH(I394,'Both teabags AfterWet'!$A$3:$A$2000,0)),"")</f>
        <v>1.5016</v>
      </c>
      <c r="U394" s="194">
        <f t="shared" si="61"/>
        <v>0.37769999999999998</v>
      </c>
      <c r="V394" s="194">
        <f t="shared" si="62"/>
        <v>1.351</v>
      </c>
      <c r="W394" s="194">
        <f>IFERROR(INDEX('Ashed teabags wet'!$K$2:$K$2000,MATCH(H394,'Ashed teabags wet'!$A$2:$A$2000,0)),"")</f>
        <v>10.554371002128548</v>
      </c>
      <c r="X394" s="233">
        <f>IFERROR(INDEX('Ashed teabags wet'!$K$2:$K$2000,MATCH(I394,'Ashed teabags wet'!$A$2:$A$2000,0)),"")</f>
        <v>7.3182711198407153</v>
      </c>
      <c r="Y394" s="194">
        <f t="shared" si="67"/>
        <v>0.33783614072496049</v>
      </c>
      <c r="Z394" s="194">
        <f t="shared" si="67"/>
        <v>1.252130157170952</v>
      </c>
      <c r="AA394" s="194">
        <f t="shared" si="63"/>
        <v>0.80622456661087316</v>
      </c>
      <c r="AB394" s="194">
        <f t="shared" si="64"/>
        <v>0.52854627169738955</v>
      </c>
      <c r="AC394" s="194">
        <f t="shared" si="56"/>
        <v>0.64416179770945237</v>
      </c>
      <c r="AD394">
        <f t="shared" si="57"/>
        <v>54</v>
      </c>
      <c r="AE394" s="194">
        <f t="shared" si="65"/>
        <v>4.2488638229366771E-2</v>
      </c>
      <c r="AF394" s="194">
        <f t="shared" si="66"/>
        <v>2.0713474912983417E-2</v>
      </c>
      <c r="AG394" s="245" t="str">
        <f>IF(ISNUMBER(SEARCH("C",'WetLitterbags placem_collection'!$Y101)),"YES","NO")</f>
        <v>NO</v>
      </c>
      <c r="AH394" s="245" t="str">
        <f>IF(ISNUMBER(SEARCH("H", 'WetLitterbags placem_collection'!$Y101)),"YES","NO")</f>
        <v>NO</v>
      </c>
      <c r="AI394" s="245" t="str">
        <f>IF(ISNUMBER(SEARCH("R", 'WetLitterbags placem_collection'!$Y101)),"YES","NO")</f>
        <v>NO</v>
      </c>
      <c r="AJ394" s="245" t="str">
        <f>IF(ISNUMBER(SEARCH("C", 'WetLitterbags placem_collection'!$W101)),"YES","NO")</f>
        <v>NO</v>
      </c>
      <c r="AK394" s="245" t="str">
        <f>IF(ISNUMBER(SEARCH("H", 'WetLitterbags placem_collection'!$W101)),"YES","NO")</f>
        <v>NO</v>
      </c>
      <c r="AL394" s="245" t="str">
        <f>IF(ISNUMBER(SEARCH("R", 'WetLitterbags placem_collection'!$W101)),"YES","NO")</f>
        <v>YES</v>
      </c>
    </row>
    <row r="395" spans="2:38">
      <c r="B395" t="str">
        <f>Wetseason!B541</f>
        <v>Wet</v>
      </c>
      <c r="C395" s="253">
        <f>Wetseason!C541</f>
        <v>100</v>
      </c>
      <c r="D395" t="s">
        <v>3116</v>
      </c>
      <c r="E395" t="s">
        <v>25</v>
      </c>
      <c r="F395" s="375">
        <v>4</v>
      </c>
      <c r="G395" s="16">
        <f>'WetLitterbags placem_collection'!E102</f>
        <v>42762</v>
      </c>
      <c r="H395" s="92" t="str">
        <f>Wetseason!L541</f>
        <v>G828</v>
      </c>
      <c r="I395" t="str">
        <f>Wetseason!L761</f>
        <v>R497</v>
      </c>
      <c r="J395">
        <f>IFERROR(INDEX('Green_rooibos initial weight'!$C$5:$C$2000,MATCH(H395, 'Green_rooibos initial weight'!$A$5:$A$2000,0)),"")</f>
        <v>1.986</v>
      </c>
      <c r="K395">
        <f>IFERROR(INDEX('Green_rooibos initial weight'!$C$5:$C$2000,MATCH(I395, 'Green_rooibos initial weight'!$A$5:$A$2000,0)),"")</f>
        <v>2.2240000000000002</v>
      </c>
      <c r="L395" s="194">
        <f t="shared" si="58"/>
        <v>1.7362</v>
      </c>
      <c r="M395" s="194">
        <f>AVERAGE(Ashed_controlls!$K$2:$K$11)</f>
        <v>5.5147656768714146</v>
      </c>
      <c r="N395" s="194">
        <f t="shared" si="55"/>
        <v>1.6404526383181586</v>
      </c>
      <c r="O395" s="194">
        <f t="shared" si="59"/>
        <v>1.9742000000000002</v>
      </c>
      <c r="P395" s="194">
        <f>AVERAGE(Ashed_controlls!$K$12:$K$14)</f>
        <v>2.2816647271287041</v>
      </c>
      <c r="Q395" s="194">
        <f t="shared" si="60"/>
        <v>1.9291553749570254</v>
      </c>
      <c r="R395" s="16">
        <f>IF('WetLitterbags placem_collection'!G102="","",'WetLitterbags placem_collection'!G102)</f>
        <v>42816</v>
      </c>
      <c r="S395" s="194">
        <f>IFERROR(INDEX('Both teabags AfterWet'!$C$3:$C$2000,MATCH(H395,'Both teabags AfterWet'!$A$3:$A$2000,0)),"")</f>
        <v>0.57399999999999995</v>
      </c>
      <c r="T395" s="194">
        <f>IFERROR(INDEX('Both teabags AfterWet'!$C$3:$C$2000,MATCH(I395,'Both teabags AfterWet'!$A$3:$A$2000,0)),"")</f>
        <v>1.66</v>
      </c>
      <c r="U395" s="194">
        <f t="shared" si="61"/>
        <v>0.42339999999999994</v>
      </c>
      <c r="V395" s="194">
        <f t="shared" si="62"/>
        <v>1.5093999999999999</v>
      </c>
      <c r="W395" s="194">
        <f>IFERROR(INDEX('Ashed teabags wet'!$K$2:$K$2000,MATCH(H395,'Ashed teabags wet'!$A$2:$A$2000,0)),"")</f>
        <v>14.012096774192942</v>
      </c>
      <c r="X395" s="233">
        <f>IFERROR(INDEX('Ashed teabags wet'!$K$2:$K$2000,MATCH(I395,'Ashed teabags wet'!$A$2:$A$2000,0)),"")</f>
        <v>7.3426573426567847</v>
      </c>
      <c r="Y395" s="194">
        <f t="shared" si="67"/>
        <v>0.36407278225806705</v>
      </c>
      <c r="Z395" s="194">
        <f t="shared" si="67"/>
        <v>1.3985699300699383</v>
      </c>
      <c r="AA395" s="194">
        <f t="shared" si="63"/>
        <v>0.77806565471385669</v>
      </c>
      <c r="AB395" s="194">
        <f t="shared" si="64"/>
        <v>0.5100857973896068</v>
      </c>
      <c r="AC395" s="194">
        <f t="shared" si="56"/>
        <v>0.72496489822707688</v>
      </c>
      <c r="AD395">
        <f t="shared" si="57"/>
        <v>54</v>
      </c>
      <c r="AE395" s="194">
        <f t="shared" si="65"/>
        <v>7.5931526468103638E-2</v>
      </c>
      <c r="AF395" s="194">
        <f t="shared" si="66"/>
        <v>1.4347735645145843E-2</v>
      </c>
      <c r="AG395" s="245" t="str">
        <f>IF(ISNUMBER(SEARCH("C",'WetLitterbags placem_collection'!$Y102)),"YES","NO")</f>
        <v>NO</v>
      </c>
      <c r="AH395" s="245" t="str">
        <f>IF(ISNUMBER(SEARCH("H", 'WetLitterbags placem_collection'!$Y102)),"YES","NO")</f>
        <v>NO</v>
      </c>
      <c r="AI395" s="245" t="str">
        <f>IF(ISNUMBER(SEARCH("R", 'WetLitterbags placem_collection'!$Y102)),"YES","NO")</f>
        <v>NO</v>
      </c>
      <c r="AJ395" s="245" t="str">
        <f>IF(ISNUMBER(SEARCH("C", 'WetLitterbags placem_collection'!$W102)),"YES","NO")</f>
        <v>YES</v>
      </c>
      <c r="AK395" s="245" t="str">
        <f>IF(ISNUMBER(SEARCH("H", 'WetLitterbags placem_collection'!$W102)),"YES","NO")</f>
        <v>YES</v>
      </c>
      <c r="AL395" s="245" t="str">
        <f>IF(ISNUMBER(SEARCH("R", 'WetLitterbags placem_collection'!$W102)),"YES","NO")</f>
        <v>NO</v>
      </c>
    </row>
    <row r="396" spans="2:38">
      <c r="B396" t="str">
        <f>Wetseason!B542</f>
        <v>Wet</v>
      </c>
      <c r="C396" s="253">
        <f>Wetseason!C542</f>
        <v>101</v>
      </c>
      <c r="D396" t="s">
        <v>3116</v>
      </c>
      <c r="E396" t="s">
        <v>25</v>
      </c>
      <c r="F396" s="375">
        <v>5</v>
      </c>
      <c r="G396" s="16">
        <f>'WetLitterbags placem_collection'!E103</f>
        <v>42762</v>
      </c>
      <c r="H396" s="92" t="str">
        <f>Wetseason!L542</f>
        <v>G875</v>
      </c>
      <c r="I396" t="str">
        <f>Wetseason!L762</f>
        <v>R10</v>
      </c>
      <c r="J396">
        <f>IFERROR(INDEX('Green_rooibos initial weight'!$C$5:$C$2000,MATCH(H396, 'Green_rooibos initial weight'!$A$5:$A$2000,0)),"")</f>
        <v>2.0880000000000001</v>
      </c>
      <c r="K396">
        <f>IFERROR(INDEX('Green_rooibos initial weight'!$C$5:$C$2000,MATCH(I396, 'Green_rooibos initial weight'!$A$5:$A$2000,0)),"")</f>
        <v>2.29</v>
      </c>
      <c r="L396" s="194">
        <f t="shared" si="58"/>
        <v>1.8382000000000001</v>
      </c>
      <c r="M396" s="194">
        <f>AVERAGE(Ashed_controlls!$K$2:$K$11)</f>
        <v>5.5147656768714146</v>
      </c>
      <c r="N396" s="194">
        <f t="shared" ref="N396:N459" si="68">IFERROR(L396-(M396/100)*L396,"")</f>
        <v>1.7368275773277497</v>
      </c>
      <c r="O396" s="194">
        <f t="shared" si="59"/>
        <v>2.0402</v>
      </c>
      <c r="P396" s="194">
        <f>AVERAGE(Ashed_controlls!$K$12:$K$14)</f>
        <v>2.2816647271287041</v>
      </c>
      <c r="Q396" s="194">
        <f t="shared" si="60"/>
        <v>1.9936494762371202</v>
      </c>
      <c r="R396" s="16">
        <f>IF('WetLitterbags placem_collection'!G103="","",'WetLitterbags placem_collection'!G103)</f>
        <v>42816</v>
      </c>
      <c r="S396" s="194">
        <f>IFERROR(INDEX('Both teabags AfterWet'!$C$3:$C$2000,MATCH(H396,'Both teabags AfterWet'!$A$3:$A$2000,0)),"")</f>
        <v>0.62450000000000006</v>
      </c>
      <c r="T396" s="194">
        <f>IFERROR(INDEX('Both teabags AfterWet'!$C$3:$C$2000,MATCH(I396,'Both teabags AfterWet'!$A$3:$A$2000,0)),"")</f>
        <v>1.5687</v>
      </c>
      <c r="U396" s="194">
        <f t="shared" si="61"/>
        <v>0.47390000000000004</v>
      </c>
      <c r="V396" s="194">
        <f t="shared" si="62"/>
        <v>1.4180999999999999</v>
      </c>
      <c r="W396" s="194">
        <f>IFERROR(INDEX('Ashed teabags wet'!$K$2:$K$2000,MATCH(H396,'Ashed teabags wet'!$A$2:$A$2000,0)),"")</f>
        <v>13.73786407767002</v>
      </c>
      <c r="X396" s="233">
        <f>IFERROR(INDEX('Ashed teabags wet'!$K$2:$K$2000,MATCH(I396,'Ashed teabags wet'!$A$2:$A$2000,0)),"")</f>
        <v>7.5048732943469902</v>
      </c>
      <c r="Y396" s="194">
        <f t="shared" si="67"/>
        <v>0.4087962621359218</v>
      </c>
      <c r="Z396" s="194">
        <f t="shared" si="67"/>
        <v>1.3116733918128651</v>
      </c>
      <c r="AA396" s="194">
        <f t="shared" si="63"/>
        <v>0.76463048636935627</v>
      </c>
      <c r="AB396" s="194">
        <f t="shared" si="64"/>
        <v>0.50127794355805788</v>
      </c>
      <c r="AC396" s="194">
        <f t="shared" ref="AC396:AC459" si="69">IFERROR(Z396/Q396,"")</f>
        <v>0.65792578256462653</v>
      </c>
      <c r="AD396">
        <f t="shared" ref="AD396:AD459" si="70">IFERROR(IF((R396-G396)&gt;0,(IFERROR(R396-G396,"")),""),"")</f>
        <v>54</v>
      </c>
      <c r="AE396" s="194">
        <f t="shared" si="65"/>
        <v>9.1887783409315582E-2</v>
      </c>
      <c r="AF396" s="194">
        <f t="shared" si="66"/>
        <v>2.1240297155260244E-2</v>
      </c>
      <c r="AG396" s="245" t="str">
        <f>IF(ISNUMBER(SEARCH("C",'WetLitterbags placem_collection'!$Y103)),"YES","NO")</f>
        <v>NO</v>
      </c>
      <c r="AH396" s="245" t="str">
        <f>IF(ISNUMBER(SEARCH("H", 'WetLitterbags placem_collection'!$Y103)),"YES","NO")</f>
        <v>NO</v>
      </c>
      <c r="AI396" s="245" t="str">
        <f>IF(ISNUMBER(SEARCH("R", 'WetLitterbags placem_collection'!$Y103)),"YES","NO")</f>
        <v>NO</v>
      </c>
      <c r="AJ396" s="245" t="str">
        <f>IF(ISNUMBER(SEARCH("C", 'WetLitterbags placem_collection'!$W103)),"YES","NO")</f>
        <v>NO</v>
      </c>
      <c r="AK396" s="245" t="str">
        <f>IF(ISNUMBER(SEARCH("H", 'WetLitterbags placem_collection'!$W103)),"YES","NO")</f>
        <v>NO</v>
      </c>
      <c r="AL396" s="245" t="str">
        <f>IF(ISNUMBER(SEARCH("R", 'WetLitterbags placem_collection'!$W103)),"YES","NO")</f>
        <v>NO</v>
      </c>
    </row>
    <row r="397" spans="2:38">
      <c r="B397" t="str">
        <f>Wetseason!B543</f>
        <v>Wet</v>
      </c>
      <c r="C397" s="253">
        <f>Wetseason!C543</f>
        <v>102</v>
      </c>
      <c r="D397" t="s">
        <v>3116</v>
      </c>
      <c r="E397" t="s">
        <v>25</v>
      </c>
      <c r="F397" s="375">
        <v>6</v>
      </c>
      <c r="G397" s="16">
        <f>'WetLitterbags placem_collection'!E104</f>
        <v>42762</v>
      </c>
      <c r="H397" s="92" t="str">
        <f>Wetseason!L543</f>
        <v>G824</v>
      </c>
      <c r="I397" t="str">
        <f>Wetseason!L763</f>
        <v>R26</v>
      </c>
      <c r="J397">
        <f>IFERROR(INDEX('Green_rooibos initial weight'!$C$5:$C$2000,MATCH(H397, 'Green_rooibos initial weight'!$A$5:$A$2000,0)),"")</f>
        <v>1.931</v>
      </c>
      <c r="K397">
        <f>IFERROR(INDEX('Green_rooibos initial weight'!$C$5:$C$2000,MATCH(I397, 'Green_rooibos initial weight'!$A$5:$A$2000,0)),"")</f>
        <v>2.2559999999999998</v>
      </c>
      <c r="L397" s="194">
        <f t="shared" ref="L397:L460" si="71">IF(J397&gt;0,(J397*$F$31-($F$29+$F$30)),"")</f>
        <v>1.6812</v>
      </c>
      <c r="M397" s="194">
        <f>AVERAGE(Ashed_controlls!$K$2:$K$11)</f>
        <v>5.5147656768714146</v>
      </c>
      <c r="N397" s="194">
        <f t="shared" si="68"/>
        <v>1.5884857594404378</v>
      </c>
      <c r="O397" s="194">
        <f t="shared" ref="O397:O460" si="72">IF(K397&gt;0,(K397*$F$32-($F$29+$F$30)),"")</f>
        <v>2.0061999999999998</v>
      </c>
      <c r="P397" s="194">
        <f>AVERAGE(Ashed_controlls!$K$12:$K$14)</f>
        <v>2.2816647271287041</v>
      </c>
      <c r="Q397" s="194">
        <f t="shared" ref="Q397:Q460" si="73">IFERROR(O397-(P397/100)*O397,"")</f>
        <v>1.9604252422443438</v>
      </c>
      <c r="R397" s="16">
        <f>IF('WetLitterbags placem_collection'!G104="","",'WetLitterbags placem_collection'!G104)</f>
        <v>42816</v>
      </c>
      <c r="S397" s="194">
        <f>IFERROR(INDEX('Both teabags AfterWet'!$C$3:$C$2000,MATCH(H397,'Both teabags AfterWet'!$A$3:$A$2000,0)),"")</f>
        <v>0.56499999999999995</v>
      </c>
      <c r="T397" s="194">
        <f>IFERROR(INDEX('Both teabags AfterWet'!$C$3:$C$2000,MATCH(I397,'Both teabags AfterWet'!$A$3:$A$2000,0)),"")</f>
        <v>1.6240000000000001</v>
      </c>
      <c r="U397" s="194">
        <f t="shared" ref="U397:U460" si="74">IFERROR(IF(S397&gt;0,S397-($F$29),""),"")</f>
        <v>0.41439999999999994</v>
      </c>
      <c r="V397" s="194">
        <f t="shared" ref="V397:V460" si="75">IFERROR(IF(T397&gt;0,T397-($F$29),""),"")</f>
        <v>1.4734</v>
      </c>
      <c r="W397" s="194">
        <f>IFERROR(INDEX('Ashed teabags wet'!$K$2:$K$2000,MATCH(H397,'Ashed teabags wet'!$A$2:$A$2000,0)),"")</f>
        <v>12.710187932739478</v>
      </c>
      <c r="X397" s="233">
        <f>IFERROR(INDEX('Ashed teabags wet'!$K$2:$K$2000,MATCH(I397,'Ashed teabags wet'!$A$2:$A$2000,0)),"")</f>
        <v>5.4671968190859612</v>
      </c>
      <c r="Y397" s="194">
        <f t="shared" si="67"/>
        <v>0.36172898120672753</v>
      </c>
      <c r="Z397" s="194">
        <f t="shared" si="67"/>
        <v>1.3928463220675875</v>
      </c>
      <c r="AA397" s="194">
        <f t="shared" ref="AA397:AA460" si="76">IFERROR(1-Y397/N397,"")</f>
        <v>0.77228062697008326</v>
      </c>
      <c r="AB397" s="194">
        <f t="shared" ref="AB397:AB460" si="77">IFERROR($F$26*(1-AE397),"")</f>
        <v>0.5062932376335938</v>
      </c>
      <c r="AC397" s="194">
        <f t="shared" si="69"/>
        <v>0.71048173225571321</v>
      </c>
      <c r="AD397">
        <f t="shared" si="70"/>
        <v>54</v>
      </c>
      <c r="AE397" s="194">
        <f t="shared" ref="AE397:AE460" si="78">IFERROR(1-(AA397/$F$25),"")</f>
        <v>8.2802105736243137E-2</v>
      </c>
      <c r="AF397" s="194">
        <f t="shared" ref="AF397:AF460" si="79">IFERROR(LN(AB397/(AC397-(1-AB397)))/AD397,"")</f>
        <v>1.5708448371940388E-2</v>
      </c>
      <c r="AG397" s="245" t="str">
        <f>IF(ISNUMBER(SEARCH("C",'WetLitterbags placem_collection'!$Y104)),"YES","NO")</f>
        <v>NO</v>
      </c>
      <c r="AH397" s="245" t="str">
        <f>IF(ISNUMBER(SEARCH("H", 'WetLitterbags placem_collection'!$Y104)),"YES","NO")</f>
        <v>NO</v>
      </c>
      <c r="AI397" s="245" t="str">
        <f>IF(ISNUMBER(SEARCH("R", 'WetLitterbags placem_collection'!$Y104)),"YES","NO")</f>
        <v>NO</v>
      </c>
      <c r="AJ397" s="245" t="str">
        <f>IF(ISNUMBER(SEARCH("C", 'WetLitterbags placem_collection'!$W104)),"YES","NO")</f>
        <v>NO</v>
      </c>
      <c r="AK397" s="245" t="str">
        <f>IF(ISNUMBER(SEARCH("H", 'WetLitterbags placem_collection'!$W104)),"YES","NO")</f>
        <v>NO</v>
      </c>
      <c r="AL397" s="245" t="str">
        <f>IF(ISNUMBER(SEARCH("R", 'WetLitterbags placem_collection'!$W104)),"YES","NO")</f>
        <v>NO</v>
      </c>
    </row>
    <row r="398" spans="2:38">
      <c r="B398" t="str">
        <f>Wetseason!B544</f>
        <v>Wet</v>
      </c>
      <c r="C398" s="253">
        <f>Wetseason!C544</f>
        <v>103</v>
      </c>
      <c r="D398" t="s">
        <v>3116</v>
      </c>
      <c r="E398" t="s">
        <v>25</v>
      </c>
      <c r="F398" s="375">
        <v>7</v>
      </c>
      <c r="G398" s="16">
        <f>'WetLitterbags placem_collection'!E105</f>
        <v>42762</v>
      </c>
      <c r="H398" s="92" t="str">
        <f>Wetseason!L544</f>
        <v>G692</v>
      </c>
      <c r="I398" t="str">
        <f>Wetseason!L764</f>
        <v>R494</v>
      </c>
      <c r="J398">
        <f>IFERROR(INDEX('Green_rooibos initial weight'!$C$5:$C$2000,MATCH(H398, 'Green_rooibos initial weight'!$A$5:$A$2000,0)),"")</f>
        <v>2.028</v>
      </c>
      <c r="K398">
        <f>IFERROR(INDEX('Green_rooibos initial weight'!$C$5:$C$2000,MATCH(I398, 'Green_rooibos initial weight'!$A$5:$A$2000,0)),"")</f>
        <v>2.2130000000000001</v>
      </c>
      <c r="L398" s="194">
        <f t="shared" si="71"/>
        <v>1.7782</v>
      </c>
      <c r="M398" s="194">
        <f>AVERAGE(Ashed_controlls!$K$2:$K$11)</f>
        <v>5.5147656768714146</v>
      </c>
      <c r="N398" s="194">
        <f t="shared" si="68"/>
        <v>1.6801364367338725</v>
      </c>
      <c r="O398" s="194">
        <f t="shared" si="72"/>
        <v>1.9632000000000001</v>
      </c>
      <c r="P398" s="194">
        <f>AVERAGE(Ashed_controlls!$K$12:$K$14)</f>
        <v>2.2816647271287041</v>
      </c>
      <c r="Q398" s="194">
        <f t="shared" si="73"/>
        <v>1.9184063580770094</v>
      </c>
      <c r="R398" s="16">
        <f>IF('WetLitterbags placem_collection'!G105="","",'WetLitterbags placem_collection'!G105)</f>
        <v>42816</v>
      </c>
      <c r="S398" s="194">
        <f>IFERROR(INDEX('Both teabags AfterWet'!$C$3:$C$2000,MATCH(H398,'Both teabags AfterWet'!$A$3:$A$2000,0)),"")</f>
        <v>0.58699999999999997</v>
      </c>
      <c r="T398" s="194">
        <f>IFERROR(INDEX('Both teabags AfterWet'!$C$3:$C$2000,MATCH(I398,'Both teabags AfterWet'!$A$3:$A$2000,0)),"")</f>
        <v>1.6919999999999999</v>
      </c>
      <c r="U398" s="194">
        <f t="shared" si="74"/>
        <v>0.43639999999999995</v>
      </c>
      <c r="V398" s="194">
        <f t="shared" si="75"/>
        <v>1.5413999999999999</v>
      </c>
      <c r="W398" s="194">
        <f>IFERROR(INDEX('Ashed teabags wet'!$K$2:$K$2000,MATCH(H398,'Ashed teabags wet'!$A$2:$A$2000,0)),"")</f>
        <v>13.793103448275259</v>
      </c>
      <c r="X398" s="233">
        <f>IFERROR(INDEX('Ashed teabags wet'!$K$2:$K$2000,MATCH(I398,'Ashed teabags wet'!$A$2:$A$2000,0)),"")</f>
        <v>5.3175775480057332</v>
      </c>
      <c r="Y398" s="194">
        <f t="shared" ref="Y398:Z461" si="80">IFERROR(U398-(W398/100)*U398,"")</f>
        <v>0.37620689655172673</v>
      </c>
      <c r="Z398" s="194">
        <f t="shared" si="80"/>
        <v>1.4594348596750395</v>
      </c>
      <c r="AA398" s="194">
        <f t="shared" si="76"/>
        <v>0.77608550810131827</v>
      </c>
      <c r="AB398" s="194">
        <f t="shared" si="77"/>
        <v>0.50878764901654128</v>
      </c>
      <c r="AC398" s="194">
        <f t="shared" si="69"/>
        <v>0.76075376498332803</v>
      </c>
      <c r="AD398">
        <f t="shared" si="70"/>
        <v>54</v>
      </c>
      <c r="AE398" s="194">
        <f t="shared" si="78"/>
        <v>7.8283244535251484E-2</v>
      </c>
      <c r="AF398" s="194">
        <f t="shared" si="79"/>
        <v>1.176497571663415E-2</v>
      </c>
      <c r="AG398" s="245" t="str">
        <f>IF(ISNUMBER(SEARCH("C",'WetLitterbags placem_collection'!$Y105)),"YES","NO")</f>
        <v>NO</v>
      </c>
      <c r="AH398" s="245" t="str">
        <f>IF(ISNUMBER(SEARCH("H", 'WetLitterbags placem_collection'!$Y105)),"YES","NO")</f>
        <v>NO</v>
      </c>
      <c r="AI398" s="245" t="str">
        <f>IF(ISNUMBER(SEARCH("R", 'WetLitterbags placem_collection'!$Y105)),"YES","NO")</f>
        <v>YES</v>
      </c>
      <c r="AJ398" s="245" t="str">
        <f>IF(ISNUMBER(SEARCH("C", 'WetLitterbags placem_collection'!$W105)),"YES","NO")</f>
        <v>NO</v>
      </c>
      <c r="AK398" s="245" t="str">
        <f>IF(ISNUMBER(SEARCH("H", 'WetLitterbags placem_collection'!$W105)),"YES","NO")</f>
        <v>NO</v>
      </c>
      <c r="AL398" s="245" t="str">
        <f>IF(ISNUMBER(SEARCH("R", 'WetLitterbags placem_collection'!$W105)),"YES","NO")</f>
        <v>NO</v>
      </c>
    </row>
    <row r="399" spans="2:38">
      <c r="B399" t="str">
        <f>Wetseason!B545</f>
        <v>Wet</v>
      </c>
      <c r="C399" s="253">
        <f>Wetseason!C545</f>
        <v>104</v>
      </c>
      <c r="D399" t="s">
        <v>3116</v>
      </c>
      <c r="E399" t="s">
        <v>25</v>
      </c>
      <c r="F399" s="375">
        <v>8</v>
      </c>
      <c r="G399" s="16">
        <f>'WetLitterbags placem_collection'!E106</f>
        <v>42762</v>
      </c>
      <c r="H399" s="92" t="str">
        <f>Wetseason!L545</f>
        <v>G806</v>
      </c>
      <c r="I399" t="str">
        <f>Wetseason!L765</f>
        <v>R475</v>
      </c>
      <c r="J399">
        <f>IFERROR(INDEX('Green_rooibos initial weight'!$C$5:$C$2000,MATCH(H399, 'Green_rooibos initial weight'!$A$5:$A$2000,0)),"")</f>
        <v>2.0419999999999998</v>
      </c>
      <c r="K399">
        <f>IFERROR(INDEX('Green_rooibos initial weight'!$C$5:$C$2000,MATCH(I399, 'Green_rooibos initial weight'!$A$5:$A$2000,0)),"")</f>
        <v>2.2210000000000001</v>
      </c>
      <c r="L399" s="194">
        <f t="shared" si="71"/>
        <v>1.7921999999999998</v>
      </c>
      <c r="M399" s="194">
        <f>AVERAGE(Ashed_controlls!$K$2:$K$11)</f>
        <v>5.5147656768714146</v>
      </c>
      <c r="N399" s="194">
        <f t="shared" si="68"/>
        <v>1.6933643695391103</v>
      </c>
      <c r="O399" s="194">
        <f t="shared" si="72"/>
        <v>1.9712000000000001</v>
      </c>
      <c r="P399" s="194">
        <f>AVERAGE(Ashed_controlls!$K$12:$K$14)</f>
        <v>2.2816647271287041</v>
      </c>
      <c r="Q399" s="194">
        <f t="shared" si="73"/>
        <v>1.926223824898839</v>
      </c>
      <c r="R399" s="16">
        <f>IF('WetLitterbags placem_collection'!G106="","",'WetLitterbags placem_collection'!G106)</f>
        <v>42816</v>
      </c>
      <c r="S399" s="194">
        <f>IFERROR(INDEX('Both teabags AfterWet'!$C$3:$C$2000,MATCH(H399,'Both teabags AfterWet'!$A$3:$A$2000,0)),"")</f>
        <v>0.72499999999999998</v>
      </c>
      <c r="T399" s="194">
        <f>IFERROR(INDEX('Both teabags AfterWet'!$C$3:$C$2000,MATCH(I399,'Both teabags AfterWet'!$A$3:$A$2000,0)),"")</f>
        <v>1.4970000000000001</v>
      </c>
      <c r="U399" s="194">
        <f t="shared" si="74"/>
        <v>0.57440000000000002</v>
      </c>
      <c r="V399" s="194">
        <f t="shared" si="75"/>
        <v>1.3464</v>
      </c>
      <c r="W399" s="194">
        <f>IFERROR(INDEX('Ashed teabags wet'!$K$2:$K$2000,MATCH(H399,'Ashed teabags wet'!$A$2:$A$2000,0)),"")</f>
        <v>16.853385289820611</v>
      </c>
      <c r="X399" s="233">
        <f>IFERROR(INDEX('Ashed teabags wet'!$K$2:$K$2000,MATCH(I399,'Ashed teabags wet'!$A$2:$A$2000,0)),"")</f>
        <v>9.2474176094433584</v>
      </c>
      <c r="Y399" s="194">
        <f t="shared" si="80"/>
        <v>0.47759415489527046</v>
      </c>
      <c r="Z399" s="194">
        <f t="shared" si="80"/>
        <v>1.2218927693064547</v>
      </c>
      <c r="AA399" s="194">
        <f t="shared" si="76"/>
        <v>0.7179613770748825</v>
      </c>
      <c r="AB399" s="194">
        <f t="shared" si="77"/>
        <v>0.47068251798733396</v>
      </c>
      <c r="AC399" s="194">
        <f t="shared" si="69"/>
        <v>0.63434620292406874</v>
      </c>
      <c r="AD399">
        <f t="shared" si="70"/>
        <v>54</v>
      </c>
      <c r="AE399" s="194">
        <f t="shared" si="78"/>
        <v>0.14731427900845306</v>
      </c>
      <c r="AF399" s="194">
        <f t="shared" si="79"/>
        <v>2.7776851148470998E-2</v>
      </c>
      <c r="AG399" s="245" t="str">
        <f>IF(ISNUMBER(SEARCH("C",'WetLitterbags placem_collection'!$Y106)),"YES","NO")</f>
        <v>NO</v>
      </c>
      <c r="AH399" s="245" t="str">
        <f>IF(ISNUMBER(SEARCH("H", 'WetLitterbags placem_collection'!$Y106)),"YES","NO")</f>
        <v>NO</v>
      </c>
      <c r="AI399" s="245" t="str">
        <f>IF(ISNUMBER(SEARCH("R", 'WetLitterbags placem_collection'!$Y106)),"YES","NO")</f>
        <v>NO</v>
      </c>
      <c r="AJ399" s="245" t="str">
        <f>IF(ISNUMBER(SEARCH("C", 'WetLitterbags placem_collection'!$W106)),"YES","NO")</f>
        <v>NO</v>
      </c>
      <c r="AK399" s="245" t="str">
        <f>IF(ISNUMBER(SEARCH("H", 'WetLitterbags placem_collection'!$W106)),"YES","NO")</f>
        <v>NO</v>
      </c>
      <c r="AL399" s="245" t="str">
        <f>IF(ISNUMBER(SEARCH("R", 'WetLitterbags placem_collection'!$W106)),"YES","NO")</f>
        <v>NO</v>
      </c>
    </row>
    <row r="400" spans="2:38">
      <c r="B400" t="str">
        <f>Wetseason!B546</f>
        <v>Wet</v>
      </c>
      <c r="C400" s="253">
        <f>Wetseason!C546</f>
        <v>105</v>
      </c>
      <c r="D400" t="s">
        <v>3118</v>
      </c>
      <c r="E400" t="s">
        <v>25</v>
      </c>
      <c r="F400" s="374">
        <v>1</v>
      </c>
      <c r="G400" s="16">
        <f>'WetLitterbags placem_collection'!E107</f>
        <v>42762</v>
      </c>
      <c r="H400" s="92" t="str">
        <f>Wetseason!L546</f>
        <v>G861</v>
      </c>
      <c r="I400" t="str">
        <f>Wetseason!L766</f>
        <v>R540</v>
      </c>
      <c r="J400">
        <f>IFERROR(INDEX('Green_rooibos initial weight'!$C$5:$C$2000,MATCH(H400, 'Green_rooibos initial weight'!$A$5:$A$2000,0)),"")</f>
        <v>1.9339999999999999</v>
      </c>
      <c r="K400">
        <f>IFERROR(INDEX('Green_rooibos initial weight'!$C$5:$C$2000,MATCH(I400, 'Green_rooibos initial weight'!$A$5:$A$2000,0)),"")</f>
        <v>2.194</v>
      </c>
      <c r="L400" s="194">
        <f t="shared" si="71"/>
        <v>1.6841999999999999</v>
      </c>
      <c r="M400" s="194">
        <f>AVERAGE(Ashed_controlls!$K$2:$K$11)</f>
        <v>5.5147656768714146</v>
      </c>
      <c r="N400" s="194">
        <f t="shared" si="68"/>
        <v>1.5913203164701315</v>
      </c>
      <c r="O400" s="194">
        <f t="shared" si="72"/>
        <v>1.9441999999999999</v>
      </c>
      <c r="P400" s="194">
        <f>AVERAGE(Ashed_controlls!$K$12:$K$14)</f>
        <v>2.2816647271287041</v>
      </c>
      <c r="Q400" s="194">
        <f t="shared" si="73"/>
        <v>1.8998398743751637</v>
      </c>
      <c r="R400" s="16">
        <f>IF('WetLitterbags placem_collection'!G107="","",'WetLitterbags placem_collection'!G107)</f>
        <v>42816</v>
      </c>
      <c r="S400" s="194">
        <f>IFERROR(INDEX('Both teabags AfterWet'!$C$3:$C$2000,MATCH(H400,'Both teabags AfterWet'!$A$3:$A$2000,0)),"")</f>
        <v>0.626</v>
      </c>
      <c r="T400" s="194">
        <f>IFERROR(INDEX('Both teabags AfterWet'!$C$3:$C$2000,MATCH(I400,'Both teabags AfterWet'!$A$3:$A$2000,0)),"")</f>
        <v>1.8080000000000001</v>
      </c>
      <c r="U400" s="194">
        <f t="shared" si="74"/>
        <v>0.47539999999999999</v>
      </c>
      <c r="V400" s="194">
        <f t="shared" si="75"/>
        <v>1.6574</v>
      </c>
      <c r="W400" s="194">
        <f>IFERROR(INDEX('Ashed teabags wet'!$K$2:$K$2000,MATCH(H400,'Ashed teabags wet'!$A$2:$A$2000,0)),"")</f>
        <v>20.431034482760303</v>
      </c>
      <c r="X400" s="233">
        <f>IFERROR(INDEX('Ashed teabags wet'!$K$2:$K$2000,MATCH(I400,'Ashed teabags wet'!$A$2:$A$2000,0)),"")</f>
        <v>5.7625434674605209</v>
      </c>
      <c r="Y400" s="194">
        <f t="shared" si="80"/>
        <v>0.37827086206895755</v>
      </c>
      <c r="Z400" s="194">
        <f t="shared" si="80"/>
        <v>1.5618916045703093</v>
      </c>
      <c r="AA400" s="194">
        <f t="shared" si="76"/>
        <v>0.76229118791869732</v>
      </c>
      <c r="AB400" s="194">
        <f t="shared" si="77"/>
        <v>0.49974434172342158</v>
      </c>
      <c r="AC400" s="194">
        <f t="shared" si="69"/>
        <v>0.82211749823600166</v>
      </c>
      <c r="AD400">
        <f t="shared" si="70"/>
        <v>54</v>
      </c>
      <c r="AE400" s="194">
        <f t="shared" si="78"/>
        <v>9.4666047602497194E-2</v>
      </c>
      <c r="AF400" s="194">
        <f t="shared" si="79"/>
        <v>8.1476715941285662E-3</v>
      </c>
      <c r="AG400" s="245" t="str">
        <f>IF(ISNUMBER(SEARCH("C",'WetLitterbags placem_collection'!$Y107)),"YES","NO")</f>
        <v>NO</v>
      </c>
      <c r="AH400" s="245" t="str">
        <f>IF(ISNUMBER(SEARCH("H", 'WetLitterbags placem_collection'!$Y107)),"YES","NO")</f>
        <v>NO</v>
      </c>
      <c r="AI400" s="245" t="str">
        <f>IF(ISNUMBER(SEARCH("R", 'WetLitterbags placem_collection'!$Y107)),"YES","NO")</f>
        <v>YES</v>
      </c>
      <c r="AJ400" s="245" t="str">
        <f>IF(ISNUMBER(SEARCH("C", 'WetLitterbags placem_collection'!$W107)),"YES","NO")</f>
        <v>NO</v>
      </c>
      <c r="AK400" s="245" t="str">
        <f>IF(ISNUMBER(SEARCH("H", 'WetLitterbags placem_collection'!$W107)),"YES","NO")</f>
        <v>NO</v>
      </c>
      <c r="AL400" s="245" t="str">
        <f>IF(ISNUMBER(SEARCH("R", 'WetLitterbags placem_collection'!$W107)),"YES","NO")</f>
        <v>YES</v>
      </c>
    </row>
    <row r="401" spans="2:38">
      <c r="B401" t="str">
        <f>Wetseason!B547</f>
        <v>Wet</v>
      </c>
      <c r="C401" s="253">
        <f>Wetseason!C547</f>
        <v>106</v>
      </c>
      <c r="D401" t="s">
        <v>3118</v>
      </c>
      <c r="E401" t="s">
        <v>25</v>
      </c>
      <c r="F401" s="374">
        <v>2</v>
      </c>
      <c r="G401" s="16">
        <f>'WetLitterbags placem_collection'!E108</f>
        <v>42762</v>
      </c>
      <c r="H401" s="92" t="str">
        <f>Wetseason!L547</f>
        <v>G738</v>
      </c>
      <c r="I401" t="str">
        <f>Wetseason!L767</f>
        <v>R593</v>
      </c>
      <c r="J401">
        <f>IFERROR(INDEX('Green_rooibos initial weight'!$C$5:$C$2000,MATCH(H401, 'Green_rooibos initial weight'!$A$5:$A$2000,0)),"")</f>
        <v>2.0089999999999999</v>
      </c>
      <c r="K401">
        <f>IFERROR(INDEX('Green_rooibos initial weight'!$C$5:$C$2000,MATCH(I401, 'Green_rooibos initial weight'!$A$5:$A$2000,0)),"")</f>
        <v>2.2090000000000001</v>
      </c>
      <c r="L401" s="194">
        <f t="shared" si="71"/>
        <v>1.7591999999999999</v>
      </c>
      <c r="M401" s="194">
        <f>AVERAGE(Ashed_controlls!$K$2:$K$11)</f>
        <v>5.5147656768714146</v>
      </c>
      <c r="N401" s="194">
        <f t="shared" si="68"/>
        <v>1.662184242212478</v>
      </c>
      <c r="O401" s="194">
        <f t="shared" si="72"/>
        <v>1.9592000000000001</v>
      </c>
      <c r="P401" s="194">
        <f>AVERAGE(Ashed_controlls!$K$12:$K$14)</f>
        <v>2.2816647271287041</v>
      </c>
      <c r="Q401" s="194">
        <f t="shared" si="73"/>
        <v>1.9144976246660945</v>
      </c>
      <c r="R401" s="16">
        <f>IF('WetLitterbags placem_collection'!G108="","",'WetLitterbags placem_collection'!G108)</f>
        <v>42816</v>
      </c>
      <c r="S401" s="194">
        <f>IFERROR(INDEX('Both teabags AfterWet'!$C$3:$C$2000,MATCH(H401,'Both teabags AfterWet'!$A$3:$A$2000,0)),"")</f>
        <v>0.626</v>
      </c>
      <c r="T401" s="194">
        <f>IFERROR(INDEX('Both teabags AfterWet'!$C$3:$C$2000,MATCH(I401,'Both teabags AfterWet'!$A$3:$A$2000,0)),"")</f>
        <v>1.7729999999999999</v>
      </c>
      <c r="U401" s="194">
        <f t="shared" si="74"/>
        <v>0.47539999999999999</v>
      </c>
      <c r="V401" s="194">
        <f t="shared" si="75"/>
        <v>1.6223999999999998</v>
      </c>
      <c r="W401" s="194">
        <f>IFERROR(INDEX('Ashed teabags wet'!$K$2:$K$2000,MATCH(H401,'Ashed teabags wet'!$A$2:$A$2000,0)),"")</f>
        <v>15.46906187624684</v>
      </c>
      <c r="X401" s="233">
        <f>IFERROR(INDEX('Ashed teabags wet'!$K$2:$K$2000,MATCH(I401,'Ashed teabags wet'!$A$2:$A$2000,0)),"")</f>
        <v>5.062034739454969</v>
      </c>
      <c r="Y401" s="194">
        <f t="shared" si="80"/>
        <v>0.40186007984032251</v>
      </c>
      <c r="Z401" s="194">
        <f t="shared" si="80"/>
        <v>1.5402735483870824</v>
      </c>
      <c r="AA401" s="194">
        <f t="shared" si="76"/>
        <v>0.75823373267850258</v>
      </c>
      <c r="AB401" s="194">
        <f t="shared" si="77"/>
        <v>0.49708434731417278</v>
      </c>
      <c r="AC401" s="194">
        <f t="shared" si="69"/>
        <v>0.80453144916057018</v>
      </c>
      <c r="AD401">
        <f t="shared" si="70"/>
        <v>54</v>
      </c>
      <c r="AE401" s="194">
        <f t="shared" si="78"/>
        <v>9.9484878054034942E-2</v>
      </c>
      <c r="AF401" s="194">
        <f t="shared" si="79"/>
        <v>9.2519576715031134E-3</v>
      </c>
      <c r="AG401" s="245" t="str">
        <f>IF(ISNUMBER(SEARCH("C",'WetLitterbags placem_collection'!$Y108)),"YES","NO")</f>
        <v>NO</v>
      </c>
      <c r="AH401" s="245" t="str">
        <f>IF(ISNUMBER(SEARCH("H", 'WetLitterbags placem_collection'!$Y108)),"YES","NO")</f>
        <v>NO</v>
      </c>
      <c r="AI401" s="245" t="str">
        <f>IF(ISNUMBER(SEARCH("R", 'WetLitterbags placem_collection'!$Y108)),"YES","NO")</f>
        <v>YES</v>
      </c>
      <c r="AJ401" s="245" t="str">
        <f>IF(ISNUMBER(SEARCH("C", 'WetLitterbags placem_collection'!$W108)),"YES","NO")</f>
        <v>NO</v>
      </c>
      <c r="AK401" s="245" t="str">
        <f>IF(ISNUMBER(SEARCH("H", 'WetLitterbags placem_collection'!$W108)),"YES","NO")</f>
        <v>NO</v>
      </c>
      <c r="AL401" s="245" t="str">
        <f>IF(ISNUMBER(SEARCH("R", 'WetLitterbags placem_collection'!$W108)),"YES","NO")</f>
        <v>YES</v>
      </c>
    </row>
    <row r="402" spans="2:38">
      <c r="B402" t="str">
        <f>Wetseason!B548</f>
        <v>Wet</v>
      </c>
      <c r="C402" s="253">
        <f>Wetseason!C548</f>
        <v>107</v>
      </c>
      <c r="D402" t="s">
        <v>3118</v>
      </c>
      <c r="E402" t="s">
        <v>25</v>
      </c>
      <c r="F402" s="374">
        <v>3</v>
      </c>
      <c r="G402" s="16">
        <f>'WetLitterbags placem_collection'!E109</f>
        <v>42762</v>
      </c>
      <c r="H402" s="92" t="str">
        <f>Wetseason!L548</f>
        <v>G676</v>
      </c>
      <c r="I402" t="str">
        <f>Wetseason!L768</f>
        <v>R510</v>
      </c>
      <c r="J402">
        <f>IFERROR(INDEX('Green_rooibos initial weight'!$C$5:$C$2000,MATCH(H402, 'Green_rooibos initial weight'!$A$5:$A$2000,0)),"")</f>
        <v>2.048</v>
      </c>
      <c r="K402">
        <f>IFERROR(INDEX('Green_rooibos initial weight'!$C$5:$C$2000,MATCH(I402, 'Green_rooibos initial weight'!$A$5:$A$2000,0)),"")</f>
        <v>2.2349999999999999</v>
      </c>
      <c r="L402" s="194">
        <f t="shared" si="71"/>
        <v>1.7982</v>
      </c>
      <c r="M402" s="194">
        <f>AVERAGE(Ashed_controlls!$K$2:$K$11)</f>
        <v>5.5147656768714146</v>
      </c>
      <c r="N402" s="194">
        <f t="shared" si="68"/>
        <v>1.6990334835984982</v>
      </c>
      <c r="O402" s="194">
        <f t="shared" si="72"/>
        <v>1.9851999999999999</v>
      </c>
      <c r="P402" s="194">
        <f>AVERAGE(Ashed_controlls!$K$12:$K$14)</f>
        <v>2.2816647271287041</v>
      </c>
      <c r="Q402" s="194">
        <f t="shared" si="73"/>
        <v>1.9399043918370409</v>
      </c>
      <c r="R402" s="16">
        <f>IF('WetLitterbags placem_collection'!G109="","",'WetLitterbags placem_collection'!G109)</f>
        <v>42816</v>
      </c>
      <c r="S402" s="194">
        <f>IFERROR(INDEX('Both teabags AfterWet'!$C$3:$C$2000,MATCH(H402,'Both teabags AfterWet'!$A$3:$A$2000,0)),"")</f>
        <v>0.67630000000000001</v>
      </c>
      <c r="T402" s="194">
        <f>IFERROR(INDEX('Both teabags AfterWet'!$C$3:$C$2000,MATCH(I402,'Both teabags AfterWet'!$A$3:$A$2000,0)),"")</f>
        <v>1.5944</v>
      </c>
      <c r="U402" s="194">
        <f t="shared" si="74"/>
        <v>0.52570000000000006</v>
      </c>
      <c r="V402" s="194">
        <f t="shared" si="75"/>
        <v>1.4438</v>
      </c>
      <c r="W402" s="194">
        <f>IFERROR(INDEX('Ashed teabags wet'!$K$2:$K$2000,MATCH(H402,'Ashed teabags wet'!$A$2:$A$2000,0)),"")</f>
        <v>16.393442622950655</v>
      </c>
      <c r="X402" s="233">
        <f>IFERROR(INDEX('Ashed teabags wet'!$K$2:$K$2000,MATCH(I402,'Ashed teabags wet'!$A$2:$A$2000,0)),"")</f>
        <v>5.2605210420842559</v>
      </c>
      <c r="Y402" s="194">
        <f t="shared" si="80"/>
        <v>0.43951967213114845</v>
      </c>
      <c r="Z402" s="194">
        <f t="shared" si="80"/>
        <v>1.3678485971943874</v>
      </c>
      <c r="AA402" s="194">
        <f t="shared" si="76"/>
        <v>0.74131194212826235</v>
      </c>
      <c r="AB402" s="194">
        <f t="shared" si="77"/>
        <v>0.48599072690593931</v>
      </c>
      <c r="AC402" s="194">
        <f t="shared" si="69"/>
        <v>0.70511134618292659</v>
      </c>
      <c r="AD402">
        <f t="shared" si="70"/>
        <v>54</v>
      </c>
      <c r="AE402" s="194">
        <f t="shared" si="78"/>
        <v>0.11958201647474775</v>
      </c>
      <c r="AF402" s="194">
        <f t="shared" si="79"/>
        <v>1.7284848961146137E-2</v>
      </c>
      <c r="AG402" s="245" t="str">
        <f>IF(ISNUMBER(SEARCH("C",'WetLitterbags placem_collection'!$Y109)),"YES","NO")</f>
        <v>NO</v>
      </c>
      <c r="AH402" s="245" t="str">
        <f>IF(ISNUMBER(SEARCH("H", 'WetLitterbags placem_collection'!$Y109)),"YES","NO")</f>
        <v>NO</v>
      </c>
      <c r="AI402" s="245" t="str">
        <f>IF(ISNUMBER(SEARCH("R", 'WetLitterbags placem_collection'!$Y109)),"YES","NO")</f>
        <v>NO</v>
      </c>
      <c r="AJ402" s="245" t="str">
        <f>IF(ISNUMBER(SEARCH("C", 'WetLitterbags placem_collection'!$W109)),"YES","NO")</f>
        <v>NO</v>
      </c>
      <c r="AK402" s="245" t="str">
        <f>IF(ISNUMBER(SEARCH("H", 'WetLitterbags placem_collection'!$W109)),"YES","NO")</f>
        <v>NO</v>
      </c>
      <c r="AL402" s="245" t="str">
        <f>IF(ISNUMBER(SEARCH("R", 'WetLitterbags placem_collection'!$W109)),"YES","NO")</f>
        <v>NO</v>
      </c>
    </row>
    <row r="403" spans="2:38">
      <c r="B403" t="str">
        <f>Wetseason!B549</f>
        <v>Wet</v>
      </c>
      <c r="C403" s="253">
        <f>Wetseason!C549</f>
        <v>108</v>
      </c>
      <c r="D403" t="s">
        <v>3118</v>
      </c>
      <c r="E403" t="s">
        <v>25</v>
      </c>
      <c r="F403" s="375">
        <v>4</v>
      </c>
      <c r="G403" s="16">
        <f>'WetLitterbags placem_collection'!E110</f>
        <v>42762</v>
      </c>
      <c r="H403" s="92" t="str">
        <f>Wetseason!L549</f>
        <v>G845</v>
      </c>
      <c r="I403" t="str">
        <f>Wetseason!L769</f>
        <v>R509</v>
      </c>
      <c r="J403">
        <f>IFERROR(INDEX('Green_rooibos initial weight'!$C$5:$C$2000,MATCH(H403, 'Green_rooibos initial weight'!$A$5:$A$2000,0)),"")</f>
        <v>2.0459999999999998</v>
      </c>
      <c r="K403">
        <f>IFERROR(INDEX('Green_rooibos initial weight'!$C$5:$C$2000,MATCH(I403, 'Green_rooibos initial weight'!$A$5:$A$2000,0)),"")</f>
        <v>2.161</v>
      </c>
      <c r="L403" s="194">
        <f t="shared" si="71"/>
        <v>1.7961999999999998</v>
      </c>
      <c r="M403" s="194">
        <f>AVERAGE(Ashed_controlls!$K$2:$K$11)</f>
        <v>5.5147656768714146</v>
      </c>
      <c r="N403" s="194">
        <f t="shared" si="68"/>
        <v>1.6971437789120354</v>
      </c>
      <c r="O403" s="194">
        <f t="shared" si="72"/>
        <v>1.9112</v>
      </c>
      <c r="P403" s="194">
        <f>AVERAGE(Ashed_controlls!$K$12:$K$14)</f>
        <v>2.2816647271287041</v>
      </c>
      <c r="Q403" s="194">
        <f t="shared" si="73"/>
        <v>1.8675928237351163</v>
      </c>
      <c r="R403" s="16">
        <f>IF('WetLitterbags placem_collection'!G110="","",'WetLitterbags placem_collection'!G110)</f>
        <v>42816</v>
      </c>
      <c r="S403" s="194">
        <f>IFERROR(INDEX('Both teabags AfterWet'!$C$3:$C$2000,MATCH(H403,'Both teabags AfterWet'!$A$3:$A$2000,0)),"")</f>
        <v>0.57699999999999996</v>
      </c>
      <c r="T403" s="194">
        <f>IFERROR(INDEX('Both teabags AfterWet'!$C$3:$C$2000,MATCH(I403,'Both teabags AfterWet'!$A$3:$A$2000,0)),"")</f>
        <v>1.6739999999999999</v>
      </c>
      <c r="U403" s="194">
        <f t="shared" si="74"/>
        <v>0.42639999999999995</v>
      </c>
      <c r="V403" s="194">
        <f t="shared" si="75"/>
        <v>1.5233999999999999</v>
      </c>
      <c r="W403" s="194">
        <f>IFERROR(INDEX('Ashed teabags wet'!$K$2:$K$2000,MATCH(H403,'Ashed teabags wet'!$A$2:$A$2000,0)),"")</f>
        <v>13.078070611635859</v>
      </c>
      <c r="X403" s="233">
        <f>IFERROR(INDEX('Ashed teabags wet'!$K$2:$K$2000,MATCH(I403,'Ashed teabags wet'!$A$2:$A$2000,0)),"")</f>
        <v>5.6567593480338392</v>
      </c>
      <c r="Y403" s="194">
        <f t="shared" si="80"/>
        <v>0.37063510691198465</v>
      </c>
      <c r="Z403" s="194">
        <f t="shared" si="80"/>
        <v>1.4372249280920524</v>
      </c>
      <c r="AA403" s="194">
        <f t="shared" si="76"/>
        <v>0.78161242935493502</v>
      </c>
      <c r="AB403" s="194">
        <f t="shared" si="77"/>
        <v>0.51241099881701213</v>
      </c>
      <c r="AC403" s="194">
        <f t="shared" si="69"/>
        <v>0.76956010422960175</v>
      </c>
      <c r="AD403">
        <f t="shared" si="70"/>
        <v>54</v>
      </c>
      <c r="AE403" s="194">
        <f t="shared" si="78"/>
        <v>7.1719205041644862E-2</v>
      </c>
      <c r="AF403" s="194">
        <f t="shared" si="79"/>
        <v>1.1061526682690229E-2</v>
      </c>
      <c r="AG403" s="245" t="str">
        <f>IF(ISNUMBER(SEARCH("C",'WetLitterbags placem_collection'!$Y110)),"YES","NO")</f>
        <v>NO</v>
      </c>
      <c r="AH403" s="245" t="str">
        <f>IF(ISNUMBER(SEARCH("H", 'WetLitterbags placem_collection'!$Y110)),"YES","NO")</f>
        <v>NO</v>
      </c>
      <c r="AI403" s="245" t="str">
        <f>IF(ISNUMBER(SEARCH("R", 'WetLitterbags placem_collection'!$Y110)),"YES","NO")</f>
        <v>YES</v>
      </c>
      <c r="AJ403" s="245" t="str">
        <f>IF(ISNUMBER(SEARCH("C", 'WetLitterbags placem_collection'!$W110)),"YES","NO")</f>
        <v>NO</v>
      </c>
      <c r="AK403" s="245" t="str">
        <f>IF(ISNUMBER(SEARCH("H", 'WetLitterbags placem_collection'!$W110)),"YES","NO")</f>
        <v>YES</v>
      </c>
      <c r="AL403" s="245" t="str">
        <f>IF(ISNUMBER(SEARCH("R", 'WetLitterbags placem_collection'!$W110)),"YES","NO")</f>
        <v>NO</v>
      </c>
    </row>
    <row r="404" spans="2:38">
      <c r="B404" t="str">
        <f>Wetseason!B550</f>
        <v>Wet</v>
      </c>
      <c r="C404" s="253">
        <f>Wetseason!C550</f>
        <v>109</v>
      </c>
      <c r="D404" t="s">
        <v>3118</v>
      </c>
      <c r="E404" t="s">
        <v>25</v>
      </c>
      <c r="F404" s="375">
        <v>5</v>
      </c>
      <c r="G404" s="16">
        <f>'WetLitterbags placem_collection'!E111</f>
        <v>42762</v>
      </c>
      <c r="H404" s="92" t="str">
        <f>Wetseason!L550</f>
        <v>G887</v>
      </c>
      <c r="I404" t="str">
        <f>Wetseason!L770</f>
        <v>R33</v>
      </c>
      <c r="J404">
        <f>IFERROR(INDEX('Green_rooibos initial weight'!$C$5:$C$2000,MATCH(H404, 'Green_rooibos initial weight'!$A$5:$A$2000,0)),"")</f>
        <v>1.998</v>
      </c>
      <c r="K404">
        <f>IFERROR(INDEX('Green_rooibos initial weight'!$C$5:$C$2000,MATCH(I404, 'Green_rooibos initial weight'!$A$5:$A$2000,0)),"")</f>
        <v>2.1989999999999998</v>
      </c>
      <c r="L404" s="194">
        <f t="shared" si="71"/>
        <v>1.7482</v>
      </c>
      <c r="M404" s="194">
        <f>AVERAGE(Ashed_controlls!$K$2:$K$11)</f>
        <v>5.5147656768714146</v>
      </c>
      <c r="N404" s="194">
        <f t="shared" si="68"/>
        <v>1.6517908664369338</v>
      </c>
      <c r="O404" s="194">
        <f t="shared" si="72"/>
        <v>1.9491999999999998</v>
      </c>
      <c r="P404" s="194">
        <f>AVERAGE(Ashed_controlls!$K$12:$K$14)</f>
        <v>2.2816647271287041</v>
      </c>
      <c r="Q404" s="194">
        <f t="shared" si="73"/>
        <v>1.9047257911388071</v>
      </c>
      <c r="R404" s="16">
        <f>IF('WetLitterbags placem_collection'!G111="","",'WetLitterbags placem_collection'!G111)</f>
        <v>42816</v>
      </c>
      <c r="S404" s="194">
        <f>IFERROR(INDEX('Both teabags AfterWet'!$C$3:$C$2000,MATCH(H404,'Both teabags AfterWet'!$A$3:$A$2000,0)),"")</f>
        <v>0.64870000000000005</v>
      </c>
      <c r="T404" s="194">
        <f>IFERROR(INDEX('Both teabags AfterWet'!$C$3:$C$2000,MATCH(I404,'Both teabags AfterWet'!$A$3:$A$2000,0)),"")</f>
        <v>1.5922000000000001</v>
      </c>
      <c r="U404" s="194">
        <f t="shared" si="74"/>
        <v>0.49810000000000004</v>
      </c>
      <c r="V404" s="194">
        <f t="shared" si="75"/>
        <v>1.4416</v>
      </c>
      <c r="W404" s="194">
        <f>IFERROR(INDEX('Ashed teabags wet'!$K$2:$K$2000,MATCH(H404,'Ashed teabags wet'!$A$2:$A$2000,0)),"")</f>
        <v>12.548449612403372</v>
      </c>
      <c r="X404" s="233">
        <f>IFERROR(INDEX('Ashed teabags wet'!$K$2:$K$2000,MATCH(I404,'Ashed teabags wet'!$A$2:$A$2000,0)),"")</f>
        <v>7.2896281800392453</v>
      </c>
      <c r="Y404" s="194">
        <f t="shared" si="80"/>
        <v>0.43559617248061883</v>
      </c>
      <c r="Z404" s="194">
        <f t="shared" si="80"/>
        <v>1.3365127201565543</v>
      </c>
      <c r="AA404" s="194">
        <f t="shared" si="76"/>
        <v>0.73628854515932751</v>
      </c>
      <c r="AB404" s="194">
        <f t="shared" si="77"/>
        <v>0.48269747853675632</v>
      </c>
      <c r="AC404" s="194">
        <f t="shared" si="69"/>
        <v>0.70168248173794789</v>
      </c>
      <c r="AD404">
        <f t="shared" si="70"/>
        <v>54</v>
      </c>
      <c r="AE404" s="194">
        <f t="shared" si="78"/>
        <v>0.12554804612906467</v>
      </c>
      <c r="AF404" s="194">
        <f t="shared" si="79"/>
        <v>1.7822064612415926E-2</v>
      </c>
      <c r="AG404" s="245" t="str">
        <f>IF(ISNUMBER(SEARCH("C",'WetLitterbags placem_collection'!$Y111)),"YES","NO")</f>
        <v>NO</v>
      </c>
      <c r="AH404" s="245" t="str">
        <f>IF(ISNUMBER(SEARCH("H", 'WetLitterbags placem_collection'!$Y111)),"YES","NO")</f>
        <v>NO</v>
      </c>
      <c r="AI404" s="245" t="str">
        <f>IF(ISNUMBER(SEARCH("R", 'WetLitterbags placem_collection'!$Y111)),"YES","NO")</f>
        <v>NO</v>
      </c>
      <c r="AJ404" s="245" t="str">
        <f>IF(ISNUMBER(SEARCH("C", 'WetLitterbags placem_collection'!$W111)),"YES","NO")</f>
        <v>NO</v>
      </c>
      <c r="AK404" s="245" t="str">
        <f>IF(ISNUMBER(SEARCH("H", 'WetLitterbags placem_collection'!$W111)),"YES","NO")</f>
        <v>NO</v>
      </c>
      <c r="AL404" s="245" t="str">
        <f>IF(ISNUMBER(SEARCH("R", 'WetLitterbags placem_collection'!$W111)),"YES","NO")</f>
        <v>NO</v>
      </c>
    </row>
    <row r="405" spans="2:38">
      <c r="B405" t="str">
        <f>Wetseason!B551</f>
        <v>Wet</v>
      </c>
      <c r="C405" s="253">
        <f>Wetseason!C551</f>
        <v>110</v>
      </c>
      <c r="D405" t="s">
        <v>3118</v>
      </c>
      <c r="E405" t="s">
        <v>25</v>
      </c>
      <c r="F405" s="375">
        <v>6</v>
      </c>
      <c r="G405" s="16">
        <f>'WetLitterbags placem_collection'!E112</f>
        <v>42762</v>
      </c>
      <c r="H405" s="92" t="str">
        <f>Wetseason!L551</f>
        <v>G882</v>
      </c>
      <c r="I405" t="str">
        <f>Wetseason!L771</f>
        <v>R54</v>
      </c>
      <c r="J405">
        <f>IFERROR(INDEX('Green_rooibos initial weight'!$C$5:$C$2000,MATCH(H405, 'Green_rooibos initial weight'!$A$5:$A$2000,0)),"")</f>
        <v>2.0979999999999999</v>
      </c>
      <c r="K405">
        <f>IFERROR(INDEX('Green_rooibos initial weight'!$C$5:$C$2000,MATCH(I405, 'Green_rooibos initial weight'!$A$5:$A$2000,0)),"")</f>
        <v>2.2069999999999999</v>
      </c>
      <c r="L405" s="194">
        <f t="shared" si="71"/>
        <v>1.8481999999999998</v>
      </c>
      <c r="M405" s="194">
        <f>AVERAGE(Ashed_controlls!$K$2:$K$11)</f>
        <v>5.5147656768714146</v>
      </c>
      <c r="N405" s="194">
        <f t="shared" si="68"/>
        <v>1.7462761007600625</v>
      </c>
      <c r="O405" s="194">
        <f t="shared" si="72"/>
        <v>1.9571999999999998</v>
      </c>
      <c r="P405" s="194">
        <f>AVERAGE(Ashed_controlls!$K$12:$K$14)</f>
        <v>2.2816647271287041</v>
      </c>
      <c r="Q405" s="194">
        <f t="shared" si="73"/>
        <v>1.9125432579606367</v>
      </c>
      <c r="R405" s="16">
        <f>IF('WetLitterbags placem_collection'!G112="","",'WetLitterbags placem_collection'!G112)</f>
        <v>42816</v>
      </c>
      <c r="S405" s="194">
        <f>IFERROR(INDEX('Both teabags AfterWet'!$C$3:$C$2000,MATCH(H405,'Both teabags AfterWet'!$A$3:$A$2000,0)),"")</f>
        <v>0.56669999999999998</v>
      </c>
      <c r="T405" s="194">
        <f>IFERROR(INDEX('Both teabags AfterWet'!$C$3:$C$2000,MATCH(I405,'Both teabags AfterWet'!$A$3:$A$2000,0)),"")</f>
        <v>1.4870000000000001</v>
      </c>
      <c r="U405" s="194">
        <f t="shared" si="74"/>
        <v>0.41609999999999997</v>
      </c>
      <c r="V405" s="194">
        <f t="shared" si="75"/>
        <v>1.3364</v>
      </c>
      <c r="W405" s="194">
        <f>IFERROR(INDEX('Ashed teabags wet'!$K$2:$K$2000,MATCH(H405,'Ashed teabags wet'!$A$2:$A$2000,0)),"")</f>
        <v>13.300248138958004</v>
      </c>
      <c r="X405" s="233">
        <f>IFERROR(INDEX('Ashed teabags wet'!$K$2:$K$2000,MATCH(I405,'Ashed teabags wet'!$A$2:$A$2000,0)),"")</f>
        <v>4.8934108527127869</v>
      </c>
      <c r="Y405" s="194">
        <f t="shared" si="80"/>
        <v>0.36075766749379573</v>
      </c>
      <c r="Z405" s="194">
        <f t="shared" si="80"/>
        <v>1.2710044573643464</v>
      </c>
      <c r="AA405" s="194">
        <f t="shared" si="76"/>
        <v>0.79341315652388711</v>
      </c>
      <c r="AB405" s="194">
        <f t="shared" si="77"/>
        <v>0.52014734251922301</v>
      </c>
      <c r="AC405" s="194">
        <f t="shared" si="69"/>
        <v>0.66456246261307084</v>
      </c>
      <c r="AD405">
        <f t="shared" si="70"/>
        <v>54</v>
      </c>
      <c r="AE405" s="194">
        <f t="shared" si="78"/>
        <v>5.7704089639088907E-2</v>
      </c>
      <c r="AF405" s="194">
        <f t="shared" si="79"/>
        <v>1.917270647851331E-2</v>
      </c>
      <c r="AG405" s="245" t="str">
        <f>IF(ISNUMBER(SEARCH("C",'WetLitterbags placem_collection'!$Y112)),"YES","NO")</f>
        <v>NO</v>
      </c>
      <c r="AH405" s="245" t="str">
        <f>IF(ISNUMBER(SEARCH("H", 'WetLitterbags placem_collection'!$Y112)),"YES","NO")</f>
        <v>NO</v>
      </c>
      <c r="AI405" s="245" t="str">
        <f>IF(ISNUMBER(SEARCH("R", 'WetLitterbags placem_collection'!$Y112)),"YES","NO")</f>
        <v>YES</v>
      </c>
      <c r="AJ405" s="245" t="str">
        <f>IF(ISNUMBER(SEARCH("C", 'WetLitterbags placem_collection'!$W112)),"YES","NO")</f>
        <v>NO</v>
      </c>
      <c r="AK405" s="245" t="str">
        <f>IF(ISNUMBER(SEARCH("H", 'WetLitterbags placem_collection'!$W112)),"YES","NO")</f>
        <v>NO</v>
      </c>
      <c r="AL405" s="245" t="str">
        <f>IF(ISNUMBER(SEARCH("R", 'WetLitterbags placem_collection'!$W112)),"YES","NO")</f>
        <v>NO</v>
      </c>
    </row>
    <row r="406" spans="2:38">
      <c r="B406" t="str">
        <f>Wetseason!B552</f>
        <v>Wet</v>
      </c>
      <c r="C406" s="253">
        <f>Wetseason!C552</f>
        <v>111</v>
      </c>
      <c r="D406" t="s">
        <v>3118</v>
      </c>
      <c r="E406" t="s">
        <v>25</v>
      </c>
      <c r="F406" s="375">
        <v>7</v>
      </c>
      <c r="G406" s="16">
        <f>'WetLitterbags placem_collection'!E113</f>
        <v>42762</v>
      </c>
      <c r="H406" s="92" t="str">
        <f>Wetseason!L552</f>
        <v>G695</v>
      </c>
      <c r="I406" t="str">
        <f>Wetseason!L772</f>
        <v>R487</v>
      </c>
      <c r="J406">
        <f>IFERROR(INDEX('Green_rooibos initial weight'!$C$5:$C$2000,MATCH(H406, 'Green_rooibos initial weight'!$A$5:$A$2000,0)),"")</f>
        <v>2.0190000000000001</v>
      </c>
      <c r="K406">
        <f>IFERROR(INDEX('Green_rooibos initial weight'!$C$5:$C$2000,MATCH(I406, 'Green_rooibos initial weight'!$A$5:$A$2000,0)),"")</f>
        <v>2.222</v>
      </c>
      <c r="L406" s="194">
        <f t="shared" si="71"/>
        <v>1.7692000000000001</v>
      </c>
      <c r="M406" s="194">
        <f>AVERAGE(Ashed_controlls!$K$2:$K$11)</f>
        <v>5.5147656768714146</v>
      </c>
      <c r="N406" s="194">
        <f t="shared" si="68"/>
        <v>1.6716327656447911</v>
      </c>
      <c r="O406" s="194">
        <f t="shared" si="72"/>
        <v>1.9722</v>
      </c>
      <c r="P406" s="194">
        <f>AVERAGE(Ashed_controlls!$K$12:$K$14)</f>
        <v>2.2816647271287041</v>
      </c>
      <c r="Q406" s="194">
        <f t="shared" si="73"/>
        <v>1.9272010082515676</v>
      </c>
      <c r="R406" s="16">
        <f>IF('WetLitterbags placem_collection'!G113="","",'WetLitterbags placem_collection'!G113)</f>
        <v>42816</v>
      </c>
      <c r="S406" s="194">
        <f>IFERROR(INDEX('Both teabags AfterWet'!$C$3:$C$2000,MATCH(H406,'Both teabags AfterWet'!$A$3:$A$2000,0)),"")</f>
        <v>0.621</v>
      </c>
      <c r="T406" s="194">
        <f>IFERROR(INDEX('Both teabags AfterWet'!$C$3:$C$2000,MATCH(I406,'Both teabags AfterWet'!$A$3:$A$2000,0)),"")</f>
        <v>1.609</v>
      </c>
      <c r="U406" s="194">
        <f t="shared" si="74"/>
        <v>0.47039999999999998</v>
      </c>
      <c r="V406" s="194">
        <f t="shared" si="75"/>
        <v>1.4583999999999999</v>
      </c>
      <c r="W406" s="194">
        <f>IFERROR(INDEX('Ashed teabags wet'!$K$2:$K$2000,MATCH(H406,'Ashed teabags wet'!$A$2:$A$2000,0)),"")</f>
        <v>13.185185185184883</v>
      </c>
      <c r="X406" s="233">
        <f>IFERROR(INDEX('Ashed teabags wet'!$K$2:$K$2000,MATCH(I406,'Ashed teabags wet'!$A$2:$A$2000,0)),"")</f>
        <v>6.2961141170683206</v>
      </c>
      <c r="Y406" s="194">
        <f t="shared" si="80"/>
        <v>0.40837688888889029</v>
      </c>
      <c r="Z406" s="194">
        <f t="shared" si="80"/>
        <v>1.3665774717166754</v>
      </c>
      <c r="AA406" s="194">
        <f t="shared" si="76"/>
        <v>0.75570179211498711</v>
      </c>
      <c r="AB406" s="194">
        <f t="shared" si="77"/>
        <v>0.49542445278797259</v>
      </c>
      <c r="AC406" s="194">
        <f t="shared" si="69"/>
        <v>0.70909960396735583</v>
      </c>
      <c r="AD406">
        <f t="shared" si="70"/>
        <v>54</v>
      </c>
      <c r="AE406" s="194">
        <f t="shared" si="78"/>
        <v>0.10249193335512219</v>
      </c>
      <c r="AF406" s="194">
        <f t="shared" si="79"/>
        <v>1.6383875370603946E-2</v>
      </c>
      <c r="AG406" s="245" t="str">
        <f>IF(ISNUMBER(SEARCH("C",'WetLitterbags placem_collection'!$Y113)),"YES","NO")</f>
        <v>NO</v>
      </c>
      <c r="AH406" s="245" t="str">
        <f>IF(ISNUMBER(SEARCH("H", 'WetLitterbags placem_collection'!$Y113)),"YES","NO")</f>
        <v>NO</v>
      </c>
      <c r="AI406" s="245" t="str">
        <f>IF(ISNUMBER(SEARCH("R", 'WetLitterbags placem_collection'!$Y113)),"YES","NO")</f>
        <v>NO</v>
      </c>
      <c r="AJ406" s="245" t="str">
        <f>IF(ISNUMBER(SEARCH("C", 'WetLitterbags placem_collection'!$W113)),"YES","NO")</f>
        <v>NO</v>
      </c>
      <c r="AK406" s="245" t="str">
        <f>IF(ISNUMBER(SEARCH("H", 'WetLitterbags placem_collection'!$W113)),"YES","NO")</f>
        <v>NO</v>
      </c>
      <c r="AL406" s="245" t="str">
        <f>IF(ISNUMBER(SEARCH("R", 'WetLitterbags placem_collection'!$W113)),"YES","NO")</f>
        <v>NO</v>
      </c>
    </row>
    <row r="407" spans="2:38">
      <c r="B407" t="str">
        <f>Wetseason!B553</f>
        <v>Wet</v>
      </c>
      <c r="C407" s="253">
        <f>Wetseason!C553</f>
        <v>112</v>
      </c>
      <c r="D407" t="s">
        <v>3118</v>
      </c>
      <c r="E407" t="s">
        <v>25</v>
      </c>
      <c r="F407" s="375">
        <v>8</v>
      </c>
      <c r="G407" s="16">
        <f>'WetLitterbags placem_collection'!E114</f>
        <v>42762</v>
      </c>
      <c r="H407" s="92" t="str">
        <f>Wetseason!L553</f>
        <v>G852</v>
      </c>
      <c r="I407" t="str">
        <f>Wetseason!L773</f>
        <v>R530</v>
      </c>
      <c r="J407">
        <f>IFERROR(INDEX('Green_rooibos initial weight'!$C$5:$C$2000,MATCH(H407, 'Green_rooibos initial weight'!$A$5:$A$2000,0)),"")</f>
        <v>2.0630000000000002</v>
      </c>
      <c r="K407">
        <f>IFERROR(INDEX('Green_rooibos initial weight'!$C$5:$C$2000,MATCH(I407, 'Green_rooibos initial weight'!$A$5:$A$2000,0)),"")</f>
        <v>2.1659999999999999</v>
      </c>
      <c r="L407" s="194">
        <f t="shared" si="71"/>
        <v>1.8132000000000001</v>
      </c>
      <c r="M407" s="194">
        <f>AVERAGE(Ashed_controlls!$K$2:$K$11)</f>
        <v>5.5147656768714146</v>
      </c>
      <c r="N407" s="194">
        <f t="shared" si="68"/>
        <v>1.7132062687469676</v>
      </c>
      <c r="O407" s="194">
        <f t="shared" si="72"/>
        <v>1.9161999999999999</v>
      </c>
      <c r="P407" s="194">
        <f>AVERAGE(Ashed_controlls!$K$12:$K$14)</f>
        <v>2.2816647271287041</v>
      </c>
      <c r="Q407" s="194">
        <f t="shared" si="73"/>
        <v>1.8724787404987597</v>
      </c>
      <c r="R407" s="16">
        <f>IF('WetLitterbags placem_collection'!G114="","",'WetLitterbags placem_collection'!G114)</f>
        <v>42816</v>
      </c>
      <c r="S407" s="194">
        <f>IFERROR(INDEX('Both teabags AfterWet'!$C$3:$C$2000,MATCH(H407,'Both teabags AfterWet'!$A$3:$A$2000,0)),"")</f>
        <v>0.69799999999999995</v>
      </c>
      <c r="T407" s="194">
        <f>IFERROR(INDEX('Both teabags AfterWet'!$C$3:$C$2000,MATCH(I407,'Both teabags AfterWet'!$A$3:$A$2000,0)),"")</f>
        <v>1.627</v>
      </c>
      <c r="U407" s="194">
        <f t="shared" si="74"/>
        <v>0.54739999999999989</v>
      </c>
      <c r="V407" s="194">
        <f t="shared" si="75"/>
        <v>1.4763999999999999</v>
      </c>
      <c r="W407" s="194">
        <f>IFERROR(INDEX('Ashed teabags wet'!$K$2:$K$2000,MATCH(H407,'Ashed teabags wet'!$A$2:$A$2000,0)),"")</f>
        <v>13.745704467352656</v>
      </c>
      <c r="X407" s="233">
        <f>IFERROR(INDEX('Ashed teabags wet'!$K$2:$K$2000,MATCH(I407,'Ashed teabags wet'!$A$2:$A$2000,0)),"")</f>
        <v>4.6511627906973203</v>
      </c>
      <c r="Y407" s="194">
        <f t="shared" si="80"/>
        <v>0.47215601374571148</v>
      </c>
      <c r="Z407" s="194">
        <f t="shared" si="80"/>
        <v>1.4077302325581447</v>
      </c>
      <c r="AA407" s="194">
        <f t="shared" si="76"/>
        <v>0.72440212112284375</v>
      </c>
      <c r="AB407" s="194">
        <f t="shared" si="77"/>
        <v>0.4749049535152135</v>
      </c>
      <c r="AC407" s="194">
        <f t="shared" si="69"/>
        <v>0.75180038208774369</v>
      </c>
      <c r="AD407">
        <f t="shared" si="70"/>
        <v>54</v>
      </c>
      <c r="AE407" s="194">
        <f t="shared" si="78"/>
        <v>0.13966493928403356</v>
      </c>
      <c r="AF407" s="194">
        <f t="shared" si="79"/>
        <v>1.3693770239806072E-2</v>
      </c>
      <c r="AG407" s="245" t="str">
        <f>IF(ISNUMBER(SEARCH("C",'WetLitterbags placem_collection'!$Y114)),"YES","NO")</f>
        <v>NO</v>
      </c>
      <c r="AH407" s="245" t="str">
        <f>IF(ISNUMBER(SEARCH("H", 'WetLitterbags placem_collection'!$Y114)),"YES","NO")</f>
        <v>NO</v>
      </c>
      <c r="AI407" s="245" t="str">
        <f>IF(ISNUMBER(SEARCH("R", 'WetLitterbags placem_collection'!$Y114)),"YES","NO")</f>
        <v>NO</v>
      </c>
      <c r="AJ407" s="245" t="str">
        <f>IF(ISNUMBER(SEARCH("C", 'WetLitterbags placem_collection'!$W114)),"YES","NO")</f>
        <v>NO</v>
      </c>
      <c r="AK407" s="245" t="str">
        <f>IF(ISNUMBER(SEARCH("H", 'WetLitterbags placem_collection'!$W114)),"YES","NO")</f>
        <v>NO</v>
      </c>
      <c r="AL407" s="245" t="str">
        <f>IF(ISNUMBER(SEARCH("R", 'WetLitterbags placem_collection'!$W114)),"YES","NO")</f>
        <v>YES</v>
      </c>
    </row>
    <row r="408" spans="2:38">
      <c r="B408" t="str">
        <f>Wetseason!B554</f>
        <v>Wet</v>
      </c>
      <c r="C408" s="253">
        <f>Wetseason!C554</f>
        <v>113</v>
      </c>
      <c r="D408" t="s">
        <v>3119</v>
      </c>
      <c r="E408" t="s">
        <v>25</v>
      </c>
      <c r="F408" s="374">
        <v>1</v>
      </c>
      <c r="G408" s="16">
        <f>'WetLitterbags placem_collection'!E115</f>
        <v>42762</v>
      </c>
      <c r="H408" s="92" t="str">
        <f>Wetseason!L554</f>
        <v>G769</v>
      </c>
      <c r="I408" t="str">
        <f>Wetseason!L774</f>
        <v>R578</v>
      </c>
      <c r="J408">
        <f>IFERROR(INDEX('Green_rooibos initial weight'!$C$5:$C$2000,MATCH(H408, 'Green_rooibos initial weight'!$A$5:$A$2000,0)),"")</f>
        <v>2.0550000000000002</v>
      </c>
      <c r="K408">
        <f>IFERROR(INDEX('Green_rooibos initial weight'!$C$5:$C$2000,MATCH(I408, 'Green_rooibos initial weight'!$A$5:$A$2000,0)),"")</f>
        <v>2.1259999999999999</v>
      </c>
      <c r="L408" s="194">
        <f t="shared" si="71"/>
        <v>1.8052000000000001</v>
      </c>
      <c r="M408" s="194">
        <f>AVERAGE(Ashed_controlls!$K$2:$K$11)</f>
        <v>5.5147656768714146</v>
      </c>
      <c r="N408" s="194">
        <f t="shared" si="68"/>
        <v>1.7056474500011174</v>
      </c>
      <c r="O408" s="194">
        <f t="shared" si="72"/>
        <v>1.8761999999999999</v>
      </c>
      <c r="P408" s="194">
        <f>AVERAGE(Ashed_controlls!$K$12:$K$14)</f>
        <v>2.2816647271287041</v>
      </c>
      <c r="Q408" s="194">
        <f t="shared" si="73"/>
        <v>1.8333914063896111</v>
      </c>
      <c r="R408" s="16">
        <f>IF('WetLitterbags placem_collection'!G115="","",'WetLitterbags placem_collection'!G115)</f>
        <v>42816</v>
      </c>
      <c r="S408" s="194">
        <f>IFERROR(INDEX('Both teabags AfterWet'!$C$3:$C$2000,MATCH(H408,'Both teabags AfterWet'!$A$3:$A$2000,0)),"")</f>
        <v>0.70799999999999996</v>
      </c>
      <c r="T408" s="194">
        <f>IFERROR(INDEX('Both teabags AfterWet'!$C$3:$C$2000,MATCH(I408,'Both teabags AfterWet'!$A$3:$A$2000,0)),"")</f>
        <v>1.421</v>
      </c>
      <c r="U408" s="194">
        <f t="shared" si="74"/>
        <v>0.5573999999999999</v>
      </c>
      <c r="V408" s="194">
        <f t="shared" si="75"/>
        <v>1.2704</v>
      </c>
      <c r="W408" s="194">
        <f>IFERROR(INDEX('Ashed teabags wet'!$K$2:$K$2000,MATCH(H408,'Ashed teabags wet'!$A$2:$A$2000,0)),"")</f>
        <v>20.028887818970457</v>
      </c>
      <c r="X408" s="233">
        <f>IFERROR(INDEX('Ashed teabags wet'!$K$2:$K$2000,MATCH(I408,'Ashed teabags wet'!$A$2:$A$2000,0)),"")</f>
        <v>12.371134020618721</v>
      </c>
      <c r="Y408" s="194">
        <f t="shared" si="80"/>
        <v>0.4457589792970586</v>
      </c>
      <c r="Z408" s="194">
        <f t="shared" si="80"/>
        <v>1.1132371134020598</v>
      </c>
      <c r="AA408" s="194">
        <f t="shared" si="76"/>
        <v>0.73865702475809614</v>
      </c>
      <c r="AB408" s="194">
        <f t="shared" si="77"/>
        <v>0.48425021100530774</v>
      </c>
      <c r="AC408" s="194">
        <f t="shared" si="69"/>
        <v>0.60720100984562353</v>
      </c>
      <c r="AD408">
        <f t="shared" si="70"/>
        <v>54</v>
      </c>
      <c r="AE408" s="194">
        <f t="shared" si="78"/>
        <v>0.12273512499038464</v>
      </c>
      <c r="AF408" s="194">
        <f t="shared" si="79"/>
        <v>3.0866592839766355E-2</v>
      </c>
      <c r="AG408" s="245" t="str">
        <f>IF(ISNUMBER(SEARCH("C",'WetLitterbags placem_collection'!$Y115)),"YES","NO")</f>
        <v>NO</v>
      </c>
      <c r="AH408" s="245" t="str">
        <f>IF(ISNUMBER(SEARCH("H", 'WetLitterbags placem_collection'!$Y115)),"YES","NO")</f>
        <v>NO</v>
      </c>
      <c r="AI408" s="245" t="str">
        <f>IF(ISNUMBER(SEARCH("R", 'WetLitterbags placem_collection'!$Y115)),"YES","NO")</f>
        <v>YES</v>
      </c>
      <c r="AJ408" s="245" t="str">
        <f>IF(ISNUMBER(SEARCH("C", 'WetLitterbags placem_collection'!$W115)),"YES","NO")</f>
        <v>NO</v>
      </c>
      <c r="AK408" s="245" t="str">
        <f>IF(ISNUMBER(SEARCH("H", 'WetLitterbags placem_collection'!$W115)),"YES","NO")</f>
        <v>YES</v>
      </c>
      <c r="AL408" s="245" t="str">
        <f>IF(ISNUMBER(SEARCH("R", 'WetLitterbags placem_collection'!$W115)),"YES","NO")</f>
        <v>YES</v>
      </c>
    </row>
    <row r="409" spans="2:38">
      <c r="B409" t="str">
        <f>Wetseason!B555</f>
        <v>Wet</v>
      </c>
      <c r="C409" s="253">
        <f>Wetseason!C555</f>
        <v>114</v>
      </c>
      <c r="D409" t="s">
        <v>3119</v>
      </c>
      <c r="E409" t="s">
        <v>25</v>
      </c>
      <c r="F409" s="374">
        <v>2</v>
      </c>
      <c r="G409" s="16">
        <f>'WetLitterbags placem_collection'!E116</f>
        <v>42762</v>
      </c>
      <c r="H409" s="92" t="str">
        <f>Wetseason!L555</f>
        <v>G889</v>
      </c>
      <c r="I409" t="str">
        <f>Wetseason!L775</f>
        <v>R37</v>
      </c>
      <c r="J409">
        <f>IFERROR(INDEX('Green_rooibos initial weight'!$C$5:$C$2000,MATCH(H409, 'Green_rooibos initial weight'!$A$5:$A$2000,0)),"")</f>
        <v>1.9830000000000001</v>
      </c>
      <c r="K409">
        <f>IFERROR(INDEX('Green_rooibos initial weight'!$C$5:$C$2000,MATCH(I409, 'Green_rooibos initial weight'!$A$5:$A$2000,0)),"")</f>
        <v>2.0979999999999999</v>
      </c>
      <c r="L409" s="194">
        <f t="shared" si="71"/>
        <v>1.7332000000000001</v>
      </c>
      <c r="M409" s="194">
        <f>AVERAGE(Ashed_controlls!$K$2:$K$11)</f>
        <v>5.5147656768714146</v>
      </c>
      <c r="N409" s="194">
        <f t="shared" si="68"/>
        <v>1.6376180812884646</v>
      </c>
      <c r="O409" s="194">
        <f t="shared" si="72"/>
        <v>1.8481999999999998</v>
      </c>
      <c r="P409" s="194">
        <f>AVERAGE(Ashed_controlls!$K$12:$K$14)</f>
        <v>2.2816647271287041</v>
      </c>
      <c r="Q409" s="194">
        <f t="shared" si="73"/>
        <v>1.8060302725132071</v>
      </c>
      <c r="R409" s="16">
        <f>IF('WetLitterbags placem_collection'!G116="","",'WetLitterbags placem_collection'!G116)</f>
        <v>42816</v>
      </c>
      <c r="S409" s="194">
        <f>IFERROR(INDEX('Both teabags AfterWet'!$C$3:$C$2000,MATCH(H409,'Both teabags AfterWet'!$A$3:$A$2000,0)),"")</f>
        <v>0.65700000000000003</v>
      </c>
      <c r="T409" s="194">
        <f>IFERROR(INDEX('Both teabags AfterWet'!$C$3:$C$2000,MATCH(I409,'Both teabags AfterWet'!$A$3:$A$2000,0)),"")</f>
        <v>1.504</v>
      </c>
      <c r="U409" s="194">
        <f t="shared" si="74"/>
        <v>0.50639999999999996</v>
      </c>
      <c r="V409" s="194">
        <f t="shared" si="75"/>
        <v>1.3533999999999999</v>
      </c>
      <c r="W409" s="194">
        <f>IFERROR(INDEX('Ashed teabags wet'!$K$2:$K$2000,MATCH(H409,'Ashed teabags wet'!$A$2:$A$2000,0)),"")</f>
        <v>20.433734939759127</v>
      </c>
      <c r="X409" s="233">
        <f>IFERROR(INDEX('Ashed teabags wet'!$K$2:$K$2000,MATCH(I409,'Ashed teabags wet'!$A$2:$A$2000,0)),"")</f>
        <v>11.717576364547087</v>
      </c>
      <c r="Y409" s="194">
        <f t="shared" si="80"/>
        <v>0.40292356626505976</v>
      </c>
      <c r="Z409" s="194">
        <f t="shared" si="80"/>
        <v>1.1948143214822196</v>
      </c>
      <c r="AA409" s="194">
        <f t="shared" si="76"/>
        <v>0.75395754915697877</v>
      </c>
      <c r="AB409" s="194">
        <f t="shared" si="77"/>
        <v>0.49428095859222371</v>
      </c>
      <c r="AC409" s="194">
        <f t="shared" si="69"/>
        <v>0.66156937658611814</v>
      </c>
      <c r="AD409">
        <f t="shared" si="70"/>
        <v>54</v>
      </c>
      <c r="AE409" s="194">
        <f t="shared" si="78"/>
        <v>0.10456348081118905</v>
      </c>
      <c r="AF409" s="194">
        <f t="shared" si="79"/>
        <v>2.1374221124942253E-2</v>
      </c>
      <c r="AG409" s="245" t="str">
        <f>IF(ISNUMBER(SEARCH("C",'WetLitterbags placem_collection'!$Y116)),"YES","NO")</f>
        <v>NO</v>
      </c>
      <c r="AH409" s="245" t="str">
        <f>IF(ISNUMBER(SEARCH("H", 'WetLitterbags placem_collection'!$Y116)),"YES","NO")</f>
        <v>NO</v>
      </c>
      <c r="AI409" s="245" t="str">
        <f>IF(ISNUMBER(SEARCH("R", 'WetLitterbags placem_collection'!$Y116)),"YES","NO")</f>
        <v>NO</v>
      </c>
      <c r="AJ409" s="245" t="str">
        <f>IF(ISNUMBER(SEARCH("C", 'WetLitterbags placem_collection'!$W116)),"YES","NO")</f>
        <v>NO</v>
      </c>
      <c r="AK409" s="245" t="str">
        <f>IF(ISNUMBER(SEARCH("H", 'WetLitterbags placem_collection'!$W116)),"YES","NO")</f>
        <v>YES</v>
      </c>
      <c r="AL409" s="245" t="str">
        <f>IF(ISNUMBER(SEARCH("R", 'WetLitterbags placem_collection'!$W116)),"YES","NO")</f>
        <v>YES</v>
      </c>
    </row>
    <row r="410" spans="2:38">
      <c r="B410" t="str">
        <f>Wetseason!B556</f>
        <v>Wet</v>
      </c>
      <c r="C410" s="253">
        <f>Wetseason!C556</f>
        <v>115</v>
      </c>
      <c r="D410" t="s">
        <v>3119</v>
      </c>
      <c r="E410" t="s">
        <v>25</v>
      </c>
      <c r="F410" s="374">
        <v>3</v>
      </c>
      <c r="G410" s="16">
        <f>'WetLitterbags placem_collection'!E117</f>
        <v>42762</v>
      </c>
      <c r="H410" s="92" t="str">
        <f>Wetseason!L556</f>
        <v>G778</v>
      </c>
      <c r="I410" t="str">
        <f>Wetseason!L776</f>
        <v>R522</v>
      </c>
      <c r="J410">
        <f>IFERROR(INDEX('Green_rooibos initial weight'!$C$5:$C$2000,MATCH(H410, 'Green_rooibos initial weight'!$A$5:$A$2000,0)),"")</f>
        <v>1.992</v>
      </c>
      <c r="K410">
        <f>IFERROR(INDEX('Green_rooibos initial weight'!$C$5:$C$2000,MATCH(I410, 'Green_rooibos initial weight'!$A$5:$A$2000,0)),"")</f>
        <v>2.1819999999999999</v>
      </c>
      <c r="L410" s="194">
        <f t="shared" si="71"/>
        <v>1.7422</v>
      </c>
      <c r="M410" s="194">
        <f>AVERAGE(Ashed_controlls!$K$2:$K$11)</f>
        <v>5.5147656768714146</v>
      </c>
      <c r="N410" s="194">
        <f t="shared" si="68"/>
        <v>1.6461217523775462</v>
      </c>
      <c r="O410" s="194">
        <f t="shared" si="72"/>
        <v>1.9321999999999999</v>
      </c>
      <c r="P410" s="194">
        <f>AVERAGE(Ashed_controlls!$K$12:$K$14)</f>
        <v>2.2816647271287041</v>
      </c>
      <c r="Q410" s="194">
        <f t="shared" si="73"/>
        <v>1.8881136741424192</v>
      </c>
      <c r="R410" s="16">
        <f>IF('WetLitterbags placem_collection'!G117="","",'WetLitterbags placem_collection'!G117)</f>
        <v>42816</v>
      </c>
      <c r="S410" s="194">
        <f>IFERROR(INDEX('Both teabags AfterWet'!$C$3:$C$2000,MATCH(H410,'Both teabags AfterWet'!$A$3:$A$2000,0)),"")</f>
        <v>0.73709999999999998</v>
      </c>
      <c r="T410" s="194">
        <f>IFERROR(INDEX('Both teabags AfterWet'!$C$3:$C$2000,MATCH(I410,'Both teabags AfterWet'!$A$3:$A$2000,0)),"")</f>
        <v>1.401</v>
      </c>
      <c r="U410" s="194">
        <f t="shared" si="74"/>
        <v>0.58650000000000002</v>
      </c>
      <c r="V410" s="194">
        <f t="shared" si="75"/>
        <v>1.2504</v>
      </c>
      <c r="W410" s="194">
        <f>IFERROR(INDEX('Ashed teabags wet'!$K$2:$K$2000,MATCH(H410,'Ashed teabags wet'!$A$2:$A$2000,0)),"")</f>
        <v>26.575476306790591</v>
      </c>
      <c r="X410" s="233">
        <f>IFERROR(INDEX('Ashed teabags wet'!$K$2:$K$2000,MATCH(I410,'Ashed teabags wet'!$A$2:$A$2000,0)),"")</f>
        <v>3.9292730844799202</v>
      </c>
      <c r="Y410" s="194">
        <f t="shared" si="80"/>
        <v>0.43063483146067316</v>
      </c>
      <c r="Z410" s="194">
        <f t="shared" si="80"/>
        <v>1.201268369351663</v>
      </c>
      <c r="AA410" s="194">
        <f t="shared" si="76"/>
        <v>0.73839430112706217</v>
      </c>
      <c r="AB410" s="194">
        <f t="shared" si="77"/>
        <v>0.48407797413555631</v>
      </c>
      <c r="AC410" s="194">
        <f t="shared" si="69"/>
        <v>0.6362267197165864</v>
      </c>
      <c r="AD410">
        <f t="shared" si="70"/>
        <v>54</v>
      </c>
      <c r="AE410" s="194">
        <f t="shared" si="78"/>
        <v>0.12304714830515173</v>
      </c>
      <c r="AF410" s="194">
        <f t="shared" si="79"/>
        <v>2.5781821429952771E-2</v>
      </c>
      <c r="AG410" s="245" t="str">
        <f>IF(ISNUMBER(SEARCH("C",'WetLitterbags placem_collection'!$Y117)),"YES","NO")</f>
        <v>NO</v>
      </c>
      <c r="AH410" s="245" t="str">
        <f>IF(ISNUMBER(SEARCH("H", 'WetLitterbags placem_collection'!$Y117)),"YES","NO")</f>
        <v>NO</v>
      </c>
      <c r="AI410" s="245" t="str">
        <f>IF(ISNUMBER(SEARCH("R", 'WetLitterbags placem_collection'!$Y117)),"YES","NO")</f>
        <v>YES</v>
      </c>
      <c r="AJ410" s="245" t="str">
        <f>IF(ISNUMBER(SEARCH("C", 'WetLitterbags placem_collection'!$W117)),"YES","NO")</f>
        <v>NO</v>
      </c>
      <c r="AK410" s="245" t="str">
        <f>IF(ISNUMBER(SEARCH("H", 'WetLitterbags placem_collection'!$W117)),"YES","NO")</f>
        <v>YES</v>
      </c>
      <c r="AL410" s="245" t="str">
        <f>IF(ISNUMBER(SEARCH("R", 'WetLitterbags placem_collection'!$W117)),"YES","NO")</f>
        <v>YES</v>
      </c>
    </row>
    <row r="411" spans="2:38">
      <c r="B411" t="str">
        <f>Wetseason!B557</f>
        <v>Wet</v>
      </c>
      <c r="C411" s="253">
        <f>Wetseason!C557</f>
        <v>116</v>
      </c>
      <c r="D411" t="s">
        <v>3119</v>
      </c>
      <c r="E411" t="s">
        <v>25</v>
      </c>
      <c r="F411" s="375">
        <v>4</v>
      </c>
      <c r="G411" s="16">
        <f>'WetLitterbags placem_collection'!E118</f>
        <v>42762</v>
      </c>
      <c r="H411" s="92" t="str">
        <f>Wetseason!L557</f>
        <v>G563</v>
      </c>
      <c r="I411" t="str">
        <f>Wetseason!L777</f>
        <v>R480</v>
      </c>
      <c r="J411">
        <f>IFERROR(INDEX('Green_rooibos initial weight'!$C$5:$C$2000,MATCH(H411, 'Green_rooibos initial weight'!$A$5:$A$2000,0)),"")</f>
        <v>1.9390000000000001</v>
      </c>
      <c r="K411">
        <f>IFERROR(INDEX('Green_rooibos initial weight'!$C$5:$C$2000,MATCH(I411, 'Green_rooibos initial weight'!$A$5:$A$2000,0)),"")</f>
        <v>2.17</v>
      </c>
      <c r="L411" s="194">
        <f t="shared" si="71"/>
        <v>1.6892</v>
      </c>
      <c r="M411" s="194">
        <f>AVERAGE(Ashed_controlls!$K$2:$K$11)</f>
        <v>5.5147656768714146</v>
      </c>
      <c r="N411" s="194">
        <f t="shared" si="68"/>
        <v>1.5960445781862882</v>
      </c>
      <c r="O411" s="194">
        <f t="shared" si="72"/>
        <v>1.9201999999999999</v>
      </c>
      <c r="P411" s="194">
        <f>AVERAGE(Ashed_controlls!$K$12:$K$14)</f>
        <v>2.2816647271287041</v>
      </c>
      <c r="Q411" s="194">
        <f t="shared" si="73"/>
        <v>1.8763874739096746</v>
      </c>
      <c r="R411" s="16">
        <f>IF('WetLitterbags placem_collection'!G118="","",'WetLitterbags placem_collection'!G118)</f>
        <v>42816</v>
      </c>
      <c r="S411" s="194">
        <f>IFERROR(INDEX('Both teabags AfterWet'!$C$3:$C$2000,MATCH(H411,'Both teabags AfterWet'!$A$3:$A$2000,0)),"")</f>
        <v>0.61660000000000004</v>
      </c>
      <c r="T411" s="194">
        <f>IFERROR(INDEX('Both teabags AfterWet'!$C$3:$C$2000,MATCH(I411,'Both teabags AfterWet'!$A$3:$A$2000,0)),"")</f>
        <v>1.4859</v>
      </c>
      <c r="U411" s="194">
        <f t="shared" si="74"/>
        <v>0.46600000000000003</v>
      </c>
      <c r="V411" s="194">
        <f t="shared" si="75"/>
        <v>1.3352999999999999</v>
      </c>
      <c r="W411" s="194">
        <f>IFERROR(INDEX('Ashed teabags wet'!$K$2:$K$2000,MATCH(H411,'Ashed teabags wet'!$A$2:$A$2000,0)),"")</f>
        <v>16.467661691542546</v>
      </c>
      <c r="X411" s="233">
        <f>IFERROR(INDEX('Ashed teabags wet'!$K$2:$K$2000,MATCH(I411,'Ashed teabags wet'!$A$2:$A$2000,0)),"")</f>
        <v>9.0863704443334274</v>
      </c>
      <c r="Y411" s="194">
        <f t="shared" si="80"/>
        <v>0.38926069651741174</v>
      </c>
      <c r="Z411" s="194">
        <f t="shared" si="80"/>
        <v>1.2139696954568158</v>
      </c>
      <c r="AA411" s="194">
        <f t="shared" si="76"/>
        <v>0.75610913264104473</v>
      </c>
      <c r="AB411" s="194">
        <f t="shared" si="77"/>
        <v>0.4956914978834403</v>
      </c>
      <c r="AC411" s="194">
        <f t="shared" si="69"/>
        <v>0.64697175414807406</v>
      </c>
      <c r="AD411">
        <f t="shared" si="70"/>
        <v>54</v>
      </c>
      <c r="AE411" s="194">
        <f t="shared" si="78"/>
        <v>0.10200815600826041</v>
      </c>
      <c r="AF411" s="194">
        <f t="shared" si="79"/>
        <v>2.3064199645789939E-2</v>
      </c>
      <c r="AG411" s="245" t="str">
        <f>IF(ISNUMBER(SEARCH("C",'WetLitterbags placem_collection'!$Y118)),"YES","NO")</f>
        <v>NO</v>
      </c>
      <c r="AH411" s="245" t="str">
        <f>IF(ISNUMBER(SEARCH("H", 'WetLitterbags placem_collection'!$Y118)),"YES","NO")</f>
        <v>NO</v>
      </c>
      <c r="AI411" s="245" t="str">
        <f>IF(ISNUMBER(SEARCH("R", 'WetLitterbags placem_collection'!$Y118)),"YES","NO")</f>
        <v>YES</v>
      </c>
      <c r="AJ411" s="245" t="str">
        <f>IF(ISNUMBER(SEARCH("C", 'WetLitterbags placem_collection'!$W118)),"YES","NO")</f>
        <v>NO</v>
      </c>
      <c r="AK411" s="245" t="str">
        <f>IF(ISNUMBER(SEARCH("H", 'WetLitterbags placem_collection'!$W118)),"YES","NO")</f>
        <v>YES</v>
      </c>
      <c r="AL411" s="245" t="str">
        <f>IF(ISNUMBER(SEARCH("R", 'WetLitterbags placem_collection'!$W118)),"YES","NO")</f>
        <v>YES</v>
      </c>
    </row>
    <row r="412" spans="2:38">
      <c r="B412" t="str">
        <f>Wetseason!B558</f>
        <v>Wet</v>
      </c>
      <c r="C412" s="253">
        <f>Wetseason!C558</f>
        <v>117</v>
      </c>
      <c r="D412" t="s">
        <v>3119</v>
      </c>
      <c r="E412" t="s">
        <v>25</v>
      </c>
      <c r="F412" s="375">
        <v>5</v>
      </c>
      <c r="G412" s="16">
        <f>'WetLitterbags placem_collection'!E119</f>
        <v>42762</v>
      </c>
      <c r="H412" s="92" t="str">
        <f>Wetseason!L558</f>
        <v>G901</v>
      </c>
      <c r="I412" t="str">
        <f>Wetseason!L778</f>
        <v>R565</v>
      </c>
      <c r="J412">
        <f>IFERROR(INDEX('Green_rooibos initial weight'!$C$5:$C$2000,MATCH(H412, 'Green_rooibos initial weight'!$A$5:$A$2000,0)),"")</f>
        <v>2.0270000000000001</v>
      </c>
      <c r="K412">
        <f>IFERROR(INDEX('Green_rooibos initial weight'!$C$5:$C$2000,MATCH(I412, 'Green_rooibos initial weight'!$A$5:$A$2000,0)),"")</f>
        <v>2.0649999999999999</v>
      </c>
      <c r="L412" s="194">
        <f t="shared" si="71"/>
        <v>1.7772000000000001</v>
      </c>
      <c r="M412" s="194">
        <f>AVERAGE(Ashed_controlls!$K$2:$K$11)</f>
        <v>5.5147656768714146</v>
      </c>
      <c r="N412" s="194">
        <f t="shared" si="68"/>
        <v>1.6791915843906413</v>
      </c>
      <c r="O412" s="194">
        <f t="shared" si="72"/>
        <v>1.8151999999999999</v>
      </c>
      <c r="P412" s="194">
        <f>AVERAGE(Ashed_controlls!$K$12:$K$14)</f>
        <v>2.2816647271287041</v>
      </c>
      <c r="Q412" s="194">
        <f t="shared" si="73"/>
        <v>1.7737832218731597</v>
      </c>
      <c r="R412" s="16">
        <f>IF('WetLitterbags placem_collection'!G119="","",'WetLitterbags placem_collection'!G119)</f>
        <v>42816</v>
      </c>
      <c r="S412" s="194">
        <f>IFERROR(INDEX('Both teabags AfterWet'!$C$3:$C$2000,MATCH(H412,'Both teabags AfterWet'!$A$3:$A$2000,0)),"")</f>
        <v>0.621</v>
      </c>
      <c r="T412" s="194">
        <f>IFERROR(INDEX('Both teabags AfterWet'!$C$3:$C$2000,MATCH(I412,'Both teabags AfterWet'!$A$3:$A$2000,0)),"")</f>
        <v>1.343</v>
      </c>
      <c r="U412" s="194">
        <f t="shared" si="74"/>
        <v>0.47039999999999998</v>
      </c>
      <c r="V412" s="194">
        <f t="shared" si="75"/>
        <v>1.1923999999999999</v>
      </c>
      <c r="W412" s="194">
        <f>IFERROR(INDEX('Ashed teabags wet'!$K$2:$K$2000,MATCH(H412,'Ashed teabags wet'!$A$2:$A$2000,0)),"")</f>
        <v>13.244047619047592</v>
      </c>
      <c r="X412" s="233">
        <f>IFERROR(INDEX('Ashed teabags wet'!$K$2:$K$2000,MATCH(I412,'Ashed teabags wet'!$A$2:$A$2000,0)),"")</f>
        <v>4.0755467196820945</v>
      </c>
      <c r="Y412" s="194">
        <f t="shared" si="80"/>
        <v>0.40810000000000013</v>
      </c>
      <c r="Z412" s="194">
        <f t="shared" si="80"/>
        <v>1.1438031809145106</v>
      </c>
      <c r="AA412" s="194">
        <f t="shared" si="76"/>
        <v>0.75696638561460228</v>
      </c>
      <c r="AB412" s="194">
        <f t="shared" si="77"/>
        <v>0.49625349745755404</v>
      </c>
      <c r="AC412" s="194">
        <f t="shared" si="69"/>
        <v>0.64483820052521734</v>
      </c>
      <c r="AD412">
        <f t="shared" si="70"/>
        <v>54</v>
      </c>
      <c r="AE412" s="194">
        <f t="shared" si="78"/>
        <v>0.10099004083776453</v>
      </c>
      <c r="AF412" s="194">
        <f t="shared" si="79"/>
        <v>2.3290312230519923E-2</v>
      </c>
      <c r="AG412" s="245" t="str">
        <f>IF(ISNUMBER(SEARCH("C",'WetLitterbags placem_collection'!$Y119)),"YES","NO")</f>
        <v>NO</v>
      </c>
      <c r="AH412" s="245" t="str">
        <f>IF(ISNUMBER(SEARCH("H", 'WetLitterbags placem_collection'!$Y119)),"YES","NO")</f>
        <v>NO</v>
      </c>
      <c r="AI412" s="245" t="str">
        <f>IF(ISNUMBER(SEARCH("R", 'WetLitterbags placem_collection'!$Y119)),"YES","NO")</f>
        <v>NO</v>
      </c>
      <c r="AJ412" s="245" t="str">
        <f>IF(ISNUMBER(SEARCH("C", 'WetLitterbags placem_collection'!$W119)),"YES","NO")</f>
        <v>NO</v>
      </c>
      <c r="AK412" s="245" t="str">
        <f>IF(ISNUMBER(SEARCH("H", 'WetLitterbags placem_collection'!$W119)),"YES","NO")</f>
        <v>YES</v>
      </c>
      <c r="AL412" s="245" t="str">
        <f>IF(ISNUMBER(SEARCH("R", 'WetLitterbags placem_collection'!$W119)),"YES","NO")</f>
        <v>YES</v>
      </c>
    </row>
    <row r="413" spans="2:38">
      <c r="B413" t="str">
        <f>Wetseason!B559</f>
        <v>Wet</v>
      </c>
      <c r="C413" s="253">
        <f>Wetseason!C559</f>
        <v>118</v>
      </c>
      <c r="D413" t="s">
        <v>3119</v>
      </c>
      <c r="E413" t="s">
        <v>25</v>
      </c>
      <c r="F413" s="375">
        <v>6</v>
      </c>
      <c r="G413" s="16">
        <f>'WetLitterbags placem_collection'!E120</f>
        <v>42762</v>
      </c>
      <c r="H413" s="92" t="str">
        <f>Wetseason!L559</f>
        <v>G791</v>
      </c>
      <c r="I413" t="str">
        <f>Wetseason!L779</f>
        <v>R544</v>
      </c>
      <c r="J413">
        <f>IFERROR(INDEX('Green_rooibos initial weight'!$C$5:$C$2000,MATCH(H413, 'Green_rooibos initial weight'!$A$5:$A$2000,0)),"")</f>
        <v>2.0680000000000001</v>
      </c>
      <c r="K413">
        <f>IFERROR(INDEX('Green_rooibos initial weight'!$C$5:$C$2000,MATCH(I413, 'Green_rooibos initial weight'!$A$5:$A$2000,0)),"")</f>
        <v>2.2109999999999999</v>
      </c>
      <c r="L413" s="194">
        <f t="shared" si="71"/>
        <v>1.8182</v>
      </c>
      <c r="M413" s="194">
        <f>AVERAGE(Ashed_controlls!$K$2:$K$11)</f>
        <v>5.5147656768714146</v>
      </c>
      <c r="N413" s="194">
        <f t="shared" si="68"/>
        <v>1.7179305304631241</v>
      </c>
      <c r="O413" s="194">
        <f t="shared" si="72"/>
        <v>1.9611999999999998</v>
      </c>
      <c r="P413" s="194">
        <f>AVERAGE(Ashed_controlls!$K$12:$K$14)</f>
        <v>2.2816647271287041</v>
      </c>
      <c r="Q413" s="194">
        <f t="shared" si="73"/>
        <v>1.9164519913715516</v>
      </c>
      <c r="R413" s="16">
        <f>IF('WetLitterbags placem_collection'!G120="","",'WetLitterbags placem_collection'!G120)</f>
        <v>42816</v>
      </c>
      <c r="S413" s="194">
        <f>IFERROR(INDEX('Both teabags AfterWet'!$C$3:$C$2000,MATCH(H413,'Both teabags AfterWet'!$A$3:$A$2000,0)),"")</f>
        <v>0.64600000000000002</v>
      </c>
      <c r="T413" s="194">
        <f>IFERROR(INDEX('Both teabags AfterWet'!$C$3:$C$2000,MATCH(I413,'Both teabags AfterWet'!$A$3:$A$2000,0)),"")</f>
        <v>1.599</v>
      </c>
      <c r="U413" s="194">
        <f t="shared" si="74"/>
        <v>0.49540000000000001</v>
      </c>
      <c r="V413" s="194">
        <f t="shared" si="75"/>
        <v>1.4483999999999999</v>
      </c>
      <c r="W413" s="194">
        <f>IFERROR(INDEX('Ashed teabags wet'!$K$2:$K$2000,MATCH(H413,'Ashed teabags wet'!$A$2:$A$2000,0)),"")</f>
        <v>12.418952618454213</v>
      </c>
      <c r="X413" s="233">
        <f>IFERROR(INDEX('Ashed teabags wet'!$K$2:$K$2000,MATCH(I413,'Ashed teabags wet'!$A$2:$A$2000,0)),"")</f>
        <v>4.604604604605111</v>
      </c>
      <c r="Y413" s="194">
        <f t="shared" si="80"/>
        <v>0.43387650872817785</v>
      </c>
      <c r="Z413" s="194">
        <f t="shared" si="80"/>
        <v>1.3817069069068995</v>
      </c>
      <c r="AA413" s="194">
        <f t="shared" si="76"/>
        <v>0.74744234354388461</v>
      </c>
      <c r="AB413" s="194">
        <f t="shared" si="77"/>
        <v>0.49000970740644223</v>
      </c>
      <c r="AC413" s="194">
        <f t="shared" si="69"/>
        <v>0.72097131215796861</v>
      </c>
      <c r="AD413">
        <f t="shared" si="70"/>
        <v>54</v>
      </c>
      <c r="AE413" s="194">
        <f t="shared" si="78"/>
        <v>0.1123012546984743</v>
      </c>
      <c r="AF413" s="194">
        <f t="shared" si="79"/>
        <v>1.560475976265052E-2</v>
      </c>
      <c r="AG413" s="245" t="str">
        <f>IF(ISNUMBER(SEARCH("C",'WetLitterbags placem_collection'!$Y120)),"YES","NO")</f>
        <v>NO</v>
      </c>
      <c r="AH413" s="245" t="str">
        <f>IF(ISNUMBER(SEARCH("H", 'WetLitterbags placem_collection'!$Y120)),"YES","NO")</f>
        <v>NO</v>
      </c>
      <c r="AI413" s="245" t="str">
        <f>IF(ISNUMBER(SEARCH("R", 'WetLitterbags placem_collection'!$Y120)),"YES","NO")</f>
        <v>NO</v>
      </c>
      <c r="AJ413" s="245" t="str">
        <f>IF(ISNUMBER(SEARCH("C", 'WetLitterbags placem_collection'!$W120)),"YES","NO")</f>
        <v>NO</v>
      </c>
      <c r="AK413" s="245" t="str">
        <f>IF(ISNUMBER(SEARCH("H", 'WetLitterbags placem_collection'!$W120)),"YES","NO")</f>
        <v>YES</v>
      </c>
      <c r="AL413" s="245" t="str">
        <f>IF(ISNUMBER(SEARCH("R", 'WetLitterbags placem_collection'!$W120)),"YES","NO")</f>
        <v>NO</v>
      </c>
    </row>
    <row r="414" spans="2:38">
      <c r="B414" t="str">
        <f>Wetseason!B560</f>
        <v>Wet</v>
      </c>
      <c r="C414" s="253">
        <f>Wetseason!C560</f>
        <v>119</v>
      </c>
      <c r="D414" t="s">
        <v>3119</v>
      </c>
      <c r="E414" t="s">
        <v>25</v>
      </c>
      <c r="F414" s="375">
        <v>7</v>
      </c>
      <c r="G414" s="16">
        <f>'WetLitterbags placem_collection'!E121</f>
        <v>42762</v>
      </c>
      <c r="H414" s="92" t="str">
        <f>Wetseason!L560</f>
        <v>G802</v>
      </c>
      <c r="I414" t="str">
        <f>Wetseason!L780</f>
        <v>R526</v>
      </c>
      <c r="J414">
        <f>IFERROR(INDEX('Green_rooibos initial weight'!$C$5:$C$2000,MATCH(H414, 'Green_rooibos initial weight'!$A$5:$A$2000,0)),"")</f>
        <v>2.194</v>
      </c>
      <c r="K414">
        <f>IFERROR(INDEX('Green_rooibos initial weight'!$C$5:$C$2000,MATCH(I414, 'Green_rooibos initial weight'!$A$5:$A$2000,0)),"")</f>
        <v>2.0960000000000001</v>
      </c>
      <c r="L414" s="194">
        <f t="shared" si="71"/>
        <v>1.9441999999999999</v>
      </c>
      <c r="M414" s="194">
        <f>AVERAGE(Ashed_controlls!$K$2:$K$11)</f>
        <v>5.5147656768714146</v>
      </c>
      <c r="N414" s="194">
        <f t="shared" si="68"/>
        <v>1.836981925710266</v>
      </c>
      <c r="O414" s="194">
        <f t="shared" si="72"/>
        <v>1.8462000000000001</v>
      </c>
      <c r="P414" s="194">
        <f>AVERAGE(Ashed_controlls!$K$12:$K$14)</f>
        <v>2.2816647271287041</v>
      </c>
      <c r="Q414" s="194">
        <f t="shared" si="73"/>
        <v>1.80407590580775</v>
      </c>
      <c r="R414" s="16">
        <f>IF('WetLitterbags placem_collection'!G121="","",'WetLitterbags placem_collection'!G121)</f>
        <v>42816</v>
      </c>
      <c r="S414" s="194">
        <f>IFERROR(INDEX('Both teabags AfterWet'!$C$3:$C$2000,MATCH(H414,'Both teabags AfterWet'!$A$3:$A$2000,0)),"")</f>
        <v>0.65200000000000002</v>
      </c>
      <c r="T414" s="194">
        <f>IFERROR(INDEX('Both teabags AfterWet'!$C$3:$C$2000,MATCH(I414,'Both teabags AfterWet'!$A$3:$A$2000,0)),"")</f>
        <v>1.3</v>
      </c>
      <c r="U414" s="194">
        <f t="shared" si="74"/>
        <v>0.50140000000000007</v>
      </c>
      <c r="V414" s="194">
        <f t="shared" si="75"/>
        <v>1.1494</v>
      </c>
      <c r="W414" s="194">
        <f>IFERROR(INDEX('Ashed teabags wet'!$K$2:$K$2000,MATCH(H414,'Ashed teabags wet'!$A$2:$A$2000,0)),"")</f>
        <v>10.497512437810975</v>
      </c>
      <c r="X414" s="233">
        <f>IFERROR(INDEX('Ashed teabags wet'!$K$2:$K$2000,MATCH(I414,'Ashed teabags wet'!$A$2:$A$2000,0)),"")</f>
        <v>6.4671814671816925</v>
      </c>
      <c r="Y414" s="194">
        <f t="shared" si="80"/>
        <v>0.44876547263681582</v>
      </c>
      <c r="Z414" s="194">
        <f t="shared" si="80"/>
        <v>1.0750662162162137</v>
      </c>
      <c r="AA414" s="194">
        <f t="shared" si="76"/>
        <v>0.7557050146460742</v>
      </c>
      <c r="AB414" s="194">
        <f t="shared" si="77"/>
        <v>0.49542656542117935</v>
      </c>
      <c r="AC414" s="194">
        <f t="shared" si="69"/>
        <v>0.59590963592791157</v>
      </c>
      <c r="AD414">
        <f t="shared" si="70"/>
        <v>54</v>
      </c>
      <c r="AE414" s="194">
        <f t="shared" si="78"/>
        <v>0.10248810612105197</v>
      </c>
      <c r="AF414" s="194">
        <f t="shared" si="79"/>
        <v>3.1312442980427249E-2</v>
      </c>
      <c r="AG414" s="245" t="str">
        <f>IF(ISNUMBER(SEARCH("C",'WetLitterbags placem_collection'!$Y121)),"YES","NO")</f>
        <v>NO</v>
      </c>
      <c r="AH414" s="245" t="str">
        <f>IF(ISNUMBER(SEARCH("H", 'WetLitterbags placem_collection'!$Y121)),"YES","NO")</f>
        <v>NO</v>
      </c>
      <c r="AI414" s="245" t="str">
        <f>IF(ISNUMBER(SEARCH("R", 'WetLitterbags placem_collection'!$Y121)),"YES","NO")</f>
        <v>YES</v>
      </c>
      <c r="AJ414" s="245" t="str">
        <f>IF(ISNUMBER(SEARCH("C", 'WetLitterbags placem_collection'!$W121)),"YES","NO")</f>
        <v>NO</v>
      </c>
      <c r="AK414" s="245" t="str">
        <f>IF(ISNUMBER(SEARCH("H", 'WetLitterbags placem_collection'!$W121)),"YES","NO")</f>
        <v>YES</v>
      </c>
      <c r="AL414" s="245" t="str">
        <f>IF(ISNUMBER(SEARCH("R", 'WetLitterbags placem_collection'!$W121)),"YES","NO")</f>
        <v>NO</v>
      </c>
    </row>
    <row r="415" spans="2:38">
      <c r="B415" t="str">
        <f>Wetseason!B561</f>
        <v>Wet</v>
      </c>
      <c r="C415" s="253">
        <f>Wetseason!C561</f>
        <v>120</v>
      </c>
      <c r="D415" t="s">
        <v>3119</v>
      </c>
      <c r="E415" t="s">
        <v>25</v>
      </c>
      <c r="F415" s="375">
        <v>8</v>
      </c>
      <c r="G415" s="16">
        <f>'WetLitterbags placem_collection'!E122</f>
        <v>42762</v>
      </c>
      <c r="H415" s="92" t="str">
        <f>Wetseason!L561</f>
        <v>G698</v>
      </c>
      <c r="I415" t="str">
        <f>Wetseason!L781</f>
        <v>R594</v>
      </c>
      <c r="J415">
        <f>IFERROR(INDEX('Green_rooibos initial weight'!$C$5:$C$2000,MATCH(H415, 'Green_rooibos initial weight'!$A$5:$A$2000,0)),"")</f>
        <v>2.085</v>
      </c>
      <c r="K415">
        <f>IFERROR(INDEX('Green_rooibos initial weight'!$C$5:$C$2000,MATCH(I415, 'Green_rooibos initial weight'!$A$5:$A$2000,0)),"")</f>
        <v>2.2400000000000002</v>
      </c>
      <c r="L415" s="194">
        <f t="shared" si="71"/>
        <v>1.8351999999999999</v>
      </c>
      <c r="M415" s="194">
        <f>AVERAGE(Ashed_controlls!$K$2:$K$11)</f>
        <v>5.5147656768714146</v>
      </c>
      <c r="N415" s="194">
        <f t="shared" si="68"/>
        <v>1.7339930202980558</v>
      </c>
      <c r="O415" s="194">
        <f t="shared" si="72"/>
        <v>1.9902000000000002</v>
      </c>
      <c r="P415" s="194">
        <f>AVERAGE(Ashed_controlls!$K$12:$K$14)</f>
        <v>2.2816647271287041</v>
      </c>
      <c r="Q415" s="194">
        <f t="shared" si="73"/>
        <v>1.9447903086006848</v>
      </c>
      <c r="R415" s="16">
        <f>IF('WetLitterbags placem_collection'!G122="","",'WetLitterbags placem_collection'!G122)</f>
        <v>42816</v>
      </c>
      <c r="S415" s="194">
        <f>IFERROR(INDEX('Both teabags AfterWet'!$C$3:$C$2000,MATCH(H415,'Both teabags AfterWet'!$A$3:$A$2000,0)),"")</f>
        <v>0.55310000000000004</v>
      </c>
      <c r="T415" s="194">
        <f>IFERROR(INDEX('Both teabags AfterWet'!$C$3:$C$2000,MATCH(I415,'Both teabags AfterWet'!$A$3:$A$2000,0)),"")</f>
        <v>1.4142999999999999</v>
      </c>
      <c r="U415" s="194">
        <f t="shared" si="74"/>
        <v>0.40250000000000002</v>
      </c>
      <c r="V415" s="194">
        <f t="shared" si="75"/>
        <v>1.2636999999999998</v>
      </c>
      <c r="W415" s="194">
        <f>IFERROR(INDEX('Ashed teabags wet'!$K$2:$K$2000,MATCH(H415,'Ashed teabags wet'!$A$2:$A$2000,0)),"")</f>
        <v>14.853452558370487</v>
      </c>
      <c r="X415" s="233">
        <f>IFERROR(INDEX('Ashed teabags wet'!$K$2:$K$2000,MATCH(I415,'Ashed teabags wet'!$A$2:$A$2000,0)),"")</f>
        <v>4.3540669856461571</v>
      </c>
      <c r="Y415" s="194">
        <f t="shared" si="80"/>
        <v>0.34271485345255881</v>
      </c>
      <c r="Z415" s="194">
        <f t="shared" si="80"/>
        <v>1.2086776555023893</v>
      </c>
      <c r="AA415" s="194">
        <f t="shared" si="76"/>
        <v>0.80235511363612666</v>
      </c>
      <c r="AB415" s="194">
        <f t="shared" si="77"/>
        <v>0.52600952817950353</v>
      </c>
      <c r="AC415" s="194">
        <f t="shared" si="69"/>
        <v>0.62149510420589082</v>
      </c>
      <c r="AD415">
        <f t="shared" si="70"/>
        <v>54</v>
      </c>
      <c r="AE415" s="194">
        <f t="shared" si="78"/>
        <v>4.7084188080609657E-2</v>
      </c>
      <c r="AF415" s="194">
        <f t="shared" si="79"/>
        <v>2.354555084618442E-2</v>
      </c>
      <c r="AG415" s="245" t="str">
        <f>IF(ISNUMBER(SEARCH("C",'WetLitterbags placem_collection'!$Y122)),"YES","NO")</f>
        <v>NO</v>
      </c>
      <c r="AH415" s="245" t="str">
        <f>IF(ISNUMBER(SEARCH("H", 'WetLitterbags placem_collection'!$Y122)),"YES","NO")</f>
        <v>NO</v>
      </c>
      <c r="AI415" s="245" t="str">
        <f>IF(ISNUMBER(SEARCH("R", 'WetLitterbags placem_collection'!$Y122)),"YES","NO")</f>
        <v>YES</v>
      </c>
      <c r="AJ415" s="245" t="str">
        <f>IF(ISNUMBER(SEARCH("C", 'WetLitterbags placem_collection'!$W122)),"YES","NO")</f>
        <v>NO</v>
      </c>
      <c r="AK415" s="245" t="str">
        <f>IF(ISNUMBER(SEARCH("H", 'WetLitterbags placem_collection'!$W122)),"YES","NO")</f>
        <v>YES</v>
      </c>
      <c r="AL415" s="245" t="str">
        <f>IF(ISNUMBER(SEARCH("R", 'WetLitterbags placem_collection'!$W122)),"YES","NO")</f>
        <v>NO</v>
      </c>
    </row>
    <row r="416" spans="2:38">
      <c r="B416" t="str">
        <f>Wetseason!B562</f>
        <v>Wet</v>
      </c>
      <c r="C416" s="253">
        <f>Wetseason!C562</f>
        <v>121</v>
      </c>
      <c r="D416" t="s">
        <v>3120</v>
      </c>
      <c r="E416" t="s">
        <v>25</v>
      </c>
      <c r="F416" s="374">
        <v>1</v>
      </c>
      <c r="G416" s="16">
        <f>'WetLitterbags placem_collection'!E123</f>
        <v>42762</v>
      </c>
      <c r="H416" s="92" t="str">
        <f>Wetseason!L562</f>
        <v>G825</v>
      </c>
      <c r="I416" t="str">
        <f>Wetseason!L782</f>
        <v>R564</v>
      </c>
      <c r="J416">
        <f>IFERROR(INDEX('Green_rooibos initial weight'!$C$5:$C$2000,MATCH(H416, 'Green_rooibos initial weight'!$A$5:$A$2000,0)),"")</f>
        <v>2.1240000000000001</v>
      </c>
      <c r="K416">
        <f>IFERROR(INDEX('Green_rooibos initial weight'!$C$5:$C$2000,MATCH(I416, 'Green_rooibos initial weight'!$A$5:$A$2000,0)),"")</f>
        <v>2.145</v>
      </c>
      <c r="L416" s="194">
        <f t="shared" si="71"/>
        <v>1.8742000000000001</v>
      </c>
      <c r="M416" s="194">
        <f>AVERAGE(Ashed_controlls!$K$2:$K$11)</f>
        <v>5.5147656768714146</v>
      </c>
      <c r="N416" s="194">
        <f t="shared" si="68"/>
        <v>1.770842261684076</v>
      </c>
      <c r="O416" s="194">
        <f t="shared" si="72"/>
        <v>1.8952</v>
      </c>
      <c r="P416" s="194">
        <f>AVERAGE(Ashed_controlls!$K$12:$K$14)</f>
        <v>2.2816647271287041</v>
      </c>
      <c r="Q416" s="194">
        <f t="shared" si="73"/>
        <v>1.8519578900914568</v>
      </c>
      <c r="R416" s="16">
        <f>IF('WetLitterbags placem_collection'!G123="","",'WetLitterbags placem_collection'!G123)</f>
        <v>42816</v>
      </c>
      <c r="S416" s="194">
        <f>IFERROR(INDEX('Both teabags AfterWet'!$C$3:$C$2000,MATCH(H416,'Both teabags AfterWet'!$A$3:$A$2000,0)),"")</f>
        <v>0.61199999999999999</v>
      </c>
      <c r="T416" s="194">
        <f>IFERROR(INDEX('Both teabags AfterWet'!$C$3:$C$2000,MATCH(I416,'Both teabags AfterWet'!$A$3:$A$2000,0)),"")</f>
        <v>1.53</v>
      </c>
      <c r="U416" s="194">
        <f t="shared" si="74"/>
        <v>0.46139999999999998</v>
      </c>
      <c r="V416" s="194">
        <f t="shared" si="75"/>
        <v>1.3794</v>
      </c>
      <c r="W416" s="194">
        <f>IFERROR(INDEX('Ashed teabags wet'!$K$2:$K$2000,MATCH(H416,'Ashed teabags wet'!$A$2:$A$2000,0)),"")</f>
        <v>10.131514856308767</v>
      </c>
      <c r="X416" s="233">
        <f>IFERROR(INDEX('Ashed teabags wet'!$K$2:$K$2000,MATCH(I416,'Ashed teabags wet'!$A$2:$A$2000,0)),"")</f>
        <v>7.5161772025872624</v>
      </c>
      <c r="Y416" s="194">
        <f t="shared" si="80"/>
        <v>0.41465319045299132</v>
      </c>
      <c r="Z416" s="194">
        <f t="shared" si="80"/>
        <v>1.2757218516675113</v>
      </c>
      <c r="AA416" s="194">
        <f t="shared" si="76"/>
        <v>0.76584408480366006</v>
      </c>
      <c r="AB416" s="194">
        <f t="shared" si="77"/>
        <v>0.50207355678339716</v>
      </c>
      <c r="AC416" s="194">
        <f t="shared" si="69"/>
        <v>0.68885035588174803</v>
      </c>
      <c r="AD416">
        <f t="shared" si="70"/>
        <v>54</v>
      </c>
      <c r="AE416" s="194">
        <f t="shared" si="78"/>
        <v>9.0446455102541456E-2</v>
      </c>
      <c r="AF416" s="194">
        <f t="shared" si="79"/>
        <v>1.7905030569357407E-2</v>
      </c>
      <c r="AG416" s="245" t="str">
        <f>IF(ISNUMBER(SEARCH("C",'WetLitterbags placem_collection'!$Y123)),"YES","NO")</f>
        <v>NO</v>
      </c>
      <c r="AH416" s="245" t="str">
        <f>IF(ISNUMBER(SEARCH("H", 'WetLitterbags placem_collection'!$Y123)),"YES","NO")</f>
        <v>NO</v>
      </c>
      <c r="AI416" s="245" t="str">
        <f>IF(ISNUMBER(SEARCH("R", 'WetLitterbags placem_collection'!$Y123)),"YES","NO")</f>
        <v>YES</v>
      </c>
      <c r="AJ416" s="245" t="str">
        <f>IF(ISNUMBER(SEARCH("C", 'WetLitterbags placem_collection'!$W123)),"YES","NO")</f>
        <v>YES</v>
      </c>
      <c r="AK416" s="245" t="str">
        <f>IF(ISNUMBER(SEARCH("H", 'WetLitterbags placem_collection'!$W123)),"YES","NO")</f>
        <v>NO</v>
      </c>
      <c r="AL416" s="245" t="str">
        <f>IF(ISNUMBER(SEARCH("R", 'WetLitterbags placem_collection'!$W123)),"YES","NO")</f>
        <v>YES</v>
      </c>
    </row>
    <row r="417" spans="2:38">
      <c r="B417" t="str">
        <f>Wetseason!B563</f>
        <v>Wet</v>
      </c>
      <c r="C417" s="253">
        <f>Wetseason!C563</f>
        <v>122</v>
      </c>
      <c r="D417" t="s">
        <v>3120</v>
      </c>
      <c r="E417" t="s">
        <v>25</v>
      </c>
      <c r="F417" s="374">
        <v>2</v>
      </c>
      <c r="G417" s="16">
        <f>'WetLitterbags placem_collection'!E124</f>
        <v>42762</v>
      </c>
      <c r="H417" s="92" t="str">
        <f>Wetseason!L563</f>
        <v>G839</v>
      </c>
      <c r="I417" t="str">
        <f>Wetseason!L783</f>
        <v>R429</v>
      </c>
      <c r="J417">
        <f>IFERROR(INDEX('Green_rooibos initial weight'!$C$5:$C$2000,MATCH(H417, 'Green_rooibos initial weight'!$A$5:$A$2000,0)),"")</f>
        <v>2.0230000000000001</v>
      </c>
      <c r="K417">
        <f>IFERROR(INDEX('Green_rooibos initial weight'!$C$5:$C$2000,MATCH(I417, 'Green_rooibos initial weight'!$A$5:$A$2000,0)),"")</f>
        <v>2.21</v>
      </c>
      <c r="L417" s="194">
        <f t="shared" si="71"/>
        <v>1.7732000000000001</v>
      </c>
      <c r="M417" s="194">
        <f>AVERAGE(Ashed_controlls!$K$2:$K$11)</f>
        <v>5.5147656768714146</v>
      </c>
      <c r="N417" s="194">
        <f t="shared" si="68"/>
        <v>1.6754121750177162</v>
      </c>
      <c r="O417" s="194">
        <f t="shared" si="72"/>
        <v>1.9601999999999999</v>
      </c>
      <c r="P417" s="194">
        <f>AVERAGE(Ashed_controlls!$K$12:$K$14)</f>
        <v>2.2816647271287041</v>
      </c>
      <c r="Q417" s="194">
        <f t="shared" si="73"/>
        <v>1.9154748080188231</v>
      </c>
      <c r="R417" s="16">
        <f>IF('WetLitterbags placem_collection'!G124="","",'WetLitterbags placem_collection'!G124)</f>
        <v>42816</v>
      </c>
      <c r="S417" s="194">
        <f>IFERROR(INDEX('Both teabags AfterWet'!$C$3:$C$2000,MATCH(H417,'Both teabags AfterWet'!$A$3:$A$2000,0)),"")</f>
        <v>0.64200000000000002</v>
      </c>
      <c r="T417" s="194">
        <f>IFERROR(INDEX('Both teabags AfterWet'!$C$3:$C$2000,MATCH(I417,'Both teabags AfterWet'!$A$3:$A$2000,0)),"")</f>
        <v>1.2190000000000001</v>
      </c>
      <c r="U417" s="194">
        <f t="shared" si="74"/>
        <v>0.4914</v>
      </c>
      <c r="V417" s="194">
        <f t="shared" si="75"/>
        <v>1.0684</v>
      </c>
      <c r="W417" s="194">
        <f>IFERROR(INDEX('Ashed teabags wet'!$K$2:$K$2000,MATCH(H417,'Ashed teabags wet'!$A$2:$A$2000,0)),"")</f>
        <v>16.267465069859526</v>
      </c>
      <c r="X417" s="233">
        <f>IFERROR(INDEX('Ashed teabags wet'!$K$2:$K$2000,MATCH(I417,'Ashed teabags wet'!$A$2:$A$2000,0)),"")</f>
        <v>8.6138613861387903</v>
      </c>
      <c r="Y417" s="194">
        <f t="shared" si="80"/>
        <v>0.41146167664671029</v>
      </c>
      <c r="Z417" s="194">
        <f t="shared" si="80"/>
        <v>0.97636950495049313</v>
      </c>
      <c r="AA417" s="194">
        <f t="shared" si="76"/>
        <v>0.75441167088190741</v>
      </c>
      <c r="AB417" s="194">
        <f t="shared" si="77"/>
        <v>0.49457867259716498</v>
      </c>
      <c r="AC417" s="194">
        <f t="shared" si="69"/>
        <v>0.509727144864073</v>
      </c>
      <c r="AD417">
        <f t="shared" si="70"/>
        <v>54</v>
      </c>
      <c r="AE417" s="194">
        <f t="shared" si="78"/>
        <v>0.10402414384571568</v>
      </c>
      <c r="AF417" s="194">
        <f t="shared" si="79"/>
        <v>8.7847022728342009E-2</v>
      </c>
      <c r="AG417" s="245" t="str">
        <f>IF(ISNUMBER(SEARCH("C",'WetLitterbags placem_collection'!$Y124)),"YES","NO")</f>
        <v>NO</v>
      </c>
      <c r="AH417" s="245" t="str">
        <f>IF(ISNUMBER(SEARCH("H", 'WetLitterbags placem_collection'!$Y124)),"YES","NO")</f>
        <v>NO</v>
      </c>
      <c r="AI417" s="245" t="str">
        <f>IF(ISNUMBER(SEARCH("R", 'WetLitterbags placem_collection'!$Y124)),"YES","NO")</f>
        <v>YES</v>
      </c>
      <c r="AJ417" s="245" t="str">
        <f>IF(ISNUMBER(SEARCH("C", 'WetLitterbags placem_collection'!$W124)),"YES","NO")</f>
        <v>NO</v>
      </c>
      <c r="AK417" s="245" t="str">
        <f>IF(ISNUMBER(SEARCH("H", 'WetLitterbags placem_collection'!$W124)),"YES","NO")</f>
        <v>NO</v>
      </c>
      <c r="AL417" s="245" t="str">
        <f>IF(ISNUMBER(SEARCH("R", 'WetLitterbags placem_collection'!$W124)),"YES","NO")</f>
        <v>YES</v>
      </c>
    </row>
    <row r="418" spans="2:38">
      <c r="B418" t="str">
        <f>Wetseason!B564</f>
        <v>Wet</v>
      </c>
      <c r="C418" s="253">
        <f>Wetseason!C564</f>
        <v>123</v>
      </c>
      <c r="D418" t="s">
        <v>3120</v>
      </c>
      <c r="E418" t="s">
        <v>25</v>
      </c>
      <c r="F418" s="374">
        <v>3</v>
      </c>
      <c r="G418" s="16">
        <f>'WetLitterbags placem_collection'!E125</f>
        <v>42762</v>
      </c>
      <c r="H418" s="92" t="str">
        <f>Wetseason!L564</f>
        <v>G895</v>
      </c>
      <c r="I418" t="str">
        <f>Wetseason!L784</f>
        <v>R466</v>
      </c>
      <c r="J418">
        <f>IFERROR(INDEX('Green_rooibos initial weight'!$C$5:$C$2000,MATCH(H418, 'Green_rooibos initial weight'!$A$5:$A$2000,0)),"")</f>
        <v>1.9259999999999999</v>
      </c>
      <c r="K418">
        <f>IFERROR(INDEX('Green_rooibos initial weight'!$C$5:$C$2000,MATCH(I418, 'Green_rooibos initial weight'!$A$5:$A$2000,0)),"")</f>
        <v>2.2269999999999999</v>
      </c>
      <c r="L418" s="194">
        <f t="shared" si="71"/>
        <v>1.6761999999999999</v>
      </c>
      <c r="M418" s="194">
        <f>AVERAGE(Ashed_controlls!$K$2:$K$11)</f>
        <v>5.5147656768714146</v>
      </c>
      <c r="N418" s="194">
        <f t="shared" si="68"/>
        <v>1.5837614977242813</v>
      </c>
      <c r="O418" s="194">
        <f t="shared" si="72"/>
        <v>1.9771999999999998</v>
      </c>
      <c r="P418" s="194">
        <f>AVERAGE(Ashed_controlls!$K$12:$K$14)</f>
        <v>2.2816647271287041</v>
      </c>
      <c r="Q418" s="194">
        <f t="shared" si="73"/>
        <v>1.9320869250152111</v>
      </c>
      <c r="R418" s="16">
        <f>IF('WetLitterbags placem_collection'!G125="","",'WetLitterbags placem_collection'!G125)</f>
        <v>42816</v>
      </c>
      <c r="S418" s="194">
        <f>IFERROR(INDEX('Both teabags AfterWet'!$C$3:$C$2000,MATCH(H418,'Both teabags AfterWet'!$A$3:$A$2000,0)),"")</f>
        <v>0.878</v>
      </c>
      <c r="T418" s="194">
        <f>IFERROR(INDEX('Both teabags AfterWet'!$C$3:$C$2000,MATCH(I418,'Both teabags AfterWet'!$A$3:$A$2000,0)),"")</f>
        <v>1.5760000000000001</v>
      </c>
      <c r="U418" s="194">
        <f t="shared" si="74"/>
        <v>0.72740000000000005</v>
      </c>
      <c r="V418" s="194">
        <f t="shared" si="75"/>
        <v>1.4254</v>
      </c>
      <c r="W418" s="194">
        <f>IFERROR(INDEX('Ashed teabags wet'!$K$2:$K$2000,MATCH(H418,'Ashed teabags wet'!$A$2:$A$2000,0)),"")</f>
        <v>13.555233960443902</v>
      </c>
      <c r="X418" s="233">
        <f>IFERROR(INDEX('Ashed teabags wet'!$K$2:$K$2000,MATCH(I418,'Ashed teabags wet'!$A$2:$A$2000,0)),"")</f>
        <v>3.9460539460533175</v>
      </c>
      <c r="Y418" s="194">
        <f t="shared" si="80"/>
        <v>0.62879922817173106</v>
      </c>
      <c r="Z418" s="194">
        <f t="shared" si="80"/>
        <v>1.369152947052956</v>
      </c>
      <c r="AA418" s="194">
        <f t="shared" si="76"/>
        <v>0.60297100979203155</v>
      </c>
      <c r="AB418" s="194">
        <f t="shared" si="77"/>
        <v>0.39529690903230574</v>
      </c>
      <c r="AC418" s="194">
        <f t="shared" si="69"/>
        <v>0.7086394143690905</v>
      </c>
      <c r="AD418">
        <f t="shared" si="70"/>
        <v>54</v>
      </c>
      <c r="AE418" s="194">
        <f t="shared" si="78"/>
        <v>0.28388241117335922</v>
      </c>
      <c r="AF418" s="194">
        <f t="shared" si="79"/>
        <v>2.473812433959597E-2</v>
      </c>
      <c r="AG418" s="245" t="str">
        <f>IF(ISNUMBER(SEARCH("C",'WetLitterbags placem_collection'!$Y125)),"YES","NO")</f>
        <v>NO</v>
      </c>
      <c r="AH418" s="245" t="str">
        <f>IF(ISNUMBER(SEARCH("H", 'WetLitterbags placem_collection'!$Y125)),"YES","NO")</f>
        <v>NO</v>
      </c>
      <c r="AI418" s="245" t="str">
        <f>IF(ISNUMBER(SEARCH("R", 'WetLitterbags placem_collection'!$Y125)),"YES","NO")</f>
        <v>NO</v>
      </c>
      <c r="AJ418" s="245" t="str">
        <f>IF(ISNUMBER(SEARCH("C", 'WetLitterbags placem_collection'!$W125)),"YES","NO")</f>
        <v>YES</v>
      </c>
      <c r="AK418" s="245" t="str">
        <f>IF(ISNUMBER(SEARCH("H", 'WetLitterbags placem_collection'!$W125)),"YES","NO")</f>
        <v>YES</v>
      </c>
      <c r="AL418" s="245" t="str">
        <f>IF(ISNUMBER(SEARCH("R", 'WetLitterbags placem_collection'!$W125)),"YES","NO")</f>
        <v>NO</v>
      </c>
    </row>
    <row r="419" spans="2:38">
      <c r="B419" t="str">
        <f>Wetseason!B565</f>
        <v>Wet</v>
      </c>
      <c r="C419" s="253">
        <f>Wetseason!C565</f>
        <v>124</v>
      </c>
      <c r="D419" t="s">
        <v>3120</v>
      </c>
      <c r="E419" t="s">
        <v>25</v>
      </c>
      <c r="F419" s="375">
        <v>4</v>
      </c>
      <c r="G419" s="16">
        <f>'WetLitterbags placem_collection'!E126</f>
        <v>42762</v>
      </c>
      <c r="H419" s="92" t="str">
        <f>Wetseason!L565</f>
        <v>G682</v>
      </c>
      <c r="I419" t="str">
        <f>Wetseason!L785</f>
        <v>R471</v>
      </c>
      <c r="J419">
        <f>IFERROR(INDEX('Green_rooibos initial weight'!$C$5:$C$2000,MATCH(H419, 'Green_rooibos initial weight'!$A$5:$A$2000,0)),"")</f>
        <v>2.0230000000000001</v>
      </c>
      <c r="K419">
        <f>IFERROR(INDEX('Green_rooibos initial weight'!$C$5:$C$2000,MATCH(I419, 'Green_rooibos initial weight'!$A$5:$A$2000,0)),"")</f>
        <v>2.238</v>
      </c>
      <c r="L419" s="194">
        <f t="shared" si="71"/>
        <v>1.7732000000000001</v>
      </c>
      <c r="M419" s="194">
        <f>AVERAGE(Ashed_controlls!$K$2:$K$11)</f>
        <v>5.5147656768714146</v>
      </c>
      <c r="N419" s="194">
        <f t="shared" si="68"/>
        <v>1.6754121750177162</v>
      </c>
      <c r="O419" s="194">
        <f t="shared" si="72"/>
        <v>1.9882</v>
      </c>
      <c r="P419" s="194">
        <f>AVERAGE(Ashed_controlls!$K$12:$K$14)</f>
        <v>2.2816647271287041</v>
      </c>
      <c r="Q419" s="194">
        <f t="shared" si="73"/>
        <v>1.942835941895227</v>
      </c>
      <c r="R419" s="16">
        <f>IF('WetLitterbags placem_collection'!G126="","",'WetLitterbags placem_collection'!G126)</f>
        <v>42816</v>
      </c>
      <c r="S419" s="194">
        <f>IFERROR(INDEX('Both teabags AfterWet'!$C$3:$C$2000,MATCH(H419,'Both teabags AfterWet'!$A$3:$A$2000,0)),"")</f>
        <v>0.61199999999999999</v>
      </c>
      <c r="T419" s="194">
        <f>IFERROR(INDEX('Both teabags AfterWet'!$C$3:$C$2000,MATCH(I419,'Both teabags AfterWet'!$A$3:$A$2000,0)),"")</f>
        <v>1.518</v>
      </c>
      <c r="U419" s="194">
        <f t="shared" si="74"/>
        <v>0.46139999999999998</v>
      </c>
      <c r="V419" s="194">
        <f t="shared" si="75"/>
        <v>1.3673999999999999</v>
      </c>
      <c r="W419" s="194">
        <f>IFERROR(INDEX('Ashed teabags wet'!$K$2:$K$2000,MATCH(H419,'Ashed teabags wet'!$A$2:$A$2000,0)),"")</f>
        <v>12.30079681274993</v>
      </c>
      <c r="X419" s="233">
        <f>IFERROR(INDEX('Ashed teabags wet'!$K$2:$K$2000,MATCH(I419,'Ashed teabags wet'!$A$2:$A$2000,0)),"")</f>
        <v>3.762376237623815</v>
      </c>
      <c r="Y419" s="194">
        <f t="shared" si="80"/>
        <v>0.40464412350597179</v>
      </c>
      <c r="Z419" s="194">
        <f t="shared" si="80"/>
        <v>1.3159532673267318</v>
      </c>
      <c r="AA419" s="194">
        <f t="shared" si="76"/>
        <v>0.75848085053954384</v>
      </c>
      <c r="AB419" s="194">
        <f t="shared" si="77"/>
        <v>0.4972463533228364</v>
      </c>
      <c r="AC419" s="194">
        <f t="shared" si="69"/>
        <v>0.67733627886409487</v>
      </c>
      <c r="AD419">
        <f t="shared" si="70"/>
        <v>54</v>
      </c>
      <c r="AE419" s="194">
        <f t="shared" si="78"/>
        <v>9.9191388907905131E-2</v>
      </c>
      <c r="AF419" s="194">
        <f t="shared" si="79"/>
        <v>1.9383100325378509E-2</v>
      </c>
      <c r="AG419" s="245" t="str">
        <f>IF(ISNUMBER(SEARCH("C",'WetLitterbags placem_collection'!$Y126)),"YES","NO")</f>
        <v>NO</v>
      </c>
      <c r="AH419" s="245" t="str">
        <f>IF(ISNUMBER(SEARCH("H", 'WetLitterbags placem_collection'!$Y126)),"YES","NO")</f>
        <v>NO</v>
      </c>
      <c r="AI419" s="245" t="str">
        <f>IF(ISNUMBER(SEARCH("R", 'WetLitterbags placem_collection'!$Y126)),"YES","NO")</f>
        <v>NO</v>
      </c>
      <c r="AJ419" s="245" t="str">
        <f>IF(ISNUMBER(SEARCH("C", 'WetLitterbags placem_collection'!$W126)),"YES","NO")</f>
        <v>NO</v>
      </c>
      <c r="AK419" s="245" t="str">
        <f>IF(ISNUMBER(SEARCH("H", 'WetLitterbags placem_collection'!$W126)),"YES","NO")</f>
        <v>NO</v>
      </c>
      <c r="AL419" s="245" t="str">
        <f>IF(ISNUMBER(SEARCH("R", 'WetLitterbags placem_collection'!$W126)),"YES","NO")</f>
        <v>YES</v>
      </c>
    </row>
    <row r="420" spans="2:38">
      <c r="B420" t="str">
        <f>Wetseason!B566</f>
        <v>Wet</v>
      </c>
      <c r="C420" s="253">
        <f>Wetseason!C566</f>
        <v>125</v>
      </c>
      <c r="D420" t="s">
        <v>3120</v>
      </c>
      <c r="E420" t="s">
        <v>25</v>
      </c>
      <c r="F420" s="375">
        <v>5</v>
      </c>
      <c r="G420" s="16">
        <f>'WetLitterbags placem_collection'!E127</f>
        <v>42762</v>
      </c>
      <c r="H420" s="92" t="str">
        <f>Wetseason!L566</f>
        <v>G740</v>
      </c>
      <c r="I420" t="str">
        <f>Wetseason!L786</f>
        <v>R486</v>
      </c>
      <c r="J420">
        <f>IFERROR(INDEX('Green_rooibos initial weight'!$C$5:$C$2000,MATCH(H420, 'Green_rooibos initial weight'!$A$5:$A$2000,0)),"")</f>
        <v>1.915</v>
      </c>
      <c r="K420">
        <f>IFERROR(INDEX('Green_rooibos initial weight'!$C$5:$C$2000,MATCH(I420, 'Green_rooibos initial weight'!$A$5:$A$2000,0)),"")</f>
        <v>2.218</v>
      </c>
      <c r="L420" s="194">
        <f t="shared" si="71"/>
        <v>1.6652</v>
      </c>
      <c r="M420" s="194">
        <f>AVERAGE(Ashed_controlls!$K$2:$K$11)</f>
        <v>5.5147656768714146</v>
      </c>
      <c r="N420" s="194">
        <f t="shared" si="68"/>
        <v>1.5733681219487372</v>
      </c>
      <c r="O420" s="194">
        <f t="shared" si="72"/>
        <v>1.9681999999999999</v>
      </c>
      <c r="P420" s="194">
        <f>AVERAGE(Ashed_controlls!$K$12:$K$14)</f>
        <v>2.2816647271287041</v>
      </c>
      <c r="Q420" s="194">
        <f t="shared" si="73"/>
        <v>1.9232922748406529</v>
      </c>
      <c r="R420" s="16">
        <f>IF('WetLitterbags placem_collection'!G127="","",'WetLitterbags placem_collection'!G127)</f>
        <v>42816</v>
      </c>
      <c r="S420" s="194">
        <f>IFERROR(INDEX('Both teabags AfterWet'!$C$3:$C$2000,MATCH(H420,'Both teabags AfterWet'!$A$3:$A$2000,0)),"")</f>
        <v>0.60099999999999998</v>
      </c>
      <c r="T420" s="194">
        <f>IFERROR(INDEX('Both teabags AfterWet'!$C$3:$C$2000,MATCH(I420,'Both teabags AfterWet'!$A$3:$A$2000,0)),"")</f>
        <v>1.389</v>
      </c>
      <c r="U420" s="194">
        <f t="shared" si="74"/>
        <v>0.45039999999999997</v>
      </c>
      <c r="V420" s="194">
        <f t="shared" si="75"/>
        <v>1.2383999999999999</v>
      </c>
      <c r="W420" s="194">
        <f>IFERROR(INDEX('Ashed teabags wet'!$K$2:$K$2000,MATCH(H420,'Ashed teabags wet'!$A$2:$A$2000,0)),"")</f>
        <v>14.222658165767069</v>
      </c>
      <c r="X420" s="233">
        <f>IFERROR(INDEX('Ashed teabags wet'!$K$2:$K$2000,MATCH(I420,'Ashed teabags wet'!$A$2:$A$2000,0)),"")</f>
        <v>4.2372881355932517</v>
      </c>
      <c r="Y420" s="194">
        <f t="shared" si="80"/>
        <v>0.38634114762138511</v>
      </c>
      <c r="Z420" s="194">
        <f t="shared" si="80"/>
        <v>1.185925423728813</v>
      </c>
      <c r="AA420" s="194">
        <f t="shared" si="76"/>
        <v>0.75444961529862953</v>
      </c>
      <c r="AB420" s="194">
        <f t="shared" si="77"/>
        <v>0.49460354827178571</v>
      </c>
      <c r="AC420" s="194">
        <f t="shared" si="69"/>
        <v>0.61661217030940785</v>
      </c>
      <c r="AD420">
        <f t="shared" si="70"/>
        <v>54</v>
      </c>
      <c r="AE420" s="194">
        <f t="shared" si="78"/>
        <v>0.1039790792177796</v>
      </c>
      <c r="AF420" s="194">
        <f t="shared" si="79"/>
        <v>2.7634903761300986E-2</v>
      </c>
      <c r="AG420" s="245" t="str">
        <f>IF(ISNUMBER(SEARCH("C",'WetLitterbags placem_collection'!$Y127)),"YES","NO")</f>
        <v>NO</v>
      </c>
      <c r="AH420" s="245" t="str">
        <f>IF(ISNUMBER(SEARCH("H", 'WetLitterbags placem_collection'!$Y127)),"YES","NO")</f>
        <v>NO</v>
      </c>
      <c r="AI420" s="245" t="str">
        <f>IF(ISNUMBER(SEARCH("R", 'WetLitterbags placem_collection'!$Y127)),"YES","NO")</f>
        <v>YES</v>
      </c>
      <c r="AJ420" s="245" t="str">
        <f>IF(ISNUMBER(SEARCH("C", 'WetLitterbags placem_collection'!$W127)),"YES","NO")</f>
        <v>NO</v>
      </c>
      <c r="AK420" s="245" t="str">
        <f>IF(ISNUMBER(SEARCH("H", 'WetLitterbags placem_collection'!$W127)),"YES","NO")</f>
        <v>YES</v>
      </c>
      <c r="AL420" s="245" t="str">
        <f>IF(ISNUMBER(SEARCH("R", 'WetLitterbags placem_collection'!$W127)),"YES","NO")</f>
        <v>YES</v>
      </c>
    </row>
    <row r="421" spans="2:38">
      <c r="B421" t="str">
        <f>Wetseason!B567</f>
        <v>Wet</v>
      </c>
      <c r="C421" s="253">
        <f>Wetseason!C567</f>
        <v>126</v>
      </c>
      <c r="D421" t="s">
        <v>3120</v>
      </c>
      <c r="E421" t="s">
        <v>25</v>
      </c>
      <c r="F421" s="375">
        <v>6</v>
      </c>
      <c r="G421" s="16">
        <f>'WetLitterbags placem_collection'!E128</f>
        <v>42762</v>
      </c>
      <c r="H421" s="92" t="str">
        <f>Wetseason!L567</f>
        <v>G841</v>
      </c>
      <c r="I421" t="str">
        <f>Wetseason!L787</f>
        <v>R55</v>
      </c>
      <c r="J421">
        <f>IFERROR(INDEX('Green_rooibos initial weight'!$C$5:$C$2000,MATCH(H421, 'Green_rooibos initial weight'!$A$5:$A$2000,0)),"")</f>
        <v>1.96</v>
      </c>
      <c r="K421">
        <f>IFERROR(INDEX('Green_rooibos initial weight'!$C$5:$C$2000,MATCH(I421, 'Green_rooibos initial weight'!$A$5:$A$2000,0)),"")</f>
        <v>2.2010000000000001</v>
      </c>
      <c r="L421" s="194">
        <f t="shared" si="71"/>
        <v>1.7101999999999999</v>
      </c>
      <c r="M421" s="194">
        <f>AVERAGE(Ashed_controlls!$K$2:$K$11)</f>
        <v>5.5147656768714146</v>
      </c>
      <c r="N421" s="194">
        <f t="shared" si="68"/>
        <v>1.615886477394145</v>
      </c>
      <c r="O421" s="194">
        <f t="shared" si="72"/>
        <v>1.9512</v>
      </c>
      <c r="P421" s="194">
        <f>AVERAGE(Ashed_controlls!$K$12:$K$14)</f>
        <v>2.2816647271287041</v>
      </c>
      <c r="Q421" s="194">
        <f t="shared" si="73"/>
        <v>1.9066801578442647</v>
      </c>
      <c r="R421" s="16">
        <f>IF('WetLitterbags placem_collection'!G128="","",'WetLitterbags placem_collection'!G128)</f>
        <v>42816</v>
      </c>
      <c r="S421" s="194">
        <f>IFERROR(INDEX('Both teabags AfterWet'!$C$3:$C$2000,MATCH(H421,'Both teabags AfterWet'!$A$3:$A$2000,0)),"")</f>
        <v>0.58499999999999996</v>
      </c>
      <c r="T421" s="194">
        <f>IFERROR(INDEX('Both teabags AfterWet'!$C$3:$C$2000,MATCH(I421,'Both teabags AfterWet'!$A$3:$A$2000,0)),"")</f>
        <v>1.4419999999999999</v>
      </c>
      <c r="U421" s="194">
        <f t="shared" si="74"/>
        <v>0.43439999999999995</v>
      </c>
      <c r="V421" s="194">
        <f t="shared" si="75"/>
        <v>1.2913999999999999</v>
      </c>
      <c r="W421" s="194">
        <f>IFERROR(INDEX('Ashed teabags wet'!$K$2:$K$2000,MATCH(H421,'Ashed teabags wet'!$A$2:$A$2000,0)),"")</f>
        <v>12.570260602963709</v>
      </c>
      <c r="X421" s="233">
        <f>IFERROR(INDEX('Ashed teabags wet'!$K$2:$K$2000,MATCH(I421,'Ashed teabags wet'!$A$2:$A$2000,0)),"")</f>
        <v>3.9111540318678832</v>
      </c>
      <c r="Y421" s="194">
        <f t="shared" si="80"/>
        <v>0.37979478794072563</v>
      </c>
      <c r="Z421" s="194">
        <f t="shared" si="80"/>
        <v>1.240891356832458</v>
      </c>
      <c r="AA421" s="194">
        <f t="shared" si="76"/>
        <v>0.76496196158952912</v>
      </c>
      <c r="AB421" s="194">
        <f t="shared" si="77"/>
        <v>0.50149525272852746</v>
      </c>
      <c r="AC421" s="194">
        <f t="shared" si="69"/>
        <v>0.65081254017739276</v>
      </c>
      <c r="AD421">
        <f t="shared" si="70"/>
        <v>54</v>
      </c>
      <c r="AE421" s="194">
        <f t="shared" si="78"/>
        <v>9.1494107375856171E-2</v>
      </c>
      <c r="AF421" s="194">
        <f t="shared" si="79"/>
        <v>2.2068346564674685E-2</v>
      </c>
      <c r="AG421" s="245" t="str">
        <f>IF(ISNUMBER(SEARCH("C",'WetLitterbags placem_collection'!$Y128)),"YES","NO")</f>
        <v>NO</v>
      </c>
      <c r="AH421" s="245" t="str">
        <f>IF(ISNUMBER(SEARCH("H", 'WetLitterbags placem_collection'!$Y128)),"YES","NO")</f>
        <v>NO</v>
      </c>
      <c r="AI421" s="245" t="str">
        <f>IF(ISNUMBER(SEARCH("R", 'WetLitterbags placem_collection'!$Y128)),"YES","NO")</f>
        <v>YES</v>
      </c>
      <c r="AJ421" s="245" t="str">
        <f>IF(ISNUMBER(SEARCH("C", 'WetLitterbags placem_collection'!$W128)),"YES","NO")</f>
        <v>NO</v>
      </c>
      <c r="AK421" s="245" t="str">
        <f>IF(ISNUMBER(SEARCH("H", 'WetLitterbags placem_collection'!$W128)),"YES","NO")</f>
        <v>NO</v>
      </c>
      <c r="AL421" s="245" t="str">
        <f>IF(ISNUMBER(SEARCH("R", 'WetLitterbags placem_collection'!$W128)),"YES","NO")</f>
        <v>NO</v>
      </c>
    </row>
    <row r="422" spans="2:38">
      <c r="B422" t="str">
        <f>Wetseason!B568</f>
        <v>Wet</v>
      </c>
      <c r="C422" s="253">
        <f>Wetseason!C568</f>
        <v>127</v>
      </c>
      <c r="D422" t="s">
        <v>3120</v>
      </c>
      <c r="E422" t="s">
        <v>25</v>
      </c>
      <c r="F422" s="375">
        <v>7</v>
      </c>
      <c r="G422" s="16">
        <f>'WetLitterbags placem_collection'!E129</f>
        <v>42762</v>
      </c>
      <c r="H422" s="92" t="str">
        <f>Wetseason!L568</f>
        <v>G687</v>
      </c>
      <c r="I422" t="str">
        <f>Wetseason!L788</f>
        <v>R424</v>
      </c>
      <c r="J422">
        <f>IFERROR(INDEX('Green_rooibos initial weight'!$C$5:$C$2000,MATCH(H422, 'Green_rooibos initial weight'!$A$5:$A$2000,0)),"")</f>
        <v>2.0649999999999999</v>
      </c>
      <c r="K422">
        <f>IFERROR(INDEX('Green_rooibos initial weight'!$C$5:$C$2000,MATCH(I422, 'Green_rooibos initial weight'!$A$5:$A$2000,0)),"")</f>
        <v>2.214</v>
      </c>
      <c r="L422" s="194">
        <f t="shared" si="71"/>
        <v>1.8151999999999999</v>
      </c>
      <c r="M422" s="194">
        <f>AVERAGE(Ashed_controlls!$K$2:$K$11)</f>
        <v>5.5147656768714146</v>
      </c>
      <c r="N422" s="194">
        <f t="shared" si="68"/>
        <v>1.7150959734334301</v>
      </c>
      <c r="O422" s="194">
        <f t="shared" si="72"/>
        <v>1.9641999999999999</v>
      </c>
      <c r="P422" s="194">
        <f>AVERAGE(Ashed_controlls!$K$12:$K$14)</f>
        <v>2.2816647271287041</v>
      </c>
      <c r="Q422" s="194">
        <f t="shared" si="73"/>
        <v>1.919383541429738</v>
      </c>
      <c r="R422" s="16">
        <f>IF('WetLitterbags placem_collection'!G129="","",'WetLitterbags placem_collection'!G129)</f>
        <v>42816</v>
      </c>
      <c r="S422" s="194">
        <f>IFERROR(INDEX('Both teabags AfterWet'!$C$3:$C$2000,MATCH(H422,'Both teabags AfterWet'!$A$3:$A$2000,0)),"")</f>
        <v>0.57699999999999996</v>
      </c>
      <c r="T422" s="194">
        <f>IFERROR(INDEX('Both teabags AfterWet'!$C$3:$C$2000,MATCH(I422,'Both teabags AfterWet'!$A$3:$A$2000,0)),"")</f>
        <v>1.552</v>
      </c>
      <c r="U422" s="194">
        <f t="shared" si="74"/>
        <v>0.42639999999999995</v>
      </c>
      <c r="V422" s="194">
        <f t="shared" si="75"/>
        <v>1.4014</v>
      </c>
      <c r="W422" s="194">
        <f>IFERROR(INDEX('Ashed teabags wet'!$K$2:$K$2000,MATCH(H422,'Ashed teabags wet'!$A$2:$A$2000,0)),"")</f>
        <v>17.513566847558284</v>
      </c>
      <c r="X422" s="233">
        <f>IFERROR(INDEX('Ashed teabags wet'!$K$2:$K$2000,MATCH(I422,'Ashed teabags wet'!$A$2:$A$2000,0)),"")</f>
        <v>7.3429951690818136</v>
      </c>
      <c r="Y422" s="194">
        <f t="shared" si="80"/>
        <v>0.35172215096201143</v>
      </c>
      <c r="Z422" s="194">
        <f t="shared" si="80"/>
        <v>1.2984952657004873</v>
      </c>
      <c r="AA422" s="194">
        <f t="shared" si="76"/>
        <v>0.79492567389222946</v>
      </c>
      <c r="AB422" s="194">
        <f t="shared" si="77"/>
        <v>0.52113892160155662</v>
      </c>
      <c r="AC422" s="194">
        <f t="shared" si="69"/>
        <v>0.67651682827979531</v>
      </c>
      <c r="AD422">
        <f t="shared" si="70"/>
        <v>54</v>
      </c>
      <c r="AE422" s="194">
        <f t="shared" si="78"/>
        <v>5.5907750721817751E-2</v>
      </c>
      <c r="AF422" s="194">
        <f t="shared" si="79"/>
        <v>1.7953514255754543E-2</v>
      </c>
      <c r="AG422" s="245" t="str">
        <f>IF(ISNUMBER(SEARCH("C",'WetLitterbags placem_collection'!$Y129)),"YES","NO")</f>
        <v>NO</v>
      </c>
      <c r="AH422" s="245" t="str">
        <f>IF(ISNUMBER(SEARCH("H", 'WetLitterbags placem_collection'!$Y129)),"YES","NO")</f>
        <v>NO</v>
      </c>
      <c r="AI422" s="245" t="str">
        <f>IF(ISNUMBER(SEARCH("R", 'WetLitterbags placem_collection'!$Y129)),"YES","NO")</f>
        <v>YES</v>
      </c>
      <c r="AJ422" s="245" t="str">
        <f>IF(ISNUMBER(SEARCH("C", 'WetLitterbags placem_collection'!$W129)),"YES","NO")</f>
        <v>NO</v>
      </c>
      <c r="AK422" s="245" t="str">
        <f>IF(ISNUMBER(SEARCH("H", 'WetLitterbags placem_collection'!$W129)),"YES","NO")</f>
        <v>NO</v>
      </c>
      <c r="AL422" s="245" t="str">
        <f>IF(ISNUMBER(SEARCH("R", 'WetLitterbags placem_collection'!$W129)),"YES","NO")</f>
        <v>NO</v>
      </c>
    </row>
    <row r="423" spans="2:38">
      <c r="B423" t="str">
        <f>Wetseason!B569</f>
        <v>Wet</v>
      </c>
      <c r="C423" s="253">
        <f>Wetseason!C569</f>
        <v>128</v>
      </c>
      <c r="D423" t="s">
        <v>3120</v>
      </c>
      <c r="E423" t="s">
        <v>25</v>
      </c>
      <c r="F423" s="375">
        <v>8</v>
      </c>
      <c r="G423" s="16">
        <f>'WetLitterbags placem_collection'!E130</f>
        <v>42762</v>
      </c>
      <c r="H423" s="92" t="str">
        <f>Wetseason!L569</f>
        <v>G833</v>
      </c>
      <c r="I423" t="str">
        <f>Wetseason!L789</f>
        <v>R418</v>
      </c>
      <c r="J423">
        <f>IFERROR(INDEX('Green_rooibos initial weight'!$C$5:$C$2000,MATCH(H423, 'Green_rooibos initial weight'!$A$5:$A$2000,0)),"")</f>
        <v>1.964</v>
      </c>
      <c r="K423">
        <f>IFERROR(INDEX('Green_rooibos initial weight'!$C$5:$C$2000,MATCH(I423, 'Green_rooibos initial weight'!$A$5:$A$2000,0)),"")</f>
        <v>2.2029999999999998</v>
      </c>
      <c r="L423" s="194">
        <f t="shared" si="71"/>
        <v>1.7141999999999999</v>
      </c>
      <c r="M423" s="194">
        <f>AVERAGE(Ashed_controlls!$K$2:$K$11)</f>
        <v>5.5147656768714146</v>
      </c>
      <c r="N423" s="194">
        <f t="shared" si="68"/>
        <v>1.6196658867670701</v>
      </c>
      <c r="O423" s="194">
        <f t="shared" si="72"/>
        <v>1.9531999999999998</v>
      </c>
      <c r="P423" s="194">
        <f>AVERAGE(Ashed_controlls!$K$12:$K$14)</f>
        <v>2.2816647271287041</v>
      </c>
      <c r="Q423" s="194">
        <f t="shared" si="73"/>
        <v>1.908634524549722</v>
      </c>
      <c r="R423" s="16">
        <f>IF('WetLitterbags placem_collection'!G130="","",'WetLitterbags placem_collection'!G130)</f>
        <v>42816</v>
      </c>
      <c r="S423" s="194">
        <f>IFERROR(INDEX('Both teabags AfterWet'!$C$3:$C$2000,MATCH(H423,'Both teabags AfterWet'!$A$3:$A$2000,0)),"")</f>
        <v>0.57199999999999995</v>
      </c>
      <c r="T423" s="194">
        <f>IFERROR(INDEX('Both teabags AfterWet'!$C$3:$C$2000,MATCH(I423,'Both teabags AfterWet'!$A$3:$A$2000,0)),"")</f>
        <v>1.4119999999999999</v>
      </c>
      <c r="U423" s="194">
        <f t="shared" si="74"/>
        <v>0.42139999999999994</v>
      </c>
      <c r="V423" s="194">
        <f t="shared" si="75"/>
        <v>1.2613999999999999</v>
      </c>
      <c r="W423" s="194">
        <f>IFERROR(INDEX('Ashed teabags wet'!$K$2:$K$2000,MATCH(H423,'Ashed teabags wet'!$A$2:$A$2000,0)),"")</f>
        <v>10.010111223457624</v>
      </c>
      <c r="X423" s="233">
        <f>IFERROR(INDEX('Ashed teabags wet'!$K$2:$K$2000,MATCH(I423,'Ashed teabags wet'!$A$2:$A$2000,0)),"")</f>
        <v>4.4282238442810895</v>
      </c>
      <c r="Y423" s="194">
        <f t="shared" si="80"/>
        <v>0.3792173913043495</v>
      </c>
      <c r="Z423" s="194">
        <f t="shared" si="80"/>
        <v>1.2055423844282382</v>
      </c>
      <c r="AA423" s="194">
        <f t="shared" si="76"/>
        <v>0.76586690230212517</v>
      </c>
      <c r="AB423" s="194">
        <f t="shared" si="77"/>
        <v>0.50208851552348355</v>
      </c>
      <c r="AC423" s="194">
        <f t="shared" si="69"/>
        <v>0.63162557782645434</v>
      </c>
      <c r="AD423">
        <f t="shared" si="70"/>
        <v>54</v>
      </c>
      <c r="AE423" s="194">
        <f t="shared" si="78"/>
        <v>9.041935593571826E-2</v>
      </c>
      <c r="AF423" s="194">
        <f t="shared" si="79"/>
        <v>2.4501343353577388E-2</v>
      </c>
      <c r="AG423" s="245" t="str">
        <f>IF(ISNUMBER(SEARCH("C",'WetLitterbags placem_collection'!$Y130)),"YES","NO")</f>
        <v>NO</v>
      </c>
      <c r="AH423" s="245" t="str">
        <f>IF(ISNUMBER(SEARCH("H", 'WetLitterbags placem_collection'!$Y130)),"YES","NO")</f>
        <v>NO</v>
      </c>
      <c r="AI423" s="245" t="str">
        <f>IF(ISNUMBER(SEARCH("R", 'WetLitterbags placem_collection'!$Y130)),"YES","NO")</f>
        <v>YES</v>
      </c>
      <c r="AJ423" s="245" t="str">
        <f>IF(ISNUMBER(SEARCH("C", 'WetLitterbags placem_collection'!$W130)),"YES","NO")</f>
        <v>YES</v>
      </c>
      <c r="AK423" s="245" t="str">
        <f>IF(ISNUMBER(SEARCH("H", 'WetLitterbags placem_collection'!$W130)),"YES","NO")</f>
        <v>YES</v>
      </c>
      <c r="AL423" s="245" t="str">
        <f>IF(ISNUMBER(SEARCH("R", 'WetLitterbags placem_collection'!$W130)),"YES","NO")</f>
        <v>YES</v>
      </c>
    </row>
    <row r="424" spans="2:38">
      <c r="B424" t="str">
        <f>Wetseason!B570</f>
        <v>Wet</v>
      </c>
      <c r="C424" s="253">
        <f>Wetseason!C570</f>
        <v>129</v>
      </c>
      <c r="D424" t="s">
        <v>3121</v>
      </c>
      <c r="E424" t="s">
        <v>25</v>
      </c>
      <c r="F424" s="374">
        <v>1</v>
      </c>
      <c r="G424" s="16">
        <f>'WetLitterbags placem_collection'!E131</f>
        <v>42762</v>
      </c>
      <c r="H424" s="92" t="str">
        <f>Wetseason!L570</f>
        <v>G888</v>
      </c>
      <c r="I424" t="str">
        <f>Wetseason!L790</f>
        <v>R520</v>
      </c>
      <c r="J424">
        <f>IFERROR(INDEX('Green_rooibos initial weight'!$C$5:$C$2000,MATCH(H424, 'Green_rooibos initial weight'!$A$5:$A$2000,0)),"")</f>
        <v>2.089</v>
      </c>
      <c r="K424">
        <f>IFERROR(INDEX('Green_rooibos initial weight'!$C$5:$C$2000,MATCH(I424, 'Green_rooibos initial weight'!$A$5:$A$2000,0)),"")</f>
        <v>2.2210000000000001</v>
      </c>
      <c r="L424" s="194">
        <f t="shared" si="71"/>
        <v>1.8391999999999999</v>
      </c>
      <c r="M424" s="194">
        <f>AVERAGE(Ashed_controlls!$K$2:$K$11)</f>
        <v>5.5147656768714146</v>
      </c>
      <c r="N424" s="194">
        <f t="shared" si="68"/>
        <v>1.7377724296709809</v>
      </c>
      <c r="O424" s="194">
        <f t="shared" si="72"/>
        <v>1.9712000000000001</v>
      </c>
      <c r="P424" s="194">
        <f>AVERAGE(Ashed_controlls!$K$12:$K$14)</f>
        <v>2.2816647271287041</v>
      </c>
      <c r="Q424" s="194">
        <f t="shared" si="73"/>
        <v>1.926223824898839</v>
      </c>
      <c r="R424" s="16">
        <f>IF('WetLitterbags placem_collection'!G131="","",'WetLitterbags placem_collection'!G131)</f>
        <v>42816</v>
      </c>
      <c r="S424" s="194">
        <f>IFERROR(INDEX('Both teabags AfterWet'!$C$3:$C$2000,MATCH(H424,'Both teabags AfterWet'!$A$3:$A$2000,0)),"")</f>
        <v>0.59440000000000004</v>
      </c>
      <c r="T424" s="194">
        <f>IFERROR(INDEX('Both teabags AfterWet'!$C$3:$C$2000,MATCH(I424,'Both teabags AfterWet'!$A$3:$A$2000,0)),"")</f>
        <v>1.5878000000000001</v>
      </c>
      <c r="U424" s="194">
        <f t="shared" si="74"/>
        <v>0.44380000000000003</v>
      </c>
      <c r="V424" s="194">
        <f t="shared" si="75"/>
        <v>1.4372</v>
      </c>
      <c r="W424" s="194">
        <f>IFERROR(INDEX('Ashed teabags wet'!$K$2:$K$2000,MATCH(H424,'Ashed teabags wet'!$A$2:$A$2000,0)),"")</f>
        <v>15.186104218362484</v>
      </c>
      <c r="X424" s="233">
        <f>IFERROR(INDEX('Ashed teabags wet'!$K$2:$K$2000,MATCH(I424,'Ashed teabags wet'!$A$2:$A$2000,0)),"")</f>
        <v>5.5940594059407749</v>
      </c>
      <c r="Y424" s="194">
        <f t="shared" si="80"/>
        <v>0.37640406947890731</v>
      </c>
      <c r="Z424" s="194">
        <f t="shared" si="80"/>
        <v>1.3568021782178192</v>
      </c>
      <c r="AA424" s="194">
        <f t="shared" si="76"/>
        <v>0.78339852615214212</v>
      </c>
      <c r="AB424" s="194">
        <f t="shared" si="77"/>
        <v>0.51358193163418353</v>
      </c>
      <c r="AC424" s="194">
        <f t="shared" si="69"/>
        <v>0.70438448568617174</v>
      </c>
      <c r="AD424">
        <f t="shared" si="70"/>
        <v>54</v>
      </c>
      <c r="AE424" s="194">
        <f t="shared" si="78"/>
        <v>6.9597949938073445E-2</v>
      </c>
      <c r="AF424" s="194">
        <f t="shared" si="79"/>
        <v>1.5871640184885412E-2</v>
      </c>
      <c r="AG424" s="245" t="str">
        <f>IF(ISNUMBER(SEARCH("C",'WetLitterbags placem_collection'!$Y131)),"YES","NO")</f>
        <v>NO</v>
      </c>
      <c r="AH424" s="245" t="str">
        <f>IF(ISNUMBER(SEARCH("H", 'WetLitterbags placem_collection'!$Y131)),"YES","NO")</f>
        <v>NO</v>
      </c>
      <c r="AI424" s="245" t="str">
        <f>IF(ISNUMBER(SEARCH("R", 'WetLitterbags placem_collection'!$Y131)),"YES","NO")</f>
        <v>NO</v>
      </c>
      <c r="AJ424" s="245" t="str">
        <f>IF(ISNUMBER(SEARCH("C", 'WetLitterbags placem_collection'!$W131)),"YES","NO")</f>
        <v>NO</v>
      </c>
      <c r="AK424" s="245" t="str">
        <f>IF(ISNUMBER(SEARCH("H", 'WetLitterbags placem_collection'!$W131)),"YES","NO")</f>
        <v>YES</v>
      </c>
      <c r="AL424" s="245" t="str">
        <f>IF(ISNUMBER(SEARCH("R", 'WetLitterbags placem_collection'!$W131)),"YES","NO")</f>
        <v>NO</v>
      </c>
    </row>
    <row r="425" spans="2:38">
      <c r="B425" t="str">
        <f>Wetseason!B571</f>
        <v>Wet</v>
      </c>
      <c r="C425" s="253">
        <f>Wetseason!C571</f>
        <v>130</v>
      </c>
      <c r="D425" t="s">
        <v>3121</v>
      </c>
      <c r="E425" t="s">
        <v>25</v>
      </c>
      <c r="F425" s="374">
        <v>2</v>
      </c>
      <c r="G425" s="16">
        <f>'WetLitterbags placem_collection'!E132</f>
        <v>42762</v>
      </c>
      <c r="H425" s="92" t="str">
        <f>Wetseason!L571</f>
        <v>G708</v>
      </c>
      <c r="I425" t="str">
        <f>Wetseason!L791</f>
        <v>R433</v>
      </c>
      <c r="J425">
        <f>IFERROR(INDEX('Green_rooibos initial weight'!$C$5:$C$2000,MATCH(H425, 'Green_rooibos initial weight'!$A$5:$A$2000,0)),"")</f>
        <v>2.0030000000000001</v>
      </c>
      <c r="K425">
        <f>IFERROR(INDEX('Green_rooibos initial weight'!$C$5:$C$2000,MATCH(I425, 'Green_rooibos initial weight'!$A$5:$A$2000,0)),"")</f>
        <v>2.0750000000000002</v>
      </c>
      <c r="L425" s="194">
        <f t="shared" si="71"/>
        <v>1.7532000000000001</v>
      </c>
      <c r="M425" s="194">
        <f>AVERAGE(Ashed_controlls!$K$2:$K$11)</f>
        <v>5.5147656768714146</v>
      </c>
      <c r="N425" s="194">
        <f t="shared" si="68"/>
        <v>1.6565151281530905</v>
      </c>
      <c r="O425" s="194">
        <f t="shared" si="72"/>
        <v>1.8252000000000002</v>
      </c>
      <c r="P425" s="194">
        <f>AVERAGE(Ashed_controlls!$K$12:$K$14)</f>
        <v>2.2816647271287041</v>
      </c>
      <c r="Q425" s="194">
        <f t="shared" si="73"/>
        <v>1.7835550554004471</v>
      </c>
      <c r="R425" s="16">
        <f>IF('WetLitterbags placem_collection'!G132="","",'WetLitterbags placem_collection'!G132)</f>
        <v>42816</v>
      </c>
      <c r="S425" s="194">
        <f>IFERROR(INDEX('Both teabags AfterWet'!$C$3:$C$2000,MATCH(H425,'Both teabags AfterWet'!$A$3:$A$2000,0)),"")</f>
        <v>0.56599999999999995</v>
      </c>
      <c r="T425" s="194">
        <f>IFERROR(INDEX('Both teabags AfterWet'!$C$3:$C$2000,MATCH(I425,'Both teabags AfterWet'!$A$3:$A$2000,0)),"")</f>
        <v>1.5069999999999999</v>
      </c>
      <c r="U425" s="194">
        <f t="shared" si="74"/>
        <v>0.41539999999999994</v>
      </c>
      <c r="V425" s="194">
        <f t="shared" si="75"/>
        <v>1.3563999999999998</v>
      </c>
      <c r="W425" s="194">
        <f>IFERROR(INDEX('Ashed teabags wet'!$K$2:$K$2000,MATCH(H425,'Ashed teabags wet'!$A$2:$A$2000,0)),"")</f>
        <v>17.737917289487331</v>
      </c>
      <c r="X425" s="233">
        <f>IFERROR(INDEX('Ashed teabags wet'!$K$2:$K$2000,MATCH(I425,'Ashed teabags wet'!$A$2:$A$2000,0)),"")</f>
        <v>5.1420176297748439</v>
      </c>
      <c r="Y425" s="194">
        <f t="shared" si="80"/>
        <v>0.3417166915794696</v>
      </c>
      <c r="Z425" s="194">
        <f t="shared" si="80"/>
        <v>1.2866536728697338</v>
      </c>
      <c r="AA425" s="194">
        <f t="shared" si="76"/>
        <v>0.79371350990288747</v>
      </c>
      <c r="AB425" s="194">
        <f t="shared" si="77"/>
        <v>0.52034424877243934</v>
      </c>
      <c r="AC425" s="194">
        <f t="shared" si="69"/>
        <v>0.72139834931019375</v>
      </c>
      <c r="AD425">
        <f t="shared" si="70"/>
        <v>54</v>
      </c>
      <c r="AE425" s="194">
        <f t="shared" si="78"/>
        <v>5.7347375412247659E-2</v>
      </c>
      <c r="AF425" s="194">
        <f t="shared" si="79"/>
        <v>1.4196612844629967E-2</v>
      </c>
      <c r="AG425" s="245" t="str">
        <f>IF(ISNUMBER(SEARCH("C",'WetLitterbags placem_collection'!$Y132)),"YES","NO")</f>
        <v>NO</v>
      </c>
      <c r="AH425" s="245" t="str">
        <f>IF(ISNUMBER(SEARCH("H", 'WetLitterbags placem_collection'!$Y132)),"YES","NO")</f>
        <v>NO</v>
      </c>
      <c r="AI425" s="245" t="str">
        <f>IF(ISNUMBER(SEARCH("R", 'WetLitterbags placem_collection'!$Y132)),"YES","NO")</f>
        <v>NO</v>
      </c>
      <c r="AJ425" s="245" t="str">
        <f>IF(ISNUMBER(SEARCH("C", 'WetLitterbags placem_collection'!$W132)),"YES","NO")</f>
        <v>NO</v>
      </c>
      <c r="AK425" s="245" t="str">
        <f>IF(ISNUMBER(SEARCH("H", 'WetLitterbags placem_collection'!$W132)),"YES","NO")</f>
        <v>NO</v>
      </c>
      <c r="AL425" s="245" t="str">
        <f>IF(ISNUMBER(SEARCH("R", 'WetLitterbags placem_collection'!$W132)),"YES","NO")</f>
        <v>NO</v>
      </c>
    </row>
    <row r="426" spans="2:38">
      <c r="B426" t="str">
        <f>Wetseason!B572</f>
        <v>Wet</v>
      </c>
      <c r="C426" s="253">
        <f>Wetseason!C572</f>
        <v>131</v>
      </c>
      <c r="D426" t="s">
        <v>3121</v>
      </c>
      <c r="E426" t="s">
        <v>25</v>
      </c>
      <c r="F426" s="374">
        <v>3</v>
      </c>
      <c r="G426" s="16">
        <f>'WetLitterbags placem_collection'!E133</f>
        <v>42762</v>
      </c>
      <c r="H426" s="92" t="str">
        <f>Wetseason!L572</f>
        <v>G768</v>
      </c>
      <c r="I426" t="str">
        <f>Wetseason!L792</f>
        <v>R592</v>
      </c>
      <c r="J426">
        <f>IFERROR(INDEX('Green_rooibos initial weight'!$C$5:$C$2000,MATCH(H426, 'Green_rooibos initial weight'!$A$5:$A$2000,0)),"")</f>
        <v>2.0089999999999999</v>
      </c>
      <c r="K426">
        <f>IFERROR(INDEX('Green_rooibos initial weight'!$C$5:$C$2000,MATCH(I426, 'Green_rooibos initial weight'!$A$5:$A$2000,0)),"")</f>
        <v>2.2549999999999999</v>
      </c>
      <c r="L426" s="194">
        <f t="shared" si="71"/>
        <v>1.7591999999999999</v>
      </c>
      <c r="M426" s="194">
        <f>AVERAGE(Ashed_controlls!$K$2:$K$11)</f>
        <v>5.5147656768714146</v>
      </c>
      <c r="N426" s="194">
        <f t="shared" si="68"/>
        <v>1.662184242212478</v>
      </c>
      <c r="O426" s="194">
        <f t="shared" si="72"/>
        <v>2.0051999999999999</v>
      </c>
      <c r="P426" s="194">
        <f>AVERAGE(Ashed_controlls!$K$12:$K$14)</f>
        <v>2.2816647271287041</v>
      </c>
      <c r="Q426" s="194">
        <f t="shared" si="73"/>
        <v>1.959448058891615</v>
      </c>
      <c r="R426" s="16">
        <f>IF('WetLitterbags placem_collection'!G133="","",'WetLitterbags placem_collection'!G133)</f>
        <v>42816</v>
      </c>
      <c r="S426" s="194">
        <f>IFERROR(INDEX('Both teabags AfterWet'!$C$3:$C$2000,MATCH(H426,'Both teabags AfterWet'!$A$3:$A$2000,0)),"")</f>
        <v>0.62819999999999998</v>
      </c>
      <c r="T426" s="194">
        <f>IFERROR(INDEX('Both teabags AfterWet'!$C$3:$C$2000,MATCH(I426,'Both teabags AfterWet'!$A$3:$A$2000,0)),"")</f>
        <v>1.6073999999999999</v>
      </c>
      <c r="U426" s="194">
        <f t="shared" si="74"/>
        <v>0.47759999999999997</v>
      </c>
      <c r="V426" s="194">
        <f t="shared" si="75"/>
        <v>1.4567999999999999</v>
      </c>
      <c r="W426" s="194">
        <f>IFERROR(INDEX('Ashed teabags wet'!$K$2:$K$2000,MATCH(H426,'Ashed teabags wet'!$A$2:$A$2000,0)),"")</f>
        <v>13.671875000000405</v>
      </c>
      <c r="X426" s="233">
        <f>IFERROR(INDEX('Ashed teabags wet'!$K$2:$K$2000,MATCH(I426,'Ashed teabags wet'!$A$2:$A$2000,0)),"")</f>
        <v>3.7601142313182434</v>
      </c>
      <c r="Y426" s="194">
        <f t="shared" si="80"/>
        <v>0.41230312499999805</v>
      </c>
      <c r="Z426" s="194">
        <f t="shared" si="80"/>
        <v>1.4020226558781557</v>
      </c>
      <c r="AA426" s="194">
        <f t="shared" si="76"/>
        <v>0.75195100848074747</v>
      </c>
      <c r="AB426" s="194">
        <f t="shared" si="77"/>
        <v>0.49296550674747347</v>
      </c>
      <c r="AC426" s="194">
        <f t="shared" si="69"/>
        <v>0.71551917363465423</v>
      </c>
      <c r="AD426">
        <f t="shared" si="70"/>
        <v>54</v>
      </c>
      <c r="AE426" s="194">
        <f t="shared" si="78"/>
        <v>0.10694654574733076</v>
      </c>
      <c r="AF426" s="194">
        <f t="shared" si="79"/>
        <v>1.5936548933547387E-2</v>
      </c>
      <c r="AG426" s="245" t="str">
        <f>IF(ISNUMBER(SEARCH("C",'WetLitterbags placem_collection'!$Y133)),"YES","NO")</f>
        <v>NO</v>
      </c>
      <c r="AH426" s="245" t="str">
        <f>IF(ISNUMBER(SEARCH("H", 'WetLitterbags placem_collection'!$Y133)),"YES","NO")</f>
        <v>NO</v>
      </c>
      <c r="AI426" s="245" t="str">
        <f>IF(ISNUMBER(SEARCH("R", 'WetLitterbags placem_collection'!$Y133)),"YES","NO")</f>
        <v>NO</v>
      </c>
      <c r="AJ426" s="245" t="str">
        <f>IF(ISNUMBER(SEARCH("C", 'WetLitterbags placem_collection'!$W133)),"YES","NO")</f>
        <v>YES</v>
      </c>
      <c r="AK426" s="245" t="str">
        <f>IF(ISNUMBER(SEARCH("H", 'WetLitterbags placem_collection'!$W133)),"YES","NO")</f>
        <v>YES</v>
      </c>
      <c r="AL426" s="245" t="str">
        <f>IF(ISNUMBER(SEARCH("R", 'WetLitterbags placem_collection'!$W133)),"YES","NO")</f>
        <v>NO</v>
      </c>
    </row>
    <row r="427" spans="2:38">
      <c r="B427" t="str">
        <f>Wetseason!B573</f>
        <v>Wet</v>
      </c>
      <c r="C427" s="253">
        <f>Wetseason!C573</f>
        <v>132</v>
      </c>
      <c r="D427" t="s">
        <v>3121</v>
      </c>
      <c r="E427" t="s">
        <v>25</v>
      </c>
      <c r="F427" s="375">
        <v>4</v>
      </c>
      <c r="G427" s="16">
        <f>'WetLitterbags placem_collection'!E134</f>
        <v>42762</v>
      </c>
      <c r="H427" s="92" t="str">
        <f>Wetseason!L573</f>
        <v>G779</v>
      </c>
      <c r="I427" t="str">
        <f>Wetseason!L793</f>
        <v>R477</v>
      </c>
      <c r="J427">
        <f>IFERROR(INDEX('Green_rooibos initial weight'!$C$5:$C$2000,MATCH(H427, 'Green_rooibos initial weight'!$A$5:$A$2000,0)),"")</f>
        <v>2.0110000000000001</v>
      </c>
      <c r="K427">
        <f>IFERROR(INDEX('Green_rooibos initial weight'!$C$5:$C$2000,MATCH(I427, 'Green_rooibos initial weight'!$A$5:$A$2000,0)),"")</f>
        <v>2.169</v>
      </c>
      <c r="L427" s="194">
        <f t="shared" si="71"/>
        <v>1.7612000000000001</v>
      </c>
      <c r="M427" s="194">
        <f>AVERAGE(Ashed_controlls!$K$2:$K$11)</f>
        <v>5.5147656768714146</v>
      </c>
      <c r="N427" s="194">
        <f t="shared" si="68"/>
        <v>1.6640739468989407</v>
      </c>
      <c r="O427" s="194">
        <f t="shared" si="72"/>
        <v>1.9192</v>
      </c>
      <c r="P427" s="194">
        <f>AVERAGE(Ashed_controlls!$K$12:$K$14)</f>
        <v>2.2816647271287041</v>
      </c>
      <c r="Q427" s="194">
        <f t="shared" si="73"/>
        <v>1.8754102905569459</v>
      </c>
      <c r="R427" s="16">
        <f>IF('WetLitterbags placem_collection'!G134="","",'WetLitterbags placem_collection'!G134)</f>
        <v>42816</v>
      </c>
      <c r="S427" s="194">
        <f>IFERROR(INDEX('Both teabags AfterWet'!$C$3:$C$2000,MATCH(H427,'Both teabags AfterWet'!$A$3:$A$2000,0)),"")</f>
        <v>0.63490000000000002</v>
      </c>
      <c r="T427" s="194">
        <f>IFERROR(INDEX('Both teabags AfterWet'!$C$3:$C$2000,MATCH(I427,'Both teabags AfterWet'!$A$3:$A$2000,0)),"")</f>
        <v>1.573</v>
      </c>
      <c r="U427" s="194">
        <f t="shared" si="74"/>
        <v>0.48430000000000001</v>
      </c>
      <c r="V427" s="194">
        <f t="shared" si="75"/>
        <v>1.4223999999999999</v>
      </c>
      <c r="W427" s="194">
        <f>IFERROR(INDEX('Ashed teabags wet'!$K$2:$K$2000,MATCH(H427,'Ashed teabags wet'!$A$2:$A$2000,0)),"")</f>
        <v>13.853028798411678</v>
      </c>
      <c r="X427" s="233">
        <f>IFERROR(INDEX('Ashed teabags wet'!$K$2:$K$2000,MATCH(I427,'Ashed teabags wet'!$A$2:$A$2000,0)),"")</f>
        <v>4.5098039215686896</v>
      </c>
      <c r="Y427" s="194">
        <f t="shared" si="80"/>
        <v>0.41720978152929222</v>
      </c>
      <c r="Z427" s="194">
        <f t="shared" si="80"/>
        <v>1.3582525490196069</v>
      </c>
      <c r="AA427" s="194">
        <f t="shared" si="76"/>
        <v>0.74928410945512547</v>
      </c>
      <c r="AB427" s="194">
        <f t="shared" si="77"/>
        <v>0.49121713588982108</v>
      </c>
      <c r="AC427" s="194">
        <f t="shared" si="69"/>
        <v>0.72424287946945354</v>
      </c>
      <c r="AD427">
        <f t="shared" si="70"/>
        <v>54</v>
      </c>
      <c r="AE427" s="194">
        <f t="shared" si="78"/>
        <v>0.11011388425757063</v>
      </c>
      <c r="AF427" s="194">
        <f t="shared" si="79"/>
        <v>1.5261313208177897E-2</v>
      </c>
      <c r="AG427" s="245" t="str">
        <f>IF(ISNUMBER(SEARCH("C",'WetLitterbags placem_collection'!$Y134)),"YES","NO")</f>
        <v>NO</v>
      </c>
      <c r="AH427" s="245" t="str">
        <f>IF(ISNUMBER(SEARCH("H", 'WetLitterbags placem_collection'!$Y134)),"YES","NO")</f>
        <v>NO</v>
      </c>
      <c r="AI427" s="245" t="str">
        <f>IF(ISNUMBER(SEARCH("R", 'WetLitterbags placem_collection'!$Y134)),"YES","NO")</f>
        <v>NO</v>
      </c>
      <c r="AJ427" s="245" t="str">
        <f>IF(ISNUMBER(SEARCH("C", 'WetLitterbags placem_collection'!$W134)),"YES","NO")</f>
        <v>YES</v>
      </c>
      <c r="AK427" s="245" t="str">
        <f>IF(ISNUMBER(SEARCH("H", 'WetLitterbags placem_collection'!$W134)),"YES","NO")</f>
        <v>YES</v>
      </c>
      <c r="AL427" s="245" t="str">
        <f>IF(ISNUMBER(SEARCH("R", 'WetLitterbags placem_collection'!$W134)),"YES","NO")</f>
        <v>NO</v>
      </c>
    </row>
    <row r="428" spans="2:38">
      <c r="B428" t="str">
        <f>Wetseason!B574</f>
        <v>Wet</v>
      </c>
      <c r="C428" s="253">
        <f>Wetseason!C574</f>
        <v>133</v>
      </c>
      <c r="D428" t="s">
        <v>3121</v>
      </c>
      <c r="E428" t="s">
        <v>25</v>
      </c>
      <c r="F428" s="375">
        <v>5</v>
      </c>
      <c r="G428" s="16">
        <f>'WetLitterbags placem_collection'!E135</f>
        <v>42762</v>
      </c>
      <c r="H428" s="92" t="str">
        <f>Wetseason!L574</f>
        <v>G799</v>
      </c>
      <c r="I428" t="str">
        <f>Wetseason!L794</f>
        <v>R597</v>
      </c>
      <c r="J428">
        <f>IFERROR(INDEX('Green_rooibos initial weight'!$C$5:$C$2000,MATCH(H428, 'Green_rooibos initial weight'!$A$5:$A$2000,0)),"")</f>
        <v>2.093</v>
      </c>
      <c r="K428">
        <f>IFERROR(INDEX('Green_rooibos initial weight'!$C$5:$C$2000,MATCH(I428, 'Green_rooibos initial weight'!$A$5:$A$2000,0)),"")</f>
        <v>2.165</v>
      </c>
      <c r="L428" s="194">
        <f t="shared" si="71"/>
        <v>1.8431999999999999</v>
      </c>
      <c r="M428" s="194">
        <f>AVERAGE(Ashed_controlls!$K$2:$K$11)</f>
        <v>5.5147656768714146</v>
      </c>
      <c r="N428" s="194">
        <f t="shared" si="68"/>
        <v>1.741551839043906</v>
      </c>
      <c r="O428" s="194">
        <f t="shared" si="72"/>
        <v>1.9152</v>
      </c>
      <c r="P428" s="194">
        <f>AVERAGE(Ashed_controlls!$K$12:$K$14)</f>
        <v>2.2816647271287041</v>
      </c>
      <c r="Q428" s="194">
        <f t="shared" si="73"/>
        <v>1.8715015571460312</v>
      </c>
      <c r="R428" s="16">
        <f>IF('WetLitterbags placem_collection'!G135="","",'WetLitterbags placem_collection'!G135)</f>
        <v>42816</v>
      </c>
      <c r="S428" s="194">
        <f>IFERROR(INDEX('Both teabags AfterWet'!$C$3:$C$2000,MATCH(H428,'Both teabags AfterWet'!$A$3:$A$2000,0)),"")</f>
        <v>0.63380000000000003</v>
      </c>
      <c r="T428" s="194">
        <f>IFERROR(INDEX('Both teabags AfterWet'!$C$3:$C$2000,MATCH(I428,'Both teabags AfterWet'!$A$3:$A$2000,0)),"")</f>
        <v>1.5714999999999999</v>
      </c>
      <c r="U428" s="194">
        <f t="shared" si="74"/>
        <v>0.48320000000000002</v>
      </c>
      <c r="V428" s="194">
        <f t="shared" si="75"/>
        <v>1.4208999999999998</v>
      </c>
      <c r="W428" s="194">
        <f>IFERROR(INDEX('Ashed teabags wet'!$K$2:$K$2000,MATCH(H428,'Ashed teabags wet'!$A$2:$A$2000,0)),"")</f>
        <v>14.024691358025066</v>
      </c>
      <c r="X428" s="233">
        <f>IFERROR(INDEX('Ashed teabags wet'!$K$2:$K$2000,MATCH(I428,'Ashed teabags wet'!$A$2:$A$2000,0)),"")</f>
        <v>7.7152812344452117</v>
      </c>
      <c r="Y428" s="194">
        <f t="shared" si="80"/>
        <v>0.41543269135802291</v>
      </c>
      <c r="Z428" s="194">
        <f t="shared" si="80"/>
        <v>1.3112735689397679</v>
      </c>
      <c r="AA428" s="194">
        <f t="shared" si="76"/>
        <v>0.76145832581929274</v>
      </c>
      <c r="AB428" s="194">
        <f t="shared" si="77"/>
        <v>0.49919833236609223</v>
      </c>
      <c r="AC428" s="194">
        <f t="shared" si="69"/>
        <v>0.7006532075449674</v>
      </c>
      <c r="AD428">
        <f t="shared" si="70"/>
        <v>54</v>
      </c>
      <c r="AE428" s="194">
        <f t="shared" si="78"/>
        <v>9.5655194988963466E-2</v>
      </c>
      <c r="AF428" s="194">
        <f t="shared" si="79"/>
        <v>1.6952383073609193E-2</v>
      </c>
      <c r="AG428" s="245" t="str">
        <f>IF(ISNUMBER(SEARCH("C",'WetLitterbags placem_collection'!$Y135)),"YES","NO")</f>
        <v>NO</v>
      </c>
      <c r="AH428" s="245" t="str">
        <f>IF(ISNUMBER(SEARCH("H", 'WetLitterbags placem_collection'!$Y135)),"YES","NO")</f>
        <v>NO</v>
      </c>
      <c r="AI428" s="245" t="str">
        <f>IF(ISNUMBER(SEARCH("R", 'WetLitterbags placem_collection'!$Y135)),"YES","NO")</f>
        <v>NO</v>
      </c>
      <c r="AJ428" s="245" t="str">
        <f>IF(ISNUMBER(SEARCH("C", 'WetLitterbags placem_collection'!$W135)),"YES","NO")</f>
        <v>NO</v>
      </c>
      <c r="AK428" s="245" t="str">
        <f>IF(ISNUMBER(SEARCH("H", 'WetLitterbags placem_collection'!$W135)),"YES","NO")</f>
        <v>NO</v>
      </c>
      <c r="AL428" s="245" t="str">
        <f>IF(ISNUMBER(SEARCH("R", 'WetLitterbags placem_collection'!$W135)),"YES","NO")</f>
        <v>NO</v>
      </c>
    </row>
    <row r="429" spans="2:38">
      <c r="B429" t="str">
        <f>Wetseason!B575</f>
        <v>Wet</v>
      </c>
      <c r="C429" s="253">
        <f>Wetseason!C575</f>
        <v>134</v>
      </c>
      <c r="D429" t="s">
        <v>3121</v>
      </c>
      <c r="E429" t="s">
        <v>25</v>
      </c>
      <c r="F429" s="375">
        <v>6</v>
      </c>
      <c r="G429" s="16">
        <f>'WetLitterbags placem_collection'!E136</f>
        <v>42762</v>
      </c>
      <c r="H429" s="92" t="str">
        <f>Wetseason!L575</f>
        <v>G820</v>
      </c>
      <c r="I429" t="str">
        <f>Wetseason!L795</f>
        <v>R467</v>
      </c>
      <c r="J429">
        <f>IFERROR(INDEX('Green_rooibos initial weight'!$C$5:$C$2000,MATCH(H429, 'Green_rooibos initial weight'!$A$5:$A$2000,0)),"")</f>
        <v>1.927</v>
      </c>
      <c r="K429">
        <f>IFERROR(INDEX('Green_rooibos initial weight'!$C$5:$C$2000,MATCH(I429, 'Green_rooibos initial weight'!$A$5:$A$2000,0)),"")</f>
        <v>2.3140000000000001</v>
      </c>
      <c r="L429" s="194">
        <f t="shared" si="71"/>
        <v>1.6772</v>
      </c>
      <c r="M429" s="194">
        <f>AVERAGE(Ashed_controlls!$K$2:$K$11)</f>
        <v>5.5147656768714146</v>
      </c>
      <c r="N429" s="194">
        <f t="shared" si="68"/>
        <v>1.5847063500675127</v>
      </c>
      <c r="O429" s="194">
        <f t="shared" si="72"/>
        <v>2.0642</v>
      </c>
      <c r="P429" s="194">
        <f>AVERAGE(Ashed_controlls!$K$12:$K$14)</f>
        <v>2.2816647271287041</v>
      </c>
      <c r="Q429" s="194">
        <f t="shared" si="73"/>
        <v>2.0171018767026094</v>
      </c>
      <c r="R429" s="16">
        <f>IF('WetLitterbags placem_collection'!G136="","",'WetLitterbags placem_collection'!G136)</f>
        <v>42816</v>
      </c>
      <c r="S429" s="194">
        <f>IFERROR(INDEX('Both teabags AfterWet'!$C$3:$C$2000,MATCH(H429,'Both teabags AfterWet'!$A$3:$A$2000,0)),"")</f>
        <v>0.53400000000000003</v>
      </c>
      <c r="T429" s="194">
        <f>IFERROR(INDEX('Both teabags AfterWet'!$C$3:$C$2000,MATCH(I429,'Both teabags AfterWet'!$A$3:$A$2000,0)),"")</f>
        <v>1.591</v>
      </c>
      <c r="U429" s="194">
        <f t="shared" si="74"/>
        <v>0.38340000000000002</v>
      </c>
      <c r="V429" s="194">
        <f t="shared" si="75"/>
        <v>1.4403999999999999</v>
      </c>
      <c r="W429" s="194">
        <f>IFERROR(INDEX('Ashed teabags wet'!$K$2:$K$2000,MATCH(H429,'Ashed teabags wet'!$A$2:$A$2000,0)),"")</f>
        <v>12.606303151575968</v>
      </c>
      <c r="X429" s="233">
        <f>IFERROR(INDEX('Ashed teabags wet'!$K$2:$K$2000,MATCH(I429,'Ashed teabags wet'!$A$2:$A$2000,0)),"")</f>
        <v>3.4619188921860404</v>
      </c>
      <c r="Y429" s="194">
        <f t="shared" si="80"/>
        <v>0.33506743371685777</v>
      </c>
      <c r="Z429" s="194">
        <f t="shared" si="80"/>
        <v>1.3905345202769521</v>
      </c>
      <c r="AA429" s="194">
        <f t="shared" si="76"/>
        <v>0.78856181544133841</v>
      </c>
      <c r="AB429" s="194">
        <f t="shared" si="77"/>
        <v>0.51696689088315784</v>
      </c>
      <c r="AC429" s="194">
        <f t="shared" si="69"/>
        <v>0.68937247857311124</v>
      </c>
      <c r="AD429">
        <f t="shared" si="70"/>
        <v>54</v>
      </c>
      <c r="AE429" s="194">
        <f t="shared" si="78"/>
        <v>6.3465777385583788E-2</v>
      </c>
      <c r="AF429" s="194">
        <f t="shared" si="79"/>
        <v>1.7008455440619904E-2</v>
      </c>
      <c r="AG429" s="245" t="str">
        <f>IF(ISNUMBER(SEARCH("C",'WetLitterbags placem_collection'!$Y136)),"YES","NO")</f>
        <v>NO</v>
      </c>
      <c r="AH429" s="245" t="str">
        <f>IF(ISNUMBER(SEARCH("H", 'WetLitterbags placem_collection'!$Y136)),"YES","NO")</f>
        <v>NO</v>
      </c>
      <c r="AI429" s="245" t="str">
        <f>IF(ISNUMBER(SEARCH("R", 'WetLitterbags placem_collection'!$Y136)),"YES","NO")</f>
        <v>NO</v>
      </c>
      <c r="AJ429" s="245" t="str">
        <f>IF(ISNUMBER(SEARCH("C", 'WetLitterbags placem_collection'!$W136)),"YES","NO")</f>
        <v>NO</v>
      </c>
      <c r="AK429" s="245" t="str">
        <f>IF(ISNUMBER(SEARCH("H", 'WetLitterbags placem_collection'!$W136)),"YES","NO")</f>
        <v>NO</v>
      </c>
      <c r="AL429" s="245" t="str">
        <f>IF(ISNUMBER(SEARCH("R", 'WetLitterbags placem_collection'!$W136)),"YES","NO")</f>
        <v>NO</v>
      </c>
    </row>
    <row r="430" spans="2:38">
      <c r="B430" t="str">
        <f>Wetseason!B576</f>
        <v>Wet</v>
      </c>
      <c r="C430" s="253">
        <f>Wetseason!C576</f>
        <v>135</v>
      </c>
      <c r="D430" t="s">
        <v>3121</v>
      </c>
      <c r="E430" t="s">
        <v>25</v>
      </c>
      <c r="F430" s="375">
        <v>7</v>
      </c>
      <c r="G430" s="16">
        <f>'WetLitterbags placem_collection'!E137</f>
        <v>42762</v>
      </c>
      <c r="H430" s="92" t="str">
        <f>Wetseason!L576</f>
        <v>G842</v>
      </c>
      <c r="I430" t="str">
        <f>Wetseason!L796</f>
        <v>R596</v>
      </c>
      <c r="J430">
        <f>IFERROR(INDEX('Green_rooibos initial weight'!$C$5:$C$2000,MATCH(H430, 'Green_rooibos initial weight'!$A$5:$A$2000,0)),"")</f>
        <v>1.9670000000000001</v>
      </c>
      <c r="K430">
        <f>IFERROR(INDEX('Green_rooibos initial weight'!$C$5:$C$2000,MATCH(I430, 'Green_rooibos initial weight'!$A$5:$A$2000,0)),"")</f>
        <v>2.1749999999999998</v>
      </c>
      <c r="L430" s="194">
        <f t="shared" si="71"/>
        <v>1.7172000000000001</v>
      </c>
      <c r="M430" s="194">
        <f>AVERAGE(Ashed_controlls!$K$2:$K$11)</f>
        <v>5.5147656768714146</v>
      </c>
      <c r="N430" s="194">
        <f t="shared" si="68"/>
        <v>1.6225004437967641</v>
      </c>
      <c r="O430" s="194">
        <f t="shared" si="72"/>
        <v>1.9251999999999998</v>
      </c>
      <c r="P430" s="194">
        <f>AVERAGE(Ashed_controlls!$K$12:$K$14)</f>
        <v>2.2816647271287041</v>
      </c>
      <c r="Q430" s="194">
        <f t="shared" si="73"/>
        <v>1.8812733906733179</v>
      </c>
      <c r="R430" s="16">
        <f>IF('WetLitterbags placem_collection'!G137="","",'WetLitterbags placem_collection'!G137)</f>
        <v>42816</v>
      </c>
      <c r="S430" s="194">
        <f>IFERROR(INDEX('Both teabags AfterWet'!$C$3:$C$2000,MATCH(H430,'Both teabags AfterWet'!$A$3:$A$2000,0)),"")</f>
        <v>0.56399999999999995</v>
      </c>
      <c r="T430" s="194">
        <f>IFERROR(INDEX('Both teabags AfterWet'!$C$3:$C$2000,MATCH(I430,'Both teabags AfterWet'!$A$3:$A$2000,0)),"")</f>
        <v>1.512</v>
      </c>
      <c r="U430" s="194">
        <f t="shared" si="74"/>
        <v>0.41339999999999993</v>
      </c>
      <c r="V430" s="194">
        <f t="shared" si="75"/>
        <v>1.3613999999999999</v>
      </c>
      <c r="W430" s="194">
        <f>IFERROR(INDEX('Ashed teabags wet'!$K$2:$K$2000,MATCH(H430,'Ashed teabags wet'!$A$2:$A$2000,0)),"")</f>
        <v>14.385614385613385</v>
      </c>
      <c r="X430" s="233">
        <f>IFERROR(INDEX('Ashed teabags wet'!$K$2:$K$2000,MATCH(I430,'Ashed teabags wet'!$A$2:$A$2000,0)),"")</f>
        <v>6.95609274790369</v>
      </c>
      <c r="Y430" s="194">
        <f t="shared" si="80"/>
        <v>0.3539298701298742</v>
      </c>
      <c r="Z430" s="194">
        <f t="shared" si="80"/>
        <v>1.266699753330039</v>
      </c>
      <c r="AA430" s="194">
        <f t="shared" si="76"/>
        <v>0.78186146482545571</v>
      </c>
      <c r="AB430" s="194">
        <f t="shared" si="77"/>
        <v>0.51257426197583322</v>
      </c>
      <c r="AC430" s="194">
        <f t="shared" si="69"/>
        <v>0.67332040075083421</v>
      </c>
      <c r="AD430">
        <f t="shared" si="70"/>
        <v>54</v>
      </c>
      <c r="AE430" s="194">
        <f t="shared" si="78"/>
        <v>7.1423438449577548E-2</v>
      </c>
      <c r="AF430" s="194">
        <f t="shared" si="79"/>
        <v>1.8782692927222708E-2</v>
      </c>
      <c r="AG430" s="245" t="str">
        <f>IF(ISNUMBER(SEARCH("C",'WetLitterbags placem_collection'!$Y137)),"YES","NO")</f>
        <v>NO</v>
      </c>
      <c r="AH430" s="245" t="str">
        <f>IF(ISNUMBER(SEARCH("H", 'WetLitterbags placem_collection'!$Y137)),"YES","NO")</f>
        <v>NO</v>
      </c>
      <c r="AI430" s="245" t="str">
        <f>IF(ISNUMBER(SEARCH("R", 'WetLitterbags placem_collection'!$Y137)),"YES","NO")</f>
        <v>NO</v>
      </c>
      <c r="AJ430" s="245" t="str">
        <f>IF(ISNUMBER(SEARCH("C", 'WetLitterbags placem_collection'!$W137)),"YES","NO")</f>
        <v>NO</v>
      </c>
      <c r="AK430" s="245" t="str">
        <f>IF(ISNUMBER(SEARCH("H", 'WetLitterbags placem_collection'!$W137)),"YES","NO")</f>
        <v>NO</v>
      </c>
      <c r="AL430" s="245" t="str">
        <f>IF(ISNUMBER(SEARCH("R", 'WetLitterbags placem_collection'!$W137)),"YES","NO")</f>
        <v>YES</v>
      </c>
    </row>
    <row r="431" spans="2:38">
      <c r="B431" t="str">
        <f>Wetseason!B577</f>
        <v>Wet</v>
      </c>
      <c r="C431" s="253">
        <f>Wetseason!C577</f>
        <v>136</v>
      </c>
      <c r="D431" t="s">
        <v>3121</v>
      </c>
      <c r="E431" t="s">
        <v>25</v>
      </c>
      <c r="F431" s="375">
        <v>8</v>
      </c>
      <c r="G431" s="16">
        <f>'WetLitterbags placem_collection'!E138</f>
        <v>42762</v>
      </c>
      <c r="H431" s="92" t="str">
        <f>Wetseason!L577</f>
        <v>G747</v>
      </c>
      <c r="I431" t="str">
        <f>Wetseason!L797</f>
        <v>R543</v>
      </c>
      <c r="J431">
        <f>IFERROR(INDEX('Green_rooibos initial weight'!$C$5:$C$2000,MATCH(H431, 'Green_rooibos initial weight'!$A$5:$A$2000,0)),"")</f>
        <v>2.044</v>
      </c>
      <c r="K431">
        <f>IFERROR(INDEX('Green_rooibos initial weight'!$C$5:$C$2000,MATCH(I431, 'Green_rooibos initial weight'!$A$5:$A$2000,0)),"")</f>
        <v>2.2730000000000001</v>
      </c>
      <c r="L431" s="194">
        <f t="shared" si="71"/>
        <v>1.7942</v>
      </c>
      <c r="M431" s="194">
        <f>AVERAGE(Ashed_controlls!$K$2:$K$11)</f>
        <v>5.5147656768714146</v>
      </c>
      <c r="N431" s="194">
        <f t="shared" si="68"/>
        <v>1.6952540742255731</v>
      </c>
      <c r="O431" s="194">
        <f t="shared" si="72"/>
        <v>2.0232000000000001</v>
      </c>
      <c r="P431" s="194">
        <f>AVERAGE(Ashed_controlls!$K$12:$K$14)</f>
        <v>2.2816647271287041</v>
      </c>
      <c r="Q431" s="194">
        <f t="shared" si="73"/>
        <v>1.9770373592407322</v>
      </c>
      <c r="R431" s="16">
        <f>IF('WetLitterbags placem_collection'!G138="","",'WetLitterbags placem_collection'!G138)</f>
        <v>42816</v>
      </c>
      <c r="S431" s="194">
        <f>IFERROR(INDEX('Both teabags AfterWet'!$C$3:$C$2000,MATCH(H431,'Both teabags AfterWet'!$A$3:$A$2000,0)),"")</f>
        <v>0.59630000000000005</v>
      </c>
      <c r="T431" s="194">
        <f>IFERROR(INDEX('Both teabags AfterWet'!$C$3:$C$2000,MATCH(I431,'Both teabags AfterWet'!$A$3:$A$2000,0)),"")</f>
        <v>1.5604</v>
      </c>
      <c r="U431" s="194">
        <f t="shared" si="74"/>
        <v>0.44570000000000004</v>
      </c>
      <c r="V431" s="194">
        <f t="shared" si="75"/>
        <v>1.4097999999999999</v>
      </c>
      <c r="W431" s="194">
        <f>IFERROR(INDEX('Ashed teabags wet'!$K$2:$K$2000,MATCH(H431,'Ashed teabags wet'!$A$2:$A$2000,0)),"")</f>
        <v>12.676056338028079</v>
      </c>
      <c r="X431" s="233">
        <f>IFERROR(INDEX('Ashed teabags wet'!$K$2:$K$2000,MATCH(I431,'Ashed teabags wet'!$A$2:$A$2000,0)),"")</f>
        <v>6.5917968749991243</v>
      </c>
      <c r="Y431" s="194">
        <f t="shared" si="80"/>
        <v>0.3892028169014089</v>
      </c>
      <c r="Z431" s="194">
        <f t="shared" si="80"/>
        <v>1.3168688476562622</v>
      </c>
      <c r="AA431" s="194">
        <f t="shared" si="76"/>
        <v>0.77041623269408466</v>
      </c>
      <c r="AB431" s="194">
        <f t="shared" si="77"/>
        <v>0.50507097440277282</v>
      </c>
      <c r="AC431" s="194">
        <f t="shared" si="69"/>
        <v>0.66608192379429632</v>
      </c>
      <c r="AD431">
        <f t="shared" si="70"/>
        <v>54</v>
      </c>
      <c r="AE431" s="194">
        <f t="shared" si="78"/>
        <v>8.5016350719614442E-2</v>
      </c>
      <c r="AF431" s="194">
        <f t="shared" si="79"/>
        <v>2.0039660449486903E-2</v>
      </c>
      <c r="AG431" s="245" t="str">
        <f>IF(ISNUMBER(SEARCH("C",'WetLitterbags placem_collection'!$Y138)),"YES","NO")</f>
        <v>NO</v>
      </c>
      <c r="AH431" s="245" t="str">
        <f>IF(ISNUMBER(SEARCH("H", 'WetLitterbags placem_collection'!$Y138)),"YES","NO")</f>
        <v>NO</v>
      </c>
      <c r="AI431" s="245" t="str">
        <f>IF(ISNUMBER(SEARCH("R", 'WetLitterbags placem_collection'!$Y138)),"YES","NO")</f>
        <v>YES</v>
      </c>
      <c r="AJ431" s="245" t="str">
        <f>IF(ISNUMBER(SEARCH("C", 'WetLitterbags placem_collection'!$W138)),"YES","NO")</f>
        <v>NO</v>
      </c>
      <c r="AK431" s="245" t="str">
        <f>IF(ISNUMBER(SEARCH("H", 'WetLitterbags placem_collection'!$W138)),"YES","NO")</f>
        <v>NO</v>
      </c>
      <c r="AL431" s="245" t="str">
        <f>IF(ISNUMBER(SEARCH("R", 'WetLitterbags placem_collection'!$W138)),"YES","NO")</f>
        <v>YES</v>
      </c>
    </row>
    <row r="432" spans="2:38">
      <c r="B432" t="str">
        <f>Wetseason!B578</f>
        <v>Wet</v>
      </c>
      <c r="C432" s="253">
        <f>Wetseason!C578</f>
        <v>137</v>
      </c>
      <c r="D432" t="s">
        <v>3123</v>
      </c>
      <c r="E432" t="s">
        <v>25</v>
      </c>
      <c r="F432" s="374">
        <v>1</v>
      </c>
      <c r="G432" s="16">
        <f>'WetLitterbags placem_collection'!E139</f>
        <v>42762</v>
      </c>
      <c r="H432" s="92" t="str">
        <f>Wetseason!L578</f>
        <v>G857</v>
      </c>
      <c r="I432" t="str">
        <f>Wetseason!L798</f>
        <v>R483</v>
      </c>
      <c r="J432">
        <f>IFERROR(INDEX('Green_rooibos initial weight'!$C$5:$C$2000,MATCH(H432, 'Green_rooibos initial weight'!$A$5:$A$2000,0)),"")</f>
        <v>1.927</v>
      </c>
      <c r="K432">
        <f>IFERROR(INDEX('Green_rooibos initial weight'!$C$5:$C$2000,MATCH(I432, 'Green_rooibos initial weight'!$A$5:$A$2000,0)),"")</f>
        <v>2.1970000000000001</v>
      </c>
      <c r="L432" s="194">
        <f t="shared" si="71"/>
        <v>1.6772</v>
      </c>
      <c r="M432" s="194">
        <f>AVERAGE(Ashed_controlls!$K$2:$K$11)</f>
        <v>5.5147656768714146</v>
      </c>
      <c r="N432" s="194">
        <f t="shared" si="68"/>
        <v>1.5847063500675127</v>
      </c>
      <c r="O432" s="194">
        <f t="shared" si="72"/>
        <v>1.9472</v>
      </c>
      <c r="P432" s="194">
        <f>AVERAGE(Ashed_controlls!$K$12:$K$14)</f>
        <v>2.2816647271287041</v>
      </c>
      <c r="Q432" s="194">
        <f t="shared" si="73"/>
        <v>1.90277142443335</v>
      </c>
      <c r="R432" s="16">
        <f>IF('WetLitterbags placem_collection'!G139="","",'WetLitterbags placem_collection'!G139)</f>
        <v>42816</v>
      </c>
      <c r="S432" s="194">
        <f>IFERROR(INDEX('Both teabags AfterWet'!$C$3:$C$2000,MATCH(H432,'Both teabags AfterWet'!$A$3:$A$2000,0)),"")</f>
        <v>0.6</v>
      </c>
      <c r="T432" s="194">
        <f>IFERROR(INDEX('Both teabags AfterWet'!$C$3:$C$2000,MATCH(I432,'Both teabags AfterWet'!$A$3:$A$2000,0)),"")</f>
        <v>1.778</v>
      </c>
      <c r="U432" s="194">
        <f t="shared" si="74"/>
        <v>0.44939999999999997</v>
      </c>
      <c r="V432" s="194">
        <f t="shared" si="75"/>
        <v>1.6274</v>
      </c>
      <c r="W432" s="194">
        <f>IFERROR(INDEX('Ashed teabags wet'!$K$2:$K$2000,MATCH(H432,'Ashed teabags wet'!$A$2:$A$2000,0)),"")</f>
        <v>14.85963213939962</v>
      </c>
      <c r="X432" s="233">
        <f>IFERROR(INDEX('Ashed teabags wet'!$K$2:$K$2000,MATCH(I432,'Ashed teabags wet'!$A$2:$A$2000,0)),"")</f>
        <v>11.371400683259917</v>
      </c>
      <c r="Y432" s="194">
        <f t="shared" si="80"/>
        <v>0.38262081316553809</v>
      </c>
      <c r="Z432" s="194">
        <f t="shared" si="80"/>
        <v>1.4423418252806282</v>
      </c>
      <c r="AA432" s="194">
        <f t="shared" si="76"/>
        <v>0.75855412382916398</v>
      </c>
      <c r="AB432" s="194">
        <f t="shared" si="77"/>
        <v>0.49729438996876313</v>
      </c>
      <c r="AC432" s="194">
        <f t="shared" si="69"/>
        <v>0.75802159248327006</v>
      </c>
      <c r="AD432">
        <f t="shared" si="70"/>
        <v>54</v>
      </c>
      <c r="AE432" s="194">
        <f t="shared" si="78"/>
        <v>9.9104365998617605E-2</v>
      </c>
      <c r="AF432" s="194">
        <f t="shared" si="79"/>
        <v>1.2345930736240645E-2</v>
      </c>
      <c r="AG432" s="245" t="str">
        <f>IF(ISNUMBER(SEARCH("C",'WetLitterbags placem_collection'!$Y139)),"YES","NO")</f>
        <v>NO</v>
      </c>
      <c r="AH432" s="245" t="str">
        <f>IF(ISNUMBER(SEARCH("H", 'WetLitterbags placem_collection'!$Y139)),"YES","NO")</f>
        <v>NO</v>
      </c>
      <c r="AI432" s="245" t="str">
        <f>IF(ISNUMBER(SEARCH("R", 'WetLitterbags placem_collection'!$Y139)),"YES","NO")</f>
        <v>NO</v>
      </c>
      <c r="AJ432" s="245" t="str">
        <f>IF(ISNUMBER(SEARCH("C", 'WetLitterbags placem_collection'!$W139)),"YES","NO")</f>
        <v>YES</v>
      </c>
      <c r="AK432" s="245" t="str">
        <f>IF(ISNUMBER(SEARCH("H", 'WetLitterbags placem_collection'!$W139)),"YES","NO")</f>
        <v>NO</v>
      </c>
      <c r="AL432" s="245" t="str">
        <f>IF(ISNUMBER(SEARCH("R", 'WetLitterbags placem_collection'!$W139)),"YES","NO")</f>
        <v>NO</v>
      </c>
    </row>
    <row r="433" spans="2:38">
      <c r="B433" t="str">
        <f>Wetseason!B579</f>
        <v>Wet</v>
      </c>
      <c r="C433" s="253">
        <f>Wetseason!C579</f>
        <v>138</v>
      </c>
      <c r="D433" t="s">
        <v>3123</v>
      </c>
      <c r="E433" t="s">
        <v>25</v>
      </c>
      <c r="F433" s="374">
        <v>2</v>
      </c>
      <c r="G433" s="16">
        <f>'WetLitterbags placem_collection'!E140</f>
        <v>42762</v>
      </c>
      <c r="H433" s="92" t="str">
        <f>Wetseason!L579</f>
        <v>G623</v>
      </c>
      <c r="I433" t="str">
        <f>Wetseason!L799</f>
        <v>R21</v>
      </c>
      <c r="J433">
        <f>IFERROR(INDEX('Green_rooibos initial weight'!$C$5:$C$2000,MATCH(H433, 'Green_rooibos initial weight'!$A$5:$A$2000,0)),"")</f>
        <v>2.1040000000000001</v>
      </c>
      <c r="K433">
        <f>IFERROR(INDEX('Green_rooibos initial weight'!$C$5:$C$2000,MATCH(I433, 'Green_rooibos initial weight'!$A$5:$A$2000,0)),"")</f>
        <v>2.0249999999999999</v>
      </c>
      <c r="L433" s="194">
        <f t="shared" si="71"/>
        <v>1.8542000000000001</v>
      </c>
      <c r="M433" s="194">
        <f>AVERAGE(Ashed_controlls!$K$2:$K$11)</f>
        <v>5.5147656768714146</v>
      </c>
      <c r="N433" s="194">
        <f t="shared" si="68"/>
        <v>1.7519452148194503</v>
      </c>
      <c r="O433" s="194">
        <f t="shared" si="72"/>
        <v>1.7751999999999999</v>
      </c>
      <c r="P433" s="194">
        <f>AVERAGE(Ashed_controlls!$K$12:$K$14)</f>
        <v>2.2816647271287041</v>
      </c>
      <c r="Q433" s="194">
        <f t="shared" si="73"/>
        <v>1.7346958877640111</v>
      </c>
      <c r="R433" s="16">
        <f>IF('WetLitterbags placem_collection'!G140="","",'WetLitterbags placem_collection'!G140)</f>
        <v>42816</v>
      </c>
      <c r="S433" s="194">
        <f>IFERROR(INDEX('Both teabags AfterWet'!$C$3:$C$2000,MATCH(H433,'Both teabags AfterWet'!$A$3:$A$2000,0)),"")</f>
        <v>0.64800000000000002</v>
      </c>
      <c r="T433" s="194">
        <f>IFERROR(INDEX('Both teabags AfterWet'!$C$3:$C$2000,MATCH(I433,'Both teabags AfterWet'!$A$3:$A$2000,0)),"")</f>
        <v>1.522</v>
      </c>
      <c r="U433" s="194">
        <f t="shared" si="74"/>
        <v>0.49740000000000001</v>
      </c>
      <c r="V433" s="194">
        <f t="shared" si="75"/>
        <v>1.3714</v>
      </c>
      <c r="W433" s="194">
        <f>IFERROR(INDEX('Ashed teabags wet'!$K$2:$K$2000,MATCH(H433,'Ashed teabags wet'!$A$2:$A$2000,0)),"")</f>
        <v>12.94176207068146</v>
      </c>
      <c r="X433" s="233">
        <f>IFERROR(INDEX('Ashed teabags wet'!$K$2:$K$2000,MATCH(I433,'Ashed teabags wet'!$A$2:$A$2000,0)),"")</f>
        <v>5.1369863013697721</v>
      </c>
      <c r="Y433" s="194">
        <f t="shared" si="80"/>
        <v>0.43302767546043042</v>
      </c>
      <c r="Z433" s="194">
        <f t="shared" si="80"/>
        <v>1.3009513698630149</v>
      </c>
      <c r="AA433" s="194">
        <f t="shared" si="76"/>
        <v>0.75283035576825563</v>
      </c>
      <c r="AB433" s="194">
        <f t="shared" si="77"/>
        <v>0.49354199095496104</v>
      </c>
      <c r="AC433" s="194">
        <f t="shared" si="69"/>
        <v>0.74995933237607171</v>
      </c>
      <c r="AD433">
        <f t="shared" si="70"/>
        <v>54</v>
      </c>
      <c r="AE433" s="194">
        <f t="shared" si="78"/>
        <v>0.10590219029898373</v>
      </c>
      <c r="AF433" s="194">
        <f t="shared" si="79"/>
        <v>1.3083066040298965E-2</v>
      </c>
      <c r="AG433" s="245" t="str">
        <f>IF(ISNUMBER(SEARCH("C",'WetLitterbags placem_collection'!$Y140)),"YES","NO")</f>
        <v>NO</v>
      </c>
      <c r="AH433" s="245" t="str">
        <f>IF(ISNUMBER(SEARCH("H", 'WetLitterbags placem_collection'!$Y140)),"YES","NO")</f>
        <v>NO</v>
      </c>
      <c r="AI433" s="245" t="str">
        <f>IF(ISNUMBER(SEARCH("R", 'WetLitterbags placem_collection'!$Y140)),"YES","NO")</f>
        <v>NO</v>
      </c>
      <c r="AJ433" s="245" t="str">
        <f>IF(ISNUMBER(SEARCH("C", 'WetLitterbags placem_collection'!$W140)),"YES","NO")</f>
        <v>NO</v>
      </c>
      <c r="AK433" s="245" t="str">
        <f>IF(ISNUMBER(SEARCH("H", 'WetLitterbags placem_collection'!$W140)),"YES","NO")</f>
        <v>NO</v>
      </c>
      <c r="AL433" s="245" t="str">
        <f>IF(ISNUMBER(SEARCH("R", 'WetLitterbags placem_collection'!$W140)),"YES","NO")</f>
        <v>NO</v>
      </c>
    </row>
    <row r="434" spans="2:38">
      <c r="B434" t="str">
        <f>Wetseason!B580</f>
        <v>Wet</v>
      </c>
      <c r="C434" s="253">
        <f>Wetseason!C580</f>
        <v>139</v>
      </c>
      <c r="D434" t="s">
        <v>3123</v>
      </c>
      <c r="E434" t="s">
        <v>25</v>
      </c>
      <c r="F434" s="374">
        <v>3</v>
      </c>
      <c r="G434" s="16">
        <f>'WetLitterbags placem_collection'!E141</f>
        <v>42762</v>
      </c>
      <c r="H434" s="92" t="str">
        <f>Wetseason!L580</f>
        <v>G880</v>
      </c>
      <c r="I434" t="str">
        <f>Wetseason!L800</f>
        <v>R538</v>
      </c>
      <c r="J434">
        <f>IFERROR(INDEX('Green_rooibos initial weight'!$C$5:$C$2000,MATCH(H434, 'Green_rooibos initial weight'!$A$5:$A$2000,0)),"")</f>
        <v>2.1030000000000002</v>
      </c>
      <c r="K434">
        <f>IFERROR(INDEX('Green_rooibos initial weight'!$C$5:$C$2000,MATCH(I434, 'Green_rooibos initial weight'!$A$5:$A$2000,0)),"")</f>
        <v>2.2000000000000002</v>
      </c>
      <c r="L434" s="194">
        <f t="shared" si="71"/>
        <v>1.8532000000000002</v>
      </c>
      <c r="M434" s="194">
        <f>AVERAGE(Ashed_controlls!$K$2:$K$11)</f>
        <v>5.5147656768714146</v>
      </c>
      <c r="N434" s="194">
        <f t="shared" si="68"/>
        <v>1.7510003624762192</v>
      </c>
      <c r="O434" s="194">
        <f t="shared" si="72"/>
        <v>1.9502000000000002</v>
      </c>
      <c r="P434" s="194">
        <f>AVERAGE(Ashed_controlls!$K$12:$K$14)</f>
        <v>2.2816647271287041</v>
      </c>
      <c r="Q434" s="194">
        <f t="shared" si="73"/>
        <v>1.9057029744915361</v>
      </c>
      <c r="R434" s="16">
        <f>IF('WetLitterbags placem_collection'!G141="","",'WetLitterbags placem_collection'!G141)</f>
        <v>42816</v>
      </c>
      <c r="S434" s="194">
        <f>IFERROR(INDEX('Both teabags AfterWet'!$C$3:$C$2000,MATCH(H434,'Both teabags AfterWet'!$A$3:$A$2000,0)),"")</f>
        <v>0.73599999999999999</v>
      </c>
      <c r="T434" s="194">
        <f>IFERROR(INDEX('Both teabags AfterWet'!$C$3:$C$2000,MATCH(I434,'Both teabags AfterWet'!$A$3:$A$2000,0)),"")</f>
        <v>1.415</v>
      </c>
      <c r="U434" s="194">
        <f t="shared" si="74"/>
        <v>0.58539999999999992</v>
      </c>
      <c r="V434" s="194">
        <f t="shared" si="75"/>
        <v>1.2644</v>
      </c>
      <c r="W434" s="194">
        <f>IFERROR(INDEX('Ashed teabags wet'!$K$2:$K$2000,MATCH(H434,'Ashed teabags wet'!$A$2:$A$2000,0)),"")</f>
        <v>26.073926073925342</v>
      </c>
      <c r="X434" s="233">
        <f>IFERROR(INDEX('Ashed teabags wet'!$K$2:$K$2000,MATCH(I434,'Ashed teabags wet'!$A$2:$A$2000,0)),"")</f>
        <v>10.337972166998611</v>
      </c>
      <c r="Y434" s="194">
        <f t="shared" si="80"/>
        <v>0.43276323676324102</v>
      </c>
      <c r="Z434" s="194">
        <f t="shared" si="80"/>
        <v>1.1336866799204695</v>
      </c>
      <c r="AA434" s="194">
        <f t="shared" si="76"/>
        <v>0.75284800275470043</v>
      </c>
      <c r="AB434" s="194">
        <f t="shared" si="77"/>
        <v>0.49355356000070627</v>
      </c>
      <c r="AC434" s="194">
        <f t="shared" si="69"/>
        <v>0.59489159386076429</v>
      </c>
      <c r="AD434">
        <f t="shared" si="70"/>
        <v>54</v>
      </c>
      <c r="AE434" s="194">
        <f t="shared" si="78"/>
        <v>0.10588123188277854</v>
      </c>
      <c r="AF434" s="194">
        <f t="shared" si="79"/>
        <v>3.1837939895645644E-2</v>
      </c>
      <c r="AG434" s="245" t="str">
        <f>IF(ISNUMBER(SEARCH("C",'WetLitterbags placem_collection'!$Y141)),"YES","NO")</f>
        <v>NO</v>
      </c>
      <c r="AH434" s="245" t="str">
        <f>IF(ISNUMBER(SEARCH("H", 'WetLitterbags placem_collection'!$Y141)),"YES","NO")</f>
        <v>NO</v>
      </c>
      <c r="AI434" s="245" t="str">
        <f>IF(ISNUMBER(SEARCH("R", 'WetLitterbags placem_collection'!$Y141)),"YES","NO")</f>
        <v>NO</v>
      </c>
      <c r="AJ434" s="245" t="str">
        <f>IF(ISNUMBER(SEARCH("C", 'WetLitterbags placem_collection'!$W141)),"YES","NO")</f>
        <v>YES</v>
      </c>
      <c r="AK434" s="245" t="str">
        <f>IF(ISNUMBER(SEARCH("H", 'WetLitterbags placem_collection'!$W141)),"YES","NO")</f>
        <v>YES</v>
      </c>
      <c r="AL434" s="245" t="str">
        <f>IF(ISNUMBER(SEARCH("R", 'WetLitterbags placem_collection'!$W141)),"YES","NO")</f>
        <v>YES</v>
      </c>
    </row>
    <row r="435" spans="2:38">
      <c r="B435" t="str">
        <f>Wetseason!B581</f>
        <v>Wet</v>
      </c>
      <c r="C435" s="253">
        <f>Wetseason!C581</f>
        <v>140</v>
      </c>
      <c r="D435" t="s">
        <v>3123</v>
      </c>
      <c r="E435" t="s">
        <v>25</v>
      </c>
      <c r="F435" s="375">
        <v>4</v>
      </c>
      <c r="G435" s="16">
        <f>'WetLitterbags placem_collection'!E142</f>
        <v>42762</v>
      </c>
      <c r="H435" s="92" t="str">
        <f>Wetseason!L581</f>
        <v>G706</v>
      </c>
      <c r="I435" t="str">
        <f>Wetseason!L801</f>
        <v>R559</v>
      </c>
      <c r="J435">
        <f>IFERROR(INDEX('Green_rooibos initial weight'!$C$5:$C$2000,MATCH(H435, 'Green_rooibos initial weight'!$A$5:$A$2000,0)),"")</f>
        <v>1.9450000000000001</v>
      </c>
      <c r="K435">
        <f>IFERROR(INDEX('Green_rooibos initial weight'!$C$5:$C$2000,MATCH(I435, 'Green_rooibos initial weight'!$A$5:$A$2000,0)),"")</f>
        <v>2.161</v>
      </c>
      <c r="L435" s="194">
        <f t="shared" si="71"/>
        <v>1.6952</v>
      </c>
      <c r="M435" s="194">
        <f>AVERAGE(Ashed_controlls!$K$2:$K$11)</f>
        <v>5.5147656768714146</v>
      </c>
      <c r="N435" s="194">
        <f t="shared" si="68"/>
        <v>1.6017136922456758</v>
      </c>
      <c r="O435" s="194">
        <f t="shared" si="72"/>
        <v>1.9112</v>
      </c>
      <c r="P435" s="194">
        <f>AVERAGE(Ashed_controlls!$K$12:$K$14)</f>
        <v>2.2816647271287041</v>
      </c>
      <c r="Q435" s="194">
        <f t="shared" si="73"/>
        <v>1.8675928237351163</v>
      </c>
      <c r="R435" s="16">
        <f>IF('WetLitterbags placem_collection'!G142="","",'WetLitterbags placem_collection'!G142)</f>
        <v>42816</v>
      </c>
      <c r="S435" s="194">
        <f>IFERROR(INDEX('Both teabags AfterWet'!$C$3:$C$2000,MATCH(H435,'Both teabags AfterWet'!$A$3:$A$2000,0)),"")</f>
        <v>0.60780000000000001</v>
      </c>
      <c r="T435" s="194">
        <f>IFERROR(INDEX('Both teabags AfterWet'!$C$3:$C$2000,MATCH(I435,'Both teabags AfterWet'!$A$3:$A$2000,0)),"")</f>
        <v>1.6634</v>
      </c>
      <c r="U435" s="194">
        <f t="shared" si="74"/>
        <v>0.4572</v>
      </c>
      <c r="V435" s="194">
        <f t="shared" si="75"/>
        <v>1.5127999999999999</v>
      </c>
      <c r="W435" s="194">
        <f>IFERROR(INDEX('Ashed teabags wet'!$K$2:$K$2000,MATCH(H435,'Ashed teabags wet'!$A$2:$A$2000,0)),"")</f>
        <v>17.486338797814145</v>
      </c>
      <c r="X435" s="233">
        <f>IFERROR(INDEX('Ashed teabags wet'!$K$2:$K$2000,MATCH(I435,'Ashed teabags wet'!$A$2:$A$2000,0)),"")</f>
        <v>11.767508337303465</v>
      </c>
      <c r="Y435" s="194">
        <f t="shared" si="80"/>
        <v>0.3772524590163937</v>
      </c>
      <c r="Z435" s="194">
        <f t="shared" si="80"/>
        <v>1.3347811338732731</v>
      </c>
      <c r="AA435" s="194">
        <f t="shared" si="76"/>
        <v>0.76446947988097147</v>
      </c>
      <c r="AB435" s="194">
        <f t="shared" si="77"/>
        <v>0.50117239061080321</v>
      </c>
      <c r="AC435" s="194">
        <f t="shared" si="69"/>
        <v>0.71470671599806235</v>
      </c>
      <c r="AD435">
        <f t="shared" si="70"/>
        <v>54</v>
      </c>
      <c r="AE435" s="194">
        <f t="shared" si="78"/>
        <v>9.2079002516660902E-2</v>
      </c>
      <c r="AF435" s="194">
        <f t="shared" si="79"/>
        <v>1.5596881028912043E-2</v>
      </c>
      <c r="AG435" s="245" t="str">
        <f>IF(ISNUMBER(SEARCH("C",'WetLitterbags placem_collection'!$Y142)),"YES","NO")</f>
        <v>NO</v>
      </c>
      <c r="AH435" s="245" t="str">
        <f>IF(ISNUMBER(SEARCH("H", 'WetLitterbags placem_collection'!$Y142)),"YES","NO")</f>
        <v>NO</v>
      </c>
      <c r="AI435" s="245" t="str">
        <f>IF(ISNUMBER(SEARCH("R", 'WetLitterbags placem_collection'!$Y142)),"YES","NO")</f>
        <v>NO</v>
      </c>
      <c r="AJ435" s="245" t="str">
        <f>IF(ISNUMBER(SEARCH("C", 'WetLitterbags placem_collection'!$W142)),"YES","NO")</f>
        <v>NO</v>
      </c>
      <c r="AK435" s="245" t="str">
        <f>IF(ISNUMBER(SEARCH("H", 'WetLitterbags placem_collection'!$W142)),"YES","NO")</f>
        <v>NO</v>
      </c>
      <c r="AL435" s="245" t="str">
        <f>IF(ISNUMBER(SEARCH("R", 'WetLitterbags placem_collection'!$W142)),"YES","NO")</f>
        <v>YES</v>
      </c>
    </row>
    <row r="436" spans="2:38">
      <c r="B436" t="str">
        <f>Wetseason!B582</f>
        <v>Wet</v>
      </c>
      <c r="C436" s="253">
        <f>Wetseason!C582</f>
        <v>141</v>
      </c>
      <c r="D436" t="s">
        <v>3123</v>
      </c>
      <c r="E436" t="s">
        <v>25</v>
      </c>
      <c r="F436" s="375">
        <v>5</v>
      </c>
      <c r="G436" s="16">
        <f>'WetLitterbags placem_collection'!E143</f>
        <v>42762</v>
      </c>
      <c r="H436" s="92" t="str">
        <f>Wetseason!L582</f>
        <v>G775</v>
      </c>
      <c r="I436" t="str">
        <f>Wetseason!L802</f>
        <v>R465</v>
      </c>
      <c r="J436">
        <f>IFERROR(INDEX('Green_rooibos initial weight'!$C$5:$C$2000,MATCH(H436, 'Green_rooibos initial weight'!$A$5:$A$2000,0)),"")</f>
        <v>2.1389999999999998</v>
      </c>
      <c r="K436">
        <f>IFERROR(INDEX('Green_rooibos initial weight'!$C$5:$C$2000,MATCH(I436, 'Green_rooibos initial weight'!$A$5:$A$2000,0)),"")</f>
        <v>2.206</v>
      </c>
      <c r="L436" s="194">
        <f t="shared" si="71"/>
        <v>1.8891999999999998</v>
      </c>
      <c r="M436" s="194">
        <f>AVERAGE(Ashed_controlls!$K$2:$K$11)</f>
        <v>5.5147656768714146</v>
      </c>
      <c r="N436" s="194">
        <f t="shared" si="68"/>
        <v>1.785015046832545</v>
      </c>
      <c r="O436" s="194">
        <f t="shared" si="72"/>
        <v>1.9561999999999999</v>
      </c>
      <c r="P436" s="194">
        <f>AVERAGE(Ashed_controlls!$K$12:$K$14)</f>
        <v>2.2816647271287041</v>
      </c>
      <c r="Q436" s="194">
        <f t="shared" si="73"/>
        <v>1.9115660746079082</v>
      </c>
      <c r="R436" s="16">
        <f>IF('WetLitterbags placem_collection'!G143="","",'WetLitterbags placem_collection'!G143)</f>
        <v>42816</v>
      </c>
      <c r="S436" s="194">
        <f>IFERROR(INDEX('Both teabags AfterWet'!$C$3:$C$2000,MATCH(H436,'Both teabags AfterWet'!$A$3:$A$2000,0)),"")</f>
        <v>0.69099999999999995</v>
      </c>
      <c r="T436" s="194">
        <f>IFERROR(INDEX('Both teabags AfterWet'!$C$3:$C$2000,MATCH(I436,'Both teabags AfterWet'!$A$3:$A$2000,0)),"")</f>
        <v>1.6759999999999999</v>
      </c>
      <c r="U436" s="194">
        <f t="shared" si="74"/>
        <v>0.54039999999999999</v>
      </c>
      <c r="V436" s="194">
        <f t="shared" si="75"/>
        <v>1.5253999999999999</v>
      </c>
      <c r="W436" s="194">
        <f>IFERROR(INDEX('Ashed teabags wet'!$K$2:$K$2000,MATCH(H436,'Ashed teabags wet'!$A$2:$A$2000,0)),"")</f>
        <v>23.031496062992296</v>
      </c>
      <c r="X436" s="233">
        <f>IFERROR(INDEX('Ashed teabags wet'!$K$2:$K$2000,MATCH(I436,'Ashed teabags wet'!$A$2:$A$2000,0)),"")</f>
        <v>2.2604422604422161</v>
      </c>
      <c r="Y436" s="194">
        <f t="shared" si="80"/>
        <v>0.41593779527558961</v>
      </c>
      <c r="Z436" s="194">
        <f t="shared" si="80"/>
        <v>1.4909192137592142</v>
      </c>
      <c r="AA436" s="194">
        <f t="shared" si="76"/>
        <v>0.76698359153125428</v>
      </c>
      <c r="AB436" s="194">
        <f t="shared" si="77"/>
        <v>0.50282059682334013</v>
      </c>
      <c r="AC436" s="194">
        <f t="shared" si="69"/>
        <v>0.77994647088776403</v>
      </c>
      <c r="AD436">
        <f t="shared" si="70"/>
        <v>54</v>
      </c>
      <c r="AE436" s="194">
        <f t="shared" si="78"/>
        <v>8.9093121696847577E-2</v>
      </c>
      <c r="AF436" s="194">
        <f t="shared" si="79"/>
        <v>1.0659443772071734E-2</v>
      </c>
      <c r="AG436" s="245" t="str">
        <f>IF(ISNUMBER(SEARCH("C",'WetLitterbags placem_collection'!$Y143)),"YES","NO")</f>
        <v>NO</v>
      </c>
      <c r="AH436" s="245" t="str">
        <f>IF(ISNUMBER(SEARCH("H", 'WetLitterbags placem_collection'!$Y143)),"YES","NO")</f>
        <v>NO</v>
      </c>
      <c r="AI436" s="245" t="str">
        <f>IF(ISNUMBER(SEARCH("R", 'WetLitterbags placem_collection'!$Y143)),"YES","NO")</f>
        <v>NO</v>
      </c>
      <c r="AJ436" s="245" t="str">
        <f>IF(ISNUMBER(SEARCH("C", 'WetLitterbags placem_collection'!$W143)),"YES","NO")</f>
        <v>YES</v>
      </c>
      <c r="AK436" s="245" t="str">
        <f>IF(ISNUMBER(SEARCH("H", 'WetLitterbags placem_collection'!$W143)),"YES","NO")</f>
        <v>YES</v>
      </c>
      <c r="AL436" s="245" t="str">
        <f>IF(ISNUMBER(SEARCH("R", 'WetLitterbags placem_collection'!$W143)),"YES","NO")</f>
        <v>YES</v>
      </c>
    </row>
    <row r="437" spans="2:38">
      <c r="B437" t="str">
        <f>Wetseason!B583</f>
        <v>Wet</v>
      </c>
      <c r="C437" s="253">
        <f>Wetseason!C583</f>
        <v>142</v>
      </c>
      <c r="D437" t="s">
        <v>3123</v>
      </c>
      <c r="E437" t="s">
        <v>25</v>
      </c>
      <c r="F437" s="375">
        <v>6</v>
      </c>
      <c r="G437" s="16">
        <f>'WetLitterbags placem_collection'!E144</f>
        <v>42762</v>
      </c>
      <c r="H437" s="92" t="str">
        <f>Wetseason!L583</f>
        <v>G850</v>
      </c>
      <c r="I437" t="str">
        <f>Wetseason!L803</f>
        <v>R503</v>
      </c>
      <c r="J437">
        <f>IFERROR(INDEX('Green_rooibos initial weight'!$C$5:$C$2000,MATCH(H437, 'Green_rooibos initial weight'!$A$5:$A$2000,0)),"")</f>
        <v>2.0379999999999998</v>
      </c>
      <c r="K437">
        <f>IFERROR(INDEX('Green_rooibos initial weight'!$C$5:$C$2000,MATCH(I437, 'Green_rooibos initial weight'!$A$5:$A$2000,0)),"")</f>
        <v>2.1709999999999998</v>
      </c>
      <c r="L437" s="194">
        <f t="shared" si="71"/>
        <v>1.7881999999999998</v>
      </c>
      <c r="M437" s="194">
        <f>AVERAGE(Ashed_controlls!$K$2:$K$11)</f>
        <v>5.5147656768714146</v>
      </c>
      <c r="N437" s="194">
        <f t="shared" si="68"/>
        <v>1.6895849601661852</v>
      </c>
      <c r="O437" s="194">
        <f t="shared" si="72"/>
        <v>1.9211999999999998</v>
      </c>
      <c r="P437" s="194">
        <f>AVERAGE(Ashed_controlls!$K$12:$K$14)</f>
        <v>2.2816647271287041</v>
      </c>
      <c r="Q437" s="194">
        <f t="shared" si="73"/>
        <v>1.8773646572624032</v>
      </c>
      <c r="R437" s="16">
        <f>IF('WetLitterbags placem_collection'!G144="","",'WetLitterbags placem_collection'!G144)</f>
        <v>42816</v>
      </c>
      <c r="S437" s="194">
        <f>IFERROR(INDEX('Both teabags AfterWet'!$C$3:$C$2000,MATCH(H437,'Both teabags AfterWet'!$A$3:$A$2000,0)),"")</f>
        <v>0.78500000000000003</v>
      </c>
      <c r="T437" s="194">
        <f>IFERROR(INDEX('Both teabags AfterWet'!$C$3:$C$2000,MATCH(I437,'Both teabags AfterWet'!$A$3:$A$2000,0)),"")</f>
        <v>1.0640000000000001</v>
      </c>
      <c r="U437" s="194">
        <f t="shared" si="74"/>
        <v>0.63440000000000007</v>
      </c>
      <c r="V437" s="194">
        <f t="shared" si="75"/>
        <v>0.91339999999999999</v>
      </c>
      <c r="W437" s="194">
        <f>IFERROR(INDEX('Ashed teabags wet'!$K$2:$K$2000,MATCH(H437,'Ashed teabags wet'!$A$2:$A$2000,0)),"")</f>
        <v>14.780029658923441</v>
      </c>
      <c r="X437" s="233">
        <f>IFERROR(INDEX('Ashed teabags wet'!$K$2:$K$2000,MATCH(I437,'Ashed teabags wet'!$A$2:$A$2000,0)),"")</f>
        <v>0</v>
      </c>
      <c r="Y437" s="194">
        <f t="shared" si="80"/>
        <v>0.54063549184378978</v>
      </c>
      <c r="Z437" s="194">
        <f t="shared" si="80"/>
        <v>0.91339999999999999</v>
      </c>
      <c r="AA437" s="194">
        <f t="shared" si="76"/>
        <v>0.68001875928712474</v>
      </c>
      <c r="AB437" s="194">
        <f t="shared" si="77"/>
        <v>0.44580802271554976</v>
      </c>
      <c r="AC437" s="194">
        <f t="shared" si="69"/>
        <v>0.48653307521615508</v>
      </c>
      <c r="AD437">
        <f t="shared" si="70"/>
        <v>54</v>
      </c>
      <c r="AE437" s="194">
        <f t="shared" si="78"/>
        <v>0.19237677044284474</v>
      </c>
      <c r="AF437" s="194" t="str">
        <f t="shared" si="79"/>
        <v/>
      </c>
      <c r="AG437" s="245" t="str">
        <f>IF(ISNUMBER(SEARCH("C",'WetLitterbags placem_collection'!$Y144)),"YES","NO")</f>
        <v>NO</v>
      </c>
      <c r="AH437" s="245" t="str">
        <f>IF(ISNUMBER(SEARCH("H", 'WetLitterbags placem_collection'!$Y144)),"YES","NO")</f>
        <v>NO</v>
      </c>
      <c r="AI437" s="245" t="str">
        <f>IF(ISNUMBER(SEARCH("R", 'WetLitterbags placem_collection'!$Y144)),"YES","NO")</f>
        <v>YES</v>
      </c>
      <c r="AJ437" s="245" t="str">
        <f>IF(ISNUMBER(SEARCH("C", 'WetLitterbags placem_collection'!$W144)),"YES","NO")</f>
        <v>NO</v>
      </c>
      <c r="AK437" s="245" t="str">
        <f>IF(ISNUMBER(SEARCH("H", 'WetLitterbags placem_collection'!$W144)),"YES","NO")</f>
        <v>YES</v>
      </c>
      <c r="AL437" s="245" t="str">
        <f>IF(ISNUMBER(SEARCH("R", 'WetLitterbags placem_collection'!$W144)),"YES","NO")</f>
        <v>NO</v>
      </c>
    </row>
    <row r="438" spans="2:38">
      <c r="B438" t="str">
        <f>Wetseason!B584</f>
        <v>Wet</v>
      </c>
      <c r="C438" s="253">
        <f>Wetseason!C584</f>
        <v>143</v>
      </c>
      <c r="D438" t="s">
        <v>3123</v>
      </c>
      <c r="E438" t="s">
        <v>25</v>
      </c>
      <c r="F438" s="375">
        <v>7</v>
      </c>
      <c r="G438" s="16">
        <f>'WetLitterbags placem_collection'!E145</f>
        <v>42762</v>
      </c>
      <c r="H438" s="92" t="str">
        <f>Wetseason!L584</f>
        <v>G697</v>
      </c>
      <c r="I438" t="str">
        <f>Wetseason!L804</f>
        <v>R567</v>
      </c>
      <c r="J438">
        <f>IFERROR(INDEX('Green_rooibos initial weight'!$C$5:$C$2000,MATCH(H438, 'Green_rooibos initial weight'!$A$5:$A$2000,0)),"")</f>
        <v>2.1110000000000002</v>
      </c>
      <c r="K438">
        <f>IFERROR(INDEX('Green_rooibos initial weight'!$C$5:$C$2000,MATCH(I438, 'Green_rooibos initial weight'!$A$5:$A$2000,0)),"")</f>
        <v>2.097</v>
      </c>
      <c r="L438" s="194">
        <f t="shared" si="71"/>
        <v>1.8612000000000002</v>
      </c>
      <c r="M438" s="194">
        <f>AVERAGE(Ashed_controlls!$K$2:$K$11)</f>
        <v>5.5147656768714146</v>
      </c>
      <c r="N438" s="194">
        <f t="shared" si="68"/>
        <v>1.7585591812220693</v>
      </c>
      <c r="O438" s="194">
        <f t="shared" si="72"/>
        <v>1.8472</v>
      </c>
      <c r="P438" s="194">
        <f>AVERAGE(Ashed_controlls!$K$12:$K$14)</f>
        <v>2.2816647271287041</v>
      </c>
      <c r="Q438" s="194">
        <f t="shared" si="73"/>
        <v>1.8050530891604786</v>
      </c>
      <c r="R438" s="16">
        <f>IF('WetLitterbags placem_collection'!G145="","",'WetLitterbags placem_collection'!G145)</f>
        <v>42816</v>
      </c>
      <c r="S438" s="194">
        <f>IFERROR(INDEX('Both teabags AfterWet'!$C$3:$C$2000,MATCH(H438,'Both teabags AfterWet'!$A$3:$A$2000,0)),"")</f>
        <v>0.67500000000000004</v>
      </c>
      <c r="T438" s="194">
        <f>IFERROR(INDEX('Both teabags AfterWet'!$C$3:$C$2000,MATCH(I438,'Both teabags AfterWet'!$A$3:$A$2000,0)),"")</f>
        <v>1.5908</v>
      </c>
      <c r="U438" s="194">
        <f t="shared" si="74"/>
        <v>0.52439999999999998</v>
      </c>
      <c r="V438" s="194">
        <f t="shared" si="75"/>
        <v>1.4401999999999999</v>
      </c>
      <c r="W438" s="194">
        <f>IFERROR(INDEX('Ashed teabags wet'!$K$2:$K$2000,MATCH(H438,'Ashed teabags wet'!$A$2:$A$2000,0)),"")</f>
        <v>17.52988047808789</v>
      </c>
      <c r="X438" s="233">
        <f>IFERROR(INDEX('Ashed teabags wet'!$K$2:$K$2000,MATCH(I438,'Ashed teabags wet'!$A$2:$A$2000,0)),"")</f>
        <v>3.9043435822355246</v>
      </c>
      <c r="Y438" s="194">
        <f t="shared" si="80"/>
        <v>0.43247330677290707</v>
      </c>
      <c r="Z438" s="194">
        <f t="shared" si="80"/>
        <v>1.383969643728644</v>
      </c>
      <c r="AA438" s="194">
        <f t="shared" si="76"/>
        <v>0.75407520463862354</v>
      </c>
      <c r="AB438" s="194">
        <f t="shared" si="77"/>
        <v>0.49435809140204306</v>
      </c>
      <c r="AC438" s="194">
        <f t="shared" si="69"/>
        <v>0.7667196339207516</v>
      </c>
      <c r="AD438">
        <f t="shared" si="70"/>
        <v>54</v>
      </c>
      <c r="AE438" s="194">
        <f t="shared" si="78"/>
        <v>0.104423747460067</v>
      </c>
      <c r="AF438" s="194">
        <f t="shared" si="79"/>
        <v>1.1822999533476234E-2</v>
      </c>
      <c r="AG438" s="245" t="str">
        <f>IF(ISNUMBER(SEARCH("C",'WetLitterbags placem_collection'!$Y145)),"YES","NO")</f>
        <v>NO</v>
      </c>
      <c r="AH438" s="245" t="str">
        <f>IF(ISNUMBER(SEARCH("H", 'WetLitterbags placem_collection'!$Y145)),"YES","NO")</f>
        <v>NO</v>
      </c>
      <c r="AI438" s="245" t="str">
        <f>IF(ISNUMBER(SEARCH("R", 'WetLitterbags placem_collection'!$Y145)),"YES","NO")</f>
        <v>NO</v>
      </c>
      <c r="AJ438" s="245" t="str">
        <f>IF(ISNUMBER(SEARCH("C", 'WetLitterbags placem_collection'!$W145)),"YES","NO")</f>
        <v>NO</v>
      </c>
      <c r="AK438" s="245" t="str">
        <f>IF(ISNUMBER(SEARCH("H", 'WetLitterbags placem_collection'!$W145)),"YES","NO")</f>
        <v>NO</v>
      </c>
      <c r="AL438" s="245" t="str">
        <f>IF(ISNUMBER(SEARCH("R", 'WetLitterbags placem_collection'!$W145)),"YES","NO")</f>
        <v>NO</v>
      </c>
    </row>
    <row r="439" spans="2:38">
      <c r="B439" t="str">
        <f>Wetseason!B585</f>
        <v>Wet</v>
      </c>
      <c r="C439" s="253">
        <f>Wetseason!C585</f>
        <v>144</v>
      </c>
      <c r="D439" t="s">
        <v>3123</v>
      </c>
      <c r="E439" t="s">
        <v>25</v>
      </c>
      <c r="F439" s="375">
        <v>8</v>
      </c>
      <c r="G439" s="16">
        <f>'WetLitterbags placem_collection'!E146</f>
        <v>42762</v>
      </c>
      <c r="H439" s="92" t="str">
        <f>Wetseason!L585</f>
        <v>G894</v>
      </c>
      <c r="I439" t="str">
        <f>Wetseason!L805</f>
        <v>R15</v>
      </c>
      <c r="J439">
        <f>IFERROR(INDEX('Green_rooibos initial weight'!$C$5:$C$2000,MATCH(H439, 'Green_rooibos initial weight'!$A$5:$A$2000,0)),"")</f>
        <v>1.9630000000000001</v>
      </c>
      <c r="K439">
        <f>IFERROR(INDEX('Green_rooibos initial weight'!$C$5:$C$2000,MATCH(I439, 'Green_rooibos initial weight'!$A$5:$A$2000,0)),"")</f>
        <v>2.2269999999999999</v>
      </c>
      <c r="L439" s="194">
        <f t="shared" si="71"/>
        <v>1.7132000000000001</v>
      </c>
      <c r="M439" s="194">
        <f>AVERAGE(Ashed_controlls!$K$2:$K$11)</f>
        <v>5.5147656768714146</v>
      </c>
      <c r="N439" s="194">
        <f t="shared" si="68"/>
        <v>1.618721034423839</v>
      </c>
      <c r="O439" s="194">
        <f t="shared" si="72"/>
        <v>1.9771999999999998</v>
      </c>
      <c r="P439" s="194">
        <f>AVERAGE(Ashed_controlls!$K$12:$K$14)</f>
        <v>2.2816647271287041</v>
      </c>
      <c r="Q439" s="194">
        <f t="shared" si="73"/>
        <v>1.9320869250152111</v>
      </c>
      <c r="R439" s="16">
        <f>IF('WetLitterbags placem_collection'!G146="","",'WetLitterbags placem_collection'!G146)</f>
        <v>42816</v>
      </c>
      <c r="S439" s="194">
        <f>IFERROR(INDEX('Both teabags AfterWet'!$C$3:$C$2000,MATCH(H439,'Both teabags AfterWet'!$A$3:$A$2000,0)),"")</f>
        <v>0.68200000000000005</v>
      </c>
      <c r="T439" s="194">
        <f>IFERROR(INDEX('Both teabags AfterWet'!$C$3:$C$2000,MATCH(I439,'Both teabags AfterWet'!$A$3:$A$2000,0)),"")</f>
        <v>1.7290000000000001</v>
      </c>
      <c r="U439" s="194">
        <f t="shared" si="74"/>
        <v>0.53140000000000009</v>
      </c>
      <c r="V439" s="194">
        <f t="shared" si="75"/>
        <v>1.5784</v>
      </c>
      <c r="W439" s="194">
        <f>IFERROR(INDEX('Ashed teabags wet'!$K$2:$K$2000,MATCH(H439,'Ashed teabags wet'!$A$2:$A$2000,0)),"")</f>
        <v>21.010901883052647</v>
      </c>
      <c r="X439" s="233">
        <f>IFERROR(INDEX('Ashed teabags wet'!$K$2:$K$2000,MATCH(I439,'Ashed teabags wet'!$A$2:$A$2000,0)),"")</f>
        <v>11.138613861386148</v>
      </c>
      <c r="Y439" s="194">
        <f t="shared" si="80"/>
        <v>0.41974806739345832</v>
      </c>
      <c r="Z439" s="194">
        <f t="shared" si="80"/>
        <v>1.4025881188118812</v>
      </c>
      <c r="AA439" s="194">
        <f t="shared" si="76"/>
        <v>0.7406915345713897</v>
      </c>
      <c r="AB439" s="194">
        <f t="shared" si="77"/>
        <v>0.48558399891140991</v>
      </c>
      <c r="AC439" s="194">
        <f t="shared" si="69"/>
        <v>0.72594462529207315</v>
      </c>
      <c r="AD439">
        <f t="shared" si="70"/>
        <v>54</v>
      </c>
      <c r="AE439" s="194">
        <f t="shared" si="78"/>
        <v>0.1203188425517937</v>
      </c>
      <c r="AF439" s="194">
        <f t="shared" si="79"/>
        <v>1.5388739994057236E-2</v>
      </c>
      <c r="AG439" s="245" t="str">
        <f>IF(ISNUMBER(SEARCH("C",'WetLitterbags placem_collection'!$Y146)),"YES","NO")</f>
        <v>NO</v>
      </c>
      <c r="AH439" s="245" t="str">
        <f>IF(ISNUMBER(SEARCH("H", 'WetLitterbags placem_collection'!$Y146)),"YES","NO")</f>
        <v>NO</v>
      </c>
      <c r="AI439" s="245" t="str">
        <f>IF(ISNUMBER(SEARCH("R", 'WetLitterbags placem_collection'!$Y146)),"YES","NO")</f>
        <v>NO</v>
      </c>
      <c r="AJ439" s="245" t="str">
        <f>IF(ISNUMBER(SEARCH("C", 'WetLitterbags placem_collection'!$W146)),"YES","NO")</f>
        <v>NO</v>
      </c>
      <c r="AK439" s="245" t="str">
        <f>IF(ISNUMBER(SEARCH("H", 'WetLitterbags placem_collection'!$W146)),"YES","NO")</f>
        <v>YES</v>
      </c>
      <c r="AL439" s="245" t="str">
        <f>IF(ISNUMBER(SEARCH("R", 'WetLitterbags placem_collection'!$W146)),"YES","NO")</f>
        <v>NO</v>
      </c>
    </row>
    <row r="440" spans="2:38">
      <c r="B440" t="str">
        <f>Wetseason!B586</f>
        <v>Wet</v>
      </c>
      <c r="C440" s="253">
        <f>Wetseason!C586</f>
        <v>145</v>
      </c>
      <c r="D440" t="s">
        <v>3124</v>
      </c>
      <c r="E440" t="s">
        <v>25</v>
      </c>
      <c r="F440" s="374">
        <v>1</v>
      </c>
      <c r="G440" s="16">
        <f>'WetLitterbags placem_collection'!E147</f>
        <v>42762</v>
      </c>
      <c r="H440" s="92" t="str">
        <f>Wetseason!L586</f>
        <v>G653</v>
      </c>
      <c r="I440" t="str">
        <f>Wetseason!L806</f>
        <v>R40</v>
      </c>
      <c r="J440">
        <f>IFERROR(INDEX('Green_rooibos initial weight'!$C$5:$C$2000,MATCH(H440, 'Green_rooibos initial weight'!$A$5:$A$2000,0)),"")</f>
        <v>2.089</v>
      </c>
      <c r="K440">
        <f>IFERROR(INDEX('Green_rooibos initial weight'!$C$5:$C$2000,MATCH(I440, 'Green_rooibos initial weight'!$A$5:$A$2000,0)),"")</f>
        <v>2.121</v>
      </c>
      <c r="L440" s="194">
        <f t="shared" si="71"/>
        <v>1.8391999999999999</v>
      </c>
      <c r="M440" s="194">
        <f>AVERAGE(Ashed_controlls!$K$2:$K$11)</f>
        <v>5.5147656768714146</v>
      </c>
      <c r="N440" s="194">
        <f t="shared" si="68"/>
        <v>1.7377724296709809</v>
      </c>
      <c r="O440" s="194">
        <f t="shared" si="72"/>
        <v>1.8712</v>
      </c>
      <c r="P440" s="194">
        <f>AVERAGE(Ashed_controlls!$K$12:$K$14)</f>
        <v>2.2816647271287041</v>
      </c>
      <c r="Q440" s="194">
        <f t="shared" si="73"/>
        <v>1.8285054896259676</v>
      </c>
      <c r="R440" s="16">
        <f>IF('WetLitterbags placem_collection'!G147="","",'WetLitterbags placem_collection'!G147)</f>
        <v>42815</v>
      </c>
      <c r="S440" s="194">
        <f>IFERROR(INDEX('Both teabags AfterWet'!$C$3:$C$2000,MATCH(H440,'Both teabags AfterWet'!$A$3:$A$2000,0)),"")</f>
        <v>0.69799999999999995</v>
      </c>
      <c r="T440" s="194">
        <f>IFERROR(INDEX('Both teabags AfterWet'!$C$3:$C$2000,MATCH(I440,'Both teabags AfterWet'!$A$3:$A$2000,0)),"")</f>
        <v>1.589</v>
      </c>
      <c r="U440" s="194">
        <f t="shared" si="74"/>
        <v>0.54739999999999989</v>
      </c>
      <c r="V440" s="194">
        <f t="shared" si="75"/>
        <v>1.4383999999999999</v>
      </c>
      <c r="W440" s="194">
        <f>IFERROR(INDEX('Ashed teabags wet'!$K$2:$K$2000,MATCH(H440,'Ashed teabags wet'!$A$2:$A$2000,0)),"")</f>
        <v>19.630709426627803</v>
      </c>
      <c r="X440" s="233">
        <f>IFERROR(INDEX('Ashed teabags wet'!$K$2:$K$2000,MATCH(I440,'Ashed teabags wet'!$A$2:$A$2000,0)),"")</f>
        <v>8.3980582524276741</v>
      </c>
      <c r="Y440" s="194">
        <f t="shared" si="80"/>
        <v>0.43994149659863935</v>
      </c>
      <c r="Z440" s="194">
        <f t="shared" si="80"/>
        <v>1.3176023300970803</v>
      </c>
      <c r="AA440" s="194">
        <f t="shared" si="76"/>
        <v>0.74683595556759119</v>
      </c>
      <c r="AB440" s="194">
        <f t="shared" si="77"/>
        <v>0.48961217039585553</v>
      </c>
      <c r="AC440" s="194">
        <f t="shared" si="69"/>
        <v>0.72058975899853828</v>
      </c>
      <c r="AD440">
        <f t="shared" si="70"/>
        <v>53</v>
      </c>
      <c r="AE440" s="194">
        <f t="shared" si="78"/>
        <v>0.11302143044229074</v>
      </c>
      <c r="AF440" s="194">
        <f t="shared" si="79"/>
        <v>1.5953678329670248E-2</v>
      </c>
      <c r="AG440" s="245" t="str">
        <f>IF(ISNUMBER(SEARCH("C",'WetLitterbags placem_collection'!$Y147)),"YES","NO")</f>
        <v>NO</v>
      </c>
      <c r="AH440" s="245" t="str">
        <f>IF(ISNUMBER(SEARCH("H", 'WetLitterbags placem_collection'!$Y147)),"YES","NO")</f>
        <v>NO</v>
      </c>
      <c r="AI440" s="245" t="str">
        <f>IF(ISNUMBER(SEARCH("R", 'WetLitterbags placem_collection'!$Y147)),"YES","NO")</f>
        <v>NO</v>
      </c>
      <c r="AJ440" s="245" t="str">
        <f>IF(ISNUMBER(SEARCH("C", 'WetLitterbags placem_collection'!$W147)),"YES","NO")</f>
        <v>NO</v>
      </c>
      <c r="AK440" s="245" t="str">
        <f>IF(ISNUMBER(SEARCH("H", 'WetLitterbags placem_collection'!$W147)),"YES","NO")</f>
        <v>NO</v>
      </c>
      <c r="AL440" s="245" t="str">
        <f>IF(ISNUMBER(SEARCH("R", 'WetLitterbags placem_collection'!$W147)),"YES","NO")</f>
        <v>NO</v>
      </c>
    </row>
    <row r="441" spans="2:38">
      <c r="B441" t="str">
        <f>Wetseason!B587</f>
        <v>Wet</v>
      </c>
      <c r="C441" s="253">
        <f>Wetseason!C587</f>
        <v>146</v>
      </c>
      <c r="D441" t="s">
        <v>3124</v>
      </c>
      <c r="E441" t="s">
        <v>25</v>
      </c>
      <c r="F441" s="374">
        <v>2</v>
      </c>
      <c r="G441" s="16">
        <f>'WetLitterbags placem_collection'!E148</f>
        <v>42762</v>
      </c>
      <c r="H441" s="92" t="str">
        <f>Wetseason!L587</f>
        <v>G762</v>
      </c>
      <c r="I441" t="str">
        <f>Wetseason!L807</f>
        <v>R468</v>
      </c>
      <c r="J441">
        <f>IFERROR(INDEX('Green_rooibos initial weight'!$C$5:$C$2000,MATCH(H441, 'Green_rooibos initial weight'!$A$5:$A$2000,0)),"")</f>
        <v>2.016</v>
      </c>
      <c r="K441">
        <f>IFERROR(INDEX('Green_rooibos initial weight'!$C$5:$C$2000,MATCH(I441, 'Green_rooibos initial weight'!$A$5:$A$2000,0)),"")</f>
        <v>2.2869999999999999</v>
      </c>
      <c r="L441" s="194">
        <f t="shared" si="71"/>
        <v>1.7662</v>
      </c>
      <c r="M441" s="194">
        <f>AVERAGE(Ashed_controlls!$K$2:$K$11)</f>
        <v>5.5147656768714146</v>
      </c>
      <c r="N441" s="194">
        <f t="shared" si="68"/>
        <v>1.668798208615097</v>
      </c>
      <c r="O441" s="194">
        <f t="shared" si="72"/>
        <v>2.0371999999999999</v>
      </c>
      <c r="P441" s="194">
        <f>AVERAGE(Ashed_controlls!$K$12:$K$14)</f>
        <v>2.2816647271287041</v>
      </c>
      <c r="Q441" s="194">
        <f t="shared" si="73"/>
        <v>1.9907179261789338</v>
      </c>
      <c r="R441" s="16">
        <f>IF('WetLitterbags placem_collection'!G148="","",'WetLitterbags placem_collection'!G148)</f>
        <v>42815</v>
      </c>
      <c r="S441" s="194">
        <f>IFERROR(INDEX('Both teabags AfterWet'!$C$3:$C$2000,MATCH(H441,'Both teabags AfterWet'!$A$3:$A$2000,0)),"")</f>
        <v>0.59199999999999997</v>
      </c>
      <c r="T441" s="194">
        <f>IFERROR(INDEX('Both teabags AfterWet'!$C$3:$C$2000,MATCH(I441,'Both teabags AfterWet'!$A$3:$A$2000,0)),"")</f>
        <v>1.657</v>
      </c>
      <c r="U441" s="194">
        <f t="shared" si="74"/>
        <v>0.44139999999999996</v>
      </c>
      <c r="V441" s="194">
        <f t="shared" si="75"/>
        <v>1.5064</v>
      </c>
      <c r="W441" s="194">
        <f>IFERROR(INDEX('Ashed teabags wet'!$K$2:$K$2000,MATCH(H441,'Ashed teabags wet'!$A$2:$A$2000,0)),"")</f>
        <v>17.030567685589826</v>
      </c>
      <c r="X441" s="233">
        <f>IFERROR(INDEX('Ashed teabags wet'!$K$2:$K$2000,MATCH(I441,'Ashed teabags wet'!$A$2:$A$2000,0)),"")</f>
        <v>5.4683544303797067</v>
      </c>
      <c r="Y441" s="194">
        <f t="shared" si="80"/>
        <v>0.36622707423580647</v>
      </c>
      <c r="Z441" s="194">
        <f t="shared" si="80"/>
        <v>1.42402470886076</v>
      </c>
      <c r="AA441" s="194">
        <f t="shared" si="76"/>
        <v>0.78054442271978997</v>
      </c>
      <c r="AB441" s="194">
        <f t="shared" si="77"/>
        <v>0.51171083294694075</v>
      </c>
      <c r="AC441" s="194">
        <f t="shared" si="69"/>
        <v>0.71533223774906762</v>
      </c>
      <c r="AD441">
        <f t="shared" si="70"/>
        <v>53</v>
      </c>
      <c r="AE441" s="194">
        <f t="shared" si="78"/>
        <v>7.2987621472933473E-2</v>
      </c>
      <c r="AF441" s="194">
        <f t="shared" si="79"/>
        <v>1.5332451846392862E-2</v>
      </c>
      <c r="AG441" s="245" t="str">
        <f>IF(ISNUMBER(SEARCH("C",'WetLitterbags placem_collection'!$Y148)),"YES","NO")</f>
        <v>NO</v>
      </c>
      <c r="AH441" s="245" t="str">
        <f>IF(ISNUMBER(SEARCH("H", 'WetLitterbags placem_collection'!$Y148)),"YES","NO")</f>
        <v>NO</v>
      </c>
      <c r="AI441" s="245" t="str">
        <f>IF(ISNUMBER(SEARCH("R", 'WetLitterbags placem_collection'!$Y148)),"YES","NO")</f>
        <v>NO</v>
      </c>
      <c r="AJ441" s="245" t="str">
        <f>IF(ISNUMBER(SEARCH("C", 'WetLitterbags placem_collection'!$W148)),"YES","NO")</f>
        <v>NO</v>
      </c>
      <c r="AK441" s="245" t="str">
        <f>IF(ISNUMBER(SEARCH("H", 'WetLitterbags placem_collection'!$W148)),"YES","NO")</f>
        <v>NO</v>
      </c>
      <c r="AL441" s="245" t="str">
        <f>IF(ISNUMBER(SEARCH("R", 'WetLitterbags placem_collection'!$W148)),"YES","NO")</f>
        <v>NO</v>
      </c>
    </row>
    <row r="442" spans="2:38">
      <c r="B442" t="str">
        <f>Wetseason!B588</f>
        <v>Wet</v>
      </c>
      <c r="C442" s="253">
        <f>Wetseason!C588</f>
        <v>147</v>
      </c>
      <c r="D442" t="s">
        <v>3124</v>
      </c>
      <c r="E442" t="s">
        <v>25</v>
      </c>
      <c r="F442" s="374">
        <v>3</v>
      </c>
      <c r="G442" s="16">
        <f>'WetLitterbags placem_collection'!E149</f>
        <v>42762</v>
      </c>
      <c r="H442" s="92" t="str">
        <f>Wetseason!L588</f>
        <v>G878</v>
      </c>
      <c r="I442" t="str">
        <f>Wetseason!L808</f>
        <v>R582</v>
      </c>
      <c r="J442">
        <f>IFERROR(INDEX('Green_rooibos initial weight'!$C$5:$C$2000,MATCH(H442, 'Green_rooibos initial weight'!$A$5:$A$2000,0)),"")</f>
        <v>2.0939999999999999</v>
      </c>
      <c r="K442">
        <f>IFERROR(INDEX('Green_rooibos initial weight'!$C$5:$C$2000,MATCH(I442, 'Green_rooibos initial weight'!$A$5:$A$2000,0)),"")</f>
        <v>2.2360000000000002</v>
      </c>
      <c r="L442" s="194">
        <f t="shared" si="71"/>
        <v>1.8441999999999998</v>
      </c>
      <c r="M442" s="194">
        <f>AVERAGE(Ashed_controlls!$K$2:$K$11)</f>
        <v>5.5147656768714146</v>
      </c>
      <c r="N442" s="194">
        <f t="shared" si="68"/>
        <v>1.7424966913871371</v>
      </c>
      <c r="O442" s="194">
        <f t="shared" si="72"/>
        <v>1.9862000000000002</v>
      </c>
      <c r="P442" s="194">
        <f>AVERAGE(Ashed_controlls!$K$12:$K$14)</f>
        <v>2.2816647271287041</v>
      </c>
      <c r="Q442" s="194">
        <f t="shared" si="73"/>
        <v>1.9408815751897699</v>
      </c>
      <c r="R442" s="16">
        <f>IF('WetLitterbags placem_collection'!G149="","",'WetLitterbags placem_collection'!G149)</f>
        <v>42816</v>
      </c>
      <c r="S442" s="194">
        <f>IFERROR(INDEX('Both teabags AfterWet'!$C$3:$C$2000,MATCH(H442,'Both teabags AfterWet'!$A$3:$A$2000,0)),"")</f>
        <v>0.628</v>
      </c>
      <c r="T442" s="194">
        <f>IFERROR(INDEX('Both teabags AfterWet'!$C$3:$C$2000,MATCH(I442,'Both teabags AfterWet'!$A$3:$A$2000,0)),"")</f>
        <v>1.742</v>
      </c>
      <c r="U442" s="194">
        <f t="shared" si="74"/>
        <v>0.47739999999999999</v>
      </c>
      <c r="V442" s="194">
        <f t="shared" si="75"/>
        <v>1.5913999999999999</v>
      </c>
      <c r="W442" s="194">
        <f>IFERROR(INDEX('Ashed teabags wet'!$K$2:$K$2000,MATCH(H442,'Ashed teabags wet'!$A$2:$A$2000,0)),"")</f>
        <v>18.664047151277249</v>
      </c>
      <c r="X442" s="233">
        <f>IFERROR(INDEX('Ashed teabags wet'!$K$2:$K$2000,MATCH(I442,'Ashed teabags wet'!$A$2:$A$2000,0)),"")</f>
        <v>1.3068731848979416</v>
      </c>
      <c r="Y442" s="194">
        <f t="shared" si="80"/>
        <v>0.38829783889980241</v>
      </c>
      <c r="Z442" s="194">
        <f t="shared" si="80"/>
        <v>1.570602420135534</v>
      </c>
      <c r="AA442" s="194">
        <f t="shared" si="76"/>
        <v>0.77716007105259244</v>
      </c>
      <c r="AB442" s="194">
        <f t="shared" si="77"/>
        <v>0.50949211308911058</v>
      </c>
      <c r="AC442" s="194">
        <f t="shared" si="69"/>
        <v>0.80922114992099303</v>
      </c>
      <c r="AD442">
        <f t="shared" si="70"/>
        <v>54</v>
      </c>
      <c r="AE442" s="194">
        <f t="shared" si="78"/>
        <v>7.700704150523463E-2</v>
      </c>
      <c r="AF442" s="194">
        <f t="shared" si="79"/>
        <v>8.6874543760518553E-3</v>
      </c>
      <c r="AG442" s="245" t="str">
        <f>IF(ISNUMBER(SEARCH("C",'WetLitterbags placem_collection'!$Y149)),"YES","NO")</f>
        <v>NO</v>
      </c>
      <c r="AH442" s="245" t="str">
        <f>IF(ISNUMBER(SEARCH("H", 'WetLitterbags placem_collection'!$Y149)),"YES","NO")</f>
        <v>NO</v>
      </c>
      <c r="AI442" s="245" t="str">
        <f>IF(ISNUMBER(SEARCH("R", 'WetLitterbags placem_collection'!$Y149)),"YES","NO")</f>
        <v>NO</v>
      </c>
      <c r="AJ442" s="245" t="str">
        <f>IF(ISNUMBER(SEARCH("C", 'WetLitterbags placem_collection'!$W149)),"YES","NO")</f>
        <v>NO</v>
      </c>
      <c r="AK442" s="245" t="str">
        <f>IF(ISNUMBER(SEARCH("H", 'WetLitterbags placem_collection'!$W149)),"YES","NO")</f>
        <v>NO</v>
      </c>
      <c r="AL442" s="245" t="str">
        <f>IF(ISNUMBER(SEARCH("R", 'WetLitterbags placem_collection'!$W149)),"YES","NO")</f>
        <v>NO</v>
      </c>
    </row>
    <row r="443" spans="2:38">
      <c r="B443" t="str">
        <f>Wetseason!B589</f>
        <v>Wet</v>
      </c>
      <c r="C443" s="253">
        <f>Wetseason!C589</f>
        <v>148</v>
      </c>
      <c r="D443" t="s">
        <v>3124</v>
      </c>
      <c r="E443" t="s">
        <v>25</v>
      </c>
      <c r="F443" s="375">
        <v>4</v>
      </c>
      <c r="G443" s="16">
        <f>'WetLitterbags placem_collection'!E150</f>
        <v>42762</v>
      </c>
      <c r="H443" s="92" t="str">
        <f>Wetseason!L589</f>
        <v>G807</v>
      </c>
      <c r="I443" t="str">
        <f>Wetseason!L809</f>
        <v>R20</v>
      </c>
      <c r="J443">
        <f>IFERROR(INDEX('Green_rooibos initial weight'!$C$5:$C$2000,MATCH(H443, 'Green_rooibos initial weight'!$A$5:$A$2000,0)),"")</f>
        <v>2.0310000000000001</v>
      </c>
      <c r="K443">
        <f>IFERROR(INDEX('Green_rooibos initial weight'!$C$5:$C$2000,MATCH(I443, 'Green_rooibos initial weight'!$A$5:$A$2000,0)),"")</f>
        <v>2.2400000000000002</v>
      </c>
      <c r="L443" s="194">
        <f t="shared" si="71"/>
        <v>1.7812000000000001</v>
      </c>
      <c r="M443" s="194">
        <f>AVERAGE(Ashed_controlls!$K$2:$K$11)</f>
        <v>5.5147656768714146</v>
      </c>
      <c r="N443" s="194">
        <f t="shared" si="68"/>
        <v>1.6829709937635664</v>
      </c>
      <c r="O443" s="194">
        <f t="shared" si="72"/>
        <v>1.9902000000000002</v>
      </c>
      <c r="P443" s="194">
        <f>AVERAGE(Ashed_controlls!$K$12:$K$14)</f>
        <v>2.2816647271287041</v>
      </c>
      <c r="Q443" s="194">
        <f t="shared" si="73"/>
        <v>1.9447903086006848</v>
      </c>
      <c r="R443" s="16">
        <f>IF('WetLitterbags placem_collection'!G150="","",'WetLitterbags placem_collection'!G150)</f>
        <v>42816</v>
      </c>
      <c r="S443" s="194">
        <f>IFERROR(INDEX('Both teabags AfterWet'!$C$3:$C$2000,MATCH(H443,'Both teabags AfterWet'!$A$3:$A$2000,0)),"")</f>
        <v>0.74309999999999998</v>
      </c>
      <c r="T443" s="194">
        <f>IFERROR(INDEX('Both teabags AfterWet'!$C$3:$C$2000,MATCH(I443,'Both teabags AfterWet'!$A$3:$A$2000,0)),"")</f>
        <v>1.6375999999999999</v>
      </c>
      <c r="U443" s="194">
        <f t="shared" si="74"/>
        <v>0.59250000000000003</v>
      </c>
      <c r="V443" s="194">
        <f t="shared" si="75"/>
        <v>1.4869999999999999</v>
      </c>
      <c r="W443" s="194">
        <f>IFERROR(INDEX('Ashed teabags wet'!$K$2:$K$2000,MATCH(H443,'Ashed teabags wet'!$A$2:$A$2000,0)),"")</f>
        <v>19.203072491598501</v>
      </c>
      <c r="X443" s="233">
        <f>IFERROR(INDEX('Ashed teabags wet'!$K$2:$K$2000,MATCH(I443,'Ashed teabags wet'!$A$2:$A$2000,0)),"")</f>
        <v>56.818181818177493</v>
      </c>
      <c r="Y443" s="194">
        <f t="shared" si="80"/>
        <v>0.47872179548727889</v>
      </c>
      <c r="Z443" s="194">
        <f t="shared" si="80"/>
        <v>0.64211363636370067</v>
      </c>
      <c r="AA443" s="194">
        <f t="shared" si="76"/>
        <v>0.71554958626070508</v>
      </c>
      <c r="AB443" s="194">
        <f t="shared" si="77"/>
        <v>0.4691013914678257</v>
      </c>
      <c r="AC443" s="194">
        <f t="shared" si="69"/>
        <v>0.33017114160020378</v>
      </c>
      <c r="AD443">
        <f t="shared" si="70"/>
        <v>54</v>
      </c>
      <c r="AE443" s="194">
        <f t="shared" si="78"/>
        <v>0.15017863864524339</v>
      </c>
      <c r="AF443" s="194" t="str">
        <f t="shared" si="79"/>
        <v/>
      </c>
      <c r="AG443" s="245" t="str">
        <f>IF(ISNUMBER(SEARCH("C",'WetLitterbags placem_collection'!$Y150)),"YES","NO")</f>
        <v>NO</v>
      </c>
      <c r="AH443" s="245" t="str">
        <f>IF(ISNUMBER(SEARCH("H", 'WetLitterbags placem_collection'!$Y150)),"YES","NO")</f>
        <v>NO</v>
      </c>
      <c r="AI443" s="245" t="str">
        <f>IF(ISNUMBER(SEARCH("R", 'WetLitterbags placem_collection'!$Y150)),"YES","NO")</f>
        <v>NO</v>
      </c>
      <c r="AJ443" s="245" t="str">
        <f>IF(ISNUMBER(SEARCH("C", 'WetLitterbags placem_collection'!$W150)),"YES","NO")</f>
        <v>NO</v>
      </c>
      <c r="AK443" s="245" t="str">
        <f>IF(ISNUMBER(SEARCH("H", 'WetLitterbags placem_collection'!$W150)),"YES","NO")</f>
        <v>YES</v>
      </c>
      <c r="AL443" s="245" t="str">
        <f>IF(ISNUMBER(SEARCH("R", 'WetLitterbags placem_collection'!$W150)),"YES","NO")</f>
        <v>NO</v>
      </c>
    </row>
    <row r="444" spans="2:38">
      <c r="B444" t="str">
        <f>Wetseason!B590</f>
        <v>Wet</v>
      </c>
      <c r="C444" s="253">
        <f>Wetseason!C590</f>
        <v>149</v>
      </c>
      <c r="D444" t="s">
        <v>3124</v>
      </c>
      <c r="E444" t="s">
        <v>25</v>
      </c>
      <c r="F444" s="375">
        <v>5</v>
      </c>
      <c r="G444" s="16">
        <f>'WetLitterbags placem_collection'!E151</f>
        <v>42762</v>
      </c>
      <c r="H444" s="92" t="str">
        <f>Wetseason!L590</f>
        <v>G696</v>
      </c>
      <c r="I444" t="str">
        <f>Wetseason!L810</f>
        <v>R533</v>
      </c>
      <c r="J444">
        <f>IFERROR(INDEX('Green_rooibos initial weight'!$C$5:$C$2000,MATCH(H444, 'Green_rooibos initial weight'!$A$5:$A$2000,0)),"")</f>
        <v>2.036</v>
      </c>
      <c r="K444">
        <f>IFERROR(INDEX('Green_rooibos initial weight'!$C$5:$C$2000,MATCH(I444, 'Green_rooibos initial weight'!$A$5:$A$2000,0)),"")</f>
        <v>2.1970000000000001</v>
      </c>
      <c r="L444" s="194">
        <f t="shared" si="71"/>
        <v>1.7862</v>
      </c>
      <c r="M444" s="194">
        <f>AVERAGE(Ashed_controlls!$K$2:$K$11)</f>
        <v>5.5147656768714146</v>
      </c>
      <c r="N444" s="194">
        <f t="shared" si="68"/>
        <v>1.6876952554797229</v>
      </c>
      <c r="O444" s="194">
        <f t="shared" si="72"/>
        <v>1.9472</v>
      </c>
      <c r="P444" s="194">
        <f>AVERAGE(Ashed_controlls!$K$12:$K$14)</f>
        <v>2.2816647271287041</v>
      </c>
      <c r="Q444" s="194">
        <f t="shared" si="73"/>
        <v>1.90277142443335</v>
      </c>
      <c r="R444" s="16">
        <f>IF('WetLitterbags placem_collection'!G151="","",'WetLitterbags placem_collection'!G151)</f>
        <v>42816</v>
      </c>
      <c r="S444" s="194">
        <f>IFERROR(INDEX('Both teabags AfterWet'!$C$3:$C$2000,MATCH(H444,'Both teabags AfterWet'!$A$3:$A$2000,0)),"")</f>
        <v>0.82469999999999999</v>
      </c>
      <c r="T444" s="194">
        <f>IFERROR(INDEX('Both teabags AfterWet'!$C$3:$C$2000,MATCH(I444,'Both teabags AfterWet'!$A$3:$A$2000,0)),"")</f>
        <v>1.7899</v>
      </c>
      <c r="U444" s="194">
        <f t="shared" si="74"/>
        <v>0.67409999999999992</v>
      </c>
      <c r="V444" s="194">
        <f t="shared" si="75"/>
        <v>1.6393</v>
      </c>
      <c r="W444" s="194">
        <f>IFERROR(INDEX('Ashed teabags wet'!$K$2:$K$2000,MATCH(H444,'Ashed teabags wet'!$A$2:$A$2000,0)),"")</f>
        <v>31.23781676413266</v>
      </c>
      <c r="X444" s="233">
        <f>IFERROR(INDEX('Ashed teabags wet'!$K$2:$K$2000,MATCH(I444,'Ashed teabags wet'!$A$2:$A$2000,0)),"")</f>
        <v>11.542288557213293</v>
      </c>
      <c r="Y444" s="194">
        <f t="shared" si="80"/>
        <v>0.46352587719298166</v>
      </c>
      <c r="Z444" s="194">
        <f t="shared" si="80"/>
        <v>1.4500872636816025</v>
      </c>
      <c r="AA444" s="194">
        <f t="shared" si="76"/>
        <v>0.72534977764026143</v>
      </c>
      <c r="AB444" s="194">
        <f t="shared" si="77"/>
        <v>0.475526220020694</v>
      </c>
      <c r="AC444" s="194">
        <f t="shared" si="69"/>
        <v>0.76209220143898371</v>
      </c>
      <c r="AD444">
        <f t="shared" si="70"/>
        <v>54</v>
      </c>
      <c r="AE444" s="194">
        <f t="shared" si="78"/>
        <v>0.13853945648425003</v>
      </c>
      <c r="AF444" s="194">
        <f t="shared" si="79"/>
        <v>1.2847331603435199E-2</v>
      </c>
      <c r="AG444" s="245" t="str">
        <f>IF(ISNUMBER(SEARCH("C",'WetLitterbags placem_collection'!$Y151)),"YES","NO")</f>
        <v>NO</v>
      </c>
      <c r="AH444" s="245" t="str">
        <f>IF(ISNUMBER(SEARCH("H", 'WetLitterbags placem_collection'!$Y151)),"YES","NO")</f>
        <v>NO</v>
      </c>
      <c r="AI444" s="245" t="str">
        <f>IF(ISNUMBER(SEARCH("R", 'WetLitterbags placem_collection'!$Y151)),"YES","NO")</f>
        <v>NO</v>
      </c>
      <c r="AJ444" s="245" t="str">
        <f>IF(ISNUMBER(SEARCH("C", 'WetLitterbags placem_collection'!$W151)),"YES","NO")</f>
        <v>NO</v>
      </c>
      <c r="AK444" s="245" t="str">
        <f>IF(ISNUMBER(SEARCH("H", 'WetLitterbags placem_collection'!$W151)),"YES","NO")</f>
        <v>NO</v>
      </c>
      <c r="AL444" s="245" t="str">
        <f>IF(ISNUMBER(SEARCH("R", 'WetLitterbags placem_collection'!$W151)),"YES","NO")</f>
        <v>NO</v>
      </c>
    </row>
    <row r="445" spans="2:38">
      <c r="B445" t="str">
        <f>Wetseason!B591</f>
        <v>Wet</v>
      </c>
      <c r="C445" s="253">
        <f>Wetseason!C591</f>
        <v>150</v>
      </c>
      <c r="D445" t="s">
        <v>3124</v>
      </c>
      <c r="E445" t="s">
        <v>25</v>
      </c>
      <c r="F445" s="375">
        <v>6</v>
      </c>
      <c r="G445" s="16">
        <f>'WetLitterbags placem_collection'!E152</f>
        <v>42762</v>
      </c>
      <c r="H445" s="92" t="str">
        <f>Wetseason!L591</f>
        <v>G801</v>
      </c>
      <c r="I445" t="str">
        <f>Wetseason!L811</f>
        <v>R572</v>
      </c>
      <c r="J445">
        <f>IFERROR(INDEX('Green_rooibos initial weight'!$C$5:$C$2000,MATCH(H445, 'Green_rooibos initial weight'!$A$5:$A$2000,0)),"")</f>
        <v>2.0720000000000001</v>
      </c>
      <c r="K445">
        <f>IFERROR(INDEX('Green_rooibos initial weight'!$C$5:$C$2000,MATCH(I445, 'Green_rooibos initial weight'!$A$5:$A$2000,0)),"")</f>
        <v>2.0819999999999999</v>
      </c>
      <c r="L445" s="194">
        <f t="shared" si="71"/>
        <v>1.8222</v>
      </c>
      <c r="M445" s="194">
        <f>AVERAGE(Ashed_controlls!$K$2:$K$11)</f>
        <v>5.5147656768714146</v>
      </c>
      <c r="N445" s="194">
        <f t="shared" si="68"/>
        <v>1.7217099398360491</v>
      </c>
      <c r="O445" s="194">
        <f t="shared" si="72"/>
        <v>1.8321999999999998</v>
      </c>
      <c r="P445" s="194">
        <f>AVERAGE(Ashed_controlls!$K$12:$K$14)</f>
        <v>2.2816647271287041</v>
      </c>
      <c r="Q445" s="194">
        <f t="shared" si="73"/>
        <v>1.7903953388695477</v>
      </c>
      <c r="R445" s="16">
        <f>IF('WetLitterbags placem_collection'!G152="","",'WetLitterbags placem_collection'!G152)</f>
        <v>42816</v>
      </c>
      <c r="S445" s="194">
        <f>IFERROR(INDEX('Both teabags AfterWet'!$C$3:$C$2000,MATCH(H445,'Both teabags AfterWet'!$A$3:$A$2000,0)),"")</f>
        <v>0.60099999999999998</v>
      </c>
      <c r="T445" s="194">
        <f>IFERROR(INDEX('Both teabags AfterWet'!$C$3:$C$2000,MATCH(I445,'Both teabags AfterWet'!$A$3:$A$2000,0)),"")</f>
        <v>1.5680000000000001</v>
      </c>
      <c r="U445" s="194">
        <f t="shared" si="74"/>
        <v>0.45039999999999997</v>
      </c>
      <c r="V445" s="194">
        <f t="shared" si="75"/>
        <v>1.4174</v>
      </c>
      <c r="W445" s="194">
        <f>IFERROR(INDEX('Ashed teabags wet'!$K$2:$K$2000,MATCH(H445,'Ashed teabags wet'!$A$2:$A$2000,0)),"")</f>
        <v>20.08862629246671</v>
      </c>
      <c r="X445" s="233">
        <f>IFERROR(INDEX('Ashed teabags wet'!$K$2:$K$2000,MATCH(I445,'Ashed teabags wet'!$A$2:$A$2000,0)),"")</f>
        <v>7.1853320118927355</v>
      </c>
      <c r="Y445" s="194">
        <f t="shared" si="80"/>
        <v>0.35992082717872992</v>
      </c>
      <c r="Z445" s="194">
        <f t="shared" si="80"/>
        <v>1.3155551040634323</v>
      </c>
      <c r="AA445" s="194">
        <f t="shared" si="76"/>
        <v>0.7909515308873668</v>
      </c>
      <c r="AB445" s="194">
        <f t="shared" si="77"/>
        <v>0.51853354518981776</v>
      </c>
      <c r="AC445" s="194">
        <f t="shared" si="69"/>
        <v>0.73478470117894268</v>
      </c>
      <c r="AD445">
        <f t="shared" si="70"/>
        <v>54</v>
      </c>
      <c r="AE445" s="194">
        <f t="shared" si="78"/>
        <v>6.0627635525692614E-2</v>
      </c>
      <c r="AF445" s="194">
        <f t="shared" si="79"/>
        <v>1.3265891354643415E-2</v>
      </c>
      <c r="AG445" s="245" t="str">
        <f>IF(ISNUMBER(SEARCH("C",'WetLitterbags placem_collection'!$Y152)),"YES","NO")</f>
        <v>NO</v>
      </c>
      <c r="AH445" s="245" t="str">
        <f>IF(ISNUMBER(SEARCH("H", 'WetLitterbags placem_collection'!$Y152)),"YES","NO")</f>
        <v>NO</v>
      </c>
      <c r="AI445" s="245" t="str">
        <f>IF(ISNUMBER(SEARCH("R", 'WetLitterbags placem_collection'!$Y152)),"YES","NO")</f>
        <v>NO</v>
      </c>
      <c r="AJ445" s="245" t="str">
        <f>IF(ISNUMBER(SEARCH("C", 'WetLitterbags placem_collection'!$W152)),"YES","NO")</f>
        <v>NO</v>
      </c>
      <c r="AK445" s="245" t="str">
        <f>IF(ISNUMBER(SEARCH("H", 'WetLitterbags placem_collection'!$W152)),"YES","NO")</f>
        <v>NO</v>
      </c>
      <c r="AL445" s="245" t="str">
        <f>IF(ISNUMBER(SEARCH("R", 'WetLitterbags placem_collection'!$W152)),"YES","NO")</f>
        <v>NO</v>
      </c>
    </row>
    <row r="446" spans="2:38">
      <c r="B446" t="str">
        <f>Wetseason!B592</f>
        <v>Wet</v>
      </c>
      <c r="C446" s="253">
        <f>Wetseason!C592</f>
        <v>151</v>
      </c>
      <c r="D446" t="s">
        <v>3124</v>
      </c>
      <c r="E446" t="s">
        <v>25</v>
      </c>
      <c r="F446" s="375">
        <v>7</v>
      </c>
      <c r="G446" s="16">
        <f>'WetLitterbags placem_collection'!E153</f>
        <v>42762</v>
      </c>
      <c r="H446" s="92" t="str">
        <f>Wetseason!L592</f>
        <v>G647</v>
      </c>
      <c r="I446" t="str">
        <f>Wetseason!L812</f>
        <v>R504</v>
      </c>
      <c r="J446">
        <f>IFERROR(INDEX('Green_rooibos initial weight'!$C$5:$C$2000,MATCH(H446, 'Green_rooibos initial weight'!$A$5:$A$2000,0)),"")</f>
        <v>2.1240000000000001</v>
      </c>
      <c r="K446">
        <f>IFERROR(INDEX('Green_rooibos initial weight'!$C$5:$C$2000,MATCH(I446, 'Green_rooibos initial weight'!$A$5:$A$2000,0)),"")</f>
        <v>2.1629999999999998</v>
      </c>
      <c r="L446" s="194">
        <f t="shared" si="71"/>
        <v>1.8742000000000001</v>
      </c>
      <c r="M446" s="194">
        <f>AVERAGE(Ashed_controlls!$K$2:$K$11)</f>
        <v>5.5147656768714146</v>
      </c>
      <c r="N446" s="194">
        <f t="shared" si="68"/>
        <v>1.770842261684076</v>
      </c>
      <c r="O446" s="194">
        <f t="shared" si="72"/>
        <v>1.9131999999999998</v>
      </c>
      <c r="P446" s="194">
        <f>AVERAGE(Ashed_controlls!$K$12:$K$14)</f>
        <v>2.2816647271287041</v>
      </c>
      <c r="Q446" s="194">
        <f t="shared" si="73"/>
        <v>1.8695471904405734</v>
      </c>
      <c r="R446" s="16">
        <f>IF('WetLitterbags placem_collection'!G153="","",'WetLitterbags placem_collection'!G153)</f>
        <v>42816</v>
      </c>
      <c r="S446" s="194">
        <f>IFERROR(INDEX('Both teabags AfterWet'!$C$3:$C$2000,MATCH(H446,'Both teabags AfterWet'!$A$3:$A$2000,0)),"")</f>
        <v>0.78700000000000003</v>
      </c>
      <c r="T446" s="194">
        <f>IFERROR(INDEX('Both teabags AfterWet'!$C$3:$C$2000,MATCH(I446,'Both teabags AfterWet'!$A$3:$A$2000,0)),"")</f>
        <v>1.798</v>
      </c>
      <c r="U446" s="194">
        <f t="shared" si="74"/>
        <v>0.63640000000000008</v>
      </c>
      <c r="V446" s="194">
        <f t="shared" si="75"/>
        <v>1.6474</v>
      </c>
      <c r="W446" s="194">
        <f>IFERROR(INDEX('Ashed teabags wet'!$K$2:$K$2000,MATCH(H446,'Ashed teabags wet'!$A$2:$A$2000,0)),"")</f>
        <v>20.305781175346262</v>
      </c>
      <c r="X446" s="233">
        <f>IFERROR(INDEX('Ashed teabags wet'!$K$2:$K$2000,MATCH(I446,'Ashed teabags wet'!$A$2:$A$2000,0)),"")</f>
        <v>6.3484251968501049</v>
      </c>
      <c r="Y446" s="194">
        <f t="shared" si="80"/>
        <v>0.50717400860009643</v>
      </c>
      <c r="Z446" s="194">
        <f t="shared" si="80"/>
        <v>1.5428160433070914</v>
      </c>
      <c r="AA446" s="194">
        <f t="shared" si="76"/>
        <v>0.71359729797854921</v>
      </c>
      <c r="AB446" s="194">
        <f t="shared" si="77"/>
        <v>0.46782150651325322</v>
      </c>
      <c r="AC446" s="194">
        <f t="shared" si="69"/>
        <v>0.82523514313833113</v>
      </c>
      <c r="AD446">
        <f t="shared" si="70"/>
        <v>54</v>
      </c>
      <c r="AE446" s="194">
        <f t="shared" si="78"/>
        <v>0.15249727080932396</v>
      </c>
      <c r="AF446" s="194">
        <f t="shared" si="79"/>
        <v>8.6614980181292395E-3</v>
      </c>
      <c r="AG446" s="245" t="str">
        <f>IF(ISNUMBER(SEARCH("C",'WetLitterbags placem_collection'!$Y153)),"YES","NO")</f>
        <v>NO</v>
      </c>
      <c r="AH446" s="245" t="str">
        <f>IF(ISNUMBER(SEARCH("H", 'WetLitterbags placem_collection'!$Y153)),"YES","NO")</f>
        <v>NO</v>
      </c>
      <c r="AI446" s="245" t="str">
        <f>IF(ISNUMBER(SEARCH("R", 'WetLitterbags placem_collection'!$Y153)),"YES","NO")</f>
        <v>NO</v>
      </c>
      <c r="AJ446" s="245" t="str">
        <f>IF(ISNUMBER(SEARCH("C", 'WetLitterbags placem_collection'!$W153)),"YES","NO")</f>
        <v>NO</v>
      </c>
      <c r="AK446" s="245" t="str">
        <f>IF(ISNUMBER(SEARCH("H", 'WetLitterbags placem_collection'!$W153)),"YES","NO")</f>
        <v>NO</v>
      </c>
      <c r="AL446" s="245" t="str">
        <f>IF(ISNUMBER(SEARCH("R", 'WetLitterbags placem_collection'!$W153)),"YES","NO")</f>
        <v>NO</v>
      </c>
    </row>
    <row r="447" spans="2:38">
      <c r="B447" t="str">
        <f>Wetseason!B593</f>
        <v>Wet</v>
      </c>
      <c r="C447" s="253">
        <f>Wetseason!C593</f>
        <v>152</v>
      </c>
      <c r="D447" t="s">
        <v>3124</v>
      </c>
      <c r="E447" t="s">
        <v>25</v>
      </c>
      <c r="F447" s="375">
        <v>8</v>
      </c>
      <c r="G447" s="16">
        <f>'WetLitterbags placem_collection'!E154</f>
        <v>42762</v>
      </c>
      <c r="H447" s="92" t="str">
        <f>Wetseason!L593</f>
        <v>G744</v>
      </c>
      <c r="I447" t="str">
        <f>Wetseason!L813</f>
        <v>R579</v>
      </c>
      <c r="J447">
        <f>IFERROR(INDEX('Green_rooibos initial weight'!$C$5:$C$2000,MATCH(H447, 'Green_rooibos initial weight'!$A$5:$A$2000,0)),"")</f>
        <v>2.085</v>
      </c>
      <c r="K447">
        <f>IFERROR(INDEX('Green_rooibos initial weight'!$C$5:$C$2000,MATCH(I447, 'Green_rooibos initial weight'!$A$5:$A$2000,0)),"")</f>
        <v>2.1349999999999998</v>
      </c>
      <c r="L447" s="194">
        <f t="shared" si="71"/>
        <v>1.8351999999999999</v>
      </c>
      <c r="M447" s="194">
        <f>AVERAGE(Ashed_controlls!$K$2:$K$11)</f>
        <v>5.5147656768714146</v>
      </c>
      <c r="N447" s="194">
        <f t="shared" si="68"/>
        <v>1.7339930202980558</v>
      </c>
      <c r="O447" s="194">
        <f t="shared" si="72"/>
        <v>1.8851999999999998</v>
      </c>
      <c r="P447" s="194">
        <f>AVERAGE(Ashed_controlls!$K$12:$K$14)</f>
        <v>2.2816647271287041</v>
      </c>
      <c r="Q447" s="194">
        <f t="shared" si="73"/>
        <v>1.8421860565641694</v>
      </c>
      <c r="R447" s="16">
        <f>IF('WetLitterbags placem_collection'!G154="","",'WetLitterbags placem_collection'!G154)</f>
        <v>42816</v>
      </c>
      <c r="S447" s="194">
        <f>IFERROR(INDEX('Both teabags AfterWet'!$C$3:$C$2000,MATCH(H447,'Both teabags AfterWet'!$A$3:$A$2000,0)),"")</f>
        <v>0.62919999999999998</v>
      </c>
      <c r="T447" s="194">
        <f>IFERROR(INDEX('Both teabags AfterWet'!$C$3:$C$2000,MATCH(I447,'Both teabags AfterWet'!$A$3:$A$2000,0)),"")</f>
        <v>1.5234000000000001</v>
      </c>
      <c r="U447" s="194">
        <f t="shared" si="74"/>
        <v>0.47859999999999997</v>
      </c>
      <c r="V447" s="194">
        <f t="shared" si="75"/>
        <v>1.3728</v>
      </c>
      <c r="W447" s="194">
        <f>IFERROR(INDEX('Ashed teabags wet'!$K$2:$K$2000,MATCH(H447,'Ashed teabags wet'!$A$2:$A$2000,0)),"")</f>
        <v>13.529411764705387</v>
      </c>
      <c r="X447" s="233">
        <f>IFERROR(INDEX('Ashed teabags wet'!$K$2:$K$2000,MATCH(I447,'Ashed teabags wet'!$A$2:$A$2000,0)),"")</f>
        <v>5.1525762881442967</v>
      </c>
      <c r="Y447" s="194">
        <f t="shared" si="80"/>
        <v>0.41384823529411996</v>
      </c>
      <c r="Z447" s="194">
        <f t="shared" si="80"/>
        <v>1.302065432716355</v>
      </c>
      <c r="AA447" s="194">
        <f t="shared" si="76"/>
        <v>0.761332236952728</v>
      </c>
      <c r="AB447" s="194">
        <f t="shared" si="77"/>
        <v>0.49911567078136093</v>
      </c>
      <c r="AC447" s="194">
        <f t="shared" si="69"/>
        <v>0.7068045206817033</v>
      </c>
      <c r="AD447">
        <f t="shared" si="70"/>
        <v>54</v>
      </c>
      <c r="AE447" s="194">
        <f t="shared" si="78"/>
        <v>9.5804944236665079E-2</v>
      </c>
      <c r="AF447" s="194">
        <f t="shared" si="79"/>
        <v>1.639535556335369E-2</v>
      </c>
      <c r="AG447" s="245" t="str">
        <f>IF(ISNUMBER(SEARCH("C",'WetLitterbags placem_collection'!$Y154)),"YES","NO")</f>
        <v>NO</v>
      </c>
      <c r="AH447" s="245" t="str">
        <f>IF(ISNUMBER(SEARCH("H", 'WetLitterbags placem_collection'!$Y154)),"YES","NO")</f>
        <v>NO</v>
      </c>
      <c r="AI447" s="245" t="str">
        <f>IF(ISNUMBER(SEARCH("R", 'WetLitterbags placem_collection'!$Y154)),"YES","NO")</f>
        <v>NO</v>
      </c>
      <c r="AJ447" s="245" t="str">
        <f>IF(ISNUMBER(SEARCH("C", 'WetLitterbags placem_collection'!$W154)),"YES","NO")</f>
        <v>NO</v>
      </c>
      <c r="AK447" s="245" t="str">
        <f>IF(ISNUMBER(SEARCH("H", 'WetLitterbags placem_collection'!$W154)),"YES","NO")</f>
        <v>NO</v>
      </c>
      <c r="AL447" s="245" t="str">
        <f>IF(ISNUMBER(SEARCH("R", 'WetLitterbags placem_collection'!$W154)),"YES","NO")</f>
        <v>YES</v>
      </c>
    </row>
    <row r="448" spans="2:38">
      <c r="B448" t="str">
        <f>Wetseason!B594</f>
        <v>Wet</v>
      </c>
      <c r="C448" s="253">
        <f>Wetseason!C594</f>
        <v>153</v>
      </c>
      <c r="D448" t="s">
        <v>3125</v>
      </c>
      <c r="E448" t="s">
        <v>25</v>
      </c>
      <c r="F448" s="374">
        <v>1</v>
      </c>
      <c r="G448" s="16">
        <f>'WetLitterbags placem_collection'!E155</f>
        <v>42762</v>
      </c>
      <c r="H448" s="92" t="str">
        <f>Wetseason!L594</f>
        <v>G885</v>
      </c>
      <c r="I448" t="str">
        <f>Wetseason!L814</f>
        <v>R440</v>
      </c>
      <c r="J448">
        <f>IFERROR(INDEX('Green_rooibos initial weight'!$C$5:$C$2000,MATCH(H448, 'Green_rooibos initial weight'!$A$5:$A$2000,0)),"")</f>
        <v>1.8939999999999999</v>
      </c>
      <c r="K448">
        <f>IFERROR(INDEX('Green_rooibos initial weight'!$C$5:$C$2000,MATCH(I448, 'Green_rooibos initial weight'!$A$5:$A$2000,0)),"")</f>
        <v>2.1110000000000002</v>
      </c>
      <c r="L448" s="194">
        <f t="shared" si="71"/>
        <v>1.6441999999999999</v>
      </c>
      <c r="M448" s="194">
        <f>AVERAGE(Ashed_controlls!$K$2:$K$11)</f>
        <v>5.5147656768714146</v>
      </c>
      <c r="N448" s="194">
        <f t="shared" si="68"/>
        <v>1.5535262227408801</v>
      </c>
      <c r="O448" s="194">
        <f t="shared" si="72"/>
        <v>1.8612000000000002</v>
      </c>
      <c r="P448" s="194">
        <f>AVERAGE(Ashed_controlls!$K$12:$K$14)</f>
        <v>2.2816647271287041</v>
      </c>
      <c r="Q448" s="194">
        <f t="shared" si="73"/>
        <v>1.8187336560986807</v>
      </c>
      <c r="R448" s="16">
        <f>IF('WetLitterbags placem_collection'!G155="","",'WetLitterbags placem_collection'!G155)</f>
        <v>42816</v>
      </c>
      <c r="S448" s="194">
        <f>IFERROR(INDEX('Both teabags AfterWet'!$C$3:$C$2000,MATCH(H448,'Both teabags AfterWet'!$A$3:$A$2000,0)),"")</f>
        <v>0.5756</v>
      </c>
      <c r="T448" s="194">
        <f>IFERROR(INDEX('Both teabags AfterWet'!$C$3:$C$2000,MATCH(I448,'Both teabags AfterWet'!$A$3:$A$2000,0)),"")</f>
        <v>1.6322000000000001</v>
      </c>
      <c r="U448" s="194">
        <f t="shared" si="74"/>
        <v>0.42499999999999999</v>
      </c>
      <c r="V448" s="194">
        <f t="shared" si="75"/>
        <v>1.4816</v>
      </c>
      <c r="W448" s="194">
        <f>IFERROR(INDEX('Ashed teabags wet'!$K$2:$K$2000,MATCH(H448,'Ashed teabags wet'!$A$2:$A$2000,0)),"")</f>
        <v>12.119700748128949</v>
      </c>
      <c r="X448" s="233">
        <f>IFERROR(INDEX('Ashed teabags wet'!$K$2:$K$2000,MATCH(I448,'Ashed teabags wet'!$A$2:$A$2000,0)),"")</f>
        <v>4.0218470705065492</v>
      </c>
      <c r="Y448" s="194">
        <f t="shared" si="80"/>
        <v>0.37349127182045194</v>
      </c>
      <c r="Z448" s="194">
        <f t="shared" si="80"/>
        <v>1.4220123138033749</v>
      </c>
      <c r="AA448" s="194">
        <f t="shared" si="76"/>
        <v>0.75958482943306693</v>
      </c>
      <c r="AB448" s="194">
        <f t="shared" si="77"/>
        <v>0.4979701019561199</v>
      </c>
      <c r="AC448" s="194">
        <f t="shared" si="69"/>
        <v>0.78186946672208035</v>
      </c>
      <c r="AD448">
        <f t="shared" si="70"/>
        <v>54</v>
      </c>
      <c r="AE448" s="194">
        <f t="shared" si="78"/>
        <v>9.788025007949297E-2</v>
      </c>
      <c r="AF448" s="194">
        <f t="shared" si="79"/>
        <v>1.0672658685858557E-2</v>
      </c>
      <c r="AG448" s="245" t="str">
        <f>IF(ISNUMBER(SEARCH("C",'WetLitterbags placem_collection'!$Y155)),"YES","NO")</f>
        <v>NO</v>
      </c>
      <c r="AH448" s="245" t="str">
        <f>IF(ISNUMBER(SEARCH("H", 'WetLitterbags placem_collection'!$Y155)),"YES","NO")</f>
        <v>NO</v>
      </c>
      <c r="AI448" s="245" t="str">
        <f>IF(ISNUMBER(SEARCH("R", 'WetLitterbags placem_collection'!$Y155)),"YES","NO")</f>
        <v>NO</v>
      </c>
      <c r="AJ448" s="245" t="str">
        <f>IF(ISNUMBER(SEARCH("C", 'WetLitterbags placem_collection'!$W155)),"YES","NO")</f>
        <v>NO</v>
      </c>
      <c r="AK448" s="245" t="str">
        <f>IF(ISNUMBER(SEARCH("H", 'WetLitterbags placem_collection'!$W155)),"YES","NO")</f>
        <v>YES</v>
      </c>
      <c r="AL448" s="245" t="str">
        <f>IF(ISNUMBER(SEARCH("R", 'WetLitterbags placem_collection'!$W155)),"YES","NO")</f>
        <v>YES</v>
      </c>
    </row>
    <row r="449" spans="2:38">
      <c r="B449" t="str">
        <f>Wetseason!B595</f>
        <v>Wet</v>
      </c>
      <c r="C449" s="253">
        <f>Wetseason!C595</f>
        <v>154</v>
      </c>
      <c r="D449" t="s">
        <v>3125</v>
      </c>
      <c r="E449" t="s">
        <v>25</v>
      </c>
      <c r="F449" s="374">
        <v>2</v>
      </c>
      <c r="G449" s="16">
        <f>'WetLitterbags placem_collection'!E156</f>
        <v>42762</v>
      </c>
      <c r="H449" s="92" t="str">
        <f>Wetseason!L595</f>
        <v>G684</v>
      </c>
      <c r="I449" t="str">
        <f>Wetseason!L815</f>
        <v>R485</v>
      </c>
      <c r="J449">
        <f>IFERROR(INDEX('Green_rooibos initial weight'!$C$5:$C$2000,MATCH(H449, 'Green_rooibos initial weight'!$A$5:$A$2000,0)),"")</f>
        <v>2.0819999999999999</v>
      </c>
      <c r="K449">
        <f>IFERROR(INDEX('Green_rooibos initial weight'!$C$5:$C$2000,MATCH(I449, 'Green_rooibos initial weight'!$A$5:$A$2000,0)),"")</f>
        <v>2.242</v>
      </c>
      <c r="L449" s="194">
        <f t="shared" si="71"/>
        <v>1.8321999999999998</v>
      </c>
      <c r="M449" s="194">
        <f>AVERAGE(Ashed_controlls!$K$2:$K$11)</f>
        <v>5.5147656768714146</v>
      </c>
      <c r="N449" s="194">
        <f t="shared" si="68"/>
        <v>1.7311584632683619</v>
      </c>
      <c r="O449" s="194">
        <f t="shared" si="72"/>
        <v>1.9922</v>
      </c>
      <c r="P449" s="194">
        <f>AVERAGE(Ashed_controlls!$K$12:$K$14)</f>
        <v>2.2816647271287041</v>
      </c>
      <c r="Q449" s="194">
        <f t="shared" si="73"/>
        <v>1.9467446753061419</v>
      </c>
      <c r="R449" s="16">
        <f>IF('WetLitterbags placem_collection'!G156="","",'WetLitterbags placem_collection'!G156)</f>
        <v>42816</v>
      </c>
      <c r="S449" s="194">
        <f>IFERROR(INDEX('Both teabags AfterWet'!$C$3:$C$2000,MATCH(H449,'Both teabags AfterWet'!$A$3:$A$2000,0)),"")</f>
        <v>0.60499999999999998</v>
      </c>
      <c r="T449" s="194">
        <f>IFERROR(INDEX('Both teabags AfterWet'!$C$3:$C$2000,MATCH(I449,'Both teabags AfterWet'!$A$3:$A$2000,0)),"")</f>
        <v>1.839</v>
      </c>
      <c r="U449" s="194">
        <f t="shared" si="74"/>
        <v>0.45439999999999997</v>
      </c>
      <c r="V449" s="194">
        <f t="shared" si="75"/>
        <v>1.6883999999999999</v>
      </c>
      <c r="W449" s="194">
        <f>IFERROR(INDEX('Ashed teabags wet'!$K$2:$K$2000,MATCH(H449,'Ashed teabags wet'!$A$2:$A$2000,0)),"")</f>
        <v>17.540322580645736</v>
      </c>
      <c r="X449" s="233">
        <f>IFERROR(INDEX('Ashed teabags wet'!$K$2:$K$2000,MATCH(I449,'Ashed teabags wet'!$A$2:$A$2000,0)),"")</f>
        <v>11.924381968008097</v>
      </c>
      <c r="Y449" s="194">
        <f t="shared" si="80"/>
        <v>0.37469677419354575</v>
      </c>
      <c r="Z449" s="194">
        <f t="shared" si="80"/>
        <v>1.4870687348521512</v>
      </c>
      <c r="AA449" s="194">
        <f t="shared" si="76"/>
        <v>0.78355720626167735</v>
      </c>
      <c r="AB449" s="194">
        <f t="shared" si="77"/>
        <v>0.51368595944946083</v>
      </c>
      <c r="AC449" s="194">
        <f t="shared" si="69"/>
        <v>0.76387456132032161</v>
      </c>
      <c r="AD449">
        <f t="shared" si="70"/>
        <v>54</v>
      </c>
      <c r="AE449" s="194">
        <f t="shared" si="78"/>
        <v>6.9409493750976936E-2</v>
      </c>
      <c r="AF449" s="194">
        <f t="shared" si="79"/>
        <v>1.1399501900538551E-2</v>
      </c>
      <c r="AG449" s="245" t="str">
        <f>IF(ISNUMBER(SEARCH("C",'WetLitterbags placem_collection'!$Y156)),"YES","NO")</f>
        <v>NO</v>
      </c>
      <c r="AH449" s="245" t="str">
        <f>IF(ISNUMBER(SEARCH("H", 'WetLitterbags placem_collection'!$Y156)),"YES","NO")</f>
        <v>NO</v>
      </c>
      <c r="AI449" s="245" t="str">
        <f>IF(ISNUMBER(SEARCH("R", 'WetLitterbags placem_collection'!$Y156)),"YES","NO")</f>
        <v>NO</v>
      </c>
      <c r="AJ449" s="245" t="str">
        <f>IF(ISNUMBER(SEARCH("C", 'WetLitterbags placem_collection'!$W156)),"YES","NO")</f>
        <v>YES</v>
      </c>
      <c r="AK449" s="245" t="str">
        <f>IF(ISNUMBER(SEARCH("H", 'WetLitterbags placem_collection'!$W156)),"YES","NO")</f>
        <v>YES</v>
      </c>
      <c r="AL449" s="245" t="str">
        <f>IF(ISNUMBER(SEARCH("R", 'WetLitterbags placem_collection'!$W156)),"YES","NO")</f>
        <v>NO</v>
      </c>
    </row>
    <row r="450" spans="2:38">
      <c r="B450" t="str">
        <f>Wetseason!B596</f>
        <v>Wet</v>
      </c>
      <c r="C450" s="253">
        <f>Wetseason!C596</f>
        <v>155</v>
      </c>
      <c r="D450" t="s">
        <v>3125</v>
      </c>
      <c r="E450" t="s">
        <v>25</v>
      </c>
      <c r="F450" s="374">
        <v>3</v>
      </c>
      <c r="G450" s="16">
        <f>'WetLitterbags placem_collection'!E157</f>
        <v>42762</v>
      </c>
      <c r="H450" s="92" t="str">
        <f>Wetseason!L596</f>
        <v>G827</v>
      </c>
      <c r="I450" t="str">
        <f>Wetseason!L816</f>
        <v>R556</v>
      </c>
      <c r="J450">
        <f>IFERROR(INDEX('Green_rooibos initial weight'!$C$5:$C$2000,MATCH(H450, 'Green_rooibos initial weight'!$A$5:$A$2000,0)),"")</f>
        <v>1.883</v>
      </c>
      <c r="K450">
        <f>IFERROR(INDEX('Green_rooibos initial weight'!$C$5:$C$2000,MATCH(I450, 'Green_rooibos initial weight'!$A$5:$A$2000,0)),"")</f>
        <v>2.0830000000000002</v>
      </c>
      <c r="L450" s="194">
        <f t="shared" si="71"/>
        <v>1.6332</v>
      </c>
      <c r="M450" s="194">
        <f>AVERAGE(Ashed_controlls!$K$2:$K$11)</f>
        <v>5.5147656768714146</v>
      </c>
      <c r="N450" s="194">
        <f t="shared" si="68"/>
        <v>1.543132846965336</v>
      </c>
      <c r="O450" s="194">
        <f t="shared" si="72"/>
        <v>1.8332000000000002</v>
      </c>
      <c r="P450" s="194">
        <f>AVERAGE(Ashed_controlls!$K$12:$K$14)</f>
        <v>2.2816647271287041</v>
      </c>
      <c r="Q450" s="194">
        <f t="shared" si="73"/>
        <v>1.7913725222222767</v>
      </c>
      <c r="R450" s="16">
        <f>IF('WetLitterbags placem_collection'!G157="","",'WetLitterbags placem_collection'!G157)</f>
        <v>42816</v>
      </c>
      <c r="S450" s="194">
        <f>IFERROR(INDEX('Both teabags AfterWet'!$C$3:$C$2000,MATCH(H450,'Both teabags AfterWet'!$A$3:$A$2000,0)),"")</f>
        <v>0.63800000000000001</v>
      </c>
      <c r="T450" s="194">
        <f>IFERROR(INDEX('Both teabags AfterWet'!$C$3:$C$2000,MATCH(I450,'Both teabags AfterWet'!$A$3:$A$2000,0)),"")</f>
        <v>1.643</v>
      </c>
      <c r="U450" s="194">
        <f t="shared" si="74"/>
        <v>0.4874</v>
      </c>
      <c r="V450" s="194">
        <f t="shared" si="75"/>
        <v>1.4923999999999999</v>
      </c>
      <c r="W450" s="194">
        <f>IFERROR(INDEX('Ashed teabags wet'!$K$2:$K$2000,MATCH(H450,'Ashed teabags wet'!$A$2:$A$2000,0)),"")</f>
        <v>19.219219219219006</v>
      </c>
      <c r="X450" s="233">
        <f>IFERROR(INDEX('Ashed teabags wet'!$K$2:$K$2000,MATCH(I450,'Ashed teabags wet'!$A$2:$A$2000,0)),"")</f>
        <v>7.5886170743882877</v>
      </c>
      <c r="Y450" s="194">
        <f t="shared" si="80"/>
        <v>0.39372552552552659</v>
      </c>
      <c r="Z450" s="194">
        <f t="shared" si="80"/>
        <v>1.3791474787818292</v>
      </c>
      <c r="AA450" s="194">
        <f t="shared" si="76"/>
        <v>0.74485312376065904</v>
      </c>
      <c r="AB450" s="194">
        <f t="shared" si="77"/>
        <v>0.48831226165781927</v>
      </c>
      <c r="AC450" s="194">
        <f t="shared" si="69"/>
        <v>0.76988312686126048</v>
      </c>
      <c r="AD450">
        <f t="shared" si="70"/>
        <v>54</v>
      </c>
      <c r="AE450" s="194">
        <f t="shared" si="78"/>
        <v>0.11537633757641441</v>
      </c>
      <c r="AF450" s="194">
        <f t="shared" si="79"/>
        <v>1.1800712287449158E-2</v>
      </c>
      <c r="AG450" s="245" t="str">
        <f>IF(ISNUMBER(SEARCH("C",'WetLitterbags placem_collection'!$Y157)),"YES","NO")</f>
        <v>NO</v>
      </c>
      <c r="AH450" s="245" t="str">
        <f>IF(ISNUMBER(SEARCH("H", 'WetLitterbags placem_collection'!$Y157)),"YES","NO")</f>
        <v>NO</v>
      </c>
      <c r="AI450" s="245" t="str">
        <f>IF(ISNUMBER(SEARCH("R", 'WetLitterbags placem_collection'!$Y157)),"YES","NO")</f>
        <v>NO</v>
      </c>
      <c r="AJ450" s="245" t="str">
        <f>IF(ISNUMBER(SEARCH("C", 'WetLitterbags placem_collection'!$W157)),"YES","NO")</f>
        <v>NO</v>
      </c>
      <c r="AK450" s="245" t="str">
        <f>IF(ISNUMBER(SEARCH("H", 'WetLitterbags placem_collection'!$W157)),"YES","NO")</f>
        <v>NO</v>
      </c>
      <c r="AL450" s="245" t="str">
        <f>IF(ISNUMBER(SEARCH("R", 'WetLitterbags placem_collection'!$W157)),"YES","NO")</f>
        <v>YES</v>
      </c>
    </row>
    <row r="451" spans="2:38">
      <c r="B451" t="str">
        <f>Wetseason!B597</f>
        <v>Wet</v>
      </c>
      <c r="C451" s="253">
        <f>Wetseason!C597</f>
        <v>156</v>
      </c>
      <c r="D451" t="s">
        <v>3125</v>
      </c>
      <c r="E451" t="s">
        <v>25</v>
      </c>
      <c r="F451" s="375">
        <v>4</v>
      </c>
      <c r="G451" s="16">
        <f>'WetLitterbags placem_collection'!E158</f>
        <v>42762</v>
      </c>
      <c r="H451" s="92" t="str">
        <f>Wetseason!L597</f>
        <v>G667</v>
      </c>
      <c r="I451" t="str">
        <f>Wetseason!L817</f>
        <v>R464</v>
      </c>
      <c r="J451">
        <f>IFERROR(INDEX('Green_rooibos initial weight'!$C$5:$C$2000,MATCH(H451, 'Green_rooibos initial weight'!$A$5:$A$2000,0)),"")</f>
        <v>2.048</v>
      </c>
      <c r="K451">
        <f>IFERROR(INDEX('Green_rooibos initial weight'!$C$5:$C$2000,MATCH(I451, 'Green_rooibos initial weight'!$A$5:$A$2000,0)),"")</f>
        <v>2.2040000000000002</v>
      </c>
      <c r="L451" s="194">
        <f t="shared" si="71"/>
        <v>1.7982</v>
      </c>
      <c r="M451" s="194">
        <f>AVERAGE(Ashed_controlls!$K$2:$K$11)</f>
        <v>5.5147656768714146</v>
      </c>
      <c r="N451" s="194">
        <f t="shared" si="68"/>
        <v>1.6990334835984982</v>
      </c>
      <c r="O451" s="194">
        <f t="shared" si="72"/>
        <v>1.9542000000000002</v>
      </c>
      <c r="P451" s="194">
        <f>AVERAGE(Ashed_controlls!$K$12:$K$14)</f>
        <v>2.2816647271287041</v>
      </c>
      <c r="Q451" s="194">
        <f t="shared" si="73"/>
        <v>1.909611707902451</v>
      </c>
      <c r="R451" s="16">
        <f>IF('WetLitterbags placem_collection'!G158="","",'WetLitterbags placem_collection'!G158)</f>
        <v>42816</v>
      </c>
      <c r="S451" s="194">
        <f>IFERROR(INDEX('Both teabags AfterWet'!$C$3:$C$2000,MATCH(H451,'Both teabags AfterWet'!$A$3:$A$2000,0)),"")</f>
        <v>0.65800000000000003</v>
      </c>
      <c r="T451" s="194">
        <f>IFERROR(INDEX('Both teabags AfterWet'!$C$3:$C$2000,MATCH(I451,'Both teabags AfterWet'!$A$3:$A$2000,0)),"")</f>
        <v>1.802</v>
      </c>
      <c r="U451" s="194">
        <f t="shared" si="74"/>
        <v>0.50740000000000007</v>
      </c>
      <c r="V451" s="194">
        <f t="shared" si="75"/>
        <v>1.6514</v>
      </c>
      <c r="W451" s="194">
        <f>IFERROR(INDEX('Ashed teabags wet'!$K$2:$K$2000,MATCH(H451,'Ashed teabags wet'!$A$2:$A$2000,0)),"")</f>
        <v>27.494061757718864</v>
      </c>
      <c r="X451" s="233">
        <f>IFERROR(INDEX('Ashed teabags wet'!$K$2:$K$2000,MATCH(I451,'Ashed teabags wet'!$A$2:$A$2000,0)),"")</f>
        <v>8.8737201365180916</v>
      </c>
      <c r="Y451" s="194">
        <f t="shared" si="80"/>
        <v>0.36789513064133456</v>
      </c>
      <c r="Z451" s="194">
        <f t="shared" si="80"/>
        <v>1.5048593856655401</v>
      </c>
      <c r="AA451" s="194">
        <f t="shared" si="76"/>
        <v>0.78346799271892831</v>
      </c>
      <c r="AB451" s="194">
        <f t="shared" si="77"/>
        <v>0.51362747266134023</v>
      </c>
      <c r="AC451" s="194">
        <f t="shared" si="69"/>
        <v>0.78804470010214922</v>
      </c>
      <c r="AD451">
        <f t="shared" si="70"/>
        <v>54</v>
      </c>
      <c r="AE451" s="194">
        <f t="shared" si="78"/>
        <v>6.9515448077282271E-2</v>
      </c>
      <c r="AF451" s="194">
        <f t="shared" si="79"/>
        <v>9.8547654483243322E-3</v>
      </c>
      <c r="AG451" s="245" t="str">
        <f>IF(ISNUMBER(SEARCH("C",'WetLitterbags placem_collection'!$Y158)),"YES","NO")</f>
        <v>NO</v>
      </c>
      <c r="AH451" s="245" t="str">
        <f>IF(ISNUMBER(SEARCH("H", 'WetLitterbags placem_collection'!$Y158)),"YES","NO")</f>
        <v>NO</v>
      </c>
      <c r="AI451" s="245" t="str">
        <f>IF(ISNUMBER(SEARCH("R", 'WetLitterbags placem_collection'!$Y158)),"YES","NO")</f>
        <v>YES</v>
      </c>
      <c r="AJ451" s="245" t="str">
        <f>IF(ISNUMBER(SEARCH("C", 'WetLitterbags placem_collection'!$W158)),"YES","NO")</f>
        <v>NO</v>
      </c>
      <c r="AK451" s="245" t="str">
        <f>IF(ISNUMBER(SEARCH("H", 'WetLitterbags placem_collection'!$W158)),"YES","NO")</f>
        <v>NO</v>
      </c>
      <c r="AL451" s="245" t="str">
        <f>IF(ISNUMBER(SEARCH("R", 'WetLitterbags placem_collection'!$W158)),"YES","NO")</f>
        <v>YES</v>
      </c>
    </row>
    <row r="452" spans="2:38">
      <c r="B452" t="str">
        <f>Wetseason!B598</f>
        <v>Wet</v>
      </c>
      <c r="C452" s="253">
        <f>Wetseason!C598</f>
        <v>157</v>
      </c>
      <c r="D452" t="s">
        <v>3125</v>
      </c>
      <c r="E452" t="s">
        <v>25</v>
      </c>
      <c r="F452" s="375">
        <v>5</v>
      </c>
      <c r="G452" s="16">
        <f>'WetLitterbags placem_collection'!E159</f>
        <v>42762</v>
      </c>
      <c r="H452" s="92" t="str">
        <f>Wetseason!L598</f>
        <v>G777</v>
      </c>
      <c r="I452" t="str">
        <f>Wetseason!L818</f>
        <v>R35</v>
      </c>
      <c r="J452">
        <f>IFERROR(INDEX('Green_rooibos initial weight'!$C$5:$C$2000,MATCH(H452, 'Green_rooibos initial weight'!$A$5:$A$2000,0)),"")</f>
        <v>2.0470000000000002</v>
      </c>
      <c r="K452">
        <f>IFERROR(INDEX('Green_rooibos initial weight'!$C$5:$C$2000,MATCH(I452, 'Green_rooibos initial weight'!$A$5:$A$2000,0)),"")</f>
        <v>2.0630000000000002</v>
      </c>
      <c r="L452" s="194">
        <f t="shared" si="71"/>
        <v>1.7972000000000001</v>
      </c>
      <c r="M452" s="194">
        <f>AVERAGE(Ashed_controlls!$K$2:$K$11)</f>
        <v>5.5147656768714146</v>
      </c>
      <c r="N452" s="194">
        <f t="shared" si="68"/>
        <v>1.698088631255267</v>
      </c>
      <c r="O452" s="194">
        <f t="shared" si="72"/>
        <v>1.8132000000000001</v>
      </c>
      <c r="P452" s="194">
        <f>AVERAGE(Ashed_controlls!$K$12:$K$14)</f>
        <v>2.2816647271287041</v>
      </c>
      <c r="Q452" s="194">
        <f t="shared" si="73"/>
        <v>1.7718288551677024</v>
      </c>
      <c r="R452" s="16">
        <f>IF('WetLitterbags placem_collection'!G159="","",'WetLitterbags placem_collection'!G159)</f>
        <v>42816</v>
      </c>
      <c r="S452" s="194">
        <f>IFERROR(INDEX('Both teabags AfterWet'!$C$3:$C$2000,MATCH(H452,'Both teabags AfterWet'!$A$3:$A$2000,0)),"")</f>
        <v>0.70499999999999996</v>
      </c>
      <c r="T452" s="194">
        <f>IFERROR(INDEX('Both teabags AfterWet'!$C$3:$C$2000,MATCH(I452,'Both teabags AfterWet'!$A$3:$A$2000,0)),"")</f>
        <v>1.994</v>
      </c>
      <c r="U452" s="194">
        <f t="shared" si="74"/>
        <v>0.5544</v>
      </c>
      <c r="V452" s="194">
        <f t="shared" si="75"/>
        <v>1.8433999999999999</v>
      </c>
      <c r="W452" s="194">
        <f>IFERROR(INDEX('Ashed teabags wet'!$K$2:$K$2000,MATCH(H452,'Ashed teabags wet'!$A$2:$A$2000,0)),"")</f>
        <v>15.610972568578548</v>
      </c>
      <c r="X452" s="233">
        <f>IFERROR(INDEX('Ashed teabags wet'!$K$2:$K$2000,MATCH(I452,'Ashed teabags wet'!$A$2:$A$2000,0)),"")</f>
        <v>10.019743336623607</v>
      </c>
      <c r="Y452" s="194">
        <f t="shared" si="80"/>
        <v>0.46785276807980053</v>
      </c>
      <c r="Z452" s="194">
        <f t="shared" si="80"/>
        <v>1.6586960513326803</v>
      </c>
      <c r="AA452" s="194">
        <f t="shared" si="76"/>
        <v>0.72448271576145418</v>
      </c>
      <c r="AB452" s="194">
        <f t="shared" si="77"/>
        <v>0.47495778990537141</v>
      </c>
      <c r="AC452" s="194">
        <f t="shared" si="69"/>
        <v>0.93614913567692504</v>
      </c>
      <c r="AD452">
        <f t="shared" si="70"/>
        <v>54</v>
      </c>
      <c r="AE452" s="194">
        <f t="shared" si="78"/>
        <v>0.13956922118592141</v>
      </c>
      <c r="AF452" s="194">
        <f t="shared" si="79"/>
        <v>2.6735666018650444E-3</v>
      </c>
      <c r="AG452" s="245" t="str">
        <f>IF(ISNUMBER(SEARCH("C",'WetLitterbags placem_collection'!$Y159)),"YES","NO")</f>
        <v>NO</v>
      </c>
      <c r="AH452" s="245" t="str">
        <f>IF(ISNUMBER(SEARCH("H", 'WetLitterbags placem_collection'!$Y159)),"YES","NO")</f>
        <v>NO</v>
      </c>
      <c r="AI452" s="245" t="str">
        <f>IF(ISNUMBER(SEARCH("R", 'WetLitterbags placem_collection'!$Y159)),"YES","NO")</f>
        <v>NO</v>
      </c>
      <c r="AJ452" s="245" t="str">
        <f>IF(ISNUMBER(SEARCH("C", 'WetLitterbags placem_collection'!$W159)),"YES","NO")</f>
        <v>YES</v>
      </c>
      <c r="AK452" s="245" t="str">
        <f>IF(ISNUMBER(SEARCH("H", 'WetLitterbags placem_collection'!$W159)),"YES","NO")</f>
        <v>NO</v>
      </c>
      <c r="AL452" s="245" t="str">
        <f>IF(ISNUMBER(SEARCH("R", 'WetLitterbags placem_collection'!$W159)),"YES","NO")</f>
        <v>YES</v>
      </c>
    </row>
    <row r="453" spans="2:38">
      <c r="B453" t="str">
        <f>Wetseason!B599</f>
        <v>Wet</v>
      </c>
      <c r="C453" s="253">
        <f>Wetseason!C599</f>
        <v>158</v>
      </c>
      <c r="D453" t="s">
        <v>3125</v>
      </c>
      <c r="E453" t="s">
        <v>25</v>
      </c>
      <c r="F453" s="375">
        <v>6</v>
      </c>
      <c r="G453" s="16">
        <f>'WetLitterbags placem_collection'!E160</f>
        <v>42762</v>
      </c>
      <c r="H453" s="92" t="str">
        <f>Wetseason!L599</f>
        <v>G884</v>
      </c>
      <c r="I453" t="str">
        <f>Wetseason!L819</f>
        <v>R570</v>
      </c>
      <c r="J453">
        <f>IFERROR(INDEX('Green_rooibos initial weight'!$C$5:$C$2000,MATCH(H453, 'Green_rooibos initial weight'!$A$5:$A$2000,0)),"")</f>
        <v>2.0710000000000002</v>
      </c>
      <c r="K453">
        <f>IFERROR(INDEX('Green_rooibos initial weight'!$C$5:$C$2000,MATCH(I453, 'Green_rooibos initial weight'!$A$5:$A$2000,0)),"")</f>
        <v>2.0910000000000002</v>
      </c>
      <c r="L453" s="194">
        <f t="shared" si="71"/>
        <v>1.8212000000000002</v>
      </c>
      <c r="M453" s="194">
        <f>AVERAGE(Ashed_controlls!$K$2:$K$11)</f>
        <v>5.5147656768714146</v>
      </c>
      <c r="N453" s="194">
        <f t="shared" si="68"/>
        <v>1.720765087492818</v>
      </c>
      <c r="O453" s="194">
        <f t="shared" si="72"/>
        <v>1.8412000000000002</v>
      </c>
      <c r="P453" s="194">
        <f>AVERAGE(Ashed_controlls!$K$12:$K$14)</f>
        <v>2.2816647271287041</v>
      </c>
      <c r="Q453" s="194">
        <f t="shared" si="73"/>
        <v>1.7991899890441065</v>
      </c>
      <c r="R453" s="16">
        <f>IF('WetLitterbags placem_collection'!G160="","",'WetLitterbags placem_collection'!G160)</f>
        <v>42816</v>
      </c>
      <c r="S453" s="194">
        <f>IFERROR(INDEX('Both teabags AfterWet'!$C$3:$C$2000,MATCH(H453,'Both teabags AfterWet'!$A$3:$A$2000,0)),"")</f>
        <v>0.629</v>
      </c>
      <c r="T453" s="194">
        <f>IFERROR(INDEX('Both teabags AfterWet'!$C$3:$C$2000,MATCH(I453,'Both teabags AfterWet'!$A$3:$A$2000,0)),"")</f>
        <v>1.718</v>
      </c>
      <c r="U453" s="194">
        <f t="shared" si="74"/>
        <v>0.47839999999999999</v>
      </c>
      <c r="V453" s="194">
        <f t="shared" si="75"/>
        <v>1.5673999999999999</v>
      </c>
      <c r="W453" s="194">
        <f>IFERROR(INDEX('Ashed teabags wet'!$K$2:$K$2000,MATCH(H453,'Ashed teabags wet'!$A$2:$A$2000,0)),"")</f>
        <v>11.313330054107281</v>
      </c>
      <c r="X453" s="233">
        <f>IFERROR(INDEX('Ashed teabags wet'!$K$2:$K$2000,MATCH(I453,'Ashed teabags wet'!$A$2:$A$2000,0)),"")</f>
        <v>4.5090180360722032</v>
      </c>
      <c r="Y453" s="194">
        <f t="shared" si="80"/>
        <v>0.42427702902115078</v>
      </c>
      <c r="Z453" s="194">
        <f t="shared" si="80"/>
        <v>1.4967256513026042</v>
      </c>
      <c r="AA453" s="194">
        <f t="shared" si="76"/>
        <v>0.75343698445246288</v>
      </c>
      <c r="AB453" s="194">
        <f t="shared" si="77"/>
        <v>0.49393968576931063</v>
      </c>
      <c r="AC453" s="194">
        <f t="shared" si="69"/>
        <v>0.83188860565959521</v>
      </c>
      <c r="AD453">
        <f t="shared" si="70"/>
        <v>54</v>
      </c>
      <c r="AE453" s="194">
        <f t="shared" si="78"/>
        <v>0.10518172867878517</v>
      </c>
      <c r="AF453" s="194">
        <f t="shared" si="79"/>
        <v>7.7044979065424846E-3</v>
      </c>
      <c r="AG453" s="245" t="str">
        <f>IF(ISNUMBER(SEARCH("C",'WetLitterbags placem_collection'!$Y160)),"YES","NO")</f>
        <v>NO</v>
      </c>
      <c r="AH453" s="245" t="str">
        <f>IF(ISNUMBER(SEARCH("H", 'WetLitterbags placem_collection'!$Y160)),"YES","NO")</f>
        <v>NO</v>
      </c>
      <c r="AI453" s="245" t="str">
        <f>IF(ISNUMBER(SEARCH("R", 'WetLitterbags placem_collection'!$Y160)),"YES","NO")</f>
        <v>NO</v>
      </c>
      <c r="AJ453" s="245" t="str">
        <f>IF(ISNUMBER(SEARCH("C", 'WetLitterbags placem_collection'!$W160)),"YES","NO")</f>
        <v>NO</v>
      </c>
      <c r="AK453" s="245" t="str">
        <f>IF(ISNUMBER(SEARCH("H", 'WetLitterbags placem_collection'!$W160)),"YES","NO")</f>
        <v>NO</v>
      </c>
      <c r="AL453" s="245" t="str">
        <f>IF(ISNUMBER(SEARCH("R", 'WetLitterbags placem_collection'!$W160)),"YES","NO")</f>
        <v>YES</v>
      </c>
    </row>
    <row r="454" spans="2:38">
      <c r="B454" t="str">
        <f>Wetseason!B600</f>
        <v>Wet</v>
      </c>
      <c r="C454" s="253">
        <f>Wetseason!C600</f>
        <v>159</v>
      </c>
      <c r="D454" t="s">
        <v>3125</v>
      </c>
      <c r="E454" t="s">
        <v>25</v>
      </c>
      <c r="F454" s="375">
        <v>7</v>
      </c>
      <c r="G454" s="16">
        <f>'WetLitterbags placem_collection'!E161</f>
        <v>42762</v>
      </c>
      <c r="H454" s="92" t="str">
        <f>Wetseason!L600</f>
        <v>G731</v>
      </c>
      <c r="I454" t="str">
        <f>Wetseason!L820</f>
        <v>R439</v>
      </c>
      <c r="J454">
        <f>IFERROR(INDEX('Green_rooibos initial weight'!$C$5:$C$2000,MATCH(H454, 'Green_rooibos initial weight'!$A$5:$A$2000,0)),"")</f>
        <v>2.14</v>
      </c>
      <c r="K454">
        <f>IFERROR(INDEX('Green_rooibos initial weight'!$C$5:$C$2000,MATCH(I454, 'Green_rooibos initial weight'!$A$5:$A$2000,0)),"")</f>
        <v>2.2450000000000001</v>
      </c>
      <c r="L454" s="194">
        <f t="shared" si="71"/>
        <v>1.8902000000000001</v>
      </c>
      <c r="M454" s="194">
        <f>AVERAGE(Ashed_controlls!$K$2:$K$11)</f>
        <v>5.5147656768714146</v>
      </c>
      <c r="N454" s="194">
        <f t="shared" si="68"/>
        <v>1.7859598991757766</v>
      </c>
      <c r="O454" s="194">
        <f t="shared" si="72"/>
        <v>1.9952000000000001</v>
      </c>
      <c r="P454" s="194">
        <f>AVERAGE(Ashed_controlls!$K$12:$K$14)</f>
        <v>2.2816647271287041</v>
      </c>
      <c r="Q454" s="194">
        <f t="shared" si="73"/>
        <v>1.9496762253643283</v>
      </c>
      <c r="R454" s="16">
        <f>IF('WetLitterbags placem_collection'!G161="","",'WetLitterbags placem_collection'!G161)</f>
        <v>42816</v>
      </c>
      <c r="S454" s="194" t="str">
        <f>IFERROR(INDEX('Both teabags AfterWet'!$C$3:$C$2000,MATCH(H454,'Both teabags AfterWet'!$A$3:$A$2000,0)),"")</f>
        <v/>
      </c>
      <c r="T454" s="194" t="str">
        <f>IFERROR(INDEX('Both teabags AfterWet'!$C$3:$C$2000,MATCH(I454,'Both teabags AfterWet'!$A$3:$A$2000,0)),"")</f>
        <v/>
      </c>
      <c r="U454" s="194" t="str">
        <f t="shared" si="74"/>
        <v/>
      </c>
      <c r="V454" s="194" t="str">
        <f t="shared" si="75"/>
        <v/>
      </c>
      <c r="W454" s="194" t="str">
        <f>IFERROR(INDEX('Ashed teabags wet'!$K$2:$K$2000,MATCH(H454,'Ashed teabags wet'!$A$2:$A$2000,0)),"")</f>
        <v/>
      </c>
      <c r="X454" s="233" t="str">
        <f>IFERROR(INDEX('Ashed teabags wet'!$K$2:$K$2000,MATCH(I454,'Ashed teabags wet'!$A$2:$A$2000,0)),"")</f>
        <v/>
      </c>
      <c r="Y454" s="194" t="str">
        <f t="shared" si="80"/>
        <v/>
      </c>
      <c r="Z454" s="194" t="str">
        <f t="shared" si="80"/>
        <v/>
      </c>
      <c r="AA454" s="194" t="str">
        <f t="shared" si="76"/>
        <v/>
      </c>
      <c r="AB454" s="194" t="str">
        <f t="shared" si="77"/>
        <v/>
      </c>
      <c r="AC454" s="194" t="str">
        <f t="shared" si="69"/>
        <v/>
      </c>
      <c r="AD454">
        <f t="shared" si="70"/>
        <v>54</v>
      </c>
      <c r="AE454" s="194" t="str">
        <f t="shared" si="78"/>
        <v/>
      </c>
      <c r="AF454" s="194" t="str">
        <f t="shared" si="79"/>
        <v/>
      </c>
      <c r="AG454" s="245" t="str">
        <f>IF(ISNUMBER(SEARCH("C",'WetLitterbags placem_collection'!$Y161)),"YES","NO")</f>
        <v>NO</v>
      </c>
      <c r="AH454" s="245" t="str">
        <f>IF(ISNUMBER(SEARCH("H", 'WetLitterbags placem_collection'!$Y161)),"YES","NO")</f>
        <v>NO</v>
      </c>
      <c r="AI454" s="245" t="str">
        <f>IF(ISNUMBER(SEARCH("R", 'WetLitterbags placem_collection'!$Y161)),"YES","NO")</f>
        <v>NO</v>
      </c>
      <c r="AJ454" s="245" t="str">
        <f>IF(ISNUMBER(SEARCH("C", 'WetLitterbags placem_collection'!$W161)),"YES","NO")</f>
        <v>NO</v>
      </c>
      <c r="AK454" s="245" t="str">
        <f>IF(ISNUMBER(SEARCH("H", 'WetLitterbags placem_collection'!$W161)),"YES","NO")</f>
        <v>NO</v>
      </c>
      <c r="AL454" s="245" t="str">
        <f>IF(ISNUMBER(SEARCH("R", 'WetLitterbags placem_collection'!$W161)),"YES","NO")</f>
        <v>NO</v>
      </c>
    </row>
    <row r="455" spans="2:38">
      <c r="B455" t="str">
        <f>Wetseason!B601</f>
        <v>Wet</v>
      </c>
      <c r="C455" s="253">
        <f>Wetseason!C601</f>
        <v>160</v>
      </c>
      <c r="D455" t="s">
        <v>3125</v>
      </c>
      <c r="E455" t="s">
        <v>25</v>
      </c>
      <c r="F455" s="375">
        <v>8</v>
      </c>
      <c r="G455" s="16">
        <f>'WetLitterbags placem_collection'!E162</f>
        <v>42762</v>
      </c>
      <c r="H455" s="92" t="str">
        <f>Wetseason!L601</f>
        <v>G876</v>
      </c>
      <c r="I455" t="str">
        <f>Wetseason!L821</f>
        <v>R461</v>
      </c>
      <c r="J455">
        <f>IFERROR(INDEX('Green_rooibos initial weight'!$C$5:$C$2000,MATCH(H455, 'Green_rooibos initial weight'!$A$5:$A$2000,0)),"")</f>
        <v>1.9550000000000001</v>
      </c>
      <c r="K455">
        <f>IFERROR(INDEX('Green_rooibos initial weight'!$C$5:$C$2000,MATCH(I455, 'Green_rooibos initial weight'!$A$5:$A$2000,0)),"")</f>
        <v>2.1930000000000001</v>
      </c>
      <c r="L455" s="194">
        <f t="shared" si="71"/>
        <v>1.7052</v>
      </c>
      <c r="M455" s="194">
        <f>AVERAGE(Ashed_controlls!$K$2:$K$11)</f>
        <v>5.5147656768714146</v>
      </c>
      <c r="N455" s="194">
        <f t="shared" si="68"/>
        <v>1.6111622156779888</v>
      </c>
      <c r="O455" s="194">
        <f t="shared" si="72"/>
        <v>1.9432</v>
      </c>
      <c r="P455" s="194">
        <f>AVERAGE(Ashed_controlls!$K$12:$K$14)</f>
        <v>2.2816647271287041</v>
      </c>
      <c r="Q455" s="194">
        <f t="shared" si="73"/>
        <v>1.8988626910224351</v>
      </c>
      <c r="R455" s="16">
        <f>IF('WetLitterbags placem_collection'!G162="","",'WetLitterbags placem_collection'!G162)</f>
        <v>42816</v>
      </c>
      <c r="S455" s="194">
        <f>IFERROR(INDEX('Both teabags AfterWet'!$C$3:$C$2000,MATCH(H455,'Both teabags AfterWet'!$A$3:$A$2000,0)),"")</f>
        <v>0.68100000000000005</v>
      </c>
      <c r="T455" s="194">
        <f>IFERROR(INDEX('Both teabags AfterWet'!$C$3:$C$2000,MATCH(I455,'Both teabags AfterWet'!$A$3:$A$2000,0)),"")</f>
        <v>1.744</v>
      </c>
      <c r="U455" s="194">
        <f t="shared" si="74"/>
        <v>0.53039999999999998</v>
      </c>
      <c r="V455" s="194">
        <f t="shared" si="75"/>
        <v>1.5933999999999999</v>
      </c>
      <c r="W455" s="194">
        <f>IFERROR(INDEX('Ashed teabags wet'!$K$2:$K$2000,MATCH(H455,'Ashed teabags wet'!$A$2:$A$2000,0)),"")</f>
        <v>12.187812187811872</v>
      </c>
      <c r="X455" s="233">
        <f>IFERROR(INDEX('Ashed teabags wet'!$K$2:$K$2000,MATCH(I455,'Ashed teabags wet'!$A$2:$A$2000,0)),"")</f>
        <v>4.181184668989598</v>
      </c>
      <c r="Y455" s="194">
        <f t="shared" si="80"/>
        <v>0.46575584415584581</v>
      </c>
      <c r="Z455" s="194">
        <f t="shared" si="80"/>
        <v>1.5267770034843198</v>
      </c>
      <c r="AA455" s="194">
        <f t="shared" si="76"/>
        <v>0.71091933535702223</v>
      </c>
      <c r="AB455" s="194">
        <f t="shared" si="77"/>
        <v>0.46606588256184839</v>
      </c>
      <c r="AC455" s="194">
        <f t="shared" si="69"/>
        <v>0.80404813402396813</v>
      </c>
      <c r="AD455">
        <f t="shared" si="70"/>
        <v>54</v>
      </c>
      <c r="AE455" s="194">
        <f t="shared" si="78"/>
        <v>0.1556777489821588</v>
      </c>
      <c r="AF455" s="194">
        <f t="shared" si="79"/>
        <v>1.0101534250144074E-2</v>
      </c>
      <c r="AG455" s="245" t="str">
        <f>IF(ISNUMBER(SEARCH("C",'WetLitterbags placem_collection'!$Y162)),"YES","NO")</f>
        <v>NO</v>
      </c>
      <c r="AH455" s="245" t="str">
        <f>IF(ISNUMBER(SEARCH("H", 'WetLitterbags placem_collection'!$Y162)),"YES","NO")</f>
        <v>NO</v>
      </c>
      <c r="AI455" s="245" t="str">
        <f>IF(ISNUMBER(SEARCH("R", 'WetLitterbags placem_collection'!$Y162)),"YES","NO")</f>
        <v>NO</v>
      </c>
      <c r="AJ455" s="245" t="str">
        <f>IF(ISNUMBER(SEARCH("C", 'WetLitterbags placem_collection'!$W162)),"YES","NO")</f>
        <v>NO</v>
      </c>
      <c r="AK455" s="245" t="str">
        <f>IF(ISNUMBER(SEARCH("H", 'WetLitterbags placem_collection'!$W162)),"YES","NO")</f>
        <v>NO</v>
      </c>
      <c r="AL455" s="245" t="str">
        <f>IF(ISNUMBER(SEARCH("R", 'WetLitterbags placem_collection'!$W162)),"YES","NO")</f>
        <v>YES</v>
      </c>
    </row>
    <row r="456" spans="2:38">
      <c r="B456" t="str">
        <f>Wetseason!B602</f>
        <v>Wet</v>
      </c>
      <c r="C456" s="253">
        <f>Wetseason!C602</f>
        <v>161</v>
      </c>
      <c r="D456" t="s">
        <v>3126</v>
      </c>
      <c r="E456" t="s">
        <v>25</v>
      </c>
      <c r="F456" s="374">
        <v>1</v>
      </c>
      <c r="G456" s="16">
        <f>'WetLitterbags placem_collection'!E163</f>
        <v>42763</v>
      </c>
      <c r="H456" s="92" t="str">
        <f>Wetseason!L602</f>
        <v>G351</v>
      </c>
      <c r="I456" t="str">
        <f>Wetseason!L822</f>
        <v>R253</v>
      </c>
      <c r="J456">
        <f>IFERROR(INDEX('Green_rooibos initial weight'!$C$5:$C$2000,MATCH(H456, 'Green_rooibos initial weight'!$A$5:$A$2000,0)),"")</f>
        <v>1.909</v>
      </c>
      <c r="K456">
        <f>IFERROR(INDEX('Green_rooibos initial weight'!$C$5:$C$2000,MATCH(I456, 'Green_rooibos initial weight'!$A$5:$A$2000,0)),"")</f>
        <v>2.2130000000000001</v>
      </c>
      <c r="L456" s="194">
        <f t="shared" si="71"/>
        <v>1.6592</v>
      </c>
      <c r="M456" s="194">
        <f>AVERAGE(Ashed_controlls!$K$2:$K$11)</f>
        <v>5.5147656768714146</v>
      </c>
      <c r="N456" s="194">
        <f t="shared" si="68"/>
        <v>1.5676990078893496</v>
      </c>
      <c r="O456" s="194">
        <f t="shared" si="72"/>
        <v>1.9632000000000001</v>
      </c>
      <c r="P456" s="194">
        <f>AVERAGE(Ashed_controlls!$K$12:$K$14)</f>
        <v>2.2816647271287041</v>
      </c>
      <c r="Q456" s="194">
        <f t="shared" si="73"/>
        <v>1.9184063580770094</v>
      </c>
      <c r="R456" s="16">
        <f>IF('WetLitterbags placem_collection'!G163="","",'WetLitterbags placem_collection'!G163)</f>
        <v>42814</v>
      </c>
      <c r="S456" s="194">
        <f>IFERROR(INDEX('Both teabags AfterWet'!$C$3:$C$2000,MATCH(H456,'Both teabags AfterWet'!$A$3:$A$2000,0)),"")</f>
        <v>0.58709999999999996</v>
      </c>
      <c r="T456" s="194">
        <f>IFERROR(INDEX('Both teabags AfterWet'!$C$3:$C$2000,MATCH(I456,'Both teabags AfterWet'!$A$3:$A$2000,0)),"")</f>
        <v>1.7033</v>
      </c>
      <c r="U456" s="194">
        <f t="shared" si="74"/>
        <v>0.43649999999999994</v>
      </c>
      <c r="V456" s="194">
        <f t="shared" si="75"/>
        <v>1.5527</v>
      </c>
      <c r="W456" s="194">
        <f>IFERROR(INDEX('Ashed teabags wet'!$K$2:$K$2000,MATCH(H456,'Ashed teabags wet'!$A$2:$A$2000,0)),"")</f>
        <v>11.028315946348718</v>
      </c>
      <c r="X456" s="233">
        <f>IFERROR(INDEX('Ashed teabags wet'!$K$2:$K$2000,MATCH(I456,'Ashed teabags wet'!$A$2:$A$2000,0)),"")</f>
        <v>2.4952015355091484</v>
      </c>
      <c r="Y456" s="194">
        <f t="shared" si="80"/>
        <v>0.3883614008941878</v>
      </c>
      <c r="Z456" s="194">
        <f t="shared" si="80"/>
        <v>1.5139570057581495</v>
      </c>
      <c r="AA456" s="194">
        <f t="shared" si="76"/>
        <v>0.75227298165031509</v>
      </c>
      <c r="AB456" s="194">
        <f t="shared" si="77"/>
        <v>0.49317658654509972</v>
      </c>
      <c r="AC456" s="194">
        <f t="shared" si="69"/>
        <v>0.78917430573766667</v>
      </c>
      <c r="AD456">
        <f t="shared" si="70"/>
        <v>51</v>
      </c>
      <c r="AE456" s="194">
        <f t="shared" si="78"/>
        <v>0.10656415480960202</v>
      </c>
      <c r="AF456" s="194">
        <f t="shared" si="79"/>
        <v>1.0935621594355623E-2</v>
      </c>
      <c r="AG456" s="245" t="str">
        <f>IF(ISNUMBER(SEARCH("C",'WetLitterbags placem_collection'!$Y163)),"YES","NO")</f>
        <v>NO</v>
      </c>
      <c r="AH456" s="245" t="str">
        <f>IF(ISNUMBER(SEARCH("H", 'WetLitterbags placem_collection'!$Y163)),"YES","NO")</f>
        <v>NO</v>
      </c>
      <c r="AI456" s="245" t="str">
        <f>IF(ISNUMBER(SEARCH("R", 'WetLitterbags placem_collection'!$Y163)),"YES","NO")</f>
        <v>NO</v>
      </c>
      <c r="AJ456" s="245" t="str">
        <f>IF(ISNUMBER(SEARCH("C", 'WetLitterbags placem_collection'!$W163)),"YES","NO")</f>
        <v>NO</v>
      </c>
      <c r="AK456" s="245" t="str">
        <f>IF(ISNUMBER(SEARCH("H", 'WetLitterbags placem_collection'!$W163)),"YES","NO")</f>
        <v>NO</v>
      </c>
      <c r="AL456" s="245" t="str">
        <f>IF(ISNUMBER(SEARCH("R", 'WetLitterbags placem_collection'!$W163)),"YES","NO")</f>
        <v>NO</v>
      </c>
    </row>
    <row r="457" spans="2:38">
      <c r="B457" t="str">
        <f>Wetseason!B603</f>
        <v>Wet</v>
      </c>
      <c r="C457" s="253">
        <f>Wetseason!C603</f>
        <v>162</v>
      </c>
      <c r="D457" t="s">
        <v>3126</v>
      </c>
      <c r="E457" t="s">
        <v>25</v>
      </c>
      <c r="F457" s="374">
        <v>2</v>
      </c>
      <c r="G457" s="16">
        <f>'WetLitterbags placem_collection'!E164</f>
        <v>42763</v>
      </c>
      <c r="H457" s="92" t="str">
        <f>Wetseason!L603</f>
        <v>G442</v>
      </c>
      <c r="I457" t="str">
        <f>Wetseason!L823</f>
        <v>R285</v>
      </c>
      <c r="J457">
        <f>IFERROR(INDEX('Green_rooibos initial weight'!$C$5:$C$2000,MATCH(H457, 'Green_rooibos initial weight'!$A$5:$A$2000,0)),"")</f>
        <v>2.056</v>
      </c>
      <c r="K457">
        <f>IFERROR(INDEX('Green_rooibos initial weight'!$C$5:$C$2000,MATCH(I457, 'Green_rooibos initial weight'!$A$5:$A$2000,0)),"")</f>
        <v>2.2400000000000002</v>
      </c>
      <c r="L457" s="194">
        <f t="shared" si="71"/>
        <v>1.8062</v>
      </c>
      <c r="M457" s="194">
        <f>AVERAGE(Ashed_controlls!$K$2:$K$11)</f>
        <v>5.5147656768714146</v>
      </c>
      <c r="N457" s="194">
        <f t="shared" si="68"/>
        <v>1.7065923023443486</v>
      </c>
      <c r="O457" s="194">
        <f t="shared" si="72"/>
        <v>1.9902000000000002</v>
      </c>
      <c r="P457" s="194">
        <f>AVERAGE(Ashed_controlls!$K$12:$K$14)</f>
        <v>2.2816647271287041</v>
      </c>
      <c r="Q457" s="194">
        <f t="shared" si="73"/>
        <v>1.9447903086006848</v>
      </c>
      <c r="R457" s="16">
        <f>IF('WetLitterbags placem_collection'!G164="","",'WetLitterbags placem_collection'!G164)</f>
        <v>42814</v>
      </c>
      <c r="S457" s="194">
        <f>IFERROR(INDEX('Both teabags AfterWet'!$C$3:$C$2000,MATCH(H457,'Both teabags AfterWet'!$A$3:$A$2000,0)),"")</f>
        <v>0.66290000000000004</v>
      </c>
      <c r="T457" s="194">
        <f>IFERROR(INDEX('Both teabags AfterWet'!$C$3:$C$2000,MATCH(I457,'Both teabags AfterWet'!$A$3:$A$2000,0)),"")</f>
        <v>1.6621999999999999</v>
      </c>
      <c r="U457" s="194">
        <f t="shared" si="74"/>
        <v>0.51229999999999998</v>
      </c>
      <c r="V457" s="194">
        <f t="shared" si="75"/>
        <v>1.5115999999999998</v>
      </c>
      <c r="W457" s="194">
        <f>IFERROR(INDEX('Ashed teabags wet'!$K$2:$K$2000,MATCH(H457,'Ashed teabags wet'!$A$2:$A$2000,0)),"")</f>
        <v>7.6199901039089131</v>
      </c>
      <c r="X457" s="233">
        <f>IFERROR(INDEX('Ashed teabags wet'!$K$2:$K$2000,MATCH(I457,'Ashed teabags wet'!$A$2:$A$2000,0)),"")</f>
        <v>1.8419777023749115</v>
      </c>
      <c r="Y457" s="194">
        <f t="shared" si="80"/>
        <v>0.47326279069767463</v>
      </c>
      <c r="Z457" s="194">
        <f t="shared" si="80"/>
        <v>1.4837566650509006</v>
      </c>
      <c r="AA457" s="194">
        <f t="shared" si="76"/>
        <v>0.72268550019383493</v>
      </c>
      <c r="AB457" s="194">
        <f t="shared" si="77"/>
        <v>0.47377956782303671</v>
      </c>
      <c r="AC457" s="194">
        <f t="shared" si="69"/>
        <v>0.76293915004054758</v>
      </c>
      <c r="AD457">
        <f t="shared" si="70"/>
        <v>51</v>
      </c>
      <c r="AE457" s="194">
        <f t="shared" si="78"/>
        <v>0.14170368148000601</v>
      </c>
      <c r="AF457" s="194">
        <f t="shared" si="79"/>
        <v>1.3605285782752977E-2</v>
      </c>
      <c r="AG457" s="245" t="str">
        <f>IF(ISNUMBER(SEARCH("C",'WetLitterbags placem_collection'!$Y164)),"YES","NO")</f>
        <v>NO</v>
      </c>
      <c r="AH457" s="245" t="str">
        <f>IF(ISNUMBER(SEARCH("H", 'WetLitterbags placem_collection'!$Y164)),"YES","NO")</f>
        <v>NO</v>
      </c>
      <c r="AI457" s="245" t="str">
        <f>IF(ISNUMBER(SEARCH("R", 'WetLitterbags placem_collection'!$Y164)),"YES","NO")</f>
        <v>YES</v>
      </c>
      <c r="AJ457" s="245" t="str">
        <f>IF(ISNUMBER(SEARCH("C", 'WetLitterbags placem_collection'!$W164)),"YES","NO")</f>
        <v>NO</v>
      </c>
      <c r="AK457" s="245" t="str">
        <f>IF(ISNUMBER(SEARCH("H", 'WetLitterbags placem_collection'!$W164)),"YES","NO")</f>
        <v>YES</v>
      </c>
      <c r="AL457" s="245" t="str">
        <f>IF(ISNUMBER(SEARCH("R", 'WetLitterbags placem_collection'!$W164)),"YES","NO")</f>
        <v>NO</v>
      </c>
    </row>
    <row r="458" spans="2:38">
      <c r="B458" t="str">
        <f>Wetseason!B604</f>
        <v>Wet</v>
      </c>
      <c r="C458" s="253">
        <f>Wetseason!C604</f>
        <v>163</v>
      </c>
      <c r="D458" t="s">
        <v>3126</v>
      </c>
      <c r="E458" t="s">
        <v>25</v>
      </c>
      <c r="F458" s="374">
        <v>3</v>
      </c>
      <c r="G458" s="16">
        <f>'WetLitterbags placem_collection'!E165</f>
        <v>42763</v>
      </c>
      <c r="H458" s="92" t="str">
        <f>Wetseason!L604</f>
        <v>G743</v>
      </c>
      <c r="I458" t="str">
        <f>Wetseason!L824</f>
        <v>R341</v>
      </c>
      <c r="J458">
        <f>IFERROR(INDEX('Green_rooibos initial weight'!$C$5:$C$2000,MATCH(H458, 'Green_rooibos initial weight'!$A$5:$A$2000,0)),"")</f>
        <v>2.0339999999999998</v>
      </c>
      <c r="K458">
        <f>IFERROR(INDEX('Green_rooibos initial weight'!$C$5:$C$2000,MATCH(I458, 'Green_rooibos initial weight'!$A$5:$A$2000,0)),"")</f>
        <v>2.1560000000000001</v>
      </c>
      <c r="L458" s="194">
        <f t="shared" si="71"/>
        <v>1.7841999999999998</v>
      </c>
      <c r="M458" s="194">
        <f>AVERAGE(Ashed_controlls!$K$2:$K$11)</f>
        <v>5.5147656768714146</v>
      </c>
      <c r="N458" s="194">
        <f t="shared" si="68"/>
        <v>1.6858055507932601</v>
      </c>
      <c r="O458" s="194">
        <f t="shared" si="72"/>
        <v>1.9062000000000001</v>
      </c>
      <c r="P458" s="194">
        <f>AVERAGE(Ashed_controlls!$K$12:$K$14)</f>
        <v>2.2816647271287041</v>
      </c>
      <c r="Q458" s="194">
        <f t="shared" si="73"/>
        <v>1.8627069069714728</v>
      </c>
      <c r="R458" s="16">
        <f>IF('WetLitterbags placem_collection'!G165="","",'WetLitterbags placem_collection'!G165)</f>
        <v>42814</v>
      </c>
      <c r="S458" s="194">
        <f>IFERROR(INDEX('Both teabags AfterWet'!$C$3:$C$2000,MATCH(H458,'Both teabags AfterWet'!$A$3:$A$2000,0)),"")</f>
        <v>0.68700000000000006</v>
      </c>
      <c r="T458" s="194">
        <f>IFERROR(INDEX('Both teabags AfterWet'!$C$3:$C$2000,MATCH(I458,'Both teabags AfterWet'!$A$3:$A$2000,0)),"")</f>
        <v>1.738</v>
      </c>
      <c r="U458" s="194">
        <f t="shared" si="74"/>
        <v>0.53639999999999999</v>
      </c>
      <c r="V458" s="194">
        <f t="shared" si="75"/>
        <v>1.5873999999999999</v>
      </c>
      <c r="W458" s="194">
        <f>IFERROR(INDEX('Ashed teabags wet'!$K$2:$K$2000,MATCH(H458,'Ashed teabags wet'!$A$2:$A$2000,0)),"")</f>
        <v>7.8343313373247501</v>
      </c>
      <c r="X458" s="233">
        <f>IFERROR(INDEX('Ashed teabags wet'!$K$2:$K$2000,MATCH(I458,'Ashed teabags wet'!$A$2:$A$2000,0)),"")</f>
        <v>2.2942643391521438</v>
      </c>
      <c r="Y458" s="194">
        <f t="shared" si="80"/>
        <v>0.49437664670659004</v>
      </c>
      <c r="Z458" s="194">
        <f t="shared" si="80"/>
        <v>1.5509808478802989</v>
      </c>
      <c r="AA458" s="194">
        <f t="shared" si="76"/>
        <v>0.70674159515374724</v>
      </c>
      <c r="AB458" s="194">
        <f t="shared" si="77"/>
        <v>0.46332703150221916</v>
      </c>
      <c r="AC458" s="194">
        <f t="shared" si="69"/>
        <v>0.83264889504382567</v>
      </c>
      <c r="AD458">
        <f t="shared" si="70"/>
        <v>51</v>
      </c>
      <c r="AE458" s="194">
        <f t="shared" si="78"/>
        <v>0.16063943568438566</v>
      </c>
      <c r="AF458" s="194">
        <f t="shared" si="79"/>
        <v>8.7873532256757189E-3</v>
      </c>
      <c r="AG458" s="245" t="str">
        <f>IF(ISNUMBER(SEARCH("C",'WetLitterbags placem_collection'!$Y165)),"YES","NO")</f>
        <v>NO</v>
      </c>
      <c r="AH458" s="245" t="str">
        <f>IF(ISNUMBER(SEARCH("H", 'WetLitterbags placem_collection'!$Y165)),"YES","NO")</f>
        <v>NO</v>
      </c>
      <c r="AI458" s="245" t="str">
        <f>IF(ISNUMBER(SEARCH("R", 'WetLitterbags placem_collection'!$Y165)),"YES","NO")</f>
        <v>NO</v>
      </c>
      <c r="AJ458" s="245" t="str">
        <f>IF(ISNUMBER(SEARCH("C", 'WetLitterbags placem_collection'!$W165)),"YES","NO")</f>
        <v>NO</v>
      </c>
      <c r="AK458" s="245" t="str">
        <f>IF(ISNUMBER(SEARCH("H", 'WetLitterbags placem_collection'!$W165)),"YES","NO")</f>
        <v>NO</v>
      </c>
      <c r="AL458" s="245" t="str">
        <f>IF(ISNUMBER(SEARCH("R", 'WetLitterbags placem_collection'!$W165)),"YES","NO")</f>
        <v>NO</v>
      </c>
    </row>
    <row r="459" spans="2:38">
      <c r="B459" t="str">
        <f>Wetseason!B605</f>
        <v>Wet</v>
      </c>
      <c r="C459" s="253">
        <f>Wetseason!C605</f>
        <v>164</v>
      </c>
      <c r="D459" t="s">
        <v>3126</v>
      </c>
      <c r="E459" t="s">
        <v>25</v>
      </c>
      <c r="F459" s="375">
        <v>4</v>
      </c>
      <c r="G459" s="16">
        <f>'WetLitterbags placem_collection'!E166</f>
        <v>42763</v>
      </c>
      <c r="H459" s="92" t="str">
        <f>Wetseason!L605</f>
        <v>G390</v>
      </c>
      <c r="I459" t="str">
        <f>Wetseason!L825</f>
        <v>R264</v>
      </c>
      <c r="J459">
        <f>IFERROR(INDEX('Green_rooibos initial weight'!$C$5:$C$2000,MATCH(H459, 'Green_rooibos initial weight'!$A$5:$A$2000,0)),"")</f>
        <v>2.0630000000000002</v>
      </c>
      <c r="K459">
        <f>IFERROR(INDEX('Green_rooibos initial weight'!$C$5:$C$2000,MATCH(I459, 'Green_rooibos initial weight'!$A$5:$A$2000,0)),"")</f>
        <v>2.2250000000000001</v>
      </c>
      <c r="L459" s="194">
        <f t="shared" si="71"/>
        <v>1.8132000000000001</v>
      </c>
      <c r="M459" s="194">
        <f>AVERAGE(Ashed_controlls!$K$2:$K$11)</f>
        <v>5.5147656768714146</v>
      </c>
      <c r="N459" s="194">
        <f t="shared" si="68"/>
        <v>1.7132062687469676</v>
      </c>
      <c r="O459" s="194">
        <f t="shared" si="72"/>
        <v>1.9752000000000001</v>
      </c>
      <c r="P459" s="194">
        <f>AVERAGE(Ashed_controlls!$K$12:$K$14)</f>
        <v>2.2816647271287041</v>
      </c>
      <c r="Q459" s="194">
        <f t="shared" si="73"/>
        <v>1.9301325583097539</v>
      </c>
      <c r="R459" s="16">
        <f>IF('WetLitterbags placem_collection'!G166="","",'WetLitterbags placem_collection'!G166)</f>
        <v>42814</v>
      </c>
      <c r="S459" s="194">
        <f>IFERROR(INDEX('Both teabags AfterWet'!$C$3:$C$2000,MATCH(H459,'Both teabags AfterWet'!$A$3:$A$2000,0)),"")</f>
        <v>0.63800000000000001</v>
      </c>
      <c r="T459" s="194">
        <f>IFERROR(INDEX('Both teabags AfterWet'!$C$3:$C$2000,MATCH(I459,'Both teabags AfterWet'!$A$3:$A$2000,0)),"")</f>
        <v>1.7050000000000001</v>
      </c>
      <c r="U459" s="194">
        <f t="shared" si="74"/>
        <v>0.4874</v>
      </c>
      <c r="V459" s="194">
        <f t="shared" si="75"/>
        <v>1.5544</v>
      </c>
      <c r="W459" s="194">
        <f>IFERROR(INDEX('Ashed teabags wet'!$K$2:$K$2000,MATCH(H459,'Ashed teabags wet'!$A$2:$A$2000,0)),"")</f>
        <v>9.1180866965623011</v>
      </c>
      <c r="X459" s="233">
        <f>IFERROR(INDEX('Ashed teabags wet'!$K$2:$K$2000,MATCH(I459,'Ashed teabags wet'!$A$2:$A$2000,0)),"")</f>
        <v>1.9295706705255817</v>
      </c>
      <c r="Y459" s="194">
        <f t="shared" si="80"/>
        <v>0.44295844544095536</v>
      </c>
      <c r="Z459" s="194">
        <f t="shared" si="80"/>
        <v>1.5244067534973504</v>
      </c>
      <c r="AA459" s="194">
        <f t="shared" si="76"/>
        <v>0.74144476732218978</v>
      </c>
      <c r="AB459" s="194">
        <f t="shared" si="77"/>
        <v>0.48607780470528361</v>
      </c>
      <c r="AC459" s="194">
        <f t="shared" si="69"/>
        <v>0.78979381334942944</v>
      </c>
      <c r="AD459">
        <f t="shared" si="70"/>
        <v>51</v>
      </c>
      <c r="AE459" s="194">
        <f t="shared" si="78"/>
        <v>0.11942426683825436</v>
      </c>
      <c r="AF459" s="194">
        <f t="shared" si="79"/>
        <v>1.110653132448209E-2</v>
      </c>
      <c r="AG459" s="245" t="str">
        <f>IF(ISNUMBER(SEARCH("C",'WetLitterbags placem_collection'!$Y166)),"YES","NO")</f>
        <v>NO</v>
      </c>
      <c r="AH459" s="245" t="str">
        <f>IF(ISNUMBER(SEARCH("H", 'WetLitterbags placem_collection'!$Y166)),"YES","NO")</f>
        <v>NO</v>
      </c>
      <c r="AI459" s="245" t="str">
        <f>IF(ISNUMBER(SEARCH("R", 'WetLitterbags placem_collection'!$Y166)),"YES","NO")</f>
        <v>NO</v>
      </c>
      <c r="AJ459" s="245" t="str">
        <f>IF(ISNUMBER(SEARCH("C", 'WetLitterbags placem_collection'!$W166)),"YES","NO")</f>
        <v>NO</v>
      </c>
      <c r="AK459" s="245" t="str">
        <f>IF(ISNUMBER(SEARCH("H", 'WetLitterbags placem_collection'!$W166)),"YES","NO")</f>
        <v>NO</v>
      </c>
      <c r="AL459" s="245" t="str">
        <f>IF(ISNUMBER(SEARCH("R", 'WetLitterbags placem_collection'!$W166)),"YES","NO")</f>
        <v>NO</v>
      </c>
    </row>
    <row r="460" spans="2:38">
      <c r="B460" t="str">
        <f>Wetseason!B606</f>
        <v>Wet</v>
      </c>
      <c r="C460" s="253">
        <f>Wetseason!C606</f>
        <v>165</v>
      </c>
      <c r="D460" t="s">
        <v>3126</v>
      </c>
      <c r="E460" t="s">
        <v>25</v>
      </c>
      <c r="F460" s="375">
        <v>5</v>
      </c>
      <c r="G460" s="16">
        <f>'WetLitterbags placem_collection'!E167</f>
        <v>42763</v>
      </c>
      <c r="H460" s="92" t="str">
        <f>Wetseason!L606</f>
        <v>G810</v>
      </c>
      <c r="I460" t="str">
        <f>Wetseason!L826</f>
        <v>R411</v>
      </c>
      <c r="J460">
        <f>IFERROR(INDEX('Green_rooibos initial weight'!$C$5:$C$2000,MATCH(H460, 'Green_rooibos initial weight'!$A$5:$A$2000,0)),"")</f>
        <v>1.946</v>
      </c>
      <c r="K460">
        <f>IFERROR(INDEX('Green_rooibos initial weight'!$C$5:$C$2000,MATCH(I460, 'Green_rooibos initial weight'!$A$5:$A$2000,0)),"")</f>
        <v>2.2240000000000002</v>
      </c>
      <c r="L460" s="194">
        <f t="shared" si="71"/>
        <v>1.6961999999999999</v>
      </c>
      <c r="M460" s="194">
        <f>AVERAGE(Ashed_controlls!$K$2:$K$11)</f>
        <v>5.5147656768714146</v>
      </c>
      <c r="N460" s="194">
        <f t="shared" ref="N460:N515" si="81">IFERROR(L460-(M460/100)*L460,"")</f>
        <v>1.602658544588907</v>
      </c>
      <c r="O460" s="194">
        <f t="shared" si="72"/>
        <v>1.9742000000000002</v>
      </c>
      <c r="P460" s="194">
        <f>AVERAGE(Ashed_controlls!$K$12:$K$14)</f>
        <v>2.2816647271287041</v>
      </c>
      <c r="Q460" s="194">
        <f t="shared" si="73"/>
        <v>1.9291553749570254</v>
      </c>
      <c r="R460" s="16">
        <f>IF('WetLitterbags placem_collection'!G167="","",'WetLitterbags placem_collection'!G167)</f>
        <v>42814</v>
      </c>
      <c r="S460" s="194">
        <f>IFERROR(INDEX('Both teabags AfterWet'!$C$3:$C$2000,MATCH(H460,'Both teabags AfterWet'!$A$3:$A$2000,0)),"")</f>
        <v>0.64800000000000002</v>
      </c>
      <c r="T460" s="194">
        <f>IFERROR(INDEX('Both teabags AfterWet'!$C$3:$C$2000,MATCH(I460,'Both teabags AfterWet'!$A$3:$A$2000,0)),"")</f>
        <v>1.728</v>
      </c>
      <c r="U460" s="194">
        <f t="shared" si="74"/>
        <v>0.49740000000000001</v>
      </c>
      <c r="V460" s="194">
        <f t="shared" si="75"/>
        <v>1.5773999999999999</v>
      </c>
      <c r="W460" s="194">
        <f>IFERROR(INDEX('Ashed teabags wet'!$K$2:$K$2000,MATCH(H460,'Ashed teabags wet'!$A$2:$A$2000,0)),"")</f>
        <v>7.6693227091631231</v>
      </c>
      <c r="X460" s="233">
        <f>IFERROR(INDEX('Ashed teabags wet'!$K$2:$K$2000,MATCH(I460,'Ashed teabags wet'!$A$2:$A$2000,0)),"")</f>
        <v>1.9212295869364138</v>
      </c>
      <c r="Y460" s="194">
        <f t="shared" si="80"/>
        <v>0.45925278884462262</v>
      </c>
      <c r="Z460" s="194">
        <f t="shared" si="80"/>
        <v>1.5470945244956649</v>
      </c>
      <c r="AA460" s="194">
        <f t="shared" si="76"/>
        <v>0.71344314707882828</v>
      </c>
      <c r="AB460" s="194">
        <f t="shared" si="77"/>
        <v>0.4677204479661678</v>
      </c>
      <c r="AC460" s="194">
        <f t="shared" ref="AC460:AC515" si="82">IFERROR(Z460/Q460,"")</f>
        <v>0.80195433948918116</v>
      </c>
      <c r="AD460">
        <f t="shared" ref="AD460:AD515" si="83">IFERROR(IF((R460-G460)&gt;0,(IFERROR(R460-G460,"")),""),"")</f>
        <v>51</v>
      </c>
      <c r="AE460" s="194">
        <f t="shared" si="78"/>
        <v>0.15268034788737728</v>
      </c>
      <c r="AF460" s="194">
        <f t="shared" si="79"/>
        <v>1.0797138077005428E-2</v>
      </c>
      <c r="AG460" s="245" t="str">
        <f>IF(ISNUMBER(SEARCH("C",'WetLitterbags placem_collection'!$Y167)),"YES","NO")</f>
        <v>NO</v>
      </c>
      <c r="AH460" s="245" t="str">
        <f>IF(ISNUMBER(SEARCH("H", 'WetLitterbags placem_collection'!$Y167)),"YES","NO")</f>
        <v>NO</v>
      </c>
      <c r="AI460" s="245" t="str">
        <f>IF(ISNUMBER(SEARCH("R", 'WetLitterbags placem_collection'!$Y167)),"YES","NO")</f>
        <v>NO</v>
      </c>
      <c r="AJ460" s="245" t="str">
        <f>IF(ISNUMBER(SEARCH("C", 'WetLitterbags placem_collection'!$W167)),"YES","NO")</f>
        <v>NO</v>
      </c>
      <c r="AK460" s="245" t="str">
        <f>IF(ISNUMBER(SEARCH("H", 'WetLitterbags placem_collection'!$W167)),"YES","NO")</f>
        <v>YES</v>
      </c>
      <c r="AL460" s="245" t="str">
        <f>IF(ISNUMBER(SEARCH("R", 'WetLitterbags placem_collection'!$W167)),"YES","NO")</f>
        <v>NO</v>
      </c>
    </row>
    <row r="461" spans="2:38">
      <c r="B461" t="str">
        <f>Wetseason!B607</f>
        <v>Wet</v>
      </c>
      <c r="C461" s="253">
        <f>Wetseason!C607</f>
        <v>166</v>
      </c>
      <c r="D461" t="s">
        <v>3126</v>
      </c>
      <c r="E461" t="s">
        <v>25</v>
      </c>
      <c r="F461" s="375">
        <v>6</v>
      </c>
      <c r="G461" s="16">
        <f>'WetLitterbags placem_collection'!E168</f>
        <v>42763</v>
      </c>
      <c r="H461" s="92" t="str">
        <f>Wetseason!L607</f>
        <v>G287</v>
      </c>
      <c r="I461" t="str">
        <f>Wetseason!L827</f>
        <v>R259</v>
      </c>
      <c r="J461">
        <f>IFERROR(INDEX('Green_rooibos initial weight'!$C$5:$C$2000,MATCH(H461, 'Green_rooibos initial weight'!$A$5:$A$2000,0)),"")</f>
        <v>1.9970000000000001</v>
      </c>
      <c r="K461">
        <f>IFERROR(INDEX('Green_rooibos initial weight'!$C$5:$C$2000,MATCH(I461, 'Green_rooibos initial weight'!$A$5:$A$2000,0)),"")</f>
        <v>2.218</v>
      </c>
      <c r="L461" s="194">
        <f t="shared" ref="L461:L515" si="84">IF(J461&gt;0,(J461*$F$31-($F$29+$F$30)),"")</f>
        <v>1.7472000000000001</v>
      </c>
      <c r="M461" s="194">
        <f>AVERAGE(Ashed_controlls!$K$2:$K$11)</f>
        <v>5.5147656768714146</v>
      </c>
      <c r="N461" s="194">
        <f t="shared" si="81"/>
        <v>1.6508460140937027</v>
      </c>
      <c r="O461" s="194">
        <f t="shared" ref="O461:O515" si="85">IF(K461&gt;0,(K461*$F$32-($F$29+$F$30)),"")</f>
        <v>1.9681999999999999</v>
      </c>
      <c r="P461" s="194">
        <f>AVERAGE(Ashed_controlls!$K$12:$K$14)</f>
        <v>2.2816647271287041</v>
      </c>
      <c r="Q461" s="194">
        <f t="shared" ref="Q461:Q515" si="86">IFERROR(O461-(P461/100)*O461,"")</f>
        <v>1.9232922748406529</v>
      </c>
      <c r="R461" s="16">
        <f>IF('WetLitterbags placem_collection'!G168="","",'WetLitterbags placem_collection'!G168)</f>
        <v>42814</v>
      </c>
      <c r="S461" s="194">
        <f>IFERROR(INDEX('Both teabags AfterWet'!$C$3:$C$2000,MATCH(H461,'Both teabags AfterWet'!$A$3:$A$2000,0)),"")</f>
        <v>0.72240000000000004</v>
      </c>
      <c r="T461" s="194">
        <f>IFERROR(INDEX('Both teabags AfterWet'!$C$3:$C$2000,MATCH(I461,'Both teabags AfterWet'!$A$3:$A$2000,0)),"")</f>
        <v>1.7169000000000001</v>
      </c>
      <c r="U461" s="194">
        <f t="shared" ref="U461:U515" si="87">IFERROR(IF(S461&gt;0,S461-($F$29),""),"")</f>
        <v>0.57180000000000009</v>
      </c>
      <c r="V461" s="194">
        <f t="shared" ref="V461:V515" si="88">IFERROR(IF(T461&gt;0,T461-($F$29),""),"")</f>
        <v>1.5663</v>
      </c>
      <c r="W461" s="194">
        <f>IFERROR(INDEX('Ashed teabags wet'!$K$2:$K$2000,MATCH(H461,'Ashed teabags wet'!$A$2:$A$2000,0)),"")</f>
        <v>8.1175298804781466</v>
      </c>
      <c r="X461" s="233">
        <f>IFERROR(INDEX('Ashed teabags wet'!$K$2:$K$2000,MATCH(I461,'Ashed teabags wet'!$A$2:$A$2000,0)),"")</f>
        <v>1.9326065411295223</v>
      </c>
      <c r="Y461" s="194">
        <f t="shared" si="80"/>
        <v>0.52538396414342603</v>
      </c>
      <c r="Z461" s="194">
        <f t="shared" si="80"/>
        <v>1.5360295837462883</v>
      </c>
      <c r="AA461" s="194">
        <f t="shared" ref="AA461:AA515" si="89">IFERROR(1-Y461/N461,"")</f>
        <v>0.68174865513919158</v>
      </c>
      <c r="AB461" s="194">
        <f t="shared" ref="AB461:AB515" si="90">IFERROR($F$26*(1-AE461),"")</f>
        <v>0.4469421112076411</v>
      </c>
      <c r="AC461" s="194">
        <f t="shared" si="82"/>
        <v>0.79864594884495654</v>
      </c>
      <c r="AD461">
        <f t="shared" si="83"/>
        <v>51</v>
      </c>
      <c r="AE461" s="194">
        <f t="shared" ref="AE461:AE515" si="91">IFERROR(1-(AA461/$F$25),"")</f>
        <v>0.19032226230499805</v>
      </c>
      <c r="AF461" s="194">
        <f t="shared" ref="AF461:AF515" si="92">IFERROR(LN(AB461/(AC461-(1-AB461)))/AD461,"")</f>
        <v>1.1740656890755609E-2</v>
      </c>
      <c r="AG461" s="245" t="str">
        <f>IF(ISNUMBER(SEARCH("C",'WetLitterbags placem_collection'!$Y168)),"YES","NO")</f>
        <v>NO</v>
      </c>
      <c r="AH461" s="245" t="str">
        <f>IF(ISNUMBER(SEARCH("H", 'WetLitterbags placem_collection'!$Y168)),"YES","NO")</f>
        <v>NO</v>
      </c>
      <c r="AI461" s="245" t="str">
        <f>IF(ISNUMBER(SEARCH("R", 'WetLitterbags placem_collection'!$Y168)),"YES","NO")</f>
        <v>NO</v>
      </c>
      <c r="AJ461" s="245" t="str">
        <f>IF(ISNUMBER(SEARCH("C", 'WetLitterbags placem_collection'!$W168)),"YES","NO")</f>
        <v>NO</v>
      </c>
      <c r="AK461" s="245" t="str">
        <f>IF(ISNUMBER(SEARCH("H", 'WetLitterbags placem_collection'!$W168)),"YES","NO")</f>
        <v>NO</v>
      </c>
      <c r="AL461" s="245" t="str">
        <f>IF(ISNUMBER(SEARCH("R", 'WetLitterbags placem_collection'!$W168)),"YES","NO")</f>
        <v>NO</v>
      </c>
    </row>
    <row r="462" spans="2:38">
      <c r="B462" t="str">
        <f>Wetseason!B608</f>
        <v>Wet</v>
      </c>
      <c r="C462" s="253">
        <f>Wetseason!C608</f>
        <v>167</v>
      </c>
      <c r="D462" t="s">
        <v>3126</v>
      </c>
      <c r="E462" t="s">
        <v>25</v>
      </c>
      <c r="F462" s="375">
        <v>7</v>
      </c>
      <c r="G462" s="16">
        <f>'WetLitterbags placem_collection'!E169</f>
        <v>42763</v>
      </c>
      <c r="H462" s="92" t="str">
        <f>Wetseason!L608</f>
        <v>G443</v>
      </c>
      <c r="I462" t="str">
        <f>Wetseason!L828</f>
        <v>R215</v>
      </c>
      <c r="J462">
        <f>IFERROR(INDEX('Green_rooibos initial weight'!$C$5:$C$2000,MATCH(H462, 'Green_rooibos initial weight'!$A$5:$A$2000,0)),"")</f>
        <v>2.0310000000000001</v>
      </c>
      <c r="K462">
        <f>IFERROR(INDEX('Green_rooibos initial weight'!$C$5:$C$2000,MATCH(I462, 'Green_rooibos initial weight'!$A$5:$A$2000,0)),"")</f>
        <v>2.1949999999999998</v>
      </c>
      <c r="L462" s="194">
        <f t="shared" si="84"/>
        <v>1.7812000000000001</v>
      </c>
      <c r="M462" s="194">
        <f>AVERAGE(Ashed_controlls!$K$2:$K$11)</f>
        <v>5.5147656768714146</v>
      </c>
      <c r="N462" s="194">
        <f t="shared" si="81"/>
        <v>1.6829709937635664</v>
      </c>
      <c r="O462" s="194">
        <f t="shared" si="85"/>
        <v>1.9451999999999998</v>
      </c>
      <c r="P462" s="194">
        <f>AVERAGE(Ashed_controlls!$K$12:$K$14)</f>
        <v>2.2816647271287041</v>
      </c>
      <c r="Q462" s="194">
        <f t="shared" si="86"/>
        <v>1.9008170577278922</v>
      </c>
      <c r="R462" s="16">
        <f>IF('WetLitterbags placem_collection'!G169="","",'WetLitterbags placem_collection'!G169)</f>
        <v>42814</v>
      </c>
      <c r="S462" s="194">
        <f>IFERROR(INDEX('Both teabags AfterWet'!$C$3:$C$2000,MATCH(H462,'Both teabags AfterWet'!$A$3:$A$2000,0)),"")</f>
        <v>0.69789999999999996</v>
      </c>
      <c r="T462" s="194">
        <f>IFERROR(INDEX('Both teabags AfterWet'!$C$3:$C$2000,MATCH(I462,'Both teabags AfterWet'!$A$3:$A$2000,0)),"")</f>
        <v>1.7432000000000001</v>
      </c>
      <c r="U462" s="194">
        <f t="shared" si="87"/>
        <v>0.5472999999999999</v>
      </c>
      <c r="V462" s="194">
        <f t="shared" si="88"/>
        <v>1.5926</v>
      </c>
      <c r="W462" s="194">
        <f>IFERROR(INDEX('Ashed teabags wet'!$K$2:$K$2000,MATCH(H462,'Ashed teabags wet'!$A$2:$A$2000,0)),"")</f>
        <v>8.5487077534794818</v>
      </c>
      <c r="X462" s="233">
        <f>IFERROR(INDEX('Ashed teabags wet'!$K$2:$K$2000,MATCH(I462,'Ashed teabags wet'!$A$2:$A$2000,0)),"")</f>
        <v>1.8428709990296765</v>
      </c>
      <c r="Y462" s="194">
        <f t="shared" ref="Y462:Z515" si="93">IFERROR(U462-(W462/100)*U462,"")</f>
        <v>0.50051292246520673</v>
      </c>
      <c r="Z462" s="194">
        <f t="shared" si="93"/>
        <v>1.5632504364694535</v>
      </c>
      <c r="AA462" s="194">
        <f t="shared" si="89"/>
        <v>0.70260157523812805</v>
      </c>
      <c r="AB462" s="194">
        <f t="shared" si="90"/>
        <v>0.46061290918224079</v>
      </c>
      <c r="AC462" s="194">
        <f t="shared" si="82"/>
        <v>0.82240972644577226</v>
      </c>
      <c r="AD462">
        <f t="shared" si="83"/>
        <v>51</v>
      </c>
      <c r="AE462" s="194">
        <f t="shared" si="91"/>
        <v>0.16555632394521602</v>
      </c>
      <c r="AF462" s="194">
        <f t="shared" si="92"/>
        <v>9.5496300957012194E-3</v>
      </c>
      <c r="AG462" s="245" t="str">
        <f>IF(ISNUMBER(SEARCH("C",'WetLitterbags placem_collection'!$Y169)),"YES","NO")</f>
        <v>NO</v>
      </c>
      <c r="AH462" s="245" t="str">
        <f>IF(ISNUMBER(SEARCH("H", 'WetLitterbags placem_collection'!$Y169)),"YES","NO")</f>
        <v>NO</v>
      </c>
      <c r="AI462" s="245" t="str">
        <f>IF(ISNUMBER(SEARCH("R", 'WetLitterbags placem_collection'!$Y169)),"YES","NO")</f>
        <v>NO</v>
      </c>
      <c r="AJ462" s="245" t="str">
        <f>IF(ISNUMBER(SEARCH("C", 'WetLitterbags placem_collection'!$W169)),"YES","NO")</f>
        <v>NO</v>
      </c>
      <c r="AK462" s="245" t="str">
        <f>IF(ISNUMBER(SEARCH("H", 'WetLitterbags placem_collection'!$W169)),"YES","NO")</f>
        <v>NO</v>
      </c>
      <c r="AL462" s="245" t="str">
        <f>IF(ISNUMBER(SEARCH("R", 'WetLitterbags placem_collection'!$W169)),"YES","NO")</f>
        <v>NO</v>
      </c>
    </row>
    <row r="463" spans="2:38">
      <c r="B463" t="str">
        <f>Wetseason!B609</f>
        <v>Wet</v>
      </c>
      <c r="C463" s="253">
        <f>Wetseason!C609</f>
        <v>168</v>
      </c>
      <c r="D463" t="s">
        <v>3126</v>
      </c>
      <c r="E463" t="s">
        <v>25</v>
      </c>
      <c r="F463" s="375">
        <v>8</v>
      </c>
      <c r="G463" s="16">
        <f>'WetLitterbags placem_collection'!E170</f>
        <v>42763</v>
      </c>
      <c r="H463" s="92" t="str">
        <f>Wetseason!L609</f>
        <v>G680</v>
      </c>
      <c r="I463" t="str">
        <f>Wetseason!L829</f>
        <v>R322</v>
      </c>
      <c r="J463">
        <f>IFERROR(INDEX('Green_rooibos initial weight'!$C$5:$C$2000,MATCH(H463, 'Green_rooibos initial weight'!$A$5:$A$2000,0)),"")</f>
        <v>2.0049999999999999</v>
      </c>
      <c r="K463">
        <f>IFERROR(INDEX('Green_rooibos initial weight'!$C$5:$C$2000,MATCH(I463, 'Green_rooibos initial weight'!$A$5:$A$2000,0)),"")</f>
        <v>2.1909999999999998</v>
      </c>
      <c r="L463" s="194">
        <f t="shared" si="84"/>
        <v>1.7551999999999999</v>
      </c>
      <c r="M463" s="194">
        <f>AVERAGE(Ashed_controlls!$K$2:$K$11)</f>
        <v>5.5147656768714146</v>
      </c>
      <c r="N463" s="194">
        <f t="shared" si="81"/>
        <v>1.6584048328395529</v>
      </c>
      <c r="O463" s="194">
        <f t="shared" si="85"/>
        <v>1.9411999999999998</v>
      </c>
      <c r="P463" s="194">
        <f>AVERAGE(Ashed_controlls!$K$12:$K$14)</f>
        <v>2.2816647271287041</v>
      </c>
      <c r="Q463" s="194">
        <f t="shared" si="86"/>
        <v>1.8969083243169773</v>
      </c>
      <c r="R463" s="16">
        <f>IF('WetLitterbags placem_collection'!G170="","",'WetLitterbags placem_collection'!G170)</f>
        <v>42814</v>
      </c>
      <c r="S463" s="194">
        <f>IFERROR(INDEX('Both teabags AfterWet'!$C$3:$C$2000,MATCH(H463,'Both teabags AfterWet'!$A$3:$A$2000,0)),"")</f>
        <v>0.998</v>
      </c>
      <c r="T463" s="194">
        <f>IFERROR(INDEX('Both teabags AfterWet'!$C$3:$C$2000,MATCH(I463,'Both teabags AfterWet'!$A$3:$A$2000,0)),"")</f>
        <v>1.6950000000000001</v>
      </c>
      <c r="U463" s="194">
        <f t="shared" si="87"/>
        <v>0.84739999999999993</v>
      </c>
      <c r="V463" s="194">
        <f t="shared" si="88"/>
        <v>1.5444</v>
      </c>
      <c r="W463" s="194">
        <f>IFERROR(INDEX('Ashed teabags wet'!$K$2:$K$2000,MATCH(H463,'Ashed teabags wet'!$A$2:$A$2000,0)),"")</f>
        <v>7.5706756109248428</v>
      </c>
      <c r="X463" s="233">
        <f>IFERROR(INDEX('Ashed teabags wet'!$K$2:$K$2000,MATCH(I463,'Ashed teabags wet'!$A$2:$A$2000,0)),"")</f>
        <v>2.1371769383691874</v>
      </c>
      <c r="Y463" s="194">
        <f t="shared" si="93"/>
        <v>0.78324609487302277</v>
      </c>
      <c r="Z463" s="194">
        <f t="shared" si="93"/>
        <v>1.5113934393638262</v>
      </c>
      <c r="AA463" s="194">
        <f t="shared" si="89"/>
        <v>0.52771115992713691</v>
      </c>
      <c r="AB463" s="194">
        <f t="shared" si="90"/>
        <v>0.34595791007099719</v>
      </c>
      <c r="AC463" s="194">
        <f t="shared" si="82"/>
        <v>0.79676672825400563</v>
      </c>
      <c r="AD463">
        <f t="shared" si="83"/>
        <v>51</v>
      </c>
      <c r="AE463" s="194">
        <f t="shared" si="91"/>
        <v>0.37326465566848344</v>
      </c>
      <c r="AF463" s="194">
        <f t="shared" si="92"/>
        <v>1.7360783386006599E-2</v>
      </c>
      <c r="AG463" s="245" t="str">
        <f>IF(ISNUMBER(SEARCH("C",'WetLitterbags placem_collection'!$Y170)),"YES","NO")</f>
        <v>NO</v>
      </c>
      <c r="AH463" s="245" t="str">
        <f>IF(ISNUMBER(SEARCH("H", 'WetLitterbags placem_collection'!$Y170)),"YES","NO")</f>
        <v>NO</v>
      </c>
      <c r="AI463" s="245" t="str">
        <f>IF(ISNUMBER(SEARCH("R", 'WetLitterbags placem_collection'!$Y170)),"YES","NO")</f>
        <v>NO</v>
      </c>
      <c r="AJ463" s="245" t="str">
        <f>IF(ISNUMBER(SEARCH("C", 'WetLitterbags placem_collection'!$W170)),"YES","NO")</f>
        <v>NO</v>
      </c>
      <c r="AK463" s="245" t="str">
        <f>IF(ISNUMBER(SEARCH("H", 'WetLitterbags placem_collection'!$W170)),"YES","NO")</f>
        <v>NO</v>
      </c>
      <c r="AL463" s="245" t="str">
        <f>IF(ISNUMBER(SEARCH("R", 'WetLitterbags placem_collection'!$W170)),"YES","NO")</f>
        <v>NO</v>
      </c>
    </row>
    <row r="464" spans="2:38">
      <c r="B464" t="str">
        <f>Wetseason!B610</f>
        <v>Wet</v>
      </c>
      <c r="C464" s="253">
        <f>Wetseason!C610</f>
        <v>169</v>
      </c>
      <c r="D464" t="s">
        <v>3128</v>
      </c>
      <c r="E464" t="s">
        <v>25</v>
      </c>
      <c r="F464" s="374">
        <v>1</v>
      </c>
      <c r="G464" s="16">
        <f>'WetLitterbags placem_collection'!E171</f>
        <v>42763</v>
      </c>
      <c r="H464" s="92" t="str">
        <f>Wetseason!L610</f>
        <v>G496</v>
      </c>
      <c r="I464" t="str">
        <f>Wetseason!L830</f>
        <v>R403</v>
      </c>
      <c r="J464">
        <f>IFERROR(INDEX('Green_rooibos initial weight'!$C$5:$C$2000,MATCH(H464, 'Green_rooibos initial weight'!$A$5:$A$2000,0)),"")</f>
        <v>1.8480000000000001</v>
      </c>
      <c r="K464">
        <f>IFERROR(INDEX('Green_rooibos initial weight'!$C$5:$C$2000,MATCH(I464, 'Green_rooibos initial weight'!$A$5:$A$2000,0)),"")</f>
        <v>2.2679999999999998</v>
      </c>
      <c r="L464" s="194">
        <f t="shared" si="84"/>
        <v>1.5982000000000001</v>
      </c>
      <c r="M464" s="194">
        <f>AVERAGE(Ashed_controlls!$K$2:$K$11)</f>
        <v>5.5147656768714146</v>
      </c>
      <c r="N464" s="194">
        <f t="shared" si="81"/>
        <v>1.5100630149522412</v>
      </c>
      <c r="O464" s="194">
        <f t="shared" si="85"/>
        <v>2.0181999999999998</v>
      </c>
      <c r="P464" s="194">
        <f>AVERAGE(Ashed_controlls!$K$12:$K$14)</f>
        <v>2.2816647271287041</v>
      </c>
      <c r="Q464" s="194">
        <f t="shared" si="86"/>
        <v>1.9721514424770883</v>
      </c>
      <c r="R464" s="16">
        <f>IF('WetLitterbags placem_collection'!G171="","",'WetLitterbags placem_collection'!G171)</f>
        <v>42814</v>
      </c>
      <c r="S464" s="194">
        <f>IFERROR(INDEX('Both teabags AfterWet'!$C$3:$C$2000,MATCH(H464,'Both teabags AfterWet'!$A$3:$A$2000,0)),"")</f>
        <v>0.57199999999999995</v>
      </c>
      <c r="T464" s="194">
        <f>IFERROR(INDEX('Both teabags AfterWet'!$C$3:$C$2000,MATCH(I464,'Both teabags AfterWet'!$A$3:$A$2000,0)),"")</f>
        <v>1.736</v>
      </c>
      <c r="U464" s="194">
        <f t="shared" si="87"/>
        <v>0.42139999999999994</v>
      </c>
      <c r="V464" s="194">
        <f t="shared" si="88"/>
        <v>1.5853999999999999</v>
      </c>
      <c r="W464" s="194">
        <f>IFERROR(INDEX('Ashed teabags wet'!$K$2:$K$2000,MATCH(H464,'Ashed teabags wet'!$A$2:$A$2000,0)),"")</f>
        <v>9.4256259204713331</v>
      </c>
      <c r="X464" s="233">
        <f>IFERROR(INDEX('Ashed teabags wet'!$K$2:$K$2000,MATCH(I464,'Ashed teabags wet'!$A$2:$A$2000,0)),"")</f>
        <v>3.6768263183359386</v>
      </c>
      <c r="Y464" s="194">
        <f t="shared" si="93"/>
        <v>0.38168041237113376</v>
      </c>
      <c r="Z464" s="194">
        <f t="shared" si="93"/>
        <v>1.527107595549102</v>
      </c>
      <c r="AA464" s="194">
        <f t="shared" si="89"/>
        <v>0.74724206301867135</v>
      </c>
      <c r="AB464" s="194">
        <f t="shared" si="90"/>
        <v>0.48987840710962782</v>
      </c>
      <c r="AC464" s="194">
        <f t="shared" si="82"/>
        <v>0.77433586623094408</v>
      </c>
      <c r="AD464">
        <f t="shared" si="83"/>
        <v>51</v>
      </c>
      <c r="AE464" s="194">
        <f t="shared" si="91"/>
        <v>0.11253911755502211</v>
      </c>
      <c r="AF464" s="194">
        <f t="shared" si="92"/>
        <v>1.2105819532739891E-2</v>
      </c>
      <c r="AG464" s="245" t="str">
        <f>IF(ISNUMBER(SEARCH("C",'WetLitterbags placem_collection'!$Y171)),"YES","NO")</f>
        <v>NO</v>
      </c>
      <c r="AH464" s="245" t="str">
        <f>IF(ISNUMBER(SEARCH("H", 'WetLitterbags placem_collection'!$Y171)),"YES","NO")</f>
        <v>NO</v>
      </c>
      <c r="AI464" s="245" t="str">
        <f>IF(ISNUMBER(SEARCH("R", 'WetLitterbags placem_collection'!$Y171)),"YES","NO")</f>
        <v>NO</v>
      </c>
      <c r="AJ464" s="245" t="str">
        <f>IF(ISNUMBER(SEARCH("C", 'WetLitterbags placem_collection'!$W171)),"YES","NO")</f>
        <v>YES</v>
      </c>
      <c r="AK464" s="245" t="str">
        <f>IF(ISNUMBER(SEARCH("H", 'WetLitterbags placem_collection'!$W171)),"YES","NO")</f>
        <v>YES</v>
      </c>
      <c r="AL464" s="245" t="str">
        <f>IF(ISNUMBER(SEARCH("R", 'WetLitterbags placem_collection'!$W171)),"YES","NO")</f>
        <v>NO</v>
      </c>
    </row>
    <row r="465" spans="2:38">
      <c r="B465" t="str">
        <f>Wetseason!B611</f>
        <v>Wet</v>
      </c>
      <c r="C465" s="253">
        <f>Wetseason!C611</f>
        <v>170</v>
      </c>
      <c r="D465" t="s">
        <v>3128</v>
      </c>
      <c r="E465" t="s">
        <v>25</v>
      </c>
      <c r="F465" s="374">
        <v>2</v>
      </c>
      <c r="G465" s="16">
        <f>'WetLitterbags placem_collection'!E172</f>
        <v>42763</v>
      </c>
      <c r="H465" s="92" t="str">
        <f>Wetseason!L611</f>
        <v>G674</v>
      </c>
      <c r="I465" t="str">
        <f>Wetseason!L831</f>
        <v>R583</v>
      </c>
      <c r="J465">
        <f>IFERROR(INDEX('Green_rooibos initial weight'!$C$5:$C$2000,MATCH(H465, 'Green_rooibos initial weight'!$A$5:$A$2000,0)),"")</f>
        <v>1.9950000000000001</v>
      </c>
      <c r="K465">
        <f>IFERROR(INDEX('Green_rooibos initial weight'!$C$5:$C$2000,MATCH(I465, 'Green_rooibos initial weight'!$A$5:$A$2000,0)),"")</f>
        <v>2.2549999999999999</v>
      </c>
      <c r="L465" s="194">
        <f t="shared" si="84"/>
        <v>1.7452000000000001</v>
      </c>
      <c r="M465" s="194">
        <f>AVERAGE(Ashed_controlls!$K$2:$K$11)</f>
        <v>5.5147656768714146</v>
      </c>
      <c r="N465" s="194">
        <f t="shared" si="81"/>
        <v>1.6489563094072401</v>
      </c>
      <c r="O465" s="194">
        <f t="shared" si="85"/>
        <v>2.0051999999999999</v>
      </c>
      <c r="P465" s="194">
        <f>AVERAGE(Ashed_controlls!$K$12:$K$14)</f>
        <v>2.2816647271287041</v>
      </c>
      <c r="Q465" s="194">
        <f t="shared" si="86"/>
        <v>1.959448058891615</v>
      </c>
      <c r="R465" s="16">
        <f>IF('WetLitterbags placem_collection'!G172="","",'WetLitterbags placem_collection'!G172)</f>
        <v>42814</v>
      </c>
      <c r="S465" s="194">
        <f>IFERROR(INDEX('Both teabags AfterWet'!$C$3:$C$2000,MATCH(H465,'Both teabags AfterWet'!$A$3:$A$2000,0)),"")</f>
        <v>0.61299999999999999</v>
      </c>
      <c r="T465" s="194">
        <f>IFERROR(INDEX('Both teabags AfterWet'!$C$3:$C$2000,MATCH(I465,'Both teabags AfterWet'!$A$3:$A$2000,0)),"")</f>
        <v>1.71</v>
      </c>
      <c r="U465" s="194">
        <f t="shared" si="87"/>
        <v>0.46239999999999998</v>
      </c>
      <c r="V465" s="194">
        <f t="shared" si="88"/>
        <v>1.5593999999999999</v>
      </c>
      <c r="W465" s="194">
        <f>IFERROR(INDEX('Ashed teabags wet'!$K$2:$K$2000,MATCH(H465,'Ashed teabags wet'!$A$2:$A$2000,0)),"")</f>
        <v>8.7857847976303241</v>
      </c>
      <c r="X465" s="233">
        <f>IFERROR(INDEX('Ashed teabags wet'!$K$2:$K$2000,MATCH(I465,'Ashed teabags wet'!$A$2:$A$2000,0)),"")</f>
        <v>2.3988005996999138</v>
      </c>
      <c r="Y465" s="194">
        <f t="shared" si="93"/>
        <v>0.42177453109575735</v>
      </c>
      <c r="Z465" s="194">
        <f t="shared" si="93"/>
        <v>1.5219931034482794</v>
      </c>
      <c r="AA465" s="194">
        <f t="shared" si="89"/>
        <v>0.74421727932417137</v>
      </c>
      <c r="AB465" s="194">
        <f t="shared" si="90"/>
        <v>0.48789541352368487</v>
      </c>
      <c r="AC465" s="194">
        <f t="shared" si="82"/>
        <v>0.7767458272454606</v>
      </c>
      <c r="AD465">
        <f t="shared" si="83"/>
        <v>51</v>
      </c>
      <c r="AE465" s="194">
        <f t="shared" si="91"/>
        <v>0.1161314972397014</v>
      </c>
      <c r="AF465" s="194">
        <f t="shared" si="92"/>
        <v>1.1994626784174262E-2</v>
      </c>
      <c r="AG465" s="245" t="str">
        <f>IF(ISNUMBER(SEARCH("C",'WetLitterbags placem_collection'!$Y172)),"YES","NO")</f>
        <v>NO</v>
      </c>
      <c r="AH465" s="245" t="str">
        <f>IF(ISNUMBER(SEARCH("H", 'WetLitterbags placem_collection'!$Y172)),"YES","NO")</f>
        <v>NO</v>
      </c>
      <c r="AI465" s="245" t="str">
        <f>IF(ISNUMBER(SEARCH("R", 'WetLitterbags placem_collection'!$Y172)),"YES","NO")</f>
        <v>NO</v>
      </c>
      <c r="AJ465" s="245" t="str">
        <f>IF(ISNUMBER(SEARCH("C", 'WetLitterbags placem_collection'!$W172)),"YES","NO")</f>
        <v>NO</v>
      </c>
      <c r="AK465" s="245" t="str">
        <f>IF(ISNUMBER(SEARCH("H", 'WetLitterbags placem_collection'!$W172)),"YES","NO")</f>
        <v>NO</v>
      </c>
      <c r="AL465" s="245" t="str">
        <f>IF(ISNUMBER(SEARCH("R", 'WetLitterbags placem_collection'!$W172)),"YES","NO")</f>
        <v>NO</v>
      </c>
    </row>
    <row r="466" spans="2:38">
      <c r="B466" t="str">
        <f>Wetseason!B612</f>
        <v>Wet</v>
      </c>
      <c r="C466" s="253">
        <f>Wetseason!C612</f>
        <v>171</v>
      </c>
      <c r="D466" t="s">
        <v>3128</v>
      </c>
      <c r="E466" t="s">
        <v>25</v>
      </c>
      <c r="F466" s="374">
        <v>3</v>
      </c>
      <c r="G466" s="16">
        <f>'WetLitterbags placem_collection'!E173</f>
        <v>42763</v>
      </c>
      <c r="H466" s="92" t="str">
        <f>Wetseason!L612</f>
        <v>G504</v>
      </c>
      <c r="I466" t="str">
        <f>Wetseason!L832</f>
        <v>R451</v>
      </c>
      <c r="J466">
        <f>IFERROR(INDEX('Green_rooibos initial weight'!$C$5:$C$2000,MATCH(H466, 'Green_rooibos initial weight'!$A$5:$A$2000,0)),"")</f>
        <v>2.0009999999999999</v>
      </c>
      <c r="K466">
        <f>IFERROR(INDEX('Green_rooibos initial weight'!$C$5:$C$2000,MATCH(I466, 'Green_rooibos initial weight'!$A$5:$A$2000,0)),"")</f>
        <v>2.1970000000000001</v>
      </c>
      <c r="L466" s="194">
        <f t="shared" si="84"/>
        <v>1.7511999999999999</v>
      </c>
      <c r="M466" s="194">
        <f>AVERAGE(Ashed_controlls!$K$2:$K$11)</f>
        <v>5.5147656768714146</v>
      </c>
      <c r="N466" s="194">
        <f t="shared" si="81"/>
        <v>1.6546254234666278</v>
      </c>
      <c r="O466" s="194">
        <f t="shared" si="85"/>
        <v>1.9472</v>
      </c>
      <c r="P466" s="194">
        <f>AVERAGE(Ashed_controlls!$K$12:$K$14)</f>
        <v>2.2816647271287041</v>
      </c>
      <c r="Q466" s="194">
        <f t="shared" si="86"/>
        <v>1.90277142443335</v>
      </c>
      <c r="R466" s="16">
        <f>IF('WetLitterbags placem_collection'!G173="","",'WetLitterbags placem_collection'!G173)</f>
        <v>42814</v>
      </c>
      <c r="S466" s="194">
        <f>IFERROR(INDEX('Both teabags AfterWet'!$C$3:$C$2000,MATCH(H466,'Both teabags AfterWet'!$A$3:$A$2000,0)),"")</f>
        <v>0.53500000000000003</v>
      </c>
      <c r="T466" s="194">
        <f>IFERROR(INDEX('Both teabags AfterWet'!$C$3:$C$2000,MATCH(I466,'Both teabags AfterWet'!$A$3:$A$2000,0)),"")</f>
        <v>1.629</v>
      </c>
      <c r="U466" s="194">
        <f t="shared" si="87"/>
        <v>0.38440000000000002</v>
      </c>
      <c r="V466" s="194">
        <f t="shared" si="88"/>
        <v>1.4783999999999999</v>
      </c>
      <c r="W466" s="194">
        <f>IFERROR(INDEX('Ashed teabags wet'!$K$2:$K$2000,MATCH(H466,'Ashed teabags wet'!$A$2:$A$2000,0)),"")</f>
        <v>8.6370444333500629</v>
      </c>
      <c r="X466" s="233">
        <f>IFERROR(INDEX('Ashed teabags wet'!$K$2:$K$2000,MATCH(I466,'Ashed teabags wet'!$A$2:$A$2000,0)),"")</f>
        <v>1.7224409448818911</v>
      </c>
      <c r="Y466" s="194">
        <f t="shared" si="93"/>
        <v>0.35119920119820236</v>
      </c>
      <c r="Z466" s="194">
        <f t="shared" si="93"/>
        <v>1.4529354330708661</v>
      </c>
      <c r="AA466" s="194">
        <f t="shared" si="89"/>
        <v>0.78774700532377884</v>
      </c>
      <c r="AB466" s="194">
        <f t="shared" si="90"/>
        <v>0.51643271607924701</v>
      </c>
      <c r="AC466" s="194">
        <f t="shared" si="82"/>
        <v>0.76358905458313464</v>
      </c>
      <c r="AD466">
        <f t="shared" si="83"/>
        <v>51</v>
      </c>
      <c r="AE466" s="194">
        <f t="shared" si="91"/>
        <v>6.4433485363683096E-2</v>
      </c>
      <c r="AF466" s="194">
        <f t="shared" si="92"/>
        <v>1.2001522717568134E-2</v>
      </c>
      <c r="AG466" s="245" t="str">
        <f>IF(ISNUMBER(SEARCH("C",'WetLitterbags placem_collection'!$Y173)),"YES","NO")</f>
        <v>NO</v>
      </c>
      <c r="AH466" s="245" t="str">
        <f>IF(ISNUMBER(SEARCH("H", 'WetLitterbags placem_collection'!$Y173)),"YES","NO")</f>
        <v>NO</v>
      </c>
      <c r="AI466" s="245" t="str">
        <f>IF(ISNUMBER(SEARCH("R", 'WetLitterbags placem_collection'!$Y173)),"YES","NO")</f>
        <v>NO</v>
      </c>
      <c r="AJ466" s="245" t="str">
        <f>IF(ISNUMBER(SEARCH("C", 'WetLitterbags placem_collection'!$W173)),"YES","NO")</f>
        <v>NO</v>
      </c>
      <c r="AK466" s="245" t="str">
        <f>IF(ISNUMBER(SEARCH("H", 'WetLitterbags placem_collection'!$W173)),"YES","NO")</f>
        <v>NO</v>
      </c>
      <c r="AL466" s="245" t="str">
        <f>IF(ISNUMBER(SEARCH("R", 'WetLitterbags placem_collection'!$W173)),"YES","NO")</f>
        <v>NO</v>
      </c>
    </row>
    <row r="467" spans="2:38">
      <c r="B467" t="str">
        <f>Wetseason!B613</f>
        <v>Wet</v>
      </c>
      <c r="C467" s="253">
        <f>Wetseason!C613</f>
        <v>172</v>
      </c>
      <c r="D467" t="s">
        <v>3128</v>
      </c>
      <c r="E467" t="s">
        <v>25</v>
      </c>
      <c r="F467" s="375">
        <v>4</v>
      </c>
      <c r="G467" s="16">
        <f>'WetLitterbags placem_collection'!E174</f>
        <v>42763</v>
      </c>
      <c r="H467" s="92" t="str">
        <f>Wetseason!L613</f>
        <v>G439</v>
      </c>
      <c r="I467" t="str">
        <f>Wetseason!L833</f>
        <v>R353</v>
      </c>
      <c r="J467">
        <f>IFERROR(INDEX('Green_rooibos initial weight'!$C$5:$C$2000,MATCH(H467, 'Green_rooibos initial weight'!$A$5:$A$2000,0)),"")</f>
        <v>2.069</v>
      </c>
      <c r="K467">
        <f>IFERROR(INDEX('Green_rooibos initial weight'!$C$5:$C$2000,MATCH(I467, 'Green_rooibos initial weight'!$A$5:$A$2000,0)),"")</f>
        <v>2.2909999999999999</v>
      </c>
      <c r="L467" s="194">
        <f t="shared" si="84"/>
        <v>1.8191999999999999</v>
      </c>
      <c r="M467" s="194">
        <f>AVERAGE(Ashed_controlls!$K$2:$K$11)</f>
        <v>5.5147656768714146</v>
      </c>
      <c r="N467" s="194">
        <f t="shared" si="81"/>
        <v>1.7188753828063552</v>
      </c>
      <c r="O467" s="194">
        <f t="shared" si="85"/>
        <v>2.0411999999999999</v>
      </c>
      <c r="P467" s="194">
        <f>AVERAGE(Ashed_controlls!$K$12:$K$14)</f>
        <v>2.2816647271287041</v>
      </c>
      <c r="Q467" s="194">
        <f t="shared" si="86"/>
        <v>1.9946266595898487</v>
      </c>
      <c r="R467" s="16">
        <f>IF('WetLitterbags placem_collection'!G174="","",'WetLitterbags placem_collection'!G174)</f>
        <v>42814</v>
      </c>
      <c r="S467" s="194">
        <f>IFERROR(INDEX('Both teabags AfterWet'!$C$3:$C$2000,MATCH(H467,'Both teabags AfterWet'!$A$3:$A$2000,0)),"")</f>
        <v>0.59599999999999997</v>
      </c>
      <c r="T467" s="194">
        <f>IFERROR(INDEX('Both teabags AfterWet'!$C$3:$C$2000,MATCH(I467,'Both teabags AfterWet'!$A$3:$A$2000,0)),"")</f>
        <v>1.7694000000000001</v>
      </c>
      <c r="U467" s="194">
        <f t="shared" si="87"/>
        <v>0.44539999999999996</v>
      </c>
      <c r="V467" s="194">
        <f t="shared" si="88"/>
        <v>1.6188</v>
      </c>
      <c r="W467" s="194">
        <f>IFERROR(INDEX('Ashed teabags wet'!$K$2:$K$2000,MATCH(H467,'Ashed teabags wet'!$A$2:$A$2000,0)),"")</f>
        <v>9.0602409638559092</v>
      </c>
      <c r="X467" s="233">
        <f>IFERROR(INDEX('Ashed teabags wet'!$K$2:$K$2000,MATCH(I467,'Ashed teabags wet'!$A$2:$A$2000,0)),"")</f>
        <v>2.1371769383700703</v>
      </c>
      <c r="Y467" s="194">
        <f t="shared" si="93"/>
        <v>0.40504568674698577</v>
      </c>
      <c r="Z467" s="194">
        <f t="shared" si="93"/>
        <v>1.5842033797216653</v>
      </c>
      <c r="AA467" s="194">
        <f t="shared" si="89"/>
        <v>0.76435424534053187</v>
      </c>
      <c r="AB467" s="194">
        <f t="shared" si="90"/>
        <v>0.50109684492633455</v>
      </c>
      <c r="AC467" s="194">
        <f t="shared" si="82"/>
        <v>0.79423553881878928</v>
      </c>
      <c r="AD467">
        <f t="shared" si="83"/>
        <v>51</v>
      </c>
      <c r="AE467" s="194">
        <f t="shared" si="91"/>
        <v>9.2215860640698422E-2</v>
      </c>
      <c r="AF467" s="194">
        <f t="shared" si="92"/>
        <v>1.0366626255461543E-2</v>
      </c>
      <c r="AG467" s="245" t="str">
        <f>IF(ISNUMBER(SEARCH("C",'WetLitterbags placem_collection'!$Y174)),"YES","NO")</f>
        <v>NO</v>
      </c>
      <c r="AH467" s="245" t="str">
        <f>IF(ISNUMBER(SEARCH("H", 'WetLitterbags placem_collection'!$Y174)),"YES","NO")</f>
        <v>NO</v>
      </c>
      <c r="AI467" s="245" t="str">
        <f>IF(ISNUMBER(SEARCH("R", 'WetLitterbags placem_collection'!$Y174)),"YES","NO")</f>
        <v>NO</v>
      </c>
      <c r="AJ467" s="245" t="str">
        <f>IF(ISNUMBER(SEARCH("C", 'WetLitterbags placem_collection'!$W174)),"YES","NO")</f>
        <v>NO</v>
      </c>
      <c r="AK467" s="245" t="str">
        <f>IF(ISNUMBER(SEARCH("H", 'WetLitterbags placem_collection'!$W174)),"YES","NO")</f>
        <v>NO</v>
      </c>
      <c r="AL467" s="245" t="str">
        <f>IF(ISNUMBER(SEARCH("R", 'WetLitterbags placem_collection'!$W174)),"YES","NO")</f>
        <v>YES</v>
      </c>
    </row>
    <row r="468" spans="2:38">
      <c r="B468" t="str">
        <f>Wetseason!B614</f>
        <v>Wet</v>
      </c>
      <c r="C468" s="253">
        <f>Wetseason!C614</f>
        <v>173</v>
      </c>
      <c r="D468" t="s">
        <v>3128</v>
      </c>
      <c r="E468" t="s">
        <v>25</v>
      </c>
      <c r="F468" s="375">
        <v>5</v>
      </c>
      <c r="G468" s="16">
        <f>'WetLitterbags placem_collection'!E175</f>
        <v>42763</v>
      </c>
      <c r="H468" s="92" t="str">
        <f>Wetseason!L614</f>
        <v>G865</v>
      </c>
      <c r="I468" t="str">
        <f>Wetseason!L834</f>
        <v>R105</v>
      </c>
      <c r="J468">
        <f>IFERROR(INDEX('Green_rooibos initial weight'!$C$5:$C$2000,MATCH(H468, 'Green_rooibos initial weight'!$A$5:$A$2000,0)),"")</f>
        <v>2.036</v>
      </c>
      <c r="K468">
        <f>IFERROR(INDEX('Green_rooibos initial weight'!$C$5:$C$2000,MATCH(I468, 'Green_rooibos initial weight'!$A$5:$A$2000,0)),"")</f>
        <v>2.254</v>
      </c>
      <c r="L468" s="194">
        <f t="shared" si="84"/>
        <v>1.7862</v>
      </c>
      <c r="M468" s="194">
        <f>AVERAGE(Ashed_controlls!$K$2:$K$11)</f>
        <v>5.5147656768714146</v>
      </c>
      <c r="N468" s="194">
        <f t="shared" si="81"/>
        <v>1.6876952554797229</v>
      </c>
      <c r="O468" s="194">
        <f t="shared" si="85"/>
        <v>2.0042</v>
      </c>
      <c r="P468" s="194">
        <f>AVERAGE(Ashed_controlls!$K$12:$K$14)</f>
        <v>2.2816647271287041</v>
      </c>
      <c r="Q468" s="194">
        <f t="shared" si="86"/>
        <v>1.9584708755388864</v>
      </c>
      <c r="R468" s="16">
        <f>IF('WetLitterbags placem_collection'!G175="","",'WetLitterbags placem_collection'!G175)</f>
        <v>42814</v>
      </c>
      <c r="S468" s="194">
        <f>IFERROR(INDEX('Both teabags AfterWet'!$C$3:$C$2000,MATCH(H468,'Both teabags AfterWet'!$A$3:$A$2000,0)),"")</f>
        <v>0.65549999999999997</v>
      </c>
      <c r="T468" s="194">
        <f>IFERROR(INDEX('Both teabags AfterWet'!$C$3:$C$2000,MATCH(I468,'Both teabags AfterWet'!$A$3:$A$2000,0)),"")</f>
        <v>1.6919999999999999</v>
      </c>
      <c r="U468" s="194">
        <f t="shared" si="87"/>
        <v>0.5048999999999999</v>
      </c>
      <c r="V468" s="194">
        <f t="shared" si="88"/>
        <v>1.5413999999999999</v>
      </c>
      <c r="W468" s="194">
        <f>IFERROR(INDEX('Ashed teabags wet'!$K$2:$K$2000,MATCH(H468,'Ashed teabags wet'!$A$2:$A$2000,0)),"")</f>
        <v>9.1408591408588276</v>
      </c>
      <c r="X468" s="233">
        <f>IFERROR(INDEX('Ashed teabags wet'!$K$2:$K$2000,MATCH(I468,'Ashed teabags wet'!$A$2:$A$2000,0)),"")</f>
        <v>2.5628626692459697</v>
      </c>
      <c r="Y468" s="194">
        <f t="shared" si="93"/>
        <v>0.4587478021978037</v>
      </c>
      <c r="Z468" s="194">
        <f t="shared" si="93"/>
        <v>1.5018960348162425</v>
      </c>
      <c r="AA468" s="194">
        <f t="shared" si="89"/>
        <v>0.72818090190849893</v>
      </c>
      <c r="AB468" s="194">
        <f t="shared" si="90"/>
        <v>0.4773822539827689</v>
      </c>
      <c r="AC468" s="194">
        <f t="shared" si="82"/>
        <v>0.7668717740839448</v>
      </c>
      <c r="AD468">
        <f t="shared" si="83"/>
        <v>51</v>
      </c>
      <c r="AE468" s="194">
        <f t="shared" si="91"/>
        <v>0.13517707611817231</v>
      </c>
      <c r="AF468" s="194">
        <f t="shared" si="92"/>
        <v>1.3139387424218309E-2</v>
      </c>
      <c r="AG468" s="245" t="str">
        <f>IF(ISNUMBER(SEARCH("C",'WetLitterbags placem_collection'!$Y175)),"YES","NO")</f>
        <v>NO</v>
      </c>
      <c r="AH468" s="245" t="str">
        <f>IF(ISNUMBER(SEARCH("H", 'WetLitterbags placem_collection'!$Y175)),"YES","NO")</f>
        <v>NO</v>
      </c>
      <c r="AI468" s="245" t="str">
        <f>IF(ISNUMBER(SEARCH("R", 'WetLitterbags placem_collection'!$Y175)),"YES","NO")</f>
        <v>NO</v>
      </c>
      <c r="AJ468" s="245" t="str">
        <f>IF(ISNUMBER(SEARCH("C", 'WetLitterbags placem_collection'!$W175)),"YES","NO")</f>
        <v>YES</v>
      </c>
      <c r="AK468" s="245" t="str">
        <f>IF(ISNUMBER(SEARCH("H", 'WetLitterbags placem_collection'!$W175)),"YES","NO")</f>
        <v>YES</v>
      </c>
      <c r="AL468" s="245" t="str">
        <f>IF(ISNUMBER(SEARCH("R", 'WetLitterbags placem_collection'!$W175)),"YES","NO")</f>
        <v>NO</v>
      </c>
    </row>
    <row r="469" spans="2:38">
      <c r="B469" t="str">
        <f>Wetseason!B615</f>
        <v>Wet</v>
      </c>
      <c r="C469" s="253">
        <f>Wetseason!C615</f>
        <v>174</v>
      </c>
      <c r="D469" t="s">
        <v>3128</v>
      </c>
      <c r="E469" t="s">
        <v>25</v>
      </c>
      <c r="F469" s="375">
        <v>6</v>
      </c>
      <c r="G469" s="16">
        <f>'WetLitterbags placem_collection'!E176</f>
        <v>42763</v>
      </c>
      <c r="H469" s="92" t="str">
        <f>Wetseason!L615</f>
        <v>G736</v>
      </c>
      <c r="I469" t="str">
        <f>Wetseason!L835</f>
        <v>R384</v>
      </c>
      <c r="J469">
        <f>IFERROR(INDEX('Green_rooibos initial weight'!$C$5:$C$2000,MATCH(H469, 'Green_rooibos initial weight'!$A$5:$A$2000,0)),"")</f>
        <v>2.0760000000000001</v>
      </c>
      <c r="K469">
        <f>IFERROR(INDEX('Green_rooibos initial weight'!$C$5:$C$2000,MATCH(I469, 'Green_rooibos initial weight'!$A$5:$A$2000,0)),"")</f>
        <v>2.2240000000000002</v>
      </c>
      <c r="L469" s="194">
        <f t="shared" si="84"/>
        <v>1.8262</v>
      </c>
      <c r="M469" s="194">
        <f>AVERAGE(Ashed_controlls!$K$2:$K$11)</f>
        <v>5.5147656768714146</v>
      </c>
      <c r="N469" s="194">
        <f t="shared" si="81"/>
        <v>1.7254893492089742</v>
      </c>
      <c r="O469" s="194">
        <f t="shared" si="85"/>
        <v>1.9742000000000002</v>
      </c>
      <c r="P469" s="194">
        <f>AVERAGE(Ashed_controlls!$K$12:$K$14)</f>
        <v>2.2816647271287041</v>
      </c>
      <c r="Q469" s="194">
        <f t="shared" si="86"/>
        <v>1.9291553749570254</v>
      </c>
      <c r="R469" s="16">
        <f>IF('WetLitterbags placem_collection'!G176="","",'WetLitterbags placem_collection'!G176)</f>
        <v>42814</v>
      </c>
      <c r="S469" s="194">
        <f>IFERROR(INDEX('Both teabags AfterWet'!$C$3:$C$2000,MATCH(H469,'Both teabags AfterWet'!$A$3:$A$2000,0)),"")</f>
        <v>0.63500000000000001</v>
      </c>
      <c r="T469" s="194">
        <f>IFERROR(INDEX('Both teabags AfterWet'!$C$3:$C$2000,MATCH(I469,'Both teabags AfterWet'!$A$3:$A$2000,0)),"")</f>
        <v>1.772</v>
      </c>
      <c r="U469" s="194">
        <f t="shared" si="87"/>
        <v>0.4844</v>
      </c>
      <c r="V469" s="194">
        <f t="shared" si="88"/>
        <v>1.6214</v>
      </c>
      <c r="W469" s="194">
        <f>IFERROR(INDEX('Ashed teabags wet'!$K$2:$K$2000,MATCH(H469,'Ashed teabags wet'!$A$2:$A$2000,0)),"")</f>
        <v>8.7727944800392965</v>
      </c>
      <c r="X469" s="233">
        <f>IFERROR(INDEX('Ashed teabags wet'!$K$2:$K$2000,MATCH(I469,'Ashed teabags wet'!$A$2:$A$2000,0)),"")</f>
        <v>2.1032504780120633</v>
      </c>
      <c r="Y469" s="194">
        <f t="shared" si="93"/>
        <v>0.44190458353868967</v>
      </c>
      <c r="Z469" s="194">
        <f t="shared" si="93"/>
        <v>1.5872978967495124</v>
      </c>
      <c r="AA469" s="194">
        <f t="shared" si="89"/>
        <v>0.74389608157171505</v>
      </c>
      <c r="AB469" s="194">
        <f t="shared" si="90"/>
        <v>0.48768484207551877</v>
      </c>
      <c r="AC469" s="194">
        <f t="shared" si="82"/>
        <v>0.82279422246374101</v>
      </c>
      <c r="AD469">
        <f t="shared" si="83"/>
        <v>51</v>
      </c>
      <c r="AE469" s="194">
        <f t="shared" si="91"/>
        <v>0.11651296725449511</v>
      </c>
      <c r="AF469" s="194">
        <f t="shared" si="92"/>
        <v>8.853978582342905E-3</v>
      </c>
      <c r="AG469" s="245" t="str">
        <f>IF(ISNUMBER(SEARCH("C",'WetLitterbags placem_collection'!$Y176)),"YES","NO")</f>
        <v>NO</v>
      </c>
      <c r="AH469" s="245" t="str">
        <f>IF(ISNUMBER(SEARCH("H", 'WetLitterbags placem_collection'!$Y176)),"YES","NO")</f>
        <v>NO</v>
      </c>
      <c r="AI469" s="245" t="str">
        <f>IF(ISNUMBER(SEARCH("R", 'WetLitterbags placem_collection'!$Y176)),"YES","NO")</f>
        <v>NO</v>
      </c>
      <c r="AJ469" s="245" t="str">
        <f>IF(ISNUMBER(SEARCH("C", 'WetLitterbags placem_collection'!$W176)),"YES","NO")</f>
        <v>NO</v>
      </c>
      <c r="AK469" s="245" t="str">
        <f>IF(ISNUMBER(SEARCH("H", 'WetLitterbags placem_collection'!$W176)),"YES","NO")</f>
        <v>NO</v>
      </c>
      <c r="AL469" s="245" t="str">
        <f>IF(ISNUMBER(SEARCH("R", 'WetLitterbags placem_collection'!$W176)),"YES","NO")</f>
        <v>YES</v>
      </c>
    </row>
    <row r="470" spans="2:38">
      <c r="B470" t="str">
        <f>Wetseason!B616</f>
        <v>Wet</v>
      </c>
      <c r="C470" s="253">
        <f>Wetseason!C616</f>
        <v>175</v>
      </c>
      <c r="D470" t="s">
        <v>3128</v>
      </c>
      <c r="E470" t="s">
        <v>25</v>
      </c>
      <c r="F470" s="375">
        <v>7</v>
      </c>
      <c r="G470" s="16">
        <f>'WetLitterbags placem_collection'!E177</f>
        <v>42763</v>
      </c>
      <c r="H470" s="92" t="str">
        <f>Wetseason!L616</f>
        <v>G772</v>
      </c>
      <c r="I470" t="str">
        <f>Wetseason!L836</f>
        <v>R481</v>
      </c>
      <c r="J470">
        <f>IFERROR(INDEX('Green_rooibos initial weight'!$C$5:$C$2000,MATCH(H470, 'Green_rooibos initial weight'!$A$5:$A$2000,0)),"")</f>
        <v>2.0419999999999998</v>
      </c>
      <c r="K470">
        <f>IFERROR(INDEX('Green_rooibos initial weight'!$C$5:$C$2000,MATCH(I470, 'Green_rooibos initial weight'!$A$5:$A$2000,0)),"")</f>
        <v>2.1589999999999998</v>
      </c>
      <c r="L470" s="194">
        <f t="shared" si="84"/>
        <v>1.7921999999999998</v>
      </c>
      <c r="M470" s="194">
        <f>AVERAGE(Ashed_controlls!$K$2:$K$11)</f>
        <v>5.5147656768714146</v>
      </c>
      <c r="N470" s="194">
        <f t="shared" si="81"/>
        <v>1.6933643695391103</v>
      </c>
      <c r="O470" s="194">
        <f t="shared" si="85"/>
        <v>1.9091999999999998</v>
      </c>
      <c r="P470" s="194">
        <f>AVERAGE(Ashed_controlls!$K$12:$K$14)</f>
        <v>2.2816647271287041</v>
      </c>
      <c r="Q470" s="194">
        <f t="shared" si="86"/>
        <v>1.8656384570296585</v>
      </c>
      <c r="R470" s="16">
        <f>IF('WetLitterbags placem_collection'!G177="","",'WetLitterbags placem_collection'!G177)</f>
        <v>42814</v>
      </c>
      <c r="S470" s="194">
        <f>IFERROR(INDEX('Both teabags AfterWet'!$C$3:$C$2000,MATCH(H470,'Both teabags AfterWet'!$A$3:$A$2000,0)),"")</f>
        <v>0.58099999999999996</v>
      </c>
      <c r="T470" s="194">
        <f>IFERROR(INDEX('Both teabags AfterWet'!$C$3:$C$2000,MATCH(I470,'Both teabags AfterWet'!$A$3:$A$2000,0)),"")</f>
        <v>1.681</v>
      </c>
      <c r="U470" s="194">
        <f t="shared" si="87"/>
        <v>0.43039999999999995</v>
      </c>
      <c r="V470" s="194">
        <f t="shared" si="88"/>
        <v>1.5304</v>
      </c>
      <c r="W470" s="194">
        <f>IFERROR(INDEX('Ashed teabags wet'!$K$2:$K$2000,MATCH(H470,'Ashed teabags wet'!$A$2:$A$2000,0)),"")</f>
        <v>9.0770015298325593</v>
      </c>
      <c r="X470" s="233">
        <f>IFERROR(INDEX('Ashed teabags wet'!$K$2:$K$2000,MATCH(I470,'Ashed teabags wet'!$A$2:$A$2000,0)),"")</f>
        <v>22.390243902438794</v>
      </c>
      <c r="Y470" s="194">
        <f t="shared" si="93"/>
        <v>0.39133258541560062</v>
      </c>
      <c r="Z470" s="194">
        <f t="shared" si="93"/>
        <v>1.1877397073170766</v>
      </c>
      <c r="AA470" s="194">
        <f t="shared" si="89"/>
        <v>0.76890231514549279</v>
      </c>
      <c r="AB470" s="194">
        <f t="shared" si="90"/>
        <v>0.50407847738754408</v>
      </c>
      <c r="AC470" s="194">
        <f t="shared" si="82"/>
        <v>0.63663980705463918</v>
      </c>
      <c r="AD470">
        <f t="shared" si="83"/>
        <v>51</v>
      </c>
      <c r="AE470" s="194">
        <f t="shared" si="91"/>
        <v>8.6814352558797103E-2</v>
      </c>
      <c r="AF470" s="194">
        <f t="shared" si="92"/>
        <v>2.5019059921247203E-2</v>
      </c>
      <c r="AG470" s="245" t="str">
        <f>IF(ISNUMBER(SEARCH("C",'WetLitterbags placem_collection'!$Y177)),"YES","NO")</f>
        <v>NO</v>
      </c>
      <c r="AH470" s="245" t="str">
        <f>IF(ISNUMBER(SEARCH("H", 'WetLitterbags placem_collection'!$Y177)),"YES","NO")</f>
        <v>NO</v>
      </c>
      <c r="AI470" s="245" t="str">
        <f>IF(ISNUMBER(SEARCH("R", 'WetLitterbags placem_collection'!$Y177)),"YES","NO")</f>
        <v>NO</v>
      </c>
      <c r="AJ470" s="245" t="str">
        <f>IF(ISNUMBER(SEARCH("C", 'WetLitterbags placem_collection'!$W177)),"YES","NO")</f>
        <v>YES</v>
      </c>
      <c r="AK470" s="245" t="str">
        <f>IF(ISNUMBER(SEARCH("H", 'WetLitterbags placem_collection'!$W177)),"YES","NO")</f>
        <v>YES</v>
      </c>
      <c r="AL470" s="245" t="str">
        <f>IF(ISNUMBER(SEARCH("R", 'WetLitterbags placem_collection'!$W177)),"YES","NO")</f>
        <v>NO</v>
      </c>
    </row>
    <row r="471" spans="2:38">
      <c r="B471" t="str">
        <f>Wetseason!B617</f>
        <v>Wet</v>
      </c>
      <c r="C471" s="253">
        <f>Wetseason!C617</f>
        <v>176</v>
      </c>
      <c r="D471" t="s">
        <v>3128</v>
      </c>
      <c r="E471" t="s">
        <v>25</v>
      </c>
      <c r="F471" s="375">
        <v>8</v>
      </c>
      <c r="G471" s="16">
        <f>'WetLitterbags placem_collection'!E178</f>
        <v>42763</v>
      </c>
      <c r="H471" s="92" t="str">
        <f>Wetseason!L617</f>
        <v>G470</v>
      </c>
      <c r="I471" t="str">
        <f>Wetseason!L837</f>
        <v>R490</v>
      </c>
      <c r="J471">
        <f>IFERROR(INDEX('Green_rooibos initial weight'!$C$5:$C$2000,MATCH(H471, 'Green_rooibos initial weight'!$A$5:$A$2000,0)),"")</f>
        <v>1.9970000000000001</v>
      </c>
      <c r="K471">
        <f>IFERROR(INDEX('Green_rooibos initial weight'!$C$5:$C$2000,MATCH(I471, 'Green_rooibos initial weight'!$A$5:$A$2000,0)),"")</f>
        <v>2.1890000000000001</v>
      </c>
      <c r="L471" s="194">
        <f t="shared" si="84"/>
        <v>1.7472000000000001</v>
      </c>
      <c r="M471" s="194">
        <f>AVERAGE(Ashed_controlls!$K$2:$K$11)</f>
        <v>5.5147656768714146</v>
      </c>
      <c r="N471" s="194">
        <f t="shared" si="81"/>
        <v>1.6508460140937027</v>
      </c>
      <c r="O471" s="194">
        <f t="shared" si="85"/>
        <v>1.9392</v>
      </c>
      <c r="P471" s="194">
        <f>AVERAGE(Ashed_controlls!$K$12:$K$14)</f>
        <v>2.2816647271287041</v>
      </c>
      <c r="Q471" s="194">
        <f t="shared" si="86"/>
        <v>1.8949539576115202</v>
      </c>
      <c r="R471" s="16">
        <f>IF('WetLitterbags placem_collection'!G178="","",'WetLitterbags placem_collection'!G178)</f>
        <v>42814</v>
      </c>
      <c r="S471" s="194">
        <f>IFERROR(INDEX('Both teabags AfterWet'!$C$3:$C$2000,MATCH(H471,'Both teabags AfterWet'!$A$3:$A$2000,0)),"")</f>
        <v>0.60299999999999998</v>
      </c>
      <c r="T471" s="194">
        <f>IFERROR(INDEX('Both teabags AfterWet'!$C$3:$C$2000,MATCH(I471,'Both teabags AfterWet'!$A$3:$A$2000,0)),"")</f>
        <v>1.7070000000000001</v>
      </c>
      <c r="U471" s="194">
        <f t="shared" si="87"/>
        <v>0.45239999999999997</v>
      </c>
      <c r="V471" s="194">
        <f t="shared" si="88"/>
        <v>1.5564</v>
      </c>
      <c r="W471" s="194">
        <f>IFERROR(INDEX('Ashed teabags wet'!$K$2:$K$2000,MATCH(H471,'Ashed teabags wet'!$A$2:$A$2000,0)),"")</f>
        <v>9.3558282208585464</v>
      </c>
      <c r="X471" s="233">
        <f>IFERROR(INDEX('Ashed teabags wet'!$K$2:$K$2000,MATCH(I471,'Ashed teabags wet'!$A$2:$A$2000,0)),"")</f>
        <v>2.6433915211971035</v>
      </c>
      <c r="Y471" s="194">
        <f t="shared" si="93"/>
        <v>0.4100742331288359</v>
      </c>
      <c r="Z471" s="194">
        <f t="shared" si="93"/>
        <v>1.5152582543640882</v>
      </c>
      <c r="AA471" s="194">
        <f t="shared" si="89"/>
        <v>0.75159752658459644</v>
      </c>
      <c r="AB471" s="194">
        <f t="shared" si="90"/>
        <v>0.49273377039750271</v>
      </c>
      <c r="AC471" s="194">
        <f t="shared" si="82"/>
        <v>0.79962800588251948</v>
      </c>
      <c r="AD471">
        <f t="shared" si="83"/>
        <v>51</v>
      </c>
      <c r="AE471" s="194">
        <f t="shared" si="91"/>
        <v>0.10736635797553862</v>
      </c>
      <c r="AF471" s="194">
        <f t="shared" si="92"/>
        <v>1.0234843400941558E-2</v>
      </c>
      <c r="AG471" s="245" t="str">
        <f>IF(ISNUMBER(SEARCH("C",'WetLitterbags placem_collection'!$Y178)),"YES","NO")</f>
        <v>NO</v>
      </c>
      <c r="AH471" s="245" t="str">
        <f>IF(ISNUMBER(SEARCH("H", 'WetLitterbags placem_collection'!$Y178)),"YES","NO")</f>
        <v>NO</v>
      </c>
      <c r="AI471" s="245" t="str">
        <f>IF(ISNUMBER(SEARCH("R", 'WetLitterbags placem_collection'!$Y178)),"YES","NO")</f>
        <v>NO</v>
      </c>
      <c r="AJ471" s="245" t="str">
        <f>IF(ISNUMBER(SEARCH("C", 'WetLitterbags placem_collection'!$W178)),"YES","NO")</f>
        <v>NO</v>
      </c>
      <c r="AK471" s="245" t="str">
        <f>IF(ISNUMBER(SEARCH("H", 'WetLitterbags placem_collection'!$W178)),"YES","NO")</f>
        <v>NO</v>
      </c>
      <c r="AL471" s="245" t="str">
        <f>IF(ISNUMBER(SEARCH("R", 'WetLitterbags placem_collection'!$W178)),"YES","NO")</f>
        <v>NO</v>
      </c>
    </row>
    <row r="472" spans="2:38">
      <c r="B472" t="str">
        <f>Wetseason!B618</f>
        <v>Wet</v>
      </c>
      <c r="C472" s="253">
        <f>Wetseason!C618</f>
        <v>177</v>
      </c>
      <c r="D472" t="s">
        <v>3129</v>
      </c>
      <c r="E472" t="s">
        <v>25</v>
      </c>
      <c r="F472" s="374">
        <v>1</v>
      </c>
      <c r="G472" s="16">
        <f>'WetLitterbags placem_collection'!E179</f>
        <v>42763</v>
      </c>
      <c r="H472" s="92" t="str">
        <f>Wetseason!L618</f>
        <v>G483</v>
      </c>
      <c r="I472" t="str">
        <f>Wetseason!L838</f>
        <v>R470</v>
      </c>
      <c r="J472">
        <f>IFERROR(INDEX('Green_rooibos initial weight'!$C$5:$C$2000,MATCH(H472, 'Green_rooibos initial weight'!$A$5:$A$2000,0)),"")</f>
        <v>1.9750000000000001</v>
      </c>
      <c r="K472">
        <f>IFERROR(INDEX('Green_rooibos initial weight'!$C$5:$C$2000,MATCH(I472, 'Green_rooibos initial weight'!$A$5:$A$2000,0)),"")</f>
        <v>2.1240000000000001</v>
      </c>
      <c r="L472" s="194">
        <f t="shared" si="84"/>
        <v>1.7252000000000001</v>
      </c>
      <c r="M472" s="194">
        <f>AVERAGE(Ashed_controlls!$K$2:$K$11)</f>
        <v>5.5147656768714146</v>
      </c>
      <c r="N472" s="194">
        <f t="shared" si="81"/>
        <v>1.6300592625426145</v>
      </c>
      <c r="O472" s="194">
        <f t="shared" si="85"/>
        <v>1.8742000000000001</v>
      </c>
      <c r="P472" s="194">
        <f>AVERAGE(Ashed_controlls!$K$12:$K$14)</f>
        <v>2.2816647271287041</v>
      </c>
      <c r="Q472" s="194">
        <f t="shared" si="86"/>
        <v>1.8314370396841539</v>
      </c>
      <c r="R472" s="16">
        <f>IF('WetLitterbags placem_collection'!G179="","",'WetLitterbags placem_collection'!G179)</f>
        <v>42815</v>
      </c>
      <c r="S472" s="194">
        <f>IFERROR(INDEX('Both teabags AfterWet'!$C$3:$C$2000,MATCH(H472,'Both teabags AfterWet'!$A$3:$A$2000,0)),"")</f>
        <v>0.58399999999999996</v>
      </c>
      <c r="T472" s="194">
        <f>IFERROR(INDEX('Both teabags AfterWet'!$C$3:$C$2000,MATCH(I472,'Both teabags AfterWet'!$A$3:$A$2000,0)),"")</f>
        <v>1.677</v>
      </c>
      <c r="U472" s="194">
        <f t="shared" si="87"/>
        <v>0.43339999999999995</v>
      </c>
      <c r="V472" s="194">
        <f t="shared" si="88"/>
        <v>1.5264</v>
      </c>
      <c r="W472" s="194">
        <f>IFERROR(INDEX('Ashed teabags wet'!$K$2:$K$2000,MATCH(H472,'Ashed teabags wet'!$A$2:$A$2000,0)),"")</f>
        <v>8.5170340681363346</v>
      </c>
      <c r="X472" s="233">
        <f>IFERROR(INDEX('Ashed teabags wet'!$K$2:$K$2000,MATCH(I472,'Ashed teabags wet'!$A$2:$A$2000,0)),"")</f>
        <v>2.3705853894531068</v>
      </c>
      <c r="Y472" s="194">
        <f t="shared" si="93"/>
        <v>0.39648717434869707</v>
      </c>
      <c r="Z472" s="194">
        <f t="shared" si="93"/>
        <v>1.4902153846153878</v>
      </c>
      <c r="AA472" s="194">
        <f t="shared" si="89"/>
        <v>0.75676517813822008</v>
      </c>
      <c r="AB472" s="194">
        <f t="shared" si="90"/>
        <v>0.49612158946828688</v>
      </c>
      <c r="AC472" s="194">
        <f t="shared" si="82"/>
        <v>0.81368638524007764</v>
      </c>
      <c r="AD472">
        <f t="shared" si="83"/>
        <v>52</v>
      </c>
      <c r="AE472" s="194">
        <f t="shared" si="91"/>
        <v>0.10122900458643691</v>
      </c>
      <c r="AF472" s="194">
        <f t="shared" si="92"/>
        <v>9.0551609156824427E-3</v>
      </c>
      <c r="AG472" s="245" t="str">
        <f>IF(ISNUMBER(SEARCH("C",'WetLitterbags placem_collection'!$Y179)),"YES","NO")</f>
        <v>NO</v>
      </c>
      <c r="AH472" s="245" t="str">
        <f>IF(ISNUMBER(SEARCH("H", 'WetLitterbags placem_collection'!$Y179)),"YES","NO")</f>
        <v>NO</v>
      </c>
      <c r="AI472" s="245" t="str">
        <f>IF(ISNUMBER(SEARCH("R", 'WetLitterbags placem_collection'!$Y179)),"YES","NO")</f>
        <v>NO</v>
      </c>
      <c r="AJ472" s="245" t="str">
        <f>IF(ISNUMBER(SEARCH("C", 'WetLitterbags placem_collection'!$W179)),"YES","NO")</f>
        <v>YES</v>
      </c>
      <c r="AK472" s="245" t="str">
        <f>IF(ISNUMBER(SEARCH("H", 'WetLitterbags placem_collection'!$W179)),"YES","NO")</f>
        <v>NO</v>
      </c>
      <c r="AL472" s="245" t="str">
        <f>IF(ISNUMBER(SEARCH("R", 'WetLitterbags placem_collection'!$W179)),"YES","NO")</f>
        <v>YES</v>
      </c>
    </row>
    <row r="473" spans="2:38">
      <c r="B473" t="str">
        <f>Wetseason!B619</f>
        <v>Wet</v>
      </c>
      <c r="C473" s="253">
        <f>Wetseason!C619</f>
        <v>178</v>
      </c>
      <c r="D473" t="s">
        <v>3129</v>
      </c>
      <c r="E473" t="s">
        <v>25</v>
      </c>
      <c r="F473" s="374">
        <v>2</v>
      </c>
      <c r="G473" s="16">
        <f>'WetLitterbags placem_collection'!E180</f>
        <v>42763</v>
      </c>
      <c r="H473" s="92" t="str">
        <f>Wetseason!L619</f>
        <v>G893</v>
      </c>
      <c r="I473" t="str">
        <f>Wetseason!L839</f>
        <v>R488</v>
      </c>
      <c r="J473">
        <f>IFERROR(INDEX('Green_rooibos initial weight'!$C$5:$C$2000,MATCH(H473, 'Green_rooibos initial weight'!$A$5:$A$2000,0)),"")</f>
        <v>2.036</v>
      </c>
      <c r="K473">
        <f>IFERROR(INDEX('Green_rooibos initial weight'!$C$5:$C$2000,MATCH(I473, 'Green_rooibos initial weight'!$A$5:$A$2000,0)),"")</f>
        <v>2.1589999999999998</v>
      </c>
      <c r="L473" s="194">
        <f t="shared" si="84"/>
        <v>1.7862</v>
      </c>
      <c r="M473" s="194">
        <f>AVERAGE(Ashed_controlls!$K$2:$K$11)</f>
        <v>5.5147656768714146</v>
      </c>
      <c r="N473" s="194">
        <f t="shared" si="81"/>
        <v>1.6876952554797229</v>
      </c>
      <c r="O473" s="194">
        <f t="shared" si="85"/>
        <v>1.9091999999999998</v>
      </c>
      <c r="P473" s="194">
        <f>AVERAGE(Ashed_controlls!$K$12:$K$14)</f>
        <v>2.2816647271287041</v>
      </c>
      <c r="Q473" s="194">
        <f t="shared" si="86"/>
        <v>1.8656384570296585</v>
      </c>
      <c r="R473" s="16">
        <f>IF('WetLitterbags placem_collection'!G180="","",'WetLitterbags placem_collection'!G180)</f>
        <v>42815</v>
      </c>
      <c r="S473" s="194">
        <f>IFERROR(INDEX('Both teabags AfterWet'!$C$3:$C$2000,MATCH(H473,'Both teabags AfterWet'!$A$3:$A$2000,0)),"")</f>
        <v>0.60699999999999998</v>
      </c>
      <c r="T473" s="194">
        <f>IFERROR(INDEX('Both teabags AfterWet'!$C$3:$C$2000,MATCH(I473,'Both teabags AfterWet'!$A$3:$A$2000,0)),"")</f>
        <v>1.6446000000000001</v>
      </c>
      <c r="U473" s="194">
        <f t="shared" si="87"/>
        <v>0.45639999999999997</v>
      </c>
      <c r="V473" s="194">
        <f t="shared" si="88"/>
        <v>1.494</v>
      </c>
      <c r="W473" s="194">
        <f>IFERROR(INDEX('Ashed teabags wet'!$K$2:$K$2000,MATCH(H473,'Ashed teabags wet'!$A$2:$A$2000,0)),"")</f>
        <v>8.1265206812653794</v>
      </c>
      <c r="X473" s="233">
        <f>IFERROR(INDEX('Ashed teabags wet'!$K$2:$K$2000,MATCH(I473,'Ashed teabags wet'!$A$2:$A$2000,0)),"")</f>
        <v>2.0802377414560613</v>
      </c>
      <c r="Y473" s="194">
        <f t="shared" si="93"/>
        <v>0.41931055961070479</v>
      </c>
      <c r="Z473" s="194">
        <f t="shared" si="93"/>
        <v>1.4629212481426463</v>
      </c>
      <c r="AA473" s="194">
        <f t="shared" si="89"/>
        <v>0.7515484159540895</v>
      </c>
      <c r="AB473" s="194">
        <f t="shared" si="90"/>
        <v>0.49270157435470008</v>
      </c>
      <c r="AC473" s="194">
        <f t="shared" si="82"/>
        <v>0.7841397365231253</v>
      </c>
      <c r="AD473">
        <f t="shared" si="83"/>
        <v>52</v>
      </c>
      <c r="AE473" s="194">
        <f t="shared" si="91"/>
        <v>0.10742468414003614</v>
      </c>
      <c r="AF473" s="194">
        <f t="shared" si="92"/>
        <v>1.1085753996115709E-2</v>
      </c>
      <c r="AG473" s="245" t="str">
        <f>IF(ISNUMBER(SEARCH("C",'WetLitterbags placem_collection'!$Y180)),"YES","NO")</f>
        <v>NO</v>
      </c>
      <c r="AH473" s="245" t="str">
        <f>IF(ISNUMBER(SEARCH("H", 'WetLitterbags placem_collection'!$Y180)),"YES","NO")</f>
        <v>NO</v>
      </c>
      <c r="AI473" s="245" t="str">
        <f>IF(ISNUMBER(SEARCH("R", 'WetLitterbags placem_collection'!$Y180)),"YES","NO")</f>
        <v>NO</v>
      </c>
      <c r="AJ473" s="245" t="str">
        <f>IF(ISNUMBER(SEARCH("C", 'WetLitterbags placem_collection'!$W180)),"YES","NO")</f>
        <v>NO</v>
      </c>
      <c r="AK473" s="245" t="str">
        <f>IF(ISNUMBER(SEARCH("H", 'WetLitterbags placem_collection'!$W180)),"YES","NO")</f>
        <v>NO</v>
      </c>
      <c r="AL473" s="245" t="str">
        <f>IF(ISNUMBER(SEARCH("R", 'WetLitterbags placem_collection'!$W180)),"YES","NO")</f>
        <v>NO</v>
      </c>
    </row>
    <row r="474" spans="2:38">
      <c r="B474" t="str">
        <f>Wetseason!B620</f>
        <v>Wet</v>
      </c>
      <c r="C474" s="253">
        <f>Wetseason!C620</f>
        <v>179</v>
      </c>
      <c r="D474" t="s">
        <v>3129</v>
      </c>
      <c r="E474" t="s">
        <v>25</v>
      </c>
      <c r="F474" s="374">
        <v>3</v>
      </c>
      <c r="G474" s="16">
        <f>'WetLitterbags placem_collection'!E181</f>
        <v>42763</v>
      </c>
      <c r="H474" s="92" t="str">
        <f>Wetseason!L620</f>
        <v>G826</v>
      </c>
      <c r="I474" t="str">
        <f>Wetseason!L840</f>
        <v>R273</v>
      </c>
      <c r="J474">
        <f>IFERROR(INDEX('Green_rooibos initial weight'!$C$5:$C$2000,MATCH(H474, 'Green_rooibos initial weight'!$A$5:$A$2000,0)),"")</f>
        <v>2.15</v>
      </c>
      <c r="K474">
        <f>IFERROR(INDEX('Green_rooibos initial weight'!$C$5:$C$2000,MATCH(I474, 'Green_rooibos initial weight'!$A$5:$A$2000,0)),"")</f>
        <v>2.2090000000000001</v>
      </c>
      <c r="L474" s="194">
        <f t="shared" si="84"/>
        <v>1.9001999999999999</v>
      </c>
      <c r="M474" s="194">
        <f>AVERAGE(Ashed_controlls!$K$2:$K$11)</f>
        <v>5.5147656768714146</v>
      </c>
      <c r="N474" s="194">
        <f t="shared" si="81"/>
        <v>1.7954084226080893</v>
      </c>
      <c r="O474" s="194">
        <f t="shared" si="85"/>
        <v>1.9592000000000001</v>
      </c>
      <c r="P474" s="194">
        <f>AVERAGE(Ashed_controlls!$K$12:$K$14)</f>
        <v>2.2816647271287041</v>
      </c>
      <c r="Q474" s="194">
        <f t="shared" si="86"/>
        <v>1.9144976246660945</v>
      </c>
      <c r="R474" s="16">
        <f>IF('WetLitterbags placem_collection'!G181="","",'WetLitterbags placem_collection'!G181)</f>
        <v>42815</v>
      </c>
      <c r="S474" s="194">
        <f>IFERROR(INDEX('Both teabags AfterWet'!$C$3:$C$2000,MATCH(H474,'Both teabags AfterWet'!$A$3:$A$2000,0)),"")</f>
        <v>0.60060000000000002</v>
      </c>
      <c r="T474" s="194">
        <f>IFERROR(INDEX('Both teabags AfterWet'!$C$3:$C$2000,MATCH(I474,'Both teabags AfterWet'!$A$3:$A$2000,0)),"")</f>
        <v>1.655</v>
      </c>
      <c r="U474" s="194">
        <f t="shared" si="87"/>
        <v>0.45</v>
      </c>
      <c r="V474" s="194">
        <f t="shared" si="88"/>
        <v>1.5044</v>
      </c>
      <c r="W474" s="194">
        <f>IFERROR(INDEX('Ashed teabags wet'!$K$2:$K$2000,MATCH(H474,'Ashed teabags wet'!$A$2:$A$2000,0)),"")</f>
        <v>8.7676570871892565</v>
      </c>
      <c r="X474" s="233">
        <f>IFERROR(INDEX('Ashed teabags wet'!$K$2:$K$2000,MATCH(I474,'Ashed teabags wet'!$A$2:$A$2000,0)),"")</f>
        <v>1.9912578921804642</v>
      </c>
      <c r="Y474" s="194">
        <f t="shared" si="93"/>
        <v>0.41054554310764835</v>
      </c>
      <c r="Z474" s="194">
        <f t="shared" si="93"/>
        <v>1.4744435162700371</v>
      </c>
      <c r="AA474" s="194">
        <f t="shared" si="89"/>
        <v>0.77133584874728844</v>
      </c>
      <c r="AB474" s="194">
        <f t="shared" si="90"/>
        <v>0.50567385808610843</v>
      </c>
      <c r="AC474" s="194">
        <f t="shared" si="82"/>
        <v>0.77014643281534145</v>
      </c>
      <c r="AD474">
        <f t="shared" si="83"/>
        <v>52</v>
      </c>
      <c r="AE474" s="194">
        <f t="shared" si="91"/>
        <v>8.3924170133861664E-2</v>
      </c>
      <c r="AF474" s="194">
        <f t="shared" si="92"/>
        <v>1.1656584202214141E-2</v>
      </c>
      <c r="AG474" s="245" t="str">
        <f>IF(ISNUMBER(SEARCH("C",'WetLitterbags placem_collection'!$Y181)),"YES","NO")</f>
        <v>NO</v>
      </c>
      <c r="AH474" s="245" t="str">
        <f>IF(ISNUMBER(SEARCH("H", 'WetLitterbags placem_collection'!$Y181)),"YES","NO")</f>
        <v>NO</v>
      </c>
      <c r="AI474" s="245" t="str">
        <f>IF(ISNUMBER(SEARCH("R", 'WetLitterbags placem_collection'!$Y181)),"YES","NO")</f>
        <v>NO</v>
      </c>
      <c r="AJ474" s="245" t="str">
        <f>IF(ISNUMBER(SEARCH("C", 'WetLitterbags placem_collection'!$W181)),"YES","NO")</f>
        <v>NO</v>
      </c>
      <c r="AK474" s="245" t="str">
        <f>IF(ISNUMBER(SEARCH("H", 'WetLitterbags placem_collection'!$W181)),"YES","NO")</f>
        <v>NO</v>
      </c>
      <c r="AL474" s="245" t="str">
        <f>IF(ISNUMBER(SEARCH("R", 'WetLitterbags placem_collection'!$W181)),"YES","NO")</f>
        <v>YES</v>
      </c>
    </row>
    <row r="475" spans="2:38">
      <c r="B475" t="str">
        <f>Wetseason!B621</f>
        <v>Wet</v>
      </c>
      <c r="C475" s="253">
        <f>Wetseason!C621</f>
        <v>180</v>
      </c>
      <c r="D475" t="s">
        <v>3129</v>
      </c>
      <c r="E475" t="s">
        <v>25</v>
      </c>
      <c r="F475" s="375">
        <v>4</v>
      </c>
      <c r="G475" s="16">
        <f>'WetLitterbags placem_collection'!E182</f>
        <v>42763</v>
      </c>
      <c r="H475" s="92" t="str">
        <f>Wetseason!L621</f>
        <v>G783</v>
      </c>
      <c r="I475" t="str">
        <f>Wetseason!L841</f>
        <v>R301</v>
      </c>
      <c r="J475">
        <f>IFERROR(INDEX('Green_rooibos initial weight'!$C$5:$C$2000,MATCH(H475, 'Green_rooibos initial weight'!$A$5:$A$2000,0)),"")</f>
        <v>1.976</v>
      </c>
      <c r="K475">
        <f>IFERROR(INDEX('Green_rooibos initial weight'!$C$5:$C$2000,MATCH(I475, 'Green_rooibos initial weight'!$A$5:$A$2000,0)),"")</f>
        <v>2.2530000000000001</v>
      </c>
      <c r="L475" s="194">
        <f t="shared" si="84"/>
        <v>1.7262</v>
      </c>
      <c r="M475" s="194">
        <f>AVERAGE(Ashed_controlls!$K$2:$K$11)</f>
        <v>5.5147656768714146</v>
      </c>
      <c r="N475" s="194">
        <f t="shared" si="81"/>
        <v>1.6310041148858456</v>
      </c>
      <c r="O475" s="194">
        <f t="shared" si="85"/>
        <v>2.0032000000000001</v>
      </c>
      <c r="P475" s="194">
        <f>AVERAGE(Ashed_controlls!$K$12:$K$14)</f>
        <v>2.2816647271287041</v>
      </c>
      <c r="Q475" s="194">
        <f t="shared" si="86"/>
        <v>1.9574936921861579</v>
      </c>
      <c r="R475" s="16">
        <f>IF('WetLitterbags placem_collection'!G182="","",'WetLitterbags placem_collection'!G182)</f>
        <v>42815</v>
      </c>
      <c r="S475" s="194">
        <f>IFERROR(INDEX('Both teabags AfterWet'!$C$3:$C$2000,MATCH(H475,'Both teabags AfterWet'!$A$3:$A$2000,0)),"")</f>
        <v>0.627</v>
      </c>
      <c r="T475" s="194">
        <f>IFERROR(INDEX('Both teabags AfterWet'!$C$3:$C$2000,MATCH(I475,'Both teabags AfterWet'!$A$3:$A$2000,0)),"")</f>
        <v>1.6709000000000001</v>
      </c>
      <c r="U475" s="194">
        <f t="shared" si="87"/>
        <v>0.47639999999999999</v>
      </c>
      <c r="V475" s="194">
        <f t="shared" si="88"/>
        <v>1.5203</v>
      </c>
      <c r="W475" s="194">
        <f>IFERROR(INDEX('Ashed teabags wet'!$K$2:$K$2000,MATCH(H475,'Ashed teabags wet'!$A$2:$A$2000,0)),"")</f>
        <v>8.7719298245612158</v>
      </c>
      <c r="X475" s="233">
        <f>IFERROR(INDEX('Ashed teabags wet'!$K$2:$K$2000,MATCH(I475,'Ashed teabags wet'!$A$2:$A$2000,0)),"")</f>
        <v>1.9038076152294727</v>
      </c>
      <c r="Y475" s="194">
        <f t="shared" si="93"/>
        <v>0.43461052631579034</v>
      </c>
      <c r="Z475" s="194">
        <f t="shared" si="93"/>
        <v>1.4913564128256662</v>
      </c>
      <c r="AA475" s="194">
        <f t="shared" si="89"/>
        <v>0.73353192530344491</v>
      </c>
      <c r="AB475" s="194">
        <f t="shared" si="90"/>
        <v>0.48089028832244851</v>
      </c>
      <c r="AC475" s="194">
        <f t="shared" si="82"/>
        <v>0.7618703543101063</v>
      </c>
      <c r="AD475">
        <f t="shared" si="83"/>
        <v>52</v>
      </c>
      <c r="AE475" s="194">
        <f t="shared" si="91"/>
        <v>0.12882194144483972</v>
      </c>
      <c r="AF475" s="194">
        <f t="shared" si="92"/>
        <v>1.3145446252428843E-2</v>
      </c>
      <c r="AG475" s="245" t="str">
        <f>IF(ISNUMBER(SEARCH("C",'WetLitterbags placem_collection'!$Y182)),"YES","NO")</f>
        <v>NO</v>
      </c>
      <c r="AH475" s="245" t="str">
        <f>IF(ISNUMBER(SEARCH("H", 'WetLitterbags placem_collection'!$Y182)),"YES","NO")</f>
        <v>NO</v>
      </c>
      <c r="AI475" s="245" t="str">
        <f>IF(ISNUMBER(SEARCH("R", 'WetLitterbags placem_collection'!$Y182)),"YES","NO")</f>
        <v>YES</v>
      </c>
      <c r="AJ475" s="245" t="str">
        <f>IF(ISNUMBER(SEARCH("C", 'WetLitterbags placem_collection'!$W182)),"YES","NO")</f>
        <v>NO</v>
      </c>
      <c r="AK475" s="245" t="str">
        <f>IF(ISNUMBER(SEARCH("H", 'WetLitterbags placem_collection'!$W182)),"YES","NO")</f>
        <v>NO</v>
      </c>
      <c r="AL475" s="245" t="str">
        <f>IF(ISNUMBER(SEARCH("R", 'WetLitterbags placem_collection'!$W182)),"YES","NO")</f>
        <v>NO</v>
      </c>
    </row>
    <row r="476" spans="2:38">
      <c r="B476" t="str">
        <f>Wetseason!B622</f>
        <v>Wet</v>
      </c>
      <c r="C476" s="253">
        <f>Wetseason!C622</f>
        <v>181</v>
      </c>
      <c r="D476" t="s">
        <v>3129</v>
      </c>
      <c r="E476" t="s">
        <v>25</v>
      </c>
      <c r="F476" s="375">
        <v>5</v>
      </c>
      <c r="G476" s="16">
        <f>'WetLitterbags placem_collection'!E183</f>
        <v>42763</v>
      </c>
      <c r="H476" s="92" t="str">
        <f>Wetseason!L622</f>
        <v>G551</v>
      </c>
      <c r="I476" t="str">
        <f>Wetseason!L842</f>
        <v>R291</v>
      </c>
      <c r="J476">
        <f>IFERROR(INDEX('Green_rooibos initial weight'!$C$5:$C$2000,MATCH(H476, 'Green_rooibos initial weight'!$A$5:$A$2000,0)),"")</f>
        <v>2.1160000000000001</v>
      </c>
      <c r="K476">
        <f>IFERROR(INDEX('Green_rooibos initial weight'!$C$5:$C$2000,MATCH(I476, 'Green_rooibos initial weight'!$A$5:$A$2000,0)),"")</f>
        <v>2.2320000000000002</v>
      </c>
      <c r="L476" s="194">
        <f t="shared" si="84"/>
        <v>1.8662000000000001</v>
      </c>
      <c r="M476" s="194">
        <f>AVERAGE(Ashed_controlls!$K$2:$K$11)</f>
        <v>5.5147656768714146</v>
      </c>
      <c r="N476" s="194">
        <f t="shared" si="81"/>
        <v>1.7632834429382258</v>
      </c>
      <c r="O476" s="194">
        <f t="shared" si="85"/>
        <v>1.9822000000000002</v>
      </c>
      <c r="P476" s="194">
        <f>AVERAGE(Ashed_controlls!$K$12:$K$14)</f>
        <v>2.2816647271287041</v>
      </c>
      <c r="Q476" s="194">
        <f t="shared" si="86"/>
        <v>1.936972841778855</v>
      </c>
      <c r="R476" s="16">
        <f>IF('WetLitterbags placem_collection'!G183="","",'WetLitterbags placem_collection'!G183)</f>
        <v>42815</v>
      </c>
      <c r="S476" s="194">
        <f>IFERROR(INDEX('Both teabags AfterWet'!$C$3:$C$2000,MATCH(H476,'Both teabags AfterWet'!$A$3:$A$2000,0)),"")</f>
        <v>0.61199999999999999</v>
      </c>
      <c r="T476" s="194">
        <f>IFERROR(INDEX('Both teabags AfterWet'!$C$3:$C$2000,MATCH(I476,'Both teabags AfterWet'!$A$3:$A$2000,0)),"")</f>
        <v>1.6970000000000001</v>
      </c>
      <c r="U476" s="194">
        <f t="shared" si="87"/>
        <v>0.46139999999999998</v>
      </c>
      <c r="V476" s="194">
        <f t="shared" si="88"/>
        <v>1.5464</v>
      </c>
      <c r="W476" s="194">
        <f>IFERROR(INDEX('Ashed teabags wet'!$K$2:$K$2000,MATCH(H476,'Ashed teabags wet'!$A$2:$A$2000,0)),"")</f>
        <v>8.5532746823073538</v>
      </c>
      <c r="X476" s="233">
        <f>IFERROR(INDEX('Ashed teabags wet'!$K$2:$K$2000,MATCH(I476,'Ashed teabags wet'!$A$2:$A$2000,0)),"")</f>
        <v>2.1348859776812832</v>
      </c>
      <c r="Y476" s="194">
        <f t="shared" si="93"/>
        <v>0.42193519061583384</v>
      </c>
      <c r="Z476" s="194">
        <f t="shared" si="93"/>
        <v>1.5133861232411365</v>
      </c>
      <c r="AA476" s="194">
        <f t="shared" si="89"/>
        <v>0.76071051293219916</v>
      </c>
      <c r="AB476" s="194">
        <f t="shared" si="90"/>
        <v>0.49870807973702375</v>
      </c>
      <c r="AC476" s="194">
        <f t="shared" si="82"/>
        <v>0.78131509673170751</v>
      </c>
      <c r="AD476">
        <f t="shared" si="83"/>
        <v>52</v>
      </c>
      <c r="AE476" s="194">
        <f t="shared" si="91"/>
        <v>9.6543333809739673E-2</v>
      </c>
      <c r="AF476" s="194">
        <f t="shared" si="92"/>
        <v>1.1099010407166885E-2</v>
      </c>
      <c r="AG476" s="245" t="str">
        <f>IF(ISNUMBER(SEARCH("C",'WetLitterbags placem_collection'!$Y183)),"YES","NO")</f>
        <v>NO</v>
      </c>
      <c r="AH476" s="245" t="str">
        <f>IF(ISNUMBER(SEARCH("H", 'WetLitterbags placem_collection'!$Y183)),"YES","NO")</f>
        <v>NO</v>
      </c>
      <c r="AI476" s="245" t="str">
        <f>IF(ISNUMBER(SEARCH("R", 'WetLitterbags placem_collection'!$Y183)),"YES","NO")</f>
        <v>NO</v>
      </c>
      <c r="AJ476" s="245" t="str">
        <f>IF(ISNUMBER(SEARCH("C", 'WetLitterbags placem_collection'!$W183)),"YES","NO")</f>
        <v>NO</v>
      </c>
      <c r="AK476" s="245" t="str">
        <f>IF(ISNUMBER(SEARCH("H", 'WetLitterbags placem_collection'!$W183)),"YES","NO")</f>
        <v>NO</v>
      </c>
      <c r="AL476" s="245" t="str">
        <f>IF(ISNUMBER(SEARCH("R", 'WetLitterbags placem_collection'!$W183)),"YES","NO")</f>
        <v>NO</v>
      </c>
    </row>
    <row r="477" spans="2:38">
      <c r="B477" t="str">
        <f>Wetseason!B623</f>
        <v>Wet</v>
      </c>
      <c r="C477" s="253">
        <f>Wetseason!C623</f>
        <v>182</v>
      </c>
      <c r="D477" t="s">
        <v>3129</v>
      </c>
      <c r="E477" t="s">
        <v>25</v>
      </c>
      <c r="F477" s="375">
        <v>6</v>
      </c>
      <c r="G477" s="16">
        <f>'WetLitterbags placem_collection'!E184</f>
        <v>42763</v>
      </c>
      <c r="H477" s="92" t="str">
        <f>Wetseason!L623</f>
        <v>G818</v>
      </c>
      <c r="I477" t="str">
        <f>Wetseason!L843</f>
        <v>R537</v>
      </c>
      <c r="J477">
        <f>IFERROR(INDEX('Green_rooibos initial weight'!$C$5:$C$2000,MATCH(H477, 'Green_rooibos initial weight'!$A$5:$A$2000,0)),"")</f>
        <v>2.0099999999999998</v>
      </c>
      <c r="K477">
        <f>IFERROR(INDEX('Green_rooibos initial weight'!$C$5:$C$2000,MATCH(I477, 'Green_rooibos initial weight'!$A$5:$A$2000,0)),"")</f>
        <v>2.145</v>
      </c>
      <c r="L477" s="194">
        <f t="shared" si="84"/>
        <v>1.7601999999999998</v>
      </c>
      <c r="M477" s="194">
        <f>AVERAGE(Ashed_controlls!$K$2:$K$11)</f>
        <v>5.5147656768714146</v>
      </c>
      <c r="N477" s="194">
        <f t="shared" si="81"/>
        <v>1.6631290945557091</v>
      </c>
      <c r="O477" s="194">
        <f t="shared" si="85"/>
        <v>1.8952</v>
      </c>
      <c r="P477" s="194">
        <f>AVERAGE(Ashed_controlls!$K$12:$K$14)</f>
        <v>2.2816647271287041</v>
      </c>
      <c r="Q477" s="194">
        <f t="shared" si="86"/>
        <v>1.8519578900914568</v>
      </c>
      <c r="R477" s="16">
        <f>IF('WetLitterbags placem_collection'!G184="","",'WetLitterbags placem_collection'!G184)</f>
        <v>42815</v>
      </c>
      <c r="S477" s="194">
        <f>IFERROR(INDEX('Both teabags AfterWet'!$C$3:$C$2000,MATCH(H477,'Both teabags AfterWet'!$A$3:$A$2000,0)),"")</f>
        <v>0.60450000000000004</v>
      </c>
      <c r="T477" s="194">
        <f>IFERROR(INDEX('Both teabags AfterWet'!$C$3:$C$2000,MATCH(I477,'Both teabags AfterWet'!$A$3:$A$2000,0)),"")</f>
        <v>1.7152000000000001</v>
      </c>
      <c r="U477" s="194">
        <f t="shared" si="87"/>
        <v>0.45390000000000003</v>
      </c>
      <c r="V477" s="194">
        <f t="shared" si="88"/>
        <v>1.5646</v>
      </c>
      <c r="W477" s="194">
        <f>IFERROR(INDEX('Ashed teabags wet'!$K$2:$K$2000,MATCH(H477,'Ashed teabags wet'!$A$2:$A$2000,0)),"")</f>
        <v>10.028790786949029</v>
      </c>
      <c r="X477" s="233">
        <f>IFERROR(INDEX('Ashed teabags wet'!$K$2:$K$2000,MATCH(I477,'Ashed teabags wet'!$A$2:$A$2000,0)),"")</f>
        <v>2.0958083832334542</v>
      </c>
      <c r="Y477" s="194">
        <f t="shared" si="93"/>
        <v>0.40837931861803839</v>
      </c>
      <c r="Z477" s="194">
        <f t="shared" si="93"/>
        <v>1.5318089820359293</v>
      </c>
      <c r="AA477" s="194">
        <f t="shared" si="89"/>
        <v>0.75445122092152839</v>
      </c>
      <c r="AB477" s="194">
        <f t="shared" si="90"/>
        <v>0.49460460088917307</v>
      </c>
      <c r="AC477" s="194">
        <f t="shared" si="82"/>
        <v>0.82712948832777333</v>
      </c>
      <c r="AD477">
        <f t="shared" si="83"/>
        <v>52</v>
      </c>
      <c r="AE477" s="194">
        <f t="shared" si="91"/>
        <v>0.10397717230222281</v>
      </c>
      <c r="AF477" s="194">
        <f t="shared" si="92"/>
        <v>8.269870438390203E-3</v>
      </c>
      <c r="AG477" s="245" t="str">
        <f>IF(ISNUMBER(SEARCH("C",'WetLitterbags placem_collection'!$Y184)),"YES","NO")</f>
        <v>NO</v>
      </c>
      <c r="AH477" s="245" t="str">
        <f>IF(ISNUMBER(SEARCH("H", 'WetLitterbags placem_collection'!$Y184)),"YES","NO")</f>
        <v>NO</v>
      </c>
      <c r="AI477" s="245" t="str">
        <f>IF(ISNUMBER(SEARCH("R", 'WetLitterbags placem_collection'!$Y184)),"YES","NO")</f>
        <v>NO</v>
      </c>
      <c r="AJ477" s="245" t="str">
        <f>IF(ISNUMBER(SEARCH("C", 'WetLitterbags placem_collection'!$W184)),"YES","NO")</f>
        <v>NO</v>
      </c>
      <c r="AK477" s="245" t="str">
        <f>IF(ISNUMBER(SEARCH("H", 'WetLitterbags placem_collection'!$W184)),"YES","NO")</f>
        <v>NO</v>
      </c>
      <c r="AL477" s="245" t="str">
        <f>IF(ISNUMBER(SEARCH("R", 'WetLitterbags placem_collection'!$W184)),"YES","NO")</f>
        <v>NO</v>
      </c>
    </row>
    <row r="478" spans="2:38">
      <c r="B478" t="str">
        <f>Wetseason!B624</f>
        <v>Wet</v>
      </c>
      <c r="C478" s="253">
        <f>Wetseason!C624</f>
        <v>183</v>
      </c>
      <c r="D478" t="s">
        <v>3129</v>
      </c>
      <c r="E478" t="s">
        <v>25</v>
      </c>
      <c r="F478" s="375">
        <v>7</v>
      </c>
      <c r="G478" s="16">
        <f>'WetLitterbags placem_collection'!E185</f>
        <v>42763</v>
      </c>
      <c r="H478" s="92" t="str">
        <f>Wetseason!L624</f>
        <v>G896</v>
      </c>
      <c r="I478" t="str">
        <f>Wetseason!L844</f>
        <v>R290</v>
      </c>
      <c r="J478">
        <f>IFERROR(INDEX('Green_rooibos initial weight'!$C$5:$C$2000,MATCH(H478, 'Green_rooibos initial weight'!$A$5:$A$2000,0)),"")</f>
        <v>1.982</v>
      </c>
      <c r="K478">
        <f>IFERROR(INDEX('Green_rooibos initial weight'!$C$5:$C$2000,MATCH(I478, 'Green_rooibos initial weight'!$A$5:$A$2000,0)),"")</f>
        <v>2.153</v>
      </c>
      <c r="L478" s="194">
        <f t="shared" si="84"/>
        <v>1.7322</v>
      </c>
      <c r="M478" s="194">
        <f>AVERAGE(Ashed_controlls!$K$2:$K$11)</f>
        <v>5.5147656768714146</v>
      </c>
      <c r="N478" s="194">
        <f t="shared" si="81"/>
        <v>1.6366732289452333</v>
      </c>
      <c r="O478" s="194">
        <f t="shared" si="85"/>
        <v>1.9032</v>
      </c>
      <c r="P478" s="194">
        <f>AVERAGE(Ashed_controlls!$K$12:$K$14)</f>
        <v>2.2816647271287041</v>
      </c>
      <c r="Q478" s="194">
        <f t="shared" si="86"/>
        <v>1.8597753569132864</v>
      </c>
      <c r="R478" s="16">
        <f>IF('WetLitterbags placem_collection'!G185="","",'WetLitterbags placem_collection'!G185)</f>
        <v>42815</v>
      </c>
      <c r="S478" s="194">
        <f>IFERROR(INDEX('Both teabags AfterWet'!$C$3:$C$2000,MATCH(H478,'Both teabags AfterWet'!$A$3:$A$2000,0)),"")</f>
        <v>0.61</v>
      </c>
      <c r="T478" s="194">
        <f>IFERROR(INDEX('Both teabags AfterWet'!$C$3:$C$2000,MATCH(I478,'Both teabags AfterWet'!$A$3:$A$2000,0)),"")</f>
        <v>1.7310000000000001</v>
      </c>
      <c r="U478" s="194">
        <f t="shared" si="87"/>
        <v>0.45939999999999998</v>
      </c>
      <c r="V478" s="194">
        <f t="shared" si="88"/>
        <v>1.5804</v>
      </c>
      <c r="W478" s="194">
        <f>IFERROR(INDEX('Ashed teabags wet'!$K$2:$K$2000,MATCH(H478,'Ashed teabags wet'!$A$2:$A$2000,0)),"")</f>
        <v>9.3827160493825037</v>
      </c>
      <c r="X478" s="233">
        <f>IFERROR(INDEX('Ashed teabags wet'!$K$2:$K$2000,MATCH(I478,'Ashed teabags wet'!$A$2:$A$2000,0)),"")</f>
        <v>2.639442231076139</v>
      </c>
      <c r="Y478" s="194">
        <f t="shared" si="93"/>
        <v>0.41629580246913678</v>
      </c>
      <c r="Z478" s="194">
        <f t="shared" si="93"/>
        <v>1.5386862549800728</v>
      </c>
      <c r="AA478" s="194">
        <f t="shared" si="89"/>
        <v>0.74564513239003616</v>
      </c>
      <c r="AB478" s="194">
        <f t="shared" si="90"/>
        <v>0.48883148821769595</v>
      </c>
      <c r="AC478" s="194">
        <f t="shared" si="82"/>
        <v>0.82735059869481609</v>
      </c>
      <c r="AD478">
        <f t="shared" si="83"/>
        <v>52</v>
      </c>
      <c r="AE478" s="194">
        <f t="shared" si="91"/>
        <v>0.11443570975055084</v>
      </c>
      <c r="AF478" s="194">
        <f t="shared" si="92"/>
        <v>8.3788375610215592E-3</v>
      </c>
      <c r="AG478" s="245" t="str">
        <f>IF(ISNUMBER(SEARCH("C",'WetLitterbags placem_collection'!$Y185)),"YES","NO")</f>
        <v>NO</v>
      </c>
      <c r="AH478" s="245" t="str">
        <f>IF(ISNUMBER(SEARCH("H", 'WetLitterbags placem_collection'!$Y185)),"YES","NO")</f>
        <v>NO</v>
      </c>
      <c r="AI478" s="245" t="str">
        <f>IF(ISNUMBER(SEARCH("R", 'WetLitterbags placem_collection'!$Y185)),"YES","NO")</f>
        <v>NO</v>
      </c>
      <c r="AJ478" s="245" t="str">
        <f>IF(ISNUMBER(SEARCH("C", 'WetLitterbags placem_collection'!$W185)),"YES","NO")</f>
        <v>YES</v>
      </c>
      <c r="AK478" s="245" t="str">
        <f>IF(ISNUMBER(SEARCH("H", 'WetLitterbags placem_collection'!$W185)),"YES","NO")</f>
        <v>YES</v>
      </c>
      <c r="AL478" s="245" t="str">
        <f>IF(ISNUMBER(SEARCH("R", 'WetLitterbags placem_collection'!$W185)),"YES","NO")</f>
        <v>NO</v>
      </c>
    </row>
    <row r="479" spans="2:38">
      <c r="B479" t="str">
        <f>Wetseason!B625</f>
        <v>Wet</v>
      </c>
      <c r="C479" s="253">
        <f>Wetseason!C625</f>
        <v>184</v>
      </c>
      <c r="D479" t="s">
        <v>3129</v>
      </c>
      <c r="E479" t="s">
        <v>25</v>
      </c>
      <c r="F479" s="375">
        <v>8</v>
      </c>
      <c r="G479" s="16">
        <f>'WetLitterbags placem_collection'!E186</f>
        <v>42763</v>
      </c>
      <c r="H479" s="92" t="str">
        <f>Wetseason!L625</f>
        <v>G337</v>
      </c>
      <c r="I479" t="str">
        <f>Wetseason!L845</f>
        <v>R555</v>
      </c>
      <c r="J479">
        <f>IFERROR(INDEX('Green_rooibos initial weight'!$C$5:$C$2000,MATCH(H479, 'Green_rooibos initial weight'!$A$5:$A$2000,0)),"")</f>
        <v>1.8680000000000001</v>
      </c>
      <c r="K479">
        <f>IFERROR(INDEX('Green_rooibos initial weight'!$C$5:$C$2000,MATCH(I479, 'Green_rooibos initial weight'!$A$5:$A$2000,0)),"")</f>
        <v>2.1789999999999998</v>
      </c>
      <c r="L479" s="194">
        <f t="shared" si="84"/>
        <v>1.6182000000000001</v>
      </c>
      <c r="M479" s="194">
        <f>AVERAGE(Ashed_controlls!$K$2:$K$11)</f>
        <v>5.5147656768714146</v>
      </c>
      <c r="N479" s="194">
        <f t="shared" si="81"/>
        <v>1.5289600618168668</v>
      </c>
      <c r="O479" s="194">
        <f t="shared" si="85"/>
        <v>1.9291999999999998</v>
      </c>
      <c r="P479" s="194">
        <f>AVERAGE(Ashed_controlls!$K$12:$K$14)</f>
        <v>2.2816647271287041</v>
      </c>
      <c r="Q479" s="194">
        <f t="shared" si="86"/>
        <v>1.8851821240842328</v>
      </c>
      <c r="R479" s="16">
        <f>IF('WetLitterbags placem_collection'!G186="","",'WetLitterbags placem_collection'!G186)</f>
        <v>42815</v>
      </c>
      <c r="S479" s="194">
        <f>IFERROR(INDEX('Both teabags AfterWet'!$C$3:$C$2000,MATCH(H479,'Both teabags AfterWet'!$A$3:$A$2000,0)),"")</f>
        <v>0.63060000000000005</v>
      </c>
      <c r="T479" s="194">
        <f>IFERROR(INDEX('Both teabags AfterWet'!$C$3:$C$2000,MATCH(I479,'Both teabags AfterWet'!$A$3:$A$2000,0)),"")</f>
        <v>1.7096</v>
      </c>
      <c r="U479" s="194">
        <f t="shared" si="87"/>
        <v>0.48000000000000004</v>
      </c>
      <c r="V479" s="194">
        <f t="shared" si="88"/>
        <v>1.5589999999999999</v>
      </c>
      <c r="W479" s="194">
        <f>IFERROR(INDEX('Ashed teabags wet'!$K$2:$K$2000,MATCH(H479,'Ashed teabags wet'!$A$2:$A$2000,0)),"")</f>
        <v>10.824230387289536</v>
      </c>
      <c r="X479" s="233">
        <f>IFERROR(INDEX('Ashed teabags wet'!$K$2:$K$2000,MATCH(I479,'Ashed teabags wet'!$A$2:$A$2000,0)),"")</f>
        <v>2.750491159135366</v>
      </c>
      <c r="Y479" s="194">
        <f t="shared" si="93"/>
        <v>0.42804369414101029</v>
      </c>
      <c r="Z479" s="194">
        <f t="shared" si="93"/>
        <v>1.5161198428290796</v>
      </c>
      <c r="AA479" s="194">
        <f t="shared" si="89"/>
        <v>0.72004259311236363</v>
      </c>
      <c r="AB479" s="194">
        <f t="shared" si="90"/>
        <v>0.47204692565086076</v>
      </c>
      <c r="AC479" s="194">
        <f t="shared" si="82"/>
        <v>0.80422990620366031</v>
      </c>
      <c r="AD479">
        <f t="shared" si="83"/>
        <v>52</v>
      </c>
      <c r="AE479" s="194">
        <f t="shared" si="91"/>
        <v>0.14484252599481751</v>
      </c>
      <c r="AF479" s="194">
        <f t="shared" si="92"/>
        <v>1.0301442738370388E-2</v>
      </c>
      <c r="AG479" s="245" t="str">
        <f>IF(ISNUMBER(SEARCH("C",'WetLitterbags placem_collection'!$Y186)),"YES","NO")</f>
        <v>NO</v>
      </c>
      <c r="AH479" s="245" t="str">
        <f>IF(ISNUMBER(SEARCH("H", 'WetLitterbags placem_collection'!$Y186)),"YES","NO")</f>
        <v>NO</v>
      </c>
      <c r="AI479" s="245" t="str">
        <f>IF(ISNUMBER(SEARCH("R", 'WetLitterbags placem_collection'!$Y186)),"YES","NO")</f>
        <v>NO</v>
      </c>
      <c r="AJ479" s="245" t="str">
        <f>IF(ISNUMBER(SEARCH("C", 'WetLitterbags placem_collection'!$W186)),"YES","NO")</f>
        <v>NO</v>
      </c>
      <c r="AK479" s="245" t="str">
        <f>IF(ISNUMBER(SEARCH("H", 'WetLitterbags placem_collection'!$W186)),"YES","NO")</f>
        <v>NO</v>
      </c>
      <c r="AL479" s="245" t="str">
        <f>IF(ISNUMBER(SEARCH("R", 'WetLitterbags placem_collection'!$W186)),"YES","NO")</f>
        <v>NO</v>
      </c>
    </row>
    <row r="480" spans="2:38">
      <c r="B480" t="str">
        <f>Wetseason!B626</f>
        <v>Wet</v>
      </c>
      <c r="C480" s="253">
        <f>Wetseason!C626</f>
        <v>185</v>
      </c>
      <c r="D480" t="s">
        <v>3130</v>
      </c>
      <c r="E480" t="s">
        <v>25</v>
      </c>
      <c r="F480" s="374">
        <v>1</v>
      </c>
      <c r="G480" s="16">
        <f>'WetLitterbags placem_collection'!E187</f>
        <v>42763</v>
      </c>
      <c r="H480" s="92" t="str">
        <f>Wetseason!L626</f>
        <v>G564</v>
      </c>
      <c r="I480" t="str">
        <f>Wetseason!L846</f>
        <v>R539</v>
      </c>
      <c r="J480">
        <f>IFERROR(INDEX('Green_rooibos initial weight'!$C$5:$C$2000,MATCH(H480, 'Green_rooibos initial weight'!$A$5:$A$2000,0)),"")</f>
        <v>1.95</v>
      </c>
      <c r="K480">
        <f>IFERROR(INDEX('Green_rooibos initial weight'!$C$5:$C$2000,MATCH(I480, 'Green_rooibos initial weight'!$A$5:$A$2000,0)),"")</f>
        <v>2.16</v>
      </c>
      <c r="L480" s="194">
        <f t="shared" si="84"/>
        <v>1.7001999999999999</v>
      </c>
      <c r="M480" s="194">
        <f>AVERAGE(Ashed_controlls!$K$2:$K$11)</f>
        <v>5.5147656768714146</v>
      </c>
      <c r="N480" s="194">
        <f t="shared" si="81"/>
        <v>1.6064379539618321</v>
      </c>
      <c r="O480" s="194">
        <f t="shared" si="85"/>
        <v>1.9102000000000001</v>
      </c>
      <c r="P480" s="194">
        <f>AVERAGE(Ashed_controlls!$K$12:$K$14)</f>
        <v>2.2816647271287041</v>
      </c>
      <c r="Q480" s="194">
        <f t="shared" si="86"/>
        <v>1.8666156403823877</v>
      </c>
      <c r="R480" s="16">
        <f>IF('WetLitterbags placem_collection'!G187="","",'WetLitterbags placem_collection'!G187)</f>
        <v>42815</v>
      </c>
      <c r="S480" s="194">
        <f>IFERROR(INDEX('Both teabags AfterWet'!$C$3:$C$2000,MATCH(H480,'Both teabags AfterWet'!$A$3:$A$2000,0)),"")</f>
        <v>0.626</v>
      </c>
      <c r="T480" s="194">
        <f>IFERROR(INDEX('Both teabags AfterWet'!$C$3:$C$2000,MATCH(I480,'Both teabags AfterWet'!$A$3:$A$2000,0)),"")</f>
        <v>1.7513000000000001</v>
      </c>
      <c r="U480" s="194">
        <f t="shared" si="87"/>
        <v>0.47539999999999999</v>
      </c>
      <c r="V480" s="194">
        <f t="shared" si="88"/>
        <v>1.6007</v>
      </c>
      <c r="W480" s="194">
        <f>IFERROR(INDEX('Ashed teabags wet'!$K$2:$K$2000,MATCH(H480,'Ashed teabags wet'!$A$2:$A$2000,0)),"")</f>
        <v>8.4325396825389731</v>
      </c>
      <c r="X480" s="233">
        <f>IFERROR(INDEX('Ashed teabags wet'!$K$2:$K$2000,MATCH(I480,'Ashed teabags wet'!$A$2:$A$2000,0)),"")</f>
        <v>1.5944195316393635</v>
      </c>
      <c r="Y480" s="194">
        <f t="shared" si="93"/>
        <v>0.43531170634920974</v>
      </c>
      <c r="Z480" s="194">
        <f t="shared" si="93"/>
        <v>1.5751781265570488</v>
      </c>
      <c r="AA480" s="194">
        <f t="shared" si="89"/>
        <v>0.7290205293795291</v>
      </c>
      <c r="AB480" s="194">
        <f t="shared" si="90"/>
        <v>0.47793269859560583</v>
      </c>
      <c r="AC480" s="194">
        <f t="shared" si="82"/>
        <v>0.84386849251641538</v>
      </c>
      <c r="AD480">
        <f t="shared" si="83"/>
        <v>52</v>
      </c>
      <c r="AE480" s="194">
        <f t="shared" si="91"/>
        <v>0.13417989384854023</v>
      </c>
      <c r="AF480" s="194">
        <f t="shared" si="92"/>
        <v>7.6064613212549707E-3</v>
      </c>
      <c r="AG480" s="245" t="str">
        <f>IF(ISNUMBER(SEARCH("C",'WetLitterbags placem_collection'!$Y187)),"YES","NO")</f>
        <v>NO</v>
      </c>
      <c r="AH480" s="245" t="str">
        <f>IF(ISNUMBER(SEARCH("H", 'WetLitterbags placem_collection'!$Y187)),"YES","NO")</f>
        <v>NO</v>
      </c>
      <c r="AI480" s="245" t="str">
        <f>IF(ISNUMBER(SEARCH("R", 'WetLitterbags placem_collection'!$Y187)),"YES","NO")</f>
        <v>NO</v>
      </c>
      <c r="AJ480" s="245" t="str">
        <f>IF(ISNUMBER(SEARCH("C", 'WetLitterbags placem_collection'!$W187)),"YES","NO")</f>
        <v>YES</v>
      </c>
      <c r="AK480" s="245" t="str">
        <f>IF(ISNUMBER(SEARCH("H", 'WetLitterbags placem_collection'!$W187)),"YES","NO")</f>
        <v>YES</v>
      </c>
      <c r="AL480" s="245" t="str">
        <f>IF(ISNUMBER(SEARCH("R", 'WetLitterbags placem_collection'!$W187)),"YES","NO")</f>
        <v>NO</v>
      </c>
    </row>
    <row r="481" spans="2:38">
      <c r="B481" t="str">
        <f>Wetseason!B627</f>
        <v>Wet</v>
      </c>
      <c r="C481" s="253">
        <f>Wetseason!C627</f>
        <v>186</v>
      </c>
      <c r="D481" t="s">
        <v>3130</v>
      </c>
      <c r="E481" t="s">
        <v>25</v>
      </c>
      <c r="F481" s="374">
        <v>2</v>
      </c>
      <c r="G481" s="16">
        <f>'WetLitterbags placem_collection'!E188</f>
        <v>42763</v>
      </c>
      <c r="H481" s="92" t="str">
        <f>Wetseason!L627</f>
        <v>G608</v>
      </c>
      <c r="I481" t="str">
        <f>Wetseason!L847</f>
        <v>R186</v>
      </c>
      <c r="J481">
        <f>IFERROR(INDEX('Green_rooibos initial weight'!$C$5:$C$2000,MATCH(H481, 'Green_rooibos initial weight'!$A$5:$A$2000,0)),"")</f>
        <v>2.0259999999999998</v>
      </c>
      <c r="K481">
        <f>IFERROR(INDEX('Green_rooibos initial weight'!$C$5:$C$2000,MATCH(I481, 'Green_rooibos initial weight'!$A$5:$A$2000,0)),"")</f>
        <v>2.2530000000000001</v>
      </c>
      <c r="L481" s="194">
        <f t="shared" si="84"/>
        <v>1.7761999999999998</v>
      </c>
      <c r="M481" s="194">
        <f>AVERAGE(Ashed_controlls!$K$2:$K$11)</f>
        <v>5.5147656768714146</v>
      </c>
      <c r="N481" s="194">
        <f t="shared" si="81"/>
        <v>1.6782467320474097</v>
      </c>
      <c r="O481" s="194">
        <f t="shared" si="85"/>
        <v>2.0032000000000001</v>
      </c>
      <c r="P481" s="194">
        <f>AVERAGE(Ashed_controlls!$K$12:$K$14)</f>
        <v>2.2816647271287041</v>
      </c>
      <c r="Q481" s="194">
        <f t="shared" si="86"/>
        <v>1.9574936921861579</v>
      </c>
      <c r="R481" s="16">
        <f>IF('WetLitterbags placem_collection'!G188="","",'WetLitterbags placem_collection'!G188)</f>
        <v>42815</v>
      </c>
      <c r="S481" s="194">
        <f>IFERROR(INDEX('Both teabags AfterWet'!$C$3:$C$2000,MATCH(H481,'Both teabags AfterWet'!$A$3:$A$2000,0)),"")</f>
        <v>0.61599999999999999</v>
      </c>
      <c r="T481" s="194">
        <f>IFERROR(INDEX('Both teabags AfterWet'!$C$3:$C$2000,MATCH(I481,'Both teabags AfterWet'!$A$3:$A$2000,0)),"")</f>
        <v>1.7809999999999999</v>
      </c>
      <c r="U481" s="194">
        <f t="shared" si="87"/>
        <v>0.46539999999999998</v>
      </c>
      <c r="V481" s="194">
        <f t="shared" si="88"/>
        <v>1.6303999999999998</v>
      </c>
      <c r="W481" s="194">
        <f>IFERROR(INDEX('Ashed teabags wet'!$K$2:$K$2000,MATCH(H481,'Ashed teabags wet'!$A$2:$A$2000,0)),"")</f>
        <v>9.0274314214466642</v>
      </c>
      <c r="X481" s="233">
        <f>IFERROR(INDEX('Ashed teabags wet'!$K$2:$K$2000,MATCH(I481,'Ashed teabags wet'!$A$2:$A$2000,0)),"")</f>
        <v>2.2783556215947218</v>
      </c>
      <c r="Y481" s="194">
        <f t="shared" si="93"/>
        <v>0.42338633416458721</v>
      </c>
      <c r="Z481" s="194">
        <f t="shared" si="93"/>
        <v>1.5932536899455194</v>
      </c>
      <c r="AA481" s="194">
        <f t="shared" si="89"/>
        <v>0.74772104358691716</v>
      </c>
      <c r="AB481" s="194">
        <f t="shared" si="90"/>
        <v>0.49019241812348968</v>
      </c>
      <c r="AC481" s="194">
        <f t="shared" si="82"/>
        <v>0.81392532517749783</v>
      </c>
      <c r="AD481">
        <f t="shared" si="83"/>
        <v>52</v>
      </c>
      <c r="AE481" s="194">
        <f t="shared" si="91"/>
        <v>0.11197025702266372</v>
      </c>
      <c r="AF481" s="194">
        <f t="shared" si="92"/>
        <v>9.1804435415432442E-3</v>
      </c>
      <c r="AG481" s="245" t="str">
        <f>IF(ISNUMBER(SEARCH("C",'WetLitterbags placem_collection'!$Y188)),"YES","NO")</f>
        <v>NO</v>
      </c>
      <c r="AH481" s="245" t="str">
        <f>IF(ISNUMBER(SEARCH("H", 'WetLitterbags placem_collection'!$Y188)),"YES","NO")</f>
        <v>NO</v>
      </c>
      <c r="AI481" s="245" t="str">
        <f>IF(ISNUMBER(SEARCH("R", 'WetLitterbags placem_collection'!$Y188)),"YES","NO")</f>
        <v>NO</v>
      </c>
      <c r="AJ481" s="245" t="str">
        <f>IF(ISNUMBER(SEARCH("C", 'WetLitterbags placem_collection'!$W188)),"YES","NO")</f>
        <v>NO</v>
      </c>
      <c r="AK481" s="245" t="str">
        <f>IF(ISNUMBER(SEARCH("H", 'WetLitterbags placem_collection'!$W188)),"YES","NO")</f>
        <v>YES</v>
      </c>
      <c r="AL481" s="245" t="str">
        <f>IF(ISNUMBER(SEARCH("R", 'WetLitterbags placem_collection'!$W188)),"YES","NO")</f>
        <v>NO</v>
      </c>
    </row>
    <row r="482" spans="2:38">
      <c r="B482" t="str">
        <f>Wetseason!B628</f>
        <v>Wet</v>
      </c>
      <c r="C482" s="253">
        <f>Wetseason!C628</f>
        <v>187</v>
      </c>
      <c r="D482" t="s">
        <v>3130</v>
      </c>
      <c r="E482" t="s">
        <v>25</v>
      </c>
      <c r="F482" s="374">
        <v>3</v>
      </c>
      <c r="G482" s="16">
        <f>'WetLitterbags placem_collection'!E189</f>
        <v>42763</v>
      </c>
      <c r="H482" s="92" t="str">
        <f>Wetseason!L628</f>
        <v>G365</v>
      </c>
      <c r="I482" t="str">
        <f>Wetseason!L848</f>
        <v>R580</v>
      </c>
      <c r="J482">
        <f>IFERROR(INDEX('Green_rooibos initial weight'!$C$5:$C$2000,MATCH(H482, 'Green_rooibos initial weight'!$A$5:$A$2000,0)),"")</f>
        <v>1.954</v>
      </c>
      <c r="K482">
        <f>IFERROR(INDEX('Green_rooibos initial weight'!$C$5:$C$2000,MATCH(I482, 'Green_rooibos initial weight'!$A$5:$A$2000,0)),"")</f>
        <v>2.0870000000000002</v>
      </c>
      <c r="L482" s="194">
        <f t="shared" si="84"/>
        <v>1.7041999999999999</v>
      </c>
      <c r="M482" s="194">
        <f>AVERAGE(Ashed_controlls!$K$2:$K$11)</f>
        <v>5.5147656768714146</v>
      </c>
      <c r="N482" s="194">
        <f t="shared" si="81"/>
        <v>1.6102173633347574</v>
      </c>
      <c r="O482" s="194">
        <f t="shared" si="85"/>
        <v>1.8372000000000002</v>
      </c>
      <c r="P482" s="194">
        <f>AVERAGE(Ashed_controlls!$K$12:$K$14)</f>
        <v>2.2816647271287041</v>
      </c>
      <c r="Q482" s="194">
        <f t="shared" si="86"/>
        <v>1.7952812556331916</v>
      </c>
      <c r="R482" s="16">
        <f>IF('WetLitterbags placem_collection'!G189="","",'WetLitterbags placem_collection'!G189)</f>
        <v>42815</v>
      </c>
      <c r="S482" s="194">
        <f>IFERROR(INDEX('Both teabags AfterWet'!$C$3:$C$2000,MATCH(H482,'Both teabags AfterWet'!$A$3:$A$2000,0)),"")</f>
        <v>0.6714</v>
      </c>
      <c r="T482" s="194">
        <f>IFERROR(INDEX('Both teabags AfterWet'!$C$3:$C$2000,MATCH(I482,'Both teabags AfterWet'!$A$3:$A$2000,0)),"")</f>
        <v>1.6225000000000001</v>
      </c>
      <c r="U482" s="194">
        <f t="shared" si="87"/>
        <v>0.52079999999999993</v>
      </c>
      <c r="V482" s="194">
        <f t="shared" si="88"/>
        <v>1.4719</v>
      </c>
      <c r="W482" s="194">
        <f>IFERROR(INDEX('Ashed teabags wet'!$K$2:$K$2000,MATCH(H482,'Ashed teabags wet'!$A$2:$A$2000,0)),"")</f>
        <v>8.8162456661709641</v>
      </c>
      <c r="X482" s="233">
        <f>IFERROR(INDEX('Ashed teabags wet'!$K$2:$K$2000,MATCH(I482,'Ashed teabags wet'!$A$2:$A$2000,0)),"")</f>
        <v>2.0914396887151829</v>
      </c>
      <c r="Y482" s="194">
        <f t="shared" si="93"/>
        <v>0.47488499257058153</v>
      </c>
      <c r="Z482" s="194">
        <f t="shared" si="93"/>
        <v>1.4411160992218013</v>
      </c>
      <c r="AA482" s="194">
        <f t="shared" si="89"/>
        <v>0.70508019390183718</v>
      </c>
      <c r="AB482" s="194">
        <f t="shared" si="90"/>
        <v>0.46223784683350855</v>
      </c>
      <c r="AC482" s="194">
        <f t="shared" si="82"/>
        <v>0.8027244169680382</v>
      </c>
      <c r="AD482">
        <f t="shared" si="83"/>
        <v>52</v>
      </c>
      <c r="AE482" s="194">
        <f t="shared" si="91"/>
        <v>0.1626125963161078</v>
      </c>
      <c r="AF482" s="194">
        <f t="shared" si="92"/>
        <v>1.070177237492214E-2</v>
      </c>
      <c r="AG482" s="245" t="str">
        <f>IF(ISNUMBER(SEARCH("C",'WetLitterbags placem_collection'!$Y189)),"YES","NO")</f>
        <v>NO</v>
      </c>
      <c r="AH482" s="245" t="str">
        <f>IF(ISNUMBER(SEARCH("H", 'WetLitterbags placem_collection'!$Y189)),"YES","NO")</f>
        <v>NO</v>
      </c>
      <c r="AI482" s="245" t="str">
        <f>IF(ISNUMBER(SEARCH("R", 'WetLitterbags placem_collection'!$Y189)),"YES","NO")</f>
        <v>NO</v>
      </c>
      <c r="AJ482" s="245" t="str">
        <f>IF(ISNUMBER(SEARCH("C", 'WetLitterbags placem_collection'!$W189)),"YES","NO")</f>
        <v>NO</v>
      </c>
      <c r="AK482" s="245" t="str">
        <f>IF(ISNUMBER(SEARCH("H", 'WetLitterbags placem_collection'!$W189)),"YES","NO")</f>
        <v>NO</v>
      </c>
      <c r="AL482" s="245" t="str">
        <f>IF(ISNUMBER(SEARCH("R", 'WetLitterbags placem_collection'!$W189)),"YES","NO")</f>
        <v>NO</v>
      </c>
    </row>
    <row r="483" spans="2:38">
      <c r="B483" t="str">
        <f>Wetseason!B629</f>
        <v>Wet</v>
      </c>
      <c r="C483" s="253">
        <f>Wetseason!C629</f>
        <v>188</v>
      </c>
      <c r="D483" t="s">
        <v>3130</v>
      </c>
      <c r="E483" t="s">
        <v>25</v>
      </c>
      <c r="F483" s="375">
        <v>4</v>
      </c>
      <c r="G483" s="16">
        <f>'WetLitterbags placem_collection'!E190</f>
        <v>42763</v>
      </c>
      <c r="H483" s="92" t="str">
        <f>Wetseason!L629</f>
        <v>G375</v>
      </c>
      <c r="I483" t="str">
        <f>Wetseason!L849</f>
        <v>R222</v>
      </c>
      <c r="J483">
        <f>IFERROR(INDEX('Green_rooibos initial weight'!$C$5:$C$2000,MATCH(H483, 'Green_rooibos initial weight'!$A$5:$A$2000,0)),"")</f>
        <v>1.9810000000000001</v>
      </c>
      <c r="K483">
        <f>IFERROR(INDEX('Green_rooibos initial weight'!$C$5:$C$2000,MATCH(I483, 'Green_rooibos initial weight'!$A$5:$A$2000,0)),"")</f>
        <v>2.194</v>
      </c>
      <c r="L483" s="194">
        <f t="shared" si="84"/>
        <v>1.7312000000000001</v>
      </c>
      <c r="M483" s="194">
        <f>AVERAGE(Ashed_controlls!$K$2:$K$11)</f>
        <v>5.5147656768714146</v>
      </c>
      <c r="N483" s="194">
        <f t="shared" si="81"/>
        <v>1.6357283766020021</v>
      </c>
      <c r="O483" s="194">
        <f t="shared" si="85"/>
        <v>1.9441999999999999</v>
      </c>
      <c r="P483" s="194">
        <f>AVERAGE(Ashed_controlls!$K$12:$K$14)</f>
        <v>2.2816647271287041</v>
      </c>
      <c r="Q483" s="194">
        <f t="shared" si="86"/>
        <v>1.8998398743751637</v>
      </c>
      <c r="R483" s="16">
        <f>IF('WetLitterbags placem_collection'!G190="","",'WetLitterbags placem_collection'!G190)</f>
        <v>42815</v>
      </c>
      <c r="S483" s="194">
        <f>IFERROR(INDEX('Both teabags AfterWet'!$C$3:$C$2000,MATCH(H483,'Both teabags AfterWet'!$A$3:$A$2000,0)),"")</f>
        <v>0.55700000000000005</v>
      </c>
      <c r="T483" s="194">
        <f>IFERROR(INDEX('Both teabags AfterWet'!$C$3:$C$2000,MATCH(I483,'Both teabags AfterWet'!$A$3:$A$2000,0)),"")</f>
        <v>1.5732999999999999</v>
      </c>
      <c r="U483" s="194">
        <f t="shared" si="87"/>
        <v>0.40640000000000004</v>
      </c>
      <c r="V483" s="194">
        <f t="shared" si="88"/>
        <v>1.4226999999999999</v>
      </c>
      <c r="W483" s="194">
        <f>IFERROR(INDEX('Ashed teabags wet'!$K$2:$K$2000,MATCH(H483,'Ashed teabags wet'!$A$2:$A$2000,0)),"")</f>
        <v>8.3130772970344644</v>
      </c>
      <c r="X483" s="233">
        <f>IFERROR(INDEX('Ashed teabags wet'!$K$2:$K$2000,MATCH(I483,'Ashed teabags wet'!$A$2:$A$2000,0)),"")</f>
        <v>3.2535885167466505</v>
      </c>
      <c r="Y483" s="194">
        <f t="shared" si="93"/>
        <v>0.37261565386485196</v>
      </c>
      <c r="Z483" s="194">
        <f t="shared" si="93"/>
        <v>1.3764111961722452</v>
      </c>
      <c r="AA483" s="194">
        <f t="shared" si="89"/>
        <v>0.77220199930815592</v>
      </c>
      <c r="AB483" s="194">
        <f t="shared" si="90"/>
        <v>0.50624169075784098</v>
      </c>
      <c r="AC483" s="194">
        <f t="shared" si="82"/>
        <v>0.7244880027717765</v>
      </c>
      <c r="AD483">
        <f t="shared" si="83"/>
        <v>52</v>
      </c>
      <c r="AE483" s="194">
        <f t="shared" si="91"/>
        <v>8.2895487757534525E-2</v>
      </c>
      <c r="AF483" s="194">
        <f t="shared" si="92"/>
        <v>1.5110910336464294E-2</v>
      </c>
      <c r="AG483" s="245" t="str">
        <f>IF(ISNUMBER(SEARCH("C",'WetLitterbags placem_collection'!$Y190)),"YES","NO")</f>
        <v>NO</v>
      </c>
      <c r="AH483" s="245" t="str">
        <f>IF(ISNUMBER(SEARCH("H", 'WetLitterbags placem_collection'!$Y190)),"YES","NO")</f>
        <v>NO</v>
      </c>
      <c r="AI483" s="245" t="str">
        <f>IF(ISNUMBER(SEARCH("R", 'WetLitterbags placem_collection'!$Y190)),"YES","NO")</f>
        <v>NO</v>
      </c>
      <c r="AJ483" s="245" t="str">
        <f>IF(ISNUMBER(SEARCH("C", 'WetLitterbags placem_collection'!$W190)),"YES","NO")</f>
        <v>YES</v>
      </c>
      <c r="AK483" s="245" t="str">
        <f>IF(ISNUMBER(SEARCH("H", 'WetLitterbags placem_collection'!$W190)),"YES","NO")</f>
        <v>YES</v>
      </c>
      <c r="AL483" s="245" t="str">
        <f>IF(ISNUMBER(SEARCH("R", 'WetLitterbags placem_collection'!$W190)),"YES","NO")</f>
        <v>YES</v>
      </c>
    </row>
    <row r="484" spans="2:38">
      <c r="B484" t="str">
        <f>Wetseason!B630</f>
        <v>Wet</v>
      </c>
      <c r="C484" s="253">
        <f>Wetseason!C630</f>
        <v>189</v>
      </c>
      <c r="D484" t="s">
        <v>3130</v>
      </c>
      <c r="E484" t="s">
        <v>25</v>
      </c>
      <c r="F484" s="375">
        <v>5</v>
      </c>
      <c r="G484" s="16">
        <f>'WetLitterbags placem_collection'!E191</f>
        <v>42763</v>
      </c>
      <c r="H484" s="92" t="str">
        <f>Wetseason!L630</f>
        <v>G537</v>
      </c>
      <c r="I484" t="str">
        <f>Wetseason!L850</f>
        <v>R216</v>
      </c>
      <c r="J484">
        <f>IFERROR(INDEX('Green_rooibos initial weight'!$C$5:$C$2000,MATCH(H484, 'Green_rooibos initial weight'!$A$5:$A$2000,0)),"")</f>
        <v>1.9630000000000001</v>
      </c>
      <c r="K484">
        <f>IFERROR(INDEX('Green_rooibos initial weight'!$C$5:$C$2000,MATCH(I484, 'Green_rooibos initial weight'!$A$5:$A$2000,0)),"")</f>
        <v>2.1880000000000002</v>
      </c>
      <c r="L484" s="194">
        <f t="shared" si="84"/>
        <v>1.7132000000000001</v>
      </c>
      <c r="M484" s="194">
        <f>AVERAGE(Ashed_controlls!$K$2:$K$11)</f>
        <v>5.5147656768714146</v>
      </c>
      <c r="N484" s="194">
        <f t="shared" si="81"/>
        <v>1.618721034423839</v>
      </c>
      <c r="O484" s="194">
        <f t="shared" si="85"/>
        <v>1.9382000000000001</v>
      </c>
      <c r="P484" s="194">
        <f>AVERAGE(Ashed_controlls!$K$12:$K$14)</f>
        <v>2.2816647271287041</v>
      </c>
      <c r="Q484" s="194">
        <f t="shared" si="86"/>
        <v>1.8939767742587916</v>
      </c>
      <c r="R484" s="16">
        <f>IF('WetLitterbags placem_collection'!G191="","",'WetLitterbags placem_collection'!G191)</f>
        <v>42815</v>
      </c>
      <c r="S484" s="194">
        <f>IFERROR(INDEX('Both teabags AfterWet'!$C$3:$C$2000,MATCH(H484,'Both teabags AfterWet'!$A$3:$A$2000,0)),"")</f>
        <v>0.72030000000000005</v>
      </c>
      <c r="T484" s="194">
        <f>IFERROR(INDEX('Both teabags AfterWet'!$C$3:$C$2000,MATCH(I484,'Both teabags AfterWet'!$A$3:$A$2000,0)),"")</f>
        <v>1.6973</v>
      </c>
      <c r="U484" s="194">
        <f t="shared" si="87"/>
        <v>0.5697000000000001</v>
      </c>
      <c r="V484" s="194">
        <f t="shared" si="88"/>
        <v>1.5467</v>
      </c>
      <c r="W484" s="194">
        <f>IFERROR(INDEX('Ashed teabags wet'!$K$2:$K$2000,MATCH(H484,'Ashed teabags wet'!$A$2:$A$2000,0)),"")</f>
        <v>9.0167865707433048</v>
      </c>
      <c r="X484" s="233">
        <f>IFERROR(INDEX('Ashed teabags wet'!$K$2:$K$2000,MATCH(I484,'Ashed teabags wet'!$A$2:$A$2000,0)),"")</f>
        <v>2.7254707631314172</v>
      </c>
      <c r="Y484" s="194">
        <f t="shared" si="93"/>
        <v>0.51833136690647552</v>
      </c>
      <c r="Z484" s="194">
        <f t="shared" si="93"/>
        <v>1.5045451437066464</v>
      </c>
      <c r="AA484" s="194">
        <f t="shared" si="89"/>
        <v>0.67978956479615515</v>
      </c>
      <c r="AB484" s="194">
        <f t="shared" si="90"/>
        <v>0.44565776694474785</v>
      </c>
      <c r="AC484" s="194">
        <f t="shared" si="82"/>
        <v>0.79438415726900902</v>
      </c>
      <c r="AD484">
        <f t="shared" si="83"/>
        <v>52</v>
      </c>
      <c r="AE484" s="194">
        <f t="shared" si="91"/>
        <v>0.19264897292618155</v>
      </c>
      <c r="AF484" s="194">
        <f t="shared" si="92"/>
        <v>1.189880243203208E-2</v>
      </c>
      <c r="AG484" s="245" t="str">
        <f>IF(ISNUMBER(SEARCH("C",'WetLitterbags placem_collection'!$Y191)),"YES","NO")</f>
        <v>NO</v>
      </c>
      <c r="AH484" s="245" t="str">
        <f>IF(ISNUMBER(SEARCH("H", 'WetLitterbags placem_collection'!$Y191)),"YES","NO")</f>
        <v>NO</v>
      </c>
      <c r="AI484" s="245" t="str">
        <f>IF(ISNUMBER(SEARCH("R", 'WetLitterbags placem_collection'!$Y191)),"YES","NO")</f>
        <v>YES</v>
      </c>
      <c r="AJ484" s="245" t="str">
        <f>IF(ISNUMBER(SEARCH("C", 'WetLitterbags placem_collection'!$W191)),"YES","NO")</f>
        <v>NO</v>
      </c>
      <c r="AK484" s="245" t="str">
        <f>IF(ISNUMBER(SEARCH("H", 'WetLitterbags placem_collection'!$W191)),"YES","NO")</f>
        <v>NO</v>
      </c>
      <c r="AL484" s="245" t="str">
        <f>IF(ISNUMBER(SEARCH("R", 'WetLitterbags placem_collection'!$W191)),"YES","NO")</f>
        <v>YES</v>
      </c>
    </row>
    <row r="485" spans="2:38">
      <c r="B485" t="str">
        <f>Wetseason!B631</f>
        <v>Wet</v>
      </c>
      <c r="C485" s="253">
        <f>Wetseason!C631</f>
        <v>190</v>
      </c>
      <c r="D485" t="s">
        <v>3130</v>
      </c>
      <c r="E485" t="s">
        <v>25</v>
      </c>
      <c r="F485" s="375">
        <v>6</v>
      </c>
      <c r="G485" s="16">
        <f>'WetLitterbags placem_collection'!E192</f>
        <v>42763</v>
      </c>
      <c r="H485" s="92" t="str">
        <f>Wetseason!L631</f>
        <v>G393</v>
      </c>
      <c r="I485" t="str">
        <f>Wetseason!L851</f>
        <v>R232</v>
      </c>
      <c r="J485">
        <f>IFERROR(INDEX('Green_rooibos initial weight'!$C$5:$C$2000,MATCH(H485, 'Green_rooibos initial weight'!$A$5:$A$2000,0)),"")</f>
        <v>2.0089999999999999</v>
      </c>
      <c r="K485">
        <f>IFERROR(INDEX('Green_rooibos initial weight'!$C$5:$C$2000,MATCH(I485, 'Green_rooibos initial weight'!$A$5:$A$2000,0)),"")</f>
        <v>2.2440000000000002</v>
      </c>
      <c r="L485" s="194">
        <f t="shared" si="84"/>
        <v>1.7591999999999999</v>
      </c>
      <c r="M485" s="194">
        <f>AVERAGE(Ashed_controlls!$K$2:$K$11)</f>
        <v>5.5147656768714146</v>
      </c>
      <c r="N485" s="194">
        <f t="shared" si="81"/>
        <v>1.662184242212478</v>
      </c>
      <c r="O485" s="194">
        <f t="shared" si="85"/>
        <v>1.9942000000000002</v>
      </c>
      <c r="P485" s="194">
        <f>AVERAGE(Ashed_controlls!$K$12:$K$14)</f>
        <v>2.2816647271287041</v>
      </c>
      <c r="Q485" s="194">
        <f t="shared" si="86"/>
        <v>1.9486990420115995</v>
      </c>
      <c r="R485" s="16">
        <f>IF('WetLitterbags placem_collection'!G192="","",'WetLitterbags placem_collection'!G192)</f>
        <v>42815</v>
      </c>
      <c r="S485" s="194">
        <f>IFERROR(INDEX('Both teabags AfterWet'!$C$3:$C$2000,MATCH(H485,'Both teabags AfterWet'!$A$3:$A$2000,0)),"")</f>
        <v>0.62090000000000001</v>
      </c>
      <c r="T485" s="194">
        <f>IFERROR(INDEX('Both teabags AfterWet'!$C$3:$C$2000,MATCH(I485,'Both teabags AfterWet'!$A$3:$A$2000,0)),"")</f>
        <v>1.7355</v>
      </c>
      <c r="U485" s="194">
        <f t="shared" si="87"/>
        <v>0.4703</v>
      </c>
      <c r="V485" s="194">
        <f t="shared" si="88"/>
        <v>1.5849</v>
      </c>
      <c r="W485" s="194">
        <f>IFERROR(INDEX('Ashed teabags wet'!$K$2:$K$2000,MATCH(H485,'Ashed teabags wet'!$A$2:$A$2000,0)),"")</f>
        <v>9.5497278574961424</v>
      </c>
      <c r="X485" s="233">
        <f>IFERROR(INDEX('Ashed teabags wet'!$K$2:$K$2000,MATCH(I485,'Ashed teabags wet'!$A$2:$A$2000,0)),"")</f>
        <v>2.2167487684728533</v>
      </c>
      <c r="Y485" s="194">
        <f t="shared" si="93"/>
        <v>0.42538762988619561</v>
      </c>
      <c r="Z485" s="194">
        <f t="shared" si="93"/>
        <v>1.5497667487684736</v>
      </c>
      <c r="AA485" s="194">
        <f t="shared" si="89"/>
        <v>0.74407913450077212</v>
      </c>
      <c r="AB485" s="194">
        <f t="shared" si="90"/>
        <v>0.48780484827129006</v>
      </c>
      <c r="AC485" s="194">
        <f t="shared" si="82"/>
        <v>0.79528275806441784</v>
      </c>
      <c r="AD485">
        <f t="shared" si="83"/>
        <v>52</v>
      </c>
      <c r="AE485" s="194">
        <f t="shared" si="91"/>
        <v>0.11629556472592384</v>
      </c>
      <c r="AF485" s="194">
        <f t="shared" si="92"/>
        <v>1.0464596385110951E-2</v>
      </c>
      <c r="AG485" s="245" t="str">
        <f>IF(ISNUMBER(SEARCH("C",'WetLitterbags placem_collection'!$Y192)),"YES","NO")</f>
        <v>NO</v>
      </c>
      <c r="AH485" s="245" t="str">
        <f>IF(ISNUMBER(SEARCH("H", 'WetLitterbags placem_collection'!$Y192)),"YES","NO")</f>
        <v>NO</v>
      </c>
      <c r="AI485" s="245" t="str">
        <f>IF(ISNUMBER(SEARCH("R", 'WetLitterbags placem_collection'!$Y192)),"YES","NO")</f>
        <v>NO</v>
      </c>
      <c r="AJ485" s="245" t="str">
        <f>IF(ISNUMBER(SEARCH("C", 'WetLitterbags placem_collection'!$W192)),"YES","NO")</f>
        <v>YES</v>
      </c>
      <c r="AK485" s="245" t="str">
        <f>IF(ISNUMBER(SEARCH("H", 'WetLitterbags placem_collection'!$W192)),"YES","NO")</f>
        <v>YES</v>
      </c>
      <c r="AL485" s="245" t="str">
        <f>IF(ISNUMBER(SEARCH("R", 'WetLitterbags placem_collection'!$W192)),"YES","NO")</f>
        <v>NO</v>
      </c>
    </row>
    <row r="486" spans="2:38">
      <c r="B486" t="str">
        <f>Wetseason!B632</f>
        <v>Wet</v>
      </c>
      <c r="C486" s="253">
        <f>Wetseason!C632</f>
        <v>191</v>
      </c>
      <c r="D486" t="s">
        <v>3130</v>
      </c>
      <c r="E486" t="s">
        <v>25</v>
      </c>
      <c r="F486" s="375">
        <v>7</v>
      </c>
      <c r="G486" s="16">
        <f>'WetLitterbags placem_collection'!E193</f>
        <v>42763</v>
      </c>
      <c r="H486" s="92" t="str">
        <f>Wetseason!L632</f>
        <v>G417</v>
      </c>
      <c r="I486" t="str">
        <f>Wetseason!L852</f>
        <v>R387</v>
      </c>
      <c r="J486">
        <f>IFERROR(INDEX('Green_rooibos initial weight'!$C$5:$C$2000,MATCH(H486, 'Green_rooibos initial weight'!$A$5:$A$2000,0)),"")</f>
        <v>2.0209999999999999</v>
      </c>
      <c r="K486">
        <f>IFERROR(INDEX('Green_rooibos initial weight'!$C$5:$C$2000,MATCH(I486, 'Green_rooibos initial weight'!$A$5:$A$2000,0)),"")</f>
        <v>2.1080000000000001</v>
      </c>
      <c r="L486" s="194">
        <f t="shared" si="84"/>
        <v>1.7711999999999999</v>
      </c>
      <c r="M486" s="194">
        <f>AVERAGE(Ashed_controlls!$K$2:$K$11)</f>
        <v>5.5147656768714146</v>
      </c>
      <c r="N486" s="194">
        <f t="shared" si="81"/>
        <v>1.6735224703312535</v>
      </c>
      <c r="O486" s="194">
        <f t="shared" si="85"/>
        <v>1.8582000000000001</v>
      </c>
      <c r="P486" s="194">
        <f>AVERAGE(Ashed_controlls!$K$12:$K$14)</f>
        <v>2.2816647271287041</v>
      </c>
      <c r="Q486" s="194">
        <f t="shared" si="86"/>
        <v>1.8158021060404945</v>
      </c>
      <c r="R486" s="16">
        <f>IF('WetLitterbags placem_collection'!G193="","",'WetLitterbags placem_collection'!G193)</f>
        <v>42815</v>
      </c>
      <c r="S486" s="194">
        <f>IFERROR(INDEX('Both teabags AfterWet'!$C$3:$C$2000,MATCH(H486,'Both teabags AfterWet'!$A$3:$A$2000,0)),"")</f>
        <v>0.62309999999999999</v>
      </c>
      <c r="T486" s="194">
        <f>IFERROR(INDEX('Both teabags AfterWet'!$C$3:$C$2000,MATCH(I486,'Both teabags AfterWet'!$A$3:$A$2000,0)),"")</f>
        <v>1.6520999999999999</v>
      </c>
      <c r="U486" s="194">
        <f t="shared" si="87"/>
        <v>0.47249999999999998</v>
      </c>
      <c r="V486" s="194">
        <f t="shared" si="88"/>
        <v>1.5014999999999998</v>
      </c>
      <c r="W486" s="194">
        <f>IFERROR(INDEX('Ashed teabags wet'!$K$2:$K$2000,MATCH(H486,'Ashed teabags wet'!$A$2:$A$2000,0)),"")</f>
        <v>9.0547263681590628</v>
      </c>
      <c r="X486" s="233">
        <f>IFERROR(INDEX('Ashed teabags wet'!$K$2:$K$2000,MATCH(I486,'Ashed teabags wet'!$A$2:$A$2000,0)),"")</f>
        <v>2.1414342629480405</v>
      </c>
      <c r="Y486" s="194">
        <f t="shared" si="93"/>
        <v>0.4297164179104484</v>
      </c>
      <c r="Z486" s="194">
        <f t="shared" si="93"/>
        <v>1.469346364541835</v>
      </c>
      <c r="AA486" s="194">
        <f t="shared" si="89"/>
        <v>0.74322638295654841</v>
      </c>
      <c r="AB486" s="194">
        <f t="shared" si="90"/>
        <v>0.48724579975298671</v>
      </c>
      <c r="AC486" s="194">
        <f t="shared" si="82"/>
        <v>0.80919961467930301</v>
      </c>
      <c r="AD486">
        <f t="shared" si="83"/>
        <v>52</v>
      </c>
      <c r="AE486" s="194">
        <f t="shared" si="91"/>
        <v>0.11730833378082128</v>
      </c>
      <c r="AF486" s="194">
        <f t="shared" si="92"/>
        <v>9.5558772359932709E-3</v>
      </c>
      <c r="AG486" s="245" t="str">
        <f>IF(ISNUMBER(SEARCH("C",'WetLitterbags placem_collection'!$Y193)),"YES","NO")</f>
        <v>NO</v>
      </c>
      <c r="AH486" s="245" t="str">
        <f>IF(ISNUMBER(SEARCH("H", 'WetLitterbags placem_collection'!$Y193)),"YES","NO")</f>
        <v>NO</v>
      </c>
      <c r="AI486" s="245" t="str">
        <f>IF(ISNUMBER(SEARCH("R", 'WetLitterbags placem_collection'!$Y193)),"YES","NO")</f>
        <v>NO</v>
      </c>
      <c r="AJ486" s="245" t="str">
        <f>IF(ISNUMBER(SEARCH("C", 'WetLitterbags placem_collection'!$W193)),"YES","NO")</f>
        <v>YES</v>
      </c>
      <c r="AK486" s="245" t="str">
        <f>IF(ISNUMBER(SEARCH("H", 'WetLitterbags placem_collection'!$W193)),"YES","NO")</f>
        <v>YES</v>
      </c>
      <c r="AL486" s="245" t="str">
        <f>IF(ISNUMBER(SEARCH("R", 'WetLitterbags placem_collection'!$W193)),"YES","NO")</f>
        <v>NO</v>
      </c>
    </row>
    <row r="487" spans="2:38">
      <c r="B487" t="str">
        <f>Wetseason!B633</f>
        <v>Wet</v>
      </c>
      <c r="C487" s="253">
        <f>Wetseason!C633</f>
        <v>192</v>
      </c>
      <c r="D487" t="s">
        <v>3130</v>
      </c>
      <c r="E487" t="s">
        <v>25</v>
      </c>
      <c r="F487" s="375">
        <v>8</v>
      </c>
      <c r="G487" s="16">
        <f>'WetLitterbags placem_collection'!E194</f>
        <v>42763</v>
      </c>
      <c r="H487" s="92" t="str">
        <f>Wetseason!L633</f>
        <v>G297</v>
      </c>
      <c r="I487" t="str">
        <f>Wetseason!L853</f>
        <v>R346</v>
      </c>
      <c r="J487">
        <f>IFERROR(INDEX('Green_rooibos initial weight'!$C$5:$C$2000,MATCH(H487, 'Green_rooibos initial weight'!$A$5:$A$2000,0)),"")</f>
        <v>1.9419999999999999</v>
      </c>
      <c r="K487">
        <f>IFERROR(INDEX('Green_rooibos initial weight'!$C$5:$C$2000,MATCH(I487, 'Green_rooibos initial weight'!$A$5:$A$2000,0)),"")</f>
        <v>2.2349999999999999</v>
      </c>
      <c r="L487" s="194">
        <f t="shared" si="84"/>
        <v>1.6921999999999999</v>
      </c>
      <c r="M487" s="194">
        <f>AVERAGE(Ashed_controlls!$K$2:$K$11)</f>
        <v>5.5147656768714146</v>
      </c>
      <c r="N487" s="194">
        <f t="shared" si="81"/>
        <v>1.5988791352159819</v>
      </c>
      <c r="O487" s="194">
        <f t="shared" si="85"/>
        <v>1.9851999999999999</v>
      </c>
      <c r="P487" s="194">
        <f>AVERAGE(Ashed_controlls!$K$12:$K$14)</f>
        <v>2.2816647271287041</v>
      </c>
      <c r="Q487" s="194">
        <f t="shared" si="86"/>
        <v>1.9399043918370409</v>
      </c>
      <c r="R487" s="16">
        <f>IF('WetLitterbags placem_collection'!G194="","",'WetLitterbags placem_collection'!G194)</f>
        <v>42815</v>
      </c>
      <c r="S487" s="194">
        <f>IFERROR(INDEX('Both teabags AfterWet'!$C$3:$C$2000,MATCH(H487,'Both teabags AfterWet'!$A$3:$A$2000,0)),"")</f>
        <v>0.60899999999999999</v>
      </c>
      <c r="T487" s="194">
        <f>IFERROR(INDEX('Both teabags AfterWet'!$C$3:$C$2000,MATCH(I487,'Both teabags AfterWet'!$A$3:$A$2000,0)),"")</f>
        <v>1.6679999999999999</v>
      </c>
      <c r="U487" s="194">
        <f t="shared" si="87"/>
        <v>0.45839999999999997</v>
      </c>
      <c r="V487" s="194">
        <f t="shared" si="88"/>
        <v>1.5173999999999999</v>
      </c>
      <c r="W487" s="194">
        <f>IFERROR(INDEX('Ashed teabags wet'!$K$2:$K$2000,MATCH(H487,'Ashed teabags wet'!$A$2:$A$2000,0)),"")</f>
        <v>9.3406593406594496</v>
      </c>
      <c r="X487" s="233">
        <f>IFERROR(INDEX('Ashed teabags wet'!$K$2:$K$2000,MATCH(I487,'Ashed teabags wet'!$A$2:$A$2000,0)),"")</f>
        <v>2.8640776699025032</v>
      </c>
      <c r="Y487" s="194">
        <f t="shared" si="93"/>
        <v>0.41558241758241704</v>
      </c>
      <c r="Z487" s="194">
        <f t="shared" si="93"/>
        <v>1.4739404854368994</v>
      </c>
      <c r="AA487" s="194">
        <f t="shared" si="89"/>
        <v>0.74007890375886431</v>
      </c>
      <c r="AB487" s="194">
        <f t="shared" si="90"/>
        <v>0.48518236921008689</v>
      </c>
      <c r="AC487" s="194">
        <f t="shared" si="82"/>
        <v>0.759800581739554</v>
      </c>
      <c r="AD487">
        <f t="shared" si="83"/>
        <v>52</v>
      </c>
      <c r="AE487" s="194">
        <f t="shared" si="91"/>
        <v>0.12104643259042236</v>
      </c>
      <c r="AF487" s="194">
        <f t="shared" si="92"/>
        <v>1.3141081136292424E-2</v>
      </c>
      <c r="AG487" s="245" t="str">
        <f>IF(ISNUMBER(SEARCH("C",'WetLitterbags placem_collection'!$Y194)),"YES","NO")</f>
        <v>NO</v>
      </c>
      <c r="AH487" s="245" t="str">
        <f>IF(ISNUMBER(SEARCH("H", 'WetLitterbags placem_collection'!$Y194)),"YES","NO")</f>
        <v>NO</v>
      </c>
      <c r="AI487" s="245" t="str">
        <f>IF(ISNUMBER(SEARCH("R", 'WetLitterbags placem_collection'!$Y194)),"YES","NO")</f>
        <v>NO</v>
      </c>
      <c r="AJ487" s="245" t="str">
        <f>IF(ISNUMBER(SEARCH("C", 'WetLitterbags placem_collection'!$W194)),"YES","NO")</f>
        <v>YES</v>
      </c>
      <c r="AK487" s="245" t="str">
        <f>IF(ISNUMBER(SEARCH("H", 'WetLitterbags placem_collection'!$W194)),"YES","NO")</f>
        <v>YES</v>
      </c>
      <c r="AL487" s="245" t="str">
        <f>IF(ISNUMBER(SEARCH("R", 'WetLitterbags placem_collection'!$W194)),"YES","NO")</f>
        <v>NO</v>
      </c>
    </row>
    <row r="488" spans="2:38">
      <c r="B488" t="str">
        <f>Wetseason!B634</f>
        <v>Wet</v>
      </c>
      <c r="C488" s="253">
        <f>Wetseason!C634</f>
        <v>193</v>
      </c>
      <c r="D488" t="s">
        <v>2440</v>
      </c>
      <c r="E488" t="s">
        <v>25</v>
      </c>
      <c r="F488" s="375">
        <v>1</v>
      </c>
      <c r="G488" s="16">
        <f>'WetLitterbags placem_collection'!E195</f>
        <v>42769</v>
      </c>
      <c r="H488" s="92" t="str">
        <f>Wetseason!L634</f>
        <v>G584</v>
      </c>
      <c r="I488" t="str">
        <f>Wetseason!L854</f>
        <v>R364</v>
      </c>
      <c r="J488">
        <f>IFERROR(INDEX('Green_rooibos initial weight'!$C$5:$C$2000,MATCH(H488, 'Green_rooibos initial weight'!$A$5:$A$2000,0)),"")</f>
        <v>2.1960000000000002</v>
      </c>
      <c r="K488">
        <f>IFERROR(INDEX('Green_rooibos initial weight'!$C$5:$C$2000,MATCH(I488, 'Green_rooibos initial weight'!$A$5:$A$2000,0)),"")</f>
        <v>2.234</v>
      </c>
      <c r="L488" s="194">
        <f t="shared" si="84"/>
        <v>1.9462000000000002</v>
      </c>
      <c r="M488" s="194">
        <f>AVERAGE(Ashed_controlls!$K$2:$K$11)</f>
        <v>5.5147656768714146</v>
      </c>
      <c r="N488" s="194">
        <f t="shared" si="81"/>
        <v>1.8388716303967287</v>
      </c>
      <c r="O488" s="194">
        <f t="shared" si="85"/>
        <v>1.9842</v>
      </c>
      <c r="P488" s="194">
        <f>AVERAGE(Ashed_controlls!$K$12:$K$14)</f>
        <v>2.2816647271287041</v>
      </c>
      <c r="Q488" s="194">
        <f t="shared" si="86"/>
        <v>1.9389272084843123</v>
      </c>
      <c r="R488" s="16">
        <f>IF('WetLitterbags placem_collection'!G195="","",'WetLitterbags placem_collection'!G195)</f>
        <v>42813</v>
      </c>
      <c r="S488" s="194">
        <f>IFERROR(INDEX('Both teabags AfterWet'!$C$3:$C$2000,MATCH(H488,'Both teabags AfterWet'!$A$3:$A$2000,0)),"")</f>
        <v>0.63959999999999995</v>
      </c>
      <c r="T488" s="194">
        <f>IFERROR(INDEX('Both teabags AfterWet'!$C$3:$C$2000,MATCH(I488,'Both teabags AfterWet'!$A$3:$A$2000,0)),"")</f>
        <v>1.3913</v>
      </c>
      <c r="U488" s="194">
        <f t="shared" si="87"/>
        <v>0.48899999999999993</v>
      </c>
      <c r="V488" s="194">
        <f t="shared" si="88"/>
        <v>1.2406999999999999</v>
      </c>
      <c r="W488" s="194">
        <f>IFERROR(INDEX('Ashed teabags wet'!$K$2:$K$2000,MATCH(H488,'Ashed teabags wet'!$A$2:$A$2000,0)),"")</f>
        <v>7.9232283464562308</v>
      </c>
      <c r="X488" s="233">
        <f>IFERROR(INDEX('Ashed teabags wet'!$K$2:$K$2000,MATCH(I488,'Ashed teabags wet'!$A$2:$A$2000,0)),"")</f>
        <v>3.461725987323931</v>
      </c>
      <c r="Y488" s="194">
        <f t="shared" si="93"/>
        <v>0.45025541338582897</v>
      </c>
      <c r="Z488" s="194">
        <f t="shared" si="93"/>
        <v>1.1977503656752719</v>
      </c>
      <c r="AA488" s="194">
        <f t="shared" si="89"/>
        <v>0.75514581554086613</v>
      </c>
      <c r="AB488" s="194">
        <f t="shared" si="90"/>
        <v>0.49505996458261059</v>
      </c>
      <c r="AC488" s="194">
        <f t="shared" si="82"/>
        <v>0.61773869613783539</v>
      </c>
      <c r="AD488">
        <f t="shared" si="83"/>
        <v>44</v>
      </c>
      <c r="AE488" s="194">
        <f t="shared" si="91"/>
        <v>0.10315223807498086</v>
      </c>
      <c r="AF488" s="194">
        <f t="shared" si="92"/>
        <v>3.3615327951248011E-2</v>
      </c>
      <c r="AG488" s="245" t="str">
        <f>IF(ISNUMBER(SEARCH("C",'WetLitterbags placem_collection'!$Y195)),"YES","NO")</f>
        <v>NO</v>
      </c>
      <c r="AH488" s="245" t="str">
        <f>IF(ISNUMBER(SEARCH("H", 'WetLitterbags placem_collection'!$Y195)),"YES","NO")</f>
        <v>NO</v>
      </c>
      <c r="AI488" s="245" t="str">
        <f>IF(ISNUMBER(SEARCH("R", 'WetLitterbags placem_collection'!$Y195)),"YES","NO")</f>
        <v>NO</v>
      </c>
      <c r="AJ488" s="245" t="str">
        <f>IF(ISNUMBER(SEARCH("C", 'WetLitterbags placem_collection'!$W195)),"YES","NO")</f>
        <v>NO</v>
      </c>
      <c r="AK488" s="245" t="str">
        <f>IF(ISNUMBER(SEARCH("H", 'WetLitterbags placem_collection'!$W195)),"YES","NO")</f>
        <v>NO</v>
      </c>
      <c r="AL488" s="245" t="str">
        <f>IF(ISNUMBER(SEARCH("R", 'WetLitterbags placem_collection'!$W195)),"YES","NO")</f>
        <v>NO</v>
      </c>
    </row>
    <row r="489" spans="2:38">
      <c r="B489" t="str">
        <f>Wetseason!B635</f>
        <v>Wet</v>
      </c>
      <c r="C489" s="253">
        <f>Wetseason!C635</f>
        <v>194</v>
      </c>
      <c r="D489" t="s">
        <v>2433</v>
      </c>
      <c r="E489" t="s">
        <v>25</v>
      </c>
      <c r="F489" s="375">
        <v>2</v>
      </c>
      <c r="G489" s="16">
        <f>'WetLitterbags placem_collection'!E196</f>
        <v>42769</v>
      </c>
      <c r="H489" s="92" t="str">
        <f>Wetseason!L635</f>
        <v>G713</v>
      </c>
      <c r="I489" t="str">
        <f>Wetseason!L855</f>
        <v>R167</v>
      </c>
      <c r="J489">
        <f>IFERROR(INDEX('Green_rooibos initial weight'!$C$5:$C$2000,MATCH(H489, 'Green_rooibos initial weight'!$A$5:$A$2000,0)),"")</f>
        <v>2.1779999999999999</v>
      </c>
      <c r="K489">
        <f>IFERROR(INDEX('Green_rooibos initial weight'!$C$5:$C$2000,MATCH(I489, 'Green_rooibos initial weight'!$A$5:$A$2000,0)),"")</f>
        <v>2.177</v>
      </c>
      <c r="L489" s="194">
        <f t="shared" si="84"/>
        <v>1.9281999999999999</v>
      </c>
      <c r="M489" s="194">
        <f>AVERAGE(Ashed_controlls!$K$2:$K$11)</f>
        <v>5.5147656768714146</v>
      </c>
      <c r="N489" s="194">
        <f t="shared" si="81"/>
        <v>1.8218642882185654</v>
      </c>
      <c r="O489" s="194">
        <f t="shared" si="85"/>
        <v>1.9272</v>
      </c>
      <c r="P489" s="194">
        <f>AVERAGE(Ashed_controlls!$K$12:$K$14)</f>
        <v>2.2816647271287041</v>
      </c>
      <c r="Q489" s="194">
        <f t="shared" si="86"/>
        <v>1.8832277573787757</v>
      </c>
      <c r="R489" s="16">
        <f>IF('WetLitterbags placem_collection'!G196="","",'WetLitterbags placem_collection'!G196)</f>
        <v>42813</v>
      </c>
      <c r="S489" s="194">
        <f>IFERROR(INDEX('Both teabags AfterWet'!$C$3:$C$2000,MATCH(H489,'Both teabags AfterWet'!$A$3:$A$2000,0)),"")</f>
        <v>0.63500000000000001</v>
      </c>
      <c r="T489" s="194">
        <f>IFERROR(INDEX('Both teabags AfterWet'!$C$3:$C$2000,MATCH(I489,'Both teabags AfterWet'!$A$3:$A$2000,0)),"")</f>
        <v>1.4750000000000001</v>
      </c>
      <c r="U489" s="194">
        <f t="shared" si="87"/>
        <v>0.4844</v>
      </c>
      <c r="V489" s="194">
        <f t="shared" si="88"/>
        <v>1.3244</v>
      </c>
      <c r="W489" s="194">
        <f>IFERROR(INDEX('Ashed teabags wet'!$K$2:$K$2000,MATCH(H489,'Ashed teabags wet'!$A$2:$A$2000,0)),"")</f>
        <v>8.6567164179103493</v>
      </c>
      <c r="X489" s="233">
        <f>IFERROR(INDEX('Ashed teabags wet'!$K$2:$K$2000,MATCH(I489,'Ashed teabags wet'!$A$2:$A$2000,0)),"")</f>
        <v>3.2435129740522455</v>
      </c>
      <c r="Y489" s="194">
        <f t="shared" si="93"/>
        <v>0.44246686567164228</v>
      </c>
      <c r="Z489" s="194">
        <f t="shared" si="93"/>
        <v>1.2814429141716521</v>
      </c>
      <c r="AA489" s="194">
        <f t="shared" si="89"/>
        <v>0.75713511235005859</v>
      </c>
      <c r="AB489" s="194">
        <f t="shared" si="90"/>
        <v>0.4963641116594209</v>
      </c>
      <c r="AC489" s="194">
        <f t="shared" si="82"/>
        <v>0.6804503115200814</v>
      </c>
      <c r="AD489">
        <f t="shared" si="83"/>
        <v>44</v>
      </c>
      <c r="AE489" s="194">
        <f t="shared" si="91"/>
        <v>0.10078965279090424</v>
      </c>
      <c r="AF489" s="194">
        <f t="shared" si="92"/>
        <v>2.3459296080681754E-2</v>
      </c>
      <c r="AG489" s="245" t="str">
        <f>IF(ISNUMBER(SEARCH("C",'WetLitterbags placem_collection'!$Y196)),"YES","NO")</f>
        <v>NO</v>
      </c>
      <c r="AH489" s="245" t="str">
        <f>IF(ISNUMBER(SEARCH("H", 'WetLitterbags placem_collection'!$Y196)),"YES","NO")</f>
        <v>NO</v>
      </c>
      <c r="AI489" s="245" t="str">
        <f>IF(ISNUMBER(SEARCH("R", 'WetLitterbags placem_collection'!$Y196)),"YES","NO")</f>
        <v>YES</v>
      </c>
      <c r="AJ489" s="245" t="str">
        <f>IF(ISNUMBER(SEARCH("C", 'WetLitterbags placem_collection'!$W196)),"YES","NO")</f>
        <v>NO</v>
      </c>
      <c r="AK489" s="245" t="str">
        <f>IF(ISNUMBER(SEARCH("H", 'WetLitterbags placem_collection'!$W196)),"YES","NO")</f>
        <v>NO</v>
      </c>
      <c r="AL489" s="245" t="str">
        <f>IF(ISNUMBER(SEARCH("R", 'WetLitterbags placem_collection'!$W196)),"YES","NO")</f>
        <v>YES</v>
      </c>
    </row>
    <row r="490" spans="2:38">
      <c r="B490" t="str">
        <f>Wetseason!B636</f>
        <v>Wet</v>
      </c>
      <c r="C490" s="253">
        <f>Wetseason!C636</f>
        <v>195</v>
      </c>
      <c r="D490" t="s">
        <v>2425</v>
      </c>
      <c r="E490" t="s">
        <v>25</v>
      </c>
      <c r="F490" s="375">
        <v>3</v>
      </c>
      <c r="G490" s="16">
        <f>'WetLitterbags placem_collection'!E197</f>
        <v>42769</v>
      </c>
      <c r="H490" s="92" t="str">
        <f>Wetseason!L636</f>
        <v>G525</v>
      </c>
      <c r="I490" t="str">
        <f>Wetseason!L856</f>
        <v>R25</v>
      </c>
      <c r="J490">
        <f>IFERROR(INDEX('Green_rooibos initial weight'!$C$5:$C$2000,MATCH(H490, 'Green_rooibos initial weight'!$A$5:$A$2000,0)),"")</f>
        <v>2.0790000000000002</v>
      </c>
      <c r="K490">
        <f>IFERROR(INDEX('Green_rooibos initial weight'!$C$5:$C$2000,MATCH(I490, 'Green_rooibos initial weight'!$A$5:$A$2000,0)),"")</f>
        <v>2.16</v>
      </c>
      <c r="L490" s="194">
        <f t="shared" si="84"/>
        <v>1.8292000000000002</v>
      </c>
      <c r="M490" s="194">
        <f>AVERAGE(Ashed_controlls!$K$2:$K$11)</f>
        <v>5.5147656768714146</v>
      </c>
      <c r="N490" s="194">
        <f t="shared" si="81"/>
        <v>1.7283239062386682</v>
      </c>
      <c r="O490" s="194">
        <f t="shared" si="85"/>
        <v>1.9102000000000001</v>
      </c>
      <c r="P490" s="194">
        <f>AVERAGE(Ashed_controlls!$K$12:$K$14)</f>
        <v>2.2816647271287041</v>
      </c>
      <c r="Q490" s="194">
        <f t="shared" si="86"/>
        <v>1.8666156403823877</v>
      </c>
      <c r="R490" s="16">
        <f>IF('WetLitterbags placem_collection'!G197="","",'WetLitterbags placem_collection'!G197)</f>
        <v>42814</v>
      </c>
      <c r="S490" s="194">
        <f>IFERROR(INDEX('Both teabags AfterWet'!$C$3:$C$2000,MATCH(H490,'Both teabags AfterWet'!$A$3:$A$2000,0)),"")</f>
        <v>0.67859999999999998</v>
      </c>
      <c r="T490" s="194">
        <f>IFERROR(INDEX('Both teabags AfterWet'!$C$3:$C$2000,MATCH(I490,'Both teabags AfterWet'!$A$3:$A$2000,0)),"")</f>
        <v>1.3527</v>
      </c>
      <c r="U490" s="194">
        <f t="shared" si="87"/>
        <v>0.52800000000000002</v>
      </c>
      <c r="V490" s="194">
        <f t="shared" si="88"/>
        <v>1.2020999999999999</v>
      </c>
      <c r="W490" s="194">
        <f>IFERROR(INDEX('Ashed teabags wet'!$K$2:$K$2000,MATCH(H490,'Ashed teabags wet'!$A$2:$A$2000,0)),"")</f>
        <v>12.793603198399861</v>
      </c>
      <c r="X490" s="233">
        <f>IFERROR(INDEX('Ashed teabags wet'!$K$2:$K$2000,MATCH(I490,'Ashed teabags wet'!$A$2:$A$2000,0)),"")</f>
        <v>4.592085979482369</v>
      </c>
      <c r="Y490" s="194">
        <f t="shared" si="93"/>
        <v>0.46044977511244878</v>
      </c>
      <c r="Z490" s="194">
        <f t="shared" si="93"/>
        <v>1.1468985344406424</v>
      </c>
      <c r="AA490" s="194">
        <f t="shared" si="89"/>
        <v>0.73358594795201304</v>
      </c>
      <c r="AB490" s="194">
        <f t="shared" si="90"/>
        <v>0.48092570459561906</v>
      </c>
      <c r="AC490" s="194">
        <f t="shared" si="82"/>
        <v>0.61442672483216376</v>
      </c>
      <c r="AD490">
        <f t="shared" si="83"/>
        <v>45</v>
      </c>
      <c r="AE490" s="194">
        <f t="shared" si="91"/>
        <v>0.12875778152967565</v>
      </c>
      <c r="AF490" s="194">
        <f t="shared" si="92"/>
        <v>3.5958510824437753E-2</v>
      </c>
      <c r="AG490" s="245" t="str">
        <f>IF(ISNUMBER(SEARCH("C",'WetLitterbags placem_collection'!$Y197)),"YES","NO")</f>
        <v>NO</v>
      </c>
      <c r="AH490" s="245" t="str">
        <f>IF(ISNUMBER(SEARCH("H", 'WetLitterbags placem_collection'!$Y197)),"YES","NO")</f>
        <v>NO</v>
      </c>
      <c r="AI490" s="245" t="str">
        <f>IF(ISNUMBER(SEARCH("R", 'WetLitterbags placem_collection'!$Y197)),"YES","NO")</f>
        <v>NO</v>
      </c>
      <c r="AJ490" s="245" t="str">
        <f>IF(ISNUMBER(SEARCH("C", 'WetLitterbags placem_collection'!$W197)),"YES","NO")</f>
        <v>YES</v>
      </c>
      <c r="AK490" s="245" t="str">
        <f>IF(ISNUMBER(SEARCH("H", 'WetLitterbags placem_collection'!$W197)),"YES","NO")</f>
        <v>NO</v>
      </c>
      <c r="AL490" s="245" t="str">
        <f>IF(ISNUMBER(SEARCH("R", 'WetLitterbags placem_collection'!$W197)),"YES","NO")</f>
        <v>YES</v>
      </c>
    </row>
    <row r="491" spans="2:38">
      <c r="B491" t="str">
        <f>Wetseason!B637</f>
        <v>Wet</v>
      </c>
      <c r="C491" s="253">
        <f>Wetseason!C637</f>
        <v>196</v>
      </c>
      <c r="D491" t="s">
        <v>2416</v>
      </c>
      <c r="E491" t="s">
        <v>25</v>
      </c>
      <c r="F491" s="375">
        <v>4</v>
      </c>
      <c r="G491" s="16">
        <f>'WetLitterbags placem_collection'!E198</f>
        <v>42769</v>
      </c>
      <c r="H491" s="92" t="str">
        <f>Wetseason!L637</f>
        <v>G886</v>
      </c>
      <c r="I491" t="str">
        <f>Wetseason!L857</f>
        <v>R362</v>
      </c>
      <c r="J491">
        <f>IFERROR(INDEX('Green_rooibos initial weight'!$C$5:$C$2000,MATCH(H491, 'Green_rooibos initial weight'!$A$5:$A$2000,0)),"")</f>
        <v>1.9590000000000001</v>
      </c>
      <c r="K491">
        <f>IFERROR(INDEX('Green_rooibos initial weight'!$C$5:$C$2000,MATCH(I491, 'Green_rooibos initial weight'!$A$5:$A$2000,0)),"")</f>
        <v>2.246</v>
      </c>
      <c r="L491" s="194">
        <f t="shared" si="84"/>
        <v>1.7092000000000001</v>
      </c>
      <c r="M491" s="194">
        <f>AVERAGE(Ashed_controlls!$K$2:$K$11)</f>
        <v>5.5147656768714146</v>
      </c>
      <c r="N491" s="194">
        <f t="shared" si="81"/>
        <v>1.6149416250509139</v>
      </c>
      <c r="O491" s="194">
        <f t="shared" si="85"/>
        <v>1.9962</v>
      </c>
      <c r="P491" s="194">
        <f>AVERAGE(Ashed_controlls!$K$12:$K$14)</f>
        <v>2.2816647271287041</v>
      </c>
      <c r="Q491" s="194">
        <f t="shared" si="86"/>
        <v>1.9506534087170568</v>
      </c>
      <c r="R491" s="16">
        <f>IF('WetLitterbags placem_collection'!G198="","",'WetLitterbags placem_collection'!G198)</f>
        <v>42814</v>
      </c>
      <c r="S491" s="194">
        <f>IFERROR(INDEX('Both teabags AfterWet'!$C$3:$C$2000,MATCH(H491,'Both teabags AfterWet'!$A$3:$A$2000,0)),"")</f>
        <v>0.58389999999999997</v>
      </c>
      <c r="T491" s="194">
        <f>IFERROR(INDEX('Both teabags AfterWet'!$C$3:$C$2000,MATCH(I491,'Both teabags AfterWet'!$A$3:$A$2000,0)),"")</f>
        <v>1.5253000000000001</v>
      </c>
      <c r="U491" s="194">
        <f t="shared" si="87"/>
        <v>0.43329999999999996</v>
      </c>
      <c r="V491" s="194">
        <f t="shared" si="88"/>
        <v>1.3747</v>
      </c>
      <c r="W491" s="194">
        <f>IFERROR(INDEX('Ashed teabags wet'!$K$2:$K$2000,MATCH(H491,'Ashed teabags wet'!$A$2:$A$2000,0)),"")</f>
        <v>11.60846040334461</v>
      </c>
      <c r="X491" s="233">
        <f>IFERROR(INDEX('Ashed teabags wet'!$K$2:$K$2000,MATCH(I491,'Ashed teabags wet'!$A$2:$A$2000,0)),"")</f>
        <v>3.690944881888675</v>
      </c>
      <c r="Y491" s="194">
        <f t="shared" si="93"/>
        <v>0.38300054107230774</v>
      </c>
      <c r="Z491" s="194">
        <f t="shared" si="93"/>
        <v>1.3239605807086765</v>
      </c>
      <c r="AA491" s="194">
        <f t="shared" si="89"/>
        <v>0.76283938990040401</v>
      </c>
      <c r="AB491" s="194">
        <f t="shared" si="90"/>
        <v>0.5001037330463457</v>
      </c>
      <c r="AC491" s="194">
        <f t="shared" si="82"/>
        <v>0.67872671525970585</v>
      </c>
      <c r="AD491">
        <f t="shared" si="83"/>
        <v>45</v>
      </c>
      <c r="AE491" s="194">
        <f t="shared" si="91"/>
        <v>9.4014976365315861E-2</v>
      </c>
      <c r="AF491" s="194">
        <f t="shared" si="92"/>
        <v>2.2852831160356579E-2</v>
      </c>
      <c r="AG491" s="245" t="str">
        <f>IF(ISNUMBER(SEARCH("C",'WetLitterbags placem_collection'!$Y198)),"YES","NO")</f>
        <v>NO</v>
      </c>
      <c r="AH491" s="245" t="str">
        <f>IF(ISNUMBER(SEARCH("H", 'WetLitterbags placem_collection'!$Y198)),"YES","NO")</f>
        <v>NO</v>
      </c>
      <c r="AI491" s="245" t="str">
        <f>IF(ISNUMBER(SEARCH("R", 'WetLitterbags placem_collection'!$Y198)),"YES","NO")</f>
        <v>NO</v>
      </c>
      <c r="AJ491" s="245" t="str">
        <f>IF(ISNUMBER(SEARCH("C", 'WetLitterbags placem_collection'!$W198)),"YES","NO")</f>
        <v>NO</v>
      </c>
      <c r="AK491" s="245" t="str">
        <f>IF(ISNUMBER(SEARCH("H", 'WetLitterbags placem_collection'!$W198)),"YES","NO")</f>
        <v>NO</v>
      </c>
      <c r="AL491" s="245" t="str">
        <f>IF(ISNUMBER(SEARCH("R", 'WetLitterbags placem_collection'!$W198)),"YES","NO")</f>
        <v>NO</v>
      </c>
    </row>
    <row r="492" spans="2:38">
      <c r="B492" t="str">
        <f>Wetseason!B638</f>
        <v>Wet</v>
      </c>
      <c r="C492" s="253">
        <f>Wetseason!C638</f>
        <v>197</v>
      </c>
      <c r="D492" t="s">
        <v>2426</v>
      </c>
      <c r="E492" t="s">
        <v>25</v>
      </c>
      <c r="F492" s="375">
        <v>1</v>
      </c>
      <c r="G492" s="16">
        <f>'WetLitterbags placem_collection'!E199</f>
        <v>42769</v>
      </c>
      <c r="H492" s="92" t="str">
        <f>Wetseason!L638</f>
        <v>G388</v>
      </c>
      <c r="I492" t="str">
        <f>Wetseason!L858</f>
        <v>R370</v>
      </c>
      <c r="J492">
        <f>IFERROR(INDEX('Green_rooibos initial weight'!$C$5:$C$2000,MATCH(H492, 'Green_rooibos initial weight'!$A$5:$A$2000,0)),"")</f>
        <v>2.024</v>
      </c>
      <c r="K492">
        <f>IFERROR(INDEX('Green_rooibos initial weight'!$C$5:$C$2000,MATCH(I492, 'Green_rooibos initial weight'!$A$5:$A$2000,0)),"")</f>
        <v>2.2290000000000001</v>
      </c>
      <c r="L492" s="194">
        <f t="shared" si="84"/>
        <v>1.7742</v>
      </c>
      <c r="M492" s="194">
        <f>AVERAGE(Ashed_controlls!$K$2:$K$11)</f>
        <v>5.5147656768714146</v>
      </c>
      <c r="N492" s="194">
        <f t="shared" si="81"/>
        <v>1.6763570273609474</v>
      </c>
      <c r="O492" s="194">
        <f t="shared" si="85"/>
        <v>1.9792000000000001</v>
      </c>
      <c r="P492" s="194">
        <f>AVERAGE(Ashed_controlls!$K$12:$K$14)</f>
        <v>2.2816647271287041</v>
      </c>
      <c r="Q492" s="194">
        <f t="shared" si="86"/>
        <v>1.9340412917206689</v>
      </c>
      <c r="R492" s="16">
        <f>IF('WetLitterbags placem_collection'!G199="","",'WetLitterbags placem_collection'!G199)</f>
        <v>42814</v>
      </c>
      <c r="S492" s="194">
        <f>IFERROR(INDEX('Both teabags AfterWet'!$C$3:$C$2000,MATCH(H492,'Both teabags AfterWet'!$A$3:$A$2000,0)),"")</f>
        <v>0.7046</v>
      </c>
      <c r="T492" s="194">
        <f>IFERROR(INDEX('Both teabags AfterWet'!$C$3:$C$2000,MATCH(I492,'Both teabags AfterWet'!$A$3:$A$2000,0)),"")</f>
        <v>1.488</v>
      </c>
      <c r="U492" s="194">
        <f t="shared" si="87"/>
        <v>0.55400000000000005</v>
      </c>
      <c r="V492" s="194">
        <f t="shared" si="88"/>
        <v>1.3373999999999999</v>
      </c>
      <c r="W492" s="194">
        <f>IFERROR(INDEX('Ashed teabags wet'!$K$2:$K$2000,MATCH(H492,'Ashed teabags wet'!$A$2:$A$2000,0)),"")</f>
        <v>10.565110565110372</v>
      </c>
      <c r="X492" s="233">
        <f>IFERROR(INDEX('Ashed teabags wet'!$K$2:$K$2000,MATCH(I492,'Ashed teabags wet'!$A$2:$A$2000,0)),"")</f>
        <v>5.0682261208581973</v>
      </c>
      <c r="Y492" s="194">
        <f t="shared" si="93"/>
        <v>0.49546928746928859</v>
      </c>
      <c r="Z492" s="194">
        <f t="shared" si="93"/>
        <v>1.2696175438596424</v>
      </c>
      <c r="AA492" s="194">
        <f t="shared" si="89"/>
        <v>0.70443689537347831</v>
      </c>
      <c r="AB492" s="194">
        <f t="shared" si="90"/>
        <v>0.46181611193130651</v>
      </c>
      <c r="AC492" s="194">
        <f t="shared" si="82"/>
        <v>0.65645834413912385</v>
      </c>
      <c r="AD492">
        <f t="shared" si="83"/>
        <v>45</v>
      </c>
      <c r="AE492" s="194">
        <f t="shared" si="91"/>
        <v>0.16337660882009697</v>
      </c>
      <c r="AF492" s="194">
        <f t="shared" si="92"/>
        <v>3.0270199179420448E-2</v>
      </c>
      <c r="AG492" s="245" t="str">
        <f>IF(ISNUMBER(SEARCH("C",'WetLitterbags placem_collection'!$Y199)),"YES","NO")</f>
        <v>NO</v>
      </c>
      <c r="AH492" s="245" t="str">
        <f>IF(ISNUMBER(SEARCH("H", 'WetLitterbags placem_collection'!$Y199)),"YES","NO")</f>
        <v>NO</v>
      </c>
      <c r="AI492" s="245" t="str">
        <f>IF(ISNUMBER(SEARCH("R", 'WetLitterbags placem_collection'!$Y199)),"YES","NO")</f>
        <v>YES</v>
      </c>
      <c r="AJ492" s="245" t="str">
        <f>IF(ISNUMBER(SEARCH("C", 'WetLitterbags placem_collection'!$W199)),"YES","NO")</f>
        <v>YES</v>
      </c>
      <c r="AK492" s="245" t="str">
        <f>IF(ISNUMBER(SEARCH("H", 'WetLitterbags placem_collection'!$W199)),"YES","NO")</f>
        <v>YES</v>
      </c>
      <c r="AL492" s="245" t="str">
        <f>IF(ISNUMBER(SEARCH("R", 'WetLitterbags placem_collection'!$W199)),"YES","NO")</f>
        <v>YES</v>
      </c>
    </row>
    <row r="493" spans="2:38">
      <c r="B493" t="str">
        <f>Wetseason!B639</f>
        <v>Wet</v>
      </c>
      <c r="C493" s="253">
        <f>Wetseason!C639</f>
        <v>198</v>
      </c>
      <c r="D493" t="s">
        <v>2434</v>
      </c>
      <c r="E493" t="s">
        <v>25</v>
      </c>
      <c r="F493" s="375">
        <v>2</v>
      </c>
      <c r="G493" s="16">
        <f>'WetLitterbags placem_collection'!E200</f>
        <v>42769</v>
      </c>
      <c r="H493" s="92" t="str">
        <f>Wetseason!L639</f>
        <v>G462</v>
      </c>
      <c r="I493" t="str">
        <f>Wetseason!L859</f>
        <v>R168</v>
      </c>
      <c r="J493">
        <f>IFERROR(INDEX('Green_rooibos initial weight'!$C$5:$C$2000,MATCH(H493, 'Green_rooibos initial weight'!$A$5:$A$2000,0)),"")</f>
        <v>2.169</v>
      </c>
      <c r="K493">
        <f>IFERROR(INDEX('Green_rooibos initial weight'!$C$5:$C$2000,MATCH(I493, 'Green_rooibos initial weight'!$A$5:$A$2000,0)),"")</f>
        <v>2.1459999999999999</v>
      </c>
      <c r="L493" s="194">
        <f t="shared" si="84"/>
        <v>1.9192</v>
      </c>
      <c r="M493" s="194">
        <f>AVERAGE(Ashed_controlls!$K$2:$K$11)</f>
        <v>5.5147656768714146</v>
      </c>
      <c r="N493" s="194">
        <f t="shared" si="81"/>
        <v>1.8133606171294838</v>
      </c>
      <c r="O493" s="194">
        <f t="shared" si="85"/>
        <v>1.8961999999999999</v>
      </c>
      <c r="P493" s="194">
        <f>AVERAGE(Ashed_controlls!$K$12:$K$14)</f>
        <v>2.2816647271287041</v>
      </c>
      <c r="Q493" s="194">
        <f t="shared" si="86"/>
        <v>1.8529350734441854</v>
      </c>
      <c r="R493" s="16">
        <f>IF('WetLitterbags placem_collection'!G200="","",'WetLitterbags placem_collection'!G200)</f>
        <v>42813</v>
      </c>
      <c r="S493" s="194">
        <f>IFERROR(INDEX('Both teabags AfterWet'!$C$3:$C$2000,MATCH(H493,'Both teabags AfterWet'!$A$3:$A$2000,0)),"")</f>
        <v>0.71250000000000002</v>
      </c>
      <c r="T493" s="194">
        <f>IFERROR(INDEX('Both teabags AfterWet'!$C$3:$C$2000,MATCH(I493,'Both teabags AfterWet'!$A$3:$A$2000,0)),"")</f>
        <v>1.5734999999999999</v>
      </c>
      <c r="U493" s="194">
        <f t="shared" si="87"/>
        <v>0.56190000000000007</v>
      </c>
      <c r="V493" s="194">
        <f t="shared" si="88"/>
        <v>1.4228999999999998</v>
      </c>
      <c r="W493" s="194">
        <f>IFERROR(INDEX('Ashed teabags wet'!$K$2:$K$2000,MATCH(H493,'Ashed teabags wet'!$A$2:$A$2000,0)),"")</f>
        <v>8.7537091988131088</v>
      </c>
      <c r="X493" s="233">
        <f>IFERROR(INDEX('Ashed teabags wet'!$K$2:$K$2000,MATCH(I493,'Ashed teabags wet'!$A$2:$A$2000,0)),"")</f>
        <v>3.118908382066123</v>
      </c>
      <c r="Y493" s="194">
        <f t="shared" si="93"/>
        <v>0.5127129080118692</v>
      </c>
      <c r="Z493" s="194">
        <f t="shared" si="93"/>
        <v>1.378521052631581</v>
      </c>
      <c r="AA493" s="194">
        <f t="shared" si="89"/>
        <v>0.71725816521620267</v>
      </c>
      <c r="AB493" s="194">
        <f t="shared" si="90"/>
        <v>0.47022150498734433</v>
      </c>
      <c r="AC493" s="194">
        <f t="shared" si="82"/>
        <v>0.74396619308912071</v>
      </c>
      <c r="AD493">
        <f t="shared" si="83"/>
        <v>44</v>
      </c>
      <c r="AE493" s="194">
        <f t="shared" si="91"/>
        <v>0.14814944748669512</v>
      </c>
      <c r="AF493" s="194">
        <f t="shared" si="92"/>
        <v>1.7871616965345217E-2</v>
      </c>
      <c r="AG493" s="245" t="str">
        <f>IF(ISNUMBER(SEARCH("C",'WetLitterbags placem_collection'!$Y200)),"YES","NO")</f>
        <v>NO</v>
      </c>
      <c r="AH493" s="245" t="str">
        <f>IF(ISNUMBER(SEARCH("H", 'WetLitterbags placem_collection'!$Y200)),"YES","NO")</f>
        <v>NO</v>
      </c>
      <c r="AI493" s="245" t="str">
        <f>IF(ISNUMBER(SEARCH("R", 'WetLitterbags placem_collection'!$Y200)),"YES","NO")</f>
        <v>YES</v>
      </c>
      <c r="AJ493" s="245" t="str">
        <f>IF(ISNUMBER(SEARCH("C", 'WetLitterbags placem_collection'!$W200)),"YES","NO")</f>
        <v>NO</v>
      </c>
      <c r="AK493" s="245" t="str">
        <f>IF(ISNUMBER(SEARCH("H", 'WetLitterbags placem_collection'!$W200)),"YES","NO")</f>
        <v>NO</v>
      </c>
      <c r="AL493" s="245" t="str">
        <f>IF(ISNUMBER(SEARCH("R", 'WetLitterbags placem_collection'!$W200)),"YES","NO")</f>
        <v>NO</v>
      </c>
    </row>
    <row r="494" spans="2:38">
      <c r="B494" t="str">
        <f>Wetseason!B640</f>
        <v>Wet</v>
      </c>
      <c r="C494" s="253">
        <f>Wetseason!C640</f>
        <v>199</v>
      </c>
      <c r="D494" t="s">
        <v>2418</v>
      </c>
      <c r="E494" t="s">
        <v>25</v>
      </c>
      <c r="F494" s="375">
        <v>3</v>
      </c>
      <c r="G494" s="16">
        <f>'WetLitterbags placem_collection'!E201</f>
        <v>42769</v>
      </c>
      <c r="H494" s="92" t="str">
        <f>Wetseason!L640</f>
        <v>G712</v>
      </c>
      <c r="I494" t="str">
        <f>Wetseason!L860</f>
        <v>R369</v>
      </c>
      <c r="J494">
        <f>IFERROR(INDEX('Green_rooibos initial weight'!$C$5:$C$2000,MATCH(H494, 'Green_rooibos initial weight'!$A$5:$A$2000,0)),"")</f>
        <v>2.0630000000000002</v>
      </c>
      <c r="K494">
        <f>IFERROR(INDEX('Green_rooibos initial weight'!$C$5:$C$2000,MATCH(I494, 'Green_rooibos initial weight'!$A$5:$A$2000,0)),"")</f>
        <v>2.2400000000000002</v>
      </c>
      <c r="L494" s="194">
        <f t="shared" si="84"/>
        <v>1.8132000000000001</v>
      </c>
      <c r="M494" s="194">
        <f>AVERAGE(Ashed_controlls!$K$2:$K$11)</f>
        <v>5.5147656768714146</v>
      </c>
      <c r="N494" s="194">
        <f t="shared" si="81"/>
        <v>1.7132062687469676</v>
      </c>
      <c r="O494" s="194">
        <f t="shared" si="85"/>
        <v>1.9902000000000002</v>
      </c>
      <c r="P494" s="194">
        <f>AVERAGE(Ashed_controlls!$K$12:$K$14)</f>
        <v>2.2816647271287041</v>
      </c>
      <c r="Q494" s="194">
        <f t="shared" si="86"/>
        <v>1.9447903086006848</v>
      </c>
      <c r="R494" s="16">
        <f>IF('WetLitterbags placem_collection'!G201="","",'WetLitterbags placem_collection'!G201)</f>
        <v>42814</v>
      </c>
      <c r="S494" s="194">
        <f>IFERROR(INDEX('Both teabags AfterWet'!$C$3:$C$2000,MATCH(H494,'Both teabags AfterWet'!$A$3:$A$2000,0)),"")</f>
        <v>0.65500000000000003</v>
      </c>
      <c r="T494" s="194">
        <f>IFERROR(INDEX('Both teabags AfterWet'!$C$3:$C$2000,MATCH(I494,'Both teabags AfterWet'!$A$3:$A$2000,0)),"")</f>
        <v>1.667</v>
      </c>
      <c r="U494" s="194">
        <f t="shared" si="87"/>
        <v>0.50439999999999996</v>
      </c>
      <c r="V494" s="194">
        <f t="shared" si="88"/>
        <v>1.5164</v>
      </c>
      <c r="W494" s="194">
        <f>IFERROR(INDEX('Ashed teabags wet'!$K$2:$K$2000,MATCH(H494,'Ashed teabags wet'!$A$2:$A$2000,0)),"")</f>
        <v>8.8717454194792413</v>
      </c>
      <c r="X494" s="233">
        <f>IFERROR(INDEX('Ashed teabags wet'!$K$2:$K$2000,MATCH(I494,'Ashed teabags wet'!$A$2:$A$2000,0)),"")</f>
        <v>2.8245787908823141</v>
      </c>
      <c r="Y494" s="194">
        <f t="shared" si="93"/>
        <v>0.45965091610414666</v>
      </c>
      <c r="Z494" s="194">
        <f t="shared" si="93"/>
        <v>1.4735680872150605</v>
      </c>
      <c r="AA494" s="194">
        <f t="shared" si="89"/>
        <v>0.73170135757188559</v>
      </c>
      <c r="AB494" s="194">
        <f t="shared" si="90"/>
        <v>0.47969020116351652</v>
      </c>
      <c r="AC494" s="194">
        <f t="shared" si="82"/>
        <v>0.75770024187097162</v>
      </c>
      <c r="AD494">
        <f t="shared" si="83"/>
        <v>45</v>
      </c>
      <c r="AE494" s="194">
        <f t="shared" si="91"/>
        <v>0.13099601238493397</v>
      </c>
      <c r="AF494" s="194">
        <f t="shared" si="92"/>
        <v>1.5631872371769089E-2</v>
      </c>
      <c r="AG494" s="245" t="str">
        <f>IF(ISNUMBER(SEARCH("C",'WetLitterbags placem_collection'!$Y201)),"YES","NO")</f>
        <v>NO</v>
      </c>
      <c r="AH494" s="245" t="str">
        <f>IF(ISNUMBER(SEARCH("H", 'WetLitterbags placem_collection'!$Y201)),"YES","NO")</f>
        <v>NO</v>
      </c>
      <c r="AI494" s="245" t="str">
        <f>IF(ISNUMBER(SEARCH("R", 'WetLitterbags placem_collection'!$Y201)),"YES","NO")</f>
        <v>YES</v>
      </c>
      <c r="AJ494" s="245" t="str">
        <f>IF(ISNUMBER(SEARCH("C", 'WetLitterbags placem_collection'!$W201)),"YES","NO")</f>
        <v>NO</v>
      </c>
      <c r="AK494" s="245" t="str">
        <f>IF(ISNUMBER(SEARCH("H", 'WetLitterbags placem_collection'!$W201)),"YES","NO")</f>
        <v>NO</v>
      </c>
      <c r="AL494" s="245" t="str">
        <f>IF(ISNUMBER(SEARCH("R", 'WetLitterbags placem_collection'!$W201)),"YES","NO")</f>
        <v>YES</v>
      </c>
    </row>
    <row r="495" spans="2:38">
      <c r="B495" t="str">
        <f>Wetseason!B641</f>
        <v>Wet</v>
      </c>
      <c r="C495" s="253">
        <f>Wetseason!C641</f>
        <v>200</v>
      </c>
      <c r="D495" t="s">
        <v>2441</v>
      </c>
      <c r="E495" t="s">
        <v>25</v>
      </c>
      <c r="F495" s="375">
        <v>4</v>
      </c>
      <c r="G495" s="16">
        <f>'WetLitterbags placem_collection'!E202</f>
        <v>42769</v>
      </c>
      <c r="H495" s="92" t="str">
        <f>Wetseason!L641</f>
        <v>G709</v>
      </c>
      <c r="I495" t="str">
        <f>Wetseason!L861</f>
        <v>R359</v>
      </c>
      <c r="J495">
        <f>IFERROR(INDEX('Green_rooibos initial weight'!$C$5:$C$2000,MATCH(H495, 'Green_rooibos initial weight'!$A$5:$A$2000,0)),"")</f>
        <v>1.9670000000000001</v>
      </c>
      <c r="K495">
        <f>IFERROR(INDEX('Green_rooibos initial weight'!$C$5:$C$2000,MATCH(I495, 'Green_rooibos initial weight'!$A$5:$A$2000,0)),"")</f>
        <v>2.198</v>
      </c>
      <c r="L495" s="194">
        <f t="shared" si="84"/>
        <v>1.7172000000000001</v>
      </c>
      <c r="M495" s="194">
        <f>AVERAGE(Ashed_controlls!$K$2:$K$11)</f>
        <v>5.5147656768714146</v>
      </c>
      <c r="N495" s="194">
        <f t="shared" si="81"/>
        <v>1.6225004437967641</v>
      </c>
      <c r="O495" s="194">
        <f t="shared" si="85"/>
        <v>1.9481999999999999</v>
      </c>
      <c r="P495" s="194">
        <f>AVERAGE(Ashed_controlls!$K$12:$K$14)</f>
        <v>2.2816647271287041</v>
      </c>
      <c r="Q495" s="194">
        <f t="shared" si="86"/>
        <v>1.9037486077860786</v>
      </c>
      <c r="R495" s="16">
        <f>IF('WetLitterbags placem_collection'!G202="","",'WetLitterbags placem_collection'!G202)</f>
        <v>42813</v>
      </c>
      <c r="S495" s="194">
        <f>IFERROR(INDEX('Both teabags AfterWet'!$C$3:$C$2000,MATCH(H495,'Both teabags AfterWet'!$A$3:$A$2000,0)),"")</f>
        <v>0.56469999999999998</v>
      </c>
      <c r="T495" s="194">
        <f>IFERROR(INDEX('Both teabags AfterWet'!$C$3:$C$2000,MATCH(I495,'Both teabags AfterWet'!$A$3:$A$2000,0)),"")</f>
        <v>1.4882</v>
      </c>
      <c r="U495" s="194">
        <f t="shared" si="87"/>
        <v>0.41409999999999997</v>
      </c>
      <c r="V495" s="194">
        <f t="shared" si="88"/>
        <v>1.3375999999999999</v>
      </c>
      <c r="W495" s="194">
        <f>IFERROR(INDEX('Ashed teabags wet'!$K$2:$K$2000,MATCH(H495,'Ashed teabags wet'!$A$2:$A$2000,0)),"")</f>
        <v>9.8409542743538694</v>
      </c>
      <c r="X495" s="233">
        <f>IFERROR(INDEX('Ashed teabags wet'!$K$2:$K$2000,MATCH(I495,'Ashed teabags wet'!$A$2:$A$2000,0)),"")</f>
        <v>4.0291262135925576</v>
      </c>
      <c r="Y495" s="194">
        <f t="shared" si="93"/>
        <v>0.37334860834990058</v>
      </c>
      <c r="Z495" s="194">
        <f t="shared" si="93"/>
        <v>1.2837064077669857</v>
      </c>
      <c r="AA495" s="194">
        <f t="shared" si="89"/>
        <v>0.76989306241652611</v>
      </c>
      <c r="AB495" s="194">
        <f t="shared" si="90"/>
        <v>0.50472799341320951</v>
      </c>
      <c r="AC495" s="194">
        <f t="shared" si="82"/>
        <v>0.67430458124397163</v>
      </c>
      <c r="AD495">
        <f t="shared" si="83"/>
        <v>44</v>
      </c>
      <c r="AE495" s="194">
        <f t="shared" si="91"/>
        <v>8.5637693092011746E-2</v>
      </c>
      <c r="AF495" s="194">
        <f t="shared" si="92"/>
        <v>2.3555724696591972E-2</v>
      </c>
      <c r="AG495" s="245" t="str">
        <f>IF(ISNUMBER(SEARCH("C",'WetLitterbags placem_collection'!$Y202)),"YES","NO")</f>
        <v>NO</v>
      </c>
      <c r="AH495" s="245" t="str">
        <f>IF(ISNUMBER(SEARCH("H", 'WetLitterbags placem_collection'!$Y202)),"YES","NO")</f>
        <v>NO</v>
      </c>
      <c r="AI495" s="245" t="str">
        <f>IF(ISNUMBER(SEARCH("R", 'WetLitterbags placem_collection'!$Y202)),"YES","NO")</f>
        <v>YES</v>
      </c>
      <c r="AJ495" s="245" t="str">
        <f>IF(ISNUMBER(SEARCH("C", 'WetLitterbags placem_collection'!$W202)),"YES","NO")</f>
        <v>NO</v>
      </c>
      <c r="AK495" s="245" t="str">
        <f>IF(ISNUMBER(SEARCH("H", 'WetLitterbags placem_collection'!$W202)),"YES","NO")</f>
        <v>NO</v>
      </c>
      <c r="AL495" s="245" t="str">
        <f>IF(ISNUMBER(SEARCH("R", 'WetLitterbags placem_collection'!$W202)),"YES","NO")</f>
        <v>YES</v>
      </c>
    </row>
    <row r="496" spans="2:38">
      <c r="B496" t="str">
        <f>Wetseason!B642</f>
        <v>Wet</v>
      </c>
      <c r="C496" s="253">
        <f>Wetseason!C642</f>
        <v>201</v>
      </c>
      <c r="D496" t="s">
        <v>2442</v>
      </c>
      <c r="E496" t="s">
        <v>25</v>
      </c>
      <c r="F496" s="375">
        <v>1</v>
      </c>
      <c r="G496" s="16">
        <f>'WetLitterbags placem_collection'!E203</f>
        <v>42769</v>
      </c>
      <c r="H496" s="92" t="str">
        <f>Wetseason!L642</f>
        <v>G707</v>
      </c>
      <c r="I496" t="str">
        <f>Wetseason!L862</f>
        <v>R395</v>
      </c>
      <c r="J496">
        <f>IFERROR(INDEX('Green_rooibos initial weight'!$C$5:$C$2000,MATCH(H496, 'Green_rooibos initial weight'!$A$5:$A$2000,0)),"")</f>
        <v>2.008</v>
      </c>
      <c r="K496">
        <f>IFERROR(INDEX('Green_rooibos initial weight'!$C$5:$C$2000,MATCH(I496, 'Green_rooibos initial weight'!$A$5:$A$2000,0)),"")</f>
        <v>2.1280000000000001</v>
      </c>
      <c r="L496" s="194">
        <f t="shared" si="84"/>
        <v>1.7582</v>
      </c>
      <c r="M496" s="194">
        <f>AVERAGE(Ashed_controlls!$K$2:$K$11)</f>
        <v>5.5147656768714146</v>
      </c>
      <c r="N496" s="194">
        <f t="shared" si="81"/>
        <v>1.6612393898692468</v>
      </c>
      <c r="O496" s="194">
        <f t="shared" si="85"/>
        <v>1.8782000000000001</v>
      </c>
      <c r="P496" s="194">
        <f>AVERAGE(Ashed_controlls!$K$12:$K$14)</f>
        <v>2.2816647271287041</v>
      </c>
      <c r="Q496" s="194">
        <f t="shared" si="86"/>
        <v>1.8353457730950689</v>
      </c>
      <c r="R496" s="16">
        <f>IF('WetLitterbags placem_collection'!G203="","",'WetLitterbags placem_collection'!G203)</f>
        <v>42813</v>
      </c>
      <c r="S496" s="194">
        <f>IFERROR(INDEX('Both teabags AfterWet'!$C$3:$C$2000,MATCH(H496,'Both teabags AfterWet'!$A$3:$A$2000,0)),"")</f>
        <v>0.63959999999999995</v>
      </c>
      <c r="T496" s="194">
        <f>IFERROR(INDEX('Both teabags AfterWet'!$C$3:$C$2000,MATCH(I496,'Both teabags AfterWet'!$A$3:$A$2000,0)),"")</f>
        <v>1.5786</v>
      </c>
      <c r="U496" s="194">
        <f t="shared" si="87"/>
        <v>0.48899999999999993</v>
      </c>
      <c r="V496" s="194">
        <f t="shared" si="88"/>
        <v>1.4279999999999999</v>
      </c>
      <c r="W496" s="194">
        <f>IFERROR(INDEX('Ashed teabags wet'!$K$2:$K$2000,MATCH(H496,'Ashed teabags wet'!$A$2:$A$2000,0)),"")</f>
        <v>12.14457831325316</v>
      </c>
      <c r="X496" s="233">
        <f>IFERROR(INDEX('Ashed teabags wet'!$K$2:$K$2000,MATCH(I496,'Ashed teabags wet'!$A$2:$A$2000,0)),"")</f>
        <v>3.0123456790120686</v>
      </c>
      <c r="Y496" s="194">
        <f t="shared" si="93"/>
        <v>0.42961301204819197</v>
      </c>
      <c r="Z496" s="194">
        <f t="shared" si="93"/>
        <v>1.3849837037037076</v>
      </c>
      <c r="AA496" s="194">
        <f t="shared" si="89"/>
        <v>0.74139006414842712</v>
      </c>
      <c r="AB496" s="194">
        <f t="shared" si="90"/>
        <v>0.48604194229208053</v>
      </c>
      <c r="AC496" s="194">
        <f t="shared" si="82"/>
        <v>0.75461731735056936</v>
      </c>
      <c r="AD496">
        <f t="shared" si="83"/>
        <v>44</v>
      </c>
      <c r="AE496" s="194">
        <f t="shared" si="91"/>
        <v>0.11948923497811503</v>
      </c>
      <c r="AF496" s="194">
        <f t="shared" si="92"/>
        <v>1.5975292012415872E-2</v>
      </c>
      <c r="AG496" s="245" t="str">
        <f>IF(ISNUMBER(SEARCH("C",'WetLitterbags placem_collection'!$Y203)),"YES","NO")</f>
        <v>NO</v>
      </c>
      <c r="AH496" s="245" t="str">
        <f>IF(ISNUMBER(SEARCH("H", 'WetLitterbags placem_collection'!$Y203)),"YES","NO")</f>
        <v>NO</v>
      </c>
      <c r="AI496" s="245" t="str">
        <f>IF(ISNUMBER(SEARCH("R", 'WetLitterbags placem_collection'!$Y203)),"YES","NO")</f>
        <v>NO</v>
      </c>
      <c r="AJ496" s="245" t="str">
        <f>IF(ISNUMBER(SEARCH("C", 'WetLitterbags placem_collection'!$W203)),"YES","NO")</f>
        <v>NO</v>
      </c>
      <c r="AK496" s="245" t="str">
        <f>IF(ISNUMBER(SEARCH("H", 'WetLitterbags placem_collection'!$W203)),"YES","NO")</f>
        <v>NO</v>
      </c>
      <c r="AL496" s="245" t="str">
        <f>IF(ISNUMBER(SEARCH("R", 'WetLitterbags placem_collection'!$W203)),"YES","NO")</f>
        <v>YES</v>
      </c>
    </row>
    <row r="497" spans="2:38">
      <c r="B497" t="str">
        <f>Wetseason!B643</f>
        <v>Wet</v>
      </c>
      <c r="C497" s="253">
        <f>Wetseason!C643</f>
        <v>202</v>
      </c>
      <c r="D497" t="s">
        <v>2419</v>
      </c>
      <c r="E497" t="s">
        <v>25</v>
      </c>
      <c r="F497" s="375">
        <v>2</v>
      </c>
      <c r="G497" s="16">
        <f>'WetLitterbags placem_collection'!E204</f>
        <v>42769</v>
      </c>
      <c r="H497" s="92" t="str">
        <f>Wetseason!L643</f>
        <v>G770</v>
      </c>
      <c r="I497" t="str">
        <f>Wetseason!L863</f>
        <v>R182</v>
      </c>
      <c r="J497">
        <f>IFERROR(INDEX('Green_rooibos initial weight'!$C$5:$C$2000,MATCH(H497, 'Green_rooibos initial weight'!$A$5:$A$2000,0)),"")</f>
        <v>1.958</v>
      </c>
      <c r="K497">
        <f>IFERROR(INDEX('Green_rooibos initial weight'!$C$5:$C$2000,MATCH(I497, 'Green_rooibos initial weight'!$A$5:$A$2000,0)),"")</f>
        <v>2.161</v>
      </c>
      <c r="L497" s="194">
        <f t="shared" si="84"/>
        <v>1.7081999999999999</v>
      </c>
      <c r="M497" s="194">
        <f>AVERAGE(Ashed_controlls!$K$2:$K$11)</f>
        <v>5.5147656768714146</v>
      </c>
      <c r="N497" s="194">
        <f t="shared" si="81"/>
        <v>1.6139967727076825</v>
      </c>
      <c r="O497" s="194">
        <f t="shared" si="85"/>
        <v>1.9112</v>
      </c>
      <c r="P497" s="194">
        <f>AVERAGE(Ashed_controlls!$K$12:$K$14)</f>
        <v>2.2816647271287041</v>
      </c>
      <c r="Q497" s="194">
        <f t="shared" si="86"/>
        <v>1.8675928237351163</v>
      </c>
      <c r="R497" s="16">
        <f>IF('WetLitterbags placem_collection'!G204="","",'WetLitterbags placem_collection'!G204)</f>
        <v>42814</v>
      </c>
      <c r="S497" s="194">
        <f>IFERROR(INDEX('Both teabags AfterWet'!$C$3:$C$2000,MATCH(H497,'Both teabags AfterWet'!$A$3:$A$2000,0)),"")</f>
        <v>0.98199999999999998</v>
      </c>
      <c r="T497" s="194">
        <f>IFERROR(INDEX('Both teabags AfterWet'!$C$3:$C$2000,MATCH(I497,'Both teabags AfterWet'!$A$3:$A$2000,0)),"")</f>
        <v>1.679</v>
      </c>
      <c r="U497" s="194">
        <f t="shared" si="87"/>
        <v>0.83139999999999992</v>
      </c>
      <c r="V497" s="194">
        <f t="shared" si="88"/>
        <v>1.5284</v>
      </c>
      <c r="W497" s="194">
        <f>IFERROR(INDEX('Ashed teabags wet'!$K$2:$K$2000,MATCH(H497,'Ashed teabags wet'!$A$2:$A$2000,0)),"")</f>
        <v>31.965648854961913</v>
      </c>
      <c r="X497" s="233">
        <f>IFERROR(INDEX('Ashed teabags wet'!$K$2:$K$2000,MATCH(I497,'Ashed teabags wet'!$A$2:$A$2000,0)),"")</f>
        <v>3.9234919077970858</v>
      </c>
      <c r="Y497" s="194">
        <f t="shared" si="93"/>
        <v>0.56563759541984659</v>
      </c>
      <c r="Z497" s="194">
        <f t="shared" si="93"/>
        <v>1.4684333496812294</v>
      </c>
      <c r="AA497" s="194">
        <f t="shared" si="89"/>
        <v>0.64954230083687314</v>
      </c>
      <c r="AB497" s="194">
        <f t="shared" si="90"/>
        <v>0.42582820672441096</v>
      </c>
      <c r="AC497" s="194">
        <f t="shared" si="82"/>
        <v>0.78627061049871527</v>
      </c>
      <c r="AD497">
        <f t="shared" si="83"/>
        <v>45</v>
      </c>
      <c r="AE497" s="194">
        <f t="shared" si="91"/>
        <v>0.22857208926737149</v>
      </c>
      <c r="AF497" s="194">
        <f t="shared" si="92"/>
        <v>1.5488526872991596E-2</v>
      </c>
      <c r="AG497" s="245" t="str">
        <f>IF(ISNUMBER(SEARCH("C",'WetLitterbags placem_collection'!$Y204)),"YES","NO")</f>
        <v>NO</v>
      </c>
      <c r="AH497" s="245" t="str">
        <f>IF(ISNUMBER(SEARCH("H", 'WetLitterbags placem_collection'!$Y204)),"YES","NO")</f>
        <v>NO</v>
      </c>
      <c r="AI497" s="245" t="str">
        <f>IF(ISNUMBER(SEARCH("R", 'WetLitterbags placem_collection'!$Y204)),"YES","NO")</f>
        <v>NO</v>
      </c>
      <c r="AJ497" s="245" t="str">
        <f>IF(ISNUMBER(SEARCH("C", 'WetLitterbags placem_collection'!$W204)),"YES","NO")</f>
        <v>NO</v>
      </c>
      <c r="AK497" s="245" t="str">
        <f>IF(ISNUMBER(SEARCH("H", 'WetLitterbags placem_collection'!$W204)),"YES","NO")</f>
        <v>NO</v>
      </c>
      <c r="AL497" s="245" t="str">
        <f>IF(ISNUMBER(SEARCH("R", 'WetLitterbags placem_collection'!$W204)),"YES","NO")</f>
        <v>YES</v>
      </c>
    </row>
    <row r="498" spans="2:38">
      <c r="B498" t="str">
        <f>Wetseason!B644</f>
        <v>Wet</v>
      </c>
      <c r="C498" s="253">
        <f>Wetseason!C644</f>
        <v>203</v>
      </c>
      <c r="D498" t="s">
        <v>2428</v>
      </c>
      <c r="E498" t="s">
        <v>25</v>
      </c>
      <c r="F498" s="375">
        <v>3</v>
      </c>
      <c r="G498" s="16">
        <f>'WetLitterbags placem_collection'!E205</f>
        <v>42769</v>
      </c>
      <c r="H498" s="92" t="str">
        <f>Wetseason!L644</f>
        <v>G753</v>
      </c>
      <c r="I498" t="str">
        <f>Wetseason!L864</f>
        <v>R342</v>
      </c>
      <c r="J498">
        <f>IFERROR(INDEX('Green_rooibos initial weight'!$C$5:$C$2000,MATCH(H498, 'Green_rooibos initial weight'!$A$5:$A$2000,0)),"")</f>
        <v>2.0649999999999999</v>
      </c>
      <c r="K498">
        <f>IFERROR(INDEX('Green_rooibos initial weight'!$C$5:$C$2000,MATCH(I498, 'Green_rooibos initial weight'!$A$5:$A$2000,0)),"")</f>
        <v>2.2450000000000001</v>
      </c>
      <c r="L498" s="194">
        <f t="shared" si="84"/>
        <v>1.8151999999999999</v>
      </c>
      <c r="M498" s="194">
        <f>AVERAGE(Ashed_controlls!$K$2:$K$11)</f>
        <v>5.5147656768714146</v>
      </c>
      <c r="N498" s="194">
        <f t="shared" si="81"/>
        <v>1.7150959734334301</v>
      </c>
      <c r="O498" s="194">
        <f t="shared" si="85"/>
        <v>1.9952000000000001</v>
      </c>
      <c r="P498" s="194">
        <f>AVERAGE(Ashed_controlls!$K$12:$K$14)</f>
        <v>2.2816647271287041</v>
      </c>
      <c r="Q498" s="194">
        <f t="shared" si="86"/>
        <v>1.9496762253643283</v>
      </c>
      <c r="R498" s="16">
        <f>IF('WetLitterbags placem_collection'!G205="","",'WetLitterbags placem_collection'!G205)</f>
        <v>42814</v>
      </c>
      <c r="S498" s="194">
        <f>IFERROR(INDEX('Both teabags AfterWet'!$C$3:$C$2000,MATCH(H498,'Both teabags AfterWet'!$A$3:$A$2000,0)),"")</f>
        <v>0.7681</v>
      </c>
      <c r="T498" s="194">
        <f>IFERROR(INDEX('Both teabags AfterWet'!$C$3:$C$2000,MATCH(I498,'Both teabags AfterWet'!$A$3:$A$2000,0)),"")</f>
        <v>1.5906</v>
      </c>
      <c r="U498" s="194">
        <f t="shared" si="87"/>
        <v>0.61749999999999994</v>
      </c>
      <c r="V498" s="194">
        <f t="shared" si="88"/>
        <v>1.44</v>
      </c>
      <c r="W498" s="194">
        <f>IFERROR(INDEX('Ashed teabags wet'!$K$2:$K$2000,MATCH(H498,'Ashed teabags wet'!$A$2:$A$2000,0)),"")</f>
        <v>9.4330155544412708</v>
      </c>
      <c r="X498" s="233">
        <f>IFERROR(INDEX('Ashed teabags wet'!$K$2:$K$2000,MATCH(I498,'Ashed teabags wet'!$A$2:$A$2000,0)),"")</f>
        <v>3.642714570858145</v>
      </c>
      <c r="Y498" s="194">
        <f t="shared" si="93"/>
        <v>0.55925112895132512</v>
      </c>
      <c r="Z498" s="194">
        <f t="shared" si="93"/>
        <v>1.3875449101796427</v>
      </c>
      <c r="AA498" s="194">
        <f t="shared" si="89"/>
        <v>0.67392429484178251</v>
      </c>
      <c r="AB498" s="194">
        <f t="shared" si="90"/>
        <v>0.44181260184401899</v>
      </c>
      <c r="AC498" s="194">
        <f t="shared" si="82"/>
        <v>0.7116796584624494</v>
      </c>
      <c r="AD498">
        <f t="shared" si="83"/>
        <v>45</v>
      </c>
      <c r="AE498" s="194">
        <f t="shared" si="91"/>
        <v>0.19961485173184967</v>
      </c>
      <c r="AF498" s="194">
        <f t="shared" si="92"/>
        <v>2.349412600323221E-2</v>
      </c>
      <c r="AG498" s="245" t="str">
        <f>IF(ISNUMBER(SEARCH("C",'WetLitterbags placem_collection'!$Y205)),"YES","NO")</f>
        <v>NO</v>
      </c>
      <c r="AH498" s="245" t="str">
        <f>IF(ISNUMBER(SEARCH("H", 'WetLitterbags placem_collection'!$Y205)),"YES","NO")</f>
        <v>NO</v>
      </c>
      <c r="AI498" s="245" t="str">
        <f>IF(ISNUMBER(SEARCH("R", 'WetLitterbags placem_collection'!$Y205)),"YES","NO")</f>
        <v>NO</v>
      </c>
      <c r="AJ498" s="245" t="str">
        <f>IF(ISNUMBER(SEARCH("C", 'WetLitterbags placem_collection'!$W205)),"YES","NO")</f>
        <v>NO</v>
      </c>
      <c r="AK498" s="245" t="str">
        <f>IF(ISNUMBER(SEARCH("H", 'WetLitterbags placem_collection'!$W205)),"YES","NO")</f>
        <v>YES</v>
      </c>
      <c r="AL498" s="245" t="str">
        <f>IF(ISNUMBER(SEARCH("R", 'WetLitterbags placem_collection'!$W205)),"YES","NO")</f>
        <v>NO</v>
      </c>
    </row>
    <row r="499" spans="2:38">
      <c r="B499" t="str">
        <f>Wetseason!B645</f>
        <v>Wet</v>
      </c>
      <c r="C499" s="253">
        <f>Wetseason!C645</f>
        <v>204</v>
      </c>
      <c r="D499" t="s">
        <v>2435</v>
      </c>
      <c r="E499" t="s">
        <v>25</v>
      </c>
      <c r="F499" s="375">
        <v>4</v>
      </c>
      <c r="G499" s="16">
        <f>'WetLitterbags placem_collection'!E206</f>
        <v>42769</v>
      </c>
      <c r="H499" s="92" t="str">
        <f>Wetseason!L645</f>
        <v>G640</v>
      </c>
      <c r="I499" t="str">
        <f>Wetseason!L865</f>
        <v>R139</v>
      </c>
      <c r="J499">
        <f>IFERROR(INDEX('Green_rooibos initial weight'!$C$5:$C$2000,MATCH(H499, 'Green_rooibos initial weight'!$A$5:$A$2000,0)),"")</f>
        <v>2.0640000000000001</v>
      </c>
      <c r="K499">
        <f>IFERROR(INDEX('Green_rooibos initial weight'!$C$5:$C$2000,MATCH(I499, 'Green_rooibos initial weight'!$A$5:$A$2000,0)),"")</f>
        <v>2.2829999999999999</v>
      </c>
      <c r="L499" s="194">
        <f t="shared" si="84"/>
        <v>1.8142</v>
      </c>
      <c r="M499" s="194">
        <f>AVERAGE(Ashed_controlls!$K$2:$K$11)</f>
        <v>5.5147656768714146</v>
      </c>
      <c r="N499" s="194">
        <f t="shared" si="81"/>
        <v>1.7141511210901987</v>
      </c>
      <c r="O499" s="194">
        <f t="shared" si="85"/>
        <v>2.0331999999999999</v>
      </c>
      <c r="P499" s="194">
        <f>AVERAGE(Ashed_controlls!$K$12:$K$14)</f>
        <v>2.2816647271287041</v>
      </c>
      <c r="Q499" s="194">
        <f t="shared" si="86"/>
        <v>1.9868091927680191</v>
      </c>
      <c r="R499" s="16">
        <f>IF('WetLitterbags placem_collection'!G206="","",'WetLitterbags placem_collection'!G206)</f>
        <v>42813</v>
      </c>
      <c r="S499" s="194">
        <f>IFERROR(INDEX('Both teabags AfterWet'!$C$3:$C$2000,MATCH(H499,'Both teabags AfterWet'!$A$3:$A$2000,0)),"")</f>
        <v>0.72450000000000003</v>
      </c>
      <c r="T499" s="194">
        <f>IFERROR(INDEX('Both teabags AfterWet'!$C$3:$C$2000,MATCH(I499,'Both teabags AfterWet'!$A$3:$A$2000,0)),"")</f>
        <v>1.6255999999999999</v>
      </c>
      <c r="U499" s="194">
        <f t="shared" si="87"/>
        <v>0.57390000000000008</v>
      </c>
      <c r="V499" s="194">
        <f t="shared" si="88"/>
        <v>1.4749999999999999</v>
      </c>
      <c r="W499" s="194">
        <f>IFERROR(INDEX('Ashed teabags wet'!$K$2:$K$2000,MATCH(H499,'Ashed teabags wet'!$A$2:$A$2000,0)),"")</f>
        <v>11.573849878934253</v>
      </c>
      <c r="X499" s="233">
        <f>IFERROR(INDEX('Ashed teabags wet'!$K$2:$K$2000,MATCH(I499,'Ashed teabags wet'!$A$2:$A$2000,0)),"")</f>
        <v>2.9484029484021739</v>
      </c>
      <c r="Y499" s="194">
        <f t="shared" si="93"/>
        <v>0.50747767554479639</v>
      </c>
      <c r="Z499" s="194">
        <f t="shared" si="93"/>
        <v>1.4315110565110678</v>
      </c>
      <c r="AA499" s="194">
        <f t="shared" si="89"/>
        <v>0.70394811209991737</v>
      </c>
      <c r="AB499" s="194">
        <f t="shared" si="90"/>
        <v>0.46149567444080097</v>
      </c>
      <c r="AC499" s="194">
        <f t="shared" si="82"/>
        <v>0.7205075664647439</v>
      </c>
      <c r="AD499">
        <f t="shared" si="83"/>
        <v>44</v>
      </c>
      <c r="AE499" s="194">
        <f t="shared" si="91"/>
        <v>0.16395711152028813</v>
      </c>
      <c r="AF499" s="194">
        <f t="shared" si="92"/>
        <v>2.1146549704122924E-2</v>
      </c>
      <c r="AG499" s="245" t="str">
        <f>IF(ISNUMBER(SEARCH("C",'WetLitterbags placem_collection'!$Y206)),"YES","NO")</f>
        <v>NO</v>
      </c>
      <c r="AH499" s="245" t="str">
        <f>IF(ISNUMBER(SEARCH("H", 'WetLitterbags placem_collection'!$Y206)),"YES","NO")</f>
        <v>NO</v>
      </c>
      <c r="AI499" s="245" t="str">
        <f>IF(ISNUMBER(SEARCH("R", 'WetLitterbags placem_collection'!$Y206)),"YES","NO")</f>
        <v>NO</v>
      </c>
      <c r="AJ499" s="245" t="str">
        <f>IF(ISNUMBER(SEARCH("C", 'WetLitterbags placem_collection'!$W206)),"YES","NO")</f>
        <v>NO</v>
      </c>
      <c r="AK499" s="245" t="str">
        <f>IF(ISNUMBER(SEARCH("H", 'WetLitterbags placem_collection'!$W206)),"YES","NO")</f>
        <v>NO</v>
      </c>
      <c r="AL499" s="245" t="str">
        <f>IF(ISNUMBER(SEARCH("R", 'WetLitterbags placem_collection'!$W206)),"YES","NO")</f>
        <v>YES</v>
      </c>
    </row>
    <row r="500" spans="2:38">
      <c r="B500" t="str">
        <f>Wetseason!B646</f>
        <v>Wet</v>
      </c>
      <c r="C500" s="253">
        <f>Wetseason!C646</f>
        <v>205</v>
      </c>
      <c r="D500" t="s">
        <v>2429</v>
      </c>
      <c r="E500" t="s">
        <v>25</v>
      </c>
      <c r="F500" s="375">
        <v>1</v>
      </c>
      <c r="G500" s="16">
        <f>'WetLitterbags placem_collection'!E207</f>
        <v>42769</v>
      </c>
      <c r="H500" s="92" t="str">
        <f>Wetseason!L646</f>
        <v>G668</v>
      </c>
      <c r="I500" t="str">
        <f>Wetseason!L866</f>
        <v>R92</v>
      </c>
      <c r="J500">
        <f>IFERROR(INDEX('Green_rooibos initial weight'!$C$5:$C$2000,MATCH(H500, 'Green_rooibos initial weight'!$A$5:$A$2000,0)),"")</f>
        <v>2.0299999999999998</v>
      </c>
      <c r="K500">
        <f>IFERROR(INDEX('Green_rooibos initial weight'!$C$5:$C$2000,MATCH(I500, 'Green_rooibos initial weight'!$A$5:$A$2000,0)),"")</f>
        <v>2.246</v>
      </c>
      <c r="L500" s="194">
        <f t="shared" si="84"/>
        <v>1.7801999999999998</v>
      </c>
      <c r="M500" s="194">
        <f>AVERAGE(Ashed_controlls!$K$2:$K$11)</f>
        <v>5.5147656768714146</v>
      </c>
      <c r="N500" s="194">
        <f t="shared" si="81"/>
        <v>1.6820261414203348</v>
      </c>
      <c r="O500" s="194">
        <f t="shared" si="85"/>
        <v>1.9962</v>
      </c>
      <c r="P500" s="194">
        <f>AVERAGE(Ashed_controlls!$K$12:$K$14)</f>
        <v>2.2816647271287041</v>
      </c>
      <c r="Q500" s="194">
        <f t="shared" si="86"/>
        <v>1.9506534087170568</v>
      </c>
      <c r="R500" s="16">
        <f>IF('WetLitterbags placem_collection'!G207="","",'WetLitterbags placem_collection'!G207)</f>
        <v>42814</v>
      </c>
      <c r="S500" s="194">
        <f>IFERROR(INDEX('Both teabags AfterWet'!$C$3:$C$2000,MATCH(H500,'Both teabags AfterWet'!$A$3:$A$2000,0)),"")</f>
        <v>0.71</v>
      </c>
      <c r="T500" s="194">
        <f>IFERROR(INDEX('Both teabags AfterWet'!$C$3:$C$2000,MATCH(I500,'Both teabags AfterWet'!$A$3:$A$2000,0)),"")</f>
        <v>1.7204999999999999</v>
      </c>
      <c r="U500" s="194">
        <f t="shared" si="87"/>
        <v>0.5593999999999999</v>
      </c>
      <c r="V500" s="194">
        <f t="shared" si="88"/>
        <v>1.5698999999999999</v>
      </c>
      <c r="W500" s="194">
        <f>IFERROR(INDEX('Ashed teabags wet'!$K$2:$K$2000,MATCH(H500,'Ashed teabags wet'!$A$2:$A$2000,0)),"")</f>
        <v>17.813567593948214</v>
      </c>
      <c r="X500" s="233">
        <f>IFERROR(INDEX('Ashed teabags wet'!$K$2:$K$2000,MATCH(I500,'Ashed teabags wet'!$A$2:$A$2000,0)),"")</f>
        <v>4.6821094135039614</v>
      </c>
      <c r="Y500" s="194">
        <f t="shared" si="93"/>
        <v>0.45975090287945358</v>
      </c>
      <c r="Z500" s="194">
        <f t="shared" si="93"/>
        <v>1.4963955643174012</v>
      </c>
      <c r="AA500" s="194">
        <f t="shared" si="89"/>
        <v>0.72666839619315837</v>
      </c>
      <c r="AB500" s="194">
        <f t="shared" si="90"/>
        <v>0.47639068253993289</v>
      </c>
      <c r="AC500" s="194">
        <f t="shared" si="82"/>
        <v>0.76712529126411</v>
      </c>
      <c r="AD500">
        <f t="shared" si="83"/>
        <v>45</v>
      </c>
      <c r="AE500" s="194">
        <f t="shared" si="91"/>
        <v>0.13697340119577384</v>
      </c>
      <c r="AF500" s="194">
        <f t="shared" si="92"/>
        <v>1.4912349733785052E-2</v>
      </c>
      <c r="AG500" s="245" t="str">
        <f>IF(ISNUMBER(SEARCH("C",'WetLitterbags placem_collection'!$Y207)),"YES","NO")</f>
        <v>NO</v>
      </c>
      <c r="AH500" s="245" t="str">
        <f>IF(ISNUMBER(SEARCH("H", 'WetLitterbags placem_collection'!$Y207)),"YES","NO")</f>
        <v>NO</v>
      </c>
      <c r="AI500" s="245" t="str">
        <f>IF(ISNUMBER(SEARCH("R", 'WetLitterbags placem_collection'!$Y207)),"YES","NO")</f>
        <v>NO</v>
      </c>
      <c r="AJ500" s="245" t="str">
        <f>IF(ISNUMBER(SEARCH("C", 'WetLitterbags placem_collection'!$W207)),"YES","NO")</f>
        <v>NO</v>
      </c>
      <c r="AK500" s="245" t="str">
        <f>IF(ISNUMBER(SEARCH("H", 'WetLitterbags placem_collection'!$W207)),"YES","NO")</f>
        <v>NO</v>
      </c>
      <c r="AL500" s="245" t="str">
        <f>IF(ISNUMBER(SEARCH("R", 'WetLitterbags placem_collection'!$W207)),"YES","NO")</f>
        <v>YES</v>
      </c>
    </row>
    <row r="501" spans="2:38">
      <c r="B501" t="str">
        <f>Wetseason!B647</f>
        <v>Wet</v>
      </c>
      <c r="C501" s="253">
        <f>Wetseason!C647</f>
        <v>206</v>
      </c>
      <c r="D501" t="s">
        <v>2420</v>
      </c>
      <c r="E501" t="s">
        <v>25</v>
      </c>
      <c r="F501" s="375">
        <v>2</v>
      </c>
      <c r="G501" s="16">
        <f>'WetLitterbags placem_collection'!E208</f>
        <v>42769</v>
      </c>
      <c r="H501" s="92" t="str">
        <f>Wetseason!L647</f>
        <v>G891</v>
      </c>
      <c r="I501" t="str">
        <f>Wetseason!L867</f>
        <v>R328</v>
      </c>
      <c r="J501">
        <f>IFERROR(INDEX('Green_rooibos initial weight'!$C$5:$C$2000,MATCH(H501, 'Green_rooibos initial weight'!$A$5:$A$2000,0)),"")</f>
        <v>2.0169999999999999</v>
      </c>
      <c r="K501">
        <f>IFERROR(INDEX('Green_rooibos initial weight'!$C$5:$C$2000,MATCH(I501, 'Green_rooibos initial weight'!$A$5:$A$2000,0)),"")</f>
        <v>2.2549999999999999</v>
      </c>
      <c r="L501" s="194">
        <f t="shared" si="84"/>
        <v>1.7671999999999999</v>
      </c>
      <c r="M501" s="194">
        <f>AVERAGE(Ashed_controlls!$K$2:$K$11)</f>
        <v>5.5147656768714146</v>
      </c>
      <c r="N501" s="194">
        <f t="shared" si="81"/>
        <v>1.6697430609583281</v>
      </c>
      <c r="O501" s="194">
        <f t="shared" si="85"/>
        <v>2.0051999999999999</v>
      </c>
      <c r="P501" s="194">
        <f>AVERAGE(Ashed_controlls!$K$12:$K$14)</f>
        <v>2.2816647271287041</v>
      </c>
      <c r="Q501" s="194">
        <f t="shared" si="86"/>
        <v>1.959448058891615</v>
      </c>
      <c r="R501" s="16">
        <f>IF('WetLitterbags placem_collection'!G208="","",'WetLitterbags placem_collection'!G208)</f>
        <v>42814</v>
      </c>
      <c r="S501" s="194">
        <f>IFERROR(INDEX('Both teabags AfterWet'!$C$3:$C$2000,MATCH(H501,'Both teabags AfterWet'!$A$3:$A$2000,0)),"")</f>
        <v>0.70199999999999996</v>
      </c>
      <c r="T501" s="194">
        <f>IFERROR(INDEX('Both teabags AfterWet'!$C$3:$C$2000,MATCH(I501,'Both teabags AfterWet'!$A$3:$A$2000,0)),"")</f>
        <v>1.609</v>
      </c>
      <c r="U501" s="194">
        <f t="shared" si="87"/>
        <v>0.55139999999999989</v>
      </c>
      <c r="V501" s="194">
        <f t="shared" si="88"/>
        <v>1.4583999999999999</v>
      </c>
      <c r="W501" s="194">
        <f>IFERROR(INDEX('Ashed teabags wet'!$K$2:$K$2000,MATCH(H501,'Ashed teabags wet'!$A$2:$A$2000,0)),"")</f>
        <v>13.415841584158834</v>
      </c>
      <c r="X501" s="233">
        <f>IFERROR(INDEX('Ashed teabags wet'!$K$2:$K$2000,MATCH(I501,'Ashed teabags wet'!$A$2:$A$2000,0)),"")</f>
        <v>5.8794708476237458</v>
      </c>
      <c r="Y501" s="194">
        <f t="shared" si="93"/>
        <v>0.47742504950494813</v>
      </c>
      <c r="Z501" s="194">
        <f t="shared" si="93"/>
        <v>1.3726537971582553</v>
      </c>
      <c r="AA501" s="194">
        <f t="shared" si="89"/>
        <v>0.71407274528157882</v>
      </c>
      <c r="AB501" s="194">
        <f t="shared" si="90"/>
        <v>0.46813320118222274</v>
      </c>
      <c r="AC501" s="194">
        <f t="shared" si="82"/>
        <v>0.70053084128941556</v>
      </c>
      <c r="AD501">
        <f t="shared" si="83"/>
        <v>45</v>
      </c>
      <c r="AE501" s="194">
        <f t="shared" si="91"/>
        <v>0.15193260655394436</v>
      </c>
      <c r="AF501" s="194">
        <f t="shared" si="92"/>
        <v>2.2685423362280244E-2</v>
      </c>
      <c r="AG501" s="245" t="str">
        <f>IF(ISNUMBER(SEARCH("C",'WetLitterbags placem_collection'!$Y208)),"YES","NO")</f>
        <v>NO</v>
      </c>
      <c r="AH501" s="245" t="str">
        <f>IF(ISNUMBER(SEARCH("H", 'WetLitterbags placem_collection'!$Y208)),"YES","NO")</f>
        <v>NO</v>
      </c>
      <c r="AI501" s="245" t="str">
        <f>IF(ISNUMBER(SEARCH("R", 'WetLitterbags placem_collection'!$Y208)),"YES","NO")</f>
        <v>YES</v>
      </c>
      <c r="AJ501" s="245" t="str">
        <f>IF(ISNUMBER(SEARCH("C", 'WetLitterbags placem_collection'!$W208)),"YES","NO")</f>
        <v>NO</v>
      </c>
      <c r="AK501" s="245" t="str">
        <f>IF(ISNUMBER(SEARCH("H", 'WetLitterbags placem_collection'!$W208)),"YES","NO")</f>
        <v>NO</v>
      </c>
      <c r="AL501" s="245" t="str">
        <f>IF(ISNUMBER(SEARCH("R", 'WetLitterbags placem_collection'!$W208)),"YES","NO")</f>
        <v>NO</v>
      </c>
    </row>
    <row r="502" spans="2:38">
      <c r="B502" t="str">
        <f>Wetseason!B648</f>
        <v>Wet</v>
      </c>
      <c r="C502" s="253">
        <f>Wetseason!C648</f>
        <v>207</v>
      </c>
      <c r="D502" t="s">
        <v>2443</v>
      </c>
      <c r="E502" t="s">
        <v>25</v>
      </c>
      <c r="F502" s="375">
        <v>3</v>
      </c>
      <c r="G502" s="16">
        <f>'WetLitterbags placem_collection'!E209</f>
        <v>42769</v>
      </c>
      <c r="H502" s="92" t="str">
        <f>Wetseason!L648</f>
        <v>G540</v>
      </c>
      <c r="I502" t="str">
        <f>Wetseason!L868</f>
        <v>R149</v>
      </c>
      <c r="J502">
        <f>IFERROR(INDEX('Green_rooibos initial weight'!$C$5:$C$2000,MATCH(H502, 'Green_rooibos initial weight'!$A$5:$A$2000,0)),"")</f>
        <v>2.0830000000000002</v>
      </c>
      <c r="K502">
        <f>IFERROR(INDEX('Green_rooibos initial weight'!$C$5:$C$2000,MATCH(I502, 'Green_rooibos initial weight'!$A$5:$A$2000,0)),"")</f>
        <v>2.2400000000000002</v>
      </c>
      <c r="L502" s="194">
        <f t="shared" si="84"/>
        <v>1.8332000000000002</v>
      </c>
      <c r="M502" s="194">
        <f>AVERAGE(Ashed_controlls!$K$2:$K$11)</f>
        <v>5.5147656768714146</v>
      </c>
      <c r="N502" s="194">
        <f t="shared" si="81"/>
        <v>1.7321033156115935</v>
      </c>
      <c r="O502" s="194">
        <f t="shared" si="85"/>
        <v>1.9902000000000002</v>
      </c>
      <c r="P502" s="194">
        <f>AVERAGE(Ashed_controlls!$K$12:$K$14)</f>
        <v>2.2816647271287041</v>
      </c>
      <c r="Q502" s="194">
        <f t="shared" si="86"/>
        <v>1.9447903086006848</v>
      </c>
      <c r="R502" s="16">
        <f>IF('WetLitterbags placem_collection'!G209="","",'WetLitterbags placem_collection'!G209)</f>
        <v>42813</v>
      </c>
      <c r="S502" s="194">
        <f>IFERROR(INDEX('Both teabags AfterWet'!$C$3:$C$2000,MATCH(H502,'Both teabags AfterWet'!$A$3:$A$2000,0)),"")</f>
        <v>0.73299999999999998</v>
      </c>
      <c r="T502" s="194">
        <f>IFERROR(INDEX('Both teabags AfterWet'!$C$3:$C$2000,MATCH(I502,'Both teabags AfterWet'!$A$3:$A$2000,0)),"")</f>
        <v>1.401</v>
      </c>
      <c r="U502" s="194">
        <f t="shared" si="87"/>
        <v>0.58240000000000003</v>
      </c>
      <c r="V502" s="194">
        <f t="shared" si="88"/>
        <v>1.2504</v>
      </c>
      <c r="W502" s="194">
        <f>IFERROR(INDEX('Ashed teabags wet'!$K$2:$K$2000,MATCH(H502,'Ashed teabags wet'!$A$2:$A$2000,0)),"")</f>
        <v>21.550000000000765</v>
      </c>
      <c r="X502" s="233">
        <f>IFERROR(INDEX('Ashed teabags wet'!$K$2:$K$2000,MATCH(I502,'Ashed teabags wet'!$A$2:$A$2000,0)),"")</f>
        <v>9.4146341463411449</v>
      </c>
      <c r="Y502" s="194">
        <f t="shared" si="93"/>
        <v>0.45689279999999555</v>
      </c>
      <c r="Z502" s="194">
        <f t="shared" si="93"/>
        <v>1.1326794146341503</v>
      </c>
      <c r="AA502" s="194">
        <f t="shared" si="89"/>
        <v>0.73622081553566576</v>
      </c>
      <c r="AB502" s="194">
        <f t="shared" si="90"/>
        <v>0.48265307621815629</v>
      </c>
      <c r="AC502" s="194">
        <f t="shared" si="82"/>
        <v>0.58241724551226071</v>
      </c>
      <c r="AD502">
        <f t="shared" si="83"/>
        <v>44</v>
      </c>
      <c r="AE502" s="194">
        <f t="shared" si="91"/>
        <v>0.12562848511203584</v>
      </c>
      <c r="AF502" s="194">
        <f t="shared" si="92"/>
        <v>4.5541581113769831E-2</v>
      </c>
      <c r="AG502" s="245" t="str">
        <f>IF(ISNUMBER(SEARCH("C",'WetLitterbags placem_collection'!$Y209)),"YES","NO")</f>
        <v>NO</v>
      </c>
      <c r="AH502" s="245" t="str">
        <f>IF(ISNUMBER(SEARCH("H", 'WetLitterbags placem_collection'!$Y209)),"YES","NO")</f>
        <v>NO</v>
      </c>
      <c r="AI502" s="245" t="str">
        <f>IF(ISNUMBER(SEARCH("R", 'WetLitterbags placem_collection'!$Y209)),"YES","NO")</f>
        <v>NO</v>
      </c>
      <c r="AJ502" s="245" t="str">
        <f>IF(ISNUMBER(SEARCH("C", 'WetLitterbags placem_collection'!$W209)),"YES","NO")</f>
        <v>YES</v>
      </c>
      <c r="AK502" s="245" t="str">
        <f>IF(ISNUMBER(SEARCH("H", 'WetLitterbags placem_collection'!$W209)),"YES","NO")</f>
        <v>YES</v>
      </c>
      <c r="AL502" s="245" t="str">
        <f>IF(ISNUMBER(SEARCH("R", 'WetLitterbags placem_collection'!$W209)),"YES","NO")</f>
        <v>NO</v>
      </c>
    </row>
    <row r="503" spans="2:38">
      <c r="B503" t="str">
        <f>Wetseason!B649</f>
        <v>Wet</v>
      </c>
      <c r="C503" s="253">
        <f>Wetseason!C649</f>
        <v>208</v>
      </c>
      <c r="D503" t="s">
        <v>2436</v>
      </c>
      <c r="E503" t="s">
        <v>25</v>
      </c>
      <c r="F503" s="375">
        <v>4</v>
      </c>
      <c r="G503" s="16">
        <f>'WetLitterbags placem_collection'!E210</f>
        <v>42769</v>
      </c>
      <c r="H503" s="92" t="str">
        <f>Wetseason!L649</f>
        <v>G508</v>
      </c>
      <c r="I503" t="str">
        <f>Wetseason!L869</f>
        <v>R449</v>
      </c>
      <c r="J503">
        <f>IFERROR(INDEX('Green_rooibos initial weight'!$C$5:$C$2000,MATCH(H503, 'Green_rooibos initial weight'!$A$5:$A$2000,0)),"")</f>
        <v>1.9910000000000001</v>
      </c>
      <c r="K503">
        <f>IFERROR(INDEX('Green_rooibos initial weight'!$C$5:$C$2000,MATCH(I503, 'Green_rooibos initial weight'!$A$5:$A$2000,0)),"")</f>
        <v>2.2709999999999999</v>
      </c>
      <c r="L503" s="194">
        <f t="shared" si="84"/>
        <v>1.7412000000000001</v>
      </c>
      <c r="M503" s="194">
        <f>AVERAGE(Ashed_controlls!$K$2:$K$11)</f>
        <v>5.5147656768714146</v>
      </c>
      <c r="N503" s="194">
        <f t="shared" si="81"/>
        <v>1.645176900034315</v>
      </c>
      <c r="O503" s="194">
        <f t="shared" si="85"/>
        <v>2.0211999999999999</v>
      </c>
      <c r="P503" s="194">
        <f>AVERAGE(Ashed_controlls!$K$12:$K$14)</f>
        <v>2.2816647271287041</v>
      </c>
      <c r="Q503" s="194">
        <f t="shared" si="86"/>
        <v>1.9750829925352744</v>
      </c>
      <c r="R503" s="16">
        <f>IF('WetLitterbags placem_collection'!G210="","",'WetLitterbags placem_collection'!G210)</f>
        <v>42813</v>
      </c>
      <c r="S503" s="194">
        <f>IFERROR(INDEX('Both teabags AfterWet'!$C$3:$C$2000,MATCH(H503,'Both teabags AfterWet'!$A$3:$A$2000,0)),"")</f>
        <v>0.84599999999999997</v>
      </c>
      <c r="T503" s="194">
        <f>IFERROR(INDEX('Both teabags AfterWet'!$C$3:$C$2000,MATCH(I503,'Both teabags AfterWet'!$A$3:$A$2000,0)),"")</f>
        <v>1.611</v>
      </c>
      <c r="U503" s="194">
        <f t="shared" si="87"/>
        <v>0.69540000000000002</v>
      </c>
      <c r="V503" s="194">
        <f t="shared" si="88"/>
        <v>1.4603999999999999</v>
      </c>
      <c r="W503" s="194">
        <f>IFERROR(INDEX('Ashed teabags wet'!$K$2:$K$2000,MATCH(H503,'Ashed teabags wet'!$A$2:$A$2000,0)),"")</f>
        <v>12.276341948309753</v>
      </c>
      <c r="X503" s="233">
        <f>IFERROR(INDEX('Ashed teabags wet'!$K$2:$K$2000,MATCH(I503,'Ashed teabags wet'!$A$2:$A$2000,0)),"")</f>
        <v>7.5425790754251629</v>
      </c>
      <c r="Y503" s="194">
        <f t="shared" si="93"/>
        <v>0.61003031809145403</v>
      </c>
      <c r="Z503" s="194">
        <f t="shared" si="93"/>
        <v>1.3502481751824909</v>
      </c>
      <c r="AA503" s="194">
        <f t="shared" si="89"/>
        <v>0.62920077586870438</v>
      </c>
      <c r="AB503" s="194">
        <f t="shared" si="90"/>
        <v>0.41249267016570651</v>
      </c>
      <c r="AC503" s="194">
        <f t="shared" si="82"/>
        <v>0.68364123446239222</v>
      </c>
      <c r="AD503">
        <f t="shared" si="83"/>
        <v>44</v>
      </c>
      <c r="AE503" s="194">
        <f t="shared" si="91"/>
        <v>0.2527306699896622</v>
      </c>
      <c r="AF503" s="194">
        <f t="shared" si="92"/>
        <v>3.3101735837800746E-2</v>
      </c>
      <c r="AG503" s="245" t="str">
        <f>IF(ISNUMBER(SEARCH("C",'WetLitterbags placem_collection'!$Y210)),"YES","NO")</f>
        <v>NO</v>
      </c>
      <c r="AH503" s="245" t="str">
        <f>IF(ISNUMBER(SEARCH("H", 'WetLitterbags placem_collection'!$Y210)),"YES","NO")</f>
        <v>NO</v>
      </c>
      <c r="AI503" s="245" t="str">
        <f>IF(ISNUMBER(SEARCH("R", 'WetLitterbags placem_collection'!$Y210)),"YES","NO")</f>
        <v>YES</v>
      </c>
      <c r="AJ503" s="245" t="str">
        <f>IF(ISNUMBER(SEARCH("C", 'WetLitterbags placem_collection'!$W210)),"YES","NO")</f>
        <v>NO</v>
      </c>
      <c r="AK503" s="245" t="str">
        <f>IF(ISNUMBER(SEARCH("H", 'WetLitterbags placem_collection'!$W210)),"YES","NO")</f>
        <v>NO</v>
      </c>
      <c r="AL503" s="245" t="str">
        <f>IF(ISNUMBER(SEARCH("R", 'WetLitterbags placem_collection'!$W210)),"YES","NO")</f>
        <v>YES</v>
      </c>
    </row>
    <row r="504" spans="2:38">
      <c r="B504" t="str">
        <f>Wetseason!B650</f>
        <v>Wet</v>
      </c>
      <c r="C504" s="253">
        <f>Wetseason!C650</f>
        <v>209</v>
      </c>
      <c r="D504" t="s">
        <v>2430</v>
      </c>
      <c r="E504" t="s">
        <v>25</v>
      </c>
      <c r="F504" s="375">
        <v>1</v>
      </c>
      <c r="G504" s="16">
        <f>'WetLitterbags placem_collection'!E211</f>
        <v>42769</v>
      </c>
      <c r="H504" s="92" t="str">
        <f>Wetseason!L650</f>
        <v>G637</v>
      </c>
      <c r="I504" t="str">
        <f>Wetseason!L870</f>
        <v>R142</v>
      </c>
      <c r="J504">
        <f>IFERROR(INDEX('Green_rooibos initial weight'!$C$5:$C$2000,MATCH(H504, 'Green_rooibos initial weight'!$A$5:$A$2000,0)),"")</f>
        <v>2.1110000000000002</v>
      </c>
      <c r="K504">
        <f>IFERROR(INDEX('Green_rooibos initial weight'!$C$5:$C$2000,MATCH(I504, 'Green_rooibos initial weight'!$A$5:$A$2000,0)),"")</f>
        <v>2.0870000000000002</v>
      </c>
      <c r="L504" s="194">
        <f t="shared" si="84"/>
        <v>1.8612000000000002</v>
      </c>
      <c r="M504" s="194">
        <f>AVERAGE(Ashed_controlls!$K$2:$K$11)</f>
        <v>5.5147656768714146</v>
      </c>
      <c r="N504" s="194">
        <f t="shared" si="81"/>
        <v>1.7585591812220693</v>
      </c>
      <c r="O504" s="194">
        <f t="shared" si="85"/>
        <v>1.8372000000000002</v>
      </c>
      <c r="P504" s="194">
        <f>AVERAGE(Ashed_controlls!$K$12:$K$14)</f>
        <v>2.2816647271287041</v>
      </c>
      <c r="Q504" s="194">
        <f t="shared" si="86"/>
        <v>1.7952812556331916</v>
      </c>
      <c r="R504" s="16">
        <f>IF('WetLitterbags placem_collection'!G211="","",'WetLitterbags placem_collection'!G211)</f>
        <v>42814</v>
      </c>
      <c r="S504" s="194">
        <f>IFERROR(INDEX('Both teabags AfterWet'!$C$3:$C$2000,MATCH(H504,'Both teabags AfterWet'!$A$3:$A$2000,0)),"")</f>
        <v>0.86399999999999999</v>
      </c>
      <c r="T504" s="194">
        <f>IFERROR(INDEX('Both teabags AfterWet'!$C$3:$C$2000,MATCH(I504,'Both teabags AfterWet'!$A$3:$A$2000,0)),"")</f>
        <v>1.5780000000000001</v>
      </c>
      <c r="U504" s="194">
        <f t="shared" si="87"/>
        <v>0.71340000000000003</v>
      </c>
      <c r="V504" s="194">
        <f t="shared" si="88"/>
        <v>1.4274</v>
      </c>
      <c r="W504" s="194">
        <f>IFERROR(INDEX('Ashed teabags wet'!$K$2:$K$2000,MATCH(H504,'Ashed teabags wet'!$A$2:$A$2000,0)),"")</f>
        <v>17.471937530502561</v>
      </c>
      <c r="X504" s="233">
        <f>IFERROR(INDEX('Ashed teabags wet'!$K$2:$K$2000,MATCH(I504,'Ashed teabags wet'!$A$2:$A$2000,0)),"")</f>
        <v>6.2620423892102917</v>
      </c>
      <c r="Y504" s="194">
        <f t="shared" si="93"/>
        <v>0.5887551976573947</v>
      </c>
      <c r="Z504" s="194">
        <f t="shared" si="93"/>
        <v>1.3380156069364122</v>
      </c>
      <c r="AA504" s="194">
        <f t="shared" si="89"/>
        <v>0.66520592315337768</v>
      </c>
      <c r="AB504" s="194">
        <f t="shared" si="90"/>
        <v>0.43609699475138308</v>
      </c>
      <c r="AC504" s="194">
        <f t="shared" si="82"/>
        <v>0.74529581520333821</v>
      </c>
      <c r="AD504">
        <f t="shared" si="83"/>
        <v>45</v>
      </c>
      <c r="AE504" s="194">
        <f t="shared" si="91"/>
        <v>0.2099692124069148</v>
      </c>
      <c r="AF504" s="194">
        <f t="shared" si="92"/>
        <v>1.9493328514461269E-2</v>
      </c>
      <c r="AG504" s="245" t="str">
        <f>IF(ISNUMBER(SEARCH("C",'WetLitterbags placem_collection'!$Y211)),"YES","NO")</f>
        <v>NO</v>
      </c>
      <c r="AH504" s="245" t="str">
        <f>IF(ISNUMBER(SEARCH("H", 'WetLitterbags placem_collection'!$Y211)),"YES","NO")</f>
        <v>NO</v>
      </c>
      <c r="AI504" s="245" t="str">
        <f>IF(ISNUMBER(SEARCH("R", 'WetLitterbags placem_collection'!$Y211)),"YES","NO")</f>
        <v>YES</v>
      </c>
      <c r="AJ504" s="245" t="str">
        <f>IF(ISNUMBER(SEARCH("C", 'WetLitterbags placem_collection'!$W211)),"YES","NO")</f>
        <v>NO</v>
      </c>
      <c r="AK504" s="245" t="str">
        <f>IF(ISNUMBER(SEARCH("H", 'WetLitterbags placem_collection'!$W211)),"YES","NO")</f>
        <v>NO</v>
      </c>
      <c r="AL504" s="245" t="str">
        <f>IF(ISNUMBER(SEARCH("R", 'WetLitterbags placem_collection'!$W211)),"YES","NO")</f>
        <v>YES</v>
      </c>
    </row>
    <row r="505" spans="2:38">
      <c r="B505" t="str">
        <f>Wetseason!B651</f>
        <v>Wet</v>
      </c>
      <c r="C505" s="253">
        <f>Wetseason!C651</f>
        <v>210</v>
      </c>
      <c r="D505" t="s">
        <v>2444</v>
      </c>
      <c r="E505" t="s">
        <v>25</v>
      </c>
      <c r="F505" s="375">
        <v>2</v>
      </c>
      <c r="G505" s="16">
        <f>'WetLitterbags placem_collection'!E212</f>
        <v>42769</v>
      </c>
      <c r="H505" s="92" t="str">
        <f>Wetseason!L651</f>
        <v>G720</v>
      </c>
      <c r="I505" t="str">
        <f>Wetseason!L871</f>
        <v>R392</v>
      </c>
      <c r="J505">
        <f>IFERROR(INDEX('Green_rooibos initial weight'!$C$5:$C$2000,MATCH(H505, 'Green_rooibos initial weight'!$A$5:$A$2000,0)),"")</f>
        <v>2.0350000000000001</v>
      </c>
      <c r="K505">
        <f>IFERROR(INDEX('Green_rooibos initial weight'!$C$5:$C$2000,MATCH(I505, 'Green_rooibos initial weight'!$A$5:$A$2000,0)),"")</f>
        <v>2.2309999999999999</v>
      </c>
      <c r="L505" s="194">
        <f t="shared" si="84"/>
        <v>1.7852000000000001</v>
      </c>
      <c r="M505" s="194">
        <f>AVERAGE(Ashed_controlls!$K$2:$K$11)</f>
        <v>5.5147656768714146</v>
      </c>
      <c r="N505" s="194">
        <f t="shared" si="81"/>
        <v>1.6867504031364917</v>
      </c>
      <c r="O505" s="194">
        <f t="shared" si="85"/>
        <v>1.9811999999999999</v>
      </c>
      <c r="P505" s="194">
        <f>AVERAGE(Ashed_controlls!$K$12:$K$14)</f>
        <v>2.2816647271287041</v>
      </c>
      <c r="Q505" s="194">
        <f t="shared" si="86"/>
        <v>1.935995658426126</v>
      </c>
      <c r="R505" s="16">
        <f>IF('WetLitterbags placem_collection'!G212="","",'WetLitterbags placem_collection'!G212)</f>
        <v>42813</v>
      </c>
      <c r="S505" s="194">
        <f>IFERROR(INDEX('Both teabags AfterWet'!$C$3:$C$2000,MATCH(H505,'Both teabags AfterWet'!$A$3:$A$2000,0)),"")</f>
        <v>0.72160000000000002</v>
      </c>
      <c r="T505" s="194">
        <f>IFERROR(INDEX('Both teabags AfterWet'!$C$3:$C$2000,MATCH(I505,'Both teabags AfterWet'!$A$3:$A$2000,0)),"")</f>
        <v>1.6165</v>
      </c>
      <c r="U505" s="194">
        <f t="shared" si="87"/>
        <v>0.57099999999999995</v>
      </c>
      <c r="V505" s="194">
        <f t="shared" si="88"/>
        <v>1.4659</v>
      </c>
      <c r="W505" s="194">
        <f>IFERROR(INDEX('Ashed teabags wet'!$K$2:$K$2000,MATCH(H505,'Ashed teabags wet'!$A$2:$A$2000,0)),"")</f>
        <v>16.057692307692367</v>
      </c>
      <c r="X505" s="233">
        <f>IFERROR(INDEX('Ashed teabags wet'!$K$2:$K$2000,MATCH(I505,'Ashed teabags wet'!$A$2:$A$2000,0)),"")</f>
        <v>8.4810733109723397</v>
      </c>
      <c r="Y505" s="194">
        <f t="shared" si="93"/>
        <v>0.47931057692307655</v>
      </c>
      <c r="Z505" s="194">
        <f t="shared" si="93"/>
        <v>1.3415759463344565</v>
      </c>
      <c r="AA505" s="194">
        <f t="shared" si="89"/>
        <v>0.71583787617195505</v>
      </c>
      <c r="AB505" s="194">
        <f t="shared" si="90"/>
        <v>0.46929038912935772</v>
      </c>
      <c r="AC505" s="194">
        <f t="shared" si="82"/>
        <v>0.6929643362036747</v>
      </c>
      <c r="AD505">
        <f t="shared" si="83"/>
        <v>44</v>
      </c>
      <c r="AE505" s="194">
        <f t="shared" si="91"/>
        <v>0.14983625157725056</v>
      </c>
      <c r="AF505" s="194">
        <f t="shared" si="92"/>
        <v>2.4137596920236825E-2</v>
      </c>
      <c r="AG505" s="245" t="str">
        <f>IF(ISNUMBER(SEARCH("C",'WetLitterbags placem_collection'!$Y212)),"YES","NO")</f>
        <v>NO</v>
      </c>
      <c r="AH505" s="245" t="str">
        <f>IF(ISNUMBER(SEARCH("H", 'WetLitterbags placem_collection'!$Y212)),"YES","NO")</f>
        <v>NO</v>
      </c>
      <c r="AI505" s="245" t="str">
        <f>IF(ISNUMBER(SEARCH("R", 'WetLitterbags placem_collection'!$Y212)),"YES","NO")</f>
        <v>NO</v>
      </c>
      <c r="AJ505" s="245" t="str">
        <f>IF(ISNUMBER(SEARCH("C", 'WetLitterbags placem_collection'!$W212)),"YES","NO")</f>
        <v>NO</v>
      </c>
      <c r="AK505" s="245" t="str">
        <f>IF(ISNUMBER(SEARCH("H", 'WetLitterbags placem_collection'!$W212)),"YES","NO")</f>
        <v>NO</v>
      </c>
      <c r="AL505" s="245" t="str">
        <f>IF(ISNUMBER(SEARCH("R", 'WetLitterbags placem_collection'!$W212)),"YES","NO")</f>
        <v>YES</v>
      </c>
    </row>
    <row r="506" spans="2:38">
      <c r="B506" t="str">
        <f>Wetseason!B652</f>
        <v>Wet</v>
      </c>
      <c r="C506" s="253">
        <f>Wetseason!C652</f>
        <v>211</v>
      </c>
      <c r="D506" t="s">
        <v>2421</v>
      </c>
      <c r="E506" t="s">
        <v>25</v>
      </c>
      <c r="F506" s="375">
        <v>3</v>
      </c>
      <c r="G506" s="16">
        <f>'WetLitterbags placem_collection'!E213</f>
        <v>42769</v>
      </c>
      <c r="H506" s="92" t="str">
        <f>Wetseason!L652</f>
        <v>G796</v>
      </c>
      <c r="I506" t="str">
        <f>Wetseason!L872</f>
        <v>R589</v>
      </c>
      <c r="J506">
        <f>IFERROR(INDEX('Green_rooibos initial weight'!$C$5:$C$2000,MATCH(H506, 'Green_rooibos initial weight'!$A$5:$A$2000,0)),"")</f>
        <v>2.1070000000000002</v>
      </c>
      <c r="K506">
        <f>IFERROR(INDEX('Green_rooibos initial weight'!$C$5:$C$2000,MATCH(I506, 'Green_rooibos initial weight'!$A$5:$A$2000,0)),"")</f>
        <v>2.157</v>
      </c>
      <c r="L506" s="194">
        <f t="shared" si="84"/>
        <v>1.8572000000000002</v>
      </c>
      <c r="M506" s="194">
        <f>AVERAGE(Ashed_controlls!$K$2:$K$11)</f>
        <v>5.5147656768714146</v>
      </c>
      <c r="N506" s="194">
        <f t="shared" si="81"/>
        <v>1.7547797718491442</v>
      </c>
      <c r="O506" s="194">
        <f t="shared" si="85"/>
        <v>1.9072</v>
      </c>
      <c r="P506" s="194">
        <f>AVERAGE(Ashed_controlls!$K$12:$K$14)</f>
        <v>2.2816647271287041</v>
      </c>
      <c r="Q506" s="194">
        <f t="shared" si="86"/>
        <v>1.8636840903242013</v>
      </c>
      <c r="R506" s="16">
        <f>IF('WetLitterbags placem_collection'!G213="","",'WetLitterbags placem_collection'!G213)</f>
        <v>42814</v>
      </c>
      <c r="S506" s="194">
        <f>IFERROR(INDEX('Both teabags AfterWet'!$C$3:$C$2000,MATCH(H506,'Both teabags AfterWet'!$A$3:$A$2000,0)),"")</f>
        <v>0.67200000000000004</v>
      </c>
      <c r="T506" s="194">
        <f>IFERROR(INDEX('Both teabags AfterWet'!$C$3:$C$2000,MATCH(I506,'Both teabags AfterWet'!$A$3:$A$2000,0)),"")</f>
        <v>1.5489999999999999</v>
      </c>
      <c r="U506" s="194">
        <f t="shared" si="87"/>
        <v>0.52140000000000009</v>
      </c>
      <c r="V506" s="194">
        <f t="shared" si="88"/>
        <v>1.3983999999999999</v>
      </c>
      <c r="W506" s="194">
        <f>IFERROR(INDEX('Ashed teabags wet'!$K$2:$K$2000,MATCH(H506,'Ashed teabags wet'!$A$2:$A$2000,0)),"")</f>
        <v>40.67127344521198</v>
      </c>
      <c r="X506" s="233">
        <f>IFERROR(INDEX('Ashed teabags wet'!$K$2:$K$2000,MATCH(I506,'Ashed teabags wet'!$A$2:$A$2000,0)),"")</f>
        <v>7.414730598121813</v>
      </c>
      <c r="Y506" s="194">
        <f t="shared" si="93"/>
        <v>0.30933998025666476</v>
      </c>
      <c r="Z506" s="194">
        <f t="shared" si="93"/>
        <v>1.2947124073158645</v>
      </c>
      <c r="AA506" s="194">
        <f t="shared" si="89"/>
        <v>0.82371578176406157</v>
      </c>
      <c r="AB506" s="194">
        <f t="shared" si="90"/>
        <v>0.54001319659591696</v>
      </c>
      <c r="AC506" s="194">
        <f t="shared" si="82"/>
        <v>0.69470593972320693</v>
      </c>
      <c r="AD506">
        <f t="shared" si="83"/>
        <v>45</v>
      </c>
      <c r="AE506" s="194">
        <f t="shared" si="91"/>
        <v>2.171522355812161E-2</v>
      </c>
      <c r="AF506" s="194">
        <f t="shared" si="92"/>
        <v>1.8515643169653335E-2</v>
      </c>
      <c r="AG506" s="245" t="str">
        <f>IF(ISNUMBER(SEARCH("C",'WetLitterbags placem_collection'!$Y213)),"YES","NO")</f>
        <v>NO</v>
      </c>
      <c r="AH506" s="245" t="str">
        <f>IF(ISNUMBER(SEARCH("H", 'WetLitterbags placem_collection'!$Y213)),"YES","NO")</f>
        <v>NO</v>
      </c>
      <c r="AI506" s="245" t="str">
        <f>IF(ISNUMBER(SEARCH("R", 'WetLitterbags placem_collection'!$Y213)),"YES","NO")</f>
        <v>YES</v>
      </c>
      <c r="AJ506" s="245" t="str">
        <f>IF(ISNUMBER(SEARCH("C", 'WetLitterbags placem_collection'!$W213)),"YES","NO")</f>
        <v>NO</v>
      </c>
      <c r="AK506" s="245" t="str">
        <f>IF(ISNUMBER(SEARCH("H", 'WetLitterbags placem_collection'!$W213)),"YES","NO")</f>
        <v>NO</v>
      </c>
      <c r="AL506" s="245" t="str">
        <f>IF(ISNUMBER(SEARCH("R", 'WetLitterbags placem_collection'!$W213)),"YES","NO")</f>
        <v>YES</v>
      </c>
    </row>
    <row r="507" spans="2:38">
      <c r="B507" t="str">
        <f>Wetseason!B653</f>
        <v>Wet</v>
      </c>
      <c r="C507" s="253">
        <f>Wetseason!C653</f>
        <v>215</v>
      </c>
      <c r="D507" t="s">
        <v>2422</v>
      </c>
      <c r="E507" t="s">
        <v>25</v>
      </c>
      <c r="F507" s="375">
        <v>3</v>
      </c>
      <c r="G507" s="16">
        <f>'WetLitterbags placem_collection'!E214</f>
        <v>42769</v>
      </c>
      <c r="H507" s="92" t="str">
        <f>Wetseason!L653</f>
        <v>G560</v>
      </c>
      <c r="I507" t="str">
        <f>Wetseason!L873</f>
        <v>R130</v>
      </c>
      <c r="J507">
        <f>IFERROR(INDEX('Green_rooibos initial weight'!$C$5:$C$2000,MATCH(H507, 'Green_rooibos initial weight'!$A$5:$A$2000,0)),"")</f>
        <v>2.1219999999999999</v>
      </c>
      <c r="K507">
        <f>IFERROR(INDEX('Green_rooibos initial weight'!$C$5:$C$2000,MATCH(I507, 'Green_rooibos initial weight'!$A$5:$A$2000,0)),"")</f>
        <v>2.2410000000000001</v>
      </c>
      <c r="L507" s="194">
        <f t="shared" si="84"/>
        <v>1.8721999999999999</v>
      </c>
      <c r="M507" s="194">
        <f>AVERAGE(Ashed_controlls!$K$2:$K$11)</f>
        <v>5.5147656768714146</v>
      </c>
      <c r="N507" s="194">
        <f t="shared" si="81"/>
        <v>1.7689525569976132</v>
      </c>
      <c r="O507" s="194">
        <f t="shared" si="85"/>
        <v>1.9912000000000001</v>
      </c>
      <c r="P507" s="194">
        <f>AVERAGE(Ashed_controlls!$K$12:$K$14)</f>
        <v>2.2816647271287041</v>
      </c>
      <c r="Q507" s="194">
        <f t="shared" si="86"/>
        <v>1.9457674919534134</v>
      </c>
      <c r="R507" s="16">
        <f>IF('WetLitterbags placem_collection'!G214="","",'WetLitterbags placem_collection'!G214)</f>
        <v>42813</v>
      </c>
      <c r="S507" s="194">
        <f>IFERROR(INDEX('Both teabags AfterWet'!$C$3:$C$2000,MATCH(H507,'Both teabags AfterWet'!$A$3:$A$2000,0)),"")</f>
        <v>1.4097999999999999</v>
      </c>
      <c r="T507" s="194">
        <f>IFERROR(INDEX('Both teabags AfterWet'!$C$3:$C$2000,MATCH(I507,'Both teabags AfterWet'!$A$3:$A$2000,0)),"")</f>
        <v>1.6712</v>
      </c>
      <c r="U507" s="194">
        <f t="shared" si="87"/>
        <v>1.2591999999999999</v>
      </c>
      <c r="V507" s="194">
        <f t="shared" si="88"/>
        <v>1.5206</v>
      </c>
      <c r="W507" s="194">
        <f>IFERROR(INDEX('Ashed teabags wet'!$K$2:$K$2000,MATCH(H507,'Ashed teabags wet'!$A$2:$A$2000,0)),"")</f>
        <v>39.082656473960213</v>
      </c>
      <c r="X507" s="233">
        <f>IFERROR(INDEX('Ashed teabags wet'!$K$2:$K$2000,MATCH(I507,'Ashed teabags wet'!$A$2:$A$2000,0)),"")</f>
        <v>7.2700296735904999</v>
      </c>
      <c r="Y507" s="194">
        <f t="shared" si="93"/>
        <v>0.76707118967989296</v>
      </c>
      <c r="Z507" s="194">
        <f t="shared" si="93"/>
        <v>1.4100519287833828</v>
      </c>
      <c r="AA507" s="194">
        <f t="shared" si="89"/>
        <v>0.56636983471065028</v>
      </c>
      <c r="AB507" s="194">
        <f t="shared" si="90"/>
        <v>0.37130183938275413</v>
      </c>
      <c r="AC507" s="194">
        <f t="shared" si="82"/>
        <v>0.72467647579402727</v>
      </c>
      <c r="AD507">
        <f t="shared" si="83"/>
        <v>44</v>
      </c>
      <c r="AE507" s="194">
        <f t="shared" si="91"/>
        <v>0.32735174024863389</v>
      </c>
      <c r="AF507" s="194">
        <f t="shared" si="92"/>
        <v>3.0747568924836554E-2</v>
      </c>
      <c r="AG507" s="245" t="str">
        <f>IF(ISNUMBER(SEARCH("C",'WetLitterbags placem_collection'!$Y214)),"YES","NO")</f>
        <v>NO</v>
      </c>
      <c r="AH507" s="245" t="str">
        <f>IF(ISNUMBER(SEARCH("H", 'WetLitterbags placem_collection'!$Y214)),"YES","NO")</f>
        <v>NO</v>
      </c>
      <c r="AI507" s="245" t="str">
        <f>IF(ISNUMBER(SEARCH("R", 'WetLitterbags placem_collection'!$Y214)),"YES","NO")</f>
        <v>YES</v>
      </c>
      <c r="AJ507" s="245" t="str">
        <f>IF(ISNUMBER(SEARCH("C", 'WetLitterbags placem_collection'!$W214)),"YES","NO")</f>
        <v>YES</v>
      </c>
      <c r="AK507" s="245" t="str">
        <f>IF(ISNUMBER(SEARCH("H", 'WetLitterbags placem_collection'!$W214)),"YES","NO")</f>
        <v>NO</v>
      </c>
      <c r="AL507" s="245" t="str">
        <f>IF(ISNUMBER(SEARCH("R", 'WetLitterbags placem_collection'!$W214)),"YES","NO")</f>
        <v>YES</v>
      </c>
    </row>
    <row r="508" spans="2:38">
      <c r="B508" t="str">
        <f>Wetseason!B654</f>
        <v>Wet</v>
      </c>
      <c r="C508" s="253">
        <f>Wetseason!C654</f>
        <v>212</v>
      </c>
      <c r="D508" t="s">
        <v>2437</v>
      </c>
      <c r="E508" t="s">
        <v>25</v>
      </c>
      <c r="F508" s="375">
        <v>4</v>
      </c>
      <c r="G508" s="16">
        <f>'WetLitterbags placem_collection'!E215</f>
        <v>42769</v>
      </c>
      <c r="H508" s="92" t="str">
        <f>Wetseason!L654</f>
        <v>G716</v>
      </c>
      <c r="I508" t="str">
        <f>Wetseason!L874</f>
        <v>R111</v>
      </c>
      <c r="J508">
        <f>IFERROR(INDEX('Green_rooibos initial weight'!$C$5:$C$2000,MATCH(H508, 'Green_rooibos initial weight'!$A$5:$A$2000,0)),"")</f>
        <v>2.117</v>
      </c>
      <c r="K508">
        <f>IFERROR(INDEX('Green_rooibos initial weight'!$C$5:$C$2000,MATCH(I508, 'Green_rooibos initial weight'!$A$5:$A$2000,0)),"")</f>
        <v>2.3170000000000002</v>
      </c>
      <c r="L508" s="194">
        <f t="shared" si="84"/>
        <v>1.8672</v>
      </c>
      <c r="M508" s="194">
        <f>AVERAGE(Ashed_controlls!$K$2:$K$11)</f>
        <v>5.5147656768714146</v>
      </c>
      <c r="N508" s="194">
        <f t="shared" si="81"/>
        <v>1.764228295281457</v>
      </c>
      <c r="O508" s="194">
        <f t="shared" si="85"/>
        <v>2.0672000000000001</v>
      </c>
      <c r="P508" s="194">
        <f>AVERAGE(Ashed_controlls!$K$12:$K$14)</f>
        <v>2.2816647271287041</v>
      </c>
      <c r="Q508" s="194">
        <f t="shared" si="86"/>
        <v>2.0200334267607958</v>
      </c>
      <c r="R508" s="16">
        <f>IF('WetLitterbags placem_collection'!G215="","",'WetLitterbags placem_collection'!G215)</f>
        <v>42813</v>
      </c>
      <c r="S508" s="194">
        <f>IFERROR(INDEX('Both teabags AfterWet'!$C$3:$C$2000,MATCH(H508,'Both teabags AfterWet'!$A$3:$A$2000,0)),"")</f>
        <v>0.83</v>
      </c>
      <c r="T508" s="194">
        <f>IFERROR(INDEX('Both teabags AfterWet'!$C$3:$C$2000,MATCH(I508,'Both teabags AfterWet'!$A$3:$A$2000,0)),"")</f>
        <v>1.587</v>
      </c>
      <c r="U508" s="194">
        <f t="shared" si="87"/>
        <v>0.6794</v>
      </c>
      <c r="V508" s="194">
        <f t="shared" si="88"/>
        <v>1.4363999999999999</v>
      </c>
      <c r="W508" s="194">
        <f>IFERROR(INDEX('Ashed teabags wet'!$K$2:$K$2000,MATCH(H508,'Ashed teabags wet'!$A$2:$A$2000,0)),"")</f>
        <v>8.2922013820333618</v>
      </c>
      <c r="X508" s="233">
        <f>IFERROR(INDEX('Ashed teabags wet'!$K$2:$K$2000,MATCH(I508,'Ashed teabags wet'!$A$2:$A$2000,0)),"")</f>
        <v>3.4013605442175416</v>
      </c>
      <c r="Y508" s="194">
        <f t="shared" si="93"/>
        <v>0.62306278381046531</v>
      </c>
      <c r="Z508" s="194">
        <f t="shared" si="93"/>
        <v>1.3875428571428592</v>
      </c>
      <c r="AA508" s="194">
        <f t="shared" si="89"/>
        <v>0.64683551132419359</v>
      </c>
      <c r="AB508" s="194">
        <f t="shared" si="90"/>
        <v>0.42405368438355689</v>
      </c>
      <c r="AC508" s="194">
        <f t="shared" si="82"/>
        <v>0.68689103792101081</v>
      </c>
      <c r="AD508">
        <f t="shared" si="83"/>
        <v>44</v>
      </c>
      <c r="AE508" s="194">
        <f t="shared" si="91"/>
        <v>0.23178680365297666</v>
      </c>
      <c r="AF508" s="194">
        <f t="shared" si="92"/>
        <v>3.0473363211701344E-2</v>
      </c>
      <c r="AG508" s="245" t="str">
        <f>IF(ISNUMBER(SEARCH("C",'WetLitterbags placem_collection'!$Y215)),"YES","NO")</f>
        <v>NO</v>
      </c>
      <c r="AH508" s="245" t="str">
        <f>IF(ISNUMBER(SEARCH("H", 'WetLitterbags placem_collection'!$Y215)),"YES","NO")</f>
        <v>NO</v>
      </c>
      <c r="AI508" s="245" t="str">
        <f>IF(ISNUMBER(SEARCH("R", 'WetLitterbags placem_collection'!$Y215)),"YES","NO")</f>
        <v>NO</v>
      </c>
      <c r="AJ508" s="245" t="str">
        <f>IF(ISNUMBER(SEARCH("C", 'WetLitterbags placem_collection'!$W215)),"YES","NO")</f>
        <v>NO</v>
      </c>
      <c r="AK508" s="245" t="str">
        <f>IF(ISNUMBER(SEARCH("H", 'WetLitterbags placem_collection'!$W215)),"YES","NO")</f>
        <v>NO</v>
      </c>
      <c r="AL508" s="245" t="str">
        <f>IF(ISNUMBER(SEARCH("R", 'WetLitterbags placem_collection'!$W215)),"YES","NO")</f>
        <v>YES</v>
      </c>
    </row>
    <row r="509" spans="2:38">
      <c r="B509" t="str">
        <f>Wetseason!B655</f>
        <v>Wet</v>
      </c>
      <c r="C509" s="253">
        <f>Wetseason!C655</f>
        <v>213</v>
      </c>
      <c r="D509" t="s">
        <v>2445</v>
      </c>
      <c r="E509" t="s">
        <v>25</v>
      </c>
      <c r="F509" s="375">
        <v>1</v>
      </c>
      <c r="G509" s="16">
        <f>'WetLitterbags placem_collection'!E216</f>
        <v>42769</v>
      </c>
      <c r="H509" s="92" t="str">
        <f>Wetseason!L655</f>
        <v>G581</v>
      </c>
      <c r="I509" t="str">
        <f>Wetseason!L875</f>
        <v>R412</v>
      </c>
      <c r="J509">
        <f>IFERROR(INDEX('Green_rooibos initial weight'!$C$5:$C$2000,MATCH(H509, 'Green_rooibos initial weight'!$A$5:$A$2000,0)),"")</f>
        <v>2.0070000000000001</v>
      </c>
      <c r="K509">
        <f>IFERROR(INDEX('Green_rooibos initial weight'!$C$5:$C$2000,MATCH(I509, 'Green_rooibos initial weight'!$A$5:$A$2000,0)),"")</f>
        <v>2.2709999999999999</v>
      </c>
      <c r="L509" s="194">
        <f t="shared" si="84"/>
        <v>1.7572000000000001</v>
      </c>
      <c r="M509" s="194">
        <f>AVERAGE(Ashed_controlls!$K$2:$K$11)</f>
        <v>5.5147656768714146</v>
      </c>
      <c r="N509" s="194">
        <f t="shared" si="81"/>
        <v>1.6602945375260156</v>
      </c>
      <c r="O509" s="194">
        <f t="shared" si="85"/>
        <v>2.0211999999999999</v>
      </c>
      <c r="P509" s="194">
        <f>AVERAGE(Ashed_controlls!$K$12:$K$14)</f>
        <v>2.2816647271287041</v>
      </c>
      <c r="Q509" s="194">
        <f t="shared" si="86"/>
        <v>1.9750829925352744</v>
      </c>
      <c r="R509" s="16">
        <f>IF('WetLitterbags placem_collection'!G216="","",'WetLitterbags placem_collection'!G216)</f>
        <v>42813</v>
      </c>
      <c r="S509" s="194">
        <f>IFERROR(INDEX('Both teabags AfterWet'!$C$3:$C$2000,MATCH(H509,'Both teabags AfterWet'!$A$3:$A$2000,0)),"")</f>
        <v>0.63400000000000001</v>
      </c>
      <c r="T509" s="194">
        <f>IFERROR(INDEX('Both teabags AfterWet'!$C$3:$C$2000,MATCH(I509,'Both teabags AfterWet'!$A$3:$A$2000,0)),"")</f>
        <v>1.4850000000000001</v>
      </c>
      <c r="U509" s="194">
        <f t="shared" si="87"/>
        <v>0.4834</v>
      </c>
      <c r="V509" s="194">
        <f t="shared" si="88"/>
        <v>1.3344</v>
      </c>
      <c r="W509" s="194">
        <f>IFERROR(INDEX('Ashed teabags wet'!$K$2:$K$2000,MATCH(H509,'Ashed teabags wet'!$A$2:$A$2000,0)),"")</f>
        <v>8.3576287657915547</v>
      </c>
      <c r="X509" s="233">
        <f>IFERROR(INDEX('Ashed teabags wet'!$K$2:$K$2000,MATCH(I509,'Ashed teabags wet'!$A$2:$A$2000,0)),"")</f>
        <v>5.5972013992993173</v>
      </c>
      <c r="Y509" s="194">
        <f t="shared" si="93"/>
        <v>0.44299922254616364</v>
      </c>
      <c r="Z509" s="194">
        <f t="shared" si="93"/>
        <v>1.2597109445277499</v>
      </c>
      <c r="AA509" s="194">
        <f t="shared" si="89"/>
        <v>0.73318034087718476</v>
      </c>
      <c r="AB509" s="194">
        <f t="shared" si="90"/>
        <v>0.4806597959194846</v>
      </c>
      <c r="AC509" s="194">
        <f t="shared" si="82"/>
        <v>0.63780152494288256</v>
      </c>
      <c r="AD509">
        <f t="shared" si="83"/>
        <v>44</v>
      </c>
      <c r="AE509" s="194">
        <f t="shared" si="91"/>
        <v>0.12923950014586127</v>
      </c>
      <c r="AF509" s="194">
        <f t="shared" si="92"/>
        <v>3.1831209859152804E-2</v>
      </c>
      <c r="AG509" s="245" t="str">
        <f>IF(ISNUMBER(SEARCH("C",'WetLitterbags placem_collection'!$Y216)),"YES","NO")</f>
        <v>NO</v>
      </c>
      <c r="AH509" s="245" t="str">
        <f>IF(ISNUMBER(SEARCH("H", 'WetLitterbags placem_collection'!$Y216)),"YES","NO")</f>
        <v>NO</v>
      </c>
      <c r="AI509" s="245" t="str">
        <f>IF(ISNUMBER(SEARCH("R", 'WetLitterbags placem_collection'!$Y216)),"YES","NO")</f>
        <v>YES</v>
      </c>
      <c r="AJ509" s="245" t="str">
        <f>IF(ISNUMBER(SEARCH("C", 'WetLitterbags placem_collection'!$W216)),"YES","NO")</f>
        <v>NO</v>
      </c>
      <c r="AK509" s="245" t="str">
        <f>IF(ISNUMBER(SEARCH("H", 'WetLitterbags placem_collection'!$W216)),"YES","NO")</f>
        <v>NO</v>
      </c>
      <c r="AL509" s="245" t="str">
        <f>IF(ISNUMBER(SEARCH("R", 'WetLitterbags placem_collection'!$W216)),"YES","NO")</f>
        <v>YES</v>
      </c>
    </row>
    <row r="510" spans="2:38">
      <c r="B510" t="str">
        <f>Wetseason!B656</f>
        <v>Wet</v>
      </c>
      <c r="C510" s="253">
        <f>Wetseason!C656</f>
        <v>214</v>
      </c>
      <c r="D510" t="s">
        <v>2438</v>
      </c>
      <c r="E510" t="s">
        <v>25</v>
      </c>
      <c r="F510" s="375">
        <v>2</v>
      </c>
      <c r="G510" s="16">
        <f>'WetLitterbags placem_collection'!E217</f>
        <v>42769</v>
      </c>
      <c r="H510" s="92" t="str">
        <f>Wetseason!L656</f>
        <v>G718</v>
      </c>
      <c r="I510" t="str">
        <f>Wetseason!L876</f>
        <v>R434</v>
      </c>
      <c r="J510">
        <f>IFERROR(INDEX('Green_rooibos initial weight'!$C$5:$C$2000,MATCH(H510, 'Green_rooibos initial weight'!$A$5:$A$2000,0)),"")</f>
        <v>2.0369999999999999</v>
      </c>
      <c r="K510">
        <f>IFERROR(INDEX('Green_rooibos initial weight'!$C$5:$C$2000,MATCH(I510, 'Green_rooibos initial weight'!$A$5:$A$2000,0)),"")</f>
        <v>2.0840000000000001</v>
      </c>
      <c r="L510" s="194">
        <f t="shared" si="84"/>
        <v>1.7871999999999999</v>
      </c>
      <c r="M510" s="194">
        <f>AVERAGE(Ashed_controlls!$K$2:$K$11)</f>
        <v>5.5147656768714146</v>
      </c>
      <c r="N510" s="194">
        <f t="shared" si="81"/>
        <v>1.688640107822954</v>
      </c>
      <c r="O510" s="194">
        <f t="shared" si="85"/>
        <v>1.8342000000000001</v>
      </c>
      <c r="P510" s="194">
        <f>AVERAGE(Ashed_controlls!$K$12:$K$14)</f>
        <v>2.2816647271287041</v>
      </c>
      <c r="Q510" s="194">
        <f t="shared" si="86"/>
        <v>1.7923497055750053</v>
      </c>
      <c r="R510" s="16">
        <f>IF('WetLitterbags placem_collection'!G217="","",'WetLitterbags placem_collection'!G217)</f>
        <v>42814</v>
      </c>
      <c r="S510" s="194">
        <f>IFERROR(INDEX('Both teabags AfterWet'!$C$3:$C$2000,MATCH(H510,'Both teabags AfterWet'!$A$3:$A$2000,0)),"")</f>
        <v>0.67769999999999997</v>
      </c>
      <c r="T510" s="194">
        <f>IFERROR(INDEX('Both teabags AfterWet'!$C$3:$C$2000,MATCH(I510,'Both teabags AfterWet'!$A$3:$A$2000,0)),"")</f>
        <v>1.5467</v>
      </c>
      <c r="U510" s="194">
        <f t="shared" si="87"/>
        <v>0.5270999999999999</v>
      </c>
      <c r="V510" s="194">
        <f t="shared" si="88"/>
        <v>1.3960999999999999</v>
      </c>
      <c r="W510" s="194">
        <f>IFERROR(INDEX('Ashed teabags wet'!$K$2:$K$2000,MATCH(H510,'Ashed teabags wet'!$A$2:$A$2000,0)),"")</f>
        <v>7.2942336126168659</v>
      </c>
      <c r="X510" s="233">
        <f>IFERROR(INDEX('Ashed teabags wet'!$K$2:$K$2000,MATCH(I510,'Ashed teabags wet'!$A$2:$A$2000,0)),"")</f>
        <v>2.1484374999999396</v>
      </c>
      <c r="Y510" s="194">
        <f t="shared" si="93"/>
        <v>0.48865209462789638</v>
      </c>
      <c r="Z510" s="194">
        <f t="shared" si="93"/>
        <v>1.3661056640625007</v>
      </c>
      <c r="AA510" s="194">
        <f t="shared" si="89"/>
        <v>0.71062389649273383</v>
      </c>
      <c r="AB510" s="194">
        <f t="shared" si="90"/>
        <v>0.46587219817575909</v>
      </c>
      <c r="AC510" s="194">
        <f t="shared" si="82"/>
        <v>0.76218701061143601</v>
      </c>
      <c r="AD510">
        <f t="shared" si="83"/>
        <v>45</v>
      </c>
      <c r="AE510" s="194">
        <f t="shared" si="91"/>
        <v>0.15602862649319016</v>
      </c>
      <c r="AF510" s="194">
        <f t="shared" si="92"/>
        <v>1.5873468017003702E-2</v>
      </c>
      <c r="AG510" s="245" t="str">
        <f>IF(ISNUMBER(SEARCH("C",'WetLitterbags placem_collection'!$Y217)),"YES","NO")</f>
        <v>NO</v>
      </c>
      <c r="AH510" s="245" t="str">
        <f>IF(ISNUMBER(SEARCH("H", 'WetLitterbags placem_collection'!$Y217)),"YES","NO")</f>
        <v>NO</v>
      </c>
      <c r="AI510" s="245" t="str">
        <f>IF(ISNUMBER(SEARCH("R", 'WetLitterbags placem_collection'!$Y217)),"YES","NO")</f>
        <v>YES</v>
      </c>
      <c r="AJ510" s="245" t="str">
        <f>IF(ISNUMBER(SEARCH("C", 'WetLitterbags placem_collection'!$W217)),"YES","NO")</f>
        <v>NO</v>
      </c>
      <c r="AK510" s="245" t="str">
        <f>IF(ISNUMBER(SEARCH("H", 'WetLitterbags placem_collection'!$W217)),"YES","NO")</f>
        <v>NO</v>
      </c>
      <c r="AL510" s="245" t="str">
        <f>IF(ISNUMBER(SEARCH("R", 'WetLitterbags placem_collection'!$W217)),"YES","NO")</f>
        <v>NO</v>
      </c>
    </row>
    <row r="511" spans="2:38">
      <c r="B511" t="str">
        <f>Wetseason!B657</f>
        <v>Wet</v>
      </c>
      <c r="C511" s="253">
        <f>Wetseason!C657</f>
        <v>216</v>
      </c>
      <c r="D511" t="s">
        <v>2431</v>
      </c>
      <c r="E511" t="s">
        <v>25</v>
      </c>
      <c r="F511" s="375">
        <v>4</v>
      </c>
      <c r="G511" s="16">
        <f>'WetLitterbags placem_collection'!E218</f>
        <v>42769</v>
      </c>
      <c r="H511" s="92" t="str">
        <f>Wetseason!L657</f>
        <v>G613</v>
      </c>
      <c r="I511" t="str">
        <f>Wetseason!L877</f>
        <v>R457</v>
      </c>
      <c r="J511">
        <f>IFERROR(INDEX('Green_rooibos initial weight'!$C$5:$C$2000,MATCH(H511, 'Green_rooibos initial weight'!$A$5:$A$2000,0)),"")</f>
        <v>2.0339999999999998</v>
      </c>
      <c r="K511">
        <f>IFERROR(INDEX('Green_rooibos initial weight'!$C$5:$C$2000,MATCH(I511, 'Green_rooibos initial weight'!$A$5:$A$2000,0)),"")</f>
        <v>2.2410000000000001</v>
      </c>
      <c r="L511" s="194">
        <f t="shared" si="84"/>
        <v>1.7841999999999998</v>
      </c>
      <c r="M511" s="194">
        <f>AVERAGE(Ashed_controlls!$K$2:$K$11)</f>
        <v>5.5147656768714146</v>
      </c>
      <c r="N511" s="194">
        <f t="shared" si="81"/>
        <v>1.6858055507932601</v>
      </c>
      <c r="O511" s="194">
        <f t="shared" si="85"/>
        <v>1.9912000000000001</v>
      </c>
      <c r="P511" s="194">
        <f>AVERAGE(Ashed_controlls!$K$12:$K$14)</f>
        <v>2.2816647271287041</v>
      </c>
      <c r="Q511" s="194">
        <f t="shared" si="86"/>
        <v>1.9457674919534134</v>
      </c>
      <c r="R511" s="16">
        <f>IF('WetLitterbags placem_collection'!G218="","",'WetLitterbags placem_collection'!G218)</f>
        <v>42814</v>
      </c>
      <c r="S511" s="194">
        <f>IFERROR(INDEX('Both teabags AfterWet'!$C$3:$C$2000,MATCH(H511,'Both teabags AfterWet'!$A$3:$A$2000,0)),"")</f>
        <v>0.82499999999999996</v>
      </c>
      <c r="T511" s="194">
        <f>IFERROR(INDEX('Both teabags AfterWet'!$C$3:$C$2000,MATCH(I511,'Both teabags AfterWet'!$A$3:$A$2000,0)),"")</f>
        <v>1.5940000000000001</v>
      </c>
      <c r="U511" s="194">
        <f t="shared" si="87"/>
        <v>0.67439999999999989</v>
      </c>
      <c r="V511" s="194">
        <f t="shared" si="88"/>
        <v>1.4434</v>
      </c>
      <c r="W511" s="194">
        <f>IFERROR(INDEX('Ashed teabags wet'!$K$2:$K$2000,MATCH(H511,'Ashed teabags wet'!$A$2:$A$2000,0)),"")</f>
        <v>7.3429951690818136</v>
      </c>
      <c r="X511" s="233">
        <f>IFERROR(INDEX('Ashed teabags wet'!$K$2:$K$2000,MATCH(I511,'Ashed teabags wet'!$A$2:$A$2000,0)),"")</f>
        <v>3.2951289398278099</v>
      </c>
      <c r="Y511" s="194">
        <f t="shared" si="93"/>
        <v>0.6248788405797121</v>
      </c>
      <c r="Z511" s="194">
        <f t="shared" si="93"/>
        <v>1.3958381088825254</v>
      </c>
      <c r="AA511" s="194">
        <f t="shared" si="89"/>
        <v>0.62932923059502688</v>
      </c>
      <c r="AB511" s="194">
        <f t="shared" si="90"/>
        <v>0.41257688276538584</v>
      </c>
      <c r="AC511" s="194">
        <f t="shared" si="82"/>
        <v>0.71737148177000443</v>
      </c>
      <c r="AD511">
        <f t="shared" si="83"/>
        <v>45</v>
      </c>
      <c r="AE511" s="194">
        <f t="shared" si="91"/>
        <v>0.25257811093227212</v>
      </c>
      <c r="AF511" s="194">
        <f t="shared" si="92"/>
        <v>2.5673008782187406E-2</v>
      </c>
      <c r="AG511" s="245" t="str">
        <f>IF(ISNUMBER(SEARCH("C",'WetLitterbags placem_collection'!$Y218)),"YES","NO")</f>
        <v>NO</v>
      </c>
      <c r="AH511" s="245" t="str">
        <f>IF(ISNUMBER(SEARCH("H", 'WetLitterbags placem_collection'!$Y218)),"YES","NO")</f>
        <v>NO</v>
      </c>
      <c r="AI511" s="245" t="str">
        <f>IF(ISNUMBER(SEARCH("R", 'WetLitterbags placem_collection'!$Y218)),"YES","NO")</f>
        <v>YES</v>
      </c>
      <c r="AJ511" s="245" t="str">
        <f>IF(ISNUMBER(SEARCH("C", 'WetLitterbags placem_collection'!$W218)),"YES","NO")</f>
        <v>NO</v>
      </c>
      <c r="AK511" s="245" t="str">
        <f>IF(ISNUMBER(SEARCH("H", 'WetLitterbags placem_collection'!$W218)),"YES","NO")</f>
        <v>YES</v>
      </c>
      <c r="AL511" s="245" t="str">
        <f>IF(ISNUMBER(SEARCH("R", 'WetLitterbags placem_collection'!$W218)),"YES","NO")</f>
        <v>NO</v>
      </c>
    </row>
    <row r="512" spans="2:38">
      <c r="B512" t="str">
        <f>Wetseason!B658</f>
        <v>Wet</v>
      </c>
      <c r="C512" s="253">
        <f>Wetseason!C658</f>
        <v>217</v>
      </c>
      <c r="D512" t="s">
        <v>2424</v>
      </c>
      <c r="E512" t="s">
        <v>25</v>
      </c>
      <c r="F512" s="375">
        <v>1</v>
      </c>
      <c r="G512" s="16">
        <f>'WetLitterbags placem_collection'!E219</f>
        <v>42769</v>
      </c>
      <c r="H512" s="92" t="str">
        <f>Wetseason!L658</f>
        <v>G804</v>
      </c>
      <c r="I512" t="str">
        <f>Wetseason!L878</f>
        <v>R410</v>
      </c>
      <c r="J512">
        <f>IFERROR(INDEX('Green_rooibos initial weight'!$C$5:$C$2000,MATCH(H512, 'Green_rooibos initial weight'!$A$5:$A$2000,0)),"")</f>
        <v>2.028</v>
      </c>
      <c r="K512">
        <f>IFERROR(INDEX('Green_rooibos initial weight'!$C$5:$C$2000,MATCH(I512, 'Green_rooibos initial weight'!$A$5:$A$2000,0)),"")</f>
        <v>2.1930000000000001</v>
      </c>
      <c r="L512" s="194">
        <f t="shared" si="84"/>
        <v>1.7782</v>
      </c>
      <c r="M512" s="194">
        <f>AVERAGE(Ashed_controlls!$K$2:$K$11)</f>
        <v>5.5147656768714146</v>
      </c>
      <c r="N512" s="194">
        <f t="shared" si="81"/>
        <v>1.6801364367338725</v>
      </c>
      <c r="O512" s="194">
        <f t="shared" si="85"/>
        <v>1.9432</v>
      </c>
      <c r="P512" s="194">
        <f>AVERAGE(Ashed_controlls!$K$12:$K$14)</f>
        <v>2.2816647271287041</v>
      </c>
      <c r="Q512" s="194">
        <f t="shared" si="86"/>
        <v>1.8988626910224351</v>
      </c>
      <c r="R512" s="16">
        <f>IF('WetLitterbags placem_collection'!G219="","",'WetLitterbags placem_collection'!G219)</f>
        <v>42814</v>
      </c>
      <c r="S512" s="194">
        <f>IFERROR(INDEX('Both teabags AfterWet'!$C$3:$C$2000,MATCH(H512,'Both teabags AfterWet'!$A$3:$A$2000,0)),"")</f>
        <v>0.66200000000000003</v>
      </c>
      <c r="T512" s="194">
        <f>IFERROR(INDEX('Both teabags AfterWet'!$C$3:$C$2000,MATCH(I512,'Both teabags AfterWet'!$A$3:$A$2000,0)),"")</f>
        <v>1.488</v>
      </c>
      <c r="U512" s="194">
        <f t="shared" si="87"/>
        <v>0.51140000000000008</v>
      </c>
      <c r="V512" s="194">
        <f t="shared" si="88"/>
        <v>1.3373999999999999</v>
      </c>
      <c r="W512" s="194">
        <f>IFERROR(INDEX('Ashed teabags wet'!$K$2:$K$2000,MATCH(H512,'Ashed teabags wet'!$A$2:$A$2000,0)),"")</f>
        <v>8.5770946950907749</v>
      </c>
      <c r="X512" s="233">
        <f>IFERROR(INDEX('Ashed teabags wet'!$K$2:$K$2000,MATCH(I512,'Ashed teabags wet'!$A$2:$A$2000,0)),"")</f>
        <v>4.277286135692731</v>
      </c>
      <c r="Y512" s="194">
        <f t="shared" si="93"/>
        <v>0.46753673772930582</v>
      </c>
      <c r="Z512" s="194">
        <f t="shared" si="93"/>
        <v>1.2801955752212453</v>
      </c>
      <c r="AA512" s="194">
        <f t="shared" si="89"/>
        <v>0.72172692198844213</v>
      </c>
      <c r="AB512" s="194">
        <f t="shared" si="90"/>
        <v>0.47315114125608093</v>
      </c>
      <c r="AC512" s="194">
        <f t="shared" si="82"/>
        <v>0.67419070440102702</v>
      </c>
      <c r="AD512">
        <f t="shared" si="83"/>
        <v>45</v>
      </c>
      <c r="AE512" s="194">
        <f t="shared" si="91"/>
        <v>0.14284213540565061</v>
      </c>
      <c r="AF512" s="194">
        <f t="shared" si="92"/>
        <v>2.5925766828802793E-2</v>
      </c>
      <c r="AG512" s="245" t="str">
        <f>IF(ISNUMBER(SEARCH("C",'WetLitterbags placem_collection'!$Y219)),"YES","NO")</f>
        <v>NO</v>
      </c>
      <c r="AH512" s="245" t="str">
        <f>IF(ISNUMBER(SEARCH("H", 'WetLitterbags placem_collection'!$Y219)),"YES","NO")</f>
        <v>NO</v>
      </c>
      <c r="AI512" s="245" t="str">
        <f>IF(ISNUMBER(SEARCH("R", 'WetLitterbags placem_collection'!$Y219)),"YES","NO")</f>
        <v>NO</v>
      </c>
      <c r="AJ512" s="245" t="str">
        <f>IF(ISNUMBER(SEARCH("C", 'WetLitterbags placem_collection'!$W219)),"YES","NO")</f>
        <v>NO</v>
      </c>
      <c r="AK512" s="245" t="str">
        <f>IF(ISNUMBER(SEARCH("H", 'WetLitterbags placem_collection'!$W219)),"YES","NO")</f>
        <v>NO</v>
      </c>
      <c r="AL512" s="245" t="str">
        <f>IF(ISNUMBER(SEARCH("R", 'WetLitterbags placem_collection'!$W219)),"YES","NO")</f>
        <v>YES</v>
      </c>
    </row>
    <row r="513" spans="2:38">
      <c r="B513" t="str">
        <f>Wetseason!B659</f>
        <v>Wet</v>
      </c>
      <c r="C513" s="253">
        <f>Wetseason!C659</f>
        <v>218</v>
      </c>
      <c r="D513" t="s">
        <v>2432</v>
      </c>
      <c r="E513" t="s">
        <v>25</v>
      </c>
      <c r="F513" s="375">
        <v>2</v>
      </c>
      <c r="G513" s="16">
        <f>'WetLitterbags placem_collection'!E220</f>
        <v>42769</v>
      </c>
      <c r="H513" s="92" t="str">
        <f>Wetseason!L659</f>
        <v>G587</v>
      </c>
      <c r="I513" t="str">
        <f>Wetseason!L879</f>
        <v>R103</v>
      </c>
      <c r="J513">
        <f>IFERROR(INDEX('Green_rooibos initial weight'!$C$5:$C$2000,MATCH(H513, 'Green_rooibos initial weight'!$A$5:$A$2000,0)),"")</f>
        <v>2.0640000000000001</v>
      </c>
      <c r="K513">
        <f>IFERROR(INDEX('Green_rooibos initial weight'!$C$5:$C$2000,MATCH(I513, 'Green_rooibos initial weight'!$A$5:$A$2000,0)),"")</f>
        <v>2.246</v>
      </c>
      <c r="L513" s="194">
        <f t="shared" si="84"/>
        <v>1.8142</v>
      </c>
      <c r="M513" s="194">
        <f>AVERAGE(Ashed_controlls!$K$2:$K$11)</f>
        <v>5.5147656768714146</v>
      </c>
      <c r="N513" s="194">
        <f t="shared" si="81"/>
        <v>1.7141511210901987</v>
      </c>
      <c r="O513" s="194">
        <f t="shared" si="85"/>
        <v>1.9962</v>
      </c>
      <c r="P513" s="194">
        <f>AVERAGE(Ashed_controlls!$K$12:$K$14)</f>
        <v>2.2816647271287041</v>
      </c>
      <c r="Q513" s="194">
        <f t="shared" si="86"/>
        <v>1.9506534087170568</v>
      </c>
      <c r="R513" s="16">
        <f>IF('WetLitterbags placem_collection'!G220="","",'WetLitterbags placem_collection'!G220)</f>
        <v>42814</v>
      </c>
      <c r="S513" s="194">
        <f>IFERROR(INDEX('Both teabags AfterWet'!$C$3:$C$2000,MATCH(H513,'Both teabags AfterWet'!$A$3:$A$2000,0)),"")</f>
        <v>0.7167</v>
      </c>
      <c r="T513" s="194">
        <f>IFERROR(INDEX('Both teabags AfterWet'!$C$3:$C$2000,MATCH(I513,'Both teabags AfterWet'!$A$3:$A$2000,0)),"")</f>
        <v>1.4296</v>
      </c>
      <c r="U513" s="194">
        <f t="shared" si="87"/>
        <v>0.56610000000000005</v>
      </c>
      <c r="V513" s="194">
        <f t="shared" si="88"/>
        <v>1.2789999999999999</v>
      </c>
      <c r="W513" s="194">
        <f>IFERROR(INDEX('Ashed teabags wet'!$K$2:$K$2000,MATCH(H513,'Ashed teabags wet'!$A$2:$A$2000,0)),"")</f>
        <v>13.067061143984493</v>
      </c>
      <c r="X513" s="233">
        <f>IFERROR(INDEX('Ashed teabags wet'!$K$2:$K$2000,MATCH(I513,'Ashed teabags wet'!$A$2:$A$2000,0)),"")</f>
        <v>5.6706114398422001</v>
      </c>
      <c r="Y513" s="194">
        <f t="shared" si="93"/>
        <v>0.49212736686390379</v>
      </c>
      <c r="Z513" s="194">
        <f t="shared" si="93"/>
        <v>1.2064728796844182</v>
      </c>
      <c r="AA513" s="194">
        <f t="shared" si="89"/>
        <v>0.71290316191555436</v>
      </c>
      <c r="AB513" s="194">
        <f t="shared" si="90"/>
        <v>0.46736644344107608</v>
      </c>
      <c r="AC513" s="194">
        <f t="shared" si="82"/>
        <v>0.61849679409624825</v>
      </c>
      <c r="AD513">
        <f t="shared" si="83"/>
        <v>45</v>
      </c>
      <c r="AE513" s="194">
        <f t="shared" si="91"/>
        <v>0.15332166043283324</v>
      </c>
      <c r="AF513" s="194">
        <f t="shared" si="92"/>
        <v>3.7652396804058443E-2</v>
      </c>
      <c r="AG513" s="245" t="str">
        <f>IF(ISNUMBER(SEARCH("C",'WetLitterbags placem_collection'!$Y220)),"YES","NO")</f>
        <v>NO</v>
      </c>
      <c r="AH513" s="245" t="str">
        <f>IF(ISNUMBER(SEARCH("H", 'WetLitterbags placem_collection'!$Y220)),"YES","NO")</f>
        <v>NO</v>
      </c>
      <c r="AI513" s="245" t="str">
        <f>IF(ISNUMBER(SEARCH("R", 'WetLitterbags placem_collection'!$Y220)),"YES","NO")</f>
        <v>YES</v>
      </c>
      <c r="AJ513" s="245" t="str">
        <f>IF(ISNUMBER(SEARCH("C", 'WetLitterbags placem_collection'!$W220)),"YES","NO")</f>
        <v>NO</v>
      </c>
      <c r="AK513" s="245" t="str">
        <f>IF(ISNUMBER(SEARCH("H", 'WetLitterbags placem_collection'!$W220)),"YES","NO")</f>
        <v>NO</v>
      </c>
      <c r="AL513" s="245" t="str">
        <f>IF(ISNUMBER(SEARCH("R", 'WetLitterbags placem_collection'!$W220)),"YES","NO")</f>
        <v>YES</v>
      </c>
    </row>
    <row r="514" spans="2:38">
      <c r="B514" t="str">
        <f>Wetseason!B660</f>
        <v>Wet</v>
      </c>
      <c r="C514" s="253">
        <f>Wetseason!C660</f>
        <v>219</v>
      </c>
      <c r="D514" t="s">
        <v>2439</v>
      </c>
      <c r="E514" t="s">
        <v>25</v>
      </c>
      <c r="F514" s="375">
        <v>3</v>
      </c>
      <c r="G514" s="16">
        <f>'WetLitterbags placem_collection'!E221</f>
        <v>42769</v>
      </c>
      <c r="H514" s="92" t="str">
        <f>Wetseason!L660</f>
        <v>G491</v>
      </c>
      <c r="I514" t="str">
        <f>Wetseason!L880</f>
        <v>R356</v>
      </c>
      <c r="J514">
        <f>IFERROR(INDEX('Green_rooibos initial weight'!$C$5:$C$2000,MATCH(H514, 'Green_rooibos initial weight'!$A$5:$A$2000,0)),"")</f>
        <v>2.0249999999999999</v>
      </c>
      <c r="K514">
        <f>IFERROR(INDEX('Green_rooibos initial weight'!$C$5:$C$2000,MATCH(I514, 'Green_rooibos initial weight'!$A$5:$A$2000,0)),"")</f>
        <v>2.1619999999999999</v>
      </c>
      <c r="L514" s="194">
        <f t="shared" si="84"/>
        <v>1.7751999999999999</v>
      </c>
      <c r="M514" s="194">
        <f>AVERAGE(Ashed_controlls!$K$2:$K$11)</f>
        <v>5.5147656768714146</v>
      </c>
      <c r="N514" s="194">
        <f t="shared" si="81"/>
        <v>1.6773018797041785</v>
      </c>
      <c r="O514" s="194">
        <f t="shared" si="85"/>
        <v>1.9121999999999999</v>
      </c>
      <c r="P514" s="194">
        <f>AVERAGE(Ashed_controlls!$K$12:$K$14)</f>
        <v>2.2816647271287041</v>
      </c>
      <c r="Q514" s="194">
        <f t="shared" si="86"/>
        <v>1.8685700070878448</v>
      </c>
      <c r="R514" s="16">
        <f>IF('WetLitterbags placem_collection'!G221="","",'WetLitterbags placem_collection'!G221)</f>
        <v>42813</v>
      </c>
      <c r="S514" s="194">
        <f>IFERROR(INDEX('Both teabags AfterWet'!$C$3:$C$2000,MATCH(H514,'Both teabags AfterWet'!$A$3:$A$2000,0)),"")</f>
        <v>0.65569999999999995</v>
      </c>
      <c r="T514" s="194">
        <f>IFERROR(INDEX('Both teabags AfterWet'!$C$3:$C$2000,MATCH(I514,'Both teabags AfterWet'!$A$3:$A$2000,0)),"")</f>
        <v>1.4823</v>
      </c>
      <c r="U514" s="194">
        <f t="shared" si="87"/>
        <v>0.50509999999999988</v>
      </c>
      <c r="V514" s="194">
        <f t="shared" si="88"/>
        <v>1.3316999999999999</v>
      </c>
      <c r="W514" s="194">
        <f>IFERROR(INDEX('Ashed teabags wet'!$K$2:$K$2000,MATCH(H514,'Ashed teabags wet'!$A$2:$A$2000,0)),"")</f>
        <v>11.643835616438309</v>
      </c>
      <c r="X514" s="233">
        <f>IFERROR(INDEX('Ashed teabags wet'!$K$2:$K$2000,MATCH(I514,'Ashed teabags wet'!$A$2:$A$2000,0)),"")</f>
        <v>7.426928605653603</v>
      </c>
      <c r="Y514" s="194">
        <f t="shared" si="93"/>
        <v>0.44628698630136998</v>
      </c>
      <c r="Z514" s="194">
        <f t="shared" si="93"/>
        <v>1.2327955917585109</v>
      </c>
      <c r="AA514" s="194">
        <f t="shared" si="89"/>
        <v>0.73392566257656577</v>
      </c>
      <c r="AB514" s="194">
        <f t="shared" si="90"/>
        <v>0.48114841537086028</v>
      </c>
      <c r="AC514" s="194">
        <f t="shared" si="82"/>
        <v>0.65975349442743947</v>
      </c>
      <c r="AD514">
        <f t="shared" si="83"/>
        <v>44</v>
      </c>
      <c r="AE514" s="194">
        <f t="shared" si="91"/>
        <v>0.12835431998032565</v>
      </c>
      <c r="AF514" s="194">
        <f t="shared" si="92"/>
        <v>2.7911631938232505E-2</v>
      </c>
      <c r="AG514" s="245" t="str">
        <f>IF(ISNUMBER(SEARCH("C",'WetLitterbags placem_collection'!$Y221)),"YES","NO")</f>
        <v>NO</v>
      </c>
      <c r="AH514" s="245" t="str">
        <f>IF(ISNUMBER(SEARCH("H", 'WetLitterbags placem_collection'!$Y221)),"YES","NO")</f>
        <v>NO</v>
      </c>
      <c r="AI514" s="245" t="str">
        <f>IF(ISNUMBER(SEARCH("R", 'WetLitterbags placem_collection'!$Y221)),"YES","NO")</f>
        <v>NO</v>
      </c>
      <c r="AJ514" s="245" t="str">
        <f>IF(ISNUMBER(SEARCH("C", 'WetLitterbags placem_collection'!$W221)),"YES","NO")</f>
        <v>NO</v>
      </c>
      <c r="AK514" s="245" t="str">
        <f>IF(ISNUMBER(SEARCH("H", 'WetLitterbags placem_collection'!$W221)),"YES","NO")</f>
        <v>NO</v>
      </c>
      <c r="AL514" s="245" t="str">
        <f>IF(ISNUMBER(SEARCH("R", 'WetLitterbags placem_collection'!$W221)),"YES","NO")</f>
        <v>YES</v>
      </c>
    </row>
    <row r="515" spans="2:38">
      <c r="B515" t="str">
        <f>Wetseason!B661</f>
        <v>Wet</v>
      </c>
      <c r="C515" s="374">
        <f>Wetseason!C661</f>
        <v>220</v>
      </c>
      <c r="D515" t="s">
        <v>2446</v>
      </c>
      <c r="E515" t="s">
        <v>25</v>
      </c>
      <c r="F515" s="375">
        <v>4</v>
      </c>
      <c r="G515" s="376">
        <f>'WetLitterbags placem_collection'!E222</f>
        <v>42769</v>
      </c>
      <c r="H515" s="92" t="str">
        <f>Wetseason!L661</f>
        <v>G849</v>
      </c>
      <c r="I515" s="92" t="str">
        <f>Wetseason!L881</f>
        <v>R319</v>
      </c>
      <c r="J515">
        <f>IFERROR(INDEX('Green_rooibos initial weight'!$C$5:$C$2000,MATCH(H515, 'Green_rooibos initial weight'!$A$5:$A$2000,0)),"")</f>
        <v>2.1070000000000002</v>
      </c>
      <c r="K515">
        <f>IFERROR(INDEX('Green_rooibos initial weight'!$C$5:$C$2000,MATCH(I515, 'Green_rooibos initial weight'!$A$5:$A$2000,0)),"")</f>
        <v>2.1709999999999998</v>
      </c>
      <c r="L515" s="194">
        <f t="shared" si="84"/>
        <v>1.8572000000000002</v>
      </c>
      <c r="M515" s="194">
        <f>AVERAGE(Ashed_controlls!$K$2:$K$11)</f>
        <v>5.5147656768714146</v>
      </c>
      <c r="N515" s="377">
        <f t="shared" si="81"/>
        <v>1.7547797718491442</v>
      </c>
      <c r="O515" s="194">
        <f t="shared" si="85"/>
        <v>1.9211999999999998</v>
      </c>
      <c r="P515" s="194">
        <f>AVERAGE(Ashed_controlls!$K$12:$K$14)</f>
        <v>2.2816647271287041</v>
      </c>
      <c r="Q515" s="194">
        <f t="shared" si="86"/>
        <v>1.8773646572624032</v>
      </c>
      <c r="R515" s="16">
        <f>IF('WetLitterbags placem_collection'!G222="","",'WetLitterbags placem_collection'!G222)</f>
        <v>42813</v>
      </c>
      <c r="S515" s="194">
        <f>IFERROR(INDEX('Both teabags AfterWet'!$C$3:$C$2000,MATCH(H515,'Both teabags AfterWet'!$A$3:$A$2000,0)),"")</f>
        <v>0.65239999999999998</v>
      </c>
      <c r="T515" s="194">
        <f>IFERROR(INDEX('Both teabags AfterWet'!$C$3:$C$2000,MATCH(I515,'Both teabags AfterWet'!$A$3:$A$2000,0)),"")</f>
        <v>1.5328999999999999</v>
      </c>
      <c r="U515" s="194">
        <f t="shared" si="87"/>
        <v>0.50180000000000002</v>
      </c>
      <c r="V515" s="194">
        <f t="shared" si="88"/>
        <v>1.3822999999999999</v>
      </c>
      <c r="W515" s="194">
        <f>IFERROR(INDEX('Ashed teabags wet'!$K$2:$K$2000,MATCH(H515,'Ashed teabags wet'!$A$2:$A$2000,0)),"")</f>
        <v>11.566979733070331</v>
      </c>
      <c r="X515" s="233">
        <f>IFERROR(INDEX('Ashed teabags wet'!$K$2:$K$2000,MATCH(I515,'Ashed teabags wet'!$A$2:$A$2000,0)),"")</f>
        <v>5.0223769269016794</v>
      </c>
      <c r="Y515" s="194">
        <f t="shared" si="93"/>
        <v>0.44375689569945309</v>
      </c>
      <c r="Z515" s="194">
        <f t="shared" si="93"/>
        <v>1.312875683739438</v>
      </c>
      <c r="AA515" s="194">
        <f t="shared" si="89"/>
        <v>0.74711533446055578</v>
      </c>
      <c r="AB515" s="194">
        <f t="shared" si="90"/>
        <v>0.4897953261546637</v>
      </c>
      <c r="AC515" s="194">
        <f t="shared" si="82"/>
        <v>0.69931841885949309</v>
      </c>
      <c r="AD515">
        <f t="shared" si="83"/>
        <v>44</v>
      </c>
      <c r="AE515" s="194">
        <f t="shared" si="91"/>
        <v>0.11268962653140646</v>
      </c>
      <c r="AF515" s="194">
        <f t="shared" si="92"/>
        <v>2.1628157786608673E-2</v>
      </c>
      <c r="AG515" s="245" t="str">
        <f>IF(ISNUMBER(SEARCH("C",'WetLitterbags placem_collection'!$Y222)),"YES","NO")</f>
        <v>NO</v>
      </c>
      <c r="AH515" s="245" t="str">
        <f>IF(ISNUMBER(SEARCH("H", 'WetLitterbags placem_collection'!$Y222)),"YES","NO")</f>
        <v>NO</v>
      </c>
      <c r="AI515" s="245" t="str">
        <f>IF(ISNUMBER(SEARCH("R", 'WetLitterbags placem_collection'!$Y222)),"YES","NO")</f>
        <v>NO</v>
      </c>
      <c r="AJ515" s="245" t="str">
        <f>IF(ISNUMBER(SEARCH("C", 'WetLitterbags placem_collection'!$W222)),"YES","NO")</f>
        <v>NO</v>
      </c>
      <c r="AK515" s="245" t="str">
        <f>IF(ISNUMBER(SEARCH("H", 'WetLitterbags placem_collection'!$W222)),"YES","NO")</f>
        <v>YES</v>
      </c>
      <c r="AL515" s="245" t="str">
        <f>IF(ISNUMBER(SEARCH("R", 'WetLitterbags placem_collection'!$W222)),"YES","NO")</f>
        <v>NO</v>
      </c>
    </row>
  </sheetData>
  <mergeCells count="51">
    <mergeCell ref="B27:E27"/>
    <mergeCell ref="B12:E12"/>
    <mergeCell ref="B13:E13"/>
    <mergeCell ref="B14:E14"/>
    <mergeCell ref="B15:E15"/>
    <mergeCell ref="B16:E16"/>
    <mergeCell ref="B17:E17"/>
    <mergeCell ref="B18:E18"/>
    <mergeCell ref="B19:E19"/>
    <mergeCell ref="B20:E20"/>
    <mergeCell ref="B25:E25"/>
    <mergeCell ref="B26:E26"/>
    <mergeCell ref="B28:E28"/>
    <mergeCell ref="B29:E29"/>
    <mergeCell ref="B30:E30"/>
    <mergeCell ref="B31:E31"/>
    <mergeCell ref="B32:E32"/>
    <mergeCell ref="L48:M48"/>
    <mergeCell ref="K37:R37"/>
    <mergeCell ref="B38:D38"/>
    <mergeCell ref="O38:P38"/>
    <mergeCell ref="L40:M40"/>
    <mergeCell ref="L41:M41"/>
    <mergeCell ref="L42:M42"/>
    <mergeCell ref="B37:D37"/>
    <mergeCell ref="E37:F37"/>
    <mergeCell ref="L43:M43"/>
    <mergeCell ref="L44:M44"/>
    <mergeCell ref="L45:M45"/>
    <mergeCell ref="L46:M46"/>
    <mergeCell ref="L47:M47"/>
    <mergeCell ref="L60:M60"/>
    <mergeCell ref="L49:M49"/>
    <mergeCell ref="L50:M50"/>
    <mergeCell ref="L51:M51"/>
    <mergeCell ref="L52:M52"/>
    <mergeCell ref="L53:M53"/>
    <mergeCell ref="L54:M54"/>
    <mergeCell ref="L55:M55"/>
    <mergeCell ref="L56:M56"/>
    <mergeCell ref="L57:M57"/>
    <mergeCell ref="L58:M58"/>
    <mergeCell ref="L59:M59"/>
    <mergeCell ref="D73:H74"/>
    <mergeCell ref="AG74:AL74"/>
    <mergeCell ref="L61:M61"/>
    <mergeCell ref="L62:M62"/>
    <mergeCell ref="B68:E68"/>
    <mergeCell ref="B69:E69"/>
    <mergeCell ref="B70:E70"/>
    <mergeCell ref="F70:N70"/>
  </mergeCells>
  <dataValidations disablePrompts="1" count="7">
    <dataValidation type="list" allowBlank="1" showInputMessage="1" showErrorMessage="1" sqref="K39:K63" xr:uid="{04C5D0C6-709A-49E8-B20D-AC94C23166B8}">
      <formula1>shading</formula1>
    </dataValidation>
    <dataValidation type="list" allowBlank="1" showInputMessage="1" showErrorMessage="1" sqref="L39:L63" xr:uid="{5DF79329-208C-4196-A5F4-BF59BC9FF46C}">
      <formula1>human_impact</formula1>
    </dataValidation>
    <dataValidation type="list" allowBlank="1" showInputMessage="1" showErrorMessage="1" sqref="O39:O63" xr:uid="{D0175685-8AEB-4829-A93E-D356BE612469}">
      <formula1>ecosystem</formula1>
    </dataValidation>
    <dataValidation type="list" allowBlank="1" showInputMessage="1" showErrorMessage="1" sqref="Q39:Q63" xr:uid="{09078CAA-42CD-4008-B0C5-5ECD86F8EA19}">
      <formula1>soildepth</formula1>
    </dataValidation>
    <dataValidation type="list" allowBlank="1" showInputMessage="1" showErrorMessage="1" sqref="R39:R63" xr:uid="{1ADEE0BA-1072-4526-8C7B-793FB5C0A003}">
      <formula1>rootingdepth</formula1>
    </dataValidation>
    <dataValidation type="list" allowBlank="1" showInputMessage="1" showErrorMessage="1" sqref="S39:S63" xr:uid="{974CFC6B-6793-4F34-A518-F04030A49BFF}">
      <formula1>slope</formula1>
    </dataValidation>
    <dataValidation type="list" allowBlank="1" showInputMessage="1" showErrorMessage="1" sqref="T39:T63" xr:uid="{DCF87E29-AB75-4765-B599-6170D4062CEC}">
      <formula1>aspect</formula1>
    </dataValidation>
  </dataValidations>
  <hyperlinks>
    <hyperlink ref="F16" r:id="rId1" xr:uid="{2FB7E28B-B08B-4E1B-92F5-0030177ADF2B}"/>
    <hyperlink ref="F15" r:id="rId2" xr:uid="{F2DCFF01-AC74-450C-A436-31E9E7429496}"/>
  </hyperlinks>
  <pageMargins left="0.7" right="0.7" top="0.75" bottom="0.75" header="0.3" footer="0.3"/>
  <pageSetup paperSize="9" orientation="portrait" r:id="rId3"/>
  <legacyDrawing r:id="rId4"/>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5F986E-04DE-4E2E-851F-AD2E6FDC3A5A}">
  <dimension ref="A1:AH515"/>
  <sheetViews>
    <sheetView topLeftCell="E195" zoomScale="55" zoomScaleNormal="55" workbookViewId="0">
      <selection activeCell="R83" sqref="R83"/>
    </sheetView>
  </sheetViews>
  <sheetFormatPr baseColWidth="10" defaultRowHeight="14.4"/>
  <cols>
    <col min="3" max="3" width="9.6640625" customWidth="1"/>
    <col min="4" max="4" width="23" customWidth="1"/>
    <col min="5" max="5" width="22.21875" customWidth="1"/>
    <col min="6" max="6" width="20.33203125" customWidth="1"/>
    <col min="7" max="7" width="18.33203125" customWidth="1"/>
    <col min="8" max="8" width="18.77734375" customWidth="1"/>
    <col min="9" max="9" width="13.77734375" customWidth="1"/>
    <col min="11" max="11" width="25.44140625" customWidth="1"/>
    <col min="14" max="14" width="15.44140625" customWidth="1"/>
    <col min="15" max="15" width="15.21875" customWidth="1"/>
  </cols>
  <sheetData>
    <row r="1" spans="2:13" s="279" customFormat="1">
      <c r="B1" s="279" t="s">
        <v>3068</v>
      </c>
      <c r="D1" s="279" t="s">
        <v>3069</v>
      </c>
      <c r="E1" s="280"/>
      <c r="K1" s="280"/>
      <c r="L1" s="281"/>
      <c r="M1" s="281"/>
    </row>
    <row r="2" spans="2:13" s="279" customFormat="1">
      <c r="B2" s="282" t="s">
        <v>3070</v>
      </c>
      <c r="E2" s="280"/>
      <c r="K2" s="280"/>
      <c r="L2" s="281"/>
      <c r="M2" s="281"/>
    </row>
    <row r="3" spans="2:13" s="284" customFormat="1" ht="30" customHeight="1">
      <c r="B3" s="283" t="s">
        <v>3071</v>
      </c>
      <c r="E3" s="285"/>
      <c r="K3" s="285"/>
      <c r="L3" s="286"/>
      <c r="M3" s="286"/>
    </row>
    <row r="4" spans="2:13" s="288" customFormat="1">
      <c r="B4" s="287" t="s">
        <v>3072</v>
      </c>
      <c r="E4" s="289"/>
      <c r="K4" s="289"/>
      <c r="L4" s="290"/>
      <c r="M4" s="290"/>
    </row>
    <row r="5" spans="2:13" s="288" customFormat="1">
      <c r="B5" s="288" t="s">
        <v>3073</v>
      </c>
      <c r="E5" s="289"/>
      <c r="K5" s="289"/>
      <c r="L5" s="290"/>
      <c r="M5" s="290"/>
    </row>
    <row r="6" spans="2:13" s="287" customFormat="1">
      <c r="B6" s="287" t="s">
        <v>3074</v>
      </c>
      <c r="E6" s="291"/>
      <c r="K6" s="291"/>
      <c r="L6" s="292"/>
      <c r="M6" s="292"/>
    </row>
    <row r="7" spans="2:13" s="279" customFormat="1">
      <c r="B7" s="293" t="s">
        <v>3075</v>
      </c>
      <c r="C7" s="294"/>
      <c r="D7" s="294"/>
      <c r="E7" s="295"/>
      <c r="G7" s="294"/>
      <c r="K7" s="280"/>
      <c r="L7" s="281"/>
      <c r="M7" s="281"/>
    </row>
    <row r="8" spans="2:13" s="279" customFormat="1">
      <c r="B8" s="294"/>
      <c r="C8" s="294"/>
      <c r="D8" s="294"/>
      <c r="E8" s="295"/>
      <c r="G8" s="294"/>
      <c r="K8" s="280"/>
      <c r="L8" s="281"/>
      <c r="M8" s="281"/>
    </row>
    <row r="9" spans="2:13" s="279" customFormat="1">
      <c r="B9" s="294"/>
      <c r="C9" s="294"/>
      <c r="D9" s="294"/>
      <c r="E9" s="295"/>
      <c r="G9" s="294"/>
      <c r="K9" s="280"/>
      <c r="L9" s="281"/>
      <c r="M9" s="281"/>
    </row>
    <row r="10" spans="2:13" s="294" customFormat="1">
      <c r="B10" s="296" t="s">
        <v>3076</v>
      </c>
      <c r="C10" s="296"/>
      <c r="E10" s="295"/>
      <c r="K10" s="295"/>
      <c r="L10" s="297"/>
      <c r="M10" s="297"/>
    </row>
    <row r="11" spans="2:13" s="294" customFormat="1" ht="15" thickBot="1">
      <c r="B11" s="296" t="s">
        <v>3077</v>
      </c>
      <c r="C11" s="296"/>
      <c r="E11" s="295"/>
      <c r="F11" s="294" t="s">
        <v>3078</v>
      </c>
      <c r="K11" s="295"/>
      <c r="L11" s="297"/>
      <c r="M11" s="297"/>
    </row>
    <row r="12" spans="2:13" s="293" customFormat="1">
      <c r="B12" s="443" t="s">
        <v>0</v>
      </c>
      <c r="C12" s="444"/>
      <c r="D12" s="444"/>
      <c r="E12" s="444"/>
      <c r="F12" s="298" t="s">
        <v>3079</v>
      </c>
      <c r="G12" s="413"/>
      <c r="H12" s="413"/>
      <c r="I12" s="413"/>
      <c r="K12" s="300"/>
      <c r="L12" s="301"/>
      <c r="M12" s="301"/>
    </row>
    <row r="13" spans="2:13" s="293" customFormat="1">
      <c r="B13" s="441" t="s">
        <v>3080</v>
      </c>
      <c r="C13" s="442"/>
      <c r="D13" s="442"/>
      <c r="E13" s="442"/>
      <c r="F13" s="302" t="s">
        <v>3081</v>
      </c>
      <c r="G13" s="413"/>
      <c r="H13" s="413"/>
      <c r="I13" s="413"/>
      <c r="K13" s="300"/>
      <c r="L13" s="301"/>
      <c r="M13" s="301"/>
    </row>
    <row r="14" spans="2:13" s="293" customFormat="1">
      <c r="B14" s="441" t="s">
        <v>1</v>
      </c>
      <c r="C14" s="442"/>
      <c r="D14" s="442"/>
      <c r="E14" s="442"/>
      <c r="F14" s="303" t="s">
        <v>3082</v>
      </c>
      <c r="G14" s="304"/>
      <c r="H14" s="305"/>
      <c r="I14" s="305"/>
      <c r="J14" s="305"/>
      <c r="K14" s="300"/>
      <c r="L14" s="301"/>
      <c r="M14" s="301"/>
    </row>
    <row r="15" spans="2:13" s="293" customFormat="1">
      <c r="B15" s="441" t="s">
        <v>2</v>
      </c>
      <c r="C15" s="442"/>
      <c r="D15" s="442"/>
      <c r="E15" s="442"/>
      <c r="F15" s="306" t="s">
        <v>3083</v>
      </c>
      <c r="G15" s="307"/>
      <c r="H15" s="308"/>
      <c r="I15" s="308"/>
      <c r="K15" s="300"/>
      <c r="L15" s="301"/>
      <c r="M15" s="301"/>
    </row>
    <row r="16" spans="2:13" s="293" customFormat="1">
      <c r="B16" s="441" t="s">
        <v>3</v>
      </c>
      <c r="C16" s="442"/>
      <c r="D16" s="442"/>
      <c r="E16" s="442"/>
      <c r="F16" s="309" t="s">
        <v>3084</v>
      </c>
      <c r="G16" s="308"/>
      <c r="H16" s="308"/>
      <c r="I16" s="308"/>
      <c r="K16" s="300"/>
      <c r="L16" s="301"/>
      <c r="M16" s="301"/>
    </row>
    <row r="17" spans="2:13" s="293" customFormat="1">
      <c r="B17" s="441" t="s">
        <v>4</v>
      </c>
      <c r="C17" s="442"/>
      <c r="D17" s="442"/>
      <c r="E17" s="442"/>
      <c r="F17" s="310" t="s">
        <v>3085</v>
      </c>
      <c r="G17" s="308"/>
      <c r="H17" s="308"/>
      <c r="I17" s="308"/>
      <c r="K17" s="300"/>
      <c r="L17" s="301"/>
      <c r="M17" s="301"/>
    </row>
    <row r="18" spans="2:13" s="293" customFormat="1">
      <c r="B18" s="441" t="s">
        <v>5</v>
      </c>
      <c r="C18" s="442"/>
      <c r="D18" s="442"/>
      <c r="E18" s="442"/>
      <c r="F18" s="310" t="s">
        <v>3086</v>
      </c>
      <c r="G18" s="308"/>
      <c r="H18" s="308"/>
      <c r="I18" s="308"/>
      <c r="K18" s="300"/>
      <c r="L18" s="301"/>
      <c r="M18" s="301"/>
    </row>
    <row r="19" spans="2:13" s="293" customFormat="1">
      <c r="B19" s="441" t="s">
        <v>6</v>
      </c>
      <c r="C19" s="442"/>
      <c r="D19" s="442"/>
      <c r="E19" s="442"/>
      <c r="F19" s="303" t="s">
        <v>3087</v>
      </c>
      <c r="G19" s="307"/>
      <c r="H19" s="311"/>
      <c r="I19" s="311"/>
      <c r="J19" s="311"/>
      <c r="K19" s="311"/>
      <c r="L19" s="311"/>
      <c r="M19" s="311"/>
    </row>
    <row r="20" spans="2:13" s="293" customFormat="1" ht="15" thickBot="1">
      <c r="B20" s="445" t="s">
        <v>7</v>
      </c>
      <c r="C20" s="446"/>
      <c r="D20" s="446"/>
      <c r="E20" s="446"/>
      <c r="F20" s="312" t="s">
        <v>3088</v>
      </c>
      <c r="G20" s="308"/>
      <c r="H20" s="308"/>
      <c r="I20" s="308"/>
      <c r="K20" s="300"/>
      <c r="L20" s="301"/>
      <c r="M20" s="301"/>
    </row>
    <row r="21" spans="2:13">
      <c r="B21" s="413" t="s">
        <v>3089</v>
      </c>
      <c r="C21" s="413"/>
      <c r="D21" s="413"/>
      <c r="E21" s="413"/>
      <c r="F21" s="308"/>
    </row>
    <row r="23" spans="2:13">
      <c r="B23" s="313" t="s">
        <v>3090</v>
      </c>
      <c r="C23" s="413"/>
      <c r="D23" s="314"/>
      <c r="E23" s="315"/>
      <c r="F23" s="293"/>
      <c r="G23" s="293"/>
      <c r="H23" s="293"/>
      <c r="I23" s="293"/>
    </row>
    <row r="24" spans="2:13" ht="15" thickBot="1">
      <c r="B24" s="313" t="s">
        <v>3091</v>
      </c>
      <c r="C24" s="413"/>
      <c r="D24" s="314"/>
      <c r="E24" s="315"/>
      <c r="F24" s="293" t="s">
        <v>3078</v>
      </c>
      <c r="G24" s="293"/>
      <c r="H24" s="293"/>
      <c r="I24" s="293"/>
    </row>
    <row r="25" spans="2:13">
      <c r="B25" s="443" t="s">
        <v>8</v>
      </c>
      <c r="C25" s="444"/>
      <c r="D25" s="444"/>
      <c r="E25" s="444"/>
      <c r="F25" s="316">
        <v>0.84199999999999997</v>
      </c>
      <c r="G25" s="293"/>
      <c r="H25" s="293"/>
      <c r="I25" s="293"/>
    </row>
    <row r="26" spans="2:13">
      <c r="B26" s="441" t="s">
        <v>9</v>
      </c>
      <c r="C26" s="442"/>
      <c r="D26" s="442"/>
      <c r="E26" s="442"/>
      <c r="F26" s="317">
        <v>0.55200000000000005</v>
      </c>
      <c r="G26" s="293"/>
      <c r="H26" s="293"/>
      <c r="I26" s="293"/>
    </row>
    <row r="27" spans="2:13">
      <c r="B27" s="441" t="s">
        <v>10</v>
      </c>
      <c r="C27" s="442"/>
      <c r="D27" s="442"/>
      <c r="E27" s="442"/>
      <c r="F27" s="318">
        <v>0.12180000000000001</v>
      </c>
      <c r="G27" s="293"/>
      <c r="H27" s="293"/>
      <c r="I27" s="293"/>
    </row>
    <row r="28" spans="2:13">
      <c r="B28" s="441" t="s">
        <v>11</v>
      </c>
      <c r="C28" s="442"/>
      <c r="D28" s="442"/>
      <c r="E28" s="442"/>
      <c r="F28" s="318">
        <v>2.8799999999999999E-2</v>
      </c>
      <c r="G28" s="293"/>
      <c r="H28" s="293"/>
      <c r="I28" s="293"/>
    </row>
    <row r="29" spans="2:13">
      <c r="B29" s="441" t="s">
        <v>12</v>
      </c>
      <c r="C29" s="442"/>
      <c r="D29" s="442"/>
      <c r="E29" s="442"/>
      <c r="F29" s="319">
        <f>F27+F28</f>
        <v>0.15060000000000001</v>
      </c>
      <c r="G29" s="293"/>
      <c r="H29" s="293"/>
      <c r="I29" s="293"/>
    </row>
    <row r="30" spans="2:13">
      <c r="B30" s="441" t="s">
        <v>13</v>
      </c>
      <c r="C30" s="442"/>
      <c r="D30" s="442"/>
      <c r="E30" s="442"/>
      <c r="F30" s="318">
        <v>9.9199999999999997E-2</v>
      </c>
      <c r="G30" s="293"/>
      <c r="H30" s="293"/>
      <c r="I30" s="293"/>
    </row>
    <row r="31" spans="2:13">
      <c r="B31" s="441" t="s">
        <v>14</v>
      </c>
      <c r="C31" s="442"/>
      <c r="D31" s="442"/>
      <c r="E31" s="442"/>
      <c r="F31" s="318">
        <v>1</v>
      </c>
      <c r="G31" s="293" t="s">
        <v>3092</v>
      </c>
      <c r="H31" s="293"/>
      <c r="I31" s="293"/>
    </row>
    <row r="32" spans="2:13" ht="15" thickBot="1">
      <c r="B32" s="445" t="s">
        <v>15</v>
      </c>
      <c r="C32" s="446"/>
      <c r="D32" s="446"/>
      <c r="E32" s="446"/>
      <c r="F32" s="320">
        <v>1</v>
      </c>
      <c r="G32" s="293"/>
      <c r="H32" s="293"/>
      <c r="I32" s="293"/>
    </row>
    <row r="33" spans="1:19">
      <c r="A33" s="293"/>
      <c r="B33" s="413"/>
      <c r="C33" s="413"/>
      <c r="D33" s="413"/>
      <c r="E33" s="413"/>
      <c r="F33" s="321"/>
      <c r="G33" s="293"/>
      <c r="H33" s="293"/>
      <c r="I33" s="293"/>
      <c r="J33" s="293"/>
      <c r="K33" s="300"/>
      <c r="L33" s="301"/>
      <c r="M33" s="301"/>
      <c r="N33" s="293"/>
      <c r="O33" s="293"/>
      <c r="P33" s="293"/>
      <c r="Q33" s="293"/>
      <c r="R33" s="293"/>
      <c r="S33" s="293"/>
    </row>
    <row r="34" spans="1:19">
      <c r="A34" s="293"/>
      <c r="B34" s="322" t="s">
        <v>3093</v>
      </c>
      <c r="C34" s="308"/>
      <c r="D34" s="293"/>
      <c r="E34" s="300"/>
      <c r="F34" s="293"/>
      <c r="G34" s="293"/>
      <c r="H34" s="293"/>
      <c r="I34" s="293"/>
      <c r="J34" s="293"/>
      <c r="K34" s="300"/>
      <c r="L34" s="301"/>
      <c r="M34" s="301"/>
      <c r="N34" s="293"/>
      <c r="O34" s="293"/>
      <c r="P34" s="293"/>
      <c r="Q34" s="293"/>
      <c r="R34" s="293"/>
      <c r="S34" s="293"/>
    </row>
    <row r="35" spans="1:19">
      <c r="A35" s="279"/>
      <c r="B35" s="279"/>
      <c r="C35" s="279"/>
      <c r="D35" s="279"/>
      <c r="E35" s="279"/>
      <c r="F35" s="280"/>
      <c r="G35" s="279"/>
      <c r="H35" s="294"/>
      <c r="I35" s="294"/>
      <c r="J35" s="279"/>
      <c r="K35" s="279"/>
      <c r="L35" s="279"/>
      <c r="M35" s="279"/>
      <c r="N35" s="279"/>
      <c r="O35" s="279"/>
      <c r="P35" s="279"/>
      <c r="Q35" s="279"/>
      <c r="R35" s="279"/>
      <c r="S35" s="279"/>
    </row>
    <row r="36" spans="1:19" ht="15" thickBot="1">
      <c r="A36" s="293"/>
      <c r="B36" s="322" t="s">
        <v>3094</v>
      </c>
      <c r="C36" s="293"/>
      <c r="D36" s="293"/>
      <c r="E36" s="300"/>
      <c r="F36" s="300"/>
      <c r="G36" s="293"/>
      <c r="H36" s="293" t="s">
        <v>3095</v>
      </c>
      <c r="I36" s="293"/>
      <c r="J36" s="293"/>
      <c r="K36" s="293"/>
      <c r="L36" s="293"/>
      <c r="M36" s="293"/>
      <c r="N36" s="293"/>
      <c r="O36" s="293"/>
      <c r="P36" s="293"/>
      <c r="Q36" s="293"/>
      <c r="R36" s="293"/>
      <c r="S36" s="293"/>
    </row>
    <row r="37" spans="1:19" ht="15" customHeight="1" thickBot="1">
      <c r="A37" s="308"/>
      <c r="B37" s="452" t="s">
        <v>3096</v>
      </c>
      <c r="C37" s="453"/>
      <c r="D37" s="453"/>
      <c r="E37" s="454" t="s">
        <v>17</v>
      </c>
      <c r="F37" s="455"/>
      <c r="G37" s="323" t="s">
        <v>3097</v>
      </c>
      <c r="H37" s="324"/>
      <c r="I37" s="324"/>
      <c r="J37" s="325"/>
      <c r="K37" s="447" t="s">
        <v>3098</v>
      </c>
      <c r="L37" s="448"/>
      <c r="M37" s="448"/>
      <c r="N37" s="448"/>
      <c r="O37" s="449"/>
    </row>
    <row r="38" spans="1:19" ht="15" thickBot="1">
      <c r="A38" s="308"/>
      <c r="B38" s="450" t="s">
        <v>16</v>
      </c>
      <c r="C38" s="451"/>
      <c r="D38" s="451"/>
      <c r="E38" s="326" t="s">
        <v>18</v>
      </c>
      <c r="F38" s="327" t="s">
        <v>212</v>
      </c>
      <c r="G38" s="328" t="s">
        <v>2657</v>
      </c>
      <c r="H38" s="329" t="s">
        <v>2658</v>
      </c>
      <c r="I38" s="329" t="s">
        <v>2659</v>
      </c>
      <c r="J38" s="329" t="s">
        <v>2660</v>
      </c>
      <c r="K38" s="323" t="s">
        <v>204</v>
      </c>
      <c r="L38" s="325" t="s">
        <v>203</v>
      </c>
      <c r="M38" s="325"/>
      <c r="N38" s="412" t="s">
        <v>216</v>
      </c>
      <c r="O38" s="325" t="s">
        <v>207</v>
      </c>
      <c r="P38" s="325" t="s">
        <v>217</v>
      </c>
      <c r="Q38" s="316" t="s">
        <v>218</v>
      </c>
    </row>
    <row r="39" spans="1:19">
      <c r="A39" s="308"/>
      <c r="B39" s="330" t="s">
        <v>3099</v>
      </c>
      <c r="C39" s="331"/>
      <c r="D39" s="332" t="s">
        <v>3100</v>
      </c>
      <c r="E39" s="333">
        <v>-3.3978609999999998</v>
      </c>
      <c r="F39" s="334">
        <v>34.837608000000003</v>
      </c>
      <c r="G39" s="335">
        <v>12.565665055683967</v>
      </c>
      <c r="H39" s="336">
        <v>0.9665896196679955</v>
      </c>
      <c r="I39" s="336">
        <v>86.467745324648035</v>
      </c>
      <c r="J39" s="337">
        <v>1.0225726959093147</v>
      </c>
      <c r="K39" s="333" t="s">
        <v>229</v>
      </c>
      <c r="L39" s="338" t="s">
        <v>257</v>
      </c>
      <c r="M39" s="338"/>
      <c r="N39" s="338" t="s">
        <v>3101</v>
      </c>
      <c r="O39" s="338" t="s">
        <v>247</v>
      </c>
      <c r="P39" s="338" t="s">
        <v>234</v>
      </c>
      <c r="Q39" s="298" t="s">
        <v>3102</v>
      </c>
    </row>
    <row r="40" spans="1:19">
      <c r="A40" s="308"/>
      <c r="B40" s="339" t="s">
        <v>3103</v>
      </c>
      <c r="C40" s="340"/>
      <c r="D40" s="341" t="s">
        <v>3100</v>
      </c>
      <c r="E40" s="411">
        <v>-3.3978290019999999</v>
      </c>
      <c r="F40" s="343">
        <v>34.837011969999999</v>
      </c>
      <c r="G40" s="344">
        <v>21.13063730679653</v>
      </c>
      <c r="H40" s="345">
        <v>3.0912555579081076</v>
      </c>
      <c r="I40" s="345">
        <v>75.778107135295357</v>
      </c>
      <c r="J40" s="346">
        <v>0.46131099063578063</v>
      </c>
      <c r="K40" s="411" t="s">
        <v>229</v>
      </c>
      <c r="L40" s="466" t="s">
        <v>257</v>
      </c>
      <c r="M40" s="466"/>
      <c r="N40" s="409" t="s">
        <v>3101</v>
      </c>
      <c r="O40" s="409" t="s">
        <v>247</v>
      </c>
      <c r="P40" s="409" t="s">
        <v>234</v>
      </c>
      <c r="Q40" s="302" t="s">
        <v>3102</v>
      </c>
    </row>
    <row r="41" spans="1:19">
      <c r="A41" s="308"/>
      <c r="B41" s="339" t="s">
        <v>3104</v>
      </c>
      <c r="C41" s="340"/>
      <c r="D41" s="341" t="s">
        <v>3100</v>
      </c>
      <c r="E41" s="411">
        <v>-3.3854090330000002</v>
      </c>
      <c r="F41" s="343">
        <v>34.818901029999999</v>
      </c>
      <c r="G41" s="344">
        <v>54.080969906906262</v>
      </c>
      <c r="H41" s="345">
        <v>21.264484651351896</v>
      </c>
      <c r="I41" s="345">
        <v>24.654545441741845</v>
      </c>
      <c r="J41" s="346">
        <v>1.8433218334154755</v>
      </c>
      <c r="K41" s="411" t="s">
        <v>229</v>
      </c>
      <c r="L41" s="466" t="s">
        <v>257</v>
      </c>
      <c r="M41" s="466"/>
      <c r="N41" s="409" t="s">
        <v>3101</v>
      </c>
      <c r="O41" s="409" t="s">
        <v>247</v>
      </c>
      <c r="P41" s="409" t="s">
        <v>234</v>
      </c>
      <c r="Q41" s="302" t="s">
        <v>3102</v>
      </c>
    </row>
    <row r="42" spans="1:19">
      <c r="A42" s="308"/>
      <c r="B42" s="339" t="s">
        <v>3105</v>
      </c>
      <c r="C42" s="340"/>
      <c r="D42" s="341" t="s">
        <v>3100</v>
      </c>
      <c r="E42" s="411">
        <v>-3.3849129919999998</v>
      </c>
      <c r="F42" s="343">
        <v>34.818899020000003</v>
      </c>
      <c r="G42" s="344">
        <v>51.960000000000008</v>
      </c>
      <c r="H42" s="345">
        <v>18.919999999999995</v>
      </c>
      <c r="I42" s="345">
        <v>29.120000000000005</v>
      </c>
      <c r="J42" s="346">
        <v>1.85293247905372</v>
      </c>
      <c r="K42" s="411" t="s">
        <v>229</v>
      </c>
      <c r="L42" s="466" t="s">
        <v>257</v>
      </c>
      <c r="M42" s="466"/>
      <c r="N42" s="409" t="s">
        <v>3101</v>
      </c>
      <c r="O42" s="409" t="s">
        <v>247</v>
      </c>
      <c r="P42" s="409" t="s">
        <v>234</v>
      </c>
      <c r="Q42" s="302" t="s">
        <v>3102</v>
      </c>
    </row>
    <row r="43" spans="1:19">
      <c r="A43" s="308"/>
      <c r="B43" s="339" t="s">
        <v>3106</v>
      </c>
      <c r="C43" s="340"/>
      <c r="D43" s="341" t="s">
        <v>3107</v>
      </c>
      <c r="E43" s="411">
        <v>-3.4092039989999998</v>
      </c>
      <c r="F43" s="343">
        <v>34.852751009999999</v>
      </c>
      <c r="G43" s="344">
        <v>23.96</v>
      </c>
      <c r="H43" s="345">
        <v>0.91999999999999804</v>
      </c>
      <c r="I43" s="345">
        <v>75.12</v>
      </c>
      <c r="J43" s="346">
        <v>1.2493839329719072</v>
      </c>
      <c r="K43" s="411" t="s">
        <v>229</v>
      </c>
      <c r="L43" s="466" t="s">
        <v>244</v>
      </c>
      <c r="M43" s="466"/>
      <c r="N43" s="409" t="s">
        <v>3101</v>
      </c>
      <c r="O43" s="409" t="s">
        <v>247</v>
      </c>
      <c r="P43" s="409" t="s">
        <v>234</v>
      </c>
      <c r="Q43" s="302" t="s">
        <v>3102</v>
      </c>
    </row>
    <row r="44" spans="1:19">
      <c r="A44" s="308"/>
      <c r="B44" s="339" t="s">
        <v>3108</v>
      </c>
      <c r="C44" s="340"/>
      <c r="D44" s="341" t="s">
        <v>3107</v>
      </c>
      <c r="E44" s="411">
        <v>-3.4083420040000001</v>
      </c>
      <c r="F44" s="343">
        <v>34.850283040000001</v>
      </c>
      <c r="G44" s="344">
        <v>19.96</v>
      </c>
      <c r="H44" s="345">
        <v>4.9199999999999982</v>
      </c>
      <c r="I44" s="345">
        <v>75.12</v>
      </c>
      <c r="J44" s="346">
        <v>1.641498275012321</v>
      </c>
      <c r="K44" s="411" t="s">
        <v>229</v>
      </c>
      <c r="L44" s="466" t="s">
        <v>244</v>
      </c>
      <c r="M44" s="466"/>
      <c r="N44" s="409" t="s">
        <v>3101</v>
      </c>
      <c r="O44" s="409" t="s">
        <v>247</v>
      </c>
      <c r="P44" s="409" t="s">
        <v>234</v>
      </c>
      <c r="Q44" s="302" t="s">
        <v>3102</v>
      </c>
    </row>
    <row r="45" spans="1:19">
      <c r="A45" s="308"/>
      <c r="B45" s="339" t="s">
        <v>3109</v>
      </c>
      <c r="C45" s="340"/>
      <c r="D45" s="341" t="s">
        <v>3107</v>
      </c>
      <c r="E45" s="411">
        <v>-3.406225992</v>
      </c>
      <c r="F45" s="343">
        <v>34.85055998</v>
      </c>
      <c r="G45" s="344">
        <v>21.96</v>
      </c>
      <c r="H45" s="345">
        <v>8.9199999999999982</v>
      </c>
      <c r="I45" s="345">
        <v>69.12</v>
      </c>
      <c r="J45" s="346">
        <v>1.7491375061606702</v>
      </c>
      <c r="K45" s="411" t="s">
        <v>229</v>
      </c>
      <c r="L45" s="466" t="s">
        <v>244</v>
      </c>
      <c r="M45" s="466"/>
      <c r="N45" s="409" t="s">
        <v>3101</v>
      </c>
      <c r="O45" s="409" t="s">
        <v>247</v>
      </c>
      <c r="P45" s="409" t="s">
        <v>234</v>
      </c>
      <c r="Q45" s="302" t="s">
        <v>3102</v>
      </c>
    </row>
    <row r="46" spans="1:19">
      <c r="A46" s="308"/>
      <c r="B46" s="339" t="s">
        <v>3110</v>
      </c>
      <c r="C46" s="340"/>
      <c r="D46" s="341" t="s">
        <v>3107</v>
      </c>
      <c r="E46" s="411">
        <v>-3.4064239729999999</v>
      </c>
      <c r="F46" s="343">
        <v>34.851213010000002</v>
      </c>
      <c r="G46" s="344">
        <v>25.96</v>
      </c>
      <c r="H46" s="345">
        <v>6.9200000000000008</v>
      </c>
      <c r="I46" s="345">
        <v>67.12</v>
      </c>
      <c r="J46" s="346">
        <v>1.7568260226712666</v>
      </c>
      <c r="K46" s="411" t="s">
        <v>229</v>
      </c>
      <c r="L46" s="466" t="s">
        <v>244</v>
      </c>
      <c r="M46" s="466"/>
      <c r="N46" s="409" t="s">
        <v>3101</v>
      </c>
      <c r="O46" s="409" t="s">
        <v>247</v>
      </c>
      <c r="P46" s="409" t="s">
        <v>234</v>
      </c>
      <c r="Q46" s="302" t="s">
        <v>3102</v>
      </c>
    </row>
    <row r="47" spans="1:19">
      <c r="A47" s="308"/>
      <c r="B47" s="339" t="s">
        <v>3111</v>
      </c>
      <c r="C47" s="340"/>
      <c r="D47" s="341" t="s">
        <v>3112</v>
      </c>
      <c r="E47" s="411">
        <v>-3.2993960379999998</v>
      </c>
      <c r="F47" s="343">
        <v>34.848240959999998</v>
      </c>
      <c r="G47" s="344">
        <v>47.96</v>
      </c>
      <c r="H47" s="345">
        <v>22.919999999999995</v>
      </c>
      <c r="I47" s="345">
        <v>29.120000000000012</v>
      </c>
      <c r="J47" s="346">
        <v>2.8831936914736325</v>
      </c>
      <c r="K47" s="411" t="s">
        <v>229</v>
      </c>
      <c r="L47" s="466" t="s">
        <v>230</v>
      </c>
      <c r="M47" s="466"/>
      <c r="N47" s="409" t="s">
        <v>3101</v>
      </c>
      <c r="O47" s="409" t="s">
        <v>247</v>
      </c>
      <c r="P47" s="409" t="s">
        <v>234</v>
      </c>
      <c r="Q47" s="302" t="s">
        <v>3102</v>
      </c>
    </row>
    <row r="48" spans="1:19">
      <c r="A48" s="308"/>
      <c r="B48" s="339" t="s">
        <v>3113</v>
      </c>
      <c r="C48" s="340"/>
      <c r="D48" s="341" t="s">
        <v>3112</v>
      </c>
      <c r="E48" s="411">
        <v>-3.3025860229999999</v>
      </c>
      <c r="F48" s="343">
        <v>34.848048009999999</v>
      </c>
      <c r="G48" s="344">
        <v>45.272914521112256</v>
      </c>
      <c r="H48" s="345">
        <v>23.604531410916575</v>
      </c>
      <c r="I48" s="345">
        <v>31.122554067971166</v>
      </c>
      <c r="J48" s="346">
        <v>2.0547560374568752</v>
      </c>
      <c r="K48" s="411" t="s">
        <v>229</v>
      </c>
      <c r="L48" s="466" t="s">
        <v>230</v>
      </c>
      <c r="M48" s="466"/>
      <c r="N48" s="409" t="s">
        <v>3101</v>
      </c>
      <c r="O48" s="409" t="s">
        <v>247</v>
      </c>
      <c r="P48" s="409" t="s">
        <v>234</v>
      </c>
      <c r="Q48" s="302" t="s">
        <v>3102</v>
      </c>
    </row>
    <row r="49" spans="1:17">
      <c r="A49" s="308"/>
      <c r="B49" s="339" t="s">
        <v>3114</v>
      </c>
      <c r="C49" s="340"/>
      <c r="D49" s="341" t="s">
        <v>3112</v>
      </c>
      <c r="E49" s="411">
        <v>-3.2957159630000001</v>
      </c>
      <c r="F49" s="343">
        <v>34.852460999999998</v>
      </c>
      <c r="G49" s="344">
        <v>38.691629007962128</v>
      </c>
      <c r="H49" s="345">
        <v>26.81299763288143</v>
      </c>
      <c r="I49" s="345">
        <v>34.495373359156439</v>
      </c>
      <c r="J49" s="346">
        <v>2.5483587974371611</v>
      </c>
      <c r="K49" s="411" t="s">
        <v>229</v>
      </c>
      <c r="L49" s="466" t="s">
        <v>230</v>
      </c>
      <c r="M49" s="466"/>
      <c r="N49" s="409" t="s">
        <v>3101</v>
      </c>
      <c r="O49" s="409" t="s">
        <v>247</v>
      </c>
      <c r="P49" s="409" t="s">
        <v>234</v>
      </c>
      <c r="Q49" s="302" t="s">
        <v>3102</v>
      </c>
    </row>
    <row r="50" spans="1:17">
      <c r="A50" s="308"/>
      <c r="B50" s="339" t="s">
        <v>3115</v>
      </c>
      <c r="C50" s="340"/>
      <c r="D50" s="341" t="s">
        <v>3112</v>
      </c>
      <c r="E50" s="411">
        <v>-3.2966709980000002</v>
      </c>
      <c r="F50" s="343">
        <v>34.854407019999996</v>
      </c>
      <c r="G50" s="344">
        <v>28.145762029394</v>
      </c>
      <c r="H50" s="345">
        <v>25.085564727199518</v>
      </c>
      <c r="I50" s="345">
        <v>46.768673243406489</v>
      </c>
      <c r="J50" s="346">
        <v>2.1716214884179394</v>
      </c>
      <c r="K50" s="411" t="s">
        <v>229</v>
      </c>
      <c r="L50" s="466" t="s">
        <v>230</v>
      </c>
      <c r="M50" s="466"/>
      <c r="N50" s="409" t="s">
        <v>3101</v>
      </c>
      <c r="O50" s="409" t="s">
        <v>247</v>
      </c>
      <c r="P50" s="409" t="s">
        <v>234</v>
      </c>
      <c r="Q50" s="302" t="s">
        <v>3102</v>
      </c>
    </row>
    <row r="51" spans="1:17">
      <c r="A51" s="293"/>
      <c r="B51" s="339" t="s">
        <v>3116</v>
      </c>
      <c r="C51" s="340"/>
      <c r="D51" s="341" t="s">
        <v>3117</v>
      </c>
      <c r="E51" s="411">
        <v>-2.3691620310000001</v>
      </c>
      <c r="F51" s="343">
        <v>34.06028104</v>
      </c>
      <c r="G51" s="344">
        <v>45.96</v>
      </c>
      <c r="H51" s="345">
        <v>14.920000000000003</v>
      </c>
      <c r="I51" s="345">
        <v>39.119999999999997</v>
      </c>
      <c r="J51" s="346">
        <v>2.0374568753080333</v>
      </c>
      <c r="K51" s="411" t="s">
        <v>229</v>
      </c>
      <c r="L51" s="466" t="s">
        <v>257</v>
      </c>
      <c r="M51" s="466"/>
      <c r="N51" s="409" t="s">
        <v>3101</v>
      </c>
      <c r="O51" s="409" t="s">
        <v>247</v>
      </c>
      <c r="P51" s="409" t="s">
        <v>234</v>
      </c>
      <c r="Q51" s="302" t="s">
        <v>3102</v>
      </c>
    </row>
    <row r="52" spans="1:17">
      <c r="A52" s="293"/>
      <c r="B52" s="339" t="s">
        <v>3118</v>
      </c>
      <c r="C52" s="340"/>
      <c r="D52" s="341" t="s">
        <v>3117</v>
      </c>
      <c r="E52" s="411">
        <v>-2.3698080240000001</v>
      </c>
      <c r="F52" s="343">
        <v>34.059671010000002</v>
      </c>
      <c r="G52" s="344">
        <v>34.344660194174757</v>
      </c>
      <c r="H52" s="345">
        <v>19.22727272727273</v>
      </c>
      <c r="I52" s="345">
        <v>46.428067078552509</v>
      </c>
      <c r="J52" s="346">
        <v>1.7452932479053718</v>
      </c>
      <c r="K52" s="411" t="s">
        <v>229</v>
      </c>
      <c r="L52" s="466" t="s">
        <v>257</v>
      </c>
      <c r="M52" s="466"/>
      <c r="N52" s="409" t="s">
        <v>3101</v>
      </c>
      <c r="O52" s="409" t="s">
        <v>247</v>
      </c>
      <c r="P52" s="409" t="s">
        <v>234</v>
      </c>
      <c r="Q52" s="302" t="s">
        <v>3102</v>
      </c>
    </row>
    <row r="53" spans="1:17">
      <c r="A53" s="293"/>
      <c r="B53" s="339" t="s">
        <v>3119</v>
      </c>
      <c r="C53" s="340"/>
      <c r="D53" s="341" t="s">
        <v>3117</v>
      </c>
      <c r="E53" s="411">
        <v>-2.3487199940000001</v>
      </c>
      <c r="F53" s="343">
        <v>34.051391029999998</v>
      </c>
      <c r="G53" s="344">
        <v>27.96</v>
      </c>
      <c r="H53" s="345">
        <v>4.9200000000000017</v>
      </c>
      <c r="I53" s="345">
        <v>67.12</v>
      </c>
      <c r="J53" s="346">
        <v>0.88610152784622953</v>
      </c>
      <c r="K53" s="411" t="s">
        <v>229</v>
      </c>
      <c r="L53" s="466" t="s">
        <v>257</v>
      </c>
      <c r="M53" s="466"/>
      <c r="N53" s="409" t="s">
        <v>3101</v>
      </c>
      <c r="O53" s="409" t="s">
        <v>247</v>
      </c>
      <c r="P53" s="409" t="s">
        <v>234</v>
      </c>
      <c r="Q53" s="302" t="s">
        <v>3102</v>
      </c>
    </row>
    <row r="54" spans="1:17">
      <c r="A54" s="293"/>
      <c r="B54" s="339" t="s">
        <v>3120</v>
      </c>
      <c r="C54" s="340"/>
      <c r="D54" s="341" t="s">
        <v>3117</v>
      </c>
      <c r="E54" s="411">
        <v>-2.3492639789999998</v>
      </c>
      <c r="F54" s="343">
        <v>34.051464029999998</v>
      </c>
      <c r="G54" s="344">
        <v>17.96</v>
      </c>
      <c r="H54" s="345">
        <v>4.9199999999999982</v>
      </c>
      <c r="I54" s="345">
        <v>77.12</v>
      </c>
      <c r="J54" s="346">
        <v>2.0220798422868409</v>
      </c>
      <c r="K54" s="411" t="s">
        <v>229</v>
      </c>
      <c r="L54" s="466" t="s">
        <v>257</v>
      </c>
      <c r="M54" s="466"/>
      <c r="N54" s="409" t="s">
        <v>3101</v>
      </c>
      <c r="O54" s="409" t="s">
        <v>247</v>
      </c>
      <c r="P54" s="409" t="s">
        <v>234</v>
      </c>
      <c r="Q54" s="302" t="s">
        <v>3102</v>
      </c>
    </row>
    <row r="55" spans="1:17">
      <c r="B55" s="339" t="s">
        <v>3121</v>
      </c>
      <c r="C55" s="340"/>
      <c r="D55" s="341" t="s">
        <v>3122</v>
      </c>
      <c r="E55" s="411">
        <v>-2.3503360249999998</v>
      </c>
      <c r="F55" s="343">
        <v>34.049662009999999</v>
      </c>
      <c r="G55" s="344">
        <v>31.214836424255054</v>
      </c>
      <c r="H55" s="345">
        <v>11.377370285476141</v>
      </c>
      <c r="I55" s="345">
        <v>57.407793290268799</v>
      </c>
      <c r="J55" s="346">
        <v>1.7337604731394776</v>
      </c>
      <c r="K55" s="411" t="s">
        <v>229</v>
      </c>
      <c r="L55" s="466" t="s">
        <v>244</v>
      </c>
      <c r="M55" s="466"/>
      <c r="N55" s="409" t="s">
        <v>3101</v>
      </c>
      <c r="O55" s="409" t="s">
        <v>247</v>
      </c>
      <c r="P55" s="409" t="s">
        <v>234</v>
      </c>
      <c r="Q55" s="302" t="s">
        <v>3102</v>
      </c>
    </row>
    <row r="56" spans="1:17">
      <c r="B56" s="339" t="s">
        <v>3123</v>
      </c>
      <c r="C56" s="340"/>
      <c r="D56" s="341" t="s">
        <v>3122</v>
      </c>
      <c r="E56" s="411">
        <v>-2.348596025</v>
      </c>
      <c r="F56" s="343">
        <v>34.050070959999999</v>
      </c>
      <c r="G56" s="344">
        <v>33.96</v>
      </c>
      <c r="H56" s="345">
        <v>8.9200000000000017</v>
      </c>
      <c r="I56" s="345">
        <v>57.12</v>
      </c>
      <c r="J56" s="346">
        <v>2.072055199605717</v>
      </c>
      <c r="K56" s="411" t="s">
        <v>229</v>
      </c>
      <c r="L56" s="466" t="s">
        <v>244</v>
      </c>
      <c r="M56" s="466"/>
      <c r="N56" s="409" t="s">
        <v>3101</v>
      </c>
      <c r="O56" s="409" t="s">
        <v>247</v>
      </c>
      <c r="P56" s="409" t="s">
        <v>234</v>
      </c>
      <c r="Q56" s="302" t="s">
        <v>3102</v>
      </c>
    </row>
    <row r="57" spans="1:17">
      <c r="B57" s="339" t="s">
        <v>3124</v>
      </c>
      <c r="C57" s="340"/>
      <c r="D57" s="341" t="s">
        <v>3122</v>
      </c>
      <c r="E57" s="411">
        <v>-2.3675269729999999</v>
      </c>
      <c r="F57" s="343">
        <v>34.06035799</v>
      </c>
      <c r="G57" s="344">
        <v>39.96</v>
      </c>
      <c r="H57" s="345">
        <v>12.920000000000002</v>
      </c>
      <c r="I57" s="345">
        <v>47.12</v>
      </c>
      <c r="J57" s="346">
        <v>1.6549531789058647</v>
      </c>
      <c r="K57" s="411" t="s">
        <v>229</v>
      </c>
      <c r="L57" s="466" t="s">
        <v>244</v>
      </c>
      <c r="M57" s="466"/>
      <c r="N57" s="409" t="s">
        <v>3101</v>
      </c>
      <c r="O57" s="409" t="s">
        <v>247</v>
      </c>
      <c r="P57" s="409" t="s">
        <v>234</v>
      </c>
      <c r="Q57" s="302" t="s">
        <v>3102</v>
      </c>
    </row>
    <row r="58" spans="1:17">
      <c r="B58" s="339" t="s">
        <v>3125</v>
      </c>
      <c r="C58" s="340"/>
      <c r="D58" s="341" t="s">
        <v>3122</v>
      </c>
      <c r="E58" s="411">
        <v>-2.3676780150000001</v>
      </c>
      <c r="F58" s="343">
        <v>34.05937797</v>
      </c>
      <c r="G58" s="344">
        <v>27.96</v>
      </c>
      <c r="H58" s="345">
        <v>4.9200000000000017</v>
      </c>
      <c r="I58" s="345">
        <v>67.12</v>
      </c>
      <c r="J58" s="346">
        <v>1.0437161163134547</v>
      </c>
      <c r="K58" s="411" t="s">
        <v>229</v>
      </c>
      <c r="L58" s="466" t="s">
        <v>244</v>
      </c>
      <c r="M58" s="466"/>
      <c r="N58" s="409" t="s">
        <v>3101</v>
      </c>
      <c r="O58" s="409" t="s">
        <v>247</v>
      </c>
      <c r="P58" s="409" t="s">
        <v>234</v>
      </c>
      <c r="Q58" s="302" t="s">
        <v>3102</v>
      </c>
    </row>
    <row r="59" spans="1:17">
      <c r="B59" s="339" t="s">
        <v>3126</v>
      </c>
      <c r="C59" s="340"/>
      <c r="D59" s="341" t="s">
        <v>3127</v>
      </c>
      <c r="E59" s="411">
        <v>-2.272751033</v>
      </c>
      <c r="F59" s="343">
        <v>34.023176030000002</v>
      </c>
      <c r="G59" s="344">
        <v>21.96</v>
      </c>
      <c r="H59" s="345">
        <v>4.9199999999999982</v>
      </c>
      <c r="I59" s="345">
        <v>73.12</v>
      </c>
      <c r="J59" s="346">
        <v>1.2416954164613114</v>
      </c>
      <c r="K59" s="411" t="s">
        <v>229</v>
      </c>
      <c r="L59" s="466" t="s">
        <v>230</v>
      </c>
      <c r="M59" s="466"/>
      <c r="N59" s="409" t="s">
        <v>3101</v>
      </c>
      <c r="O59" s="409" t="s">
        <v>247</v>
      </c>
      <c r="P59" s="409" t="s">
        <v>234</v>
      </c>
      <c r="Q59" s="302" t="s">
        <v>3102</v>
      </c>
    </row>
    <row r="60" spans="1:17">
      <c r="B60" s="339" t="s">
        <v>3128</v>
      </c>
      <c r="C60" s="340"/>
      <c r="D60" s="341" t="s">
        <v>3127</v>
      </c>
      <c r="E60" s="411">
        <v>-2.2784290180000002</v>
      </c>
      <c r="F60" s="343">
        <v>34.024240030000001</v>
      </c>
      <c r="G60" s="344">
        <v>23.96</v>
      </c>
      <c r="H60" s="345">
        <v>4.9199999999999982</v>
      </c>
      <c r="I60" s="345">
        <v>71.12</v>
      </c>
      <c r="J60" s="346">
        <v>3.30913750616067</v>
      </c>
      <c r="K60" s="411" t="s">
        <v>229</v>
      </c>
      <c r="L60" s="466" t="s">
        <v>230</v>
      </c>
      <c r="M60" s="466"/>
      <c r="N60" s="409" t="s">
        <v>3101</v>
      </c>
      <c r="O60" s="409" t="s">
        <v>247</v>
      </c>
      <c r="P60" s="409" t="s">
        <v>234</v>
      </c>
      <c r="Q60" s="302" t="s">
        <v>3102</v>
      </c>
    </row>
    <row r="61" spans="1:17">
      <c r="B61" s="339" t="s">
        <v>3129</v>
      </c>
      <c r="C61" s="340"/>
      <c r="D61" s="341" t="s">
        <v>3127</v>
      </c>
      <c r="E61" s="411">
        <v>-2.277740026</v>
      </c>
      <c r="F61" s="343">
        <v>34.027640990000002</v>
      </c>
      <c r="G61" s="344">
        <v>25.96</v>
      </c>
      <c r="H61" s="345">
        <v>8.9200000000000017</v>
      </c>
      <c r="I61" s="345">
        <v>65.12</v>
      </c>
      <c r="J61" s="346">
        <v>1.614588467225234</v>
      </c>
      <c r="K61" s="411" t="s">
        <v>229</v>
      </c>
      <c r="L61" s="466" t="s">
        <v>230</v>
      </c>
      <c r="M61" s="466"/>
      <c r="N61" s="409" t="s">
        <v>3101</v>
      </c>
      <c r="O61" s="409" t="s">
        <v>247</v>
      </c>
      <c r="P61" s="409" t="s">
        <v>234</v>
      </c>
      <c r="Q61" s="302" t="s">
        <v>3102</v>
      </c>
    </row>
    <row r="62" spans="1:17">
      <c r="B62" s="339" t="s">
        <v>3130</v>
      </c>
      <c r="C62" s="340"/>
      <c r="D62" s="341" t="s">
        <v>3127</v>
      </c>
      <c r="E62" s="411">
        <v>-2.2787330300000002</v>
      </c>
      <c r="F62" s="343">
        <v>34.032136029999997</v>
      </c>
      <c r="G62" s="344">
        <v>25.96</v>
      </c>
      <c r="H62" s="345">
        <v>8.9200000000000017</v>
      </c>
      <c r="I62" s="345">
        <v>65.12</v>
      </c>
      <c r="J62" s="346">
        <v>1.6991621488417901</v>
      </c>
      <c r="K62" s="411" t="s">
        <v>229</v>
      </c>
      <c r="L62" s="466" t="s">
        <v>230</v>
      </c>
      <c r="M62" s="466"/>
      <c r="N62" s="409" t="s">
        <v>3101</v>
      </c>
      <c r="O62" s="409" t="s">
        <v>247</v>
      </c>
      <c r="P62" s="409" t="s">
        <v>234</v>
      </c>
      <c r="Q62" s="302" t="s">
        <v>3102</v>
      </c>
    </row>
    <row r="63" spans="1:17" ht="15" thickBot="1">
      <c r="B63" s="348" t="s">
        <v>2512</v>
      </c>
      <c r="C63" s="349"/>
      <c r="D63" s="350" t="s">
        <v>3131</v>
      </c>
      <c r="E63" s="351">
        <v>-2.439403972</v>
      </c>
      <c r="F63" s="352">
        <v>34.838404959999998</v>
      </c>
      <c r="G63" s="353">
        <v>22.017293559158162</v>
      </c>
      <c r="H63" s="354">
        <v>6.5855206693798616</v>
      </c>
      <c r="I63" s="354">
        <v>71.397185771461977</v>
      </c>
      <c r="J63" s="355">
        <v>1.1393420404139967</v>
      </c>
      <c r="K63" s="351" t="s">
        <v>229</v>
      </c>
      <c r="L63" s="356" t="s">
        <v>230</v>
      </c>
      <c r="M63" s="356"/>
      <c r="N63" s="356" t="s">
        <v>3101</v>
      </c>
      <c r="O63" s="356" t="s">
        <v>247</v>
      </c>
      <c r="P63" s="356" t="s">
        <v>234</v>
      </c>
      <c r="Q63" s="357" t="s">
        <v>3102</v>
      </c>
    </row>
    <row r="64" spans="1:17">
      <c r="B64" s="322" t="s">
        <v>3132</v>
      </c>
    </row>
    <row r="67" spans="2:34" ht="15" thickBot="1">
      <c r="B67" s="322" t="s">
        <v>3133</v>
      </c>
      <c r="C67" s="308"/>
      <c r="D67" s="308"/>
      <c r="E67" s="308"/>
      <c r="F67" s="358"/>
      <c r="G67" s="358"/>
      <c r="H67" s="358"/>
      <c r="I67" s="358"/>
      <c r="J67" s="308"/>
      <c r="K67" s="359"/>
      <c r="L67" s="360"/>
    </row>
    <row r="68" spans="2:34" ht="15" thickBot="1">
      <c r="B68" s="459" t="s">
        <v>21</v>
      </c>
      <c r="C68" s="460"/>
      <c r="D68" s="460"/>
      <c r="E68" s="460"/>
      <c r="F68" s="361" t="s">
        <v>3134</v>
      </c>
      <c r="G68" s="410"/>
      <c r="H68" s="410"/>
      <c r="I68" s="410"/>
      <c r="J68" s="410"/>
      <c r="K68" s="410"/>
      <c r="L68" s="363"/>
    </row>
    <row r="69" spans="2:34">
      <c r="B69" s="461" t="s">
        <v>22</v>
      </c>
      <c r="C69" s="462"/>
      <c r="D69" s="462"/>
      <c r="E69" s="462"/>
      <c r="F69" s="364" t="s">
        <v>3135</v>
      </c>
      <c r="G69" s="365"/>
      <c r="H69" s="365"/>
      <c r="I69" s="365"/>
      <c r="J69" s="365"/>
      <c r="K69" s="365"/>
      <c r="L69" s="366"/>
    </row>
    <row r="70" spans="2:34" ht="15" thickBot="1">
      <c r="B70" s="463" t="s">
        <v>25</v>
      </c>
      <c r="C70" s="464"/>
      <c r="D70" s="464"/>
      <c r="E70" s="464"/>
      <c r="F70" s="465" t="s">
        <v>3136</v>
      </c>
      <c r="G70" s="466"/>
      <c r="H70" s="466"/>
      <c r="I70" s="466"/>
      <c r="J70" s="466"/>
      <c r="K70" s="466"/>
      <c r="L70" s="466"/>
      <c r="M70" s="466"/>
    </row>
    <row r="71" spans="2:34">
      <c r="B71" s="322" t="s">
        <v>3137</v>
      </c>
    </row>
    <row r="72" spans="2:34" ht="18">
      <c r="AH72" s="367"/>
    </row>
    <row r="73" spans="2:34">
      <c r="D73" s="456" t="s">
        <v>3138</v>
      </c>
      <c r="E73" s="456"/>
      <c r="F73" s="456"/>
      <c r="G73" s="456"/>
      <c r="H73" s="456"/>
    </row>
    <row r="74" spans="2:34" ht="18.600000000000001" thickBot="1">
      <c r="B74" s="368" t="s">
        <v>3139</v>
      </c>
      <c r="D74" s="457"/>
      <c r="E74" s="457"/>
      <c r="F74" s="457"/>
      <c r="G74" s="457"/>
      <c r="H74" s="457"/>
      <c r="Z74" s="458" t="s">
        <v>3140</v>
      </c>
      <c r="AA74" s="458"/>
      <c r="AB74" s="458"/>
      <c r="AC74" s="458"/>
      <c r="AD74" s="458"/>
      <c r="AE74" s="458"/>
    </row>
    <row r="75" spans="2:34" ht="101.4" thickBot="1">
      <c r="B75" s="369" t="s">
        <v>2451</v>
      </c>
      <c r="C75" s="109" t="s">
        <v>23</v>
      </c>
      <c r="D75" s="109" t="s">
        <v>3141</v>
      </c>
      <c r="E75" s="109" t="s">
        <v>25</v>
      </c>
      <c r="F75" s="109" t="s">
        <v>26</v>
      </c>
      <c r="G75" s="370" t="s">
        <v>27</v>
      </c>
      <c r="H75" s="109" t="s">
        <v>3142</v>
      </c>
      <c r="I75" s="109" t="s">
        <v>3143</v>
      </c>
      <c r="J75" s="109" t="s">
        <v>3144</v>
      </c>
      <c r="K75" s="109" t="s">
        <v>28</v>
      </c>
      <c r="L75" s="109" t="s">
        <v>29</v>
      </c>
      <c r="M75" s="109" t="s">
        <v>3145</v>
      </c>
      <c r="N75" s="109" t="s">
        <v>30</v>
      </c>
      <c r="O75" s="370" t="s">
        <v>31</v>
      </c>
      <c r="P75" s="109" t="s">
        <v>3149</v>
      </c>
      <c r="Q75" s="109" t="s">
        <v>3150</v>
      </c>
      <c r="R75" s="109" t="s">
        <v>34</v>
      </c>
      <c r="S75" s="109" t="s">
        <v>35</v>
      </c>
      <c r="T75" s="109" t="s">
        <v>3155</v>
      </c>
      <c r="U75" s="109" t="s">
        <v>288</v>
      </c>
      <c r="V75" s="109" t="s">
        <v>291</v>
      </c>
      <c r="W75" s="109" t="s">
        <v>292</v>
      </c>
      <c r="X75" s="109" t="s">
        <v>40</v>
      </c>
      <c r="Y75" s="371" t="s">
        <v>41</v>
      </c>
      <c r="Z75" s="372" t="s">
        <v>3163</v>
      </c>
      <c r="AA75" s="372" t="s">
        <v>3156</v>
      </c>
      <c r="AB75" s="372" t="s">
        <v>3157</v>
      </c>
      <c r="AC75" s="372" t="s">
        <v>3162</v>
      </c>
      <c r="AD75" s="372" t="s">
        <v>3158</v>
      </c>
      <c r="AE75" s="373" t="s">
        <v>3159</v>
      </c>
    </row>
    <row r="76" spans="2:34">
      <c r="B76" t="str">
        <f>Dryseason!B2</f>
        <v>Dry</v>
      </c>
      <c r="C76" s="253">
        <f>Dryseason!C2</f>
        <v>1</v>
      </c>
      <c r="D76" t="s">
        <v>3099</v>
      </c>
      <c r="E76" t="s">
        <v>22</v>
      </c>
      <c r="F76" s="374">
        <v>1</v>
      </c>
      <c r="G76" s="16">
        <f>IF('Dry_Litterbag Placem_Collection'!E3="","",'Dry_Litterbag Placem_Collection'!E3)</f>
        <v>42938</v>
      </c>
      <c r="H76" t="str">
        <f>Dryseason!L2</f>
        <v>G407</v>
      </c>
      <c r="I76" t="str">
        <f>Dryseason!L222</f>
        <v>R811</v>
      </c>
      <c r="J76">
        <f>IFERROR(INDEX('Green_rooibos initial weight'!$C$5:$C$2000,MATCH(H76, 'Green_rooibos initial weight'!$A$5:$A$2000,0)),"")</f>
        <v>1.966</v>
      </c>
      <c r="K76">
        <f>IFERROR(INDEX('Green_rooibos initial weight'!$C$5:$C$2000,MATCH(I76, 'Green_rooibos initial weight'!$A$5:$A$2000,0)),"")</f>
        <v>2.226</v>
      </c>
      <c r="L76" s="194">
        <f>IFERROR(IF(J76&gt;0,(J76*$F$31-($F$29+$F$30)),""),"")</f>
        <v>1.7161999999999999</v>
      </c>
      <c r="M76" s="233">
        <f>AVERAGE(Ashed_controlls!$K$1:$K$11)</f>
        <v>5.5147656768714146</v>
      </c>
      <c r="N76" s="194">
        <f t="shared" ref="N76:N139" si="0">IFERROR(IF(K76&gt;0,(K76*$F$32-($F$29+$F$30)),""),"")</f>
        <v>1.9762</v>
      </c>
      <c r="O76" s="16">
        <f>IF('Dry_Litterbag Placem_Collection'!G3="","",'Dry_Litterbag Placem_Collection'!G3)</f>
        <v>43007</v>
      </c>
      <c r="P76" s="194">
        <f>IFERROR(INDEX('Both teabags AfterDry'!$D$3:$D$2000,MATCH(H76,'Both teabags AfterDry'!$A$3:$A$2000,0)),"")</f>
        <v>1.278</v>
      </c>
      <c r="Q76" s="194">
        <f>IFERROR(INDEX('Both teabags AfterDry'!$D$3:$D$2000,MATCH(I76,'Both teabags AfterDry'!$A$3:$A$2000,0)),"")</f>
        <v>1.8292999999999999</v>
      </c>
      <c r="R76" s="194">
        <f>IFERROR(IF(P76&gt;0,P76-($F$29),""),"")</f>
        <v>1.1274</v>
      </c>
      <c r="S76" s="194">
        <f>IFERROR(IF(Q76&gt;0,Q76-($F$29),""),"")</f>
        <v>1.6786999999999999</v>
      </c>
      <c r="T76" s="194">
        <f>IFERROR(1-R76/L76,"")</f>
        <v>0.34308355669502388</v>
      </c>
      <c r="U76" s="194">
        <f>IFERROR($F$26*(1-X76),"")</f>
        <v>0.22491938633688027</v>
      </c>
      <c r="V76" s="194">
        <f>IFERROR(S76/N76,"")</f>
        <v>0.84945855682623206</v>
      </c>
      <c r="W76">
        <f>IFERROR(IF((O76-G76)&gt;0,(IFERROR(O76-G76,"")),""),"")</f>
        <v>69</v>
      </c>
      <c r="X76" s="194">
        <f>IFERROR(1-(T76/$F$25),"")</f>
        <v>0.59253734359260823</v>
      </c>
      <c r="Y76" s="194">
        <f>IFERROR(LN(U76/(V76-(1-U76)))/W76,"")</f>
        <v>1.6037429275865225E-2</v>
      </c>
      <c r="Z76" s="245" t="str">
        <f>IF(ISNUMBER(SEARCH("C", 'Dry_Litterbag Placem_Collection'!$T3)),"YES","NO")</f>
        <v>NO</v>
      </c>
      <c r="AA76" s="245" t="str">
        <f>IF(ISNUMBER(SEARCH("H", 'Dry_Litterbag Placem_Collection'!$T3)),"YES","NO")</f>
        <v>YES</v>
      </c>
      <c r="AB76" s="245" t="str">
        <f>IF(ISNUMBER(SEARCH("R", 'Dry_Litterbag Placem_Collection'!$T3)),"YES","NO")</f>
        <v>NO</v>
      </c>
      <c r="AC76" s="245" t="str">
        <f>IF(ISNUMBER(SEARCH("C", 'Dry_Litterbag Placem_Collection'!$S3)),"YES","NO")</f>
        <v>NO</v>
      </c>
      <c r="AD76" s="245" t="str">
        <f>IF(ISNUMBER(SEARCH("H", 'Dry_Litterbag Placem_Collection'!$S3)),"YES","NO")</f>
        <v>YES</v>
      </c>
      <c r="AE76" s="245" t="str">
        <f>IF(ISNUMBER(SEARCH("R", 'Dry_Litterbag Placem_Collection'!$S3)),"YES","NO")</f>
        <v>NO</v>
      </c>
    </row>
    <row r="77" spans="2:34">
      <c r="B77" t="str">
        <f>Dryseason!B3</f>
        <v>Dry</v>
      </c>
      <c r="C77" s="253">
        <f>Dryseason!C3</f>
        <v>2</v>
      </c>
      <c r="D77" t="s">
        <v>3099</v>
      </c>
      <c r="E77" t="s">
        <v>22</v>
      </c>
      <c r="F77" s="374">
        <v>2</v>
      </c>
      <c r="G77" s="16" t="str">
        <f>IF('Dry_Litterbag Placem_Collection'!E4="","",'Dry_Litterbag Placem_Collection'!E4)</f>
        <v/>
      </c>
      <c r="H77" t="str">
        <f>Dryseason!L3</f>
        <v/>
      </c>
      <c r="I77" t="str">
        <f>Dryseason!L223</f>
        <v/>
      </c>
      <c r="J77" t="str">
        <f>IFERROR(INDEX('Green_rooibos initial weight'!$C$5:$C$2000,MATCH(H77, 'Green_rooibos initial weight'!$A$5:$A$2000,0)),"")</f>
        <v/>
      </c>
      <c r="K77" t="str">
        <f>IFERROR(INDEX('Green_rooibos initial weight'!$C$5:$C$2000,MATCH(I77, 'Green_rooibos initial weight'!$A$5:$A$2000,0)),"")</f>
        <v/>
      </c>
      <c r="L77" s="194" t="str">
        <f t="shared" ref="L77:L140" si="1">IFERROR(IF(J77&gt;0,(J77*$F$31-($F$29+$F$30)),""),"")</f>
        <v/>
      </c>
      <c r="M77" s="233">
        <f>AVERAGE(Ashed_controlls!$K$1:$K$11)</f>
        <v>5.5147656768714146</v>
      </c>
      <c r="N77" s="194" t="str">
        <f t="shared" si="0"/>
        <v/>
      </c>
      <c r="O77" s="16" t="str">
        <f>IF('Dry_Litterbag Placem_Collection'!G4="","",'Dry_Litterbag Placem_Collection'!G4)</f>
        <v/>
      </c>
      <c r="P77" s="194" t="str">
        <f>IFERROR(INDEX('Both teabags AfterDry'!$D$3:$D$2000,MATCH(H77,'Both teabags AfterDry'!$A$3:$A$2000,0)),"")</f>
        <v/>
      </c>
      <c r="Q77" s="194" t="str">
        <f>IFERROR(INDEX('Both teabags AfterDry'!$D$3:$D$2000,MATCH(I77,'Both teabags AfterDry'!$A$3:$A$2000,0)),"")</f>
        <v/>
      </c>
      <c r="R77" s="194" t="str">
        <f t="shared" ref="R77:S140" si="2">IFERROR(IF(P77&gt;0,P77-($F$29),""),"")</f>
        <v/>
      </c>
      <c r="S77" s="194" t="str">
        <f t="shared" si="2"/>
        <v/>
      </c>
      <c r="T77" s="194" t="str">
        <f t="shared" ref="T77:T140" si="3">IFERROR(1-R77/L77,"")</f>
        <v/>
      </c>
      <c r="U77" s="194" t="str">
        <f t="shared" ref="U77:U140" si="4">IFERROR($F$26*(1-X77),"")</f>
        <v/>
      </c>
      <c r="V77" s="194" t="str">
        <f t="shared" ref="V77:V140" si="5">IFERROR(S77/N77,"")</f>
        <v/>
      </c>
      <c r="W77" t="str">
        <f t="shared" ref="W77:W140" si="6">IFERROR(IF((O77-G77)&gt;0,(IFERROR(O77-G77,"")),""),"")</f>
        <v/>
      </c>
      <c r="X77" s="194" t="str">
        <f t="shared" ref="X77:X140" si="7">IFERROR(1-(T77/$F$25),"")</f>
        <v/>
      </c>
      <c r="Y77" s="194" t="str">
        <f t="shared" ref="Y77:Y140" si="8">IFERROR(LN(U77/(V77-(1-U77)))/W77,"")</f>
        <v/>
      </c>
      <c r="Z77" s="245" t="str">
        <f>IF(ISNUMBER(SEARCH("C", 'Dry_Litterbag Placem_Collection'!$T4)),"YES","NO")</f>
        <v>NO</v>
      </c>
      <c r="AA77" s="245" t="str">
        <f>IF(ISNUMBER(SEARCH("H", 'Dry_Litterbag Placem_Collection'!$T4)),"YES","NO")</f>
        <v>NO</v>
      </c>
      <c r="AB77" s="245" t="str">
        <f>IF(ISNUMBER(SEARCH("R", 'Dry_Litterbag Placem_Collection'!$T4)),"YES","NO")</f>
        <v>NO</v>
      </c>
      <c r="AC77" s="245" t="str">
        <f>IF(ISNUMBER(SEARCH("C", 'Dry_Litterbag Placem_Collection'!$S4)),"YES","NO")</f>
        <v>NO</v>
      </c>
      <c r="AD77" s="245" t="str">
        <f>IF(ISNUMBER(SEARCH("H", 'Dry_Litterbag Placem_Collection'!$S4)),"YES","NO")</f>
        <v>NO</v>
      </c>
      <c r="AE77" s="245" t="str">
        <f>IF(ISNUMBER(SEARCH("R", 'Dry_Litterbag Placem_Collection'!$S4)),"YES","NO")</f>
        <v>NO</v>
      </c>
    </row>
    <row r="78" spans="2:34">
      <c r="B78" t="str">
        <f>Dryseason!B4</f>
        <v>Dry</v>
      </c>
      <c r="C78" s="253">
        <f>Dryseason!C4</f>
        <v>3</v>
      </c>
      <c r="D78" t="s">
        <v>3099</v>
      </c>
      <c r="E78" t="s">
        <v>22</v>
      </c>
      <c r="F78" s="374">
        <v>3</v>
      </c>
      <c r="G78" s="16">
        <f>IF('Dry_Litterbag Placem_Collection'!E5="","",'Dry_Litterbag Placem_Collection'!E5)</f>
        <v>42938</v>
      </c>
      <c r="H78" t="str">
        <f>Dryseason!L4</f>
        <v>G259</v>
      </c>
      <c r="I78" t="str">
        <f>Dryseason!L224</f>
        <v>R742</v>
      </c>
      <c r="J78">
        <f>IFERROR(INDEX('Green_rooibos initial weight'!$C$5:$C$2000,MATCH(H78, 'Green_rooibos initial weight'!$A$5:$A$2000,0)),"")</f>
        <v>1.913</v>
      </c>
      <c r="K78">
        <f>IFERROR(INDEX('Green_rooibos initial weight'!$C$5:$C$2000,MATCH(I78, 'Green_rooibos initial weight'!$A$5:$A$2000,0)),"")</f>
        <v>2.1259999999999999</v>
      </c>
      <c r="L78" s="194">
        <f t="shared" si="1"/>
        <v>1.6632</v>
      </c>
      <c r="M78" s="233">
        <f>AVERAGE(Ashed_controlls!$K$1:$K$11)</f>
        <v>5.5147656768714146</v>
      </c>
      <c r="N78" s="194">
        <f t="shared" si="0"/>
        <v>1.8761999999999999</v>
      </c>
      <c r="O78" s="16">
        <f>IF('Dry_Litterbag Placem_Collection'!G5="","",'Dry_Litterbag Placem_Collection'!G5)</f>
        <v>43007</v>
      </c>
      <c r="P78" s="194">
        <f>IFERROR(INDEX('Both teabags AfterDry'!$D$3:$D$2000,MATCH(H78,'Both teabags AfterDry'!$A$3:$A$2000,0)),"")</f>
        <v>1.5964</v>
      </c>
      <c r="Q78" s="194">
        <f>IFERROR(INDEX('Both teabags AfterDry'!$D$3:$D$2000,MATCH(I78,'Both teabags AfterDry'!$A$3:$A$2000,0)),"")</f>
        <v>1.8767</v>
      </c>
      <c r="R78" s="194">
        <f t="shared" si="2"/>
        <v>1.4458</v>
      </c>
      <c r="S78" s="194">
        <f t="shared" si="2"/>
        <v>1.7261</v>
      </c>
      <c r="T78" s="194">
        <f t="shared" si="3"/>
        <v>0.13071188071188078</v>
      </c>
      <c r="U78" s="194">
        <f t="shared" si="4"/>
        <v>8.5692349350306674E-2</v>
      </c>
      <c r="V78" s="194">
        <f t="shared" si="5"/>
        <v>0.91999786803112682</v>
      </c>
      <c r="W78">
        <f t="shared" si="6"/>
        <v>69</v>
      </c>
      <c r="X78" s="194">
        <f t="shared" si="7"/>
        <v>0.84476023668422706</v>
      </c>
      <c r="Y78" s="194">
        <f t="shared" si="8"/>
        <v>3.9304566632367643E-2</v>
      </c>
      <c r="Z78" s="245" t="str">
        <f>IF(ISNUMBER(SEARCH("C", 'Dry_Litterbag Placem_Collection'!$T5)),"YES","NO")</f>
        <v>YES</v>
      </c>
      <c r="AA78" s="245" t="str">
        <f>IF(ISNUMBER(SEARCH("H", 'Dry_Litterbag Placem_Collection'!$T5)),"YES","NO")</f>
        <v>YES</v>
      </c>
      <c r="AB78" s="245" t="str">
        <f>IF(ISNUMBER(SEARCH("R", 'Dry_Litterbag Placem_Collection'!$T5)),"YES","NO")</f>
        <v>NO</v>
      </c>
      <c r="AC78" s="245" t="str">
        <f>IF(ISNUMBER(SEARCH("C", 'Dry_Litterbag Placem_Collection'!$S5)),"YES","NO")</f>
        <v>YES</v>
      </c>
      <c r="AD78" s="245" t="str">
        <f>IF(ISNUMBER(SEARCH("H", 'Dry_Litterbag Placem_Collection'!$S5)),"YES","NO")</f>
        <v>YES</v>
      </c>
      <c r="AE78" s="245" t="str">
        <f>IF(ISNUMBER(SEARCH("R", 'Dry_Litterbag Placem_Collection'!$S5)),"YES","NO")</f>
        <v>NO</v>
      </c>
    </row>
    <row r="79" spans="2:34">
      <c r="B79" t="str">
        <f>Dryseason!B5</f>
        <v>Dry</v>
      </c>
      <c r="C79" s="253">
        <f>Dryseason!C5</f>
        <v>4</v>
      </c>
      <c r="D79" t="s">
        <v>3099</v>
      </c>
      <c r="E79" t="s">
        <v>22</v>
      </c>
      <c r="F79" s="375">
        <v>4</v>
      </c>
      <c r="G79" s="16">
        <f>IF('Dry_Litterbag Placem_Collection'!E6="","",'Dry_Litterbag Placem_Collection'!E6)</f>
        <v>42938</v>
      </c>
      <c r="H79" t="str">
        <f>Dryseason!L5</f>
        <v>G255</v>
      </c>
      <c r="I79" t="str">
        <f>Dryseason!L225</f>
        <v>R661</v>
      </c>
      <c r="J79">
        <f>IFERROR(INDEX('Green_rooibos initial weight'!$C$5:$C$2000,MATCH(H79, 'Green_rooibos initial weight'!$A$5:$A$2000,0)),"")</f>
        <v>2.0310000000000001</v>
      </c>
      <c r="K79">
        <f>IFERROR(INDEX('Green_rooibos initial weight'!$C$5:$C$2000,MATCH(I79, 'Green_rooibos initial weight'!$A$5:$A$2000,0)),"")</f>
        <v>2.1629999999999998</v>
      </c>
      <c r="L79" s="194">
        <f t="shared" si="1"/>
        <v>1.7812000000000001</v>
      </c>
      <c r="M79" s="233">
        <f>AVERAGE(Ashed_controlls!$K$1:$K$11)</f>
        <v>5.5147656768714146</v>
      </c>
      <c r="N79" s="194">
        <f t="shared" si="0"/>
        <v>1.9131999999999998</v>
      </c>
      <c r="O79" s="16">
        <f>IF('Dry_Litterbag Placem_Collection'!G6="","",'Dry_Litterbag Placem_Collection'!G6)</f>
        <v>43007</v>
      </c>
      <c r="P79" s="194">
        <f>IFERROR(INDEX('Both teabags AfterDry'!$D$3:$D$2000,MATCH(H79,'Both teabags AfterDry'!$A$3:$A$2000,0)),"")</f>
        <v>1.6215999999999999</v>
      </c>
      <c r="Q79" s="194">
        <f>IFERROR(INDEX('Both teabags AfterDry'!$D$3:$D$2000,MATCH(I79,'Both teabags AfterDry'!$A$3:$A$2000,0)),"")</f>
        <v>1.837</v>
      </c>
      <c r="R79" s="194">
        <f t="shared" si="2"/>
        <v>1.4709999999999999</v>
      </c>
      <c r="S79" s="194">
        <f t="shared" si="2"/>
        <v>1.6863999999999999</v>
      </c>
      <c r="T79" s="194">
        <f t="shared" si="3"/>
        <v>0.1741522569054571</v>
      </c>
      <c r="U79" s="194">
        <f t="shared" si="4"/>
        <v>0.11417107578600037</v>
      </c>
      <c r="V79" s="194">
        <f t="shared" si="5"/>
        <v>0.88145515366924532</v>
      </c>
      <c r="W79">
        <f t="shared" si="6"/>
        <v>69</v>
      </c>
      <c r="X79" s="194">
        <f t="shared" si="7"/>
        <v>0.79316834096739064</v>
      </c>
      <c r="Y79" s="194" t="str">
        <f t="shared" si="8"/>
        <v/>
      </c>
      <c r="Z79" s="245" t="str">
        <f>IF(ISNUMBER(SEARCH("C", 'Dry_Litterbag Placem_Collection'!$T6)),"YES","NO")</f>
        <v>NO</v>
      </c>
      <c r="AA79" s="245" t="str">
        <f>IF(ISNUMBER(SEARCH("H", 'Dry_Litterbag Placem_Collection'!$T6)),"YES","NO")</f>
        <v>YES</v>
      </c>
      <c r="AB79" s="245" t="str">
        <f>IF(ISNUMBER(SEARCH("R", 'Dry_Litterbag Placem_Collection'!$T6)),"YES","NO")</f>
        <v>NO</v>
      </c>
      <c r="AC79" s="245" t="str">
        <f>IF(ISNUMBER(SEARCH("C", 'Dry_Litterbag Placem_Collection'!$S6)),"YES","NO")</f>
        <v>NO</v>
      </c>
      <c r="AD79" s="245" t="str">
        <f>IF(ISNUMBER(SEARCH("H", 'Dry_Litterbag Placem_Collection'!$S6)),"YES","NO")</f>
        <v>NO</v>
      </c>
      <c r="AE79" s="245" t="str">
        <f>IF(ISNUMBER(SEARCH("R", 'Dry_Litterbag Placem_Collection'!$S6)),"YES","NO")</f>
        <v>NO</v>
      </c>
    </row>
    <row r="80" spans="2:34">
      <c r="B80" t="str">
        <f>Dryseason!B6</f>
        <v>Dry</v>
      </c>
      <c r="C80" s="253">
        <f>Dryseason!C6</f>
        <v>5</v>
      </c>
      <c r="D80" t="s">
        <v>3099</v>
      </c>
      <c r="E80" t="s">
        <v>22</v>
      </c>
      <c r="F80" s="375">
        <v>5</v>
      </c>
      <c r="G80" s="16">
        <f>IF('Dry_Litterbag Placem_Collection'!E7="","",'Dry_Litterbag Placem_Collection'!E7)</f>
        <v>42938</v>
      </c>
      <c r="H80" t="str">
        <f>Dryseason!L6</f>
        <v>G122</v>
      </c>
      <c r="I80" t="str">
        <f>Dryseason!L226</f>
        <v>R724</v>
      </c>
      <c r="J80">
        <f>IFERROR(INDEX('Green_rooibos initial weight'!$C$5:$C$2000,MATCH(H80, 'Green_rooibos initial weight'!$A$5:$A$2000,0)),"")</f>
        <v>1.95</v>
      </c>
      <c r="K80">
        <f>IFERROR(INDEX('Green_rooibos initial weight'!$C$5:$C$2000,MATCH(I80, 'Green_rooibos initial weight'!$A$5:$A$2000,0)),"")</f>
        <v>2.149</v>
      </c>
      <c r="L80" s="194">
        <f t="shared" si="1"/>
        <v>1.7001999999999999</v>
      </c>
      <c r="M80" s="233">
        <f>AVERAGE(Ashed_controlls!$K$1:$K$11)</f>
        <v>5.5147656768714146</v>
      </c>
      <c r="N80" s="194">
        <f t="shared" si="0"/>
        <v>1.8992</v>
      </c>
      <c r="O80" s="16" t="str">
        <f>IF('Dry_Litterbag Placem_Collection'!G7="","",'Dry_Litterbag Placem_Collection'!G7)</f>
        <v/>
      </c>
      <c r="P80" s="194" t="str">
        <f>IFERROR(INDEX('Both teabags AfterDry'!$D$3:$D$2000,MATCH(H80,'Both teabags AfterDry'!$A$3:$A$2000,0)),"")</f>
        <v/>
      </c>
      <c r="Q80" s="194" t="str">
        <f>IFERROR(INDEX('Both teabags AfterDry'!$D$3:$D$2000,MATCH(I80,'Both teabags AfterDry'!$A$3:$A$2000,0)),"")</f>
        <v/>
      </c>
      <c r="R80" s="194" t="str">
        <f t="shared" si="2"/>
        <v/>
      </c>
      <c r="S80" s="194" t="str">
        <f t="shared" si="2"/>
        <v/>
      </c>
      <c r="T80" s="194" t="str">
        <f t="shared" si="3"/>
        <v/>
      </c>
      <c r="U80" s="194" t="str">
        <f t="shared" si="4"/>
        <v/>
      </c>
      <c r="V80" s="194" t="str">
        <f t="shared" si="5"/>
        <v/>
      </c>
      <c r="W80" t="str">
        <f t="shared" si="6"/>
        <v/>
      </c>
      <c r="X80" s="194" t="str">
        <f t="shared" si="7"/>
        <v/>
      </c>
      <c r="Y80" s="194" t="str">
        <f t="shared" si="8"/>
        <v/>
      </c>
      <c r="Z80" s="245" t="str">
        <f>IF(ISNUMBER(SEARCH("C", 'Dry_Litterbag Placem_Collection'!$T7)),"YES","NO")</f>
        <v>NO</v>
      </c>
      <c r="AA80" s="245" t="str">
        <f>IF(ISNUMBER(SEARCH("H", 'Dry_Litterbag Placem_Collection'!$T7)),"YES","NO")</f>
        <v>NO</v>
      </c>
      <c r="AB80" s="245" t="str">
        <f>IF(ISNUMBER(SEARCH("R", 'Dry_Litterbag Placem_Collection'!$T7)),"YES","NO")</f>
        <v>NO</v>
      </c>
      <c r="AC80" s="245" t="str">
        <f>IF(ISNUMBER(SEARCH("C", 'Dry_Litterbag Placem_Collection'!$S7)),"YES","NO")</f>
        <v>NO</v>
      </c>
      <c r="AD80" s="245" t="str">
        <f>IF(ISNUMBER(SEARCH("H", 'Dry_Litterbag Placem_Collection'!$S7)),"YES","NO")</f>
        <v>NO</v>
      </c>
      <c r="AE80" s="245" t="str">
        <f>IF(ISNUMBER(SEARCH("R", 'Dry_Litterbag Placem_Collection'!$S7)),"YES","NO")</f>
        <v>NO</v>
      </c>
    </row>
    <row r="81" spans="2:31">
      <c r="B81" t="str">
        <f>Dryseason!B7</f>
        <v>Dry</v>
      </c>
      <c r="C81" s="253">
        <f>Dryseason!C7</f>
        <v>6</v>
      </c>
      <c r="D81" t="s">
        <v>3099</v>
      </c>
      <c r="E81" t="s">
        <v>22</v>
      </c>
      <c r="F81" s="375">
        <v>6</v>
      </c>
      <c r="G81" s="16">
        <f>IF('Dry_Litterbag Placem_Collection'!E8="","",'Dry_Litterbag Placem_Collection'!E8)</f>
        <v>42938</v>
      </c>
      <c r="H81" t="str">
        <f>Dryseason!L7</f>
        <v>G478</v>
      </c>
      <c r="I81" t="str">
        <f>Dryseason!L227</f>
        <v>R688</v>
      </c>
      <c r="J81">
        <f>IFERROR(INDEX('Green_rooibos initial weight'!$C$5:$C$2000,MATCH(H81, 'Green_rooibos initial weight'!$A$5:$A$2000,0)),"")</f>
        <v>2.056</v>
      </c>
      <c r="K81">
        <f>IFERROR(INDEX('Green_rooibos initial weight'!$C$5:$C$2000,MATCH(I81, 'Green_rooibos initial weight'!$A$5:$A$2000,0)),"")</f>
        <v>2.1709999999999998</v>
      </c>
      <c r="L81" s="194">
        <f t="shared" si="1"/>
        <v>1.8062</v>
      </c>
      <c r="M81" s="233">
        <f>AVERAGE(Ashed_controlls!$K$1:$K$11)</f>
        <v>5.5147656768714146</v>
      </c>
      <c r="N81" s="194">
        <f t="shared" si="0"/>
        <v>1.9211999999999998</v>
      </c>
      <c r="O81" s="16">
        <f>IF('Dry_Litterbag Placem_Collection'!G8="","",'Dry_Litterbag Placem_Collection'!G8)</f>
        <v>43007</v>
      </c>
      <c r="P81" s="194" t="str">
        <f>IFERROR(INDEX('Both teabags AfterDry'!$D$3:$D$2000,MATCH(H81,'Both teabags AfterDry'!$A$3:$A$2000,0)),"")</f>
        <v/>
      </c>
      <c r="Q81" s="194" t="str">
        <f>IFERROR(INDEX('Both teabags AfterDry'!$D$3:$D$2000,MATCH(I81,'Both teabags AfterDry'!$A$3:$A$2000,0)),"")</f>
        <v/>
      </c>
      <c r="R81" s="194" t="str">
        <f t="shared" si="2"/>
        <v/>
      </c>
      <c r="S81" s="194" t="str">
        <f t="shared" si="2"/>
        <v/>
      </c>
      <c r="T81" s="194" t="str">
        <f t="shared" si="3"/>
        <v/>
      </c>
      <c r="U81" s="194" t="str">
        <f t="shared" si="4"/>
        <v/>
      </c>
      <c r="V81" s="194" t="str">
        <f t="shared" si="5"/>
        <v/>
      </c>
      <c r="W81">
        <f t="shared" si="6"/>
        <v>69</v>
      </c>
      <c r="X81" s="194" t="str">
        <f t="shared" si="7"/>
        <v/>
      </c>
      <c r="Y81" s="194" t="str">
        <f t="shared" si="8"/>
        <v/>
      </c>
      <c r="Z81" s="245" t="str">
        <f>IF(ISNUMBER(SEARCH("C", 'Dry_Litterbag Placem_Collection'!$T8)),"YES","NO")</f>
        <v>NO</v>
      </c>
      <c r="AA81" s="245" t="str">
        <f>IF(ISNUMBER(SEARCH("H", 'Dry_Litterbag Placem_Collection'!$T8)),"YES","NO")</f>
        <v>NO</v>
      </c>
      <c r="AB81" s="245" t="str">
        <f>IF(ISNUMBER(SEARCH("R", 'Dry_Litterbag Placem_Collection'!$T8)),"YES","NO")</f>
        <v>NO</v>
      </c>
      <c r="AC81" s="245" t="str">
        <f>IF(ISNUMBER(SEARCH("C", 'Dry_Litterbag Placem_Collection'!$S8)),"YES","NO")</f>
        <v>NO</v>
      </c>
      <c r="AD81" s="245" t="str">
        <f>IF(ISNUMBER(SEARCH("H", 'Dry_Litterbag Placem_Collection'!$S8)),"YES","NO")</f>
        <v>NO</v>
      </c>
      <c r="AE81" s="245" t="str">
        <f>IF(ISNUMBER(SEARCH("R", 'Dry_Litterbag Placem_Collection'!$S8)),"YES","NO")</f>
        <v>NO</v>
      </c>
    </row>
    <row r="82" spans="2:31">
      <c r="B82" t="str">
        <f>Dryseason!B8</f>
        <v>Dry</v>
      </c>
      <c r="C82" s="253">
        <f>Dryseason!C8</f>
        <v>7</v>
      </c>
      <c r="D82" t="s">
        <v>3099</v>
      </c>
      <c r="E82" t="s">
        <v>22</v>
      </c>
      <c r="F82" s="375">
        <v>7</v>
      </c>
      <c r="G82" s="16">
        <f>IF('Dry_Litterbag Placem_Collection'!E9="","",'Dry_Litterbag Placem_Collection'!E9)</f>
        <v>42938</v>
      </c>
      <c r="H82" t="str">
        <f>Dryseason!L8</f>
        <v>G106</v>
      </c>
      <c r="I82" t="str">
        <f>Dryseason!L228</f>
        <v>R762</v>
      </c>
      <c r="J82">
        <f>IFERROR(INDEX('Green_rooibos initial weight'!$C$5:$C$2000,MATCH(H82, 'Green_rooibos initial weight'!$A$5:$A$2000,0)),"")</f>
        <v>2.1230000000000002</v>
      </c>
      <c r="K82">
        <f>IFERROR(INDEX('Green_rooibos initial weight'!$C$5:$C$2000,MATCH(I82, 'Green_rooibos initial weight'!$A$5:$A$2000,0)),"")</f>
        <v>2.1949999999999998</v>
      </c>
      <c r="L82" s="194">
        <f t="shared" si="1"/>
        <v>1.8732000000000002</v>
      </c>
      <c r="M82" s="233">
        <f>AVERAGE(Ashed_controlls!$K$1:$K$11)</f>
        <v>5.5147656768714146</v>
      </c>
      <c r="N82" s="194">
        <f t="shared" si="0"/>
        <v>1.9451999999999998</v>
      </c>
      <c r="O82" s="16">
        <f>IF('Dry_Litterbag Placem_Collection'!G9="","",'Dry_Litterbag Placem_Collection'!G9)</f>
        <v>43007</v>
      </c>
      <c r="P82" s="194">
        <f>IFERROR(INDEX('Both teabags AfterDry'!$D$3:$D$2000,MATCH(H82,'Both teabags AfterDry'!$A$3:$A$2000,0)),"")</f>
        <v>2.0188999999999999</v>
      </c>
      <c r="Q82" s="194">
        <f>IFERROR(INDEX('Both teabags AfterDry'!$D$3:$D$2000,MATCH(I82,'Both teabags AfterDry'!$A$3:$A$2000,0)),"")</f>
        <v>1.7052</v>
      </c>
      <c r="R82" s="194">
        <f t="shared" si="2"/>
        <v>1.8682999999999998</v>
      </c>
      <c r="S82" s="194">
        <f t="shared" si="2"/>
        <v>1.5546</v>
      </c>
      <c r="T82" s="194">
        <f t="shared" si="3"/>
        <v>2.6158445440958022E-3</v>
      </c>
      <c r="U82" s="194">
        <f t="shared" si="4"/>
        <v>1.7149004612124401E-3</v>
      </c>
      <c r="V82" s="194">
        <f t="shared" si="5"/>
        <v>0.79919802590993216</v>
      </c>
      <c r="W82">
        <f t="shared" si="6"/>
        <v>69</v>
      </c>
      <c r="X82" s="194">
        <f t="shared" si="7"/>
        <v>0.99689329626591949</v>
      </c>
      <c r="Y82" s="194" t="str">
        <f t="shared" si="8"/>
        <v/>
      </c>
      <c r="Z82" s="245" t="str">
        <f>IF(ISNUMBER(SEARCH("C", 'Dry_Litterbag Placem_Collection'!$T9)),"YES","NO")</f>
        <v>NO</v>
      </c>
      <c r="AA82" s="245" t="str">
        <f>IF(ISNUMBER(SEARCH("H", 'Dry_Litterbag Placem_Collection'!$T9)),"YES","NO")</f>
        <v>YES</v>
      </c>
      <c r="AB82" s="245" t="str">
        <f>IF(ISNUMBER(SEARCH("R", 'Dry_Litterbag Placem_Collection'!$T9)),"YES","NO")</f>
        <v>NO</v>
      </c>
      <c r="AC82" s="245" t="str">
        <f>IF(ISNUMBER(SEARCH("C", 'Dry_Litterbag Placem_Collection'!$S9)),"YES","NO")</f>
        <v>NO</v>
      </c>
      <c r="AD82" s="245" t="str">
        <f>IF(ISNUMBER(SEARCH("H", 'Dry_Litterbag Placem_Collection'!$S9)),"YES","NO")</f>
        <v>YES</v>
      </c>
      <c r="AE82" s="245" t="str">
        <f>IF(ISNUMBER(SEARCH("R", 'Dry_Litterbag Placem_Collection'!$S9)),"YES","NO")</f>
        <v>NO</v>
      </c>
    </row>
    <row r="83" spans="2:31">
      <c r="B83" t="str">
        <f>Dryseason!B9</f>
        <v>Dry</v>
      </c>
      <c r="C83" s="253">
        <f>Dryseason!C9</f>
        <v>8</v>
      </c>
      <c r="D83" t="s">
        <v>3099</v>
      </c>
      <c r="E83" t="s">
        <v>22</v>
      </c>
      <c r="F83" s="375">
        <v>8</v>
      </c>
      <c r="G83" s="16">
        <f>IF('Dry_Litterbag Placem_Collection'!E10="","",'Dry_Litterbag Placem_Collection'!E10)</f>
        <v>42938</v>
      </c>
      <c r="H83" t="str">
        <f>Dryseason!L9</f>
        <v>G228</v>
      </c>
      <c r="I83" t="str">
        <f>Dryseason!L229</f>
        <v>R727</v>
      </c>
      <c r="J83">
        <f>IFERROR(INDEX('Green_rooibos initial weight'!$C$5:$C$2000,MATCH(H83, 'Green_rooibos initial weight'!$A$5:$A$2000,0)),"")</f>
        <v>1.976</v>
      </c>
      <c r="K83">
        <f>IFERROR(INDEX('Green_rooibos initial weight'!$C$5:$C$2000,MATCH(I83, 'Green_rooibos initial weight'!$A$5:$A$2000,0)),"")</f>
        <v>2.1629999999999998</v>
      </c>
      <c r="L83" s="194">
        <f t="shared" si="1"/>
        <v>1.7262</v>
      </c>
      <c r="M83" s="233">
        <f>AVERAGE(Ashed_controlls!$K$1:$K$11)</f>
        <v>5.5147656768714146</v>
      </c>
      <c r="N83" s="194">
        <f t="shared" si="0"/>
        <v>1.9131999999999998</v>
      </c>
      <c r="O83" s="16">
        <f>IF('Dry_Litterbag Placem_Collection'!G10="","",'Dry_Litterbag Placem_Collection'!G10)</f>
        <v>43007</v>
      </c>
      <c r="P83" s="194">
        <f>IFERROR(INDEX('Both teabags AfterDry'!$D$3:$D$2000,MATCH(H83,'Both teabags AfterDry'!$A$3:$A$2000,0)),"")</f>
        <v>0.83330000000000004</v>
      </c>
      <c r="Q83" s="194">
        <f>IFERROR(INDEX('Both teabags AfterDry'!$D$3:$D$2000,MATCH(I83,'Both teabags AfterDry'!$A$3:$A$2000,0)),"")</f>
        <v>0</v>
      </c>
      <c r="R83" s="194">
        <f t="shared" si="2"/>
        <v>0.68270000000000008</v>
      </c>
      <c r="S83" s="194" t="str">
        <f t="shared" si="2"/>
        <v/>
      </c>
      <c r="T83" s="194">
        <f t="shared" si="3"/>
        <v>0.60450700961649861</v>
      </c>
      <c r="U83" s="194">
        <f t="shared" si="4"/>
        <v>0.39630388278896356</v>
      </c>
      <c r="V83" s="194" t="str">
        <f t="shared" si="5"/>
        <v/>
      </c>
      <c r="W83">
        <f t="shared" si="6"/>
        <v>69</v>
      </c>
      <c r="X83" s="194">
        <f t="shared" si="7"/>
        <v>0.282058183353327</v>
      </c>
      <c r="Y83" s="194" t="str">
        <f t="shared" si="8"/>
        <v/>
      </c>
      <c r="Z83" s="245" t="str">
        <f>IF(ISNUMBER(SEARCH("C", 'Dry_Litterbag Placem_Collection'!$T10)),"YES","NO")</f>
        <v>NO</v>
      </c>
      <c r="AA83" s="245" t="str">
        <f>IF(ISNUMBER(SEARCH("H", 'Dry_Litterbag Placem_Collection'!$T10)),"YES","NO")</f>
        <v>NO</v>
      </c>
      <c r="AB83" s="245" t="str">
        <f>IF(ISNUMBER(SEARCH("R", 'Dry_Litterbag Placem_Collection'!$T10)),"YES","NO")</f>
        <v>NO</v>
      </c>
      <c r="AC83" s="245" t="str">
        <f>IF(ISNUMBER(SEARCH("C", 'Dry_Litterbag Placem_Collection'!$S10)),"YES","NO")</f>
        <v>NO</v>
      </c>
      <c r="AD83" s="245" t="str">
        <f>IF(ISNUMBER(SEARCH("H", 'Dry_Litterbag Placem_Collection'!$S10)),"YES","NO")</f>
        <v>NO</v>
      </c>
      <c r="AE83" s="245" t="str">
        <f>IF(ISNUMBER(SEARCH("R", 'Dry_Litterbag Placem_Collection'!$S10)),"YES","NO")</f>
        <v>YES</v>
      </c>
    </row>
    <row r="84" spans="2:31">
      <c r="B84" t="str">
        <f>Dryseason!B10</f>
        <v>Dry</v>
      </c>
      <c r="C84" s="253">
        <f>Dryseason!C10</f>
        <v>9</v>
      </c>
      <c r="D84" t="s">
        <v>3103</v>
      </c>
      <c r="E84" t="s">
        <v>22</v>
      </c>
      <c r="F84" s="374">
        <v>1</v>
      </c>
      <c r="G84" s="16">
        <f>IF('Dry_Litterbag Placem_Collection'!E11="","",'Dry_Litterbag Placem_Collection'!E11)</f>
        <v>42938</v>
      </c>
      <c r="H84" t="str">
        <f>Dryseason!L10</f>
        <v>G277</v>
      </c>
      <c r="I84" t="str">
        <f>Dryseason!L230</f>
        <v>R785</v>
      </c>
      <c r="J84">
        <f>IFERROR(INDEX('Green_rooibos initial weight'!$C$5:$C$2000,MATCH(H84, 'Green_rooibos initial weight'!$A$5:$A$2000,0)),"")</f>
        <v>1.93</v>
      </c>
      <c r="K84">
        <f>IFERROR(INDEX('Green_rooibos initial weight'!$C$5:$C$2000,MATCH(I84, 'Green_rooibos initial weight'!$A$5:$A$2000,0)),"")</f>
        <v>2.2549999999999999</v>
      </c>
      <c r="L84" s="194">
        <f t="shared" si="1"/>
        <v>1.6801999999999999</v>
      </c>
      <c r="M84" s="233">
        <f>AVERAGE(Ashed_controlls!$K$1:$K$11)</f>
        <v>5.5147656768714146</v>
      </c>
      <c r="N84" s="194">
        <f t="shared" si="0"/>
        <v>2.0051999999999999</v>
      </c>
      <c r="O84" s="16">
        <f>IF('Dry_Litterbag Placem_Collection'!G11="","",'Dry_Litterbag Placem_Collection'!G11)</f>
        <v>43007</v>
      </c>
      <c r="P84" s="194">
        <f>IFERROR(INDEX('Both teabags AfterDry'!$D$3:$D$2000,MATCH(H84,'Both teabags AfterDry'!$A$3:$A$2000,0)),"")</f>
        <v>1.9345000000000001</v>
      </c>
      <c r="Q84" s="194">
        <f>IFERROR(INDEX('Both teabags AfterDry'!$D$3:$D$2000,MATCH(I84,'Both teabags AfterDry'!$A$3:$A$2000,0)),"")</f>
        <v>3.7812999999999999</v>
      </c>
      <c r="R84" s="194">
        <f t="shared" si="2"/>
        <v>1.7839</v>
      </c>
      <c r="S84" s="194">
        <f t="shared" si="2"/>
        <v>3.6307</v>
      </c>
      <c r="T84" s="194">
        <f t="shared" si="3"/>
        <v>-6.1718842994881618E-2</v>
      </c>
      <c r="U84" s="194">
        <f t="shared" si="4"/>
        <v>-4.0461759303057822E-2</v>
      </c>
      <c r="V84" s="194">
        <f t="shared" si="5"/>
        <v>1.8106423299421506</v>
      </c>
      <c r="W84">
        <f t="shared" si="6"/>
        <v>69</v>
      </c>
      <c r="X84" s="194">
        <f t="shared" si="7"/>
        <v>1.073300288592496</v>
      </c>
      <c r="Y84" s="194" t="str">
        <f t="shared" si="8"/>
        <v/>
      </c>
      <c r="Z84" s="245" t="str">
        <f>IF(ISNUMBER(SEARCH("C", 'Dry_Litterbag Placem_Collection'!$T11)),"YES","NO")</f>
        <v>YES</v>
      </c>
      <c r="AA84" s="245" t="str">
        <f>IF(ISNUMBER(SEARCH("H", 'Dry_Litterbag Placem_Collection'!$T11)),"YES","NO")</f>
        <v>NO</v>
      </c>
      <c r="AB84" s="245" t="str">
        <f>IF(ISNUMBER(SEARCH("R", 'Dry_Litterbag Placem_Collection'!$T11)),"YES","NO")</f>
        <v>NO</v>
      </c>
      <c r="AC84" s="245" t="str">
        <f>IF(ISNUMBER(SEARCH("C", 'Dry_Litterbag Placem_Collection'!$S11)),"YES","NO")</f>
        <v>YES</v>
      </c>
      <c r="AD84" s="245" t="str">
        <f>IF(ISNUMBER(SEARCH("H", 'Dry_Litterbag Placem_Collection'!$S11)),"YES","NO")</f>
        <v>YES</v>
      </c>
      <c r="AE84" s="245" t="str">
        <f>IF(ISNUMBER(SEARCH("R", 'Dry_Litterbag Placem_Collection'!$S11)),"YES","NO")</f>
        <v>NO</v>
      </c>
    </row>
    <row r="85" spans="2:31">
      <c r="B85" t="str">
        <f>Dryseason!B11</f>
        <v>Dry</v>
      </c>
      <c r="C85" s="253">
        <f>Dryseason!C11</f>
        <v>10</v>
      </c>
      <c r="D85" t="s">
        <v>3103</v>
      </c>
      <c r="E85" t="s">
        <v>22</v>
      </c>
      <c r="F85" s="374">
        <v>2</v>
      </c>
      <c r="G85" s="16">
        <f>IF('Dry_Litterbag Placem_Collection'!E12="","",'Dry_Litterbag Placem_Collection'!E12)</f>
        <v>42938</v>
      </c>
      <c r="H85" t="str">
        <f>Dryseason!L11</f>
        <v>G310</v>
      </c>
      <c r="I85" t="str">
        <f>Dryseason!L231</f>
        <v>R747</v>
      </c>
      <c r="J85">
        <f>IFERROR(INDEX('Green_rooibos initial weight'!$C$5:$C$2000,MATCH(H85, 'Green_rooibos initial weight'!$A$5:$A$2000,0)),"")</f>
        <v>2.0459999999999998</v>
      </c>
      <c r="K85">
        <f>IFERROR(INDEX('Green_rooibos initial weight'!$C$5:$C$2000,MATCH(I85, 'Green_rooibos initial weight'!$A$5:$A$2000,0)),"")</f>
        <v>2.1549999999999998</v>
      </c>
      <c r="L85" s="194">
        <f t="shared" si="1"/>
        <v>1.7961999999999998</v>
      </c>
      <c r="M85" s="233">
        <f>AVERAGE(Ashed_controlls!$K$1:$K$11)</f>
        <v>5.5147656768714146</v>
      </c>
      <c r="N85" s="194">
        <f t="shared" si="0"/>
        <v>1.9051999999999998</v>
      </c>
      <c r="O85" s="16" t="str">
        <f>IF('Dry_Litterbag Placem_Collection'!G12="","",'Dry_Litterbag Placem_Collection'!G12)</f>
        <v/>
      </c>
      <c r="P85" s="194" t="str">
        <f>IFERROR(INDEX('Both teabags AfterDry'!$D$3:$D$2000,MATCH(H85,'Both teabags AfterDry'!$A$3:$A$2000,0)),"")</f>
        <v/>
      </c>
      <c r="Q85" s="194" t="str">
        <f>IFERROR(INDEX('Both teabags AfterDry'!$D$3:$D$2000,MATCH(I85,'Both teabags AfterDry'!$A$3:$A$2000,0)),"")</f>
        <v/>
      </c>
      <c r="R85" s="194" t="str">
        <f t="shared" si="2"/>
        <v/>
      </c>
      <c r="S85" s="194" t="str">
        <f t="shared" si="2"/>
        <v/>
      </c>
      <c r="T85" s="194" t="str">
        <f t="shared" si="3"/>
        <v/>
      </c>
      <c r="U85" s="194" t="str">
        <f t="shared" si="4"/>
        <v/>
      </c>
      <c r="V85" s="194" t="str">
        <f t="shared" si="5"/>
        <v/>
      </c>
      <c r="W85" t="str">
        <f t="shared" si="6"/>
        <v/>
      </c>
      <c r="X85" s="194" t="str">
        <f t="shared" si="7"/>
        <v/>
      </c>
      <c r="Y85" s="194" t="str">
        <f t="shared" si="8"/>
        <v/>
      </c>
      <c r="Z85" s="245" t="str">
        <f>IF(ISNUMBER(SEARCH("C", 'Dry_Litterbag Placem_Collection'!$T12)),"YES","NO")</f>
        <v>NO</v>
      </c>
      <c r="AA85" s="245" t="str">
        <f>IF(ISNUMBER(SEARCH("H", 'Dry_Litterbag Placem_Collection'!$T12)),"YES","NO")</f>
        <v>NO</v>
      </c>
      <c r="AB85" s="245" t="str">
        <f>IF(ISNUMBER(SEARCH("R", 'Dry_Litterbag Placem_Collection'!$T12)),"YES","NO")</f>
        <v>NO</v>
      </c>
      <c r="AC85" s="245" t="str">
        <f>IF(ISNUMBER(SEARCH("C", 'Dry_Litterbag Placem_Collection'!$S12)),"YES","NO")</f>
        <v>NO</v>
      </c>
      <c r="AD85" s="245" t="str">
        <f>IF(ISNUMBER(SEARCH("H", 'Dry_Litterbag Placem_Collection'!$S12)),"YES","NO")</f>
        <v>NO</v>
      </c>
      <c r="AE85" s="245" t="str">
        <f>IF(ISNUMBER(SEARCH("R", 'Dry_Litterbag Placem_Collection'!$S12)),"YES","NO")</f>
        <v>NO</v>
      </c>
    </row>
    <row r="86" spans="2:31">
      <c r="B86" t="str">
        <f>Dryseason!B12</f>
        <v>Dry</v>
      </c>
      <c r="C86" s="253">
        <f>Dryseason!C12</f>
        <v>11</v>
      </c>
      <c r="D86" t="s">
        <v>3103</v>
      </c>
      <c r="E86" t="s">
        <v>22</v>
      </c>
      <c r="F86" s="374">
        <v>3</v>
      </c>
      <c r="G86" s="16">
        <f>IF('Dry_Litterbag Placem_Collection'!E13="","",'Dry_Litterbag Placem_Collection'!E13)</f>
        <v>42938</v>
      </c>
      <c r="H86" t="str">
        <f>Dryseason!L12</f>
        <v>G435</v>
      </c>
      <c r="I86" t="str">
        <f>Dryseason!L232</f>
        <v>R748</v>
      </c>
      <c r="J86">
        <f>IFERROR(INDEX('Green_rooibos initial weight'!$C$5:$C$2000,MATCH(H86, 'Green_rooibos initial weight'!$A$5:$A$2000,0)),"")</f>
        <v>2.0009999999999999</v>
      </c>
      <c r="K86">
        <f>IFERROR(INDEX('Green_rooibos initial weight'!$C$5:$C$2000,MATCH(I86, 'Green_rooibos initial weight'!$A$5:$A$2000,0)),"")</f>
        <v>2.1829999999999998</v>
      </c>
      <c r="L86" s="194">
        <f t="shared" si="1"/>
        <v>1.7511999999999999</v>
      </c>
      <c r="M86" s="233">
        <f>AVERAGE(Ashed_controlls!$K$1:$K$11)</f>
        <v>5.5147656768714146</v>
      </c>
      <c r="N86" s="194">
        <f t="shared" si="0"/>
        <v>1.9331999999999998</v>
      </c>
      <c r="O86" s="16">
        <f>IF('Dry_Litterbag Placem_Collection'!G13="","",'Dry_Litterbag Placem_Collection'!G13)</f>
        <v>43007</v>
      </c>
      <c r="P86" s="194">
        <f>IFERROR(INDEX('Both teabags AfterDry'!$D$3:$D$2000,MATCH(H86,'Both teabags AfterDry'!$A$3:$A$2000,0)),"")</f>
        <v>1.7934000000000001</v>
      </c>
      <c r="Q86" s="194">
        <f>IFERROR(INDEX('Both teabags AfterDry'!$D$3:$D$2000,MATCH(I86,'Both teabags AfterDry'!$A$3:$A$2000,0)),"")</f>
        <v>0.98360000000000003</v>
      </c>
      <c r="R86" s="194">
        <f t="shared" si="2"/>
        <v>1.6428</v>
      </c>
      <c r="S86" s="194">
        <f t="shared" si="2"/>
        <v>0.83299999999999996</v>
      </c>
      <c r="T86" s="194">
        <f t="shared" si="3"/>
        <v>6.1900411146642242E-2</v>
      </c>
      <c r="U86" s="194">
        <f t="shared" si="4"/>
        <v>4.0580792105637205E-2</v>
      </c>
      <c r="V86" s="194">
        <f t="shared" si="5"/>
        <v>0.43089178564038899</v>
      </c>
      <c r="W86">
        <f t="shared" si="6"/>
        <v>69</v>
      </c>
      <c r="X86" s="194">
        <f t="shared" si="7"/>
        <v>0.92648407227239638</v>
      </c>
      <c r="Y86" s="194" t="str">
        <f t="shared" si="8"/>
        <v/>
      </c>
      <c r="Z86" s="245" t="str">
        <f>IF(ISNUMBER(SEARCH("C", 'Dry_Litterbag Placem_Collection'!$T13)),"YES","NO")</f>
        <v>YES</v>
      </c>
      <c r="AA86" s="245" t="str">
        <f>IF(ISNUMBER(SEARCH("H", 'Dry_Litterbag Placem_Collection'!$T13)),"YES","NO")</f>
        <v>YES</v>
      </c>
      <c r="AB86" s="245" t="str">
        <f>IF(ISNUMBER(SEARCH("R", 'Dry_Litterbag Placem_Collection'!$T13)),"YES","NO")</f>
        <v>NO</v>
      </c>
      <c r="AC86" s="245" t="str">
        <f>IF(ISNUMBER(SEARCH("C", 'Dry_Litterbag Placem_Collection'!$S13)),"YES","NO")</f>
        <v>YES</v>
      </c>
      <c r="AD86" s="245" t="str">
        <f>IF(ISNUMBER(SEARCH("H", 'Dry_Litterbag Placem_Collection'!$S13)),"YES","NO")</f>
        <v>YES</v>
      </c>
      <c r="AE86" s="245" t="str">
        <f>IF(ISNUMBER(SEARCH("R", 'Dry_Litterbag Placem_Collection'!$S13)),"YES","NO")</f>
        <v>NO</v>
      </c>
    </row>
    <row r="87" spans="2:31">
      <c r="B87" t="str">
        <f>Dryseason!B13</f>
        <v>Dry</v>
      </c>
      <c r="C87" s="253">
        <f>Dryseason!C13</f>
        <v>12</v>
      </c>
      <c r="D87" t="s">
        <v>3103</v>
      </c>
      <c r="E87" t="s">
        <v>22</v>
      </c>
      <c r="F87" s="375">
        <v>4</v>
      </c>
      <c r="G87" s="16" t="str">
        <f>IF('Dry_Litterbag Placem_Collection'!E14="","",'Dry_Litterbag Placem_Collection'!E14)</f>
        <v/>
      </c>
      <c r="H87" t="str">
        <f>Dryseason!L13</f>
        <v/>
      </c>
      <c r="I87" t="str">
        <f>Dryseason!L233</f>
        <v/>
      </c>
      <c r="J87" t="str">
        <f>IFERROR(INDEX('Green_rooibos initial weight'!$C$5:$C$2000,MATCH(H87, 'Green_rooibos initial weight'!$A$5:$A$2000,0)),"")</f>
        <v/>
      </c>
      <c r="K87" t="str">
        <f>IFERROR(INDEX('Green_rooibos initial weight'!$C$5:$C$2000,MATCH(I87, 'Green_rooibos initial weight'!$A$5:$A$2000,0)),"")</f>
        <v/>
      </c>
      <c r="L87" s="194" t="str">
        <f t="shared" si="1"/>
        <v/>
      </c>
      <c r="M87" s="233">
        <f>AVERAGE(Ashed_controlls!$K$1:$K$11)</f>
        <v>5.5147656768714146</v>
      </c>
      <c r="N87" s="194" t="str">
        <f t="shared" si="0"/>
        <v/>
      </c>
      <c r="O87" s="16" t="str">
        <f>IF('Dry_Litterbag Placem_Collection'!G14="","",'Dry_Litterbag Placem_Collection'!G14)</f>
        <v/>
      </c>
      <c r="P87" s="194" t="str">
        <f>IFERROR(INDEX('Both teabags AfterDry'!$D$3:$D$2000,MATCH(H87,'Both teabags AfterDry'!$A$3:$A$2000,0)),"")</f>
        <v/>
      </c>
      <c r="Q87" s="194" t="str">
        <f>IFERROR(INDEX('Both teabags AfterDry'!$D$3:$D$2000,MATCH(I87,'Both teabags AfterDry'!$A$3:$A$2000,0)),"")</f>
        <v/>
      </c>
      <c r="R87" s="194" t="str">
        <f t="shared" si="2"/>
        <v/>
      </c>
      <c r="S87" s="194" t="str">
        <f t="shared" si="2"/>
        <v/>
      </c>
      <c r="T87" s="194" t="str">
        <f t="shared" si="3"/>
        <v/>
      </c>
      <c r="U87" s="194" t="str">
        <f t="shared" si="4"/>
        <v/>
      </c>
      <c r="V87" s="194" t="str">
        <f t="shared" si="5"/>
        <v/>
      </c>
      <c r="W87" t="str">
        <f t="shared" si="6"/>
        <v/>
      </c>
      <c r="X87" s="194" t="str">
        <f t="shared" si="7"/>
        <v/>
      </c>
      <c r="Y87" s="194" t="str">
        <f t="shared" si="8"/>
        <v/>
      </c>
      <c r="Z87" s="245" t="str">
        <f>IF(ISNUMBER(SEARCH("C", 'Dry_Litterbag Placem_Collection'!$T14)),"YES","NO")</f>
        <v>NO</v>
      </c>
      <c r="AA87" s="245" t="str">
        <f>IF(ISNUMBER(SEARCH("H", 'Dry_Litterbag Placem_Collection'!$T14)),"YES","NO")</f>
        <v>NO</v>
      </c>
      <c r="AB87" s="245" t="str">
        <f>IF(ISNUMBER(SEARCH("R", 'Dry_Litterbag Placem_Collection'!$T14)),"YES","NO")</f>
        <v>NO</v>
      </c>
      <c r="AC87" s="245" t="str">
        <f>IF(ISNUMBER(SEARCH("C", 'Dry_Litterbag Placem_Collection'!$S14)),"YES","NO")</f>
        <v>NO</v>
      </c>
      <c r="AD87" s="245" t="str">
        <f>IF(ISNUMBER(SEARCH("H", 'Dry_Litterbag Placem_Collection'!$S14)),"YES","NO")</f>
        <v>NO</v>
      </c>
      <c r="AE87" s="245" t="str">
        <f>IF(ISNUMBER(SEARCH("R", 'Dry_Litterbag Placem_Collection'!$S14)),"YES","NO")</f>
        <v>NO</v>
      </c>
    </row>
    <row r="88" spans="2:31">
      <c r="B88" t="str">
        <f>Dryseason!B14</f>
        <v>Dry</v>
      </c>
      <c r="C88" s="253">
        <f>Dryseason!C14</f>
        <v>13</v>
      </c>
      <c r="D88" t="s">
        <v>3103</v>
      </c>
      <c r="E88" t="s">
        <v>22</v>
      </c>
      <c r="F88" s="375">
        <v>5</v>
      </c>
      <c r="G88" s="16">
        <f>IF('Dry_Litterbag Placem_Collection'!E15="","",'Dry_Litterbag Placem_Collection'!E15)</f>
        <v>42938</v>
      </c>
      <c r="H88" t="str">
        <f>Dryseason!L14</f>
        <v>G2</v>
      </c>
      <c r="I88" t="str">
        <f>Dryseason!L234</f>
        <v>R784</v>
      </c>
      <c r="J88">
        <f>IFERROR(INDEX('Green_rooibos initial weight'!$C$5:$C$2000,MATCH(H88, 'Green_rooibos initial weight'!$A$5:$A$2000,0)),"")</f>
        <v>2</v>
      </c>
      <c r="K88">
        <f>IFERROR(INDEX('Green_rooibos initial weight'!$C$5:$C$2000,MATCH(I88, 'Green_rooibos initial weight'!$A$5:$A$2000,0)),"")</f>
        <v>2.17</v>
      </c>
      <c r="L88" s="194">
        <f t="shared" si="1"/>
        <v>1.7502</v>
      </c>
      <c r="M88" s="233">
        <f>AVERAGE(Ashed_controlls!$K$1:$K$11)</f>
        <v>5.5147656768714146</v>
      </c>
      <c r="N88" s="194">
        <f t="shared" si="0"/>
        <v>1.9201999999999999</v>
      </c>
      <c r="O88" s="16">
        <f>IF('Dry_Litterbag Placem_Collection'!G15="","",'Dry_Litterbag Placem_Collection'!G15)</f>
        <v>43007</v>
      </c>
      <c r="P88" s="194">
        <f>IFERROR(INDEX('Both teabags AfterDry'!$D$3:$D$2000,MATCH(H88,'Both teabags AfterDry'!$A$3:$A$2000,0)),"")</f>
        <v>1.7587999999999999</v>
      </c>
      <c r="Q88" s="194">
        <f>IFERROR(INDEX('Both teabags AfterDry'!$D$3:$D$2000,MATCH(I88,'Both teabags AfterDry'!$A$3:$A$2000,0)),"")</f>
        <v>0</v>
      </c>
      <c r="R88" s="194">
        <f t="shared" si="2"/>
        <v>1.6081999999999999</v>
      </c>
      <c r="S88" s="194" t="str">
        <f t="shared" si="2"/>
        <v/>
      </c>
      <c r="T88" s="194">
        <f t="shared" si="3"/>
        <v>8.1133584733173447E-2</v>
      </c>
      <c r="U88" s="194">
        <f t="shared" si="4"/>
        <v>5.3189713506783559E-2</v>
      </c>
      <c r="V88" s="194" t="str">
        <f t="shared" si="5"/>
        <v/>
      </c>
      <c r="W88">
        <f t="shared" si="6"/>
        <v>69</v>
      </c>
      <c r="X88" s="194">
        <f t="shared" si="7"/>
        <v>0.90364182335727616</v>
      </c>
      <c r="Y88" s="194" t="str">
        <f t="shared" si="8"/>
        <v/>
      </c>
      <c r="Z88" s="245" t="str">
        <f>IF(ISNUMBER(SEARCH("C", 'Dry_Litterbag Placem_Collection'!$T15)),"YES","NO")</f>
        <v>YES</v>
      </c>
      <c r="AA88" s="245" t="str">
        <f>IF(ISNUMBER(SEARCH("H", 'Dry_Litterbag Placem_Collection'!$T15)),"YES","NO")</f>
        <v>YES</v>
      </c>
      <c r="AB88" s="245" t="str">
        <f>IF(ISNUMBER(SEARCH("R", 'Dry_Litterbag Placem_Collection'!$T15)),"YES","NO")</f>
        <v>NO</v>
      </c>
      <c r="AC88" s="245" t="str">
        <f>IF(ISNUMBER(SEARCH("C", 'Dry_Litterbag Placem_Collection'!$S15)),"YES","NO")</f>
        <v>YES</v>
      </c>
      <c r="AD88" s="245" t="str">
        <f>IF(ISNUMBER(SEARCH("H", 'Dry_Litterbag Placem_Collection'!$S15)),"YES","NO")</f>
        <v>NO</v>
      </c>
      <c r="AE88" s="245" t="str">
        <f>IF(ISNUMBER(SEARCH("R", 'Dry_Litterbag Placem_Collection'!$S15)),"YES","NO")</f>
        <v>NO</v>
      </c>
    </row>
    <row r="89" spans="2:31">
      <c r="B89" t="str">
        <f>Dryseason!B15</f>
        <v>Dry</v>
      </c>
      <c r="C89" s="253">
        <f>Dryseason!C15</f>
        <v>14</v>
      </c>
      <c r="D89" t="s">
        <v>3103</v>
      </c>
      <c r="E89" t="s">
        <v>22</v>
      </c>
      <c r="F89" s="375">
        <v>6</v>
      </c>
      <c r="G89" s="16">
        <f>IF('Dry_Litterbag Placem_Collection'!E16="","",'Dry_Litterbag Placem_Collection'!E16)</f>
        <v>42938</v>
      </c>
      <c r="H89" t="str">
        <f>Dryseason!L15</f>
        <v>G225</v>
      </c>
      <c r="I89" t="str">
        <f>Dryseason!L235</f>
        <v>R838</v>
      </c>
      <c r="J89">
        <f>IFERROR(INDEX('Green_rooibos initial weight'!$C$5:$C$2000,MATCH(H89, 'Green_rooibos initial weight'!$A$5:$A$2000,0)),"")</f>
        <v>2.117</v>
      </c>
      <c r="K89">
        <f>IFERROR(INDEX('Green_rooibos initial weight'!$C$5:$C$2000,MATCH(I89, 'Green_rooibos initial weight'!$A$5:$A$2000,0)),"")</f>
        <v>2.1589999999999998</v>
      </c>
      <c r="L89" s="194">
        <f t="shared" si="1"/>
        <v>1.8672</v>
      </c>
      <c r="M89" s="233">
        <f>AVERAGE(Ashed_controlls!$K$1:$K$11)</f>
        <v>5.5147656768714146</v>
      </c>
      <c r="N89" s="194">
        <f t="shared" si="0"/>
        <v>1.9091999999999998</v>
      </c>
      <c r="O89" s="16">
        <f>IF('Dry_Litterbag Placem_Collection'!G16="","",'Dry_Litterbag Placem_Collection'!G16)</f>
        <v>43007</v>
      </c>
      <c r="P89" s="194">
        <f>IFERROR(INDEX('Both teabags AfterDry'!$D$3:$D$2000,MATCH(H89,'Both teabags AfterDry'!$A$3:$A$2000,0)),"")</f>
        <v>1.25</v>
      </c>
      <c r="Q89" s="194">
        <f>IFERROR(INDEX('Both teabags AfterDry'!$D$3:$D$2000,MATCH(I89,'Both teabags AfterDry'!$A$3:$A$2000,0)),"")</f>
        <v>1.0848</v>
      </c>
      <c r="R89" s="194">
        <f t="shared" si="2"/>
        <v>1.0993999999999999</v>
      </c>
      <c r="S89" s="194">
        <f t="shared" si="2"/>
        <v>0.93419999999999992</v>
      </c>
      <c r="T89" s="194">
        <f t="shared" si="3"/>
        <v>0.411203941730934</v>
      </c>
      <c r="U89" s="194">
        <f t="shared" si="4"/>
        <v>0.26957788103975722</v>
      </c>
      <c r="V89" s="194">
        <f t="shared" si="5"/>
        <v>0.48931489629164049</v>
      </c>
      <c r="W89">
        <f t="shared" si="6"/>
        <v>69</v>
      </c>
      <c r="X89" s="194">
        <f t="shared" si="7"/>
        <v>0.51163427347870072</v>
      </c>
      <c r="Y89" s="194" t="str">
        <f t="shared" si="8"/>
        <v/>
      </c>
      <c r="Z89" s="245" t="str">
        <f>IF(ISNUMBER(SEARCH("C", 'Dry_Litterbag Placem_Collection'!$T16)),"YES","NO")</f>
        <v>YES</v>
      </c>
      <c r="AA89" s="245" t="str">
        <f>IF(ISNUMBER(SEARCH("H", 'Dry_Litterbag Placem_Collection'!$T16)),"YES","NO")</f>
        <v>YES</v>
      </c>
      <c r="AB89" s="245" t="str">
        <f>IF(ISNUMBER(SEARCH("R", 'Dry_Litterbag Placem_Collection'!$T16)),"YES","NO")</f>
        <v>NO</v>
      </c>
      <c r="AC89" s="245" t="str">
        <f>IF(ISNUMBER(SEARCH("C", 'Dry_Litterbag Placem_Collection'!$S16)),"YES","NO")</f>
        <v>NO</v>
      </c>
      <c r="AD89" s="245" t="str">
        <f>IF(ISNUMBER(SEARCH("H", 'Dry_Litterbag Placem_Collection'!$S16)),"YES","NO")</f>
        <v>YES</v>
      </c>
      <c r="AE89" s="245" t="str">
        <f>IF(ISNUMBER(SEARCH("R", 'Dry_Litterbag Placem_Collection'!$S16)),"YES","NO")</f>
        <v>NO</v>
      </c>
    </row>
    <row r="90" spans="2:31">
      <c r="B90" t="str">
        <f>Dryseason!B16</f>
        <v>Dry</v>
      </c>
      <c r="C90" s="253">
        <f>Dryseason!C16</f>
        <v>15</v>
      </c>
      <c r="D90" t="s">
        <v>3103</v>
      </c>
      <c r="E90" t="s">
        <v>22</v>
      </c>
      <c r="F90" s="375">
        <v>7</v>
      </c>
      <c r="G90" s="16">
        <f>IF('Dry_Litterbag Placem_Collection'!E17="","",'Dry_Litterbag Placem_Collection'!E17)</f>
        <v>42938</v>
      </c>
      <c r="H90" t="str">
        <f>Dryseason!L16</f>
        <v>G444</v>
      </c>
      <c r="I90" t="str">
        <f>Dryseason!L236</f>
        <v>R793</v>
      </c>
      <c r="J90">
        <f>IFERROR(INDEX('Green_rooibos initial weight'!$C$5:$C$2000,MATCH(H90, 'Green_rooibos initial weight'!$A$5:$A$2000,0)),"")</f>
        <v>2.0259999999999998</v>
      </c>
      <c r="K90">
        <f>IFERROR(INDEX('Green_rooibos initial weight'!$C$5:$C$2000,MATCH(I90, 'Green_rooibos initial weight'!$A$5:$A$2000,0)),"")</f>
        <v>2.2050000000000001</v>
      </c>
      <c r="L90" s="194">
        <f t="shared" si="1"/>
        <v>1.7761999999999998</v>
      </c>
      <c r="M90" s="233">
        <f>AVERAGE(Ashed_controlls!$K$1:$K$11)</f>
        <v>5.5147656768714146</v>
      </c>
      <c r="N90" s="194">
        <f t="shared" si="0"/>
        <v>1.9552</v>
      </c>
      <c r="O90" s="16">
        <f>IF('Dry_Litterbag Placem_Collection'!G17="","",'Dry_Litterbag Placem_Collection'!G17)</f>
        <v>43007</v>
      </c>
      <c r="P90" s="194">
        <f>IFERROR(INDEX('Both teabags AfterDry'!$D$3:$D$2000,MATCH(H90,'Both teabags AfterDry'!$A$3:$A$2000,0)),"")</f>
        <v>1.3574999999999999</v>
      </c>
      <c r="Q90" s="194">
        <f>IFERROR(INDEX('Both teabags AfterDry'!$D$3:$D$2000,MATCH(I90,'Both teabags AfterDry'!$A$3:$A$2000,0)),"")</f>
        <v>0.24560000000000001</v>
      </c>
      <c r="R90" s="194">
        <f t="shared" si="2"/>
        <v>1.2068999999999999</v>
      </c>
      <c r="S90" s="194">
        <f t="shared" si="2"/>
        <v>9.5000000000000001E-2</v>
      </c>
      <c r="T90" s="194">
        <f t="shared" si="3"/>
        <v>0.32051570769057536</v>
      </c>
      <c r="U90" s="194">
        <f t="shared" si="4"/>
        <v>0.21012431193016345</v>
      </c>
      <c r="V90" s="194">
        <f t="shared" si="5"/>
        <v>4.8588379705400982E-2</v>
      </c>
      <c r="W90">
        <f t="shared" si="6"/>
        <v>69</v>
      </c>
      <c r="X90" s="194">
        <f t="shared" si="7"/>
        <v>0.61934001461926913</v>
      </c>
      <c r="Y90" s="194" t="str">
        <f t="shared" si="8"/>
        <v/>
      </c>
      <c r="Z90" s="245" t="str">
        <f>IF(ISNUMBER(SEARCH("C", 'Dry_Litterbag Placem_Collection'!$T17)),"YES","NO")</f>
        <v>YES</v>
      </c>
      <c r="AA90" s="245" t="str">
        <f>IF(ISNUMBER(SEARCH("H", 'Dry_Litterbag Placem_Collection'!$T17)),"YES","NO")</f>
        <v>YES</v>
      </c>
      <c r="AB90" s="245" t="str">
        <f>IF(ISNUMBER(SEARCH("R", 'Dry_Litterbag Placem_Collection'!$T17)),"YES","NO")</f>
        <v>NO</v>
      </c>
      <c r="AC90" s="245" t="str">
        <f>IF(ISNUMBER(SEARCH("C", 'Dry_Litterbag Placem_Collection'!$S17)),"YES","NO")</f>
        <v>YES</v>
      </c>
      <c r="AD90" s="245" t="str">
        <f>IF(ISNUMBER(SEARCH("H", 'Dry_Litterbag Placem_Collection'!$S17)),"YES","NO")</f>
        <v>YES</v>
      </c>
      <c r="AE90" s="245" t="str">
        <f>IF(ISNUMBER(SEARCH("R", 'Dry_Litterbag Placem_Collection'!$S17)),"YES","NO")</f>
        <v>NO</v>
      </c>
    </row>
    <row r="91" spans="2:31">
      <c r="B91" t="str">
        <f>Dryseason!B17</f>
        <v>Dry</v>
      </c>
      <c r="C91" s="253">
        <f>Dryseason!C17</f>
        <v>16</v>
      </c>
      <c r="D91" t="s">
        <v>3103</v>
      </c>
      <c r="E91" t="s">
        <v>22</v>
      </c>
      <c r="F91" s="375">
        <v>8</v>
      </c>
      <c r="G91" s="16">
        <f>IF('Dry_Litterbag Placem_Collection'!E18="","",'Dry_Litterbag Placem_Collection'!E18)</f>
        <v>42938</v>
      </c>
      <c r="H91" t="str">
        <f>Dryseason!L17</f>
        <v>G376</v>
      </c>
      <c r="I91" t="str">
        <f>Dryseason!L237</f>
        <v>R755</v>
      </c>
      <c r="J91">
        <f>IFERROR(INDEX('Green_rooibos initial weight'!$C$5:$C$2000,MATCH(H91, 'Green_rooibos initial weight'!$A$5:$A$2000,0)),"")</f>
        <v>2.0329999999999999</v>
      </c>
      <c r="K91">
        <f>IFERROR(INDEX('Green_rooibos initial weight'!$C$5:$C$2000,MATCH(I91, 'Green_rooibos initial weight'!$A$5:$A$2000,0)),"")</f>
        <v>2.2120000000000002</v>
      </c>
      <c r="L91" s="194">
        <f t="shared" si="1"/>
        <v>1.7831999999999999</v>
      </c>
      <c r="M91" s="233">
        <f>AVERAGE(Ashed_controlls!$K$1:$K$11)</f>
        <v>5.5147656768714146</v>
      </c>
      <c r="N91" s="194">
        <f t="shared" si="0"/>
        <v>1.9622000000000002</v>
      </c>
      <c r="O91" s="16">
        <f>IF('Dry_Litterbag Placem_Collection'!G18="","",'Dry_Litterbag Placem_Collection'!G18)</f>
        <v>43007</v>
      </c>
      <c r="P91" s="194" t="str">
        <f>IFERROR(INDEX('Both teabags AfterDry'!$D$3:$D$2000,MATCH(H91,'Both teabags AfterDry'!$A$3:$A$2000,0)),"")</f>
        <v/>
      </c>
      <c r="Q91" s="194" t="str">
        <f>IFERROR(INDEX('Both teabags AfterDry'!$D$3:$D$2000,MATCH(I91,'Both teabags AfterDry'!$A$3:$A$2000,0)),"")</f>
        <v/>
      </c>
      <c r="R91" s="194" t="str">
        <f t="shared" si="2"/>
        <v/>
      </c>
      <c r="S91" s="194" t="str">
        <f t="shared" si="2"/>
        <v/>
      </c>
      <c r="T91" s="194" t="str">
        <f t="shared" si="3"/>
        <v/>
      </c>
      <c r="U91" s="194" t="str">
        <f t="shared" si="4"/>
        <v/>
      </c>
      <c r="V91" s="194" t="str">
        <f t="shared" si="5"/>
        <v/>
      </c>
      <c r="W91">
        <f t="shared" si="6"/>
        <v>69</v>
      </c>
      <c r="X91" s="194" t="str">
        <f t="shared" si="7"/>
        <v/>
      </c>
      <c r="Y91" s="194" t="str">
        <f t="shared" si="8"/>
        <v/>
      </c>
      <c r="Z91" s="245" t="str">
        <f>IF(ISNUMBER(SEARCH("C", 'Dry_Litterbag Placem_Collection'!$T18)),"YES","NO")</f>
        <v>YES</v>
      </c>
      <c r="AA91" s="245" t="str">
        <f>IF(ISNUMBER(SEARCH("H", 'Dry_Litterbag Placem_Collection'!$T18)),"YES","NO")</f>
        <v>YES</v>
      </c>
      <c r="AB91" s="245" t="str">
        <f>IF(ISNUMBER(SEARCH("R", 'Dry_Litterbag Placem_Collection'!$T18)),"YES","NO")</f>
        <v>NO</v>
      </c>
      <c r="AC91" s="245" t="str">
        <f>IF(ISNUMBER(SEARCH("C", 'Dry_Litterbag Placem_Collection'!$S18)),"YES","NO")</f>
        <v>YES</v>
      </c>
      <c r="AD91" s="245" t="str">
        <f>IF(ISNUMBER(SEARCH("H", 'Dry_Litterbag Placem_Collection'!$S18)),"YES","NO")</f>
        <v>YES</v>
      </c>
      <c r="AE91" s="245" t="str">
        <f>IF(ISNUMBER(SEARCH("R", 'Dry_Litterbag Placem_Collection'!$S18)),"YES","NO")</f>
        <v>NO</v>
      </c>
    </row>
    <row r="92" spans="2:31">
      <c r="B92" t="str">
        <f>Dryseason!B18</f>
        <v>Dry</v>
      </c>
      <c r="C92" s="253">
        <f>Dryseason!C18</f>
        <v>17</v>
      </c>
      <c r="D92" t="s">
        <v>3104</v>
      </c>
      <c r="E92" t="s">
        <v>22</v>
      </c>
      <c r="F92" s="374">
        <v>1</v>
      </c>
      <c r="G92" s="16">
        <f>IF('Dry_Litterbag Placem_Collection'!E19="","",'Dry_Litterbag Placem_Collection'!E19)</f>
        <v>42936</v>
      </c>
      <c r="H92" t="str">
        <f>Dryseason!L18</f>
        <v>G209</v>
      </c>
      <c r="I92" t="str">
        <f>Dryseason!L238</f>
        <v>R826</v>
      </c>
      <c r="J92">
        <f>IFERROR(INDEX('Green_rooibos initial weight'!$C$5:$C$2000,MATCH(H92, 'Green_rooibos initial weight'!$A$5:$A$2000,0)),"")</f>
        <v>2.1160000000000001</v>
      </c>
      <c r="K92">
        <f>IFERROR(INDEX('Green_rooibos initial weight'!$C$5:$C$2000,MATCH(I92, 'Green_rooibos initial weight'!$A$5:$A$2000,0)),"")</f>
        <v>2.1659999999999999</v>
      </c>
      <c r="L92" s="194">
        <f t="shared" si="1"/>
        <v>1.8662000000000001</v>
      </c>
      <c r="M92" s="233">
        <f>AVERAGE(Ashed_controlls!$K$1:$K$11)</f>
        <v>5.5147656768714146</v>
      </c>
      <c r="N92" s="194">
        <f t="shared" si="0"/>
        <v>1.9161999999999999</v>
      </c>
      <c r="O92" s="16">
        <f>IF('Dry_Litterbag Placem_Collection'!G19="","",'Dry_Litterbag Placem_Collection'!G19)</f>
        <v>43007</v>
      </c>
      <c r="P92" s="194">
        <f>IFERROR(INDEX('Both teabags AfterDry'!$D$3:$D$2000,MATCH(H92,'Both teabags AfterDry'!$A$3:$A$2000,0)),"")</f>
        <v>1.9087000000000001</v>
      </c>
      <c r="Q92" s="194">
        <f>IFERROR(INDEX('Both teabags AfterDry'!$D$3:$D$2000,MATCH(I92,'Both teabags AfterDry'!$A$3:$A$2000,0)),"")</f>
        <v>1.9086000000000001</v>
      </c>
      <c r="R92" s="194">
        <f t="shared" si="2"/>
        <v>1.7581</v>
      </c>
      <c r="S92" s="194">
        <f t="shared" si="2"/>
        <v>1.758</v>
      </c>
      <c r="T92" s="194">
        <f t="shared" si="3"/>
        <v>5.7925195584610512E-2</v>
      </c>
      <c r="U92" s="194">
        <f t="shared" si="4"/>
        <v>3.7974712544780305E-2</v>
      </c>
      <c r="V92" s="194">
        <f t="shared" si="5"/>
        <v>0.9174407681870369</v>
      </c>
      <c r="W92">
        <f t="shared" si="6"/>
        <v>71</v>
      </c>
      <c r="X92" s="194">
        <f t="shared" si="7"/>
        <v>0.93120523089713714</v>
      </c>
      <c r="Y92" s="194" t="str">
        <f t="shared" si="8"/>
        <v/>
      </c>
      <c r="Z92" s="245" t="str">
        <f>IF(ISNUMBER(SEARCH("C", 'Dry_Litterbag Placem_Collection'!$T19)),"YES","NO")</f>
        <v>NO</v>
      </c>
      <c r="AA92" s="245" t="str">
        <f>IF(ISNUMBER(SEARCH("H", 'Dry_Litterbag Placem_Collection'!$T19)),"YES","NO")</f>
        <v>NO</v>
      </c>
      <c r="AB92" s="245" t="str">
        <f>IF(ISNUMBER(SEARCH("R", 'Dry_Litterbag Placem_Collection'!$T19)),"YES","NO")</f>
        <v>NO</v>
      </c>
      <c r="AC92" s="245" t="str">
        <f>IF(ISNUMBER(SEARCH("C", 'Dry_Litterbag Placem_Collection'!$S19)),"YES","NO")</f>
        <v>NO</v>
      </c>
      <c r="AD92" s="245" t="str">
        <f>IF(ISNUMBER(SEARCH("H", 'Dry_Litterbag Placem_Collection'!$S19)),"YES","NO")</f>
        <v>NO</v>
      </c>
      <c r="AE92" s="245" t="str">
        <f>IF(ISNUMBER(SEARCH("R", 'Dry_Litterbag Placem_Collection'!$S19)),"YES","NO")</f>
        <v>NO</v>
      </c>
    </row>
    <row r="93" spans="2:31">
      <c r="B93" t="str">
        <f>Dryseason!B19</f>
        <v>Dry</v>
      </c>
      <c r="C93" s="253">
        <f>Dryseason!C19</f>
        <v>18</v>
      </c>
      <c r="D93" t="s">
        <v>3104</v>
      </c>
      <c r="E93" t="s">
        <v>22</v>
      </c>
      <c r="F93" s="374">
        <v>2</v>
      </c>
      <c r="G93" s="16">
        <f>IF('Dry_Litterbag Placem_Collection'!E20="","",'Dry_Litterbag Placem_Collection'!E20)</f>
        <v>42936</v>
      </c>
      <c r="H93" t="str">
        <f>Dryseason!L19</f>
        <v>G10</v>
      </c>
      <c r="I93" t="str">
        <f>Dryseason!L239</f>
        <v>R732</v>
      </c>
      <c r="J93">
        <f>IFERROR(INDEX('Green_rooibos initial weight'!$C$5:$C$2000,MATCH(H93, 'Green_rooibos initial weight'!$A$5:$A$2000,0)),"")</f>
        <v>1.9710000000000001</v>
      </c>
      <c r="K93">
        <f>IFERROR(INDEX('Green_rooibos initial weight'!$C$5:$C$2000,MATCH(I93, 'Green_rooibos initial weight'!$A$5:$A$2000,0)),"")</f>
        <v>2.2189999999999999</v>
      </c>
      <c r="L93" s="194">
        <f t="shared" si="1"/>
        <v>1.7212000000000001</v>
      </c>
      <c r="M93" s="233">
        <f>AVERAGE(Ashed_controlls!$K$1:$K$11)</f>
        <v>5.5147656768714146</v>
      </c>
      <c r="N93" s="194">
        <f t="shared" si="0"/>
        <v>1.9691999999999998</v>
      </c>
      <c r="O93" s="16">
        <f>IF('Dry_Litterbag Placem_Collection'!G20="","",'Dry_Litterbag Placem_Collection'!G20)</f>
        <v>43007</v>
      </c>
      <c r="P93" s="194">
        <f>IFERROR(INDEX('Both teabags AfterDry'!$D$3:$D$2000,MATCH(H93,'Both teabags AfterDry'!$A$3:$A$2000,0)),"")</f>
        <v>1.7706999999999999</v>
      </c>
      <c r="Q93" s="194">
        <f>IFERROR(INDEX('Both teabags AfterDry'!$D$3:$D$2000,MATCH(I93,'Both teabags AfterDry'!$A$3:$A$2000,0)),"")</f>
        <v>1.9874000000000001</v>
      </c>
      <c r="R93" s="194">
        <f t="shared" si="2"/>
        <v>1.6200999999999999</v>
      </c>
      <c r="S93" s="194">
        <f t="shared" si="2"/>
        <v>1.8368</v>
      </c>
      <c r="T93" s="194">
        <f t="shared" si="3"/>
        <v>5.8738089704857166E-2</v>
      </c>
      <c r="U93" s="194">
        <f t="shared" si="4"/>
        <v>3.8507631255440822E-2</v>
      </c>
      <c r="V93" s="194">
        <f t="shared" si="5"/>
        <v>0.93276457444647576</v>
      </c>
      <c r="W93">
        <f t="shared" si="6"/>
        <v>71</v>
      </c>
      <c r="X93" s="194">
        <f t="shared" si="7"/>
        <v>0.93023979845028837</v>
      </c>
      <c r="Y93" s="194" t="str">
        <f t="shared" si="8"/>
        <v/>
      </c>
      <c r="Z93" s="245" t="str">
        <f>IF(ISNUMBER(SEARCH("C", 'Dry_Litterbag Placem_Collection'!$T20)),"YES","NO")</f>
        <v>NO</v>
      </c>
      <c r="AA93" s="245" t="str">
        <f>IF(ISNUMBER(SEARCH("H", 'Dry_Litterbag Placem_Collection'!$T20)),"YES","NO")</f>
        <v>YES</v>
      </c>
      <c r="AB93" s="245" t="str">
        <f>IF(ISNUMBER(SEARCH("R", 'Dry_Litterbag Placem_Collection'!$T20)),"YES","NO")</f>
        <v>NO</v>
      </c>
      <c r="AC93" s="245" t="str">
        <f>IF(ISNUMBER(SEARCH("C", 'Dry_Litterbag Placem_Collection'!$S20)),"YES","NO")</f>
        <v>NO</v>
      </c>
      <c r="AD93" s="245" t="str">
        <f>IF(ISNUMBER(SEARCH("H", 'Dry_Litterbag Placem_Collection'!$S20)),"YES","NO")</f>
        <v>NO</v>
      </c>
      <c r="AE93" s="245" t="str">
        <f>IF(ISNUMBER(SEARCH("R", 'Dry_Litterbag Placem_Collection'!$S20)),"YES","NO")</f>
        <v>NO</v>
      </c>
    </row>
    <row r="94" spans="2:31">
      <c r="B94" t="str">
        <f>Dryseason!B20</f>
        <v>Dry</v>
      </c>
      <c r="C94" s="253">
        <f>Dryseason!C20</f>
        <v>19</v>
      </c>
      <c r="D94" t="s">
        <v>3104</v>
      </c>
      <c r="E94" t="s">
        <v>22</v>
      </c>
      <c r="F94" s="374">
        <v>3</v>
      </c>
      <c r="G94" s="16">
        <f>IF('Dry_Litterbag Placem_Collection'!E21="","",'Dry_Litterbag Placem_Collection'!E21)</f>
        <v>42936</v>
      </c>
      <c r="H94" t="str">
        <f>Dryseason!L20</f>
        <v>G190</v>
      </c>
      <c r="I94" t="str">
        <f>Dryseason!L240</f>
        <v>R749</v>
      </c>
      <c r="J94">
        <f>IFERROR(INDEX('Green_rooibos initial weight'!$C$5:$C$2000,MATCH(H94, 'Green_rooibos initial weight'!$A$5:$A$2000,0)),"")</f>
        <v>1.909</v>
      </c>
      <c r="K94">
        <f>IFERROR(INDEX('Green_rooibos initial weight'!$C$5:$C$2000,MATCH(I94, 'Green_rooibos initial weight'!$A$5:$A$2000,0)),"")</f>
        <v>2.2050000000000001</v>
      </c>
      <c r="L94" s="194">
        <f t="shared" si="1"/>
        <v>1.6592</v>
      </c>
      <c r="M94" s="233">
        <f>AVERAGE(Ashed_controlls!$K$1:$K$11)</f>
        <v>5.5147656768714146</v>
      </c>
      <c r="N94" s="194">
        <f t="shared" si="0"/>
        <v>1.9552</v>
      </c>
      <c r="O94" s="16">
        <f>IF('Dry_Litterbag Placem_Collection'!G21="","",'Dry_Litterbag Placem_Collection'!G21)</f>
        <v>43007</v>
      </c>
      <c r="P94" s="194">
        <f>IFERROR(INDEX('Both teabags AfterDry'!$D$3:$D$2000,MATCH(H94,'Both teabags AfterDry'!$A$3:$A$2000,0)),"")</f>
        <v>1.7041999999999999</v>
      </c>
      <c r="Q94" s="194">
        <f>IFERROR(INDEX('Both teabags AfterDry'!$D$3:$D$2000,MATCH(I94,'Both teabags AfterDry'!$A$3:$A$2000,0)),"")</f>
        <v>1.9492</v>
      </c>
      <c r="R94" s="194">
        <f t="shared" si="2"/>
        <v>1.5535999999999999</v>
      </c>
      <c r="S94" s="194">
        <f t="shared" si="2"/>
        <v>1.7986</v>
      </c>
      <c r="T94" s="194">
        <f t="shared" si="3"/>
        <v>6.3645130183220933E-2</v>
      </c>
      <c r="U94" s="194">
        <f t="shared" si="4"/>
        <v>4.1724598409902565E-2</v>
      </c>
      <c r="V94" s="194">
        <f t="shared" si="5"/>
        <v>0.91990589198035999</v>
      </c>
      <c r="W94">
        <f t="shared" si="6"/>
        <v>71</v>
      </c>
      <c r="X94" s="194">
        <f t="shared" si="7"/>
        <v>0.92441195940235044</v>
      </c>
      <c r="Y94" s="194" t="str">
        <f t="shared" si="8"/>
        <v/>
      </c>
      <c r="Z94" s="245" t="str">
        <f>IF(ISNUMBER(SEARCH("C", 'Dry_Litterbag Placem_Collection'!$T21)),"YES","NO")</f>
        <v>NO</v>
      </c>
      <c r="AA94" s="245" t="str">
        <f>IF(ISNUMBER(SEARCH("H", 'Dry_Litterbag Placem_Collection'!$T21)),"YES","NO")</f>
        <v>NO</v>
      </c>
      <c r="AB94" s="245" t="str">
        <f>IF(ISNUMBER(SEARCH("R", 'Dry_Litterbag Placem_Collection'!$T21)),"YES","NO")</f>
        <v>NO</v>
      </c>
      <c r="AC94" s="245" t="str">
        <f>IF(ISNUMBER(SEARCH("C", 'Dry_Litterbag Placem_Collection'!$S21)),"YES","NO")</f>
        <v>NO</v>
      </c>
      <c r="AD94" s="245" t="str">
        <f>IF(ISNUMBER(SEARCH("H", 'Dry_Litterbag Placem_Collection'!$S21)),"YES","NO")</f>
        <v>YES</v>
      </c>
      <c r="AE94" s="245" t="str">
        <f>IF(ISNUMBER(SEARCH("R", 'Dry_Litterbag Placem_Collection'!$S21)),"YES","NO")</f>
        <v>NO</v>
      </c>
    </row>
    <row r="95" spans="2:31">
      <c r="B95" t="str">
        <f>Dryseason!B21</f>
        <v>Dry</v>
      </c>
      <c r="C95" s="253">
        <f>Dryseason!C21</f>
        <v>20</v>
      </c>
      <c r="D95" t="s">
        <v>3104</v>
      </c>
      <c r="E95" t="s">
        <v>22</v>
      </c>
      <c r="F95" s="375">
        <v>4</v>
      </c>
      <c r="G95" s="16">
        <f>IF('Dry_Litterbag Placem_Collection'!E22="","",'Dry_Litterbag Placem_Collection'!E22)</f>
        <v>42936</v>
      </c>
      <c r="H95" t="str">
        <f>Dryseason!L21</f>
        <v>G38</v>
      </c>
      <c r="I95" t="str">
        <f>Dryseason!L241</f>
        <v>R632</v>
      </c>
      <c r="J95">
        <f>IFERROR(INDEX('Green_rooibos initial weight'!$C$5:$C$2000,MATCH(H95, 'Green_rooibos initial weight'!$A$5:$A$2000,0)),"")</f>
        <v>1.93</v>
      </c>
      <c r="K95">
        <f>IFERROR(INDEX('Green_rooibos initial weight'!$C$5:$C$2000,MATCH(I95, 'Green_rooibos initial weight'!$A$5:$A$2000,0)),"")</f>
        <v>2.1269999999999998</v>
      </c>
      <c r="L95" s="194">
        <f t="shared" si="1"/>
        <v>1.6801999999999999</v>
      </c>
      <c r="M95" s="233">
        <f>AVERAGE(Ashed_controlls!$K$1:$K$11)</f>
        <v>5.5147656768714146</v>
      </c>
      <c r="N95" s="194">
        <f t="shared" si="0"/>
        <v>1.8771999999999998</v>
      </c>
      <c r="O95" s="16">
        <f>IF('Dry_Litterbag Placem_Collection'!G22="","",'Dry_Litterbag Placem_Collection'!G22)</f>
        <v>43007</v>
      </c>
      <c r="P95" s="194">
        <f>IFERROR(INDEX('Both teabags AfterDry'!$D$3:$D$2000,MATCH(H95,'Both teabags AfterDry'!$A$3:$A$2000,0)),"")</f>
        <v>1.6738</v>
      </c>
      <c r="Q95" s="194">
        <f>IFERROR(INDEX('Both teabags AfterDry'!$D$3:$D$2000,MATCH(I95,'Both teabags AfterDry'!$A$3:$A$2000,0)),"")</f>
        <v>1.9161999999999999</v>
      </c>
      <c r="R95" s="194">
        <f t="shared" si="2"/>
        <v>1.5231999999999999</v>
      </c>
      <c r="S95" s="194">
        <f t="shared" si="2"/>
        <v>1.7655999999999998</v>
      </c>
      <c r="T95" s="194">
        <f t="shared" si="3"/>
        <v>9.3441256993215149E-2</v>
      </c>
      <c r="U95" s="194">
        <f t="shared" si="4"/>
        <v>6.1258401259209942E-2</v>
      </c>
      <c r="V95" s="194">
        <f t="shared" si="5"/>
        <v>0.94054975495418713</v>
      </c>
      <c r="W95">
        <f t="shared" si="6"/>
        <v>71</v>
      </c>
      <c r="X95" s="194">
        <f t="shared" si="7"/>
        <v>0.889024635399982</v>
      </c>
      <c r="Y95" s="194">
        <f t="shared" si="8"/>
        <v>4.9616807661713842E-2</v>
      </c>
      <c r="Z95" s="245" t="str">
        <f>IF(ISNUMBER(SEARCH("C", 'Dry_Litterbag Placem_Collection'!$T22)),"YES","NO")</f>
        <v>NO</v>
      </c>
      <c r="AA95" s="245" t="str">
        <f>IF(ISNUMBER(SEARCH("H", 'Dry_Litterbag Placem_Collection'!$T22)),"YES","NO")</f>
        <v>NO</v>
      </c>
      <c r="AB95" s="245" t="str">
        <f>IF(ISNUMBER(SEARCH("R", 'Dry_Litterbag Placem_Collection'!$T22)),"YES","NO")</f>
        <v>NO</v>
      </c>
      <c r="AC95" s="245" t="str">
        <f>IF(ISNUMBER(SEARCH("C", 'Dry_Litterbag Placem_Collection'!$S22)),"YES","NO")</f>
        <v>NO</v>
      </c>
      <c r="AD95" s="245" t="str">
        <f>IF(ISNUMBER(SEARCH("H", 'Dry_Litterbag Placem_Collection'!$S22)),"YES","NO")</f>
        <v>YES</v>
      </c>
      <c r="AE95" s="245" t="str">
        <f>IF(ISNUMBER(SEARCH("R", 'Dry_Litterbag Placem_Collection'!$S22)),"YES","NO")</f>
        <v>NO</v>
      </c>
    </row>
    <row r="96" spans="2:31">
      <c r="B96" t="str">
        <f>Dryseason!B22</f>
        <v>Dry</v>
      </c>
      <c r="C96" s="253">
        <f>Dryseason!C22</f>
        <v>21</v>
      </c>
      <c r="D96" t="s">
        <v>3104</v>
      </c>
      <c r="E96" t="s">
        <v>22</v>
      </c>
      <c r="F96" s="375">
        <v>5</v>
      </c>
      <c r="G96" s="16">
        <f>IF('Dry_Litterbag Placem_Collection'!E23="","",'Dry_Litterbag Placem_Collection'!E23)</f>
        <v>42936</v>
      </c>
      <c r="H96" t="str">
        <f>Dryseason!L22</f>
        <v>G468</v>
      </c>
      <c r="I96" t="str">
        <f>Dryseason!L242</f>
        <v>R630</v>
      </c>
      <c r="J96">
        <f>IFERROR(INDEX('Green_rooibos initial weight'!$C$5:$C$2000,MATCH(H96, 'Green_rooibos initial weight'!$A$5:$A$2000,0)),"")</f>
        <v>2.1309999999999998</v>
      </c>
      <c r="K96">
        <f>IFERROR(INDEX('Green_rooibos initial weight'!$C$5:$C$2000,MATCH(I96, 'Green_rooibos initial weight'!$A$5:$A$2000,0)),"")</f>
        <v>2.13</v>
      </c>
      <c r="L96" s="194">
        <f t="shared" si="1"/>
        <v>1.8811999999999998</v>
      </c>
      <c r="M96" s="233">
        <f>AVERAGE(Ashed_controlls!$K$1:$K$11)</f>
        <v>5.5147656768714146</v>
      </c>
      <c r="N96" s="194">
        <f t="shared" si="0"/>
        <v>1.8801999999999999</v>
      </c>
      <c r="O96" s="16">
        <f>IF('Dry_Litterbag Placem_Collection'!G23="","",'Dry_Litterbag Placem_Collection'!G23)</f>
        <v>43007</v>
      </c>
      <c r="P96" s="194" t="str">
        <f>IFERROR(INDEX('Both teabags AfterDry'!$D$3:$D$2000,MATCH(H96,'Both teabags AfterDry'!$A$3:$A$2000,0)),"")</f>
        <v/>
      </c>
      <c r="Q96" s="194" t="str">
        <f>IFERROR(INDEX('Both teabags AfterDry'!$D$3:$D$2000,MATCH(I96,'Both teabags AfterDry'!$A$3:$A$2000,0)),"")</f>
        <v/>
      </c>
      <c r="R96" s="194" t="str">
        <f t="shared" si="2"/>
        <v/>
      </c>
      <c r="S96" s="194" t="str">
        <f t="shared" si="2"/>
        <v/>
      </c>
      <c r="T96" s="194" t="str">
        <f t="shared" si="3"/>
        <v/>
      </c>
      <c r="U96" s="194" t="str">
        <f t="shared" si="4"/>
        <v/>
      </c>
      <c r="V96" s="194" t="str">
        <f t="shared" si="5"/>
        <v/>
      </c>
      <c r="W96">
        <f t="shared" si="6"/>
        <v>71</v>
      </c>
      <c r="X96" s="194" t="str">
        <f t="shared" si="7"/>
        <v/>
      </c>
      <c r="Y96" s="194" t="str">
        <f t="shared" si="8"/>
        <v/>
      </c>
      <c r="Z96" s="245" t="str">
        <f>IF(ISNUMBER(SEARCH("C", 'Dry_Litterbag Placem_Collection'!$T23)),"YES","NO")</f>
        <v>NO</v>
      </c>
      <c r="AA96" s="245" t="str">
        <f>IF(ISNUMBER(SEARCH("H", 'Dry_Litterbag Placem_Collection'!$T23)),"YES","NO")</f>
        <v>NO</v>
      </c>
      <c r="AB96" s="245" t="str">
        <f>IF(ISNUMBER(SEARCH("R", 'Dry_Litterbag Placem_Collection'!$T23)),"YES","NO")</f>
        <v>NO</v>
      </c>
      <c r="AC96" s="245" t="str">
        <f>IF(ISNUMBER(SEARCH("C", 'Dry_Litterbag Placem_Collection'!$S23)),"YES","NO")</f>
        <v>NO</v>
      </c>
      <c r="AD96" s="245" t="str">
        <f>IF(ISNUMBER(SEARCH("H", 'Dry_Litterbag Placem_Collection'!$S23)),"YES","NO")</f>
        <v>NO</v>
      </c>
      <c r="AE96" s="245" t="str">
        <f>IF(ISNUMBER(SEARCH("R", 'Dry_Litterbag Placem_Collection'!$S23)),"YES","NO")</f>
        <v>NO</v>
      </c>
    </row>
    <row r="97" spans="2:31">
      <c r="B97" t="str">
        <f>Dryseason!B23</f>
        <v>Dry</v>
      </c>
      <c r="C97" s="253">
        <f>Dryseason!C23</f>
        <v>22</v>
      </c>
      <c r="D97" t="s">
        <v>3104</v>
      </c>
      <c r="E97" t="s">
        <v>22</v>
      </c>
      <c r="F97" s="375">
        <v>6</v>
      </c>
      <c r="G97" s="16">
        <f>IF('Dry_Litterbag Placem_Collection'!E24="","",'Dry_Litterbag Placem_Collection'!E24)</f>
        <v>42936</v>
      </c>
      <c r="H97" t="str">
        <f>Dryseason!L23</f>
        <v>G8</v>
      </c>
      <c r="I97" t="str">
        <f>Dryseason!L243</f>
        <v>R723</v>
      </c>
      <c r="J97">
        <f>IFERROR(INDEX('Green_rooibos initial weight'!$C$5:$C$2000,MATCH(H97, 'Green_rooibos initial weight'!$A$5:$A$2000,0)),"")</f>
        <v>2.0209999999999999</v>
      </c>
      <c r="K97">
        <f>IFERROR(INDEX('Green_rooibos initial weight'!$C$5:$C$2000,MATCH(I97, 'Green_rooibos initial weight'!$A$5:$A$2000,0)),"")</f>
        <v>2.2559999999999998</v>
      </c>
      <c r="L97" s="194">
        <f t="shared" si="1"/>
        <v>1.7711999999999999</v>
      </c>
      <c r="M97" s="233">
        <f>AVERAGE(Ashed_controlls!$K$1:$K$11)</f>
        <v>5.5147656768714146</v>
      </c>
      <c r="N97" s="194">
        <f t="shared" si="0"/>
        <v>2.0061999999999998</v>
      </c>
      <c r="O97" s="16">
        <f>IF('Dry_Litterbag Placem_Collection'!G24="","",'Dry_Litterbag Placem_Collection'!G24)</f>
        <v>43007</v>
      </c>
      <c r="P97" s="194">
        <f>IFERROR(INDEX('Both teabags AfterDry'!$D$3:$D$2000,MATCH(H97,'Both teabags AfterDry'!$A$3:$A$2000,0)),"")</f>
        <v>1.4722999999999999</v>
      </c>
      <c r="Q97" s="194">
        <f>IFERROR(INDEX('Both teabags AfterDry'!$D$3:$D$2000,MATCH(I97,'Both teabags AfterDry'!$A$3:$A$2000,0)),"")</f>
        <v>1.8997999999999999</v>
      </c>
      <c r="R97" s="194">
        <f t="shared" si="2"/>
        <v>1.3216999999999999</v>
      </c>
      <c r="S97" s="194">
        <f t="shared" si="2"/>
        <v>1.7491999999999999</v>
      </c>
      <c r="T97" s="194">
        <f t="shared" si="3"/>
        <v>0.25378274616079499</v>
      </c>
      <c r="U97" s="194">
        <f t="shared" si="4"/>
        <v>0.16637538703178012</v>
      </c>
      <c r="V97" s="194">
        <f t="shared" si="5"/>
        <v>0.87189711893131294</v>
      </c>
      <c r="W97">
        <f t="shared" si="6"/>
        <v>71</v>
      </c>
      <c r="X97" s="194">
        <f t="shared" si="7"/>
        <v>0.69859531334822444</v>
      </c>
      <c r="Y97" s="194">
        <f t="shared" si="8"/>
        <v>2.069739189498471E-2</v>
      </c>
      <c r="Z97" s="245" t="str">
        <f>IF(ISNUMBER(SEARCH("C", 'Dry_Litterbag Placem_Collection'!$T24)),"YES","NO")</f>
        <v>NO</v>
      </c>
      <c r="AA97" s="245" t="str">
        <f>IF(ISNUMBER(SEARCH("H", 'Dry_Litterbag Placem_Collection'!$T24)),"YES","NO")</f>
        <v>YES</v>
      </c>
      <c r="AB97" s="245" t="str">
        <f>IF(ISNUMBER(SEARCH("R", 'Dry_Litterbag Placem_Collection'!$T24)),"YES","NO")</f>
        <v>NO</v>
      </c>
      <c r="AC97" s="245" t="str">
        <f>IF(ISNUMBER(SEARCH("C", 'Dry_Litterbag Placem_Collection'!$S24)),"YES","NO")</f>
        <v>NO</v>
      </c>
      <c r="AD97" s="245" t="str">
        <f>IF(ISNUMBER(SEARCH("H", 'Dry_Litterbag Placem_Collection'!$S24)),"YES","NO")</f>
        <v>NO</v>
      </c>
      <c r="AE97" s="245" t="str">
        <f>IF(ISNUMBER(SEARCH("R", 'Dry_Litterbag Placem_Collection'!$S24)),"YES","NO")</f>
        <v>NO</v>
      </c>
    </row>
    <row r="98" spans="2:31">
      <c r="B98" t="str">
        <f>Dryseason!B24</f>
        <v>Dry</v>
      </c>
      <c r="C98" s="253">
        <f>Dryseason!C24</f>
        <v>23</v>
      </c>
      <c r="D98" t="s">
        <v>3104</v>
      </c>
      <c r="E98" t="s">
        <v>22</v>
      </c>
      <c r="F98" s="375">
        <v>7</v>
      </c>
      <c r="G98" s="16" t="str">
        <f>IF('Dry_Litterbag Placem_Collection'!E25="","",'Dry_Litterbag Placem_Collection'!E25)</f>
        <v/>
      </c>
      <c r="H98" t="str">
        <f>Dryseason!L24</f>
        <v/>
      </c>
      <c r="I98" t="str">
        <f>Dryseason!L244</f>
        <v/>
      </c>
      <c r="J98" t="str">
        <f>IFERROR(INDEX('Green_rooibos initial weight'!$C$5:$C$2000,MATCH(H98, 'Green_rooibos initial weight'!$A$5:$A$2000,0)),"")</f>
        <v/>
      </c>
      <c r="K98" t="str">
        <f>IFERROR(INDEX('Green_rooibos initial weight'!$C$5:$C$2000,MATCH(I98, 'Green_rooibos initial weight'!$A$5:$A$2000,0)),"")</f>
        <v/>
      </c>
      <c r="L98" s="194" t="str">
        <f t="shared" si="1"/>
        <v/>
      </c>
      <c r="M98" s="233">
        <f>AVERAGE(Ashed_controlls!$K$1:$K$11)</f>
        <v>5.5147656768714146</v>
      </c>
      <c r="N98" s="194" t="str">
        <f t="shared" si="0"/>
        <v/>
      </c>
      <c r="O98" s="16" t="str">
        <f>IF('Dry_Litterbag Placem_Collection'!G25="","",'Dry_Litterbag Placem_Collection'!G25)</f>
        <v/>
      </c>
      <c r="P98" s="194" t="str">
        <f>IFERROR(INDEX('Both teabags AfterDry'!$D$3:$D$2000,MATCH(H98,'Both teabags AfterDry'!$A$3:$A$2000,0)),"")</f>
        <v/>
      </c>
      <c r="Q98" s="194" t="str">
        <f>IFERROR(INDEX('Both teabags AfterDry'!$D$3:$D$2000,MATCH(I98,'Both teabags AfterDry'!$A$3:$A$2000,0)),"")</f>
        <v/>
      </c>
      <c r="R98" s="194" t="str">
        <f t="shared" si="2"/>
        <v/>
      </c>
      <c r="S98" s="194" t="str">
        <f t="shared" si="2"/>
        <v/>
      </c>
      <c r="T98" s="194" t="str">
        <f t="shared" si="3"/>
        <v/>
      </c>
      <c r="U98" s="194" t="str">
        <f t="shared" si="4"/>
        <v/>
      </c>
      <c r="V98" s="194" t="str">
        <f t="shared" si="5"/>
        <v/>
      </c>
      <c r="W98" t="str">
        <f t="shared" si="6"/>
        <v/>
      </c>
      <c r="X98" s="194" t="str">
        <f t="shared" si="7"/>
        <v/>
      </c>
      <c r="Y98" s="194" t="str">
        <f t="shared" si="8"/>
        <v/>
      </c>
      <c r="Z98" s="245" t="str">
        <f>IF(ISNUMBER(SEARCH("C", 'Dry_Litterbag Placem_Collection'!$T25)),"YES","NO")</f>
        <v>NO</v>
      </c>
      <c r="AA98" s="245" t="str">
        <f>IF(ISNUMBER(SEARCH("H", 'Dry_Litterbag Placem_Collection'!$T25)),"YES","NO")</f>
        <v>NO</v>
      </c>
      <c r="AB98" s="245" t="str">
        <f>IF(ISNUMBER(SEARCH("R", 'Dry_Litterbag Placem_Collection'!$T25)),"YES","NO")</f>
        <v>NO</v>
      </c>
      <c r="AC98" s="245" t="str">
        <f>IF(ISNUMBER(SEARCH("C", 'Dry_Litterbag Placem_Collection'!$S25)),"YES","NO")</f>
        <v>NO</v>
      </c>
      <c r="AD98" s="245" t="str">
        <f>IF(ISNUMBER(SEARCH("H", 'Dry_Litterbag Placem_Collection'!$S25)),"YES","NO")</f>
        <v>NO</v>
      </c>
      <c r="AE98" s="245" t="str">
        <f>IF(ISNUMBER(SEARCH("R", 'Dry_Litterbag Placem_Collection'!$S25)),"YES","NO")</f>
        <v>NO</v>
      </c>
    </row>
    <row r="99" spans="2:31">
      <c r="B99" t="str">
        <f>Dryseason!B25</f>
        <v>Dry</v>
      </c>
      <c r="C99" s="253">
        <f>Dryseason!C25</f>
        <v>24</v>
      </c>
      <c r="D99" t="s">
        <v>3104</v>
      </c>
      <c r="E99" t="s">
        <v>22</v>
      </c>
      <c r="F99" s="375">
        <v>8</v>
      </c>
      <c r="G99" s="16">
        <f>IF('Dry_Litterbag Placem_Collection'!E26="","",'Dry_Litterbag Placem_Collection'!E26)</f>
        <v>42936</v>
      </c>
      <c r="H99" t="str">
        <f>Dryseason!L25</f>
        <v>G320</v>
      </c>
      <c r="I99" t="str">
        <f>Dryseason!L245</f>
        <v>R225</v>
      </c>
      <c r="J99">
        <f>IFERROR(INDEX('Green_rooibos initial weight'!$C$5:$C$2000,MATCH(H99, 'Green_rooibos initial weight'!$A$5:$A$2000,0)),"")</f>
        <v>2.044</v>
      </c>
      <c r="K99">
        <f>IFERROR(INDEX('Green_rooibos initial weight'!$C$5:$C$2000,MATCH(I99, 'Green_rooibos initial weight'!$A$5:$A$2000,0)),"")</f>
        <v>2.214</v>
      </c>
      <c r="L99" s="194">
        <f t="shared" si="1"/>
        <v>1.7942</v>
      </c>
      <c r="M99" s="233">
        <f>AVERAGE(Ashed_controlls!$K$1:$K$11)</f>
        <v>5.5147656768714146</v>
      </c>
      <c r="N99" s="194">
        <f t="shared" si="0"/>
        <v>1.9641999999999999</v>
      </c>
      <c r="O99" s="16">
        <f>IF('Dry_Litterbag Placem_Collection'!G26="","",'Dry_Litterbag Placem_Collection'!G26)</f>
        <v>43007</v>
      </c>
      <c r="P99" s="194">
        <f>IFERROR(INDEX('Both teabags AfterDry'!$D$3:$D$2000,MATCH(H99,'Both teabags AfterDry'!$A$3:$A$2000,0)),"")</f>
        <v>1.7525999999999999</v>
      </c>
      <c r="Q99" s="194">
        <f>IFERROR(INDEX('Both teabags AfterDry'!$D$3:$D$2000,MATCH(I99,'Both teabags AfterDry'!$A$3:$A$2000,0)),"")</f>
        <v>1.9572000000000001</v>
      </c>
      <c r="R99" s="194">
        <f t="shared" si="2"/>
        <v>1.6019999999999999</v>
      </c>
      <c r="S99" s="194">
        <f t="shared" si="2"/>
        <v>1.8066</v>
      </c>
      <c r="T99" s="194">
        <f t="shared" si="3"/>
        <v>0.10712295173336317</v>
      </c>
      <c r="U99" s="194">
        <f t="shared" si="4"/>
        <v>7.0227873345387742E-2</v>
      </c>
      <c r="V99" s="194">
        <f t="shared" si="5"/>
        <v>0.91976377151002953</v>
      </c>
      <c r="W99">
        <f t="shared" si="6"/>
        <v>71</v>
      </c>
      <c r="X99" s="194">
        <f t="shared" si="7"/>
        <v>0.87277559176560193</v>
      </c>
      <c r="Y99" s="194" t="str">
        <f t="shared" si="8"/>
        <v/>
      </c>
      <c r="Z99" s="245" t="str">
        <f>IF(ISNUMBER(SEARCH("C", 'Dry_Litterbag Placem_Collection'!$T26)),"YES","NO")</f>
        <v>NO</v>
      </c>
      <c r="AA99" s="245" t="str">
        <f>IF(ISNUMBER(SEARCH("H", 'Dry_Litterbag Placem_Collection'!$T26)),"YES","NO")</f>
        <v>NO</v>
      </c>
      <c r="AB99" s="245" t="str">
        <f>IF(ISNUMBER(SEARCH("R", 'Dry_Litterbag Placem_Collection'!$T26)),"YES","NO")</f>
        <v>NO</v>
      </c>
      <c r="AC99" s="245" t="str">
        <f>IF(ISNUMBER(SEARCH("C", 'Dry_Litterbag Placem_Collection'!$S26)),"YES","NO")</f>
        <v>NO</v>
      </c>
      <c r="AD99" s="245" t="str">
        <f>IF(ISNUMBER(SEARCH("H", 'Dry_Litterbag Placem_Collection'!$S26)),"YES","NO")</f>
        <v>NO</v>
      </c>
      <c r="AE99" s="245" t="str">
        <f>IF(ISNUMBER(SEARCH("R", 'Dry_Litterbag Placem_Collection'!$S26)),"YES","NO")</f>
        <v>NO</v>
      </c>
    </row>
    <row r="100" spans="2:31">
      <c r="B100" t="str">
        <f>Dryseason!B26</f>
        <v>Dry</v>
      </c>
      <c r="C100" s="253">
        <f>Dryseason!C26</f>
        <v>25</v>
      </c>
      <c r="D100" t="s">
        <v>3105</v>
      </c>
      <c r="E100" t="s">
        <v>22</v>
      </c>
      <c r="F100" s="374">
        <v>1</v>
      </c>
      <c r="G100" s="16">
        <f>IF('Dry_Litterbag Placem_Collection'!E27="","",'Dry_Litterbag Placem_Collection'!E27)</f>
        <v>42936</v>
      </c>
      <c r="H100" t="str">
        <f>Dryseason!L26</f>
        <v>G322</v>
      </c>
      <c r="I100" t="str">
        <f>Dryseason!L246</f>
        <v>R43</v>
      </c>
      <c r="J100">
        <f>IFERROR(INDEX('Green_rooibos initial weight'!$C$5:$C$2000,MATCH(H100, 'Green_rooibos initial weight'!$A$5:$A$2000,0)),"")</f>
        <v>2.0169999999999999</v>
      </c>
      <c r="K100">
        <f>IFERROR(INDEX('Green_rooibos initial weight'!$C$5:$C$2000,MATCH(I100, 'Green_rooibos initial weight'!$A$5:$A$2000,0)),"")</f>
        <v>2.2759999999999998</v>
      </c>
      <c r="L100" s="194">
        <f t="shared" si="1"/>
        <v>1.7671999999999999</v>
      </c>
      <c r="M100" s="233">
        <f>AVERAGE(Ashed_controlls!$K$1:$K$11)</f>
        <v>5.5147656768714146</v>
      </c>
      <c r="N100" s="194">
        <f t="shared" si="0"/>
        <v>2.0261999999999998</v>
      </c>
      <c r="O100" s="16">
        <f>IF('Dry_Litterbag Placem_Collection'!G27="","",'Dry_Litterbag Placem_Collection'!G27)</f>
        <v>43007</v>
      </c>
      <c r="P100" s="194">
        <f>IFERROR(INDEX('Both teabags AfterDry'!$D$3:$D$2000,MATCH(H100,'Both teabags AfterDry'!$A$3:$A$2000,0)),"")</f>
        <v>1.8697999999999999</v>
      </c>
      <c r="Q100" s="194">
        <f>IFERROR(INDEX('Both teabags AfterDry'!$D$3:$D$2000,MATCH(I100,'Both teabags AfterDry'!$A$3:$A$2000,0)),"")</f>
        <v>2.0165999999999999</v>
      </c>
      <c r="R100" s="194">
        <f t="shared" si="2"/>
        <v>1.7191999999999998</v>
      </c>
      <c r="S100" s="194">
        <f t="shared" si="2"/>
        <v>1.8659999999999999</v>
      </c>
      <c r="T100" s="194">
        <f t="shared" si="3"/>
        <v>2.7161611588954249E-2</v>
      </c>
      <c r="U100" s="194">
        <f t="shared" si="4"/>
        <v>1.7806662229338171E-2</v>
      </c>
      <c r="V100" s="194">
        <f t="shared" si="5"/>
        <v>0.92093574178264737</v>
      </c>
      <c r="W100">
        <f t="shared" si="6"/>
        <v>71</v>
      </c>
      <c r="X100" s="194">
        <f t="shared" si="7"/>
        <v>0.96774155393235839</v>
      </c>
      <c r="Y100" s="194" t="str">
        <f t="shared" si="8"/>
        <v/>
      </c>
      <c r="Z100" s="245" t="str">
        <f>IF(ISNUMBER(SEARCH("C", 'Dry_Litterbag Placem_Collection'!$T27)),"YES","NO")</f>
        <v>NO</v>
      </c>
      <c r="AA100" s="245" t="str">
        <f>IF(ISNUMBER(SEARCH("H", 'Dry_Litterbag Placem_Collection'!$T27)),"YES","NO")</f>
        <v>NO</v>
      </c>
      <c r="AB100" s="245" t="str">
        <f>IF(ISNUMBER(SEARCH("R", 'Dry_Litterbag Placem_Collection'!$T27)),"YES","NO")</f>
        <v>NO</v>
      </c>
      <c r="AC100" s="245" t="str">
        <f>IF(ISNUMBER(SEARCH("C", 'Dry_Litterbag Placem_Collection'!$S27)),"YES","NO")</f>
        <v>NO</v>
      </c>
      <c r="AD100" s="245" t="str">
        <f>IF(ISNUMBER(SEARCH("H", 'Dry_Litterbag Placem_Collection'!$S27)),"YES","NO")</f>
        <v>NO</v>
      </c>
      <c r="AE100" s="245" t="str">
        <f>IF(ISNUMBER(SEARCH("R", 'Dry_Litterbag Placem_Collection'!$S27)),"YES","NO")</f>
        <v>NO</v>
      </c>
    </row>
    <row r="101" spans="2:31">
      <c r="B101" t="str">
        <f>Dryseason!B27</f>
        <v>Dry</v>
      </c>
      <c r="C101" s="253">
        <f>Dryseason!C27</f>
        <v>26</v>
      </c>
      <c r="D101" t="s">
        <v>3105</v>
      </c>
      <c r="E101" t="s">
        <v>22</v>
      </c>
      <c r="F101" s="374">
        <v>2</v>
      </c>
      <c r="G101" s="16">
        <f>IF('Dry_Litterbag Placem_Collection'!E28="","",'Dry_Litterbag Placem_Collection'!E28)</f>
        <v>42936</v>
      </c>
      <c r="H101" t="str">
        <f>Dryseason!L27</f>
        <v>G58</v>
      </c>
      <c r="I101" t="str">
        <f>Dryseason!L247</f>
        <v>R602</v>
      </c>
      <c r="J101">
        <f>IFERROR(INDEX('Green_rooibos initial weight'!$C$5:$C$2000,MATCH(H101, 'Green_rooibos initial weight'!$A$5:$A$2000,0)),"")</f>
        <v>1.9370000000000001</v>
      </c>
      <c r="K101">
        <f>IFERROR(INDEX('Green_rooibos initial weight'!$C$5:$C$2000,MATCH(I101, 'Green_rooibos initial weight'!$A$5:$A$2000,0)),"")</f>
        <v>2.19</v>
      </c>
      <c r="L101" s="194">
        <f t="shared" si="1"/>
        <v>1.6872</v>
      </c>
      <c r="M101" s="233">
        <f>AVERAGE(Ashed_controlls!$K$1:$K$11)</f>
        <v>5.5147656768714146</v>
      </c>
      <c r="N101" s="194">
        <f t="shared" si="0"/>
        <v>1.9401999999999999</v>
      </c>
      <c r="O101" s="16">
        <f>IF('Dry_Litterbag Placem_Collection'!G28="","",'Dry_Litterbag Placem_Collection'!G28)</f>
        <v>43007</v>
      </c>
      <c r="P101" s="194">
        <f>IFERROR(INDEX('Both teabags AfterDry'!$D$3:$D$2000,MATCH(H101,'Both teabags AfterDry'!$A$3:$A$2000,0)),"")</f>
        <v>1.7357</v>
      </c>
      <c r="Q101" s="194">
        <f>IFERROR(INDEX('Both teabags AfterDry'!$D$3:$D$2000,MATCH(I101,'Both teabags AfterDry'!$A$3:$A$2000,0)),"")</f>
        <v>1.9849000000000001</v>
      </c>
      <c r="R101" s="194">
        <f t="shared" si="2"/>
        <v>1.5851</v>
      </c>
      <c r="S101" s="194">
        <f t="shared" si="2"/>
        <v>1.8343</v>
      </c>
      <c r="T101" s="194">
        <f t="shared" si="3"/>
        <v>6.0514461830251332E-2</v>
      </c>
      <c r="U101" s="194">
        <f t="shared" si="4"/>
        <v>3.9672188753323942E-2</v>
      </c>
      <c r="V101" s="194">
        <f t="shared" si="5"/>
        <v>0.94541799814452121</v>
      </c>
      <c r="W101">
        <f t="shared" si="6"/>
        <v>71</v>
      </c>
      <c r="X101" s="194">
        <f t="shared" si="7"/>
        <v>0.92813009283818126</v>
      </c>
      <c r="Y101" s="194" t="str">
        <f t="shared" si="8"/>
        <v/>
      </c>
      <c r="Z101" s="245" t="str">
        <f>IF(ISNUMBER(SEARCH("C", 'Dry_Litterbag Placem_Collection'!$T28)),"YES","NO")</f>
        <v>NO</v>
      </c>
      <c r="AA101" s="245" t="str">
        <f>IF(ISNUMBER(SEARCH("H", 'Dry_Litterbag Placem_Collection'!$T28)),"YES","NO")</f>
        <v>NO</v>
      </c>
      <c r="AB101" s="245" t="str">
        <f>IF(ISNUMBER(SEARCH("R", 'Dry_Litterbag Placem_Collection'!$T28)),"YES","NO")</f>
        <v>NO</v>
      </c>
      <c r="AC101" s="245" t="str">
        <f>IF(ISNUMBER(SEARCH("C", 'Dry_Litterbag Placem_Collection'!$S28)),"YES","NO")</f>
        <v>NO</v>
      </c>
      <c r="AD101" s="245" t="str">
        <f>IF(ISNUMBER(SEARCH("H", 'Dry_Litterbag Placem_Collection'!$S28)),"YES","NO")</f>
        <v>NO</v>
      </c>
      <c r="AE101" s="245" t="str">
        <f>IF(ISNUMBER(SEARCH("R", 'Dry_Litterbag Placem_Collection'!$S28)),"YES","NO")</f>
        <v>NO</v>
      </c>
    </row>
    <row r="102" spans="2:31">
      <c r="B102" t="str">
        <f>Dryseason!B28</f>
        <v>Dry</v>
      </c>
      <c r="C102" s="253">
        <f>Dryseason!C28</f>
        <v>27</v>
      </c>
      <c r="D102" t="s">
        <v>3105</v>
      </c>
      <c r="E102" t="s">
        <v>22</v>
      </c>
      <c r="F102" s="374">
        <v>3</v>
      </c>
      <c r="G102" s="16">
        <f>IF('Dry_Litterbag Placem_Collection'!E29="","",'Dry_Litterbag Placem_Collection'!E29)</f>
        <v>42936</v>
      </c>
      <c r="H102" t="str">
        <f>Dryseason!L28</f>
        <v>G340</v>
      </c>
      <c r="I102" t="str">
        <f>Dryseason!L248</f>
        <v>R666</v>
      </c>
      <c r="J102">
        <f>IFERROR(INDEX('Green_rooibos initial weight'!$C$5:$C$2000,MATCH(H102, 'Green_rooibos initial weight'!$A$5:$A$2000,0)),"")</f>
        <v>2.0150000000000001</v>
      </c>
      <c r="K102">
        <f>IFERROR(INDEX('Green_rooibos initial weight'!$C$5:$C$2000,MATCH(I102, 'Green_rooibos initial weight'!$A$5:$A$2000,0)),"")</f>
        <v>2.15</v>
      </c>
      <c r="L102" s="194">
        <f t="shared" si="1"/>
        <v>1.7652000000000001</v>
      </c>
      <c r="M102" s="233">
        <f>AVERAGE(Ashed_controlls!$K$1:$K$11)</f>
        <v>5.5147656768714146</v>
      </c>
      <c r="N102" s="194">
        <f t="shared" si="0"/>
        <v>1.9001999999999999</v>
      </c>
      <c r="O102" s="16">
        <f>IF('Dry_Litterbag Placem_Collection'!G29="","",'Dry_Litterbag Placem_Collection'!G29)</f>
        <v>43007</v>
      </c>
      <c r="P102" s="194" t="str">
        <f>IFERROR(INDEX('Both teabags AfterDry'!$D$3:$D$2000,MATCH(H102,'Both teabags AfterDry'!$A$3:$A$2000,0)),"")</f>
        <v/>
      </c>
      <c r="Q102" s="194" t="str">
        <f>IFERROR(INDEX('Both teabags AfterDry'!$D$3:$D$2000,MATCH(I102,'Both teabags AfterDry'!$A$3:$A$2000,0)),"")</f>
        <v/>
      </c>
      <c r="R102" s="194" t="str">
        <f t="shared" si="2"/>
        <v/>
      </c>
      <c r="S102" s="194" t="str">
        <f t="shared" si="2"/>
        <v/>
      </c>
      <c r="T102" s="194" t="str">
        <f t="shared" si="3"/>
        <v/>
      </c>
      <c r="U102" s="194" t="str">
        <f t="shared" si="4"/>
        <v/>
      </c>
      <c r="V102" s="194" t="str">
        <f t="shared" si="5"/>
        <v/>
      </c>
      <c r="W102">
        <f t="shared" si="6"/>
        <v>71</v>
      </c>
      <c r="X102" s="194" t="str">
        <f t="shared" si="7"/>
        <v/>
      </c>
      <c r="Y102" s="194" t="str">
        <f t="shared" si="8"/>
        <v/>
      </c>
      <c r="Z102" s="245" t="str">
        <f>IF(ISNUMBER(SEARCH("C", 'Dry_Litterbag Placem_Collection'!$T29)),"YES","NO")</f>
        <v>NO</v>
      </c>
      <c r="AA102" s="245" t="str">
        <f>IF(ISNUMBER(SEARCH("H", 'Dry_Litterbag Placem_Collection'!$T29)),"YES","NO")</f>
        <v>NO</v>
      </c>
      <c r="AB102" s="245" t="str">
        <f>IF(ISNUMBER(SEARCH("R", 'Dry_Litterbag Placem_Collection'!$T29)),"YES","NO")</f>
        <v>NO</v>
      </c>
      <c r="AC102" s="245" t="str">
        <f>IF(ISNUMBER(SEARCH("C", 'Dry_Litterbag Placem_Collection'!$S29)),"YES","NO")</f>
        <v>NO</v>
      </c>
      <c r="AD102" s="245" t="str">
        <f>IF(ISNUMBER(SEARCH("H", 'Dry_Litterbag Placem_Collection'!$S29)),"YES","NO")</f>
        <v>NO</v>
      </c>
      <c r="AE102" s="245" t="str">
        <f>IF(ISNUMBER(SEARCH("R", 'Dry_Litterbag Placem_Collection'!$S29)),"YES","NO")</f>
        <v>NO</v>
      </c>
    </row>
    <row r="103" spans="2:31">
      <c r="B103" t="str">
        <f>Dryseason!B29</f>
        <v>Dry</v>
      </c>
      <c r="C103" s="253">
        <f>Dryseason!C29</f>
        <v>28</v>
      </c>
      <c r="D103" t="s">
        <v>3105</v>
      </c>
      <c r="E103" t="s">
        <v>22</v>
      </c>
      <c r="F103" s="375">
        <v>4</v>
      </c>
      <c r="G103" s="16">
        <f>IF('Dry_Litterbag Placem_Collection'!E30="","",'Dry_Litterbag Placem_Collection'!E30)</f>
        <v>42936</v>
      </c>
      <c r="H103" t="str">
        <f>Dryseason!L29</f>
        <v>G61</v>
      </c>
      <c r="I103" t="str">
        <f>Dryseason!L249</f>
        <v>R705</v>
      </c>
      <c r="J103">
        <f>IFERROR(INDEX('Green_rooibos initial weight'!$C$5:$C$2000,MATCH(H103, 'Green_rooibos initial weight'!$A$5:$A$2000,0)),"")</f>
        <v>1.88</v>
      </c>
      <c r="K103">
        <f>IFERROR(INDEX('Green_rooibos initial weight'!$C$5:$C$2000,MATCH(I103, 'Green_rooibos initial weight'!$A$5:$A$2000,0)),"")</f>
        <v>2.1859999999999999</v>
      </c>
      <c r="L103" s="194">
        <f t="shared" si="1"/>
        <v>1.6301999999999999</v>
      </c>
      <c r="M103" s="233">
        <f>AVERAGE(Ashed_controlls!$K$1:$K$11)</f>
        <v>5.5147656768714146</v>
      </c>
      <c r="N103" s="194">
        <f t="shared" si="0"/>
        <v>1.9361999999999999</v>
      </c>
      <c r="O103" s="16">
        <f>IF('Dry_Litterbag Placem_Collection'!G30="","",'Dry_Litterbag Placem_Collection'!G30)</f>
        <v>43007</v>
      </c>
      <c r="P103" s="194">
        <f>IFERROR(INDEX('Both teabags AfterDry'!$D$3:$D$2000,MATCH(H103,'Both teabags AfterDry'!$A$3:$A$2000,0)),"")</f>
        <v>1.4991000000000001</v>
      </c>
      <c r="Q103" s="194">
        <f>IFERROR(INDEX('Both teabags AfterDry'!$D$3:$D$2000,MATCH(I103,'Both teabags AfterDry'!$A$3:$A$2000,0)),"")</f>
        <v>2.0167999999999999</v>
      </c>
      <c r="R103" s="194">
        <f t="shared" si="2"/>
        <v>1.3485</v>
      </c>
      <c r="S103" s="194">
        <f t="shared" si="2"/>
        <v>1.8661999999999999</v>
      </c>
      <c r="T103" s="194">
        <f t="shared" si="3"/>
        <v>0.17280088332719901</v>
      </c>
      <c r="U103" s="194">
        <f t="shared" si="4"/>
        <v>0.11328513966343692</v>
      </c>
      <c r="V103" s="194">
        <f t="shared" si="5"/>
        <v>0.96384671005061462</v>
      </c>
      <c r="W103">
        <f t="shared" si="6"/>
        <v>71</v>
      </c>
      <c r="X103" s="194">
        <f t="shared" si="7"/>
        <v>0.79477329771116501</v>
      </c>
      <c r="Y103" s="194">
        <f t="shared" si="8"/>
        <v>5.4139677297017153E-3</v>
      </c>
      <c r="Z103" s="245" t="str">
        <f>IF(ISNUMBER(SEARCH("C", 'Dry_Litterbag Placem_Collection'!$T30)),"YES","NO")</f>
        <v>NO</v>
      </c>
      <c r="AA103" s="245" t="str">
        <f>IF(ISNUMBER(SEARCH("H", 'Dry_Litterbag Placem_Collection'!$T30)),"YES","NO")</f>
        <v>NO</v>
      </c>
      <c r="AB103" s="245" t="str">
        <f>IF(ISNUMBER(SEARCH("R", 'Dry_Litterbag Placem_Collection'!$T30)),"YES","NO")</f>
        <v>NO</v>
      </c>
      <c r="AC103" s="245" t="str">
        <f>IF(ISNUMBER(SEARCH("C", 'Dry_Litterbag Placem_Collection'!$S30)),"YES","NO")</f>
        <v>NO</v>
      </c>
      <c r="AD103" s="245" t="str">
        <f>IF(ISNUMBER(SEARCH("H", 'Dry_Litterbag Placem_Collection'!$S30)),"YES","NO")</f>
        <v>NO</v>
      </c>
      <c r="AE103" s="245" t="str">
        <f>IF(ISNUMBER(SEARCH("R", 'Dry_Litterbag Placem_Collection'!$S30)),"YES","NO")</f>
        <v>NO</v>
      </c>
    </row>
    <row r="104" spans="2:31">
      <c r="B104" t="str">
        <f>Dryseason!B30</f>
        <v>Dry</v>
      </c>
      <c r="C104" s="253">
        <f>Dryseason!C30</f>
        <v>29</v>
      </c>
      <c r="D104" t="s">
        <v>3105</v>
      </c>
      <c r="E104" t="s">
        <v>22</v>
      </c>
      <c r="F104" s="375">
        <v>5</v>
      </c>
      <c r="G104" s="16">
        <f>IF('Dry_Litterbag Placem_Collection'!E31="","",'Dry_Litterbag Placem_Collection'!E31)</f>
        <v>42936</v>
      </c>
      <c r="H104" t="str">
        <f>Dryseason!L30</f>
        <v>G319</v>
      </c>
      <c r="I104" t="str">
        <f>Dryseason!L250</f>
        <v>R305</v>
      </c>
      <c r="J104">
        <f>IFERROR(INDEX('Green_rooibos initial weight'!$C$5:$C$2000,MATCH(H104, 'Green_rooibos initial weight'!$A$5:$A$2000,0)),"")</f>
        <v>2.012</v>
      </c>
      <c r="K104">
        <f>IFERROR(INDEX('Green_rooibos initial weight'!$C$5:$C$2000,MATCH(I104, 'Green_rooibos initial weight'!$A$5:$A$2000,0)),"")</f>
        <v>2.2829999999999999</v>
      </c>
      <c r="L104" s="194">
        <f t="shared" si="1"/>
        <v>1.7622</v>
      </c>
      <c r="M104" s="233">
        <f>AVERAGE(Ashed_controlls!$K$1:$K$11)</f>
        <v>5.5147656768714146</v>
      </c>
      <c r="N104" s="194">
        <f t="shared" si="0"/>
        <v>2.0331999999999999</v>
      </c>
      <c r="O104" s="16">
        <f>IF('Dry_Litterbag Placem_Collection'!G31="","",'Dry_Litterbag Placem_Collection'!G31)</f>
        <v>43007</v>
      </c>
      <c r="P104" s="194">
        <f>IFERROR(INDEX('Both teabags AfterDry'!$D$3:$D$2000,MATCH(H104,'Both teabags AfterDry'!$A$3:$A$2000,0)),"")</f>
        <v>1.8162</v>
      </c>
      <c r="Q104" s="194">
        <f>IFERROR(INDEX('Both teabags AfterDry'!$D$3:$D$2000,MATCH(I104,'Both teabags AfterDry'!$A$3:$A$2000,0)),"")</f>
        <v>2.0718999999999999</v>
      </c>
      <c r="R104" s="194">
        <f t="shared" si="2"/>
        <v>1.6656</v>
      </c>
      <c r="S104" s="194">
        <f t="shared" si="2"/>
        <v>1.9212999999999998</v>
      </c>
      <c r="T104" s="194">
        <f t="shared" si="3"/>
        <v>5.481784133469525E-2</v>
      </c>
      <c r="U104" s="194">
        <f t="shared" si="4"/>
        <v>3.5937587193291924E-2</v>
      </c>
      <c r="V104" s="194">
        <f t="shared" si="5"/>
        <v>0.94496360417076519</v>
      </c>
      <c r="W104">
        <f t="shared" si="6"/>
        <v>71</v>
      </c>
      <c r="X104" s="194">
        <f t="shared" si="7"/>
        <v>0.93489567537447116</v>
      </c>
      <c r="Y104" s="194" t="str">
        <f t="shared" si="8"/>
        <v/>
      </c>
      <c r="Z104" s="245" t="str">
        <f>IF(ISNUMBER(SEARCH("C", 'Dry_Litterbag Placem_Collection'!$T31)),"YES","NO")</f>
        <v>NO</v>
      </c>
      <c r="AA104" s="245" t="str">
        <f>IF(ISNUMBER(SEARCH("H", 'Dry_Litterbag Placem_Collection'!$T31)),"YES","NO")</f>
        <v>NO</v>
      </c>
      <c r="AB104" s="245" t="str">
        <f>IF(ISNUMBER(SEARCH("R", 'Dry_Litterbag Placem_Collection'!$T31)),"YES","NO")</f>
        <v>NO</v>
      </c>
      <c r="AC104" s="245" t="str">
        <f>IF(ISNUMBER(SEARCH("C", 'Dry_Litterbag Placem_Collection'!$S31)),"YES","NO")</f>
        <v>NO</v>
      </c>
      <c r="AD104" s="245" t="str">
        <f>IF(ISNUMBER(SEARCH("H", 'Dry_Litterbag Placem_Collection'!$S31)),"YES","NO")</f>
        <v>NO</v>
      </c>
      <c r="AE104" s="245" t="str">
        <f>IF(ISNUMBER(SEARCH("R", 'Dry_Litterbag Placem_Collection'!$S31)),"YES","NO")</f>
        <v>NO</v>
      </c>
    </row>
    <row r="105" spans="2:31">
      <c r="B105" t="str">
        <f>Dryseason!B31</f>
        <v>Dry</v>
      </c>
      <c r="C105" s="253">
        <f>Dryseason!C31</f>
        <v>30</v>
      </c>
      <c r="D105" t="s">
        <v>3105</v>
      </c>
      <c r="E105" t="s">
        <v>22</v>
      </c>
      <c r="F105" s="375">
        <v>6</v>
      </c>
      <c r="G105" s="16">
        <f>IF('Dry_Litterbag Placem_Collection'!E32="","",'Dry_Litterbag Placem_Collection'!E32)</f>
        <v>42936</v>
      </c>
      <c r="H105" t="str">
        <f>Dryseason!L31</f>
        <v>G273</v>
      </c>
      <c r="I105" t="str">
        <f>Dryseason!L251</f>
        <v>R667</v>
      </c>
      <c r="J105">
        <f>IFERROR(INDEX('Green_rooibos initial weight'!$C$5:$C$2000,MATCH(H105, 'Green_rooibos initial weight'!$A$5:$A$2000,0)),"")</f>
        <v>2.073</v>
      </c>
      <c r="K105">
        <f>IFERROR(INDEX('Green_rooibos initial weight'!$C$5:$C$2000,MATCH(I105, 'Green_rooibos initial weight'!$A$5:$A$2000,0)),"")</f>
        <v>2.1949999999999998</v>
      </c>
      <c r="L105" s="194">
        <f t="shared" si="1"/>
        <v>1.8231999999999999</v>
      </c>
      <c r="M105" s="233">
        <f>AVERAGE(Ashed_controlls!$K$1:$K$11)</f>
        <v>5.5147656768714146</v>
      </c>
      <c r="N105" s="194">
        <f t="shared" si="0"/>
        <v>1.9451999999999998</v>
      </c>
      <c r="O105" s="16">
        <f>IF('Dry_Litterbag Placem_Collection'!G32="","",'Dry_Litterbag Placem_Collection'!G32)</f>
        <v>43007</v>
      </c>
      <c r="P105" s="194">
        <f>IFERROR(INDEX('Both teabags AfterDry'!$D$3:$D$2000,MATCH(H105,'Both teabags AfterDry'!$A$3:$A$2000,0)),"")</f>
        <v>1.9318</v>
      </c>
      <c r="Q105" s="194">
        <f>IFERROR(INDEX('Both teabags AfterDry'!$D$3:$D$2000,MATCH(I105,'Both teabags AfterDry'!$A$3:$A$2000,0)),"")</f>
        <v>2.0158999999999998</v>
      </c>
      <c r="R105" s="194">
        <f t="shared" si="2"/>
        <v>1.7811999999999999</v>
      </c>
      <c r="S105" s="194">
        <f t="shared" si="2"/>
        <v>1.8652999999999997</v>
      </c>
      <c r="T105" s="194">
        <f t="shared" si="3"/>
        <v>2.303641948222912E-2</v>
      </c>
      <c r="U105" s="194">
        <f t="shared" si="4"/>
        <v>1.5102260753195361E-2</v>
      </c>
      <c r="V105" s="194">
        <f t="shared" si="5"/>
        <v>0.95892453218178075</v>
      </c>
      <c r="W105">
        <f t="shared" si="6"/>
        <v>71</v>
      </c>
      <c r="X105" s="194">
        <f t="shared" si="7"/>
        <v>0.97264083196884898</v>
      </c>
      <c r="Y105" s="194" t="str">
        <f t="shared" si="8"/>
        <v/>
      </c>
      <c r="Z105" s="245" t="str">
        <f>IF(ISNUMBER(SEARCH("C", 'Dry_Litterbag Placem_Collection'!$T32)),"YES","NO")</f>
        <v>NO</v>
      </c>
      <c r="AA105" s="245" t="str">
        <f>IF(ISNUMBER(SEARCH("H", 'Dry_Litterbag Placem_Collection'!$T32)),"YES","NO")</f>
        <v>NO</v>
      </c>
      <c r="AB105" s="245" t="str">
        <f>IF(ISNUMBER(SEARCH("R", 'Dry_Litterbag Placem_Collection'!$T32)),"YES","NO")</f>
        <v>NO</v>
      </c>
      <c r="AC105" s="245" t="str">
        <f>IF(ISNUMBER(SEARCH("C", 'Dry_Litterbag Placem_Collection'!$S32)),"YES","NO")</f>
        <v>NO</v>
      </c>
      <c r="AD105" s="245" t="str">
        <f>IF(ISNUMBER(SEARCH("H", 'Dry_Litterbag Placem_Collection'!$S32)),"YES","NO")</f>
        <v>NO</v>
      </c>
      <c r="AE105" s="245" t="str">
        <f>IF(ISNUMBER(SEARCH("R", 'Dry_Litterbag Placem_Collection'!$S32)),"YES","NO")</f>
        <v>NO</v>
      </c>
    </row>
    <row r="106" spans="2:31">
      <c r="B106" t="str">
        <f>Dryseason!B32</f>
        <v>Dry</v>
      </c>
      <c r="C106" s="253">
        <f>Dryseason!C32</f>
        <v>31</v>
      </c>
      <c r="D106" t="s">
        <v>3105</v>
      </c>
      <c r="E106" t="s">
        <v>22</v>
      </c>
      <c r="F106" s="375">
        <v>7</v>
      </c>
      <c r="G106" s="16" t="str">
        <f>IF('Dry_Litterbag Placem_Collection'!E33="","",'Dry_Litterbag Placem_Collection'!E33)</f>
        <v/>
      </c>
      <c r="H106" t="str">
        <f>Dryseason!L32</f>
        <v/>
      </c>
      <c r="I106" t="str">
        <f>Dryseason!L252</f>
        <v/>
      </c>
      <c r="J106" t="str">
        <f>IFERROR(INDEX('Green_rooibos initial weight'!$C$5:$C$2000,MATCH(H106, 'Green_rooibos initial weight'!$A$5:$A$2000,0)),"")</f>
        <v/>
      </c>
      <c r="K106" t="str">
        <f>IFERROR(INDEX('Green_rooibos initial weight'!$C$5:$C$2000,MATCH(I106, 'Green_rooibos initial weight'!$A$5:$A$2000,0)),"")</f>
        <v/>
      </c>
      <c r="L106" s="194" t="str">
        <f t="shared" si="1"/>
        <v/>
      </c>
      <c r="M106" s="233">
        <f>AVERAGE(Ashed_controlls!$K$1:$K$11)</f>
        <v>5.5147656768714146</v>
      </c>
      <c r="N106" s="194" t="str">
        <f t="shared" si="0"/>
        <v/>
      </c>
      <c r="O106" s="16" t="str">
        <f>IF('Dry_Litterbag Placem_Collection'!G33="","",'Dry_Litterbag Placem_Collection'!G33)</f>
        <v/>
      </c>
      <c r="P106" s="194" t="str">
        <f>IFERROR(INDEX('Both teabags AfterDry'!$D$3:$D$2000,MATCH(H106,'Both teabags AfterDry'!$A$3:$A$2000,0)),"")</f>
        <v/>
      </c>
      <c r="Q106" s="194" t="str">
        <f>IFERROR(INDEX('Both teabags AfterDry'!$D$3:$D$2000,MATCH(I106,'Both teabags AfterDry'!$A$3:$A$2000,0)),"")</f>
        <v/>
      </c>
      <c r="R106" s="194" t="str">
        <f t="shared" si="2"/>
        <v/>
      </c>
      <c r="S106" s="194" t="str">
        <f t="shared" si="2"/>
        <v/>
      </c>
      <c r="T106" s="194" t="str">
        <f t="shared" si="3"/>
        <v/>
      </c>
      <c r="U106" s="194" t="str">
        <f t="shared" si="4"/>
        <v/>
      </c>
      <c r="V106" s="194" t="str">
        <f t="shared" si="5"/>
        <v/>
      </c>
      <c r="W106" t="str">
        <f t="shared" si="6"/>
        <v/>
      </c>
      <c r="X106" s="194" t="str">
        <f t="shared" si="7"/>
        <v/>
      </c>
      <c r="Y106" s="194" t="str">
        <f t="shared" si="8"/>
        <v/>
      </c>
      <c r="Z106" s="245" t="str">
        <f>IF(ISNUMBER(SEARCH("C", 'Dry_Litterbag Placem_Collection'!$T33)),"YES","NO")</f>
        <v>NO</v>
      </c>
      <c r="AA106" s="245" t="str">
        <f>IF(ISNUMBER(SEARCH("H", 'Dry_Litterbag Placem_Collection'!$T33)),"YES","NO")</f>
        <v>NO</v>
      </c>
      <c r="AB106" s="245" t="str">
        <f>IF(ISNUMBER(SEARCH("R", 'Dry_Litterbag Placem_Collection'!$T33)),"YES","NO")</f>
        <v>NO</v>
      </c>
      <c r="AC106" s="245" t="str">
        <f>IF(ISNUMBER(SEARCH("C", 'Dry_Litterbag Placem_Collection'!$S33)),"YES","NO")</f>
        <v>NO</v>
      </c>
      <c r="AD106" s="245" t="str">
        <f>IF(ISNUMBER(SEARCH("H", 'Dry_Litterbag Placem_Collection'!$S33)),"YES","NO")</f>
        <v>NO</v>
      </c>
      <c r="AE106" s="245" t="str">
        <f>IF(ISNUMBER(SEARCH("R", 'Dry_Litterbag Placem_Collection'!$S33)),"YES","NO")</f>
        <v>NO</v>
      </c>
    </row>
    <row r="107" spans="2:31">
      <c r="B107" t="str">
        <f>Dryseason!B33</f>
        <v>Dry</v>
      </c>
      <c r="C107" s="253">
        <f>Dryseason!C33</f>
        <v>32</v>
      </c>
      <c r="D107" t="s">
        <v>3105</v>
      </c>
      <c r="E107" t="s">
        <v>22</v>
      </c>
      <c r="F107" s="375">
        <v>8</v>
      </c>
      <c r="G107" s="16">
        <f>IF('Dry_Litterbag Placem_Collection'!E34="","",'Dry_Litterbag Placem_Collection'!E34)</f>
        <v>42936</v>
      </c>
      <c r="H107" t="str">
        <f>Dryseason!L33</f>
        <v>G193</v>
      </c>
      <c r="I107" t="str">
        <f>Dryseason!L253</f>
        <v>R743</v>
      </c>
      <c r="J107">
        <f>IFERROR(INDEX('Green_rooibos initial weight'!$C$5:$C$2000,MATCH(H107, 'Green_rooibos initial weight'!$A$5:$A$2000,0)),"")</f>
        <v>2.177</v>
      </c>
      <c r="K107">
        <f>IFERROR(INDEX('Green_rooibos initial weight'!$C$5:$C$2000,MATCH(I107, 'Green_rooibos initial weight'!$A$5:$A$2000,0)),"")</f>
        <v>2.2480000000000002</v>
      </c>
      <c r="L107" s="194">
        <f t="shared" si="1"/>
        <v>1.9272</v>
      </c>
      <c r="M107" s="233">
        <f>AVERAGE(Ashed_controlls!$K$1:$K$11)</f>
        <v>5.5147656768714146</v>
      </c>
      <c r="N107" s="194">
        <f t="shared" si="0"/>
        <v>1.9982000000000002</v>
      </c>
      <c r="O107" s="16">
        <f>IF('Dry_Litterbag Placem_Collection'!G34="","",'Dry_Litterbag Placem_Collection'!G34)</f>
        <v>43007</v>
      </c>
      <c r="P107" s="194">
        <f>IFERROR(INDEX('Both teabags AfterDry'!$D$3:$D$2000,MATCH(H107,'Both teabags AfterDry'!$A$3:$A$2000,0)),"")</f>
        <v>1.8848</v>
      </c>
      <c r="Q107" s="194">
        <f>IFERROR(INDEX('Both teabags AfterDry'!$D$3:$D$2000,MATCH(I107,'Both teabags AfterDry'!$A$3:$A$2000,0)),"")</f>
        <v>1.9944999999999999</v>
      </c>
      <c r="R107" s="194">
        <f t="shared" si="2"/>
        <v>1.7342</v>
      </c>
      <c r="S107" s="194">
        <f t="shared" si="2"/>
        <v>1.8438999999999999</v>
      </c>
      <c r="T107" s="194">
        <f t="shared" si="3"/>
        <v>0.10014528850145288</v>
      </c>
      <c r="U107" s="194">
        <f t="shared" si="4"/>
        <v>6.5653443293114025E-2</v>
      </c>
      <c r="V107" s="194">
        <f t="shared" si="5"/>
        <v>0.92278050245220689</v>
      </c>
      <c r="W107">
        <f t="shared" si="6"/>
        <v>71</v>
      </c>
      <c r="X107" s="194">
        <f t="shared" si="7"/>
        <v>0.88106260272986592</v>
      </c>
      <c r="Y107" s="194" t="str">
        <f t="shared" si="8"/>
        <v/>
      </c>
      <c r="Z107" s="245" t="str">
        <f>IF(ISNUMBER(SEARCH("C", 'Dry_Litterbag Placem_Collection'!$T34)),"YES","NO")</f>
        <v>NO</v>
      </c>
      <c r="AA107" s="245" t="str">
        <f>IF(ISNUMBER(SEARCH("H", 'Dry_Litterbag Placem_Collection'!$T34)),"YES","NO")</f>
        <v>NO</v>
      </c>
      <c r="AB107" s="245" t="str">
        <f>IF(ISNUMBER(SEARCH("R", 'Dry_Litterbag Placem_Collection'!$T34)),"YES","NO")</f>
        <v>NO</v>
      </c>
      <c r="AC107" s="245" t="str">
        <f>IF(ISNUMBER(SEARCH("C", 'Dry_Litterbag Placem_Collection'!$S34)),"YES","NO")</f>
        <v>NO</v>
      </c>
      <c r="AD107" s="245" t="str">
        <f>IF(ISNUMBER(SEARCH("H", 'Dry_Litterbag Placem_Collection'!$S34)),"YES","NO")</f>
        <v>NO</v>
      </c>
      <c r="AE107" s="245" t="str">
        <f>IF(ISNUMBER(SEARCH("R", 'Dry_Litterbag Placem_Collection'!$S34)),"YES","NO")</f>
        <v>NO</v>
      </c>
    </row>
    <row r="108" spans="2:31">
      <c r="B108" t="str">
        <f>Dryseason!B34</f>
        <v>Dry</v>
      </c>
      <c r="C108" s="253">
        <f>Dryseason!C34</f>
        <v>33</v>
      </c>
      <c r="D108" t="s">
        <v>3106</v>
      </c>
      <c r="E108" t="s">
        <v>22</v>
      </c>
      <c r="F108" s="374">
        <v>1</v>
      </c>
      <c r="G108" s="16">
        <f>IF('Dry_Litterbag Placem_Collection'!E35="","",'Dry_Litterbag Placem_Collection'!E35)</f>
        <v>42938</v>
      </c>
      <c r="H108" t="str">
        <f>Dryseason!L34</f>
        <v>G218</v>
      </c>
      <c r="I108" t="str">
        <f>Dryseason!L254</f>
        <v>R769</v>
      </c>
      <c r="J108">
        <f>IFERROR(INDEX('Green_rooibos initial weight'!$C$5:$C$2000,MATCH(H108, 'Green_rooibos initial weight'!$A$5:$A$2000,0)),"")</f>
        <v>1.96</v>
      </c>
      <c r="K108">
        <f>IFERROR(INDEX('Green_rooibos initial weight'!$C$5:$C$2000,MATCH(I108, 'Green_rooibos initial weight'!$A$5:$A$2000,0)),"")</f>
        <v>2.2480000000000002</v>
      </c>
      <c r="L108" s="194">
        <f t="shared" si="1"/>
        <v>1.7101999999999999</v>
      </c>
      <c r="M108" s="233">
        <f>AVERAGE(Ashed_controlls!$K$1:$K$11)</f>
        <v>5.5147656768714146</v>
      </c>
      <c r="N108" s="194">
        <f t="shared" si="0"/>
        <v>1.9982000000000002</v>
      </c>
      <c r="O108" s="16">
        <f>IF('Dry_Litterbag Placem_Collection'!G35="","",'Dry_Litterbag Placem_Collection'!G35)</f>
        <v>43005</v>
      </c>
      <c r="P108" s="194">
        <f>IFERROR(INDEX('Both teabags AfterDry'!$D$3:$D$2000,MATCH(H108,'Both teabags AfterDry'!$A$3:$A$2000,0)),"")</f>
        <v>1.7766</v>
      </c>
      <c r="Q108" s="194">
        <f>IFERROR(INDEX('Both teabags AfterDry'!$D$3:$D$2000,MATCH(I108,'Both teabags AfterDry'!$A$3:$A$2000,0)),"")</f>
        <v>1.9911000000000001</v>
      </c>
      <c r="R108" s="194">
        <f t="shared" si="2"/>
        <v>1.6259999999999999</v>
      </c>
      <c r="S108" s="194">
        <f t="shared" si="2"/>
        <v>1.8405</v>
      </c>
      <c r="T108" s="194">
        <f t="shared" si="3"/>
        <v>4.9234007718395589E-2</v>
      </c>
      <c r="U108" s="194">
        <f t="shared" si="4"/>
        <v>3.2276926675242686E-2</v>
      </c>
      <c r="V108" s="194">
        <f t="shared" si="5"/>
        <v>0.92107897107396652</v>
      </c>
      <c r="W108">
        <f t="shared" si="6"/>
        <v>67</v>
      </c>
      <c r="X108" s="194">
        <f t="shared" si="7"/>
        <v>0.94152730674774876</v>
      </c>
      <c r="Y108" s="194" t="str">
        <f t="shared" si="8"/>
        <v/>
      </c>
      <c r="Z108" s="245" t="str">
        <f>IF(ISNUMBER(SEARCH("C", 'Dry_Litterbag Placem_Collection'!$T35)),"YES","NO")</f>
        <v>NO</v>
      </c>
      <c r="AA108" s="245" t="str">
        <f>IF(ISNUMBER(SEARCH("H", 'Dry_Litterbag Placem_Collection'!$T35)),"YES","NO")</f>
        <v>NO</v>
      </c>
      <c r="AB108" s="245" t="str">
        <f>IF(ISNUMBER(SEARCH("R", 'Dry_Litterbag Placem_Collection'!$T35)),"YES","NO")</f>
        <v>NO</v>
      </c>
      <c r="AC108" s="245" t="str">
        <f>IF(ISNUMBER(SEARCH("C", 'Dry_Litterbag Placem_Collection'!$S35)),"YES","NO")</f>
        <v>NO</v>
      </c>
      <c r="AD108" s="245" t="str">
        <f>IF(ISNUMBER(SEARCH("H", 'Dry_Litterbag Placem_Collection'!$S35)),"YES","NO")</f>
        <v>NO</v>
      </c>
      <c r="AE108" s="245" t="str">
        <f>IF(ISNUMBER(SEARCH("R", 'Dry_Litterbag Placem_Collection'!$S35)),"YES","NO")</f>
        <v>NO</v>
      </c>
    </row>
    <row r="109" spans="2:31">
      <c r="B109" t="str">
        <f>Dryseason!B35</f>
        <v>Dry</v>
      </c>
      <c r="C109" s="253">
        <f>Dryseason!C35</f>
        <v>34</v>
      </c>
      <c r="D109" t="s">
        <v>3106</v>
      </c>
      <c r="E109" t="s">
        <v>22</v>
      </c>
      <c r="F109" s="374">
        <v>2</v>
      </c>
      <c r="G109" s="16">
        <f>IF('Dry_Litterbag Placem_Collection'!E36="","",'Dry_Litterbag Placem_Collection'!E36)</f>
        <v>42938</v>
      </c>
      <c r="H109" t="str">
        <f>Dryseason!L35</f>
        <v>G104</v>
      </c>
      <c r="I109" t="str">
        <f>Dryseason!L255</f>
        <v>R753</v>
      </c>
      <c r="J109">
        <f>IFERROR(INDEX('Green_rooibos initial weight'!$C$5:$C$2000,MATCH(H109, 'Green_rooibos initial weight'!$A$5:$A$2000,0)),"")</f>
        <v>2.0259999999999998</v>
      </c>
      <c r="K109">
        <f>IFERROR(INDEX('Green_rooibos initial weight'!$C$5:$C$2000,MATCH(I109, 'Green_rooibos initial weight'!$A$5:$A$2000,0)),"")</f>
        <v>2.2400000000000002</v>
      </c>
      <c r="L109" s="194">
        <f t="shared" si="1"/>
        <v>1.7761999999999998</v>
      </c>
      <c r="M109" s="233">
        <f>AVERAGE(Ashed_controlls!$K$1:$K$11)</f>
        <v>5.5147656768714146</v>
      </c>
      <c r="N109" s="194">
        <f t="shared" si="0"/>
        <v>1.9902000000000002</v>
      </c>
      <c r="O109" s="16">
        <f>IF('Dry_Litterbag Placem_Collection'!G36="","",'Dry_Litterbag Placem_Collection'!G36)</f>
        <v>43005</v>
      </c>
      <c r="P109" s="194" t="str">
        <f>IFERROR(INDEX('Both teabags AfterDry'!$D$3:$D$2000,MATCH(H109,'Both teabags AfterDry'!$A$3:$A$2000,0)),"")</f>
        <v/>
      </c>
      <c r="Q109" s="194" t="str">
        <f>IFERROR(INDEX('Both teabags AfterDry'!$D$3:$D$2000,MATCH(I109,'Both teabags AfterDry'!$A$3:$A$2000,0)),"")</f>
        <v/>
      </c>
      <c r="R109" s="194" t="str">
        <f t="shared" si="2"/>
        <v/>
      </c>
      <c r="S109" s="194" t="str">
        <f t="shared" si="2"/>
        <v/>
      </c>
      <c r="T109" s="194" t="str">
        <f t="shared" si="3"/>
        <v/>
      </c>
      <c r="U109" s="194" t="str">
        <f t="shared" si="4"/>
        <v/>
      </c>
      <c r="V109" s="194" t="str">
        <f t="shared" si="5"/>
        <v/>
      </c>
      <c r="W109">
        <f t="shared" si="6"/>
        <v>67</v>
      </c>
      <c r="X109" s="194" t="str">
        <f t="shared" si="7"/>
        <v/>
      </c>
      <c r="Y109" s="194" t="str">
        <f t="shared" si="8"/>
        <v/>
      </c>
      <c r="Z109" s="245" t="str">
        <f>IF(ISNUMBER(SEARCH("C", 'Dry_Litterbag Placem_Collection'!$T36)),"YES","NO")</f>
        <v>NO</v>
      </c>
      <c r="AA109" s="245" t="str">
        <f>IF(ISNUMBER(SEARCH("H", 'Dry_Litterbag Placem_Collection'!$T36)),"YES","NO")</f>
        <v>NO</v>
      </c>
      <c r="AB109" s="245" t="str">
        <f>IF(ISNUMBER(SEARCH("R", 'Dry_Litterbag Placem_Collection'!$T36)),"YES","NO")</f>
        <v>NO</v>
      </c>
      <c r="AC109" s="245" t="str">
        <f>IF(ISNUMBER(SEARCH("C", 'Dry_Litterbag Placem_Collection'!$S36)),"YES","NO")</f>
        <v>NO</v>
      </c>
      <c r="AD109" s="245" t="str">
        <f>IF(ISNUMBER(SEARCH("H", 'Dry_Litterbag Placem_Collection'!$S36)),"YES","NO")</f>
        <v>YES</v>
      </c>
      <c r="AE109" s="245" t="str">
        <f>IF(ISNUMBER(SEARCH("R", 'Dry_Litterbag Placem_Collection'!$S36)),"YES","NO")</f>
        <v>NO</v>
      </c>
    </row>
    <row r="110" spans="2:31">
      <c r="B110" t="str">
        <f>Dryseason!B36</f>
        <v>Dry</v>
      </c>
      <c r="C110" s="253">
        <f>Dryseason!C36</f>
        <v>35</v>
      </c>
      <c r="D110" t="s">
        <v>3106</v>
      </c>
      <c r="E110" t="s">
        <v>22</v>
      </c>
      <c r="F110" s="374">
        <v>3</v>
      </c>
      <c r="G110" s="16">
        <f>IF('Dry_Litterbag Placem_Collection'!E37="","",'Dry_Litterbag Placem_Collection'!E37)</f>
        <v>42938</v>
      </c>
      <c r="H110" t="str">
        <f>Dryseason!L36</f>
        <v>G188</v>
      </c>
      <c r="I110" t="str">
        <f>Dryseason!L256</f>
        <v>R776</v>
      </c>
      <c r="J110">
        <f>IFERROR(INDEX('Green_rooibos initial weight'!$C$5:$C$2000,MATCH(H110, 'Green_rooibos initial weight'!$A$5:$A$2000,0)),"")</f>
        <v>1.952</v>
      </c>
      <c r="K110">
        <f>IFERROR(INDEX('Green_rooibos initial weight'!$C$5:$C$2000,MATCH(I110, 'Green_rooibos initial weight'!$A$5:$A$2000,0)),"")</f>
        <v>2.1989999999999998</v>
      </c>
      <c r="L110" s="194">
        <f t="shared" si="1"/>
        <v>1.7021999999999999</v>
      </c>
      <c r="M110" s="233">
        <f>AVERAGE(Ashed_controlls!$K$1:$K$11)</f>
        <v>5.5147656768714146</v>
      </c>
      <c r="N110" s="194">
        <f t="shared" si="0"/>
        <v>1.9491999999999998</v>
      </c>
      <c r="O110" s="16">
        <f>IF('Dry_Litterbag Placem_Collection'!G37="","",'Dry_Litterbag Placem_Collection'!G37)</f>
        <v>43005</v>
      </c>
      <c r="P110" s="194">
        <f>IFERROR(INDEX('Both teabags AfterDry'!$D$3:$D$2000,MATCH(H110,'Both teabags AfterDry'!$A$3:$A$2000,0)),"")</f>
        <v>1.7849999999999999</v>
      </c>
      <c r="Q110" s="194">
        <f>IFERROR(INDEX('Both teabags AfterDry'!$D$3:$D$2000,MATCH(I110,'Both teabags AfterDry'!$A$3:$A$2000,0)),"")</f>
        <v>1.9447000000000001</v>
      </c>
      <c r="R110" s="194">
        <f t="shared" si="2"/>
        <v>1.6343999999999999</v>
      </c>
      <c r="S110" s="194">
        <f t="shared" si="2"/>
        <v>1.7941</v>
      </c>
      <c r="T110" s="194">
        <f t="shared" si="3"/>
        <v>3.9830807190694428E-2</v>
      </c>
      <c r="U110" s="194">
        <f t="shared" si="4"/>
        <v>2.611235815827E-2</v>
      </c>
      <c r="V110" s="194">
        <f t="shared" si="5"/>
        <v>0.920428893905192</v>
      </c>
      <c r="W110">
        <f t="shared" si="6"/>
        <v>67</v>
      </c>
      <c r="X110" s="194">
        <f t="shared" si="7"/>
        <v>0.95269500333646739</v>
      </c>
      <c r="Y110" s="194" t="str">
        <f t="shared" si="8"/>
        <v/>
      </c>
      <c r="Z110" s="245" t="str">
        <f>IF(ISNUMBER(SEARCH("C", 'Dry_Litterbag Placem_Collection'!$T37)),"YES","NO")</f>
        <v>NO</v>
      </c>
      <c r="AA110" s="245" t="str">
        <f>IF(ISNUMBER(SEARCH("H", 'Dry_Litterbag Placem_Collection'!$T37)),"YES","NO")</f>
        <v>NO</v>
      </c>
      <c r="AB110" s="245" t="str">
        <f>IF(ISNUMBER(SEARCH("R", 'Dry_Litterbag Placem_Collection'!$T37)),"YES","NO")</f>
        <v>NO</v>
      </c>
      <c r="AC110" s="245" t="str">
        <f>IF(ISNUMBER(SEARCH("C", 'Dry_Litterbag Placem_Collection'!$S37)),"YES","NO")</f>
        <v>NO</v>
      </c>
      <c r="AD110" s="245" t="str">
        <f>IF(ISNUMBER(SEARCH("H", 'Dry_Litterbag Placem_Collection'!$S37)),"YES","NO")</f>
        <v>NO</v>
      </c>
      <c r="AE110" s="245" t="str">
        <f>IF(ISNUMBER(SEARCH("R", 'Dry_Litterbag Placem_Collection'!$S37)),"YES","NO")</f>
        <v>NO</v>
      </c>
    </row>
    <row r="111" spans="2:31">
      <c r="B111" t="str">
        <f>Dryseason!B37</f>
        <v>Dry</v>
      </c>
      <c r="C111" s="253">
        <f>Dryseason!C37</f>
        <v>36</v>
      </c>
      <c r="D111" t="s">
        <v>3106</v>
      </c>
      <c r="E111" t="s">
        <v>22</v>
      </c>
      <c r="F111" s="375">
        <v>4</v>
      </c>
      <c r="G111" s="16">
        <f>IF('Dry_Litterbag Placem_Collection'!E38="","",'Dry_Litterbag Placem_Collection'!E38)</f>
        <v>42938</v>
      </c>
      <c r="H111" t="str">
        <f>Dryseason!L37</f>
        <v>G379</v>
      </c>
      <c r="I111" t="str">
        <f>Dryseason!L257</f>
        <v>R799</v>
      </c>
      <c r="J111">
        <f>IFERROR(INDEX('Green_rooibos initial weight'!$C$5:$C$2000,MATCH(H111, 'Green_rooibos initial weight'!$A$5:$A$2000,0)),"")</f>
        <v>2.052</v>
      </c>
      <c r="K111">
        <f>IFERROR(INDEX('Green_rooibos initial weight'!$C$5:$C$2000,MATCH(I111, 'Green_rooibos initial weight'!$A$5:$A$2000,0)),"")</f>
        <v>2.2040000000000002</v>
      </c>
      <c r="L111" s="194">
        <f t="shared" si="1"/>
        <v>1.8022</v>
      </c>
      <c r="M111" s="233">
        <f>AVERAGE(Ashed_controlls!$K$1:$K$11)</f>
        <v>5.5147656768714146</v>
      </c>
      <c r="N111" s="194">
        <f t="shared" si="0"/>
        <v>1.9542000000000002</v>
      </c>
      <c r="O111" s="16">
        <f>IF('Dry_Litterbag Placem_Collection'!G38="","",'Dry_Litterbag Placem_Collection'!G38)</f>
        <v>43005</v>
      </c>
      <c r="P111" s="194">
        <f>IFERROR(INDEX('Both teabags AfterDry'!$D$3:$D$2000,MATCH(H111,'Both teabags AfterDry'!$A$3:$A$2000,0)),"")</f>
        <v>1.65</v>
      </c>
      <c r="Q111" s="194">
        <f>IFERROR(INDEX('Both teabags AfterDry'!$D$3:$D$2000,MATCH(I111,'Both teabags AfterDry'!$A$3:$A$2000,0)),"")</f>
        <v>1.3494999999999999</v>
      </c>
      <c r="R111" s="194">
        <f t="shared" si="2"/>
        <v>1.4993999999999998</v>
      </c>
      <c r="S111" s="194">
        <f t="shared" si="2"/>
        <v>1.1988999999999999</v>
      </c>
      <c r="T111" s="194">
        <f t="shared" si="3"/>
        <v>0.16801686827211193</v>
      </c>
      <c r="U111" s="194">
        <f t="shared" si="4"/>
        <v>0.11014882575558888</v>
      </c>
      <c r="V111" s="194">
        <f t="shared" si="5"/>
        <v>0.61349913007880452</v>
      </c>
      <c r="W111">
        <f t="shared" si="6"/>
        <v>67</v>
      </c>
      <c r="X111" s="194">
        <f t="shared" si="7"/>
        <v>0.80045502580509265</v>
      </c>
      <c r="Y111" s="194" t="str">
        <f t="shared" si="8"/>
        <v/>
      </c>
      <c r="Z111" s="245" t="str">
        <f>IF(ISNUMBER(SEARCH("C", 'Dry_Litterbag Placem_Collection'!$T38)),"YES","NO")</f>
        <v>YES</v>
      </c>
      <c r="AA111" s="245" t="str">
        <f>IF(ISNUMBER(SEARCH("H", 'Dry_Litterbag Placem_Collection'!$T38)),"YES","NO")</f>
        <v>YES</v>
      </c>
      <c r="AB111" s="245" t="str">
        <f>IF(ISNUMBER(SEARCH("R", 'Dry_Litterbag Placem_Collection'!$T38)),"YES","NO")</f>
        <v>NO</v>
      </c>
      <c r="AC111" s="245" t="str">
        <f>IF(ISNUMBER(SEARCH("C", 'Dry_Litterbag Placem_Collection'!$S38)),"YES","NO")</f>
        <v>NO</v>
      </c>
      <c r="AD111" s="245" t="str">
        <f>IF(ISNUMBER(SEARCH("H", 'Dry_Litterbag Placem_Collection'!$S38)),"YES","NO")</f>
        <v>NO</v>
      </c>
      <c r="AE111" s="245" t="str">
        <f>IF(ISNUMBER(SEARCH("R", 'Dry_Litterbag Placem_Collection'!$S38)),"YES","NO")</f>
        <v>NO</v>
      </c>
    </row>
    <row r="112" spans="2:31">
      <c r="B112" t="str">
        <f>Dryseason!B38</f>
        <v>Dry</v>
      </c>
      <c r="C112" s="253">
        <f>Dryseason!C38</f>
        <v>37</v>
      </c>
      <c r="D112" t="s">
        <v>3106</v>
      </c>
      <c r="E112" t="s">
        <v>22</v>
      </c>
      <c r="F112" s="375">
        <v>5</v>
      </c>
      <c r="G112" s="16">
        <f>IF('Dry_Litterbag Placem_Collection'!E39="","",'Dry_Litterbag Placem_Collection'!E39)</f>
        <v>42938</v>
      </c>
      <c r="H112" t="str">
        <f>Dryseason!L38</f>
        <v>G66</v>
      </c>
      <c r="I112" t="str">
        <f>Dryseason!L258</f>
        <v>R722</v>
      </c>
      <c r="J112">
        <f>IFERROR(INDEX('Green_rooibos initial weight'!$C$5:$C$2000,MATCH(H112, 'Green_rooibos initial weight'!$A$5:$A$2000,0)),"")</f>
        <v>1.9490000000000001</v>
      </c>
      <c r="K112">
        <f>IFERROR(INDEX('Green_rooibos initial weight'!$C$5:$C$2000,MATCH(I112, 'Green_rooibos initial weight'!$A$5:$A$2000,0)),"")</f>
        <v>2.2069999999999999</v>
      </c>
      <c r="L112" s="194">
        <f t="shared" si="1"/>
        <v>1.6992</v>
      </c>
      <c r="M112" s="233">
        <f>AVERAGE(Ashed_controlls!$K$1:$K$11)</f>
        <v>5.5147656768714146</v>
      </c>
      <c r="N112" s="194">
        <f t="shared" si="0"/>
        <v>1.9571999999999998</v>
      </c>
      <c r="O112" s="16">
        <f>IF('Dry_Litterbag Placem_Collection'!G39="","",'Dry_Litterbag Placem_Collection'!G39)</f>
        <v>43005</v>
      </c>
      <c r="P112" s="194">
        <f>IFERROR(INDEX('Both teabags AfterDry'!$D$3:$D$2000,MATCH(H112,'Both teabags AfterDry'!$A$3:$A$2000,0)),"")</f>
        <v>3.3298000000000001</v>
      </c>
      <c r="Q112" s="194">
        <f>IFERROR(INDEX('Both teabags AfterDry'!$D$3:$D$2000,MATCH(I112,'Both teabags AfterDry'!$A$3:$A$2000,0)),"")</f>
        <v>0.13320000000000001</v>
      </c>
      <c r="R112" s="194">
        <f t="shared" si="2"/>
        <v>3.1792000000000002</v>
      </c>
      <c r="S112" s="194">
        <f t="shared" si="2"/>
        <v>-1.7399999999999999E-2</v>
      </c>
      <c r="T112" s="194">
        <f t="shared" si="3"/>
        <v>-0.87099811676082872</v>
      </c>
      <c r="U112" s="194">
        <f t="shared" si="4"/>
        <v>-0.57101064186695683</v>
      </c>
      <c r="V112" s="194">
        <f t="shared" si="5"/>
        <v>-8.8902513795217665E-3</v>
      </c>
      <c r="W112">
        <f t="shared" si="6"/>
        <v>67</v>
      </c>
      <c r="X112" s="194">
        <f t="shared" si="7"/>
        <v>2.0344395685995593</v>
      </c>
      <c r="Y112" s="194">
        <f t="shared" si="8"/>
        <v>-1.5189694798997799E-2</v>
      </c>
      <c r="Z112" s="245" t="str">
        <f>IF(ISNUMBER(SEARCH("C", 'Dry_Litterbag Placem_Collection'!$T39)),"YES","NO")</f>
        <v>YES</v>
      </c>
      <c r="AA112" s="245" t="str">
        <f>IF(ISNUMBER(SEARCH("H", 'Dry_Litterbag Placem_Collection'!$T39)),"YES","NO")</f>
        <v>YES</v>
      </c>
      <c r="AB112" s="245" t="str">
        <f>IF(ISNUMBER(SEARCH("R", 'Dry_Litterbag Placem_Collection'!$T39)),"YES","NO")</f>
        <v>NO</v>
      </c>
      <c r="AC112" s="245" t="str">
        <f>IF(ISNUMBER(SEARCH("C", 'Dry_Litterbag Placem_Collection'!$S39)),"YES","NO")</f>
        <v>YES</v>
      </c>
      <c r="AD112" s="245" t="str">
        <f>IF(ISNUMBER(SEARCH("H", 'Dry_Litterbag Placem_Collection'!$S39)),"YES","NO")</f>
        <v>YES</v>
      </c>
      <c r="AE112" s="245" t="str">
        <f>IF(ISNUMBER(SEARCH("R", 'Dry_Litterbag Placem_Collection'!$S39)),"YES","NO")</f>
        <v>NO</v>
      </c>
    </row>
    <row r="113" spans="2:31">
      <c r="B113" t="str">
        <f>Dryseason!B39</f>
        <v>Dry</v>
      </c>
      <c r="C113" s="253">
        <f>Dryseason!C39</f>
        <v>38</v>
      </c>
      <c r="D113" t="s">
        <v>3106</v>
      </c>
      <c r="E113" t="s">
        <v>22</v>
      </c>
      <c r="F113" s="375">
        <v>6</v>
      </c>
      <c r="G113" s="16">
        <f>IF('Dry_Litterbag Placem_Collection'!E40="","",'Dry_Litterbag Placem_Collection'!E40)</f>
        <v>42938</v>
      </c>
      <c r="H113" t="str">
        <f>Dryseason!L39</f>
        <v>G625</v>
      </c>
      <c r="I113" t="str">
        <f>Dryseason!L259</f>
        <v>R796</v>
      </c>
      <c r="J113">
        <f>IFERROR(INDEX('Green_rooibos initial weight'!$C$5:$C$2000,MATCH(H113, 'Green_rooibos initial weight'!$A$5:$A$2000,0)),"")</f>
        <v>1.9650000000000001</v>
      </c>
      <c r="K113">
        <f>IFERROR(INDEX('Green_rooibos initial weight'!$C$5:$C$2000,MATCH(I113, 'Green_rooibos initial weight'!$A$5:$A$2000,0)),"")</f>
        <v>2.2360000000000002</v>
      </c>
      <c r="L113" s="194">
        <f t="shared" si="1"/>
        <v>1.7152000000000001</v>
      </c>
      <c r="M113" s="233">
        <f>AVERAGE(Ashed_controlls!$K$1:$K$11)</f>
        <v>5.5147656768714146</v>
      </c>
      <c r="N113" s="194">
        <f t="shared" si="0"/>
        <v>1.9862000000000002</v>
      </c>
      <c r="O113" s="16">
        <f>IF('Dry_Litterbag Placem_Collection'!G40="","",'Dry_Litterbag Placem_Collection'!G40)</f>
        <v>43005</v>
      </c>
      <c r="P113" s="194">
        <f>IFERROR(INDEX('Both teabags AfterDry'!$D$3:$D$2000,MATCH(H113,'Both teabags AfterDry'!$A$3:$A$2000,0)),"")</f>
        <v>1.8379000000000001</v>
      </c>
      <c r="Q113" s="194">
        <f>IFERROR(INDEX('Both teabags AfterDry'!$D$3:$D$2000,MATCH(I113,'Both teabags AfterDry'!$A$3:$A$2000,0)),"")</f>
        <v>1.9076</v>
      </c>
      <c r="R113" s="194">
        <f t="shared" si="2"/>
        <v>1.6873</v>
      </c>
      <c r="S113" s="194">
        <f t="shared" si="2"/>
        <v>1.7569999999999999</v>
      </c>
      <c r="T113" s="194">
        <f t="shared" si="3"/>
        <v>1.6266324626865725E-2</v>
      </c>
      <c r="U113" s="194">
        <f t="shared" si="4"/>
        <v>1.0663908781508169E-2</v>
      </c>
      <c r="V113" s="194">
        <f t="shared" si="5"/>
        <v>0.88460376598529844</v>
      </c>
      <c r="W113">
        <f t="shared" si="6"/>
        <v>67</v>
      </c>
      <c r="X113" s="194">
        <f t="shared" si="7"/>
        <v>0.98068132467118085</v>
      </c>
      <c r="Y113" s="194" t="str">
        <f t="shared" si="8"/>
        <v/>
      </c>
      <c r="Z113" s="245" t="str">
        <f>IF(ISNUMBER(SEARCH("C", 'Dry_Litterbag Placem_Collection'!$T40)),"YES","NO")</f>
        <v>NO</v>
      </c>
      <c r="AA113" s="245" t="str">
        <f>IF(ISNUMBER(SEARCH("H", 'Dry_Litterbag Placem_Collection'!$T40)),"YES","NO")</f>
        <v>NO</v>
      </c>
      <c r="AB113" s="245" t="str">
        <f>IF(ISNUMBER(SEARCH("R", 'Dry_Litterbag Placem_Collection'!$T40)),"YES","NO")</f>
        <v>NO</v>
      </c>
      <c r="AC113" s="245" t="str">
        <f>IF(ISNUMBER(SEARCH("C", 'Dry_Litterbag Placem_Collection'!$S40)),"YES","NO")</f>
        <v>YES</v>
      </c>
      <c r="AD113" s="245" t="str">
        <f>IF(ISNUMBER(SEARCH("H", 'Dry_Litterbag Placem_Collection'!$S40)),"YES","NO")</f>
        <v>YES</v>
      </c>
      <c r="AE113" s="245" t="str">
        <f>IF(ISNUMBER(SEARCH("R", 'Dry_Litterbag Placem_Collection'!$S40)),"YES","NO")</f>
        <v>NO</v>
      </c>
    </row>
    <row r="114" spans="2:31">
      <c r="B114" t="str">
        <f>Dryseason!B40</f>
        <v>Dry</v>
      </c>
      <c r="C114" s="253">
        <f>Dryseason!C40</f>
        <v>39</v>
      </c>
      <c r="D114" t="s">
        <v>3106</v>
      </c>
      <c r="E114" t="s">
        <v>22</v>
      </c>
      <c r="F114" s="375">
        <v>7</v>
      </c>
      <c r="G114" s="16">
        <f>IF('Dry_Litterbag Placem_Collection'!E41="","",'Dry_Litterbag Placem_Collection'!E41)</f>
        <v>42938</v>
      </c>
      <c r="H114" t="str">
        <f>Dryseason!L40</f>
        <v/>
      </c>
      <c r="I114" t="str">
        <f>Dryseason!L260</f>
        <v/>
      </c>
      <c r="J114" t="str">
        <f>IFERROR(INDEX('Green_rooibos initial weight'!$C$5:$C$2000,MATCH(H114, 'Green_rooibos initial weight'!$A$5:$A$2000,0)),"")</f>
        <v/>
      </c>
      <c r="K114" t="str">
        <f>IFERROR(INDEX('Green_rooibos initial weight'!$C$5:$C$2000,MATCH(I114, 'Green_rooibos initial weight'!$A$5:$A$2000,0)),"")</f>
        <v/>
      </c>
      <c r="L114" s="194" t="str">
        <f t="shared" si="1"/>
        <v/>
      </c>
      <c r="M114" s="233">
        <f>AVERAGE(Ashed_controlls!$K$1:$K$11)</f>
        <v>5.5147656768714146</v>
      </c>
      <c r="N114" s="194" t="str">
        <f t="shared" si="0"/>
        <v/>
      </c>
      <c r="O114" s="16" t="str">
        <f>IF('Dry_Litterbag Placem_Collection'!G41="","",'Dry_Litterbag Placem_Collection'!G41)</f>
        <v/>
      </c>
      <c r="P114" s="194" t="str">
        <f>IFERROR(INDEX('Both teabags AfterDry'!$D$3:$D$2000,MATCH(H114,'Both teabags AfterDry'!$A$3:$A$2000,0)),"")</f>
        <v/>
      </c>
      <c r="Q114" s="194" t="str">
        <f>IFERROR(INDEX('Both teabags AfterDry'!$D$3:$D$2000,MATCH(I114,'Both teabags AfterDry'!$A$3:$A$2000,0)),"")</f>
        <v/>
      </c>
      <c r="R114" s="194" t="str">
        <f t="shared" si="2"/>
        <v/>
      </c>
      <c r="S114" s="194" t="str">
        <f t="shared" si="2"/>
        <v/>
      </c>
      <c r="T114" s="194" t="str">
        <f t="shared" si="3"/>
        <v/>
      </c>
      <c r="U114" s="194" t="str">
        <f t="shared" si="4"/>
        <v/>
      </c>
      <c r="V114" s="194" t="str">
        <f t="shared" si="5"/>
        <v/>
      </c>
      <c r="W114" t="str">
        <f t="shared" si="6"/>
        <v/>
      </c>
      <c r="X114" s="194" t="str">
        <f t="shared" si="7"/>
        <v/>
      </c>
      <c r="Y114" s="194" t="str">
        <f t="shared" si="8"/>
        <v/>
      </c>
      <c r="Z114" s="245" t="str">
        <f>IF(ISNUMBER(SEARCH("C", 'Dry_Litterbag Placem_Collection'!$T41)),"YES","NO")</f>
        <v>NO</v>
      </c>
      <c r="AA114" s="245" t="str">
        <f>IF(ISNUMBER(SEARCH("H", 'Dry_Litterbag Placem_Collection'!$T41)),"YES","NO")</f>
        <v>NO</v>
      </c>
      <c r="AB114" s="245" t="str">
        <f>IF(ISNUMBER(SEARCH("R", 'Dry_Litterbag Placem_Collection'!$T41)),"YES","NO")</f>
        <v>NO</v>
      </c>
      <c r="AC114" s="245" t="str">
        <f>IF(ISNUMBER(SEARCH("C", 'Dry_Litterbag Placem_Collection'!$S41)),"YES","NO")</f>
        <v>NO</v>
      </c>
      <c r="AD114" s="245" t="str">
        <f>IF(ISNUMBER(SEARCH("H", 'Dry_Litterbag Placem_Collection'!$S41)),"YES","NO")</f>
        <v>NO</v>
      </c>
      <c r="AE114" s="245" t="str">
        <f>IF(ISNUMBER(SEARCH("R", 'Dry_Litterbag Placem_Collection'!$S41)),"YES","NO")</f>
        <v>NO</v>
      </c>
    </row>
    <row r="115" spans="2:31">
      <c r="B115" t="str">
        <f>Dryseason!B41</f>
        <v>Dry</v>
      </c>
      <c r="C115" s="253">
        <f>Dryseason!C41</f>
        <v>40</v>
      </c>
      <c r="D115" t="s">
        <v>3106</v>
      </c>
      <c r="E115" t="s">
        <v>22</v>
      </c>
      <c r="F115" s="375">
        <v>8</v>
      </c>
      <c r="G115" s="16">
        <f>IF('Dry_Litterbag Placem_Collection'!E42="","",'Dry_Litterbag Placem_Collection'!E42)</f>
        <v>42938</v>
      </c>
      <c r="H115" t="str">
        <f>Dryseason!L41</f>
        <v>G88</v>
      </c>
      <c r="I115" t="str">
        <f>Dryseason!L261</f>
        <v>R782</v>
      </c>
      <c r="J115">
        <f>IFERROR(INDEX('Green_rooibos initial weight'!$C$5:$C$2000,MATCH(H115, 'Green_rooibos initial weight'!$A$5:$A$2000,0)),"")</f>
        <v>2.1549999999999998</v>
      </c>
      <c r="K115">
        <f>IFERROR(INDEX('Green_rooibos initial weight'!$C$5:$C$2000,MATCH(I115, 'Green_rooibos initial weight'!$A$5:$A$2000,0)),"")</f>
        <v>2.2410000000000001</v>
      </c>
      <c r="L115" s="194">
        <f t="shared" si="1"/>
        <v>1.9051999999999998</v>
      </c>
      <c r="M115" s="233">
        <f>AVERAGE(Ashed_controlls!$K$1:$K$11)</f>
        <v>5.5147656768714146</v>
      </c>
      <c r="N115" s="194">
        <f t="shared" si="0"/>
        <v>1.9912000000000001</v>
      </c>
      <c r="O115" s="16">
        <f>IF('Dry_Litterbag Placem_Collection'!G42="","",'Dry_Litterbag Placem_Collection'!G42)</f>
        <v>43005</v>
      </c>
      <c r="P115" s="194">
        <f>IFERROR(INDEX('Both teabags AfterDry'!$D$3:$D$2000,MATCH(H115,'Both teabags AfterDry'!$A$3:$A$2000,0)),"")</f>
        <v>1.9495</v>
      </c>
      <c r="Q115" s="194">
        <f>IFERROR(INDEX('Both teabags AfterDry'!$D$3:$D$2000,MATCH(I115,'Both teabags AfterDry'!$A$3:$A$2000,0)),"")</f>
        <v>1.992</v>
      </c>
      <c r="R115" s="194">
        <f t="shared" si="2"/>
        <v>1.7988999999999999</v>
      </c>
      <c r="S115" s="194">
        <f t="shared" si="2"/>
        <v>1.8413999999999999</v>
      </c>
      <c r="T115" s="194">
        <f t="shared" si="3"/>
        <v>5.5794667226537809E-2</v>
      </c>
      <c r="U115" s="194">
        <f t="shared" si="4"/>
        <v>3.6577976614072305E-2</v>
      </c>
      <c r="V115" s="194">
        <f t="shared" si="5"/>
        <v>0.92476898352752102</v>
      </c>
      <c r="W115">
        <f t="shared" si="6"/>
        <v>67</v>
      </c>
      <c r="X115" s="194">
        <f t="shared" si="7"/>
        <v>0.93373554961218785</v>
      </c>
      <c r="Y115" s="194" t="str">
        <f t="shared" si="8"/>
        <v/>
      </c>
      <c r="Z115" s="245" t="str">
        <f>IF(ISNUMBER(SEARCH("C", 'Dry_Litterbag Placem_Collection'!$T42)),"YES","NO")</f>
        <v>NO</v>
      </c>
      <c r="AA115" s="245" t="str">
        <f>IF(ISNUMBER(SEARCH("H", 'Dry_Litterbag Placem_Collection'!$T42)),"YES","NO")</f>
        <v>NO</v>
      </c>
      <c r="AB115" s="245" t="str">
        <f>IF(ISNUMBER(SEARCH("R", 'Dry_Litterbag Placem_Collection'!$T42)),"YES","NO")</f>
        <v>NO</v>
      </c>
      <c r="AC115" s="245" t="str">
        <f>IF(ISNUMBER(SEARCH("C", 'Dry_Litterbag Placem_Collection'!$S42)),"YES","NO")</f>
        <v>YES</v>
      </c>
      <c r="AD115" s="245" t="str">
        <f>IF(ISNUMBER(SEARCH("H", 'Dry_Litterbag Placem_Collection'!$S42)),"YES","NO")</f>
        <v>YES</v>
      </c>
      <c r="AE115" s="245" t="str">
        <f>IF(ISNUMBER(SEARCH("R", 'Dry_Litterbag Placem_Collection'!$S42)),"YES","NO")</f>
        <v>NO</v>
      </c>
    </row>
    <row r="116" spans="2:31">
      <c r="B116" t="str">
        <f>Dryseason!B42</f>
        <v>Dry</v>
      </c>
      <c r="C116" s="253">
        <f>Dryseason!C42</f>
        <v>41</v>
      </c>
      <c r="D116" t="s">
        <v>3108</v>
      </c>
      <c r="E116" t="s">
        <v>22</v>
      </c>
      <c r="F116" s="374">
        <v>1</v>
      </c>
      <c r="G116" s="16">
        <f>IF('Dry_Litterbag Placem_Collection'!E43="","",'Dry_Litterbag Placem_Collection'!E43)</f>
        <v>42938</v>
      </c>
      <c r="H116" t="str">
        <f>Dryseason!L42</f>
        <v>G256</v>
      </c>
      <c r="I116" t="str">
        <f>Dryseason!L262</f>
        <v>R820</v>
      </c>
      <c r="J116">
        <f>IFERROR(INDEX('Green_rooibos initial weight'!$C$5:$C$2000,MATCH(H116, 'Green_rooibos initial weight'!$A$5:$A$2000,0)),"")</f>
        <v>2.11</v>
      </c>
      <c r="K116">
        <f>IFERROR(INDEX('Green_rooibos initial weight'!$C$5:$C$2000,MATCH(I116, 'Green_rooibos initial weight'!$A$5:$A$2000,0)),"")</f>
        <v>2.2170000000000001</v>
      </c>
      <c r="L116" s="194">
        <f t="shared" si="1"/>
        <v>1.8601999999999999</v>
      </c>
      <c r="M116" s="233">
        <f>AVERAGE(Ashed_controlls!$K$1:$K$11)</f>
        <v>5.5147656768714146</v>
      </c>
      <c r="N116" s="194">
        <f t="shared" si="0"/>
        <v>1.9672000000000001</v>
      </c>
      <c r="O116" s="16">
        <f>IF('Dry_Litterbag Placem_Collection'!G43="","",'Dry_Litterbag Placem_Collection'!G43)</f>
        <v>43005</v>
      </c>
      <c r="P116" s="194">
        <f>IFERROR(INDEX('Both teabags AfterDry'!$D$3:$D$2000,MATCH(H116,'Both teabags AfterDry'!$A$3:$A$2000,0)),"")</f>
        <v>1.6208</v>
      </c>
      <c r="Q116" s="194">
        <f>IFERROR(INDEX('Both teabags AfterDry'!$D$3:$D$2000,MATCH(I116,'Both teabags AfterDry'!$A$3:$A$2000,0)),"")</f>
        <v>1.2708999999999999</v>
      </c>
      <c r="R116" s="194">
        <f t="shared" si="2"/>
        <v>1.4702</v>
      </c>
      <c r="S116" s="194">
        <f t="shared" si="2"/>
        <v>1.1202999999999999</v>
      </c>
      <c r="T116" s="194">
        <f t="shared" si="3"/>
        <v>0.20965487581980424</v>
      </c>
      <c r="U116" s="194">
        <f t="shared" si="4"/>
        <v>0.13744595184386219</v>
      </c>
      <c r="V116" s="194">
        <f t="shared" si="5"/>
        <v>0.56948962993086616</v>
      </c>
      <c r="W116">
        <f t="shared" si="6"/>
        <v>67</v>
      </c>
      <c r="X116" s="194">
        <f t="shared" si="7"/>
        <v>0.75100371042778591</v>
      </c>
      <c r="Y116" s="194" t="str">
        <f t="shared" si="8"/>
        <v/>
      </c>
      <c r="Z116" s="245" t="str">
        <f>IF(ISNUMBER(SEARCH("C", 'Dry_Litterbag Placem_Collection'!$T43)),"YES","NO")</f>
        <v>NO</v>
      </c>
      <c r="AA116" s="245" t="str">
        <f>IF(ISNUMBER(SEARCH("H", 'Dry_Litterbag Placem_Collection'!$T43)),"YES","NO")</f>
        <v>YES</v>
      </c>
      <c r="AB116" s="245" t="str">
        <f>IF(ISNUMBER(SEARCH("R", 'Dry_Litterbag Placem_Collection'!$T43)),"YES","NO")</f>
        <v>NO</v>
      </c>
      <c r="AC116" s="245" t="str">
        <f>IF(ISNUMBER(SEARCH("C", 'Dry_Litterbag Placem_Collection'!$S43)),"YES","NO")</f>
        <v>NO</v>
      </c>
      <c r="AD116" s="245" t="str">
        <f>IF(ISNUMBER(SEARCH("H", 'Dry_Litterbag Placem_Collection'!$S43)),"YES","NO")</f>
        <v>YES</v>
      </c>
      <c r="AE116" s="245" t="str">
        <f>IF(ISNUMBER(SEARCH("R", 'Dry_Litterbag Placem_Collection'!$S43)),"YES","NO")</f>
        <v>NO</v>
      </c>
    </row>
    <row r="117" spans="2:31">
      <c r="B117" t="str">
        <f>Dryseason!B43</f>
        <v>Dry</v>
      </c>
      <c r="C117" s="253">
        <f>Dryseason!C43</f>
        <v>42</v>
      </c>
      <c r="D117" t="s">
        <v>3108</v>
      </c>
      <c r="E117" t="s">
        <v>22</v>
      </c>
      <c r="F117" s="374">
        <v>2</v>
      </c>
      <c r="G117" s="16">
        <f>IF('Dry_Litterbag Placem_Collection'!E44="","",'Dry_Litterbag Placem_Collection'!E44)</f>
        <v>42938</v>
      </c>
      <c r="H117" t="str">
        <f>Dryseason!L43</f>
        <v>G341</v>
      </c>
      <c r="I117" t="str">
        <f>Dryseason!L263</f>
        <v>R806</v>
      </c>
      <c r="J117">
        <f>IFERROR(INDEX('Green_rooibos initial weight'!$C$5:$C$2000,MATCH(H117, 'Green_rooibos initial weight'!$A$5:$A$2000,0)),"")</f>
        <v>1.954</v>
      </c>
      <c r="K117">
        <f>IFERROR(INDEX('Green_rooibos initial weight'!$C$5:$C$2000,MATCH(I117, 'Green_rooibos initial weight'!$A$5:$A$2000,0)),"")</f>
        <v>2.2389999999999999</v>
      </c>
      <c r="L117" s="194">
        <f t="shared" si="1"/>
        <v>1.7041999999999999</v>
      </c>
      <c r="M117" s="233">
        <f>AVERAGE(Ashed_controlls!$K$1:$K$11)</f>
        <v>5.5147656768714146</v>
      </c>
      <c r="N117" s="194">
        <f t="shared" si="0"/>
        <v>1.9891999999999999</v>
      </c>
      <c r="O117" s="16">
        <f>IF('Dry_Litterbag Placem_Collection'!G44="","",'Dry_Litterbag Placem_Collection'!G44)</f>
        <v>43005</v>
      </c>
      <c r="P117" s="194">
        <f>IFERROR(INDEX('Both teabags AfterDry'!$D$3:$D$2000,MATCH(H117,'Both teabags AfterDry'!$A$3:$A$2000,0)),"")</f>
        <v>1.7267999999999999</v>
      </c>
      <c r="Q117" s="194">
        <f>IFERROR(INDEX('Both teabags AfterDry'!$D$3:$D$2000,MATCH(I117,'Both teabags AfterDry'!$A$3:$A$2000,0)),"")</f>
        <v>0.14760000000000001</v>
      </c>
      <c r="R117" s="194">
        <f t="shared" si="2"/>
        <v>1.5761999999999998</v>
      </c>
      <c r="S117" s="194">
        <f t="shared" si="2"/>
        <v>-3.0000000000000027E-3</v>
      </c>
      <c r="T117" s="194">
        <f t="shared" si="3"/>
        <v>7.5108555333881055E-2</v>
      </c>
      <c r="U117" s="194">
        <f t="shared" si="4"/>
        <v>4.9239812997983759E-2</v>
      </c>
      <c r="V117" s="194">
        <f t="shared" si="5"/>
        <v>-1.5081439774783847E-3</v>
      </c>
      <c r="W117">
        <f t="shared" si="6"/>
        <v>67</v>
      </c>
      <c r="X117" s="194">
        <f t="shared" si="7"/>
        <v>0.91079744022104392</v>
      </c>
      <c r="Y117" s="194" t="str">
        <f t="shared" si="8"/>
        <v/>
      </c>
      <c r="Z117" s="245" t="str">
        <f>IF(ISNUMBER(SEARCH("C", 'Dry_Litterbag Placem_Collection'!$T44)),"YES","NO")</f>
        <v>YES</v>
      </c>
      <c r="AA117" s="245" t="str">
        <f>IF(ISNUMBER(SEARCH("H", 'Dry_Litterbag Placem_Collection'!$T44)),"YES","NO")</f>
        <v>YES</v>
      </c>
      <c r="AB117" s="245" t="str">
        <f>IF(ISNUMBER(SEARCH("R", 'Dry_Litterbag Placem_Collection'!$T44)),"YES","NO")</f>
        <v>NO</v>
      </c>
      <c r="AC117" s="245" t="str">
        <f>IF(ISNUMBER(SEARCH("C", 'Dry_Litterbag Placem_Collection'!$S44)),"YES","NO")</f>
        <v>YES</v>
      </c>
      <c r="AD117" s="245" t="str">
        <f>IF(ISNUMBER(SEARCH("H", 'Dry_Litterbag Placem_Collection'!$S44)),"YES","NO")</f>
        <v>YES</v>
      </c>
      <c r="AE117" s="245" t="str">
        <f>IF(ISNUMBER(SEARCH("R", 'Dry_Litterbag Placem_Collection'!$S44)),"YES","NO")</f>
        <v>NO</v>
      </c>
    </row>
    <row r="118" spans="2:31">
      <c r="B118" t="str">
        <f>Dryseason!B44</f>
        <v>Dry</v>
      </c>
      <c r="C118" s="253">
        <f>Dryseason!C44</f>
        <v>43</v>
      </c>
      <c r="D118" t="s">
        <v>3108</v>
      </c>
      <c r="E118" t="s">
        <v>22</v>
      </c>
      <c r="F118" s="374">
        <v>3</v>
      </c>
      <c r="G118" s="16">
        <f>IF('Dry_Litterbag Placem_Collection'!E45="","",'Dry_Litterbag Placem_Collection'!E45)</f>
        <v>42938</v>
      </c>
      <c r="H118" t="str">
        <f>Dryseason!L44</f>
        <v>G246</v>
      </c>
      <c r="I118" t="str">
        <f>Dryseason!L264</f>
        <v>R758</v>
      </c>
      <c r="J118">
        <f>IFERROR(INDEX('Green_rooibos initial weight'!$C$5:$C$2000,MATCH(H118, 'Green_rooibos initial weight'!$A$5:$A$2000,0)),"")</f>
        <v>2.1829999999999998</v>
      </c>
      <c r="K118">
        <f>IFERROR(INDEX('Green_rooibos initial weight'!$C$5:$C$2000,MATCH(I118, 'Green_rooibos initial weight'!$A$5:$A$2000,0)),"")</f>
        <v>2.2200000000000002</v>
      </c>
      <c r="L118" s="194">
        <f t="shared" si="1"/>
        <v>1.9331999999999998</v>
      </c>
      <c r="M118" s="233">
        <f>AVERAGE(Ashed_controlls!$K$1:$K$11)</f>
        <v>5.5147656768714146</v>
      </c>
      <c r="N118" s="194">
        <f t="shared" si="0"/>
        <v>1.9702000000000002</v>
      </c>
      <c r="O118" s="16">
        <f>IF('Dry_Litterbag Placem_Collection'!G45="","",'Dry_Litterbag Placem_Collection'!G45)</f>
        <v>43005</v>
      </c>
      <c r="P118" s="194">
        <f>IFERROR(INDEX('Both teabags AfterDry'!$D$3:$D$2000,MATCH(H118,'Both teabags AfterDry'!$A$3:$A$2000,0)),"")</f>
        <v>1.9577</v>
      </c>
      <c r="Q118" s="194">
        <f>IFERROR(INDEX('Both teabags AfterDry'!$D$3:$D$2000,MATCH(I118,'Both teabags AfterDry'!$A$3:$A$2000,0)),"")</f>
        <v>1.6818</v>
      </c>
      <c r="R118" s="194">
        <f t="shared" si="2"/>
        <v>1.8070999999999999</v>
      </c>
      <c r="S118" s="194">
        <f t="shared" si="2"/>
        <v>1.5311999999999999</v>
      </c>
      <c r="T118" s="194">
        <f t="shared" si="3"/>
        <v>6.5228636457686728E-2</v>
      </c>
      <c r="U118" s="194">
        <f t="shared" si="4"/>
        <v>4.2762716537580847E-2</v>
      </c>
      <c r="V118" s="194">
        <f t="shared" si="5"/>
        <v>0.77717998172774327</v>
      </c>
      <c r="W118">
        <f t="shared" si="6"/>
        <v>67</v>
      </c>
      <c r="X118" s="194">
        <f t="shared" si="7"/>
        <v>0.92253131062032456</v>
      </c>
      <c r="Y118" s="194" t="str">
        <f t="shared" si="8"/>
        <v/>
      </c>
      <c r="Z118" s="245" t="str">
        <f>IF(ISNUMBER(SEARCH("C", 'Dry_Litterbag Placem_Collection'!$T45)),"YES","NO")</f>
        <v>YES</v>
      </c>
      <c r="AA118" s="245" t="str">
        <f>IF(ISNUMBER(SEARCH("H", 'Dry_Litterbag Placem_Collection'!$T45)),"YES","NO")</f>
        <v>YES</v>
      </c>
      <c r="AB118" s="245" t="str">
        <f>IF(ISNUMBER(SEARCH("R", 'Dry_Litterbag Placem_Collection'!$T45)),"YES","NO")</f>
        <v>NO</v>
      </c>
      <c r="AC118" s="245" t="str">
        <f>IF(ISNUMBER(SEARCH("C", 'Dry_Litterbag Placem_Collection'!$S45)),"YES","NO")</f>
        <v>YES</v>
      </c>
      <c r="AD118" s="245" t="str">
        <f>IF(ISNUMBER(SEARCH("H", 'Dry_Litterbag Placem_Collection'!$S45)),"YES","NO")</f>
        <v>YES</v>
      </c>
      <c r="AE118" s="245" t="str">
        <f>IF(ISNUMBER(SEARCH("R", 'Dry_Litterbag Placem_Collection'!$S45)),"YES","NO")</f>
        <v>NO</v>
      </c>
    </row>
    <row r="119" spans="2:31">
      <c r="B119" t="str">
        <f>Dryseason!B45</f>
        <v>Dry</v>
      </c>
      <c r="C119" s="253">
        <f>Dryseason!C45</f>
        <v>44</v>
      </c>
      <c r="D119" t="s">
        <v>3108</v>
      </c>
      <c r="E119" t="s">
        <v>22</v>
      </c>
      <c r="F119" s="375">
        <v>4</v>
      </c>
      <c r="G119" s="16">
        <f>IF('Dry_Litterbag Placem_Collection'!E46="","",'Dry_Litterbag Placem_Collection'!E46)</f>
        <v>42938</v>
      </c>
      <c r="H119" t="str">
        <f>Dryseason!L45</f>
        <v>G115</v>
      </c>
      <c r="I119" t="str">
        <f>Dryseason!L265</f>
        <v>R783</v>
      </c>
      <c r="J119">
        <f>IFERROR(INDEX('Green_rooibos initial weight'!$C$5:$C$2000,MATCH(H119, 'Green_rooibos initial weight'!$A$5:$A$2000,0)),"")</f>
        <v>2.048</v>
      </c>
      <c r="K119">
        <f>IFERROR(INDEX('Green_rooibos initial weight'!$C$5:$C$2000,MATCH(I119, 'Green_rooibos initial weight'!$A$5:$A$2000,0)),"")</f>
        <v>2.1989999999999998</v>
      </c>
      <c r="L119" s="194">
        <f t="shared" si="1"/>
        <v>1.7982</v>
      </c>
      <c r="M119" s="233">
        <f>AVERAGE(Ashed_controlls!$K$1:$K$11)</f>
        <v>5.5147656768714146</v>
      </c>
      <c r="N119" s="194">
        <f t="shared" si="0"/>
        <v>1.9491999999999998</v>
      </c>
      <c r="O119" s="16">
        <f>IF('Dry_Litterbag Placem_Collection'!G46="","",'Dry_Litterbag Placem_Collection'!G46)</f>
        <v>43005</v>
      </c>
      <c r="P119" s="194">
        <f>IFERROR(INDEX('Both teabags AfterDry'!$D$3:$D$2000,MATCH(H119,'Both teabags AfterDry'!$A$3:$A$2000,0)),"")</f>
        <v>1.7069000000000001</v>
      </c>
      <c r="Q119" s="194">
        <f>IFERROR(INDEX('Both teabags AfterDry'!$D$3:$D$2000,MATCH(I119,'Both teabags AfterDry'!$A$3:$A$2000,0)),"")</f>
        <v>1.8973</v>
      </c>
      <c r="R119" s="194">
        <f t="shared" si="2"/>
        <v>1.5563</v>
      </c>
      <c r="S119" s="194">
        <f t="shared" si="2"/>
        <v>1.7466999999999999</v>
      </c>
      <c r="T119" s="194">
        <f t="shared" si="3"/>
        <v>0.13452341230119003</v>
      </c>
      <c r="U119" s="194">
        <f t="shared" si="4"/>
        <v>8.8191120653511743E-2</v>
      </c>
      <c r="V119" s="194">
        <f t="shared" si="5"/>
        <v>0.89611122511799712</v>
      </c>
      <c r="W119">
        <f t="shared" si="6"/>
        <v>67</v>
      </c>
      <c r="X119" s="194">
        <f t="shared" si="7"/>
        <v>0.84023347707697149</v>
      </c>
      <c r="Y119" s="194" t="str">
        <f t="shared" si="8"/>
        <v/>
      </c>
      <c r="Z119" s="245" t="str">
        <f>IF(ISNUMBER(SEARCH("C", 'Dry_Litterbag Placem_Collection'!$T46)),"YES","NO")</f>
        <v>NO</v>
      </c>
      <c r="AA119" s="245" t="str">
        <f>IF(ISNUMBER(SEARCH("H", 'Dry_Litterbag Placem_Collection'!$T46)),"YES","NO")</f>
        <v>NO</v>
      </c>
      <c r="AB119" s="245" t="str">
        <f>IF(ISNUMBER(SEARCH("R", 'Dry_Litterbag Placem_Collection'!$T46)),"YES","NO")</f>
        <v>NO</v>
      </c>
      <c r="AC119" s="245" t="str">
        <f>IF(ISNUMBER(SEARCH("C", 'Dry_Litterbag Placem_Collection'!$S46)),"YES","NO")</f>
        <v>NO</v>
      </c>
      <c r="AD119" s="245" t="str">
        <f>IF(ISNUMBER(SEARCH("H", 'Dry_Litterbag Placem_Collection'!$S46)),"YES","NO")</f>
        <v>NO</v>
      </c>
      <c r="AE119" s="245" t="str">
        <f>IF(ISNUMBER(SEARCH("R", 'Dry_Litterbag Placem_Collection'!$S46)),"YES","NO")</f>
        <v>NO</v>
      </c>
    </row>
    <row r="120" spans="2:31">
      <c r="B120" t="str">
        <f>Dryseason!B46</f>
        <v>Dry</v>
      </c>
      <c r="C120" s="253">
        <f>Dryseason!C46</f>
        <v>45</v>
      </c>
      <c r="D120" t="s">
        <v>3108</v>
      </c>
      <c r="E120" t="s">
        <v>22</v>
      </c>
      <c r="F120" s="375">
        <v>5</v>
      </c>
      <c r="G120" s="16">
        <f>IF('Dry_Litterbag Placem_Collection'!E47="","",'Dry_Litterbag Placem_Collection'!E47)</f>
        <v>42938</v>
      </c>
      <c r="H120" t="str">
        <f>Dryseason!L46</f>
        <v>G480</v>
      </c>
      <c r="I120" t="str">
        <f>Dryseason!L266</f>
        <v>R827</v>
      </c>
      <c r="J120">
        <f>IFERROR(INDEX('Green_rooibos initial weight'!$C$5:$C$2000,MATCH(H120, 'Green_rooibos initial weight'!$A$5:$A$2000,0)),"")</f>
        <v>1.9850000000000001</v>
      </c>
      <c r="K120">
        <f>IFERROR(INDEX('Green_rooibos initial weight'!$C$5:$C$2000,MATCH(I120, 'Green_rooibos initial weight'!$A$5:$A$2000,0)),"")</f>
        <v>2.222</v>
      </c>
      <c r="L120" s="194">
        <f t="shared" si="1"/>
        <v>1.7352000000000001</v>
      </c>
      <c r="M120" s="233">
        <f>AVERAGE(Ashed_controlls!$K$1:$K$11)</f>
        <v>5.5147656768714146</v>
      </c>
      <c r="N120" s="194">
        <f t="shared" si="0"/>
        <v>1.9722</v>
      </c>
      <c r="O120" s="16">
        <f>IF('Dry_Litterbag Placem_Collection'!G47="","",'Dry_Litterbag Placem_Collection'!G47)</f>
        <v>43005</v>
      </c>
      <c r="P120" s="194" t="str">
        <f>IFERROR(INDEX('Both teabags AfterDry'!$D$3:$D$2000,MATCH(H120,'Both teabags AfterDry'!$A$3:$A$2000,0)),"")</f>
        <v/>
      </c>
      <c r="Q120" s="194" t="str">
        <f>IFERROR(INDEX('Both teabags AfterDry'!$D$3:$D$2000,MATCH(I120,'Both teabags AfterDry'!$A$3:$A$2000,0)),"")</f>
        <v/>
      </c>
      <c r="R120" s="194" t="str">
        <f t="shared" si="2"/>
        <v/>
      </c>
      <c r="S120" s="194" t="str">
        <f t="shared" si="2"/>
        <v/>
      </c>
      <c r="T120" s="194" t="str">
        <f t="shared" si="3"/>
        <v/>
      </c>
      <c r="U120" s="194" t="str">
        <f t="shared" si="4"/>
        <v/>
      </c>
      <c r="V120" s="194" t="str">
        <f t="shared" si="5"/>
        <v/>
      </c>
      <c r="W120">
        <f t="shared" si="6"/>
        <v>67</v>
      </c>
      <c r="X120" s="194" t="str">
        <f t="shared" si="7"/>
        <v/>
      </c>
      <c r="Y120" s="194" t="str">
        <f t="shared" si="8"/>
        <v/>
      </c>
      <c r="Z120" s="245" t="str">
        <f>IF(ISNUMBER(SEARCH("C", 'Dry_Litterbag Placem_Collection'!$T47)),"YES","NO")</f>
        <v>YES</v>
      </c>
      <c r="AA120" s="245" t="str">
        <f>IF(ISNUMBER(SEARCH("H", 'Dry_Litterbag Placem_Collection'!$T47)),"YES","NO")</f>
        <v>YES</v>
      </c>
      <c r="AB120" s="245" t="str">
        <f>IF(ISNUMBER(SEARCH("R", 'Dry_Litterbag Placem_Collection'!$T47)),"YES","NO")</f>
        <v>NO</v>
      </c>
      <c r="AC120" s="245" t="str">
        <f>IF(ISNUMBER(SEARCH("C", 'Dry_Litterbag Placem_Collection'!$S47)),"YES","NO")</f>
        <v>YES</v>
      </c>
      <c r="AD120" s="245" t="str">
        <f>IF(ISNUMBER(SEARCH("H", 'Dry_Litterbag Placem_Collection'!$S47)),"YES","NO")</f>
        <v>YES</v>
      </c>
      <c r="AE120" s="245" t="str">
        <f>IF(ISNUMBER(SEARCH("R", 'Dry_Litterbag Placem_Collection'!$S47)),"YES","NO")</f>
        <v>NO</v>
      </c>
    </row>
    <row r="121" spans="2:31">
      <c r="B121" t="str">
        <f>Dryseason!B47</f>
        <v>Dry</v>
      </c>
      <c r="C121" s="253">
        <f>Dryseason!C47</f>
        <v>46</v>
      </c>
      <c r="D121" t="s">
        <v>3108</v>
      </c>
      <c r="E121" t="s">
        <v>22</v>
      </c>
      <c r="F121" s="375">
        <v>6</v>
      </c>
      <c r="G121" s="16" t="str">
        <f>IF('Dry_Litterbag Placem_Collection'!E48="","",'Dry_Litterbag Placem_Collection'!E48)</f>
        <v/>
      </c>
      <c r="H121" t="str">
        <f>Dryseason!L47</f>
        <v/>
      </c>
      <c r="I121" t="str">
        <f>Dryseason!L267</f>
        <v/>
      </c>
      <c r="J121" t="str">
        <f>IFERROR(INDEX('Green_rooibos initial weight'!$C$5:$C$2000,MATCH(H121, 'Green_rooibos initial weight'!$A$5:$A$2000,0)),"")</f>
        <v/>
      </c>
      <c r="K121" t="str">
        <f>IFERROR(INDEX('Green_rooibos initial weight'!$C$5:$C$2000,MATCH(I121, 'Green_rooibos initial weight'!$A$5:$A$2000,0)),"")</f>
        <v/>
      </c>
      <c r="L121" s="194" t="str">
        <f t="shared" si="1"/>
        <v/>
      </c>
      <c r="M121" s="233">
        <f>AVERAGE(Ashed_controlls!$K$1:$K$11)</f>
        <v>5.5147656768714146</v>
      </c>
      <c r="N121" s="194" t="str">
        <f t="shared" si="0"/>
        <v/>
      </c>
      <c r="O121" s="16" t="str">
        <f>IF('Dry_Litterbag Placem_Collection'!G48="","",'Dry_Litterbag Placem_Collection'!G48)</f>
        <v/>
      </c>
      <c r="P121" s="194" t="str">
        <f>IFERROR(INDEX('Both teabags AfterDry'!$D$3:$D$2000,MATCH(H121,'Both teabags AfterDry'!$A$3:$A$2000,0)),"")</f>
        <v/>
      </c>
      <c r="Q121" s="194" t="str">
        <f>IFERROR(INDEX('Both teabags AfterDry'!$D$3:$D$2000,MATCH(I121,'Both teabags AfterDry'!$A$3:$A$2000,0)),"")</f>
        <v/>
      </c>
      <c r="R121" s="194" t="str">
        <f t="shared" si="2"/>
        <v/>
      </c>
      <c r="S121" s="194" t="str">
        <f t="shared" si="2"/>
        <v/>
      </c>
      <c r="T121" s="194" t="str">
        <f t="shared" si="3"/>
        <v/>
      </c>
      <c r="U121" s="194" t="str">
        <f t="shared" si="4"/>
        <v/>
      </c>
      <c r="V121" s="194" t="str">
        <f t="shared" si="5"/>
        <v/>
      </c>
      <c r="W121" t="str">
        <f t="shared" si="6"/>
        <v/>
      </c>
      <c r="X121" s="194" t="str">
        <f t="shared" si="7"/>
        <v/>
      </c>
      <c r="Y121" s="194" t="str">
        <f t="shared" si="8"/>
        <v/>
      </c>
      <c r="Z121" s="245" t="str">
        <f>IF(ISNUMBER(SEARCH("C", 'Dry_Litterbag Placem_Collection'!$T48)),"YES","NO")</f>
        <v>NO</v>
      </c>
      <c r="AA121" s="245" t="str">
        <f>IF(ISNUMBER(SEARCH("H", 'Dry_Litterbag Placem_Collection'!$T48)),"YES","NO")</f>
        <v>NO</v>
      </c>
      <c r="AB121" s="245" t="str">
        <f>IF(ISNUMBER(SEARCH("R", 'Dry_Litterbag Placem_Collection'!$T48)),"YES","NO")</f>
        <v>NO</v>
      </c>
      <c r="AC121" s="245" t="str">
        <f>IF(ISNUMBER(SEARCH("C", 'Dry_Litterbag Placem_Collection'!$S48)),"YES","NO")</f>
        <v>NO</v>
      </c>
      <c r="AD121" s="245" t="str">
        <f>IF(ISNUMBER(SEARCH("H", 'Dry_Litterbag Placem_Collection'!$S48)),"YES","NO")</f>
        <v>NO</v>
      </c>
      <c r="AE121" s="245" t="str">
        <f>IF(ISNUMBER(SEARCH("R", 'Dry_Litterbag Placem_Collection'!$S48)),"YES","NO")</f>
        <v>NO</v>
      </c>
    </row>
    <row r="122" spans="2:31">
      <c r="B122" t="str">
        <f>Dryseason!B48</f>
        <v>Dry</v>
      </c>
      <c r="C122" s="253">
        <f>Dryseason!C48</f>
        <v>47</v>
      </c>
      <c r="D122" t="s">
        <v>3108</v>
      </c>
      <c r="E122" t="s">
        <v>22</v>
      </c>
      <c r="F122" s="375">
        <v>7</v>
      </c>
      <c r="G122" s="16">
        <f>IF('Dry_Litterbag Placem_Collection'!E49="","",'Dry_Litterbag Placem_Collection'!E49)</f>
        <v>42938</v>
      </c>
      <c r="H122" t="str">
        <f>Dryseason!L48</f>
        <v>G110</v>
      </c>
      <c r="I122" t="str">
        <f>Dryseason!L268</f>
        <v>R831</v>
      </c>
      <c r="J122">
        <f>IFERROR(INDEX('Green_rooibos initial weight'!$C$5:$C$2000,MATCH(H122, 'Green_rooibos initial weight'!$A$5:$A$2000,0)),"")</f>
        <v>2.093</v>
      </c>
      <c r="K122">
        <f>IFERROR(INDEX('Green_rooibos initial weight'!$C$5:$C$2000,MATCH(I122, 'Green_rooibos initial weight'!$A$5:$A$2000,0)),"")</f>
        <v>2.2410000000000001</v>
      </c>
      <c r="L122" s="194">
        <f t="shared" si="1"/>
        <v>1.8431999999999999</v>
      </c>
      <c r="M122" s="233">
        <f>AVERAGE(Ashed_controlls!$K$1:$K$11)</f>
        <v>5.5147656768714146</v>
      </c>
      <c r="N122" s="194">
        <f t="shared" si="0"/>
        <v>1.9912000000000001</v>
      </c>
      <c r="O122" s="16">
        <f>IF('Dry_Litterbag Placem_Collection'!G49="","",'Dry_Litterbag Placem_Collection'!G49)</f>
        <v>43005</v>
      </c>
      <c r="P122" s="194">
        <f>IFERROR(INDEX('Both teabags AfterDry'!$D$3:$D$2000,MATCH(H122,'Both teabags AfterDry'!$A$3:$A$2000,0)),"")</f>
        <v>1.8372999999999999</v>
      </c>
      <c r="Q122" s="194">
        <f>IFERROR(INDEX('Both teabags AfterDry'!$D$3:$D$2000,MATCH(I122,'Both teabags AfterDry'!$A$3:$A$2000,0)),"")</f>
        <v>1.9105000000000001</v>
      </c>
      <c r="R122" s="194">
        <f t="shared" si="2"/>
        <v>1.6866999999999999</v>
      </c>
      <c r="S122" s="194">
        <f t="shared" si="2"/>
        <v>1.7599</v>
      </c>
      <c r="T122" s="194">
        <f t="shared" si="3"/>
        <v>8.490668402777779E-2</v>
      </c>
      <c r="U122" s="194">
        <f t="shared" si="4"/>
        <v>5.5663289291369794E-2</v>
      </c>
      <c r="V122" s="194">
        <f t="shared" si="5"/>
        <v>0.88383889112093206</v>
      </c>
      <c r="W122">
        <f t="shared" si="6"/>
        <v>67</v>
      </c>
      <c r="X122" s="194">
        <f t="shared" si="7"/>
        <v>0.89916070780548951</v>
      </c>
      <c r="Y122" s="194" t="str">
        <f t="shared" si="8"/>
        <v/>
      </c>
      <c r="Z122" s="245" t="str">
        <f>IF(ISNUMBER(SEARCH("C", 'Dry_Litterbag Placem_Collection'!$T49)),"YES","NO")</f>
        <v>NO</v>
      </c>
      <c r="AA122" s="245" t="str">
        <f>IF(ISNUMBER(SEARCH("H", 'Dry_Litterbag Placem_Collection'!$T49)),"YES","NO")</f>
        <v>YES</v>
      </c>
      <c r="AB122" s="245" t="str">
        <f>IF(ISNUMBER(SEARCH("R", 'Dry_Litterbag Placem_Collection'!$T49)),"YES","NO")</f>
        <v>NO</v>
      </c>
      <c r="AC122" s="245" t="str">
        <f>IF(ISNUMBER(SEARCH("C", 'Dry_Litterbag Placem_Collection'!$S49)),"YES","NO")</f>
        <v>NO</v>
      </c>
      <c r="AD122" s="245" t="str">
        <f>IF(ISNUMBER(SEARCH("H", 'Dry_Litterbag Placem_Collection'!$S49)),"YES","NO")</f>
        <v>NO</v>
      </c>
      <c r="AE122" s="245" t="str">
        <f>IF(ISNUMBER(SEARCH("R", 'Dry_Litterbag Placem_Collection'!$S49)),"YES","NO")</f>
        <v>NO</v>
      </c>
    </row>
    <row r="123" spans="2:31">
      <c r="B123" t="str">
        <f>Dryseason!B49</f>
        <v>Dry</v>
      </c>
      <c r="C123" s="253">
        <f>Dryseason!C49</f>
        <v>48</v>
      </c>
      <c r="D123" t="s">
        <v>3108</v>
      </c>
      <c r="E123" t="s">
        <v>22</v>
      </c>
      <c r="F123" s="375">
        <v>8</v>
      </c>
      <c r="G123" s="16">
        <f>IF('Dry_Litterbag Placem_Collection'!E50="","",'Dry_Litterbag Placem_Collection'!E50)</f>
        <v>42938</v>
      </c>
      <c r="H123" t="str">
        <f>Dryseason!L49</f>
        <v>G233</v>
      </c>
      <c r="I123" t="str">
        <f>Dryseason!L269</f>
        <v>R828</v>
      </c>
      <c r="J123">
        <f>IFERROR(INDEX('Green_rooibos initial weight'!$C$5:$C$2000,MATCH(H123, 'Green_rooibos initial weight'!$A$5:$A$2000,0)),"")</f>
        <v>1.9490000000000001</v>
      </c>
      <c r="K123">
        <f>IFERROR(INDEX('Green_rooibos initial weight'!$C$5:$C$2000,MATCH(I123, 'Green_rooibos initial weight'!$A$5:$A$2000,0)),"")</f>
        <v>2.2330000000000001</v>
      </c>
      <c r="L123" s="194">
        <f t="shared" si="1"/>
        <v>1.6992</v>
      </c>
      <c r="M123" s="233">
        <f>AVERAGE(Ashed_controlls!$K$1:$K$11)</f>
        <v>5.5147656768714146</v>
      </c>
      <c r="N123" s="194">
        <f t="shared" si="0"/>
        <v>1.9832000000000001</v>
      </c>
      <c r="O123" s="16">
        <f>IF('Dry_Litterbag Placem_Collection'!G50="","",'Dry_Litterbag Placem_Collection'!G50)</f>
        <v>43005</v>
      </c>
      <c r="P123" s="194">
        <f>IFERROR(INDEX('Both teabags AfterDry'!$D$3:$D$2000,MATCH(H123,'Both teabags AfterDry'!$A$3:$A$2000,0)),"")</f>
        <v>1.6727000000000001</v>
      </c>
      <c r="Q123" s="194">
        <f>IFERROR(INDEX('Both teabags AfterDry'!$D$3:$D$2000,MATCH(I123,'Both teabags AfterDry'!$A$3:$A$2000,0)),"")</f>
        <v>1.7596000000000001</v>
      </c>
      <c r="R123" s="194">
        <f t="shared" si="2"/>
        <v>1.5221</v>
      </c>
      <c r="S123" s="194">
        <f t="shared" si="2"/>
        <v>1.609</v>
      </c>
      <c r="T123" s="194">
        <f t="shared" si="3"/>
        <v>0.10422551789077217</v>
      </c>
      <c r="U123" s="194">
        <f t="shared" si="4"/>
        <v>6.8328368023404099E-2</v>
      </c>
      <c r="V123" s="194">
        <f t="shared" si="5"/>
        <v>0.81131504638967322</v>
      </c>
      <c r="W123">
        <f t="shared" si="6"/>
        <v>67</v>
      </c>
      <c r="X123" s="194">
        <f t="shared" si="7"/>
        <v>0.87621672459528244</v>
      </c>
      <c r="Y123" s="194" t="str">
        <f t="shared" si="8"/>
        <v/>
      </c>
      <c r="Z123" s="245" t="str">
        <f>IF(ISNUMBER(SEARCH("C", 'Dry_Litterbag Placem_Collection'!$T50)),"YES","NO")</f>
        <v>NO</v>
      </c>
      <c r="AA123" s="245" t="str">
        <f>IF(ISNUMBER(SEARCH("H", 'Dry_Litterbag Placem_Collection'!$T50)),"YES","NO")</f>
        <v>NO</v>
      </c>
      <c r="AB123" s="245" t="str">
        <f>IF(ISNUMBER(SEARCH("R", 'Dry_Litterbag Placem_Collection'!$T50)),"YES","NO")</f>
        <v>NO</v>
      </c>
      <c r="AC123" s="245" t="str">
        <f>IF(ISNUMBER(SEARCH("C", 'Dry_Litterbag Placem_Collection'!$S50)),"YES","NO")</f>
        <v>NO</v>
      </c>
      <c r="AD123" s="245" t="str">
        <f>IF(ISNUMBER(SEARCH("H", 'Dry_Litterbag Placem_Collection'!$S50)),"YES","NO")</f>
        <v>NO</v>
      </c>
      <c r="AE123" s="245" t="str">
        <f>IF(ISNUMBER(SEARCH("R", 'Dry_Litterbag Placem_Collection'!$S50)),"YES","NO")</f>
        <v>NO</v>
      </c>
    </row>
    <row r="124" spans="2:31">
      <c r="B124" t="str">
        <f>Dryseason!B50</f>
        <v>Dry</v>
      </c>
      <c r="C124" s="253">
        <f>Dryseason!C50</f>
        <v>49</v>
      </c>
      <c r="D124" t="s">
        <v>3109</v>
      </c>
      <c r="E124" t="s">
        <v>22</v>
      </c>
      <c r="F124" s="374">
        <v>1</v>
      </c>
      <c r="G124" s="16">
        <f>IF('Dry_Litterbag Placem_Collection'!E51="","",'Dry_Litterbag Placem_Collection'!E51)</f>
        <v>42938</v>
      </c>
      <c r="H124" t="str">
        <f>Dryseason!L50</f>
        <v>G54</v>
      </c>
      <c r="I124" t="str">
        <f>Dryseason!L270</f>
        <v>R805</v>
      </c>
      <c r="J124">
        <f>IFERROR(INDEX('Green_rooibos initial weight'!$C$5:$C$2000,MATCH(H124, 'Green_rooibos initial weight'!$A$5:$A$2000,0)),"")</f>
        <v>2.0539999999999998</v>
      </c>
      <c r="K124">
        <f>IFERROR(INDEX('Green_rooibos initial weight'!$C$5:$C$2000,MATCH(I124, 'Green_rooibos initial weight'!$A$5:$A$2000,0)),"")</f>
        <v>2.2469999999999999</v>
      </c>
      <c r="L124" s="194">
        <f t="shared" si="1"/>
        <v>1.8041999999999998</v>
      </c>
      <c r="M124" s="233">
        <f>AVERAGE(Ashed_controlls!$K$1:$K$11)</f>
        <v>5.5147656768714146</v>
      </c>
      <c r="N124" s="194">
        <f t="shared" si="0"/>
        <v>1.9971999999999999</v>
      </c>
      <c r="O124" s="16">
        <f>IF('Dry_Litterbag Placem_Collection'!G51="","",'Dry_Litterbag Placem_Collection'!G51)</f>
        <v>43005</v>
      </c>
      <c r="P124" s="194" t="str">
        <f>IFERROR(INDEX('Both teabags AfterDry'!$D$3:$D$2000,MATCH(H124,'Both teabags AfterDry'!$A$3:$A$2000,0)),"")</f>
        <v/>
      </c>
      <c r="Q124" s="194" t="str">
        <f>IFERROR(INDEX('Both teabags AfterDry'!$D$3:$D$2000,MATCH(I124,'Both teabags AfterDry'!$A$3:$A$2000,0)),"")</f>
        <v/>
      </c>
      <c r="R124" s="194" t="str">
        <f t="shared" si="2"/>
        <v/>
      </c>
      <c r="S124" s="194" t="str">
        <f t="shared" si="2"/>
        <v/>
      </c>
      <c r="T124" s="194" t="str">
        <f t="shared" si="3"/>
        <v/>
      </c>
      <c r="U124" s="194" t="str">
        <f t="shared" si="4"/>
        <v/>
      </c>
      <c r="V124" s="194" t="str">
        <f t="shared" si="5"/>
        <v/>
      </c>
      <c r="W124">
        <f t="shared" si="6"/>
        <v>67</v>
      </c>
      <c r="X124" s="194" t="str">
        <f t="shared" si="7"/>
        <v/>
      </c>
      <c r="Y124" s="194" t="str">
        <f t="shared" si="8"/>
        <v/>
      </c>
      <c r="Z124" s="245" t="str">
        <f>IF(ISNUMBER(SEARCH("C", 'Dry_Litterbag Placem_Collection'!$T51)),"YES","NO")</f>
        <v>NO</v>
      </c>
      <c r="AA124" s="245" t="str">
        <f>IF(ISNUMBER(SEARCH("H", 'Dry_Litterbag Placem_Collection'!$T51)),"YES","NO")</f>
        <v>NO</v>
      </c>
      <c r="AB124" s="245" t="str">
        <f>IF(ISNUMBER(SEARCH("R", 'Dry_Litterbag Placem_Collection'!$T51)),"YES","NO")</f>
        <v>NO</v>
      </c>
      <c r="AC124" s="245" t="str">
        <f>IF(ISNUMBER(SEARCH("C", 'Dry_Litterbag Placem_Collection'!$S51)),"YES","NO")</f>
        <v>NO</v>
      </c>
      <c r="AD124" s="245" t="str">
        <f>IF(ISNUMBER(SEARCH("H", 'Dry_Litterbag Placem_Collection'!$S51)),"YES","NO")</f>
        <v>NO</v>
      </c>
      <c r="AE124" s="245" t="str">
        <f>IF(ISNUMBER(SEARCH("R", 'Dry_Litterbag Placem_Collection'!$S51)),"YES","NO")</f>
        <v>NO</v>
      </c>
    </row>
    <row r="125" spans="2:31">
      <c r="B125" t="str">
        <f>Dryseason!B51</f>
        <v>Dry</v>
      </c>
      <c r="C125" s="253">
        <f>Dryseason!C51</f>
        <v>50</v>
      </c>
      <c r="D125" t="s">
        <v>3109</v>
      </c>
      <c r="E125" t="s">
        <v>22</v>
      </c>
      <c r="F125" s="374">
        <v>2</v>
      </c>
      <c r="G125" s="16">
        <f>IF('Dry_Litterbag Placem_Collection'!E52="","",'Dry_Litterbag Placem_Collection'!E52)</f>
        <v>42938</v>
      </c>
      <c r="H125" t="str">
        <f>Dryseason!L51</f>
        <v>G276</v>
      </c>
      <c r="I125" t="str">
        <f>Dryseason!L271</f>
        <v>R754</v>
      </c>
      <c r="J125">
        <f>IFERROR(INDEX('Green_rooibos initial weight'!$C$5:$C$2000,MATCH(H125, 'Green_rooibos initial weight'!$A$5:$A$2000,0)),"")</f>
        <v>1.966</v>
      </c>
      <c r="K125">
        <f>IFERROR(INDEX('Green_rooibos initial weight'!$C$5:$C$2000,MATCH(I125, 'Green_rooibos initial weight'!$A$5:$A$2000,0)),"")</f>
        <v>2.2069999999999999</v>
      </c>
      <c r="L125" s="194">
        <f t="shared" si="1"/>
        <v>1.7161999999999999</v>
      </c>
      <c r="M125" s="233">
        <f>AVERAGE(Ashed_controlls!$K$1:$K$11)</f>
        <v>5.5147656768714146</v>
      </c>
      <c r="N125" s="194">
        <f t="shared" si="0"/>
        <v>1.9571999999999998</v>
      </c>
      <c r="O125" s="16" t="str">
        <f>IF('Dry_Litterbag Placem_Collection'!G52="","",'Dry_Litterbag Placem_Collection'!G52)</f>
        <v/>
      </c>
      <c r="P125" s="194" t="str">
        <f>IFERROR(INDEX('Both teabags AfterDry'!$D$3:$D$2000,MATCH(H125,'Both teabags AfterDry'!$A$3:$A$2000,0)),"")</f>
        <v/>
      </c>
      <c r="Q125" s="194" t="str">
        <f>IFERROR(INDEX('Both teabags AfterDry'!$D$3:$D$2000,MATCH(I125,'Both teabags AfterDry'!$A$3:$A$2000,0)),"")</f>
        <v/>
      </c>
      <c r="R125" s="194" t="str">
        <f t="shared" si="2"/>
        <v/>
      </c>
      <c r="S125" s="194" t="str">
        <f t="shared" si="2"/>
        <v/>
      </c>
      <c r="T125" s="194" t="str">
        <f t="shared" si="3"/>
        <v/>
      </c>
      <c r="U125" s="194" t="str">
        <f t="shared" si="4"/>
        <v/>
      </c>
      <c r="V125" s="194" t="str">
        <f t="shared" si="5"/>
        <v/>
      </c>
      <c r="W125" t="str">
        <f t="shared" si="6"/>
        <v/>
      </c>
      <c r="X125" s="194" t="str">
        <f t="shared" si="7"/>
        <v/>
      </c>
      <c r="Y125" s="194" t="str">
        <f t="shared" si="8"/>
        <v/>
      </c>
      <c r="Z125" s="245" t="str">
        <f>IF(ISNUMBER(SEARCH("C", 'Dry_Litterbag Placem_Collection'!$T52)),"YES","NO")</f>
        <v>NO</v>
      </c>
      <c r="AA125" s="245" t="str">
        <f>IF(ISNUMBER(SEARCH("H", 'Dry_Litterbag Placem_Collection'!$T52)),"YES","NO")</f>
        <v>NO</v>
      </c>
      <c r="AB125" s="245" t="str">
        <f>IF(ISNUMBER(SEARCH("R", 'Dry_Litterbag Placem_Collection'!$T52)),"YES","NO")</f>
        <v>NO</v>
      </c>
      <c r="AC125" s="245" t="str">
        <f>IF(ISNUMBER(SEARCH("C", 'Dry_Litterbag Placem_Collection'!$S52)),"YES","NO")</f>
        <v>NO</v>
      </c>
      <c r="AD125" s="245" t="str">
        <f>IF(ISNUMBER(SEARCH("H", 'Dry_Litterbag Placem_Collection'!$S52)),"YES","NO")</f>
        <v>NO</v>
      </c>
      <c r="AE125" s="245" t="str">
        <f>IF(ISNUMBER(SEARCH("R", 'Dry_Litterbag Placem_Collection'!$S52)),"YES","NO")</f>
        <v>NO</v>
      </c>
    </row>
    <row r="126" spans="2:31">
      <c r="B126" t="str">
        <f>Dryseason!B52</f>
        <v>Dry</v>
      </c>
      <c r="C126" s="253">
        <f>Dryseason!C52</f>
        <v>51</v>
      </c>
      <c r="D126" t="s">
        <v>3109</v>
      </c>
      <c r="E126" t="s">
        <v>22</v>
      </c>
      <c r="F126" s="374">
        <v>3</v>
      </c>
      <c r="G126" s="16">
        <f>IF('Dry_Litterbag Placem_Collection'!E53="","",'Dry_Litterbag Placem_Collection'!E53)</f>
        <v>42938</v>
      </c>
      <c r="H126" t="str">
        <f>Dryseason!L52</f>
        <v>G227</v>
      </c>
      <c r="I126" t="str">
        <f>Dryseason!L272</f>
        <v>R798</v>
      </c>
      <c r="J126">
        <f>IFERROR(INDEX('Green_rooibos initial weight'!$C$5:$C$2000,MATCH(H126, 'Green_rooibos initial weight'!$A$5:$A$2000,0)),"")</f>
        <v>1.986</v>
      </c>
      <c r="K126">
        <f>IFERROR(INDEX('Green_rooibos initial weight'!$C$5:$C$2000,MATCH(I126, 'Green_rooibos initial weight'!$A$5:$A$2000,0)),"")</f>
        <v>2.1850000000000001</v>
      </c>
      <c r="L126" s="194">
        <f t="shared" si="1"/>
        <v>1.7362</v>
      </c>
      <c r="M126" s="233">
        <f>AVERAGE(Ashed_controlls!$K$1:$K$11)</f>
        <v>5.5147656768714146</v>
      </c>
      <c r="N126" s="194">
        <f t="shared" si="0"/>
        <v>1.9352</v>
      </c>
      <c r="O126" s="16">
        <f>IF('Dry_Litterbag Placem_Collection'!G53="","",'Dry_Litterbag Placem_Collection'!G53)</f>
        <v>43005</v>
      </c>
      <c r="P126" s="194">
        <f>IFERROR(INDEX('Both teabags AfterDry'!$D$3:$D$2000,MATCH(H126,'Both teabags AfterDry'!$A$3:$A$2000,0)),"")</f>
        <v>1.7715000000000001</v>
      </c>
      <c r="Q126" s="194">
        <f>IFERROR(INDEX('Both teabags AfterDry'!$D$3:$D$2000,MATCH(I126,'Both teabags AfterDry'!$A$3:$A$2000,0)),"")</f>
        <v>1.8956999999999999</v>
      </c>
      <c r="R126" s="194">
        <f t="shared" si="2"/>
        <v>1.6209</v>
      </c>
      <c r="S126" s="194">
        <f t="shared" si="2"/>
        <v>1.7450999999999999</v>
      </c>
      <c r="T126" s="194">
        <f t="shared" si="3"/>
        <v>6.6409399838728289E-2</v>
      </c>
      <c r="U126" s="194">
        <f t="shared" si="4"/>
        <v>4.353680369474823E-2</v>
      </c>
      <c r="V126" s="194">
        <f t="shared" si="5"/>
        <v>0.90176725919801559</v>
      </c>
      <c r="W126">
        <f t="shared" si="6"/>
        <v>67</v>
      </c>
      <c r="X126" s="194">
        <f t="shared" si="7"/>
        <v>0.92112897881386191</v>
      </c>
      <c r="Y126" s="194" t="str">
        <f t="shared" si="8"/>
        <v/>
      </c>
      <c r="Z126" s="245" t="str">
        <f>IF(ISNUMBER(SEARCH("C", 'Dry_Litterbag Placem_Collection'!$T53)),"YES","NO")</f>
        <v>NO</v>
      </c>
      <c r="AA126" s="245" t="str">
        <f>IF(ISNUMBER(SEARCH("H", 'Dry_Litterbag Placem_Collection'!$T53)),"YES","NO")</f>
        <v>NO</v>
      </c>
      <c r="AB126" s="245" t="str">
        <f>IF(ISNUMBER(SEARCH("R", 'Dry_Litterbag Placem_Collection'!$T53)),"YES","NO")</f>
        <v>NO</v>
      </c>
      <c r="AC126" s="245" t="str">
        <f>IF(ISNUMBER(SEARCH("C", 'Dry_Litterbag Placem_Collection'!$S53)),"YES","NO")</f>
        <v>NO</v>
      </c>
      <c r="AD126" s="245" t="str">
        <f>IF(ISNUMBER(SEARCH("H", 'Dry_Litterbag Placem_Collection'!$S53)),"YES","NO")</f>
        <v>NO</v>
      </c>
      <c r="AE126" s="245" t="str">
        <f>IF(ISNUMBER(SEARCH("R", 'Dry_Litterbag Placem_Collection'!$S53)),"YES","NO")</f>
        <v>NO</v>
      </c>
    </row>
    <row r="127" spans="2:31">
      <c r="B127" t="str">
        <f>Dryseason!B53</f>
        <v>Dry</v>
      </c>
      <c r="C127" s="253">
        <f>Dryseason!C53</f>
        <v>52</v>
      </c>
      <c r="D127" t="s">
        <v>3109</v>
      </c>
      <c r="E127" t="s">
        <v>22</v>
      </c>
      <c r="F127" s="375">
        <v>4</v>
      </c>
      <c r="G127" s="16">
        <f>IF('Dry_Litterbag Placem_Collection'!E54="","",'Dry_Litterbag Placem_Collection'!E54)</f>
        <v>42938</v>
      </c>
      <c r="H127" t="str">
        <f>Dryseason!L53</f>
        <v>G237</v>
      </c>
      <c r="I127" t="str">
        <f>Dryseason!L273</f>
        <v>R833</v>
      </c>
      <c r="J127">
        <f>IFERROR(INDEX('Green_rooibos initial weight'!$C$5:$C$2000,MATCH(H127, 'Green_rooibos initial weight'!$A$5:$A$2000,0)),"")</f>
        <v>1.988</v>
      </c>
      <c r="K127">
        <f>IFERROR(INDEX('Green_rooibos initial weight'!$C$5:$C$2000,MATCH(I127, 'Green_rooibos initial weight'!$A$5:$A$2000,0)),"")</f>
        <v>2.218</v>
      </c>
      <c r="L127" s="194">
        <f t="shared" si="1"/>
        <v>1.7382</v>
      </c>
      <c r="M127" s="233">
        <f>AVERAGE(Ashed_controlls!$K$1:$K$11)</f>
        <v>5.5147656768714146</v>
      </c>
      <c r="N127" s="194">
        <f t="shared" si="0"/>
        <v>1.9681999999999999</v>
      </c>
      <c r="O127" s="16">
        <f>IF('Dry_Litterbag Placem_Collection'!G54="","",'Dry_Litterbag Placem_Collection'!G54)</f>
        <v>43005</v>
      </c>
      <c r="P127" s="194">
        <f>IFERROR(INDEX('Both teabags AfterDry'!$D$3:$D$2000,MATCH(H127,'Both teabags AfterDry'!$A$3:$A$2000,0)),"")</f>
        <v>1.8220000000000001</v>
      </c>
      <c r="Q127" s="194">
        <f>IFERROR(INDEX('Both teabags AfterDry'!$D$3:$D$2000,MATCH(I127,'Both teabags AfterDry'!$A$3:$A$2000,0)),"")</f>
        <v>1.9791000000000001</v>
      </c>
      <c r="R127" s="194">
        <f t="shared" si="2"/>
        <v>1.6714</v>
      </c>
      <c r="S127" s="194">
        <f t="shared" si="2"/>
        <v>1.8285</v>
      </c>
      <c r="T127" s="194">
        <f t="shared" si="3"/>
        <v>3.8430560349787091E-2</v>
      </c>
      <c r="U127" s="194">
        <f t="shared" si="4"/>
        <v>2.5194381606986324E-2</v>
      </c>
      <c r="V127" s="194">
        <f t="shared" si="5"/>
        <v>0.92902144091047656</v>
      </c>
      <c r="W127">
        <f t="shared" si="6"/>
        <v>67</v>
      </c>
      <c r="X127" s="194">
        <f t="shared" si="7"/>
        <v>0.95435800433516971</v>
      </c>
      <c r="Y127" s="194" t="str">
        <f t="shared" si="8"/>
        <v/>
      </c>
      <c r="Z127" s="245" t="str">
        <f>IF(ISNUMBER(SEARCH("C", 'Dry_Litterbag Placem_Collection'!$T54)),"YES","NO")</f>
        <v>NO</v>
      </c>
      <c r="AA127" s="245" t="str">
        <f>IF(ISNUMBER(SEARCH("H", 'Dry_Litterbag Placem_Collection'!$T54)),"YES","NO")</f>
        <v>NO</v>
      </c>
      <c r="AB127" s="245" t="str">
        <f>IF(ISNUMBER(SEARCH("R", 'Dry_Litterbag Placem_Collection'!$T54)),"YES","NO")</f>
        <v>NO</v>
      </c>
      <c r="AC127" s="245" t="str">
        <f>IF(ISNUMBER(SEARCH("C", 'Dry_Litterbag Placem_Collection'!$S54)),"YES","NO")</f>
        <v>NO</v>
      </c>
      <c r="AD127" s="245" t="str">
        <f>IF(ISNUMBER(SEARCH("H", 'Dry_Litterbag Placem_Collection'!$S54)),"YES","NO")</f>
        <v>NO</v>
      </c>
      <c r="AE127" s="245" t="str">
        <f>IF(ISNUMBER(SEARCH("R", 'Dry_Litterbag Placem_Collection'!$S54)),"YES","NO")</f>
        <v>NO</v>
      </c>
    </row>
    <row r="128" spans="2:31">
      <c r="B128" t="str">
        <f>Dryseason!B54</f>
        <v>Dry</v>
      </c>
      <c r="C128" s="253">
        <f>Dryseason!C54</f>
        <v>53</v>
      </c>
      <c r="D128" t="s">
        <v>3109</v>
      </c>
      <c r="E128" t="s">
        <v>22</v>
      </c>
      <c r="F128" s="375">
        <v>5</v>
      </c>
      <c r="G128" s="16">
        <f>IF('Dry_Litterbag Placem_Collection'!E55="","",'Dry_Litterbag Placem_Collection'!E55)</f>
        <v>42938</v>
      </c>
      <c r="H128" t="str">
        <f>Dryseason!L54</f>
        <v>G172</v>
      </c>
      <c r="I128" t="str">
        <f>Dryseason!L274</f>
        <v>R734</v>
      </c>
      <c r="J128">
        <f>IFERROR(INDEX('Green_rooibos initial weight'!$C$5:$C$2000,MATCH(H128, 'Green_rooibos initial weight'!$A$5:$A$2000,0)),"")</f>
        <v>1.9870000000000001</v>
      </c>
      <c r="K128">
        <f>IFERROR(INDEX('Green_rooibos initial weight'!$C$5:$C$2000,MATCH(I128, 'Green_rooibos initial weight'!$A$5:$A$2000,0)),"")</f>
        <v>2.1589999999999998</v>
      </c>
      <c r="L128" s="194">
        <f t="shared" si="1"/>
        <v>1.7372000000000001</v>
      </c>
      <c r="M128" s="233">
        <f>AVERAGE(Ashed_controlls!$K$1:$K$11)</f>
        <v>5.5147656768714146</v>
      </c>
      <c r="N128" s="194">
        <f t="shared" si="0"/>
        <v>1.9091999999999998</v>
      </c>
      <c r="O128" s="16">
        <f>IF('Dry_Litterbag Placem_Collection'!G55="","",'Dry_Litterbag Placem_Collection'!G55)</f>
        <v>43005</v>
      </c>
      <c r="P128" s="194">
        <f>IFERROR(INDEX('Both teabags AfterDry'!$D$3:$D$2000,MATCH(H128,'Both teabags AfterDry'!$A$3:$A$2000,0)),"")</f>
        <v>1.8197000000000001</v>
      </c>
      <c r="Q128" s="194">
        <f>IFERROR(INDEX('Both teabags AfterDry'!$D$3:$D$2000,MATCH(I128,'Both teabags AfterDry'!$A$3:$A$2000,0)),"")</f>
        <v>1.8914</v>
      </c>
      <c r="R128" s="194">
        <f t="shared" si="2"/>
        <v>1.6691</v>
      </c>
      <c r="S128" s="194">
        <f t="shared" si="2"/>
        <v>1.7407999999999999</v>
      </c>
      <c r="T128" s="194">
        <f t="shared" si="3"/>
        <v>3.9201013124568251E-2</v>
      </c>
      <c r="U128" s="194">
        <f t="shared" si="4"/>
        <v>2.5699476537721734E-2</v>
      </c>
      <c r="V128" s="194">
        <f t="shared" si="5"/>
        <v>0.91179551644667933</v>
      </c>
      <c r="W128">
        <f t="shared" si="6"/>
        <v>67</v>
      </c>
      <c r="X128" s="194">
        <f t="shared" si="7"/>
        <v>0.95344297728673599</v>
      </c>
      <c r="Y128" s="194" t="str">
        <f t="shared" si="8"/>
        <v/>
      </c>
      <c r="Z128" s="245" t="str">
        <f>IF(ISNUMBER(SEARCH("C", 'Dry_Litterbag Placem_Collection'!$T55)),"YES","NO")</f>
        <v>NO</v>
      </c>
      <c r="AA128" s="245" t="str">
        <f>IF(ISNUMBER(SEARCH("H", 'Dry_Litterbag Placem_Collection'!$T55)),"YES","NO")</f>
        <v>NO</v>
      </c>
      <c r="AB128" s="245" t="str">
        <f>IF(ISNUMBER(SEARCH("R", 'Dry_Litterbag Placem_Collection'!$T55)),"YES","NO")</f>
        <v>NO</v>
      </c>
      <c r="AC128" s="245" t="str">
        <f>IF(ISNUMBER(SEARCH("C", 'Dry_Litterbag Placem_Collection'!$S55)),"YES","NO")</f>
        <v>NO</v>
      </c>
      <c r="AD128" s="245" t="str">
        <f>IF(ISNUMBER(SEARCH("H", 'Dry_Litterbag Placem_Collection'!$S55)),"YES","NO")</f>
        <v>NO</v>
      </c>
      <c r="AE128" s="245" t="str">
        <f>IF(ISNUMBER(SEARCH("R", 'Dry_Litterbag Placem_Collection'!$S55)),"YES","NO")</f>
        <v>NO</v>
      </c>
    </row>
    <row r="129" spans="2:31">
      <c r="B129" t="str">
        <f>Dryseason!B55</f>
        <v>Dry</v>
      </c>
      <c r="C129" s="253">
        <f>Dryseason!C55</f>
        <v>54</v>
      </c>
      <c r="D129" t="s">
        <v>3109</v>
      </c>
      <c r="E129" t="s">
        <v>22</v>
      </c>
      <c r="F129" s="375">
        <v>6</v>
      </c>
      <c r="G129" s="16" t="str">
        <f>IF('Dry_Litterbag Placem_Collection'!E56="","",'Dry_Litterbag Placem_Collection'!E56)</f>
        <v/>
      </c>
      <c r="H129" t="str">
        <f>Dryseason!L55</f>
        <v/>
      </c>
      <c r="I129" t="str">
        <f>Dryseason!L275</f>
        <v/>
      </c>
      <c r="J129" t="str">
        <f>IFERROR(INDEX('Green_rooibos initial weight'!$C$5:$C$2000,MATCH(H129, 'Green_rooibos initial weight'!$A$5:$A$2000,0)),"")</f>
        <v/>
      </c>
      <c r="K129" t="str">
        <f>IFERROR(INDEX('Green_rooibos initial weight'!$C$5:$C$2000,MATCH(I129, 'Green_rooibos initial weight'!$A$5:$A$2000,0)),"")</f>
        <v/>
      </c>
      <c r="L129" s="194" t="str">
        <f t="shared" si="1"/>
        <v/>
      </c>
      <c r="M129" s="233">
        <f>AVERAGE(Ashed_controlls!$K$1:$K$11)</f>
        <v>5.5147656768714146</v>
      </c>
      <c r="N129" s="194" t="str">
        <f t="shared" si="0"/>
        <v/>
      </c>
      <c r="O129" s="16" t="str">
        <f>IF('Dry_Litterbag Placem_Collection'!G56="","",'Dry_Litterbag Placem_Collection'!G56)</f>
        <v/>
      </c>
      <c r="P129" s="194" t="str">
        <f>IFERROR(INDEX('Both teabags AfterDry'!$D$3:$D$2000,MATCH(H129,'Both teabags AfterDry'!$A$3:$A$2000,0)),"")</f>
        <v/>
      </c>
      <c r="Q129" s="194" t="str">
        <f>IFERROR(INDEX('Both teabags AfterDry'!$D$3:$D$2000,MATCH(I129,'Both teabags AfterDry'!$A$3:$A$2000,0)),"")</f>
        <v/>
      </c>
      <c r="R129" s="194" t="str">
        <f t="shared" si="2"/>
        <v/>
      </c>
      <c r="S129" s="194" t="str">
        <f t="shared" si="2"/>
        <v/>
      </c>
      <c r="T129" s="194" t="str">
        <f t="shared" si="3"/>
        <v/>
      </c>
      <c r="U129" s="194" t="str">
        <f t="shared" si="4"/>
        <v/>
      </c>
      <c r="V129" s="194" t="str">
        <f t="shared" si="5"/>
        <v/>
      </c>
      <c r="W129" t="str">
        <f t="shared" si="6"/>
        <v/>
      </c>
      <c r="X129" s="194" t="str">
        <f t="shared" si="7"/>
        <v/>
      </c>
      <c r="Y129" s="194" t="str">
        <f t="shared" si="8"/>
        <v/>
      </c>
      <c r="Z129" s="245" t="str">
        <f>IF(ISNUMBER(SEARCH("C", 'Dry_Litterbag Placem_Collection'!$T56)),"YES","NO")</f>
        <v>NO</v>
      </c>
      <c r="AA129" s="245" t="str">
        <f>IF(ISNUMBER(SEARCH("H", 'Dry_Litterbag Placem_Collection'!$T56)),"YES","NO")</f>
        <v>NO</v>
      </c>
      <c r="AB129" s="245" t="str">
        <f>IF(ISNUMBER(SEARCH("R", 'Dry_Litterbag Placem_Collection'!$T56)),"YES","NO")</f>
        <v>NO</v>
      </c>
      <c r="AC129" s="245" t="str">
        <f>IF(ISNUMBER(SEARCH("C", 'Dry_Litterbag Placem_Collection'!$S56)),"YES","NO")</f>
        <v>NO</v>
      </c>
      <c r="AD129" s="245" t="str">
        <f>IF(ISNUMBER(SEARCH("H", 'Dry_Litterbag Placem_Collection'!$S56)),"YES","NO")</f>
        <v>NO</v>
      </c>
      <c r="AE129" s="245" t="str">
        <f>IF(ISNUMBER(SEARCH("R", 'Dry_Litterbag Placem_Collection'!$S56)),"YES","NO")</f>
        <v>NO</v>
      </c>
    </row>
    <row r="130" spans="2:31">
      <c r="B130" t="str">
        <f>Dryseason!B56</f>
        <v>Dry</v>
      </c>
      <c r="C130" s="253">
        <f>Dryseason!C56</f>
        <v>55</v>
      </c>
      <c r="D130" t="s">
        <v>3109</v>
      </c>
      <c r="E130" t="s">
        <v>22</v>
      </c>
      <c r="F130" s="375">
        <v>7</v>
      </c>
      <c r="G130" s="16">
        <f>IF('Dry_Litterbag Placem_Collection'!E57="","",'Dry_Litterbag Placem_Collection'!E57)</f>
        <v>42938</v>
      </c>
      <c r="H130" t="str">
        <f>Dryseason!L56</f>
        <v>G86</v>
      </c>
      <c r="I130" t="str">
        <f>Dryseason!L276</f>
        <v>R839</v>
      </c>
      <c r="J130">
        <f>IFERROR(INDEX('Green_rooibos initial weight'!$C$5:$C$2000,MATCH(H130, 'Green_rooibos initial weight'!$A$5:$A$2000,0)),"")</f>
        <v>2.1030000000000002</v>
      </c>
      <c r="K130">
        <f>IFERROR(INDEX('Green_rooibos initial weight'!$C$5:$C$2000,MATCH(I130, 'Green_rooibos initial weight'!$A$5:$A$2000,0)),"")</f>
        <v>2.2269999999999999</v>
      </c>
      <c r="L130" s="194">
        <f t="shared" si="1"/>
        <v>1.8532000000000002</v>
      </c>
      <c r="M130" s="233">
        <f>AVERAGE(Ashed_controlls!$K$1:$K$11)</f>
        <v>5.5147656768714146</v>
      </c>
      <c r="N130" s="194">
        <f t="shared" si="0"/>
        <v>1.9771999999999998</v>
      </c>
      <c r="O130" s="16">
        <f>IF('Dry_Litterbag Placem_Collection'!G57="","",'Dry_Litterbag Placem_Collection'!G57)</f>
        <v>43005</v>
      </c>
      <c r="P130" s="194">
        <f>IFERROR(INDEX('Both teabags AfterDry'!$D$3:$D$2000,MATCH(H130,'Both teabags AfterDry'!$A$3:$A$2000,0)),"")</f>
        <v>1.8914</v>
      </c>
      <c r="Q130" s="194">
        <f>IFERROR(INDEX('Both teabags AfterDry'!$D$3:$D$2000,MATCH(I130,'Both teabags AfterDry'!$A$3:$A$2000,0)),"")</f>
        <v>1.9775</v>
      </c>
      <c r="R130" s="194">
        <f t="shared" si="2"/>
        <v>1.7407999999999999</v>
      </c>
      <c r="S130" s="194">
        <f t="shared" si="2"/>
        <v>1.8269</v>
      </c>
      <c r="T130" s="194">
        <f t="shared" si="3"/>
        <v>6.0651845456507814E-2</v>
      </c>
      <c r="U130" s="194">
        <f t="shared" si="4"/>
        <v>3.976225497861318E-2</v>
      </c>
      <c r="V130" s="194">
        <f t="shared" si="5"/>
        <v>0.92398341088407854</v>
      </c>
      <c r="W130">
        <f t="shared" si="6"/>
        <v>67</v>
      </c>
      <c r="X130" s="194">
        <f t="shared" si="7"/>
        <v>0.92796692938657033</v>
      </c>
      <c r="Y130" s="194" t="str">
        <f t="shared" si="8"/>
        <v/>
      </c>
      <c r="Z130" s="245" t="str">
        <f>IF(ISNUMBER(SEARCH("C", 'Dry_Litterbag Placem_Collection'!$T57)),"YES","NO")</f>
        <v>YES</v>
      </c>
      <c r="AA130" s="245" t="str">
        <f>IF(ISNUMBER(SEARCH("H", 'Dry_Litterbag Placem_Collection'!$T57)),"YES","NO")</f>
        <v>YES</v>
      </c>
      <c r="AB130" s="245" t="str">
        <f>IF(ISNUMBER(SEARCH("R", 'Dry_Litterbag Placem_Collection'!$T57)),"YES","NO")</f>
        <v>NO</v>
      </c>
      <c r="AC130" s="245" t="str">
        <f>IF(ISNUMBER(SEARCH("C", 'Dry_Litterbag Placem_Collection'!$S57)),"YES","NO")</f>
        <v>YES</v>
      </c>
      <c r="AD130" s="245" t="str">
        <f>IF(ISNUMBER(SEARCH("H", 'Dry_Litterbag Placem_Collection'!$S57)),"YES","NO")</f>
        <v>YES</v>
      </c>
      <c r="AE130" s="245" t="str">
        <f>IF(ISNUMBER(SEARCH("R", 'Dry_Litterbag Placem_Collection'!$S57)),"YES","NO")</f>
        <v>NO</v>
      </c>
    </row>
    <row r="131" spans="2:31">
      <c r="B131" t="str">
        <f>Dryseason!B57</f>
        <v>Dry</v>
      </c>
      <c r="C131" s="253">
        <f>Dryseason!C57</f>
        <v>56</v>
      </c>
      <c r="D131" t="s">
        <v>3109</v>
      </c>
      <c r="E131" t="s">
        <v>22</v>
      </c>
      <c r="F131" s="375">
        <v>8</v>
      </c>
      <c r="G131" s="16">
        <f>IF('Dry_Litterbag Placem_Collection'!E58="","",'Dry_Litterbag Placem_Collection'!E58)</f>
        <v>42938</v>
      </c>
      <c r="H131" t="str">
        <f>Dryseason!L57</f>
        <v>G107</v>
      </c>
      <c r="I131" t="str">
        <f>Dryseason!L277</f>
        <v>R760</v>
      </c>
      <c r="J131">
        <f>IFERROR(INDEX('Green_rooibos initial weight'!$C$5:$C$2000,MATCH(H131, 'Green_rooibos initial weight'!$A$5:$A$2000,0)),"")</f>
        <v>2.1749999999999998</v>
      </c>
      <c r="K131">
        <f>IFERROR(INDEX('Green_rooibos initial weight'!$C$5:$C$2000,MATCH(I131, 'Green_rooibos initial weight'!$A$5:$A$2000,0)),"")</f>
        <v>2.2320000000000002</v>
      </c>
      <c r="L131" s="194">
        <f t="shared" si="1"/>
        <v>1.9251999999999998</v>
      </c>
      <c r="M131" s="233">
        <f>AVERAGE(Ashed_controlls!$K$1:$K$11)</f>
        <v>5.5147656768714146</v>
      </c>
      <c r="N131" s="194">
        <f t="shared" si="0"/>
        <v>1.9822000000000002</v>
      </c>
      <c r="O131" s="16">
        <f>IF('Dry_Litterbag Placem_Collection'!G58="","",'Dry_Litterbag Placem_Collection'!G58)</f>
        <v>43005</v>
      </c>
      <c r="P131" s="194">
        <f>IFERROR(INDEX('Both teabags AfterDry'!$D$3:$D$2000,MATCH(H131,'Both teabags AfterDry'!$A$3:$A$2000,0)),"")</f>
        <v>2.0276000000000001</v>
      </c>
      <c r="Q131" s="194">
        <f>IFERROR(INDEX('Both teabags AfterDry'!$D$3:$D$2000,MATCH(I131,'Both teabags AfterDry'!$A$3:$A$2000,0)),"")</f>
        <v>1.9821</v>
      </c>
      <c r="R131" s="194">
        <f t="shared" si="2"/>
        <v>1.877</v>
      </c>
      <c r="S131" s="194">
        <f t="shared" si="2"/>
        <v>1.8314999999999999</v>
      </c>
      <c r="T131" s="194">
        <f t="shared" si="3"/>
        <v>2.5036359858715884E-2</v>
      </c>
      <c r="U131" s="194">
        <f t="shared" si="4"/>
        <v>1.641338556058336E-2</v>
      </c>
      <c r="V131" s="194">
        <f t="shared" si="5"/>
        <v>0.92397336293007759</v>
      </c>
      <c r="W131">
        <f t="shared" si="6"/>
        <v>67</v>
      </c>
      <c r="X131" s="194">
        <f t="shared" si="7"/>
        <v>0.97026560586850841</v>
      </c>
      <c r="Y131" s="194" t="str">
        <f t="shared" si="8"/>
        <v/>
      </c>
      <c r="Z131" s="245" t="str">
        <f>IF(ISNUMBER(SEARCH("C", 'Dry_Litterbag Placem_Collection'!$T58)),"YES","NO")</f>
        <v>NO</v>
      </c>
      <c r="AA131" s="245" t="str">
        <f>IF(ISNUMBER(SEARCH("H", 'Dry_Litterbag Placem_Collection'!$T58)),"YES","NO")</f>
        <v>NO</v>
      </c>
      <c r="AB131" s="245" t="str">
        <f>IF(ISNUMBER(SEARCH("R", 'Dry_Litterbag Placem_Collection'!$T58)),"YES","NO")</f>
        <v>NO</v>
      </c>
      <c r="AC131" s="245" t="str">
        <f>IF(ISNUMBER(SEARCH("C", 'Dry_Litterbag Placem_Collection'!$S58)),"YES","NO")</f>
        <v>NO</v>
      </c>
      <c r="AD131" s="245" t="str">
        <f>IF(ISNUMBER(SEARCH("H", 'Dry_Litterbag Placem_Collection'!$S58)),"YES","NO")</f>
        <v>NO</v>
      </c>
      <c r="AE131" s="245" t="str">
        <f>IF(ISNUMBER(SEARCH("R", 'Dry_Litterbag Placem_Collection'!$S58)),"YES","NO")</f>
        <v>NO</v>
      </c>
    </row>
    <row r="132" spans="2:31">
      <c r="B132" t="str">
        <f>Dryseason!B58</f>
        <v>Dry</v>
      </c>
      <c r="C132" s="253">
        <f>Dryseason!C58</f>
        <v>57</v>
      </c>
      <c r="D132" t="s">
        <v>3110</v>
      </c>
      <c r="E132" t="s">
        <v>22</v>
      </c>
      <c r="F132" s="374">
        <v>1</v>
      </c>
      <c r="G132" s="16">
        <f>IF('Dry_Litterbag Placem_Collection'!E59="","",'Dry_Litterbag Placem_Collection'!E59)</f>
        <v>42938</v>
      </c>
      <c r="H132" t="str">
        <f>Dryseason!L58</f>
        <v>G41</v>
      </c>
      <c r="I132" t="str">
        <f>Dryseason!L278</f>
        <v>R830</v>
      </c>
      <c r="J132">
        <f>IFERROR(INDEX('Green_rooibos initial weight'!$C$5:$C$2000,MATCH(H132, 'Green_rooibos initial weight'!$A$5:$A$2000,0)),"")</f>
        <v>1.9850000000000001</v>
      </c>
      <c r="K132">
        <f>IFERROR(INDEX('Green_rooibos initial weight'!$C$5:$C$2000,MATCH(I132, 'Green_rooibos initial weight'!$A$5:$A$2000,0)),"")</f>
        <v>2.2160000000000002</v>
      </c>
      <c r="L132" s="194">
        <f t="shared" si="1"/>
        <v>1.7352000000000001</v>
      </c>
      <c r="M132" s="233">
        <f>AVERAGE(Ashed_controlls!$K$1:$K$11)</f>
        <v>5.5147656768714146</v>
      </c>
      <c r="N132" s="194">
        <f t="shared" si="0"/>
        <v>1.9662000000000002</v>
      </c>
      <c r="O132" s="16">
        <f>IF('Dry_Litterbag Placem_Collection'!G59="","",'Dry_Litterbag Placem_Collection'!G59)</f>
        <v>43005</v>
      </c>
      <c r="P132" s="194">
        <f>IFERROR(INDEX('Both teabags AfterDry'!$D$3:$D$2000,MATCH(H132,'Both teabags AfterDry'!$A$3:$A$2000,0)),"")</f>
        <v>1.7847</v>
      </c>
      <c r="Q132" s="194">
        <f>IFERROR(INDEX('Both teabags AfterDry'!$D$3:$D$2000,MATCH(I132,'Both teabags AfterDry'!$A$3:$A$2000,0)),"")</f>
        <v>1.9719</v>
      </c>
      <c r="R132" s="194">
        <f t="shared" si="2"/>
        <v>1.6340999999999999</v>
      </c>
      <c r="S132" s="194">
        <f t="shared" si="2"/>
        <v>1.8212999999999999</v>
      </c>
      <c r="T132" s="194">
        <f t="shared" si="3"/>
        <v>5.8264177040110776E-2</v>
      </c>
      <c r="U132" s="194">
        <f t="shared" si="4"/>
        <v>3.8196942667626056E-2</v>
      </c>
      <c r="V132" s="194">
        <f t="shared" si="5"/>
        <v>0.92630454684162333</v>
      </c>
      <c r="W132">
        <f t="shared" si="6"/>
        <v>67</v>
      </c>
      <c r="X132" s="194">
        <f t="shared" si="7"/>
        <v>0.93080264009488034</v>
      </c>
      <c r="Y132" s="194" t="str">
        <f t="shared" si="8"/>
        <v/>
      </c>
      <c r="Z132" s="245" t="str">
        <f>IF(ISNUMBER(SEARCH("C", 'Dry_Litterbag Placem_Collection'!$T59)),"YES","NO")</f>
        <v>NO</v>
      </c>
      <c r="AA132" s="245" t="str">
        <f>IF(ISNUMBER(SEARCH("H", 'Dry_Litterbag Placem_Collection'!$T59)),"YES","NO")</f>
        <v>NO</v>
      </c>
      <c r="AB132" s="245" t="str">
        <f>IF(ISNUMBER(SEARCH("R", 'Dry_Litterbag Placem_Collection'!$T59)),"YES","NO")</f>
        <v>NO</v>
      </c>
      <c r="AC132" s="245" t="str">
        <f>IF(ISNUMBER(SEARCH("C", 'Dry_Litterbag Placem_Collection'!$S59)),"YES","NO")</f>
        <v>NO</v>
      </c>
      <c r="AD132" s="245" t="str">
        <f>IF(ISNUMBER(SEARCH("H", 'Dry_Litterbag Placem_Collection'!$S59)),"YES","NO")</f>
        <v>NO</v>
      </c>
      <c r="AE132" s="245" t="str">
        <f>IF(ISNUMBER(SEARCH("R", 'Dry_Litterbag Placem_Collection'!$S59)),"YES","NO")</f>
        <v>NO</v>
      </c>
    </row>
    <row r="133" spans="2:31">
      <c r="B133" t="str">
        <f>Dryseason!B59</f>
        <v>Dry</v>
      </c>
      <c r="C133" s="253">
        <f>Dryseason!C59</f>
        <v>58</v>
      </c>
      <c r="D133" t="s">
        <v>3110</v>
      </c>
      <c r="E133" t="s">
        <v>22</v>
      </c>
      <c r="F133" s="374">
        <v>2</v>
      </c>
      <c r="G133" s="16">
        <f>IF('Dry_Litterbag Placem_Collection'!E60="","",'Dry_Litterbag Placem_Collection'!E60)</f>
        <v>42938</v>
      </c>
      <c r="H133" t="str">
        <f>Dryseason!L59</f>
        <v>G481</v>
      </c>
      <c r="I133" t="str">
        <f>Dryseason!L279</f>
        <v>R725</v>
      </c>
      <c r="J133">
        <f>IFERROR(INDEX('Green_rooibos initial weight'!$C$5:$C$2000,MATCH(H133, 'Green_rooibos initial weight'!$A$5:$A$2000,0)),"")</f>
        <v>2.0529999999999999</v>
      </c>
      <c r="K133">
        <f>IFERROR(INDEX('Green_rooibos initial weight'!$C$5:$C$2000,MATCH(I133, 'Green_rooibos initial weight'!$A$5:$A$2000,0)),"")</f>
        <v>2.1930000000000001</v>
      </c>
      <c r="L133" s="194">
        <f t="shared" si="1"/>
        <v>1.8031999999999999</v>
      </c>
      <c r="M133" s="233">
        <f>AVERAGE(Ashed_controlls!$K$1:$K$11)</f>
        <v>5.5147656768714146</v>
      </c>
      <c r="N133" s="194">
        <f t="shared" si="0"/>
        <v>1.9432</v>
      </c>
      <c r="O133" s="16">
        <f>IF('Dry_Litterbag Placem_Collection'!G60="","",'Dry_Litterbag Placem_Collection'!G60)</f>
        <v>43005</v>
      </c>
      <c r="P133" s="194">
        <f>IFERROR(INDEX('Both teabags AfterDry'!$D$3:$D$2000,MATCH(H133,'Both teabags AfterDry'!$A$3:$A$2000,0)),"")</f>
        <v>1.7612000000000001</v>
      </c>
      <c r="Q133" s="194">
        <f>IFERROR(INDEX('Both teabags AfterDry'!$D$3:$D$2000,MATCH(I133,'Both teabags AfterDry'!$A$3:$A$2000,0)),"")</f>
        <v>1.3995000000000002</v>
      </c>
      <c r="R133" s="194">
        <f t="shared" si="2"/>
        <v>1.6106</v>
      </c>
      <c r="S133" s="194">
        <f t="shared" si="2"/>
        <v>1.2489000000000001</v>
      </c>
      <c r="T133" s="194">
        <f t="shared" si="3"/>
        <v>0.10681011535048801</v>
      </c>
      <c r="U133" s="194">
        <f t="shared" si="4"/>
        <v>7.0022783460177443E-2</v>
      </c>
      <c r="V133" s="194">
        <f t="shared" si="5"/>
        <v>0.64270275833676416</v>
      </c>
      <c r="W133">
        <f t="shared" si="6"/>
        <v>67</v>
      </c>
      <c r="X133" s="194">
        <f t="shared" si="7"/>
        <v>0.87314713141272204</v>
      </c>
      <c r="Y133" s="194" t="str">
        <f t="shared" si="8"/>
        <v/>
      </c>
      <c r="Z133" s="245" t="str">
        <f>IF(ISNUMBER(SEARCH("C", 'Dry_Litterbag Placem_Collection'!$T60)),"YES","NO")</f>
        <v>NO</v>
      </c>
      <c r="AA133" s="245" t="str">
        <f>IF(ISNUMBER(SEARCH("H", 'Dry_Litterbag Placem_Collection'!$T60)),"YES","NO")</f>
        <v>YES</v>
      </c>
      <c r="AB133" s="245" t="str">
        <f>IF(ISNUMBER(SEARCH("R", 'Dry_Litterbag Placem_Collection'!$T60)),"YES","NO")</f>
        <v>NO</v>
      </c>
      <c r="AC133" s="245" t="str">
        <f>IF(ISNUMBER(SEARCH("C", 'Dry_Litterbag Placem_Collection'!$S60)),"YES","NO")</f>
        <v>NO</v>
      </c>
      <c r="AD133" s="245" t="str">
        <f>IF(ISNUMBER(SEARCH("H", 'Dry_Litterbag Placem_Collection'!$S60)),"YES","NO")</f>
        <v>YES</v>
      </c>
      <c r="AE133" s="245" t="str">
        <f>IF(ISNUMBER(SEARCH("R", 'Dry_Litterbag Placem_Collection'!$S60)),"YES","NO")</f>
        <v>NO</v>
      </c>
    </row>
    <row r="134" spans="2:31">
      <c r="B134" t="str">
        <f>Dryseason!B60</f>
        <v>Dry</v>
      </c>
      <c r="C134" s="253">
        <f>Dryseason!C60</f>
        <v>59</v>
      </c>
      <c r="D134" t="s">
        <v>3110</v>
      </c>
      <c r="E134" t="s">
        <v>22</v>
      </c>
      <c r="F134" s="374">
        <v>3</v>
      </c>
      <c r="G134" s="16">
        <f>IF('Dry_Litterbag Placem_Collection'!E61="","",'Dry_Litterbag Placem_Collection'!E61)</f>
        <v>42938</v>
      </c>
      <c r="H134" t="str">
        <f>Dryseason!L60</f>
        <v>G261</v>
      </c>
      <c r="I134" t="str">
        <f>Dryseason!L280</f>
        <v>R721</v>
      </c>
      <c r="J134">
        <f>IFERROR(INDEX('Green_rooibos initial weight'!$C$5:$C$2000,MATCH(H134, 'Green_rooibos initial weight'!$A$5:$A$2000,0)),"")</f>
        <v>1.9850000000000001</v>
      </c>
      <c r="K134">
        <f>IFERROR(INDEX('Green_rooibos initial weight'!$C$5:$C$2000,MATCH(I134, 'Green_rooibos initial weight'!$A$5:$A$2000,0)),"")</f>
        <v>2.2229999999999999</v>
      </c>
      <c r="L134" s="194">
        <f t="shared" si="1"/>
        <v>1.7352000000000001</v>
      </c>
      <c r="M134" s="233">
        <f>AVERAGE(Ashed_controlls!$K$1:$K$11)</f>
        <v>5.5147656768714146</v>
      </c>
      <c r="N134" s="194">
        <f t="shared" si="0"/>
        <v>1.9731999999999998</v>
      </c>
      <c r="O134" s="16">
        <f>IF('Dry_Litterbag Placem_Collection'!G61="","",'Dry_Litterbag Placem_Collection'!G61)</f>
        <v>43005</v>
      </c>
      <c r="P134" s="194">
        <f>IFERROR(INDEX('Both teabags AfterDry'!$D$3:$D$2000,MATCH(H134,'Both teabags AfterDry'!$A$3:$A$2000,0)),"")</f>
        <v>1.8041</v>
      </c>
      <c r="Q134" s="194">
        <f>IFERROR(INDEX('Both teabags AfterDry'!$D$3:$D$2000,MATCH(I134,'Both teabags AfterDry'!$A$3:$A$2000,0)),"")</f>
        <v>1.9549000000000001</v>
      </c>
      <c r="R134" s="194">
        <f t="shared" si="2"/>
        <v>1.6535</v>
      </c>
      <c r="S134" s="194">
        <f t="shared" si="2"/>
        <v>1.8043</v>
      </c>
      <c r="T134" s="194">
        <f t="shared" si="3"/>
        <v>4.708390963577691E-2</v>
      </c>
      <c r="U134" s="194">
        <f t="shared" si="4"/>
        <v>3.0867361186400082E-2</v>
      </c>
      <c r="V134" s="194">
        <f t="shared" si="5"/>
        <v>0.91440300020271648</v>
      </c>
      <c r="W134">
        <f t="shared" si="6"/>
        <v>67</v>
      </c>
      <c r="X134" s="194">
        <f t="shared" si="7"/>
        <v>0.94408086741594188</v>
      </c>
      <c r="Y134" s="194" t="str">
        <f t="shared" si="8"/>
        <v/>
      </c>
      <c r="Z134" s="245" t="str">
        <f>IF(ISNUMBER(SEARCH("C", 'Dry_Litterbag Placem_Collection'!$T61)),"YES","NO")</f>
        <v>NO</v>
      </c>
      <c r="AA134" s="245" t="str">
        <f>IF(ISNUMBER(SEARCH("H", 'Dry_Litterbag Placem_Collection'!$T61)),"YES","NO")</f>
        <v>NO</v>
      </c>
      <c r="AB134" s="245" t="str">
        <f>IF(ISNUMBER(SEARCH("R", 'Dry_Litterbag Placem_Collection'!$T61)),"YES","NO")</f>
        <v>NO</v>
      </c>
      <c r="AC134" s="245" t="str">
        <f>IF(ISNUMBER(SEARCH("C", 'Dry_Litterbag Placem_Collection'!$S61)),"YES","NO")</f>
        <v>NO</v>
      </c>
      <c r="AD134" s="245" t="str">
        <f>IF(ISNUMBER(SEARCH("H", 'Dry_Litterbag Placem_Collection'!$S61)),"YES","NO")</f>
        <v>NO</v>
      </c>
      <c r="AE134" s="245" t="str">
        <f>IF(ISNUMBER(SEARCH("R", 'Dry_Litterbag Placem_Collection'!$S61)),"YES","NO")</f>
        <v>NO</v>
      </c>
    </row>
    <row r="135" spans="2:31">
      <c r="B135" t="str">
        <f>Dryseason!B61</f>
        <v>Dry</v>
      </c>
      <c r="C135" s="253">
        <f>Dryseason!C61</f>
        <v>60</v>
      </c>
      <c r="D135" t="s">
        <v>3110</v>
      </c>
      <c r="E135" t="s">
        <v>22</v>
      </c>
      <c r="F135" s="375">
        <v>4</v>
      </c>
      <c r="G135" s="16">
        <f>IF('Dry_Litterbag Placem_Collection'!E62="","",'Dry_Litterbag Placem_Collection'!E62)</f>
        <v>42938</v>
      </c>
      <c r="H135" t="str">
        <f>Dryseason!L61</f>
        <v>G152</v>
      </c>
      <c r="I135" t="str">
        <f>Dryseason!L281</f>
        <v>R763</v>
      </c>
      <c r="J135">
        <f>IFERROR(INDEX('Green_rooibos initial weight'!$C$5:$C$2000,MATCH(H135, 'Green_rooibos initial weight'!$A$5:$A$2000,0)),"")</f>
        <v>2.0489999999999999</v>
      </c>
      <c r="K135">
        <f>IFERROR(INDEX('Green_rooibos initial weight'!$C$5:$C$2000,MATCH(I135, 'Green_rooibos initial weight'!$A$5:$A$2000,0)),"")</f>
        <v>2.2589999999999999</v>
      </c>
      <c r="L135" s="194">
        <f t="shared" si="1"/>
        <v>1.7991999999999999</v>
      </c>
      <c r="M135" s="233">
        <f>AVERAGE(Ashed_controlls!$K$1:$K$11)</f>
        <v>5.5147656768714146</v>
      </c>
      <c r="N135" s="194">
        <f t="shared" si="0"/>
        <v>2.0091999999999999</v>
      </c>
      <c r="O135" s="16">
        <f>IF('Dry_Litterbag Placem_Collection'!G62="","",'Dry_Litterbag Placem_Collection'!G62)</f>
        <v>43005</v>
      </c>
      <c r="P135" s="194">
        <f>IFERROR(INDEX('Both teabags AfterDry'!$D$3:$D$2000,MATCH(H135,'Both teabags AfterDry'!$A$3:$A$2000,0)),"")</f>
        <v>1.8697999999999999</v>
      </c>
      <c r="Q135" s="194">
        <f>IFERROR(INDEX('Both teabags AfterDry'!$D$3:$D$2000,MATCH(I135,'Both teabags AfterDry'!$A$3:$A$2000,0)),"")</f>
        <v>1.9797</v>
      </c>
      <c r="R135" s="194">
        <f t="shared" si="2"/>
        <v>1.7191999999999998</v>
      </c>
      <c r="S135" s="194">
        <f t="shared" si="2"/>
        <v>1.8290999999999999</v>
      </c>
      <c r="T135" s="194">
        <f t="shared" si="3"/>
        <v>4.4464206313917343E-2</v>
      </c>
      <c r="U135" s="194">
        <f t="shared" si="4"/>
        <v>2.9149930980145344E-2</v>
      </c>
      <c r="V135" s="194">
        <f t="shared" si="5"/>
        <v>0.91036233326697191</v>
      </c>
      <c r="W135">
        <f t="shared" si="6"/>
        <v>67</v>
      </c>
      <c r="X135" s="194">
        <f t="shared" si="7"/>
        <v>0.94719215402147583</v>
      </c>
      <c r="Y135" s="194" t="str">
        <f t="shared" si="8"/>
        <v/>
      </c>
      <c r="Z135" s="245" t="str">
        <f>IF(ISNUMBER(SEARCH("C", 'Dry_Litterbag Placem_Collection'!$T62)),"YES","NO")</f>
        <v>NO</v>
      </c>
      <c r="AA135" s="245" t="str">
        <f>IF(ISNUMBER(SEARCH("H", 'Dry_Litterbag Placem_Collection'!$T62)),"YES","NO")</f>
        <v>NO</v>
      </c>
      <c r="AB135" s="245" t="str">
        <f>IF(ISNUMBER(SEARCH("R", 'Dry_Litterbag Placem_Collection'!$T62)),"YES","NO")</f>
        <v>NO</v>
      </c>
      <c r="AC135" s="245" t="str">
        <f>IF(ISNUMBER(SEARCH("C", 'Dry_Litterbag Placem_Collection'!$S62)),"YES","NO")</f>
        <v>NO</v>
      </c>
      <c r="AD135" s="245" t="str">
        <f>IF(ISNUMBER(SEARCH("H", 'Dry_Litterbag Placem_Collection'!$S62)),"YES","NO")</f>
        <v>NO</v>
      </c>
      <c r="AE135" s="245" t="str">
        <f>IF(ISNUMBER(SEARCH("R", 'Dry_Litterbag Placem_Collection'!$S62)),"YES","NO")</f>
        <v>NO</v>
      </c>
    </row>
    <row r="136" spans="2:31">
      <c r="B136" t="str">
        <f>Dryseason!B62</f>
        <v>Dry</v>
      </c>
      <c r="C136" s="253">
        <f>Dryseason!C62</f>
        <v>61</v>
      </c>
      <c r="D136" t="s">
        <v>3110</v>
      </c>
      <c r="E136" t="s">
        <v>22</v>
      </c>
      <c r="F136" s="375">
        <v>5</v>
      </c>
      <c r="G136" s="16">
        <f>IF('Dry_Litterbag Placem_Collection'!E63="","",'Dry_Litterbag Placem_Collection'!E63)</f>
        <v>42938</v>
      </c>
      <c r="H136" t="str">
        <f>Dryseason!L62</f>
        <v>G191</v>
      </c>
      <c r="I136" t="str">
        <f>Dryseason!L282</f>
        <v>R775</v>
      </c>
      <c r="J136">
        <f>IFERROR(INDEX('Green_rooibos initial weight'!$C$5:$C$2000,MATCH(H136, 'Green_rooibos initial weight'!$A$5:$A$2000,0)),"")</f>
        <v>2.0590000000000002</v>
      </c>
      <c r="K136">
        <f>IFERROR(INDEX('Green_rooibos initial weight'!$C$5:$C$2000,MATCH(I136, 'Green_rooibos initial weight'!$A$5:$A$2000,0)),"")</f>
        <v>2.2290000000000001</v>
      </c>
      <c r="L136" s="194">
        <f t="shared" si="1"/>
        <v>1.8092000000000001</v>
      </c>
      <c r="M136" s="233">
        <f>AVERAGE(Ashed_controlls!$K$1:$K$11)</f>
        <v>5.5147656768714146</v>
      </c>
      <c r="N136" s="194">
        <f t="shared" si="0"/>
        <v>1.9792000000000001</v>
      </c>
      <c r="O136" s="16">
        <f>IF('Dry_Litterbag Placem_Collection'!G63="","",'Dry_Litterbag Placem_Collection'!G63)</f>
        <v>43005</v>
      </c>
      <c r="P136" s="194" t="str">
        <f>IFERROR(INDEX('Both teabags AfterDry'!$D$3:$D$2000,MATCH(H136,'Both teabags AfterDry'!$A$3:$A$2000,0)),"")</f>
        <v/>
      </c>
      <c r="Q136" s="194" t="str">
        <f>IFERROR(INDEX('Both teabags AfterDry'!$D$3:$D$2000,MATCH(I136,'Both teabags AfterDry'!$A$3:$A$2000,0)),"")</f>
        <v/>
      </c>
      <c r="R136" s="194" t="str">
        <f t="shared" si="2"/>
        <v/>
      </c>
      <c r="S136" s="194" t="str">
        <f t="shared" si="2"/>
        <v/>
      </c>
      <c r="T136" s="194" t="str">
        <f t="shared" si="3"/>
        <v/>
      </c>
      <c r="U136" s="194" t="str">
        <f t="shared" si="4"/>
        <v/>
      </c>
      <c r="V136" s="194" t="str">
        <f t="shared" si="5"/>
        <v/>
      </c>
      <c r="W136">
        <f t="shared" si="6"/>
        <v>67</v>
      </c>
      <c r="X136" s="194" t="str">
        <f t="shared" si="7"/>
        <v/>
      </c>
      <c r="Y136" s="194" t="str">
        <f t="shared" si="8"/>
        <v/>
      </c>
      <c r="Z136" s="245" t="str">
        <f>IF(ISNUMBER(SEARCH("C", 'Dry_Litterbag Placem_Collection'!$T63)),"YES","NO")</f>
        <v>NO</v>
      </c>
      <c r="AA136" s="245" t="str">
        <f>IF(ISNUMBER(SEARCH("H", 'Dry_Litterbag Placem_Collection'!$T63)),"YES","NO")</f>
        <v>NO</v>
      </c>
      <c r="AB136" s="245" t="str">
        <f>IF(ISNUMBER(SEARCH("R", 'Dry_Litterbag Placem_Collection'!$T63)),"YES","NO")</f>
        <v>NO</v>
      </c>
      <c r="AC136" s="245" t="str">
        <f>IF(ISNUMBER(SEARCH("C", 'Dry_Litterbag Placem_Collection'!$S63)),"YES","NO")</f>
        <v>NO</v>
      </c>
      <c r="AD136" s="245" t="str">
        <f>IF(ISNUMBER(SEARCH("H", 'Dry_Litterbag Placem_Collection'!$S63)),"YES","NO")</f>
        <v>NO</v>
      </c>
      <c r="AE136" s="245" t="str">
        <f>IF(ISNUMBER(SEARCH("R", 'Dry_Litterbag Placem_Collection'!$S63)),"YES","NO")</f>
        <v>NO</v>
      </c>
    </row>
    <row r="137" spans="2:31">
      <c r="B137" t="str">
        <f>Dryseason!B63</f>
        <v>Dry</v>
      </c>
      <c r="C137" s="253">
        <f>Dryseason!C63</f>
        <v>62</v>
      </c>
      <c r="D137" t="s">
        <v>3110</v>
      </c>
      <c r="E137" t="s">
        <v>22</v>
      </c>
      <c r="F137" s="375">
        <v>6</v>
      </c>
      <c r="G137" s="16" t="str">
        <f>IF('Dry_Litterbag Placem_Collection'!E64="","",'Dry_Litterbag Placem_Collection'!E64)</f>
        <v/>
      </c>
      <c r="H137" t="str">
        <f>Dryseason!L63</f>
        <v/>
      </c>
      <c r="I137" t="str">
        <f>Dryseason!L283</f>
        <v/>
      </c>
      <c r="J137" t="str">
        <f>IFERROR(INDEX('Green_rooibos initial weight'!$C$5:$C$2000,MATCH(H137, 'Green_rooibos initial weight'!$A$5:$A$2000,0)),"")</f>
        <v/>
      </c>
      <c r="K137" t="str">
        <f>IFERROR(INDEX('Green_rooibos initial weight'!$C$5:$C$2000,MATCH(I137, 'Green_rooibos initial weight'!$A$5:$A$2000,0)),"")</f>
        <v/>
      </c>
      <c r="L137" s="194" t="str">
        <f t="shared" si="1"/>
        <v/>
      </c>
      <c r="M137" s="233">
        <f>AVERAGE(Ashed_controlls!$K$1:$K$11)</f>
        <v>5.5147656768714146</v>
      </c>
      <c r="N137" s="194" t="str">
        <f t="shared" si="0"/>
        <v/>
      </c>
      <c r="O137" s="16" t="str">
        <f>IF('Dry_Litterbag Placem_Collection'!G64="","",'Dry_Litterbag Placem_Collection'!G64)</f>
        <v/>
      </c>
      <c r="P137" s="194" t="str">
        <f>IFERROR(INDEX('Both teabags AfterDry'!$D$3:$D$2000,MATCH(H137,'Both teabags AfterDry'!$A$3:$A$2000,0)),"")</f>
        <v/>
      </c>
      <c r="Q137" s="194" t="str">
        <f>IFERROR(INDEX('Both teabags AfterDry'!$D$3:$D$2000,MATCH(I137,'Both teabags AfterDry'!$A$3:$A$2000,0)),"")</f>
        <v/>
      </c>
      <c r="R137" s="194" t="str">
        <f t="shared" si="2"/>
        <v/>
      </c>
      <c r="S137" s="194" t="str">
        <f t="shared" si="2"/>
        <v/>
      </c>
      <c r="T137" s="194" t="str">
        <f t="shared" si="3"/>
        <v/>
      </c>
      <c r="U137" s="194" t="str">
        <f t="shared" si="4"/>
        <v/>
      </c>
      <c r="V137" s="194" t="str">
        <f t="shared" si="5"/>
        <v/>
      </c>
      <c r="W137" t="str">
        <f t="shared" si="6"/>
        <v/>
      </c>
      <c r="X137" s="194" t="str">
        <f t="shared" si="7"/>
        <v/>
      </c>
      <c r="Y137" s="194" t="str">
        <f t="shared" si="8"/>
        <v/>
      </c>
      <c r="Z137" s="245" t="str">
        <f>IF(ISNUMBER(SEARCH("C", 'Dry_Litterbag Placem_Collection'!$T64)),"YES","NO")</f>
        <v>NO</v>
      </c>
      <c r="AA137" s="245" t="str">
        <f>IF(ISNUMBER(SEARCH("H", 'Dry_Litterbag Placem_Collection'!$T64)),"YES","NO")</f>
        <v>NO</v>
      </c>
      <c r="AB137" s="245" t="str">
        <f>IF(ISNUMBER(SEARCH("R", 'Dry_Litterbag Placem_Collection'!$T64)),"YES","NO")</f>
        <v>NO</v>
      </c>
      <c r="AC137" s="245" t="str">
        <f>IF(ISNUMBER(SEARCH("C", 'Dry_Litterbag Placem_Collection'!$S64)),"YES","NO")</f>
        <v>NO</v>
      </c>
      <c r="AD137" s="245" t="str">
        <f>IF(ISNUMBER(SEARCH("H", 'Dry_Litterbag Placem_Collection'!$S64)),"YES","NO")</f>
        <v>NO</v>
      </c>
      <c r="AE137" s="245" t="str">
        <f>IF(ISNUMBER(SEARCH("R", 'Dry_Litterbag Placem_Collection'!$S64)),"YES","NO")</f>
        <v>NO</v>
      </c>
    </row>
    <row r="138" spans="2:31">
      <c r="B138" t="str">
        <f>Dryseason!B64</f>
        <v>Dry</v>
      </c>
      <c r="C138" s="253">
        <f>Dryseason!C64</f>
        <v>63</v>
      </c>
      <c r="D138" t="s">
        <v>3110</v>
      </c>
      <c r="E138" t="s">
        <v>22</v>
      </c>
      <c r="F138" s="375">
        <v>7</v>
      </c>
      <c r="G138" s="16">
        <f>IF('Dry_Litterbag Placem_Collection'!E65="","",'Dry_Litterbag Placem_Collection'!E65)</f>
        <v>42938</v>
      </c>
      <c r="H138" t="str">
        <f>Dryseason!L64</f>
        <v>G49</v>
      </c>
      <c r="I138" t="str">
        <f>Dryseason!L284</f>
        <v>R733</v>
      </c>
      <c r="J138">
        <f>IFERROR(INDEX('Green_rooibos initial weight'!$C$5:$C$2000,MATCH(H138, 'Green_rooibos initial weight'!$A$5:$A$2000,0)),"")</f>
        <v>2.0859999999999999</v>
      </c>
      <c r="K138">
        <f>IFERROR(INDEX('Green_rooibos initial weight'!$C$5:$C$2000,MATCH(I138, 'Green_rooibos initial weight'!$A$5:$A$2000,0)),"")</f>
        <v>2.181</v>
      </c>
      <c r="L138" s="194">
        <f t="shared" si="1"/>
        <v>1.8361999999999998</v>
      </c>
      <c r="M138" s="233">
        <f>AVERAGE(Ashed_controlls!$K$1:$K$11)</f>
        <v>5.5147656768714146</v>
      </c>
      <c r="N138" s="194">
        <f t="shared" si="0"/>
        <v>1.9312</v>
      </c>
      <c r="O138" s="16">
        <f>IF('Dry_Litterbag Placem_Collection'!G65="","",'Dry_Litterbag Placem_Collection'!G65)</f>
        <v>43005</v>
      </c>
      <c r="P138" s="194">
        <f>IFERROR(INDEX('Both teabags AfterDry'!$D$3:$D$2000,MATCH(H138,'Both teabags AfterDry'!$A$3:$A$2000,0)),"")</f>
        <v>1.9326000000000001</v>
      </c>
      <c r="Q138" s="194">
        <f>IFERROR(INDEX('Both teabags AfterDry'!$D$3:$D$2000,MATCH(I138,'Both teabags AfterDry'!$A$3:$A$2000,0)),"")</f>
        <v>1.9025000000000001</v>
      </c>
      <c r="R138" s="194">
        <f t="shared" si="2"/>
        <v>1.782</v>
      </c>
      <c r="S138" s="194">
        <f t="shared" si="2"/>
        <v>1.7519</v>
      </c>
      <c r="T138" s="194">
        <f t="shared" si="3"/>
        <v>2.9517481755799935E-2</v>
      </c>
      <c r="U138" s="194">
        <f t="shared" si="4"/>
        <v>1.9351128181949607E-2</v>
      </c>
      <c r="V138" s="194">
        <f t="shared" si="5"/>
        <v>0.90715617232808621</v>
      </c>
      <c r="W138">
        <f t="shared" si="6"/>
        <v>67</v>
      </c>
      <c r="X138" s="194">
        <f t="shared" si="7"/>
        <v>0.96494360836603332</v>
      </c>
      <c r="Y138" s="194" t="str">
        <f t="shared" si="8"/>
        <v/>
      </c>
      <c r="Z138" s="245" t="str">
        <f>IF(ISNUMBER(SEARCH("C", 'Dry_Litterbag Placem_Collection'!$T65)),"YES","NO")</f>
        <v>NO</v>
      </c>
      <c r="AA138" s="245" t="str">
        <f>IF(ISNUMBER(SEARCH("H", 'Dry_Litterbag Placem_Collection'!$T65)),"YES","NO")</f>
        <v>NO</v>
      </c>
      <c r="AB138" s="245" t="str">
        <f>IF(ISNUMBER(SEARCH("R", 'Dry_Litterbag Placem_Collection'!$T65)),"YES","NO")</f>
        <v>NO</v>
      </c>
      <c r="AC138" s="245" t="str">
        <f>IF(ISNUMBER(SEARCH("C", 'Dry_Litterbag Placem_Collection'!$S65)),"YES","NO")</f>
        <v>NO</v>
      </c>
      <c r="AD138" s="245" t="str">
        <f>IF(ISNUMBER(SEARCH("H", 'Dry_Litterbag Placem_Collection'!$S65)),"YES","NO")</f>
        <v>NO</v>
      </c>
      <c r="AE138" s="245" t="str">
        <f>IF(ISNUMBER(SEARCH("R", 'Dry_Litterbag Placem_Collection'!$S65)),"YES","NO")</f>
        <v>NO</v>
      </c>
    </row>
    <row r="139" spans="2:31">
      <c r="B139" t="str">
        <f>Dryseason!B65</f>
        <v>Dry</v>
      </c>
      <c r="C139" s="253">
        <f>Dryseason!C65</f>
        <v>64</v>
      </c>
      <c r="D139" t="s">
        <v>3110</v>
      </c>
      <c r="E139" t="s">
        <v>22</v>
      </c>
      <c r="F139" s="375">
        <v>8</v>
      </c>
      <c r="G139" s="16">
        <f>IF('Dry_Litterbag Placem_Collection'!E66="","",'Dry_Litterbag Placem_Collection'!E66)</f>
        <v>42938</v>
      </c>
      <c r="H139" t="str">
        <f>Dryseason!L65</f>
        <v>G347</v>
      </c>
      <c r="I139" t="str">
        <f>Dryseason!L285</f>
        <v>R765</v>
      </c>
      <c r="J139">
        <f>IFERROR(INDEX('Green_rooibos initial weight'!$C$5:$C$2000,MATCH(H139, 'Green_rooibos initial weight'!$A$5:$A$2000,0)),"")</f>
        <v>1.8919999999999999</v>
      </c>
      <c r="K139">
        <f>IFERROR(INDEX('Green_rooibos initial weight'!$C$5:$C$2000,MATCH(I139, 'Green_rooibos initial weight'!$A$5:$A$2000,0)),"")</f>
        <v>2.2400000000000002</v>
      </c>
      <c r="L139" s="194">
        <f t="shared" si="1"/>
        <v>1.6421999999999999</v>
      </c>
      <c r="M139" s="233">
        <f>AVERAGE(Ashed_controlls!$K$1:$K$11)</f>
        <v>5.5147656768714146</v>
      </c>
      <c r="N139" s="194">
        <f t="shared" si="0"/>
        <v>1.9902000000000002</v>
      </c>
      <c r="O139" s="16">
        <f>IF('Dry_Litterbag Placem_Collection'!G66="","",'Dry_Litterbag Placem_Collection'!G66)</f>
        <v>43005</v>
      </c>
      <c r="P139" s="194">
        <f>IFERROR(INDEX('Both teabags AfterDry'!$D$3:$D$2000,MATCH(H139,'Both teabags AfterDry'!$A$3:$A$2000,0)),"")</f>
        <v>1.6924999999999999</v>
      </c>
      <c r="Q139" s="194">
        <f>IFERROR(INDEX('Both teabags AfterDry'!$D$3:$D$2000,MATCH(I139,'Both teabags AfterDry'!$A$3:$A$2000,0)),"")</f>
        <v>1.9783999999999999</v>
      </c>
      <c r="R139" s="194">
        <f t="shared" si="2"/>
        <v>1.5418999999999998</v>
      </c>
      <c r="S139" s="194">
        <f t="shared" si="2"/>
        <v>1.8277999999999999</v>
      </c>
      <c r="T139" s="194">
        <f t="shared" si="3"/>
        <v>6.107660455486541E-2</v>
      </c>
      <c r="U139" s="194">
        <f t="shared" si="4"/>
        <v>4.0040719375636254E-2</v>
      </c>
      <c r="V139" s="194">
        <f t="shared" si="5"/>
        <v>0.91840016078786035</v>
      </c>
      <c r="W139">
        <f t="shared" si="6"/>
        <v>67</v>
      </c>
      <c r="X139" s="194">
        <f t="shared" si="7"/>
        <v>0.92746246489920969</v>
      </c>
      <c r="Y139" s="194" t="str">
        <f t="shared" si="8"/>
        <v/>
      </c>
      <c r="Z139" s="245" t="str">
        <f>IF(ISNUMBER(SEARCH("C", 'Dry_Litterbag Placem_Collection'!$T66)),"YES","NO")</f>
        <v>NO</v>
      </c>
      <c r="AA139" s="245" t="str">
        <f>IF(ISNUMBER(SEARCH("H", 'Dry_Litterbag Placem_Collection'!$T66)),"YES","NO")</f>
        <v>NO</v>
      </c>
      <c r="AB139" s="245" t="str">
        <f>IF(ISNUMBER(SEARCH("R", 'Dry_Litterbag Placem_Collection'!$T66)),"YES","NO")</f>
        <v>NO</v>
      </c>
      <c r="AC139" s="245" t="str">
        <f>IF(ISNUMBER(SEARCH("C", 'Dry_Litterbag Placem_Collection'!$S66)),"YES","NO")</f>
        <v>NO</v>
      </c>
      <c r="AD139" s="245" t="str">
        <f>IF(ISNUMBER(SEARCH("H", 'Dry_Litterbag Placem_Collection'!$S66)),"YES","NO")</f>
        <v>NO</v>
      </c>
      <c r="AE139" s="245" t="str">
        <f>IF(ISNUMBER(SEARCH("R", 'Dry_Litterbag Placem_Collection'!$S66)),"YES","NO")</f>
        <v>NO</v>
      </c>
    </row>
    <row r="140" spans="2:31">
      <c r="B140" t="str">
        <f>Dryseason!B66</f>
        <v>Dry</v>
      </c>
      <c r="C140" s="253">
        <f>Dryseason!C66</f>
        <v>65</v>
      </c>
      <c r="D140" t="s">
        <v>3111</v>
      </c>
      <c r="E140" t="s">
        <v>22</v>
      </c>
      <c r="F140" s="374">
        <v>1</v>
      </c>
      <c r="G140" s="16">
        <f>IF('Dry_Litterbag Placem_Collection'!E67="","",'Dry_Litterbag Placem_Collection'!E67)</f>
        <v>42937</v>
      </c>
      <c r="H140" t="str">
        <f>Dryseason!L66</f>
        <v>G495</v>
      </c>
      <c r="I140" t="str">
        <f>Dryseason!L286</f>
        <v>R731</v>
      </c>
      <c r="J140">
        <f>IFERROR(INDEX('Green_rooibos initial weight'!$C$5:$C$2000,MATCH(H140, 'Green_rooibos initial weight'!$A$5:$A$2000,0)),"")</f>
        <v>2.0390000000000001</v>
      </c>
      <c r="K140">
        <f>IFERROR(INDEX('Green_rooibos initial weight'!$C$5:$C$2000,MATCH(I140, 'Green_rooibos initial weight'!$A$5:$A$2000,0)),"")</f>
        <v>2.2480000000000002</v>
      </c>
      <c r="L140" s="194">
        <f t="shared" si="1"/>
        <v>1.7892000000000001</v>
      </c>
      <c r="M140" s="233">
        <f>AVERAGE(Ashed_controlls!$K$1:$K$11)</f>
        <v>5.5147656768714146</v>
      </c>
      <c r="N140" s="194">
        <f t="shared" ref="N140:N203" si="9">IFERROR(IF(K140&gt;0,(K140*$F$32-($F$29+$F$30)),""),"")</f>
        <v>1.9982000000000002</v>
      </c>
      <c r="O140" s="16">
        <f>IF('Dry_Litterbag Placem_Collection'!G67="","",'Dry_Litterbag Placem_Collection'!G67)</f>
        <v>43005</v>
      </c>
      <c r="P140" s="194" t="str">
        <f>IFERROR(INDEX('Both teabags AfterDry'!$D$3:$D$2000,MATCH(H140,'Both teabags AfterDry'!$A$3:$A$2000,0)),"")</f>
        <v/>
      </c>
      <c r="Q140" s="194" t="str">
        <f>IFERROR(INDEX('Both teabags AfterDry'!$D$3:$D$2000,MATCH(I140,'Both teabags AfterDry'!$A$3:$A$2000,0)),"")</f>
        <v/>
      </c>
      <c r="R140" s="194" t="str">
        <f t="shared" si="2"/>
        <v/>
      </c>
      <c r="S140" s="194" t="str">
        <f t="shared" si="2"/>
        <v/>
      </c>
      <c r="T140" s="194" t="str">
        <f t="shared" si="3"/>
        <v/>
      </c>
      <c r="U140" s="194" t="str">
        <f t="shared" si="4"/>
        <v/>
      </c>
      <c r="V140" s="194" t="str">
        <f t="shared" si="5"/>
        <v/>
      </c>
      <c r="W140">
        <f t="shared" si="6"/>
        <v>68</v>
      </c>
      <c r="X140" s="194" t="str">
        <f t="shared" si="7"/>
        <v/>
      </c>
      <c r="Y140" s="194" t="str">
        <f t="shared" si="8"/>
        <v/>
      </c>
      <c r="Z140" s="245" t="str">
        <f>IF(ISNUMBER(SEARCH("C", 'Dry_Litterbag Placem_Collection'!$T67)),"YES","NO")</f>
        <v>NO</v>
      </c>
      <c r="AA140" s="245" t="str">
        <f>IF(ISNUMBER(SEARCH("H", 'Dry_Litterbag Placem_Collection'!$T67)),"YES","NO")</f>
        <v>NO</v>
      </c>
      <c r="AB140" s="245" t="str">
        <f>IF(ISNUMBER(SEARCH("R", 'Dry_Litterbag Placem_Collection'!$T67)),"YES","NO")</f>
        <v>NO</v>
      </c>
      <c r="AC140" s="245" t="str">
        <f>IF(ISNUMBER(SEARCH("C", 'Dry_Litterbag Placem_Collection'!$S67)),"YES","NO")</f>
        <v>NO</v>
      </c>
      <c r="AD140" s="245" t="str">
        <f>IF(ISNUMBER(SEARCH("H", 'Dry_Litterbag Placem_Collection'!$S67)),"YES","NO")</f>
        <v>NO</v>
      </c>
      <c r="AE140" s="245" t="str">
        <f>IF(ISNUMBER(SEARCH("R", 'Dry_Litterbag Placem_Collection'!$S67)),"YES","NO")</f>
        <v>NO</v>
      </c>
    </row>
    <row r="141" spans="2:31">
      <c r="B141" t="str">
        <f>Dryseason!B67</f>
        <v>Dry</v>
      </c>
      <c r="C141" s="253">
        <f>Dryseason!C67</f>
        <v>66</v>
      </c>
      <c r="D141" t="s">
        <v>3111</v>
      </c>
      <c r="E141" t="s">
        <v>22</v>
      </c>
      <c r="F141" s="374">
        <v>2</v>
      </c>
      <c r="G141" s="16">
        <f>IF('Dry_Litterbag Placem_Collection'!E68="","",'Dry_Litterbag Placem_Collection'!E68)</f>
        <v>42937</v>
      </c>
      <c r="H141" t="str">
        <f>Dryseason!L67</f>
        <v>G247</v>
      </c>
      <c r="I141" t="str">
        <f>Dryseason!L287</f>
        <v>R816</v>
      </c>
      <c r="J141">
        <f>IFERROR(INDEX('Green_rooibos initial weight'!$C$5:$C$2000,MATCH(H141, 'Green_rooibos initial weight'!$A$5:$A$2000,0)),"")</f>
        <v>2.13</v>
      </c>
      <c r="K141">
        <f>IFERROR(INDEX('Green_rooibos initial weight'!$C$5:$C$2000,MATCH(I141, 'Green_rooibos initial weight'!$A$5:$A$2000,0)),"")</f>
        <v>2.194</v>
      </c>
      <c r="L141" s="194">
        <f t="shared" ref="L141:L204" si="10">IFERROR(IF(J141&gt;0,(J141*$F$31-($F$29+$F$30)),""),"")</f>
        <v>1.8801999999999999</v>
      </c>
      <c r="M141" s="233">
        <f>AVERAGE(Ashed_controlls!$K$1:$K$11)</f>
        <v>5.5147656768714146</v>
      </c>
      <c r="N141" s="194">
        <f t="shared" si="9"/>
        <v>1.9441999999999999</v>
      </c>
      <c r="O141" s="16">
        <f>IF('Dry_Litterbag Placem_Collection'!G68="","",'Dry_Litterbag Placem_Collection'!G68)</f>
        <v>43005</v>
      </c>
      <c r="P141" s="194">
        <f>IFERROR(INDEX('Both teabags AfterDry'!$D$3:$D$2000,MATCH(H141,'Both teabags AfterDry'!$A$3:$A$2000,0)),"")</f>
        <v>1.9853000000000001</v>
      </c>
      <c r="Q141" s="194">
        <f>IFERROR(INDEX('Both teabags AfterDry'!$D$3:$D$2000,MATCH(I141,'Both teabags AfterDry'!$A$3:$A$2000,0)),"")</f>
        <v>1.9451000000000001</v>
      </c>
      <c r="R141" s="194">
        <f t="shared" ref="R141:S204" si="11">IFERROR(IF(P141&gt;0,P141-($F$29),""),"")</f>
        <v>1.8347</v>
      </c>
      <c r="S141" s="194">
        <f t="shared" si="11"/>
        <v>1.7945</v>
      </c>
      <c r="T141" s="194">
        <f t="shared" ref="T141:T204" si="12">IFERROR(1-R141/L141,"")</f>
        <v>2.4199553239017013E-2</v>
      </c>
      <c r="U141" s="194">
        <f t="shared" ref="U141:U204" si="13">IFERROR($F$26*(1-X141),"")</f>
        <v>1.5864790246956535E-2</v>
      </c>
      <c r="V141" s="194">
        <f t="shared" ref="V141:V204" si="14">IFERROR(S141/N141,"")</f>
        <v>0.92300174879127661</v>
      </c>
      <c r="W141">
        <f t="shared" ref="W141:W204" si="15">IFERROR(IF((O141-G141)&gt;0,(IFERROR(O141-G141,"")),""),"")</f>
        <v>68</v>
      </c>
      <c r="X141" s="194">
        <f t="shared" ref="X141:X204" si="16">IFERROR(1-(T141/$F$25),"")</f>
        <v>0.97125943795841208</v>
      </c>
      <c r="Y141" s="194" t="str">
        <f t="shared" ref="Y141:Y204" si="17">IFERROR(LN(U141/(V141-(1-U141)))/W141,"")</f>
        <v/>
      </c>
      <c r="Z141" s="245" t="str">
        <f>IF(ISNUMBER(SEARCH("C", 'Dry_Litterbag Placem_Collection'!$T68)),"YES","NO")</f>
        <v>NO</v>
      </c>
      <c r="AA141" s="245" t="str">
        <f>IF(ISNUMBER(SEARCH("H", 'Dry_Litterbag Placem_Collection'!$T68)),"YES","NO")</f>
        <v>NO</v>
      </c>
      <c r="AB141" s="245" t="str">
        <f>IF(ISNUMBER(SEARCH("R", 'Dry_Litterbag Placem_Collection'!$T68)),"YES","NO")</f>
        <v>NO</v>
      </c>
      <c r="AC141" s="245" t="str">
        <f>IF(ISNUMBER(SEARCH("C", 'Dry_Litterbag Placem_Collection'!$S68)),"YES","NO")</f>
        <v>YES</v>
      </c>
      <c r="AD141" s="245" t="str">
        <f>IF(ISNUMBER(SEARCH("H", 'Dry_Litterbag Placem_Collection'!$S68)),"YES","NO")</f>
        <v>YES</v>
      </c>
      <c r="AE141" s="245" t="str">
        <f>IF(ISNUMBER(SEARCH("R", 'Dry_Litterbag Placem_Collection'!$S68)),"YES","NO")</f>
        <v>NO</v>
      </c>
    </row>
    <row r="142" spans="2:31">
      <c r="B142" t="str">
        <f>Dryseason!B68</f>
        <v>Dry</v>
      </c>
      <c r="C142" s="253">
        <f>Dryseason!C68</f>
        <v>67</v>
      </c>
      <c r="D142" t="s">
        <v>3111</v>
      </c>
      <c r="E142" t="s">
        <v>22</v>
      </c>
      <c r="F142" s="374">
        <v>3</v>
      </c>
      <c r="G142" s="16" t="str">
        <f>IF('Dry_Litterbag Placem_Collection'!E69="","",'Dry_Litterbag Placem_Collection'!E69)</f>
        <v/>
      </c>
      <c r="H142" t="str">
        <f>Dryseason!L68</f>
        <v/>
      </c>
      <c r="I142" t="str">
        <f>Dryseason!L288</f>
        <v/>
      </c>
      <c r="J142" t="str">
        <f>IFERROR(INDEX('Green_rooibos initial weight'!$C$5:$C$2000,MATCH(H142, 'Green_rooibos initial weight'!$A$5:$A$2000,0)),"")</f>
        <v/>
      </c>
      <c r="K142" t="str">
        <f>IFERROR(INDEX('Green_rooibos initial weight'!$C$5:$C$2000,MATCH(I142, 'Green_rooibos initial weight'!$A$5:$A$2000,0)),"")</f>
        <v/>
      </c>
      <c r="L142" s="194" t="str">
        <f t="shared" si="10"/>
        <v/>
      </c>
      <c r="M142" s="233">
        <f>AVERAGE(Ashed_controlls!$K$1:$K$11)</f>
        <v>5.5147656768714146</v>
      </c>
      <c r="N142" s="194" t="str">
        <f t="shared" si="9"/>
        <v/>
      </c>
      <c r="O142" s="16" t="str">
        <f>IF('Dry_Litterbag Placem_Collection'!G69="","",'Dry_Litterbag Placem_Collection'!G69)</f>
        <v/>
      </c>
      <c r="P142" s="194" t="str">
        <f>IFERROR(INDEX('Both teabags AfterDry'!$D$3:$D$2000,MATCH(H142,'Both teabags AfterDry'!$A$3:$A$2000,0)),"")</f>
        <v/>
      </c>
      <c r="Q142" s="194" t="str">
        <f>IFERROR(INDEX('Both teabags AfterDry'!$D$3:$D$2000,MATCH(I142,'Both teabags AfterDry'!$A$3:$A$2000,0)),"")</f>
        <v/>
      </c>
      <c r="R142" s="194" t="str">
        <f t="shared" si="11"/>
        <v/>
      </c>
      <c r="S142" s="194" t="str">
        <f t="shared" si="11"/>
        <v/>
      </c>
      <c r="T142" s="194" t="str">
        <f t="shared" si="12"/>
        <v/>
      </c>
      <c r="U142" s="194" t="str">
        <f t="shared" si="13"/>
        <v/>
      </c>
      <c r="V142" s="194" t="str">
        <f t="shared" si="14"/>
        <v/>
      </c>
      <c r="W142" t="str">
        <f t="shared" si="15"/>
        <v/>
      </c>
      <c r="X142" s="194" t="str">
        <f t="shared" si="16"/>
        <v/>
      </c>
      <c r="Y142" s="194" t="str">
        <f t="shared" si="17"/>
        <v/>
      </c>
      <c r="Z142" s="245" t="str">
        <f>IF(ISNUMBER(SEARCH("C", 'Dry_Litterbag Placem_Collection'!$T69)),"YES","NO")</f>
        <v>NO</v>
      </c>
      <c r="AA142" s="245" t="str">
        <f>IF(ISNUMBER(SEARCH("H", 'Dry_Litterbag Placem_Collection'!$T69)),"YES","NO")</f>
        <v>NO</v>
      </c>
      <c r="AB142" s="245" t="str">
        <f>IF(ISNUMBER(SEARCH("R", 'Dry_Litterbag Placem_Collection'!$T69)),"YES","NO")</f>
        <v>NO</v>
      </c>
      <c r="AC142" s="245" t="str">
        <f>IF(ISNUMBER(SEARCH("C", 'Dry_Litterbag Placem_Collection'!$S69)),"YES","NO")</f>
        <v>NO</v>
      </c>
      <c r="AD142" s="245" t="str">
        <f>IF(ISNUMBER(SEARCH("H", 'Dry_Litterbag Placem_Collection'!$S69)),"YES","NO")</f>
        <v>NO</v>
      </c>
      <c r="AE142" s="245" t="str">
        <f>IF(ISNUMBER(SEARCH("R", 'Dry_Litterbag Placem_Collection'!$S69)),"YES","NO")</f>
        <v>NO</v>
      </c>
    </row>
    <row r="143" spans="2:31">
      <c r="B143" t="str">
        <f>Dryseason!B69</f>
        <v>Dry</v>
      </c>
      <c r="C143" s="253">
        <f>Dryseason!C69</f>
        <v>68</v>
      </c>
      <c r="D143" t="s">
        <v>3111</v>
      </c>
      <c r="E143" t="s">
        <v>22</v>
      </c>
      <c r="F143" s="375">
        <v>4</v>
      </c>
      <c r="G143" s="16">
        <f>IF('Dry_Litterbag Placem_Collection'!E70="","",'Dry_Litterbag Placem_Collection'!E70)</f>
        <v>42937</v>
      </c>
      <c r="H143" t="str">
        <f>Dryseason!L69</f>
        <v>G63</v>
      </c>
      <c r="I143" t="str">
        <f>Dryseason!L289</f>
        <v>R815</v>
      </c>
      <c r="J143">
        <f>IFERROR(INDEX('Green_rooibos initial weight'!$C$5:$C$2000,MATCH(H143, 'Green_rooibos initial weight'!$A$5:$A$2000,0)),"")</f>
        <v>2</v>
      </c>
      <c r="K143">
        <f>IFERROR(INDEX('Green_rooibos initial weight'!$C$5:$C$2000,MATCH(I143, 'Green_rooibos initial weight'!$A$5:$A$2000,0)),"")</f>
        <v>2.2130000000000001</v>
      </c>
      <c r="L143" s="194">
        <f t="shared" si="10"/>
        <v>1.7502</v>
      </c>
      <c r="M143" s="233">
        <f>AVERAGE(Ashed_controlls!$K$1:$K$11)</f>
        <v>5.5147656768714146</v>
      </c>
      <c r="N143" s="194">
        <f t="shared" si="9"/>
        <v>1.9632000000000001</v>
      </c>
      <c r="O143" s="16">
        <f>IF('Dry_Litterbag Placem_Collection'!G70="","",'Dry_Litterbag Placem_Collection'!G70)</f>
        <v>43005</v>
      </c>
      <c r="P143" s="194">
        <f>IFERROR(INDEX('Both teabags AfterDry'!$D$3:$D$2000,MATCH(H143,'Both teabags AfterDry'!$A$3:$A$2000,0)),"")</f>
        <v>1.8152999999999999</v>
      </c>
      <c r="Q143" s="194">
        <f>IFERROR(INDEX('Both teabags AfterDry'!$D$3:$D$2000,MATCH(I143,'Both teabags AfterDry'!$A$3:$A$2000,0)),"")</f>
        <v>1.9467000000000001</v>
      </c>
      <c r="R143" s="194">
        <f t="shared" si="11"/>
        <v>1.6646999999999998</v>
      </c>
      <c r="S143" s="194">
        <f t="shared" si="11"/>
        <v>1.7961</v>
      </c>
      <c r="T143" s="194">
        <f t="shared" si="12"/>
        <v>4.8851559821734725E-2</v>
      </c>
      <c r="U143" s="194">
        <f t="shared" si="13"/>
        <v>3.2026200738239405E-2</v>
      </c>
      <c r="V143" s="194">
        <f t="shared" si="14"/>
        <v>0.91488386308068459</v>
      </c>
      <c r="W143">
        <f t="shared" si="15"/>
        <v>68</v>
      </c>
      <c r="X143" s="194">
        <f t="shared" si="16"/>
        <v>0.94198152040174021</v>
      </c>
      <c r="Y143" s="194" t="str">
        <f t="shared" si="17"/>
        <v/>
      </c>
      <c r="Z143" s="245" t="str">
        <f>IF(ISNUMBER(SEARCH("C", 'Dry_Litterbag Placem_Collection'!$T70)),"YES","NO")</f>
        <v>NO</v>
      </c>
      <c r="AA143" s="245" t="str">
        <f>IF(ISNUMBER(SEARCH("H", 'Dry_Litterbag Placem_Collection'!$T70)),"YES","NO")</f>
        <v>NO</v>
      </c>
      <c r="AB143" s="245" t="str">
        <f>IF(ISNUMBER(SEARCH("R", 'Dry_Litterbag Placem_Collection'!$T70)),"YES","NO")</f>
        <v>NO</v>
      </c>
      <c r="AC143" s="245" t="str">
        <f>IF(ISNUMBER(SEARCH("C", 'Dry_Litterbag Placem_Collection'!$S70)),"YES","NO")</f>
        <v>NO</v>
      </c>
      <c r="AD143" s="245" t="str">
        <f>IF(ISNUMBER(SEARCH("H", 'Dry_Litterbag Placem_Collection'!$S70)),"YES","NO")</f>
        <v>NO</v>
      </c>
      <c r="AE143" s="245" t="str">
        <f>IF(ISNUMBER(SEARCH("R", 'Dry_Litterbag Placem_Collection'!$S70)),"YES","NO")</f>
        <v>NO</v>
      </c>
    </row>
    <row r="144" spans="2:31">
      <c r="B144" t="str">
        <f>Dryseason!B70</f>
        <v>Dry</v>
      </c>
      <c r="C144" s="253">
        <f>Dryseason!C70</f>
        <v>69</v>
      </c>
      <c r="D144" t="s">
        <v>3111</v>
      </c>
      <c r="E144" t="s">
        <v>22</v>
      </c>
      <c r="F144" s="375">
        <v>5</v>
      </c>
      <c r="G144" s="16">
        <f>IF('Dry_Litterbag Placem_Collection'!E71="","",'Dry_Litterbag Placem_Collection'!E71)</f>
        <v>42937</v>
      </c>
      <c r="H144" t="str">
        <f>Dryseason!L70</f>
        <v>G382</v>
      </c>
      <c r="I144" t="str">
        <f>Dryseason!L290</f>
        <v>R741</v>
      </c>
      <c r="J144">
        <f>IFERROR(INDEX('Green_rooibos initial weight'!$C$5:$C$2000,MATCH(H144, 'Green_rooibos initial weight'!$A$5:$A$2000,0)),"")</f>
        <v>2.0960000000000001</v>
      </c>
      <c r="K144">
        <f>IFERROR(INDEX('Green_rooibos initial weight'!$C$5:$C$2000,MATCH(I144, 'Green_rooibos initial weight'!$A$5:$A$2000,0)),"")</f>
        <v>2.262</v>
      </c>
      <c r="L144" s="194">
        <f t="shared" si="10"/>
        <v>1.8462000000000001</v>
      </c>
      <c r="M144" s="233">
        <f>AVERAGE(Ashed_controlls!$K$1:$K$11)</f>
        <v>5.5147656768714146</v>
      </c>
      <c r="N144" s="194">
        <f t="shared" si="9"/>
        <v>2.0122</v>
      </c>
      <c r="O144" s="16">
        <f>IF('Dry_Litterbag Placem_Collection'!G71="","",'Dry_Litterbag Placem_Collection'!G71)</f>
        <v>43006</v>
      </c>
      <c r="P144" s="194">
        <f>IFERROR(INDEX('Both teabags AfterDry'!$D$3:$D$2000,MATCH(H144,'Both teabags AfterDry'!$A$3:$A$2000,0)),"")</f>
        <v>1.8677999999999999</v>
      </c>
      <c r="Q144" s="194">
        <f>IFERROR(INDEX('Both teabags AfterDry'!$D$3:$D$2000,MATCH(I144,'Both teabags AfterDry'!$A$3:$A$2000,0)),"")</f>
        <v>1.9702999999999999</v>
      </c>
      <c r="R144" s="194">
        <f t="shared" si="11"/>
        <v>1.7171999999999998</v>
      </c>
      <c r="S144" s="194">
        <f t="shared" si="11"/>
        <v>1.8196999999999999</v>
      </c>
      <c r="T144" s="194">
        <f t="shared" si="12"/>
        <v>6.9873253168670879E-2</v>
      </c>
      <c r="U144" s="194">
        <f t="shared" si="13"/>
        <v>4.5807643407489697E-2</v>
      </c>
      <c r="V144" s="194">
        <f t="shared" si="14"/>
        <v>0.90433356525196296</v>
      </c>
      <c r="W144">
        <f t="shared" si="15"/>
        <v>69</v>
      </c>
      <c r="X144" s="194">
        <f t="shared" si="16"/>
        <v>0.91701513875454765</v>
      </c>
      <c r="Y144" s="194" t="str">
        <f t="shared" si="17"/>
        <v/>
      </c>
      <c r="Z144" s="245" t="str">
        <f>IF(ISNUMBER(SEARCH("C", 'Dry_Litterbag Placem_Collection'!$T71)),"YES","NO")</f>
        <v>YES</v>
      </c>
      <c r="AA144" s="245" t="str">
        <f>IF(ISNUMBER(SEARCH("H", 'Dry_Litterbag Placem_Collection'!$T71)),"YES","NO")</f>
        <v>NO</v>
      </c>
      <c r="AB144" s="245" t="str">
        <f>IF(ISNUMBER(SEARCH("R", 'Dry_Litterbag Placem_Collection'!$T71)),"YES","NO")</f>
        <v>NO</v>
      </c>
      <c r="AC144" s="245" t="str">
        <f>IF(ISNUMBER(SEARCH("C", 'Dry_Litterbag Placem_Collection'!$S71)),"YES","NO")</f>
        <v>NO</v>
      </c>
      <c r="AD144" s="245" t="str">
        <f>IF(ISNUMBER(SEARCH("H", 'Dry_Litterbag Placem_Collection'!$S71)),"YES","NO")</f>
        <v>NO</v>
      </c>
      <c r="AE144" s="245" t="str">
        <f>IF(ISNUMBER(SEARCH("R", 'Dry_Litterbag Placem_Collection'!$S71)),"YES","NO")</f>
        <v>NO</v>
      </c>
    </row>
    <row r="145" spans="2:31">
      <c r="B145" t="str">
        <f>Dryseason!B71</f>
        <v>Dry</v>
      </c>
      <c r="C145" s="253">
        <f>Dryseason!C71</f>
        <v>70</v>
      </c>
      <c r="D145" t="s">
        <v>3111</v>
      </c>
      <c r="E145" t="s">
        <v>22</v>
      </c>
      <c r="F145" s="375">
        <v>6</v>
      </c>
      <c r="G145" s="16">
        <f>IF('Dry_Litterbag Placem_Collection'!E72="","",'Dry_Litterbag Placem_Collection'!E72)</f>
        <v>42937</v>
      </c>
      <c r="H145" t="str">
        <f>Dryseason!L71</f>
        <v>G278</v>
      </c>
      <c r="I145" t="str">
        <f>Dryseason!L291</f>
        <v>R294</v>
      </c>
      <c r="J145">
        <f>IFERROR(INDEX('Green_rooibos initial weight'!$C$5:$C$2000,MATCH(H145, 'Green_rooibos initial weight'!$A$5:$A$2000,0)),"")</f>
        <v>2.0049999999999999</v>
      </c>
      <c r="K145">
        <f>IFERROR(INDEX('Green_rooibos initial weight'!$C$5:$C$2000,MATCH(I145, 'Green_rooibos initial weight'!$A$5:$A$2000,0)),"")</f>
        <v>2.226</v>
      </c>
      <c r="L145" s="194">
        <f t="shared" si="10"/>
        <v>1.7551999999999999</v>
      </c>
      <c r="M145" s="233">
        <f>AVERAGE(Ashed_controlls!$K$1:$K$11)</f>
        <v>5.5147656768714146</v>
      </c>
      <c r="N145" s="194">
        <f t="shared" si="9"/>
        <v>1.9762</v>
      </c>
      <c r="O145" s="16">
        <f>IF('Dry_Litterbag Placem_Collection'!G72="","",'Dry_Litterbag Placem_Collection'!G72)</f>
        <v>43006</v>
      </c>
      <c r="P145" s="194">
        <f>IFERROR(INDEX('Both teabags AfterDry'!$D$3:$D$2000,MATCH(H145,'Both teabags AfterDry'!$A$3:$A$2000,0)),"")</f>
        <v>1.8243</v>
      </c>
      <c r="Q145" s="194">
        <f>IFERROR(INDEX('Both teabags AfterDry'!$D$3:$D$2000,MATCH(I145,'Both teabags AfterDry'!$A$3:$A$2000,0)),"")</f>
        <v>0.51</v>
      </c>
      <c r="R145" s="194">
        <f t="shared" si="11"/>
        <v>1.6737</v>
      </c>
      <c r="S145" s="194">
        <f t="shared" si="11"/>
        <v>0.3594</v>
      </c>
      <c r="T145" s="194">
        <f t="shared" si="12"/>
        <v>4.6433454876937064E-2</v>
      </c>
      <c r="U145" s="194">
        <f t="shared" si="13"/>
        <v>3.0440934788680849E-2</v>
      </c>
      <c r="V145" s="194">
        <f t="shared" si="14"/>
        <v>0.18186418378706609</v>
      </c>
      <c r="W145">
        <f t="shared" si="15"/>
        <v>69</v>
      </c>
      <c r="X145" s="194">
        <f t="shared" si="16"/>
        <v>0.94485337900601296</v>
      </c>
      <c r="Y145" s="194" t="str">
        <f t="shared" si="17"/>
        <v/>
      </c>
      <c r="Z145" s="245" t="str">
        <f>IF(ISNUMBER(SEARCH("C", 'Dry_Litterbag Placem_Collection'!$T72)),"YES","NO")</f>
        <v>YES</v>
      </c>
      <c r="AA145" s="245" t="str">
        <f>IF(ISNUMBER(SEARCH("H", 'Dry_Litterbag Placem_Collection'!$T72)),"YES","NO")</f>
        <v>YES</v>
      </c>
      <c r="AB145" s="245" t="str">
        <f>IF(ISNUMBER(SEARCH("R", 'Dry_Litterbag Placem_Collection'!$T72)),"YES","NO")</f>
        <v>NO</v>
      </c>
      <c r="AC145" s="245" t="str">
        <f>IF(ISNUMBER(SEARCH("C", 'Dry_Litterbag Placem_Collection'!$S72)),"YES","NO")</f>
        <v>NO</v>
      </c>
      <c r="AD145" s="245" t="str">
        <f>IF(ISNUMBER(SEARCH("H", 'Dry_Litterbag Placem_Collection'!$S72)),"YES","NO")</f>
        <v>NO</v>
      </c>
      <c r="AE145" s="245" t="str">
        <f>IF(ISNUMBER(SEARCH("R", 'Dry_Litterbag Placem_Collection'!$S72)),"YES","NO")</f>
        <v>NO</v>
      </c>
    </row>
    <row r="146" spans="2:31">
      <c r="B146" t="str">
        <f>Dryseason!B72</f>
        <v>Dry</v>
      </c>
      <c r="C146" s="253">
        <f>Dryseason!C72</f>
        <v>71</v>
      </c>
      <c r="D146" t="s">
        <v>3111</v>
      </c>
      <c r="E146" t="s">
        <v>22</v>
      </c>
      <c r="F146" s="375">
        <v>7</v>
      </c>
      <c r="G146" s="16">
        <f>IF('Dry_Litterbag Placem_Collection'!E73="","",'Dry_Litterbag Placem_Collection'!E73)</f>
        <v>42937</v>
      </c>
      <c r="H146" t="str">
        <f>Dryseason!L72</f>
        <v>G138</v>
      </c>
      <c r="I146" t="str">
        <f>Dryseason!L292</f>
        <v>R761</v>
      </c>
      <c r="J146">
        <f>IFERROR(INDEX('Green_rooibos initial weight'!$C$5:$C$2000,MATCH(H146, 'Green_rooibos initial weight'!$A$5:$A$2000,0)),"")</f>
        <v>1.956</v>
      </c>
      <c r="K146">
        <f>IFERROR(INDEX('Green_rooibos initial weight'!$C$5:$C$2000,MATCH(I146, 'Green_rooibos initial weight'!$A$5:$A$2000,0)),"")</f>
        <v>2.1509999999999998</v>
      </c>
      <c r="L146" s="194">
        <f t="shared" si="10"/>
        <v>1.7061999999999999</v>
      </c>
      <c r="M146" s="233">
        <f>AVERAGE(Ashed_controlls!$K$1:$K$11)</f>
        <v>5.5147656768714146</v>
      </c>
      <c r="N146" s="194">
        <f t="shared" si="9"/>
        <v>1.9011999999999998</v>
      </c>
      <c r="O146" s="16">
        <f>IF('Dry_Litterbag Placem_Collection'!G73="","",'Dry_Litterbag Placem_Collection'!G73)</f>
        <v>43006</v>
      </c>
      <c r="P146" s="194">
        <f>IFERROR(INDEX('Both teabags AfterDry'!$D$3:$D$2000,MATCH(H146,'Both teabags AfterDry'!$A$3:$A$2000,0)),"")</f>
        <v>1.782</v>
      </c>
      <c r="Q146" s="194">
        <f>IFERROR(INDEX('Both teabags AfterDry'!$D$3:$D$2000,MATCH(I146,'Both teabags AfterDry'!$A$3:$A$2000,0)),"")</f>
        <v>1.9017999999999999</v>
      </c>
      <c r="R146" s="194">
        <f t="shared" si="11"/>
        <v>1.6314</v>
      </c>
      <c r="S146" s="194">
        <f t="shared" si="11"/>
        <v>1.7511999999999999</v>
      </c>
      <c r="T146" s="194">
        <f t="shared" si="12"/>
        <v>4.3840112530770137E-2</v>
      </c>
      <c r="U146" s="194">
        <f t="shared" si="13"/>
        <v>2.8740786362215082E-2</v>
      </c>
      <c r="V146" s="194">
        <f t="shared" si="14"/>
        <v>0.92110246160319798</v>
      </c>
      <c r="W146">
        <f t="shared" si="15"/>
        <v>69</v>
      </c>
      <c r="X146" s="194">
        <f t="shared" si="16"/>
        <v>0.94793335803946543</v>
      </c>
      <c r="Y146" s="194" t="str">
        <f t="shared" si="17"/>
        <v/>
      </c>
      <c r="Z146" s="245" t="str">
        <f>IF(ISNUMBER(SEARCH("C", 'Dry_Litterbag Placem_Collection'!$T73)),"YES","NO")</f>
        <v>NO</v>
      </c>
      <c r="AA146" s="245" t="str">
        <f>IF(ISNUMBER(SEARCH("H", 'Dry_Litterbag Placem_Collection'!$T73)),"YES","NO")</f>
        <v>NO</v>
      </c>
      <c r="AB146" s="245" t="str">
        <f>IF(ISNUMBER(SEARCH("R", 'Dry_Litterbag Placem_Collection'!$T73)),"YES","NO")</f>
        <v>NO</v>
      </c>
      <c r="AC146" s="245" t="str">
        <f>IF(ISNUMBER(SEARCH("C", 'Dry_Litterbag Placem_Collection'!$S73)),"YES","NO")</f>
        <v>NO</v>
      </c>
      <c r="AD146" s="245" t="str">
        <f>IF(ISNUMBER(SEARCH("H", 'Dry_Litterbag Placem_Collection'!$S73)),"YES","NO")</f>
        <v>NO</v>
      </c>
      <c r="AE146" s="245" t="str">
        <f>IF(ISNUMBER(SEARCH("R", 'Dry_Litterbag Placem_Collection'!$S73)),"YES","NO")</f>
        <v>NO</v>
      </c>
    </row>
    <row r="147" spans="2:31">
      <c r="B147" t="str">
        <f>Dryseason!B73</f>
        <v>Dry</v>
      </c>
      <c r="C147" s="253">
        <f>Dryseason!C73</f>
        <v>72</v>
      </c>
      <c r="D147" t="s">
        <v>3111</v>
      </c>
      <c r="E147" t="s">
        <v>22</v>
      </c>
      <c r="F147" s="375">
        <v>8</v>
      </c>
      <c r="G147" s="16">
        <f>IF('Dry_Litterbag Placem_Collection'!E74="","",'Dry_Litterbag Placem_Collection'!E74)</f>
        <v>42937</v>
      </c>
      <c r="H147" t="str">
        <f>Dryseason!L73</f>
        <v>G431</v>
      </c>
      <c r="I147" t="str">
        <f>Dryseason!L293</f>
        <v>R780</v>
      </c>
      <c r="J147">
        <f>IFERROR(INDEX('Green_rooibos initial weight'!$C$5:$C$2000,MATCH(H147, 'Green_rooibos initial weight'!$A$5:$A$2000,0)),"")</f>
        <v>2.08</v>
      </c>
      <c r="K147">
        <f>IFERROR(INDEX('Green_rooibos initial weight'!$C$5:$C$2000,MATCH(I147, 'Green_rooibos initial weight'!$A$5:$A$2000,0)),"")</f>
        <v>2.19</v>
      </c>
      <c r="L147" s="194">
        <f t="shared" si="10"/>
        <v>1.8302</v>
      </c>
      <c r="M147" s="233">
        <f>AVERAGE(Ashed_controlls!$K$1:$K$11)</f>
        <v>5.5147656768714146</v>
      </c>
      <c r="N147" s="194">
        <f t="shared" si="9"/>
        <v>1.9401999999999999</v>
      </c>
      <c r="O147" s="16">
        <f>IF('Dry_Litterbag Placem_Collection'!G74="","",'Dry_Litterbag Placem_Collection'!G74)</f>
        <v>43006</v>
      </c>
      <c r="P147" s="194">
        <f>IFERROR(INDEX('Both teabags AfterDry'!$D$3:$D$2000,MATCH(H147,'Both teabags AfterDry'!$A$3:$A$2000,0)),"")</f>
        <v>1.8758999999999999</v>
      </c>
      <c r="Q147" s="194">
        <f>IFERROR(INDEX('Both teabags AfterDry'!$D$3:$D$2000,MATCH(I147,'Both teabags AfterDry'!$A$3:$A$2000,0)),"")</f>
        <v>1.9477</v>
      </c>
      <c r="R147" s="194">
        <f t="shared" si="11"/>
        <v>1.7252999999999998</v>
      </c>
      <c r="S147" s="194">
        <f t="shared" si="11"/>
        <v>1.7970999999999999</v>
      </c>
      <c r="T147" s="194">
        <f t="shared" si="12"/>
        <v>5.7316140312534292E-2</v>
      </c>
      <c r="U147" s="194">
        <f t="shared" si="13"/>
        <v>3.7575426903229119E-2</v>
      </c>
      <c r="V147" s="194">
        <f t="shared" si="14"/>
        <v>0.92624471703948041</v>
      </c>
      <c r="W147">
        <f t="shared" si="15"/>
        <v>69</v>
      </c>
      <c r="X147" s="194">
        <f t="shared" si="16"/>
        <v>0.9319285744506719</v>
      </c>
      <c r="Y147" s="194" t="str">
        <f t="shared" si="17"/>
        <v/>
      </c>
      <c r="Z147" s="245" t="str">
        <f>IF(ISNUMBER(SEARCH("C", 'Dry_Litterbag Placem_Collection'!$T74)),"YES","NO")</f>
        <v>NO</v>
      </c>
      <c r="AA147" s="245" t="str">
        <f>IF(ISNUMBER(SEARCH("H", 'Dry_Litterbag Placem_Collection'!$T74)),"YES","NO")</f>
        <v>NO</v>
      </c>
      <c r="AB147" s="245" t="str">
        <f>IF(ISNUMBER(SEARCH("R", 'Dry_Litterbag Placem_Collection'!$T74)),"YES","NO")</f>
        <v>NO</v>
      </c>
      <c r="AC147" s="245" t="str">
        <f>IF(ISNUMBER(SEARCH("C", 'Dry_Litterbag Placem_Collection'!$S74)),"YES","NO")</f>
        <v>NO</v>
      </c>
      <c r="AD147" s="245" t="str">
        <f>IF(ISNUMBER(SEARCH("H", 'Dry_Litterbag Placem_Collection'!$S74)),"YES","NO")</f>
        <v>NO</v>
      </c>
      <c r="AE147" s="245" t="str">
        <f>IF(ISNUMBER(SEARCH("R", 'Dry_Litterbag Placem_Collection'!$S74)),"YES","NO")</f>
        <v>NO</v>
      </c>
    </row>
    <row r="148" spans="2:31">
      <c r="B148" t="str">
        <f>Dryseason!B74</f>
        <v>Dry</v>
      </c>
      <c r="C148" s="253">
        <f>Dryseason!C74</f>
        <v>73</v>
      </c>
      <c r="D148" t="s">
        <v>3113</v>
      </c>
      <c r="E148" t="s">
        <v>22</v>
      </c>
      <c r="F148" s="374">
        <v>1</v>
      </c>
      <c r="G148" s="16">
        <f>IF('Dry_Litterbag Placem_Collection'!E75="","",'Dry_Litterbag Placem_Collection'!E75)</f>
        <v>42937</v>
      </c>
      <c r="H148" t="str">
        <f>Dryseason!L74</f>
        <v>G321</v>
      </c>
      <c r="I148" t="str">
        <f>Dryseason!L294</f>
        <v>R730</v>
      </c>
      <c r="J148">
        <f>IFERROR(INDEX('Green_rooibos initial weight'!$C$5:$C$2000,MATCH(H148, 'Green_rooibos initial weight'!$A$5:$A$2000,0)),"")</f>
        <v>1.9179999999999999</v>
      </c>
      <c r="K148">
        <f>IFERROR(INDEX('Green_rooibos initial weight'!$C$5:$C$2000,MATCH(I148, 'Green_rooibos initial weight'!$A$5:$A$2000,0)),"")</f>
        <v>2.1509999999999998</v>
      </c>
      <c r="L148" s="194">
        <f t="shared" si="10"/>
        <v>1.6681999999999999</v>
      </c>
      <c r="M148" s="233">
        <f>AVERAGE(Ashed_controlls!$K$1:$K$11)</f>
        <v>5.5147656768714146</v>
      </c>
      <c r="N148" s="194">
        <f t="shared" si="9"/>
        <v>1.9011999999999998</v>
      </c>
      <c r="O148" s="16">
        <f>IF('Dry_Litterbag Placem_Collection'!G75="","",'Dry_Litterbag Placem_Collection'!G75)</f>
        <v>43006</v>
      </c>
      <c r="P148" s="194" t="str">
        <f>IFERROR(INDEX('Both teabags AfterDry'!$D$3:$D$2000,MATCH(H148,'Both teabags AfterDry'!$A$3:$A$2000,0)),"")</f>
        <v/>
      </c>
      <c r="Q148" s="194" t="str">
        <f>IFERROR(INDEX('Both teabags AfterDry'!$D$3:$D$2000,MATCH(I148,'Both teabags AfterDry'!$A$3:$A$2000,0)),"")</f>
        <v/>
      </c>
      <c r="R148" s="194" t="str">
        <f t="shared" si="11"/>
        <v/>
      </c>
      <c r="S148" s="194" t="str">
        <f t="shared" si="11"/>
        <v/>
      </c>
      <c r="T148" s="194" t="str">
        <f t="shared" si="12"/>
        <v/>
      </c>
      <c r="U148" s="194" t="str">
        <f t="shared" si="13"/>
        <v/>
      </c>
      <c r="V148" s="194" t="str">
        <f t="shared" si="14"/>
        <v/>
      </c>
      <c r="W148">
        <f t="shared" si="15"/>
        <v>69</v>
      </c>
      <c r="X148" s="194" t="str">
        <f t="shared" si="16"/>
        <v/>
      </c>
      <c r="Y148" s="194" t="str">
        <f t="shared" si="17"/>
        <v/>
      </c>
      <c r="Z148" s="245" t="str">
        <f>IF(ISNUMBER(SEARCH("C", 'Dry_Litterbag Placem_Collection'!$T75)),"YES","NO")</f>
        <v>NO</v>
      </c>
      <c r="AA148" s="245" t="str">
        <f>IF(ISNUMBER(SEARCH("H", 'Dry_Litterbag Placem_Collection'!$T75)),"YES","NO")</f>
        <v>NO</v>
      </c>
      <c r="AB148" s="245" t="str">
        <f>IF(ISNUMBER(SEARCH("R", 'Dry_Litterbag Placem_Collection'!$T75)),"YES","NO")</f>
        <v>NO</v>
      </c>
      <c r="AC148" s="245" t="str">
        <f>IF(ISNUMBER(SEARCH("C", 'Dry_Litterbag Placem_Collection'!$S75)),"YES","NO")</f>
        <v>NO</v>
      </c>
      <c r="AD148" s="245" t="str">
        <f>IF(ISNUMBER(SEARCH("H", 'Dry_Litterbag Placem_Collection'!$S75)),"YES","NO")</f>
        <v>NO</v>
      </c>
      <c r="AE148" s="245" t="str">
        <f>IF(ISNUMBER(SEARCH("R", 'Dry_Litterbag Placem_Collection'!$S75)),"YES","NO")</f>
        <v>NO</v>
      </c>
    </row>
    <row r="149" spans="2:31">
      <c r="B149" t="str">
        <f>Dryseason!B75</f>
        <v>Dry</v>
      </c>
      <c r="C149" s="253">
        <f>Dryseason!C75</f>
        <v>74</v>
      </c>
      <c r="D149" t="s">
        <v>3113</v>
      </c>
      <c r="E149" t="s">
        <v>22</v>
      </c>
      <c r="F149" s="374">
        <v>2</v>
      </c>
      <c r="G149" s="16">
        <f>IF('Dry_Litterbag Placem_Collection'!E76="","",'Dry_Litterbag Placem_Collection'!E76)</f>
        <v>42937</v>
      </c>
      <c r="H149" t="str">
        <f>Dryseason!L75</f>
        <v>G329</v>
      </c>
      <c r="I149" t="str">
        <f>Dryseason!L295</f>
        <v>R825</v>
      </c>
      <c r="J149">
        <f>IFERROR(INDEX('Green_rooibos initial weight'!$C$5:$C$2000,MATCH(H149, 'Green_rooibos initial weight'!$A$5:$A$2000,0)),"")</f>
        <v>1.9550000000000001</v>
      </c>
      <c r="K149">
        <f>IFERROR(INDEX('Green_rooibos initial weight'!$C$5:$C$2000,MATCH(I149, 'Green_rooibos initial weight'!$A$5:$A$2000,0)),"")</f>
        <v>2.1419999999999999</v>
      </c>
      <c r="L149" s="194">
        <f t="shared" si="10"/>
        <v>1.7052</v>
      </c>
      <c r="M149" s="233">
        <f>AVERAGE(Ashed_controlls!$K$1:$K$11)</f>
        <v>5.5147656768714146</v>
      </c>
      <c r="N149" s="194">
        <f t="shared" si="9"/>
        <v>1.8921999999999999</v>
      </c>
      <c r="O149" s="16">
        <f>IF('Dry_Litterbag Placem_Collection'!G76="","",'Dry_Litterbag Placem_Collection'!G76)</f>
        <v>43006</v>
      </c>
      <c r="P149" s="194">
        <f>IFERROR(INDEX('Both teabags AfterDry'!$D$3:$D$2000,MATCH(H149,'Both teabags AfterDry'!$A$3:$A$2000,0)),"")</f>
        <v>1.7850999999999999</v>
      </c>
      <c r="Q149" s="194">
        <f>IFERROR(INDEX('Both teabags AfterDry'!$D$3:$D$2000,MATCH(I149,'Both teabags AfterDry'!$A$3:$A$2000,0)),"")</f>
        <v>1.8925000000000001</v>
      </c>
      <c r="R149" s="194">
        <f t="shared" si="11"/>
        <v>1.6344999999999998</v>
      </c>
      <c r="S149" s="194">
        <f t="shared" si="11"/>
        <v>1.7419</v>
      </c>
      <c r="T149" s="194">
        <f t="shared" si="12"/>
        <v>4.1461412151067467E-2</v>
      </c>
      <c r="U149" s="194">
        <f t="shared" si="13"/>
        <v>2.718135333419153E-2</v>
      </c>
      <c r="V149" s="194">
        <f t="shared" si="14"/>
        <v>0.92056865024838819</v>
      </c>
      <c r="W149">
        <f t="shared" si="15"/>
        <v>69</v>
      </c>
      <c r="X149" s="194">
        <f t="shared" si="16"/>
        <v>0.95075841787284143</v>
      </c>
      <c r="Y149" s="194" t="str">
        <f t="shared" si="17"/>
        <v/>
      </c>
      <c r="Z149" s="245" t="str">
        <f>IF(ISNUMBER(SEARCH("C", 'Dry_Litterbag Placem_Collection'!$T76)),"YES","NO")</f>
        <v>NO</v>
      </c>
      <c r="AA149" s="245" t="str">
        <f>IF(ISNUMBER(SEARCH("H", 'Dry_Litterbag Placem_Collection'!$T76)),"YES","NO")</f>
        <v>NO</v>
      </c>
      <c r="AB149" s="245" t="str">
        <f>IF(ISNUMBER(SEARCH("R", 'Dry_Litterbag Placem_Collection'!$T76)),"YES","NO")</f>
        <v>NO</v>
      </c>
      <c r="AC149" s="245" t="str">
        <f>IF(ISNUMBER(SEARCH("C", 'Dry_Litterbag Placem_Collection'!$S76)),"YES","NO")</f>
        <v>NO</v>
      </c>
      <c r="AD149" s="245" t="str">
        <f>IF(ISNUMBER(SEARCH("H", 'Dry_Litterbag Placem_Collection'!$S76)),"YES","NO")</f>
        <v>NO</v>
      </c>
      <c r="AE149" s="245" t="str">
        <f>IF(ISNUMBER(SEARCH("R", 'Dry_Litterbag Placem_Collection'!$S76)),"YES","NO")</f>
        <v>NO</v>
      </c>
    </row>
    <row r="150" spans="2:31">
      <c r="B150" t="str">
        <f>Dryseason!B76</f>
        <v>Dry</v>
      </c>
      <c r="C150" s="253">
        <f>Dryseason!C76</f>
        <v>75</v>
      </c>
      <c r="D150" t="s">
        <v>3113</v>
      </c>
      <c r="E150" t="s">
        <v>22</v>
      </c>
      <c r="F150" s="374">
        <v>3</v>
      </c>
      <c r="G150" s="16">
        <f>IF('Dry_Litterbag Placem_Collection'!E77="","",'Dry_Litterbag Placem_Collection'!E77)</f>
        <v>42937</v>
      </c>
      <c r="H150" t="str">
        <f>Dryseason!L76</f>
        <v>G215</v>
      </c>
      <c r="I150" t="str">
        <f>Dryseason!L296</f>
        <v>R840</v>
      </c>
      <c r="J150">
        <f>IFERROR(INDEX('Green_rooibos initial weight'!$C$5:$C$2000,MATCH(H150, 'Green_rooibos initial weight'!$A$5:$A$2000,0)),"")</f>
        <v>2.0579999999999998</v>
      </c>
      <c r="K150">
        <f>IFERROR(INDEX('Green_rooibos initial weight'!$C$5:$C$2000,MATCH(I150, 'Green_rooibos initial weight'!$A$5:$A$2000,0)),"")</f>
        <v>2.3010000000000002</v>
      </c>
      <c r="L150" s="194">
        <f t="shared" si="10"/>
        <v>1.8081999999999998</v>
      </c>
      <c r="M150" s="233">
        <f>AVERAGE(Ashed_controlls!$K$1:$K$11)</f>
        <v>5.5147656768714146</v>
      </c>
      <c r="N150" s="194">
        <f t="shared" si="9"/>
        <v>2.0512000000000001</v>
      </c>
      <c r="O150" s="16">
        <f>IF('Dry_Litterbag Placem_Collection'!G77="","",'Dry_Litterbag Placem_Collection'!G77)</f>
        <v>43006</v>
      </c>
      <c r="P150" s="194">
        <f>IFERROR(INDEX('Both teabags AfterDry'!$D$3:$D$2000,MATCH(H150,'Both teabags AfterDry'!$A$3:$A$2000,0)),"")</f>
        <v>1.9146000000000001</v>
      </c>
      <c r="Q150" s="194">
        <f>IFERROR(INDEX('Both teabags AfterDry'!$D$3:$D$2000,MATCH(I150,'Both teabags AfterDry'!$A$3:$A$2000,0)),"")</f>
        <v>2.0405000000000002</v>
      </c>
      <c r="R150" s="194">
        <f t="shared" si="11"/>
        <v>1.764</v>
      </c>
      <c r="S150" s="194">
        <f t="shared" si="11"/>
        <v>1.8899000000000001</v>
      </c>
      <c r="T150" s="194">
        <f t="shared" si="12"/>
        <v>2.4444198650591664E-2</v>
      </c>
      <c r="U150" s="194">
        <f t="shared" si="13"/>
        <v>1.602517536238315E-2</v>
      </c>
      <c r="V150" s="194">
        <f t="shared" si="14"/>
        <v>0.92136310452418102</v>
      </c>
      <c r="W150">
        <f t="shared" si="15"/>
        <v>69</v>
      </c>
      <c r="X150" s="194">
        <f t="shared" si="16"/>
        <v>0.97096888521307401</v>
      </c>
      <c r="Y150" s="194" t="str">
        <f t="shared" si="17"/>
        <v/>
      </c>
      <c r="Z150" s="245" t="str">
        <f>IF(ISNUMBER(SEARCH("C", 'Dry_Litterbag Placem_Collection'!$T77)),"YES","NO")</f>
        <v>NO</v>
      </c>
      <c r="AA150" s="245" t="str">
        <f>IF(ISNUMBER(SEARCH("H", 'Dry_Litterbag Placem_Collection'!$T77)),"YES","NO")</f>
        <v>NO</v>
      </c>
      <c r="AB150" s="245" t="str">
        <f>IF(ISNUMBER(SEARCH("R", 'Dry_Litterbag Placem_Collection'!$T77)),"YES","NO")</f>
        <v>NO</v>
      </c>
      <c r="AC150" s="245" t="str">
        <f>IF(ISNUMBER(SEARCH("C", 'Dry_Litterbag Placem_Collection'!$S77)),"YES","NO")</f>
        <v>NO</v>
      </c>
      <c r="AD150" s="245" t="str">
        <f>IF(ISNUMBER(SEARCH("H", 'Dry_Litterbag Placem_Collection'!$S77)),"YES","NO")</f>
        <v>YES</v>
      </c>
      <c r="AE150" s="245" t="str">
        <f>IF(ISNUMBER(SEARCH("R", 'Dry_Litterbag Placem_Collection'!$S77)),"YES","NO")</f>
        <v>NO</v>
      </c>
    </row>
    <row r="151" spans="2:31">
      <c r="B151" t="str">
        <f>Dryseason!B77</f>
        <v>Dry</v>
      </c>
      <c r="C151" s="253">
        <f>Dryseason!C77</f>
        <v>76</v>
      </c>
      <c r="D151" t="s">
        <v>3113</v>
      </c>
      <c r="E151" t="s">
        <v>22</v>
      </c>
      <c r="F151" s="375">
        <v>4</v>
      </c>
      <c r="G151" s="16">
        <f>IF('Dry_Litterbag Placem_Collection'!E78="","",'Dry_Litterbag Placem_Collection'!E78)</f>
        <v>42937</v>
      </c>
      <c r="H151" t="str">
        <f>Dryseason!L77</f>
        <v>G60</v>
      </c>
      <c r="I151" t="str">
        <f>Dryseason!L297</f>
        <v>R770</v>
      </c>
      <c r="J151">
        <f>IFERROR(INDEX('Green_rooibos initial weight'!$C$5:$C$2000,MATCH(H151, 'Green_rooibos initial weight'!$A$5:$A$2000,0)),"")</f>
        <v>2.1230000000000002</v>
      </c>
      <c r="K151">
        <f>IFERROR(INDEX('Green_rooibos initial weight'!$C$5:$C$2000,MATCH(I151, 'Green_rooibos initial weight'!$A$5:$A$2000,0)),"")</f>
        <v>2.206</v>
      </c>
      <c r="L151" s="194">
        <f t="shared" si="10"/>
        <v>1.8732000000000002</v>
      </c>
      <c r="M151" s="233">
        <f>AVERAGE(Ashed_controlls!$K$1:$K$11)</f>
        <v>5.5147656768714146</v>
      </c>
      <c r="N151" s="194">
        <f t="shared" si="9"/>
        <v>1.9561999999999999</v>
      </c>
      <c r="O151" s="16">
        <f>IF('Dry_Litterbag Placem_Collection'!G78="","",'Dry_Litterbag Placem_Collection'!G78)</f>
        <v>43006</v>
      </c>
      <c r="P151" s="194">
        <f>IFERROR(INDEX('Both teabags AfterDry'!$D$3:$D$2000,MATCH(H151,'Both teabags AfterDry'!$A$3:$A$2000,0)),"")</f>
        <v>1.9540999999999999</v>
      </c>
      <c r="Q151" s="194">
        <f>IFERROR(INDEX('Both teabags AfterDry'!$D$3:$D$2000,MATCH(I151,'Both teabags AfterDry'!$A$3:$A$2000,0)),"")</f>
        <v>1.9444999999999999</v>
      </c>
      <c r="R151" s="194">
        <f t="shared" si="11"/>
        <v>1.8034999999999999</v>
      </c>
      <c r="S151" s="194">
        <f t="shared" si="11"/>
        <v>1.7938999999999998</v>
      </c>
      <c r="T151" s="194">
        <f t="shared" si="12"/>
        <v>3.7209054025197696E-2</v>
      </c>
      <c r="U151" s="194">
        <f t="shared" si="13"/>
        <v>2.4393584111531062E-2</v>
      </c>
      <c r="V151" s="194">
        <f t="shared" si="14"/>
        <v>0.91703302320826086</v>
      </c>
      <c r="W151">
        <f t="shared" si="15"/>
        <v>69</v>
      </c>
      <c r="X151" s="194">
        <f t="shared" si="16"/>
        <v>0.95580872443563214</v>
      </c>
      <c r="Y151" s="194" t="str">
        <f t="shared" si="17"/>
        <v/>
      </c>
      <c r="Z151" s="245" t="str">
        <f>IF(ISNUMBER(SEARCH("C", 'Dry_Litterbag Placem_Collection'!$T78)),"YES","NO")</f>
        <v>NO</v>
      </c>
      <c r="AA151" s="245" t="str">
        <f>IF(ISNUMBER(SEARCH("H", 'Dry_Litterbag Placem_Collection'!$T78)),"YES","NO")</f>
        <v>NO</v>
      </c>
      <c r="AB151" s="245" t="str">
        <f>IF(ISNUMBER(SEARCH("R", 'Dry_Litterbag Placem_Collection'!$T78)),"YES","NO")</f>
        <v>NO</v>
      </c>
      <c r="AC151" s="245" t="str">
        <f>IF(ISNUMBER(SEARCH("C", 'Dry_Litterbag Placem_Collection'!$S78)),"YES","NO")</f>
        <v>NO</v>
      </c>
      <c r="AD151" s="245" t="str">
        <f>IF(ISNUMBER(SEARCH("H", 'Dry_Litterbag Placem_Collection'!$S78)),"YES","NO")</f>
        <v>NO</v>
      </c>
      <c r="AE151" s="245" t="str">
        <f>IF(ISNUMBER(SEARCH("R", 'Dry_Litterbag Placem_Collection'!$S78)),"YES","NO")</f>
        <v>NO</v>
      </c>
    </row>
    <row r="152" spans="2:31">
      <c r="B152" t="str">
        <f>Dryseason!B78</f>
        <v>Dry</v>
      </c>
      <c r="C152" s="253">
        <f>Dryseason!C78</f>
        <v>77</v>
      </c>
      <c r="D152" t="s">
        <v>3113</v>
      </c>
      <c r="E152" t="s">
        <v>22</v>
      </c>
      <c r="F152" s="375">
        <v>5</v>
      </c>
      <c r="G152" s="16" t="str">
        <f>IF('Dry_Litterbag Placem_Collection'!E79="","",'Dry_Litterbag Placem_Collection'!E79)</f>
        <v/>
      </c>
      <c r="H152" t="str">
        <f>Dryseason!L78</f>
        <v/>
      </c>
      <c r="I152" t="str">
        <f>Dryseason!L298</f>
        <v/>
      </c>
      <c r="J152" t="str">
        <f>IFERROR(INDEX('Green_rooibos initial weight'!$C$5:$C$2000,MATCH(H152, 'Green_rooibos initial weight'!$A$5:$A$2000,0)),"")</f>
        <v/>
      </c>
      <c r="K152" t="str">
        <f>IFERROR(INDEX('Green_rooibos initial weight'!$C$5:$C$2000,MATCH(I152, 'Green_rooibos initial weight'!$A$5:$A$2000,0)),"")</f>
        <v/>
      </c>
      <c r="L152" s="194" t="str">
        <f t="shared" si="10"/>
        <v/>
      </c>
      <c r="M152" s="233">
        <f>AVERAGE(Ashed_controlls!$K$1:$K$11)</f>
        <v>5.5147656768714146</v>
      </c>
      <c r="N152" s="194" t="str">
        <f t="shared" si="9"/>
        <v/>
      </c>
      <c r="O152" s="16" t="str">
        <f>IF('Dry_Litterbag Placem_Collection'!G79="","",'Dry_Litterbag Placem_Collection'!G79)</f>
        <v/>
      </c>
      <c r="P152" s="194" t="str">
        <f>IFERROR(INDEX('Both teabags AfterDry'!$D$3:$D$2000,MATCH(H152,'Both teabags AfterDry'!$A$3:$A$2000,0)),"")</f>
        <v/>
      </c>
      <c r="Q152" s="194" t="str">
        <f>IFERROR(INDEX('Both teabags AfterDry'!$D$3:$D$2000,MATCH(I152,'Both teabags AfterDry'!$A$3:$A$2000,0)),"")</f>
        <v/>
      </c>
      <c r="R152" s="194" t="str">
        <f t="shared" si="11"/>
        <v/>
      </c>
      <c r="S152" s="194" t="str">
        <f t="shared" si="11"/>
        <v/>
      </c>
      <c r="T152" s="194" t="str">
        <f t="shared" si="12"/>
        <v/>
      </c>
      <c r="U152" s="194" t="str">
        <f t="shared" si="13"/>
        <v/>
      </c>
      <c r="V152" s="194" t="str">
        <f t="shared" si="14"/>
        <v/>
      </c>
      <c r="W152" t="str">
        <f t="shared" si="15"/>
        <v/>
      </c>
      <c r="X152" s="194" t="str">
        <f t="shared" si="16"/>
        <v/>
      </c>
      <c r="Y152" s="194" t="str">
        <f t="shared" si="17"/>
        <v/>
      </c>
      <c r="Z152" s="245" t="str">
        <f>IF(ISNUMBER(SEARCH("C", 'Dry_Litterbag Placem_Collection'!$T79)),"YES","NO")</f>
        <v>NO</v>
      </c>
      <c r="AA152" s="245" t="str">
        <f>IF(ISNUMBER(SEARCH("H", 'Dry_Litterbag Placem_Collection'!$T79)),"YES","NO")</f>
        <v>NO</v>
      </c>
      <c r="AB152" s="245" t="str">
        <f>IF(ISNUMBER(SEARCH("R", 'Dry_Litterbag Placem_Collection'!$T79)),"YES","NO")</f>
        <v>NO</v>
      </c>
      <c r="AC152" s="245" t="str">
        <f>IF(ISNUMBER(SEARCH("C", 'Dry_Litterbag Placem_Collection'!$S79)),"YES","NO")</f>
        <v>NO</v>
      </c>
      <c r="AD152" s="245" t="str">
        <f>IF(ISNUMBER(SEARCH("H", 'Dry_Litterbag Placem_Collection'!$S79)),"YES","NO")</f>
        <v>NO</v>
      </c>
      <c r="AE152" s="245" t="str">
        <f>IF(ISNUMBER(SEARCH("R", 'Dry_Litterbag Placem_Collection'!$S79)),"YES","NO")</f>
        <v>NO</v>
      </c>
    </row>
    <row r="153" spans="2:31">
      <c r="B153" t="str">
        <f>Dryseason!B79</f>
        <v>Dry</v>
      </c>
      <c r="C153" s="253">
        <f>Dryseason!C79</f>
        <v>78</v>
      </c>
      <c r="D153" t="s">
        <v>3113</v>
      </c>
      <c r="E153" t="s">
        <v>22</v>
      </c>
      <c r="F153" s="375">
        <v>6</v>
      </c>
      <c r="G153" s="16">
        <f>IF('Dry_Litterbag Placem_Collection'!E80="","",'Dry_Litterbag Placem_Collection'!E80)</f>
        <v>42937</v>
      </c>
      <c r="H153" t="str">
        <f>Dryseason!L79</f>
        <v>G97</v>
      </c>
      <c r="I153" t="str">
        <f>Dryseason!L299</f>
        <v>R696</v>
      </c>
      <c r="J153">
        <f>IFERROR(INDEX('Green_rooibos initial weight'!$C$5:$C$2000,MATCH(H153, 'Green_rooibos initial weight'!$A$5:$A$2000,0)),"")</f>
        <v>2.0960000000000001</v>
      </c>
      <c r="K153">
        <f>IFERROR(INDEX('Green_rooibos initial weight'!$C$5:$C$2000,MATCH(I153, 'Green_rooibos initial weight'!$A$5:$A$2000,0)),"")</f>
        <v>2.1389999999999998</v>
      </c>
      <c r="L153" s="194">
        <f t="shared" si="10"/>
        <v>1.8462000000000001</v>
      </c>
      <c r="M153" s="233">
        <f>AVERAGE(Ashed_controlls!$K$1:$K$11)</f>
        <v>5.5147656768714146</v>
      </c>
      <c r="N153" s="194">
        <f t="shared" si="9"/>
        <v>1.8891999999999998</v>
      </c>
      <c r="O153" s="16">
        <f>IF('Dry_Litterbag Placem_Collection'!G80="","",'Dry_Litterbag Placem_Collection'!G80)</f>
        <v>43006</v>
      </c>
      <c r="P153" s="194">
        <f>IFERROR(INDEX('Both teabags AfterDry'!$D$3:$D$2000,MATCH(H153,'Both teabags AfterDry'!$A$3:$A$2000,0)),"")</f>
        <v>1.7647999999999999</v>
      </c>
      <c r="Q153" s="194">
        <f>IFERROR(INDEX('Both teabags AfterDry'!$D$3:$D$2000,MATCH(I153,'Both teabags AfterDry'!$A$3:$A$2000,0)),"")</f>
        <v>1.9605999999999999</v>
      </c>
      <c r="R153" s="194">
        <f t="shared" si="11"/>
        <v>1.6141999999999999</v>
      </c>
      <c r="S153" s="194">
        <f t="shared" si="11"/>
        <v>1.8099999999999998</v>
      </c>
      <c r="T153" s="194">
        <f t="shared" si="12"/>
        <v>0.12566352507853984</v>
      </c>
      <c r="U153" s="194">
        <f t="shared" si="13"/>
        <v>8.2382738531299293E-2</v>
      </c>
      <c r="V153" s="194">
        <f t="shared" si="14"/>
        <v>0.95807749311878043</v>
      </c>
      <c r="W153">
        <f t="shared" si="15"/>
        <v>69</v>
      </c>
      <c r="X153" s="194">
        <f t="shared" si="16"/>
        <v>0.85075590845779114</v>
      </c>
      <c r="Y153" s="194">
        <f t="shared" si="17"/>
        <v>1.03051648404953E-2</v>
      </c>
      <c r="Z153" s="245" t="str">
        <f>IF(ISNUMBER(SEARCH("C", 'Dry_Litterbag Placem_Collection'!$T80)),"YES","NO")</f>
        <v>NO</v>
      </c>
      <c r="AA153" s="245" t="str">
        <f>IF(ISNUMBER(SEARCH("H", 'Dry_Litterbag Placem_Collection'!$T80)),"YES","NO")</f>
        <v>YES</v>
      </c>
      <c r="AB153" s="245" t="str">
        <f>IF(ISNUMBER(SEARCH("R", 'Dry_Litterbag Placem_Collection'!$T80)),"YES","NO")</f>
        <v>NO</v>
      </c>
      <c r="AC153" s="245" t="str">
        <f>IF(ISNUMBER(SEARCH("C", 'Dry_Litterbag Placem_Collection'!$S80)),"YES","NO")</f>
        <v>NO</v>
      </c>
      <c r="AD153" s="245" t="str">
        <f>IF(ISNUMBER(SEARCH("H", 'Dry_Litterbag Placem_Collection'!$S80)),"YES","NO")</f>
        <v>YES</v>
      </c>
      <c r="AE153" s="245" t="str">
        <f>IF(ISNUMBER(SEARCH("R", 'Dry_Litterbag Placem_Collection'!$S80)),"YES","NO")</f>
        <v>NO</v>
      </c>
    </row>
    <row r="154" spans="2:31">
      <c r="B154" t="str">
        <f>Dryseason!B80</f>
        <v>Dry</v>
      </c>
      <c r="C154" s="253">
        <f>Dryseason!C80</f>
        <v>79</v>
      </c>
      <c r="D154" t="s">
        <v>3113</v>
      </c>
      <c r="E154" t="s">
        <v>22</v>
      </c>
      <c r="F154" s="375">
        <v>7</v>
      </c>
      <c r="G154" s="16">
        <f>IF('Dry_Litterbag Placem_Collection'!E81="","",'Dry_Litterbag Placem_Collection'!E81)</f>
        <v>42937</v>
      </c>
      <c r="H154" t="str">
        <f>Dryseason!L80</f>
        <v>G130</v>
      </c>
      <c r="I154" t="str">
        <f>Dryseason!L300</f>
        <v>R270</v>
      </c>
      <c r="J154">
        <f>IFERROR(INDEX('Green_rooibos initial weight'!$C$5:$C$2000,MATCH(H154, 'Green_rooibos initial weight'!$A$5:$A$2000,0)),"")</f>
        <v>1.976</v>
      </c>
      <c r="K154">
        <f>IFERROR(INDEX('Green_rooibos initial weight'!$C$5:$C$2000,MATCH(I154, 'Green_rooibos initial weight'!$A$5:$A$2000,0)),"")</f>
        <v>2.2170000000000001</v>
      </c>
      <c r="L154" s="194">
        <f t="shared" si="10"/>
        <v>1.7262</v>
      </c>
      <c r="M154" s="233">
        <f>AVERAGE(Ashed_controlls!$K$1:$K$11)</f>
        <v>5.5147656768714146</v>
      </c>
      <c r="N154" s="194">
        <f t="shared" si="9"/>
        <v>1.9672000000000001</v>
      </c>
      <c r="O154" s="16">
        <f>IF('Dry_Litterbag Placem_Collection'!G81="","",'Dry_Litterbag Placem_Collection'!G81)</f>
        <v>43006</v>
      </c>
      <c r="P154" s="194">
        <f>IFERROR(INDEX('Both teabags AfterDry'!$D$3:$D$2000,MATCH(H154,'Both teabags AfterDry'!$A$3:$A$2000,0)),"")</f>
        <v>1.8545</v>
      </c>
      <c r="Q154" s="194">
        <f>IFERROR(INDEX('Both teabags AfterDry'!$D$3:$D$2000,MATCH(I154,'Both teabags AfterDry'!$A$3:$A$2000,0)),"")</f>
        <v>1.9970000000000001</v>
      </c>
      <c r="R154" s="194">
        <f t="shared" si="11"/>
        <v>1.7039</v>
      </c>
      <c r="S154" s="194">
        <f t="shared" si="11"/>
        <v>1.8464</v>
      </c>
      <c r="T154" s="194">
        <f t="shared" si="12"/>
        <v>1.2918549414899783E-2</v>
      </c>
      <c r="U154" s="194">
        <f t="shared" si="13"/>
        <v>8.4691677874402255E-3</v>
      </c>
      <c r="V154" s="194">
        <f t="shared" si="14"/>
        <v>0.93859292395282634</v>
      </c>
      <c r="W154">
        <f t="shared" si="15"/>
        <v>69</v>
      </c>
      <c r="X154" s="194">
        <f t="shared" si="16"/>
        <v>0.98465730473289814</v>
      </c>
      <c r="Y154" s="194" t="str">
        <f t="shared" si="17"/>
        <v/>
      </c>
      <c r="Z154" s="245" t="str">
        <f>IF(ISNUMBER(SEARCH("C", 'Dry_Litterbag Placem_Collection'!$T81)),"YES","NO")</f>
        <v>NO</v>
      </c>
      <c r="AA154" s="245" t="str">
        <f>IF(ISNUMBER(SEARCH("H", 'Dry_Litterbag Placem_Collection'!$T81)),"YES","NO")</f>
        <v>NO</v>
      </c>
      <c r="AB154" s="245" t="str">
        <f>IF(ISNUMBER(SEARCH("R", 'Dry_Litterbag Placem_Collection'!$T81)),"YES","NO")</f>
        <v>NO</v>
      </c>
      <c r="AC154" s="245" t="str">
        <f>IF(ISNUMBER(SEARCH("C", 'Dry_Litterbag Placem_Collection'!$S81)),"YES","NO")</f>
        <v>NO</v>
      </c>
      <c r="AD154" s="245" t="str">
        <f>IF(ISNUMBER(SEARCH("H", 'Dry_Litterbag Placem_Collection'!$S81)),"YES","NO")</f>
        <v>NO</v>
      </c>
      <c r="AE154" s="245" t="str">
        <f>IF(ISNUMBER(SEARCH("R", 'Dry_Litterbag Placem_Collection'!$S81)),"YES","NO")</f>
        <v>NO</v>
      </c>
    </row>
    <row r="155" spans="2:31">
      <c r="B155" t="str">
        <f>Dryseason!B81</f>
        <v>Dry</v>
      </c>
      <c r="C155" s="253">
        <f>Dryseason!C81</f>
        <v>80</v>
      </c>
      <c r="D155" t="s">
        <v>3113</v>
      </c>
      <c r="E155" t="s">
        <v>22</v>
      </c>
      <c r="F155" s="375">
        <v>8</v>
      </c>
      <c r="G155" s="16">
        <f>IF('Dry_Litterbag Placem_Collection'!E82="","",'Dry_Litterbag Placem_Collection'!E82)</f>
        <v>42937</v>
      </c>
      <c r="H155" t="str">
        <f>Dryseason!L81</f>
        <v>G24</v>
      </c>
      <c r="I155" t="str">
        <f>Dryseason!L301</f>
        <v>R726</v>
      </c>
      <c r="J155">
        <f>IFERROR(INDEX('Green_rooibos initial weight'!$C$5:$C$2000,MATCH(H155, 'Green_rooibos initial weight'!$A$5:$A$2000,0)),"")</f>
        <v>2.09</v>
      </c>
      <c r="K155">
        <f>IFERROR(INDEX('Green_rooibos initial weight'!$C$5:$C$2000,MATCH(I155, 'Green_rooibos initial weight'!$A$5:$A$2000,0)),"")</f>
        <v>2.2810000000000001</v>
      </c>
      <c r="L155" s="194">
        <f t="shared" si="10"/>
        <v>1.8401999999999998</v>
      </c>
      <c r="M155" s="233">
        <f>AVERAGE(Ashed_controlls!$K$1:$K$11)</f>
        <v>5.5147656768714146</v>
      </c>
      <c r="N155" s="194">
        <f t="shared" si="9"/>
        <v>2.0312000000000001</v>
      </c>
      <c r="O155" s="16">
        <f>IF('Dry_Litterbag Placem_Collection'!G82="","",'Dry_Litterbag Placem_Collection'!G82)</f>
        <v>43006</v>
      </c>
      <c r="P155" s="194">
        <f>IFERROR(INDEX('Both teabags AfterDry'!$D$3:$D$2000,MATCH(H155,'Both teabags AfterDry'!$A$3:$A$2000,0)),"")</f>
        <v>1.9084000000000001</v>
      </c>
      <c r="Q155" s="194">
        <f>IFERROR(INDEX('Both teabags AfterDry'!$D$3:$D$2000,MATCH(I155,'Both teabags AfterDry'!$A$3:$A$2000,0)),"")</f>
        <v>1.9471000000000001</v>
      </c>
      <c r="R155" s="194">
        <f t="shared" si="11"/>
        <v>1.7578</v>
      </c>
      <c r="S155" s="194">
        <f t="shared" si="11"/>
        <v>1.7965</v>
      </c>
      <c r="T155" s="194">
        <f t="shared" si="12"/>
        <v>4.4777741549831385E-2</v>
      </c>
      <c r="U155" s="194">
        <f t="shared" si="13"/>
        <v>2.9355479020792084E-2</v>
      </c>
      <c r="V155" s="194">
        <f t="shared" si="14"/>
        <v>0.88445254037022447</v>
      </c>
      <c r="W155">
        <f t="shared" si="15"/>
        <v>69</v>
      </c>
      <c r="X155" s="194">
        <f t="shared" si="16"/>
        <v>0.94681978438262304</v>
      </c>
      <c r="Y155" s="194" t="str">
        <f t="shared" si="17"/>
        <v/>
      </c>
      <c r="Z155" s="245" t="str">
        <f>IF(ISNUMBER(SEARCH("C", 'Dry_Litterbag Placem_Collection'!$T82)),"YES","NO")</f>
        <v>NO</v>
      </c>
      <c r="AA155" s="245" t="str">
        <f>IF(ISNUMBER(SEARCH("H", 'Dry_Litterbag Placem_Collection'!$T82)),"YES","NO")</f>
        <v>NO</v>
      </c>
      <c r="AB155" s="245" t="str">
        <f>IF(ISNUMBER(SEARCH("R", 'Dry_Litterbag Placem_Collection'!$T82)),"YES","NO")</f>
        <v>NO</v>
      </c>
      <c r="AC155" s="245" t="str">
        <f>IF(ISNUMBER(SEARCH("C", 'Dry_Litterbag Placem_Collection'!$S82)),"YES","NO")</f>
        <v>NO</v>
      </c>
      <c r="AD155" s="245" t="str">
        <f>IF(ISNUMBER(SEARCH("H", 'Dry_Litterbag Placem_Collection'!$S82)),"YES","NO")</f>
        <v>NO</v>
      </c>
      <c r="AE155" s="245" t="str">
        <f>IF(ISNUMBER(SEARCH("R", 'Dry_Litterbag Placem_Collection'!$S82)),"YES","NO")</f>
        <v>NO</v>
      </c>
    </row>
    <row r="156" spans="2:31">
      <c r="B156" t="str">
        <f>Dryseason!B82</f>
        <v>Dry</v>
      </c>
      <c r="C156" s="253">
        <f>Dryseason!C82</f>
        <v>81</v>
      </c>
      <c r="D156" t="s">
        <v>3114</v>
      </c>
      <c r="E156" t="s">
        <v>22</v>
      </c>
      <c r="F156" s="374">
        <v>1</v>
      </c>
      <c r="G156" s="16">
        <f>IF('Dry_Litterbag Placem_Collection'!E83="","",'Dry_Litterbag Placem_Collection'!E83)</f>
        <v>42937</v>
      </c>
      <c r="H156" t="str">
        <f>Dryseason!L82</f>
        <v>G312</v>
      </c>
      <c r="I156" t="str">
        <f>Dryseason!L302</f>
        <v>R739</v>
      </c>
      <c r="J156">
        <f>IFERROR(INDEX('Green_rooibos initial weight'!$C$5:$C$2000,MATCH(H156, 'Green_rooibos initial weight'!$A$5:$A$2000,0)),"")</f>
        <v>2.0179999999999998</v>
      </c>
      <c r="K156">
        <f>IFERROR(INDEX('Green_rooibos initial weight'!$C$5:$C$2000,MATCH(I156, 'Green_rooibos initial weight'!$A$5:$A$2000,0)),"")</f>
        <v>2.222</v>
      </c>
      <c r="L156" s="194">
        <f t="shared" si="10"/>
        <v>1.7681999999999998</v>
      </c>
      <c r="M156" s="233">
        <f>AVERAGE(Ashed_controlls!$K$1:$K$11)</f>
        <v>5.5147656768714146</v>
      </c>
      <c r="N156" s="194">
        <f t="shared" si="9"/>
        <v>1.9722</v>
      </c>
      <c r="O156" s="16">
        <f>IF('Dry_Litterbag Placem_Collection'!G83="","",'Dry_Litterbag Placem_Collection'!G83)</f>
        <v>43006</v>
      </c>
      <c r="P156" s="194">
        <f>IFERROR(INDEX('Both teabags AfterDry'!$D$3:$D$2000,MATCH(H156,'Both teabags AfterDry'!$A$3:$A$2000,0)),"")</f>
        <v>1.7978000000000001</v>
      </c>
      <c r="Q156" s="194">
        <f>IFERROR(INDEX('Both teabags AfterDry'!$D$3:$D$2000,MATCH(I156,'Both teabags AfterDry'!$A$3:$A$2000,0)),"")</f>
        <v>1.9457</v>
      </c>
      <c r="R156" s="194">
        <f t="shared" si="11"/>
        <v>1.6472</v>
      </c>
      <c r="S156" s="194">
        <f t="shared" si="11"/>
        <v>1.7950999999999999</v>
      </c>
      <c r="T156" s="194">
        <f t="shared" si="12"/>
        <v>6.8431172944236951E-2</v>
      </c>
      <c r="U156" s="194">
        <f t="shared" si="13"/>
        <v>4.486224164515297E-2</v>
      </c>
      <c r="V156" s="194">
        <f t="shared" si="14"/>
        <v>0.91020180509076154</v>
      </c>
      <c r="W156">
        <f t="shared" si="15"/>
        <v>69</v>
      </c>
      <c r="X156" s="194">
        <f t="shared" si="16"/>
        <v>0.91872782310660694</v>
      </c>
      <c r="Y156" s="194" t="str">
        <f t="shared" si="17"/>
        <v/>
      </c>
      <c r="Z156" s="245" t="str">
        <f>IF(ISNUMBER(SEARCH("C", 'Dry_Litterbag Placem_Collection'!$T83)),"YES","NO")</f>
        <v>NO</v>
      </c>
      <c r="AA156" s="245" t="str">
        <f>IF(ISNUMBER(SEARCH("H", 'Dry_Litterbag Placem_Collection'!$T83)),"YES","NO")</f>
        <v>NO</v>
      </c>
      <c r="AB156" s="245" t="str">
        <f>IF(ISNUMBER(SEARCH("R", 'Dry_Litterbag Placem_Collection'!$T83)),"YES","NO")</f>
        <v>NO</v>
      </c>
      <c r="AC156" s="245" t="str">
        <f>IF(ISNUMBER(SEARCH("C", 'Dry_Litterbag Placem_Collection'!$S83)),"YES","NO")</f>
        <v>NO</v>
      </c>
      <c r="AD156" s="245" t="str">
        <f>IF(ISNUMBER(SEARCH("H", 'Dry_Litterbag Placem_Collection'!$S83)),"YES","NO")</f>
        <v>NO</v>
      </c>
      <c r="AE156" s="245" t="str">
        <f>IF(ISNUMBER(SEARCH("R", 'Dry_Litterbag Placem_Collection'!$S83)),"YES","NO")</f>
        <v>NO</v>
      </c>
    </row>
    <row r="157" spans="2:31">
      <c r="B157" t="str">
        <f>Dryseason!B83</f>
        <v>Dry</v>
      </c>
      <c r="C157" s="253">
        <f>Dryseason!C83</f>
        <v>82</v>
      </c>
      <c r="D157" t="s">
        <v>3114</v>
      </c>
      <c r="E157" t="s">
        <v>22</v>
      </c>
      <c r="F157" s="374">
        <v>2</v>
      </c>
      <c r="G157" s="16">
        <f>IF('Dry_Litterbag Placem_Collection'!E84="","",'Dry_Litterbag Placem_Collection'!E84)</f>
        <v>42937</v>
      </c>
      <c r="H157" t="str">
        <f>Dryseason!L83</f>
        <v>G356</v>
      </c>
      <c r="I157" t="str">
        <f>Dryseason!L303</f>
        <v>R800</v>
      </c>
      <c r="J157">
        <f>IFERROR(INDEX('Green_rooibos initial weight'!$C$5:$C$2000,MATCH(H157, 'Green_rooibos initial weight'!$A$5:$A$2000,0)),"")</f>
        <v>1.9870000000000001</v>
      </c>
      <c r="K157">
        <f>IFERROR(INDEX('Green_rooibos initial weight'!$C$5:$C$2000,MATCH(I157, 'Green_rooibos initial weight'!$A$5:$A$2000,0)),"")</f>
        <v>2.1579999999999999</v>
      </c>
      <c r="L157" s="194">
        <f t="shared" si="10"/>
        <v>1.7372000000000001</v>
      </c>
      <c r="M157" s="233">
        <f>AVERAGE(Ashed_controlls!$K$1:$K$11)</f>
        <v>5.5147656768714146</v>
      </c>
      <c r="N157" s="194">
        <f t="shared" si="9"/>
        <v>1.9081999999999999</v>
      </c>
      <c r="O157" s="16">
        <f>IF('Dry_Litterbag Placem_Collection'!G84="","",'Dry_Litterbag Placem_Collection'!G84)</f>
        <v>43006</v>
      </c>
      <c r="P157" s="194">
        <f>IFERROR(INDEX('Both teabags AfterDry'!$D$3:$D$2000,MATCH(H157,'Both teabags AfterDry'!$A$3:$A$2000,0)),"")</f>
        <v>1.7767999999999999</v>
      </c>
      <c r="Q157" s="194">
        <f>IFERROR(INDEX('Both teabags AfterDry'!$D$3:$D$2000,MATCH(I157,'Both teabags AfterDry'!$A$3:$A$2000,0)),"")</f>
        <v>1.8712</v>
      </c>
      <c r="R157" s="194">
        <f t="shared" si="11"/>
        <v>1.6261999999999999</v>
      </c>
      <c r="S157" s="194">
        <f t="shared" si="11"/>
        <v>1.7205999999999999</v>
      </c>
      <c r="T157" s="194">
        <f t="shared" si="12"/>
        <v>6.3895924476168653E-2</v>
      </c>
      <c r="U157" s="194">
        <f t="shared" si="13"/>
        <v>4.1889014620956198E-2</v>
      </c>
      <c r="V157" s="194">
        <f t="shared" si="14"/>
        <v>0.90168745414526774</v>
      </c>
      <c r="W157">
        <f t="shared" si="15"/>
        <v>69</v>
      </c>
      <c r="X157" s="194">
        <f t="shared" si="16"/>
        <v>0.92411410394754312</v>
      </c>
      <c r="Y157" s="194" t="str">
        <f t="shared" si="17"/>
        <v/>
      </c>
      <c r="Z157" s="245" t="str">
        <f>IF(ISNUMBER(SEARCH("C", 'Dry_Litterbag Placem_Collection'!$T84)),"YES","NO")</f>
        <v>NO</v>
      </c>
      <c r="AA157" s="245" t="str">
        <f>IF(ISNUMBER(SEARCH("H", 'Dry_Litterbag Placem_Collection'!$T84)),"YES","NO")</f>
        <v>NO</v>
      </c>
      <c r="AB157" s="245" t="str">
        <f>IF(ISNUMBER(SEARCH("R", 'Dry_Litterbag Placem_Collection'!$T84)),"YES","NO")</f>
        <v>NO</v>
      </c>
      <c r="AC157" s="245" t="str">
        <f>IF(ISNUMBER(SEARCH("C", 'Dry_Litterbag Placem_Collection'!$S84)),"YES","NO")</f>
        <v>NO</v>
      </c>
      <c r="AD157" s="245" t="str">
        <f>IF(ISNUMBER(SEARCH("H", 'Dry_Litterbag Placem_Collection'!$S84)),"YES","NO")</f>
        <v>NO</v>
      </c>
      <c r="AE157" s="245" t="str">
        <f>IF(ISNUMBER(SEARCH("R", 'Dry_Litterbag Placem_Collection'!$S84)),"YES","NO")</f>
        <v>NO</v>
      </c>
    </row>
    <row r="158" spans="2:31">
      <c r="B158" t="str">
        <f>Dryseason!B84</f>
        <v>Dry</v>
      </c>
      <c r="C158" s="253">
        <f>Dryseason!C84</f>
        <v>83</v>
      </c>
      <c r="D158" t="s">
        <v>3114</v>
      </c>
      <c r="E158" t="s">
        <v>22</v>
      </c>
      <c r="F158" s="374">
        <v>3</v>
      </c>
      <c r="G158" s="16">
        <f>IF('Dry_Litterbag Placem_Collection'!E85="","",'Dry_Litterbag Placem_Collection'!E85)</f>
        <v>42937</v>
      </c>
      <c r="H158" t="str">
        <f>Dryseason!L84</f>
        <v>G331</v>
      </c>
      <c r="I158" t="str">
        <f>Dryseason!L304</f>
        <v>R764</v>
      </c>
      <c r="J158">
        <f>IFERROR(INDEX('Green_rooibos initial weight'!$C$5:$C$2000,MATCH(H158, 'Green_rooibos initial weight'!$A$5:$A$2000,0)),"")</f>
        <v>2.0550000000000002</v>
      </c>
      <c r="K158">
        <f>IFERROR(INDEX('Green_rooibos initial weight'!$C$5:$C$2000,MATCH(I158, 'Green_rooibos initial weight'!$A$5:$A$2000,0)),"")</f>
        <v>2.2160000000000002</v>
      </c>
      <c r="L158" s="194">
        <f t="shared" si="10"/>
        <v>1.8052000000000001</v>
      </c>
      <c r="M158" s="233">
        <f>AVERAGE(Ashed_controlls!$K$1:$K$11)</f>
        <v>5.5147656768714146</v>
      </c>
      <c r="N158" s="194">
        <f t="shared" si="9"/>
        <v>1.9662000000000002</v>
      </c>
      <c r="O158" s="16">
        <f>IF('Dry_Litterbag Placem_Collection'!G85="","",'Dry_Litterbag Placem_Collection'!G85)</f>
        <v>43006</v>
      </c>
      <c r="P158" s="194">
        <f>IFERROR(INDEX('Both teabags AfterDry'!$D$3:$D$2000,MATCH(H158,'Both teabags AfterDry'!$A$3:$A$2000,0)),"")</f>
        <v>1.8354999999999999</v>
      </c>
      <c r="Q158" s="194">
        <f>IFERROR(INDEX('Both teabags AfterDry'!$D$3:$D$2000,MATCH(I158,'Both teabags AfterDry'!$A$3:$A$2000,0)),"")</f>
        <v>1.9178999999999999</v>
      </c>
      <c r="R158" s="194">
        <f t="shared" si="11"/>
        <v>1.6848999999999998</v>
      </c>
      <c r="S158" s="194">
        <f t="shared" si="11"/>
        <v>1.7672999999999999</v>
      </c>
      <c r="T158" s="194">
        <f t="shared" si="12"/>
        <v>6.6640815422114086E-2</v>
      </c>
      <c r="U158" s="194">
        <f t="shared" si="13"/>
        <v>4.3688515573642478E-2</v>
      </c>
      <c r="V158" s="194">
        <f t="shared" si="14"/>
        <v>0.8988404028074457</v>
      </c>
      <c r="W158">
        <f t="shared" si="15"/>
        <v>69</v>
      </c>
      <c r="X158" s="194">
        <f t="shared" si="16"/>
        <v>0.92085413845354624</v>
      </c>
      <c r="Y158" s="194" t="str">
        <f t="shared" si="17"/>
        <v/>
      </c>
      <c r="Z158" s="245" t="str">
        <f>IF(ISNUMBER(SEARCH("C", 'Dry_Litterbag Placem_Collection'!$T85)),"YES","NO")</f>
        <v>NO</v>
      </c>
      <c r="AA158" s="245" t="str">
        <f>IF(ISNUMBER(SEARCH("H", 'Dry_Litterbag Placem_Collection'!$T85)),"YES","NO")</f>
        <v>NO</v>
      </c>
      <c r="AB158" s="245" t="str">
        <f>IF(ISNUMBER(SEARCH("R", 'Dry_Litterbag Placem_Collection'!$T85)),"YES","NO")</f>
        <v>NO</v>
      </c>
      <c r="AC158" s="245" t="str">
        <f>IF(ISNUMBER(SEARCH("C", 'Dry_Litterbag Placem_Collection'!$S85)),"YES","NO")</f>
        <v>NO</v>
      </c>
      <c r="AD158" s="245" t="str">
        <f>IF(ISNUMBER(SEARCH("H", 'Dry_Litterbag Placem_Collection'!$S85)),"YES","NO")</f>
        <v>YES</v>
      </c>
      <c r="AE158" s="245" t="str">
        <f>IF(ISNUMBER(SEARCH("R", 'Dry_Litterbag Placem_Collection'!$S85)),"YES","NO")</f>
        <v>NO</v>
      </c>
    </row>
    <row r="159" spans="2:31">
      <c r="B159" t="str">
        <f>Dryseason!B85</f>
        <v>Dry</v>
      </c>
      <c r="C159" s="253">
        <f>Dryseason!C85</f>
        <v>84</v>
      </c>
      <c r="D159" t="s">
        <v>3114</v>
      </c>
      <c r="E159" t="s">
        <v>22</v>
      </c>
      <c r="F159" s="375">
        <v>4</v>
      </c>
      <c r="G159" s="16">
        <f>IF('Dry_Litterbag Placem_Collection'!E86="","",'Dry_Litterbag Placem_Collection'!E86)</f>
        <v>42937</v>
      </c>
      <c r="H159" t="str">
        <f>Dryseason!L85</f>
        <v>G101</v>
      </c>
      <c r="I159" t="str">
        <f>Dryseason!L305</f>
        <v>R778</v>
      </c>
      <c r="J159">
        <f>IFERROR(INDEX('Green_rooibos initial weight'!$C$5:$C$2000,MATCH(H159, 'Green_rooibos initial weight'!$A$5:$A$2000,0)),"")</f>
        <v>2.173</v>
      </c>
      <c r="K159">
        <f>IFERROR(INDEX('Green_rooibos initial weight'!$C$5:$C$2000,MATCH(I159, 'Green_rooibos initial weight'!$A$5:$A$2000,0)),"")</f>
        <v>2.2450000000000001</v>
      </c>
      <c r="L159" s="194">
        <f t="shared" si="10"/>
        <v>1.9232</v>
      </c>
      <c r="M159" s="233">
        <f>AVERAGE(Ashed_controlls!$K$1:$K$11)</f>
        <v>5.5147656768714146</v>
      </c>
      <c r="N159" s="194">
        <f t="shared" si="9"/>
        <v>1.9952000000000001</v>
      </c>
      <c r="O159" s="16">
        <f>IF('Dry_Litterbag Placem_Collection'!G86="","",'Dry_Litterbag Placem_Collection'!G86)</f>
        <v>43006</v>
      </c>
      <c r="P159" s="194">
        <f>IFERROR(INDEX('Both teabags AfterDry'!$D$3:$D$2000,MATCH(H159,'Both teabags AfterDry'!$A$3:$A$2000,0)),"")</f>
        <v>1.9434</v>
      </c>
      <c r="Q159" s="194">
        <f>IFERROR(INDEX('Both teabags AfterDry'!$D$3:$D$2000,MATCH(I159,'Both teabags AfterDry'!$A$3:$A$2000,0)),"")</f>
        <v>1.9495</v>
      </c>
      <c r="R159" s="194">
        <f t="shared" si="11"/>
        <v>1.7927999999999999</v>
      </c>
      <c r="S159" s="194">
        <f t="shared" si="11"/>
        <v>1.7988999999999999</v>
      </c>
      <c r="T159" s="194">
        <f t="shared" si="12"/>
        <v>6.7803660565723844E-2</v>
      </c>
      <c r="U159" s="194">
        <f t="shared" si="13"/>
        <v>4.4450855857814206E-2</v>
      </c>
      <c r="V159" s="194">
        <f t="shared" si="14"/>
        <v>0.90161387329591014</v>
      </c>
      <c r="W159">
        <f t="shared" si="15"/>
        <v>69</v>
      </c>
      <c r="X159" s="194">
        <f t="shared" si="16"/>
        <v>0.9194730872141047</v>
      </c>
      <c r="Y159" s="194" t="str">
        <f t="shared" si="17"/>
        <v/>
      </c>
      <c r="Z159" s="245" t="str">
        <f>IF(ISNUMBER(SEARCH("C", 'Dry_Litterbag Placem_Collection'!$T86)),"YES","NO")</f>
        <v>NO</v>
      </c>
      <c r="AA159" s="245" t="str">
        <f>IF(ISNUMBER(SEARCH("H", 'Dry_Litterbag Placem_Collection'!$T86)),"YES","NO")</f>
        <v>NO</v>
      </c>
      <c r="AB159" s="245" t="str">
        <f>IF(ISNUMBER(SEARCH("R", 'Dry_Litterbag Placem_Collection'!$T86)),"YES","NO")</f>
        <v>NO</v>
      </c>
      <c r="AC159" s="245" t="str">
        <f>IF(ISNUMBER(SEARCH("C", 'Dry_Litterbag Placem_Collection'!$S86)),"YES","NO")</f>
        <v>NO</v>
      </c>
      <c r="AD159" s="245" t="str">
        <f>IF(ISNUMBER(SEARCH("H", 'Dry_Litterbag Placem_Collection'!$S86)),"YES","NO")</f>
        <v>YES</v>
      </c>
      <c r="AE159" s="245" t="str">
        <f>IF(ISNUMBER(SEARCH("R", 'Dry_Litterbag Placem_Collection'!$S86)),"YES","NO")</f>
        <v>NO</v>
      </c>
    </row>
    <row r="160" spans="2:31">
      <c r="B160" t="str">
        <f>Dryseason!B86</f>
        <v>Dry</v>
      </c>
      <c r="C160" s="253">
        <f>Dryseason!C86</f>
        <v>85</v>
      </c>
      <c r="D160" t="s">
        <v>3114</v>
      </c>
      <c r="E160" t="s">
        <v>22</v>
      </c>
      <c r="F160" s="375">
        <v>5</v>
      </c>
      <c r="G160" s="16" t="str">
        <f>IF('Dry_Litterbag Placem_Collection'!E87="","",'Dry_Litterbag Placem_Collection'!E87)</f>
        <v/>
      </c>
      <c r="H160" t="str">
        <f>Dryseason!L86</f>
        <v/>
      </c>
      <c r="I160" t="str">
        <f>Dryseason!L306</f>
        <v/>
      </c>
      <c r="J160" t="str">
        <f>IFERROR(INDEX('Green_rooibos initial weight'!$C$5:$C$2000,MATCH(H160, 'Green_rooibos initial weight'!$A$5:$A$2000,0)),"")</f>
        <v/>
      </c>
      <c r="K160" t="str">
        <f>IFERROR(INDEX('Green_rooibos initial weight'!$C$5:$C$2000,MATCH(I160, 'Green_rooibos initial weight'!$A$5:$A$2000,0)),"")</f>
        <v/>
      </c>
      <c r="L160" s="194" t="str">
        <f t="shared" si="10"/>
        <v/>
      </c>
      <c r="M160" s="233">
        <f>AVERAGE(Ashed_controlls!$K$1:$K$11)</f>
        <v>5.5147656768714146</v>
      </c>
      <c r="N160" s="194" t="str">
        <f t="shared" si="9"/>
        <v/>
      </c>
      <c r="O160" s="16" t="str">
        <f>IF('Dry_Litterbag Placem_Collection'!G87="","",'Dry_Litterbag Placem_Collection'!G87)</f>
        <v/>
      </c>
      <c r="P160" s="194" t="str">
        <f>IFERROR(INDEX('Both teabags AfterDry'!$D$3:$D$2000,MATCH(H160,'Both teabags AfterDry'!$A$3:$A$2000,0)),"")</f>
        <v/>
      </c>
      <c r="Q160" s="194" t="str">
        <f>IFERROR(INDEX('Both teabags AfterDry'!$D$3:$D$2000,MATCH(I160,'Both teabags AfterDry'!$A$3:$A$2000,0)),"")</f>
        <v/>
      </c>
      <c r="R160" s="194" t="str">
        <f t="shared" si="11"/>
        <v/>
      </c>
      <c r="S160" s="194" t="str">
        <f t="shared" si="11"/>
        <v/>
      </c>
      <c r="T160" s="194" t="str">
        <f t="shared" si="12"/>
        <v/>
      </c>
      <c r="U160" s="194" t="str">
        <f t="shared" si="13"/>
        <v/>
      </c>
      <c r="V160" s="194" t="str">
        <f t="shared" si="14"/>
        <v/>
      </c>
      <c r="W160" t="str">
        <f t="shared" si="15"/>
        <v/>
      </c>
      <c r="X160" s="194" t="str">
        <f t="shared" si="16"/>
        <v/>
      </c>
      <c r="Y160" s="194" t="str">
        <f t="shared" si="17"/>
        <v/>
      </c>
      <c r="Z160" s="245" t="str">
        <f>IF(ISNUMBER(SEARCH("C", 'Dry_Litterbag Placem_Collection'!$T87)),"YES","NO")</f>
        <v>NO</v>
      </c>
      <c r="AA160" s="245" t="str">
        <f>IF(ISNUMBER(SEARCH("H", 'Dry_Litterbag Placem_Collection'!$T87)),"YES","NO")</f>
        <v>NO</v>
      </c>
      <c r="AB160" s="245" t="str">
        <f>IF(ISNUMBER(SEARCH("R", 'Dry_Litterbag Placem_Collection'!$T87)),"YES","NO")</f>
        <v>NO</v>
      </c>
      <c r="AC160" s="245" t="str">
        <f>IF(ISNUMBER(SEARCH("C", 'Dry_Litterbag Placem_Collection'!$S87)),"YES","NO")</f>
        <v>NO</v>
      </c>
      <c r="AD160" s="245" t="str">
        <f>IF(ISNUMBER(SEARCH("H", 'Dry_Litterbag Placem_Collection'!$S87)),"YES","NO")</f>
        <v>NO</v>
      </c>
      <c r="AE160" s="245" t="str">
        <f>IF(ISNUMBER(SEARCH("R", 'Dry_Litterbag Placem_Collection'!$S87)),"YES","NO")</f>
        <v>NO</v>
      </c>
    </row>
    <row r="161" spans="2:31">
      <c r="B161" t="str">
        <f>Dryseason!B87</f>
        <v>Dry</v>
      </c>
      <c r="C161" s="253">
        <f>Dryseason!C87</f>
        <v>86</v>
      </c>
      <c r="D161" t="s">
        <v>3114</v>
      </c>
      <c r="E161" t="s">
        <v>22</v>
      </c>
      <c r="F161" s="375">
        <v>6</v>
      </c>
      <c r="G161" s="16">
        <f>IF('Dry_Litterbag Placem_Collection'!E88="","",'Dry_Litterbag Placem_Collection'!E88)</f>
        <v>42937</v>
      </c>
      <c r="H161" t="str">
        <f>Dryseason!L87</f>
        <v>G31</v>
      </c>
      <c r="I161" t="str">
        <f>Dryseason!L307</f>
        <v>R738</v>
      </c>
      <c r="J161">
        <f>IFERROR(INDEX('Green_rooibos initial weight'!$C$5:$C$2000,MATCH(H161, 'Green_rooibos initial weight'!$A$5:$A$2000,0)),"")</f>
        <v>1.9390000000000001</v>
      </c>
      <c r="K161">
        <f>IFERROR(INDEX('Green_rooibos initial weight'!$C$5:$C$2000,MATCH(I161, 'Green_rooibos initial weight'!$A$5:$A$2000,0)),"")</f>
        <v>2.1890000000000001</v>
      </c>
      <c r="L161" s="194">
        <f t="shared" si="10"/>
        <v>1.6892</v>
      </c>
      <c r="M161" s="233">
        <f>AVERAGE(Ashed_controlls!$K$1:$K$11)</f>
        <v>5.5147656768714146</v>
      </c>
      <c r="N161" s="194">
        <f t="shared" si="9"/>
        <v>1.9392</v>
      </c>
      <c r="O161" s="16">
        <f>IF('Dry_Litterbag Placem_Collection'!G88="","",'Dry_Litterbag Placem_Collection'!G88)</f>
        <v>43006</v>
      </c>
      <c r="P161" s="194" t="str">
        <f>IFERROR(INDEX('Both teabags AfterDry'!$D$3:$D$2000,MATCH(H161,'Both teabags AfterDry'!$A$3:$A$2000,0)),"")</f>
        <v/>
      </c>
      <c r="Q161" s="194" t="str">
        <f>IFERROR(INDEX('Both teabags AfterDry'!$D$3:$D$2000,MATCH(I161,'Both teabags AfterDry'!$A$3:$A$2000,0)),"")</f>
        <v/>
      </c>
      <c r="R161" s="194" t="str">
        <f t="shared" si="11"/>
        <v/>
      </c>
      <c r="S161" s="194" t="str">
        <f t="shared" si="11"/>
        <v/>
      </c>
      <c r="T161" s="194" t="str">
        <f t="shared" si="12"/>
        <v/>
      </c>
      <c r="U161" s="194" t="str">
        <f t="shared" si="13"/>
        <v/>
      </c>
      <c r="V161" s="194" t="str">
        <f t="shared" si="14"/>
        <v/>
      </c>
      <c r="W161">
        <f t="shared" si="15"/>
        <v>69</v>
      </c>
      <c r="X161" s="194" t="str">
        <f t="shared" si="16"/>
        <v/>
      </c>
      <c r="Y161" s="194" t="str">
        <f t="shared" si="17"/>
        <v/>
      </c>
      <c r="Z161" s="245" t="str">
        <f>IF(ISNUMBER(SEARCH("C", 'Dry_Litterbag Placem_Collection'!$T88)),"YES","NO")</f>
        <v>NO</v>
      </c>
      <c r="AA161" s="245" t="str">
        <f>IF(ISNUMBER(SEARCH("H", 'Dry_Litterbag Placem_Collection'!$T88)),"YES","NO")</f>
        <v>NO</v>
      </c>
      <c r="AB161" s="245" t="str">
        <f>IF(ISNUMBER(SEARCH("R", 'Dry_Litterbag Placem_Collection'!$T88)),"YES","NO")</f>
        <v>NO</v>
      </c>
      <c r="AC161" s="245" t="str">
        <f>IF(ISNUMBER(SEARCH("C", 'Dry_Litterbag Placem_Collection'!$S88)),"YES","NO")</f>
        <v>NO</v>
      </c>
      <c r="AD161" s="245" t="str">
        <f>IF(ISNUMBER(SEARCH("H", 'Dry_Litterbag Placem_Collection'!$S88)),"YES","NO")</f>
        <v>YES</v>
      </c>
      <c r="AE161" s="245" t="str">
        <f>IF(ISNUMBER(SEARCH("R", 'Dry_Litterbag Placem_Collection'!$S88)),"YES","NO")</f>
        <v>NO</v>
      </c>
    </row>
    <row r="162" spans="2:31">
      <c r="B162" t="str">
        <f>Dryseason!B88</f>
        <v>Dry</v>
      </c>
      <c r="C162" s="253">
        <f>Dryseason!C88</f>
        <v>87</v>
      </c>
      <c r="D162" t="s">
        <v>3114</v>
      </c>
      <c r="E162" t="s">
        <v>22</v>
      </c>
      <c r="F162" s="375">
        <v>7</v>
      </c>
      <c r="G162" s="16">
        <f>IF('Dry_Litterbag Placem_Collection'!E89="","",'Dry_Litterbag Placem_Collection'!E89)</f>
        <v>42937</v>
      </c>
      <c r="H162" t="str">
        <f>Dryseason!L88</f>
        <v>G220</v>
      </c>
      <c r="I162" t="str">
        <f>Dryseason!L308</f>
        <v>R394</v>
      </c>
      <c r="J162">
        <f>IFERROR(INDEX('Green_rooibos initial weight'!$C$5:$C$2000,MATCH(H162, 'Green_rooibos initial weight'!$A$5:$A$2000,0)),"")</f>
        <v>2.1179999999999999</v>
      </c>
      <c r="K162">
        <f>IFERROR(INDEX('Green_rooibos initial weight'!$C$5:$C$2000,MATCH(I162, 'Green_rooibos initial weight'!$A$5:$A$2000,0)),"")</f>
        <v>2.1800000000000002</v>
      </c>
      <c r="L162" s="194">
        <f t="shared" si="10"/>
        <v>1.8681999999999999</v>
      </c>
      <c r="M162" s="233">
        <f>AVERAGE(Ashed_controlls!$K$1:$K$11)</f>
        <v>5.5147656768714146</v>
      </c>
      <c r="N162" s="194">
        <f t="shared" si="9"/>
        <v>1.9302000000000001</v>
      </c>
      <c r="O162" s="16">
        <f>IF('Dry_Litterbag Placem_Collection'!G89="","",'Dry_Litterbag Placem_Collection'!G89)</f>
        <v>43006</v>
      </c>
      <c r="P162" s="194">
        <f>IFERROR(INDEX('Both teabags AfterDry'!$D$3:$D$2000,MATCH(H162,'Both teabags AfterDry'!$A$3:$A$2000,0)),"")</f>
        <v>1.9671000000000001</v>
      </c>
      <c r="Q162" s="194">
        <f>IFERROR(INDEX('Both teabags AfterDry'!$D$3:$D$2000,MATCH(I162,'Both teabags AfterDry'!$A$3:$A$2000,0)),"")</f>
        <v>1.9392</v>
      </c>
      <c r="R162" s="194">
        <f t="shared" si="11"/>
        <v>1.8165</v>
      </c>
      <c r="S162" s="194">
        <f t="shared" si="11"/>
        <v>1.7886</v>
      </c>
      <c r="T162" s="194">
        <f t="shared" si="12"/>
        <v>2.7673696606358988E-2</v>
      </c>
      <c r="U162" s="194">
        <f t="shared" si="13"/>
        <v>1.8142375922458636E-2</v>
      </c>
      <c r="V162" s="194">
        <f t="shared" si="14"/>
        <v>0.92663972645321724</v>
      </c>
      <c r="W162">
        <f t="shared" si="15"/>
        <v>69</v>
      </c>
      <c r="X162" s="194">
        <f t="shared" si="16"/>
        <v>0.96713337695206769</v>
      </c>
      <c r="Y162" s="194" t="str">
        <f t="shared" si="17"/>
        <v/>
      </c>
      <c r="Z162" s="245" t="str">
        <f>IF(ISNUMBER(SEARCH("C", 'Dry_Litterbag Placem_Collection'!$T89)),"YES","NO")</f>
        <v>NO</v>
      </c>
      <c r="AA162" s="245" t="str">
        <f>IF(ISNUMBER(SEARCH("H", 'Dry_Litterbag Placem_Collection'!$T89)),"YES","NO")</f>
        <v>NO</v>
      </c>
      <c r="AB162" s="245" t="str">
        <f>IF(ISNUMBER(SEARCH("R", 'Dry_Litterbag Placem_Collection'!$T89)),"YES","NO")</f>
        <v>NO</v>
      </c>
      <c r="AC162" s="245" t="str">
        <f>IF(ISNUMBER(SEARCH("C", 'Dry_Litterbag Placem_Collection'!$S89)),"YES","NO")</f>
        <v>NO</v>
      </c>
      <c r="AD162" s="245" t="str">
        <f>IF(ISNUMBER(SEARCH("H", 'Dry_Litterbag Placem_Collection'!$S89)),"YES","NO")</f>
        <v>NO</v>
      </c>
      <c r="AE162" s="245" t="str">
        <f>IF(ISNUMBER(SEARCH("R", 'Dry_Litterbag Placem_Collection'!$S89)),"YES","NO")</f>
        <v>NO</v>
      </c>
    </row>
    <row r="163" spans="2:31">
      <c r="B163" t="str">
        <f>Dryseason!B89</f>
        <v>Dry</v>
      </c>
      <c r="C163" s="253">
        <f>Dryseason!C89</f>
        <v>88</v>
      </c>
      <c r="D163" t="s">
        <v>3114</v>
      </c>
      <c r="E163" t="s">
        <v>22</v>
      </c>
      <c r="F163" s="375">
        <v>8</v>
      </c>
      <c r="G163" s="16">
        <f>IF('Dry_Litterbag Placem_Collection'!E90="","",'Dry_Litterbag Placem_Collection'!E90)</f>
        <v>42937</v>
      </c>
      <c r="H163" t="str">
        <f>Dryseason!L89</f>
        <v>G531</v>
      </c>
      <c r="I163" t="str">
        <f>Dryseason!L309</f>
        <v>R810</v>
      </c>
      <c r="J163">
        <f>IFERROR(INDEX('Green_rooibos initial weight'!$C$5:$C$2000,MATCH(H163, 'Green_rooibos initial weight'!$A$5:$A$2000,0)),"")</f>
        <v>2.0110000000000001</v>
      </c>
      <c r="K163">
        <f>IFERROR(INDEX('Green_rooibos initial weight'!$C$5:$C$2000,MATCH(I163, 'Green_rooibos initial weight'!$A$5:$A$2000,0)),"")</f>
        <v>2.2109999999999999</v>
      </c>
      <c r="L163" s="194">
        <f t="shared" si="10"/>
        <v>1.7612000000000001</v>
      </c>
      <c r="M163" s="233">
        <f>AVERAGE(Ashed_controlls!$K$1:$K$11)</f>
        <v>5.5147656768714146</v>
      </c>
      <c r="N163" s="194">
        <f t="shared" si="9"/>
        <v>1.9611999999999998</v>
      </c>
      <c r="O163" s="16">
        <f>IF('Dry_Litterbag Placem_Collection'!G90="","",'Dry_Litterbag Placem_Collection'!G90)</f>
        <v>43006</v>
      </c>
      <c r="P163" s="194">
        <f>IFERROR(INDEX('Both teabags AfterDry'!$D$3:$D$2000,MATCH(H163,'Both teabags AfterDry'!$A$3:$A$2000,0)),"")</f>
        <v>1.8593999999999999</v>
      </c>
      <c r="Q163" s="194">
        <f>IFERROR(INDEX('Both teabags AfterDry'!$D$3:$D$2000,MATCH(I163,'Both teabags AfterDry'!$A$3:$A$2000,0)),"")</f>
        <v>1.9188000000000001</v>
      </c>
      <c r="R163" s="194">
        <f t="shared" si="11"/>
        <v>1.7087999999999999</v>
      </c>
      <c r="S163" s="194">
        <f t="shared" si="11"/>
        <v>1.7682</v>
      </c>
      <c r="T163" s="194">
        <f t="shared" si="12"/>
        <v>2.975244151714751E-2</v>
      </c>
      <c r="U163" s="194">
        <f t="shared" si="13"/>
        <v>1.9505163559935212E-2</v>
      </c>
      <c r="V163" s="194">
        <f t="shared" si="14"/>
        <v>0.90159086273709976</v>
      </c>
      <c r="W163">
        <f t="shared" si="15"/>
        <v>69</v>
      </c>
      <c r="X163" s="194">
        <f t="shared" si="16"/>
        <v>0.96466455876823332</v>
      </c>
      <c r="Y163" s="194" t="str">
        <f t="shared" si="17"/>
        <v/>
      </c>
      <c r="Z163" s="245" t="str">
        <f>IF(ISNUMBER(SEARCH("C", 'Dry_Litterbag Placem_Collection'!$T90)),"YES","NO")</f>
        <v>NO</v>
      </c>
      <c r="AA163" s="245" t="str">
        <f>IF(ISNUMBER(SEARCH("H", 'Dry_Litterbag Placem_Collection'!$T90)),"YES","NO")</f>
        <v>NO</v>
      </c>
      <c r="AB163" s="245" t="str">
        <f>IF(ISNUMBER(SEARCH("R", 'Dry_Litterbag Placem_Collection'!$T90)),"YES","NO")</f>
        <v>NO</v>
      </c>
      <c r="AC163" s="245" t="str">
        <f>IF(ISNUMBER(SEARCH("C", 'Dry_Litterbag Placem_Collection'!$S90)),"YES","NO")</f>
        <v>NO</v>
      </c>
      <c r="AD163" s="245" t="str">
        <f>IF(ISNUMBER(SEARCH("H", 'Dry_Litterbag Placem_Collection'!$S90)),"YES","NO")</f>
        <v>NO</v>
      </c>
      <c r="AE163" s="245" t="str">
        <f>IF(ISNUMBER(SEARCH("R", 'Dry_Litterbag Placem_Collection'!$S90)),"YES","NO")</f>
        <v>NO</v>
      </c>
    </row>
    <row r="164" spans="2:31">
      <c r="B164" t="str">
        <f>Dryseason!B90</f>
        <v>Dry</v>
      </c>
      <c r="C164" s="253">
        <f>Dryseason!C90</f>
        <v>89</v>
      </c>
      <c r="D164" t="s">
        <v>3115</v>
      </c>
      <c r="E164" t="s">
        <v>22</v>
      </c>
      <c r="F164" s="374">
        <v>1</v>
      </c>
      <c r="G164" s="16">
        <f>IF('Dry_Litterbag Placem_Collection'!E91="","",'Dry_Litterbag Placem_Collection'!E91)</f>
        <v>42937</v>
      </c>
      <c r="H164" t="str">
        <f>Dryseason!L90</f>
        <v>G35</v>
      </c>
      <c r="I164" t="str">
        <f>Dryseason!L310</f>
        <v>R818</v>
      </c>
      <c r="J164">
        <f>IFERROR(INDEX('Green_rooibos initial weight'!$C$5:$C$2000,MATCH(H164, 'Green_rooibos initial weight'!$A$5:$A$2000,0)),"")</f>
        <v>2.0299999999999998</v>
      </c>
      <c r="K164">
        <f>IFERROR(INDEX('Green_rooibos initial weight'!$C$5:$C$2000,MATCH(I164, 'Green_rooibos initial weight'!$A$5:$A$2000,0)),"")</f>
        <v>2.1680000000000001</v>
      </c>
      <c r="L164" s="194">
        <f t="shared" si="10"/>
        <v>1.7801999999999998</v>
      </c>
      <c r="M164" s="233">
        <f>AVERAGE(Ashed_controlls!$K$1:$K$11)</f>
        <v>5.5147656768714146</v>
      </c>
      <c r="N164" s="194">
        <f t="shared" si="9"/>
        <v>1.9182000000000001</v>
      </c>
      <c r="O164" s="16">
        <f>IF('Dry_Litterbag Placem_Collection'!G91="","",'Dry_Litterbag Placem_Collection'!G91)</f>
        <v>43006</v>
      </c>
      <c r="P164" s="194">
        <f>IFERROR(INDEX('Both teabags AfterDry'!$D$3:$D$2000,MATCH(H164,'Both teabags AfterDry'!$A$3:$A$2000,0)),"")</f>
        <v>1.8633999999999999</v>
      </c>
      <c r="Q164" s="194">
        <f>IFERROR(INDEX('Both teabags AfterDry'!$D$3:$D$2000,MATCH(I164,'Both teabags AfterDry'!$A$3:$A$2000,0)),"")</f>
        <v>1.9155</v>
      </c>
      <c r="R164" s="194">
        <f t="shared" si="11"/>
        <v>1.7127999999999999</v>
      </c>
      <c r="S164" s="194">
        <f t="shared" si="11"/>
        <v>1.7648999999999999</v>
      </c>
      <c r="T164" s="194">
        <f t="shared" si="12"/>
        <v>3.7860914503988319E-2</v>
      </c>
      <c r="U164" s="194">
        <f t="shared" si="13"/>
        <v>2.4820932073873571E-2</v>
      </c>
      <c r="V164" s="194">
        <f t="shared" si="14"/>
        <v>0.92008132624335304</v>
      </c>
      <c r="W164">
        <f t="shared" si="15"/>
        <v>69</v>
      </c>
      <c r="X164" s="194">
        <f t="shared" si="16"/>
        <v>0.95503454334443194</v>
      </c>
      <c r="Y164" s="194" t="str">
        <f t="shared" si="17"/>
        <v/>
      </c>
      <c r="Z164" s="245" t="str">
        <f>IF(ISNUMBER(SEARCH("C", 'Dry_Litterbag Placem_Collection'!$T91)),"YES","NO")</f>
        <v>NO</v>
      </c>
      <c r="AA164" s="245" t="str">
        <f>IF(ISNUMBER(SEARCH("H", 'Dry_Litterbag Placem_Collection'!$T91)),"YES","NO")</f>
        <v>NO</v>
      </c>
      <c r="AB164" s="245" t="str">
        <f>IF(ISNUMBER(SEARCH("R", 'Dry_Litterbag Placem_Collection'!$T91)),"YES","NO")</f>
        <v>NO</v>
      </c>
      <c r="AC164" s="245" t="str">
        <f>IF(ISNUMBER(SEARCH("C", 'Dry_Litterbag Placem_Collection'!$S91)),"YES","NO")</f>
        <v>NO</v>
      </c>
      <c r="AD164" s="245" t="str">
        <f>IF(ISNUMBER(SEARCH("H", 'Dry_Litterbag Placem_Collection'!$S91)),"YES","NO")</f>
        <v>NO</v>
      </c>
      <c r="AE164" s="245" t="str">
        <f>IF(ISNUMBER(SEARCH("R", 'Dry_Litterbag Placem_Collection'!$S91)),"YES","NO")</f>
        <v>NO</v>
      </c>
    </row>
    <row r="165" spans="2:31">
      <c r="B165" t="str">
        <f>Dryseason!B91</f>
        <v>Dry</v>
      </c>
      <c r="C165" s="253">
        <f>Dryseason!C91</f>
        <v>90</v>
      </c>
      <c r="D165" t="s">
        <v>3115</v>
      </c>
      <c r="E165" t="s">
        <v>22</v>
      </c>
      <c r="F165" s="374">
        <v>2</v>
      </c>
      <c r="G165" s="16">
        <f>IF('Dry_Litterbag Placem_Collection'!E92="","",'Dry_Litterbag Placem_Collection'!E92)</f>
        <v>42937</v>
      </c>
      <c r="H165" t="str">
        <f>Dryseason!L91</f>
        <v>G264</v>
      </c>
      <c r="I165" t="str">
        <f>Dryseason!L311</f>
        <v>R767</v>
      </c>
      <c r="J165">
        <f>IFERROR(INDEX('Green_rooibos initial weight'!$C$5:$C$2000,MATCH(H165, 'Green_rooibos initial weight'!$A$5:$A$2000,0)),"")</f>
        <v>2.1070000000000002</v>
      </c>
      <c r="K165">
        <f>IFERROR(INDEX('Green_rooibos initial weight'!$C$5:$C$2000,MATCH(I165, 'Green_rooibos initial weight'!$A$5:$A$2000,0)),"")</f>
        <v>2.1890000000000001</v>
      </c>
      <c r="L165" s="194">
        <f t="shared" si="10"/>
        <v>1.8572000000000002</v>
      </c>
      <c r="M165" s="233">
        <f>AVERAGE(Ashed_controlls!$K$1:$K$11)</f>
        <v>5.5147656768714146</v>
      </c>
      <c r="N165" s="194">
        <f t="shared" si="9"/>
        <v>1.9392</v>
      </c>
      <c r="O165" s="16">
        <f>IF('Dry_Litterbag Placem_Collection'!G92="","",'Dry_Litterbag Placem_Collection'!G92)</f>
        <v>43006</v>
      </c>
      <c r="P165" s="194" t="str">
        <f>IFERROR(INDEX('Both teabags AfterDry'!$D$3:$D$2000,MATCH(H165,'Both teabags AfterDry'!$A$3:$A$2000,0)),"")</f>
        <v/>
      </c>
      <c r="Q165" s="194" t="str">
        <f>IFERROR(INDEX('Both teabags AfterDry'!$D$3:$D$2000,MATCH(I165,'Both teabags AfterDry'!$A$3:$A$2000,0)),"")</f>
        <v/>
      </c>
      <c r="R165" s="194" t="str">
        <f t="shared" si="11"/>
        <v/>
      </c>
      <c r="S165" s="194" t="str">
        <f t="shared" si="11"/>
        <v/>
      </c>
      <c r="T165" s="194" t="str">
        <f t="shared" si="12"/>
        <v/>
      </c>
      <c r="U165" s="194" t="str">
        <f t="shared" si="13"/>
        <v/>
      </c>
      <c r="V165" s="194" t="str">
        <f t="shared" si="14"/>
        <v/>
      </c>
      <c r="W165">
        <f t="shared" si="15"/>
        <v>69</v>
      </c>
      <c r="X165" s="194" t="str">
        <f t="shared" si="16"/>
        <v/>
      </c>
      <c r="Y165" s="194" t="str">
        <f t="shared" si="17"/>
        <v/>
      </c>
      <c r="Z165" s="245" t="str">
        <f>IF(ISNUMBER(SEARCH("C", 'Dry_Litterbag Placem_Collection'!$T92)),"YES","NO")</f>
        <v>NO</v>
      </c>
      <c r="AA165" s="245" t="str">
        <f>IF(ISNUMBER(SEARCH("H", 'Dry_Litterbag Placem_Collection'!$T92)),"YES","NO")</f>
        <v>NO</v>
      </c>
      <c r="AB165" s="245" t="str">
        <f>IF(ISNUMBER(SEARCH("R", 'Dry_Litterbag Placem_Collection'!$T92)),"YES","NO")</f>
        <v>NO</v>
      </c>
      <c r="AC165" s="245" t="str">
        <f>IF(ISNUMBER(SEARCH("C", 'Dry_Litterbag Placem_Collection'!$S92)),"YES","NO")</f>
        <v>NO</v>
      </c>
      <c r="AD165" s="245" t="str">
        <f>IF(ISNUMBER(SEARCH("H", 'Dry_Litterbag Placem_Collection'!$S92)),"YES","NO")</f>
        <v>NO</v>
      </c>
      <c r="AE165" s="245" t="str">
        <f>IF(ISNUMBER(SEARCH("R", 'Dry_Litterbag Placem_Collection'!$S92)),"YES","NO")</f>
        <v>NO</v>
      </c>
    </row>
    <row r="166" spans="2:31">
      <c r="B166" t="str">
        <f>Dryseason!B92</f>
        <v>Dry</v>
      </c>
      <c r="C166" s="253">
        <f>Dryseason!C92</f>
        <v>91</v>
      </c>
      <c r="D166" t="s">
        <v>3115</v>
      </c>
      <c r="E166" t="s">
        <v>22</v>
      </c>
      <c r="F166" s="374">
        <v>3</v>
      </c>
      <c r="G166" s="16">
        <f>IF('Dry_Litterbag Placem_Collection'!E93="","",'Dry_Litterbag Placem_Collection'!E93)</f>
        <v>42937</v>
      </c>
      <c r="H166" t="str">
        <f>Dryseason!L92</f>
        <v>G13</v>
      </c>
      <c r="I166" t="str">
        <f>Dryseason!L312</f>
        <v>R787</v>
      </c>
      <c r="J166">
        <f>IFERROR(INDEX('Green_rooibos initial weight'!$C$5:$C$2000,MATCH(H166, 'Green_rooibos initial weight'!$A$5:$A$2000,0)),"")</f>
        <v>2.085</v>
      </c>
      <c r="K166">
        <f>IFERROR(INDEX('Green_rooibos initial weight'!$C$5:$C$2000,MATCH(I166, 'Green_rooibos initial weight'!$A$5:$A$2000,0)),"")</f>
        <v>2.1579999999999999</v>
      </c>
      <c r="L166" s="194">
        <f t="shared" si="10"/>
        <v>1.8351999999999999</v>
      </c>
      <c r="M166" s="233">
        <f>AVERAGE(Ashed_controlls!$K$1:$K$11)</f>
        <v>5.5147656768714146</v>
      </c>
      <c r="N166" s="194">
        <f t="shared" si="9"/>
        <v>1.9081999999999999</v>
      </c>
      <c r="O166" s="16">
        <f>IF('Dry_Litterbag Placem_Collection'!G93="","",'Dry_Litterbag Placem_Collection'!G93)</f>
        <v>43006</v>
      </c>
      <c r="P166" s="194">
        <f>IFERROR(INDEX('Both teabags AfterDry'!$D$3:$D$2000,MATCH(H166,'Both teabags AfterDry'!$A$3:$A$2000,0)),"")</f>
        <v>1.9104000000000001</v>
      </c>
      <c r="Q166" s="194">
        <f>IFERROR(INDEX('Both teabags AfterDry'!$D$3:$D$2000,MATCH(I166,'Both teabags AfterDry'!$A$3:$A$2000,0)),"")</f>
        <v>1.8551</v>
      </c>
      <c r="R166" s="194">
        <f t="shared" si="11"/>
        <v>1.7598</v>
      </c>
      <c r="S166" s="194">
        <f t="shared" si="11"/>
        <v>1.7044999999999999</v>
      </c>
      <c r="T166" s="194">
        <f t="shared" si="12"/>
        <v>4.1085440278988639E-2</v>
      </c>
      <c r="U166" s="194">
        <f t="shared" si="13"/>
        <v>2.6934872961997283E-2</v>
      </c>
      <c r="V166" s="194">
        <f t="shared" si="14"/>
        <v>0.89325018341892881</v>
      </c>
      <c r="W166">
        <f t="shared" si="15"/>
        <v>69</v>
      </c>
      <c r="X166" s="194">
        <f t="shared" si="16"/>
        <v>0.95120494028623681</v>
      </c>
      <c r="Y166" s="194" t="str">
        <f t="shared" si="17"/>
        <v/>
      </c>
      <c r="Z166" s="245" t="str">
        <f>IF(ISNUMBER(SEARCH("C", 'Dry_Litterbag Placem_Collection'!$T93)),"YES","NO")</f>
        <v>NO</v>
      </c>
      <c r="AA166" s="245" t="str">
        <f>IF(ISNUMBER(SEARCH("H", 'Dry_Litterbag Placem_Collection'!$T93)),"YES","NO")</f>
        <v>NO</v>
      </c>
      <c r="AB166" s="245" t="str">
        <f>IF(ISNUMBER(SEARCH("R", 'Dry_Litterbag Placem_Collection'!$T93)),"YES","NO")</f>
        <v>NO</v>
      </c>
      <c r="AC166" s="245" t="str">
        <f>IF(ISNUMBER(SEARCH("C", 'Dry_Litterbag Placem_Collection'!$S93)),"YES","NO")</f>
        <v>NO</v>
      </c>
      <c r="AD166" s="245" t="str">
        <f>IF(ISNUMBER(SEARCH("H", 'Dry_Litterbag Placem_Collection'!$S93)),"YES","NO")</f>
        <v>NO</v>
      </c>
      <c r="AE166" s="245" t="str">
        <f>IF(ISNUMBER(SEARCH("R", 'Dry_Litterbag Placem_Collection'!$S93)),"YES","NO")</f>
        <v>NO</v>
      </c>
    </row>
    <row r="167" spans="2:31">
      <c r="B167" t="str">
        <f>Dryseason!B93</f>
        <v>Dry</v>
      </c>
      <c r="C167" s="253">
        <f>Dryseason!C93</f>
        <v>92</v>
      </c>
      <c r="D167" t="s">
        <v>3115</v>
      </c>
      <c r="E167" t="s">
        <v>22</v>
      </c>
      <c r="F167" s="375">
        <v>4</v>
      </c>
      <c r="G167" s="16">
        <f>IF('Dry_Litterbag Placem_Collection'!E94="","",'Dry_Litterbag Placem_Collection'!E94)</f>
        <v>42937</v>
      </c>
      <c r="H167" t="str">
        <f>Dryseason!L93</f>
        <v>G324</v>
      </c>
      <c r="I167" t="str">
        <f>Dryseason!L313</f>
        <v>R812</v>
      </c>
      <c r="J167">
        <f>IFERROR(INDEX('Green_rooibos initial weight'!$C$5:$C$2000,MATCH(H167, 'Green_rooibos initial weight'!$A$5:$A$2000,0)),"")</f>
        <v>2.0430000000000001</v>
      </c>
      <c r="K167">
        <f>IFERROR(INDEX('Green_rooibos initial weight'!$C$5:$C$2000,MATCH(I167, 'Green_rooibos initial weight'!$A$5:$A$2000,0)),"")</f>
        <v>2.1819999999999999</v>
      </c>
      <c r="L167" s="194">
        <f t="shared" si="10"/>
        <v>1.7932000000000001</v>
      </c>
      <c r="M167" s="233">
        <f>AVERAGE(Ashed_controlls!$K$1:$K$11)</f>
        <v>5.5147656768714146</v>
      </c>
      <c r="N167" s="194">
        <f t="shared" si="9"/>
        <v>1.9321999999999999</v>
      </c>
      <c r="O167" s="16">
        <f>IF('Dry_Litterbag Placem_Collection'!G94="","",'Dry_Litterbag Placem_Collection'!G94)</f>
        <v>43006</v>
      </c>
      <c r="P167" s="194">
        <f>IFERROR(INDEX('Both teabags AfterDry'!$D$3:$D$2000,MATCH(H167,'Both teabags AfterDry'!$A$3:$A$2000,0)),"")</f>
        <v>1.6847000000000001</v>
      </c>
      <c r="Q167" s="194">
        <f>IFERROR(INDEX('Both teabags AfterDry'!$D$3:$D$2000,MATCH(I167,'Both teabags AfterDry'!$A$3:$A$2000,0)),"")</f>
        <v>1.8855</v>
      </c>
      <c r="R167" s="194">
        <f t="shared" si="11"/>
        <v>1.5341</v>
      </c>
      <c r="S167" s="194">
        <f t="shared" si="11"/>
        <v>1.7348999999999999</v>
      </c>
      <c r="T167" s="194">
        <f t="shared" si="12"/>
        <v>0.14449029667633284</v>
      </c>
      <c r="U167" s="194">
        <f t="shared" si="13"/>
        <v>9.4725230125101798E-2</v>
      </c>
      <c r="V167" s="194">
        <f t="shared" si="14"/>
        <v>0.89788841734810054</v>
      </c>
      <c r="W167">
        <f t="shared" si="15"/>
        <v>69</v>
      </c>
      <c r="X167" s="194">
        <f t="shared" si="16"/>
        <v>0.82839632223713444</v>
      </c>
      <c r="Y167" s="194" t="str">
        <f t="shared" si="17"/>
        <v/>
      </c>
      <c r="Z167" s="245" t="str">
        <f>IF(ISNUMBER(SEARCH("C", 'Dry_Litterbag Placem_Collection'!$T94)),"YES","NO")</f>
        <v>NO</v>
      </c>
      <c r="AA167" s="245" t="str">
        <f>IF(ISNUMBER(SEARCH("H", 'Dry_Litterbag Placem_Collection'!$T94)),"YES","NO")</f>
        <v>NO</v>
      </c>
      <c r="AB167" s="245" t="str">
        <f>IF(ISNUMBER(SEARCH("R", 'Dry_Litterbag Placem_Collection'!$T94)),"YES","NO")</f>
        <v>NO</v>
      </c>
      <c r="AC167" s="245" t="str">
        <f>IF(ISNUMBER(SEARCH("C", 'Dry_Litterbag Placem_Collection'!$S94)),"YES","NO")</f>
        <v>NO</v>
      </c>
      <c r="AD167" s="245" t="str">
        <f>IF(ISNUMBER(SEARCH("H", 'Dry_Litterbag Placem_Collection'!$S94)),"YES","NO")</f>
        <v>YES</v>
      </c>
      <c r="AE167" s="245" t="str">
        <f>IF(ISNUMBER(SEARCH("R", 'Dry_Litterbag Placem_Collection'!$S94)),"YES","NO")</f>
        <v>NO</v>
      </c>
    </row>
    <row r="168" spans="2:31">
      <c r="B168" t="str">
        <f>Dryseason!B94</f>
        <v>Dry</v>
      </c>
      <c r="C168" s="253">
        <f>Dryseason!C94</f>
        <v>93</v>
      </c>
      <c r="D168" t="s">
        <v>3115</v>
      </c>
      <c r="E168" t="s">
        <v>22</v>
      </c>
      <c r="F168" s="375">
        <v>5</v>
      </c>
      <c r="G168" s="16">
        <f>IF('Dry_Litterbag Placem_Collection'!E95="","",'Dry_Litterbag Placem_Collection'!E95)</f>
        <v>42937</v>
      </c>
      <c r="H168" t="str">
        <f>Dryseason!L94</f>
        <v>G99</v>
      </c>
      <c r="I168" t="str">
        <f>Dryseason!L314</f>
        <v>R675</v>
      </c>
      <c r="J168">
        <f>IFERROR(INDEX('Green_rooibos initial weight'!$C$5:$C$2000,MATCH(H168, 'Green_rooibos initial weight'!$A$5:$A$2000,0)),"")</f>
        <v>2.097</v>
      </c>
      <c r="K168">
        <f>IFERROR(INDEX('Green_rooibos initial weight'!$C$5:$C$2000,MATCH(I168, 'Green_rooibos initial weight'!$A$5:$A$2000,0)),"")</f>
        <v>2.2069999999999999</v>
      </c>
      <c r="L168" s="194">
        <f t="shared" si="10"/>
        <v>1.8472</v>
      </c>
      <c r="M168" s="233">
        <f>AVERAGE(Ashed_controlls!$K$1:$K$11)</f>
        <v>5.5147656768714146</v>
      </c>
      <c r="N168" s="194">
        <f t="shared" si="9"/>
        <v>1.9571999999999998</v>
      </c>
      <c r="O168" s="16">
        <f>IF('Dry_Litterbag Placem_Collection'!G95="","",'Dry_Litterbag Placem_Collection'!G95)</f>
        <v>43006</v>
      </c>
      <c r="P168" s="194">
        <f>IFERROR(INDEX('Both teabags AfterDry'!$D$3:$D$2000,MATCH(H168,'Both teabags AfterDry'!$A$3:$A$2000,0)),"")</f>
        <v>1.9186000000000001</v>
      </c>
      <c r="Q168" s="194">
        <f>IFERROR(INDEX('Both teabags AfterDry'!$D$3:$D$2000,MATCH(I168,'Both teabags AfterDry'!$A$3:$A$2000,0)),"")</f>
        <v>2.0310000000000001</v>
      </c>
      <c r="R168" s="194">
        <f t="shared" si="11"/>
        <v>1.768</v>
      </c>
      <c r="S168" s="194">
        <f t="shared" si="11"/>
        <v>1.8804000000000001</v>
      </c>
      <c r="T168" s="194">
        <f t="shared" si="12"/>
        <v>4.287570376786487E-2</v>
      </c>
      <c r="U168" s="194">
        <f t="shared" si="13"/>
        <v>2.8108537387008806E-2</v>
      </c>
      <c r="V168" s="194">
        <f t="shared" si="14"/>
        <v>0.96076026977314544</v>
      </c>
      <c r="W168">
        <f t="shared" si="15"/>
        <v>69</v>
      </c>
      <c r="X168" s="194">
        <f t="shared" si="16"/>
        <v>0.94907873661773767</v>
      </c>
      <c r="Y168" s="194" t="str">
        <f t="shared" si="17"/>
        <v/>
      </c>
      <c r="Z168" s="245" t="str">
        <f>IF(ISNUMBER(SEARCH("C", 'Dry_Litterbag Placem_Collection'!$T95)),"YES","NO")</f>
        <v>NO</v>
      </c>
      <c r="AA168" s="245" t="str">
        <f>IF(ISNUMBER(SEARCH("H", 'Dry_Litterbag Placem_Collection'!$T95)),"YES","NO")</f>
        <v>YES</v>
      </c>
      <c r="AB168" s="245" t="str">
        <f>IF(ISNUMBER(SEARCH("R", 'Dry_Litterbag Placem_Collection'!$T95)),"YES","NO")</f>
        <v>NO</v>
      </c>
      <c r="AC168" s="245" t="str">
        <f>IF(ISNUMBER(SEARCH("C", 'Dry_Litterbag Placem_Collection'!$S95)),"YES","NO")</f>
        <v>NO</v>
      </c>
      <c r="AD168" s="245" t="str">
        <f>IF(ISNUMBER(SEARCH("H", 'Dry_Litterbag Placem_Collection'!$S95)),"YES","NO")</f>
        <v>YES</v>
      </c>
      <c r="AE168" s="245" t="str">
        <f>IF(ISNUMBER(SEARCH("R", 'Dry_Litterbag Placem_Collection'!$S95)),"YES","NO")</f>
        <v>NO</v>
      </c>
    </row>
    <row r="169" spans="2:31">
      <c r="B169" t="str">
        <f>Dryseason!B95</f>
        <v>Dry</v>
      </c>
      <c r="C169" s="253">
        <f>Dryseason!C95</f>
        <v>94</v>
      </c>
      <c r="D169" t="s">
        <v>3115</v>
      </c>
      <c r="E169" t="s">
        <v>22</v>
      </c>
      <c r="F169" s="375">
        <v>6</v>
      </c>
      <c r="G169" s="16" t="str">
        <f>IF('Dry_Litterbag Placem_Collection'!E96="","",'Dry_Litterbag Placem_Collection'!E96)</f>
        <v/>
      </c>
      <c r="H169" t="str">
        <f>Dryseason!L95</f>
        <v/>
      </c>
      <c r="I169" t="str">
        <f>Dryseason!L315</f>
        <v/>
      </c>
      <c r="J169" t="str">
        <f>IFERROR(INDEX('Green_rooibos initial weight'!$C$5:$C$2000,MATCH(H169, 'Green_rooibos initial weight'!$A$5:$A$2000,0)),"")</f>
        <v/>
      </c>
      <c r="K169" t="str">
        <f>IFERROR(INDEX('Green_rooibos initial weight'!$C$5:$C$2000,MATCH(I169, 'Green_rooibos initial weight'!$A$5:$A$2000,0)),"")</f>
        <v/>
      </c>
      <c r="L169" s="194" t="str">
        <f t="shared" si="10"/>
        <v/>
      </c>
      <c r="M169" s="233">
        <f>AVERAGE(Ashed_controlls!$K$1:$K$11)</f>
        <v>5.5147656768714146</v>
      </c>
      <c r="N169" s="194" t="str">
        <f t="shared" si="9"/>
        <v/>
      </c>
      <c r="O169" s="16" t="str">
        <f>IF('Dry_Litterbag Placem_Collection'!G96="","",'Dry_Litterbag Placem_Collection'!G96)</f>
        <v/>
      </c>
      <c r="P169" s="194" t="str">
        <f>IFERROR(INDEX('Both teabags AfterDry'!$D$3:$D$2000,MATCH(H169,'Both teabags AfterDry'!$A$3:$A$2000,0)),"")</f>
        <v/>
      </c>
      <c r="Q169" s="194" t="str">
        <f>IFERROR(INDEX('Both teabags AfterDry'!$D$3:$D$2000,MATCH(I169,'Both teabags AfterDry'!$A$3:$A$2000,0)),"")</f>
        <v/>
      </c>
      <c r="R169" s="194" t="str">
        <f t="shared" si="11"/>
        <v/>
      </c>
      <c r="S169" s="194" t="str">
        <f t="shared" si="11"/>
        <v/>
      </c>
      <c r="T169" s="194" t="str">
        <f t="shared" si="12"/>
        <v/>
      </c>
      <c r="U169" s="194" t="str">
        <f t="shared" si="13"/>
        <v/>
      </c>
      <c r="V169" s="194" t="str">
        <f t="shared" si="14"/>
        <v/>
      </c>
      <c r="W169" t="str">
        <f t="shared" si="15"/>
        <v/>
      </c>
      <c r="X169" s="194" t="str">
        <f t="shared" si="16"/>
        <v/>
      </c>
      <c r="Y169" s="194" t="str">
        <f t="shared" si="17"/>
        <v/>
      </c>
      <c r="Z169" s="245" t="str">
        <f>IF(ISNUMBER(SEARCH("C", 'Dry_Litterbag Placem_Collection'!$T96)),"YES","NO")</f>
        <v>NO</v>
      </c>
      <c r="AA169" s="245" t="str">
        <f>IF(ISNUMBER(SEARCH("H", 'Dry_Litterbag Placem_Collection'!$T96)),"YES","NO")</f>
        <v>NO</v>
      </c>
      <c r="AB169" s="245" t="str">
        <f>IF(ISNUMBER(SEARCH("R", 'Dry_Litterbag Placem_Collection'!$T96)),"YES","NO")</f>
        <v>NO</v>
      </c>
      <c r="AC169" s="245" t="str">
        <f>IF(ISNUMBER(SEARCH("C", 'Dry_Litterbag Placem_Collection'!$S96)),"YES","NO")</f>
        <v>NO</v>
      </c>
      <c r="AD169" s="245" t="str">
        <f>IF(ISNUMBER(SEARCH("H", 'Dry_Litterbag Placem_Collection'!$S96)),"YES","NO")</f>
        <v>NO</v>
      </c>
      <c r="AE169" s="245" t="str">
        <f>IF(ISNUMBER(SEARCH("R", 'Dry_Litterbag Placem_Collection'!$S96)),"YES","NO")</f>
        <v>NO</v>
      </c>
    </row>
    <row r="170" spans="2:31">
      <c r="B170" t="str">
        <f>Dryseason!B96</f>
        <v>Dry</v>
      </c>
      <c r="C170" s="253">
        <f>Dryseason!C96</f>
        <v>95</v>
      </c>
      <c r="D170" t="s">
        <v>3115</v>
      </c>
      <c r="E170" t="s">
        <v>22</v>
      </c>
      <c r="F170" s="375">
        <v>7</v>
      </c>
      <c r="G170" s="16">
        <f>IF('Dry_Litterbag Placem_Collection'!E97="","",'Dry_Litterbag Placem_Collection'!E97)</f>
        <v>42937</v>
      </c>
      <c r="H170" t="str">
        <f>Dryseason!L96</f>
        <v>G126</v>
      </c>
      <c r="I170" t="str">
        <f>Dryseason!L316</f>
        <v>R794</v>
      </c>
      <c r="J170">
        <f>IFERROR(INDEX('Green_rooibos initial weight'!$C$5:$C$2000,MATCH(H170, 'Green_rooibos initial weight'!$A$5:$A$2000,0)),"")</f>
        <v>2.093</v>
      </c>
      <c r="K170">
        <f>IFERROR(INDEX('Green_rooibos initial weight'!$C$5:$C$2000,MATCH(I170, 'Green_rooibos initial weight'!$A$5:$A$2000,0)),"")</f>
        <v>2.2000000000000002</v>
      </c>
      <c r="L170" s="194">
        <f t="shared" si="10"/>
        <v>1.8431999999999999</v>
      </c>
      <c r="M170" s="233">
        <f>AVERAGE(Ashed_controlls!$K$1:$K$11)</f>
        <v>5.5147656768714146</v>
      </c>
      <c r="N170" s="194">
        <f t="shared" si="9"/>
        <v>1.9502000000000002</v>
      </c>
      <c r="O170" s="16">
        <f>IF('Dry_Litterbag Placem_Collection'!G97="","",'Dry_Litterbag Placem_Collection'!G97)</f>
        <v>43006</v>
      </c>
      <c r="P170" s="194">
        <f>IFERROR(INDEX('Both teabags AfterDry'!$D$3:$D$2000,MATCH(H170,'Both teabags AfterDry'!$A$3:$A$2000,0)),"")</f>
        <v>1.8705000000000001</v>
      </c>
      <c r="Q170" s="194">
        <f>IFERROR(INDEX('Both teabags AfterDry'!$D$3:$D$2000,MATCH(I170,'Both teabags AfterDry'!$A$3:$A$2000,0)),"")</f>
        <v>1.9469000000000001</v>
      </c>
      <c r="R170" s="194">
        <f t="shared" si="11"/>
        <v>1.7199</v>
      </c>
      <c r="S170" s="194">
        <f t="shared" si="11"/>
        <v>1.7963</v>
      </c>
      <c r="T170" s="194">
        <f t="shared" si="12"/>
        <v>6.689453125E-2</v>
      </c>
      <c r="U170" s="194">
        <f t="shared" si="13"/>
        <v>4.3854847090261322E-2</v>
      </c>
      <c r="V170" s="194">
        <f t="shared" si="14"/>
        <v>0.92108501692134137</v>
      </c>
      <c r="W170">
        <f t="shared" si="15"/>
        <v>69</v>
      </c>
      <c r="X170" s="194">
        <f t="shared" si="16"/>
        <v>0.92055281324228022</v>
      </c>
      <c r="Y170" s="194" t="str">
        <f t="shared" si="17"/>
        <v/>
      </c>
      <c r="Z170" s="245" t="str">
        <f>IF(ISNUMBER(SEARCH("C", 'Dry_Litterbag Placem_Collection'!$T97)),"YES","NO")</f>
        <v>NO</v>
      </c>
      <c r="AA170" s="245" t="str">
        <f>IF(ISNUMBER(SEARCH("H", 'Dry_Litterbag Placem_Collection'!$T97)),"YES","NO")</f>
        <v>NO</v>
      </c>
      <c r="AB170" s="245" t="str">
        <f>IF(ISNUMBER(SEARCH("R", 'Dry_Litterbag Placem_Collection'!$T97)),"YES","NO")</f>
        <v>NO</v>
      </c>
      <c r="AC170" s="245" t="str">
        <f>IF(ISNUMBER(SEARCH("C", 'Dry_Litterbag Placem_Collection'!$S97)),"YES","NO")</f>
        <v>NO</v>
      </c>
      <c r="AD170" s="245" t="str">
        <f>IF(ISNUMBER(SEARCH("H", 'Dry_Litterbag Placem_Collection'!$S97)),"YES","NO")</f>
        <v>NO</v>
      </c>
      <c r="AE170" s="245" t="str">
        <f>IF(ISNUMBER(SEARCH("R", 'Dry_Litterbag Placem_Collection'!$S97)),"YES","NO")</f>
        <v>NO</v>
      </c>
    </row>
    <row r="171" spans="2:31">
      <c r="B171" t="str">
        <f>Dryseason!B97</f>
        <v>Dry</v>
      </c>
      <c r="C171" s="253">
        <f>Dryseason!C97</f>
        <v>96</v>
      </c>
      <c r="D171" t="s">
        <v>3115</v>
      </c>
      <c r="E171" t="s">
        <v>22</v>
      </c>
      <c r="F171" s="375">
        <v>8</v>
      </c>
      <c r="G171" s="16">
        <f>IF('Dry_Litterbag Placem_Collection'!E98="","",'Dry_Litterbag Placem_Collection'!E98)</f>
        <v>42937</v>
      </c>
      <c r="H171" t="str">
        <f>Dryseason!L97</f>
        <v>G244</v>
      </c>
      <c r="I171" t="str">
        <f>Dryseason!L317</f>
        <v>R737</v>
      </c>
      <c r="J171">
        <f>IFERROR(INDEX('Green_rooibos initial weight'!$C$5:$C$2000,MATCH(H171, 'Green_rooibos initial weight'!$A$5:$A$2000,0)),"")</f>
        <v>2.04</v>
      </c>
      <c r="K171">
        <f>IFERROR(INDEX('Green_rooibos initial weight'!$C$5:$C$2000,MATCH(I171, 'Green_rooibos initial weight'!$A$5:$A$2000,0)),"")</f>
        <v>2.222</v>
      </c>
      <c r="L171" s="194">
        <f t="shared" si="10"/>
        <v>1.7902</v>
      </c>
      <c r="M171" s="233">
        <f>AVERAGE(Ashed_controlls!$K$1:$K$11)</f>
        <v>5.5147656768714146</v>
      </c>
      <c r="N171" s="194">
        <f t="shared" si="9"/>
        <v>1.9722</v>
      </c>
      <c r="O171" s="16">
        <f>IF('Dry_Litterbag Placem_Collection'!G98="","",'Dry_Litterbag Placem_Collection'!G98)</f>
        <v>43006</v>
      </c>
      <c r="P171" s="194">
        <f>IFERROR(INDEX('Both teabags AfterDry'!$D$3:$D$2000,MATCH(H171,'Both teabags AfterDry'!$A$3:$A$2000,0)),"")</f>
        <v>1.8649</v>
      </c>
      <c r="Q171" s="194">
        <f>IFERROR(INDEX('Both teabags AfterDry'!$D$3:$D$2000,MATCH(I171,'Both teabags AfterDry'!$A$3:$A$2000,0)),"")</f>
        <v>1.9686999999999999</v>
      </c>
      <c r="R171" s="194">
        <f t="shared" si="11"/>
        <v>1.7142999999999999</v>
      </c>
      <c r="S171" s="194">
        <f t="shared" si="11"/>
        <v>1.8180999999999998</v>
      </c>
      <c r="T171" s="194">
        <f t="shared" si="12"/>
        <v>4.2397497486314384E-2</v>
      </c>
      <c r="U171" s="194">
        <f t="shared" si="13"/>
        <v>2.7795033981526763E-2</v>
      </c>
      <c r="V171" s="194">
        <f t="shared" si="14"/>
        <v>0.92186390832572751</v>
      </c>
      <c r="W171">
        <f t="shared" si="15"/>
        <v>69</v>
      </c>
      <c r="X171" s="194">
        <f t="shared" si="16"/>
        <v>0.94964667756969789</v>
      </c>
      <c r="Y171" s="194" t="str">
        <f t="shared" si="17"/>
        <v/>
      </c>
      <c r="Z171" s="245" t="str">
        <f>IF(ISNUMBER(SEARCH("C", 'Dry_Litterbag Placem_Collection'!$T98)),"YES","NO")</f>
        <v>NO</v>
      </c>
      <c r="AA171" s="245" t="str">
        <f>IF(ISNUMBER(SEARCH("H", 'Dry_Litterbag Placem_Collection'!$T98)),"YES","NO")</f>
        <v>NO</v>
      </c>
      <c r="AB171" s="245" t="str">
        <f>IF(ISNUMBER(SEARCH("R", 'Dry_Litterbag Placem_Collection'!$T98)),"YES","NO")</f>
        <v>NO</v>
      </c>
      <c r="AC171" s="245" t="str">
        <f>IF(ISNUMBER(SEARCH("C", 'Dry_Litterbag Placem_Collection'!$S98)),"YES","NO")</f>
        <v>NO</v>
      </c>
      <c r="AD171" s="245" t="str">
        <f>IF(ISNUMBER(SEARCH("H", 'Dry_Litterbag Placem_Collection'!$S98)),"YES","NO")</f>
        <v>NO</v>
      </c>
      <c r="AE171" s="245" t="str">
        <f>IF(ISNUMBER(SEARCH("R", 'Dry_Litterbag Placem_Collection'!$S98)),"YES","NO")</f>
        <v>NO</v>
      </c>
    </row>
    <row r="172" spans="2:31">
      <c r="B172" t="str">
        <f>Dryseason!B98</f>
        <v>Dry</v>
      </c>
      <c r="C172" s="253">
        <f>Dryseason!C98</f>
        <v>97</v>
      </c>
      <c r="D172" t="s">
        <v>3116</v>
      </c>
      <c r="E172" t="s">
        <v>22</v>
      </c>
      <c r="F172" s="374">
        <v>1</v>
      </c>
      <c r="G172" s="16">
        <f>IF('Dry_Litterbag Placem_Collection'!E99="","",'Dry_Litterbag Placem_Collection'!E99)</f>
        <v>42939</v>
      </c>
      <c r="H172" t="str">
        <f>Dryseason!L98</f>
        <v>G432</v>
      </c>
      <c r="I172" t="str">
        <f>Dryseason!L318</f>
        <v>R801</v>
      </c>
      <c r="J172">
        <f>IFERROR(INDEX('Green_rooibos initial weight'!$C$5:$C$2000,MATCH(H172, 'Green_rooibos initial weight'!$A$5:$A$2000,0)),"")</f>
        <v>2.0659999999999998</v>
      </c>
      <c r="K172">
        <f>IFERROR(INDEX('Green_rooibos initial weight'!$C$5:$C$2000,MATCH(I172, 'Green_rooibos initial weight'!$A$5:$A$2000,0)),"")</f>
        <v>2.17</v>
      </c>
      <c r="L172" s="194">
        <f t="shared" si="10"/>
        <v>1.8161999999999998</v>
      </c>
      <c r="M172" s="233">
        <f>AVERAGE(Ashed_controlls!$K$1:$K$11)</f>
        <v>5.5147656768714146</v>
      </c>
      <c r="N172" s="194">
        <f t="shared" si="9"/>
        <v>1.9201999999999999</v>
      </c>
      <c r="O172" s="16">
        <f>IF('Dry_Litterbag Placem_Collection'!G99="","",'Dry_Litterbag Placem_Collection'!G99)</f>
        <v>43010</v>
      </c>
      <c r="P172" s="194" t="str">
        <f>IFERROR(INDEX('Both teabags AfterDry'!$D$3:$D$2000,MATCH(H172,'Both teabags AfterDry'!$A$3:$A$2000,0)),"")</f>
        <v/>
      </c>
      <c r="Q172" s="194" t="str">
        <f>IFERROR(INDEX('Both teabags AfterDry'!$D$3:$D$2000,MATCH(I172,'Both teabags AfterDry'!$A$3:$A$2000,0)),"")</f>
        <v/>
      </c>
      <c r="R172" s="194" t="str">
        <f t="shared" si="11"/>
        <v/>
      </c>
      <c r="S172" s="194" t="str">
        <f t="shared" si="11"/>
        <v/>
      </c>
      <c r="T172" s="194" t="str">
        <f t="shared" si="12"/>
        <v/>
      </c>
      <c r="U172" s="194" t="str">
        <f t="shared" si="13"/>
        <v/>
      </c>
      <c r="V172" s="194" t="str">
        <f t="shared" si="14"/>
        <v/>
      </c>
      <c r="W172">
        <f t="shared" si="15"/>
        <v>71</v>
      </c>
      <c r="X172" s="194" t="str">
        <f t="shared" si="16"/>
        <v/>
      </c>
      <c r="Y172" s="194" t="str">
        <f t="shared" si="17"/>
        <v/>
      </c>
      <c r="Z172" s="245" t="str">
        <f>IF(ISNUMBER(SEARCH("C", 'Dry_Litterbag Placem_Collection'!$T99)),"YES","NO")</f>
        <v>YES</v>
      </c>
      <c r="AA172" s="245" t="str">
        <f>IF(ISNUMBER(SEARCH("H", 'Dry_Litterbag Placem_Collection'!$T99)),"YES","NO")</f>
        <v>YES</v>
      </c>
      <c r="AB172" s="245" t="str">
        <f>IF(ISNUMBER(SEARCH("R", 'Dry_Litterbag Placem_Collection'!$T99)),"YES","NO")</f>
        <v>NO</v>
      </c>
      <c r="AC172" s="245" t="str">
        <f>IF(ISNUMBER(SEARCH("C", 'Dry_Litterbag Placem_Collection'!$S99)),"YES","NO")</f>
        <v>YES</v>
      </c>
      <c r="AD172" s="245" t="str">
        <f>IF(ISNUMBER(SEARCH("H", 'Dry_Litterbag Placem_Collection'!$S99)),"YES","NO")</f>
        <v>YES</v>
      </c>
      <c r="AE172" s="245" t="str">
        <f>IF(ISNUMBER(SEARCH("R", 'Dry_Litterbag Placem_Collection'!$S99)),"YES","NO")</f>
        <v>NO</v>
      </c>
    </row>
    <row r="173" spans="2:31">
      <c r="B173" t="str">
        <f>Dryseason!B99</f>
        <v>Dry</v>
      </c>
      <c r="C173" s="253">
        <f>Dryseason!C99</f>
        <v>98</v>
      </c>
      <c r="D173" t="s">
        <v>3116</v>
      </c>
      <c r="E173" t="s">
        <v>22</v>
      </c>
      <c r="F173" s="374">
        <v>2</v>
      </c>
      <c r="G173" s="16">
        <f>IF('Dry_Litterbag Placem_Collection'!E100="","",'Dry_Litterbag Placem_Collection'!E100)</f>
        <v>42939</v>
      </c>
      <c r="H173" t="str">
        <f>Dryseason!L99</f>
        <v>G184</v>
      </c>
      <c r="I173" t="str">
        <f>Dryseason!L319</f>
        <v>R808</v>
      </c>
      <c r="J173">
        <f>IFERROR(INDEX('Green_rooibos initial weight'!$C$5:$C$2000,MATCH(H173, 'Green_rooibos initial weight'!$A$5:$A$2000,0)),"")</f>
        <v>1.925</v>
      </c>
      <c r="K173">
        <f>IFERROR(INDEX('Green_rooibos initial weight'!$C$5:$C$2000,MATCH(I173, 'Green_rooibos initial weight'!$A$5:$A$2000,0)),"")</f>
        <v>2.2309999999999999</v>
      </c>
      <c r="L173" s="194">
        <f t="shared" si="10"/>
        <v>1.6752</v>
      </c>
      <c r="M173" s="233">
        <f>AVERAGE(Ashed_controlls!$K$1:$K$11)</f>
        <v>5.5147656768714146</v>
      </c>
      <c r="N173" s="194">
        <f t="shared" si="9"/>
        <v>1.9811999999999999</v>
      </c>
      <c r="O173" s="16">
        <f>IF('Dry_Litterbag Placem_Collection'!G100="","",'Dry_Litterbag Placem_Collection'!G100)</f>
        <v>43010</v>
      </c>
      <c r="P173" s="194">
        <f>IFERROR(INDEX('Both teabags AfterDry'!$D$3:$D$2000,MATCH(H173,'Both teabags AfterDry'!$A$3:$A$2000,0)),"")</f>
        <v>0.99180000000000001</v>
      </c>
      <c r="Q173" s="194">
        <f>IFERROR(INDEX('Both teabags AfterDry'!$D$3:$D$2000,MATCH(I173,'Both teabags AfterDry'!$A$3:$A$2000,0)),"")</f>
        <v>0</v>
      </c>
      <c r="R173" s="194">
        <f t="shared" si="11"/>
        <v>0.84119999999999995</v>
      </c>
      <c r="S173" s="194" t="str">
        <f t="shared" si="11"/>
        <v/>
      </c>
      <c r="T173" s="194">
        <f t="shared" si="12"/>
        <v>0.49785100286532957</v>
      </c>
      <c r="U173" s="194">
        <f t="shared" si="13"/>
        <v>0.32638213014449163</v>
      </c>
      <c r="V173" s="194" t="str">
        <f t="shared" si="14"/>
        <v/>
      </c>
      <c r="W173">
        <f t="shared" si="15"/>
        <v>71</v>
      </c>
      <c r="X173" s="194">
        <f t="shared" si="16"/>
        <v>0.40872802510055872</v>
      </c>
      <c r="Y173" s="194" t="str">
        <f t="shared" si="17"/>
        <v/>
      </c>
      <c r="Z173" s="245" t="str">
        <f>IF(ISNUMBER(SEARCH("C", 'Dry_Litterbag Placem_Collection'!$T100)),"YES","NO")</f>
        <v>YES</v>
      </c>
      <c r="AA173" s="245" t="str">
        <f>IF(ISNUMBER(SEARCH("H", 'Dry_Litterbag Placem_Collection'!$T100)),"YES","NO")</f>
        <v>YES</v>
      </c>
      <c r="AB173" s="245" t="str">
        <f>IF(ISNUMBER(SEARCH("R", 'Dry_Litterbag Placem_Collection'!$T100)),"YES","NO")</f>
        <v>NO</v>
      </c>
      <c r="AC173" s="245" t="str">
        <f>IF(ISNUMBER(SEARCH("C", 'Dry_Litterbag Placem_Collection'!$S100)),"YES","NO")</f>
        <v>YES</v>
      </c>
      <c r="AD173" s="245" t="str">
        <f>IF(ISNUMBER(SEARCH("H", 'Dry_Litterbag Placem_Collection'!$S100)),"YES","NO")</f>
        <v>YES</v>
      </c>
      <c r="AE173" s="245" t="str">
        <f>IF(ISNUMBER(SEARCH("R", 'Dry_Litterbag Placem_Collection'!$S100)),"YES","NO")</f>
        <v>NO</v>
      </c>
    </row>
    <row r="174" spans="2:31">
      <c r="B174" t="str">
        <f>Dryseason!B100</f>
        <v>Dry</v>
      </c>
      <c r="C174" s="253">
        <f>Dryseason!C100</f>
        <v>99</v>
      </c>
      <c r="D174" t="s">
        <v>3116</v>
      </c>
      <c r="E174" t="s">
        <v>22</v>
      </c>
      <c r="F174" s="374">
        <v>3</v>
      </c>
      <c r="G174" s="16" t="str">
        <f>IF('Dry_Litterbag Placem_Collection'!E101="","",'Dry_Litterbag Placem_Collection'!E101)</f>
        <v/>
      </c>
      <c r="H174" t="str">
        <f>Dryseason!L100</f>
        <v/>
      </c>
      <c r="I174" t="str">
        <f>Dryseason!L320</f>
        <v/>
      </c>
      <c r="J174" t="str">
        <f>IFERROR(INDEX('Green_rooibos initial weight'!$C$5:$C$2000,MATCH(H174, 'Green_rooibos initial weight'!$A$5:$A$2000,0)),"")</f>
        <v/>
      </c>
      <c r="K174" t="str">
        <f>IFERROR(INDEX('Green_rooibos initial weight'!$C$5:$C$2000,MATCH(I174, 'Green_rooibos initial weight'!$A$5:$A$2000,0)),"")</f>
        <v/>
      </c>
      <c r="L174" s="194" t="str">
        <f t="shared" si="10"/>
        <v/>
      </c>
      <c r="M174" s="233">
        <f>AVERAGE(Ashed_controlls!$K$1:$K$11)</f>
        <v>5.5147656768714146</v>
      </c>
      <c r="N174" s="194" t="str">
        <f t="shared" si="9"/>
        <v/>
      </c>
      <c r="O174" s="16" t="str">
        <f>IF('Dry_Litterbag Placem_Collection'!G101="","",'Dry_Litterbag Placem_Collection'!G101)</f>
        <v/>
      </c>
      <c r="P174" s="194" t="str">
        <f>IFERROR(INDEX('Both teabags AfterDry'!$D$3:$D$2000,MATCH(H174,'Both teabags AfterDry'!$A$3:$A$2000,0)),"")</f>
        <v/>
      </c>
      <c r="Q174" s="194" t="str">
        <f>IFERROR(INDEX('Both teabags AfterDry'!$D$3:$D$2000,MATCH(I174,'Both teabags AfterDry'!$A$3:$A$2000,0)),"")</f>
        <v/>
      </c>
      <c r="R174" s="194" t="str">
        <f t="shared" si="11"/>
        <v/>
      </c>
      <c r="S174" s="194" t="str">
        <f t="shared" si="11"/>
        <v/>
      </c>
      <c r="T174" s="194" t="str">
        <f t="shared" si="12"/>
        <v/>
      </c>
      <c r="U174" s="194" t="str">
        <f t="shared" si="13"/>
        <v/>
      </c>
      <c r="V174" s="194" t="str">
        <f t="shared" si="14"/>
        <v/>
      </c>
      <c r="W174" t="str">
        <f t="shared" si="15"/>
        <v/>
      </c>
      <c r="X174" s="194" t="str">
        <f t="shared" si="16"/>
        <v/>
      </c>
      <c r="Y174" s="194" t="str">
        <f t="shared" si="17"/>
        <v/>
      </c>
      <c r="Z174" s="245" t="str">
        <f>IF(ISNUMBER(SEARCH("C", 'Dry_Litterbag Placem_Collection'!$T101)),"YES","NO")</f>
        <v>NO</v>
      </c>
      <c r="AA174" s="245" t="str">
        <f>IF(ISNUMBER(SEARCH("H", 'Dry_Litterbag Placem_Collection'!$T101)),"YES","NO")</f>
        <v>NO</v>
      </c>
      <c r="AB174" s="245" t="str">
        <f>IF(ISNUMBER(SEARCH("R", 'Dry_Litterbag Placem_Collection'!$T101)),"YES","NO")</f>
        <v>NO</v>
      </c>
      <c r="AC174" s="245" t="str">
        <f>IF(ISNUMBER(SEARCH("C", 'Dry_Litterbag Placem_Collection'!$S101)),"YES","NO")</f>
        <v>NO</v>
      </c>
      <c r="AD174" s="245" t="str">
        <f>IF(ISNUMBER(SEARCH("H", 'Dry_Litterbag Placem_Collection'!$S101)),"YES","NO")</f>
        <v>NO</v>
      </c>
      <c r="AE174" s="245" t="str">
        <f>IF(ISNUMBER(SEARCH("R", 'Dry_Litterbag Placem_Collection'!$S101)),"YES","NO")</f>
        <v>NO</v>
      </c>
    </row>
    <row r="175" spans="2:31">
      <c r="B175" t="str">
        <f>Dryseason!B101</f>
        <v>Dry</v>
      </c>
      <c r="C175" s="253">
        <f>Dryseason!C101</f>
        <v>100</v>
      </c>
      <c r="D175" t="s">
        <v>3116</v>
      </c>
      <c r="E175" t="s">
        <v>22</v>
      </c>
      <c r="F175" s="375">
        <v>4</v>
      </c>
      <c r="G175" s="16">
        <f>IF('Dry_Litterbag Placem_Collection'!E102="","",'Dry_Litterbag Placem_Collection'!E102)</f>
        <v>42939</v>
      </c>
      <c r="H175" t="str">
        <f>Dryseason!L101</f>
        <v>G176</v>
      </c>
      <c r="I175" t="str">
        <f>Dryseason!L321</f>
        <v>R276</v>
      </c>
      <c r="J175">
        <f>IFERROR(INDEX('Green_rooibos initial weight'!$C$5:$C$2000,MATCH(H175, 'Green_rooibos initial weight'!$A$5:$A$2000,0)),"")</f>
        <v>2.0590000000000002</v>
      </c>
      <c r="K175">
        <f>IFERROR(INDEX('Green_rooibos initial weight'!$C$5:$C$2000,MATCH(I175, 'Green_rooibos initial weight'!$A$5:$A$2000,0)),"")</f>
        <v>2.1930000000000001</v>
      </c>
      <c r="L175" s="194">
        <f t="shared" si="10"/>
        <v>1.8092000000000001</v>
      </c>
      <c r="M175" s="233">
        <f>AVERAGE(Ashed_controlls!$K$1:$K$11)</f>
        <v>5.5147656768714146</v>
      </c>
      <c r="N175" s="194">
        <f t="shared" si="9"/>
        <v>1.9432</v>
      </c>
      <c r="O175" s="16">
        <f>IF('Dry_Litterbag Placem_Collection'!G102="","",'Dry_Litterbag Placem_Collection'!G102)</f>
        <v>43010</v>
      </c>
      <c r="P175" s="194">
        <f>IFERROR(INDEX('Both teabags AfterDry'!$D$3:$D$2000,MATCH(H175,'Both teabags AfterDry'!$A$3:$A$2000,0)),"")</f>
        <v>1.3146</v>
      </c>
      <c r="Q175" s="194">
        <f>IFERROR(INDEX('Both teabags AfterDry'!$D$3:$D$2000,MATCH(I175,'Both teabags AfterDry'!$A$3:$A$2000,0)),"")</f>
        <v>1.4581</v>
      </c>
      <c r="R175" s="194">
        <f t="shared" si="11"/>
        <v>1.1639999999999999</v>
      </c>
      <c r="S175" s="194">
        <f t="shared" si="11"/>
        <v>1.3074999999999999</v>
      </c>
      <c r="T175" s="194">
        <f t="shared" si="12"/>
        <v>0.35662171125359288</v>
      </c>
      <c r="U175" s="194">
        <f t="shared" si="13"/>
        <v>0.23379475607123906</v>
      </c>
      <c r="V175" s="194">
        <f t="shared" si="14"/>
        <v>0.6728592013174145</v>
      </c>
      <c r="W175">
        <f t="shared" si="15"/>
        <v>71</v>
      </c>
      <c r="X175" s="194">
        <f t="shared" si="16"/>
        <v>0.57645877523326261</v>
      </c>
      <c r="Y175" s="194" t="str">
        <f t="shared" si="17"/>
        <v/>
      </c>
      <c r="Z175" s="245" t="str">
        <f>IF(ISNUMBER(SEARCH("C", 'Dry_Litterbag Placem_Collection'!$T102)),"YES","NO")</f>
        <v>YES</v>
      </c>
      <c r="AA175" s="245" t="str">
        <f>IF(ISNUMBER(SEARCH("H", 'Dry_Litterbag Placem_Collection'!$T102)),"YES","NO")</f>
        <v>YES</v>
      </c>
      <c r="AB175" s="245" t="str">
        <f>IF(ISNUMBER(SEARCH("R", 'Dry_Litterbag Placem_Collection'!$T102)),"YES","NO")</f>
        <v>NO</v>
      </c>
      <c r="AC175" s="245" t="str">
        <f>IF(ISNUMBER(SEARCH("C", 'Dry_Litterbag Placem_Collection'!$S102)),"YES","NO")</f>
        <v>YES</v>
      </c>
      <c r="AD175" s="245" t="str">
        <f>IF(ISNUMBER(SEARCH("H", 'Dry_Litterbag Placem_Collection'!$S102)),"YES","NO")</f>
        <v>YES</v>
      </c>
      <c r="AE175" s="245" t="str">
        <f>IF(ISNUMBER(SEARCH("R", 'Dry_Litterbag Placem_Collection'!$S102)),"YES","NO")</f>
        <v>NO</v>
      </c>
    </row>
    <row r="176" spans="2:31">
      <c r="B176" t="str">
        <f>Dryseason!B102</f>
        <v>Dry</v>
      </c>
      <c r="C176" s="253">
        <f>Dryseason!C102</f>
        <v>101</v>
      </c>
      <c r="D176" t="s">
        <v>3116</v>
      </c>
      <c r="E176" t="s">
        <v>22</v>
      </c>
      <c r="F176" s="375">
        <v>5</v>
      </c>
      <c r="G176" s="16">
        <f>IF('Dry_Litterbag Placem_Collection'!E103="","",'Dry_Litterbag Placem_Collection'!E103)</f>
        <v>42939</v>
      </c>
      <c r="H176" t="str">
        <f>Dryseason!L102</f>
        <v>G11</v>
      </c>
      <c r="I176" t="str">
        <f>Dryseason!L322</f>
        <v>R624</v>
      </c>
      <c r="J176">
        <f>IFERROR(INDEX('Green_rooibos initial weight'!$C$5:$C$2000,MATCH(H176, 'Green_rooibos initial weight'!$A$5:$A$2000,0)),"")</f>
        <v>1.839</v>
      </c>
      <c r="K176">
        <f>IFERROR(INDEX('Green_rooibos initial weight'!$C$5:$C$2000,MATCH(I176, 'Green_rooibos initial weight'!$A$5:$A$2000,0)),"")</f>
        <v>2.0739999999999998</v>
      </c>
      <c r="L176" s="194">
        <f t="shared" si="10"/>
        <v>1.5891999999999999</v>
      </c>
      <c r="M176" s="233">
        <f>AVERAGE(Ashed_controlls!$K$1:$K$11)</f>
        <v>5.5147656768714146</v>
      </c>
      <c r="N176" s="194">
        <f t="shared" si="9"/>
        <v>1.8241999999999998</v>
      </c>
      <c r="O176" s="16">
        <f>IF('Dry_Litterbag Placem_Collection'!G103="","",'Dry_Litterbag Placem_Collection'!G103)</f>
        <v>43010</v>
      </c>
      <c r="P176" s="194">
        <f>IFERROR(INDEX('Both teabags AfterDry'!$D$3:$D$2000,MATCH(H176,'Both teabags AfterDry'!$A$3:$A$2000,0)),"")</f>
        <v>1.0169999999999999</v>
      </c>
      <c r="Q176" s="194">
        <f>IFERROR(INDEX('Both teabags AfterDry'!$D$3:$D$2000,MATCH(I176,'Both teabags AfterDry'!$A$3:$A$2000,0)),"")</f>
        <v>0</v>
      </c>
      <c r="R176" s="194">
        <f t="shared" si="11"/>
        <v>0.86639999999999984</v>
      </c>
      <c r="S176" s="194" t="str">
        <f t="shared" si="11"/>
        <v/>
      </c>
      <c r="T176" s="194">
        <f t="shared" si="12"/>
        <v>0.45482003523785564</v>
      </c>
      <c r="U176" s="194">
        <f t="shared" si="13"/>
        <v>0.29817180457398612</v>
      </c>
      <c r="V176" s="194" t="str">
        <f t="shared" si="14"/>
        <v/>
      </c>
      <c r="W176">
        <f t="shared" si="15"/>
        <v>71</v>
      </c>
      <c r="X176" s="194">
        <f t="shared" si="16"/>
        <v>0.45983368736596719</v>
      </c>
      <c r="Y176" s="194" t="str">
        <f t="shared" si="17"/>
        <v/>
      </c>
      <c r="Z176" s="245" t="str">
        <f>IF(ISNUMBER(SEARCH("C", 'Dry_Litterbag Placem_Collection'!$T103)),"YES","NO")</f>
        <v>YES</v>
      </c>
      <c r="AA176" s="245" t="str">
        <f>IF(ISNUMBER(SEARCH("H", 'Dry_Litterbag Placem_Collection'!$T103)),"YES","NO")</f>
        <v>YES</v>
      </c>
      <c r="AB176" s="245" t="str">
        <f>IF(ISNUMBER(SEARCH("R", 'Dry_Litterbag Placem_Collection'!$T103)),"YES","NO")</f>
        <v>NO</v>
      </c>
      <c r="AC176" s="245" t="str">
        <f>IF(ISNUMBER(SEARCH("C", 'Dry_Litterbag Placem_Collection'!$S103)),"YES","NO")</f>
        <v>YES</v>
      </c>
      <c r="AD176" s="245" t="str">
        <f>IF(ISNUMBER(SEARCH("H", 'Dry_Litterbag Placem_Collection'!$S103)),"YES","NO")</f>
        <v>NO</v>
      </c>
      <c r="AE176" s="245" t="str">
        <f>IF(ISNUMBER(SEARCH("R", 'Dry_Litterbag Placem_Collection'!$S103)),"YES","NO")</f>
        <v>NO</v>
      </c>
    </row>
    <row r="177" spans="2:31">
      <c r="B177" t="str">
        <f>Dryseason!B103</f>
        <v>Dry</v>
      </c>
      <c r="C177" s="253">
        <f>Dryseason!C103</f>
        <v>102</v>
      </c>
      <c r="D177" t="s">
        <v>3116</v>
      </c>
      <c r="E177" t="s">
        <v>22</v>
      </c>
      <c r="F177" s="375">
        <v>6</v>
      </c>
      <c r="G177" s="16">
        <f>IF('Dry_Litterbag Placem_Collection'!E104="","",'Dry_Litterbag Placem_Collection'!E104)</f>
        <v>42939</v>
      </c>
      <c r="H177" t="str">
        <f>Dryseason!L103</f>
        <v>G284</v>
      </c>
      <c r="I177" t="str">
        <f>Dryseason!L323</f>
        <v>R781</v>
      </c>
      <c r="J177">
        <f>IFERROR(INDEX('Green_rooibos initial weight'!$C$5:$C$2000,MATCH(H177, 'Green_rooibos initial weight'!$A$5:$A$2000,0)),"")</f>
        <v>2.0760000000000001</v>
      </c>
      <c r="K177">
        <f>IFERROR(INDEX('Green_rooibos initial weight'!$C$5:$C$2000,MATCH(I177, 'Green_rooibos initial weight'!$A$5:$A$2000,0)),"")</f>
        <v>2.194</v>
      </c>
      <c r="L177" s="194">
        <f t="shared" si="10"/>
        <v>1.8262</v>
      </c>
      <c r="M177" s="233">
        <f>AVERAGE(Ashed_controlls!$K$1:$K$11)</f>
        <v>5.5147656768714146</v>
      </c>
      <c r="N177" s="194">
        <f t="shared" si="9"/>
        <v>1.9441999999999999</v>
      </c>
      <c r="O177" s="16">
        <f>IF('Dry_Litterbag Placem_Collection'!G104="","",'Dry_Litterbag Placem_Collection'!G104)</f>
        <v>43010</v>
      </c>
      <c r="P177" s="194">
        <f>IFERROR(INDEX('Both teabags AfterDry'!$D$3:$D$2000,MATCH(H177,'Both teabags AfterDry'!$A$3:$A$2000,0)),"")</f>
        <v>1.1585000000000001</v>
      </c>
      <c r="Q177" s="194">
        <f>IFERROR(INDEX('Both teabags AfterDry'!$D$3:$D$2000,MATCH(I177,'Both teabags AfterDry'!$A$3:$A$2000,0)),"")</f>
        <v>1.8687</v>
      </c>
      <c r="R177" s="194">
        <f t="shared" si="11"/>
        <v>1.0079</v>
      </c>
      <c r="S177" s="194">
        <f t="shared" si="11"/>
        <v>1.7181</v>
      </c>
      <c r="T177" s="194">
        <f t="shared" si="12"/>
        <v>0.44808892782827725</v>
      </c>
      <c r="U177" s="194">
        <f t="shared" si="13"/>
        <v>0.2937590120679443</v>
      </c>
      <c r="V177" s="194">
        <f t="shared" si="14"/>
        <v>0.8837053801049275</v>
      </c>
      <c r="W177">
        <f t="shared" si="15"/>
        <v>71</v>
      </c>
      <c r="X177" s="194">
        <f t="shared" si="16"/>
        <v>0.46782787668850678</v>
      </c>
      <c r="Y177" s="194">
        <f t="shared" si="17"/>
        <v>7.0984473669532602E-3</v>
      </c>
      <c r="Z177" s="245" t="str">
        <f>IF(ISNUMBER(SEARCH("C", 'Dry_Litterbag Placem_Collection'!$T104)),"YES","NO")</f>
        <v>YES</v>
      </c>
      <c r="AA177" s="245" t="str">
        <f>IF(ISNUMBER(SEARCH("H", 'Dry_Litterbag Placem_Collection'!$T104)),"YES","NO")</f>
        <v>YES</v>
      </c>
      <c r="AB177" s="245" t="str">
        <f>IF(ISNUMBER(SEARCH("R", 'Dry_Litterbag Placem_Collection'!$T104)),"YES","NO")</f>
        <v>NO</v>
      </c>
      <c r="AC177" s="245" t="str">
        <f>IF(ISNUMBER(SEARCH("C", 'Dry_Litterbag Placem_Collection'!$S104)),"YES","NO")</f>
        <v>YES</v>
      </c>
      <c r="AD177" s="245" t="str">
        <f>IF(ISNUMBER(SEARCH("H", 'Dry_Litterbag Placem_Collection'!$S104)),"YES","NO")</f>
        <v>YES</v>
      </c>
      <c r="AE177" s="245" t="str">
        <f>IF(ISNUMBER(SEARCH("R", 'Dry_Litterbag Placem_Collection'!$S104)),"YES","NO")</f>
        <v>NO</v>
      </c>
    </row>
    <row r="178" spans="2:31">
      <c r="B178" t="str">
        <f>Dryseason!B104</f>
        <v>Dry</v>
      </c>
      <c r="C178" s="253">
        <f>Dryseason!C104</f>
        <v>103</v>
      </c>
      <c r="D178" t="s">
        <v>3116</v>
      </c>
      <c r="E178" t="s">
        <v>22</v>
      </c>
      <c r="F178" s="375">
        <v>7</v>
      </c>
      <c r="G178" s="16">
        <f>IF('Dry_Litterbag Placem_Collection'!E105="","",'Dry_Litterbag Placem_Collection'!E105)</f>
        <v>42939</v>
      </c>
      <c r="H178" t="str">
        <f>Dryseason!L104</f>
        <v>G326</v>
      </c>
      <c r="I178" t="str">
        <f>Dryseason!L324</f>
        <v>R772</v>
      </c>
      <c r="J178">
        <f>IFERROR(INDEX('Green_rooibos initial weight'!$C$5:$C$2000,MATCH(H178, 'Green_rooibos initial weight'!$A$5:$A$2000,0)),"")</f>
        <v>2.04</v>
      </c>
      <c r="K178">
        <f>IFERROR(INDEX('Green_rooibos initial weight'!$C$5:$C$2000,MATCH(I178, 'Green_rooibos initial weight'!$A$5:$A$2000,0)),"")</f>
        <v>2.1909999999999998</v>
      </c>
      <c r="L178" s="194">
        <f t="shared" si="10"/>
        <v>1.7902</v>
      </c>
      <c r="M178" s="233">
        <f>AVERAGE(Ashed_controlls!$K$1:$K$11)</f>
        <v>5.5147656768714146</v>
      </c>
      <c r="N178" s="194">
        <f t="shared" si="9"/>
        <v>1.9411999999999998</v>
      </c>
      <c r="O178" s="16">
        <f>IF('Dry_Litterbag Placem_Collection'!G105="","",'Dry_Litterbag Placem_Collection'!G105)</f>
        <v>43010</v>
      </c>
      <c r="P178" s="194">
        <f>IFERROR(INDEX('Both teabags AfterDry'!$D$3:$D$2000,MATCH(H178,'Both teabags AfterDry'!$A$3:$A$2000,0)),"")</f>
        <v>1.0625</v>
      </c>
      <c r="Q178" s="194">
        <f>IFERROR(INDEX('Both teabags AfterDry'!$D$3:$D$2000,MATCH(I178,'Both teabags AfterDry'!$A$3:$A$2000,0)),"")</f>
        <v>1.5579000000000001</v>
      </c>
      <c r="R178" s="194">
        <f t="shared" si="11"/>
        <v>0.91189999999999993</v>
      </c>
      <c r="S178" s="194">
        <f t="shared" si="11"/>
        <v>1.4073</v>
      </c>
      <c r="T178" s="194">
        <f t="shared" si="12"/>
        <v>0.49061557367891862</v>
      </c>
      <c r="U178" s="194">
        <f t="shared" si="13"/>
        <v>0.32163871338570443</v>
      </c>
      <c r="V178" s="194">
        <f t="shared" si="14"/>
        <v>0.72496393983103247</v>
      </c>
      <c r="W178">
        <f t="shared" si="15"/>
        <v>71</v>
      </c>
      <c r="X178" s="194">
        <f t="shared" si="16"/>
        <v>0.41732117140270941</v>
      </c>
      <c r="Y178" s="194">
        <f t="shared" si="17"/>
        <v>2.7208048338181027E-2</v>
      </c>
      <c r="Z178" s="245" t="str">
        <f>IF(ISNUMBER(SEARCH("C", 'Dry_Litterbag Placem_Collection'!$T105)),"YES","NO")</f>
        <v>YES</v>
      </c>
      <c r="AA178" s="245" t="str">
        <f>IF(ISNUMBER(SEARCH("H", 'Dry_Litterbag Placem_Collection'!$T105)),"YES","NO")</f>
        <v>YES</v>
      </c>
      <c r="AB178" s="245" t="str">
        <f>IF(ISNUMBER(SEARCH("R", 'Dry_Litterbag Placem_Collection'!$T105)),"YES","NO")</f>
        <v>NO</v>
      </c>
      <c r="AC178" s="245" t="str">
        <f>IF(ISNUMBER(SEARCH("C", 'Dry_Litterbag Placem_Collection'!$S105)),"YES","NO")</f>
        <v>YES</v>
      </c>
      <c r="AD178" s="245" t="str">
        <f>IF(ISNUMBER(SEARCH("H", 'Dry_Litterbag Placem_Collection'!$S105)),"YES","NO")</f>
        <v>YES</v>
      </c>
      <c r="AE178" s="245" t="str">
        <f>IF(ISNUMBER(SEARCH("R", 'Dry_Litterbag Placem_Collection'!$S105)),"YES","NO")</f>
        <v>NO</v>
      </c>
    </row>
    <row r="179" spans="2:31">
      <c r="B179" t="str">
        <f>Dryseason!B105</f>
        <v>Dry</v>
      </c>
      <c r="C179" s="253">
        <f>Dryseason!C105</f>
        <v>104</v>
      </c>
      <c r="D179" t="s">
        <v>3116</v>
      </c>
      <c r="E179" t="s">
        <v>22</v>
      </c>
      <c r="F179" s="375">
        <v>8</v>
      </c>
      <c r="G179" s="16">
        <f>IF('Dry_Litterbag Placem_Collection'!E106="","",'Dry_Litterbag Placem_Collection'!E106)</f>
        <v>42939</v>
      </c>
      <c r="H179" t="str">
        <f>Dryseason!L105</f>
        <v>G162</v>
      </c>
      <c r="I179" t="str">
        <f>Dryseason!L325</f>
        <v>R744</v>
      </c>
      <c r="J179">
        <f>IFERROR(INDEX('Green_rooibos initial weight'!$C$5:$C$2000,MATCH(H179, 'Green_rooibos initial weight'!$A$5:$A$2000,0)),"")</f>
        <v>2.0390000000000001</v>
      </c>
      <c r="K179">
        <f>IFERROR(INDEX('Green_rooibos initial weight'!$C$5:$C$2000,MATCH(I179, 'Green_rooibos initial weight'!$A$5:$A$2000,0)),"")</f>
        <v>2.2280000000000002</v>
      </c>
      <c r="L179" s="194">
        <f t="shared" si="10"/>
        <v>1.7892000000000001</v>
      </c>
      <c r="M179" s="233">
        <f>AVERAGE(Ashed_controlls!$K$1:$K$11)</f>
        <v>5.5147656768714146</v>
      </c>
      <c r="N179" s="194">
        <f t="shared" si="9"/>
        <v>1.9782000000000002</v>
      </c>
      <c r="O179" s="16">
        <f>IF('Dry_Litterbag Placem_Collection'!G106="","",'Dry_Litterbag Placem_Collection'!G106)</f>
        <v>43010</v>
      </c>
      <c r="P179" s="194">
        <f>IFERROR(INDEX('Both teabags AfterDry'!$D$3:$D$2000,MATCH(H179,'Both teabags AfterDry'!$A$3:$A$2000,0)),"")</f>
        <v>1.4899</v>
      </c>
      <c r="Q179" s="194">
        <f>IFERROR(INDEX('Both teabags AfterDry'!$D$3:$D$2000,MATCH(I179,'Both teabags AfterDry'!$A$3:$A$2000,0)),"")</f>
        <v>0</v>
      </c>
      <c r="R179" s="194">
        <f t="shared" si="11"/>
        <v>1.3392999999999999</v>
      </c>
      <c r="S179" s="194" t="str">
        <f t="shared" si="11"/>
        <v/>
      </c>
      <c r="T179" s="194">
        <f t="shared" si="12"/>
        <v>0.25145316342499446</v>
      </c>
      <c r="U179" s="194">
        <f t="shared" si="13"/>
        <v>0.16484815464441444</v>
      </c>
      <c r="V179" s="194" t="str">
        <f t="shared" si="14"/>
        <v/>
      </c>
      <c r="W179">
        <f t="shared" si="15"/>
        <v>71</v>
      </c>
      <c r="X179" s="194">
        <f t="shared" si="16"/>
        <v>0.70136203868765501</v>
      </c>
      <c r="Y179" s="194" t="str">
        <f t="shared" si="17"/>
        <v/>
      </c>
      <c r="Z179" s="245" t="str">
        <f>IF(ISNUMBER(SEARCH("C", 'Dry_Litterbag Placem_Collection'!$T106)),"YES","NO")</f>
        <v>YES</v>
      </c>
      <c r="AA179" s="245" t="str">
        <f>IF(ISNUMBER(SEARCH("H", 'Dry_Litterbag Placem_Collection'!$T106)),"YES","NO")</f>
        <v>YES</v>
      </c>
      <c r="AB179" s="245" t="str">
        <f>IF(ISNUMBER(SEARCH("R", 'Dry_Litterbag Placem_Collection'!$T106)),"YES","NO")</f>
        <v>NO</v>
      </c>
      <c r="AC179" s="245" t="str">
        <f>IF(ISNUMBER(SEARCH("C", 'Dry_Litterbag Placem_Collection'!$S106)),"YES","NO")</f>
        <v>YES</v>
      </c>
      <c r="AD179" s="245" t="str">
        <f>IF(ISNUMBER(SEARCH("H", 'Dry_Litterbag Placem_Collection'!$S106)),"YES","NO")</f>
        <v>NO</v>
      </c>
      <c r="AE179" s="245" t="str">
        <f>IF(ISNUMBER(SEARCH("R", 'Dry_Litterbag Placem_Collection'!$S106)),"YES","NO")</f>
        <v>NO</v>
      </c>
    </row>
    <row r="180" spans="2:31">
      <c r="B180" t="str">
        <f>Dryseason!B106</f>
        <v>Dry</v>
      </c>
      <c r="C180" s="253">
        <f>Dryseason!C106</f>
        <v>105</v>
      </c>
      <c r="D180" t="s">
        <v>3118</v>
      </c>
      <c r="E180" t="s">
        <v>22</v>
      </c>
      <c r="F180" s="374">
        <v>1</v>
      </c>
      <c r="G180" s="16">
        <f>IF('Dry_Litterbag Placem_Collection'!E107="","",'Dry_Litterbag Placem_Collection'!E107)</f>
        <v>42939</v>
      </c>
      <c r="H180" t="str">
        <f>Dryseason!L106</f>
        <v>G6</v>
      </c>
      <c r="I180" t="str">
        <f>Dryseason!L326</f>
        <v>R824</v>
      </c>
      <c r="J180">
        <f>IFERROR(INDEX('Green_rooibos initial weight'!$C$5:$C$2000,MATCH(H180, 'Green_rooibos initial weight'!$A$5:$A$2000,0)),"")</f>
        <v>2.016</v>
      </c>
      <c r="K180">
        <f>IFERROR(INDEX('Green_rooibos initial weight'!$C$5:$C$2000,MATCH(I180, 'Green_rooibos initial weight'!$A$5:$A$2000,0)),"")</f>
        <v>2.173</v>
      </c>
      <c r="L180" s="194">
        <f t="shared" si="10"/>
        <v>1.7662</v>
      </c>
      <c r="M180" s="233">
        <f>AVERAGE(Ashed_controlls!$K$1:$K$11)</f>
        <v>5.5147656768714146</v>
      </c>
      <c r="N180" s="194">
        <f t="shared" si="9"/>
        <v>1.9232</v>
      </c>
      <c r="O180" s="16">
        <f>IF('Dry_Litterbag Placem_Collection'!G107="","",'Dry_Litterbag Placem_Collection'!G107)</f>
        <v>43010</v>
      </c>
      <c r="P180" s="194">
        <f>IFERROR(INDEX('Both teabags AfterDry'!$D$3:$D$2000,MATCH(H180,'Both teabags AfterDry'!$A$3:$A$2000,0)),"")</f>
        <v>1.1637</v>
      </c>
      <c r="Q180" s="194">
        <f>IFERROR(INDEX('Both teabags AfterDry'!$D$3:$D$2000,MATCH(I180,'Both teabags AfterDry'!$A$3:$A$2000,0)),"")</f>
        <v>1.7653000000000001</v>
      </c>
      <c r="R180" s="194">
        <f t="shared" si="11"/>
        <v>1.0130999999999999</v>
      </c>
      <c r="S180" s="194">
        <f t="shared" si="11"/>
        <v>1.6147</v>
      </c>
      <c r="T180" s="194">
        <f t="shared" si="12"/>
        <v>0.42639565168157634</v>
      </c>
      <c r="U180" s="194">
        <f t="shared" si="13"/>
        <v>0.27953729183875314</v>
      </c>
      <c r="V180" s="194">
        <f t="shared" si="14"/>
        <v>0.83959026622296173</v>
      </c>
      <c r="W180">
        <f t="shared" si="15"/>
        <v>71</v>
      </c>
      <c r="X180" s="194">
        <f t="shared" si="16"/>
        <v>0.49359186261095445</v>
      </c>
      <c r="Y180" s="194">
        <f t="shared" si="17"/>
        <v>1.2013251712468193E-2</v>
      </c>
      <c r="Z180" s="245" t="str">
        <f>IF(ISNUMBER(SEARCH("C", 'Dry_Litterbag Placem_Collection'!$T107)),"YES","NO")</f>
        <v>YES</v>
      </c>
      <c r="AA180" s="245" t="str">
        <f>IF(ISNUMBER(SEARCH("H", 'Dry_Litterbag Placem_Collection'!$T107)),"YES","NO")</f>
        <v>YES</v>
      </c>
      <c r="AB180" s="245" t="str">
        <f>IF(ISNUMBER(SEARCH("R", 'Dry_Litterbag Placem_Collection'!$T107)),"YES","NO")</f>
        <v>NO</v>
      </c>
      <c r="AC180" s="245" t="str">
        <f>IF(ISNUMBER(SEARCH("C", 'Dry_Litterbag Placem_Collection'!$S107)),"YES","NO")</f>
        <v>NO</v>
      </c>
      <c r="AD180" s="245" t="str">
        <f>IF(ISNUMBER(SEARCH("H", 'Dry_Litterbag Placem_Collection'!$S107)),"YES","NO")</f>
        <v>NO</v>
      </c>
      <c r="AE180" s="245" t="str">
        <f>IF(ISNUMBER(SEARCH("R", 'Dry_Litterbag Placem_Collection'!$S107)),"YES","NO")</f>
        <v>NO</v>
      </c>
    </row>
    <row r="181" spans="2:31">
      <c r="B181" t="str">
        <f>Dryseason!B107</f>
        <v>Dry</v>
      </c>
      <c r="C181" s="253">
        <f>Dryseason!C107</f>
        <v>106</v>
      </c>
      <c r="D181" t="s">
        <v>3118</v>
      </c>
      <c r="E181" t="s">
        <v>22</v>
      </c>
      <c r="F181" s="374">
        <v>2</v>
      </c>
      <c r="G181" s="16">
        <f>IF('Dry_Litterbag Placem_Collection'!E108="","",'Dry_Litterbag Placem_Collection'!E108)</f>
        <v>42939</v>
      </c>
      <c r="H181" t="str">
        <f>Dryseason!L107</f>
        <v>G20</v>
      </c>
      <c r="I181" t="str">
        <f>Dryseason!L327</f>
        <v>R790</v>
      </c>
      <c r="J181">
        <f>IFERROR(INDEX('Green_rooibos initial weight'!$C$5:$C$2000,MATCH(H181, 'Green_rooibos initial weight'!$A$5:$A$2000,0)),"")</f>
        <v>2.032</v>
      </c>
      <c r="K181">
        <f>IFERROR(INDEX('Green_rooibos initial weight'!$C$5:$C$2000,MATCH(I181, 'Green_rooibos initial weight'!$A$5:$A$2000,0)),"")</f>
        <v>2.266</v>
      </c>
      <c r="L181" s="194">
        <f t="shared" si="10"/>
        <v>1.7822</v>
      </c>
      <c r="M181" s="233">
        <f>AVERAGE(Ashed_controlls!$K$1:$K$11)</f>
        <v>5.5147656768714146</v>
      </c>
      <c r="N181" s="194">
        <f t="shared" si="9"/>
        <v>2.0162</v>
      </c>
      <c r="O181" s="16">
        <f>IF('Dry_Litterbag Placem_Collection'!G108="","",'Dry_Litterbag Placem_Collection'!G108)</f>
        <v>43010</v>
      </c>
      <c r="P181" s="194">
        <f>IFERROR(INDEX('Both teabags AfterDry'!$D$3:$D$2000,MATCH(H181,'Both teabags AfterDry'!$A$3:$A$2000,0)),"")</f>
        <v>1.0826</v>
      </c>
      <c r="Q181" s="194">
        <f>IFERROR(INDEX('Both teabags AfterDry'!$D$3:$D$2000,MATCH(I181,'Both teabags AfterDry'!$A$3:$A$2000,0)),"")</f>
        <v>2.2315</v>
      </c>
      <c r="R181" s="194">
        <f t="shared" si="11"/>
        <v>0.93199999999999994</v>
      </c>
      <c r="S181" s="194">
        <f t="shared" si="11"/>
        <v>2.0809000000000002</v>
      </c>
      <c r="T181" s="194">
        <f t="shared" si="12"/>
        <v>0.47705083604533727</v>
      </c>
      <c r="U181" s="194">
        <f t="shared" si="13"/>
        <v>0.31274591626725201</v>
      </c>
      <c r="V181" s="194">
        <f t="shared" si="14"/>
        <v>1.0320900704295211</v>
      </c>
      <c r="W181">
        <f t="shared" si="15"/>
        <v>71</v>
      </c>
      <c r="X181" s="194">
        <f t="shared" si="16"/>
        <v>0.43343131111005073</v>
      </c>
      <c r="Y181" s="194">
        <f t="shared" si="17"/>
        <v>-1.3757438218399991E-3</v>
      </c>
      <c r="Z181" s="245" t="str">
        <f>IF(ISNUMBER(SEARCH("C", 'Dry_Litterbag Placem_Collection'!$T108)),"YES","NO")</f>
        <v>YES</v>
      </c>
      <c r="AA181" s="245" t="str">
        <f>IF(ISNUMBER(SEARCH("H", 'Dry_Litterbag Placem_Collection'!$T108)),"YES","NO")</f>
        <v>YES</v>
      </c>
      <c r="AB181" s="245" t="str">
        <f>IF(ISNUMBER(SEARCH("R", 'Dry_Litterbag Placem_Collection'!$T108)),"YES","NO")</f>
        <v>NO</v>
      </c>
      <c r="AC181" s="245" t="str">
        <f>IF(ISNUMBER(SEARCH("C", 'Dry_Litterbag Placem_Collection'!$S108)),"YES","NO")</f>
        <v>NO</v>
      </c>
      <c r="AD181" s="245" t="str">
        <f>IF(ISNUMBER(SEARCH("H", 'Dry_Litterbag Placem_Collection'!$S108)),"YES","NO")</f>
        <v>YES</v>
      </c>
      <c r="AE181" s="245" t="str">
        <f>IF(ISNUMBER(SEARCH("R", 'Dry_Litterbag Placem_Collection'!$S108)),"YES","NO")</f>
        <v>NO</v>
      </c>
    </row>
    <row r="182" spans="2:31">
      <c r="B182" t="str">
        <f>Dryseason!B108</f>
        <v>Dry</v>
      </c>
      <c r="C182" s="253">
        <f>Dryseason!C108</f>
        <v>107</v>
      </c>
      <c r="D182" t="s">
        <v>3118</v>
      </c>
      <c r="E182" t="s">
        <v>22</v>
      </c>
      <c r="F182" s="374">
        <v>3</v>
      </c>
      <c r="G182" s="16">
        <f>IF('Dry_Litterbag Placem_Collection'!E109="","",'Dry_Litterbag Placem_Collection'!E109)</f>
        <v>42939</v>
      </c>
      <c r="H182" t="str">
        <f>Dryseason!L108</f>
        <v>G129</v>
      </c>
      <c r="I182" t="str">
        <f>Dryseason!L328</f>
        <v>R809</v>
      </c>
      <c r="J182">
        <f>IFERROR(INDEX('Green_rooibos initial weight'!$C$5:$C$2000,MATCH(H182, 'Green_rooibos initial weight'!$A$5:$A$2000,0)),"")</f>
        <v>1.9630000000000001</v>
      </c>
      <c r="K182">
        <f>IFERROR(INDEX('Green_rooibos initial weight'!$C$5:$C$2000,MATCH(I182, 'Green_rooibos initial weight'!$A$5:$A$2000,0)),"")</f>
        <v>2.2210000000000001</v>
      </c>
      <c r="L182" s="194">
        <f t="shared" si="10"/>
        <v>1.7132000000000001</v>
      </c>
      <c r="M182" s="233">
        <f>AVERAGE(Ashed_controlls!$K$1:$K$11)</f>
        <v>5.5147656768714146</v>
      </c>
      <c r="N182" s="194">
        <f t="shared" si="9"/>
        <v>1.9712000000000001</v>
      </c>
      <c r="O182" s="16">
        <f>IF('Dry_Litterbag Placem_Collection'!G109="","",'Dry_Litterbag Placem_Collection'!G109)</f>
        <v>43010</v>
      </c>
      <c r="P182" s="194" t="str">
        <f>IFERROR(INDEX('Both teabags AfterDry'!$D$3:$D$2000,MATCH(H182,'Both teabags AfterDry'!$A$3:$A$2000,0)),"")</f>
        <v/>
      </c>
      <c r="Q182" s="194" t="str">
        <f>IFERROR(INDEX('Both teabags AfterDry'!$D$3:$D$2000,MATCH(I182,'Both teabags AfterDry'!$A$3:$A$2000,0)),"")</f>
        <v/>
      </c>
      <c r="R182" s="194" t="str">
        <f t="shared" si="11"/>
        <v/>
      </c>
      <c r="S182" s="194" t="str">
        <f t="shared" si="11"/>
        <v/>
      </c>
      <c r="T182" s="194" t="str">
        <f t="shared" si="12"/>
        <v/>
      </c>
      <c r="U182" s="194" t="str">
        <f t="shared" si="13"/>
        <v/>
      </c>
      <c r="V182" s="194" t="str">
        <f t="shared" si="14"/>
        <v/>
      </c>
      <c r="W182">
        <f t="shared" si="15"/>
        <v>71</v>
      </c>
      <c r="X182" s="194" t="str">
        <f t="shared" si="16"/>
        <v/>
      </c>
      <c r="Y182" s="194" t="str">
        <f t="shared" si="17"/>
        <v/>
      </c>
      <c r="Z182" s="245" t="str">
        <f>IF(ISNUMBER(SEARCH("C", 'Dry_Litterbag Placem_Collection'!$T109)),"YES","NO")</f>
        <v>YES</v>
      </c>
      <c r="AA182" s="245" t="str">
        <f>IF(ISNUMBER(SEARCH("H", 'Dry_Litterbag Placem_Collection'!$T109)),"YES","NO")</f>
        <v>YES</v>
      </c>
      <c r="AB182" s="245" t="str">
        <f>IF(ISNUMBER(SEARCH("R", 'Dry_Litterbag Placem_Collection'!$T109)),"YES","NO")</f>
        <v>NO</v>
      </c>
      <c r="AC182" s="245" t="str">
        <f>IF(ISNUMBER(SEARCH("C", 'Dry_Litterbag Placem_Collection'!$S109)),"YES","NO")</f>
        <v>YES</v>
      </c>
      <c r="AD182" s="245" t="str">
        <f>IF(ISNUMBER(SEARCH("H", 'Dry_Litterbag Placem_Collection'!$S109)),"YES","NO")</f>
        <v>YES</v>
      </c>
      <c r="AE182" s="245" t="str">
        <f>IF(ISNUMBER(SEARCH("R", 'Dry_Litterbag Placem_Collection'!$S109)),"YES","NO")</f>
        <v>NO</v>
      </c>
    </row>
    <row r="183" spans="2:31">
      <c r="B183" t="str">
        <f>Dryseason!B109</f>
        <v>Dry</v>
      </c>
      <c r="C183" s="253">
        <f>Dryseason!C109</f>
        <v>108</v>
      </c>
      <c r="D183" t="s">
        <v>3118</v>
      </c>
      <c r="E183" t="s">
        <v>22</v>
      </c>
      <c r="F183" s="375">
        <v>4</v>
      </c>
      <c r="G183" s="16">
        <f>IF('Dry_Litterbag Placem_Collection'!E110="","",'Dry_Litterbag Placem_Collection'!E110)</f>
        <v>42939</v>
      </c>
      <c r="H183" t="str">
        <f>Dryseason!L109</f>
        <v>G258</v>
      </c>
      <c r="I183" t="str">
        <f>Dryseason!L329</f>
        <v>R777</v>
      </c>
      <c r="J183">
        <f>IFERROR(INDEX('Green_rooibos initial weight'!$C$5:$C$2000,MATCH(H183, 'Green_rooibos initial weight'!$A$5:$A$2000,0)),"")</f>
        <v>2.1280000000000001</v>
      </c>
      <c r="K183">
        <f>IFERROR(INDEX('Green_rooibos initial weight'!$C$5:$C$2000,MATCH(I183, 'Green_rooibos initial weight'!$A$5:$A$2000,0)),"")</f>
        <v>2.2549999999999999</v>
      </c>
      <c r="L183" s="194">
        <f t="shared" si="10"/>
        <v>1.8782000000000001</v>
      </c>
      <c r="M183" s="233">
        <f>AVERAGE(Ashed_controlls!$K$1:$K$11)</f>
        <v>5.5147656768714146</v>
      </c>
      <c r="N183" s="194">
        <f t="shared" si="9"/>
        <v>2.0051999999999999</v>
      </c>
      <c r="O183" s="16">
        <f>IF('Dry_Litterbag Placem_Collection'!G110="","",'Dry_Litterbag Placem_Collection'!G110)</f>
        <v>43010</v>
      </c>
      <c r="P183" s="194">
        <f>IFERROR(INDEX('Both teabags AfterDry'!$D$3:$D$2000,MATCH(H183,'Both teabags AfterDry'!$A$3:$A$2000,0)),"")</f>
        <v>0.92730000000000001</v>
      </c>
      <c r="Q183" s="194">
        <f>IFERROR(INDEX('Both teabags AfterDry'!$D$3:$D$2000,MATCH(I183,'Both teabags AfterDry'!$A$3:$A$2000,0)),"")</f>
        <v>1.8240000000000001</v>
      </c>
      <c r="R183" s="194">
        <f t="shared" si="11"/>
        <v>0.77669999999999995</v>
      </c>
      <c r="S183" s="194">
        <f t="shared" si="11"/>
        <v>1.6734</v>
      </c>
      <c r="T183" s="194">
        <f t="shared" si="12"/>
        <v>0.5864657650942392</v>
      </c>
      <c r="U183" s="194">
        <f t="shared" si="13"/>
        <v>0.38447636856534451</v>
      </c>
      <c r="V183" s="194">
        <f t="shared" si="14"/>
        <v>0.83453022142429689</v>
      </c>
      <c r="W183">
        <f t="shared" si="15"/>
        <v>71</v>
      </c>
      <c r="X183" s="194">
        <f t="shared" si="16"/>
        <v>0.3034848395555354</v>
      </c>
      <c r="Y183" s="194">
        <f t="shared" si="17"/>
        <v>7.9264860034946715E-3</v>
      </c>
      <c r="Z183" s="245" t="str">
        <f>IF(ISNUMBER(SEARCH("C", 'Dry_Litterbag Placem_Collection'!$T110)),"YES","NO")</f>
        <v>NO</v>
      </c>
      <c r="AA183" s="245" t="str">
        <f>IF(ISNUMBER(SEARCH("H", 'Dry_Litterbag Placem_Collection'!$T110)),"YES","NO")</f>
        <v>NO</v>
      </c>
      <c r="AB183" s="245" t="str">
        <f>IF(ISNUMBER(SEARCH("R", 'Dry_Litterbag Placem_Collection'!$T110)),"YES","NO")</f>
        <v>NO</v>
      </c>
      <c r="AC183" s="245" t="str">
        <f>IF(ISNUMBER(SEARCH("C", 'Dry_Litterbag Placem_Collection'!$S110)),"YES","NO")</f>
        <v>YES</v>
      </c>
      <c r="AD183" s="245" t="str">
        <f>IF(ISNUMBER(SEARCH("H", 'Dry_Litterbag Placem_Collection'!$S110)),"YES","NO")</f>
        <v>NO</v>
      </c>
      <c r="AE183" s="245" t="str">
        <f>IF(ISNUMBER(SEARCH("R", 'Dry_Litterbag Placem_Collection'!$S110)),"YES","NO")</f>
        <v>NO</v>
      </c>
    </row>
    <row r="184" spans="2:31">
      <c r="B184" t="str">
        <f>Dryseason!B110</f>
        <v>Dry</v>
      </c>
      <c r="C184" s="253">
        <f>Dryseason!C110</f>
        <v>109</v>
      </c>
      <c r="D184" t="s">
        <v>3118</v>
      </c>
      <c r="E184" t="s">
        <v>22</v>
      </c>
      <c r="F184" s="375">
        <v>5</v>
      </c>
      <c r="G184" s="16">
        <f>IF('Dry_Litterbag Placem_Collection'!E111="","",'Dry_Litterbag Placem_Collection'!E111)</f>
        <v>42939</v>
      </c>
      <c r="H184" t="str">
        <f>Dryseason!L110</f>
        <v>G294</v>
      </c>
      <c r="I184" t="str">
        <f>Dryseason!L330</f>
        <v>R804</v>
      </c>
      <c r="J184">
        <f>IFERROR(INDEX('Green_rooibos initial weight'!$C$5:$C$2000,MATCH(H184, 'Green_rooibos initial weight'!$A$5:$A$2000,0)),"")</f>
        <v>1.994</v>
      </c>
      <c r="K184">
        <f>IFERROR(INDEX('Green_rooibos initial weight'!$C$5:$C$2000,MATCH(I184, 'Green_rooibos initial weight'!$A$5:$A$2000,0)),"")</f>
        <v>2.1960000000000002</v>
      </c>
      <c r="L184" s="194">
        <f t="shared" si="10"/>
        <v>1.7442</v>
      </c>
      <c r="M184" s="233">
        <f>AVERAGE(Ashed_controlls!$K$1:$K$11)</f>
        <v>5.5147656768714146</v>
      </c>
      <c r="N184" s="194">
        <f t="shared" si="9"/>
        <v>1.9462000000000002</v>
      </c>
      <c r="O184" s="16">
        <f>IF('Dry_Litterbag Placem_Collection'!G111="","",'Dry_Litterbag Placem_Collection'!G111)</f>
        <v>43010</v>
      </c>
      <c r="P184" s="194">
        <f>IFERROR(INDEX('Both teabags AfterDry'!$D$3:$D$2000,MATCH(H184,'Both teabags AfterDry'!$A$3:$A$2000,0)),"")</f>
        <v>0.93010000000000004</v>
      </c>
      <c r="Q184" s="194">
        <f>IFERROR(INDEX('Both teabags AfterDry'!$D$3:$D$2000,MATCH(I184,'Both teabags AfterDry'!$A$3:$A$2000,0)),"")</f>
        <v>1.3936999999999999</v>
      </c>
      <c r="R184" s="194">
        <f t="shared" si="11"/>
        <v>0.77950000000000008</v>
      </c>
      <c r="S184" s="194">
        <f t="shared" si="11"/>
        <v>1.2430999999999999</v>
      </c>
      <c r="T184" s="194">
        <f t="shared" si="12"/>
        <v>0.553090241944731</v>
      </c>
      <c r="U184" s="194">
        <f t="shared" si="13"/>
        <v>0.36259597809203276</v>
      </c>
      <c r="V184" s="194">
        <f t="shared" si="14"/>
        <v>0.63873188778131729</v>
      </c>
      <c r="W184">
        <f t="shared" si="15"/>
        <v>71</v>
      </c>
      <c r="X184" s="194">
        <f t="shared" si="16"/>
        <v>0.34312322809414364</v>
      </c>
      <c r="Y184" s="194">
        <f t="shared" si="17"/>
        <v>7.9010086752541842E-2</v>
      </c>
      <c r="Z184" s="245" t="str">
        <f>IF(ISNUMBER(SEARCH("C", 'Dry_Litterbag Placem_Collection'!$T111)),"YES","NO")</f>
        <v>YES</v>
      </c>
      <c r="AA184" s="245" t="str">
        <f>IF(ISNUMBER(SEARCH("H", 'Dry_Litterbag Placem_Collection'!$T111)),"YES","NO")</f>
        <v>YES</v>
      </c>
      <c r="AB184" s="245" t="str">
        <f>IF(ISNUMBER(SEARCH("R", 'Dry_Litterbag Placem_Collection'!$T111)),"YES","NO")</f>
        <v>NO</v>
      </c>
      <c r="AC184" s="245" t="str">
        <f>IF(ISNUMBER(SEARCH("C", 'Dry_Litterbag Placem_Collection'!$S111)),"YES","NO")</f>
        <v>NO</v>
      </c>
      <c r="AD184" s="245" t="str">
        <f>IF(ISNUMBER(SEARCH("H", 'Dry_Litterbag Placem_Collection'!$S111)),"YES","NO")</f>
        <v>NO</v>
      </c>
      <c r="AE184" s="245" t="str">
        <f>IF(ISNUMBER(SEARCH("R", 'Dry_Litterbag Placem_Collection'!$S111)),"YES","NO")</f>
        <v>NO</v>
      </c>
    </row>
    <row r="185" spans="2:31">
      <c r="B185" t="str">
        <f>Dryseason!B111</f>
        <v>Dry</v>
      </c>
      <c r="C185" s="253">
        <f>Dryseason!C111</f>
        <v>110</v>
      </c>
      <c r="D185" t="s">
        <v>3118</v>
      </c>
      <c r="E185" t="s">
        <v>22</v>
      </c>
      <c r="F185" s="375">
        <v>6</v>
      </c>
      <c r="G185" s="16">
        <f>IF('Dry_Litterbag Placem_Collection'!E112="","",'Dry_Litterbag Placem_Collection'!E112)</f>
        <v>42939</v>
      </c>
      <c r="H185" t="str">
        <f>Dryseason!L111</f>
        <v>G350</v>
      </c>
      <c r="I185" t="str">
        <f>Dryseason!L331</f>
        <v>R786</v>
      </c>
      <c r="J185">
        <f>IFERROR(INDEX('Green_rooibos initial weight'!$C$5:$C$2000,MATCH(H185, 'Green_rooibos initial weight'!$A$5:$A$2000,0)),"")</f>
        <v>2.0640000000000001</v>
      </c>
      <c r="K185">
        <f>IFERROR(INDEX('Green_rooibos initial weight'!$C$5:$C$2000,MATCH(I185, 'Green_rooibos initial weight'!$A$5:$A$2000,0)),"")</f>
        <v>2.177</v>
      </c>
      <c r="L185" s="194">
        <f t="shared" si="10"/>
        <v>1.8142</v>
      </c>
      <c r="M185" s="233">
        <f>AVERAGE(Ashed_controlls!$K$1:$K$11)</f>
        <v>5.5147656768714146</v>
      </c>
      <c r="N185" s="194">
        <f t="shared" si="9"/>
        <v>1.9272</v>
      </c>
      <c r="O185" s="16">
        <f>IF('Dry_Litterbag Placem_Collection'!G112="","",'Dry_Litterbag Placem_Collection'!G112)</f>
        <v>43010</v>
      </c>
      <c r="P185" s="194">
        <f>IFERROR(INDEX('Both teabags AfterDry'!$D$3:$D$2000,MATCH(H185,'Both teabags AfterDry'!$A$3:$A$2000,0)),"")</f>
        <v>0.95640000000000003</v>
      </c>
      <c r="Q185" s="194">
        <f>IFERROR(INDEX('Both teabags AfterDry'!$D$3:$D$2000,MATCH(I185,'Both teabags AfterDry'!$A$3:$A$2000,0)),"")</f>
        <v>1.7806</v>
      </c>
      <c r="R185" s="194">
        <f t="shared" si="11"/>
        <v>0.80580000000000007</v>
      </c>
      <c r="S185" s="194">
        <f t="shared" si="11"/>
        <v>1.63</v>
      </c>
      <c r="T185" s="194">
        <f t="shared" si="12"/>
        <v>0.55583728365119611</v>
      </c>
      <c r="U185" s="194">
        <f t="shared" si="13"/>
        <v>0.36439688904448964</v>
      </c>
      <c r="V185" s="194">
        <f t="shared" si="14"/>
        <v>0.84578663345786631</v>
      </c>
      <c r="W185">
        <f t="shared" si="15"/>
        <v>71</v>
      </c>
      <c r="X185" s="194">
        <f t="shared" si="16"/>
        <v>0.33986070825273618</v>
      </c>
      <c r="Y185" s="194">
        <f t="shared" si="17"/>
        <v>7.7501769351735117E-3</v>
      </c>
      <c r="Z185" s="245" t="str">
        <f>IF(ISNUMBER(SEARCH("C", 'Dry_Litterbag Placem_Collection'!$T112)),"YES","NO")</f>
        <v>YES</v>
      </c>
      <c r="AA185" s="245" t="str">
        <f>IF(ISNUMBER(SEARCH("H", 'Dry_Litterbag Placem_Collection'!$T112)),"YES","NO")</f>
        <v>YES</v>
      </c>
      <c r="AB185" s="245" t="str">
        <f>IF(ISNUMBER(SEARCH("R", 'Dry_Litterbag Placem_Collection'!$T112)),"YES","NO")</f>
        <v>NO</v>
      </c>
      <c r="AC185" s="245" t="str">
        <f>IF(ISNUMBER(SEARCH("C", 'Dry_Litterbag Placem_Collection'!$S112)),"YES","NO")</f>
        <v>YES</v>
      </c>
      <c r="AD185" s="245" t="str">
        <f>IF(ISNUMBER(SEARCH("H", 'Dry_Litterbag Placem_Collection'!$S112)),"YES","NO")</f>
        <v>YES</v>
      </c>
      <c r="AE185" s="245" t="str">
        <f>IF(ISNUMBER(SEARCH("R", 'Dry_Litterbag Placem_Collection'!$S112)),"YES","NO")</f>
        <v>NO</v>
      </c>
    </row>
    <row r="186" spans="2:31">
      <c r="B186" t="str">
        <f>Dryseason!B112</f>
        <v>Dry</v>
      </c>
      <c r="C186" s="253">
        <f>Dryseason!C112</f>
        <v>111</v>
      </c>
      <c r="D186" t="s">
        <v>3118</v>
      </c>
      <c r="E186" t="s">
        <v>22</v>
      </c>
      <c r="F186" s="375">
        <v>7</v>
      </c>
      <c r="G186" s="16">
        <f>IF('Dry_Litterbag Placem_Collection'!E113="","",'Dry_Litterbag Placem_Collection'!E113)</f>
        <v>42939</v>
      </c>
      <c r="H186" t="str">
        <f>Dryseason!L112</f>
        <v>G274</v>
      </c>
      <c r="I186" t="str">
        <f>Dryseason!L332</f>
        <v>R835</v>
      </c>
      <c r="J186">
        <f>IFERROR(INDEX('Green_rooibos initial weight'!$C$5:$C$2000,MATCH(H186, 'Green_rooibos initial weight'!$A$5:$A$2000,0)),"")</f>
        <v>2.12</v>
      </c>
      <c r="K186">
        <f>IFERROR(INDEX('Green_rooibos initial weight'!$C$5:$C$2000,MATCH(I186, 'Green_rooibos initial weight'!$A$5:$A$2000,0)),"")</f>
        <v>2.15</v>
      </c>
      <c r="L186" s="194">
        <f t="shared" si="10"/>
        <v>1.8702000000000001</v>
      </c>
      <c r="M186" s="233">
        <f>AVERAGE(Ashed_controlls!$K$1:$K$11)</f>
        <v>5.5147656768714146</v>
      </c>
      <c r="N186" s="194">
        <f t="shared" si="9"/>
        <v>1.9001999999999999</v>
      </c>
      <c r="O186" s="16">
        <f>IF('Dry_Litterbag Placem_Collection'!G113="","",'Dry_Litterbag Placem_Collection'!G113)</f>
        <v>43010</v>
      </c>
      <c r="P186" s="194">
        <f>IFERROR(INDEX('Both teabags AfterDry'!$D$3:$D$2000,MATCH(H186,'Both teabags AfterDry'!$A$3:$A$2000,0)),"")</f>
        <v>1.0779000000000001</v>
      </c>
      <c r="Q186" s="194">
        <f>IFERROR(INDEX('Both teabags AfterDry'!$D$3:$D$2000,MATCH(I186,'Both teabags AfterDry'!$A$3:$A$2000,0)),"")</f>
        <v>1.7563</v>
      </c>
      <c r="R186" s="194">
        <f t="shared" si="11"/>
        <v>0.92730000000000001</v>
      </c>
      <c r="S186" s="194">
        <f t="shared" si="11"/>
        <v>1.6056999999999999</v>
      </c>
      <c r="T186" s="194">
        <f t="shared" si="12"/>
        <v>0.50417067693294837</v>
      </c>
      <c r="U186" s="194">
        <f t="shared" si="13"/>
        <v>0.33052519437884509</v>
      </c>
      <c r="V186" s="194">
        <f t="shared" si="14"/>
        <v>0.8450163140722029</v>
      </c>
      <c r="W186">
        <f t="shared" si="15"/>
        <v>71</v>
      </c>
      <c r="X186" s="194">
        <f t="shared" si="16"/>
        <v>0.40122247395136768</v>
      </c>
      <c r="Y186" s="194">
        <f t="shared" si="17"/>
        <v>8.912779678254077E-3</v>
      </c>
      <c r="Z186" s="245" t="str">
        <f>IF(ISNUMBER(SEARCH("C", 'Dry_Litterbag Placem_Collection'!$T113)),"YES","NO")</f>
        <v>NO</v>
      </c>
      <c r="AA186" s="245" t="str">
        <f>IF(ISNUMBER(SEARCH("H", 'Dry_Litterbag Placem_Collection'!$T113)),"YES","NO")</f>
        <v>NO</v>
      </c>
      <c r="AB186" s="245" t="str">
        <f>IF(ISNUMBER(SEARCH("R", 'Dry_Litterbag Placem_Collection'!$T113)),"YES","NO")</f>
        <v>NO</v>
      </c>
      <c r="AC186" s="245" t="str">
        <f>IF(ISNUMBER(SEARCH("C", 'Dry_Litterbag Placem_Collection'!$S113)),"YES","NO")</f>
        <v>YES</v>
      </c>
      <c r="AD186" s="245" t="str">
        <f>IF(ISNUMBER(SEARCH("H", 'Dry_Litterbag Placem_Collection'!$S113)),"YES","NO")</f>
        <v>NO</v>
      </c>
      <c r="AE186" s="245" t="str">
        <f>IF(ISNUMBER(SEARCH("R", 'Dry_Litterbag Placem_Collection'!$S113)),"YES","NO")</f>
        <v>NO</v>
      </c>
    </row>
    <row r="187" spans="2:31">
      <c r="B187" t="str">
        <f>Dryseason!B113</f>
        <v>Dry</v>
      </c>
      <c r="C187" s="253">
        <f>Dryseason!C113</f>
        <v>112</v>
      </c>
      <c r="D187" t="s">
        <v>3118</v>
      </c>
      <c r="E187" t="s">
        <v>22</v>
      </c>
      <c r="F187" s="375">
        <v>8</v>
      </c>
      <c r="G187" s="16" t="str">
        <f>IF('Dry_Litterbag Placem_Collection'!E114="","",'Dry_Litterbag Placem_Collection'!E114)</f>
        <v/>
      </c>
      <c r="H187" t="str">
        <f>Dryseason!L113</f>
        <v/>
      </c>
      <c r="I187" t="str">
        <f>Dryseason!L333</f>
        <v/>
      </c>
      <c r="J187" t="str">
        <f>IFERROR(INDEX('Green_rooibos initial weight'!$C$5:$C$2000,MATCH(H187, 'Green_rooibos initial weight'!$A$5:$A$2000,0)),"")</f>
        <v/>
      </c>
      <c r="K187" t="str">
        <f>IFERROR(INDEX('Green_rooibos initial weight'!$C$5:$C$2000,MATCH(I187, 'Green_rooibos initial weight'!$A$5:$A$2000,0)),"")</f>
        <v/>
      </c>
      <c r="L187" s="194" t="str">
        <f t="shared" si="10"/>
        <v/>
      </c>
      <c r="M187" s="233">
        <f>AVERAGE(Ashed_controlls!$K$1:$K$11)</f>
        <v>5.5147656768714146</v>
      </c>
      <c r="N187" s="194" t="str">
        <f t="shared" si="9"/>
        <v/>
      </c>
      <c r="O187" s="16" t="str">
        <f>IF('Dry_Litterbag Placem_Collection'!G114="","",'Dry_Litterbag Placem_Collection'!G114)</f>
        <v/>
      </c>
      <c r="P187" s="194" t="str">
        <f>IFERROR(INDEX('Both teabags AfterDry'!$D$3:$D$2000,MATCH(H187,'Both teabags AfterDry'!$A$3:$A$2000,0)),"")</f>
        <v/>
      </c>
      <c r="Q187" s="194" t="str">
        <f>IFERROR(INDEX('Both teabags AfterDry'!$D$3:$D$2000,MATCH(I187,'Both teabags AfterDry'!$A$3:$A$2000,0)),"")</f>
        <v/>
      </c>
      <c r="R187" s="194" t="str">
        <f t="shared" si="11"/>
        <v/>
      </c>
      <c r="S187" s="194" t="str">
        <f t="shared" si="11"/>
        <v/>
      </c>
      <c r="T187" s="194" t="str">
        <f t="shared" si="12"/>
        <v/>
      </c>
      <c r="U187" s="194" t="str">
        <f t="shared" si="13"/>
        <v/>
      </c>
      <c r="V187" s="194" t="str">
        <f t="shared" si="14"/>
        <v/>
      </c>
      <c r="W187" t="str">
        <f t="shared" si="15"/>
        <v/>
      </c>
      <c r="X187" s="194" t="str">
        <f t="shared" si="16"/>
        <v/>
      </c>
      <c r="Y187" s="194" t="str">
        <f t="shared" si="17"/>
        <v/>
      </c>
      <c r="Z187" s="245" t="str">
        <f>IF(ISNUMBER(SEARCH("C", 'Dry_Litterbag Placem_Collection'!$T114)),"YES","NO")</f>
        <v>NO</v>
      </c>
      <c r="AA187" s="245" t="str">
        <f>IF(ISNUMBER(SEARCH("H", 'Dry_Litterbag Placem_Collection'!$T114)),"YES","NO")</f>
        <v>NO</v>
      </c>
      <c r="AB187" s="245" t="str">
        <f>IF(ISNUMBER(SEARCH("R", 'Dry_Litterbag Placem_Collection'!$T114)),"YES","NO")</f>
        <v>NO</v>
      </c>
      <c r="AC187" s="245" t="str">
        <f>IF(ISNUMBER(SEARCH("C", 'Dry_Litterbag Placem_Collection'!$S114)),"YES","NO")</f>
        <v>NO</v>
      </c>
      <c r="AD187" s="245" t="str">
        <f>IF(ISNUMBER(SEARCH("H", 'Dry_Litterbag Placem_Collection'!$S114)),"YES","NO")</f>
        <v>NO</v>
      </c>
      <c r="AE187" s="245" t="str">
        <f>IF(ISNUMBER(SEARCH("R", 'Dry_Litterbag Placem_Collection'!$S114)),"YES","NO")</f>
        <v>NO</v>
      </c>
    </row>
    <row r="188" spans="2:31">
      <c r="B188" t="str">
        <f>Dryseason!B114</f>
        <v>Dry</v>
      </c>
      <c r="C188" s="253">
        <f>Dryseason!C114</f>
        <v>113</v>
      </c>
      <c r="D188" t="s">
        <v>3119</v>
      </c>
      <c r="E188" t="s">
        <v>22</v>
      </c>
      <c r="F188" s="374">
        <v>1</v>
      </c>
      <c r="G188" s="16">
        <f>IF('Dry_Litterbag Placem_Collection'!E115="","",'Dry_Litterbag Placem_Collection'!E115)</f>
        <v>42939</v>
      </c>
      <c r="H188" t="str">
        <f>Dryseason!L114</f>
        <v>G314</v>
      </c>
      <c r="I188" t="str">
        <f>Dryseason!L334</f>
        <v>R807</v>
      </c>
      <c r="J188">
        <f>IFERROR(INDEX('Green_rooibos initial weight'!$C$5:$C$2000,MATCH(H188, 'Green_rooibos initial weight'!$A$5:$A$2000,0)),"")</f>
        <v>2.0430000000000001</v>
      </c>
      <c r="K188">
        <f>IFERROR(INDEX('Green_rooibos initial weight'!$C$5:$C$2000,MATCH(I188, 'Green_rooibos initial weight'!$A$5:$A$2000,0)),"")</f>
        <v>2.21</v>
      </c>
      <c r="L188" s="194">
        <f t="shared" si="10"/>
        <v>1.7932000000000001</v>
      </c>
      <c r="M188" s="233">
        <f>AVERAGE(Ashed_controlls!$K$1:$K$11)</f>
        <v>5.5147656768714146</v>
      </c>
      <c r="N188" s="194">
        <f t="shared" si="9"/>
        <v>1.9601999999999999</v>
      </c>
      <c r="O188" s="16">
        <f>IF('Dry_Litterbag Placem_Collection'!G115="","",'Dry_Litterbag Placem_Collection'!G115)</f>
        <v>43008</v>
      </c>
      <c r="P188" s="194">
        <f>IFERROR(INDEX('Both teabags AfterDry'!$D$3:$D$2000,MATCH(H188,'Both teabags AfterDry'!$A$3:$A$2000,0)),"")</f>
        <v>0.78080000000000005</v>
      </c>
      <c r="Q188" s="194">
        <f>IFERROR(INDEX('Both teabags AfterDry'!$D$3:$D$2000,MATCH(I188,'Both teabags AfterDry'!$A$3:$A$2000,0)),"")</f>
        <v>1.5793999999999999</v>
      </c>
      <c r="R188" s="194">
        <f t="shared" si="11"/>
        <v>0.63020000000000009</v>
      </c>
      <c r="S188" s="194">
        <f t="shared" si="11"/>
        <v>1.4287999999999998</v>
      </c>
      <c r="T188" s="194">
        <f t="shared" si="12"/>
        <v>0.64856123131831356</v>
      </c>
      <c r="U188" s="194">
        <f t="shared" si="13"/>
        <v>0.42518503525856188</v>
      </c>
      <c r="V188" s="194">
        <f t="shared" si="14"/>
        <v>0.72890521375369854</v>
      </c>
      <c r="W188">
        <f t="shared" si="15"/>
        <v>69</v>
      </c>
      <c r="X188" s="194">
        <f t="shared" si="16"/>
        <v>0.22973725496637343</v>
      </c>
      <c r="Y188" s="194">
        <f t="shared" si="17"/>
        <v>1.4709941854253993E-2</v>
      </c>
      <c r="Z188" s="245" t="str">
        <f>IF(ISNUMBER(SEARCH("C", 'Dry_Litterbag Placem_Collection'!$T115)),"YES","NO")</f>
        <v>NO</v>
      </c>
      <c r="AA188" s="245" t="str">
        <f>IF(ISNUMBER(SEARCH("H", 'Dry_Litterbag Placem_Collection'!$T115)),"YES","NO")</f>
        <v>NO</v>
      </c>
      <c r="AB188" s="245" t="str">
        <f>IF(ISNUMBER(SEARCH("R", 'Dry_Litterbag Placem_Collection'!$T115)),"YES","NO")</f>
        <v>NO</v>
      </c>
      <c r="AC188" s="245" t="str">
        <f>IF(ISNUMBER(SEARCH("C", 'Dry_Litterbag Placem_Collection'!$S115)),"YES","NO")</f>
        <v>NO</v>
      </c>
      <c r="AD188" s="245" t="str">
        <f>IF(ISNUMBER(SEARCH("H", 'Dry_Litterbag Placem_Collection'!$S115)),"YES","NO")</f>
        <v>NO</v>
      </c>
      <c r="AE188" s="245" t="str">
        <f>IF(ISNUMBER(SEARCH("R", 'Dry_Litterbag Placem_Collection'!$S115)),"YES","NO")</f>
        <v>YES</v>
      </c>
    </row>
    <row r="189" spans="2:31">
      <c r="B189" t="str">
        <f>Dryseason!B115</f>
        <v>Dry</v>
      </c>
      <c r="C189" s="253">
        <f>Dryseason!C115</f>
        <v>114</v>
      </c>
      <c r="D189" t="s">
        <v>3119</v>
      </c>
      <c r="E189" t="s">
        <v>22</v>
      </c>
      <c r="F189" s="374">
        <v>2</v>
      </c>
      <c r="G189" s="16">
        <f>IF('Dry_Litterbag Placem_Collection'!E116="","",'Dry_Litterbag Placem_Collection'!E116)</f>
        <v>42939</v>
      </c>
      <c r="H189" t="str">
        <f>Dryseason!L115</f>
        <v>G263</v>
      </c>
      <c r="I189" t="str">
        <f>Dryseason!L335</f>
        <v>R829</v>
      </c>
      <c r="J189">
        <f>IFERROR(INDEX('Green_rooibos initial weight'!$C$5:$C$2000,MATCH(H189, 'Green_rooibos initial weight'!$A$5:$A$2000,0)),"")</f>
        <v>2.0960000000000001</v>
      </c>
      <c r="K189">
        <f>IFERROR(INDEX('Green_rooibos initial weight'!$C$5:$C$2000,MATCH(I189, 'Green_rooibos initial weight'!$A$5:$A$2000,0)),"")</f>
        <v>2.1880000000000002</v>
      </c>
      <c r="L189" s="194">
        <f t="shared" si="10"/>
        <v>1.8462000000000001</v>
      </c>
      <c r="M189" s="233">
        <f>AVERAGE(Ashed_controlls!$K$1:$K$11)</f>
        <v>5.5147656768714146</v>
      </c>
      <c r="N189" s="194">
        <f t="shared" si="9"/>
        <v>1.9382000000000001</v>
      </c>
      <c r="O189" s="16">
        <f>IF('Dry_Litterbag Placem_Collection'!G116="","",'Dry_Litterbag Placem_Collection'!G116)</f>
        <v>43008</v>
      </c>
      <c r="P189" s="194">
        <f>IFERROR(INDEX('Both teabags AfterDry'!$D$3:$D$2000,MATCH(H189,'Both teabags AfterDry'!$A$3:$A$2000,0)),"")</f>
        <v>0.83330000000000004</v>
      </c>
      <c r="Q189" s="194">
        <f>IFERROR(INDEX('Both teabags AfterDry'!$D$3:$D$2000,MATCH(I189,'Both teabags AfterDry'!$A$3:$A$2000,0)),"")</f>
        <v>1.1127</v>
      </c>
      <c r="R189" s="194">
        <f t="shared" si="11"/>
        <v>0.68270000000000008</v>
      </c>
      <c r="S189" s="194">
        <f t="shared" si="11"/>
        <v>0.96209999999999996</v>
      </c>
      <c r="T189" s="194">
        <f t="shared" si="12"/>
        <v>0.63021341133138331</v>
      </c>
      <c r="U189" s="194">
        <f t="shared" si="13"/>
        <v>0.41315653569468369</v>
      </c>
      <c r="V189" s="194">
        <f t="shared" si="14"/>
        <v>0.49638840160974096</v>
      </c>
      <c r="W189">
        <f t="shared" si="15"/>
        <v>69</v>
      </c>
      <c r="X189" s="194">
        <f t="shared" si="16"/>
        <v>0.25152801504586297</v>
      </c>
      <c r="Y189" s="194" t="str">
        <f t="shared" si="17"/>
        <v/>
      </c>
      <c r="Z189" s="245" t="str">
        <f>IF(ISNUMBER(SEARCH("C", 'Dry_Litterbag Placem_Collection'!$T116)),"YES","NO")</f>
        <v>NO</v>
      </c>
      <c r="AA189" s="245" t="str">
        <f>IF(ISNUMBER(SEARCH("H", 'Dry_Litterbag Placem_Collection'!$T116)),"YES","NO")</f>
        <v>YES</v>
      </c>
      <c r="AB189" s="245" t="str">
        <f>IF(ISNUMBER(SEARCH("R", 'Dry_Litterbag Placem_Collection'!$T116)),"YES","NO")</f>
        <v>NO</v>
      </c>
      <c r="AC189" s="245" t="str">
        <f>IF(ISNUMBER(SEARCH("C", 'Dry_Litterbag Placem_Collection'!$S116)),"YES","NO")</f>
        <v>NO</v>
      </c>
      <c r="AD189" s="245" t="str">
        <f>IF(ISNUMBER(SEARCH("H", 'Dry_Litterbag Placem_Collection'!$S116)),"YES","NO")</f>
        <v>NO</v>
      </c>
      <c r="AE189" s="245" t="str">
        <f>IF(ISNUMBER(SEARCH("R", 'Dry_Litterbag Placem_Collection'!$S116)),"YES","NO")</f>
        <v>NO</v>
      </c>
    </row>
    <row r="190" spans="2:31">
      <c r="B190" t="str">
        <f>Dryseason!B116</f>
        <v>Dry</v>
      </c>
      <c r="C190" s="253">
        <f>Dryseason!C116</f>
        <v>115</v>
      </c>
      <c r="D190" t="s">
        <v>3119</v>
      </c>
      <c r="E190" t="s">
        <v>22</v>
      </c>
      <c r="F190" s="374">
        <v>3</v>
      </c>
      <c r="G190" s="16">
        <f>IF('Dry_Litterbag Placem_Collection'!E117="","",'Dry_Litterbag Placem_Collection'!E117)</f>
        <v>42939</v>
      </c>
      <c r="H190" t="str">
        <f>Dryseason!L116</f>
        <v>G125</v>
      </c>
      <c r="I190" t="str">
        <f>Dryseason!L336</f>
        <v>R766</v>
      </c>
      <c r="J190">
        <f>IFERROR(INDEX('Green_rooibos initial weight'!$C$5:$C$2000,MATCH(H190, 'Green_rooibos initial weight'!$A$5:$A$2000,0)),"")</f>
        <v>2.0979999999999999</v>
      </c>
      <c r="K190">
        <f>IFERROR(INDEX('Green_rooibos initial weight'!$C$5:$C$2000,MATCH(I190, 'Green_rooibos initial weight'!$A$5:$A$2000,0)),"")</f>
        <v>2.21</v>
      </c>
      <c r="L190" s="194">
        <f t="shared" si="10"/>
        <v>1.8481999999999998</v>
      </c>
      <c r="M190" s="233">
        <f>AVERAGE(Ashed_controlls!$K$1:$K$11)</f>
        <v>5.5147656768714146</v>
      </c>
      <c r="N190" s="194">
        <f t="shared" si="9"/>
        <v>1.9601999999999999</v>
      </c>
      <c r="O190" s="16">
        <f>IF('Dry_Litterbag Placem_Collection'!G117="","",'Dry_Litterbag Placem_Collection'!G117)</f>
        <v>43008</v>
      </c>
      <c r="P190" s="194">
        <f>IFERROR(INDEX('Both teabags AfterDry'!$D$3:$D$2000,MATCH(H190,'Both teabags AfterDry'!$A$3:$A$2000,0)),"")</f>
        <v>0.78120000000000001</v>
      </c>
      <c r="Q190" s="194">
        <f>IFERROR(INDEX('Both teabags AfterDry'!$D$3:$D$2000,MATCH(I190,'Both teabags AfterDry'!$A$3:$A$2000,0)),"")</f>
        <v>1.6694</v>
      </c>
      <c r="R190" s="194">
        <f t="shared" si="11"/>
        <v>0.63060000000000005</v>
      </c>
      <c r="S190" s="194">
        <f t="shared" si="11"/>
        <v>1.5187999999999999</v>
      </c>
      <c r="T190" s="194">
        <f t="shared" si="12"/>
        <v>0.65880315983118698</v>
      </c>
      <c r="U190" s="194">
        <f t="shared" si="13"/>
        <v>0.43189945870168078</v>
      </c>
      <c r="V190" s="194">
        <f t="shared" si="14"/>
        <v>0.77481889603101728</v>
      </c>
      <c r="W190">
        <f t="shared" si="15"/>
        <v>69</v>
      </c>
      <c r="X190" s="194">
        <f t="shared" si="16"/>
        <v>0.21757344438101311</v>
      </c>
      <c r="Y190" s="194">
        <f t="shared" si="17"/>
        <v>1.0678776304706145E-2</v>
      </c>
      <c r="Z190" s="245" t="str">
        <f>IF(ISNUMBER(SEARCH("C", 'Dry_Litterbag Placem_Collection'!$T117)),"YES","NO")</f>
        <v>NO</v>
      </c>
      <c r="AA190" s="245" t="str">
        <f>IF(ISNUMBER(SEARCH("H", 'Dry_Litterbag Placem_Collection'!$T117)),"YES","NO")</f>
        <v>YES</v>
      </c>
      <c r="AB190" s="245" t="str">
        <f>IF(ISNUMBER(SEARCH("R", 'Dry_Litterbag Placem_Collection'!$T117)),"YES","NO")</f>
        <v>YES</v>
      </c>
      <c r="AC190" s="245" t="str">
        <f>IF(ISNUMBER(SEARCH("C", 'Dry_Litterbag Placem_Collection'!$S117)),"YES","NO")</f>
        <v>NO</v>
      </c>
      <c r="AD190" s="245" t="str">
        <f>IF(ISNUMBER(SEARCH("H", 'Dry_Litterbag Placem_Collection'!$S117)),"YES","NO")</f>
        <v>NO</v>
      </c>
      <c r="AE190" s="245" t="str">
        <f>IF(ISNUMBER(SEARCH("R", 'Dry_Litterbag Placem_Collection'!$S117)),"YES","NO")</f>
        <v>YES</v>
      </c>
    </row>
    <row r="191" spans="2:31">
      <c r="B191" t="str">
        <f>Dryseason!B117</f>
        <v>Dry</v>
      </c>
      <c r="C191" s="253">
        <f>Dryseason!C117</f>
        <v>116</v>
      </c>
      <c r="D191" t="s">
        <v>3119</v>
      </c>
      <c r="E191" t="s">
        <v>22</v>
      </c>
      <c r="F191" s="375">
        <v>4</v>
      </c>
      <c r="G191" s="16">
        <f>IF('Dry_Litterbag Placem_Collection'!E118="","",'Dry_Litterbag Placem_Collection'!E118)</f>
        <v>42939</v>
      </c>
      <c r="H191" t="str">
        <f>Dryseason!L117</f>
        <v>G189</v>
      </c>
      <c r="I191" t="str">
        <f>Dryseason!L337</f>
        <v>R757</v>
      </c>
      <c r="J191">
        <f>IFERROR(INDEX('Green_rooibos initial weight'!$C$5:$C$2000,MATCH(H191, 'Green_rooibos initial weight'!$A$5:$A$2000,0)),"")</f>
        <v>2.0059999999999998</v>
      </c>
      <c r="K191">
        <f>IFERROR(INDEX('Green_rooibos initial weight'!$C$5:$C$2000,MATCH(I191, 'Green_rooibos initial weight'!$A$5:$A$2000,0)),"")</f>
        <v>2.2050000000000001</v>
      </c>
      <c r="L191" s="194">
        <f t="shared" si="10"/>
        <v>1.7561999999999998</v>
      </c>
      <c r="M191" s="233">
        <f>AVERAGE(Ashed_controlls!$K$1:$K$11)</f>
        <v>5.5147656768714146</v>
      </c>
      <c r="N191" s="194">
        <f t="shared" si="9"/>
        <v>1.9552</v>
      </c>
      <c r="O191" s="16">
        <f>IF('Dry_Litterbag Placem_Collection'!G118="","",'Dry_Litterbag Placem_Collection'!G118)</f>
        <v>43008</v>
      </c>
      <c r="P191" s="194">
        <f>IFERROR(INDEX('Both teabags AfterDry'!$D$3:$D$2000,MATCH(H191,'Both teabags AfterDry'!$A$3:$A$2000,0)),"")</f>
        <v>0.76890000000000003</v>
      </c>
      <c r="Q191" s="194">
        <f>IFERROR(INDEX('Both teabags AfterDry'!$D$3:$D$2000,MATCH(I191,'Both teabags AfterDry'!$A$3:$A$2000,0)),"")</f>
        <v>1.7337</v>
      </c>
      <c r="R191" s="194">
        <f t="shared" si="11"/>
        <v>0.61830000000000007</v>
      </c>
      <c r="S191" s="194">
        <f t="shared" si="11"/>
        <v>1.5831</v>
      </c>
      <c r="T191" s="194">
        <f t="shared" si="12"/>
        <v>0.64793303723949425</v>
      </c>
      <c r="U191" s="194">
        <f t="shared" si="13"/>
        <v>0.42477320256080864</v>
      </c>
      <c r="V191" s="194">
        <f t="shared" si="14"/>
        <v>0.80968698854337151</v>
      </c>
      <c r="W191">
        <f t="shared" si="15"/>
        <v>69</v>
      </c>
      <c r="X191" s="194">
        <f t="shared" si="16"/>
        <v>0.23048332869418731</v>
      </c>
      <c r="Y191" s="194">
        <f t="shared" si="17"/>
        <v>8.6126025033100156E-3</v>
      </c>
      <c r="Z191" s="245" t="str">
        <f>IF(ISNUMBER(SEARCH("C", 'Dry_Litterbag Placem_Collection'!$T118)),"YES","NO")</f>
        <v>NO</v>
      </c>
      <c r="AA191" s="245" t="str">
        <f>IF(ISNUMBER(SEARCH("H", 'Dry_Litterbag Placem_Collection'!$T118)),"YES","NO")</f>
        <v>NO</v>
      </c>
      <c r="AB191" s="245" t="str">
        <f>IF(ISNUMBER(SEARCH("R", 'Dry_Litterbag Placem_Collection'!$T118)),"YES","NO")</f>
        <v>NO</v>
      </c>
      <c r="AC191" s="245" t="str">
        <f>IF(ISNUMBER(SEARCH("C", 'Dry_Litterbag Placem_Collection'!$S118)),"YES","NO")</f>
        <v>NO</v>
      </c>
      <c r="AD191" s="245" t="str">
        <f>IF(ISNUMBER(SEARCH("H", 'Dry_Litterbag Placem_Collection'!$S118)),"YES","NO")</f>
        <v>NO</v>
      </c>
      <c r="AE191" s="245" t="str">
        <f>IF(ISNUMBER(SEARCH("R", 'Dry_Litterbag Placem_Collection'!$S118)),"YES","NO")</f>
        <v>YES</v>
      </c>
    </row>
    <row r="192" spans="2:31">
      <c r="B192" t="str">
        <f>Dryseason!B118</f>
        <v>Dry</v>
      </c>
      <c r="C192" s="253">
        <f>Dryseason!C118</f>
        <v>117</v>
      </c>
      <c r="D192" t="s">
        <v>3119</v>
      </c>
      <c r="E192" t="s">
        <v>22</v>
      </c>
      <c r="F192" s="375">
        <v>5</v>
      </c>
      <c r="G192" s="16">
        <f>IF('Dry_Litterbag Placem_Collection'!E119="","",'Dry_Litterbag Placem_Collection'!E119)</f>
        <v>42939</v>
      </c>
      <c r="H192" t="str">
        <f>Dryseason!L118</f>
        <v>G533</v>
      </c>
      <c r="I192" t="str">
        <f>Dryseason!L338</f>
        <v>R745</v>
      </c>
      <c r="J192">
        <f>IFERROR(INDEX('Green_rooibos initial weight'!$C$5:$C$2000,MATCH(H192, 'Green_rooibos initial weight'!$A$5:$A$2000,0)),"")</f>
        <v>2.1070000000000002</v>
      </c>
      <c r="K192">
        <f>IFERROR(INDEX('Green_rooibos initial weight'!$C$5:$C$2000,MATCH(I192, 'Green_rooibos initial weight'!$A$5:$A$2000,0)),"")</f>
        <v>2.2909999999999999</v>
      </c>
      <c r="L192" s="194">
        <f t="shared" si="10"/>
        <v>1.8572000000000002</v>
      </c>
      <c r="M192" s="233">
        <f>AVERAGE(Ashed_controlls!$K$1:$K$11)</f>
        <v>5.5147656768714146</v>
      </c>
      <c r="N192" s="194">
        <f t="shared" si="9"/>
        <v>2.0411999999999999</v>
      </c>
      <c r="O192" s="16">
        <f>IF('Dry_Litterbag Placem_Collection'!G119="","",'Dry_Litterbag Placem_Collection'!G119)</f>
        <v>43008</v>
      </c>
      <c r="P192" s="194" t="str">
        <f>IFERROR(INDEX('Both teabags AfterDry'!$D$3:$D$2000,MATCH(H192,'Both teabags AfterDry'!$A$3:$A$2000,0)),"")</f>
        <v/>
      </c>
      <c r="Q192" s="194" t="str">
        <f>IFERROR(INDEX('Both teabags AfterDry'!$D$3:$D$2000,MATCH(I192,'Both teabags AfterDry'!$A$3:$A$2000,0)),"")</f>
        <v/>
      </c>
      <c r="R192" s="194" t="str">
        <f t="shared" si="11"/>
        <v/>
      </c>
      <c r="S192" s="194" t="str">
        <f t="shared" si="11"/>
        <v/>
      </c>
      <c r="T192" s="194" t="str">
        <f t="shared" si="12"/>
        <v/>
      </c>
      <c r="U192" s="194" t="str">
        <f t="shared" si="13"/>
        <v/>
      </c>
      <c r="V192" s="194" t="str">
        <f t="shared" si="14"/>
        <v/>
      </c>
      <c r="W192">
        <f t="shared" si="15"/>
        <v>69</v>
      </c>
      <c r="X192" s="194" t="str">
        <f t="shared" si="16"/>
        <v/>
      </c>
      <c r="Y192" s="194" t="str">
        <f t="shared" si="17"/>
        <v/>
      </c>
      <c r="Z192" s="245" t="str">
        <f>IF(ISNUMBER(SEARCH("C", 'Dry_Litterbag Placem_Collection'!$T119)),"YES","NO")</f>
        <v>NO</v>
      </c>
      <c r="AA192" s="245" t="str">
        <f>IF(ISNUMBER(SEARCH("H", 'Dry_Litterbag Placem_Collection'!$T119)),"YES","NO")</f>
        <v>NO</v>
      </c>
      <c r="AB192" s="245" t="str">
        <f>IF(ISNUMBER(SEARCH("R", 'Dry_Litterbag Placem_Collection'!$T119)),"YES","NO")</f>
        <v>NO</v>
      </c>
      <c r="AC192" s="245" t="str">
        <f>IF(ISNUMBER(SEARCH("C", 'Dry_Litterbag Placem_Collection'!$S119)),"YES","NO")</f>
        <v>NO</v>
      </c>
      <c r="AD192" s="245" t="str">
        <f>IF(ISNUMBER(SEARCH("H", 'Dry_Litterbag Placem_Collection'!$S119)),"YES","NO")</f>
        <v>NO</v>
      </c>
      <c r="AE192" s="245" t="str">
        <f>IF(ISNUMBER(SEARCH("R", 'Dry_Litterbag Placem_Collection'!$S119)),"YES","NO")</f>
        <v>YES</v>
      </c>
    </row>
    <row r="193" spans="2:31">
      <c r="B193" t="str">
        <f>Dryseason!B119</f>
        <v>Dry</v>
      </c>
      <c r="C193" s="253">
        <f>Dryseason!C119</f>
        <v>118</v>
      </c>
      <c r="D193" t="s">
        <v>3119</v>
      </c>
      <c r="E193" t="s">
        <v>22</v>
      </c>
      <c r="F193" s="375">
        <v>6</v>
      </c>
      <c r="G193" s="16">
        <f>IF('Dry_Litterbag Placem_Collection'!E120="","",'Dry_Litterbag Placem_Collection'!E120)</f>
        <v>42939</v>
      </c>
      <c r="H193" t="str">
        <f>Dryseason!L119</f>
        <v>G200</v>
      </c>
      <c r="I193" t="str">
        <f>Dryseason!L339</f>
        <v>R791</v>
      </c>
      <c r="J193">
        <f>IFERROR(INDEX('Green_rooibos initial weight'!$C$5:$C$2000,MATCH(H193, 'Green_rooibos initial weight'!$A$5:$A$2000,0)),"")</f>
        <v>2.0150000000000001</v>
      </c>
      <c r="K193">
        <f>IFERROR(INDEX('Green_rooibos initial weight'!$C$5:$C$2000,MATCH(I193, 'Green_rooibos initial weight'!$A$5:$A$2000,0)),"")</f>
        <v>2.1579999999999999</v>
      </c>
      <c r="L193" s="194">
        <f t="shared" si="10"/>
        <v>1.7652000000000001</v>
      </c>
      <c r="M193" s="233">
        <f>AVERAGE(Ashed_controlls!$K$1:$K$11)</f>
        <v>5.5147656768714146</v>
      </c>
      <c r="N193" s="194">
        <f t="shared" si="9"/>
        <v>1.9081999999999999</v>
      </c>
      <c r="O193" s="16">
        <f>IF('Dry_Litterbag Placem_Collection'!G120="","",'Dry_Litterbag Placem_Collection'!G120)</f>
        <v>43008</v>
      </c>
      <c r="P193" s="194">
        <f>IFERROR(INDEX('Both teabags AfterDry'!$D$3:$D$2000,MATCH(H193,'Both teabags AfterDry'!$A$3:$A$2000,0)),"")</f>
        <v>0.71760000000000002</v>
      </c>
      <c r="Q193" s="194">
        <f>IFERROR(INDEX('Both teabags AfterDry'!$D$3:$D$2000,MATCH(I193,'Both teabags AfterDry'!$A$3:$A$2000,0)),"")</f>
        <v>1.629</v>
      </c>
      <c r="R193" s="194">
        <f t="shared" si="11"/>
        <v>0.56699999999999995</v>
      </c>
      <c r="S193" s="194">
        <f t="shared" si="11"/>
        <v>1.4783999999999999</v>
      </c>
      <c r="T193" s="194">
        <f t="shared" si="12"/>
        <v>0.67878993881713123</v>
      </c>
      <c r="U193" s="194">
        <f t="shared" si="13"/>
        <v>0.44500243019840441</v>
      </c>
      <c r="V193" s="194">
        <f t="shared" si="14"/>
        <v>0.77476155539251657</v>
      </c>
      <c r="W193">
        <f t="shared" si="15"/>
        <v>69</v>
      </c>
      <c r="X193" s="194">
        <f t="shared" si="16"/>
        <v>0.19383617717680368</v>
      </c>
      <c r="Y193" s="194">
        <f t="shared" si="17"/>
        <v>1.0225008196254565E-2</v>
      </c>
      <c r="Z193" s="245" t="str">
        <f>IF(ISNUMBER(SEARCH("C", 'Dry_Litterbag Placem_Collection'!$T120)),"YES","NO")</f>
        <v>NO</v>
      </c>
      <c r="AA193" s="245" t="str">
        <f>IF(ISNUMBER(SEARCH("H", 'Dry_Litterbag Placem_Collection'!$T120)),"YES","NO")</f>
        <v>NO</v>
      </c>
      <c r="AB193" s="245" t="str">
        <f>IF(ISNUMBER(SEARCH("R", 'Dry_Litterbag Placem_Collection'!$T120)),"YES","NO")</f>
        <v>NO</v>
      </c>
      <c r="AC193" s="245" t="str">
        <f>IF(ISNUMBER(SEARCH("C", 'Dry_Litterbag Placem_Collection'!$S120)),"YES","NO")</f>
        <v>NO</v>
      </c>
      <c r="AD193" s="245" t="str">
        <f>IF(ISNUMBER(SEARCH("H", 'Dry_Litterbag Placem_Collection'!$S120)),"YES","NO")</f>
        <v>YES</v>
      </c>
      <c r="AE193" s="245" t="str">
        <f>IF(ISNUMBER(SEARCH("R", 'Dry_Litterbag Placem_Collection'!$S120)),"YES","NO")</f>
        <v>YES</v>
      </c>
    </row>
    <row r="194" spans="2:31">
      <c r="B194" t="str">
        <f>Dryseason!B120</f>
        <v>Dry</v>
      </c>
      <c r="C194" s="253">
        <f>Dryseason!C120</f>
        <v>119</v>
      </c>
      <c r="D194" t="s">
        <v>3119</v>
      </c>
      <c r="E194" t="s">
        <v>22</v>
      </c>
      <c r="F194" s="375">
        <v>7</v>
      </c>
      <c r="G194" s="16">
        <f>IF('Dry_Litterbag Placem_Collection'!E121="","",'Dry_Litterbag Placem_Collection'!E121)</f>
        <v>42939</v>
      </c>
      <c r="H194" t="str">
        <f>Dryseason!L120</f>
        <v>G236</v>
      </c>
      <c r="I194" t="str">
        <f>Dryseason!L340</f>
        <v>R802</v>
      </c>
      <c r="J194">
        <f>IFERROR(INDEX('Green_rooibos initial weight'!$C$5:$C$2000,MATCH(H194, 'Green_rooibos initial weight'!$A$5:$A$2000,0)),"")</f>
        <v>2.0529999999999999</v>
      </c>
      <c r="K194">
        <f>IFERROR(INDEX('Green_rooibos initial weight'!$C$5:$C$2000,MATCH(I194, 'Green_rooibos initial weight'!$A$5:$A$2000,0)),"")</f>
        <v>2.25</v>
      </c>
      <c r="L194" s="194">
        <f t="shared" si="10"/>
        <v>1.8031999999999999</v>
      </c>
      <c r="M194" s="233">
        <f>AVERAGE(Ashed_controlls!$K$1:$K$11)</f>
        <v>5.5147656768714146</v>
      </c>
      <c r="N194" s="194">
        <f t="shared" si="9"/>
        <v>2.0002</v>
      </c>
      <c r="O194" s="16">
        <f>IF('Dry_Litterbag Placem_Collection'!G121="","",'Dry_Litterbag Placem_Collection'!G121)</f>
        <v>43008</v>
      </c>
      <c r="P194" s="194">
        <f>IFERROR(INDEX('Both teabags AfterDry'!$D$3:$D$2000,MATCH(H194,'Both teabags AfterDry'!$A$3:$A$2000,0)),"")</f>
        <v>0.81489999999999996</v>
      </c>
      <c r="Q194" s="194">
        <f>IFERROR(INDEX('Both teabags AfterDry'!$D$3:$D$2000,MATCH(I194,'Both teabags AfterDry'!$A$3:$A$2000,0)),"")</f>
        <v>1.6778</v>
      </c>
      <c r="R194" s="194">
        <f t="shared" si="11"/>
        <v>0.66429999999999989</v>
      </c>
      <c r="S194" s="194">
        <f t="shared" si="11"/>
        <v>1.5271999999999999</v>
      </c>
      <c r="T194" s="194">
        <f t="shared" si="12"/>
        <v>0.63159937888198758</v>
      </c>
      <c r="U194" s="194">
        <f t="shared" si="13"/>
        <v>0.41406515100101804</v>
      </c>
      <c r="V194" s="194">
        <f t="shared" si="14"/>
        <v>0.76352364763523639</v>
      </c>
      <c r="W194">
        <f t="shared" si="15"/>
        <v>69</v>
      </c>
      <c r="X194" s="194">
        <f t="shared" si="16"/>
        <v>0.24988197282424274</v>
      </c>
      <c r="Y194" s="194">
        <f t="shared" si="17"/>
        <v>1.2268877872238886E-2</v>
      </c>
      <c r="Z194" s="245" t="str">
        <f>IF(ISNUMBER(SEARCH("C", 'Dry_Litterbag Placem_Collection'!$T121)),"YES","NO")</f>
        <v>NO</v>
      </c>
      <c r="AA194" s="245" t="str">
        <f>IF(ISNUMBER(SEARCH("H", 'Dry_Litterbag Placem_Collection'!$T121)),"YES","NO")</f>
        <v>NO</v>
      </c>
      <c r="AB194" s="245" t="str">
        <f>IF(ISNUMBER(SEARCH("R", 'Dry_Litterbag Placem_Collection'!$T121)),"YES","NO")</f>
        <v>NO</v>
      </c>
      <c r="AC194" s="245" t="str">
        <f>IF(ISNUMBER(SEARCH("C", 'Dry_Litterbag Placem_Collection'!$S121)),"YES","NO")</f>
        <v>NO</v>
      </c>
      <c r="AD194" s="245" t="str">
        <f>IF(ISNUMBER(SEARCH("H", 'Dry_Litterbag Placem_Collection'!$S121)),"YES","NO")</f>
        <v>YES</v>
      </c>
      <c r="AE194" s="245" t="str">
        <f>IF(ISNUMBER(SEARCH("R", 'Dry_Litterbag Placem_Collection'!$S121)),"YES","NO")</f>
        <v>NO</v>
      </c>
    </row>
    <row r="195" spans="2:31">
      <c r="B195" t="str">
        <f>Dryseason!B121</f>
        <v>Dry</v>
      </c>
      <c r="C195" s="253">
        <f>Dryseason!C121</f>
        <v>120</v>
      </c>
      <c r="D195" t="s">
        <v>3119</v>
      </c>
      <c r="E195" t="s">
        <v>22</v>
      </c>
      <c r="F195" s="375">
        <v>8</v>
      </c>
      <c r="G195" s="16" t="str">
        <f>IF('Dry_Litterbag Placem_Collection'!E122="","",'Dry_Litterbag Placem_Collection'!E122)</f>
        <v/>
      </c>
      <c r="H195" t="str">
        <f>Dryseason!L121</f>
        <v/>
      </c>
      <c r="I195" t="str">
        <f>Dryseason!L341</f>
        <v/>
      </c>
      <c r="J195" t="str">
        <f>IFERROR(INDEX('Green_rooibos initial weight'!$C$5:$C$2000,MATCH(H195, 'Green_rooibos initial weight'!$A$5:$A$2000,0)),"")</f>
        <v/>
      </c>
      <c r="K195" t="str">
        <f>IFERROR(INDEX('Green_rooibos initial weight'!$C$5:$C$2000,MATCH(I195, 'Green_rooibos initial weight'!$A$5:$A$2000,0)),"")</f>
        <v/>
      </c>
      <c r="L195" s="194" t="str">
        <f t="shared" si="10"/>
        <v/>
      </c>
      <c r="M195" s="233">
        <f>AVERAGE(Ashed_controlls!$K$1:$K$11)</f>
        <v>5.5147656768714146</v>
      </c>
      <c r="N195" s="194" t="str">
        <f t="shared" si="9"/>
        <v/>
      </c>
      <c r="O195" s="16" t="str">
        <f>IF('Dry_Litterbag Placem_Collection'!G122="","",'Dry_Litterbag Placem_Collection'!G122)</f>
        <v/>
      </c>
      <c r="P195" s="194" t="str">
        <f>IFERROR(INDEX('Both teabags AfterDry'!$D$3:$D$2000,MATCH(H195,'Both teabags AfterDry'!$A$3:$A$2000,0)),"")</f>
        <v/>
      </c>
      <c r="Q195" s="194" t="str">
        <f>IFERROR(INDEX('Both teabags AfterDry'!$D$3:$D$2000,MATCH(I195,'Both teabags AfterDry'!$A$3:$A$2000,0)),"")</f>
        <v/>
      </c>
      <c r="R195" s="194" t="str">
        <f t="shared" si="11"/>
        <v/>
      </c>
      <c r="S195" s="194" t="str">
        <f t="shared" si="11"/>
        <v/>
      </c>
      <c r="T195" s="194" t="str">
        <f t="shared" si="12"/>
        <v/>
      </c>
      <c r="U195" s="194" t="str">
        <f t="shared" si="13"/>
        <v/>
      </c>
      <c r="V195" s="194" t="str">
        <f t="shared" si="14"/>
        <v/>
      </c>
      <c r="W195" t="str">
        <f t="shared" si="15"/>
        <v/>
      </c>
      <c r="X195" s="194" t="str">
        <f t="shared" si="16"/>
        <v/>
      </c>
      <c r="Y195" s="194" t="str">
        <f t="shared" si="17"/>
        <v/>
      </c>
      <c r="Z195" s="245" t="str">
        <f>IF(ISNUMBER(SEARCH("C", 'Dry_Litterbag Placem_Collection'!$T122)),"YES","NO")</f>
        <v>NO</v>
      </c>
      <c r="AA195" s="245" t="str">
        <f>IF(ISNUMBER(SEARCH("H", 'Dry_Litterbag Placem_Collection'!$T122)),"YES","NO")</f>
        <v>NO</v>
      </c>
      <c r="AB195" s="245" t="str">
        <f>IF(ISNUMBER(SEARCH("R", 'Dry_Litterbag Placem_Collection'!$T122)),"YES","NO")</f>
        <v>NO</v>
      </c>
      <c r="AC195" s="245" t="str">
        <f>IF(ISNUMBER(SEARCH("C", 'Dry_Litterbag Placem_Collection'!$S122)),"YES","NO")</f>
        <v>NO</v>
      </c>
      <c r="AD195" s="245" t="str">
        <f>IF(ISNUMBER(SEARCH("H", 'Dry_Litterbag Placem_Collection'!$S122)),"YES","NO")</f>
        <v>NO</v>
      </c>
      <c r="AE195" s="245" t="str">
        <f>IF(ISNUMBER(SEARCH("R", 'Dry_Litterbag Placem_Collection'!$S122)),"YES","NO")</f>
        <v>NO</v>
      </c>
    </row>
    <row r="196" spans="2:31">
      <c r="B196" t="str">
        <f>Dryseason!B122</f>
        <v>Dry</v>
      </c>
      <c r="C196" s="253">
        <f>Dryseason!C122</f>
        <v>121</v>
      </c>
      <c r="D196" t="s">
        <v>3120</v>
      </c>
      <c r="E196" t="s">
        <v>22</v>
      </c>
      <c r="F196" s="374">
        <v>1</v>
      </c>
      <c r="G196" s="16">
        <f>IF('Dry_Litterbag Placem_Collection'!E123="","",'Dry_Litterbag Placem_Collection'!E123)</f>
        <v>42939</v>
      </c>
      <c r="H196" t="str">
        <f>Dryseason!L122</f>
        <v>G280</v>
      </c>
      <c r="I196" t="str">
        <f>Dryseason!L342</f>
        <v>R822</v>
      </c>
      <c r="J196">
        <f>IFERROR(INDEX('Green_rooibos initial weight'!$C$5:$C$2000,MATCH(H196, 'Green_rooibos initial weight'!$A$5:$A$2000,0)),"")</f>
        <v>1.9450000000000001</v>
      </c>
      <c r="K196">
        <f>IFERROR(INDEX('Green_rooibos initial weight'!$C$5:$C$2000,MATCH(I196, 'Green_rooibos initial weight'!$A$5:$A$2000,0)),"")</f>
        <v>2.1880000000000002</v>
      </c>
      <c r="L196" s="194">
        <f t="shared" si="10"/>
        <v>1.6952</v>
      </c>
      <c r="M196" s="233">
        <f>AVERAGE(Ashed_controlls!$K$1:$K$11)</f>
        <v>5.5147656768714146</v>
      </c>
      <c r="N196" s="194">
        <f t="shared" si="9"/>
        <v>1.9382000000000001</v>
      </c>
      <c r="O196" s="16">
        <f>IF('Dry_Litterbag Placem_Collection'!G123="","",'Dry_Litterbag Placem_Collection'!G123)</f>
        <v>43008</v>
      </c>
      <c r="P196" s="194" t="str">
        <f>IFERROR(INDEX('Both teabags AfterDry'!$D$3:$D$2000,MATCH(H196,'Both teabags AfterDry'!$A$3:$A$2000,0)),"")</f>
        <v/>
      </c>
      <c r="Q196" s="194" t="str">
        <f>IFERROR(INDEX('Both teabags AfterDry'!$D$3:$D$2000,MATCH(I196,'Both teabags AfterDry'!$A$3:$A$2000,0)),"")</f>
        <v/>
      </c>
      <c r="R196" s="194" t="str">
        <f t="shared" si="11"/>
        <v/>
      </c>
      <c r="S196" s="194" t="str">
        <f t="shared" si="11"/>
        <v/>
      </c>
      <c r="T196" s="194" t="str">
        <f t="shared" si="12"/>
        <v/>
      </c>
      <c r="U196" s="194" t="str">
        <f t="shared" si="13"/>
        <v/>
      </c>
      <c r="V196" s="194" t="str">
        <f t="shared" si="14"/>
        <v/>
      </c>
      <c r="W196">
        <f t="shared" si="15"/>
        <v>69</v>
      </c>
      <c r="X196" s="194" t="str">
        <f t="shared" si="16"/>
        <v/>
      </c>
      <c r="Y196" s="194" t="str">
        <f t="shared" si="17"/>
        <v/>
      </c>
      <c r="Z196" s="245" t="str">
        <f>IF(ISNUMBER(SEARCH("C", 'Dry_Litterbag Placem_Collection'!$T123)),"YES","NO")</f>
        <v>NO</v>
      </c>
      <c r="AA196" s="245" t="str">
        <f>IF(ISNUMBER(SEARCH("H", 'Dry_Litterbag Placem_Collection'!$T123)),"YES","NO")</f>
        <v>NO</v>
      </c>
      <c r="AB196" s="245" t="str">
        <f>IF(ISNUMBER(SEARCH("R", 'Dry_Litterbag Placem_Collection'!$T123)),"YES","NO")</f>
        <v>NO</v>
      </c>
      <c r="AC196" s="245" t="str">
        <f>IF(ISNUMBER(SEARCH("C", 'Dry_Litterbag Placem_Collection'!$S123)),"YES","NO")</f>
        <v>NO</v>
      </c>
      <c r="AD196" s="245" t="str">
        <f>IF(ISNUMBER(SEARCH("H", 'Dry_Litterbag Placem_Collection'!$S123)),"YES","NO")</f>
        <v>NO</v>
      </c>
      <c r="AE196" s="245" t="str">
        <f>IF(ISNUMBER(SEARCH("R", 'Dry_Litterbag Placem_Collection'!$S123)),"YES","NO")</f>
        <v>NO</v>
      </c>
    </row>
    <row r="197" spans="2:31">
      <c r="B197" t="str">
        <f>Dryseason!B123</f>
        <v>Dry</v>
      </c>
      <c r="C197" s="253">
        <f>Dryseason!C123</f>
        <v>122</v>
      </c>
      <c r="D197" t="s">
        <v>3120</v>
      </c>
      <c r="E197" t="s">
        <v>22</v>
      </c>
      <c r="F197" s="374">
        <v>2</v>
      </c>
      <c r="G197" s="16">
        <f>IF('Dry_Litterbag Placem_Collection'!E124="","",'Dry_Litterbag Placem_Collection'!E124)</f>
        <v>42939</v>
      </c>
      <c r="H197" t="str">
        <f>Dryseason!L123</f>
        <v>G231</v>
      </c>
      <c r="I197" t="str">
        <f>Dryseason!L343</f>
        <v>R792</v>
      </c>
      <c r="J197">
        <f>IFERROR(INDEX('Green_rooibos initial weight'!$C$5:$C$2000,MATCH(H197, 'Green_rooibos initial weight'!$A$5:$A$2000,0)),"")</f>
        <v>2.085</v>
      </c>
      <c r="K197">
        <f>IFERROR(INDEX('Green_rooibos initial weight'!$C$5:$C$2000,MATCH(I197, 'Green_rooibos initial weight'!$A$5:$A$2000,0)),"")</f>
        <v>2.2389999999999999</v>
      </c>
      <c r="L197" s="194">
        <f t="shared" si="10"/>
        <v>1.8351999999999999</v>
      </c>
      <c r="M197" s="233">
        <f>AVERAGE(Ashed_controlls!$K$1:$K$11)</f>
        <v>5.5147656768714146</v>
      </c>
      <c r="N197" s="194">
        <f t="shared" si="9"/>
        <v>1.9891999999999999</v>
      </c>
      <c r="O197" s="16">
        <f>IF('Dry_Litterbag Placem_Collection'!G124="","",'Dry_Litterbag Placem_Collection'!G124)</f>
        <v>43008</v>
      </c>
      <c r="P197" s="194">
        <f>IFERROR(INDEX('Both teabags AfterDry'!$D$3:$D$2000,MATCH(H197,'Both teabags AfterDry'!$A$3:$A$2000,0)),"")</f>
        <v>0.78859999999999997</v>
      </c>
      <c r="Q197" s="194">
        <f>IFERROR(INDEX('Both teabags AfterDry'!$D$3:$D$2000,MATCH(I197,'Both teabags AfterDry'!$A$3:$A$2000,0)),"")</f>
        <v>0</v>
      </c>
      <c r="R197" s="194">
        <f t="shared" si="11"/>
        <v>0.6379999999999999</v>
      </c>
      <c r="S197" s="194" t="str">
        <f t="shared" si="11"/>
        <v/>
      </c>
      <c r="T197" s="194">
        <f t="shared" si="12"/>
        <v>0.65235396687009595</v>
      </c>
      <c r="U197" s="194">
        <f t="shared" si="13"/>
        <v>0.4276714842188753</v>
      </c>
      <c r="V197" s="194" t="str">
        <f t="shared" si="14"/>
        <v/>
      </c>
      <c r="W197">
        <f t="shared" si="15"/>
        <v>69</v>
      </c>
      <c r="X197" s="194">
        <f t="shared" si="16"/>
        <v>0.22523281844406651</v>
      </c>
      <c r="Y197" s="194" t="str">
        <f t="shared" si="17"/>
        <v/>
      </c>
      <c r="Z197" s="245" t="str">
        <f>IF(ISNUMBER(SEARCH("C", 'Dry_Litterbag Placem_Collection'!$T124)),"YES","NO")</f>
        <v>YES</v>
      </c>
      <c r="AA197" s="245" t="str">
        <f>IF(ISNUMBER(SEARCH("H", 'Dry_Litterbag Placem_Collection'!$T124)),"YES","NO")</f>
        <v>YES</v>
      </c>
      <c r="AB197" s="245" t="str">
        <f>IF(ISNUMBER(SEARCH("R", 'Dry_Litterbag Placem_Collection'!$T124)),"YES","NO")</f>
        <v>NO</v>
      </c>
      <c r="AC197" s="245" t="str">
        <f>IF(ISNUMBER(SEARCH("C", 'Dry_Litterbag Placem_Collection'!$S124)),"YES","NO")</f>
        <v>NO</v>
      </c>
      <c r="AD197" s="245" t="str">
        <f>IF(ISNUMBER(SEARCH("H", 'Dry_Litterbag Placem_Collection'!$S124)),"YES","NO")</f>
        <v>YES</v>
      </c>
      <c r="AE197" s="245" t="str">
        <f>IF(ISNUMBER(SEARCH("R", 'Dry_Litterbag Placem_Collection'!$S124)),"YES","NO")</f>
        <v>NO</v>
      </c>
    </row>
    <row r="198" spans="2:31">
      <c r="B198" t="str">
        <f>Dryseason!B124</f>
        <v>Dry</v>
      </c>
      <c r="C198" s="253">
        <f>Dryseason!C124</f>
        <v>123</v>
      </c>
      <c r="D198" t="s">
        <v>3120</v>
      </c>
      <c r="E198" t="s">
        <v>22</v>
      </c>
      <c r="F198" s="374">
        <v>3</v>
      </c>
      <c r="G198" s="16">
        <f>IF('Dry_Litterbag Placem_Collection'!E125="","",'Dry_Litterbag Placem_Collection'!E125)</f>
        <v>42939</v>
      </c>
      <c r="H198" t="str">
        <f>Dryseason!L124</f>
        <v>G292</v>
      </c>
      <c r="I198" t="str">
        <f>Dryseason!L344</f>
        <v>R740</v>
      </c>
      <c r="J198">
        <f>IFERROR(INDEX('Green_rooibos initial weight'!$C$5:$C$2000,MATCH(H198, 'Green_rooibos initial weight'!$A$5:$A$2000,0)),"")</f>
        <v>2.0289999999999999</v>
      </c>
      <c r="K198">
        <f>IFERROR(INDEX('Green_rooibos initial weight'!$C$5:$C$2000,MATCH(I198, 'Green_rooibos initial weight'!$A$5:$A$2000,0)),"")</f>
        <v>2.161</v>
      </c>
      <c r="L198" s="194">
        <f t="shared" si="10"/>
        <v>1.7791999999999999</v>
      </c>
      <c r="M198" s="233">
        <f>AVERAGE(Ashed_controlls!$K$1:$K$11)</f>
        <v>5.5147656768714146</v>
      </c>
      <c r="N198" s="194">
        <f t="shared" si="9"/>
        <v>1.9112</v>
      </c>
      <c r="O198" s="16">
        <f>IF('Dry_Litterbag Placem_Collection'!G125="","",'Dry_Litterbag Placem_Collection'!G125)</f>
        <v>43008</v>
      </c>
      <c r="P198" s="194">
        <f>IFERROR(INDEX('Both teabags AfterDry'!$D$3:$D$2000,MATCH(H198,'Both teabags AfterDry'!$A$3:$A$2000,0)),"")</f>
        <v>0.88980000000000004</v>
      </c>
      <c r="Q198" s="194">
        <f>IFERROR(INDEX('Both teabags AfterDry'!$D$3:$D$2000,MATCH(I198,'Both teabags AfterDry'!$A$3:$A$2000,0)),"")</f>
        <v>1.6575</v>
      </c>
      <c r="R198" s="194">
        <f t="shared" si="11"/>
        <v>0.73920000000000008</v>
      </c>
      <c r="S198" s="194">
        <f t="shared" si="11"/>
        <v>1.5068999999999999</v>
      </c>
      <c r="T198" s="194">
        <f t="shared" si="12"/>
        <v>0.58453237410071934</v>
      </c>
      <c r="U198" s="194">
        <f t="shared" si="13"/>
        <v>0.38320887233206308</v>
      </c>
      <c r="V198" s="194">
        <f t="shared" si="14"/>
        <v>0.78845751360401839</v>
      </c>
      <c r="W198">
        <f t="shared" si="15"/>
        <v>69</v>
      </c>
      <c r="X198" s="194">
        <f t="shared" si="16"/>
        <v>0.30578102838394372</v>
      </c>
      <c r="Y198" s="194">
        <f t="shared" si="17"/>
        <v>1.1638075687327087E-2</v>
      </c>
      <c r="Z198" s="245" t="str">
        <f>IF(ISNUMBER(SEARCH("C", 'Dry_Litterbag Placem_Collection'!$T125)),"YES","NO")</f>
        <v>NO</v>
      </c>
      <c r="AA198" s="245" t="str">
        <f>IF(ISNUMBER(SEARCH("H", 'Dry_Litterbag Placem_Collection'!$T125)),"YES","NO")</f>
        <v>NO</v>
      </c>
      <c r="AB198" s="245" t="str">
        <f>IF(ISNUMBER(SEARCH("R", 'Dry_Litterbag Placem_Collection'!$T125)),"YES","NO")</f>
        <v>NO</v>
      </c>
      <c r="AC198" s="245" t="str">
        <f>IF(ISNUMBER(SEARCH("C", 'Dry_Litterbag Placem_Collection'!$S125)),"YES","NO")</f>
        <v>NO</v>
      </c>
      <c r="AD198" s="245" t="str">
        <f>IF(ISNUMBER(SEARCH("H", 'Dry_Litterbag Placem_Collection'!$S125)),"YES","NO")</f>
        <v>NO</v>
      </c>
      <c r="AE198" s="245" t="str">
        <f>IF(ISNUMBER(SEARCH("R", 'Dry_Litterbag Placem_Collection'!$S125)),"YES","NO")</f>
        <v>YES</v>
      </c>
    </row>
    <row r="199" spans="2:31">
      <c r="B199" t="str">
        <f>Dryseason!B125</f>
        <v>Dry</v>
      </c>
      <c r="C199" s="253">
        <f>Dryseason!C125</f>
        <v>124</v>
      </c>
      <c r="D199" t="s">
        <v>3120</v>
      </c>
      <c r="E199" t="s">
        <v>22</v>
      </c>
      <c r="F199" s="375">
        <v>4</v>
      </c>
      <c r="G199" s="16">
        <f>IF('Dry_Litterbag Placem_Collection'!E126="","",'Dry_Litterbag Placem_Collection'!E126)</f>
        <v>42939</v>
      </c>
      <c r="H199" t="str">
        <f>Dryseason!L125</f>
        <v>G116</v>
      </c>
      <c r="I199" t="str">
        <f>Dryseason!L345</f>
        <v>R797</v>
      </c>
      <c r="J199">
        <f>IFERROR(INDEX('Green_rooibos initial weight'!$C$5:$C$2000,MATCH(H199, 'Green_rooibos initial weight'!$A$5:$A$2000,0)),"")</f>
        <v>1.925</v>
      </c>
      <c r="K199">
        <f>IFERROR(INDEX('Green_rooibos initial weight'!$C$5:$C$2000,MATCH(I199, 'Green_rooibos initial weight'!$A$5:$A$2000,0)),"")</f>
        <v>2.2130000000000001</v>
      </c>
      <c r="L199" s="194">
        <f t="shared" si="10"/>
        <v>1.6752</v>
      </c>
      <c r="M199" s="233">
        <f>AVERAGE(Ashed_controlls!$K$1:$K$11)</f>
        <v>5.5147656768714146</v>
      </c>
      <c r="N199" s="194">
        <f t="shared" si="9"/>
        <v>1.9632000000000001</v>
      </c>
      <c r="O199" s="16">
        <f>IF('Dry_Litterbag Placem_Collection'!G126="","",'Dry_Litterbag Placem_Collection'!G126)</f>
        <v>43008</v>
      </c>
      <c r="P199" s="194">
        <f>IFERROR(INDEX('Both teabags AfterDry'!$D$3:$D$2000,MATCH(H199,'Both teabags AfterDry'!$A$3:$A$2000,0)),"")</f>
        <v>0.63749999999999996</v>
      </c>
      <c r="Q199" s="194">
        <f>IFERROR(INDEX('Both teabags AfterDry'!$D$3:$D$2000,MATCH(I199,'Both teabags AfterDry'!$A$3:$A$2000,0)),"")</f>
        <v>1.5708</v>
      </c>
      <c r="R199" s="194">
        <f t="shared" si="11"/>
        <v>0.48689999999999994</v>
      </c>
      <c r="S199" s="194">
        <f t="shared" si="11"/>
        <v>1.4201999999999999</v>
      </c>
      <c r="T199" s="194">
        <f t="shared" si="12"/>
        <v>0.7093481375358166</v>
      </c>
      <c r="U199" s="194">
        <f t="shared" si="13"/>
        <v>0.46503583363393208</v>
      </c>
      <c r="V199" s="194">
        <f t="shared" si="14"/>
        <v>0.72341075794621024</v>
      </c>
      <c r="W199">
        <f t="shared" si="15"/>
        <v>69</v>
      </c>
      <c r="X199" s="194">
        <f t="shared" si="16"/>
        <v>0.15754377964867383</v>
      </c>
      <c r="Y199" s="194">
        <f t="shared" si="17"/>
        <v>1.3091301902137671E-2</v>
      </c>
      <c r="Z199" s="245" t="str">
        <f>IF(ISNUMBER(SEARCH("C", 'Dry_Litterbag Placem_Collection'!$T126)),"YES","NO")</f>
        <v>NO</v>
      </c>
      <c r="AA199" s="245" t="str">
        <f>IF(ISNUMBER(SEARCH("H", 'Dry_Litterbag Placem_Collection'!$T126)),"YES","NO")</f>
        <v>YES</v>
      </c>
      <c r="AB199" s="245" t="str">
        <f>IF(ISNUMBER(SEARCH("R", 'Dry_Litterbag Placem_Collection'!$T126)),"YES","NO")</f>
        <v>YES</v>
      </c>
      <c r="AC199" s="245" t="str">
        <f>IF(ISNUMBER(SEARCH("C", 'Dry_Litterbag Placem_Collection'!$S126)),"YES","NO")</f>
        <v>NO</v>
      </c>
      <c r="AD199" s="245" t="str">
        <f>IF(ISNUMBER(SEARCH("H", 'Dry_Litterbag Placem_Collection'!$S126)),"YES","NO")</f>
        <v>YES</v>
      </c>
      <c r="AE199" s="245" t="str">
        <f>IF(ISNUMBER(SEARCH("R", 'Dry_Litterbag Placem_Collection'!$S126)),"YES","NO")</f>
        <v>YES</v>
      </c>
    </row>
    <row r="200" spans="2:31">
      <c r="B200" t="str">
        <f>Dryseason!B126</f>
        <v>Dry</v>
      </c>
      <c r="C200" s="253">
        <f>Dryseason!C126</f>
        <v>125</v>
      </c>
      <c r="D200" t="s">
        <v>3120</v>
      </c>
      <c r="E200" t="s">
        <v>22</v>
      </c>
      <c r="F200" s="375">
        <v>5</v>
      </c>
      <c r="G200" s="16">
        <f>IF('Dry_Litterbag Placem_Collection'!E127="","",'Dry_Litterbag Placem_Collection'!E127)</f>
        <v>42939</v>
      </c>
      <c r="H200" t="str">
        <f>Dryseason!L126</f>
        <v>G50</v>
      </c>
      <c r="I200" t="str">
        <f>Dryseason!L346</f>
        <v>R795</v>
      </c>
      <c r="J200">
        <f>IFERROR(INDEX('Green_rooibos initial weight'!$C$5:$C$2000,MATCH(H200, 'Green_rooibos initial weight'!$A$5:$A$2000,0)),"")</f>
        <v>1.954</v>
      </c>
      <c r="K200">
        <f>IFERROR(INDEX('Green_rooibos initial weight'!$C$5:$C$2000,MATCH(I200, 'Green_rooibos initial weight'!$A$5:$A$2000,0)),"")</f>
        <v>2.2170000000000001</v>
      </c>
      <c r="L200" s="194">
        <f t="shared" si="10"/>
        <v>1.7041999999999999</v>
      </c>
      <c r="M200" s="233">
        <f>AVERAGE(Ashed_controlls!$K$1:$K$11)</f>
        <v>5.5147656768714146</v>
      </c>
      <c r="N200" s="194">
        <f t="shared" si="9"/>
        <v>1.9672000000000001</v>
      </c>
      <c r="O200" s="16">
        <f>IF('Dry_Litterbag Placem_Collection'!G127="","",'Dry_Litterbag Placem_Collection'!G127)</f>
        <v>43008</v>
      </c>
      <c r="P200" s="194">
        <f>IFERROR(INDEX('Both teabags AfterDry'!$D$3:$D$2000,MATCH(H200,'Both teabags AfterDry'!$A$3:$A$2000,0)),"")</f>
        <v>0.8911</v>
      </c>
      <c r="Q200" s="194">
        <f>IFERROR(INDEX('Both teabags AfterDry'!$D$3:$D$2000,MATCH(I200,'Both teabags AfterDry'!$A$3:$A$2000,0)),"")</f>
        <v>0.83220000000000005</v>
      </c>
      <c r="R200" s="194">
        <f t="shared" si="11"/>
        <v>0.74049999999999994</v>
      </c>
      <c r="S200" s="194">
        <f t="shared" si="11"/>
        <v>0.68159999999999998</v>
      </c>
      <c r="T200" s="194">
        <f t="shared" si="12"/>
        <v>0.56548527168172757</v>
      </c>
      <c r="U200" s="194">
        <f t="shared" si="13"/>
        <v>0.37072193582935115</v>
      </c>
      <c r="V200" s="194">
        <f t="shared" si="14"/>
        <v>0.34648230988206585</v>
      </c>
      <c r="W200">
        <f t="shared" si="15"/>
        <v>69</v>
      </c>
      <c r="X200" s="194">
        <f t="shared" si="16"/>
        <v>0.32840229016421896</v>
      </c>
      <c r="Y200" s="194" t="str">
        <f t="shared" si="17"/>
        <v/>
      </c>
      <c r="Z200" s="245" t="str">
        <f>IF(ISNUMBER(SEARCH("C", 'Dry_Litterbag Placem_Collection'!$T127)),"YES","NO")</f>
        <v>YES</v>
      </c>
      <c r="AA200" s="245" t="str">
        <f>IF(ISNUMBER(SEARCH("H", 'Dry_Litterbag Placem_Collection'!$T127)),"YES","NO")</f>
        <v>YES</v>
      </c>
      <c r="AB200" s="245" t="str">
        <f>IF(ISNUMBER(SEARCH("R", 'Dry_Litterbag Placem_Collection'!$T127)),"YES","NO")</f>
        <v>NO</v>
      </c>
      <c r="AC200" s="245" t="str">
        <f>IF(ISNUMBER(SEARCH("C", 'Dry_Litterbag Placem_Collection'!$S127)),"YES","NO")</f>
        <v>NO</v>
      </c>
      <c r="AD200" s="245" t="str">
        <f>IF(ISNUMBER(SEARCH("H", 'Dry_Litterbag Placem_Collection'!$S127)),"YES","NO")</f>
        <v>NO</v>
      </c>
      <c r="AE200" s="245" t="str">
        <f>IF(ISNUMBER(SEARCH("R", 'Dry_Litterbag Placem_Collection'!$S127)),"YES","NO")</f>
        <v>NO</v>
      </c>
    </row>
    <row r="201" spans="2:31">
      <c r="B201" t="str">
        <f>Dryseason!B127</f>
        <v>Dry</v>
      </c>
      <c r="C201" s="253">
        <f>Dryseason!C127</f>
        <v>126</v>
      </c>
      <c r="D201" t="s">
        <v>3120</v>
      </c>
      <c r="E201" t="s">
        <v>22</v>
      </c>
      <c r="F201" s="375">
        <v>6</v>
      </c>
      <c r="G201" s="16" t="str">
        <f>IF('Dry_Litterbag Placem_Collection'!E128="","",'Dry_Litterbag Placem_Collection'!E128)</f>
        <v/>
      </c>
      <c r="H201" t="str">
        <f>Dryseason!L127</f>
        <v/>
      </c>
      <c r="I201" t="str">
        <f>Dryseason!L347</f>
        <v/>
      </c>
      <c r="J201" t="str">
        <f>IFERROR(INDEX('Green_rooibos initial weight'!$C$5:$C$2000,MATCH(H201, 'Green_rooibos initial weight'!$A$5:$A$2000,0)),"")</f>
        <v/>
      </c>
      <c r="K201" t="str">
        <f>IFERROR(INDEX('Green_rooibos initial weight'!$C$5:$C$2000,MATCH(I201, 'Green_rooibos initial weight'!$A$5:$A$2000,0)),"")</f>
        <v/>
      </c>
      <c r="L201" s="194" t="str">
        <f t="shared" si="10"/>
        <v/>
      </c>
      <c r="M201" s="233">
        <f>AVERAGE(Ashed_controlls!$K$1:$K$11)</f>
        <v>5.5147656768714146</v>
      </c>
      <c r="N201" s="194" t="str">
        <f t="shared" si="9"/>
        <v/>
      </c>
      <c r="O201" s="16" t="str">
        <f>IF('Dry_Litterbag Placem_Collection'!G128="","",'Dry_Litterbag Placem_Collection'!G128)</f>
        <v/>
      </c>
      <c r="P201" s="194" t="str">
        <f>IFERROR(INDEX('Both teabags AfterDry'!$D$3:$D$2000,MATCH(H201,'Both teabags AfterDry'!$A$3:$A$2000,0)),"")</f>
        <v/>
      </c>
      <c r="Q201" s="194" t="str">
        <f>IFERROR(INDEX('Both teabags AfterDry'!$D$3:$D$2000,MATCH(I201,'Both teabags AfterDry'!$A$3:$A$2000,0)),"")</f>
        <v/>
      </c>
      <c r="R201" s="194" t="str">
        <f t="shared" si="11"/>
        <v/>
      </c>
      <c r="S201" s="194" t="str">
        <f t="shared" si="11"/>
        <v/>
      </c>
      <c r="T201" s="194" t="str">
        <f t="shared" si="12"/>
        <v/>
      </c>
      <c r="U201" s="194" t="str">
        <f t="shared" si="13"/>
        <v/>
      </c>
      <c r="V201" s="194" t="str">
        <f t="shared" si="14"/>
        <v/>
      </c>
      <c r="W201" t="str">
        <f t="shared" si="15"/>
        <v/>
      </c>
      <c r="X201" s="194" t="str">
        <f t="shared" si="16"/>
        <v/>
      </c>
      <c r="Y201" s="194" t="str">
        <f t="shared" si="17"/>
        <v/>
      </c>
      <c r="Z201" s="245" t="str">
        <f>IF(ISNUMBER(SEARCH("C", 'Dry_Litterbag Placem_Collection'!$T128)),"YES","NO")</f>
        <v>NO</v>
      </c>
      <c r="AA201" s="245" t="str">
        <f>IF(ISNUMBER(SEARCH("H", 'Dry_Litterbag Placem_Collection'!$T128)),"YES","NO")</f>
        <v>NO</v>
      </c>
      <c r="AB201" s="245" t="str">
        <f>IF(ISNUMBER(SEARCH("R", 'Dry_Litterbag Placem_Collection'!$T128)),"YES","NO")</f>
        <v>NO</v>
      </c>
      <c r="AC201" s="245" t="str">
        <f>IF(ISNUMBER(SEARCH("C", 'Dry_Litterbag Placem_Collection'!$S128)),"YES","NO")</f>
        <v>NO</v>
      </c>
      <c r="AD201" s="245" t="str">
        <f>IF(ISNUMBER(SEARCH("H", 'Dry_Litterbag Placem_Collection'!$S128)),"YES","NO")</f>
        <v>NO</v>
      </c>
      <c r="AE201" s="245" t="str">
        <f>IF(ISNUMBER(SEARCH("R", 'Dry_Litterbag Placem_Collection'!$S128)),"YES","NO")</f>
        <v>NO</v>
      </c>
    </row>
    <row r="202" spans="2:31">
      <c r="B202" t="str">
        <f>Dryseason!B128</f>
        <v>Dry</v>
      </c>
      <c r="C202" s="253">
        <f>Dryseason!C128</f>
        <v>127</v>
      </c>
      <c r="D202" t="s">
        <v>3120</v>
      </c>
      <c r="E202" t="s">
        <v>22</v>
      </c>
      <c r="F202" s="375">
        <v>7</v>
      </c>
      <c r="G202" s="16">
        <f>IF('Dry_Litterbag Placem_Collection'!E129="","",'Dry_Litterbag Placem_Collection'!E129)</f>
        <v>42939</v>
      </c>
      <c r="H202" t="str">
        <f>Dryseason!L128</f>
        <v>G318</v>
      </c>
      <c r="I202" t="str">
        <f>Dryseason!L348</f>
        <v>R751</v>
      </c>
      <c r="J202">
        <f>IFERROR(INDEX('Green_rooibos initial weight'!$C$5:$C$2000,MATCH(H202, 'Green_rooibos initial weight'!$A$5:$A$2000,0)),"")</f>
        <v>1.929</v>
      </c>
      <c r="K202">
        <f>IFERROR(INDEX('Green_rooibos initial weight'!$C$5:$C$2000,MATCH(I202, 'Green_rooibos initial weight'!$A$5:$A$2000,0)),"")</f>
        <v>2.262</v>
      </c>
      <c r="L202" s="194">
        <f t="shared" si="10"/>
        <v>1.6792</v>
      </c>
      <c r="M202" s="233">
        <f>AVERAGE(Ashed_controlls!$K$1:$K$11)</f>
        <v>5.5147656768714146</v>
      </c>
      <c r="N202" s="194">
        <f t="shared" si="9"/>
        <v>2.0122</v>
      </c>
      <c r="O202" s="16">
        <f>IF('Dry_Litterbag Placem_Collection'!G129="","",'Dry_Litterbag Placem_Collection'!G129)</f>
        <v>43008</v>
      </c>
      <c r="P202" s="194">
        <f>IFERROR(INDEX('Both teabags AfterDry'!$D$3:$D$2000,MATCH(H202,'Both teabags AfterDry'!$A$3:$A$2000,0)),"")</f>
        <v>0.70609999999999995</v>
      </c>
      <c r="Q202" s="194">
        <f>IFERROR(INDEX('Both teabags AfterDry'!$D$3:$D$2000,MATCH(I202,'Both teabags AfterDry'!$A$3:$A$2000,0)),"")</f>
        <v>1.6394</v>
      </c>
      <c r="R202" s="194">
        <f t="shared" si="11"/>
        <v>0.55549999999999988</v>
      </c>
      <c r="S202" s="194">
        <f t="shared" si="11"/>
        <v>1.4887999999999999</v>
      </c>
      <c r="T202" s="194">
        <f t="shared" si="12"/>
        <v>0.66918770843258701</v>
      </c>
      <c r="U202" s="194">
        <f t="shared" si="13"/>
        <v>0.43870738130022335</v>
      </c>
      <c r="V202" s="194">
        <f t="shared" si="14"/>
        <v>0.73988669118377892</v>
      </c>
      <c r="W202">
        <f t="shared" si="15"/>
        <v>69</v>
      </c>
      <c r="X202" s="194">
        <f t="shared" si="16"/>
        <v>0.20524025126771139</v>
      </c>
      <c r="Y202" s="194">
        <f t="shared" si="17"/>
        <v>1.3024886294378013E-2</v>
      </c>
      <c r="Z202" s="245" t="str">
        <f>IF(ISNUMBER(SEARCH("C", 'Dry_Litterbag Placem_Collection'!$T129)),"YES","NO")</f>
        <v>NO</v>
      </c>
      <c r="AA202" s="245" t="str">
        <f>IF(ISNUMBER(SEARCH("H", 'Dry_Litterbag Placem_Collection'!$T129)),"YES","NO")</f>
        <v>NO</v>
      </c>
      <c r="AB202" s="245" t="str">
        <f>IF(ISNUMBER(SEARCH("R", 'Dry_Litterbag Placem_Collection'!$T129)),"YES","NO")</f>
        <v>NO</v>
      </c>
      <c r="AC202" s="245" t="str">
        <f>IF(ISNUMBER(SEARCH("C", 'Dry_Litterbag Placem_Collection'!$S129)),"YES","NO")</f>
        <v>NO</v>
      </c>
      <c r="AD202" s="245" t="str">
        <f>IF(ISNUMBER(SEARCH("H", 'Dry_Litterbag Placem_Collection'!$S129)),"YES","NO")</f>
        <v>NO</v>
      </c>
      <c r="AE202" s="245" t="str">
        <f>IF(ISNUMBER(SEARCH("R", 'Dry_Litterbag Placem_Collection'!$S129)),"YES","NO")</f>
        <v>YES</v>
      </c>
    </row>
    <row r="203" spans="2:31">
      <c r="B203" t="str">
        <f>Dryseason!B129</f>
        <v>Dry</v>
      </c>
      <c r="C203" s="253">
        <f>Dryseason!C129</f>
        <v>128</v>
      </c>
      <c r="D203" t="s">
        <v>3120</v>
      </c>
      <c r="E203" t="s">
        <v>22</v>
      </c>
      <c r="F203" s="375">
        <v>8</v>
      </c>
      <c r="G203" s="16">
        <f>IF('Dry_Litterbag Placem_Collection'!E130="","",'Dry_Litterbag Placem_Collection'!E130)</f>
        <v>42939</v>
      </c>
      <c r="H203" t="str">
        <f>Dryseason!L129</f>
        <v>G34</v>
      </c>
      <c r="I203" t="str">
        <f>Dryseason!L349</f>
        <v>R819</v>
      </c>
      <c r="J203">
        <f>IFERROR(INDEX('Green_rooibos initial weight'!$C$5:$C$2000,MATCH(H203, 'Green_rooibos initial weight'!$A$5:$A$2000,0)),"")</f>
        <v>2.133</v>
      </c>
      <c r="K203">
        <f>IFERROR(INDEX('Green_rooibos initial weight'!$C$5:$C$2000,MATCH(I203, 'Green_rooibos initial weight'!$A$5:$A$2000,0)),"")</f>
        <v>2.16</v>
      </c>
      <c r="L203" s="194">
        <f t="shared" si="10"/>
        <v>1.8832</v>
      </c>
      <c r="M203" s="233">
        <f>AVERAGE(Ashed_controlls!$K$1:$K$11)</f>
        <v>5.5147656768714146</v>
      </c>
      <c r="N203" s="194">
        <f t="shared" si="9"/>
        <v>1.9102000000000001</v>
      </c>
      <c r="O203" s="16">
        <f>IF('Dry_Litterbag Placem_Collection'!G130="","",'Dry_Litterbag Placem_Collection'!G130)</f>
        <v>43008</v>
      </c>
      <c r="P203" s="194">
        <f>IFERROR(INDEX('Both teabags AfterDry'!$D$3:$D$2000,MATCH(H203,'Both teabags AfterDry'!$A$3:$A$2000,0)),"")</f>
        <v>0.92579999999999996</v>
      </c>
      <c r="Q203" s="194">
        <f>IFERROR(INDEX('Both teabags AfterDry'!$D$3:$D$2000,MATCH(I203,'Both teabags AfterDry'!$A$3:$A$2000,0)),"")</f>
        <v>2.8028</v>
      </c>
      <c r="R203" s="194">
        <f t="shared" si="11"/>
        <v>0.77519999999999989</v>
      </c>
      <c r="S203" s="194">
        <f t="shared" si="11"/>
        <v>2.6522000000000001</v>
      </c>
      <c r="T203" s="194">
        <f t="shared" si="12"/>
        <v>0.58836023789294822</v>
      </c>
      <c r="U203" s="194">
        <f t="shared" si="13"/>
        <v>0.38571835073266919</v>
      </c>
      <c r="V203" s="194">
        <f t="shared" si="14"/>
        <v>1.3884410009423096</v>
      </c>
      <c r="W203">
        <f t="shared" si="15"/>
        <v>69</v>
      </c>
      <c r="X203" s="194">
        <f t="shared" si="16"/>
        <v>0.30123487186110665</v>
      </c>
      <c r="Y203" s="194">
        <f t="shared" si="17"/>
        <v>-1.0096670888378331E-2</v>
      </c>
      <c r="Z203" s="245" t="str">
        <f>IF(ISNUMBER(SEARCH("C", 'Dry_Litterbag Placem_Collection'!$T130)),"YES","NO")</f>
        <v>YES</v>
      </c>
      <c r="AA203" s="245" t="str">
        <f>IF(ISNUMBER(SEARCH("H", 'Dry_Litterbag Placem_Collection'!$T130)),"YES","NO")</f>
        <v>YES</v>
      </c>
      <c r="AB203" s="245" t="str">
        <f>IF(ISNUMBER(SEARCH("R", 'Dry_Litterbag Placem_Collection'!$T130)),"YES","NO")</f>
        <v>NO</v>
      </c>
      <c r="AC203" s="245" t="str">
        <f>IF(ISNUMBER(SEARCH("C", 'Dry_Litterbag Placem_Collection'!$S130)),"YES","NO")</f>
        <v>NO</v>
      </c>
      <c r="AD203" s="245" t="str">
        <f>IF(ISNUMBER(SEARCH("H", 'Dry_Litterbag Placem_Collection'!$S130)),"YES","NO")</f>
        <v>NO</v>
      </c>
      <c r="AE203" s="245" t="str">
        <f>IF(ISNUMBER(SEARCH("R", 'Dry_Litterbag Placem_Collection'!$S130)),"YES","NO")</f>
        <v>NO</v>
      </c>
    </row>
    <row r="204" spans="2:31">
      <c r="B204" t="str">
        <f>Dryseason!B130</f>
        <v>Dry</v>
      </c>
      <c r="C204" s="253">
        <f>Dryseason!C130</f>
        <v>129</v>
      </c>
      <c r="D204" t="s">
        <v>3121</v>
      </c>
      <c r="E204" t="s">
        <v>22</v>
      </c>
      <c r="F204" s="374">
        <v>1</v>
      </c>
      <c r="G204" s="16">
        <f>IF('Dry_Litterbag Placem_Collection'!E131="","",'Dry_Litterbag Placem_Collection'!E131)</f>
        <v>42939</v>
      </c>
      <c r="H204" t="str">
        <f>Dryseason!L130</f>
        <v>G80</v>
      </c>
      <c r="I204" t="str">
        <f>Dryseason!L350</f>
        <v>R768</v>
      </c>
      <c r="J204">
        <f>IFERROR(INDEX('Green_rooibos initial weight'!$C$5:$C$2000,MATCH(H204, 'Green_rooibos initial weight'!$A$5:$A$2000,0)),"")</f>
        <v>2.0259999999999998</v>
      </c>
      <c r="K204">
        <f>IFERROR(INDEX('Green_rooibos initial weight'!$C$5:$C$2000,MATCH(I204, 'Green_rooibos initial weight'!$A$5:$A$2000,0)),"")</f>
        <v>2.2120000000000002</v>
      </c>
      <c r="L204" s="194">
        <f t="shared" si="10"/>
        <v>1.7761999999999998</v>
      </c>
      <c r="M204" s="233">
        <f>AVERAGE(Ashed_controlls!$K$1:$K$11)</f>
        <v>5.5147656768714146</v>
      </c>
      <c r="N204" s="194">
        <f t="shared" ref="N204:N267" si="18">IFERROR(IF(K204&gt;0,(K204*$F$32-($F$29+$F$30)),""),"")</f>
        <v>1.9622000000000002</v>
      </c>
      <c r="O204" s="16">
        <f>IF('Dry_Litterbag Placem_Collection'!G131="","",'Dry_Litterbag Placem_Collection'!G131)</f>
        <v>43008</v>
      </c>
      <c r="P204" s="194">
        <f>IFERROR(INDEX('Both teabags AfterDry'!$D$3:$D$2000,MATCH(H204,'Both teabags AfterDry'!$A$3:$A$2000,0)),"")</f>
        <v>0.72970000000000002</v>
      </c>
      <c r="Q204" s="194">
        <f>IFERROR(INDEX('Both teabags AfterDry'!$D$3:$D$2000,MATCH(I204,'Both teabags AfterDry'!$A$3:$A$2000,0)),"")</f>
        <v>0.67179999999999995</v>
      </c>
      <c r="R204" s="194">
        <f t="shared" si="11"/>
        <v>0.57909999999999995</v>
      </c>
      <c r="S204" s="194">
        <f t="shared" si="11"/>
        <v>0.52119999999999989</v>
      </c>
      <c r="T204" s="194">
        <f t="shared" si="12"/>
        <v>0.67396689561986256</v>
      </c>
      <c r="U204" s="194">
        <f t="shared" si="13"/>
        <v>0.44184053014508812</v>
      </c>
      <c r="V204" s="194">
        <f t="shared" si="14"/>
        <v>0.26562022219957182</v>
      </c>
      <c r="W204">
        <f t="shared" si="15"/>
        <v>69</v>
      </c>
      <c r="X204" s="194">
        <f t="shared" si="16"/>
        <v>0.19956425698353608</v>
      </c>
      <c r="Y204" s="194" t="str">
        <f t="shared" si="17"/>
        <v/>
      </c>
      <c r="Z204" s="245" t="str">
        <f>IF(ISNUMBER(SEARCH("C", 'Dry_Litterbag Placem_Collection'!$T131)),"YES","NO")</f>
        <v>YES</v>
      </c>
      <c r="AA204" s="245" t="str">
        <f>IF(ISNUMBER(SEARCH("H", 'Dry_Litterbag Placem_Collection'!$T131)),"YES","NO")</f>
        <v>YES</v>
      </c>
      <c r="AB204" s="245" t="str">
        <f>IF(ISNUMBER(SEARCH("R", 'Dry_Litterbag Placem_Collection'!$T131)),"YES","NO")</f>
        <v>NO</v>
      </c>
      <c r="AC204" s="245" t="str">
        <f>IF(ISNUMBER(SEARCH("C", 'Dry_Litterbag Placem_Collection'!$S131)),"YES","NO")</f>
        <v>YES</v>
      </c>
      <c r="AD204" s="245" t="str">
        <f>IF(ISNUMBER(SEARCH("H", 'Dry_Litterbag Placem_Collection'!$S131)),"YES","NO")</f>
        <v>YES</v>
      </c>
      <c r="AE204" s="245" t="str">
        <f>IF(ISNUMBER(SEARCH("R", 'Dry_Litterbag Placem_Collection'!$S131)),"YES","NO")</f>
        <v>NO</v>
      </c>
    </row>
    <row r="205" spans="2:31">
      <c r="B205" t="str">
        <f>Dryseason!B131</f>
        <v>Dry</v>
      </c>
      <c r="C205" s="253">
        <f>Dryseason!C131</f>
        <v>130</v>
      </c>
      <c r="D205" t="s">
        <v>3121</v>
      </c>
      <c r="E205" t="s">
        <v>22</v>
      </c>
      <c r="F205" s="374">
        <v>2</v>
      </c>
      <c r="G205" s="16">
        <f>IF('Dry_Litterbag Placem_Collection'!E132="","",'Dry_Litterbag Placem_Collection'!E132)</f>
        <v>42939</v>
      </c>
      <c r="H205" t="str">
        <f>Dryseason!L131</f>
        <v>G64</v>
      </c>
      <c r="I205" t="str">
        <f>Dryseason!L351</f>
        <v>R789</v>
      </c>
      <c r="J205">
        <f>IFERROR(INDEX('Green_rooibos initial weight'!$C$5:$C$2000,MATCH(H205, 'Green_rooibos initial weight'!$A$5:$A$2000,0)),"")</f>
        <v>2.0840000000000001</v>
      </c>
      <c r="K205">
        <f>IFERROR(INDEX('Green_rooibos initial weight'!$C$5:$C$2000,MATCH(I205, 'Green_rooibos initial weight'!$A$5:$A$2000,0)),"")</f>
        <v>2.2549999999999999</v>
      </c>
      <c r="L205" s="194">
        <f t="shared" ref="L205:L268" si="19">IFERROR(IF(J205&gt;0,(J205*$F$31-($F$29+$F$30)),""),"")</f>
        <v>1.8342000000000001</v>
      </c>
      <c r="M205" s="233">
        <f>AVERAGE(Ashed_controlls!$K$1:$K$11)</f>
        <v>5.5147656768714146</v>
      </c>
      <c r="N205" s="194">
        <f t="shared" si="18"/>
        <v>2.0051999999999999</v>
      </c>
      <c r="O205" s="16">
        <f>IF('Dry_Litterbag Placem_Collection'!G132="","",'Dry_Litterbag Placem_Collection'!G132)</f>
        <v>43008</v>
      </c>
      <c r="P205" s="194">
        <f>IFERROR(INDEX('Both teabags AfterDry'!$D$3:$D$2000,MATCH(H205,'Both teabags AfterDry'!$A$3:$A$2000,0)),"")</f>
        <v>0.83650000000000002</v>
      </c>
      <c r="Q205" s="194">
        <f>IFERROR(INDEX('Both teabags AfterDry'!$D$3:$D$2000,MATCH(I205,'Both teabags AfterDry'!$A$3:$A$2000,0)),"")</f>
        <v>2.4607999999999999</v>
      </c>
      <c r="R205" s="194">
        <f t="shared" ref="R205:S268" si="20">IFERROR(IF(P205&gt;0,P205-($F$29),""),"")</f>
        <v>0.68589999999999995</v>
      </c>
      <c r="S205" s="194">
        <f t="shared" si="20"/>
        <v>2.3102</v>
      </c>
      <c r="T205" s="194">
        <f t="shared" ref="T205:T268" si="21">IFERROR(1-R205/L205,"")</f>
        <v>0.62604950387089742</v>
      </c>
      <c r="U205" s="194">
        <f t="shared" ref="U205:U268" si="22">IFERROR($F$26*(1-X205),"")</f>
        <v>0.41042675313151472</v>
      </c>
      <c r="V205" s="194">
        <f t="shared" ref="V205:V268" si="23">IFERROR(S205/N205,"")</f>
        <v>1.1521045282266109</v>
      </c>
      <c r="W205">
        <f t="shared" ref="W205:W268" si="24">IFERROR(IF((O205-G205)&gt;0,(IFERROR(O205-G205,"")),""),"")</f>
        <v>69</v>
      </c>
      <c r="X205" s="194">
        <f t="shared" ref="X205:X268" si="25">IFERROR(1-(T205/$F$25),"")</f>
        <v>0.25647327331247338</v>
      </c>
      <c r="Y205" s="194">
        <f t="shared" ref="Y205:Y268" si="26">IFERROR(LN(U205/(V205-(1-U205)))/W205,"")</f>
        <v>-4.5688299153833732E-3</v>
      </c>
      <c r="Z205" s="245" t="str">
        <f>IF(ISNUMBER(SEARCH("C", 'Dry_Litterbag Placem_Collection'!$T132)),"YES","NO")</f>
        <v>YES</v>
      </c>
      <c r="AA205" s="245" t="str">
        <f>IF(ISNUMBER(SEARCH("H", 'Dry_Litterbag Placem_Collection'!$T132)),"YES","NO")</f>
        <v>YES</v>
      </c>
      <c r="AB205" s="245" t="str">
        <f>IF(ISNUMBER(SEARCH("R", 'Dry_Litterbag Placem_Collection'!$T132)),"YES","NO")</f>
        <v>NO</v>
      </c>
      <c r="AC205" s="245" t="str">
        <f>IF(ISNUMBER(SEARCH("C", 'Dry_Litterbag Placem_Collection'!$S132)),"YES","NO")</f>
        <v>YES</v>
      </c>
      <c r="AD205" s="245" t="str">
        <f>IF(ISNUMBER(SEARCH("H", 'Dry_Litterbag Placem_Collection'!$S132)),"YES","NO")</f>
        <v>NO</v>
      </c>
      <c r="AE205" s="245" t="str">
        <f>IF(ISNUMBER(SEARCH("R", 'Dry_Litterbag Placem_Collection'!$S132)),"YES","NO")</f>
        <v>NO</v>
      </c>
    </row>
    <row r="206" spans="2:31">
      <c r="B206" t="str">
        <f>Dryseason!B132</f>
        <v>Dry</v>
      </c>
      <c r="C206" s="253">
        <f>Dryseason!C132</f>
        <v>131</v>
      </c>
      <c r="D206" t="s">
        <v>3121</v>
      </c>
      <c r="E206" t="s">
        <v>22</v>
      </c>
      <c r="F206" s="374">
        <v>3</v>
      </c>
      <c r="G206" s="16">
        <f>IF('Dry_Litterbag Placem_Collection'!E133="","",'Dry_Litterbag Placem_Collection'!E133)</f>
        <v>42939</v>
      </c>
      <c r="H206" t="str">
        <f>Dryseason!L132</f>
        <v>G118</v>
      </c>
      <c r="I206" t="str">
        <f>Dryseason!L352</f>
        <v>R586</v>
      </c>
      <c r="J206">
        <f>IFERROR(INDEX('Green_rooibos initial weight'!$C$5:$C$2000,MATCH(H206, 'Green_rooibos initial weight'!$A$5:$A$2000,0)),"")</f>
        <v>2.0870000000000002</v>
      </c>
      <c r="K206">
        <f>IFERROR(INDEX('Green_rooibos initial weight'!$C$5:$C$2000,MATCH(I206, 'Green_rooibos initial weight'!$A$5:$A$2000,0)),"")</f>
        <v>2.1520000000000001</v>
      </c>
      <c r="L206" s="194">
        <f t="shared" si="19"/>
        <v>1.8372000000000002</v>
      </c>
      <c r="M206" s="233">
        <f>AVERAGE(Ashed_controlls!$K$1:$K$11)</f>
        <v>5.5147656768714146</v>
      </c>
      <c r="N206" s="194">
        <f t="shared" si="18"/>
        <v>1.9022000000000001</v>
      </c>
      <c r="O206" s="16">
        <f>IF('Dry_Litterbag Placem_Collection'!G133="","",'Dry_Litterbag Placem_Collection'!G133)</f>
        <v>43008</v>
      </c>
      <c r="P206" s="194">
        <f>IFERROR(INDEX('Both teabags AfterDry'!$D$3:$D$2000,MATCH(H206,'Both teabags AfterDry'!$A$3:$A$2000,0)),"")</f>
        <v>0.87509999999999999</v>
      </c>
      <c r="Q206" s="194">
        <f>IFERROR(INDEX('Both teabags AfterDry'!$D$3:$D$2000,MATCH(I206,'Both teabags AfterDry'!$A$3:$A$2000,0)),"")</f>
        <v>2.2069000000000001</v>
      </c>
      <c r="R206" s="194">
        <f t="shared" si="20"/>
        <v>0.72449999999999992</v>
      </c>
      <c r="S206" s="194">
        <f t="shared" si="20"/>
        <v>2.0563000000000002</v>
      </c>
      <c r="T206" s="194">
        <f t="shared" si="21"/>
        <v>0.6056499020248205</v>
      </c>
      <c r="U206" s="194">
        <f t="shared" si="22"/>
        <v>0.39705314242007239</v>
      </c>
      <c r="V206" s="194">
        <f t="shared" si="23"/>
        <v>1.0810114604142573</v>
      </c>
      <c r="W206">
        <f t="shared" si="24"/>
        <v>69</v>
      </c>
      <c r="X206" s="194">
        <f t="shared" si="25"/>
        <v>0.28070082894914428</v>
      </c>
      <c r="Y206" s="194">
        <f t="shared" si="26"/>
        <v>-2.6909528116427417E-3</v>
      </c>
      <c r="Z206" s="245" t="str">
        <f>IF(ISNUMBER(SEARCH("C", 'Dry_Litterbag Placem_Collection'!$T133)),"YES","NO")</f>
        <v>YES</v>
      </c>
      <c r="AA206" s="245" t="str">
        <f>IF(ISNUMBER(SEARCH("H", 'Dry_Litterbag Placem_Collection'!$T133)),"YES","NO")</f>
        <v>YES</v>
      </c>
      <c r="AB206" s="245" t="str">
        <f>IF(ISNUMBER(SEARCH("R", 'Dry_Litterbag Placem_Collection'!$T133)),"YES","NO")</f>
        <v>NO</v>
      </c>
      <c r="AC206" s="245" t="str">
        <f>IF(ISNUMBER(SEARCH("C", 'Dry_Litterbag Placem_Collection'!$S133)),"YES","NO")</f>
        <v>YES</v>
      </c>
      <c r="AD206" s="245" t="str">
        <f>IF(ISNUMBER(SEARCH("H", 'Dry_Litterbag Placem_Collection'!$S133)),"YES","NO")</f>
        <v>NO</v>
      </c>
      <c r="AE206" s="245" t="str">
        <f>IF(ISNUMBER(SEARCH("R", 'Dry_Litterbag Placem_Collection'!$S133)),"YES","NO")</f>
        <v>NO</v>
      </c>
    </row>
    <row r="207" spans="2:31">
      <c r="B207" t="str">
        <f>Dryseason!B133</f>
        <v>Dry</v>
      </c>
      <c r="C207" s="253">
        <f>Dryseason!C133</f>
        <v>132</v>
      </c>
      <c r="D207" t="s">
        <v>3121</v>
      </c>
      <c r="E207" t="s">
        <v>22</v>
      </c>
      <c r="F207" s="375">
        <v>4</v>
      </c>
      <c r="G207" s="16" t="str">
        <f>IF('Dry_Litterbag Placem_Collection'!E134="","",'Dry_Litterbag Placem_Collection'!E134)</f>
        <v/>
      </c>
      <c r="H207" t="str">
        <f>Dryseason!L133</f>
        <v/>
      </c>
      <c r="I207" t="str">
        <f>Dryseason!L353</f>
        <v/>
      </c>
      <c r="J207" t="str">
        <f>IFERROR(INDEX('Green_rooibos initial weight'!$C$5:$C$2000,MATCH(H207, 'Green_rooibos initial weight'!$A$5:$A$2000,0)),"")</f>
        <v/>
      </c>
      <c r="K207" t="str">
        <f>IFERROR(INDEX('Green_rooibos initial weight'!$C$5:$C$2000,MATCH(I207, 'Green_rooibos initial weight'!$A$5:$A$2000,0)),"")</f>
        <v/>
      </c>
      <c r="L207" s="194" t="str">
        <f t="shared" si="19"/>
        <v/>
      </c>
      <c r="M207" s="233">
        <f>AVERAGE(Ashed_controlls!$K$1:$K$11)</f>
        <v>5.5147656768714146</v>
      </c>
      <c r="N207" s="194" t="str">
        <f t="shared" si="18"/>
        <v/>
      </c>
      <c r="O207" s="16" t="str">
        <f>IF('Dry_Litterbag Placem_Collection'!G134="","",'Dry_Litterbag Placem_Collection'!G134)</f>
        <v/>
      </c>
      <c r="P207" s="194" t="str">
        <f>IFERROR(INDEX('Both teabags AfterDry'!$D$3:$D$2000,MATCH(H207,'Both teabags AfterDry'!$A$3:$A$2000,0)),"")</f>
        <v/>
      </c>
      <c r="Q207" s="194" t="str">
        <f>IFERROR(INDEX('Both teabags AfterDry'!$D$3:$D$2000,MATCH(I207,'Both teabags AfterDry'!$A$3:$A$2000,0)),"")</f>
        <v/>
      </c>
      <c r="R207" s="194" t="str">
        <f t="shared" si="20"/>
        <v/>
      </c>
      <c r="S207" s="194" t="str">
        <f t="shared" si="20"/>
        <v/>
      </c>
      <c r="T207" s="194" t="str">
        <f t="shared" si="21"/>
        <v/>
      </c>
      <c r="U207" s="194" t="str">
        <f t="shared" si="22"/>
        <v/>
      </c>
      <c r="V207" s="194" t="str">
        <f t="shared" si="23"/>
        <v/>
      </c>
      <c r="W207" t="str">
        <f t="shared" si="24"/>
        <v/>
      </c>
      <c r="X207" s="194" t="str">
        <f t="shared" si="25"/>
        <v/>
      </c>
      <c r="Y207" s="194" t="str">
        <f t="shared" si="26"/>
        <v/>
      </c>
      <c r="Z207" s="245" t="str">
        <f>IF(ISNUMBER(SEARCH("C", 'Dry_Litterbag Placem_Collection'!$T134)),"YES","NO")</f>
        <v>NO</v>
      </c>
      <c r="AA207" s="245" t="str">
        <f>IF(ISNUMBER(SEARCH("H", 'Dry_Litterbag Placem_Collection'!$T134)),"YES","NO")</f>
        <v>NO</v>
      </c>
      <c r="AB207" s="245" t="str">
        <f>IF(ISNUMBER(SEARCH("R", 'Dry_Litterbag Placem_Collection'!$T134)),"YES","NO")</f>
        <v>NO</v>
      </c>
      <c r="AC207" s="245" t="str">
        <f>IF(ISNUMBER(SEARCH("C", 'Dry_Litterbag Placem_Collection'!$S134)),"YES","NO")</f>
        <v>NO</v>
      </c>
      <c r="AD207" s="245" t="str">
        <f>IF(ISNUMBER(SEARCH("H", 'Dry_Litterbag Placem_Collection'!$S134)),"YES","NO")</f>
        <v>NO</v>
      </c>
      <c r="AE207" s="245" t="str">
        <f>IF(ISNUMBER(SEARCH("R", 'Dry_Litterbag Placem_Collection'!$S134)),"YES","NO")</f>
        <v>NO</v>
      </c>
    </row>
    <row r="208" spans="2:31">
      <c r="B208" t="str">
        <f>Dryseason!B134</f>
        <v>Dry</v>
      </c>
      <c r="C208" s="253">
        <f>Dryseason!C134</f>
        <v>133</v>
      </c>
      <c r="D208" t="s">
        <v>3121</v>
      </c>
      <c r="E208" t="s">
        <v>22</v>
      </c>
      <c r="F208" s="375">
        <v>5</v>
      </c>
      <c r="G208" s="16">
        <f>IF('Dry_Litterbag Placem_Collection'!E135="","",'Dry_Litterbag Placem_Collection'!E135)</f>
        <v>42939</v>
      </c>
      <c r="H208" t="str">
        <f>Dryseason!L134</f>
        <v>G270</v>
      </c>
      <c r="I208" t="str">
        <f>Dryseason!L354</f>
        <v>R817</v>
      </c>
      <c r="J208">
        <f>IFERROR(INDEX('Green_rooibos initial weight'!$C$5:$C$2000,MATCH(H208, 'Green_rooibos initial weight'!$A$5:$A$2000,0)),"")</f>
        <v>2.0139999999999998</v>
      </c>
      <c r="K208">
        <f>IFERROR(INDEX('Green_rooibos initial weight'!$C$5:$C$2000,MATCH(I208, 'Green_rooibos initial weight'!$A$5:$A$2000,0)),"")</f>
        <v>2.1749999999999998</v>
      </c>
      <c r="L208" s="194">
        <f t="shared" si="19"/>
        <v>1.7641999999999998</v>
      </c>
      <c r="M208" s="233">
        <f>AVERAGE(Ashed_controlls!$K$1:$K$11)</f>
        <v>5.5147656768714146</v>
      </c>
      <c r="N208" s="194">
        <f t="shared" si="18"/>
        <v>1.9251999999999998</v>
      </c>
      <c r="O208" s="16">
        <f>IF('Dry_Litterbag Placem_Collection'!G135="","",'Dry_Litterbag Placem_Collection'!G135)</f>
        <v>43008</v>
      </c>
      <c r="P208" s="194" t="str">
        <f>IFERROR(INDEX('Both teabags AfterDry'!$D$3:$D$2000,MATCH(H208,'Both teabags AfterDry'!$A$3:$A$2000,0)),"")</f>
        <v/>
      </c>
      <c r="Q208" s="194" t="str">
        <f>IFERROR(INDEX('Both teabags AfterDry'!$D$3:$D$2000,MATCH(I208,'Both teabags AfterDry'!$A$3:$A$2000,0)),"")</f>
        <v/>
      </c>
      <c r="R208" s="194" t="str">
        <f t="shared" si="20"/>
        <v/>
      </c>
      <c r="S208" s="194" t="str">
        <f t="shared" si="20"/>
        <v/>
      </c>
      <c r="T208" s="194" t="str">
        <f t="shared" si="21"/>
        <v/>
      </c>
      <c r="U208" s="194" t="str">
        <f t="shared" si="22"/>
        <v/>
      </c>
      <c r="V208" s="194" t="str">
        <f t="shared" si="23"/>
        <v/>
      </c>
      <c r="W208">
        <f t="shared" si="24"/>
        <v>69</v>
      </c>
      <c r="X208" s="194" t="str">
        <f t="shared" si="25"/>
        <v/>
      </c>
      <c r="Y208" s="194" t="str">
        <f t="shared" si="26"/>
        <v/>
      </c>
      <c r="Z208" s="245" t="str">
        <f>IF(ISNUMBER(SEARCH("C", 'Dry_Litterbag Placem_Collection'!$T135)),"YES","NO")</f>
        <v>YES</v>
      </c>
      <c r="AA208" s="245" t="str">
        <f>IF(ISNUMBER(SEARCH("H", 'Dry_Litterbag Placem_Collection'!$T135)),"YES","NO")</f>
        <v>NO</v>
      </c>
      <c r="AB208" s="245" t="str">
        <f>IF(ISNUMBER(SEARCH("R", 'Dry_Litterbag Placem_Collection'!$T135)),"YES","NO")</f>
        <v>NO</v>
      </c>
      <c r="AC208" s="245" t="str">
        <f>IF(ISNUMBER(SEARCH("C", 'Dry_Litterbag Placem_Collection'!$S135)),"YES","NO")</f>
        <v>YES</v>
      </c>
      <c r="AD208" s="245" t="str">
        <f>IF(ISNUMBER(SEARCH("H", 'Dry_Litterbag Placem_Collection'!$S135)),"YES","NO")</f>
        <v>NO</v>
      </c>
      <c r="AE208" s="245" t="str">
        <f>IF(ISNUMBER(SEARCH("R", 'Dry_Litterbag Placem_Collection'!$S135)),"YES","NO")</f>
        <v>NO</v>
      </c>
    </row>
    <row r="209" spans="2:31">
      <c r="B209" t="str">
        <f>Dryseason!B135</f>
        <v>Dry</v>
      </c>
      <c r="C209" s="253">
        <f>Dryseason!C135</f>
        <v>134</v>
      </c>
      <c r="D209" t="s">
        <v>3121</v>
      </c>
      <c r="E209" t="s">
        <v>22</v>
      </c>
      <c r="F209" s="375">
        <v>6</v>
      </c>
      <c r="G209" s="16">
        <f>IF('Dry_Litterbag Placem_Collection'!E136="","",'Dry_Litterbag Placem_Collection'!E136)</f>
        <v>42939</v>
      </c>
      <c r="H209" t="str">
        <f>Dryseason!L135</f>
        <v>G316</v>
      </c>
      <c r="I209" t="str">
        <f>Dryseason!L355</f>
        <v>R837</v>
      </c>
      <c r="J209">
        <f>IFERROR(INDEX('Green_rooibos initial weight'!$C$5:$C$2000,MATCH(H209, 'Green_rooibos initial weight'!$A$5:$A$2000,0)),"")</f>
        <v>2.0579999999999998</v>
      </c>
      <c r="K209">
        <f>IFERROR(INDEX('Green_rooibos initial weight'!$C$5:$C$2000,MATCH(I209, 'Green_rooibos initial weight'!$A$5:$A$2000,0)),"")</f>
        <v>2.1909999999999998</v>
      </c>
      <c r="L209" s="194">
        <f t="shared" si="19"/>
        <v>1.8081999999999998</v>
      </c>
      <c r="M209" s="233">
        <f>AVERAGE(Ashed_controlls!$K$1:$K$11)</f>
        <v>5.5147656768714146</v>
      </c>
      <c r="N209" s="194">
        <f t="shared" si="18"/>
        <v>1.9411999999999998</v>
      </c>
      <c r="O209" s="16">
        <f>IF('Dry_Litterbag Placem_Collection'!G136="","",'Dry_Litterbag Placem_Collection'!G136)</f>
        <v>43008</v>
      </c>
      <c r="P209" s="194">
        <f>IFERROR(INDEX('Both teabags AfterDry'!$D$3:$D$2000,MATCH(H209,'Both teabags AfterDry'!$A$3:$A$2000,0)),"")</f>
        <v>0.6512</v>
      </c>
      <c r="Q209" s="194">
        <f>IFERROR(INDEX('Both teabags AfterDry'!$D$3:$D$2000,MATCH(I209,'Both teabags AfterDry'!$A$3:$A$2000,0)),"")</f>
        <v>1.7436</v>
      </c>
      <c r="R209" s="194">
        <f t="shared" si="20"/>
        <v>0.50059999999999993</v>
      </c>
      <c r="S209" s="194">
        <f t="shared" si="20"/>
        <v>1.593</v>
      </c>
      <c r="T209" s="194">
        <f t="shared" si="21"/>
        <v>0.7231500940161486</v>
      </c>
      <c r="U209" s="194">
        <f t="shared" si="22"/>
        <v>0.47408414714597868</v>
      </c>
      <c r="V209" s="194">
        <f t="shared" si="23"/>
        <v>0.82062641664949521</v>
      </c>
      <c r="W209">
        <f t="shared" si="24"/>
        <v>69</v>
      </c>
      <c r="X209" s="194">
        <f t="shared" si="25"/>
        <v>0.14115190734424155</v>
      </c>
      <c r="Y209" s="194">
        <f t="shared" si="26"/>
        <v>6.8897260367076175E-3</v>
      </c>
      <c r="Z209" s="245" t="str">
        <f>IF(ISNUMBER(SEARCH("C", 'Dry_Litterbag Placem_Collection'!$T136)),"YES","NO")</f>
        <v>YES</v>
      </c>
      <c r="AA209" s="245" t="str">
        <f>IF(ISNUMBER(SEARCH("H", 'Dry_Litterbag Placem_Collection'!$T136)),"YES","NO")</f>
        <v>NO</v>
      </c>
      <c r="AB209" s="245" t="str">
        <f>IF(ISNUMBER(SEARCH("R", 'Dry_Litterbag Placem_Collection'!$T136)),"YES","NO")</f>
        <v>NO</v>
      </c>
      <c r="AC209" s="245" t="str">
        <f>IF(ISNUMBER(SEARCH("C", 'Dry_Litterbag Placem_Collection'!$S136)),"YES","NO")</f>
        <v>NO</v>
      </c>
      <c r="AD209" s="245" t="str">
        <f>IF(ISNUMBER(SEARCH("H", 'Dry_Litterbag Placem_Collection'!$S136)),"YES","NO")</f>
        <v>NO</v>
      </c>
      <c r="AE209" s="245" t="str">
        <f>IF(ISNUMBER(SEARCH("R", 'Dry_Litterbag Placem_Collection'!$S136)),"YES","NO")</f>
        <v>YES</v>
      </c>
    </row>
    <row r="210" spans="2:31">
      <c r="B210" t="str">
        <f>Dryseason!B136</f>
        <v>Dry</v>
      </c>
      <c r="C210" s="253">
        <f>Dryseason!C136</f>
        <v>135</v>
      </c>
      <c r="D210" t="s">
        <v>3121</v>
      </c>
      <c r="E210" t="s">
        <v>22</v>
      </c>
      <c r="F210" s="375">
        <v>7</v>
      </c>
      <c r="G210" s="16">
        <f>IF('Dry_Litterbag Placem_Collection'!E137="","",'Dry_Litterbag Placem_Collection'!E137)</f>
        <v>42939</v>
      </c>
      <c r="H210" t="str">
        <f>Dryseason!L136</f>
        <v>G77</v>
      </c>
      <c r="I210" t="str">
        <f>Dryseason!L356</f>
        <v>R756</v>
      </c>
      <c r="J210">
        <f>IFERROR(INDEX('Green_rooibos initial weight'!$C$5:$C$2000,MATCH(H210, 'Green_rooibos initial weight'!$A$5:$A$2000,0)),"")</f>
        <v>2.0190000000000001</v>
      </c>
      <c r="K210">
        <f>IFERROR(INDEX('Green_rooibos initial weight'!$C$5:$C$2000,MATCH(I210, 'Green_rooibos initial weight'!$A$5:$A$2000,0)),"")</f>
        <v>2.2690000000000001</v>
      </c>
      <c r="L210" s="194">
        <f t="shared" si="19"/>
        <v>1.7692000000000001</v>
      </c>
      <c r="M210" s="233">
        <f>AVERAGE(Ashed_controlls!$K$1:$K$11)</f>
        <v>5.5147656768714146</v>
      </c>
      <c r="N210" s="194">
        <f t="shared" si="18"/>
        <v>2.0192000000000001</v>
      </c>
      <c r="O210" s="16">
        <f>IF('Dry_Litterbag Placem_Collection'!G137="","",'Dry_Litterbag Placem_Collection'!G137)</f>
        <v>43008</v>
      </c>
      <c r="P210" s="194">
        <f>IFERROR(INDEX('Both teabags AfterDry'!$D$3:$D$2000,MATCH(H210,'Both teabags AfterDry'!$A$3:$A$2000,0)),"")</f>
        <v>0.94330000000000003</v>
      </c>
      <c r="Q210" s="194">
        <f>IFERROR(INDEX('Both teabags AfterDry'!$D$3:$D$2000,MATCH(I210,'Both teabags AfterDry'!$A$3:$A$2000,0)),"")</f>
        <v>2.0406</v>
      </c>
      <c r="R210" s="194">
        <f t="shared" si="20"/>
        <v>0.79269999999999996</v>
      </c>
      <c r="S210" s="194">
        <f t="shared" si="20"/>
        <v>1.89</v>
      </c>
      <c r="T210" s="194">
        <f t="shared" si="21"/>
        <v>0.5519443816414199</v>
      </c>
      <c r="U210" s="194">
        <f t="shared" si="22"/>
        <v>0.36184477276254612</v>
      </c>
      <c r="V210" s="194">
        <f t="shared" si="23"/>
        <v>0.93601426307448488</v>
      </c>
      <c r="W210">
        <f t="shared" si="24"/>
        <v>69</v>
      </c>
      <c r="X210" s="194">
        <f t="shared" si="25"/>
        <v>0.34448410731422807</v>
      </c>
      <c r="Y210" s="194">
        <f t="shared" si="26"/>
        <v>2.8202170268682995E-3</v>
      </c>
      <c r="Z210" s="245" t="str">
        <f>IF(ISNUMBER(SEARCH("C", 'Dry_Litterbag Placem_Collection'!$T137)),"YES","NO")</f>
        <v>YES</v>
      </c>
      <c r="AA210" s="245" t="str">
        <f>IF(ISNUMBER(SEARCH("H", 'Dry_Litterbag Placem_Collection'!$T137)),"YES","NO")</f>
        <v>YES</v>
      </c>
      <c r="AB210" s="245" t="str">
        <f>IF(ISNUMBER(SEARCH("R", 'Dry_Litterbag Placem_Collection'!$T137)),"YES","NO")</f>
        <v>NO</v>
      </c>
      <c r="AC210" s="245" t="str">
        <f>IF(ISNUMBER(SEARCH("C", 'Dry_Litterbag Placem_Collection'!$S137)),"YES","NO")</f>
        <v>YES</v>
      </c>
      <c r="AD210" s="245" t="str">
        <f>IF(ISNUMBER(SEARCH("H", 'Dry_Litterbag Placem_Collection'!$S137)),"YES","NO")</f>
        <v>YES</v>
      </c>
      <c r="AE210" s="245" t="str">
        <f>IF(ISNUMBER(SEARCH("R", 'Dry_Litterbag Placem_Collection'!$S137)),"YES","NO")</f>
        <v>NO</v>
      </c>
    </row>
    <row r="211" spans="2:31">
      <c r="B211" t="str">
        <f>Dryseason!B137</f>
        <v>Dry</v>
      </c>
      <c r="C211" s="253">
        <f>Dryseason!C137</f>
        <v>136</v>
      </c>
      <c r="D211" t="s">
        <v>3121</v>
      </c>
      <c r="E211" t="s">
        <v>22</v>
      </c>
      <c r="F211" s="375">
        <v>8</v>
      </c>
      <c r="G211" s="16">
        <f>IF('Dry_Litterbag Placem_Collection'!E138="","",'Dry_Litterbag Placem_Collection'!E138)</f>
        <v>42939</v>
      </c>
      <c r="H211" t="str">
        <f>Dryseason!L137</f>
        <v>G332</v>
      </c>
      <c r="I211" t="str">
        <f>Dryseason!L357</f>
        <v>R184</v>
      </c>
      <c r="J211">
        <f>IFERROR(INDEX('Green_rooibos initial weight'!$C$5:$C$2000,MATCH(H211, 'Green_rooibos initial weight'!$A$5:$A$2000,0)),"")</f>
        <v>2.121</v>
      </c>
      <c r="K211">
        <f>IFERROR(INDEX('Green_rooibos initial weight'!$C$5:$C$2000,MATCH(I211, 'Green_rooibos initial weight'!$A$5:$A$2000,0)),"")</f>
        <v>2.202</v>
      </c>
      <c r="L211" s="194">
        <f t="shared" si="19"/>
        <v>1.8712</v>
      </c>
      <c r="M211" s="233">
        <f>AVERAGE(Ashed_controlls!$K$1:$K$11)</f>
        <v>5.5147656768714146</v>
      </c>
      <c r="N211" s="194">
        <f t="shared" si="18"/>
        <v>1.9521999999999999</v>
      </c>
      <c r="O211" s="16">
        <f>IF('Dry_Litterbag Placem_Collection'!G138="","",'Dry_Litterbag Placem_Collection'!G138)</f>
        <v>43008</v>
      </c>
      <c r="P211" s="194">
        <f>IFERROR(INDEX('Both teabags AfterDry'!$D$3:$D$2000,MATCH(H211,'Both teabags AfterDry'!$A$3:$A$2000,0)),"")</f>
        <v>0.98260000000000003</v>
      </c>
      <c r="Q211" s="194">
        <f>IFERROR(INDEX('Both teabags AfterDry'!$D$3:$D$2000,MATCH(I211,'Both teabags AfterDry'!$A$3:$A$2000,0)),"")</f>
        <v>1.7850999999999999</v>
      </c>
      <c r="R211" s="194">
        <f t="shared" si="20"/>
        <v>0.83200000000000007</v>
      </c>
      <c r="S211" s="194">
        <f t="shared" si="20"/>
        <v>1.6344999999999998</v>
      </c>
      <c r="T211" s="194">
        <f t="shared" si="21"/>
        <v>0.55536554082941425</v>
      </c>
      <c r="U211" s="194">
        <f t="shared" si="22"/>
        <v>0.36408762296655189</v>
      </c>
      <c r="V211" s="194">
        <f t="shared" si="23"/>
        <v>0.83726052658539074</v>
      </c>
      <c r="W211">
        <f t="shared" si="24"/>
        <v>69</v>
      </c>
      <c r="X211" s="194">
        <f t="shared" si="25"/>
        <v>0.34042097288668138</v>
      </c>
      <c r="Y211" s="194">
        <f t="shared" si="26"/>
        <v>8.5849139718041541E-3</v>
      </c>
      <c r="Z211" s="245" t="str">
        <f>IF(ISNUMBER(SEARCH("C", 'Dry_Litterbag Placem_Collection'!$T138)),"YES","NO")</f>
        <v>NO</v>
      </c>
      <c r="AA211" s="245" t="str">
        <f>IF(ISNUMBER(SEARCH("H", 'Dry_Litterbag Placem_Collection'!$T138)),"YES","NO")</f>
        <v>NO</v>
      </c>
      <c r="AB211" s="245" t="str">
        <f>IF(ISNUMBER(SEARCH("R", 'Dry_Litterbag Placem_Collection'!$T138)),"YES","NO")</f>
        <v>NO</v>
      </c>
      <c r="AC211" s="245" t="str">
        <f>IF(ISNUMBER(SEARCH("C", 'Dry_Litterbag Placem_Collection'!$S138)),"YES","NO")</f>
        <v>YES</v>
      </c>
      <c r="AD211" s="245" t="str">
        <f>IF(ISNUMBER(SEARCH("H", 'Dry_Litterbag Placem_Collection'!$S138)),"YES","NO")</f>
        <v>NO</v>
      </c>
      <c r="AE211" s="245" t="str">
        <f>IF(ISNUMBER(SEARCH("R", 'Dry_Litterbag Placem_Collection'!$S138)),"YES","NO")</f>
        <v>NO</v>
      </c>
    </row>
    <row r="212" spans="2:31">
      <c r="B212" t="str">
        <f>Dryseason!B138</f>
        <v>Dry</v>
      </c>
      <c r="C212" s="253">
        <f>Dryseason!C138</f>
        <v>137</v>
      </c>
      <c r="D212" t="s">
        <v>3123</v>
      </c>
      <c r="E212" t="s">
        <v>22</v>
      </c>
      <c r="F212" s="374">
        <v>1</v>
      </c>
      <c r="G212" s="16">
        <f>IF('Dry_Litterbag Placem_Collection'!E139="","",'Dry_Litterbag Placem_Collection'!E139)</f>
        <v>42939</v>
      </c>
      <c r="H212" t="str">
        <f>Dryseason!L138</f>
        <v>G30</v>
      </c>
      <c r="I212" t="str">
        <f>Dryseason!L358</f>
        <v>R746</v>
      </c>
      <c r="J212">
        <f>IFERROR(INDEX('Green_rooibos initial weight'!$C$5:$C$2000,MATCH(H212, 'Green_rooibos initial weight'!$A$5:$A$2000,0)),"")</f>
        <v>2.0680000000000001</v>
      </c>
      <c r="K212">
        <f>IFERROR(INDEX('Green_rooibos initial weight'!$C$5:$C$2000,MATCH(I212, 'Green_rooibos initial weight'!$A$5:$A$2000,0)),"")</f>
        <v>2.2290000000000001</v>
      </c>
      <c r="L212" s="194">
        <f t="shared" si="19"/>
        <v>1.8182</v>
      </c>
      <c r="M212" s="233">
        <f>AVERAGE(Ashed_controlls!$K$1:$K$11)</f>
        <v>5.5147656768714146</v>
      </c>
      <c r="N212" s="194">
        <f t="shared" si="18"/>
        <v>1.9792000000000001</v>
      </c>
      <c r="O212" s="16">
        <f>IF('Dry_Litterbag Placem_Collection'!G139="","",'Dry_Litterbag Placem_Collection'!G139)</f>
        <v>43008</v>
      </c>
      <c r="P212" s="194">
        <f>IFERROR(INDEX('Both teabags AfterDry'!$D$3:$D$2000,MATCH(H212,'Both teabags AfterDry'!$A$3:$A$2000,0)),"")</f>
        <v>0.80879999999999996</v>
      </c>
      <c r="Q212" s="194">
        <f>IFERROR(INDEX('Both teabags AfterDry'!$D$3:$D$2000,MATCH(I212,'Both teabags AfterDry'!$A$3:$A$2000,0)),"")</f>
        <v>5.0305999999999997</v>
      </c>
      <c r="R212" s="194">
        <f t="shared" si="20"/>
        <v>0.6581999999999999</v>
      </c>
      <c r="S212" s="194">
        <f t="shared" si="20"/>
        <v>4.88</v>
      </c>
      <c r="T212" s="194">
        <f t="shared" si="21"/>
        <v>0.63799362006379945</v>
      </c>
      <c r="U212" s="194">
        <f t="shared" si="22"/>
        <v>0.41825710008933176</v>
      </c>
      <c r="V212" s="194">
        <f t="shared" si="23"/>
        <v>2.4656426839126917</v>
      </c>
      <c r="W212">
        <f t="shared" si="24"/>
        <v>69</v>
      </c>
      <c r="X212" s="194">
        <f t="shared" si="25"/>
        <v>0.24228786215700771</v>
      </c>
      <c r="Y212" s="194">
        <f t="shared" si="26"/>
        <v>-2.1811636885319861E-2</v>
      </c>
      <c r="Z212" s="245" t="str">
        <f>IF(ISNUMBER(SEARCH("C", 'Dry_Litterbag Placem_Collection'!$T139)),"YES","NO")</f>
        <v>YES</v>
      </c>
      <c r="AA212" s="245" t="str">
        <f>IF(ISNUMBER(SEARCH("H", 'Dry_Litterbag Placem_Collection'!$T139)),"YES","NO")</f>
        <v>YES</v>
      </c>
      <c r="AB212" s="245" t="str">
        <f>IF(ISNUMBER(SEARCH("R", 'Dry_Litterbag Placem_Collection'!$T139)),"YES","NO")</f>
        <v>NO</v>
      </c>
      <c r="AC212" s="245" t="str">
        <f>IF(ISNUMBER(SEARCH("C", 'Dry_Litterbag Placem_Collection'!$S139)),"YES","NO")</f>
        <v>NO</v>
      </c>
      <c r="AD212" s="245" t="str">
        <f>IF(ISNUMBER(SEARCH("H", 'Dry_Litterbag Placem_Collection'!$S139)),"YES","NO")</f>
        <v>YES</v>
      </c>
      <c r="AE212" s="245" t="str">
        <f>IF(ISNUMBER(SEARCH("R", 'Dry_Litterbag Placem_Collection'!$S139)),"YES","NO")</f>
        <v>NO</v>
      </c>
    </row>
    <row r="213" spans="2:31">
      <c r="B213" t="str">
        <f>Dryseason!B139</f>
        <v>Dry</v>
      </c>
      <c r="C213" s="253">
        <f>Dryseason!C139</f>
        <v>138</v>
      </c>
      <c r="D213" t="s">
        <v>3123</v>
      </c>
      <c r="E213" t="s">
        <v>22</v>
      </c>
      <c r="F213" s="374">
        <v>2</v>
      </c>
      <c r="G213" s="16">
        <f>IF('Dry_Litterbag Placem_Collection'!E140="","",'Dry_Litterbag Placem_Collection'!E140)</f>
        <v>42939</v>
      </c>
      <c r="H213" t="str">
        <f>Dryseason!L139</f>
        <v>G213</v>
      </c>
      <c r="I213" t="str">
        <f>Dryseason!L359</f>
        <v>R821</v>
      </c>
      <c r="J213">
        <f>IFERROR(INDEX('Green_rooibos initial weight'!$C$5:$C$2000,MATCH(H213, 'Green_rooibos initial weight'!$A$5:$A$2000,0)),"")</f>
        <v>2.0670000000000002</v>
      </c>
      <c r="K213">
        <f>IFERROR(INDEX('Green_rooibos initial weight'!$C$5:$C$2000,MATCH(I213, 'Green_rooibos initial weight'!$A$5:$A$2000,0)),"")</f>
        <v>2.1680000000000001</v>
      </c>
      <c r="L213" s="194">
        <f t="shared" si="19"/>
        <v>1.8172000000000001</v>
      </c>
      <c r="M213" s="233">
        <f>AVERAGE(Ashed_controlls!$K$1:$K$11)</f>
        <v>5.5147656768714146</v>
      </c>
      <c r="N213" s="194">
        <f t="shared" si="18"/>
        <v>1.9182000000000001</v>
      </c>
      <c r="O213" s="16">
        <f>IF('Dry_Litterbag Placem_Collection'!G140="","",'Dry_Litterbag Placem_Collection'!G140)</f>
        <v>43008</v>
      </c>
      <c r="P213" s="194">
        <f>IFERROR(INDEX('Both teabags AfterDry'!$D$3:$D$2000,MATCH(H213,'Both teabags AfterDry'!$A$3:$A$2000,0)),"")</f>
        <v>0.66200000000000003</v>
      </c>
      <c r="Q213" s="194">
        <f>IFERROR(INDEX('Both teabags AfterDry'!$D$3:$D$2000,MATCH(I213,'Both teabags AfterDry'!$A$3:$A$2000,0)),"")</f>
        <v>0.2059</v>
      </c>
      <c r="R213" s="194">
        <f t="shared" si="20"/>
        <v>0.51140000000000008</v>
      </c>
      <c r="S213" s="194">
        <f t="shared" si="20"/>
        <v>5.5299999999999988E-2</v>
      </c>
      <c r="T213" s="194">
        <f t="shared" si="21"/>
        <v>0.71857803213735416</v>
      </c>
      <c r="U213" s="194">
        <f t="shared" si="22"/>
        <v>0.471086785914275</v>
      </c>
      <c r="V213" s="194">
        <f t="shared" si="23"/>
        <v>2.8829110624543835E-2</v>
      </c>
      <c r="W213">
        <f t="shared" si="24"/>
        <v>69</v>
      </c>
      <c r="X213" s="194">
        <f t="shared" si="25"/>
        <v>0.14658190957558881</v>
      </c>
      <c r="Y213" s="194" t="str">
        <f t="shared" si="26"/>
        <v/>
      </c>
      <c r="Z213" s="245" t="str">
        <f>IF(ISNUMBER(SEARCH("C", 'Dry_Litterbag Placem_Collection'!$T140)),"YES","NO")</f>
        <v>YES</v>
      </c>
      <c r="AA213" s="245" t="str">
        <f>IF(ISNUMBER(SEARCH("H", 'Dry_Litterbag Placem_Collection'!$T140)),"YES","NO")</f>
        <v>YES</v>
      </c>
      <c r="AB213" s="245" t="str">
        <f>IF(ISNUMBER(SEARCH("R", 'Dry_Litterbag Placem_Collection'!$T140)),"YES","NO")</f>
        <v>NO</v>
      </c>
      <c r="AC213" s="245" t="str">
        <f>IF(ISNUMBER(SEARCH("C", 'Dry_Litterbag Placem_Collection'!$S140)),"YES","NO")</f>
        <v>YES</v>
      </c>
      <c r="AD213" s="245" t="str">
        <f>IF(ISNUMBER(SEARCH("H", 'Dry_Litterbag Placem_Collection'!$S140)),"YES","NO")</f>
        <v>YES</v>
      </c>
      <c r="AE213" s="245" t="str">
        <f>IF(ISNUMBER(SEARCH("R", 'Dry_Litterbag Placem_Collection'!$S140)),"YES","NO")</f>
        <v>NO</v>
      </c>
    </row>
    <row r="214" spans="2:31">
      <c r="B214" t="str">
        <f>Dryseason!B140</f>
        <v>Dry</v>
      </c>
      <c r="C214" s="253">
        <f>Dryseason!C140</f>
        <v>139</v>
      </c>
      <c r="D214" t="s">
        <v>3123</v>
      </c>
      <c r="E214" t="s">
        <v>22</v>
      </c>
      <c r="F214" s="374">
        <v>3</v>
      </c>
      <c r="G214" s="16">
        <f>IF('Dry_Litterbag Placem_Collection'!E141="","",'Dry_Litterbag Placem_Collection'!E141)</f>
        <v>42939</v>
      </c>
      <c r="H214" t="str">
        <f>Dryseason!L140</f>
        <v>G17</v>
      </c>
      <c r="I214" t="str">
        <f>Dryseason!L360</f>
        <v>R813</v>
      </c>
      <c r="J214">
        <f>IFERROR(INDEX('Green_rooibos initial weight'!$C$5:$C$2000,MATCH(H214, 'Green_rooibos initial weight'!$A$5:$A$2000,0)),"")</f>
        <v>1.9870000000000001</v>
      </c>
      <c r="K214">
        <f>IFERROR(INDEX('Green_rooibos initial weight'!$C$5:$C$2000,MATCH(I214, 'Green_rooibos initial weight'!$A$5:$A$2000,0)),"")</f>
        <v>2.2309999999999999</v>
      </c>
      <c r="L214" s="194">
        <f t="shared" si="19"/>
        <v>1.7372000000000001</v>
      </c>
      <c r="M214" s="233">
        <f>AVERAGE(Ashed_controlls!$K$1:$K$11)</f>
        <v>5.5147656768714146</v>
      </c>
      <c r="N214" s="194">
        <f t="shared" si="18"/>
        <v>1.9811999999999999</v>
      </c>
      <c r="O214" s="16">
        <f>IF('Dry_Litterbag Placem_Collection'!G141="","",'Dry_Litterbag Placem_Collection'!G141)</f>
        <v>43008</v>
      </c>
      <c r="P214" s="194">
        <f>IFERROR(INDEX('Both teabags AfterDry'!$D$3:$D$2000,MATCH(H214,'Both teabags AfterDry'!$A$3:$A$2000,0)),"")</f>
        <v>0.73580000000000001</v>
      </c>
      <c r="Q214" s="194">
        <f>IFERROR(INDEX('Both teabags AfterDry'!$D$3:$D$2000,MATCH(I214,'Both teabags AfterDry'!$A$3:$A$2000,0)),"")</f>
        <v>2.1772999999999998</v>
      </c>
      <c r="R214" s="194">
        <f t="shared" si="20"/>
        <v>0.58519999999999994</v>
      </c>
      <c r="S214" s="194">
        <f t="shared" si="20"/>
        <v>2.0266999999999999</v>
      </c>
      <c r="T214" s="194">
        <f t="shared" si="21"/>
        <v>0.66313608104996558</v>
      </c>
      <c r="U214" s="194">
        <f t="shared" si="22"/>
        <v>0.43474004363370672</v>
      </c>
      <c r="V214" s="194">
        <f t="shared" si="23"/>
        <v>1.022965879265092</v>
      </c>
      <c r="W214">
        <f t="shared" si="24"/>
        <v>69</v>
      </c>
      <c r="X214" s="194">
        <f t="shared" si="25"/>
        <v>0.21242745718531397</v>
      </c>
      <c r="Y214" s="194">
        <f t="shared" si="26"/>
        <v>-7.4606719613905942E-4</v>
      </c>
      <c r="Z214" s="245" t="str">
        <f>IF(ISNUMBER(SEARCH("C", 'Dry_Litterbag Placem_Collection'!$T141)),"YES","NO")</f>
        <v>YES</v>
      </c>
      <c r="AA214" s="245" t="str">
        <f>IF(ISNUMBER(SEARCH("H", 'Dry_Litterbag Placem_Collection'!$T141)),"YES","NO")</f>
        <v>YES</v>
      </c>
      <c r="AB214" s="245" t="str">
        <f>IF(ISNUMBER(SEARCH("R", 'Dry_Litterbag Placem_Collection'!$T141)),"YES","NO")</f>
        <v>NO</v>
      </c>
      <c r="AC214" s="245" t="str">
        <f>IF(ISNUMBER(SEARCH("C", 'Dry_Litterbag Placem_Collection'!$S141)),"YES","NO")</f>
        <v>YES</v>
      </c>
      <c r="AD214" s="245" t="str">
        <f>IF(ISNUMBER(SEARCH("H", 'Dry_Litterbag Placem_Collection'!$S141)),"YES","NO")</f>
        <v>YES</v>
      </c>
      <c r="AE214" s="245" t="str">
        <f>IF(ISNUMBER(SEARCH("R", 'Dry_Litterbag Placem_Collection'!$S141)),"YES","NO")</f>
        <v>NO</v>
      </c>
    </row>
    <row r="215" spans="2:31">
      <c r="B215" t="str">
        <f>Dryseason!B141</f>
        <v>Dry</v>
      </c>
      <c r="C215" s="253">
        <f>Dryseason!C141</f>
        <v>140</v>
      </c>
      <c r="D215" t="s">
        <v>3123</v>
      </c>
      <c r="E215" t="s">
        <v>22</v>
      </c>
      <c r="F215" s="375">
        <v>4</v>
      </c>
      <c r="G215" s="16">
        <f>IF('Dry_Litterbag Placem_Collection'!E142="","",'Dry_Litterbag Placem_Collection'!E142)</f>
        <v>42939</v>
      </c>
      <c r="H215" t="str">
        <f>Dryseason!L141</f>
        <v>G401</v>
      </c>
      <c r="I215" t="str">
        <f>Dryseason!L361</f>
        <v>R729</v>
      </c>
      <c r="J215">
        <f>IFERROR(INDEX('Green_rooibos initial weight'!$C$5:$C$2000,MATCH(H215, 'Green_rooibos initial weight'!$A$5:$A$2000,0)),"")</f>
        <v>1.9390000000000001</v>
      </c>
      <c r="K215">
        <f>IFERROR(INDEX('Green_rooibos initial weight'!$C$5:$C$2000,MATCH(I215, 'Green_rooibos initial weight'!$A$5:$A$2000,0)),"")</f>
        <v>2.1970000000000001</v>
      </c>
      <c r="L215" s="194">
        <f t="shared" si="19"/>
        <v>1.6892</v>
      </c>
      <c r="M215" s="233">
        <f>AVERAGE(Ashed_controlls!$K$1:$K$11)</f>
        <v>5.5147656768714146</v>
      </c>
      <c r="N215" s="194">
        <f t="shared" si="18"/>
        <v>1.9472</v>
      </c>
      <c r="O215" s="16">
        <f>IF('Dry_Litterbag Placem_Collection'!G142="","",'Dry_Litterbag Placem_Collection'!G142)</f>
        <v>43008</v>
      </c>
      <c r="P215" s="194">
        <f>IFERROR(INDEX('Both teabags AfterDry'!$D$3:$D$2000,MATCH(H215,'Both teabags AfterDry'!$A$3:$A$2000,0)),"")</f>
        <v>0.9304</v>
      </c>
      <c r="Q215" s="194">
        <f>IFERROR(INDEX('Both teabags AfterDry'!$D$3:$D$2000,MATCH(I215,'Both teabags AfterDry'!$A$3:$A$2000,0)),"")</f>
        <v>1.7859</v>
      </c>
      <c r="R215" s="194">
        <f t="shared" si="20"/>
        <v>0.77980000000000005</v>
      </c>
      <c r="S215" s="194">
        <f t="shared" si="20"/>
        <v>1.6353</v>
      </c>
      <c r="T215" s="194">
        <f t="shared" si="21"/>
        <v>0.53836135448733125</v>
      </c>
      <c r="U215" s="194">
        <f t="shared" si="22"/>
        <v>0.35293998536461629</v>
      </c>
      <c r="V215" s="194">
        <f t="shared" si="23"/>
        <v>0.83982128184059157</v>
      </c>
      <c r="W215">
        <f t="shared" si="24"/>
        <v>69</v>
      </c>
      <c r="X215" s="194">
        <f t="shared" si="25"/>
        <v>0.36061596854236189</v>
      </c>
      <c r="Y215" s="194">
        <f t="shared" si="26"/>
        <v>8.7658777332243962E-3</v>
      </c>
      <c r="Z215" s="245" t="str">
        <f>IF(ISNUMBER(SEARCH("C", 'Dry_Litterbag Placem_Collection'!$T142)),"YES","NO")</f>
        <v>YES</v>
      </c>
      <c r="AA215" s="245" t="str">
        <f>IF(ISNUMBER(SEARCH("H", 'Dry_Litterbag Placem_Collection'!$T142)),"YES","NO")</f>
        <v>YES</v>
      </c>
      <c r="AB215" s="245" t="str">
        <f>IF(ISNUMBER(SEARCH("R", 'Dry_Litterbag Placem_Collection'!$T142)),"YES","NO")</f>
        <v>NO</v>
      </c>
      <c r="AC215" s="245" t="str">
        <f>IF(ISNUMBER(SEARCH("C", 'Dry_Litterbag Placem_Collection'!$S142)),"YES","NO")</f>
        <v>NO</v>
      </c>
      <c r="AD215" s="245" t="str">
        <f>IF(ISNUMBER(SEARCH("H", 'Dry_Litterbag Placem_Collection'!$S142)),"YES","NO")</f>
        <v>NO</v>
      </c>
      <c r="AE215" s="245" t="str">
        <f>IF(ISNUMBER(SEARCH("R", 'Dry_Litterbag Placem_Collection'!$S142)),"YES","NO")</f>
        <v>YES</v>
      </c>
    </row>
    <row r="216" spans="2:31">
      <c r="B216" t="str">
        <f>Dryseason!B142</f>
        <v>Dry</v>
      </c>
      <c r="C216" s="253">
        <f>Dryseason!C142</f>
        <v>141</v>
      </c>
      <c r="D216" t="s">
        <v>3123</v>
      </c>
      <c r="E216" t="s">
        <v>22</v>
      </c>
      <c r="F216" s="375">
        <v>5</v>
      </c>
      <c r="G216" s="16" t="str">
        <f>IF('Dry_Litterbag Placem_Collection'!E143="","",'Dry_Litterbag Placem_Collection'!E143)</f>
        <v/>
      </c>
      <c r="H216" t="str">
        <f>Dryseason!L142</f>
        <v/>
      </c>
      <c r="I216" t="str">
        <f>Dryseason!L362</f>
        <v/>
      </c>
      <c r="J216" t="str">
        <f>IFERROR(INDEX('Green_rooibos initial weight'!$C$5:$C$2000,MATCH(H216, 'Green_rooibos initial weight'!$A$5:$A$2000,0)),"")</f>
        <v/>
      </c>
      <c r="K216" t="str">
        <f>IFERROR(INDEX('Green_rooibos initial weight'!$C$5:$C$2000,MATCH(I216, 'Green_rooibos initial weight'!$A$5:$A$2000,0)),"")</f>
        <v/>
      </c>
      <c r="L216" s="194" t="str">
        <f t="shared" si="19"/>
        <v/>
      </c>
      <c r="M216" s="233">
        <f>AVERAGE(Ashed_controlls!$K$1:$K$11)</f>
        <v>5.5147656768714146</v>
      </c>
      <c r="N216" s="194" t="str">
        <f t="shared" si="18"/>
        <v/>
      </c>
      <c r="O216" s="16" t="str">
        <f>IF('Dry_Litterbag Placem_Collection'!G143="","",'Dry_Litterbag Placem_Collection'!G143)</f>
        <v/>
      </c>
      <c r="P216" s="194" t="str">
        <f>IFERROR(INDEX('Both teabags AfterDry'!$D$3:$D$2000,MATCH(H216,'Both teabags AfterDry'!$A$3:$A$2000,0)),"")</f>
        <v/>
      </c>
      <c r="Q216" s="194" t="str">
        <f>IFERROR(INDEX('Both teabags AfterDry'!$D$3:$D$2000,MATCH(I216,'Both teabags AfterDry'!$A$3:$A$2000,0)),"")</f>
        <v/>
      </c>
      <c r="R216" s="194" t="str">
        <f t="shared" si="20"/>
        <v/>
      </c>
      <c r="S216" s="194" t="str">
        <f t="shared" si="20"/>
        <v/>
      </c>
      <c r="T216" s="194" t="str">
        <f t="shared" si="21"/>
        <v/>
      </c>
      <c r="U216" s="194" t="str">
        <f t="shared" si="22"/>
        <v/>
      </c>
      <c r="V216" s="194" t="str">
        <f t="shared" si="23"/>
        <v/>
      </c>
      <c r="W216" t="str">
        <f t="shared" si="24"/>
        <v/>
      </c>
      <c r="X216" s="194" t="str">
        <f t="shared" si="25"/>
        <v/>
      </c>
      <c r="Y216" s="194" t="str">
        <f t="shared" si="26"/>
        <v/>
      </c>
      <c r="Z216" s="245" t="str">
        <f>IF(ISNUMBER(SEARCH("C", 'Dry_Litterbag Placem_Collection'!$T143)),"YES","NO")</f>
        <v>NO</v>
      </c>
      <c r="AA216" s="245" t="str">
        <f>IF(ISNUMBER(SEARCH("H", 'Dry_Litterbag Placem_Collection'!$T143)),"YES","NO")</f>
        <v>NO</v>
      </c>
      <c r="AB216" s="245" t="str">
        <f>IF(ISNUMBER(SEARCH("R", 'Dry_Litterbag Placem_Collection'!$T143)),"YES","NO")</f>
        <v>NO</v>
      </c>
      <c r="AC216" s="245" t="str">
        <f>IF(ISNUMBER(SEARCH("C", 'Dry_Litterbag Placem_Collection'!$S143)),"YES","NO")</f>
        <v>NO</v>
      </c>
      <c r="AD216" s="245" t="str">
        <f>IF(ISNUMBER(SEARCH("H", 'Dry_Litterbag Placem_Collection'!$S143)),"YES","NO")</f>
        <v>NO</v>
      </c>
      <c r="AE216" s="245" t="str">
        <f>IF(ISNUMBER(SEARCH("R", 'Dry_Litterbag Placem_Collection'!$S143)),"YES","NO")</f>
        <v>NO</v>
      </c>
    </row>
    <row r="217" spans="2:31">
      <c r="B217" t="str">
        <f>Dryseason!B143</f>
        <v>Dry</v>
      </c>
      <c r="C217" s="253">
        <f>Dryseason!C143</f>
        <v>142</v>
      </c>
      <c r="D217" t="s">
        <v>3123</v>
      </c>
      <c r="E217" t="s">
        <v>22</v>
      </c>
      <c r="F217" s="375">
        <v>6</v>
      </c>
      <c r="G217" s="16">
        <f>IF('Dry_Litterbag Placem_Collection'!E144="","",'Dry_Litterbag Placem_Collection'!E144)</f>
        <v>42939</v>
      </c>
      <c r="H217" t="str">
        <f>Dryseason!L143</f>
        <v>G87</v>
      </c>
      <c r="I217" t="str">
        <f>Dryseason!L363</f>
        <v>R834</v>
      </c>
      <c r="J217">
        <f>IFERROR(INDEX('Green_rooibos initial weight'!$C$5:$C$2000,MATCH(H217, 'Green_rooibos initial weight'!$A$5:$A$2000,0)),"")</f>
        <v>1.9870000000000001</v>
      </c>
      <c r="K217">
        <f>IFERROR(INDEX('Green_rooibos initial weight'!$C$5:$C$2000,MATCH(I217, 'Green_rooibos initial weight'!$A$5:$A$2000,0)),"")</f>
        <v>2.1840000000000002</v>
      </c>
      <c r="L217" s="194">
        <f t="shared" si="19"/>
        <v>1.7372000000000001</v>
      </c>
      <c r="M217" s="233">
        <f>AVERAGE(Ashed_controlls!$K$1:$K$11)</f>
        <v>5.5147656768714146</v>
      </c>
      <c r="N217" s="194">
        <f t="shared" si="18"/>
        <v>1.9342000000000001</v>
      </c>
      <c r="O217" s="16">
        <f>IF('Dry_Litterbag Placem_Collection'!G144="","",'Dry_Litterbag Placem_Collection'!G144)</f>
        <v>43008</v>
      </c>
      <c r="P217" s="194" t="str">
        <f>IFERROR(INDEX('Both teabags AfterDry'!$D$3:$D$2000,MATCH(H217,'Both teabags AfterDry'!$A$3:$A$2000,0)),"")</f>
        <v/>
      </c>
      <c r="Q217" s="194" t="str">
        <f>IFERROR(INDEX('Both teabags AfterDry'!$D$3:$D$2000,MATCH(I217,'Both teabags AfterDry'!$A$3:$A$2000,0)),"")</f>
        <v/>
      </c>
      <c r="R217" s="194" t="str">
        <f t="shared" si="20"/>
        <v/>
      </c>
      <c r="S217" s="194" t="str">
        <f t="shared" si="20"/>
        <v/>
      </c>
      <c r="T217" s="194" t="str">
        <f t="shared" si="21"/>
        <v/>
      </c>
      <c r="U217" s="194" t="str">
        <f t="shared" si="22"/>
        <v/>
      </c>
      <c r="V217" s="194" t="str">
        <f t="shared" si="23"/>
        <v/>
      </c>
      <c r="W217">
        <f t="shared" si="24"/>
        <v>69</v>
      </c>
      <c r="X217" s="194" t="str">
        <f t="shared" si="25"/>
        <v/>
      </c>
      <c r="Y217" s="194" t="str">
        <f t="shared" si="26"/>
        <v/>
      </c>
      <c r="Z217" s="245" t="str">
        <f>IF(ISNUMBER(SEARCH("C", 'Dry_Litterbag Placem_Collection'!$T144)),"YES","NO")</f>
        <v>NO</v>
      </c>
      <c r="AA217" s="245" t="str">
        <f>IF(ISNUMBER(SEARCH("H", 'Dry_Litterbag Placem_Collection'!$T144)),"YES","NO")</f>
        <v>NO</v>
      </c>
      <c r="AB217" s="245" t="str">
        <f>IF(ISNUMBER(SEARCH("R", 'Dry_Litterbag Placem_Collection'!$T144)),"YES","NO")</f>
        <v>NO</v>
      </c>
      <c r="AC217" s="245" t="str">
        <f>IF(ISNUMBER(SEARCH("C", 'Dry_Litterbag Placem_Collection'!$S144)),"YES","NO")</f>
        <v>YES</v>
      </c>
      <c r="AD217" s="245" t="str">
        <f>IF(ISNUMBER(SEARCH("H", 'Dry_Litterbag Placem_Collection'!$S144)),"YES","NO")</f>
        <v>NO</v>
      </c>
      <c r="AE217" s="245" t="str">
        <f>IF(ISNUMBER(SEARCH("R", 'Dry_Litterbag Placem_Collection'!$S144)),"YES","NO")</f>
        <v>YES</v>
      </c>
    </row>
    <row r="218" spans="2:31">
      <c r="B218" t="str">
        <f>Dryseason!B144</f>
        <v>Dry</v>
      </c>
      <c r="C218" s="253">
        <f>Dryseason!C144</f>
        <v>143</v>
      </c>
      <c r="D218" t="s">
        <v>3123</v>
      </c>
      <c r="E218" t="s">
        <v>22</v>
      </c>
      <c r="F218" s="375">
        <v>7</v>
      </c>
      <c r="G218" s="16">
        <f>IF('Dry_Litterbag Placem_Collection'!E145="","",'Dry_Litterbag Placem_Collection'!E145)</f>
        <v>42939</v>
      </c>
      <c r="H218" t="str">
        <f>Dryseason!L144</f>
        <v>G501</v>
      </c>
      <c r="I218" t="str">
        <f>Dryseason!L364</f>
        <v>R774</v>
      </c>
      <c r="J218">
        <f>IFERROR(INDEX('Green_rooibos initial weight'!$C$5:$C$2000,MATCH(H218, 'Green_rooibos initial weight'!$A$5:$A$2000,0)),"")</f>
        <v>1.917</v>
      </c>
      <c r="K218">
        <f>IFERROR(INDEX('Green_rooibos initial weight'!$C$5:$C$2000,MATCH(I218, 'Green_rooibos initial weight'!$A$5:$A$2000,0)),"")</f>
        <v>2.1629999999999998</v>
      </c>
      <c r="L218" s="194">
        <f t="shared" si="19"/>
        <v>1.6672</v>
      </c>
      <c r="M218" s="233">
        <f>AVERAGE(Ashed_controlls!$K$1:$K$11)</f>
        <v>5.5147656768714146</v>
      </c>
      <c r="N218" s="194">
        <f t="shared" si="18"/>
        <v>1.9131999999999998</v>
      </c>
      <c r="O218" s="16">
        <f>IF('Dry_Litterbag Placem_Collection'!G145="","",'Dry_Litterbag Placem_Collection'!G145)</f>
        <v>43008</v>
      </c>
      <c r="P218" s="194">
        <f>IFERROR(INDEX('Both teabags AfterDry'!$D$3:$D$2000,MATCH(H218,'Both teabags AfterDry'!$A$3:$A$2000,0)),"")</f>
        <v>0.78680000000000005</v>
      </c>
      <c r="Q218" s="194">
        <f>IFERROR(INDEX('Both teabags AfterDry'!$D$3:$D$2000,MATCH(I218,'Both teabags AfterDry'!$A$3:$A$2000,0)),"")</f>
        <v>1.5979000000000001</v>
      </c>
      <c r="R218" s="194">
        <f t="shared" si="20"/>
        <v>0.6362000000000001</v>
      </c>
      <c r="S218" s="194">
        <f t="shared" si="20"/>
        <v>1.4473</v>
      </c>
      <c r="T218" s="194">
        <f t="shared" si="21"/>
        <v>0.61840211132437617</v>
      </c>
      <c r="U218" s="194">
        <f t="shared" si="22"/>
        <v>0.40541326063070743</v>
      </c>
      <c r="V218" s="194">
        <f t="shared" si="23"/>
        <v>0.75648128789462687</v>
      </c>
      <c r="W218">
        <f t="shared" si="24"/>
        <v>69</v>
      </c>
      <c r="X218" s="194">
        <f t="shared" si="25"/>
        <v>0.26555568726321122</v>
      </c>
      <c r="Y218" s="194">
        <f t="shared" si="26"/>
        <v>1.3303793553933654E-2</v>
      </c>
      <c r="Z218" s="245" t="str">
        <f>IF(ISNUMBER(SEARCH("C", 'Dry_Litterbag Placem_Collection'!$T145)),"YES","NO")</f>
        <v>NO</v>
      </c>
      <c r="AA218" s="245" t="str">
        <f>IF(ISNUMBER(SEARCH("H", 'Dry_Litterbag Placem_Collection'!$T145)),"YES","NO")</f>
        <v>NO</v>
      </c>
      <c r="AB218" s="245" t="str">
        <f>IF(ISNUMBER(SEARCH("R", 'Dry_Litterbag Placem_Collection'!$T145)),"YES","NO")</f>
        <v>NO</v>
      </c>
      <c r="AC218" s="245" t="str">
        <f>IF(ISNUMBER(SEARCH("C", 'Dry_Litterbag Placem_Collection'!$S145)),"YES","NO")</f>
        <v>NO</v>
      </c>
      <c r="AD218" s="245" t="str">
        <f>IF(ISNUMBER(SEARCH("H", 'Dry_Litterbag Placem_Collection'!$S145)),"YES","NO")</f>
        <v>NO</v>
      </c>
      <c r="AE218" s="245" t="str">
        <f>IF(ISNUMBER(SEARCH("R", 'Dry_Litterbag Placem_Collection'!$S145)),"YES","NO")</f>
        <v>NO</v>
      </c>
    </row>
    <row r="219" spans="2:31">
      <c r="B219" t="str">
        <f>Dryseason!B145</f>
        <v>Dry</v>
      </c>
      <c r="C219" s="253">
        <f>Dryseason!C145</f>
        <v>144</v>
      </c>
      <c r="D219" t="s">
        <v>3123</v>
      </c>
      <c r="E219" t="s">
        <v>22</v>
      </c>
      <c r="F219" s="375">
        <v>8</v>
      </c>
      <c r="G219" s="16">
        <f>IF('Dry_Litterbag Placem_Collection'!E146="","",'Dry_Litterbag Placem_Collection'!E146)</f>
        <v>42939</v>
      </c>
      <c r="H219" t="str">
        <f>Dryseason!L145</f>
        <v>G141</v>
      </c>
      <c r="I219" t="str">
        <f>Dryseason!L365</f>
        <v>R779</v>
      </c>
      <c r="J219">
        <f>IFERROR(INDEX('Green_rooibos initial weight'!$C$5:$C$2000,MATCH(H219, 'Green_rooibos initial weight'!$A$5:$A$2000,0)),"")</f>
        <v>2.0310000000000001</v>
      </c>
      <c r="K219">
        <f>IFERROR(INDEX('Green_rooibos initial weight'!$C$5:$C$2000,MATCH(I219, 'Green_rooibos initial weight'!$A$5:$A$2000,0)),"")</f>
        <v>2.16</v>
      </c>
      <c r="L219" s="194">
        <f t="shared" si="19"/>
        <v>1.7812000000000001</v>
      </c>
      <c r="M219" s="233">
        <f>AVERAGE(Ashed_controlls!$K$1:$K$11)</f>
        <v>5.5147656768714146</v>
      </c>
      <c r="N219" s="194">
        <f t="shared" si="18"/>
        <v>1.9102000000000001</v>
      </c>
      <c r="O219" s="16">
        <f>IF('Dry_Litterbag Placem_Collection'!G146="","",'Dry_Litterbag Placem_Collection'!G146)</f>
        <v>43008</v>
      </c>
      <c r="P219" s="194">
        <f>IFERROR(INDEX('Both teabags AfterDry'!$D$3:$D$2000,MATCH(H219,'Both teabags AfterDry'!$A$3:$A$2000,0)),"")</f>
        <v>0.66180000000000005</v>
      </c>
      <c r="Q219" s="194">
        <f>IFERROR(INDEX('Both teabags AfterDry'!$D$3:$D$2000,MATCH(I219,'Both teabags AfterDry'!$A$3:$A$2000,0)),"")</f>
        <v>0.17680000000000001</v>
      </c>
      <c r="R219" s="194">
        <f t="shared" si="20"/>
        <v>0.5112000000000001</v>
      </c>
      <c r="S219" s="194">
        <f t="shared" si="20"/>
        <v>2.6200000000000001E-2</v>
      </c>
      <c r="T219" s="194">
        <f t="shared" si="21"/>
        <v>0.71300247024477881</v>
      </c>
      <c r="U219" s="194">
        <f t="shared" si="22"/>
        <v>0.46743154818897614</v>
      </c>
      <c r="V219" s="194">
        <f t="shared" si="23"/>
        <v>1.3715841273165113E-2</v>
      </c>
      <c r="W219">
        <f t="shared" si="24"/>
        <v>69</v>
      </c>
      <c r="X219" s="194">
        <f t="shared" si="25"/>
        <v>0.1532037170489563</v>
      </c>
      <c r="Y219" s="194" t="str">
        <f t="shared" si="26"/>
        <v/>
      </c>
      <c r="Z219" s="245" t="str">
        <f>IF(ISNUMBER(SEARCH("C", 'Dry_Litterbag Placem_Collection'!$T146)),"YES","NO")</f>
        <v>YES</v>
      </c>
      <c r="AA219" s="245" t="str">
        <f>IF(ISNUMBER(SEARCH("H", 'Dry_Litterbag Placem_Collection'!$T146)),"YES","NO")</f>
        <v>YES</v>
      </c>
      <c r="AB219" s="245" t="str">
        <f>IF(ISNUMBER(SEARCH("R", 'Dry_Litterbag Placem_Collection'!$T146)),"YES","NO")</f>
        <v>NO</v>
      </c>
      <c r="AC219" s="245" t="str">
        <f>IF(ISNUMBER(SEARCH("C", 'Dry_Litterbag Placem_Collection'!$S146)),"YES","NO")</f>
        <v>NO</v>
      </c>
      <c r="AD219" s="245" t="str">
        <f>IF(ISNUMBER(SEARCH("H", 'Dry_Litterbag Placem_Collection'!$S146)),"YES","NO")</f>
        <v>YES</v>
      </c>
      <c r="AE219" s="245" t="str">
        <f>IF(ISNUMBER(SEARCH("R", 'Dry_Litterbag Placem_Collection'!$S146)),"YES","NO")</f>
        <v>NO</v>
      </c>
    </row>
    <row r="220" spans="2:31">
      <c r="B220" t="str">
        <f>Dryseason!B146</f>
        <v>Dry</v>
      </c>
      <c r="C220" s="253">
        <f>Dryseason!C146</f>
        <v>145</v>
      </c>
      <c r="D220" t="s">
        <v>3124</v>
      </c>
      <c r="E220" t="s">
        <v>22</v>
      </c>
      <c r="F220" s="374">
        <v>1</v>
      </c>
      <c r="G220" s="16">
        <f>IF('Dry_Litterbag Placem_Collection'!E147="","",'Dry_Litterbag Placem_Collection'!E147)</f>
        <v>42939</v>
      </c>
      <c r="H220" t="str">
        <f>Dryseason!L146</f>
        <v>G131</v>
      </c>
      <c r="I220" t="str">
        <f>Dryseason!L366</f>
        <v>R728</v>
      </c>
      <c r="J220">
        <f>IFERROR(INDEX('Green_rooibos initial weight'!$C$5:$C$2000,MATCH(H220, 'Green_rooibos initial weight'!$A$5:$A$2000,0)),"")</f>
        <v>1.9670000000000001</v>
      </c>
      <c r="K220">
        <f>IFERROR(INDEX('Green_rooibos initial weight'!$C$5:$C$2000,MATCH(I220, 'Green_rooibos initial weight'!$A$5:$A$2000,0)),"")</f>
        <v>2.2429999999999999</v>
      </c>
      <c r="L220" s="194">
        <f t="shared" si="19"/>
        <v>1.7172000000000001</v>
      </c>
      <c r="M220" s="233">
        <f>AVERAGE(Ashed_controlls!$K$1:$K$11)</f>
        <v>5.5147656768714146</v>
      </c>
      <c r="N220" s="194">
        <f t="shared" si="18"/>
        <v>1.9931999999999999</v>
      </c>
      <c r="O220" s="16">
        <f>IF('Dry_Litterbag Placem_Collection'!G147="","",'Dry_Litterbag Placem_Collection'!G147)</f>
        <v>43010</v>
      </c>
      <c r="P220" s="194">
        <f>IFERROR(INDEX('Both teabags AfterDry'!$D$3:$D$2000,MATCH(H220,'Both teabags AfterDry'!$A$3:$A$2000,0)),"")</f>
        <v>1.544</v>
      </c>
      <c r="Q220" s="194">
        <f>IFERROR(INDEX('Both teabags AfterDry'!$D$3:$D$2000,MATCH(I220,'Both teabags AfterDry'!$A$3:$A$2000,0)),"")</f>
        <v>1.9579</v>
      </c>
      <c r="R220" s="194">
        <f t="shared" si="20"/>
        <v>1.3934</v>
      </c>
      <c r="S220" s="194">
        <f t="shared" si="20"/>
        <v>1.8072999999999999</v>
      </c>
      <c r="T220" s="194">
        <f t="shared" si="21"/>
        <v>0.18856277661309118</v>
      </c>
      <c r="U220" s="194">
        <f t="shared" si="22"/>
        <v>0.12361835236392679</v>
      </c>
      <c r="V220" s="194">
        <f t="shared" si="23"/>
        <v>0.9067328918322296</v>
      </c>
      <c r="W220">
        <f t="shared" si="24"/>
        <v>71</v>
      </c>
      <c r="X220" s="194">
        <f t="shared" si="25"/>
        <v>0.7760537094856399</v>
      </c>
      <c r="Y220" s="194">
        <f t="shared" si="26"/>
        <v>1.9779739497377165E-2</v>
      </c>
      <c r="Z220" s="245" t="str">
        <f>IF(ISNUMBER(SEARCH("C", 'Dry_Litterbag Placem_Collection'!$T147)),"YES","NO")</f>
        <v>NO</v>
      </c>
      <c r="AA220" s="245" t="str">
        <f>IF(ISNUMBER(SEARCH("H", 'Dry_Litterbag Placem_Collection'!$T147)),"YES","NO")</f>
        <v>NO</v>
      </c>
      <c r="AB220" s="245" t="str">
        <f>IF(ISNUMBER(SEARCH("R", 'Dry_Litterbag Placem_Collection'!$T147)),"YES","NO")</f>
        <v>NO</v>
      </c>
      <c r="AC220" s="245" t="str">
        <f>IF(ISNUMBER(SEARCH("C", 'Dry_Litterbag Placem_Collection'!$S147)),"YES","NO")</f>
        <v>NO</v>
      </c>
      <c r="AD220" s="245" t="str">
        <f>IF(ISNUMBER(SEARCH("H", 'Dry_Litterbag Placem_Collection'!$S147)),"YES","NO")</f>
        <v>NO</v>
      </c>
      <c r="AE220" s="245" t="str">
        <f>IF(ISNUMBER(SEARCH("R", 'Dry_Litterbag Placem_Collection'!$S147)),"YES","NO")</f>
        <v>NO</v>
      </c>
    </row>
    <row r="221" spans="2:31">
      <c r="B221" t="str">
        <f>Dryseason!B147</f>
        <v>Dry</v>
      </c>
      <c r="C221" s="253">
        <f>Dryseason!C147</f>
        <v>146</v>
      </c>
      <c r="D221" t="s">
        <v>3124</v>
      </c>
      <c r="E221" t="s">
        <v>22</v>
      </c>
      <c r="F221" s="374">
        <v>2</v>
      </c>
      <c r="G221" s="16">
        <f>IF('Dry_Litterbag Placem_Collection'!E148="","",'Dry_Litterbag Placem_Collection'!E148)</f>
        <v>42939</v>
      </c>
      <c r="H221" t="str">
        <f>Dryseason!L147</f>
        <v>G465</v>
      </c>
      <c r="I221" t="str">
        <f>Dryseason!L367</f>
        <v>R13</v>
      </c>
      <c r="J221">
        <f>IFERROR(INDEX('Green_rooibos initial weight'!$C$5:$C$2000,MATCH(H221, 'Green_rooibos initial weight'!$A$5:$A$2000,0)),"")</f>
        <v>2.004</v>
      </c>
      <c r="K221">
        <f>IFERROR(INDEX('Green_rooibos initial weight'!$C$5:$C$2000,MATCH(I221, 'Green_rooibos initial weight'!$A$5:$A$2000,0)),"")</f>
        <v>2.2490000000000001</v>
      </c>
      <c r="L221" s="194">
        <f t="shared" si="19"/>
        <v>1.7542</v>
      </c>
      <c r="M221" s="233">
        <f>AVERAGE(Ashed_controlls!$K$1:$K$11)</f>
        <v>5.5147656768714146</v>
      </c>
      <c r="N221" s="194">
        <f t="shared" si="18"/>
        <v>1.9992000000000001</v>
      </c>
      <c r="O221" s="16">
        <f>IF('Dry_Litterbag Placem_Collection'!G148="","",'Dry_Litterbag Placem_Collection'!G148)</f>
        <v>43010</v>
      </c>
      <c r="P221" s="194">
        <f>IFERROR(INDEX('Both teabags AfterDry'!$D$3:$D$2000,MATCH(H221,'Both teabags AfterDry'!$A$3:$A$2000,0)),"")</f>
        <v>1.6845000000000001</v>
      </c>
      <c r="Q221" s="194">
        <f>IFERROR(INDEX('Both teabags AfterDry'!$D$3:$D$2000,MATCH(I221,'Both teabags AfterDry'!$A$3:$A$2000,0)),"")</f>
        <v>0.68400000000000005</v>
      </c>
      <c r="R221" s="194">
        <f t="shared" si="20"/>
        <v>1.5339</v>
      </c>
      <c r="S221" s="194">
        <f t="shared" si="20"/>
        <v>0.5334000000000001</v>
      </c>
      <c r="T221" s="194">
        <f t="shared" si="21"/>
        <v>0.12558431193706532</v>
      </c>
      <c r="U221" s="194">
        <f t="shared" si="22"/>
        <v>8.233080782572455E-2</v>
      </c>
      <c r="V221" s="194">
        <f t="shared" si="23"/>
        <v>0.26680672268907568</v>
      </c>
      <c r="W221">
        <f t="shared" si="24"/>
        <v>71</v>
      </c>
      <c r="X221" s="194">
        <f t="shared" si="25"/>
        <v>0.85084998582296278</v>
      </c>
      <c r="Y221" s="194" t="str">
        <f t="shared" si="26"/>
        <v/>
      </c>
      <c r="Z221" s="245" t="str">
        <f>IF(ISNUMBER(SEARCH("C", 'Dry_Litterbag Placem_Collection'!$T148)),"YES","NO")</f>
        <v>NO</v>
      </c>
      <c r="AA221" s="245" t="str">
        <f>IF(ISNUMBER(SEARCH("H", 'Dry_Litterbag Placem_Collection'!$T148)),"YES","NO")</f>
        <v>YES</v>
      </c>
      <c r="AB221" s="245" t="str">
        <f>IF(ISNUMBER(SEARCH("R", 'Dry_Litterbag Placem_Collection'!$T148)),"YES","NO")</f>
        <v>NO</v>
      </c>
      <c r="AC221" s="245" t="str">
        <f>IF(ISNUMBER(SEARCH("C", 'Dry_Litterbag Placem_Collection'!$S148)),"YES","NO")</f>
        <v>NO</v>
      </c>
      <c r="AD221" s="245" t="str">
        <f>IF(ISNUMBER(SEARCH("H", 'Dry_Litterbag Placem_Collection'!$S148)),"YES","NO")</f>
        <v>NO</v>
      </c>
      <c r="AE221" s="245" t="str">
        <f>IF(ISNUMBER(SEARCH("R", 'Dry_Litterbag Placem_Collection'!$S148)),"YES","NO")</f>
        <v>NO</v>
      </c>
    </row>
    <row r="222" spans="2:31">
      <c r="B222" t="str">
        <f>Dryseason!B148</f>
        <v>Dry</v>
      </c>
      <c r="C222" s="253">
        <f>Dryseason!C148</f>
        <v>147</v>
      </c>
      <c r="D222" t="s">
        <v>3124</v>
      </c>
      <c r="E222" t="s">
        <v>22</v>
      </c>
      <c r="F222" s="374">
        <v>3</v>
      </c>
      <c r="G222" s="16">
        <f>IF('Dry_Litterbag Placem_Collection'!E149="","",'Dry_Litterbag Placem_Collection'!E149)</f>
        <v>42939</v>
      </c>
      <c r="H222" t="str">
        <f>Dryseason!L148</f>
        <v>G15</v>
      </c>
      <c r="I222" t="str">
        <f>Dryseason!L368</f>
        <v>R832</v>
      </c>
      <c r="J222">
        <f>IFERROR(INDEX('Green_rooibos initial weight'!$C$5:$C$2000,MATCH(H222, 'Green_rooibos initial weight'!$A$5:$A$2000,0)),"")</f>
        <v>2.0510000000000002</v>
      </c>
      <c r="K222">
        <f>IFERROR(INDEX('Green_rooibos initial weight'!$C$5:$C$2000,MATCH(I222, 'Green_rooibos initial weight'!$A$5:$A$2000,0)),"")</f>
        <v>2.2149999999999999</v>
      </c>
      <c r="L222" s="194">
        <f t="shared" si="19"/>
        <v>1.8012000000000001</v>
      </c>
      <c r="M222" s="233">
        <f>AVERAGE(Ashed_controlls!$K$1:$K$11)</f>
        <v>5.5147656768714146</v>
      </c>
      <c r="N222" s="194">
        <f t="shared" si="18"/>
        <v>1.9651999999999998</v>
      </c>
      <c r="O222" s="16">
        <f>IF('Dry_Litterbag Placem_Collection'!G149="","",'Dry_Litterbag Placem_Collection'!G149)</f>
        <v>43010</v>
      </c>
      <c r="P222" s="194">
        <f>IFERROR(INDEX('Both teabags AfterDry'!$D$3:$D$2000,MATCH(H222,'Both teabags AfterDry'!$A$3:$A$2000,0)),"")</f>
        <v>1.6711</v>
      </c>
      <c r="Q222" s="194">
        <f>IFERROR(INDEX('Both teabags AfterDry'!$D$3:$D$2000,MATCH(I222,'Both teabags AfterDry'!$A$3:$A$2000,0)),"")</f>
        <v>1.7279</v>
      </c>
      <c r="R222" s="194">
        <f t="shared" si="20"/>
        <v>1.5205</v>
      </c>
      <c r="S222" s="194">
        <f t="shared" si="20"/>
        <v>1.5772999999999999</v>
      </c>
      <c r="T222" s="194">
        <f t="shared" si="21"/>
        <v>0.15584055074394854</v>
      </c>
      <c r="U222" s="194">
        <f t="shared" si="22"/>
        <v>0.10216625179413252</v>
      </c>
      <c r="V222" s="194">
        <f t="shared" si="23"/>
        <v>0.80261550987176877</v>
      </c>
      <c r="W222">
        <f t="shared" si="24"/>
        <v>71</v>
      </c>
      <c r="X222" s="194">
        <f t="shared" si="25"/>
        <v>0.81491621051787588</v>
      </c>
      <c r="Y222" s="194" t="str">
        <f t="shared" si="26"/>
        <v/>
      </c>
      <c r="Z222" s="245" t="str">
        <f>IF(ISNUMBER(SEARCH("C", 'Dry_Litterbag Placem_Collection'!$T149)),"YES","NO")</f>
        <v>NO</v>
      </c>
      <c r="AA222" s="245" t="str">
        <f>IF(ISNUMBER(SEARCH("H", 'Dry_Litterbag Placem_Collection'!$T149)),"YES","NO")</f>
        <v>YES</v>
      </c>
      <c r="AB222" s="245" t="str">
        <f>IF(ISNUMBER(SEARCH("R", 'Dry_Litterbag Placem_Collection'!$T149)),"YES","NO")</f>
        <v>NO</v>
      </c>
      <c r="AC222" s="245" t="str">
        <f>IF(ISNUMBER(SEARCH("C", 'Dry_Litterbag Placem_Collection'!$S149)),"YES","NO")</f>
        <v>NO</v>
      </c>
      <c r="AD222" s="245" t="str">
        <f>IF(ISNUMBER(SEARCH("H", 'Dry_Litterbag Placem_Collection'!$S149)),"YES","NO")</f>
        <v>NO</v>
      </c>
      <c r="AE222" s="245" t="str">
        <f>IF(ISNUMBER(SEARCH("R", 'Dry_Litterbag Placem_Collection'!$S149)),"YES","NO")</f>
        <v>NO</v>
      </c>
    </row>
    <row r="223" spans="2:31">
      <c r="B223" t="str">
        <f>Dryseason!B149</f>
        <v>Dry</v>
      </c>
      <c r="C223" s="253">
        <f>Dryseason!C149</f>
        <v>148</v>
      </c>
      <c r="D223" t="s">
        <v>3124</v>
      </c>
      <c r="E223" t="s">
        <v>22</v>
      </c>
      <c r="F223" s="375">
        <v>4</v>
      </c>
      <c r="G223" s="16">
        <f>IF('Dry_Litterbag Placem_Collection'!E150="","",'Dry_Litterbag Placem_Collection'!E150)</f>
        <v>42939</v>
      </c>
      <c r="H223" t="str">
        <f>Dryseason!L149</f>
        <v>G290</v>
      </c>
      <c r="I223" t="str">
        <f>Dryseason!L369</f>
        <v>R823</v>
      </c>
      <c r="J223">
        <f>IFERROR(INDEX('Green_rooibos initial weight'!$C$5:$C$2000,MATCH(H223, 'Green_rooibos initial weight'!$A$5:$A$2000,0)),"")</f>
        <v>2.0539999999999998</v>
      </c>
      <c r="K223">
        <f>IFERROR(INDEX('Green_rooibos initial weight'!$C$5:$C$2000,MATCH(I223, 'Green_rooibos initial weight'!$A$5:$A$2000,0)),"")</f>
        <v>2.214</v>
      </c>
      <c r="L223" s="194">
        <f t="shared" si="19"/>
        <v>1.8041999999999998</v>
      </c>
      <c r="M223" s="233">
        <f>AVERAGE(Ashed_controlls!$K$1:$K$11)</f>
        <v>5.5147656768714146</v>
      </c>
      <c r="N223" s="194">
        <f t="shared" si="18"/>
        <v>1.9641999999999999</v>
      </c>
      <c r="O223" s="16">
        <f>IF('Dry_Litterbag Placem_Collection'!G150="","",'Dry_Litterbag Placem_Collection'!G150)</f>
        <v>43010</v>
      </c>
      <c r="P223" s="194">
        <f>IFERROR(INDEX('Both teabags AfterDry'!$D$3:$D$2000,MATCH(H223,'Both teabags AfterDry'!$A$3:$A$2000,0)),"")</f>
        <v>1.6564000000000001</v>
      </c>
      <c r="Q223" s="194">
        <f>IFERROR(INDEX('Both teabags AfterDry'!$D$3:$D$2000,MATCH(I223,'Both teabags AfterDry'!$A$3:$A$2000,0)),"")</f>
        <v>0</v>
      </c>
      <c r="R223" s="194">
        <f t="shared" si="20"/>
        <v>1.5058</v>
      </c>
      <c r="S223" s="194" t="str">
        <f t="shared" si="20"/>
        <v/>
      </c>
      <c r="T223" s="194">
        <f t="shared" si="21"/>
        <v>0.16539186342977485</v>
      </c>
      <c r="U223" s="194">
        <f t="shared" si="22"/>
        <v>0.10842791996821349</v>
      </c>
      <c r="V223" s="194" t="str">
        <f t="shared" si="23"/>
        <v/>
      </c>
      <c r="W223">
        <f t="shared" si="24"/>
        <v>71</v>
      </c>
      <c r="X223" s="194">
        <f t="shared" si="25"/>
        <v>0.80357260875323644</v>
      </c>
      <c r="Y223" s="194" t="str">
        <f t="shared" si="26"/>
        <v/>
      </c>
      <c r="Z223" s="245" t="str">
        <f>IF(ISNUMBER(SEARCH("C", 'Dry_Litterbag Placem_Collection'!$T150)),"YES","NO")</f>
        <v>YES</v>
      </c>
      <c r="AA223" s="245" t="str">
        <f>IF(ISNUMBER(SEARCH("H", 'Dry_Litterbag Placem_Collection'!$T150)),"YES","NO")</f>
        <v>YES</v>
      </c>
      <c r="AB223" s="245" t="str">
        <f>IF(ISNUMBER(SEARCH("R", 'Dry_Litterbag Placem_Collection'!$T150)),"YES","NO")</f>
        <v>NO</v>
      </c>
      <c r="AC223" s="245" t="str">
        <f>IF(ISNUMBER(SEARCH("C", 'Dry_Litterbag Placem_Collection'!$S150)),"YES","NO")</f>
        <v>NO</v>
      </c>
      <c r="AD223" s="245" t="str">
        <f>IF(ISNUMBER(SEARCH("H", 'Dry_Litterbag Placem_Collection'!$S150)),"YES","NO")</f>
        <v>NO</v>
      </c>
      <c r="AE223" s="245" t="str">
        <f>IF(ISNUMBER(SEARCH("R", 'Dry_Litterbag Placem_Collection'!$S150)),"YES","NO")</f>
        <v>NO</v>
      </c>
    </row>
    <row r="224" spans="2:31">
      <c r="B224" t="str">
        <f>Dryseason!B150</f>
        <v>Dry</v>
      </c>
      <c r="C224" s="253">
        <f>Dryseason!C150</f>
        <v>149</v>
      </c>
      <c r="D224" t="s">
        <v>3124</v>
      </c>
      <c r="E224" t="s">
        <v>22</v>
      </c>
      <c r="F224" s="375">
        <v>5</v>
      </c>
      <c r="G224" s="16">
        <f>IF('Dry_Litterbag Placem_Collection'!E151="","",'Dry_Litterbag Placem_Collection'!E151)</f>
        <v>42939</v>
      </c>
      <c r="H224" t="str">
        <f>Dryseason!L150</f>
        <v>G194</v>
      </c>
      <c r="I224" t="str">
        <f>Dryseason!L370</f>
        <v>R703</v>
      </c>
      <c r="J224">
        <f>IFERROR(INDEX('Green_rooibos initial weight'!$C$5:$C$2000,MATCH(H224, 'Green_rooibos initial weight'!$A$5:$A$2000,0)),"")</f>
        <v>2.032</v>
      </c>
      <c r="K224">
        <f>IFERROR(INDEX('Green_rooibos initial weight'!$C$5:$C$2000,MATCH(I224, 'Green_rooibos initial weight'!$A$5:$A$2000,0)),"")</f>
        <v>2.1379999999999999</v>
      </c>
      <c r="L224" s="194">
        <f t="shared" si="19"/>
        <v>1.7822</v>
      </c>
      <c r="M224" s="233">
        <f>AVERAGE(Ashed_controlls!$K$1:$K$11)</f>
        <v>5.5147656768714146</v>
      </c>
      <c r="N224" s="194">
        <f t="shared" si="18"/>
        <v>1.8881999999999999</v>
      </c>
      <c r="O224" s="16">
        <f>IF('Dry_Litterbag Placem_Collection'!G151="","",'Dry_Litterbag Placem_Collection'!G151)</f>
        <v>43010</v>
      </c>
      <c r="P224" s="194">
        <f>IFERROR(INDEX('Both teabags AfterDry'!$D$3:$D$2000,MATCH(H224,'Both teabags AfterDry'!$A$3:$A$2000,0)),"")</f>
        <v>1.56</v>
      </c>
      <c r="Q224" s="194">
        <f>IFERROR(INDEX('Both teabags AfterDry'!$D$3:$D$2000,MATCH(I224,'Both teabags AfterDry'!$A$3:$A$2000,0)),"")</f>
        <v>1.9032</v>
      </c>
      <c r="R224" s="194">
        <f t="shared" si="20"/>
        <v>1.4094</v>
      </c>
      <c r="S224" s="194">
        <f t="shared" si="20"/>
        <v>1.7525999999999999</v>
      </c>
      <c r="T224" s="194">
        <f t="shared" si="21"/>
        <v>0.20917966558186507</v>
      </c>
      <c r="U224" s="194">
        <f t="shared" si="22"/>
        <v>0.13713441259048639</v>
      </c>
      <c r="V224" s="194">
        <f t="shared" si="23"/>
        <v>0.92818557356212272</v>
      </c>
      <c r="W224">
        <f t="shared" si="24"/>
        <v>71</v>
      </c>
      <c r="X224" s="194">
        <f t="shared" si="25"/>
        <v>0.75156809313317685</v>
      </c>
      <c r="Y224" s="194">
        <f t="shared" si="26"/>
        <v>1.0445964824515555E-2</v>
      </c>
      <c r="Z224" s="245" t="str">
        <f>IF(ISNUMBER(SEARCH("C", 'Dry_Litterbag Placem_Collection'!$T151)),"YES","NO")</f>
        <v>NO</v>
      </c>
      <c r="AA224" s="245" t="str">
        <f>IF(ISNUMBER(SEARCH("H", 'Dry_Litterbag Placem_Collection'!$T151)),"YES","NO")</f>
        <v>NO</v>
      </c>
      <c r="AB224" s="245" t="str">
        <f>IF(ISNUMBER(SEARCH("R", 'Dry_Litterbag Placem_Collection'!$T151)),"YES","NO")</f>
        <v>NO</v>
      </c>
      <c r="AC224" s="245" t="str">
        <f>IF(ISNUMBER(SEARCH("C", 'Dry_Litterbag Placem_Collection'!$S151)),"YES","NO")</f>
        <v>NO</v>
      </c>
      <c r="AD224" s="245" t="str">
        <f>IF(ISNUMBER(SEARCH("H", 'Dry_Litterbag Placem_Collection'!$S151)),"YES","NO")</f>
        <v>NO</v>
      </c>
      <c r="AE224" s="245" t="str">
        <f>IF(ISNUMBER(SEARCH("R", 'Dry_Litterbag Placem_Collection'!$S151)),"YES","NO")</f>
        <v>NO</v>
      </c>
    </row>
    <row r="225" spans="2:31">
      <c r="B225" t="str">
        <f>Dryseason!B151</f>
        <v>Dry</v>
      </c>
      <c r="C225" s="253">
        <f>Dryseason!C151</f>
        <v>150</v>
      </c>
      <c r="D225" t="s">
        <v>3124</v>
      </c>
      <c r="E225" t="s">
        <v>22</v>
      </c>
      <c r="F225" s="375">
        <v>6</v>
      </c>
      <c r="G225" s="16">
        <f>IF('Dry_Litterbag Placem_Collection'!E152="","",'Dry_Litterbag Placem_Collection'!E152)</f>
        <v>42939</v>
      </c>
      <c r="H225" t="str">
        <f>Dryseason!L151</f>
        <v>G272</v>
      </c>
      <c r="I225" t="str">
        <f>Dryseason!L371</f>
        <v>R668</v>
      </c>
      <c r="J225">
        <f>IFERROR(INDEX('Green_rooibos initial weight'!$C$5:$C$2000,MATCH(H225, 'Green_rooibos initial weight'!$A$5:$A$2000,0)),"")</f>
        <v>2.0649999999999999</v>
      </c>
      <c r="K225">
        <f>IFERROR(INDEX('Green_rooibos initial weight'!$C$5:$C$2000,MATCH(I225, 'Green_rooibos initial weight'!$A$5:$A$2000,0)),"")</f>
        <v>2.1419999999999999</v>
      </c>
      <c r="L225" s="194">
        <f t="shared" si="19"/>
        <v>1.8151999999999999</v>
      </c>
      <c r="M225" s="233">
        <f>AVERAGE(Ashed_controlls!$K$1:$K$11)</f>
        <v>5.5147656768714146</v>
      </c>
      <c r="N225" s="194">
        <f t="shared" si="18"/>
        <v>1.8921999999999999</v>
      </c>
      <c r="O225" s="16">
        <f>IF('Dry_Litterbag Placem_Collection'!G152="","",'Dry_Litterbag Placem_Collection'!G152)</f>
        <v>43010</v>
      </c>
      <c r="P225" s="194" t="str">
        <f>IFERROR(INDEX('Both teabags AfterDry'!$D$3:$D$2000,MATCH(H225,'Both teabags AfterDry'!$A$3:$A$2000,0)),"")</f>
        <v/>
      </c>
      <c r="Q225" s="194" t="str">
        <f>IFERROR(INDEX('Both teabags AfterDry'!$D$3:$D$2000,MATCH(I225,'Both teabags AfterDry'!$A$3:$A$2000,0)),"")</f>
        <v/>
      </c>
      <c r="R225" s="194" t="str">
        <f t="shared" si="20"/>
        <v/>
      </c>
      <c r="S225" s="194" t="str">
        <f t="shared" si="20"/>
        <v/>
      </c>
      <c r="T225" s="194" t="str">
        <f t="shared" si="21"/>
        <v/>
      </c>
      <c r="U225" s="194" t="str">
        <f t="shared" si="22"/>
        <v/>
      </c>
      <c r="V225" s="194" t="str">
        <f t="shared" si="23"/>
        <v/>
      </c>
      <c r="W225">
        <f t="shared" si="24"/>
        <v>71</v>
      </c>
      <c r="X225" s="194" t="str">
        <f t="shared" si="25"/>
        <v/>
      </c>
      <c r="Y225" s="194" t="str">
        <f t="shared" si="26"/>
        <v/>
      </c>
      <c r="Z225" s="245" t="str">
        <f>IF(ISNUMBER(SEARCH("C", 'Dry_Litterbag Placem_Collection'!$T152)),"YES","NO")</f>
        <v>NO</v>
      </c>
      <c r="AA225" s="245" t="str">
        <f>IF(ISNUMBER(SEARCH("H", 'Dry_Litterbag Placem_Collection'!$T152)),"YES","NO")</f>
        <v>YES</v>
      </c>
      <c r="AB225" s="245" t="str">
        <f>IF(ISNUMBER(SEARCH("R", 'Dry_Litterbag Placem_Collection'!$T152)),"YES","NO")</f>
        <v>NO</v>
      </c>
      <c r="AC225" s="245" t="str">
        <f>IF(ISNUMBER(SEARCH("C", 'Dry_Litterbag Placem_Collection'!$S152)),"YES","NO")</f>
        <v>NO</v>
      </c>
      <c r="AD225" s="245" t="str">
        <f>IF(ISNUMBER(SEARCH("H", 'Dry_Litterbag Placem_Collection'!$S152)),"YES","NO")</f>
        <v>YES</v>
      </c>
      <c r="AE225" s="245" t="str">
        <f>IF(ISNUMBER(SEARCH("R", 'Dry_Litterbag Placem_Collection'!$S152)),"YES","NO")</f>
        <v>NO</v>
      </c>
    </row>
    <row r="226" spans="2:31">
      <c r="B226" t="str">
        <f>Dryseason!B152</f>
        <v>Dry</v>
      </c>
      <c r="C226" s="253">
        <f>Dryseason!C152</f>
        <v>151</v>
      </c>
      <c r="D226" t="s">
        <v>3124</v>
      </c>
      <c r="E226" t="s">
        <v>22</v>
      </c>
      <c r="F226" s="375">
        <v>7</v>
      </c>
      <c r="G226" s="16" t="str">
        <f>IF('Dry_Litterbag Placem_Collection'!E153="","",'Dry_Litterbag Placem_Collection'!E153)</f>
        <v/>
      </c>
      <c r="H226" t="str">
        <f>Dryseason!L152</f>
        <v/>
      </c>
      <c r="I226" t="str">
        <f>Dryseason!L372</f>
        <v/>
      </c>
      <c r="J226" t="str">
        <f>IFERROR(INDEX('Green_rooibos initial weight'!$C$5:$C$2000,MATCH(H226, 'Green_rooibos initial weight'!$A$5:$A$2000,0)),"")</f>
        <v/>
      </c>
      <c r="K226" t="str">
        <f>IFERROR(INDEX('Green_rooibos initial weight'!$C$5:$C$2000,MATCH(I226, 'Green_rooibos initial weight'!$A$5:$A$2000,0)),"")</f>
        <v/>
      </c>
      <c r="L226" s="194" t="str">
        <f t="shared" si="19"/>
        <v/>
      </c>
      <c r="M226" s="233">
        <f>AVERAGE(Ashed_controlls!$K$1:$K$11)</f>
        <v>5.5147656768714146</v>
      </c>
      <c r="N226" s="194" t="str">
        <f t="shared" si="18"/>
        <v/>
      </c>
      <c r="O226" s="16" t="str">
        <f>IF('Dry_Litterbag Placem_Collection'!G153="","",'Dry_Litterbag Placem_Collection'!G153)</f>
        <v/>
      </c>
      <c r="P226" s="194" t="str">
        <f>IFERROR(INDEX('Both teabags AfterDry'!$D$3:$D$2000,MATCH(H226,'Both teabags AfterDry'!$A$3:$A$2000,0)),"")</f>
        <v/>
      </c>
      <c r="Q226" s="194" t="str">
        <f>IFERROR(INDEX('Both teabags AfterDry'!$D$3:$D$2000,MATCH(I226,'Both teabags AfterDry'!$A$3:$A$2000,0)),"")</f>
        <v/>
      </c>
      <c r="R226" s="194" t="str">
        <f t="shared" si="20"/>
        <v/>
      </c>
      <c r="S226" s="194" t="str">
        <f t="shared" si="20"/>
        <v/>
      </c>
      <c r="T226" s="194" t="str">
        <f t="shared" si="21"/>
        <v/>
      </c>
      <c r="U226" s="194" t="str">
        <f t="shared" si="22"/>
        <v/>
      </c>
      <c r="V226" s="194" t="str">
        <f t="shared" si="23"/>
        <v/>
      </c>
      <c r="W226" t="str">
        <f t="shared" si="24"/>
        <v/>
      </c>
      <c r="X226" s="194" t="str">
        <f t="shared" si="25"/>
        <v/>
      </c>
      <c r="Y226" s="194" t="str">
        <f t="shared" si="26"/>
        <v/>
      </c>
      <c r="Z226" s="245" t="str">
        <f>IF(ISNUMBER(SEARCH("C", 'Dry_Litterbag Placem_Collection'!$T153)),"YES","NO")</f>
        <v>NO</v>
      </c>
      <c r="AA226" s="245" t="str">
        <f>IF(ISNUMBER(SEARCH("H", 'Dry_Litterbag Placem_Collection'!$T153)),"YES","NO")</f>
        <v>NO</v>
      </c>
      <c r="AB226" s="245" t="str">
        <f>IF(ISNUMBER(SEARCH("R", 'Dry_Litterbag Placem_Collection'!$T153)),"YES","NO")</f>
        <v>NO</v>
      </c>
      <c r="AC226" s="245" t="str">
        <f>IF(ISNUMBER(SEARCH("C", 'Dry_Litterbag Placem_Collection'!$S153)),"YES","NO")</f>
        <v>NO</v>
      </c>
      <c r="AD226" s="245" t="str">
        <f>IF(ISNUMBER(SEARCH("H", 'Dry_Litterbag Placem_Collection'!$S153)),"YES","NO")</f>
        <v>NO</v>
      </c>
      <c r="AE226" s="245" t="str">
        <f>IF(ISNUMBER(SEARCH("R", 'Dry_Litterbag Placem_Collection'!$S153)),"YES","NO")</f>
        <v>NO</v>
      </c>
    </row>
    <row r="227" spans="2:31">
      <c r="B227" t="str">
        <f>Dryseason!B153</f>
        <v>Dry</v>
      </c>
      <c r="C227" s="253">
        <f>Dryseason!C153</f>
        <v>152</v>
      </c>
      <c r="D227" t="s">
        <v>3124</v>
      </c>
      <c r="E227" t="s">
        <v>22</v>
      </c>
      <c r="F227" s="375">
        <v>8</v>
      </c>
      <c r="G227" s="16">
        <f>IF('Dry_Litterbag Placem_Collection'!E154="","",'Dry_Litterbag Placem_Collection'!E154)</f>
        <v>42939</v>
      </c>
      <c r="H227" t="str">
        <f>Dryseason!L153</f>
        <v>G198</v>
      </c>
      <c r="I227" t="str">
        <f>Dryseason!L373</f>
        <v>R788</v>
      </c>
      <c r="J227">
        <f>IFERROR(INDEX('Green_rooibos initial weight'!$C$5:$C$2000,MATCH(H227, 'Green_rooibos initial weight'!$A$5:$A$2000,0)),"")</f>
        <v>1.931</v>
      </c>
      <c r="K227">
        <f>IFERROR(INDEX('Green_rooibos initial weight'!$C$5:$C$2000,MATCH(I227, 'Green_rooibos initial weight'!$A$5:$A$2000,0)),"")</f>
        <v>2.1869999999999998</v>
      </c>
      <c r="L227" s="194">
        <f t="shared" si="19"/>
        <v>1.6812</v>
      </c>
      <c r="M227" s="233">
        <f>AVERAGE(Ashed_controlls!$K$1:$K$11)</f>
        <v>5.5147656768714146</v>
      </c>
      <c r="N227" s="194">
        <f t="shared" si="18"/>
        <v>1.9371999999999998</v>
      </c>
      <c r="O227" s="16">
        <f>IF('Dry_Litterbag Placem_Collection'!G154="","",'Dry_Litterbag Placem_Collection'!G154)</f>
        <v>43010</v>
      </c>
      <c r="P227" s="194">
        <f>IFERROR(INDEX('Both teabags AfterDry'!$D$3:$D$2000,MATCH(H227,'Both teabags AfterDry'!$A$3:$A$2000,0)),"")</f>
        <v>1.3654999999999999</v>
      </c>
      <c r="Q227" s="194">
        <f>IFERROR(INDEX('Both teabags AfterDry'!$D$3:$D$2000,MATCH(I227,'Both teabags AfterDry'!$A$3:$A$2000,0)),"")</f>
        <v>0.43190000000000001</v>
      </c>
      <c r="R227" s="194">
        <f t="shared" si="20"/>
        <v>1.2148999999999999</v>
      </c>
      <c r="S227" s="194">
        <f t="shared" si="20"/>
        <v>0.28129999999999999</v>
      </c>
      <c r="T227" s="194">
        <f t="shared" si="21"/>
        <v>0.27736140851772551</v>
      </c>
      <c r="U227" s="194">
        <f t="shared" si="22"/>
        <v>0.18183313242492222</v>
      </c>
      <c r="V227" s="194">
        <f t="shared" si="23"/>
        <v>0.14520958083832336</v>
      </c>
      <c r="W227">
        <f t="shared" si="24"/>
        <v>71</v>
      </c>
      <c r="X227" s="194">
        <f t="shared" si="25"/>
        <v>0.67059215140412642</v>
      </c>
      <c r="Y227" s="194" t="str">
        <f t="shared" si="26"/>
        <v/>
      </c>
      <c r="Z227" s="245" t="str">
        <f>IF(ISNUMBER(SEARCH("C", 'Dry_Litterbag Placem_Collection'!$T154)),"YES","NO")</f>
        <v>NO</v>
      </c>
      <c r="AA227" s="245" t="str">
        <f>IF(ISNUMBER(SEARCH("H", 'Dry_Litterbag Placem_Collection'!$T154)),"YES","NO")</f>
        <v>YES</v>
      </c>
      <c r="AB227" s="245" t="str">
        <f>IF(ISNUMBER(SEARCH("R", 'Dry_Litterbag Placem_Collection'!$T154)),"YES","NO")</f>
        <v>NO</v>
      </c>
      <c r="AC227" s="245" t="str">
        <f>IF(ISNUMBER(SEARCH("C", 'Dry_Litterbag Placem_Collection'!$S154)),"YES","NO")</f>
        <v>YES</v>
      </c>
      <c r="AD227" s="245" t="str">
        <f>IF(ISNUMBER(SEARCH("H", 'Dry_Litterbag Placem_Collection'!$S154)),"YES","NO")</f>
        <v>YES</v>
      </c>
      <c r="AE227" s="245" t="str">
        <f>IF(ISNUMBER(SEARCH("R", 'Dry_Litterbag Placem_Collection'!$S154)),"YES","NO")</f>
        <v>NO</v>
      </c>
    </row>
    <row r="228" spans="2:31">
      <c r="B228" t="str">
        <f>Dryseason!B154</f>
        <v>Dry</v>
      </c>
      <c r="C228" s="253">
        <f>Dryseason!C154</f>
        <v>153</v>
      </c>
      <c r="D228" t="s">
        <v>3125</v>
      </c>
      <c r="E228" t="s">
        <v>22</v>
      </c>
      <c r="F228" s="374">
        <v>1</v>
      </c>
      <c r="G228" s="16">
        <f>IF('Dry_Litterbag Placem_Collection'!E155="","",'Dry_Litterbag Placem_Collection'!E155)</f>
        <v>42939</v>
      </c>
      <c r="H228" t="str">
        <f>Dryseason!L154</f>
        <v>G197</v>
      </c>
      <c r="I228" t="str">
        <f>Dryseason!L374</f>
        <v>R735</v>
      </c>
      <c r="J228">
        <f>IFERROR(INDEX('Green_rooibos initial weight'!$C$5:$C$2000,MATCH(H228, 'Green_rooibos initial weight'!$A$5:$A$2000,0)),"")</f>
        <v>2.1120000000000001</v>
      </c>
      <c r="K228">
        <f>IFERROR(INDEX('Green_rooibos initial weight'!$C$5:$C$2000,MATCH(I228, 'Green_rooibos initial weight'!$A$5:$A$2000,0)),"")</f>
        <v>2.12</v>
      </c>
      <c r="L228" s="194">
        <f t="shared" si="19"/>
        <v>1.8622000000000001</v>
      </c>
      <c r="M228" s="233">
        <f>AVERAGE(Ashed_controlls!$K$1:$K$11)</f>
        <v>5.5147656768714146</v>
      </c>
      <c r="N228" s="194">
        <f t="shared" si="18"/>
        <v>1.8702000000000001</v>
      </c>
      <c r="O228" s="16">
        <f>IF('Dry_Litterbag Placem_Collection'!G155="","",'Dry_Litterbag Placem_Collection'!G155)</f>
        <v>43010</v>
      </c>
      <c r="P228" s="194">
        <f>IFERROR(INDEX('Both teabags AfterDry'!$D$3:$D$2000,MATCH(H228,'Both teabags AfterDry'!$A$3:$A$2000,0)),"")</f>
        <v>1.2847</v>
      </c>
      <c r="Q228" s="194">
        <f>IFERROR(INDEX('Both teabags AfterDry'!$D$3:$D$2000,MATCH(I228,'Both teabags AfterDry'!$A$3:$A$2000,0)),"")</f>
        <v>1.0566</v>
      </c>
      <c r="R228" s="194">
        <f t="shared" si="20"/>
        <v>1.1340999999999999</v>
      </c>
      <c r="S228" s="194">
        <f t="shared" si="20"/>
        <v>0.90599999999999992</v>
      </c>
      <c r="T228" s="194">
        <f t="shared" si="21"/>
        <v>0.39098915261518641</v>
      </c>
      <c r="U228" s="194">
        <f t="shared" si="22"/>
        <v>0.25632543021803195</v>
      </c>
      <c r="V228" s="194">
        <f t="shared" si="23"/>
        <v>0.48444016682707725</v>
      </c>
      <c r="W228">
        <f t="shared" si="24"/>
        <v>71</v>
      </c>
      <c r="X228" s="194">
        <f t="shared" si="25"/>
        <v>0.53564233656153637</v>
      </c>
      <c r="Y228" s="194" t="str">
        <f t="shared" si="26"/>
        <v/>
      </c>
      <c r="Z228" s="245" t="str">
        <f>IF(ISNUMBER(SEARCH("C", 'Dry_Litterbag Placem_Collection'!$T155)),"YES","NO")</f>
        <v>YES</v>
      </c>
      <c r="AA228" s="245" t="str">
        <f>IF(ISNUMBER(SEARCH("H", 'Dry_Litterbag Placem_Collection'!$T155)),"YES","NO")</f>
        <v>YES</v>
      </c>
      <c r="AB228" s="245" t="str">
        <f>IF(ISNUMBER(SEARCH("R", 'Dry_Litterbag Placem_Collection'!$T155)),"YES","NO")</f>
        <v>NO</v>
      </c>
      <c r="AC228" s="245" t="str">
        <f>IF(ISNUMBER(SEARCH("C", 'Dry_Litterbag Placem_Collection'!$S155)),"YES","NO")</f>
        <v>YES</v>
      </c>
      <c r="AD228" s="245" t="str">
        <f>IF(ISNUMBER(SEARCH("H", 'Dry_Litterbag Placem_Collection'!$S155)),"YES","NO")</f>
        <v>YES</v>
      </c>
      <c r="AE228" s="245" t="str">
        <f>IF(ISNUMBER(SEARCH("R", 'Dry_Litterbag Placem_Collection'!$S155)),"YES","NO")</f>
        <v>NO</v>
      </c>
    </row>
    <row r="229" spans="2:31">
      <c r="B229" t="str">
        <f>Dryseason!B155</f>
        <v>Dry</v>
      </c>
      <c r="C229" s="253">
        <f>Dryseason!C155</f>
        <v>154</v>
      </c>
      <c r="D229" t="s">
        <v>3125</v>
      </c>
      <c r="E229" t="s">
        <v>22</v>
      </c>
      <c r="F229" s="374">
        <v>2</v>
      </c>
      <c r="G229" s="16">
        <f>IF('Dry_Litterbag Placem_Collection'!E156="","",'Dry_Litterbag Placem_Collection'!E156)</f>
        <v>42939</v>
      </c>
      <c r="H229" t="str">
        <f>Dryseason!L155</f>
        <v>G127</v>
      </c>
      <c r="I229" t="str">
        <f>Dryseason!L375</f>
        <v>R836</v>
      </c>
      <c r="J229">
        <f>IFERROR(INDEX('Green_rooibos initial weight'!$C$5:$C$2000,MATCH(H229, 'Green_rooibos initial weight'!$A$5:$A$2000,0)),"")</f>
        <v>1.9490000000000001</v>
      </c>
      <c r="K229">
        <f>IFERROR(INDEX('Green_rooibos initial weight'!$C$5:$C$2000,MATCH(I229, 'Green_rooibos initial weight'!$A$5:$A$2000,0)),"")</f>
        <v>2.2000000000000002</v>
      </c>
      <c r="L229" s="194">
        <f t="shared" si="19"/>
        <v>1.6992</v>
      </c>
      <c r="M229" s="233">
        <f>AVERAGE(Ashed_controlls!$K$1:$K$11)</f>
        <v>5.5147656768714146</v>
      </c>
      <c r="N229" s="194">
        <f t="shared" si="18"/>
        <v>1.9502000000000002</v>
      </c>
      <c r="O229" s="16">
        <f>IF('Dry_Litterbag Placem_Collection'!G156="","",'Dry_Litterbag Placem_Collection'!G156)</f>
        <v>43010</v>
      </c>
      <c r="P229" s="194">
        <f>IFERROR(INDEX('Both teabags AfterDry'!$D$3:$D$2000,MATCH(H229,'Both teabags AfterDry'!$A$3:$A$2000,0)),"")</f>
        <v>1.1896</v>
      </c>
      <c r="Q229" s="194">
        <f>IFERROR(INDEX('Both teabags AfterDry'!$D$3:$D$2000,MATCH(I229,'Both teabags AfterDry'!$A$3:$A$2000,0)),"")</f>
        <v>0.62509999999999999</v>
      </c>
      <c r="R229" s="194">
        <f t="shared" si="20"/>
        <v>1.0389999999999999</v>
      </c>
      <c r="S229" s="194">
        <f t="shared" si="20"/>
        <v>0.47449999999999998</v>
      </c>
      <c r="T229" s="194">
        <f t="shared" si="21"/>
        <v>0.38853578154425616</v>
      </c>
      <c r="U229" s="194">
        <f t="shared" si="22"/>
        <v>0.25471704443281407</v>
      </c>
      <c r="V229" s="194">
        <f t="shared" si="23"/>
        <v>0.243308378627833</v>
      </c>
      <c r="W229">
        <f t="shared" si="24"/>
        <v>71</v>
      </c>
      <c r="X229" s="194">
        <f t="shared" si="25"/>
        <v>0.5385560789260615</v>
      </c>
      <c r="Y229" s="194" t="str">
        <f t="shared" si="26"/>
        <v/>
      </c>
      <c r="Z229" s="245" t="str">
        <f>IF(ISNUMBER(SEARCH("C", 'Dry_Litterbag Placem_Collection'!$T156)),"YES","NO")</f>
        <v>NO</v>
      </c>
      <c r="AA229" s="245" t="str">
        <f>IF(ISNUMBER(SEARCH("H", 'Dry_Litterbag Placem_Collection'!$T156)),"YES","NO")</f>
        <v>YES</v>
      </c>
      <c r="AB229" s="245" t="str">
        <f>IF(ISNUMBER(SEARCH("R", 'Dry_Litterbag Placem_Collection'!$T156)),"YES","NO")</f>
        <v>NO</v>
      </c>
      <c r="AC229" s="245" t="str">
        <f>IF(ISNUMBER(SEARCH("C", 'Dry_Litterbag Placem_Collection'!$S156)),"YES","NO")</f>
        <v>YES</v>
      </c>
      <c r="AD229" s="245" t="str">
        <f>IF(ISNUMBER(SEARCH("H", 'Dry_Litterbag Placem_Collection'!$S156)),"YES","NO")</f>
        <v>YES</v>
      </c>
      <c r="AE229" s="245" t="str">
        <f>IF(ISNUMBER(SEARCH("R", 'Dry_Litterbag Placem_Collection'!$S156)),"YES","NO")</f>
        <v>NO</v>
      </c>
    </row>
    <row r="230" spans="2:31">
      <c r="B230" t="str">
        <f>Dryseason!B156</f>
        <v>Dry</v>
      </c>
      <c r="C230" s="253">
        <f>Dryseason!C156</f>
        <v>155</v>
      </c>
      <c r="D230" t="s">
        <v>3125</v>
      </c>
      <c r="E230" t="s">
        <v>22</v>
      </c>
      <c r="F230" s="374">
        <v>3</v>
      </c>
      <c r="G230" s="16">
        <f>IF('Dry_Litterbag Placem_Collection'!E157="","",'Dry_Litterbag Placem_Collection'!E157)</f>
        <v>42939</v>
      </c>
      <c r="H230" t="str">
        <f>Dryseason!L156</f>
        <v>G253</v>
      </c>
      <c r="I230" t="str">
        <f>Dryseason!L376</f>
        <v>R337</v>
      </c>
      <c r="J230">
        <f>IFERROR(INDEX('Green_rooibos initial weight'!$C$5:$C$2000,MATCH(H230, 'Green_rooibos initial weight'!$A$5:$A$2000,0)),"")</f>
        <v>2.0169999999999999</v>
      </c>
      <c r="K230">
        <f>IFERROR(INDEX('Green_rooibos initial weight'!$C$5:$C$2000,MATCH(I230, 'Green_rooibos initial weight'!$A$5:$A$2000,0)),"")</f>
        <v>2.2309999999999999</v>
      </c>
      <c r="L230" s="194">
        <f t="shared" si="19"/>
        <v>1.7671999999999999</v>
      </c>
      <c r="M230" s="233">
        <f>AVERAGE(Ashed_controlls!$K$1:$K$11)</f>
        <v>5.5147656768714146</v>
      </c>
      <c r="N230" s="194">
        <f t="shared" si="18"/>
        <v>1.9811999999999999</v>
      </c>
      <c r="O230" s="16">
        <f>IF('Dry_Litterbag Placem_Collection'!G157="","",'Dry_Litterbag Placem_Collection'!G157)</f>
        <v>43010</v>
      </c>
      <c r="P230" s="194">
        <f>IFERROR(INDEX('Both teabags AfterDry'!$D$3:$D$2000,MATCH(H230,'Both teabags AfterDry'!$A$3:$A$2000,0)),"")</f>
        <v>1.2484</v>
      </c>
      <c r="Q230" s="194">
        <f>IFERROR(INDEX('Both teabags AfterDry'!$D$3:$D$2000,MATCH(I230,'Both teabags AfterDry'!$A$3:$A$2000,0)),"")</f>
        <v>1.8893</v>
      </c>
      <c r="R230" s="194">
        <f t="shared" si="20"/>
        <v>1.0977999999999999</v>
      </c>
      <c r="S230" s="194">
        <f t="shared" si="20"/>
        <v>1.7386999999999999</v>
      </c>
      <c r="T230" s="194">
        <f t="shared" si="21"/>
        <v>0.37879130828429153</v>
      </c>
      <c r="U230" s="194">
        <f t="shared" si="22"/>
        <v>0.24832874367331229</v>
      </c>
      <c r="V230" s="194">
        <f t="shared" si="23"/>
        <v>0.87759943468604884</v>
      </c>
      <c r="W230">
        <f t="shared" si="24"/>
        <v>71</v>
      </c>
      <c r="X230" s="194">
        <f t="shared" si="25"/>
        <v>0.55012908754834733</v>
      </c>
      <c r="Y230" s="194">
        <f t="shared" si="26"/>
        <v>9.5639678348855475E-3</v>
      </c>
      <c r="Z230" s="245" t="str">
        <f>IF(ISNUMBER(SEARCH("C", 'Dry_Litterbag Placem_Collection'!$T157)),"YES","NO")</f>
        <v>YES</v>
      </c>
      <c r="AA230" s="245" t="str">
        <f>IF(ISNUMBER(SEARCH("H", 'Dry_Litterbag Placem_Collection'!$T157)),"YES","NO")</f>
        <v>YES</v>
      </c>
      <c r="AB230" s="245" t="str">
        <f>IF(ISNUMBER(SEARCH("R", 'Dry_Litterbag Placem_Collection'!$T157)),"YES","NO")</f>
        <v>NO</v>
      </c>
      <c r="AC230" s="245" t="str">
        <f>IF(ISNUMBER(SEARCH("C", 'Dry_Litterbag Placem_Collection'!$S157)),"YES","NO")</f>
        <v>NO</v>
      </c>
      <c r="AD230" s="245" t="str">
        <f>IF(ISNUMBER(SEARCH("H", 'Dry_Litterbag Placem_Collection'!$S157)),"YES","NO")</f>
        <v>YES</v>
      </c>
      <c r="AE230" s="245" t="str">
        <f>IF(ISNUMBER(SEARCH("R", 'Dry_Litterbag Placem_Collection'!$S157)),"YES","NO")</f>
        <v>NO</v>
      </c>
    </row>
    <row r="231" spans="2:31">
      <c r="B231" t="str">
        <f>Dryseason!B157</f>
        <v>Dry</v>
      </c>
      <c r="C231" s="253">
        <f>Dryseason!C157</f>
        <v>156</v>
      </c>
      <c r="D231" t="s">
        <v>3125</v>
      </c>
      <c r="E231" t="s">
        <v>22</v>
      </c>
      <c r="F231" s="375">
        <v>4</v>
      </c>
      <c r="G231" s="16">
        <f>IF('Dry_Litterbag Placem_Collection'!E158="","",'Dry_Litterbag Placem_Collection'!E158)</f>
        <v>42939</v>
      </c>
      <c r="H231" t="str">
        <f>Dryseason!L157</f>
        <v>G47</v>
      </c>
      <c r="I231" t="str">
        <f>Dryseason!L377</f>
        <v>R118</v>
      </c>
      <c r="J231">
        <f>IFERROR(INDEX('Green_rooibos initial weight'!$C$5:$C$2000,MATCH(H231, 'Green_rooibos initial weight'!$A$5:$A$2000,0)),"")</f>
        <v>2.0840000000000001</v>
      </c>
      <c r="K231">
        <f>IFERROR(INDEX('Green_rooibos initial weight'!$C$5:$C$2000,MATCH(I231, 'Green_rooibos initial weight'!$A$5:$A$2000,0)),"")</f>
        <v>2.3330000000000002</v>
      </c>
      <c r="L231" s="194">
        <f t="shared" si="19"/>
        <v>1.8342000000000001</v>
      </c>
      <c r="M231" s="233">
        <f>AVERAGE(Ashed_controlls!$K$1:$K$11)</f>
        <v>5.5147656768714146</v>
      </c>
      <c r="N231" s="194">
        <f t="shared" si="18"/>
        <v>2.0832000000000002</v>
      </c>
      <c r="O231" s="16">
        <f>IF('Dry_Litterbag Placem_Collection'!G158="","",'Dry_Litterbag Placem_Collection'!G158)</f>
        <v>43010</v>
      </c>
      <c r="P231" s="194">
        <f>IFERROR(INDEX('Both teabags AfterDry'!$D$3:$D$2000,MATCH(H231,'Both teabags AfterDry'!$A$3:$A$2000,0)),"")</f>
        <v>1.1167</v>
      </c>
      <c r="Q231" s="194">
        <f>IFERROR(INDEX('Both teabags AfterDry'!$D$3:$D$2000,MATCH(I231,'Both teabags AfterDry'!$A$3:$A$2000,0)),"")</f>
        <v>0.79290000000000005</v>
      </c>
      <c r="R231" s="194">
        <f t="shared" si="20"/>
        <v>0.96609999999999996</v>
      </c>
      <c r="S231" s="194">
        <f t="shared" si="20"/>
        <v>0.64230000000000009</v>
      </c>
      <c r="T231" s="194">
        <f t="shared" si="21"/>
        <v>0.47328535601352095</v>
      </c>
      <c r="U231" s="194">
        <f t="shared" si="22"/>
        <v>0.31027733553380477</v>
      </c>
      <c r="V231" s="194">
        <f t="shared" si="23"/>
        <v>0.30832373271889402</v>
      </c>
      <c r="W231">
        <f t="shared" si="24"/>
        <v>71</v>
      </c>
      <c r="X231" s="194">
        <f t="shared" si="25"/>
        <v>0.43790337765615084</v>
      </c>
      <c r="Y231" s="194" t="str">
        <f t="shared" si="26"/>
        <v/>
      </c>
      <c r="Z231" s="245" t="str">
        <f>IF(ISNUMBER(SEARCH("C", 'Dry_Litterbag Placem_Collection'!$T158)),"YES","NO")</f>
        <v>YES</v>
      </c>
      <c r="AA231" s="245" t="str">
        <f>IF(ISNUMBER(SEARCH("H", 'Dry_Litterbag Placem_Collection'!$T158)),"YES","NO")</f>
        <v>YES</v>
      </c>
      <c r="AB231" s="245" t="str">
        <f>IF(ISNUMBER(SEARCH("R", 'Dry_Litterbag Placem_Collection'!$T158)),"YES","NO")</f>
        <v>NO</v>
      </c>
      <c r="AC231" s="245" t="str">
        <f>IF(ISNUMBER(SEARCH("C", 'Dry_Litterbag Placem_Collection'!$S158)),"YES","NO")</f>
        <v>NO</v>
      </c>
      <c r="AD231" s="245" t="str">
        <f>IF(ISNUMBER(SEARCH("H", 'Dry_Litterbag Placem_Collection'!$S158)),"YES","NO")</f>
        <v>YES</v>
      </c>
      <c r="AE231" s="245" t="str">
        <f>IF(ISNUMBER(SEARCH("R", 'Dry_Litterbag Placem_Collection'!$S158)),"YES","NO")</f>
        <v>YES</v>
      </c>
    </row>
    <row r="232" spans="2:31">
      <c r="B232" t="str">
        <f>Dryseason!B158</f>
        <v>Dry</v>
      </c>
      <c r="C232" s="253">
        <f>Dryseason!C158</f>
        <v>157</v>
      </c>
      <c r="D232" t="s">
        <v>3125</v>
      </c>
      <c r="E232" t="s">
        <v>22</v>
      </c>
      <c r="F232" s="375">
        <v>5</v>
      </c>
      <c r="G232" s="16">
        <f>IF('Dry_Litterbag Placem_Collection'!E159="","",'Dry_Litterbag Placem_Collection'!E159)</f>
        <v>42939</v>
      </c>
      <c r="H232" t="str">
        <f>Dryseason!L158</f>
        <v>G328</v>
      </c>
      <c r="I232" t="str">
        <f>Dryseason!L378</f>
        <v>R478</v>
      </c>
      <c r="J232">
        <f>IFERROR(INDEX('Green_rooibos initial weight'!$C$5:$C$2000,MATCH(H232, 'Green_rooibos initial weight'!$A$5:$A$2000,0)),"")</f>
        <v>2.1309999999999998</v>
      </c>
      <c r="K232">
        <f>IFERROR(INDEX('Green_rooibos initial weight'!$C$5:$C$2000,MATCH(I232, 'Green_rooibos initial weight'!$A$5:$A$2000,0)),"")</f>
        <v>2.1640000000000001</v>
      </c>
      <c r="L232" s="194">
        <f t="shared" si="19"/>
        <v>1.8811999999999998</v>
      </c>
      <c r="M232" s="233">
        <f>AVERAGE(Ashed_controlls!$K$1:$K$11)</f>
        <v>5.5147656768714146</v>
      </c>
      <c r="N232" s="194">
        <f t="shared" si="18"/>
        <v>1.9142000000000001</v>
      </c>
      <c r="O232" s="16">
        <f>IF('Dry_Litterbag Placem_Collection'!G159="","",'Dry_Litterbag Placem_Collection'!G159)</f>
        <v>43010</v>
      </c>
      <c r="P232" s="194" t="str">
        <f>IFERROR(INDEX('Both teabags AfterDry'!$D$3:$D$2000,MATCH(H232,'Both teabags AfterDry'!$A$3:$A$2000,0)),"")</f>
        <v/>
      </c>
      <c r="Q232" s="194" t="str">
        <f>IFERROR(INDEX('Both teabags AfterDry'!$D$3:$D$2000,MATCH(I232,'Both teabags AfterDry'!$A$3:$A$2000,0)),"")</f>
        <v/>
      </c>
      <c r="R232" s="194" t="str">
        <f t="shared" si="20"/>
        <v/>
      </c>
      <c r="S232" s="194" t="str">
        <f t="shared" si="20"/>
        <v/>
      </c>
      <c r="T232" s="194" t="str">
        <f t="shared" si="21"/>
        <v/>
      </c>
      <c r="U232" s="194" t="str">
        <f t="shared" si="22"/>
        <v/>
      </c>
      <c r="V232" s="194" t="str">
        <f t="shared" si="23"/>
        <v/>
      </c>
      <c r="W232">
        <f t="shared" si="24"/>
        <v>71</v>
      </c>
      <c r="X232" s="194" t="str">
        <f t="shared" si="25"/>
        <v/>
      </c>
      <c r="Y232" s="194" t="str">
        <f t="shared" si="26"/>
        <v/>
      </c>
      <c r="Z232" s="245" t="str">
        <f>IF(ISNUMBER(SEARCH("C", 'Dry_Litterbag Placem_Collection'!$T159)),"YES","NO")</f>
        <v>YES</v>
      </c>
      <c r="AA232" s="245" t="str">
        <f>IF(ISNUMBER(SEARCH("H", 'Dry_Litterbag Placem_Collection'!$T159)),"YES","NO")</f>
        <v>NO</v>
      </c>
      <c r="AB232" s="245" t="str">
        <f>IF(ISNUMBER(SEARCH("R", 'Dry_Litterbag Placem_Collection'!$T159)),"YES","NO")</f>
        <v>YES</v>
      </c>
      <c r="AC232" s="245" t="str">
        <f>IF(ISNUMBER(SEARCH("C", 'Dry_Litterbag Placem_Collection'!$S159)),"YES","NO")</f>
        <v>YES</v>
      </c>
      <c r="AD232" s="245" t="str">
        <f>IF(ISNUMBER(SEARCH("H", 'Dry_Litterbag Placem_Collection'!$S159)),"YES","NO")</f>
        <v>YES</v>
      </c>
      <c r="AE232" s="245" t="str">
        <f>IF(ISNUMBER(SEARCH("R", 'Dry_Litterbag Placem_Collection'!$S159)),"YES","NO")</f>
        <v>YES</v>
      </c>
    </row>
    <row r="233" spans="2:31">
      <c r="B233" t="str">
        <f>Dryseason!B159</f>
        <v>Dry</v>
      </c>
      <c r="C233" s="253">
        <f>Dryseason!C159</f>
        <v>158</v>
      </c>
      <c r="D233" t="s">
        <v>3125</v>
      </c>
      <c r="E233" t="s">
        <v>22</v>
      </c>
      <c r="F233" s="375">
        <v>6</v>
      </c>
      <c r="G233" s="16">
        <f>IF('Dry_Litterbag Placem_Collection'!E160="","",'Dry_Litterbag Placem_Collection'!E160)</f>
        <v>42939</v>
      </c>
      <c r="H233" t="str">
        <f>Dryseason!L159</f>
        <v>G21</v>
      </c>
      <c r="I233" t="str">
        <f>Dryseason!L379</f>
        <v>R773</v>
      </c>
      <c r="J233">
        <f>IFERROR(INDEX('Green_rooibos initial weight'!$C$5:$C$2000,MATCH(H233, 'Green_rooibos initial weight'!$A$5:$A$2000,0)),"")</f>
        <v>2.04</v>
      </c>
      <c r="K233">
        <f>IFERROR(INDEX('Green_rooibos initial weight'!$C$5:$C$2000,MATCH(I233, 'Green_rooibos initial weight'!$A$5:$A$2000,0)),"")</f>
        <v>2.2320000000000002</v>
      </c>
      <c r="L233" s="194">
        <f t="shared" si="19"/>
        <v>1.7902</v>
      </c>
      <c r="M233" s="233">
        <f>AVERAGE(Ashed_controlls!$K$1:$K$11)</f>
        <v>5.5147656768714146</v>
      </c>
      <c r="N233" s="194">
        <f t="shared" si="18"/>
        <v>1.9822000000000002</v>
      </c>
      <c r="O233" s="16">
        <f>IF('Dry_Litterbag Placem_Collection'!G160="","",'Dry_Litterbag Placem_Collection'!G160)</f>
        <v>43010</v>
      </c>
      <c r="P233" s="194">
        <f>IFERROR(INDEX('Both teabags AfterDry'!$D$3:$D$2000,MATCH(H233,'Both teabags AfterDry'!$A$3:$A$2000,0)),"")</f>
        <v>0</v>
      </c>
      <c r="Q233" s="194">
        <f>IFERROR(INDEX('Both teabags AfterDry'!$D$3:$D$2000,MATCH(I233,'Both teabags AfterDry'!$A$3:$A$2000,0)),"")</f>
        <v>1.3551</v>
      </c>
      <c r="R233" s="194" t="str">
        <f t="shared" si="20"/>
        <v/>
      </c>
      <c r="S233" s="194">
        <f t="shared" si="20"/>
        <v>1.2044999999999999</v>
      </c>
      <c r="T233" s="194" t="str">
        <f t="shared" si="21"/>
        <v/>
      </c>
      <c r="U233" s="194" t="str">
        <f t="shared" si="22"/>
        <v/>
      </c>
      <c r="V233" s="194">
        <f t="shared" si="23"/>
        <v>0.60765815760266362</v>
      </c>
      <c r="W233">
        <f t="shared" si="24"/>
        <v>71</v>
      </c>
      <c r="X233" s="194" t="str">
        <f t="shared" si="25"/>
        <v/>
      </c>
      <c r="Y233" s="194" t="str">
        <f t="shared" si="26"/>
        <v/>
      </c>
      <c r="Z233" s="245" t="str">
        <f>IF(ISNUMBER(SEARCH("C", 'Dry_Litterbag Placem_Collection'!$T160)),"YES","NO")</f>
        <v>YES</v>
      </c>
      <c r="AA233" s="245" t="str">
        <f>IF(ISNUMBER(SEARCH("H", 'Dry_Litterbag Placem_Collection'!$T160)),"YES","NO")</f>
        <v>YES</v>
      </c>
      <c r="AB233" s="245" t="str">
        <f>IF(ISNUMBER(SEARCH("R", 'Dry_Litterbag Placem_Collection'!$T160)),"YES","NO")</f>
        <v>NO</v>
      </c>
      <c r="AC233" s="245" t="str">
        <f>IF(ISNUMBER(SEARCH("C", 'Dry_Litterbag Placem_Collection'!$S160)),"YES","NO")</f>
        <v>YES</v>
      </c>
      <c r="AD233" s="245" t="str">
        <f>IF(ISNUMBER(SEARCH("H", 'Dry_Litterbag Placem_Collection'!$S160)),"YES","NO")</f>
        <v>YES</v>
      </c>
      <c r="AE233" s="245" t="str">
        <f>IF(ISNUMBER(SEARCH("R", 'Dry_Litterbag Placem_Collection'!$S160)),"YES","NO")</f>
        <v>NO</v>
      </c>
    </row>
    <row r="234" spans="2:31">
      <c r="B234" t="str">
        <f>Dryseason!B160</f>
        <v>Dry</v>
      </c>
      <c r="C234" s="253">
        <f>Dryseason!C160</f>
        <v>159</v>
      </c>
      <c r="D234" t="s">
        <v>3125</v>
      </c>
      <c r="E234" t="s">
        <v>22</v>
      </c>
      <c r="F234" s="375">
        <v>7</v>
      </c>
      <c r="G234" s="16" t="str">
        <f>IF('Dry_Litterbag Placem_Collection'!E161="","",'Dry_Litterbag Placem_Collection'!E161)</f>
        <v/>
      </c>
      <c r="H234" t="str">
        <f>Dryseason!L160</f>
        <v/>
      </c>
      <c r="I234" t="str">
        <f>Dryseason!L380</f>
        <v/>
      </c>
      <c r="J234" t="str">
        <f>IFERROR(INDEX('Green_rooibos initial weight'!$C$5:$C$2000,MATCH(H234, 'Green_rooibos initial weight'!$A$5:$A$2000,0)),"")</f>
        <v/>
      </c>
      <c r="K234" t="str">
        <f>IFERROR(INDEX('Green_rooibos initial weight'!$C$5:$C$2000,MATCH(I234, 'Green_rooibos initial weight'!$A$5:$A$2000,0)),"")</f>
        <v/>
      </c>
      <c r="L234" s="194" t="str">
        <f t="shared" si="19"/>
        <v/>
      </c>
      <c r="M234" s="233">
        <f>AVERAGE(Ashed_controlls!$K$1:$K$11)</f>
        <v>5.5147656768714146</v>
      </c>
      <c r="N234" s="194" t="str">
        <f t="shared" si="18"/>
        <v/>
      </c>
      <c r="O234" s="16" t="str">
        <f>IF('Dry_Litterbag Placem_Collection'!G161="","",'Dry_Litterbag Placem_Collection'!G161)</f>
        <v/>
      </c>
      <c r="P234" s="194" t="str">
        <f>IFERROR(INDEX('Both teabags AfterDry'!$D$3:$D$2000,MATCH(H234,'Both teabags AfterDry'!$A$3:$A$2000,0)),"")</f>
        <v/>
      </c>
      <c r="Q234" s="194" t="str">
        <f>IFERROR(INDEX('Both teabags AfterDry'!$D$3:$D$2000,MATCH(I234,'Both teabags AfterDry'!$A$3:$A$2000,0)),"")</f>
        <v/>
      </c>
      <c r="R234" s="194" t="str">
        <f t="shared" si="20"/>
        <v/>
      </c>
      <c r="S234" s="194" t="str">
        <f t="shared" si="20"/>
        <v/>
      </c>
      <c r="T234" s="194" t="str">
        <f t="shared" si="21"/>
        <v/>
      </c>
      <c r="U234" s="194" t="str">
        <f t="shared" si="22"/>
        <v/>
      </c>
      <c r="V234" s="194" t="str">
        <f t="shared" si="23"/>
        <v/>
      </c>
      <c r="W234" t="str">
        <f t="shared" si="24"/>
        <v/>
      </c>
      <c r="X234" s="194" t="str">
        <f t="shared" si="25"/>
        <v/>
      </c>
      <c r="Y234" s="194" t="str">
        <f t="shared" si="26"/>
        <v/>
      </c>
      <c r="Z234" s="245" t="str">
        <f>IF(ISNUMBER(SEARCH("C", 'Dry_Litterbag Placem_Collection'!$T161)),"YES","NO")</f>
        <v>NO</v>
      </c>
      <c r="AA234" s="245" t="str">
        <f>IF(ISNUMBER(SEARCH("H", 'Dry_Litterbag Placem_Collection'!$T161)),"YES","NO")</f>
        <v>NO</v>
      </c>
      <c r="AB234" s="245" t="str">
        <f>IF(ISNUMBER(SEARCH("R", 'Dry_Litterbag Placem_Collection'!$T161)),"YES","NO")</f>
        <v>NO</v>
      </c>
      <c r="AC234" s="245" t="str">
        <f>IF(ISNUMBER(SEARCH("C", 'Dry_Litterbag Placem_Collection'!$S161)),"YES","NO")</f>
        <v>NO</v>
      </c>
      <c r="AD234" s="245" t="str">
        <f>IF(ISNUMBER(SEARCH("H", 'Dry_Litterbag Placem_Collection'!$S161)),"YES","NO")</f>
        <v>NO</v>
      </c>
      <c r="AE234" s="245" t="str">
        <f>IF(ISNUMBER(SEARCH("R", 'Dry_Litterbag Placem_Collection'!$S161)),"YES","NO")</f>
        <v>NO</v>
      </c>
    </row>
    <row r="235" spans="2:31">
      <c r="B235" t="str">
        <f>Dryseason!B161</f>
        <v>Dry</v>
      </c>
      <c r="C235" s="253">
        <f>Dryseason!C161</f>
        <v>160</v>
      </c>
      <c r="D235" t="s">
        <v>3125</v>
      </c>
      <c r="E235" t="s">
        <v>22</v>
      </c>
      <c r="F235" s="375">
        <v>8</v>
      </c>
      <c r="G235" s="16">
        <f>IF('Dry_Litterbag Placem_Collection'!E162="","",'Dry_Litterbag Placem_Collection'!E162)</f>
        <v>42939</v>
      </c>
      <c r="H235" t="str">
        <f>Dryseason!L161</f>
        <v>G482</v>
      </c>
      <c r="I235" t="str">
        <f>Dryseason!L381</f>
        <v>R401</v>
      </c>
      <c r="J235">
        <f>IFERROR(INDEX('Green_rooibos initial weight'!$C$5:$C$2000,MATCH(H235, 'Green_rooibos initial weight'!$A$5:$A$2000,0)),"")</f>
        <v>2.056</v>
      </c>
      <c r="K235">
        <f>IFERROR(INDEX('Green_rooibos initial weight'!$C$5:$C$2000,MATCH(I235, 'Green_rooibos initial weight'!$A$5:$A$2000,0)),"")</f>
        <v>2.214</v>
      </c>
      <c r="L235" s="194">
        <f t="shared" si="19"/>
        <v>1.8062</v>
      </c>
      <c r="M235" s="233">
        <f>AVERAGE(Ashed_controlls!$K$1:$K$11)</f>
        <v>5.5147656768714146</v>
      </c>
      <c r="N235" s="194">
        <f t="shared" si="18"/>
        <v>1.9641999999999999</v>
      </c>
      <c r="O235" s="16">
        <f>IF('Dry_Litterbag Placem_Collection'!G162="","",'Dry_Litterbag Placem_Collection'!G162)</f>
        <v>43010</v>
      </c>
      <c r="P235" s="194">
        <f>IFERROR(INDEX('Both teabags AfterDry'!$D$3:$D$2000,MATCH(H235,'Both teabags AfterDry'!$A$3:$A$2000,0)),"")</f>
        <v>1.4819</v>
      </c>
      <c r="Q235" s="194">
        <f>IFERROR(INDEX('Both teabags AfterDry'!$D$3:$D$2000,MATCH(I235,'Both teabags AfterDry'!$A$3:$A$2000,0)),"")</f>
        <v>1.7884</v>
      </c>
      <c r="R235" s="194">
        <f t="shared" si="20"/>
        <v>1.3312999999999999</v>
      </c>
      <c r="S235" s="194">
        <f t="shared" si="20"/>
        <v>1.6377999999999999</v>
      </c>
      <c r="T235" s="194">
        <f t="shared" si="21"/>
        <v>0.26292769350016609</v>
      </c>
      <c r="U235" s="194">
        <f t="shared" si="22"/>
        <v>0.17237064942053645</v>
      </c>
      <c r="V235" s="194">
        <f t="shared" si="23"/>
        <v>0.83382547602077184</v>
      </c>
      <c r="W235">
        <f t="shared" si="24"/>
        <v>71</v>
      </c>
      <c r="X235" s="194">
        <f t="shared" si="25"/>
        <v>0.68773433075989776</v>
      </c>
      <c r="Y235" s="194">
        <f t="shared" si="26"/>
        <v>4.6841168012322291E-2</v>
      </c>
      <c r="Z235" s="245" t="str">
        <f>IF(ISNUMBER(SEARCH("C", 'Dry_Litterbag Placem_Collection'!$T162)),"YES","NO")</f>
        <v>NO</v>
      </c>
      <c r="AA235" s="245" t="str">
        <f>IF(ISNUMBER(SEARCH("H", 'Dry_Litterbag Placem_Collection'!$T162)),"YES","NO")</f>
        <v>YES</v>
      </c>
      <c r="AB235" s="245" t="str">
        <f>IF(ISNUMBER(SEARCH("R", 'Dry_Litterbag Placem_Collection'!$T162)),"YES","NO")</f>
        <v>NO</v>
      </c>
      <c r="AC235" s="245" t="str">
        <f>IF(ISNUMBER(SEARCH("C", 'Dry_Litterbag Placem_Collection'!$S162)),"YES","NO")</f>
        <v>YES</v>
      </c>
      <c r="AD235" s="245" t="str">
        <f>IF(ISNUMBER(SEARCH("H", 'Dry_Litterbag Placem_Collection'!$S162)),"YES","NO")</f>
        <v>YES</v>
      </c>
      <c r="AE235" s="245" t="str">
        <f>IF(ISNUMBER(SEARCH("R", 'Dry_Litterbag Placem_Collection'!$S162)),"YES","NO")</f>
        <v>NO</v>
      </c>
    </row>
    <row r="236" spans="2:31">
      <c r="B236" t="str">
        <f>Dryseason!B162</f>
        <v>Dry</v>
      </c>
      <c r="C236" s="253">
        <f>Dryseason!C162</f>
        <v>161</v>
      </c>
      <c r="D236" t="s">
        <v>3126</v>
      </c>
      <c r="E236" t="s">
        <v>22</v>
      </c>
      <c r="F236" s="374">
        <v>1</v>
      </c>
      <c r="G236" s="16">
        <f>IF('Dry_Litterbag Placem_Collection'!E163="","",'Dry_Litterbag Placem_Collection'!E163)</f>
        <v>42940</v>
      </c>
      <c r="H236" t="str">
        <f>Dryseason!L162</f>
        <v>G51</v>
      </c>
      <c r="I236" t="str">
        <f>Dryseason!L382</f>
        <v>R673</v>
      </c>
      <c r="J236">
        <f>IFERROR(INDEX('Green_rooibos initial weight'!$C$5:$C$2000,MATCH(H236, 'Green_rooibos initial weight'!$A$5:$A$2000,0)),"")</f>
        <v>2.0259999999999998</v>
      </c>
      <c r="K236">
        <f>IFERROR(INDEX('Green_rooibos initial weight'!$C$5:$C$2000,MATCH(I236, 'Green_rooibos initial weight'!$A$5:$A$2000,0)),"")</f>
        <v>2.121</v>
      </c>
      <c r="L236" s="194">
        <f t="shared" si="19"/>
        <v>1.7761999999999998</v>
      </c>
      <c r="M236" s="233">
        <f>AVERAGE(Ashed_controlls!$K$1:$K$11)</f>
        <v>5.5147656768714146</v>
      </c>
      <c r="N236" s="194">
        <f t="shared" si="18"/>
        <v>1.8712</v>
      </c>
      <c r="O236" s="16">
        <f>IF('Dry_Litterbag Placem_Collection'!G163="","",'Dry_Litterbag Placem_Collection'!G163)</f>
        <v>43009</v>
      </c>
      <c r="P236" s="194">
        <f>IFERROR(INDEX('Both teabags AfterDry'!$D$3:$D$2000,MATCH(H236,'Both teabags AfterDry'!$A$3:$A$2000,0)),"")</f>
        <v>0.81589999999999996</v>
      </c>
      <c r="Q236" s="194">
        <f>IFERROR(INDEX('Both teabags AfterDry'!$D$3:$D$2000,MATCH(I236,'Both teabags AfterDry'!$A$3:$A$2000,0)),"")</f>
        <v>1.1623000000000001</v>
      </c>
      <c r="R236" s="194">
        <f t="shared" si="20"/>
        <v>0.6653</v>
      </c>
      <c r="S236" s="194">
        <f t="shared" si="20"/>
        <v>1.0117</v>
      </c>
      <c r="T236" s="194">
        <f t="shared" si="21"/>
        <v>0.6254363247382051</v>
      </c>
      <c r="U236" s="194">
        <f t="shared" si="22"/>
        <v>0.41002476396138865</v>
      </c>
      <c r="V236" s="194">
        <f t="shared" si="23"/>
        <v>0.54066908935442504</v>
      </c>
      <c r="W236">
        <f t="shared" si="24"/>
        <v>69</v>
      </c>
      <c r="X236" s="194">
        <f t="shared" si="25"/>
        <v>0.25720151456270179</v>
      </c>
      <c r="Y236" s="194" t="str">
        <f t="shared" si="26"/>
        <v/>
      </c>
      <c r="Z236" s="245" t="str">
        <f>IF(ISNUMBER(SEARCH("C", 'Dry_Litterbag Placem_Collection'!$T163)),"YES","NO")</f>
        <v>NO</v>
      </c>
      <c r="AA236" s="245" t="str">
        <f>IF(ISNUMBER(SEARCH("H", 'Dry_Litterbag Placem_Collection'!$T163)),"YES","NO")</f>
        <v>YES</v>
      </c>
      <c r="AB236" s="245" t="str">
        <f>IF(ISNUMBER(SEARCH("R", 'Dry_Litterbag Placem_Collection'!$T163)),"YES","NO")</f>
        <v>NO</v>
      </c>
      <c r="AC236" s="245" t="str">
        <f>IF(ISNUMBER(SEARCH("C", 'Dry_Litterbag Placem_Collection'!$S163)),"YES","NO")</f>
        <v>NO</v>
      </c>
      <c r="AD236" s="245" t="str">
        <f>IF(ISNUMBER(SEARCH("H", 'Dry_Litterbag Placem_Collection'!$S163)),"YES","NO")</f>
        <v>YES</v>
      </c>
      <c r="AE236" s="245" t="str">
        <f>IF(ISNUMBER(SEARCH("R", 'Dry_Litterbag Placem_Collection'!$S163)),"YES","NO")</f>
        <v>YES</v>
      </c>
    </row>
    <row r="237" spans="2:31">
      <c r="B237" t="str">
        <f>Dryseason!B163</f>
        <v>Dry</v>
      </c>
      <c r="C237" s="253">
        <f>Dryseason!C163</f>
        <v>162</v>
      </c>
      <c r="D237" t="s">
        <v>3126</v>
      </c>
      <c r="E237" t="s">
        <v>22</v>
      </c>
      <c r="F237" s="374">
        <v>2</v>
      </c>
      <c r="G237" s="16">
        <f>IF('Dry_Litterbag Placem_Collection'!E164="","",'Dry_Litterbag Placem_Collection'!E164)</f>
        <v>42940</v>
      </c>
      <c r="H237" t="str">
        <f>Dryseason!L163</f>
        <v>G238</v>
      </c>
      <c r="I237" t="str">
        <f>Dryseason!L383</f>
        <v>R814</v>
      </c>
      <c r="J237">
        <f>IFERROR(INDEX('Green_rooibos initial weight'!$C$5:$C$2000,MATCH(H237, 'Green_rooibos initial weight'!$A$5:$A$2000,0)),"")</f>
        <v>2.1160000000000001</v>
      </c>
      <c r="K237">
        <f>IFERROR(INDEX('Green_rooibos initial weight'!$C$5:$C$2000,MATCH(I237, 'Green_rooibos initial weight'!$A$5:$A$2000,0)),"")</f>
        <v>2.2210000000000001</v>
      </c>
      <c r="L237" s="194">
        <f t="shared" si="19"/>
        <v>1.8662000000000001</v>
      </c>
      <c r="M237" s="233">
        <f>AVERAGE(Ashed_controlls!$K$1:$K$11)</f>
        <v>5.5147656768714146</v>
      </c>
      <c r="N237" s="194">
        <f t="shared" si="18"/>
        <v>1.9712000000000001</v>
      </c>
      <c r="O237" s="16">
        <f>IF('Dry_Litterbag Placem_Collection'!G164="","",'Dry_Litterbag Placem_Collection'!G164)</f>
        <v>43009</v>
      </c>
      <c r="P237" s="194">
        <f>IFERROR(INDEX('Both teabags AfterDry'!$D$3:$D$2000,MATCH(H237,'Both teabags AfterDry'!$A$3:$A$2000,0)),"")</f>
        <v>0.81089999999999995</v>
      </c>
      <c r="Q237" s="194">
        <f>IFERROR(INDEX('Both teabags AfterDry'!$D$3:$D$2000,MATCH(I237,'Both teabags AfterDry'!$A$3:$A$2000,0)),"")</f>
        <v>2.4714999999999998</v>
      </c>
      <c r="R237" s="194">
        <f t="shared" si="20"/>
        <v>0.66029999999999989</v>
      </c>
      <c r="S237" s="194">
        <f t="shared" si="20"/>
        <v>2.3209</v>
      </c>
      <c r="T237" s="194">
        <f t="shared" si="21"/>
        <v>0.64617940199335555</v>
      </c>
      <c r="U237" s="194">
        <f t="shared" si="22"/>
        <v>0.42362355095051341</v>
      </c>
      <c r="V237" s="194">
        <f t="shared" si="23"/>
        <v>1.1774046266233766</v>
      </c>
      <c r="W237">
        <f t="shared" si="24"/>
        <v>69</v>
      </c>
      <c r="X237" s="194">
        <f t="shared" si="25"/>
        <v>0.2325660308867511</v>
      </c>
      <c r="Y237" s="194">
        <f t="shared" si="26"/>
        <v>-5.0695160665504306E-3</v>
      </c>
      <c r="Z237" s="245" t="str">
        <f>IF(ISNUMBER(SEARCH("C", 'Dry_Litterbag Placem_Collection'!$T164)),"YES","NO")</f>
        <v>YES</v>
      </c>
      <c r="AA237" s="245" t="str">
        <f>IF(ISNUMBER(SEARCH("H", 'Dry_Litterbag Placem_Collection'!$T164)),"YES","NO")</f>
        <v>YES</v>
      </c>
      <c r="AB237" s="245" t="str">
        <f>IF(ISNUMBER(SEARCH("R", 'Dry_Litterbag Placem_Collection'!$T164)),"YES","NO")</f>
        <v>NO</v>
      </c>
      <c r="AC237" s="245" t="str">
        <f>IF(ISNUMBER(SEARCH("C", 'Dry_Litterbag Placem_Collection'!$S164)),"YES","NO")</f>
        <v>NO</v>
      </c>
      <c r="AD237" s="245" t="str">
        <f>IF(ISNUMBER(SEARCH("H", 'Dry_Litterbag Placem_Collection'!$S164)),"YES","NO")</f>
        <v>NO</v>
      </c>
      <c r="AE237" s="245" t="str">
        <f>IF(ISNUMBER(SEARCH("R", 'Dry_Litterbag Placem_Collection'!$S164)),"YES","NO")</f>
        <v>YES</v>
      </c>
    </row>
    <row r="238" spans="2:31">
      <c r="B238" t="str">
        <f>Dryseason!B164</f>
        <v>Dry</v>
      </c>
      <c r="C238" s="253">
        <f>Dryseason!C164</f>
        <v>163</v>
      </c>
      <c r="D238" t="s">
        <v>3126</v>
      </c>
      <c r="E238" t="s">
        <v>22</v>
      </c>
      <c r="F238" s="374">
        <v>3</v>
      </c>
      <c r="G238" s="16">
        <f>IF('Dry_Litterbag Placem_Collection'!E165="","",'Dry_Litterbag Placem_Collection'!E165)</f>
        <v>42940</v>
      </c>
      <c r="H238" t="str">
        <f>Dryseason!L164</f>
        <v>G59</v>
      </c>
      <c r="I238" t="str">
        <f>Dryseason!L384</f>
        <v>R615</v>
      </c>
      <c r="J238">
        <f>IFERROR(INDEX('Green_rooibos initial weight'!$C$5:$C$2000,MATCH(H238, 'Green_rooibos initial weight'!$A$5:$A$2000,0)),"")</f>
        <v>1.929</v>
      </c>
      <c r="K238">
        <f>IFERROR(INDEX('Green_rooibos initial weight'!$C$5:$C$2000,MATCH(I238, 'Green_rooibos initial weight'!$A$5:$A$2000,0)),"")</f>
        <v>2.157</v>
      </c>
      <c r="L238" s="194">
        <f t="shared" si="19"/>
        <v>1.6792</v>
      </c>
      <c r="M238" s="233">
        <f>AVERAGE(Ashed_controlls!$K$1:$K$11)</f>
        <v>5.5147656768714146</v>
      </c>
      <c r="N238" s="194">
        <f t="shared" si="18"/>
        <v>1.9072</v>
      </c>
      <c r="O238" s="16">
        <f>IF('Dry_Litterbag Placem_Collection'!G165="","",'Dry_Litterbag Placem_Collection'!G165)</f>
        <v>43009</v>
      </c>
      <c r="P238" s="194">
        <f>IFERROR(INDEX('Both teabags AfterDry'!$D$3:$D$2000,MATCH(H238,'Both teabags AfterDry'!$A$3:$A$2000,0)),"")</f>
        <v>0.95679999999999998</v>
      </c>
      <c r="Q238" s="194">
        <f>IFERROR(INDEX('Both teabags AfterDry'!$D$3:$D$2000,MATCH(I238,'Both teabags AfterDry'!$A$3:$A$2000,0)),"")</f>
        <v>1.4872000000000001</v>
      </c>
      <c r="R238" s="194">
        <f t="shared" si="20"/>
        <v>0.80620000000000003</v>
      </c>
      <c r="S238" s="194">
        <f t="shared" si="20"/>
        <v>1.3366</v>
      </c>
      <c r="T238" s="194">
        <f t="shared" si="21"/>
        <v>0.51989042401143393</v>
      </c>
      <c r="U238" s="194">
        <f t="shared" si="22"/>
        <v>0.34083077678659329</v>
      </c>
      <c r="V238" s="194">
        <f t="shared" si="23"/>
        <v>0.70081795302013428</v>
      </c>
      <c r="W238">
        <f t="shared" si="24"/>
        <v>69</v>
      </c>
      <c r="X238" s="194">
        <f t="shared" si="25"/>
        <v>0.38255294060399769</v>
      </c>
      <c r="Y238" s="194">
        <f t="shared" si="26"/>
        <v>3.046543807303689E-2</v>
      </c>
      <c r="Z238" s="245" t="str">
        <f>IF(ISNUMBER(SEARCH("C", 'Dry_Litterbag Placem_Collection'!$T165)),"YES","NO")</f>
        <v>NO</v>
      </c>
      <c r="AA238" s="245" t="str">
        <f>IF(ISNUMBER(SEARCH("H", 'Dry_Litterbag Placem_Collection'!$T165)),"YES","NO")</f>
        <v>YES</v>
      </c>
      <c r="AB238" s="245" t="str">
        <f>IF(ISNUMBER(SEARCH("R", 'Dry_Litterbag Placem_Collection'!$T165)),"YES","NO")</f>
        <v>NO</v>
      </c>
      <c r="AC238" s="245" t="str">
        <f>IF(ISNUMBER(SEARCH("C", 'Dry_Litterbag Placem_Collection'!$S165)),"YES","NO")</f>
        <v>NO</v>
      </c>
      <c r="AD238" s="245" t="str">
        <f>IF(ISNUMBER(SEARCH("H", 'Dry_Litterbag Placem_Collection'!$S165)),"YES","NO")</f>
        <v>NO</v>
      </c>
      <c r="AE238" s="245" t="str">
        <f>IF(ISNUMBER(SEARCH("R", 'Dry_Litterbag Placem_Collection'!$S165)),"YES","NO")</f>
        <v>YES</v>
      </c>
    </row>
    <row r="239" spans="2:31">
      <c r="B239" t="str">
        <f>Dryseason!B165</f>
        <v>Dry</v>
      </c>
      <c r="C239" s="253">
        <f>Dryseason!C165</f>
        <v>164</v>
      </c>
      <c r="D239" t="s">
        <v>3126</v>
      </c>
      <c r="E239" t="s">
        <v>22</v>
      </c>
      <c r="F239" s="375">
        <v>4</v>
      </c>
      <c r="G239" s="16">
        <f>IF('Dry_Litterbag Placem_Collection'!E166="","",'Dry_Litterbag Placem_Collection'!E166)</f>
        <v>42940</v>
      </c>
      <c r="H239" t="str">
        <f>Dryseason!L165</f>
        <v>G7</v>
      </c>
      <c r="I239" t="str">
        <f>Dryseason!L385</f>
        <v>R514</v>
      </c>
      <c r="J239">
        <f>IFERROR(INDEX('Green_rooibos initial weight'!$C$5:$C$2000,MATCH(H239, 'Green_rooibos initial weight'!$A$5:$A$2000,0)),"")</f>
        <v>1.974</v>
      </c>
      <c r="K239">
        <f>IFERROR(INDEX('Green_rooibos initial weight'!$C$5:$C$2000,MATCH(I239, 'Green_rooibos initial weight'!$A$5:$A$2000,0)),"")</f>
        <v>2.1059999999999999</v>
      </c>
      <c r="L239" s="194">
        <f t="shared" si="19"/>
        <v>1.7242</v>
      </c>
      <c r="M239" s="233">
        <f>AVERAGE(Ashed_controlls!$K$1:$K$11)</f>
        <v>5.5147656768714146</v>
      </c>
      <c r="N239" s="194">
        <f t="shared" si="18"/>
        <v>1.8561999999999999</v>
      </c>
      <c r="O239" s="16">
        <f>IF('Dry_Litterbag Placem_Collection'!G166="","",'Dry_Litterbag Placem_Collection'!G166)</f>
        <v>43009</v>
      </c>
      <c r="P239" s="194">
        <f>IFERROR(INDEX('Both teabags AfterDry'!$D$3:$D$2000,MATCH(H239,'Both teabags AfterDry'!$A$3:$A$2000,0)),"")</f>
        <v>0.82040000000000002</v>
      </c>
      <c r="Q239" s="194">
        <f>IFERROR(INDEX('Both teabags AfterDry'!$D$3:$D$2000,MATCH(I239,'Both teabags AfterDry'!$A$3:$A$2000,0)),"")</f>
        <v>1.8293999999999999</v>
      </c>
      <c r="R239" s="194">
        <f t="shared" si="20"/>
        <v>0.66979999999999995</v>
      </c>
      <c r="S239" s="194">
        <f t="shared" si="20"/>
        <v>1.6787999999999998</v>
      </c>
      <c r="T239" s="194">
        <f t="shared" si="21"/>
        <v>0.61152998492054289</v>
      </c>
      <c r="U239" s="194">
        <f t="shared" si="22"/>
        <v>0.40090801861774311</v>
      </c>
      <c r="V239" s="194">
        <f t="shared" si="23"/>
        <v>0.90442840211184139</v>
      </c>
      <c r="W239">
        <f t="shared" si="24"/>
        <v>69</v>
      </c>
      <c r="X239" s="194">
        <f t="shared" si="25"/>
        <v>0.27371735757655236</v>
      </c>
      <c r="Y239" s="194">
        <f t="shared" si="26"/>
        <v>3.946635267748552E-3</v>
      </c>
      <c r="Z239" s="245" t="str">
        <f>IF(ISNUMBER(SEARCH("C", 'Dry_Litterbag Placem_Collection'!$T166)),"YES","NO")</f>
        <v>NO</v>
      </c>
      <c r="AA239" s="245" t="str">
        <f>IF(ISNUMBER(SEARCH("H", 'Dry_Litterbag Placem_Collection'!$T166)),"YES","NO")</f>
        <v>NO</v>
      </c>
      <c r="AB239" s="245" t="str">
        <f>IF(ISNUMBER(SEARCH("R", 'Dry_Litterbag Placem_Collection'!$T166)),"YES","NO")</f>
        <v>NO</v>
      </c>
      <c r="AC239" s="245" t="str">
        <f>IF(ISNUMBER(SEARCH("C", 'Dry_Litterbag Placem_Collection'!$S166)),"YES","NO")</f>
        <v>NO</v>
      </c>
      <c r="AD239" s="245" t="str">
        <f>IF(ISNUMBER(SEARCH("H", 'Dry_Litterbag Placem_Collection'!$S166)),"YES","NO")</f>
        <v>NO</v>
      </c>
      <c r="AE239" s="245" t="str">
        <f>IF(ISNUMBER(SEARCH("R", 'Dry_Litterbag Placem_Collection'!$S166)),"YES","NO")</f>
        <v>YES</v>
      </c>
    </row>
    <row r="240" spans="2:31">
      <c r="B240" t="str">
        <f>Dryseason!B166</f>
        <v>Dry</v>
      </c>
      <c r="C240" s="253">
        <f>Dryseason!C166</f>
        <v>165</v>
      </c>
      <c r="D240" t="s">
        <v>3126</v>
      </c>
      <c r="E240" t="s">
        <v>22</v>
      </c>
      <c r="F240" s="375">
        <v>5</v>
      </c>
      <c r="G240" s="16">
        <f>IF('Dry_Litterbag Placem_Collection'!E167="","",'Dry_Litterbag Placem_Collection'!E167)</f>
        <v>42940</v>
      </c>
      <c r="H240" t="str">
        <f>Dryseason!L166</f>
        <v>G85</v>
      </c>
      <c r="I240" t="str">
        <f>Dryseason!L386</f>
        <v>R127</v>
      </c>
      <c r="J240">
        <f>IFERROR(INDEX('Green_rooibos initial weight'!$C$5:$C$2000,MATCH(H240, 'Green_rooibos initial weight'!$A$5:$A$2000,0)),"")</f>
        <v>2.1360000000000001</v>
      </c>
      <c r="K240">
        <f>IFERROR(INDEX('Green_rooibos initial weight'!$C$5:$C$2000,MATCH(I240, 'Green_rooibos initial weight'!$A$5:$A$2000,0)),"")</f>
        <v>2.1869999999999998</v>
      </c>
      <c r="L240" s="194">
        <f t="shared" si="19"/>
        <v>1.8862000000000001</v>
      </c>
      <c r="M240" s="233">
        <f>AVERAGE(Ashed_controlls!$K$1:$K$11)</f>
        <v>5.5147656768714146</v>
      </c>
      <c r="N240" s="194">
        <f t="shared" si="18"/>
        <v>1.9371999999999998</v>
      </c>
      <c r="O240" s="16">
        <f>IF('Dry_Litterbag Placem_Collection'!G167="","",'Dry_Litterbag Placem_Collection'!G167)</f>
        <v>43009</v>
      </c>
      <c r="P240" s="194">
        <f>IFERROR(INDEX('Both teabags AfterDry'!$D$3:$D$2000,MATCH(H240,'Both teabags AfterDry'!$A$3:$A$2000,0)),"")</f>
        <v>0.84360000000000002</v>
      </c>
      <c r="Q240" s="194">
        <f>IFERROR(INDEX('Both teabags AfterDry'!$D$3:$D$2000,MATCH(I240,'Both teabags AfterDry'!$A$3:$A$2000,0)),"")</f>
        <v>1.7946</v>
      </c>
      <c r="R240" s="194">
        <f t="shared" si="20"/>
        <v>0.69300000000000006</v>
      </c>
      <c r="S240" s="194">
        <f t="shared" si="20"/>
        <v>1.6439999999999999</v>
      </c>
      <c r="T240" s="194">
        <f t="shared" si="21"/>
        <v>0.63259463471530064</v>
      </c>
      <c r="U240" s="194">
        <f t="shared" si="22"/>
        <v>0.41471762275872448</v>
      </c>
      <c r="V240" s="194">
        <f t="shared" si="23"/>
        <v>0.84864753252116465</v>
      </c>
      <c r="W240">
        <f t="shared" si="24"/>
        <v>69</v>
      </c>
      <c r="X240" s="194">
        <f t="shared" si="25"/>
        <v>0.24869995877042672</v>
      </c>
      <c r="Y240" s="194">
        <f t="shared" si="26"/>
        <v>6.5805270901542409E-3</v>
      </c>
      <c r="Z240" s="245" t="str">
        <f>IF(ISNUMBER(SEARCH("C", 'Dry_Litterbag Placem_Collection'!$T167)),"YES","NO")</f>
        <v>NO</v>
      </c>
      <c r="AA240" s="245" t="str">
        <f>IF(ISNUMBER(SEARCH("H", 'Dry_Litterbag Placem_Collection'!$T167)),"YES","NO")</f>
        <v>NO</v>
      </c>
      <c r="AB240" s="245" t="str">
        <f>IF(ISNUMBER(SEARCH("R", 'Dry_Litterbag Placem_Collection'!$T167)),"YES","NO")</f>
        <v>NO</v>
      </c>
      <c r="AC240" s="245" t="str">
        <f>IF(ISNUMBER(SEARCH("C", 'Dry_Litterbag Placem_Collection'!$S167)),"YES","NO")</f>
        <v>NO</v>
      </c>
      <c r="AD240" s="245" t="str">
        <f>IF(ISNUMBER(SEARCH("H", 'Dry_Litterbag Placem_Collection'!$S167)),"YES","NO")</f>
        <v>NO</v>
      </c>
      <c r="AE240" s="245" t="str">
        <f>IF(ISNUMBER(SEARCH("R", 'Dry_Litterbag Placem_Collection'!$S167)),"YES","NO")</f>
        <v>NO</v>
      </c>
    </row>
    <row r="241" spans="2:31">
      <c r="B241" t="str">
        <f>Dryseason!B167</f>
        <v>Dry</v>
      </c>
      <c r="C241" s="253">
        <f>Dryseason!C167</f>
        <v>166</v>
      </c>
      <c r="D241" t="s">
        <v>3126</v>
      </c>
      <c r="E241" t="s">
        <v>22</v>
      </c>
      <c r="F241" s="375">
        <v>6</v>
      </c>
      <c r="G241" s="16">
        <f>IF('Dry_Litterbag Placem_Collection'!E168="","",'Dry_Litterbag Placem_Collection'!E168)</f>
        <v>42940</v>
      </c>
      <c r="H241" t="str">
        <f>Dryseason!L167</f>
        <v>G1</v>
      </c>
      <c r="I241" t="str">
        <f>Dryseason!L387</f>
        <v>R752</v>
      </c>
      <c r="J241">
        <f>IFERROR(INDEX('Green_rooibos initial weight'!$C$5:$C$2000,MATCH(H241, 'Green_rooibos initial weight'!$A$5:$A$2000,0)),"")</f>
        <v>1.9870000000000001</v>
      </c>
      <c r="K241">
        <f>IFERROR(INDEX('Green_rooibos initial weight'!$C$5:$C$2000,MATCH(I241, 'Green_rooibos initial weight'!$A$5:$A$2000,0)),"")</f>
        <v>2.1970000000000001</v>
      </c>
      <c r="L241" s="194">
        <f t="shared" si="19"/>
        <v>1.7372000000000001</v>
      </c>
      <c r="M241" s="233">
        <f>AVERAGE(Ashed_controlls!$K$1:$K$11)</f>
        <v>5.5147656768714146</v>
      </c>
      <c r="N241" s="194">
        <f t="shared" si="18"/>
        <v>1.9472</v>
      </c>
      <c r="O241" s="16">
        <f>IF('Dry_Litterbag Placem_Collection'!G168="","",'Dry_Litterbag Placem_Collection'!G168)</f>
        <v>43009</v>
      </c>
      <c r="P241" s="194" t="str">
        <f>IFERROR(INDEX('Both teabags AfterDry'!$D$3:$D$2000,MATCH(H241,'Both teabags AfterDry'!$A$3:$A$2000,0)),"")</f>
        <v/>
      </c>
      <c r="Q241" s="194">
        <f>IFERROR(INDEX('Both teabags AfterDry'!$D$3:$D$2000,MATCH(I241,'Both teabags AfterDry'!$A$3:$A$2000,0)),"")</f>
        <v>1.6897</v>
      </c>
      <c r="R241" s="194" t="str">
        <f t="shared" si="20"/>
        <v/>
      </c>
      <c r="S241" s="194">
        <f t="shared" si="20"/>
        <v>1.5390999999999999</v>
      </c>
      <c r="T241" s="194" t="str">
        <f t="shared" si="21"/>
        <v/>
      </c>
      <c r="U241" s="194" t="str">
        <f t="shared" si="22"/>
        <v/>
      </c>
      <c r="V241" s="194">
        <f t="shared" si="23"/>
        <v>0.79041700903861944</v>
      </c>
      <c r="W241">
        <f t="shared" si="24"/>
        <v>69</v>
      </c>
      <c r="X241" s="194" t="str">
        <f t="shared" si="25"/>
        <v/>
      </c>
      <c r="Y241" s="194" t="str">
        <f t="shared" si="26"/>
        <v/>
      </c>
      <c r="Z241" s="245" t="str">
        <f>IF(ISNUMBER(SEARCH("C", 'Dry_Litterbag Placem_Collection'!$T168)),"YES","NO")</f>
        <v>NO</v>
      </c>
      <c r="AA241" s="245" t="str">
        <f>IF(ISNUMBER(SEARCH("H", 'Dry_Litterbag Placem_Collection'!$T168)),"YES","NO")</f>
        <v>NO</v>
      </c>
      <c r="AB241" s="245" t="str">
        <f>IF(ISNUMBER(SEARCH("R", 'Dry_Litterbag Placem_Collection'!$T168)),"YES","NO")</f>
        <v>NO</v>
      </c>
      <c r="AC241" s="245" t="str">
        <f>IF(ISNUMBER(SEARCH("C", 'Dry_Litterbag Placem_Collection'!$S168)),"YES","NO")</f>
        <v>NO</v>
      </c>
      <c r="AD241" s="245" t="str">
        <f>IF(ISNUMBER(SEARCH("H", 'Dry_Litterbag Placem_Collection'!$S168)),"YES","NO")</f>
        <v>NO</v>
      </c>
      <c r="AE241" s="245" t="str">
        <f>IF(ISNUMBER(SEARCH("R", 'Dry_Litterbag Placem_Collection'!$S168)),"YES","NO")</f>
        <v>YES</v>
      </c>
    </row>
    <row r="242" spans="2:31">
      <c r="B242" t="str">
        <f>Dryseason!B168</f>
        <v>Dry</v>
      </c>
      <c r="C242" s="253">
        <f>Dryseason!C168</f>
        <v>167</v>
      </c>
      <c r="D242" t="s">
        <v>3126</v>
      </c>
      <c r="E242" t="s">
        <v>22</v>
      </c>
      <c r="F242" s="375">
        <v>7</v>
      </c>
      <c r="G242" s="16" t="str">
        <f>IF('Dry_Litterbag Placem_Collection'!E169="","",'Dry_Litterbag Placem_Collection'!E169)</f>
        <v/>
      </c>
      <c r="H242" t="str">
        <f>Dryseason!L168</f>
        <v/>
      </c>
      <c r="I242" t="str">
        <f>Dryseason!L388</f>
        <v/>
      </c>
      <c r="J242" t="str">
        <f>IFERROR(INDEX('Green_rooibos initial weight'!$C$5:$C$2000,MATCH(H242, 'Green_rooibos initial weight'!$A$5:$A$2000,0)),"")</f>
        <v/>
      </c>
      <c r="K242" t="str">
        <f>IFERROR(INDEX('Green_rooibos initial weight'!$C$5:$C$2000,MATCH(I242, 'Green_rooibos initial weight'!$A$5:$A$2000,0)),"")</f>
        <v/>
      </c>
      <c r="L242" s="194" t="str">
        <f t="shared" si="19"/>
        <v/>
      </c>
      <c r="M242" s="233">
        <f>AVERAGE(Ashed_controlls!$K$1:$K$11)</f>
        <v>5.5147656768714146</v>
      </c>
      <c r="N242" s="194" t="str">
        <f t="shared" si="18"/>
        <v/>
      </c>
      <c r="O242" s="16" t="str">
        <f>IF('Dry_Litterbag Placem_Collection'!G169="","",'Dry_Litterbag Placem_Collection'!G169)</f>
        <v/>
      </c>
      <c r="P242" s="194" t="str">
        <f>IFERROR(INDEX('Both teabags AfterDry'!$D$3:$D$2000,MATCH(H242,'Both teabags AfterDry'!$A$3:$A$2000,0)),"")</f>
        <v/>
      </c>
      <c r="Q242" s="194" t="str">
        <f>IFERROR(INDEX('Both teabags AfterDry'!$D$3:$D$2000,MATCH(I242,'Both teabags AfterDry'!$A$3:$A$2000,0)),"")</f>
        <v/>
      </c>
      <c r="R242" s="194" t="str">
        <f t="shared" si="20"/>
        <v/>
      </c>
      <c r="S242" s="194" t="str">
        <f t="shared" si="20"/>
        <v/>
      </c>
      <c r="T242" s="194" t="str">
        <f t="shared" si="21"/>
        <v/>
      </c>
      <c r="U242" s="194" t="str">
        <f t="shared" si="22"/>
        <v/>
      </c>
      <c r="V242" s="194" t="str">
        <f t="shared" si="23"/>
        <v/>
      </c>
      <c r="W242" t="str">
        <f t="shared" si="24"/>
        <v/>
      </c>
      <c r="X242" s="194" t="str">
        <f t="shared" si="25"/>
        <v/>
      </c>
      <c r="Y242" s="194" t="str">
        <f t="shared" si="26"/>
        <v/>
      </c>
      <c r="Z242" s="245" t="str">
        <f>IF(ISNUMBER(SEARCH("C", 'Dry_Litterbag Placem_Collection'!$T169)),"YES","NO")</f>
        <v>NO</v>
      </c>
      <c r="AA242" s="245" t="str">
        <f>IF(ISNUMBER(SEARCH("H", 'Dry_Litterbag Placem_Collection'!$T169)),"YES","NO")</f>
        <v>NO</v>
      </c>
      <c r="AB242" s="245" t="str">
        <f>IF(ISNUMBER(SEARCH("R", 'Dry_Litterbag Placem_Collection'!$T169)),"YES","NO")</f>
        <v>NO</v>
      </c>
      <c r="AC242" s="245" t="str">
        <f>IF(ISNUMBER(SEARCH("C", 'Dry_Litterbag Placem_Collection'!$S169)),"YES","NO")</f>
        <v>NO</v>
      </c>
      <c r="AD242" s="245" t="str">
        <f>IF(ISNUMBER(SEARCH("H", 'Dry_Litterbag Placem_Collection'!$S169)),"YES","NO")</f>
        <v>NO</v>
      </c>
      <c r="AE242" s="245" t="str">
        <f>IF(ISNUMBER(SEARCH("R", 'Dry_Litterbag Placem_Collection'!$S169)),"YES","NO")</f>
        <v>NO</v>
      </c>
    </row>
    <row r="243" spans="2:31">
      <c r="B243" t="str">
        <f>Dryseason!B169</f>
        <v>Dry</v>
      </c>
      <c r="C243" s="253">
        <f>Dryseason!C169</f>
        <v>168</v>
      </c>
      <c r="D243" t="s">
        <v>3126</v>
      </c>
      <c r="E243" t="s">
        <v>22</v>
      </c>
      <c r="F243" s="375">
        <v>8</v>
      </c>
      <c r="G243" s="16">
        <f>IF('Dry_Litterbag Placem_Collection'!E170="","",'Dry_Litterbag Placem_Collection'!E170)</f>
        <v>42940</v>
      </c>
      <c r="H243" t="str">
        <f>Dryseason!L169</f>
        <v>G70</v>
      </c>
      <c r="I243" t="str">
        <f>Dryseason!L389</f>
        <v>R690</v>
      </c>
      <c r="J243">
        <f>IFERROR(INDEX('Green_rooibos initial weight'!$C$5:$C$2000,MATCH(H243, 'Green_rooibos initial weight'!$A$5:$A$2000,0)),"")</f>
        <v>2.0939999999999999</v>
      </c>
      <c r="K243">
        <f>IFERROR(INDEX('Green_rooibos initial weight'!$C$5:$C$2000,MATCH(I243, 'Green_rooibos initial weight'!$A$5:$A$2000,0)),"")</f>
        <v>2.141</v>
      </c>
      <c r="L243" s="194">
        <f t="shared" si="19"/>
        <v>1.8441999999999998</v>
      </c>
      <c r="M243" s="233">
        <f>AVERAGE(Ashed_controlls!$K$1:$K$11)</f>
        <v>5.5147656768714146</v>
      </c>
      <c r="N243" s="194">
        <f t="shared" si="18"/>
        <v>1.8912</v>
      </c>
      <c r="O243" s="16">
        <f>IF('Dry_Litterbag Placem_Collection'!G170="","",'Dry_Litterbag Placem_Collection'!G170)</f>
        <v>43009</v>
      </c>
      <c r="P243" s="194" t="str">
        <f>IFERROR(INDEX('Both teabags AfterDry'!$D$3:$D$2000,MATCH(H243,'Both teabags AfterDry'!$A$3:$A$2000,0)),"")</f>
        <v/>
      </c>
      <c r="Q243" s="194" t="str">
        <f>IFERROR(INDEX('Both teabags AfterDry'!$D$3:$D$2000,MATCH(I243,'Both teabags AfterDry'!$A$3:$A$2000,0)),"")</f>
        <v/>
      </c>
      <c r="R243" s="194" t="str">
        <f t="shared" si="20"/>
        <v/>
      </c>
      <c r="S243" s="194" t="str">
        <f t="shared" si="20"/>
        <v/>
      </c>
      <c r="T243" s="194" t="str">
        <f t="shared" si="21"/>
        <v/>
      </c>
      <c r="U243" s="194" t="str">
        <f t="shared" si="22"/>
        <v/>
      </c>
      <c r="V243" s="194" t="str">
        <f t="shared" si="23"/>
        <v/>
      </c>
      <c r="W243">
        <f t="shared" si="24"/>
        <v>69</v>
      </c>
      <c r="X243" s="194" t="str">
        <f t="shared" si="25"/>
        <v/>
      </c>
      <c r="Y243" s="194" t="str">
        <f t="shared" si="26"/>
        <v/>
      </c>
      <c r="Z243" s="245" t="str">
        <f>IF(ISNUMBER(SEARCH("C", 'Dry_Litterbag Placem_Collection'!$T170)),"YES","NO")</f>
        <v>NO</v>
      </c>
      <c r="AA243" s="245" t="str">
        <f>IF(ISNUMBER(SEARCH("H", 'Dry_Litterbag Placem_Collection'!$T170)),"YES","NO")</f>
        <v>YES</v>
      </c>
      <c r="AB243" s="245" t="str">
        <f>IF(ISNUMBER(SEARCH("R", 'Dry_Litterbag Placem_Collection'!$T170)),"YES","NO")</f>
        <v>NO</v>
      </c>
      <c r="AC243" s="245" t="str">
        <f>IF(ISNUMBER(SEARCH("C", 'Dry_Litterbag Placem_Collection'!$S170)),"YES","NO")</f>
        <v>NO</v>
      </c>
      <c r="AD243" s="245" t="str">
        <f>IF(ISNUMBER(SEARCH("H", 'Dry_Litterbag Placem_Collection'!$S170)),"YES","NO")</f>
        <v>NO</v>
      </c>
      <c r="AE243" s="245" t="str">
        <f>IF(ISNUMBER(SEARCH("R", 'Dry_Litterbag Placem_Collection'!$S170)),"YES","NO")</f>
        <v>YES</v>
      </c>
    </row>
    <row r="244" spans="2:31">
      <c r="B244" t="str">
        <f>Dryseason!B170</f>
        <v>Dry</v>
      </c>
      <c r="C244" s="253">
        <f>Dryseason!C170</f>
        <v>169</v>
      </c>
      <c r="D244" t="s">
        <v>3128</v>
      </c>
      <c r="E244" t="s">
        <v>22</v>
      </c>
      <c r="F244" s="374">
        <v>1</v>
      </c>
      <c r="G244" s="16">
        <f>IF('Dry_Litterbag Placem_Collection'!E171="","",'Dry_Litterbag Placem_Collection'!E171)</f>
        <v>42940</v>
      </c>
      <c r="H244" t="str">
        <f>Dryseason!L170</f>
        <v>G250</v>
      </c>
      <c r="I244" t="str">
        <f>Dryseason!L390</f>
        <v>R684</v>
      </c>
      <c r="J244">
        <f>IFERROR(INDEX('Green_rooibos initial weight'!$C$5:$C$2000,MATCH(H244, 'Green_rooibos initial weight'!$A$5:$A$2000,0)),"")</f>
        <v>2.0139999999999998</v>
      </c>
      <c r="K244">
        <f>IFERROR(INDEX('Green_rooibos initial weight'!$C$5:$C$2000,MATCH(I244, 'Green_rooibos initial weight'!$A$5:$A$2000,0)),"")</f>
        <v>2.1139999999999999</v>
      </c>
      <c r="L244" s="194">
        <f t="shared" si="19"/>
        <v>1.7641999999999998</v>
      </c>
      <c r="M244" s="233">
        <f>AVERAGE(Ashed_controlls!$K$1:$K$11)</f>
        <v>5.5147656768714146</v>
      </c>
      <c r="N244" s="194">
        <f t="shared" si="18"/>
        <v>1.8641999999999999</v>
      </c>
      <c r="O244" s="16">
        <f>IF('Dry_Litterbag Placem_Collection'!G171="","",'Dry_Litterbag Placem_Collection'!G171)</f>
        <v>43009</v>
      </c>
      <c r="P244" s="194">
        <f>IFERROR(INDEX('Both teabags AfterDry'!$D$3:$D$2000,MATCH(H244,'Both teabags AfterDry'!$A$3:$A$2000,0)),"")</f>
        <v>0.80610000000000004</v>
      </c>
      <c r="Q244" s="194">
        <f>IFERROR(INDEX('Both teabags AfterDry'!$D$3:$D$2000,MATCH(I244,'Both teabags AfterDry'!$A$3:$A$2000,0)),"")</f>
        <v>1.8154999999999999</v>
      </c>
      <c r="R244" s="194">
        <f t="shared" si="20"/>
        <v>0.65549999999999997</v>
      </c>
      <c r="S244" s="194">
        <f t="shared" si="20"/>
        <v>1.6648999999999998</v>
      </c>
      <c r="T244" s="194">
        <f t="shared" si="21"/>
        <v>0.62844348713297804</v>
      </c>
      <c r="U244" s="194">
        <f t="shared" si="22"/>
        <v>0.41199620534133485</v>
      </c>
      <c r="V244" s="194">
        <f t="shared" si="23"/>
        <v>0.89309087007831778</v>
      </c>
      <c r="W244">
        <f t="shared" si="24"/>
        <v>69</v>
      </c>
      <c r="X244" s="194">
        <f t="shared" si="25"/>
        <v>0.25363006278743694</v>
      </c>
      <c r="Y244" s="194">
        <f t="shared" si="26"/>
        <v>4.3538682598459029E-3</v>
      </c>
      <c r="Z244" s="245" t="str">
        <f>IF(ISNUMBER(SEARCH("C", 'Dry_Litterbag Placem_Collection'!$T171)),"YES","NO")</f>
        <v>YES</v>
      </c>
      <c r="AA244" s="245" t="str">
        <f>IF(ISNUMBER(SEARCH("H", 'Dry_Litterbag Placem_Collection'!$T171)),"YES","NO")</f>
        <v>NO</v>
      </c>
      <c r="AB244" s="245" t="str">
        <f>IF(ISNUMBER(SEARCH("R", 'Dry_Litterbag Placem_Collection'!$T171)),"YES","NO")</f>
        <v>NO</v>
      </c>
      <c r="AC244" s="245" t="str">
        <f>IF(ISNUMBER(SEARCH("C", 'Dry_Litterbag Placem_Collection'!$S171)),"YES","NO")</f>
        <v>NO</v>
      </c>
      <c r="AD244" s="245" t="str">
        <f>IF(ISNUMBER(SEARCH("H", 'Dry_Litterbag Placem_Collection'!$S171)),"YES","NO")</f>
        <v>NO</v>
      </c>
      <c r="AE244" s="245" t="str">
        <f>IF(ISNUMBER(SEARCH("R", 'Dry_Litterbag Placem_Collection'!$S171)),"YES","NO")</f>
        <v>YES</v>
      </c>
    </row>
    <row r="245" spans="2:31">
      <c r="B245" t="str">
        <f>Dryseason!B171</f>
        <v>Dry</v>
      </c>
      <c r="C245" s="253">
        <f>Dryseason!C171</f>
        <v>170</v>
      </c>
      <c r="D245" t="s">
        <v>3128</v>
      </c>
      <c r="E245" t="s">
        <v>22</v>
      </c>
      <c r="F245" s="374">
        <v>2</v>
      </c>
      <c r="G245" s="16">
        <f>IF('Dry_Litterbag Placem_Collection'!E172="","",'Dry_Litterbag Placem_Collection'!E172)</f>
        <v>42940</v>
      </c>
      <c r="H245" t="str">
        <f>Dryseason!L171</f>
        <v>G624</v>
      </c>
      <c r="I245" t="str">
        <f>Dryseason!L391</f>
        <v>R694</v>
      </c>
      <c r="J245">
        <f>IFERROR(INDEX('Green_rooibos initial weight'!$C$5:$C$2000,MATCH(H245, 'Green_rooibos initial weight'!$A$5:$A$2000,0)),"")</f>
        <v>2.024</v>
      </c>
      <c r="K245">
        <f>IFERROR(INDEX('Green_rooibos initial weight'!$C$5:$C$2000,MATCH(I245, 'Green_rooibos initial weight'!$A$5:$A$2000,0)),"")</f>
        <v>2.23</v>
      </c>
      <c r="L245" s="194">
        <f t="shared" si="19"/>
        <v>1.7742</v>
      </c>
      <c r="M245" s="233">
        <f>AVERAGE(Ashed_controlls!$K$1:$K$11)</f>
        <v>5.5147656768714146</v>
      </c>
      <c r="N245" s="194">
        <f t="shared" si="18"/>
        <v>1.9802</v>
      </c>
      <c r="O245" s="16">
        <f>IF('Dry_Litterbag Placem_Collection'!G172="","",'Dry_Litterbag Placem_Collection'!G172)</f>
        <v>43009</v>
      </c>
      <c r="P245" s="194">
        <f>IFERROR(INDEX('Both teabags AfterDry'!$D$3:$D$2000,MATCH(H245,'Both teabags AfterDry'!$A$3:$A$2000,0)),"")</f>
        <v>0.94779999999999998</v>
      </c>
      <c r="Q245" s="194">
        <f>IFERROR(INDEX('Both teabags AfterDry'!$D$3:$D$2000,MATCH(I245,'Both teabags AfterDry'!$A$3:$A$2000,0)),"")</f>
        <v>1.7605</v>
      </c>
      <c r="R245" s="194">
        <f t="shared" si="20"/>
        <v>0.79719999999999991</v>
      </c>
      <c r="S245" s="194">
        <f t="shared" si="20"/>
        <v>1.6098999999999999</v>
      </c>
      <c r="T245" s="194">
        <f t="shared" si="21"/>
        <v>0.55067072483372792</v>
      </c>
      <c r="U245" s="194">
        <f t="shared" si="22"/>
        <v>0.3610097863518027</v>
      </c>
      <c r="V245" s="194">
        <f t="shared" si="23"/>
        <v>0.81299868700131295</v>
      </c>
      <c r="W245">
        <f t="shared" si="24"/>
        <v>69</v>
      </c>
      <c r="X245" s="194">
        <f t="shared" si="25"/>
        <v>0.34599676385542999</v>
      </c>
      <c r="Y245" s="194">
        <f t="shared" si="26"/>
        <v>1.0576827123371818E-2</v>
      </c>
      <c r="Z245" s="245" t="str">
        <f>IF(ISNUMBER(SEARCH("C", 'Dry_Litterbag Placem_Collection'!$T172)),"YES","NO")</f>
        <v>NO</v>
      </c>
      <c r="AA245" s="245" t="str">
        <f>IF(ISNUMBER(SEARCH("H", 'Dry_Litterbag Placem_Collection'!$T172)),"YES","NO")</f>
        <v>NO</v>
      </c>
      <c r="AB245" s="245" t="str">
        <f>IF(ISNUMBER(SEARCH("R", 'Dry_Litterbag Placem_Collection'!$T172)),"YES","NO")</f>
        <v>YES</v>
      </c>
      <c r="AC245" s="245" t="str">
        <f>IF(ISNUMBER(SEARCH("C", 'Dry_Litterbag Placem_Collection'!$S172)),"YES","NO")</f>
        <v>NO</v>
      </c>
      <c r="AD245" s="245" t="str">
        <f>IF(ISNUMBER(SEARCH("H", 'Dry_Litterbag Placem_Collection'!$S172)),"YES","NO")</f>
        <v>YES</v>
      </c>
      <c r="AE245" s="245" t="str">
        <f>IF(ISNUMBER(SEARCH("R", 'Dry_Litterbag Placem_Collection'!$S172)),"YES","NO")</f>
        <v>YES</v>
      </c>
    </row>
    <row r="246" spans="2:31">
      <c r="B246" t="str">
        <f>Dryseason!B172</f>
        <v>Dry</v>
      </c>
      <c r="C246" s="253">
        <f>Dryseason!C172</f>
        <v>171</v>
      </c>
      <c r="D246" t="s">
        <v>3128</v>
      </c>
      <c r="E246" t="s">
        <v>22</v>
      </c>
      <c r="F246" s="374">
        <v>3</v>
      </c>
      <c r="G246" s="16">
        <f>IF('Dry_Litterbag Placem_Collection'!E173="","",'Dry_Litterbag Placem_Collection'!E173)</f>
        <v>42940</v>
      </c>
      <c r="H246" t="str">
        <f>Dryseason!L172</f>
        <v>G149</v>
      </c>
      <c r="I246" t="str">
        <f>Dryseason!L392</f>
        <v>R655</v>
      </c>
      <c r="J246">
        <f>IFERROR(INDEX('Green_rooibos initial weight'!$C$5:$C$2000,MATCH(H246, 'Green_rooibos initial weight'!$A$5:$A$2000,0)),"")</f>
        <v>2.1789999999999998</v>
      </c>
      <c r="K246">
        <f>IFERROR(INDEX('Green_rooibos initial weight'!$C$5:$C$2000,MATCH(I246, 'Green_rooibos initial weight'!$A$5:$A$2000,0)),"")</f>
        <v>2.1779999999999999</v>
      </c>
      <c r="L246" s="194">
        <f t="shared" si="19"/>
        <v>1.9291999999999998</v>
      </c>
      <c r="M246" s="233">
        <f>AVERAGE(Ashed_controlls!$K$1:$K$11)</f>
        <v>5.5147656768714146</v>
      </c>
      <c r="N246" s="194">
        <f t="shared" si="18"/>
        <v>1.9281999999999999</v>
      </c>
      <c r="O246" s="16">
        <f>IF('Dry_Litterbag Placem_Collection'!G173="","",'Dry_Litterbag Placem_Collection'!G173)</f>
        <v>43009</v>
      </c>
      <c r="P246" s="194">
        <f>IFERROR(INDEX('Both teabags AfterDry'!$D$3:$D$2000,MATCH(H246,'Both teabags AfterDry'!$A$3:$A$2000,0)),"")</f>
        <v>0.75890000000000002</v>
      </c>
      <c r="Q246" s="194">
        <f>IFERROR(INDEX('Both teabags AfterDry'!$D$3:$D$2000,MATCH(I246,'Both teabags AfterDry'!$A$3:$A$2000,0)),"")</f>
        <v>3.7545000000000002</v>
      </c>
      <c r="R246" s="194">
        <f t="shared" si="20"/>
        <v>0.60830000000000006</v>
      </c>
      <c r="S246" s="194">
        <f t="shared" si="20"/>
        <v>3.6039000000000003</v>
      </c>
      <c r="T246" s="194">
        <f t="shared" si="21"/>
        <v>0.68468795355587808</v>
      </c>
      <c r="U246" s="194">
        <f t="shared" si="22"/>
        <v>0.44886906218865169</v>
      </c>
      <c r="V246" s="194">
        <f t="shared" si="23"/>
        <v>1.869048853853335</v>
      </c>
      <c r="W246">
        <f t="shared" si="24"/>
        <v>69</v>
      </c>
      <c r="X246" s="194">
        <f t="shared" si="25"/>
        <v>0.18683140907852958</v>
      </c>
      <c r="Y246" s="194">
        <f t="shared" si="26"/>
        <v>-1.5609814633218087E-2</v>
      </c>
      <c r="Z246" s="245" t="str">
        <f>IF(ISNUMBER(SEARCH("C", 'Dry_Litterbag Placem_Collection'!$T173)),"YES","NO")</f>
        <v>NO</v>
      </c>
      <c r="AA246" s="245" t="str">
        <f>IF(ISNUMBER(SEARCH("H", 'Dry_Litterbag Placem_Collection'!$T173)),"YES","NO")</f>
        <v>YES</v>
      </c>
      <c r="AB246" s="245" t="str">
        <f>IF(ISNUMBER(SEARCH("R", 'Dry_Litterbag Placem_Collection'!$T173)),"YES","NO")</f>
        <v>YES</v>
      </c>
      <c r="AC246" s="245" t="str">
        <f>IF(ISNUMBER(SEARCH("C", 'Dry_Litterbag Placem_Collection'!$S173)),"YES","NO")</f>
        <v>NO</v>
      </c>
      <c r="AD246" s="245" t="str">
        <f>IF(ISNUMBER(SEARCH("H", 'Dry_Litterbag Placem_Collection'!$S173)),"YES","NO")</f>
        <v>NO</v>
      </c>
      <c r="AE246" s="245" t="str">
        <f>IF(ISNUMBER(SEARCH("R", 'Dry_Litterbag Placem_Collection'!$S173)),"YES","NO")</f>
        <v>YES</v>
      </c>
    </row>
    <row r="247" spans="2:31">
      <c r="B247" t="str">
        <f>Dryseason!B173</f>
        <v>Dry</v>
      </c>
      <c r="C247" s="253">
        <f>Dryseason!C173</f>
        <v>172</v>
      </c>
      <c r="D247" t="s">
        <v>3128</v>
      </c>
      <c r="E247" t="s">
        <v>22</v>
      </c>
      <c r="F247" s="375">
        <v>4</v>
      </c>
      <c r="G247" s="16" t="str">
        <f>IF('Dry_Litterbag Placem_Collection'!E174="","",'Dry_Litterbag Placem_Collection'!E174)</f>
        <v/>
      </c>
      <c r="H247" t="str">
        <f>Dryseason!L173</f>
        <v/>
      </c>
      <c r="I247" t="str">
        <f>Dryseason!L393</f>
        <v/>
      </c>
      <c r="J247" t="str">
        <f>IFERROR(INDEX('Green_rooibos initial weight'!$C$5:$C$2000,MATCH(H247, 'Green_rooibos initial weight'!$A$5:$A$2000,0)),"")</f>
        <v/>
      </c>
      <c r="K247" t="str">
        <f>IFERROR(INDEX('Green_rooibos initial weight'!$C$5:$C$2000,MATCH(I247, 'Green_rooibos initial weight'!$A$5:$A$2000,0)),"")</f>
        <v/>
      </c>
      <c r="L247" s="194" t="str">
        <f t="shared" si="19"/>
        <v/>
      </c>
      <c r="M247" s="233">
        <f>AVERAGE(Ashed_controlls!$K$1:$K$11)</f>
        <v>5.5147656768714146</v>
      </c>
      <c r="N247" s="194" t="str">
        <f t="shared" si="18"/>
        <v/>
      </c>
      <c r="O247" s="16" t="str">
        <f>IF('Dry_Litterbag Placem_Collection'!G174="","",'Dry_Litterbag Placem_Collection'!G174)</f>
        <v/>
      </c>
      <c r="P247" s="194" t="str">
        <f>IFERROR(INDEX('Both teabags AfterDry'!$D$3:$D$2000,MATCH(H247,'Both teabags AfterDry'!$A$3:$A$2000,0)),"")</f>
        <v/>
      </c>
      <c r="Q247" s="194" t="str">
        <f>IFERROR(INDEX('Both teabags AfterDry'!$D$3:$D$2000,MATCH(I247,'Both teabags AfterDry'!$A$3:$A$2000,0)),"")</f>
        <v/>
      </c>
      <c r="R247" s="194" t="str">
        <f t="shared" si="20"/>
        <v/>
      </c>
      <c r="S247" s="194" t="str">
        <f t="shared" si="20"/>
        <v/>
      </c>
      <c r="T247" s="194" t="str">
        <f t="shared" si="21"/>
        <v/>
      </c>
      <c r="U247" s="194" t="str">
        <f t="shared" si="22"/>
        <v/>
      </c>
      <c r="V247" s="194" t="str">
        <f t="shared" si="23"/>
        <v/>
      </c>
      <c r="W247" t="str">
        <f t="shared" si="24"/>
        <v/>
      </c>
      <c r="X247" s="194" t="str">
        <f t="shared" si="25"/>
        <v/>
      </c>
      <c r="Y247" s="194" t="str">
        <f t="shared" si="26"/>
        <v/>
      </c>
      <c r="Z247" s="245" t="str">
        <f>IF(ISNUMBER(SEARCH("C", 'Dry_Litterbag Placem_Collection'!$T174)),"YES","NO")</f>
        <v>NO</v>
      </c>
      <c r="AA247" s="245" t="str">
        <f>IF(ISNUMBER(SEARCH("H", 'Dry_Litterbag Placem_Collection'!$T174)),"YES","NO")</f>
        <v>NO</v>
      </c>
      <c r="AB247" s="245" t="str">
        <f>IF(ISNUMBER(SEARCH("R", 'Dry_Litterbag Placem_Collection'!$T174)),"YES","NO")</f>
        <v>NO</v>
      </c>
      <c r="AC247" s="245" t="str">
        <f>IF(ISNUMBER(SEARCH("C", 'Dry_Litterbag Placem_Collection'!$S174)),"YES","NO")</f>
        <v>NO</v>
      </c>
      <c r="AD247" s="245" t="str">
        <f>IF(ISNUMBER(SEARCH("H", 'Dry_Litterbag Placem_Collection'!$S174)),"YES","NO")</f>
        <v>NO</v>
      </c>
      <c r="AE247" s="245" t="str">
        <f>IF(ISNUMBER(SEARCH("R", 'Dry_Litterbag Placem_Collection'!$S174)),"YES","NO")</f>
        <v>NO</v>
      </c>
    </row>
    <row r="248" spans="2:31">
      <c r="B248" t="str">
        <f>Dryseason!B174</f>
        <v>Dry</v>
      </c>
      <c r="C248" s="253">
        <f>Dryseason!C174</f>
        <v>173</v>
      </c>
      <c r="D248" t="s">
        <v>3128</v>
      </c>
      <c r="E248" t="s">
        <v>22</v>
      </c>
      <c r="F248" s="375">
        <v>5</v>
      </c>
      <c r="G248" s="16">
        <f>IF('Dry_Litterbag Placem_Collection'!E175="","",'Dry_Litterbag Placem_Collection'!E175)</f>
        <v>42940</v>
      </c>
      <c r="H248" t="str">
        <f>Dryseason!L174</f>
        <v>G597</v>
      </c>
      <c r="I248" t="str">
        <f>Dryseason!L394</f>
        <v>R405</v>
      </c>
      <c r="J248">
        <f>IFERROR(INDEX('Green_rooibos initial weight'!$C$5:$C$2000,MATCH(H248, 'Green_rooibos initial weight'!$A$5:$A$2000,0)),"")</f>
        <v>1.948</v>
      </c>
      <c r="K248">
        <f>IFERROR(INDEX('Green_rooibos initial weight'!$C$5:$C$2000,MATCH(I248, 'Green_rooibos initial weight'!$A$5:$A$2000,0)),"")</f>
        <v>2.2400000000000002</v>
      </c>
      <c r="L248" s="194">
        <f t="shared" si="19"/>
        <v>1.6981999999999999</v>
      </c>
      <c r="M248" s="233">
        <f>AVERAGE(Ashed_controlls!$K$1:$K$11)</f>
        <v>5.5147656768714146</v>
      </c>
      <c r="N248" s="194">
        <f t="shared" si="18"/>
        <v>1.9902000000000002</v>
      </c>
      <c r="O248" s="16">
        <f>IF('Dry_Litterbag Placem_Collection'!G175="","",'Dry_Litterbag Placem_Collection'!G175)</f>
        <v>43009</v>
      </c>
      <c r="P248" s="194" t="str">
        <f>IFERROR(INDEX('Both teabags AfterDry'!$D$3:$D$2000,MATCH(H248,'Both teabags AfterDry'!$A$3:$A$2000,0)),"")</f>
        <v/>
      </c>
      <c r="Q248" s="194" t="str">
        <f>IFERROR(INDEX('Both teabags AfterDry'!$D$3:$D$2000,MATCH(I248,'Both teabags AfterDry'!$A$3:$A$2000,0)),"")</f>
        <v/>
      </c>
      <c r="R248" s="194" t="str">
        <f t="shared" si="20"/>
        <v/>
      </c>
      <c r="S248" s="194" t="str">
        <f t="shared" si="20"/>
        <v/>
      </c>
      <c r="T248" s="194" t="str">
        <f t="shared" si="21"/>
        <v/>
      </c>
      <c r="U248" s="194" t="str">
        <f t="shared" si="22"/>
        <v/>
      </c>
      <c r="V248" s="194" t="str">
        <f t="shared" si="23"/>
        <v/>
      </c>
      <c r="W248">
        <f t="shared" si="24"/>
        <v>69</v>
      </c>
      <c r="X248" s="194" t="str">
        <f t="shared" si="25"/>
        <v/>
      </c>
      <c r="Y248" s="194" t="str">
        <f t="shared" si="26"/>
        <v/>
      </c>
      <c r="Z248" s="245" t="str">
        <f>IF(ISNUMBER(SEARCH("C", 'Dry_Litterbag Placem_Collection'!$T175)),"YES","NO")</f>
        <v>NO</v>
      </c>
      <c r="AA248" s="245" t="str">
        <f>IF(ISNUMBER(SEARCH("H", 'Dry_Litterbag Placem_Collection'!$T175)),"YES","NO")</f>
        <v>YES</v>
      </c>
      <c r="AB248" s="245" t="str">
        <f>IF(ISNUMBER(SEARCH("R", 'Dry_Litterbag Placem_Collection'!$T175)),"YES","NO")</f>
        <v>YES</v>
      </c>
      <c r="AC248" s="245" t="str">
        <f>IF(ISNUMBER(SEARCH("C", 'Dry_Litterbag Placem_Collection'!$S175)),"YES","NO")</f>
        <v>NO</v>
      </c>
      <c r="AD248" s="245" t="str">
        <f>IF(ISNUMBER(SEARCH("H", 'Dry_Litterbag Placem_Collection'!$S175)),"YES","NO")</f>
        <v>YES</v>
      </c>
      <c r="AE248" s="245" t="str">
        <f>IF(ISNUMBER(SEARCH("R", 'Dry_Litterbag Placem_Collection'!$S175)),"YES","NO")</f>
        <v>YES</v>
      </c>
    </row>
    <row r="249" spans="2:31">
      <c r="B249" t="str">
        <f>Dryseason!B175</f>
        <v>Dry</v>
      </c>
      <c r="C249" s="253">
        <f>Dryseason!C175</f>
        <v>174</v>
      </c>
      <c r="D249" t="s">
        <v>3128</v>
      </c>
      <c r="E249" t="s">
        <v>22</v>
      </c>
      <c r="F249" s="375">
        <v>6</v>
      </c>
      <c r="G249" s="16">
        <f>IF('Dry_Litterbag Placem_Collection'!E176="","",'Dry_Litterbag Placem_Collection'!E176)</f>
        <v>42940</v>
      </c>
      <c r="H249" t="str">
        <f>Dryseason!L175</f>
        <v>G396</v>
      </c>
      <c r="I249" t="str">
        <f>Dryseason!L395</f>
        <v>R736</v>
      </c>
      <c r="J249">
        <f>IFERROR(INDEX('Green_rooibos initial weight'!$C$5:$C$2000,MATCH(H249, 'Green_rooibos initial weight'!$A$5:$A$2000,0)),"")</f>
        <v>2.0070000000000001</v>
      </c>
      <c r="K249">
        <f>IFERROR(INDEX('Green_rooibos initial weight'!$C$5:$C$2000,MATCH(I249, 'Green_rooibos initial weight'!$A$5:$A$2000,0)),"")</f>
        <v>2.2189999999999999</v>
      </c>
      <c r="L249" s="194">
        <f t="shared" si="19"/>
        <v>1.7572000000000001</v>
      </c>
      <c r="M249" s="233">
        <f>AVERAGE(Ashed_controlls!$K$1:$K$11)</f>
        <v>5.5147656768714146</v>
      </c>
      <c r="N249" s="194">
        <f t="shared" si="18"/>
        <v>1.9691999999999998</v>
      </c>
      <c r="O249" s="16">
        <f>IF('Dry_Litterbag Placem_Collection'!G176="","",'Dry_Litterbag Placem_Collection'!G176)</f>
        <v>43009</v>
      </c>
      <c r="P249" s="194">
        <f>IFERROR(INDEX('Both teabags AfterDry'!$D$3:$D$2000,MATCH(H249,'Both teabags AfterDry'!$A$3:$A$2000,0)),"")</f>
        <v>0.80349999999999999</v>
      </c>
      <c r="Q249" s="194">
        <f>IFERROR(INDEX('Both teabags AfterDry'!$D$3:$D$2000,MATCH(I249,'Both teabags AfterDry'!$A$3:$A$2000,0)),"")</f>
        <v>1.6238999999999999</v>
      </c>
      <c r="R249" s="194">
        <f t="shared" si="20"/>
        <v>0.65290000000000004</v>
      </c>
      <c r="S249" s="194">
        <f t="shared" si="20"/>
        <v>1.4732999999999998</v>
      </c>
      <c r="T249" s="194">
        <f t="shared" si="21"/>
        <v>0.62844297746414757</v>
      </c>
      <c r="U249" s="194">
        <f t="shared" si="22"/>
        <v>0.41199587121165027</v>
      </c>
      <c r="V249" s="194">
        <f t="shared" si="23"/>
        <v>0.74817184643510048</v>
      </c>
      <c r="W249">
        <f t="shared" si="24"/>
        <v>69</v>
      </c>
      <c r="X249" s="194">
        <f t="shared" si="25"/>
        <v>0.25363066809483659</v>
      </c>
      <c r="Y249" s="194">
        <f t="shared" si="26"/>
        <v>1.3692635166048265E-2</v>
      </c>
      <c r="Z249" s="245" t="str">
        <f>IF(ISNUMBER(SEARCH("C", 'Dry_Litterbag Placem_Collection'!$T176)),"YES","NO")</f>
        <v>NO</v>
      </c>
      <c r="AA249" s="245" t="str">
        <f>IF(ISNUMBER(SEARCH("H", 'Dry_Litterbag Placem_Collection'!$T176)),"YES","NO")</f>
        <v>NO</v>
      </c>
      <c r="AB249" s="245" t="str">
        <f>IF(ISNUMBER(SEARCH("R", 'Dry_Litterbag Placem_Collection'!$T176)),"YES","NO")</f>
        <v>YES</v>
      </c>
      <c r="AC249" s="245" t="str">
        <f>IF(ISNUMBER(SEARCH("C", 'Dry_Litterbag Placem_Collection'!$S176)),"YES","NO")</f>
        <v>NO</v>
      </c>
      <c r="AD249" s="245" t="str">
        <f>IF(ISNUMBER(SEARCH("H", 'Dry_Litterbag Placem_Collection'!$S176)),"YES","NO")</f>
        <v>YES</v>
      </c>
      <c r="AE249" s="245" t="str">
        <f>IF(ISNUMBER(SEARCH("R", 'Dry_Litterbag Placem_Collection'!$S176)),"YES","NO")</f>
        <v>YES</v>
      </c>
    </row>
    <row r="250" spans="2:31">
      <c r="B250" t="str">
        <f>Dryseason!B176</f>
        <v>Dry</v>
      </c>
      <c r="C250" s="253">
        <f>Dryseason!C176</f>
        <v>175</v>
      </c>
      <c r="D250" t="s">
        <v>3128</v>
      </c>
      <c r="E250" t="s">
        <v>22</v>
      </c>
      <c r="F250" s="375">
        <v>7</v>
      </c>
      <c r="G250" s="16">
        <f>IF('Dry_Litterbag Placem_Collection'!E177="","",'Dry_Litterbag Placem_Collection'!E177)</f>
        <v>42940</v>
      </c>
      <c r="H250" t="str">
        <f>Dryseason!L176</f>
        <v>G612</v>
      </c>
      <c r="I250" t="str">
        <f>Dryseason!L396</f>
        <v>R338</v>
      </c>
      <c r="J250">
        <f>IFERROR(INDEX('Green_rooibos initial weight'!$C$5:$C$2000,MATCH(H250, 'Green_rooibos initial weight'!$A$5:$A$2000,0)),"")</f>
        <v>2.004</v>
      </c>
      <c r="K250">
        <f>IFERROR(INDEX('Green_rooibos initial weight'!$C$5:$C$2000,MATCH(I250, 'Green_rooibos initial weight'!$A$5:$A$2000,0)),"")</f>
        <v>2.1709999999999998</v>
      </c>
      <c r="L250" s="194">
        <f t="shared" si="19"/>
        <v>1.7542</v>
      </c>
      <c r="M250" s="233">
        <f>AVERAGE(Ashed_controlls!$K$1:$K$11)</f>
        <v>5.5147656768714146</v>
      </c>
      <c r="N250" s="194">
        <f t="shared" si="18"/>
        <v>1.9211999999999998</v>
      </c>
      <c r="O250" s="16">
        <f>IF('Dry_Litterbag Placem_Collection'!G177="","",'Dry_Litterbag Placem_Collection'!G177)</f>
        <v>43009</v>
      </c>
      <c r="P250" s="194">
        <f>IFERROR(INDEX('Both teabags AfterDry'!$D$3:$D$2000,MATCH(H250,'Both teabags AfterDry'!$A$3:$A$2000,0)),"")</f>
        <v>0.83</v>
      </c>
      <c r="Q250" s="194">
        <f>IFERROR(INDEX('Both teabags AfterDry'!$D$3:$D$2000,MATCH(I250,'Both teabags AfterDry'!$A$3:$A$2000,0)),"")</f>
        <v>1.8117000000000001</v>
      </c>
      <c r="R250" s="194">
        <f t="shared" si="20"/>
        <v>0.6794</v>
      </c>
      <c r="S250" s="194">
        <f t="shared" si="20"/>
        <v>1.6611</v>
      </c>
      <c r="T250" s="194">
        <f t="shared" si="21"/>
        <v>0.6127009463003078</v>
      </c>
      <c r="U250" s="194">
        <f t="shared" si="22"/>
        <v>0.40167567975982177</v>
      </c>
      <c r="V250" s="194">
        <f t="shared" si="23"/>
        <v>0.86461586508432242</v>
      </c>
      <c r="W250">
        <f t="shared" si="24"/>
        <v>69</v>
      </c>
      <c r="X250" s="194">
        <f t="shared" si="25"/>
        <v>0.27232666710177222</v>
      </c>
      <c r="Y250" s="194">
        <f t="shared" si="26"/>
        <v>5.957293542268355E-3</v>
      </c>
      <c r="Z250" s="245" t="str">
        <f>IF(ISNUMBER(SEARCH("C", 'Dry_Litterbag Placem_Collection'!$T177)),"YES","NO")</f>
        <v>NO</v>
      </c>
      <c r="AA250" s="245" t="str">
        <f>IF(ISNUMBER(SEARCH("H", 'Dry_Litterbag Placem_Collection'!$T177)),"YES","NO")</f>
        <v>NO</v>
      </c>
      <c r="AB250" s="245" t="str">
        <f>IF(ISNUMBER(SEARCH("R", 'Dry_Litterbag Placem_Collection'!$T177)),"YES","NO")</f>
        <v>NO</v>
      </c>
      <c r="AC250" s="245" t="str">
        <f>IF(ISNUMBER(SEARCH("C", 'Dry_Litterbag Placem_Collection'!$S177)),"YES","NO")</f>
        <v>NO</v>
      </c>
      <c r="AD250" s="245" t="str">
        <f>IF(ISNUMBER(SEARCH("H", 'Dry_Litterbag Placem_Collection'!$S177)),"YES","NO")</f>
        <v>YES</v>
      </c>
      <c r="AE250" s="245" t="str">
        <f>IF(ISNUMBER(SEARCH("R", 'Dry_Litterbag Placem_Collection'!$S177)),"YES","NO")</f>
        <v>YES</v>
      </c>
    </row>
    <row r="251" spans="2:31">
      <c r="B251" t="str">
        <f>Dryseason!B177</f>
        <v>Dry</v>
      </c>
      <c r="C251" s="253">
        <f>Dryseason!C177</f>
        <v>176</v>
      </c>
      <c r="D251" t="s">
        <v>3128</v>
      </c>
      <c r="E251" t="s">
        <v>22</v>
      </c>
      <c r="F251" s="375">
        <v>8</v>
      </c>
      <c r="G251" s="16">
        <f>IF('Dry_Litterbag Placem_Collection'!E178="","",'Dry_Litterbag Placem_Collection'!E178)</f>
        <v>42940</v>
      </c>
      <c r="H251" t="str">
        <f>Dryseason!L177</f>
        <v>G183</v>
      </c>
      <c r="I251" t="str">
        <f>Dryseason!L397</f>
        <v>R52</v>
      </c>
      <c r="J251">
        <f>IFERROR(INDEX('Green_rooibos initial weight'!$C$5:$C$2000,MATCH(H251, 'Green_rooibos initial weight'!$A$5:$A$2000,0)),"")</f>
        <v>1.897</v>
      </c>
      <c r="K251">
        <f>IFERROR(INDEX('Green_rooibos initial weight'!$C$5:$C$2000,MATCH(I251, 'Green_rooibos initial weight'!$A$5:$A$2000,0)),"")</f>
        <v>2.1629999999999998</v>
      </c>
      <c r="L251" s="194">
        <f t="shared" si="19"/>
        <v>1.6472</v>
      </c>
      <c r="M251" s="233">
        <f>AVERAGE(Ashed_controlls!$K$1:$K$11)</f>
        <v>5.5147656768714146</v>
      </c>
      <c r="N251" s="194">
        <f t="shared" si="18"/>
        <v>1.9131999999999998</v>
      </c>
      <c r="O251" s="16">
        <f>IF('Dry_Litterbag Placem_Collection'!G178="","",'Dry_Litterbag Placem_Collection'!G178)</f>
        <v>43009</v>
      </c>
      <c r="P251" s="194">
        <f>IFERROR(INDEX('Both teabags AfterDry'!$D$3:$D$2000,MATCH(H251,'Both teabags AfterDry'!$A$3:$A$2000,0)),"")</f>
        <v>0.92459999999999998</v>
      </c>
      <c r="Q251" s="194">
        <f>IFERROR(INDEX('Both teabags AfterDry'!$D$3:$D$2000,MATCH(I251,'Both teabags AfterDry'!$A$3:$A$2000,0)),"")</f>
        <v>0</v>
      </c>
      <c r="R251" s="194">
        <f t="shared" si="20"/>
        <v>0.77400000000000002</v>
      </c>
      <c r="S251" s="194" t="str">
        <f t="shared" si="20"/>
        <v/>
      </c>
      <c r="T251" s="194">
        <f t="shared" si="21"/>
        <v>0.53011170471102476</v>
      </c>
      <c r="U251" s="194">
        <f t="shared" si="22"/>
        <v>0.34753166389606377</v>
      </c>
      <c r="V251" s="194" t="str">
        <f t="shared" si="23"/>
        <v/>
      </c>
      <c r="W251">
        <f t="shared" si="24"/>
        <v>69</v>
      </c>
      <c r="X251" s="194">
        <f t="shared" si="25"/>
        <v>0.37041365236220336</v>
      </c>
      <c r="Y251" s="194" t="str">
        <f t="shared" si="26"/>
        <v/>
      </c>
      <c r="Z251" s="245" t="str">
        <f>IF(ISNUMBER(SEARCH("C", 'Dry_Litterbag Placem_Collection'!$T178)),"YES","NO")</f>
        <v>NO</v>
      </c>
      <c r="AA251" s="245" t="str">
        <f>IF(ISNUMBER(SEARCH("H", 'Dry_Litterbag Placem_Collection'!$T178)),"YES","NO")</f>
        <v>YES</v>
      </c>
      <c r="AB251" s="245" t="str">
        <f>IF(ISNUMBER(SEARCH("R", 'Dry_Litterbag Placem_Collection'!$T178)),"YES","NO")</f>
        <v>YES</v>
      </c>
      <c r="AC251" s="245" t="str">
        <f>IF(ISNUMBER(SEARCH("C", 'Dry_Litterbag Placem_Collection'!$S178)),"YES","NO")</f>
        <v>NO</v>
      </c>
      <c r="AD251" s="245" t="str">
        <f>IF(ISNUMBER(SEARCH("H", 'Dry_Litterbag Placem_Collection'!$S178)),"YES","NO")</f>
        <v>YES</v>
      </c>
      <c r="AE251" s="245" t="str">
        <f>IF(ISNUMBER(SEARCH("R", 'Dry_Litterbag Placem_Collection'!$S178)),"YES","NO")</f>
        <v>YES</v>
      </c>
    </row>
    <row r="252" spans="2:31">
      <c r="B252" t="str">
        <f>Dryseason!B178</f>
        <v>Dry</v>
      </c>
      <c r="C252" s="253">
        <f>Dryseason!C178</f>
        <v>177</v>
      </c>
      <c r="D252" t="s">
        <v>3129</v>
      </c>
      <c r="E252" t="s">
        <v>22</v>
      </c>
      <c r="F252" s="374">
        <v>1</v>
      </c>
      <c r="G252" s="16">
        <f>IF('Dry_Litterbag Placem_Collection'!E179="","",'Dry_Litterbag Placem_Collection'!E179)</f>
        <v>42940</v>
      </c>
      <c r="H252" t="str">
        <f>Dryseason!L178</f>
        <v>G98</v>
      </c>
      <c r="I252" t="str">
        <f>Dryseason!L398</f>
        <v>R750</v>
      </c>
      <c r="J252">
        <f>IFERROR(INDEX('Green_rooibos initial weight'!$C$5:$C$2000,MATCH(H252, 'Green_rooibos initial weight'!$A$5:$A$2000,0)),"")</f>
        <v>2.0979999999999999</v>
      </c>
      <c r="K252">
        <f>IFERROR(INDEX('Green_rooibos initial weight'!$C$5:$C$2000,MATCH(I252, 'Green_rooibos initial weight'!$A$5:$A$2000,0)),"")</f>
        <v>2.2029999999999998</v>
      </c>
      <c r="L252" s="194">
        <f t="shared" si="19"/>
        <v>1.8481999999999998</v>
      </c>
      <c r="M252" s="233">
        <f>AVERAGE(Ashed_controlls!$K$1:$K$11)</f>
        <v>5.5147656768714146</v>
      </c>
      <c r="N252" s="194">
        <f t="shared" si="18"/>
        <v>1.9531999999999998</v>
      </c>
      <c r="O252" s="16">
        <f>IF('Dry_Litterbag Placem_Collection'!G179="","",'Dry_Litterbag Placem_Collection'!G179)</f>
        <v>43009</v>
      </c>
      <c r="P252" s="194" t="str">
        <f>IFERROR(INDEX('Both teabags AfterDry'!$D$3:$D$2000,MATCH(H252,'Both teabags AfterDry'!$A$3:$A$2000,0)),"")</f>
        <v/>
      </c>
      <c r="Q252" s="194" t="str">
        <f>IFERROR(INDEX('Both teabags AfterDry'!$D$3:$D$2000,MATCH(I252,'Both teabags AfterDry'!$A$3:$A$2000,0)),"")</f>
        <v/>
      </c>
      <c r="R252" s="194" t="str">
        <f t="shared" si="20"/>
        <v/>
      </c>
      <c r="S252" s="194" t="str">
        <f t="shared" si="20"/>
        <v/>
      </c>
      <c r="T252" s="194" t="str">
        <f t="shared" si="21"/>
        <v/>
      </c>
      <c r="U252" s="194" t="str">
        <f t="shared" si="22"/>
        <v/>
      </c>
      <c r="V252" s="194" t="str">
        <f t="shared" si="23"/>
        <v/>
      </c>
      <c r="W252">
        <f t="shared" si="24"/>
        <v>69</v>
      </c>
      <c r="X252" s="194" t="str">
        <f t="shared" si="25"/>
        <v/>
      </c>
      <c r="Y252" s="194" t="str">
        <f t="shared" si="26"/>
        <v/>
      </c>
      <c r="Z252" s="245" t="str">
        <f>IF(ISNUMBER(SEARCH("C", 'Dry_Litterbag Placem_Collection'!$T179)),"YES","NO")</f>
        <v>YES</v>
      </c>
      <c r="AA252" s="245" t="str">
        <f>IF(ISNUMBER(SEARCH("H", 'Dry_Litterbag Placem_Collection'!$T179)),"YES","NO")</f>
        <v>YES</v>
      </c>
      <c r="AB252" s="245" t="str">
        <f>IF(ISNUMBER(SEARCH("R", 'Dry_Litterbag Placem_Collection'!$T179)),"YES","NO")</f>
        <v>YES</v>
      </c>
      <c r="AC252" s="245" t="str">
        <f>IF(ISNUMBER(SEARCH("C", 'Dry_Litterbag Placem_Collection'!$S179)),"YES","NO")</f>
        <v>NO</v>
      </c>
      <c r="AD252" s="245" t="str">
        <f>IF(ISNUMBER(SEARCH("H", 'Dry_Litterbag Placem_Collection'!$S179)),"YES","NO")</f>
        <v>YES</v>
      </c>
      <c r="AE252" s="245" t="str">
        <f>IF(ISNUMBER(SEARCH("R", 'Dry_Litterbag Placem_Collection'!$S179)),"YES","NO")</f>
        <v>YES</v>
      </c>
    </row>
    <row r="253" spans="2:31">
      <c r="B253" t="str">
        <f>Dryseason!B179</f>
        <v>Dry</v>
      </c>
      <c r="C253" s="253">
        <f>Dryseason!C179</f>
        <v>178</v>
      </c>
      <c r="D253" t="s">
        <v>3129</v>
      </c>
      <c r="E253" t="s">
        <v>22</v>
      </c>
      <c r="F253" s="374">
        <v>2</v>
      </c>
      <c r="G253" s="16">
        <f>IF('Dry_Litterbag Placem_Collection'!E180="","",'Dry_Litterbag Placem_Collection'!E180)</f>
        <v>42940</v>
      </c>
      <c r="H253" t="str">
        <f>Dryseason!L179</f>
        <v>G353</v>
      </c>
      <c r="I253" t="str">
        <f>Dryseason!L399</f>
        <v>R612</v>
      </c>
      <c r="J253">
        <f>IFERROR(INDEX('Green_rooibos initial weight'!$C$5:$C$2000,MATCH(H253, 'Green_rooibos initial weight'!$A$5:$A$2000,0)),"")</f>
        <v>1.988</v>
      </c>
      <c r="K253">
        <f>IFERROR(INDEX('Green_rooibos initial weight'!$C$5:$C$2000,MATCH(I253, 'Green_rooibos initial weight'!$A$5:$A$2000,0)),"")</f>
        <v>2.11</v>
      </c>
      <c r="L253" s="194">
        <f t="shared" si="19"/>
        <v>1.7382</v>
      </c>
      <c r="M253" s="233">
        <f>AVERAGE(Ashed_controlls!$K$1:$K$11)</f>
        <v>5.5147656768714146</v>
      </c>
      <c r="N253" s="194">
        <f t="shared" si="18"/>
        <v>1.8601999999999999</v>
      </c>
      <c r="O253" s="16">
        <f>IF('Dry_Litterbag Placem_Collection'!G180="","",'Dry_Litterbag Placem_Collection'!G180)</f>
        <v>43009</v>
      </c>
      <c r="P253" s="194">
        <f>IFERROR(INDEX('Both teabags AfterDry'!$D$3:$D$2000,MATCH(H253,'Both teabags AfterDry'!$A$3:$A$2000,0)),"")</f>
        <v>0.80569999999999997</v>
      </c>
      <c r="Q253" s="194">
        <f>IFERROR(INDEX('Both teabags AfterDry'!$D$3:$D$2000,MATCH(I253,'Both teabags AfterDry'!$A$3:$A$2000,0)),"")</f>
        <v>0</v>
      </c>
      <c r="R253" s="194">
        <f t="shared" si="20"/>
        <v>0.65510000000000002</v>
      </c>
      <c r="S253" s="194" t="str">
        <f t="shared" si="20"/>
        <v/>
      </c>
      <c r="T253" s="194">
        <f t="shared" si="21"/>
        <v>0.62311586698883903</v>
      </c>
      <c r="U253" s="194">
        <f t="shared" si="22"/>
        <v>0.40850351375040284</v>
      </c>
      <c r="V253" s="194" t="str">
        <f t="shared" si="23"/>
        <v/>
      </c>
      <c r="W253">
        <f t="shared" si="24"/>
        <v>69</v>
      </c>
      <c r="X253" s="194">
        <f t="shared" si="25"/>
        <v>0.25995740262608191</v>
      </c>
      <c r="Y253" s="194" t="str">
        <f t="shared" si="26"/>
        <v/>
      </c>
      <c r="Z253" s="245" t="str">
        <f>IF(ISNUMBER(SEARCH("C", 'Dry_Litterbag Placem_Collection'!$T180)),"YES","NO")</f>
        <v>YES</v>
      </c>
      <c r="AA253" s="245" t="str">
        <f>IF(ISNUMBER(SEARCH("H", 'Dry_Litterbag Placem_Collection'!$T180)),"YES","NO")</f>
        <v>YES</v>
      </c>
      <c r="AB253" s="245" t="str">
        <f>IF(ISNUMBER(SEARCH("R", 'Dry_Litterbag Placem_Collection'!$T180)),"YES","NO")</f>
        <v>NO</v>
      </c>
      <c r="AC253" s="245" t="str">
        <f>IF(ISNUMBER(SEARCH("C", 'Dry_Litterbag Placem_Collection'!$S180)),"YES","NO")</f>
        <v>NO</v>
      </c>
      <c r="AD253" s="245" t="str">
        <f>IF(ISNUMBER(SEARCH("H", 'Dry_Litterbag Placem_Collection'!$S180)),"YES","NO")</f>
        <v>NO</v>
      </c>
      <c r="AE253" s="245" t="str">
        <f>IF(ISNUMBER(SEARCH("R", 'Dry_Litterbag Placem_Collection'!$S180)),"YES","NO")</f>
        <v>YES</v>
      </c>
    </row>
    <row r="254" spans="2:31">
      <c r="B254" t="str">
        <f>Dryseason!B180</f>
        <v>Dry</v>
      </c>
      <c r="C254" s="253">
        <f>Dryseason!C180</f>
        <v>179</v>
      </c>
      <c r="D254" t="s">
        <v>3129</v>
      </c>
      <c r="E254" t="s">
        <v>22</v>
      </c>
      <c r="F254" s="374">
        <v>3</v>
      </c>
      <c r="G254" s="16">
        <f>IF('Dry_Litterbag Placem_Collection'!E181="","",'Dry_Litterbag Placem_Collection'!E181)</f>
        <v>42940</v>
      </c>
      <c r="H254" t="str">
        <f>Dryseason!L180</f>
        <v>G42</v>
      </c>
      <c r="I254" t="str">
        <f>Dryseason!L400</f>
        <v>R491</v>
      </c>
      <c r="J254">
        <f>IFERROR(INDEX('Green_rooibos initial weight'!$C$5:$C$2000,MATCH(H254, 'Green_rooibos initial weight'!$A$5:$A$2000,0)),"")</f>
        <v>1.9530000000000001</v>
      </c>
      <c r="K254">
        <f>IFERROR(INDEX('Green_rooibos initial weight'!$C$5:$C$2000,MATCH(I254, 'Green_rooibos initial weight'!$A$5:$A$2000,0)),"")</f>
        <v>2.2690000000000001</v>
      </c>
      <c r="L254" s="194">
        <f t="shared" si="19"/>
        <v>1.7032</v>
      </c>
      <c r="M254" s="233">
        <f>AVERAGE(Ashed_controlls!$K$1:$K$11)</f>
        <v>5.5147656768714146</v>
      </c>
      <c r="N254" s="194">
        <f t="shared" si="18"/>
        <v>2.0192000000000001</v>
      </c>
      <c r="O254" s="16">
        <f>IF('Dry_Litterbag Placem_Collection'!G181="","",'Dry_Litterbag Placem_Collection'!G181)</f>
        <v>43009</v>
      </c>
      <c r="P254" s="194">
        <f>IFERROR(INDEX('Both teabags AfterDry'!$D$3:$D$2000,MATCH(H254,'Both teabags AfterDry'!$A$3:$A$2000,0)),"")</f>
        <v>1.0448</v>
      </c>
      <c r="Q254" s="194">
        <f>IFERROR(INDEX('Both teabags AfterDry'!$D$3:$D$2000,MATCH(I254,'Both teabags AfterDry'!$A$3:$A$2000,0)),"")</f>
        <v>2.0198</v>
      </c>
      <c r="R254" s="194">
        <f t="shared" si="20"/>
        <v>0.89419999999999988</v>
      </c>
      <c r="S254" s="194">
        <f t="shared" si="20"/>
        <v>1.8692</v>
      </c>
      <c r="T254" s="194">
        <f t="shared" si="21"/>
        <v>0.47498825739783945</v>
      </c>
      <c r="U254" s="194">
        <f t="shared" si="22"/>
        <v>0.31139372694015133</v>
      </c>
      <c r="V254" s="194">
        <f t="shared" si="23"/>
        <v>0.92571315372424712</v>
      </c>
      <c r="W254">
        <f t="shared" si="24"/>
        <v>69</v>
      </c>
      <c r="X254" s="194">
        <f t="shared" si="25"/>
        <v>0.43588092945624768</v>
      </c>
      <c r="Y254" s="194">
        <f t="shared" si="26"/>
        <v>3.9499579963967338E-3</v>
      </c>
      <c r="Z254" s="245" t="str">
        <f>IF(ISNUMBER(SEARCH("C", 'Dry_Litterbag Placem_Collection'!$T181)),"YES","NO")</f>
        <v>NO</v>
      </c>
      <c r="AA254" s="245" t="str">
        <f>IF(ISNUMBER(SEARCH("H", 'Dry_Litterbag Placem_Collection'!$T181)),"YES","NO")</f>
        <v>NO</v>
      </c>
      <c r="AB254" s="245" t="str">
        <f>IF(ISNUMBER(SEARCH("R", 'Dry_Litterbag Placem_Collection'!$T181)),"YES","NO")</f>
        <v>YES</v>
      </c>
      <c r="AC254" s="245" t="str">
        <f>IF(ISNUMBER(SEARCH("C", 'Dry_Litterbag Placem_Collection'!$S181)),"YES","NO")</f>
        <v>NO</v>
      </c>
      <c r="AD254" s="245" t="str">
        <f>IF(ISNUMBER(SEARCH("H", 'Dry_Litterbag Placem_Collection'!$S181)),"YES","NO")</f>
        <v>NO</v>
      </c>
      <c r="AE254" s="245" t="str">
        <f>IF(ISNUMBER(SEARCH("R", 'Dry_Litterbag Placem_Collection'!$S181)),"YES","NO")</f>
        <v>YES</v>
      </c>
    </row>
    <row r="255" spans="2:31">
      <c r="B255" t="str">
        <f>Dryseason!B181</f>
        <v>Dry</v>
      </c>
      <c r="C255" s="253">
        <f>Dryseason!C181</f>
        <v>180</v>
      </c>
      <c r="D255" t="s">
        <v>3129</v>
      </c>
      <c r="E255" t="s">
        <v>22</v>
      </c>
      <c r="F255" s="375">
        <v>4</v>
      </c>
      <c r="G255" s="16">
        <f>IF('Dry_Litterbag Placem_Collection'!E182="","",'Dry_Litterbag Placem_Collection'!E182)</f>
        <v>42940</v>
      </c>
      <c r="H255" t="str">
        <f>Dryseason!L181</f>
        <v>G245</v>
      </c>
      <c r="I255" t="str">
        <f>Dryseason!L401</f>
        <v>R325</v>
      </c>
      <c r="J255">
        <f>IFERROR(INDEX('Green_rooibos initial weight'!$C$5:$C$2000,MATCH(H255, 'Green_rooibos initial weight'!$A$5:$A$2000,0)),"")</f>
        <v>2.0150000000000001</v>
      </c>
      <c r="K255">
        <f>IFERROR(INDEX('Green_rooibos initial weight'!$C$5:$C$2000,MATCH(I255, 'Green_rooibos initial weight'!$A$5:$A$2000,0)),"")</f>
        <v>2.2069999999999999</v>
      </c>
      <c r="L255" s="194">
        <f t="shared" si="19"/>
        <v>1.7652000000000001</v>
      </c>
      <c r="M255" s="233">
        <f>AVERAGE(Ashed_controlls!$K$1:$K$11)</f>
        <v>5.5147656768714146</v>
      </c>
      <c r="N255" s="194">
        <f t="shared" si="18"/>
        <v>1.9571999999999998</v>
      </c>
      <c r="O255" s="16">
        <f>IF('Dry_Litterbag Placem_Collection'!G182="","",'Dry_Litterbag Placem_Collection'!G182)</f>
        <v>43009</v>
      </c>
      <c r="P255" s="194">
        <f>IFERROR(INDEX('Both teabags AfterDry'!$D$3:$D$2000,MATCH(H255,'Both teabags AfterDry'!$A$3:$A$2000,0)),"")</f>
        <v>0.81240000000000001</v>
      </c>
      <c r="Q255" s="194">
        <f>IFERROR(INDEX('Both teabags AfterDry'!$D$3:$D$2000,MATCH(I255,'Both teabags AfterDry'!$A$3:$A$2000,0)),"")</f>
        <v>1.6720999999999999</v>
      </c>
      <c r="R255" s="194">
        <f t="shared" si="20"/>
        <v>0.66179999999999994</v>
      </c>
      <c r="S255" s="194">
        <f t="shared" si="20"/>
        <v>1.5214999999999999</v>
      </c>
      <c r="T255" s="194">
        <f t="shared" si="21"/>
        <v>0.62508497620666215</v>
      </c>
      <c r="U255" s="194">
        <f t="shared" si="22"/>
        <v>0.40979442620674295</v>
      </c>
      <c r="V255" s="194">
        <f t="shared" si="23"/>
        <v>0.77738606172082569</v>
      </c>
      <c r="W255">
        <f t="shared" si="24"/>
        <v>69</v>
      </c>
      <c r="X255" s="194">
        <f t="shared" si="25"/>
        <v>0.2576187931037266</v>
      </c>
      <c r="Y255" s="194">
        <f t="shared" si="26"/>
        <v>1.1356265318912274E-2</v>
      </c>
      <c r="Z255" s="245" t="str">
        <f>IF(ISNUMBER(SEARCH("C", 'Dry_Litterbag Placem_Collection'!$T182)),"YES","NO")</f>
        <v>NO</v>
      </c>
      <c r="AA255" s="245" t="str">
        <f>IF(ISNUMBER(SEARCH("H", 'Dry_Litterbag Placem_Collection'!$T182)),"YES","NO")</f>
        <v>NO</v>
      </c>
      <c r="AB255" s="245" t="str">
        <f>IF(ISNUMBER(SEARCH("R", 'Dry_Litterbag Placem_Collection'!$T182)),"YES","NO")</f>
        <v>NO</v>
      </c>
      <c r="AC255" s="245" t="str">
        <f>IF(ISNUMBER(SEARCH("C", 'Dry_Litterbag Placem_Collection'!$S182)),"YES","NO")</f>
        <v>NO</v>
      </c>
      <c r="AD255" s="245" t="str">
        <f>IF(ISNUMBER(SEARCH("H", 'Dry_Litterbag Placem_Collection'!$S182)),"YES","NO")</f>
        <v>NO</v>
      </c>
      <c r="AE255" s="245" t="str">
        <f>IF(ISNUMBER(SEARCH("R", 'Dry_Litterbag Placem_Collection'!$S182)),"YES","NO")</f>
        <v>YES</v>
      </c>
    </row>
    <row r="256" spans="2:31">
      <c r="B256" t="str">
        <f>Dryseason!B182</f>
        <v>Dry</v>
      </c>
      <c r="C256" s="253">
        <f>Dryseason!C182</f>
        <v>181</v>
      </c>
      <c r="D256" t="s">
        <v>3129</v>
      </c>
      <c r="E256" t="s">
        <v>22</v>
      </c>
      <c r="F256" s="375">
        <v>5</v>
      </c>
      <c r="G256" s="16">
        <f>IF('Dry_Litterbag Placem_Collection'!E183="","",'Dry_Litterbag Placem_Collection'!E183)</f>
        <v>42940</v>
      </c>
      <c r="H256" t="str">
        <f>Dryseason!L182</f>
        <v>G411</v>
      </c>
      <c r="I256" t="str">
        <f>Dryseason!L402</f>
        <v>R116</v>
      </c>
      <c r="J256">
        <f>IFERROR(INDEX('Green_rooibos initial weight'!$C$5:$C$2000,MATCH(H256, 'Green_rooibos initial weight'!$A$5:$A$2000,0)),"")</f>
        <v>2.1120000000000001</v>
      </c>
      <c r="K256">
        <f>IFERROR(INDEX('Green_rooibos initial weight'!$C$5:$C$2000,MATCH(I256, 'Green_rooibos initial weight'!$A$5:$A$2000,0)),"")</f>
        <v>2.2909999999999999</v>
      </c>
      <c r="L256" s="194">
        <f t="shared" si="19"/>
        <v>1.8622000000000001</v>
      </c>
      <c r="M256" s="233">
        <f>AVERAGE(Ashed_controlls!$K$1:$K$11)</f>
        <v>5.5147656768714146</v>
      </c>
      <c r="N256" s="194">
        <f t="shared" si="18"/>
        <v>2.0411999999999999</v>
      </c>
      <c r="O256" s="16">
        <f>IF('Dry_Litterbag Placem_Collection'!G183="","",'Dry_Litterbag Placem_Collection'!G183)</f>
        <v>43009</v>
      </c>
      <c r="P256" s="194">
        <f>IFERROR(INDEX('Both teabags AfterDry'!$D$3:$D$2000,MATCH(H256,'Both teabags AfterDry'!$A$3:$A$2000,0)),"")</f>
        <v>0.76629999999999998</v>
      </c>
      <c r="Q256" s="194">
        <f>IFERROR(INDEX('Both teabags AfterDry'!$D$3:$D$2000,MATCH(I256,'Both teabags AfterDry'!$A$3:$A$2000,0)),"")</f>
        <v>2.0322</v>
      </c>
      <c r="R256" s="194">
        <f t="shared" si="20"/>
        <v>0.61569999999999991</v>
      </c>
      <c r="S256" s="194">
        <f t="shared" si="20"/>
        <v>1.8815999999999999</v>
      </c>
      <c r="T256" s="194">
        <f t="shared" si="21"/>
        <v>0.66936956288261196</v>
      </c>
      <c r="U256" s="194">
        <f t="shared" si="22"/>
        <v>0.43882660179477656</v>
      </c>
      <c r="V256" s="194">
        <f t="shared" si="23"/>
        <v>0.92181069958847739</v>
      </c>
      <c r="W256">
        <f t="shared" si="24"/>
        <v>69</v>
      </c>
      <c r="X256" s="194">
        <f t="shared" si="25"/>
        <v>0.20502427211091212</v>
      </c>
      <c r="Y256" s="194">
        <f t="shared" si="26"/>
        <v>2.8439362689485367E-3</v>
      </c>
      <c r="Z256" s="245" t="str">
        <f>IF(ISNUMBER(SEARCH("C", 'Dry_Litterbag Placem_Collection'!$T183)),"YES","NO")</f>
        <v>NO</v>
      </c>
      <c r="AA256" s="245" t="str">
        <f>IF(ISNUMBER(SEARCH("H", 'Dry_Litterbag Placem_Collection'!$T183)),"YES","NO")</f>
        <v>NO</v>
      </c>
      <c r="AB256" s="245" t="str">
        <f>IF(ISNUMBER(SEARCH("R", 'Dry_Litterbag Placem_Collection'!$T183)),"YES","NO")</f>
        <v>YES</v>
      </c>
      <c r="AC256" s="245" t="str">
        <f>IF(ISNUMBER(SEARCH("C", 'Dry_Litterbag Placem_Collection'!$S183)),"YES","NO")</f>
        <v>NO</v>
      </c>
      <c r="AD256" s="245" t="str">
        <f>IF(ISNUMBER(SEARCH("H", 'Dry_Litterbag Placem_Collection'!$S183)),"YES","NO")</f>
        <v>NO</v>
      </c>
      <c r="AE256" s="245" t="str">
        <f>IF(ISNUMBER(SEARCH("R", 'Dry_Litterbag Placem_Collection'!$S183)),"YES","NO")</f>
        <v>YES</v>
      </c>
    </row>
    <row r="257" spans="2:31">
      <c r="B257" t="str">
        <f>Dryseason!B183</f>
        <v>Dry</v>
      </c>
      <c r="C257" s="253">
        <f>Dryseason!C183</f>
        <v>182</v>
      </c>
      <c r="D257" t="s">
        <v>3129</v>
      </c>
      <c r="E257" t="s">
        <v>22</v>
      </c>
      <c r="F257" s="375">
        <v>6</v>
      </c>
      <c r="G257" s="16">
        <f>IF('Dry_Litterbag Placem_Collection'!E184="","",'Dry_Litterbag Placem_Collection'!E184)</f>
        <v>42940</v>
      </c>
      <c r="H257" t="str">
        <f>Dryseason!L183</f>
        <v>G309</v>
      </c>
      <c r="I257" t="str">
        <f>Dryseason!L403</f>
        <v>R613</v>
      </c>
      <c r="J257">
        <f>IFERROR(INDEX('Green_rooibos initial weight'!$C$5:$C$2000,MATCH(H257, 'Green_rooibos initial weight'!$A$5:$A$2000,0)),"")</f>
        <v>2.0579999999999998</v>
      </c>
      <c r="K257">
        <f>IFERROR(INDEX('Green_rooibos initial weight'!$C$5:$C$2000,MATCH(I257, 'Green_rooibos initial weight'!$A$5:$A$2000,0)),"")</f>
        <v>2.1680000000000001</v>
      </c>
      <c r="L257" s="194">
        <f t="shared" si="19"/>
        <v>1.8081999999999998</v>
      </c>
      <c r="M257" s="233">
        <f>AVERAGE(Ashed_controlls!$K$1:$K$11)</f>
        <v>5.5147656768714146</v>
      </c>
      <c r="N257" s="194">
        <f t="shared" si="18"/>
        <v>1.9182000000000001</v>
      </c>
      <c r="O257" s="16">
        <f>IF('Dry_Litterbag Placem_Collection'!G184="","",'Dry_Litterbag Placem_Collection'!G184)</f>
        <v>43009</v>
      </c>
      <c r="P257" s="194">
        <f>IFERROR(INDEX('Both teabags AfterDry'!$D$3:$D$2000,MATCH(H257,'Both teabags AfterDry'!$A$3:$A$2000,0)),"")</f>
        <v>0.88170000000000004</v>
      </c>
      <c r="Q257" s="194">
        <f>IFERROR(INDEX('Both teabags AfterDry'!$D$3:$D$2000,MATCH(I257,'Both teabags AfterDry'!$A$3:$A$2000,0)),"")</f>
        <v>1.7827</v>
      </c>
      <c r="R257" s="194">
        <f t="shared" si="20"/>
        <v>0.73110000000000008</v>
      </c>
      <c r="S257" s="194">
        <f t="shared" si="20"/>
        <v>1.6320999999999999</v>
      </c>
      <c r="T257" s="194">
        <f t="shared" si="21"/>
        <v>0.59567525716181824</v>
      </c>
      <c r="U257" s="194">
        <f t="shared" si="22"/>
        <v>0.39051394531273603</v>
      </c>
      <c r="V257" s="194">
        <f t="shared" si="23"/>
        <v>0.85084975497862569</v>
      </c>
      <c r="W257">
        <f t="shared" si="24"/>
        <v>69</v>
      </c>
      <c r="X257" s="194">
        <f t="shared" si="25"/>
        <v>0.29254720052040584</v>
      </c>
      <c r="Y257" s="194">
        <f t="shared" si="26"/>
        <v>6.9733152801753386E-3</v>
      </c>
      <c r="Z257" s="245" t="str">
        <f>IF(ISNUMBER(SEARCH("C", 'Dry_Litterbag Placem_Collection'!$T184)),"YES","NO")</f>
        <v>YES</v>
      </c>
      <c r="AA257" s="245" t="str">
        <f>IF(ISNUMBER(SEARCH("H", 'Dry_Litterbag Placem_Collection'!$T184)),"YES","NO")</f>
        <v>YES</v>
      </c>
      <c r="AB257" s="245" t="str">
        <f>IF(ISNUMBER(SEARCH("R", 'Dry_Litterbag Placem_Collection'!$T184)),"YES","NO")</f>
        <v>YES</v>
      </c>
      <c r="AC257" s="245" t="str">
        <f>IF(ISNUMBER(SEARCH("C", 'Dry_Litterbag Placem_Collection'!$S184)),"YES","NO")</f>
        <v>NO</v>
      </c>
      <c r="AD257" s="245" t="str">
        <f>IF(ISNUMBER(SEARCH("H", 'Dry_Litterbag Placem_Collection'!$S184)),"YES","NO")</f>
        <v>NO</v>
      </c>
      <c r="AE257" s="245" t="str">
        <f>IF(ISNUMBER(SEARCH("R", 'Dry_Litterbag Placem_Collection'!$S184)),"YES","NO")</f>
        <v>NO</v>
      </c>
    </row>
    <row r="258" spans="2:31">
      <c r="B258" t="str">
        <f>Dryseason!B184</f>
        <v>Dry</v>
      </c>
      <c r="C258" s="253">
        <f>Dryseason!C184</f>
        <v>183</v>
      </c>
      <c r="D258" t="s">
        <v>3129</v>
      </c>
      <c r="E258" t="s">
        <v>22</v>
      </c>
      <c r="F258" s="375">
        <v>7</v>
      </c>
      <c r="G258" s="16" t="str">
        <f>IF('Dry_Litterbag Placem_Collection'!E185="","",'Dry_Litterbag Placem_Collection'!E185)</f>
        <v/>
      </c>
      <c r="H258" t="str">
        <f>Dryseason!L184</f>
        <v/>
      </c>
      <c r="I258" t="str">
        <f>Dryseason!L404</f>
        <v/>
      </c>
      <c r="J258" t="str">
        <f>IFERROR(INDEX('Green_rooibos initial weight'!$C$5:$C$2000,MATCH(H258, 'Green_rooibos initial weight'!$A$5:$A$2000,0)),"")</f>
        <v/>
      </c>
      <c r="K258" t="str">
        <f>IFERROR(INDEX('Green_rooibos initial weight'!$C$5:$C$2000,MATCH(I258, 'Green_rooibos initial weight'!$A$5:$A$2000,0)),"")</f>
        <v/>
      </c>
      <c r="L258" s="194" t="str">
        <f t="shared" si="19"/>
        <v/>
      </c>
      <c r="M258" s="233">
        <f>AVERAGE(Ashed_controlls!$K$1:$K$11)</f>
        <v>5.5147656768714146</v>
      </c>
      <c r="N258" s="194" t="str">
        <f t="shared" si="18"/>
        <v/>
      </c>
      <c r="O258" s="16" t="str">
        <f>IF('Dry_Litterbag Placem_Collection'!G185="","",'Dry_Litterbag Placem_Collection'!G185)</f>
        <v/>
      </c>
      <c r="P258" s="194" t="str">
        <f>IFERROR(INDEX('Both teabags AfterDry'!$D$3:$D$2000,MATCH(H258,'Both teabags AfterDry'!$A$3:$A$2000,0)),"")</f>
        <v/>
      </c>
      <c r="Q258" s="194" t="str">
        <f>IFERROR(INDEX('Both teabags AfterDry'!$D$3:$D$2000,MATCH(I258,'Both teabags AfterDry'!$A$3:$A$2000,0)),"")</f>
        <v/>
      </c>
      <c r="R258" s="194" t="str">
        <f t="shared" si="20"/>
        <v/>
      </c>
      <c r="S258" s="194" t="str">
        <f t="shared" si="20"/>
        <v/>
      </c>
      <c r="T258" s="194" t="str">
        <f t="shared" si="21"/>
        <v/>
      </c>
      <c r="U258" s="194" t="str">
        <f t="shared" si="22"/>
        <v/>
      </c>
      <c r="V258" s="194" t="str">
        <f t="shared" si="23"/>
        <v/>
      </c>
      <c r="W258" t="str">
        <f t="shared" si="24"/>
        <v/>
      </c>
      <c r="X258" s="194" t="str">
        <f t="shared" si="25"/>
        <v/>
      </c>
      <c r="Y258" s="194" t="str">
        <f t="shared" si="26"/>
        <v/>
      </c>
      <c r="Z258" s="245" t="str">
        <f>IF(ISNUMBER(SEARCH("C", 'Dry_Litterbag Placem_Collection'!$T185)),"YES","NO")</f>
        <v>NO</v>
      </c>
      <c r="AA258" s="245" t="str">
        <f>IF(ISNUMBER(SEARCH("H", 'Dry_Litterbag Placem_Collection'!$T185)),"YES","NO")</f>
        <v>NO</v>
      </c>
      <c r="AB258" s="245" t="str">
        <f>IF(ISNUMBER(SEARCH("R", 'Dry_Litterbag Placem_Collection'!$T185)),"YES","NO")</f>
        <v>NO</v>
      </c>
      <c r="AC258" s="245" t="str">
        <f>IF(ISNUMBER(SEARCH("C", 'Dry_Litterbag Placem_Collection'!$S185)),"YES","NO")</f>
        <v>NO</v>
      </c>
      <c r="AD258" s="245" t="str">
        <f>IF(ISNUMBER(SEARCH("H", 'Dry_Litterbag Placem_Collection'!$S185)),"YES","NO")</f>
        <v>NO</v>
      </c>
      <c r="AE258" s="245" t="str">
        <f>IF(ISNUMBER(SEARCH("R", 'Dry_Litterbag Placem_Collection'!$S185)),"YES","NO")</f>
        <v>NO</v>
      </c>
    </row>
    <row r="259" spans="2:31">
      <c r="B259" t="str">
        <f>Dryseason!B185</f>
        <v>Dry</v>
      </c>
      <c r="C259" s="253">
        <f>Dryseason!C185</f>
        <v>184</v>
      </c>
      <c r="D259" t="s">
        <v>3129</v>
      </c>
      <c r="E259" t="s">
        <v>22</v>
      </c>
      <c r="F259" s="375">
        <v>8</v>
      </c>
      <c r="G259" s="16">
        <f>IF('Dry_Litterbag Placem_Collection'!E186="","",'Dry_Litterbag Placem_Collection'!E186)</f>
        <v>42940</v>
      </c>
      <c r="H259" t="str">
        <f>Dryseason!L185</f>
        <v>G235</v>
      </c>
      <c r="I259" t="str">
        <f>Dryseason!L405</f>
        <v>R179</v>
      </c>
      <c r="J259">
        <f>IFERROR(INDEX('Green_rooibos initial weight'!$C$5:$C$2000,MATCH(H259, 'Green_rooibos initial weight'!$A$5:$A$2000,0)),"")</f>
        <v>1.9259999999999999</v>
      </c>
      <c r="K259">
        <f>IFERROR(INDEX('Green_rooibos initial weight'!$C$5:$C$2000,MATCH(I259, 'Green_rooibos initial weight'!$A$5:$A$2000,0)),"")</f>
        <v>2.177</v>
      </c>
      <c r="L259" s="194">
        <f t="shared" si="19"/>
        <v>1.6761999999999999</v>
      </c>
      <c r="M259" s="233">
        <f>AVERAGE(Ashed_controlls!$K$1:$K$11)</f>
        <v>5.5147656768714146</v>
      </c>
      <c r="N259" s="194">
        <f t="shared" si="18"/>
        <v>1.9272</v>
      </c>
      <c r="O259" s="16">
        <f>IF('Dry_Litterbag Placem_Collection'!G186="","",'Dry_Litterbag Placem_Collection'!G186)</f>
        <v>43009</v>
      </c>
      <c r="P259" s="194">
        <f>IFERROR(INDEX('Both teabags AfterDry'!$D$3:$D$2000,MATCH(H259,'Both teabags AfterDry'!$A$3:$A$2000,0)),"")</f>
        <v>0.66620000000000001</v>
      </c>
      <c r="Q259" s="194">
        <f>IFERROR(INDEX('Both teabags AfterDry'!$D$3:$D$2000,MATCH(I259,'Both teabags AfterDry'!$A$3:$A$2000,0)),"")</f>
        <v>1.7174</v>
      </c>
      <c r="R259" s="194">
        <f t="shared" si="20"/>
        <v>0.51560000000000006</v>
      </c>
      <c r="S259" s="194">
        <f t="shared" si="20"/>
        <v>1.5668</v>
      </c>
      <c r="T259" s="194">
        <f t="shared" si="21"/>
        <v>0.69239947500298293</v>
      </c>
      <c r="U259" s="194">
        <f t="shared" si="22"/>
        <v>0.45392459643901023</v>
      </c>
      <c r="V259" s="194">
        <f t="shared" si="23"/>
        <v>0.81299294312992942</v>
      </c>
      <c r="W259">
        <f t="shared" si="24"/>
        <v>69</v>
      </c>
      <c r="X259" s="194">
        <f t="shared" si="25"/>
        <v>0.17767283253802502</v>
      </c>
      <c r="Y259" s="194">
        <f t="shared" si="26"/>
        <v>7.695526477901401E-3</v>
      </c>
      <c r="Z259" s="245" t="str">
        <f>IF(ISNUMBER(SEARCH("C", 'Dry_Litterbag Placem_Collection'!$T186)),"YES","NO")</f>
        <v>NO</v>
      </c>
      <c r="AA259" s="245" t="str">
        <f>IF(ISNUMBER(SEARCH("H", 'Dry_Litterbag Placem_Collection'!$T186)),"YES","NO")</f>
        <v>NO</v>
      </c>
      <c r="AB259" s="245" t="str">
        <f>IF(ISNUMBER(SEARCH("R", 'Dry_Litterbag Placem_Collection'!$T186)),"YES","NO")</f>
        <v>YES</v>
      </c>
      <c r="AC259" s="245" t="str">
        <f>IF(ISNUMBER(SEARCH("C", 'Dry_Litterbag Placem_Collection'!$S186)),"YES","NO")</f>
        <v>NO</v>
      </c>
      <c r="AD259" s="245" t="str">
        <f>IF(ISNUMBER(SEARCH("H", 'Dry_Litterbag Placem_Collection'!$S186)),"YES","NO")</f>
        <v>NO</v>
      </c>
      <c r="AE259" s="245" t="str">
        <f>IF(ISNUMBER(SEARCH("R", 'Dry_Litterbag Placem_Collection'!$S186)),"YES","NO")</f>
        <v>YES</v>
      </c>
    </row>
    <row r="260" spans="2:31">
      <c r="B260" t="str">
        <f>Dryseason!B186</f>
        <v>Dry</v>
      </c>
      <c r="C260" s="253">
        <f>Dryseason!C186</f>
        <v>185</v>
      </c>
      <c r="D260" t="s">
        <v>3130</v>
      </c>
      <c r="E260" t="s">
        <v>22</v>
      </c>
      <c r="F260" s="374">
        <v>1</v>
      </c>
      <c r="G260" s="16">
        <f>IF('Dry_Litterbag Placem_Collection'!E187="","",'Dry_Litterbag Placem_Collection'!E187)</f>
        <v>42940</v>
      </c>
      <c r="H260" t="str">
        <f>Dryseason!L186</f>
        <v>G369</v>
      </c>
      <c r="I260" t="str">
        <f>Dryseason!L406</f>
        <v>R300</v>
      </c>
      <c r="J260">
        <f>IFERROR(INDEX('Green_rooibos initial weight'!$C$5:$C$2000,MATCH(H260, 'Green_rooibos initial weight'!$A$5:$A$2000,0)),"")</f>
        <v>2.1219999999999999</v>
      </c>
      <c r="K260">
        <f>IFERROR(INDEX('Green_rooibos initial weight'!$C$5:$C$2000,MATCH(I260, 'Green_rooibos initial weight'!$A$5:$A$2000,0)),"")</f>
        <v>2.2330000000000001</v>
      </c>
      <c r="L260" s="194">
        <f t="shared" si="19"/>
        <v>1.8721999999999999</v>
      </c>
      <c r="M260" s="233">
        <f>AVERAGE(Ashed_controlls!$K$1:$K$11)</f>
        <v>5.5147656768714146</v>
      </c>
      <c r="N260" s="194">
        <f t="shared" si="18"/>
        <v>1.9832000000000001</v>
      </c>
      <c r="O260" s="16">
        <f>IF('Dry_Litterbag Placem_Collection'!G187="","",'Dry_Litterbag Placem_Collection'!G187)</f>
        <v>43009</v>
      </c>
      <c r="P260" s="194" t="str">
        <f>IFERROR(INDEX('Both teabags AfterDry'!$D$3:$D$2000,MATCH(H260,'Both teabags AfterDry'!$A$3:$A$2000,0)),"")</f>
        <v/>
      </c>
      <c r="Q260" s="194" t="str">
        <f>IFERROR(INDEX('Both teabags AfterDry'!$D$3:$D$2000,MATCH(I260,'Both teabags AfterDry'!$A$3:$A$2000,0)),"")</f>
        <v/>
      </c>
      <c r="R260" s="194" t="str">
        <f t="shared" si="20"/>
        <v/>
      </c>
      <c r="S260" s="194" t="str">
        <f t="shared" si="20"/>
        <v/>
      </c>
      <c r="T260" s="194" t="str">
        <f t="shared" si="21"/>
        <v/>
      </c>
      <c r="U260" s="194" t="str">
        <f t="shared" si="22"/>
        <v/>
      </c>
      <c r="V260" s="194" t="str">
        <f t="shared" si="23"/>
        <v/>
      </c>
      <c r="W260">
        <f t="shared" si="24"/>
        <v>69</v>
      </c>
      <c r="X260" s="194" t="str">
        <f t="shared" si="25"/>
        <v/>
      </c>
      <c r="Y260" s="194" t="str">
        <f t="shared" si="26"/>
        <v/>
      </c>
      <c r="Z260" s="245" t="str">
        <f>IF(ISNUMBER(SEARCH("C", 'Dry_Litterbag Placem_Collection'!$T187)),"YES","NO")</f>
        <v>NO</v>
      </c>
      <c r="AA260" s="245" t="str">
        <f>IF(ISNUMBER(SEARCH("H", 'Dry_Litterbag Placem_Collection'!$T187)),"YES","NO")</f>
        <v>YES</v>
      </c>
      <c r="AB260" s="245" t="str">
        <f>IF(ISNUMBER(SEARCH("R", 'Dry_Litterbag Placem_Collection'!$T187)),"YES","NO")</f>
        <v>NO</v>
      </c>
      <c r="AC260" s="245" t="str">
        <f>IF(ISNUMBER(SEARCH("C", 'Dry_Litterbag Placem_Collection'!$S187)),"YES","NO")</f>
        <v>NO</v>
      </c>
      <c r="AD260" s="245" t="str">
        <f>IF(ISNUMBER(SEARCH("H", 'Dry_Litterbag Placem_Collection'!$S187)),"YES","NO")</f>
        <v>NO</v>
      </c>
      <c r="AE260" s="245" t="str">
        <f>IF(ISNUMBER(SEARCH("R", 'Dry_Litterbag Placem_Collection'!$S187)),"YES","NO")</f>
        <v>NO</v>
      </c>
    </row>
    <row r="261" spans="2:31">
      <c r="B261" t="str">
        <f>Dryseason!B187</f>
        <v>Dry</v>
      </c>
      <c r="C261" s="253">
        <f>Dryseason!C187</f>
        <v>186</v>
      </c>
      <c r="D261" t="s">
        <v>3130</v>
      </c>
      <c r="E261" t="s">
        <v>22</v>
      </c>
      <c r="F261" s="374">
        <v>2</v>
      </c>
      <c r="G261" s="16">
        <f>IF('Dry_Litterbag Placem_Collection'!E188="","",'Dry_Litterbag Placem_Collection'!E188)</f>
        <v>42940</v>
      </c>
      <c r="H261" t="str">
        <f>Dryseason!L187</f>
        <v>G295</v>
      </c>
      <c r="I261" t="str">
        <f>Dryseason!L407</f>
        <v>R717</v>
      </c>
      <c r="J261">
        <f>IFERROR(INDEX('Green_rooibos initial weight'!$C$5:$C$2000,MATCH(H261, 'Green_rooibos initial weight'!$A$5:$A$2000,0)),"")</f>
        <v>2.0379999999999998</v>
      </c>
      <c r="K261">
        <f>IFERROR(INDEX('Green_rooibos initial weight'!$C$5:$C$2000,MATCH(I261, 'Green_rooibos initial weight'!$A$5:$A$2000,0)),"")</f>
        <v>2.1619999999999999</v>
      </c>
      <c r="L261" s="194">
        <f t="shared" si="19"/>
        <v>1.7881999999999998</v>
      </c>
      <c r="M261" s="233">
        <f>AVERAGE(Ashed_controlls!$K$1:$K$11)</f>
        <v>5.5147656768714146</v>
      </c>
      <c r="N261" s="194">
        <f t="shared" si="18"/>
        <v>1.9121999999999999</v>
      </c>
      <c r="O261" s="16">
        <f>IF('Dry_Litterbag Placem_Collection'!G188="","",'Dry_Litterbag Placem_Collection'!G188)</f>
        <v>43009</v>
      </c>
      <c r="P261" s="194">
        <f>IFERROR(INDEX('Both teabags AfterDry'!$D$3:$D$2000,MATCH(H261,'Both teabags AfterDry'!$A$3:$A$2000,0)),"")</f>
        <v>0.92659999999999998</v>
      </c>
      <c r="Q261" s="194">
        <f>IFERROR(INDEX('Both teabags AfterDry'!$D$3:$D$2000,MATCH(I261,'Both teabags AfterDry'!$A$3:$A$2000,0)),"")</f>
        <v>1.7592000000000001</v>
      </c>
      <c r="R261" s="194">
        <f t="shared" si="20"/>
        <v>0.77600000000000002</v>
      </c>
      <c r="S261" s="194">
        <f t="shared" si="20"/>
        <v>1.6086</v>
      </c>
      <c r="T261" s="194">
        <f t="shared" si="21"/>
        <v>0.56604406665921037</v>
      </c>
      <c r="U261" s="194">
        <f t="shared" si="22"/>
        <v>0.3710882717290786</v>
      </c>
      <c r="V261" s="194">
        <f t="shared" si="23"/>
        <v>0.84122999686225297</v>
      </c>
      <c r="W261">
        <f t="shared" si="24"/>
        <v>69</v>
      </c>
      <c r="X261" s="194">
        <f t="shared" si="25"/>
        <v>0.32773863817195914</v>
      </c>
      <c r="Y261" s="194">
        <f t="shared" si="26"/>
        <v>8.0920804008411309E-3</v>
      </c>
      <c r="Z261" s="245" t="str">
        <f>IF(ISNUMBER(SEARCH("C", 'Dry_Litterbag Placem_Collection'!$T188)),"YES","NO")</f>
        <v>YES</v>
      </c>
      <c r="AA261" s="245" t="str">
        <f>IF(ISNUMBER(SEARCH("H", 'Dry_Litterbag Placem_Collection'!$T188)),"YES","NO")</f>
        <v>YES</v>
      </c>
      <c r="AB261" s="245" t="str">
        <f>IF(ISNUMBER(SEARCH("R", 'Dry_Litterbag Placem_Collection'!$T188)),"YES","NO")</f>
        <v>NO</v>
      </c>
      <c r="AC261" s="245" t="str">
        <f>IF(ISNUMBER(SEARCH("C", 'Dry_Litterbag Placem_Collection'!$S188)),"YES","NO")</f>
        <v>NO</v>
      </c>
      <c r="AD261" s="245" t="str">
        <f>IF(ISNUMBER(SEARCH("H", 'Dry_Litterbag Placem_Collection'!$S188)),"YES","NO")</f>
        <v>YES</v>
      </c>
      <c r="AE261" s="245" t="str">
        <f>IF(ISNUMBER(SEARCH("R", 'Dry_Litterbag Placem_Collection'!$S188)),"YES","NO")</f>
        <v>YES</v>
      </c>
    </row>
    <row r="262" spans="2:31">
      <c r="B262" t="str">
        <f>Dryseason!B188</f>
        <v>Dry</v>
      </c>
      <c r="C262" s="253">
        <f>Dryseason!C188</f>
        <v>187</v>
      </c>
      <c r="D262" t="s">
        <v>3130</v>
      </c>
      <c r="E262" t="s">
        <v>22</v>
      </c>
      <c r="F262" s="374">
        <v>3</v>
      </c>
      <c r="G262" s="16">
        <f>IF('Dry_Litterbag Placem_Collection'!E189="","",'Dry_Litterbag Placem_Collection'!E189)</f>
        <v>42940</v>
      </c>
      <c r="H262" t="str">
        <f>Dryseason!L188</f>
        <v>G242</v>
      </c>
      <c r="I262" t="str">
        <f>Dryseason!L408</f>
        <v>R759</v>
      </c>
      <c r="J262">
        <f>IFERROR(INDEX('Green_rooibos initial weight'!$C$5:$C$2000,MATCH(H262, 'Green_rooibos initial weight'!$A$5:$A$2000,0)),"")</f>
        <v>1.9470000000000001</v>
      </c>
      <c r="K262">
        <f>IFERROR(INDEX('Green_rooibos initial weight'!$C$5:$C$2000,MATCH(I262, 'Green_rooibos initial weight'!$A$5:$A$2000,0)),"")</f>
        <v>2.2469999999999999</v>
      </c>
      <c r="L262" s="194">
        <f t="shared" si="19"/>
        <v>1.6972</v>
      </c>
      <c r="M262" s="233">
        <f>AVERAGE(Ashed_controlls!$K$1:$K$11)</f>
        <v>5.5147656768714146</v>
      </c>
      <c r="N262" s="194">
        <f t="shared" si="18"/>
        <v>1.9971999999999999</v>
      </c>
      <c r="O262" s="16">
        <f>IF('Dry_Litterbag Placem_Collection'!G189="","",'Dry_Litterbag Placem_Collection'!G189)</f>
        <v>43009</v>
      </c>
      <c r="P262" s="194">
        <f>IFERROR(INDEX('Both teabags AfterDry'!$D$3:$D$2000,MATCH(H262,'Both teabags AfterDry'!$A$3:$A$2000,0)),"")</f>
        <v>0.70840000000000003</v>
      </c>
      <c r="Q262" s="194">
        <f>IFERROR(INDEX('Both teabags AfterDry'!$D$3:$D$2000,MATCH(I262,'Both teabags AfterDry'!$A$3:$A$2000,0)),"")</f>
        <v>1.7075</v>
      </c>
      <c r="R262" s="194">
        <f t="shared" si="20"/>
        <v>0.55780000000000007</v>
      </c>
      <c r="S262" s="194">
        <f t="shared" si="20"/>
        <v>1.5569</v>
      </c>
      <c r="T262" s="194">
        <f t="shared" si="21"/>
        <v>0.67134103228847508</v>
      </c>
      <c r="U262" s="194">
        <f t="shared" si="22"/>
        <v>0.44011906154778896</v>
      </c>
      <c r="V262" s="194">
        <f t="shared" si="23"/>
        <v>0.77954135790106149</v>
      </c>
      <c r="W262">
        <f t="shared" si="24"/>
        <v>69</v>
      </c>
      <c r="X262" s="194">
        <f t="shared" si="25"/>
        <v>0.20268285951487519</v>
      </c>
      <c r="Y262" s="194">
        <f t="shared" si="26"/>
        <v>1.0071919983186493E-2</v>
      </c>
      <c r="Z262" s="245" t="str">
        <f>IF(ISNUMBER(SEARCH("C", 'Dry_Litterbag Placem_Collection'!$T189)),"YES","NO")</f>
        <v>NO</v>
      </c>
      <c r="AA262" s="245" t="str">
        <f>IF(ISNUMBER(SEARCH("H", 'Dry_Litterbag Placem_Collection'!$T189)),"YES","NO")</f>
        <v>NO</v>
      </c>
      <c r="AB262" s="245" t="str">
        <f>IF(ISNUMBER(SEARCH("R", 'Dry_Litterbag Placem_Collection'!$T189)),"YES","NO")</f>
        <v>NO</v>
      </c>
      <c r="AC262" s="245" t="str">
        <f>IF(ISNUMBER(SEARCH("C", 'Dry_Litterbag Placem_Collection'!$S189)),"YES","NO")</f>
        <v>NO</v>
      </c>
      <c r="AD262" s="245" t="str">
        <f>IF(ISNUMBER(SEARCH("H", 'Dry_Litterbag Placem_Collection'!$S189)),"YES","NO")</f>
        <v>NO</v>
      </c>
      <c r="AE262" s="245" t="str">
        <f>IF(ISNUMBER(SEARCH("R", 'Dry_Litterbag Placem_Collection'!$S189)),"YES","NO")</f>
        <v>YES</v>
      </c>
    </row>
    <row r="263" spans="2:31">
      <c r="B263" t="str">
        <f>Dryseason!B189</f>
        <v>Dry</v>
      </c>
      <c r="C263" s="253">
        <f>Dryseason!C189</f>
        <v>188</v>
      </c>
      <c r="D263" t="s">
        <v>3130</v>
      </c>
      <c r="E263" t="s">
        <v>22</v>
      </c>
      <c r="F263" s="375">
        <v>4</v>
      </c>
      <c r="G263" s="16">
        <f>IF('Dry_Litterbag Placem_Collection'!E190="","",'Dry_Litterbag Placem_Collection'!E190)</f>
        <v>42940</v>
      </c>
      <c r="H263" t="str">
        <f>Dryseason!L189</f>
        <v>G146</v>
      </c>
      <c r="I263" t="str">
        <f>Dryseason!L409</f>
        <v>R357</v>
      </c>
      <c r="J263">
        <f>IFERROR(INDEX('Green_rooibos initial weight'!$C$5:$C$2000,MATCH(H263, 'Green_rooibos initial weight'!$A$5:$A$2000,0)),"")</f>
        <v>2.0529999999999999</v>
      </c>
      <c r="K263">
        <f>IFERROR(INDEX('Green_rooibos initial weight'!$C$5:$C$2000,MATCH(I263, 'Green_rooibos initial weight'!$A$5:$A$2000,0)),"")</f>
        <v>2.2090000000000001</v>
      </c>
      <c r="L263" s="194">
        <f t="shared" si="19"/>
        <v>1.8031999999999999</v>
      </c>
      <c r="M263" s="233">
        <f>AVERAGE(Ashed_controlls!$K$1:$K$11)</f>
        <v>5.5147656768714146</v>
      </c>
      <c r="N263" s="194">
        <f t="shared" si="18"/>
        <v>1.9592000000000001</v>
      </c>
      <c r="O263" s="16">
        <f>IF('Dry_Litterbag Placem_Collection'!G190="","",'Dry_Litterbag Placem_Collection'!G190)</f>
        <v>43009</v>
      </c>
      <c r="P263" s="194">
        <f>IFERROR(INDEX('Both teabags AfterDry'!$D$3:$D$2000,MATCH(H263,'Both teabags AfterDry'!$A$3:$A$2000,0)),"")</f>
        <v>0.91069999999999995</v>
      </c>
      <c r="Q263" s="194">
        <f>IFERROR(INDEX('Both teabags AfterDry'!$D$3:$D$2000,MATCH(I263,'Both teabags AfterDry'!$A$3:$A$2000,0)),"")</f>
        <v>0</v>
      </c>
      <c r="R263" s="194">
        <f t="shared" si="20"/>
        <v>0.7601</v>
      </c>
      <c r="S263" s="194" t="str">
        <f t="shared" si="20"/>
        <v/>
      </c>
      <c r="T263" s="194">
        <f t="shared" si="21"/>
        <v>0.57847160603371783</v>
      </c>
      <c r="U263" s="194">
        <f t="shared" si="22"/>
        <v>0.37923554219787681</v>
      </c>
      <c r="V263" s="194" t="str">
        <f t="shared" si="23"/>
        <v/>
      </c>
      <c r="W263">
        <f t="shared" si="24"/>
        <v>69</v>
      </c>
      <c r="X263" s="194">
        <f t="shared" si="25"/>
        <v>0.31297909022123771</v>
      </c>
      <c r="Y263" s="194" t="str">
        <f t="shared" si="26"/>
        <v/>
      </c>
      <c r="Z263" s="245" t="str">
        <f>IF(ISNUMBER(SEARCH("C", 'Dry_Litterbag Placem_Collection'!$T190)),"YES","NO")</f>
        <v>YES</v>
      </c>
      <c r="AA263" s="245" t="str">
        <f>IF(ISNUMBER(SEARCH("H", 'Dry_Litterbag Placem_Collection'!$T190)),"YES","NO")</f>
        <v>YES</v>
      </c>
      <c r="AB263" s="245" t="str">
        <f>IF(ISNUMBER(SEARCH("R", 'Dry_Litterbag Placem_Collection'!$T190)),"YES","NO")</f>
        <v>YES</v>
      </c>
      <c r="AC263" s="245" t="str">
        <f>IF(ISNUMBER(SEARCH("C", 'Dry_Litterbag Placem_Collection'!$S190)),"YES","NO")</f>
        <v>NO</v>
      </c>
      <c r="AD263" s="245" t="str">
        <f>IF(ISNUMBER(SEARCH("H", 'Dry_Litterbag Placem_Collection'!$S190)),"YES","NO")</f>
        <v>YES</v>
      </c>
      <c r="AE263" s="245" t="str">
        <f>IF(ISNUMBER(SEARCH("R", 'Dry_Litterbag Placem_Collection'!$S190)),"YES","NO")</f>
        <v>YES</v>
      </c>
    </row>
    <row r="264" spans="2:31">
      <c r="B264" t="str">
        <f>Dryseason!B190</f>
        <v>Dry</v>
      </c>
      <c r="C264" s="253">
        <f>Dryseason!C190</f>
        <v>189</v>
      </c>
      <c r="D264" t="s">
        <v>3130</v>
      </c>
      <c r="E264" t="s">
        <v>22</v>
      </c>
      <c r="F264" s="375">
        <v>5</v>
      </c>
      <c r="G264" s="16">
        <f>IF('Dry_Litterbag Placem_Collection'!E191="","",'Dry_Litterbag Placem_Collection'!E191)</f>
        <v>42940</v>
      </c>
      <c r="H264" t="str">
        <f>Dryseason!L190</f>
        <v>G144</v>
      </c>
      <c r="I264" t="str">
        <f>Dryseason!L410</f>
        <v>R18</v>
      </c>
      <c r="J264">
        <f>IFERROR(INDEX('Green_rooibos initial weight'!$C$5:$C$2000,MATCH(H264, 'Green_rooibos initial weight'!$A$5:$A$2000,0)),"")</f>
        <v>2.0230000000000001</v>
      </c>
      <c r="K264">
        <f>IFERROR(INDEX('Green_rooibos initial weight'!$C$5:$C$2000,MATCH(I264, 'Green_rooibos initial weight'!$A$5:$A$2000,0)),"")</f>
        <v>2.2519999999999998</v>
      </c>
      <c r="L264" s="194">
        <f t="shared" si="19"/>
        <v>1.7732000000000001</v>
      </c>
      <c r="M264" s="233">
        <f>AVERAGE(Ashed_controlls!$K$1:$K$11)</f>
        <v>5.5147656768714146</v>
      </c>
      <c r="N264" s="194">
        <f t="shared" si="18"/>
        <v>2.0021999999999998</v>
      </c>
      <c r="O264" s="16">
        <f>IF('Dry_Litterbag Placem_Collection'!G191="","",'Dry_Litterbag Placem_Collection'!G191)</f>
        <v>43009</v>
      </c>
      <c r="P264" s="194">
        <f>IFERROR(INDEX('Both teabags AfterDry'!$D$3:$D$2000,MATCH(H264,'Both teabags AfterDry'!$A$3:$A$2000,0)),"")</f>
        <v>0.68520000000000003</v>
      </c>
      <c r="Q264" s="194">
        <f>IFERROR(INDEX('Both teabags AfterDry'!$D$3:$D$2000,MATCH(I264,'Both teabags AfterDry'!$A$3:$A$2000,0)),"")</f>
        <v>0</v>
      </c>
      <c r="R264" s="194">
        <f t="shared" si="20"/>
        <v>0.53459999999999996</v>
      </c>
      <c r="S264" s="194" t="str">
        <f t="shared" si="20"/>
        <v/>
      </c>
      <c r="T264" s="194">
        <f t="shared" si="21"/>
        <v>0.69851116625310183</v>
      </c>
      <c r="U264" s="194">
        <f t="shared" si="22"/>
        <v>0.45793131089276989</v>
      </c>
      <c r="V264" s="194" t="str">
        <f t="shared" si="23"/>
        <v/>
      </c>
      <c r="W264">
        <f t="shared" si="24"/>
        <v>69</v>
      </c>
      <c r="X264" s="194">
        <f t="shared" si="25"/>
        <v>0.17041429186092416</v>
      </c>
      <c r="Y264" s="194" t="str">
        <f t="shared" si="26"/>
        <v/>
      </c>
      <c r="Z264" s="245" t="str">
        <f>IF(ISNUMBER(SEARCH("C", 'Dry_Litterbag Placem_Collection'!$T191)),"YES","NO")</f>
        <v>NO</v>
      </c>
      <c r="AA264" s="245" t="str">
        <f>IF(ISNUMBER(SEARCH("H", 'Dry_Litterbag Placem_Collection'!$T191)),"YES","NO")</f>
        <v>YES</v>
      </c>
      <c r="AB264" s="245" t="str">
        <f>IF(ISNUMBER(SEARCH("R", 'Dry_Litterbag Placem_Collection'!$T191)),"YES","NO")</f>
        <v>YES</v>
      </c>
      <c r="AC264" s="245" t="str">
        <f>IF(ISNUMBER(SEARCH("C", 'Dry_Litterbag Placem_Collection'!$S191)),"YES","NO")</f>
        <v>NO</v>
      </c>
      <c r="AD264" s="245" t="str">
        <f>IF(ISNUMBER(SEARCH("H", 'Dry_Litterbag Placem_Collection'!$S191)),"YES","NO")</f>
        <v>NO</v>
      </c>
      <c r="AE264" s="245" t="str">
        <f>IF(ISNUMBER(SEARCH("R", 'Dry_Litterbag Placem_Collection'!$S191)),"YES","NO")</f>
        <v>YES</v>
      </c>
    </row>
    <row r="265" spans="2:31">
      <c r="B265" t="str">
        <f>Dryseason!B191</f>
        <v>Dry</v>
      </c>
      <c r="C265" s="253">
        <f>Dryseason!C191</f>
        <v>190</v>
      </c>
      <c r="D265" t="s">
        <v>3130</v>
      </c>
      <c r="E265" t="s">
        <v>22</v>
      </c>
      <c r="F265" s="375">
        <v>6</v>
      </c>
      <c r="G265" s="16">
        <f>IF('Dry_Litterbag Placem_Collection'!E192="","",'Dry_Litterbag Placem_Collection'!E192)</f>
        <v>42940</v>
      </c>
      <c r="H265" t="str">
        <f>Dryseason!L191</f>
        <v>G171</v>
      </c>
      <c r="I265" t="str">
        <f>Dryseason!L411</f>
        <v>R397</v>
      </c>
      <c r="J265">
        <f>IFERROR(INDEX('Green_rooibos initial weight'!$C$5:$C$2000,MATCH(H265, 'Green_rooibos initial weight'!$A$5:$A$2000,0)),"")</f>
        <v>1.9239999999999999</v>
      </c>
      <c r="K265">
        <f>IFERROR(INDEX('Green_rooibos initial weight'!$C$5:$C$2000,MATCH(I265, 'Green_rooibos initial weight'!$A$5:$A$2000,0)),"")</f>
        <v>2.1970000000000001</v>
      </c>
      <c r="L265" s="194">
        <f t="shared" si="19"/>
        <v>1.6741999999999999</v>
      </c>
      <c r="M265" s="233">
        <f>AVERAGE(Ashed_controlls!$K$1:$K$11)</f>
        <v>5.5147656768714146</v>
      </c>
      <c r="N265" s="194">
        <f t="shared" si="18"/>
        <v>1.9472</v>
      </c>
      <c r="O265" s="16">
        <f>IF('Dry_Litterbag Placem_Collection'!G192="","",'Dry_Litterbag Placem_Collection'!G192)</f>
        <v>43009</v>
      </c>
      <c r="P265" s="194">
        <f>IFERROR(INDEX('Both teabags AfterDry'!$D$3:$D$2000,MATCH(H265,'Both teabags AfterDry'!$A$3:$A$2000,0)),"")</f>
        <v>0.75309999999999999</v>
      </c>
      <c r="Q265" s="194">
        <f>IFERROR(INDEX('Both teabags AfterDry'!$D$3:$D$2000,MATCH(I265,'Both teabags AfterDry'!$A$3:$A$2000,0)),"")</f>
        <v>1.7444999999999999</v>
      </c>
      <c r="R265" s="194">
        <f t="shared" si="20"/>
        <v>0.60250000000000004</v>
      </c>
      <c r="S265" s="194">
        <f t="shared" si="20"/>
        <v>1.5938999999999999</v>
      </c>
      <c r="T265" s="194">
        <f t="shared" si="21"/>
        <v>0.64012662764305328</v>
      </c>
      <c r="U265" s="194">
        <f t="shared" si="22"/>
        <v>0.41965546135269055</v>
      </c>
      <c r="V265" s="194">
        <f t="shared" si="23"/>
        <v>0.81855998356614623</v>
      </c>
      <c r="W265">
        <f t="shared" si="24"/>
        <v>69</v>
      </c>
      <c r="X265" s="194">
        <f t="shared" si="25"/>
        <v>0.23975459899874907</v>
      </c>
      <c r="Y265" s="194">
        <f t="shared" si="26"/>
        <v>8.206645645815561E-3</v>
      </c>
      <c r="Z265" s="245" t="str">
        <f>IF(ISNUMBER(SEARCH("C", 'Dry_Litterbag Placem_Collection'!$T192)),"YES","NO")</f>
        <v>NO</v>
      </c>
      <c r="AA265" s="245" t="str">
        <f>IF(ISNUMBER(SEARCH("H", 'Dry_Litterbag Placem_Collection'!$T192)),"YES","NO")</f>
        <v>NO</v>
      </c>
      <c r="AB265" s="245" t="str">
        <f>IF(ISNUMBER(SEARCH("R", 'Dry_Litterbag Placem_Collection'!$T192)),"YES","NO")</f>
        <v>NO</v>
      </c>
      <c r="AC265" s="245" t="str">
        <f>IF(ISNUMBER(SEARCH("C", 'Dry_Litterbag Placem_Collection'!$S192)),"YES","NO")</f>
        <v>NO</v>
      </c>
      <c r="AD265" s="245" t="str">
        <f>IF(ISNUMBER(SEARCH("H", 'Dry_Litterbag Placem_Collection'!$S192)),"YES","NO")</f>
        <v>NO</v>
      </c>
      <c r="AE265" s="245" t="str">
        <f>IF(ISNUMBER(SEARCH("R", 'Dry_Litterbag Placem_Collection'!$S192)),"YES","NO")</f>
        <v>NO</v>
      </c>
    </row>
    <row r="266" spans="2:31">
      <c r="B266" t="str">
        <f>Dryseason!B192</f>
        <v>Dry</v>
      </c>
      <c r="C266" s="253">
        <f>Dryseason!C192</f>
        <v>191</v>
      </c>
      <c r="D266" t="s">
        <v>3130</v>
      </c>
      <c r="E266" t="s">
        <v>22</v>
      </c>
      <c r="F266" s="375">
        <v>7</v>
      </c>
      <c r="G266" s="16">
        <f>IF('Dry_Litterbag Placem_Collection'!E193="","",'Dry_Litterbag Placem_Collection'!E193)</f>
        <v>42940</v>
      </c>
      <c r="H266" t="str">
        <f>Dryseason!L192</f>
        <v>G232</v>
      </c>
      <c r="I266" t="str">
        <f>Dryseason!L412</f>
        <v>R715</v>
      </c>
      <c r="J266">
        <f>IFERROR(INDEX('Green_rooibos initial weight'!$C$5:$C$2000,MATCH(H266, 'Green_rooibos initial weight'!$A$5:$A$2000,0)),"")</f>
        <v>2.04</v>
      </c>
      <c r="K266">
        <f>IFERROR(INDEX('Green_rooibos initial weight'!$C$5:$C$2000,MATCH(I266, 'Green_rooibos initial weight'!$A$5:$A$2000,0)),"")</f>
        <v>2.161</v>
      </c>
      <c r="L266" s="194">
        <f t="shared" si="19"/>
        <v>1.7902</v>
      </c>
      <c r="M266" s="233">
        <f>AVERAGE(Ashed_controlls!$K$1:$K$11)</f>
        <v>5.5147656768714146</v>
      </c>
      <c r="N266" s="194">
        <f t="shared" si="18"/>
        <v>1.9112</v>
      </c>
      <c r="O266" s="16">
        <f>IF('Dry_Litterbag Placem_Collection'!G193="","",'Dry_Litterbag Placem_Collection'!G193)</f>
        <v>43009</v>
      </c>
      <c r="P266" s="194">
        <f>IFERROR(INDEX('Both teabags AfterDry'!$D$3:$D$2000,MATCH(H266,'Both teabags AfterDry'!$A$3:$A$2000,0)),"")</f>
        <v>0.80369999999999997</v>
      </c>
      <c r="Q266" s="194">
        <f>IFERROR(INDEX('Both teabags AfterDry'!$D$3:$D$2000,MATCH(I266,'Both teabags AfterDry'!$A$3:$A$2000,0)),"")</f>
        <v>1.9014</v>
      </c>
      <c r="R266" s="194">
        <f t="shared" si="20"/>
        <v>0.65310000000000001</v>
      </c>
      <c r="S266" s="194">
        <f t="shared" si="20"/>
        <v>1.7507999999999999</v>
      </c>
      <c r="T266" s="194">
        <f t="shared" si="21"/>
        <v>0.63518042676795883</v>
      </c>
      <c r="U266" s="194">
        <f t="shared" si="22"/>
        <v>0.41641282134906571</v>
      </c>
      <c r="V266" s="194">
        <f t="shared" si="23"/>
        <v>0.91607367099204684</v>
      </c>
      <c r="W266">
        <f t="shared" si="24"/>
        <v>69</v>
      </c>
      <c r="X266" s="194">
        <f t="shared" si="25"/>
        <v>0.24562894683140279</v>
      </c>
      <c r="Y266" s="194">
        <f t="shared" si="26"/>
        <v>3.2619984417107521E-3</v>
      </c>
      <c r="Z266" s="245" t="str">
        <f>IF(ISNUMBER(SEARCH("C", 'Dry_Litterbag Placem_Collection'!$T193)),"YES","NO")</f>
        <v>NO</v>
      </c>
      <c r="AA266" s="245" t="str">
        <f>IF(ISNUMBER(SEARCH("H", 'Dry_Litterbag Placem_Collection'!$T193)),"YES","NO")</f>
        <v>NO</v>
      </c>
      <c r="AB266" s="245" t="str">
        <f>IF(ISNUMBER(SEARCH("R", 'Dry_Litterbag Placem_Collection'!$T193)),"YES","NO")</f>
        <v>NO</v>
      </c>
      <c r="AC266" s="245" t="str">
        <f>IF(ISNUMBER(SEARCH("C", 'Dry_Litterbag Placem_Collection'!$S193)),"YES","NO")</f>
        <v>NO</v>
      </c>
      <c r="AD266" s="245" t="str">
        <f>IF(ISNUMBER(SEARCH("H", 'Dry_Litterbag Placem_Collection'!$S193)),"YES","NO")</f>
        <v>NO</v>
      </c>
      <c r="AE266" s="245" t="str">
        <f>IF(ISNUMBER(SEARCH("R", 'Dry_Litterbag Placem_Collection'!$S193)),"YES","NO")</f>
        <v>NO</v>
      </c>
    </row>
    <row r="267" spans="2:31">
      <c r="B267" t="str">
        <f>Dryseason!B193</f>
        <v>Dry</v>
      </c>
      <c r="C267" s="253">
        <f>Dryseason!C193</f>
        <v>192</v>
      </c>
      <c r="D267" t="s">
        <v>3130</v>
      </c>
      <c r="E267" t="s">
        <v>22</v>
      </c>
      <c r="F267" s="375">
        <v>8</v>
      </c>
      <c r="G267" s="16" t="str">
        <f>IF('Dry_Litterbag Placem_Collection'!E194="","",'Dry_Litterbag Placem_Collection'!E194)</f>
        <v/>
      </c>
      <c r="H267" t="str">
        <f>Dryseason!L193</f>
        <v/>
      </c>
      <c r="I267" t="str">
        <f>Dryseason!L413</f>
        <v/>
      </c>
      <c r="J267" t="str">
        <f>IFERROR(INDEX('Green_rooibos initial weight'!$C$5:$C$2000,MATCH(H267, 'Green_rooibos initial weight'!$A$5:$A$2000,0)),"")</f>
        <v/>
      </c>
      <c r="K267" t="str">
        <f>IFERROR(INDEX('Green_rooibos initial weight'!$C$5:$C$2000,MATCH(I267, 'Green_rooibos initial weight'!$A$5:$A$2000,0)),"")</f>
        <v/>
      </c>
      <c r="L267" s="194" t="str">
        <f t="shared" si="19"/>
        <v/>
      </c>
      <c r="M267" s="233">
        <f>AVERAGE(Ashed_controlls!$K$1:$K$11)</f>
        <v>5.5147656768714146</v>
      </c>
      <c r="N267" s="194" t="str">
        <f t="shared" si="18"/>
        <v/>
      </c>
      <c r="O267" s="16" t="str">
        <f>IF('Dry_Litterbag Placem_Collection'!G194="","",'Dry_Litterbag Placem_Collection'!G194)</f>
        <v/>
      </c>
      <c r="P267" s="194" t="str">
        <f>IFERROR(INDEX('Both teabags AfterDry'!$D$3:$D$2000,MATCH(H267,'Both teabags AfterDry'!$A$3:$A$2000,0)),"")</f>
        <v/>
      </c>
      <c r="Q267" s="194" t="str">
        <f>IFERROR(INDEX('Both teabags AfterDry'!$D$3:$D$2000,MATCH(I267,'Both teabags AfterDry'!$A$3:$A$2000,0)),"")</f>
        <v/>
      </c>
      <c r="R267" s="194" t="str">
        <f t="shared" si="20"/>
        <v/>
      </c>
      <c r="S267" s="194" t="str">
        <f t="shared" si="20"/>
        <v/>
      </c>
      <c r="T267" s="194" t="str">
        <f t="shared" si="21"/>
        <v/>
      </c>
      <c r="U267" s="194" t="str">
        <f t="shared" si="22"/>
        <v/>
      </c>
      <c r="V267" s="194" t="str">
        <f t="shared" si="23"/>
        <v/>
      </c>
      <c r="W267" t="str">
        <f t="shared" si="24"/>
        <v/>
      </c>
      <c r="X267" s="194" t="str">
        <f t="shared" si="25"/>
        <v/>
      </c>
      <c r="Y267" s="194" t="str">
        <f t="shared" si="26"/>
        <v/>
      </c>
      <c r="Z267" s="245" t="str">
        <f>IF(ISNUMBER(SEARCH("C", 'Dry_Litterbag Placem_Collection'!$T194)),"YES","NO")</f>
        <v>NO</v>
      </c>
      <c r="AA267" s="245" t="str">
        <f>IF(ISNUMBER(SEARCH("H", 'Dry_Litterbag Placem_Collection'!$T194)),"YES","NO")</f>
        <v>NO</v>
      </c>
      <c r="AB267" s="245" t="str">
        <f>IF(ISNUMBER(SEARCH("R", 'Dry_Litterbag Placem_Collection'!$T194)),"YES","NO")</f>
        <v>NO</v>
      </c>
      <c r="AC267" s="245" t="str">
        <f>IF(ISNUMBER(SEARCH("C", 'Dry_Litterbag Placem_Collection'!$S194)),"YES","NO")</f>
        <v>NO</v>
      </c>
      <c r="AD267" s="245" t="str">
        <f>IF(ISNUMBER(SEARCH("H", 'Dry_Litterbag Placem_Collection'!$S194)),"YES","NO")</f>
        <v>NO</v>
      </c>
      <c r="AE267" s="245" t="str">
        <f>IF(ISNUMBER(SEARCH("R", 'Dry_Litterbag Placem_Collection'!$S194)),"YES","NO")</f>
        <v>NO</v>
      </c>
    </row>
    <row r="268" spans="2:31">
      <c r="B268" t="str">
        <f>Dryseason!B194</f>
        <v>Dry</v>
      </c>
      <c r="C268" s="253">
        <f>Dryseason!C194</f>
        <v>193</v>
      </c>
      <c r="D268" t="s">
        <v>2440</v>
      </c>
      <c r="E268" t="s">
        <v>22</v>
      </c>
      <c r="F268" s="375">
        <v>1</v>
      </c>
      <c r="G268" s="16">
        <f>IF('Dry_Litterbag Placem_Collection'!E195="","",'Dry_Litterbag Placem_Collection'!E195)</f>
        <v>42942</v>
      </c>
      <c r="H268" t="str">
        <f>Dryseason!L194</f>
        <v>G257</v>
      </c>
      <c r="I268" t="str">
        <f>Dryseason!L414</f>
        <v>R695</v>
      </c>
      <c r="J268">
        <f>IFERROR(INDEX('Green_rooibos initial weight'!$C$5:$C$2000,MATCH(H268, 'Green_rooibos initial weight'!$A$5:$A$2000,0)),"")</f>
        <v>1.9319999999999999</v>
      </c>
      <c r="K268">
        <f>IFERROR(INDEX('Green_rooibos initial weight'!$C$5:$C$2000,MATCH(I268, 'Green_rooibos initial weight'!$A$5:$A$2000,0)),"")</f>
        <v>2.1789999999999998</v>
      </c>
      <c r="L268" s="194">
        <f t="shared" si="19"/>
        <v>1.6821999999999999</v>
      </c>
      <c r="M268" s="233">
        <f>AVERAGE(Ashed_controlls!$K$1:$K$11)</f>
        <v>5.5147656768714146</v>
      </c>
      <c r="N268" s="194">
        <f t="shared" ref="N268:N331" si="27">IFERROR(IF(K268&gt;0,(K268*$F$32-($F$29+$F$30)),""),"")</f>
        <v>1.9291999999999998</v>
      </c>
      <c r="O268" s="16">
        <f>IF('Dry_Litterbag Placem_Collection'!G195="","",'Dry_Litterbag Placem_Collection'!G195)</f>
        <v>43004</v>
      </c>
      <c r="P268" s="194">
        <f>IFERROR(INDEX('Both teabags AfterDry'!$D$3:$D$2000,MATCH(H268,'Both teabags AfterDry'!$A$3:$A$2000,0)),"")</f>
        <v>0.67</v>
      </c>
      <c r="Q268" s="194">
        <f>IFERROR(INDEX('Both teabags AfterDry'!$D$3:$D$2000,MATCH(I268,'Both teabags AfterDry'!$A$3:$A$2000,0)),"")</f>
        <v>1.42</v>
      </c>
      <c r="R268" s="194">
        <f t="shared" si="20"/>
        <v>0.51940000000000008</v>
      </c>
      <c r="S268" s="194">
        <f t="shared" si="20"/>
        <v>1.2693999999999999</v>
      </c>
      <c r="T268" s="194">
        <f t="shared" si="21"/>
        <v>0.6912376649625489</v>
      </c>
      <c r="U268" s="194">
        <f t="shared" si="22"/>
        <v>0.45316293474979458</v>
      </c>
      <c r="V268" s="194">
        <f t="shared" si="23"/>
        <v>0.65799295044578066</v>
      </c>
      <c r="W268">
        <f t="shared" si="24"/>
        <v>62</v>
      </c>
      <c r="X268" s="194">
        <f t="shared" si="25"/>
        <v>0.17905265443877805</v>
      </c>
      <c r="Y268" s="194">
        <f t="shared" si="26"/>
        <v>2.2666421821556374E-2</v>
      </c>
      <c r="Z268" s="245" t="str">
        <f>IF(ISNUMBER(SEARCH("C", 'Dry_Litterbag Placem_Collection'!$T195)),"YES","NO")</f>
        <v>NO</v>
      </c>
      <c r="AA268" s="245" t="str">
        <f>IF(ISNUMBER(SEARCH("H", 'Dry_Litterbag Placem_Collection'!$T195)),"YES","NO")</f>
        <v>NO</v>
      </c>
      <c r="AB268" s="245" t="str">
        <f>IF(ISNUMBER(SEARCH("R", 'Dry_Litterbag Placem_Collection'!$T195)),"YES","NO")</f>
        <v>NO</v>
      </c>
      <c r="AC268" s="245" t="str">
        <f>IF(ISNUMBER(SEARCH("C", 'Dry_Litterbag Placem_Collection'!$S195)),"YES","NO")</f>
        <v>NO</v>
      </c>
      <c r="AD268" s="245" t="str">
        <f>IF(ISNUMBER(SEARCH("H", 'Dry_Litterbag Placem_Collection'!$S195)),"YES","NO")</f>
        <v>NO</v>
      </c>
      <c r="AE268" s="245" t="str">
        <f>IF(ISNUMBER(SEARCH("R", 'Dry_Litterbag Placem_Collection'!$S195)),"YES","NO")</f>
        <v>YES</v>
      </c>
    </row>
    <row r="269" spans="2:31">
      <c r="B269" t="str">
        <f>Dryseason!B195</f>
        <v>Dry</v>
      </c>
      <c r="C269" s="253">
        <f>Dryseason!C195</f>
        <v>194</v>
      </c>
      <c r="D269" t="s">
        <v>2433</v>
      </c>
      <c r="E269" t="s">
        <v>22</v>
      </c>
      <c r="F269" s="375">
        <v>2</v>
      </c>
      <c r="G269" s="16">
        <f>IF('Dry_Litterbag Placem_Collection'!E196="","",'Dry_Litterbag Placem_Collection'!E196)</f>
        <v>42942</v>
      </c>
      <c r="H269" t="str">
        <f>Dryseason!L195</f>
        <v>G148</v>
      </c>
      <c r="I269" t="str">
        <f>Dryseason!L415</f>
        <v>R653</v>
      </c>
      <c r="J269">
        <f>IFERROR(INDEX('Green_rooibos initial weight'!$C$5:$C$2000,MATCH(H269, 'Green_rooibos initial weight'!$A$5:$A$2000,0)),"")</f>
        <v>2.0710000000000002</v>
      </c>
      <c r="K269">
        <f>IFERROR(INDEX('Green_rooibos initial weight'!$C$5:$C$2000,MATCH(I269, 'Green_rooibos initial weight'!$A$5:$A$2000,0)),"")</f>
        <v>2.1989999999999998</v>
      </c>
      <c r="L269" s="194">
        <f t="shared" ref="L269:L332" si="28">IFERROR(IF(J269&gt;0,(J269*$F$31-($F$29+$F$30)),""),"")</f>
        <v>1.8212000000000002</v>
      </c>
      <c r="M269" s="233">
        <f>AVERAGE(Ashed_controlls!$K$1:$K$11)</f>
        <v>5.5147656768714146</v>
      </c>
      <c r="N269" s="194">
        <f t="shared" si="27"/>
        <v>1.9491999999999998</v>
      </c>
      <c r="O269" s="16">
        <f>IF('Dry_Litterbag Placem_Collection'!G196="","",'Dry_Litterbag Placem_Collection'!G196)</f>
        <v>43004</v>
      </c>
      <c r="P269" s="194">
        <f>IFERROR(INDEX('Both teabags AfterDry'!$D$3:$D$2000,MATCH(H269,'Both teabags AfterDry'!$A$3:$A$2000,0)),"")</f>
        <v>0.433</v>
      </c>
      <c r="Q269" s="194">
        <f>IFERROR(INDEX('Both teabags AfterDry'!$D$3:$D$2000,MATCH(I269,'Both teabags AfterDry'!$A$3:$A$2000,0)),"")</f>
        <v>1.613</v>
      </c>
      <c r="R269" s="194">
        <f t="shared" ref="R269:S332" si="29">IFERROR(IF(P269&gt;0,P269-($F$29),""),"")</f>
        <v>0.28239999999999998</v>
      </c>
      <c r="S269" s="194">
        <f t="shared" si="29"/>
        <v>1.4623999999999999</v>
      </c>
      <c r="T269" s="194">
        <f t="shared" ref="T269:T332" si="30">IFERROR(1-R269/L269,"")</f>
        <v>0.84493740390951022</v>
      </c>
      <c r="U269" s="194">
        <f t="shared" ref="U269:U332" si="31">IFERROR($F$26*(1-X269),"")</f>
        <v>0.55392570897630611</v>
      </c>
      <c r="V269" s="194">
        <f t="shared" ref="V269:V332" si="32">IFERROR(S269/N269,"")</f>
        <v>0.75025651549353589</v>
      </c>
      <c r="W269">
        <f t="shared" ref="W269:W332" si="33">IFERROR(IF((O269-G269)&gt;0,(IFERROR(O269-G269,"")),""),"")</f>
        <v>62</v>
      </c>
      <c r="X269" s="194">
        <f t="shared" ref="X269:X332" si="34">IFERROR(1-(T269/$F$25),"")</f>
        <v>-3.4886032179457516E-3</v>
      </c>
      <c r="Y269" s="194">
        <f t="shared" ref="Y269:Y332" si="35">IFERROR(LN(U269/(V269-(1-U269)))/W269,"")</f>
        <v>9.6678005485806174E-3</v>
      </c>
      <c r="Z269" s="245" t="str">
        <f>IF(ISNUMBER(SEARCH("C", 'Dry_Litterbag Placem_Collection'!$T196)),"YES","NO")</f>
        <v>NO</v>
      </c>
      <c r="AA269" s="245" t="str">
        <f>IF(ISNUMBER(SEARCH("H", 'Dry_Litterbag Placem_Collection'!$T196)),"YES","NO")</f>
        <v>NO</v>
      </c>
      <c r="AB269" s="245" t="str">
        <f>IF(ISNUMBER(SEARCH("R", 'Dry_Litterbag Placem_Collection'!$T196)),"YES","NO")</f>
        <v>YES</v>
      </c>
      <c r="AC269" s="245" t="str">
        <f>IF(ISNUMBER(SEARCH("C", 'Dry_Litterbag Placem_Collection'!$S196)),"YES","NO")</f>
        <v>NO</v>
      </c>
      <c r="AD269" s="245" t="str">
        <f>IF(ISNUMBER(SEARCH("H", 'Dry_Litterbag Placem_Collection'!$S196)),"YES","NO")</f>
        <v>YES</v>
      </c>
      <c r="AE269" s="245" t="str">
        <f>IF(ISNUMBER(SEARCH("R", 'Dry_Litterbag Placem_Collection'!$S196)),"YES","NO")</f>
        <v>YES</v>
      </c>
    </row>
    <row r="270" spans="2:31">
      <c r="B270" t="str">
        <f>Dryseason!B196</f>
        <v>Dry</v>
      </c>
      <c r="C270" s="253">
        <f>Dryseason!C196</f>
        <v>195</v>
      </c>
      <c r="D270" t="s">
        <v>2425</v>
      </c>
      <c r="E270" t="s">
        <v>22</v>
      </c>
      <c r="F270" s="375">
        <v>3</v>
      </c>
      <c r="G270" s="16">
        <f>IF('Dry_Litterbag Placem_Collection'!E197="","",'Dry_Litterbag Placem_Collection'!E197)</f>
        <v>42942</v>
      </c>
      <c r="H270" t="str">
        <f>Dryseason!L196</f>
        <v>G105</v>
      </c>
      <c r="I270" t="str">
        <f>Dryseason!L416</f>
        <v>R389</v>
      </c>
      <c r="J270">
        <f>IFERROR(INDEX('Green_rooibos initial weight'!$C$5:$C$2000,MATCH(H270, 'Green_rooibos initial weight'!$A$5:$A$2000,0)),"")</f>
        <v>2.1440000000000001</v>
      </c>
      <c r="K270">
        <f>IFERROR(INDEX('Green_rooibos initial weight'!$C$5:$C$2000,MATCH(I270, 'Green_rooibos initial weight'!$A$5:$A$2000,0)),"")</f>
        <v>2.2349999999999999</v>
      </c>
      <c r="L270" s="194">
        <f t="shared" si="28"/>
        <v>1.8942000000000001</v>
      </c>
      <c r="M270" s="233">
        <f>AVERAGE(Ashed_controlls!$K$1:$K$11)</f>
        <v>5.5147656768714146</v>
      </c>
      <c r="N270" s="194">
        <f t="shared" si="27"/>
        <v>1.9851999999999999</v>
      </c>
      <c r="O270" s="16">
        <f>IF('Dry_Litterbag Placem_Collection'!G197="","",'Dry_Litterbag Placem_Collection'!G197)</f>
        <v>43004</v>
      </c>
      <c r="P270" s="194">
        <f>IFERROR(INDEX('Both teabags AfterDry'!$D$3:$D$2000,MATCH(H270,'Both teabags AfterDry'!$A$3:$A$2000,0)),"")</f>
        <v>1.2050000000000001</v>
      </c>
      <c r="Q270" s="194">
        <f>IFERROR(INDEX('Both teabags AfterDry'!$D$3:$D$2000,MATCH(I270,'Both teabags AfterDry'!$A$3:$A$2000,0)),"")</f>
        <v>0.78200000000000003</v>
      </c>
      <c r="R270" s="194">
        <f t="shared" si="29"/>
        <v>1.0544</v>
      </c>
      <c r="S270" s="194">
        <f t="shared" si="29"/>
        <v>0.63139999999999996</v>
      </c>
      <c r="T270" s="194">
        <f t="shared" si="30"/>
        <v>0.44335339457290679</v>
      </c>
      <c r="U270" s="194">
        <f t="shared" si="31"/>
        <v>0.29065448195278454</v>
      </c>
      <c r="V270" s="194">
        <f t="shared" si="32"/>
        <v>0.31805359661495064</v>
      </c>
      <c r="W270">
        <f t="shared" si="33"/>
        <v>62</v>
      </c>
      <c r="X270" s="194">
        <f t="shared" si="34"/>
        <v>0.47345202544785414</v>
      </c>
      <c r="Y270" s="194" t="str">
        <f t="shared" si="35"/>
        <v/>
      </c>
      <c r="Z270" s="245" t="str">
        <f>IF(ISNUMBER(SEARCH("C", 'Dry_Litterbag Placem_Collection'!$T197)),"YES","NO")</f>
        <v>NO</v>
      </c>
      <c r="AA270" s="245" t="str">
        <f>IF(ISNUMBER(SEARCH("H", 'Dry_Litterbag Placem_Collection'!$T197)),"YES","NO")</f>
        <v>NO</v>
      </c>
      <c r="AB270" s="245" t="str">
        <f>IF(ISNUMBER(SEARCH("R", 'Dry_Litterbag Placem_Collection'!$T197)),"YES","NO")</f>
        <v>YES</v>
      </c>
      <c r="AC270" s="245" t="str">
        <f>IF(ISNUMBER(SEARCH("C", 'Dry_Litterbag Placem_Collection'!$S197)),"YES","NO")</f>
        <v>NO</v>
      </c>
      <c r="AD270" s="245" t="str">
        <f>IF(ISNUMBER(SEARCH("H", 'Dry_Litterbag Placem_Collection'!$S197)),"YES","NO")</f>
        <v>YES</v>
      </c>
      <c r="AE270" s="245" t="str">
        <f>IF(ISNUMBER(SEARCH("R", 'Dry_Litterbag Placem_Collection'!$S197)),"YES","NO")</f>
        <v>YES</v>
      </c>
    </row>
    <row r="271" spans="2:31">
      <c r="B271" t="str">
        <f>Dryseason!B197</f>
        <v>Dry</v>
      </c>
      <c r="C271" s="253">
        <f>Dryseason!C197</f>
        <v>196</v>
      </c>
      <c r="D271" t="s">
        <v>2416</v>
      </c>
      <c r="E271" t="s">
        <v>22</v>
      </c>
      <c r="F271" s="375">
        <v>4</v>
      </c>
      <c r="G271" s="16">
        <f>IF('Dry_Litterbag Placem_Collection'!E198="","",'Dry_Litterbag Placem_Collection'!E198)</f>
        <v>42942</v>
      </c>
      <c r="H271" t="str">
        <f>Dryseason!L197</f>
        <v>G12</v>
      </c>
      <c r="I271" t="str">
        <f>Dryseason!L417</f>
        <v>R455</v>
      </c>
      <c r="J271">
        <f>IFERROR(INDEX('Green_rooibos initial weight'!$C$5:$C$2000,MATCH(H271, 'Green_rooibos initial weight'!$A$5:$A$2000,0)),"")</f>
        <v>1.9870000000000001</v>
      </c>
      <c r="K271">
        <f>IFERROR(INDEX('Green_rooibos initial weight'!$C$5:$C$2000,MATCH(I271, 'Green_rooibos initial weight'!$A$5:$A$2000,0)),"")</f>
        <v>2.1850000000000001</v>
      </c>
      <c r="L271" s="194">
        <f t="shared" si="28"/>
        <v>1.7372000000000001</v>
      </c>
      <c r="M271" s="233">
        <f>AVERAGE(Ashed_controlls!$K$1:$K$11)</f>
        <v>5.5147656768714146</v>
      </c>
      <c r="N271" s="194">
        <f t="shared" si="27"/>
        <v>1.9352</v>
      </c>
      <c r="O271" s="16">
        <f>IF('Dry_Litterbag Placem_Collection'!G198="","",'Dry_Litterbag Placem_Collection'!G198)</f>
        <v>43004</v>
      </c>
      <c r="P271" s="194">
        <f>IFERROR(INDEX('Both teabags AfterDry'!$D$3:$D$2000,MATCH(H271,'Both teabags AfterDry'!$A$3:$A$2000,0)),"")</f>
        <v>0.748</v>
      </c>
      <c r="Q271" s="194">
        <f>IFERROR(INDEX('Both teabags AfterDry'!$D$3:$D$2000,MATCH(I271,'Both teabags AfterDry'!$A$3:$A$2000,0)),"")</f>
        <v>0.19900000000000001</v>
      </c>
      <c r="R271" s="194">
        <f t="shared" si="29"/>
        <v>0.59739999999999993</v>
      </c>
      <c r="S271" s="194">
        <f t="shared" si="29"/>
        <v>4.8399999999999999E-2</v>
      </c>
      <c r="T271" s="194">
        <f t="shared" si="30"/>
        <v>0.65611328574717942</v>
      </c>
      <c r="U271" s="194">
        <f t="shared" si="31"/>
        <v>0.43013602581050248</v>
      </c>
      <c r="V271" s="194">
        <f t="shared" si="32"/>
        <v>2.50103348491112E-2</v>
      </c>
      <c r="W271">
        <f t="shared" si="33"/>
        <v>62</v>
      </c>
      <c r="X271" s="194">
        <f t="shared" si="34"/>
        <v>0.22076806918387237</v>
      </c>
      <c r="Y271" s="194" t="str">
        <f t="shared" si="35"/>
        <v/>
      </c>
      <c r="Z271" s="245" t="str">
        <f>IF(ISNUMBER(SEARCH("C", 'Dry_Litterbag Placem_Collection'!$T198)),"YES","NO")</f>
        <v>NO</v>
      </c>
      <c r="AA271" s="245" t="str">
        <f>IF(ISNUMBER(SEARCH("H", 'Dry_Litterbag Placem_Collection'!$T198)),"YES","NO")</f>
        <v>YES</v>
      </c>
      <c r="AB271" s="245" t="str">
        <f>IF(ISNUMBER(SEARCH("R", 'Dry_Litterbag Placem_Collection'!$T198)),"YES","NO")</f>
        <v>NO</v>
      </c>
      <c r="AC271" s="245" t="str">
        <f>IF(ISNUMBER(SEARCH("C", 'Dry_Litterbag Placem_Collection'!$S198)),"YES","NO")</f>
        <v>NO</v>
      </c>
      <c r="AD271" s="245" t="str">
        <f>IF(ISNUMBER(SEARCH("H", 'Dry_Litterbag Placem_Collection'!$S198)),"YES","NO")</f>
        <v>YES</v>
      </c>
      <c r="AE271" s="245" t="str">
        <f>IF(ISNUMBER(SEARCH("R", 'Dry_Litterbag Placem_Collection'!$S198)),"YES","NO")</f>
        <v>NO</v>
      </c>
    </row>
    <row r="272" spans="2:31">
      <c r="B272" t="str">
        <f>Dryseason!B198</f>
        <v>Dry</v>
      </c>
      <c r="C272" s="253">
        <f>Dryseason!C198</f>
        <v>197</v>
      </c>
      <c r="D272" t="s">
        <v>2426</v>
      </c>
      <c r="E272" t="s">
        <v>22</v>
      </c>
      <c r="F272" s="375">
        <v>1</v>
      </c>
      <c r="G272" s="16">
        <f>IF('Dry_Litterbag Placem_Collection'!E199="","",'Dry_Litterbag Placem_Collection'!E199)</f>
        <v>42942</v>
      </c>
      <c r="H272" t="str">
        <f>Dryseason!L198</f>
        <v>G399</v>
      </c>
      <c r="I272" t="str">
        <f>Dryseason!L418</f>
        <v>R692</v>
      </c>
      <c r="J272">
        <f>IFERROR(INDEX('Green_rooibos initial weight'!$C$5:$C$2000,MATCH(H272, 'Green_rooibos initial weight'!$A$5:$A$2000,0)),"")</f>
        <v>2.0070000000000001</v>
      </c>
      <c r="K272">
        <f>IFERROR(INDEX('Green_rooibos initial weight'!$C$5:$C$2000,MATCH(I272, 'Green_rooibos initial weight'!$A$5:$A$2000,0)),"")</f>
        <v>2.1419999999999999</v>
      </c>
      <c r="L272" s="194">
        <f t="shared" si="28"/>
        <v>1.7572000000000001</v>
      </c>
      <c r="M272" s="233">
        <f>AVERAGE(Ashed_controlls!$K$1:$K$11)</f>
        <v>5.5147656768714146</v>
      </c>
      <c r="N272" s="194">
        <f t="shared" si="27"/>
        <v>1.8921999999999999</v>
      </c>
      <c r="O272" s="16">
        <f>IF('Dry_Litterbag Placem_Collection'!G199="","",'Dry_Litterbag Placem_Collection'!G199)</f>
        <v>43004</v>
      </c>
      <c r="P272" s="194">
        <f>IFERROR(INDEX('Both teabags AfterDry'!$D$3:$D$2000,MATCH(H272,'Both teabags AfterDry'!$A$3:$A$2000,0)),"")</f>
        <v>0.69</v>
      </c>
      <c r="Q272" s="194">
        <f>IFERROR(INDEX('Both teabags AfterDry'!$D$3:$D$2000,MATCH(I272,'Both teabags AfterDry'!$A$3:$A$2000,0)),"")</f>
        <v>1.6160000000000001</v>
      </c>
      <c r="R272" s="194">
        <f t="shared" si="29"/>
        <v>0.53939999999999988</v>
      </c>
      <c r="S272" s="194">
        <f t="shared" si="29"/>
        <v>1.4654</v>
      </c>
      <c r="T272" s="194">
        <f t="shared" si="30"/>
        <v>0.69303437286592318</v>
      </c>
      <c r="U272" s="194">
        <f t="shared" si="31"/>
        <v>0.45434082401661474</v>
      </c>
      <c r="V272" s="194">
        <f t="shared" si="32"/>
        <v>0.77444244794419204</v>
      </c>
      <c r="W272">
        <f t="shared" si="33"/>
        <v>62</v>
      </c>
      <c r="X272" s="194">
        <f t="shared" si="34"/>
        <v>0.17691879707135016</v>
      </c>
      <c r="Y272" s="194">
        <f t="shared" si="35"/>
        <v>1.1065685247037747E-2</v>
      </c>
      <c r="Z272" s="245" t="str">
        <f>IF(ISNUMBER(SEARCH("C", 'Dry_Litterbag Placem_Collection'!$T199)),"YES","NO")</f>
        <v>NO</v>
      </c>
      <c r="AA272" s="245" t="str">
        <f>IF(ISNUMBER(SEARCH("H", 'Dry_Litterbag Placem_Collection'!$T199)),"YES","NO")</f>
        <v>NO</v>
      </c>
      <c r="AB272" s="245" t="str">
        <f>IF(ISNUMBER(SEARCH("R", 'Dry_Litterbag Placem_Collection'!$T199)),"YES","NO")</f>
        <v>YES</v>
      </c>
      <c r="AC272" s="245" t="str">
        <f>IF(ISNUMBER(SEARCH("C", 'Dry_Litterbag Placem_Collection'!$S199)),"YES","NO")</f>
        <v>NO</v>
      </c>
      <c r="AD272" s="245" t="str">
        <f>IF(ISNUMBER(SEARCH("H", 'Dry_Litterbag Placem_Collection'!$S199)),"YES","NO")</f>
        <v>NO</v>
      </c>
      <c r="AE272" s="245" t="str">
        <f>IF(ISNUMBER(SEARCH("R", 'Dry_Litterbag Placem_Collection'!$S199)),"YES","NO")</f>
        <v>YES</v>
      </c>
    </row>
    <row r="273" spans="2:31">
      <c r="B273" t="str">
        <f>Dryseason!B199</f>
        <v>Dry</v>
      </c>
      <c r="C273" s="253">
        <f>Dryseason!C199</f>
        <v>198</v>
      </c>
      <c r="D273" t="s">
        <v>2434</v>
      </c>
      <c r="E273" t="s">
        <v>22</v>
      </c>
      <c r="F273" s="375">
        <v>2</v>
      </c>
      <c r="G273" s="16">
        <f>IF('Dry_Litterbag Placem_Collection'!E200="","",'Dry_Litterbag Placem_Collection'!E200)</f>
        <v>42942</v>
      </c>
      <c r="H273" t="str">
        <f>Dryseason!L199</f>
        <v>G27</v>
      </c>
      <c r="I273" t="str">
        <f>Dryseason!L419</f>
        <v>R352</v>
      </c>
      <c r="J273">
        <f>IFERROR(INDEX('Green_rooibos initial weight'!$C$5:$C$2000,MATCH(H273, 'Green_rooibos initial weight'!$A$5:$A$2000,0)),"")</f>
        <v>1.966</v>
      </c>
      <c r="K273">
        <f>IFERROR(INDEX('Green_rooibos initial weight'!$C$5:$C$2000,MATCH(I273, 'Green_rooibos initial weight'!$A$5:$A$2000,0)),"")</f>
        <v>2.2789999999999999</v>
      </c>
      <c r="L273" s="194">
        <f t="shared" si="28"/>
        <v>1.7161999999999999</v>
      </c>
      <c r="M273" s="233">
        <f>AVERAGE(Ashed_controlls!$K$1:$K$11)</f>
        <v>5.5147656768714146</v>
      </c>
      <c r="N273" s="194">
        <f t="shared" si="27"/>
        <v>2.0291999999999999</v>
      </c>
      <c r="O273" s="16">
        <f>IF('Dry_Litterbag Placem_Collection'!G200="","",'Dry_Litterbag Placem_Collection'!G200)</f>
        <v>43004</v>
      </c>
      <c r="P273" s="194">
        <f>IFERROR(INDEX('Both teabags AfterDry'!$D$3:$D$2000,MATCH(H273,'Both teabags AfterDry'!$A$3:$A$2000,0)),"")</f>
        <v>0.73799999999999999</v>
      </c>
      <c r="Q273" s="194">
        <f>IFERROR(INDEX('Both teabags AfterDry'!$D$3:$D$2000,MATCH(I273,'Both teabags AfterDry'!$A$3:$A$2000,0)),"")</f>
        <v>1.615</v>
      </c>
      <c r="R273" s="194">
        <f t="shared" si="29"/>
        <v>0.58739999999999992</v>
      </c>
      <c r="S273" s="194">
        <f t="shared" si="29"/>
        <v>1.4643999999999999</v>
      </c>
      <c r="T273" s="194">
        <f t="shared" si="30"/>
        <v>0.6577321990444005</v>
      </c>
      <c r="U273" s="194">
        <f t="shared" si="31"/>
        <v>0.43119735614312243</v>
      </c>
      <c r="V273" s="194">
        <f t="shared" si="32"/>
        <v>0.72166370983638872</v>
      </c>
      <c r="W273">
        <f t="shared" si="33"/>
        <v>62</v>
      </c>
      <c r="X273" s="194">
        <f t="shared" si="34"/>
        <v>0.21884536930593768</v>
      </c>
      <c r="Y273" s="194">
        <f t="shared" si="35"/>
        <v>1.6726394271365769E-2</v>
      </c>
      <c r="Z273" s="245" t="str">
        <f>IF(ISNUMBER(SEARCH("C", 'Dry_Litterbag Placem_Collection'!$T200)),"YES","NO")</f>
        <v>NO</v>
      </c>
      <c r="AA273" s="245" t="str">
        <f>IF(ISNUMBER(SEARCH("H", 'Dry_Litterbag Placem_Collection'!$T200)),"YES","NO")</f>
        <v>YES</v>
      </c>
      <c r="AB273" s="245" t="str">
        <f>IF(ISNUMBER(SEARCH("R", 'Dry_Litterbag Placem_Collection'!$T200)),"YES","NO")</f>
        <v>YES</v>
      </c>
      <c r="AC273" s="245" t="str">
        <f>IF(ISNUMBER(SEARCH("C", 'Dry_Litterbag Placem_Collection'!$S200)),"YES","NO")</f>
        <v>NO</v>
      </c>
      <c r="AD273" s="245" t="str">
        <f>IF(ISNUMBER(SEARCH("H", 'Dry_Litterbag Placem_Collection'!$S200)),"YES","NO")</f>
        <v>NO</v>
      </c>
      <c r="AE273" s="245" t="str">
        <f>IF(ISNUMBER(SEARCH("R", 'Dry_Litterbag Placem_Collection'!$S200)),"YES","NO")</f>
        <v>YES</v>
      </c>
    </row>
    <row r="274" spans="2:31">
      <c r="B274" t="str">
        <f>Dryseason!B200</f>
        <v>Dry</v>
      </c>
      <c r="C274" s="253">
        <f>Dryseason!C200</f>
        <v>199</v>
      </c>
      <c r="D274" t="s">
        <v>2418</v>
      </c>
      <c r="E274" t="s">
        <v>22</v>
      </c>
      <c r="F274" s="375">
        <v>3</v>
      </c>
      <c r="G274" s="16">
        <f>IF('Dry_Litterbag Placem_Collection'!E201="","",'Dry_Litterbag Placem_Collection'!E201)</f>
        <v>42942</v>
      </c>
      <c r="H274" t="str">
        <f>Dryseason!L200</f>
        <v>G224</v>
      </c>
      <c r="I274" t="str">
        <f>Dryseason!L420</f>
        <v>R327</v>
      </c>
      <c r="J274">
        <f>IFERROR(INDEX('Green_rooibos initial weight'!$C$5:$C$2000,MATCH(H274, 'Green_rooibos initial weight'!$A$5:$A$2000,0)),"")</f>
        <v>2.0259999999999998</v>
      </c>
      <c r="K274">
        <f>IFERROR(INDEX('Green_rooibos initial weight'!$C$5:$C$2000,MATCH(I274, 'Green_rooibos initial weight'!$A$5:$A$2000,0)),"")</f>
        <v>2.2229999999999999</v>
      </c>
      <c r="L274" s="194">
        <f t="shared" si="28"/>
        <v>1.7761999999999998</v>
      </c>
      <c r="M274" s="233">
        <f>AVERAGE(Ashed_controlls!$K$1:$K$11)</f>
        <v>5.5147656768714146</v>
      </c>
      <c r="N274" s="194">
        <f t="shared" si="27"/>
        <v>1.9731999999999998</v>
      </c>
      <c r="O274" s="16">
        <f>IF('Dry_Litterbag Placem_Collection'!G201="","",'Dry_Litterbag Placem_Collection'!G201)</f>
        <v>43004</v>
      </c>
      <c r="P274" s="194">
        <f>IFERROR(INDEX('Both teabags AfterDry'!$D$3:$D$2000,MATCH(H274,'Both teabags AfterDry'!$A$3:$A$2000,0)),"")</f>
        <v>0.53049999999999997</v>
      </c>
      <c r="Q274" s="194">
        <f>IFERROR(INDEX('Both teabags AfterDry'!$D$3:$D$2000,MATCH(I274,'Both teabags AfterDry'!$A$3:$A$2000,0)),"")</f>
        <v>1.5642</v>
      </c>
      <c r="R274" s="194">
        <f t="shared" si="29"/>
        <v>0.37989999999999996</v>
      </c>
      <c r="S274" s="194">
        <f t="shared" si="29"/>
        <v>1.4136</v>
      </c>
      <c r="T274" s="194">
        <f t="shared" si="30"/>
        <v>0.78611642833014295</v>
      </c>
      <c r="U274" s="194">
        <f t="shared" si="31"/>
        <v>0.51536373923781353</v>
      </c>
      <c r="V274" s="194">
        <f t="shared" si="32"/>
        <v>0.7163997567403203</v>
      </c>
      <c r="W274">
        <f t="shared" si="33"/>
        <v>62</v>
      </c>
      <c r="X274" s="194">
        <f t="shared" si="34"/>
        <v>6.6370037612656807E-2</v>
      </c>
      <c r="Y274" s="194">
        <f t="shared" si="35"/>
        <v>1.2889604892216593E-2</v>
      </c>
      <c r="Z274" s="245" t="str">
        <f>IF(ISNUMBER(SEARCH("C", 'Dry_Litterbag Placem_Collection'!$T201)),"YES","NO")</f>
        <v>NO</v>
      </c>
      <c r="AA274" s="245" t="str">
        <f>IF(ISNUMBER(SEARCH("H", 'Dry_Litterbag Placem_Collection'!$T201)),"YES","NO")</f>
        <v>YES</v>
      </c>
      <c r="AB274" s="245" t="str">
        <f>IF(ISNUMBER(SEARCH("R", 'Dry_Litterbag Placem_Collection'!$T201)),"YES","NO")</f>
        <v>NO</v>
      </c>
      <c r="AC274" s="245" t="str">
        <f>IF(ISNUMBER(SEARCH("C", 'Dry_Litterbag Placem_Collection'!$S201)),"YES","NO")</f>
        <v>NO</v>
      </c>
      <c r="AD274" s="245" t="str">
        <f>IF(ISNUMBER(SEARCH("H", 'Dry_Litterbag Placem_Collection'!$S201)),"YES","NO")</f>
        <v>YES</v>
      </c>
      <c r="AE274" s="245" t="str">
        <f>IF(ISNUMBER(SEARCH("R", 'Dry_Litterbag Placem_Collection'!$S201)),"YES","NO")</f>
        <v>NO</v>
      </c>
    </row>
    <row r="275" spans="2:31">
      <c r="B275" t="str">
        <f>Dryseason!B201</f>
        <v>Dry</v>
      </c>
      <c r="C275" s="253">
        <f>Dryseason!C201</f>
        <v>200</v>
      </c>
      <c r="D275" t="s">
        <v>2441</v>
      </c>
      <c r="E275" t="s">
        <v>22</v>
      </c>
      <c r="F275" s="375">
        <v>4</v>
      </c>
      <c r="G275" s="16">
        <f>IF('Dry_Litterbag Placem_Collection'!E202="","",'Dry_Litterbag Placem_Collection'!E202)</f>
        <v>42942</v>
      </c>
      <c r="H275" t="str">
        <f>Dryseason!L201</f>
        <v>G158</v>
      </c>
      <c r="I275" t="str">
        <f>Dryseason!L421</f>
        <v>R75</v>
      </c>
      <c r="J275">
        <f>IFERROR(INDEX('Green_rooibos initial weight'!$C$5:$C$2000,MATCH(H275, 'Green_rooibos initial weight'!$A$5:$A$2000,0)),"")</f>
        <v>2.0609999999999999</v>
      </c>
      <c r="K275">
        <f>IFERROR(INDEX('Green_rooibos initial weight'!$C$5:$C$2000,MATCH(I275, 'Green_rooibos initial weight'!$A$5:$A$2000,0)),"")</f>
        <v>2.1819999999999999</v>
      </c>
      <c r="L275" s="194">
        <f t="shared" si="28"/>
        <v>1.8111999999999999</v>
      </c>
      <c r="M275" s="233">
        <f>AVERAGE(Ashed_controlls!$K$1:$K$11)</f>
        <v>5.5147656768714146</v>
      </c>
      <c r="N275" s="194">
        <f t="shared" si="27"/>
        <v>1.9321999999999999</v>
      </c>
      <c r="O275" s="16">
        <f>IF('Dry_Litterbag Placem_Collection'!G202="","",'Dry_Litterbag Placem_Collection'!G202)</f>
        <v>43004</v>
      </c>
      <c r="P275" s="194">
        <f>IFERROR(INDEX('Both teabags AfterDry'!$D$3:$D$2000,MATCH(H275,'Both teabags AfterDry'!$A$3:$A$2000,0)),"")</f>
        <v>0.71050000000000002</v>
      </c>
      <c r="Q275" s="194">
        <f>IFERROR(INDEX('Both teabags AfterDry'!$D$3:$D$2000,MATCH(I275,'Both teabags AfterDry'!$A$3:$A$2000,0)),"")</f>
        <v>0.1565</v>
      </c>
      <c r="R275" s="194">
        <f t="shared" si="29"/>
        <v>0.55990000000000006</v>
      </c>
      <c r="S275" s="194">
        <f t="shared" si="29"/>
        <v>5.8999999999999886E-3</v>
      </c>
      <c r="T275" s="194">
        <f t="shared" si="30"/>
        <v>0.69086793286219073</v>
      </c>
      <c r="U275" s="194">
        <f t="shared" si="31"/>
        <v>0.45292054505929852</v>
      </c>
      <c r="V275" s="194">
        <f t="shared" si="32"/>
        <v>3.0535141289721505E-3</v>
      </c>
      <c r="W275">
        <f t="shared" si="33"/>
        <v>62</v>
      </c>
      <c r="X275" s="194">
        <f t="shared" si="34"/>
        <v>0.17949176619692309</v>
      </c>
      <c r="Y275" s="194" t="str">
        <f t="shared" si="35"/>
        <v/>
      </c>
      <c r="Z275" s="245" t="str">
        <f>IF(ISNUMBER(SEARCH("C", 'Dry_Litterbag Placem_Collection'!$T202)),"YES","NO")</f>
        <v>NO</v>
      </c>
      <c r="AA275" s="245" t="str">
        <f>IF(ISNUMBER(SEARCH("H", 'Dry_Litterbag Placem_Collection'!$T202)),"YES","NO")</f>
        <v>YES</v>
      </c>
      <c r="AB275" s="245" t="str">
        <f>IF(ISNUMBER(SEARCH("R", 'Dry_Litterbag Placem_Collection'!$T202)),"YES","NO")</f>
        <v>YES</v>
      </c>
      <c r="AC275" s="245" t="str">
        <f>IF(ISNUMBER(SEARCH("C", 'Dry_Litterbag Placem_Collection'!$S202)),"YES","NO")</f>
        <v>NO</v>
      </c>
      <c r="AD275" s="245" t="str">
        <f>IF(ISNUMBER(SEARCH("H", 'Dry_Litterbag Placem_Collection'!$S202)),"YES","NO")</f>
        <v>NO</v>
      </c>
      <c r="AE275" s="245" t="str">
        <f>IF(ISNUMBER(SEARCH("R", 'Dry_Litterbag Placem_Collection'!$S202)),"YES","NO")</f>
        <v>YES</v>
      </c>
    </row>
    <row r="276" spans="2:31">
      <c r="B276" t="str">
        <f>Dryseason!B202</f>
        <v>Dry</v>
      </c>
      <c r="C276" s="253">
        <f>Dryseason!C202</f>
        <v>201</v>
      </c>
      <c r="D276" t="s">
        <v>2442</v>
      </c>
      <c r="E276" t="s">
        <v>22</v>
      </c>
      <c r="F276" s="375">
        <v>1</v>
      </c>
      <c r="G276" s="16">
        <f>IF('Dry_Litterbag Placem_Collection'!E203="","",'Dry_Litterbag Placem_Collection'!E203)</f>
        <v>42942</v>
      </c>
      <c r="H276" t="str">
        <f>Dryseason!L202</f>
        <v>G211</v>
      </c>
      <c r="I276" t="str">
        <f>Dryseason!L422</f>
        <v>R36</v>
      </c>
      <c r="J276">
        <f>IFERROR(INDEX('Green_rooibos initial weight'!$C$5:$C$2000,MATCH(H276, 'Green_rooibos initial weight'!$A$5:$A$2000,0)),"")</f>
        <v>2.06</v>
      </c>
      <c r="K276">
        <f>IFERROR(INDEX('Green_rooibos initial weight'!$C$5:$C$2000,MATCH(I276, 'Green_rooibos initial weight'!$A$5:$A$2000,0)),"")</f>
        <v>2.298</v>
      </c>
      <c r="L276" s="194">
        <f t="shared" si="28"/>
        <v>1.8102</v>
      </c>
      <c r="M276" s="233">
        <f>AVERAGE(Ashed_controlls!$K$1:$K$11)</f>
        <v>5.5147656768714146</v>
      </c>
      <c r="N276" s="194">
        <f t="shared" si="27"/>
        <v>2.0482</v>
      </c>
      <c r="O276" s="16">
        <f>IF('Dry_Litterbag Placem_Collection'!G203="","",'Dry_Litterbag Placem_Collection'!G203)</f>
        <v>43004</v>
      </c>
      <c r="P276" s="194">
        <f>IFERROR(INDEX('Both teabags AfterDry'!$D$3:$D$2000,MATCH(H276,'Both teabags AfterDry'!$A$3:$A$2000,0)),"")</f>
        <v>0.67300000000000004</v>
      </c>
      <c r="Q276" s="194">
        <f>IFERROR(INDEX('Both teabags AfterDry'!$D$3:$D$2000,MATCH(I276,'Both teabags AfterDry'!$A$3:$A$2000,0)),"")</f>
        <v>1.968</v>
      </c>
      <c r="R276" s="194">
        <f t="shared" si="29"/>
        <v>0.52239999999999998</v>
      </c>
      <c r="S276" s="194">
        <f t="shared" si="29"/>
        <v>1.8173999999999999</v>
      </c>
      <c r="T276" s="194">
        <f t="shared" si="30"/>
        <v>0.7114131035244724</v>
      </c>
      <c r="U276" s="194">
        <f t="shared" si="31"/>
        <v>0.4663895880587991</v>
      </c>
      <c r="V276" s="194">
        <f t="shared" si="32"/>
        <v>0.88731569182697001</v>
      </c>
      <c r="W276">
        <f t="shared" si="33"/>
        <v>62</v>
      </c>
      <c r="X276" s="194">
        <f t="shared" si="34"/>
        <v>0.15509132598043651</v>
      </c>
      <c r="Y276" s="194">
        <f t="shared" si="35"/>
        <v>4.4606014039653913E-3</v>
      </c>
      <c r="Z276" s="245" t="str">
        <f>IF(ISNUMBER(SEARCH("C", 'Dry_Litterbag Placem_Collection'!$T203)),"YES","NO")</f>
        <v>YES</v>
      </c>
      <c r="AA276" s="245" t="str">
        <f>IF(ISNUMBER(SEARCH("H", 'Dry_Litterbag Placem_Collection'!$T203)),"YES","NO")</f>
        <v>YES</v>
      </c>
      <c r="AB276" s="245" t="str">
        <f>IF(ISNUMBER(SEARCH("R", 'Dry_Litterbag Placem_Collection'!$T203)),"YES","NO")</f>
        <v>YES</v>
      </c>
      <c r="AC276" s="245" t="str">
        <f>IF(ISNUMBER(SEARCH("C", 'Dry_Litterbag Placem_Collection'!$S203)),"YES","NO")</f>
        <v>NO</v>
      </c>
      <c r="AD276" s="245" t="str">
        <f>IF(ISNUMBER(SEARCH("H", 'Dry_Litterbag Placem_Collection'!$S203)),"YES","NO")</f>
        <v>YES</v>
      </c>
      <c r="AE276" s="245" t="str">
        <f>IF(ISNUMBER(SEARCH("R", 'Dry_Litterbag Placem_Collection'!$S203)),"YES","NO")</f>
        <v>YES</v>
      </c>
    </row>
    <row r="277" spans="2:31">
      <c r="B277" t="str">
        <f>Dryseason!B203</f>
        <v>Dry</v>
      </c>
      <c r="C277" s="253">
        <f>Dryseason!C203</f>
        <v>202</v>
      </c>
      <c r="D277" t="s">
        <v>2419</v>
      </c>
      <c r="E277" t="s">
        <v>22</v>
      </c>
      <c r="F277" s="375">
        <v>2</v>
      </c>
      <c r="G277" s="16">
        <f>IF('Dry_Litterbag Placem_Collection'!E204="","",'Dry_Litterbag Placem_Collection'!E204)</f>
        <v>42942</v>
      </c>
      <c r="H277" t="str">
        <f>Dryseason!L203</f>
        <v>G181</v>
      </c>
      <c r="I277" t="str">
        <f>Dryseason!L423</f>
        <v>R676</v>
      </c>
      <c r="J277">
        <f>IFERROR(INDEX('Green_rooibos initial weight'!$C$5:$C$2000,MATCH(H277, 'Green_rooibos initial weight'!$A$5:$A$2000,0)),"")</f>
        <v>1.7629999999999999</v>
      </c>
      <c r="K277">
        <f>IFERROR(INDEX('Green_rooibos initial weight'!$C$5:$C$2000,MATCH(I277, 'Green_rooibos initial weight'!$A$5:$A$2000,0)),"")</f>
        <v>2.1459999999999999</v>
      </c>
      <c r="L277" s="194">
        <f t="shared" si="28"/>
        <v>1.5131999999999999</v>
      </c>
      <c r="M277" s="233">
        <f>AVERAGE(Ashed_controlls!$K$1:$K$11)</f>
        <v>5.5147656768714146</v>
      </c>
      <c r="N277" s="194">
        <f t="shared" si="27"/>
        <v>1.8961999999999999</v>
      </c>
      <c r="O277" s="16">
        <f>IF('Dry_Litterbag Placem_Collection'!G204="","",'Dry_Litterbag Placem_Collection'!G204)</f>
        <v>43004</v>
      </c>
      <c r="P277" s="194">
        <f>IFERROR(INDEX('Both teabags AfterDry'!$D$3:$D$2000,MATCH(H277,'Both teabags AfterDry'!$A$3:$A$2000,0)),"")</f>
        <v>0.80740000000000001</v>
      </c>
      <c r="Q277" s="194">
        <f>IFERROR(INDEX('Both teabags AfterDry'!$D$3:$D$2000,MATCH(I277,'Both teabags AfterDry'!$A$3:$A$2000,0)),"")</f>
        <v>1.6712</v>
      </c>
      <c r="R277" s="194">
        <f t="shared" si="29"/>
        <v>0.65680000000000005</v>
      </c>
      <c r="S277" s="194">
        <f t="shared" si="29"/>
        <v>1.5206</v>
      </c>
      <c r="T277" s="194">
        <f t="shared" si="30"/>
        <v>0.56595294739624635</v>
      </c>
      <c r="U277" s="194">
        <f t="shared" si="31"/>
        <v>0.37102853558518767</v>
      </c>
      <c r="V277" s="194">
        <f t="shared" si="32"/>
        <v>0.80191962873114653</v>
      </c>
      <c r="W277">
        <f t="shared" si="33"/>
        <v>62</v>
      </c>
      <c r="X277" s="194">
        <f t="shared" si="34"/>
        <v>0.32784685582393547</v>
      </c>
      <c r="Y277" s="194">
        <f t="shared" si="35"/>
        <v>1.2311081509718854E-2</v>
      </c>
      <c r="Z277" s="245" t="str">
        <f>IF(ISNUMBER(SEARCH("C", 'Dry_Litterbag Placem_Collection'!$T204)),"YES","NO")</f>
        <v>NO</v>
      </c>
      <c r="AA277" s="245" t="str">
        <f>IF(ISNUMBER(SEARCH("H", 'Dry_Litterbag Placem_Collection'!$T204)),"YES","NO")</f>
        <v>YES</v>
      </c>
      <c r="AB277" s="245" t="str">
        <f>IF(ISNUMBER(SEARCH("R", 'Dry_Litterbag Placem_Collection'!$T204)),"YES","NO")</f>
        <v>YES</v>
      </c>
      <c r="AC277" s="245" t="str">
        <f>IF(ISNUMBER(SEARCH("C", 'Dry_Litterbag Placem_Collection'!$S204)),"YES","NO")</f>
        <v>NO</v>
      </c>
      <c r="AD277" s="245" t="str">
        <f>IF(ISNUMBER(SEARCH("H", 'Dry_Litterbag Placem_Collection'!$S204)),"YES","NO")</f>
        <v>NO</v>
      </c>
      <c r="AE277" s="245" t="str">
        <f>IF(ISNUMBER(SEARCH("R", 'Dry_Litterbag Placem_Collection'!$S204)),"YES","NO")</f>
        <v>YES</v>
      </c>
    </row>
    <row r="278" spans="2:31">
      <c r="B278" t="str">
        <f>Dryseason!B204</f>
        <v>Dry</v>
      </c>
      <c r="C278" s="253">
        <f>Dryseason!C204</f>
        <v>203</v>
      </c>
      <c r="D278" t="s">
        <v>2428</v>
      </c>
      <c r="E278" t="s">
        <v>22</v>
      </c>
      <c r="F278" s="375">
        <v>3</v>
      </c>
      <c r="G278" s="16">
        <f>IF('Dry_Litterbag Placem_Collection'!E205="","",'Dry_Litterbag Placem_Collection'!E205)</f>
        <v>42942</v>
      </c>
      <c r="H278" t="str">
        <f>Dryseason!L204</f>
        <v>G179</v>
      </c>
      <c r="I278" t="str">
        <f>Dryseason!L424</f>
        <v>R685</v>
      </c>
      <c r="J278">
        <f>IFERROR(INDEX('Green_rooibos initial weight'!$C$5:$C$2000,MATCH(H278, 'Green_rooibos initial weight'!$A$5:$A$2000,0)),"")</f>
        <v>1.9750000000000001</v>
      </c>
      <c r="K278">
        <f>IFERROR(INDEX('Green_rooibos initial weight'!$C$5:$C$2000,MATCH(I278, 'Green_rooibos initial weight'!$A$5:$A$2000,0)),"")</f>
        <v>2.1629999999999998</v>
      </c>
      <c r="L278" s="194">
        <f t="shared" si="28"/>
        <v>1.7252000000000001</v>
      </c>
      <c r="M278" s="233">
        <f>AVERAGE(Ashed_controlls!$K$1:$K$11)</f>
        <v>5.5147656768714146</v>
      </c>
      <c r="N278" s="194">
        <f t="shared" si="27"/>
        <v>1.9131999999999998</v>
      </c>
      <c r="O278" s="16">
        <f>IF('Dry_Litterbag Placem_Collection'!G205="","",'Dry_Litterbag Placem_Collection'!G205)</f>
        <v>43004</v>
      </c>
      <c r="P278" s="194">
        <f>IFERROR(INDEX('Both teabags AfterDry'!$D$3:$D$2000,MATCH(H278,'Both teabags AfterDry'!$A$3:$A$2000,0)),"")</f>
        <v>0.59770000000000001</v>
      </c>
      <c r="Q278" s="194">
        <f>IFERROR(INDEX('Both teabags AfterDry'!$D$3:$D$2000,MATCH(I278,'Both teabags AfterDry'!$A$3:$A$2000,0)),"")</f>
        <v>1.7919</v>
      </c>
      <c r="R278" s="194">
        <f t="shared" si="29"/>
        <v>0.4471</v>
      </c>
      <c r="S278" s="194">
        <f t="shared" si="29"/>
        <v>1.6413</v>
      </c>
      <c r="T278" s="194">
        <f t="shared" si="30"/>
        <v>0.74084164154880594</v>
      </c>
      <c r="U278" s="194">
        <f t="shared" si="31"/>
        <v>0.48568240633603438</v>
      </c>
      <c r="V278" s="194">
        <f t="shared" si="32"/>
        <v>0.85788208237507846</v>
      </c>
      <c r="W278">
        <f t="shared" si="33"/>
        <v>62</v>
      </c>
      <c r="X278" s="194">
        <f t="shared" si="34"/>
        <v>0.12014056823182184</v>
      </c>
      <c r="Y278" s="194">
        <f t="shared" si="35"/>
        <v>5.583549859322235E-3</v>
      </c>
      <c r="Z278" s="245" t="str">
        <f>IF(ISNUMBER(SEARCH("C", 'Dry_Litterbag Placem_Collection'!$T205)),"YES","NO")</f>
        <v>NO</v>
      </c>
      <c r="AA278" s="245" t="str">
        <f>IF(ISNUMBER(SEARCH("H", 'Dry_Litterbag Placem_Collection'!$T205)),"YES","NO")</f>
        <v>NO</v>
      </c>
      <c r="AB278" s="245" t="str">
        <f>IF(ISNUMBER(SEARCH("R", 'Dry_Litterbag Placem_Collection'!$T205)),"YES","NO")</f>
        <v>YES</v>
      </c>
      <c r="AC278" s="245" t="str">
        <f>IF(ISNUMBER(SEARCH("C", 'Dry_Litterbag Placem_Collection'!$S205)),"YES","NO")</f>
        <v>NO</v>
      </c>
      <c r="AD278" s="245" t="str">
        <f>IF(ISNUMBER(SEARCH("H", 'Dry_Litterbag Placem_Collection'!$S205)),"YES","NO")</f>
        <v>YES</v>
      </c>
      <c r="AE278" s="245" t="str">
        <f>IF(ISNUMBER(SEARCH("R", 'Dry_Litterbag Placem_Collection'!$S205)),"YES","NO")</f>
        <v>YES</v>
      </c>
    </row>
    <row r="279" spans="2:31">
      <c r="B279" t="str">
        <f>Dryseason!B205</f>
        <v>Dry</v>
      </c>
      <c r="C279" s="253">
        <f>Dryseason!C205</f>
        <v>204</v>
      </c>
      <c r="D279" t="s">
        <v>2435</v>
      </c>
      <c r="E279" t="s">
        <v>22</v>
      </c>
      <c r="F279" s="375">
        <v>4</v>
      </c>
      <c r="G279" s="16">
        <f>IF('Dry_Litterbag Placem_Collection'!E206="","",'Dry_Litterbag Placem_Collection'!E206)</f>
        <v>42942</v>
      </c>
      <c r="H279" t="str">
        <f>Dryseason!L205</f>
        <v>G248</v>
      </c>
      <c r="I279" t="str">
        <f>Dryseason!L425</f>
        <v>R254</v>
      </c>
      <c r="J279">
        <f>IFERROR(INDEX('Green_rooibos initial weight'!$C$5:$C$2000,MATCH(H279, 'Green_rooibos initial weight'!$A$5:$A$2000,0)),"")</f>
        <v>1.9950000000000001</v>
      </c>
      <c r="K279">
        <f>IFERROR(INDEX('Green_rooibos initial weight'!$C$5:$C$2000,MATCH(I279, 'Green_rooibos initial weight'!$A$5:$A$2000,0)),"")</f>
        <v>2.266</v>
      </c>
      <c r="L279" s="194">
        <f t="shared" si="28"/>
        <v>1.7452000000000001</v>
      </c>
      <c r="M279" s="233">
        <f>AVERAGE(Ashed_controlls!$K$1:$K$11)</f>
        <v>5.5147656768714146</v>
      </c>
      <c r="N279" s="194">
        <f t="shared" si="27"/>
        <v>2.0162</v>
      </c>
      <c r="O279" s="16">
        <f>IF('Dry_Litterbag Placem_Collection'!G206="","",'Dry_Litterbag Placem_Collection'!G206)</f>
        <v>43004</v>
      </c>
      <c r="P279" s="194">
        <f>IFERROR(INDEX('Both teabags AfterDry'!$D$3:$D$2000,MATCH(H279,'Both teabags AfterDry'!$A$3:$A$2000,0)),"")</f>
        <v>1.7124999999999999</v>
      </c>
      <c r="Q279" s="194">
        <f>IFERROR(INDEX('Both teabags AfterDry'!$D$3:$D$2000,MATCH(I279,'Both teabags AfterDry'!$A$3:$A$2000,0)),"")</f>
        <v>1.8010999999999999</v>
      </c>
      <c r="R279" s="194">
        <f t="shared" si="29"/>
        <v>1.5618999999999998</v>
      </c>
      <c r="S279" s="194">
        <f t="shared" si="29"/>
        <v>1.6504999999999999</v>
      </c>
      <c r="T279" s="194">
        <f t="shared" si="30"/>
        <v>0.10503094201237695</v>
      </c>
      <c r="U279" s="194">
        <f t="shared" si="31"/>
        <v>6.8856389537805346E-2</v>
      </c>
      <c r="V279" s="194">
        <f t="shared" si="32"/>
        <v>0.81861918460470184</v>
      </c>
      <c r="W279">
        <f t="shared" si="33"/>
        <v>62</v>
      </c>
      <c r="X279" s="194">
        <f t="shared" si="34"/>
        <v>0.87526016388078742</v>
      </c>
      <c r="Y279" s="194" t="str">
        <f t="shared" si="35"/>
        <v/>
      </c>
      <c r="Z279" s="245" t="str">
        <f>IF(ISNUMBER(SEARCH("C", 'Dry_Litterbag Placem_Collection'!$T206)),"YES","NO")</f>
        <v>NO</v>
      </c>
      <c r="AA279" s="245" t="str">
        <f>IF(ISNUMBER(SEARCH("H", 'Dry_Litterbag Placem_Collection'!$T206)),"YES","NO")</f>
        <v>YES</v>
      </c>
      <c r="AB279" s="245" t="str">
        <f>IF(ISNUMBER(SEARCH("R", 'Dry_Litterbag Placem_Collection'!$T206)),"YES","NO")</f>
        <v>YES</v>
      </c>
      <c r="AC279" s="245" t="str">
        <f>IF(ISNUMBER(SEARCH("C", 'Dry_Litterbag Placem_Collection'!$S206)),"YES","NO")</f>
        <v>NO</v>
      </c>
      <c r="AD279" s="245" t="str">
        <f>IF(ISNUMBER(SEARCH("H", 'Dry_Litterbag Placem_Collection'!$S206)),"YES","NO")</f>
        <v>YES</v>
      </c>
      <c r="AE279" s="245" t="str">
        <f>IF(ISNUMBER(SEARCH("R", 'Dry_Litterbag Placem_Collection'!$S206)),"YES","NO")</f>
        <v>YES</v>
      </c>
    </row>
    <row r="280" spans="2:31">
      <c r="B280" t="str">
        <f>Dryseason!B206</f>
        <v>Dry</v>
      </c>
      <c r="C280" s="253">
        <f>Dryseason!C206</f>
        <v>205</v>
      </c>
      <c r="D280" t="s">
        <v>2429</v>
      </c>
      <c r="E280" t="s">
        <v>22</v>
      </c>
      <c r="F280" s="375">
        <v>1</v>
      </c>
      <c r="G280" s="16">
        <f>IF('Dry_Litterbag Placem_Collection'!E207="","",'Dry_Litterbag Placem_Collection'!E207)</f>
        <v>42942</v>
      </c>
      <c r="H280" t="str">
        <f>Dryseason!L206</f>
        <v>G55</v>
      </c>
      <c r="I280" t="str">
        <f>Dryseason!L426</f>
        <v>R348</v>
      </c>
      <c r="J280">
        <f>IFERROR(INDEX('Green_rooibos initial weight'!$C$5:$C$2000,MATCH(H280, 'Green_rooibos initial weight'!$A$5:$A$2000,0)),"")</f>
        <v>2.024</v>
      </c>
      <c r="K280">
        <f>IFERROR(INDEX('Green_rooibos initial weight'!$C$5:$C$2000,MATCH(I280, 'Green_rooibos initial weight'!$A$5:$A$2000,0)),"")</f>
        <v>2.31</v>
      </c>
      <c r="L280" s="194">
        <f t="shared" si="28"/>
        <v>1.7742</v>
      </c>
      <c r="M280" s="233">
        <f>AVERAGE(Ashed_controlls!$K$1:$K$11)</f>
        <v>5.5147656768714146</v>
      </c>
      <c r="N280" s="194">
        <f t="shared" si="27"/>
        <v>2.0602</v>
      </c>
      <c r="O280" s="16">
        <f>IF('Dry_Litterbag Placem_Collection'!G207="","",'Dry_Litterbag Placem_Collection'!G207)</f>
        <v>43004</v>
      </c>
      <c r="P280" s="194">
        <f>IFERROR(INDEX('Both teabags AfterDry'!$D$3:$D$2000,MATCH(H280,'Both teabags AfterDry'!$A$3:$A$2000,0)),"")</f>
        <v>0.86550000000000005</v>
      </c>
      <c r="Q280" s="194">
        <f>IFERROR(INDEX('Both teabags AfterDry'!$D$3:$D$2000,MATCH(I280,'Both teabags AfterDry'!$A$3:$A$2000,0)),"")</f>
        <v>1.7168000000000001</v>
      </c>
      <c r="R280" s="194">
        <f t="shared" si="29"/>
        <v>0.71490000000000009</v>
      </c>
      <c r="S280" s="194">
        <f t="shared" si="29"/>
        <v>1.5662</v>
      </c>
      <c r="T280" s="194">
        <f t="shared" si="30"/>
        <v>0.5970578288806222</v>
      </c>
      <c r="U280" s="194">
        <f t="shared" si="31"/>
        <v>0.39142033437304452</v>
      </c>
      <c r="V280" s="194">
        <f t="shared" si="32"/>
        <v>0.76021745461605672</v>
      </c>
      <c r="W280">
        <f t="shared" si="33"/>
        <v>62</v>
      </c>
      <c r="X280" s="194">
        <f t="shared" si="34"/>
        <v>0.29090519135318027</v>
      </c>
      <c r="Y280" s="194">
        <f t="shared" si="35"/>
        <v>1.5294956397556526E-2</v>
      </c>
      <c r="Z280" s="245" t="str">
        <f>IF(ISNUMBER(SEARCH("C", 'Dry_Litterbag Placem_Collection'!$T207)),"YES","NO")</f>
        <v>NO</v>
      </c>
      <c r="AA280" s="245" t="str">
        <f>IF(ISNUMBER(SEARCH("H", 'Dry_Litterbag Placem_Collection'!$T207)),"YES","NO")</f>
        <v>YES</v>
      </c>
      <c r="AB280" s="245" t="str">
        <f>IF(ISNUMBER(SEARCH("R", 'Dry_Litterbag Placem_Collection'!$T207)),"YES","NO")</f>
        <v>YES</v>
      </c>
      <c r="AC280" s="245" t="str">
        <f>IF(ISNUMBER(SEARCH("C", 'Dry_Litterbag Placem_Collection'!$S207)),"YES","NO")</f>
        <v>NO</v>
      </c>
      <c r="AD280" s="245" t="str">
        <f>IF(ISNUMBER(SEARCH("H", 'Dry_Litterbag Placem_Collection'!$S207)),"YES","NO")</f>
        <v>YES</v>
      </c>
      <c r="AE280" s="245" t="str">
        <f>IF(ISNUMBER(SEARCH("R", 'Dry_Litterbag Placem_Collection'!$S207)),"YES","NO")</f>
        <v>YES</v>
      </c>
    </row>
    <row r="281" spans="2:31">
      <c r="B281" t="str">
        <f>Dryseason!B207</f>
        <v>Dry</v>
      </c>
      <c r="C281" s="253">
        <f>Dryseason!C207</f>
        <v>206</v>
      </c>
      <c r="D281" t="s">
        <v>2420</v>
      </c>
      <c r="E281" t="s">
        <v>22</v>
      </c>
      <c r="F281" s="375">
        <v>2</v>
      </c>
      <c r="G281" s="16">
        <f>IF('Dry_Litterbag Placem_Collection'!E208="","",'Dry_Litterbag Placem_Collection'!E208)</f>
        <v>42942</v>
      </c>
      <c r="H281" t="str">
        <f>Dryseason!L207</f>
        <v>G124</v>
      </c>
      <c r="I281" t="str">
        <f>Dryseason!L427</f>
        <v>R686</v>
      </c>
      <c r="J281">
        <f>IFERROR(INDEX('Green_rooibos initial weight'!$C$5:$C$2000,MATCH(H281, 'Green_rooibos initial weight'!$A$5:$A$2000,0)),"")</f>
        <v>1.9390000000000001</v>
      </c>
      <c r="K281">
        <f>IFERROR(INDEX('Green_rooibos initial weight'!$C$5:$C$2000,MATCH(I281, 'Green_rooibos initial weight'!$A$5:$A$2000,0)),"")</f>
        <v>2.1890000000000001</v>
      </c>
      <c r="L281" s="194">
        <f t="shared" si="28"/>
        <v>1.6892</v>
      </c>
      <c r="M281" s="233">
        <f>AVERAGE(Ashed_controlls!$K$1:$K$11)</f>
        <v>5.5147656768714146</v>
      </c>
      <c r="N281" s="194">
        <f t="shared" si="27"/>
        <v>1.9392</v>
      </c>
      <c r="O281" s="16">
        <f>IF('Dry_Litterbag Placem_Collection'!G208="","",'Dry_Litterbag Placem_Collection'!G208)</f>
        <v>43004</v>
      </c>
      <c r="P281" s="194">
        <f>IFERROR(INDEX('Both teabags AfterDry'!$D$3:$D$2000,MATCH(H281,'Both teabags AfterDry'!$A$3:$A$2000,0)),"")</f>
        <v>0.66969999999999996</v>
      </c>
      <c r="Q281" s="194">
        <f>IFERROR(INDEX('Both teabags AfterDry'!$D$3:$D$2000,MATCH(I281,'Both teabags AfterDry'!$A$3:$A$2000,0)),"")</f>
        <v>3.4599000000000002</v>
      </c>
      <c r="R281" s="194">
        <f t="shared" si="29"/>
        <v>0.51909999999999989</v>
      </c>
      <c r="S281" s="194">
        <f t="shared" si="29"/>
        <v>3.3093000000000004</v>
      </c>
      <c r="T281" s="194">
        <f t="shared" si="30"/>
        <v>0.69269476675349284</v>
      </c>
      <c r="U281" s="194">
        <f t="shared" si="31"/>
        <v>0.4541181843799621</v>
      </c>
      <c r="V281" s="194">
        <f t="shared" si="32"/>
        <v>1.7065284653465349</v>
      </c>
      <c r="W281">
        <f t="shared" si="33"/>
        <v>62</v>
      </c>
      <c r="X281" s="194">
        <f t="shared" si="34"/>
        <v>0.17732212974644557</v>
      </c>
      <c r="Y281" s="194">
        <f t="shared" si="35"/>
        <v>-1.5135082310611454E-2</v>
      </c>
      <c r="Z281" s="245" t="str">
        <f>IF(ISNUMBER(SEARCH("C", 'Dry_Litterbag Placem_Collection'!$T208)),"YES","NO")</f>
        <v>NO</v>
      </c>
      <c r="AA281" s="245" t="str">
        <f>IF(ISNUMBER(SEARCH("H", 'Dry_Litterbag Placem_Collection'!$T208)),"YES","NO")</f>
        <v>YES</v>
      </c>
      <c r="AB281" s="245" t="str">
        <f>IF(ISNUMBER(SEARCH("R", 'Dry_Litterbag Placem_Collection'!$T208)),"YES","NO")</f>
        <v>YES</v>
      </c>
      <c r="AC281" s="245" t="str">
        <f>IF(ISNUMBER(SEARCH("C", 'Dry_Litterbag Placem_Collection'!$S208)),"YES","NO")</f>
        <v>NO</v>
      </c>
      <c r="AD281" s="245" t="str">
        <f>IF(ISNUMBER(SEARCH("H", 'Dry_Litterbag Placem_Collection'!$S208)),"YES","NO")</f>
        <v>NO</v>
      </c>
      <c r="AE281" s="245" t="str">
        <f>IF(ISNUMBER(SEARCH("R", 'Dry_Litterbag Placem_Collection'!$S208)),"YES","NO")</f>
        <v>YES</v>
      </c>
    </row>
    <row r="282" spans="2:31">
      <c r="B282" t="str">
        <f>Dryseason!B208</f>
        <v>Dry</v>
      </c>
      <c r="C282" s="253">
        <f>Dryseason!C208</f>
        <v>207</v>
      </c>
      <c r="D282" t="s">
        <v>2443</v>
      </c>
      <c r="E282" t="s">
        <v>22</v>
      </c>
      <c r="F282" s="375">
        <v>3</v>
      </c>
      <c r="G282" s="16">
        <f>IF('Dry_Litterbag Placem_Collection'!E209="","",'Dry_Litterbag Placem_Collection'!E209)</f>
        <v>42942</v>
      </c>
      <c r="H282" t="str">
        <f>Dryseason!L208</f>
        <v>G234</v>
      </c>
      <c r="I282" t="str">
        <f>Dryseason!L428</f>
        <v>R551</v>
      </c>
      <c r="J282">
        <f>IFERROR(INDEX('Green_rooibos initial weight'!$C$5:$C$2000,MATCH(H282, 'Green_rooibos initial weight'!$A$5:$A$2000,0)),"")</f>
        <v>2.13</v>
      </c>
      <c r="K282">
        <f>IFERROR(INDEX('Green_rooibos initial weight'!$C$5:$C$2000,MATCH(I282, 'Green_rooibos initial weight'!$A$5:$A$2000,0)),"")</f>
        <v>2.1739999999999999</v>
      </c>
      <c r="L282" s="194">
        <f t="shared" si="28"/>
        <v>1.8801999999999999</v>
      </c>
      <c r="M282" s="233">
        <f>AVERAGE(Ashed_controlls!$K$1:$K$11)</f>
        <v>5.5147656768714146</v>
      </c>
      <c r="N282" s="194">
        <f t="shared" si="27"/>
        <v>1.9241999999999999</v>
      </c>
      <c r="O282" s="16">
        <f>IF('Dry_Litterbag Placem_Collection'!G209="","",'Dry_Litterbag Placem_Collection'!G209)</f>
        <v>43004</v>
      </c>
      <c r="P282" s="194">
        <f>IFERROR(INDEX('Both teabags AfterDry'!$D$3:$D$2000,MATCH(H282,'Both teabags AfterDry'!$A$3:$A$2000,0)),"")</f>
        <v>0.745</v>
      </c>
      <c r="Q282" s="194">
        <f>IFERROR(INDEX('Both teabags AfterDry'!$D$3:$D$2000,MATCH(I282,'Both teabags AfterDry'!$A$3:$A$2000,0)),"")</f>
        <v>8.3109999999999999</v>
      </c>
      <c r="R282" s="194">
        <f t="shared" si="29"/>
        <v>0.59440000000000004</v>
      </c>
      <c r="S282" s="194">
        <f t="shared" si="29"/>
        <v>8.1603999999999992</v>
      </c>
      <c r="T282" s="194">
        <f t="shared" si="30"/>
        <v>0.68386341878523549</v>
      </c>
      <c r="U282" s="194">
        <f t="shared" si="31"/>
        <v>0.44832851207773167</v>
      </c>
      <c r="V282" s="194">
        <f t="shared" si="32"/>
        <v>4.2409312961230636</v>
      </c>
      <c r="W282">
        <f t="shared" si="33"/>
        <v>62</v>
      </c>
      <c r="X282" s="194">
        <f t="shared" si="34"/>
        <v>0.18781066652584855</v>
      </c>
      <c r="Y282" s="194">
        <f t="shared" si="35"/>
        <v>-3.3994433441118438E-2</v>
      </c>
      <c r="Z282" s="245" t="str">
        <f>IF(ISNUMBER(SEARCH("C", 'Dry_Litterbag Placem_Collection'!$T209)),"YES","NO")</f>
        <v>NO</v>
      </c>
      <c r="AA282" s="245" t="str">
        <f>IF(ISNUMBER(SEARCH("H", 'Dry_Litterbag Placem_Collection'!$T209)),"YES","NO")</f>
        <v>NO</v>
      </c>
      <c r="AB282" s="245" t="str">
        <f>IF(ISNUMBER(SEARCH("R", 'Dry_Litterbag Placem_Collection'!$T209)),"YES","NO")</f>
        <v>YES</v>
      </c>
      <c r="AC282" s="245" t="str">
        <f>IF(ISNUMBER(SEARCH("C", 'Dry_Litterbag Placem_Collection'!$S209)),"YES","NO")</f>
        <v>NO</v>
      </c>
      <c r="AD282" s="245" t="str">
        <f>IF(ISNUMBER(SEARCH("H", 'Dry_Litterbag Placem_Collection'!$S209)),"YES","NO")</f>
        <v>NO</v>
      </c>
      <c r="AE282" s="245" t="str">
        <f>IF(ISNUMBER(SEARCH("R", 'Dry_Litterbag Placem_Collection'!$S209)),"YES","NO")</f>
        <v>YES</v>
      </c>
    </row>
    <row r="283" spans="2:31">
      <c r="B283" t="str">
        <f>Dryseason!B209</f>
        <v>Dry</v>
      </c>
      <c r="C283" s="253">
        <f>Dryseason!C209</f>
        <v>208</v>
      </c>
      <c r="D283" t="s">
        <v>2436</v>
      </c>
      <c r="E283" t="s">
        <v>22</v>
      </c>
      <c r="F283" s="375">
        <v>4</v>
      </c>
      <c r="G283" s="16">
        <f>IF('Dry_Litterbag Placem_Collection'!E210="","",'Dry_Litterbag Placem_Collection'!E210)</f>
        <v>42942</v>
      </c>
      <c r="H283" t="str">
        <f>Dryseason!L209</f>
        <v>G412</v>
      </c>
      <c r="I283" t="str">
        <f>Dryseason!L429</f>
        <v>R516</v>
      </c>
      <c r="J283">
        <f>IFERROR(INDEX('Green_rooibos initial weight'!$C$5:$C$2000,MATCH(H283, 'Green_rooibos initial weight'!$A$5:$A$2000,0)),"")</f>
        <v>2.0049999999999999</v>
      </c>
      <c r="K283">
        <f>IFERROR(INDEX('Green_rooibos initial weight'!$C$5:$C$2000,MATCH(I283, 'Green_rooibos initial weight'!$A$5:$A$2000,0)),"")</f>
        <v>2.141</v>
      </c>
      <c r="L283" s="194">
        <f t="shared" si="28"/>
        <v>1.7551999999999999</v>
      </c>
      <c r="M283" s="233">
        <f>AVERAGE(Ashed_controlls!$K$1:$K$11)</f>
        <v>5.5147656768714146</v>
      </c>
      <c r="N283" s="194">
        <f t="shared" si="27"/>
        <v>1.8912</v>
      </c>
      <c r="O283" s="16">
        <f>IF('Dry_Litterbag Placem_Collection'!G210="","",'Dry_Litterbag Placem_Collection'!G210)</f>
        <v>43004</v>
      </c>
      <c r="P283" s="194">
        <f>IFERROR(INDEX('Both teabags AfterDry'!$D$3:$D$2000,MATCH(H283,'Both teabags AfterDry'!$A$3:$A$2000,0)),"")</f>
        <v>0.72499999999999998</v>
      </c>
      <c r="Q283" s="194">
        <f>IFERROR(INDEX('Both teabags AfterDry'!$D$3:$D$2000,MATCH(I283,'Both teabags AfterDry'!$A$3:$A$2000,0)),"")</f>
        <v>1.7749999999999999</v>
      </c>
      <c r="R283" s="194">
        <f t="shared" si="29"/>
        <v>0.57440000000000002</v>
      </c>
      <c r="S283" s="194">
        <f t="shared" si="29"/>
        <v>1.6243999999999998</v>
      </c>
      <c r="T283" s="194">
        <f t="shared" si="30"/>
        <v>0.67274384685505928</v>
      </c>
      <c r="U283" s="194">
        <f t="shared" si="31"/>
        <v>0.44103872145367312</v>
      </c>
      <c r="V283" s="194">
        <f t="shared" si="32"/>
        <v>0.8589255499153976</v>
      </c>
      <c r="W283">
        <f t="shared" si="33"/>
        <v>62</v>
      </c>
      <c r="X283" s="194">
        <f t="shared" si="34"/>
        <v>0.20101680896073715</v>
      </c>
      <c r="Y283" s="194">
        <f t="shared" si="35"/>
        <v>6.2172468260452063E-3</v>
      </c>
      <c r="Z283" s="245" t="str">
        <f>IF(ISNUMBER(SEARCH("C", 'Dry_Litterbag Placem_Collection'!$T210)),"YES","NO")</f>
        <v>YES</v>
      </c>
      <c r="AA283" s="245" t="str">
        <f>IF(ISNUMBER(SEARCH("H", 'Dry_Litterbag Placem_Collection'!$T210)),"YES","NO")</f>
        <v>NO</v>
      </c>
      <c r="AB283" s="245" t="str">
        <f>IF(ISNUMBER(SEARCH("R", 'Dry_Litterbag Placem_Collection'!$T210)),"YES","NO")</f>
        <v>NO</v>
      </c>
      <c r="AC283" s="245" t="str">
        <f>IF(ISNUMBER(SEARCH("C", 'Dry_Litterbag Placem_Collection'!$S210)),"YES","NO")</f>
        <v>NO</v>
      </c>
      <c r="AD283" s="245" t="str">
        <f>IF(ISNUMBER(SEARCH("H", 'Dry_Litterbag Placem_Collection'!$S210)),"YES","NO")</f>
        <v>YES</v>
      </c>
      <c r="AE283" s="245" t="str">
        <f>IF(ISNUMBER(SEARCH("R", 'Dry_Litterbag Placem_Collection'!$S210)),"YES","NO")</f>
        <v>YES</v>
      </c>
    </row>
    <row r="284" spans="2:31">
      <c r="B284" t="str">
        <f>Dryseason!B210</f>
        <v>Dry</v>
      </c>
      <c r="C284" s="253">
        <f>Dryseason!C210</f>
        <v>209</v>
      </c>
      <c r="D284" t="s">
        <v>2430</v>
      </c>
      <c r="E284" t="s">
        <v>22</v>
      </c>
      <c r="F284" s="375">
        <v>1</v>
      </c>
      <c r="G284" s="16">
        <f>IF('Dry_Litterbag Placem_Collection'!E211="","",'Dry_Litterbag Placem_Collection'!E211)</f>
        <v>42942</v>
      </c>
      <c r="H284" t="str">
        <f>Dryseason!L210</f>
        <v>G94</v>
      </c>
      <c r="I284" t="str">
        <f>Dryseason!L430</f>
        <v>R678</v>
      </c>
      <c r="J284">
        <f>IFERROR(INDEX('Green_rooibos initial weight'!$C$5:$C$2000,MATCH(H284, 'Green_rooibos initial weight'!$A$5:$A$2000,0)),"")</f>
        <v>2.0630000000000002</v>
      </c>
      <c r="K284">
        <f>IFERROR(INDEX('Green_rooibos initial weight'!$C$5:$C$2000,MATCH(I284, 'Green_rooibos initial weight'!$A$5:$A$2000,0)),"")</f>
        <v>2.1320000000000001</v>
      </c>
      <c r="L284" s="194">
        <f t="shared" si="28"/>
        <v>1.8132000000000001</v>
      </c>
      <c r="M284" s="233">
        <f>AVERAGE(Ashed_controlls!$K$1:$K$11)</f>
        <v>5.5147656768714146</v>
      </c>
      <c r="N284" s="194">
        <f t="shared" si="27"/>
        <v>1.8822000000000001</v>
      </c>
      <c r="O284" s="16">
        <f>IF('Dry_Litterbag Placem_Collection'!G211="","",'Dry_Litterbag Placem_Collection'!G211)</f>
        <v>43004</v>
      </c>
      <c r="P284" s="194">
        <f>IFERROR(INDEX('Both teabags AfterDry'!$D$3:$D$2000,MATCH(H284,'Both teabags AfterDry'!$A$3:$A$2000,0)),"")</f>
        <v>0.76</v>
      </c>
      <c r="Q284" s="194">
        <f>IFERROR(INDEX('Both teabags AfterDry'!$D$3:$D$2000,MATCH(I284,'Both teabags AfterDry'!$A$3:$A$2000,0)),"")</f>
        <v>1.6856</v>
      </c>
      <c r="R284" s="194">
        <f t="shared" si="29"/>
        <v>0.60939999999999994</v>
      </c>
      <c r="S284" s="194">
        <f t="shared" si="29"/>
        <v>1.5349999999999999</v>
      </c>
      <c r="T284" s="194">
        <f t="shared" si="30"/>
        <v>0.66390911096404159</v>
      </c>
      <c r="U284" s="194">
        <f t="shared" si="31"/>
        <v>0.43524682809044063</v>
      </c>
      <c r="V284" s="194">
        <f t="shared" si="32"/>
        <v>0.81553501221974278</v>
      </c>
      <c r="W284">
        <f t="shared" si="33"/>
        <v>62</v>
      </c>
      <c r="X284" s="194">
        <f t="shared" si="34"/>
        <v>0.21150936940137577</v>
      </c>
      <c r="Y284" s="194">
        <f t="shared" si="35"/>
        <v>8.8924176126341722E-3</v>
      </c>
      <c r="Z284" s="245" t="str">
        <f>IF(ISNUMBER(SEARCH("C", 'Dry_Litterbag Placem_Collection'!$T211)),"YES","NO")</f>
        <v>NO</v>
      </c>
      <c r="AA284" s="245" t="str">
        <f>IF(ISNUMBER(SEARCH("H", 'Dry_Litterbag Placem_Collection'!$T211)),"YES","NO")</f>
        <v>NO</v>
      </c>
      <c r="AB284" s="245" t="str">
        <f>IF(ISNUMBER(SEARCH("R", 'Dry_Litterbag Placem_Collection'!$T211)),"YES","NO")</f>
        <v>NO</v>
      </c>
      <c r="AC284" s="245" t="str">
        <f>IF(ISNUMBER(SEARCH("C", 'Dry_Litterbag Placem_Collection'!$S211)),"YES","NO")</f>
        <v>NO</v>
      </c>
      <c r="AD284" s="245" t="str">
        <f>IF(ISNUMBER(SEARCH("H", 'Dry_Litterbag Placem_Collection'!$S211)),"YES","NO")</f>
        <v>NO</v>
      </c>
      <c r="AE284" s="245" t="str">
        <f>IF(ISNUMBER(SEARCH("R", 'Dry_Litterbag Placem_Collection'!$S211)),"YES","NO")</f>
        <v>YES</v>
      </c>
    </row>
    <row r="285" spans="2:31">
      <c r="B285" t="str">
        <f>Dryseason!B211</f>
        <v>Dry</v>
      </c>
      <c r="C285" s="253">
        <f>Dryseason!C211</f>
        <v>210</v>
      </c>
      <c r="D285" t="s">
        <v>2444</v>
      </c>
      <c r="E285" t="s">
        <v>22</v>
      </c>
      <c r="F285" s="375">
        <v>2</v>
      </c>
      <c r="G285" s="16">
        <f>IF('Dry_Litterbag Placem_Collection'!E212="","",'Dry_Litterbag Placem_Collection'!E212)</f>
        <v>42942</v>
      </c>
      <c r="H285" t="str">
        <f>Dryseason!L211</f>
        <v>G93</v>
      </c>
      <c r="I285" t="str">
        <f>Dryseason!L431</f>
        <v>R335</v>
      </c>
      <c r="J285">
        <f>IFERROR(INDEX('Green_rooibos initial weight'!$C$5:$C$2000,MATCH(H285, 'Green_rooibos initial weight'!$A$5:$A$2000,0)),"")</f>
        <v>2.1230000000000002</v>
      </c>
      <c r="K285">
        <f>IFERROR(INDEX('Green_rooibos initial weight'!$C$5:$C$2000,MATCH(I285, 'Green_rooibos initial weight'!$A$5:$A$2000,0)),"")</f>
        <v>2.1629999999999998</v>
      </c>
      <c r="L285" s="194">
        <f t="shared" si="28"/>
        <v>1.8732000000000002</v>
      </c>
      <c r="M285" s="233">
        <f>AVERAGE(Ashed_controlls!$K$1:$K$11)</f>
        <v>5.5147656768714146</v>
      </c>
      <c r="N285" s="194">
        <f t="shared" si="27"/>
        <v>1.9131999999999998</v>
      </c>
      <c r="O285" s="16">
        <f>IF('Dry_Litterbag Placem_Collection'!G212="","",'Dry_Litterbag Placem_Collection'!G212)</f>
        <v>43004</v>
      </c>
      <c r="P285" s="194">
        <f>IFERROR(INDEX('Both teabags AfterDry'!$D$3:$D$2000,MATCH(H285,'Both teabags AfterDry'!$A$3:$A$2000,0)),"")</f>
        <v>0.80600000000000005</v>
      </c>
      <c r="Q285" s="194">
        <f>IFERROR(INDEX('Both teabags AfterDry'!$D$3:$D$2000,MATCH(I285,'Both teabags AfterDry'!$A$3:$A$2000,0)),"")</f>
        <v>1.716</v>
      </c>
      <c r="R285" s="194">
        <f t="shared" si="29"/>
        <v>0.65539999999999998</v>
      </c>
      <c r="S285" s="194">
        <f t="shared" si="29"/>
        <v>1.5653999999999999</v>
      </c>
      <c r="T285" s="194">
        <f t="shared" si="30"/>
        <v>0.65011744608157174</v>
      </c>
      <c r="U285" s="194">
        <f t="shared" si="31"/>
        <v>0.42620526156416583</v>
      </c>
      <c r="V285" s="194">
        <f t="shared" si="32"/>
        <v>0.81821032824587081</v>
      </c>
      <c r="W285">
        <f t="shared" si="33"/>
        <v>62</v>
      </c>
      <c r="X285" s="194">
        <f t="shared" si="34"/>
        <v>0.22788901890549673</v>
      </c>
      <c r="Y285" s="194">
        <f t="shared" si="35"/>
        <v>8.9685653471852731E-3</v>
      </c>
      <c r="Z285" s="245" t="str">
        <f>IF(ISNUMBER(SEARCH("C", 'Dry_Litterbag Placem_Collection'!$T212)),"YES","NO")</f>
        <v>YES</v>
      </c>
      <c r="AA285" s="245" t="str">
        <f>IF(ISNUMBER(SEARCH("H", 'Dry_Litterbag Placem_Collection'!$T212)),"YES","NO")</f>
        <v>YES</v>
      </c>
      <c r="AB285" s="245" t="str">
        <f>IF(ISNUMBER(SEARCH("R", 'Dry_Litterbag Placem_Collection'!$T212)),"YES","NO")</f>
        <v>NO</v>
      </c>
      <c r="AC285" s="245" t="str">
        <f>IF(ISNUMBER(SEARCH("C", 'Dry_Litterbag Placem_Collection'!$S212)),"YES","NO")</f>
        <v>YES</v>
      </c>
      <c r="AD285" s="245" t="str">
        <f>IF(ISNUMBER(SEARCH("H", 'Dry_Litterbag Placem_Collection'!$S212)),"YES","NO")</f>
        <v>NO</v>
      </c>
      <c r="AE285" s="245" t="str">
        <f>IF(ISNUMBER(SEARCH("R", 'Dry_Litterbag Placem_Collection'!$S212)),"YES","NO")</f>
        <v>YES</v>
      </c>
    </row>
    <row r="286" spans="2:31">
      <c r="B286" t="str">
        <f>Dryseason!B212</f>
        <v>Dry</v>
      </c>
      <c r="C286" s="253">
        <f>Dryseason!C212</f>
        <v>211</v>
      </c>
      <c r="D286" t="s">
        <v>2421</v>
      </c>
      <c r="E286" t="s">
        <v>22</v>
      </c>
      <c r="F286" s="375">
        <v>3</v>
      </c>
      <c r="G286" s="16">
        <f>IF('Dry_Litterbag Placem_Collection'!E213="","",'Dry_Litterbag Placem_Collection'!E213)</f>
        <v>42942</v>
      </c>
      <c r="H286" t="str">
        <f>Dryseason!L212</f>
        <v>G26</v>
      </c>
      <c r="I286" t="str">
        <f>Dryseason!L432</f>
        <v>R249</v>
      </c>
      <c r="J286">
        <f>IFERROR(INDEX('Green_rooibos initial weight'!$C$5:$C$2000,MATCH(H286, 'Green_rooibos initial weight'!$A$5:$A$2000,0)),"")</f>
        <v>2.1059999999999999</v>
      </c>
      <c r="K286">
        <f>IFERROR(INDEX('Green_rooibos initial weight'!$C$5:$C$2000,MATCH(I286, 'Green_rooibos initial weight'!$A$5:$A$2000,0)),"")</f>
        <v>2.294</v>
      </c>
      <c r="L286" s="194">
        <f t="shared" si="28"/>
        <v>1.8561999999999999</v>
      </c>
      <c r="M286" s="233">
        <f>AVERAGE(Ashed_controlls!$K$1:$K$11)</f>
        <v>5.5147656768714146</v>
      </c>
      <c r="N286" s="194">
        <f t="shared" si="27"/>
        <v>2.0442</v>
      </c>
      <c r="O286" s="16">
        <f>IF('Dry_Litterbag Placem_Collection'!G213="","",'Dry_Litterbag Placem_Collection'!G213)</f>
        <v>43004</v>
      </c>
      <c r="P286" s="194">
        <f>IFERROR(INDEX('Both teabags AfterDry'!$D$3:$D$2000,MATCH(H286,'Both teabags AfterDry'!$A$3:$A$2000,0)),"")</f>
        <v>0.38400000000000001</v>
      </c>
      <c r="Q286" s="194">
        <f>IFERROR(INDEX('Both teabags AfterDry'!$D$3:$D$2000,MATCH(I286,'Both teabags AfterDry'!$A$3:$A$2000,0)),"")</f>
        <v>1.1160000000000001</v>
      </c>
      <c r="R286" s="194">
        <f t="shared" si="29"/>
        <v>0.2334</v>
      </c>
      <c r="S286" s="194">
        <f t="shared" si="29"/>
        <v>0.96540000000000004</v>
      </c>
      <c r="T286" s="194">
        <f t="shared" si="30"/>
        <v>0.87425923930610927</v>
      </c>
      <c r="U286" s="194">
        <f t="shared" si="31"/>
        <v>0.57314857493702176</v>
      </c>
      <c r="V286" s="194">
        <f t="shared" si="32"/>
        <v>0.47226298796595245</v>
      </c>
      <c r="W286">
        <f t="shared" si="33"/>
        <v>62</v>
      </c>
      <c r="X286" s="194">
        <f t="shared" si="34"/>
        <v>-3.8312635755474167E-2</v>
      </c>
      <c r="Y286" s="194">
        <f t="shared" si="35"/>
        <v>4.0893197001220037E-2</v>
      </c>
      <c r="Z286" s="245" t="str">
        <f>IF(ISNUMBER(SEARCH("C", 'Dry_Litterbag Placem_Collection'!$T213)),"YES","NO")</f>
        <v>YES</v>
      </c>
      <c r="AA286" s="245" t="str">
        <f>IF(ISNUMBER(SEARCH("H", 'Dry_Litterbag Placem_Collection'!$T213)),"YES","NO")</f>
        <v>YES</v>
      </c>
      <c r="AB286" s="245" t="str">
        <f>IF(ISNUMBER(SEARCH("R", 'Dry_Litterbag Placem_Collection'!$T213)),"YES","NO")</f>
        <v>YES</v>
      </c>
      <c r="AC286" s="245" t="str">
        <f>IF(ISNUMBER(SEARCH("C", 'Dry_Litterbag Placem_Collection'!$S213)),"YES","NO")</f>
        <v>NO</v>
      </c>
      <c r="AD286" s="245" t="str">
        <f>IF(ISNUMBER(SEARCH("H", 'Dry_Litterbag Placem_Collection'!$S213)),"YES","NO")</f>
        <v>YES</v>
      </c>
      <c r="AE286" s="245" t="str">
        <f>IF(ISNUMBER(SEARCH("R", 'Dry_Litterbag Placem_Collection'!$S213)),"YES","NO")</f>
        <v>NO</v>
      </c>
    </row>
    <row r="287" spans="2:31">
      <c r="B287" t="str">
        <f>Dryseason!B213</f>
        <v>Dry</v>
      </c>
      <c r="C287" s="253">
        <f>Dryseason!C213</f>
        <v>215</v>
      </c>
      <c r="D287" t="s">
        <v>2422</v>
      </c>
      <c r="E287" t="s">
        <v>22</v>
      </c>
      <c r="F287" s="375">
        <v>3</v>
      </c>
      <c r="G287" s="16">
        <f>IF('Dry_Litterbag Placem_Collection'!E214="","",'Dry_Litterbag Placem_Collection'!E214)</f>
        <v>42942</v>
      </c>
      <c r="H287" t="str">
        <f>Dryseason!L213</f>
        <v>G169</v>
      </c>
      <c r="I287" t="str">
        <f>Dryseason!L433</f>
        <v>R627</v>
      </c>
      <c r="J287">
        <f>IFERROR(INDEX('Green_rooibos initial weight'!$C$5:$C$2000,MATCH(H287, 'Green_rooibos initial weight'!$A$5:$A$2000,0)),"")</f>
        <v>2.0649999999999999</v>
      </c>
      <c r="K287">
        <f>IFERROR(INDEX('Green_rooibos initial weight'!$C$5:$C$2000,MATCH(I287, 'Green_rooibos initial weight'!$A$5:$A$2000,0)),"")</f>
        <v>2.1429999999999998</v>
      </c>
      <c r="L287" s="194">
        <f t="shared" si="28"/>
        <v>1.8151999999999999</v>
      </c>
      <c r="M287" s="233">
        <f>AVERAGE(Ashed_controlls!$K$1:$K$11)</f>
        <v>5.5147656768714146</v>
      </c>
      <c r="N287" s="194">
        <f t="shared" si="27"/>
        <v>1.8931999999999998</v>
      </c>
      <c r="O287" s="16">
        <f>IF('Dry_Litterbag Placem_Collection'!G214="","",'Dry_Litterbag Placem_Collection'!G214)</f>
        <v>43004</v>
      </c>
      <c r="P287" s="194">
        <f>IFERROR(INDEX('Both teabags AfterDry'!$D$3:$D$2000,MATCH(H287,'Both teabags AfterDry'!$A$3:$A$2000,0)),"")</f>
        <v>0.70899999999999996</v>
      </c>
      <c r="Q287" s="194">
        <f>IFERROR(INDEX('Both teabags AfterDry'!$D$3:$D$2000,MATCH(I287,'Both teabags AfterDry'!$A$3:$A$2000,0)),"")</f>
        <v>1.7356</v>
      </c>
      <c r="R287" s="194">
        <f t="shared" si="29"/>
        <v>0.55840000000000001</v>
      </c>
      <c r="S287" s="194">
        <f t="shared" si="29"/>
        <v>1.585</v>
      </c>
      <c r="T287" s="194">
        <f t="shared" si="30"/>
        <v>0.69237549581313351</v>
      </c>
      <c r="U287" s="194">
        <f t="shared" si="31"/>
        <v>0.45390887611502345</v>
      </c>
      <c r="V287" s="194">
        <f t="shared" si="32"/>
        <v>0.8372068455525038</v>
      </c>
      <c r="W287">
        <f t="shared" si="33"/>
        <v>62</v>
      </c>
      <c r="X287" s="194">
        <f t="shared" si="34"/>
        <v>0.17770131138582712</v>
      </c>
      <c r="Y287" s="194">
        <f t="shared" si="35"/>
        <v>7.1641227001606926E-3</v>
      </c>
      <c r="Z287" s="245" t="str">
        <f>IF(ISNUMBER(SEARCH("C", 'Dry_Litterbag Placem_Collection'!$T214)),"YES","NO")</f>
        <v>NO</v>
      </c>
      <c r="AA287" s="245" t="str">
        <f>IF(ISNUMBER(SEARCH("H", 'Dry_Litterbag Placem_Collection'!$T214)),"YES","NO")</f>
        <v>NO</v>
      </c>
      <c r="AB287" s="245" t="str">
        <f>IF(ISNUMBER(SEARCH("R", 'Dry_Litterbag Placem_Collection'!$T214)),"YES","NO")</f>
        <v>YES</v>
      </c>
      <c r="AC287" s="245" t="str">
        <f>IF(ISNUMBER(SEARCH("C", 'Dry_Litterbag Placem_Collection'!$S214)),"YES","NO")</f>
        <v>NO</v>
      </c>
      <c r="AD287" s="245" t="str">
        <f>IF(ISNUMBER(SEARCH("H", 'Dry_Litterbag Placem_Collection'!$S214)),"YES","NO")</f>
        <v>NO</v>
      </c>
      <c r="AE287" s="245" t="str">
        <f>IF(ISNUMBER(SEARCH("R", 'Dry_Litterbag Placem_Collection'!$S214)),"YES","NO")</f>
        <v>NO</v>
      </c>
    </row>
    <row r="288" spans="2:31">
      <c r="B288" t="str">
        <f>Dryseason!B214</f>
        <v>Dry</v>
      </c>
      <c r="C288" s="253">
        <f>Dryseason!C214</f>
        <v>212</v>
      </c>
      <c r="D288" t="s">
        <v>2437</v>
      </c>
      <c r="E288" t="s">
        <v>22</v>
      </c>
      <c r="F288" s="375">
        <v>4</v>
      </c>
      <c r="G288" s="16">
        <f>IF('Dry_Litterbag Placem_Collection'!E215="","",'Dry_Litterbag Placem_Collection'!E215)</f>
        <v>42942</v>
      </c>
      <c r="H288" t="str">
        <f>Dryseason!L214</f>
        <v>G68</v>
      </c>
      <c r="I288" t="str">
        <f>Dryseason!L434</f>
        <v>R803</v>
      </c>
      <c r="J288">
        <f>IFERROR(INDEX('Green_rooibos initial weight'!$C$5:$C$2000,MATCH(H288, 'Green_rooibos initial weight'!$A$5:$A$2000,0)),"")</f>
        <v>1.921</v>
      </c>
      <c r="K288">
        <f>IFERROR(INDEX('Green_rooibos initial weight'!$C$5:$C$2000,MATCH(I288, 'Green_rooibos initial weight'!$A$5:$A$2000,0)),"")</f>
        <v>2.1930000000000001</v>
      </c>
      <c r="L288" s="194">
        <f t="shared" si="28"/>
        <v>1.6712</v>
      </c>
      <c r="M288" s="233">
        <f>AVERAGE(Ashed_controlls!$K$1:$K$11)</f>
        <v>5.5147656768714146</v>
      </c>
      <c r="N288" s="194">
        <f t="shared" si="27"/>
        <v>1.9432</v>
      </c>
      <c r="O288" s="16">
        <f>IF('Dry_Litterbag Placem_Collection'!G215="","",'Dry_Litterbag Placem_Collection'!G215)</f>
        <v>43004</v>
      </c>
      <c r="P288" s="194">
        <f>IFERROR(INDEX('Both teabags AfterDry'!$D$3:$D$2000,MATCH(H288,'Both teabags AfterDry'!$A$3:$A$2000,0)),"")</f>
        <v>0.71</v>
      </c>
      <c r="Q288" s="194">
        <f>IFERROR(INDEX('Both teabags AfterDry'!$D$3:$D$2000,MATCH(I288,'Both teabags AfterDry'!$A$3:$A$2000,0)),"")</f>
        <v>0.78500000000000003</v>
      </c>
      <c r="R288" s="194">
        <f t="shared" si="29"/>
        <v>0.5593999999999999</v>
      </c>
      <c r="S288" s="194">
        <f t="shared" si="29"/>
        <v>0.63440000000000007</v>
      </c>
      <c r="T288" s="194">
        <f t="shared" si="30"/>
        <v>0.66527046433700343</v>
      </c>
      <c r="U288" s="194">
        <f t="shared" si="31"/>
        <v>0.43613930678625412</v>
      </c>
      <c r="V288" s="194">
        <f t="shared" si="32"/>
        <v>0.32647179909427754</v>
      </c>
      <c r="W288">
        <f t="shared" si="33"/>
        <v>62</v>
      </c>
      <c r="X288" s="194">
        <f t="shared" si="34"/>
        <v>0.2098925601698296</v>
      </c>
      <c r="Y288" s="194" t="str">
        <f t="shared" si="35"/>
        <v/>
      </c>
      <c r="Z288" s="245" t="str">
        <f>IF(ISNUMBER(SEARCH("C", 'Dry_Litterbag Placem_Collection'!$T215)),"YES","NO")</f>
        <v>NO</v>
      </c>
      <c r="AA288" s="245" t="str">
        <f>IF(ISNUMBER(SEARCH("H", 'Dry_Litterbag Placem_Collection'!$T215)),"YES","NO")</f>
        <v>YES</v>
      </c>
      <c r="AB288" s="245" t="str">
        <f>IF(ISNUMBER(SEARCH("R", 'Dry_Litterbag Placem_Collection'!$T215)),"YES","NO")</f>
        <v>YES</v>
      </c>
      <c r="AC288" s="245" t="str">
        <f>IF(ISNUMBER(SEARCH("C", 'Dry_Litterbag Placem_Collection'!$S215)),"YES","NO")</f>
        <v>NO</v>
      </c>
      <c r="AD288" s="245" t="str">
        <f>IF(ISNUMBER(SEARCH("H", 'Dry_Litterbag Placem_Collection'!$S215)),"YES","NO")</f>
        <v>YES</v>
      </c>
      <c r="AE288" s="245" t="str">
        <f>IF(ISNUMBER(SEARCH("R", 'Dry_Litterbag Placem_Collection'!$S215)),"YES","NO")</f>
        <v>YES</v>
      </c>
    </row>
    <row r="289" spans="2:31">
      <c r="B289" t="str">
        <f>Dryseason!B215</f>
        <v>Dry</v>
      </c>
      <c r="C289" s="253">
        <f>Dryseason!C215</f>
        <v>213</v>
      </c>
      <c r="D289" t="s">
        <v>2445</v>
      </c>
      <c r="E289" t="s">
        <v>22</v>
      </c>
      <c r="F289" s="375">
        <v>1</v>
      </c>
      <c r="G289" s="16">
        <f>IF('Dry_Litterbag Placem_Collection'!E216="","",'Dry_Litterbag Placem_Collection'!E216)</f>
        <v>42942</v>
      </c>
      <c r="H289" t="str">
        <f>Dryseason!L215</f>
        <v>G143</v>
      </c>
      <c r="I289" t="str">
        <f>Dryseason!L435</f>
        <v>R321</v>
      </c>
      <c r="J289">
        <f>IFERROR(INDEX('Green_rooibos initial weight'!$C$5:$C$2000,MATCH(H289, 'Green_rooibos initial weight'!$A$5:$A$2000,0)),"")</f>
        <v>1.9450000000000001</v>
      </c>
      <c r="K289">
        <f>IFERROR(INDEX('Green_rooibos initial weight'!$C$5:$C$2000,MATCH(I289, 'Green_rooibos initial weight'!$A$5:$A$2000,0)),"")</f>
        <v>2.1859999999999999</v>
      </c>
      <c r="L289" s="194">
        <f t="shared" si="28"/>
        <v>1.6952</v>
      </c>
      <c r="M289" s="233">
        <f>AVERAGE(Ashed_controlls!$K$1:$K$11)</f>
        <v>5.5147656768714146</v>
      </c>
      <c r="N289" s="194">
        <f t="shared" si="27"/>
        <v>1.9361999999999999</v>
      </c>
      <c r="O289" s="16">
        <f>IF('Dry_Litterbag Placem_Collection'!G216="","",'Dry_Litterbag Placem_Collection'!G216)</f>
        <v>43004</v>
      </c>
      <c r="P289" s="194">
        <f>IFERROR(INDEX('Both teabags AfterDry'!$D$3:$D$2000,MATCH(H289,'Both teabags AfterDry'!$A$3:$A$2000,0)),"")</f>
        <v>0.57899999999999996</v>
      </c>
      <c r="Q289" s="194">
        <f>IFERROR(INDEX('Both teabags AfterDry'!$D$3:$D$2000,MATCH(I289,'Both teabags AfterDry'!$A$3:$A$2000,0)),"")</f>
        <v>1.6859999999999999</v>
      </c>
      <c r="R289" s="194">
        <f t="shared" si="29"/>
        <v>0.42839999999999995</v>
      </c>
      <c r="S289" s="194">
        <f t="shared" si="29"/>
        <v>1.5353999999999999</v>
      </c>
      <c r="T289" s="194">
        <f t="shared" si="30"/>
        <v>0.74728645587541298</v>
      </c>
      <c r="U289" s="194">
        <f t="shared" si="31"/>
        <v>0.48990751026511642</v>
      </c>
      <c r="V289" s="194">
        <f t="shared" si="32"/>
        <v>0.79299659126123334</v>
      </c>
      <c r="W289">
        <f t="shared" si="33"/>
        <v>62</v>
      </c>
      <c r="X289" s="194">
        <f t="shared" si="34"/>
        <v>0.11248639444725295</v>
      </c>
      <c r="Y289" s="194">
        <f t="shared" si="35"/>
        <v>8.8565910060626613E-3</v>
      </c>
      <c r="Z289" s="245" t="str">
        <f>IF(ISNUMBER(SEARCH("C", 'Dry_Litterbag Placem_Collection'!$T216)),"YES","NO")</f>
        <v>NO</v>
      </c>
      <c r="AA289" s="245" t="str">
        <f>IF(ISNUMBER(SEARCH("H", 'Dry_Litterbag Placem_Collection'!$T216)),"YES","NO")</f>
        <v>NO</v>
      </c>
      <c r="AB289" s="245" t="str">
        <f>IF(ISNUMBER(SEARCH("R", 'Dry_Litterbag Placem_Collection'!$T216)),"YES","NO")</f>
        <v>YES</v>
      </c>
      <c r="AC289" s="245" t="str">
        <f>IF(ISNUMBER(SEARCH("C", 'Dry_Litterbag Placem_Collection'!$S216)),"YES","NO")</f>
        <v>NO</v>
      </c>
      <c r="AD289" s="245" t="str">
        <f>IF(ISNUMBER(SEARCH("H", 'Dry_Litterbag Placem_Collection'!$S216)),"YES","NO")</f>
        <v>NO</v>
      </c>
      <c r="AE289" s="245" t="str">
        <f>IF(ISNUMBER(SEARCH("R", 'Dry_Litterbag Placem_Collection'!$S216)),"YES","NO")</f>
        <v>YES</v>
      </c>
    </row>
    <row r="290" spans="2:31">
      <c r="B290" t="str">
        <f>Dryseason!B216</f>
        <v>Dry</v>
      </c>
      <c r="C290" s="253">
        <f>Dryseason!C216</f>
        <v>214</v>
      </c>
      <c r="D290" t="s">
        <v>2438</v>
      </c>
      <c r="E290" t="s">
        <v>22</v>
      </c>
      <c r="F290" s="375">
        <v>2</v>
      </c>
      <c r="G290" s="16">
        <f>IF('Dry_Litterbag Placem_Collection'!E217="","",'Dry_Litterbag Placem_Collection'!E217)</f>
        <v>42942</v>
      </c>
      <c r="H290" t="str">
        <f>Dryseason!L216</f>
        <v>G128</v>
      </c>
      <c r="I290" t="str">
        <f>Dryseason!L436</f>
        <v>R677</v>
      </c>
      <c r="J290">
        <f>IFERROR(INDEX('Green_rooibos initial weight'!$C$5:$C$2000,MATCH(H290, 'Green_rooibos initial weight'!$A$5:$A$2000,0)),"")</f>
        <v>2.0219999999999998</v>
      </c>
      <c r="K290">
        <f>IFERROR(INDEX('Green_rooibos initial weight'!$C$5:$C$2000,MATCH(I290, 'Green_rooibos initial weight'!$A$5:$A$2000,0)),"")</f>
        <v>2.1240000000000001</v>
      </c>
      <c r="L290" s="194">
        <f t="shared" si="28"/>
        <v>1.7721999999999998</v>
      </c>
      <c r="M290" s="233">
        <f>AVERAGE(Ashed_controlls!$K$1:$K$11)</f>
        <v>5.5147656768714146</v>
      </c>
      <c r="N290" s="194">
        <f t="shared" si="27"/>
        <v>1.8742000000000001</v>
      </c>
      <c r="O290" s="16">
        <f>IF('Dry_Litterbag Placem_Collection'!G217="","",'Dry_Litterbag Placem_Collection'!G217)</f>
        <v>43004</v>
      </c>
      <c r="P290" s="194">
        <f>IFERROR(INDEX('Both teabags AfterDry'!$D$3:$D$2000,MATCH(H290,'Both teabags AfterDry'!$A$3:$A$2000,0)),"")</f>
        <v>0.70599999999999996</v>
      </c>
      <c r="Q290" s="194">
        <f>IFERROR(INDEX('Both teabags AfterDry'!$D$3:$D$2000,MATCH(I290,'Both teabags AfterDry'!$A$3:$A$2000,0)),"")</f>
        <v>1.7569999999999999</v>
      </c>
      <c r="R290" s="194">
        <f t="shared" si="29"/>
        <v>0.55539999999999989</v>
      </c>
      <c r="S290" s="194">
        <f t="shared" si="29"/>
        <v>1.6063999999999998</v>
      </c>
      <c r="T290" s="194">
        <f t="shared" si="30"/>
        <v>0.68660422074257987</v>
      </c>
      <c r="U290" s="194">
        <f t="shared" si="31"/>
        <v>0.4501253323633066</v>
      </c>
      <c r="V290" s="194">
        <f t="shared" si="32"/>
        <v>0.85711236794365586</v>
      </c>
      <c r="W290">
        <f t="shared" si="33"/>
        <v>62</v>
      </c>
      <c r="X290" s="194">
        <f t="shared" si="34"/>
        <v>0.18455555731285045</v>
      </c>
      <c r="Y290" s="194">
        <f t="shared" si="35"/>
        <v>6.1597474879298165E-3</v>
      </c>
      <c r="Z290" s="245" t="str">
        <f>IF(ISNUMBER(SEARCH("C", 'Dry_Litterbag Placem_Collection'!$T217)),"YES","NO")</f>
        <v>NO</v>
      </c>
      <c r="AA290" s="245" t="str">
        <f>IF(ISNUMBER(SEARCH("H", 'Dry_Litterbag Placem_Collection'!$T217)),"YES","NO")</f>
        <v>YES</v>
      </c>
      <c r="AB290" s="245" t="str">
        <f>IF(ISNUMBER(SEARCH("R", 'Dry_Litterbag Placem_Collection'!$T217)),"YES","NO")</f>
        <v>YES</v>
      </c>
      <c r="AC290" s="245" t="str">
        <f>IF(ISNUMBER(SEARCH("C", 'Dry_Litterbag Placem_Collection'!$S217)),"YES","NO")</f>
        <v>NO</v>
      </c>
      <c r="AD290" s="245" t="str">
        <f>IF(ISNUMBER(SEARCH("H", 'Dry_Litterbag Placem_Collection'!$S217)),"YES","NO")</f>
        <v>YES</v>
      </c>
      <c r="AE290" s="245" t="str">
        <f>IF(ISNUMBER(SEARCH("R", 'Dry_Litterbag Placem_Collection'!$S217)),"YES","NO")</f>
        <v>NO</v>
      </c>
    </row>
    <row r="291" spans="2:31">
      <c r="B291" t="str">
        <f>Dryseason!B217</f>
        <v>Dry</v>
      </c>
      <c r="C291" s="253">
        <f>Dryseason!C217</f>
        <v>216</v>
      </c>
      <c r="D291" t="s">
        <v>2431</v>
      </c>
      <c r="E291" t="s">
        <v>22</v>
      </c>
      <c r="F291" s="375">
        <v>4</v>
      </c>
      <c r="G291" s="16">
        <f>IF('Dry_Litterbag Placem_Collection'!E218="","",'Dry_Litterbag Placem_Collection'!E218)</f>
        <v>42942</v>
      </c>
      <c r="H291" t="str">
        <f>Dryseason!L217</f>
        <v>G95</v>
      </c>
      <c r="I291" t="str">
        <f>Dryseason!L437</f>
        <v>R379</v>
      </c>
      <c r="J291">
        <f>IFERROR(INDEX('Green_rooibos initial weight'!$C$5:$C$2000,MATCH(H291, 'Green_rooibos initial weight'!$A$5:$A$2000,0)),"")</f>
        <v>2.1110000000000002</v>
      </c>
      <c r="K291">
        <f>IFERROR(INDEX('Green_rooibos initial weight'!$C$5:$C$2000,MATCH(I291, 'Green_rooibos initial weight'!$A$5:$A$2000,0)),"")</f>
        <v>2.246</v>
      </c>
      <c r="L291" s="194">
        <f t="shared" si="28"/>
        <v>1.8612000000000002</v>
      </c>
      <c r="M291" s="233">
        <f>AVERAGE(Ashed_controlls!$K$1:$K$11)</f>
        <v>5.5147656768714146</v>
      </c>
      <c r="N291" s="194">
        <f t="shared" si="27"/>
        <v>1.9962</v>
      </c>
      <c r="O291" s="16">
        <f>IF('Dry_Litterbag Placem_Collection'!G218="","",'Dry_Litterbag Placem_Collection'!G218)</f>
        <v>43004</v>
      </c>
      <c r="P291" s="194">
        <f>IFERROR(INDEX('Both teabags AfterDry'!$D$3:$D$2000,MATCH(H291,'Both teabags AfterDry'!$A$3:$A$2000,0)),"")</f>
        <v>0.80600000000000005</v>
      </c>
      <c r="Q291" s="194">
        <f>IFERROR(INDEX('Both teabags AfterDry'!$D$3:$D$2000,MATCH(I291,'Both teabags AfterDry'!$A$3:$A$2000,0)),"")</f>
        <v>1.736</v>
      </c>
      <c r="R291" s="194">
        <f t="shared" si="29"/>
        <v>0.65539999999999998</v>
      </c>
      <c r="S291" s="194">
        <f t="shared" si="29"/>
        <v>1.5853999999999999</v>
      </c>
      <c r="T291" s="194">
        <f t="shared" si="30"/>
        <v>0.6478615946701054</v>
      </c>
      <c r="U291" s="194">
        <f t="shared" si="31"/>
        <v>0.42472636610201686</v>
      </c>
      <c r="V291" s="194">
        <f t="shared" si="32"/>
        <v>0.79420899709447945</v>
      </c>
      <c r="W291">
        <f t="shared" si="33"/>
        <v>62</v>
      </c>
      <c r="X291" s="194">
        <f t="shared" si="34"/>
        <v>0.23056817735141877</v>
      </c>
      <c r="Y291" s="194">
        <f t="shared" si="35"/>
        <v>1.0688202839848671E-2</v>
      </c>
      <c r="Z291" s="245" t="str">
        <f>IF(ISNUMBER(SEARCH("C", 'Dry_Litterbag Placem_Collection'!$T218)),"YES","NO")</f>
        <v>NO</v>
      </c>
      <c r="AA291" s="245" t="str">
        <f>IF(ISNUMBER(SEARCH("H", 'Dry_Litterbag Placem_Collection'!$T218)),"YES","NO")</f>
        <v>NO</v>
      </c>
      <c r="AB291" s="245" t="str">
        <f>IF(ISNUMBER(SEARCH("R", 'Dry_Litterbag Placem_Collection'!$T218)),"YES","NO")</f>
        <v>NO</v>
      </c>
      <c r="AC291" s="245" t="str">
        <f>IF(ISNUMBER(SEARCH("C", 'Dry_Litterbag Placem_Collection'!$S218)),"YES","NO")</f>
        <v>NO</v>
      </c>
      <c r="AD291" s="245" t="str">
        <f>IF(ISNUMBER(SEARCH("H", 'Dry_Litterbag Placem_Collection'!$S218)),"YES","NO")</f>
        <v>NO</v>
      </c>
      <c r="AE291" s="245" t="str">
        <f>IF(ISNUMBER(SEARCH("R", 'Dry_Litterbag Placem_Collection'!$S218)),"YES","NO")</f>
        <v>NO</v>
      </c>
    </row>
    <row r="292" spans="2:31">
      <c r="B292" t="str">
        <f>Dryseason!B218</f>
        <v>Dry</v>
      </c>
      <c r="C292" s="253">
        <f>Dryseason!C218</f>
        <v>217</v>
      </c>
      <c r="D292" t="s">
        <v>2424</v>
      </c>
      <c r="E292" t="s">
        <v>22</v>
      </c>
      <c r="F292" s="375">
        <v>1</v>
      </c>
      <c r="G292" s="16">
        <f>IF('Dry_Litterbag Placem_Collection'!E219="","",'Dry_Litterbag Placem_Collection'!E219)</f>
        <v>42942</v>
      </c>
      <c r="H292" t="str">
        <f>Dryseason!L218</f>
        <v>G313</v>
      </c>
      <c r="I292" t="str">
        <f>Dryseason!L438</f>
        <v>R771</v>
      </c>
      <c r="J292">
        <f>IFERROR(INDEX('Green_rooibos initial weight'!$C$5:$C$2000,MATCH(H292, 'Green_rooibos initial weight'!$A$5:$A$2000,0)),"")</f>
        <v>1.923</v>
      </c>
      <c r="K292">
        <f>IFERROR(INDEX('Green_rooibos initial weight'!$C$5:$C$2000,MATCH(I292, 'Green_rooibos initial weight'!$A$5:$A$2000,0)),"")</f>
        <v>2.2309999999999999</v>
      </c>
      <c r="L292" s="194">
        <f t="shared" si="28"/>
        <v>1.6732</v>
      </c>
      <c r="M292" s="233">
        <f>AVERAGE(Ashed_controlls!$K$1:$K$11)</f>
        <v>5.5147656768714146</v>
      </c>
      <c r="N292" s="194">
        <f t="shared" si="27"/>
        <v>1.9811999999999999</v>
      </c>
      <c r="O292" s="16">
        <f>IF('Dry_Litterbag Placem_Collection'!G219="","",'Dry_Litterbag Placem_Collection'!G219)</f>
        <v>43004</v>
      </c>
      <c r="P292" s="194">
        <f>IFERROR(INDEX('Both teabags AfterDry'!$D$3:$D$2000,MATCH(H292,'Both teabags AfterDry'!$A$3:$A$2000,0)),"")</f>
        <v>0.74719999999999998</v>
      </c>
      <c r="Q292" s="194">
        <f>IFERROR(INDEX('Both teabags AfterDry'!$D$3:$D$2000,MATCH(I292,'Both teabags AfterDry'!$A$3:$A$2000,0)),"")</f>
        <v>1.0895999999999999</v>
      </c>
      <c r="R292" s="194">
        <f t="shared" si="29"/>
        <v>0.59660000000000002</v>
      </c>
      <c r="S292" s="194">
        <f t="shared" si="29"/>
        <v>0.93899999999999983</v>
      </c>
      <c r="T292" s="194">
        <f t="shared" si="30"/>
        <v>0.64343772412144395</v>
      </c>
      <c r="U292" s="194">
        <f t="shared" si="31"/>
        <v>0.42182615643116045</v>
      </c>
      <c r="V292" s="194">
        <f t="shared" si="32"/>
        <v>0.47395517867958809</v>
      </c>
      <c r="W292">
        <f t="shared" si="33"/>
        <v>62</v>
      </c>
      <c r="X292" s="194">
        <f t="shared" si="34"/>
        <v>0.23582218037833258</v>
      </c>
      <c r="Y292" s="194" t="str">
        <f t="shared" si="35"/>
        <v/>
      </c>
      <c r="Z292" s="245" t="str">
        <f>IF(ISNUMBER(SEARCH("C", 'Dry_Litterbag Placem_Collection'!$T219)),"YES","NO")</f>
        <v>NO</v>
      </c>
      <c r="AA292" s="245" t="str">
        <f>IF(ISNUMBER(SEARCH("H", 'Dry_Litterbag Placem_Collection'!$T219)),"YES","NO")</f>
        <v>YES</v>
      </c>
      <c r="AB292" s="245" t="str">
        <f>IF(ISNUMBER(SEARCH("R", 'Dry_Litterbag Placem_Collection'!$T219)),"YES","NO")</f>
        <v>YES</v>
      </c>
      <c r="AC292" s="245" t="str">
        <f>IF(ISNUMBER(SEARCH("C", 'Dry_Litterbag Placem_Collection'!$S219)),"YES","NO")</f>
        <v>NO</v>
      </c>
      <c r="AD292" s="245" t="str">
        <f>IF(ISNUMBER(SEARCH("H", 'Dry_Litterbag Placem_Collection'!$S219)),"YES","NO")</f>
        <v>YES</v>
      </c>
      <c r="AE292" s="245" t="str">
        <f>IF(ISNUMBER(SEARCH("R", 'Dry_Litterbag Placem_Collection'!$S219)),"YES","NO")</f>
        <v>YES</v>
      </c>
    </row>
    <row r="293" spans="2:31">
      <c r="B293" t="str">
        <f>Dryseason!B219</f>
        <v>Dry</v>
      </c>
      <c r="C293" s="253">
        <f>Dryseason!C219</f>
        <v>218</v>
      </c>
      <c r="D293" t="s">
        <v>2432</v>
      </c>
      <c r="E293" t="s">
        <v>22</v>
      </c>
      <c r="F293" s="375">
        <v>2</v>
      </c>
      <c r="G293" s="16">
        <f>IF('Dry_Litterbag Placem_Collection'!E220="","",'Dry_Litterbag Placem_Collection'!E220)</f>
        <v>42942</v>
      </c>
      <c r="H293" t="str">
        <f>Dryseason!L219</f>
        <v>G485</v>
      </c>
      <c r="I293" t="str">
        <f>Dryseason!L439</f>
        <v>R680</v>
      </c>
      <c r="J293">
        <f>IFERROR(INDEX('Green_rooibos initial weight'!$C$5:$C$2000,MATCH(H293, 'Green_rooibos initial weight'!$A$5:$A$2000,0)),"")</f>
        <v>1.9890000000000001</v>
      </c>
      <c r="K293">
        <f>IFERROR(INDEX('Green_rooibos initial weight'!$C$5:$C$2000,MATCH(I293, 'Green_rooibos initial weight'!$A$5:$A$2000,0)),"")</f>
        <v>2.1080000000000001</v>
      </c>
      <c r="L293" s="194">
        <f t="shared" si="28"/>
        <v>1.7392000000000001</v>
      </c>
      <c r="M293" s="233">
        <f>AVERAGE(Ashed_controlls!$K$1:$K$11)</f>
        <v>5.5147656768714146</v>
      </c>
      <c r="N293" s="194">
        <f t="shared" si="27"/>
        <v>1.8582000000000001</v>
      </c>
      <c r="O293" s="16">
        <f>IF('Dry_Litterbag Placem_Collection'!G220="","",'Dry_Litterbag Placem_Collection'!G220)</f>
        <v>43004</v>
      </c>
      <c r="P293" s="194">
        <f>IFERROR(INDEX('Both teabags AfterDry'!$D$3:$D$2000,MATCH(H293,'Both teabags AfterDry'!$A$3:$A$2000,0)),"")</f>
        <v>0.66900000000000004</v>
      </c>
      <c r="Q293" s="194">
        <f>IFERROR(INDEX('Both teabags AfterDry'!$D$3:$D$2000,MATCH(I293,'Both teabags AfterDry'!$A$3:$A$2000,0)),"")</f>
        <v>0.17100000000000001</v>
      </c>
      <c r="R293" s="194">
        <f t="shared" si="29"/>
        <v>0.51839999999999997</v>
      </c>
      <c r="S293" s="194">
        <f t="shared" si="29"/>
        <v>2.0400000000000001E-2</v>
      </c>
      <c r="T293" s="194">
        <f t="shared" si="30"/>
        <v>0.70193192272309113</v>
      </c>
      <c r="U293" s="194">
        <f t="shared" si="31"/>
        <v>0.46017389708212153</v>
      </c>
      <c r="V293" s="194">
        <f t="shared" si="32"/>
        <v>1.0978366160800775E-2</v>
      </c>
      <c r="W293">
        <f t="shared" si="33"/>
        <v>62</v>
      </c>
      <c r="X293" s="194">
        <f t="shared" si="34"/>
        <v>0.16635163572079437</v>
      </c>
      <c r="Y293" s="194" t="str">
        <f t="shared" si="35"/>
        <v/>
      </c>
      <c r="Z293" s="245" t="str">
        <f>IF(ISNUMBER(SEARCH("C", 'Dry_Litterbag Placem_Collection'!$T220)),"YES","NO")</f>
        <v>NO</v>
      </c>
      <c r="AA293" s="245" t="str">
        <f>IF(ISNUMBER(SEARCH("H", 'Dry_Litterbag Placem_Collection'!$T220)),"YES","NO")</f>
        <v>YES</v>
      </c>
      <c r="AB293" s="245" t="str">
        <f>IF(ISNUMBER(SEARCH("R", 'Dry_Litterbag Placem_Collection'!$T220)),"YES","NO")</f>
        <v>YES</v>
      </c>
      <c r="AC293" s="245" t="str">
        <f>IF(ISNUMBER(SEARCH("C", 'Dry_Litterbag Placem_Collection'!$S220)),"YES","NO")</f>
        <v>NO</v>
      </c>
      <c r="AD293" s="245" t="str">
        <f>IF(ISNUMBER(SEARCH("H", 'Dry_Litterbag Placem_Collection'!$S220)),"YES","NO")</f>
        <v>NO</v>
      </c>
      <c r="AE293" s="245" t="str">
        <f>IF(ISNUMBER(SEARCH("R", 'Dry_Litterbag Placem_Collection'!$S220)),"YES","NO")</f>
        <v>YES</v>
      </c>
    </row>
    <row r="294" spans="2:31">
      <c r="B294" t="str">
        <f>Dryseason!B220</f>
        <v>Dry</v>
      </c>
      <c r="C294" s="374">
        <f>Dryseason!C220</f>
        <v>219</v>
      </c>
      <c r="D294" t="s">
        <v>2439</v>
      </c>
      <c r="E294" t="s">
        <v>22</v>
      </c>
      <c r="F294" s="375">
        <v>3</v>
      </c>
      <c r="G294" s="16">
        <f>IF('Dry_Litterbag Placem_Collection'!E221="","",'Dry_Litterbag Placem_Collection'!E221)</f>
        <v>42942</v>
      </c>
      <c r="H294" s="92" t="str">
        <f>Dryseason!L220</f>
        <v>G196</v>
      </c>
      <c r="I294" s="92" t="str">
        <f>Dryseason!L440</f>
        <v>R178</v>
      </c>
      <c r="J294">
        <f>IFERROR(INDEX('Green_rooibos initial weight'!$C$5:$C$2000,MATCH(H294, 'Green_rooibos initial weight'!$A$5:$A$2000,0)),"")</f>
        <v>2.028</v>
      </c>
      <c r="K294">
        <f>IFERROR(INDEX('Green_rooibos initial weight'!$C$5:$C$2000,MATCH(I294, 'Green_rooibos initial weight'!$A$5:$A$2000,0)),"")</f>
        <v>2.222</v>
      </c>
      <c r="L294" s="194">
        <f t="shared" si="28"/>
        <v>1.7782</v>
      </c>
      <c r="M294" s="233">
        <f>AVERAGE(Ashed_controlls!$K$1:$K$11)</f>
        <v>5.5147656768714146</v>
      </c>
      <c r="N294" s="194">
        <f t="shared" si="27"/>
        <v>1.9722</v>
      </c>
      <c r="O294" s="16">
        <f>IF('Dry_Litterbag Placem_Collection'!G221="","",'Dry_Litterbag Placem_Collection'!G221)</f>
        <v>43004</v>
      </c>
      <c r="P294" s="194">
        <f>IFERROR(INDEX('Both teabags AfterDry'!$D$3:$D$2000,MATCH(H294,'Both teabags AfterDry'!$A$3:$A$2000,0)),"")</f>
        <v>0.5756</v>
      </c>
      <c r="Q294" s="194">
        <f>IFERROR(INDEX('Both teabags AfterDry'!$D$3:$D$2000,MATCH(I294,'Both teabags AfterDry'!$A$3:$A$2000,0)),"")</f>
        <v>1.8229</v>
      </c>
      <c r="R294" s="194">
        <f t="shared" si="29"/>
        <v>0.42499999999999999</v>
      </c>
      <c r="S294" s="194">
        <f t="shared" si="29"/>
        <v>1.6722999999999999</v>
      </c>
      <c r="T294" s="194">
        <f t="shared" si="30"/>
        <v>0.76099426386233271</v>
      </c>
      <c r="U294" s="194">
        <f t="shared" si="31"/>
        <v>0.49889410172447468</v>
      </c>
      <c r="V294" s="194">
        <f t="shared" si="32"/>
        <v>0.84793631477537768</v>
      </c>
      <c r="W294">
        <f t="shared" si="33"/>
        <v>62</v>
      </c>
      <c r="X294" s="194">
        <f t="shared" si="34"/>
        <v>9.6206337455661872E-2</v>
      </c>
      <c r="Y294" s="194">
        <f t="shared" si="35"/>
        <v>5.8638371775115664E-3</v>
      </c>
      <c r="Z294" s="245" t="str">
        <f>IF(ISNUMBER(SEARCH("C", 'Dry_Litterbag Placem_Collection'!$T221)),"YES","NO")</f>
        <v>NO</v>
      </c>
      <c r="AA294" s="245" t="str">
        <f>IF(ISNUMBER(SEARCH("H", 'Dry_Litterbag Placem_Collection'!$T221)),"YES","NO")</f>
        <v>NO</v>
      </c>
      <c r="AB294" s="245" t="str">
        <f>IF(ISNUMBER(SEARCH("R", 'Dry_Litterbag Placem_Collection'!$T221)),"YES","NO")</f>
        <v>YES</v>
      </c>
      <c r="AC294" s="245" t="str">
        <f>IF(ISNUMBER(SEARCH("C", 'Dry_Litterbag Placem_Collection'!$S221)),"YES","NO")</f>
        <v>NO</v>
      </c>
      <c r="AD294" s="245" t="str">
        <f>IF(ISNUMBER(SEARCH("H", 'Dry_Litterbag Placem_Collection'!$S221)),"YES","NO")</f>
        <v>YES</v>
      </c>
      <c r="AE294" s="245" t="str">
        <f>IF(ISNUMBER(SEARCH("R", 'Dry_Litterbag Placem_Collection'!$S221)),"YES","NO")</f>
        <v>YES</v>
      </c>
    </row>
    <row r="295" spans="2:31">
      <c r="B295" t="str">
        <f>Dryseason!B221</f>
        <v>Dry</v>
      </c>
      <c r="C295" s="374">
        <f>Dryseason!C221</f>
        <v>220</v>
      </c>
      <c r="D295" t="s">
        <v>2446</v>
      </c>
      <c r="E295" t="s">
        <v>22</v>
      </c>
      <c r="F295" s="375">
        <v>4</v>
      </c>
      <c r="G295" s="16">
        <f>IF('Dry_Litterbag Placem_Collection'!E222="","",'Dry_Litterbag Placem_Collection'!E222)</f>
        <v>42942</v>
      </c>
      <c r="H295" s="92" t="str">
        <f>Dryseason!L221</f>
        <v>G39</v>
      </c>
      <c r="I295" s="92" t="str">
        <f>Dryseason!L441</f>
        <v>R194</v>
      </c>
      <c r="J295">
        <f>IFERROR(INDEX('Green_rooibos initial weight'!$C$5:$C$2000,MATCH(H295, 'Green_rooibos initial weight'!$A$5:$A$2000,0)),"")</f>
        <v>2.0670000000000002</v>
      </c>
      <c r="K295">
        <f>IFERROR(INDEX('Green_rooibos initial weight'!$C$5:$C$2000,MATCH(I295, 'Green_rooibos initial weight'!$A$5:$A$2000,0)),"")</f>
        <v>2.149</v>
      </c>
      <c r="L295" s="194">
        <f t="shared" si="28"/>
        <v>1.8172000000000001</v>
      </c>
      <c r="M295" s="233">
        <f>AVERAGE(Ashed_controlls!$K$1:$K$11)</f>
        <v>5.5147656768714146</v>
      </c>
      <c r="N295" s="194">
        <f t="shared" si="27"/>
        <v>1.8992</v>
      </c>
      <c r="O295" s="16">
        <f>IF('Dry_Litterbag Placem_Collection'!G222="","",'Dry_Litterbag Placem_Collection'!G222)</f>
        <v>43004</v>
      </c>
      <c r="P295" s="194" t="str">
        <f>IFERROR(INDEX('Both teabags AfterDry'!$D$3:$D$2000,MATCH(H295,'Both teabags AfterDry'!$A$3:$A$2000,0)),"")</f>
        <v/>
      </c>
      <c r="Q295" s="194" t="str">
        <f>IFERROR(INDEX('Both teabags AfterDry'!$D$3:$D$2000,MATCH(I295,'Both teabags AfterDry'!$A$3:$A$2000,0)),"")</f>
        <v/>
      </c>
      <c r="R295" s="194" t="str">
        <f t="shared" si="29"/>
        <v/>
      </c>
      <c r="S295" s="194" t="str">
        <f t="shared" si="29"/>
        <v/>
      </c>
      <c r="T295" s="194" t="str">
        <f t="shared" si="30"/>
        <v/>
      </c>
      <c r="U295" s="194" t="str">
        <f t="shared" si="31"/>
        <v/>
      </c>
      <c r="V295" s="194" t="str">
        <f t="shared" si="32"/>
        <v/>
      </c>
      <c r="W295">
        <f t="shared" si="33"/>
        <v>62</v>
      </c>
      <c r="X295" s="194" t="str">
        <f t="shared" si="34"/>
        <v/>
      </c>
      <c r="Y295" s="194" t="str">
        <f t="shared" si="35"/>
        <v/>
      </c>
      <c r="Z295" s="245" t="str">
        <f>IF(ISNUMBER(SEARCH("C", 'Dry_Litterbag Placem_Collection'!$T222)),"YES","NO")</f>
        <v>YES</v>
      </c>
      <c r="AA295" s="245" t="str">
        <f>IF(ISNUMBER(SEARCH("H", 'Dry_Litterbag Placem_Collection'!$T222)),"YES","NO")</f>
        <v>YES</v>
      </c>
      <c r="AB295" s="245" t="str">
        <f>IF(ISNUMBER(SEARCH("R", 'Dry_Litterbag Placem_Collection'!$T222)),"YES","NO")</f>
        <v>YES</v>
      </c>
      <c r="AC295" s="245" t="str">
        <f>IF(ISNUMBER(SEARCH("C", 'Dry_Litterbag Placem_Collection'!$S222)),"YES","NO")</f>
        <v>NO</v>
      </c>
      <c r="AD295" s="245" t="str">
        <f>IF(ISNUMBER(SEARCH("H", 'Dry_Litterbag Placem_Collection'!$S222)),"YES","NO")</f>
        <v>NO</v>
      </c>
      <c r="AE295" s="245" t="str">
        <f>IF(ISNUMBER(SEARCH("R", 'Dry_Litterbag Placem_Collection'!$S222)),"YES","NO")</f>
        <v>YES</v>
      </c>
    </row>
    <row r="296" spans="2:31">
      <c r="B296" t="str">
        <f>Dryseason!B442</f>
        <v>Dry</v>
      </c>
      <c r="C296" s="374">
        <f>Dryseason!C442</f>
        <v>1</v>
      </c>
      <c r="D296" t="s">
        <v>3099</v>
      </c>
      <c r="E296" t="s">
        <v>25</v>
      </c>
      <c r="F296" s="374">
        <v>1</v>
      </c>
      <c r="G296" s="376">
        <f>IF('Dry_Litterbag Placem_Collection'!E3="","",'Dry_Litterbag Placem_Collection'!E3)</f>
        <v>42938</v>
      </c>
      <c r="H296" s="92" t="str">
        <f>Dryseason!L442</f>
        <v>G377</v>
      </c>
      <c r="I296" s="92" t="str">
        <f>Dryseason!L662</f>
        <v>R204</v>
      </c>
      <c r="J296">
        <f>IFERROR(INDEX('Green_rooibos initial weight'!$C$5:$C$2000,MATCH(H296, 'Green_rooibos initial weight'!$A$5:$A$2000,0)),"")</f>
        <v>2.1030000000000002</v>
      </c>
      <c r="K296">
        <f>IFERROR(INDEX('Green_rooibos initial weight'!$C$5:$C$2000,MATCH(I296, 'Green_rooibos initial weight'!$A$5:$A$2000,0)),"")</f>
        <v>2.2290000000000001</v>
      </c>
      <c r="L296" s="194">
        <f t="shared" si="28"/>
        <v>1.8532000000000002</v>
      </c>
      <c r="M296" s="233">
        <f>AVERAGE(Ashed_controlls!$K$1:$K$11)</f>
        <v>5.5147656768714146</v>
      </c>
      <c r="N296" s="194">
        <f t="shared" si="27"/>
        <v>1.9792000000000001</v>
      </c>
      <c r="O296" s="376">
        <f>IF('Dry_Litterbag Placem_Collection'!G3="","",'Dry_Litterbag Placem_Collection'!G3)</f>
        <v>43007</v>
      </c>
      <c r="P296" s="194">
        <f>IFERROR(INDEX('Both teabags AfterDry'!$D$3:$D$2000,MATCH(H296,'Both teabags AfterDry'!$A$3:$A$2000,0)),"")</f>
        <v>1.3894</v>
      </c>
      <c r="Q296" s="194">
        <f>IFERROR(INDEX('Both teabags AfterDry'!$D$3:$D$2000,MATCH(I296,'Both teabags AfterDry'!$A$3:$A$2000,0)),"")</f>
        <v>1.8874</v>
      </c>
      <c r="R296" s="194">
        <f t="shared" si="29"/>
        <v>1.2387999999999999</v>
      </c>
      <c r="S296" s="194">
        <f t="shared" si="29"/>
        <v>1.7367999999999999</v>
      </c>
      <c r="T296" s="194">
        <f t="shared" si="30"/>
        <v>0.33153464278005629</v>
      </c>
      <c r="U296" s="194">
        <f t="shared" si="31"/>
        <v>0.21734812685818419</v>
      </c>
      <c r="V296" s="194">
        <f t="shared" si="32"/>
        <v>0.87752627324171373</v>
      </c>
      <c r="W296">
        <f t="shared" si="33"/>
        <v>69</v>
      </c>
      <c r="X296" s="194">
        <f t="shared" si="34"/>
        <v>0.60625339337285478</v>
      </c>
      <c r="Y296" s="194">
        <f t="shared" si="35"/>
        <v>1.2013716328547849E-2</v>
      </c>
      <c r="Z296" s="245" t="str">
        <f>IF(ISNUMBER(SEARCH("C", 'Dry_Litterbag Placem_Collection'!$V3)),"YES","NO")</f>
        <v>NO</v>
      </c>
      <c r="AA296" s="245" t="str">
        <f>IF(ISNUMBER(SEARCH("H", 'Dry_Litterbag Placem_Collection'!$V3)),"YES","NO")</f>
        <v>NO</v>
      </c>
      <c r="AB296" s="245" t="str">
        <f>IF(ISNUMBER(SEARCH("R", 'Dry_Litterbag Placem_Collection'!$V3)),"YES","NO")</f>
        <v>NO</v>
      </c>
      <c r="AC296" s="245" t="str">
        <f>IF(ISNUMBER(SEARCH("C", 'Dry_Litterbag Placem_Collection'!$U3)),"YES","NO")</f>
        <v>NO</v>
      </c>
      <c r="AD296" s="245" t="str">
        <f>IF(ISNUMBER(SEARCH("H", 'Dry_Litterbag Placem_Collection'!$U3)),"YES","NO")</f>
        <v>NO</v>
      </c>
      <c r="AE296" s="245" t="str">
        <f>IF(ISNUMBER(SEARCH("R", 'Dry_Litterbag Placem_Collection'!$U3)),"YES","NO")</f>
        <v>YES</v>
      </c>
    </row>
    <row r="297" spans="2:31">
      <c r="B297" t="str">
        <f>Dryseason!B443</f>
        <v>Dry</v>
      </c>
      <c r="C297" s="374">
        <f>Dryseason!C443</f>
        <v>2</v>
      </c>
      <c r="D297" t="s">
        <v>3099</v>
      </c>
      <c r="E297" t="s">
        <v>25</v>
      </c>
      <c r="F297" s="374">
        <v>2</v>
      </c>
      <c r="G297" s="376" t="str">
        <f>IF('Dry_Litterbag Placem_Collection'!E4="","",'Dry_Litterbag Placem_Collection'!E4)</f>
        <v/>
      </c>
      <c r="H297" s="92" t="str">
        <f>Dryseason!L443</f>
        <v/>
      </c>
      <c r="I297" s="92" t="str">
        <f>Dryseason!L663</f>
        <v/>
      </c>
      <c r="J297" t="str">
        <f>IFERROR(INDEX('Green_rooibos initial weight'!$C$5:$C$2000,MATCH(H297, 'Green_rooibos initial weight'!$A$5:$A$2000,0)),"")</f>
        <v/>
      </c>
      <c r="K297" t="str">
        <f>IFERROR(INDEX('Green_rooibos initial weight'!$C$5:$C$2000,MATCH(I297, 'Green_rooibos initial weight'!$A$5:$A$2000,0)),"")</f>
        <v/>
      </c>
      <c r="L297" s="194" t="str">
        <f t="shared" si="28"/>
        <v/>
      </c>
      <c r="M297" s="233">
        <f>AVERAGE(Ashed_controlls!$K$1:$K$11)</f>
        <v>5.5147656768714146</v>
      </c>
      <c r="N297" s="194" t="str">
        <f t="shared" si="27"/>
        <v/>
      </c>
      <c r="O297" s="376" t="str">
        <f>IF('Dry_Litterbag Placem_Collection'!G4="","",'Dry_Litterbag Placem_Collection'!G4)</f>
        <v/>
      </c>
      <c r="P297" s="194" t="str">
        <f>IFERROR(INDEX('Both teabags AfterDry'!$D$3:$D$2000,MATCH(H297,'Both teabags AfterDry'!$A$3:$A$2000,0)),"")</f>
        <v/>
      </c>
      <c r="Q297" s="194" t="str">
        <f>IFERROR(INDEX('Both teabags AfterDry'!$D$3:$D$2000,MATCH(I297,'Both teabags AfterDry'!$A$3:$A$2000,0)),"")</f>
        <v/>
      </c>
      <c r="R297" s="194" t="str">
        <f t="shared" si="29"/>
        <v/>
      </c>
      <c r="S297" s="194" t="str">
        <f t="shared" si="29"/>
        <v/>
      </c>
      <c r="T297" s="194" t="str">
        <f t="shared" si="30"/>
        <v/>
      </c>
      <c r="U297" s="194" t="str">
        <f t="shared" si="31"/>
        <v/>
      </c>
      <c r="V297" s="194" t="str">
        <f t="shared" si="32"/>
        <v/>
      </c>
      <c r="W297" t="str">
        <f t="shared" si="33"/>
        <v/>
      </c>
      <c r="X297" s="194" t="str">
        <f t="shared" si="34"/>
        <v/>
      </c>
      <c r="Y297" s="194" t="str">
        <f t="shared" si="35"/>
        <v/>
      </c>
      <c r="Z297" s="245" t="str">
        <f>IF(ISNUMBER(SEARCH("C", 'Dry_Litterbag Placem_Collection'!$V4)),"YES","NO")</f>
        <v>NO</v>
      </c>
      <c r="AA297" s="245" t="str">
        <f>IF(ISNUMBER(SEARCH("H", 'Dry_Litterbag Placem_Collection'!$V4)),"YES","NO")</f>
        <v>NO</v>
      </c>
      <c r="AB297" s="245" t="str">
        <f>IF(ISNUMBER(SEARCH("R", 'Dry_Litterbag Placem_Collection'!$V4)),"YES","NO")</f>
        <v>NO</v>
      </c>
      <c r="AC297" s="245" t="str">
        <f>IF(ISNUMBER(SEARCH("C", 'Dry_Litterbag Placem_Collection'!$U4)),"YES","NO")</f>
        <v>NO</v>
      </c>
      <c r="AD297" s="245" t="str">
        <f>IF(ISNUMBER(SEARCH("H", 'Dry_Litterbag Placem_Collection'!$U4)),"YES","NO")</f>
        <v>NO</v>
      </c>
      <c r="AE297" s="245" t="str">
        <f>IF(ISNUMBER(SEARCH("R", 'Dry_Litterbag Placem_Collection'!$U4)),"YES","NO")</f>
        <v>NO</v>
      </c>
    </row>
    <row r="298" spans="2:31">
      <c r="B298" t="str">
        <f>Dryseason!B444</f>
        <v>Dry</v>
      </c>
      <c r="C298" s="253">
        <f>Dryseason!C444</f>
        <v>3</v>
      </c>
      <c r="D298" t="s">
        <v>3099</v>
      </c>
      <c r="E298" t="s">
        <v>25</v>
      </c>
      <c r="F298" s="374">
        <v>3</v>
      </c>
      <c r="G298" s="376">
        <f>IF('Dry_Litterbag Placem_Collection'!E5="","",'Dry_Litterbag Placem_Collection'!E5)</f>
        <v>42938</v>
      </c>
      <c r="H298" s="92" t="str">
        <f>Dryseason!L444</f>
        <v>G44</v>
      </c>
      <c r="I298" t="str">
        <f>Dryseason!L664</f>
        <v>R283</v>
      </c>
      <c r="J298">
        <f>IFERROR(INDEX('Green_rooibos initial weight'!$C$5:$C$2000,MATCH(H298, 'Green_rooibos initial weight'!$A$5:$A$2000,0)),"")</f>
        <v>2.0680000000000001</v>
      </c>
      <c r="K298">
        <f>IFERROR(INDEX('Green_rooibos initial weight'!$C$5:$C$2000,MATCH(I298, 'Green_rooibos initial weight'!$A$5:$A$2000,0)),"")</f>
        <v>2.21</v>
      </c>
      <c r="L298" s="194">
        <f t="shared" si="28"/>
        <v>1.8182</v>
      </c>
      <c r="M298" s="233">
        <f>AVERAGE(Ashed_controlls!$K$1:$K$11)</f>
        <v>5.5147656768714146</v>
      </c>
      <c r="N298" s="194">
        <f t="shared" si="27"/>
        <v>1.9601999999999999</v>
      </c>
      <c r="O298" s="376">
        <f>IF('Dry_Litterbag Placem_Collection'!G5="","",'Dry_Litterbag Placem_Collection'!G5)</f>
        <v>43007</v>
      </c>
      <c r="P298" s="194">
        <f>IFERROR(INDEX('Both teabags AfterDry'!$D$3:$D$2000,MATCH(H298,'Both teabags AfterDry'!$A$3:$A$2000,0)),"")</f>
        <v>1.5553999999999999</v>
      </c>
      <c r="Q298" s="194">
        <f>IFERROR(INDEX('Both teabags AfterDry'!$D$3:$D$2000,MATCH(I298,'Both teabags AfterDry'!$A$3:$A$2000,0)),"")</f>
        <v>1.9180999999999999</v>
      </c>
      <c r="R298" s="194">
        <f t="shared" si="29"/>
        <v>1.4047999999999998</v>
      </c>
      <c r="S298" s="194">
        <f t="shared" si="29"/>
        <v>1.7674999999999998</v>
      </c>
      <c r="T298" s="194">
        <f t="shared" si="30"/>
        <v>0.22736772632273683</v>
      </c>
      <c r="U298" s="194">
        <f t="shared" si="31"/>
        <v>0.14905817687666362</v>
      </c>
      <c r="V298" s="194">
        <f t="shared" si="32"/>
        <v>0.90169370472400767</v>
      </c>
      <c r="W298">
        <f t="shared" si="33"/>
        <v>69</v>
      </c>
      <c r="X298" s="194">
        <f t="shared" si="34"/>
        <v>0.72996707087560941</v>
      </c>
      <c r="Y298" s="194">
        <f t="shared" si="35"/>
        <v>1.5614318629955293E-2</v>
      </c>
      <c r="Z298" s="245" t="str">
        <f>IF(ISNUMBER(SEARCH("C", 'Dry_Litterbag Placem_Collection'!$V5)),"YES","NO")</f>
        <v>NO</v>
      </c>
      <c r="AA298" s="245" t="str">
        <f>IF(ISNUMBER(SEARCH("H", 'Dry_Litterbag Placem_Collection'!$V5)),"YES","NO")</f>
        <v>NO</v>
      </c>
      <c r="AB298" s="245" t="str">
        <f>IF(ISNUMBER(SEARCH("R", 'Dry_Litterbag Placem_Collection'!$V5)),"YES","NO")</f>
        <v>NO</v>
      </c>
      <c r="AC298" s="245" t="str">
        <f>IF(ISNUMBER(SEARCH("C", 'Dry_Litterbag Placem_Collection'!$U5)),"YES","NO")</f>
        <v>NO</v>
      </c>
      <c r="AD298" s="245" t="str">
        <f>IF(ISNUMBER(SEARCH("H", 'Dry_Litterbag Placem_Collection'!$U5)),"YES","NO")</f>
        <v>NO</v>
      </c>
      <c r="AE298" s="245" t="str">
        <f>IF(ISNUMBER(SEARCH("R", 'Dry_Litterbag Placem_Collection'!$U5)),"YES","NO")</f>
        <v>YES</v>
      </c>
    </row>
    <row r="299" spans="2:31">
      <c r="B299" t="str">
        <f>Dryseason!B445</f>
        <v>Dry</v>
      </c>
      <c r="C299" s="253">
        <f>Dryseason!C445</f>
        <v>4</v>
      </c>
      <c r="D299" t="s">
        <v>3099</v>
      </c>
      <c r="E299" t="s">
        <v>25</v>
      </c>
      <c r="F299" s="375">
        <v>4</v>
      </c>
      <c r="G299" s="376">
        <f>IF('Dry_Litterbag Placem_Collection'!E6="","",'Dry_Litterbag Placem_Collection'!E6)</f>
        <v>42938</v>
      </c>
      <c r="H299" s="92" t="str">
        <f>Dryseason!L445</f>
        <v>G357</v>
      </c>
      <c r="I299" t="str">
        <f>Dryseason!L665</f>
        <v>R298</v>
      </c>
      <c r="J299">
        <f>IFERROR(INDEX('Green_rooibos initial weight'!$C$5:$C$2000,MATCH(H299, 'Green_rooibos initial weight'!$A$5:$A$2000,0)),"")</f>
        <v>1.996</v>
      </c>
      <c r="K299">
        <f>IFERROR(INDEX('Green_rooibos initial weight'!$C$5:$C$2000,MATCH(I299, 'Green_rooibos initial weight'!$A$5:$A$2000,0)),"")</f>
        <v>2.2229999999999999</v>
      </c>
      <c r="L299" s="194">
        <f t="shared" si="28"/>
        <v>1.7462</v>
      </c>
      <c r="M299" s="233">
        <f>AVERAGE(Ashed_controlls!$K$1:$K$11)</f>
        <v>5.5147656768714146</v>
      </c>
      <c r="N299" s="194">
        <f t="shared" si="27"/>
        <v>1.9731999999999998</v>
      </c>
      <c r="O299" s="376">
        <f>IF('Dry_Litterbag Placem_Collection'!G6="","",'Dry_Litterbag Placem_Collection'!G6)</f>
        <v>43007</v>
      </c>
      <c r="P299" s="194">
        <f>IFERROR(INDEX('Both teabags AfterDry'!$D$3:$D$2000,MATCH(H299,'Both teabags AfterDry'!$A$3:$A$2000,0)),"")</f>
        <v>1.6417999999999999</v>
      </c>
      <c r="Q299" s="194">
        <f>IFERROR(INDEX('Both teabags AfterDry'!$D$3:$D$2000,MATCH(I299,'Both teabags AfterDry'!$A$3:$A$2000,0)),"")</f>
        <v>1.9487000000000001</v>
      </c>
      <c r="R299" s="194">
        <f t="shared" si="29"/>
        <v>1.4911999999999999</v>
      </c>
      <c r="S299" s="194">
        <f t="shared" si="29"/>
        <v>1.7981</v>
      </c>
      <c r="T299" s="194">
        <f t="shared" si="30"/>
        <v>0.14603138243042046</v>
      </c>
      <c r="U299" s="194">
        <f t="shared" si="31"/>
        <v>9.5735538125406305E-2</v>
      </c>
      <c r="V299" s="194">
        <f t="shared" si="32"/>
        <v>0.91126089600648696</v>
      </c>
      <c r="W299">
        <f t="shared" si="33"/>
        <v>69</v>
      </c>
      <c r="X299" s="194">
        <f t="shared" si="34"/>
        <v>0.82656605412064077</v>
      </c>
      <c r="Y299" s="194">
        <f t="shared" si="35"/>
        <v>3.7915782163276145E-2</v>
      </c>
      <c r="Z299" s="245" t="str">
        <f>IF(ISNUMBER(SEARCH("C", 'Dry_Litterbag Placem_Collection'!$V6)),"YES","NO")</f>
        <v>NO</v>
      </c>
      <c r="AA299" s="245" t="str">
        <f>IF(ISNUMBER(SEARCH("H", 'Dry_Litterbag Placem_Collection'!$V6)),"YES","NO")</f>
        <v>NO</v>
      </c>
      <c r="AB299" s="245" t="str">
        <f>IF(ISNUMBER(SEARCH("R", 'Dry_Litterbag Placem_Collection'!$V6)),"YES","NO")</f>
        <v>NO</v>
      </c>
      <c r="AC299" s="245" t="str">
        <f>IF(ISNUMBER(SEARCH("C", 'Dry_Litterbag Placem_Collection'!$U6)),"YES","NO")</f>
        <v>NO</v>
      </c>
      <c r="AD299" s="245" t="str">
        <f>IF(ISNUMBER(SEARCH("H", 'Dry_Litterbag Placem_Collection'!$U6)),"YES","NO")</f>
        <v>NO</v>
      </c>
      <c r="AE299" s="245" t="str">
        <f>IF(ISNUMBER(SEARCH("R", 'Dry_Litterbag Placem_Collection'!$U6)),"YES","NO")</f>
        <v>NO</v>
      </c>
    </row>
    <row r="300" spans="2:31">
      <c r="B300" t="str">
        <f>Dryseason!B446</f>
        <v>Dry</v>
      </c>
      <c r="C300" s="253">
        <f>Dryseason!C446</f>
        <v>5</v>
      </c>
      <c r="D300" t="s">
        <v>3099</v>
      </c>
      <c r="E300" t="s">
        <v>25</v>
      </c>
      <c r="F300" s="375">
        <v>5</v>
      </c>
      <c r="G300" s="376">
        <f>IF('Dry_Litterbag Placem_Collection'!E7="","",'Dry_Litterbag Placem_Collection'!E7)</f>
        <v>42938</v>
      </c>
      <c r="H300" s="92" t="str">
        <f>Dryseason!L446</f>
        <v>G734</v>
      </c>
      <c r="I300" t="str">
        <f>Dryseason!L666</f>
        <v>R226</v>
      </c>
      <c r="J300">
        <f>IFERROR(INDEX('Green_rooibos initial weight'!$C$5:$C$2000,MATCH(H300, 'Green_rooibos initial weight'!$A$5:$A$2000,0)),"")</f>
        <v>1.9870000000000001</v>
      </c>
      <c r="K300">
        <f>IFERROR(INDEX('Green_rooibos initial weight'!$C$5:$C$2000,MATCH(I300, 'Green_rooibos initial weight'!$A$5:$A$2000,0)),"")</f>
        <v>2.2410000000000001</v>
      </c>
      <c r="L300" s="194">
        <f t="shared" si="28"/>
        <v>1.7372000000000001</v>
      </c>
      <c r="M300" s="233">
        <f>AVERAGE(Ashed_controlls!$K$1:$K$11)</f>
        <v>5.5147656768714146</v>
      </c>
      <c r="N300" s="194">
        <f t="shared" si="27"/>
        <v>1.9912000000000001</v>
      </c>
      <c r="O300" s="376" t="str">
        <f>IF('Dry_Litterbag Placem_Collection'!G7="","",'Dry_Litterbag Placem_Collection'!G7)</f>
        <v/>
      </c>
      <c r="P300" s="194" t="str">
        <f>IFERROR(INDEX('Both teabags AfterDry'!$D$3:$D$2000,MATCH(H300,'Both teabags AfterDry'!$A$3:$A$2000,0)),"")</f>
        <v/>
      </c>
      <c r="Q300" s="194" t="str">
        <f>IFERROR(INDEX('Both teabags AfterDry'!$D$3:$D$2000,MATCH(I300,'Both teabags AfterDry'!$A$3:$A$2000,0)),"")</f>
        <v/>
      </c>
      <c r="R300" s="194" t="str">
        <f t="shared" si="29"/>
        <v/>
      </c>
      <c r="S300" s="194" t="str">
        <f t="shared" si="29"/>
        <v/>
      </c>
      <c r="T300" s="194" t="str">
        <f t="shared" si="30"/>
        <v/>
      </c>
      <c r="U300" s="194" t="str">
        <f t="shared" si="31"/>
        <v/>
      </c>
      <c r="V300" s="194" t="str">
        <f t="shared" si="32"/>
        <v/>
      </c>
      <c r="W300" t="str">
        <f t="shared" si="33"/>
        <v/>
      </c>
      <c r="X300" s="194" t="str">
        <f t="shared" si="34"/>
        <v/>
      </c>
      <c r="Y300" s="194" t="str">
        <f t="shared" si="35"/>
        <v/>
      </c>
      <c r="Z300" s="245" t="str">
        <f>IF(ISNUMBER(SEARCH("C", 'Dry_Litterbag Placem_Collection'!$V7)),"YES","NO")</f>
        <v>NO</v>
      </c>
      <c r="AA300" s="245" t="str">
        <f>IF(ISNUMBER(SEARCH("H", 'Dry_Litterbag Placem_Collection'!$V7)),"YES","NO")</f>
        <v>NO</v>
      </c>
      <c r="AB300" s="245" t="str">
        <f>IF(ISNUMBER(SEARCH("R", 'Dry_Litterbag Placem_Collection'!$V7)),"YES","NO")</f>
        <v>NO</v>
      </c>
      <c r="AC300" s="245" t="str">
        <f>IF(ISNUMBER(SEARCH("C", 'Dry_Litterbag Placem_Collection'!$U7)),"YES","NO")</f>
        <v>NO</v>
      </c>
      <c r="AD300" s="245" t="str">
        <f>IF(ISNUMBER(SEARCH("H", 'Dry_Litterbag Placem_Collection'!$U7)),"YES","NO")</f>
        <v>NO</v>
      </c>
      <c r="AE300" s="245" t="str">
        <f>IF(ISNUMBER(SEARCH("R", 'Dry_Litterbag Placem_Collection'!$U7)),"YES","NO")</f>
        <v>NO</v>
      </c>
    </row>
    <row r="301" spans="2:31">
      <c r="B301" t="str">
        <f>Dryseason!B447</f>
        <v>Dry</v>
      </c>
      <c r="C301" s="253">
        <f>Dryseason!C447</f>
        <v>6</v>
      </c>
      <c r="D301" t="s">
        <v>3099</v>
      </c>
      <c r="E301" t="s">
        <v>25</v>
      </c>
      <c r="F301" s="375">
        <v>6</v>
      </c>
      <c r="G301" s="376">
        <f>IF('Dry_Litterbag Placem_Collection'!E8="","",'Dry_Litterbag Placem_Collection'!E8)</f>
        <v>42938</v>
      </c>
      <c r="H301" s="92" t="str">
        <f>Dryseason!L447</f>
        <v>G164</v>
      </c>
      <c r="I301" t="str">
        <f>Dryseason!L667</f>
        <v>R286</v>
      </c>
      <c r="J301">
        <f>IFERROR(INDEX('Green_rooibos initial weight'!$C$5:$C$2000,MATCH(H301, 'Green_rooibos initial weight'!$A$5:$A$2000,0)),"")</f>
        <v>1.994</v>
      </c>
      <c r="K301">
        <f>IFERROR(INDEX('Green_rooibos initial weight'!$C$5:$C$2000,MATCH(I301, 'Green_rooibos initial weight'!$A$5:$A$2000,0)),"")</f>
        <v>2.2160000000000002</v>
      </c>
      <c r="L301" s="194">
        <f t="shared" si="28"/>
        <v>1.7442</v>
      </c>
      <c r="M301" s="233">
        <f>AVERAGE(Ashed_controlls!$K$1:$K$11)</f>
        <v>5.5147656768714146</v>
      </c>
      <c r="N301" s="194">
        <f t="shared" si="27"/>
        <v>1.9662000000000002</v>
      </c>
      <c r="O301" s="376">
        <f>IF('Dry_Litterbag Placem_Collection'!G8="","",'Dry_Litterbag Placem_Collection'!G8)</f>
        <v>43007</v>
      </c>
      <c r="P301" s="194" t="str">
        <f>IFERROR(INDEX('Both teabags AfterDry'!$D$3:$D$2000,MATCH(H301,'Both teabags AfterDry'!$A$3:$A$2000,0)),"")</f>
        <v/>
      </c>
      <c r="Q301" s="194" t="str">
        <f>IFERROR(INDEX('Both teabags AfterDry'!$D$3:$D$2000,MATCH(I301,'Both teabags AfterDry'!$A$3:$A$2000,0)),"")</f>
        <v/>
      </c>
      <c r="R301" s="194" t="str">
        <f t="shared" si="29"/>
        <v/>
      </c>
      <c r="S301" s="194" t="str">
        <f t="shared" si="29"/>
        <v/>
      </c>
      <c r="T301" s="194" t="str">
        <f t="shared" si="30"/>
        <v/>
      </c>
      <c r="U301" s="194" t="str">
        <f t="shared" si="31"/>
        <v/>
      </c>
      <c r="V301" s="194" t="str">
        <f t="shared" si="32"/>
        <v/>
      </c>
      <c r="W301">
        <f t="shared" si="33"/>
        <v>69</v>
      </c>
      <c r="X301" s="194" t="str">
        <f t="shared" si="34"/>
        <v/>
      </c>
      <c r="Y301" s="194" t="str">
        <f t="shared" si="35"/>
        <v/>
      </c>
      <c r="Z301" s="245" t="str">
        <f>IF(ISNUMBER(SEARCH("C", 'Dry_Litterbag Placem_Collection'!$V8)),"YES","NO")</f>
        <v>NO</v>
      </c>
      <c r="AA301" s="245" t="str">
        <f>IF(ISNUMBER(SEARCH("H", 'Dry_Litterbag Placem_Collection'!$V8)),"YES","NO")</f>
        <v>NO</v>
      </c>
      <c r="AB301" s="245" t="str">
        <f>IF(ISNUMBER(SEARCH("R", 'Dry_Litterbag Placem_Collection'!$V8)),"YES","NO")</f>
        <v>NO</v>
      </c>
      <c r="AC301" s="245" t="str">
        <f>IF(ISNUMBER(SEARCH("C", 'Dry_Litterbag Placem_Collection'!$U8)),"YES","NO")</f>
        <v>NO</v>
      </c>
      <c r="AD301" s="245" t="str">
        <f>IF(ISNUMBER(SEARCH("H", 'Dry_Litterbag Placem_Collection'!$U8)),"YES","NO")</f>
        <v>NO</v>
      </c>
      <c r="AE301" s="245" t="str">
        <f>IF(ISNUMBER(SEARCH("R", 'Dry_Litterbag Placem_Collection'!$U8)),"YES","NO")</f>
        <v>NO</v>
      </c>
    </row>
    <row r="302" spans="2:31">
      <c r="B302" t="str">
        <f>Dryseason!B448</f>
        <v>Dry</v>
      </c>
      <c r="C302" s="253">
        <f>Dryseason!C448</f>
        <v>7</v>
      </c>
      <c r="D302" t="s">
        <v>3099</v>
      </c>
      <c r="E302" t="s">
        <v>25</v>
      </c>
      <c r="F302" s="375">
        <v>7</v>
      </c>
      <c r="G302" s="376">
        <f>IF('Dry_Litterbag Placem_Collection'!E9="","",'Dry_Litterbag Placem_Collection'!E9)</f>
        <v>42938</v>
      </c>
      <c r="H302" s="92" t="str">
        <f>Dryseason!L448</f>
        <v>G776</v>
      </c>
      <c r="I302" t="str">
        <f>Dryseason!L668</f>
        <v>R210</v>
      </c>
      <c r="J302">
        <f>IFERROR(INDEX('Green_rooibos initial weight'!$C$5:$C$2000,MATCH(H302, 'Green_rooibos initial weight'!$A$5:$A$2000,0)),"")</f>
        <v>1.9790000000000001</v>
      </c>
      <c r="K302">
        <f>IFERROR(INDEX('Green_rooibos initial weight'!$C$5:$C$2000,MATCH(I302, 'Green_rooibos initial weight'!$A$5:$A$2000,0)),"")</f>
        <v>2.2429999999999999</v>
      </c>
      <c r="L302" s="194">
        <f t="shared" si="28"/>
        <v>1.7292000000000001</v>
      </c>
      <c r="M302" s="233">
        <f>AVERAGE(Ashed_controlls!$K$1:$K$11)</f>
        <v>5.5147656768714146</v>
      </c>
      <c r="N302" s="194">
        <f t="shared" si="27"/>
        <v>1.9931999999999999</v>
      </c>
      <c r="O302" s="376">
        <f>IF('Dry_Litterbag Placem_Collection'!G9="","",'Dry_Litterbag Placem_Collection'!G9)</f>
        <v>43007</v>
      </c>
      <c r="P302" s="194">
        <f>IFERROR(INDEX('Both teabags AfterDry'!$D$3:$D$2000,MATCH(H302,'Both teabags AfterDry'!$A$3:$A$2000,0)),"")</f>
        <v>1.8093999999999999</v>
      </c>
      <c r="Q302" s="194">
        <f>IFERROR(INDEX('Both teabags AfterDry'!$D$3:$D$2000,MATCH(I302,'Both teabags AfterDry'!$A$3:$A$2000,0)),"")</f>
        <v>2.0261</v>
      </c>
      <c r="R302" s="194">
        <f t="shared" si="29"/>
        <v>1.6587999999999998</v>
      </c>
      <c r="S302" s="194">
        <f t="shared" si="29"/>
        <v>1.8754999999999999</v>
      </c>
      <c r="T302" s="194">
        <f t="shared" si="30"/>
        <v>4.0712468193384366E-2</v>
      </c>
      <c r="U302" s="194">
        <f t="shared" si="31"/>
        <v>2.6690359195662917E-2</v>
      </c>
      <c r="V302" s="194">
        <f t="shared" si="32"/>
        <v>0.94094922737306852</v>
      </c>
      <c r="W302">
        <f t="shared" si="33"/>
        <v>69</v>
      </c>
      <c r="X302" s="194">
        <f t="shared" si="34"/>
        <v>0.95164790000785704</v>
      </c>
      <c r="Y302" s="194" t="str">
        <f t="shared" si="35"/>
        <v/>
      </c>
      <c r="Z302" s="245" t="str">
        <f>IF(ISNUMBER(SEARCH("C", 'Dry_Litterbag Placem_Collection'!$V9)),"YES","NO")</f>
        <v>NO</v>
      </c>
      <c r="AA302" s="245" t="str">
        <f>IF(ISNUMBER(SEARCH("H", 'Dry_Litterbag Placem_Collection'!$V9)),"YES","NO")</f>
        <v>NO</v>
      </c>
      <c r="AB302" s="245" t="str">
        <f>IF(ISNUMBER(SEARCH("R", 'Dry_Litterbag Placem_Collection'!$V9)),"YES","NO")</f>
        <v>NO</v>
      </c>
      <c r="AC302" s="245" t="str">
        <f>IF(ISNUMBER(SEARCH("C", 'Dry_Litterbag Placem_Collection'!$U9)),"YES","NO")</f>
        <v>NO</v>
      </c>
      <c r="AD302" s="245" t="str">
        <f>IF(ISNUMBER(SEARCH("H", 'Dry_Litterbag Placem_Collection'!$U9)),"YES","NO")</f>
        <v>NO</v>
      </c>
      <c r="AE302" s="245" t="str">
        <f>IF(ISNUMBER(SEARCH("R", 'Dry_Litterbag Placem_Collection'!$U9)),"YES","NO")</f>
        <v>NO</v>
      </c>
    </row>
    <row r="303" spans="2:31">
      <c r="B303" t="str">
        <f>Dryseason!B449</f>
        <v>Dry</v>
      </c>
      <c r="C303" s="253">
        <f>Dryseason!C449</f>
        <v>8</v>
      </c>
      <c r="D303" t="s">
        <v>3099</v>
      </c>
      <c r="E303" t="s">
        <v>25</v>
      </c>
      <c r="F303" s="375">
        <v>8</v>
      </c>
      <c r="G303" s="376">
        <f>IF('Dry_Litterbag Placem_Collection'!E10="","",'Dry_Litterbag Placem_Collection'!E10)</f>
        <v>42938</v>
      </c>
      <c r="H303" s="92" t="str">
        <f>Dryseason!L449</f>
        <v>G23</v>
      </c>
      <c r="I303" t="str">
        <f>Dryseason!L669</f>
        <v>R213</v>
      </c>
      <c r="J303">
        <f>IFERROR(INDEX('Green_rooibos initial weight'!$C$5:$C$2000,MATCH(H303, 'Green_rooibos initial weight'!$A$5:$A$2000,0)),"")</f>
        <v>2.0750000000000002</v>
      </c>
      <c r="K303">
        <f>IFERROR(INDEX('Green_rooibos initial weight'!$C$5:$C$2000,MATCH(I303, 'Green_rooibos initial weight'!$A$5:$A$2000,0)),"")</f>
        <v>2.254</v>
      </c>
      <c r="L303" s="194">
        <f t="shared" si="28"/>
        <v>1.8252000000000002</v>
      </c>
      <c r="M303" s="233">
        <f>AVERAGE(Ashed_controlls!$K$1:$K$11)</f>
        <v>5.5147656768714146</v>
      </c>
      <c r="N303" s="194">
        <f t="shared" si="27"/>
        <v>2.0042</v>
      </c>
      <c r="O303" s="376">
        <f>IF('Dry_Litterbag Placem_Collection'!G10="","",'Dry_Litterbag Placem_Collection'!G10)</f>
        <v>43007</v>
      </c>
      <c r="P303" s="194">
        <f>IFERROR(INDEX('Both teabags AfterDry'!$D$3:$D$2000,MATCH(H303,'Both teabags AfterDry'!$A$3:$A$2000,0)),"")</f>
        <v>0.94159999999999999</v>
      </c>
      <c r="Q303" s="194">
        <f>IFERROR(INDEX('Both teabags AfterDry'!$D$3:$D$2000,MATCH(I303,'Both teabags AfterDry'!$A$3:$A$2000,0)),"")</f>
        <v>1.7698</v>
      </c>
      <c r="R303" s="194">
        <f t="shared" si="29"/>
        <v>0.79099999999999993</v>
      </c>
      <c r="S303" s="194">
        <f t="shared" si="29"/>
        <v>1.6192</v>
      </c>
      <c r="T303" s="194">
        <f t="shared" si="30"/>
        <v>0.56662283585360518</v>
      </c>
      <c r="U303" s="194">
        <f t="shared" si="31"/>
        <v>0.37146770236483384</v>
      </c>
      <c r="V303" s="194">
        <f t="shared" si="32"/>
        <v>0.80790340285400652</v>
      </c>
      <c r="W303">
        <f t="shared" si="33"/>
        <v>69</v>
      </c>
      <c r="X303" s="194">
        <f t="shared" si="34"/>
        <v>0.32705126383182281</v>
      </c>
      <c r="Y303" s="194">
        <f t="shared" si="35"/>
        <v>1.0550797807439484E-2</v>
      </c>
      <c r="Z303" s="245" t="str">
        <f>IF(ISNUMBER(SEARCH("C", 'Dry_Litterbag Placem_Collection'!$V10)),"YES","NO")</f>
        <v>NO</v>
      </c>
      <c r="AA303" s="245" t="str">
        <f>IF(ISNUMBER(SEARCH("H", 'Dry_Litterbag Placem_Collection'!$V10)),"YES","NO")</f>
        <v>NO</v>
      </c>
      <c r="AB303" s="245" t="str">
        <f>IF(ISNUMBER(SEARCH("R", 'Dry_Litterbag Placem_Collection'!$V10)),"YES","NO")</f>
        <v>NO</v>
      </c>
      <c r="AC303" s="245" t="str">
        <f>IF(ISNUMBER(SEARCH("C", 'Dry_Litterbag Placem_Collection'!$U10)),"YES","NO")</f>
        <v>NO</v>
      </c>
      <c r="AD303" s="245" t="str">
        <f>IF(ISNUMBER(SEARCH("H", 'Dry_Litterbag Placem_Collection'!$U10)),"YES","NO")</f>
        <v>NO</v>
      </c>
      <c r="AE303" s="245" t="str">
        <f>IF(ISNUMBER(SEARCH("R", 'Dry_Litterbag Placem_Collection'!$U10)),"YES","NO")</f>
        <v>YES</v>
      </c>
    </row>
    <row r="304" spans="2:31">
      <c r="B304" t="str">
        <f>Dryseason!B450</f>
        <v>Dry</v>
      </c>
      <c r="C304" s="253">
        <f>Dryseason!C450</f>
        <v>9</v>
      </c>
      <c r="D304" t="s">
        <v>3103</v>
      </c>
      <c r="E304" t="s">
        <v>25</v>
      </c>
      <c r="F304" s="374">
        <v>1</v>
      </c>
      <c r="G304" s="376">
        <f>IF('Dry_Litterbag Placem_Collection'!E11="","",'Dry_Litterbag Placem_Collection'!E11)</f>
        <v>42938</v>
      </c>
      <c r="H304" s="92" t="str">
        <f>Dryseason!L450</f>
        <v>G570</v>
      </c>
      <c r="I304" t="str">
        <f>Dryseason!L670</f>
        <v>R704</v>
      </c>
      <c r="J304">
        <f>IFERROR(INDEX('Green_rooibos initial weight'!$C$5:$C$2000,MATCH(H304, 'Green_rooibos initial weight'!$A$5:$A$2000,0)),"")</f>
        <v>2.1040000000000001</v>
      </c>
      <c r="K304">
        <f>IFERROR(INDEX('Green_rooibos initial weight'!$C$5:$C$2000,MATCH(I304, 'Green_rooibos initial weight'!$A$5:$A$2000,0)),"")</f>
        <v>2.1480000000000001</v>
      </c>
      <c r="L304" s="194">
        <f t="shared" si="28"/>
        <v>1.8542000000000001</v>
      </c>
      <c r="M304" s="233">
        <f>AVERAGE(Ashed_controlls!$K$1:$K$11)</f>
        <v>5.5147656768714146</v>
      </c>
      <c r="N304" s="194">
        <f t="shared" si="27"/>
        <v>1.8982000000000001</v>
      </c>
      <c r="O304" s="376">
        <f>IF('Dry_Litterbag Placem_Collection'!G11="","",'Dry_Litterbag Placem_Collection'!G11)</f>
        <v>43007</v>
      </c>
      <c r="P304" s="194">
        <f>IFERROR(INDEX('Both teabags AfterDry'!$D$3:$D$2000,MATCH(H304,'Both teabags AfterDry'!$A$3:$A$2000,0)),"")</f>
        <v>1.9100999999999999</v>
      </c>
      <c r="Q304" s="194">
        <f>IFERROR(INDEX('Both teabags AfterDry'!$D$3:$D$2000,MATCH(I304,'Both teabags AfterDry'!$A$3:$A$2000,0)),"")</f>
        <v>1.9311</v>
      </c>
      <c r="R304" s="194">
        <f t="shared" si="29"/>
        <v>1.7594999999999998</v>
      </c>
      <c r="S304" s="194">
        <f t="shared" si="29"/>
        <v>1.7805</v>
      </c>
      <c r="T304" s="194">
        <f t="shared" si="30"/>
        <v>5.1073239132779724E-2</v>
      </c>
      <c r="U304" s="194">
        <f t="shared" si="31"/>
        <v>3.3482693588235621E-2</v>
      </c>
      <c r="V304" s="194">
        <f t="shared" si="32"/>
        <v>0.93799388894742386</v>
      </c>
      <c r="W304">
        <f t="shared" si="33"/>
        <v>69</v>
      </c>
      <c r="X304" s="194">
        <f t="shared" si="34"/>
        <v>0.93934294639812388</v>
      </c>
      <c r="Y304" s="194" t="str">
        <f t="shared" si="35"/>
        <v/>
      </c>
      <c r="Z304" s="245" t="str">
        <f>IF(ISNUMBER(SEARCH("C", 'Dry_Litterbag Placem_Collection'!$V11)),"YES","NO")</f>
        <v>NO</v>
      </c>
      <c r="AA304" s="245" t="str">
        <f>IF(ISNUMBER(SEARCH("H", 'Dry_Litterbag Placem_Collection'!$V11)),"YES","NO")</f>
        <v>NO</v>
      </c>
      <c r="AB304" s="245" t="str">
        <f>IF(ISNUMBER(SEARCH("R", 'Dry_Litterbag Placem_Collection'!$V11)),"YES","NO")</f>
        <v>NO</v>
      </c>
      <c r="AC304" s="245" t="str">
        <f>IF(ISNUMBER(SEARCH("C", 'Dry_Litterbag Placem_Collection'!$U11)),"YES","NO")</f>
        <v>NO</v>
      </c>
      <c r="AD304" s="245" t="str">
        <f>IF(ISNUMBER(SEARCH("H", 'Dry_Litterbag Placem_Collection'!$U11)),"YES","NO")</f>
        <v>NO</v>
      </c>
      <c r="AE304" s="245" t="str">
        <f>IF(ISNUMBER(SEARCH("R", 'Dry_Litterbag Placem_Collection'!$U11)),"YES","NO")</f>
        <v>NO</v>
      </c>
    </row>
    <row r="305" spans="2:31">
      <c r="B305" t="str">
        <f>Dryseason!B451</f>
        <v>Dry</v>
      </c>
      <c r="C305" s="253">
        <f>Dryseason!C451</f>
        <v>10</v>
      </c>
      <c r="D305" t="s">
        <v>3103</v>
      </c>
      <c r="E305" t="s">
        <v>25</v>
      </c>
      <c r="F305" s="374">
        <v>2</v>
      </c>
      <c r="G305" s="376">
        <f>IF('Dry_Litterbag Placem_Collection'!E12="","",'Dry_Litterbag Placem_Collection'!E12)</f>
        <v>42938</v>
      </c>
      <c r="H305" s="92" t="str">
        <f>Dryseason!L451</f>
        <v>G642</v>
      </c>
      <c r="I305" t="str">
        <f>Dryseason!L671</f>
        <v>R355</v>
      </c>
      <c r="J305">
        <f>IFERROR(INDEX('Green_rooibos initial weight'!$C$5:$C$2000,MATCH(H305, 'Green_rooibos initial weight'!$A$5:$A$2000,0)),"")</f>
        <v>2.1269999999999998</v>
      </c>
      <c r="K305">
        <f>IFERROR(INDEX('Green_rooibos initial weight'!$C$5:$C$2000,MATCH(I305, 'Green_rooibos initial weight'!$A$5:$A$2000,0)),"")</f>
        <v>2.1850000000000001</v>
      </c>
      <c r="L305" s="194">
        <f t="shared" si="28"/>
        <v>1.8771999999999998</v>
      </c>
      <c r="M305" s="233">
        <f>AVERAGE(Ashed_controlls!$K$1:$K$11)</f>
        <v>5.5147656768714146</v>
      </c>
      <c r="N305" s="194">
        <f t="shared" si="27"/>
        <v>1.9352</v>
      </c>
      <c r="O305" s="376" t="str">
        <f>IF('Dry_Litterbag Placem_Collection'!G12="","",'Dry_Litterbag Placem_Collection'!G12)</f>
        <v/>
      </c>
      <c r="P305" s="194" t="str">
        <f>IFERROR(INDEX('Both teabags AfterDry'!$D$3:$D$2000,MATCH(H305,'Both teabags AfterDry'!$A$3:$A$2000,0)),"")</f>
        <v/>
      </c>
      <c r="Q305" s="194" t="str">
        <f>IFERROR(INDEX('Both teabags AfterDry'!$D$3:$D$2000,MATCH(I305,'Both teabags AfterDry'!$A$3:$A$2000,0)),"")</f>
        <v/>
      </c>
      <c r="R305" s="194" t="str">
        <f t="shared" si="29"/>
        <v/>
      </c>
      <c r="S305" s="194" t="str">
        <f t="shared" si="29"/>
        <v/>
      </c>
      <c r="T305" s="194" t="str">
        <f t="shared" si="30"/>
        <v/>
      </c>
      <c r="U305" s="194" t="str">
        <f t="shared" si="31"/>
        <v/>
      </c>
      <c r="V305" s="194" t="str">
        <f t="shared" si="32"/>
        <v/>
      </c>
      <c r="W305" t="str">
        <f t="shared" si="33"/>
        <v/>
      </c>
      <c r="X305" s="194" t="str">
        <f t="shared" si="34"/>
        <v/>
      </c>
      <c r="Y305" s="194" t="str">
        <f t="shared" si="35"/>
        <v/>
      </c>
      <c r="Z305" s="245" t="str">
        <f>IF(ISNUMBER(SEARCH("C", 'Dry_Litterbag Placem_Collection'!$V12)),"YES","NO")</f>
        <v>NO</v>
      </c>
      <c r="AA305" s="245" t="str">
        <f>IF(ISNUMBER(SEARCH("H", 'Dry_Litterbag Placem_Collection'!$V12)),"YES","NO")</f>
        <v>NO</v>
      </c>
      <c r="AB305" s="245" t="str">
        <f>IF(ISNUMBER(SEARCH("R", 'Dry_Litterbag Placem_Collection'!$V12)),"YES","NO")</f>
        <v>NO</v>
      </c>
      <c r="AC305" s="245" t="str">
        <f>IF(ISNUMBER(SEARCH("C", 'Dry_Litterbag Placem_Collection'!$U12)),"YES","NO")</f>
        <v>NO</v>
      </c>
      <c r="AD305" s="245" t="str">
        <f>IF(ISNUMBER(SEARCH("H", 'Dry_Litterbag Placem_Collection'!$U12)),"YES","NO")</f>
        <v>NO</v>
      </c>
      <c r="AE305" s="245" t="str">
        <f>IF(ISNUMBER(SEARCH("R", 'Dry_Litterbag Placem_Collection'!$U12)),"YES","NO")</f>
        <v>NO</v>
      </c>
    </row>
    <row r="306" spans="2:31">
      <c r="B306" t="str">
        <f>Dryseason!B452</f>
        <v>Dry</v>
      </c>
      <c r="C306" s="253">
        <f>Dryseason!C452</f>
        <v>11</v>
      </c>
      <c r="D306" t="s">
        <v>3103</v>
      </c>
      <c r="E306" t="s">
        <v>25</v>
      </c>
      <c r="F306" s="374">
        <v>3</v>
      </c>
      <c r="G306" s="376">
        <f>IF('Dry_Litterbag Placem_Collection'!E13="","",'Dry_Litterbag Placem_Collection'!E13)</f>
        <v>42938</v>
      </c>
      <c r="H306" s="92" t="str">
        <f>Dryseason!L452</f>
        <v>G663</v>
      </c>
      <c r="I306" t="str">
        <f>Dryseason!L672</f>
        <v>R616</v>
      </c>
      <c r="J306">
        <f>IFERROR(INDEX('Green_rooibos initial weight'!$C$5:$C$2000,MATCH(H306, 'Green_rooibos initial weight'!$A$5:$A$2000,0)),"")</f>
        <v>2.0760000000000001</v>
      </c>
      <c r="K306">
        <f>IFERROR(INDEX('Green_rooibos initial weight'!$C$5:$C$2000,MATCH(I306, 'Green_rooibos initial weight'!$A$5:$A$2000,0)),"")</f>
        <v>2.1739999999999999</v>
      </c>
      <c r="L306" s="194">
        <f t="shared" si="28"/>
        <v>1.8262</v>
      </c>
      <c r="M306" s="233">
        <f>AVERAGE(Ashed_controlls!$K$1:$K$11)</f>
        <v>5.5147656768714146</v>
      </c>
      <c r="N306" s="194">
        <f t="shared" si="27"/>
        <v>1.9241999999999999</v>
      </c>
      <c r="O306" s="376">
        <f>IF('Dry_Litterbag Placem_Collection'!G13="","",'Dry_Litterbag Placem_Collection'!G13)</f>
        <v>43007</v>
      </c>
      <c r="P306" s="194">
        <f>IFERROR(INDEX('Both teabags AfterDry'!$D$3:$D$2000,MATCH(H306,'Both teabags AfterDry'!$A$3:$A$2000,0)),"")</f>
        <v>1.6718</v>
      </c>
      <c r="Q306" s="194">
        <f>IFERROR(INDEX('Both teabags AfterDry'!$D$3:$D$2000,MATCH(I306,'Both teabags AfterDry'!$A$3:$A$2000,0)),"")</f>
        <v>1.9423999999999999</v>
      </c>
      <c r="R306" s="194">
        <f t="shared" si="29"/>
        <v>1.5211999999999999</v>
      </c>
      <c r="S306" s="194">
        <f t="shared" si="29"/>
        <v>1.7917999999999998</v>
      </c>
      <c r="T306" s="194">
        <f t="shared" si="30"/>
        <v>0.16701347059467753</v>
      </c>
      <c r="U306" s="194">
        <f t="shared" si="31"/>
        <v>0.10949101635185514</v>
      </c>
      <c r="V306" s="194">
        <f t="shared" si="32"/>
        <v>0.93119218376468138</v>
      </c>
      <c r="W306">
        <f t="shared" si="33"/>
        <v>69</v>
      </c>
      <c r="X306" s="194">
        <f t="shared" si="34"/>
        <v>0.80164670950750883</v>
      </c>
      <c r="Y306" s="194">
        <f t="shared" si="35"/>
        <v>1.4348221300832653E-2</v>
      </c>
      <c r="Z306" s="245" t="str">
        <f>IF(ISNUMBER(SEARCH("C", 'Dry_Litterbag Placem_Collection'!$V13)),"YES","NO")</f>
        <v>NO</v>
      </c>
      <c r="AA306" s="245" t="str">
        <f>IF(ISNUMBER(SEARCH("H", 'Dry_Litterbag Placem_Collection'!$V13)),"YES","NO")</f>
        <v>NO</v>
      </c>
      <c r="AB306" s="245" t="str">
        <f>IF(ISNUMBER(SEARCH("R", 'Dry_Litterbag Placem_Collection'!$V13)),"YES","NO")</f>
        <v>NO</v>
      </c>
      <c r="AC306" s="245" t="str">
        <f>IF(ISNUMBER(SEARCH("C", 'Dry_Litterbag Placem_Collection'!$U13)),"YES","NO")</f>
        <v>NO</v>
      </c>
      <c r="AD306" s="245" t="str">
        <f>IF(ISNUMBER(SEARCH("H", 'Dry_Litterbag Placem_Collection'!$U13)),"YES","NO")</f>
        <v>NO</v>
      </c>
      <c r="AE306" s="245" t="str">
        <f>IF(ISNUMBER(SEARCH("R", 'Dry_Litterbag Placem_Collection'!$U13)),"YES","NO")</f>
        <v>NO</v>
      </c>
    </row>
    <row r="307" spans="2:31">
      <c r="B307" t="str">
        <f>Dryseason!B453</f>
        <v>Dry</v>
      </c>
      <c r="C307" s="253">
        <f>Dryseason!C453</f>
        <v>12</v>
      </c>
      <c r="D307" t="s">
        <v>3103</v>
      </c>
      <c r="E307" t="s">
        <v>25</v>
      </c>
      <c r="F307" s="375">
        <v>4</v>
      </c>
      <c r="G307" s="376" t="str">
        <f>IF('Dry_Litterbag Placem_Collection'!E14="","",'Dry_Litterbag Placem_Collection'!E14)</f>
        <v/>
      </c>
      <c r="H307" s="92" t="str">
        <f>Dryseason!L453</f>
        <v/>
      </c>
      <c r="I307" t="str">
        <f>Dryseason!L673</f>
        <v/>
      </c>
      <c r="J307" t="str">
        <f>IFERROR(INDEX('Green_rooibos initial weight'!$C$5:$C$2000,MATCH(H307, 'Green_rooibos initial weight'!$A$5:$A$2000,0)),"")</f>
        <v/>
      </c>
      <c r="K307" t="str">
        <f>IFERROR(INDEX('Green_rooibos initial weight'!$C$5:$C$2000,MATCH(I307, 'Green_rooibos initial weight'!$A$5:$A$2000,0)),"")</f>
        <v/>
      </c>
      <c r="L307" s="194" t="str">
        <f t="shared" si="28"/>
        <v/>
      </c>
      <c r="M307" s="233">
        <f>AVERAGE(Ashed_controlls!$K$1:$K$11)</f>
        <v>5.5147656768714146</v>
      </c>
      <c r="N307" s="194" t="str">
        <f t="shared" si="27"/>
        <v/>
      </c>
      <c r="O307" s="376" t="str">
        <f>IF('Dry_Litterbag Placem_Collection'!G14="","",'Dry_Litterbag Placem_Collection'!G14)</f>
        <v/>
      </c>
      <c r="P307" s="194" t="str">
        <f>IFERROR(INDEX('Both teabags AfterDry'!$D$3:$D$2000,MATCH(H307,'Both teabags AfterDry'!$A$3:$A$2000,0)),"")</f>
        <v/>
      </c>
      <c r="Q307" s="194" t="str">
        <f>IFERROR(INDEX('Both teabags AfterDry'!$D$3:$D$2000,MATCH(I307,'Both teabags AfterDry'!$A$3:$A$2000,0)),"")</f>
        <v/>
      </c>
      <c r="R307" s="194" t="str">
        <f t="shared" si="29"/>
        <v/>
      </c>
      <c r="S307" s="194" t="str">
        <f t="shared" si="29"/>
        <v/>
      </c>
      <c r="T307" s="194" t="str">
        <f t="shared" si="30"/>
        <v/>
      </c>
      <c r="U307" s="194" t="str">
        <f t="shared" si="31"/>
        <v/>
      </c>
      <c r="V307" s="194" t="str">
        <f t="shared" si="32"/>
        <v/>
      </c>
      <c r="W307" t="str">
        <f t="shared" si="33"/>
        <v/>
      </c>
      <c r="X307" s="194" t="str">
        <f t="shared" si="34"/>
        <v/>
      </c>
      <c r="Y307" s="194" t="str">
        <f t="shared" si="35"/>
        <v/>
      </c>
      <c r="Z307" s="245" t="str">
        <f>IF(ISNUMBER(SEARCH("C", 'Dry_Litterbag Placem_Collection'!$V14)),"YES","NO")</f>
        <v>NO</v>
      </c>
      <c r="AA307" s="245" t="str">
        <f>IF(ISNUMBER(SEARCH("H", 'Dry_Litterbag Placem_Collection'!$V14)),"YES","NO")</f>
        <v>NO</v>
      </c>
      <c r="AB307" s="245" t="str">
        <f>IF(ISNUMBER(SEARCH("R", 'Dry_Litterbag Placem_Collection'!$V14)),"YES","NO")</f>
        <v>NO</v>
      </c>
      <c r="AC307" s="245" t="str">
        <f>IF(ISNUMBER(SEARCH("C", 'Dry_Litterbag Placem_Collection'!$U14)),"YES","NO")</f>
        <v>NO</v>
      </c>
      <c r="AD307" s="245" t="str">
        <f>IF(ISNUMBER(SEARCH("H", 'Dry_Litterbag Placem_Collection'!$U14)),"YES","NO")</f>
        <v>NO</v>
      </c>
      <c r="AE307" s="245" t="str">
        <f>IF(ISNUMBER(SEARCH("R", 'Dry_Litterbag Placem_Collection'!$U14)),"YES","NO")</f>
        <v>NO</v>
      </c>
    </row>
    <row r="308" spans="2:31">
      <c r="B308" t="str">
        <f>Dryseason!B454</f>
        <v>Dry</v>
      </c>
      <c r="C308" s="253">
        <f>Dryseason!C454</f>
        <v>13</v>
      </c>
      <c r="D308" t="s">
        <v>3103</v>
      </c>
      <c r="E308" t="s">
        <v>25</v>
      </c>
      <c r="F308" s="375">
        <v>5</v>
      </c>
      <c r="G308" s="376">
        <f>IF('Dry_Litterbag Placem_Collection'!E15="","",'Dry_Litterbag Placem_Collection'!E15)</f>
        <v>42938</v>
      </c>
      <c r="H308" s="92" t="str">
        <f>Dryseason!L454</f>
        <v>G874</v>
      </c>
      <c r="I308" t="str">
        <f>Dryseason!L674</f>
        <v>R603</v>
      </c>
      <c r="J308">
        <f>IFERROR(INDEX('Green_rooibos initial weight'!$C$5:$C$2000,MATCH(H308, 'Green_rooibos initial weight'!$A$5:$A$2000,0)),"")</f>
        <v>2.032</v>
      </c>
      <c r="K308">
        <f>IFERROR(INDEX('Green_rooibos initial weight'!$C$5:$C$2000,MATCH(I308, 'Green_rooibos initial weight'!$A$5:$A$2000,0)),"")</f>
        <v>2.1440000000000001</v>
      </c>
      <c r="L308" s="194">
        <f t="shared" si="28"/>
        <v>1.7822</v>
      </c>
      <c r="M308" s="233">
        <f>AVERAGE(Ashed_controlls!$K$1:$K$11)</f>
        <v>5.5147656768714146</v>
      </c>
      <c r="N308" s="194">
        <f t="shared" si="27"/>
        <v>1.8942000000000001</v>
      </c>
      <c r="O308" s="376">
        <f>IF('Dry_Litterbag Placem_Collection'!G15="","",'Dry_Litterbag Placem_Collection'!G15)</f>
        <v>43007</v>
      </c>
      <c r="P308" s="194">
        <f>IFERROR(INDEX('Both teabags AfterDry'!$D$3:$D$2000,MATCH(H308,'Both teabags AfterDry'!$A$3:$A$2000,0)),"")</f>
        <v>1.361</v>
      </c>
      <c r="Q308" s="194">
        <f>IFERROR(INDEX('Both teabags AfterDry'!$D$3:$D$2000,MATCH(I308,'Both teabags AfterDry'!$A$3:$A$2000,0)),"")</f>
        <v>1.9094</v>
      </c>
      <c r="R308" s="194">
        <f t="shared" si="29"/>
        <v>1.2103999999999999</v>
      </c>
      <c r="S308" s="194">
        <f t="shared" si="29"/>
        <v>1.7587999999999999</v>
      </c>
      <c r="T308" s="194">
        <f t="shared" si="30"/>
        <v>0.32083941196274268</v>
      </c>
      <c r="U308" s="194">
        <f t="shared" si="31"/>
        <v>0.21033652660740379</v>
      </c>
      <c r="V308" s="194">
        <f t="shared" si="32"/>
        <v>0.92851863583570893</v>
      </c>
      <c r="W308">
        <f t="shared" si="33"/>
        <v>69</v>
      </c>
      <c r="X308" s="194">
        <f t="shared" si="34"/>
        <v>0.61895556774021054</v>
      </c>
      <c r="Y308" s="194">
        <f t="shared" si="35"/>
        <v>6.018512502377343E-3</v>
      </c>
      <c r="Z308" s="245" t="str">
        <f>IF(ISNUMBER(SEARCH("C", 'Dry_Litterbag Placem_Collection'!$V15)),"YES","NO")</f>
        <v>NO</v>
      </c>
      <c r="AA308" s="245" t="str">
        <f>IF(ISNUMBER(SEARCH("H", 'Dry_Litterbag Placem_Collection'!$V15)),"YES","NO")</f>
        <v>NO</v>
      </c>
      <c r="AB308" s="245" t="str">
        <f>IF(ISNUMBER(SEARCH("R", 'Dry_Litterbag Placem_Collection'!$V15)),"YES","NO")</f>
        <v>NO</v>
      </c>
      <c r="AC308" s="245" t="str">
        <f>IF(ISNUMBER(SEARCH("C", 'Dry_Litterbag Placem_Collection'!$U15)),"YES","NO")</f>
        <v>NO</v>
      </c>
      <c r="AD308" s="245" t="str">
        <f>IF(ISNUMBER(SEARCH("H", 'Dry_Litterbag Placem_Collection'!$U15)),"YES","NO")</f>
        <v>NO</v>
      </c>
      <c r="AE308" s="245" t="str">
        <f>IF(ISNUMBER(SEARCH("R", 'Dry_Litterbag Placem_Collection'!$U15)),"YES","NO")</f>
        <v>NO</v>
      </c>
    </row>
    <row r="309" spans="2:31">
      <c r="B309" t="str">
        <f>Dryseason!B455</f>
        <v>Dry</v>
      </c>
      <c r="C309" s="253">
        <f>Dryseason!C455</f>
        <v>14</v>
      </c>
      <c r="D309" t="s">
        <v>3103</v>
      </c>
      <c r="E309" t="s">
        <v>25</v>
      </c>
      <c r="F309" s="375">
        <v>6</v>
      </c>
      <c r="G309" s="376">
        <f>IF('Dry_Litterbag Placem_Collection'!E16="","",'Dry_Litterbag Placem_Collection'!E16)</f>
        <v>42938</v>
      </c>
      <c r="H309" s="92" t="str">
        <f>Dryseason!L455</f>
        <v>G219</v>
      </c>
      <c r="I309" t="str">
        <f>Dryseason!L675</f>
        <v>R652</v>
      </c>
      <c r="J309">
        <f>IFERROR(INDEX('Green_rooibos initial weight'!$C$5:$C$2000,MATCH(H309, 'Green_rooibos initial weight'!$A$5:$A$2000,0)),"")</f>
        <v>2.0110000000000001</v>
      </c>
      <c r="K309">
        <f>IFERROR(INDEX('Green_rooibos initial weight'!$C$5:$C$2000,MATCH(I309, 'Green_rooibos initial weight'!$A$5:$A$2000,0)),"")</f>
        <v>2.2090000000000001</v>
      </c>
      <c r="L309" s="194">
        <f t="shared" si="28"/>
        <v>1.7612000000000001</v>
      </c>
      <c r="M309" s="233">
        <f>AVERAGE(Ashed_controlls!$K$1:$K$11)</f>
        <v>5.5147656768714146</v>
      </c>
      <c r="N309" s="194">
        <f t="shared" si="27"/>
        <v>1.9592000000000001</v>
      </c>
      <c r="O309" s="376">
        <f>IF('Dry_Litterbag Placem_Collection'!G16="","",'Dry_Litterbag Placem_Collection'!G16)</f>
        <v>43007</v>
      </c>
      <c r="P309" s="194">
        <f>IFERROR(INDEX('Both teabags AfterDry'!$D$3:$D$2000,MATCH(H309,'Both teabags AfterDry'!$A$3:$A$2000,0)),"")</f>
        <v>0.76939999999999997</v>
      </c>
      <c r="Q309" s="194">
        <f>IFERROR(INDEX('Both teabags AfterDry'!$D$3:$D$2000,MATCH(I309,'Both teabags AfterDry'!$A$3:$A$2000,0)),"")</f>
        <v>1.9245000000000001</v>
      </c>
      <c r="R309" s="194">
        <f t="shared" si="29"/>
        <v>0.61880000000000002</v>
      </c>
      <c r="S309" s="194">
        <f t="shared" si="29"/>
        <v>1.7739</v>
      </c>
      <c r="T309" s="194">
        <f t="shared" si="30"/>
        <v>0.64864864864864868</v>
      </c>
      <c r="U309" s="194">
        <f t="shared" si="31"/>
        <v>0.42524234448224957</v>
      </c>
      <c r="V309" s="194">
        <f t="shared" si="32"/>
        <v>0.90542057982850144</v>
      </c>
      <c r="W309">
        <f t="shared" si="33"/>
        <v>69</v>
      </c>
      <c r="X309" s="194">
        <f t="shared" si="34"/>
        <v>0.22963343390896829</v>
      </c>
      <c r="Y309" s="194">
        <f t="shared" si="35"/>
        <v>3.6457931561815174E-3</v>
      </c>
      <c r="Z309" s="245" t="str">
        <f>IF(ISNUMBER(SEARCH("C", 'Dry_Litterbag Placem_Collection'!$V16)),"YES","NO")</f>
        <v>NO</v>
      </c>
      <c r="AA309" s="245" t="str">
        <f>IF(ISNUMBER(SEARCH("H", 'Dry_Litterbag Placem_Collection'!$V16)),"YES","NO")</f>
        <v>NO</v>
      </c>
      <c r="AB309" s="245" t="str">
        <f>IF(ISNUMBER(SEARCH("R", 'Dry_Litterbag Placem_Collection'!$V16)),"YES","NO")</f>
        <v>NO</v>
      </c>
      <c r="AC309" s="245" t="str">
        <f>IF(ISNUMBER(SEARCH("C", 'Dry_Litterbag Placem_Collection'!$U16)),"YES","NO")</f>
        <v>NO</v>
      </c>
      <c r="AD309" s="245" t="str">
        <f>IF(ISNUMBER(SEARCH("H", 'Dry_Litterbag Placem_Collection'!$U16)),"YES","NO")</f>
        <v>NO</v>
      </c>
      <c r="AE309" s="245" t="str">
        <f>IF(ISNUMBER(SEARCH("R", 'Dry_Litterbag Placem_Collection'!$U16)),"YES","NO")</f>
        <v>YES</v>
      </c>
    </row>
    <row r="310" spans="2:31">
      <c r="B310" t="str">
        <f>Dryseason!B456</f>
        <v>Dry</v>
      </c>
      <c r="C310" s="253">
        <f>Dryseason!C456</f>
        <v>15</v>
      </c>
      <c r="D310" t="s">
        <v>3103</v>
      </c>
      <c r="E310" t="s">
        <v>25</v>
      </c>
      <c r="F310" s="375">
        <v>7</v>
      </c>
      <c r="G310" s="376">
        <f>IF('Dry_Litterbag Placem_Collection'!E17="","",'Dry_Litterbag Placem_Collection'!E17)</f>
        <v>42938</v>
      </c>
      <c r="H310" s="92" t="str">
        <f>Dryseason!L456</f>
        <v>G630</v>
      </c>
      <c r="I310" t="str">
        <f>Dryseason!L676</f>
        <v>R304</v>
      </c>
      <c r="J310">
        <f>IFERROR(INDEX('Green_rooibos initial weight'!$C$5:$C$2000,MATCH(H310, 'Green_rooibos initial weight'!$A$5:$A$2000,0)),"")</f>
        <v>2.12</v>
      </c>
      <c r="K310">
        <f>IFERROR(INDEX('Green_rooibos initial weight'!$C$5:$C$2000,MATCH(I310, 'Green_rooibos initial weight'!$A$5:$A$2000,0)),"")</f>
        <v>2.1930000000000001</v>
      </c>
      <c r="L310" s="194">
        <f t="shared" si="28"/>
        <v>1.8702000000000001</v>
      </c>
      <c r="M310" s="233">
        <f>AVERAGE(Ashed_controlls!$K$1:$K$11)</f>
        <v>5.5147656768714146</v>
      </c>
      <c r="N310" s="194">
        <f t="shared" si="27"/>
        <v>1.9432</v>
      </c>
      <c r="O310" s="376">
        <f>IF('Dry_Litterbag Placem_Collection'!G17="","",'Dry_Litterbag Placem_Collection'!G17)</f>
        <v>43007</v>
      </c>
      <c r="P310" s="194">
        <f>IFERROR(INDEX('Both teabags AfterDry'!$D$3:$D$2000,MATCH(H310,'Both teabags AfterDry'!$A$3:$A$2000,0)),"")</f>
        <v>1.8631</v>
      </c>
      <c r="Q310" s="194">
        <f>IFERROR(INDEX('Both teabags AfterDry'!$D$3:$D$2000,MATCH(I310,'Both teabags AfterDry'!$A$3:$A$2000,0)),"")</f>
        <v>1.8989</v>
      </c>
      <c r="R310" s="194">
        <f t="shared" si="29"/>
        <v>1.7124999999999999</v>
      </c>
      <c r="S310" s="194">
        <f t="shared" si="29"/>
        <v>1.7483</v>
      </c>
      <c r="T310" s="194">
        <f t="shared" si="30"/>
        <v>8.4322532349481394E-2</v>
      </c>
      <c r="U310" s="194">
        <f t="shared" si="31"/>
        <v>5.5280329996334629E-2</v>
      </c>
      <c r="V310" s="194">
        <f t="shared" si="32"/>
        <v>0.89970152326060104</v>
      </c>
      <c r="W310">
        <f t="shared" si="33"/>
        <v>69</v>
      </c>
      <c r="X310" s="194">
        <f t="shared" si="34"/>
        <v>0.89985447464432133</v>
      </c>
      <c r="Y310" s="194" t="str">
        <f t="shared" si="35"/>
        <v/>
      </c>
      <c r="Z310" s="245" t="str">
        <f>IF(ISNUMBER(SEARCH("C", 'Dry_Litterbag Placem_Collection'!$V17)),"YES","NO")</f>
        <v>NO</v>
      </c>
      <c r="AA310" s="245" t="str">
        <f>IF(ISNUMBER(SEARCH("H", 'Dry_Litterbag Placem_Collection'!$V17)),"YES","NO")</f>
        <v>NO</v>
      </c>
      <c r="AB310" s="245" t="str">
        <f>IF(ISNUMBER(SEARCH("R", 'Dry_Litterbag Placem_Collection'!$V17)),"YES","NO")</f>
        <v>NO</v>
      </c>
      <c r="AC310" s="245" t="str">
        <f>IF(ISNUMBER(SEARCH("C", 'Dry_Litterbag Placem_Collection'!$U17)),"YES","NO")</f>
        <v>NO</v>
      </c>
      <c r="AD310" s="245" t="str">
        <f>IF(ISNUMBER(SEARCH("H", 'Dry_Litterbag Placem_Collection'!$U17)),"YES","NO")</f>
        <v>NO</v>
      </c>
      <c r="AE310" s="245" t="str">
        <f>IF(ISNUMBER(SEARCH("R", 'Dry_Litterbag Placem_Collection'!$U17)),"YES","NO")</f>
        <v>NO</v>
      </c>
    </row>
    <row r="311" spans="2:31">
      <c r="B311" t="str">
        <f>Dryseason!B457</f>
        <v>Dry</v>
      </c>
      <c r="C311" s="253">
        <f>Dryseason!C457</f>
        <v>16</v>
      </c>
      <c r="D311" t="s">
        <v>3103</v>
      </c>
      <c r="E311" t="s">
        <v>25</v>
      </c>
      <c r="F311" s="375">
        <v>8</v>
      </c>
      <c r="G311" s="376">
        <f>IF('Dry_Litterbag Placem_Collection'!E18="","",'Dry_Litterbag Placem_Collection'!E18)</f>
        <v>42938</v>
      </c>
      <c r="H311" s="92" t="str">
        <f>Dryseason!L457</f>
        <v>G662</v>
      </c>
      <c r="I311" t="str">
        <f>Dryseason!L677</f>
        <v>R687</v>
      </c>
      <c r="J311">
        <f>IFERROR(INDEX('Green_rooibos initial weight'!$C$5:$C$2000,MATCH(H311, 'Green_rooibos initial weight'!$A$5:$A$2000,0)),"")</f>
        <v>2.1349999999999998</v>
      </c>
      <c r="K311">
        <f>IFERROR(INDEX('Green_rooibos initial weight'!$C$5:$C$2000,MATCH(I311, 'Green_rooibos initial weight'!$A$5:$A$2000,0)),"")</f>
        <v>2.2029999999999998</v>
      </c>
      <c r="L311" s="194">
        <f t="shared" si="28"/>
        <v>1.8851999999999998</v>
      </c>
      <c r="M311" s="233">
        <f>AVERAGE(Ashed_controlls!$K$1:$K$11)</f>
        <v>5.5147656768714146</v>
      </c>
      <c r="N311" s="194">
        <f t="shared" si="27"/>
        <v>1.9531999999999998</v>
      </c>
      <c r="O311" s="376">
        <f>IF('Dry_Litterbag Placem_Collection'!G18="","",'Dry_Litterbag Placem_Collection'!G18)</f>
        <v>43007</v>
      </c>
      <c r="P311" s="194" t="str">
        <f>IFERROR(INDEX('Both teabags AfterDry'!$D$3:$D$2000,MATCH(H311,'Both teabags AfterDry'!$A$3:$A$2000,0)),"")</f>
        <v/>
      </c>
      <c r="Q311" s="194" t="str">
        <f>IFERROR(INDEX('Both teabags AfterDry'!$D$3:$D$2000,MATCH(I311,'Both teabags AfterDry'!$A$3:$A$2000,0)),"")</f>
        <v/>
      </c>
      <c r="R311" s="194" t="str">
        <f t="shared" si="29"/>
        <v/>
      </c>
      <c r="S311" s="194" t="str">
        <f t="shared" si="29"/>
        <v/>
      </c>
      <c r="T311" s="194" t="str">
        <f t="shared" si="30"/>
        <v/>
      </c>
      <c r="U311" s="194" t="str">
        <f t="shared" si="31"/>
        <v/>
      </c>
      <c r="V311" s="194" t="str">
        <f t="shared" si="32"/>
        <v/>
      </c>
      <c r="W311">
        <f t="shared" si="33"/>
        <v>69</v>
      </c>
      <c r="X311" s="194" t="str">
        <f t="shared" si="34"/>
        <v/>
      </c>
      <c r="Y311" s="194" t="str">
        <f t="shared" si="35"/>
        <v/>
      </c>
      <c r="Z311" s="245" t="str">
        <f>IF(ISNUMBER(SEARCH("C", 'Dry_Litterbag Placem_Collection'!$V18)),"YES","NO")</f>
        <v>NO</v>
      </c>
      <c r="AA311" s="245" t="str">
        <f>IF(ISNUMBER(SEARCH("H", 'Dry_Litterbag Placem_Collection'!$V18)),"YES","NO")</f>
        <v>NO</v>
      </c>
      <c r="AB311" s="245" t="str">
        <f>IF(ISNUMBER(SEARCH("R", 'Dry_Litterbag Placem_Collection'!$V18)),"YES","NO")</f>
        <v>NO</v>
      </c>
      <c r="AC311" s="245" t="str">
        <f>IF(ISNUMBER(SEARCH("C", 'Dry_Litterbag Placem_Collection'!$U18)),"YES","NO")</f>
        <v>NO</v>
      </c>
      <c r="AD311" s="245" t="str">
        <f>IF(ISNUMBER(SEARCH("H", 'Dry_Litterbag Placem_Collection'!$U18)),"YES","NO")</f>
        <v>NO</v>
      </c>
      <c r="AE311" s="245" t="str">
        <f>IF(ISNUMBER(SEARCH("R", 'Dry_Litterbag Placem_Collection'!$U18)),"YES","NO")</f>
        <v>YES</v>
      </c>
    </row>
    <row r="312" spans="2:31">
      <c r="B312" t="str">
        <f>Dryseason!B458</f>
        <v>Dry</v>
      </c>
      <c r="C312" s="253">
        <f>Dryseason!C458</f>
        <v>17</v>
      </c>
      <c r="D312" t="s">
        <v>3104</v>
      </c>
      <c r="E312" t="s">
        <v>25</v>
      </c>
      <c r="F312" s="374">
        <v>1</v>
      </c>
      <c r="G312" s="376">
        <f>IF('Dry_Litterbag Placem_Collection'!E19="","",'Dry_Litterbag Placem_Collection'!E19)</f>
        <v>42936</v>
      </c>
      <c r="H312" s="92" t="str">
        <f>Dryseason!L458</f>
        <v>G349</v>
      </c>
      <c r="I312" t="str">
        <f>Dryseason!L678</f>
        <v>R407</v>
      </c>
      <c r="J312">
        <f>IFERROR(INDEX('Green_rooibos initial weight'!$C$5:$C$2000,MATCH(H312, 'Green_rooibos initial weight'!$A$5:$A$2000,0)),"")</f>
        <v>1.9450000000000001</v>
      </c>
      <c r="K312">
        <f>IFERROR(INDEX('Green_rooibos initial weight'!$C$5:$C$2000,MATCH(I312, 'Green_rooibos initial weight'!$A$5:$A$2000,0)),"")</f>
        <v>2.1859999999999999</v>
      </c>
      <c r="L312" s="194">
        <f t="shared" si="28"/>
        <v>1.6952</v>
      </c>
      <c r="M312" s="233">
        <f>AVERAGE(Ashed_controlls!$K$1:$K$11)</f>
        <v>5.5147656768714146</v>
      </c>
      <c r="N312" s="194">
        <f t="shared" si="27"/>
        <v>1.9361999999999999</v>
      </c>
      <c r="O312" s="376">
        <f>IF('Dry_Litterbag Placem_Collection'!G19="","",'Dry_Litterbag Placem_Collection'!G19)</f>
        <v>43007</v>
      </c>
      <c r="P312" s="194">
        <f>IFERROR(INDEX('Both teabags AfterDry'!$D$3:$D$2000,MATCH(H312,'Both teabags AfterDry'!$A$3:$A$2000,0)),"")</f>
        <v>1.7968</v>
      </c>
      <c r="Q312" s="194">
        <f>IFERROR(INDEX('Both teabags AfterDry'!$D$3:$D$2000,MATCH(I312,'Both teabags AfterDry'!$A$3:$A$2000,0)),"")</f>
        <v>2.0062000000000002</v>
      </c>
      <c r="R312" s="194">
        <f t="shared" si="29"/>
        <v>1.6461999999999999</v>
      </c>
      <c r="S312" s="194">
        <f t="shared" si="29"/>
        <v>1.8556000000000001</v>
      </c>
      <c r="T312" s="194">
        <f t="shared" si="30"/>
        <v>2.8905143935818889E-2</v>
      </c>
      <c r="U312" s="194">
        <f t="shared" si="31"/>
        <v>1.8949690561249458E-2</v>
      </c>
      <c r="V312" s="194">
        <f t="shared" si="32"/>
        <v>0.95837206900113636</v>
      </c>
      <c r="W312">
        <f t="shared" si="33"/>
        <v>71</v>
      </c>
      <c r="X312" s="194">
        <f t="shared" si="34"/>
        <v>0.9656708504325191</v>
      </c>
      <c r="Y312" s="194" t="str">
        <f t="shared" si="35"/>
        <v/>
      </c>
      <c r="Z312" s="245" t="str">
        <f>IF(ISNUMBER(SEARCH("C", 'Dry_Litterbag Placem_Collection'!$V19)),"YES","NO")</f>
        <v>NO</v>
      </c>
      <c r="AA312" s="245" t="str">
        <f>IF(ISNUMBER(SEARCH("H", 'Dry_Litterbag Placem_Collection'!$V19)),"YES","NO")</f>
        <v>NO</v>
      </c>
      <c r="AB312" s="245" t="str">
        <f>IF(ISNUMBER(SEARCH("R", 'Dry_Litterbag Placem_Collection'!$V19)),"YES","NO")</f>
        <v>NO</v>
      </c>
      <c r="AC312" s="245" t="str">
        <f>IF(ISNUMBER(SEARCH("C", 'Dry_Litterbag Placem_Collection'!$U19)),"YES","NO")</f>
        <v>NO</v>
      </c>
      <c r="AD312" s="245" t="str">
        <f>IF(ISNUMBER(SEARCH("H", 'Dry_Litterbag Placem_Collection'!$U19)),"YES","NO")</f>
        <v>NO</v>
      </c>
      <c r="AE312" s="245" t="str">
        <f>IF(ISNUMBER(SEARCH("R", 'Dry_Litterbag Placem_Collection'!$U19)),"YES","NO")</f>
        <v>NO</v>
      </c>
    </row>
    <row r="313" spans="2:31">
      <c r="B313" t="str">
        <f>Dryseason!B459</f>
        <v>Dry</v>
      </c>
      <c r="C313" s="253">
        <f>Dryseason!C459</f>
        <v>18</v>
      </c>
      <c r="D313" t="s">
        <v>3104</v>
      </c>
      <c r="E313" t="s">
        <v>25</v>
      </c>
      <c r="F313" s="374">
        <v>2</v>
      </c>
      <c r="G313" s="376">
        <f>IF('Dry_Litterbag Placem_Collection'!E20="","",'Dry_Litterbag Placem_Collection'!E20)</f>
        <v>42936</v>
      </c>
      <c r="H313" s="92" t="str">
        <f>Dryseason!L459</f>
        <v>G113</v>
      </c>
      <c r="I313" t="str">
        <f>Dryseason!L679</f>
        <v>R361</v>
      </c>
      <c r="J313">
        <f>IFERROR(INDEX('Green_rooibos initial weight'!$C$5:$C$2000,MATCH(H313, 'Green_rooibos initial weight'!$A$5:$A$2000,0)),"")</f>
        <v>2.0539999999999998</v>
      </c>
      <c r="K313">
        <f>IFERROR(INDEX('Green_rooibos initial weight'!$C$5:$C$2000,MATCH(I313, 'Green_rooibos initial weight'!$A$5:$A$2000,0)),"")</f>
        <v>2.2210000000000001</v>
      </c>
      <c r="L313" s="194">
        <f t="shared" si="28"/>
        <v>1.8041999999999998</v>
      </c>
      <c r="M313" s="233">
        <f>AVERAGE(Ashed_controlls!$K$1:$K$11)</f>
        <v>5.5147656768714146</v>
      </c>
      <c r="N313" s="194">
        <f t="shared" si="27"/>
        <v>1.9712000000000001</v>
      </c>
      <c r="O313" s="376">
        <f>IF('Dry_Litterbag Placem_Collection'!G20="","",'Dry_Litterbag Placem_Collection'!G20)</f>
        <v>43007</v>
      </c>
      <c r="P313" s="194">
        <f>IFERROR(INDEX('Both teabags AfterDry'!$D$3:$D$2000,MATCH(H313,'Both teabags AfterDry'!$A$3:$A$2000,0)),"")</f>
        <v>1.8204</v>
      </c>
      <c r="Q313" s="194">
        <f>IFERROR(INDEX('Both teabags AfterDry'!$D$3:$D$2000,MATCH(I313,'Both teabags AfterDry'!$A$3:$A$2000,0)),"")</f>
        <v>2.0156999999999998</v>
      </c>
      <c r="R313" s="194">
        <f t="shared" si="29"/>
        <v>1.6698</v>
      </c>
      <c r="S313" s="194">
        <f t="shared" si="29"/>
        <v>1.8650999999999998</v>
      </c>
      <c r="T313" s="194">
        <f t="shared" si="30"/>
        <v>7.4492850016627754E-2</v>
      </c>
      <c r="U313" s="194">
        <f t="shared" si="31"/>
        <v>4.8836167706862853E-2</v>
      </c>
      <c r="V313" s="194">
        <f t="shared" si="32"/>
        <v>0.94617491883116867</v>
      </c>
      <c r="W313">
        <f t="shared" si="33"/>
        <v>71</v>
      </c>
      <c r="X313" s="194">
        <f t="shared" si="34"/>
        <v>0.91152868169046586</v>
      </c>
      <c r="Y313" s="194" t="str">
        <f t="shared" si="35"/>
        <v/>
      </c>
      <c r="Z313" s="245" t="str">
        <f>IF(ISNUMBER(SEARCH("C", 'Dry_Litterbag Placem_Collection'!$V20)),"YES","NO")</f>
        <v>NO</v>
      </c>
      <c r="AA313" s="245" t="str">
        <f>IF(ISNUMBER(SEARCH("H", 'Dry_Litterbag Placem_Collection'!$V20)),"YES","NO")</f>
        <v>NO</v>
      </c>
      <c r="AB313" s="245" t="str">
        <f>IF(ISNUMBER(SEARCH("R", 'Dry_Litterbag Placem_Collection'!$V20)),"YES","NO")</f>
        <v>NO</v>
      </c>
      <c r="AC313" s="245" t="str">
        <f>IF(ISNUMBER(SEARCH("C", 'Dry_Litterbag Placem_Collection'!$U20)),"YES","NO")</f>
        <v>NO</v>
      </c>
      <c r="AD313" s="245" t="str">
        <f>IF(ISNUMBER(SEARCH("H", 'Dry_Litterbag Placem_Collection'!$U20)),"YES","NO")</f>
        <v>NO</v>
      </c>
      <c r="AE313" s="245" t="str">
        <f>IF(ISNUMBER(SEARCH("R", 'Dry_Litterbag Placem_Collection'!$U20)),"YES","NO")</f>
        <v>NO</v>
      </c>
    </row>
    <row r="314" spans="2:31">
      <c r="B314" t="str">
        <f>Dryseason!B460</f>
        <v>Dry</v>
      </c>
      <c r="C314" s="253">
        <f>Dryseason!C460</f>
        <v>19</v>
      </c>
      <c r="D314" t="s">
        <v>3104</v>
      </c>
      <c r="E314" t="s">
        <v>25</v>
      </c>
      <c r="F314" s="374">
        <v>3</v>
      </c>
      <c r="G314" s="376">
        <f>IF('Dry_Litterbag Placem_Collection'!E21="","",'Dry_Litterbag Placem_Collection'!E21)</f>
        <v>42936</v>
      </c>
      <c r="H314" s="92" t="str">
        <f>Dryseason!L460</f>
        <v>G394</v>
      </c>
      <c r="I314" t="str">
        <f>Dryseason!L680</f>
        <v>R280</v>
      </c>
      <c r="J314">
        <f>IFERROR(INDEX('Green_rooibos initial weight'!$C$5:$C$2000,MATCH(H314, 'Green_rooibos initial weight'!$A$5:$A$2000,0)),"")</f>
        <v>2.056</v>
      </c>
      <c r="K314">
        <f>IFERROR(INDEX('Green_rooibos initial weight'!$C$5:$C$2000,MATCH(I314, 'Green_rooibos initial weight'!$A$5:$A$2000,0)),"")</f>
        <v>2.11</v>
      </c>
      <c r="L314" s="194">
        <f t="shared" si="28"/>
        <v>1.8062</v>
      </c>
      <c r="M314" s="233">
        <f>AVERAGE(Ashed_controlls!$K$1:$K$11)</f>
        <v>5.5147656768714146</v>
      </c>
      <c r="N314" s="194">
        <f t="shared" si="27"/>
        <v>1.8601999999999999</v>
      </c>
      <c r="O314" s="376">
        <f>IF('Dry_Litterbag Placem_Collection'!G21="","",'Dry_Litterbag Placem_Collection'!G21)</f>
        <v>43007</v>
      </c>
      <c r="P314" s="194">
        <f>IFERROR(INDEX('Both teabags AfterDry'!$D$3:$D$2000,MATCH(H314,'Both teabags AfterDry'!$A$3:$A$2000,0)),"")</f>
        <v>1.8532999999999999</v>
      </c>
      <c r="Q314" s="194">
        <f>IFERROR(INDEX('Both teabags AfterDry'!$D$3:$D$2000,MATCH(I314,'Both teabags AfterDry'!$A$3:$A$2000,0)),"")</f>
        <v>1.9007000000000001</v>
      </c>
      <c r="R314" s="194">
        <f t="shared" si="29"/>
        <v>1.7026999999999999</v>
      </c>
      <c r="S314" s="194">
        <f t="shared" si="29"/>
        <v>1.7501</v>
      </c>
      <c r="T314" s="194">
        <f t="shared" si="30"/>
        <v>5.7302624294098159E-2</v>
      </c>
      <c r="U314" s="194">
        <f t="shared" si="31"/>
        <v>3.7566566045537014E-2</v>
      </c>
      <c r="V314" s="194">
        <f t="shared" si="32"/>
        <v>0.94081281582625531</v>
      </c>
      <c r="W314">
        <f t="shared" si="33"/>
        <v>71</v>
      </c>
      <c r="X314" s="194">
        <f t="shared" si="34"/>
        <v>0.93194462672909961</v>
      </c>
      <c r="Y314" s="194" t="str">
        <f t="shared" si="35"/>
        <v/>
      </c>
      <c r="Z314" s="245" t="str">
        <f>IF(ISNUMBER(SEARCH("C", 'Dry_Litterbag Placem_Collection'!$V21)),"YES","NO")</f>
        <v>NO</v>
      </c>
      <c r="AA314" s="245" t="str">
        <f>IF(ISNUMBER(SEARCH("H", 'Dry_Litterbag Placem_Collection'!$V21)),"YES","NO")</f>
        <v>NO</v>
      </c>
      <c r="AB314" s="245" t="str">
        <f>IF(ISNUMBER(SEARCH("R", 'Dry_Litterbag Placem_Collection'!$V21)),"YES","NO")</f>
        <v>NO</v>
      </c>
      <c r="AC314" s="245" t="str">
        <f>IF(ISNUMBER(SEARCH("C", 'Dry_Litterbag Placem_Collection'!$U21)),"YES","NO")</f>
        <v>NO</v>
      </c>
      <c r="AD314" s="245" t="str">
        <f>IF(ISNUMBER(SEARCH("H", 'Dry_Litterbag Placem_Collection'!$U21)),"YES","NO")</f>
        <v>NO</v>
      </c>
      <c r="AE314" s="245" t="str">
        <f>IF(ISNUMBER(SEARCH("R", 'Dry_Litterbag Placem_Collection'!$U21)),"YES","NO")</f>
        <v>NO</v>
      </c>
    </row>
    <row r="315" spans="2:31">
      <c r="B315" t="str">
        <f>Dryseason!B461</f>
        <v>Dry</v>
      </c>
      <c r="C315" s="253">
        <f>Dryseason!C461</f>
        <v>20</v>
      </c>
      <c r="D315" t="s">
        <v>3104</v>
      </c>
      <c r="E315" t="s">
        <v>25</v>
      </c>
      <c r="F315" s="375">
        <v>4</v>
      </c>
      <c r="G315" s="376">
        <f>IF('Dry_Litterbag Placem_Collection'!E22="","",'Dry_Litterbag Placem_Collection'!E22)</f>
        <v>42936</v>
      </c>
      <c r="H315" s="92" t="str">
        <f>Dryseason!L461</f>
        <v>G79</v>
      </c>
      <c r="I315" t="str">
        <f>Dryseason!L681</f>
        <v>R320</v>
      </c>
      <c r="J315">
        <f>IFERROR(INDEX('Green_rooibos initial weight'!$C$5:$C$2000,MATCH(H315, 'Green_rooibos initial weight'!$A$5:$A$2000,0)),"")</f>
        <v>2.1120000000000001</v>
      </c>
      <c r="K315">
        <f>IFERROR(INDEX('Green_rooibos initial weight'!$C$5:$C$2000,MATCH(I315, 'Green_rooibos initial weight'!$A$5:$A$2000,0)),"")</f>
        <v>2.1459999999999999</v>
      </c>
      <c r="L315" s="194">
        <f t="shared" si="28"/>
        <v>1.8622000000000001</v>
      </c>
      <c r="M315" s="233">
        <f>AVERAGE(Ashed_controlls!$K$1:$K$11)</f>
        <v>5.5147656768714146</v>
      </c>
      <c r="N315" s="194">
        <f t="shared" si="27"/>
        <v>1.8961999999999999</v>
      </c>
      <c r="O315" s="376">
        <f>IF('Dry_Litterbag Placem_Collection'!G22="","",'Dry_Litterbag Placem_Collection'!G22)</f>
        <v>43007</v>
      </c>
      <c r="P315" s="194">
        <f>IFERROR(INDEX('Both teabags AfterDry'!$D$3:$D$2000,MATCH(H315,'Both teabags AfterDry'!$A$3:$A$2000,0)),"")</f>
        <v>1.8559000000000001</v>
      </c>
      <c r="Q315" s="194">
        <f>IFERROR(INDEX('Both teabags AfterDry'!$D$3:$D$2000,MATCH(I315,'Both teabags AfterDry'!$A$3:$A$2000,0)),"")</f>
        <v>1.9332</v>
      </c>
      <c r="R315" s="194">
        <f t="shared" si="29"/>
        <v>1.7053</v>
      </c>
      <c r="S315" s="194">
        <f t="shared" si="29"/>
        <v>1.7826</v>
      </c>
      <c r="T315" s="194">
        <f t="shared" si="30"/>
        <v>8.425518204274518E-2</v>
      </c>
      <c r="U315" s="194">
        <f t="shared" si="31"/>
        <v>5.5236176351063329E-2</v>
      </c>
      <c r="V315" s="194">
        <f t="shared" si="32"/>
        <v>0.94009070773125203</v>
      </c>
      <c r="W315">
        <f t="shared" si="33"/>
        <v>71</v>
      </c>
      <c r="X315" s="194">
        <f t="shared" si="34"/>
        <v>0.89993446313213166</v>
      </c>
      <c r="Y315" s="194" t="str">
        <f t="shared" si="35"/>
        <v/>
      </c>
      <c r="Z315" s="245" t="str">
        <f>IF(ISNUMBER(SEARCH("C", 'Dry_Litterbag Placem_Collection'!$V22)),"YES","NO")</f>
        <v>NO</v>
      </c>
      <c r="AA315" s="245" t="str">
        <f>IF(ISNUMBER(SEARCH("H", 'Dry_Litterbag Placem_Collection'!$V22)),"YES","NO")</f>
        <v>NO</v>
      </c>
      <c r="AB315" s="245" t="str">
        <f>IF(ISNUMBER(SEARCH("R", 'Dry_Litterbag Placem_Collection'!$V22)),"YES","NO")</f>
        <v>NO</v>
      </c>
      <c r="AC315" s="245" t="str">
        <f>IF(ISNUMBER(SEARCH("C", 'Dry_Litterbag Placem_Collection'!$U22)),"YES","NO")</f>
        <v>NO</v>
      </c>
      <c r="AD315" s="245" t="str">
        <f>IF(ISNUMBER(SEARCH("H", 'Dry_Litterbag Placem_Collection'!$U22)),"YES","NO")</f>
        <v>NO</v>
      </c>
      <c r="AE315" s="245" t="str">
        <f>IF(ISNUMBER(SEARCH("R", 'Dry_Litterbag Placem_Collection'!$U22)),"YES","NO")</f>
        <v>NO</v>
      </c>
    </row>
    <row r="316" spans="2:31">
      <c r="B316" t="str">
        <f>Dryseason!B462</f>
        <v>Dry</v>
      </c>
      <c r="C316" s="253">
        <f>Dryseason!C462</f>
        <v>21</v>
      </c>
      <c r="D316" t="s">
        <v>3104</v>
      </c>
      <c r="E316" t="s">
        <v>25</v>
      </c>
      <c r="F316" s="375">
        <v>5</v>
      </c>
      <c r="G316" s="376">
        <f>IF('Dry_Litterbag Placem_Collection'!E23="","",'Dry_Litterbag Placem_Collection'!E23)</f>
        <v>42936</v>
      </c>
      <c r="H316" s="92" t="str">
        <f>Dryseason!L462</f>
        <v>G488</v>
      </c>
      <c r="I316" t="str">
        <f>Dryseason!L682</f>
        <v>R209</v>
      </c>
      <c r="J316">
        <f>IFERROR(INDEX('Green_rooibos initial weight'!$C$5:$C$2000,MATCH(H316, 'Green_rooibos initial weight'!$A$5:$A$2000,0)),"")</f>
        <v>1.9910000000000001</v>
      </c>
      <c r="K316">
        <f>IFERROR(INDEX('Green_rooibos initial weight'!$C$5:$C$2000,MATCH(I316, 'Green_rooibos initial weight'!$A$5:$A$2000,0)),"")</f>
        <v>2.2069999999999999</v>
      </c>
      <c r="L316" s="194">
        <f t="shared" si="28"/>
        <v>1.7412000000000001</v>
      </c>
      <c r="M316" s="233">
        <f>AVERAGE(Ashed_controlls!$K$1:$K$11)</f>
        <v>5.5147656768714146</v>
      </c>
      <c r="N316" s="194">
        <f t="shared" si="27"/>
        <v>1.9571999999999998</v>
      </c>
      <c r="O316" s="376">
        <f>IF('Dry_Litterbag Placem_Collection'!G23="","",'Dry_Litterbag Placem_Collection'!G23)</f>
        <v>43007</v>
      </c>
      <c r="P316" s="194" t="str">
        <f>IFERROR(INDEX('Both teabags AfterDry'!$D$3:$D$2000,MATCH(H316,'Both teabags AfterDry'!$A$3:$A$2000,0)),"")</f>
        <v/>
      </c>
      <c r="Q316" s="194" t="str">
        <f>IFERROR(INDEX('Both teabags AfterDry'!$D$3:$D$2000,MATCH(I316,'Both teabags AfterDry'!$A$3:$A$2000,0)),"")</f>
        <v/>
      </c>
      <c r="R316" s="194" t="str">
        <f t="shared" si="29"/>
        <v/>
      </c>
      <c r="S316" s="194" t="str">
        <f t="shared" si="29"/>
        <v/>
      </c>
      <c r="T316" s="194" t="str">
        <f t="shared" si="30"/>
        <v/>
      </c>
      <c r="U316" s="194" t="str">
        <f t="shared" si="31"/>
        <v/>
      </c>
      <c r="V316" s="194" t="str">
        <f t="shared" si="32"/>
        <v/>
      </c>
      <c r="W316">
        <f t="shared" si="33"/>
        <v>71</v>
      </c>
      <c r="X316" s="194" t="str">
        <f t="shared" si="34"/>
        <v/>
      </c>
      <c r="Y316" s="194" t="str">
        <f t="shared" si="35"/>
        <v/>
      </c>
      <c r="Z316" s="245" t="str">
        <f>IF(ISNUMBER(SEARCH("C", 'Dry_Litterbag Placem_Collection'!$V23)),"YES","NO")</f>
        <v>NO</v>
      </c>
      <c r="AA316" s="245" t="str">
        <f>IF(ISNUMBER(SEARCH("H", 'Dry_Litterbag Placem_Collection'!$V23)),"YES","NO")</f>
        <v>NO</v>
      </c>
      <c r="AB316" s="245" t="str">
        <f>IF(ISNUMBER(SEARCH("R", 'Dry_Litterbag Placem_Collection'!$V23)),"YES","NO")</f>
        <v>NO</v>
      </c>
      <c r="AC316" s="245" t="str">
        <f>IF(ISNUMBER(SEARCH("C", 'Dry_Litterbag Placem_Collection'!$U23)),"YES","NO")</f>
        <v>NO</v>
      </c>
      <c r="AD316" s="245" t="str">
        <f>IF(ISNUMBER(SEARCH("H", 'Dry_Litterbag Placem_Collection'!$U23)),"YES","NO")</f>
        <v>NO</v>
      </c>
      <c r="AE316" s="245" t="str">
        <f>IF(ISNUMBER(SEARCH("R", 'Dry_Litterbag Placem_Collection'!$U23)),"YES","NO")</f>
        <v>NO</v>
      </c>
    </row>
    <row r="317" spans="2:31">
      <c r="B317" t="str">
        <f>Dryseason!B463</f>
        <v>Dry</v>
      </c>
      <c r="C317" s="253">
        <f>Dryseason!C463</f>
        <v>22</v>
      </c>
      <c r="D317" t="s">
        <v>3104</v>
      </c>
      <c r="E317" t="s">
        <v>25</v>
      </c>
      <c r="F317" s="375">
        <v>6</v>
      </c>
      <c r="G317" s="376">
        <f>IF('Dry_Litterbag Placem_Collection'!E24="","",'Dry_Litterbag Placem_Collection'!E24)</f>
        <v>42936</v>
      </c>
      <c r="H317" s="92" t="str">
        <f>Dryseason!L463</f>
        <v>G750</v>
      </c>
      <c r="I317" t="str">
        <f>Dryseason!L683</f>
        <v>R646</v>
      </c>
      <c r="J317">
        <f>IFERROR(INDEX('Green_rooibos initial weight'!$C$5:$C$2000,MATCH(H317, 'Green_rooibos initial weight'!$A$5:$A$2000,0)),"")</f>
        <v>1.966</v>
      </c>
      <c r="K317">
        <f>IFERROR(INDEX('Green_rooibos initial weight'!$C$5:$C$2000,MATCH(I317, 'Green_rooibos initial weight'!$A$5:$A$2000,0)),"")</f>
        <v>2.1480000000000001</v>
      </c>
      <c r="L317" s="194">
        <f t="shared" si="28"/>
        <v>1.7161999999999999</v>
      </c>
      <c r="M317" s="233">
        <f>AVERAGE(Ashed_controlls!$K$1:$K$11)</f>
        <v>5.5147656768714146</v>
      </c>
      <c r="N317" s="194">
        <f t="shared" si="27"/>
        <v>1.8982000000000001</v>
      </c>
      <c r="O317" s="376">
        <f>IF('Dry_Litterbag Placem_Collection'!G24="","",'Dry_Litterbag Placem_Collection'!G24)</f>
        <v>43007</v>
      </c>
      <c r="P317" s="194">
        <f>IFERROR(INDEX('Both teabags AfterDry'!$D$3:$D$2000,MATCH(H317,'Both teabags AfterDry'!$A$3:$A$2000,0)),"")</f>
        <v>1.3833</v>
      </c>
      <c r="Q317" s="194">
        <f>IFERROR(INDEX('Both teabags AfterDry'!$D$3:$D$2000,MATCH(I317,'Both teabags AfterDry'!$A$3:$A$2000,0)),"")</f>
        <v>1.8704000000000001</v>
      </c>
      <c r="R317" s="194">
        <f t="shared" si="29"/>
        <v>1.2326999999999999</v>
      </c>
      <c r="S317" s="194">
        <f t="shared" si="29"/>
        <v>1.7198</v>
      </c>
      <c r="T317" s="194">
        <f t="shared" si="30"/>
        <v>0.28172707143689546</v>
      </c>
      <c r="U317" s="194">
        <f t="shared" si="31"/>
        <v>0.18469518222466305</v>
      </c>
      <c r="V317" s="194">
        <f t="shared" si="32"/>
        <v>0.90601622589821929</v>
      </c>
      <c r="W317">
        <f t="shared" si="33"/>
        <v>71</v>
      </c>
      <c r="X317" s="194">
        <f t="shared" si="34"/>
        <v>0.66540727857850901</v>
      </c>
      <c r="Y317" s="194">
        <f t="shared" si="35"/>
        <v>1.0014417953282104E-2</v>
      </c>
      <c r="Z317" s="245" t="str">
        <f>IF(ISNUMBER(SEARCH("C", 'Dry_Litterbag Placem_Collection'!$V24)),"YES","NO")</f>
        <v>NO</v>
      </c>
      <c r="AA317" s="245" t="str">
        <f>IF(ISNUMBER(SEARCH("H", 'Dry_Litterbag Placem_Collection'!$V24)),"YES","NO")</f>
        <v>NO</v>
      </c>
      <c r="AB317" s="245" t="str">
        <f>IF(ISNUMBER(SEARCH("R", 'Dry_Litterbag Placem_Collection'!$V24)),"YES","NO")</f>
        <v>NO</v>
      </c>
      <c r="AC317" s="245" t="str">
        <f>IF(ISNUMBER(SEARCH("C", 'Dry_Litterbag Placem_Collection'!$U24)),"YES","NO")</f>
        <v>NO</v>
      </c>
      <c r="AD317" s="245" t="str">
        <f>IF(ISNUMBER(SEARCH("H", 'Dry_Litterbag Placem_Collection'!$U24)),"YES","NO")</f>
        <v>NO</v>
      </c>
      <c r="AE317" s="245" t="str">
        <f>IF(ISNUMBER(SEARCH("R", 'Dry_Litterbag Placem_Collection'!$U24)),"YES","NO")</f>
        <v>NO</v>
      </c>
    </row>
    <row r="318" spans="2:31">
      <c r="B318" t="str">
        <f>Dryseason!B464</f>
        <v>Dry</v>
      </c>
      <c r="C318" s="253">
        <f>Dryseason!C464</f>
        <v>23</v>
      </c>
      <c r="D318" t="s">
        <v>3104</v>
      </c>
      <c r="E318" t="s">
        <v>25</v>
      </c>
      <c r="F318" s="375">
        <v>7</v>
      </c>
      <c r="G318" s="376" t="str">
        <f>IF('Dry_Litterbag Placem_Collection'!E25="","",'Dry_Litterbag Placem_Collection'!E25)</f>
        <v/>
      </c>
      <c r="H318" s="92" t="str">
        <f>Dryseason!L464</f>
        <v/>
      </c>
      <c r="I318" t="str">
        <f>Dryseason!L684</f>
        <v/>
      </c>
      <c r="J318" t="str">
        <f>IFERROR(INDEX('Green_rooibos initial weight'!$C$5:$C$2000,MATCH(H318, 'Green_rooibos initial weight'!$A$5:$A$2000,0)),"")</f>
        <v/>
      </c>
      <c r="K318" t="str">
        <f>IFERROR(INDEX('Green_rooibos initial weight'!$C$5:$C$2000,MATCH(I318, 'Green_rooibos initial weight'!$A$5:$A$2000,0)),"")</f>
        <v/>
      </c>
      <c r="L318" s="194" t="str">
        <f t="shared" si="28"/>
        <v/>
      </c>
      <c r="M318" s="233">
        <f>AVERAGE(Ashed_controlls!$K$1:$K$11)</f>
        <v>5.5147656768714146</v>
      </c>
      <c r="N318" s="194" t="str">
        <f t="shared" si="27"/>
        <v/>
      </c>
      <c r="O318" s="376" t="str">
        <f>IF('Dry_Litterbag Placem_Collection'!G25="","",'Dry_Litterbag Placem_Collection'!G25)</f>
        <v/>
      </c>
      <c r="P318" s="194" t="str">
        <f>IFERROR(INDEX('Both teabags AfterDry'!$D$3:$D$2000,MATCH(H318,'Both teabags AfterDry'!$A$3:$A$2000,0)),"")</f>
        <v/>
      </c>
      <c r="Q318" s="194" t="str">
        <f>IFERROR(INDEX('Both teabags AfterDry'!$D$3:$D$2000,MATCH(I318,'Both teabags AfterDry'!$A$3:$A$2000,0)),"")</f>
        <v/>
      </c>
      <c r="R318" s="194" t="str">
        <f t="shared" si="29"/>
        <v/>
      </c>
      <c r="S318" s="194" t="str">
        <f t="shared" si="29"/>
        <v/>
      </c>
      <c r="T318" s="194" t="str">
        <f t="shared" si="30"/>
        <v/>
      </c>
      <c r="U318" s="194" t="str">
        <f t="shared" si="31"/>
        <v/>
      </c>
      <c r="V318" s="194" t="str">
        <f t="shared" si="32"/>
        <v/>
      </c>
      <c r="W318" t="str">
        <f t="shared" si="33"/>
        <v/>
      </c>
      <c r="X318" s="194" t="str">
        <f t="shared" si="34"/>
        <v/>
      </c>
      <c r="Y318" s="194" t="str">
        <f t="shared" si="35"/>
        <v/>
      </c>
      <c r="Z318" s="245" t="str">
        <f>IF(ISNUMBER(SEARCH("C", 'Dry_Litterbag Placem_Collection'!$V25)),"YES","NO")</f>
        <v>NO</v>
      </c>
      <c r="AA318" s="245" t="str">
        <f>IF(ISNUMBER(SEARCH("H", 'Dry_Litterbag Placem_Collection'!$V25)),"YES","NO")</f>
        <v>NO</v>
      </c>
      <c r="AB318" s="245" t="str">
        <f>IF(ISNUMBER(SEARCH("R", 'Dry_Litterbag Placem_Collection'!$V25)),"YES","NO")</f>
        <v>NO</v>
      </c>
      <c r="AC318" s="245" t="str">
        <f>IF(ISNUMBER(SEARCH("C", 'Dry_Litterbag Placem_Collection'!$U25)),"YES","NO")</f>
        <v>NO</v>
      </c>
      <c r="AD318" s="245" t="str">
        <f>IF(ISNUMBER(SEARCH("H", 'Dry_Litterbag Placem_Collection'!$U25)),"YES","NO")</f>
        <v>NO</v>
      </c>
      <c r="AE318" s="245" t="str">
        <f>IF(ISNUMBER(SEARCH("R", 'Dry_Litterbag Placem_Collection'!$U25)),"YES","NO")</f>
        <v>NO</v>
      </c>
    </row>
    <row r="319" spans="2:31">
      <c r="B319" t="str">
        <f>Dryseason!B465</f>
        <v>Dry</v>
      </c>
      <c r="C319" s="253">
        <f>Dryseason!C465</f>
        <v>24</v>
      </c>
      <c r="D319" t="s">
        <v>3104</v>
      </c>
      <c r="E319" t="s">
        <v>25</v>
      </c>
      <c r="F319" s="375">
        <v>8</v>
      </c>
      <c r="G319" s="376">
        <f>IF('Dry_Litterbag Placem_Collection'!E26="","",'Dry_Litterbag Placem_Collection'!E26)</f>
        <v>42936</v>
      </c>
      <c r="H319" s="92" t="str">
        <f>Dryseason!L465</f>
        <v>G562</v>
      </c>
      <c r="I319" t="str">
        <f>Dryseason!L685</f>
        <v>R650</v>
      </c>
      <c r="J319">
        <f>IFERROR(INDEX('Green_rooibos initial weight'!$C$5:$C$2000,MATCH(H319, 'Green_rooibos initial weight'!$A$5:$A$2000,0)),"")</f>
        <v>2.1419999999999999</v>
      </c>
      <c r="K319">
        <f>IFERROR(INDEX('Green_rooibos initial weight'!$C$5:$C$2000,MATCH(I319, 'Green_rooibos initial weight'!$A$5:$A$2000,0)),"")</f>
        <v>2.169</v>
      </c>
      <c r="L319" s="194">
        <f t="shared" si="28"/>
        <v>1.8921999999999999</v>
      </c>
      <c r="M319" s="233">
        <f>AVERAGE(Ashed_controlls!$K$1:$K$11)</f>
        <v>5.5147656768714146</v>
      </c>
      <c r="N319" s="194">
        <f t="shared" si="27"/>
        <v>1.9192</v>
      </c>
      <c r="O319" s="376">
        <f>IF('Dry_Litterbag Placem_Collection'!G26="","",'Dry_Litterbag Placem_Collection'!G26)</f>
        <v>43007</v>
      </c>
      <c r="P319" s="194">
        <f>IFERROR(INDEX('Both teabags AfterDry'!$D$3:$D$2000,MATCH(H319,'Both teabags AfterDry'!$A$3:$A$2000,0)),"")</f>
        <v>1.8862000000000001</v>
      </c>
      <c r="Q319" s="194">
        <f>IFERROR(INDEX('Both teabags AfterDry'!$D$3:$D$2000,MATCH(I319,'Both teabags AfterDry'!$A$3:$A$2000,0)),"")</f>
        <v>1.9756</v>
      </c>
      <c r="R319" s="194">
        <f t="shared" si="29"/>
        <v>1.7356</v>
      </c>
      <c r="S319" s="194">
        <f t="shared" si="29"/>
        <v>1.825</v>
      </c>
      <c r="T319" s="194">
        <f t="shared" si="30"/>
        <v>8.2760807525631419E-2</v>
      </c>
      <c r="U319" s="194">
        <f t="shared" si="31"/>
        <v>5.4256491394475699E-2</v>
      </c>
      <c r="V319" s="194">
        <f t="shared" si="32"/>
        <v>0.95091704877032091</v>
      </c>
      <c r="W319">
        <f t="shared" si="33"/>
        <v>71</v>
      </c>
      <c r="X319" s="194">
        <f t="shared" si="34"/>
        <v>0.90170925472015273</v>
      </c>
      <c r="Y319" s="194">
        <f t="shared" si="35"/>
        <v>3.3100921643758587E-2</v>
      </c>
      <c r="Z319" s="245" t="str">
        <f>IF(ISNUMBER(SEARCH("C", 'Dry_Litterbag Placem_Collection'!$V26)),"YES","NO")</f>
        <v>NO</v>
      </c>
      <c r="AA319" s="245" t="str">
        <f>IF(ISNUMBER(SEARCH("H", 'Dry_Litterbag Placem_Collection'!$V26)),"YES","NO")</f>
        <v>NO</v>
      </c>
      <c r="AB319" s="245" t="str">
        <f>IF(ISNUMBER(SEARCH("R", 'Dry_Litterbag Placem_Collection'!$V26)),"YES","NO")</f>
        <v>NO</v>
      </c>
      <c r="AC319" s="245" t="str">
        <f>IF(ISNUMBER(SEARCH("C", 'Dry_Litterbag Placem_Collection'!$U26)),"YES","NO")</f>
        <v>NO</v>
      </c>
      <c r="AD319" s="245" t="str">
        <f>IF(ISNUMBER(SEARCH("H", 'Dry_Litterbag Placem_Collection'!$U26)),"YES","NO")</f>
        <v>NO</v>
      </c>
      <c r="AE319" s="245" t="str">
        <f>IF(ISNUMBER(SEARCH("R", 'Dry_Litterbag Placem_Collection'!$U26)),"YES","NO")</f>
        <v>NO</v>
      </c>
    </row>
    <row r="320" spans="2:31">
      <c r="B320" t="str">
        <f>Dryseason!B466</f>
        <v>Dry</v>
      </c>
      <c r="C320" s="253">
        <f>Dryseason!C466</f>
        <v>25</v>
      </c>
      <c r="D320" t="s">
        <v>3105</v>
      </c>
      <c r="E320" t="s">
        <v>25</v>
      </c>
      <c r="F320" s="374">
        <v>1</v>
      </c>
      <c r="G320" s="376">
        <f>IF('Dry_Litterbag Placem_Collection'!E27="","",'Dry_Litterbag Placem_Collection'!E27)</f>
        <v>42936</v>
      </c>
      <c r="H320" s="92" t="str">
        <f>Dryseason!L466</f>
        <v>G156</v>
      </c>
      <c r="I320" t="str">
        <f>Dryseason!L686</f>
        <v>R230</v>
      </c>
      <c r="J320">
        <f>IFERROR(INDEX('Green_rooibos initial weight'!$C$5:$C$2000,MATCH(H320, 'Green_rooibos initial weight'!$A$5:$A$2000,0)),"")</f>
        <v>1.944</v>
      </c>
      <c r="K320">
        <f>IFERROR(INDEX('Green_rooibos initial weight'!$C$5:$C$2000,MATCH(I320, 'Green_rooibos initial weight'!$A$5:$A$2000,0)),"")</f>
        <v>2.2589999999999999</v>
      </c>
      <c r="L320" s="194">
        <f t="shared" si="28"/>
        <v>1.6941999999999999</v>
      </c>
      <c r="M320" s="233">
        <f>AVERAGE(Ashed_controlls!$K$1:$K$11)</f>
        <v>5.5147656768714146</v>
      </c>
      <c r="N320" s="194">
        <f t="shared" si="27"/>
        <v>2.0091999999999999</v>
      </c>
      <c r="O320" s="376">
        <f>IF('Dry_Litterbag Placem_Collection'!G27="","",'Dry_Litterbag Placem_Collection'!G27)</f>
        <v>43007</v>
      </c>
      <c r="P320" s="194">
        <f>IFERROR(INDEX('Both teabags AfterDry'!$D$3:$D$2000,MATCH(H320,'Both teabags AfterDry'!$A$3:$A$2000,0)),"")</f>
        <v>1.8079000000000001</v>
      </c>
      <c r="Q320" s="194">
        <f>IFERROR(INDEX('Both teabags AfterDry'!$D$3:$D$2000,MATCH(I320,'Both teabags AfterDry'!$A$3:$A$2000,0)),"")</f>
        <v>2.0360999999999998</v>
      </c>
      <c r="R320" s="194">
        <f t="shared" si="29"/>
        <v>1.6573</v>
      </c>
      <c r="S320" s="194">
        <f t="shared" si="29"/>
        <v>1.8854999999999997</v>
      </c>
      <c r="T320" s="194">
        <f t="shared" si="30"/>
        <v>2.1780191240703517E-2</v>
      </c>
      <c r="U320" s="194">
        <f t="shared" si="31"/>
        <v>1.4278700195805646E-2</v>
      </c>
      <c r="V320" s="194">
        <f t="shared" si="32"/>
        <v>0.93843320724666524</v>
      </c>
      <c r="W320">
        <f t="shared" si="33"/>
        <v>71</v>
      </c>
      <c r="X320" s="194">
        <f t="shared" si="34"/>
        <v>0.97413278950035209</v>
      </c>
      <c r="Y320" s="194" t="str">
        <f t="shared" si="35"/>
        <v/>
      </c>
      <c r="Z320" s="245" t="str">
        <f>IF(ISNUMBER(SEARCH("C", 'Dry_Litterbag Placem_Collection'!$V27)),"YES","NO")</f>
        <v>NO</v>
      </c>
      <c r="AA320" s="245" t="str">
        <f>IF(ISNUMBER(SEARCH("H", 'Dry_Litterbag Placem_Collection'!$V27)),"YES","NO")</f>
        <v>NO</v>
      </c>
      <c r="AB320" s="245" t="str">
        <f>IF(ISNUMBER(SEARCH("R", 'Dry_Litterbag Placem_Collection'!$V27)),"YES","NO")</f>
        <v>NO</v>
      </c>
      <c r="AC320" s="245" t="str">
        <f>IF(ISNUMBER(SEARCH("C", 'Dry_Litterbag Placem_Collection'!$U27)),"YES","NO")</f>
        <v>NO</v>
      </c>
      <c r="AD320" s="245" t="str">
        <f>IF(ISNUMBER(SEARCH("H", 'Dry_Litterbag Placem_Collection'!$U27)),"YES","NO")</f>
        <v>NO</v>
      </c>
      <c r="AE320" s="245" t="str">
        <f>IF(ISNUMBER(SEARCH("R", 'Dry_Litterbag Placem_Collection'!$U27)),"YES","NO")</f>
        <v>NO</v>
      </c>
    </row>
    <row r="321" spans="2:31">
      <c r="B321" t="str">
        <f>Dryseason!B467</f>
        <v>Dry</v>
      </c>
      <c r="C321" s="253">
        <f>Dryseason!C467</f>
        <v>26</v>
      </c>
      <c r="D321" t="s">
        <v>3105</v>
      </c>
      <c r="E321" t="s">
        <v>25</v>
      </c>
      <c r="F321" s="374">
        <v>2</v>
      </c>
      <c r="G321" s="376">
        <f>IF('Dry_Litterbag Placem_Collection'!E28="","",'Dry_Litterbag Placem_Collection'!E28)</f>
        <v>42936</v>
      </c>
      <c r="H321" s="92" t="str">
        <f>Dryseason!L467</f>
        <v>G555</v>
      </c>
      <c r="I321" t="str">
        <f>Dryseason!L687</f>
        <v>R642</v>
      </c>
      <c r="J321">
        <f>IFERROR(INDEX('Green_rooibos initial weight'!$C$5:$C$2000,MATCH(H321, 'Green_rooibos initial weight'!$A$5:$A$2000,0)),"")</f>
        <v>2.1469999999999998</v>
      </c>
      <c r="K321">
        <f>IFERROR(INDEX('Green_rooibos initial weight'!$C$5:$C$2000,MATCH(I321, 'Green_rooibos initial weight'!$A$5:$A$2000,0)),"")</f>
        <v>2.14</v>
      </c>
      <c r="L321" s="194">
        <f t="shared" si="28"/>
        <v>1.8971999999999998</v>
      </c>
      <c r="M321" s="233">
        <f>AVERAGE(Ashed_controlls!$K$1:$K$11)</f>
        <v>5.5147656768714146</v>
      </c>
      <c r="N321" s="194">
        <f t="shared" si="27"/>
        <v>1.8902000000000001</v>
      </c>
      <c r="O321" s="376">
        <f>IF('Dry_Litterbag Placem_Collection'!G28="","",'Dry_Litterbag Placem_Collection'!G28)</f>
        <v>43007</v>
      </c>
      <c r="P321" s="194">
        <f>IFERROR(INDEX('Both teabags AfterDry'!$D$3:$D$2000,MATCH(H321,'Both teabags AfterDry'!$A$3:$A$2000,0)),"")</f>
        <v>2.0030000000000001</v>
      </c>
      <c r="Q321" s="194">
        <f>IFERROR(INDEX('Both teabags AfterDry'!$D$3:$D$2000,MATCH(I321,'Both teabags AfterDry'!$A$3:$A$2000,0)),"")</f>
        <v>1.9686999999999999</v>
      </c>
      <c r="R321" s="194">
        <f t="shared" si="29"/>
        <v>1.8524</v>
      </c>
      <c r="S321" s="194">
        <f t="shared" si="29"/>
        <v>1.8180999999999998</v>
      </c>
      <c r="T321" s="194">
        <f t="shared" si="30"/>
        <v>2.3613746573898253E-2</v>
      </c>
      <c r="U321" s="194">
        <f t="shared" si="31"/>
        <v>1.5480745972436866E-2</v>
      </c>
      <c r="V321" s="194">
        <f t="shared" si="32"/>
        <v>0.96185588826579183</v>
      </c>
      <c r="W321">
        <f t="shared" si="33"/>
        <v>71</v>
      </c>
      <c r="X321" s="194">
        <f t="shared" si="34"/>
        <v>0.97195517033978829</v>
      </c>
      <c r="Y321" s="194" t="str">
        <f t="shared" si="35"/>
        <v/>
      </c>
      <c r="Z321" s="245" t="str">
        <f>IF(ISNUMBER(SEARCH("C", 'Dry_Litterbag Placem_Collection'!$V28)),"YES","NO")</f>
        <v>NO</v>
      </c>
      <c r="AA321" s="245" t="str">
        <f>IF(ISNUMBER(SEARCH("H", 'Dry_Litterbag Placem_Collection'!$V28)),"YES","NO")</f>
        <v>NO</v>
      </c>
      <c r="AB321" s="245" t="str">
        <f>IF(ISNUMBER(SEARCH("R", 'Dry_Litterbag Placem_Collection'!$V28)),"YES","NO")</f>
        <v>NO</v>
      </c>
      <c r="AC321" s="245" t="str">
        <f>IF(ISNUMBER(SEARCH("C", 'Dry_Litterbag Placem_Collection'!$U28)),"YES","NO")</f>
        <v>NO</v>
      </c>
      <c r="AD321" s="245" t="str">
        <f>IF(ISNUMBER(SEARCH("H", 'Dry_Litterbag Placem_Collection'!$U28)),"YES","NO")</f>
        <v>NO</v>
      </c>
      <c r="AE321" s="245" t="str">
        <f>IF(ISNUMBER(SEARCH("R", 'Dry_Litterbag Placem_Collection'!$U28)),"YES","NO")</f>
        <v>NO</v>
      </c>
    </row>
    <row r="322" spans="2:31">
      <c r="B322" t="str">
        <f>Dryseason!B468</f>
        <v>Dry</v>
      </c>
      <c r="C322" s="253">
        <f>Dryseason!C468</f>
        <v>27</v>
      </c>
      <c r="D322" t="s">
        <v>3105</v>
      </c>
      <c r="E322" t="s">
        <v>25</v>
      </c>
      <c r="F322" s="374">
        <v>3</v>
      </c>
      <c r="G322" s="376">
        <f>IF('Dry_Litterbag Placem_Collection'!E29="","",'Dry_Litterbag Placem_Collection'!E29)</f>
        <v>42936</v>
      </c>
      <c r="H322" s="92" t="str">
        <f>Dryseason!L468</f>
        <v>G378</v>
      </c>
      <c r="I322" t="str">
        <f>Dryseason!L688</f>
        <v>R199</v>
      </c>
      <c r="J322">
        <f>IFERROR(INDEX('Green_rooibos initial weight'!$C$5:$C$2000,MATCH(H322, 'Green_rooibos initial weight'!$A$5:$A$2000,0)),"")</f>
        <v>2.0830000000000002</v>
      </c>
      <c r="K322">
        <f>IFERROR(INDEX('Green_rooibos initial weight'!$C$5:$C$2000,MATCH(I322, 'Green_rooibos initial weight'!$A$5:$A$2000,0)),"")</f>
        <v>2.1850000000000001</v>
      </c>
      <c r="L322" s="194">
        <f t="shared" si="28"/>
        <v>1.8332000000000002</v>
      </c>
      <c r="M322" s="233">
        <f>AVERAGE(Ashed_controlls!$K$1:$K$11)</f>
        <v>5.5147656768714146</v>
      </c>
      <c r="N322" s="194">
        <f t="shared" si="27"/>
        <v>1.9352</v>
      </c>
      <c r="O322" s="376">
        <f>IF('Dry_Litterbag Placem_Collection'!G29="","",'Dry_Litterbag Placem_Collection'!G29)</f>
        <v>43007</v>
      </c>
      <c r="P322" s="194" t="str">
        <f>IFERROR(INDEX('Both teabags AfterDry'!$D$3:$D$2000,MATCH(H322,'Both teabags AfterDry'!$A$3:$A$2000,0)),"")</f>
        <v/>
      </c>
      <c r="Q322" s="194" t="str">
        <f>IFERROR(INDEX('Both teabags AfterDry'!$D$3:$D$2000,MATCH(I322,'Both teabags AfterDry'!$A$3:$A$2000,0)),"")</f>
        <v/>
      </c>
      <c r="R322" s="194" t="str">
        <f t="shared" si="29"/>
        <v/>
      </c>
      <c r="S322" s="194" t="str">
        <f t="shared" si="29"/>
        <v/>
      </c>
      <c r="T322" s="194" t="str">
        <f t="shared" si="30"/>
        <v/>
      </c>
      <c r="U322" s="194" t="str">
        <f t="shared" si="31"/>
        <v/>
      </c>
      <c r="V322" s="194" t="str">
        <f t="shared" si="32"/>
        <v/>
      </c>
      <c r="W322">
        <f t="shared" si="33"/>
        <v>71</v>
      </c>
      <c r="X322" s="194" t="str">
        <f t="shared" si="34"/>
        <v/>
      </c>
      <c r="Y322" s="194" t="str">
        <f t="shared" si="35"/>
        <v/>
      </c>
      <c r="Z322" s="245" t="str">
        <f>IF(ISNUMBER(SEARCH("C", 'Dry_Litterbag Placem_Collection'!$V29)),"YES","NO")</f>
        <v>NO</v>
      </c>
      <c r="AA322" s="245" t="str">
        <f>IF(ISNUMBER(SEARCH("H", 'Dry_Litterbag Placem_Collection'!$V29)),"YES","NO")</f>
        <v>NO</v>
      </c>
      <c r="AB322" s="245" t="str">
        <f>IF(ISNUMBER(SEARCH("R", 'Dry_Litterbag Placem_Collection'!$V29)),"YES","NO")</f>
        <v>NO</v>
      </c>
      <c r="AC322" s="245" t="str">
        <f>IF(ISNUMBER(SEARCH("C", 'Dry_Litterbag Placem_Collection'!$U29)),"YES","NO")</f>
        <v>NO</v>
      </c>
      <c r="AD322" s="245" t="str">
        <f>IF(ISNUMBER(SEARCH("H", 'Dry_Litterbag Placem_Collection'!$U29)),"YES","NO")</f>
        <v>NO</v>
      </c>
      <c r="AE322" s="245" t="str">
        <f>IF(ISNUMBER(SEARCH("R", 'Dry_Litterbag Placem_Collection'!$U29)),"YES","NO")</f>
        <v>NO</v>
      </c>
    </row>
    <row r="323" spans="2:31">
      <c r="B323" t="str">
        <f>Dryseason!B469</f>
        <v>Dry</v>
      </c>
      <c r="C323" s="253">
        <f>Dryseason!C469</f>
        <v>28</v>
      </c>
      <c r="D323" t="s">
        <v>3105</v>
      </c>
      <c r="E323" t="s">
        <v>25</v>
      </c>
      <c r="F323" s="375">
        <v>4</v>
      </c>
      <c r="G323" s="376">
        <f>IF('Dry_Litterbag Placem_Collection'!E30="","",'Dry_Litterbag Placem_Collection'!E30)</f>
        <v>42936</v>
      </c>
      <c r="H323" s="92" t="str">
        <f>Dryseason!L469</f>
        <v>G46</v>
      </c>
      <c r="I323" t="str">
        <f>Dryseason!L689</f>
        <v>R162</v>
      </c>
      <c r="J323">
        <f>IFERROR(INDEX('Green_rooibos initial weight'!$C$5:$C$2000,MATCH(H323, 'Green_rooibos initial weight'!$A$5:$A$2000,0)),"")</f>
        <v>1.895</v>
      </c>
      <c r="K323">
        <f>IFERROR(INDEX('Green_rooibos initial weight'!$C$5:$C$2000,MATCH(I323, 'Green_rooibos initial weight'!$A$5:$A$2000,0)),"")</f>
        <v>2.242</v>
      </c>
      <c r="L323" s="194">
        <f t="shared" si="28"/>
        <v>1.6452</v>
      </c>
      <c r="M323" s="233">
        <f>AVERAGE(Ashed_controlls!$K$1:$K$11)</f>
        <v>5.5147656768714146</v>
      </c>
      <c r="N323" s="194">
        <f t="shared" si="27"/>
        <v>1.9922</v>
      </c>
      <c r="O323" s="376">
        <f>IF('Dry_Litterbag Placem_Collection'!G30="","",'Dry_Litterbag Placem_Collection'!G30)</f>
        <v>43007</v>
      </c>
      <c r="P323" s="194">
        <f>IFERROR(INDEX('Both teabags AfterDry'!$D$3:$D$2000,MATCH(H323,'Both teabags AfterDry'!$A$3:$A$2000,0)),"")</f>
        <v>1.5884</v>
      </c>
      <c r="Q323" s="194">
        <f>IFERROR(INDEX('Both teabags AfterDry'!$D$3:$D$2000,MATCH(I323,'Both teabags AfterDry'!$A$3:$A$2000,0)),"")</f>
        <v>1.964</v>
      </c>
      <c r="R323" s="194">
        <f t="shared" si="29"/>
        <v>1.4378</v>
      </c>
      <c r="S323" s="194">
        <f t="shared" si="29"/>
        <v>1.8133999999999999</v>
      </c>
      <c r="T323" s="194">
        <f t="shared" si="30"/>
        <v>0.12606370046194992</v>
      </c>
      <c r="U323" s="194">
        <f t="shared" si="31"/>
        <v>8.2645086288594224E-2</v>
      </c>
      <c r="V323" s="194">
        <f t="shared" si="32"/>
        <v>0.91024997490211823</v>
      </c>
      <c r="W323">
        <f t="shared" si="33"/>
        <v>71</v>
      </c>
      <c r="X323" s="194">
        <f t="shared" si="34"/>
        <v>0.8502806407815322</v>
      </c>
      <c r="Y323" s="194" t="str">
        <f t="shared" si="35"/>
        <v/>
      </c>
      <c r="Z323" s="245" t="str">
        <f>IF(ISNUMBER(SEARCH("C", 'Dry_Litterbag Placem_Collection'!$V30)),"YES","NO")</f>
        <v>NO</v>
      </c>
      <c r="AA323" s="245" t="str">
        <f>IF(ISNUMBER(SEARCH("H", 'Dry_Litterbag Placem_Collection'!$V30)),"YES","NO")</f>
        <v>NO</v>
      </c>
      <c r="AB323" s="245" t="str">
        <f>IF(ISNUMBER(SEARCH("R", 'Dry_Litterbag Placem_Collection'!$V30)),"YES","NO")</f>
        <v>NO</v>
      </c>
      <c r="AC323" s="245" t="str">
        <f>IF(ISNUMBER(SEARCH("C", 'Dry_Litterbag Placem_Collection'!$U30)),"YES","NO")</f>
        <v>NO</v>
      </c>
      <c r="AD323" s="245" t="str">
        <f>IF(ISNUMBER(SEARCH("H", 'Dry_Litterbag Placem_Collection'!$U30)),"YES","NO")</f>
        <v>NO</v>
      </c>
      <c r="AE323" s="245" t="str">
        <f>IF(ISNUMBER(SEARCH("R", 'Dry_Litterbag Placem_Collection'!$U30)),"YES","NO")</f>
        <v>NO</v>
      </c>
    </row>
    <row r="324" spans="2:31">
      <c r="B324" t="str">
        <f>Dryseason!B470</f>
        <v>Dry</v>
      </c>
      <c r="C324" s="253">
        <f>Dryseason!C470</f>
        <v>29</v>
      </c>
      <c r="D324" t="s">
        <v>3105</v>
      </c>
      <c r="E324" t="s">
        <v>25</v>
      </c>
      <c r="F324" s="375">
        <v>5</v>
      </c>
      <c r="G324" s="376">
        <f>IF('Dry_Litterbag Placem_Collection'!E31="","",'Dry_Litterbag Placem_Collection'!E31)</f>
        <v>42936</v>
      </c>
      <c r="H324" s="92" t="str">
        <f>Dryseason!L470</f>
        <v>G397</v>
      </c>
      <c r="I324" t="str">
        <f>Dryseason!L690</f>
        <v>R163</v>
      </c>
      <c r="J324">
        <f>IFERROR(INDEX('Green_rooibos initial weight'!$C$5:$C$2000,MATCH(H324, 'Green_rooibos initial weight'!$A$5:$A$2000,0)),"")</f>
        <v>1.968</v>
      </c>
      <c r="K324">
        <f>IFERROR(INDEX('Green_rooibos initial weight'!$C$5:$C$2000,MATCH(I324, 'Green_rooibos initial weight'!$A$5:$A$2000,0)),"")</f>
        <v>2.23</v>
      </c>
      <c r="L324" s="194">
        <f t="shared" si="28"/>
        <v>1.7181999999999999</v>
      </c>
      <c r="M324" s="233">
        <f>AVERAGE(Ashed_controlls!$K$1:$K$11)</f>
        <v>5.5147656768714146</v>
      </c>
      <c r="N324" s="194">
        <f t="shared" si="27"/>
        <v>1.9802</v>
      </c>
      <c r="O324" s="376">
        <f>IF('Dry_Litterbag Placem_Collection'!G31="","",'Dry_Litterbag Placem_Collection'!G31)</f>
        <v>43007</v>
      </c>
      <c r="P324" s="194">
        <f>IFERROR(INDEX('Both teabags AfterDry'!$D$3:$D$2000,MATCH(H324,'Both teabags AfterDry'!$A$3:$A$2000,0)),"")</f>
        <v>1.7436</v>
      </c>
      <c r="Q324" s="194">
        <f>IFERROR(INDEX('Both teabags AfterDry'!$D$3:$D$2000,MATCH(I324,'Both teabags AfterDry'!$A$3:$A$2000,0)),"")</f>
        <v>1.9955000000000001</v>
      </c>
      <c r="R324" s="194">
        <f t="shared" si="29"/>
        <v>1.593</v>
      </c>
      <c r="S324" s="194">
        <f t="shared" si="29"/>
        <v>1.8449</v>
      </c>
      <c r="T324" s="194">
        <f t="shared" si="30"/>
        <v>7.2866953788848776E-2</v>
      </c>
      <c r="U324" s="194">
        <f t="shared" si="31"/>
        <v>4.7770259491026743E-2</v>
      </c>
      <c r="V324" s="194">
        <f t="shared" si="32"/>
        <v>0.93167356832643167</v>
      </c>
      <c r="W324">
        <f t="shared" si="33"/>
        <v>71</v>
      </c>
      <c r="X324" s="194">
        <f t="shared" si="34"/>
        <v>0.91345967483509649</v>
      </c>
      <c r="Y324" s="194" t="str">
        <f t="shared" si="35"/>
        <v/>
      </c>
      <c r="Z324" s="245" t="str">
        <f>IF(ISNUMBER(SEARCH("C", 'Dry_Litterbag Placem_Collection'!$V31)),"YES","NO")</f>
        <v>NO</v>
      </c>
      <c r="AA324" s="245" t="str">
        <f>IF(ISNUMBER(SEARCH("H", 'Dry_Litterbag Placem_Collection'!$V31)),"YES","NO")</f>
        <v>NO</v>
      </c>
      <c r="AB324" s="245" t="str">
        <f>IF(ISNUMBER(SEARCH("R", 'Dry_Litterbag Placem_Collection'!$V31)),"YES","NO")</f>
        <v>NO</v>
      </c>
      <c r="AC324" s="245" t="str">
        <f>IF(ISNUMBER(SEARCH("C", 'Dry_Litterbag Placem_Collection'!$U31)),"YES","NO")</f>
        <v>NO</v>
      </c>
      <c r="AD324" s="245" t="str">
        <f>IF(ISNUMBER(SEARCH("H", 'Dry_Litterbag Placem_Collection'!$U31)),"YES","NO")</f>
        <v>NO</v>
      </c>
      <c r="AE324" s="245" t="str">
        <f>IF(ISNUMBER(SEARCH("R", 'Dry_Litterbag Placem_Collection'!$U31)),"YES","NO")</f>
        <v>NO</v>
      </c>
    </row>
    <row r="325" spans="2:31">
      <c r="B325" t="str">
        <f>Dryseason!B471</f>
        <v>Dry</v>
      </c>
      <c r="C325" s="253">
        <f>Dryseason!C471</f>
        <v>30</v>
      </c>
      <c r="D325" t="s">
        <v>3105</v>
      </c>
      <c r="E325" t="s">
        <v>25</v>
      </c>
      <c r="F325" s="375">
        <v>6</v>
      </c>
      <c r="G325" s="376">
        <f>IF('Dry_Litterbag Placem_Collection'!E32="","",'Dry_Litterbag Placem_Collection'!E32)</f>
        <v>42936</v>
      </c>
      <c r="H325" s="92" t="str">
        <f>Dryseason!L471</f>
        <v>G166</v>
      </c>
      <c r="I325" t="str">
        <f>Dryseason!L691</f>
        <v>R345</v>
      </c>
      <c r="J325">
        <f>IFERROR(INDEX('Green_rooibos initial weight'!$C$5:$C$2000,MATCH(H325, 'Green_rooibos initial weight'!$A$5:$A$2000,0)),"")</f>
        <v>2.032</v>
      </c>
      <c r="K325">
        <f>IFERROR(INDEX('Green_rooibos initial weight'!$C$5:$C$2000,MATCH(I325, 'Green_rooibos initial weight'!$A$5:$A$2000,0)),"")</f>
        <v>2.2599999999999998</v>
      </c>
      <c r="L325" s="194">
        <f t="shared" si="28"/>
        <v>1.7822</v>
      </c>
      <c r="M325" s="233">
        <f>AVERAGE(Ashed_controlls!$K$1:$K$11)</f>
        <v>5.5147656768714146</v>
      </c>
      <c r="N325" s="194">
        <f t="shared" si="27"/>
        <v>2.0101999999999998</v>
      </c>
      <c r="O325" s="376">
        <f>IF('Dry_Litterbag Placem_Collection'!G32="","",'Dry_Litterbag Placem_Collection'!G32)</f>
        <v>43007</v>
      </c>
      <c r="P325" s="194">
        <f>IFERROR(INDEX('Both teabags AfterDry'!$D$3:$D$2000,MATCH(H325,'Both teabags AfterDry'!$A$3:$A$2000,0)),"")</f>
        <v>1.8809</v>
      </c>
      <c r="Q325" s="194">
        <f>IFERROR(INDEX('Both teabags AfterDry'!$D$3:$D$2000,MATCH(I325,'Both teabags AfterDry'!$A$3:$A$2000,0)),"")</f>
        <v>2.0409000000000002</v>
      </c>
      <c r="R325" s="194">
        <f t="shared" si="29"/>
        <v>1.7302999999999999</v>
      </c>
      <c r="S325" s="194">
        <f t="shared" si="29"/>
        <v>1.8903000000000001</v>
      </c>
      <c r="T325" s="194">
        <f t="shared" si="30"/>
        <v>2.9121310739535389E-2</v>
      </c>
      <c r="U325" s="194">
        <f t="shared" si="31"/>
        <v>1.9091405615467367E-2</v>
      </c>
      <c r="V325" s="194">
        <f t="shared" si="32"/>
        <v>0.94035419361257599</v>
      </c>
      <c r="W325">
        <f t="shared" si="33"/>
        <v>71</v>
      </c>
      <c r="X325" s="194">
        <f t="shared" si="34"/>
        <v>0.96541412026183449</v>
      </c>
      <c r="Y325" s="194" t="str">
        <f t="shared" si="35"/>
        <v/>
      </c>
      <c r="Z325" s="245" t="str">
        <f>IF(ISNUMBER(SEARCH("C", 'Dry_Litterbag Placem_Collection'!$V32)),"YES","NO")</f>
        <v>NO</v>
      </c>
      <c r="AA325" s="245" t="str">
        <f>IF(ISNUMBER(SEARCH("H", 'Dry_Litterbag Placem_Collection'!$V32)),"YES","NO")</f>
        <v>NO</v>
      </c>
      <c r="AB325" s="245" t="str">
        <f>IF(ISNUMBER(SEARCH("R", 'Dry_Litterbag Placem_Collection'!$V32)),"YES","NO")</f>
        <v>NO</v>
      </c>
      <c r="AC325" s="245" t="str">
        <f>IF(ISNUMBER(SEARCH("C", 'Dry_Litterbag Placem_Collection'!$U32)),"YES","NO")</f>
        <v>NO</v>
      </c>
      <c r="AD325" s="245" t="str">
        <f>IF(ISNUMBER(SEARCH("H", 'Dry_Litterbag Placem_Collection'!$U32)),"YES","NO")</f>
        <v>NO</v>
      </c>
      <c r="AE325" s="245" t="str">
        <f>IF(ISNUMBER(SEARCH("R", 'Dry_Litterbag Placem_Collection'!$U32)),"YES","NO")</f>
        <v>NO</v>
      </c>
    </row>
    <row r="326" spans="2:31">
      <c r="B326" t="str">
        <f>Dryseason!B472</f>
        <v>Dry</v>
      </c>
      <c r="C326" s="253">
        <f>Dryseason!C472</f>
        <v>31</v>
      </c>
      <c r="D326" t="s">
        <v>3105</v>
      </c>
      <c r="E326" t="s">
        <v>25</v>
      </c>
      <c r="F326" s="375">
        <v>7</v>
      </c>
      <c r="G326" s="376" t="str">
        <f>IF('Dry_Litterbag Placem_Collection'!E33="","",'Dry_Litterbag Placem_Collection'!E33)</f>
        <v/>
      </c>
      <c r="H326" s="92" t="str">
        <f>Dryseason!L472</f>
        <v/>
      </c>
      <c r="I326" t="str">
        <f>Dryseason!L692</f>
        <v/>
      </c>
      <c r="J326" t="str">
        <f>IFERROR(INDEX('Green_rooibos initial weight'!$C$5:$C$2000,MATCH(H326, 'Green_rooibos initial weight'!$A$5:$A$2000,0)),"")</f>
        <v/>
      </c>
      <c r="K326" t="str">
        <f>IFERROR(INDEX('Green_rooibos initial weight'!$C$5:$C$2000,MATCH(I326, 'Green_rooibos initial weight'!$A$5:$A$2000,0)),"")</f>
        <v/>
      </c>
      <c r="L326" s="194" t="str">
        <f t="shared" si="28"/>
        <v/>
      </c>
      <c r="M326" s="233">
        <f>AVERAGE(Ashed_controlls!$K$1:$K$11)</f>
        <v>5.5147656768714146</v>
      </c>
      <c r="N326" s="194" t="str">
        <f t="shared" si="27"/>
        <v/>
      </c>
      <c r="O326" s="376" t="str">
        <f>IF('Dry_Litterbag Placem_Collection'!G33="","",'Dry_Litterbag Placem_Collection'!G33)</f>
        <v/>
      </c>
      <c r="P326" s="194" t="str">
        <f>IFERROR(INDEX('Both teabags AfterDry'!$D$3:$D$2000,MATCH(H326,'Both teabags AfterDry'!$A$3:$A$2000,0)),"")</f>
        <v/>
      </c>
      <c r="Q326" s="194" t="str">
        <f>IFERROR(INDEX('Both teabags AfterDry'!$D$3:$D$2000,MATCH(I326,'Both teabags AfterDry'!$A$3:$A$2000,0)),"")</f>
        <v/>
      </c>
      <c r="R326" s="194" t="str">
        <f t="shared" si="29"/>
        <v/>
      </c>
      <c r="S326" s="194" t="str">
        <f t="shared" si="29"/>
        <v/>
      </c>
      <c r="T326" s="194" t="str">
        <f t="shared" si="30"/>
        <v/>
      </c>
      <c r="U326" s="194" t="str">
        <f t="shared" si="31"/>
        <v/>
      </c>
      <c r="V326" s="194" t="str">
        <f t="shared" si="32"/>
        <v/>
      </c>
      <c r="W326" t="str">
        <f t="shared" si="33"/>
        <v/>
      </c>
      <c r="X326" s="194" t="str">
        <f t="shared" si="34"/>
        <v/>
      </c>
      <c r="Y326" s="194" t="str">
        <f t="shared" si="35"/>
        <v/>
      </c>
      <c r="Z326" s="245" t="str">
        <f>IF(ISNUMBER(SEARCH("C", 'Dry_Litterbag Placem_Collection'!$V33)),"YES","NO")</f>
        <v>NO</v>
      </c>
      <c r="AA326" s="245" t="str">
        <f>IF(ISNUMBER(SEARCH("H", 'Dry_Litterbag Placem_Collection'!$V33)),"YES","NO")</f>
        <v>NO</v>
      </c>
      <c r="AB326" s="245" t="str">
        <f>IF(ISNUMBER(SEARCH("R", 'Dry_Litterbag Placem_Collection'!$V33)),"YES","NO")</f>
        <v>NO</v>
      </c>
      <c r="AC326" s="245" t="str">
        <f>IF(ISNUMBER(SEARCH("C", 'Dry_Litterbag Placem_Collection'!$U33)),"YES","NO")</f>
        <v>NO</v>
      </c>
      <c r="AD326" s="245" t="str">
        <f>IF(ISNUMBER(SEARCH("H", 'Dry_Litterbag Placem_Collection'!$U33)),"YES","NO")</f>
        <v>NO</v>
      </c>
      <c r="AE326" s="245" t="str">
        <f>IF(ISNUMBER(SEARCH("R", 'Dry_Litterbag Placem_Collection'!$U33)),"YES","NO")</f>
        <v>NO</v>
      </c>
    </row>
    <row r="327" spans="2:31">
      <c r="B327" t="str">
        <f>Dryseason!B473</f>
        <v>Dry</v>
      </c>
      <c r="C327" s="253">
        <f>Dryseason!C473</f>
        <v>32</v>
      </c>
      <c r="D327" t="s">
        <v>3105</v>
      </c>
      <c r="E327" t="s">
        <v>25</v>
      </c>
      <c r="F327" s="375">
        <v>8</v>
      </c>
      <c r="G327" s="376">
        <f>IF('Dry_Litterbag Placem_Collection'!E34="","",'Dry_Litterbag Placem_Collection'!E34)</f>
        <v>42936</v>
      </c>
      <c r="H327" s="92" t="str">
        <f>Dryseason!L473</f>
        <v>G293</v>
      </c>
      <c r="I327" t="str">
        <f>Dryseason!L693</f>
        <v>R660</v>
      </c>
      <c r="J327">
        <f>IFERROR(INDEX('Green_rooibos initial weight'!$C$5:$C$2000,MATCH(H327, 'Green_rooibos initial weight'!$A$5:$A$2000,0)),"")</f>
        <v>2.0699999999999998</v>
      </c>
      <c r="K327">
        <f>IFERROR(INDEX('Green_rooibos initial weight'!$C$5:$C$2000,MATCH(I327, 'Green_rooibos initial weight'!$A$5:$A$2000,0)),"")</f>
        <v>2.2080000000000002</v>
      </c>
      <c r="L327" s="194">
        <f t="shared" si="28"/>
        <v>1.8201999999999998</v>
      </c>
      <c r="M327" s="233">
        <f>AVERAGE(Ashed_controlls!$K$1:$K$11)</f>
        <v>5.5147656768714146</v>
      </c>
      <c r="N327" s="194">
        <f t="shared" si="27"/>
        <v>1.9582000000000002</v>
      </c>
      <c r="O327" s="376">
        <f>IF('Dry_Litterbag Placem_Collection'!G34="","",'Dry_Litterbag Placem_Collection'!G34)</f>
        <v>43007</v>
      </c>
      <c r="P327" s="194">
        <f>IFERROR(INDEX('Both teabags AfterDry'!$D$3:$D$2000,MATCH(H327,'Both teabags AfterDry'!$A$3:$A$2000,0)),"")</f>
        <v>1.8129</v>
      </c>
      <c r="Q327" s="194">
        <f>IFERROR(INDEX('Both teabags AfterDry'!$D$3:$D$2000,MATCH(I327,'Both teabags AfterDry'!$A$3:$A$2000,0)),"")</f>
        <v>2.0331000000000001</v>
      </c>
      <c r="R327" s="194">
        <f t="shared" si="29"/>
        <v>1.6622999999999999</v>
      </c>
      <c r="S327" s="194">
        <f t="shared" si="29"/>
        <v>1.8825000000000001</v>
      </c>
      <c r="T327" s="194">
        <f t="shared" si="30"/>
        <v>8.6748708933084284E-2</v>
      </c>
      <c r="U327" s="194">
        <f t="shared" si="31"/>
        <v>5.6870887566582595E-2</v>
      </c>
      <c r="V327" s="194">
        <f t="shared" si="32"/>
        <v>0.96134204882034513</v>
      </c>
      <c r="W327">
        <f t="shared" si="33"/>
        <v>71</v>
      </c>
      <c r="X327" s="194">
        <f t="shared" si="34"/>
        <v>0.89697302977068372</v>
      </c>
      <c r="Y327" s="194">
        <f t="shared" si="35"/>
        <v>1.6037344169772986E-2</v>
      </c>
      <c r="Z327" s="245" t="str">
        <f>IF(ISNUMBER(SEARCH("C", 'Dry_Litterbag Placem_Collection'!$V34)),"YES","NO")</f>
        <v>NO</v>
      </c>
      <c r="AA327" s="245" t="str">
        <f>IF(ISNUMBER(SEARCH("H", 'Dry_Litterbag Placem_Collection'!$V34)),"YES","NO")</f>
        <v>NO</v>
      </c>
      <c r="AB327" s="245" t="str">
        <f>IF(ISNUMBER(SEARCH("R", 'Dry_Litterbag Placem_Collection'!$V34)),"YES","NO")</f>
        <v>NO</v>
      </c>
      <c r="AC327" s="245" t="str">
        <f>IF(ISNUMBER(SEARCH("C", 'Dry_Litterbag Placem_Collection'!$U34)),"YES","NO")</f>
        <v>NO</v>
      </c>
      <c r="AD327" s="245" t="str">
        <f>IF(ISNUMBER(SEARCH("H", 'Dry_Litterbag Placem_Collection'!$U34)),"YES","NO")</f>
        <v>NO</v>
      </c>
      <c r="AE327" s="245" t="str">
        <f>IF(ISNUMBER(SEARCH("R", 'Dry_Litterbag Placem_Collection'!$U34)),"YES","NO")</f>
        <v>NO</v>
      </c>
    </row>
    <row r="328" spans="2:31">
      <c r="B328" t="str">
        <f>Dryseason!B474</f>
        <v>Dry</v>
      </c>
      <c r="C328" s="253">
        <f>Dryseason!C474</f>
        <v>33</v>
      </c>
      <c r="D328" t="s">
        <v>3106</v>
      </c>
      <c r="E328" t="s">
        <v>25</v>
      </c>
      <c r="F328" s="374">
        <v>1</v>
      </c>
      <c r="G328" s="376">
        <f>IF('Dry_Litterbag Placem_Collection'!E35="","",'Dry_Litterbag Placem_Collection'!E35)</f>
        <v>42938</v>
      </c>
      <c r="H328" s="92" t="str">
        <f>Dryseason!L474</f>
        <v>G139</v>
      </c>
      <c r="I328" t="str">
        <f>Dryseason!L694</f>
        <v>R712</v>
      </c>
      <c r="J328">
        <f>IFERROR(INDEX('Green_rooibos initial weight'!$C$5:$C$2000,MATCH(H328, 'Green_rooibos initial weight'!$A$5:$A$2000,0)),"")</f>
        <v>2.0059999999999998</v>
      </c>
      <c r="K328">
        <f>IFERROR(INDEX('Green_rooibos initial weight'!$C$5:$C$2000,MATCH(I328, 'Green_rooibos initial weight'!$A$5:$A$2000,0)),"")</f>
        <v>2.161</v>
      </c>
      <c r="L328" s="194">
        <f t="shared" si="28"/>
        <v>1.7561999999999998</v>
      </c>
      <c r="M328" s="233">
        <f>AVERAGE(Ashed_controlls!$K$1:$K$11)</f>
        <v>5.5147656768714146</v>
      </c>
      <c r="N328" s="194">
        <f t="shared" si="27"/>
        <v>1.9112</v>
      </c>
      <c r="O328" s="376">
        <f>IF('Dry_Litterbag Placem_Collection'!G35="","",'Dry_Litterbag Placem_Collection'!G35)</f>
        <v>43005</v>
      </c>
      <c r="P328" s="194">
        <f>IFERROR(INDEX('Both teabags AfterDry'!$D$3:$D$2000,MATCH(H328,'Both teabags AfterDry'!$A$3:$A$2000,0)),"")</f>
        <v>1.8048</v>
      </c>
      <c r="Q328" s="194">
        <f>IFERROR(INDEX('Both teabags AfterDry'!$D$3:$D$2000,MATCH(I328,'Both teabags AfterDry'!$A$3:$A$2000,0)),"")</f>
        <v>1.9524999999999999</v>
      </c>
      <c r="R328" s="194">
        <f t="shared" si="29"/>
        <v>1.6541999999999999</v>
      </c>
      <c r="S328" s="194">
        <f t="shared" si="29"/>
        <v>1.8018999999999998</v>
      </c>
      <c r="T328" s="194">
        <f t="shared" si="30"/>
        <v>5.8079945336521943E-2</v>
      </c>
      <c r="U328" s="194">
        <f t="shared" si="31"/>
        <v>3.8076163688551233E-2</v>
      </c>
      <c r="V328" s="194">
        <f t="shared" si="32"/>
        <v>0.94281079949769764</v>
      </c>
      <c r="W328">
        <f t="shared" si="33"/>
        <v>67</v>
      </c>
      <c r="X328" s="194">
        <f t="shared" si="34"/>
        <v>0.9310214425932043</v>
      </c>
      <c r="Y328" s="194" t="str">
        <f t="shared" si="35"/>
        <v/>
      </c>
      <c r="Z328" s="245" t="str">
        <f>IF(ISNUMBER(SEARCH("C", 'Dry_Litterbag Placem_Collection'!$V35)),"YES","NO")</f>
        <v>NO</v>
      </c>
      <c r="AA328" s="245" t="str">
        <f>IF(ISNUMBER(SEARCH("H", 'Dry_Litterbag Placem_Collection'!$V35)),"YES","NO")</f>
        <v>NO</v>
      </c>
      <c r="AB328" s="245" t="str">
        <f>IF(ISNUMBER(SEARCH("R", 'Dry_Litterbag Placem_Collection'!$V35)),"YES","NO")</f>
        <v>NO</v>
      </c>
      <c r="AC328" s="245" t="str">
        <f>IF(ISNUMBER(SEARCH("C", 'Dry_Litterbag Placem_Collection'!$U35)),"YES","NO")</f>
        <v>NO</v>
      </c>
      <c r="AD328" s="245" t="str">
        <f>IF(ISNUMBER(SEARCH("H", 'Dry_Litterbag Placem_Collection'!$U35)),"YES","NO")</f>
        <v>NO</v>
      </c>
      <c r="AE328" s="245" t="str">
        <f>IF(ISNUMBER(SEARCH("R", 'Dry_Litterbag Placem_Collection'!$U35)),"YES","NO")</f>
        <v>NO</v>
      </c>
    </row>
    <row r="329" spans="2:31">
      <c r="B329" t="str">
        <f>Dryseason!B475</f>
        <v>Dry</v>
      </c>
      <c r="C329" s="253">
        <f>Dryseason!C475</f>
        <v>34</v>
      </c>
      <c r="D329" t="s">
        <v>3106</v>
      </c>
      <c r="E329" t="s">
        <v>25</v>
      </c>
      <c r="F329" s="374">
        <v>2</v>
      </c>
      <c r="G329" s="376">
        <f>IF('Dry_Litterbag Placem_Collection'!E36="","",'Dry_Litterbag Placem_Collection'!E36)</f>
        <v>42938</v>
      </c>
      <c r="H329" s="92" t="str">
        <f>Dryseason!L475</f>
        <v>G487</v>
      </c>
      <c r="I329" t="str">
        <f>Dryseason!L695</f>
        <v>R324</v>
      </c>
      <c r="J329">
        <f>IFERROR(INDEX('Green_rooibos initial weight'!$C$5:$C$2000,MATCH(H329, 'Green_rooibos initial weight'!$A$5:$A$2000,0)),"")</f>
        <v>1.9259999999999999</v>
      </c>
      <c r="K329">
        <f>IFERROR(INDEX('Green_rooibos initial weight'!$C$5:$C$2000,MATCH(I329, 'Green_rooibos initial weight'!$A$5:$A$2000,0)),"")</f>
        <v>2.2410000000000001</v>
      </c>
      <c r="L329" s="194">
        <f t="shared" si="28"/>
        <v>1.6761999999999999</v>
      </c>
      <c r="M329" s="233">
        <f>AVERAGE(Ashed_controlls!$K$1:$K$11)</f>
        <v>5.5147656768714146</v>
      </c>
      <c r="N329" s="194">
        <f t="shared" si="27"/>
        <v>1.9912000000000001</v>
      </c>
      <c r="O329" s="376">
        <f>IF('Dry_Litterbag Placem_Collection'!G36="","",'Dry_Litterbag Placem_Collection'!G36)</f>
        <v>43005</v>
      </c>
      <c r="P329" s="194" t="str">
        <f>IFERROR(INDEX('Both teabags AfterDry'!$D$3:$D$2000,MATCH(H329,'Both teabags AfterDry'!$A$3:$A$2000,0)),"")</f>
        <v/>
      </c>
      <c r="Q329" s="194" t="str">
        <f>IFERROR(INDEX('Both teabags AfterDry'!$D$3:$D$2000,MATCH(I329,'Both teabags AfterDry'!$A$3:$A$2000,0)),"")</f>
        <v/>
      </c>
      <c r="R329" s="194" t="str">
        <f t="shared" si="29"/>
        <v/>
      </c>
      <c r="S329" s="194" t="str">
        <f t="shared" si="29"/>
        <v/>
      </c>
      <c r="T329" s="194" t="str">
        <f t="shared" si="30"/>
        <v/>
      </c>
      <c r="U329" s="194" t="str">
        <f t="shared" si="31"/>
        <v/>
      </c>
      <c r="V329" s="194" t="str">
        <f t="shared" si="32"/>
        <v/>
      </c>
      <c r="W329">
        <f t="shared" si="33"/>
        <v>67</v>
      </c>
      <c r="X329" s="194" t="str">
        <f t="shared" si="34"/>
        <v/>
      </c>
      <c r="Y329" s="194" t="str">
        <f t="shared" si="35"/>
        <v/>
      </c>
      <c r="Z329" s="245" t="str">
        <f>IF(ISNUMBER(SEARCH("C", 'Dry_Litterbag Placem_Collection'!$V36)),"YES","NO")</f>
        <v>NO</v>
      </c>
      <c r="AA329" s="245" t="str">
        <f>IF(ISNUMBER(SEARCH("H", 'Dry_Litterbag Placem_Collection'!$V36)),"YES","NO")</f>
        <v>NO</v>
      </c>
      <c r="AB329" s="245" t="str">
        <f>IF(ISNUMBER(SEARCH("R", 'Dry_Litterbag Placem_Collection'!$V36)),"YES","NO")</f>
        <v>NO</v>
      </c>
      <c r="AC329" s="245" t="str">
        <f>IF(ISNUMBER(SEARCH("C", 'Dry_Litterbag Placem_Collection'!$U36)),"YES","NO")</f>
        <v>NO</v>
      </c>
      <c r="AD329" s="245" t="str">
        <f>IF(ISNUMBER(SEARCH("H", 'Dry_Litterbag Placem_Collection'!$U36)),"YES","NO")</f>
        <v>NO</v>
      </c>
      <c r="AE329" s="245" t="str">
        <f>IF(ISNUMBER(SEARCH("R", 'Dry_Litterbag Placem_Collection'!$U36)),"YES","NO")</f>
        <v>NO</v>
      </c>
    </row>
    <row r="330" spans="2:31">
      <c r="B330" t="str">
        <f>Dryseason!B476</f>
        <v>Dry</v>
      </c>
      <c r="C330" s="253">
        <f>Dryseason!C476</f>
        <v>35</v>
      </c>
      <c r="D330" t="s">
        <v>3106</v>
      </c>
      <c r="E330" t="s">
        <v>25</v>
      </c>
      <c r="F330" s="374">
        <v>3</v>
      </c>
      <c r="G330" s="376">
        <f>IF('Dry_Litterbag Placem_Collection'!E37="","",'Dry_Litterbag Placem_Collection'!E37)</f>
        <v>42938</v>
      </c>
      <c r="H330" s="92" t="str">
        <f>Dryseason!L476</f>
        <v>G717</v>
      </c>
      <c r="I330" t="str">
        <f>Dryseason!L696</f>
        <v>R108</v>
      </c>
      <c r="J330">
        <f>IFERROR(INDEX('Green_rooibos initial weight'!$C$5:$C$2000,MATCH(H330, 'Green_rooibos initial weight'!$A$5:$A$2000,0)),"")</f>
        <v>1.944</v>
      </c>
      <c r="K330">
        <f>IFERROR(INDEX('Green_rooibos initial weight'!$C$5:$C$2000,MATCH(I330, 'Green_rooibos initial weight'!$A$5:$A$2000,0)),"")</f>
        <v>2.1680000000000001</v>
      </c>
      <c r="L330" s="194">
        <f t="shared" si="28"/>
        <v>1.6941999999999999</v>
      </c>
      <c r="M330" s="233">
        <f>AVERAGE(Ashed_controlls!$K$1:$K$11)</f>
        <v>5.5147656768714146</v>
      </c>
      <c r="N330" s="194">
        <f t="shared" si="27"/>
        <v>1.9182000000000001</v>
      </c>
      <c r="O330" s="376">
        <f>IF('Dry_Litterbag Placem_Collection'!G37="","",'Dry_Litterbag Placem_Collection'!G37)</f>
        <v>43005</v>
      </c>
      <c r="P330" s="194">
        <f>IFERROR(INDEX('Both teabags AfterDry'!$D$3:$D$2000,MATCH(H330,'Both teabags AfterDry'!$A$3:$A$2000,0)),"")</f>
        <v>1.8165</v>
      </c>
      <c r="Q330" s="194">
        <f>IFERROR(INDEX('Both teabags AfterDry'!$D$3:$D$2000,MATCH(I330,'Both teabags AfterDry'!$A$3:$A$2000,0)),"")</f>
        <v>1.9638</v>
      </c>
      <c r="R330" s="194">
        <f t="shared" si="29"/>
        <v>1.6658999999999999</v>
      </c>
      <c r="S330" s="194">
        <f t="shared" si="29"/>
        <v>1.8131999999999999</v>
      </c>
      <c r="T330" s="194">
        <f t="shared" si="30"/>
        <v>1.6704049108723917E-2</v>
      </c>
      <c r="U330" s="194">
        <f t="shared" si="31"/>
        <v>1.0950873049899758E-2</v>
      </c>
      <c r="V330" s="194">
        <f t="shared" si="32"/>
        <v>0.94526118235846091</v>
      </c>
      <c r="W330">
        <f t="shared" si="33"/>
        <v>67</v>
      </c>
      <c r="X330" s="194">
        <f t="shared" si="34"/>
        <v>0.98016146186612363</v>
      </c>
      <c r="Y330" s="194" t="str">
        <f t="shared" si="35"/>
        <v/>
      </c>
      <c r="Z330" s="245" t="str">
        <f>IF(ISNUMBER(SEARCH("C", 'Dry_Litterbag Placem_Collection'!$V37)),"YES","NO")</f>
        <v>NO</v>
      </c>
      <c r="AA330" s="245" t="str">
        <f>IF(ISNUMBER(SEARCH("H", 'Dry_Litterbag Placem_Collection'!$V37)),"YES","NO")</f>
        <v>NO</v>
      </c>
      <c r="AB330" s="245" t="str">
        <f>IF(ISNUMBER(SEARCH("R", 'Dry_Litterbag Placem_Collection'!$V37)),"YES","NO")</f>
        <v>NO</v>
      </c>
      <c r="AC330" s="245" t="str">
        <f>IF(ISNUMBER(SEARCH("C", 'Dry_Litterbag Placem_Collection'!$U37)),"YES","NO")</f>
        <v>NO</v>
      </c>
      <c r="AD330" s="245" t="str">
        <f>IF(ISNUMBER(SEARCH("H", 'Dry_Litterbag Placem_Collection'!$U37)),"YES","NO")</f>
        <v>NO</v>
      </c>
      <c r="AE330" s="245" t="str">
        <f>IF(ISNUMBER(SEARCH("R", 'Dry_Litterbag Placem_Collection'!$U37)),"YES","NO")</f>
        <v>NO</v>
      </c>
    </row>
    <row r="331" spans="2:31">
      <c r="B331" t="str">
        <f>Dryseason!B477</f>
        <v>Dry</v>
      </c>
      <c r="C331" s="253">
        <f>Dryseason!C477</f>
        <v>36</v>
      </c>
      <c r="D331" t="s">
        <v>3106</v>
      </c>
      <c r="E331" t="s">
        <v>25</v>
      </c>
      <c r="F331" s="375">
        <v>4</v>
      </c>
      <c r="G331" s="376">
        <f>IF('Dry_Litterbag Placem_Collection'!E38="","",'Dry_Litterbag Placem_Collection'!E38)</f>
        <v>42938</v>
      </c>
      <c r="H331" s="92" t="str">
        <f>Dryseason!L477</f>
        <v>G767</v>
      </c>
      <c r="I331" t="str">
        <f>Dryseason!L697</f>
        <v>R152</v>
      </c>
      <c r="J331">
        <f>IFERROR(INDEX('Green_rooibos initial weight'!$C$5:$C$2000,MATCH(H331, 'Green_rooibos initial weight'!$A$5:$A$2000,0)),"")</f>
        <v>1.8879999999999999</v>
      </c>
      <c r="K331">
        <f>IFERROR(INDEX('Green_rooibos initial weight'!$C$5:$C$2000,MATCH(I331, 'Green_rooibos initial weight'!$A$5:$A$2000,0)),"")</f>
        <v>2.1800000000000002</v>
      </c>
      <c r="L331" s="194">
        <f t="shared" si="28"/>
        <v>1.6381999999999999</v>
      </c>
      <c r="M331" s="233">
        <f>AVERAGE(Ashed_controlls!$K$1:$K$11)</f>
        <v>5.5147656768714146</v>
      </c>
      <c r="N331" s="194">
        <f t="shared" si="27"/>
        <v>1.9302000000000001</v>
      </c>
      <c r="O331" s="376">
        <f>IF('Dry_Litterbag Placem_Collection'!G38="","",'Dry_Litterbag Placem_Collection'!G38)</f>
        <v>43005</v>
      </c>
      <c r="P331" s="194">
        <f>IFERROR(INDEX('Both teabags AfterDry'!$D$3:$D$2000,MATCH(H331,'Both teabags AfterDry'!$A$3:$A$2000,0)),"")</f>
        <v>1.4665999999999999</v>
      </c>
      <c r="Q331" s="194" t="str">
        <f>IFERROR(INDEX('Both teabags AfterDry'!$D$3:$D$2000,MATCH(I331,'Both teabags AfterDry'!$A$3:$A$2000,0)),"")</f>
        <v/>
      </c>
      <c r="R331" s="194">
        <f t="shared" si="29"/>
        <v>1.3159999999999998</v>
      </c>
      <c r="S331" s="194" t="str">
        <f t="shared" si="29"/>
        <v/>
      </c>
      <c r="T331" s="194">
        <f t="shared" si="30"/>
        <v>0.19667928213893304</v>
      </c>
      <c r="U331" s="194">
        <f t="shared" si="31"/>
        <v>0.12893938686542877</v>
      </c>
      <c r="V331" s="194" t="str">
        <f t="shared" si="32"/>
        <v/>
      </c>
      <c r="W331">
        <f t="shared" si="33"/>
        <v>67</v>
      </c>
      <c r="X331" s="194">
        <f t="shared" si="34"/>
        <v>0.76641415422929571</v>
      </c>
      <c r="Y331" s="194" t="str">
        <f t="shared" si="35"/>
        <v/>
      </c>
      <c r="Z331" s="245" t="str">
        <f>IF(ISNUMBER(SEARCH("C", 'Dry_Litterbag Placem_Collection'!$V38)),"YES","NO")</f>
        <v>NO</v>
      </c>
      <c r="AA331" s="245" t="str">
        <f>IF(ISNUMBER(SEARCH("H", 'Dry_Litterbag Placem_Collection'!$V38)),"YES","NO")</f>
        <v>NO</v>
      </c>
      <c r="AB331" s="245" t="str">
        <f>IF(ISNUMBER(SEARCH("R", 'Dry_Litterbag Placem_Collection'!$V38)),"YES","NO")</f>
        <v>NO</v>
      </c>
      <c r="AC331" s="245" t="str">
        <f>IF(ISNUMBER(SEARCH("C", 'Dry_Litterbag Placem_Collection'!$U38)),"YES","NO")</f>
        <v>NO</v>
      </c>
      <c r="AD331" s="245" t="str">
        <f>IF(ISNUMBER(SEARCH("H", 'Dry_Litterbag Placem_Collection'!$U38)),"YES","NO")</f>
        <v>NO</v>
      </c>
      <c r="AE331" s="245" t="str">
        <f>IF(ISNUMBER(SEARCH("R", 'Dry_Litterbag Placem_Collection'!$U38)),"YES","NO")</f>
        <v>YES</v>
      </c>
    </row>
    <row r="332" spans="2:31">
      <c r="B332" t="str">
        <f>Dryseason!B478</f>
        <v>Dry</v>
      </c>
      <c r="C332" s="253">
        <f>Dryseason!C478</f>
        <v>37</v>
      </c>
      <c r="D332" t="s">
        <v>3106</v>
      </c>
      <c r="E332" t="s">
        <v>25</v>
      </c>
      <c r="F332" s="375">
        <v>5</v>
      </c>
      <c r="G332" s="376">
        <f>IF('Dry_Litterbag Placem_Collection'!E39="","",'Dry_Litterbag Placem_Collection'!E39)</f>
        <v>42938</v>
      </c>
      <c r="H332" s="92" t="str">
        <f>Dryseason!L478</f>
        <v>G473</v>
      </c>
      <c r="I332" t="str">
        <f>Dryseason!L698</f>
        <v>R681</v>
      </c>
      <c r="J332">
        <f>IFERROR(INDEX('Green_rooibos initial weight'!$C$5:$C$2000,MATCH(H332, 'Green_rooibos initial weight'!$A$5:$A$2000,0)),"")</f>
        <v>2.077</v>
      </c>
      <c r="K332">
        <f>IFERROR(INDEX('Green_rooibos initial weight'!$C$5:$C$2000,MATCH(I332, 'Green_rooibos initial weight'!$A$5:$A$2000,0)),"")</f>
        <v>2.1859999999999999</v>
      </c>
      <c r="L332" s="194">
        <f t="shared" si="28"/>
        <v>1.8271999999999999</v>
      </c>
      <c r="M332" s="233">
        <f>AVERAGE(Ashed_controlls!$K$1:$K$11)</f>
        <v>5.5147656768714146</v>
      </c>
      <c r="N332" s="194">
        <f t="shared" ref="N332:N395" si="36">IFERROR(IF(K332&gt;0,(K332*$F$32-($F$29+$F$30)),""),"")</f>
        <v>1.9361999999999999</v>
      </c>
      <c r="O332" s="376">
        <f>IF('Dry_Litterbag Placem_Collection'!G39="","",'Dry_Litterbag Placem_Collection'!G39)</f>
        <v>43005</v>
      </c>
      <c r="P332" s="194">
        <f>IFERROR(INDEX('Both teabags AfterDry'!$D$3:$D$2000,MATCH(H332,'Both teabags AfterDry'!$A$3:$A$2000,0)),"")</f>
        <v>1.8992</v>
      </c>
      <c r="Q332" s="194">
        <f>IFERROR(INDEX('Both teabags AfterDry'!$D$3:$D$2000,MATCH(I332,'Both teabags AfterDry'!$A$3:$A$2000,0)),"")</f>
        <v>1.9663999999999999</v>
      </c>
      <c r="R332" s="194">
        <f t="shared" si="29"/>
        <v>1.7485999999999999</v>
      </c>
      <c r="S332" s="194">
        <f t="shared" si="29"/>
        <v>1.8157999999999999</v>
      </c>
      <c r="T332" s="194">
        <f t="shared" si="30"/>
        <v>4.3016637478108577E-2</v>
      </c>
      <c r="U332" s="194">
        <f t="shared" si="31"/>
        <v>2.820093098327309E-2</v>
      </c>
      <c r="V332" s="194">
        <f t="shared" si="32"/>
        <v>0.93781634128705704</v>
      </c>
      <c r="W332">
        <f t="shared" si="33"/>
        <v>67</v>
      </c>
      <c r="X332" s="194">
        <f t="shared" si="34"/>
        <v>0.94891135691436035</v>
      </c>
      <c r="Y332" s="194" t="str">
        <f t="shared" si="35"/>
        <v/>
      </c>
      <c r="Z332" s="245" t="str">
        <f>IF(ISNUMBER(SEARCH("C", 'Dry_Litterbag Placem_Collection'!$V39)),"YES","NO")</f>
        <v>NO</v>
      </c>
      <c r="AA332" s="245" t="str">
        <f>IF(ISNUMBER(SEARCH("H", 'Dry_Litterbag Placem_Collection'!$V39)),"YES","NO")</f>
        <v>NO</v>
      </c>
      <c r="AB332" s="245" t="str">
        <f>IF(ISNUMBER(SEARCH("R", 'Dry_Litterbag Placem_Collection'!$V39)),"YES","NO")</f>
        <v>NO</v>
      </c>
      <c r="AC332" s="245" t="str">
        <f>IF(ISNUMBER(SEARCH("C", 'Dry_Litterbag Placem_Collection'!$U39)),"YES","NO")</f>
        <v>NO</v>
      </c>
      <c r="AD332" s="245" t="str">
        <f>IF(ISNUMBER(SEARCH("H", 'Dry_Litterbag Placem_Collection'!$U39)),"YES","NO")</f>
        <v>NO</v>
      </c>
      <c r="AE332" s="245" t="str">
        <f>IF(ISNUMBER(SEARCH("R", 'Dry_Litterbag Placem_Collection'!$U39)),"YES","NO")</f>
        <v>NO</v>
      </c>
    </row>
    <row r="333" spans="2:31">
      <c r="B333" t="str">
        <f>Dryseason!B479</f>
        <v>Dry</v>
      </c>
      <c r="C333" s="253">
        <f>Dryseason!C479</f>
        <v>38</v>
      </c>
      <c r="D333" t="s">
        <v>3106</v>
      </c>
      <c r="E333" t="s">
        <v>25</v>
      </c>
      <c r="F333" s="375">
        <v>6</v>
      </c>
      <c r="G333" s="376">
        <f>IF('Dry_Litterbag Placem_Collection'!E40="","",'Dry_Litterbag Placem_Collection'!E40)</f>
        <v>42938</v>
      </c>
      <c r="H333" s="92" t="str">
        <f>Dryseason!L479</f>
        <v>G111</v>
      </c>
      <c r="I333" t="str">
        <f>Dryseason!L699</f>
        <v>R260</v>
      </c>
      <c r="J333">
        <f>IFERROR(INDEX('Green_rooibos initial weight'!$C$5:$C$2000,MATCH(H333, 'Green_rooibos initial weight'!$A$5:$A$2000,0)),"")</f>
        <v>2.0750000000000002</v>
      </c>
      <c r="K333">
        <f>IFERROR(INDEX('Green_rooibos initial weight'!$C$5:$C$2000,MATCH(I333, 'Green_rooibos initial weight'!$A$5:$A$2000,0)),"")</f>
        <v>2.1779999999999999</v>
      </c>
      <c r="L333" s="194">
        <f t="shared" ref="L333:L396" si="37">IFERROR(IF(J333&gt;0,(J333*$F$31-($F$29+$F$30)),""),"")</f>
        <v>1.8252000000000002</v>
      </c>
      <c r="M333" s="233">
        <f>AVERAGE(Ashed_controlls!$K$1:$K$11)</f>
        <v>5.5147656768714146</v>
      </c>
      <c r="N333" s="194">
        <f t="shared" si="36"/>
        <v>1.9281999999999999</v>
      </c>
      <c r="O333" s="376">
        <f>IF('Dry_Litterbag Placem_Collection'!G40="","",'Dry_Litterbag Placem_Collection'!G40)</f>
        <v>43005</v>
      </c>
      <c r="P333" s="194">
        <f>IFERROR(INDEX('Both teabags AfterDry'!$D$3:$D$2000,MATCH(H333,'Both teabags AfterDry'!$A$3:$A$2000,0)),"")</f>
        <v>1.8357000000000001</v>
      </c>
      <c r="Q333" s="194">
        <f>IFERROR(INDEX('Both teabags AfterDry'!$D$3:$D$2000,MATCH(I333,'Both teabags AfterDry'!$A$3:$A$2000,0)),"")</f>
        <v>1.8734</v>
      </c>
      <c r="R333" s="194">
        <f t="shared" ref="R333:S396" si="38">IFERROR(IF(P333&gt;0,P333-($F$29),""),"")</f>
        <v>1.6851</v>
      </c>
      <c r="S333" s="194">
        <f t="shared" si="38"/>
        <v>1.7227999999999999</v>
      </c>
      <c r="T333" s="194">
        <f t="shared" ref="T333:T396" si="39">IFERROR(1-R333/L333,"")</f>
        <v>7.6758711374096067E-2</v>
      </c>
      <c r="U333" s="194">
        <f t="shared" ref="U333:U396" si="40">IFERROR($F$26*(1-X333),"")</f>
        <v>5.0321625508908591E-2</v>
      </c>
      <c r="V333" s="194">
        <f t="shared" ref="V333:V396" si="41">IFERROR(S333/N333,"")</f>
        <v>0.89347578052069287</v>
      </c>
      <c r="W333">
        <f t="shared" ref="W333:W396" si="42">IFERROR(IF((O333-G333)&gt;0,(IFERROR(O333-G333,"")),""),"")</f>
        <v>67</v>
      </c>
      <c r="X333" s="194">
        <f t="shared" ref="X333:X396" si="43">IFERROR(1-(T333/$F$25),"")</f>
        <v>0.90883763494762937</v>
      </c>
      <c r="Y333" s="194" t="str">
        <f t="shared" ref="Y333:Y396" si="44">IFERROR(LN(U333/(V333-(1-U333)))/W333,"")</f>
        <v/>
      </c>
      <c r="Z333" s="245" t="str">
        <f>IF(ISNUMBER(SEARCH("C", 'Dry_Litterbag Placem_Collection'!$V40)),"YES","NO")</f>
        <v>NO</v>
      </c>
      <c r="AA333" s="245" t="str">
        <f>IF(ISNUMBER(SEARCH("H", 'Dry_Litterbag Placem_Collection'!$V40)),"YES","NO")</f>
        <v>NO</v>
      </c>
      <c r="AB333" s="245" t="str">
        <f>IF(ISNUMBER(SEARCH("R", 'Dry_Litterbag Placem_Collection'!$V40)),"YES","NO")</f>
        <v>NO</v>
      </c>
      <c r="AC333" s="245" t="str">
        <f>IF(ISNUMBER(SEARCH("C", 'Dry_Litterbag Placem_Collection'!$U40)),"YES","NO")</f>
        <v>NO</v>
      </c>
      <c r="AD333" s="245" t="str">
        <f>IF(ISNUMBER(SEARCH("H", 'Dry_Litterbag Placem_Collection'!$U40)),"YES","NO")</f>
        <v>NO</v>
      </c>
      <c r="AE333" s="245" t="str">
        <f>IF(ISNUMBER(SEARCH("R", 'Dry_Litterbag Placem_Collection'!$U40)),"YES","NO")</f>
        <v>NO</v>
      </c>
    </row>
    <row r="334" spans="2:31">
      <c r="B334" t="str">
        <f>Dryseason!B480</f>
        <v>Dry</v>
      </c>
      <c r="C334" s="253">
        <f>Dryseason!C480</f>
        <v>39</v>
      </c>
      <c r="D334" t="s">
        <v>3106</v>
      </c>
      <c r="E334" t="s">
        <v>25</v>
      </c>
      <c r="F334" s="375">
        <v>7</v>
      </c>
      <c r="G334" s="376">
        <f>IF('Dry_Litterbag Placem_Collection'!E41="","",'Dry_Litterbag Placem_Collection'!E41)</f>
        <v>42938</v>
      </c>
      <c r="H334" s="92" t="str">
        <f>Dryseason!L480</f>
        <v/>
      </c>
      <c r="I334" t="str">
        <f>Dryseason!L700</f>
        <v/>
      </c>
      <c r="J334" t="str">
        <f>IFERROR(INDEX('Green_rooibos initial weight'!$C$5:$C$2000,MATCH(H334, 'Green_rooibos initial weight'!$A$5:$A$2000,0)),"")</f>
        <v/>
      </c>
      <c r="K334" t="str">
        <f>IFERROR(INDEX('Green_rooibos initial weight'!$C$5:$C$2000,MATCH(I334, 'Green_rooibos initial weight'!$A$5:$A$2000,0)),"")</f>
        <v/>
      </c>
      <c r="L334" s="194" t="str">
        <f t="shared" si="37"/>
        <v/>
      </c>
      <c r="M334" s="233">
        <f>AVERAGE(Ashed_controlls!$K$1:$K$11)</f>
        <v>5.5147656768714146</v>
      </c>
      <c r="N334" s="194" t="str">
        <f t="shared" si="36"/>
        <v/>
      </c>
      <c r="O334" s="376" t="str">
        <f>IF('Dry_Litterbag Placem_Collection'!G41="","",'Dry_Litterbag Placem_Collection'!G41)</f>
        <v/>
      </c>
      <c r="P334" s="194" t="str">
        <f>IFERROR(INDEX('Both teabags AfterDry'!$D$3:$D$2000,MATCH(H334,'Both teabags AfterDry'!$A$3:$A$2000,0)),"")</f>
        <v/>
      </c>
      <c r="Q334" s="194" t="str">
        <f>IFERROR(INDEX('Both teabags AfterDry'!$D$3:$D$2000,MATCH(I334,'Both teabags AfterDry'!$A$3:$A$2000,0)),"")</f>
        <v/>
      </c>
      <c r="R334" s="194" t="str">
        <f t="shared" si="38"/>
        <v/>
      </c>
      <c r="S334" s="194" t="str">
        <f t="shared" si="38"/>
        <v/>
      </c>
      <c r="T334" s="194" t="str">
        <f t="shared" si="39"/>
        <v/>
      </c>
      <c r="U334" s="194" t="str">
        <f t="shared" si="40"/>
        <v/>
      </c>
      <c r="V334" s="194" t="str">
        <f t="shared" si="41"/>
        <v/>
      </c>
      <c r="W334" t="str">
        <f t="shared" si="42"/>
        <v/>
      </c>
      <c r="X334" s="194" t="str">
        <f t="shared" si="43"/>
        <v/>
      </c>
      <c r="Y334" s="194" t="str">
        <f t="shared" si="44"/>
        <v/>
      </c>
      <c r="Z334" s="245" t="str">
        <f>IF(ISNUMBER(SEARCH("C", 'Dry_Litterbag Placem_Collection'!$V41)),"YES","NO")</f>
        <v>NO</v>
      </c>
      <c r="AA334" s="245" t="str">
        <f>IF(ISNUMBER(SEARCH("H", 'Dry_Litterbag Placem_Collection'!$V41)),"YES","NO")</f>
        <v>NO</v>
      </c>
      <c r="AB334" s="245" t="str">
        <f>IF(ISNUMBER(SEARCH("R", 'Dry_Litterbag Placem_Collection'!$V41)),"YES","NO")</f>
        <v>NO</v>
      </c>
      <c r="AC334" s="245" t="str">
        <f>IF(ISNUMBER(SEARCH("C", 'Dry_Litterbag Placem_Collection'!$U41)),"YES","NO")</f>
        <v>NO</v>
      </c>
      <c r="AD334" s="245" t="str">
        <f>IF(ISNUMBER(SEARCH("H", 'Dry_Litterbag Placem_Collection'!$U41)),"YES","NO")</f>
        <v>NO</v>
      </c>
      <c r="AE334" s="245" t="str">
        <f>IF(ISNUMBER(SEARCH("R", 'Dry_Litterbag Placem_Collection'!$U41)),"YES","NO")</f>
        <v>NO</v>
      </c>
    </row>
    <row r="335" spans="2:31">
      <c r="B335" t="str">
        <f>Dryseason!B481</f>
        <v>Dry</v>
      </c>
      <c r="C335" s="253">
        <f>Dryseason!C481</f>
        <v>40</v>
      </c>
      <c r="D335" t="s">
        <v>3106</v>
      </c>
      <c r="E335" t="s">
        <v>25</v>
      </c>
      <c r="F335" s="375">
        <v>8</v>
      </c>
      <c r="G335" s="376">
        <f>IF('Dry_Litterbag Placem_Collection'!E42="","",'Dry_Litterbag Placem_Collection'!E42)</f>
        <v>42938</v>
      </c>
      <c r="H335" s="92" t="str">
        <f>Dryseason!L481</f>
        <v>G646</v>
      </c>
      <c r="I335" t="str">
        <f>Dryseason!L701</f>
        <v>R402</v>
      </c>
      <c r="J335">
        <f>IFERROR(INDEX('Green_rooibos initial weight'!$C$5:$C$2000,MATCH(H335, 'Green_rooibos initial weight'!$A$5:$A$2000,0)),"")</f>
        <v>2.1629999999999998</v>
      </c>
      <c r="K335">
        <f>IFERROR(INDEX('Green_rooibos initial weight'!$C$5:$C$2000,MATCH(I335, 'Green_rooibos initial weight'!$A$5:$A$2000,0)),"")</f>
        <v>2.1459999999999999</v>
      </c>
      <c r="L335" s="194">
        <f t="shared" si="37"/>
        <v>1.9131999999999998</v>
      </c>
      <c r="M335" s="233">
        <f>AVERAGE(Ashed_controlls!$K$1:$K$11)</f>
        <v>5.5147656768714146</v>
      </c>
      <c r="N335" s="194">
        <f t="shared" si="36"/>
        <v>1.8961999999999999</v>
      </c>
      <c r="O335" s="376">
        <f>IF('Dry_Litterbag Placem_Collection'!G42="","",'Dry_Litterbag Placem_Collection'!G42)</f>
        <v>43005</v>
      </c>
      <c r="P335" s="194">
        <f>IFERROR(INDEX('Both teabags AfterDry'!$D$3:$D$2000,MATCH(H335,'Both teabags AfterDry'!$A$3:$A$2000,0)),"")</f>
        <v>1.9007000000000001</v>
      </c>
      <c r="Q335" s="194">
        <f>IFERROR(INDEX('Both teabags AfterDry'!$D$3:$D$2000,MATCH(I335,'Both teabags AfterDry'!$A$3:$A$2000,0)),"")</f>
        <v>1.9192</v>
      </c>
      <c r="R335" s="194">
        <f t="shared" si="38"/>
        <v>1.7501</v>
      </c>
      <c r="S335" s="194">
        <f t="shared" si="38"/>
        <v>1.7685999999999999</v>
      </c>
      <c r="T335" s="194">
        <f t="shared" si="39"/>
        <v>8.5249843194647568E-2</v>
      </c>
      <c r="U335" s="194">
        <f t="shared" si="40"/>
        <v>5.5888258246372301E-2</v>
      </c>
      <c r="V335" s="194">
        <f t="shared" si="41"/>
        <v>0.93270752030376547</v>
      </c>
      <c r="W335">
        <f t="shared" si="42"/>
        <v>67</v>
      </c>
      <c r="X335" s="194">
        <f t="shared" si="43"/>
        <v>0.89875315535077482</v>
      </c>
      <c r="Y335" s="194" t="str">
        <f t="shared" si="44"/>
        <v/>
      </c>
      <c r="Z335" s="245" t="str">
        <f>IF(ISNUMBER(SEARCH("C", 'Dry_Litterbag Placem_Collection'!$V42)),"YES","NO")</f>
        <v>NO</v>
      </c>
      <c r="AA335" s="245" t="str">
        <f>IF(ISNUMBER(SEARCH("H", 'Dry_Litterbag Placem_Collection'!$V42)),"YES","NO")</f>
        <v>NO</v>
      </c>
      <c r="AB335" s="245" t="str">
        <f>IF(ISNUMBER(SEARCH("R", 'Dry_Litterbag Placem_Collection'!$V42)),"YES","NO")</f>
        <v>NO</v>
      </c>
      <c r="AC335" s="245" t="str">
        <f>IF(ISNUMBER(SEARCH("C", 'Dry_Litterbag Placem_Collection'!$U42)),"YES","NO")</f>
        <v>NO</v>
      </c>
      <c r="AD335" s="245" t="str">
        <f>IF(ISNUMBER(SEARCH("H", 'Dry_Litterbag Placem_Collection'!$U42)),"YES","NO")</f>
        <v>NO</v>
      </c>
      <c r="AE335" s="245" t="str">
        <f>IF(ISNUMBER(SEARCH("R", 'Dry_Litterbag Placem_Collection'!$U42)),"YES","NO")</f>
        <v>NO</v>
      </c>
    </row>
    <row r="336" spans="2:31">
      <c r="B336" t="str">
        <f>Dryseason!B482</f>
        <v>Dry</v>
      </c>
      <c r="C336" s="253">
        <f>Dryseason!C482</f>
        <v>41</v>
      </c>
      <c r="D336" t="s">
        <v>3108</v>
      </c>
      <c r="E336" t="s">
        <v>25</v>
      </c>
      <c r="F336" s="374">
        <v>1</v>
      </c>
      <c r="G336" s="376">
        <f>IF('Dry_Litterbag Placem_Collection'!E43="","",'Dry_Litterbag Placem_Collection'!E43)</f>
        <v>42938</v>
      </c>
      <c r="H336" s="92" t="str">
        <f>Dryseason!L482</f>
        <v>G43</v>
      </c>
      <c r="I336" t="str">
        <f>Dryseason!L702</f>
        <v>R648</v>
      </c>
      <c r="J336">
        <f>IFERROR(INDEX('Green_rooibos initial weight'!$C$5:$C$2000,MATCH(H336, 'Green_rooibos initial weight'!$A$5:$A$2000,0)),"")</f>
        <v>1.9650000000000001</v>
      </c>
      <c r="K336">
        <f>IFERROR(INDEX('Green_rooibos initial weight'!$C$5:$C$2000,MATCH(I336, 'Green_rooibos initial weight'!$A$5:$A$2000,0)),"")</f>
        <v>2.1920000000000002</v>
      </c>
      <c r="L336" s="194">
        <f t="shared" si="37"/>
        <v>1.7152000000000001</v>
      </c>
      <c r="M336" s="233">
        <f>AVERAGE(Ashed_controlls!$K$1:$K$11)</f>
        <v>5.5147656768714146</v>
      </c>
      <c r="N336" s="194">
        <f t="shared" si="36"/>
        <v>1.9422000000000001</v>
      </c>
      <c r="O336" s="376">
        <f>IF('Dry_Litterbag Placem_Collection'!G43="","",'Dry_Litterbag Placem_Collection'!G43)</f>
        <v>43005</v>
      </c>
      <c r="P336" s="194">
        <f>IFERROR(INDEX('Both teabags AfterDry'!$D$3:$D$2000,MATCH(H336,'Both teabags AfterDry'!$A$3:$A$2000,0)),"")</f>
        <v>1.7821</v>
      </c>
      <c r="Q336" s="194">
        <f>IFERROR(INDEX('Both teabags AfterDry'!$D$3:$D$2000,MATCH(I336,'Both teabags AfterDry'!$A$3:$A$2000,0)),"")</f>
        <v>1.9649000000000001</v>
      </c>
      <c r="R336" s="194">
        <f t="shared" si="38"/>
        <v>1.6315</v>
      </c>
      <c r="S336" s="194">
        <f t="shared" si="38"/>
        <v>1.8143</v>
      </c>
      <c r="T336" s="194">
        <f t="shared" si="39"/>
        <v>4.8798973880597063E-2</v>
      </c>
      <c r="U336" s="194">
        <f t="shared" si="40"/>
        <v>3.1991726344524449E-2</v>
      </c>
      <c r="V336" s="194">
        <f t="shared" si="41"/>
        <v>0.93414684378539792</v>
      </c>
      <c r="W336">
        <f t="shared" si="42"/>
        <v>67</v>
      </c>
      <c r="X336" s="194">
        <f t="shared" si="43"/>
        <v>0.94204397401354267</v>
      </c>
      <c r="Y336" s="194" t="str">
        <f t="shared" si="44"/>
        <v/>
      </c>
      <c r="Z336" s="245" t="str">
        <f>IF(ISNUMBER(SEARCH("C", 'Dry_Litterbag Placem_Collection'!$V43)),"YES","NO")</f>
        <v>NO</v>
      </c>
      <c r="AA336" s="245" t="str">
        <f>IF(ISNUMBER(SEARCH("H", 'Dry_Litterbag Placem_Collection'!$V43)),"YES","NO")</f>
        <v>NO</v>
      </c>
      <c r="AB336" s="245" t="str">
        <f>IF(ISNUMBER(SEARCH("R", 'Dry_Litterbag Placem_Collection'!$V43)),"YES","NO")</f>
        <v>NO</v>
      </c>
      <c r="AC336" s="245" t="str">
        <f>IF(ISNUMBER(SEARCH("C", 'Dry_Litterbag Placem_Collection'!$U43)),"YES","NO")</f>
        <v>NO</v>
      </c>
      <c r="AD336" s="245" t="str">
        <f>IF(ISNUMBER(SEARCH("H", 'Dry_Litterbag Placem_Collection'!$U43)),"YES","NO")</f>
        <v>NO</v>
      </c>
      <c r="AE336" s="245" t="str">
        <f>IF(ISNUMBER(SEARCH("R", 'Dry_Litterbag Placem_Collection'!$U43)),"YES","NO")</f>
        <v>NO</v>
      </c>
    </row>
    <row r="337" spans="2:31">
      <c r="B337" t="str">
        <f>Dryseason!B483</f>
        <v>Dry</v>
      </c>
      <c r="C337" s="253">
        <f>Dryseason!C483</f>
        <v>42</v>
      </c>
      <c r="D337" t="s">
        <v>3108</v>
      </c>
      <c r="E337" t="s">
        <v>25</v>
      </c>
      <c r="F337" s="374">
        <v>2</v>
      </c>
      <c r="G337" s="376">
        <f>IF('Dry_Litterbag Placem_Collection'!E44="","",'Dry_Litterbag Placem_Collection'!E44)</f>
        <v>42938</v>
      </c>
      <c r="H337" s="92" t="str">
        <f>Dryseason!L483</f>
        <v>G268</v>
      </c>
      <c r="I337" t="str">
        <f>Dryseason!L703</f>
        <v>R257</v>
      </c>
      <c r="J337">
        <f>IFERROR(INDEX('Green_rooibos initial weight'!$C$5:$C$2000,MATCH(H337, 'Green_rooibos initial weight'!$A$5:$A$2000,0)),"")</f>
        <v>2.1389999999999998</v>
      </c>
      <c r="K337">
        <f>IFERROR(INDEX('Green_rooibos initial weight'!$C$5:$C$2000,MATCH(I337, 'Green_rooibos initial weight'!$A$5:$A$2000,0)),"")</f>
        <v>2.222</v>
      </c>
      <c r="L337" s="194">
        <f t="shared" si="37"/>
        <v>1.8891999999999998</v>
      </c>
      <c r="M337" s="233">
        <f>AVERAGE(Ashed_controlls!$K$1:$K$11)</f>
        <v>5.5147656768714146</v>
      </c>
      <c r="N337" s="194">
        <f t="shared" si="36"/>
        <v>1.9722</v>
      </c>
      <c r="O337" s="376">
        <f>IF('Dry_Litterbag Placem_Collection'!G44="","",'Dry_Litterbag Placem_Collection'!G44)</f>
        <v>43005</v>
      </c>
      <c r="P337" s="194">
        <f>IFERROR(INDEX('Both teabags AfterDry'!$D$3:$D$2000,MATCH(H337,'Both teabags AfterDry'!$A$3:$A$2000,0)),"")</f>
        <v>1.7633000000000001</v>
      </c>
      <c r="Q337" s="194">
        <f>IFERROR(INDEX('Both teabags AfterDry'!$D$3:$D$2000,MATCH(I337,'Both teabags AfterDry'!$A$3:$A$2000,0)),"")</f>
        <v>1.956</v>
      </c>
      <c r="R337" s="194">
        <f t="shared" si="38"/>
        <v>1.6127</v>
      </c>
      <c r="S337" s="194">
        <f t="shared" si="38"/>
        <v>1.8053999999999999</v>
      </c>
      <c r="T337" s="194">
        <f t="shared" si="39"/>
        <v>0.14635824687698484</v>
      </c>
      <c r="U337" s="194">
        <f t="shared" si="40"/>
        <v>9.5949824555933094E-2</v>
      </c>
      <c r="V337" s="194">
        <f t="shared" si="41"/>
        <v>0.91542439914815943</v>
      </c>
      <c r="W337">
        <f t="shared" si="42"/>
        <v>67</v>
      </c>
      <c r="X337" s="194">
        <f t="shared" si="43"/>
        <v>0.82617785406533861</v>
      </c>
      <c r="Y337" s="194">
        <f t="shared" si="44"/>
        <v>3.1827995182734742E-2</v>
      </c>
      <c r="Z337" s="245" t="str">
        <f>IF(ISNUMBER(SEARCH("C", 'Dry_Litterbag Placem_Collection'!$V44)),"YES","NO")</f>
        <v>NO</v>
      </c>
      <c r="AA337" s="245" t="str">
        <f>IF(ISNUMBER(SEARCH("H", 'Dry_Litterbag Placem_Collection'!$V44)),"YES","NO")</f>
        <v>NO</v>
      </c>
      <c r="AB337" s="245" t="str">
        <f>IF(ISNUMBER(SEARCH("R", 'Dry_Litterbag Placem_Collection'!$V44)),"YES","NO")</f>
        <v>NO</v>
      </c>
      <c r="AC337" s="245" t="str">
        <f>IF(ISNUMBER(SEARCH("C", 'Dry_Litterbag Placem_Collection'!$U44)),"YES","NO")</f>
        <v>NO</v>
      </c>
      <c r="AD337" s="245" t="str">
        <f>IF(ISNUMBER(SEARCH("H", 'Dry_Litterbag Placem_Collection'!$U44)),"YES","NO")</f>
        <v>NO</v>
      </c>
      <c r="AE337" s="245" t="str">
        <f>IF(ISNUMBER(SEARCH("R", 'Dry_Litterbag Placem_Collection'!$U44)),"YES","NO")</f>
        <v>YES</v>
      </c>
    </row>
    <row r="338" spans="2:31">
      <c r="B338" t="str">
        <f>Dryseason!B484</f>
        <v>Dry</v>
      </c>
      <c r="C338" s="253">
        <f>Dryseason!C484</f>
        <v>43</v>
      </c>
      <c r="D338" t="s">
        <v>3108</v>
      </c>
      <c r="E338" t="s">
        <v>25</v>
      </c>
      <c r="F338" s="374">
        <v>3</v>
      </c>
      <c r="G338" s="376">
        <f>IF('Dry_Litterbag Placem_Collection'!E45="","",'Dry_Litterbag Placem_Collection'!E45)</f>
        <v>42938</v>
      </c>
      <c r="H338" s="92" t="str">
        <f>Dryseason!L484</f>
        <v>G300</v>
      </c>
      <c r="I338" t="str">
        <f>Dryseason!L704</f>
        <v>R691</v>
      </c>
      <c r="J338">
        <f>IFERROR(INDEX('Green_rooibos initial weight'!$C$5:$C$2000,MATCH(H338, 'Green_rooibos initial weight'!$A$5:$A$2000,0)),"")</f>
        <v>2.052</v>
      </c>
      <c r="K338">
        <f>IFERROR(INDEX('Green_rooibos initial weight'!$C$5:$C$2000,MATCH(I338, 'Green_rooibos initial weight'!$A$5:$A$2000,0)),"")</f>
        <v>2.1859999999999999</v>
      </c>
      <c r="L338" s="194">
        <f t="shared" si="37"/>
        <v>1.8022</v>
      </c>
      <c r="M338" s="233">
        <f>AVERAGE(Ashed_controlls!$K$1:$K$11)</f>
        <v>5.5147656768714146</v>
      </c>
      <c r="N338" s="194">
        <f t="shared" si="36"/>
        <v>1.9361999999999999</v>
      </c>
      <c r="O338" s="376">
        <f>IF('Dry_Litterbag Placem_Collection'!G45="","",'Dry_Litterbag Placem_Collection'!G45)</f>
        <v>43005</v>
      </c>
      <c r="P338" s="194">
        <f>IFERROR(INDEX('Both teabags AfterDry'!$D$3:$D$2000,MATCH(H338,'Both teabags AfterDry'!$A$3:$A$2000,0)),"")</f>
        <v>1.8340000000000001</v>
      </c>
      <c r="Q338" s="194">
        <f>IFERROR(INDEX('Both teabags AfterDry'!$D$3:$D$2000,MATCH(I338,'Both teabags AfterDry'!$A$3:$A$2000,0)),"")</f>
        <v>1.9609000000000001</v>
      </c>
      <c r="R338" s="194">
        <f t="shared" si="38"/>
        <v>1.6834</v>
      </c>
      <c r="S338" s="194">
        <f t="shared" si="38"/>
        <v>1.8103</v>
      </c>
      <c r="T338" s="194">
        <f t="shared" si="39"/>
        <v>6.5919431805571027E-2</v>
      </c>
      <c r="U338" s="194">
        <f t="shared" si="40"/>
        <v>4.3215589497238978E-2</v>
      </c>
      <c r="V338" s="194">
        <f t="shared" si="41"/>
        <v>0.93497572564817688</v>
      </c>
      <c r="W338">
        <f t="shared" si="42"/>
        <v>67</v>
      </c>
      <c r="X338" s="194">
        <f t="shared" si="43"/>
        <v>0.92171088859195838</v>
      </c>
      <c r="Y338" s="194" t="str">
        <f t="shared" si="44"/>
        <v/>
      </c>
      <c r="Z338" s="245" t="str">
        <f>IF(ISNUMBER(SEARCH("C", 'Dry_Litterbag Placem_Collection'!$V45)),"YES","NO")</f>
        <v>NO</v>
      </c>
      <c r="AA338" s="245" t="str">
        <f>IF(ISNUMBER(SEARCH("H", 'Dry_Litterbag Placem_Collection'!$V45)),"YES","NO")</f>
        <v>NO</v>
      </c>
      <c r="AB338" s="245" t="str">
        <f>IF(ISNUMBER(SEARCH("R", 'Dry_Litterbag Placem_Collection'!$V45)),"YES","NO")</f>
        <v>NO</v>
      </c>
      <c r="AC338" s="245" t="str">
        <f>IF(ISNUMBER(SEARCH("C", 'Dry_Litterbag Placem_Collection'!$U45)),"YES","NO")</f>
        <v>NO</v>
      </c>
      <c r="AD338" s="245" t="str">
        <f>IF(ISNUMBER(SEARCH("H", 'Dry_Litterbag Placem_Collection'!$U45)),"YES","NO")</f>
        <v>NO</v>
      </c>
      <c r="AE338" s="245" t="str">
        <f>IF(ISNUMBER(SEARCH("R", 'Dry_Litterbag Placem_Collection'!$U45)),"YES","NO")</f>
        <v>NO</v>
      </c>
    </row>
    <row r="339" spans="2:31">
      <c r="B339" t="str">
        <f>Dryseason!B485</f>
        <v>Dry</v>
      </c>
      <c r="C339" s="253">
        <f>Dryseason!C485</f>
        <v>44</v>
      </c>
      <c r="D339" t="s">
        <v>3108</v>
      </c>
      <c r="E339" t="s">
        <v>25</v>
      </c>
      <c r="F339" s="375">
        <v>4</v>
      </c>
      <c r="G339" s="376">
        <f>IF('Dry_Litterbag Placem_Collection'!E46="","",'Dry_Litterbag Placem_Collection'!E46)</f>
        <v>42938</v>
      </c>
      <c r="H339" s="92" t="str">
        <f>Dryseason!L485</f>
        <v>G823</v>
      </c>
      <c r="I339" t="str">
        <f>Dryseason!L705</f>
        <v>R716</v>
      </c>
      <c r="J339">
        <f>IFERROR(INDEX('Green_rooibos initial weight'!$C$5:$C$2000,MATCH(H339, 'Green_rooibos initial weight'!$A$5:$A$2000,0)),"")</f>
        <v>1.9630000000000001</v>
      </c>
      <c r="K339">
        <f>IFERROR(INDEX('Green_rooibos initial weight'!$C$5:$C$2000,MATCH(I339, 'Green_rooibos initial weight'!$A$5:$A$2000,0)),"")</f>
        <v>2.2280000000000002</v>
      </c>
      <c r="L339" s="194">
        <f t="shared" si="37"/>
        <v>1.7132000000000001</v>
      </c>
      <c r="M339" s="233">
        <f>AVERAGE(Ashed_controlls!$K$1:$K$11)</f>
        <v>5.5147656768714146</v>
      </c>
      <c r="N339" s="194">
        <f t="shared" si="36"/>
        <v>1.9782000000000002</v>
      </c>
      <c r="O339" s="376">
        <f>IF('Dry_Litterbag Placem_Collection'!G46="","",'Dry_Litterbag Placem_Collection'!G46)</f>
        <v>43005</v>
      </c>
      <c r="P339" s="194">
        <f>IFERROR(INDEX('Both teabags AfterDry'!$D$3:$D$2000,MATCH(H339,'Both teabags AfterDry'!$A$3:$A$2000,0)),"")</f>
        <v>1.8245</v>
      </c>
      <c r="Q339" s="194">
        <f>IFERROR(INDEX('Both teabags AfterDry'!$D$3:$D$2000,MATCH(I339,'Both teabags AfterDry'!$A$3:$A$2000,0)),"")</f>
        <v>1.9879</v>
      </c>
      <c r="R339" s="194">
        <f t="shared" si="38"/>
        <v>1.6738999999999999</v>
      </c>
      <c r="S339" s="194">
        <f t="shared" si="38"/>
        <v>1.8372999999999999</v>
      </c>
      <c r="T339" s="194">
        <f t="shared" si="39"/>
        <v>2.2939528367966422E-2</v>
      </c>
      <c r="U339" s="194">
        <f t="shared" si="40"/>
        <v>1.5038740687787988E-2</v>
      </c>
      <c r="V339" s="194">
        <f t="shared" si="41"/>
        <v>0.92877363259528856</v>
      </c>
      <c r="W339">
        <f t="shared" si="42"/>
        <v>67</v>
      </c>
      <c r="X339" s="194">
        <f t="shared" si="43"/>
        <v>0.97275590455110872</v>
      </c>
      <c r="Y339" s="194" t="str">
        <f t="shared" si="44"/>
        <v/>
      </c>
      <c r="Z339" s="245" t="str">
        <f>IF(ISNUMBER(SEARCH("C", 'Dry_Litterbag Placem_Collection'!$V46)),"YES","NO")</f>
        <v>NO</v>
      </c>
      <c r="AA339" s="245" t="str">
        <f>IF(ISNUMBER(SEARCH("H", 'Dry_Litterbag Placem_Collection'!$V46)),"YES","NO")</f>
        <v>NO</v>
      </c>
      <c r="AB339" s="245" t="str">
        <f>IF(ISNUMBER(SEARCH("R", 'Dry_Litterbag Placem_Collection'!$V46)),"YES","NO")</f>
        <v>NO</v>
      </c>
      <c r="AC339" s="245" t="str">
        <f>IF(ISNUMBER(SEARCH("C", 'Dry_Litterbag Placem_Collection'!$U46)),"YES","NO")</f>
        <v>NO</v>
      </c>
      <c r="AD339" s="245" t="str">
        <f>IF(ISNUMBER(SEARCH("H", 'Dry_Litterbag Placem_Collection'!$U46)),"YES","NO")</f>
        <v>NO</v>
      </c>
      <c r="AE339" s="245" t="str">
        <f>IF(ISNUMBER(SEARCH("R", 'Dry_Litterbag Placem_Collection'!$U46)),"YES","NO")</f>
        <v>NO</v>
      </c>
    </row>
    <row r="340" spans="2:31">
      <c r="B340" t="str">
        <f>Dryseason!B486</f>
        <v>Dry</v>
      </c>
      <c r="C340" s="253">
        <f>Dryseason!C486</f>
        <v>45</v>
      </c>
      <c r="D340" t="s">
        <v>3108</v>
      </c>
      <c r="E340" t="s">
        <v>25</v>
      </c>
      <c r="F340" s="375">
        <v>5</v>
      </c>
      <c r="G340" s="376">
        <f>IF('Dry_Litterbag Placem_Collection'!E47="","",'Dry_Litterbag Placem_Collection'!E47)</f>
        <v>42938</v>
      </c>
      <c r="H340" s="92" t="str">
        <f>Dryseason!L486</f>
        <v>G354</v>
      </c>
      <c r="I340" t="str">
        <f>Dryseason!L706</f>
        <v>R631</v>
      </c>
      <c r="J340">
        <f>IFERROR(INDEX('Green_rooibos initial weight'!$C$5:$C$2000,MATCH(H340, 'Green_rooibos initial weight'!$A$5:$A$2000,0)),"")</f>
        <v>1.835</v>
      </c>
      <c r="K340">
        <f>IFERROR(INDEX('Green_rooibos initial weight'!$C$5:$C$2000,MATCH(I340, 'Green_rooibos initial weight'!$A$5:$A$2000,0)),"")</f>
        <v>2.133</v>
      </c>
      <c r="L340" s="194">
        <f t="shared" si="37"/>
        <v>1.5851999999999999</v>
      </c>
      <c r="M340" s="233">
        <f>AVERAGE(Ashed_controlls!$K$1:$K$11)</f>
        <v>5.5147656768714146</v>
      </c>
      <c r="N340" s="194">
        <f t="shared" si="36"/>
        <v>1.8832</v>
      </c>
      <c r="O340" s="376">
        <f>IF('Dry_Litterbag Placem_Collection'!G47="","",'Dry_Litterbag Placem_Collection'!G47)</f>
        <v>43005</v>
      </c>
      <c r="P340" s="194" t="str">
        <f>IFERROR(INDEX('Both teabags AfterDry'!$D$3:$D$2000,MATCH(H340,'Both teabags AfterDry'!$A$3:$A$2000,0)),"")</f>
        <v/>
      </c>
      <c r="Q340" s="194" t="str">
        <f>IFERROR(INDEX('Both teabags AfterDry'!$D$3:$D$2000,MATCH(I340,'Both teabags AfterDry'!$A$3:$A$2000,0)),"")</f>
        <v/>
      </c>
      <c r="R340" s="194" t="str">
        <f t="shared" si="38"/>
        <v/>
      </c>
      <c r="S340" s="194" t="str">
        <f t="shared" si="38"/>
        <v/>
      </c>
      <c r="T340" s="194" t="str">
        <f t="shared" si="39"/>
        <v/>
      </c>
      <c r="U340" s="194" t="str">
        <f t="shared" si="40"/>
        <v/>
      </c>
      <c r="V340" s="194" t="str">
        <f t="shared" si="41"/>
        <v/>
      </c>
      <c r="W340">
        <f t="shared" si="42"/>
        <v>67</v>
      </c>
      <c r="X340" s="194" t="str">
        <f t="shared" si="43"/>
        <v/>
      </c>
      <c r="Y340" s="194" t="str">
        <f t="shared" si="44"/>
        <v/>
      </c>
      <c r="Z340" s="245" t="str">
        <f>IF(ISNUMBER(SEARCH("C", 'Dry_Litterbag Placem_Collection'!$V47)),"YES","NO")</f>
        <v>NO</v>
      </c>
      <c r="AA340" s="245" t="str">
        <f>IF(ISNUMBER(SEARCH("H", 'Dry_Litterbag Placem_Collection'!$V47)),"YES","NO")</f>
        <v>NO</v>
      </c>
      <c r="AB340" s="245" t="str">
        <f>IF(ISNUMBER(SEARCH("R", 'Dry_Litterbag Placem_Collection'!$V47)),"YES","NO")</f>
        <v>NO</v>
      </c>
      <c r="AC340" s="245" t="str">
        <f>IF(ISNUMBER(SEARCH("C", 'Dry_Litterbag Placem_Collection'!$U47)),"YES","NO")</f>
        <v>NO</v>
      </c>
      <c r="AD340" s="245" t="str">
        <f>IF(ISNUMBER(SEARCH("H", 'Dry_Litterbag Placem_Collection'!$U47)),"YES","NO")</f>
        <v>NO</v>
      </c>
      <c r="AE340" s="245" t="str">
        <f>IF(ISNUMBER(SEARCH("R", 'Dry_Litterbag Placem_Collection'!$U47)),"YES","NO")</f>
        <v>NO</v>
      </c>
    </row>
    <row r="341" spans="2:31">
      <c r="B341" t="str">
        <f>Dryseason!B487</f>
        <v>Dry</v>
      </c>
      <c r="C341" s="253">
        <f>Dryseason!C487</f>
        <v>46</v>
      </c>
      <c r="D341" t="s">
        <v>3108</v>
      </c>
      <c r="E341" t="s">
        <v>25</v>
      </c>
      <c r="F341" s="375">
        <v>6</v>
      </c>
      <c r="G341" s="376" t="str">
        <f>IF('Dry_Litterbag Placem_Collection'!E48="","",'Dry_Litterbag Placem_Collection'!E48)</f>
        <v/>
      </c>
      <c r="H341" s="92" t="str">
        <f>Dryseason!L487</f>
        <v/>
      </c>
      <c r="I341" t="str">
        <f>Dryseason!L707</f>
        <v/>
      </c>
      <c r="J341" t="str">
        <f>IFERROR(INDEX('Green_rooibos initial weight'!$C$5:$C$2000,MATCH(H341, 'Green_rooibos initial weight'!$A$5:$A$2000,0)),"")</f>
        <v/>
      </c>
      <c r="K341" t="str">
        <f>IFERROR(INDEX('Green_rooibos initial weight'!$C$5:$C$2000,MATCH(I341, 'Green_rooibos initial weight'!$A$5:$A$2000,0)),"")</f>
        <v/>
      </c>
      <c r="L341" s="194" t="str">
        <f t="shared" si="37"/>
        <v/>
      </c>
      <c r="M341" s="233">
        <f>AVERAGE(Ashed_controlls!$K$1:$K$11)</f>
        <v>5.5147656768714146</v>
      </c>
      <c r="N341" s="194" t="str">
        <f t="shared" si="36"/>
        <v/>
      </c>
      <c r="O341" s="376" t="str">
        <f>IF('Dry_Litterbag Placem_Collection'!G48="","",'Dry_Litterbag Placem_Collection'!G48)</f>
        <v/>
      </c>
      <c r="P341" s="194" t="str">
        <f>IFERROR(INDEX('Both teabags AfterDry'!$D$3:$D$2000,MATCH(H341,'Both teabags AfterDry'!$A$3:$A$2000,0)),"")</f>
        <v/>
      </c>
      <c r="Q341" s="194" t="str">
        <f>IFERROR(INDEX('Both teabags AfterDry'!$D$3:$D$2000,MATCH(I341,'Both teabags AfterDry'!$A$3:$A$2000,0)),"")</f>
        <v/>
      </c>
      <c r="R341" s="194" t="str">
        <f t="shared" si="38"/>
        <v/>
      </c>
      <c r="S341" s="194" t="str">
        <f t="shared" si="38"/>
        <v/>
      </c>
      <c r="T341" s="194" t="str">
        <f t="shared" si="39"/>
        <v/>
      </c>
      <c r="U341" s="194" t="str">
        <f t="shared" si="40"/>
        <v/>
      </c>
      <c r="V341" s="194" t="str">
        <f t="shared" si="41"/>
        <v/>
      </c>
      <c r="W341" t="str">
        <f t="shared" si="42"/>
        <v/>
      </c>
      <c r="X341" s="194" t="str">
        <f t="shared" si="43"/>
        <v/>
      </c>
      <c r="Y341" s="194" t="str">
        <f t="shared" si="44"/>
        <v/>
      </c>
      <c r="Z341" s="245" t="str">
        <f>IF(ISNUMBER(SEARCH("C", 'Dry_Litterbag Placem_Collection'!$V48)),"YES","NO")</f>
        <v>NO</v>
      </c>
      <c r="AA341" s="245" t="str">
        <f>IF(ISNUMBER(SEARCH("H", 'Dry_Litterbag Placem_Collection'!$V48)),"YES","NO")</f>
        <v>NO</v>
      </c>
      <c r="AB341" s="245" t="str">
        <f>IF(ISNUMBER(SEARCH("R", 'Dry_Litterbag Placem_Collection'!$V48)),"YES","NO")</f>
        <v>NO</v>
      </c>
      <c r="AC341" s="245" t="str">
        <f>IF(ISNUMBER(SEARCH("C", 'Dry_Litterbag Placem_Collection'!$U48)),"YES","NO")</f>
        <v>NO</v>
      </c>
      <c r="AD341" s="245" t="str">
        <f>IF(ISNUMBER(SEARCH("H", 'Dry_Litterbag Placem_Collection'!$U48)),"YES","NO")</f>
        <v>NO</v>
      </c>
      <c r="AE341" s="245" t="str">
        <f>IF(ISNUMBER(SEARCH("R", 'Dry_Litterbag Placem_Collection'!$U48)),"YES","NO")</f>
        <v>NO</v>
      </c>
    </row>
    <row r="342" spans="2:31">
      <c r="B342" t="str">
        <f>Dryseason!B488</f>
        <v>Dry</v>
      </c>
      <c r="C342" s="253">
        <f>Dryseason!C488</f>
        <v>47</v>
      </c>
      <c r="D342" t="s">
        <v>3108</v>
      </c>
      <c r="E342" t="s">
        <v>25</v>
      </c>
      <c r="F342" s="375">
        <v>7</v>
      </c>
      <c r="G342" s="376">
        <f>IF('Dry_Litterbag Placem_Collection'!E49="","",'Dry_Litterbag Placem_Collection'!E49)</f>
        <v>42938</v>
      </c>
      <c r="H342" s="92" t="str">
        <f>Dryseason!L488</f>
        <v>G659</v>
      </c>
      <c r="I342" t="str">
        <f>Dryseason!L708</f>
        <v>R606</v>
      </c>
      <c r="J342">
        <f>IFERROR(INDEX('Green_rooibos initial weight'!$C$5:$C$2000,MATCH(H342, 'Green_rooibos initial weight'!$A$5:$A$2000,0)),"")</f>
        <v>2.0529999999999999</v>
      </c>
      <c r="K342">
        <f>IFERROR(INDEX('Green_rooibos initial weight'!$C$5:$C$2000,MATCH(I342, 'Green_rooibos initial weight'!$A$5:$A$2000,0)),"")</f>
        <v>2.15</v>
      </c>
      <c r="L342" s="194">
        <f t="shared" si="37"/>
        <v>1.8031999999999999</v>
      </c>
      <c r="M342" s="233">
        <f>AVERAGE(Ashed_controlls!$K$1:$K$11)</f>
        <v>5.5147656768714146</v>
      </c>
      <c r="N342" s="194">
        <f t="shared" si="36"/>
        <v>1.9001999999999999</v>
      </c>
      <c r="O342" s="376">
        <f>IF('Dry_Litterbag Placem_Collection'!G49="","",'Dry_Litterbag Placem_Collection'!G49)</f>
        <v>43005</v>
      </c>
      <c r="P342" s="194">
        <f>IFERROR(INDEX('Both teabags AfterDry'!$D$3:$D$2000,MATCH(H342,'Both teabags AfterDry'!$A$3:$A$2000,0)),"")</f>
        <v>1.8913</v>
      </c>
      <c r="Q342" s="194">
        <f>IFERROR(INDEX('Both teabags AfterDry'!$D$3:$D$2000,MATCH(I342,'Both teabags AfterDry'!$A$3:$A$2000,0)),"")</f>
        <v>1.9615</v>
      </c>
      <c r="R342" s="194">
        <f t="shared" si="38"/>
        <v>1.7406999999999999</v>
      </c>
      <c r="S342" s="194">
        <f t="shared" si="38"/>
        <v>1.8109</v>
      </c>
      <c r="T342" s="194">
        <f t="shared" si="39"/>
        <v>3.4660603371783449E-2</v>
      </c>
      <c r="U342" s="194">
        <f t="shared" si="40"/>
        <v>2.2722865868437619E-2</v>
      </c>
      <c r="V342" s="194">
        <f t="shared" si="41"/>
        <v>0.95300494684770032</v>
      </c>
      <c r="W342">
        <f t="shared" si="42"/>
        <v>67</v>
      </c>
      <c r="X342" s="194">
        <f t="shared" si="43"/>
        <v>0.95883538791949707</v>
      </c>
      <c r="Y342" s="194" t="str">
        <f t="shared" si="44"/>
        <v/>
      </c>
      <c r="Z342" s="245" t="str">
        <f>IF(ISNUMBER(SEARCH("C", 'Dry_Litterbag Placem_Collection'!$V49)),"YES","NO")</f>
        <v>NO</v>
      </c>
      <c r="AA342" s="245" t="str">
        <f>IF(ISNUMBER(SEARCH("H", 'Dry_Litterbag Placem_Collection'!$V49)),"YES","NO")</f>
        <v>NO</v>
      </c>
      <c r="AB342" s="245" t="str">
        <f>IF(ISNUMBER(SEARCH("R", 'Dry_Litterbag Placem_Collection'!$V49)),"YES","NO")</f>
        <v>NO</v>
      </c>
      <c r="AC342" s="245" t="str">
        <f>IF(ISNUMBER(SEARCH("C", 'Dry_Litterbag Placem_Collection'!$U49)),"YES","NO")</f>
        <v>NO</v>
      </c>
      <c r="AD342" s="245" t="str">
        <f>IF(ISNUMBER(SEARCH("H", 'Dry_Litterbag Placem_Collection'!$U49)),"YES","NO")</f>
        <v>NO</v>
      </c>
      <c r="AE342" s="245" t="str">
        <f>IF(ISNUMBER(SEARCH("R", 'Dry_Litterbag Placem_Collection'!$U49)),"YES","NO")</f>
        <v>NO</v>
      </c>
    </row>
    <row r="343" spans="2:31">
      <c r="B343" t="str">
        <f>Dryseason!B489</f>
        <v>Dry</v>
      </c>
      <c r="C343" s="253">
        <f>Dryseason!C489</f>
        <v>48</v>
      </c>
      <c r="D343" t="s">
        <v>3108</v>
      </c>
      <c r="E343" t="s">
        <v>25</v>
      </c>
      <c r="F343" s="375">
        <v>8</v>
      </c>
      <c r="G343" s="376">
        <f>IF('Dry_Litterbag Placem_Collection'!E50="","",'Dry_Litterbag Placem_Collection'!E50)</f>
        <v>42938</v>
      </c>
      <c r="H343" s="92" t="str">
        <f>Dryseason!L489</f>
        <v>G267</v>
      </c>
      <c r="I343" t="str">
        <f>Dryseason!L709</f>
        <v>R221</v>
      </c>
      <c r="J343">
        <f>IFERROR(INDEX('Green_rooibos initial weight'!$C$5:$C$2000,MATCH(H343, 'Green_rooibos initial weight'!$A$5:$A$2000,0)),"")</f>
        <v>2.069</v>
      </c>
      <c r="K343">
        <f>IFERROR(INDEX('Green_rooibos initial weight'!$C$5:$C$2000,MATCH(I343, 'Green_rooibos initial weight'!$A$5:$A$2000,0)),"")</f>
        <v>2.2210000000000001</v>
      </c>
      <c r="L343" s="194">
        <f t="shared" si="37"/>
        <v>1.8191999999999999</v>
      </c>
      <c r="M343" s="233">
        <f>AVERAGE(Ashed_controlls!$K$1:$K$11)</f>
        <v>5.5147656768714146</v>
      </c>
      <c r="N343" s="194">
        <f t="shared" si="36"/>
        <v>1.9712000000000001</v>
      </c>
      <c r="O343" s="376">
        <f>IF('Dry_Litterbag Placem_Collection'!G50="","",'Dry_Litterbag Placem_Collection'!G50)</f>
        <v>43005</v>
      </c>
      <c r="P343" s="194">
        <f>IFERROR(INDEX('Both teabags AfterDry'!$D$3:$D$2000,MATCH(H343,'Both teabags AfterDry'!$A$3:$A$2000,0)),"")</f>
        <v>1.8248</v>
      </c>
      <c r="Q343" s="194">
        <f>IFERROR(INDEX('Both teabags AfterDry'!$D$3:$D$2000,MATCH(I343,'Both teabags AfterDry'!$A$3:$A$2000,0)),"")</f>
        <v>1.8791</v>
      </c>
      <c r="R343" s="194">
        <f t="shared" si="38"/>
        <v>1.6741999999999999</v>
      </c>
      <c r="S343" s="194">
        <f t="shared" si="38"/>
        <v>1.7284999999999999</v>
      </c>
      <c r="T343" s="194">
        <f t="shared" si="39"/>
        <v>7.9705364995602435E-2</v>
      </c>
      <c r="U343" s="194">
        <f t="shared" si="40"/>
        <v>5.2253398429421075E-2</v>
      </c>
      <c r="V343" s="194">
        <f t="shared" si="41"/>
        <v>0.87687702922077915</v>
      </c>
      <c r="W343">
        <f t="shared" si="42"/>
        <v>67</v>
      </c>
      <c r="X343" s="194">
        <f t="shared" si="43"/>
        <v>0.90533804632351256</v>
      </c>
      <c r="Y343" s="194" t="str">
        <f t="shared" si="44"/>
        <v/>
      </c>
      <c r="Z343" s="245" t="str">
        <f>IF(ISNUMBER(SEARCH("C", 'Dry_Litterbag Placem_Collection'!$V50)),"YES","NO")</f>
        <v>NO</v>
      </c>
      <c r="AA343" s="245" t="str">
        <f>IF(ISNUMBER(SEARCH("H", 'Dry_Litterbag Placem_Collection'!$V50)),"YES","NO")</f>
        <v>NO</v>
      </c>
      <c r="AB343" s="245" t="str">
        <f>IF(ISNUMBER(SEARCH("R", 'Dry_Litterbag Placem_Collection'!$V50)),"YES","NO")</f>
        <v>NO</v>
      </c>
      <c r="AC343" s="245" t="str">
        <f>IF(ISNUMBER(SEARCH("C", 'Dry_Litterbag Placem_Collection'!$U50)),"YES","NO")</f>
        <v>NO</v>
      </c>
      <c r="AD343" s="245" t="str">
        <f>IF(ISNUMBER(SEARCH("H", 'Dry_Litterbag Placem_Collection'!$U50)),"YES","NO")</f>
        <v>NO</v>
      </c>
      <c r="AE343" s="245" t="str">
        <f>IF(ISNUMBER(SEARCH("R", 'Dry_Litterbag Placem_Collection'!$U50)),"YES","NO")</f>
        <v>NO</v>
      </c>
    </row>
    <row r="344" spans="2:31">
      <c r="B344" t="str">
        <f>Dryseason!B490</f>
        <v>Dry</v>
      </c>
      <c r="C344" s="253">
        <f>Dryseason!C490</f>
        <v>49</v>
      </c>
      <c r="D344" t="s">
        <v>3109</v>
      </c>
      <c r="E344" t="s">
        <v>25</v>
      </c>
      <c r="F344" s="374">
        <v>1</v>
      </c>
      <c r="G344" s="376">
        <f>IF('Dry_Litterbag Placem_Collection'!E51="","",'Dry_Litterbag Placem_Collection'!E51)</f>
        <v>42938</v>
      </c>
      <c r="H344" s="92" t="str">
        <f>Dryseason!L490</f>
        <v>G812</v>
      </c>
      <c r="I344" t="str">
        <f>Dryseason!L710</f>
        <v>R308</v>
      </c>
      <c r="J344">
        <f>IFERROR(INDEX('Green_rooibos initial weight'!$C$5:$C$2000,MATCH(H344, 'Green_rooibos initial weight'!$A$5:$A$2000,0)),"")</f>
        <v>2.0169999999999999</v>
      </c>
      <c r="K344">
        <f>IFERROR(INDEX('Green_rooibos initial weight'!$C$5:$C$2000,MATCH(I344, 'Green_rooibos initial weight'!$A$5:$A$2000,0)),"")</f>
        <v>2.173</v>
      </c>
      <c r="L344" s="194">
        <f t="shared" si="37"/>
        <v>1.7671999999999999</v>
      </c>
      <c r="M344" s="233">
        <f>AVERAGE(Ashed_controlls!$K$1:$K$11)</f>
        <v>5.5147656768714146</v>
      </c>
      <c r="N344" s="194">
        <f t="shared" si="36"/>
        <v>1.9232</v>
      </c>
      <c r="O344" s="376">
        <f>IF('Dry_Litterbag Placem_Collection'!G51="","",'Dry_Litterbag Placem_Collection'!G51)</f>
        <v>43005</v>
      </c>
      <c r="P344" s="194" t="str">
        <f>IFERROR(INDEX('Both teabags AfterDry'!$D$3:$D$2000,MATCH(H344,'Both teabags AfterDry'!$A$3:$A$2000,0)),"")</f>
        <v/>
      </c>
      <c r="Q344" s="194" t="str">
        <f>IFERROR(INDEX('Both teabags AfterDry'!$D$3:$D$2000,MATCH(I344,'Both teabags AfterDry'!$A$3:$A$2000,0)),"")</f>
        <v/>
      </c>
      <c r="R344" s="194" t="str">
        <f t="shared" si="38"/>
        <v/>
      </c>
      <c r="S344" s="194" t="str">
        <f t="shared" si="38"/>
        <v/>
      </c>
      <c r="T344" s="194" t="str">
        <f t="shared" si="39"/>
        <v/>
      </c>
      <c r="U344" s="194" t="str">
        <f t="shared" si="40"/>
        <v/>
      </c>
      <c r="V344" s="194" t="str">
        <f t="shared" si="41"/>
        <v/>
      </c>
      <c r="W344">
        <f t="shared" si="42"/>
        <v>67</v>
      </c>
      <c r="X344" s="194" t="str">
        <f t="shared" si="43"/>
        <v/>
      </c>
      <c r="Y344" s="194" t="str">
        <f t="shared" si="44"/>
        <v/>
      </c>
      <c r="Z344" s="245" t="str">
        <f>IF(ISNUMBER(SEARCH("C", 'Dry_Litterbag Placem_Collection'!$V51)),"YES","NO")</f>
        <v>NO</v>
      </c>
      <c r="AA344" s="245" t="str">
        <f>IF(ISNUMBER(SEARCH("H", 'Dry_Litterbag Placem_Collection'!$V51)),"YES","NO")</f>
        <v>NO</v>
      </c>
      <c r="AB344" s="245" t="str">
        <f>IF(ISNUMBER(SEARCH("R", 'Dry_Litterbag Placem_Collection'!$V51)),"YES","NO")</f>
        <v>NO</v>
      </c>
      <c r="AC344" s="245" t="str">
        <f>IF(ISNUMBER(SEARCH("C", 'Dry_Litterbag Placem_Collection'!$U51)),"YES","NO")</f>
        <v>NO</v>
      </c>
      <c r="AD344" s="245" t="str">
        <f>IF(ISNUMBER(SEARCH("H", 'Dry_Litterbag Placem_Collection'!$U51)),"YES","NO")</f>
        <v>NO</v>
      </c>
      <c r="AE344" s="245" t="str">
        <f>IF(ISNUMBER(SEARCH("R", 'Dry_Litterbag Placem_Collection'!$U51)),"YES","NO")</f>
        <v>NO</v>
      </c>
    </row>
    <row r="345" spans="2:31">
      <c r="B345" t="str">
        <f>Dryseason!B491</f>
        <v>Dry</v>
      </c>
      <c r="C345" s="253">
        <f>Dryseason!C491</f>
        <v>50</v>
      </c>
      <c r="D345" t="s">
        <v>3109</v>
      </c>
      <c r="E345" t="s">
        <v>25</v>
      </c>
      <c r="F345" s="374">
        <v>2</v>
      </c>
      <c r="G345" s="376">
        <f>IF('Dry_Litterbag Placem_Collection'!E52="","",'Dry_Litterbag Placem_Collection'!E52)</f>
        <v>42938</v>
      </c>
      <c r="H345" s="92" t="str">
        <f>Dryseason!L491</f>
        <v>G212</v>
      </c>
      <c r="I345" t="str">
        <f>Dryseason!L711</f>
        <v>R644</v>
      </c>
      <c r="J345">
        <f>IFERROR(INDEX('Green_rooibos initial weight'!$C$5:$C$2000,MATCH(H345, 'Green_rooibos initial weight'!$A$5:$A$2000,0)),"")</f>
        <v>1.9570000000000001</v>
      </c>
      <c r="K345">
        <f>IFERROR(INDEX('Green_rooibos initial weight'!$C$5:$C$2000,MATCH(I345, 'Green_rooibos initial weight'!$A$5:$A$2000,0)),"")</f>
        <v>2.2240000000000002</v>
      </c>
      <c r="L345" s="194">
        <f t="shared" si="37"/>
        <v>1.7072000000000001</v>
      </c>
      <c r="M345" s="233">
        <f>AVERAGE(Ashed_controlls!$K$1:$K$11)</f>
        <v>5.5147656768714146</v>
      </c>
      <c r="N345" s="194">
        <f t="shared" si="36"/>
        <v>1.9742000000000002</v>
      </c>
      <c r="O345" s="376" t="str">
        <f>IF('Dry_Litterbag Placem_Collection'!G52="","",'Dry_Litterbag Placem_Collection'!G52)</f>
        <v/>
      </c>
      <c r="P345" s="194" t="str">
        <f>IFERROR(INDEX('Both teabags AfterDry'!$D$3:$D$2000,MATCH(H345,'Both teabags AfterDry'!$A$3:$A$2000,0)),"")</f>
        <v/>
      </c>
      <c r="Q345" s="194" t="str">
        <f>IFERROR(INDEX('Both teabags AfterDry'!$D$3:$D$2000,MATCH(I345,'Both teabags AfterDry'!$A$3:$A$2000,0)),"")</f>
        <v/>
      </c>
      <c r="R345" s="194" t="str">
        <f t="shared" si="38"/>
        <v/>
      </c>
      <c r="S345" s="194" t="str">
        <f t="shared" si="38"/>
        <v/>
      </c>
      <c r="T345" s="194" t="str">
        <f t="shared" si="39"/>
        <v/>
      </c>
      <c r="U345" s="194" t="str">
        <f t="shared" si="40"/>
        <v/>
      </c>
      <c r="V345" s="194" t="str">
        <f t="shared" si="41"/>
        <v/>
      </c>
      <c r="W345" t="str">
        <f t="shared" si="42"/>
        <v/>
      </c>
      <c r="X345" s="194" t="str">
        <f t="shared" si="43"/>
        <v/>
      </c>
      <c r="Y345" s="194" t="str">
        <f t="shared" si="44"/>
        <v/>
      </c>
      <c r="Z345" s="245" t="str">
        <f>IF(ISNUMBER(SEARCH("C", 'Dry_Litterbag Placem_Collection'!$V52)),"YES","NO")</f>
        <v>NO</v>
      </c>
      <c r="AA345" s="245" t="str">
        <f>IF(ISNUMBER(SEARCH("H", 'Dry_Litterbag Placem_Collection'!$V52)),"YES","NO")</f>
        <v>NO</v>
      </c>
      <c r="AB345" s="245" t="str">
        <f>IF(ISNUMBER(SEARCH("R", 'Dry_Litterbag Placem_Collection'!$V52)),"YES","NO")</f>
        <v>NO</v>
      </c>
      <c r="AC345" s="245" t="str">
        <f>IF(ISNUMBER(SEARCH("C", 'Dry_Litterbag Placem_Collection'!$U52)),"YES","NO")</f>
        <v>NO</v>
      </c>
      <c r="AD345" s="245" t="str">
        <f>IF(ISNUMBER(SEARCH("H", 'Dry_Litterbag Placem_Collection'!$U52)),"YES","NO")</f>
        <v>NO</v>
      </c>
      <c r="AE345" s="245" t="str">
        <f>IF(ISNUMBER(SEARCH("R", 'Dry_Litterbag Placem_Collection'!$U52)),"YES","NO")</f>
        <v>NO</v>
      </c>
    </row>
    <row r="346" spans="2:31">
      <c r="B346" t="str">
        <f>Dryseason!B492</f>
        <v>Dry</v>
      </c>
      <c r="C346" s="253">
        <f>Dryseason!C492</f>
        <v>51</v>
      </c>
      <c r="D346" t="s">
        <v>3109</v>
      </c>
      <c r="E346" t="s">
        <v>25</v>
      </c>
      <c r="F346" s="374">
        <v>3</v>
      </c>
      <c r="G346" s="376">
        <f>IF('Dry_Litterbag Placem_Collection'!E53="","",'Dry_Litterbag Placem_Collection'!E53)</f>
        <v>42938</v>
      </c>
      <c r="H346" s="92" t="str">
        <f>Dryseason!L492</f>
        <v>G598</v>
      </c>
      <c r="I346" t="str">
        <f>Dryseason!L712</f>
        <v>R242</v>
      </c>
      <c r="J346">
        <f>IFERROR(INDEX('Green_rooibos initial weight'!$C$5:$C$2000,MATCH(H346, 'Green_rooibos initial weight'!$A$5:$A$2000,0)),"")</f>
        <v>2.1680000000000001</v>
      </c>
      <c r="K346">
        <f>IFERROR(INDEX('Green_rooibos initial weight'!$C$5:$C$2000,MATCH(I346, 'Green_rooibos initial weight'!$A$5:$A$2000,0)),"")</f>
        <v>2.194</v>
      </c>
      <c r="L346" s="194">
        <f t="shared" si="37"/>
        <v>1.9182000000000001</v>
      </c>
      <c r="M346" s="233">
        <f>AVERAGE(Ashed_controlls!$K$1:$K$11)</f>
        <v>5.5147656768714146</v>
      </c>
      <c r="N346" s="194">
        <f t="shared" si="36"/>
        <v>1.9441999999999999</v>
      </c>
      <c r="O346" s="376">
        <f>IF('Dry_Litterbag Placem_Collection'!G53="","",'Dry_Litterbag Placem_Collection'!G53)</f>
        <v>43005</v>
      </c>
      <c r="P346" s="194">
        <f>IFERROR(INDEX('Both teabags AfterDry'!$D$3:$D$2000,MATCH(H346,'Both teabags AfterDry'!$A$3:$A$2000,0)),"")</f>
        <v>1.9169</v>
      </c>
      <c r="Q346" s="194">
        <f>IFERROR(INDEX('Both teabags AfterDry'!$D$3:$D$2000,MATCH(I346,'Both teabags AfterDry'!$A$3:$A$2000,0)),"")</f>
        <v>1.9262999999999999</v>
      </c>
      <c r="R346" s="194">
        <f t="shared" si="38"/>
        <v>1.7663</v>
      </c>
      <c r="S346" s="194">
        <f t="shared" si="38"/>
        <v>1.7756999999999998</v>
      </c>
      <c r="T346" s="194">
        <f t="shared" si="39"/>
        <v>7.91888228547597E-2</v>
      </c>
      <c r="U346" s="194">
        <f t="shared" si="40"/>
        <v>5.1914762726635845E-2</v>
      </c>
      <c r="V346" s="194">
        <f t="shared" si="41"/>
        <v>0.913331961732332</v>
      </c>
      <c r="W346">
        <f t="shared" si="42"/>
        <v>67</v>
      </c>
      <c r="X346" s="194">
        <f t="shared" si="43"/>
        <v>0.90595151679957275</v>
      </c>
      <c r="Y346" s="194" t="str">
        <f t="shared" si="44"/>
        <v/>
      </c>
      <c r="Z346" s="245" t="str">
        <f>IF(ISNUMBER(SEARCH("C", 'Dry_Litterbag Placem_Collection'!$V53)),"YES","NO")</f>
        <v>NO</v>
      </c>
      <c r="AA346" s="245" t="str">
        <f>IF(ISNUMBER(SEARCH("H", 'Dry_Litterbag Placem_Collection'!$V53)),"YES","NO")</f>
        <v>NO</v>
      </c>
      <c r="AB346" s="245" t="str">
        <f>IF(ISNUMBER(SEARCH("R", 'Dry_Litterbag Placem_Collection'!$V53)),"YES","NO")</f>
        <v>NO</v>
      </c>
      <c r="AC346" s="245" t="str">
        <f>IF(ISNUMBER(SEARCH("C", 'Dry_Litterbag Placem_Collection'!$U53)),"YES","NO")</f>
        <v>NO</v>
      </c>
      <c r="AD346" s="245" t="str">
        <f>IF(ISNUMBER(SEARCH("H", 'Dry_Litterbag Placem_Collection'!$U53)),"YES","NO")</f>
        <v>NO</v>
      </c>
      <c r="AE346" s="245" t="str">
        <f>IF(ISNUMBER(SEARCH("R", 'Dry_Litterbag Placem_Collection'!$U53)),"YES","NO")</f>
        <v>NO</v>
      </c>
    </row>
    <row r="347" spans="2:31">
      <c r="B347" t="str">
        <f>Dryseason!B493</f>
        <v>Dry</v>
      </c>
      <c r="C347" s="253">
        <f>Dryseason!C493</f>
        <v>52</v>
      </c>
      <c r="D347" t="s">
        <v>3109</v>
      </c>
      <c r="E347" t="s">
        <v>25</v>
      </c>
      <c r="F347" s="375">
        <v>4</v>
      </c>
      <c r="G347" s="376">
        <f>IF('Dry_Litterbag Placem_Collection'!E54="","",'Dry_Litterbag Placem_Collection'!E54)</f>
        <v>42938</v>
      </c>
      <c r="H347" s="92" t="str">
        <f>Dryseason!L493</f>
        <v>G848</v>
      </c>
      <c r="I347" t="str">
        <f>Dryseason!L713</f>
        <v>R618</v>
      </c>
      <c r="J347">
        <f>IFERROR(INDEX('Green_rooibos initial weight'!$C$5:$C$2000,MATCH(H347, 'Green_rooibos initial weight'!$A$5:$A$2000,0)),"")</f>
        <v>2.0110000000000001</v>
      </c>
      <c r="K347">
        <f>IFERROR(INDEX('Green_rooibos initial weight'!$C$5:$C$2000,MATCH(I347, 'Green_rooibos initial weight'!$A$5:$A$2000,0)),"")</f>
        <v>2.1240000000000001</v>
      </c>
      <c r="L347" s="194">
        <f t="shared" si="37"/>
        <v>1.7612000000000001</v>
      </c>
      <c r="M347" s="233">
        <f>AVERAGE(Ashed_controlls!$K$1:$K$11)</f>
        <v>5.5147656768714146</v>
      </c>
      <c r="N347" s="194">
        <f t="shared" si="36"/>
        <v>1.8742000000000001</v>
      </c>
      <c r="O347" s="376">
        <f>IF('Dry_Litterbag Placem_Collection'!G54="","",'Dry_Litterbag Placem_Collection'!G54)</f>
        <v>43005</v>
      </c>
      <c r="P347" s="194">
        <f>IFERROR(INDEX('Both teabags AfterDry'!$D$3:$D$2000,MATCH(H347,'Both teabags AfterDry'!$A$3:$A$2000,0)),"")</f>
        <v>1.8361000000000001</v>
      </c>
      <c r="Q347" s="194">
        <f>IFERROR(INDEX('Both teabags AfterDry'!$D$3:$D$2000,MATCH(I347,'Both teabags AfterDry'!$A$3:$A$2000,0)),"")</f>
        <v>1.9595</v>
      </c>
      <c r="R347" s="194">
        <f t="shared" si="38"/>
        <v>1.6855</v>
      </c>
      <c r="S347" s="194">
        <f t="shared" si="38"/>
        <v>1.8089</v>
      </c>
      <c r="T347" s="194">
        <f t="shared" si="39"/>
        <v>4.2982057687940056E-2</v>
      </c>
      <c r="U347" s="194">
        <f t="shared" si="40"/>
        <v>2.8178261097081832E-2</v>
      </c>
      <c r="V347" s="194">
        <f t="shared" si="41"/>
        <v>0.96515846761284807</v>
      </c>
      <c r="W347">
        <f t="shared" si="42"/>
        <v>67</v>
      </c>
      <c r="X347" s="194">
        <f t="shared" si="43"/>
        <v>0.9489524255487648</v>
      </c>
      <c r="Y347" s="194" t="str">
        <f t="shared" si="44"/>
        <v/>
      </c>
      <c r="Z347" s="245" t="str">
        <f>IF(ISNUMBER(SEARCH("C", 'Dry_Litterbag Placem_Collection'!$V54)),"YES","NO")</f>
        <v>NO</v>
      </c>
      <c r="AA347" s="245" t="str">
        <f>IF(ISNUMBER(SEARCH("H", 'Dry_Litterbag Placem_Collection'!$V54)),"YES","NO")</f>
        <v>NO</v>
      </c>
      <c r="AB347" s="245" t="str">
        <f>IF(ISNUMBER(SEARCH("R", 'Dry_Litterbag Placem_Collection'!$V54)),"YES","NO")</f>
        <v>NO</v>
      </c>
      <c r="AC347" s="245" t="str">
        <f>IF(ISNUMBER(SEARCH("C", 'Dry_Litterbag Placem_Collection'!$U54)),"YES","NO")</f>
        <v>NO</v>
      </c>
      <c r="AD347" s="245" t="str">
        <f>IF(ISNUMBER(SEARCH("H", 'Dry_Litterbag Placem_Collection'!$U54)),"YES","NO")</f>
        <v>NO</v>
      </c>
      <c r="AE347" s="245" t="str">
        <f>IF(ISNUMBER(SEARCH("R", 'Dry_Litterbag Placem_Collection'!$U54)),"YES","NO")</f>
        <v>NO</v>
      </c>
    </row>
    <row r="348" spans="2:31">
      <c r="B348" t="str">
        <f>Dryseason!B494</f>
        <v>Dry</v>
      </c>
      <c r="C348" s="253">
        <f>Dryseason!C494</f>
        <v>53</v>
      </c>
      <c r="D348" t="s">
        <v>3109</v>
      </c>
      <c r="E348" t="s">
        <v>25</v>
      </c>
      <c r="F348" s="375">
        <v>5</v>
      </c>
      <c r="G348" s="376">
        <f>IF('Dry_Litterbag Placem_Collection'!E55="","",'Dry_Litterbag Placem_Collection'!E55)</f>
        <v>42938</v>
      </c>
      <c r="H348" s="92" t="str">
        <f>Dryseason!L494</f>
        <v>G759</v>
      </c>
      <c r="I348" t="str">
        <f>Dryseason!L714</f>
        <v>R140</v>
      </c>
      <c r="J348">
        <f>IFERROR(INDEX('Green_rooibos initial weight'!$C$5:$C$2000,MATCH(H348, 'Green_rooibos initial weight'!$A$5:$A$2000,0)),"")</f>
        <v>2.0539999999999998</v>
      </c>
      <c r="K348">
        <f>IFERROR(INDEX('Green_rooibos initial weight'!$C$5:$C$2000,MATCH(I348, 'Green_rooibos initial weight'!$A$5:$A$2000,0)),"")</f>
        <v>2.1930000000000001</v>
      </c>
      <c r="L348" s="194">
        <f t="shared" si="37"/>
        <v>1.8041999999999998</v>
      </c>
      <c r="M348" s="233">
        <f>AVERAGE(Ashed_controlls!$K$1:$K$11)</f>
        <v>5.5147656768714146</v>
      </c>
      <c r="N348" s="194">
        <f t="shared" si="36"/>
        <v>1.9432</v>
      </c>
      <c r="O348" s="376">
        <f>IF('Dry_Litterbag Placem_Collection'!G55="","",'Dry_Litterbag Placem_Collection'!G55)</f>
        <v>43005</v>
      </c>
      <c r="P348" s="194">
        <f>IFERROR(INDEX('Both teabags AfterDry'!$D$3:$D$2000,MATCH(H348,'Both teabags AfterDry'!$A$3:$A$2000,0)),"")</f>
        <v>1.8980999999999999</v>
      </c>
      <c r="Q348" s="194">
        <f>IFERROR(INDEX('Both teabags AfterDry'!$D$3:$D$2000,MATCH(I348,'Both teabags AfterDry'!$A$3:$A$2000,0)),"")</f>
        <v>1.9561999999999999</v>
      </c>
      <c r="R348" s="194">
        <f t="shared" si="38"/>
        <v>1.7474999999999998</v>
      </c>
      <c r="S348" s="194">
        <f t="shared" si="38"/>
        <v>1.8055999999999999</v>
      </c>
      <c r="T348" s="194">
        <f t="shared" si="39"/>
        <v>3.1426671100764914E-2</v>
      </c>
      <c r="U348" s="194">
        <f t="shared" si="40"/>
        <v>2.060275825133279E-2</v>
      </c>
      <c r="V348" s="194">
        <f t="shared" si="41"/>
        <v>0.92918896665294348</v>
      </c>
      <c r="W348">
        <f t="shared" si="42"/>
        <v>67</v>
      </c>
      <c r="X348" s="194">
        <f t="shared" si="43"/>
        <v>0.96267616258816524</v>
      </c>
      <c r="Y348" s="194" t="str">
        <f t="shared" si="44"/>
        <v/>
      </c>
      <c r="Z348" s="245" t="str">
        <f>IF(ISNUMBER(SEARCH("C", 'Dry_Litterbag Placem_Collection'!$V55)),"YES","NO")</f>
        <v>NO</v>
      </c>
      <c r="AA348" s="245" t="str">
        <f>IF(ISNUMBER(SEARCH("H", 'Dry_Litterbag Placem_Collection'!$V55)),"YES","NO")</f>
        <v>NO</v>
      </c>
      <c r="AB348" s="245" t="str">
        <f>IF(ISNUMBER(SEARCH("R", 'Dry_Litterbag Placem_Collection'!$V55)),"YES","NO")</f>
        <v>NO</v>
      </c>
      <c r="AC348" s="245" t="str">
        <f>IF(ISNUMBER(SEARCH("C", 'Dry_Litterbag Placem_Collection'!$U55)),"YES","NO")</f>
        <v>NO</v>
      </c>
      <c r="AD348" s="245" t="str">
        <f>IF(ISNUMBER(SEARCH("H", 'Dry_Litterbag Placem_Collection'!$U55)),"YES","NO")</f>
        <v>NO</v>
      </c>
      <c r="AE348" s="245" t="str">
        <f>IF(ISNUMBER(SEARCH("R", 'Dry_Litterbag Placem_Collection'!$U55)),"YES","NO")</f>
        <v>NO</v>
      </c>
    </row>
    <row r="349" spans="2:31">
      <c r="B349" t="str">
        <f>Dryseason!B495</f>
        <v>Dry</v>
      </c>
      <c r="C349" s="253">
        <f>Dryseason!C495</f>
        <v>54</v>
      </c>
      <c r="D349" t="s">
        <v>3109</v>
      </c>
      <c r="E349" t="s">
        <v>25</v>
      </c>
      <c r="F349" s="375">
        <v>6</v>
      </c>
      <c r="G349" s="376" t="str">
        <f>IF('Dry_Litterbag Placem_Collection'!E56="","",'Dry_Litterbag Placem_Collection'!E56)</f>
        <v/>
      </c>
      <c r="H349" s="92" t="str">
        <f>Dryseason!L495</f>
        <v/>
      </c>
      <c r="I349" t="str">
        <f>Dryseason!L715</f>
        <v/>
      </c>
      <c r="J349" t="str">
        <f>IFERROR(INDEX('Green_rooibos initial weight'!$C$5:$C$2000,MATCH(H349, 'Green_rooibos initial weight'!$A$5:$A$2000,0)),"")</f>
        <v/>
      </c>
      <c r="K349" t="str">
        <f>IFERROR(INDEX('Green_rooibos initial weight'!$C$5:$C$2000,MATCH(I349, 'Green_rooibos initial weight'!$A$5:$A$2000,0)),"")</f>
        <v/>
      </c>
      <c r="L349" s="194" t="str">
        <f t="shared" si="37"/>
        <v/>
      </c>
      <c r="M349" s="233">
        <f>AVERAGE(Ashed_controlls!$K$1:$K$11)</f>
        <v>5.5147656768714146</v>
      </c>
      <c r="N349" s="194" t="str">
        <f t="shared" si="36"/>
        <v/>
      </c>
      <c r="O349" s="376" t="str">
        <f>IF('Dry_Litterbag Placem_Collection'!G56="","",'Dry_Litterbag Placem_Collection'!G56)</f>
        <v/>
      </c>
      <c r="P349" s="194" t="str">
        <f>IFERROR(INDEX('Both teabags AfterDry'!$D$3:$D$2000,MATCH(H349,'Both teabags AfterDry'!$A$3:$A$2000,0)),"")</f>
        <v/>
      </c>
      <c r="Q349" s="194" t="str">
        <f>IFERROR(INDEX('Both teabags AfterDry'!$D$3:$D$2000,MATCH(I349,'Both teabags AfterDry'!$A$3:$A$2000,0)),"")</f>
        <v/>
      </c>
      <c r="R349" s="194" t="str">
        <f t="shared" si="38"/>
        <v/>
      </c>
      <c r="S349" s="194" t="str">
        <f t="shared" si="38"/>
        <v/>
      </c>
      <c r="T349" s="194" t="str">
        <f t="shared" si="39"/>
        <v/>
      </c>
      <c r="U349" s="194" t="str">
        <f t="shared" si="40"/>
        <v/>
      </c>
      <c r="V349" s="194" t="str">
        <f t="shared" si="41"/>
        <v/>
      </c>
      <c r="W349" t="str">
        <f t="shared" si="42"/>
        <v/>
      </c>
      <c r="X349" s="194" t="str">
        <f t="shared" si="43"/>
        <v/>
      </c>
      <c r="Y349" s="194" t="str">
        <f t="shared" si="44"/>
        <v/>
      </c>
      <c r="Z349" s="245" t="str">
        <f>IF(ISNUMBER(SEARCH("C", 'Dry_Litterbag Placem_Collection'!$V56)),"YES","NO")</f>
        <v>NO</v>
      </c>
      <c r="AA349" s="245" t="str">
        <f>IF(ISNUMBER(SEARCH("H", 'Dry_Litterbag Placem_Collection'!$V56)),"YES","NO")</f>
        <v>NO</v>
      </c>
      <c r="AB349" s="245" t="str">
        <f>IF(ISNUMBER(SEARCH("R", 'Dry_Litterbag Placem_Collection'!$V56)),"YES","NO")</f>
        <v>NO</v>
      </c>
      <c r="AC349" s="245" t="str">
        <f>IF(ISNUMBER(SEARCH("C", 'Dry_Litterbag Placem_Collection'!$U56)),"YES","NO")</f>
        <v>NO</v>
      </c>
      <c r="AD349" s="245" t="str">
        <f>IF(ISNUMBER(SEARCH("H", 'Dry_Litterbag Placem_Collection'!$U56)),"YES","NO")</f>
        <v>NO</v>
      </c>
      <c r="AE349" s="245" t="str">
        <f>IF(ISNUMBER(SEARCH("R", 'Dry_Litterbag Placem_Collection'!$U56)),"YES","NO")</f>
        <v>NO</v>
      </c>
    </row>
    <row r="350" spans="2:31">
      <c r="B350" t="str">
        <f>Dryseason!B496</f>
        <v>Dry</v>
      </c>
      <c r="C350" s="253">
        <f>Dryseason!C496</f>
        <v>55</v>
      </c>
      <c r="D350" t="s">
        <v>3109</v>
      </c>
      <c r="E350" t="s">
        <v>25</v>
      </c>
      <c r="F350" s="375">
        <v>7</v>
      </c>
      <c r="G350" s="376">
        <f>IF('Dry_Litterbag Placem_Collection'!E57="","",'Dry_Litterbag Placem_Collection'!E57)</f>
        <v>42938</v>
      </c>
      <c r="H350" s="92" t="str">
        <f>Dryseason!L496</f>
        <v>G260</v>
      </c>
      <c r="I350" t="str">
        <f>Dryseason!L716</f>
        <v>R192</v>
      </c>
      <c r="J350">
        <f>IFERROR(INDEX('Green_rooibos initial weight'!$C$5:$C$2000,MATCH(H350, 'Green_rooibos initial weight'!$A$5:$A$2000,0)),"")</f>
        <v>2.1560000000000001</v>
      </c>
      <c r="K350">
        <f>IFERROR(INDEX('Green_rooibos initial weight'!$C$5:$C$2000,MATCH(I350, 'Green_rooibos initial weight'!$A$5:$A$2000,0)),"")</f>
        <v>2.1970000000000001</v>
      </c>
      <c r="L350" s="194">
        <f t="shared" si="37"/>
        <v>1.9062000000000001</v>
      </c>
      <c r="M350" s="233">
        <f>AVERAGE(Ashed_controlls!$K$1:$K$11)</f>
        <v>5.5147656768714146</v>
      </c>
      <c r="N350" s="194">
        <f t="shared" si="36"/>
        <v>1.9472</v>
      </c>
      <c r="O350" s="376">
        <f>IF('Dry_Litterbag Placem_Collection'!G57="","",'Dry_Litterbag Placem_Collection'!G57)</f>
        <v>43005</v>
      </c>
      <c r="P350" s="194">
        <f>IFERROR(INDEX('Both teabags AfterDry'!$D$3:$D$2000,MATCH(H350,'Both teabags AfterDry'!$A$3:$A$2000,0)),"")</f>
        <v>1.9074</v>
      </c>
      <c r="Q350" s="194">
        <f>IFERROR(INDEX('Both teabags AfterDry'!$D$3:$D$2000,MATCH(I350,'Both teabags AfterDry'!$A$3:$A$2000,0)),"")</f>
        <v>1.9886999999999999</v>
      </c>
      <c r="R350" s="194">
        <f t="shared" si="38"/>
        <v>1.7567999999999999</v>
      </c>
      <c r="S350" s="194">
        <f t="shared" si="38"/>
        <v>1.8380999999999998</v>
      </c>
      <c r="T350" s="194">
        <f t="shared" si="39"/>
        <v>7.8375826251180447E-2</v>
      </c>
      <c r="U350" s="194">
        <f t="shared" si="40"/>
        <v>5.1381776829752521E-2</v>
      </c>
      <c r="V350" s="194">
        <f t="shared" si="41"/>
        <v>0.94397082990961367</v>
      </c>
      <c r="W350">
        <f t="shared" si="42"/>
        <v>67</v>
      </c>
      <c r="X350" s="194">
        <f t="shared" si="43"/>
        <v>0.90691707096059326</v>
      </c>
      <c r="Y350" s="194" t="str">
        <f t="shared" si="44"/>
        <v/>
      </c>
      <c r="Z350" s="245" t="str">
        <f>IF(ISNUMBER(SEARCH("C", 'Dry_Litterbag Placem_Collection'!$V57)),"YES","NO")</f>
        <v>NO</v>
      </c>
      <c r="AA350" s="245" t="str">
        <f>IF(ISNUMBER(SEARCH("H", 'Dry_Litterbag Placem_Collection'!$V57)),"YES","NO")</f>
        <v>NO</v>
      </c>
      <c r="AB350" s="245" t="str">
        <f>IF(ISNUMBER(SEARCH("R", 'Dry_Litterbag Placem_Collection'!$V57)),"YES","NO")</f>
        <v>NO</v>
      </c>
      <c r="AC350" s="245" t="str">
        <f>IF(ISNUMBER(SEARCH("C", 'Dry_Litterbag Placem_Collection'!$U57)),"YES","NO")</f>
        <v>NO</v>
      </c>
      <c r="AD350" s="245" t="str">
        <f>IF(ISNUMBER(SEARCH("H", 'Dry_Litterbag Placem_Collection'!$U57)),"YES","NO")</f>
        <v>NO</v>
      </c>
      <c r="AE350" s="245" t="str">
        <f>IF(ISNUMBER(SEARCH("R", 'Dry_Litterbag Placem_Collection'!$U57)),"YES","NO")</f>
        <v>NO</v>
      </c>
    </row>
    <row r="351" spans="2:31">
      <c r="B351" t="str">
        <f>Dryseason!B497</f>
        <v>Dry</v>
      </c>
      <c r="C351" s="253">
        <f>Dryseason!C497</f>
        <v>56</v>
      </c>
      <c r="D351" t="s">
        <v>3109</v>
      </c>
      <c r="E351" t="s">
        <v>25</v>
      </c>
      <c r="F351" s="375">
        <v>8</v>
      </c>
      <c r="G351" s="376">
        <f>IF('Dry_Litterbag Placem_Collection'!E58="","",'Dry_Litterbag Placem_Collection'!E58)</f>
        <v>42938</v>
      </c>
      <c r="H351" s="92" t="str">
        <f>Dryseason!L497</f>
        <v>G493</v>
      </c>
      <c r="I351" t="str">
        <f>Dryseason!L717</f>
        <v>R227</v>
      </c>
      <c r="J351">
        <f>IFERROR(INDEX('Green_rooibos initial weight'!$C$5:$C$2000,MATCH(H351, 'Green_rooibos initial weight'!$A$5:$A$2000,0)),"")</f>
        <v>2.0510000000000002</v>
      </c>
      <c r="K351">
        <f>IFERROR(INDEX('Green_rooibos initial weight'!$C$5:$C$2000,MATCH(I351, 'Green_rooibos initial weight'!$A$5:$A$2000,0)),"")</f>
        <v>2.254</v>
      </c>
      <c r="L351" s="194">
        <f t="shared" si="37"/>
        <v>1.8012000000000001</v>
      </c>
      <c r="M351" s="233">
        <f>AVERAGE(Ashed_controlls!$K$1:$K$11)</f>
        <v>5.5147656768714146</v>
      </c>
      <c r="N351" s="194">
        <f t="shared" si="36"/>
        <v>2.0042</v>
      </c>
      <c r="O351" s="376">
        <f>IF('Dry_Litterbag Placem_Collection'!G58="","",'Dry_Litterbag Placem_Collection'!G58)</f>
        <v>43005</v>
      </c>
      <c r="P351" s="194">
        <f>IFERROR(INDEX('Both teabags AfterDry'!$D$3:$D$2000,MATCH(H351,'Both teabags AfterDry'!$A$3:$A$2000,0)),"")</f>
        <v>1.8869</v>
      </c>
      <c r="Q351" s="194">
        <f>IFERROR(INDEX('Both teabags AfterDry'!$D$3:$D$2000,MATCH(I351,'Both teabags AfterDry'!$A$3:$A$2000,0)),"")</f>
        <v>2.0263</v>
      </c>
      <c r="R351" s="194">
        <f t="shared" si="38"/>
        <v>1.7363</v>
      </c>
      <c r="S351" s="194">
        <f t="shared" si="38"/>
        <v>1.8756999999999999</v>
      </c>
      <c r="T351" s="194">
        <f t="shared" si="39"/>
        <v>3.6031534532533938E-2</v>
      </c>
      <c r="U351" s="194">
        <f t="shared" si="40"/>
        <v>2.3621623589024629E-2</v>
      </c>
      <c r="V351" s="194">
        <f t="shared" si="41"/>
        <v>0.93588464225127233</v>
      </c>
      <c r="W351">
        <f t="shared" si="42"/>
        <v>67</v>
      </c>
      <c r="X351" s="194">
        <f t="shared" si="43"/>
        <v>0.95720720364307132</v>
      </c>
      <c r="Y351" s="194" t="str">
        <f t="shared" si="44"/>
        <v/>
      </c>
      <c r="Z351" s="245" t="str">
        <f>IF(ISNUMBER(SEARCH("C", 'Dry_Litterbag Placem_Collection'!$V58)),"YES","NO")</f>
        <v>NO</v>
      </c>
      <c r="AA351" s="245" t="str">
        <f>IF(ISNUMBER(SEARCH("H", 'Dry_Litterbag Placem_Collection'!$V58)),"YES","NO")</f>
        <v>NO</v>
      </c>
      <c r="AB351" s="245" t="str">
        <f>IF(ISNUMBER(SEARCH("R", 'Dry_Litterbag Placem_Collection'!$V58)),"YES","NO")</f>
        <v>NO</v>
      </c>
      <c r="AC351" s="245" t="str">
        <f>IF(ISNUMBER(SEARCH("C", 'Dry_Litterbag Placem_Collection'!$U58)),"YES","NO")</f>
        <v>NO</v>
      </c>
      <c r="AD351" s="245" t="str">
        <f>IF(ISNUMBER(SEARCH("H", 'Dry_Litterbag Placem_Collection'!$U58)),"YES","NO")</f>
        <v>NO</v>
      </c>
      <c r="AE351" s="245" t="str">
        <f>IF(ISNUMBER(SEARCH("R", 'Dry_Litterbag Placem_Collection'!$U58)),"YES","NO")</f>
        <v>NO</v>
      </c>
    </row>
    <row r="352" spans="2:31">
      <c r="B352" t="str">
        <f>Dryseason!B498</f>
        <v>Dry</v>
      </c>
      <c r="C352" s="253">
        <f>Dryseason!C498</f>
        <v>57</v>
      </c>
      <c r="D352" t="s">
        <v>3110</v>
      </c>
      <c r="E352" t="s">
        <v>25</v>
      </c>
      <c r="F352" s="374">
        <v>1</v>
      </c>
      <c r="G352" s="376">
        <f>IF('Dry_Litterbag Placem_Collection'!E59="","",'Dry_Litterbag Placem_Collection'!E59)</f>
        <v>42938</v>
      </c>
      <c r="H352" s="92" t="str">
        <f>Dryseason!L498</f>
        <v>G342</v>
      </c>
      <c r="I352" t="str">
        <f>Dryseason!L718</f>
        <v>R416</v>
      </c>
      <c r="J352">
        <f>IFERROR(INDEX('Green_rooibos initial weight'!$C$5:$C$2000,MATCH(H352, 'Green_rooibos initial weight'!$A$5:$A$2000,0)),"")</f>
        <v>1.9039999999999999</v>
      </c>
      <c r="K352">
        <f>IFERROR(INDEX('Green_rooibos initial weight'!$C$5:$C$2000,MATCH(I352, 'Green_rooibos initial weight'!$A$5:$A$2000,0)),"")</f>
        <v>2.2469999999999999</v>
      </c>
      <c r="L352" s="194">
        <f t="shared" si="37"/>
        <v>1.6541999999999999</v>
      </c>
      <c r="M352" s="233">
        <f>AVERAGE(Ashed_controlls!$K$1:$K$11)</f>
        <v>5.5147656768714146</v>
      </c>
      <c r="N352" s="194">
        <f t="shared" si="36"/>
        <v>1.9971999999999999</v>
      </c>
      <c r="O352" s="376">
        <f>IF('Dry_Litterbag Placem_Collection'!G59="","",'Dry_Litterbag Placem_Collection'!G59)</f>
        <v>43005</v>
      </c>
      <c r="P352" s="194">
        <f>IFERROR(INDEX('Both teabags AfterDry'!$D$3:$D$2000,MATCH(H352,'Both teabags AfterDry'!$A$3:$A$2000,0)),"")</f>
        <v>1.7556</v>
      </c>
      <c r="Q352" s="194">
        <f>IFERROR(INDEX('Both teabags AfterDry'!$D$3:$D$2000,MATCH(I352,'Both teabags AfterDry'!$A$3:$A$2000,0)),"")</f>
        <v>2.0192999999999999</v>
      </c>
      <c r="R352" s="194">
        <f t="shared" si="38"/>
        <v>1.605</v>
      </c>
      <c r="S352" s="194">
        <f t="shared" si="38"/>
        <v>1.8686999999999998</v>
      </c>
      <c r="T352" s="194">
        <f t="shared" si="39"/>
        <v>2.9742473703300631E-2</v>
      </c>
      <c r="U352" s="194">
        <f t="shared" si="40"/>
        <v>1.949862884111872E-2</v>
      </c>
      <c r="V352" s="194">
        <f t="shared" si="41"/>
        <v>0.93565992389345076</v>
      </c>
      <c r="W352">
        <f t="shared" si="42"/>
        <v>67</v>
      </c>
      <c r="X352" s="194">
        <f t="shared" si="43"/>
        <v>0.96467639702695884</v>
      </c>
      <c r="Y352" s="194" t="str">
        <f t="shared" si="44"/>
        <v/>
      </c>
      <c r="Z352" s="245" t="str">
        <f>IF(ISNUMBER(SEARCH("C", 'Dry_Litterbag Placem_Collection'!$V59)),"YES","NO")</f>
        <v>NO</v>
      </c>
      <c r="AA352" s="245" t="str">
        <f>IF(ISNUMBER(SEARCH("H", 'Dry_Litterbag Placem_Collection'!$V59)),"YES","NO")</f>
        <v>NO</v>
      </c>
      <c r="AB352" s="245" t="str">
        <f>IF(ISNUMBER(SEARCH("R", 'Dry_Litterbag Placem_Collection'!$V59)),"YES","NO")</f>
        <v>NO</v>
      </c>
      <c r="AC352" s="245" t="str">
        <f>IF(ISNUMBER(SEARCH("C", 'Dry_Litterbag Placem_Collection'!$U59)),"YES","NO")</f>
        <v>NO</v>
      </c>
      <c r="AD352" s="245" t="str">
        <f>IF(ISNUMBER(SEARCH("H", 'Dry_Litterbag Placem_Collection'!$U59)),"YES","NO")</f>
        <v>NO</v>
      </c>
      <c r="AE352" s="245" t="str">
        <f>IF(ISNUMBER(SEARCH("R", 'Dry_Litterbag Placem_Collection'!$U59)),"YES","NO")</f>
        <v>NO</v>
      </c>
    </row>
    <row r="353" spans="2:31">
      <c r="B353" t="str">
        <f>Dryseason!B499</f>
        <v>Dry</v>
      </c>
      <c r="C353" s="253">
        <f>Dryseason!C499</f>
        <v>58</v>
      </c>
      <c r="D353" t="s">
        <v>3110</v>
      </c>
      <c r="E353" t="s">
        <v>25</v>
      </c>
      <c r="F353" s="374">
        <v>2</v>
      </c>
      <c r="G353" s="376">
        <f>IF('Dry_Litterbag Placem_Collection'!E60="","",'Dry_Litterbag Placem_Collection'!E60)</f>
        <v>42938</v>
      </c>
      <c r="H353" s="92" t="str">
        <f>Dryseason!L499</f>
        <v>G735</v>
      </c>
      <c r="I353" t="str">
        <f>Dryseason!L719</f>
        <v>R689</v>
      </c>
      <c r="J353">
        <f>IFERROR(INDEX('Green_rooibos initial weight'!$C$5:$C$2000,MATCH(H353, 'Green_rooibos initial weight'!$A$5:$A$2000,0)),"")</f>
        <v>2.0950000000000002</v>
      </c>
      <c r="K353">
        <f>IFERROR(INDEX('Green_rooibos initial weight'!$C$5:$C$2000,MATCH(I353, 'Green_rooibos initial weight'!$A$5:$A$2000,0)),"")</f>
        <v>2.11</v>
      </c>
      <c r="L353" s="194">
        <f t="shared" si="37"/>
        <v>1.8452000000000002</v>
      </c>
      <c r="M353" s="233">
        <f>AVERAGE(Ashed_controlls!$K$1:$K$11)</f>
        <v>5.5147656768714146</v>
      </c>
      <c r="N353" s="194">
        <f t="shared" si="36"/>
        <v>1.8601999999999999</v>
      </c>
      <c r="O353" s="376">
        <f>IF('Dry_Litterbag Placem_Collection'!G60="","",'Dry_Litterbag Placem_Collection'!G60)</f>
        <v>43005</v>
      </c>
      <c r="P353" s="194">
        <f>IFERROR(INDEX('Both teabags AfterDry'!$D$3:$D$2000,MATCH(H353,'Both teabags AfterDry'!$A$3:$A$2000,0)),"")</f>
        <v>1.9036</v>
      </c>
      <c r="Q353" s="194">
        <f>IFERROR(INDEX('Both teabags AfterDry'!$D$3:$D$2000,MATCH(I353,'Both teabags AfterDry'!$A$3:$A$2000,0)),"")</f>
        <v>1.9226000000000001</v>
      </c>
      <c r="R353" s="194">
        <f t="shared" si="38"/>
        <v>1.7529999999999999</v>
      </c>
      <c r="S353" s="194">
        <f t="shared" si="38"/>
        <v>1.772</v>
      </c>
      <c r="T353" s="194">
        <f t="shared" si="39"/>
        <v>4.9967483199653273E-2</v>
      </c>
      <c r="U353" s="194">
        <f t="shared" si="40"/>
        <v>3.2757779959867707E-2</v>
      </c>
      <c r="V353" s="194">
        <f t="shared" si="41"/>
        <v>0.95258574346844438</v>
      </c>
      <c r="W353">
        <f t="shared" si="42"/>
        <v>67</v>
      </c>
      <c r="X353" s="194">
        <f t="shared" si="43"/>
        <v>0.94065619572487735</v>
      </c>
      <c r="Y353" s="194" t="str">
        <f t="shared" si="44"/>
        <v/>
      </c>
      <c r="Z353" s="245" t="str">
        <f>IF(ISNUMBER(SEARCH("C", 'Dry_Litterbag Placem_Collection'!$V60)),"YES","NO")</f>
        <v>NO</v>
      </c>
      <c r="AA353" s="245" t="str">
        <f>IF(ISNUMBER(SEARCH("H", 'Dry_Litterbag Placem_Collection'!$V60)),"YES","NO")</f>
        <v>NO</v>
      </c>
      <c r="AB353" s="245" t="str">
        <f>IF(ISNUMBER(SEARCH("R", 'Dry_Litterbag Placem_Collection'!$V60)),"YES","NO")</f>
        <v>NO</v>
      </c>
      <c r="AC353" s="245" t="str">
        <f>IF(ISNUMBER(SEARCH("C", 'Dry_Litterbag Placem_Collection'!$U60)),"YES","NO")</f>
        <v>NO</v>
      </c>
      <c r="AD353" s="245" t="str">
        <f>IF(ISNUMBER(SEARCH("H", 'Dry_Litterbag Placem_Collection'!$U60)),"YES","NO")</f>
        <v>NO</v>
      </c>
      <c r="AE353" s="245" t="str">
        <f>IF(ISNUMBER(SEARCH("R", 'Dry_Litterbag Placem_Collection'!$U60)),"YES","NO")</f>
        <v>NO</v>
      </c>
    </row>
    <row r="354" spans="2:31">
      <c r="B354" t="str">
        <f>Dryseason!B500</f>
        <v>Dry</v>
      </c>
      <c r="C354" s="253">
        <f>Dryseason!C500</f>
        <v>59</v>
      </c>
      <c r="D354" t="s">
        <v>3110</v>
      </c>
      <c r="E354" t="s">
        <v>25</v>
      </c>
      <c r="F354" s="374">
        <v>3</v>
      </c>
      <c r="G354" s="376">
        <f>IF('Dry_Litterbag Placem_Collection'!E61="","",'Dry_Litterbag Placem_Collection'!E61)</f>
        <v>42938</v>
      </c>
      <c r="H354" s="92" t="str">
        <f>Dryseason!L500</f>
        <v>G558</v>
      </c>
      <c r="I354" t="str">
        <f>Dryseason!L720</f>
        <v>R231</v>
      </c>
      <c r="J354">
        <f>IFERROR(INDEX('Green_rooibos initial weight'!$C$5:$C$2000,MATCH(H354, 'Green_rooibos initial weight'!$A$5:$A$2000,0)),"")</f>
        <v>2.1789999999999998</v>
      </c>
      <c r="K354">
        <f>IFERROR(INDEX('Green_rooibos initial weight'!$C$5:$C$2000,MATCH(I354, 'Green_rooibos initial weight'!$A$5:$A$2000,0)),"")</f>
        <v>2.1230000000000002</v>
      </c>
      <c r="L354" s="194">
        <f t="shared" si="37"/>
        <v>1.9291999999999998</v>
      </c>
      <c r="M354" s="233">
        <f>AVERAGE(Ashed_controlls!$K$1:$K$11)</f>
        <v>5.5147656768714146</v>
      </c>
      <c r="N354" s="194">
        <f t="shared" si="36"/>
        <v>1.8732000000000002</v>
      </c>
      <c r="O354" s="376">
        <f>IF('Dry_Litterbag Placem_Collection'!G61="","",'Dry_Litterbag Placem_Collection'!G61)</f>
        <v>43005</v>
      </c>
      <c r="P354" s="194">
        <f>IFERROR(INDEX('Both teabags AfterDry'!$D$3:$D$2000,MATCH(H354,'Both teabags AfterDry'!$A$3:$A$2000,0)),"")</f>
        <v>1.9415</v>
      </c>
      <c r="Q354" s="194">
        <f>IFERROR(INDEX('Both teabags AfterDry'!$D$3:$D$2000,MATCH(I354,'Both teabags AfterDry'!$A$3:$A$2000,0)),"")</f>
        <v>1.8747</v>
      </c>
      <c r="R354" s="194">
        <f t="shared" si="38"/>
        <v>1.7908999999999999</v>
      </c>
      <c r="S354" s="194">
        <f t="shared" si="38"/>
        <v>1.7241</v>
      </c>
      <c r="T354" s="194">
        <f t="shared" si="39"/>
        <v>7.1687746216048009E-2</v>
      </c>
      <c r="U354" s="194">
        <f t="shared" si="40"/>
        <v>4.6997192293656155E-2</v>
      </c>
      <c r="V354" s="194">
        <f t="shared" si="41"/>
        <v>0.92040358744394613</v>
      </c>
      <c r="W354">
        <f t="shared" si="42"/>
        <v>67</v>
      </c>
      <c r="X354" s="194">
        <f t="shared" si="43"/>
        <v>0.91486015888830408</v>
      </c>
      <c r="Y354" s="194" t="str">
        <f t="shared" si="44"/>
        <v/>
      </c>
      <c r="Z354" s="245" t="str">
        <f>IF(ISNUMBER(SEARCH("C", 'Dry_Litterbag Placem_Collection'!$V61)),"YES","NO")</f>
        <v>NO</v>
      </c>
      <c r="AA354" s="245" t="str">
        <f>IF(ISNUMBER(SEARCH("H", 'Dry_Litterbag Placem_Collection'!$V61)),"YES","NO")</f>
        <v>NO</v>
      </c>
      <c r="AB354" s="245" t="str">
        <f>IF(ISNUMBER(SEARCH("R", 'Dry_Litterbag Placem_Collection'!$V61)),"YES","NO")</f>
        <v>NO</v>
      </c>
      <c r="AC354" s="245" t="str">
        <f>IF(ISNUMBER(SEARCH("C", 'Dry_Litterbag Placem_Collection'!$U61)),"YES","NO")</f>
        <v>NO</v>
      </c>
      <c r="AD354" s="245" t="str">
        <f>IF(ISNUMBER(SEARCH("H", 'Dry_Litterbag Placem_Collection'!$U61)),"YES","NO")</f>
        <v>NO</v>
      </c>
      <c r="AE354" s="245" t="str">
        <f>IF(ISNUMBER(SEARCH("R", 'Dry_Litterbag Placem_Collection'!$U61)),"YES","NO")</f>
        <v>NO</v>
      </c>
    </row>
    <row r="355" spans="2:31">
      <c r="B355" t="str">
        <f>Dryseason!B501</f>
        <v>Dry</v>
      </c>
      <c r="C355" s="253">
        <f>Dryseason!C501</f>
        <v>60</v>
      </c>
      <c r="D355" t="s">
        <v>3110</v>
      </c>
      <c r="E355" t="s">
        <v>25</v>
      </c>
      <c r="F355" s="375">
        <v>4</v>
      </c>
      <c r="G355" s="376">
        <f>IF('Dry_Litterbag Placem_Collection'!E62="","",'Dry_Litterbag Placem_Collection'!E62)</f>
        <v>42938</v>
      </c>
      <c r="H355" s="92" t="str">
        <f>Dryseason!L501</f>
        <v>G751</v>
      </c>
      <c r="I355" t="str">
        <f>Dryseason!L721</f>
        <v>R297</v>
      </c>
      <c r="J355">
        <f>IFERROR(INDEX('Green_rooibos initial weight'!$C$5:$C$2000,MATCH(H355, 'Green_rooibos initial weight'!$A$5:$A$2000,0)),"")</f>
        <v>2.0750000000000002</v>
      </c>
      <c r="K355">
        <f>IFERROR(INDEX('Green_rooibos initial weight'!$C$5:$C$2000,MATCH(I355, 'Green_rooibos initial weight'!$A$5:$A$2000,0)),"")</f>
        <v>2.1800000000000002</v>
      </c>
      <c r="L355" s="194">
        <f t="shared" si="37"/>
        <v>1.8252000000000002</v>
      </c>
      <c r="M355" s="233">
        <f>AVERAGE(Ashed_controlls!$K$1:$K$11)</f>
        <v>5.5147656768714146</v>
      </c>
      <c r="N355" s="194">
        <f t="shared" si="36"/>
        <v>1.9302000000000001</v>
      </c>
      <c r="O355" s="376">
        <f>IF('Dry_Litterbag Placem_Collection'!G62="","",'Dry_Litterbag Placem_Collection'!G62)</f>
        <v>43005</v>
      </c>
      <c r="P355" s="194" t="str">
        <f>IFERROR(INDEX('Both teabags AfterDry'!$D$3:$D$2000,MATCH(H355,'Both teabags AfterDry'!$A$3:$A$2000,0)),"")</f>
        <v/>
      </c>
      <c r="Q355" s="194">
        <f>IFERROR(INDEX('Both teabags AfterDry'!$D$3:$D$2000,MATCH(I355,'Both teabags AfterDry'!$A$3:$A$2000,0)),"")</f>
        <v>1.9569000000000001</v>
      </c>
      <c r="R355" s="194" t="str">
        <f t="shared" si="38"/>
        <v/>
      </c>
      <c r="S355" s="194">
        <f t="shared" si="38"/>
        <v>1.8063</v>
      </c>
      <c r="T355" s="194" t="str">
        <f t="shared" si="39"/>
        <v/>
      </c>
      <c r="U355" s="194" t="str">
        <f t="shared" si="40"/>
        <v/>
      </c>
      <c r="V355" s="194">
        <f t="shared" si="41"/>
        <v>0.93580976064656507</v>
      </c>
      <c r="W355">
        <f t="shared" si="42"/>
        <v>67</v>
      </c>
      <c r="X355" s="194" t="str">
        <f t="shared" si="43"/>
        <v/>
      </c>
      <c r="Y355" s="194" t="str">
        <f t="shared" si="44"/>
        <v/>
      </c>
      <c r="Z355" s="245" t="str">
        <f>IF(ISNUMBER(SEARCH("C", 'Dry_Litterbag Placem_Collection'!$V62)),"YES","NO")</f>
        <v>NO</v>
      </c>
      <c r="AA355" s="245" t="str">
        <f>IF(ISNUMBER(SEARCH("H", 'Dry_Litterbag Placem_Collection'!$V62)),"YES","NO")</f>
        <v>NO</v>
      </c>
      <c r="AB355" s="245" t="str">
        <f>IF(ISNUMBER(SEARCH("R", 'Dry_Litterbag Placem_Collection'!$V62)),"YES","NO")</f>
        <v>NO</v>
      </c>
      <c r="AC355" s="245" t="str">
        <f>IF(ISNUMBER(SEARCH("C", 'Dry_Litterbag Placem_Collection'!$U62)),"YES","NO")</f>
        <v>NO</v>
      </c>
      <c r="AD355" s="245" t="str">
        <f>IF(ISNUMBER(SEARCH("H", 'Dry_Litterbag Placem_Collection'!$U62)),"YES","NO")</f>
        <v>NO</v>
      </c>
      <c r="AE355" s="245" t="str">
        <f>IF(ISNUMBER(SEARCH("R", 'Dry_Litterbag Placem_Collection'!$U62)),"YES","NO")</f>
        <v>NO</v>
      </c>
    </row>
    <row r="356" spans="2:31">
      <c r="B356" t="str">
        <f>Dryseason!B502</f>
        <v>Dry</v>
      </c>
      <c r="C356" s="253">
        <f>Dryseason!C502</f>
        <v>61</v>
      </c>
      <c r="D356" t="s">
        <v>3110</v>
      </c>
      <c r="E356" t="s">
        <v>25</v>
      </c>
      <c r="F356" s="375">
        <v>5</v>
      </c>
      <c r="G356" s="376">
        <f>IF('Dry_Litterbag Placem_Collection'!E63="","",'Dry_Litterbag Placem_Collection'!E63)</f>
        <v>42938</v>
      </c>
      <c r="H356" s="92" t="str">
        <f>Dryseason!L502</f>
        <v>G748</v>
      </c>
      <c r="I356" t="str">
        <f>Dryseason!L722</f>
        <v>R200</v>
      </c>
      <c r="J356">
        <f>IFERROR(INDEX('Green_rooibos initial weight'!$C$5:$C$2000,MATCH(H356, 'Green_rooibos initial weight'!$A$5:$A$2000,0)),"")</f>
        <v>2.081</v>
      </c>
      <c r="K356">
        <f>IFERROR(INDEX('Green_rooibos initial weight'!$C$5:$C$2000,MATCH(I356, 'Green_rooibos initial weight'!$A$5:$A$2000,0)),"")</f>
        <v>2.242</v>
      </c>
      <c r="L356" s="194">
        <f t="shared" si="37"/>
        <v>1.8311999999999999</v>
      </c>
      <c r="M356" s="233">
        <f>AVERAGE(Ashed_controlls!$K$1:$K$11)</f>
        <v>5.5147656768714146</v>
      </c>
      <c r="N356" s="194">
        <f t="shared" si="36"/>
        <v>1.9922</v>
      </c>
      <c r="O356" s="376">
        <f>IF('Dry_Litterbag Placem_Collection'!G63="","",'Dry_Litterbag Placem_Collection'!G63)</f>
        <v>43005</v>
      </c>
      <c r="P356" s="194" t="str">
        <f>IFERROR(INDEX('Both teabags AfterDry'!$D$3:$D$2000,MATCH(H356,'Both teabags AfterDry'!$A$3:$A$2000,0)),"")</f>
        <v/>
      </c>
      <c r="Q356" s="194" t="str">
        <f>IFERROR(INDEX('Both teabags AfterDry'!$D$3:$D$2000,MATCH(I356,'Both teabags AfterDry'!$A$3:$A$2000,0)),"")</f>
        <v/>
      </c>
      <c r="R356" s="194" t="str">
        <f t="shared" si="38"/>
        <v/>
      </c>
      <c r="S356" s="194" t="str">
        <f t="shared" si="38"/>
        <v/>
      </c>
      <c r="T356" s="194" t="str">
        <f t="shared" si="39"/>
        <v/>
      </c>
      <c r="U356" s="194" t="str">
        <f t="shared" si="40"/>
        <v/>
      </c>
      <c r="V356" s="194" t="str">
        <f t="shared" si="41"/>
        <v/>
      </c>
      <c r="W356">
        <f t="shared" si="42"/>
        <v>67</v>
      </c>
      <c r="X356" s="194" t="str">
        <f t="shared" si="43"/>
        <v/>
      </c>
      <c r="Y356" s="194" t="str">
        <f t="shared" si="44"/>
        <v/>
      </c>
      <c r="Z356" s="245" t="str">
        <f>IF(ISNUMBER(SEARCH("C", 'Dry_Litterbag Placem_Collection'!$V63)),"YES","NO")</f>
        <v>NO</v>
      </c>
      <c r="AA356" s="245" t="str">
        <f>IF(ISNUMBER(SEARCH("H", 'Dry_Litterbag Placem_Collection'!$V63)),"YES","NO")</f>
        <v>NO</v>
      </c>
      <c r="AB356" s="245" t="str">
        <f>IF(ISNUMBER(SEARCH("R", 'Dry_Litterbag Placem_Collection'!$V63)),"YES","NO")</f>
        <v>NO</v>
      </c>
      <c r="AC356" s="245" t="str">
        <f>IF(ISNUMBER(SEARCH("C", 'Dry_Litterbag Placem_Collection'!$U63)),"YES","NO")</f>
        <v>NO</v>
      </c>
      <c r="AD356" s="245" t="str">
        <f>IF(ISNUMBER(SEARCH("H", 'Dry_Litterbag Placem_Collection'!$U63)),"YES","NO")</f>
        <v>NO</v>
      </c>
      <c r="AE356" s="245" t="str">
        <f>IF(ISNUMBER(SEARCH("R", 'Dry_Litterbag Placem_Collection'!$U63)),"YES","NO")</f>
        <v>NO</v>
      </c>
    </row>
    <row r="357" spans="2:31">
      <c r="B357" t="str">
        <f>Dryseason!B503</f>
        <v>Dry</v>
      </c>
      <c r="C357" s="253">
        <f>Dryseason!C503</f>
        <v>62</v>
      </c>
      <c r="D357" t="s">
        <v>3110</v>
      </c>
      <c r="E357" t="s">
        <v>25</v>
      </c>
      <c r="F357" s="375">
        <v>6</v>
      </c>
      <c r="G357" s="376" t="str">
        <f>IF('Dry_Litterbag Placem_Collection'!E64="","",'Dry_Litterbag Placem_Collection'!E64)</f>
        <v/>
      </c>
      <c r="H357" s="92" t="str">
        <f>Dryseason!L503</f>
        <v/>
      </c>
      <c r="I357" t="str">
        <f>Dryseason!L723</f>
        <v/>
      </c>
      <c r="J357" t="str">
        <f>IFERROR(INDEX('Green_rooibos initial weight'!$C$5:$C$2000,MATCH(H357, 'Green_rooibos initial weight'!$A$5:$A$2000,0)),"")</f>
        <v/>
      </c>
      <c r="K357" t="str">
        <f>IFERROR(INDEX('Green_rooibos initial weight'!$C$5:$C$2000,MATCH(I357, 'Green_rooibos initial weight'!$A$5:$A$2000,0)),"")</f>
        <v/>
      </c>
      <c r="L357" s="194" t="str">
        <f t="shared" si="37"/>
        <v/>
      </c>
      <c r="M357" s="233">
        <f>AVERAGE(Ashed_controlls!$K$1:$K$11)</f>
        <v>5.5147656768714146</v>
      </c>
      <c r="N357" s="194" t="str">
        <f t="shared" si="36"/>
        <v/>
      </c>
      <c r="O357" s="376" t="str">
        <f>IF('Dry_Litterbag Placem_Collection'!G64="","",'Dry_Litterbag Placem_Collection'!G64)</f>
        <v/>
      </c>
      <c r="P357" s="194" t="str">
        <f>IFERROR(INDEX('Both teabags AfterDry'!$D$3:$D$2000,MATCH(H357,'Both teabags AfterDry'!$A$3:$A$2000,0)),"")</f>
        <v/>
      </c>
      <c r="Q357" s="194" t="str">
        <f>IFERROR(INDEX('Both teabags AfterDry'!$D$3:$D$2000,MATCH(I357,'Both teabags AfterDry'!$A$3:$A$2000,0)),"")</f>
        <v/>
      </c>
      <c r="R357" s="194" t="str">
        <f t="shared" si="38"/>
        <v/>
      </c>
      <c r="S357" s="194" t="str">
        <f t="shared" si="38"/>
        <v/>
      </c>
      <c r="T357" s="194" t="str">
        <f t="shared" si="39"/>
        <v/>
      </c>
      <c r="U357" s="194" t="str">
        <f t="shared" si="40"/>
        <v/>
      </c>
      <c r="V357" s="194" t="str">
        <f t="shared" si="41"/>
        <v/>
      </c>
      <c r="W357" t="str">
        <f t="shared" si="42"/>
        <v/>
      </c>
      <c r="X357" s="194" t="str">
        <f t="shared" si="43"/>
        <v/>
      </c>
      <c r="Y357" s="194" t="str">
        <f t="shared" si="44"/>
        <v/>
      </c>
      <c r="Z357" s="245" t="str">
        <f>IF(ISNUMBER(SEARCH("C", 'Dry_Litterbag Placem_Collection'!$V64)),"YES","NO")</f>
        <v>NO</v>
      </c>
      <c r="AA357" s="245" t="str">
        <f>IF(ISNUMBER(SEARCH("H", 'Dry_Litterbag Placem_Collection'!$V64)),"YES","NO")</f>
        <v>NO</v>
      </c>
      <c r="AB357" s="245" t="str">
        <f>IF(ISNUMBER(SEARCH("R", 'Dry_Litterbag Placem_Collection'!$V64)),"YES","NO")</f>
        <v>NO</v>
      </c>
      <c r="AC357" s="245" t="str">
        <f>IF(ISNUMBER(SEARCH("C", 'Dry_Litterbag Placem_Collection'!$U64)),"YES","NO")</f>
        <v>NO</v>
      </c>
      <c r="AD357" s="245" t="str">
        <f>IF(ISNUMBER(SEARCH("H", 'Dry_Litterbag Placem_Collection'!$U64)),"YES","NO")</f>
        <v>NO</v>
      </c>
      <c r="AE357" s="245" t="str">
        <f>IF(ISNUMBER(SEARCH("R", 'Dry_Litterbag Placem_Collection'!$U64)),"YES","NO")</f>
        <v>NO</v>
      </c>
    </row>
    <row r="358" spans="2:31">
      <c r="B358" t="str">
        <f>Dryseason!B504</f>
        <v>Dry</v>
      </c>
      <c r="C358" s="253">
        <f>Dryseason!C504</f>
        <v>63</v>
      </c>
      <c r="D358" t="s">
        <v>3110</v>
      </c>
      <c r="E358" t="s">
        <v>25</v>
      </c>
      <c r="F358" s="375">
        <v>7</v>
      </c>
      <c r="G358" s="376">
        <f>IF('Dry_Litterbag Placem_Collection'!E65="","",'Dry_Litterbag Placem_Collection'!E65)</f>
        <v>42938</v>
      </c>
      <c r="H358" s="92" t="str">
        <f>Dryseason!L504</f>
        <v>G629</v>
      </c>
      <c r="I358" t="str">
        <f>Dryseason!L724</f>
        <v>R713</v>
      </c>
      <c r="J358">
        <f>IFERROR(INDEX('Green_rooibos initial weight'!$C$5:$C$2000,MATCH(H358, 'Green_rooibos initial weight'!$A$5:$A$2000,0)),"")</f>
        <v>1.978</v>
      </c>
      <c r="K358">
        <f>IFERROR(INDEX('Green_rooibos initial weight'!$C$5:$C$2000,MATCH(I358, 'Green_rooibos initial weight'!$A$5:$A$2000,0)),"")</f>
        <v>2.1619999999999999</v>
      </c>
      <c r="L358" s="194">
        <f t="shared" si="37"/>
        <v>1.7282</v>
      </c>
      <c r="M358" s="233">
        <f>AVERAGE(Ashed_controlls!$K$1:$K$11)</f>
        <v>5.5147656768714146</v>
      </c>
      <c r="N358" s="194">
        <f t="shared" si="36"/>
        <v>1.9121999999999999</v>
      </c>
      <c r="O358" s="376">
        <f>IF('Dry_Litterbag Placem_Collection'!G65="","",'Dry_Litterbag Placem_Collection'!G65)</f>
        <v>43005</v>
      </c>
      <c r="P358" s="194">
        <f>IFERROR(INDEX('Both teabags AfterDry'!$D$3:$D$2000,MATCH(H358,'Both teabags AfterDry'!$A$3:$A$2000,0)),"")</f>
        <v>1.8411</v>
      </c>
      <c r="Q358" s="194">
        <f>IFERROR(INDEX('Both teabags AfterDry'!$D$3:$D$2000,MATCH(I358,'Both teabags AfterDry'!$A$3:$A$2000,0)),"")</f>
        <v>1.9921</v>
      </c>
      <c r="R358" s="194">
        <f t="shared" si="38"/>
        <v>1.6904999999999999</v>
      </c>
      <c r="S358" s="194">
        <f t="shared" si="38"/>
        <v>1.8414999999999999</v>
      </c>
      <c r="T358" s="194">
        <f t="shared" si="39"/>
        <v>2.1814604791112191E-2</v>
      </c>
      <c r="U358" s="194">
        <f t="shared" si="40"/>
        <v>1.4301261098211324E-2</v>
      </c>
      <c r="V358" s="194">
        <f t="shared" si="41"/>
        <v>0.96302688003346926</v>
      </c>
      <c r="W358">
        <f t="shared" si="42"/>
        <v>67</v>
      </c>
      <c r="X358" s="194">
        <f t="shared" si="43"/>
        <v>0.97409191830034181</v>
      </c>
      <c r="Y358" s="194" t="str">
        <f t="shared" si="44"/>
        <v/>
      </c>
      <c r="Z358" s="245" t="str">
        <f>IF(ISNUMBER(SEARCH("C", 'Dry_Litterbag Placem_Collection'!$V65)),"YES","NO")</f>
        <v>NO</v>
      </c>
      <c r="AA358" s="245" t="str">
        <f>IF(ISNUMBER(SEARCH("H", 'Dry_Litterbag Placem_Collection'!$V65)),"YES","NO")</f>
        <v>NO</v>
      </c>
      <c r="AB358" s="245" t="str">
        <f>IF(ISNUMBER(SEARCH("R", 'Dry_Litterbag Placem_Collection'!$V65)),"YES","NO")</f>
        <v>NO</v>
      </c>
      <c r="AC358" s="245" t="str">
        <f>IF(ISNUMBER(SEARCH("C", 'Dry_Litterbag Placem_Collection'!$U65)),"YES","NO")</f>
        <v>NO</v>
      </c>
      <c r="AD358" s="245" t="str">
        <f>IF(ISNUMBER(SEARCH("H", 'Dry_Litterbag Placem_Collection'!$U65)),"YES","NO")</f>
        <v>NO</v>
      </c>
      <c r="AE358" s="245" t="str">
        <f>IF(ISNUMBER(SEARCH("R", 'Dry_Litterbag Placem_Collection'!$U65)),"YES","NO")</f>
        <v>NO</v>
      </c>
    </row>
    <row r="359" spans="2:31">
      <c r="B359" t="str">
        <f>Dryseason!B505</f>
        <v>Dry</v>
      </c>
      <c r="C359" s="253">
        <f>Dryseason!C505</f>
        <v>64</v>
      </c>
      <c r="D359" t="s">
        <v>3110</v>
      </c>
      <c r="E359" t="s">
        <v>25</v>
      </c>
      <c r="F359" s="375">
        <v>8</v>
      </c>
      <c r="G359" s="376">
        <f>IF('Dry_Litterbag Placem_Collection'!E66="","",'Dry_Litterbag Placem_Collection'!E66)</f>
        <v>42938</v>
      </c>
      <c r="H359" s="92" t="str">
        <f>Dryseason!L505</f>
        <v>G84</v>
      </c>
      <c r="I359" t="str">
        <f>Dryseason!L725</f>
        <v>R237</v>
      </c>
      <c r="J359">
        <f>IFERROR(INDEX('Green_rooibos initial weight'!$C$5:$C$2000,MATCH(H359, 'Green_rooibos initial weight'!$A$5:$A$2000,0)),"")</f>
        <v>2.1259999999999999</v>
      </c>
      <c r="K359">
        <f>IFERROR(INDEX('Green_rooibos initial weight'!$C$5:$C$2000,MATCH(I359, 'Green_rooibos initial weight'!$A$5:$A$2000,0)),"")</f>
        <v>2.1989999999999998</v>
      </c>
      <c r="L359" s="194">
        <f t="shared" si="37"/>
        <v>1.8761999999999999</v>
      </c>
      <c r="M359" s="233">
        <f>AVERAGE(Ashed_controlls!$K$1:$K$11)</f>
        <v>5.5147656768714146</v>
      </c>
      <c r="N359" s="194">
        <f t="shared" si="36"/>
        <v>1.9491999999999998</v>
      </c>
      <c r="O359" s="376">
        <f>IF('Dry_Litterbag Placem_Collection'!G66="","",'Dry_Litterbag Placem_Collection'!G66)</f>
        <v>43005</v>
      </c>
      <c r="P359" s="194">
        <f>IFERROR(INDEX('Both teabags AfterDry'!$D$3:$D$2000,MATCH(H359,'Both teabags AfterDry'!$A$3:$A$2000,0)),"")</f>
        <v>1.9314</v>
      </c>
      <c r="Q359" s="194">
        <f>IFERROR(INDEX('Both teabags AfterDry'!$D$3:$D$2000,MATCH(I359,'Both teabags AfterDry'!$A$3:$A$2000,0)),"")</f>
        <v>1.9715</v>
      </c>
      <c r="R359" s="194">
        <f t="shared" si="38"/>
        <v>1.7807999999999999</v>
      </c>
      <c r="S359" s="194">
        <f t="shared" si="38"/>
        <v>1.8209</v>
      </c>
      <c r="T359" s="194">
        <f t="shared" si="39"/>
        <v>5.084745762711862E-2</v>
      </c>
      <c r="U359" s="194">
        <f t="shared" si="40"/>
        <v>3.3334675308989911E-2</v>
      </c>
      <c r="V359" s="194">
        <f t="shared" si="41"/>
        <v>0.93417812435871128</v>
      </c>
      <c r="W359">
        <f t="shared" si="42"/>
        <v>67</v>
      </c>
      <c r="X359" s="194">
        <f t="shared" si="43"/>
        <v>0.93961109545472843</v>
      </c>
      <c r="Y359" s="194" t="str">
        <f t="shared" si="44"/>
        <v/>
      </c>
      <c r="Z359" s="245" t="str">
        <f>IF(ISNUMBER(SEARCH("C", 'Dry_Litterbag Placem_Collection'!$V66)),"YES","NO")</f>
        <v>NO</v>
      </c>
      <c r="AA359" s="245" t="str">
        <f>IF(ISNUMBER(SEARCH("H", 'Dry_Litterbag Placem_Collection'!$V66)),"YES","NO")</f>
        <v>NO</v>
      </c>
      <c r="AB359" s="245" t="str">
        <f>IF(ISNUMBER(SEARCH("R", 'Dry_Litterbag Placem_Collection'!$V66)),"YES","NO")</f>
        <v>NO</v>
      </c>
      <c r="AC359" s="245" t="str">
        <f>IF(ISNUMBER(SEARCH("C", 'Dry_Litterbag Placem_Collection'!$U66)),"YES","NO")</f>
        <v>NO</v>
      </c>
      <c r="AD359" s="245" t="str">
        <f>IF(ISNUMBER(SEARCH("H", 'Dry_Litterbag Placem_Collection'!$U66)),"YES","NO")</f>
        <v>NO</v>
      </c>
      <c r="AE359" s="245" t="str">
        <f>IF(ISNUMBER(SEARCH("R", 'Dry_Litterbag Placem_Collection'!$U66)),"YES","NO")</f>
        <v>NO</v>
      </c>
    </row>
    <row r="360" spans="2:31">
      <c r="B360" t="str">
        <f>Dryseason!B506</f>
        <v>Dry</v>
      </c>
      <c r="C360" s="253">
        <f>Dryseason!C506</f>
        <v>65</v>
      </c>
      <c r="D360" t="s">
        <v>3111</v>
      </c>
      <c r="E360" t="s">
        <v>25</v>
      </c>
      <c r="F360" s="374">
        <v>1</v>
      </c>
      <c r="G360" s="376">
        <f>IF('Dry_Litterbag Placem_Collection'!E67="","",'Dry_Litterbag Placem_Collection'!E67)</f>
        <v>42937</v>
      </c>
      <c r="H360" s="92" t="str">
        <f>Dryseason!L506</f>
        <v>G586</v>
      </c>
      <c r="I360" t="str">
        <f>Dryseason!L726</f>
        <v>R654</v>
      </c>
      <c r="J360">
        <f>IFERROR(INDEX('Green_rooibos initial weight'!$C$5:$C$2000,MATCH(H360, 'Green_rooibos initial weight'!$A$5:$A$2000,0)),"")</f>
        <v>1.9590000000000001</v>
      </c>
      <c r="K360">
        <f>IFERROR(INDEX('Green_rooibos initial weight'!$C$5:$C$2000,MATCH(I360, 'Green_rooibos initial weight'!$A$5:$A$2000,0)),"")</f>
        <v>2.2040000000000002</v>
      </c>
      <c r="L360" s="194">
        <f t="shared" si="37"/>
        <v>1.7092000000000001</v>
      </c>
      <c r="M360" s="233">
        <f>AVERAGE(Ashed_controlls!$K$1:$K$11)</f>
        <v>5.5147656768714146</v>
      </c>
      <c r="N360" s="194">
        <f t="shared" si="36"/>
        <v>1.9542000000000002</v>
      </c>
      <c r="O360" s="376">
        <f>IF('Dry_Litterbag Placem_Collection'!G67="","",'Dry_Litterbag Placem_Collection'!G67)</f>
        <v>43005</v>
      </c>
      <c r="P360" s="194" t="str">
        <f>IFERROR(INDEX('Both teabags AfterDry'!$D$3:$D$2000,MATCH(H360,'Both teabags AfterDry'!$A$3:$A$2000,0)),"")</f>
        <v/>
      </c>
      <c r="Q360" s="194" t="str">
        <f>IFERROR(INDEX('Both teabags AfterDry'!$D$3:$D$2000,MATCH(I360,'Both teabags AfterDry'!$A$3:$A$2000,0)),"")</f>
        <v/>
      </c>
      <c r="R360" s="194" t="str">
        <f t="shared" si="38"/>
        <v/>
      </c>
      <c r="S360" s="194" t="str">
        <f t="shared" si="38"/>
        <v/>
      </c>
      <c r="T360" s="194" t="str">
        <f t="shared" si="39"/>
        <v/>
      </c>
      <c r="U360" s="194" t="str">
        <f t="shared" si="40"/>
        <v/>
      </c>
      <c r="V360" s="194" t="str">
        <f t="shared" si="41"/>
        <v/>
      </c>
      <c r="W360">
        <f t="shared" si="42"/>
        <v>68</v>
      </c>
      <c r="X360" s="194" t="str">
        <f t="shared" si="43"/>
        <v/>
      </c>
      <c r="Y360" s="194" t="str">
        <f t="shared" si="44"/>
        <v/>
      </c>
      <c r="Z360" s="245" t="str">
        <f>IF(ISNUMBER(SEARCH("C", 'Dry_Litterbag Placem_Collection'!$V67)),"YES","NO")</f>
        <v>NO</v>
      </c>
      <c r="AA360" s="245" t="str">
        <f>IF(ISNUMBER(SEARCH("H", 'Dry_Litterbag Placem_Collection'!$V67)),"YES","NO")</f>
        <v>NO</v>
      </c>
      <c r="AB360" s="245" t="str">
        <f>IF(ISNUMBER(SEARCH("R", 'Dry_Litterbag Placem_Collection'!$V67)),"YES","NO")</f>
        <v>NO</v>
      </c>
      <c r="AC360" s="245" t="str">
        <f>IF(ISNUMBER(SEARCH("C", 'Dry_Litterbag Placem_Collection'!$U67)),"YES","NO")</f>
        <v>NO</v>
      </c>
      <c r="AD360" s="245" t="str">
        <f>IF(ISNUMBER(SEARCH("H", 'Dry_Litterbag Placem_Collection'!$U67)),"YES","NO")</f>
        <v>NO</v>
      </c>
      <c r="AE360" s="245" t="str">
        <f>IF(ISNUMBER(SEARCH("R", 'Dry_Litterbag Placem_Collection'!$U67)),"YES","NO")</f>
        <v>NO</v>
      </c>
    </row>
    <row r="361" spans="2:31">
      <c r="B361" t="str">
        <f>Dryseason!B507</f>
        <v>Dry</v>
      </c>
      <c r="C361" s="253">
        <f>Dryseason!C507</f>
        <v>66</v>
      </c>
      <c r="D361" t="s">
        <v>3111</v>
      </c>
      <c r="E361" t="s">
        <v>25</v>
      </c>
      <c r="F361" s="374">
        <v>2</v>
      </c>
      <c r="G361" s="376">
        <f>IF('Dry_Litterbag Placem_Collection'!E68="","",'Dry_Litterbag Placem_Collection'!E68)</f>
        <v>42937</v>
      </c>
      <c r="H361" s="92" t="str">
        <f>Dryseason!L507</f>
        <v>G851</v>
      </c>
      <c r="I361" t="str">
        <f>Dryseason!L727</f>
        <v>R634</v>
      </c>
      <c r="J361">
        <f>IFERROR(INDEX('Green_rooibos initial weight'!$C$5:$C$2000,MATCH(H361, 'Green_rooibos initial weight'!$A$5:$A$2000,0)),"")</f>
        <v>1.9930000000000001</v>
      </c>
      <c r="K361">
        <f>IFERROR(INDEX('Green_rooibos initial weight'!$C$5:$C$2000,MATCH(I361, 'Green_rooibos initial weight'!$A$5:$A$2000,0)),"")</f>
        <v>2.0979999999999999</v>
      </c>
      <c r="L361" s="194">
        <f t="shared" si="37"/>
        <v>1.7432000000000001</v>
      </c>
      <c r="M361" s="233">
        <f>AVERAGE(Ashed_controlls!$K$1:$K$11)</f>
        <v>5.5147656768714146</v>
      </c>
      <c r="N361" s="194">
        <f t="shared" si="36"/>
        <v>1.8481999999999998</v>
      </c>
      <c r="O361" s="376">
        <f>IF('Dry_Litterbag Placem_Collection'!G68="","",'Dry_Litterbag Placem_Collection'!G68)</f>
        <v>43005</v>
      </c>
      <c r="P361" s="194">
        <f>IFERROR(INDEX('Both teabags AfterDry'!$D$3:$D$2000,MATCH(H361,'Both teabags AfterDry'!$A$3:$A$2000,0)),"")</f>
        <v>1.8367</v>
      </c>
      <c r="Q361" s="194">
        <f>IFERROR(INDEX('Both teabags AfterDry'!$D$3:$D$2000,MATCH(I361,'Both teabags AfterDry'!$A$3:$A$2000,0)),"")</f>
        <v>1.9177</v>
      </c>
      <c r="R361" s="194">
        <f t="shared" si="38"/>
        <v>1.6860999999999999</v>
      </c>
      <c r="S361" s="194">
        <f t="shared" si="38"/>
        <v>1.7670999999999999</v>
      </c>
      <c r="T361" s="194">
        <f t="shared" si="39"/>
        <v>3.2755851307939454E-2</v>
      </c>
      <c r="U361" s="194">
        <f t="shared" si="40"/>
        <v>2.147414480045436E-2</v>
      </c>
      <c r="V361" s="194">
        <f t="shared" si="41"/>
        <v>0.9561194675900877</v>
      </c>
      <c r="W361">
        <f t="shared" si="42"/>
        <v>68</v>
      </c>
      <c r="X361" s="194">
        <f t="shared" si="43"/>
        <v>0.96109756376729283</v>
      </c>
      <c r="Y361" s="194" t="str">
        <f t="shared" si="44"/>
        <v/>
      </c>
      <c r="Z361" s="245" t="str">
        <f>IF(ISNUMBER(SEARCH("C", 'Dry_Litterbag Placem_Collection'!$V68)),"YES","NO")</f>
        <v>NO</v>
      </c>
      <c r="AA361" s="245" t="str">
        <f>IF(ISNUMBER(SEARCH("H", 'Dry_Litterbag Placem_Collection'!$V68)),"YES","NO")</f>
        <v>NO</v>
      </c>
      <c r="AB361" s="245" t="str">
        <f>IF(ISNUMBER(SEARCH("R", 'Dry_Litterbag Placem_Collection'!$V68)),"YES","NO")</f>
        <v>NO</v>
      </c>
      <c r="AC361" s="245" t="str">
        <f>IF(ISNUMBER(SEARCH("C", 'Dry_Litterbag Placem_Collection'!$U68)),"YES","NO")</f>
        <v>NO</v>
      </c>
      <c r="AD361" s="245" t="str">
        <f>IF(ISNUMBER(SEARCH("H", 'Dry_Litterbag Placem_Collection'!$U68)),"YES","NO")</f>
        <v>NO</v>
      </c>
      <c r="AE361" s="245" t="str">
        <f>IF(ISNUMBER(SEARCH("R", 'Dry_Litterbag Placem_Collection'!$U68)),"YES","NO")</f>
        <v>NO</v>
      </c>
    </row>
    <row r="362" spans="2:31">
      <c r="B362" t="str">
        <f>Dryseason!B508</f>
        <v>Dry</v>
      </c>
      <c r="C362" s="253">
        <f>Dryseason!C508</f>
        <v>67</v>
      </c>
      <c r="D362" t="s">
        <v>3111</v>
      </c>
      <c r="E362" t="s">
        <v>25</v>
      </c>
      <c r="F362" s="374">
        <v>3</v>
      </c>
      <c r="G362" s="376" t="str">
        <f>IF('Dry_Litterbag Placem_Collection'!E69="","",'Dry_Litterbag Placem_Collection'!E69)</f>
        <v/>
      </c>
      <c r="H362" s="92" t="str">
        <f>Dryseason!L508</f>
        <v/>
      </c>
      <c r="I362" t="str">
        <f>Dryseason!L728</f>
        <v/>
      </c>
      <c r="J362" t="str">
        <f>IFERROR(INDEX('Green_rooibos initial weight'!$C$5:$C$2000,MATCH(H362, 'Green_rooibos initial weight'!$A$5:$A$2000,0)),"")</f>
        <v/>
      </c>
      <c r="K362" t="str">
        <f>IFERROR(INDEX('Green_rooibos initial weight'!$C$5:$C$2000,MATCH(I362, 'Green_rooibos initial weight'!$A$5:$A$2000,0)),"")</f>
        <v/>
      </c>
      <c r="L362" s="194" t="str">
        <f t="shared" si="37"/>
        <v/>
      </c>
      <c r="M362" s="233">
        <f>AVERAGE(Ashed_controlls!$K$1:$K$11)</f>
        <v>5.5147656768714146</v>
      </c>
      <c r="N362" s="194" t="str">
        <f t="shared" si="36"/>
        <v/>
      </c>
      <c r="O362" s="376" t="str">
        <f>IF('Dry_Litterbag Placem_Collection'!G69="","",'Dry_Litterbag Placem_Collection'!G69)</f>
        <v/>
      </c>
      <c r="P362" s="194" t="str">
        <f>IFERROR(INDEX('Both teabags AfterDry'!$D$3:$D$2000,MATCH(H362,'Both teabags AfterDry'!$A$3:$A$2000,0)),"")</f>
        <v/>
      </c>
      <c r="Q362" s="194" t="str">
        <f>IFERROR(INDEX('Both teabags AfterDry'!$D$3:$D$2000,MATCH(I362,'Both teabags AfterDry'!$A$3:$A$2000,0)),"")</f>
        <v/>
      </c>
      <c r="R362" s="194" t="str">
        <f t="shared" si="38"/>
        <v/>
      </c>
      <c r="S362" s="194" t="str">
        <f t="shared" si="38"/>
        <v/>
      </c>
      <c r="T362" s="194" t="str">
        <f t="shared" si="39"/>
        <v/>
      </c>
      <c r="U362" s="194" t="str">
        <f t="shared" si="40"/>
        <v/>
      </c>
      <c r="V362" s="194" t="str">
        <f t="shared" si="41"/>
        <v/>
      </c>
      <c r="W362" t="str">
        <f t="shared" si="42"/>
        <v/>
      </c>
      <c r="X362" s="194" t="str">
        <f t="shared" si="43"/>
        <v/>
      </c>
      <c r="Y362" s="194" t="str">
        <f t="shared" si="44"/>
        <v/>
      </c>
      <c r="Z362" s="245" t="str">
        <f>IF(ISNUMBER(SEARCH("C", 'Dry_Litterbag Placem_Collection'!$V69)),"YES","NO")</f>
        <v>NO</v>
      </c>
      <c r="AA362" s="245" t="str">
        <f>IF(ISNUMBER(SEARCH("H", 'Dry_Litterbag Placem_Collection'!$V69)),"YES","NO")</f>
        <v>NO</v>
      </c>
      <c r="AB362" s="245" t="str">
        <f>IF(ISNUMBER(SEARCH("R", 'Dry_Litterbag Placem_Collection'!$V69)),"YES","NO")</f>
        <v>NO</v>
      </c>
      <c r="AC362" s="245" t="str">
        <f>IF(ISNUMBER(SEARCH("C", 'Dry_Litterbag Placem_Collection'!$U69)),"YES","NO")</f>
        <v>NO</v>
      </c>
      <c r="AD362" s="245" t="str">
        <f>IF(ISNUMBER(SEARCH("H", 'Dry_Litterbag Placem_Collection'!$U69)),"YES","NO")</f>
        <v>NO</v>
      </c>
      <c r="AE362" s="245" t="str">
        <f>IF(ISNUMBER(SEARCH("R", 'Dry_Litterbag Placem_Collection'!$U69)),"YES","NO")</f>
        <v>NO</v>
      </c>
    </row>
    <row r="363" spans="2:31">
      <c r="B363" t="str">
        <f>Dryseason!B509</f>
        <v>Dry</v>
      </c>
      <c r="C363" s="253">
        <f>Dryseason!C509</f>
        <v>68</v>
      </c>
      <c r="D363" t="s">
        <v>3111</v>
      </c>
      <c r="E363" t="s">
        <v>25</v>
      </c>
      <c r="F363" s="375">
        <v>4</v>
      </c>
      <c r="G363" s="376">
        <f>IF('Dry_Litterbag Placem_Collection'!E70="","",'Dry_Litterbag Placem_Collection'!E70)</f>
        <v>42937</v>
      </c>
      <c r="H363" s="92" t="str">
        <f>Dryseason!L509</f>
        <v>G467</v>
      </c>
      <c r="I363" t="str">
        <f>Dryseason!L729</f>
        <v>R201</v>
      </c>
      <c r="J363">
        <f>IFERROR(INDEX('Green_rooibos initial weight'!$C$5:$C$2000,MATCH(H363, 'Green_rooibos initial weight'!$A$5:$A$2000,0)),"")</f>
        <v>2.0259999999999998</v>
      </c>
      <c r="K363">
        <f>IFERROR(INDEX('Green_rooibos initial weight'!$C$5:$C$2000,MATCH(I363, 'Green_rooibos initial weight'!$A$5:$A$2000,0)),"")</f>
        <v>2.2349999999999999</v>
      </c>
      <c r="L363" s="194">
        <f t="shared" si="37"/>
        <v>1.7761999999999998</v>
      </c>
      <c r="M363" s="233">
        <f>AVERAGE(Ashed_controlls!$K$1:$K$11)</f>
        <v>5.5147656768714146</v>
      </c>
      <c r="N363" s="194">
        <f t="shared" si="36"/>
        <v>1.9851999999999999</v>
      </c>
      <c r="O363" s="376">
        <f>IF('Dry_Litterbag Placem_Collection'!G70="","",'Dry_Litterbag Placem_Collection'!G70)</f>
        <v>43005</v>
      </c>
      <c r="P363" s="194">
        <f>IFERROR(INDEX('Both teabags AfterDry'!$D$3:$D$2000,MATCH(H363,'Both teabags AfterDry'!$A$3:$A$2000,0)),"")</f>
        <v>1.8359000000000001</v>
      </c>
      <c r="Q363" s="194">
        <f>IFERROR(INDEX('Both teabags AfterDry'!$D$3:$D$2000,MATCH(I363,'Both teabags AfterDry'!$A$3:$A$2000,0)),"")</f>
        <v>2.0015000000000001</v>
      </c>
      <c r="R363" s="194">
        <f t="shared" si="38"/>
        <v>1.6853</v>
      </c>
      <c r="S363" s="194">
        <f t="shared" si="38"/>
        <v>1.8509</v>
      </c>
      <c r="T363" s="194">
        <f t="shared" si="39"/>
        <v>5.1176669293998334E-2</v>
      </c>
      <c r="U363" s="194">
        <f t="shared" si="40"/>
        <v>3.3550500534782757E-2</v>
      </c>
      <c r="V363" s="194">
        <f t="shared" si="41"/>
        <v>0.93234938545234747</v>
      </c>
      <c r="W363">
        <f t="shared" si="42"/>
        <v>68</v>
      </c>
      <c r="X363" s="194">
        <f t="shared" si="43"/>
        <v>0.93922010772684283</v>
      </c>
      <c r="Y363" s="194" t="str">
        <f t="shared" si="44"/>
        <v/>
      </c>
      <c r="Z363" s="245" t="str">
        <f>IF(ISNUMBER(SEARCH("C", 'Dry_Litterbag Placem_Collection'!$V70)),"YES","NO")</f>
        <v>NO</v>
      </c>
      <c r="AA363" s="245" t="str">
        <f>IF(ISNUMBER(SEARCH("H", 'Dry_Litterbag Placem_Collection'!$V70)),"YES","NO")</f>
        <v>NO</v>
      </c>
      <c r="AB363" s="245" t="str">
        <f>IF(ISNUMBER(SEARCH("R", 'Dry_Litterbag Placem_Collection'!$V70)),"YES","NO")</f>
        <v>NO</v>
      </c>
      <c r="AC363" s="245" t="str">
        <f>IF(ISNUMBER(SEARCH("C", 'Dry_Litterbag Placem_Collection'!$U70)),"YES","NO")</f>
        <v>NO</v>
      </c>
      <c r="AD363" s="245" t="str">
        <f>IF(ISNUMBER(SEARCH("H", 'Dry_Litterbag Placem_Collection'!$U70)),"YES","NO")</f>
        <v>NO</v>
      </c>
      <c r="AE363" s="245" t="str">
        <f>IF(ISNUMBER(SEARCH("R", 'Dry_Litterbag Placem_Collection'!$U70)),"YES","NO")</f>
        <v>NO</v>
      </c>
    </row>
    <row r="364" spans="2:31">
      <c r="B364" t="str">
        <f>Dryseason!B510</f>
        <v>Dry</v>
      </c>
      <c r="C364" s="253">
        <f>Dryseason!C510</f>
        <v>69</v>
      </c>
      <c r="D364" t="s">
        <v>3111</v>
      </c>
      <c r="E364" t="s">
        <v>25</v>
      </c>
      <c r="F364" s="375">
        <v>5</v>
      </c>
      <c r="G364" s="376">
        <f>IF('Dry_Litterbag Placem_Collection'!E71="","",'Dry_Litterbag Placem_Collection'!E71)</f>
        <v>42937</v>
      </c>
      <c r="H364" s="92" t="str">
        <f>Dryseason!L510</f>
        <v>G766</v>
      </c>
      <c r="I364" t="str">
        <f>Dryseason!L730</f>
        <v>R174</v>
      </c>
      <c r="J364">
        <f>IFERROR(INDEX('Green_rooibos initial weight'!$C$5:$C$2000,MATCH(H364, 'Green_rooibos initial weight'!$A$5:$A$2000,0)),"")</f>
        <v>2.0409999999999999</v>
      </c>
      <c r="K364">
        <f>IFERROR(INDEX('Green_rooibos initial weight'!$C$5:$C$2000,MATCH(I364, 'Green_rooibos initial weight'!$A$5:$A$2000,0)),"")</f>
        <v>2.2410000000000001</v>
      </c>
      <c r="L364" s="194">
        <f t="shared" si="37"/>
        <v>1.7911999999999999</v>
      </c>
      <c r="M364" s="233">
        <f>AVERAGE(Ashed_controlls!$K$1:$K$11)</f>
        <v>5.5147656768714146</v>
      </c>
      <c r="N364" s="194">
        <f t="shared" si="36"/>
        <v>1.9912000000000001</v>
      </c>
      <c r="O364" s="376">
        <f>IF('Dry_Litterbag Placem_Collection'!G71="","",'Dry_Litterbag Placem_Collection'!G71)</f>
        <v>43006</v>
      </c>
      <c r="P364" s="194">
        <f>IFERROR(INDEX('Both teabags AfterDry'!$D$3:$D$2000,MATCH(H364,'Both teabags AfterDry'!$A$3:$A$2000,0)),"")</f>
        <v>1.8654999999999999</v>
      </c>
      <c r="Q364" s="194">
        <f>IFERROR(INDEX('Both teabags AfterDry'!$D$3:$D$2000,MATCH(I364,'Both teabags AfterDry'!$A$3:$A$2000,0)),"")</f>
        <v>1.9946999999999999</v>
      </c>
      <c r="R364" s="194">
        <f t="shared" si="38"/>
        <v>1.7148999999999999</v>
      </c>
      <c r="S364" s="194">
        <f t="shared" si="38"/>
        <v>1.8440999999999999</v>
      </c>
      <c r="T364" s="194">
        <f t="shared" si="39"/>
        <v>4.2597141581062981E-2</v>
      </c>
      <c r="U364" s="194">
        <f t="shared" si="40"/>
        <v>2.7925917046017538E-2</v>
      </c>
      <c r="V364" s="194">
        <f t="shared" si="41"/>
        <v>0.9261249497790276</v>
      </c>
      <c r="W364">
        <f t="shared" si="42"/>
        <v>69</v>
      </c>
      <c r="X364" s="194">
        <f t="shared" si="43"/>
        <v>0.94940957056880881</v>
      </c>
      <c r="Y364" s="194" t="str">
        <f t="shared" si="44"/>
        <v/>
      </c>
      <c r="Z364" s="245" t="str">
        <f>IF(ISNUMBER(SEARCH("C", 'Dry_Litterbag Placem_Collection'!$V71)),"YES","NO")</f>
        <v>NO</v>
      </c>
      <c r="AA364" s="245" t="str">
        <f>IF(ISNUMBER(SEARCH("H", 'Dry_Litterbag Placem_Collection'!$V71)),"YES","NO")</f>
        <v>NO</v>
      </c>
      <c r="AB364" s="245" t="str">
        <f>IF(ISNUMBER(SEARCH("R", 'Dry_Litterbag Placem_Collection'!$V71)),"YES","NO")</f>
        <v>NO</v>
      </c>
      <c r="AC364" s="245" t="str">
        <f>IF(ISNUMBER(SEARCH("C", 'Dry_Litterbag Placem_Collection'!$U71)),"YES","NO")</f>
        <v>NO</v>
      </c>
      <c r="AD364" s="245" t="str">
        <f>IF(ISNUMBER(SEARCH("H", 'Dry_Litterbag Placem_Collection'!$U71)),"YES","NO")</f>
        <v>NO</v>
      </c>
      <c r="AE364" s="245" t="str">
        <f>IF(ISNUMBER(SEARCH("R", 'Dry_Litterbag Placem_Collection'!$U71)),"YES","NO")</f>
        <v>NO</v>
      </c>
    </row>
    <row r="365" spans="2:31">
      <c r="B365" t="str">
        <f>Dryseason!B511</f>
        <v>Dry</v>
      </c>
      <c r="C365" s="253">
        <f>Dryseason!C511</f>
        <v>70</v>
      </c>
      <c r="D365" t="s">
        <v>3111</v>
      </c>
      <c r="E365" t="s">
        <v>25</v>
      </c>
      <c r="F365" s="375">
        <v>6</v>
      </c>
      <c r="G365" s="376">
        <f>IF('Dry_Litterbag Placem_Collection'!E72="","",'Dry_Litterbag Placem_Collection'!E72)</f>
        <v>42937</v>
      </c>
      <c r="H365" s="92" t="str">
        <f>Dryseason!L511</f>
        <v>G430</v>
      </c>
      <c r="I365" t="str">
        <f>Dryseason!L731</f>
        <v>R261</v>
      </c>
      <c r="J365">
        <f>IFERROR(INDEX('Green_rooibos initial weight'!$C$5:$C$2000,MATCH(H365, 'Green_rooibos initial weight'!$A$5:$A$2000,0)),"")</f>
        <v>2.09</v>
      </c>
      <c r="K365">
        <f>IFERROR(INDEX('Green_rooibos initial weight'!$C$5:$C$2000,MATCH(I365, 'Green_rooibos initial weight'!$A$5:$A$2000,0)),"")</f>
        <v>2.2080000000000002</v>
      </c>
      <c r="L365" s="194">
        <f t="shared" si="37"/>
        <v>1.8401999999999998</v>
      </c>
      <c r="M365" s="233">
        <f>AVERAGE(Ashed_controlls!$K$1:$K$11)</f>
        <v>5.5147656768714146</v>
      </c>
      <c r="N365" s="194">
        <f t="shared" si="36"/>
        <v>1.9582000000000002</v>
      </c>
      <c r="O365" s="376">
        <f>IF('Dry_Litterbag Placem_Collection'!G72="","",'Dry_Litterbag Placem_Collection'!G72)</f>
        <v>43006</v>
      </c>
      <c r="P365" s="194">
        <f>IFERROR(INDEX('Both teabags AfterDry'!$D$3:$D$2000,MATCH(H365,'Both teabags AfterDry'!$A$3:$A$2000,0)),"")</f>
        <v>1.8875999999999999</v>
      </c>
      <c r="Q365" s="194">
        <f>IFERROR(INDEX('Both teabags AfterDry'!$D$3:$D$2000,MATCH(I365,'Both teabags AfterDry'!$A$3:$A$2000,0)),"")</f>
        <v>1.9642999999999999</v>
      </c>
      <c r="R365" s="194">
        <f t="shared" si="38"/>
        <v>1.7369999999999999</v>
      </c>
      <c r="S365" s="194">
        <f t="shared" si="38"/>
        <v>1.8136999999999999</v>
      </c>
      <c r="T365" s="194">
        <f t="shared" si="39"/>
        <v>5.6080860776002606E-2</v>
      </c>
      <c r="U365" s="194">
        <f t="shared" si="40"/>
        <v>3.6765599938662054E-2</v>
      </c>
      <c r="V365" s="194">
        <f t="shared" si="41"/>
        <v>0.92620774180369714</v>
      </c>
      <c r="W365">
        <f t="shared" si="42"/>
        <v>69</v>
      </c>
      <c r="X365" s="194">
        <f t="shared" si="43"/>
        <v>0.93339565228503252</v>
      </c>
      <c r="Y365" s="194" t="str">
        <f t="shared" si="44"/>
        <v/>
      </c>
      <c r="Z365" s="245" t="str">
        <f>IF(ISNUMBER(SEARCH("C", 'Dry_Litterbag Placem_Collection'!$V72)),"YES","NO")</f>
        <v>NO</v>
      </c>
      <c r="AA365" s="245" t="str">
        <f>IF(ISNUMBER(SEARCH("H", 'Dry_Litterbag Placem_Collection'!$V72)),"YES","NO")</f>
        <v>NO</v>
      </c>
      <c r="AB365" s="245" t="str">
        <f>IF(ISNUMBER(SEARCH("R", 'Dry_Litterbag Placem_Collection'!$V72)),"YES","NO")</f>
        <v>NO</v>
      </c>
      <c r="AC365" s="245" t="str">
        <f>IF(ISNUMBER(SEARCH("C", 'Dry_Litterbag Placem_Collection'!$U72)),"YES","NO")</f>
        <v>NO</v>
      </c>
      <c r="AD365" s="245" t="str">
        <f>IF(ISNUMBER(SEARCH("H", 'Dry_Litterbag Placem_Collection'!$U72)),"YES","NO")</f>
        <v>NO</v>
      </c>
      <c r="AE365" s="245" t="str">
        <f>IF(ISNUMBER(SEARCH("R", 'Dry_Litterbag Placem_Collection'!$U72)),"YES","NO")</f>
        <v>NO</v>
      </c>
    </row>
    <row r="366" spans="2:31">
      <c r="B366" t="str">
        <f>Dryseason!B512</f>
        <v>Dry</v>
      </c>
      <c r="C366" s="253">
        <f>Dryseason!C512</f>
        <v>71</v>
      </c>
      <c r="D366" t="s">
        <v>3111</v>
      </c>
      <c r="E366" t="s">
        <v>25</v>
      </c>
      <c r="F366" s="375">
        <v>7</v>
      </c>
      <c r="G366" s="376">
        <f>IF('Dry_Litterbag Placem_Collection'!E73="","",'Dry_Litterbag Placem_Collection'!E73)</f>
        <v>42937</v>
      </c>
      <c r="H366" s="92" t="str">
        <f>Dryseason!L512</f>
        <v>G174</v>
      </c>
      <c r="I366" t="str">
        <f>Dryseason!L732</f>
        <v>R203</v>
      </c>
      <c r="J366">
        <f>IFERROR(INDEX('Green_rooibos initial weight'!$C$5:$C$2000,MATCH(H366, 'Green_rooibos initial weight'!$A$5:$A$2000,0)),"")</f>
        <v>2.0649999999999999</v>
      </c>
      <c r="K366">
        <f>IFERROR(INDEX('Green_rooibos initial weight'!$C$5:$C$2000,MATCH(I366, 'Green_rooibos initial weight'!$A$5:$A$2000,0)),"")</f>
        <v>2.2839999999999998</v>
      </c>
      <c r="L366" s="194">
        <f t="shared" si="37"/>
        <v>1.8151999999999999</v>
      </c>
      <c r="M366" s="233">
        <f>AVERAGE(Ashed_controlls!$K$1:$K$11)</f>
        <v>5.5147656768714146</v>
      </c>
      <c r="N366" s="194">
        <f t="shared" si="36"/>
        <v>2.0341999999999998</v>
      </c>
      <c r="O366" s="376">
        <f>IF('Dry_Litterbag Placem_Collection'!G73="","",'Dry_Litterbag Placem_Collection'!G73)</f>
        <v>43006</v>
      </c>
      <c r="P366" s="194">
        <f>IFERROR(INDEX('Both teabags AfterDry'!$D$3:$D$2000,MATCH(H366,'Both teabags AfterDry'!$A$3:$A$2000,0)),"")</f>
        <v>1.8838999999999999</v>
      </c>
      <c r="Q366" s="194">
        <f>IFERROR(INDEX('Both teabags AfterDry'!$D$3:$D$2000,MATCH(I366,'Both teabags AfterDry'!$A$3:$A$2000,0)),"")</f>
        <v>2.0466000000000002</v>
      </c>
      <c r="R366" s="194">
        <f t="shared" si="38"/>
        <v>1.7332999999999998</v>
      </c>
      <c r="S366" s="194">
        <f t="shared" si="38"/>
        <v>1.8960000000000001</v>
      </c>
      <c r="T366" s="194">
        <f t="shared" si="39"/>
        <v>4.5118995152049424E-2</v>
      </c>
      <c r="U366" s="194">
        <f t="shared" si="40"/>
        <v>2.9579198722008652E-2</v>
      </c>
      <c r="V366" s="194">
        <f t="shared" si="41"/>
        <v>0.93206174417461429</v>
      </c>
      <c r="W366">
        <f t="shared" si="42"/>
        <v>69</v>
      </c>
      <c r="X366" s="194">
        <f t="shared" si="43"/>
        <v>0.94641449506882491</v>
      </c>
      <c r="Y366" s="194" t="str">
        <f t="shared" si="44"/>
        <v/>
      </c>
      <c r="Z366" s="245" t="str">
        <f>IF(ISNUMBER(SEARCH("C", 'Dry_Litterbag Placem_Collection'!$V73)),"YES","NO")</f>
        <v>NO</v>
      </c>
      <c r="AA366" s="245" t="str">
        <f>IF(ISNUMBER(SEARCH("H", 'Dry_Litterbag Placem_Collection'!$V73)),"YES","NO")</f>
        <v>NO</v>
      </c>
      <c r="AB366" s="245" t="str">
        <f>IF(ISNUMBER(SEARCH("R", 'Dry_Litterbag Placem_Collection'!$V73)),"YES","NO")</f>
        <v>NO</v>
      </c>
      <c r="AC366" s="245" t="str">
        <f>IF(ISNUMBER(SEARCH("C", 'Dry_Litterbag Placem_Collection'!$U73)),"YES","NO")</f>
        <v>NO</v>
      </c>
      <c r="AD366" s="245" t="str">
        <f>IF(ISNUMBER(SEARCH("H", 'Dry_Litterbag Placem_Collection'!$U73)),"YES","NO")</f>
        <v>NO</v>
      </c>
      <c r="AE366" s="245" t="str">
        <f>IF(ISNUMBER(SEARCH("R", 'Dry_Litterbag Placem_Collection'!$U73)),"YES","NO")</f>
        <v>NO</v>
      </c>
    </row>
    <row r="367" spans="2:31">
      <c r="B367" t="str">
        <f>Dryseason!B513</f>
        <v>Dry</v>
      </c>
      <c r="C367" s="253">
        <f>Dryseason!C513</f>
        <v>72</v>
      </c>
      <c r="D367" t="s">
        <v>3111</v>
      </c>
      <c r="E367" t="s">
        <v>25</v>
      </c>
      <c r="F367" s="375">
        <v>8</v>
      </c>
      <c r="G367" s="376">
        <f>IF('Dry_Litterbag Placem_Collection'!E74="","",'Dry_Litterbag Placem_Collection'!E74)</f>
        <v>42937</v>
      </c>
      <c r="H367" s="92" t="str">
        <f>Dryseason!L513</f>
        <v>G714</v>
      </c>
      <c r="I367" t="str">
        <f>Dryseason!L733</f>
        <v>R191</v>
      </c>
      <c r="J367">
        <f>IFERROR(INDEX('Green_rooibos initial weight'!$C$5:$C$2000,MATCH(H367, 'Green_rooibos initial weight'!$A$5:$A$2000,0)),"")</f>
        <v>2.0459999999999998</v>
      </c>
      <c r="K367">
        <f>IFERROR(INDEX('Green_rooibos initial weight'!$C$5:$C$2000,MATCH(I367, 'Green_rooibos initial weight'!$A$5:$A$2000,0)),"")</f>
        <v>2.1789999999999998</v>
      </c>
      <c r="L367" s="194">
        <f t="shared" si="37"/>
        <v>1.7961999999999998</v>
      </c>
      <c r="M367" s="233">
        <f>AVERAGE(Ashed_controlls!$K$1:$K$11)</f>
        <v>5.5147656768714146</v>
      </c>
      <c r="N367" s="194">
        <f t="shared" si="36"/>
        <v>1.9291999999999998</v>
      </c>
      <c r="O367" s="376">
        <f>IF('Dry_Litterbag Placem_Collection'!G74="","",'Dry_Litterbag Placem_Collection'!G74)</f>
        <v>43006</v>
      </c>
      <c r="P367" s="194">
        <f>IFERROR(INDEX('Both teabags AfterDry'!$D$3:$D$2000,MATCH(H367,'Both teabags AfterDry'!$A$3:$A$2000,0)),"")</f>
        <v>1.8528</v>
      </c>
      <c r="Q367" s="194">
        <f>IFERROR(INDEX('Both teabags AfterDry'!$D$3:$D$2000,MATCH(I367,'Both teabags AfterDry'!$A$3:$A$2000,0)),"")</f>
        <v>1.9675</v>
      </c>
      <c r="R367" s="194">
        <f t="shared" si="38"/>
        <v>1.7021999999999999</v>
      </c>
      <c r="S367" s="194">
        <f t="shared" si="38"/>
        <v>1.8169</v>
      </c>
      <c r="T367" s="194">
        <f t="shared" si="39"/>
        <v>5.2332702371673423E-2</v>
      </c>
      <c r="U367" s="194">
        <f t="shared" si="40"/>
        <v>3.4308374951500853E-2</v>
      </c>
      <c r="V367" s="194">
        <f t="shared" si="41"/>
        <v>0.94178934273273907</v>
      </c>
      <c r="W367">
        <f t="shared" si="42"/>
        <v>69</v>
      </c>
      <c r="X367" s="194">
        <f t="shared" si="43"/>
        <v>0.93784714682699122</v>
      </c>
      <c r="Y367" s="194" t="str">
        <f t="shared" si="44"/>
        <v/>
      </c>
      <c r="Z367" s="245" t="str">
        <f>IF(ISNUMBER(SEARCH("C", 'Dry_Litterbag Placem_Collection'!$V74)),"YES","NO")</f>
        <v>NO</v>
      </c>
      <c r="AA367" s="245" t="str">
        <f>IF(ISNUMBER(SEARCH("H", 'Dry_Litterbag Placem_Collection'!$V74)),"YES","NO")</f>
        <v>NO</v>
      </c>
      <c r="AB367" s="245" t="str">
        <f>IF(ISNUMBER(SEARCH("R", 'Dry_Litterbag Placem_Collection'!$V74)),"YES","NO")</f>
        <v>NO</v>
      </c>
      <c r="AC367" s="245" t="str">
        <f>IF(ISNUMBER(SEARCH("C", 'Dry_Litterbag Placem_Collection'!$U74)),"YES","NO")</f>
        <v>NO</v>
      </c>
      <c r="AD367" s="245" t="str">
        <f>IF(ISNUMBER(SEARCH("H", 'Dry_Litterbag Placem_Collection'!$U74)),"YES","NO")</f>
        <v>NO</v>
      </c>
      <c r="AE367" s="245" t="str">
        <f>IF(ISNUMBER(SEARCH("R", 'Dry_Litterbag Placem_Collection'!$U74)),"YES","NO")</f>
        <v>NO</v>
      </c>
    </row>
    <row r="368" spans="2:31">
      <c r="B368" t="str">
        <f>Dryseason!B514</f>
        <v>Dry</v>
      </c>
      <c r="C368" s="253">
        <f>Dryseason!C514</f>
        <v>73</v>
      </c>
      <c r="D368" t="s">
        <v>3113</v>
      </c>
      <c r="E368" t="s">
        <v>25</v>
      </c>
      <c r="F368" s="374">
        <v>1</v>
      </c>
      <c r="G368" s="376">
        <f>IF('Dry_Litterbag Placem_Collection'!E75="","",'Dry_Litterbag Placem_Collection'!E75)</f>
        <v>42937</v>
      </c>
      <c r="H368" s="92" t="str">
        <f>Dryseason!L514</f>
        <v>G726</v>
      </c>
      <c r="I368" t="str">
        <f>Dryseason!L734</f>
        <v>R160</v>
      </c>
      <c r="J368">
        <f>IFERROR(INDEX('Green_rooibos initial weight'!$C$5:$C$2000,MATCH(H368, 'Green_rooibos initial weight'!$A$5:$A$2000,0)),"")</f>
        <v>1.9950000000000001</v>
      </c>
      <c r="K368">
        <f>IFERROR(INDEX('Green_rooibos initial weight'!$C$5:$C$2000,MATCH(I368, 'Green_rooibos initial weight'!$A$5:$A$2000,0)),"")</f>
        <v>2.1880000000000002</v>
      </c>
      <c r="L368" s="194">
        <f t="shared" si="37"/>
        <v>1.7452000000000001</v>
      </c>
      <c r="M368" s="233">
        <f>AVERAGE(Ashed_controlls!$K$1:$K$11)</f>
        <v>5.5147656768714146</v>
      </c>
      <c r="N368" s="194">
        <f t="shared" si="36"/>
        <v>1.9382000000000001</v>
      </c>
      <c r="O368" s="376">
        <f>IF('Dry_Litterbag Placem_Collection'!G75="","",'Dry_Litterbag Placem_Collection'!G75)</f>
        <v>43006</v>
      </c>
      <c r="P368" s="194" t="str">
        <f>IFERROR(INDEX('Both teabags AfterDry'!$D$3:$D$2000,MATCH(H368,'Both teabags AfterDry'!$A$3:$A$2000,0)),"")</f>
        <v/>
      </c>
      <c r="Q368" s="194" t="str">
        <f>IFERROR(INDEX('Both teabags AfterDry'!$D$3:$D$2000,MATCH(I368,'Both teabags AfterDry'!$A$3:$A$2000,0)),"")</f>
        <v/>
      </c>
      <c r="R368" s="194" t="str">
        <f t="shared" si="38"/>
        <v/>
      </c>
      <c r="S368" s="194" t="str">
        <f t="shared" si="38"/>
        <v/>
      </c>
      <c r="T368" s="194" t="str">
        <f t="shared" si="39"/>
        <v/>
      </c>
      <c r="U368" s="194" t="str">
        <f t="shared" si="40"/>
        <v/>
      </c>
      <c r="V368" s="194" t="str">
        <f t="shared" si="41"/>
        <v/>
      </c>
      <c r="W368">
        <f t="shared" si="42"/>
        <v>69</v>
      </c>
      <c r="X368" s="194" t="str">
        <f t="shared" si="43"/>
        <v/>
      </c>
      <c r="Y368" s="194" t="str">
        <f t="shared" si="44"/>
        <v/>
      </c>
      <c r="Z368" s="245" t="str">
        <f>IF(ISNUMBER(SEARCH("C", 'Dry_Litterbag Placem_Collection'!$V75)),"YES","NO")</f>
        <v>NO</v>
      </c>
      <c r="AA368" s="245" t="str">
        <f>IF(ISNUMBER(SEARCH("H", 'Dry_Litterbag Placem_Collection'!$V75)),"YES","NO")</f>
        <v>NO</v>
      </c>
      <c r="AB368" s="245" t="str">
        <f>IF(ISNUMBER(SEARCH("R", 'Dry_Litterbag Placem_Collection'!$V75)),"YES","NO")</f>
        <v>NO</v>
      </c>
      <c r="AC368" s="245" t="str">
        <f>IF(ISNUMBER(SEARCH("C", 'Dry_Litterbag Placem_Collection'!$U75)),"YES","NO")</f>
        <v>NO</v>
      </c>
      <c r="AD368" s="245" t="str">
        <f>IF(ISNUMBER(SEARCH("H", 'Dry_Litterbag Placem_Collection'!$U75)),"YES","NO")</f>
        <v>NO</v>
      </c>
      <c r="AE368" s="245" t="str">
        <f>IF(ISNUMBER(SEARCH("R", 'Dry_Litterbag Placem_Collection'!$U75)),"YES","NO")</f>
        <v>NO</v>
      </c>
    </row>
    <row r="369" spans="2:31">
      <c r="B369" t="str">
        <f>Dryseason!B515</f>
        <v>Dry</v>
      </c>
      <c r="C369" s="253">
        <f>Dryseason!C515</f>
        <v>74</v>
      </c>
      <c r="D369" t="s">
        <v>3113</v>
      </c>
      <c r="E369" t="s">
        <v>25</v>
      </c>
      <c r="F369" s="374">
        <v>2</v>
      </c>
      <c r="G369" s="376">
        <f>IF('Dry_Litterbag Placem_Collection'!E76="","",'Dry_Litterbag Placem_Collection'!E76)</f>
        <v>42937</v>
      </c>
      <c r="H369" s="92" t="str">
        <f>Dryseason!L515</f>
        <v>G866</v>
      </c>
      <c r="I369" t="str">
        <f>Dryseason!L735</f>
        <v>R275</v>
      </c>
      <c r="J369">
        <f>IFERROR(INDEX('Green_rooibos initial weight'!$C$5:$C$2000,MATCH(H369, 'Green_rooibos initial weight'!$A$5:$A$2000,0)),"")</f>
        <v>2.0310000000000001</v>
      </c>
      <c r="K369">
        <f>IFERROR(INDEX('Green_rooibos initial weight'!$C$5:$C$2000,MATCH(I369, 'Green_rooibos initial weight'!$A$5:$A$2000,0)),"")</f>
        <v>0.22900000000000001</v>
      </c>
      <c r="L369" s="194">
        <f t="shared" si="37"/>
        <v>1.7812000000000001</v>
      </c>
      <c r="M369" s="233">
        <f>AVERAGE(Ashed_controlls!$K$1:$K$11)</f>
        <v>5.5147656768714146</v>
      </c>
      <c r="N369" s="194">
        <f t="shared" si="36"/>
        <v>-2.0800000000000013E-2</v>
      </c>
      <c r="O369" s="376">
        <f>IF('Dry_Litterbag Placem_Collection'!G76="","",'Dry_Litterbag Placem_Collection'!G76)</f>
        <v>43006</v>
      </c>
      <c r="P369" s="194">
        <f>IFERROR(INDEX('Both teabags AfterDry'!$D$3:$D$2000,MATCH(H369,'Both teabags AfterDry'!$A$3:$A$2000,0)),"")</f>
        <v>1.8541000000000001</v>
      </c>
      <c r="Q369" s="194">
        <f>IFERROR(INDEX('Both teabags AfterDry'!$D$3:$D$2000,MATCH(I369,'Both teabags AfterDry'!$A$3:$A$2000,0)),"")</f>
        <v>1.9981</v>
      </c>
      <c r="R369" s="194">
        <f t="shared" si="38"/>
        <v>1.7035</v>
      </c>
      <c r="S369" s="194">
        <f t="shared" si="38"/>
        <v>1.8474999999999999</v>
      </c>
      <c r="T369" s="194">
        <f t="shared" si="39"/>
        <v>4.3622277116550645E-2</v>
      </c>
      <c r="U369" s="194">
        <f t="shared" si="40"/>
        <v>2.859797739707361E-2</v>
      </c>
      <c r="V369" s="194">
        <f t="shared" si="41"/>
        <v>-88.82211538461533</v>
      </c>
      <c r="W369">
        <f t="shared" si="42"/>
        <v>69</v>
      </c>
      <c r="X369" s="194">
        <f t="shared" si="43"/>
        <v>0.94819206993283767</v>
      </c>
      <c r="Y369" s="194" t="str">
        <f t="shared" si="44"/>
        <v/>
      </c>
      <c r="Z369" s="245" t="str">
        <f>IF(ISNUMBER(SEARCH("C", 'Dry_Litterbag Placem_Collection'!$V76)),"YES","NO")</f>
        <v>NO</v>
      </c>
      <c r="AA369" s="245" t="str">
        <f>IF(ISNUMBER(SEARCH("H", 'Dry_Litterbag Placem_Collection'!$V76)),"YES","NO")</f>
        <v>NO</v>
      </c>
      <c r="AB369" s="245" t="str">
        <f>IF(ISNUMBER(SEARCH("R", 'Dry_Litterbag Placem_Collection'!$V76)),"YES","NO")</f>
        <v>NO</v>
      </c>
      <c r="AC369" s="245" t="str">
        <f>IF(ISNUMBER(SEARCH("C", 'Dry_Litterbag Placem_Collection'!$U76)),"YES","NO")</f>
        <v>NO</v>
      </c>
      <c r="AD369" s="245" t="str">
        <f>IF(ISNUMBER(SEARCH("H", 'Dry_Litterbag Placem_Collection'!$U76)),"YES","NO")</f>
        <v>NO</v>
      </c>
      <c r="AE369" s="245" t="str">
        <f>IF(ISNUMBER(SEARCH("R", 'Dry_Litterbag Placem_Collection'!$U76)),"YES","NO")</f>
        <v>NO</v>
      </c>
    </row>
    <row r="370" spans="2:31">
      <c r="B370" t="str">
        <f>Dryseason!B516</f>
        <v>Dry</v>
      </c>
      <c r="C370" s="253">
        <f>Dryseason!C516</f>
        <v>75</v>
      </c>
      <c r="D370" t="s">
        <v>3113</v>
      </c>
      <c r="E370" t="s">
        <v>25</v>
      </c>
      <c r="F370" s="374">
        <v>3</v>
      </c>
      <c r="G370" s="376">
        <f>IF('Dry_Litterbag Placem_Collection'!E77="","",'Dry_Litterbag Placem_Collection'!E77)</f>
        <v>42937</v>
      </c>
      <c r="H370" s="92" t="str">
        <f>Dryseason!L516</f>
        <v>G705</v>
      </c>
      <c r="I370" t="str">
        <f>Dryseason!L736</f>
        <v>R657</v>
      </c>
      <c r="J370">
        <f>IFERROR(INDEX('Green_rooibos initial weight'!$C$5:$C$2000,MATCH(H370, 'Green_rooibos initial weight'!$A$5:$A$2000,0)),"")</f>
        <v>1.9830000000000001</v>
      </c>
      <c r="K370">
        <f>IFERROR(INDEX('Green_rooibos initial weight'!$C$5:$C$2000,MATCH(I370, 'Green_rooibos initial weight'!$A$5:$A$2000,0)),"")</f>
        <v>2.2509999999999999</v>
      </c>
      <c r="L370" s="194">
        <f t="shared" si="37"/>
        <v>1.7332000000000001</v>
      </c>
      <c r="M370" s="233">
        <f>AVERAGE(Ashed_controlls!$K$1:$K$11)</f>
        <v>5.5147656768714146</v>
      </c>
      <c r="N370" s="194">
        <f t="shared" si="36"/>
        <v>2.0011999999999999</v>
      </c>
      <c r="O370" s="376">
        <f>IF('Dry_Litterbag Placem_Collection'!G77="","",'Dry_Litterbag Placem_Collection'!G77)</f>
        <v>43006</v>
      </c>
      <c r="P370" s="194">
        <f>IFERROR(INDEX('Both teabags AfterDry'!$D$3:$D$2000,MATCH(H370,'Both teabags AfterDry'!$A$3:$A$2000,0)),"")</f>
        <v>1.8152999999999999</v>
      </c>
      <c r="Q370" s="194">
        <f>IFERROR(INDEX('Both teabags AfterDry'!$D$3:$D$2000,MATCH(I370,'Both teabags AfterDry'!$A$3:$A$2000,0)),"")</f>
        <v>2.0581999999999998</v>
      </c>
      <c r="R370" s="194">
        <f t="shared" si="38"/>
        <v>1.6646999999999998</v>
      </c>
      <c r="S370" s="194">
        <f t="shared" si="38"/>
        <v>1.9075999999999997</v>
      </c>
      <c r="T370" s="194">
        <f t="shared" si="39"/>
        <v>3.9522270943918913E-2</v>
      </c>
      <c r="U370" s="194">
        <f t="shared" si="40"/>
        <v>2.5910087364659457E-2</v>
      </c>
      <c r="V370" s="194">
        <f t="shared" si="41"/>
        <v>0.95322806316210262</v>
      </c>
      <c r="W370">
        <f t="shared" si="42"/>
        <v>69</v>
      </c>
      <c r="X370" s="194">
        <f t="shared" si="43"/>
        <v>0.95306143593358794</v>
      </c>
      <c r="Y370" s="194" t="str">
        <f t="shared" si="44"/>
        <v/>
      </c>
      <c r="Z370" s="245" t="str">
        <f>IF(ISNUMBER(SEARCH("C", 'Dry_Litterbag Placem_Collection'!$V77)),"YES","NO")</f>
        <v>NO</v>
      </c>
      <c r="AA370" s="245" t="str">
        <f>IF(ISNUMBER(SEARCH("H", 'Dry_Litterbag Placem_Collection'!$V77)),"YES","NO")</f>
        <v>NO</v>
      </c>
      <c r="AB370" s="245" t="str">
        <f>IF(ISNUMBER(SEARCH("R", 'Dry_Litterbag Placem_Collection'!$V77)),"YES","NO")</f>
        <v>NO</v>
      </c>
      <c r="AC370" s="245" t="str">
        <f>IF(ISNUMBER(SEARCH("C", 'Dry_Litterbag Placem_Collection'!$U77)),"YES","NO")</f>
        <v>NO</v>
      </c>
      <c r="AD370" s="245" t="str">
        <f>IF(ISNUMBER(SEARCH("H", 'Dry_Litterbag Placem_Collection'!$U77)),"YES","NO")</f>
        <v>NO</v>
      </c>
      <c r="AE370" s="245" t="str">
        <f>IF(ISNUMBER(SEARCH("R", 'Dry_Litterbag Placem_Collection'!$U77)),"YES","NO")</f>
        <v>NO</v>
      </c>
    </row>
    <row r="371" spans="2:31">
      <c r="B371" t="str">
        <f>Dryseason!B517</f>
        <v>Dry</v>
      </c>
      <c r="C371" s="253">
        <f>Dryseason!C517</f>
        <v>76</v>
      </c>
      <c r="D371" t="s">
        <v>3113</v>
      </c>
      <c r="E371" t="s">
        <v>25</v>
      </c>
      <c r="F371" s="375">
        <v>4</v>
      </c>
      <c r="G371" s="376">
        <f>IF('Dry_Litterbag Placem_Collection'!E78="","",'Dry_Litterbag Placem_Collection'!E78)</f>
        <v>42937</v>
      </c>
      <c r="H371" s="92" t="str">
        <f>Dryseason!L517</f>
        <v>G601</v>
      </c>
      <c r="I371" t="str">
        <f>Dryseason!L737</f>
        <v>R306</v>
      </c>
      <c r="J371">
        <f>IFERROR(INDEX('Green_rooibos initial weight'!$C$5:$C$2000,MATCH(H371, 'Green_rooibos initial weight'!$A$5:$A$2000,0)),"")</f>
        <v>2.0099999999999998</v>
      </c>
      <c r="K371">
        <f>IFERROR(INDEX('Green_rooibos initial weight'!$C$5:$C$2000,MATCH(I371, 'Green_rooibos initial weight'!$A$5:$A$2000,0)),"")</f>
        <v>2.2440000000000002</v>
      </c>
      <c r="L371" s="194">
        <f t="shared" si="37"/>
        <v>1.7601999999999998</v>
      </c>
      <c r="M371" s="233">
        <f>AVERAGE(Ashed_controlls!$K$1:$K$11)</f>
        <v>5.5147656768714146</v>
      </c>
      <c r="N371" s="194">
        <f t="shared" si="36"/>
        <v>1.9942000000000002</v>
      </c>
      <c r="O371" s="376">
        <f>IF('Dry_Litterbag Placem_Collection'!G78="","",'Dry_Litterbag Placem_Collection'!G78)</f>
        <v>43006</v>
      </c>
      <c r="P371" s="194">
        <f>IFERROR(INDEX('Both teabags AfterDry'!$D$3:$D$2000,MATCH(H371,'Both teabags AfterDry'!$A$3:$A$2000,0)),"")</f>
        <v>1.8379000000000001</v>
      </c>
      <c r="Q371" s="194">
        <f>IFERROR(INDEX('Both teabags AfterDry'!$D$3:$D$2000,MATCH(I371,'Both teabags AfterDry'!$A$3:$A$2000,0)),"")</f>
        <v>2.0337999999999998</v>
      </c>
      <c r="R371" s="194">
        <f t="shared" si="38"/>
        <v>1.6873</v>
      </c>
      <c r="S371" s="194">
        <f t="shared" si="38"/>
        <v>1.8831999999999998</v>
      </c>
      <c r="T371" s="194">
        <f t="shared" si="39"/>
        <v>4.1415748210430481E-2</v>
      </c>
      <c r="U371" s="194">
        <f t="shared" si="40"/>
        <v>2.7151416879047059E-2</v>
      </c>
      <c r="V371" s="194">
        <f t="shared" si="41"/>
        <v>0.94433858188747344</v>
      </c>
      <c r="W371">
        <f t="shared" si="42"/>
        <v>69</v>
      </c>
      <c r="X371" s="194">
        <f t="shared" si="43"/>
        <v>0.95081265058143649</v>
      </c>
      <c r="Y371" s="194" t="str">
        <f t="shared" si="44"/>
        <v/>
      </c>
      <c r="Z371" s="245" t="str">
        <f>IF(ISNUMBER(SEARCH("C", 'Dry_Litterbag Placem_Collection'!$V78)),"YES","NO")</f>
        <v>NO</v>
      </c>
      <c r="AA371" s="245" t="str">
        <f>IF(ISNUMBER(SEARCH("H", 'Dry_Litterbag Placem_Collection'!$V78)),"YES","NO")</f>
        <v>NO</v>
      </c>
      <c r="AB371" s="245" t="str">
        <f>IF(ISNUMBER(SEARCH("R", 'Dry_Litterbag Placem_Collection'!$V78)),"YES","NO")</f>
        <v>NO</v>
      </c>
      <c r="AC371" s="245" t="str">
        <f>IF(ISNUMBER(SEARCH("C", 'Dry_Litterbag Placem_Collection'!$U78)),"YES","NO")</f>
        <v>NO</v>
      </c>
      <c r="AD371" s="245" t="str">
        <f>IF(ISNUMBER(SEARCH("H", 'Dry_Litterbag Placem_Collection'!$U78)),"YES","NO")</f>
        <v>NO</v>
      </c>
      <c r="AE371" s="245" t="str">
        <f>IF(ISNUMBER(SEARCH("R", 'Dry_Litterbag Placem_Collection'!$U78)),"YES","NO")</f>
        <v>NO</v>
      </c>
    </row>
    <row r="372" spans="2:31">
      <c r="B372" t="str">
        <f>Dryseason!B518</f>
        <v>Dry</v>
      </c>
      <c r="C372" s="253">
        <f>Dryseason!C518</f>
        <v>77</v>
      </c>
      <c r="D372" t="s">
        <v>3113</v>
      </c>
      <c r="E372" t="s">
        <v>25</v>
      </c>
      <c r="F372" s="375">
        <v>5</v>
      </c>
      <c r="G372" s="376" t="str">
        <f>IF('Dry_Litterbag Placem_Collection'!E79="","",'Dry_Litterbag Placem_Collection'!E79)</f>
        <v/>
      </c>
      <c r="H372" s="92" t="str">
        <f>Dryseason!L518</f>
        <v/>
      </c>
      <c r="I372" t="str">
        <f>Dryseason!L738</f>
        <v/>
      </c>
      <c r="J372" t="str">
        <f>IFERROR(INDEX('Green_rooibos initial weight'!$C$5:$C$2000,MATCH(H372, 'Green_rooibos initial weight'!$A$5:$A$2000,0)),"")</f>
        <v/>
      </c>
      <c r="K372" t="str">
        <f>IFERROR(INDEX('Green_rooibos initial weight'!$C$5:$C$2000,MATCH(I372, 'Green_rooibos initial weight'!$A$5:$A$2000,0)),"")</f>
        <v/>
      </c>
      <c r="L372" s="194" t="str">
        <f t="shared" si="37"/>
        <v/>
      </c>
      <c r="M372" s="233">
        <f>AVERAGE(Ashed_controlls!$K$1:$K$11)</f>
        <v>5.5147656768714146</v>
      </c>
      <c r="N372" s="194" t="str">
        <f t="shared" si="36"/>
        <v/>
      </c>
      <c r="O372" s="376" t="str">
        <f>IF('Dry_Litterbag Placem_Collection'!G79="","",'Dry_Litterbag Placem_Collection'!G79)</f>
        <v/>
      </c>
      <c r="P372" s="194" t="str">
        <f>IFERROR(INDEX('Both teabags AfterDry'!$D$3:$D$2000,MATCH(H372,'Both teabags AfterDry'!$A$3:$A$2000,0)),"")</f>
        <v/>
      </c>
      <c r="Q372" s="194" t="str">
        <f>IFERROR(INDEX('Both teabags AfterDry'!$D$3:$D$2000,MATCH(I372,'Both teabags AfterDry'!$A$3:$A$2000,0)),"")</f>
        <v/>
      </c>
      <c r="R372" s="194" t="str">
        <f t="shared" si="38"/>
        <v/>
      </c>
      <c r="S372" s="194" t="str">
        <f t="shared" si="38"/>
        <v/>
      </c>
      <c r="T372" s="194" t="str">
        <f t="shared" si="39"/>
        <v/>
      </c>
      <c r="U372" s="194" t="str">
        <f t="shared" si="40"/>
        <v/>
      </c>
      <c r="V372" s="194" t="str">
        <f t="shared" si="41"/>
        <v/>
      </c>
      <c r="W372" t="str">
        <f t="shared" si="42"/>
        <v/>
      </c>
      <c r="X372" s="194" t="str">
        <f t="shared" si="43"/>
        <v/>
      </c>
      <c r="Y372" s="194" t="str">
        <f t="shared" si="44"/>
        <v/>
      </c>
      <c r="Z372" s="245" t="str">
        <f>IF(ISNUMBER(SEARCH("C", 'Dry_Litterbag Placem_Collection'!$V79)),"YES","NO")</f>
        <v>NO</v>
      </c>
      <c r="AA372" s="245" t="str">
        <f>IF(ISNUMBER(SEARCH("H", 'Dry_Litterbag Placem_Collection'!$V79)),"YES","NO")</f>
        <v>NO</v>
      </c>
      <c r="AB372" s="245" t="str">
        <f>IF(ISNUMBER(SEARCH("R", 'Dry_Litterbag Placem_Collection'!$V79)),"YES","NO")</f>
        <v>NO</v>
      </c>
      <c r="AC372" s="245" t="str">
        <f>IF(ISNUMBER(SEARCH("C", 'Dry_Litterbag Placem_Collection'!$U79)),"YES","NO")</f>
        <v>NO</v>
      </c>
      <c r="AD372" s="245" t="str">
        <f>IF(ISNUMBER(SEARCH("H", 'Dry_Litterbag Placem_Collection'!$U79)),"YES","NO")</f>
        <v>NO</v>
      </c>
      <c r="AE372" s="245" t="str">
        <f>IF(ISNUMBER(SEARCH("R", 'Dry_Litterbag Placem_Collection'!$U79)),"YES","NO")</f>
        <v>NO</v>
      </c>
    </row>
    <row r="373" spans="2:31">
      <c r="B373" t="str">
        <f>Dryseason!B519</f>
        <v>Dry</v>
      </c>
      <c r="C373" s="253">
        <f>Dryseason!C519</f>
        <v>78</v>
      </c>
      <c r="D373" t="s">
        <v>3113</v>
      </c>
      <c r="E373" t="s">
        <v>25</v>
      </c>
      <c r="F373" s="375">
        <v>6</v>
      </c>
      <c r="G373" s="376">
        <f>IF('Dry_Litterbag Placem_Collection'!E80="","",'Dry_Litterbag Placem_Collection'!E80)</f>
        <v>42937</v>
      </c>
      <c r="H373" s="92" t="str">
        <f>Dryseason!L519</f>
        <v>G157</v>
      </c>
      <c r="I373" t="str">
        <f>Dryseason!L739</f>
        <v>R377</v>
      </c>
      <c r="J373">
        <f>IFERROR(INDEX('Green_rooibos initial weight'!$C$5:$C$2000,MATCH(H373, 'Green_rooibos initial weight'!$A$5:$A$2000,0)),"")</f>
        <v>1.994</v>
      </c>
      <c r="K373">
        <f>IFERROR(INDEX('Green_rooibos initial weight'!$C$5:$C$2000,MATCH(I373, 'Green_rooibos initial weight'!$A$5:$A$2000,0)),"")</f>
        <v>2.2309999999999999</v>
      </c>
      <c r="L373" s="194">
        <f t="shared" si="37"/>
        <v>1.7442</v>
      </c>
      <c r="M373" s="233">
        <f>AVERAGE(Ashed_controlls!$K$1:$K$11)</f>
        <v>5.5147656768714146</v>
      </c>
      <c r="N373" s="194">
        <f t="shared" si="36"/>
        <v>1.9811999999999999</v>
      </c>
      <c r="O373" s="376">
        <f>IF('Dry_Litterbag Placem_Collection'!G80="","",'Dry_Litterbag Placem_Collection'!G80)</f>
        <v>43006</v>
      </c>
      <c r="P373" s="194">
        <f>IFERROR(INDEX('Both teabags AfterDry'!$D$3:$D$2000,MATCH(H373,'Both teabags AfterDry'!$A$3:$A$2000,0)),"")</f>
        <v>1.8103</v>
      </c>
      <c r="Q373" s="194">
        <f>IFERROR(INDEX('Both teabags AfterDry'!$D$3:$D$2000,MATCH(I373,'Both teabags AfterDry'!$A$3:$A$2000,0)),"")</f>
        <v>1.9925999999999999</v>
      </c>
      <c r="R373" s="194">
        <f t="shared" si="38"/>
        <v>1.6597</v>
      </c>
      <c r="S373" s="194">
        <f t="shared" si="38"/>
        <v>1.8419999999999999</v>
      </c>
      <c r="T373" s="194">
        <f t="shared" si="39"/>
        <v>4.8446279096433953E-2</v>
      </c>
      <c r="U373" s="194">
        <f t="shared" si="40"/>
        <v>3.1760506010963849E-2</v>
      </c>
      <c r="V373" s="194">
        <f t="shared" si="41"/>
        <v>0.9297395517867959</v>
      </c>
      <c r="W373">
        <f t="shared" si="42"/>
        <v>69</v>
      </c>
      <c r="X373" s="194">
        <f t="shared" si="43"/>
        <v>0.94246285142941333</v>
      </c>
      <c r="Y373" s="194" t="str">
        <f t="shared" si="44"/>
        <v/>
      </c>
      <c r="Z373" s="245" t="str">
        <f>IF(ISNUMBER(SEARCH("C", 'Dry_Litterbag Placem_Collection'!$V80)),"YES","NO")</f>
        <v>NO</v>
      </c>
      <c r="AA373" s="245" t="str">
        <f>IF(ISNUMBER(SEARCH("H", 'Dry_Litterbag Placem_Collection'!$V80)),"YES","NO")</f>
        <v>NO</v>
      </c>
      <c r="AB373" s="245" t="str">
        <f>IF(ISNUMBER(SEARCH("R", 'Dry_Litterbag Placem_Collection'!$V80)),"YES","NO")</f>
        <v>NO</v>
      </c>
      <c r="AC373" s="245" t="str">
        <f>IF(ISNUMBER(SEARCH("C", 'Dry_Litterbag Placem_Collection'!$U80)),"YES","NO")</f>
        <v>NO</v>
      </c>
      <c r="AD373" s="245" t="str">
        <f>IF(ISNUMBER(SEARCH("H", 'Dry_Litterbag Placem_Collection'!$U80)),"YES","NO")</f>
        <v>NO</v>
      </c>
      <c r="AE373" s="245" t="str">
        <f>IF(ISNUMBER(SEARCH("R", 'Dry_Litterbag Placem_Collection'!$U80)),"YES","NO")</f>
        <v>NO</v>
      </c>
    </row>
    <row r="374" spans="2:31">
      <c r="B374" t="str">
        <f>Dryseason!B520</f>
        <v>Dry</v>
      </c>
      <c r="C374" s="253">
        <f>Dryseason!C520</f>
        <v>79</v>
      </c>
      <c r="D374" t="s">
        <v>3113</v>
      </c>
      <c r="E374" t="s">
        <v>25</v>
      </c>
      <c r="F374" s="375">
        <v>7</v>
      </c>
      <c r="G374" s="376">
        <f>IF('Dry_Litterbag Placem_Collection'!E81="","",'Dry_Litterbag Placem_Collection'!E81)</f>
        <v>42937</v>
      </c>
      <c r="H374" s="92" t="str">
        <f>Dryseason!L520</f>
        <v>G226</v>
      </c>
      <c r="I374" t="str">
        <f>Dryseason!L740</f>
        <v>R61</v>
      </c>
      <c r="J374">
        <f>IFERROR(INDEX('Green_rooibos initial weight'!$C$5:$C$2000,MATCH(H374, 'Green_rooibos initial weight'!$A$5:$A$2000,0)),"")</f>
        <v>1.929</v>
      </c>
      <c r="K374">
        <f>IFERROR(INDEX('Green_rooibos initial weight'!$C$5:$C$2000,MATCH(I374, 'Green_rooibos initial weight'!$A$5:$A$2000,0)),"")</f>
        <v>2.2450000000000001</v>
      </c>
      <c r="L374" s="194">
        <f t="shared" si="37"/>
        <v>1.6792</v>
      </c>
      <c r="M374" s="233">
        <f>AVERAGE(Ashed_controlls!$K$1:$K$11)</f>
        <v>5.5147656768714146</v>
      </c>
      <c r="N374" s="194">
        <f t="shared" si="36"/>
        <v>1.9952000000000001</v>
      </c>
      <c r="O374" s="376">
        <f>IF('Dry_Litterbag Placem_Collection'!G81="","",'Dry_Litterbag Placem_Collection'!G81)</f>
        <v>43006</v>
      </c>
      <c r="P374" s="194">
        <f>IFERROR(INDEX('Both teabags AfterDry'!$D$3:$D$2000,MATCH(H374,'Both teabags AfterDry'!$A$3:$A$2000,0)),"")</f>
        <v>1.7826</v>
      </c>
      <c r="Q374" s="194">
        <f>IFERROR(INDEX('Both teabags AfterDry'!$D$3:$D$2000,MATCH(I374,'Both teabags AfterDry'!$A$3:$A$2000,0)),"")</f>
        <v>1.9782999999999999</v>
      </c>
      <c r="R374" s="194">
        <f t="shared" si="38"/>
        <v>1.6319999999999999</v>
      </c>
      <c r="S374" s="194">
        <f t="shared" si="38"/>
        <v>1.8276999999999999</v>
      </c>
      <c r="T374" s="194">
        <f t="shared" si="39"/>
        <v>2.810862315388285E-2</v>
      </c>
      <c r="U374" s="194">
        <f t="shared" si="40"/>
        <v>1.842750591560964E-2</v>
      </c>
      <c r="V374" s="194">
        <f t="shared" si="41"/>
        <v>0.91604851643945462</v>
      </c>
      <c r="W374">
        <f t="shared" si="42"/>
        <v>69</v>
      </c>
      <c r="X374" s="194">
        <f t="shared" si="43"/>
        <v>0.96661683710940283</v>
      </c>
      <c r="Y374" s="194" t="str">
        <f t="shared" si="44"/>
        <v/>
      </c>
      <c r="Z374" s="245" t="str">
        <f>IF(ISNUMBER(SEARCH("C", 'Dry_Litterbag Placem_Collection'!$V81)),"YES","NO")</f>
        <v>NO</v>
      </c>
      <c r="AA374" s="245" t="str">
        <f>IF(ISNUMBER(SEARCH("H", 'Dry_Litterbag Placem_Collection'!$V81)),"YES","NO")</f>
        <v>NO</v>
      </c>
      <c r="AB374" s="245" t="str">
        <f>IF(ISNUMBER(SEARCH("R", 'Dry_Litterbag Placem_Collection'!$V81)),"YES","NO")</f>
        <v>NO</v>
      </c>
      <c r="AC374" s="245" t="str">
        <f>IF(ISNUMBER(SEARCH("C", 'Dry_Litterbag Placem_Collection'!$U81)),"YES","NO")</f>
        <v>NO</v>
      </c>
      <c r="AD374" s="245" t="str">
        <f>IF(ISNUMBER(SEARCH("H", 'Dry_Litterbag Placem_Collection'!$U81)),"YES","NO")</f>
        <v>NO</v>
      </c>
      <c r="AE374" s="245" t="str">
        <f>IF(ISNUMBER(SEARCH("R", 'Dry_Litterbag Placem_Collection'!$U81)),"YES","NO")</f>
        <v>NO</v>
      </c>
    </row>
    <row r="375" spans="2:31">
      <c r="B375" t="str">
        <f>Dryseason!B521</f>
        <v>Dry</v>
      </c>
      <c r="C375" s="253">
        <f>Dryseason!C521</f>
        <v>80</v>
      </c>
      <c r="D375" t="s">
        <v>3113</v>
      </c>
      <c r="E375" t="s">
        <v>25</v>
      </c>
      <c r="F375" s="375">
        <v>8</v>
      </c>
      <c r="G375" s="376">
        <f>IF('Dry_Litterbag Placem_Collection'!E82="","",'Dry_Litterbag Placem_Collection'!E82)</f>
        <v>42937</v>
      </c>
      <c r="H375" s="92" t="str">
        <f>Dryseason!L521</f>
        <v>G855</v>
      </c>
      <c r="I375" t="str">
        <f>Dryseason!L741</f>
        <v>R620</v>
      </c>
      <c r="J375">
        <f>IFERROR(INDEX('Green_rooibos initial weight'!$C$5:$C$2000,MATCH(H375, 'Green_rooibos initial weight'!$A$5:$A$2000,0)),"")</f>
        <v>1.9570000000000001</v>
      </c>
      <c r="K375">
        <f>IFERROR(INDEX('Green_rooibos initial weight'!$C$5:$C$2000,MATCH(I375, 'Green_rooibos initial weight'!$A$5:$A$2000,0)),"")</f>
        <v>2.1800000000000002</v>
      </c>
      <c r="L375" s="194">
        <f t="shared" si="37"/>
        <v>1.7072000000000001</v>
      </c>
      <c r="M375" s="233">
        <f>AVERAGE(Ashed_controlls!$K$1:$K$11)</f>
        <v>5.5147656768714146</v>
      </c>
      <c r="N375" s="194">
        <f t="shared" si="36"/>
        <v>1.9302000000000001</v>
      </c>
      <c r="O375" s="376">
        <f>IF('Dry_Litterbag Placem_Collection'!G82="","",'Dry_Litterbag Placem_Collection'!G82)</f>
        <v>43006</v>
      </c>
      <c r="P375" s="194">
        <f>IFERROR(INDEX('Both teabags AfterDry'!$D$3:$D$2000,MATCH(H375,'Both teabags AfterDry'!$A$3:$A$2000,0)),"")</f>
        <v>1.7664</v>
      </c>
      <c r="Q375" s="194">
        <f>IFERROR(INDEX('Both teabags AfterDry'!$D$3:$D$2000,MATCH(I375,'Both teabags AfterDry'!$A$3:$A$2000,0)),"")</f>
        <v>2.0047999999999999</v>
      </c>
      <c r="R375" s="194">
        <f t="shared" si="38"/>
        <v>1.6157999999999999</v>
      </c>
      <c r="S375" s="194">
        <f t="shared" si="38"/>
        <v>1.8541999999999998</v>
      </c>
      <c r="T375" s="194">
        <f t="shared" si="39"/>
        <v>5.3537956888472404E-2</v>
      </c>
      <c r="U375" s="194">
        <f t="shared" si="40"/>
        <v>3.5098518055150588E-2</v>
      </c>
      <c r="V375" s="194">
        <f t="shared" si="41"/>
        <v>0.96062584188167011</v>
      </c>
      <c r="W375">
        <f t="shared" si="42"/>
        <v>69</v>
      </c>
      <c r="X375" s="194">
        <f t="shared" si="43"/>
        <v>0.93641572816095908</v>
      </c>
      <c r="Y375" s="194" t="str">
        <f t="shared" si="44"/>
        <v/>
      </c>
      <c r="Z375" s="245" t="str">
        <f>IF(ISNUMBER(SEARCH("C", 'Dry_Litterbag Placem_Collection'!$V82)),"YES","NO")</f>
        <v>NO</v>
      </c>
      <c r="AA375" s="245" t="str">
        <f>IF(ISNUMBER(SEARCH("H", 'Dry_Litterbag Placem_Collection'!$V82)),"YES","NO")</f>
        <v>NO</v>
      </c>
      <c r="AB375" s="245" t="str">
        <f>IF(ISNUMBER(SEARCH("R", 'Dry_Litterbag Placem_Collection'!$V82)),"YES","NO")</f>
        <v>NO</v>
      </c>
      <c r="AC375" s="245" t="str">
        <f>IF(ISNUMBER(SEARCH("C", 'Dry_Litterbag Placem_Collection'!$U82)),"YES","NO")</f>
        <v>NO</v>
      </c>
      <c r="AD375" s="245" t="str">
        <f>IF(ISNUMBER(SEARCH("H", 'Dry_Litterbag Placem_Collection'!$U82)),"YES","NO")</f>
        <v>NO</v>
      </c>
      <c r="AE375" s="245" t="str">
        <f>IF(ISNUMBER(SEARCH("R", 'Dry_Litterbag Placem_Collection'!$U82)),"YES","NO")</f>
        <v>NO</v>
      </c>
    </row>
    <row r="376" spans="2:31">
      <c r="B376" t="str">
        <f>Dryseason!B522</f>
        <v>Dry</v>
      </c>
      <c r="C376" s="253">
        <f>Dryseason!C522</f>
        <v>81</v>
      </c>
      <c r="D376" t="s">
        <v>3114</v>
      </c>
      <c r="E376" t="s">
        <v>25</v>
      </c>
      <c r="F376" s="374">
        <v>1</v>
      </c>
      <c r="G376" s="376">
        <f>IF('Dry_Litterbag Placem_Collection'!E83="","",'Dry_Litterbag Placem_Collection'!E83)</f>
        <v>42937</v>
      </c>
      <c r="H376" s="92" t="str">
        <f>Dryseason!L522</f>
        <v>G413</v>
      </c>
      <c r="I376" t="str">
        <f>Dryseason!L742</f>
        <v>R366</v>
      </c>
      <c r="J376">
        <f>IFERROR(INDEX('Green_rooibos initial weight'!$C$5:$C$2000,MATCH(H376, 'Green_rooibos initial weight'!$A$5:$A$2000,0)),"")</f>
        <v>2.1589999999999998</v>
      </c>
      <c r="K376">
        <f>IFERROR(INDEX('Green_rooibos initial weight'!$C$5:$C$2000,MATCH(I376, 'Green_rooibos initial weight'!$A$5:$A$2000,0)),"")</f>
        <v>2.2330000000000001</v>
      </c>
      <c r="L376" s="194">
        <f t="shared" si="37"/>
        <v>1.9091999999999998</v>
      </c>
      <c r="M376" s="233">
        <f>AVERAGE(Ashed_controlls!$K$1:$K$11)</f>
        <v>5.5147656768714146</v>
      </c>
      <c r="N376" s="194">
        <f t="shared" si="36"/>
        <v>1.9832000000000001</v>
      </c>
      <c r="O376" s="376">
        <f>IF('Dry_Litterbag Placem_Collection'!G83="","",'Dry_Litterbag Placem_Collection'!G83)</f>
        <v>43006</v>
      </c>
      <c r="P376" s="194">
        <f>IFERROR(INDEX('Both teabags AfterDry'!$D$3:$D$2000,MATCH(H376,'Both teabags AfterDry'!$A$3:$A$2000,0)),"")</f>
        <v>1.9466000000000001</v>
      </c>
      <c r="Q376" s="194">
        <f>IFERROR(INDEX('Both teabags AfterDry'!$D$3:$D$2000,MATCH(I376,'Both teabags AfterDry'!$A$3:$A$2000,0)),"")</f>
        <v>1.9832000000000001</v>
      </c>
      <c r="R376" s="194">
        <f t="shared" si="38"/>
        <v>1.796</v>
      </c>
      <c r="S376" s="194">
        <f t="shared" si="38"/>
        <v>1.8326</v>
      </c>
      <c r="T376" s="194">
        <f t="shared" si="39"/>
        <v>5.9291849989524303E-2</v>
      </c>
      <c r="U376" s="194">
        <f t="shared" si="40"/>
        <v>3.8870666501445862E-2</v>
      </c>
      <c r="V376" s="194">
        <f t="shared" si="41"/>
        <v>0.92406212182331582</v>
      </c>
      <c r="W376">
        <f t="shared" si="42"/>
        <v>69</v>
      </c>
      <c r="X376" s="194">
        <f t="shared" si="43"/>
        <v>0.92958212590317779</v>
      </c>
      <c r="Y376" s="194" t="str">
        <f t="shared" si="44"/>
        <v/>
      </c>
      <c r="Z376" s="245" t="str">
        <f>IF(ISNUMBER(SEARCH("C", 'Dry_Litterbag Placem_Collection'!$V83)),"YES","NO")</f>
        <v>NO</v>
      </c>
      <c r="AA376" s="245" t="str">
        <f>IF(ISNUMBER(SEARCH("H", 'Dry_Litterbag Placem_Collection'!$V83)),"YES","NO")</f>
        <v>NO</v>
      </c>
      <c r="AB376" s="245" t="str">
        <f>IF(ISNUMBER(SEARCH("R", 'Dry_Litterbag Placem_Collection'!$V83)),"YES","NO")</f>
        <v>NO</v>
      </c>
      <c r="AC376" s="245" t="str">
        <f>IF(ISNUMBER(SEARCH("C", 'Dry_Litterbag Placem_Collection'!$U83)),"YES","NO")</f>
        <v>NO</v>
      </c>
      <c r="AD376" s="245" t="str">
        <f>IF(ISNUMBER(SEARCH("H", 'Dry_Litterbag Placem_Collection'!$U83)),"YES","NO")</f>
        <v>NO</v>
      </c>
      <c r="AE376" s="245" t="str">
        <f>IF(ISNUMBER(SEARCH("R", 'Dry_Litterbag Placem_Collection'!$U83)),"YES","NO")</f>
        <v>NO</v>
      </c>
    </row>
    <row r="377" spans="2:31">
      <c r="B377" t="str">
        <f>Dryseason!B523</f>
        <v>Dry</v>
      </c>
      <c r="C377" s="253">
        <f>Dryseason!C523</f>
        <v>82</v>
      </c>
      <c r="D377" t="s">
        <v>3114</v>
      </c>
      <c r="E377" t="s">
        <v>25</v>
      </c>
      <c r="F377" s="374">
        <v>2</v>
      </c>
      <c r="G377" s="376">
        <f>IF('Dry_Litterbag Placem_Collection'!E84="","",'Dry_Litterbag Placem_Collection'!E84)</f>
        <v>42937</v>
      </c>
      <c r="H377" s="92" t="str">
        <f>Dryseason!L523</f>
        <v>G370</v>
      </c>
      <c r="I377" t="str">
        <f>Dryseason!L743</f>
        <v>R610</v>
      </c>
      <c r="J377">
        <f>IFERROR(INDEX('Green_rooibos initial weight'!$C$5:$C$2000,MATCH(H377, 'Green_rooibos initial weight'!$A$5:$A$2000,0)),"")</f>
        <v>2.0619999999999998</v>
      </c>
      <c r="K377">
        <f>IFERROR(INDEX('Green_rooibos initial weight'!$C$5:$C$2000,MATCH(I377, 'Green_rooibos initial weight'!$A$5:$A$2000,0)),"")</f>
        <v>2.1230000000000002</v>
      </c>
      <c r="L377" s="194">
        <f t="shared" si="37"/>
        <v>1.8121999999999998</v>
      </c>
      <c r="M377" s="233">
        <f>AVERAGE(Ashed_controlls!$K$1:$K$11)</f>
        <v>5.5147656768714146</v>
      </c>
      <c r="N377" s="194">
        <f t="shared" si="36"/>
        <v>1.8732000000000002</v>
      </c>
      <c r="O377" s="376">
        <f>IF('Dry_Litterbag Placem_Collection'!G84="","",'Dry_Litterbag Placem_Collection'!G84)</f>
        <v>43006</v>
      </c>
      <c r="P377" s="194">
        <f>IFERROR(INDEX('Both teabags AfterDry'!$D$3:$D$2000,MATCH(H377,'Both teabags AfterDry'!$A$3:$A$2000,0)),"")</f>
        <v>1.8433999999999999</v>
      </c>
      <c r="Q377" s="194">
        <f>IFERROR(INDEX('Both teabags AfterDry'!$D$3:$D$2000,MATCH(I377,'Both teabags AfterDry'!$A$3:$A$2000,0)),"")</f>
        <v>1.9097999999999999</v>
      </c>
      <c r="R377" s="194">
        <f t="shared" si="38"/>
        <v>1.6927999999999999</v>
      </c>
      <c r="S377" s="194">
        <f t="shared" si="38"/>
        <v>1.7591999999999999</v>
      </c>
      <c r="T377" s="194">
        <f t="shared" si="39"/>
        <v>6.5886767464959695E-2</v>
      </c>
      <c r="U377" s="194">
        <f t="shared" si="40"/>
        <v>4.3194175345199232E-2</v>
      </c>
      <c r="V377" s="194">
        <f t="shared" si="41"/>
        <v>0.93914157591287617</v>
      </c>
      <c r="W377">
        <f t="shared" si="42"/>
        <v>69</v>
      </c>
      <c r="X377" s="194">
        <f t="shared" si="43"/>
        <v>0.92174968234565358</v>
      </c>
      <c r="Y377" s="194" t="str">
        <f t="shared" si="44"/>
        <v/>
      </c>
      <c r="Z377" s="245" t="str">
        <f>IF(ISNUMBER(SEARCH("C", 'Dry_Litterbag Placem_Collection'!$V84)),"YES","NO")</f>
        <v>NO</v>
      </c>
      <c r="AA377" s="245" t="str">
        <f>IF(ISNUMBER(SEARCH("H", 'Dry_Litterbag Placem_Collection'!$V84)),"YES","NO")</f>
        <v>NO</v>
      </c>
      <c r="AB377" s="245" t="str">
        <f>IF(ISNUMBER(SEARCH("R", 'Dry_Litterbag Placem_Collection'!$V84)),"YES","NO")</f>
        <v>NO</v>
      </c>
      <c r="AC377" s="245" t="str">
        <f>IF(ISNUMBER(SEARCH("C", 'Dry_Litterbag Placem_Collection'!$U84)),"YES","NO")</f>
        <v>NO</v>
      </c>
      <c r="AD377" s="245" t="str">
        <f>IF(ISNUMBER(SEARCH("H", 'Dry_Litterbag Placem_Collection'!$U84)),"YES","NO")</f>
        <v>NO</v>
      </c>
      <c r="AE377" s="245" t="str">
        <f>IF(ISNUMBER(SEARCH("R", 'Dry_Litterbag Placem_Collection'!$U84)),"YES","NO")</f>
        <v>NO</v>
      </c>
    </row>
    <row r="378" spans="2:31">
      <c r="B378" t="str">
        <f>Dryseason!B524</f>
        <v>Dry</v>
      </c>
      <c r="C378" s="253">
        <f>Dryseason!C524</f>
        <v>83</v>
      </c>
      <c r="D378" t="s">
        <v>3114</v>
      </c>
      <c r="E378" t="s">
        <v>25</v>
      </c>
      <c r="F378" s="374">
        <v>3</v>
      </c>
      <c r="G378" s="376">
        <f>IF('Dry_Litterbag Placem_Collection'!E85="","",'Dry_Litterbag Placem_Collection'!E85)</f>
        <v>42937</v>
      </c>
      <c r="H378" s="92" t="str">
        <f>Dryseason!L524</f>
        <v>G879</v>
      </c>
      <c r="I378" t="str">
        <f>Dryseason!L744</f>
        <v>R614</v>
      </c>
      <c r="J378">
        <f>IFERROR(INDEX('Green_rooibos initial weight'!$C$5:$C$2000,MATCH(H378, 'Green_rooibos initial weight'!$A$5:$A$2000,0)),"")</f>
        <v>2.09</v>
      </c>
      <c r="K378">
        <f>IFERROR(INDEX('Green_rooibos initial weight'!$C$5:$C$2000,MATCH(I378, 'Green_rooibos initial weight'!$A$5:$A$2000,0)),"")</f>
        <v>2.1459999999999999</v>
      </c>
      <c r="L378" s="194">
        <f t="shared" si="37"/>
        <v>1.8401999999999998</v>
      </c>
      <c r="M378" s="233">
        <f>AVERAGE(Ashed_controlls!$K$1:$K$11)</f>
        <v>5.5147656768714146</v>
      </c>
      <c r="N378" s="194">
        <f t="shared" si="36"/>
        <v>1.8961999999999999</v>
      </c>
      <c r="O378" s="376">
        <f>IF('Dry_Litterbag Placem_Collection'!G85="","",'Dry_Litterbag Placem_Collection'!G85)</f>
        <v>43006</v>
      </c>
      <c r="P378" s="194">
        <f>IFERROR(INDEX('Both teabags AfterDry'!$D$3:$D$2000,MATCH(H378,'Both teabags AfterDry'!$A$3:$A$2000,0)),"")</f>
        <v>1.8814</v>
      </c>
      <c r="Q378" s="194">
        <f>IFERROR(INDEX('Both teabags AfterDry'!$D$3:$D$2000,MATCH(I378,'Both teabags AfterDry'!$A$3:$A$2000,0)),"")</f>
        <v>1.9262999999999999</v>
      </c>
      <c r="R378" s="194">
        <f t="shared" si="38"/>
        <v>1.7307999999999999</v>
      </c>
      <c r="S378" s="194">
        <f t="shared" si="38"/>
        <v>1.7756999999999998</v>
      </c>
      <c r="T378" s="194">
        <f t="shared" si="39"/>
        <v>5.9450059776111286E-2</v>
      </c>
      <c r="U378" s="194">
        <f t="shared" si="40"/>
        <v>3.8974385981488634E-2</v>
      </c>
      <c r="V378" s="194">
        <f t="shared" si="41"/>
        <v>0.93645185107056217</v>
      </c>
      <c r="W378">
        <f t="shared" si="42"/>
        <v>69</v>
      </c>
      <c r="X378" s="194">
        <f t="shared" si="43"/>
        <v>0.92939422829440466</v>
      </c>
      <c r="Y378" s="194" t="str">
        <f t="shared" si="44"/>
        <v/>
      </c>
      <c r="Z378" s="245" t="str">
        <f>IF(ISNUMBER(SEARCH("C", 'Dry_Litterbag Placem_Collection'!$V85)),"YES","NO")</f>
        <v>NO</v>
      </c>
      <c r="AA378" s="245" t="str">
        <f>IF(ISNUMBER(SEARCH("H", 'Dry_Litterbag Placem_Collection'!$V85)),"YES","NO")</f>
        <v>NO</v>
      </c>
      <c r="AB378" s="245" t="str">
        <f>IF(ISNUMBER(SEARCH("R", 'Dry_Litterbag Placem_Collection'!$V85)),"YES","NO")</f>
        <v>NO</v>
      </c>
      <c r="AC378" s="245" t="str">
        <f>IF(ISNUMBER(SEARCH("C", 'Dry_Litterbag Placem_Collection'!$U85)),"YES","NO")</f>
        <v>NO</v>
      </c>
      <c r="AD378" s="245" t="str">
        <f>IF(ISNUMBER(SEARCH("H", 'Dry_Litterbag Placem_Collection'!$U85)),"YES","NO")</f>
        <v>NO</v>
      </c>
      <c r="AE378" s="245" t="str">
        <f>IF(ISNUMBER(SEARCH("R", 'Dry_Litterbag Placem_Collection'!$U85)),"YES","NO")</f>
        <v>NO</v>
      </c>
    </row>
    <row r="379" spans="2:31">
      <c r="B379" t="str">
        <f>Dryseason!B525</f>
        <v>Dry</v>
      </c>
      <c r="C379" s="253">
        <f>Dryseason!C525</f>
        <v>84</v>
      </c>
      <c r="D379" t="s">
        <v>3114</v>
      </c>
      <c r="E379" t="s">
        <v>25</v>
      </c>
      <c r="F379" s="375">
        <v>4</v>
      </c>
      <c r="G379" s="376">
        <f>IF('Dry_Litterbag Placem_Collection'!E86="","",'Dry_Litterbag Placem_Collection'!E86)</f>
        <v>42937</v>
      </c>
      <c r="H379" s="92" t="str">
        <f>Dryseason!L525</f>
        <v>G854</v>
      </c>
      <c r="I379" t="str">
        <f>Dryseason!L745</f>
        <v>R720</v>
      </c>
      <c r="J379">
        <f>IFERROR(INDEX('Green_rooibos initial weight'!$C$5:$C$2000,MATCH(H379, 'Green_rooibos initial weight'!$A$5:$A$2000,0)),"")</f>
        <v>1.998</v>
      </c>
      <c r="K379">
        <f>IFERROR(INDEX('Green_rooibos initial weight'!$C$5:$C$2000,MATCH(I379, 'Green_rooibos initial weight'!$A$5:$A$2000,0)),"")</f>
        <v>2.2080000000000002</v>
      </c>
      <c r="L379" s="194">
        <f t="shared" si="37"/>
        <v>1.7482</v>
      </c>
      <c r="M379" s="233">
        <f>AVERAGE(Ashed_controlls!$K$1:$K$11)</f>
        <v>5.5147656768714146</v>
      </c>
      <c r="N379" s="194">
        <f t="shared" si="36"/>
        <v>1.9582000000000002</v>
      </c>
      <c r="O379" s="376">
        <f>IF('Dry_Litterbag Placem_Collection'!G86="","",'Dry_Litterbag Placem_Collection'!G86)</f>
        <v>43006</v>
      </c>
      <c r="P379" s="194">
        <f>IFERROR(INDEX('Both teabags AfterDry'!$D$3:$D$2000,MATCH(H379,'Both teabags AfterDry'!$A$3:$A$2000,0)),"")</f>
        <v>1.8062</v>
      </c>
      <c r="Q379" s="194">
        <f>IFERROR(INDEX('Both teabags AfterDry'!$D$3:$D$2000,MATCH(I379,'Both teabags AfterDry'!$A$3:$A$2000,0)),"")</f>
        <v>1.9978</v>
      </c>
      <c r="R379" s="194">
        <f t="shared" si="38"/>
        <v>1.6556</v>
      </c>
      <c r="S379" s="194">
        <f t="shared" si="38"/>
        <v>1.8472</v>
      </c>
      <c r="T379" s="194">
        <f t="shared" si="39"/>
        <v>5.2968767875529177E-2</v>
      </c>
      <c r="U379" s="194">
        <f t="shared" si="40"/>
        <v>3.472536801341107E-2</v>
      </c>
      <c r="V379" s="194">
        <f t="shared" si="41"/>
        <v>0.94331528955162891</v>
      </c>
      <c r="W379">
        <f t="shared" si="42"/>
        <v>69</v>
      </c>
      <c r="X379" s="194">
        <f t="shared" si="43"/>
        <v>0.93709172461338575</v>
      </c>
      <c r="Y379" s="194" t="str">
        <f t="shared" si="44"/>
        <v/>
      </c>
      <c r="Z379" s="245" t="str">
        <f>IF(ISNUMBER(SEARCH("C", 'Dry_Litterbag Placem_Collection'!$V86)),"YES","NO")</f>
        <v>NO</v>
      </c>
      <c r="AA379" s="245" t="str">
        <f>IF(ISNUMBER(SEARCH("H", 'Dry_Litterbag Placem_Collection'!$V86)),"YES","NO")</f>
        <v>NO</v>
      </c>
      <c r="AB379" s="245" t="str">
        <f>IF(ISNUMBER(SEARCH("R", 'Dry_Litterbag Placem_Collection'!$V86)),"YES","NO")</f>
        <v>NO</v>
      </c>
      <c r="AC379" s="245" t="str">
        <f>IF(ISNUMBER(SEARCH("C", 'Dry_Litterbag Placem_Collection'!$U86)),"YES","NO")</f>
        <v>NO</v>
      </c>
      <c r="AD379" s="245" t="str">
        <f>IF(ISNUMBER(SEARCH("H", 'Dry_Litterbag Placem_Collection'!$U86)),"YES","NO")</f>
        <v>NO</v>
      </c>
      <c r="AE379" s="245" t="str">
        <f>IF(ISNUMBER(SEARCH("R", 'Dry_Litterbag Placem_Collection'!$U86)),"YES","NO")</f>
        <v>NO</v>
      </c>
    </row>
    <row r="380" spans="2:31">
      <c r="B380" t="str">
        <f>Dryseason!B526</f>
        <v>Dry</v>
      </c>
      <c r="C380" s="253">
        <f>Dryseason!C526</f>
        <v>85</v>
      </c>
      <c r="D380" t="s">
        <v>3114</v>
      </c>
      <c r="E380" t="s">
        <v>25</v>
      </c>
      <c r="F380" s="375">
        <v>5</v>
      </c>
      <c r="G380" s="376" t="str">
        <f>IF('Dry_Litterbag Placem_Collection'!E87="","",'Dry_Litterbag Placem_Collection'!E87)</f>
        <v/>
      </c>
      <c r="H380" s="92" t="str">
        <f>Dryseason!L526</f>
        <v/>
      </c>
      <c r="I380" t="str">
        <f>Dryseason!L746</f>
        <v/>
      </c>
      <c r="J380" t="str">
        <f>IFERROR(INDEX('Green_rooibos initial weight'!$C$5:$C$2000,MATCH(H380, 'Green_rooibos initial weight'!$A$5:$A$2000,0)),"")</f>
        <v/>
      </c>
      <c r="K380" t="str">
        <f>IFERROR(INDEX('Green_rooibos initial weight'!$C$5:$C$2000,MATCH(I380, 'Green_rooibos initial weight'!$A$5:$A$2000,0)),"")</f>
        <v/>
      </c>
      <c r="L380" s="194" t="str">
        <f t="shared" si="37"/>
        <v/>
      </c>
      <c r="M380" s="233">
        <f>AVERAGE(Ashed_controlls!$K$1:$K$11)</f>
        <v>5.5147656768714146</v>
      </c>
      <c r="N380" s="194" t="str">
        <f t="shared" si="36"/>
        <v/>
      </c>
      <c r="O380" s="376" t="str">
        <f>IF('Dry_Litterbag Placem_Collection'!G87="","",'Dry_Litterbag Placem_Collection'!G87)</f>
        <v/>
      </c>
      <c r="P380" s="194" t="str">
        <f>IFERROR(INDEX('Both teabags AfterDry'!$D$3:$D$2000,MATCH(H380,'Both teabags AfterDry'!$A$3:$A$2000,0)),"")</f>
        <v/>
      </c>
      <c r="Q380" s="194" t="str">
        <f>IFERROR(INDEX('Both teabags AfterDry'!$D$3:$D$2000,MATCH(I380,'Both teabags AfterDry'!$A$3:$A$2000,0)),"")</f>
        <v/>
      </c>
      <c r="R380" s="194" t="str">
        <f t="shared" si="38"/>
        <v/>
      </c>
      <c r="S380" s="194" t="str">
        <f t="shared" si="38"/>
        <v/>
      </c>
      <c r="T380" s="194" t="str">
        <f t="shared" si="39"/>
        <v/>
      </c>
      <c r="U380" s="194" t="str">
        <f t="shared" si="40"/>
        <v/>
      </c>
      <c r="V380" s="194" t="str">
        <f t="shared" si="41"/>
        <v/>
      </c>
      <c r="W380" t="str">
        <f t="shared" si="42"/>
        <v/>
      </c>
      <c r="X380" s="194" t="str">
        <f t="shared" si="43"/>
        <v/>
      </c>
      <c r="Y380" s="194" t="str">
        <f t="shared" si="44"/>
        <v/>
      </c>
      <c r="Z380" s="245" t="str">
        <f>IF(ISNUMBER(SEARCH("C", 'Dry_Litterbag Placem_Collection'!$V87)),"YES","NO")</f>
        <v>NO</v>
      </c>
      <c r="AA380" s="245" t="str">
        <f>IF(ISNUMBER(SEARCH("H", 'Dry_Litterbag Placem_Collection'!$V87)),"YES","NO")</f>
        <v>NO</v>
      </c>
      <c r="AB380" s="245" t="str">
        <f>IF(ISNUMBER(SEARCH("R", 'Dry_Litterbag Placem_Collection'!$V87)),"YES","NO")</f>
        <v>NO</v>
      </c>
      <c r="AC380" s="245" t="str">
        <f>IF(ISNUMBER(SEARCH("C", 'Dry_Litterbag Placem_Collection'!$U87)),"YES","NO")</f>
        <v>NO</v>
      </c>
      <c r="AD380" s="245" t="str">
        <f>IF(ISNUMBER(SEARCH("H", 'Dry_Litterbag Placem_Collection'!$U87)),"YES","NO")</f>
        <v>NO</v>
      </c>
      <c r="AE380" s="245" t="str">
        <f>IF(ISNUMBER(SEARCH("R", 'Dry_Litterbag Placem_Collection'!$U87)),"YES","NO")</f>
        <v>NO</v>
      </c>
    </row>
    <row r="381" spans="2:31">
      <c r="B381" t="str">
        <f>Dryseason!B527</f>
        <v>Dry</v>
      </c>
      <c r="C381" s="253">
        <f>Dryseason!C527</f>
        <v>86</v>
      </c>
      <c r="D381" t="s">
        <v>3114</v>
      </c>
      <c r="E381" t="s">
        <v>25</v>
      </c>
      <c r="F381" s="375">
        <v>6</v>
      </c>
      <c r="G381" s="376">
        <f>IF('Dry_Litterbag Placem_Collection'!E88="","",'Dry_Litterbag Placem_Collection'!E88)</f>
        <v>42937</v>
      </c>
      <c r="H381" s="92" t="str">
        <f>Dryseason!L527</f>
        <v>G788</v>
      </c>
      <c r="I381" t="str">
        <f>Dryseason!L747</f>
        <v>R643</v>
      </c>
      <c r="J381">
        <f>IFERROR(INDEX('Green_rooibos initial weight'!$C$5:$C$2000,MATCH(H381, 'Green_rooibos initial weight'!$A$5:$A$2000,0)),"")</f>
        <v>2.0699999999999998</v>
      </c>
      <c r="K381">
        <f>IFERROR(INDEX('Green_rooibos initial weight'!$C$5:$C$2000,MATCH(I381, 'Green_rooibos initial weight'!$A$5:$A$2000,0)),"")</f>
        <v>2.1930000000000001</v>
      </c>
      <c r="L381" s="194">
        <f t="shared" si="37"/>
        <v>1.8201999999999998</v>
      </c>
      <c r="M381" s="233">
        <f>AVERAGE(Ashed_controlls!$K$1:$K$11)</f>
        <v>5.5147656768714146</v>
      </c>
      <c r="N381" s="194">
        <f t="shared" si="36"/>
        <v>1.9432</v>
      </c>
      <c r="O381" s="376">
        <f>IF('Dry_Litterbag Placem_Collection'!G88="","",'Dry_Litterbag Placem_Collection'!G88)</f>
        <v>43006</v>
      </c>
      <c r="P381" s="194" t="str">
        <f>IFERROR(INDEX('Both teabags AfterDry'!$D$3:$D$2000,MATCH(H381,'Both teabags AfterDry'!$A$3:$A$2000,0)),"")</f>
        <v/>
      </c>
      <c r="Q381" s="194" t="str">
        <f>IFERROR(INDEX('Both teabags AfterDry'!$D$3:$D$2000,MATCH(I381,'Both teabags AfterDry'!$A$3:$A$2000,0)),"")</f>
        <v/>
      </c>
      <c r="R381" s="194" t="str">
        <f t="shared" si="38"/>
        <v/>
      </c>
      <c r="S381" s="194" t="str">
        <f t="shared" si="38"/>
        <v/>
      </c>
      <c r="T381" s="194" t="str">
        <f t="shared" si="39"/>
        <v/>
      </c>
      <c r="U381" s="194" t="str">
        <f t="shared" si="40"/>
        <v/>
      </c>
      <c r="V381" s="194" t="str">
        <f t="shared" si="41"/>
        <v/>
      </c>
      <c r="W381">
        <f t="shared" si="42"/>
        <v>69</v>
      </c>
      <c r="X381" s="194" t="str">
        <f t="shared" si="43"/>
        <v/>
      </c>
      <c r="Y381" s="194" t="str">
        <f t="shared" si="44"/>
        <v/>
      </c>
      <c r="Z381" s="245" t="str">
        <f>IF(ISNUMBER(SEARCH("C", 'Dry_Litterbag Placem_Collection'!$V88)),"YES","NO")</f>
        <v>NO</v>
      </c>
      <c r="AA381" s="245" t="str">
        <f>IF(ISNUMBER(SEARCH("H", 'Dry_Litterbag Placem_Collection'!$V88)),"YES","NO")</f>
        <v>NO</v>
      </c>
      <c r="AB381" s="245" t="str">
        <f>IF(ISNUMBER(SEARCH("R", 'Dry_Litterbag Placem_Collection'!$V88)),"YES","NO")</f>
        <v>NO</v>
      </c>
      <c r="AC381" s="245" t="str">
        <f>IF(ISNUMBER(SEARCH("C", 'Dry_Litterbag Placem_Collection'!$U88)),"YES","NO")</f>
        <v>NO</v>
      </c>
      <c r="AD381" s="245" t="str">
        <f>IF(ISNUMBER(SEARCH("H", 'Dry_Litterbag Placem_Collection'!$U88)),"YES","NO")</f>
        <v>NO</v>
      </c>
      <c r="AE381" s="245" t="str">
        <f>IF(ISNUMBER(SEARCH("R", 'Dry_Litterbag Placem_Collection'!$U88)),"YES","NO")</f>
        <v>NO</v>
      </c>
    </row>
    <row r="382" spans="2:31">
      <c r="B382" t="str">
        <f>Dryseason!B528</f>
        <v>Dry</v>
      </c>
      <c r="C382" s="253">
        <f>Dryseason!C528</f>
        <v>87</v>
      </c>
      <c r="D382" t="s">
        <v>3114</v>
      </c>
      <c r="E382" t="s">
        <v>25</v>
      </c>
      <c r="F382" s="375">
        <v>7</v>
      </c>
      <c r="G382" s="376">
        <f>IF('Dry_Litterbag Placem_Collection'!E89="","",'Dry_Litterbag Placem_Collection'!E89)</f>
        <v>42937</v>
      </c>
      <c r="H382" s="92" t="str">
        <f>Dryseason!L528</f>
        <v>G91</v>
      </c>
      <c r="I382" t="str">
        <f>Dryseason!L748</f>
        <v>R277</v>
      </c>
      <c r="J382">
        <f>IFERROR(INDEX('Green_rooibos initial weight'!$C$5:$C$2000,MATCH(H382, 'Green_rooibos initial weight'!$A$5:$A$2000,0)),"")</f>
        <v>2.044</v>
      </c>
      <c r="K382">
        <f>IFERROR(INDEX('Green_rooibos initial weight'!$C$5:$C$2000,MATCH(I382, 'Green_rooibos initial weight'!$A$5:$A$2000,0)),"")</f>
        <v>2.1949999999999998</v>
      </c>
      <c r="L382" s="194">
        <f t="shared" si="37"/>
        <v>1.7942</v>
      </c>
      <c r="M382" s="233">
        <f>AVERAGE(Ashed_controlls!$K$1:$K$11)</f>
        <v>5.5147656768714146</v>
      </c>
      <c r="N382" s="194">
        <f t="shared" si="36"/>
        <v>1.9451999999999998</v>
      </c>
      <c r="O382" s="376">
        <f>IF('Dry_Litterbag Placem_Collection'!G89="","",'Dry_Litterbag Placem_Collection'!G89)</f>
        <v>43006</v>
      </c>
      <c r="P382" s="194">
        <f>IFERROR(INDEX('Both teabags AfterDry'!$D$3:$D$2000,MATCH(H382,'Both teabags AfterDry'!$A$3:$A$2000,0)),"")</f>
        <v>1.8609</v>
      </c>
      <c r="Q382" s="194">
        <f>IFERROR(INDEX('Both teabags AfterDry'!$D$3:$D$2000,MATCH(I382,'Both teabags AfterDry'!$A$3:$A$2000,0)),"")</f>
        <v>1.9473</v>
      </c>
      <c r="R382" s="194">
        <f t="shared" si="38"/>
        <v>1.7102999999999999</v>
      </c>
      <c r="S382" s="194">
        <f t="shared" si="38"/>
        <v>1.7967</v>
      </c>
      <c r="T382" s="194">
        <f t="shared" si="39"/>
        <v>4.676178798350239E-2</v>
      </c>
      <c r="U382" s="194">
        <f t="shared" si="40"/>
        <v>3.0656184046191616E-2</v>
      </c>
      <c r="V382" s="194">
        <f t="shared" si="41"/>
        <v>0.92365823565700189</v>
      </c>
      <c r="W382">
        <f t="shared" si="42"/>
        <v>69</v>
      </c>
      <c r="X382" s="194">
        <f t="shared" si="43"/>
        <v>0.94446343469892824</v>
      </c>
      <c r="Y382" s="194" t="str">
        <f t="shared" si="44"/>
        <v/>
      </c>
      <c r="Z382" s="245" t="str">
        <f>IF(ISNUMBER(SEARCH("C", 'Dry_Litterbag Placem_Collection'!$V89)),"YES","NO")</f>
        <v>NO</v>
      </c>
      <c r="AA382" s="245" t="str">
        <f>IF(ISNUMBER(SEARCH("H", 'Dry_Litterbag Placem_Collection'!$V89)),"YES","NO")</f>
        <v>NO</v>
      </c>
      <c r="AB382" s="245" t="str">
        <f>IF(ISNUMBER(SEARCH("R", 'Dry_Litterbag Placem_Collection'!$V89)),"YES","NO")</f>
        <v>NO</v>
      </c>
      <c r="AC382" s="245" t="str">
        <f>IF(ISNUMBER(SEARCH("C", 'Dry_Litterbag Placem_Collection'!$U89)),"YES","NO")</f>
        <v>NO</v>
      </c>
      <c r="AD382" s="245" t="str">
        <f>IF(ISNUMBER(SEARCH("H", 'Dry_Litterbag Placem_Collection'!$U89)),"YES","NO")</f>
        <v>NO</v>
      </c>
      <c r="AE382" s="245" t="str">
        <f>IF(ISNUMBER(SEARCH("R", 'Dry_Litterbag Placem_Collection'!$U89)),"YES","NO")</f>
        <v>NO</v>
      </c>
    </row>
    <row r="383" spans="2:31">
      <c r="B383" t="str">
        <f>Dryseason!B529</f>
        <v>Dry</v>
      </c>
      <c r="C383" s="253">
        <f>Dryseason!C529</f>
        <v>88</v>
      </c>
      <c r="D383" t="s">
        <v>3114</v>
      </c>
      <c r="E383" t="s">
        <v>25</v>
      </c>
      <c r="F383" s="375">
        <v>8</v>
      </c>
      <c r="G383" s="376">
        <f>IF('Dry_Litterbag Placem_Collection'!E90="","",'Dry_Litterbag Placem_Collection'!E90)</f>
        <v>42937</v>
      </c>
      <c r="H383" s="92" t="str">
        <f>Dryseason!L529</f>
        <v>G364</v>
      </c>
      <c r="I383" t="str">
        <f>Dryseason!L749</f>
        <v>R197</v>
      </c>
      <c r="J383">
        <f>IFERROR(INDEX('Green_rooibos initial weight'!$C$5:$C$2000,MATCH(H383, 'Green_rooibos initial weight'!$A$5:$A$2000,0)),"")</f>
        <v>2.0569999999999999</v>
      </c>
      <c r="K383">
        <f>IFERROR(INDEX('Green_rooibos initial weight'!$C$5:$C$2000,MATCH(I383, 'Green_rooibos initial weight'!$A$5:$A$2000,0)),"")</f>
        <v>2.2330000000000001</v>
      </c>
      <c r="L383" s="194">
        <f t="shared" si="37"/>
        <v>1.8071999999999999</v>
      </c>
      <c r="M383" s="233">
        <f>AVERAGE(Ashed_controlls!$K$1:$K$11)</f>
        <v>5.5147656768714146</v>
      </c>
      <c r="N383" s="194">
        <f t="shared" si="36"/>
        <v>1.9832000000000001</v>
      </c>
      <c r="O383" s="376">
        <f>IF('Dry_Litterbag Placem_Collection'!G90="","",'Dry_Litterbag Placem_Collection'!G90)</f>
        <v>43006</v>
      </c>
      <c r="P383" s="194">
        <f>IFERROR(INDEX('Both teabags AfterDry'!$D$3:$D$2000,MATCH(H383,'Both teabags AfterDry'!$A$3:$A$2000,0)),"")</f>
        <v>1.8589</v>
      </c>
      <c r="Q383" s="194">
        <f>IFERROR(INDEX('Both teabags AfterDry'!$D$3:$D$2000,MATCH(I383,'Both teabags AfterDry'!$A$3:$A$2000,0)),"")</f>
        <v>1.9945999999999999</v>
      </c>
      <c r="R383" s="194">
        <f t="shared" si="38"/>
        <v>1.7082999999999999</v>
      </c>
      <c r="S383" s="194">
        <f t="shared" si="38"/>
        <v>1.8439999999999999</v>
      </c>
      <c r="T383" s="194">
        <f t="shared" si="39"/>
        <v>5.4725542275343098E-2</v>
      </c>
      <c r="U383" s="194">
        <f t="shared" si="40"/>
        <v>3.587707759618694E-2</v>
      </c>
      <c r="V383" s="194">
        <f t="shared" si="41"/>
        <v>0.92981040742234766</v>
      </c>
      <c r="W383">
        <f t="shared" si="42"/>
        <v>69</v>
      </c>
      <c r="X383" s="194">
        <f t="shared" si="43"/>
        <v>0.93500529420980627</v>
      </c>
      <c r="Y383" s="194" t="str">
        <f t="shared" si="44"/>
        <v/>
      </c>
      <c r="Z383" s="245" t="str">
        <f>IF(ISNUMBER(SEARCH("C", 'Dry_Litterbag Placem_Collection'!$V90)),"YES","NO")</f>
        <v>NO</v>
      </c>
      <c r="AA383" s="245" t="str">
        <f>IF(ISNUMBER(SEARCH("H", 'Dry_Litterbag Placem_Collection'!$V90)),"YES","NO")</f>
        <v>NO</v>
      </c>
      <c r="AB383" s="245" t="str">
        <f>IF(ISNUMBER(SEARCH("R", 'Dry_Litterbag Placem_Collection'!$V90)),"YES","NO")</f>
        <v>NO</v>
      </c>
      <c r="AC383" s="245" t="str">
        <f>IF(ISNUMBER(SEARCH("C", 'Dry_Litterbag Placem_Collection'!$U90)),"YES","NO")</f>
        <v>NO</v>
      </c>
      <c r="AD383" s="245" t="str">
        <f>IF(ISNUMBER(SEARCH("H", 'Dry_Litterbag Placem_Collection'!$U90)),"YES","NO")</f>
        <v>NO</v>
      </c>
      <c r="AE383" s="245" t="str">
        <f>IF(ISNUMBER(SEARCH("R", 'Dry_Litterbag Placem_Collection'!$U90)),"YES","NO")</f>
        <v>NO</v>
      </c>
    </row>
    <row r="384" spans="2:31">
      <c r="B384" t="str">
        <f>Dryseason!B530</f>
        <v>Dry</v>
      </c>
      <c r="C384" s="253">
        <f>Dryseason!C530</f>
        <v>89</v>
      </c>
      <c r="D384" t="s">
        <v>3115</v>
      </c>
      <c r="E384" t="s">
        <v>25</v>
      </c>
      <c r="F384" s="374">
        <v>1</v>
      </c>
      <c r="G384" s="376">
        <f>IF('Dry_Litterbag Placem_Collection'!E91="","",'Dry_Litterbag Placem_Collection'!E91)</f>
        <v>42937</v>
      </c>
      <c r="H384" s="92" t="str">
        <f>Dryseason!L530</f>
        <v>G862</v>
      </c>
      <c r="I384" t="str">
        <f>Dryseason!L750</f>
        <v>R841</v>
      </c>
      <c r="J384">
        <f>IFERROR(INDEX('Green_rooibos initial weight'!$C$5:$C$2000,MATCH(H384, 'Green_rooibos initial weight'!$A$5:$A$2000,0)),"")</f>
        <v>1.996</v>
      </c>
      <c r="K384">
        <f>IFERROR(INDEX('Green_rooibos initial weight'!$C$5:$C$2000,MATCH(I384, 'Green_rooibos initial weight'!$A$5:$A$2000,0)),"")</f>
        <v>2.13</v>
      </c>
      <c r="L384" s="194">
        <f t="shared" si="37"/>
        <v>1.7462</v>
      </c>
      <c r="M384" s="233">
        <f>AVERAGE(Ashed_controlls!$K$1:$K$11)</f>
        <v>5.5147656768714146</v>
      </c>
      <c r="N384" s="194">
        <f t="shared" si="36"/>
        <v>1.8801999999999999</v>
      </c>
      <c r="O384" s="376">
        <f>IF('Dry_Litterbag Placem_Collection'!G91="","",'Dry_Litterbag Placem_Collection'!G91)</f>
        <v>43006</v>
      </c>
      <c r="P384" s="194">
        <f>IFERROR(INDEX('Both teabags AfterDry'!$D$3:$D$2000,MATCH(H384,'Both teabags AfterDry'!$A$3:$A$2000,0)),"")</f>
        <v>1.8160000000000001</v>
      </c>
      <c r="Q384" s="194">
        <f>IFERROR(INDEX('Both teabags AfterDry'!$D$3:$D$2000,MATCH(I384,'Both teabags AfterDry'!$A$3:$A$2000,0)),"")</f>
        <v>1.9592000000000001</v>
      </c>
      <c r="R384" s="194">
        <f t="shared" si="38"/>
        <v>1.6654</v>
      </c>
      <c r="S384" s="194">
        <f t="shared" si="38"/>
        <v>1.8086</v>
      </c>
      <c r="T384" s="194">
        <f t="shared" si="39"/>
        <v>4.6271904707364531E-2</v>
      </c>
      <c r="U384" s="194">
        <f t="shared" si="40"/>
        <v>3.0335025413854216E-2</v>
      </c>
      <c r="V384" s="194">
        <f t="shared" si="41"/>
        <v>0.96191894479310713</v>
      </c>
      <c r="W384">
        <f t="shared" si="42"/>
        <v>69</v>
      </c>
      <c r="X384" s="194">
        <f t="shared" si="43"/>
        <v>0.94504524381548149</v>
      </c>
      <c r="Y384" s="194" t="str">
        <f t="shared" si="44"/>
        <v/>
      </c>
      <c r="Z384" s="245" t="str">
        <f>IF(ISNUMBER(SEARCH("C", 'Dry_Litterbag Placem_Collection'!$V91)),"YES","NO")</f>
        <v>NO</v>
      </c>
      <c r="AA384" s="245" t="str">
        <f>IF(ISNUMBER(SEARCH("H", 'Dry_Litterbag Placem_Collection'!$V91)),"YES","NO")</f>
        <v>NO</v>
      </c>
      <c r="AB384" s="245" t="str">
        <f>IF(ISNUMBER(SEARCH("R", 'Dry_Litterbag Placem_Collection'!$V91)),"YES","NO")</f>
        <v>NO</v>
      </c>
      <c r="AC384" s="245" t="str">
        <f>IF(ISNUMBER(SEARCH("C", 'Dry_Litterbag Placem_Collection'!$U91)),"YES","NO")</f>
        <v>NO</v>
      </c>
      <c r="AD384" s="245" t="str">
        <f>IF(ISNUMBER(SEARCH("H", 'Dry_Litterbag Placem_Collection'!$U91)),"YES","NO")</f>
        <v>NO</v>
      </c>
      <c r="AE384" s="245" t="str">
        <f>IF(ISNUMBER(SEARCH("R", 'Dry_Litterbag Placem_Collection'!$U91)),"YES","NO")</f>
        <v>NO</v>
      </c>
    </row>
    <row r="385" spans="2:31">
      <c r="B385" t="str">
        <f>Dryseason!B531</f>
        <v>Dry</v>
      </c>
      <c r="C385" s="253">
        <f>Dryseason!C531</f>
        <v>90</v>
      </c>
      <c r="D385" t="s">
        <v>3115</v>
      </c>
      <c r="E385" t="s">
        <v>25</v>
      </c>
      <c r="F385" s="374">
        <v>2</v>
      </c>
      <c r="G385" s="376">
        <f>IF('Dry_Litterbag Placem_Collection'!E92="","",'Dry_Litterbag Placem_Collection'!E92)</f>
        <v>42937</v>
      </c>
      <c r="H385" s="92" t="str">
        <f>Dryseason!L531</f>
        <v>G330</v>
      </c>
      <c r="I385" t="str">
        <f>Dryseason!L751</f>
        <v>R220</v>
      </c>
      <c r="J385">
        <f>IFERROR(INDEX('Green_rooibos initial weight'!$C$5:$C$2000,MATCH(H385, 'Green_rooibos initial weight'!$A$5:$A$2000,0)),"")</f>
        <v>2.1379999999999999</v>
      </c>
      <c r="K385">
        <f>IFERROR(INDEX('Green_rooibos initial weight'!$C$5:$C$2000,MATCH(I385, 'Green_rooibos initial weight'!$A$5:$A$2000,0)),"")</f>
        <v>2.2269999999999999</v>
      </c>
      <c r="L385" s="194">
        <f t="shared" si="37"/>
        <v>1.8881999999999999</v>
      </c>
      <c r="M385" s="233">
        <f>AVERAGE(Ashed_controlls!$K$1:$K$11)</f>
        <v>5.5147656768714146</v>
      </c>
      <c r="N385" s="194">
        <f t="shared" si="36"/>
        <v>1.9771999999999998</v>
      </c>
      <c r="O385" s="376">
        <f>IF('Dry_Litterbag Placem_Collection'!G92="","",'Dry_Litterbag Placem_Collection'!G92)</f>
        <v>43006</v>
      </c>
      <c r="P385" s="194" t="str">
        <f>IFERROR(INDEX('Both teabags AfterDry'!$D$3:$D$2000,MATCH(H385,'Both teabags AfterDry'!$A$3:$A$2000,0)),"")</f>
        <v/>
      </c>
      <c r="Q385" s="194" t="str">
        <f>IFERROR(INDEX('Both teabags AfterDry'!$D$3:$D$2000,MATCH(I385,'Both teabags AfterDry'!$A$3:$A$2000,0)),"")</f>
        <v/>
      </c>
      <c r="R385" s="194" t="str">
        <f t="shared" si="38"/>
        <v/>
      </c>
      <c r="S385" s="194" t="str">
        <f t="shared" si="38"/>
        <v/>
      </c>
      <c r="T385" s="194" t="str">
        <f t="shared" si="39"/>
        <v/>
      </c>
      <c r="U385" s="194" t="str">
        <f t="shared" si="40"/>
        <v/>
      </c>
      <c r="V385" s="194" t="str">
        <f t="shared" si="41"/>
        <v/>
      </c>
      <c r="W385">
        <f t="shared" si="42"/>
        <v>69</v>
      </c>
      <c r="X385" s="194" t="str">
        <f t="shared" si="43"/>
        <v/>
      </c>
      <c r="Y385" s="194" t="str">
        <f t="shared" si="44"/>
        <v/>
      </c>
      <c r="Z385" s="245" t="str">
        <f>IF(ISNUMBER(SEARCH("C", 'Dry_Litterbag Placem_Collection'!$V92)),"YES","NO")</f>
        <v>NO</v>
      </c>
      <c r="AA385" s="245" t="str">
        <f>IF(ISNUMBER(SEARCH("H", 'Dry_Litterbag Placem_Collection'!$V92)),"YES","NO")</f>
        <v>NO</v>
      </c>
      <c r="AB385" s="245" t="str">
        <f>IF(ISNUMBER(SEARCH("R", 'Dry_Litterbag Placem_Collection'!$V92)),"YES","NO")</f>
        <v>NO</v>
      </c>
      <c r="AC385" s="245" t="str">
        <f>IF(ISNUMBER(SEARCH("C", 'Dry_Litterbag Placem_Collection'!$U92)),"YES","NO")</f>
        <v>NO</v>
      </c>
      <c r="AD385" s="245" t="str">
        <f>IF(ISNUMBER(SEARCH("H", 'Dry_Litterbag Placem_Collection'!$U92)),"YES","NO")</f>
        <v>NO</v>
      </c>
      <c r="AE385" s="245" t="str">
        <f>IF(ISNUMBER(SEARCH("R", 'Dry_Litterbag Placem_Collection'!$U92)),"YES","NO")</f>
        <v>NO</v>
      </c>
    </row>
    <row r="386" spans="2:31">
      <c r="B386" t="str">
        <f>Dryseason!B532</f>
        <v>Dry</v>
      </c>
      <c r="C386" s="253">
        <f>Dryseason!C532</f>
        <v>91</v>
      </c>
      <c r="D386" t="s">
        <v>3115</v>
      </c>
      <c r="E386" t="s">
        <v>25</v>
      </c>
      <c r="F386" s="374">
        <v>3</v>
      </c>
      <c r="G386" s="376">
        <f>IF('Dry_Litterbag Placem_Collection'!E93="","",'Dry_Litterbag Placem_Collection'!E93)</f>
        <v>42937</v>
      </c>
      <c r="H386" s="92" t="str">
        <f>Dryseason!L532</f>
        <v>G596</v>
      </c>
      <c r="I386" t="str">
        <f>Dryseason!L752</f>
        <v>R659</v>
      </c>
      <c r="J386">
        <f>IFERROR(INDEX('Green_rooibos initial weight'!$C$5:$C$2000,MATCH(H386, 'Green_rooibos initial weight'!$A$5:$A$2000,0)),"")</f>
        <v>2.0179999999999998</v>
      </c>
      <c r="K386">
        <f>IFERROR(INDEX('Green_rooibos initial weight'!$C$5:$C$2000,MATCH(I386, 'Green_rooibos initial weight'!$A$5:$A$2000,0)),"")</f>
        <v>2.2349999999999999</v>
      </c>
      <c r="L386" s="194">
        <f t="shared" si="37"/>
        <v>1.7681999999999998</v>
      </c>
      <c r="M386" s="233">
        <f>AVERAGE(Ashed_controlls!$K$1:$K$11)</f>
        <v>5.5147656768714146</v>
      </c>
      <c r="N386" s="194">
        <f t="shared" si="36"/>
        <v>1.9851999999999999</v>
      </c>
      <c r="O386" s="376">
        <f>IF('Dry_Litterbag Placem_Collection'!G93="","",'Dry_Litterbag Placem_Collection'!G93)</f>
        <v>43006</v>
      </c>
      <c r="P386" s="194">
        <f>IFERROR(INDEX('Both teabags AfterDry'!$D$3:$D$2000,MATCH(H386,'Both teabags AfterDry'!$A$3:$A$2000,0)),"")</f>
        <v>1.8642000000000001</v>
      </c>
      <c r="Q386" s="194">
        <f>IFERROR(INDEX('Both teabags AfterDry'!$D$3:$D$2000,MATCH(I386,'Both teabags AfterDry'!$A$3:$A$2000,0)),"")</f>
        <v>2.0495999999999999</v>
      </c>
      <c r="R386" s="194">
        <f t="shared" si="38"/>
        <v>1.7136</v>
      </c>
      <c r="S386" s="194">
        <f t="shared" si="38"/>
        <v>1.8989999999999998</v>
      </c>
      <c r="T386" s="194">
        <f t="shared" si="39"/>
        <v>3.0878859857482066E-2</v>
      </c>
      <c r="U386" s="194">
        <f t="shared" si="40"/>
        <v>2.0243623089465684E-2</v>
      </c>
      <c r="V386" s="194">
        <f t="shared" si="41"/>
        <v>0.95657868224863996</v>
      </c>
      <c r="W386">
        <f t="shared" si="42"/>
        <v>69</v>
      </c>
      <c r="X386" s="194">
        <f t="shared" si="43"/>
        <v>0.96332676976546072</v>
      </c>
      <c r="Y386" s="194" t="str">
        <f t="shared" si="44"/>
        <v/>
      </c>
      <c r="Z386" s="245" t="str">
        <f>IF(ISNUMBER(SEARCH("C", 'Dry_Litterbag Placem_Collection'!$V93)),"YES","NO")</f>
        <v>NO</v>
      </c>
      <c r="AA386" s="245" t="str">
        <f>IF(ISNUMBER(SEARCH("H", 'Dry_Litterbag Placem_Collection'!$V93)),"YES","NO")</f>
        <v>NO</v>
      </c>
      <c r="AB386" s="245" t="str">
        <f>IF(ISNUMBER(SEARCH("R", 'Dry_Litterbag Placem_Collection'!$V93)),"YES","NO")</f>
        <v>NO</v>
      </c>
      <c r="AC386" s="245" t="str">
        <f>IF(ISNUMBER(SEARCH("C", 'Dry_Litterbag Placem_Collection'!$U93)),"YES","NO")</f>
        <v>NO</v>
      </c>
      <c r="AD386" s="245" t="str">
        <f>IF(ISNUMBER(SEARCH("H", 'Dry_Litterbag Placem_Collection'!$U93)),"YES","NO")</f>
        <v>NO</v>
      </c>
      <c r="AE386" s="245" t="str">
        <f>IF(ISNUMBER(SEARCH("R", 'Dry_Litterbag Placem_Collection'!$U93)),"YES","NO")</f>
        <v>NO</v>
      </c>
    </row>
    <row r="387" spans="2:31">
      <c r="B387" t="str">
        <f>Dryseason!B533</f>
        <v>Dry</v>
      </c>
      <c r="C387" s="253">
        <f>Dryseason!C533</f>
        <v>92</v>
      </c>
      <c r="D387" t="s">
        <v>3115</v>
      </c>
      <c r="E387" t="s">
        <v>25</v>
      </c>
      <c r="F387" s="375">
        <v>4</v>
      </c>
      <c r="G387" s="376">
        <f>IF('Dry_Litterbag Placem_Collection'!E94="","",'Dry_Litterbag Placem_Collection'!E94)</f>
        <v>42937</v>
      </c>
      <c r="H387" s="92" t="str">
        <f>Dryseason!L533</f>
        <v>G380</v>
      </c>
      <c r="I387" t="str">
        <f>Dryseason!L753</f>
        <v>R619</v>
      </c>
      <c r="J387">
        <f>IFERROR(INDEX('Green_rooibos initial weight'!$C$5:$C$2000,MATCH(H387, 'Green_rooibos initial weight'!$A$5:$A$2000,0)),"")</f>
        <v>2.0619999999999998</v>
      </c>
      <c r="K387">
        <f>IFERROR(INDEX('Green_rooibos initial weight'!$C$5:$C$2000,MATCH(I387, 'Green_rooibos initial weight'!$A$5:$A$2000,0)),"")</f>
        <v>2.1480000000000001</v>
      </c>
      <c r="L387" s="194">
        <f t="shared" si="37"/>
        <v>1.8121999999999998</v>
      </c>
      <c r="M387" s="233">
        <f>AVERAGE(Ashed_controlls!$K$1:$K$11)</f>
        <v>5.5147656768714146</v>
      </c>
      <c r="N387" s="194">
        <f t="shared" si="36"/>
        <v>1.8982000000000001</v>
      </c>
      <c r="O387" s="376">
        <f>IF('Dry_Litterbag Placem_Collection'!G94="","",'Dry_Litterbag Placem_Collection'!G94)</f>
        <v>43006</v>
      </c>
      <c r="P387" s="194">
        <f>IFERROR(INDEX('Both teabags AfterDry'!$D$3:$D$2000,MATCH(H387,'Both teabags AfterDry'!$A$3:$A$2000,0)),"")</f>
        <v>1.8685</v>
      </c>
      <c r="Q387" s="194">
        <f>IFERROR(INDEX('Both teabags AfterDry'!$D$3:$D$2000,MATCH(I387,'Both teabags AfterDry'!$A$3:$A$2000,0)),"")</f>
        <v>1.9713000000000001</v>
      </c>
      <c r="R387" s="194">
        <f t="shared" si="38"/>
        <v>1.7179</v>
      </c>
      <c r="S387" s="194">
        <f t="shared" si="38"/>
        <v>1.8207</v>
      </c>
      <c r="T387" s="194">
        <f t="shared" si="39"/>
        <v>5.2036199095022551E-2</v>
      </c>
      <c r="U387" s="194">
        <f t="shared" si="40"/>
        <v>3.4113992755881777E-2</v>
      </c>
      <c r="V387" s="194">
        <f t="shared" si="41"/>
        <v>0.95917184701295954</v>
      </c>
      <c r="W387">
        <f t="shared" si="42"/>
        <v>69</v>
      </c>
      <c r="X387" s="194">
        <f t="shared" si="43"/>
        <v>0.93819928848572143</v>
      </c>
      <c r="Y387" s="194" t="str">
        <f t="shared" si="44"/>
        <v/>
      </c>
      <c r="Z387" s="245" t="str">
        <f>IF(ISNUMBER(SEARCH("C", 'Dry_Litterbag Placem_Collection'!$V94)),"YES","NO")</f>
        <v>NO</v>
      </c>
      <c r="AA387" s="245" t="str">
        <f>IF(ISNUMBER(SEARCH("H", 'Dry_Litterbag Placem_Collection'!$V94)),"YES","NO")</f>
        <v>NO</v>
      </c>
      <c r="AB387" s="245" t="str">
        <f>IF(ISNUMBER(SEARCH("R", 'Dry_Litterbag Placem_Collection'!$V94)),"YES","NO")</f>
        <v>NO</v>
      </c>
      <c r="AC387" s="245" t="str">
        <f>IF(ISNUMBER(SEARCH("C", 'Dry_Litterbag Placem_Collection'!$U94)),"YES","NO")</f>
        <v>NO</v>
      </c>
      <c r="AD387" s="245" t="str">
        <f>IF(ISNUMBER(SEARCH("H", 'Dry_Litterbag Placem_Collection'!$U94)),"YES","NO")</f>
        <v>NO</v>
      </c>
      <c r="AE387" s="245" t="str">
        <f>IF(ISNUMBER(SEARCH("R", 'Dry_Litterbag Placem_Collection'!$U94)),"YES","NO")</f>
        <v>NO</v>
      </c>
    </row>
    <row r="388" spans="2:31">
      <c r="B388" t="str">
        <f>Dryseason!B534</f>
        <v>Dry</v>
      </c>
      <c r="C388" s="253">
        <f>Dryseason!C534</f>
        <v>93</v>
      </c>
      <c r="D388" t="s">
        <v>3115</v>
      </c>
      <c r="E388" t="s">
        <v>25</v>
      </c>
      <c r="F388" s="375">
        <v>5</v>
      </c>
      <c r="G388" s="376">
        <f>IF('Dry_Litterbag Placem_Collection'!E95="","",'Dry_Litterbag Placem_Collection'!E95)</f>
        <v>42937</v>
      </c>
      <c r="H388" s="92" t="str">
        <f>Dryseason!L534</f>
        <v>G872</v>
      </c>
      <c r="I388" t="str">
        <f>Dryseason!L754</f>
        <v>R106</v>
      </c>
      <c r="J388">
        <f>IFERROR(INDEX('Green_rooibos initial weight'!$C$5:$C$2000,MATCH(H388, 'Green_rooibos initial weight'!$A$5:$A$2000,0)),"")</f>
        <v>2.008</v>
      </c>
      <c r="K388">
        <f>IFERROR(INDEX('Green_rooibos initial weight'!$C$5:$C$2000,MATCH(I388, 'Green_rooibos initial weight'!$A$5:$A$2000,0)),"")</f>
        <v>2.2330000000000001</v>
      </c>
      <c r="L388" s="194">
        <f t="shared" si="37"/>
        <v>1.7582</v>
      </c>
      <c r="M388" s="233">
        <f>AVERAGE(Ashed_controlls!$K$1:$K$11)</f>
        <v>5.5147656768714146</v>
      </c>
      <c r="N388" s="194">
        <f t="shared" si="36"/>
        <v>1.9832000000000001</v>
      </c>
      <c r="O388" s="376">
        <f>IF('Dry_Litterbag Placem_Collection'!G95="","",'Dry_Litterbag Placem_Collection'!G95)</f>
        <v>43006</v>
      </c>
      <c r="P388" s="194">
        <f>IFERROR(INDEX('Both teabags AfterDry'!$D$3:$D$2000,MATCH(H388,'Both teabags AfterDry'!$A$3:$A$2000,0)),"")</f>
        <v>1.8389</v>
      </c>
      <c r="Q388" s="194">
        <f>IFERROR(INDEX('Both teabags AfterDry'!$D$3:$D$2000,MATCH(I388,'Both teabags AfterDry'!$A$3:$A$2000,0)),"")</f>
        <v>2.0352999999999999</v>
      </c>
      <c r="R388" s="194">
        <f t="shared" si="38"/>
        <v>1.6882999999999999</v>
      </c>
      <c r="S388" s="194">
        <f t="shared" si="38"/>
        <v>1.8846999999999998</v>
      </c>
      <c r="T388" s="194">
        <f t="shared" si="39"/>
        <v>3.9756569218519E-2</v>
      </c>
      <c r="U388" s="194">
        <f t="shared" si="40"/>
        <v>2.6063689083874703E-2</v>
      </c>
      <c r="V388" s="194">
        <f t="shared" si="41"/>
        <v>0.95033279548204908</v>
      </c>
      <c r="W388">
        <f t="shared" si="42"/>
        <v>69</v>
      </c>
      <c r="X388" s="194">
        <f t="shared" si="43"/>
        <v>0.95278317194950235</v>
      </c>
      <c r="Y388" s="194" t="str">
        <f t="shared" si="44"/>
        <v/>
      </c>
      <c r="Z388" s="245" t="str">
        <f>IF(ISNUMBER(SEARCH("C", 'Dry_Litterbag Placem_Collection'!$V95)),"YES","NO")</f>
        <v>NO</v>
      </c>
      <c r="AA388" s="245" t="str">
        <f>IF(ISNUMBER(SEARCH("H", 'Dry_Litterbag Placem_Collection'!$V95)),"YES","NO")</f>
        <v>NO</v>
      </c>
      <c r="AB388" s="245" t="str">
        <f>IF(ISNUMBER(SEARCH("R", 'Dry_Litterbag Placem_Collection'!$V95)),"YES","NO")</f>
        <v>NO</v>
      </c>
      <c r="AC388" s="245" t="str">
        <f>IF(ISNUMBER(SEARCH("C", 'Dry_Litterbag Placem_Collection'!$U95)),"YES","NO")</f>
        <v>NO</v>
      </c>
      <c r="AD388" s="245" t="str">
        <f>IF(ISNUMBER(SEARCH("H", 'Dry_Litterbag Placem_Collection'!$U95)),"YES","NO")</f>
        <v>NO</v>
      </c>
      <c r="AE388" s="245" t="str">
        <f>IF(ISNUMBER(SEARCH("R", 'Dry_Litterbag Placem_Collection'!$U95)),"YES","NO")</f>
        <v>NO</v>
      </c>
    </row>
    <row r="389" spans="2:31">
      <c r="B389" t="str">
        <f>Dryseason!B535</f>
        <v>Dry</v>
      </c>
      <c r="C389" s="253">
        <f>Dryseason!C535</f>
        <v>94</v>
      </c>
      <c r="D389" t="s">
        <v>3115</v>
      </c>
      <c r="E389" t="s">
        <v>25</v>
      </c>
      <c r="F389" s="375">
        <v>6</v>
      </c>
      <c r="G389" s="376" t="str">
        <f>IF('Dry_Litterbag Placem_Collection'!E96="","",'Dry_Litterbag Placem_Collection'!E96)</f>
        <v/>
      </c>
      <c r="H389" s="92" t="str">
        <f>Dryseason!L535</f>
        <v/>
      </c>
      <c r="I389" t="str">
        <f>Dryseason!L755</f>
        <v/>
      </c>
      <c r="J389" t="str">
        <f>IFERROR(INDEX('Green_rooibos initial weight'!$C$5:$C$2000,MATCH(H389, 'Green_rooibos initial weight'!$A$5:$A$2000,0)),"")</f>
        <v/>
      </c>
      <c r="K389" t="str">
        <f>IFERROR(INDEX('Green_rooibos initial weight'!$C$5:$C$2000,MATCH(I389, 'Green_rooibos initial weight'!$A$5:$A$2000,0)),"")</f>
        <v/>
      </c>
      <c r="L389" s="194" t="str">
        <f t="shared" si="37"/>
        <v/>
      </c>
      <c r="M389" s="233">
        <f>AVERAGE(Ashed_controlls!$K$1:$K$11)</f>
        <v>5.5147656768714146</v>
      </c>
      <c r="N389" s="194" t="str">
        <f t="shared" si="36"/>
        <v/>
      </c>
      <c r="O389" s="376" t="str">
        <f>IF('Dry_Litterbag Placem_Collection'!G96="","",'Dry_Litterbag Placem_Collection'!G96)</f>
        <v/>
      </c>
      <c r="P389" s="194" t="str">
        <f>IFERROR(INDEX('Both teabags AfterDry'!$D$3:$D$2000,MATCH(H389,'Both teabags AfterDry'!$A$3:$A$2000,0)),"")</f>
        <v/>
      </c>
      <c r="Q389" s="194" t="str">
        <f>IFERROR(INDEX('Both teabags AfterDry'!$D$3:$D$2000,MATCH(I389,'Both teabags AfterDry'!$A$3:$A$2000,0)),"")</f>
        <v/>
      </c>
      <c r="R389" s="194" t="str">
        <f t="shared" si="38"/>
        <v/>
      </c>
      <c r="S389" s="194" t="str">
        <f t="shared" si="38"/>
        <v/>
      </c>
      <c r="T389" s="194" t="str">
        <f t="shared" si="39"/>
        <v/>
      </c>
      <c r="U389" s="194" t="str">
        <f t="shared" si="40"/>
        <v/>
      </c>
      <c r="V389" s="194" t="str">
        <f t="shared" si="41"/>
        <v/>
      </c>
      <c r="W389" t="str">
        <f t="shared" si="42"/>
        <v/>
      </c>
      <c r="X389" s="194" t="str">
        <f t="shared" si="43"/>
        <v/>
      </c>
      <c r="Y389" s="194" t="str">
        <f t="shared" si="44"/>
        <v/>
      </c>
      <c r="Z389" s="245" t="str">
        <f>IF(ISNUMBER(SEARCH("C", 'Dry_Litterbag Placem_Collection'!$V96)),"YES","NO")</f>
        <v>NO</v>
      </c>
      <c r="AA389" s="245" t="str">
        <f>IF(ISNUMBER(SEARCH("H", 'Dry_Litterbag Placem_Collection'!$V96)),"YES","NO")</f>
        <v>NO</v>
      </c>
      <c r="AB389" s="245" t="str">
        <f>IF(ISNUMBER(SEARCH("R", 'Dry_Litterbag Placem_Collection'!$V96)),"YES","NO")</f>
        <v>NO</v>
      </c>
      <c r="AC389" s="245" t="str">
        <f>IF(ISNUMBER(SEARCH("C", 'Dry_Litterbag Placem_Collection'!$U96)),"YES","NO")</f>
        <v>NO</v>
      </c>
      <c r="AD389" s="245" t="str">
        <f>IF(ISNUMBER(SEARCH("H", 'Dry_Litterbag Placem_Collection'!$U96)),"YES","NO")</f>
        <v>NO</v>
      </c>
      <c r="AE389" s="245" t="str">
        <f>IF(ISNUMBER(SEARCH("R", 'Dry_Litterbag Placem_Collection'!$U96)),"YES","NO")</f>
        <v>NO</v>
      </c>
    </row>
    <row r="390" spans="2:31">
      <c r="B390" t="str">
        <f>Dryseason!B536</f>
        <v>Dry</v>
      </c>
      <c r="C390" s="253">
        <f>Dryseason!C536</f>
        <v>95</v>
      </c>
      <c r="D390" t="s">
        <v>3115</v>
      </c>
      <c r="E390" t="s">
        <v>25</v>
      </c>
      <c r="F390" s="375">
        <v>7</v>
      </c>
      <c r="G390" s="376">
        <f>IF('Dry_Litterbag Placem_Collection'!E97="","",'Dry_Litterbag Placem_Collection'!E97)</f>
        <v>42937</v>
      </c>
      <c r="H390" s="92" t="str">
        <f>Dryseason!L536</f>
        <v>G844</v>
      </c>
      <c r="I390" t="str">
        <f>Dryseason!L756</f>
        <v>R233</v>
      </c>
      <c r="J390">
        <f>IFERROR(INDEX('Green_rooibos initial weight'!$C$5:$C$2000,MATCH(H390, 'Green_rooibos initial weight'!$A$5:$A$2000,0)),"")</f>
        <v>1.95</v>
      </c>
      <c r="K390">
        <f>IFERROR(INDEX('Green_rooibos initial weight'!$C$5:$C$2000,MATCH(I390, 'Green_rooibos initial weight'!$A$5:$A$2000,0)),"")</f>
        <v>2.1749999999999998</v>
      </c>
      <c r="L390" s="194">
        <f t="shared" si="37"/>
        <v>1.7001999999999999</v>
      </c>
      <c r="M390" s="233">
        <f>AVERAGE(Ashed_controlls!$K$1:$K$11)</f>
        <v>5.5147656768714146</v>
      </c>
      <c r="N390" s="194">
        <f t="shared" si="36"/>
        <v>1.9251999999999998</v>
      </c>
      <c r="O390" s="376">
        <f>IF('Dry_Litterbag Placem_Collection'!G97="","",'Dry_Litterbag Placem_Collection'!G97)</f>
        <v>43006</v>
      </c>
      <c r="P390" s="194">
        <f>IFERROR(INDEX('Both teabags AfterDry'!$D$3:$D$2000,MATCH(H390,'Both teabags AfterDry'!$A$3:$A$2000,0)),"")</f>
        <v>1.7751999999999999</v>
      </c>
      <c r="Q390" s="194">
        <f>IFERROR(INDEX('Both teabags AfterDry'!$D$3:$D$2000,MATCH(I390,'Both teabags AfterDry'!$A$3:$A$2000,0)),"")</f>
        <v>1.9479</v>
      </c>
      <c r="R390" s="194">
        <f t="shared" si="38"/>
        <v>1.6245999999999998</v>
      </c>
      <c r="S390" s="194">
        <f t="shared" si="38"/>
        <v>1.7972999999999999</v>
      </c>
      <c r="T390" s="194">
        <f t="shared" si="39"/>
        <v>4.4465357016821638E-2</v>
      </c>
      <c r="U390" s="194">
        <f t="shared" si="40"/>
        <v>2.9150685360196597E-2</v>
      </c>
      <c r="V390" s="194">
        <f t="shared" si="41"/>
        <v>0.93356534386037815</v>
      </c>
      <c r="W390">
        <f t="shared" si="42"/>
        <v>69</v>
      </c>
      <c r="X390" s="194">
        <f t="shared" si="43"/>
        <v>0.9471907873909482</v>
      </c>
      <c r="Y390" s="194" t="str">
        <f t="shared" si="44"/>
        <v/>
      </c>
      <c r="Z390" s="245" t="str">
        <f>IF(ISNUMBER(SEARCH("C", 'Dry_Litterbag Placem_Collection'!$V97)),"YES","NO")</f>
        <v>NO</v>
      </c>
      <c r="AA390" s="245" t="str">
        <f>IF(ISNUMBER(SEARCH("H", 'Dry_Litterbag Placem_Collection'!$V97)),"YES","NO")</f>
        <v>NO</v>
      </c>
      <c r="AB390" s="245" t="str">
        <f>IF(ISNUMBER(SEARCH("R", 'Dry_Litterbag Placem_Collection'!$V97)),"YES","NO")</f>
        <v>NO</v>
      </c>
      <c r="AC390" s="245" t="str">
        <f>IF(ISNUMBER(SEARCH("C", 'Dry_Litterbag Placem_Collection'!$U97)),"YES","NO")</f>
        <v>NO</v>
      </c>
      <c r="AD390" s="245" t="str">
        <f>IF(ISNUMBER(SEARCH("H", 'Dry_Litterbag Placem_Collection'!$U97)),"YES","NO")</f>
        <v>NO</v>
      </c>
      <c r="AE390" s="245" t="str">
        <f>IF(ISNUMBER(SEARCH("R", 'Dry_Litterbag Placem_Collection'!$U97)),"YES","NO")</f>
        <v>NO</v>
      </c>
    </row>
    <row r="391" spans="2:31">
      <c r="B391" t="str">
        <f>Dryseason!B537</f>
        <v>Dry</v>
      </c>
      <c r="C391" s="253">
        <f>Dryseason!C537</f>
        <v>96</v>
      </c>
      <c r="D391" t="s">
        <v>3115</v>
      </c>
      <c r="E391" t="s">
        <v>25</v>
      </c>
      <c r="F391" s="375">
        <v>8</v>
      </c>
      <c r="G391" s="376">
        <f>IF('Dry_Litterbag Placem_Collection'!E98="","",'Dry_Litterbag Placem_Collection'!E98)</f>
        <v>42937</v>
      </c>
      <c r="H391" s="92" t="str">
        <f>Dryseason!L537</f>
        <v>G372</v>
      </c>
      <c r="I391" t="str">
        <f>Dryseason!L757</f>
        <v>R698</v>
      </c>
      <c r="J391">
        <f>IFERROR(INDEX('Green_rooibos initial weight'!$C$5:$C$2000,MATCH(H391, 'Green_rooibos initial weight'!$A$5:$A$2000,0)),"")</f>
        <v>2.1539999999999999</v>
      </c>
      <c r="K391">
        <f>IFERROR(INDEX('Green_rooibos initial weight'!$C$5:$C$2000,MATCH(I391, 'Green_rooibos initial weight'!$A$5:$A$2000,0)),"")</f>
        <v>2.1779999999999999</v>
      </c>
      <c r="L391" s="194">
        <f t="shared" si="37"/>
        <v>1.9041999999999999</v>
      </c>
      <c r="M391" s="233">
        <f>AVERAGE(Ashed_controlls!$K$1:$K$11)</f>
        <v>5.5147656768714146</v>
      </c>
      <c r="N391" s="194">
        <f t="shared" si="36"/>
        <v>1.9281999999999999</v>
      </c>
      <c r="O391" s="376">
        <f>IF('Dry_Litterbag Placem_Collection'!G98="","",'Dry_Litterbag Placem_Collection'!G98)</f>
        <v>43006</v>
      </c>
      <c r="P391" s="194">
        <f>IFERROR(INDEX('Both teabags AfterDry'!$D$3:$D$2000,MATCH(H391,'Both teabags AfterDry'!$A$3:$A$2000,0)),"")</f>
        <v>1.9605999999999999</v>
      </c>
      <c r="Q391" s="194">
        <f>IFERROR(INDEX('Both teabags AfterDry'!$D$3:$D$2000,MATCH(I391,'Both teabags AfterDry'!$A$3:$A$2000,0)),"")</f>
        <v>2.0065</v>
      </c>
      <c r="R391" s="194">
        <f t="shared" si="38"/>
        <v>1.8099999999999998</v>
      </c>
      <c r="S391" s="194">
        <f t="shared" si="38"/>
        <v>1.8558999999999999</v>
      </c>
      <c r="T391" s="194">
        <f t="shared" si="39"/>
        <v>4.9469593530091394E-2</v>
      </c>
      <c r="U391" s="194">
        <f t="shared" si="40"/>
        <v>3.2431372480534973E-2</v>
      </c>
      <c r="V391" s="194">
        <f t="shared" si="41"/>
        <v>0.96250388963800437</v>
      </c>
      <c r="W391">
        <f t="shared" si="42"/>
        <v>69</v>
      </c>
      <c r="X391" s="194">
        <f t="shared" si="43"/>
        <v>0.94124751362221926</v>
      </c>
      <c r="Y391" s="194" t="str">
        <f t="shared" si="44"/>
        <v/>
      </c>
      <c r="Z391" s="245" t="str">
        <f>IF(ISNUMBER(SEARCH("C", 'Dry_Litterbag Placem_Collection'!$V98)),"YES","NO")</f>
        <v>NO</v>
      </c>
      <c r="AA391" s="245" t="str">
        <f>IF(ISNUMBER(SEARCH("H", 'Dry_Litterbag Placem_Collection'!$V98)),"YES","NO")</f>
        <v>NO</v>
      </c>
      <c r="AB391" s="245" t="str">
        <f>IF(ISNUMBER(SEARCH("R", 'Dry_Litterbag Placem_Collection'!$V98)),"YES","NO")</f>
        <v>NO</v>
      </c>
      <c r="AC391" s="245" t="str">
        <f>IF(ISNUMBER(SEARCH("C", 'Dry_Litterbag Placem_Collection'!$U98)),"YES","NO")</f>
        <v>NO</v>
      </c>
      <c r="AD391" s="245" t="str">
        <f>IF(ISNUMBER(SEARCH("H", 'Dry_Litterbag Placem_Collection'!$U98)),"YES","NO")</f>
        <v>NO</v>
      </c>
      <c r="AE391" s="245" t="str">
        <f>IF(ISNUMBER(SEARCH("R", 'Dry_Litterbag Placem_Collection'!$U98)),"YES","NO")</f>
        <v>NO</v>
      </c>
    </row>
    <row r="392" spans="2:31">
      <c r="B392" t="str">
        <f>Dryseason!B538</f>
        <v>Dry</v>
      </c>
      <c r="C392" s="253">
        <f>Dryseason!C538</f>
        <v>97</v>
      </c>
      <c r="D392" t="s">
        <v>3116</v>
      </c>
      <c r="E392" t="s">
        <v>25</v>
      </c>
      <c r="F392" s="374">
        <v>1</v>
      </c>
      <c r="G392" s="376">
        <f>IF('Dry_Litterbag Placem_Collection'!E99="","",'Dry_Litterbag Placem_Collection'!E99)</f>
        <v>42939</v>
      </c>
      <c r="H392" s="92" t="str">
        <f>Dryseason!L538</f>
        <v>G3</v>
      </c>
      <c r="I392" t="str">
        <f>Dryseason!L758</f>
        <v>R47</v>
      </c>
      <c r="J392">
        <f>IFERROR(INDEX('Green_rooibos initial weight'!$C$5:$C$2000,MATCH(H392, 'Green_rooibos initial weight'!$A$5:$A$2000,0)),"")</f>
        <v>2.0470000000000002</v>
      </c>
      <c r="K392">
        <f>IFERROR(INDEX('Green_rooibos initial weight'!$C$5:$C$2000,MATCH(I392, 'Green_rooibos initial weight'!$A$5:$A$2000,0)),"")</f>
        <v>2.1850000000000001</v>
      </c>
      <c r="L392" s="194">
        <f t="shared" si="37"/>
        <v>1.7972000000000001</v>
      </c>
      <c r="M392" s="233">
        <f>AVERAGE(Ashed_controlls!$K$1:$K$11)</f>
        <v>5.5147656768714146</v>
      </c>
      <c r="N392" s="194">
        <f t="shared" si="36"/>
        <v>1.9352</v>
      </c>
      <c r="O392" s="376">
        <f>IF('Dry_Litterbag Placem_Collection'!G99="","",'Dry_Litterbag Placem_Collection'!G99)</f>
        <v>43010</v>
      </c>
      <c r="P392" s="194" t="str">
        <f>IFERROR(INDEX('Both teabags AfterDry'!$D$3:$D$2000,MATCH(H392,'Both teabags AfterDry'!$A$3:$A$2000,0)),"")</f>
        <v/>
      </c>
      <c r="Q392" s="194" t="str">
        <f>IFERROR(INDEX('Both teabags AfterDry'!$D$3:$D$2000,MATCH(I392,'Both teabags AfterDry'!$A$3:$A$2000,0)),"")</f>
        <v/>
      </c>
      <c r="R392" s="194" t="str">
        <f t="shared" si="38"/>
        <v/>
      </c>
      <c r="S392" s="194" t="str">
        <f t="shared" si="38"/>
        <v/>
      </c>
      <c r="T392" s="194" t="str">
        <f t="shared" si="39"/>
        <v/>
      </c>
      <c r="U392" s="194" t="str">
        <f t="shared" si="40"/>
        <v/>
      </c>
      <c r="V392" s="194" t="str">
        <f t="shared" si="41"/>
        <v/>
      </c>
      <c r="W392">
        <f t="shared" si="42"/>
        <v>71</v>
      </c>
      <c r="X392" s="194" t="str">
        <f t="shared" si="43"/>
        <v/>
      </c>
      <c r="Y392" s="194" t="str">
        <f t="shared" si="44"/>
        <v/>
      </c>
      <c r="Z392" s="245" t="str">
        <f>IF(ISNUMBER(SEARCH("C", 'Dry_Litterbag Placem_Collection'!$V99)),"YES","NO")</f>
        <v>NO</v>
      </c>
      <c r="AA392" s="245" t="str">
        <f>IF(ISNUMBER(SEARCH("H", 'Dry_Litterbag Placem_Collection'!$V99)),"YES","NO")</f>
        <v>NO</v>
      </c>
      <c r="AB392" s="245" t="str">
        <f>IF(ISNUMBER(SEARCH("R", 'Dry_Litterbag Placem_Collection'!$V99)),"YES","NO")</f>
        <v>NO</v>
      </c>
      <c r="AC392" s="245" t="str">
        <f>IF(ISNUMBER(SEARCH("C", 'Dry_Litterbag Placem_Collection'!$U99)),"YES","NO")</f>
        <v>NO</v>
      </c>
      <c r="AD392" s="245" t="str">
        <f>IF(ISNUMBER(SEARCH("H", 'Dry_Litterbag Placem_Collection'!$U99)),"YES","NO")</f>
        <v>NO</v>
      </c>
      <c r="AE392" s="245" t="str">
        <f>IF(ISNUMBER(SEARCH("R", 'Dry_Litterbag Placem_Collection'!$U99)),"YES","NO")</f>
        <v>NO</v>
      </c>
    </row>
    <row r="393" spans="2:31">
      <c r="B393" t="str">
        <f>Dryseason!B539</f>
        <v>Dry</v>
      </c>
      <c r="C393" s="253">
        <f>Dryseason!C539</f>
        <v>98</v>
      </c>
      <c r="D393" t="s">
        <v>3116</v>
      </c>
      <c r="E393" t="s">
        <v>25</v>
      </c>
      <c r="F393" s="374">
        <v>2</v>
      </c>
      <c r="G393" s="376">
        <f>IF('Dry_Litterbag Placem_Collection'!E100="","",'Dry_Litterbag Placem_Collection'!E100)</f>
        <v>42939</v>
      </c>
      <c r="H393" s="92" t="str">
        <f>Dryseason!L539</f>
        <v>G25</v>
      </c>
      <c r="I393" t="str">
        <f>Dryseason!L759</f>
        <v>R707</v>
      </c>
      <c r="J393">
        <f>IFERROR(INDEX('Green_rooibos initial weight'!$C$5:$C$2000,MATCH(H393, 'Green_rooibos initial weight'!$A$5:$A$2000,0)),"")</f>
        <v>2.0230000000000001</v>
      </c>
      <c r="K393">
        <f>IFERROR(INDEX('Green_rooibos initial weight'!$C$5:$C$2000,MATCH(I393, 'Green_rooibos initial weight'!$A$5:$A$2000,0)),"")</f>
        <v>2.145</v>
      </c>
      <c r="L393" s="194">
        <f t="shared" si="37"/>
        <v>1.7732000000000001</v>
      </c>
      <c r="M393" s="233">
        <f>AVERAGE(Ashed_controlls!$K$1:$K$11)</f>
        <v>5.5147656768714146</v>
      </c>
      <c r="N393" s="194">
        <f t="shared" si="36"/>
        <v>1.8952</v>
      </c>
      <c r="O393" s="376">
        <f>IF('Dry_Litterbag Placem_Collection'!G100="","",'Dry_Litterbag Placem_Collection'!G100)</f>
        <v>43010</v>
      </c>
      <c r="P393" s="194">
        <f>IFERROR(INDEX('Both teabags AfterDry'!$D$3:$D$2000,MATCH(H393,'Both teabags AfterDry'!$A$3:$A$2000,0)),"")</f>
        <v>0.995</v>
      </c>
      <c r="Q393" s="194">
        <f>IFERROR(INDEX('Both teabags AfterDry'!$D$3:$D$2000,MATCH(I393,'Both teabags AfterDry'!$A$3:$A$2000,0)),"")</f>
        <v>1.8146</v>
      </c>
      <c r="R393" s="194">
        <f t="shared" si="38"/>
        <v>0.84440000000000004</v>
      </c>
      <c r="S393" s="194">
        <f t="shared" si="38"/>
        <v>1.6639999999999999</v>
      </c>
      <c r="T393" s="194">
        <f t="shared" si="39"/>
        <v>0.52379878186329798</v>
      </c>
      <c r="U393" s="194">
        <f t="shared" si="40"/>
        <v>0.34339302563959684</v>
      </c>
      <c r="V393" s="194">
        <f t="shared" si="41"/>
        <v>0.87800759814267615</v>
      </c>
      <c r="W393">
        <f t="shared" si="42"/>
        <v>71</v>
      </c>
      <c r="X393" s="194">
        <f t="shared" si="43"/>
        <v>0.37791118543551305</v>
      </c>
      <c r="Y393" s="194">
        <f t="shared" si="44"/>
        <v>6.1817155044274286E-3</v>
      </c>
      <c r="Z393" s="245" t="str">
        <f>IF(ISNUMBER(SEARCH("C", 'Dry_Litterbag Placem_Collection'!$V100)),"YES","NO")</f>
        <v>NO</v>
      </c>
      <c r="AA393" s="245" t="str">
        <f>IF(ISNUMBER(SEARCH("H", 'Dry_Litterbag Placem_Collection'!$V100)),"YES","NO")</f>
        <v>NO</v>
      </c>
      <c r="AB393" s="245" t="str">
        <f>IF(ISNUMBER(SEARCH("R", 'Dry_Litterbag Placem_Collection'!$V100)),"YES","NO")</f>
        <v>NO</v>
      </c>
      <c r="AC393" s="245" t="str">
        <f>IF(ISNUMBER(SEARCH("C", 'Dry_Litterbag Placem_Collection'!$U100)),"YES","NO")</f>
        <v>NO</v>
      </c>
      <c r="AD393" s="245" t="str">
        <f>IF(ISNUMBER(SEARCH("H", 'Dry_Litterbag Placem_Collection'!$U100)),"YES","NO")</f>
        <v>NO</v>
      </c>
      <c r="AE393" s="245" t="str">
        <f>IF(ISNUMBER(SEARCH("R", 'Dry_Litterbag Placem_Collection'!$U100)),"YES","NO")</f>
        <v>NO</v>
      </c>
    </row>
    <row r="394" spans="2:31">
      <c r="B394" t="str">
        <f>Dryseason!B540</f>
        <v>Dry</v>
      </c>
      <c r="C394" s="253">
        <f>Dryseason!C540</f>
        <v>99</v>
      </c>
      <c r="D394" t="s">
        <v>3116</v>
      </c>
      <c r="E394" t="s">
        <v>25</v>
      </c>
      <c r="F394" s="374">
        <v>3</v>
      </c>
      <c r="G394" s="376" t="str">
        <f>IF('Dry_Litterbag Placem_Collection'!E101="","",'Dry_Litterbag Placem_Collection'!E101)</f>
        <v/>
      </c>
      <c r="H394" s="92" t="str">
        <f>Dryseason!L540</f>
        <v/>
      </c>
      <c r="I394" t="str">
        <f>Dryseason!L760</f>
        <v/>
      </c>
      <c r="J394" t="str">
        <f>IFERROR(INDEX('Green_rooibos initial weight'!$C$5:$C$2000,MATCH(H394, 'Green_rooibos initial weight'!$A$5:$A$2000,0)),"")</f>
        <v/>
      </c>
      <c r="K394" t="str">
        <f>IFERROR(INDEX('Green_rooibos initial weight'!$C$5:$C$2000,MATCH(I394, 'Green_rooibos initial weight'!$A$5:$A$2000,0)),"")</f>
        <v/>
      </c>
      <c r="L394" s="194" t="str">
        <f t="shared" si="37"/>
        <v/>
      </c>
      <c r="M394" s="233">
        <f>AVERAGE(Ashed_controlls!$K$1:$K$11)</f>
        <v>5.5147656768714146</v>
      </c>
      <c r="N394" s="194" t="str">
        <f t="shared" si="36"/>
        <v/>
      </c>
      <c r="O394" s="376" t="str">
        <f>IF('Dry_Litterbag Placem_Collection'!G101="","",'Dry_Litterbag Placem_Collection'!G101)</f>
        <v/>
      </c>
      <c r="P394" s="194" t="str">
        <f>IFERROR(INDEX('Both teabags AfterDry'!$D$3:$D$2000,MATCH(H394,'Both teabags AfterDry'!$A$3:$A$2000,0)),"")</f>
        <v/>
      </c>
      <c r="Q394" s="194" t="str">
        <f>IFERROR(INDEX('Both teabags AfterDry'!$D$3:$D$2000,MATCH(I394,'Both teabags AfterDry'!$A$3:$A$2000,0)),"")</f>
        <v/>
      </c>
      <c r="R394" s="194" t="str">
        <f t="shared" si="38"/>
        <v/>
      </c>
      <c r="S394" s="194" t="str">
        <f t="shared" si="38"/>
        <v/>
      </c>
      <c r="T394" s="194" t="str">
        <f t="shared" si="39"/>
        <v/>
      </c>
      <c r="U394" s="194" t="str">
        <f t="shared" si="40"/>
        <v/>
      </c>
      <c r="V394" s="194" t="str">
        <f t="shared" si="41"/>
        <v/>
      </c>
      <c r="W394" t="str">
        <f t="shared" si="42"/>
        <v/>
      </c>
      <c r="X394" s="194" t="str">
        <f t="shared" si="43"/>
        <v/>
      </c>
      <c r="Y394" s="194" t="str">
        <f t="shared" si="44"/>
        <v/>
      </c>
      <c r="Z394" s="245" t="str">
        <f>IF(ISNUMBER(SEARCH("C", 'Dry_Litterbag Placem_Collection'!$V101)),"YES","NO")</f>
        <v>NO</v>
      </c>
      <c r="AA394" s="245" t="str">
        <f>IF(ISNUMBER(SEARCH("H", 'Dry_Litterbag Placem_Collection'!$V101)),"YES","NO")</f>
        <v>NO</v>
      </c>
      <c r="AB394" s="245" t="str">
        <f>IF(ISNUMBER(SEARCH("R", 'Dry_Litterbag Placem_Collection'!$V101)),"YES","NO")</f>
        <v>NO</v>
      </c>
      <c r="AC394" s="245" t="str">
        <f>IF(ISNUMBER(SEARCH("C", 'Dry_Litterbag Placem_Collection'!$U101)),"YES","NO")</f>
        <v>NO</v>
      </c>
      <c r="AD394" s="245" t="str">
        <f>IF(ISNUMBER(SEARCH("H", 'Dry_Litterbag Placem_Collection'!$U101)),"YES","NO")</f>
        <v>NO</v>
      </c>
      <c r="AE394" s="245" t="str">
        <f>IF(ISNUMBER(SEARCH("R", 'Dry_Litterbag Placem_Collection'!$U101)),"YES","NO")</f>
        <v>NO</v>
      </c>
    </row>
    <row r="395" spans="2:31">
      <c r="B395" t="str">
        <f>Dryseason!B541</f>
        <v>Dry</v>
      </c>
      <c r="C395" s="253">
        <f>Dryseason!C541</f>
        <v>100</v>
      </c>
      <c r="D395" t="s">
        <v>3116</v>
      </c>
      <c r="E395" t="s">
        <v>25</v>
      </c>
      <c r="F395" s="375">
        <v>4</v>
      </c>
      <c r="G395" s="376">
        <f>IF('Dry_Litterbag Placem_Collection'!E102="","",'Dry_Litterbag Placem_Collection'!E102)</f>
        <v>42939</v>
      </c>
      <c r="H395" s="92" t="str">
        <f>Dryseason!L541</f>
        <v>G187</v>
      </c>
      <c r="I395" t="str">
        <f>Dryseason!L761</f>
        <v>R641</v>
      </c>
      <c r="J395">
        <f>IFERROR(INDEX('Green_rooibos initial weight'!$C$5:$C$2000,MATCH(H395, 'Green_rooibos initial weight'!$A$5:$A$2000,0)),"")</f>
        <v>1.996</v>
      </c>
      <c r="K395">
        <f>IFERROR(INDEX('Green_rooibos initial weight'!$C$5:$C$2000,MATCH(I395, 'Green_rooibos initial weight'!$A$5:$A$2000,0)),"")</f>
        <v>2.1459999999999999</v>
      </c>
      <c r="L395" s="194">
        <f t="shared" si="37"/>
        <v>1.7462</v>
      </c>
      <c r="M395" s="233">
        <f>AVERAGE(Ashed_controlls!$K$1:$K$11)</f>
        <v>5.5147656768714146</v>
      </c>
      <c r="N395" s="194">
        <f t="shared" si="36"/>
        <v>1.8961999999999999</v>
      </c>
      <c r="O395" s="376">
        <f>IF('Dry_Litterbag Placem_Collection'!G102="","",'Dry_Litterbag Placem_Collection'!G102)</f>
        <v>43010</v>
      </c>
      <c r="P395" s="194">
        <f>IFERROR(INDEX('Both teabags AfterDry'!$D$3:$D$2000,MATCH(H395,'Both teabags AfterDry'!$A$3:$A$2000,0)),"")</f>
        <v>1.1655</v>
      </c>
      <c r="Q395" s="194">
        <f>IFERROR(INDEX('Both teabags AfterDry'!$D$3:$D$2000,MATCH(I395,'Both teabags AfterDry'!$A$3:$A$2000,0)),"")</f>
        <v>1.9777</v>
      </c>
      <c r="R395" s="194">
        <f t="shared" si="38"/>
        <v>1.0148999999999999</v>
      </c>
      <c r="S395" s="194">
        <f t="shared" si="38"/>
        <v>1.8270999999999999</v>
      </c>
      <c r="T395" s="194">
        <f t="shared" si="39"/>
        <v>0.41879509792692704</v>
      </c>
      <c r="U395" s="194">
        <f t="shared" si="40"/>
        <v>0.27455450600435122</v>
      </c>
      <c r="V395" s="194">
        <f t="shared" si="41"/>
        <v>0.96355869634004854</v>
      </c>
      <c r="W395">
        <f t="shared" si="42"/>
        <v>71</v>
      </c>
      <c r="X395" s="194">
        <f t="shared" si="43"/>
        <v>0.50261864854284199</v>
      </c>
      <c r="Y395" s="194">
        <f t="shared" si="44"/>
        <v>2.005684580619812E-3</v>
      </c>
      <c r="Z395" s="245" t="str">
        <f>IF(ISNUMBER(SEARCH("C", 'Dry_Litterbag Placem_Collection'!$V102)),"YES","NO")</f>
        <v>NO</v>
      </c>
      <c r="AA395" s="245" t="str">
        <f>IF(ISNUMBER(SEARCH("H", 'Dry_Litterbag Placem_Collection'!$V102)),"YES","NO")</f>
        <v>NO</v>
      </c>
      <c r="AB395" s="245" t="str">
        <f>IF(ISNUMBER(SEARCH("R", 'Dry_Litterbag Placem_Collection'!$V102)),"YES","NO")</f>
        <v>NO</v>
      </c>
      <c r="AC395" s="245" t="str">
        <f>IF(ISNUMBER(SEARCH("C", 'Dry_Litterbag Placem_Collection'!$U102)),"YES","NO")</f>
        <v>NO</v>
      </c>
      <c r="AD395" s="245" t="str">
        <f>IF(ISNUMBER(SEARCH("H", 'Dry_Litterbag Placem_Collection'!$U102)),"YES","NO")</f>
        <v>NO</v>
      </c>
      <c r="AE395" s="245" t="str">
        <f>IF(ISNUMBER(SEARCH("R", 'Dry_Litterbag Placem_Collection'!$U102)),"YES","NO")</f>
        <v>NO</v>
      </c>
    </row>
    <row r="396" spans="2:31">
      <c r="B396" t="str">
        <f>Dryseason!B542</f>
        <v>Dry</v>
      </c>
      <c r="C396" s="253">
        <f>Dryseason!C542</f>
        <v>101</v>
      </c>
      <c r="D396" t="s">
        <v>3116</v>
      </c>
      <c r="E396" t="s">
        <v>25</v>
      </c>
      <c r="F396" s="375">
        <v>5</v>
      </c>
      <c r="G396" s="376">
        <f>IF('Dry_Litterbag Placem_Collection'!E103="","",'Dry_Litterbag Placem_Collection'!E103)</f>
        <v>42939</v>
      </c>
      <c r="H396" s="92" t="str">
        <f>Dryseason!L542</f>
        <v>G398</v>
      </c>
      <c r="I396" t="str">
        <f>Dryseason!L762</f>
        <v>R245</v>
      </c>
      <c r="J396">
        <f>IFERROR(INDEX('Green_rooibos initial weight'!$C$5:$C$2000,MATCH(H396, 'Green_rooibos initial weight'!$A$5:$A$2000,0)),"")</f>
        <v>1.9870000000000001</v>
      </c>
      <c r="K396">
        <f>IFERROR(INDEX('Green_rooibos initial weight'!$C$5:$C$2000,MATCH(I396, 'Green_rooibos initial weight'!$A$5:$A$2000,0)),"")</f>
        <v>2.258</v>
      </c>
      <c r="L396" s="194">
        <f t="shared" si="37"/>
        <v>1.7372000000000001</v>
      </c>
      <c r="M396" s="233">
        <f>AVERAGE(Ashed_controlls!$K$1:$K$11)</f>
        <v>5.5147656768714146</v>
      </c>
      <c r="N396" s="194">
        <f t="shared" ref="N396:N459" si="45">IFERROR(IF(K396&gt;0,(K396*$F$32-($F$29+$F$30)),""),"")</f>
        <v>2.0082</v>
      </c>
      <c r="O396" s="376">
        <f>IF('Dry_Litterbag Placem_Collection'!G103="","",'Dry_Litterbag Placem_Collection'!G103)</f>
        <v>43010</v>
      </c>
      <c r="P396" s="194">
        <f>IFERROR(INDEX('Both teabags AfterDry'!$D$3:$D$2000,MATCH(H396,'Both teabags AfterDry'!$A$3:$A$2000,0)),"")</f>
        <v>1.0217000000000001</v>
      </c>
      <c r="Q396" s="194">
        <f>IFERROR(INDEX('Both teabags AfterDry'!$D$3:$D$2000,MATCH(I396,'Both teabags AfterDry'!$A$3:$A$2000,0)),"")</f>
        <v>1.8418000000000001</v>
      </c>
      <c r="R396" s="194">
        <f t="shared" si="38"/>
        <v>0.87109999999999999</v>
      </c>
      <c r="S396" s="194">
        <f t="shared" si="38"/>
        <v>1.6912</v>
      </c>
      <c r="T396" s="194">
        <f t="shared" si="39"/>
        <v>0.49856090260188812</v>
      </c>
      <c r="U396" s="194">
        <f t="shared" si="40"/>
        <v>0.32684752759648728</v>
      </c>
      <c r="V396" s="194">
        <f t="shared" si="41"/>
        <v>0.84214719649437308</v>
      </c>
      <c r="W396">
        <f t="shared" si="42"/>
        <v>71</v>
      </c>
      <c r="X396" s="194">
        <f t="shared" si="43"/>
        <v>0.40788491377447966</v>
      </c>
      <c r="Y396" s="194">
        <f t="shared" si="44"/>
        <v>9.2905111218978178E-3</v>
      </c>
      <c r="Z396" s="245" t="str">
        <f>IF(ISNUMBER(SEARCH("C", 'Dry_Litterbag Placem_Collection'!$V103)),"YES","NO")</f>
        <v>NO</v>
      </c>
      <c r="AA396" s="245" t="str">
        <f>IF(ISNUMBER(SEARCH("H", 'Dry_Litterbag Placem_Collection'!$V103)),"YES","NO")</f>
        <v>NO</v>
      </c>
      <c r="AB396" s="245" t="str">
        <f>IF(ISNUMBER(SEARCH("R", 'Dry_Litterbag Placem_Collection'!$V103)),"YES","NO")</f>
        <v>NO</v>
      </c>
      <c r="AC396" s="245" t="str">
        <f>IF(ISNUMBER(SEARCH("C", 'Dry_Litterbag Placem_Collection'!$U103)),"YES","NO")</f>
        <v>NO</v>
      </c>
      <c r="AD396" s="245" t="str">
        <f>IF(ISNUMBER(SEARCH("H", 'Dry_Litterbag Placem_Collection'!$U103)),"YES","NO")</f>
        <v>NO</v>
      </c>
      <c r="AE396" s="245" t="str">
        <f>IF(ISNUMBER(SEARCH("R", 'Dry_Litterbag Placem_Collection'!$U103)),"YES","NO")</f>
        <v>NO</v>
      </c>
    </row>
    <row r="397" spans="2:31">
      <c r="B397" t="str">
        <f>Dryseason!B543</f>
        <v>Dry</v>
      </c>
      <c r="C397" s="253">
        <f>Dryseason!C543</f>
        <v>102</v>
      </c>
      <c r="D397" t="s">
        <v>3116</v>
      </c>
      <c r="E397" t="s">
        <v>25</v>
      </c>
      <c r="F397" s="375">
        <v>6</v>
      </c>
      <c r="G397" s="376">
        <f>IF('Dry_Litterbag Placem_Collection'!E104="","",'Dry_Litterbag Placem_Collection'!E104)</f>
        <v>42939</v>
      </c>
      <c r="H397" s="92" t="str">
        <f>Dryseason!L543</f>
        <v>G120</v>
      </c>
      <c r="I397" t="str">
        <f>Dryseason!L763</f>
        <v>R714</v>
      </c>
      <c r="J397">
        <f>IFERROR(INDEX('Green_rooibos initial weight'!$C$5:$C$2000,MATCH(H397, 'Green_rooibos initial weight'!$A$5:$A$2000,0)),"")</f>
        <v>2.0449999999999999</v>
      </c>
      <c r="K397">
        <f>IFERROR(INDEX('Green_rooibos initial weight'!$C$5:$C$2000,MATCH(I397, 'Green_rooibos initial weight'!$A$5:$A$2000,0)),"")</f>
        <v>2.1560000000000001</v>
      </c>
      <c r="L397" s="194">
        <f t="shared" ref="L397:L460" si="46">IFERROR(IF(J397&gt;0,(J397*$F$31-($F$29+$F$30)),""),"")</f>
        <v>1.7951999999999999</v>
      </c>
      <c r="M397" s="233">
        <f>AVERAGE(Ashed_controlls!$K$1:$K$11)</f>
        <v>5.5147656768714146</v>
      </c>
      <c r="N397" s="194">
        <f t="shared" si="45"/>
        <v>1.9062000000000001</v>
      </c>
      <c r="O397" s="376">
        <f>IF('Dry_Litterbag Placem_Collection'!G104="","",'Dry_Litterbag Placem_Collection'!G104)</f>
        <v>43010</v>
      </c>
      <c r="P397" s="194">
        <f>IFERROR(INDEX('Both teabags AfterDry'!$D$3:$D$2000,MATCH(H397,'Both teabags AfterDry'!$A$3:$A$2000,0)),"")</f>
        <v>1.0569999999999999</v>
      </c>
      <c r="Q397" s="194">
        <f>IFERROR(INDEX('Both teabags AfterDry'!$D$3:$D$2000,MATCH(I397,'Both teabags AfterDry'!$A$3:$A$2000,0)),"")</f>
        <v>1.8105</v>
      </c>
      <c r="R397" s="194">
        <f t="shared" ref="R397:S460" si="47">IFERROR(IF(P397&gt;0,P397-($F$29),""),"")</f>
        <v>0.90639999999999987</v>
      </c>
      <c r="S397" s="194">
        <f t="shared" si="47"/>
        <v>1.6598999999999999</v>
      </c>
      <c r="T397" s="194">
        <f t="shared" ref="T397:T460" si="48">IFERROR(1-R397/L397,"")</f>
        <v>0.49509803921568629</v>
      </c>
      <c r="U397" s="194">
        <f t="shared" ref="U397:U460" si="49">IFERROR($F$26*(1-X397),"")</f>
        <v>0.32457733687299151</v>
      </c>
      <c r="V397" s="194">
        <f t="shared" ref="V397:V460" si="50">IFERROR(S397/N397,"")</f>
        <v>0.87079005350960015</v>
      </c>
      <c r="W397">
        <f t="shared" ref="W397:W460" si="51">IFERROR(IF((O397-G397)&gt;0,(IFERROR(O397-G397,"")),""),"")</f>
        <v>71</v>
      </c>
      <c r="X397" s="194">
        <f t="shared" ref="X397:X460" si="52">IFERROR(1-(T397/$F$25),"")</f>
        <v>0.41199757812863858</v>
      </c>
      <c r="Y397" s="194">
        <f t="shared" ref="Y397:Y460" si="53">IFERROR(LN(U397/(V397-(1-U397)))/W397,"")</f>
        <v>7.1498872508218786E-3</v>
      </c>
      <c r="Z397" s="245" t="str">
        <f>IF(ISNUMBER(SEARCH("C", 'Dry_Litterbag Placem_Collection'!$V104)),"YES","NO")</f>
        <v>NO</v>
      </c>
      <c r="AA397" s="245" t="str">
        <f>IF(ISNUMBER(SEARCH("H", 'Dry_Litterbag Placem_Collection'!$V104)),"YES","NO")</f>
        <v>NO</v>
      </c>
      <c r="AB397" s="245" t="str">
        <f>IF(ISNUMBER(SEARCH("R", 'Dry_Litterbag Placem_Collection'!$V104)),"YES","NO")</f>
        <v>NO</v>
      </c>
      <c r="AC397" s="245" t="str">
        <f>IF(ISNUMBER(SEARCH("C", 'Dry_Litterbag Placem_Collection'!$U104)),"YES","NO")</f>
        <v>NO</v>
      </c>
      <c r="AD397" s="245" t="str">
        <f>IF(ISNUMBER(SEARCH("H", 'Dry_Litterbag Placem_Collection'!$U104)),"YES","NO")</f>
        <v>NO</v>
      </c>
      <c r="AE397" s="245" t="str">
        <f>IF(ISNUMBER(SEARCH("R", 'Dry_Litterbag Placem_Collection'!$U104)),"YES","NO")</f>
        <v>NO</v>
      </c>
    </row>
    <row r="398" spans="2:31">
      <c r="B398" t="str">
        <f>Dryseason!B544</f>
        <v>Dry</v>
      </c>
      <c r="C398" s="253">
        <f>Dryseason!C544</f>
        <v>103</v>
      </c>
      <c r="D398" t="s">
        <v>3116</v>
      </c>
      <c r="E398" t="s">
        <v>25</v>
      </c>
      <c r="F398" s="375">
        <v>7</v>
      </c>
      <c r="G398" s="376">
        <f>IF('Dry_Litterbag Placem_Collection'!E105="","",'Dry_Litterbag Placem_Collection'!E105)</f>
        <v>42939</v>
      </c>
      <c r="H398" s="92" t="str">
        <f>Dryseason!L544</f>
        <v>G145</v>
      </c>
      <c r="I398" t="str">
        <f>Dryseason!L764</f>
        <v>R701</v>
      </c>
      <c r="J398">
        <f>IFERROR(INDEX('Green_rooibos initial weight'!$C$5:$C$2000,MATCH(H398, 'Green_rooibos initial weight'!$A$5:$A$2000,0)),"")</f>
        <v>2.044</v>
      </c>
      <c r="K398">
        <f>IFERROR(INDEX('Green_rooibos initial weight'!$C$5:$C$2000,MATCH(I398, 'Green_rooibos initial weight'!$A$5:$A$2000,0)),"")</f>
        <v>2.1549999999999998</v>
      </c>
      <c r="L398" s="194">
        <f t="shared" si="46"/>
        <v>1.7942</v>
      </c>
      <c r="M398" s="233">
        <f>AVERAGE(Ashed_controlls!$K$1:$K$11)</f>
        <v>5.5147656768714146</v>
      </c>
      <c r="N398" s="194">
        <f t="shared" si="45"/>
        <v>1.9051999999999998</v>
      </c>
      <c r="O398" s="376">
        <f>IF('Dry_Litterbag Placem_Collection'!G105="","",'Dry_Litterbag Placem_Collection'!G105)</f>
        <v>43010</v>
      </c>
      <c r="P398" s="194">
        <f>IFERROR(INDEX('Both teabags AfterDry'!$D$3:$D$2000,MATCH(H398,'Both teabags AfterDry'!$A$3:$A$2000,0)),"")</f>
        <v>1.0654999999999999</v>
      </c>
      <c r="Q398" s="194">
        <f>IFERROR(INDEX('Both teabags AfterDry'!$D$3:$D$2000,MATCH(I398,'Both teabags AfterDry'!$A$3:$A$2000,0)),"")</f>
        <v>1.8272999999999999</v>
      </c>
      <c r="R398" s="194">
        <f t="shared" si="47"/>
        <v>0.91489999999999982</v>
      </c>
      <c r="S398" s="194">
        <f t="shared" si="47"/>
        <v>1.6766999999999999</v>
      </c>
      <c r="T398" s="194">
        <f t="shared" si="48"/>
        <v>0.49007914390814855</v>
      </c>
      <c r="U398" s="194">
        <f t="shared" si="49"/>
        <v>0.32128703971175537</v>
      </c>
      <c r="V398" s="194">
        <f t="shared" si="50"/>
        <v>0.88006508503044301</v>
      </c>
      <c r="W398">
        <f t="shared" si="51"/>
        <v>71</v>
      </c>
      <c r="X398" s="194">
        <f t="shared" si="52"/>
        <v>0.41795826139174752</v>
      </c>
      <c r="Y398" s="194">
        <f t="shared" si="53"/>
        <v>6.5814040641289174E-3</v>
      </c>
      <c r="Z398" s="245" t="str">
        <f>IF(ISNUMBER(SEARCH("C", 'Dry_Litterbag Placem_Collection'!$V105)),"YES","NO")</f>
        <v>NO</v>
      </c>
      <c r="AA398" s="245" t="str">
        <f>IF(ISNUMBER(SEARCH("H", 'Dry_Litterbag Placem_Collection'!$V105)),"YES","NO")</f>
        <v>NO</v>
      </c>
      <c r="AB398" s="245" t="str">
        <f>IF(ISNUMBER(SEARCH("R", 'Dry_Litterbag Placem_Collection'!$V105)),"YES","NO")</f>
        <v>NO</v>
      </c>
      <c r="AC398" s="245" t="str">
        <f>IF(ISNUMBER(SEARCH("C", 'Dry_Litterbag Placem_Collection'!$U105)),"YES","NO")</f>
        <v>NO</v>
      </c>
      <c r="AD398" s="245" t="str">
        <f>IF(ISNUMBER(SEARCH("H", 'Dry_Litterbag Placem_Collection'!$U105)),"YES","NO")</f>
        <v>NO</v>
      </c>
      <c r="AE398" s="245" t="str">
        <f>IF(ISNUMBER(SEARCH("R", 'Dry_Litterbag Placem_Collection'!$U105)),"YES","NO")</f>
        <v>NO</v>
      </c>
    </row>
    <row r="399" spans="2:31">
      <c r="B399" t="str">
        <f>Dryseason!B545</f>
        <v>Dry</v>
      </c>
      <c r="C399" s="253">
        <f>Dryseason!C545</f>
        <v>104</v>
      </c>
      <c r="D399" t="s">
        <v>3116</v>
      </c>
      <c r="E399" t="s">
        <v>25</v>
      </c>
      <c r="F399" s="375">
        <v>8</v>
      </c>
      <c r="G399" s="376">
        <f>IF('Dry_Litterbag Placem_Collection'!E106="","",'Dry_Litterbag Placem_Collection'!E106)</f>
        <v>42939</v>
      </c>
      <c r="H399" s="92" t="str">
        <f>Dryseason!L545</f>
        <v>G76</v>
      </c>
      <c r="I399" t="str">
        <f>Dryseason!L765</f>
        <v>R365</v>
      </c>
      <c r="J399">
        <f>IFERROR(INDEX('Green_rooibos initial weight'!$C$5:$C$2000,MATCH(H399, 'Green_rooibos initial weight'!$A$5:$A$2000,0)),"")</f>
        <v>2.0129999999999999</v>
      </c>
      <c r="K399">
        <f>IFERROR(INDEX('Green_rooibos initial weight'!$C$5:$C$2000,MATCH(I399, 'Green_rooibos initial weight'!$A$5:$A$2000,0)),"")</f>
        <v>2.2130000000000001</v>
      </c>
      <c r="L399" s="194">
        <f t="shared" si="46"/>
        <v>1.7631999999999999</v>
      </c>
      <c r="M399" s="233">
        <f>AVERAGE(Ashed_controlls!$K$1:$K$11)</f>
        <v>5.5147656768714146</v>
      </c>
      <c r="N399" s="194">
        <f t="shared" si="45"/>
        <v>1.9632000000000001</v>
      </c>
      <c r="O399" s="376">
        <f>IF('Dry_Litterbag Placem_Collection'!G106="","",'Dry_Litterbag Placem_Collection'!G106)</f>
        <v>43010</v>
      </c>
      <c r="P399" s="194">
        <f>IFERROR(INDEX('Both teabags AfterDry'!$D$3:$D$2000,MATCH(H399,'Both teabags AfterDry'!$A$3:$A$2000,0)),"")</f>
        <v>1.2876000000000001</v>
      </c>
      <c r="Q399" s="194">
        <f>IFERROR(INDEX('Both teabags AfterDry'!$D$3:$D$2000,MATCH(I399,'Both teabags AfterDry'!$A$3:$A$2000,0)),"")</f>
        <v>1.9468000000000001</v>
      </c>
      <c r="R399" s="194">
        <f t="shared" si="47"/>
        <v>1.137</v>
      </c>
      <c r="S399" s="194">
        <f t="shared" si="47"/>
        <v>1.7962</v>
      </c>
      <c r="T399" s="194">
        <f t="shared" si="48"/>
        <v>0.35514972776769504</v>
      </c>
      <c r="U399" s="194">
        <f t="shared" si="49"/>
        <v>0.23282975027050795</v>
      </c>
      <c r="V399" s="194">
        <f t="shared" si="50"/>
        <v>0.91493480032599839</v>
      </c>
      <c r="W399">
        <f t="shared" si="51"/>
        <v>71</v>
      </c>
      <c r="X399" s="194">
        <f t="shared" si="52"/>
        <v>0.57820697414763056</v>
      </c>
      <c r="Y399" s="194">
        <f t="shared" si="53"/>
        <v>6.404047441108938E-3</v>
      </c>
      <c r="Z399" s="245" t="str">
        <f>IF(ISNUMBER(SEARCH("C", 'Dry_Litterbag Placem_Collection'!$V106)),"YES","NO")</f>
        <v>NO</v>
      </c>
      <c r="AA399" s="245" t="str">
        <f>IF(ISNUMBER(SEARCH("H", 'Dry_Litterbag Placem_Collection'!$V106)),"YES","NO")</f>
        <v>NO</v>
      </c>
      <c r="AB399" s="245" t="str">
        <f>IF(ISNUMBER(SEARCH("R", 'Dry_Litterbag Placem_Collection'!$V106)),"YES","NO")</f>
        <v>NO</v>
      </c>
      <c r="AC399" s="245" t="str">
        <f>IF(ISNUMBER(SEARCH("C", 'Dry_Litterbag Placem_Collection'!$U106)),"YES","NO")</f>
        <v>NO</v>
      </c>
      <c r="AD399" s="245" t="str">
        <f>IF(ISNUMBER(SEARCH("H", 'Dry_Litterbag Placem_Collection'!$U106)),"YES","NO")</f>
        <v>NO</v>
      </c>
      <c r="AE399" s="245" t="str">
        <f>IF(ISNUMBER(SEARCH("R", 'Dry_Litterbag Placem_Collection'!$U106)),"YES","NO")</f>
        <v>NO</v>
      </c>
    </row>
    <row r="400" spans="2:31">
      <c r="B400" t="str">
        <f>Dryseason!B546</f>
        <v>Dry</v>
      </c>
      <c r="C400" s="253">
        <f>Dryseason!C546</f>
        <v>105</v>
      </c>
      <c r="D400" t="s">
        <v>3118</v>
      </c>
      <c r="E400" t="s">
        <v>25</v>
      </c>
      <c r="F400" s="374">
        <v>1</v>
      </c>
      <c r="G400" s="376">
        <f>IF('Dry_Litterbag Placem_Collection'!E107="","",'Dry_Litterbag Placem_Collection'!E107)</f>
        <v>42939</v>
      </c>
      <c r="H400" s="92" t="str">
        <f>Dryseason!L546</f>
        <v>G57</v>
      </c>
      <c r="I400" t="str">
        <f>Dryseason!L766</f>
        <v>R212</v>
      </c>
      <c r="J400">
        <f>IFERROR(INDEX('Green_rooibos initial weight'!$C$5:$C$2000,MATCH(H400, 'Green_rooibos initial weight'!$A$5:$A$2000,0)),"")</f>
        <v>2.077</v>
      </c>
      <c r="K400">
        <f>IFERROR(INDEX('Green_rooibos initial weight'!$C$5:$C$2000,MATCH(I400, 'Green_rooibos initial weight'!$A$5:$A$2000,0)),"")</f>
        <v>2.2519999999999998</v>
      </c>
      <c r="L400" s="194">
        <f t="shared" si="46"/>
        <v>1.8271999999999999</v>
      </c>
      <c r="M400" s="233">
        <f>AVERAGE(Ashed_controlls!$K$1:$K$11)</f>
        <v>5.5147656768714146</v>
      </c>
      <c r="N400" s="194">
        <f t="shared" si="45"/>
        <v>2.0021999999999998</v>
      </c>
      <c r="O400" s="376">
        <f>IF('Dry_Litterbag Placem_Collection'!G107="","",'Dry_Litterbag Placem_Collection'!G107)</f>
        <v>43010</v>
      </c>
      <c r="P400" s="194">
        <f>IFERROR(INDEX('Both teabags AfterDry'!$D$3:$D$2000,MATCH(H400,'Both teabags AfterDry'!$A$3:$A$2000,0)),"")</f>
        <v>1.0114000000000001</v>
      </c>
      <c r="Q400" s="194">
        <f>IFERROR(INDEX('Both teabags AfterDry'!$D$3:$D$2000,MATCH(I400,'Both teabags AfterDry'!$A$3:$A$2000,0)),"")</f>
        <v>1.9135</v>
      </c>
      <c r="R400" s="194">
        <f t="shared" si="47"/>
        <v>0.86080000000000001</v>
      </c>
      <c r="S400" s="194">
        <f t="shared" si="47"/>
        <v>1.7628999999999999</v>
      </c>
      <c r="T400" s="194">
        <f t="shared" si="48"/>
        <v>0.52889667250437822</v>
      </c>
      <c r="U400" s="194">
        <f t="shared" si="49"/>
        <v>0.34673511071545937</v>
      </c>
      <c r="V400" s="194">
        <f t="shared" si="50"/>
        <v>0.88048147038257918</v>
      </c>
      <c r="W400">
        <f t="shared" si="51"/>
        <v>71</v>
      </c>
      <c r="X400" s="194">
        <f t="shared" si="52"/>
        <v>0.37185668348648671</v>
      </c>
      <c r="Y400" s="194">
        <f t="shared" si="53"/>
        <v>5.9529218924882256E-3</v>
      </c>
      <c r="Z400" s="245" t="str">
        <f>IF(ISNUMBER(SEARCH("C", 'Dry_Litterbag Placem_Collection'!$V107)),"YES","NO")</f>
        <v>NO</v>
      </c>
      <c r="AA400" s="245" t="str">
        <f>IF(ISNUMBER(SEARCH("H", 'Dry_Litterbag Placem_Collection'!$V107)),"YES","NO")</f>
        <v>NO</v>
      </c>
      <c r="AB400" s="245" t="str">
        <f>IF(ISNUMBER(SEARCH("R", 'Dry_Litterbag Placem_Collection'!$V107)),"YES","NO")</f>
        <v>NO</v>
      </c>
      <c r="AC400" s="245" t="str">
        <f>IF(ISNUMBER(SEARCH("C", 'Dry_Litterbag Placem_Collection'!$U107)),"YES","NO")</f>
        <v>NO</v>
      </c>
      <c r="AD400" s="245" t="str">
        <f>IF(ISNUMBER(SEARCH("H", 'Dry_Litterbag Placem_Collection'!$U107)),"YES","NO")</f>
        <v>NO</v>
      </c>
      <c r="AE400" s="245" t="str">
        <f>IF(ISNUMBER(SEARCH("R", 'Dry_Litterbag Placem_Collection'!$U107)),"YES","NO")</f>
        <v>NO</v>
      </c>
    </row>
    <row r="401" spans="2:31">
      <c r="B401" t="str">
        <f>Dryseason!B547</f>
        <v>Dry</v>
      </c>
      <c r="C401" s="253">
        <f>Dryseason!C547</f>
        <v>106</v>
      </c>
      <c r="D401" t="s">
        <v>3118</v>
      </c>
      <c r="E401" t="s">
        <v>25</v>
      </c>
      <c r="F401" s="374">
        <v>2</v>
      </c>
      <c r="G401" s="376">
        <f>IF('Dry_Litterbag Placem_Collection'!E108="","",'Dry_Litterbag Placem_Collection'!E108)</f>
        <v>42939</v>
      </c>
      <c r="H401" s="92" t="str">
        <f>Dryseason!L547</f>
        <v>G167</v>
      </c>
      <c r="I401" t="str">
        <f>Dryseason!L767</f>
        <v>R66</v>
      </c>
      <c r="J401">
        <f>IFERROR(INDEX('Green_rooibos initial weight'!$C$5:$C$2000,MATCH(H401, 'Green_rooibos initial weight'!$A$5:$A$2000,0)),"")</f>
        <v>1.996</v>
      </c>
      <c r="K401">
        <f>IFERROR(INDEX('Green_rooibos initial weight'!$C$5:$C$2000,MATCH(I401, 'Green_rooibos initial weight'!$A$5:$A$2000,0)),"")</f>
        <v>2.1120000000000001</v>
      </c>
      <c r="L401" s="194">
        <f t="shared" si="46"/>
        <v>1.7462</v>
      </c>
      <c r="M401" s="233">
        <f>AVERAGE(Ashed_controlls!$K$1:$K$11)</f>
        <v>5.5147656768714146</v>
      </c>
      <c r="N401" s="194">
        <f t="shared" si="45"/>
        <v>1.8622000000000001</v>
      </c>
      <c r="O401" s="376">
        <f>IF('Dry_Litterbag Placem_Collection'!G108="","",'Dry_Litterbag Placem_Collection'!G108)</f>
        <v>43010</v>
      </c>
      <c r="P401" s="194">
        <f>IFERROR(INDEX('Both teabags AfterDry'!$D$3:$D$2000,MATCH(H401,'Both teabags AfterDry'!$A$3:$A$2000,0)),"")</f>
        <v>0.98309999999999997</v>
      </c>
      <c r="Q401" s="194">
        <f>IFERROR(INDEX('Both teabags AfterDry'!$D$3:$D$2000,MATCH(I401,'Both teabags AfterDry'!$A$3:$A$2000,0)),"")</f>
        <v>1.7972999999999999</v>
      </c>
      <c r="R401" s="194">
        <f t="shared" si="47"/>
        <v>0.83250000000000002</v>
      </c>
      <c r="S401" s="194">
        <f t="shared" si="47"/>
        <v>1.6466999999999998</v>
      </c>
      <c r="T401" s="194">
        <f t="shared" si="48"/>
        <v>0.52325048677127473</v>
      </c>
      <c r="U401" s="194">
        <f t="shared" si="49"/>
        <v>0.34303357327523004</v>
      </c>
      <c r="V401" s="194">
        <f t="shared" si="50"/>
        <v>0.88427666201267308</v>
      </c>
      <c r="W401">
        <f t="shared" si="51"/>
        <v>71</v>
      </c>
      <c r="X401" s="194">
        <f t="shared" si="52"/>
        <v>0.37856236725501813</v>
      </c>
      <c r="Y401" s="194">
        <f t="shared" si="53"/>
        <v>5.795951604745061E-3</v>
      </c>
      <c r="Z401" s="245" t="str">
        <f>IF(ISNUMBER(SEARCH("C", 'Dry_Litterbag Placem_Collection'!$V108)),"YES","NO")</f>
        <v>NO</v>
      </c>
      <c r="AA401" s="245" t="str">
        <f>IF(ISNUMBER(SEARCH("H", 'Dry_Litterbag Placem_Collection'!$V108)),"YES","NO")</f>
        <v>NO</v>
      </c>
      <c r="AB401" s="245" t="str">
        <f>IF(ISNUMBER(SEARCH("R", 'Dry_Litterbag Placem_Collection'!$V108)),"YES","NO")</f>
        <v>NO</v>
      </c>
      <c r="AC401" s="245" t="str">
        <f>IF(ISNUMBER(SEARCH("C", 'Dry_Litterbag Placem_Collection'!$U108)),"YES","NO")</f>
        <v>NO</v>
      </c>
      <c r="AD401" s="245" t="str">
        <f>IF(ISNUMBER(SEARCH("H", 'Dry_Litterbag Placem_Collection'!$U108)),"YES","NO")</f>
        <v>NO</v>
      </c>
      <c r="AE401" s="245" t="str">
        <f>IF(ISNUMBER(SEARCH("R", 'Dry_Litterbag Placem_Collection'!$U108)),"YES","NO")</f>
        <v>NO</v>
      </c>
    </row>
    <row r="402" spans="2:31">
      <c r="B402" t="str">
        <f>Dryseason!B548</f>
        <v>Dry</v>
      </c>
      <c r="C402" s="253">
        <f>Dryseason!C548</f>
        <v>107</v>
      </c>
      <c r="D402" t="s">
        <v>3118</v>
      </c>
      <c r="E402" t="s">
        <v>25</v>
      </c>
      <c r="F402" s="374">
        <v>3</v>
      </c>
      <c r="G402" s="376">
        <f>IF('Dry_Litterbag Placem_Collection'!E109="","",'Dry_Litterbag Placem_Collection'!E109)</f>
        <v>42939</v>
      </c>
      <c r="H402" s="92" t="str">
        <f>Dryseason!L548</f>
        <v>G208</v>
      </c>
      <c r="I402" t="str">
        <f>Dryseason!L768</f>
        <v>R347</v>
      </c>
      <c r="J402">
        <f>IFERROR(INDEX('Green_rooibos initial weight'!$C$5:$C$2000,MATCH(H402, 'Green_rooibos initial weight'!$A$5:$A$2000,0)),"")</f>
        <v>2.0019999999999998</v>
      </c>
      <c r="K402">
        <f>IFERROR(INDEX('Green_rooibos initial weight'!$C$5:$C$2000,MATCH(I402, 'Green_rooibos initial weight'!$A$5:$A$2000,0)),"")</f>
        <v>2.2400000000000002</v>
      </c>
      <c r="L402" s="194">
        <f t="shared" si="46"/>
        <v>1.7521999999999998</v>
      </c>
      <c r="M402" s="233">
        <f>AVERAGE(Ashed_controlls!$K$1:$K$11)</f>
        <v>5.5147656768714146</v>
      </c>
      <c r="N402" s="194">
        <f t="shared" si="45"/>
        <v>1.9902000000000002</v>
      </c>
      <c r="O402" s="376">
        <f>IF('Dry_Litterbag Placem_Collection'!G109="","",'Dry_Litterbag Placem_Collection'!G109)</f>
        <v>43010</v>
      </c>
      <c r="P402" s="194" t="str">
        <f>IFERROR(INDEX('Both teabags AfterDry'!$D$3:$D$2000,MATCH(H402,'Both teabags AfterDry'!$A$3:$A$2000,0)),"")</f>
        <v/>
      </c>
      <c r="Q402" s="194" t="str">
        <f>IFERROR(INDEX('Both teabags AfterDry'!$D$3:$D$2000,MATCH(I402,'Both teabags AfterDry'!$A$3:$A$2000,0)),"")</f>
        <v/>
      </c>
      <c r="R402" s="194" t="str">
        <f t="shared" si="47"/>
        <v/>
      </c>
      <c r="S402" s="194" t="str">
        <f t="shared" si="47"/>
        <v/>
      </c>
      <c r="T402" s="194" t="str">
        <f t="shared" si="48"/>
        <v/>
      </c>
      <c r="U402" s="194" t="str">
        <f t="shared" si="49"/>
        <v/>
      </c>
      <c r="V402" s="194" t="str">
        <f t="shared" si="50"/>
        <v/>
      </c>
      <c r="W402">
        <f t="shared" si="51"/>
        <v>71</v>
      </c>
      <c r="X402" s="194" t="str">
        <f t="shared" si="52"/>
        <v/>
      </c>
      <c r="Y402" s="194" t="str">
        <f t="shared" si="53"/>
        <v/>
      </c>
      <c r="Z402" s="245" t="str">
        <f>IF(ISNUMBER(SEARCH("C", 'Dry_Litterbag Placem_Collection'!$V109)),"YES","NO")</f>
        <v>NO</v>
      </c>
      <c r="AA402" s="245" t="str">
        <f>IF(ISNUMBER(SEARCH("H", 'Dry_Litterbag Placem_Collection'!$V109)),"YES","NO")</f>
        <v>NO</v>
      </c>
      <c r="AB402" s="245" t="str">
        <f>IF(ISNUMBER(SEARCH("R", 'Dry_Litterbag Placem_Collection'!$V109)),"YES","NO")</f>
        <v>NO</v>
      </c>
      <c r="AC402" s="245" t="str">
        <f>IF(ISNUMBER(SEARCH("C", 'Dry_Litterbag Placem_Collection'!$U109)),"YES","NO")</f>
        <v>NO</v>
      </c>
      <c r="AD402" s="245" t="str">
        <f>IF(ISNUMBER(SEARCH("H", 'Dry_Litterbag Placem_Collection'!$U109)),"YES","NO")</f>
        <v>NO</v>
      </c>
      <c r="AE402" s="245" t="str">
        <f>IF(ISNUMBER(SEARCH("R", 'Dry_Litterbag Placem_Collection'!$U109)),"YES","NO")</f>
        <v>NO</v>
      </c>
    </row>
    <row r="403" spans="2:31">
      <c r="B403" t="str">
        <f>Dryseason!B549</f>
        <v>Dry</v>
      </c>
      <c r="C403" s="253">
        <f>Dryseason!C549</f>
        <v>108</v>
      </c>
      <c r="D403" t="s">
        <v>3118</v>
      </c>
      <c r="E403" t="s">
        <v>25</v>
      </c>
      <c r="F403" s="375">
        <v>4</v>
      </c>
      <c r="G403" s="376">
        <f>IF('Dry_Litterbag Placem_Collection'!E110="","",'Dry_Litterbag Placem_Collection'!E110)</f>
        <v>42939</v>
      </c>
      <c r="H403" s="92" t="str">
        <f>Dryseason!L549</f>
        <v>G62</v>
      </c>
      <c r="I403" t="str">
        <f>Dryseason!L769</f>
        <v>R206</v>
      </c>
      <c r="J403">
        <f>IFERROR(INDEX('Green_rooibos initial weight'!$C$5:$C$2000,MATCH(H403, 'Green_rooibos initial weight'!$A$5:$A$2000,0)),"")</f>
        <v>2.0819999999999999</v>
      </c>
      <c r="K403">
        <f>IFERROR(INDEX('Green_rooibos initial weight'!$C$5:$C$2000,MATCH(I403, 'Green_rooibos initial weight'!$A$5:$A$2000,0)),"")</f>
        <v>2.2549999999999999</v>
      </c>
      <c r="L403" s="194">
        <f t="shared" si="46"/>
        <v>1.8321999999999998</v>
      </c>
      <c r="M403" s="233">
        <f>AVERAGE(Ashed_controlls!$K$1:$K$11)</f>
        <v>5.5147656768714146</v>
      </c>
      <c r="N403" s="194">
        <f t="shared" si="45"/>
        <v>2.0051999999999999</v>
      </c>
      <c r="O403" s="376">
        <f>IF('Dry_Litterbag Placem_Collection'!G110="","",'Dry_Litterbag Placem_Collection'!G110)</f>
        <v>43010</v>
      </c>
      <c r="P403" s="194">
        <f>IFERROR(INDEX('Both teabags AfterDry'!$D$3:$D$2000,MATCH(H403,'Both teabags AfterDry'!$A$3:$A$2000,0)),"")</f>
        <v>1.0947</v>
      </c>
      <c r="Q403" s="194">
        <f>IFERROR(INDEX('Both teabags AfterDry'!$D$3:$D$2000,MATCH(I403,'Both teabags AfterDry'!$A$3:$A$2000,0)),"")</f>
        <v>1.9655</v>
      </c>
      <c r="R403" s="194">
        <f t="shared" si="47"/>
        <v>0.94409999999999994</v>
      </c>
      <c r="S403" s="194">
        <f t="shared" si="47"/>
        <v>1.8149</v>
      </c>
      <c r="T403" s="194">
        <f t="shared" si="48"/>
        <v>0.48471782556489462</v>
      </c>
      <c r="U403" s="194">
        <f t="shared" si="49"/>
        <v>0.31777225618981214</v>
      </c>
      <c r="V403" s="194">
        <f t="shared" si="50"/>
        <v>0.90509674845401955</v>
      </c>
      <c r="W403">
        <f t="shared" si="51"/>
        <v>71</v>
      </c>
      <c r="X403" s="194">
        <f t="shared" si="52"/>
        <v>0.42432562284454323</v>
      </c>
      <c r="Y403" s="194">
        <f t="shared" si="53"/>
        <v>4.9964897882045917E-3</v>
      </c>
      <c r="Z403" s="245" t="str">
        <f>IF(ISNUMBER(SEARCH("C", 'Dry_Litterbag Placem_Collection'!$V110)),"YES","NO")</f>
        <v>NO</v>
      </c>
      <c r="AA403" s="245" t="str">
        <f>IF(ISNUMBER(SEARCH("H", 'Dry_Litterbag Placem_Collection'!$V110)),"YES","NO")</f>
        <v>NO</v>
      </c>
      <c r="AB403" s="245" t="str">
        <f>IF(ISNUMBER(SEARCH("R", 'Dry_Litterbag Placem_Collection'!$V110)),"YES","NO")</f>
        <v>NO</v>
      </c>
      <c r="AC403" s="245" t="str">
        <f>IF(ISNUMBER(SEARCH("C", 'Dry_Litterbag Placem_Collection'!$U110)),"YES","NO")</f>
        <v>NO</v>
      </c>
      <c r="AD403" s="245" t="str">
        <f>IF(ISNUMBER(SEARCH("H", 'Dry_Litterbag Placem_Collection'!$U110)),"YES","NO")</f>
        <v>NO</v>
      </c>
      <c r="AE403" s="245" t="str">
        <f>IF(ISNUMBER(SEARCH("R", 'Dry_Litterbag Placem_Collection'!$U110)),"YES","NO")</f>
        <v>NO</v>
      </c>
    </row>
    <row r="404" spans="2:31">
      <c r="B404" t="str">
        <f>Dryseason!B550</f>
        <v>Dry</v>
      </c>
      <c r="C404" s="253">
        <f>Dryseason!C550</f>
        <v>109</v>
      </c>
      <c r="D404" t="s">
        <v>3118</v>
      </c>
      <c r="E404" t="s">
        <v>25</v>
      </c>
      <c r="F404" s="375">
        <v>5</v>
      </c>
      <c r="G404" s="376">
        <f>IF('Dry_Litterbag Placem_Collection'!E111="","",'Dry_Litterbag Placem_Collection'!E111)</f>
        <v>42939</v>
      </c>
      <c r="H404" s="92" t="str">
        <f>Dryseason!L550</f>
        <v>G102</v>
      </c>
      <c r="I404" t="str">
        <f>Dryseason!L770</f>
        <v>R299</v>
      </c>
      <c r="J404">
        <f>IFERROR(INDEX('Green_rooibos initial weight'!$C$5:$C$2000,MATCH(H404, 'Green_rooibos initial weight'!$A$5:$A$2000,0)),"")</f>
        <v>2.0920000000000001</v>
      </c>
      <c r="K404">
        <f>IFERROR(INDEX('Green_rooibos initial weight'!$C$5:$C$2000,MATCH(I404, 'Green_rooibos initial weight'!$A$5:$A$2000,0)),"")</f>
        <v>2.2919999999999998</v>
      </c>
      <c r="L404" s="194">
        <f t="shared" si="46"/>
        <v>1.8422000000000001</v>
      </c>
      <c r="M404" s="233">
        <f>AVERAGE(Ashed_controlls!$K$1:$K$11)</f>
        <v>5.5147656768714146</v>
      </c>
      <c r="N404" s="194">
        <f t="shared" si="45"/>
        <v>2.0421999999999998</v>
      </c>
      <c r="O404" s="376">
        <f>IF('Dry_Litterbag Placem_Collection'!G111="","",'Dry_Litterbag Placem_Collection'!G111)</f>
        <v>43010</v>
      </c>
      <c r="P404" s="194">
        <f>IFERROR(INDEX('Both teabags AfterDry'!$D$3:$D$2000,MATCH(H404,'Both teabags AfterDry'!$A$3:$A$2000,0)),"")</f>
        <v>1.0327999999999999</v>
      </c>
      <c r="Q404" s="194">
        <f>IFERROR(INDEX('Both teabags AfterDry'!$D$3:$D$2000,MATCH(I404,'Both teabags AfterDry'!$A$3:$A$2000,0)),"")</f>
        <v>1.8811</v>
      </c>
      <c r="R404" s="194">
        <f t="shared" si="47"/>
        <v>0.88219999999999987</v>
      </c>
      <c r="S404" s="194">
        <f t="shared" si="47"/>
        <v>1.7304999999999999</v>
      </c>
      <c r="T404" s="194">
        <f t="shared" si="48"/>
        <v>0.52111605688850293</v>
      </c>
      <c r="U404" s="194">
        <f t="shared" si="49"/>
        <v>0.34163427957536063</v>
      </c>
      <c r="V404" s="194">
        <f t="shared" si="50"/>
        <v>0.84737048281265304</v>
      </c>
      <c r="W404">
        <f t="shared" si="51"/>
        <v>71</v>
      </c>
      <c r="X404" s="194">
        <f t="shared" si="52"/>
        <v>0.38109731960985394</v>
      </c>
      <c r="Y404" s="194">
        <f t="shared" si="53"/>
        <v>8.3375858360886165E-3</v>
      </c>
      <c r="Z404" s="245" t="str">
        <f>IF(ISNUMBER(SEARCH("C", 'Dry_Litterbag Placem_Collection'!$V111)),"YES","NO")</f>
        <v>NO</v>
      </c>
      <c r="AA404" s="245" t="str">
        <f>IF(ISNUMBER(SEARCH("H", 'Dry_Litterbag Placem_Collection'!$V111)),"YES","NO")</f>
        <v>NO</v>
      </c>
      <c r="AB404" s="245" t="str">
        <f>IF(ISNUMBER(SEARCH("R", 'Dry_Litterbag Placem_Collection'!$V111)),"YES","NO")</f>
        <v>NO</v>
      </c>
      <c r="AC404" s="245" t="str">
        <f>IF(ISNUMBER(SEARCH("C", 'Dry_Litterbag Placem_Collection'!$U111)),"YES","NO")</f>
        <v>NO</v>
      </c>
      <c r="AD404" s="245" t="str">
        <f>IF(ISNUMBER(SEARCH("H", 'Dry_Litterbag Placem_Collection'!$U111)),"YES","NO")</f>
        <v>NO</v>
      </c>
      <c r="AE404" s="245" t="str">
        <f>IF(ISNUMBER(SEARCH("R", 'Dry_Litterbag Placem_Collection'!$U111)),"YES","NO")</f>
        <v>NO</v>
      </c>
    </row>
    <row r="405" spans="2:31">
      <c r="B405" t="str">
        <f>Dryseason!B551</f>
        <v>Dry</v>
      </c>
      <c r="C405" s="253">
        <f>Dryseason!C551</f>
        <v>110</v>
      </c>
      <c r="D405" t="s">
        <v>3118</v>
      </c>
      <c r="E405" t="s">
        <v>25</v>
      </c>
      <c r="F405" s="375">
        <v>6</v>
      </c>
      <c r="G405" s="376">
        <f>IF('Dry_Litterbag Placem_Collection'!E112="","",'Dry_Litterbag Placem_Collection'!E112)</f>
        <v>42939</v>
      </c>
      <c r="H405" s="92" t="str">
        <f>Dryseason!L551</f>
        <v>G265</v>
      </c>
      <c r="I405" t="str">
        <f>Dryseason!L771</f>
        <v>R636</v>
      </c>
      <c r="J405">
        <f>IFERROR(INDEX('Green_rooibos initial weight'!$C$5:$C$2000,MATCH(H405, 'Green_rooibos initial weight'!$A$5:$A$2000,0)),"")</f>
        <v>1.9790000000000001</v>
      </c>
      <c r="K405">
        <f>IFERROR(INDEX('Green_rooibos initial weight'!$C$5:$C$2000,MATCH(I405, 'Green_rooibos initial weight'!$A$5:$A$2000,0)),"")</f>
        <v>2.1080000000000001</v>
      </c>
      <c r="L405" s="194">
        <f t="shared" si="46"/>
        <v>1.7292000000000001</v>
      </c>
      <c r="M405" s="233">
        <f>AVERAGE(Ashed_controlls!$K$1:$K$11)</f>
        <v>5.5147656768714146</v>
      </c>
      <c r="N405" s="194">
        <f t="shared" si="45"/>
        <v>1.8582000000000001</v>
      </c>
      <c r="O405" s="376">
        <f>IF('Dry_Litterbag Placem_Collection'!G112="","",'Dry_Litterbag Placem_Collection'!G112)</f>
        <v>43010</v>
      </c>
      <c r="P405" s="194">
        <f>IFERROR(INDEX('Both teabags AfterDry'!$D$3:$D$2000,MATCH(H405,'Both teabags AfterDry'!$A$3:$A$2000,0)),"")</f>
        <v>0.93579999999999997</v>
      </c>
      <c r="Q405" s="194">
        <f>IFERROR(INDEX('Both teabags AfterDry'!$D$3:$D$2000,MATCH(I405,'Both teabags AfterDry'!$A$3:$A$2000,0)),"")</f>
        <v>1.8521000000000001</v>
      </c>
      <c r="R405" s="194">
        <f t="shared" si="47"/>
        <v>0.7851999999999999</v>
      </c>
      <c r="S405" s="194">
        <f t="shared" si="47"/>
        <v>1.7015</v>
      </c>
      <c r="T405" s="194">
        <f t="shared" si="48"/>
        <v>0.5459171871385613</v>
      </c>
      <c r="U405" s="194">
        <f t="shared" si="49"/>
        <v>0.35789345285093332</v>
      </c>
      <c r="V405" s="194">
        <f t="shared" si="50"/>
        <v>0.91567107953933913</v>
      </c>
      <c r="W405">
        <f t="shared" si="51"/>
        <v>71</v>
      </c>
      <c r="X405" s="194">
        <f t="shared" si="52"/>
        <v>0.35164229555990345</v>
      </c>
      <c r="Y405" s="194">
        <f t="shared" si="53"/>
        <v>3.7844757760579942E-3</v>
      </c>
      <c r="Z405" s="245" t="str">
        <f>IF(ISNUMBER(SEARCH("C", 'Dry_Litterbag Placem_Collection'!$V112)),"YES","NO")</f>
        <v>NO</v>
      </c>
      <c r="AA405" s="245" t="str">
        <f>IF(ISNUMBER(SEARCH("H", 'Dry_Litterbag Placem_Collection'!$V112)),"YES","NO")</f>
        <v>NO</v>
      </c>
      <c r="AB405" s="245" t="str">
        <f>IF(ISNUMBER(SEARCH("R", 'Dry_Litterbag Placem_Collection'!$V112)),"YES","NO")</f>
        <v>NO</v>
      </c>
      <c r="AC405" s="245" t="str">
        <f>IF(ISNUMBER(SEARCH("C", 'Dry_Litterbag Placem_Collection'!$U112)),"YES","NO")</f>
        <v>NO</v>
      </c>
      <c r="AD405" s="245" t="str">
        <f>IF(ISNUMBER(SEARCH("H", 'Dry_Litterbag Placem_Collection'!$U112)),"YES","NO")</f>
        <v>NO</v>
      </c>
      <c r="AE405" s="245" t="str">
        <f>IF(ISNUMBER(SEARCH("R", 'Dry_Litterbag Placem_Collection'!$U112)),"YES","NO")</f>
        <v>NO</v>
      </c>
    </row>
    <row r="406" spans="2:31">
      <c r="B406" t="str">
        <f>Dryseason!B552</f>
        <v>Dry</v>
      </c>
      <c r="C406" s="253">
        <f>Dryseason!C552</f>
        <v>111</v>
      </c>
      <c r="D406" t="s">
        <v>3118</v>
      </c>
      <c r="E406" t="s">
        <v>25</v>
      </c>
      <c r="F406" s="375">
        <v>7</v>
      </c>
      <c r="G406" s="376">
        <f>IF('Dry_Litterbag Placem_Collection'!E113="","",'Dry_Litterbag Placem_Collection'!E113)</f>
        <v>42939</v>
      </c>
      <c r="H406" s="92" t="str">
        <f>Dryseason!L552</f>
        <v>G455</v>
      </c>
      <c r="I406" t="str">
        <f>Dryseason!L772</f>
        <v>R239</v>
      </c>
      <c r="J406">
        <f>IFERROR(INDEX('Green_rooibos initial weight'!$C$5:$C$2000,MATCH(H406, 'Green_rooibos initial weight'!$A$5:$A$2000,0)),"")</f>
        <v>2.0299999999999998</v>
      </c>
      <c r="K406">
        <f>IFERROR(INDEX('Green_rooibos initial weight'!$C$5:$C$2000,MATCH(I406, 'Green_rooibos initial weight'!$A$5:$A$2000,0)),"")</f>
        <v>2.2189999999999999</v>
      </c>
      <c r="L406" s="194">
        <f t="shared" si="46"/>
        <v>1.7801999999999998</v>
      </c>
      <c r="M406" s="233">
        <f>AVERAGE(Ashed_controlls!$K$1:$K$11)</f>
        <v>5.5147656768714146</v>
      </c>
      <c r="N406" s="194">
        <f t="shared" si="45"/>
        <v>1.9691999999999998</v>
      </c>
      <c r="O406" s="376">
        <f>IF('Dry_Litterbag Placem_Collection'!G113="","",'Dry_Litterbag Placem_Collection'!G113)</f>
        <v>43010</v>
      </c>
      <c r="P406" s="194">
        <f>IFERROR(INDEX('Both teabags AfterDry'!$D$3:$D$2000,MATCH(H406,'Both teabags AfterDry'!$A$3:$A$2000,0)),"")</f>
        <v>0.92169999999999996</v>
      </c>
      <c r="Q406" s="194">
        <f>IFERROR(INDEX('Both teabags AfterDry'!$D$3:$D$2000,MATCH(I406,'Both teabags AfterDry'!$A$3:$A$2000,0)),"")</f>
        <v>1.8743000000000001</v>
      </c>
      <c r="R406" s="194">
        <f t="shared" si="47"/>
        <v>0.7710999999999999</v>
      </c>
      <c r="S406" s="194">
        <f t="shared" si="47"/>
        <v>1.7237</v>
      </c>
      <c r="T406" s="194">
        <f t="shared" si="48"/>
        <v>0.56684642175036515</v>
      </c>
      <c r="U406" s="194">
        <f t="shared" si="49"/>
        <v>0.37161428124251966</v>
      </c>
      <c r="V406" s="194">
        <f t="shared" si="50"/>
        <v>0.87533008328255135</v>
      </c>
      <c r="W406">
        <f t="shared" si="51"/>
        <v>71</v>
      </c>
      <c r="X406" s="194">
        <f t="shared" si="52"/>
        <v>0.32678572238673975</v>
      </c>
      <c r="Y406" s="194">
        <f t="shared" si="53"/>
        <v>5.7562446696306779E-3</v>
      </c>
      <c r="Z406" s="245" t="str">
        <f>IF(ISNUMBER(SEARCH("C", 'Dry_Litterbag Placem_Collection'!$V113)),"YES","NO")</f>
        <v>NO</v>
      </c>
      <c r="AA406" s="245" t="str">
        <f>IF(ISNUMBER(SEARCH("H", 'Dry_Litterbag Placem_Collection'!$V113)),"YES","NO")</f>
        <v>NO</v>
      </c>
      <c r="AB406" s="245" t="str">
        <f>IF(ISNUMBER(SEARCH("R", 'Dry_Litterbag Placem_Collection'!$V113)),"YES","NO")</f>
        <v>NO</v>
      </c>
      <c r="AC406" s="245" t="str">
        <f>IF(ISNUMBER(SEARCH("C", 'Dry_Litterbag Placem_Collection'!$U113)),"YES","NO")</f>
        <v>NO</v>
      </c>
      <c r="AD406" s="245" t="str">
        <f>IF(ISNUMBER(SEARCH("H", 'Dry_Litterbag Placem_Collection'!$U113)),"YES","NO")</f>
        <v>NO</v>
      </c>
      <c r="AE406" s="245" t="str">
        <f>IF(ISNUMBER(SEARCH("R", 'Dry_Litterbag Placem_Collection'!$U113)),"YES","NO")</f>
        <v>NO</v>
      </c>
    </row>
    <row r="407" spans="2:31">
      <c r="B407" t="str">
        <f>Dryseason!B553</f>
        <v>Dry</v>
      </c>
      <c r="C407" s="253">
        <f>Dryseason!C553</f>
        <v>112</v>
      </c>
      <c r="D407" t="s">
        <v>3118</v>
      </c>
      <c r="E407" t="s">
        <v>25</v>
      </c>
      <c r="F407" s="375">
        <v>8</v>
      </c>
      <c r="G407" s="376" t="str">
        <f>IF('Dry_Litterbag Placem_Collection'!E114="","",'Dry_Litterbag Placem_Collection'!E114)</f>
        <v/>
      </c>
      <c r="H407" s="92" t="str">
        <f>Dryseason!L553</f>
        <v/>
      </c>
      <c r="I407" t="str">
        <f>Dryseason!L773</f>
        <v/>
      </c>
      <c r="J407" t="str">
        <f>IFERROR(INDEX('Green_rooibos initial weight'!$C$5:$C$2000,MATCH(H407, 'Green_rooibos initial weight'!$A$5:$A$2000,0)),"")</f>
        <v/>
      </c>
      <c r="K407" t="str">
        <f>IFERROR(INDEX('Green_rooibos initial weight'!$C$5:$C$2000,MATCH(I407, 'Green_rooibos initial weight'!$A$5:$A$2000,0)),"")</f>
        <v/>
      </c>
      <c r="L407" s="194" t="str">
        <f t="shared" si="46"/>
        <v/>
      </c>
      <c r="M407" s="233">
        <f>AVERAGE(Ashed_controlls!$K$1:$K$11)</f>
        <v>5.5147656768714146</v>
      </c>
      <c r="N407" s="194" t="str">
        <f t="shared" si="45"/>
        <v/>
      </c>
      <c r="O407" s="376" t="str">
        <f>IF('Dry_Litterbag Placem_Collection'!G114="","",'Dry_Litterbag Placem_Collection'!G114)</f>
        <v/>
      </c>
      <c r="P407" s="194" t="str">
        <f>IFERROR(INDEX('Both teabags AfterDry'!$D$3:$D$2000,MATCH(H407,'Both teabags AfterDry'!$A$3:$A$2000,0)),"")</f>
        <v/>
      </c>
      <c r="Q407" s="194" t="str">
        <f>IFERROR(INDEX('Both teabags AfterDry'!$D$3:$D$2000,MATCH(I407,'Both teabags AfterDry'!$A$3:$A$2000,0)),"")</f>
        <v/>
      </c>
      <c r="R407" s="194" t="str">
        <f t="shared" si="47"/>
        <v/>
      </c>
      <c r="S407" s="194" t="str">
        <f t="shared" si="47"/>
        <v/>
      </c>
      <c r="T407" s="194" t="str">
        <f t="shared" si="48"/>
        <v/>
      </c>
      <c r="U407" s="194" t="str">
        <f t="shared" si="49"/>
        <v/>
      </c>
      <c r="V407" s="194" t="str">
        <f t="shared" si="50"/>
        <v/>
      </c>
      <c r="W407" t="str">
        <f t="shared" si="51"/>
        <v/>
      </c>
      <c r="X407" s="194" t="str">
        <f t="shared" si="52"/>
        <v/>
      </c>
      <c r="Y407" s="194" t="str">
        <f t="shared" si="53"/>
        <v/>
      </c>
      <c r="Z407" s="245" t="str">
        <f>IF(ISNUMBER(SEARCH("C", 'Dry_Litterbag Placem_Collection'!$V114)),"YES","NO")</f>
        <v>NO</v>
      </c>
      <c r="AA407" s="245" t="str">
        <f>IF(ISNUMBER(SEARCH("H", 'Dry_Litterbag Placem_Collection'!$V114)),"YES","NO")</f>
        <v>NO</v>
      </c>
      <c r="AB407" s="245" t="str">
        <f>IF(ISNUMBER(SEARCH("R", 'Dry_Litterbag Placem_Collection'!$V114)),"YES","NO")</f>
        <v>NO</v>
      </c>
      <c r="AC407" s="245" t="str">
        <f>IF(ISNUMBER(SEARCH("C", 'Dry_Litterbag Placem_Collection'!$U114)),"YES","NO")</f>
        <v>NO</v>
      </c>
      <c r="AD407" s="245" t="str">
        <f>IF(ISNUMBER(SEARCH("H", 'Dry_Litterbag Placem_Collection'!$U114)),"YES","NO")</f>
        <v>NO</v>
      </c>
      <c r="AE407" s="245" t="str">
        <f>IF(ISNUMBER(SEARCH("R", 'Dry_Litterbag Placem_Collection'!$U114)),"YES","NO")</f>
        <v>NO</v>
      </c>
    </row>
    <row r="408" spans="2:31">
      <c r="B408" t="str">
        <f>Dryseason!B554</f>
        <v>Dry</v>
      </c>
      <c r="C408" s="253">
        <f>Dryseason!C554</f>
        <v>113</v>
      </c>
      <c r="D408" t="s">
        <v>3119</v>
      </c>
      <c r="E408" t="s">
        <v>25</v>
      </c>
      <c r="F408" s="374">
        <v>1</v>
      </c>
      <c r="G408" s="376">
        <f>IF('Dry_Litterbag Placem_Collection'!E115="","",'Dry_Litterbag Placem_Collection'!E115)</f>
        <v>42939</v>
      </c>
      <c r="H408" s="92" t="str">
        <f>Dryseason!L554</f>
        <v>G490</v>
      </c>
      <c r="I408" t="str">
        <f>Dryseason!L774</f>
        <v>R313</v>
      </c>
      <c r="J408">
        <f>IFERROR(INDEX('Green_rooibos initial weight'!$C$5:$C$2000,MATCH(H408, 'Green_rooibos initial weight'!$A$5:$A$2000,0)),"")</f>
        <v>1.881</v>
      </c>
      <c r="K408">
        <f>IFERROR(INDEX('Green_rooibos initial weight'!$C$5:$C$2000,MATCH(I408, 'Green_rooibos initial weight'!$A$5:$A$2000,0)),"")</f>
        <v>2.2450000000000001</v>
      </c>
      <c r="L408" s="194">
        <f t="shared" si="46"/>
        <v>1.6312</v>
      </c>
      <c r="M408" s="233">
        <f>AVERAGE(Ashed_controlls!$K$1:$K$11)</f>
        <v>5.5147656768714146</v>
      </c>
      <c r="N408" s="194">
        <f t="shared" si="45"/>
        <v>1.9952000000000001</v>
      </c>
      <c r="O408" s="376">
        <f>IF('Dry_Litterbag Placem_Collection'!G115="","",'Dry_Litterbag Placem_Collection'!G115)</f>
        <v>43008</v>
      </c>
      <c r="P408" s="194">
        <f>IFERROR(INDEX('Both teabags AfterDry'!$D$3:$D$2000,MATCH(H408,'Both teabags AfterDry'!$A$3:$A$2000,0)),"")</f>
        <v>0.72760000000000002</v>
      </c>
      <c r="Q408" s="194">
        <f>IFERROR(INDEX('Both teabags AfterDry'!$D$3:$D$2000,MATCH(I408,'Both teabags AfterDry'!$A$3:$A$2000,0)),"")</f>
        <v>1.6048</v>
      </c>
      <c r="R408" s="194">
        <f t="shared" si="47"/>
        <v>0.57699999999999996</v>
      </c>
      <c r="S408" s="194">
        <f t="shared" si="47"/>
        <v>1.4541999999999999</v>
      </c>
      <c r="T408" s="194">
        <f t="shared" si="48"/>
        <v>0.64627268268759197</v>
      </c>
      <c r="U408" s="194">
        <f t="shared" si="49"/>
        <v>0.4236847040897278</v>
      </c>
      <c r="V408" s="194">
        <f t="shared" si="50"/>
        <v>0.72884923817161185</v>
      </c>
      <c r="W408">
        <f t="shared" si="51"/>
        <v>69</v>
      </c>
      <c r="X408" s="194">
        <f t="shared" si="52"/>
        <v>0.23245524621426128</v>
      </c>
      <c r="Y408" s="194">
        <f t="shared" si="53"/>
        <v>1.4805832067975555E-2</v>
      </c>
      <c r="Z408" s="245" t="str">
        <f>IF(ISNUMBER(SEARCH("C", 'Dry_Litterbag Placem_Collection'!$V115)),"YES","NO")</f>
        <v>NO</v>
      </c>
      <c r="AA408" s="245" t="str">
        <f>IF(ISNUMBER(SEARCH("H", 'Dry_Litterbag Placem_Collection'!$V115)),"YES","NO")</f>
        <v>NO</v>
      </c>
      <c r="AB408" s="245" t="str">
        <f>IF(ISNUMBER(SEARCH("R", 'Dry_Litterbag Placem_Collection'!$V115)),"YES","NO")</f>
        <v>NO</v>
      </c>
      <c r="AC408" s="245" t="str">
        <f>IF(ISNUMBER(SEARCH("C", 'Dry_Litterbag Placem_Collection'!$U115)),"YES","NO")</f>
        <v>NO</v>
      </c>
      <c r="AD408" s="245" t="str">
        <f>IF(ISNUMBER(SEARCH("H", 'Dry_Litterbag Placem_Collection'!$U115)),"YES","NO")</f>
        <v>NO</v>
      </c>
      <c r="AE408" s="245" t="str">
        <f>IF(ISNUMBER(SEARCH("R", 'Dry_Litterbag Placem_Collection'!$U115)),"YES","NO")</f>
        <v>NO</v>
      </c>
    </row>
    <row r="409" spans="2:31">
      <c r="B409" t="str">
        <f>Dryseason!B555</f>
        <v>Dry</v>
      </c>
      <c r="C409" s="253">
        <f>Dryseason!C555</f>
        <v>114</v>
      </c>
      <c r="D409" t="s">
        <v>3119</v>
      </c>
      <c r="E409" t="s">
        <v>25</v>
      </c>
      <c r="F409" s="374">
        <v>2</v>
      </c>
      <c r="G409" s="376">
        <f>IF('Dry_Litterbag Placem_Collection'!E116="","",'Dry_Litterbag Placem_Collection'!E116)</f>
        <v>42939</v>
      </c>
      <c r="H409" s="92" t="str">
        <f>Dryseason!L555</f>
        <v>G650</v>
      </c>
      <c r="I409" t="str">
        <f>Dryseason!L775</f>
        <v>R247</v>
      </c>
      <c r="J409">
        <f>IFERROR(INDEX('Green_rooibos initial weight'!$C$5:$C$2000,MATCH(H409, 'Green_rooibos initial weight'!$A$5:$A$2000,0)),"")</f>
        <v>2.0270000000000001</v>
      </c>
      <c r="K409">
        <f>IFERROR(INDEX('Green_rooibos initial weight'!$C$5:$C$2000,MATCH(I409, 'Green_rooibos initial weight'!$A$5:$A$2000,0)),"")</f>
        <v>2.2330000000000001</v>
      </c>
      <c r="L409" s="194">
        <f t="shared" si="46"/>
        <v>1.7772000000000001</v>
      </c>
      <c r="M409" s="233">
        <f>AVERAGE(Ashed_controlls!$K$1:$K$11)</f>
        <v>5.5147656768714146</v>
      </c>
      <c r="N409" s="194">
        <f t="shared" si="45"/>
        <v>1.9832000000000001</v>
      </c>
      <c r="O409" s="376">
        <f>IF('Dry_Litterbag Placem_Collection'!G116="","",'Dry_Litterbag Placem_Collection'!G116)</f>
        <v>43008</v>
      </c>
      <c r="P409" s="194">
        <f>IFERROR(INDEX('Both teabags AfterDry'!$D$3:$D$2000,MATCH(H409,'Both teabags AfterDry'!$A$3:$A$2000,0)),"")</f>
        <v>0.86890000000000001</v>
      </c>
      <c r="Q409" s="194">
        <f>IFERROR(INDEX('Both teabags AfterDry'!$D$3:$D$2000,MATCH(I409,'Both teabags AfterDry'!$A$3:$A$2000,0)),"")</f>
        <v>1.7551000000000001</v>
      </c>
      <c r="R409" s="194">
        <f t="shared" si="47"/>
        <v>0.71829999999999994</v>
      </c>
      <c r="S409" s="194">
        <f t="shared" si="47"/>
        <v>1.6045</v>
      </c>
      <c r="T409" s="194">
        <f t="shared" si="48"/>
        <v>0.59582489309025433</v>
      </c>
      <c r="U409" s="194">
        <f t="shared" si="49"/>
        <v>0.39061204392615256</v>
      </c>
      <c r="V409" s="194">
        <f t="shared" si="50"/>
        <v>0.8090459862847923</v>
      </c>
      <c r="W409">
        <f t="shared" si="51"/>
        <v>69</v>
      </c>
      <c r="X409" s="194">
        <f t="shared" si="52"/>
        <v>0.29236948564102805</v>
      </c>
      <c r="Y409" s="194">
        <f t="shared" si="53"/>
        <v>9.726214467375989E-3</v>
      </c>
      <c r="Z409" s="245" t="str">
        <f>IF(ISNUMBER(SEARCH("C", 'Dry_Litterbag Placem_Collection'!$V116)),"YES","NO")</f>
        <v>NO</v>
      </c>
      <c r="AA409" s="245" t="str">
        <f>IF(ISNUMBER(SEARCH("H", 'Dry_Litterbag Placem_Collection'!$V116)),"YES","NO")</f>
        <v>NO</v>
      </c>
      <c r="AB409" s="245" t="str">
        <f>IF(ISNUMBER(SEARCH("R", 'Dry_Litterbag Placem_Collection'!$V116)),"YES","NO")</f>
        <v>NO</v>
      </c>
      <c r="AC409" s="245" t="str">
        <f>IF(ISNUMBER(SEARCH("C", 'Dry_Litterbag Placem_Collection'!$U116)),"YES","NO")</f>
        <v>NO</v>
      </c>
      <c r="AD409" s="245" t="str">
        <f>IF(ISNUMBER(SEARCH("H", 'Dry_Litterbag Placem_Collection'!$U116)),"YES","NO")</f>
        <v>NO</v>
      </c>
      <c r="AE409" s="245" t="str">
        <f>IF(ISNUMBER(SEARCH("R", 'Dry_Litterbag Placem_Collection'!$U116)),"YES","NO")</f>
        <v>NO</v>
      </c>
    </row>
    <row r="410" spans="2:31">
      <c r="B410" t="str">
        <f>Dryseason!B556</f>
        <v>Dry</v>
      </c>
      <c r="C410" s="253">
        <f>Dryseason!C556</f>
        <v>115</v>
      </c>
      <c r="D410" t="s">
        <v>3119</v>
      </c>
      <c r="E410" t="s">
        <v>25</v>
      </c>
      <c r="F410" s="374">
        <v>3</v>
      </c>
      <c r="G410" s="376">
        <f>IF('Dry_Litterbag Placem_Collection'!E117="","",'Dry_Litterbag Placem_Collection'!E117)</f>
        <v>42939</v>
      </c>
      <c r="H410" s="92" t="str">
        <f>Dryseason!L556</f>
        <v>G873</v>
      </c>
      <c r="I410" t="str">
        <f>Dryseason!L776</f>
        <v>R671</v>
      </c>
      <c r="J410">
        <f>IFERROR(INDEX('Green_rooibos initial weight'!$C$5:$C$2000,MATCH(H410, 'Green_rooibos initial weight'!$A$5:$A$2000,0)),"")</f>
        <v>2.0089999999999999</v>
      </c>
      <c r="K410">
        <f>IFERROR(INDEX('Green_rooibos initial weight'!$C$5:$C$2000,MATCH(I410, 'Green_rooibos initial weight'!$A$5:$A$2000,0)),"")</f>
        <v>2.202</v>
      </c>
      <c r="L410" s="194">
        <f t="shared" si="46"/>
        <v>1.7591999999999999</v>
      </c>
      <c r="M410" s="233">
        <f>AVERAGE(Ashed_controlls!$K$1:$K$11)</f>
        <v>5.5147656768714146</v>
      </c>
      <c r="N410" s="194">
        <f t="shared" si="45"/>
        <v>1.9521999999999999</v>
      </c>
      <c r="O410" s="376">
        <f>IF('Dry_Litterbag Placem_Collection'!G117="","",'Dry_Litterbag Placem_Collection'!G117)</f>
        <v>43008</v>
      </c>
      <c r="P410" s="194">
        <f>IFERROR(INDEX('Both teabags AfterDry'!$D$3:$D$2000,MATCH(H410,'Both teabags AfterDry'!$A$3:$A$2000,0)),"")</f>
        <v>0.68469999999999998</v>
      </c>
      <c r="Q410" s="194">
        <f>IFERROR(INDEX('Both teabags AfterDry'!$D$3:$D$2000,MATCH(I410,'Both teabags AfterDry'!$A$3:$A$2000,0)),"")</f>
        <v>1.6099000000000001</v>
      </c>
      <c r="R410" s="194">
        <f t="shared" si="47"/>
        <v>0.53410000000000002</v>
      </c>
      <c r="S410" s="194">
        <f t="shared" si="47"/>
        <v>1.4593</v>
      </c>
      <c r="T410" s="194">
        <f t="shared" si="48"/>
        <v>0.69639608913142337</v>
      </c>
      <c r="U410" s="194">
        <f t="shared" si="49"/>
        <v>0.45654470451371232</v>
      </c>
      <c r="V410" s="194">
        <f t="shared" si="50"/>
        <v>0.74751562339924194</v>
      </c>
      <c r="W410">
        <f t="shared" si="51"/>
        <v>69</v>
      </c>
      <c r="X410" s="194">
        <f t="shared" si="52"/>
        <v>0.17292625993892707</v>
      </c>
      <c r="Y410" s="194">
        <f t="shared" si="53"/>
        <v>1.1670593462127527E-2</v>
      </c>
      <c r="Z410" s="245" t="str">
        <f>IF(ISNUMBER(SEARCH("C", 'Dry_Litterbag Placem_Collection'!$V117)),"YES","NO")</f>
        <v>NO</v>
      </c>
      <c r="AA410" s="245" t="str">
        <f>IF(ISNUMBER(SEARCH("H", 'Dry_Litterbag Placem_Collection'!$V117)),"YES","NO")</f>
        <v>NO</v>
      </c>
      <c r="AB410" s="245" t="str">
        <f>IF(ISNUMBER(SEARCH("R", 'Dry_Litterbag Placem_Collection'!$V117)),"YES","NO")</f>
        <v>NO</v>
      </c>
      <c r="AC410" s="245" t="str">
        <f>IF(ISNUMBER(SEARCH("C", 'Dry_Litterbag Placem_Collection'!$U117)),"YES","NO")</f>
        <v>NO</v>
      </c>
      <c r="AD410" s="245" t="str">
        <f>IF(ISNUMBER(SEARCH("H", 'Dry_Litterbag Placem_Collection'!$U117)),"YES","NO")</f>
        <v>NO</v>
      </c>
      <c r="AE410" s="245" t="str">
        <f>IF(ISNUMBER(SEARCH("R", 'Dry_Litterbag Placem_Collection'!$U117)),"YES","NO")</f>
        <v>NO</v>
      </c>
    </row>
    <row r="411" spans="2:31">
      <c r="B411" t="str">
        <f>Dryseason!B557</f>
        <v>Dry</v>
      </c>
      <c r="C411" s="253">
        <f>Dryseason!C557</f>
        <v>116</v>
      </c>
      <c r="D411" t="s">
        <v>3119</v>
      </c>
      <c r="E411" t="s">
        <v>25</v>
      </c>
      <c r="F411" s="375">
        <v>4</v>
      </c>
      <c r="G411" s="376">
        <f>IF('Dry_Litterbag Placem_Collection'!E118="","",'Dry_Litterbag Placem_Collection'!E118)</f>
        <v>42939</v>
      </c>
      <c r="H411" s="92" t="str">
        <f>Dryseason!L557</f>
        <v>G206</v>
      </c>
      <c r="I411" t="str">
        <f>Dryseason!L777</f>
        <v>R638</v>
      </c>
      <c r="J411">
        <f>IFERROR(INDEX('Green_rooibos initial weight'!$C$5:$C$2000,MATCH(H411, 'Green_rooibos initial weight'!$A$5:$A$2000,0)),"")</f>
        <v>2.0249999999999999</v>
      </c>
      <c r="K411">
        <f>IFERROR(INDEX('Green_rooibos initial weight'!$C$5:$C$2000,MATCH(I411, 'Green_rooibos initial weight'!$A$5:$A$2000,0)),"")</f>
        <v>2.1659999999999999</v>
      </c>
      <c r="L411" s="194">
        <f t="shared" si="46"/>
        <v>1.7751999999999999</v>
      </c>
      <c r="M411" s="233">
        <f>AVERAGE(Ashed_controlls!$K$1:$K$11)</f>
        <v>5.5147656768714146</v>
      </c>
      <c r="N411" s="194">
        <f t="shared" si="45"/>
        <v>1.9161999999999999</v>
      </c>
      <c r="O411" s="376">
        <f>IF('Dry_Litterbag Placem_Collection'!G118="","",'Dry_Litterbag Placem_Collection'!G118)</f>
        <v>43008</v>
      </c>
      <c r="P411" s="194">
        <f>IFERROR(INDEX('Both teabags AfterDry'!$D$3:$D$2000,MATCH(H411,'Both teabags AfterDry'!$A$3:$A$2000,0)),"")</f>
        <v>0.75260000000000005</v>
      </c>
      <c r="Q411" s="194">
        <f>IFERROR(INDEX('Both teabags AfterDry'!$D$3:$D$2000,MATCH(I411,'Both teabags AfterDry'!$A$3:$A$2000,0)),"")</f>
        <v>1.5814999999999999</v>
      </c>
      <c r="R411" s="194">
        <f t="shared" si="47"/>
        <v>0.60200000000000009</v>
      </c>
      <c r="S411" s="194">
        <f t="shared" si="47"/>
        <v>1.4308999999999998</v>
      </c>
      <c r="T411" s="194">
        <f t="shared" si="48"/>
        <v>0.66088328075709768</v>
      </c>
      <c r="U411" s="194">
        <f t="shared" si="49"/>
        <v>0.43326314842983132</v>
      </c>
      <c r="V411" s="194">
        <f t="shared" si="50"/>
        <v>0.74673833629057507</v>
      </c>
      <c r="W411">
        <f t="shared" si="51"/>
        <v>69</v>
      </c>
      <c r="X411" s="194">
        <f t="shared" si="52"/>
        <v>0.21510299197494331</v>
      </c>
      <c r="Y411" s="194">
        <f t="shared" si="53"/>
        <v>1.2730147495636572E-2</v>
      </c>
      <c r="Z411" s="245" t="str">
        <f>IF(ISNUMBER(SEARCH("C", 'Dry_Litterbag Placem_Collection'!$V118)),"YES","NO")</f>
        <v>NO</v>
      </c>
      <c r="AA411" s="245" t="str">
        <f>IF(ISNUMBER(SEARCH("H", 'Dry_Litterbag Placem_Collection'!$V118)),"YES","NO")</f>
        <v>NO</v>
      </c>
      <c r="AB411" s="245" t="str">
        <f>IF(ISNUMBER(SEARCH("R", 'Dry_Litterbag Placem_Collection'!$V118)),"YES","NO")</f>
        <v>NO</v>
      </c>
      <c r="AC411" s="245" t="str">
        <f>IF(ISNUMBER(SEARCH("C", 'Dry_Litterbag Placem_Collection'!$U118)),"YES","NO")</f>
        <v>NO</v>
      </c>
      <c r="AD411" s="245" t="str">
        <f>IF(ISNUMBER(SEARCH("H", 'Dry_Litterbag Placem_Collection'!$U118)),"YES","NO")</f>
        <v>NO</v>
      </c>
      <c r="AE411" s="245" t="str">
        <f>IF(ISNUMBER(SEARCH("R", 'Dry_Litterbag Placem_Collection'!$U118)),"YES","NO")</f>
        <v>NO</v>
      </c>
    </row>
    <row r="412" spans="2:31">
      <c r="B412" t="str">
        <f>Dryseason!B558</f>
        <v>Dry</v>
      </c>
      <c r="C412" s="253">
        <f>Dryseason!C558</f>
        <v>117</v>
      </c>
      <c r="D412" t="s">
        <v>3119</v>
      </c>
      <c r="E412" t="s">
        <v>25</v>
      </c>
      <c r="F412" s="375">
        <v>5</v>
      </c>
      <c r="G412" s="376">
        <f>IF('Dry_Litterbag Placem_Collection'!E119="","",'Dry_Litterbag Placem_Collection'!E119)</f>
        <v>42939</v>
      </c>
      <c r="H412" s="92" t="str">
        <f>Dryseason!L558</f>
        <v>G163</v>
      </c>
      <c r="I412" t="str">
        <f>Dryseason!L778</f>
        <v>R719</v>
      </c>
      <c r="J412">
        <f>IFERROR(INDEX('Green_rooibos initial weight'!$C$5:$C$2000,MATCH(H412, 'Green_rooibos initial weight'!$A$5:$A$2000,0)),"")</f>
        <v>2.04</v>
      </c>
      <c r="K412">
        <f>IFERROR(INDEX('Green_rooibos initial weight'!$C$5:$C$2000,MATCH(I412, 'Green_rooibos initial weight'!$A$5:$A$2000,0)),"")</f>
        <v>2.2050000000000001</v>
      </c>
      <c r="L412" s="194">
        <f t="shared" si="46"/>
        <v>1.7902</v>
      </c>
      <c r="M412" s="233">
        <f>AVERAGE(Ashed_controlls!$K$1:$K$11)</f>
        <v>5.5147656768714146</v>
      </c>
      <c r="N412" s="194">
        <f t="shared" si="45"/>
        <v>1.9552</v>
      </c>
      <c r="O412" s="376">
        <f>IF('Dry_Litterbag Placem_Collection'!G119="","",'Dry_Litterbag Placem_Collection'!G119)</f>
        <v>43008</v>
      </c>
      <c r="P412" s="194" t="str">
        <f>IFERROR(INDEX('Both teabags AfterDry'!$D$3:$D$2000,MATCH(H412,'Both teabags AfterDry'!$A$3:$A$2000,0)),"")</f>
        <v/>
      </c>
      <c r="Q412" s="194" t="str">
        <f>IFERROR(INDEX('Both teabags AfterDry'!$D$3:$D$2000,MATCH(I412,'Both teabags AfterDry'!$A$3:$A$2000,0)),"")</f>
        <v/>
      </c>
      <c r="R412" s="194" t="str">
        <f t="shared" si="47"/>
        <v/>
      </c>
      <c r="S412" s="194" t="str">
        <f t="shared" si="47"/>
        <v/>
      </c>
      <c r="T412" s="194" t="str">
        <f t="shared" si="48"/>
        <v/>
      </c>
      <c r="U412" s="194" t="str">
        <f t="shared" si="49"/>
        <v/>
      </c>
      <c r="V412" s="194" t="str">
        <f t="shared" si="50"/>
        <v/>
      </c>
      <c r="W412">
        <f t="shared" si="51"/>
        <v>69</v>
      </c>
      <c r="X412" s="194" t="str">
        <f t="shared" si="52"/>
        <v/>
      </c>
      <c r="Y412" s="194" t="str">
        <f t="shared" si="53"/>
        <v/>
      </c>
      <c r="Z412" s="245" t="str">
        <f>IF(ISNUMBER(SEARCH("C", 'Dry_Litterbag Placem_Collection'!$V119)),"YES","NO")</f>
        <v>NO</v>
      </c>
      <c r="AA412" s="245" t="str">
        <f>IF(ISNUMBER(SEARCH("H", 'Dry_Litterbag Placem_Collection'!$V119)),"YES","NO")</f>
        <v>NO</v>
      </c>
      <c r="AB412" s="245" t="str">
        <f>IF(ISNUMBER(SEARCH("R", 'Dry_Litterbag Placem_Collection'!$V119)),"YES","NO")</f>
        <v>NO</v>
      </c>
      <c r="AC412" s="245" t="str">
        <f>IF(ISNUMBER(SEARCH("C", 'Dry_Litterbag Placem_Collection'!$U119)),"YES","NO")</f>
        <v>NO</v>
      </c>
      <c r="AD412" s="245" t="str">
        <f>IF(ISNUMBER(SEARCH("H", 'Dry_Litterbag Placem_Collection'!$U119)),"YES","NO")</f>
        <v>NO</v>
      </c>
      <c r="AE412" s="245" t="str">
        <f>IF(ISNUMBER(SEARCH("R", 'Dry_Litterbag Placem_Collection'!$U119)),"YES","NO")</f>
        <v>NO</v>
      </c>
    </row>
    <row r="413" spans="2:31">
      <c r="B413" t="str">
        <f>Dryseason!B559</f>
        <v>Dry</v>
      </c>
      <c r="C413" s="253">
        <f>Dryseason!C559</f>
        <v>118</v>
      </c>
      <c r="D413" t="s">
        <v>3119</v>
      </c>
      <c r="E413" t="s">
        <v>25</v>
      </c>
      <c r="F413" s="375">
        <v>6</v>
      </c>
      <c r="G413" s="376">
        <f>IF('Dry_Litterbag Placem_Collection'!E120="","",'Dry_Litterbag Placem_Collection'!E120)</f>
        <v>42939</v>
      </c>
      <c r="H413" s="92" t="str">
        <f>Dryseason!L559</f>
        <v>G83</v>
      </c>
      <c r="I413" t="str">
        <f>Dryseason!L779</f>
        <v>R173</v>
      </c>
      <c r="J413">
        <f>IFERROR(INDEX('Green_rooibos initial weight'!$C$5:$C$2000,MATCH(H413, 'Green_rooibos initial weight'!$A$5:$A$2000,0)),"")</f>
        <v>2.0209999999999999</v>
      </c>
      <c r="K413">
        <f>IFERROR(INDEX('Green_rooibos initial weight'!$C$5:$C$2000,MATCH(I413, 'Green_rooibos initial weight'!$A$5:$A$2000,0)),"")</f>
        <v>2.2040000000000002</v>
      </c>
      <c r="L413" s="194">
        <f t="shared" si="46"/>
        <v>1.7711999999999999</v>
      </c>
      <c r="M413" s="233">
        <f>AVERAGE(Ashed_controlls!$K$1:$K$11)</f>
        <v>5.5147656768714146</v>
      </c>
      <c r="N413" s="194">
        <f t="shared" si="45"/>
        <v>1.9542000000000002</v>
      </c>
      <c r="O413" s="376">
        <f>IF('Dry_Litterbag Placem_Collection'!G120="","",'Dry_Litterbag Placem_Collection'!G120)</f>
        <v>43008</v>
      </c>
      <c r="P413" s="194">
        <f>IFERROR(INDEX('Both teabags AfterDry'!$D$3:$D$2000,MATCH(H413,'Both teabags AfterDry'!$A$3:$A$2000,0)),"")</f>
        <v>0.81779999999999997</v>
      </c>
      <c r="Q413" s="194">
        <f>IFERROR(INDEX('Both teabags AfterDry'!$D$3:$D$2000,MATCH(I413,'Both teabags AfterDry'!$A$3:$A$2000,0)),"")</f>
        <v>1.5261</v>
      </c>
      <c r="R413" s="194">
        <f t="shared" si="47"/>
        <v>0.66720000000000002</v>
      </c>
      <c r="S413" s="194">
        <f t="shared" si="47"/>
        <v>1.3754999999999999</v>
      </c>
      <c r="T413" s="194">
        <f t="shared" si="48"/>
        <v>0.62330623306233057</v>
      </c>
      <c r="U413" s="194">
        <f t="shared" si="49"/>
        <v>0.40862831431164665</v>
      </c>
      <c r="V413" s="194">
        <f t="shared" si="50"/>
        <v>0.70386859072766339</v>
      </c>
      <c r="W413">
        <f t="shared" si="51"/>
        <v>69</v>
      </c>
      <c r="X413" s="194">
        <f t="shared" si="52"/>
        <v>0.25973131465281407</v>
      </c>
      <c r="Y413" s="194">
        <f t="shared" si="53"/>
        <v>1.8693916889785722E-2</v>
      </c>
      <c r="Z413" s="245" t="str">
        <f>IF(ISNUMBER(SEARCH("C", 'Dry_Litterbag Placem_Collection'!$V120)),"YES","NO")</f>
        <v>NO</v>
      </c>
      <c r="AA413" s="245" t="str">
        <f>IF(ISNUMBER(SEARCH("H", 'Dry_Litterbag Placem_Collection'!$V120)),"YES","NO")</f>
        <v>NO</v>
      </c>
      <c r="AB413" s="245" t="str">
        <f>IF(ISNUMBER(SEARCH("R", 'Dry_Litterbag Placem_Collection'!$V120)),"YES","NO")</f>
        <v>NO</v>
      </c>
      <c r="AC413" s="245" t="str">
        <f>IF(ISNUMBER(SEARCH("C", 'Dry_Litterbag Placem_Collection'!$U120)),"YES","NO")</f>
        <v>NO</v>
      </c>
      <c r="AD413" s="245" t="str">
        <f>IF(ISNUMBER(SEARCH("H", 'Dry_Litterbag Placem_Collection'!$U120)),"YES","NO")</f>
        <v>NO</v>
      </c>
      <c r="AE413" s="245" t="str">
        <f>IF(ISNUMBER(SEARCH("R", 'Dry_Litterbag Placem_Collection'!$U120)),"YES","NO")</f>
        <v>YES</v>
      </c>
    </row>
    <row r="414" spans="2:31">
      <c r="B414" t="str">
        <f>Dryseason!B560</f>
        <v>Dry</v>
      </c>
      <c r="C414" s="253">
        <f>Dryseason!C560</f>
        <v>119</v>
      </c>
      <c r="D414" t="s">
        <v>3119</v>
      </c>
      <c r="E414" t="s">
        <v>25</v>
      </c>
      <c r="F414" s="375">
        <v>7</v>
      </c>
      <c r="G414" s="376">
        <f>IF('Dry_Litterbag Placem_Collection'!E121="","",'Dry_Litterbag Placem_Collection'!E121)</f>
        <v>42939</v>
      </c>
      <c r="H414" s="92" t="str">
        <f>Dryseason!L560</f>
        <v>G159</v>
      </c>
      <c r="I414" t="str">
        <f>Dryseason!L780</f>
        <v>R373</v>
      </c>
      <c r="J414">
        <f>IFERROR(INDEX('Green_rooibos initial weight'!$C$5:$C$2000,MATCH(H414, 'Green_rooibos initial weight'!$A$5:$A$2000,0)),"")</f>
        <v>2.1419999999999999</v>
      </c>
      <c r="K414">
        <f>IFERROR(INDEX('Green_rooibos initial weight'!$C$5:$C$2000,MATCH(I414, 'Green_rooibos initial weight'!$A$5:$A$2000,0)),"")</f>
        <v>2.226</v>
      </c>
      <c r="L414" s="194">
        <f t="shared" si="46"/>
        <v>1.8921999999999999</v>
      </c>
      <c r="M414" s="233">
        <f>AVERAGE(Ashed_controlls!$K$1:$K$11)</f>
        <v>5.5147656768714146</v>
      </c>
      <c r="N414" s="194">
        <f t="shared" si="45"/>
        <v>1.9762</v>
      </c>
      <c r="O414" s="376">
        <f>IF('Dry_Litterbag Placem_Collection'!G121="","",'Dry_Litterbag Placem_Collection'!G121)</f>
        <v>43008</v>
      </c>
      <c r="P414" s="194">
        <f>IFERROR(INDEX('Both teabags AfterDry'!$D$3:$D$2000,MATCH(H414,'Both teabags AfterDry'!$A$3:$A$2000,0)),"")</f>
        <v>0.76990000000000003</v>
      </c>
      <c r="Q414" s="194">
        <f>IFERROR(INDEX('Both teabags AfterDry'!$D$3:$D$2000,MATCH(I414,'Both teabags AfterDry'!$A$3:$A$2000,0)),"")</f>
        <v>1.5419</v>
      </c>
      <c r="R414" s="194">
        <f t="shared" si="47"/>
        <v>0.61929999999999996</v>
      </c>
      <c r="S414" s="194">
        <f t="shared" si="47"/>
        <v>1.3913</v>
      </c>
      <c r="T414" s="194">
        <f t="shared" si="48"/>
        <v>0.67270901596025789</v>
      </c>
      <c r="U414" s="194">
        <f t="shared" si="49"/>
        <v>0.44101588694781763</v>
      </c>
      <c r="V414" s="194">
        <f t="shared" si="50"/>
        <v>0.70402793239550654</v>
      </c>
      <c r="W414">
        <f t="shared" si="51"/>
        <v>69</v>
      </c>
      <c r="X414" s="194">
        <f t="shared" si="52"/>
        <v>0.20105817581917107</v>
      </c>
      <c r="Y414" s="194">
        <f t="shared" si="53"/>
        <v>1.6116594209979157E-2</v>
      </c>
      <c r="Z414" s="245" t="str">
        <f>IF(ISNUMBER(SEARCH("C", 'Dry_Litterbag Placem_Collection'!$V121)),"YES","NO")</f>
        <v>NO</v>
      </c>
      <c r="AA414" s="245" t="str">
        <f>IF(ISNUMBER(SEARCH("H", 'Dry_Litterbag Placem_Collection'!$V121)),"YES","NO")</f>
        <v>NO</v>
      </c>
      <c r="AB414" s="245" t="str">
        <f>IF(ISNUMBER(SEARCH("R", 'Dry_Litterbag Placem_Collection'!$V121)),"YES","NO")</f>
        <v>NO</v>
      </c>
      <c r="AC414" s="245" t="str">
        <f>IF(ISNUMBER(SEARCH("C", 'Dry_Litterbag Placem_Collection'!$U121)),"YES","NO")</f>
        <v>NO</v>
      </c>
      <c r="AD414" s="245" t="str">
        <f>IF(ISNUMBER(SEARCH("H", 'Dry_Litterbag Placem_Collection'!$U121)),"YES","NO")</f>
        <v>NO</v>
      </c>
      <c r="AE414" s="245" t="str">
        <f>IF(ISNUMBER(SEARCH("R", 'Dry_Litterbag Placem_Collection'!$U121)),"YES","NO")</f>
        <v>YES</v>
      </c>
    </row>
    <row r="415" spans="2:31">
      <c r="B415" t="str">
        <f>Dryseason!B561</f>
        <v>Dry</v>
      </c>
      <c r="C415" s="253">
        <f>Dryseason!C561</f>
        <v>120</v>
      </c>
      <c r="D415" t="s">
        <v>3119</v>
      </c>
      <c r="E415" t="s">
        <v>25</v>
      </c>
      <c r="F415" s="375">
        <v>8</v>
      </c>
      <c r="G415" s="376" t="str">
        <f>IF('Dry_Litterbag Placem_Collection'!E122="","",'Dry_Litterbag Placem_Collection'!E122)</f>
        <v/>
      </c>
      <c r="H415" s="92" t="str">
        <f>Dryseason!L561</f>
        <v/>
      </c>
      <c r="I415" t="str">
        <f>Dryseason!L781</f>
        <v/>
      </c>
      <c r="J415" t="str">
        <f>IFERROR(INDEX('Green_rooibos initial weight'!$C$5:$C$2000,MATCH(H415, 'Green_rooibos initial weight'!$A$5:$A$2000,0)),"")</f>
        <v/>
      </c>
      <c r="K415" t="str">
        <f>IFERROR(INDEX('Green_rooibos initial weight'!$C$5:$C$2000,MATCH(I415, 'Green_rooibos initial weight'!$A$5:$A$2000,0)),"")</f>
        <v/>
      </c>
      <c r="L415" s="194" t="str">
        <f t="shared" si="46"/>
        <v/>
      </c>
      <c r="M415" s="233">
        <f>AVERAGE(Ashed_controlls!$K$1:$K$11)</f>
        <v>5.5147656768714146</v>
      </c>
      <c r="N415" s="194" t="str">
        <f t="shared" si="45"/>
        <v/>
      </c>
      <c r="O415" s="376" t="str">
        <f>IF('Dry_Litterbag Placem_Collection'!G122="","",'Dry_Litterbag Placem_Collection'!G122)</f>
        <v/>
      </c>
      <c r="P415" s="194" t="str">
        <f>IFERROR(INDEX('Both teabags AfterDry'!$D$3:$D$2000,MATCH(H415,'Both teabags AfterDry'!$A$3:$A$2000,0)),"")</f>
        <v/>
      </c>
      <c r="Q415" s="194" t="str">
        <f>IFERROR(INDEX('Both teabags AfterDry'!$D$3:$D$2000,MATCH(I415,'Both teabags AfterDry'!$A$3:$A$2000,0)),"")</f>
        <v/>
      </c>
      <c r="R415" s="194" t="str">
        <f t="shared" si="47"/>
        <v/>
      </c>
      <c r="S415" s="194" t="str">
        <f t="shared" si="47"/>
        <v/>
      </c>
      <c r="T415" s="194" t="str">
        <f t="shared" si="48"/>
        <v/>
      </c>
      <c r="U415" s="194" t="str">
        <f t="shared" si="49"/>
        <v/>
      </c>
      <c r="V415" s="194" t="str">
        <f t="shared" si="50"/>
        <v/>
      </c>
      <c r="W415" t="str">
        <f t="shared" si="51"/>
        <v/>
      </c>
      <c r="X415" s="194" t="str">
        <f t="shared" si="52"/>
        <v/>
      </c>
      <c r="Y415" s="194" t="str">
        <f t="shared" si="53"/>
        <v/>
      </c>
      <c r="Z415" s="245" t="str">
        <f>IF(ISNUMBER(SEARCH("C", 'Dry_Litterbag Placem_Collection'!$V122)),"YES","NO")</f>
        <v>NO</v>
      </c>
      <c r="AA415" s="245" t="str">
        <f>IF(ISNUMBER(SEARCH("H", 'Dry_Litterbag Placem_Collection'!$V122)),"YES","NO")</f>
        <v>NO</v>
      </c>
      <c r="AB415" s="245" t="str">
        <f>IF(ISNUMBER(SEARCH("R", 'Dry_Litterbag Placem_Collection'!$V122)),"YES","NO")</f>
        <v>NO</v>
      </c>
      <c r="AC415" s="245" t="str">
        <f>IF(ISNUMBER(SEARCH("C", 'Dry_Litterbag Placem_Collection'!$U122)),"YES","NO")</f>
        <v>NO</v>
      </c>
      <c r="AD415" s="245" t="str">
        <f>IF(ISNUMBER(SEARCH("H", 'Dry_Litterbag Placem_Collection'!$U122)),"YES","NO")</f>
        <v>NO</v>
      </c>
      <c r="AE415" s="245" t="str">
        <f>IF(ISNUMBER(SEARCH("R", 'Dry_Litterbag Placem_Collection'!$U122)),"YES","NO")</f>
        <v>NO</v>
      </c>
    </row>
    <row r="416" spans="2:31">
      <c r="B416" t="str">
        <f>Dryseason!B562</f>
        <v>Dry</v>
      </c>
      <c r="C416" s="253">
        <f>Dryseason!C562</f>
        <v>121</v>
      </c>
      <c r="D416" t="s">
        <v>3120</v>
      </c>
      <c r="E416" t="s">
        <v>25</v>
      </c>
      <c r="F416" s="374">
        <v>1</v>
      </c>
      <c r="G416" s="376">
        <f>IF('Dry_Litterbag Placem_Collection'!E123="","",'Dry_Litterbag Placem_Collection'!E123)</f>
        <v>42939</v>
      </c>
      <c r="H416" s="92" t="str">
        <f>Dryseason!L562</f>
        <v>G16</v>
      </c>
      <c r="I416" t="str">
        <f>Dryseason!L782</f>
        <v>R374</v>
      </c>
      <c r="J416">
        <f>IFERROR(INDEX('Green_rooibos initial weight'!$C$5:$C$2000,MATCH(H416, 'Green_rooibos initial weight'!$A$5:$A$2000,0)),"")</f>
        <v>1.9410000000000001</v>
      </c>
      <c r="K416">
        <f>IFERROR(INDEX('Green_rooibos initial weight'!$C$5:$C$2000,MATCH(I416, 'Green_rooibos initial weight'!$A$5:$A$2000,0)),"")</f>
        <v>2.2090000000000001</v>
      </c>
      <c r="L416" s="194">
        <f t="shared" si="46"/>
        <v>1.6912</v>
      </c>
      <c r="M416" s="233">
        <f>AVERAGE(Ashed_controlls!$K$1:$K$11)</f>
        <v>5.5147656768714146</v>
      </c>
      <c r="N416" s="194">
        <f t="shared" si="45"/>
        <v>1.9592000000000001</v>
      </c>
      <c r="O416" s="376">
        <f>IF('Dry_Litterbag Placem_Collection'!G123="","",'Dry_Litterbag Placem_Collection'!G123)</f>
        <v>43008</v>
      </c>
      <c r="P416" s="194" t="str">
        <f>IFERROR(INDEX('Both teabags AfterDry'!$D$3:$D$2000,MATCH(H416,'Both teabags AfterDry'!$A$3:$A$2000,0)),"")</f>
        <v/>
      </c>
      <c r="Q416" s="194" t="str">
        <f>IFERROR(INDEX('Both teabags AfterDry'!$D$3:$D$2000,MATCH(I416,'Both teabags AfterDry'!$A$3:$A$2000,0)),"")</f>
        <v/>
      </c>
      <c r="R416" s="194" t="str">
        <f t="shared" si="47"/>
        <v/>
      </c>
      <c r="S416" s="194" t="str">
        <f t="shared" si="47"/>
        <v/>
      </c>
      <c r="T416" s="194" t="str">
        <f t="shared" si="48"/>
        <v/>
      </c>
      <c r="U416" s="194" t="str">
        <f t="shared" si="49"/>
        <v/>
      </c>
      <c r="V416" s="194" t="str">
        <f t="shared" si="50"/>
        <v/>
      </c>
      <c r="W416">
        <f t="shared" si="51"/>
        <v>69</v>
      </c>
      <c r="X416" s="194" t="str">
        <f t="shared" si="52"/>
        <v/>
      </c>
      <c r="Y416" s="194" t="str">
        <f t="shared" si="53"/>
        <v/>
      </c>
      <c r="Z416" s="245" t="str">
        <f>IF(ISNUMBER(SEARCH("C", 'Dry_Litterbag Placem_Collection'!$V123)),"YES","NO")</f>
        <v>NO</v>
      </c>
      <c r="AA416" s="245" t="str">
        <f>IF(ISNUMBER(SEARCH("H", 'Dry_Litterbag Placem_Collection'!$V123)),"YES","NO")</f>
        <v>NO</v>
      </c>
      <c r="AB416" s="245" t="str">
        <f>IF(ISNUMBER(SEARCH("R", 'Dry_Litterbag Placem_Collection'!$V123)),"YES","NO")</f>
        <v>NO</v>
      </c>
      <c r="AC416" s="245" t="str">
        <f>IF(ISNUMBER(SEARCH("C", 'Dry_Litterbag Placem_Collection'!$U123)),"YES","NO")</f>
        <v>NO</v>
      </c>
      <c r="AD416" s="245" t="str">
        <f>IF(ISNUMBER(SEARCH("H", 'Dry_Litterbag Placem_Collection'!$U123)),"YES","NO")</f>
        <v>NO</v>
      </c>
      <c r="AE416" s="245" t="str">
        <f>IF(ISNUMBER(SEARCH("R", 'Dry_Litterbag Placem_Collection'!$U123)),"YES","NO")</f>
        <v>NO</v>
      </c>
    </row>
    <row r="417" spans="2:31">
      <c r="B417" t="str">
        <f>Dryseason!B563</f>
        <v>Dry</v>
      </c>
      <c r="C417" s="253">
        <f>Dryseason!C563</f>
        <v>122</v>
      </c>
      <c r="D417" t="s">
        <v>3120</v>
      </c>
      <c r="E417" t="s">
        <v>25</v>
      </c>
      <c r="F417" s="374">
        <v>2</v>
      </c>
      <c r="G417" s="376">
        <f>IF('Dry_Litterbag Placem_Collection'!E124="","",'Dry_Litterbag Placem_Collection'!E124)</f>
        <v>42939</v>
      </c>
      <c r="H417" s="92" t="str">
        <f>Dryseason!L563</f>
        <v>G109</v>
      </c>
      <c r="I417" t="str">
        <f>Dryseason!L783</f>
        <v>R388</v>
      </c>
      <c r="J417">
        <f>IFERROR(INDEX('Green_rooibos initial weight'!$C$5:$C$2000,MATCH(H417, 'Green_rooibos initial weight'!$A$5:$A$2000,0)),"")</f>
        <v>1.992</v>
      </c>
      <c r="K417">
        <f>IFERROR(INDEX('Green_rooibos initial weight'!$C$5:$C$2000,MATCH(I417, 'Green_rooibos initial weight'!$A$5:$A$2000,0)),"")</f>
        <v>2.2349999999999999</v>
      </c>
      <c r="L417" s="194">
        <f t="shared" si="46"/>
        <v>1.7422</v>
      </c>
      <c r="M417" s="233">
        <f>AVERAGE(Ashed_controlls!$K$1:$K$11)</f>
        <v>5.5147656768714146</v>
      </c>
      <c r="N417" s="194">
        <f t="shared" si="45"/>
        <v>1.9851999999999999</v>
      </c>
      <c r="O417" s="376">
        <f>IF('Dry_Litterbag Placem_Collection'!G124="","",'Dry_Litterbag Placem_Collection'!G124)</f>
        <v>43008</v>
      </c>
      <c r="P417" s="194">
        <f>IFERROR(INDEX('Both teabags AfterDry'!$D$3:$D$2000,MATCH(H417,'Both teabags AfterDry'!$A$3:$A$2000,0)),"")</f>
        <v>0.67359999999999998</v>
      </c>
      <c r="Q417" s="194">
        <f>IFERROR(INDEX('Both teabags AfterDry'!$D$3:$D$2000,MATCH(I417,'Both teabags AfterDry'!$A$3:$A$2000,0)),"")</f>
        <v>1.4536</v>
      </c>
      <c r="R417" s="194">
        <f t="shared" si="47"/>
        <v>0.52299999999999991</v>
      </c>
      <c r="S417" s="194">
        <f t="shared" si="47"/>
        <v>1.3029999999999999</v>
      </c>
      <c r="T417" s="194">
        <f t="shared" si="48"/>
        <v>0.6998048444495466</v>
      </c>
      <c r="U417" s="194">
        <f t="shared" si="49"/>
        <v>0.45877942296454838</v>
      </c>
      <c r="V417" s="194">
        <f t="shared" si="50"/>
        <v>0.65635704211162604</v>
      </c>
      <c r="W417">
        <f t="shared" si="51"/>
        <v>69</v>
      </c>
      <c r="X417" s="194">
        <f t="shared" si="52"/>
        <v>0.16887785694828195</v>
      </c>
      <c r="Y417" s="194">
        <f t="shared" si="53"/>
        <v>2.0035528360593132E-2</v>
      </c>
      <c r="Z417" s="245" t="str">
        <f>IF(ISNUMBER(SEARCH("C", 'Dry_Litterbag Placem_Collection'!$V124)),"YES","NO")</f>
        <v>NO</v>
      </c>
      <c r="AA417" s="245" t="str">
        <f>IF(ISNUMBER(SEARCH("H", 'Dry_Litterbag Placem_Collection'!$V124)),"YES","NO")</f>
        <v>NO</v>
      </c>
      <c r="AB417" s="245" t="str">
        <f>IF(ISNUMBER(SEARCH("R", 'Dry_Litterbag Placem_Collection'!$V124)),"YES","NO")</f>
        <v>NO</v>
      </c>
      <c r="AC417" s="245" t="str">
        <f>IF(ISNUMBER(SEARCH("C", 'Dry_Litterbag Placem_Collection'!$U124)),"YES","NO")</f>
        <v>NO</v>
      </c>
      <c r="AD417" s="245" t="str">
        <f>IF(ISNUMBER(SEARCH("H", 'Dry_Litterbag Placem_Collection'!$U124)),"YES","NO")</f>
        <v>NO</v>
      </c>
      <c r="AE417" s="245" t="str">
        <f>IF(ISNUMBER(SEARCH("R", 'Dry_Litterbag Placem_Collection'!$U124)),"YES","NO")</f>
        <v>NO</v>
      </c>
    </row>
    <row r="418" spans="2:31">
      <c r="B418" t="str">
        <f>Dryseason!B564</f>
        <v>Dry</v>
      </c>
      <c r="C418" s="253">
        <f>Dryseason!C564</f>
        <v>123</v>
      </c>
      <c r="D418" t="s">
        <v>3120</v>
      </c>
      <c r="E418" t="s">
        <v>25</v>
      </c>
      <c r="F418" s="374">
        <v>3</v>
      </c>
      <c r="G418" s="376">
        <f>IF('Dry_Litterbag Placem_Collection'!E125="","",'Dry_Litterbag Placem_Collection'!E125)</f>
        <v>42939</v>
      </c>
      <c r="H418" s="92" t="str">
        <f>Dryseason!L564</f>
        <v>G344</v>
      </c>
      <c r="I418" t="str">
        <f>Dryseason!L784</f>
        <v>R281</v>
      </c>
      <c r="J418">
        <f>IFERROR(INDEX('Green_rooibos initial weight'!$C$5:$C$2000,MATCH(H418, 'Green_rooibos initial weight'!$A$5:$A$2000,0)),"")</f>
        <v>1.93</v>
      </c>
      <c r="K418">
        <f>IFERROR(INDEX('Green_rooibos initial weight'!$C$5:$C$2000,MATCH(I418, 'Green_rooibos initial weight'!$A$5:$A$2000,0)),"")</f>
        <v>2.17</v>
      </c>
      <c r="L418" s="194">
        <f t="shared" si="46"/>
        <v>1.6801999999999999</v>
      </c>
      <c r="M418" s="233">
        <f>AVERAGE(Ashed_controlls!$K$1:$K$11)</f>
        <v>5.5147656768714146</v>
      </c>
      <c r="N418" s="194">
        <f t="shared" si="45"/>
        <v>1.9201999999999999</v>
      </c>
      <c r="O418" s="376">
        <f>IF('Dry_Litterbag Placem_Collection'!G125="","",'Dry_Litterbag Placem_Collection'!G125)</f>
        <v>43008</v>
      </c>
      <c r="P418" s="194">
        <f>IFERROR(INDEX('Both teabags AfterDry'!$D$3:$D$2000,MATCH(H418,'Both teabags AfterDry'!$A$3:$A$2000,0)),"")</f>
        <v>0.78580000000000005</v>
      </c>
      <c r="Q418" s="194">
        <f>IFERROR(INDEX('Both teabags AfterDry'!$D$3:$D$2000,MATCH(I418,'Both teabags AfterDry'!$A$3:$A$2000,0)),"")</f>
        <v>1.7361</v>
      </c>
      <c r="R418" s="194">
        <f t="shared" si="47"/>
        <v>0.63519999999999999</v>
      </c>
      <c r="S418" s="194">
        <f t="shared" si="47"/>
        <v>1.5854999999999999</v>
      </c>
      <c r="T418" s="194">
        <f t="shared" si="48"/>
        <v>0.62194976788477563</v>
      </c>
      <c r="U418" s="194">
        <f t="shared" si="49"/>
        <v>0.40773904022849905</v>
      </c>
      <c r="V418" s="194">
        <f t="shared" si="50"/>
        <v>0.8256952400791584</v>
      </c>
      <c r="W418">
        <f t="shared" si="51"/>
        <v>69</v>
      </c>
      <c r="X418" s="194">
        <f t="shared" si="52"/>
        <v>0.26134231842663225</v>
      </c>
      <c r="Y418" s="194">
        <f t="shared" si="53"/>
        <v>8.0829968083643913E-3</v>
      </c>
      <c r="Z418" s="245" t="str">
        <f>IF(ISNUMBER(SEARCH("C", 'Dry_Litterbag Placem_Collection'!$V125)),"YES","NO")</f>
        <v>NO</v>
      </c>
      <c r="AA418" s="245" t="str">
        <f>IF(ISNUMBER(SEARCH("H", 'Dry_Litterbag Placem_Collection'!$V125)),"YES","NO")</f>
        <v>NO</v>
      </c>
      <c r="AB418" s="245" t="str">
        <f>IF(ISNUMBER(SEARCH("R", 'Dry_Litterbag Placem_Collection'!$V125)),"YES","NO")</f>
        <v>NO</v>
      </c>
      <c r="AC418" s="245" t="str">
        <f>IF(ISNUMBER(SEARCH("C", 'Dry_Litterbag Placem_Collection'!$U125)),"YES","NO")</f>
        <v>NO</v>
      </c>
      <c r="AD418" s="245" t="str">
        <f>IF(ISNUMBER(SEARCH("H", 'Dry_Litterbag Placem_Collection'!$U125)),"YES","NO")</f>
        <v>NO</v>
      </c>
      <c r="AE418" s="245" t="str">
        <f>IF(ISNUMBER(SEARCH("R", 'Dry_Litterbag Placem_Collection'!$U125)),"YES","NO")</f>
        <v>NO</v>
      </c>
    </row>
    <row r="419" spans="2:31">
      <c r="B419" t="str">
        <f>Dryseason!B565</f>
        <v>Dry</v>
      </c>
      <c r="C419" s="253">
        <f>Dryseason!C565</f>
        <v>124</v>
      </c>
      <c r="D419" t="s">
        <v>3120</v>
      </c>
      <c r="E419" t="s">
        <v>25</v>
      </c>
      <c r="F419" s="375">
        <v>4</v>
      </c>
      <c r="G419" s="376">
        <f>IF('Dry_Litterbag Placem_Collection'!E126="","",'Dry_Litterbag Placem_Collection'!E126)</f>
        <v>42939</v>
      </c>
      <c r="H419" s="92" t="str">
        <f>Dryseason!L565</f>
        <v>G221</v>
      </c>
      <c r="I419" t="str">
        <f>Dryseason!L785</f>
        <v>R443</v>
      </c>
      <c r="J419">
        <f>IFERROR(INDEX('Green_rooibos initial weight'!$C$5:$C$2000,MATCH(H419, 'Green_rooibos initial weight'!$A$5:$A$2000,0)),"")</f>
        <v>2.004</v>
      </c>
      <c r="K419">
        <f>IFERROR(INDEX('Green_rooibos initial weight'!$C$5:$C$2000,MATCH(I419, 'Green_rooibos initial weight'!$A$5:$A$2000,0)),"")</f>
        <v>2.2149999999999999</v>
      </c>
      <c r="L419" s="194">
        <f t="shared" si="46"/>
        <v>1.7542</v>
      </c>
      <c r="M419" s="233">
        <f>AVERAGE(Ashed_controlls!$K$1:$K$11)</f>
        <v>5.5147656768714146</v>
      </c>
      <c r="N419" s="194">
        <f t="shared" si="45"/>
        <v>1.9651999999999998</v>
      </c>
      <c r="O419" s="376">
        <f>IF('Dry_Litterbag Placem_Collection'!G126="","",'Dry_Litterbag Placem_Collection'!G126)</f>
        <v>43008</v>
      </c>
      <c r="P419" s="194">
        <f>IFERROR(INDEX('Both teabags AfterDry'!$D$3:$D$2000,MATCH(H419,'Both teabags AfterDry'!$A$3:$A$2000,0)),"")</f>
        <v>0.66700000000000004</v>
      </c>
      <c r="Q419" s="194">
        <f>IFERROR(INDEX('Both teabags AfterDry'!$D$3:$D$2000,MATCH(I419,'Both teabags AfterDry'!$A$3:$A$2000,0)),"")</f>
        <v>1.5766</v>
      </c>
      <c r="R419" s="194">
        <f t="shared" si="47"/>
        <v>0.51639999999999997</v>
      </c>
      <c r="S419" s="194">
        <f t="shared" si="47"/>
        <v>1.4259999999999999</v>
      </c>
      <c r="T419" s="194">
        <f t="shared" si="48"/>
        <v>0.70562079580435522</v>
      </c>
      <c r="U419" s="194">
        <f t="shared" si="49"/>
        <v>0.46259225568171508</v>
      </c>
      <c r="V419" s="194">
        <f t="shared" si="50"/>
        <v>0.72562589049460613</v>
      </c>
      <c r="W419">
        <f t="shared" si="51"/>
        <v>69</v>
      </c>
      <c r="X419" s="194">
        <f t="shared" si="52"/>
        <v>0.16197055130124083</v>
      </c>
      <c r="Y419" s="194">
        <f t="shared" si="53"/>
        <v>1.3032527053062206E-2</v>
      </c>
      <c r="Z419" s="245" t="str">
        <f>IF(ISNUMBER(SEARCH("C", 'Dry_Litterbag Placem_Collection'!$V126)),"YES","NO")</f>
        <v>NO</v>
      </c>
      <c r="AA419" s="245" t="str">
        <f>IF(ISNUMBER(SEARCH("H", 'Dry_Litterbag Placem_Collection'!$V126)),"YES","NO")</f>
        <v>NO</v>
      </c>
      <c r="AB419" s="245" t="str">
        <f>IF(ISNUMBER(SEARCH("R", 'Dry_Litterbag Placem_Collection'!$V126)),"YES","NO")</f>
        <v>NO</v>
      </c>
      <c r="AC419" s="245" t="str">
        <f>IF(ISNUMBER(SEARCH("C", 'Dry_Litterbag Placem_Collection'!$U126)),"YES","NO")</f>
        <v>NO</v>
      </c>
      <c r="AD419" s="245" t="str">
        <f>IF(ISNUMBER(SEARCH("H", 'Dry_Litterbag Placem_Collection'!$U126)),"YES","NO")</f>
        <v>NO</v>
      </c>
      <c r="AE419" s="245" t="str">
        <f>IF(ISNUMBER(SEARCH("R", 'Dry_Litterbag Placem_Collection'!$U126)),"YES","NO")</f>
        <v>NO</v>
      </c>
    </row>
    <row r="420" spans="2:31">
      <c r="B420" t="str">
        <f>Dryseason!B566</f>
        <v>Dry</v>
      </c>
      <c r="C420" s="253">
        <f>Dryseason!C566</f>
        <v>125</v>
      </c>
      <c r="D420" t="s">
        <v>3120</v>
      </c>
      <c r="E420" t="s">
        <v>25</v>
      </c>
      <c r="F420" s="375">
        <v>5</v>
      </c>
      <c r="G420" s="376">
        <f>IF('Dry_Litterbag Placem_Collection'!E127="","",'Dry_Litterbag Placem_Collection'!E127)</f>
        <v>42939</v>
      </c>
      <c r="H420" s="92" t="str">
        <f>Dryseason!L566</f>
        <v>G757</v>
      </c>
      <c r="I420" t="str">
        <f>Dryseason!L786</f>
        <v>R180</v>
      </c>
      <c r="J420">
        <f>IFERROR(INDEX('Green_rooibos initial weight'!$C$5:$C$2000,MATCH(H420, 'Green_rooibos initial weight'!$A$5:$A$2000,0)),"")</f>
        <v>2.0670000000000002</v>
      </c>
      <c r="K420">
        <f>IFERROR(INDEX('Green_rooibos initial weight'!$C$5:$C$2000,MATCH(I420, 'Green_rooibos initial weight'!$A$5:$A$2000,0)),"")</f>
        <v>2.2010000000000001</v>
      </c>
      <c r="L420" s="194">
        <f t="shared" si="46"/>
        <v>1.8172000000000001</v>
      </c>
      <c r="M420" s="233">
        <f>AVERAGE(Ashed_controlls!$K$1:$K$11)</f>
        <v>5.5147656768714146</v>
      </c>
      <c r="N420" s="194">
        <f t="shared" si="45"/>
        <v>1.9512</v>
      </c>
      <c r="O420" s="376">
        <f>IF('Dry_Litterbag Placem_Collection'!G127="","",'Dry_Litterbag Placem_Collection'!G127)</f>
        <v>43008</v>
      </c>
      <c r="P420" s="194">
        <f>IFERROR(INDEX('Both teabags AfterDry'!$D$3:$D$2000,MATCH(H420,'Both teabags AfterDry'!$A$3:$A$2000,0)),"")</f>
        <v>0.92230000000000001</v>
      </c>
      <c r="Q420" s="194">
        <f>IFERROR(INDEX('Both teabags AfterDry'!$D$3:$D$2000,MATCH(I420,'Both teabags AfterDry'!$A$3:$A$2000,0)),"")</f>
        <v>1.595</v>
      </c>
      <c r="R420" s="194">
        <f t="shared" si="47"/>
        <v>0.77170000000000005</v>
      </c>
      <c r="S420" s="194">
        <f t="shared" si="47"/>
        <v>1.4443999999999999</v>
      </c>
      <c r="T420" s="194">
        <f t="shared" si="48"/>
        <v>0.5753356812678847</v>
      </c>
      <c r="U420" s="194">
        <f t="shared" si="49"/>
        <v>0.37717968653191497</v>
      </c>
      <c r="V420" s="194">
        <f t="shared" si="50"/>
        <v>0.74026240262402621</v>
      </c>
      <c r="W420">
        <f t="shared" si="51"/>
        <v>69</v>
      </c>
      <c r="X420" s="194">
        <f t="shared" si="52"/>
        <v>0.31670346642769032</v>
      </c>
      <c r="Y420" s="194">
        <f t="shared" si="53"/>
        <v>1.6909802060260697E-2</v>
      </c>
      <c r="Z420" s="245" t="str">
        <f>IF(ISNUMBER(SEARCH("C", 'Dry_Litterbag Placem_Collection'!$V127)),"YES","NO")</f>
        <v>NO</v>
      </c>
      <c r="AA420" s="245" t="str">
        <f>IF(ISNUMBER(SEARCH("H", 'Dry_Litterbag Placem_Collection'!$V127)),"YES","NO")</f>
        <v>NO</v>
      </c>
      <c r="AB420" s="245" t="str">
        <f>IF(ISNUMBER(SEARCH("R", 'Dry_Litterbag Placem_Collection'!$V127)),"YES","NO")</f>
        <v>NO</v>
      </c>
      <c r="AC420" s="245" t="str">
        <f>IF(ISNUMBER(SEARCH("C", 'Dry_Litterbag Placem_Collection'!$U127)),"YES","NO")</f>
        <v>NO</v>
      </c>
      <c r="AD420" s="245" t="str">
        <f>IF(ISNUMBER(SEARCH("H", 'Dry_Litterbag Placem_Collection'!$U127)),"YES","NO")</f>
        <v>NO</v>
      </c>
      <c r="AE420" s="245" t="str">
        <f>IF(ISNUMBER(SEARCH("R", 'Dry_Litterbag Placem_Collection'!$U127)),"YES","NO")</f>
        <v>NO</v>
      </c>
    </row>
    <row r="421" spans="2:31">
      <c r="B421" t="str">
        <f>Dryseason!B567</f>
        <v>Dry</v>
      </c>
      <c r="C421" s="253">
        <f>Dryseason!C567</f>
        <v>126</v>
      </c>
      <c r="D421" t="s">
        <v>3120</v>
      </c>
      <c r="E421" t="s">
        <v>25</v>
      </c>
      <c r="F421" s="375">
        <v>6</v>
      </c>
      <c r="G421" s="376" t="str">
        <f>IF('Dry_Litterbag Placem_Collection'!E128="","",'Dry_Litterbag Placem_Collection'!E128)</f>
        <v/>
      </c>
      <c r="H421" s="92" t="str">
        <f>Dryseason!L567</f>
        <v/>
      </c>
      <c r="I421" t="str">
        <f>Dryseason!L787</f>
        <v/>
      </c>
      <c r="J421" t="str">
        <f>IFERROR(INDEX('Green_rooibos initial weight'!$C$5:$C$2000,MATCH(H421, 'Green_rooibos initial weight'!$A$5:$A$2000,0)),"")</f>
        <v/>
      </c>
      <c r="K421" t="str">
        <f>IFERROR(INDEX('Green_rooibos initial weight'!$C$5:$C$2000,MATCH(I421, 'Green_rooibos initial weight'!$A$5:$A$2000,0)),"")</f>
        <v/>
      </c>
      <c r="L421" s="194" t="str">
        <f t="shared" si="46"/>
        <v/>
      </c>
      <c r="M421" s="233">
        <f>AVERAGE(Ashed_controlls!$K$1:$K$11)</f>
        <v>5.5147656768714146</v>
      </c>
      <c r="N421" s="194" t="str">
        <f t="shared" si="45"/>
        <v/>
      </c>
      <c r="O421" s="376" t="str">
        <f>IF('Dry_Litterbag Placem_Collection'!G128="","",'Dry_Litterbag Placem_Collection'!G128)</f>
        <v/>
      </c>
      <c r="P421" s="194" t="str">
        <f>IFERROR(INDEX('Both teabags AfterDry'!$D$3:$D$2000,MATCH(H421,'Both teabags AfterDry'!$A$3:$A$2000,0)),"")</f>
        <v/>
      </c>
      <c r="Q421" s="194" t="str">
        <f>IFERROR(INDEX('Both teabags AfterDry'!$D$3:$D$2000,MATCH(I421,'Both teabags AfterDry'!$A$3:$A$2000,0)),"")</f>
        <v/>
      </c>
      <c r="R421" s="194" t="str">
        <f t="shared" si="47"/>
        <v/>
      </c>
      <c r="S421" s="194" t="str">
        <f t="shared" si="47"/>
        <v/>
      </c>
      <c r="T421" s="194" t="str">
        <f t="shared" si="48"/>
        <v/>
      </c>
      <c r="U421" s="194" t="str">
        <f t="shared" si="49"/>
        <v/>
      </c>
      <c r="V421" s="194" t="str">
        <f t="shared" si="50"/>
        <v/>
      </c>
      <c r="W421" t="str">
        <f t="shared" si="51"/>
        <v/>
      </c>
      <c r="X421" s="194" t="str">
        <f t="shared" si="52"/>
        <v/>
      </c>
      <c r="Y421" s="194" t="str">
        <f t="shared" si="53"/>
        <v/>
      </c>
      <c r="Z421" s="245" t="str">
        <f>IF(ISNUMBER(SEARCH("C", 'Dry_Litterbag Placem_Collection'!$V128)),"YES","NO")</f>
        <v>NO</v>
      </c>
      <c r="AA421" s="245" t="str">
        <f>IF(ISNUMBER(SEARCH("H", 'Dry_Litterbag Placem_Collection'!$V128)),"YES","NO")</f>
        <v>NO</v>
      </c>
      <c r="AB421" s="245" t="str">
        <f>IF(ISNUMBER(SEARCH("R", 'Dry_Litterbag Placem_Collection'!$V128)),"YES","NO")</f>
        <v>NO</v>
      </c>
      <c r="AC421" s="245" t="str">
        <f>IF(ISNUMBER(SEARCH("C", 'Dry_Litterbag Placem_Collection'!$U128)),"YES","NO")</f>
        <v>NO</v>
      </c>
      <c r="AD421" s="245" t="str">
        <f>IF(ISNUMBER(SEARCH("H", 'Dry_Litterbag Placem_Collection'!$U128)),"YES","NO")</f>
        <v>NO</v>
      </c>
      <c r="AE421" s="245" t="str">
        <f>IF(ISNUMBER(SEARCH("R", 'Dry_Litterbag Placem_Collection'!$U128)),"YES","NO")</f>
        <v>NO</v>
      </c>
    </row>
    <row r="422" spans="2:31">
      <c r="B422" t="str">
        <f>Dryseason!B568</f>
        <v>Dry</v>
      </c>
      <c r="C422" s="253">
        <f>Dryseason!C568</f>
        <v>127</v>
      </c>
      <c r="D422" t="s">
        <v>3120</v>
      </c>
      <c r="E422" t="s">
        <v>25</v>
      </c>
      <c r="F422" s="375">
        <v>7</v>
      </c>
      <c r="G422" s="376">
        <f>IF('Dry_Litterbag Placem_Collection'!E129="","",'Dry_Litterbag Placem_Collection'!E129)</f>
        <v>42939</v>
      </c>
      <c r="H422" s="92" t="str">
        <f>Dryseason!L568</f>
        <v>G96</v>
      </c>
      <c r="I422" t="str">
        <f>Dryseason!L788</f>
        <v>R229</v>
      </c>
      <c r="J422">
        <f>IFERROR(INDEX('Green_rooibos initial weight'!$C$5:$C$2000,MATCH(H422, 'Green_rooibos initial weight'!$A$5:$A$2000,0)),"")</f>
        <v>2.2349999999999999</v>
      </c>
      <c r="K422">
        <f>IFERROR(INDEX('Green_rooibos initial weight'!$C$5:$C$2000,MATCH(I422, 'Green_rooibos initial weight'!$A$5:$A$2000,0)),"")</f>
        <v>2.2530000000000001</v>
      </c>
      <c r="L422" s="194">
        <f t="shared" si="46"/>
        <v>1.9851999999999999</v>
      </c>
      <c r="M422" s="233">
        <f>AVERAGE(Ashed_controlls!$K$1:$K$11)</f>
        <v>5.5147656768714146</v>
      </c>
      <c r="N422" s="194">
        <f t="shared" si="45"/>
        <v>2.0032000000000001</v>
      </c>
      <c r="O422" s="376">
        <f>IF('Dry_Litterbag Placem_Collection'!G129="","",'Dry_Litterbag Placem_Collection'!G129)</f>
        <v>43008</v>
      </c>
      <c r="P422" s="194">
        <f>IFERROR(INDEX('Both teabags AfterDry'!$D$3:$D$2000,MATCH(H422,'Both teabags AfterDry'!$A$3:$A$2000,0)),"")</f>
        <v>0.77790000000000004</v>
      </c>
      <c r="Q422" s="194">
        <f>IFERROR(INDEX('Both teabags AfterDry'!$D$3:$D$2000,MATCH(I422,'Both teabags AfterDry'!$A$3:$A$2000,0)),"")</f>
        <v>1.5876999999999999</v>
      </c>
      <c r="R422" s="194">
        <f t="shared" si="47"/>
        <v>0.62729999999999997</v>
      </c>
      <c r="S422" s="194">
        <f t="shared" si="47"/>
        <v>1.4370999999999998</v>
      </c>
      <c r="T422" s="194">
        <f t="shared" si="48"/>
        <v>0.6840116864799517</v>
      </c>
      <c r="U422" s="194">
        <f t="shared" si="49"/>
        <v>0.44842571370182116</v>
      </c>
      <c r="V422" s="194">
        <f t="shared" si="50"/>
        <v>0.71740215654952066</v>
      </c>
      <c r="W422">
        <f t="shared" si="51"/>
        <v>69</v>
      </c>
      <c r="X422" s="194">
        <f t="shared" si="52"/>
        <v>0.18763457662713567</v>
      </c>
      <c r="Y422" s="194">
        <f t="shared" si="53"/>
        <v>1.4417285664180577E-2</v>
      </c>
      <c r="Z422" s="245" t="str">
        <f>IF(ISNUMBER(SEARCH("C", 'Dry_Litterbag Placem_Collection'!$V129)),"YES","NO")</f>
        <v>NO</v>
      </c>
      <c r="AA422" s="245" t="str">
        <f>IF(ISNUMBER(SEARCH("H", 'Dry_Litterbag Placem_Collection'!$V129)),"YES","NO")</f>
        <v>NO</v>
      </c>
      <c r="AB422" s="245" t="str">
        <f>IF(ISNUMBER(SEARCH("R", 'Dry_Litterbag Placem_Collection'!$V129)),"YES","NO")</f>
        <v>NO</v>
      </c>
      <c r="AC422" s="245" t="str">
        <f>IF(ISNUMBER(SEARCH("C", 'Dry_Litterbag Placem_Collection'!$U129)),"YES","NO")</f>
        <v>NO</v>
      </c>
      <c r="AD422" s="245" t="str">
        <f>IF(ISNUMBER(SEARCH("H", 'Dry_Litterbag Placem_Collection'!$U129)),"YES","NO")</f>
        <v>NO</v>
      </c>
      <c r="AE422" s="245" t="str">
        <f>IF(ISNUMBER(SEARCH("R", 'Dry_Litterbag Placem_Collection'!$U129)),"YES","NO")</f>
        <v>YES</v>
      </c>
    </row>
    <row r="423" spans="2:31">
      <c r="B423" t="str">
        <f>Dryseason!B569</f>
        <v>Dry</v>
      </c>
      <c r="C423" s="253">
        <f>Dryseason!C569</f>
        <v>128</v>
      </c>
      <c r="D423" t="s">
        <v>3120</v>
      </c>
      <c r="E423" t="s">
        <v>25</v>
      </c>
      <c r="F423" s="375">
        <v>8</v>
      </c>
      <c r="G423" s="376">
        <f>IF('Dry_Litterbag Placem_Collection'!E130="","",'Dry_Litterbag Placem_Collection'!E130)</f>
        <v>42939</v>
      </c>
      <c r="H423" s="92" t="str">
        <f>Dryseason!L569</f>
        <v>G134</v>
      </c>
      <c r="I423" t="str">
        <f>Dryseason!L789</f>
        <v>R272</v>
      </c>
      <c r="J423">
        <f>IFERROR(INDEX('Green_rooibos initial weight'!$C$5:$C$2000,MATCH(H423, 'Green_rooibos initial weight'!$A$5:$A$2000,0)),"")</f>
        <v>2.0089999999999999</v>
      </c>
      <c r="K423">
        <f>IFERROR(INDEX('Green_rooibos initial weight'!$C$5:$C$2000,MATCH(I423, 'Green_rooibos initial weight'!$A$5:$A$2000,0)),"")</f>
        <v>2.2999999999999998</v>
      </c>
      <c r="L423" s="194">
        <f t="shared" si="46"/>
        <v>1.7591999999999999</v>
      </c>
      <c r="M423" s="233">
        <f>AVERAGE(Ashed_controlls!$K$1:$K$11)</f>
        <v>5.5147656768714146</v>
      </c>
      <c r="N423" s="194">
        <f t="shared" si="45"/>
        <v>2.0501999999999998</v>
      </c>
      <c r="O423" s="376">
        <f>IF('Dry_Litterbag Placem_Collection'!G130="","",'Dry_Litterbag Placem_Collection'!G130)</f>
        <v>43008</v>
      </c>
      <c r="P423" s="194">
        <f>IFERROR(INDEX('Both teabags AfterDry'!$D$3:$D$2000,MATCH(H423,'Both teabags AfterDry'!$A$3:$A$2000,0)),"")</f>
        <v>0.82289999999999996</v>
      </c>
      <c r="Q423" s="194">
        <f>IFERROR(INDEX('Both teabags AfterDry'!$D$3:$D$2000,MATCH(I423,'Both teabags AfterDry'!$A$3:$A$2000,0)),"")</f>
        <v>1.6163000000000001</v>
      </c>
      <c r="R423" s="194">
        <f t="shared" si="47"/>
        <v>0.6722999999999999</v>
      </c>
      <c r="S423" s="194">
        <f t="shared" si="47"/>
        <v>1.4657</v>
      </c>
      <c r="T423" s="194">
        <f t="shared" si="48"/>
        <v>0.61783765347885411</v>
      </c>
      <c r="U423" s="194">
        <f t="shared" si="49"/>
        <v>0.40504321225692103</v>
      </c>
      <c r="V423" s="194">
        <f t="shared" si="50"/>
        <v>0.71490586284264956</v>
      </c>
      <c r="W423">
        <f t="shared" si="51"/>
        <v>69</v>
      </c>
      <c r="X423" s="194">
        <f t="shared" si="52"/>
        <v>0.26622606475195476</v>
      </c>
      <c r="Y423" s="194">
        <f t="shared" si="53"/>
        <v>1.763661564936083E-2</v>
      </c>
      <c r="Z423" s="245" t="str">
        <f>IF(ISNUMBER(SEARCH("C", 'Dry_Litterbag Placem_Collection'!$V130)),"YES","NO")</f>
        <v>NO</v>
      </c>
      <c r="AA423" s="245" t="str">
        <f>IF(ISNUMBER(SEARCH("H", 'Dry_Litterbag Placem_Collection'!$V130)),"YES","NO")</f>
        <v>NO</v>
      </c>
      <c r="AB423" s="245" t="str">
        <f>IF(ISNUMBER(SEARCH("R", 'Dry_Litterbag Placem_Collection'!$V130)),"YES","NO")</f>
        <v>NO</v>
      </c>
      <c r="AC423" s="245" t="str">
        <f>IF(ISNUMBER(SEARCH("C", 'Dry_Litterbag Placem_Collection'!$U130)),"YES","NO")</f>
        <v>NO</v>
      </c>
      <c r="AD423" s="245" t="str">
        <f>IF(ISNUMBER(SEARCH("H", 'Dry_Litterbag Placem_Collection'!$U130)),"YES","NO")</f>
        <v>NO</v>
      </c>
      <c r="AE423" s="245" t="str">
        <f>IF(ISNUMBER(SEARCH("R", 'Dry_Litterbag Placem_Collection'!$U130)),"YES","NO")</f>
        <v>NO</v>
      </c>
    </row>
    <row r="424" spans="2:31">
      <c r="B424" t="str">
        <f>Dryseason!B570</f>
        <v>Dry</v>
      </c>
      <c r="C424" s="253">
        <f>Dryseason!C570</f>
        <v>129</v>
      </c>
      <c r="D424" t="s">
        <v>3121</v>
      </c>
      <c r="E424" t="s">
        <v>25</v>
      </c>
      <c r="F424" s="374">
        <v>1</v>
      </c>
      <c r="G424" s="376">
        <f>IF('Dry_Litterbag Placem_Collection'!E131="","",'Dry_Litterbag Placem_Collection'!E131)</f>
        <v>42939</v>
      </c>
      <c r="H424" s="92" t="str">
        <f>Dryseason!L570</f>
        <v>G671</v>
      </c>
      <c r="I424" t="str">
        <f>Dryseason!L790</f>
        <v>R207</v>
      </c>
      <c r="J424">
        <f>IFERROR(INDEX('Green_rooibos initial weight'!$C$5:$C$2000,MATCH(H424, 'Green_rooibos initial weight'!$A$5:$A$2000,0)),"")</f>
        <v>2.0510000000000002</v>
      </c>
      <c r="K424">
        <f>IFERROR(INDEX('Green_rooibos initial weight'!$C$5:$C$2000,MATCH(I424, 'Green_rooibos initial weight'!$A$5:$A$2000,0)),"")</f>
        <v>2.1800000000000002</v>
      </c>
      <c r="L424" s="194">
        <f t="shared" si="46"/>
        <v>1.8012000000000001</v>
      </c>
      <c r="M424" s="233">
        <f>AVERAGE(Ashed_controlls!$K$1:$K$11)</f>
        <v>5.5147656768714146</v>
      </c>
      <c r="N424" s="194">
        <f t="shared" si="45"/>
        <v>1.9302000000000001</v>
      </c>
      <c r="O424" s="376">
        <f>IF('Dry_Litterbag Placem_Collection'!G131="","",'Dry_Litterbag Placem_Collection'!G131)</f>
        <v>43008</v>
      </c>
      <c r="P424" s="194">
        <f>IFERROR(INDEX('Both teabags AfterDry'!$D$3:$D$2000,MATCH(H424,'Both teabags AfterDry'!$A$3:$A$2000,0)),"")</f>
        <v>0.68540000000000001</v>
      </c>
      <c r="Q424" s="194">
        <f>IFERROR(INDEX('Both teabags AfterDry'!$D$3:$D$2000,MATCH(I424,'Both teabags AfterDry'!$A$3:$A$2000,0)),"")</f>
        <v>1.6962999999999999</v>
      </c>
      <c r="R424" s="194">
        <f t="shared" si="47"/>
        <v>0.53479999999999994</v>
      </c>
      <c r="S424" s="194">
        <f t="shared" si="47"/>
        <v>1.5456999999999999</v>
      </c>
      <c r="T424" s="194">
        <f t="shared" si="48"/>
        <v>0.70308683100155456</v>
      </c>
      <c r="U424" s="194">
        <f t="shared" si="49"/>
        <v>0.46093103410078168</v>
      </c>
      <c r="V424" s="194">
        <f t="shared" si="50"/>
        <v>0.80079784478292393</v>
      </c>
      <c r="W424">
        <f t="shared" si="51"/>
        <v>69</v>
      </c>
      <c r="X424" s="194">
        <f t="shared" si="52"/>
        <v>0.16498001068698975</v>
      </c>
      <c r="Y424" s="194">
        <f t="shared" si="53"/>
        <v>8.2020185015251219E-3</v>
      </c>
      <c r="Z424" s="245" t="str">
        <f>IF(ISNUMBER(SEARCH("C", 'Dry_Litterbag Placem_Collection'!$V131)),"YES","NO")</f>
        <v>NO</v>
      </c>
      <c r="AA424" s="245" t="str">
        <f>IF(ISNUMBER(SEARCH("H", 'Dry_Litterbag Placem_Collection'!$V131)),"YES","NO")</f>
        <v>NO</v>
      </c>
      <c r="AB424" s="245" t="str">
        <f>IF(ISNUMBER(SEARCH("R", 'Dry_Litterbag Placem_Collection'!$V131)),"YES","NO")</f>
        <v>NO</v>
      </c>
      <c r="AC424" s="245" t="str">
        <f>IF(ISNUMBER(SEARCH("C", 'Dry_Litterbag Placem_Collection'!$U131)),"YES","NO")</f>
        <v>NO</v>
      </c>
      <c r="AD424" s="245" t="str">
        <f>IF(ISNUMBER(SEARCH("H", 'Dry_Litterbag Placem_Collection'!$U131)),"YES","NO")</f>
        <v>NO</v>
      </c>
      <c r="AE424" s="245" t="str">
        <f>IF(ISNUMBER(SEARCH("R", 'Dry_Litterbag Placem_Collection'!$U131)),"YES","NO")</f>
        <v>NO</v>
      </c>
    </row>
    <row r="425" spans="2:31">
      <c r="B425" t="str">
        <f>Dryseason!B571</f>
        <v>Dry</v>
      </c>
      <c r="C425" s="253">
        <f>Dryseason!C571</f>
        <v>130</v>
      </c>
      <c r="D425" t="s">
        <v>3121</v>
      </c>
      <c r="E425" t="s">
        <v>25</v>
      </c>
      <c r="F425" s="374">
        <v>2</v>
      </c>
      <c r="G425" s="376">
        <f>IF('Dry_Litterbag Placem_Collection'!E132="","",'Dry_Litterbag Placem_Collection'!E132)</f>
        <v>42939</v>
      </c>
      <c r="H425" s="92" t="str">
        <f>Dryseason!L571</f>
        <v>G400</v>
      </c>
      <c r="I425" t="str">
        <f>Dryseason!L791</f>
        <v>R193</v>
      </c>
      <c r="J425">
        <f>IFERROR(INDEX('Green_rooibos initial weight'!$C$5:$C$2000,MATCH(H425, 'Green_rooibos initial weight'!$A$5:$A$2000,0)),"")</f>
        <v>2.0089999999999999</v>
      </c>
      <c r="K425">
        <f>IFERROR(INDEX('Green_rooibos initial weight'!$C$5:$C$2000,MATCH(I425, 'Green_rooibos initial weight'!$A$5:$A$2000,0)),"")</f>
        <v>2.198</v>
      </c>
      <c r="L425" s="194">
        <f t="shared" si="46"/>
        <v>1.7591999999999999</v>
      </c>
      <c r="M425" s="233">
        <f>AVERAGE(Ashed_controlls!$K$1:$K$11)</f>
        <v>5.5147656768714146</v>
      </c>
      <c r="N425" s="194">
        <f t="shared" si="45"/>
        <v>1.9481999999999999</v>
      </c>
      <c r="O425" s="376">
        <f>IF('Dry_Litterbag Placem_Collection'!G132="","",'Dry_Litterbag Placem_Collection'!G132)</f>
        <v>43008</v>
      </c>
      <c r="P425" s="194">
        <f>IFERROR(INDEX('Both teabags AfterDry'!$D$3:$D$2000,MATCH(H425,'Both teabags AfterDry'!$A$3:$A$2000,0)),"")</f>
        <v>0.86</v>
      </c>
      <c r="Q425" s="194">
        <f>IFERROR(INDEX('Both teabags AfterDry'!$D$3:$D$2000,MATCH(I425,'Both teabags AfterDry'!$A$3:$A$2000,0)),"")</f>
        <v>1.7978000000000001</v>
      </c>
      <c r="R425" s="194">
        <f t="shared" si="47"/>
        <v>0.70940000000000003</v>
      </c>
      <c r="S425" s="194">
        <f t="shared" si="47"/>
        <v>1.6472</v>
      </c>
      <c r="T425" s="194">
        <f t="shared" si="48"/>
        <v>0.59674852205547979</v>
      </c>
      <c r="U425" s="194">
        <f t="shared" si="49"/>
        <v>0.39121755840216732</v>
      </c>
      <c r="V425" s="194">
        <f t="shared" si="50"/>
        <v>0.84549840878759885</v>
      </c>
      <c r="W425">
        <f t="shared" si="51"/>
        <v>69</v>
      </c>
      <c r="X425" s="194">
        <f t="shared" si="52"/>
        <v>0.29127253912650852</v>
      </c>
      <c r="Y425" s="194">
        <f t="shared" si="53"/>
        <v>7.281200707997309E-3</v>
      </c>
      <c r="Z425" s="245" t="str">
        <f>IF(ISNUMBER(SEARCH("C", 'Dry_Litterbag Placem_Collection'!$V132)),"YES","NO")</f>
        <v>NO</v>
      </c>
      <c r="AA425" s="245" t="str">
        <f>IF(ISNUMBER(SEARCH("H", 'Dry_Litterbag Placem_Collection'!$V132)),"YES","NO")</f>
        <v>NO</v>
      </c>
      <c r="AB425" s="245" t="str">
        <f>IF(ISNUMBER(SEARCH("R", 'Dry_Litterbag Placem_Collection'!$V132)),"YES","NO")</f>
        <v>NO</v>
      </c>
      <c r="AC425" s="245" t="str">
        <f>IF(ISNUMBER(SEARCH("C", 'Dry_Litterbag Placem_Collection'!$U132)),"YES","NO")</f>
        <v>NO</v>
      </c>
      <c r="AD425" s="245" t="str">
        <f>IF(ISNUMBER(SEARCH("H", 'Dry_Litterbag Placem_Collection'!$U132)),"YES","NO")</f>
        <v>NO</v>
      </c>
      <c r="AE425" s="245" t="str">
        <f>IF(ISNUMBER(SEARCH("R", 'Dry_Litterbag Placem_Collection'!$U132)),"YES","NO")</f>
        <v>YES</v>
      </c>
    </row>
    <row r="426" spans="2:31">
      <c r="B426" t="str">
        <f>Dryseason!B572</f>
        <v>Dry</v>
      </c>
      <c r="C426" s="253">
        <f>Dryseason!C572</f>
        <v>131</v>
      </c>
      <c r="D426" t="s">
        <v>3121</v>
      </c>
      <c r="E426" t="s">
        <v>25</v>
      </c>
      <c r="F426" s="374">
        <v>3</v>
      </c>
      <c r="G426" s="376">
        <f>IF('Dry_Litterbag Placem_Collection'!E133="","",'Dry_Litterbag Placem_Collection'!E133)</f>
        <v>42939</v>
      </c>
      <c r="H426" s="92" t="str">
        <f>Dryseason!L572</f>
        <v>G48</v>
      </c>
      <c r="I426" t="str">
        <f>Dryseason!L792</f>
        <v>R188</v>
      </c>
      <c r="J426">
        <f>IFERROR(INDEX('Green_rooibos initial weight'!$C$5:$C$2000,MATCH(H426, 'Green_rooibos initial weight'!$A$5:$A$2000,0)),"")</f>
        <v>2.0590000000000002</v>
      </c>
      <c r="K426">
        <f>IFERROR(INDEX('Green_rooibos initial weight'!$C$5:$C$2000,MATCH(I426, 'Green_rooibos initial weight'!$A$5:$A$2000,0)),"")</f>
        <v>2.2440000000000002</v>
      </c>
      <c r="L426" s="194">
        <f t="shared" si="46"/>
        <v>1.8092000000000001</v>
      </c>
      <c r="M426" s="233">
        <f>AVERAGE(Ashed_controlls!$K$1:$K$11)</f>
        <v>5.5147656768714146</v>
      </c>
      <c r="N426" s="194">
        <f t="shared" si="45"/>
        <v>1.9942000000000002</v>
      </c>
      <c r="O426" s="376">
        <f>IF('Dry_Litterbag Placem_Collection'!G133="","",'Dry_Litterbag Placem_Collection'!G133)</f>
        <v>43008</v>
      </c>
      <c r="P426" s="194">
        <f>IFERROR(INDEX('Both teabags AfterDry'!$D$3:$D$2000,MATCH(H426,'Both teabags AfterDry'!$A$3:$A$2000,0)),"")</f>
        <v>0.84750000000000003</v>
      </c>
      <c r="Q426" s="194">
        <f>IFERROR(INDEX('Both teabags AfterDry'!$D$3:$D$2000,MATCH(I426,'Both teabags AfterDry'!$A$3:$A$2000,0)),"")</f>
        <v>1.7876000000000001</v>
      </c>
      <c r="R426" s="194">
        <f t="shared" si="47"/>
        <v>0.69690000000000007</v>
      </c>
      <c r="S426" s="194">
        <f t="shared" si="47"/>
        <v>1.637</v>
      </c>
      <c r="T426" s="194">
        <f t="shared" si="48"/>
        <v>0.61480212248507626</v>
      </c>
      <c r="U426" s="194">
        <f t="shared" si="49"/>
        <v>0.40305317293558446</v>
      </c>
      <c r="V426" s="194">
        <f t="shared" si="50"/>
        <v>0.82088055360545575</v>
      </c>
      <c r="W426">
        <f t="shared" si="51"/>
        <v>69</v>
      </c>
      <c r="X426" s="194">
        <f t="shared" si="52"/>
        <v>0.26983120845002817</v>
      </c>
      <c r="Y426" s="194">
        <f t="shared" si="53"/>
        <v>8.5176572693988154E-3</v>
      </c>
      <c r="Z426" s="245" t="str">
        <f>IF(ISNUMBER(SEARCH("C", 'Dry_Litterbag Placem_Collection'!$V133)),"YES","NO")</f>
        <v>NO</v>
      </c>
      <c r="AA426" s="245" t="str">
        <f>IF(ISNUMBER(SEARCH("H", 'Dry_Litterbag Placem_Collection'!$V133)),"YES","NO")</f>
        <v>NO</v>
      </c>
      <c r="AB426" s="245" t="str">
        <f>IF(ISNUMBER(SEARCH("R", 'Dry_Litterbag Placem_Collection'!$V133)),"YES","NO")</f>
        <v>YES</v>
      </c>
      <c r="AC426" s="245" t="str">
        <f>IF(ISNUMBER(SEARCH("C", 'Dry_Litterbag Placem_Collection'!$U133)),"YES","NO")</f>
        <v>NO</v>
      </c>
      <c r="AD426" s="245" t="str">
        <f>IF(ISNUMBER(SEARCH("H", 'Dry_Litterbag Placem_Collection'!$U133)),"YES","NO")</f>
        <v>NO</v>
      </c>
      <c r="AE426" s="245" t="str">
        <f>IF(ISNUMBER(SEARCH("R", 'Dry_Litterbag Placem_Collection'!$U133)),"YES","NO")</f>
        <v>YES</v>
      </c>
    </row>
    <row r="427" spans="2:31">
      <c r="B427" t="str">
        <f>Dryseason!B573</f>
        <v>Dry</v>
      </c>
      <c r="C427" s="253">
        <f>Dryseason!C573</f>
        <v>132</v>
      </c>
      <c r="D427" t="s">
        <v>3121</v>
      </c>
      <c r="E427" t="s">
        <v>25</v>
      </c>
      <c r="F427" s="375">
        <v>4</v>
      </c>
      <c r="G427" s="376" t="str">
        <f>IF('Dry_Litterbag Placem_Collection'!E134="","",'Dry_Litterbag Placem_Collection'!E134)</f>
        <v/>
      </c>
      <c r="H427" s="92" t="str">
        <f>Dryseason!L573</f>
        <v/>
      </c>
      <c r="I427" t="str">
        <f>Dryseason!L793</f>
        <v/>
      </c>
      <c r="J427" t="str">
        <f>IFERROR(INDEX('Green_rooibos initial weight'!$C$5:$C$2000,MATCH(H427, 'Green_rooibos initial weight'!$A$5:$A$2000,0)),"")</f>
        <v/>
      </c>
      <c r="K427" t="str">
        <f>IFERROR(INDEX('Green_rooibos initial weight'!$C$5:$C$2000,MATCH(I427, 'Green_rooibos initial weight'!$A$5:$A$2000,0)),"")</f>
        <v/>
      </c>
      <c r="L427" s="194" t="str">
        <f t="shared" si="46"/>
        <v/>
      </c>
      <c r="M427" s="233">
        <f>AVERAGE(Ashed_controlls!$K$1:$K$11)</f>
        <v>5.5147656768714146</v>
      </c>
      <c r="N427" s="194" t="str">
        <f t="shared" si="45"/>
        <v/>
      </c>
      <c r="O427" s="376" t="str">
        <f>IF('Dry_Litterbag Placem_Collection'!G134="","",'Dry_Litterbag Placem_Collection'!G134)</f>
        <v/>
      </c>
      <c r="P427" s="194" t="str">
        <f>IFERROR(INDEX('Both teabags AfterDry'!$D$3:$D$2000,MATCH(H427,'Both teabags AfterDry'!$A$3:$A$2000,0)),"")</f>
        <v/>
      </c>
      <c r="Q427" s="194" t="str">
        <f>IFERROR(INDEX('Both teabags AfterDry'!$D$3:$D$2000,MATCH(I427,'Both teabags AfterDry'!$A$3:$A$2000,0)),"")</f>
        <v/>
      </c>
      <c r="R427" s="194" t="str">
        <f t="shared" si="47"/>
        <v/>
      </c>
      <c r="S427" s="194" t="str">
        <f t="shared" si="47"/>
        <v/>
      </c>
      <c r="T427" s="194" t="str">
        <f t="shared" si="48"/>
        <v/>
      </c>
      <c r="U427" s="194" t="str">
        <f t="shared" si="49"/>
        <v/>
      </c>
      <c r="V427" s="194" t="str">
        <f t="shared" si="50"/>
        <v/>
      </c>
      <c r="W427" t="str">
        <f t="shared" si="51"/>
        <v/>
      </c>
      <c r="X427" s="194" t="str">
        <f t="shared" si="52"/>
        <v/>
      </c>
      <c r="Y427" s="194" t="str">
        <f t="shared" si="53"/>
        <v/>
      </c>
      <c r="Z427" s="245" t="str">
        <f>IF(ISNUMBER(SEARCH("C", 'Dry_Litterbag Placem_Collection'!$V134)),"YES","NO")</f>
        <v>NO</v>
      </c>
      <c r="AA427" s="245" t="str">
        <f>IF(ISNUMBER(SEARCH("H", 'Dry_Litterbag Placem_Collection'!$V134)),"YES","NO")</f>
        <v>NO</v>
      </c>
      <c r="AB427" s="245" t="str">
        <f>IF(ISNUMBER(SEARCH("R", 'Dry_Litterbag Placem_Collection'!$V134)),"YES","NO")</f>
        <v>NO</v>
      </c>
      <c r="AC427" s="245" t="str">
        <f>IF(ISNUMBER(SEARCH("C", 'Dry_Litterbag Placem_Collection'!$U134)),"YES","NO")</f>
        <v>NO</v>
      </c>
      <c r="AD427" s="245" t="str">
        <f>IF(ISNUMBER(SEARCH("H", 'Dry_Litterbag Placem_Collection'!$U134)),"YES","NO")</f>
        <v>NO</v>
      </c>
      <c r="AE427" s="245" t="str">
        <f>IF(ISNUMBER(SEARCH("R", 'Dry_Litterbag Placem_Collection'!$U134)),"YES","NO")</f>
        <v>NO</v>
      </c>
    </row>
    <row r="428" spans="2:31">
      <c r="B428" t="str">
        <f>Dryseason!B574</f>
        <v>Dry</v>
      </c>
      <c r="C428" s="253">
        <f>Dryseason!C574</f>
        <v>133</v>
      </c>
      <c r="D428" t="s">
        <v>3121</v>
      </c>
      <c r="E428" t="s">
        <v>25</v>
      </c>
      <c r="F428" s="375">
        <v>5</v>
      </c>
      <c r="G428" s="376">
        <f>IF('Dry_Litterbag Placem_Collection'!E135="","",'Dry_Litterbag Placem_Collection'!E135)</f>
        <v>42939</v>
      </c>
      <c r="H428" s="92" t="str">
        <f>Dryseason!L574</f>
        <v>G210</v>
      </c>
      <c r="I428" t="str">
        <f>Dryseason!L794</f>
        <v>R683</v>
      </c>
      <c r="J428">
        <f>IFERROR(INDEX('Green_rooibos initial weight'!$C$5:$C$2000,MATCH(H428, 'Green_rooibos initial weight'!$A$5:$A$2000,0)),"")</f>
        <v>1.923</v>
      </c>
      <c r="K428">
        <f>IFERROR(INDEX('Green_rooibos initial weight'!$C$5:$C$2000,MATCH(I428, 'Green_rooibos initial weight'!$A$5:$A$2000,0)),"")</f>
        <v>2.141</v>
      </c>
      <c r="L428" s="194">
        <f t="shared" si="46"/>
        <v>1.6732</v>
      </c>
      <c r="M428" s="233">
        <f>AVERAGE(Ashed_controlls!$K$1:$K$11)</f>
        <v>5.5147656768714146</v>
      </c>
      <c r="N428" s="194">
        <f t="shared" si="45"/>
        <v>1.8912</v>
      </c>
      <c r="O428" s="376">
        <f>IF('Dry_Litterbag Placem_Collection'!G135="","",'Dry_Litterbag Placem_Collection'!G135)</f>
        <v>43008</v>
      </c>
      <c r="P428" s="194" t="str">
        <f>IFERROR(INDEX('Both teabags AfterDry'!$D$3:$D$2000,MATCH(H428,'Both teabags AfterDry'!$A$3:$A$2000,0)),"")</f>
        <v/>
      </c>
      <c r="Q428" s="194" t="str">
        <f>IFERROR(INDEX('Both teabags AfterDry'!$D$3:$D$2000,MATCH(I428,'Both teabags AfterDry'!$A$3:$A$2000,0)),"")</f>
        <v/>
      </c>
      <c r="R428" s="194" t="str">
        <f t="shared" si="47"/>
        <v/>
      </c>
      <c r="S428" s="194" t="str">
        <f t="shared" si="47"/>
        <v/>
      </c>
      <c r="T428" s="194" t="str">
        <f t="shared" si="48"/>
        <v/>
      </c>
      <c r="U428" s="194" t="str">
        <f t="shared" si="49"/>
        <v/>
      </c>
      <c r="V428" s="194" t="str">
        <f t="shared" si="50"/>
        <v/>
      </c>
      <c r="W428">
        <f t="shared" si="51"/>
        <v>69</v>
      </c>
      <c r="X428" s="194" t="str">
        <f t="shared" si="52"/>
        <v/>
      </c>
      <c r="Y428" s="194" t="str">
        <f t="shared" si="53"/>
        <v/>
      </c>
      <c r="Z428" s="245" t="str">
        <f>IF(ISNUMBER(SEARCH("C", 'Dry_Litterbag Placem_Collection'!$V135)),"YES","NO")</f>
        <v>NO</v>
      </c>
      <c r="AA428" s="245" t="str">
        <f>IF(ISNUMBER(SEARCH("H", 'Dry_Litterbag Placem_Collection'!$V135)),"YES","NO")</f>
        <v>NO</v>
      </c>
      <c r="AB428" s="245" t="str">
        <f>IF(ISNUMBER(SEARCH("R", 'Dry_Litterbag Placem_Collection'!$V135)),"YES","NO")</f>
        <v>NO</v>
      </c>
      <c r="AC428" s="245" t="str">
        <f>IF(ISNUMBER(SEARCH("C", 'Dry_Litterbag Placem_Collection'!$U135)),"YES","NO")</f>
        <v>NO</v>
      </c>
      <c r="AD428" s="245" t="str">
        <f>IF(ISNUMBER(SEARCH("H", 'Dry_Litterbag Placem_Collection'!$U135)),"YES","NO")</f>
        <v>NO</v>
      </c>
      <c r="AE428" s="245" t="str">
        <f>IF(ISNUMBER(SEARCH("R", 'Dry_Litterbag Placem_Collection'!$U135)),"YES","NO")</f>
        <v>YES</v>
      </c>
    </row>
    <row r="429" spans="2:31">
      <c r="B429" t="str">
        <f>Dryseason!B575</f>
        <v>Dry</v>
      </c>
      <c r="C429" s="253">
        <f>Dryseason!C575</f>
        <v>134</v>
      </c>
      <c r="D429" t="s">
        <v>3121</v>
      </c>
      <c r="E429" t="s">
        <v>25</v>
      </c>
      <c r="F429" s="375">
        <v>6</v>
      </c>
      <c r="G429" s="376">
        <f>IF('Dry_Litterbag Placem_Collection'!E136="","",'Dry_Litterbag Placem_Collection'!E136)</f>
        <v>42939</v>
      </c>
      <c r="H429" s="92" t="str">
        <f>Dryseason!L575</f>
        <v>G40</v>
      </c>
      <c r="I429" t="str">
        <f>Dryseason!L795</f>
        <v>R649</v>
      </c>
      <c r="J429">
        <f>IFERROR(INDEX('Green_rooibos initial weight'!$C$5:$C$2000,MATCH(H429, 'Green_rooibos initial weight'!$A$5:$A$2000,0)),"")</f>
        <v>2.0369999999999999</v>
      </c>
      <c r="K429">
        <f>IFERROR(INDEX('Green_rooibos initial weight'!$C$5:$C$2000,MATCH(I429, 'Green_rooibos initial weight'!$A$5:$A$2000,0)),"")</f>
        <v>2.161</v>
      </c>
      <c r="L429" s="194">
        <f t="shared" si="46"/>
        <v>1.7871999999999999</v>
      </c>
      <c r="M429" s="233">
        <f>AVERAGE(Ashed_controlls!$K$1:$K$11)</f>
        <v>5.5147656768714146</v>
      </c>
      <c r="N429" s="194">
        <f t="shared" si="45"/>
        <v>1.9112</v>
      </c>
      <c r="O429" s="376">
        <f>IF('Dry_Litterbag Placem_Collection'!G136="","",'Dry_Litterbag Placem_Collection'!G136)</f>
        <v>43008</v>
      </c>
      <c r="P429" s="194">
        <f>IFERROR(INDEX('Both teabags AfterDry'!$D$3:$D$2000,MATCH(H429,'Both teabags AfterDry'!$A$3:$A$2000,0)),"")</f>
        <v>0.68400000000000005</v>
      </c>
      <c r="Q429" s="194">
        <f>IFERROR(INDEX('Both teabags AfterDry'!$D$3:$D$2000,MATCH(I429,'Both teabags AfterDry'!$A$3:$A$2000,0)),"")</f>
        <v>1.7554000000000001</v>
      </c>
      <c r="R429" s="194">
        <f t="shared" si="47"/>
        <v>0.5334000000000001</v>
      </c>
      <c r="S429" s="194">
        <f t="shared" si="47"/>
        <v>1.6048</v>
      </c>
      <c r="T429" s="194">
        <f t="shared" si="48"/>
        <v>0.70154431512981197</v>
      </c>
      <c r="U429" s="194">
        <f t="shared" si="49"/>
        <v>0.45991978854115945</v>
      </c>
      <c r="V429" s="194">
        <f t="shared" si="50"/>
        <v>0.83968187526161575</v>
      </c>
      <c r="W429">
        <f t="shared" si="51"/>
        <v>69</v>
      </c>
      <c r="X429" s="194">
        <f t="shared" si="52"/>
        <v>0.16681197728050834</v>
      </c>
      <c r="Y429" s="194">
        <f t="shared" si="53"/>
        <v>6.2115695144984205E-3</v>
      </c>
      <c r="Z429" s="245" t="str">
        <f>IF(ISNUMBER(SEARCH("C", 'Dry_Litterbag Placem_Collection'!$V136)),"YES","NO")</f>
        <v>NO</v>
      </c>
      <c r="AA429" s="245" t="str">
        <f>IF(ISNUMBER(SEARCH("H", 'Dry_Litterbag Placem_Collection'!$V136)),"YES","NO")</f>
        <v>NO</v>
      </c>
      <c r="AB429" s="245" t="str">
        <f>IF(ISNUMBER(SEARCH("R", 'Dry_Litterbag Placem_Collection'!$V136)),"YES","NO")</f>
        <v>YES</v>
      </c>
      <c r="AC429" s="245" t="str">
        <f>IF(ISNUMBER(SEARCH("C", 'Dry_Litterbag Placem_Collection'!$U136)),"YES","NO")</f>
        <v>NO</v>
      </c>
      <c r="AD429" s="245" t="str">
        <f>IF(ISNUMBER(SEARCH("H", 'Dry_Litterbag Placem_Collection'!$U136)),"YES","NO")</f>
        <v>NO</v>
      </c>
      <c r="AE429" s="245" t="str">
        <f>IF(ISNUMBER(SEARCH("R", 'Dry_Litterbag Placem_Collection'!$U136)),"YES","NO")</f>
        <v>YES</v>
      </c>
    </row>
    <row r="430" spans="2:31">
      <c r="B430" t="str">
        <f>Dryseason!B576</f>
        <v>Dry</v>
      </c>
      <c r="C430" s="253">
        <f>Dryseason!C576</f>
        <v>135</v>
      </c>
      <c r="D430" t="s">
        <v>3121</v>
      </c>
      <c r="E430" t="s">
        <v>25</v>
      </c>
      <c r="F430" s="375">
        <v>7</v>
      </c>
      <c r="G430" s="376">
        <f>IF('Dry_Litterbag Placem_Collection'!E137="","",'Dry_Litterbag Placem_Collection'!E137)</f>
        <v>42939</v>
      </c>
      <c r="H430" s="92" t="str">
        <f>Dryseason!L576</f>
        <v>G517</v>
      </c>
      <c r="I430" t="str">
        <f>Dryseason!L796</f>
        <v>R223</v>
      </c>
      <c r="J430">
        <f>IFERROR(INDEX('Green_rooibos initial weight'!$C$5:$C$2000,MATCH(H430, 'Green_rooibos initial weight'!$A$5:$A$2000,0)),"")</f>
        <v>2.069</v>
      </c>
      <c r="K430">
        <f>IFERROR(INDEX('Green_rooibos initial weight'!$C$5:$C$2000,MATCH(I430, 'Green_rooibos initial weight'!$A$5:$A$2000,0)),"")</f>
        <v>2.2170000000000001</v>
      </c>
      <c r="L430" s="194">
        <f t="shared" si="46"/>
        <v>1.8191999999999999</v>
      </c>
      <c r="M430" s="233">
        <f>AVERAGE(Ashed_controlls!$K$1:$K$11)</f>
        <v>5.5147656768714146</v>
      </c>
      <c r="N430" s="194">
        <f t="shared" si="45"/>
        <v>1.9672000000000001</v>
      </c>
      <c r="O430" s="376">
        <f>IF('Dry_Litterbag Placem_Collection'!G137="","",'Dry_Litterbag Placem_Collection'!G137)</f>
        <v>43008</v>
      </c>
      <c r="P430" s="194">
        <f>IFERROR(INDEX('Both teabags AfterDry'!$D$3:$D$2000,MATCH(H430,'Both teabags AfterDry'!$A$3:$A$2000,0)),"")</f>
        <v>0.7097</v>
      </c>
      <c r="Q430" s="194">
        <f>IFERROR(INDEX('Both teabags AfterDry'!$D$3:$D$2000,MATCH(I430,'Both teabags AfterDry'!$A$3:$A$2000,0)),"")</f>
        <v>1.7884</v>
      </c>
      <c r="R430" s="194">
        <f t="shared" si="47"/>
        <v>0.55909999999999993</v>
      </c>
      <c r="S430" s="194">
        <f t="shared" si="47"/>
        <v>1.6377999999999999</v>
      </c>
      <c r="T430" s="194">
        <f t="shared" si="48"/>
        <v>0.69266710642040463</v>
      </c>
      <c r="U430" s="194">
        <f t="shared" si="49"/>
        <v>0.45410005076492088</v>
      </c>
      <c r="V430" s="194">
        <f t="shared" si="50"/>
        <v>0.83255388369255789</v>
      </c>
      <c r="W430">
        <f t="shared" si="51"/>
        <v>69</v>
      </c>
      <c r="X430" s="194">
        <f t="shared" si="52"/>
        <v>0.17735498049833176</v>
      </c>
      <c r="Y430" s="194">
        <f t="shared" si="53"/>
        <v>6.667273405600185E-3</v>
      </c>
      <c r="Z430" s="245" t="str">
        <f>IF(ISNUMBER(SEARCH("C", 'Dry_Litterbag Placem_Collection'!$V137)),"YES","NO")</f>
        <v>NO</v>
      </c>
      <c r="AA430" s="245" t="str">
        <f>IF(ISNUMBER(SEARCH("H", 'Dry_Litterbag Placem_Collection'!$V137)),"YES","NO")</f>
        <v>NO</v>
      </c>
      <c r="AB430" s="245" t="str">
        <f>IF(ISNUMBER(SEARCH("R", 'Dry_Litterbag Placem_Collection'!$V137)),"YES","NO")</f>
        <v>NO</v>
      </c>
      <c r="AC430" s="245" t="str">
        <f>IF(ISNUMBER(SEARCH("C", 'Dry_Litterbag Placem_Collection'!$U137)),"YES","NO")</f>
        <v>NO</v>
      </c>
      <c r="AD430" s="245" t="str">
        <f>IF(ISNUMBER(SEARCH("H", 'Dry_Litterbag Placem_Collection'!$U137)),"YES","NO")</f>
        <v>NO</v>
      </c>
      <c r="AE430" s="245" t="str">
        <f>IF(ISNUMBER(SEARCH("R", 'Dry_Litterbag Placem_Collection'!$U137)),"YES","NO")</f>
        <v>NO</v>
      </c>
    </row>
    <row r="431" spans="2:31">
      <c r="B431" t="str">
        <f>Dryseason!B577</f>
        <v>Dry</v>
      </c>
      <c r="C431" s="253">
        <f>Dryseason!C577</f>
        <v>136</v>
      </c>
      <c r="D431" t="s">
        <v>3121</v>
      </c>
      <c r="E431" t="s">
        <v>25</v>
      </c>
      <c r="F431" s="375">
        <v>8</v>
      </c>
      <c r="G431" s="376">
        <f>IF('Dry_Litterbag Placem_Collection'!E138="","",'Dry_Litterbag Placem_Collection'!E138)</f>
        <v>42939</v>
      </c>
      <c r="H431" s="92" t="str">
        <f>Dryseason!L577</f>
        <v>G67</v>
      </c>
      <c r="I431" t="str">
        <f>Dryseason!L797</f>
        <v>R214</v>
      </c>
      <c r="J431">
        <f>IFERROR(INDEX('Green_rooibos initial weight'!$C$5:$C$2000,MATCH(H431, 'Green_rooibos initial weight'!$A$5:$A$2000,0)),"")</f>
        <v>1.984</v>
      </c>
      <c r="K431">
        <f>IFERROR(INDEX('Green_rooibos initial weight'!$C$5:$C$2000,MATCH(I431, 'Green_rooibos initial weight'!$A$5:$A$2000,0)),"")</f>
        <v>2.1960000000000002</v>
      </c>
      <c r="L431" s="194">
        <f t="shared" si="46"/>
        <v>1.7342</v>
      </c>
      <c r="M431" s="233">
        <f>AVERAGE(Ashed_controlls!$K$1:$K$11)</f>
        <v>5.5147656768714146</v>
      </c>
      <c r="N431" s="194">
        <f t="shared" si="45"/>
        <v>1.9462000000000002</v>
      </c>
      <c r="O431" s="376">
        <f>IF('Dry_Litterbag Placem_Collection'!G138="","",'Dry_Litterbag Placem_Collection'!G138)</f>
        <v>43008</v>
      </c>
      <c r="P431" s="194">
        <f>IFERROR(INDEX('Both teabags AfterDry'!$D$3:$D$2000,MATCH(H431,'Both teabags AfterDry'!$A$3:$A$2000,0)),"")</f>
        <v>0.77739999999999998</v>
      </c>
      <c r="Q431" s="194">
        <f>IFERROR(INDEX('Both teabags AfterDry'!$D$3:$D$2000,MATCH(I431,'Both teabags AfterDry'!$A$3:$A$2000,0)),"")</f>
        <v>1.7265999999999999</v>
      </c>
      <c r="R431" s="194">
        <f t="shared" si="47"/>
        <v>0.62680000000000002</v>
      </c>
      <c r="S431" s="194">
        <f t="shared" si="47"/>
        <v>1.5759999999999998</v>
      </c>
      <c r="T431" s="194">
        <f t="shared" si="48"/>
        <v>0.63856533271825622</v>
      </c>
      <c r="U431" s="194">
        <f t="shared" si="49"/>
        <v>0.41863190458489014</v>
      </c>
      <c r="V431" s="194">
        <f t="shared" si="50"/>
        <v>0.80978316719761567</v>
      </c>
      <c r="W431">
        <f t="shared" si="51"/>
        <v>69</v>
      </c>
      <c r="X431" s="194">
        <f t="shared" si="52"/>
        <v>0.2416088685056339</v>
      </c>
      <c r="Y431" s="194">
        <f t="shared" si="53"/>
        <v>8.7801095698280818E-3</v>
      </c>
      <c r="Z431" s="245" t="str">
        <f>IF(ISNUMBER(SEARCH("C", 'Dry_Litterbag Placem_Collection'!$V138)),"YES","NO")</f>
        <v>NO</v>
      </c>
      <c r="AA431" s="245" t="str">
        <f>IF(ISNUMBER(SEARCH("H", 'Dry_Litterbag Placem_Collection'!$V138)),"YES","NO")</f>
        <v>NO</v>
      </c>
      <c r="AB431" s="245" t="str">
        <f>IF(ISNUMBER(SEARCH("R", 'Dry_Litterbag Placem_Collection'!$V138)),"YES","NO")</f>
        <v>NO</v>
      </c>
      <c r="AC431" s="245" t="str">
        <f>IF(ISNUMBER(SEARCH("C", 'Dry_Litterbag Placem_Collection'!$U138)),"YES","NO")</f>
        <v>NO</v>
      </c>
      <c r="AD431" s="245" t="str">
        <f>IF(ISNUMBER(SEARCH("H", 'Dry_Litterbag Placem_Collection'!$U138)),"YES","NO")</f>
        <v>NO</v>
      </c>
      <c r="AE431" s="245" t="str">
        <f>IF(ISNUMBER(SEARCH("R", 'Dry_Litterbag Placem_Collection'!$U138)),"YES","NO")</f>
        <v>YES</v>
      </c>
    </row>
    <row r="432" spans="2:31">
      <c r="B432" t="str">
        <f>Dryseason!B578</f>
        <v>Dry</v>
      </c>
      <c r="C432" s="253">
        <f>Dryseason!C578</f>
        <v>137</v>
      </c>
      <c r="D432" t="s">
        <v>3123</v>
      </c>
      <c r="E432" t="s">
        <v>25</v>
      </c>
      <c r="F432" s="374">
        <v>1</v>
      </c>
      <c r="G432" s="376">
        <f>IF('Dry_Litterbag Placem_Collection'!E139="","",'Dry_Litterbag Placem_Collection'!E139)</f>
        <v>42939</v>
      </c>
      <c r="H432" s="92" t="str">
        <f>Dryseason!L578</f>
        <v>G335</v>
      </c>
      <c r="I432" t="str">
        <f>Dryseason!L798</f>
        <v>R628</v>
      </c>
      <c r="J432">
        <f>IFERROR(INDEX('Green_rooibos initial weight'!$C$5:$C$2000,MATCH(H432, 'Green_rooibos initial weight'!$A$5:$A$2000,0)),"")</f>
        <v>1.956</v>
      </c>
      <c r="K432">
        <f>IFERROR(INDEX('Green_rooibos initial weight'!$C$5:$C$2000,MATCH(I432, 'Green_rooibos initial weight'!$A$5:$A$2000,0)),"")</f>
        <v>2.0110000000000001</v>
      </c>
      <c r="L432" s="194">
        <f t="shared" si="46"/>
        <v>1.7061999999999999</v>
      </c>
      <c r="M432" s="233">
        <f>AVERAGE(Ashed_controlls!$K$1:$K$11)</f>
        <v>5.5147656768714146</v>
      </c>
      <c r="N432" s="194">
        <f t="shared" si="45"/>
        <v>1.7612000000000001</v>
      </c>
      <c r="O432" s="376">
        <f>IF('Dry_Litterbag Placem_Collection'!G139="","",'Dry_Litterbag Placem_Collection'!G139)</f>
        <v>43008</v>
      </c>
      <c r="P432" s="194">
        <f>IFERROR(INDEX('Both teabags AfterDry'!$D$3:$D$2000,MATCH(H432,'Both teabags AfterDry'!$A$3:$A$2000,0)),"")</f>
        <v>0.85829999999999995</v>
      </c>
      <c r="Q432" s="194">
        <f>IFERROR(INDEX('Both teabags AfterDry'!$D$3:$D$2000,MATCH(I432,'Both teabags AfterDry'!$A$3:$A$2000,0)),"")</f>
        <v>1.7652000000000001</v>
      </c>
      <c r="R432" s="194">
        <f t="shared" si="47"/>
        <v>0.7077</v>
      </c>
      <c r="S432" s="194">
        <f t="shared" si="47"/>
        <v>1.6146</v>
      </c>
      <c r="T432" s="194">
        <f t="shared" si="48"/>
        <v>0.58521861446489276</v>
      </c>
      <c r="U432" s="194">
        <f t="shared" si="49"/>
        <v>0.38365875912662806</v>
      </c>
      <c r="V432" s="194">
        <f t="shared" si="50"/>
        <v>0.91676129911424031</v>
      </c>
      <c r="W432">
        <f t="shared" si="51"/>
        <v>69</v>
      </c>
      <c r="X432" s="194">
        <f t="shared" si="52"/>
        <v>0.30496601607494922</v>
      </c>
      <c r="Y432" s="194">
        <f t="shared" si="53"/>
        <v>3.5445191299054274E-3</v>
      </c>
      <c r="Z432" s="245" t="str">
        <f>IF(ISNUMBER(SEARCH("C", 'Dry_Litterbag Placem_Collection'!$V139)),"YES","NO")</f>
        <v>NO</v>
      </c>
      <c r="AA432" s="245" t="str">
        <f>IF(ISNUMBER(SEARCH("H", 'Dry_Litterbag Placem_Collection'!$V139)),"YES","NO")</f>
        <v>NO</v>
      </c>
      <c r="AB432" s="245" t="str">
        <f>IF(ISNUMBER(SEARCH("R", 'Dry_Litterbag Placem_Collection'!$V139)),"YES","NO")</f>
        <v>NO</v>
      </c>
      <c r="AC432" s="245" t="str">
        <f>IF(ISNUMBER(SEARCH("C", 'Dry_Litterbag Placem_Collection'!$U139)),"YES","NO")</f>
        <v>NO</v>
      </c>
      <c r="AD432" s="245" t="str">
        <f>IF(ISNUMBER(SEARCH("H", 'Dry_Litterbag Placem_Collection'!$U139)),"YES","NO")</f>
        <v>NO</v>
      </c>
      <c r="AE432" s="245" t="str">
        <f>IF(ISNUMBER(SEARCH("R", 'Dry_Litterbag Placem_Collection'!$U139)),"YES","NO")</f>
        <v>NO</v>
      </c>
    </row>
    <row r="433" spans="2:31">
      <c r="B433" t="str">
        <f>Dryseason!B579</f>
        <v>Dry</v>
      </c>
      <c r="C433" s="253">
        <f>Dryseason!C579</f>
        <v>138</v>
      </c>
      <c r="D433" t="s">
        <v>3123</v>
      </c>
      <c r="E433" t="s">
        <v>25</v>
      </c>
      <c r="F433" s="374">
        <v>2</v>
      </c>
      <c r="G433" s="376">
        <f>IF('Dry_Litterbag Placem_Collection'!E140="","",'Dry_Litterbag Placem_Collection'!E140)</f>
        <v>42939</v>
      </c>
      <c r="H433" s="92" t="str">
        <f>Dryseason!L579</f>
        <v>G484</v>
      </c>
      <c r="I433" t="str">
        <f>Dryseason!L799</f>
        <v>R198</v>
      </c>
      <c r="J433">
        <f>IFERROR(INDEX('Green_rooibos initial weight'!$C$5:$C$2000,MATCH(H433, 'Green_rooibos initial weight'!$A$5:$A$2000,0)),"")</f>
        <v>2.0009999999999999</v>
      </c>
      <c r="K433">
        <f>IFERROR(INDEX('Green_rooibos initial weight'!$C$5:$C$2000,MATCH(I433, 'Green_rooibos initial weight'!$A$5:$A$2000,0)),"")</f>
        <v>2.1970000000000001</v>
      </c>
      <c r="L433" s="194">
        <f t="shared" si="46"/>
        <v>1.7511999999999999</v>
      </c>
      <c r="M433" s="233">
        <f>AVERAGE(Ashed_controlls!$K$1:$K$11)</f>
        <v>5.5147656768714146</v>
      </c>
      <c r="N433" s="194">
        <f t="shared" si="45"/>
        <v>1.9472</v>
      </c>
      <c r="O433" s="376">
        <f>IF('Dry_Litterbag Placem_Collection'!G140="","",'Dry_Litterbag Placem_Collection'!G140)</f>
        <v>43008</v>
      </c>
      <c r="P433" s="194">
        <f>IFERROR(INDEX('Both teabags AfterDry'!$D$3:$D$2000,MATCH(H433,'Both teabags AfterDry'!$A$3:$A$2000,0)),"")</f>
        <v>0.66439999999999999</v>
      </c>
      <c r="Q433" s="194">
        <f>IFERROR(INDEX('Both teabags AfterDry'!$D$3:$D$2000,MATCH(I433,'Both teabags AfterDry'!$A$3:$A$2000,0)),"")</f>
        <v>1.7765</v>
      </c>
      <c r="R433" s="194">
        <f t="shared" si="47"/>
        <v>0.51380000000000003</v>
      </c>
      <c r="S433" s="194">
        <f t="shared" si="47"/>
        <v>1.6258999999999999</v>
      </c>
      <c r="T433" s="194">
        <f t="shared" si="48"/>
        <v>0.70660118775696668</v>
      </c>
      <c r="U433" s="194">
        <f t="shared" si="49"/>
        <v>0.46323498294756016</v>
      </c>
      <c r="V433" s="194">
        <f t="shared" si="50"/>
        <v>0.83499383730484789</v>
      </c>
      <c r="W433">
        <f t="shared" si="51"/>
        <v>69</v>
      </c>
      <c r="X433" s="194">
        <f t="shared" si="52"/>
        <v>0.16080619031239107</v>
      </c>
      <c r="Y433" s="194">
        <f t="shared" si="53"/>
        <v>6.3822232297417415E-3</v>
      </c>
      <c r="Z433" s="245" t="str">
        <f>IF(ISNUMBER(SEARCH("C", 'Dry_Litterbag Placem_Collection'!$V140)),"YES","NO")</f>
        <v>NO</v>
      </c>
      <c r="AA433" s="245" t="str">
        <f>IF(ISNUMBER(SEARCH("H", 'Dry_Litterbag Placem_Collection'!$V140)),"YES","NO")</f>
        <v>NO</v>
      </c>
      <c r="AB433" s="245" t="str">
        <f>IF(ISNUMBER(SEARCH("R", 'Dry_Litterbag Placem_Collection'!$V140)),"YES","NO")</f>
        <v>NO</v>
      </c>
      <c r="AC433" s="245" t="str">
        <f>IF(ISNUMBER(SEARCH("C", 'Dry_Litterbag Placem_Collection'!$U140)),"YES","NO")</f>
        <v>NO</v>
      </c>
      <c r="AD433" s="245" t="str">
        <f>IF(ISNUMBER(SEARCH("H", 'Dry_Litterbag Placem_Collection'!$U140)),"YES","NO")</f>
        <v>NO</v>
      </c>
      <c r="AE433" s="245" t="str">
        <f>IF(ISNUMBER(SEARCH("R", 'Dry_Litterbag Placem_Collection'!$U140)),"YES","NO")</f>
        <v>NO</v>
      </c>
    </row>
    <row r="434" spans="2:31">
      <c r="B434" t="str">
        <f>Dryseason!B580</f>
        <v>Dry</v>
      </c>
      <c r="C434" s="253">
        <f>Dryseason!C580</f>
        <v>139</v>
      </c>
      <c r="D434" t="s">
        <v>3123</v>
      </c>
      <c r="E434" t="s">
        <v>25</v>
      </c>
      <c r="F434" s="374">
        <v>3</v>
      </c>
      <c r="G434" s="376">
        <f>IF('Dry_Litterbag Placem_Collection'!E141="","",'Dry_Litterbag Placem_Collection'!E141)</f>
        <v>42939</v>
      </c>
      <c r="H434" s="92" t="str">
        <f>Dryseason!L580</f>
        <v>G868</v>
      </c>
      <c r="I434" t="str">
        <f>Dryseason!L800</f>
        <v>R706</v>
      </c>
      <c r="J434">
        <f>IFERROR(INDEX('Green_rooibos initial weight'!$C$5:$C$2000,MATCH(H434, 'Green_rooibos initial weight'!$A$5:$A$2000,0)),"")</f>
        <v>1.95</v>
      </c>
      <c r="K434">
        <f>IFERROR(INDEX('Green_rooibos initial weight'!$C$5:$C$2000,MATCH(I434, 'Green_rooibos initial weight'!$A$5:$A$2000,0)),"")</f>
        <v>2.1480000000000001</v>
      </c>
      <c r="L434" s="194">
        <f t="shared" si="46"/>
        <v>1.7001999999999999</v>
      </c>
      <c r="M434" s="233">
        <f>AVERAGE(Ashed_controlls!$K$1:$K$11)</f>
        <v>5.5147656768714146</v>
      </c>
      <c r="N434" s="194">
        <f t="shared" si="45"/>
        <v>1.8982000000000001</v>
      </c>
      <c r="O434" s="376">
        <f>IF('Dry_Litterbag Placem_Collection'!G141="","",'Dry_Litterbag Placem_Collection'!G141)</f>
        <v>43008</v>
      </c>
      <c r="P434" s="194">
        <f>IFERROR(INDEX('Both teabags AfterDry'!$D$3:$D$2000,MATCH(H434,'Both teabags AfterDry'!$A$3:$A$2000,0)),"")</f>
        <v>0.71699999999999997</v>
      </c>
      <c r="Q434" s="194">
        <f>IFERROR(INDEX('Both teabags AfterDry'!$D$3:$D$2000,MATCH(I434,'Both teabags AfterDry'!$A$3:$A$2000,0)),"")</f>
        <v>1.5846</v>
      </c>
      <c r="R434" s="194">
        <f t="shared" si="47"/>
        <v>0.56640000000000001</v>
      </c>
      <c r="S434" s="194">
        <f t="shared" si="47"/>
        <v>1.4339999999999999</v>
      </c>
      <c r="T434" s="194">
        <f t="shared" si="48"/>
        <v>0.66686272203270203</v>
      </c>
      <c r="U434" s="194">
        <f t="shared" si="49"/>
        <v>0.4371831621877097</v>
      </c>
      <c r="V434" s="194">
        <f t="shared" si="50"/>
        <v>0.75545253397955947</v>
      </c>
      <c r="W434">
        <f t="shared" si="51"/>
        <v>69</v>
      </c>
      <c r="X434" s="194">
        <f t="shared" si="52"/>
        <v>0.20800151777588827</v>
      </c>
      <c r="Y434" s="194">
        <f t="shared" si="53"/>
        <v>1.1877556843150106E-2</v>
      </c>
      <c r="Z434" s="245" t="str">
        <f>IF(ISNUMBER(SEARCH("C", 'Dry_Litterbag Placem_Collection'!$V141)),"YES","NO")</f>
        <v>NO</v>
      </c>
      <c r="AA434" s="245" t="str">
        <f>IF(ISNUMBER(SEARCH("H", 'Dry_Litterbag Placem_Collection'!$V141)),"YES","NO")</f>
        <v>NO</v>
      </c>
      <c r="AB434" s="245" t="str">
        <f>IF(ISNUMBER(SEARCH("R", 'Dry_Litterbag Placem_Collection'!$V141)),"YES","NO")</f>
        <v>NO</v>
      </c>
      <c r="AC434" s="245" t="str">
        <f>IF(ISNUMBER(SEARCH("C", 'Dry_Litterbag Placem_Collection'!$U141)),"YES","NO")</f>
        <v>NO</v>
      </c>
      <c r="AD434" s="245" t="str">
        <f>IF(ISNUMBER(SEARCH("H", 'Dry_Litterbag Placem_Collection'!$U141)),"YES","NO")</f>
        <v>NO</v>
      </c>
      <c r="AE434" s="245" t="str">
        <f>IF(ISNUMBER(SEARCH("R", 'Dry_Litterbag Placem_Collection'!$U141)),"YES","NO")</f>
        <v>NO</v>
      </c>
    </row>
    <row r="435" spans="2:31">
      <c r="B435" t="str">
        <f>Dryseason!B581</f>
        <v>Dry</v>
      </c>
      <c r="C435" s="253">
        <f>Dryseason!C581</f>
        <v>140</v>
      </c>
      <c r="D435" t="s">
        <v>3123</v>
      </c>
      <c r="E435" t="s">
        <v>25</v>
      </c>
      <c r="F435" s="375">
        <v>4</v>
      </c>
      <c r="G435" s="376">
        <f>IF('Dry_Litterbag Placem_Collection'!E142="","",'Dry_Litterbag Placem_Collection'!E142)</f>
        <v>42939</v>
      </c>
      <c r="H435" s="92" t="str">
        <f>Dryseason!L581</f>
        <v>G792</v>
      </c>
      <c r="I435" t="str">
        <f>Dryseason!L801</f>
        <v>R710</v>
      </c>
      <c r="J435">
        <f>IFERROR(INDEX('Green_rooibos initial weight'!$C$5:$C$2000,MATCH(H435, 'Green_rooibos initial weight'!$A$5:$A$2000,0)),"")</f>
        <v>2.0550000000000002</v>
      </c>
      <c r="K435">
        <f>IFERROR(INDEX('Green_rooibos initial weight'!$C$5:$C$2000,MATCH(I435, 'Green_rooibos initial weight'!$A$5:$A$2000,0)),"")</f>
        <v>2.1070000000000002</v>
      </c>
      <c r="L435" s="194">
        <f t="shared" si="46"/>
        <v>1.8052000000000001</v>
      </c>
      <c r="M435" s="233">
        <f>AVERAGE(Ashed_controlls!$K$1:$K$11)</f>
        <v>5.5147656768714146</v>
      </c>
      <c r="N435" s="194">
        <f t="shared" si="45"/>
        <v>1.8572000000000002</v>
      </c>
      <c r="O435" s="376">
        <f>IF('Dry_Litterbag Placem_Collection'!G142="","",'Dry_Litterbag Placem_Collection'!G142)</f>
        <v>43008</v>
      </c>
      <c r="P435" s="194">
        <f>IFERROR(INDEX('Both teabags AfterDry'!$D$3:$D$2000,MATCH(H435,'Both teabags AfterDry'!$A$3:$A$2000,0)),"")</f>
        <v>0.87409999999999999</v>
      </c>
      <c r="Q435" s="194">
        <f>IFERROR(INDEX('Both teabags AfterDry'!$D$3:$D$2000,MATCH(I435,'Both teabags AfterDry'!$A$3:$A$2000,0)),"")</f>
        <v>1.7403999999999999</v>
      </c>
      <c r="R435" s="194">
        <f t="shared" si="47"/>
        <v>0.72350000000000003</v>
      </c>
      <c r="S435" s="194">
        <f t="shared" si="47"/>
        <v>1.5897999999999999</v>
      </c>
      <c r="T435" s="194">
        <f t="shared" si="48"/>
        <v>0.59921338355860843</v>
      </c>
      <c r="U435" s="194">
        <f t="shared" si="49"/>
        <v>0.39283347710730626</v>
      </c>
      <c r="V435" s="194">
        <f t="shared" si="50"/>
        <v>0.85601981477492983</v>
      </c>
      <c r="W435">
        <f t="shared" si="51"/>
        <v>69</v>
      </c>
      <c r="X435" s="194">
        <f t="shared" si="52"/>
        <v>0.2883451501679235</v>
      </c>
      <c r="Y435" s="194">
        <f t="shared" si="53"/>
        <v>6.6162647261412211E-3</v>
      </c>
      <c r="Z435" s="245" t="str">
        <f>IF(ISNUMBER(SEARCH("C", 'Dry_Litterbag Placem_Collection'!$V142)),"YES","NO")</f>
        <v>NO</v>
      </c>
      <c r="AA435" s="245" t="str">
        <f>IF(ISNUMBER(SEARCH("H", 'Dry_Litterbag Placem_Collection'!$V142)),"YES","NO")</f>
        <v>NO</v>
      </c>
      <c r="AB435" s="245" t="str">
        <f>IF(ISNUMBER(SEARCH("R", 'Dry_Litterbag Placem_Collection'!$V142)),"YES","NO")</f>
        <v>NO</v>
      </c>
      <c r="AC435" s="245" t="str">
        <f>IF(ISNUMBER(SEARCH("C", 'Dry_Litterbag Placem_Collection'!$U142)),"YES","NO")</f>
        <v>NO</v>
      </c>
      <c r="AD435" s="245" t="str">
        <f>IF(ISNUMBER(SEARCH("H", 'Dry_Litterbag Placem_Collection'!$U142)),"YES","NO")</f>
        <v>NO</v>
      </c>
      <c r="AE435" s="245" t="str">
        <f>IF(ISNUMBER(SEARCH("R", 'Dry_Litterbag Placem_Collection'!$U142)),"YES","NO")</f>
        <v>NO</v>
      </c>
    </row>
    <row r="436" spans="2:31">
      <c r="B436" t="str">
        <f>Dryseason!B582</f>
        <v>Dry</v>
      </c>
      <c r="C436" s="253">
        <f>Dryseason!C582</f>
        <v>141</v>
      </c>
      <c r="D436" t="s">
        <v>3123</v>
      </c>
      <c r="E436" t="s">
        <v>25</v>
      </c>
      <c r="F436" s="375">
        <v>5</v>
      </c>
      <c r="G436" s="376" t="str">
        <f>IF('Dry_Litterbag Placem_Collection'!E143="","",'Dry_Litterbag Placem_Collection'!E143)</f>
        <v/>
      </c>
      <c r="H436" s="92" t="str">
        <f>Dryseason!L582</f>
        <v/>
      </c>
      <c r="I436" t="str">
        <f>Dryseason!L802</f>
        <v/>
      </c>
      <c r="J436" t="str">
        <f>IFERROR(INDEX('Green_rooibos initial weight'!$C$5:$C$2000,MATCH(H436, 'Green_rooibos initial weight'!$A$5:$A$2000,0)),"")</f>
        <v/>
      </c>
      <c r="K436" t="str">
        <f>IFERROR(INDEX('Green_rooibos initial weight'!$C$5:$C$2000,MATCH(I436, 'Green_rooibos initial weight'!$A$5:$A$2000,0)),"")</f>
        <v/>
      </c>
      <c r="L436" s="194" t="str">
        <f t="shared" si="46"/>
        <v/>
      </c>
      <c r="M436" s="233">
        <f>AVERAGE(Ashed_controlls!$K$1:$K$11)</f>
        <v>5.5147656768714146</v>
      </c>
      <c r="N436" s="194" t="str">
        <f t="shared" si="45"/>
        <v/>
      </c>
      <c r="O436" s="376" t="str">
        <f>IF('Dry_Litterbag Placem_Collection'!G143="","",'Dry_Litterbag Placem_Collection'!G143)</f>
        <v/>
      </c>
      <c r="P436" s="194" t="str">
        <f>IFERROR(INDEX('Both teabags AfterDry'!$D$3:$D$2000,MATCH(H436,'Both teabags AfterDry'!$A$3:$A$2000,0)),"")</f>
        <v/>
      </c>
      <c r="Q436" s="194" t="str">
        <f>IFERROR(INDEX('Both teabags AfterDry'!$D$3:$D$2000,MATCH(I436,'Both teabags AfterDry'!$A$3:$A$2000,0)),"")</f>
        <v/>
      </c>
      <c r="R436" s="194" t="str">
        <f t="shared" si="47"/>
        <v/>
      </c>
      <c r="S436" s="194" t="str">
        <f t="shared" si="47"/>
        <v/>
      </c>
      <c r="T436" s="194" t="str">
        <f t="shared" si="48"/>
        <v/>
      </c>
      <c r="U436" s="194" t="str">
        <f t="shared" si="49"/>
        <v/>
      </c>
      <c r="V436" s="194" t="str">
        <f t="shared" si="50"/>
        <v/>
      </c>
      <c r="W436" t="str">
        <f t="shared" si="51"/>
        <v/>
      </c>
      <c r="X436" s="194" t="str">
        <f t="shared" si="52"/>
        <v/>
      </c>
      <c r="Y436" s="194" t="str">
        <f t="shared" si="53"/>
        <v/>
      </c>
      <c r="Z436" s="245" t="str">
        <f>IF(ISNUMBER(SEARCH("C", 'Dry_Litterbag Placem_Collection'!$V143)),"YES","NO")</f>
        <v>NO</v>
      </c>
      <c r="AA436" s="245" t="str">
        <f>IF(ISNUMBER(SEARCH("H", 'Dry_Litterbag Placem_Collection'!$V143)),"YES","NO")</f>
        <v>NO</v>
      </c>
      <c r="AB436" s="245" t="str">
        <f>IF(ISNUMBER(SEARCH("R", 'Dry_Litterbag Placem_Collection'!$V143)),"YES","NO")</f>
        <v>NO</v>
      </c>
      <c r="AC436" s="245" t="str">
        <f>IF(ISNUMBER(SEARCH("C", 'Dry_Litterbag Placem_Collection'!$U143)),"YES","NO")</f>
        <v>NO</v>
      </c>
      <c r="AD436" s="245" t="str">
        <f>IF(ISNUMBER(SEARCH("H", 'Dry_Litterbag Placem_Collection'!$U143)),"YES","NO")</f>
        <v>NO</v>
      </c>
      <c r="AE436" s="245" t="str">
        <f>IF(ISNUMBER(SEARCH("R", 'Dry_Litterbag Placem_Collection'!$U143)),"YES","NO")</f>
        <v>NO</v>
      </c>
    </row>
    <row r="437" spans="2:31">
      <c r="B437" t="str">
        <f>Dryseason!B583</f>
        <v>Dry</v>
      </c>
      <c r="C437" s="253">
        <f>Dryseason!C583</f>
        <v>142</v>
      </c>
      <c r="D437" t="s">
        <v>3123</v>
      </c>
      <c r="E437" t="s">
        <v>25</v>
      </c>
      <c r="F437" s="375">
        <v>6</v>
      </c>
      <c r="G437" s="376">
        <f>IF('Dry_Litterbag Placem_Collection'!E144="","",'Dry_Litterbag Placem_Collection'!E144)</f>
        <v>42939</v>
      </c>
      <c r="H437" s="92" t="str">
        <f>Dryseason!L583</f>
        <v>G711</v>
      </c>
      <c r="I437" t="str">
        <f>Dryseason!L803</f>
        <v>R626</v>
      </c>
      <c r="J437">
        <f>IFERROR(INDEX('Green_rooibos initial weight'!$C$5:$C$2000,MATCH(H437, 'Green_rooibos initial weight'!$A$5:$A$2000,0)),"")</f>
        <v>2.1070000000000002</v>
      </c>
      <c r="K437">
        <f>IFERROR(INDEX('Green_rooibos initial weight'!$C$5:$C$2000,MATCH(I437, 'Green_rooibos initial weight'!$A$5:$A$2000,0)),"")</f>
        <v>2.0699999999999998</v>
      </c>
      <c r="L437" s="194">
        <f t="shared" si="46"/>
        <v>1.8572000000000002</v>
      </c>
      <c r="M437" s="233">
        <f>AVERAGE(Ashed_controlls!$K$1:$K$11)</f>
        <v>5.5147656768714146</v>
      </c>
      <c r="N437" s="194">
        <f t="shared" si="45"/>
        <v>1.8201999999999998</v>
      </c>
      <c r="O437" s="376">
        <f>IF('Dry_Litterbag Placem_Collection'!G144="","",'Dry_Litterbag Placem_Collection'!G144)</f>
        <v>43008</v>
      </c>
      <c r="P437" s="194" t="str">
        <f>IFERROR(INDEX('Both teabags AfterDry'!$D$3:$D$2000,MATCH(H437,'Both teabags AfterDry'!$A$3:$A$2000,0)),"")</f>
        <v/>
      </c>
      <c r="Q437" s="194" t="str">
        <f>IFERROR(INDEX('Both teabags AfterDry'!$D$3:$D$2000,MATCH(I437,'Both teabags AfterDry'!$A$3:$A$2000,0)),"")</f>
        <v/>
      </c>
      <c r="R437" s="194" t="str">
        <f t="shared" si="47"/>
        <v/>
      </c>
      <c r="S437" s="194" t="str">
        <f t="shared" si="47"/>
        <v/>
      </c>
      <c r="T437" s="194" t="str">
        <f t="shared" si="48"/>
        <v/>
      </c>
      <c r="U437" s="194" t="str">
        <f t="shared" si="49"/>
        <v/>
      </c>
      <c r="V437" s="194" t="str">
        <f t="shared" si="50"/>
        <v/>
      </c>
      <c r="W437">
        <f t="shared" si="51"/>
        <v>69</v>
      </c>
      <c r="X437" s="194" t="str">
        <f t="shared" si="52"/>
        <v/>
      </c>
      <c r="Y437" s="194" t="str">
        <f t="shared" si="53"/>
        <v/>
      </c>
      <c r="Z437" s="245" t="str">
        <f>IF(ISNUMBER(SEARCH("C", 'Dry_Litterbag Placem_Collection'!$V144)),"YES","NO")</f>
        <v>NO</v>
      </c>
      <c r="AA437" s="245" t="str">
        <f>IF(ISNUMBER(SEARCH("H", 'Dry_Litterbag Placem_Collection'!$V144)),"YES","NO")</f>
        <v>NO</v>
      </c>
      <c r="AB437" s="245" t="str">
        <f>IF(ISNUMBER(SEARCH("R", 'Dry_Litterbag Placem_Collection'!$V144)),"YES","NO")</f>
        <v>NO</v>
      </c>
      <c r="AC437" s="245" t="str">
        <f>IF(ISNUMBER(SEARCH("C", 'Dry_Litterbag Placem_Collection'!$U144)),"YES","NO")</f>
        <v>NO</v>
      </c>
      <c r="AD437" s="245" t="str">
        <f>IF(ISNUMBER(SEARCH("H", 'Dry_Litterbag Placem_Collection'!$U144)),"YES","NO")</f>
        <v>NO</v>
      </c>
      <c r="AE437" s="245" t="str">
        <f>IF(ISNUMBER(SEARCH("R", 'Dry_Litterbag Placem_Collection'!$U144)),"YES","NO")</f>
        <v>YES</v>
      </c>
    </row>
    <row r="438" spans="2:31">
      <c r="B438" t="str">
        <f>Dryseason!B584</f>
        <v>Dry</v>
      </c>
      <c r="C438" s="253">
        <f>Dryseason!C584</f>
        <v>143</v>
      </c>
      <c r="D438" t="s">
        <v>3123</v>
      </c>
      <c r="E438" t="s">
        <v>25</v>
      </c>
      <c r="F438" s="375">
        <v>7</v>
      </c>
      <c r="G438" s="376">
        <f>IF('Dry_Litterbag Placem_Collection'!E145="","",'Dry_Litterbag Placem_Collection'!E145)</f>
        <v>42939</v>
      </c>
      <c r="H438" s="92" t="str">
        <f>Dryseason!L584</f>
        <v>G205</v>
      </c>
      <c r="I438" t="str">
        <f>Dryseason!L804</f>
        <v>R195</v>
      </c>
      <c r="J438">
        <f>IFERROR(INDEX('Green_rooibos initial weight'!$C$5:$C$2000,MATCH(H438, 'Green_rooibos initial weight'!$A$5:$A$2000,0)),"")</f>
        <v>2.1240000000000001</v>
      </c>
      <c r="K438">
        <f>IFERROR(INDEX('Green_rooibos initial weight'!$C$5:$C$2000,MATCH(I438, 'Green_rooibos initial weight'!$A$5:$A$2000,0)),"")</f>
        <v>2.1640000000000001</v>
      </c>
      <c r="L438" s="194">
        <f t="shared" si="46"/>
        <v>1.8742000000000001</v>
      </c>
      <c r="M438" s="233">
        <f>AVERAGE(Ashed_controlls!$K$1:$K$11)</f>
        <v>5.5147656768714146</v>
      </c>
      <c r="N438" s="194">
        <f t="shared" si="45"/>
        <v>1.9142000000000001</v>
      </c>
      <c r="O438" s="376">
        <f>IF('Dry_Litterbag Placem_Collection'!G145="","",'Dry_Litterbag Placem_Collection'!G145)</f>
        <v>43008</v>
      </c>
      <c r="P438" s="194">
        <f>IFERROR(INDEX('Both teabags AfterDry'!$D$3:$D$2000,MATCH(H438,'Both teabags AfterDry'!$A$3:$A$2000,0)),"")</f>
        <v>0.82040000000000002</v>
      </c>
      <c r="Q438" s="194">
        <f>IFERROR(INDEX('Both teabags AfterDry'!$D$3:$D$2000,MATCH(I438,'Both teabags AfterDry'!$A$3:$A$2000,0)),"")</f>
        <v>1.6592</v>
      </c>
      <c r="R438" s="194">
        <f t="shared" si="47"/>
        <v>0.66979999999999995</v>
      </c>
      <c r="S438" s="194">
        <f t="shared" si="47"/>
        <v>1.5085999999999999</v>
      </c>
      <c r="T438" s="194">
        <f t="shared" si="48"/>
        <v>0.64262085156333371</v>
      </c>
      <c r="U438" s="194">
        <f t="shared" si="49"/>
        <v>0.42129062952845631</v>
      </c>
      <c r="V438" s="194">
        <f t="shared" si="50"/>
        <v>0.78810991536934483</v>
      </c>
      <c r="W438">
        <f t="shared" si="51"/>
        <v>69</v>
      </c>
      <c r="X438" s="194">
        <f t="shared" si="52"/>
        <v>0.23679233781076758</v>
      </c>
      <c r="Y438" s="194">
        <f t="shared" si="53"/>
        <v>1.0131507627760267E-2</v>
      </c>
      <c r="Z438" s="245" t="str">
        <f>IF(ISNUMBER(SEARCH("C", 'Dry_Litterbag Placem_Collection'!$V145)),"YES","NO")</f>
        <v>NO</v>
      </c>
      <c r="AA438" s="245" t="str">
        <f>IF(ISNUMBER(SEARCH("H", 'Dry_Litterbag Placem_Collection'!$V145)),"YES","NO")</f>
        <v>NO</v>
      </c>
      <c r="AB438" s="245" t="str">
        <f>IF(ISNUMBER(SEARCH("R", 'Dry_Litterbag Placem_Collection'!$V145)),"YES","NO")</f>
        <v>NO</v>
      </c>
      <c r="AC438" s="245" t="str">
        <f>IF(ISNUMBER(SEARCH("C", 'Dry_Litterbag Placem_Collection'!$U145)),"YES","NO")</f>
        <v>NO</v>
      </c>
      <c r="AD438" s="245" t="str">
        <f>IF(ISNUMBER(SEARCH("H", 'Dry_Litterbag Placem_Collection'!$U145)),"YES","NO")</f>
        <v>NO</v>
      </c>
      <c r="AE438" s="245" t="str">
        <f>IF(ISNUMBER(SEARCH("R", 'Dry_Litterbag Placem_Collection'!$U145)),"YES","NO")</f>
        <v>YES</v>
      </c>
    </row>
    <row r="439" spans="2:31">
      <c r="B439" t="str">
        <f>Dryseason!B585</f>
        <v>Dry</v>
      </c>
      <c r="C439" s="253">
        <f>Dryseason!C585</f>
        <v>144</v>
      </c>
      <c r="D439" t="s">
        <v>3123</v>
      </c>
      <c r="E439" t="s">
        <v>25</v>
      </c>
      <c r="F439" s="375">
        <v>8</v>
      </c>
      <c r="G439" s="376">
        <f>IF('Dry_Litterbag Placem_Collection'!E146="","",'Dry_Litterbag Placem_Collection'!E146)</f>
        <v>42939</v>
      </c>
      <c r="H439" s="92" t="str">
        <f>Dryseason!L585</f>
        <v>G384</v>
      </c>
      <c r="I439" t="str">
        <f>Dryseason!L805</f>
        <v>R295</v>
      </c>
      <c r="J439">
        <f>IFERROR(INDEX('Green_rooibos initial weight'!$C$5:$C$2000,MATCH(H439, 'Green_rooibos initial weight'!$A$5:$A$2000,0)),"")</f>
        <v>2.0499999999999998</v>
      </c>
      <c r="K439">
        <f>IFERROR(INDEX('Green_rooibos initial weight'!$C$5:$C$2000,MATCH(I439, 'Green_rooibos initial weight'!$A$5:$A$2000,0)),"")</f>
        <v>2.194</v>
      </c>
      <c r="L439" s="194">
        <f t="shared" si="46"/>
        <v>1.8001999999999998</v>
      </c>
      <c r="M439" s="233">
        <f>AVERAGE(Ashed_controlls!$K$1:$K$11)</f>
        <v>5.5147656768714146</v>
      </c>
      <c r="N439" s="194">
        <f t="shared" si="45"/>
        <v>1.9441999999999999</v>
      </c>
      <c r="O439" s="376">
        <f>IF('Dry_Litterbag Placem_Collection'!G146="","",'Dry_Litterbag Placem_Collection'!G146)</f>
        <v>43008</v>
      </c>
      <c r="P439" s="194">
        <f>IFERROR(INDEX('Both teabags AfterDry'!$D$3:$D$2000,MATCH(H439,'Both teabags AfterDry'!$A$3:$A$2000,0)),"")</f>
        <v>0.73660000000000003</v>
      </c>
      <c r="Q439" s="194">
        <f>IFERROR(INDEX('Both teabags AfterDry'!$D$3:$D$2000,MATCH(I439,'Both teabags AfterDry'!$A$3:$A$2000,0)),"")</f>
        <v>1.7096</v>
      </c>
      <c r="R439" s="194">
        <f t="shared" si="47"/>
        <v>0.58600000000000008</v>
      </c>
      <c r="S439" s="194">
        <f t="shared" si="47"/>
        <v>1.5589999999999999</v>
      </c>
      <c r="T439" s="194">
        <f t="shared" si="48"/>
        <v>0.6744806132651926</v>
      </c>
      <c r="U439" s="194">
        <f t="shared" si="49"/>
        <v>0.44217731415960371</v>
      </c>
      <c r="V439" s="194">
        <f t="shared" si="50"/>
        <v>0.8018722353667318</v>
      </c>
      <c r="W439">
        <f t="shared" si="51"/>
        <v>69</v>
      </c>
      <c r="X439" s="194">
        <f t="shared" si="52"/>
        <v>0.19895414101521069</v>
      </c>
      <c r="Y439" s="194">
        <f t="shared" si="53"/>
        <v>8.6136186722333523E-3</v>
      </c>
      <c r="Z439" s="245" t="str">
        <f>IF(ISNUMBER(SEARCH("C", 'Dry_Litterbag Placem_Collection'!$V146)),"YES","NO")</f>
        <v>NO</v>
      </c>
      <c r="AA439" s="245" t="str">
        <f>IF(ISNUMBER(SEARCH("H", 'Dry_Litterbag Placem_Collection'!$V146)),"YES","NO")</f>
        <v>NO</v>
      </c>
      <c r="AB439" s="245" t="str">
        <f>IF(ISNUMBER(SEARCH("R", 'Dry_Litterbag Placem_Collection'!$V146)),"YES","NO")</f>
        <v>NO</v>
      </c>
      <c r="AC439" s="245" t="str">
        <f>IF(ISNUMBER(SEARCH("C", 'Dry_Litterbag Placem_Collection'!$U146)),"YES","NO")</f>
        <v>NO</v>
      </c>
      <c r="AD439" s="245" t="str">
        <f>IF(ISNUMBER(SEARCH("H", 'Dry_Litterbag Placem_Collection'!$U146)),"YES","NO")</f>
        <v>NO</v>
      </c>
      <c r="AE439" s="245" t="str">
        <f>IF(ISNUMBER(SEARCH("R", 'Dry_Litterbag Placem_Collection'!$U146)),"YES","NO")</f>
        <v>NO</v>
      </c>
    </row>
    <row r="440" spans="2:31">
      <c r="B440" t="str">
        <f>Dryseason!B586</f>
        <v>Dry</v>
      </c>
      <c r="C440" s="253">
        <f>Dryseason!C586</f>
        <v>145</v>
      </c>
      <c r="D440" t="s">
        <v>3124</v>
      </c>
      <c r="E440" t="s">
        <v>25</v>
      </c>
      <c r="F440" s="374">
        <v>1</v>
      </c>
      <c r="G440" s="376">
        <f>IF('Dry_Litterbag Placem_Collection'!E147="","",'Dry_Litterbag Placem_Collection'!E147)</f>
        <v>42939</v>
      </c>
      <c r="H440" s="92" t="str">
        <f>Dryseason!L586</f>
        <v>G72</v>
      </c>
      <c r="I440" t="str">
        <f>Dryseason!L806</f>
        <v>R609</v>
      </c>
      <c r="J440">
        <f>IFERROR(INDEX('Green_rooibos initial weight'!$C$5:$C$2000,MATCH(H440, 'Green_rooibos initial weight'!$A$5:$A$2000,0)),"")</f>
        <v>2.0190000000000001</v>
      </c>
      <c r="K440">
        <f>IFERROR(INDEX('Green_rooibos initial weight'!$C$5:$C$2000,MATCH(I440, 'Green_rooibos initial weight'!$A$5:$A$2000,0)),"")</f>
        <v>2.165</v>
      </c>
      <c r="L440" s="194">
        <f t="shared" si="46"/>
        <v>1.7692000000000001</v>
      </c>
      <c r="M440" s="233">
        <f>AVERAGE(Ashed_controlls!$K$1:$K$11)</f>
        <v>5.5147656768714146</v>
      </c>
      <c r="N440" s="194">
        <f t="shared" si="45"/>
        <v>1.9152</v>
      </c>
      <c r="O440" s="376">
        <f>IF('Dry_Litterbag Placem_Collection'!G147="","",'Dry_Litterbag Placem_Collection'!G147)</f>
        <v>43010</v>
      </c>
      <c r="P440" s="194">
        <f>IFERROR(INDEX('Both teabags AfterDry'!$D$3:$D$2000,MATCH(H440,'Both teabags AfterDry'!$A$3:$A$2000,0)),"")</f>
        <v>1.7161999999999999</v>
      </c>
      <c r="Q440" s="194">
        <f>IFERROR(INDEX('Both teabags AfterDry'!$D$3:$D$2000,MATCH(I440,'Both teabags AfterDry'!$A$3:$A$2000,0)),"")</f>
        <v>1.9753000000000001</v>
      </c>
      <c r="R440" s="194">
        <f t="shared" si="47"/>
        <v>1.5655999999999999</v>
      </c>
      <c r="S440" s="194">
        <f t="shared" si="47"/>
        <v>1.8247</v>
      </c>
      <c r="T440" s="194">
        <f t="shared" si="48"/>
        <v>0.11508026226543078</v>
      </c>
      <c r="U440" s="194">
        <f t="shared" si="49"/>
        <v>7.544454248280022E-2</v>
      </c>
      <c r="V440" s="194">
        <f t="shared" si="50"/>
        <v>0.95274644945697573</v>
      </c>
      <c r="W440">
        <f t="shared" si="51"/>
        <v>71</v>
      </c>
      <c r="X440" s="194">
        <f t="shared" si="52"/>
        <v>0.86332510419782571</v>
      </c>
      <c r="Y440" s="194">
        <f t="shared" si="53"/>
        <v>1.386472334570287E-2</v>
      </c>
      <c r="Z440" s="245" t="str">
        <f>IF(ISNUMBER(SEARCH("C", 'Dry_Litterbag Placem_Collection'!$V147)),"YES","NO")</f>
        <v>NO</v>
      </c>
      <c r="AA440" s="245" t="str">
        <f>IF(ISNUMBER(SEARCH("H", 'Dry_Litterbag Placem_Collection'!$V147)),"YES","NO")</f>
        <v>NO</v>
      </c>
      <c r="AB440" s="245" t="str">
        <f>IF(ISNUMBER(SEARCH("R", 'Dry_Litterbag Placem_Collection'!$V147)),"YES","NO")</f>
        <v>NO</v>
      </c>
      <c r="AC440" s="245" t="str">
        <f>IF(ISNUMBER(SEARCH("C", 'Dry_Litterbag Placem_Collection'!$U147)),"YES","NO")</f>
        <v>NO</v>
      </c>
      <c r="AD440" s="245" t="str">
        <f>IF(ISNUMBER(SEARCH("H", 'Dry_Litterbag Placem_Collection'!$U147)),"YES","NO")</f>
        <v>NO</v>
      </c>
      <c r="AE440" s="245" t="str">
        <f>IF(ISNUMBER(SEARCH("R", 'Dry_Litterbag Placem_Collection'!$U147)),"YES","NO")</f>
        <v>NO</v>
      </c>
    </row>
    <row r="441" spans="2:31">
      <c r="B441" t="str">
        <f>Dryseason!B587</f>
        <v>Dry</v>
      </c>
      <c r="C441" s="253">
        <f>Dryseason!C587</f>
        <v>146</v>
      </c>
      <c r="D441" t="s">
        <v>3124</v>
      </c>
      <c r="E441" t="s">
        <v>25</v>
      </c>
      <c r="F441" s="374">
        <v>2</v>
      </c>
      <c r="G441" s="376">
        <f>IF('Dry_Litterbag Placem_Collection'!E148="","",'Dry_Litterbag Placem_Collection'!E148)</f>
        <v>42939</v>
      </c>
      <c r="H441" s="92" t="str">
        <f>Dryseason!L587</f>
        <v>G336</v>
      </c>
      <c r="I441" t="str">
        <f>Dryseason!L807</f>
        <v>R292</v>
      </c>
      <c r="J441">
        <f>IFERROR(INDEX('Green_rooibos initial weight'!$C$5:$C$2000,MATCH(H441, 'Green_rooibos initial weight'!$A$5:$A$2000,0)),"")</f>
        <v>1.9950000000000001</v>
      </c>
      <c r="K441">
        <f>IFERROR(INDEX('Green_rooibos initial weight'!$C$5:$C$2000,MATCH(I441, 'Green_rooibos initial weight'!$A$5:$A$2000,0)),"")</f>
        <v>2.2370000000000001</v>
      </c>
      <c r="L441" s="194">
        <f t="shared" si="46"/>
        <v>1.7452000000000001</v>
      </c>
      <c r="M441" s="233">
        <f>AVERAGE(Ashed_controlls!$K$1:$K$11)</f>
        <v>5.5147656768714146</v>
      </c>
      <c r="N441" s="194">
        <f t="shared" si="45"/>
        <v>1.9872000000000001</v>
      </c>
      <c r="O441" s="376">
        <f>IF('Dry_Litterbag Placem_Collection'!G148="","",'Dry_Litterbag Placem_Collection'!G148)</f>
        <v>43010</v>
      </c>
      <c r="P441" s="194">
        <f>IFERROR(INDEX('Both teabags AfterDry'!$D$3:$D$2000,MATCH(H441,'Both teabags AfterDry'!$A$3:$A$2000,0)),"")</f>
        <v>1.6466000000000001</v>
      </c>
      <c r="Q441" s="194">
        <f>IFERROR(INDEX('Both teabags AfterDry'!$D$3:$D$2000,MATCH(I441,'Both teabags AfterDry'!$A$3:$A$2000,0)),"")</f>
        <v>2.0505</v>
      </c>
      <c r="R441" s="194">
        <f t="shared" si="47"/>
        <v>1.496</v>
      </c>
      <c r="S441" s="194">
        <f t="shared" si="47"/>
        <v>1.8998999999999999</v>
      </c>
      <c r="T441" s="194">
        <f t="shared" si="48"/>
        <v>0.14279165711666286</v>
      </c>
      <c r="U441" s="194">
        <f t="shared" si="49"/>
        <v>9.3611632694059255E-2</v>
      </c>
      <c r="V441" s="194">
        <f t="shared" si="50"/>
        <v>0.95606884057971009</v>
      </c>
      <c r="W441">
        <f t="shared" si="51"/>
        <v>71</v>
      </c>
      <c r="X441" s="194">
        <f t="shared" si="52"/>
        <v>0.83041370888757382</v>
      </c>
      <c r="Y441" s="194">
        <f t="shared" si="53"/>
        <v>8.9231365162854882E-3</v>
      </c>
      <c r="Z441" s="245" t="str">
        <f>IF(ISNUMBER(SEARCH("C", 'Dry_Litterbag Placem_Collection'!$V148)),"YES","NO")</f>
        <v>NO</v>
      </c>
      <c r="AA441" s="245" t="str">
        <f>IF(ISNUMBER(SEARCH("H", 'Dry_Litterbag Placem_Collection'!$V148)),"YES","NO")</f>
        <v>NO</v>
      </c>
      <c r="AB441" s="245" t="str">
        <f>IF(ISNUMBER(SEARCH("R", 'Dry_Litterbag Placem_Collection'!$V148)),"YES","NO")</f>
        <v>NO</v>
      </c>
      <c r="AC441" s="245" t="str">
        <f>IF(ISNUMBER(SEARCH("C", 'Dry_Litterbag Placem_Collection'!$U148)),"YES","NO")</f>
        <v>NO</v>
      </c>
      <c r="AD441" s="245" t="str">
        <f>IF(ISNUMBER(SEARCH("H", 'Dry_Litterbag Placem_Collection'!$U148)),"YES","NO")</f>
        <v>NO</v>
      </c>
      <c r="AE441" s="245" t="str">
        <f>IF(ISNUMBER(SEARCH("R", 'Dry_Litterbag Placem_Collection'!$U148)),"YES","NO")</f>
        <v>NO</v>
      </c>
    </row>
    <row r="442" spans="2:31">
      <c r="B442" t="str">
        <f>Dryseason!B588</f>
        <v>Dry</v>
      </c>
      <c r="C442" s="253">
        <f>Dryseason!C588</f>
        <v>147</v>
      </c>
      <c r="D442" t="s">
        <v>3124</v>
      </c>
      <c r="E442" t="s">
        <v>25</v>
      </c>
      <c r="F442" s="374">
        <v>3</v>
      </c>
      <c r="G442" s="376">
        <f>IF('Dry_Litterbag Placem_Collection'!E149="","",'Dry_Litterbag Placem_Collection'!E149)</f>
        <v>42939</v>
      </c>
      <c r="H442" s="92" t="str">
        <f>Dryseason!L588</f>
        <v>G303</v>
      </c>
      <c r="I442" t="str">
        <f>Dryseason!L808</f>
        <v>R243</v>
      </c>
      <c r="J442">
        <f>IFERROR(INDEX('Green_rooibos initial weight'!$C$5:$C$2000,MATCH(H442, 'Green_rooibos initial weight'!$A$5:$A$2000,0)),"")</f>
        <v>1.9850000000000001</v>
      </c>
      <c r="K442">
        <f>IFERROR(INDEX('Green_rooibos initial weight'!$C$5:$C$2000,MATCH(I442, 'Green_rooibos initial weight'!$A$5:$A$2000,0)),"")</f>
        <v>2.1680000000000001</v>
      </c>
      <c r="L442" s="194">
        <f t="shared" si="46"/>
        <v>1.7352000000000001</v>
      </c>
      <c r="M442" s="233">
        <f>AVERAGE(Ashed_controlls!$K$1:$K$11)</f>
        <v>5.5147656768714146</v>
      </c>
      <c r="N442" s="194">
        <f t="shared" si="45"/>
        <v>1.9182000000000001</v>
      </c>
      <c r="O442" s="376">
        <f>IF('Dry_Litterbag Placem_Collection'!G149="","",'Dry_Litterbag Placem_Collection'!G149)</f>
        <v>43010</v>
      </c>
      <c r="P442" s="194">
        <f>IFERROR(INDEX('Both teabags AfterDry'!$D$3:$D$2000,MATCH(H442,'Both teabags AfterDry'!$A$3:$A$2000,0)),"")</f>
        <v>1.6654</v>
      </c>
      <c r="Q442" s="194">
        <f>IFERROR(INDEX('Both teabags AfterDry'!$D$3:$D$2000,MATCH(I442,'Both teabags AfterDry'!$A$3:$A$2000,0)),"")</f>
        <v>1.9182999999999999</v>
      </c>
      <c r="R442" s="194">
        <f t="shared" si="47"/>
        <v>1.5147999999999999</v>
      </c>
      <c r="S442" s="194">
        <f t="shared" si="47"/>
        <v>1.7676999999999998</v>
      </c>
      <c r="T442" s="194">
        <f t="shared" si="48"/>
        <v>0.12701705855232837</v>
      </c>
      <c r="U442" s="194">
        <f t="shared" si="49"/>
        <v>8.3270090642381542E-2</v>
      </c>
      <c r="V442" s="194">
        <f t="shared" si="50"/>
        <v>0.92154102804712734</v>
      </c>
      <c r="W442">
        <f t="shared" si="51"/>
        <v>71</v>
      </c>
      <c r="X442" s="194">
        <f t="shared" si="52"/>
        <v>0.84914838651742475</v>
      </c>
      <c r="Y442" s="194">
        <f t="shared" si="53"/>
        <v>4.015718022430155E-2</v>
      </c>
      <c r="Z442" s="245" t="str">
        <f>IF(ISNUMBER(SEARCH("C", 'Dry_Litterbag Placem_Collection'!$V149)),"YES","NO")</f>
        <v>NO</v>
      </c>
      <c r="AA442" s="245" t="str">
        <f>IF(ISNUMBER(SEARCH("H", 'Dry_Litterbag Placem_Collection'!$V149)),"YES","NO")</f>
        <v>NO</v>
      </c>
      <c r="AB442" s="245" t="str">
        <f>IF(ISNUMBER(SEARCH("R", 'Dry_Litterbag Placem_Collection'!$V149)),"YES","NO")</f>
        <v>NO</v>
      </c>
      <c r="AC442" s="245" t="str">
        <f>IF(ISNUMBER(SEARCH("C", 'Dry_Litterbag Placem_Collection'!$U149)),"YES","NO")</f>
        <v>NO</v>
      </c>
      <c r="AD442" s="245" t="str">
        <f>IF(ISNUMBER(SEARCH("H", 'Dry_Litterbag Placem_Collection'!$U149)),"YES","NO")</f>
        <v>NO</v>
      </c>
      <c r="AE442" s="245" t="str">
        <f>IF(ISNUMBER(SEARCH("R", 'Dry_Litterbag Placem_Collection'!$U149)),"YES","NO")</f>
        <v>NO</v>
      </c>
    </row>
    <row r="443" spans="2:31">
      <c r="B443" t="str">
        <f>Dryseason!B589</f>
        <v>Dry</v>
      </c>
      <c r="C443" s="253">
        <f>Dryseason!C589</f>
        <v>148</v>
      </c>
      <c r="D443" t="s">
        <v>3124</v>
      </c>
      <c r="E443" t="s">
        <v>25</v>
      </c>
      <c r="F443" s="375">
        <v>4</v>
      </c>
      <c r="G443" s="376">
        <f>IF('Dry_Litterbag Placem_Collection'!E150="","",'Dry_Litterbag Placem_Collection'!E150)</f>
        <v>42939</v>
      </c>
      <c r="H443" s="92" t="str">
        <f>Dryseason!L589</f>
        <v>G161</v>
      </c>
      <c r="I443" t="str">
        <f>Dryseason!L809</f>
        <v>R422</v>
      </c>
      <c r="J443">
        <f>IFERROR(INDEX('Green_rooibos initial weight'!$C$5:$C$2000,MATCH(H443, 'Green_rooibos initial weight'!$A$5:$A$2000,0)),"")</f>
        <v>2.0979999999999999</v>
      </c>
      <c r="K443">
        <f>IFERROR(INDEX('Green_rooibos initial weight'!$C$5:$C$2000,MATCH(I443, 'Green_rooibos initial weight'!$A$5:$A$2000,0)),"")</f>
        <v>2.1760000000000002</v>
      </c>
      <c r="L443" s="194">
        <f t="shared" si="46"/>
        <v>1.8481999999999998</v>
      </c>
      <c r="M443" s="233">
        <f>AVERAGE(Ashed_controlls!$K$1:$K$11)</f>
        <v>5.5147656768714146</v>
      </c>
      <c r="N443" s="194">
        <f t="shared" si="45"/>
        <v>1.9262000000000001</v>
      </c>
      <c r="O443" s="376">
        <f>IF('Dry_Litterbag Placem_Collection'!G150="","",'Dry_Litterbag Placem_Collection'!G150)</f>
        <v>43010</v>
      </c>
      <c r="P443" s="194">
        <f>IFERROR(INDEX('Both teabags AfterDry'!$D$3:$D$2000,MATCH(H443,'Both teabags AfterDry'!$A$3:$A$2000,0)),"")</f>
        <v>1.7174</v>
      </c>
      <c r="Q443" s="194">
        <f>IFERROR(INDEX('Both teabags AfterDry'!$D$3:$D$2000,MATCH(I443,'Both teabags AfterDry'!$A$3:$A$2000,0)),"")</f>
        <v>1.9601999999999999</v>
      </c>
      <c r="R443" s="194">
        <f t="shared" si="47"/>
        <v>1.5668</v>
      </c>
      <c r="S443" s="194">
        <f t="shared" si="47"/>
        <v>1.8095999999999999</v>
      </c>
      <c r="T443" s="194">
        <f t="shared" si="48"/>
        <v>0.15225624932366622</v>
      </c>
      <c r="U443" s="194">
        <f t="shared" si="49"/>
        <v>9.981644848772421E-2</v>
      </c>
      <c r="V443" s="194">
        <f t="shared" si="50"/>
        <v>0.93946630671789</v>
      </c>
      <c r="W443">
        <f t="shared" si="51"/>
        <v>71</v>
      </c>
      <c r="X443" s="194">
        <f t="shared" si="52"/>
        <v>0.81917310056571702</v>
      </c>
      <c r="Y443" s="194">
        <f t="shared" si="53"/>
        <v>1.3134469866306408E-2</v>
      </c>
      <c r="Z443" s="245" t="str">
        <f>IF(ISNUMBER(SEARCH("C", 'Dry_Litterbag Placem_Collection'!$V150)),"YES","NO")</f>
        <v>NO</v>
      </c>
      <c r="AA443" s="245" t="str">
        <f>IF(ISNUMBER(SEARCH("H", 'Dry_Litterbag Placem_Collection'!$V150)),"YES","NO")</f>
        <v>NO</v>
      </c>
      <c r="AB443" s="245" t="str">
        <f>IF(ISNUMBER(SEARCH("R", 'Dry_Litterbag Placem_Collection'!$V150)),"YES","NO")</f>
        <v>NO</v>
      </c>
      <c r="AC443" s="245" t="str">
        <f>IF(ISNUMBER(SEARCH("C", 'Dry_Litterbag Placem_Collection'!$U150)),"YES","NO")</f>
        <v>YES</v>
      </c>
      <c r="AD443" s="245" t="str">
        <f>IF(ISNUMBER(SEARCH("H", 'Dry_Litterbag Placem_Collection'!$U150)),"YES","NO")</f>
        <v>NO</v>
      </c>
      <c r="AE443" s="245" t="str">
        <f>IF(ISNUMBER(SEARCH("R", 'Dry_Litterbag Placem_Collection'!$U150)),"YES","NO")</f>
        <v>NO</v>
      </c>
    </row>
    <row r="444" spans="2:31">
      <c r="B444" t="str">
        <f>Dryseason!B590</f>
        <v>Dry</v>
      </c>
      <c r="C444" s="253">
        <f>Dryseason!C590</f>
        <v>149</v>
      </c>
      <c r="D444" t="s">
        <v>3124</v>
      </c>
      <c r="E444" t="s">
        <v>25</v>
      </c>
      <c r="F444" s="375">
        <v>5</v>
      </c>
      <c r="G444" s="376">
        <f>IF('Dry_Litterbag Placem_Collection'!E151="","",'Dry_Litterbag Placem_Collection'!E151)</f>
        <v>42939</v>
      </c>
      <c r="H444" s="92" t="str">
        <f>Dryseason!L590</f>
        <v>G464</v>
      </c>
      <c r="I444" t="str">
        <f>Dryseason!L810</f>
        <v>R664</v>
      </c>
      <c r="J444">
        <f>IFERROR(INDEX('Green_rooibos initial weight'!$C$5:$C$2000,MATCH(H444, 'Green_rooibos initial weight'!$A$5:$A$2000,0)),"")</f>
        <v>1.964</v>
      </c>
      <c r="K444">
        <f>IFERROR(INDEX('Green_rooibos initial weight'!$C$5:$C$2000,MATCH(I444, 'Green_rooibos initial weight'!$A$5:$A$2000,0)),"")</f>
        <v>2.09</v>
      </c>
      <c r="L444" s="194">
        <f t="shared" si="46"/>
        <v>1.7141999999999999</v>
      </c>
      <c r="M444" s="233">
        <f>AVERAGE(Ashed_controlls!$K$1:$K$11)</f>
        <v>5.5147656768714146</v>
      </c>
      <c r="N444" s="194">
        <f t="shared" si="45"/>
        <v>1.8401999999999998</v>
      </c>
      <c r="O444" s="376">
        <f>IF('Dry_Litterbag Placem_Collection'!G151="","",'Dry_Litterbag Placem_Collection'!G151)</f>
        <v>43010</v>
      </c>
      <c r="P444" s="194">
        <f>IFERROR(INDEX('Both teabags AfterDry'!$D$3:$D$2000,MATCH(H444,'Both teabags AfterDry'!$A$3:$A$2000,0)),"")</f>
        <v>1.571</v>
      </c>
      <c r="Q444" s="194">
        <f>IFERROR(INDEX('Both teabags AfterDry'!$D$3:$D$2000,MATCH(I444,'Both teabags AfterDry'!$A$3:$A$2000,0)),"")</f>
        <v>1.8895999999999999</v>
      </c>
      <c r="R444" s="194">
        <f t="shared" si="47"/>
        <v>1.4203999999999999</v>
      </c>
      <c r="S444" s="194">
        <f t="shared" si="47"/>
        <v>1.7389999999999999</v>
      </c>
      <c r="T444" s="194">
        <f t="shared" si="48"/>
        <v>0.17139190292847983</v>
      </c>
      <c r="U444" s="194">
        <f t="shared" si="49"/>
        <v>0.1123614375493122</v>
      </c>
      <c r="V444" s="194">
        <f t="shared" si="50"/>
        <v>0.94500597761112926</v>
      </c>
      <c r="W444">
        <f t="shared" si="51"/>
        <v>71</v>
      </c>
      <c r="X444" s="194">
        <f t="shared" si="52"/>
        <v>0.7964466711063185</v>
      </c>
      <c r="Y444" s="194">
        <f t="shared" si="53"/>
        <v>9.4682300604145755E-3</v>
      </c>
      <c r="Z444" s="245" t="str">
        <f>IF(ISNUMBER(SEARCH("C", 'Dry_Litterbag Placem_Collection'!$V151)),"YES","NO")</f>
        <v>NO</v>
      </c>
      <c r="AA444" s="245" t="str">
        <f>IF(ISNUMBER(SEARCH("H", 'Dry_Litterbag Placem_Collection'!$V151)),"YES","NO")</f>
        <v>NO</v>
      </c>
      <c r="AB444" s="245" t="str">
        <f>IF(ISNUMBER(SEARCH("R", 'Dry_Litterbag Placem_Collection'!$V151)),"YES","NO")</f>
        <v>NO</v>
      </c>
      <c r="AC444" s="245" t="str">
        <f>IF(ISNUMBER(SEARCH("C", 'Dry_Litterbag Placem_Collection'!$U151)),"YES","NO")</f>
        <v>NO</v>
      </c>
      <c r="AD444" s="245" t="str">
        <f>IF(ISNUMBER(SEARCH("H", 'Dry_Litterbag Placem_Collection'!$U151)),"YES","NO")</f>
        <v>NO</v>
      </c>
      <c r="AE444" s="245" t="str">
        <f>IF(ISNUMBER(SEARCH("R", 'Dry_Litterbag Placem_Collection'!$U151)),"YES","NO")</f>
        <v>NO</v>
      </c>
    </row>
    <row r="445" spans="2:31">
      <c r="B445" t="str">
        <f>Dryseason!B591</f>
        <v>Dry</v>
      </c>
      <c r="C445" s="253">
        <f>Dryseason!C591</f>
        <v>150</v>
      </c>
      <c r="D445" t="s">
        <v>3124</v>
      </c>
      <c r="E445" t="s">
        <v>25</v>
      </c>
      <c r="F445" s="375">
        <v>6</v>
      </c>
      <c r="G445" s="376">
        <f>IF('Dry_Litterbag Placem_Collection'!E152="","",'Dry_Litterbag Placem_Collection'!E152)</f>
        <v>42939</v>
      </c>
      <c r="H445" s="92" t="str">
        <f>Dryseason!L591</f>
        <v>G843</v>
      </c>
      <c r="I445" t="str">
        <f>Dryseason!L811</f>
        <v>R316</v>
      </c>
      <c r="J445">
        <f>IFERROR(INDEX('Green_rooibos initial weight'!$C$5:$C$2000,MATCH(H445, 'Green_rooibos initial weight'!$A$5:$A$2000,0)),"")</f>
        <v>1.964</v>
      </c>
      <c r="K445">
        <f>IFERROR(INDEX('Green_rooibos initial weight'!$C$5:$C$2000,MATCH(I445, 'Green_rooibos initial weight'!$A$5:$A$2000,0)),"")</f>
        <v>2.1779999999999999</v>
      </c>
      <c r="L445" s="194">
        <f t="shared" si="46"/>
        <v>1.7141999999999999</v>
      </c>
      <c r="M445" s="233">
        <f>AVERAGE(Ashed_controlls!$K$1:$K$11)</f>
        <v>5.5147656768714146</v>
      </c>
      <c r="N445" s="194">
        <f t="shared" si="45"/>
        <v>1.9281999999999999</v>
      </c>
      <c r="O445" s="376">
        <f>IF('Dry_Litterbag Placem_Collection'!G152="","",'Dry_Litterbag Placem_Collection'!G152)</f>
        <v>43010</v>
      </c>
      <c r="P445" s="194" t="str">
        <f>IFERROR(INDEX('Both teabags AfterDry'!$D$3:$D$2000,MATCH(H445,'Both teabags AfterDry'!$A$3:$A$2000,0)),"")</f>
        <v/>
      </c>
      <c r="Q445" s="194" t="str">
        <f>IFERROR(INDEX('Both teabags AfterDry'!$D$3:$D$2000,MATCH(I445,'Both teabags AfterDry'!$A$3:$A$2000,0)),"")</f>
        <v/>
      </c>
      <c r="R445" s="194" t="str">
        <f t="shared" si="47"/>
        <v/>
      </c>
      <c r="S445" s="194" t="str">
        <f t="shared" si="47"/>
        <v/>
      </c>
      <c r="T445" s="194" t="str">
        <f t="shared" si="48"/>
        <v/>
      </c>
      <c r="U445" s="194" t="str">
        <f t="shared" si="49"/>
        <v/>
      </c>
      <c r="V445" s="194" t="str">
        <f t="shared" si="50"/>
        <v/>
      </c>
      <c r="W445">
        <f t="shared" si="51"/>
        <v>71</v>
      </c>
      <c r="X445" s="194" t="str">
        <f t="shared" si="52"/>
        <v/>
      </c>
      <c r="Y445" s="194" t="str">
        <f t="shared" si="53"/>
        <v/>
      </c>
      <c r="Z445" s="245" t="str">
        <f>IF(ISNUMBER(SEARCH("C", 'Dry_Litterbag Placem_Collection'!$V152)),"YES","NO")</f>
        <v>NO</v>
      </c>
      <c r="AA445" s="245" t="str">
        <f>IF(ISNUMBER(SEARCH("H", 'Dry_Litterbag Placem_Collection'!$V152)),"YES","NO")</f>
        <v>NO</v>
      </c>
      <c r="AB445" s="245" t="str">
        <f>IF(ISNUMBER(SEARCH("R", 'Dry_Litterbag Placem_Collection'!$V152)),"YES","NO")</f>
        <v>NO</v>
      </c>
      <c r="AC445" s="245" t="str">
        <f>IF(ISNUMBER(SEARCH("C", 'Dry_Litterbag Placem_Collection'!$U152)),"YES","NO")</f>
        <v>NO</v>
      </c>
      <c r="AD445" s="245" t="str">
        <f>IF(ISNUMBER(SEARCH("H", 'Dry_Litterbag Placem_Collection'!$U152)),"YES","NO")</f>
        <v>NO</v>
      </c>
      <c r="AE445" s="245" t="str">
        <f>IF(ISNUMBER(SEARCH("R", 'Dry_Litterbag Placem_Collection'!$U152)),"YES","NO")</f>
        <v>NO</v>
      </c>
    </row>
    <row r="446" spans="2:31">
      <c r="B446" t="str">
        <f>Dryseason!B592</f>
        <v>Dry</v>
      </c>
      <c r="C446" s="253">
        <f>Dryseason!C592</f>
        <v>151</v>
      </c>
      <c r="D446" t="s">
        <v>3124</v>
      </c>
      <c r="E446" t="s">
        <v>25</v>
      </c>
      <c r="F446" s="375">
        <v>7</v>
      </c>
      <c r="G446" s="376" t="str">
        <f>IF('Dry_Litterbag Placem_Collection'!E153="","",'Dry_Litterbag Placem_Collection'!E153)</f>
        <v/>
      </c>
      <c r="H446" s="92" t="str">
        <f>Dryseason!L592</f>
        <v/>
      </c>
      <c r="I446" t="str">
        <f>Dryseason!L812</f>
        <v/>
      </c>
      <c r="J446" t="str">
        <f>IFERROR(INDEX('Green_rooibos initial weight'!$C$5:$C$2000,MATCH(H446, 'Green_rooibos initial weight'!$A$5:$A$2000,0)),"")</f>
        <v/>
      </c>
      <c r="K446" t="str">
        <f>IFERROR(INDEX('Green_rooibos initial weight'!$C$5:$C$2000,MATCH(I446, 'Green_rooibos initial weight'!$A$5:$A$2000,0)),"")</f>
        <v/>
      </c>
      <c r="L446" s="194" t="str">
        <f t="shared" si="46"/>
        <v/>
      </c>
      <c r="M446" s="233">
        <f>AVERAGE(Ashed_controlls!$K$1:$K$11)</f>
        <v>5.5147656768714146</v>
      </c>
      <c r="N446" s="194" t="str">
        <f t="shared" si="45"/>
        <v/>
      </c>
      <c r="O446" s="376" t="str">
        <f>IF('Dry_Litterbag Placem_Collection'!G153="","",'Dry_Litterbag Placem_Collection'!G153)</f>
        <v/>
      </c>
      <c r="P446" s="194" t="str">
        <f>IFERROR(INDEX('Both teabags AfterDry'!$D$3:$D$2000,MATCH(H446,'Both teabags AfterDry'!$A$3:$A$2000,0)),"")</f>
        <v/>
      </c>
      <c r="Q446" s="194" t="str">
        <f>IFERROR(INDEX('Both teabags AfterDry'!$D$3:$D$2000,MATCH(I446,'Both teabags AfterDry'!$A$3:$A$2000,0)),"")</f>
        <v/>
      </c>
      <c r="R446" s="194" t="str">
        <f t="shared" si="47"/>
        <v/>
      </c>
      <c r="S446" s="194" t="str">
        <f t="shared" si="47"/>
        <v/>
      </c>
      <c r="T446" s="194" t="str">
        <f t="shared" si="48"/>
        <v/>
      </c>
      <c r="U446" s="194" t="str">
        <f t="shared" si="49"/>
        <v/>
      </c>
      <c r="V446" s="194" t="str">
        <f t="shared" si="50"/>
        <v/>
      </c>
      <c r="W446" t="str">
        <f t="shared" si="51"/>
        <v/>
      </c>
      <c r="X446" s="194" t="str">
        <f t="shared" si="52"/>
        <v/>
      </c>
      <c r="Y446" s="194" t="str">
        <f t="shared" si="53"/>
        <v/>
      </c>
      <c r="Z446" s="245" t="str">
        <f>IF(ISNUMBER(SEARCH("C", 'Dry_Litterbag Placem_Collection'!$V153)),"YES","NO")</f>
        <v>NO</v>
      </c>
      <c r="AA446" s="245" t="str">
        <f>IF(ISNUMBER(SEARCH("H", 'Dry_Litterbag Placem_Collection'!$V153)),"YES","NO")</f>
        <v>NO</v>
      </c>
      <c r="AB446" s="245" t="str">
        <f>IF(ISNUMBER(SEARCH("R", 'Dry_Litterbag Placem_Collection'!$V153)),"YES","NO")</f>
        <v>NO</v>
      </c>
      <c r="AC446" s="245" t="str">
        <f>IF(ISNUMBER(SEARCH("C", 'Dry_Litterbag Placem_Collection'!$U153)),"YES","NO")</f>
        <v>NO</v>
      </c>
      <c r="AD446" s="245" t="str">
        <f>IF(ISNUMBER(SEARCH("H", 'Dry_Litterbag Placem_Collection'!$U153)),"YES","NO")</f>
        <v>NO</v>
      </c>
      <c r="AE446" s="245" t="str">
        <f>IF(ISNUMBER(SEARCH("R", 'Dry_Litterbag Placem_Collection'!$U153)),"YES","NO")</f>
        <v>NO</v>
      </c>
    </row>
    <row r="447" spans="2:31">
      <c r="B447" t="str">
        <f>Dryseason!B593</f>
        <v>Dry</v>
      </c>
      <c r="C447" s="253">
        <f>Dryseason!C593</f>
        <v>152</v>
      </c>
      <c r="D447" t="s">
        <v>3124</v>
      </c>
      <c r="E447" t="s">
        <v>25</v>
      </c>
      <c r="F447" s="375">
        <v>8</v>
      </c>
      <c r="G447" s="376">
        <f>IF('Dry_Litterbag Placem_Collection'!E154="","",'Dry_Litterbag Placem_Collection'!E154)</f>
        <v>42939</v>
      </c>
      <c r="H447" s="92" t="str">
        <f>Dryseason!L593</f>
        <v>G617</v>
      </c>
      <c r="I447" t="str">
        <f>Dryseason!L813</f>
        <v>R635</v>
      </c>
      <c r="J447">
        <f>IFERROR(INDEX('Green_rooibos initial weight'!$C$5:$C$2000,MATCH(H447, 'Green_rooibos initial weight'!$A$5:$A$2000,0)),"")</f>
        <v>2.0880000000000001</v>
      </c>
      <c r="K447">
        <f>IFERROR(INDEX('Green_rooibos initial weight'!$C$5:$C$2000,MATCH(I447, 'Green_rooibos initial weight'!$A$5:$A$2000,0)),"")</f>
        <v>2.1320000000000001</v>
      </c>
      <c r="L447" s="194">
        <f t="shared" si="46"/>
        <v>1.8382000000000001</v>
      </c>
      <c r="M447" s="233">
        <f>AVERAGE(Ashed_controlls!$K$1:$K$11)</f>
        <v>5.5147656768714146</v>
      </c>
      <c r="N447" s="194">
        <f t="shared" si="45"/>
        <v>1.8822000000000001</v>
      </c>
      <c r="O447" s="376">
        <f>IF('Dry_Litterbag Placem_Collection'!G154="","",'Dry_Litterbag Placem_Collection'!G154)</f>
        <v>43010</v>
      </c>
      <c r="P447" s="194">
        <f>IFERROR(INDEX('Both teabags AfterDry'!$D$3:$D$2000,MATCH(H447,'Both teabags AfterDry'!$A$3:$A$2000,0)),"")</f>
        <v>1.3632</v>
      </c>
      <c r="Q447" s="194">
        <f>IFERROR(INDEX('Both teabags AfterDry'!$D$3:$D$2000,MATCH(I447,'Both teabags AfterDry'!$A$3:$A$2000,0)),"")</f>
        <v>1.9524999999999999</v>
      </c>
      <c r="R447" s="194">
        <f t="shared" si="47"/>
        <v>1.2125999999999999</v>
      </c>
      <c r="S447" s="194">
        <f t="shared" si="47"/>
        <v>1.8018999999999998</v>
      </c>
      <c r="T447" s="194">
        <f t="shared" si="48"/>
        <v>0.34033293439234036</v>
      </c>
      <c r="U447" s="194">
        <f t="shared" si="49"/>
        <v>0.22311612801018038</v>
      </c>
      <c r="V447" s="194">
        <f t="shared" si="50"/>
        <v>0.95733715864413971</v>
      </c>
      <c r="W447">
        <f t="shared" si="51"/>
        <v>71</v>
      </c>
      <c r="X447" s="194">
        <f t="shared" si="52"/>
        <v>0.59580411592358629</v>
      </c>
      <c r="Y447" s="194">
        <f t="shared" si="53"/>
        <v>2.9890203485146674E-3</v>
      </c>
      <c r="Z447" s="245" t="str">
        <f>IF(ISNUMBER(SEARCH("C", 'Dry_Litterbag Placem_Collection'!$V154)),"YES","NO")</f>
        <v>NO</v>
      </c>
      <c r="AA447" s="245" t="str">
        <f>IF(ISNUMBER(SEARCH("H", 'Dry_Litterbag Placem_Collection'!$V154)),"YES","NO")</f>
        <v>NO</v>
      </c>
      <c r="AB447" s="245" t="str">
        <f>IF(ISNUMBER(SEARCH("R", 'Dry_Litterbag Placem_Collection'!$V154)),"YES","NO")</f>
        <v>NO</v>
      </c>
      <c r="AC447" s="245" t="str">
        <f>IF(ISNUMBER(SEARCH("C", 'Dry_Litterbag Placem_Collection'!$U154)),"YES","NO")</f>
        <v>NO</v>
      </c>
      <c r="AD447" s="245" t="str">
        <f>IF(ISNUMBER(SEARCH("H", 'Dry_Litterbag Placem_Collection'!$U154)),"YES","NO")</f>
        <v>NO</v>
      </c>
      <c r="AE447" s="245" t="str">
        <f>IF(ISNUMBER(SEARCH("R", 'Dry_Litterbag Placem_Collection'!$U154)),"YES","NO")</f>
        <v>NO</v>
      </c>
    </row>
    <row r="448" spans="2:31">
      <c r="B448" t="str">
        <f>Dryseason!B594</f>
        <v>Dry</v>
      </c>
      <c r="C448" s="253">
        <f>Dryseason!C594</f>
        <v>153</v>
      </c>
      <c r="D448" t="s">
        <v>3125</v>
      </c>
      <c r="E448" t="s">
        <v>25</v>
      </c>
      <c r="F448" s="374">
        <v>1</v>
      </c>
      <c r="G448" s="376">
        <f>IF('Dry_Litterbag Placem_Collection'!E155="","",'Dry_Litterbag Placem_Collection'!E155)</f>
        <v>42939</v>
      </c>
      <c r="H448" s="92" t="str">
        <f>Dryseason!L594</f>
        <v>G19</v>
      </c>
      <c r="I448" t="str">
        <f>Dryseason!L814</f>
        <v>R651</v>
      </c>
      <c r="J448">
        <f>IFERROR(INDEX('Green_rooibos initial weight'!$C$5:$C$2000,MATCH(H448, 'Green_rooibos initial weight'!$A$5:$A$2000,0)),"")</f>
        <v>2.0659999999999998</v>
      </c>
      <c r="K448">
        <f>IFERROR(INDEX('Green_rooibos initial weight'!$C$5:$C$2000,MATCH(I448, 'Green_rooibos initial weight'!$A$5:$A$2000,0)),"")</f>
        <v>2.2349999999999999</v>
      </c>
      <c r="L448" s="194">
        <f t="shared" si="46"/>
        <v>1.8161999999999998</v>
      </c>
      <c r="M448" s="233">
        <f>AVERAGE(Ashed_controlls!$K$1:$K$11)</f>
        <v>5.5147656768714146</v>
      </c>
      <c r="N448" s="194">
        <f t="shared" si="45"/>
        <v>1.9851999999999999</v>
      </c>
      <c r="O448" s="376">
        <f>IF('Dry_Litterbag Placem_Collection'!G155="","",'Dry_Litterbag Placem_Collection'!G155)</f>
        <v>43010</v>
      </c>
      <c r="P448" s="194">
        <f>IFERROR(INDEX('Both teabags AfterDry'!$D$3:$D$2000,MATCH(H448,'Both teabags AfterDry'!$A$3:$A$2000,0)),"")</f>
        <v>1.0404</v>
      </c>
      <c r="Q448" s="194">
        <f>IFERROR(INDEX('Both teabags AfterDry'!$D$3:$D$2000,MATCH(I448,'Both teabags AfterDry'!$A$3:$A$2000,0)),"")</f>
        <v>2.0049000000000001</v>
      </c>
      <c r="R448" s="194">
        <f t="shared" si="47"/>
        <v>0.88979999999999992</v>
      </c>
      <c r="S448" s="194">
        <f t="shared" si="47"/>
        <v>1.8543000000000001</v>
      </c>
      <c r="T448" s="194">
        <f t="shared" si="48"/>
        <v>0.5100759828212752</v>
      </c>
      <c r="U448" s="194">
        <f t="shared" si="49"/>
        <v>0.33439660631513535</v>
      </c>
      <c r="V448" s="194">
        <f t="shared" si="50"/>
        <v>0.93406205923836394</v>
      </c>
      <c r="W448">
        <f t="shared" si="51"/>
        <v>71</v>
      </c>
      <c r="X448" s="194">
        <f t="shared" si="52"/>
        <v>0.394209046530552</v>
      </c>
      <c r="Y448" s="194">
        <f t="shared" si="53"/>
        <v>3.0933912151955337E-3</v>
      </c>
      <c r="Z448" s="245" t="str">
        <f>IF(ISNUMBER(SEARCH("C", 'Dry_Litterbag Placem_Collection'!$V155)),"YES","NO")</f>
        <v>NO</v>
      </c>
      <c r="AA448" s="245" t="str">
        <f>IF(ISNUMBER(SEARCH("H", 'Dry_Litterbag Placem_Collection'!$V155)),"YES","NO")</f>
        <v>NO</v>
      </c>
      <c r="AB448" s="245" t="str">
        <f>IF(ISNUMBER(SEARCH("R", 'Dry_Litterbag Placem_Collection'!$V155)),"YES","NO")</f>
        <v>NO</v>
      </c>
      <c r="AC448" s="245" t="str">
        <f>IF(ISNUMBER(SEARCH("C", 'Dry_Litterbag Placem_Collection'!$U155)),"YES","NO")</f>
        <v>NO</v>
      </c>
      <c r="AD448" s="245" t="str">
        <f>IF(ISNUMBER(SEARCH("H", 'Dry_Litterbag Placem_Collection'!$U155)),"YES","NO")</f>
        <v>NO</v>
      </c>
      <c r="AE448" s="245" t="str">
        <f>IF(ISNUMBER(SEARCH("R", 'Dry_Litterbag Placem_Collection'!$U155)),"YES","NO")</f>
        <v>NO</v>
      </c>
    </row>
    <row r="449" spans="2:31">
      <c r="B449" t="str">
        <f>Dryseason!B595</f>
        <v>Dry</v>
      </c>
      <c r="C449" s="253">
        <f>Dryseason!C595</f>
        <v>154</v>
      </c>
      <c r="D449" t="s">
        <v>3125</v>
      </c>
      <c r="E449" t="s">
        <v>25</v>
      </c>
      <c r="F449" s="374">
        <v>2</v>
      </c>
      <c r="G449" s="376">
        <f>IF('Dry_Litterbag Placem_Collection'!E156="","",'Dry_Litterbag Placem_Collection'!E156)</f>
        <v>42939</v>
      </c>
      <c r="H449" s="92" t="str">
        <f>Dryseason!L595</f>
        <v>G275</v>
      </c>
      <c r="I449" t="str">
        <f>Dryseason!L815</f>
        <v>R367</v>
      </c>
      <c r="J449">
        <f>IFERROR(INDEX('Green_rooibos initial weight'!$C$5:$C$2000,MATCH(H449, 'Green_rooibos initial weight'!$A$5:$A$2000,0)),"")</f>
        <v>2.097</v>
      </c>
      <c r="K449">
        <f>IFERROR(INDEX('Green_rooibos initial weight'!$C$5:$C$2000,MATCH(I449, 'Green_rooibos initial weight'!$A$5:$A$2000,0)),"")</f>
        <v>2.165</v>
      </c>
      <c r="L449" s="194">
        <f t="shared" si="46"/>
        <v>1.8472</v>
      </c>
      <c r="M449" s="233">
        <f>AVERAGE(Ashed_controlls!$K$1:$K$11)</f>
        <v>5.5147656768714146</v>
      </c>
      <c r="N449" s="194">
        <f t="shared" si="45"/>
        <v>1.9152</v>
      </c>
      <c r="O449" s="376">
        <f>IF('Dry_Litterbag Placem_Collection'!G156="","",'Dry_Litterbag Placem_Collection'!G156)</f>
        <v>43010</v>
      </c>
      <c r="P449" s="194">
        <f>IFERROR(INDEX('Both teabags AfterDry'!$D$3:$D$2000,MATCH(H449,'Both teabags AfterDry'!$A$3:$A$2000,0)),"")</f>
        <v>1.2171000000000001</v>
      </c>
      <c r="Q449" s="194">
        <f>IFERROR(INDEX('Both teabags AfterDry'!$D$3:$D$2000,MATCH(I449,'Both teabags AfterDry'!$A$3:$A$2000,0)),"")</f>
        <v>1.8496999999999999</v>
      </c>
      <c r="R449" s="194">
        <f t="shared" si="47"/>
        <v>1.0665</v>
      </c>
      <c r="S449" s="194">
        <f t="shared" si="47"/>
        <v>1.6990999999999998</v>
      </c>
      <c r="T449" s="194">
        <f t="shared" si="48"/>
        <v>0.42263967085318321</v>
      </c>
      <c r="U449" s="194">
        <f t="shared" si="49"/>
        <v>0.27707493861158811</v>
      </c>
      <c r="V449" s="194">
        <f t="shared" si="50"/>
        <v>0.88716583124477855</v>
      </c>
      <c r="W449">
        <f t="shared" si="51"/>
        <v>71</v>
      </c>
      <c r="X449" s="194">
        <f t="shared" si="52"/>
        <v>0.49805264744277522</v>
      </c>
      <c r="Y449" s="194">
        <f t="shared" si="53"/>
        <v>7.3655569861496529E-3</v>
      </c>
      <c r="Z449" s="245" t="str">
        <f>IF(ISNUMBER(SEARCH("C", 'Dry_Litterbag Placem_Collection'!$V156)),"YES","NO")</f>
        <v>NO</v>
      </c>
      <c r="AA449" s="245" t="str">
        <f>IF(ISNUMBER(SEARCH("H", 'Dry_Litterbag Placem_Collection'!$V156)),"YES","NO")</f>
        <v>NO</v>
      </c>
      <c r="AB449" s="245" t="str">
        <f>IF(ISNUMBER(SEARCH("R", 'Dry_Litterbag Placem_Collection'!$V156)),"YES","NO")</f>
        <v>NO</v>
      </c>
      <c r="AC449" s="245" t="str">
        <f>IF(ISNUMBER(SEARCH("C", 'Dry_Litterbag Placem_Collection'!$U156)),"YES","NO")</f>
        <v>NO</v>
      </c>
      <c r="AD449" s="245" t="str">
        <f>IF(ISNUMBER(SEARCH("H", 'Dry_Litterbag Placem_Collection'!$U156)),"YES","NO")</f>
        <v>NO</v>
      </c>
      <c r="AE449" s="245" t="str">
        <f>IF(ISNUMBER(SEARCH("R", 'Dry_Litterbag Placem_Collection'!$U156)),"YES","NO")</f>
        <v>NO</v>
      </c>
    </row>
    <row r="450" spans="2:31">
      <c r="B450" t="str">
        <f>Dryseason!B596</f>
        <v>Dry</v>
      </c>
      <c r="C450" s="253">
        <f>Dryseason!C596</f>
        <v>155</v>
      </c>
      <c r="D450" t="s">
        <v>3125</v>
      </c>
      <c r="E450" t="s">
        <v>25</v>
      </c>
      <c r="F450" s="374">
        <v>3</v>
      </c>
      <c r="G450" s="376">
        <f>IF('Dry_Litterbag Placem_Collection'!E157="","",'Dry_Litterbag Placem_Collection'!E157)</f>
        <v>42939</v>
      </c>
      <c r="H450" s="92" t="str">
        <f>Dryseason!L596</f>
        <v>G289</v>
      </c>
      <c r="I450" t="str">
        <f>Dryseason!L816</f>
        <v>R617</v>
      </c>
      <c r="J450">
        <f>IFERROR(INDEX('Green_rooibos initial weight'!$C$5:$C$2000,MATCH(H450, 'Green_rooibos initial weight'!$A$5:$A$2000,0)),"")</f>
        <v>2.093</v>
      </c>
      <c r="K450">
        <f>IFERROR(INDEX('Green_rooibos initial weight'!$C$5:$C$2000,MATCH(I450, 'Green_rooibos initial weight'!$A$5:$A$2000,0)),"")</f>
        <v>2.2010000000000001</v>
      </c>
      <c r="L450" s="194">
        <f t="shared" si="46"/>
        <v>1.8431999999999999</v>
      </c>
      <c r="M450" s="233">
        <f>AVERAGE(Ashed_controlls!$K$1:$K$11)</f>
        <v>5.5147656768714146</v>
      </c>
      <c r="N450" s="194">
        <f t="shared" si="45"/>
        <v>1.9512</v>
      </c>
      <c r="O450" s="376">
        <f>IF('Dry_Litterbag Placem_Collection'!G157="","",'Dry_Litterbag Placem_Collection'!G157)</f>
        <v>43010</v>
      </c>
      <c r="P450" s="194">
        <f>IFERROR(INDEX('Both teabags AfterDry'!$D$3:$D$2000,MATCH(H450,'Both teabags AfterDry'!$A$3:$A$2000,0)),"")</f>
        <v>1.2491000000000001</v>
      </c>
      <c r="Q450" s="194">
        <f>IFERROR(INDEX('Both teabags AfterDry'!$D$3:$D$2000,MATCH(I450,'Both teabags AfterDry'!$A$3:$A$2000,0)),"")</f>
        <v>1.8621000000000001</v>
      </c>
      <c r="R450" s="194">
        <f t="shared" si="47"/>
        <v>1.0985</v>
      </c>
      <c r="S450" s="194">
        <f t="shared" si="47"/>
        <v>1.7115</v>
      </c>
      <c r="T450" s="194">
        <f t="shared" si="48"/>
        <v>0.40402560763888884</v>
      </c>
      <c r="U450" s="194">
        <f t="shared" si="49"/>
        <v>0.26487189479414086</v>
      </c>
      <c r="V450" s="194">
        <f t="shared" si="50"/>
        <v>0.87715252152521528</v>
      </c>
      <c r="W450">
        <f t="shared" si="51"/>
        <v>71</v>
      </c>
      <c r="X450" s="194">
        <f t="shared" si="52"/>
        <v>0.52015961088017959</v>
      </c>
      <c r="Y450" s="194">
        <f t="shared" si="53"/>
        <v>8.7781310493058803E-3</v>
      </c>
      <c r="Z450" s="245" t="str">
        <f>IF(ISNUMBER(SEARCH("C", 'Dry_Litterbag Placem_Collection'!$V157)),"YES","NO")</f>
        <v>NO</v>
      </c>
      <c r="AA450" s="245" t="str">
        <f>IF(ISNUMBER(SEARCH("H", 'Dry_Litterbag Placem_Collection'!$V157)),"YES","NO")</f>
        <v>NO</v>
      </c>
      <c r="AB450" s="245" t="str">
        <f>IF(ISNUMBER(SEARCH("R", 'Dry_Litterbag Placem_Collection'!$V157)),"YES","NO")</f>
        <v>NO</v>
      </c>
      <c r="AC450" s="245" t="str">
        <f>IF(ISNUMBER(SEARCH("C", 'Dry_Litterbag Placem_Collection'!$U157)),"YES","NO")</f>
        <v>NO</v>
      </c>
      <c r="AD450" s="245" t="str">
        <f>IF(ISNUMBER(SEARCH("H", 'Dry_Litterbag Placem_Collection'!$U157)),"YES","NO")</f>
        <v>NO</v>
      </c>
      <c r="AE450" s="245" t="str">
        <f>IF(ISNUMBER(SEARCH("R", 'Dry_Litterbag Placem_Collection'!$U157)),"YES","NO")</f>
        <v>NO</v>
      </c>
    </row>
    <row r="451" spans="2:31">
      <c r="B451" t="str">
        <f>Dryseason!B597</f>
        <v>Dry</v>
      </c>
      <c r="C451" s="253">
        <f>Dryseason!C597</f>
        <v>156</v>
      </c>
      <c r="D451" t="s">
        <v>3125</v>
      </c>
      <c r="E451" t="s">
        <v>25</v>
      </c>
      <c r="F451" s="375">
        <v>4</v>
      </c>
      <c r="G451" s="376">
        <f>IF('Dry_Litterbag Placem_Collection'!E158="","",'Dry_Litterbag Placem_Collection'!E158)</f>
        <v>42939</v>
      </c>
      <c r="H451" s="92" t="str">
        <f>Dryseason!L597</f>
        <v>G65</v>
      </c>
      <c r="I451" t="str">
        <f>Dryseason!L817</f>
        <v>R84</v>
      </c>
      <c r="J451">
        <f>IFERROR(INDEX('Green_rooibos initial weight'!$C$5:$C$2000,MATCH(H451, 'Green_rooibos initial weight'!$A$5:$A$2000,0)),"")</f>
        <v>2.0750000000000002</v>
      </c>
      <c r="K451">
        <f>IFERROR(INDEX('Green_rooibos initial weight'!$C$5:$C$2000,MATCH(I451, 'Green_rooibos initial weight'!$A$5:$A$2000,0)),"")</f>
        <v>2.1629999999999998</v>
      </c>
      <c r="L451" s="194">
        <f t="shared" si="46"/>
        <v>1.8252000000000002</v>
      </c>
      <c r="M451" s="233">
        <f>AVERAGE(Ashed_controlls!$K$1:$K$11)</f>
        <v>5.5147656768714146</v>
      </c>
      <c r="N451" s="194">
        <f t="shared" si="45"/>
        <v>1.9131999999999998</v>
      </c>
      <c r="O451" s="376">
        <f>IF('Dry_Litterbag Placem_Collection'!G158="","",'Dry_Litterbag Placem_Collection'!G158)</f>
        <v>43010</v>
      </c>
      <c r="P451" s="194">
        <f>IFERROR(INDEX('Both teabags AfterDry'!$D$3:$D$2000,MATCH(H451,'Both teabags AfterDry'!$A$3:$A$2000,0)),"")</f>
        <v>1.0561</v>
      </c>
      <c r="Q451" s="194">
        <f>IFERROR(INDEX('Both teabags AfterDry'!$D$3:$D$2000,MATCH(I451,'Both teabags AfterDry'!$A$3:$A$2000,0)),"")</f>
        <v>1.8827</v>
      </c>
      <c r="R451" s="194">
        <f t="shared" si="47"/>
        <v>0.90549999999999997</v>
      </c>
      <c r="S451" s="194">
        <f t="shared" si="47"/>
        <v>1.7321</v>
      </c>
      <c r="T451" s="194">
        <f t="shared" si="48"/>
        <v>0.50388998465921553</v>
      </c>
      <c r="U451" s="194">
        <f t="shared" si="49"/>
        <v>0.33034117759131476</v>
      </c>
      <c r="V451" s="194">
        <f t="shared" si="50"/>
        <v>0.90534183566799087</v>
      </c>
      <c r="W451">
        <f t="shared" si="51"/>
        <v>71</v>
      </c>
      <c r="X451" s="194">
        <f t="shared" si="52"/>
        <v>0.40155583769689362</v>
      </c>
      <c r="Y451" s="194">
        <f t="shared" si="53"/>
        <v>4.7554683641648386E-3</v>
      </c>
      <c r="Z451" s="245" t="str">
        <f>IF(ISNUMBER(SEARCH("C", 'Dry_Litterbag Placem_Collection'!$V158)),"YES","NO")</f>
        <v>NO</v>
      </c>
      <c r="AA451" s="245" t="str">
        <f>IF(ISNUMBER(SEARCH("H", 'Dry_Litterbag Placem_Collection'!$V158)),"YES","NO")</f>
        <v>NO</v>
      </c>
      <c r="AB451" s="245" t="str">
        <f>IF(ISNUMBER(SEARCH("R", 'Dry_Litterbag Placem_Collection'!$V158)),"YES","NO")</f>
        <v>NO</v>
      </c>
      <c r="AC451" s="245" t="str">
        <f>IF(ISNUMBER(SEARCH("C", 'Dry_Litterbag Placem_Collection'!$U158)),"YES","NO")</f>
        <v>NO</v>
      </c>
      <c r="AD451" s="245" t="str">
        <f>IF(ISNUMBER(SEARCH("H", 'Dry_Litterbag Placem_Collection'!$U158)),"YES","NO")</f>
        <v>NO</v>
      </c>
      <c r="AE451" s="245" t="str">
        <f>IF(ISNUMBER(SEARCH("R", 'Dry_Litterbag Placem_Collection'!$U158)),"YES","NO")</f>
        <v>NO</v>
      </c>
    </row>
    <row r="452" spans="2:31">
      <c r="B452" t="str">
        <f>Dryseason!B598</f>
        <v>Dry</v>
      </c>
      <c r="C452" s="253">
        <f>Dryseason!C598</f>
        <v>157</v>
      </c>
      <c r="D452" t="s">
        <v>3125</v>
      </c>
      <c r="E452" t="s">
        <v>25</v>
      </c>
      <c r="F452" s="375">
        <v>5</v>
      </c>
      <c r="G452" s="376">
        <f>IF('Dry_Litterbag Placem_Collection'!E159="","",'Dry_Litterbag Placem_Collection'!E159)</f>
        <v>42939</v>
      </c>
      <c r="H452" s="92" t="str">
        <f>Dryseason!L598</f>
        <v>G33</v>
      </c>
      <c r="I452" t="str">
        <f>Dryseason!L818</f>
        <v>R248</v>
      </c>
      <c r="J452">
        <f>IFERROR(INDEX('Green_rooibos initial weight'!$C$5:$C$2000,MATCH(H452, 'Green_rooibos initial weight'!$A$5:$A$2000,0)),"")</f>
        <v>2.0579999999999998</v>
      </c>
      <c r="K452">
        <f>IFERROR(INDEX('Green_rooibos initial weight'!$C$5:$C$2000,MATCH(I452, 'Green_rooibos initial weight'!$A$5:$A$2000,0)),"")</f>
        <v>2.1829999999999998</v>
      </c>
      <c r="L452" s="194">
        <f t="shared" si="46"/>
        <v>1.8081999999999998</v>
      </c>
      <c r="M452" s="233">
        <f>AVERAGE(Ashed_controlls!$K$1:$K$11)</f>
        <v>5.5147656768714146</v>
      </c>
      <c r="N452" s="194">
        <f t="shared" si="45"/>
        <v>1.9331999999999998</v>
      </c>
      <c r="O452" s="376">
        <f>IF('Dry_Litterbag Placem_Collection'!G159="","",'Dry_Litterbag Placem_Collection'!G159)</f>
        <v>43010</v>
      </c>
      <c r="P452" s="194" t="str">
        <f>IFERROR(INDEX('Both teabags AfterDry'!$D$3:$D$2000,MATCH(H452,'Both teabags AfterDry'!$A$3:$A$2000,0)),"")</f>
        <v/>
      </c>
      <c r="Q452" s="194" t="str">
        <f>IFERROR(INDEX('Both teabags AfterDry'!$D$3:$D$2000,MATCH(I452,'Both teabags AfterDry'!$A$3:$A$2000,0)),"")</f>
        <v/>
      </c>
      <c r="R452" s="194" t="str">
        <f t="shared" si="47"/>
        <v/>
      </c>
      <c r="S452" s="194" t="str">
        <f t="shared" si="47"/>
        <v/>
      </c>
      <c r="T452" s="194" t="str">
        <f t="shared" si="48"/>
        <v/>
      </c>
      <c r="U452" s="194" t="str">
        <f t="shared" si="49"/>
        <v/>
      </c>
      <c r="V452" s="194" t="str">
        <f t="shared" si="50"/>
        <v/>
      </c>
      <c r="W452">
        <f t="shared" si="51"/>
        <v>71</v>
      </c>
      <c r="X452" s="194" t="str">
        <f t="shared" si="52"/>
        <v/>
      </c>
      <c r="Y452" s="194" t="str">
        <f t="shared" si="53"/>
        <v/>
      </c>
      <c r="Z452" s="245" t="str">
        <f>IF(ISNUMBER(SEARCH("C", 'Dry_Litterbag Placem_Collection'!$V159)),"YES","NO")</f>
        <v>NO</v>
      </c>
      <c r="AA452" s="245" t="str">
        <f>IF(ISNUMBER(SEARCH("H", 'Dry_Litterbag Placem_Collection'!$V159)),"YES","NO")</f>
        <v>NO</v>
      </c>
      <c r="AB452" s="245" t="str">
        <f>IF(ISNUMBER(SEARCH("R", 'Dry_Litterbag Placem_Collection'!$V159)),"YES","NO")</f>
        <v>NO</v>
      </c>
      <c r="AC452" s="245" t="str">
        <f>IF(ISNUMBER(SEARCH("C", 'Dry_Litterbag Placem_Collection'!$U159)),"YES","NO")</f>
        <v>NO</v>
      </c>
      <c r="AD452" s="245" t="str">
        <f>IF(ISNUMBER(SEARCH("H", 'Dry_Litterbag Placem_Collection'!$U159)),"YES","NO")</f>
        <v>NO</v>
      </c>
      <c r="AE452" s="245" t="str">
        <f>IF(ISNUMBER(SEARCH("R", 'Dry_Litterbag Placem_Collection'!$U159)),"YES","NO")</f>
        <v>NO</v>
      </c>
    </row>
    <row r="453" spans="2:31">
      <c r="B453" t="str">
        <f>Dryseason!B599</f>
        <v>Dry</v>
      </c>
      <c r="C453" s="253">
        <f>Dryseason!C599</f>
        <v>158</v>
      </c>
      <c r="D453" t="s">
        <v>3125</v>
      </c>
      <c r="E453" t="s">
        <v>25</v>
      </c>
      <c r="F453" s="375">
        <v>6</v>
      </c>
      <c r="G453" s="376">
        <f>IF('Dry_Litterbag Placem_Collection'!E160="","",'Dry_Litterbag Placem_Collection'!E160)</f>
        <v>42939</v>
      </c>
      <c r="H453" s="92" t="str">
        <f>Dryseason!L599</f>
        <v>G153</v>
      </c>
      <c r="I453" t="str">
        <f>Dryseason!L819</f>
        <v>R238</v>
      </c>
      <c r="J453">
        <f>IFERROR(INDEX('Green_rooibos initial weight'!$C$5:$C$2000,MATCH(H453, 'Green_rooibos initial weight'!$A$5:$A$2000,0)),"")</f>
        <v>2.0529999999999999</v>
      </c>
      <c r="K453">
        <f>IFERROR(INDEX('Green_rooibos initial weight'!$C$5:$C$2000,MATCH(I453, 'Green_rooibos initial weight'!$A$5:$A$2000,0)),"")</f>
        <v>2.2389999999999999</v>
      </c>
      <c r="L453" s="194">
        <f t="shared" si="46"/>
        <v>1.8031999999999999</v>
      </c>
      <c r="M453" s="233">
        <f>AVERAGE(Ashed_controlls!$K$1:$K$11)</f>
        <v>5.5147656768714146</v>
      </c>
      <c r="N453" s="194">
        <f t="shared" si="45"/>
        <v>1.9891999999999999</v>
      </c>
      <c r="O453" s="376">
        <f>IF('Dry_Litterbag Placem_Collection'!G160="","",'Dry_Litterbag Placem_Collection'!G160)</f>
        <v>43010</v>
      </c>
      <c r="P453" s="194">
        <f>IFERROR(INDEX('Both teabags AfterDry'!$D$3:$D$2000,MATCH(H453,'Both teabags AfterDry'!$A$3:$A$2000,0)),"")</f>
        <v>0.87609999999999999</v>
      </c>
      <c r="Q453" s="194">
        <f>IFERROR(INDEX('Both teabags AfterDry'!$D$3:$D$2000,MATCH(I453,'Both teabags AfterDry'!$A$3:$A$2000,0)),"")</f>
        <v>1.7898000000000001</v>
      </c>
      <c r="R453" s="194">
        <f t="shared" si="47"/>
        <v>0.72550000000000003</v>
      </c>
      <c r="S453" s="194">
        <f t="shared" si="47"/>
        <v>1.6392</v>
      </c>
      <c r="T453" s="194">
        <f t="shared" si="48"/>
        <v>0.59765971606033719</v>
      </c>
      <c r="U453" s="194">
        <f t="shared" si="49"/>
        <v>0.3918149207426439</v>
      </c>
      <c r="V453" s="194">
        <f t="shared" si="50"/>
        <v>0.82404986929418866</v>
      </c>
      <c r="W453">
        <f t="shared" si="51"/>
        <v>71</v>
      </c>
      <c r="X453" s="194">
        <f t="shared" si="52"/>
        <v>0.29019036097347128</v>
      </c>
      <c r="Y453" s="194">
        <f t="shared" si="53"/>
        <v>8.3963006718876E-3</v>
      </c>
      <c r="Z453" s="245" t="str">
        <f>IF(ISNUMBER(SEARCH("C", 'Dry_Litterbag Placem_Collection'!$V160)),"YES","NO")</f>
        <v>NO</v>
      </c>
      <c r="AA453" s="245" t="str">
        <f>IF(ISNUMBER(SEARCH("H", 'Dry_Litterbag Placem_Collection'!$V160)),"YES","NO")</f>
        <v>NO</v>
      </c>
      <c r="AB453" s="245" t="str">
        <f>IF(ISNUMBER(SEARCH("R", 'Dry_Litterbag Placem_Collection'!$V160)),"YES","NO")</f>
        <v>NO</v>
      </c>
      <c r="AC453" s="245" t="str">
        <f>IF(ISNUMBER(SEARCH("C", 'Dry_Litterbag Placem_Collection'!$U160)),"YES","NO")</f>
        <v>NO</v>
      </c>
      <c r="AD453" s="245" t="str">
        <f>IF(ISNUMBER(SEARCH("H", 'Dry_Litterbag Placem_Collection'!$U160)),"YES","NO")</f>
        <v>NO</v>
      </c>
      <c r="AE453" s="245" t="str">
        <f>IF(ISNUMBER(SEARCH("R", 'Dry_Litterbag Placem_Collection'!$U160)),"YES","NO")</f>
        <v>NO</v>
      </c>
    </row>
    <row r="454" spans="2:31">
      <c r="B454" t="str">
        <f>Dryseason!B600</f>
        <v>Dry</v>
      </c>
      <c r="C454" s="253">
        <f>Dryseason!C600</f>
        <v>159</v>
      </c>
      <c r="D454" t="s">
        <v>3125</v>
      </c>
      <c r="E454" t="s">
        <v>25</v>
      </c>
      <c r="F454" s="375">
        <v>7</v>
      </c>
      <c r="G454" s="376" t="str">
        <f>IF('Dry_Litterbag Placem_Collection'!E161="","",'Dry_Litterbag Placem_Collection'!E161)</f>
        <v/>
      </c>
      <c r="H454" s="92" t="str">
        <f>Dryseason!L600</f>
        <v/>
      </c>
      <c r="I454" t="str">
        <f>Dryseason!L820</f>
        <v/>
      </c>
      <c r="J454" t="str">
        <f>IFERROR(INDEX('Green_rooibos initial weight'!$C$5:$C$2000,MATCH(H454, 'Green_rooibos initial weight'!$A$5:$A$2000,0)),"")</f>
        <v/>
      </c>
      <c r="K454" t="str">
        <f>IFERROR(INDEX('Green_rooibos initial weight'!$C$5:$C$2000,MATCH(I454, 'Green_rooibos initial weight'!$A$5:$A$2000,0)),"")</f>
        <v/>
      </c>
      <c r="L454" s="194" t="str">
        <f t="shared" si="46"/>
        <v/>
      </c>
      <c r="M454" s="233">
        <f>AVERAGE(Ashed_controlls!$K$1:$K$11)</f>
        <v>5.5147656768714146</v>
      </c>
      <c r="N454" s="194" t="str">
        <f t="shared" si="45"/>
        <v/>
      </c>
      <c r="O454" s="376" t="str">
        <f>IF('Dry_Litterbag Placem_Collection'!G161="","",'Dry_Litterbag Placem_Collection'!G161)</f>
        <v/>
      </c>
      <c r="P454" s="194" t="str">
        <f>IFERROR(INDEX('Both teabags AfterDry'!$D$3:$D$2000,MATCH(H454,'Both teabags AfterDry'!$A$3:$A$2000,0)),"")</f>
        <v/>
      </c>
      <c r="Q454" s="194" t="str">
        <f>IFERROR(INDEX('Both teabags AfterDry'!$D$3:$D$2000,MATCH(I454,'Both teabags AfterDry'!$A$3:$A$2000,0)),"")</f>
        <v/>
      </c>
      <c r="R454" s="194" t="str">
        <f t="shared" si="47"/>
        <v/>
      </c>
      <c r="S454" s="194" t="str">
        <f t="shared" si="47"/>
        <v/>
      </c>
      <c r="T454" s="194" t="str">
        <f t="shared" si="48"/>
        <v/>
      </c>
      <c r="U454" s="194" t="str">
        <f t="shared" si="49"/>
        <v/>
      </c>
      <c r="V454" s="194" t="str">
        <f t="shared" si="50"/>
        <v/>
      </c>
      <c r="W454" t="str">
        <f t="shared" si="51"/>
        <v/>
      </c>
      <c r="X454" s="194" t="str">
        <f t="shared" si="52"/>
        <v/>
      </c>
      <c r="Y454" s="194" t="str">
        <f t="shared" si="53"/>
        <v/>
      </c>
      <c r="Z454" s="245" t="str">
        <f>IF(ISNUMBER(SEARCH("C", 'Dry_Litterbag Placem_Collection'!$V161)),"YES","NO")</f>
        <v>NO</v>
      </c>
      <c r="AA454" s="245" t="str">
        <f>IF(ISNUMBER(SEARCH("H", 'Dry_Litterbag Placem_Collection'!$V161)),"YES","NO")</f>
        <v>NO</v>
      </c>
      <c r="AB454" s="245" t="str">
        <f>IF(ISNUMBER(SEARCH("R", 'Dry_Litterbag Placem_Collection'!$V161)),"YES","NO")</f>
        <v>NO</v>
      </c>
      <c r="AC454" s="245" t="str">
        <f>IF(ISNUMBER(SEARCH("C", 'Dry_Litterbag Placem_Collection'!$U161)),"YES","NO")</f>
        <v>NO</v>
      </c>
      <c r="AD454" s="245" t="str">
        <f>IF(ISNUMBER(SEARCH("H", 'Dry_Litterbag Placem_Collection'!$U161)),"YES","NO")</f>
        <v>NO</v>
      </c>
      <c r="AE454" s="245" t="str">
        <f>IF(ISNUMBER(SEARCH("R", 'Dry_Litterbag Placem_Collection'!$U161)),"YES","NO")</f>
        <v>NO</v>
      </c>
    </row>
    <row r="455" spans="2:31">
      <c r="B455" t="str">
        <f>Dryseason!B601</f>
        <v>Dry</v>
      </c>
      <c r="C455" s="253">
        <f>Dryseason!C601</f>
        <v>160</v>
      </c>
      <c r="D455" t="s">
        <v>3125</v>
      </c>
      <c r="E455" t="s">
        <v>25</v>
      </c>
      <c r="F455" s="375">
        <v>8</v>
      </c>
      <c r="G455" s="376">
        <f>IF('Dry_Litterbag Placem_Collection'!E162="","",'Dry_Litterbag Placem_Collection'!E162)</f>
        <v>42939</v>
      </c>
      <c r="H455" s="92" t="str">
        <f>Dryseason!L601</f>
        <v>G175</v>
      </c>
      <c r="I455" t="str">
        <f>Dryseason!L821</f>
        <v>R350</v>
      </c>
      <c r="J455">
        <f>IFERROR(INDEX('Green_rooibos initial weight'!$C$5:$C$2000,MATCH(H455, 'Green_rooibos initial weight'!$A$5:$A$2000,0)),"")</f>
        <v>1.9930000000000001</v>
      </c>
      <c r="K455">
        <f>IFERROR(INDEX('Green_rooibos initial weight'!$C$5:$C$2000,MATCH(I455, 'Green_rooibos initial weight'!$A$5:$A$2000,0)),"")</f>
        <v>2.21</v>
      </c>
      <c r="L455" s="194">
        <f t="shared" si="46"/>
        <v>1.7432000000000001</v>
      </c>
      <c r="M455" s="233">
        <f>AVERAGE(Ashed_controlls!$K$1:$K$11)</f>
        <v>5.5147656768714146</v>
      </c>
      <c r="N455" s="194">
        <f t="shared" si="45"/>
        <v>1.9601999999999999</v>
      </c>
      <c r="O455" s="376">
        <f>IF('Dry_Litterbag Placem_Collection'!G162="","",'Dry_Litterbag Placem_Collection'!G162)</f>
        <v>43010</v>
      </c>
      <c r="P455" s="194">
        <f>IFERROR(INDEX('Both teabags AfterDry'!$D$3:$D$2000,MATCH(H455,'Both teabags AfterDry'!$A$3:$A$2000,0)),"")</f>
        <v>1.2042999999999999</v>
      </c>
      <c r="Q455" s="194">
        <f>IFERROR(INDEX('Both teabags AfterDry'!$D$3:$D$2000,MATCH(I455,'Both teabags AfterDry'!$A$3:$A$2000,0)),"")</f>
        <v>1.9824999999999999</v>
      </c>
      <c r="R455" s="194">
        <f t="shared" si="47"/>
        <v>1.0536999999999999</v>
      </c>
      <c r="S455" s="194">
        <f t="shared" si="47"/>
        <v>1.8318999999999999</v>
      </c>
      <c r="T455" s="194">
        <f t="shared" si="48"/>
        <v>0.39553694355208824</v>
      </c>
      <c r="U455" s="194">
        <f t="shared" si="49"/>
        <v>0.25930687985837614</v>
      </c>
      <c r="V455" s="194">
        <f t="shared" si="50"/>
        <v>0.93454749515355573</v>
      </c>
      <c r="W455">
        <f t="shared" si="51"/>
        <v>71</v>
      </c>
      <c r="X455" s="194">
        <f t="shared" si="52"/>
        <v>0.53024115967685481</v>
      </c>
      <c r="Y455" s="194">
        <f t="shared" si="53"/>
        <v>4.0972534042167941E-3</v>
      </c>
      <c r="Z455" s="245" t="str">
        <f>IF(ISNUMBER(SEARCH("C", 'Dry_Litterbag Placem_Collection'!$V162)),"YES","NO")</f>
        <v>NO</v>
      </c>
      <c r="AA455" s="245" t="str">
        <f>IF(ISNUMBER(SEARCH("H", 'Dry_Litterbag Placem_Collection'!$V162)),"YES","NO")</f>
        <v>NO</v>
      </c>
      <c r="AB455" s="245" t="str">
        <f>IF(ISNUMBER(SEARCH("R", 'Dry_Litterbag Placem_Collection'!$V162)),"YES","NO")</f>
        <v>NO</v>
      </c>
      <c r="AC455" s="245" t="str">
        <f>IF(ISNUMBER(SEARCH("C", 'Dry_Litterbag Placem_Collection'!$U162)),"YES","NO")</f>
        <v>NO</v>
      </c>
      <c r="AD455" s="245" t="str">
        <f>IF(ISNUMBER(SEARCH("H", 'Dry_Litterbag Placem_Collection'!$U162)),"YES","NO")</f>
        <v>NO</v>
      </c>
      <c r="AE455" s="245" t="str">
        <f>IF(ISNUMBER(SEARCH("R", 'Dry_Litterbag Placem_Collection'!$U162)),"YES","NO")</f>
        <v>NO</v>
      </c>
    </row>
    <row r="456" spans="2:31">
      <c r="B456" t="str">
        <f>Dryseason!B602</f>
        <v>Dry</v>
      </c>
      <c r="C456" s="253">
        <f>Dryseason!C602</f>
        <v>161</v>
      </c>
      <c r="D456" t="s">
        <v>3126</v>
      </c>
      <c r="E456" t="s">
        <v>25</v>
      </c>
      <c r="F456" s="374">
        <v>1</v>
      </c>
      <c r="G456" s="376">
        <f>IF('Dry_Litterbag Placem_Collection'!E163="","",'Dry_Litterbag Placem_Collection'!E163)</f>
        <v>42940</v>
      </c>
      <c r="H456" s="92" t="str">
        <f>Dryseason!L602</f>
        <v>G207</v>
      </c>
      <c r="I456" t="str">
        <f>Dryseason!L822</f>
        <v>R314</v>
      </c>
      <c r="J456">
        <f>IFERROR(INDEX('Green_rooibos initial weight'!$C$5:$C$2000,MATCH(H456, 'Green_rooibos initial weight'!$A$5:$A$2000,0)),"")</f>
        <v>2.1539999999999999</v>
      </c>
      <c r="K456">
        <f>IFERROR(INDEX('Green_rooibos initial weight'!$C$5:$C$2000,MATCH(I456, 'Green_rooibos initial weight'!$A$5:$A$2000,0)),"")</f>
        <v>2.17</v>
      </c>
      <c r="L456" s="194">
        <f t="shared" si="46"/>
        <v>1.9041999999999999</v>
      </c>
      <c r="M456" s="233">
        <f>AVERAGE(Ashed_controlls!$K$1:$K$11)</f>
        <v>5.5147656768714146</v>
      </c>
      <c r="N456" s="194">
        <f t="shared" si="45"/>
        <v>1.9201999999999999</v>
      </c>
      <c r="O456" s="376">
        <f>IF('Dry_Litterbag Placem_Collection'!G163="","",'Dry_Litterbag Placem_Collection'!G163)</f>
        <v>43009</v>
      </c>
      <c r="P456" s="194">
        <f>IFERROR(INDEX('Both teabags AfterDry'!$D$3:$D$2000,MATCH(H456,'Both teabags AfterDry'!$A$3:$A$2000,0)),"")</f>
        <v>0.76570000000000005</v>
      </c>
      <c r="Q456" s="194">
        <f>IFERROR(INDEX('Both teabags AfterDry'!$D$3:$D$2000,MATCH(I456,'Both teabags AfterDry'!$A$3:$A$2000,0)),"")</f>
        <v>1.7397</v>
      </c>
      <c r="R456" s="194">
        <f t="shared" si="47"/>
        <v>0.61509999999999998</v>
      </c>
      <c r="S456" s="194">
        <f t="shared" si="47"/>
        <v>1.5891</v>
      </c>
      <c r="T456" s="194">
        <f t="shared" si="48"/>
        <v>0.67697720827644159</v>
      </c>
      <c r="U456" s="194">
        <f t="shared" si="49"/>
        <v>0.44381403677980502</v>
      </c>
      <c r="V456" s="194">
        <f t="shared" si="50"/>
        <v>0.82757004478700136</v>
      </c>
      <c r="W456">
        <f t="shared" si="51"/>
        <v>69</v>
      </c>
      <c r="X456" s="194">
        <f t="shared" si="52"/>
        <v>0.19598906380470116</v>
      </c>
      <c r="Y456" s="194">
        <f t="shared" si="53"/>
        <v>7.1285586372014428E-3</v>
      </c>
      <c r="Z456" s="245" t="str">
        <f>IF(ISNUMBER(SEARCH("C", 'Dry_Litterbag Placem_Collection'!$V163)),"YES","NO")</f>
        <v>NO</v>
      </c>
      <c r="AA456" s="245" t="str">
        <f>IF(ISNUMBER(SEARCH("H", 'Dry_Litterbag Placem_Collection'!$V163)),"YES","NO")</f>
        <v>NO</v>
      </c>
      <c r="AB456" s="245" t="str">
        <f>IF(ISNUMBER(SEARCH("R", 'Dry_Litterbag Placem_Collection'!$V163)),"YES","NO")</f>
        <v>NO</v>
      </c>
      <c r="AC456" s="245" t="str">
        <f>IF(ISNUMBER(SEARCH("C", 'Dry_Litterbag Placem_Collection'!$U163)),"YES","NO")</f>
        <v>NO</v>
      </c>
      <c r="AD456" s="245" t="str">
        <f>IF(ISNUMBER(SEARCH("H", 'Dry_Litterbag Placem_Collection'!$U163)),"YES","NO")</f>
        <v>NO</v>
      </c>
      <c r="AE456" s="245" t="str">
        <f>IF(ISNUMBER(SEARCH("R", 'Dry_Litterbag Placem_Collection'!$U163)),"YES","NO")</f>
        <v>NO</v>
      </c>
    </row>
    <row r="457" spans="2:31">
      <c r="B457" t="str">
        <f>Dryseason!B603</f>
        <v>Dry</v>
      </c>
      <c r="C457" s="253">
        <f>Dryseason!C603</f>
        <v>162</v>
      </c>
      <c r="D457" t="s">
        <v>3126</v>
      </c>
      <c r="E457" t="s">
        <v>25</v>
      </c>
      <c r="F457" s="374">
        <v>2</v>
      </c>
      <c r="G457" s="376">
        <f>IF('Dry_Litterbag Placem_Collection'!E164="","",'Dry_Litterbag Placem_Collection'!E164)</f>
        <v>42940</v>
      </c>
      <c r="H457" s="92" t="str">
        <f>Dryseason!L603</f>
        <v>G580</v>
      </c>
      <c r="I457" t="str">
        <f>Dryseason!L823</f>
        <v>R425</v>
      </c>
      <c r="J457">
        <f>IFERROR(INDEX('Green_rooibos initial weight'!$C$5:$C$2000,MATCH(H457, 'Green_rooibos initial weight'!$A$5:$A$2000,0)),"")</f>
        <v>2.1440000000000001</v>
      </c>
      <c r="K457">
        <f>IFERROR(INDEX('Green_rooibos initial weight'!$C$5:$C$2000,MATCH(I457, 'Green_rooibos initial weight'!$A$5:$A$2000,0)),"")</f>
        <v>2.25</v>
      </c>
      <c r="L457" s="194">
        <f t="shared" si="46"/>
        <v>1.8942000000000001</v>
      </c>
      <c r="M457" s="233">
        <f>AVERAGE(Ashed_controlls!$K$1:$K$11)</f>
        <v>5.5147656768714146</v>
      </c>
      <c r="N457" s="194">
        <f t="shared" si="45"/>
        <v>2.0002</v>
      </c>
      <c r="O457" s="376">
        <f>IF('Dry_Litterbag Placem_Collection'!G164="","",'Dry_Litterbag Placem_Collection'!G164)</f>
        <v>43009</v>
      </c>
      <c r="P457" s="194">
        <f>IFERROR(INDEX('Both teabags AfterDry'!$D$3:$D$2000,MATCH(H457,'Both teabags AfterDry'!$A$3:$A$2000,0)),"")</f>
        <v>0.84409999999999996</v>
      </c>
      <c r="Q457" s="194">
        <f>IFERROR(INDEX('Both teabags AfterDry'!$D$3:$D$2000,MATCH(I457,'Both teabags AfterDry'!$A$3:$A$2000,0)),"")</f>
        <v>1.8856999999999999</v>
      </c>
      <c r="R457" s="194">
        <f t="shared" si="47"/>
        <v>0.69350000000000001</v>
      </c>
      <c r="S457" s="194">
        <f t="shared" si="47"/>
        <v>1.7350999999999999</v>
      </c>
      <c r="T457" s="194">
        <f t="shared" si="48"/>
        <v>0.63388237778481682</v>
      </c>
      <c r="U457" s="194">
        <f t="shared" si="49"/>
        <v>0.41556184386843104</v>
      </c>
      <c r="V457" s="194">
        <f t="shared" si="50"/>
        <v>0.86746325367463251</v>
      </c>
      <c r="W457">
        <f t="shared" si="51"/>
        <v>69</v>
      </c>
      <c r="X457" s="194">
        <f t="shared" si="52"/>
        <v>0.24717057270211773</v>
      </c>
      <c r="Y457" s="194">
        <f t="shared" si="53"/>
        <v>5.5666067775764225E-3</v>
      </c>
      <c r="Z457" s="245" t="str">
        <f>IF(ISNUMBER(SEARCH("C", 'Dry_Litterbag Placem_Collection'!$V164)),"YES","NO")</f>
        <v>NO</v>
      </c>
      <c r="AA457" s="245" t="str">
        <f>IF(ISNUMBER(SEARCH("H", 'Dry_Litterbag Placem_Collection'!$V164)),"YES","NO")</f>
        <v>NO</v>
      </c>
      <c r="AB457" s="245" t="str">
        <f>IF(ISNUMBER(SEARCH("R", 'Dry_Litterbag Placem_Collection'!$V164)),"YES","NO")</f>
        <v>NO</v>
      </c>
      <c r="AC457" s="245" t="str">
        <f>IF(ISNUMBER(SEARCH("C", 'Dry_Litterbag Placem_Collection'!$U164)),"YES","NO")</f>
        <v>NO</v>
      </c>
      <c r="AD457" s="245" t="str">
        <f>IF(ISNUMBER(SEARCH("H", 'Dry_Litterbag Placem_Collection'!$U164)),"YES","NO")</f>
        <v>NO</v>
      </c>
      <c r="AE457" s="245" t="str">
        <f>IF(ISNUMBER(SEARCH("R", 'Dry_Litterbag Placem_Collection'!$U164)),"YES","NO")</f>
        <v>NO</v>
      </c>
    </row>
    <row r="458" spans="2:31">
      <c r="B458" t="str">
        <f>Dryseason!B604</f>
        <v>Dry</v>
      </c>
      <c r="C458" s="253">
        <f>Dryseason!C604</f>
        <v>163</v>
      </c>
      <c r="D458" t="s">
        <v>3126</v>
      </c>
      <c r="E458" t="s">
        <v>25</v>
      </c>
      <c r="F458" s="374">
        <v>3</v>
      </c>
      <c r="G458" s="376">
        <f>IF('Dry_Litterbag Placem_Collection'!E165="","",'Dry_Litterbag Placem_Collection'!E165)</f>
        <v>42940</v>
      </c>
      <c r="H458" s="92" t="str">
        <f>Dryseason!L604</f>
        <v>G722</v>
      </c>
      <c r="I458" t="str">
        <f>Dryseason!L824</f>
        <v>R267</v>
      </c>
      <c r="J458">
        <f>IFERROR(INDEX('Green_rooibos initial weight'!$C$5:$C$2000,MATCH(H458, 'Green_rooibos initial weight'!$A$5:$A$2000,0)),"")</f>
        <v>2.0790000000000002</v>
      </c>
      <c r="K458">
        <f>IFERROR(INDEX('Green_rooibos initial weight'!$C$5:$C$2000,MATCH(I458, 'Green_rooibos initial weight'!$A$5:$A$2000,0)),"")</f>
        <v>2.1930000000000001</v>
      </c>
      <c r="L458" s="194">
        <f t="shared" si="46"/>
        <v>1.8292000000000002</v>
      </c>
      <c r="M458" s="233">
        <f>AVERAGE(Ashed_controlls!$K$1:$K$11)</f>
        <v>5.5147656768714146</v>
      </c>
      <c r="N458" s="194">
        <f t="shared" si="45"/>
        <v>1.9432</v>
      </c>
      <c r="O458" s="376">
        <f>IF('Dry_Litterbag Placem_Collection'!G165="","",'Dry_Litterbag Placem_Collection'!G165)</f>
        <v>43009</v>
      </c>
      <c r="P458" s="194">
        <f>IFERROR(INDEX('Both teabags AfterDry'!$D$3:$D$2000,MATCH(H458,'Both teabags AfterDry'!$A$3:$A$2000,0)),"")</f>
        <v>0.86109999999999998</v>
      </c>
      <c r="Q458" s="194">
        <f>IFERROR(INDEX('Both teabags AfterDry'!$D$3:$D$2000,MATCH(I458,'Both teabags AfterDry'!$A$3:$A$2000,0)),"")</f>
        <v>1.7754000000000001</v>
      </c>
      <c r="R458" s="194">
        <f t="shared" si="47"/>
        <v>0.71049999999999991</v>
      </c>
      <c r="S458" s="194">
        <f t="shared" si="47"/>
        <v>1.6248</v>
      </c>
      <c r="T458" s="194">
        <f t="shared" si="48"/>
        <v>0.61157883227640508</v>
      </c>
      <c r="U458" s="194">
        <f t="shared" si="49"/>
        <v>0.40094004206244138</v>
      </c>
      <c r="V458" s="194">
        <f t="shared" si="50"/>
        <v>0.83614656237134621</v>
      </c>
      <c r="W458">
        <f t="shared" si="51"/>
        <v>69</v>
      </c>
      <c r="X458" s="194">
        <f t="shared" si="52"/>
        <v>0.27365934408978021</v>
      </c>
      <c r="Y458" s="194">
        <f t="shared" si="53"/>
        <v>7.6142956688170556E-3</v>
      </c>
      <c r="Z458" s="245" t="str">
        <f>IF(ISNUMBER(SEARCH("C", 'Dry_Litterbag Placem_Collection'!$V165)),"YES","NO")</f>
        <v>NO</v>
      </c>
      <c r="AA458" s="245" t="str">
        <f>IF(ISNUMBER(SEARCH("H", 'Dry_Litterbag Placem_Collection'!$V165)),"YES","NO")</f>
        <v>NO</v>
      </c>
      <c r="AB458" s="245" t="str">
        <f>IF(ISNUMBER(SEARCH("R", 'Dry_Litterbag Placem_Collection'!$V165)),"YES","NO")</f>
        <v>NO</v>
      </c>
      <c r="AC458" s="245" t="str">
        <f>IF(ISNUMBER(SEARCH("C", 'Dry_Litterbag Placem_Collection'!$U165)),"YES","NO")</f>
        <v>NO</v>
      </c>
      <c r="AD458" s="245" t="str">
        <f>IF(ISNUMBER(SEARCH("H", 'Dry_Litterbag Placem_Collection'!$U165)),"YES","NO")</f>
        <v>NO</v>
      </c>
      <c r="AE458" s="245" t="str">
        <f>IF(ISNUMBER(SEARCH("R", 'Dry_Litterbag Placem_Collection'!$U165)),"YES","NO")</f>
        <v>NO</v>
      </c>
    </row>
    <row r="459" spans="2:31">
      <c r="B459" t="str">
        <f>Dryseason!B605</f>
        <v>Dry</v>
      </c>
      <c r="C459" s="253">
        <f>Dryseason!C605</f>
        <v>164</v>
      </c>
      <c r="D459" t="s">
        <v>3126</v>
      </c>
      <c r="E459" t="s">
        <v>25</v>
      </c>
      <c r="F459" s="375">
        <v>4</v>
      </c>
      <c r="G459" s="376">
        <f>IF('Dry_Litterbag Placem_Collection'!E166="","",'Dry_Litterbag Placem_Collection'!E166)</f>
        <v>42940</v>
      </c>
      <c r="H459" s="92" t="str">
        <f>Dryseason!L605</f>
        <v>G239</v>
      </c>
      <c r="I459" t="str">
        <f>Dryseason!L825</f>
        <v>R211</v>
      </c>
      <c r="J459">
        <f>IFERROR(INDEX('Green_rooibos initial weight'!$C$5:$C$2000,MATCH(H459, 'Green_rooibos initial weight'!$A$5:$A$2000,0)),"")</f>
        <v>2.1019999999999999</v>
      </c>
      <c r="K459">
        <f>IFERROR(INDEX('Green_rooibos initial weight'!$C$5:$C$2000,MATCH(I459, 'Green_rooibos initial weight'!$A$5:$A$2000,0)),"")</f>
        <v>2.2389999999999999</v>
      </c>
      <c r="L459" s="194">
        <f t="shared" si="46"/>
        <v>1.8521999999999998</v>
      </c>
      <c r="M459" s="233">
        <f>AVERAGE(Ashed_controlls!$K$1:$K$11)</f>
        <v>5.5147656768714146</v>
      </c>
      <c r="N459" s="194">
        <f t="shared" si="45"/>
        <v>1.9891999999999999</v>
      </c>
      <c r="O459" s="376">
        <f>IF('Dry_Litterbag Placem_Collection'!G166="","",'Dry_Litterbag Placem_Collection'!G166)</f>
        <v>43009</v>
      </c>
      <c r="P459" s="194">
        <f>IFERROR(INDEX('Both teabags AfterDry'!$D$3:$D$2000,MATCH(H459,'Both teabags AfterDry'!$A$3:$A$2000,0)),"")</f>
        <v>0.73950000000000005</v>
      </c>
      <c r="Q459" s="194">
        <f>IFERROR(INDEX('Both teabags AfterDry'!$D$3:$D$2000,MATCH(I459,'Both teabags AfterDry'!$A$3:$A$2000,0)),"")</f>
        <v>1.7732000000000001</v>
      </c>
      <c r="R459" s="194">
        <f t="shared" si="47"/>
        <v>0.58889999999999998</v>
      </c>
      <c r="S459" s="194">
        <f t="shared" si="47"/>
        <v>1.6226</v>
      </c>
      <c r="T459" s="194">
        <f t="shared" si="48"/>
        <v>0.68205377389050859</v>
      </c>
      <c r="U459" s="194">
        <f t="shared" si="49"/>
        <v>0.44714214155292259</v>
      </c>
      <c r="V459" s="194">
        <f t="shared" si="50"/>
        <v>0.81570480595214168</v>
      </c>
      <c r="W459">
        <f t="shared" si="51"/>
        <v>69</v>
      </c>
      <c r="X459" s="194">
        <f t="shared" si="52"/>
        <v>0.18995988849108236</v>
      </c>
      <c r="Y459" s="194">
        <f t="shared" si="53"/>
        <v>7.7000669563297014E-3</v>
      </c>
      <c r="Z459" s="245" t="str">
        <f>IF(ISNUMBER(SEARCH("C", 'Dry_Litterbag Placem_Collection'!$V166)),"YES","NO")</f>
        <v>NO</v>
      </c>
      <c r="AA459" s="245" t="str">
        <f>IF(ISNUMBER(SEARCH("H", 'Dry_Litterbag Placem_Collection'!$V166)),"YES","NO")</f>
        <v>NO</v>
      </c>
      <c r="AB459" s="245" t="str">
        <f>IF(ISNUMBER(SEARCH("R", 'Dry_Litterbag Placem_Collection'!$V166)),"YES","NO")</f>
        <v>YES</v>
      </c>
      <c r="AC459" s="245" t="str">
        <f>IF(ISNUMBER(SEARCH("C", 'Dry_Litterbag Placem_Collection'!$U166)),"YES","NO")</f>
        <v>NO</v>
      </c>
      <c r="AD459" s="245" t="str">
        <f>IF(ISNUMBER(SEARCH("H", 'Dry_Litterbag Placem_Collection'!$U166)),"YES","NO")</f>
        <v>NO</v>
      </c>
      <c r="AE459" s="245" t="str">
        <f>IF(ISNUMBER(SEARCH("R", 'Dry_Litterbag Placem_Collection'!$U166)),"YES","NO")</f>
        <v>YES</v>
      </c>
    </row>
    <row r="460" spans="2:31">
      <c r="B460" t="str">
        <f>Dryseason!B606</f>
        <v>Dry</v>
      </c>
      <c r="C460" s="253">
        <f>Dryseason!C606</f>
        <v>165</v>
      </c>
      <c r="D460" t="s">
        <v>3126</v>
      </c>
      <c r="E460" t="s">
        <v>25</v>
      </c>
      <c r="F460" s="375">
        <v>5</v>
      </c>
      <c r="G460" s="376">
        <f>IF('Dry_Litterbag Placem_Collection'!E167="","",'Dry_Litterbag Placem_Collection'!E167)</f>
        <v>42940</v>
      </c>
      <c r="H460" s="92" t="str">
        <f>Dryseason!L606</f>
        <v>G343</v>
      </c>
      <c r="I460" t="str">
        <f>Dryseason!L826</f>
        <v>R310</v>
      </c>
      <c r="J460">
        <f>IFERROR(INDEX('Green_rooibos initial weight'!$C$5:$C$2000,MATCH(H460, 'Green_rooibos initial weight'!$A$5:$A$2000,0)),"")</f>
        <v>1.8340000000000001</v>
      </c>
      <c r="K460">
        <f>IFERROR(INDEX('Green_rooibos initial weight'!$C$5:$C$2000,MATCH(I460, 'Green_rooibos initial weight'!$A$5:$A$2000,0)),"")</f>
        <v>2.2170000000000001</v>
      </c>
      <c r="L460" s="194">
        <f t="shared" si="46"/>
        <v>1.5842000000000001</v>
      </c>
      <c r="M460" s="233">
        <f>AVERAGE(Ashed_controlls!$K$1:$K$11)</f>
        <v>5.5147656768714146</v>
      </c>
      <c r="N460" s="194">
        <f t="shared" ref="N460:N515" si="54">IFERROR(IF(K460&gt;0,(K460*$F$32-($F$29+$F$30)),""),"")</f>
        <v>1.9672000000000001</v>
      </c>
      <c r="O460" s="376">
        <f>IF('Dry_Litterbag Placem_Collection'!G167="","",'Dry_Litterbag Placem_Collection'!G167)</f>
        <v>43009</v>
      </c>
      <c r="P460" s="194">
        <f>IFERROR(INDEX('Both teabags AfterDry'!$D$3:$D$2000,MATCH(H460,'Both teabags AfterDry'!$A$3:$A$2000,0)),"")</f>
        <v>0.68059999999999998</v>
      </c>
      <c r="Q460" s="194">
        <f>IFERROR(INDEX('Both teabags AfterDry'!$D$3:$D$2000,MATCH(I460,'Both teabags AfterDry'!$A$3:$A$2000,0)),"")</f>
        <v>1.7559</v>
      </c>
      <c r="R460" s="194">
        <f t="shared" si="47"/>
        <v>0.53</v>
      </c>
      <c r="S460" s="194">
        <f t="shared" si="47"/>
        <v>1.6052999999999999</v>
      </c>
      <c r="T460" s="194">
        <f t="shared" si="48"/>
        <v>0.66544628203509659</v>
      </c>
      <c r="U460" s="194">
        <f t="shared" si="49"/>
        <v>0.43625456969521775</v>
      </c>
      <c r="V460" s="194">
        <f t="shared" si="50"/>
        <v>0.81603294021960138</v>
      </c>
      <c r="W460">
        <f t="shared" si="51"/>
        <v>69</v>
      </c>
      <c r="X460" s="194">
        <f t="shared" si="52"/>
        <v>0.20968375055214183</v>
      </c>
      <c r="Y460" s="194">
        <f t="shared" si="53"/>
        <v>7.9370521577088651E-3</v>
      </c>
      <c r="Z460" s="245" t="str">
        <f>IF(ISNUMBER(SEARCH("C", 'Dry_Litterbag Placem_Collection'!$V167)),"YES","NO")</f>
        <v>NO</v>
      </c>
      <c r="AA460" s="245" t="str">
        <f>IF(ISNUMBER(SEARCH("H", 'Dry_Litterbag Placem_Collection'!$V167)),"YES","NO")</f>
        <v>NO</v>
      </c>
      <c r="AB460" s="245" t="str">
        <f>IF(ISNUMBER(SEARCH("R", 'Dry_Litterbag Placem_Collection'!$V167)),"YES","NO")</f>
        <v>NO</v>
      </c>
      <c r="AC460" s="245" t="str">
        <f>IF(ISNUMBER(SEARCH("C", 'Dry_Litterbag Placem_Collection'!$U167)),"YES","NO")</f>
        <v>NO</v>
      </c>
      <c r="AD460" s="245" t="str">
        <f>IF(ISNUMBER(SEARCH("H", 'Dry_Litterbag Placem_Collection'!$U167)),"YES","NO")</f>
        <v>NO</v>
      </c>
      <c r="AE460" s="245" t="str">
        <f>IF(ISNUMBER(SEARCH("R", 'Dry_Litterbag Placem_Collection'!$U167)),"YES","NO")</f>
        <v>NO</v>
      </c>
    </row>
    <row r="461" spans="2:31">
      <c r="B461" t="str">
        <f>Dryseason!B607</f>
        <v>Dry</v>
      </c>
      <c r="C461" s="253">
        <f>Dryseason!C607</f>
        <v>166</v>
      </c>
      <c r="D461" t="s">
        <v>3126</v>
      </c>
      <c r="E461" t="s">
        <v>25</v>
      </c>
      <c r="F461" s="375">
        <v>6</v>
      </c>
      <c r="G461" s="376">
        <f>IF('Dry_Litterbag Placem_Collection'!E168="","",'Dry_Litterbag Placem_Collection'!E168)</f>
        <v>42940</v>
      </c>
      <c r="H461" s="92" t="str">
        <f>Dryseason!L607</f>
        <v>G409</v>
      </c>
      <c r="I461" t="str">
        <f>Dryseason!L827</f>
        <v>R269</v>
      </c>
      <c r="J461">
        <f>IFERROR(INDEX('Green_rooibos initial weight'!$C$5:$C$2000,MATCH(H461, 'Green_rooibos initial weight'!$A$5:$A$2000,0)),"")</f>
        <v>1.968</v>
      </c>
      <c r="K461">
        <f>IFERROR(INDEX('Green_rooibos initial weight'!$C$5:$C$2000,MATCH(I461, 'Green_rooibos initial weight'!$A$5:$A$2000,0)),"")</f>
        <v>2.278</v>
      </c>
      <c r="L461" s="194">
        <f t="shared" ref="L461:L515" si="55">IFERROR(IF(J461&gt;0,(J461*$F$31-($F$29+$F$30)),""),"")</f>
        <v>1.7181999999999999</v>
      </c>
      <c r="M461" s="233">
        <f>AVERAGE(Ashed_controlls!$K$1:$K$11)</f>
        <v>5.5147656768714146</v>
      </c>
      <c r="N461" s="194">
        <f t="shared" si="54"/>
        <v>2.0282</v>
      </c>
      <c r="O461" s="376">
        <f>IF('Dry_Litterbag Placem_Collection'!G168="","",'Dry_Litterbag Placem_Collection'!G168)</f>
        <v>43009</v>
      </c>
      <c r="P461" s="194">
        <f>IFERROR(INDEX('Both teabags AfterDry'!$D$3:$D$2000,MATCH(H461,'Both teabags AfterDry'!$A$3:$A$2000,0)),"")</f>
        <v>0.77039999999999997</v>
      </c>
      <c r="Q461" s="194">
        <f>IFERROR(INDEX('Both teabags AfterDry'!$D$3:$D$2000,MATCH(I461,'Both teabags AfterDry'!$A$3:$A$2000,0)),"")</f>
        <v>1.8042</v>
      </c>
      <c r="R461" s="194">
        <f t="shared" ref="R461:S515" si="56">IFERROR(IF(P461&gt;0,P461-($F$29),""),"")</f>
        <v>0.61979999999999991</v>
      </c>
      <c r="S461" s="194">
        <f t="shared" si="56"/>
        <v>1.6536</v>
      </c>
      <c r="T461" s="194">
        <f t="shared" ref="T461:T515" si="57">IFERROR(1-R461/L461,"")</f>
        <v>0.63927365847980444</v>
      </c>
      <c r="U461" s="194">
        <f t="shared" ref="U461:U515" si="58">IFERROR($F$26*(1-X461),"")</f>
        <v>0.41909627016728279</v>
      </c>
      <c r="V461" s="194">
        <f t="shared" ref="V461:V515" si="59">IFERROR(S461/N461,"")</f>
        <v>0.81530421063011538</v>
      </c>
      <c r="W461">
        <f t="shared" ref="W461:W515" si="60">IFERROR(IF((O461-G461)&gt;0,(IFERROR(O461-G461,"")),""),"")</f>
        <v>69</v>
      </c>
      <c r="X461" s="194">
        <f t="shared" ref="X461:X515" si="61">IFERROR(1-(T461/$F$25),"")</f>
        <v>0.24076762650854577</v>
      </c>
      <c r="Y461" s="194">
        <f t="shared" ref="Y461:Y515" si="62">IFERROR(LN(U461/(V461-(1-U461)))/W461,"")</f>
        <v>8.4212977736596792E-3</v>
      </c>
      <c r="Z461" s="245" t="str">
        <f>IF(ISNUMBER(SEARCH("C", 'Dry_Litterbag Placem_Collection'!$V168)),"YES","NO")</f>
        <v>NO</v>
      </c>
      <c r="AA461" s="245" t="str">
        <f>IF(ISNUMBER(SEARCH("H", 'Dry_Litterbag Placem_Collection'!$V168)),"YES","NO")</f>
        <v>NO</v>
      </c>
      <c r="AB461" s="245" t="str">
        <f>IF(ISNUMBER(SEARCH("R", 'Dry_Litterbag Placem_Collection'!$V168)),"YES","NO")</f>
        <v>NO</v>
      </c>
      <c r="AC461" s="245" t="str">
        <f>IF(ISNUMBER(SEARCH("C", 'Dry_Litterbag Placem_Collection'!$U168)),"YES","NO")</f>
        <v>NO</v>
      </c>
      <c r="AD461" s="245" t="str">
        <f>IF(ISNUMBER(SEARCH("H", 'Dry_Litterbag Placem_Collection'!$U168)),"YES","NO")</f>
        <v>NO</v>
      </c>
      <c r="AE461" s="245" t="str">
        <f>IF(ISNUMBER(SEARCH("R", 'Dry_Litterbag Placem_Collection'!$U168)),"YES","NO")</f>
        <v>NO</v>
      </c>
    </row>
    <row r="462" spans="2:31">
      <c r="B462" t="str">
        <f>Dryseason!B608</f>
        <v>Dry</v>
      </c>
      <c r="C462" s="253">
        <f>Dryseason!C608</f>
        <v>167</v>
      </c>
      <c r="D462" t="s">
        <v>3126</v>
      </c>
      <c r="E462" t="s">
        <v>25</v>
      </c>
      <c r="F462" s="375">
        <v>7</v>
      </c>
      <c r="G462" s="376" t="str">
        <f>IF('Dry_Litterbag Placem_Collection'!E169="","",'Dry_Litterbag Placem_Collection'!E169)</f>
        <v/>
      </c>
      <c r="H462" s="92" t="str">
        <f>Dryseason!L608</f>
        <v/>
      </c>
      <c r="I462" t="str">
        <f>Dryseason!L828</f>
        <v/>
      </c>
      <c r="J462" t="str">
        <f>IFERROR(INDEX('Green_rooibos initial weight'!$C$5:$C$2000,MATCH(H462, 'Green_rooibos initial weight'!$A$5:$A$2000,0)),"")</f>
        <v/>
      </c>
      <c r="K462" t="str">
        <f>IFERROR(INDEX('Green_rooibos initial weight'!$C$5:$C$2000,MATCH(I462, 'Green_rooibos initial weight'!$A$5:$A$2000,0)),"")</f>
        <v/>
      </c>
      <c r="L462" s="194" t="str">
        <f t="shared" si="55"/>
        <v/>
      </c>
      <c r="M462" s="233">
        <f>AVERAGE(Ashed_controlls!$K$1:$K$11)</f>
        <v>5.5147656768714146</v>
      </c>
      <c r="N462" s="194" t="str">
        <f t="shared" si="54"/>
        <v/>
      </c>
      <c r="O462" s="376" t="str">
        <f>IF('Dry_Litterbag Placem_Collection'!G169="","",'Dry_Litterbag Placem_Collection'!G169)</f>
        <v/>
      </c>
      <c r="P462" s="194" t="str">
        <f>IFERROR(INDEX('Both teabags AfterDry'!$D$3:$D$2000,MATCH(H462,'Both teabags AfterDry'!$A$3:$A$2000,0)),"")</f>
        <v/>
      </c>
      <c r="Q462" s="194" t="str">
        <f>IFERROR(INDEX('Both teabags AfterDry'!$D$3:$D$2000,MATCH(I462,'Both teabags AfterDry'!$A$3:$A$2000,0)),"")</f>
        <v/>
      </c>
      <c r="R462" s="194" t="str">
        <f t="shared" si="56"/>
        <v/>
      </c>
      <c r="S462" s="194" t="str">
        <f t="shared" si="56"/>
        <v/>
      </c>
      <c r="T462" s="194" t="str">
        <f t="shared" si="57"/>
        <v/>
      </c>
      <c r="U462" s="194" t="str">
        <f t="shared" si="58"/>
        <v/>
      </c>
      <c r="V462" s="194" t="str">
        <f t="shared" si="59"/>
        <v/>
      </c>
      <c r="W462" t="str">
        <f t="shared" si="60"/>
        <v/>
      </c>
      <c r="X462" s="194" t="str">
        <f t="shared" si="61"/>
        <v/>
      </c>
      <c r="Y462" s="194" t="str">
        <f t="shared" si="62"/>
        <v/>
      </c>
      <c r="Z462" s="245" t="str">
        <f>IF(ISNUMBER(SEARCH("C", 'Dry_Litterbag Placem_Collection'!$V169)),"YES","NO")</f>
        <v>NO</v>
      </c>
      <c r="AA462" s="245" t="str">
        <f>IF(ISNUMBER(SEARCH("H", 'Dry_Litterbag Placem_Collection'!$V169)),"YES","NO")</f>
        <v>NO</v>
      </c>
      <c r="AB462" s="245" t="str">
        <f>IF(ISNUMBER(SEARCH("R", 'Dry_Litterbag Placem_Collection'!$V169)),"YES","NO")</f>
        <v>NO</v>
      </c>
      <c r="AC462" s="245" t="str">
        <f>IF(ISNUMBER(SEARCH("C", 'Dry_Litterbag Placem_Collection'!$U169)),"YES","NO")</f>
        <v>NO</v>
      </c>
      <c r="AD462" s="245" t="str">
        <f>IF(ISNUMBER(SEARCH("H", 'Dry_Litterbag Placem_Collection'!$U169)),"YES","NO")</f>
        <v>NO</v>
      </c>
      <c r="AE462" s="245" t="str">
        <f>IF(ISNUMBER(SEARCH("R", 'Dry_Litterbag Placem_Collection'!$U169)),"YES","NO")</f>
        <v>NO</v>
      </c>
    </row>
    <row r="463" spans="2:31">
      <c r="B463" t="str">
        <f>Dryseason!B609</f>
        <v>Dry</v>
      </c>
      <c r="C463" s="253">
        <f>Dryseason!C609</f>
        <v>168</v>
      </c>
      <c r="D463" t="s">
        <v>3126</v>
      </c>
      <c r="E463" t="s">
        <v>25</v>
      </c>
      <c r="F463" s="375">
        <v>8</v>
      </c>
      <c r="G463" s="376">
        <f>IF('Dry_Litterbag Placem_Collection'!E170="","",'Dry_Litterbag Placem_Collection'!E170)</f>
        <v>42940</v>
      </c>
      <c r="H463" s="92" t="str">
        <f>Dryseason!L609</f>
        <v>G304</v>
      </c>
      <c r="I463" t="str">
        <f>Dryseason!L829</f>
        <v>R413</v>
      </c>
      <c r="J463">
        <f>IFERROR(INDEX('Green_rooibos initial weight'!$C$5:$C$2000,MATCH(H463, 'Green_rooibos initial weight'!$A$5:$A$2000,0)),"")</f>
        <v>1.9490000000000001</v>
      </c>
      <c r="K463">
        <f>IFERROR(INDEX('Green_rooibos initial weight'!$C$5:$C$2000,MATCH(I463, 'Green_rooibos initial weight'!$A$5:$A$2000,0)),"")</f>
        <v>2.214</v>
      </c>
      <c r="L463" s="194">
        <f t="shared" si="55"/>
        <v>1.6992</v>
      </c>
      <c r="M463" s="233">
        <f>AVERAGE(Ashed_controlls!$K$1:$K$11)</f>
        <v>5.5147656768714146</v>
      </c>
      <c r="N463" s="194">
        <f t="shared" si="54"/>
        <v>1.9641999999999999</v>
      </c>
      <c r="O463" s="376">
        <f>IF('Dry_Litterbag Placem_Collection'!G170="","",'Dry_Litterbag Placem_Collection'!G170)</f>
        <v>43009</v>
      </c>
      <c r="P463" s="194" t="str">
        <f>IFERROR(INDEX('Both teabags AfterDry'!$D$3:$D$2000,MATCH(H463,'Both teabags AfterDry'!$A$3:$A$2000,0)),"")</f>
        <v/>
      </c>
      <c r="Q463" s="194" t="str">
        <f>IFERROR(INDEX('Both teabags AfterDry'!$D$3:$D$2000,MATCH(I463,'Both teabags AfterDry'!$A$3:$A$2000,0)),"")</f>
        <v/>
      </c>
      <c r="R463" s="194" t="str">
        <f t="shared" si="56"/>
        <v/>
      </c>
      <c r="S463" s="194" t="str">
        <f t="shared" si="56"/>
        <v/>
      </c>
      <c r="T463" s="194" t="str">
        <f t="shared" si="57"/>
        <v/>
      </c>
      <c r="U463" s="194" t="str">
        <f t="shared" si="58"/>
        <v/>
      </c>
      <c r="V463" s="194" t="str">
        <f t="shared" si="59"/>
        <v/>
      </c>
      <c r="W463">
        <f t="shared" si="60"/>
        <v>69</v>
      </c>
      <c r="X463" s="194" t="str">
        <f t="shared" si="61"/>
        <v/>
      </c>
      <c r="Y463" s="194" t="str">
        <f t="shared" si="62"/>
        <v/>
      </c>
      <c r="Z463" s="245" t="str">
        <f>IF(ISNUMBER(SEARCH("C", 'Dry_Litterbag Placem_Collection'!$V170)),"YES","NO")</f>
        <v>NO</v>
      </c>
      <c r="AA463" s="245" t="str">
        <f>IF(ISNUMBER(SEARCH("H", 'Dry_Litterbag Placem_Collection'!$V170)),"YES","NO")</f>
        <v>NO</v>
      </c>
      <c r="AB463" s="245" t="str">
        <f>IF(ISNUMBER(SEARCH("R", 'Dry_Litterbag Placem_Collection'!$V170)),"YES","NO")</f>
        <v>YES</v>
      </c>
      <c r="AC463" s="245" t="str">
        <f>IF(ISNUMBER(SEARCH("C", 'Dry_Litterbag Placem_Collection'!$U170)),"YES","NO")</f>
        <v>NO</v>
      </c>
      <c r="AD463" s="245" t="str">
        <f>IF(ISNUMBER(SEARCH("H", 'Dry_Litterbag Placem_Collection'!$U170)),"YES","NO")</f>
        <v>NO</v>
      </c>
      <c r="AE463" s="245" t="str">
        <f>IF(ISNUMBER(SEARCH("R", 'Dry_Litterbag Placem_Collection'!$U170)),"YES","NO")</f>
        <v>NO</v>
      </c>
    </row>
    <row r="464" spans="2:31">
      <c r="B464" t="str">
        <f>Dryseason!B610</f>
        <v>Dry</v>
      </c>
      <c r="C464" s="253">
        <f>Dryseason!C610</f>
        <v>169</v>
      </c>
      <c r="D464" t="s">
        <v>3128</v>
      </c>
      <c r="E464" t="s">
        <v>25</v>
      </c>
      <c r="F464" s="374">
        <v>1</v>
      </c>
      <c r="G464" s="376">
        <f>IF('Dry_Litterbag Placem_Collection'!E171="","",'Dry_Litterbag Placem_Collection'!E171)</f>
        <v>42940</v>
      </c>
      <c r="H464" s="92" t="str">
        <f>Dryseason!L610</f>
        <v>G135</v>
      </c>
      <c r="I464" t="str">
        <f>Dryseason!L830</f>
        <v>R80</v>
      </c>
      <c r="J464">
        <f>IFERROR(INDEX('Green_rooibos initial weight'!$C$5:$C$2000,MATCH(H464, 'Green_rooibos initial weight'!$A$5:$A$2000,0)),"")</f>
        <v>2.0049999999999999</v>
      </c>
      <c r="K464">
        <f>IFERROR(INDEX('Green_rooibos initial weight'!$C$5:$C$2000,MATCH(I464, 'Green_rooibos initial weight'!$A$5:$A$2000,0)),"")</f>
        <v>2.177</v>
      </c>
      <c r="L464" s="194">
        <f t="shared" si="55"/>
        <v>1.7551999999999999</v>
      </c>
      <c r="M464" s="233">
        <f>AVERAGE(Ashed_controlls!$K$1:$K$11)</f>
        <v>5.5147656768714146</v>
      </c>
      <c r="N464" s="194">
        <f t="shared" si="54"/>
        <v>1.9272</v>
      </c>
      <c r="O464" s="376">
        <f>IF('Dry_Litterbag Placem_Collection'!G171="","",'Dry_Litterbag Placem_Collection'!G171)</f>
        <v>43009</v>
      </c>
      <c r="P464" s="194">
        <f>IFERROR(INDEX('Both teabags AfterDry'!$D$3:$D$2000,MATCH(H464,'Both teabags AfterDry'!$A$3:$A$2000,0)),"")</f>
        <v>0.78129999999999999</v>
      </c>
      <c r="Q464" s="194">
        <f>IFERROR(INDEX('Both teabags AfterDry'!$D$3:$D$2000,MATCH(I464,'Both teabags AfterDry'!$A$3:$A$2000,0)),"")</f>
        <v>1.8815999999999999</v>
      </c>
      <c r="R464" s="194">
        <f t="shared" si="56"/>
        <v>0.63070000000000004</v>
      </c>
      <c r="S464" s="194">
        <f t="shared" si="56"/>
        <v>1.7309999999999999</v>
      </c>
      <c r="T464" s="194">
        <f t="shared" si="57"/>
        <v>0.64066773017319956</v>
      </c>
      <c r="U464" s="194">
        <f t="shared" si="58"/>
        <v>0.42001019840333281</v>
      </c>
      <c r="V464" s="194">
        <f t="shared" si="59"/>
        <v>0.89819427148194264</v>
      </c>
      <c r="W464">
        <f t="shared" si="60"/>
        <v>69</v>
      </c>
      <c r="X464" s="194">
        <f t="shared" si="61"/>
        <v>0.23911195941425223</v>
      </c>
      <c r="Y464" s="194">
        <f t="shared" si="62"/>
        <v>4.0229685461178385E-3</v>
      </c>
      <c r="Z464" s="245" t="str">
        <f>IF(ISNUMBER(SEARCH("C", 'Dry_Litterbag Placem_Collection'!$V171)),"YES","NO")</f>
        <v>NO</v>
      </c>
      <c r="AA464" s="245" t="str">
        <f>IF(ISNUMBER(SEARCH("H", 'Dry_Litterbag Placem_Collection'!$V171)),"YES","NO")</f>
        <v>NO</v>
      </c>
      <c r="AB464" s="245" t="str">
        <f>IF(ISNUMBER(SEARCH("R", 'Dry_Litterbag Placem_Collection'!$V171)),"YES","NO")</f>
        <v>YES</v>
      </c>
      <c r="AC464" s="245" t="str">
        <f>IF(ISNUMBER(SEARCH("C", 'Dry_Litterbag Placem_Collection'!$U171)),"YES","NO")</f>
        <v>NO</v>
      </c>
      <c r="AD464" s="245" t="str">
        <f>IF(ISNUMBER(SEARCH("H", 'Dry_Litterbag Placem_Collection'!$U171)),"YES","NO")</f>
        <v>NO</v>
      </c>
      <c r="AE464" s="245" t="str">
        <f>IF(ISNUMBER(SEARCH("R", 'Dry_Litterbag Placem_Collection'!$U171)),"YES","NO")</f>
        <v>YES</v>
      </c>
    </row>
    <row r="465" spans="2:31">
      <c r="B465" t="str">
        <f>Dryseason!B611</f>
        <v>Dry</v>
      </c>
      <c r="C465" s="253">
        <f>Dryseason!C611</f>
        <v>170</v>
      </c>
      <c r="D465" t="s">
        <v>3128</v>
      </c>
      <c r="E465" t="s">
        <v>25</v>
      </c>
      <c r="F465" s="374">
        <v>2</v>
      </c>
      <c r="G465" s="376">
        <f>IF('Dry_Litterbag Placem_Collection'!E172="","",'Dry_Litterbag Placem_Collection'!E172)</f>
        <v>42940</v>
      </c>
      <c r="H465" s="92" t="str">
        <f>Dryseason!L611</f>
        <v>G515</v>
      </c>
      <c r="I465" t="str">
        <f>Dryseason!L831</f>
        <v>R208</v>
      </c>
      <c r="J465">
        <f>IFERROR(INDEX('Green_rooibos initial weight'!$C$5:$C$2000,MATCH(H465, 'Green_rooibos initial weight'!$A$5:$A$2000,0)),"")</f>
        <v>1.9890000000000001</v>
      </c>
      <c r="K465">
        <f>IFERROR(INDEX('Green_rooibos initial weight'!$C$5:$C$2000,MATCH(I465, 'Green_rooibos initial weight'!$A$5:$A$2000,0)),"")</f>
        <v>2.2250000000000001</v>
      </c>
      <c r="L465" s="194">
        <f t="shared" si="55"/>
        <v>1.7392000000000001</v>
      </c>
      <c r="M465" s="233">
        <f>AVERAGE(Ashed_controlls!$K$1:$K$11)</f>
        <v>5.5147656768714146</v>
      </c>
      <c r="N465" s="194">
        <f t="shared" si="54"/>
        <v>1.9752000000000001</v>
      </c>
      <c r="O465" s="376">
        <f>IF('Dry_Litterbag Placem_Collection'!G172="","",'Dry_Litterbag Placem_Collection'!G172)</f>
        <v>43009</v>
      </c>
      <c r="P465" s="194">
        <f>IFERROR(INDEX('Both teabags AfterDry'!$D$3:$D$2000,MATCH(H465,'Both teabags AfterDry'!$A$3:$A$2000,0)),"")</f>
        <v>0.77959999999999996</v>
      </c>
      <c r="Q465" s="194">
        <f>IFERROR(INDEX('Both teabags AfterDry'!$D$3:$D$2000,MATCH(I465,'Both teabags AfterDry'!$A$3:$A$2000,0)),"")</f>
        <v>1.8463000000000001</v>
      </c>
      <c r="R465" s="194">
        <f t="shared" si="56"/>
        <v>0.629</v>
      </c>
      <c r="S465" s="194">
        <f t="shared" si="56"/>
        <v>1.6957</v>
      </c>
      <c r="T465" s="194">
        <f t="shared" si="57"/>
        <v>0.63833946642134309</v>
      </c>
      <c r="U465" s="194">
        <f t="shared" si="58"/>
        <v>0.41848383071803019</v>
      </c>
      <c r="V465" s="194">
        <f t="shared" si="59"/>
        <v>0.8584953422438234</v>
      </c>
      <c r="W465">
        <f t="shared" si="60"/>
        <v>69</v>
      </c>
      <c r="X465" s="194">
        <f t="shared" si="61"/>
        <v>0.24187711826443814</v>
      </c>
      <c r="Y465" s="194">
        <f t="shared" si="62"/>
        <v>5.9811005421561833E-3</v>
      </c>
      <c r="Z465" s="245" t="str">
        <f>IF(ISNUMBER(SEARCH("C", 'Dry_Litterbag Placem_Collection'!$V172)),"YES","NO")</f>
        <v>NO</v>
      </c>
      <c r="AA465" s="245" t="str">
        <f>IF(ISNUMBER(SEARCH("H", 'Dry_Litterbag Placem_Collection'!$V172)),"YES","NO")</f>
        <v>NO</v>
      </c>
      <c r="AB465" s="245" t="str">
        <f>IF(ISNUMBER(SEARCH("R", 'Dry_Litterbag Placem_Collection'!$V172)),"YES","NO")</f>
        <v>NO</v>
      </c>
      <c r="AC465" s="245" t="str">
        <f>IF(ISNUMBER(SEARCH("C", 'Dry_Litterbag Placem_Collection'!$U172)),"YES","NO")</f>
        <v>NO</v>
      </c>
      <c r="AD465" s="245" t="str">
        <f>IF(ISNUMBER(SEARCH("H", 'Dry_Litterbag Placem_Collection'!$U172)),"YES","NO")</f>
        <v>NO</v>
      </c>
      <c r="AE465" s="245" t="str">
        <f>IF(ISNUMBER(SEARCH("R", 'Dry_Litterbag Placem_Collection'!$U172)),"YES","NO")</f>
        <v>YES</v>
      </c>
    </row>
    <row r="466" spans="2:31">
      <c r="B466" t="str">
        <f>Dryseason!B612</f>
        <v>Dry</v>
      </c>
      <c r="C466" s="253">
        <f>Dryseason!C612</f>
        <v>171</v>
      </c>
      <c r="D466" t="s">
        <v>3128</v>
      </c>
      <c r="E466" t="s">
        <v>25</v>
      </c>
      <c r="F466" s="374">
        <v>3</v>
      </c>
      <c r="G466" s="376">
        <f>IF('Dry_Litterbag Placem_Collection'!E173="","",'Dry_Litterbag Placem_Collection'!E173)</f>
        <v>42940</v>
      </c>
      <c r="H466" s="92" t="str">
        <f>Dryseason!L612</f>
        <v>G348</v>
      </c>
      <c r="I466" t="str">
        <f>Dryseason!L832</f>
        <v>R633</v>
      </c>
      <c r="J466">
        <f>IFERROR(INDEX('Green_rooibos initial weight'!$C$5:$C$2000,MATCH(H466, 'Green_rooibos initial weight'!$A$5:$A$2000,0)),"")</f>
        <v>2.0139999999999998</v>
      </c>
      <c r="K466">
        <f>IFERROR(INDEX('Green_rooibos initial weight'!$C$5:$C$2000,MATCH(I466, 'Green_rooibos initial weight'!$A$5:$A$2000,0)),"")</f>
        <v>2.0760000000000001</v>
      </c>
      <c r="L466" s="194">
        <f t="shared" si="55"/>
        <v>1.7641999999999998</v>
      </c>
      <c r="M466" s="233">
        <f>AVERAGE(Ashed_controlls!$K$1:$K$11)</f>
        <v>5.5147656768714146</v>
      </c>
      <c r="N466" s="194">
        <f t="shared" si="54"/>
        <v>1.8262</v>
      </c>
      <c r="O466" s="376">
        <f>IF('Dry_Litterbag Placem_Collection'!G173="","",'Dry_Litterbag Placem_Collection'!G173)</f>
        <v>43009</v>
      </c>
      <c r="P466" s="194">
        <f>IFERROR(INDEX('Both teabags AfterDry'!$D$3:$D$2000,MATCH(H466,'Both teabags AfterDry'!$A$3:$A$2000,0)),"")</f>
        <v>0.69310000000000005</v>
      </c>
      <c r="Q466" s="194">
        <f>IFERROR(INDEX('Both teabags AfterDry'!$D$3:$D$2000,MATCH(I466,'Both teabags AfterDry'!$A$3:$A$2000,0)),"")</f>
        <v>1.6096999999999999</v>
      </c>
      <c r="R466" s="194">
        <f t="shared" si="56"/>
        <v>0.54249999999999998</v>
      </c>
      <c r="S466" s="194">
        <f t="shared" si="56"/>
        <v>1.4590999999999998</v>
      </c>
      <c r="T466" s="194">
        <f t="shared" si="57"/>
        <v>0.69249518195215964</v>
      </c>
      <c r="U466" s="194">
        <f t="shared" si="58"/>
        <v>0.45398734018716408</v>
      </c>
      <c r="V466" s="194">
        <f t="shared" si="59"/>
        <v>0.79898149162194709</v>
      </c>
      <c r="W466">
        <f t="shared" si="60"/>
        <v>69</v>
      </c>
      <c r="X466" s="194">
        <f t="shared" si="61"/>
        <v>0.17755916632760138</v>
      </c>
      <c r="Y466" s="194">
        <f t="shared" si="62"/>
        <v>8.4754061723794297E-3</v>
      </c>
      <c r="Z466" s="245" t="str">
        <f>IF(ISNUMBER(SEARCH("C", 'Dry_Litterbag Placem_Collection'!$V173)),"YES","NO")</f>
        <v>NO</v>
      </c>
      <c r="AA466" s="245" t="str">
        <f>IF(ISNUMBER(SEARCH("H", 'Dry_Litterbag Placem_Collection'!$V173)),"YES","NO")</f>
        <v>NO</v>
      </c>
      <c r="AB466" s="245" t="str">
        <f>IF(ISNUMBER(SEARCH("R", 'Dry_Litterbag Placem_Collection'!$V173)),"YES","NO")</f>
        <v>NO</v>
      </c>
      <c r="AC466" s="245" t="str">
        <f>IF(ISNUMBER(SEARCH("C", 'Dry_Litterbag Placem_Collection'!$U173)),"YES","NO")</f>
        <v>NO</v>
      </c>
      <c r="AD466" s="245" t="str">
        <f>IF(ISNUMBER(SEARCH("H", 'Dry_Litterbag Placem_Collection'!$U173)),"YES","NO")</f>
        <v>NO</v>
      </c>
      <c r="AE466" s="245" t="str">
        <f>IF(ISNUMBER(SEARCH("R", 'Dry_Litterbag Placem_Collection'!$U173)),"YES","NO")</f>
        <v>YES</v>
      </c>
    </row>
    <row r="467" spans="2:31">
      <c r="B467" t="str">
        <f>Dryseason!B613</f>
        <v>Dry</v>
      </c>
      <c r="C467" s="253">
        <f>Dryseason!C613</f>
        <v>172</v>
      </c>
      <c r="D467" t="s">
        <v>3128</v>
      </c>
      <c r="E467" t="s">
        <v>25</v>
      </c>
      <c r="F467" s="375">
        <v>4</v>
      </c>
      <c r="G467" s="376" t="str">
        <f>IF('Dry_Litterbag Placem_Collection'!E174="","",'Dry_Litterbag Placem_Collection'!E174)</f>
        <v/>
      </c>
      <c r="H467" s="92" t="str">
        <f>Dryseason!L613</f>
        <v/>
      </c>
      <c r="I467" t="str">
        <f>Dryseason!L833</f>
        <v/>
      </c>
      <c r="J467" t="str">
        <f>IFERROR(INDEX('Green_rooibos initial weight'!$C$5:$C$2000,MATCH(H467, 'Green_rooibos initial weight'!$A$5:$A$2000,0)),"")</f>
        <v/>
      </c>
      <c r="K467" t="str">
        <f>IFERROR(INDEX('Green_rooibos initial weight'!$C$5:$C$2000,MATCH(I467, 'Green_rooibos initial weight'!$A$5:$A$2000,0)),"")</f>
        <v/>
      </c>
      <c r="L467" s="194" t="str">
        <f t="shared" si="55"/>
        <v/>
      </c>
      <c r="M467" s="233">
        <f>AVERAGE(Ashed_controlls!$K$1:$K$11)</f>
        <v>5.5147656768714146</v>
      </c>
      <c r="N467" s="194" t="str">
        <f t="shared" si="54"/>
        <v/>
      </c>
      <c r="O467" s="376" t="str">
        <f>IF('Dry_Litterbag Placem_Collection'!G174="","",'Dry_Litterbag Placem_Collection'!G174)</f>
        <v/>
      </c>
      <c r="P467" s="194" t="str">
        <f>IFERROR(INDEX('Both teabags AfterDry'!$D$3:$D$2000,MATCH(H467,'Both teabags AfterDry'!$A$3:$A$2000,0)),"")</f>
        <v/>
      </c>
      <c r="Q467" s="194" t="str">
        <f>IFERROR(INDEX('Both teabags AfterDry'!$D$3:$D$2000,MATCH(I467,'Both teabags AfterDry'!$A$3:$A$2000,0)),"")</f>
        <v/>
      </c>
      <c r="R467" s="194" t="str">
        <f t="shared" si="56"/>
        <v/>
      </c>
      <c r="S467" s="194" t="str">
        <f t="shared" si="56"/>
        <v/>
      </c>
      <c r="T467" s="194" t="str">
        <f t="shared" si="57"/>
        <v/>
      </c>
      <c r="U467" s="194" t="str">
        <f t="shared" si="58"/>
        <v/>
      </c>
      <c r="V467" s="194" t="str">
        <f t="shared" si="59"/>
        <v/>
      </c>
      <c r="W467" t="str">
        <f t="shared" si="60"/>
        <v/>
      </c>
      <c r="X467" s="194" t="str">
        <f t="shared" si="61"/>
        <v/>
      </c>
      <c r="Y467" s="194" t="str">
        <f t="shared" si="62"/>
        <v/>
      </c>
      <c r="Z467" s="245" t="str">
        <f>IF(ISNUMBER(SEARCH("C", 'Dry_Litterbag Placem_Collection'!$V174)),"YES","NO")</f>
        <v>NO</v>
      </c>
      <c r="AA467" s="245" t="str">
        <f>IF(ISNUMBER(SEARCH("H", 'Dry_Litterbag Placem_Collection'!$V174)),"YES","NO")</f>
        <v>NO</v>
      </c>
      <c r="AB467" s="245" t="str">
        <f>IF(ISNUMBER(SEARCH("R", 'Dry_Litterbag Placem_Collection'!$V174)),"YES","NO")</f>
        <v>NO</v>
      </c>
      <c r="AC467" s="245" t="str">
        <f>IF(ISNUMBER(SEARCH("C", 'Dry_Litterbag Placem_Collection'!$U174)),"YES","NO")</f>
        <v>NO</v>
      </c>
      <c r="AD467" s="245" t="str">
        <f>IF(ISNUMBER(SEARCH("H", 'Dry_Litterbag Placem_Collection'!$U174)),"YES","NO")</f>
        <v>NO</v>
      </c>
      <c r="AE467" s="245" t="str">
        <f>IF(ISNUMBER(SEARCH("R", 'Dry_Litterbag Placem_Collection'!$U174)),"YES","NO")</f>
        <v>NO</v>
      </c>
    </row>
    <row r="468" spans="2:31">
      <c r="B468" t="str">
        <f>Dryseason!B614</f>
        <v>Dry</v>
      </c>
      <c r="C468" s="253">
        <f>Dryseason!C614</f>
        <v>173</v>
      </c>
      <c r="D468" t="s">
        <v>3128</v>
      </c>
      <c r="E468" t="s">
        <v>25</v>
      </c>
      <c r="F468" s="375">
        <v>5</v>
      </c>
      <c r="G468" s="376">
        <f>IF('Dry_Litterbag Placem_Collection'!E175="","",'Dry_Litterbag Placem_Collection'!E175)</f>
        <v>42940</v>
      </c>
      <c r="H468" s="92" t="str">
        <f>Dryseason!L614</f>
        <v>G307</v>
      </c>
      <c r="I468" t="str">
        <f>Dryseason!L834</f>
        <v>R473</v>
      </c>
      <c r="J468">
        <f>IFERROR(INDEX('Green_rooibos initial weight'!$C$5:$C$2000,MATCH(H468, 'Green_rooibos initial weight'!$A$5:$A$2000,0)),"")</f>
        <v>1.9810000000000001</v>
      </c>
      <c r="K468">
        <f>IFERROR(INDEX('Green_rooibos initial weight'!$C$5:$C$2000,MATCH(I468, 'Green_rooibos initial weight'!$A$5:$A$2000,0)),"")</f>
        <v>2.302</v>
      </c>
      <c r="L468" s="194">
        <f t="shared" si="55"/>
        <v>1.7312000000000001</v>
      </c>
      <c r="M468" s="233">
        <f>AVERAGE(Ashed_controlls!$K$1:$K$11)</f>
        <v>5.5147656768714146</v>
      </c>
      <c r="N468" s="194">
        <f t="shared" si="54"/>
        <v>2.0522</v>
      </c>
      <c r="O468" s="376">
        <f>IF('Dry_Litterbag Placem_Collection'!G175="","",'Dry_Litterbag Placem_Collection'!G175)</f>
        <v>43009</v>
      </c>
      <c r="P468" s="194" t="str">
        <f>IFERROR(INDEX('Both teabags AfterDry'!$D$3:$D$2000,MATCH(H468,'Both teabags AfterDry'!$A$3:$A$2000,0)),"")</f>
        <v/>
      </c>
      <c r="Q468" s="194" t="str">
        <f>IFERROR(INDEX('Both teabags AfterDry'!$D$3:$D$2000,MATCH(I468,'Both teabags AfterDry'!$A$3:$A$2000,0)),"")</f>
        <v/>
      </c>
      <c r="R468" s="194" t="str">
        <f t="shared" si="56"/>
        <v/>
      </c>
      <c r="S468" s="194" t="str">
        <f t="shared" si="56"/>
        <v/>
      </c>
      <c r="T468" s="194" t="str">
        <f t="shared" si="57"/>
        <v/>
      </c>
      <c r="U468" s="194" t="str">
        <f t="shared" si="58"/>
        <v/>
      </c>
      <c r="V468" s="194" t="str">
        <f t="shared" si="59"/>
        <v/>
      </c>
      <c r="W468">
        <f t="shared" si="60"/>
        <v>69</v>
      </c>
      <c r="X468" s="194" t="str">
        <f t="shared" si="61"/>
        <v/>
      </c>
      <c r="Y468" s="194" t="str">
        <f t="shared" si="62"/>
        <v/>
      </c>
      <c r="Z468" s="245" t="str">
        <f>IF(ISNUMBER(SEARCH("C", 'Dry_Litterbag Placem_Collection'!$V175)),"YES","NO")</f>
        <v>NO</v>
      </c>
      <c r="AA468" s="245" t="str">
        <f>IF(ISNUMBER(SEARCH("H", 'Dry_Litterbag Placem_Collection'!$V175)),"YES","NO")</f>
        <v>NO</v>
      </c>
      <c r="AB468" s="245" t="str">
        <f>IF(ISNUMBER(SEARCH("R", 'Dry_Litterbag Placem_Collection'!$V175)),"YES","NO")</f>
        <v>NO</v>
      </c>
      <c r="AC468" s="245" t="str">
        <f>IF(ISNUMBER(SEARCH("C", 'Dry_Litterbag Placem_Collection'!$U175)),"YES","NO")</f>
        <v>NO</v>
      </c>
      <c r="AD468" s="245" t="str">
        <f>IF(ISNUMBER(SEARCH("H", 'Dry_Litterbag Placem_Collection'!$U175)),"YES","NO")</f>
        <v>NO</v>
      </c>
      <c r="AE468" s="245" t="str">
        <f>IF(ISNUMBER(SEARCH("R", 'Dry_Litterbag Placem_Collection'!$U175)),"YES","NO")</f>
        <v>NO</v>
      </c>
    </row>
    <row r="469" spans="2:31">
      <c r="B469" t="str">
        <f>Dryseason!B615</f>
        <v>Dry</v>
      </c>
      <c r="C469" s="253">
        <f>Dryseason!C615</f>
        <v>174</v>
      </c>
      <c r="D469" t="s">
        <v>3128</v>
      </c>
      <c r="E469" t="s">
        <v>25</v>
      </c>
      <c r="F469" s="375">
        <v>6</v>
      </c>
      <c r="G469" s="376">
        <f>IF('Dry_Litterbag Placem_Collection'!E176="","",'Dry_Litterbag Placem_Collection'!E176)</f>
        <v>42940</v>
      </c>
      <c r="H469" s="92" t="str">
        <f>Dryseason!L615</f>
        <v>G155</v>
      </c>
      <c r="I469" t="str">
        <f>Dryseason!L835</f>
        <v>R702</v>
      </c>
      <c r="J469">
        <f>IFERROR(INDEX('Green_rooibos initial weight'!$C$5:$C$2000,MATCH(H469, 'Green_rooibos initial weight'!$A$5:$A$2000,0)),"")</f>
        <v>2.0379999999999998</v>
      </c>
      <c r="K469">
        <f>IFERROR(INDEX('Green_rooibos initial weight'!$C$5:$C$2000,MATCH(I469, 'Green_rooibos initial weight'!$A$5:$A$2000,0)),"")</f>
        <v>2.2010000000000001</v>
      </c>
      <c r="L469" s="194">
        <f t="shared" si="55"/>
        <v>1.7881999999999998</v>
      </c>
      <c r="M469" s="233">
        <f>AVERAGE(Ashed_controlls!$K$1:$K$11)</f>
        <v>5.5147656768714146</v>
      </c>
      <c r="N469" s="194">
        <f t="shared" si="54"/>
        <v>1.9512</v>
      </c>
      <c r="O469" s="376">
        <f>IF('Dry_Litterbag Placem_Collection'!G176="","",'Dry_Litterbag Placem_Collection'!G176)</f>
        <v>43009</v>
      </c>
      <c r="P469" s="194">
        <f>IFERROR(INDEX('Both teabags AfterDry'!$D$3:$D$2000,MATCH(H469,'Both teabags AfterDry'!$A$3:$A$2000,0)),"")</f>
        <v>0.78239999999999998</v>
      </c>
      <c r="Q469" s="194">
        <f>IFERROR(INDEX('Both teabags AfterDry'!$D$3:$D$2000,MATCH(I469,'Both teabags AfterDry'!$A$3:$A$2000,0)),"")</f>
        <v>1.7047000000000001</v>
      </c>
      <c r="R469" s="194">
        <f t="shared" si="56"/>
        <v>0.63179999999999992</v>
      </c>
      <c r="S469" s="194">
        <f t="shared" si="56"/>
        <v>1.5541</v>
      </c>
      <c r="T469" s="194">
        <f t="shared" si="57"/>
        <v>0.6466838161279499</v>
      </c>
      <c r="U469" s="194">
        <f t="shared" si="58"/>
        <v>0.42395423575134017</v>
      </c>
      <c r="V469" s="194">
        <f t="shared" si="59"/>
        <v>0.79648421484214837</v>
      </c>
      <c r="W469">
        <f t="shared" si="60"/>
        <v>69</v>
      </c>
      <c r="X469" s="194">
        <f t="shared" si="61"/>
        <v>0.23196696421858676</v>
      </c>
      <c r="Y469" s="194">
        <f t="shared" si="62"/>
        <v>9.4783622401016995E-3</v>
      </c>
      <c r="Z469" s="245" t="str">
        <f>IF(ISNUMBER(SEARCH("C", 'Dry_Litterbag Placem_Collection'!$V176)),"YES","NO")</f>
        <v>NO</v>
      </c>
      <c r="AA469" s="245" t="str">
        <f>IF(ISNUMBER(SEARCH("H", 'Dry_Litterbag Placem_Collection'!$V176)),"YES","NO")</f>
        <v>NO</v>
      </c>
      <c r="AB469" s="245" t="str">
        <f>IF(ISNUMBER(SEARCH("R", 'Dry_Litterbag Placem_Collection'!$V176)),"YES","NO")</f>
        <v>NO</v>
      </c>
      <c r="AC469" s="245" t="str">
        <f>IF(ISNUMBER(SEARCH("C", 'Dry_Litterbag Placem_Collection'!$U176)),"YES","NO")</f>
        <v>NO</v>
      </c>
      <c r="AD469" s="245" t="str">
        <f>IF(ISNUMBER(SEARCH("H", 'Dry_Litterbag Placem_Collection'!$U176)),"YES","NO")</f>
        <v>NO</v>
      </c>
      <c r="AE469" s="245" t="str">
        <f>IF(ISNUMBER(SEARCH("R", 'Dry_Litterbag Placem_Collection'!$U176)),"YES","NO")</f>
        <v>NO</v>
      </c>
    </row>
    <row r="470" spans="2:31">
      <c r="B470" t="str">
        <f>Dryseason!B616</f>
        <v>Dry</v>
      </c>
      <c r="C470" s="253">
        <f>Dryseason!C616</f>
        <v>175</v>
      </c>
      <c r="D470" t="s">
        <v>3128</v>
      </c>
      <c r="E470" t="s">
        <v>25</v>
      </c>
      <c r="F470" s="375">
        <v>7</v>
      </c>
      <c r="G470" s="376">
        <f>IF('Dry_Litterbag Placem_Collection'!E177="","",'Dry_Litterbag Placem_Collection'!E177)</f>
        <v>42940</v>
      </c>
      <c r="H470" s="92" t="str">
        <f>Dryseason!L616</f>
        <v>G719</v>
      </c>
      <c r="I470" t="str">
        <f>Dryseason!L836</f>
        <v>R175</v>
      </c>
      <c r="J470">
        <f>IFERROR(INDEX('Green_rooibos initial weight'!$C$5:$C$2000,MATCH(H470, 'Green_rooibos initial weight'!$A$5:$A$2000,0)),"")</f>
        <v>2.02</v>
      </c>
      <c r="K470">
        <f>IFERROR(INDEX('Green_rooibos initial weight'!$C$5:$C$2000,MATCH(I470, 'Green_rooibos initial weight'!$A$5:$A$2000,0)),"")</f>
        <v>2.2330000000000001</v>
      </c>
      <c r="L470" s="194">
        <f t="shared" si="55"/>
        <v>1.7702</v>
      </c>
      <c r="M470" s="233">
        <f>AVERAGE(Ashed_controlls!$K$1:$K$11)</f>
        <v>5.5147656768714146</v>
      </c>
      <c r="N470" s="194">
        <f t="shared" si="54"/>
        <v>1.9832000000000001</v>
      </c>
      <c r="O470" s="376">
        <f>IF('Dry_Litterbag Placem_Collection'!G177="","",'Dry_Litterbag Placem_Collection'!G177)</f>
        <v>43009</v>
      </c>
      <c r="P470" s="194">
        <f>IFERROR(INDEX('Both teabags AfterDry'!$D$3:$D$2000,MATCH(H470,'Both teabags AfterDry'!$A$3:$A$2000,0)),"")</f>
        <v>0.80269999999999997</v>
      </c>
      <c r="Q470" s="194">
        <f>IFERROR(INDEX('Both teabags AfterDry'!$D$3:$D$2000,MATCH(I470,'Both teabags AfterDry'!$A$3:$A$2000,0)),"")</f>
        <v>1.8721000000000001</v>
      </c>
      <c r="R470" s="194">
        <f t="shared" si="56"/>
        <v>0.6520999999999999</v>
      </c>
      <c r="S470" s="194">
        <f t="shared" si="56"/>
        <v>1.7215</v>
      </c>
      <c r="T470" s="194">
        <f t="shared" si="57"/>
        <v>0.63162354536210596</v>
      </c>
      <c r="U470" s="194">
        <f t="shared" si="58"/>
        <v>0.41408099410912419</v>
      </c>
      <c r="V470" s="194">
        <f t="shared" si="59"/>
        <v>0.86804154901169828</v>
      </c>
      <c r="W470">
        <f t="shared" si="60"/>
        <v>69</v>
      </c>
      <c r="X470" s="194">
        <f t="shared" si="61"/>
        <v>0.24985327154144177</v>
      </c>
      <c r="Y470" s="194">
        <f t="shared" si="62"/>
        <v>5.5611603770005713E-3</v>
      </c>
      <c r="Z470" s="245" t="str">
        <f>IF(ISNUMBER(SEARCH("C", 'Dry_Litterbag Placem_Collection'!$V177)),"YES","NO")</f>
        <v>NO</v>
      </c>
      <c r="AA470" s="245" t="str">
        <f>IF(ISNUMBER(SEARCH("H", 'Dry_Litterbag Placem_Collection'!$V177)),"YES","NO")</f>
        <v>NO</v>
      </c>
      <c r="AB470" s="245" t="str">
        <f>IF(ISNUMBER(SEARCH("R", 'Dry_Litterbag Placem_Collection'!$V177)),"YES","NO")</f>
        <v>YES</v>
      </c>
      <c r="AC470" s="245" t="str">
        <f>IF(ISNUMBER(SEARCH("C", 'Dry_Litterbag Placem_Collection'!$U177)),"YES","NO")</f>
        <v>NO</v>
      </c>
      <c r="AD470" s="245" t="str">
        <f>IF(ISNUMBER(SEARCH("H", 'Dry_Litterbag Placem_Collection'!$U177)),"YES","NO")</f>
        <v>NO</v>
      </c>
      <c r="AE470" s="245" t="str">
        <f>IF(ISNUMBER(SEARCH("R", 'Dry_Litterbag Placem_Collection'!$U177)),"YES","NO")</f>
        <v>NO</v>
      </c>
    </row>
    <row r="471" spans="2:31">
      <c r="B471" t="str">
        <f>Dryseason!B617</f>
        <v>Dry</v>
      </c>
      <c r="C471" s="253">
        <f>Dryseason!C617</f>
        <v>176</v>
      </c>
      <c r="D471" t="s">
        <v>3128</v>
      </c>
      <c r="E471" t="s">
        <v>25</v>
      </c>
      <c r="F471" s="375">
        <v>8</v>
      </c>
      <c r="G471" s="376">
        <f>IF('Dry_Litterbag Placem_Collection'!E178="","",'Dry_Litterbag Placem_Collection'!E178)</f>
        <v>42940</v>
      </c>
      <c r="H471" s="92" t="str">
        <f>Dryseason!L617</f>
        <v>G323</v>
      </c>
      <c r="I471" t="str">
        <f>Dryseason!L837</f>
        <v>R332</v>
      </c>
      <c r="J471">
        <f>IFERROR(INDEX('Green_rooibos initial weight'!$C$5:$C$2000,MATCH(H471, 'Green_rooibos initial weight'!$A$5:$A$2000,0)),"")</f>
        <v>1.97</v>
      </c>
      <c r="K471">
        <f>IFERROR(INDEX('Green_rooibos initial weight'!$C$5:$C$2000,MATCH(I471, 'Green_rooibos initial weight'!$A$5:$A$2000,0)),"")</f>
        <v>2.1880000000000002</v>
      </c>
      <c r="L471" s="194">
        <f t="shared" si="55"/>
        <v>1.7202</v>
      </c>
      <c r="M471" s="233">
        <f>AVERAGE(Ashed_controlls!$K$1:$K$11)</f>
        <v>5.5147656768714146</v>
      </c>
      <c r="N471" s="194">
        <f t="shared" si="54"/>
        <v>1.9382000000000001</v>
      </c>
      <c r="O471" s="376">
        <f>IF('Dry_Litterbag Placem_Collection'!G178="","",'Dry_Litterbag Placem_Collection'!G178)</f>
        <v>43009</v>
      </c>
      <c r="P471" s="194">
        <f>IFERROR(INDEX('Both teabags AfterDry'!$D$3:$D$2000,MATCH(H471,'Both teabags AfterDry'!$A$3:$A$2000,0)),"")</f>
        <v>0.74829999999999997</v>
      </c>
      <c r="Q471" s="194">
        <f>IFERROR(INDEX('Both teabags AfterDry'!$D$3:$D$2000,MATCH(I471,'Both teabags AfterDry'!$A$3:$A$2000,0)),"")</f>
        <v>1.8720000000000001</v>
      </c>
      <c r="R471" s="194">
        <f t="shared" si="56"/>
        <v>0.5976999999999999</v>
      </c>
      <c r="S471" s="194">
        <f t="shared" si="56"/>
        <v>1.7214</v>
      </c>
      <c r="T471" s="194">
        <f t="shared" si="57"/>
        <v>0.65254040227880483</v>
      </c>
      <c r="U471" s="194">
        <f t="shared" si="58"/>
        <v>0.42779370790724502</v>
      </c>
      <c r="V471" s="194">
        <f t="shared" si="59"/>
        <v>0.88814363842740685</v>
      </c>
      <c r="W471">
        <f t="shared" si="60"/>
        <v>69</v>
      </c>
      <c r="X471" s="194">
        <f t="shared" si="61"/>
        <v>0.22501139871875908</v>
      </c>
      <c r="Y471" s="194">
        <f t="shared" si="62"/>
        <v>4.3927125460899909E-3</v>
      </c>
      <c r="Z471" s="245" t="str">
        <f>IF(ISNUMBER(SEARCH("C", 'Dry_Litterbag Placem_Collection'!$V178)),"YES","NO")</f>
        <v>NO</v>
      </c>
      <c r="AA471" s="245" t="str">
        <f>IF(ISNUMBER(SEARCH("H", 'Dry_Litterbag Placem_Collection'!$V178)),"YES","NO")</f>
        <v>NO</v>
      </c>
      <c r="AB471" s="245" t="str">
        <f>IF(ISNUMBER(SEARCH("R", 'Dry_Litterbag Placem_Collection'!$V178)),"YES","NO")</f>
        <v>YES</v>
      </c>
      <c r="AC471" s="245" t="str">
        <f>IF(ISNUMBER(SEARCH("C", 'Dry_Litterbag Placem_Collection'!$U178)),"YES","NO")</f>
        <v>NO</v>
      </c>
      <c r="AD471" s="245" t="str">
        <f>IF(ISNUMBER(SEARCH("H", 'Dry_Litterbag Placem_Collection'!$U178)),"YES","NO")</f>
        <v>NO</v>
      </c>
      <c r="AE471" s="245" t="str">
        <f>IF(ISNUMBER(SEARCH("R", 'Dry_Litterbag Placem_Collection'!$U178)),"YES","NO")</f>
        <v>YES</v>
      </c>
    </row>
    <row r="472" spans="2:31">
      <c r="B472" t="str">
        <f>Dryseason!B618</f>
        <v>Dry</v>
      </c>
      <c r="C472" s="253">
        <f>Dryseason!C618</f>
        <v>177</v>
      </c>
      <c r="D472" t="s">
        <v>3129</v>
      </c>
      <c r="E472" t="s">
        <v>25</v>
      </c>
      <c r="F472" s="374">
        <v>1</v>
      </c>
      <c r="G472" s="376">
        <f>IF('Dry_Litterbag Placem_Collection'!E179="","",'Dry_Litterbag Placem_Collection'!E179)</f>
        <v>42940</v>
      </c>
      <c r="H472" s="92" t="str">
        <f>Dryseason!L618</f>
        <v>G14</v>
      </c>
      <c r="I472" t="str">
        <f>Dryseason!L838</f>
        <v>R70</v>
      </c>
      <c r="J472">
        <f>IFERROR(INDEX('Green_rooibos initial weight'!$C$5:$C$2000,MATCH(H472, 'Green_rooibos initial weight'!$A$5:$A$2000,0)),"")</f>
        <v>2.0750000000000002</v>
      </c>
      <c r="K472">
        <f>IFERROR(INDEX('Green_rooibos initial weight'!$C$5:$C$2000,MATCH(I472, 'Green_rooibos initial weight'!$A$5:$A$2000,0)),"")</f>
        <v>2.23</v>
      </c>
      <c r="L472" s="194">
        <f t="shared" si="55"/>
        <v>1.8252000000000002</v>
      </c>
      <c r="M472" s="233">
        <f>AVERAGE(Ashed_controlls!$K$1:$K$11)</f>
        <v>5.5147656768714146</v>
      </c>
      <c r="N472" s="194">
        <f t="shared" si="54"/>
        <v>1.9802</v>
      </c>
      <c r="O472" s="376">
        <f>IF('Dry_Litterbag Placem_Collection'!G179="","",'Dry_Litterbag Placem_Collection'!G179)</f>
        <v>43009</v>
      </c>
      <c r="P472" s="194" t="str">
        <f>IFERROR(INDEX('Both teabags AfterDry'!$D$3:$D$2000,MATCH(H472,'Both teabags AfterDry'!$A$3:$A$2000,0)),"")</f>
        <v/>
      </c>
      <c r="Q472" s="194" t="str">
        <f>IFERROR(INDEX('Both teabags AfterDry'!$D$3:$D$2000,MATCH(I472,'Both teabags AfterDry'!$A$3:$A$2000,0)),"")</f>
        <v/>
      </c>
      <c r="R472" s="194" t="str">
        <f t="shared" si="56"/>
        <v/>
      </c>
      <c r="S472" s="194" t="str">
        <f t="shared" si="56"/>
        <v/>
      </c>
      <c r="T472" s="194" t="str">
        <f t="shared" si="57"/>
        <v/>
      </c>
      <c r="U472" s="194" t="str">
        <f t="shared" si="58"/>
        <v/>
      </c>
      <c r="V472" s="194" t="str">
        <f t="shared" si="59"/>
        <v/>
      </c>
      <c r="W472">
        <f t="shared" si="60"/>
        <v>69</v>
      </c>
      <c r="X472" s="194" t="str">
        <f t="shared" si="61"/>
        <v/>
      </c>
      <c r="Y472" s="194" t="str">
        <f t="shared" si="62"/>
        <v/>
      </c>
      <c r="Z472" s="245" t="str">
        <f>IF(ISNUMBER(SEARCH("C", 'Dry_Litterbag Placem_Collection'!$V179)),"YES","NO")</f>
        <v>NO</v>
      </c>
      <c r="AA472" s="245" t="str">
        <f>IF(ISNUMBER(SEARCH("H", 'Dry_Litterbag Placem_Collection'!$V179)),"YES","NO")</f>
        <v>NO</v>
      </c>
      <c r="AB472" s="245" t="str">
        <f>IF(ISNUMBER(SEARCH("R", 'Dry_Litterbag Placem_Collection'!$V179)),"YES","NO")</f>
        <v>YES</v>
      </c>
      <c r="AC472" s="245" t="str">
        <f>IF(ISNUMBER(SEARCH("C", 'Dry_Litterbag Placem_Collection'!$U179)),"YES","NO")</f>
        <v>NO</v>
      </c>
      <c r="AD472" s="245" t="str">
        <f>IF(ISNUMBER(SEARCH("H", 'Dry_Litterbag Placem_Collection'!$U179)),"YES","NO")</f>
        <v>NO</v>
      </c>
      <c r="AE472" s="245" t="str">
        <f>IF(ISNUMBER(SEARCH("R", 'Dry_Litterbag Placem_Collection'!$U179)),"YES","NO")</f>
        <v>NO</v>
      </c>
    </row>
    <row r="473" spans="2:31">
      <c r="B473" t="str">
        <f>Dryseason!B619</f>
        <v>Dry</v>
      </c>
      <c r="C473" s="253">
        <f>Dryseason!C619</f>
        <v>178</v>
      </c>
      <c r="D473" t="s">
        <v>3129</v>
      </c>
      <c r="E473" t="s">
        <v>25</v>
      </c>
      <c r="F473" s="374">
        <v>2</v>
      </c>
      <c r="G473" s="376">
        <f>IF('Dry_Litterbag Placem_Collection'!E180="","",'Dry_Litterbag Placem_Collection'!E180)</f>
        <v>42940</v>
      </c>
      <c r="H473" s="92" t="str">
        <f>Dryseason!L619</f>
        <v>G410</v>
      </c>
      <c r="I473" t="str">
        <f>Dryseason!L839</f>
        <v>R718</v>
      </c>
      <c r="J473">
        <f>IFERROR(INDEX('Green_rooibos initial weight'!$C$5:$C$2000,MATCH(H473, 'Green_rooibos initial weight'!$A$5:$A$2000,0)),"")</f>
        <v>2.1110000000000002</v>
      </c>
      <c r="K473">
        <f>IFERROR(INDEX('Green_rooibos initial weight'!$C$5:$C$2000,MATCH(I473, 'Green_rooibos initial weight'!$A$5:$A$2000,0)),"")</f>
        <v>2.2050000000000001</v>
      </c>
      <c r="L473" s="194">
        <f t="shared" si="55"/>
        <v>1.8612000000000002</v>
      </c>
      <c r="M473" s="233">
        <f>AVERAGE(Ashed_controlls!$K$1:$K$11)</f>
        <v>5.5147656768714146</v>
      </c>
      <c r="N473" s="194">
        <f t="shared" si="54"/>
        <v>1.9552</v>
      </c>
      <c r="O473" s="376">
        <f>IF('Dry_Litterbag Placem_Collection'!G180="","",'Dry_Litterbag Placem_Collection'!G180)</f>
        <v>43009</v>
      </c>
      <c r="P473" s="194">
        <f>IFERROR(INDEX('Both teabags AfterDry'!$D$3:$D$2000,MATCH(H473,'Both teabags AfterDry'!$A$3:$A$2000,0)),"")</f>
        <v>0.71050000000000002</v>
      </c>
      <c r="Q473" s="194">
        <f>IFERROR(INDEX('Both teabags AfterDry'!$D$3:$D$2000,MATCH(I473,'Both teabags AfterDry'!$A$3:$A$2000,0)),"")</f>
        <v>1.8359000000000001</v>
      </c>
      <c r="R473" s="194">
        <f t="shared" si="56"/>
        <v>0.55990000000000006</v>
      </c>
      <c r="S473" s="194">
        <f t="shared" si="56"/>
        <v>1.6853</v>
      </c>
      <c r="T473" s="194">
        <f t="shared" si="57"/>
        <v>0.69917257683215128</v>
      </c>
      <c r="U473" s="194">
        <f t="shared" si="58"/>
        <v>0.45836491972844129</v>
      </c>
      <c r="V473" s="194">
        <f t="shared" si="59"/>
        <v>0.86195785597381336</v>
      </c>
      <c r="W473">
        <f t="shared" si="60"/>
        <v>69</v>
      </c>
      <c r="X473" s="194">
        <f t="shared" si="61"/>
        <v>0.16962876860789633</v>
      </c>
      <c r="Y473" s="194">
        <f t="shared" si="62"/>
        <v>5.1932822222561011E-3</v>
      </c>
      <c r="Z473" s="245" t="str">
        <f>IF(ISNUMBER(SEARCH("C", 'Dry_Litterbag Placem_Collection'!$V180)),"YES","NO")</f>
        <v>NO</v>
      </c>
      <c r="AA473" s="245" t="str">
        <f>IF(ISNUMBER(SEARCH("H", 'Dry_Litterbag Placem_Collection'!$V180)),"YES","NO")</f>
        <v>NO</v>
      </c>
      <c r="AB473" s="245" t="str">
        <f>IF(ISNUMBER(SEARCH("R", 'Dry_Litterbag Placem_Collection'!$V180)),"YES","NO")</f>
        <v>NO</v>
      </c>
      <c r="AC473" s="245" t="str">
        <f>IF(ISNUMBER(SEARCH("C", 'Dry_Litterbag Placem_Collection'!$U180)),"YES","NO")</f>
        <v>NO</v>
      </c>
      <c r="AD473" s="245" t="str">
        <f>IF(ISNUMBER(SEARCH("H", 'Dry_Litterbag Placem_Collection'!$U180)),"YES","NO")</f>
        <v>NO</v>
      </c>
      <c r="AE473" s="245" t="str">
        <f>IF(ISNUMBER(SEARCH("R", 'Dry_Litterbag Placem_Collection'!$U180)),"YES","NO")</f>
        <v>NO</v>
      </c>
    </row>
    <row r="474" spans="2:31">
      <c r="B474" t="str">
        <f>Dryseason!B620</f>
        <v>Dry</v>
      </c>
      <c r="C474" s="253">
        <f>Dryseason!C620</f>
        <v>179</v>
      </c>
      <c r="D474" t="s">
        <v>3129</v>
      </c>
      <c r="E474" t="s">
        <v>25</v>
      </c>
      <c r="F474" s="374">
        <v>3</v>
      </c>
      <c r="G474" s="376">
        <f>IF('Dry_Litterbag Placem_Collection'!E181="","",'Dry_Litterbag Placem_Collection'!E181)</f>
        <v>42940</v>
      </c>
      <c r="H474" s="92" t="str">
        <f>Dryseason!L620</f>
        <v>G78</v>
      </c>
      <c r="I474" t="str">
        <f>Dryseason!L840</f>
        <v>R640</v>
      </c>
      <c r="J474">
        <f>IFERROR(INDEX('Green_rooibos initial weight'!$C$5:$C$2000,MATCH(H474, 'Green_rooibos initial weight'!$A$5:$A$2000,0)),"")</f>
        <v>2.0379999999999998</v>
      </c>
      <c r="K474">
        <f>IFERROR(INDEX('Green_rooibos initial weight'!$C$5:$C$2000,MATCH(I474, 'Green_rooibos initial weight'!$A$5:$A$2000,0)),"")</f>
        <v>2.1019999999999999</v>
      </c>
      <c r="L474" s="194">
        <f t="shared" si="55"/>
        <v>1.7881999999999998</v>
      </c>
      <c r="M474" s="233">
        <f>AVERAGE(Ashed_controlls!$K$1:$K$11)</f>
        <v>5.5147656768714146</v>
      </c>
      <c r="N474" s="194">
        <f t="shared" si="54"/>
        <v>1.8521999999999998</v>
      </c>
      <c r="O474" s="376">
        <f>IF('Dry_Litterbag Placem_Collection'!G181="","",'Dry_Litterbag Placem_Collection'!G181)</f>
        <v>43009</v>
      </c>
      <c r="P474" s="194">
        <f>IFERROR(INDEX('Both teabags AfterDry'!$D$3:$D$2000,MATCH(H474,'Both teabags AfterDry'!$A$3:$A$2000,0)),"")</f>
        <v>0.871</v>
      </c>
      <c r="Q474" s="194">
        <f>IFERROR(INDEX('Both teabags AfterDry'!$D$3:$D$2000,MATCH(I474,'Both teabags AfterDry'!$A$3:$A$2000,0)),"")</f>
        <v>1.6580999999999999</v>
      </c>
      <c r="R474" s="194">
        <f t="shared" si="56"/>
        <v>0.72039999999999993</v>
      </c>
      <c r="S474" s="194">
        <f t="shared" si="56"/>
        <v>1.5074999999999998</v>
      </c>
      <c r="T474" s="194">
        <f t="shared" si="57"/>
        <v>0.59713678559445249</v>
      </c>
      <c r="U474" s="194">
        <f t="shared" si="58"/>
        <v>0.39147209696928481</v>
      </c>
      <c r="V474" s="194">
        <f t="shared" si="59"/>
        <v>0.81389698736637506</v>
      </c>
      <c r="W474">
        <f t="shared" si="60"/>
        <v>69</v>
      </c>
      <c r="X474" s="194">
        <f t="shared" si="61"/>
        <v>0.29081141853390435</v>
      </c>
      <c r="Y474" s="194">
        <f t="shared" si="62"/>
        <v>9.3493546238809459E-3</v>
      </c>
      <c r="Z474" s="245" t="str">
        <f>IF(ISNUMBER(SEARCH("C", 'Dry_Litterbag Placem_Collection'!$V181)),"YES","NO")</f>
        <v>NO</v>
      </c>
      <c r="AA474" s="245" t="str">
        <f>IF(ISNUMBER(SEARCH("H", 'Dry_Litterbag Placem_Collection'!$V181)),"YES","NO")</f>
        <v>NO</v>
      </c>
      <c r="AB474" s="245" t="str">
        <f>IF(ISNUMBER(SEARCH("R", 'Dry_Litterbag Placem_Collection'!$V181)),"YES","NO")</f>
        <v>NO</v>
      </c>
      <c r="AC474" s="245" t="str">
        <f>IF(ISNUMBER(SEARCH("C", 'Dry_Litterbag Placem_Collection'!$U181)),"YES","NO")</f>
        <v>NO</v>
      </c>
      <c r="AD474" s="245" t="str">
        <f>IF(ISNUMBER(SEARCH("H", 'Dry_Litterbag Placem_Collection'!$U181)),"YES","NO")</f>
        <v>NO</v>
      </c>
      <c r="AE474" s="245" t="str">
        <f>IF(ISNUMBER(SEARCH("R", 'Dry_Litterbag Placem_Collection'!$U181)),"YES","NO")</f>
        <v>YES</v>
      </c>
    </row>
    <row r="475" spans="2:31">
      <c r="B475" t="str">
        <f>Dryseason!B621</f>
        <v>Dry</v>
      </c>
      <c r="C475" s="253">
        <f>Dryseason!C621</f>
        <v>180</v>
      </c>
      <c r="D475" t="s">
        <v>3129</v>
      </c>
      <c r="E475" t="s">
        <v>25</v>
      </c>
      <c r="F475" s="375">
        <v>4</v>
      </c>
      <c r="G475" s="376">
        <f>IF('Dry_Litterbag Placem_Collection'!E182="","",'Dry_Litterbag Placem_Collection'!E182)</f>
        <v>42940</v>
      </c>
      <c r="H475" s="92" t="str">
        <f>Dryseason!L621</f>
        <v>G422</v>
      </c>
      <c r="I475" t="str">
        <f>Dryseason!L841</f>
        <v>R669</v>
      </c>
      <c r="J475">
        <f>IFERROR(INDEX('Green_rooibos initial weight'!$C$5:$C$2000,MATCH(H475, 'Green_rooibos initial weight'!$A$5:$A$2000,0)),"")</f>
        <v>2.0049999999999999</v>
      </c>
      <c r="K475">
        <f>IFERROR(INDEX('Green_rooibos initial weight'!$C$5:$C$2000,MATCH(I475, 'Green_rooibos initial weight'!$A$5:$A$2000,0)),"")</f>
        <v>2.1480000000000001</v>
      </c>
      <c r="L475" s="194">
        <f t="shared" si="55"/>
        <v>1.7551999999999999</v>
      </c>
      <c r="M475" s="233">
        <f>AVERAGE(Ashed_controlls!$K$1:$K$11)</f>
        <v>5.5147656768714146</v>
      </c>
      <c r="N475" s="194">
        <f t="shared" si="54"/>
        <v>1.8982000000000001</v>
      </c>
      <c r="O475" s="376">
        <f>IF('Dry_Litterbag Placem_Collection'!G182="","",'Dry_Litterbag Placem_Collection'!G182)</f>
        <v>43009</v>
      </c>
      <c r="P475" s="194">
        <f>IFERROR(INDEX('Both teabags AfterDry'!$D$3:$D$2000,MATCH(H475,'Both teabags AfterDry'!$A$3:$A$2000,0)),"")</f>
        <v>0.751</v>
      </c>
      <c r="Q475" s="194">
        <f>IFERROR(INDEX('Both teabags AfterDry'!$D$3:$D$2000,MATCH(I475,'Both teabags AfterDry'!$A$3:$A$2000,0)),"")</f>
        <v>1.6716</v>
      </c>
      <c r="R475" s="194">
        <f t="shared" si="56"/>
        <v>0.60040000000000004</v>
      </c>
      <c r="S475" s="194">
        <f t="shared" si="56"/>
        <v>1.5209999999999999</v>
      </c>
      <c r="T475" s="194">
        <f t="shared" si="57"/>
        <v>0.6579307201458523</v>
      </c>
      <c r="U475" s="194">
        <f t="shared" si="58"/>
        <v>0.43132750299348038</v>
      </c>
      <c r="V475" s="194">
        <f t="shared" si="59"/>
        <v>0.8012854283004951</v>
      </c>
      <c r="W475">
        <f t="shared" si="60"/>
        <v>69</v>
      </c>
      <c r="X475" s="194">
        <f t="shared" si="61"/>
        <v>0.2186095960263037</v>
      </c>
      <c r="Y475" s="194">
        <f t="shared" si="62"/>
        <v>8.9491570462087167E-3</v>
      </c>
      <c r="Z475" s="245" t="str">
        <f>IF(ISNUMBER(SEARCH("C", 'Dry_Litterbag Placem_Collection'!$V182)),"YES","NO")</f>
        <v>NO</v>
      </c>
      <c r="AA475" s="245" t="str">
        <f>IF(ISNUMBER(SEARCH("H", 'Dry_Litterbag Placem_Collection'!$V182)),"YES","NO")</f>
        <v>NO</v>
      </c>
      <c r="AB475" s="245" t="str">
        <f>IF(ISNUMBER(SEARCH("R", 'Dry_Litterbag Placem_Collection'!$V182)),"YES","NO")</f>
        <v>NO</v>
      </c>
      <c r="AC475" s="245" t="str">
        <f>IF(ISNUMBER(SEARCH("C", 'Dry_Litterbag Placem_Collection'!$U182)),"YES","NO")</f>
        <v>NO</v>
      </c>
      <c r="AD475" s="245" t="str">
        <f>IF(ISNUMBER(SEARCH("H", 'Dry_Litterbag Placem_Collection'!$U182)),"YES","NO")</f>
        <v>NO</v>
      </c>
      <c r="AE475" s="245" t="str">
        <f>IF(ISNUMBER(SEARCH("R", 'Dry_Litterbag Placem_Collection'!$U182)),"YES","NO")</f>
        <v>YES</v>
      </c>
    </row>
    <row r="476" spans="2:31">
      <c r="B476" t="str">
        <f>Dryseason!B622</f>
        <v>Dry</v>
      </c>
      <c r="C476" s="253">
        <f>Dryseason!C622</f>
        <v>181</v>
      </c>
      <c r="D476" t="s">
        <v>3129</v>
      </c>
      <c r="E476" t="s">
        <v>25</v>
      </c>
      <c r="F476" s="375">
        <v>5</v>
      </c>
      <c r="G476" s="376">
        <f>IF('Dry_Litterbag Placem_Collection'!E183="","",'Dry_Litterbag Placem_Collection'!E183)</f>
        <v>42940</v>
      </c>
      <c r="H476" s="92" t="str">
        <f>Dryseason!L622</f>
        <v>G870</v>
      </c>
      <c r="I476" t="str">
        <f>Dryseason!L842</f>
        <v>R170</v>
      </c>
      <c r="J476">
        <f>IFERROR(INDEX('Green_rooibos initial weight'!$C$5:$C$2000,MATCH(H476, 'Green_rooibos initial weight'!$A$5:$A$2000,0)),"")</f>
        <v>1.972</v>
      </c>
      <c r="K476">
        <f>IFERROR(INDEX('Green_rooibos initial weight'!$C$5:$C$2000,MATCH(I476, 'Green_rooibos initial weight'!$A$5:$A$2000,0)),"")</f>
        <v>2.1120000000000001</v>
      </c>
      <c r="L476" s="194">
        <f t="shared" si="55"/>
        <v>1.7222</v>
      </c>
      <c r="M476" s="233">
        <f>AVERAGE(Ashed_controlls!$K$1:$K$11)</f>
        <v>5.5147656768714146</v>
      </c>
      <c r="N476" s="194">
        <f t="shared" si="54"/>
        <v>1.8622000000000001</v>
      </c>
      <c r="O476" s="376">
        <f>IF('Dry_Litterbag Placem_Collection'!G183="","",'Dry_Litterbag Placem_Collection'!G183)</f>
        <v>43009</v>
      </c>
      <c r="P476" s="194">
        <f>IFERROR(INDEX('Both teabags AfterDry'!$D$3:$D$2000,MATCH(H476,'Both teabags AfterDry'!$A$3:$A$2000,0)),"")</f>
        <v>0.75219999999999998</v>
      </c>
      <c r="Q476" s="194">
        <f>IFERROR(INDEX('Both teabags AfterDry'!$D$3:$D$2000,MATCH(I476,'Both teabags AfterDry'!$A$3:$A$2000,0)),"")</f>
        <v>1.7410000000000001</v>
      </c>
      <c r="R476" s="194">
        <f t="shared" si="56"/>
        <v>0.60159999999999991</v>
      </c>
      <c r="S476" s="194">
        <f t="shared" si="56"/>
        <v>1.5904</v>
      </c>
      <c r="T476" s="194">
        <f t="shared" si="57"/>
        <v>0.6506793636046917</v>
      </c>
      <c r="U476" s="194">
        <f t="shared" si="58"/>
        <v>0.42657364454844404</v>
      </c>
      <c r="V476" s="194">
        <f t="shared" si="59"/>
        <v>0.85404360433895388</v>
      </c>
      <c r="W476">
        <f t="shared" si="60"/>
        <v>69</v>
      </c>
      <c r="X476" s="194">
        <f t="shared" si="61"/>
        <v>0.22722165842673192</v>
      </c>
      <c r="Y476" s="194">
        <f t="shared" si="62"/>
        <v>6.0694693719159816E-3</v>
      </c>
      <c r="Z476" s="245" t="str">
        <f>IF(ISNUMBER(SEARCH("C", 'Dry_Litterbag Placem_Collection'!$V183)),"YES","NO")</f>
        <v>NO</v>
      </c>
      <c r="AA476" s="245" t="str">
        <f>IF(ISNUMBER(SEARCH("H", 'Dry_Litterbag Placem_Collection'!$V183)),"YES","NO")</f>
        <v>NO</v>
      </c>
      <c r="AB476" s="245" t="str">
        <f>IF(ISNUMBER(SEARCH("R", 'Dry_Litterbag Placem_Collection'!$V183)),"YES","NO")</f>
        <v>NO</v>
      </c>
      <c r="AC476" s="245" t="str">
        <f>IF(ISNUMBER(SEARCH("C", 'Dry_Litterbag Placem_Collection'!$U183)),"YES","NO")</f>
        <v>NO</v>
      </c>
      <c r="AD476" s="245" t="str">
        <f>IF(ISNUMBER(SEARCH("H", 'Dry_Litterbag Placem_Collection'!$U183)),"YES","NO")</f>
        <v>NO</v>
      </c>
      <c r="AE476" s="245" t="str">
        <f>IF(ISNUMBER(SEARCH("R", 'Dry_Litterbag Placem_Collection'!$U183)),"YES","NO")</f>
        <v>NO</v>
      </c>
    </row>
    <row r="477" spans="2:31">
      <c r="B477" t="str">
        <f>Dryseason!B623</f>
        <v>Dry</v>
      </c>
      <c r="C477" s="253">
        <f>Dryseason!C623</f>
        <v>182</v>
      </c>
      <c r="D477" t="s">
        <v>3129</v>
      </c>
      <c r="E477" t="s">
        <v>25</v>
      </c>
      <c r="F477" s="375">
        <v>6</v>
      </c>
      <c r="G477" s="376">
        <f>IF('Dry_Litterbag Placem_Collection'!E184="","",'Dry_Litterbag Placem_Collection'!E184)</f>
        <v>42940</v>
      </c>
      <c r="H477" s="92" t="str">
        <f>Dryseason!L623</f>
        <v>G136</v>
      </c>
      <c r="I477" t="str">
        <f>Dryseason!L843</f>
        <v>R697</v>
      </c>
      <c r="J477">
        <f>IFERROR(INDEX('Green_rooibos initial weight'!$C$5:$C$2000,MATCH(H477, 'Green_rooibos initial weight'!$A$5:$A$2000,0)),"")</f>
        <v>1.9430000000000001</v>
      </c>
      <c r="K477">
        <f>IFERROR(INDEX('Green_rooibos initial weight'!$C$5:$C$2000,MATCH(I477, 'Green_rooibos initial weight'!$A$5:$A$2000,0)),"")</f>
        <v>2.133</v>
      </c>
      <c r="L477" s="194">
        <f t="shared" si="55"/>
        <v>1.6932</v>
      </c>
      <c r="M477" s="233">
        <f>AVERAGE(Ashed_controlls!$K$1:$K$11)</f>
        <v>5.5147656768714146</v>
      </c>
      <c r="N477" s="194">
        <f t="shared" si="54"/>
        <v>1.8832</v>
      </c>
      <c r="O477" s="376">
        <f>IF('Dry_Litterbag Placem_Collection'!G184="","",'Dry_Litterbag Placem_Collection'!G184)</f>
        <v>43009</v>
      </c>
      <c r="P477" s="194">
        <f>IFERROR(INDEX('Both teabags AfterDry'!$D$3:$D$2000,MATCH(H477,'Both teabags AfterDry'!$A$3:$A$2000,0)),"")</f>
        <v>0.71589999999999998</v>
      </c>
      <c r="Q477" s="194">
        <f>IFERROR(INDEX('Both teabags AfterDry'!$D$3:$D$2000,MATCH(I477,'Both teabags AfterDry'!$A$3:$A$2000,0)),"")</f>
        <v>1.8089</v>
      </c>
      <c r="R477" s="194">
        <f t="shared" si="56"/>
        <v>0.56529999999999991</v>
      </c>
      <c r="S477" s="194">
        <f t="shared" si="56"/>
        <v>1.6582999999999999</v>
      </c>
      <c r="T477" s="194">
        <f t="shared" si="57"/>
        <v>0.66613512875029535</v>
      </c>
      <c r="U477" s="194">
        <f t="shared" si="58"/>
        <v>0.43670616516646449</v>
      </c>
      <c r="V477" s="194">
        <f t="shared" si="59"/>
        <v>0.8805756159728122</v>
      </c>
      <c r="W477">
        <f t="shared" si="60"/>
        <v>69</v>
      </c>
      <c r="X477" s="194">
        <f t="shared" si="61"/>
        <v>0.20886564281437603</v>
      </c>
      <c r="Y477" s="194">
        <f t="shared" si="62"/>
        <v>4.6300043403323552E-3</v>
      </c>
      <c r="Z477" s="245" t="str">
        <f>IF(ISNUMBER(SEARCH("C", 'Dry_Litterbag Placem_Collection'!$V184)),"YES","NO")</f>
        <v>NO</v>
      </c>
      <c r="AA477" s="245" t="str">
        <f>IF(ISNUMBER(SEARCH("H", 'Dry_Litterbag Placem_Collection'!$V184)),"YES","NO")</f>
        <v>NO</v>
      </c>
      <c r="AB477" s="245" t="str">
        <f>IF(ISNUMBER(SEARCH("R", 'Dry_Litterbag Placem_Collection'!$V184)),"YES","NO")</f>
        <v>NO</v>
      </c>
      <c r="AC477" s="245" t="str">
        <f>IF(ISNUMBER(SEARCH("C", 'Dry_Litterbag Placem_Collection'!$U184)),"YES","NO")</f>
        <v>NO</v>
      </c>
      <c r="AD477" s="245" t="str">
        <f>IF(ISNUMBER(SEARCH("H", 'Dry_Litterbag Placem_Collection'!$U184)),"YES","NO")</f>
        <v>NO</v>
      </c>
      <c r="AE477" s="245" t="str">
        <f>IF(ISNUMBER(SEARCH("R", 'Dry_Litterbag Placem_Collection'!$U184)),"YES","NO")</f>
        <v>YES</v>
      </c>
    </row>
    <row r="478" spans="2:31">
      <c r="B478" t="str">
        <f>Dryseason!B624</f>
        <v>Dry</v>
      </c>
      <c r="C478" s="253">
        <f>Dryseason!C624</f>
        <v>183</v>
      </c>
      <c r="D478" t="s">
        <v>3129</v>
      </c>
      <c r="E478" t="s">
        <v>25</v>
      </c>
      <c r="F478" s="375">
        <v>7</v>
      </c>
      <c r="G478" s="376" t="str">
        <f>IF('Dry_Litterbag Placem_Collection'!E185="","",'Dry_Litterbag Placem_Collection'!E185)</f>
        <v/>
      </c>
      <c r="H478" s="92" t="str">
        <f>Dryseason!L624</f>
        <v/>
      </c>
      <c r="I478" t="str">
        <f>Dryseason!L844</f>
        <v/>
      </c>
      <c r="J478" t="str">
        <f>IFERROR(INDEX('Green_rooibos initial weight'!$C$5:$C$2000,MATCH(H478, 'Green_rooibos initial weight'!$A$5:$A$2000,0)),"")</f>
        <v/>
      </c>
      <c r="K478" t="str">
        <f>IFERROR(INDEX('Green_rooibos initial weight'!$C$5:$C$2000,MATCH(I478, 'Green_rooibos initial weight'!$A$5:$A$2000,0)),"")</f>
        <v/>
      </c>
      <c r="L478" s="194" t="str">
        <f t="shared" si="55"/>
        <v/>
      </c>
      <c r="M478" s="233">
        <f>AVERAGE(Ashed_controlls!$K$1:$K$11)</f>
        <v>5.5147656768714146</v>
      </c>
      <c r="N478" s="194" t="str">
        <f t="shared" si="54"/>
        <v/>
      </c>
      <c r="O478" s="376" t="str">
        <f>IF('Dry_Litterbag Placem_Collection'!G185="","",'Dry_Litterbag Placem_Collection'!G185)</f>
        <v/>
      </c>
      <c r="P478" s="194" t="str">
        <f>IFERROR(INDEX('Both teabags AfterDry'!$D$3:$D$2000,MATCH(H478,'Both teabags AfterDry'!$A$3:$A$2000,0)),"")</f>
        <v/>
      </c>
      <c r="Q478" s="194" t="str">
        <f>IFERROR(INDEX('Both teabags AfterDry'!$D$3:$D$2000,MATCH(I478,'Both teabags AfterDry'!$A$3:$A$2000,0)),"")</f>
        <v/>
      </c>
      <c r="R478" s="194" t="str">
        <f t="shared" si="56"/>
        <v/>
      </c>
      <c r="S478" s="194" t="str">
        <f t="shared" si="56"/>
        <v/>
      </c>
      <c r="T478" s="194" t="str">
        <f t="shared" si="57"/>
        <v/>
      </c>
      <c r="U478" s="194" t="str">
        <f t="shared" si="58"/>
        <v/>
      </c>
      <c r="V478" s="194" t="str">
        <f t="shared" si="59"/>
        <v/>
      </c>
      <c r="W478" t="str">
        <f t="shared" si="60"/>
        <v/>
      </c>
      <c r="X478" s="194" t="str">
        <f t="shared" si="61"/>
        <v/>
      </c>
      <c r="Y478" s="194" t="str">
        <f t="shared" si="62"/>
        <v/>
      </c>
      <c r="Z478" s="245" t="str">
        <f>IF(ISNUMBER(SEARCH("C", 'Dry_Litterbag Placem_Collection'!$V185)),"YES","NO")</f>
        <v>NO</v>
      </c>
      <c r="AA478" s="245" t="str">
        <f>IF(ISNUMBER(SEARCH("H", 'Dry_Litterbag Placem_Collection'!$V185)),"YES","NO")</f>
        <v>NO</v>
      </c>
      <c r="AB478" s="245" t="str">
        <f>IF(ISNUMBER(SEARCH("R", 'Dry_Litterbag Placem_Collection'!$V185)),"YES","NO")</f>
        <v>NO</v>
      </c>
      <c r="AC478" s="245" t="str">
        <f>IF(ISNUMBER(SEARCH("C", 'Dry_Litterbag Placem_Collection'!$U185)),"YES","NO")</f>
        <v>NO</v>
      </c>
      <c r="AD478" s="245" t="str">
        <f>IF(ISNUMBER(SEARCH("H", 'Dry_Litterbag Placem_Collection'!$U185)),"YES","NO")</f>
        <v>NO</v>
      </c>
      <c r="AE478" s="245" t="str">
        <f>IF(ISNUMBER(SEARCH("R", 'Dry_Litterbag Placem_Collection'!$U185)),"YES","NO")</f>
        <v>NO</v>
      </c>
    </row>
    <row r="479" spans="2:31">
      <c r="B479" t="str">
        <f>Dryseason!B625</f>
        <v>Dry</v>
      </c>
      <c r="C479" s="253">
        <f>Dryseason!C625</f>
        <v>184</v>
      </c>
      <c r="D479" t="s">
        <v>3129</v>
      </c>
      <c r="E479" t="s">
        <v>25</v>
      </c>
      <c r="F479" s="375">
        <v>8</v>
      </c>
      <c r="G479" s="376">
        <f>IF('Dry_Litterbag Placem_Collection'!E186="","",'Dry_Litterbag Placem_Collection'!E186)</f>
        <v>42940</v>
      </c>
      <c r="H479" s="92" t="str">
        <f>Dryseason!L625</f>
        <v>G266</v>
      </c>
      <c r="I479" t="str">
        <f>Dryseason!L845</f>
        <v>R674</v>
      </c>
      <c r="J479">
        <f>IFERROR(INDEX('Green_rooibos initial weight'!$C$5:$C$2000,MATCH(H479, 'Green_rooibos initial weight'!$A$5:$A$2000,0)),"")</f>
        <v>1.9570000000000001</v>
      </c>
      <c r="K479">
        <f>IFERROR(INDEX('Green_rooibos initial weight'!$C$5:$C$2000,MATCH(I479, 'Green_rooibos initial weight'!$A$5:$A$2000,0)),"")</f>
        <v>2.1629999999999998</v>
      </c>
      <c r="L479" s="194">
        <f t="shared" si="55"/>
        <v>1.7072000000000001</v>
      </c>
      <c r="M479" s="233">
        <f>AVERAGE(Ashed_controlls!$K$1:$K$11)</f>
        <v>5.5147656768714146</v>
      </c>
      <c r="N479" s="194">
        <f t="shared" si="54"/>
        <v>1.9131999999999998</v>
      </c>
      <c r="O479" s="376">
        <f>IF('Dry_Litterbag Placem_Collection'!G186="","",'Dry_Litterbag Placem_Collection'!G186)</f>
        <v>43009</v>
      </c>
      <c r="P479" s="194">
        <f>IFERROR(INDEX('Both teabags AfterDry'!$D$3:$D$2000,MATCH(H479,'Both teabags AfterDry'!$A$3:$A$2000,0)),"")</f>
        <v>0.69879999999999998</v>
      </c>
      <c r="Q479" s="194">
        <f>IFERROR(INDEX('Both teabags AfterDry'!$D$3:$D$2000,MATCH(I479,'Both teabags AfterDry'!$A$3:$A$2000,0)),"")</f>
        <v>1.6498999999999999</v>
      </c>
      <c r="R479" s="194">
        <f t="shared" si="56"/>
        <v>0.54820000000000002</v>
      </c>
      <c r="S479" s="194">
        <f t="shared" si="56"/>
        <v>1.4992999999999999</v>
      </c>
      <c r="T479" s="194">
        <f t="shared" si="57"/>
        <v>0.6788894095595126</v>
      </c>
      <c r="U479" s="194">
        <f t="shared" si="58"/>
        <v>0.44506764142143823</v>
      </c>
      <c r="V479" s="194">
        <f t="shared" si="59"/>
        <v>0.78366088229144892</v>
      </c>
      <c r="W479">
        <f t="shared" si="60"/>
        <v>69</v>
      </c>
      <c r="X479" s="194">
        <f t="shared" si="61"/>
        <v>0.19371804090319167</v>
      </c>
      <c r="Y479" s="194">
        <f t="shared" si="62"/>
        <v>9.6476878183940837E-3</v>
      </c>
      <c r="Z479" s="245" t="str">
        <f>IF(ISNUMBER(SEARCH("C", 'Dry_Litterbag Placem_Collection'!$V186)),"YES","NO")</f>
        <v>NO</v>
      </c>
      <c r="AA479" s="245" t="str">
        <f>IF(ISNUMBER(SEARCH("H", 'Dry_Litterbag Placem_Collection'!$V186)),"YES","NO")</f>
        <v>NO</v>
      </c>
      <c r="AB479" s="245" t="str">
        <f>IF(ISNUMBER(SEARCH("R", 'Dry_Litterbag Placem_Collection'!$V186)),"YES","NO")</f>
        <v>NO</v>
      </c>
      <c r="AC479" s="245" t="str">
        <f>IF(ISNUMBER(SEARCH("C", 'Dry_Litterbag Placem_Collection'!$U186)),"YES","NO")</f>
        <v>NO</v>
      </c>
      <c r="AD479" s="245" t="str">
        <f>IF(ISNUMBER(SEARCH("H", 'Dry_Litterbag Placem_Collection'!$U186)),"YES","NO")</f>
        <v>NO</v>
      </c>
      <c r="AE479" s="245" t="str">
        <f>IF(ISNUMBER(SEARCH("R", 'Dry_Litterbag Placem_Collection'!$U186)),"YES","NO")</f>
        <v>YES</v>
      </c>
    </row>
    <row r="480" spans="2:31">
      <c r="B480" t="str">
        <f>Dryseason!B626</f>
        <v>Dry</v>
      </c>
      <c r="C480" s="253">
        <f>Dryseason!C626</f>
        <v>185</v>
      </c>
      <c r="D480" t="s">
        <v>3130</v>
      </c>
      <c r="E480" t="s">
        <v>25</v>
      </c>
      <c r="F480" s="374">
        <v>1</v>
      </c>
      <c r="G480" s="376">
        <f>IF('Dry_Litterbag Placem_Collection'!E187="","",'Dry_Litterbag Placem_Collection'!E187)</f>
        <v>42940</v>
      </c>
      <c r="H480" s="92" t="str">
        <f>Dryseason!L626</f>
        <v>G165</v>
      </c>
      <c r="I480" t="str">
        <f>Dryseason!L846</f>
        <v>R607</v>
      </c>
      <c r="J480">
        <f>IFERROR(INDEX('Green_rooibos initial weight'!$C$5:$C$2000,MATCH(H480, 'Green_rooibos initial weight'!$A$5:$A$2000,0)),"")</f>
        <v>2.0089999999999999</v>
      </c>
      <c r="K480">
        <f>IFERROR(INDEX('Green_rooibos initial weight'!$C$5:$C$2000,MATCH(I480, 'Green_rooibos initial weight'!$A$5:$A$2000,0)),"")</f>
        <v>2.14</v>
      </c>
      <c r="L480" s="194">
        <f t="shared" si="55"/>
        <v>1.7591999999999999</v>
      </c>
      <c r="M480" s="233">
        <f>AVERAGE(Ashed_controlls!$K$1:$K$11)</f>
        <v>5.5147656768714146</v>
      </c>
      <c r="N480" s="194">
        <f t="shared" si="54"/>
        <v>1.8902000000000001</v>
      </c>
      <c r="O480" s="376">
        <f>IF('Dry_Litterbag Placem_Collection'!G187="","",'Dry_Litterbag Placem_Collection'!G187)</f>
        <v>43009</v>
      </c>
      <c r="P480" s="194" t="str">
        <f>IFERROR(INDEX('Both teabags AfterDry'!$D$3:$D$2000,MATCH(H480,'Both teabags AfterDry'!$A$3:$A$2000,0)),"")</f>
        <v/>
      </c>
      <c r="Q480" s="194" t="str">
        <f>IFERROR(INDEX('Both teabags AfterDry'!$D$3:$D$2000,MATCH(I480,'Both teabags AfterDry'!$A$3:$A$2000,0)),"")</f>
        <v/>
      </c>
      <c r="R480" s="194" t="str">
        <f t="shared" si="56"/>
        <v/>
      </c>
      <c r="S480" s="194" t="str">
        <f t="shared" si="56"/>
        <v/>
      </c>
      <c r="T480" s="194" t="str">
        <f t="shared" si="57"/>
        <v/>
      </c>
      <c r="U480" s="194" t="str">
        <f t="shared" si="58"/>
        <v/>
      </c>
      <c r="V480" s="194" t="str">
        <f t="shared" si="59"/>
        <v/>
      </c>
      <c r="W480">
        <f t="shared" si="60"/>
        <v>69</v>
      </c>
      <c r="X480" s="194" t="str">
        <f t="shared" si="61"/>
        <v/>
      </c>
      <c r="Y480" s="194" t="str">
        <f t="shared" si="62"/>
        <v/>
      </c>
      <c r="Z480" s="245" t="str">
        <f>IF(ISNUMBER(SEARCH("C", 'Dry_Litterbag Placem_Collection'!$V187)),"YES","NO")</f>
        <v>NO</v>
      </c>
      <c r="AA480" s="245" t="str">
        <f>IF(ISNUMBER(SEARCH("H", 'Dry_Litterbag Placem_Collection'!$V187)),"YES","NO")</f>
        <v>NO</v>
      </c>
      <c r="AB480" s="245" t="str">
        <f>IF(ISNUMBER(SEARCH("R", 'Dry_Litterbag Placem_Collection'!$V187)),"YES","NO")</f>
        <v>NO</v>
      </c>
      <c r="AC480" s="245" t="str">
        <f>IF(ISNUMBER(SEARCH("C", 'Dry_Litterbag Placem_Collection'!$U187)),"YES","NO")</f>
        <v>NO</v>
      </c>
      <c r="AD480" s="245" t="str">
        <f>IF(ISNUMBER(SEARCH("H", 'Dry_Litterbag Placem_Collection'!$U187)),"YES","NO")</f>
        <v>NO</v>
      </c>
      <c r="AE480" s="245" t="str">
        <f>IF(ISNUMBER(SEARCH("R", 'Dry_Litterbag Placem_Collection'!$U187)),"YES","NO")</f>
        <v>YES</v>
      </c>
    </row>
    <row r="481" spans="2:31">
      <c r="B481" t="str">
        <f>Dryseason!B627</f>
        <v>Dry</v>
      </c>
      <c r="C481" s="253">
        <f>Dryseason!C627</f>
        <v>186</v>
      </c>
      <c r="D481" t="s">
        <v>3130</v>
      </c>
      <c r="E481" t="s">
        <v>25</v>
      </c>
      <c r="F481" s="374">
        <v>2</v>
      </c>
      <c r="G481" s="376">
        <f>IF('Dry_Litterbag Placem_Collection'!E188="","",'Dry_Litterbag Placem_Collection'!E188)</f>
        <v>42940</v>
      </c>
      <c r="H481" s="92" t="str">
        <f>Dryseason!L627</f>
        <v>G22</v>
      </c>
      <c r="I481" t="str">
        <f>Dryseason!L847</f>
        <v>R629</v>
      </c>
      <c r="J481">
        <f>IFERROR(INDEX('Green_rooibos initial weight'!$C$5:$C$2000,MATCH(H481, 'Green_rooibos initial weight'!$A$5:$A$2000,0)),"")</f>
        <v>2.1</v>
      </c>
      <c r="K481">
        <f>IFERROR(INDEX('Green_rooibos initial weight'!$C$5:$C$2000,MATCH(I481, 'Green_rooibos initial weight'!$A$5:$A$2000,0)),"")</f>
        <v>2.1669999999999998</v>
      </c>
      <c r="L481" s="194">
        <f t="shared" si="55"/>
        <v>1.8502000000000001</v>
      </c>
      <c r="M481" s="233">
        <f>AVERAGE(Ashed_controlls!$K$1:$K$11)</f>
        <v>5.5147656768714146</v>
      </c>
      <c r="N481" s="194">
        <f t="shared" si="54"/>
        <v>1.9171999999999998</v>
      </c>
      <c r="O481" s="376">
        <f>IF('Dry_Litterbag Placem_Collection'!G188="","",'Dry_Litterbag Placem_Collection'!G188)</f>
        <v>43009</v>
      </c>
      <c r="P481" s="194">
        <f>IFERROR(INDEX('Both teabags AfterDry'!$D$3:$D$2000,MATCH(H481,'Both teabags AfterDry'!$A$3:$A$2000,0)),"")</f>
        <v>0.7238</v>
      </c>
      <c r="Q481" s="194">
        <f>IFERROR(INDEX('Both teabags AfterDry'!$D$3:$D$2000,MATCH(I481,'Both teabags AfterDry'!$A$3:$A$2000,0)),"")</f>
        <v>1.8498000000000001</v>
      </c>
      <c r="R481" s="194">
        <f t="shared" si="56"/>
        <v>0.57319999999999993</v>
      </c>
      <c r="S481" s="194">
        <f t="shared" si="56"/>
        <v>1.6992</v>
      </c>
      <c r="T481" s="194">
        <f t="shared" si="57"/>
        <v>0.69019565452383524</v>
      </c>
      <c r="U481" s="194">
        <f t="shared" si="58"/>
        <v>0.45247981151681366</v>
      </c>
      <c r="V481" s="194">
        <f t="shared" si="59"/>
        <v>0.88629250991028596</v>
      </c>
      <c r="W481">
        <f t="shared" si="60"/>
        <v>69</v>
      </c>
      <c r="X481" s="194">
        <f t="shared" si="61"/>
        <v>0.18029019652751155</v>
      </c>
      <c r="Y481" s="194">
        <f t="shared" si="62"/>
        <v>4.1944185967748571E-3</v>
      </c>
      <c r="Z481" s="245" t="str">
        <f>IF(ISNUMBER(SEARCH("C", 'Dry_Litterbag Placem_Collection'!$V188)),"YES","NO")</f>
        <v>NO</v>
      </c>
      <c r="AA481" s="245" t="str">
        <f>IF(ISNUMBER(SEARCH("H", 'Dry_Litterbag Placem_Collection'!$V188)),"YES","NO")</f>
        <v>NO</v>
      </c>
      <c r="AB481" s="245" t="str">
        <f>IF(ISNUMBER(SEARCH("R", 'Dry_Litterbag Placem_Collection'!$V188)),"YES","NO")</f>
        <v>NO</v>
      </c>
      <c r="AC481" s="245" t="str">
        <f>IF(ISNUMBER(SEARCH("C", 'Dry_Litterbag Placem_Collection'!$U188)),"YES","NO")</f>
        <v>NO</v>
      </c>
      <c r="AD481" s="245" t="str">
        <f>IF(ISNUMBER(SEARCH("H", 'Dry_Litterbag Placem_Collection'!$U188)),"YES","NO")</f>
        <v>NO</v>
      </c>
      <c r="AE481" s="245" t="str">
        <f>IF(ISNUMBER(SEARCH("R", 'Dry_Litterbag Placem_Collection'!$U188)),"YES","NO")</f>
        <v>NO</v>
      </c>
    </row>
    <row r="482" spans="2:31">
      <c r="B482" t="str">
        <f>Dryseason!B628</f>
        <v>Dry</v>
      </c>
      <c r="C482" s="253">
        <f>Dryseason!C628</f>
        <v>187</v>
      </c>
      <c r="D482" t="s">
        <v>3130</v>
      </c>
      <c r="E482" t="s">
        <v>25</v>
      </c>
      <c r="F482" s="374">
        <v>3</v>
      </c>
      <c r="G482" s="376">
        <f>IF('Dry_Litterbag Placem_Collection'!E189="","",'Dry_Litterbag Placem_Collection'!E189)</f>
        <v>42940</v>
      </c>
      <c r="H482" s="92" t="str">
        <f>Dryseason!L628</f>
        <v>G371</v>
      </c>
      <c r="I482" t="str">
        <f>Dryseason!L848</f>
        <v>R679</v>
      </c>
      <c r="J482">
        <f>IFERROR(INDEX('Green_rooibos initial weight'!$C$5:$C$2000,MATCH(H482, 'Green_rooibos initial weight'!$A$5:$A$2000,0)),"")</f>
        <v>2.06</v>
      </c>
      <c r="K482">
        <f>IFERROR(INDEX('Green_rooibos initial weight'!$C$5:$C$2000,MATCH(I482, 'Green_rooibos initial weight'!$A$5:$A$2000,0)),"")</f>
        <v>2.149</v>
      </c>
      <c r="L482" s="194">
        <f t="shared" si="55"/>
        <v>1.8102</v>
      </c>
      <c r="M482" s="233">
        <f>AVERAGE(Ashed_controlls!$K$1:$K$11)</f>
        <v>5.5147656768714146</v>
      </c>
      <c r="N482" s="194">
        <f t="shared" si="54"/>
        <v>1.8992</v>
      </c>
      <c r="O482" s="376">
        <f>IF('Dry_Litterbag Placem_Collection'!G189="","",'Dry_Litterbag Placem_Collection'!G189)</f>
        <v>43009</v>
      </c>
      <c r="P482" s="194">
        <f>IFERROR(INDEX('Both teabags AfterDry'!$D$3:$D$2000,MATCH(H482,'Both teabags AfterDry'!$A$3:$A$2000,0)),"")</f>
        <v>0.81369999999999998</v>
      </c>
      <c r="Q482" s="194">
        <f>IFERROR(INDEX('Both teabags AfterDry'!$D$3:$D$2000,MATCH(I482,'Both teabags AfterDry'!$A$3:$A$2000,0)),"")</f>
        <v>1.7021999999999999</v>
      </c>
      <c r="R482" s="194">
        <f t="shared" si="56"/>
        <v>0.66310000000000002</v>
      </c>
      <c r="S482" s="194">
        <f t="shared" si="56"/>
        <v>1.5515999999999999</v>
      </c>
      <c r="T482" s="194">
        <f t="shared" si="57"/>
        <v>0.63368688542702456</v>
      </c>
      <c r="U482" s="194">
        <f t="shared" si="58"/>
        <v>0.41543368260774061</v>
      </c>
      <c r="V482" s="194">
        <f t="shared" si="59"/>
        <v>0.81697556866048859</v>
      </c>
      <c r="W482">
        <f t="shared" si="60"/>
        <v>69</v>
      </c>
      <c r="X482" s="194">
        <f t="shared" si="61"/>
        <v>0.2474027488990207</v>
      </c>
      <c r="Y482" s="194">
        <f t="shared" si="62"/>
        <v>8.4177269739579494E-3</v>
      </c>
      <c r="Z482" s="245" t="str">
        <f>IF(ISNUMBER(SEARCH("C", 'Dry_Litterbag Placem_Collection'!$V189)),"YES","NO")</f>
        <v>NO</v>
      </c>
      <c r="AA482" s="245" t="str">
        <f>IF(ISNUMBER(SEARCH("H", 'Dry_Litterbag Placem_Collection'!$V189)),"YES","NO")</f>
        <v>NO</v>
      </c>
      <c r="AB482" s="245" t="str">
        <f>IF(ISNUMBER(SEARCH("R", 'Dry_Litterbag Placem_Collection'!$V189)),"YES","NO")</f>
        <v>NO</v>
      </c>
      <c r="AC482" s="245" t="str">
        <f>IF(ISNUMBER(SEARCH("C", 'Dry_Litterbag Placem_Collection'!$U189)),"YES","NO")</f>
        <v>NO</v>
      </c>
      <c r="AD482" s="245" t="str">
        <f>IF(ISNUMBER(SEARCH("H", 'Dry_Litterbag Placem_Collection'!$U189)),"YES","NO")</f>
        <v>NO</v>
      </c>
      <c r="AE482" s="245" t="str">
        <f>IF(ISNUMBER(SEARCH("R", 'Dry_Litterbag Placem_Collection'!$U189)),"YES","NO")</f>
        <v>NO</v>
      </c>
    </row>
    <row r="483" spans="2:31">
      <c r="B483" t="str">
        <f>Dryseason!B629</f>
        <v>Dry</v>
      </c>
      <c r="C483" s="253">
        <f>Dryseason!C629</f>
        <v>188</v>
      </c>
      <c r="D483" t="s">
        <v>3130</v>
      </c>
      <c r="E483" t="s">
        <v>25</v>
      </c>
      <c r="F483" s="375">
        <v>4</v>
      </c>
      <c r="G483" s="376">
        <f>IF('Dry_Litterbag Placem_Collection'!E190="","",'Dry_Litterbag Placem_Collection'!E190)</f>
        <v>42940</v>
      </c>
      <c r="H483" s="92" t="str">
        <f>Dryseason!L629</f>
        <v>G185</v>
      </c>
      <c r="I483" t="str">
        <f>Dryseason!L849</f>
        <v>R682</v>
      </c>
      <c r="J483">
        <f>IFERROR(INDEX('Green_rooibos initial weight'!$C$5:$C$2000,MATCH(H483, 'Green_rooibos initial weight'!$A$5:$A$2000,0)),"")</f>
        <v>2.13</v>
      </c>
      <c r="K483">
        <f>IFERROR(INDEX('Green_rooibos initial weight'!$C$5:$C$2000,MATCH(I483, 'Green_rooibos initial weight'!$A$5:$A$2000,0)),"")</f>
        <v>2.1720000000000002</v>
      </c>
      <c r="L483" s="194">
        <f t="shared" si="55"/>
        <v>1.8801999999999999</v>
      </c>
      <c r="M483" s="233">
        <f>AVERAGE(Ashed_controlls!$K$1:$K$11)</f>
        <v>5.5147656768714146</v>
      </c>
      <c r="N483" s="194">
        <f t="shared" si="54"/>
        <v>1.9222000000000001</v>
      </c>
      <c r="O483" s="376">
        <f>IF('Dry_Litterbag Placem_Collection'!G190="","",'Dry_Litterbag Placem_Collection'!G190)</f>
        <v>43009</v>
      </c>
      <c r="P483" s="194">
        <f>IFERROR(INDEX('Both teabags AfterDry'!$D$3:$D$2000,MATCH(H483,'Both teabags AfterDry'!$A$3:$A$2000,0)),"")</f>
        <v>0.74670000000000003</v>
      </c>
      <c r="Q483" s="194">
        <f>IFERROR(INDEX('Both teabags AfterDry'!$D$3:$D$2000,MATCH(I483,'Both teabags AfterDry'!$A$3:$A$2000,0)),"")</f>
        <v>1.7353000000000001</v>
      </c>
      <c r="R483" s="194">
        <f t="shared" si="56"/>
        <v>0.59610000000000007</v>
      </c>
      <c r="S483" s="194">
        <f t="shared" si="56"/>
        <v>1.5847</v>
      </c>
      <c r="T483" s="194">
        <f t="shared" si="57"/>
        <v>0.68295925965322835</v>
      </c>
      <c r="U483" s="194">
        <f t="shared" si="58"/>
        <v>0.44773576167290036</v>
      </c>
      <c r="V483" s="194">
        <f t="shared" si="59"/>
        <v>0.82441993549058368</v>
      </c>
      <c r="W483">
        <f t="shared" si="60"/>
        <v>69</v>
      </c>
      <c r="X483" s="194">
        <f t="shared" si="61"/>
        <v>0.18888448972300664</v>
      </c>
      <c r="Y483" s="194">
        <f t="shared" si="62"/>
        <v>7.2149119150584917E-3</v>
      </c>
      <c r="Z483" s="245" t="str">
        <f>IF(ISNUMBER(SEARCH("C", 'Dry_Litterbag Placem_Collection'!$V190)),"YES","NO")</f>
        <v>NO</v>
      </c>
      <c r="AA483" s="245" t="str">
        <f>IF(ISNUMBER(SEARCH("H", 'Dry_Litterbag Placem_Collection'!$V190)),"YES","NO")</f>
        <v>NO</v>
      </c>
      <c r="AB483" s="245" t="str">
        <f>IF(ISNUMBER(SEARCH("R", 'Dry_Litterbag Placem_Collection'!$V190)),"YES","NO")</f>
        <v>NO</v>
      </c>
      <c r="AC483" s="245" t="str">
        <f>IF(ISNUMBER(SEARCH("C", 'Dry_Litterbag Placem_Collection'!$U190)),"YES","NO")</f>
        <v>NO</v>
      </c>
      <c r="AD483" s="245" t="str">
        <f>IF(ISNUMBER(SEARCH("H", 'Dry_Litterbag Placem_Collection'!$U190)),"YES","NO")</f>
        <v>NO</v>
      </c>
      <c r="AE483" s="245" t="str">
        <f>IF(ISNUMBER(SEARCH("R", 'Dry_Litterbag Placem_Collection'!$U190)),"YES","NO")</f>
        <v>NO</v>
      </c>
    </row>
    <row r="484" spans="2:31">
      <c r="B484" t="str">
        <f>Dryseason!B630</f>
        <v>Dry</v>
      </c>
      <c r="C484" s="253">
        <f>Dryseason!C630</f>
        <v>189</v>
      </c>
      <c r="D484" t="s">
        <v>3130</v>
      </c>
      <c r="E484" t="s">
        <v>25</v>
      </c>
      <c r="F484" s="375">
        <v>5</v>
      </c>
      <c r="G484" s="376">
        <f>IF('Dry_Litterbag Placem_Collection'!E191="","",'Dry_Litterbag Placem_Collection'!E191)</f>
        <v>42940</v>
      </c>
      <c r="H484" s="92" t="str">
        <f>Dryseason!L630</f>
        <v>G301</v>
      </c>
      <c r="I484" t="str">
        <f>Dryseason!L850</f>
        <v>R693</v>
      </c>
      <c r="J484">
        <f>IFERROR(INDEX('Green_rooibos initial weight'!$C$5:$C$2000,MATCH(H484, 'Green_rooibos initial weight'!$A$5:$A$2000,0)),"")</f>
        <v>1.9379999999999999</v>
      </c>
      <c r="K484">
        <f>IFERROR(INDEX('Green_rooibos initial weight'!$C$5:$C$2000,MATCH(I484, 'Green_rooibos initial weight'!$A$5:$A$2000,0)),"")</f>
        <v>2.1789999999999998</v>
      </c>
      <c r="L484" s="194">
        <f t="shared" si="55"/>
        <v>1.6881999999999999</v>
      </c>
      <c r="M484" s="233">
        <f>AVERAGE(Ashed_controlls!$K$1:$K$11)</f>
        <v>5.5147656768714146</v>
      </c>
      <c r="N484" s="194">
        <f t="shared" si="54"/>
        <v>1.9291999999999998</v>
      </c>
      <c r="O484" s="376">
        <f>IF('Dry_Litterbag Placem_Collection'!G191="","",'Dry_Litterbag Placem_Collection'!G191)</f>
        <v>43009</v>
      </c>
      <c r="P484" s="194">
        <f>IFERROR(INDEX('Both teabags AfterDry'!$D$3:$D$2000,MATCH(H484,'Both teabags AfterDry'!$A$3:$A$2000,0)),"")</f>
        <v>0.66849999999999998</v>
      </c>
      <c r="Q484" s="194">
        <f>IFERROR(INDEX('Both teabags AfterDry'!$D$3:$D$2000,MATCH(I484,'Both teabags AfterDry'!$A$3:$A$2000,0)),"")</f>
        <v>1.919</v>
      </c>
      <c r="R484" s="194">
        <f t="shared" si="56"/>
        <v>0.51790000000000003</v>
      </c>
      <c r="S484" s="194">
        <f t="shared" si="56"/>
        <v>1.7684</v>
      </c>
      <c r="T484" s="194">
        <f t="shared" si="57"/>
        <v>0.69322355171188244</v>
      </c>
      <c r="U484" s="194">
        <f t="shared" si="58"/>
        <v>0.45446484625292061</v>
      </c>
      <c r="V484" s="194">
        <f t="shared" si="59"/>
        <v>0.91664938834750165</v>
      </c>
      <c r="W484">
        <f t="shared" si="60"/>
        <v>69</v>
      </c>
      <c r="X484" s="194">
        <f t="shared" si="61"/>
        <v>0.17669411910702792</v>
      </c>
      <c r="Y484" s="194">
        <f t="shared" si="62"/>
        <v>2.9363860791439848E-3</v>
      </c>
      <c r="Z484" s="245" t="str">
        <f>IF(ISNUMBER(SEARCH("C", 'Dry_Litterbag Placem_Collection'!$V191)),"YES","NO")</f>
        <v>NO</v>
      </c>
      <c r="AA484" s="245" t="str">
        <f>IF(ISNUMBER(SEARCH("H", 'Dry_Litterbag Placem_Collection'!$V191)),"YES","NO")</f>
        <v>NO</v>
      </c>
      <c r="AB484" s="245" t="str">
        <f>IF(ISNUMBER(SEARCH("R", 'Dry_Litterbag Placem_Collection'!$V191)),"YES","NO")</f>
        <v>NO</v>
      </c>
      <c r="AC484" s="245" t="str">
        <f>IF(ISNUMBER(SEARCH("C", 'Dry_Litterbag Placem_Collection'!$U191)),"YES","NO")</f>
        <v>NO</v>
      </c>
      <c r="AD484" s="245" t="str">
        <f>IF(ISNUMBER(SEARCH("H", 'Dry_Litterbag Placem_Collection'!$U191)),"YES","NO")</f>
        <v>NO</v>
      </c>
      <c r="AE484" s="245" t="str">
        <f>IF(ISNUMBER(SEARCH("R", 'Dry_Litterbag Placem_Collection'!$U191)),"YES","NO")</f>
        <v>YES</v>
      </c>
    </row>
    <row r="485" spans="2:31">
      <c r="B485" t="str">
        <f>Dryseason!B631</f>
        <v>Dry</v>
      </c>
      <c r="C485" s="253">
        <f>Dryseason!C631</f>
        <v>190</v>
      </c>
      <c r="D485" t="s">
        <v>3130</v>
      </c>
      <c r="E485" t="s">
        <v>25</v>
      </c>
      <c r="F485" s="375">
        <v>6</v>
      </c>
      <c r="G485" s="376">
        <f>IF('Dry_Litterbag Placem_Collection'!E192="","",'Dry_Litterbag Placem_Collection'!E192)</f>
        <v>42940</v>
      </c>
      <c r="H485" s="92" t="str">
        <f>Dryseason!L631</f>
        <v>G466</v>
      </c>
      <c r="I485" t="str">
        <f>Dryseason!L851</f>
        <v>R605</v>
      </c>
      <c r="J485">
        <f>IFERROR(INDEX('Green_rooibos initial weight'!$C$5:$C$2000,MATCH(H485, 'Green_rooibos initial weight'!$A$5:$A$2000,0)),"")</f>
        <v>1.9319999999999999</v>
      </c>
      <c r="K485">
        <f>IFERROR(INDEX('Green_rooibos initial weight'!$C$5:$C$2000,MATCH(I485, 'Green_rooibos initial weight'!$A$5:$A$2000,0)),"")</f>
        <v>2.165</v>
      </c>
      <c r="L485" s="194">
        <f t="shared" si="55"/>
        <v>1.6821999999999999</v>
      </c>
      <c r="M485" s="233">
        <f>AVERAGE(Ashed_controlls!$K$1:$K$11)</f>
        <v>5.5147656768714146</v>
      </c>
      <c r="N485" s="194">
        <f t="shared" si="54"/>
        <v>1.9152</v>
      </c>
      <c r="O485" s="376">
        <f>IF('Dry_Litterbag Placem_Collection'!G192="","",'Dry_Litterbag Placem_Collection'!G192)</f>
        <v>43009</v>
      </c>
      <c r="P485" s="194">
        <f>IFERROR(INDEX('Both teabags AfterDry'!$D$3:$D$2000,MATCH(H485,'Both teabags AfterDry'!$A$3:$A$2000,0)),"")</f>
        <v>0.81599999999999995</v>
      </c>
      <c r="Q485" s="194">
        <f>IFERROR(INDEX('Both teabags AfterDry'!$D$3:$D$2000,MATCH(I485,'Both teabags AfterDry'!$A$3:$A$2000,0)),"")</f>
        <v>1.8051999999999999</v>
      </c>
      <c r="R485" s="194">
        <f t="shared" si="56"/>
        <v>0.66539999999999999</v>
      </c>
      <c r="S485" s="194">
        <f t="shared" si="56"/>
        <v>1.6545999999999998</v>
      </c>
      <c r="T485" s="194">
        <f t="shared" si="57"/>
        <v>0.6044465580787064</v>
      </c>
      <c r="U485" s="194">
        <f t="shared" si="58"/>
        <v>0.39626425185207359</v>
      </c>
      <c r="V485" s="194">
        <f t="shared" si="59"/>
        <v>0.86393065998329144</v>
      </c>
      <c r="W485">
        <f t="shared" si="60"/>
        <v>69</v>
      </c>
      <c r="X485" s="194">
        <f t="shared" si="61"/>
        <v>0.28212997852885224</v>
      </c>
      <c r="Y485" s="194">
        <f t="shared" si="62"/>
        <v>6.096380873890089E-3</v>
      </c>
      <c r="Z485" s="245" t="str">
        <f>IF(ISNUMBER(SEARCH("C", 'Dry_Litterbag Placem_Collection'!$V192)),"YES","NO")</f>
        <v>NO</v>
      </c>
      <c r="AA485" s="245" t="str">
        <f>IF(ISNUMBER(SEARCH("H", 'Dry_Litterbag Placem_Collection'!$V192)),"YES","NO")</f>
        <v>NO</v>
      </c>
      <c r="AB485" s="245" t="str">
        <f>IF(ISNUMBER(SEARCH("R", 'Dry_Litterbag Placem_Collection'!$V192)),"YES","NO")</f>
        <v>NO</v>
      </c>
      <c r="AC485" s="245" t="str">
        <f>IF(ISNUMBER(SEARCH("C", 'Dry_Litterbag Placem_Collection'!$U192)),"YES","NO")</f>
        <v>NO</v>
      </c>
      <c r="AD485" s="245" t="str">
        <f>IF(ISNUMBER(SEARCH("H", 'Dry_Litterbag Placem_Collection'!$U192)),"YES","NO")</f>
        <v>NO</v>
      </c>
      <c r="AE485" s="245" t="str">
        <f>IF(ISNUMBER(SEARCH("R", 'Dry_Litterbag Placem_Collection'!$U192)),"YES","NO")</f>
        <v>NO</v>
      </c>
    </row>
    <row r="486" spans="2:31">
      <c r="B486" t="str">
        <f>Dryseason!B632</f>
        <v>Dry</v>
      </c>
      <c r="C486" s="253">
        <f>Dryseason!C632</f>
        <v>191</v>
      </c>
      <c r="D486" t="s">
        <v>3130</v>
      </c>
      <c r="E486" t="s">
        <v>25</v>
      </c>
      <c r="F486" s="375">
        <v>7</v>
      </c>
      <c r="G486" s="376">
        <f>IF('Dry_Litterbag Placem_Collection'!E193="","",'Dry_Litterbag Placem_Collection'!E193)</f>
        <v>42940</v>
      </c>
      <c r="H486" s="92" t="str">
        <f>Dryseason!L632</f>
        <v>G32</v>
      </c>
      <c r="I486" t="str">
        <f>Dryseason!L852</f>
        <v>R240</v>
      </c>
      <c r="J486">
        <f>IFERROR(INDEX('Green_rooibos initial weight'!$C$5:$C$2000,MATCH(H486, 'Green_rooibos initial weight'!$A$5:$A$2000,0)),"")</f>
        <v>2.0510000000000002</v>
      </c>
      <c r="K486">
        <f>IFERROR(INDEX('Green_rooibos initial weight'!$C$5:$C$2000,MATCH(I486, 'Green_rooibos initial weight'!$A$5:$A$2000,0)),"")</f>
        <v>2.1800000000000002</v>
      </c>
      <c r="L486" s="194">
        <f t="shared" si="55"/>
        <v>1.8012000000000001</v>
      </c>
      <c r="M486" s="233">
        <f>AVERAGE(Ashed_controlls!$K$1:$K$11)</f>
        <v>5.5147656768714146</v>
      </c>
      <c r="N486" s="194">
        <f t="shared" si="54"/>
        <v>1.9302000000000001</v>
      </c>
      <c r="O486" s="376">
        <f>IF('Dry_Litterbag Placem_Collection'!G193="","",'Dry_Litterbag Placem_Collection'!G193)</f>
        <v>43009</v>
      </c>
      <c r="P486" s="194">
        <f>IFERROR(INDEX('Both teabags AfterDry'!$D$3:$D$2000,MATCH(H486,'Both teabags AfterDry'!$A$3:$A$2000,0)),"")</f>
        <v>0.77580000000000005</v>
      </c>
      <c r="Q486" s="194">
        <f>IFERROR(INDEX('Both teabags AfterDry'!$D$3:$D$2000,MATCH(I486,'Both teabags AfterDry'!$A$3:$A$2000,0)),"")</f>
        <v>1.7597</v>
      </c>
      <c r="R486" s="194">
        <f t="shared" si="56"/>
        <v>0.62519999999999998</v>
      </c>
      <c r="S486" s="194">
        <f t="shared" si="56"/>
        <v>1.6091</v>
      </c>
      <c r="T486" s="194">
        <f t="shared" si="57"/>
        <v>0.65289806795469696</v>
      </c>
      <c r="U486" s="194">
        <f t="shared" si="58"/>
        <v>0.42802818706768736</v>
      </c>
      <c r="V486" s="194">
        <f t="shared" si="59"/>
        <v>0.83364418195005696</v>
      </c>
      <c r="W486">
        <f t="shared" si="60"/>
        <v>69</v>
      </c>
      <c r="X486" s="194">
        <f t="shared" si="61"/>
        <v>0.22458661763100118</v>
      </c>
      <c r="Y486" s="194">
        <f t="shared" si="62"/>
        <v>7.1318236195175855E-3</v>
      </c>
      <c r="Z486" s="245" t="str">
        <f>IF(ISNUMBER(SEARCH("C", 'Dry_Litterbag Placem_Collection'!$V193)),"YES","NO")</f>
        <v>NO</v>
      </c>
      <c r="AA486" s="245" t="str">
        <f>IF(ISNUMBER(SEARCH("H", 'Dry_Litterbag Placem_Collection'!$V193)),"YES","NO")</f>
        <v>NO</v>
      </c>
      <c r="AB486" s="245" t="str">
        <f>IF(ISNUMBER(SEARCH("R", 'Dry_Litterbag Placem_Collection'!$V193)),"YES","NO")</f>
        <v>NO</v>
      </c>
      <c r="AC486" s="245" t="str">
        <f>IF(ISNUMBER(SEARCH("C", 'Dry_Litterbag Placem_Collection'!$U193)),"YES","NO")</f>
        <v>NO</v>
      </c>
      <c r="AD486" s="245" t="str">
        <f>IF(ISNUMBER(SEARCH("H", 'Dry_Litterbag Placem_Collection'!$U193)),"YES","NO")</f>
        <v>NO</v>
      </c>
      <c r="AE486" s="245" t="str">
        <f>IF(ISNUMBER(SEARCH("R", 'Dry_Litterbag Placem_Collection'!$U193)),"YES","NO")</f>
        <v>NO</v>
      </c>
    </row>
    <row r="487" spans="2:31">
      <c r="B487" t="str">
        <f>Dryseason!B633</f>
        <v>Dry</v>
      </c>
      <c r="C487" s="253">
        <f>Dryseason!C633</f>
        <v>192</v>
      </c>
      <c r="D487" t="s">
        <v>3130</v>
      </c>
      <c r="E487" t="s">
        <v>25</v>
      </c>
      <c r="F487" s="375">
        <v>8</v>
      </c>
      <c r="G487" s="376" t="str">
        <f>IF('Dry_Litterbag Placem_Collection'!E194="","",'Dry_Litterbag Placem_Collection'!E194)</f>
        <v/>
      </c>
      <c r="H487" s="92" t="str">
        <f>Dryseason!L633</f>
        <v/>
      </c>
      <c r="I487" t="str">
        <f>Dryseason!L853</f>
        <v/>
      </c>
      <c r="J487" t="str">
        <f>IFERROR(INDEX('Green_rooibos initial weight'!$C$5:$C$2000,MATCH(H487, 'Green_rooibos initial weight'!$A$5:$A$2000,0)),"")</f>
        <v/>
      </c>
      <c r="K487" t="str">
        <f>IFERROR(INDEX('Green_rooibos initial weight'!$C$5:$C$2000,MATCH(I487, 'Green_rooibos initial weight'!$A$5:$A$2000,0)),"")</f>
        <v/>
      </c>
      <c r="L487" s="194" t="str">
        <f t="shared" si="55"/>
        <v/>
      </c>
      <c r="M487" s="233">
        <f>AVERAGE(Ashed_controlls!$K$1:$K$11)</f>
        <v>5.5147656768714146</v>
      </c>
      <c r="N487" s="194" t="str">
        <f t="shared" si="54"/>
        <v/>
      </c>
      <c r="O487" s="376" t="str">
        <f>IF('Dry_Litterbag Placem_Collection'!G194="","",'Dry_Litterbag Placem_Collection'!G194)</f>
        <v/>
      </c>
      <c r="P487" s="194" t="str">
        <f>IFERROR(INDEX('Both teabags AfterDry'!$D$3:$D$2000,MATCH(H487,'Both teabags AfterDry'!$A$3:$A$2000,0)),"")</f>
        <v/>
      </c>
      <c r="Q487" s="194" t="str">
        <f>IFERROR(INDEX('Both teabags AfterDry'!$D$3:$D$2000,MATCH(I487,'Both teabags AfterDry'!$A$3:$A$2000,0)),"")</f>
        <v/>
      </c>
      <c r="R487" s="194" t="str">
        <f t="shared" si="56"/>
        <v/>
      </c>
      <c r="S487" s="194" t="str">
        <f t="shared" si="56"/>
        <v/>
      </c>
      <c r="T487" s="194" t="str">
        <f t="shared" si="57"/>
        <v/>
      </c>
      <c r="U487" s="194" t="str">
        <f t="shared" si="58"/>
        <v/>
      </c>
      <c r="V487" s="194" t="str">
        <f t="shared" si="59"/>
        <v/>
      </c>
      <c r="W487" t="str">
        <f t="shared" si="60"/>
        <v/>
      </c>
      <c r="X487" s="194" t="str">
        <f t="shared" si="61"/>
        <v/>
      </c>
      <c r="Y487" s="194" t="str">
        <f t="shared" si="62"/>
        <v/>
      </c>
      <c r="Z487" s="245" t="str">
        <f>IF(ISNUMBER(SEARCH("C", 'Dry_Litterbag Placem_Collection'!$V194)),"YES","NO")</f>
        <v>NO</v>
      </c>
      <c r="AA487" s="245" t="str">
        <f>IF(ISNUMBER(SEARCH("H", 'Dry_Litterbag Placem_Collection'!$V194)),"YES","NO")</f>
        <v>NO</v>
      </c>
      <c r="AB487" s="245" t="str">
        <f>IF(ISNUMBER(SEARCH("R", 'Dry_Litterbag Placem_Collection'!$V194)),"YES","NO")</f>
        <v>NO</v>
      </c>
      <c r="AC487" s="245" t="str">
        <f>IF(ISNUMBER(SEARCH("C", 'Dry_Litterbag Placem_Collection'!$U194)),"YES","NO")</f>
        <v>NO</v>
      </c>
      <c r="AD487" s="245" t="str">
        <f>IF(ISNUMBER(SEARCH("H", 'Dry_Litterbag Placem_Collection'!$U194)),"YES","NO")</f>
        <v>NO</v>
      </c>
      <c r="AE487" s="245" t="str">
        <f>IF(ISNUMBER(SEARCH("R", 'Dry_Litterbag Placem_Collection'!$U194)),"YES","NO")</f>
        <v>NO</v>
      </c>
    </row>
    <row r="488" spans="2:31">
      <c r="B488" t="str">
        <f>Dryseason!B634</f>
        <v>Dry</v>
      </c>
      <c r="C488" s="253">
        <f>Dryseason!C634</f>
        <v>193</v>
      </c>
      <c r="D488" t="s">
        <v>2440</v>
      </c>
      <c r="E488" t="s">
        <v>25</v>
      </c>
      <c r="F488" s="375">
        <v>1</v>
      </c>
      <c r="G488" s="376">
        <f>IF('Dry_Litterbag Placem_Collection'!E195="","",'Dry_Litterbag Placem_Collection'!E195)</f>
        <v>42942</v>
      </c>
      <c r="H488" s="92" t="str">
        <f>Dryseason!L634</f>
        <v>G45</v>
      </c>
      <c r="I488" t="str">
        <f>Dryseason!L854</f>
        <v>R623</v>
      </c>
      <c r="J488">
        <f>IFERROR(INDEX('Green_rooibos initial weight'!$C$5:$C$2000,MATCH(H488, 'Green_rooibos initial weight'!$A$5:$A$2000,0)),"")</f>
        <v>2.0779999999999998</v>
      </c>
      <c r="K488">
        <f>IFERROR(INDEX('Green_rooibos initial weight'!$C$5:$C$2000,MATCH(I488, 'Green_rooibos initial weight'!$A$5:$A$2000,0)),"")</f>
        <v>2.056</v>
      </c>
      <c r="L488" s="194">
        <f t="shared" si="55"/>
        <v>1.8281999999999998</v>
      </c>
      <c r="M488" s="233">
        <f>AVERAGE(Ashed_controlls!$K$1:$K$11)</f>
        <v>5.5147656768714146</v>
      </c>
      <c r="N488" s="194">
        <f t="shared" si="54"/>
        <v>1.8062</v>
      </c>
      <c r="O488" s="376">
        <f>IF('Dry_Litterbag Placem_Collection'!G195="","",'Dry_Litterbag Placem_Collection'!G195)</f>
        <v>43004</v>
      </c>
      <c r="P488" s="194">
        <f>IFERROR(INDEX('Both teabags AfterDry'!$D$3:$D$2000,MATCH(H488,'Both teabags AfterDry'!$A$3:$A$2000,0)),"")</f>
        <v>0.82699999999999996</v>
      </c>
      <c r="Q488" s="194">
        <f>IFERROR(INDEX('Both teabags AfterDry'!$D$3:$D$2000,MATCH(I488,'Both teabags AfterDry'!$A$3:$A$2000,0)),"")</f>
        <v>1.397</v>
      </c>
      <c r="R488" s="194">
        <f t="shared" si="56"/>
        <v>0.67639999999999989</v>
      </c>
      <c r="S488" s="194">
        <f t="shared" si="56"/>
        <v>1.2464</v>
      </c>
      <c r="T488" s="194">
        <f t="shared" si="57"/>
        <v>0.6300185975276229</v>
      </c>
      <c r="U488" s="194">
        <f t="shared" si="58"/>
        <v>0.4130288192817671</v>
      </c>
      <c r="V488" s="194">
        <f t="shared" si="59"/>
        <v>0.69006754512235624</v>
      </c>
      <c r="W488">
        <f t="shared" si="60"/>
        <v>62</v>
      </c>
      <c r="X488" s="194">
        <f t="shared" si="61"/>
        <v>0.25175938535911768</v>
      </c>
      <c r="Y488" s="194">
        <f t="shared" si="62"/>
        <v>2.2384729730325809E-2</v>
      </c>
      <c r="Z488" s="245" t="str">
        <f>IF(ISNUMBER(SEARCH("C", 'Dry_Litterbag Placem_Collection'!$V195)),"YES","NO")</f>
        <v>NO</v>
      </c>
      <c r="AA488" s="245" t="str">
        <f>IF(ISNUMBER(SEARCH("H", 'Dry_Litterbag Placem_Collection'!$V195)),"YES","NO")</f>
        <v>NO</v>
      </c>
      <c r="AB488" s="245" t="str">
        <f>IF(ISNUMBER(SEARCH("R", 'Dry_Litterbag Placem_Collection'!$V195)),"YES","NO")</f>
        <v>NO</v>
      </c>
      <c r="AC488" s="245" t="str">
        <f>IF(ISNUMBER(SEARCH("C", 'Dry_Litterbag Placem_Collection'!$U195)),"YES","NO")</f>
        <v>NO</v>
      </c>
      <c r="AD488" s="245" t="str">
        <f>IF(ISNUMBER(SEARCH("H", 'Dry_Litterbag Placem_Collection'!$U195)),"YES","NO")</f>
        <v>NO</v>
      </c>
      <c r="AE488" s="245" t="str">
        <f>IF(ISNUMBER(SEARCH("R", 'Dry_Litterbag Placem_Collection'!$U195)),"YES","NO")</f>
        <v>YES</v>
      </c>
    </row>
    <row r="489" spans="2:31">
      <c r="B489" t="str">
        <f>Dryseason!B635</f>
        <v>Dry</v>
      </c>
      <c r="C489" s="253">
        <f>Dryseason!C635</f>
        <v>194</v>
      </c>
      <c r="D489" t="s">
        <v>2433</v>
      </c>
      <c r="E489" t="s">
        <v>25</v>
      </c>
      <c r="F489" s="375">
        <v>2</v>
      </c>
      <c r="G489" s="376">
        <f>IF('Dry_Litterbag Placem_Collection'!E196="","",'Dry_Litterbag Placem_Collection'!E196)</f>
        <v>42942</v>
      </c>
      <c r="H489" s="92" t="str">
        <f>Dryseason!L635</f>
        <v>G90</v>
      </c>
      <c r="I489" t="str">
        <f>Dryseason!L855</f>
        <v>R611</v>
      </c>
      <c r="J489">
        <f>IFERROR(INDEX('Green_rooibos initial weight'!$C$5:$C$2000,MATCH(H489, 'Green_rooibos initial weight'!$A$5:$A$2000,0)),"")</f>
        <v>2.0409999999999999</v>
      </c>
      <c r="K489">
        <f>IFERROR(INDEX('Green_rooibos initial weight'!$C$5:$C$2000,MATCH(I489, 'Green_rooibos initial weight'!$A$5:$A$2000,0)),"")</f>
        <v>2.157</v>
      </c>
      <c r="L489" s="194">
        <f t="shared" si="55"/>
        <v>1.7911999999999999</v>
      </c>
      <c r="M489" s="233">
        <f>AVERAGE(Ashed_controlls!$K$1:$K$11)</f>
        <v>5.5147656768714146</v>
      </c>
      <c r="N489" s="194">
        <f t="shared" si="54"/>
        <v>1.9072</v>
      </c>
      <c r="O489" s="376">
        <f>IF('Dry_Litterbag Placem_Collection'!G196="","",'Dry_Litterbag Placem_Collection'!G196)</f>
        <v>43004</v>
      </c>
      <c r="P489" s="194">
        <f>IFERROR(INDEX('Both teabags AfterDry'!$D$3:$D$2000,MATCH(H489,'Both teabags AfterDry'!$A$3:$A$2000,0)),"")</f>
        <v>0.74199999999999999</v>
      </c>
      <c r="Q489" s="194">
        <f>IFERROR(INDEX('Both teabags AfterDry'!$D$3:$D$2000,MATCH(I489,'Both teabags AfterDry'!$A$3:$A$2000,0)),"")</f>
        <v>1.593</v>
      </c>
      <c r="R489" s="194">
        <f t="shared" si="56"/>
        <v>0.59139999999999993</v>
      </c>
      <c r="S489" s="194">
        <f t="shared" si="56"/>
        <v>1.4423999999999999</v>
      </c>
      <c r="T489" s="194">
        <f t="shared" si="57"/>
        <v>0.66983028137561407</v>
      </c>
      <c r="U489" s="194">
        <f t="shared" si="58"/>
        <v>0.4391286405217803</v>
      </c>
      <c r="V489" s="194">
        <f t="shared" si="59"/>
        <v>0.75629194630872476</v>
      </c>
      <c r="W489">
        <f t="shared" si="60"/>
        <v>62</v>
      </c>
      <c r="X489" s="194">
        <f t="shared" si="61"/>
        <v>0.20447710050402124</v>
      </c>
      <c r="Y489" s="194">
        <f t="shared" si="62"/>
        <v>1.3058682411617516E-2</v>
      </c>
      <c r="Z489" s="245" t="str">
        <f>IF(ISNUMBER(SEARCH("C", 'Dry_Litterbag Placem_Collection'!$V196)),"YES","NO")</f>
        <v>NO</v>
      </c>
      <c r="AA489" s="245" t="str">
        <f>IF(ISNUMBER(SEARCH("H", 'Dry_Litterbag Placem_Collection'!$V196)),"YES","NO")</f>
        <v>NO</v>
      </c>
      <c r="AB489" s="245" t="str">
        <f>IF(ISNUMBER(SEARCH("R", 'Dry_Litterbag Placem_Collection'!$V196)),"YES","NO")</f>
        <v>YES</v>
      </c>
      <c r="AC489" s="245" t="str">
        <f>IF(ISNUMBER(SEARCH("C", 'Dry_Litterbag Placem_Collection'!$U196)),"YES","NO")</f>
        <v>NO</v>
      </c>
      <c r="AD489" s="245" t="str">
        <f>IF(ISNUMBER(SEARCH("H", 'Dry_Litterbag Placem_Collection'!$U196)),"YES","NO")</f>
        <v>NO</v>
      </c>
      <c r="AE489" s="245" t="str">
        <f>IF(ISNUMBER(SEARCH("R", 'Dry_Litterbag Placem_Collection'!$U196)),"YES","NO")</f>
        <v>YES</v>
      </c>
    </row>
    <row r="490" spans="2:31">
      <c r="B490" t="str">
        <f>Dryseason!B636</f>
        <v>Dry</v>
      </c>
      <c r="C490" s="253">
        <f>Dryseason!C636</f>
        <v>195</v>
      </c>
      <c r="D490" t="s">
        <v>2425</v>
      </c>
      <c r="E490" t="s">
        <v>25</v>
      </c>
      <c r="F490" s="375">
        <v>3</v>
      </c>
      <c r="G490" s="376">
        <f>IF('Dry_Litterbag Placem_Collection'!E197="","",'Dry_Litterbag Placem_Collection'!E197)</f>
        <v>42942</v>
      </c>
      <c r="H490" s="92" t="str">
        <f>Dryseason!L636</f>
        <v>G338</v>
      </c>
      <c r="I490" t="str">
        <f>Dryseason!L856</f>
        <v>R645</v>
      </c>
      <c r="J490">
        <f>IFERROR(INDEX('Green_rooibos initial weight'!$C$5:$C$2000,MATCH(H490, 'Green_rooibos initial weight'!$A$5:$A$2000,0)),"")</f>
        <v>1.946</v>
      </c>
      <c r="K490">
        <f>IFERROR(INDEX('Green_rooibos initial weight'!$C$5:$C$2000,MATCH(I490, 'Green_rooibos initial weight'!$A$5:$A$2000,0)),"")</f>
        <v>2.2469999999999999</v>
      </c>
      <c r="L490" s="194">
        <f t="shared" si="55"/>
        <v>1.6961999999999999</v>
      </c>
      <c r="M490" s="233">
        <f>AVERAGE(Ashed_controlls!$K$1:$K$11)</f>
        <v>5.5147656768714146</v>
      </c>
      <c r="N490" s="194">
        <f t="shared" si="54"/>
        <v>1.9971999999999999</v>
      </c>
      <c r="O490" s="376">
        <f>IF('Dry_Litterbag Placem_Collection'!G197="","",'Dry_Litterbag Placem_Collection'!G197)</f>
        <v>43004</v>
      </c>
      <c r="P490" s="194">
        <f>IFERROR(INDEX('Both teabags AfterDry'!$D$3:$D$2000,MATCH(H490,'Both teabags AfterDry'!$A$3:$A$2000,0)),"")</f>
        <v>0.83299999999999996</v>
      </c>
      <c r="Q490" s="194">
        <f>IFERROR(INDEX('Both teabags AfterDry'!$D$3:$D$2000,MATCH(I490,'Both teabags AfterDry'!$A$3:$A$2000,0)),"")</f>
        <v>1.7509999999999999</v>
      </c>
      <c r="R490" s="194">
        <f t="shared" si="56"/>
        <v>0.6823999999999999</v>
      </c>
      <c r="S490" s="194">
        <f t="shared" si="56"/>
        <v>1.6003999999999998</v>
      </c>
      <c r="T490" s="194">
        <f t="shared" si="57"/>
        <v>0.59768895177455494</v>
      </c>
      <c r="U490" s="194">
        <f t="shared" si="58"/>
        <v>0.39183408714911444</v>
      </c>
      <c r="V490" s="194">
        <f t="shared" si="59"/>
        <v>0.80132185059082717</v>
      </c>
      <c r="W490">
        <f t="shared" si="60"/>
        <v>62</v>
      </c>
      <c r="X490" s="194">
        <f t="shared" si="61"/>
        <v>0.29015563922261878</v>
      </c>
      <c r="Y490" s="194">
        <f t="shared" si="62"/>
        <v>1.1408720530456258E-2</v>
      </c>
      <c r="Z490" s="245" t="str">
        <f>IF(ISNUMBER(SEARCH("C", 'Dry_Litterbag Placem_Collection'!$V197)),"YES","NO")</f>
        <v>NO</v>
      </c>
      <c r="AA490" s="245" t="str">
        <f>IF(ISNUMBER(SEARCH("H", 'Dry_Litterbag Placem_Collection'!$V197)),"YES","NO")</f>
        <v>NO</v>
      </c>
      <c r="AB490" s="245" t="str">
        <f>IF(ISNUMBER(SEARCH("R", 'Dry_Litterbag Placem_Collection'!$V197)),"YES","NO")</f>
        <v>NO</v>
      </c>
      <c r="AC490" s="245" t="str">
        <f>IF(ISNUMBER(SEARCH("C", 'Dry_Litterbag Placem_Collection'!$U197)),"YES","NO")</f>
        <v>NO</v>
      </c>
      <c r="AD490" s="245" t="str">
        <f>IF(ISNUMBER(SEARCH("H", 'Dry_Litterbag Placem_Collection'!$U197)),"YES","NO")</f>
        <v>NO</v>
      </c>
      <c r="AE490" s="245" t="str">
        <f>IF(ISNUMBER(SEARCH("R", 'Dry_Litterbag Placem_Collection'!$U197)),"YES","NO")</f>
        <v>YES</v>
      </c>
    </row>
    <row r="491" spans="2:31">
      <c r="B491" t="str">
        <f>Dryseason!B637</f>
        <v>Dry</v>
      </c>
      <c r="C491" s="253">
        <f>Dryseason!C637</f>
        <v>196</v>
      </c>
      <c r="D491" t="s">
        <v>2416</v>
      </c>
      <c r="E491" t="s">
        <v>25</v>
      </c>
      <c r="F491" s="375">
        <v>4</v>
      </c>
      <c r="G491" s="376">
        <f>IF('Dry_Litterbag Placem_Collection'!E198="","",'Dry_Litterbag Placem_Collection'!E198)</f>
        <v>42942</v>
      </c>
      <c r="H491" s="92" t="str">
        <f>Dryseason!L637</f>
        <v>G243</v>
      </c>
      <c r="I491" t="str">
        <f>Dryseason!L857</f>
        <v>R709</v>
      </c>
      <c r="J491">
        <f>IFERROR(INDEX('Green_rooibos initial weight'!$C$5:$C$2000,MATCH(H491, 'Green_rooibos initial weight'!$A$5:$A$2000,0)),"")</f>
        <v>2.13</v>
      </c>
      <c r="K491">
        <f>IFERROR(INDEX('Green_rooibos initial weight'!$C$5:$C$2000,MATCH(I491, 'Green_rooibos initial weight'!$A$5:$A$2000,0)),"")</f>
        <v>2.157</v>
      </c>
      <c r="L491" s="194">
        <f t="shared" si="55"/>
        <v>1.8801999999999999</v>
      </c>
      <c r="M491" s="233">
        <f>AVERAGE(Ashed_controlls!$K$1:$K$11)</f>
        <v>5.5147656768714146</v>
      </c>
      <c r="N491" s="194">
        <f t="shared" si="54"/>
        <v>1.9072</v>
      </c>
      <c r="O491" s="376">
        <f>IF('Dry_Litterbag Placem_Collection'!G198="","",'Dry_Litterbag Placem_Collection'!G198)</f>
        <v>43004</v>
      </c>
      <c r="P491" s="194">
        <f>IFERROR(INDEX('Both teabags AfterDry'!$D$3:$D$2000,MATCH(H491,'Both teabags AfterDry'!$A$3:$A$2000,0)),"")</f>
        <v>1.04</v>
      </c>
      <c r="Q491" s="194">
        <f>IFERROR(INDEX('Both teabags AfterDry'!$D$3:$D$2000,MATCH(I491,'Both teabags AfterDry'!$A$3:$A$2000,0)),"")</f>
        <v>1.863</v>
      </c>
      <c r="R491" s="194">
        <f t="shared" si="56"/>
        <v>0.88939999999999997</v>
      </c>
      <c r="S491" s="194">
        <f t="shared" si="56"/>
        <v>1.7123999999999999</v>
      </c>
      <c r="T491" s="194">
        <f t="shared" si="57"/>
        <v>0.52696521646633343</v>
      </c>
      <c r="U491" s="194">
        <f t="shared" si="58"/>
        <v>0.34546888300405709</v>
      </c>
      <c r="V491" s="194">
        <f t="shared" si="59"/>
        <v>0.89786073825503354</v>
      </c>
      <c r="W491">
        <f t="shared" si="60"/>
        <v>62</v>
      </c>
      <c r="X491" s="194">
        <f t="shared" si="61"/>
        <v>0.37415057426801257</v>
      </c>
      <c r="Y491" s="194">
        <f t="shared" si="62"/>
        <v>5.6529933101503284E-3</v>
      </c>
      <c r="Z491" s="245" t="str">
        <f>IF(ISNUMBER(SEARCH("C", 'Dry_Litterbag Placem_Collection'!$V198)),"YES","NO")</f>
        <v>NO</v>
      </c>
      <c r="AA491" s="245" t="str">
        <f>IF(ISNUMBER(SEARCH("H", 'Dry_Litterbag Placem_Collection'!$V198)),"YES","NO")</f>
        <v>NO</v>
      </c>
      <c r="AB491" s="245" t="str">
        <f>IF(ISNUMBER(SEARCH("R", 'Dry_Litterbag Placem_Collection'!$V198)),"YES","NO")</f>
        <v>NO</v>
      </c>
      <c r="AC491" s="245" t="str">
        <f>IF(ISNUMBER(SEARCH("C", 'Dry_Litterbag Placem_Collection'!$U198)),"YES","NO")</f>
        <v>NO</v>
      </c>
      <c r="AD491" s="245" t="str">
        <f>IF(ISNUMBER(SEARCH("H", 'Dry_Litterbag Placem_Collection'!$U198)),"YES","NO")</f>
        <v>NO</v>
      </c>
      <c r="AE491" s="245" t="str">
        <f>IF(ISNUMBER(SEARCH("R", 'Dry_Litterbag Placem_Collection'!$U198)),"YES","NO")</f>
        <v>YES</v>
      </c>
    </row>
    <row r="492" spans="2:31">
      <c r="B492" t="str">
        <f>Dryseason!B638</f>
        <v>Dry</v>
      </c>
      <c r="C492" s="253">
        <f>Dryseason!C638</f>
        <v>197</v>
      </c>
      <c r="D492" t="s">
        <v>2426</v>
      </c>
      <c r="E492" t="s">
        <v>25</v>
      </c>
      <c r="F492" s="375">
        <v>1</v>
      </c>
      <c r="G492" s="376">
        <f>IF('Dry_Litterbag Placem_Collection'!E199="","",'Dry_Litterbag Placem_Collection'!E199)</f>
        <v>42942</v>
      </c>
      <c r="H492" s="92" t="str">
        <f>Dryseason!L638</f>
        <v>G254</v>
      </c>
      <c r="I492" t="str">
        <f>Dryseason!L858</f>
        <v>R131</v>
      </c>
      <c r="J492">
        <f>IFERROR(INDEX('Green_rooibos initial weight'!$C$5:$C$2000,MATCH(H492, 'Green_rooibos initial weight'!$A$5:$A$2000,0)),"")</f>
        <v>1.917</v>
      </c>
      <c r="K492">
        <f>IFERROR(INDEX('Green_rooibos initial weight'!$C$5:$C$2000,MATCH(I492, 'Green_rooibos initial weight'!$A$5:$A$2000,0)),"")</f>
        <v>2.1560000000000001</v>
      </c>
      <c r="L492" s="194">
        <f t="shared" si="55"/>
        <v>1.6672</v>
      </c>
      <c r="M492" s="233">
        <f>AVERAGE(Ashed_controlls!$K$1:$K$11)</f>
        <v>5.5147656768714146</v>
      </c>
      <c r="N492" s="194">
        <f t="shared" si="54"/>
        <v>1.9062000000000001</v>
      </c>
      <c r="O492" s="376">
        <f>IF('Dry_Litterbag Placem_Collection'!G199="","",'Dry_Litterbag Placem_Collection'!G199)</f>
        <v>43004</v>
      </c>
      <c r="P492" s="194">
        <f>IFERROR(INDEX('Both teabags AfterDry'!$D$3:$D$2000,MATCH(H492,'Both teabags AfterDry'!$A$3:$A$2000,0)),"")</f>
        <v>0.82399999999999995</v>
      </c>
      <c r="Q492" s="194">
        <f>IFERROR(INDEX('Both teabags AfterDry'!$D$3:$D$2000,MATCH(I492,'Both teabags AfterDry'!$A$3:$A$2000,0)),"")</f>
        <v>1.577</v>
      </c>
      <c r="R492" s="194">
        <f t="shared" si="56"/>
        <v>0.6734</v>
      </c>
      <c r="S492" s="194">
        <f t="shared" si="56"/>
        <v>1.4263999999999999</v>
      </c>
      <c r="T492" s="194">
        <f t="shared" si="57"/>
        <v>0.59608925143953928</v>
      </c>
      <c r="U492" s="194">
        <f t="shared" si="58"/>
        <v>0.39078535248767904</v>
      </c>
      <c r="V492" s="194">
        <f t="shared" si="59"/>
        <v>0.74829503724687851</v>
      </c>
      <c r="W492">
        <f t="shared" si="60"/>
        <v>62</v>
      </c>
      <c r="X492" s="194">
        <f t="shared" si="61"/>
        <v>0.292055520855654</v>
      </c>
      <c r="Y492" s="194">
        <f t="shared" si="62"/>
        <v>1.6663005310603263E-2</v>
      </c>
      <c r="Z492" s="245" t="str">
        <f>IF(ISNUMBER(SEARCH("C", 'Dry_Litterbag Placem_Collection'!$V199)),"YES","NO")</f>
        <v>NO</v>
      </c>
      <c r="AA492" s="245" t="str">
        <f>IF(ISNUMBER(SEARCH("H", 'Dry_Litterbag Placem_Collection'!$V199)),"YES","NO")</f>
        <v>NO</v>
      </c>
      <c r="AB492" s="245" t="str">
        <f>IF(ISNUMBER(SEARCH("R", 'Dry_Litterbag Placem_Collection'!$V199)),"YES","NO")</f>
        <v>YES</v>
      </c>
      <c r="AC492" s="245" t="str">
        <f>IF(ISNUMBER(SEARCH("C", 'Dry_Litterbag Placem_Collection'!$U199)),"YES","NO")</f>
        <v>NO</v>
      </c>
      <c r="AD492" s="245" t="str">
        <f>IF(ISNUMBER(SEARCH("H", 'Dry_Litterbag Placem_Collection'!$U199)),"YES","NO")</f>
        <v>NO</v>
      </c>
      <c r="AE492" s="245" t="str">
        <f>IF(ISNUMBER(SEARCH("R", 'Dry_Litterbag Placem_Collection'!$U199)),"YES","NO")</f>
        <v>YES</v>
      </c>
    </row>
    <row r="493" spans="2:31">
      <c r="B493" t="str">
        <f>Dryseason!B639</f>
        <v>Dry</v>
      </c>
      <c r="C493" s="253">
        <f>Dryseason!C639</f>
        <v>198</v>
      </c>
      <c r="D493" t="s">
        <v>2434</v>
      </c>
      <c r="E493" t="s">
        <v>25</v>
      </c>
      <c r="F493" s="375">
        <v>2</v>
      </c>
      <c r="G493" s="376">
        <f>IF('Dry_Litterbag Placem_Collection'!E200="","",'Dry_Litterbag Placem_Collection'!E200)</f>
        <v>42942</v>
      </c>
      <c r="H493" s="92" t="str">
        <f>Dryseason!L639</f>
        <v>G780</v>
      </c>
      <c r="I493" t="str">
        <f>Dryseason!L859</f>
        <v>R711</v>
      </c>
      <c r="J493">
        <f>IFERROR(INDEX('Green_rooibos initial weight'!$C$5:$C$2000,MATCH(H493, 'Green_rooibos initial weight'!$A$5:$A$2000,0)),"")</f>
        <v>1.962</v>
      </c>
      <c r="K493">
        <f>IFERROR(INDEX('Green_rooibos initial weight'!$C$5:$C$2000,MATCH(I493, 'Green_rooibos initial weight'!$A$5:$A$2000,0)),"")</f>
        <v>2.13</v>
      </c>
      <c r="L493" s="194">
        <f t="shared" si="55"/>
        <v>1.7121999999999999</v>
      </c>
      <c r="M493" s="233">
        <f>AVERAGE(Ashed_controlls!$K$1:$K$11)</f>
        <v>5.5147656768714146</v>
      </c>
      <c r="N493" s="194">
        <f t="shared" si="54"/>
        <v>1.8801999999999999</v>
      </c>
      <c r="O493" s="376">
        <f>IF('Dry_Litterbag Placem_Collection'!G200="","",'Dry_Litterbag Placem_Collection'!G200)</f>
        <v>43004</v>
      </c>
      <c r="P493" s="194">
        <f>IFERROR(INDEX('Both teabags AfterDry'!$D$3:$D$2000,MATCH(H493,'Both teabags AfterDry'!$A$3:$A$2000,0)),"")</f>
        <v>0.69899999999999995</v>
      </c>
      <c r="Q493" s="194">
        <f>IFERROR(INDEX('Both teabags AfterDry'!$D$3:$D$2000,MATCH(I493,'Both teabags AfterDry'!$A$3:$A$2000,0)),"")</f>
        <v>1.7210000000000001</v>
      </c>
      <c r="R493" s="194">
        <f t="shared" si="56"/>
        <v>0.5484</v>
      </c>
      <c r="S493" s="194">
        <f t="shared" si="56"/>
        <v>1.5704</v>
      </c>
      <c r="T493" s="194">
        <f t="shared" si="57"/>
        <v>0.679710314215629</v>
      </c>
      <c r="U493" s="194">
        <f t="shared" si="58"/>
        <v>0.44560581169480673</v>
      </c>
      <c r="V493" s="194">
        <f t="shared" si="59"/>
        <v>0.83523029464950549</v>
      </c>
      <c r="W493">
        <f t="shared" si="60"/>
        <v>62</v>
      </c>
      <c r="X493" s="194">
        <f t="shared" si="61"/>
        <v>0.19274309475578499</v>
      </c>
      <c r="Y493" s="194">
        <f t="shared" si="62"/>
        <v>7.4461852128768144E-3</v>
      </c>
      <c r="Z493" s="245" t="str">
        <f>IF(ISNUMBER(SEARCH("C", 'Dry_Litterbag Placem_Collection'!$V200)),"YES","NO")</f>
        <v>NO</v>
      </c>
      <c r="AA493" s="245" t="str">
        <f>IF(ISNUMBER(SEARCH("H", 'Dry_Litterbag Placem_Collection'!$V200)),"YES","NO")</f>
        <v>NO</v>
      </c>
      <c r="AB493" s="245" t="str">
        <f>IF(ISNUMBER(SEARCH("R", 'Dry_Litterbag Placem_Collection'!$V200)),"YES","NO")</f>
        <v>YES</v>
      </c>
      <c r="AC493" s="245" t="str">
        <f>IF(ISNUMBER(SEARCH("C", 'Dry_Litterbag Placem_Collection'!$U200)),"YES","NO")</f>
        <v>NO</v>
      </c>
      <c r="AD493" s="245" t="str">
        <f>IF(ISNUMBER(SEARCH("H", 'Dry_Litterbag Placem_Collection'!$U200)),"YES","NO")</f>
        <v>NO</v>
      </c>
      <c r="AE493" s="245" t="str">
        <f>IF(ISNUMBER(SEARCH("R", 'Dry_Litterbag Placem_Collection'!$U200)),"YES","NO")</f>
        <v>YES</v>
      </c>
    </row>
    <row r="494" spans="2:31">
      <c r="B494" t="str">
        <f>Dryseason!B640</f>
        <v>Dry</v>
      </c>
      <c r="C494" s="253">
        <f>Dryseason!C640</f>
        <v>199</v>
      </c>
      <c r="D494" t="s">
        <v>2418</v>
      </c>
      <c r="E494" t="s">
        <v>25</v>
      </c>
      <c r="F494" s="375">
        <v>3</v>
      </c>
      <c r="G494" s="376">
        <f>IF('Dry_Litterbag Placem_Collection'!E201="","",'Dry_Litterbag Placem_Collection'!E201)</f>
        <v>42942</v>
      </c>
      <c r="H494" s="92" t="str">
        <f>Dryseason!L640</f>
        <v>G182</v>
      </c>
      <c r="I494" t="str">
        <f>Dryseason!L860</f>
        <v>R236</v>
      </c>
      <c r="J494">
        <f>IFERROR(INDEX('Green_rooibos initial weight'!$C$5:$C$2000,MATCH(H494, 'Green_rooibos initial weight'!$A$5:$A$2000,0)),"")</f>
        <v>1.8919999999999999</v>
      </c>
      <c r="K494">
        <f>IFERROR(INDEX('Green_rooibos initial weight'!$C$5:$C$2000,MATCH(I494, 'Green_rooibos initial weight'!$A$5:$A$2000,0)),"")</f>
        <v>2.2440000000000002</v>
      </c>
      <c r="L494" s="194">
        <f t="shared" si="55"/>
        <v>1.6421999999999999</v>
      </c>
      <c r="M494" s="233">
        <f>AVERAGE(Ashed_controlls!$K$1:$K$11)</f>
        <v>5.5147656768714146</v>
      </c>
      <c r="N494" s="194">
        <f t="shared" si="54"/>
        <v>1.9942000000000002</v>
      </c>
      <c r="O494" s="376">
        <f>IF('Dry_Litterbag Placem_Collection'!G201="","",'Dry_Litterbag Placem_Collection'!G201)</f>
        <v>43004</v>
      </c>
      <c r="P494" s="194">
        <f>IFERROR(INDEX('Both teabags AfterDry'!$D$3:$D$2000,MATCH(H494,'Both teabags AfterDry'!$A$3:$A$2000,0)),"")</f>
        <v>0.62490000000000001</v>
      </c>
      <c r="Q494" s="194">
        <f>IFERROR(INDEX('Both teabags AfterDry'!$D$3:$D$2000,MATCH(I494,'Both teabags AfterDry'!$A$3:$A$2000,0)),"")</f>
        <v>1.62</v>
      </c>
      <c r="R494" s="194">
        <f t="shared" si="56"/>
        <v>0.4743</v>
      </c>
      <c r="S494" s="194">
        <f t="shared" si="56"/>
        <v>1.4694</v>
      </c>
      <c r="T494" s="194">
        <f t="shared" si="57"/>
        <v>0.71118012422360244</v>
      </c>
      <c r="U494" s="194">
        <f t="shared" si="58"/>
        <v>0.46623685103495083</v>
      </c>
      <c r="V494" s="194">
        <f t="shared" si="59"/>
        <v>0.73683682679771334</v>
      </c>
      <c r="W494">
        <f t="shared" si="60"/>
        <v>62</v>
      </c>
      <c r="X494" s="194">
        <f t="shared" si="61"/>
        <v>0.15536802348740797</v>
      </c>
      <c r="Y494" s="194">
        <f t="shared" si="62"/>
        <v>1.3405240497500906E-2</v>
      </c>
      <c r="Z494" s="245" t="str">
        <f>IF(ISNUMBER(SEARCH("C", 'Dry_Litterbag Placem_Collection'!$V201)),"YES","NO")</f>
        <v>NO</v>
      </c>
      <c r="AA494" s="245" t="str">
        <f>IF(ISNUMBER(SEARCH("H", 'Dry_Litterbag Placem_Collection'!$V201)),"YES","NO")</f>
        <v>NO</v>
      </c>
      <c r="AB494" s="245" t="str">
        <f>IF(ISNUMBER(SEARCH("R", 'Dry_Litterbag Placem_Collection'!$V201)),"YES","NO")</f>
        <v>YES</v>
      </c>
      <c r="AC494" s="245" t="str">
        <f>IF(ISNUMBER(SEARCH("C", 'Dry_Litterbag Placem_Collection'!$U201)),"YES","NO")</f>
        <v>NO</v>
      </c>
      <c r="AD494" s="245" t="str">
        <f>IF(ISNUMBER(SEARCH("H", 'Dry_Litterbag Placem_Collection'!$U201)),"YES","NO")</f>
        <v>NO</v>
      </c>
      <c r="AE494" s="245" t="str">
        <f>IF(ISNUMBER(SEARCH("R", 'Dry_Litterbag Placem_Collection'!$U201)),"YES","NO")</f>
        <v>YES</v>
      </c>
    </row>
    <row r="495" spans="2:31">
      <c r="B495" t="str">
        <f>Dryseason!B641</f>
        <v>Dry</v>
      </c>
      <c r="C495" s="253">
        <f>Dryseason!C641</f>
        <v>200</v>
      </c>
      <c r="D495" t="s">
        <v>2441</v>
      </c>
      <c r="E495" t="s">
        <v>25</v>
      </c>
      <c r="F495" s="375">
        <v>4</v>
      </c>
      <c r="G495" s="376">
        <f>IF('Dry_Litterbag Placem_Collection'!E202="","",'Dry_Litterbag Placem_Collection'!E202)</f>
        <v>42942</v>
      </c>
      <c r="H495" s="92" t="str">
        <f>Dryseason!L641</f>
        <v>G186</v>
      </c>
      <c r="I495" t="str">
        <f>Dryseason!L861</f>
        <v>R205</v>
      </c>
      <c r="J495">
        <f>IFERROR(INDEX('Green_rooibos initial weight'!$C$5:$C$2000,MATCH(H495, 'Green_rooibos initial weight'!$A$5:$A$2000,0)),"")</f>
        <v>2.0419999999999998</v>
      </c>
      <c r="K495">
        <f>IFERROR(INDEX('Green_rooibos initial weight'!$C$5:$C$2000,MATCH(I495, 'Green_rooibos initial weight'!$A$5:$A$2000,0)),"")</f>
        <v>2.181</v>
      </c>
      <c r="L495" s="194">
        <f t="shared" si="55"/>
        <v>1.7921999999999998</v>
      </c>
      <c r="M495" s="233">
        <f>AVERAGE(Ashed_controlls!$K$1:$K$11)</f>
        <v>5.5147656768714146</v>
      </c>
      <c r="N495" s="194">
        <f t="shared" si="54"/>
        <v>1.9312</v>
      </c>
      <c r="O495" s="376">
        <f>IF('Dry_Litterbag Placem_Collection'!G202="","",'Dry_Litterbag Placem_Collection'!G202)</f>
        <v>43004</v>
      </c>
      <c r="P495" s="194">
        <f>IFERROR(INDEX('Both teabags AfterDry'!$D$3:$D$2000,MATCH(H495,'Both teabags AfterDry'!$A$3:$A$2000,0)),"")</f>
        <v>0.6643</v>
      </c>
      <c r="Q495" s="194">
        <f>IFERROR(INDEX('Both teabags AfterDry'!$D$3:$D$2000,MATCH(I495,'Both teabags AfterDry'!$A$3:$A$2000,0)),"")</f>
        <v>1.6595</v>
      </c>
      <c r="R495" s="194">
        <f t="shared" si="56"/>
        <v>0.51370000000000005</v>
      </c>
      <c r="S495" s="194">
        <f t="shared" si="56"/>
        <v>1.5088999999999999</v>
      </c>
      <c r="T495" s="194">
        <f t="shared" si="57"/>
        <v>0.71336904363352294</v>
      </c>
      <c r="U495" s="194">
        <f t="shared" si="58"/>
        <v>0.46767186708515995</v>
      </c>
      <c r="V495" s="194">
        <f t="shared" si="59"/>
        <v>0.7813276719138359</v>
      </c>
      <c r="W495">
        <f t="shared" si="60"/>
        <v>62</v>
      </c>
      <c r="X495" s="194">
        <f t="shared" si="61"/>
        <v>0.15276835672978273</v>
      </c>
      <c r="Y495" s="194">
        <f t="shared" si="62"/>
        <v>1.016638493943047E-2</v>
      </c>
      <c r="Z495" s="245" t="str">
        <f>IF(ISNUMBER(SEARCH("C", 'Dry_Litterbag Placem_Collection'!$V202)),"YES","NO")</f>
        <v>NO</v>
      </c>
      <c r="AA495" s="245" t="str">
        <f>IF(ISNUMBER(SEARCH("H", 'Dry_Litterbag Placem_Collection'!$V202)),"YES","NO")</f>
        <v>NO</v>
      </c>
      <c r="AB495" s="245" t="str">
        <f>IF(ISNUMBER(SEARCH("R", 'Dry_Litterbag Placem_Collection'!$V202)),"YES","NO")</f>
        <v>YES</v>
      </c>
      <c r="AC495" s="245" t="str">
        <f>IF(ISNUMBER(SEARCH("C", 'Dry_Litterbag Placem_Collection'!$U202)),"YES","NO")</f>
        <v>NO</v>
      </c>
      <c r="AD495" s="245" t="str">
        <f>IF(ISNUMBER(SEARCH("H", 'Dry_Litterbag Placem_Collection'!$U202)),"YES","NO")</f>
        <v>NO</v>
      </c>
      <c r="AE495" s="245" t="str">
        <f>IF(ISNUMBER(SEARCH("R", 'Dry_Litterbag Placem_Collection'!$U202)),"YES","NO")</f>
        <v>YES</v>
      </c>
    </row>
    <row r="496" spans="2:31">
      <c r="B496" t="str">
        <f>Dryseason!B642</f>
        <v>Dry</v>
      </c>
      <c r="C496" s="253">
        <f>Dryseason!C642</f>
        <v>201</v>
      </c>
      <c r="D496" t="s">
        <v>2442</v>
      </c>
      <c r="E496" t="s">
        <v>25</v>
      </c>
      <c r="F496" s="375">
        <v>1</v>
      </c>
      <c r="G496" s="376">
        <f>IF('Dry_Litterbag Placem_Collection'!E203="","",'Dry_Litterbag Placem_Collection'!E203)</f>
        <v>42942</v>
      </c>
      <c r="H496" s="92" t="str">
        <f>Dryseason!L642</f>
        <v>G315</v>
      </c>
      <c r="I496" t="str">
        <f>Dryseason!L862</f>
        <v>R665</v>
      </c>
      <c r="J496">
        <f>IFERROR(INDEX('Green_rooibos initial weight'!$C$5:$C$2000,MATCH(H496, 'Green_rooibos initial weight'!$A$5:$A$2000,0)),"")</f>
        <v>2.0960000000000001</v>
      </c>
      <c r="K496">
        <f>IFERROR(INDEX('Green_rooibos initial weight'!$C$5:$C$2000,MATCH(I496, 'Green_rooibos initial weight'!$A$5:$A$2000,0)),"")</f>
        <v>2.1579999999999999</v>
      </c>
      <c r="L496" s="194">
        <f t="shared" si="55"/>
        <v>1.8462000000000001</v>
      </c>
      <c r="M496" s="233">
        <f>AVERAGE(Ashed_controlls!$K$1:$K$11)</f>
        <v>5.5147656768714146</v>
      </c>
      <c r="N496" s="194">
        <f t="shared" si="54"/>
        <v>1.9081999999999999</v>
      </c>
      <c r="O496" s="376">
        <f>IF('Dry_Litterbag Placem_Collection'!G203="","",'Dry_Litterbag Placem_Collection'!G203)</f>
        <v>43004</v>
      </c>
      <c r="P496" s="194">
        <f>IFERROR(INDEX('Both teabags AfterDry'!$D$3:$D$2000,MATCH(H496,'Both teabags AfterDry'!$A$3:$A$2000,0)),"")</f>
        <v>0.84</v>
      </c>
      <c r="Q496" s="194">
        <f>IFERROR(INDEX('Both teabags AfterDry'!$D$3:$D$2000,MATCH(I496,'Both teabags AfterDry'!$A$3:$A$2000,0)),"")</f>
        <v>1.7869999999999999</v>
      </c>
      <c r="R496" s="194">
        <f t="shared" si="56"/>
        <v>0.68940000000000001</v>
      </c>
      <c r="S496" s="194">
        <f t="shared" si="56"/>
        <v>1.6363999999999999</v>
      </c>
      <c r="T496" s="194">
        <f t="shared" si="57"/>
        <v>0.62658433539161518</v>
      </c>
      <c r="U496" s="194">
        <f t="shared" si="58"/>
        <v>0.41077737902158146</v>
      </c>
      <c r="V496" s="194">
        <f t="shared" si="59"/>
        <v>0.85756210040876213</v>
      </c>
      <c r="W496">
        <f t="shared" si="60"/>
        <v>62</v>
      </c>
      <c r="X496" s="194">
        <f t="shared" si="61"/>
        <v>0.25583808148264231</v>
      </c>
      <c r="Y496" s="194">
        <f t="shared" si="62"/>
        <v>6.8677180269008887E-3</v>
      </c>
      <c r="Z496" s="245" t="str">
        <f>IF(ISNUMBER(SEARCH("C", 'Dry_Litterbag Placem_Collection'!$V203)),"YES","NO")</f>
        <v>NO</v>
      </c>
      <c r="AA496" s="245" t="str">
        <f>IF(ISNUMBER(SEARCH("H", 'Dry_Litterbag Placem_Collection'!$V203)),"YES","NO")</f>
        <v>NO</v>
      </c>
      <c r="AB496" s="245" t="str">
        <f>IF(ISNUMBER(SEARCH("R", 'Dry_Litterbag Placem_Collection'!$V203)),"YES","NO")</f>
        <v>YES</v>
      </c>
      <c r="AC496" s="245" t="str">
        <f>IF(ISNUMBER(SEARCH("C", 'Dry_Litterbag Placem_Collection'!$U203)),"YES","NO")</f>
        <v>NO</v>
      </c>
      <c r="AD496" s="245" t="str">
        <f>IF(ISNUMBER(SEARCH("H", 'Dry_Litterbag Placem_Collection'!$U203)),"YES","NO")</f>
        <v>NO</v>
      </c>
      <c r="AE496" s="245" t="str">
        <f>IF(ISNUMBER(SEARCH("R", 'Dry_Litterbag Placem_Collection'!$U203)),"YES","NO")</f>
        <v>YES</v>
      </c>
    </row>
    <row r="497" spans="2:31">
      <c r="B497" t="str">
        <f>Dryseason!B643</f>
        <v>Dry</v>
      </c>
      <c r="C497" s="253">
        <f>Dryseason!C643</f>
        <v>202</v>
      </c>
      <c r="D497" t="s">
        <v>2419</v>
      </c>
      <c r="E497" t="s">
        <v>25</v>
      </c>
      <c r="F497" s="375">
        <v>2</v>
      </c>
      <c r="G497" s="376">
        <f>IF('Dry_Litterbag Placem_Collection'!E204="","",'Dry_Litterbag Placem_Collection'!E204)</f>
        <v>42942</v>
      </c>
      <c r="H497" s="92" t="str">
        <f>Dryseason!L643</f>
        <v>G147</v>
      </c>
      <c r="I497" t="str">
        <f>Dryseason!L863</f>
        <v>R224</v>
      </c>
      <c r="J497">
        <f>IFERROR(INDEX('Green_rooibos initial weight'!$C$5:$C$2000,MATCH(H497, 'Green_rooibos initial weight'!$A$5:$A$2000,0)),"")</f>
        <v>2.0369999999999999</v>
      </c>
      <c r="K497">
        <f>IFERROR(INDEX('Green_rooibos initial weight'!$C$5:$C$2000,MATCH(I497, 'Green_rooibos initial weight'!$A$5:$A$2000,0)),"")</f>
        <v>2.298</v>
      </c>
      <c r="L497" s="194">
        <f t="shared" si="55"/>
        <v>1.7871999999999999</v>
      </c>
      <c r="M497" s="233">
        <f>AVERAGE(Ashed_controlls!$K$1:$K$11)</f>
        <v>5.5147656768714146</v>
      </c>
      <c r="N497" s="194">
        <f t="shared" si="54"/>
        <v>2.0482</v>
      </c>
      <c r="O497" s="376">
        <f>IF('Dry_Litterbag Placem_Collection'!G204="","",'Dry_Litterbag Placem_Collection'!G204)</f>
        <v>43004</v>
      </c>
      <c r="P497" s="194">
        <f>IFERROR(INDEX('Both teabags AfterDry'!$D$3:$D$2000,MATCH(H497,'Both teabags AfterDry'!$A$3:$A$2000,0)),"")</f>
        <v>0.71709999999999996</v>
      </c>
      <c r="Q497" s="194">
        <f>IFERROR(INDEX('Both teabags AfterDry'!$D$3:$D$2000,MATCH(I497,'Both teabags AfterDry'!$A$3:$A$2000,0)),"")</f>
        <v>1.8384</v>
      </c>
      <c r="R497" s="194">
        <f t="shared" si="56"/>
        <v>0.5665</v>
      </c>
      <c r="S497" s="194">
        <f t="shared" si="56"/>
        <v>1.6878</v>
      </c>
      <c r="T497" s="194">
        <f t="shared" si="57"/>
        <v>0.68302372426141456</v>
      </c>
      <c r="U497" s="194">
        <f t="shared" si="58"/>
        <v>0.44777802350629559</v>
      </c>
      <c r="V497" s="194">
        <f t="shared" si="59"/>
        <v>0.82404062103310216</v>
      </c>
      <c r="W497">
        <f t="shared" si="60"/>
        <v>62</v>
      </c>
      <c r="X497" s="194">
        <f t="shared" si="61"/>
        <v>0.18880792843062399</v>
      </c>
      <c r="Y497" s="194">
        <f t="shared" si="62"/>
        <v>8.0510085560315543E-3</v>
      </c>
      <c r="Z497" s="245" t="str">
        <f>IF(ISNUMBER(SEARCH("C", 'Dry_Litterbag Placem_Collection'!$V204)),"YES","NO")</f>
        <v>NO</v>
      </c>
      <c r="AA497" s="245" t="str">
        <f>IF(ISNUMBER(SEARCH("H", 'Dry_Litterbag Placem_Collection'!$V204)),"YES","NO")</f>
        <v>NO</v>
      </c>
      <c r="AB497" s="245" t="str">
        <f>IF(ISNUMBER(SEARCH("R", 'Dry_Litterbag Placem_Collection'!$V204)),"YES","NO")</f>
        <v>YES</v>
      </c>
      <c r="AC497" s="245" t="str">
        <f>IF(ISNUMBER(SEARCH("C", 'Dry_Litterbag Placem_Collection'!$U204)),"YES","NO")</f>
        <v>NO</v>
      </c>
      <c r="AD497" s="245" t="str">
        <f>IF(ISNUMBER(SEARCH("H", 'Dry_Litterbag Placem_Collection'!$U204)),"YES","NO")</f>
        <v>NO</v>
      </c>
      <c r="AE497" s="245" t="str">
        <f>IF(ISNUMBER(SEARCH("R", 'Dry_Litterbag Placem_Collection'!$U204)),"YES","NO")</f>
        <v>YES</v>
      </c>
    </row>
    <row r="498" spans="2:31">
      <c r="B498" t="str">
        <f>Dryseason!B644</f>
        <v>Dry</v>
      </c>
      <c r="C498" s="253">
        <f>Dryseason!C644</f>
        <v>203</v>
      </c>
      <c r="D498" t="s">
        <v>2428</v>
      </c>
      <c r="E498" t="s">
        <v>25</v>
      </c>
      <c r="F498" s="375">
        <v>3</v>
      </c>
      <c r="G498" s="376">
        <f>IF('Dry_Litterbag Placem_Collection'!E205="","",'Dry_Litterbag Placem_Collection'!E205)</f>
        <v>42942</v>
      </c>
      <c r="H498" s="92" t="str">
        <f>Dryseason!L644</f>
        <v>G168</v>
      </c>
      <c r="I498" t="str">
        <f>Dryseason!L864</f>
        <v>R621</v>
      </c>
      <c r="J498">
        <f>IFERROR(INDEX('Green_rooibos initial weight'!$C$5:$C$2000,MATCH(H498, 'Green_rooibos initial weight'!$A$5:$A$2000,0)),"")</f>
        <v>2.0499999999999998</v>
      </c>
      <c r="K498">
        <f>IFERROR(INDEX('Green_rooibos initial weight'!$C$5:$C$2000,MATCH(I498, 'Green_rooibos initial weight'!$A$5:$A$2000,0)),"")</f>
        <v>2.0459999999999998</v>
      </c>
      <c r="L498" s="194">
        <f t="shared" si="55"/>
        <v>1.8001999999999998</v>
      </c>
      <c r="M498" s="233">
        <f>AVERAGE(Ashed_controlls!$K$1:$K$11)</f>
        <v>5.5147656768714146</v>
      </c>
      <c r="N498" s="194">
        <f t="shared" si="54"/>
        <v>1.7961999999999998</v>
      </c>
      <c r="O498" s="376">
        <f>IF('Dry_Litterbag Placem_Collection'!G205="","",'Dry_Litterbag Placem_Collection'!G205)</f>
        <v>43004</v>
      </c>
      <c r="P498" s="194">
        <f>IFERROR(INDEX('Both teabags AfterDry'!$D$3:$D$2000,MATCH(H498,'Both teabags AfterDry'!$A$3:$A$2000,0)),"")</f>
        <v>0.72609999999999997</v>
      </c>
      <c r="Q498" s="194">
        <f>IFERROR(INDEX('Both teabags AfterDry'!$D$3:$D$2000,MATCH(I498,'Both teabags AfterDry'!$A$3:$A$2000,0)),"")</f>
        <v>1.6888000000000001</v>
      </c>
      <c r="R498" s="194">
        <f t="shared" si="56"/>
        <v>0.5754999999999999</v>
      </c>
      <c r="S498" s="194">
        <f t="shared" si="56"/>
        <v>1.5382</v>
      </c>
      <c r="T498" s="194">
        <f t="shared" si="57"/>
        <v>0.68031329852238642</v>
      </c>
      <c r="U498" s="194">
        <f t="shared" si="58"/>
        <v>0.44600111732108949</v>
      </c>
      <c r="V498" s="194">
        <f t="shared" si="59"/>
        <v>0.85636343391604508</v>
      </c>
      <c r="W498">
        <f t="shared" si="60"/>
        <v>62</v>
      </c>
      <c r="X498" s="194">
        <f t="shared" si="61"/>
        <v>0.19202696137483799</v>
      </c>
      <c r="Y498" s="194">
        <f t="shared" si="62"/>
        <v>6.2691620085817343E-3</v>
      </c>
      <c r="Z498" s="245" t="str">
        <f>IF(ISNUMBER(SEARCH("C", 'Dry_Litterbag Placem_Collection'!$V205)),"YES","NO")</f>
        <v>NO</v>
      </c>
      <c r="AA498" s="245" t="str">
        <f>IF(ISNUMBER(SEARCH("H", 'Dry_Litterbag Placem_Collection'!$V205)),"YES","NO")</f>
        <v>NO</v>
      </c>
      <c r="AB498" s="245" t="str">
        <f>IF(ISNUMBER(SEARCH("R", 'Dry_Litterbag Placem_Collection'!$V205)),"YES","NO")</f>
        <v>YES</v>
      </c>
      <c r="AC498" s="245" t="str">
        <f>IF(ISNUMBER(SEARCH("C", 'Dry_Litterbag Placem_Collection'!$U205)),"YES","NO")</f>
        <v>NO</v>
      </c>
      <c r="AD498" s="245" t="str">
        <f>IF(ISNUMBER(SEARCH("H", 'Dry_Litterbag Placem_Collection'!$U205)),"YES","NO")</f>
        <v>NO</v>
      </c>
      <c r="AE498" s="245" t="str">
        <f>IF(ISNUMBER(SEARCH("R", 'Dry_Litterbag Placem_Collection'!$U205)),"YES","NO")</f>
        <v>YES</v>
      </c>
    </row>
    <row r="499" spans="2:31">
      <c r="B499" t="str">
        <f>Dryseason!B645</f>
        <v>Dry</v>
      </c>
      <c r="C499" s="253">
        <f>Dryseason!C645</f>
        <v>204</v>
      </c>
      <c r="D499" t="s">
        <v>2435</v>
      </c>
      <c r="E499" t="s">
        <v>25</v>
      </c>
      <c r="F499" s="375">
        <v>4</v>
      </c>
      <c r="G499" s="376">
        <f>IF('Dry_Litterbag Placem_Collection'!E206="","",'Dry_Litterbag Placem_Collection'!E206)</f>
        <v>42942</v>
      </c>
      <c r="H499" s="92" t="str">
        <f>Dryseason!L645</f>
        <v>G672</v>
      </c>
      <c r="I499" t="str">
        <f>Dryseason!L865</f>
        <v>R708</v>
      </c>
      <c r="J499">
        <f>IFERROR(INDEX('Green_rooibos initial weight'!$C$5:$C$2000,MATCH(H499, 'Green_rooibos initial weight'!$A$5:$A$2000,0)),"")</f>
        <v>2.0350000000000001</v>
      </c>
      <c r="K499">
        <f>IFERROR(INDEX('Green_rooibos initial weight'!$C$5:$C$2000,MATCH(I499, 'Green_rooibos initial weight'!$A$5:$A$2000,0)),"")</f>
        <v>2.157</v>
      </c>
      <c r="L499" s="194">
        <f t="shared" si="55"/>
        <v>1.7852000000000001</v>
      </c>
      <c r="M499" s="233">
        <f>AVERAGE(Ashed_controlls!$K$1:$K$11)</f>
        <v>5.5147656768714146</v>
      </c>
      <c r="N499" s="194">
        <f t="shared" si="54"/>
        <v>1.9072</v>
      </c>
      <c r="O499" s="376">
        <f>IF('Dry_Litterbag Placem_Collection'!G206="","",'Dry_Litterbag Placem_Collection'!G206)</f>
        <v>43004</v>
      </c>
      <c r="P499" s="194">
        <f>IFERROR(INDEX('Both teabags AfterDry'!$D$3:$D$2000,MATCH(H499,'Both teabags AfterDry'!$A$3:$A$2000,0)),"")</f>
        <v>0.75690000000000002</v>
      </c>
      <c r="Q499" s="194">
        <f>IFERROR(INDEX('Both teabags AfterDry'!$D$3:$D$2000,MATCH(I499,'Both teabags AfterDry'!$A$3:$A$2000,0)),"")</f>
        <v>1.7259</v>
      </c>
      <c r="R499" s="194">
        <f t="shared" si="56"/>
        <v>0.60630000000000006</v>
      </c>
      <c r="S499" s="194">
        <f t="shared" si="56"/>
        <v>1.5752999999999999</v>
      </c>
      <c r="T499" s="194">
        <f t="shared" si="57"/>
        <v>0.66037418776607659</v>
      </c>
      <c r="U499" s="194">
        <f t="shared" si="58"/>
        <v>0.43292939625519516</v>
      </c>
      <c r="V499" s="194">
        <f t="shared" si="59"/>
        <v>0.82597525167785235</v>
      </c>
      <c r="W499">
        <f t="shared" si="60"/>
        <v>62</v>
      </c>
      <c r="X499" s="194">
        <f t="shared" si="61"/>
        <v>0.21570761547971895</v>
      </c>
      <c r="Y499" s="194">
        <f t="shared" si="62"/>
        <v>8.2921744894285734E-3</v>
      </c>
      <c r="Z499" s="245" t="str">
        <f>IF(ISNUMBER(SEARCH("C", 'Dry_Litterbag Placem_Collection'!$V206)),"YES","NO")</f>
        <v>NO</v>
      </c>
      <c r="AA499" s="245" t="str">
        <f>IF(ISNUMBER(SEARCH("H", 'Dry_Litterbag Placem_Collection'!$V206)),"YES","NO")</f>
        <v>NO</v>
      </c>
      <c r="AB499" s="245" t="str">
        <f>IF(ISNUMBER(SEARCH("R", 'Dry_Litterbag Placem_Collection'!$V206)),"YES","NO")</f>
        <v>NO</v>
      </c>
      <c r="AC499" s="245" t="str">
        <f>IF(ISNUMBER(SEARCH("C", 'Dry_Litterbag Placem_Collection'!$U206)),"YES","NO")</f>
        <v>NO</v>
      </c>
      <c r="AD499" s="245" t="str">
        <f>IF(ISNUMBER(SEARCH("H", 'Dry_Litterbag Placem_Collection'!$U206)),"YES","NO")</f>
        <v>NO</v>
      </c>
      <c r="AE499" s="245" t="str">
        <f>IF(ISNUMBER(SEARCH("R", 'Dry_Litterbag Placem_Collection'!$U206)),"YES","NO")</f>
        <v>NO</v>
      </c>
    </row>
    <row r="500" spans="2:31">
      <c r="B500" t="str">
        <f>Dryseason!B646</f>
        <v>Dry</v>
      </c>
      <c r="C500" s="253">
        <f>Dryseason!C646</f>
        <v>205</v>
      </c>
      <c r="D500" t="s">
        <v>2429</v>
      </c>
      <c r="E500" t="s">
        <v>25</v>
      </c>
      <c r="F500" s="375">
        <v>1</v>
      </c>
      <c r="G500" s="376">
        <f>IF('Dry_Litterbag Placem_Collection'!E207="","",'Dry_Litterbag Placem_Collection'!E207)</f>
        <v>42942</v>
      </c>
      <c r="H500" s="92" t="str">
        <f>Dryseason!L646</f>
        <v>G173</v>
      </c>
      <c r="I500" t="str">
        <f>Dryseason!L866</f>
        <v>R637</v>
      </c>
      <c r="J500">
        <f>IFERROR(INDEX('Green_rooibos initial weight'!$C$5:$C$2000,MATCH(H500, 'Green_rooibos initial weight'!$A$5:$A$2000,0)),"")</f>
        <v>2.1419999999999999</v>
      </c>
      <c r="K500">
        <f>IFERROR(INDEX('Green_rooibos initial weight'!$C$5:$C$2000,MATCH(I500, 'Green_rooibos initial weight'!$A$5:$A$2000,0)),"")</f>
        <v>2.129</v>
      </c>
      <c r="L500" s="194">
        <f t="shared" si="55"/>
        <v>1.8921999999999999</v>
      </c>
      <c r="M500" s="233">
        <f>AVERAGE(Ashed_controlls!$K$1:$K$11)</f>
        <v>5.5147656768714146</v>
      </c>
      <c r="N500" s="194">
        <f t="shared" si="54"/>
        <v>1.8792</v>
      </c>
      <c r="O500" s="376">
        <f>IF('Dry_Litterbag Placem_Collection'!G207="","",'Dry_Litterbag Placem_Collection'!G207)</f>
        <v>43004</v>
      </c>
      <c r="P500" s="194">
        <f>IFERROR(INDEX('Both teabags AfterDry'!$D$3:$D$2000,MATCH(H500,'Both teabags AfterDry'!$A$3:$A$2000,0)),"")</f>
        <v>0.79190000000000005</v>
      </c>
      <c r="Q500" s="194">
        <f>IFERROR(INDEX('Both teabags AfterDry'!$D$3:$D$2000,MATCH(I500,'Both teabags AfterDry'!$A$3:$A$2000,0)),"")</f>
        <v>1.6534</v>
      </c>
      <c r="R500" s="194">
        <f t="shared" si="56"/>
        <v>0.64129999999999998</v>
      </c>
      <c r="S500" s="194">
        <f t="shared" si="56"/>
        <v>1.5027999999999999</v>
      </c>
      <c r="T500" s="194">
        <f t="shared" si="57"/>
        <v>0.66108233801923688</v>
      </c>
      <c r="U500" s="194">
        <f t="shared" si="58"/>
        <v>0.43339364677745701</v>
      </c>
      <c r="V500" s="194">
        <f t="shared" si="59"/>
        <v>0.79970200085142606</v>
      </c>
      <c r="W500">
        <f t="shared" si="60"/>
        <v>62</v>
      </c>
      <c r="X500" s="194">
        <f t="shared" si="61"/>
        <v>0.21486658192489683</v>
      </c>
      <c r="Y500" s="194">
        <f t="shared" si="62"/>
        <v>1.0003186383719796E-2</v>
      </c>
      <c r="Z500" s="245" t="str">
        <f>IF(ISNUMBER(SEARCH("C", 'Dry_Litterbag Placem_Collection'!$V207)),"YES","NO")</f>
        <v>NO</v>
      </c>
      <c r="AA500" s="245" t="str">
        <f>IF(ISNUMBER(SEARCH("H", 'Dry_Litterbag Placem_Collection'!$V207)),"YES","NO")</f>
        <v>NO</v>
      </c>
      <c r="AB500" s="245" t="str">
        <f>IF(ISNUMBER(SEARCH("R", 'Dry_Litterbag Placem_Collection'!$V207)),"YES","NO")</f>
        <v>YES</v>
      </c>
      <c r="AC500" s="245" t="str">
        <f>IF(ISNUMBER(SEARCH("C", 'Dry_Litterbag Placem_Collection'!$U207)),"YES","NO")</f>
        <v>NO</v>
      </c>
      <c r="AD500" s="245" t="str">
        <f>IF(ISNUMBER(SEARCH("H", 'Dry_Litterbag Placem_Collection'!$U207)),"YES","NO")</f>
        <v>NO</v>
      </c>
      <c r="AE500" s="245" t="str">
        <f>IF(ISNUMBER(SEARCH("R", 'Dry_Litterbag Placem_Collection'!$U207)),"YES","NO")</f>
        <v>YES</v>
      </c>
    </row>
    <row r="501" spans="2:31">
      <c r="B501" t="str">
        <f>Dryseason!B647</f>
        <v>Dry</v>
      </c>
      <c r="C501" s="253">
        <f>Dryseason!C647</f>
        <v>206</v>
      </c>
      <c r="D501" t="s">
        <v>2420</v>
      </c>
      <c r="E501" t="s">
        <v>25</v>
      </c>
      <c r="F501" s="375">
        <v>2</v>
      </c>
      <c r="G501" s="376">
        <f>IF('Dry_Litterbag Placem_Collection'!E208="","",'Dry_Litterbag Placem_Collection'!E208)</f>
        <v>42942</v>
      </c>
      <c r="H501" s="92" t="str">
        <f>Dryseason!L647</f>
        <v>G262</v>
      </c>
      <c r="I501" t="str">
        <f>Dryseason!L867</f>
        <v>R284</v>
      </c>
      <c r="J501">
        <f>IFERROR(INDEX('Green_rooibos initial weight'!$C$5:$C$2000,MATCH(H501, 'Green_rooibos initial weight'!$A$5:$A$2000,0)),"")</f>
        <v>2.012</v>
      </c>
      <c r="K501">
        <f>IFERROR(INDEX('Green_rooibos initial weight'!$C$5:$C$2000,MATCH(I501, 'Green_rooibos initial weight'!$A$5:$A$2000,0)),"")</f>
        <v>2.2480000000000002</v>
      </c>
      <c r="L501" s="194">
        <f t="shared" si="55"/>
        <v>1.7622</v>
      </c>
      <c r="M501" s="233">
        <f>AVERAGE(Ashed_controlls!$K$1:$K$11)</f>
        <v>5.5147656768714146</v>
      </c>
      <c r="N501" s="194">
        <f t="shared" si="54"/>
        <v>1.9982000000000002</v>
      </c>
      <c r="O501" s="376">
        <f>IF('Dry_Litterbag Placem_Collection'!G208="","",'Dry_Litterbag Placem_Collection'!G208)</f>
        <v>43004</v>
      </c>
      <c r="P501" s="194">
        <f>IFERROR(INDEX('Both teabags AfterDry'!$D$3:$D$2000,MATCH(H501,'Both teabags AfterDry'!$A$3:$A$2000,0)),"")</f>
        <v>0.59640000000000004</v>
      </c>
      <c r="Q501" s="194">
        <f>IFERROR(INDEX('Both teabags AfterDry'!$D$3:$D$2000,MATCH(I501,'Both teabags AfterDry'!$A$3:$A$2000,0)),"")</f>
        <v>1.6192</v>
      </c>
      <c r="R501" s="194">
        <f t="shared" si="56"/>
        <v>0.44580000000000003</v>
      </c>
      <c r="S501" s="194">
        <f t="shared" si="56"/>
        <v>1.4685999999999999</v>
      </c>
      <c r="T501" s="194">
        <f t="shared" si="57"/>
        <v>0.74702076949267959</v>
      </c>
      <c r="U501" s="194">
        <f t="shared" si="58"/>
        <v>0.48973333106883515</v>
      </c>
      <c r="V501" s="194">
        <f t="shared" si="59"/>
        <v>0.73496146531878681</v>
      </c>
      <c r="W501">
        <f t="shared" si="60"/>
        <v>62</v>
      </c>
      <c r="X501" s="194">
        <f t="shared" si="61"/>
        <v>0.11280193646950165</v>
      </c>
      <c r="Y501" s="194">
        <f t="shared" si="62"/>
        <v>1.2566419351191051E-2</v>
      </c>
      <c r="Z501" s="245" t="str">
        <f>IF(ISNUMBER(SEARCH("C", 'Dry_Litterbag Placem_Collection'!$V208)),"YES","NO")</f>
        <v>NO</v>
      </c>
      <c r="AA501" s="245" t="str">
        <f>IF(ISNUMBER(SEARCH("H", 'Dry_Litterbag Placem_Collection'!$V208)),"YES","NO")</f>
        <v>NO</v>
      </c>
      <c r="AB501" s="245" t="str">
        <f>IF(ISNUMBER(SEARCH("R", 'Dry_Litterbag Placem_Collection'!$V208)),"YES","NO")</f>
        <v>YES</v>
      </c>
      <c r="AC501" s="245" t="str">
        <f>IF(ISNUMBER(SEARCH("C", 'Dry_Litterbag Placem_Collection'!$U208)),"YES","NO")</f>
        <v>NO</v>
      </c>
      <c r="AD501" s="245" t="str">
        <f>IF(ISNUMBER(SEARCH("H", 'Dry_Litterbag Placem_Collection'!$U208)),"YES","NO")</f>
        <v>NO</v>
      </c>
      <c r="AE501" s="245" t="str">
        <f>IF(ISNUMBER(SEARCH("R", 'Dry_Litterbag Placem_Collection'!$U208)),"YES","NO")</f>
        <v>YES</v>
      </c>
    </row>
    <row r="502" spans="2:31">
      <c r="B502" t="str">
        <f>Dryseason!B648</f>
        <v>Dry</v>
      </c>
      <c r="C502" s="253">
        <f>Dryseason!C648</f>
        <v>207</v>
      </c>
      <c r="D502" t="s">
        <v>2443</v>
      </c>
      <c r="E502" t="s">
        <v>25</v>
      </c>
      <c r="F502" s="375">
        <v>3</v>
      </c>
      <c r="G502" s="376">
        <f>IF('Dry_Litterbag Placem_Collection'!E209="","",'Dry_Litterbag Placem_Collection'!E209)</f>
        <v>42942</v>
      </c>
      <c r="H502" s="92" t="str">
        <f>Dryseason!L648</f>
        <v>G230</v>
      </c>
      <c r="I502" t="str">
        <f>Dryseason!L868</f>
        <v>R604</v>
      </c>
      <c r="J502">
        <f>IFERROR(INDEX('Green_rooibos initial weight'!$C$5:$C$2000,MATCH(H502, 'Green_rooibos initial weight'!$A$5:$A$2000,0)),"")</f>
        <v>2.0030000000000001</v>
      </c>
      <c r="K502">
        <f>IFERROR(INDEX('Green_rooibos initial weight'!$C$5:$C$2000,MATCH(I502, 'Green_rooibos initial weight'!$A$5:$A$2000,0)),"")</f>
        <v>2.1230000000000002</v>
      </c>
      <c r="L502" s="194">
        <f t="shared" si="55"/>
        <v>1.7532000000000001</v>
      </c>
      <c r="M502" s="233">
        <f>AVERAGE(Ashed_controlls!$K$1:$K$11)</f>
        <v>5.5147656768714146</v>
      </c>
      <c r="N502" s="194">
        <f t="shared" si="54"/>
        <v>1.8732000000000002</v>
      </c>
      <c r="O502" s="376">
        <f>IF('Dry_Litterbag Placem_Collection'!G209="","",'Dry_Litterbag Placem_Collection'!G209)</f>
        <v>43004</v>
      </c>
      <c r="P502" s="194">
        <f>IFERROR(INDEX('Both teabags AfterDry'!$D$3:$D$2000,MATCH(H502,'Both teabags AfterDry'!$A$3:$A$2000,0)),"")</f>
        <v>0.73299999999999998</v>
      </c>
      <c r="Q502" s="194">
        <f>IFERROR(INDEX('Both teabags AfterDry'!$D$3:$D$2000,MATCH(I502,'Both teabags AfterDry'!$A$3:$A$2000,0)),"")</f>
        <v>1.615</v>
      </c>
      <c r="R502" s="194">
        <f t="shared" si="56"/>
        <v>0.58240000000000003</v>
      </c>
      <c r="S502" s="194">
        <f t="shared" si="56"/>
        <v>1.4643999999999999</v>
      </c>
      <c r="T502" s="194">
        <f t="shared" si="57"/>
        <v>0.66780743782797169</v>
      </c>
      <c r="U502" s="194">
        <f t="shared" si="58"/>
        <v>0.43780250080883659</v>
      </c>
      <c r="V502" s="194">
        <f t="shared" si="59"/>
        <v>0.78176382660687582</v>
      </c>
      <c r="W502">
        <f t="shared" si="60"/>
        <v>62</v>
      </c>
      <c r="X502" s="194">
        <f t="shared" si="61"/>
        <v>0.20687952752022365</v>
      </c>
      <c r="Y502" s="194">
        <f t="shared" si="62"/>
        <v>1.1130863474287026E-2</v>
      </c>
      <c r="Z502" s="245" t="str">
        <f>IF(ISNUMBER(SEARCH("C", 'Dry_Litterbag Placem_Collection'!$V209)),"YES","NO")</f>
        <v>NO</v>
      </c>
      <c r="AA502" s="245" t="str">
        <f>IF(ISNUMBER(SEARCH("H", 'Dry_Litterbag Placem_Collection'!$V209)),"YES","NO")</f>
        <v>NO</v>
      </c>
      <c r="AB502" s="245" t="str">
        <f>IF(ISNUMBER(SEARCH("R", 'Dry_Litterbag Placem_Collection'!$V209)),"YES","NO")</f>
        <v>YES</v>
      </c>
      <c r="AC502" s="245" t="str">
        <f>IF(ISNUMBER(SEARCH("C", 'Dry_Litterbag Placem_Collection'!$U209)),"YES","NO")</f>
        <v>NO</v>
      </c>
      <c r="AD502" s="245" t="str">
        <f>IF(ISNUMBER(SEARCH("H", 'Dry_Litterbag Placem_Collection'!$U209)),"YES","NO")</f>
        <v>NO</v>
      </c>
      <c r="AE502" s="245" t="str">
        <f>IF(ISNUMBER(SEARCH("R", 'Dry_Litterbag Placem_Collection'!$U209)),"YES","NO")</f>
        <v>NO</v>
      </c>
    </row>
    <row r="503" spans="2:31">
      <c r="B503" t="str">
        <f>Dryseason!B649</f>
        <v>Dry</v>
      </c>
      <c r="C503" s="253">
        <f>Dryseason!C649</f>
        <v>208</v>
      </c>
      <c r="D503" t="s">
        <v>2436</v>
      </c>
      <c r="E503" t="s">
        <v>25</v>
      </c>
      <c r="F503" s="375">
        <v>4</v>
      </c>
      <c r="G503" s="376">
        <f>IF('Dry_Litterbag Placem_Collection'!E210="","",'Dry_Litterbag Placem_Collection'!E210)</f>
        <v>42942</v>
      </c>
      <c r="H503" s="92" t="str">
        <f>Dryseason!L649</f>
        <v>G140</v>
      </c>
      <c r="I503" t="str">
        <f>Dryseason!L869</f>
        <v>R625</v>
      </c>
      <c r="J503">
        <f>IFERROR(INDEX('Green_rooibos initial weight'!$C$5:$C$2000,MATCH(H503, 'Green_rooibos initial weight'!$A$5:$A$2000,0)),"")</f>
        <v>2.0590000000000002</v>
      </c>
      <c r="K503">
        <f>IFERROR(INDEX('Green_rooibos initial weight'!$C$5:$C$2000,MATCH(I503, 'Green_rooibos initial weight'!$A$5:$A$2000,0)),"")</f>
        <v>2.1589999999999998</v>
      </c>
      <c r="L503" s="194">
        <f t="shared" si="55"/>
        <v>1.8092000000000001</v>
      </c>
      <c r="M503" s="233">
        <f>AVERAGE(Ashed_controlls!$K$1:$K$11)</f>
        <v>5.5147656768714146</v>
      </c>
      <c r="N503" s="194">
        <f t="shared" si="54"/>
        <v>1.9091999999999998</v>
      </c>
      <c r="O503" s="376">
        <f>IF('Dry_Litterbag Placem_Collection'!G210="","",'Dry_Litterbag Placem_Collection'!G210)</f>
        <v>43004</v>
      </c>
      <c r="P503" s="194">
        <f>IFERROR(INDEX('Both teabags AfterDry'!$D$3:$D$2000,MATCH(H503,'Both teabags AfterDry'!$A$3:$A$2000,0)),"")</f>
        <v>0.74199999999999999</v>
      </c>
      <c r="Q503" s="194">
        <f>IFERROR(INDEX('Both teabags AfterDry'!$D$3:$D$2000,MATCH(I503,'Both teabags AfterDry'!$A$3:$A$2000,0)),"")</f>
        <v>1.6539999999999999</v>
      </c>
      <c r="R503" s="194">
        <f t="shared" si="56"/>
        <v>0.59139999999999993</v>
      </c>
      <c r="S503" s="194">
        <f t="shared" si="56"/>
        <v>1.5033999999999998</v>
      </c>
      <c r="T503" s="194">
        <f t="shared" si="57"/>
        <v>0.67311518903382717</v>
      </c>
      <c r="U503" s="194">
        <f t="shared" si="58"/>
        <v>0.44128216668250902</v>
      </c>
      <c r="V503" s="194">
        <f t="shared" si="59"/>
        <v>0.78745024093861304</v>
      </c>
      <c r="W503">
        <f t="shared" si="60"/>
        <v>62</v>
      </c>
      <c r="X503" s="194">
        <f t="shared" si="61"/>
        <v>0.2005757849954547</v>
      </c>
      <c r="Y503" s="194">
        <f t="shared" si="62"/>
        <v>1.059889854780407E-2</v>
      </c>
      <c r="Z503" s="245" t="str">
        <f>IF(ISNUMBER(SEARCH("C", 'Dry_Litterbag Placem_Collection'!$V210)),"YES","NO")</f>
        <v>NO</v>
      </c>
      <c r="AA503" s="245" t="str">
        <f>IF(ISNUMBER(SEARCH("H", 'Dry_Litterbag Placem_Collection'!$V210)),"YES","NO")</f>
        <v>NO</v>
      </c>
      <c r="AB503" s="245" t="str">
        <f>IF(ISNUMBER(SEARCH("R", 'Dry_Litterbag Placem_Collection'!$V210)),"YES","NO")</f>
        <v>YES</v>
      </c>
      <c r="AC503" s="245" t="str">
        <f>IF(ISNUMBER(SEARCH("C", 'Dry_Litterbag Placem_Collection'!$U210)),"YES","NO")</f>
        <v>NO</v>
      </c>
      <c r="AD503" s="245" t="str">
        <f>IF(ISNUMBER(SEARCH("H", 'Dry_Litterbag Placem_Collection'!$U210)),"YES","NO")</f>
        <v>NO</v>
      </c>
      <c r="AE503" s="245" t="str">
        <f>IF(ISNUMBER(SEARCH("R", 'Dry_Litterbag Placem_Collection'!$U210)),"YES","NO")</f>
        <v>YES</v>
      </c>
    </row>
    <row r="504" spans="2:31">
      <c r="B504" t="str">
        <f>Dryseason!B650</f>
        <v>Dry</v>
      </c>
      <c r="C504" s="253">
        <f>Dryseason!C650</f>
        <v>209</v>
      </c>
      <c r="D504" t="s">
        <v>2430</v>
      </c>
      <c r="E504" t="s">
        <v>25</v>
      </c>
      <c r="F504" s="375">
        <v>1</v>
      </c>
      <c r="G504" s="376">
        <f>IF('Dry_Litterbag Placem_Collection'!E211="","",'Dry_Litterbag Placem_Collection'!E211)</f>
        <v>42942</v>
      </c>
      <c r="H504" s="92" t="str">
        <f>Dryseason!L650</f>
        <v>G92</v>
      </c>
      <c r="I504" t="str">
        <f>Dryseason!L870</f>
        <v>R647</v>
      </c>
      <c r="J504">
        <f>IFERROR(INDEX('Green_rooibos initial weight'!$C$5:$C$2000,MATCH(H504, 'Green_rooibos initial weight'!$A$5:$A$2000,0)),"")</f>
        <v>2.1930000000000001</v>
      </c>
      <c r="K504">
        <f>IFERROR(INDEX('Green_rooibos initial weight'!$C$5:$C$2000,MATCH(I504, 'Green_rooibos initial weight'!$A$5:$A$2000,0)),"")</f>
        <v>2.1640000000000001</v>
      </c>
      <c r="L504" s="194">
        <f t="shared" si="55"/>
        <v>1.9432</v>
      </c>
      <c r="M504" s="233">
        <f>AVERAGE(Ashed_controlls!$K$1:$K$11)</f>
        <v>5.5147656768714146</v>
      </c>
      <c r="N504" s="194">
        <f t="shared" si="54"/>
        <v>1.9142000000000001</v>
      </c>
      <c r="O504" s="376">
        <f>IF('Dry_Litterbag Placem_Collection'!G211="","",'Dry_Litterbag Placem_Collection'!G211)</f>
        <v>43004</v>
      </c>
      <c r="P504" s="194">
        <f>IFERROR(INDEX('Both teabags AfterDry'!$D$3:$D$2000,MATCH(H504,'Both teabags AfterDry'!$A$3:$A$2000,0)),"")</f>
        <v>0.73619999999999997</v>
      </c>
      <c r="Q504" s="194">
        <f>IFERROR(INDEX('Both teabags AfterDry'!$D$3:$D$2000,MATCH(I504,'Both teabags AfterDry'!$A$3:$A$2000,0)),"")</f>
        <v>1.6881999999999999</v>
      </c>
      <c r="R504" s="194">
        <f t="shared" si="56"/>
        <v>0.5855999999999999</v>
      </c>
      <c r="S504" s="194">
        <f t="shared" si="56"/>
        <v>1.5375999999999999</v>
      </c>
      <c r="T504" s="194">
        <f t="shared" si="57"/>
        <v>0.698641416220667</v>
      </c>
      <c r="U504" s="194">
        <f t="shared" si="58"/>
        <v>0.45801670042019982</v>
      </c>
      <c r="V504" s="194">
        <f t="shared" si="59"/>
        <v>0.8032598474558561</v>
      </c>
      <c r="W504">
        <f t="shared" si="60"/>
        <v>62</v>
      </c>
      <c r="X504" s="194">
        <f t="shared" si="61"/>
        <v>0.17025960068804391</v>
      </c>
      <c r="Y504" s="194">
        <f t="shared" si="62"/>
        <v>9.0536488785231736E-3</v>
      </c>
      <c r="Z504" s="245" t="str">
        <f>IF(ISNUMBER(SEARCH("C", 'Dry_Litterbag Placem_Collection'!$V211)),"YES","NO")</f>
        <v>NO</v>
      </c>
      <c r="AA504" s="245" t="str">
        <f>IF(ISNUMBER(SEARCH("H", 'Dry_Litterbag Placem_Collection'!$V211)),"YES","NO")</f>
        <v>NO</v>
      </c>
      <c r="AB504" s="245" t="str">
        <f>IF(ISNUMBER(SEARCH("R", 'Dry_Litterbag Placem_Collection'!$V211)),"YES","NO")</f>
        <v>YES</v>
      </c>
      <c r="AC504" s="245" t="str">
        <f>IF(ISNUMBER(SEARCH("C", 'Dry_Litterbag Placem_Collection'!$U211)),"YES","NO")</f>
        <v>NO</v>
      </c>
      <c r="AD504" s="245" t="str">
        <f>IF(ISNUMBER(SEARCH("H", 'Dry_Litterbag Placem_Collection'!$U211)),"YES","NO")</f>
        <v>NO</v>
      </c>
      <c r="AE504" s="245" t="str">
        <f>IF(ISNUMBER(SEARCH("R", 'Dry_Litterbag Placem_Collection'!$U211)),"YES","NO")</f>
        <v>YES</v>
      </c>
    </row>
    <row r="505" spans="2:31">
      <c r="B505" t="str">
        <f>Dryseason!B651</f>
        <v>Dry</v>
      </c>
      <c r="C505" s="253">
        <f>Dryseason!C651</f>
        <v>210</v>
      </c>
      <c r="D505" t="s">
        <v>2444</v>
      </c>
      <c r="E505" t="s">
        <v>25</v>
      </c>
      <c r="F505" s="375">
        <v>2</v>
      </c>
      <c r="G505" s="376">
        <f>IF('Dry_Litterbag Placem_Collection'!E212="","",'Dry_Litterbag Placem_Collection'!E212)</f>
        <v>42942</v>
      </c>
      <c r="H505" s="92" t="str">
        <f>Dryseason!L651</f>
        <v>G36</v>
      </c>
      <c r="I505" t="str">
        <f>Dryseason!L871</f>
        <v>R599</v>
      </c>
      <c r="J505">
        <f>IFERROR(INDEX('Green_rooibos initial weight'!$C$5:$C$2000,MATCH(H505, 'Green_rooibos initial weight'!$A$5:$A$2000,0)),"")</f>
        <v>2.1429999999999998</v>
      </c>
      <c r="K505">
        <f>IFERROR(INDEX('Green_rooibos initial weight'!$C$5:$C$2000,MATCH(I505, 'Green_rooibos initial weight'!$A$5:$A$2000,0)),"")</f>
        <v>2.1760000000000002</v>
      </c>
      <c r="L505" s="194">
        <f t="shared" si="55"/>
        <v>1.8931999999999998</v>
      </c>
      <c r="M505" s="233">
        <f>AVERAGE(Ashed_controlls!$K$1:$K$11)</f>
        <v>5.5147656768714146</v>
      </c>
      <c r="N505" s="194">
        <f t="shared" si="54"/>
        <v>1.9262000000000001</v>
      </c>
      <c r="O505" s="376">
        <f>IF('Dry_Litterbag Placem_Collection'!G212="","",'Dry_Litterbag Placem_Collection'!G212)</f>
        <v>43004</v>
      </c>
      <c r="P505" s="194">
        <f>IFERROR(INDEX('Both teabags AfterDry'!$D$3:$D$2000,MATCH(H505,'Both teabags AfterDry'!$A$3:$A$2000,0)),"")</f>
        <v>0.84599999999999997</v>
      </c>
      <c r="Q505" s="194">
        <f>IFERROR(INDEX('Both teabags AfterDry'!$D$3:$D$2000,MATCH(I505,'Both teabags AfterDry'!$A$3:$A$2000,0)),"")</f>
        <v>1.742</v>
      </c>
      <c r="R505" s="194">
        <f t="shared" si="56"/>
        <v>0.69540000000000002</v>
      </c>
      <c r="S505" s="194">
        <f t="shared" si="56"/>
        <v>1.5913999999999999</v>
      </c>
      <c r="T505" s="194">
        <f t="shared" si="57"/>
        <v>0.6326854003803084</v>
      </c>
      <c r="U505" s="194">
        <f t="shared" si="58"/>
        <v>0.41477712709017844</v>
      </c>
      <c r="V505" s="194">
        <f t="shared" si="59"/>
        <v>0.82618627349184914</v>
      </c>
      <c r="W505">
        <f t="shared" si="60"/>
        <v>62</v>
      </c>
      <c r="X505" s="194">
        <f t="shared" si="61"/>
        <v>0.24859216106851734</v>
      </c>
      <c r="Y505" s="194">
        <f t="shared" si="62"/>
        <v>8.7596173493872838E-3</v>
      </c>
      <c r="Z505" s="245" t="str">
        <f>IF(ISNUMBER(SEARCH("C", 'Dry_Litterbag Placem_Collection'!$V212)),"YES","NO")</f>
        <v>NO</v>
      </c>
      <c r="AA505" s="245" t="str">
        <f>IF(ISNUMBER(SEARCH("H", 'Dry_Litterbag Placem_Collection'!$V212)),"YES","NO")</f>
        <v>NO</v>
      </c>
      <c r="AB505" s="245" t="str">
        <f>IF(ISNUMBER(SEARCH("R", 'Dry_Litterbag Placem_Collection'!$V212)),"YES","NO")</f>
        <v>NO</v>
      </c>
      <c r="AC505" s="245" t="str">
        <f>IF(ISNUMBER(SEARCH("C", 'Dry_Litterbag Placem_Collection'!$U212)),"YES","NO")</f>
        <v>NO</v>
      </c>
      <c r="AD505" s="245" t="str">
        <f>IF(ISNUMBER(SEARCH("H", 'Dry_Litterbag Placem_Collection'!$U212)),"YES","NO")</f>
        <v>NO</v>
      </c>
      <c r="AE505" s="245" t="str">
        <f>IF(ISNUMBER(SEARCH("R", 'Dry_Litterbag Placem_Collection'!$U212)),"YES","NO")</f>
        <v>NO</v>
      </c>
    </row>
    <row r="506" spans="2:31">
      <c r="B506" t="str">
        <f>Dryseason!B652</f>
        <v>Dry</v>
      </c>
      <c r="C506" s="253">
        <f>Dryseason!C652</f>
        <v>211</v>
      </c>
      <c r="D506" t="s">
        <v>2421</v>
      </c>
      <c r="E506" t="s">
        <v>25</v>
      </c>
      <c r="F506" s="375">
        <v>3</v>
      </c>
      <c r="G506" s="376">
        <f>IF('Dry_Litterbag Placem_Collection'!E213="","",'Dry_Litterbag Placem_Collection'!E213)</f>
        <v>42942</v>
      </c>
      <c r="H506" s="92" t="str">
        <f>Dryseason!L652</f>
        <v>G434</v>
      </c>
      <c r="I506" t="str">
        <f>Dryseason!L872</f>
        <v>R670</v>
      </c>
      <c r="J506">
        <f>IFERROR(INDEX('Green_rooibos initial weight'!$C$5:$C$2000,MATCH(H506, 'Green_rooibos initial weight'!$A$5:$A$2000,0)),"")</f>
        <v>2.0339999999999998</v>
      </c>
      <c r="K506">
        <f>IFERROR(INDEX('Green_rooibos initial weight'!$C$5:$C$2000,MATCH(I506, 'Green_rooibos initial weight'!$A$5:$A$2000,0)),"")</f>
        <v>2.1059999999999999</v>
      </c>
      <c r="L506" s="194">
        <f t="shared" si="55"/>
        <v>1.7841999999999998</v>
      </c>
      <c r="M506" s="233">
        <f>AVERAGE(Ashed_controlls!$K$1:$K$11)</f>
        <v>5.5147656768714146</v>
      </c>
      <c r="N506" s="194">
        <f t="shared" si="54"/>
        <v>1.8561999999999999</v>
      </c>
      <c r="O506" s="376">
        <f>IF('Dry_Litterbag Placem_Collection'!G213="","",'Dry_Litterbag Placem_Collection'!G213)</f>
        <v>43004</v>
      </c>
      <c r="P506" s="194">
        <f>IFERROR(INDEX('Both teabags AfterDry'!$D$3:$D$2000,MATCH(H506,'Both teabags AfterDry'!$A$3:$A$2000,0)),"")</f>
        <v>0.74099999999999999</v>
      </c>
      <c r="Q506" s="194">
        <f>IFERROR(INDEX('Both teabags AfterDry'!$D$3:$D$2000,MATCH(I506,'Both teabags AfterDry'!$A$3:$A$2000,0)),"")</f>
        <v>1.4770000000000001</v>
      </c>
      <c r="R506" s="194">
        <f t="shared" si="56"/>
        <v>0.59040000000000004</v>
      </c>
      <c r="S506" s="194">
        <f t="shared" si="56"/>
        <v>1.3264</v>
      </c>
      <c r="T506" s="194">
        <f t="shared" si="57"/>
        <v>0.66909539289317332</v>
      </c>
      <c r="U506" s="194">
        <f t="shared" si="58"/>
        <v>0.43864686089908755</v>
      </c>
      <c r="V506" s="194">
        <f t="shared" si="59"/>
        <v>0.71457817045576988</v>
      </c>
      <c r="W506">
        <f t="shared" si="60"/>
        <v>62</v>
      </c>
      <c r="X506" s="194">
        <f t="shared" si="61"/>
        <v>0.20534988967556611</v>
      </c>
      <c r="Y506" s="194">
        <f t="shared" si="62"/>
        <v>1.696430706882612E-2</v>
      </c>
      <c r="Z506" s="245" t="str">
        <f>IF(ISNUMBER(SEARCH("C", 'Dry_Litterbag Placem_Collection'!$V213)),"YES","NO")</f>
        <v>NO</v>
      </c>
      <c r="AA506" s="245" t="str">
        <f>IF(ISNUMBER(SEARCH("H", 'Dry_Litterbag Placem_Collection'!$V213)),"YES","NO")</f>
        <v>NO</v>
      </c>
      <c r="AB506" s="245" t="str">
        <f>IF(ISNUMBER(SEARCH("R", 'Dry_Litterbag Placem_Collection'!$V213)),"YES","NO")</f>
        <v>NO</v>
      </c>
      <c r="AC506" s="245" t="str">
        <f>IF(ISNUMBER(SEARCH("C", 'Dry_Litterbag Placem_Collection'!$U213)),"YES","NO")</f>
        <v>NO</v>
      </c>
      <c r="AD506" s="245" t="str">
        <f>IF(ISNUMBER(SEARCH("H", 'Dry_Litterbag Placem_Collection'!$U213)),"YES","NO")</f>
        <v>NO</v>
      </c>
      <c r="AE506" s="245" t="str">
        <f>IF(ISNUMBER(SEARCH("R", 'Dry_Litterbag Placem_Collection'!$U213)),"YES","NO")</f>
        <v>YES</v>
      </c>
    </row>
    <row r="507" spans="2:31">
      <c r="B507" t="str">
        <f>Dryseason!B653</f>
        <v>Dry</v>
      </c>
      <c r="C507" s="253">
        <f>Dryseason!C653</f>
        <v>215</v>
      </c>
      <c r="D507" t="s">
        <v>2422</v>
      </c>
      <c r="E507" t="s">
        <v>25</v>
      </c>
      <c r="F507" s="375">
        <v>3</v>
      </c>
      <c r="G507" s="376">
        <f>IF('Dry_Litterbag Placem_Collection'!E214="","",'Dry_Litterbag Placem_Collection'!E214)</f>
        <v>42942</v>
      </c>
      <c r="H507" s="92" t="str">
        <f>Dryseason!L653</f>
        <v>G56</v>
      </c>
      <c r="I507" t="str">
        <f>Dryseason!L873</f>
        <v>R256</v>
      </c>
      <c r="J507">
        <f>IFERROR(INDEX('Green_rooibos initial weight'!$C$5:$C$2000,MATCH(H507, 'Green_rooibos initial weight'!$A$5:$A$2000,0)),"")</f>
        <v>2.02</v>
      </c>
      <c r="K507">
        <f>IFERROR(INDEX('Green_rooibos initial weight'!$C$5:$C$2000,MATCH(I507, 'Green_rooibos initial weight'!$A$5:$A$2000,0)),"")</f>
        <v>2.2000000000000002</v>
      </c>
      <c r="L507" s="194">
        <f t="shared" si="55"/>
        <v>1.7702</v>
      </c>
      <c r="M507" s="233">
        <f>AVERAGE(Ashed_controlls!$K$1:$K$11)</f>
        <v>5.5147656768714146</v>
      </c>
      <c r="N507" s="194">
        <f t="shared" si="54"/>
        <v>1.9502000000000002</v>
      </c>
      <c r="O507" s="376">
        <f>IF('Dry_Litterbag Placem_Collection'!G214="","",'Dry_Litterbag Placem_Collection'!G214)</f>
        <v>43004</v>
      </c>
      <c r="P507" s="194">
        <f>IFERROR(INDEX('Both teabags AfterDry'!$D$3:$D$2000,MATCH(H507,'Both teabags AfterDry'!$A$3:$A$2000,0)),"")</f>
        <v>0.7238</v>
      </c>
      <c r="Q507" s="194">
        <f>IFERROR(INDEX('Both teabags AfterDry'!$D$3:$D$2000,MATCH(I507,'Both teabags AfterDry'!$A$3:$A$2000,0)),"")</f>
        <v>1.5882000000000001</v>
      </c>
      <c r="R507" s="194">
        <f t="shared" si="56"/>
        <v>0.57319999999999993</v>
      </c>
      <c r="S507" s="194">
        <f t="shared" si="56"/>
        <v>1.4376</v>
      </c>
      <c r="T507" s="194">
        <f t="shared" si="57"/>
        <v>0.67619478025081914</v>
      </c>
      <c r="U507" s="194">
        <f t="shared" si="58"/>
        <v>0.44330109109079835</v>
      </c>
      <c r="V507" s="194">
        <f t="shared" si="59"/>
        <v>0.73715516357296684</v>
      </c>
      <c r="W507">
        <f t="shared" si="60"/>
        <v>62</v>
      </c>
      <c r="X507" s="194">
        <f t="shared" si="61"/>
        <v>0.19691831324130737</v>
      </c>
      <c r="Y507" s="194">
        <f t="shared" si="62"/>
        <v>1.4496142114091398E-2</v>
      </c>
      <c r="Z507" s="245" t="str">
        <f>IF(ISNUMBER(SEARCH("C", 'Dry_Litterbag Placem_Collection'!$V214)),"YES","NO")</f>
        <v>NO</v>
      </c>
      <c r="AA507" s="245" t="str">
        <f>IF(ISNUMBER(SEARCH("H", 'Dry_Litterbag Placem_Collection'!$V214)),"YES","NO")</f>
        <v>NO</v>
      </c>
      <c r="AB507" s="245" t="str">
        <f>IF(ISNUMBER(SEARCH("R", 'Dry_Litterbag Placem_Collection'!$V214)),"YES","NO")</f>
        <v>YES</v>
      </c>
      <c r="AC507" s="245" t="str">
        <f>IF(ISNUMBER(SEARCH("C", 'Dry_Litterbag Placem_Collection'!$U214)),"YES","NO")</f>
        <v>NO</v>
      </c>
      <c r="AD507" s="245" t="str">
        <f>IF(ISNUMBER(SEARCH("H", 'Dry_Litterbag Placem_Collection'!$U214)),"YES","NO")</f>
        <v>NO</v>
      </c>
      <c r="AE507" s="245" t="str">
        <f>IF(ISNUMBER(SEARCH("R", 'Dry_Litterbag Placem_Collection'!$U214)),"YES","NO")</f>
        <v>YES</v>
      </c>
    </row>
    <row r="508" spans="2:31">
      <c r="B508" t="str">
        <f>Dryseason!B654</f>
        <v>Dry</v>
      </c>
      <c r="C508" s="253">
        <f>Dryseason!C654</f>
        <v>212</v>
      </c>
      <c r="D508" t="s">
        <v>2437</v>
      </c>
      <c r="E508" t="s">
        <v>25</v>
      </c>
      <c r="F508" s="375">
        <v>4</v>
      </c>
      <c r="G508" s="376">
        <f>IF('Dry_Litterbag Placem_Collection'!E215="","",'Dry_Litterbag Placem_Collection'!E215)</f>
        <v>42942</v>
      </c>
      <c r="H508" s="92" t="str">
        <f>Dryseason!L654</f>
        <v>G363</v>
      </c>
      <c r="I508" t="str">
        <f>Dryseason!L874</f>
        <v>R658</v>
      </c>
      <c r="J508">
        <f>IFERROR(INDEX('Green_rooibos initial weight'!$C$5:$C$2000,MATCH(H508, 'Green_rooibos initial weight'!$A$5:$A$2000,0)),"")</f>
        <v>2.02</v>
      </c>
      <c r="K508">
        <f>IFERROR(INDEX('Green_rooibos initial weight'!$C$5:$C$2000,MATCH(I508, 'Green_rooibos initial weight'!$A$5:$A$2000,0)),"")</f>
        <v>2.2080000000000002</v>
      </c>
      <c r="L508" s="194">
        <f t="shared" si="55"/>
        <v>1.7702</v>
      </c>
      <c r="M508" s="233">
        <f>AVERAGE(Ashed_controlls!$K$1:$K$11)</f>
        <v>5.5147656768714146</v>
      </c>
      <c r="N508" s="194">
        <f t="shared" si="54"/>
        <v>1.9582000000000002</v>
      </c>
      <c r="O508" s="376">
        <f>IF('Dry_Litterbag Placem_Collection'!G215="","",'Dry_Litterbag Placem_Collection'!G215)</f>
        <v>43004</v>
      </c>
      <c r="P508" s="194">
        <f>IFERROR(INDEX('Both teabags AfterDry'!$D$3:$D$2000,MATCH(H508,'Both teabags AfterDry'!$A$3:$A$2000,0)),"")</f>
        <v>0.753</v>
      </c>
      <c r="Q508" s="194">
        <f>IFERROR(INDEX('Both teabags AfterDry'!$D$3:$D$2000,MATCH(I508,'Both teabags AfterDry'!$A$3:$A$2000,0)),"")</f>
        <v>1.655</v>
      </c>
      <c r="R508" s="194">
        <f t="shared" si="56"/>
        <v>0.60240000000000005</v>
      </c>
      <c r="S508" s="194">
        <f t="shared" si="56"/>
        <v>1.5044</v>
      </c>
      <c r="T508" s="194">
        <f t="shared" si="57"/>
        <v>0.65969946898655518</v>
      </c>
      <c r="U508" s="194">
        <f t="shared" si="58"/>
        <v>0.43248706280353744</v>
      </c>
      <c r="V508" s="194">
        <f t="shared" si="59"/>
        <v>0.76825656214891214</v>
      </c>
      <c r="W508">
        <f t="shared" si="60"/>
        <v>62</v>
      </c>
      <c r="X508" s="194">
        <f t="shared" si="61"/>
        <v>0.21650894419649025</v>
      </c>
      <c r="Y508" s="194">
        <f t="shared" si="62"/>
        <v>1.237941640582442E-2</v>
      </c>
      <c r="Z508" s="245" t="str">
        <f>IF(ISNUMBER(SEARCH("C", 'Dry_Litterbag Placem_Collection'!$V215)),"YES","NO")</f>
        <v>NO</v>
      </c>
      <c r="AA508" s="245" t="str">
        <f>IF(ISNUMBER(SEARCH("H", 'Dry_Litterbag Placem_Collection'!$V215)),"YES","NO")</f>
        <v>NO</v>
      </c>
      <c r="AB508" s="245" t="str">
        <f>IF(ISNUMBER(SEARCH("R", 'Dry_Litterbag Placem_Collection'!$V215)),"YES","NO")</f>
        <v>YES</v>
      </c>
      <c r="AC508" s="245" t="str">
        <f>IF(ISNUMBER(SEARCH("C", 'Dry_Litterbag Placem_Collection'!$U215)),"YES","NO")</f>
        <v>NO</v>
      </c>
      <c r="AD508" s="245" t="str">
        <f>IF(ISNUMBER(SEARCH("H", 'Dry_Litterbag Placem_Collection'!$U215)),"YES","NO")</f>
        <v>NO</v>
      </c>
      <c r="AE508" s="245" t="str">
        <f>IF(ISNUMBER(SEARCH("R", 'Dry_Litterbag Placem_Collection'!$U215)),"YES","NO")</f>
        <v>YES</v>
      </c>
    </row>
    <row r="509" spans="2:31">
      <c r="B509" t="str">
        <f>Dryseason!B655</f>
        <v>Dry</v>
      </c>
      <c r="C509" s="253">
        <f>Dryseason!C655</f>
        <v>213</v>
      </c>
      <c r="D509" t="s">
        <v>2445</v>
      </c>
      <c r="E509" t="s">
        <v>25</v>
      </c>
      <c r="F509" s="375">
        <v>1</v>
      </c>
      <c r="G509" s="376">
        <f>IF('Dry_Litterbag Placem_Collection'!E216="","",'Dry_Litterbag Placem_Collection'!E216)</f>
        <v>42942</v>
      </c>
      <c r="H509" s="92" t="str">
        <f>Dryseason!L655</f>
        <v>G5</v>
      </c>
      <c r="I509" t="str">
        <f>Dryseason!L875</f>
        <v>R699</v>
      </c>
      <c r="J509">
        <f>IFERROR(INDEX('Green_rooibos initial weight'!$C$5:$C$2000,MATCH(H509, 'Green_rooibos initial weight'!$A$5:$A$2000,0)),"")</f>
        <v>2.0139999999999998</v>
      </c>
      <c r="K509">
        <f>IFERROR(INDEX('Green_rooibos initial weight'!$C$5:$C$2000,MATCH(I509, 'Green_rooibos initial weight'!$A$5:$A$2000,0)),"")</f>
        <v>2.157</v>
      </c>
      <c r="L509" s="194">
        <f t="shared" si="55"/>
        <v>1.7641999999999998</v>
      </c>
      <c r="M509" s="233">
        <f>AVERAGE(Ashed_controlls!$K$1:$K$11)</f>
        <v>5.5147656768714146</v>
      </c>
      <c r="N509" s="194">
        <f t="shared" si="54"/>
        <v>1.9072</v>
      </c>
      <c r="O509" s="376">
        <f>IF('Dry_Litterbag Placem_Collection'!G216="","",'Dry_Litterbag Placem_Collection'!G216)</f>
        <v>43004</v>
      </c>
      <c r="P509" s="194">
        <f>IFERROR(INDEX('Both teabags AfterDry'!$D$3:$D$2000,MATCH(H509,'Both teabags AfterDry'!$A$3:$A$2000,0)),"")</f>
        <v>0.67</v>
      </c>
      <c r="Q509" s="194">
        <f>IFERROR(INDEX('Both teabags AfterDry'!$D$3:$D$2000,MATCH(I509,'Both teabags AfterDry'!$A$3:$A$2000,0)),"")</f>
        <v>1.748</v>
      </c>
      <c r="R509" s="194">
        <f t="shared" si="56"/>
        <v>0.51940000000000008</v>
      </c>
      <c r="S509" s="194">
        <f t="shared" si="56"/>
        <v>1.5973999999999999</v>
      </c>
      <c r="T509" s="194">
        <f t="shared" si="57"/>
        <v>0.7055889354948417</v>
      </c>
      <c r="U509" s="194">
        <f t="shared" si="58"/>
        <v>0.46257136863794857</v>
      </c>
      <c r="V509" s="194">
        <f t="shared" si="59"/>
        <v>0.83756291946308725</v>
      </c>
      <c r="W509">
        <f t="shared" si="60"/>
        <v>62</v>
      </c>
      <c r="X509" s="194">
        <f t="shared" si="61"/>
        <v>0.16200839014864399</v>
      </c>
      <c r="Y509" s="194">
        <f t="shared" si="62"/>
        <v>6.9769492598676227E-3</v>
      </c>
      <c r="Z509" s="245" t="str">
        <f>IF(ISNUMBER(SEARCH("C", 'Dry_Litterbag Placem_Collection'!$V216)),"YES","NO")</f>
        <v>NO</v>
      </c>
      <c r="AA509" s="245" t="str">
        <f>IF(ISNUMBER(SEARCH("H", 'Dry_Litterbag Placem_Collection'!$V216)),"YES","NO")</f>
        <v>NO</v>
      </c>
      <c r="AB509" s="245" t="str">
        <f>IF(ISNUMBER(SEARCH("R", 'Dry_Litterbag Placem_Collection'!$V216)),"YES","NO")</f>
        <v>NO</v>
      </c>
      <c r="AC509" s="245" t="str">
        <f>IF(ISNUMBER(SEARCH("C", 'Dry_Litterbag Placem_Collection'!$U216)),"YES","NO")</f>
        <v>NO</v>
      </c>
      <c r="AD509" s="245" t="str">
        <f>IF(ISNUMBER(SEARCH("H", 'Dry_Litterbag Placem_Collection'!$U216)),"YES","NO")</f>
        <v>NO</v>
      </c>
      <c r="AE509" s="245" t="str">
        <f>IF(ISNUMBER(SEARCH("R", 'Dry_Litterbag Placem_Collection'!$U216)),"YES","NO")</f>
        <v>NO</v>
      </c>
    </row>
    <row r="510" spans="2:31">
      <c r="B510" t="str">
        <f>Dryseason!B656</f>
        <v>Dry</v>
      </c>
      <c r="C510" s="253">
        <f>Dryseason!C656</f>
        <v>214</v>
      </c>
      <c r="D510" t="s">
        <v>2438</v>
      </c>
      <c r="E510" t="s">
        <v>25</v>
      </c>
      <c r="F510" s="375">
        <v>2</v>
      </c>
      <c r="G510" s="376">
        <f>IF('Dry_Litterbag Placem_Collection'!E217="","",'Dry_Litterbag Placem_Collection'!E217)</f>
        <v>42942</v>
      </c>
      <c r="H510" s="92" t="str">
        <f>Dryseason!L656</f>
        <v>G771</v>
      </c>
      <c r="I510" t="str">
        <f>Dryseason!L876</f>
        <v>R663</v>
      </c>
      <c r="J510">
        <f>IFERROR(INDEX('Green_rooibos initial weight'!$C$5:$C$2000,MATCH(H510, 'Green_rooibos initial weight'!$A$5:$A$2000,0)),"")</f>
        <v>1.9910000000000001</v>
      </c>
      <c r="K510">
        <f>IFERROR(INDEX('Green_rooibos initial weight'!$C$5:$C$2000,MATCH(I510, 'Green_rooibos initial weight'!$A$5:$A$2000,0)),"")</f>
        <v>2.105</v>
      </c>
      <c r="L510" s="194">
        <f t="shared" si="55"/>
        <v>1.7412000000000001</v>
      </c>
      <c r="M510" s="233">
        <f>AVERAGE(Ashed_controlls!$K$1:$K$11)</f>
        <v>5.5147656768714146</v>
      </c>
      <c r="N510" s="194">
        <f t="shared" si="54"/>
        <v>1.8552</v>
      </c>
      <c r="O510" s="376">
        <f>IF('Dry_Litterbag Placem_Collection'!G217="","",'Dry_Litterbag Placem_Collection'!G217)</f>
        <v>43004</v>
      </c>
      <c r="P510" s="194">
        <f>IFERROR(INDEX('Both teabags AfterDry'!$D$3:$D$2000,MATCH(H510,'Both teabags AfterDry'!$A$3:$A$2000,0)),"")</f>
        <v>0.65300000000000002</v>
      </c>
      <c r="Q510" s="194">
        <f>IFERROR(INDEX('Both teabags AfterDry'!$D$3:$D$2000,MATCH(I510,'Both teabags AfterDry'!$A$3:$A$2000,0)),"")</f>
        <v>1.6679999999999999</v>
      </c>
      <c r="R510" s="194">
        <f t="shared" si="56"/>
        <v>0.50239999999999996</v>
      </c>
      <c r="S510" s="194">
        <f t="shared" si="56"/>
        <v>1.5173999999999999</v>
      </c>
      <c r="T510" s="194">
        <f t="shared" si="57"/>
        <v>0.71146335860326215</v>
      </c>
      <c r="U510" s="194">
        <f t="shared" si="58"/>
        <v>0.46642253438123604</v>
      </c>
      <c r="V510" s="194">
        <f t="shared" si="59"/>
        <v>0.81791720569210857</v>
      </c>
      <c r="W510">
        <f t="shared" si="60"/>
        <v>62</v>
      </c>
      <c r="X510" s="194">
        <f t="shared" si="61"/>
        <v>0.15503164061370289</v>
      </c>
      <c r="Y510" s="194">
        <f t="shared" si="62"/>
        <v>7.9826154575965442E-3</v>
      </c>
      <c r="Z510" s="245" t="str">
        <f>IF(ISNUMBER(SEARCH("C", 'Dry_Litterbag Placem_Collection'!$V217)),"YES","NO")</f>
        <v>NO</v>
      </c>
      <c r="AA510" s="245" t="str">
        <f>IF(ISNUMBER(SEARCH("H", 'Dry_Litterbag Placem_Collection'!$V217)),"YES","NO")</f>
        <v>NO</v>
      </c>
      <c r="AB510" s="245" t="str">
        <f>IF(ISNUMBER(SEARCH("R", 'Dry_Litterbag Placem_Collection'!$V217)),"YES","NO")</f>
        <v>NO</v>
      </c>
      <c r="AC510" s="245" t="str">
        <f>IF(ISNUMBER(SEARCH("C", 'Dry_Litterbag Placem_Collection'!$U217)),"YES","NO")</f>
        <v>NO</v>
      </c>
      <c r="AD510" s="245" t="str">
        <f>IF(ISNUMBER(SEARCH("H", 'Dry_Litterbag Placem_Collection'!$U217)),"YES","NO")</f>
        <v>NO</v>
      </c>
      <c r="AE510" s="245" t="str">
        <f>IF(ISNUMBER(SEARCH("R", 'Dry_Litterbag Placem_Collection'!$U217)),"YES","NO")</f>
        <v>YES</v>
      </c>
    </row>
    <row r="511" spans="2:31">
      <c r="B511" t="str">
        <f>Dryseason!B657</f>
        <v>Dry</v>
      </c>
      <c r="C511" s="253">
        <f>Dryseason!C657</f>
        <v>216</v>
      </c>
      <c r="D511" t="s">
        <v>2431</v>
      </c>
      <c r="E511" t="s">
        <v>25</v>
      </c>
      <c r="F511" s="375">
        <v>4</v>
      </c>
      <c r="G511" s="376">
        <f>IF('Dry_Litterbag Placem_Collection'!E218="","",'Dry_Litterbag Placem_Collection'!E218)</f>
        <v>42942</v>
      </c>
      <c r="H511" s="92" t="str">
        <f>Dryseason!L657</f>
        <v>G361</v>
      </c>
      <c r="I511" t="str">
        <f>Dryseason!L877</f>
        <v>R622</v>
      </c>
      <c r="J511">
        <f>IFERROR(INDEX('Green_rooibos initial weight'!$C$5:$C$2000,MATCH(H511, 'Green_rooibos initial weight'!$A$5:$A$2000,0)),"")</f>
        <v>2.0590000000000002</v>
      </c>
      <c r="K511">
        <f>IFERROR(INDEX('Green_rooibos initial weight'!$C$5:$C$2000,MATCH(I511, 'Green_rooibos initial weight'!$A$5:$A$2000,0)),"")</f>
        <v>2.1640000000000001</v>
      </c>
      <c r="L511" s="194">
        <f t="shared" si="55"/>
        <v>1.8092000000000001</v>
      </c>
      <c r="M511" s="233">
        <f>AVERAGE(Ashed_controlls!$K$1:$K$11)</f>
        <v>5.5147656768714146</v>
      </c>
      <c r="N511" s="194">
        <f t="shared" si="54"/>
        <v>1.9142000000000001</v>
      </c>
      <c r="O511" s="376">
        <f>IF('Dry_Litterbag Placem_Collection'!G218="","",'Dry_Litterbag Placem_Collection'!G218)</f>
        <v>43004</v>
      </c>
      <c r="P511" s="194">
        <f>IFERROR(INDEX('Both teabags AfterDry'!$D$3:$D$2000,MATCH(H511,'Both teabags AfterDry'!$A$3:$A$2000,0)),"")</f>
        <v>0.73499999999999999</v>
      </c>
      <c r="Q511" s="194">
        <f>IFERROR(INDEX('Both teabags AfterDry'!$D$3:$D$2000,MATCH(I511,'Both teabags AfterDry'!$A$3:$A$2000,0)),"")</f>
        <v>1.6419999999999999</v>
      </c>
      <c r="R511" s="194">
        <f t="shared" si="56"/>
        <v>0.58440000000000003</v>
      </c>
      <c r="S511" s="194">
        <f t="shared" si="56"/>
        <v>1.4913999999999998</v>
      </c>
      <c r="T511" s="194">
        <f t="shared" si="57"/>
        <v>0.67698430245412333</v>
      </c>
      <c r="U511" s="194">
        <f t="shared" si="58"/>
        <v>0.44381868759462723</v>
      </c>
      <c r="V511" s="194">
        <f t="shared" si="59"/>
        <v>0.77912443840768975</v>
      </c>
      <c r="W511">
        <f t="shared" si="60"/>
        <v>62</v>
      </c>
      <c r="X511" s="194">
        <f t="shared" si="61"/>
        <v>0.19598063841553048</v>
      </c>
      <c r="Y511" s="194">
        <f t="shared" si="62"/>
        <v>1.1104829341503992E-2</v>
      </c>
      <c r="Z511" s="245" t="str">
        <f>IF(ISNUMBER(SEARCH("C", 'Dry_Litterbag Placem_Collection'!$V218)),"YES","NO")</f>
        <v>NO</v>
      </c>
      <c r="AA511" s="245" t="str">
        <f>IF(ISNUMBER(SEARCH("H", 'Dry_Litterbag Placem_Collection'!$V218)),"YES","NO")</f>
        <v>NO</v>
      </c>
      <c r="AB511" s="245" t="str">
        <f>IF(ISNUMBER(SEARCH("R", 'Dry_Litterbag Placem_Collection'!$V218)),"YES","NO")</f>
        <v>NO</v>
      </c>
      <c r="AC511" s="245" t="str">
        <f>IF(ISNUMBER(SEARCH("C", 'Dry_Litterbag Placem_Collection'!$U218)),"YES","NO")</f>
        <v>NO</v>
      </c>
      <c r="AD511" s="245" t="str">
        <f>IF(ISNUMBER(SEARCH("H", 'Dry_Litterbag Placem_Collection'!$U218)),"YES","NO")</f>
        <v>NO</v>
      </c>
      <c r="AE511" s="245" t="str">
        <f>IF(ISNUMBER(SEARCH("R", 'Dry_Litterbag Placem_Collection'!$U218)),"YES","NO")</f>
        <v>NO</v>
      </c>
    </row>
    <row r="512" spans="2:31">
      <c r="B512" t="str">
        <f>Dryseason!B658</f>
        <v>Dry</v>
      </c>
      <c r="C512" s="253">
        <f>Dryseason!C658</f>
        <v>217</v>
      </c>
      <c r="D512" t="s">
        <v>2424</v>
      </c>
      <c r="E512" t="s">
        <v>25</v>
      </c>
      <c r="F512" s="375">
        <v>1</v>
      </c>
      <c r="G512" s="376">
        <f>IF('Dry_Litterbag Placem_Collection'!E219="","",'Dry_Litterbag Placem_Collection'!E219)</f>
        <v>42942</v>
      </c>
      <c r="H512" s="92" t="str">
        <f>Dryseason!L658</f>
        <v>G204</v>
      </c>
      <c r="I512" t="str">
        <f>Dryseason!L878</f>
        <v>R608</v>
      </c>
      <c r="J512">
        <f>IFERROR(INDEX('Green_rooibos initial weight'!$C$5:$C$2000,MATCH(H512, 'Green_rooibos initial weight'!$A$5:$A$2000,0)),"")</f>
        <v>2.1970000000000001</v>
      </c>
      <c r="K512">
        <f>IFERROR(INDEX('Green_rooibos initial weight'!$C$5:$C$2000,MATCH(I512, 'Green_rooibos initial weight'!$A$5:$A$2000,0)),"")</f>
        <v>2.1440000000000001</v>
      </c>
      <c r="L512" s="194">
        <f t="shared" si="55"/>
        <v>1.9472</v>
      </c>
      <c r="M512" s="233">
        <f>AVERAGE(Ashed_controlls!$K$1:$K$11)</f>
        <v>5.5147656768714146</v>
      </c>
      <c r="N512" s="194">
        <f t="shared" si="54"/>
        <v>1.8942000000000001</v>
      </c>
      <c r="O512" s="376">
        <f>IF('Dry_Litterbag Placem_Collection'!G219="","",'Dry_Litterbag Placem_Collection'!G219)</f>
        <v>43004</v>
      </c>
      <c r="P512" s="194">
        <f>IFERROR(INDEX('Both teabags AfterDry'!$D$3:$D$2000,MATCH(H512,'Both teabags AfterDry'!$A$3:$A$2000,0)),"")</f>
        <v>0.80579999999999996</v>
      </c>
      <c r="Q512" s="194">
        <f>IFERROR(INDEX('Both teabags AfterDry'!$D$3:$D$2000,MATCH(I512,'Both teabags AfterDry'!$A$3:$A$2000,0)),"")</f>
        <v>1.6455</v>
      </c>
      <c r="R512" s="194">
        <f t="shared" si="56"/>
        <v>0.6552</v>
      </c>
      <c r="S512" s="194">
        <f t="shared" si="56"/>
        <v>1.4948999999999999</v>
      </c>
      <c r="T512" s="194">
        <f t="shared" si="57"/>
        <v>0.6635168447000821</v>
      </c>
      <c r="U512" s="194">
        <f t="shared" si="58"/>
        <v>0.43498966540908002</v>
      </c>
      <c r="V512" s="194">
        <f t="shared" si="59"/>
        <v>0.78919860627177696</v>
      </c>
      <c r="W512">
        <f t="shared" si="60"/>
        <v>62</v>
      </c>
      <c r="X512" s="194">
        <f t="shared" si="61"/>
        <v>0.21197524382413047</v>
      </c>
      <c r="Y512" s="194">
        <f t="shared" si="62"/>
        <v>1.069090444704884E-2</v>
      </c>
      <c r="Z512" s="245" t="str">
        <f>IF(ISNUMBER(SEARCH("C", 'Dry_Litterbag Placem_Collection'!$V219)),"YES","NO")</f>
        <v>NO</v>
      </c>
      <c r="AA512" s="245" t="str">
        <f>IF(ISNUMBER(SEARCH("H", 'Dry_Litterbag Placem_Collection'!$V219)),"YES","NO")</f>
        <v>NO</v>
      </c>
      <c r="AB512" s="245" t="str">
        <f>IF(ISNUMBER(SEARCH("R", 'Dry_Litterbag Placem_Collection'!$V219)),"YES","NO")</f>
        <v>NO</v>
      </c>
      <c r="AC512" s="245" t="str">
        <f>IF(ISNUMBER(SEARCH("C", 'Dry_Litterbag Placem_Collection'!$U219)),"YES","NO")</f>
        <v>NO</v>
      </c>
      <c r="AD512" s="245" t="str">
        <f>IF(ISNUMBER(SEARCH("H", 'Dry_Litterbag Placem_Collection'!$U219)),"YES","NO")</f>
        <v>NO</v>
      </c>
      <c r="AE512" s="245" t="str">
        <f>IF(ISNUMBER(SEARCH("R", 'Dry_Litterbag Placem_Collection'!$U219)),"YES","NO")</f>
        <v>YES</v>
      </c>
    </row>
    <row r="513" spans="2:31">
      <c r="B513" t="str">
        <f>Dryseason!B659</f>
        <v>Dry</v>
      </c>
      <c r="C513" s="253">
        <f>Dryseason!C659</f>
        <v>218</v>
      </c>
      <c r="D513" t="s">
        <v>2432</v>
      </c>
      <c r="E513" t="s">
        <v>25</v>
      </c>
      <c r="F513" s="375">
        <v>2</v>
      </c>
      <c r="G513" s="376">
        <f>IF('Dry_Litterbag Placem_Collection'!E220="","",'Dry_Litterbag Placem_Collection'!E220)</f>
        <v>42942</v>
      </c>
      <c r="H513" s="92" t="str">
        <f>Dryseason!L659</f>
        <v>G170</v>
      </c>
      <c r="I513" t="str">
        <f>Dryseason!L879</f>
        <v>R639</v>
      </c>
      <c r="J513">
        <f>IFERROR(INDEX('Green_rooibos initial weight'!$C$5:$C$2000,MATCH(H513, 'Green_rooibos initial weight'!$A$5:$A$2000,0)),"")</f>
        <v>2.0390000000000001</v>
      </c>
      <c r="K513">
        <f>IFERROR(INDEX('Green_rooibos initial weight'!$C$5:$C$2000,MATCH(I513, 'Green_rooibos initial weight'!$A$5:$A$2000,0)),"")</f>
        <v>2.0840000000000001</v>
      </c>
      <c r="L513" s="194">
        <f t="shared" si="55"/>
        <v>1.7892000000000001</v>
      </c>
      <c r="M513" s="233">
        <f>AVERAGE(Ashed_controlls!$K$1:$K$11)</f>
        <v>5.5147656768714146</v>
      </c>
      <c r="N513" s="194">
        <f t="shared" si="54"/>
        <v>1.8342000000000001</v>
      </c>
      <c r="O513" s="376">
        <f>IF('Dry_Litterbag Placem_Collection'!G220="","",'Dry_Litterbag Placem_Collection'!G220)</f>
        <v>43004</v>
      </c>
      <c r="P513" s="194">
        <f>IFERROR(INDEX('Both teabags AfterDry'!$D$3:$D$2000,MATCH(H513,'Both teabags AfterDry'!$A$3:$A$2000,0)),"")</f>
        <v>0.66100000000000003</v>
      </c>
      <c r="Q513" s="194">
        <f>IFERROR(INDEX('Both teabags AfterDry'!$D$3:$D$2000,MATCH(I513,'Both teabags AfterDry'!$A$3:$A$2000,0)),"")</f>
        <v>1.6519999999999999</v>
      </c>
      <c r="R513" s="194">
        <f t="shared" si="56"/>
        <v>0.51039999999999996</v>
      </c>
      <c r="S513" s="194">
        <f t="shared" si="56"/>
        <v>1.5013999999999998</v>
      </c>
      <c r="T513" s="194">
        <f t="shared" si="57"/>
        <v>0.71473284149340488</v>
      </c>
      <c r="U513" s="194">
        <f t="shared" si="58"/>
        <v>0.46856594834246978</v>
      </c>
      <c r="V513" s="194">
        <f t="shared" si="59"/>
        <v>0.81855849961836213</v>
      </c>
      <c r="W513">
        <f t="shared" si="60"/>
        <v>62</v>
      </c>
      <c r="X513" s="194">
        <f t="shared" si="61"/>
        <v>0.15114864430712005</v>
      </c>
      <c r="Y513" s="194">
        <f t="shared" si="62"/>
        <v>7.8993728754922343E-3</v>
      </c>
      <c r="Z513" s="245" t="str">
        <f>IF(ISNUMBER(SEARCH("C", 'Dry_Litterbag Placem_Collection'!$V220)),"YES","NO")</f>
        <v>NO</v>
      </c>
      <c r="AA513" s="245" t="str">
        <f>IF(ISNUMBER(SEARCH("H", 'Dry_Litterbag Placem_Collection'!$V220)),"YES","NO")</f>
        <v>NO</v>
      </c>
      <c r="AB513" s="245" t="str">
        <f>IF(ISNUMBER(SEARCH("R", 'Dry_Litterbag Placem_Collection'!$V220)),"YES","NO")</f>
        <v>YES</v>
      </c>
      <c r="AC513" s="245" t="str">
        <f>IF(ISNUMBER(SEARCH("C", 'Dry_Litterbag Placem_Collection'!$U220)),"YES","NO")</f>
        <v>NO</v>
      </c>
      <c r="AD513" s="245" t="str">
        <f>IF(ISNUMBER(SEARCH("H", 'Dry_Litterbag Placem_Collection'!$U220)),"YES","NO")</f>
        <v>NO</v>
      </c>
      <c r="AE513" s="245" t="str">
        <f>IF(ISNUMBER(SEARCH("R", 'Dry_Litterbag Placem_Collection'!$U220)),"YES","NO")</f>
        <v>YES</v>
      </c>
    </row>
    <row r="514" spans="2:31">
      <c r="B514" t="str">
        <f>Dryseason!B660</f>
        <v>Dry</v>
      </c>
      <c r="C514" s="253">
        <f>Dryseason!C660</f>
        <v>219</v>
      </c>
      <c r="D514" t="s">
        <v>2439</v>
      </c>
      <c r="E514" t="s">
        <v>25</v>
      </c>
      <c r="F514" s="375">
        <v>3</v>
      </c>
      <c r="G514" s="376">
        <f>IF('Dry_Litterbag Placem_Collection'!E221="","",'Dry_Litterbag Placem_Collection'!E221)</f>
        <v>42942</v>
      </c>
      <c r="H514" s="92" t="str">
        <f>Dryseason!L660</f>
        <v>G123</v>
      </c>
      <c r="I514" t="str">
        <f>Dryseason!L880</f>
        <v>R246</v>
      </c>
      <c r="J514">
        <f>IFERROR(INDEX('Green_rooibos initial weight'!$C$5:$C$2000,MATCH(H514, 'Green_rooibos initial weight'!$A$5:$A$2000,0)),"")</f>
        <v>2.133</v>
      </c>
      <c r="K514">
        <f>IFERROR(INDEX('Green_rooibos initial weight'!$C$5:$C$2000,MATCH(I514, 'Green_rooibos initial weight'!$A$5:$A$2000,0)),"")</f>
        <v>2.2170000000000001</v>
      </c>
      <c r="L514" s="194">
        <f t="shared" si="55"/>
        <v>1.8832</v>
      </c>
      <c r="M514" s="233">
        <f>AVERAGE(Ashed_controlls!$K$1:$K$11)</f>
        <v>5.5147656768714146</v>
      </c>
      <c r="N514" s="194">
        <f t="shared" si="54"/>
        <v>1.9672000000000001</v>
      </c>
      <c r="O514" s="376">
        <f>IF('Dry_Litterbag Placem_Collection'!G221="","",'Dry_Litterbag Placem_Collection'!G221)</f>
        <v>43004</v>
      </c>
      <c r="P514" s="194">
        <f>IFERROR(INDEX('Both teabags AfterDry'!$D$3:$D$2000,MATCH(H514,'Both teabags AfterDry'!$A$3:$A$2000,0)),"")</f>
        <v>0.82250000000000001</v>
      </c>
      <c r="Q514" s="194">
        <f>IFERROR(INDEX('Both teabags AfterDry'!$D$3:$D$2000,MATCH(I514,'Both teabags AfterDry'!$A$3:$A$2000,0)),"")</f>
        <v>1.639</v>
      </c>
      <c r="R514" s="194">
        <f t="shared" si="56"/>
        <v>0.67189999999999994</v>
      </c>
      <c r="S514" s="194">
        <f t="shared" si="56"/>
        <v>1.4883999999999999</v>
      </c>
      <c r="T514" s="194">
        <f t="shared" si="57"/>
        <v>0.64321367884451996</v>
      </c>
      <c r="U514" s="194">
        <f t="shared" si="58"/>
        <v>0.42167927639213187</v>
      </c>
      <c r="V514" s="194">
        <f t="shared" si="59"/>
        <v>0.75660837738918252</v>
      </c>
      <c r="W514">
        <f t="shared" si="60"/>
        <v>62</v>
      </c>
      <c r="X514" s="194">
        <f t="shared" si="61"/>
        <v>0.23608826740555822</v>
      </c>
      <c r="Y514" s="194">
        <f t="shared" si="62"/>
        <v>1.3884624808672117E-2</v>
      </c>
      <c r="Z514" s="245" t="str">
        <f>IF(ISNUMBER(SEARCH("C", 'Dry_Litterbag Placem_Collection'!$V221)),"YES","NO")</f>
        <v>NO</v>
      </c>
      <c r="AA514" s="245" t="str">
        <f>IF(ISNUMBER(SEARCH("H", 'Dry_Litterbag Placem_Collection'!$V221)),"YES","NO")</f>
        <v>NO</v>
      </c>
      <c r="AB514" s="245" t="str">
        <f>IF(ISNUMBER(SEARCH("R", 'Dry_Litterbag Placem_Collection'!$V221)),"YES","NO")</f>
        <v>NO</v>
      </c>
      <c r="AC514" s="245" t="str">
        <f>IF(ISNUMBER(SEARCH("C", 'Dry_Litterbag Placem_Collection'!$U221)),"YES","NO")</f>
        <v>NO</v>
      </c>
      <c r="AD514" s="245" t="str">
        <f>IF(ISNUMBER(SEARCH("H", 'Dry_Litterbag Placem_Collection'!$U221)),"YES","NO")</f>
        <v>NO</v>
      </c>
      <c r="AE514" s="245" t="str">
        <f>IF(ISNUMBER(SEARCH("R", 'Dry_Litterbag Placem_Collection'!$U221)),"YES","NO")</f>
        <v>YES</v>
      </c>
    </row>
    <row r="515" spans="2:31">
      <c r="B515" t="str">
        <f>Dryseason!B661</f>
        <v>Dry</v>
      </c>
      <c r="C515" s="374">
        <f>Dryseason!C661</f>
        <v>220</v>
      </c>
      <c r="D515" t="s">
        <v>2446</v>
      </c>
      <c r="E515" t="s">
        <v>25</v>
      </c>
      <c r="F515" s="375">
        <v>4</v>
      </c>
      <c r="G515" s="376">
        <f>IF('Dry_Litterbag Placem_Collection'!E222="","",'Dry_Litterbag Placem_Collection'!E222)</f>
        <v>42942</v>
      </c>
      <c r="H515" s="92" t="str">
        <f>Dryseason!L661</f>
        <v>G53</v>
      </c>
      <c r="I515" s="92" t="str">
        <f>Dryseason!L881</f>
        <v>R672</v>
      </c>
      <c r="J515">
        <f>IFERROR(INDEX('Green_rooibos initial weight'!$C$5:$C$2000,MATCH(H515, 'Green_rooibos initial weight'!$A$5:$A$2000,0)),"")</f>
        <v>1.907</v>
      </c>
      <c r="K515">
        <f>IFERROR(INDEX('Green_rooibos initial weight'!$C$5:$C$2000,MATCH(I515, 'Green_rooibos initial weight'!$A$5:$A$2000,0)),"")</f>
        <v>2.161</v>
      </c>
      <c r="L515" s="194">
        <f t="shared" si="55"/>
        <v>1.6572</v>
      </c>
      <c r="M515" s="233">
        <f>AVERAGE(Ashed_controlls!$K$1:$K$11)</f>
        <v>5.5147656768714146</v>
      </c>
      <c r="N515" s="194">
        <f t="shared" si="54"/>
        <v>1.9112</v>
      </c>
      <c r="O515" s="376">
        <f>IF('Dry_Litterbag Placem_Collection'!G222="","",'Dry_Litterbag Placem_Collection'!G222)</f>
        <v>43004</v>
      </c>
      <c r="P515" s="194" t="str">
        <f>IFERROR(INDEX('Both teabags AfterDry'!$D$3:$D$2000,MATCH(H515,'Both teabags AfterDry'!$A$3:$A$2000,0)),"")</f>
        <v/>
      </c>
      <c r="Q515" s="194" t="str">
        <f>IFERROR(INDEX('Both teabags AfterDry'!$D$3:$D$2000,MATCH(I515,'Both teabags AfterDry'!$A$3:$A$2000,0)),"")</f>
        <v/>
      </c>
      <c r="R515" s="194" t="str">
        <f t="shared" si="56"/>
        <v/>
      </c>
      <c r="S515" s="194" t="str">
        <f t="shared" si="56"/>
        <v/>
      </c>
      <c r="T515" s="194" t="str">
        <f t="shared" si="57"/>
        <v/>
      </c>
      <c r="U515" s="194" t="str">
        <f t="shared" si="58"/>
        <v/>
      </c>
      <c r="V515" s="194" t="str">
        <f t="shared" si="59"/>
        <v/>
      </c>
      <c r="W515">
        <f t="shared" si="60"/>
        <v>62</v>
      </c>
      <c r="X515" s="194" t="str">
        <f t="shared" si="61"/>
        <v/>
      </c>
      <c r="Y515" s="194" t="str">
        <f t="shared" si="62"/>
        <v/>
      </c>
      <c r="Z515" s="245" t="str">
        <f>IF(ISNUMBER(SEARCH("C", 'Dry_Litterbag Placem_Collection'!$V222)),"YES","NO")</f>
        <v>NO</v>
      </c>
      <c r="AA515" s="245" t="str">
        <f>IF(ISNUMBER(SEARCH("H", 'Dry_Litterbag Placem_Collection'!$V222)),"YES","NO")</f>
        <v>NO</v>
      </c>
      <c r="AB515" s="245" t="str">
        <f>IF(ISNUMBER(SEARCH("R", 'Dry_Litterbag Placem_Collection'!$V222)),"YES","NO")</f>
        <v>NO</v>
      </c>
      <c r="AC515" s="245" t="str">
        <f>IF(ISNUMBER(SEARCH("C", 'Dry_Litterbag Placem_Collection'!$U222)),"YES","NO")</f>
        <v>NO</v>
      </c>
      <c r="AD515" s="245" t="str">
        <f>IF(ISNUMBER(SEARCH("H", 'Dry_Litterbag Placem_Collection'!$U222)),"YES","NO")</f>
        <v>NO</v>
      </c>
      <c r="AE515" s="245" t="str">
        <f>IF(ISNUMBER(SEARCH("R", 'Dry_Litterbag Placem_Collection'!$U222)),"YES","NO")</f>
        <v>YES</v>
      </c>
    </row>
  </sheetData>
  <mergeCells count="50">
    <mergeCell ref="D73:H74"/>
    <mergeCell ref="Z74:AE74"/>
    <mergeCell ref="L61:M61"/>
    <mergeCell ref="L62:M62"/>
    <mergeCell ref="B68:E68"/>
    <mergeCell ref="B69:E69"/>
    <mergeCell ref="B70:E70"/>
    <mergeCell ref="F70:M70"/>
    <mergeCell ref="L60:M60"/>
    <mergeCell ref="L49:M49"/>
    <mergeCell ref="L50:M50"/>
    <mergeCell ref="L51:M51"/>
    <mergeCell ref="L52:M52"/>
    <mergeCell ref="L53:M53"/>
    <mergeCell ref="L54:M54"/>
    <mergeCell ref="L55:M55"/>
    <mergeCell ref="L56:M56"/>
    <mergeCell ref="L57:M57"/>
    <mergeCell ref="L58:M58"/>
    <mergeCell ref="L59:M59"/>
    <mergeCell ref="L48:M48"/>
    <mergeCell ref="K37:O37"/>
    <mergeCell ref="B38:D38"/>
    <mergeCell ref="L40:M40"/>
    <mergeCell ref="L41:M41"/>
    <mergeCell ref="L42:M42"/>
    <mergeCell ref="B37:D37"/>
    <mergeCell ref="E37:F37"/>
    <mergeCell ref="L43:M43"/>
    <mergeCell ref="L44:M44"/>
    <mergeCell ref="L45:M45"/>
    <mergeCell ref="L46:M46"/>
    <mergeCell ref="L47:M47"/>
    <mergeCell ref="B28:E28"/>
    <mergeCell ref="B29:E29"/>
    <mergeCell ref="B30:E30"/>
    <mergeCell ref="B31:E31"/>
    <mergeCell ref="B32:E32"/>
    <mergeCell ref="B27:E27"/>
    <mergeCell ref="B12:E12"/>
    <mergeCell ref="B13:E13"/>
    <mergeCell ref="B14:E14"/>
    <mergeCell ref="B15:E15"/>
    <mergeCell ref="B16:E16"/>
    <mergeCell ref="B17:E17"/>
    <mergeCell ref="B18:E18"/>
    <mergeCell ref="B19:E19"/>
    <mergeCell ref="B20:E20"/>
    <mergeCell ref="B25:E25"/>
    <mergeCell ref="B26:E26"/>
  </mergeCells>
  <dataValidations count="6">
    <dataValidation type="list" allowBlank="1" showInputMessage="1" showErrorMessage="1" sqref="K39:K63" xr:uid="{51BE3194-F2F4-4E30-A961-F835EBBFE607}">
      <formula1>shading</formula1>
    </dataValidation>
    <dataValidation type="list" allowBlank="1" showInputMessage="1" showErrorMessage="1" sqref="L39:L63" xr:uid="{2B5E21AF-2955-423E-B275-0262676FB936}">
      <formula1>human_impact</formula1>
    </dataValidation>
    <dataValidation type="list" allowBlank="1" showInputMessage="1" showErrorMessage="1" sqref="N39:N63" xr:uid="{260FC13E-A96D-4140-B5CC-FC506D632E8F}">
      <formula1>ecosystem</formula1>
    </dataValidation>
    <dataValidation type="list" allowBlank="1" showInputMessage="1" showErrorMessage="1" sqref="O39:O63" xr:uid="{23525BE7-80F0-4B83-8213-F7C2C5AD885D}">
      <formula1>rootingdepth</formula1>
    </dataValidation>
    <dataValidation type="list" allowBlank="1" showInputMessage="1" showErrorMessage="1" sqref="P39:P63" xr:uid="{3060F2CC-0B90-4458-9423-261DCBC0EF5B}">
      <formula1>slope</formula1>
    </dataValidation>
    <dataValidation type="list" allowBlank="1" showInputMessage="1" showErrorMessage="1" sqref="Q39:Q63" xr:uid="{B99DAD6C-331C-4C0C-9E47-01BE04206866}">
      <formula1>aspect</formula1>
    </dataValidation>
  </dataValidations>
  <hyperlinks>
    <hyperlink ref="F16" r:id="rId1" xr:uid="{C691EDAD-398A-4F61-9596-3EB890E2E6B7}"/>
    <hyperlink ref="F15" r:id="rId2" xr:uid="{14B771EC-BECB-4768-A48D-CDAC8AA94D88}"/>
  </hyperlinks>
  <pageMargins left="0.7" right="0.7" top="0.75" bottom="0.75" header="0.3" footer="0.3"/>
  <pageSetup paperSize="9" orientation="portrait" r:id="rId3"/>
  <legacyDrawing r:id="rId4"/>
</worksheet>
</file>

<file path=xl/worksheets/sheet2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F9CA439-458E-4322-954E-EE77842F672D}">
  <dimension ref="A1:AO515"/>
  <sheetViews>
    <sheetView topLeftCell="M155" zoomScale="55" zoomScaleNormal="55" workbookViewId="0">
      <selection activeCell="R83" sqref="R83"/>
    </sheetView>
  </sheetViews>
  <sheetFormatPr baseColWidth="10" defaultRowHeight="14.4"/>
  <cols>
    <col min="3" max="3" width="9.6640625" customWidth="1"/>
    <col min="4" max="4" width="23" customWidth="1"/>
    <col min="5" max="5" width="22.21875" customWidth="1"/>
    <col min="6" max="6" width="20.33203125" customWidth="1"/>
    <col min="7" max="7" width="18.33203125" customWidth="1"/>
    <col min="8" max="8" width="18.77734375" customWidth="1"/>
    <col min="9" max="9" width="13.77734375" customWidth="1"/>
    <col min="11" max="11" width="25.44140625" customWidth="1"/>
    <col min="14" max="14" width="25.77734375" customWidth="1"/>
    <col min="15" max="15" width="15.44140625" customWidth="1"/>
    <col min="16" max="16" width="27.33203125" customWidth="1"/>
    <col min="17" max="17" width="17.21875" customWidth="1"/>
    <col min="18" max="18" width="15.21875" customWidth="1"/>
  </cols>
  <sheetData>
    <row r="1" spans="2:13" s="279" customFormat="1">
      <c r="B1" s="279" t="s">
        <v>3068</v>
      </c>
      <c r="D1" s="279" t="s">
        <v>3069</v>
      </c>
      <c r="E1" s="280"/>
      <c r="K1" s="280"/>
      <c r="L1" s="281"/>
      <c r="M1" s="281"/>
    </row>
    <row r="2" spans="2:13" s="279" customFormat="1">
      <c r="B2" s="282" t="s">
        <v>3070</v>
      </c>
      <c r="E2" s="280"/>
      <c r="K2" s="280"/>
      <c r="L2" s="281"/>
      <c r="M2" s="281"/>
    </row>
    <row r="3" spans="2:13" s="284" customFormat="1" ht="30" customHeight="1">
      <c r="B3" s="283" t="s">
        <v>3071</v>
      </c>
      <c r="E3" s="285"/>
      <c r="K3" s="285"/>
      <c r="L3" s="286"/>
      <c r="M3" s="286"/>
    </row>
    <row r="4" spans="2:13" s="288" customFormat="1">
      <c r="B4" s="287" t="s">
        <v>3072</v>
      </c>
      <c r="E4" s="289"/>
      <c r="K4" s="289"/>
      <c r="L4" s="290"/>
      <c r="M4" s="290"/>
    </row>
    <row r="5" spans="2:13" s="288" customFormat="1">
      <c r="B5" s="288" t="s">
        <v>3073</v>
      </c>
      <c r="E5" s="289"/>
      <c r="K5" s="289"/>
      <c r="L5" s="290"/>
      <c r="M5" s="290"/>
    </row>
    <row r="6" spans="2:13" s="287" customFormat="1">
      <c r="B6" s="287" t="s">
        <v>3074</v>
      </c>
      <c r="E6" s="291"/>
      <c r="K6" s="291"/>
      <c r="L6" s="292"/>
      <c r="M6" s="292"/>
    </row>
    <row r="7" spans="2:13" s="279" customFormat="1">
      <c r="B7" s="293" t="s">
        <v>3075</v>
      </c>
      <c r="C7" s="294"/>
      <c r="D7" s="294"/>
      <c r="E7" s="295"/>
      <c r="G7" s="294"/>
      <c r="K7" s="280"/>
      <c r="L7" s="281"/>
      <c r="M7" s="281"/>
    </row>
    <row r="8" spans="2:13" s="279" customFormat="1">
      <c r="B8" s="294"/>
      <c r="C8" s="294"/>
      <c r="D8" s="294"/>
      <c r="E8" s="295"/>
      <c r="G8" s="294"/>
      <c r="K8" s="280"/>
      <c r="L8" s="281"/>
      <c r="M8" s="281"/>
    </row>
    <row r="9" spans="2:13" s="279" customFormat="1">
      <c r="B9" s="294"/>
      <c r="C9" s="294"/>
      <c r="D9" s="294"/>
      <c r="E9" s="295"/>
      <c r="G9" s="294"/>
      <c r="K9" s="280"/>
      <c r="L9" s="281"/>
      <c r="M9" s="281"/>
    </row>
    <row r="10" spans="2:13" s="294" customFormat="1">
      <c r="B10" s="296" t="s">
        <v>3076</v>
      </c>
      <c r="C10" s="296"/>
      <c r="E10" s="295"/>
      <c r="K10" s="295"/>
      <c r="L10" s="297"/>
      <c r="M10" s="297"/>
    </row>
    <row r="11" spans="2:13" s="294" customFormat="1" ht="15" thickBot="1">
      <c r="B11" s="296" t="s">
        <v>3077</v>
      </c>
      <c r="C11" s="296"/>
      <c r="E11" s="295"/>
      <c r="F11" s="294" t="s">
        <v>3078</v>
      </c>
      <c r="K11" s="295"/>
      <c r="L11" s="297"/>
      <c r="M11" s="297"/>
    </row>
    <row r="12" spans="2:13" s="293" customFormat="1">
      <c r="B12" s="443" t="s">
        <v>0</v>
      </c>
      <c r="C12" s="444"/>
      <c r="D12" s="444"/>
      <c r="E12" s="444"/>
      <c r="F12" s="298" t="s">
        <v>3079</v>
      </c>
      <c r="G12" s="299"/>
      <c r="H12" s="299"/>
      <c r="I12" s="299"/>
      <c r="K12" s="300"/>
      <c r="L12" s="301"/>
      <c r="M12" s="301"/>
    </row>
    <row r="13" spans="2:13" s="293" customFormat="1">
      <c r="B13" s="441" t="s">
        <v>3080</v>
      </c>
      <c r="C13" s="442"/>
      <c r="D13" s="442"/>
      <c r="E13" s="442"/>
      <c r="F13" s="302" t="s">
        <v>3081</v>
      </c>
      <c r="G13" s="299"/>
      <c r="H13" s="299"/>
      <c r="I13" s="299"/>
      <c r="K13" s="300"/>
      <c r="L13" s="301"/>
      <c r="M13" s="301"/>
    </row>
    <row r="14" spans="2:13" s="293" customFormat="1">
      <c r="B14" s="441" t="s">
        <v>1</v>
      </c>
      <c r="C14" s="442"/>
      <c r="D14" s="442"/>
      <c r="E14" s="442"/>
      <c r="F14" s="303" t="s">
        <v>3082</v>
      </c>
      <c r="G14" s="304"/>
      <c r="H14" s="305"/>
      <c r="I14" s="305"/>
      <c r="J14" s="305"/>
      <c r="K14" s="300"/>
      <c r="L14" s="301"/>
      <c r="M14" s="301"/>
    </row>
    <row r="15" spans="2:13" s="293" customFormat="1">
      <c r="B15" s="441" t="s">
        <v>2</v>
      </c>
      <c r="C15" s="442"/>
      <c r="D15" s="442"/>
      <c r="E15" s="442"/>
      <c r="F15" s="306" t="s">
        <v>3083</v>
      </c>
      <c r="G15" s="307"/>
      <c r="H15" s="308"/>
      <c r="I15" s="308"/>
      <c r="K15" s="300"/>
      <c r="L15" s="301"/>
      <c r="M15" s="301"/>
    </row>
    <row r="16" spans="2:13" s="293" customFormat="1">
      <c r="B16" s="441" t="s">
        <v>3</v>
      </c>
      <c r="C16" s="442"/>
      <c r="D16" s="442"/>
      <c r="E16" s="442"/>
      <c r="F16" s="309" t="s">
        <v>3084</v>
      </c>
      <c r="G16" s="308"/>
      <c r="H16" s="308"/>
      <c r="I16" s="308"/>
      <c r="K16" s="300"/>
      <c r="L16" s="301"/>
      <c r="M16" s="301"/>
    </row>
    <row r="17" spans="2:14" s="293" customFormat="1">
      <c r="B17" s="441" t="s">
        <v>4</v>
      </c>
      <c r="C17" s="442"/>
      <c r="D17" s="442"/>
      <c r="E17" s="442"/>
      <c r="F17" s="310" t="s">
        <v>3085</v>
      </c>
      <c r="G17" s="308"/>
      <c r="H17" s="308"/>
      <c r="I17" s="308"/>
      <c r="K17" s="300"/>
      <c r="L17" s="301"/>
      <c r="M17" s="301"/>
    </row>
    <row r="18" spans="2:14" s="293" customFormat="1">
      <c r="B18" s="441" t="s">
        <v>5</v>
      </c>
      <c r="C18" s="442"/>
      <c r="D18" s="442"/>
      <c r="E18" s="442"/>
      <c r="F18" s="310" t="s">
        <v>3086</v>
      </c>
      <c r="G18" s="308"/>
      <c r="H18" s="308"/>
      <c r="I18" s="308"/>
      <c r="K18" s="300"/>
      <c r="L18" s="301"/>
      <c r="M18" s="301"/>
    </row>
    <row r="19" spans="2:14" s="293" customFormat="1">
      <c r="B19" s="441" t="s">
        <v>6</v>
      </c>
      <c r="C19" s="442"/>
      <c r="D19" s="442"/>
      <c r="E19" s="442"/>
      <c r="F19" s="303" t="s">
        <v>3087</v>
      </c>
      <c r="G19" s="307"/>
      <c r="H19" s="311"/>
      <c r="I19" s="311"/>
      <c r="J19" s="311"/>
      <c r="K19" s="311"/>
      <c r="L19" s="311"/>
      <c r="M19" s="311"/>
      <c r="N19" s="311"/>
    </row>
    <row r="20" spans="2:14" s="293" customFormat="1" ht="15" thickBot="1">
      <c r="B20" s="445" t="s">
        <v>7</v>
      </c>
      <c r="C20" s="446"/>
      <c r="D20" s="446"/>
      <c r="E20" s="446"/>
      <c r="F20" s="312" t="s">
        <v>3088</v>
      </c>
      <c r="G20" s="308"/>
      <c r="H20" s="308"/>
      <c r="I20" s="308"/>
      <c r="K20" s="300"/>
      <c r="L20" s="301"/>
      <c r="M20" s="301"/>
    </row>
    <row r="21" spans="2:14">
      <c r="B21" s="299" t="s">
        <v>3089</v>
      </c>
      <c r="C21" s="299"/>
      <c r="D21" s="299"/>
      <c r="E21" s="299"/>
      <c r="F21" s="308"/>
    </row>
    <row r="23" spans="2:14">
      <c r="B23" s="313" t="s">
        <v>3090</v>
      </c>
      <c r="C23" s="299"/>
      <c r="D23" s="314"/>
      <c r="E23" s="315"/>
      <c r="F23" s="293"/>
      <c r="G23" s="293"/>
      <c r="H23" s="293"/>
      <c r="I23" s="293"/>
    </row>
    <row r="24" spans="2:14" ht="15" thickBot="1">
      <c r="B24" s="313" t="s">
        <v>3091</v>
      </c>
      <c r="C24" s="299"/>
      <c r="D24" s="314"/>
      <c r="E24" s="315"/>
      <c r="F24" s="293" t="s">
        <v>3078</v>
      </c>
      <c r="G24" s="293"/>
      <c r="H24" s="293"/>
      <c r="I24" s="293"/>
    </row>
    <row r="25" spans="2:14">
      <c r="B25" s="443" t="s">
        <v>8</v>
      </c>
      <c r="C25" s="444"/>
      <c r="D25" s="444"/>
      <c r="E25" s="444"/>
      <c r="F25" s="316">
        <v>0.84199999999999997</v>
      </c>
      <c r="G25" s="293"/>
      <c r="H25" s="293"/>
      <c r="I25" s="293"/>
    </row>
    <row r="26" spans="2:14">
      <c r="B26" s="441" t="s">
        <v>9</v>
      </c>
      <c r="C26" s="442"/>
      <c r="D26" s="442"/>
      <c r="E26" s="442"/>
      <c r="F26" s="317">
        <v>0.55200000000000005</v>
      </c>
      <c r="G26" s="293"/>
      <c r="H26" s="293"/>
      <c r="I26" s="293"/>
    </row>
    <row r="27" spans="2:14">
      <c r="B27" s="441" t="s">
        <v>10</v>
      </c>
      <c r="C27" s="442"/>
      <c r="D27" s="442"/>
      <c r="E27" s="442"/>
      <c r="F27" s="318">
        <v>0.12180000000000001</v>
      </c>
      <c r="G27" s="293"/>
      <c r="H27" s="293"/>
      <c r="I27" s="293"/>
    </row>
    <row r="28" spans="2:14">
      <c r="B28" s="441" t="s">
        <v>11</v>
      </c>
      <c r="C28" s="442"/>
      <c r="D28" s="442"/>
      <c r="E28" s="442"/>
      <c r="F28" s="318">
        <v>2.8799999999999999E-2</v>
      </c>
      <c r="G28" s="293"/>
      <c r="H28" s="293"/>
      <c r="I28" s="293"/>
    </row>
    <row r="29" spans="2:14">
      <c r="B29" s="441" t="s">
        <v>12</v>
      </c>
      <c r="C29" s="442"/>
      <c r="D29" s="442"/>
      <c r="E29" s="442"/>
      <c r="F29" s="319">
        <f>F27+F28</f>
        <v>0.15060000000000001</v>
      </c>
      <c r="G29" s="293"/>
      <c r="H29" s="293"/>
      <c r="I29" s="293"/>
    </row>
    <row r="30" spans="2:14">
      <c r="B30" s="441" t="s">
        <v>13</v>
      </c>
      <c r="C30" s="442"/>
      <c r="D30" s="442"/>
      <c r="E30" s="442"/>
      <c r="F30" s="318">
        <v>9.9199999999999997E-2</v>
      </c>
      <c r="G30" s="293"/>
      <c r="H30" s="293"/>
      <c r="I30" s="293"/>
    </row>
    <row r="31" spans="2:14">
      <c r="B31" s="441" t="s">
        <v>14</v>
      </c>
      <c r="C31" s="442"/>
      <c r="D31" s="442"/>
      <c r="E31" s="442"/>
      <c r="F31" s="318">
        <v>1</v>
      </c>
      <c r="G31" s="293" t="s">
        <v>3092</v>
      </c>
      <c r="H31" s="293"/>
      <c r="I31" s="293"/>
    </row>
    <row r="32" spans="2:14" ht="15" thickBot="1">
      <c r="B32" s="445" t="s">
        <v>15</v>
      </c>
      <c r="C32" s="446"/>
      <c r="D32" s="446"/>
      <c r="E32" s="446"/>
      <c r="F32" s="320">
        <v>1</v>
      </c>
      <c r="G32" s="293"/>
      <c r="H32" s="293"/>
      <c r="I32" s="293"/>
    </row>
    <row r="33" spans="1:24">
      <c r="A33" s="293"/>
      <c r="B33" s="299"/>
      <c r="C33" s="299"/>
      <c r="D33" s="299"/>
      <c r="E33" s="299"/>
      <c r="F33" s="321"/>
      <c r="G33" s="293"/>
      <c r="H33" s="293"/>
      <c r="I33" s="293"/>
      <c r="J33" s="293"/>
      <c r="K33" s="300"/>
      <c r="L33" s="301"/>
      <c r="M33" s="301"/>
      <c r="N33" s="293"/>
      <c r="O33" s="293"/>
      <c r="P33" s="293"/>
      <c r="Q33" s="293"/>
      <c r="R33" s="293"/>
      <c r="S33" s="293"/>
      <c r="T33" s="293"/>
      <c r="U33" s="293"/>
      <c r="V33" s="293"/>
      <c r="W33" s="293"/>
      <c r="X33" s="293"/>
    </row>
    <row r="34" spans="1:24">
      <c r="A34" s="293"/>
      <c r="B34" s="322" t="s">
        <v>3093</v>
      </c>
      <c r="C34" s="308"/>
      <c r="D34" s="293"/>
      <c r="E34" s="300"/>
      <c r="F34" s="293"/>
      <c r="G34" s="293"/>
      <c r="H34" s="293"/>
      <c r="I34" s="293"/>
      <c r="J34" s="293"/>
      <c r="K34" s="300"/>
      <c r="L34" s="301"/>
      <c r="M34" s="301"/>
      <c r="N34" s="293"/>
      <c r="O34" s="293"/>
      <c r="P34" s="293"/>
      <c r="Q34" s="293"/>
      <c r="R34" s="293"/>
      <c r="S34" s="293"/>
      <c r="T34" s="293"/>
      <c r="U34" s="293"/>
      <c r="V34" s="293"/>
      <c r="W34" s="293"/>
      <c r="X34" s="293"/>
    </row>
    <row r="35" spans="1:24">
      <c r="A35" s="279"/>
      <c r="B35" s="279"/>
      <c r="C35" s="279"/>
      <c r="D35" s="279"/>
      <c r="E35" s="279"/>
      <c r="F35" s="280"/>
      <c r="G35" s="279"/>
      <c r="H35" s="294"/>
      <c r="I35" s="294"/>
      <c r="J35" s="279"/>
      <c r="K35" s="279"/>
      <c r="L35" s="279"/>
      <c r="M35" s="279"/>
      <c r="N35" s="279"/>
      <c r="O35" s="279"/>
      <c r="P35" s="279"/>
      <c r="Q35" s="279"/>
      <c r="R35" s="279"/>
      <c r="S35" s="279"/>
      <c r="T35" s="279"/>
      <c r="U35" s="279"/>
      <c r="V35" s="279"/>
      <c r="W35" s="279"/>
      <c r="X35" s="279"/>
    </row>
    <row r="36" spans="1:24" ht="15" thickBot="1">
      <c r="A36" s="293"/>
      <c r="B36" s="322" t="s">
        <v>3094</v>
      </c>
      <c r="C36" s="293"/>
      <c r="D36" s="293"/>
      <c r="E36" s="300"/>
      <c r="F36" s="300"/>
      <c r="G36" s="293"/>
      <c r="H36" s="293" t="s">
        <v>3095</v>
      </c>
      <c r="I36" s="293"/>
      <c r="J36" s="293"/>
      <c r="K36" s="293"/>
      <c r="L36" s="293"/>
      <c r="M36" s="293"/>
      <c r="N36" s="293"/>
      <c r="O36" s="293"/>
      <c r="P36" s="293"/>
      <c r="Q36" s="293"/>
      <c r="R36" s="293"/>
      <c r="S36" s="293"/>
      <c r="T36" s="293"/>
      <c r="U36" s="293"/>
      <c r="V36" s="293"/>
      <c r="W36" s="293"/>
      <c r="X36" s="293"/>
    </row>
    <row r="37" spans="1:24" ht="15" customHeight="1" thickBot="1">
      <c r="A37" s="308"/>
      <c r="B37" s="452" t="s">
        <v>3096</v>
      </c>
      <c r="C37" s="453"/>
      <c r="D37" s="453"/>
      <c r="E37" s="454" t="s">
        <v>17</v>
      </c>
      <c r="F37" s="455"/>
      <c r="G37" s="323" t="s">
        <v>3097</v>
      </c>
      <c r="H37" s="324"/>
      <c r="I37" s="324"/>
      <c r="J37" s="325"/>
      <c r="K37" s="447" t="s">
        <v>3098</v>
      </c>
      <c r="L37" s="448"/>
      <c r="M37" s="448"/>
      <c r="N37" s="448"/>
      <c r="O37" s="448"/>
      <c r="P37" s="448"/>
      <c r="Q37" s="448"/>
      <c r="R37" s="449"/>
    </row>
    <row r="38" spans="1:24" ht="15" thickBot="1">
      <c r="A38" s="308"/>
      <c r="B38" s="450" t="s">
        <v>16</v>
      </c>
      <c r="C38" s="451"/>
      <c r="D38" s="451"/>
      <c r="E38" s="326" t="s">
        <v>18</v>
      </c>
      <c r="F38" s="327" t="s">
        <v>212</v>
      </c>
      <c r="G38" s="328" t="s">
        <v>2657</v>
      </c>
      <c r="H38" s="329" t="s">
        <v>2658</v>
      </c>
      <c r="I38" s="329" t="s">
        <v>2659</v>
      </c>
      <c r="J38" s="329" t="s">
        <v>2660</v>
      </c>
      <c r="K38" s="323" t="s">
        <v>204</v>
      </c>
      <c r="L38" s="325" t="s">
        <v>203</v>
      </c>
      <c r="M38" s="325"/>
      <c r="N38" s="325" t="s">
        <v>205</v>
      </c>
      <c r="O38" s="444" t="s">
        <v>216</v>
      </c>
      <c r="P38" s="444"/>
      <c r="Q38" s="325" t="s">
        <v>206</v>
      </c>
      <c r="R38" s="325" t="s">
        <v>207</v>
      </c>
      <c r="S38" s="325" t="s">
        <v>217</v>
      </c>
      <c r="T38" s="316" t="s">
        <v>218</v>
      </c>
    </row>
    <row r="39" spans="1:24">
      <c r="A39" s="308"/>
      <c r="B39" s="330" t="s">
        <v>3099</v>
      </c>
      <c r="C39" s="331"/>
      <c r="D39" s="332" t="s">
        <v>3100</v>
      </c>
      <c r="E39" s="333">
        <v>-3.3978609999999998</v>
      </c>
      <c r="F39" s="334">
        <v>34.837608000000003</v>
      </c>
      <c r="G39" s="335">
        <v>12.565665055683967</v>
      </c>
      <c r="H39" s="336">
        <v>0.9665896196679955</v>
      </c>
      <c r="I39" s="336">
        <v>86.467745324648035</v>
      </c>
      <c r="J39" s="337">
        <v>1.0225726959093147</v>
      </c>
      <c r="K39" s="333" t="s">
        <v>229</v>
      </c>
      <c r="L39" s="338" t="s">
        <v>257</v>
      </c>
      <c r="M39" s="338"/>
      <c r="N39" s="338" t="s">
        <v>2653</v>
      </c>
      <c r="O39" s="338" t="s">
        <v>3101</v>
      </c>
      <c r="P39" s="338"/>
      <c r="Q39" s="338" t="s">
        <v>247</v>
      </c>
      <c r="R39" s="338" t="s">
        <v>247</v>
      </c>
      <c r="S39" s="338" t="s">
        <v>234</v>
      </c>
      <c r="T39" s="298" t="s">
        <v>3102</v>
      </c>
    </row>
    <row r="40" spans="1:24">
      <c r="A40" s="308"/>
      <c r="B40" s="339" t="s">
        <v>3103</v>
      </c>
      <c r="C40" s="340"/>
      <c r="D40" s="341" t="s">
        <v>3100</v>
      </c>
      <c r="E40" s="342">
        <v>-3.3978290019999999</v>
      </c>
      <c r="F40" s="343">
        <v>34.837011969999999</v>
      </c>
      <c r="G40" s="344">
        <v>21.13063730679653</v>
      </c>
      <c r="H40" s="345">
        <v>3.0912555579081076</v>
      </c>
      <c r="I40" s="345">
        <v>75.778107135295357</v>
      </c>
      <c r="J40" s="346">
        <v>0.46131099063578063</v>
      </c>
      <c r="K40" s="342" t="s">
        <v>229</v>
      </c>
      <c r="L40" s="466" t="s">
        <v>257</v>
      </c>
      <c r="M40" s="466"/>
      <c r="N40" s="347" t="s">
        <v>2651</v>
      </c>
      <c r="O40" s="347" t="s">
        <v>3101</v>
      </c>
      <c r="P40" s="347"/>
      <c r="Q40" s="347" t="s">
        <v>247</v>
      </c>
      <c r="R40" s="347" t="s">
        <v>247</v>
      </c>
      <c r="S40" s="347" t="s">
        <v>234</v>
      </c>
      <c r="T40" s="302" t="s">
        <v>3102</v>
      </c>
    </row>
    <row r="41" spans="1:24">
      <c r="A41" s="308"/>
      <c r="B41" s="339" t="s">
        <v>3104</v>
      </c>
      <c r="C41" s="340"/>
      <c r="D41" s="341" t="s">
        <v>3100</v>
      </c>
      <c r="E41" s="342">
        <v>-3.3854090330000002</v>
      </c>
      <c r="F41" s="343">
        <v>34.818901029999999</v>
      </c>
      <c r="G41" s="344">
        <v>54.080969906906262</v>
      </c>
      <c r="H41" s="345">
        <v>21.264484651351896</v>
      </c>
      <c r="I41" s="345">
        <v>24.654545441741845</v>
      </c>
      <c r="J41" s="346">
        <v>1.8433218334154755</v>
      </c>
      <c r="K41" s="342" t="s">
        <v>229</v>
      </c>
      <c r="L41" s="466" t="s">
        <v>257</v>
      </c>
      <c r="M41" s="466"/>
      <c r="N41" s="347" t="s">
        <v>2654</v>
      </c>
      <c r="O41" s="347" t="s">
        <v>3101</v>
      </c>
      <c r="P41" s="347"/>
      <c r="Q41" s="347" t="s">
        <v>247</v>
      </c>
      <c r="R41" s="347" t="s">
        <v>247</v>
      </c>
      <c r="S41" s="347" t="s">
        <v>234</v>
      </c>
      <c r="T41" s="302" t="s">
        <v>3102</v>
      </c>
    </row>
    <row r="42" spans="1:24">
      <c r="A42" s="308"/>
      <c r="B42" s="339" t="s">
        <v>3105</v>
      </c>
      <c r="C42" s="340"/>
      <c r="D42" s="341" t="s">
        <v>3100</v>
      </c>
      <c r="E42" s="342">
        <v>-3.3849129919999998</v>
      </c>
      <c r="F42" s="343">
        <v>34.818899020000003</v>
      </c>
      <c r="G42" s="344">
        <v>51.960000000000008</v>
      </c>
      <c r="H42" s="345">
        <v>18.919999999999995</v>
      </c>
      <c r="I42" s="345">
        <v>29.120000000000005</v>
      </c>
      <c r="J42" s="346">
        <v>1.85293247905372</v>
      </c>
      <c r="K42" s="342" t="s">
        <v>229</v>
      </c>
      <c r="L42" s="466" t="s">
        <v>257</v>
      </c>
      <c r="M42" s="466"/>
      <c r="N42" s="347" t="s">
        <v>2654</v>
      </c>
      <c r="O42" s="347" t="s">
        <v>3101</v>
      </c>
      <c r="P42" s="347"/>
      <c r="Q42" s="347" t="s">
        <v>247</v>
      </c>
      <c r="R42" s="347" t="s">
        <v>247</v>
      </c>
      <c r="S42" s="347" t="s">
        <v>234</v>
      </c>
      <c r="T42" s="302" t="s">
        <v>3102</v>
      </c>
    </row>
    <row r="43" spans="1:24">
      <c r="A43" s="308"/>
      <c r="B43" s="339" t="s">
        <v>3106</v>
      </c>
      <c r="C43" s="340"/>
      <c r="D43" s="341" t="s">
        <v>3107</v>
      </c>
      <c r="E43" s="342">
        <v>-3.4092039989999998</v>
      </c>
      <c r="F43" s="343">
        <v>34.852751009999999</v>
      </c>
      <c r="G43" s="344">
        <v>23.96</v>
      </c>
      <c r="H43" s="345">
        <v>0.91999999999999804</v>
      </c>
      <c r="I43" s="345">
        <v>75.12</v>
      </c>
      <c r="J43" s="346">
        <v>1.2493839329719072</v>
      </c>
      <c r="K43" s="342" t="s">
        <v>229</v>
      </c>
      <c r="L43" s="466" t="s">
        <v>244</v>
      </c>
      <c r="M43" s="466"/>
      <c r="N43" s="347" t="s">
        <v>2651</v>
      </c>
      <c r="O43" s="347" t="s">
        <v>3101</v>
      </c>
      <c r="P43" s="347"/>
      <c r="Q43" s="347" t="s">
        <v>247</v>
      </c>
      <c r="R43" s="347" t="s">
        <v>247</v>
      </c>
      <c r="S43" s="347" t="s">
        <v>234</v>
      </c>
      <c r="T43" s="302" t="s">
        <v>3102</v>
      </c>
    </row>
    <row r="44" spans="1:24">
      <c r="A44" s="308"/>
      <c r="B44" s="339" t="s">
        <v>3108</v>
      </c>
      <c r="C44" s="340"/>
      <c r="D44" s="341" t="s">
        <v>3107</v>
      </c>
      <c r="E44" s="342">
        <v>-3.4083420040000001</v>
      </c>
      <c r="F44" s="343">
        <v>34.850283040000001</v>
      </c>
      <c r="G44" s="344">
        <v>19.96</v>
      </c>
      <c r="H44" s="345">
        <v>4.9199999999999982</v>
      </c>
      <c r="I44" s="345">
        <v>75.12</v>
      </c>
      <c r="J44" s="346">
        <v>1.641498275012321</v>
      </c>
      <c r="K44" s="342" t="s">
        <v>229</v>
      </c>
      <c r="L44" s="466" t="s">
        <v>244</v>
      </c>
      <c r="M44" s="466"/>
      <c r="N44" s="347" t="s">
        <v>2652</v>
      </c>
      <c r="O44" s="347" t="s">
        <v>3101</v>
      </c>
      <c r="P44" s="347"/>
      <c r="Q44" s="347" t="s">
        <v>247</v>
      </c>
      <c r="R44" s="347" t="s">
        <v>247</v>
      </c>
      <c r="S44" s="347" t="s">
        <v>234</v>
      </c>
      <c r="T44" s="302" t="s">
        <v>3102</v>
      </c>
    </row>
    <row r="45" spans="1:24">
      <c r="A45" s="308"/>
      <c r="B45" s="339" t="s">
        <v>3109</v>
      </c>
      <c r="C45" s="340"/>
      <c r="D45" s="341" t="s">
        <v>3107</v>
      </c>
      <c r="E45" s="342">
        <v>-3.406225992</v>
      </c>
      <c r="F45" s="343">
        <v>34.85055998</v>
      </c>
      <c r="G45" s="344">
        <v>21.96</v>
      </c>
      <c r="H45" s="345">
        <v>8.9199999999999982</v>
      </c>
      <c r="I45" s="345">
        <v>69.12</v>
      </c>
      <c r="J45" s="346">
        <v>1.7491375061606702</v>
      </c>
      <c r="K45" s="342" t="s">
        <v>229</v>
      </c>
      <c r="L45" s="466" t="s">
        <v>244</v>
      </c>
      <c r="M45" s="466"/>
      <c r="N45" s="347" t="s">
        <v>2651</v>
      </c>
      <c r="O45" s="347" t="s">
        <v>3101</v>
      </c>
      <c r="P45" s="347"/>
      <c r="Q45" s="347" t="s">
        <v>247</v>
      </c>
      <c r="R45" s="347" t="s">
        <v>247</v>
      </c>
      <c r="S45" s="347" t="s">
        <v>234</v>
      </c>
      <c r="T45" s="302" t="s">
        <v>3102</v>
      </c>
    </row>
    <row r="46" spans="1:24">
      <c r="A46" s="308"/>
      <c r="B46" s="339" t="s">
        <v>3110</v>
      </c>
      <c r="C46" s="340"/>
      <c r="D46" s="341" t="s">
        <v>3107</v>
      </c>
      <c r="E46" s="342">
        <v>-3.4064239729999999</v>
      </c>
      <c r="F46" s="343">
        <v>34.851213010000002</v>
      </c>
      <c r="G46" s="344">
        <v>25.96</v>
      </c>
      <c r="H46" s="345">
        <v>6.9200000000000008</v>
      </c>
      <c r="I46" s="345">
        <v>67.12</v>
      </c>
      <c r="J46" s="346">
        <v>1.7568260226712666</v>
      </c>
      <c r="K46" s="342" t="s">
        <v>229</v>
      </c>
      <c r="L46" s="466" t="s">
        <v>244</v>
      </c>
      <c r="M46" s="466"/>
      <c r="N46" s="347" t="s">
        <v>2651</v>
      </c>
      <c r="O46" s="347" t="s">
        <v>3101</v>
      </c>
      <c r="P46" s="347"/>
      <c r="Q46" s="347" t="s">
        <v>247</v>
      </c>
      <c r="R46" s="347" t="s">
        <v>247</v>
      </c>
      <c r="S46" s="347" t="s">
        <v>234</v>
      </c>
      <c r="T46" s="302" t="s">
        <v>3102</v>
      </c>
    </row>
    <row r="47" spans="1:24">
      <c r="A47" s="308"/>
      <c r="B47" s="339" t="s">
        <v>3111</v>
      </c>
      <c r="C47" s="340"/>
      <c r="D47" s="341" t="s">
        <v>3112</v>
      </c>
      <c r="E47" s="342">
        <v>-3.2993960379999998</v>
      </c>
      <c r="F47" s="343">
        <v>34.848240959999998</v>
      </c>
      <c r="G47" s="344">
        <v>47.96</v>
      </c>
      <c r="H47" s="345">
        <v>22.919999999999995</v>
      </c>
      <c r="I47" s="345">
        <v>29.120000000000012</v>
      </c>
      <c r="J47" s="346">
        <v>2.8831936914736325</v>
      </c>
      <c r="K47" s="342" t="s">
        <v>229</v>
      </c>
      <c r="L47" s="466" t="s">
        <v>230</v>
      </c>
      <c r="M47" s="466"/>
      <c r="N47" s="347" t="s">
        <v>2654</v>
      </c>
      <c r="O47" s="347" t="s">
        <v>3101</v>
      </c>
      <c r="P47" s="347"/>
      <c r="Q47" s="347" t="s">
        <v>247</v>
      </c>
      <c r="R47" s="347" t="s">
        <v>247</v>
      </c>
      <c r="S47" s="347" t="s">
        <v>234</v>
      </c>
      <c r="T47" s="302" t="s">
        <v>3102</v>
      </c>
    </row>
    <row r="48" spans="1:24">
      <c r="A48" s="308"/>
      <c r="B48" s="339" t="s">
        <v>3113</v>
      </c>
      <c r="C48" s="340"/>
      <c r="D48" s="341" t="s">
        <v>3112</v>
      </c>
      <c r="E48" s="342">
        <v>-3.3025860229999999</v>
      </c>
      <c r="F48" s="343">
        <v>34.848048009999999</v>
      </c>
      <c r="G48" s="344">
        <v>45.272914521112256</v>
      </c>
      <c r="H48" s="345">
        <v>23.604531410916575</v>
      </c>
      <c r="I48" s="345">
        <v>31.122554067971166</v>
      </c>
      <c r="J48" s="346">
        <v>2.0547560374568752</v>
      </c>
      <c r="K48" s="342" t="s">
        <v>229</v>
      </c>
      <c r="L48" s="466" t="s">
        <v>230</v>
      </c>
      <c r="M48" s="466"/>
      <c r="N48" s="347" t="s">
        <v>2654</v>
      </c>
      <c r="O48" s="347" t="s">
        <v>3101</v>
      </c>
      <c r="P48" s="347"/>
      <c r="Q48" s="347" t="s">
        <v>247</v>
      </c>
      <c r="R48" s="347" t="s">
        <v>247</v>
      </c>
      <c r="S48" s="347" t="s">
        <v>234</v>
      </c>
      <c r="T48" s="302" t="s">
        <v>3102</v>
      </c>
    </row>
    <row r="49" spans="1:20">
      <c r="A49" s="308"/>
      <c r="B49" s="339" t="s">
        <v>3114</v>
      </c>
      <c r="C49" s="340"/>
      <c r="D49" s="341" t="s">
        <v>3112</v>
      </c>
      <c r="E49" s="342">
        <v>-3.2957159630000001</v>
      </c>
      <c r="F49" s="343">
        <v>34.852460999999998</v>
      </c>
      <c r="G49" s="344">
        <v>38.691629007962128</v>
      </c>
      <c r="H49" s="345">
        <v>26.81299763288143</v>
      </c>
      <c r="I49" s="345">
        <v>34.495373359156439</v>
      </c>
      <c r="J49" s="346">
        <v>2.5483587974371611</v>
      </c>
      <c r="K49" s="342" t="s">
        <v>229</v>
      </c>
      <c r="L49" s="466" t="s">
        <v>230</v>
      </c>
      <c r="M49" s="466"/>
      <c r="N49" s="347" t="s">
        <v>2656</v>
      </c>
      <c r="O49" s="347" t="s">
        <v>3101</v>
      </c>
      <c r="P49" s="347"/>
      <c r="Q49" s="347" t="s">
        <v>247</v>
      </c>
      <c r="R49" s="347" t="s">
        <v>247</v>
      </c>
      <c r="S49" s="347" t="s">
        <v>234</v>
      </c>
      <c r="T49" s="302" t="s">
        <v>3102</v>
      </c>
    </row>
    <row r="50" spans="1:20">
      <c r="A50" s="308"/>
      <c r="B50" s="339" t="s">
        <v>3115</v>
      </c>
      <c r="C50" s="340"/>
      <c r="D50" s="341" t="s">
        <v>3112</v>
      </c>
      <c r="E50" s="342">
        <v>-3.2966709980000002</v>
      </c>
      <c r="F50" s="343">
        <v>34.854407019999996</v>
      </c>
      <c r="G50" s="344">
        <v>28.145762029394</v>
      </c>
      <c r="H50" s="345">
        <v>25.085564727199518</v>
      </c>
      <c r="I50" s="345">
        <v>46.768673243406489</v>
      </c>
      <c r="J50" s="346">
        <v>2.1716214884179394</v>
      </c>
      <c r="K50" s="342" t="s">
        <v>229</v>
      </c>
      <c r="L50" s="466" t="s">
        <v>230</v>
      </c>
      <c r="M50" s="466"/>
      <c r="N50" s="347" t="s">
        <v>2651</v>
      </c>
      <c r="O50" s="347" t="s">
        <v>3101</v>
      </c>
      <c r="P50" s="347"/>
      <c r="Q50" s="347" t="s">
        <v>247</v>
      </c>
      <c r="R50" s="347" t="s">
        <v>247</v>
      </c>
      <c r="S50" s="347" t="s">
        <v>234</v>
      </c>
      <c r="T50" s="302" t="s">
        <v>3102</v>
      </c>
    </row>
    <row r="51" spans="1:20">
      <c r="A51" s="293"/>
      <c r="B51" s="339" t="s">
        <v>3116</v>
      </c>
      <c r="C51" s="340"/>
      <c r="D51" s="341" t="s">
        <v>3117</v>
      </c>
      <c r="E51" s="342">
        <v>-2.3691620310000001</v>
      </c>
      <c r="F51" s="343">
        <v>34.06028104</v>
      </c>
      <c r="G51" s="344">
        <v>45.96</v>
      </c>
      <c r="H51" s="345">
        <v>14.920000000000003</v>
      </c>
      <c r="I51" s="345">
        <v>39.119999999999997</v>
      </c>
      <c r="J51" s="346">
        <v>2.0374568753080333</v>
      </c>
      <c r="K51" s="342" t="s">
        <v>229</v>
      </c>
      <c r="L51" s="466" t="s">
        <v>257</v>
      </c>
      <c r="M51" s="466"/>
      <c r="N51" s="347" t="s">
        <v>2654</v>
      </c>
      <c r="O51" s="347" t="s">
        <v>3101</v>
      </c>
      <c r="P51" s="347"/>
      <c r="Q51" s="347" t="s">
        <v>247</v>
      </c>
      <c r="R51" s="347" t="s">
        <v>247</v>
      </c>
      <c r="S51" s="347" t="s">
        <v>234</v>
      </c>
      <c r="T51" s="302" t="s">
        <v>3102</v>
      </c>
    </row>
    <row r="52" spans="1:20">
      <c r="A52" s="293"/>
      <c r="B52" s="339" t="s">
        <v>3118</v>
      </c>
      <c r="C52" s="340"/>
      <c r="D52" s="341" t="s">
        <v>3117</v>
      </c>
      <c r="E52" s="342">
        <v>-2.3698080240000001</v>
      </c>
      <c r="F52" s="343">
        <v>34.059671010000002</v>
      </c>
      <c r="G52" s="344">
        <v>34.344660194174757</v>
      </c>
      <c r="H52" s="345">
        <v>19.22727272727273</v>
      </c>
      <c r="I52" s="345">
        <v>46.428067078552509</v>
      </c>
      <c r="J52" s="346">
        <v>1.7452932479053718</v>
      </c>
      <c r="K52" s="342" t="s">
        <v>229</v>
      </c>
      <c r="L52" s="466" t="s">
        <v>257</v>
      </c>
      <c r="M52" s="466"/>
      <c r="N52" s="347" t="s">
        <v>2651</v>
      </c>
      <c r="O52" s="347" t="s">
        <v>3101</v>
      </c>
      <c r="P52" s="347"/>
      <c r="Q52" s="347" t="s">
        <v>247</v>
      </c>
      <c r="R52" s="347" t="s">
        <v>247</v>
      </c>
      <c r="S52" s="347" t="s">
        <v>234</v>
      </c>
      <c r="T52" s="302" t="s">
        <v>3102</v>
      </c>
    </row>
    <row r="53" spans="1:20">
      <c r="A53" s="293"/>
      <c r="B53" s="339" t="s">
        <v>3119</v>
      </c>
      <c r="C53" s="340"/>
      <c r="D53" s="341" t="s">
        <v>3117</v>
      </c>
      <c r="E53" s="342">
        <v>-2.3487199940000001</v>
      </c>
      <c r="F53" s="343">
        <v>34.051391029999998</v>
      </c>
      <c r="G53" s="344">
        <v>27.96</v>
      </c>
      <c r="H53" s="345">
        <v>4.9200000000000017</v>
      </c>
      <c r="I53" s="345">
        <v>67.12</v>
      </c>
      <c r="J53" s="346">
        <v>0.88610152784622953</v>
      </c>
      <c r="K53" s="342" t="s">
        <v>229</v>
      </c>
      <c r="L53" s="466" t="s">
        <v>257</v>
      </c>
      <c r="M53" s="466"/>
      <c r="N53" s="347" t="s">
        <v>2651</v>
      </c>
      <c r="O53" s="347" t="s">
        <v>3101</v>
      </c>
      <c r="P53" s="347"/>
      <c r="Q53" s="347" t="s">
        <v>247</v>
      </c>
      <c r="R53" s="347" t="s">
        <v>247</v>
      </c>
      <c r="S53" s="347" t="s">
        <v>234</v>
      </c>
      <c r="T53" s="302" t="s">
        <v>3102</v>
      </c>
    </row>
    <row r="54" spans="1:20">
      <c r="A54" s="293"/>
      <c r="B54" s="339" t="s">
        <v>3120</v>
      </c>
      <c r="C54" s="340"/>
      <c r="D54" s="341" t="s">
        <v>3117</v>
      </c>
      <c r="E54" s="342">
        <v>-2.3492639789999998</v>
      </c>
      <c r="F54" s="343">
        <v>34.051464029999998</v>
      </c>
      <c r="G54" s="344">
        <v>17.96</v>
      </c>
      <c r="H54" s="345">
        <v>4.9199999999999982</v>
      </c>
      <c r="I54" s="345">
        <v>77.12</v>
      </c>
      <c r="J54" s="346">
        <v>2.0220798422868409</v>
      </c>
      <c r="K54" s="342" t="s">
        <v>229</v>
      </c>
      <c r="L54" s="466" t="s">
        <v>257</v>
      </c>
      <c r="M54" s="466"/>
      <c r="N54" s="347" t="s">
        <v>2652</v>
      </c>
      <c r="O54" s="347" t="s">
        <v>3101</v>
      </c>
      <c r="P54" s="347"/>
      <c r="Q54" s="347" t="s">
        <v>247</v>
      </c>
      <c r="R54" s="347" t="s">
        <v>247</v>
      </c>
      <c r="S54" s="347" t="s">
        <v>234</v>
      </c>
      <c r="T54" s="302" t="s">
        <v>3102</v>
      </c>
    </row>
    <row r="55" spans="1:20">
      <c r="B55" s="339" t="s">
        <v>3121</v>
      </c>
      <c r="C55" s="340"/>
      <c r="D55" s="341" t="s">
        <v>3122</v>
      </c>
      <c r="E55" s="342">
        <v>-2.3503360249999998</v>
      </c>
      <c r="F55" s="343">
        <v>34.049662009999999</v>
      </c>
      <c r="G55" s="344">
        <v>31.214836424255054</v>
      </c>
      <c r="H55" s="345">
        <v>11.377370285476141</v>
      </c>
      <c r="I55" s="345">
        <v>57.407793290268799</v>
      </c>
      <c r="J55" s="346">
        <v>1.7337604731394776</v>
      </c>
      <c r="K55" s="342" t="s">
        <v>229</v>
      </c>
      <c r="L55" s="466" t="s">
        <v>244</v>
      </c>
      <c r="M55" s="466"/>
      <c r="N55" s="347" t="s">
        <v>2651</v>
      </c>
      <c r="O55" s="347" t="s">
        <v>3101</v>
      </c>
      <c r="P55" s="347"/>
      <c r="Q55" s="347" t="s">
        <v>247</v>
      </c>
      <c r="R55" s="347" t="s">
        <v>247</v>
      </c>
      <c r="S55" s="347" t="s">
        <v>234</v>
      </c>
      <c r="T55" s="302" t="s">
        <v>3102</v>
      </c>
    </row>
    <row r="56" spans="1:20">
      <c r="B56" s="339" t="s">
        <v>3123</v>
      </c>
      <c r="C56" s="340"/>
      <c r="D56" s="341" t="s">
        <v>3122</v>
      </c>
      <c r="E56" s="342">
        <v>-2.348596025</v>
      </c>
      <c r="F56" s="343">
        <v>34.050070959999999</v>
      </c>
      <c r="G56" s="344">
        <v>33.96</v>
      </c>
      <c r="H56" s="345">
        <v>8.9200000000000017</v>
      </c>
      <c r="I56" s="345">
        <v>57.12</v>
      </c>
      <c r="J56" s="346">
        <v>2.072055199605717</v>
      </c>
      <c r="K56" s="342" t="s">
        <v>229</v>
      </c>
      <c r="L56" s="466" t="s">
        <v>244</v>
      </c>
      <c r="M56" s="466"/>
      <c r="N56" s="347" t="s">
        <v>2651</v>
      </c>
      <c r="O56" s="347" t="s">
        <v>3101</v>
      </c>
      <c r="P56" s="347"/>
      <c r="Q56" s="347" t="s">
        <v>247</v>
      </c>
      <c r="R56" s="347" t="s">
        <v>247</v>
      </c>
      <c r="S56" s="347" t="s">
        <v>234</v>
      </c>
      <c r="T56" s="302" t="s">
        <v>3102</v>
      </c>
    </row>
    <row r="57" spans="1:20">
      <c r="B57" s="339" t="s">
        <v>3124</v>
      </c>
      <c r="C57" s="340"/>
      <c r="D57" s="341" t="s">
        <v>3122</v>
      </c>
      <c r="E57" s="342">
        <v>-2.3675269729999999</v>
      </c>
      <c r="F57" s="343">
        <v>34.06035799</v>
      </c>
      <c r="G57" s="344">
        <v>39.96</v>
      </c>
      <c r="H57" s="345">
        <v>12.920000000000002</v>
      </c>
      <c r="I57" s="345">
        <v>47.12</v>
      </c>
      <c r="J57" s="346">
        <v>1.6549531789058647</v>
      </c>
      <c r="K57" s="342" t="s">
        <v>229</v>
      </c>
      <c r="L57" s="466" t="s">
        <v>244</v>
      </c>
      <c r="M57" s="466"/>
      <c r="N57" s="347" t="s">
        <v>2655</v>
      </c>
      <c r="O57" s="347" t="s">
        <v>3101</v>
      </c>
      <c r="P57" s="347"/>
      <c r="Q57" s="347" t="s">
        <v>247</v>
      </c>
      <c r="R57" s="347" t="s">
        <v>247</v>
      </c>
      <c r="S57" s="347" t="s">
        <v>234</v>
      </c>
      <c r="T57" s="302" t="s">
        <v>3102</v>
      </c>
    </row>
    <row r="58" spans="1:20">
      <c r="B58" s="339" t="s">
        <v>3125</v>
      </c>
      <c r="C58" s="340"/>
      <c r="D58" s="341" t="s">
        <v>3122</v>
      </c>
      <c r="E58" s="342">
        <v>-2.3676780150000001</v>
      </c>
      <c r="F58" s="343">
        <v>34.05937797</v>
      </c>
      <c r="G58" s="344">
        <v>27.96</v>
      </c>
      <c r="H58" s="345">
        <v>4.9200000000000017</v>
      </c>
      <c r="I58" s="345">
        <v>67.12</v>
      </c>
      <c r="J58" s="346">
        <v>1.0437161163134547</v>
      </c>
      <c r="K58" s="342" t="s">
        <v>229</v>
      </c>
      <c r="L58" s="466" t="s">
        <v>244</v>
      </c>
      <c r="M58" s="466"/>
      <c r="N58" s="347" t="s">
        <v>2651</v>
      </c>
      <c r="O58" s="347" t="s">
        <v>3101</v>
      </c>
      <c r="P58" s="347"/>
      <c r="Q58" s="347" t="s">
        <v>247</v>
      </c>
      <c r="R58" s="347" t="s">
        <v>247</v>
      </c>
      <c r="S58" s="347" t="s">
        <v>234</v>
      </c>
      <c r="T58" s="302" t="s">
        <v>3102</v>
      </c>
    </row>
    <row r="59" spans="1:20">
      <c r="B59" s="339" t="s">
        <v>3126</v>
      </c>
      <c r="C59" s="340"/>
      <c r="D59" s="341" t="s">
        <v>3127</v>
      </c>
      <c r="E59" s="342">
        <v>-2.272751033</v>
      </c>
      <c r="F59" s="343">
        <v>34.023176030000002</v>
      </c>
      <c r="G59" s="344">
        <v>21.96</v>
      </c>
      <c r="H59" s="345">
        <v>4.9199999999999982</v>
      </c>
      <c r="I59" s="345">
        <v>73.12</v>
      </c>
      <c r="J59" s="346">
        <v>1.2416954164613114</v>
      </c>
      <c r="K59" s="342" t="s">
        <v>229</v>
      </c>
      <c r="L59" s="466" t="s">
        <v>230</v>
      </c>
      <c r="M59" s="466"/>
      <c r="N59" s="347" t="s">
        <v>2651</v>
      </c>
      <c r="O59" s="347" t="s">
        <v>3101</v>
      </c>
      <c r="P59" s="347"/>
      <c r="Q59" s="347" t="s">
        <v>247</v>
      </c>
      <c r="R59" s="347" t="s">
        <v>247</v>
      </c>
      <c r="S59" s="347" t="s">
        <v>234</v>
      </c>
      <c r="T59" s="302" t="s">
        <v>3102</v>
      </c>
    </row>
    <row r="60" spans="1:20">
      <c r="B60" s="339" t="s">
        <v>3128</v>
      </c>
      <c r="C60" s="340"/>
      <c r="D60" s="341" t="s">
        <v>3127</v>
      </c>
      <c r="E60" s="342">
        <v>-2.2784290180000002</v>
      </c>
      <c r="F60" s="343">
        <v>34.024240030000001</v>
      </c>
      <c r="G60" s="344">
        <v>23.96</v>
      </c>
      <c r="H60" s="345">
        <v>4.9199999999999982</v>
      </c>
      <c r="I60" s="345">
        <v>71.12</v>
      </c>
      <c r="J60" s="346">
        <v>3.30913750616067</v>
      </c>
      <c r="K60" s="342" t="s">
        <v>229</v>
      </c>
      <c r="L60" s="466" t="s">
        <v>230</v>
      </c>
      <c r="M60" s="466"/>
      <c r="N60" s="347" t="s">
        <v>2651</v>
      </c>
      <c r="O60" s="347" t="s">
        <v>3101</v>
      </c>
      <c r="P60" s="347"/>
      <c r="Q60" s="347" t="s">
        <v>247</v>
      </c>
      <c r="R60" s="347" t="s">
        <v>247</v>
      </c>
      <c r="S60" s="347" t="s">
        <v>234</v>
      </c>
      <c r="T60" s="302" t="s">
        <v>3102</v>
      </c>
    </row>
    <row r="61" spans="1:20">
      <c r="B61" s="339" t="s">
        <v>3129</v>
      </c>
      <c r="C61" s="340"/>
      <c r="D61" s="341" t="s">
        <v>3127</v>
      </c>
      <c r="E61" s="342">
        <v>-2.277740026</v>
      </c>
      <c r="F61" s="343">
        <v>34.027640990000002</v>
      </c>
      <c r="G61" s="344">
        <v>25.96</v>
      </c>
      <c r="H61" s="345">
        <v>8.9200000000000017</v>
      </c>
      <c r="I61" s="345">
        <v>65.12</v>
      </c>
      <c r="J61" s="346">
        <v>1.614588467225234</v>
      </c>
      <c r="K61" s="342" t="s">
        <v>229</v>
      </c>
      <c r="L61" s="466" t="s">
        <v>230</v>
      </c>
      <c r="M61" s="466"/>
      <c r="N61" s="347" t="s">
        <v>2651</v>
      </c>
      <c r="O61" s="347" t="s">
        <v>3101</v>
      </c>
      <c r="P61" s="347"/>
      <c r="Q61" s="347" t="s">
        <v>247</v>
      </c>
      <c r="R61" s="347" t="s">
        <v>247</v>
      </c>
      <c r="S61" s="347" t="s">
        <v>234</v>
      </c>
      <c r="T61" s="302" t="s">
        <v>3102</v>
      </c>
    </row>
    <row r="62" spans="1:20">
      <c r="B62" s="339" t="s">
        <v>3130</v>
      </c>
      <c r="C62" s="340"/>
      <c r="D62" s="341" t="s">
        <v>3127</v>
      </c>
      <c r="E62" s="342">
        <v>-2.2787330300000002</v>
      </c>
      <c r="F62" s="343">
        <v>34.032136029999997</v>
      </c>
      <c r="G62" s="344">
        <v>25.96</v>
      </c>
      <c r="H62" s="345">
        <v>8.9200000000000017</v>
      </c>
      <c r="I62" s="345">
        <v>65.12</v>
      </c>
      <c r="J62" s="346">
        <v>1.6991621488417901</v>
      </c>
      <c r="K62" s="342" t="s">
        <v>229</v>
      </c>
      <c r="L62" s="466" t="s">
        <v>230</v>
      </c>
      <c r="M62" s="466"/>
      <c r="N62" s="347" t="s">
        <v>2651</v>
      </c>
      <c r="O62" s="347" t="s">
        <v>3101</v>
      </c>
      <c r="P62" s="347"/>
      <c r="Q62" s="347" t="s">
        <v>247</v>
      </c>
      <c r="R62" s="347" t="s">
        <v>247</v>
      </c>
      <c r="S62" s="347" t="s">
        <v>234</v>
      </c>
      <c r="T62" s="302" t="s">
        <v>3102</v>
      </c>
    </row>
    <row r="63" spans="1:20" ht="15" thickBot="1">
      <c r="B63" s="348" t="s">
        <v>2512</v>
      </c>
      <c r="C63" s="349"/>
      <c r="D63" s="350" t="s">
        <v>3131</v>
      </c>
      <c r="E63" s="351">
        <v>-2.439403972</v>
      </c>
      <c r="F63" s="352">
        <v>34.838404959999998</v>
      </c>
      <c r="G63" s="353">
        <v>22.017293559158162</v>
      </c>
      <c r="H63" s="354">
        <v>6.5855206693798616</v>
      </c>
      <c r="I63" s="354">
        <v>71.397185771461977</v>
      </c>
      <c r="J63" s="355">
        <v>1.1393420404139967</v>
      </c>
      <c r="K63" s="351" t="s">
        <v>229</v>
      </c>
      <c r="L63" s="356" t="s">
        <v>230</v>
      </c>
      <c r="M63" s="356"/>
      <c r="N63" s="356" t="s">
        <v>2651</v>
      </c>
      <c r="O63" s="356" t="s">
        <v>3101</v>
      </c>
      <c r="P63" s="356"/>
      <c r="Q63" s="356" t="s">
        <v>247</v>
      </c>
      <c r="R63" s="356" t="s">
        <v>247</v>
      </c>
      <c r="S63" s="356" t="s">
        <v>234</v>
      </c>
      <c r="T63" s="357" t="s">
        <v>3102</v>
      </c>
    </row>
    <row r="64" spans="1:20">
      <c r="B64" s="322" t="s">
        <v>3132</v>
      </c>
    </row>
    <row r="67" spans="2:41" ht="15" thickBot="1">
      <c r="B67" s="322" t="s">
        <v>3133</v>
      </c>
      <c r="C67" s="308"/>
      <c r="D67" s="308"/>
      <c r="E67" s="308"/>
      <c r="F67" s="358"/>
      <c r="G67" s="358"/>
      <c r="H67" s="358"/>
      <c r="I67" s="358"/>
      <c r="J67" s="308"/>
      <c r="K67" s="359"/>
      <c r="L67" s="360"/>
    </row>
    <row r="68" spans="2:41" ht="15" thickBot="1">
      <c r="B68" s="459" t="s">
        <v>21</v>
      </c>
      <c r="C68" s="460"/>
      <c r="D68" s="460"/>
      <c r="E68" s="460"/>
      <c r="F68" s="361" t="s">
        <v>3134</v>
      </c>
      <c r="G68" s="362"/>
      <c r="H68" s="362"/>
      <c r="I68" s="362"/>
      <c r="J68" s="362"/>
      <c r="K68" s="362"/>
      <c r="L68" s="363"/>
    </row>
    <row r="69" spans="2:41">
      <c r="B69" s="461" t="s">
        <v>22</v>
      </c>
      <c r="C69" s="462"/>
      <c r="D69" s="462"/>
      <c r="E69" s="462"/>
      <c r="F69" s="364" t="s">
        <v>3135</v>
      </c>
      <c r="G69" s="365"/>
      <c r="H69" s="365"/>
      <c r="I69" s="365"/>
      <c r="J69" s="365"/>
      <c r="K69" s="365"/>
      <c r="L69" s="366"/>
    </row>
    <row r="70" spans="2:41" ht="15" thickBot="1">
      <c r="B70" s="463" t="s">
        <v>25</v>
      </c>
      <c r="C70" s="464"/>
      <c r="D70" s="464"/>
      <c r="E70" s="464"/>
      <c r="F70" s="465" t="s">
        <v>3136</v>
      </c>
      <c r="G70" s="466"/>
      <c r="H70" s="466"/>
      <c r="I70" s="466"/>
      <c r="J70" s="466"/>
      <c r="K70" s="466"/>
      <c r="L70" s="466"/>
      <c r="M70" s="466"/>
      <c r="N70" s="466"/>
    </row>
    <row r="71" spans="2:41">
      <c r="B71" s="322" t="s">
        <v>3137</v>
      </c>
    </row>
    <row r="72" spans="2:41" ht="18">
      <c r="AO72" s="367"/>
    </row>
    <row r="73" spans="2:41">
      <c r="D73" s="456" t="s">
        <v>3138</v>
      </c>
      <c r="E73" s="456"/>
      <c r="F73" s="456"/>
      <c r="G73" s="456"/>
      <c r="H73" s="456"/>
    </row>
    <row r="74" spans="2:41" ht="18.600000000000001" thickBot="1">
      <c r="B74" s="368" t="s">
        <v>3139</v>
      </c>
      <c r="D74" s="457"/>
      <c r="E74" s="457"/>
      <c r="F74" s="457"/>
      <c r="G74" s="457"/>
      <c r="H74" s="457"/>
      <c r="AG74" s="458" t="s">
        <v>3140</v>
      </c>
      <c r="AH74" s="458"/>
      <c r="AI74" s="458"/>
      <c r="AJ74" s="458"/>
      <c r="AK74" s="458"/>
      <c r="AL74" s="458"/>
    </row>
    <row r="75" spans="2:41" ht="101.4" thickBot="1">
      <c r="B75" s="369" t="s">
        <v>2451</v>
      </c>
      <c r="C75" s="109" t="s">
        <v>23</v>
      </c>
      <c r="D75" s="109" t="s">
        <v>3141</v>
      </c>
      <c r="E75" s="109" t="s">
        <v>25</v>
      </c>
      <c r="F75" s="109" t="s">
        <v>26</v>
      </c>
      <c r="G75" s="370" t="s">
        <v>27</v>
      </c>
      <c r="H75" s="109" t="s">
        <v>3142</v>
      </c>
      <c r="I75" s="109" t="s">
        <v>3143</v>
      </c>
      <c r="J75" s="109" t="s">
        <v>3144</v>
      </c>
      <c r="K75" s="109" t="s">
        <v>28</v>
      </c>
      <c r="L75" s="109" t="s">
        <v>29</v>
      </c>
      <c r="M75" s="109" t="s">
        <v>3145</v>
      </c>
      <c r="N75" s="109" t="s">
        <v>3146</v>
      </c>
      <c r="O75" s="109" t="s">
        <v>30</v>
      </c>
      <c r="P75" s="109" t="s">
        <v>3161</v>
      </c>
      <c r="Q75" s="109" t="s">
        <v>3148</v>
      </c>
      <c r="R75" s="370" t="s">
        <v>31</v>
      </c>
      <c r="S75" s="109" t="s">
        <v>3149</v>
      </c>
      <c r="T75" s="109" t="s">
        <v>3150</v>
      </c>
      <c r="U75" s="109" t="s">
        <v>34</v>
      </c>
      <c r="V75" s="109" t="s">
        <v>35</v>
      </c>
      <c r="W75" s="109" t="s">
        <v>3151</v>
      </c>
      <c r="X75" s="109" t="s">
        <v>3152</v>
      </c>
      <c r="Y75" s="109" t="s">
        <v>3153</v>
      </c>
      <c r="Z75" s="109" t="s">
        <v>3154</v>
      </c>
      <c r="AA75" s="109" t="s">
        <v>3155</v>
      </c>
      <c r="AB75" s="109" t="s">
        <v>288</v>
      </c>
      <c r="AC75" s="109" t="s">
        <v>291</v>
      </c>
      <c r="AD75" s="109" t="s">
        <v>292</v>
      </c>
      <c r="AE75" s="109" t="s">
        <v>40</v>
      </c>
      <c r="AF75" s="371" t="s">
        <v>41</v>
      </c>
      <c r="AG75" s="372" t="s">
        <v>3163</v>
      </c>
      <c r="AH75" s="372" t="s">
        <v>3156</v>
      </c>
      <c r="AI75" s="372" t="s">
        <v>3157</v>
      </c>
      <c r="AJ75" s="372" t="s">
        <v>3162</v>
      </c>
      <c r="AK75" s="372" t="s">
        <v>3158</v>
      </c>
      <c r="AL75" s="373" t="s">
        <v>3159</v>
      </c>
    </row>
    <row r="76" spans="2:41">
      <c r="B76" t="str">
        <f>Dryseason!B2</f>
        <v>Dry</v>
      </c>
      <c r="C76" s="253">
        <f>Dryseason!C2</f>
        <v>1</v>
      </c>
      <c r="D76" t="s">
        <v>3099</v>
      </c>
      <c r="E76" t="s">
        <v>22</v>
      </c>
      <c r="F76" s="374">
        <v>1</v>
      </c>
      <c r="G76" s="16">
        <f>IF('Dry_Litterbag Placem_Collection'!E3="","",'Dry_Litterbag Placem_Collection'!E3)</f>
        <v>42938</v>
      </c>
      <c r="H76" t="str">
        <f>Dryseason!L2</f>
        <v>G407</v>
      </c>
      <c r="I76" t="str">
        <f>Dryseason!L222</f>
        <v>R811</v>
      </c>
      <c r="J76">
        <f>IFERROR(INDEX('Green_rooibos initial weight'!$C$5:$C$2000,MATCH(H76, 'Green_rooibos initial weight'!$A$5:$A$2000,0)),"")</f>
        <v>1.966</v>
      </c>
      <c r="K76">
        <f>IFERROR(INDEX('Green_rooibos initial weight'!$C$5:$C$2000,MATCH(I76, 'Green_rooibos initial weight'!$A$5:$A$2000,0)),"")</f>
        <v>2.226</v>
      </c>
      <c r="L76" s="194">
        <f>IFERROR(IF(J76&gt;0,(J76*$F$31-($F$29+$F$30)),""),"")</f>
        <v>1.7161999999999999</v>
      </c>
      <c r="M76" s="233">
        <f>AVERAGE(Ashed_controlls!$K$1:$K$11)</f>
        <v>5.5147656768714146</v>
      </c>
      <c r="N76" s="194">
        <f t="shared" ref="N76:N139" si="0">IFERROR(L76-(M76/100)*L76,"")</f>
        <v>1.6215555914535327</v>
      </c>
      <c r="O76" s="194">
        <f>IFERROR(IF(K76&gt;0,(K76*$F$32-($F$29+$F$30)),""),"")</f>
        <v>1.9762</v>
      </c>
      <c r="P76" s="233">
        <f>AVERAGE(Ashed_controlls!$K$12:$K$14)</f>
        <v>2.2816647271287041</v>
      </c>
      <c r="Q76" s="194">
        <f t="shared" ref="Q76:Q139" si="1">IFERROR(O76-(P76/100)*O76,"")</f>
        <v>1.9311097416624825</v>
      </c>
      <c r="R76" s="16">
        <f>IF('Dry_Litterbag Placem_Collection'!G3="","",'Dry_Litterbag Placem_Collection'!G3)</f>
        <v>43007</v>
      </c>
      <c r="S76" s="194">
        <f>IFERROR(INDEX('Both teabags AfterDry'!$D$3:$D$2000,MATCH(H76,'Both teabags AfterDry'!$A$3:$A$2000,0)),"")</f>
        <v>1.278</v>
      </c>
      <c r="T76" s="194">
        <f>IFERROR(INDEX('Both teabags AfterDry'!$D$3:$D$2000,MATCH(I76,'Both teabags AfterDry'!$A$3:$A$2000,0)),"")</f>
        <v>1.8292999999999999</v>
      </c>
      <c r="U76" s="194">
        <f>IFERROR(IF(S76&gt;0,S76-($F$29),""),"")</f>
        <v>1.1274</v>
      </c>
      <c r="V76" s="194">
        <f>IFERROR(IF(T76&gt;0,T76-($F$29),""),"")</f>
        <v>1.6786999999999999</v>
      </c>
      <c r="W76" s="194">
        <f>IFERROR(INDEX('Ashed teabags dry'!$K$2:$K$2000,MATCH(H76,'Ashed teabags dry'!$A$2:$A$2000,0)),"")</f>
        <v>21.67931688804563</v>
      </c>
      <c r="X76" s="194">
        <f>IFERROR(INDEX('Ashed teabags dry'!$K$2:$K$2000,MATCH(I76,'Ashed teabags dry'!$A$2:$A$2000,0)),"")</f>
        <v>3.9233576642330181</v>
      </c>
      <c r="Y76" s="194">
        <f t="shared" ref="Y76:Z139" si="2">IFERROR(U76-(W76/100)*U76,"")</f>
        <v>0.88298738140417354</v>
      </c>
      <c r="Z76" s="194">
        <f t="shared" si="2"/>
        <v>1.6128385948905202</v>
      </c>
      <c r="AA76" s="194">
        <f>IFERROR(1-Y76/N76,"")</f>
        <v>0.45546894225644163</v>
      </c>
      <c r="AB76" s="194">
        <f>IFERROR($F$26*(1-AE76),"")</f>
        <v>0.29859721630113517</v>
      </c>
      <c r="AC76" s="194">
        <f t="shared" ref="AC76:AC139" si="3">IFERROR(Z76/Q76,"")</f>
        <v>0.83518743657832495</v>
      </c>
      <c r="AD76">
        <f>IFERROR(IF((R76-G76)&gt;0,(IFERROR(R76-G76,"")),""),"")</f>
        <v>69</v>
      </c>
      <c r="AE76" s="194">
        <f>IFERROR(1-(AA76/$F$25),"")</f>
        <v>0.45906301394721893</v>
      </c>
      <c r="AF76" s="194">
        <f>IFERROR(LN(AB76/(AC76-(1-AB76)))/AD76,"")</f>
        <v>1.1635711933221597E-2</v>
      </c>
      <c r="AG76" s="245" t="str">
        <f>IF(ISNUMBER(SEARCH("C", 'Dry_Litterbag Placem_Collection'!$T3)),"YES","NO")</f>
        <v>NO</v>
      </c>
      <c r="AH76" s="245" t="str">
        <f>IF(ISNUMBER(SEARCH("H", 'Dry_Litterbag Placem_Collection'!$T3)),"YES","NO")</f>
        <v>YES</v>
      </c>
      <c r="AI76" s="245" t="str">
        <f>IF(ISNUMBER(SEARCH("R", 'Dry_Litterbag Placem_Collection'!$T3)),"YES","NO")</f>
        <v>NO</v>
      </c>
      <c r="AJ76" s="245" t="str">
        <f>IF(ISNUMBER(SEARCH("C", 'Dry_Litterbag Placem_Collection'!$S3)),"YES","NO")</f>
        <v>NO</v>
      </c>
      <c r="AK76" s="245" t="str">
        <f>IF(ISNUMBER(SEARCH("H", 'Dry_Litterbag Placem_Collection'!$S3)),"YES","NO")</f>
        <v>YES</v>
      </c>
      <c r="AL76" s="245" t="str">
        <f>IF(ISNUMBER(SEARCH("R", 'Dry_Litterbag Placem_Collection'!$S3)),"YES","NO")</f>
        <v>NO</v>
      </c>
    </row>
    <row r="77" spans="2:41">
      <c r="B77" t="str">
        <f>Dryseason!B3</f>
        <v>Dry</v>
      </c>
      <c r="C77" s="253">
        <f>Dryseason!C3</f>
        <v>2</v>
      </c>
      <c r="D77" t="s">
        <v>3099</v>
      </c>
      <c r="E77" t="s">
        <v>22</v>
      </c>
      <c r="F77" s="374">
        <v>2</v>
      </c>
      <c r="G77" s="16" t="str">
        <f>IF('Dry_Litterbag Placem_Collection'!E4="","",'Dry_Litterbag Placem_Collection'!E4)</f>
        <v/>
      </c>
      <c r="H77" t="str">
        <f>Dryseason!L3</f>
        <v/>
      </c>
      <c r="I77" t="str">
        <f>Dryseason!L223</f>
        <v/>
      </c>
      <c r="J77" t="str">
        <f>IFERROR(INDEX('Green_rooibos initial weight'!$C$5:$C$2000,MATCH(H77, 'Green_rooibos initial weight'!$A$5:$A$2000,0)),"")</f>
        <v/>
      </c>
      <c r="K77" t="str">
        <f>IFERROR(INDEX('Green_rooibos initial weight'!$C$5:$C$2000,MATCH(I77, 'Green_rooibos initial weight'!$A$5:$A$2000,0)),"")</f>
        <v/>
      </c>
      <c r="L77" s="194" t="str">
        <f t="shared" ref="L77:L140" si="4">IFERROR(IF(J77&gt;0,(J77*$F$31-($F$29+$F$30)),""),"")</f>
        <v/>
      </c>
      <c r="M77" s="233">
        <f>AVERAGE(Ashed_controlls!$K$1:$K$11)</f>
        <v>5.5147656768714146</v>
      </c>
      <c r="N77" s="194" t="str">
        <f t="shared" si="0"/>
        <v/>
      </c>
      <c r="O77" s="194" t="str">
        <f t="shared" ref="O77:O140" si="5">IFERROR(IF(K77&gt;0,(K77*$F$32-($F$29+$F$30)),""),"")</f>
        <v/>
      </c>
      <c r="P77" s="233">
        <f>AVERAGE(Ashed_controlls!$K$12:$K$14)</f>
        <v>2.2816647271287041</v>
      </c>
      <c r="Q77" s="194" t="str">
        <f t="shared" si="1"/>
        <v/>
      </c>
      <c r="R77" s="16" t="str">
        <f>IF('Dry_Litterbag Placem_Collection'!G4="","",'Dry_Litterbag Placem_Collection'!G4)</f>
        <v/>
      </c>
      <c r="S77" s="194" t="str">
        <f>IFERROR(INDEX('Both teabags AfterDry'!$D$3:$D$2000,MATCH(H77,'Both teabags AfterDry'!$A$3:$A$2000,0)),"")</f>
        <v/>
      </c>
      <c r="T77" s="194" t="str">
        <f>IFERROR(INDEX('Both teabags AfterDry'!$D$3:$D$2000,MATCH(I77,'Both teabags AfterDry'!$A$3:$A$2000,0)),"")</f>
        <v/>
      </c>
      <c r="U77" s="194" t="str">
        <f t="shared" ref="U77:U140" si="6">IFERROR(IF(S77&gt;0,S77-($F$29),""),"")</f>
        <v/>
      </c>
      <c r="V77" s="194" t="str">
        <f t="shared" ref="V77:V140" si="7">IFERROR(IF(T77&gt;0,T77-($F$29),""),"")</f>
        <v/>
      </c>
      <c r="W77" s="194" t="str">
        <f>IFERROR(INDEX('Ashed teabags dry'!$K$2:$K$2000,MATCH(H77,'Ashed teabags dry'!$A$2:$A$2000,0)),"")</f>
        <v/>
      </c>
      <c r="X77" s="194" t="str">
        <f>IFERROR(INDEX('Ashed teabags dry'!$K$2:$K$2000,MATCH(I77,'Ashed teabags dry'!$A$2:$A$2000,0)),"")</f>
        <v/>
      </c>
      <c r="Y77" s="194" t="str">
        <f t="shared" si="2"/>
        <v/>
      </c>
      <c r="Z77" s="194" t="str">
        <f t="shared" si="2"/>
        <v/>
      </c>
      <c r="AA77" s="194" t="str">
        <f t="shared" ref="AA77:AA140" si="8">IFERROR(1-Y77/N77,"")</f>
        <v/>
      </c>
      <c r="AB77" s="194" t="str">
        <f t="shared" ref="AB77:AB140" si="9">IFERROR($F$26*(1-AE77),"")</f>
        <v/>
      </c>
      <c r="AC77" s="194" t="str">
        <f t="shared" si="3"/>
        <v/>
      </c>
      <c r="AD77" t="str">
        <f t="shared" ref="AD77:AD140" si="10">IFERROR(IF((R77-G77)&gt;0,(IFERROR(R77-G77,"")),""),"")</f>
        <v/>
      </c>
      <c r="AE77" s="194" t="str">
        <f t="shared" ref="AE77:AE140" si="11">IFERROR(1-(AA77/$F$25),"")</f>
        <v/>
      </c>
      <c r="AF77" s="194" t="str">
        <f t="shared" ref="AF77:AF140" si="12">IFERROR(LN(AB77/(AC77-(1-AB77)))/AD77,"")</f>
        <v/>
      </c>
      <c r="AG77" s="245" t="str">
        <f>IF(ISNUMBER(SEARCH("C", 'Dry_Litterbag Placem_Collection'!$T4)),"YES","NO")</f>
        <v>NO</v>
      </c>
      <c r="AH77" s="245" t="str">
        <f>IF(ISNUMBER(SEARCH("H", 'Dry_Litterbag Placem_Collection'!$T4)),"YES","NO")</f>
        <v>NO</v>
      </c>
      <c r="AI77" s="245" t="str">
        <f>IF(ISNUMBER(SEARCH("R", 'Dry_Litterbag Placem_Collection'!$T4)),"YES","NO")</f>
        <v>NO</v>
      </c>
      <c r="AJ77" s="245" t="str">
        <f>IF(ISNUMBER(SEARCH("C", 'Dry_Litterbag Placem_Collection'!$S4)),"YES","NO")</f>
        <v>NO</v>
      </c>
      <c r="AK77" s="245" t="str">
        <f>IF(ISNUMBER(SEARCH("H", 'Dry_Litterbag Placem_Collection'!$S4)),"YES","NO")</f>
        <v>NO</v>
      </c>
      <c r="AL77" s="245" t="str">
        <f>IF(ISNUMBER(SEARCH("R", 'Dry_Litterbag Placem_Collection'!$S4)),"YES","NO")</f>
        <v>NO</v>
      </c>
    </row>
    <row r="78" spans="2:41">
      <c r="B78" t="str">
        <f>Dryseason!B4</f>
        <v>Dry</v>
      </c>
      <c r="C78" s="253">
        <f>Dryseason!C4</f>
        <v>3</v>
      </c>
      <c r="D78" t="s">
        <v>3099</v>
      </c>
      <c r="E78" t="s">
        <v>22</v>
      </c>
      <c r="F78" s="374">
        <v>3</v>
      </c>
      <c r="G78" s="16">
        <f>IF('Dry_Litterbag Placem_Collection'!E5="","",'Dry_Litterbag Placem_Collection'!E5)</f>
        <v>42938</v>
      </c>
      <c r="H78" t="str">
        <f>Dryseason!L4</f>
        <v>G259</v>
      </c>
      <c r="I78" t="str">
        <f>Dryseason!L224</f>
        <v>R742</v>
      </c>
      <c r="J78">
        <f>IFERROR(INDEX('Green_rooibos initial weight'!$C$5:$C$2000,MATCH(H78, 'Green_rooibos initial weight'!$A$5:$A$2000,0)),"")</f>
        <v>1.913</v>
      </c>
      <c r="K78">
        <f>IFERROR(INDEX('Green_rooibos initial weight'!$C$5:$C$2000,MATCH(I78, 'Green_rooibos initial weight'!$A$5:$A$2000,0)),"")</f>
        <v>2.1259999999999999</v>
      </c>
      <c r="L78" s="194">
        <f t="shared" si="4"/>
        <v>1.6632</v>
      </c>
      <c r="M78" s="233">
        <f>AVERAGE(Ashed_controlls!$K$1:$K$11)</f>
        <v>5.5147656768714146</v>
      </c>
      <c r="N78" s="194">
        <f t="shared" si="0"/>
        <v>1.5714784172622747</v>
      </c>
      <c r="O78" s="194">
        <f t="shared" si="5"/>
        <v>1.8761999999999999</v>
      </c>
      <c r="P78" s="233">
        <f>AVERAGE(Ashed_controlls!$K$12:$K$14)</f>
        <v>2.2816647271287041</v>
      </c>
      <c r="Q78" s="194">
        <f t="shared" si="1"/>
        <v>1.8333914063896111</v>
      </c>
      <c r="R78" s="16">
        <f>IF('Dry_Litterbag Placem_Collection'!G5="","",'Dry_Litterbag Placem_Collection'!G5)</f>
        <v>43007</v>
      </c>
      <c r="S78" s="194">
        <f>IFERROR(INDEX('Both teabags AfterDry'!$D$3:$D$2000,MATCH(H78,'Both teabags AfterDry'!$A$3:$A$2000,0)),"")</f>
        <v>1.5964</v>
      </c>
      <c r="T78" s="194">
        <f>IFERROR(INDEX('Both teabags AfterDry'!$D$3:$D$2000,MATCH(I78,'Both teabags AfterDry'!$A$3:$A$2000,0)),"")</f>
        <v>1.8767</v>
      </c>
      <c r="U78" s="194">
        <f t="shared" si="6"/>
        <v>1.4458</v>
      </c>
      <c r="V78" s="194">
        <f t="shared" si="7"/>
        <v>1.7261</v>
      </c>
      <c r="W78" s="194">
        <f>IFERROR(INDEX('Ashed teabags dry'!$K$2:$K$2000,MATCH(H78,'Ashed teabags dry'!$A$2:$A$2000,0)),"")</f>
        <v>10.613993336505917</v>
      </c>
      <c r="X78" s="194">
        <f>IFERROR(INDEX('Ashed teabags dry'!$K$2:$K$2000,MATCH(I78,'Ashed teabags dry'!$A$2:$A$2000,0)),"")</f>
        <v>2.7142857142857459</v>
      </c>
      <c r="Y78" s="194">
        <f t="shared" si="2"/>
        <v>1.2923428843407974</v>
      </c>
      <c r="Z78" s="194">
        <f t="shared" si="2"/>
        <v>1.6792487142857138</v>
      </c>
      <c r="AA78" s="194">
        <f t="shared" si="8"/>
        <v>0.17762606845582307</v>
      </c>
      <c r="AB78" s="194">
        <f t="shared" si="9"/>
        <v>0.11644844392828307</v>
      </c>
      <c r="AC78" s="194">
        <f t="shared" si="3"/>
        <v>0.91592483112624523</v>
      </c>
      <c r="AD78">
        <f t="shared" si="10"/>
        <v>69</v>
      </c>
      <c r="AE78" s="194">
        <f t="shared" si="11"/>
        <v>0.78904267404296546</v>
      </c>
      <c r="AF78" s="194">
        <f t="shared" si="12"/>
        <v>1.8552397032406274E-2</v>
      </c>
      <c r="AG78" s="245" t="str">
        <f>IF(ISNUMBER(SEARCH("C", 'Dry_Litterbag Placem_Collection'!$T5)),"YES","NO")</f>
        <v>YES</v>
      </c>
      <c r="AH78" s="245" t="str">
        <f>IF(ISNUMBER(SEARCH("H", 'Dry_Litterbag Placem_Collection'!$T5)),"YES","NO")</f>
        <v>YES</v>
      </c>
      <c r="AI78" s="245" t="str">
        <f>IF(ISNUMBER(SEARCH("R", 'Dry_Litterbag Placem_Collection'!$T5)),"YES","NO")</f>
        <v>NO</v>
      </c>
      <c r="AJ78" s="245" t="str">
        <f>IF(ISNUMBER(SEARCH("C", 'Dry_Litterbag Placem_Collection'!$S5)),"YES","NO")</f>
        <v>YES</v>
      </c>
      <c r="AK78" s="245" t="str">
        <f>IF(ISNUMBER(SEARCH("H", 'Dry_Litterbag Placem_Collection'!$S5)),"YES","NO")</f>
        <v>YES</v>
      </c>
      <c r="AL78" s="245" t="str">
        <f>IF(ISNUMBER(SEARCH("R", 'Dry_Litterbag Placem_Collection'!$S5)),"YES","NO")</f>
        <v>NO</v>
      </c>
    </row>
    <row r="79" spans="2:41">
      <c r="B79" t="str">
        <f>Dryseason!B5</f>
        <v>Dry</v>
      </c>
      <c r="C79" s="253">
        <f>Dryseason!C5</f>
        <v>4</v>
      </c>
      <c r="D79" t="s">
        <v>3099</v>
      </c>
      <c r="E79" t="s">
        <v>22</v>
      </c>
      <c r="F79" s="375">
        <v>4</v>
      </c>
      <c r="G79" s="16">
        <f>IF('Dry_Litterbag Placem_Collection'!E6="","",'Dry_Litterbag Placem_Collection'!E6)</f>
        <v>42938</v>
      </c>
      <c r="H79" t="str">
        <f>Dryseason!L5</f>
        <v>G255</v>
      </c>
      <c r="I79" t="str">
        <f>Dryseason!L225</f>
        <v>R661</v>
      </c>
      <c r="J79">
        <f>IFERROR(INDEX('Green_rooibos initial weight'!$C$5:$C$2000,MATCH(H79, 'Green_rooibos initial weight'!$A$5:$A$2000,0)),"")</f>
        <v>2.0310000000000001</v>
      </c>
      <c r="K79">
        <f>IFERROR(INDEX('Green_rooibos initial weight'!$C$5:$C$2000,MATCH(I79, 'Green_rooibos initial weight'!$A$5:$A$2000,0)),"")</f>
        <v>2.1629999999999998</v>
      </c>
      <c r="L79" s="194">
        <f t="shared" si="4"/>
        <v>1.7812000000000001</v>
      </c>
      <c r="M79" s="233">
        <f>AVERAGE(Ashed_controlls!$K$1:$K$11)</f>
        <v>5.5147656768714146</v>
      </c>
      <c r="N79" s="194">
        <f t="shared" si="0"/>
        <v>1.6829709937635664</v>
      </c>
      <c r="O79" s="194">
        <f t="shared" si="5"/>
        <v>1.9131999999999998</v>
      </c>
      <c r="P79" s="233">
        <f>AVERAGE(Ashed_controlls!$K$12:$K$14)</f>
        <v>2.2816647271287041</v>
      </c>
      <c r="Q79" s="194">
        <f t="shared" si="1"/>
        <v>1.8695471904405734</v>
      </c>
      <c r="R79" s="16">
        <f>IF('Dry_Litterbag Placem_Collection'!G6="","",'Dry_Litterbag Placem_Collection'!G6)</f>
        <v>43007</v>
      </c>
      <c r="S79" s="194">
        <f>IFERROR(INDEX('Both teabags AfterDry'!$D$3:$D$2000,MATCH(H79,'Both teabags AfterDry'!$A$3:$A$2000,0)),"")</f>
        <v>1.6215999999999999</v>
      </c>
      <c r="T79" s="194">
        <f>IFERROR(INDEX('Both teabags AfterDry'!$D$3:$D$2000,MATCH(I79,'Both teabags AfterDry'!$A$3:$A$2000,0)),"")</f>
        <v>1.837</v>
      </c>
      <c r="U79" s="194">
        <f t="shared" si="6"/>
        <v>1.4709999999999999</v>
      </c>
      <c r="V79" s="194">
        <f t="shared" si="7"/>
        <v>1.6863999999999999</v>
      </c>
      <c r="W79" s="194">
        <f>IFERROR(INDEX('Ashed teabags dry'!$K$2:$K$2000,MATCH(H79,'Ashed teabags dry'!$A$2:$A$2000,0)),"")</f>
        <v>8.5846867749423765</v>
      </c>
      <c r="X79" s="194">
        <f>IFERROR(INDEX('Ashed teabags dry'!$K$2:$K$2000,MATCH(I79,'Ashed teabags dry'!$A$2:$A$2000,0)),"")</f>
        <v>2.5594149908590014</v>
      </c>
      <c r="Y79" s="194">
        <f t="shared" si="2"/>
        <v>1.3447192575405975</v>
      </c>
      <c r="Z79" s="194">
        <f t="shared" si="2"/>
        <v>1.6432380255941537</v>
      </c>
      <c r="AA79" s="194">
        <f t="shared" si="8"/>
        <v>0.20098488772319767</v>
      </c>
      <c r="AB79" s="194">
        <f t="shared" si="9"/>
        <v>0.13176206416057618</v>
      </c>
      <c r="AC79" s="194">
        <f t="shared" si="3"/>
        <v>0.8789497446207345</v>
      </c>
      <c r="AD79">
        <f t="shared" si="10"/>
        <v>69</v>
      </c>
      <c r="AE79" s="194">
        <f t="shared" si="11"/>
        <v>0.76130060840475333</v>
      </c>
      <c r="AF79" s="194">
        <f t="shared" si="12"/>
        <v>3.6371753542998125E-2</v>
      </c>
      <c r="AG79" s="245" t="str">
        <f>IF(ISNUMBER(SEARCH("C", 'Dry_Litterbag Placem_Collection'!$T6)),"YES","NO")</f>
        <v>NO</v>
      </c>
      <c r="AH79" s="245" t="str">
        <f>IF(ISNUMBER(SEARCH("H", 'Dry_Litterbag Placem_Collection'!$T6)),"YES","NO")</f>
        <v>YES</v>
      </c>
      <c r="AI79" s="245" t="str">
        <f>IF(ISNUMBER(SEARCH("R", 'Dry_Litterbag Placem_Collection'!$T6)),"YES","NO")</f>
        <v>NO</v>
      </c>
      <c r="AJ79" s="245" t="str">
        <f>IF(ISNUMBER(SEARCH("C", 'Dry_Litterbag Placem_Collection'!$S6)),"YES","NO")</f>
        <v>NO</v>
      </c>
      <c r="AK79" s="245" t="str">
        <f>IF(ISNUMBER(SEARCH("H", 'Dry_Litterbag Placem_Collection'!$S6)),"YES","NO")</f>
        <v>NO</v>
      </c>
      <c r="AL79" s="245" t="str">
        <f>IF(ISNUMBER(SEARCH("R", 'Dry_Litterbag Placem_Collection'!$S6)),"YES","NO")</f>
        <v>NO</v>
      </c>
    </row>
    <row r="80" spans="2:41">
      <c r="B80" t="str">
        <f>Dryseason!B6</f>
        <v>Dry</v>
      </c>
      <c r="C80" s="253">
        <f>Dryseason!C6</f>
        <v>5</v>
      </c>
      <c r="D80" t="s">
        <v>3099</v>
      </c>
      <c r="E80" t="s">
        <v>22</v>
      </c>
      <c r="F80" s="375">
        <v>5</v>
      </c>
      <c r="G80" s="16">
        <f>IF('Dry_Litterbag Placem_Collection'!E7="","",'Dry_Litterbag Placem_Collection'!E7)</f>
        <v>42938</v>
      </c>
      <c r="H80" t="str">
        <f>Dryseason!L6</f>
        <v>G122</v>
      </c>
      <c r="I80" t="str">
        <f>Dryseason!L226</f>
        <v>R724</v>
      </c>
      <c r="J80">
        <f>IFERROR(INDEX('Green_rooibos initial weight'!$C$5:$C$2000,MATCH(H80, 'Green_rooibos initial weight'!$A$5:$A$2000,0)),"")</f>
        <v>1.95</v>
      </c>
      <c r="K80">
        <f>IFERROR(INDEX('Green_rooibos initial weight'!$C$5:$C$2000,MATCH(I80, 'Green_rooibos initial weight'!$A$5:$A$2000,0)),"")</f>
        <v>2.149</v>
      </c>
      <c r="L80" s="194">
        <f t="shared" si="4"/>
        <v>1.7001999999999999</v>
      </c>
      <c r="M80" s="233">
        <f>AVERAGE(Ashed_controlls!$K$1:$K$11)</f>
        <v>5.5147656768714146</v>
      </c>
      <c r="N80" s="194">
        <f t="shared" si="0"/>
        <v>1.6064379539618321</v>
      </c>
      <c r="O80" s="194">
        <f t="shared" si="5"/>
        <v>1.8992</v>
      </c>
      <c r="P80" s="233">
        <f>AVERAGE(Ashed_controlls!$K$12:$K$14)</f>
        <v>2.2816647271287041</v>
      </c>
      <c r="Q80" s="194">
        <f t="shared" si="1"/>
        <v>1.8558666235023717</v>
      </c>
      <c r="R80" s="16" t="str">
        <f>IF('Dry_Litterbag Placem_Collection'!G7="","",'Dry_Litterbag Placem_Collection'!G7)</f>
        <v/>
      </c>
      <c r="S80" s="194" t="str">
        <f>IFERROR(INDEX('Both teabags AfterDry'!$D$3:$D$2000,MATCH(H80,'Both teabags AfterDry'!$A$3:$A$2000,0)),"")</f>
        <v/>
      </c>
      <c r="T80" s="194" t="str">
        <f>IFERROR(INDEX('Both teabags AfterDry'!$D$3:$D$2000,MATCH(I80,'Both teabags AfterDry'!$A$3:$A$2000,0)),"")</f>
        <v/>
      </c>
      <c r="U80" s="194" t="str">
        <f t="shared" si="6"/>
        <v/>
      </c>
      <c r="V80" s="194" t="str">
        <f t="shared" si="7"/>
        <v/>
      </c>
      <c r="W80" s="194" t="str">
        <f>IFERROR(INDEX('Ashed teabags dry'!$K$2:$K$2000,MATCH(H80,'Ashed teabags dry'!$A$2:$A$2000,0)),"")</f>
        <v/>
      </c>
      <c r="X80" s="194" t="str">
        <f>IFERROR(INDEX('Ashed teabags dry'!$K$2:$K$2000,MATCH(I80,'Ashed teabags dry'!$A$2:$A$2000,0)),"")</f>
        <v/>
      </c>
      <c r="Y80" s="194" t="str">
        <f t="shared" si="2"/>
        <v/>
      </c>
      <c r="Z80" s="194" t="str">
        <f t="shared" si="2"/>
        <v/>
      </c>
      <c r="AA80" s="194" t="str">
        <f t="shared" si="8"/>
        <v/>
      </c>
      <c r="AB80" s="194" t="str">
        <f t="shared" si="9"/>
        <v/>
      </c>
      <c r="AC80" s="194" t="str">
        <f t="shared" si="3"/>
        <v/>
      </c>
      <c r="AD80" t="str">
        <f t="shared" si="10"/>
        <v/>
      </c>
      <c r="AE80" s="194" t="str">
        <f t="shared" si="11"/>
        <v/>
      </c>
      <c r="AF80" s="194" t="str">
        <f t="shared" si="12"/>
        <v/>
      </c>
      <c r="AG80" s="245" t="str">
        <f>IF(ISNUMBER(SEARCH("C", 'Dry_Litterbag Placem_Collection'!$T7)),"YES","NO")</f>
        <v>NO</v>
      </c>
      <c r="AH80" s="245" t="str">
        <f>IF(ISNUMBER(SEARCH("H", 'Dry_Litterbag Placem_Collection'!$T7)),"YES","NO")</f>
        <v>NO</v>
      </c>
      <c r="AI80" s="245" t="str">
        <f>IF(ISNUMBER(SEARCH("R", 'Dry_Litterbag Placem_Collection'!$T7)),"YES","NO")</f>
        <v>NO</v>
      </c>
      <c r="AJ80" s="245" t="str">
        <f>IF(ISNUMBER(SEARCH("C", 'Dry_Litterbag Placem_Collection'!$S7)),"YES","NO")</f>
        <v>NO</v>
      </c>
      <c r="AK80" s="245" t="str">
        <f>IF(ISNUMBER(SEARCH("H", 'Dry_Litterbag Placem_Collection'!$S7)),"YES","NO")</f>
        <v>NO</v>
      </c>
      <c r="AL80" s="245" t="str">
        <f>IF(ISNUMBER(SEARCH("R", 'Dry_Litterbag Placem_Collection'!$S7)),"YES","NO")</f>
        <v>NO</v>
      </c>
    </row>
    <row r="81" spans="2:38">
      <c r="B81" t="str">
        <f>Dryseason!B7</f>
        <v>Dry</v>
      </c>
      <c r="C81" s="253">
        <f>Dryseason!C7</f>
        <v>6</v>
      </c>
      <c r="D81" t="s">
        <v>3099</v>
      </c>
      <c r="E81" t="s">
        <v>22</v>
      </c>
      <c r="F81" s="375">
        <v>6</v>
      </c>
      <c r="G81" s="16">
        <f>IF('Dry_Litterbag Placem_Collection'!E8="","",'Dry_Litterbag Placem_Collection'!E8)</f>
        <v>42938</v>
      </c>
      <c r="H81" t="str">
        <f>Dryseason!L7</f>
        <v>G478</v>
      </c>
      <c r="I81" t="str">
        <f>Dryseason!L227</f>
        <v>R688</v>
      </c>
      <c r="J81">
        <f>IFERROR(INDEX('Green_rooibos initial weight'!$C$5:$C$2000,MATCH(H81, 'Green_rooibos initial weight'!$A$5:$A$2000,0)),"")</f>
        <v>2.056</v>
      </c>
      <c r="K81">
        <f>IFERROR(INDEX('Green_rooibos initial weight'!$C$5:$C$2000,MATCH(I81, 'Green_rooibos initial weight'!$A$5:$A$2000,0)),"")</f>
        <v>2.1709999999999998</v>
      </c>
      <c r="L81" s="194">
        <f t="shared" si="4"/>
        <v>1.8062</v>
      </c>
      <c r="M81" s="233">
        <f>AVERAGE(Ashed_controlls!$K$1:$K$11)</f>
        <v>5.5147656768714146</v>
      </c>
      <c r="N81" s="194">
        <f t="shared" si="0"/>
        <v>1.7065923023443486</v>
      </c>
      <c r="O81" s="194">
        <f t="shared" si="5"/>
        <v>1.9211999999999998</v>
      </c>
      <c r="P81" s="233">
        <f>AVERAGE(Ashed_controlls!$K$12:$K$14)</f>
        <v>2.2816647271287041</v>
      </c>
      <c r="Q81" s="194">
        <f t="shared" si="1"/>
        <v>1.8773646572624032</v>
      </c>
      <c r="R81" s="16">
        <f>IF('Dry_Litterbag Placem_Collection'!G8="","",'Dry_Litterbag Placem_Collection'!G8)</f>
        <v>43007</v>
      </c>
      <c r="S81" s="194" t="str">
        <f>IFERROR(INDEX('Both teabags AfterDry'!$D$3:$D$2000,MATCH(H81,'Both teabags AfterDry'!$A$3:$A$2000,0)),"")</f>
        <v/>
      </c>
      <c r="T81" s="194" t="str">
        <f>IFERROR(INDEX('Both teabags AfterDry'!$D$3:$D$2000,MATCH(I81,'Both teabags AfterDry'!$A$3:$A$2000,0)),"")</f>
        <v/>
      </c>
      <c r="U81" s="194" t="str">
        <f t="shared" si="6"/>
        <v/>
      </c>
      <c r="V81" s="194" t="str">
        <f t="shared" si="7"/>
        <v/>
      </c>
      <c r="W81" s="194" t="str">
        <f>IFERROR(INDEX('Ashed teabags dry'!$K$2:$K$2000,MATCH(H81,'Ashed teabags dry'!$A$2:$A$2000,0)),"")</f>
        <v/>
      </c>
      <c r="X81" s="194" t="str">
        <f>IFERROR(INDEX('Ashed teabags dry'!$K$2:$K$2000,MATCH(I81,'Ashed teabags dry'!$A$2:$A$2000,0)),"")</f>
        <v/>
      </c>
      <c r="Y81" s="194" t="str">
        <f t="shared" si="2"/>
        <v/>
      </c>
      <c r="Z81" s="194" t="str">
        <f t="shared" si="2"/>
        <v/>
      </c>
      <c r="AA81" s="194" t="str">
        <f t="shared" si="8"/>
        <v/>
      </c>
      <c r="AB81" s="194" t="str">
        <f t="shared" si="9"/>
        <v/>
      </c>
      <c r="AC81" s="194" t="str">
        <f t="shared" si="3"/>
        <v/>
      </c>
      <c r="AD81">
        <f t="shared" si="10"/>
        <v>69</v>
      </c>
      <c r="AE81" s="194" t="str">
        <f t="shared" si="11"/>
        <v/>
      </c>
      <c r="AF81" s="194" t="str">
        <f t="shared" si="12"/>
        <v/>
      </c>
      <c r="AG81" s="245" t="str">
        <f>IF(ISNUMBER(SEARCH("C", 'Dry_Litterbag Placem_Collection'!$T8)),"YES","NO")</f>
        <v>NO</v>
      </c>
      <c r="AH81" s="245" t="str">
        <f>IF(ISNUMBER(SEARCH("H", 'Dry_Litterbag Placem_Collection'!$T8)),"YES","NO")</f>
        <v>NO</v>
      </c>
      <c r="AI81" s="245" t="str">
        <f>IF(ISNUMBER(SEARCH("R", 'Dry_Litterbag Placem_Collection'!$T8)),"YES","NO")</f>
        <v>NO</v>
      </c>
      <c r="AJ81" s="245" t="str">
        <f>IF(ISNUMBER(SEARCH("C", 'Dry_Litterbag Placem_Collection'!$S8)),"YES","NO")</f>
        <v>NO</v>
      </c>
      <c r="AK81" s="245" t="str">
        <f>IF(ISNUMBER(SEARCH("H", 'Dry_Litterbag Placem_Collection'!$S8)),"YES","NO")</f>
        <v>NO</v>
      </c>
      <c r="AL81" s="245" t="str">
        <f>IF(ISNUMBER(SEARCH("R", 'Dry_Litterbag Placem_Collection'!$S8)),"YES","NO")</f>
        <v>NO</v>
      </c>
    </row>
    <row r="82" spans="2:38">
      <c r="B82" t="str">
        <f>Dryseason!B8</f>
        <v>Dry</v>
      </c>
      <c r="C82" s="253">
        <f>Dryseason!C8</f>
        <v>7</v>
      </c>
      <c r="D82" t="s">
        <v>3099</v>
      </c>
      <c r="E82" t="s">
        <v>22</v>
      </c>
      <c r="F82" s="375">
        <v>7</v>
      </c>
      <c r="G82" s="16">
        <f>IF('Dry_Litterbag Placem_Collection'!E9="","",'Dry_Litterbag Placem_Collection'!E9)</f>
        <v>42938</v>
      </c>
      <c r="H82" t="str">
        <f>Dryseason!L8</f>
        <v>G106</v>
      </c>
      <c r="I82" t="str">
        <f>Dryseason!L228</f>
        <v>R762</v>
      </c>
      <c r="J82">
        <f>IFERROR(INDEX('Green_rooibos initial weight'!$C$5:$C$2000,MATCH(H82, 'Green_rooibos initial weight'!$A$5:$A$2000,0)),"")</f>
        <v>2.1230000000000002</v>
      </c>
      <c r="K82">
        <f>IFERROR(INDEX('Green_rooibos initial weight'!$C$5:$C$2000,MATCH(I82, 'Green_rooibos initial weight'!$A$5:$A$2000,0)),"")</f>
        <v>2.1949999999999998</v>
      </c>
      <c r="L82" s="194">
        <f t="shared" si="4"/>
        <v>1.8732000000000002</v>
      </c>
      <c r="M82" s="233">
        <f>AVERAGE(Ashed_controlls!$K$1:$K$11)</f>
        <v>5.5147656768714146</v>
      </c>
      <c r="N82" s="194">
        <f t="shared" si="0"/>
        <v>1.7698974093408448</v>
      </c>
      <c r="O82" s="194">
        <f t="shared" si="5"/>
        <v>1.9451999999999998</v>
      </c>
      <c r="P82" s="233">
        <f>AVERAGE(Ashed_controlls!$K$12:$K$14)</f>
        <v>2.2816647271287041</v>
      </c>
      <c r="Q82" s="194">
        <f t="shared" si="1"/>
        <v>1.9008170577278922</v>
      </c>
      <c r="R82" s="16">
        <f>IF('Dry_Litterbag Placem_Collection'!G9="","",'Dry_Litterbag Placem_Collection'!G9)</f>
        <v>43007</v>
      </c>
      <c r="S82" s="194">
        <f>IFERROR(INDEX('Both teabags AfterDry'!$D$3:$D$2000,MATCH(H82,'Both teabags AfterDry'!$A$3:$A$2000,0)),"")</f>
        <v>2.0188999999999999</v>
      </c>
      <c r="T82" s="194">
        <f>IFERROR(INDEX('Both teabags AfterDry'!$D$3:$D$2000,MATCH(I82,'Both teabags AfterDry'!$A$3:$A$2000,0)),"")</f>
        <v>1.7052</v>
      </c>
      <c r="U82" s="194">
        <f t="shared" si="6"/>
        <v>1.8682999999999998</v>
      </c>
      <c r="V82" s="194">
        <f t="shared" si="7"/>
        <v>1.5546</v>
      </c>
      <c r="W82" s="194">
        <f>IFERROR(INDEX('Ashed teabags dry'!$K$2:$K$2000,MATCH(H82,'Ashed teabags dry'!$A$2:$A$2000,0)),"")</f>
        <v>8.482523444160524</v>
      </c>
      <c r="X82" s="194">
        <f>IFERROR(INDEX('Ashed teabags dry'!$K$2:$K$2000,MATCH(I82,'Ashed teabags dry'!$A$2:$A$2000,0)),"")</f>
        <v>6.2499999999996207</v>
      </c>
      <c r="Y82" s="194">
        <f t="shared" si="2"/>
        <v>1.7098210144927488</v>
      </c>
      <c r="Z82" s="194">
        <f t="shared" si="2"/>
        <v>1.4574375000000059</v>
      </c>
      <c r="AA82" s="194">
        <f t="shared" si="8"/>
        <v>3.3943433405255963E-2</v>
      </c>
      <c r="AB82" s="194">
        <f t="shared" si="9"/>
        <v>2.2252702184918424E-2</v>
      </c>
      <c r="AC82" s="194">
        <f t="shared" si="3"/>
        <v>0.76674264578734785</v>
      </c>
      <c r="AD82">
        <f t="shared" si="10"/>
        <v>69</v>
      </c>
      <c r="AE82" s="194">
        <f t="shared" si="11"/>
        <v>0.95968713372297387</v>
      </c>
      <c r="AF82" s="194" t="str">
        <f t="shared" si="12"/>
        <v/>
      </c>
      <c r="AG82" s="245" t="str">
        <f>IF(ISNUMBER(SEARCH("C", 'Dry_Litterbag Placem_Collection'!$T9)),"YES","NO")</f>
        <v>NO</v>
      </c>
      <c r="AH82" s="245" t="str">
        <f>IF(ISNUMBER(SEARCH("H", 'Dry_Litterbag Placem_Collection'!$T9)),"YES","NO")</f>
        <v>YES</v>
      </c>
      <c r="AI82" s="245" t="str">
        <f>IF(ISNUMBER(SEARCH("R", 'Dry_Litterbag Placem_Collection'!$T9)),"YES","NO")</f>
        <v>NO</v>
      </c>
      <c r="AJ82" s="245" t="str">
        <f>IF(ISNUMBER(SEARCH("C", 'Dry_Litterbag Placem_Collection'!$S9)),"YES","NO")</f>
        <v>NO</v>
      </c>
      <c r="AK82" s="245" t="str">
        <f>IF(ISNUMBER(SEARCH("H", 'Dry_Litterbag Placem_Collection'!$S9)),"YES","NO")</f>
        <v>YES</v>
      </c>
      <c r="AL82" s="245" t="str">
        <f>IF(ISNUMBER(SEARCH("R", 'Dry_Litterbag Placem_Collection'!$S9)),"YES","NO")</f>
        <v>NO</v>
      </c>
    </row>
    <row r="83" spans="2:38">
      <c r="B83" t="str">
        <f>Dryseason!B9</f>
        <v>Dry</v>
      </c>
      <c r="C83" s="253">
        <f>Dryseason!C9</f>
        <v>8</v>
      </c>
      <c r="D83" t="s">
        <v>3099</v>
      </c>
      <c r="E83" t="s">
        <v>22</v>
      </c>
      <c r="F83" s="375">
        <v>8</v>
      </c>
      <c r="G83" s="16">
        <f>IF('Dry_Litterbag Placem_Collection'!E10="","",'Dry_Litterbag Placem_Collection'!E10)</f>
        <v>42938</v>
      </c>
      <c r="H83" t="str">
        <f>Dryseason!L9</f>
        <v>G228</v>
      </c>
      <c r="I83" t="str">
        <f>Dryseason!L229</f>
        <v>R727</v>
      </c>
      <c r="J83">
        <f>IFERROR(INDEX('Green_rooibos initial weight'!$C$5:$C$2000,MATCH(H83, 'Green_rooibos initial weight'!$A$5:$A$2000,0)),"")</f>
        <v>1.976</v>
      </c>
      <c r="K83">
        <f>IFERROR(INDEX('Green_rooibos initial weight'!$C$5:$C$2000,MATCH(I83, 'Green_rooibos initial weight'!$A$5:$A$2000,0)),"")</f>
        <v>2.1629999999999998</v>
      </c>
      <c r="L83" s="194">
        <f t="shared" si="4"/>
        <v>1.7262</v>
      </c>
      <c r="M83" s="233">
        <f>AVERAGE(Ashed_controlls!$K$1:$K$11)</f>
        <v>5.5147656768714146</v>
      </c>
      <c r="N83" s="194">
        <f t="shared" si="0"/>
        <v>1.6310041148858456</v>
      </c>
      <c r="O83" s="194">
        <f t="shared" si="5"/>
        <v>1.9131999999999998</v>
      </c>
      <c r="P83" s="233">
        <f>AVERAGE(Ashed_controlls!$K$12:$K$14)</f>
        <v>2.2816647271287041</v>
      </c>
      <c r="Q83" s="194">
        <f t="shared" si="1"/>
        <v>1.8695471904405734</v>
      </c>
      <c r="R83" s="16">
        <f>IF('Dry_Litterbag Placem_Collection'!G10="","",'Dry_Litterbag Placem_Collection'!G10)</f>
        <v>43007</v>
      </c>
      <c r="S83" s="194">
        <f>IFERROR(INDEX('Both teabags AfterDry'!$D$3:$D$2000,MATCH(H83,'Both teabags AfterDry'!$A$3:$A$2000,0)),"")</f>
        <v>0.83330000000000004</v>
      </c>
      <c r="T83" s="194">
        <f>IFERROR(INDEX('Both teabags AfterDry'!$D$3:$D$2000,MATCH(I83,'Both teabags AfterDry'!$A$3:$A$2000,0)),"")</f>
        <v>0</v>
      </c>
      <c r="U83" s="194">
        <f t="shared" si="6"/>
        <v>0.68270000000000008</v>
      </c>
      <c r="V83" s="194" t="str">
        <f t="shared" si="7"/>
        <v/>
      </c>
      <c r="W83" s="194">
        <f>IFERROR(INDEX('Ashed teabags dry'!$K$2:$K$2000,MATCH(H83,'Ashed teabags dry'!$A$2:$A$2000,0)),"")</f>
        <v>14.545454545454678</v>
      </c>
      <c r="X83" s="194">
        <f>IFERROR(INDEX('Ashed teabags dry'!$K$2:$K$2000,MATCH(I83,'Ashed teabags dry'!$A$2:$A$2000,0)),"")</f>
        <v>91.762114537445356</v>
      </c>
      <c r="Y83" s="194">
        <f t="shared" si="2"/>
        <v>0.58339818181818104</v>
      </c>
      <c r="Z83" s="194" t="str">
        <f t="shared" si="2"/>
        <v/>
      </c>
      <c r="AA83" s="194">
        <f t="shared" si="8"/>
        <v>0.64230735134655792</v>
      </c>
      <c r="AB83" s="194">
        <f t="shared" si="9"/>
        <v>0.4210851044457245</v>
      </c>
      <c r="AC83" s="194" t="str">
        <f t="shared" si="3"/>
        <v/>
      </c>
      <c r="AD83">
        <f t="shared" si="10"/>
        <v>69</v>
      </c>
      <c r="AE83" s="194">
        <f t="shared" si="11"/>
        <v>0.23716466585919482</v>
      </c>
      <c r="AF83" s="194" t="str">
        <f t="shared" si="12"/>
        <v/>
      </c>
      <c r="AG83" s="245" t="str">
        <f>IF(ISNUMBER(SEARCH("C", 'Dry_Litterbag Placem_Collection'!$T10)),"YES","NO")</f>
        <v>NO</v>
      </c>
      <c r="AH83" s="245" t="str">
        <f>IF(ISNUMBER(SEARCH("H", 'Dry_Litterbag Placem_Collection'!$T10)),"YES","NO")</f>
        <v>NO</v>
      </c>
      <c r="AI83" s="245" t="str">
        <f>IF(ISNUMBER(SEARCH("R", 'Dry_Litterbag Placem_Collection'!$T10)),"YES","NO")</f>
        <v>NO</v>
      </c>
      <c r="AJ83" s="245" t="str">
        <f>IF(ISNUMBER(SEARCH("C", 'Dry_Litterbag Placem_Collection'!$S10)),"YES","NO")</f>
        <v>NO</v>
      </c>
      <c r="AK83" s="245" t="str">
        <f>IF(ISNUMBER(SEARCH("H", 'Dry_Litterbag Placem_Collection'!$S10)),"YES","NO")</f>
        <v>NO</v>
      </c>
      <c r="AL83" s="245" t="str">
        <f>IF(ISNUMBER(SEARCH("R", 'Dry_Litterbag Placem_Collection'!$S10)),"YES","NO")</f>
        <v>YES</v>
      </c>
    </row>
    <row r="84" spans="2:38">
      <c r="B84" t="str">
        <f>Dryseason!B10</f>
        <v>Dry</v>
      </c>
      <c r="C84" s="253">
        <f>Dryseason!C10</f>
        <v>9</v>
      </c>
      <c r="D84" t="s">
        <v>3103</v>
      </c>
      <c r="E84" t="s">
        <v>22</v>
      </c>
      <c r="F84" s="374">
        <v>1</v>
      </c>
      <c r="G84" s="16">
        <f>IF('Dry_Litterbag Placem_Collection'!E11="","",'Dry_Litterbag Placem_Collection'!E11)</f>
        <v>42938</v>
      </c>
      <c r="H84" t="str">
        <f>Dryseason!L10</f>
        <v>G277</v>
      </c>
      <c r="I84" t="str">
        <f>Dryseason!L230</f>
        <v>R785</v>
      </c>
      <c r="J84">
        <f>IFERROR(INDEX('Green_rooibos initial weight'!$C$5:$C$2000,MATCH(H84, 'Green_rooibos initial weight'!$A$5:$A$2000,0)),"")</f>
        <v>1.93</v>
      </c>
      <c r="K84">
        <f>IFERROR(INDEX('Green_rooibos initial weight'!$C$5:$C$2000,MATCH(I84, 'Green_rooibos initial weight'!$A$5:$A$2000,0)),"")</f>
        <v>2.2549999999999999</v>
      </c>
      <c r="L84" s="194">
        <f t="shared" si="4"/>
        <v>1.6801999999999999</v>
      </c>
      <c r="M84" s="233">
        <f>AVERAGE(Ashed_controlls!$K$1:$K$11)</f>
        <v>5.5147656768714146</v>
      </c>
      <c r="N84" s="194">
        <f t="shared" si="0"/>
        <v>1.5875409070972064</v>
      </c>
      <c r="O84" s="194">
        <f t="shared" si="5"/>
        <v>2.0051999999999999</v>
      </c>
      <c r="P84" s="233">
        <f>AVERAGE(Ashed_controlls!$K$12:$K$14)</f>
        <v>2.2816647271287041</v>
      </c>
      <c r="Q84" s="194">
        <f t="shared" si="1"/>
        <v>1.959448058891615</v>
      </c>
      <c r="R84" s="16">
        <f>IF('Dry_Litterbag Placem_Collection'!G11="","",'Dry_Litterbag Placem_Collection'!G11)</f>
        <v>43007</v>
      </c>
      <c r="S84" s="194">
        <f>IFERROR(INDEX('Both teabags AfterDry'!$D$3:$D$2000,MATCH(H84,'Both teabags AfterDry'!$A$3:$A$2000,0)),"")</f>
        <v>1.9345000000000001</v>
      </c>
      <c r="T84" s="194">
        <f>IFERROR(INDEX('Both teabags AfterDry'!$D$3:$D$2000,MATCH(I84,'Both teabags AfterDry'!$A$3:$A$2000,0)),"")</f>
        <v>3.7812999999999999</v>
      </c>
      <c r="U84" s="194">
        <f t="shared" si="6"/>
        <v>1.7839</v>
      </c>
      <c r="V84" s="194">
        <f t="shared" si="7"/>
        <v>3.6307</v>
      </c>
      <c r="W84" s="194">
        <f>IFERROR(INDEX('Ashed teabags dry'!$K$2:$K$2000,MATCH(H84,'Ashed teabags dry'!$A$2:$A$2000,0)),"")</f>
        <v>22.768222768222728</v>
      </c>
      <c r="X84" s="194">
        <f>IFERROR(INDEX('Ashed teabags dry'!$K$2:$K$2000,MATCH(I84,'Ashed teabags dry'!$A$2:$A$2000,0)),"")</f>
        <v>96.078431372548579</v>
      </c>
      <c r="Y84" s="194">
        <f t="shared" si="2"/>
        <v>1.3777376740376748</v>
      </c>
      <c r="Z84" s="194">
        <f t="shared" si="2"/>
        <v>0.1423803921568787</v>
      </c>
      <c r="AA84" s="194">
        <f t="shared" si="8"/>
        <v>0.13215611145614736</v>
      </c>
      <c r="AB84" s="194">
        <f t="shared" si="9"/>
        <v>8.6639160954623914E-2</v>
      </c>
      <c r="AC84" s="194">
        <f t="shared" si="3"/>
        <v>7.266351945936135E-2</v>
      </c>
      <c r="AD84">
        <f t="shared" si="10"/>
        <v>69</v>
      </c>
      <c r="AE84" s="194">
        <f t="shared" si="11"/>
        <v>0.84304499827060886</v>
      </c>
      <c r="AF84" s="194" t="str">
        <f t="shared" si="12"/>
        <v/>
      </c>
      <c r="AG84" s="245" t="str">
        <f>IF(ISNUMBER(SEARCH("C", 'Dry_Litterbag Placem_Collection'!$T11)),"YES","NO")</f>
        <v>YES</v>
      </c>
      <c r="AH84" s="245" t="str">
        <f>IF(ISNUMBER(SEARCH("H", 'Dry_Litterbag Placem_Collection'!$T11)),"YES","NO")</f>
        <v>NO</v>
      </c>
      <c r="AI84" s="245" t="str">
        <f>IF(ISNUMBER(SEARCH("R", 'Dry_Litterbag Placem_Collection'!$T11)),"YES","NO")</f>
        <v>NO</v>
      </c>
      <c r="AJ84" s="245" t="str">
        <f>IF(ISNUMBER(SEARCH("C", 'Dry_Litterbag Placem_Collection'!$S11)),"YES","NO")</f>
        <v>YES</v>
      </c>
      <c r="AK84" s="245" t="str">
        <f>IF(ISNUMBER(SEARCH("H", 'Dry_Litterbag Placem_Collection'!$S11)),"YES","NO")</f>
        <v>YES</v>
      </c>
      <c r="AL84" s="245" t="str">
        <f>IF(ISNUMBER(SEARCH("R", 'Dry_Litterbag Placem_Collection'!$S11)),"YES","NO")</f>
        <v>NO</v>
      </c>
    </row>
    <row r="85" spans="2:38">
      <c r="B85" t="str">
        <f>Dryseason!B11</f>
        <v>Dry</v>
      </c>
      <c r="C85" s="253">
        <f>Dryseason!C11</f>
        <v>10</v>
      </c>
      <c r="D85" t="s">
        <v>3103</v>
      </c>
      <c r="E85" t="s">
        <v>22</v>
      </c>
      <c r="F85" s="374">
        <v>2</v>
      </c>
      <c r="G85" s="16">
        <f>IF('Dry_Litterbag Placem_Collection'!E12="","",'Dry_Litterbag Placem_Collection'!E12)</f>
        <v>42938</v>
      </c>
      <c r="H85" t="str">
        <f>Dryseason!L11</f>
        <v>G310</v>
      </c>
      <c r="I85" t="str">
        <f>Dryseason!L231</f>
        <v>R747</v>
      </c>
      <c r="J85">
        <f>IFERROR(INDEX('Green_rooibos initial weight'!$C$5:$C$2000,MATCH(H85, 'Green_rooibos initial weight'!$A$5:$A$2000,0)),"")</f>
        <v>2.0459999999999998</v>
      </c>
      <c r="K85">
        <f>IFERROR(INDEX('Green_rooibos initial weight'!$C$5:$C$2000,MATCH(I85, 'Green_rooibos initial weight'!$A$5:$A$2000,0)),"")</f>
        <v>2.1549999999999998</v>
      </c>
      <c r="L85" s="194">
        <f t="shared" si="4"/>
        <v>1.7961999999999998</v>
      </c>
      <c r="M85" s="233">
        <f>AVERAGE(Ashed_controlls!$K$1:$K$11)</f>
        <v>5.5147656768714146</v>
      </c>
      <c r="N85" s="194">
        <f t="shared" si="0"/>
        <v>1.6971437789120354</v>
      </c>
      <c r="O85" s="194">
        <f t="shared" si="5"/>
        <v>1.9051999999999998</v>
      </c>
      <c r="P85" s="233">
        <f>AVERAGE(Ashed_controlls!$K$12:$K$14)</f>
        <v>2.2816647271287041</v>
      </c>
      <c r="Q85" s="194">
        <f t="shared" si="1"/>
        <v>1.8617297236187438</v>
      </c>
      <c r="R85" s="16" t="str">
        <f>IF('Dry_Litterbag Placem_Collection'!G12="","",'Dry_Litterbag Placem_Collection'!G12)</f>
        <v/>
      </c>
      <c r="S85" s="194" t="str">
        <f>IFERROR(INDEX('Both teabags AfterDry'!$D$3:$D$2000,MATCH(H85,'Both teabags AfterDry'!$A$3:$A$2000,0)),"")</f>
        <v/>
      </c>
      <c r="T85" s="194" t="str">
        <f>IFERROR(INDEX('Both teabags AfterDry'!$D$3:$D$2000,MATCH(I85,'Both teabags AfterDry'!$A$3:$A$2000,0)),"")</f>
        <v/>
      </c>
      <c r="U85" s="194" t="str">
        <f t="shared" si="6"/>
        <v/>
      </c>
      <c r="V85" s="194" t="str">
        <f t="shared" si="7"/>
        <v/>
      </c>
      <c r="W85" s="194" t="str">
        <f>IFERROR(INDEX('Ashed teabags dry'!$K$2:$K$2000,MATCH(H85,'Ashed teabags dry'!$A$2:$A$2000,0)),"")</f>
        <v/>
      </c>
      <c r="X85" s="194" t="str">
        <f>IFERROR(INDEX('Ashed teabags dry'!$K$2:$K$2000,MATCH(I85,'Ashed teabags dry'!$A$2:$A$2000,0)),"")</f>
        <v/>
      </c>
      <c r="Y85" s="194" t="str">
        <f t="shared" si="2"/>
        <v/>
      </c>
      <c r="Z85" s="194" t="str">
        <f t="shared" si="2"/>
        <v/>
      </c>
      <c r="AA85" s="194" t="str">
        <f t="shared" si="8"/>
        <v/>
      </c>
      <c r="AB85" s="194" t="str">
        <f t="shared" si="9"/>
        <v/>
      </c>
      <c r="AC85" s="194" t="str">
        <f t="shared" si="3"/>
        <v/>
      </c>
      <c r="AD85" t="str">
        <f t="shared" si="10"/>
        <v/>
      </c>
      <c r="AE85" s="194" t="str">
        <f t="shared" si="11"/>
        <v/>
      </c>
      <c r="AF85" s="194" t="str">
        <f t="shared" si="12"/>
        <v/>
      </c>
      <c r="AG85" s="245" t="str">
        <f>IF(ISNUMBER(SEARCH("C", 'Dry_Litterbag Placem_Collection'!$T12)),"YES","NO")</f>
        <v>NO</v>
      </c>
      <c r="AH85" s="245" t="str">
        <f>IF(ISNUMBER(SEARCH("H", 'Dry_Litterbag Placem_Collection'!$T12)),"YES","NO")</f>
        <v>NO</v>
      </c>
      <c r="AI85" s="245" t="str">
        <f>IF(ISNUMBER(SEARCH("R", 'Dry_Litterbag Placem_Collection'!$T12)),"YES","NO")</f>
        <v>NO</v>
      </c>
      <c r="AJ85" s="245" t="str">
        <f>IF(ISNUMBER(SEARCH("C", 'Dry_Litterbag Placem_Collection'!$S12)),"YES","NO")</f>
        <v>NO</v>
      </c>
      <c r="AK85" s="245" t="str">
        <f>IF(ISNUMBER(SEARCH("H", 'Dry_Litterbag Placem_Collection'!$S12)),"YES","NO")</f>
        <v>NO</v>
      </c>
      <c r="AL85" s="245" t="str">
        <f>IF(ISNUMBER(SEARCH("R", 'Dry_Litterbag Placem_Collection'!$S12)),"YES","NO")</f>
        <v>NO</v>
      </c>
    </row>
    <row r="86" spans="2:38">
      <c r="B86" t="str">
        <f>Dryseason!B12</f>
        <v>Dry</v>
      </c>
      <c r="C86" s="253">
        <f>Dryseason!C12</f>
        <v>11</v>
      </c>
      <c r="D86" t="s">
        <v>3103</v>
      </c>
      <c r="E86" t="s">
        <v>22</v>
      </c>
      <c r="F86" s="374">
        <v>3</v>
      </c>
      <c r="G86" s="16">
        <f>IF('Dry_Litterbag Placem_Collection'!E13="","",'Dry_Litterbag Placem_Collection'!E13)</f>
        <v>42938</v>
      </c>
      <c r="H86" t="str">
        <f>Dryseason!L12</f>
        <v>G435</v>
      </c>
      <c r="I86" t="str">
        <f>Dryseason!L232</f>
        <v>R748</v>
      </c>
      <c r="J86">
        <f>IFERROR(INDEX('Green_rooibos initial weight'!$C$5:$C$2000,MATCH(H86, 'Green_rooibos initial weight'!$A$5:$A$2000,0)),"")</f>
        <v>2.0009999999999999</v>
      </c>
      <c r="K86">
        <f>IFERROR(INDEX('Green_rooibos initial weight'!$C$5:$C$2000,MATCH(I86, 'Green_rooibos initial weight'!$A$5:$A$2000,0)),"")</f>
        <v>2.1829999999999998</v>
      </c>
      <c r="L86" s="194">
        <f t="shared" si="4"/>
        <v>1.7511999999999999</v>
      </c>
      <c r="M86" s="233">
        <f>AVERAGE(Ashed_controlls!$K$1:$K$11)</f>
        <v>5.5147656768714146</v>
      </c>
      <c r="N86" s="194">
        <f t="shared" si="0"/>
        <v>1.6546254234666278</v>
      </c>
      <c r="O86" s="194">
        <f t="shared" si="5"/>
        <v>1.9331999999999998</v>
      </c>
      <c r="P86" s="233">
        <f>AVERAGE(Ashed_controlls!$K$12:$K$14)</f>
        <v>2.2816647271287041</v>
      </c>
      <c r="Q86" s="194">
        <f t="shared" si="1"/>
        <v>1.8890908574951477</v>
      </c>
      <c r="R86" s="16">
        <f>IF('Dry_Litterbag Placem_Collection'!G13="","",'Dry_Litterbag Placem_Collection'!G13)</f>
        <v>43007</v>
      </c>
      <c r="S86" s="194">
        <f>IFERROR(INDEX('Both teabags AfterDry'!$D$3:$D$2000,MATCH(H86,'Both teabags AfterDry'!$A$3:$A$2000,0)),"")</f>
        <v>1.7934000000000001</v>
      </c>
      <c r="T86" s="194">
        <f>IFERROR(INDEX('Both teabags AfterDry'!$D$3:$D$2000,MATCH(I86,'Both teabags AfterDry'!$A$3:$A$2000,0)),"")</f>
        <v>0.98360000000000003</v>
      </c>
      <c r="U86" s="194">
        <f t="shared" si="6"/>
        <v>1.6428</v>
      </c>
      <c r="V86" s="194">
        <f t="shared" si="7"/>
        <v>0.83299999999999996</v>
      </c>
      <c r="W86" s="194">
        <f>IFERROR(INDEX('Ashed teabags dry'!$K$2:$K$2000,MATCH(H86,'Ashed teabags dry'!$A$2:$A$2000,0)),"")</f>
        <v>10.240078392944513</v>
      </c>
      <c r="X86" s="194">
        <f>IFERROR(INDEX('Ashed teabags dry'!$K$2:$K$2000,MATCH(I86,'Ashed teabags dry'!$A$2:$A$2000,0)),"")</f>
        <v>89.951923076922583</v>
      </c>
      <c r="Y86" s="194">
        <f t="shared" si="2"/>
        <v>1.4745759921607076</v>
      </c>
      <c r="Z86" s="194">
        <f t="shared" si="2"/>
        <v>8.3700480769234864E-2</v>
      </c>
      <c r="AA86" s="194">
        <f t="shared" si="8"/>
        <v>0.10881582547468438</v>
      </c>
      <c r="AB86" s="194">
        <f t="shared" si="9"/>
        <v>7.1337690810006849E-2</v>
      </c>
      <c r="AC86" s="194">
        <f t="shared" si="3"/>
        <v>4.4307281694337383E-2</v>
      </c>
      <c r="AD86">
        <f t="shared" si="10"/>
        <v>69</v>
      </c>
      <c r="AE86" s="194">
        <f t="shared" si="11"/>
        <v>0.87076505288042239</v>
      </c>
      <c r="AF86" s="194" t="str">
        <f t="shared" si="12"/>
        <v/>
      </c>
      <c r="AG86" s="245" t="str">
        <f>IF(ISNUMBER(SEARCH("C", 'Dry_Litterbag Placem_Collection'!$T13)),"YES","NO")</f>
        <v>YES</v>
      </c>
      <c r="AH86" s="245" t="str">
        <f>IF(ISNUMBER(SEARCH("H", 'Dry_Litterbag Placem_Collection'!$T13)),"YES","NO")</f>
        <v>YES</v>
      </c>
      <c r="AI86" s="245" t="str">
        <f>IF(ISNUMBER(SEARCH("R", 'Dry_Litterbag Placem_Collection'!$T13)),"YES","NO")</f>
        <v>NO</v>
      </c>
      <c r="AJ86" s="245" t="str">
        <f>IF(ISNUMBER(SEARCH("C", 'Dry_Litterbag Placem_Collection'!$S13)),"YES","NO")</f>
        <v>YES</v>
      </c>
      <c r="AK86" s="245" t="str">
        <f>IF(ISNUMBER(SEARCH("H", 'Dry_Litterbag Placem_Collection'!$S13)),"YES","NO")</f>
        <v>YES</v>
      </c>
      <c r="AL86" s="245" t="str">
        <f>IF(ISNUMBER(SEARCH("R", 'Dry_Litterbag Placem_Collection'!$S13)),"YES","NO")</f>
        <v>NO</v>
      </c>
    </row>
    <row r="87" spans="2:38">
      <c r="B87" t="str">
        <f>Dryseason!B13</f>
        <v>Dry</v>
      </c>
      <c r="C87" s="253">
        <f>Dryseason!C13</f>
        <v>12</v>
      </c>
      <c r="D87" t="s">
        <v>3103</v>
      </c>
      <c r="E87" t="s">
        <v>22</v>
      </c>
      <c r="F87" s="375">
        <v>4</v>
      </c>
      <c r="G87" s="16" t="str">
        <f>IF('Dry_Litterbag Placem_Collection'!E14="","",'Dry_Litterbag Placem_Collection'!E14)</f>
        <v/>
      </c>
      <c r="H87" t="str">
        <f>Dryseason!L13</f>
        <v/>
      </c>
      <c r="I87" t="str">
        <f>Dryseason!L233</f>
        <v/>
      </c>
      <c r="J87" t="str">
        <f>IFERROR(INDEX('Green_rooibos initial weight'!$C$5:$C$2000,MATCH(H87, 'Green_rooibos initial weight'!$A$5:$A$2000,0)),"")</f>
        <v/>
      </c>
      <c r="K87" t="str">
        <f>IFERROR(INDEX('Green_rooibos initial weight'!$C$5:$C$2000,MATCH(I87, 'Green_rooibos initial weight'!$A$5:$A$2000,0)),"")</f>
        <v/>
      </c>
      <c r="L87" s="194" t="str">
        <f t="shared" si="4"/>
        <v/>
      </c>
      <c r="M87" s="233">
        <f>AVERAGE(Ashed_controlls!$K$1:$K$11)</f>
        <v>5.5147656768714146</v>
      </c>
      <c r="N87" s="194" t="str">
        <f t="shared" si="0"/>
        <v/>
      </c>
      <c r="O87" s="194" t="str">
        <f t="shared" si="5"/>
        <v/>
      </c>
      <c r="P87" s="233">
        <f>AVERAGE(Ashed_controlls!$K$12:$K$14)</f>
        <v>2.2816647271287041</v>
      </c>
      <c r="Q87" s="194" t="str">
        <f t="shared" si="1"/>
        <v/>
      </c>
      <c r="R87" s="16" t="str">
        <f>IF('Dry_Litterbag Placem_Collection'!G14="","",'Dry_Litterbag Placem_Collection'!G14)</f>
        <v/>
      </c>
      <c r="S87" s="194" t="str">
        <f>IFERROR(INDEX('Both teabags AfterDry'!$D$3:$D$2000,MATCH(H87,'Both teabags AfterDry'!$A$3:$A$2000,0)),"")</f>
        <v/>
      </c>
      <c r="T87" s="194" t="str">
        <f>IFERROR(INDEX('Both teabags AfterDry'!$D$3:$D$2000,MATCH(I87,'Both teabags AfterDry'!$A$3:$A$2000,0)),"")</f>
        <v/>
      </c>
      <c r="U87" s="194" t="str">
        <f t="shared" si="6"/>
        <v/>
      </c>
      <c r="V87" s="194" t="str">
        <f t="shared" si="7"/>
        <v/>
      </c>
      <c r="W87" s="194" t="str">
        <f>IFERROR(INDEX('Ashed teabags dry'!$K$2:$K$2000,MATCH(H87,'Ashed teabags dry'!$A$2:$A$2000,0)),"")</f>
        <v/>
      </c>
      <c r="X87" s="194" t="str">
        <f>IFERROR(INDEX('Ashed teabags dry'!$K$2:$K$2000,MATCH(I87,'Ashed teabags dry'!$A$2:$A$2000,0)),"")</f>
        <v/>
      </c>
      <c r="Y87" s="194" t="str">
        <f t="shared" si="2"/>
        <v/>
      </c>
      <c r="Z87" s="194" t="str">
        <f t="shared" si="2"/>
        <v/>
      </c>
      <c r="AA87" s="194" t="str">
        <f t="shared" si="8"/>
        <v/>
      </c>
      <c r="AB87" s="194" t="str">
        <f t="shared" si="9"/>
        <v/>
      </c>
      <c r="AC87" s="194" t="str">
        <f t="shared" si="3"/>
        <v/>
      </c>
      <c r="AD87" t="str">
        <f t="shared" si="10"/>
        <v/>
      </c>
      <c r="AE87" s="194" t="str">
        <f t="shared" si="11"/>
        <v/>
      </c>
      <c r="AF87" s="194" t="str">
        <f t="shared" si="12"/>
        <v/>
      </c>
      <c r="AG87" s="245" t="str">
        <f>IF(ISNUMBER(SEARCH("C", 'Dry_Litterbag Placem_Collection'!$T14)),"YES","NO")</f>
        <v>NO</v>
      </c>
      <c r="AH87" s="245" t="str">
        <f>IF(ISNUMBER(SEARCH("H", 'Dry_Litterbag Placem_Collection'!$T14)),"YES","NO")</f>
        <v>NO</v>
      </c>
      <c r="AI87" s="245" t="str">
        <f>IF(ISNUMBER(SEARCH("R", 'Dry_Litterbag Placem_Collection'!$T14)),"YES","NO")</f>
        <v>NO</v>
      </c>
      <c r="AJ87" s="245" t="str">
        <f>IF(ISNUMBER(SEARCH("C", 'Dry_Litterbag Placem_Collection'!$S14)),"YES","NO")</f>
        <v>NO</v>
      </c>
      <c r="AK87" s="245" t="str">
        <f>IF(ISNUMBER(SEARCH("H", 'Dry_Litterbag Placem_Collection'!$S14)),"YES","NO")</f>
        <v>NO</v>
      </c>
      <c r="AL87" s="245" t="str">
        <f>IF(ISNUMBER(SEARCH("R", 'Dry_Litterbag Placem_Collection'!$S14)),"YES","NO")</f>
        <v>NO</v>
      </c>
    </row>
    <row r="88" spans="2:38">
      <c r="B88" t="str">
        <f>Dryseason!B14</f>
        <v>Dry</v>
      </c>
      <c r="C88" s="253">
        <f>Dryseason!C14</f>
        <v>13</v>
      </c>
      <c r="D88" t="s">
        <v>3103</v>
      </c>
      <c r="E88" t="s">
        <v>22</v>
      </c>
      <c r="F88" s="375">
        <v>5</v>
      </c>
      <c r="G88" s="16">
        <f>IF('Dry_Litterbag Placem_Collection'!E15="","",'Dry_Litterbag Placem_Collection'!E15)</f>
        <v>42938</v>
      </c>
      <c r="H88" t="str">
        <f>Dryseason!L14</f>
        <v>G2</v>
      </c>
      <c r="I88" t="str">
        <f>Dryseason!L234</f>
        <v>R784</v>
      </c>
      <c r="J88">
        <f>IFERROR(INDEX('Green_rooibos initial weight'!$C$5:$C$2000,MATCH(H88, 'Green_rooibos initial weight'!$A$5:$A$2000,0)),"")</f>
        <v>2</v>
      </c>
      <c r="K88">
        <f>IFERROR(INDEX('Green_rooibos initial weight'!$C$5:$C$2000,MATCH(I88, 'Green_rooibos initial weight'!$A$5:$A$2000,0)),"")</f>
        <v>2.17</v>
      </c>
      <c r="L88" s="194">
        <f t="shared" si="4"/>
        <v>1.7502</v>
      </c>
      <c r="M88" s="233">
        <f>AVERAGE(Ashed_controlls!$K$1:$K$11)</f>
        <v>5.5147656768714146</v>
      </c>
      <c r="N88" s="194">
        <f t="shared" si="0"/>
        <v>1.6536805711233964</v>
      </c>
      <c r="O88" s="194">
        <f t="shared" si="5"/>
        <v>1.9201999999999999</v>
      </c>
      <c r="P88" s="233">
        <f>AVERAGE(Ashed_controlls!$K$12:$K$14)</f>
        <v>2.2816647271287041</v>
      </c>
      <c r="Q88" s="194">
        <f t="shared" si="1"/>
        <v>1.8763874739096746</v>
      </c>
      <c r="R88" s="16">
        <f>IF('Dry_Litterbag Placem_Collection'!G15="","",'Dry_Litterbag Placem_Collection'!G15)</f>
        <v>43007</v>
      </c>
      <c r="S88" s="194">
        <f>IFERROR(INDEX('Both teabags AfterDry'!$D$3:$D$2000,MATCH(H88,'Both teabags AfterDry'!$A$3:$A$2000,0)),"")</f>
        <v>1.7587999999999999</v>
      </c>
      <c r="T88" s="194">
        <f>IFERROR(INDEX('Both teabags AfterDry'!$D$3:$D$2000,MATCH(I88,'Both teabags AfterDry'!$A$3:$A$2000,0)),"")</f>
        <v>0</v>
      </c>
      <c r="U88" s="194">
        <f t="shared" si="6"/>
        <v>1.6081999999999999</v>
      </c>
      <c r="V88" s="194" t="str">
        <f t="shared" si="7"/>
        <v/>
      </c>
      <c r="W88" s="194">
        <f>IFERROR(INDEX('Ashed teabags dry'!$K$2:$K$2000,MATCH(H88,'Ashed teabags dry'!$A$2:$A$2000,0)),"")</f>
        <v>27.976482116609386</v>
      </c>
      <c r="X88" s="194">
        <f>IFERROR(INDEX('Ashed teabags dry'!$K$2:$K$2000,MATCH(I88,'Ashed teabags dry'!$A$2:$A$2000,0)),"")</f>
        <v>92.742616033754956</v>
      </c>
      <c r="Y88" s="194">
        <f t="shared" si="2"/>
        <v>1.1582822146006877</v>
      </c>
      <c r="Z88" s="194" t="str">
        <f t="shared" si="2"/>
        <v/>
      </c>
      <c r="AA88" s="194">
        <f t="shared" si="8"/>
        <v>0.29957318551923806</v>
      </c>
      <c r="AB88" s="194">
        <f t="shared" si="9"/>
        <v>0.19639477245441733</v>
      </c>
      <c r="AC88" s="194" t="str">
        <f t="shared" si="3"/>
        <v/>
      </c>
      <c r="AD88">
        <f t="shared" si="10"/>
        <v>69</v>
      </c>
      <c r="AE88" s="194">
        <f t="shared" si="11"/>
        <v>0.64421236874199761</v>
      </c>
      <c r="AF88" s="194" t="str">
        <f t="shared" si="12"/>
        <v/>
      </c>
      <c r="AG88" s="245" t="str">
        <f>IF(ISNUMBER(SEARCH("C", 'Dry_Litterbag Placem_Collection'!$T15)),"YES","NO")</f>
        <v>YES</v>
      </c>
      <c r="AH88" s="245" t="str">
        <f>IF(ISNUMBER(SEARCH("H", 'Dry_Litterbag Placem_Collection'!$T15)),"YES","NO")</f>
        <v>YES</v>
      </c>
      <c r="AI88" s="245" t="str">
        <f>IF(ISNUMBER(SEARCH("R", 'Dry_Litterbag Placem_Collection'!$T15)),"YES","NO")</f>
        <v>NO</v>
      </c>
      <c r="AJ88" s="245" t="str">
        <f>IF(ISNUMBER(SEARCH("C", 'Dry_Litterbag Placem_Collection'!$S15)),"YES","NO")</f>
        <v>YES</v>
      </c>
      <c r="AK88" s="245" t="str">
        <f>IF(ISNUMBER(SEARCH("H", 'Dry_Litterbag Placem_Collection'!$S15)),"YES","NO")</f>
        <v>NO</v>
      </c>
      <c r="AL88" s="245" t="str">
        <f>IF(ISNUMBER(SEARCH("R", 'Dry_Litterbag Placem_Collection'!$S15)),"YES","NO")</f>
        <v>NO</v>
      </c>
    </row>
    <row r="89" spans="2:38">
      <c r="B89" t="str">
        <f>Dryseason!B15</f>
        <v>Dry</v>
      </c>
      <c r="C89" s="253">
        <f>Dryseason!C15</f>
        <v>14</v>
      </c>
      <c r="D89" t="s">
        <v>3103</v>
      </c>
      <c r="E89" t="s">
        <v>22</v>
      </c>
      <c r="F89" s="375">
        <v>6</v>
      </c>
      <c r="G89" s="16">
        <f>IF('Dry_Litterbag Placem_Collection'!E16="","",'Dry_Litterbag Placem_Collection'!E16)</f>
        <v>42938</v>
      </c>
      <c r="H89" t="str">
        <f>Dryseason!L15</f>
        <v>G225</v>
      </c>
      <c r="I89" t="str">
        <f>Dryseason!L235</f>
        <v>R838</v>
      </c>
      <c r="J89">
        <f>IFERROR(INDEX('Green_rooibos initial weight'!$C$5:$C$2000,MATCH(H89, 'Green_rooibos initial weight'!$A$5:$A$2000,0)),"")</f>
        <v>2.117</v>
      </c>
      <c r="K89">
        <f>IFERROR(INDEX('Green_rooibos initial weight'!$C$5:$C$2000,MATCH(I89, 'Green_rooibos initial weight'!$A$5:$A$2000,0)),"")</f>
        <v>2.1589999999999998</v>
      </c>
      <c r="L89" s="194">
        <f t="shared" si="4"/>
        <v>1.8672</v>
      </c>
      <c r="M89" s="233">
        <f>AVERAGE(Ashed_controlls!$K$1:$K$11)</f>
        <v>5.5147656768714146</v>
      </c>
      <c r="N89" s="194">
        <f t="shared" si="0"/>
        <v>1.764228295281457</v>
      </c>
      <c r="O89" s="194">
        <f t="shared" si="5"/>
        <v>1.9091999999999998</v>
      </c>
      <c r="P89" s="233">
        <f>AVERAGE(Ashed_controlls!$K$12:$K$14)</f>
        <v>2.2816647271287041</v>
      </c>
      <c r="Q89" s="194">
        <f t="shared" si="1"/>
        <v>1.8656384570296585</v>
      </c>
      <c r="R89" s="16">
        <f>IF('Dry_Litterbag Placem_Collection'!G16="","",'Dry_Litterbag Placem_Collection'!G16)</f>
        <v>43007</v>
      </c>
      <c r="S89" s="194">
        <f>IFERROR(INDEX('Both teabags AfterDry'!$D$3:$D$2000,MATCH(H89,'Both teabags AfterDry'!$A$3:$A$2000,0)),"")</f>
        <v>1.25</v>
      </c>
      <c r="T89" s="194">
        <f>IFERROR(INDEX('Both teabags AfterDry'!$D$3:$D$2000,MATCH(I89,'Both teabags AfterDry'!$A$3:$A$2000,0)),"")</f>
        <v>1.0848</v>
      </c>
      <c r="U89" s="194">
        <f t="shared" si="6"/>
        <v>1.0993999999999999</v>
      </c>
      <c r="V89" s="194">
        <f t="shared" si="7"/>
        <v>0.93419999999999992</v>
      </c>
      <c r="W89" s="194">
        <f>IFERROR(INDEX('Ashed teabags dry'!$K$2:$K$2000,MATCH(H89,'Ashed teabags dry'!$A$2:$A$2000,0)),"")</f>
        <v>30.8701993193968</v>
      </c>
      <c r="X89" s="194">
        <f>IFERROR(INDEX('Ashed teabags dry'!$K$2:$K$2000,MATCH(I89,'Ashed teabags dry'!$A$2:$A$2000,0)),"")</f>
        <v>96.944824441403483</v>
      </c>
      <c r="Y89" s="194">
        <f t="shared" si="2"/>
        <v>0.76001302868255149</v>
      </c>
      <c r="Z89" s="194">
        <f t="shared" si="2"/>
        <v>2.854145006840858E-2</v>
      </c>
      <c r="AA89" s="194">
        <f t="shared" si="8"/>
        <v>0.56920936439164049</v>
      </c>
      <c r="AB89" s="194">
        <f t="shared" si="9"/>
        <v>0.37316338378169306</v>
      </c>
      <c r="AC89" s="194">
        <f t="shared" si="3"/>
        <v>1.5298489351388221E-2</v>
      </c>
      <c r="AD89">
        <f t="shared" si="10"/>
        <v>69</v>
      </c>
      <c r="AE89" s="194">
        <f t="shared" si="11"/>
        <v>0.32397937720707781</v>
      </c>
      <c r="AF89" s="194" t="str">
        <f t="shared" si="12"/>
        <v/>
      </c>
      <c r="AG89" s="245" t="str">
        <f>IF(ISNUMBER(SEARCH("C", 'Dry_Litterbag Placem_Collection'!$T16)),"YES","NO")</f>
        <v>YES</v>
      </c>
      <c r="AH89" s="245" t="str">
        <f>IF(ISNUMBER(SEARCH("H", 'Dry_Litterbag Placem_Collection'!$T16)),"YES","NO")</f>
        <v>YES</v>
      </c>
      <c r="AI89" s="245" t="str">
        <f>IF(ISNUMBER(SEARCH("R", 'Dry_Litterbag Placem_Collection'!$T16)),"YES","NO")</f>
        <v>NO</v>
      </c>
      <c r="AJ89" s="245" t="str">
        <f>IF(ISNUMBER(SEARCH("C", 'Dry_Litterbag Placem_Collection'!$S16)),"YES","NO")</f>
        <v>NO</v>
      </c>
      <c r="AK89" s="245" t="str">
        <f>IF(ISNUMBER(SEARCH("H", 'Dry_Litterbag Placem_Collection'!$S16)),"YES","NO")</f>
        <v>YES</v>
      </c>
      <c r="AL89" s="245" t="str">
        <f>IF(ISNUMBER(SEARCH("R", 'Dry_Litterbag Placem_Collection'!$S16)),"YES","NO")</f>
        <v>NO</v>
      </c>
    </row>
    <row r="90" spans="2:38">
      <c r="B90" t="str">
        <f>Dryseason!B16</f>
        <v>Dry</v>
      </c>
      <c r="C90" s="253">
        <f>Dryseason!C16</f>
        <v>15</v>
      </c>
      <c r="D90" t="s">
        <v>3103</v>
      </c>
      <c r="E90" t="s">
        <v>22</v>
      </c>
      <c r="F90" s="375">
        <v>7</v>
      </c>
      <c r="G90" s="16">
        <f>IF('Dry_Litterbag Placem_Collection'!E17="","",'Dry_Litterbag Placem_Collection'!E17)</f>
        <v>42938</v>
      </c>
      <c r="H90" t="str">
        <f>Dryseason!L16</f>
        <v>G444</v>
      </c>
      <c r="I90" t="str">
        <f>Dryseason!L236</f>
        <v>R793</v>
      </c>
      <c r="J90">
        <f>IFERROR(INDEX('Green_rooibos initial weight'!$C$5:$C$2000,MATCH(H90, 'Green_rooibos initial weight'!$A$5:$A$2000,0)),"")</f>
        <v>2.0259999999999998</v>
      </c>
      <c r="K90">
        <f>IFERROR(INDEX('Green_rooibos initial weight'!$C$5:$C$2000,MATCH(I90, 'Green_rooibos initial weight'!$A$5:$A$2000,0)),"")</f>
        <v>2.2050000000000001</v>
      </c>
      <c r="L90" s="194">
        <f t="shared" si="4"/>
        <v>1.7761999999999998</v>
      </c>
      <c r="M90" s="233">
        <f>AVERAGE(Ashed_controlls!$K$1:$K$11)</f>
        <v>5.5147656768714146</v>
      </c>
      <c r="N90" s="194">
        <f t="shared" si="0"/>
        <v>1.6782467320474097</v>
      </c>
      <c r="O90" s="194">
        <f t="shared" si="5"/>
        <v>1.9552</v>
      </c>
      <c r="P90" s="233">
        <f>AVERAGE(Ashed_controlls!$K$12:$K$14)</f>
        <v>2.2816647271287041</v>
      </c>
      <c r="Q90" s="194">
        <f t="shared" si="1"/>
        <v>1.9105888912551796</v>
      </c>
      <c r="R90" s="16">
        <f>IF('Dry_Litterbag Placem_Collection'!G17="","",'Dry_Litterbag Placem_Collection'!G17)</f>
        <v>43007</v>
      </c>
      <c r="S90" s="194">
        <f>IFERROR(INDEX('Both teabags AfterDry'!$D$3:$D$2000,MATCH(H90,'Both teabags AfterDry'!$A$3:$A$2000,0)),"")</f>
        <v>1.3574999999999999</v>
      </c>
      <c r="T90" s="194">
        <f>IFERROR(INDEX('Both teabags AfterDry'!$D$3:$D$2000,MATCH(I90,'Both teabags AfterDry'!$A$3:$A$2000,0)),"")</f>
        <v>0.24560000000000001</v>
      </c>
      <c r="U90" s="194">
        <f t="shared" si="6"/>
        <v>1.2068999999999999</v>
      </c>
      <c r="V90" s="194">
        <f t="shared" si="7"/>
        <v>9.5000000000000001E-2</v>
      </c>
      <c r="W90" s="194">
        <f>IFERROR(INDEX('Ashed teabags dry'!$K$2:$K$2000,MATCH(H90,'Ashed teabags dry'!$A$2:$A$2000,0)),"")</f>
        <v>10.790345480359514</v>
      </c>
      <c r="X90" s="194">
        <f>IFERROR(INDEX('Ashed teabags dry'!$K$2:$K$2000,MATCH(I90,'Ashed teabags dry'!$A$2:$A$2000,0)),"")</f>
        <v>0</v>
      </c>
      <c r="Y90" s="194">
        <f t="shared" si="2"/>
        <v>1.0766713203975409</v>
      </c>
      <c r="Z90" s="194">
        <f t="shared" si="2"/>
        <v>9.5000000000000001E-2</v>
      </c>
      <c r="AA90" s="194">
        <f t="shared" si="8"/>
        <v>0.35845468974395989</v>
      </c>
      <c r="AB90" s="194">
        <f t="shared" si="9"/>
        <v>0.23499642368012572</v>
      </c>
      <c r="AC90" s="194">
        <f t="shared" si="3"/>
        <v>4.9722889332612444E-2</v>
      </c>
      <c r="AD90">
        <f t="shared" si="10"/>
        <v>69</v>
      </c>
      <c r="AE90" s="194">
        <f t="shared" si="11"/>
        <v>0.57428184115919256</v>
      </c>
      <c r="AF90" s="194" t="str">
        <f t="shared" si="12"/>
        <v/>
      </c>
      <c r="AG90" s="245" t="str">
        <f>IF(ISNUMBER(SEARCH("C", 'Dry_Litterbag Placem_Collection'!$T17)),"YES","NO")</f>
        <v>YES</v>
      </c>
      <c r="AH90" s="245" t="str">
        <f>IF(ISNUMBER(SEARCH("H", 'Dry_Litterbag Placem_Collection'!$T17)),"YES","NO")</f>
        <v>YES</v>
      </c>
      <c r="AI90" s="245" t="str">
        <f>IF(ISNUMBER(SEARCH("R", 'Dry_Litterbag Placem_Collection'!$T17)),"YES","NO")</f>
        <v>NO</v>
      </c>
      <c r="AJ90" s="245" t="str">
        <f>IF(ISNUMBER(SEARCH("C", 'Dry_Litterbag Placem_Collection'!$S17)),"YES","NO")</f>
        <v>YES</v>
      </c>
      <c r="AK90" s="245" t="str">
        <f>IF(ISNUMBER(SEARCH("H", 'Dry_Litterbag Placem_Collection'!$S17)),"YES","NO")</f>
        <v>YES</v>
      </c>
      <c r="AL90" s="245" t="str">
        <f>IF(ISNUMBER(SEARCH("R", 'Dry_Litterbag Placem_Collection'!$S17)),"YES","NO")</f>
        <v>NO</v>
      </c>
    </row>
    <row r="91" spans="2:38">
      <c r="B91" t="str">
        <f>Dryseason!B17</f>
        <v>Dry</v>
      </c>
      <c r="C91" s="253">
        <f>Dryseason!C17</f>
        <v>16</v>
      </c>
      <c r="D91" t="s">
        <v>3103</v>
      </c>
      <c r="E91" t="s">
        <v>22</v>
      </c>
      <c r="F91" s="375">
        <v>8</v>
      </c>
      <c r="G91" s="16">
        <f>IF('Dry_Litterbag Placem_Collection'!E18="","",'Dry_Litterbag Placem_Collection'!E18)</f>
        <v>42938</v>
      </c>
      <c r="H91" t="str">
        <f>Dryseason!L17</f>
        <v>G376</v>
      </c>
      <c r="I91" t="str">
        <f>Dryseason!L237</f>
        <v>R755</v>
      </c>
      <c r="J91">
        <f>IFERROR(INDEX('Green_rooibos initial weight'!$C$5:$C$2000,MATCH(H91, 'Green_rooibos initial weight'!$A$5:$A$2000,0)),"")</f>
        <v>2.0329999999999999</v>
      </c>
      <c r="K91">
        <f>IFERROR(INDEX('Green_rooibos initial weight'!$C$5:$C$2000,MATCH(I91, 'Green_rooibos initial weight'!$A$5:$A$2000,0)),"")</f>
        <v>2.2120000000000002</v>
      </c>
      <c r="L91" s="194">
        <f t="shared" si="4"/>
        <v>1.7831999999999999</v>
      </c>
      <c r="M91" s="233">
        <f>AVERAGE(Ashed_controlls!$K$1:$K$11)</f>
        <v>5.5147656768714146</v>
      </c>
      <c r="N91" s="194">
        <f t="shared" si="0"/>
        <v>1.6848606984500289</v>
      </c>
      <c r="O91" s="194">
        <f t="shared" si="5"/>
        <v>1.9622000000000002</v>
      </c>
      <c r="P91" s="233">
        <f>AVERAGE(Ashed_controlls!$K$12:$K$14)</f>
        <v>2.2816647271287041</v>
      </c>
      <c r="Q91" s="194">
        <f t="shared" si="1"/>
        <v>1.9174291747242806</v>
      </c>
      <c r="R91" s="16">
        <f>IF('Dry_Litterbag Placem_Collection'!G18="","",'Dry_Litterbag Placem_Collection'!G18)</f>
        <v>43007</v>
      </c>
      <c r="S91" s="194" t="str">
        <f>IFERROR(INDEX('Both teabags AfterDry'!$D$3:$D$2000,MATCH(H91,'Both teabags AfterDry'!$A$3:$A$2000,0)),"")</f>
        <v/>
      </c>
      <c r="T91" s="194" t="str">
        <f>IFERROR(INDEX('Both teabags AfterDry'!$D$3:$D$2000,MATCH(I91,'Both teabags AfterDry'!$A$3:$A$2000,0)),"")</f>
        <v/>
      </c>
      <c r="U91" s="194" t="str">
        <f t="shared" si="6"/>
        <v/>
      </c>
      <c r="V91" s="194" t="str">
        <f t="shared" si="7"/>
        <v/>
      </c>
      <c r="W91" s="194" t="str">
        <f>IFERROR(INDEX('Ashed teabags dry'!$K$2:$K$2000,MATCH(H91,'Ashed teabags dry'!$A$2:$A$2000,0)),"")</f>
        <v/>
      </c>
      <c r="X91" s="194" t="str">
        <f>IFERROR(INDEX('Ashed teabags dry'!$K$2:$K$2000,MATCH(I91,'Ashed teabags dry'!$A$2:$A$2000,0)),"")</f>
        <v/>
      </c>
      <c r="Y91" s="194" t="str">
        <f t="shared" si="2"/>
        <v/>
      </c>
      <c r="Z91" s="194" t="str">
        <f t="shared" si="2"/>
        <v/>
      </c>
      <c r="AA91" s="194" t="str">
        <f t="shared" si="8"/>
        <v/>
      </c>
      <c r="AB91" s="194" t="str">
        <f t="shared" si="9"/>
        <v/>
      </c>
      <c r="AC91" s="194" t="str">
        <f t="shared" si="3"/>
        <v/>
      </c>
      <c r="AD91">
        <f t="shared" si="10"/>
        <v>69</v>
      </c>
      <c r="AE91" s="194" t="str">
        <f t="shared" si="11"/>
        <v/>
      </c>
      <c r="AF91" s="194" t="str">
        <f t="shared" si="12"/>
        <v/>
      </c>
      <c r="AG91" s="245" t="str">
        <f>IF(ISNUMBER(SEARCH("C", 'Dry_Litterbag Placem_Collection'!$T18)),"YES","NO")</f>
        <v>YES</v>
      </c>
      <c r="AH91" s="245" t="str">
        <f>IF(ISNUMBER(SEARCH("H", 'Dry_Litterbag Placem_Collection'!$T18)),"YES","NO")</f>
        <v>YES</v>
      </c>
      <c r="AI91" s="245" t="str">
        <f>IF(ISNUMBER(SEARCH("R", 'Dry_Litterbag Placem_Collection'!$T18)),"YES","NO")</f>
        <v>NO</v>
      </c>
      <c r="AJ91" s="245" t="str">
        <f>IF(ISNUMBER(SEARCH("C", 'Dry_Litterbag Placem_Collection'!$S18)),"YES","NO")</f>
        <v>YES</v>
      </c>
      <c r="AK91" s="245" t="str">
        <f>IF(ISNUMBER(SEARCH("H", 'Dry_Litterbag Placem_Collection'!$S18)),"YES","NO")</f>
        <v>YES</v>
      </c>
      <c r="AL91" s="245" t="str">
        <f>IF(ISNUMBER(SEARCH("R", 'Dry_Litterbag Placem_Collection'!$S18)),"YES","NO")</f>
        <v>NO</v>
      </c>
    </row>
    <row r="92" spans="2:38">
      <c r="B92" t="str">
        <f>Dryseason!B18</f>
        <v>Dry</v>
      </c>
      <c r="C92" s="253">
        <f>Dryseason!C18</f>
        <v>17</v>
      </c>
      <c r="D92" t="s">
        <v>3104</v>
      </c>
      <c r="E92" t="s">
        <v>22</v>
      </c>
      <c r="F92" s="374">
        <v>1</v>
      </c>
      <c r="G92" s="16">
        <f>IF('Dry_Litterbag Placem_Collection'!E19="","",'Dry_Litterbag Placem_Collection'!E19)</f>
        <v>42936</v>
      </c>
      <c r="H92" t="str">
        <f>Dryseason!L18</f>
        <v>G209</v>
      </c>
      <c r="I92" t="str">
        <f>Dryseason!L238</f>
        <v>R826</v>
      </c>
      <c r="J92">
        <f>IFERROR(INDEX('Green_rooibos initial weight'!$C$5:$C$2000,MATCH(H92, 'Green_rooibos initial weight'!$A$5:$A$2000,0)),"")</f>
        <v>2.1160000000000001</v>
      </c>
      <c r="K92">
        <f>IFERROR(INDEX('Green_rooibos initial weight'!$C$5:$C$2000,MATCH(I92, 'Green_rooibos initial weight'!$A$5:$A$2000,0)),"")</f>
        <v>2.1659999999999999</v>
      </c>
      <c r="L92" s="194">
        <f t="shared" si="4"/>
        <v>1.8662000000000001</v>
      </c>
      <c r="M92" s="233">
        <f>AVERAGE(Ashed_controlls!$K$1:$K$11)</f>
        <v>5.5147656768714146</v>
      </c>
      <c r="N92" s="194">
        <f t="shared" si="0"/>
        <v>1.7632834429382258</v>
      </c>
      <c r="O92" s="194">
        <f t="shared" si="5"/>
        <v>1.9161999999999999</v>
      </c>
      <c r="P92" s="233">
        <f>AVERAGE(Ashed_controlls!$K$12:$K$14)</f>
        <v>2.2816647271287041</v>
      </c>
      <c r="Q92" s="194">
        <f t="shared" si="1"/>
        <v>1.8724787404987597</v>
      </c>
      <c r="R92" s="16">
        <f>IF('Dry_Litterbag Placem_Collection'!G19="","",'Dry_Litterbag Placem_Collection'!G19)</f>
        <v>43007</v>
      </c>
      <c r="S92" s="194">
        <f>IFERROR(INDEX('Both teabags AfterDry'!$D$3:$D$2000,MATCH(H92,'Both teabags AfterDry'!$A$3:$A$2000,0)),"")</f>
        <v>1.9087000000000001</v>
      </c>
      <c r="T92" s="194">
        <f>IFERROR(INDEX('Both teabags AfterDry'!$D$3:$D$2000,MATCH(I92,'Both teabags AfterDry'!$A$3:$A$2000,0)),"")</f>
        <v>1.9086000000000001</v>
      </c>
      <c r="U92" s="194">
        <f t="shared" si="6"/>
        <v>1.7581</v>
      </c>
      <c r="V92" s="194">
        <f t="shared" si="7"/>
        <v>1.758</v>
      </c>
      <c r="W92" s="194">
        <f>IFERROR(INDEX('Ashed teabags dry'!$K$2:$K$2000,MATCH(H92,'Ashed teabags dry'!$A$2:$A$2000,0)),"")</f>
        <v>5.4283290924516674</v>
      </c>
      <c r="X92" s="194">
        <f>IFERROR(INDEX('Ashed teabags dry'!$K$2:$K$2000,MATCH(I92,'Ashed teabags dry'!$A$2:$A$2000,0)),"")</f>
        <v>3.214971209212738</v>
      </c>
      <c r="Y92" s="194">
        <f t="shared" si="2"/>
        <v>1.6626645462256073</v>
      </c>
      <c r="Z92" s="194">
        <f t="shared" si="2"/>
        <v>1.7014808061420401</v>
      </c>
      <c r="AA92" s="194">
        <f t="shared" si="8"/>
        <v>5.7063370676783243E-2</v>
      </c>
      <c r="AB92" s="194">
        <f t="shared" si="9"/>
        <v>3.7409715693093072E-2</v>
      </c>
      <c r="AC92" s="194">
        <f t="shared" si="3"/>
        <v>0.90867830397306837</v>
      </c>
      <c r="AD92">
        <f t="shared" si="10"/>
        <v>71</v>
      </c>
      <c r="AE92" s="194">
        <f t="shared" si="11"/>
        <v>0.93222877591830966</v>
      </c>
      <c r="AF92" s="194" t="str">
        <f t="shared" si="12"/>
        <v/>
      </c>
      <c r="AG92" s="245" t="str">
        <f>IF(ISNUMBER(SEARCH("C", 'Dry_Litterbag Placem_Collection'!$T19)),"YES","NO")</f>
        <v>NO</v>
      </c>
      <c r="AH92" s="245" t="str">
        <f>IF(ISNUMBER(SEARCH("H", 'Dry_Litterbag Placem_Collection'!$T19)),"YES","NO")</f>
        <v>NO</v>
      </c>
      <c r="AI92" s="245" t="str">
        <f>IF(ISNUMBER(SEARCH("R", 'Dry_Litterbag Placem_Collection'!$T19)),"YES","NO")</f>
        <v>NO</v>
      </c>
      <c r="AJ92" s="245" t="str">
        <f>IF(ISNUMBER(SEARCH("C", 'Dry_Litterbag Placem_Collection'!$S19)),"YES","NO")</f>
        <v>NO</v>
      </c>
      <c r="AK92" s="245" t="str">
        <f>IF(ISNUMBER(SEARCH("H", 'Dry_Litterbag Placem_Collection'!$S19)),"YES","NO")</f>
        <v>NO</v>
      </c>
      <c r="AL92" s="245" t="str">
        <f>IF(ISNUMBER(SEARCH("R", 'Dry_Litterbag Placem_Collection'!$S19)),"YES","NO")</f>
        <v>NO</v>
      </c>
    </row>
    <row r="93" spans="2:38">
      <c r="B93" t="str">
        <f>Dryseason!B19</f>
        <v>Dry</v>
      </c>
      <c r="C93" s="253">
        <f>Dryseason!C19</f>
        <v>18</v>
      </c>
      <c r="D93" t="s">
        <v>3104</v>
      </c>
      <c r="E93" t="s">
        <v>22</v>
      </c>
      <c r="F93" s="374">
        <v>2</v>
      </c>
      <c r="G93" s="16">
        <f>IF('Dry_Litterbag Placem_Collection'!E20="","",'Dry_Litterbag Placem_Collection'!E20)</f>
        <v>42936</v>
      </c>
      <c r="H93" t="str">
        <f>Dryseason!L19</f>
        <v>G10</v>
      </c>
      <c r="I93" t="str">
        <f>Dryseason!L239</f>
        <v>R732</v>
      </c>
      <c r="J93">
        <f>IFERROR(INDEX('Green_rooibos initial weight'!$C$5:$C$2000,MATCH(H93, 'Green_rooibos initial weight'!$A$5:$A$2000,0)),"")</f>
        <v>1.9710000000000001</v>
      </c>
      <c r="K93">
        <f>IFERROR(INDEX('Green_rooibos initial weight'!$C$5:$C$2000,MATCH(I93, 'Green_rooibos initial weight'!$A$5:$A$2000,0)),"")</f>
        <v>2.2189999999999999</v>
      </c>
      <c r="L93" s="194">
        <f t="shared" si="4"/>
        <v>1.7212000000000001</v>
      </c>
      <c r="M93" s="233">
        <f>AVERAGE(Ashed_controlls!$K$1:$K$11)</f>
        <v>5.5147656768714146</v>
      </c>
      <c r="N93" s="194">
        <f t="shared" si="0"/>
        <v>1.6262798531696894</v>
      </c>
      <c r="O93" s="194">
        <f t="shared" si="5"/>
        <v>1.9691999999999998</v>
      </c>
      <c r="P93" s="233">
        <f>AVERAGE(Ashed_controlls!$K$12:$K$14)</f>
        <v>2.2816647271287041</v>
      </c>
      <c r="Q93" s="194">
        <f t="shared" si="1"/>
        <v>1.9242694581933815</v>
      </c>
      <c r="R93" s="16">
        <f>IF('Dry_Litterbag Placem_Collection'!G20="","",'Dry_Litterbag Placem_Collection'!G20)</f>
        <v>43007</v>
      </c>
      <c r="S93" s="194">
        <f>IFERROR(INDEX('Both teabags AfterDry'!$D$3:$D$2000,MATCH(H93,'Both teabags AfterDry'!$A$3:$A$2000,0)),"")</f>
        <v>1.7706999999999999</v>
      </c>
      <c r="T93" s="194">
        <f>IFERROR(INDEX('Both teabags AfterDry'!$D$3:$D$2000,MATCH(I93,'Both teabags AfterDry'!$A$3:$A$2000,0)),"")</f>
        <v>1.9874000000000001</v>
      </c>
      <c r="U93" s="194">
        <f t="shared" si="6"/>
        <v>1.6200999999999999</v>
      </c>
      <c r="V93" s="194">
        <f t="shared" si="7"/>
        <v>1.8368</v>
      </c>
      <c r="W93" s="194">
        <f>IFERROR(INDEX('Ashed teabags dry'!$K$2:$K$2000,MATCH(H93,'Ashed teabags dry'!$A$2:$A$2000,0)),"")</f>
        <v>5.8337384540594233</v>
      </c>
      <c r="X93" s="194">
        <f>IFERROR(INDEX('Ashed teabags dry'!$K$2:$K$2000,MATCH(I93,'Ashed teabags dry'!$A$2:$A$2000,0)),"")</f>
        <v>2.4777006937559349</v>
      </c>
      <c r="Y93" s="194">
        <f t="shared" si="2"/>
        <v>1.5255876033057831</v>
      </c>
      <c r="Z93" s="194">
        <f t="shared" si="2"/>
        <v>1.791289593657091</v>
      </c>
      <c r="AA93" s="194">
        <f t="shared" si="8"/>
        <v>6.1915696531351982E-2</v>
      </c>
      <c r="AB93" s="194">
        <f t="shared" si="9"/>
        <v>4.0590812927917212E-2</v>
      </c>
      <c r="AC93" s="194">
        <f t="shared" si="3"/>
        <v>0.93089332475237641</v>
      </c>
      <c r="AD93">
        <f t="shared" si="10"/>
        <v>71</v>
      </c>
      <c r="AE93" s="194">
        <f t="shared" si="11"/>
        <v>0.92646591860884564</v>
      </c>
      <c r="AF93" s="194" t="str">
        <f t="shared" si="12"/>
        <v/>
      </c>
      <c r="AG93" s="245" t="str">
        <f>IF(ISNUMBER(SEARCH("C", 'Dry_Litterbag Placem_Collection'!$T20)),"YES","NO")</f>
        <v>NO</v>
      </c>
      <c r="AH93" s="245" t="str">
        <f>IF(ISNUMBER(SEARCH("H", 'Dry_Litterbag Placem_Collection'!$T20)),"YES","NO")</f>
        <v>YES</v>
      </c>
      <c r="AI93" s="245" t="str">
        <f>IF(ISNUMBER(SEARCH("R", 'Dry_Litterbag Placem_Collection'!$T20)),"YES","NO")</f>
        <v>NO</v>
      </c>
      <c r="AJ93" s="245" t="str">
        <f>IF(ISNUMBER(SEARCH("C", 'Dry_Litterbag Placem_Collection'!$S20)),"YES","NO")</f>
        <v>NO</v>
      </c>
      <c r="AK93" s="245" t="str">
        <f>IF(ISNUMBER(SEARCH("H", 'Dry_Litterbag Placem_Collection'!$S20)),"YES","NO")</f>
        <v>NO</v>
      </c>
      <c r="AL93" s="245" t="str">
        <f>IF(ISNUMBER(SEARCH("R", 'Dry_Litterbag Placem_Collection'!$S20)),"YES","NO")</f>
        <v>NO</v>
      </c>
    </row>
    <row r="94" spans="2:38">
      <c r="B94" t="str">
        <f>Dryseason!B20</f>
        <v>Dry</v>
      </c>
      <c r="C94" s="253">
        <f>Dryseason!C20</f>
        <v>19</v>
      </c>
      <c r="D94" t="s">
        <v>3104</v>
      </c>
      <c r="E94" t="s">
        <v>22</v>
      </c>
      <c r="F94" s="374">
        <v>3</v>
      </c>
      <c r="G94" s="16">
        <f>IF('Dry_Litterbag Placem_Collection'!E21="","",'Dry_Litterbag Placem_Collection'!E21)</f>
        <v>42936</v>
      </c>
      <c r="H94" t="str">
        <f>Dryseason!L20</f>
        <v>G190</v>
      </c>
      <c r="I94" t="str">
        <f>Dryseason!L240</f>
        <v>R749</v>
      </c>
      <c r="J94">
        <f>IFERROR(INDEX('Green_rooibos initial weight'!$C$5:$C$2000,MATCH(H94, 'Green_rooibos initial weight'!$A$5:$A$2000,0)),"")</f>
        <v>1.909</v>
      </c>
      <c r="K94">
        <f>IFERROR(INDEX('Green_rooibos initial weight'!$C$5:$C$2000,MATCH(I94, 'Green_rooibos initial weight'!$A$5:$A$2000,0)),"")</f>
        <v>2.2050000000000001</v>
      </c>
      <c r="L94" s="194">
        <f t="shared" si="4"/>
        <v>1.6592</v>
      </c>
      <c r="M94" s="233">
        <f>AVERAGE(Ashed_controlls!$K$1:$K$11)</f>
        <v>5.5147656768714146</v>
      </c>
      <c r="N94" s="194">
        <f t="shared" si="0"/>
        <v>1.5676990078893496</v>
      </c>
      <c r="O94" s="194">
        <f t="shared" si="5"/>
        <v>1.9552</v>
      </c>
      <c r="P94" s="233">
        <f>AVERAGE(Ashed_controlls!$K$12:$K$14)</f>
        <v>2.2816647271287041</v>
      </c>
      <c r="Q94" s="194">
        <f t="shared" si="1"/>
        <v>1.9105888912551796</v>
      </c>
      <c r="R94" s="16">
        <f>IF('Dry_Litterbag Placem_Collection'!G21="","",'Dry_Litterbag Placem_Collection'!G21)</f>
        <v>43007</v>
      </c>
      <c r="S94" s="194">
        <f>IFERROR(INDEX('Both teabags AfterDry'!$D$3:$D$2000,MATCH(H94,'Both teabags AfterDry'!$A$3:$A$2000,0)),"")</f>
        <v>1.7041999999999999</v>
      </c>
      <c r="T94" s="194">
        <f>IFERROR(INDEX('Both teabags AfterDry'!$D$3:$D$2000,MATCH(I94,'Both teabags AfterDry'!$A$3:$A$2000,0)),"")</f>
        <v>1.9492</v>
      </c>
      <c r="U94" s="194">
        <f t="shared" si="6"/>
        <v>1.5535999999999999</v>
      </c>
      <c r="V94" s="194">
        <f t="shared" si="7"/>
        <v>1.7986</v>
      </c>
      <c r="W94" s="194">
        <f>IFERROR(INDEX('Ashed teabags dry'!$K$2:$K$2000,MATCH(H94,'Ashed teabags dry'!$A$2:$A$2000,0)),"")</f>
        <v>6.0311284046705405</v>
      </c>
      <c r="X94" s="194">
        <f>IFERROR(INDEX('Ashed teabags dry'!$K$2:$K$2000,MATCH(I94,'Ashed teabags dry'!$A$2:$A$2000,0)),"")</f>
        <v>3.2445520581110632</v>
      </c>
      <c r="Y94" s="194">
        <f t="shared" si="2"/>
        <v>1.4599003891050384</v>
      </c>
      <c r="Z94" s="194">
        <f t="shared" si="2"/>
        <v>1.7402434866828145</v>
      </c>
      <c r="AA94" s="194">
        <f t="shared" si="8"/>
        <v>6.8762318686062307E-2</v>
      </c>
      <c r="AB94" s="194">
        <f t="shared" si="9"/>
        <v>4.5079334815565759E-2</v>
      </c>
      <c r="AC94" s="194">
        <f t="shared" si="3"/>
        <v>0.91084141368557048</v>
      </c>
      <c r="AD94">
        <f t="shared" si="10"/>
        <v>71</v>
      </c>
      <c r="AE94" s="194">
        <f t="shared" si="11"/>
        <v>0.91833453837759826</v>
      </c>
      <c r="AF94" s="194" t="str">
        <f t="shared" si="12"/>
        <v/>
      </c>
      <c r="AG94" s="245" t="str">
        <f>IF(ISNUMBER(SEARCH("C", 'Dry_Litterbag Placem_Collection'!$T21)),"YES","NO")</f>
        <v>NO</v>
      </c>
      <c r="AH94" s="245" t="str">
        <f>IF(ISNUMBER(SEARCH("H", 'Dry_Litterbag Placem_Collection'!$T21)),"YES","NO")</f>
        <v>NO</v>
      </c>
      <c r="AI94" s="245" t="str">
        <f>IF(ISNUMBER(SEARCH("R", 'Dry_Litterbag Placem_Collection'!$T21)),"YES","NO")</f>
        <v>NO</v>
      </c>
      <c r="AJ94" s="245" t="str">
        <f>IF(ISNUMBER(SEARCH("C", 'Dry_Litterbag Placem_Collection'!$S21)),"YES","NO")</f>
        <v>NO</v>
      </c>
      <c r="AK94" s="245" t="str">
        <f>IF(ISNUMBER(SEARCH("H", 'Dry_Litterbag Placem_Collection'!$S21)),"YES","NO")</f>
        <v>YES</v>
      </c>
      <c r="AL94" s="245" t="str">
        <f>IF(ISNUMBER(SEARCH("R", 'Dry_Litterbag Placem_Collection'!$S21)),"YES","NO")</f>
        <v>NO</v>
      </c>
    </row>
    <row r="95" spans="2:38">
      <c r="B95" t="str">
        <f>Dryseason!B21</f>
        <v>Dry</v>
      </c>
      <c r="C95" s="253">
        <f>Dryseason!C21</f>
        <v>20</v>
      </c>
      <c r="D95" t="s">
        <v>3104</v>
      </c>
      <c r="E95" t="s">
        <v>22</v>
      </c>
      <c r="F95" s="375">
        <v>4</v>
      </c>
      <c r="G95" s="16">
        <f>IF('Dry_Litterbag Placem_Collection'!E22="","",'Dry_Litterbag Placem_Collection'!E22)</f>
        <v>42936</v>
      </c>
      <c r="H95" t="str">
        <f>Dryseason!L21</f>
        <v>G38</v>
      </c>
      <c r="I95" t="str">
        <f>Dryseason!L241</f>
        <v>R632</v>
      </c>
      <c r="J95">
        <f>IFERROR(INDEX('Green_rooibos initial weight'!$C$5:$C$2000,MATCH(H95, 'Green_rooibos initial weight'!$A$5:$A$2000,0)),"")</f>
        <v>1.93</v>
      </c>
      <c r="K95">
        <f>IFERROR(INDEX('Green_rooibos initial weight'!$C$5:$C$2000,MATCH(I95, 'Green_rooibos initial weight'!$A$5:$A$2000,0)),"")</f>
        <v>2.1269999999999998</v>
      </c>
      <c r="L95" s="194">
        <f t="shared" si="4"/>
        <v>1.6801999999999999</v>
      </c>
      <c r="M95" s="233">
        <f>AVERAGE(Ashed_controlls!$K$1:$K$11)</f>
        <v>5.5147656768714146</v>
      </c>
      <c r="N95" s="194">
        <f t="shared" si="0"/>
        <v>1.5875409070972064</v>
      </c>
      <c r="O95" s="194">
        <f t="shared" si="5"/>
        <v>1.8771999999999998</v>
      </c>
      <c r="P95" s="233">
        <f>AVERAGE(Ashed_controlls!$K$12:$K$14)</f>
        <v>2.2816647271287041</v>
      </c>
      <c r="Q95" s="194">
        <f t="shared" si="1"/>
        <v>1.8343685897423396</v>
      </c>
      <c r="R95" s="16">
        <f>IF('Dry_Litterbag Placem_Collection'!G22="","",'Dry_Litterbag Placem_Collection'!G22)</f>
        <v>43007</v>
      </c>
      <c r="S95" s="194">
        <f>IFERROR(INDEX('Both teabags AfterDry'!$D$3:$D$2000,MATCH(H95,'Both teabags AfterDry'!$A$3:$A$2000,0)),"")</f>
        <v>1.6738</v>
      </c>
      <c r="T95" s="194">
        <f>IFERROR(INDEX('Both teabags AfterDry'!$D$3:$D$2000,MATCH(I95,'Both teabags AfterDry'!$A$3:$A$2000,0)),"")</f>
        <v>1.9161999999999999</v>
      </c>
      <c r="U95" s="194">
        <f t="shared" si="6"/>
        <v>1.5231999999999999</v>
      </c>
      <c r="V95" s="194">
        <f t="shared" si="7"/>
        <v>1.7655999999999998</v>
      </c>
      <c r="W95" s="194">
        <f>IFERROR(INDEX('Ashed teabags dry'!$K$2:$K$2000,MATCH(H95,'Ashed teabags dry'!$A$2:$A$2000,0)),"")</f>
        <v>6.723084156088639</v>
      </c>
      <c r="X95" s="194">
        <f>IFERROR(INDEX('Ashed teabags dry'!$K$2:$K$2000,MATCH(I95,'Ashed teabags dry'!$A$2:$A$2000,0)),"")</f>
        <v>3.0104712041882107</v>
      </c>
      <c r="Y95" s="194">
        <f t="shared" si="2"/>
        <v>1.4207939821344577</v>
      </c>
      <c r="Z95" s="194">
        <f t="shared" si="2"/>
        <v>1.7124471204188527</v>
      </c>
      <c r="AA95" s="194">
        <f t="shared" si="8"/>
        <v>0.10503472648628809</v>
      </c>
      <c r="AB95" s="194">
        <f t="shared" si="9"/>
        <v>6.8858870570583167E-2</v>
      </c>
      <c r="AC95" s="194">
        <f t="shared" si="3"/>
        <v>0.93353491222796592</v>
      </c>
      <c r="AD95">
        <f t="shared" si="10"/>
        <v>71</v>
      </c>
      <c r="AE95" s="194">
        <f t="shared" si="11"/>
        <v>0.87525566925618992</v>
      </c>
      <c r="AF95" s="194">
        <f t="shared" si="12"/>
        <v>4.7312453244476721E-2</v>
      </c>
      <c r="AG95" s="245" t="str">
        <f>IF(ISNUMBER(SEARCH("C", 'Dry_Litterbag Placem_Collection'!$T22)),"YES","NO")</f>
        <v>NO</v>
      </c>
      <c r="AH95" s="245" t="str">
        <f>IF(ISNUMBER(SEARCH("H", 'Dry_Litterbag Placem_Collection'!$T22)),"YES","NO")</f>
        <v>NO</v>
      </c>
      <c r="AI95" s="245" t="str">
        <f>IF(ISNUMBER(SEARCH("R", 'Dry_Litterbag Placem_Collection'!$T22)),"YES","NO")</f>
        <v>NO</v>
      </c>
      <c r="AJ95" s="245" t="str">
        <f>IF(ISNUMBER(SEARCH("C", 'Dry_Litterbag Placem_Collection'!$S22)),"YES","NO")</f>
        <v>NO</v>
      </c>
      <c r="AK95" s="245" t="str">
        <f>IF(ISNUMBER(SEARCH("H", 'Dry_Litterbag Placem_Collection'!$S22)),"YES","NO")</f>
        <v>YES</v>
      </c>
      <c r="AL95" s="245" t="str">
        <f>IF(ISNUMBER(SEARCH("R", 'Dry_Litterbag Placem_Collection'!$S22)),"YES","NO")</f>
        <v>NO</v>
      </c>
    </row>
    <row r="96" spans="2:38">
      <c r="B96" t="str">
        <f>Dryseason!B22</f>
        <v>Dry</v>
      </c>
      <c r="C96" s="253">
        <f>Dryseason!C22</f>
        <v>21</v>
      </c>
      <c r="D96" t="s">
        <v>3104</v>
      </c>
      <c r="E96" t="s">
        <v>22</v>
      </c>
      <c r="F96" s="375">
        <v>5</v>
      </c>
      <c r="G96" s="16">
        <f>IF('Dry_Litterbag Placem_Collection'!E23="","",'Dry_Litterbag Placem_Collection'!E23)</f>
        <v>42936</v>
      </c>
      <c r="H96" t="str">
        <f>Dryseason!L22</f>
        <v>G468</v>
      </c>
      <c r="I96" t="str">
        <f>Dryseason!L242</f>
        <v>R630</v>
      </c>
      <c r="J96">
        <f>IFERROR(INDEX('Green_rooibos initial weight'!$C$5:$C$2000,MATCH(H96, 'Green_rooibos initial weight'!$A$5:$A$2000,0)),"")</f>
        <v>2.1309999999999998</v>
      </c>
      <c r="K96">
        <f>IFERROR(INDEX('Green_rooibos initial weight'!$C$5:$C$2000,MATCH(I96, 'Green_rooibos initial weight'!$A$5:$A$2000,0)),"")</f>
        <v>2.13</v>
      </c>
      <c r="L96" s="194">
        <f t="shared" si="4"/>
        <v>1.8811999999999998</v>
      </c>
      <c r="M96" s="233">
        <f>AVERAGE(Ashed_controlls!$K$1:$K$11)</f>
        <v>5.5147656768714146</v>
      </c>
      <c r="N96" s="194">
        <f t="shared" si="0"/>
        <v>1.7774562280866948</v>
      </c>
      <c r="O96" s="194">
        <f t="shared" si="5"/>
        <v>1.8801999999999999</v>
      </c>
      <c r="P96" s="233">
        <f>AVERAGE(Ashed_controlls!$K$12:$K$14)</f>
        <v>2.2816647271287041</v>
      </c>
      <c r="Q96" s="194">
        <f t="shared" si="1"/>
        <v>1.837300139800526</v>
      </c>
      <c r="R96" s="16">
        <f>IF('Dry_Litterbag Placem_Collection'!G23="","",'Dry_Litterbag Placem_Collection'!G23)</f>
        <v>43007</v>
      </c>
      <c r="S96" s="194" t="str">
        <f>IFERROR(INDEX('Both teabags AfterDry'!$D$3:$D$2000,MATCH(H96,'Both teabags AfterDry'!$A$3:$A$2000,0)),"")</f>
        <v/>
      </c>
      <c r="T96" s="194" t="str">
        <f>IFERROR(INDEX('Both teabags AfterDry'!$D$3:$D$2000,MATCH(I96,'Both teabags AfterDry'!$A$3:$A$2000,0)),"")</f>
        <v/>
      </c>
      <c r="U96" s="194" t="str">
        <f t="shared" si="6"/>
        <v/>
      </c>
      <c r="V96" s="194" t="str">
        <f t="shared" si="7"/>
        <v/>
      </c>
      <c r="W96" s="194" t="str">
        <f>IFERROR(INDEX('Ashed teabags dry'!$K$2:$K$2000,MATCH(H96,'Ashed teabags dry'!$A$2:$A$2000,0)),"")</f>
        <v/>
      </c>
      <c r="X96" s="194" t="str">
        <f>IFERROR(INDEX('Ashed teabags dry'!$K$2:$K$2000,MATCH(I96,'Ashed teabags dry'!$A$2:$A$2000,0)),"")</f>
        <v/>
      </c>
      <c r="Y96" s="194" t="str">
        <f t="shared" si="2"/>
        <v/>
      </c>
      <c r="Z96" s="194" t="str">
        <f t="shared" si="2"/>
        <v/>
      </c>
      <c r="AA96" s="194" t="str">
        <f t="shared" si="8"/>
        <v/>
      </c>
      <c r="AB96" s="194" t="str">
        <f t="shared" si="9"/>
        <v/>
      </c>
      <c r="AC96" s="194" t="str">
        <f t="shared" si="3"/>
        <v/>
      </c>
      <c r="AD96">
        <f t="shared" si="10"/>
        <v>71</v>
      </c>
      <c r="AE96" s="194" t="str">
        <f t="shared" si="11"/>
        <v/>
      </c>
      <c r="AF96" s="194" t="str">
        <f t="shared" si="12"/>
        <v/>
      </c>
      <c r="AG96" s="245" t="str">
        <f>IF(ISNUMBER(SEARCH("C", 'Dry_Litterbag Placem_Collection'!$T23)),"YES","NO")</f>
        <v>NO</v>
      </c>
      <c r="AH96" s="245" t="str">
        <f>IF(ISNUMBER(SEARCH("H", 'Dry_Litterbag Placem_Collection'!$T23)),"YES","NO")</f>
        <v>NO</v>
      </c>
      <c r="AI96" s="245" t="str">
        <f>IF(ISNUMBER(SEARCH("R", 'Dry_Litterbag Placem_Collection'!$T23)),"YES","NO")</f>
        <v>NO</v>
      </c>
      <c r="AJ96" s="245" t="str">
        <f>IF(ISNUMBER(SEARCH("C", 'Dry_Litterbag Placem_Collection'!$S23)),"YES","NO")</f>
        <v>NO</v>
      </c>
      <c r="AK96" s="245" t="str">
        <f>IF(ISNUMBER(SEARCH("H", 'Dry_Litterbag Placem_Collection'!$S23)),"YES","NO")</f>
        <v>NO</v>
      </c>
      <c r="AL96" s="245" t="str">
        <f>IF(ISNUMBER(SEARCH("R", 'Dry_Litterbag Placem_Collection'!$S23)),"YES","NO")</f>
        <v>NO</v>
      </c>
    </row>
    <row r="97" spans="2:38">
      <c r="B97" t="str">
        <f>Dryseason!B23</f>
        <v>Dry</v>
      </c>
      <c r="C97" s="253">
        <f>Dryseason!C23</f>
        <v>22</v>
      </c>
      <c r="D97" t="s">
        <v>3104</v>
      </c>
      <c r="E97" t="s">
        <v>22</v>
      </c>
      <c r="F97" s="375">
        <v>6</v>
      </c>
      <c r="G97" s="16">
        <f>IF('Dry_Litterbag Placem_Collection'!E24="","",'Dry_Litterbag Placem_Collection'!E24)</f>
        <v>42936</v>
      </c>
      <c r="H97" t="str">
        <f>Dryseason!L23</f>
        <v>G8</v>
      </c>
      <c r="I97" t="str">
        <f>Dryseason!L243</f>
        <v>R723</v>
      </c>
      <c r="J97">
        <f>IFERROR(INDEX('Green_rooibos initial weight'!$C$5:$C$2000,MATCH(H97, 'Green_rooibos initial weight'!$A$5:$A$2000,0)),"")</f>
        <v>2.0209999999999999</v>
      </c>
      <c r="K97">
        <f>IFERROR(INDEX('Green_rooibos initial weight'!$C$5:$C$2000,MATCH(I97, 'Green_rooibos initial weight'!$A$5:$A$2000,0)),"")</f>
        <v>2.2559999999999998</v>
      </c>
      <c r="L97" s="194">
        <f t="shared" si="4"/>
        <v>1.7711999999999999</v>
      </c>
      <c r="M97" s="233">
        <f>AVERAGE(Ashed_controlls!$K$1:$K$11)</f>
        <v>5.5147656768714146</v>
      </c>
      <c r="N97" s="194">
        <f t="shared" si="0"/>
        <v>1.6735224703312535</v>
      </c>
      <c r="O97" s="194">
        <f t="shared" si="5"/>
        <v>2.0061999999999998</v>
      </c>
      <c r="P97" s="233">
        <f>AVERAGE(Ashed_controlls!$K$12:$K$14)</f>
        <v>2.2816647271287041</v>
      </c>
      <c r="Q97" s="194">
        <f t="shared" si="1"/>
        <v>1.9604252422443438</v>
      </c>
      <c r="R97" s="16">
        <f>IF('Dry_Litterbag Placem_Collection'!G24="","",'Dry_Litterbag Placem_Collection'!G24)</f>
        <v>43007</v>
      </c>
      <c r="S97" s="194">
        <f>IFERROR(INDEX('Both teabags AfterDry'!$D$3:$D$2000,MATCH(H97,'Both teabags AfterDry'!$A$3:$A$2000,0)),"")</f>
        <v>1.4722999999999999</v>
      </c>
      <c r="T97" s="194">
        <f>IFERROR(INDEX('Both teabags AfterDry'!$D$3:$D$2000,MATCH(I97,'Both teabags AfterDry'!$A$3:$A$2000,0)),"")</f>
        <v>1.8997999999999999</v>
      </c>
      <c r="U97" s="194">
        <f t="shared" si="6"/>
        <v>1.3216999999999999</v>
      </c>
      <c r="V97" s="194">
        <f t="shared" si="7"/>
        <v>1.7491999999999999</v>
      </c>
      <c r="W97" s="194">
        <f>IFERROR(INDEX('Ashed teabags dry'!$K$2:$K$2000,MATCH(H97,'Ashed teabags dry'!$A$2:$A$2000,0)),"")</f>
        <v>8.7882822902793247</v>
      </c>
      <c r="X97" s="194">
        <f>IFERROR(INDEX('Ashed teabags dry'!$K$2:$K$2000,MATCH(I97,'Ashed teabags dry'!$A$2:$A$2000,0)),"")</f>
        <v>3.508771929824448</v>
      </c>
      <c r="Y97" s="194">
        <f t="shared" si="2"/>
        <v>1.2055452729693781</v>
      </c>
      <c r="Z97" s="194">
        <f t="shared" si="2"/>
        <v>1.6878245614035106</v>
      </c>
      <c r="AA97" s="194">
        <f t="shared" si="8"/>
        <v>0.27963604054222524</v>
      </c>
      <c r="AB97" s="194">
        <f t="shared" si="9"/>
        <v>0.18332434011794338</v>
      </c>
      <c r="AC97" s="194">
        <f t="shared" si="3"/>
        <v>0.86094818870585799</v>
      </c>
      <c r="AD97">
        <f t="shared" si="10"/>
        <v>71</v>
      </c>
      <c r="AE97" s="194">
        <f t="shared" si="11"/>
        <v>0.6678906881921316</v>
      </c>
      <c r="AF97" s="194">
        <f t="shared" si="12"/>
        <v>2.001257136053796E-2</v>
      </c>
      <c r="AG97" s="245" t="str">
        <f>IF(ISNUMBER(SEARCH("C", 'Dry_Litterbag Placem_Collection'!$T24)),"YES","NO")</f>
        <v>NO</v>
      </c>
      <c r="AH97" s="245" t="str">
        <f>IF(ISNUMBER(SEARCH("H", 'Dry_Litterbag Placem_Collection'!$T24)),"YES","NO")</f>
        <v>YES</v>
      </c>
      <c r="AI97" s="245" t="str">
        <f>IF(ISNUMBER(SEARCH("R", 'Dry_Litterbag Placem_Collection'!$T24)),"YES","NO")</f>
        <v>NO</v>
      </c>
      <c r="AJ97" s="245" t="str">
        <f>IF(ISNUMBER(SEARCH("C", 'Dry_Litterbag Placem_Collection'!$S24)),"YES","NO")</f>
        <v>NO</v>
      </c>
      <c r="AK97" s="245" t="str">
        <f>IF(ISNUMBER(SEARCH("H", 'Dry_Litterbag Placem_Collection'!$S24)),"YES","NO")</f>
        <v>NO</v>
      </c>
      <c r="AL97" s="245" t="str">
        <f>IF(ISNUMBER(SEARCH("R", 'Dry_Litterbag Placem_Collection'!$S24)),"YES","NO")</f>
        <v>NO</v>
      </c>
    </row>
    <row r="98" spans="2:38">
      <c r="B98" t="str">
        <f>Dryseason!B24</f>
        <v>Dry</v>
      </c>
      <c r="C98" s="253">
        <f>Dryseason!C24</f>
        <v>23</v>
      </c>
      <c r="D98" t="s">
        <v>3104</v>
      </c>
      <c r="E98" t="s">
        <v>22</v>
      </c>
      <c r="F98" s="375">
        <v>7</v>
      </c>
      <c r="G98" s="16" t="str">
        <f>IF('Dry_Litterbag Placem_Collection'!E25="","",'Dry_Litterbag Placem_Collection'!E25)</f>
        <v/>
      </c>
      <c r="H98" t="str">
        <f>Dryseason!L24</f>
        <v/>
      </c>
      <c r="I98" t="str">
        <f>Dryseason!L244</f>
        <v/>
      </c>
      <c r="J98" t="str">
        <f>IFERROR(INDEX('Green_rooibos initial weight'!$C$5:$C$2000,MATCH(H98, 'Green_rooibos initial weight'!$A$5:$A$2000,0)),"")</f>
        <v/>
      </c>
      <c r="K98" t="str">
        <f>IFERROR(INDEX('Green_rooibos initial weight'!$C$5:$C$2000,MATCH(I98, 'Green_rooibos initial weight'!$A$5:$A$2000,0)),"")</f>
        <v/>
      </c>
      <c r="L98" s="194" t="str">
        <f t="shared" si="4"/>
        <v/>
      </c>
      <c r="M98" s="233">
        <f>AVERAGE(Ashed_controlls!$K$1:$K$11)</f>
        <v>5.5147656768714146</v>
      </c>
      <c r="N98" s="194" t="str">
        <f t="shared" si="0"/>
        <v/>
      </c>
      <c r="O98" s="194" t="str">
        <f t="shared" si="5"/>
        <v/>
      </c>
      <c r="P98" s="233">
        <f>AVERAGE(Ashed_controlls!$K$12:$K$14)</f>
        <v>2.2816647271287041</v>
      </c>
      <c r="Q98" s="194" t="str">
        <f t="shared" si="1"/>
        <v/>
      </c>
      <c r="R98" s="16" t="str">
        <f>IF('Dry_Litterbag Placem_Collection'!G25="","",'Dry_Litterbag Placem_Collection'!G25)</f>
        <v/>
      </c>
      <c r="S98" s="194" t="str">
        <f>IFERROR(INDEX('Both teabags AfterDry'!$D$3:$D$2000,MATCH(H98,'Both teabags AfterDry'!$A$3:$A$2000,0)),"")</f>
        <v/>
      </c>
      <c r="T98" s="194" t="str">
        <f>IFERROR(INDEX('Both teabags AfterDry'!$D$3:$D$2000,MATCH(I98,'Both teabags AfterDry'!$A$3:$A$2000,0)),"")</f>
        <v/>
      </c>
      <c r="U98" s="194" t="str">
        <f t="shared" si="6"/>
        <v/>
      </c>
      <c r="V98" s="194" t="str">
        <f t="shared" si="7"/>
        <v/>
      </c>
      <c r="W98" s="194" t="str">
        <f>IFERROR(INDEX('Ashed teabags dry'!$K$2:$K$2000,MATCH(H98,'Ashed teabags dry'!$A$2:$A$2000,0)),"")</f>
        <v/>
      </c>
      <c r="X98" s="194" t="str">
        <f>IFERROR(INDEX('Ashed teabags dry'!$K$2:$K$2000,MATCH(I98,'Ashed teabags dry'!$A$2:$A$2000,0)),"")</f>
        <v/>
      </c>
      <c r="Y98" s="194" t="str">
        <f t="shared" si="2"/>
        <v/>
      </c>
      <c r="Z98" s="194" t="str">
        <f t="shared" si="2"/>
        <v/>
      </c>
      <c r="AA98" s="194" t="str">
        <f t="shared" si="8"/>
        <v/>
      </c>
      <c r="AB98" s="194" t="str">
        <f t="shared" si="9"/>
        <v/>
      </c>
      <c r="AC98" s="194" t="str">
        <f t="shared" si="3"/>
        <v/>
      </c>
      <c r="AD98" t="str">
        <f t="shared" si="10"/>
        <v/>
      </c>
      <c r="AE98" s="194" t="str">
        <f t="shared" si="11"/>
        <v/>
      </c>
      <c r="AF98" s="194" t="str">
        <f t="shared" si="12"/>
        <v/>
      </c>
      <c r="AG98" s="245" t="str">
        <f>IF(ISNUMBER(SEARCH("C", 'Dry_Litterbag Placem_Collection'!$T25)),"YES","NO")</f>
        <v>NO</v>
      </c>
      <c r="AH98" s="245" t="str">
        <f>IF(ISNUMBER(SEARCH("H", 'Dry_Litterbag Placem_Collection'!$T25)),"YES","NO")</f>
        <v>NO</v>
      </c>
      <c r="AI98" s="245" t="str">
        <f>IF(ISNUMBER(SEARCH("R", 'Dry_Litterbag Placem_Collection'!$T25)),"YES","NO")</f>
        <v>NO</v>
      </c>
      <c r="AJ98" s="245" t="str">
        <f>IF(ISNUMBER(SEARCH("C", 'Dry_Litterbag Placem_Collection'!$S25)),"YES","NO")</f>
        <v>NO</v>
      </c>
      <c r="AK98" s="245" t="str">
        <f>IF(ISNUMBER(SEARCH("H", 'Dry_Litterbag Placem_Collection'!$S25)),"YES","NO")</f>
        <v>NO</v>
      </c>
      <c r="AL98" s="245" t="str">
        <f>IF(ISNUMBER(SEARCH("R", 'Dry_Litterbag Placem_Collection'!$S25)),"YES","NO")</f>
        <v>NO</v>
      </c>
    </row>
    <row r="99" spans="2:38">
      <c r="B99" t="str">
        <f>Dryseason!B25</f>
        <v>Dry</v>
      </c>
      <c r="C99" s="253">
        <f>Dryseason!C25</f>
        <v>24</v>
      </c>
      <c r="D99" t="s">
        <v>3104</v>
      </c>
      <c r="E99" t="s">
        <v>22</v>
      </c>
      <c r="F99" s="375">
        <v>8</v>
      </c>
      <c r="G99" s="16">
        <f>IF('Dry_Litterbag Placem_Collection'!E26="","",'Dry_Litterbag Placem_Collection'!E26)</f>
        <v>42936</v>
      </c>
      <c r="H99" t="str">
        <f>Dryseason!L25</f>
        <v>G320</v>
      </c>
      <c r="I99" t="str">
        <f>Dryseason!L245</f>
        <v>R225</v>
      </c>
      <c r="J99">
        <f>IFERROR(INDEX('Green_rooibos initial weight'!$C$5:$C$2000,MATCH(H99, 'Green_rooibos initial weight'!$A$5:$A$2000,0)),"")</f>
        <v>2.044</v>
      </c>
      <c r="K99">
        <f>IFERROR(INDEX('Green_rooibos initial weight'!$C$5:$C$2000,MATCH(I99, 'Green_rooibos initial weight'!$A$5:$A$2000,0)),"")</f>
        <v>2.214</v>
      </c>
      <c r="L99" s="194">
        <f t="shared" si="4"/>
        <v>1.7942</v>
      </c>
      <c r="M99" s="233">
        <f>AVERAGE(Ashed_controlls!$K$1:$K$11)</f>
        <v>5.5147656768714146</v>
      </c>
      <c r="N99" s="194">
        <f t="shared" si="0"/>
        <v>1.6952540742255731</v>
      </c>
      <c r="O99" s="194">
        <f t="shared" si="5"/>
        <v>1.9641999999999999</v>
      </c>
      <c r="P99" s="233">
        <f>AVERAGE(Ashed_controlls!$K$12:$K$14)</f>
        <v>2.2816647271287041</v>
      </c>
      <c r="Q99" s="194">
        <f t="shared" si="1"/>
        <v>1.919383541429738</v>
      </c>
      <c r="R99" s="16">
        <f>IF('Dry_Litterbag Placem_Collection'!G26="","",'Dry_Litterbag Placem_Collection'!G26)</f>
        <v>43007</v>
      </c>
      <c r="S99" s="194">
        <f>IFERROR(INDEX('Both teabags AfterDry'!$D$3:$D$2000,MATCH(H99,'Both teabags AfterDry'!$A$3:$A$2000,0)),"")</f>
        <v>1.7525999999999999</v>
      </c>
      <c r="T99" s="194">
        <f>IFERROR(INDEX('Both teabags AfterDry'!$D$3:$D$2000,MATCH(I99,'Both teabags AfterDry'!$A$3:$A$2000,0)),"")</f>
        <v>1.9572000000000001</v>
      </c>
      <c r="U99" s="194">
        <f t="shared" si="6"/>
        <v>1.6019999999999999</v>
      </c>
      <c r="V99" s="194">
        <f t="shared" si="7"/>
        <v>1.8066</v>
      </c>
      <c r="W99" s="194">
        <f>IFERROR(INDEX('Ashed teabags dry'!$K$2:$K$2000,MATCH(H99,'Ashed teabags dry'!$A$2:$A$2000,0)),"")</f>
        <v>6.2730627306273838</v>
      </c>
      <c r="X99" s="194">
        <f>IFERROR(INDEX('Ashed teabags dry'!$K$2:$K$2000,MATCH(I99,'Ashed teabags dry'!$A$2:$A$2000,0)),"")</f>
        <v>2.4928092042184851</v>
      </c>
      <c r="Y99" s="194">
        <f t="shared" si="2"/>
        <v>1.5015055350553492</v>
      </c>
      <c r="Z99" s="194">
        <f t="shared" si="2"/>
        <v>1.7615649089165888</v>
      </c>
      <c r="AA99" s="194">
        <f t="shared" si="8"/>
        <v>0.11428879134753422</v>
      </c>
      <c r="AB99" s="194">
        <f t="shared" si="9"/>
        <v>7.4925668436863324E-2</v>
      </c>
      <c r="AC99" s="194">
        <f t="shared" si="3"/>
        <v>0.91777639585489468</v>
      </c>
      <c r="AD99">
        <f t="shared" si="10"/>
        <v>71</v>
      </c>
      <c r="AE99" s="194">
        <f t="shared" si="11"/>
        <v>0.8642650934114795</v>
      </c>
      <c r="AF99" s="194" t="str">
        <f t="shared" si="12"/>
        <v/>
      </c>
      <c r="AG99" s="245" t="str">
        <f>IF(ISNUMBER(SEARCH("C", 'Dry_Litterbag Placem_Collection'!$T26)),"YES","NO")</f>
        <v>NO</v>
      </c>
      <c r="AH99" s="245" t="str">
        <f>IF(ISNUMBER(SEARCH("H", 'Dry_Litterbag Placem_Collection'!$T26)),"YES","NO")</f>
        <v>NO</v>
      </c>
      <c r="AI99" s="245" t="str">
        <f>IF(ISNUMBER(SEARCH("R", 'Dry_Litterbag Placem_Collection'!$T26)),"YES","NO")</f>
        <v>NO</v>
      </c>
      <c r="AJ99" s="245" t="str">
        <f>IF(ISNUMBER(SEARCH("C", 'Dry_Litterbag Placem_Collection'!$S26)),"YES","NO")</f>
        <v>NO</v>
      </c>
      <c r="AK99" s="245" t="str">
        <f>IF(ISNUMBER(SEARCH("H", 'Dry_Litterbag Placem_Collection'!$S26)),"YES","NO")</f>
        <v>NO</v>
      </c>
      <c r="AL99" s="245" t="str">
        <f>IF(ISNUMBER(SEARCH("R", 'Dry_Litterbag Placem_Collection'!$S26)),"YES","NO")</f>
        <v>NO</v>
      </c>
    </row>
    <row r="100" spans="2:38">
      <c r="B100" t="str">
        <f>Dryseason!B26</f>
        <v>Dry</v>
      </c>
      <c r="C100" s="253">
        <f>Dryseason!C26</f>
        <v>25</v>
      </c>
      <c r="D100" t="s">
        <v>3105</v>
      </c>
      <c r="E100" t="s">
        <v>22</v>
      </c>
      <c r="F100" s="374">
        <v>1</v>
      </c>
      <c r="G100" s="16">
        <f>IF('Dry_Litterbag Placem_Collection'!E27="","",'Dry_Litterbag Placem_Collection'!E27)</f>
        <v>42936</v>
      </c>
      <c r="H100" t="str">
        <f>Dryseason!L26</f>
        <v>G322</v>
      </c>
      <c r="I100" t="str">
        <f>Dryseason!L246</f>
        <v>R43</v>
      </c>
      <c r="J100">
        <f>IFERROR(INDEX('Green_rooibos initial weight'!$C$5:$C$2000,MATCH(H100, 'Green_rooibos initial weight'!$A$5:$A$2000,0)),"")</f>
        <v>2.0169999999999999</v>
      </c>
      <c r="K100">
        <f>IFERROR(INDEX('Green_rooibos initial weight'!$C$5:$C$2000,MATCH(I100, 'Green_rooibos initial weight'!$A$5:$A$2000,0)),"")</f>
        <v>2.2759999999999998</v>
      </c>
      <c r="L100" s="194">
        <f t="shared" si="4"/>
        <v>1.7671999999999999</v>
      </c>
      <c r="M100" s="233">
        <f>AVERAGE(Ashed_controlls!$K$1:$K$11)</f>
        <v>5.5147656768714146</v>
      </c>
      <c r="N100" s="194">
        <f t="shared" si="0"/>
        <v>1.6697430609583281</v>
      </c>
      <c r="O100" s="194">
        <f t="shared" si="5"/>
        <v>2.0261999999999998</v>
      </c>
      <c r="P100" s="233">
        <f>AVERAGE(Ashed_controlls!$K$12:$K$14)</f>
        <v>2.2816647271287041</v>
      </c>
      <c r="Q100" s="194">
        <f t="shared" si="1"/>
        <v>1.9799689092989179</v>
      </c>
      <c r="R100" s="16">
        <f>IF('Dry_Litterbag Placem_Collection'!G27="","",'Dry_Litterbag Placem_Collection'!G27)</f>
        <v>43007</v>
      </c>
      <c r="S100" s="194">
        <f>IFERROR(INDEX('Both teabags AfterDry'!$D$3:$D$2000,MATCH(H100,'Both teabags AfterDry'!$A$3:$A$2000,0)),"")</f>
        <v>1.8697999999999999</v>
      </c>
      <c r="T100" s="194">
        <f>IFERROR(INDEX('Both teabags AfterDry'!$D$3:$D$2000,MATCH(I100,'Both teabags AfterDry'!$A$3:$A$2000,0)),"")</f>
        <v>2.0165999999999999</v>
      </c>
      <c r="U100" s="194">
        <f t="shared" si="6"/>
        <v>1.7191999999999998</v>
      </c>
      <c r="V100" s="194">
        <f t="shared" si="7"/>
        <v>1.8659999999999999</v>
      </c>
      <c r="W100" s="194">
        <f>IFERROR(INDEX('Ashed teabags dry'!$K$2:$K$2000,MATCH(H100,'Ashed teabags dry'!$A$2:$A$2000,0)),"")</f>
        <v>6.1076102762959152</v>
      </c>
      <c r="X100" s="194">
        <f>IFERROR(INDEX('Ashed teabags dry'!$K$2:$K$2000,MATCH(I100,'Ashed teabags dry'!$A$2:$A$2000,0)),"")</f>
        <v>3.4160037435664092</v>
      </c>
      <c r="Y100" s="194">
        <f t="shared" si="2"/>
        <v>1.6141979641299204</v>
      </c>
      <c r="Z100" s="194">
        <f t="shared" si="2"/>
        <v>1.8022573701450506</v>
      </c>
      <c r="AA100" s="194">
        <f t="shared" si="8"/>
        <v>3.3265655134106842E-2</v>
      </c>
      <c r="AB100" s="194">
        <f t="shared" si="9"/>
        <v>2.1808362985780233E-2</v>
      </c>
      <c r="AC100" s="194">
        <f t="shared" si="3"/>
        <v>0.91024528803495575</v>
      </c>
      <c r="AD100">
        <f t="shared" si="10"/>
        <v>71</v>
      </c>
      <c r="AE100" s="194">
        <f t="shared" si="11"/>
        <v>0.96049209604025321</v>
      </c>
      <c r="AF100" s="194" t="str">
        <f t="shared" si="12"/>
        <v/>
      </c>
      <c r="AG100" s="245" t="str">
        <f>IF(ISNUMBER(SEARCH("C", 'Dry_Litterbag Placem_Collection'!$T27)),"YES","NO")</f>
        <v>NO</v>
      </c>
      <c r="AH100" s="245" t="str">
        <f>IF(ISNUMBER(SEARCH("H", 'Dry_Litterbag Placem_Collection'!$T27)),"YES","NO")</f>
        <v>NO</v>
      </c>
      <c r="AI100" s="245" t="str">
        <f>IF(ISNUMBER(SEARCH("R", 'Dry_Litterbag Placem_Collection'!$T27)),"YES","NO")</f>
        <v>NO</v>
      </c>
      <c r="AJ100" s="245" t="str">
        <f>IF(ISNUMBER(SEARCH("C", 'Dry_Litterbag Placem_Collection'!$S27)),"YES","NO")</f>
        <v>NO</v>
      </c>
      <c r="AK100" s="245" t="str">
        <f>IF(ISNUMBER(SEARCH("H", 'Dry_Litterbag Placem_Collection'!$S27)),"YES","NO")</f>
        <v>NO</v>
      </c>
      <c r="AL100" s="245" t="str">
        <f>IF(ISNUMBER(SEARCH("R", 'Dry_Litterbag Placem_Collection'!$S27)),"YES","NO")</f>
        <v>NO</v>
      </c>
    </row>
    <row r="101" spans="2:38">
      <c r="B101" t="str">
        <f>Dryseason!B27</f>
        <v>Dry</v>
      </c>
      <c r="C101" s="253">
        <f>Dryseason!C27</f>
        <v>26</v>
      </c>
      <c r="D101" t="s">
        <v>3105</v>
      </c>
      <c r="E101" t="s">
        <v>22</v>
      </c>
      <c r="F101" s="374">
        <v>2</v>
      </c>
      <c r="G101" s="16">
        <f>IF('Dry_Litterbag Placem_Collection'!E28="","",'Dry_Litterbag Placem_Collection'!E28)</f>
        <v>42936</v>
      </c>
      <c r="H101" t="str">
        <f>Dryseason!L27</f>
        <v>G58</v>
      </c>
      <c r="I101" t="str">
        <f>Dryseason!L247</f>
        <v>R602</v>
      </c>
      <c r="J101">
        <f>IFERROR(INDEX('Green_rooibos initial weight'!$C$5:$C$2000,MATCH(H101, 'Green_rooibos initial weight'!$A$5:$A$2000,0)),"")</f>
        <v>1.9370000000000001</v>
      </c>
      <c r="K101">
        <f>IFERROR(INDEX('Green_rooibos initial weight'!$C$5:$C$2000,MATCH(I101, 'Green_rooibos initial weight'!$A$5:$A$2000,0)),"")</f>
        <v>2.19</v>
      </c>
      <c r="L101" s="194">
        <f t="shared" si="4"/>
        <v>1.6872</v>
      </c>
      <c r="M101" s="233">
        <f>AVERAGE(Ashed_controlls!$K$1:$K$11)</f>
        <v>5.5147656768714146</v>
      </c>
      <c r="N101" s="194">
        <f t="shared" si="0"/>
        <v>1.5941548734998254</v>
      </c>
      <c r="O101" s="194">
        <f t="shared" si="5"/>
        <v>1.9401999999999999</v>
      </c>
      <c r="P101" s="233">
        <f>AVERAGE(Ashed_controlls!$K$12:$K$14)</f>
        <v>2.2816647271287041</v>
      </c>
      <c r="Q101" s="194">
        <f t="shared" si="1"/>
        <v>1.8959311409642488</v>
      </c>
      <c r="R101" s="16">
        <f>IF('Dry_Litterbag Placem_Collection'!G28="","",'Dry_Litterbag Placem_Collection'!G28)</f>
        <v>43007</v>
      </c>
      <c r="S101" s="194">
        <f>IFERROR(INDEX('Both teabags AfterDry'!$D$3:$D$2000,MATCH(H101,'Both teabags AfterDry'!$A$3:$A$2000,0)),"")</f>
        <v>1.7357</v>
      </c>
      <c r="T101" s="194">
        <f>IFERROR(INDEX('Both teabags AfterDry'!$D$3:$D$2000,MATCH(I101,'Both teabags AfterDry'!$A$3:$A$2000,0)),"")</f>
        <v>1.9849000000000001</v>
      </c>
      <c r="U101" s="194">
        <f t="shared" si="6"/>
        <v>1.5851</v>
      </c>
      <c r="V101" s="194">
        <f t="shared" si="7"/>
        <v>1.8343</v>
      </c>
      <c r="W101" s="194">
        <f>IFERROR(INDEX('Ashed teabags dry'!$K$2:$K$2000,MATCH(H101,'Ashed teabags dry'!$A$2:$A$2000,0)),"")</f>
        <v>5.724049551473775</v>
      </c>
      <c r="X101" s="194">
        <f>IFERROR(INDEX('Ashed teabags dry'!$K$2:$K$2000,MATCH(I101,'Ashed teabags dry'!$A$2:$A$2000,0)),"")</f>
        <v>2.2760290556907226</v>
      </c>
      <c r="Y101" s="194">
        <f t="shared" si="2"/>
        <v>1.4943680905595891</v>
      </c>
      <c r="Z101" s="194">
        <f t="shared" si="2"/>
        <v>1.7925507990314651</v>
      </c>
      <c r="AA101" s="194">
        <f t="shared" si="8"/>
        <v>6.2595413155287272E-2</v>
      </c>
      <c r="AB101" s="194">
        <f t="shared" si="9"/>
        <v>4.1036422876150336E-2</v>
      </c>
      <c r="AC101" s="194">
        <f t="shared" si="3"/>
        <v>0.94547252286799532</v>
      </c>
      <c r="AD101">
        <f t="shared" si="10"/>
        <v>71</v>
      </c>
      <c r="AE101" s="194">
        <f t="shared" si="11"/>
        <v>0.92565865420987259</v>
      </c>
      <c r="AF101" s="194" t="str">
        <f t="shared" si="12"/>
        <v/>
      </c>
      <c r="AG101" s="245" t="str">
        <f>IF(ISNUMBER(SEARCH("C", 'Dry_Litterbag Placem_Collection'!$T28)),"YES","NO")</f>
        <v>NO</v>
      </c>
      <c r="AH101" s="245" t="str">
        <f>IF(ISNUMBER(SEARCH("H", 'Dry_Litterbag Placem_Collection'!$T28)),"YES","NO")</f>
        <v>NO</v>
      </c>
      <c r="AI101" s="245" t="str">
        <f>IF(ISNUMBER(SEARCH("R", 'Dry_Litterbag Placem_Collection'!$T28)),"YES","NO")</f>
        <v>NO</v>
      </c>
      <c r="AJ101" s="245" t="str">
        <f>IF(ISNUMBER(SEARCH("C", 'Dry_Litterbag Placem_Collection'!$S28)),"YES","NO")</f>
        <v>NO</v>
      </c>
      <c r="AK101" s="245" t="str">
        <f>IF(ISNUMBER(SEARCH("H", 'Dry_Litterbag Placem_Collection'!$S28)),"YES","NO")</f>
        <v>NO</v>
      </c>
      <c r="AL101" s="245" t="str">
        <f>IF(ISNUMBER(SEARCH("R", 'Dry_Litterbag Placem_Collection'!$S28)),"YES","NO")</f>
        <v>NO</v>
      </c>
    </row>
    <row r="102" spans="2:38">
      <c r="B102" t="str">
        <f>Dryseason!B28</f>
        <v>Dry</v>
      </c>
      <c r="C102" s="253">
        <f>Dryseason!C28</f>
        <v>27</v>
      </c>
      <c r="D102" t="s">
        <v>3105</v>
      </c>
      <c r="E102" t="s">
        <v>22</v>
      </c>
      <c r="F102" s="374">
        <v>3</v>
      </c>
      <c r="G102" s="16">
        <f>IF('Dry_Litterbag Placem_Collection'!E29="","",'Dry_Litterbag Placem_Collection'!E29)</f>
        <v>42936</v>
      </c>
      <c r="H102" t="str">
        <f>Dryseason!L28</f>
        <v>G340</v>
      </c>
      <c r="I102" t="str">
        <f>Dryseason!L248</f>
        <v>R666</v>
      </c>
      <c r="J102">
        <f>IFERROR(INDEX('Green_rooibos initial weight'!$C$5:$C$2000,MATCH(H102, 'Green_rooibos initial weight'!$A$5:$A$2000,0)),"")</f>
        <v>2.0150000000000001</v>
      </c>
      <c r="K102">
        <f>IFERROR(INDEX('Green_rooibos initial weight'!$C$5:$C$2000,MATCH(I102, 'Green_rooibos initial weight'!$A$5:$A$2000,0)),"")</f>
        <v>2.15</v>
      </c>
      <c r="L102" s="194">
        <f t="shared" si="4"/>
        <v>1.7652000000000001</v>
      </c>
      <c r="M102" s="233">
        <f>AVERAGE(Ashed_controlls!$K$1:$K$11)</f>
        <v>5.5147656768714146</v>
      </c>
      <c r="N102" s="194">
        <f t="shared" si="0"/>
        <v>1.6678533562718658</v>
      </c>
      <c r="O102" s="194">
        <f t="shared" si="5"/>
        <v>1.9001999999999999</v>
      </c>
      <c r="P102" s="233">
        <f>AVERAGE(Ashed_controlls!$K$12:$K$14)</f>
        <v>2.2816647271287041</v>
      </c>
      <c r="Q102" s="194">
        <f t="shared" si="1"/>
        <v>1.8568438068551003</v>
      </c>
      <c r="R102" s="16">
        <f>IF('Dry_Litterbag Placem_Collection'!G29="","",'Dry_Litterbag Placem_Collection'!G29)</f>
        <v>43007</v>
      </c>
      <c r="S102" s="194" t="str">
        <f>IFERROR(INDEX('Both teabags AfterDry'!$D$3:$D$2000,MATCH(H102,'Both teabags AfterDry'!$A$3:$A$2000,0)),"")</f>
        <v/>
      </c>
      <c r="T102" s="194" t="str">
        <f>IFERROR(INDEX('Both teabags AfterDry'!$D$3:$D$2000,MATCH(I102,'Both teabags AfterDry'!$A$3:$A$2000,0)),"")</f>
        <v/>
      </c>
      <c r="U102" s="194" t="str">
        <f t="shared" si="6"/>
        <v/>
      </c>
      <c r="V102" s="194" t="str">
        <f t="shared" si="7"/>
        <v/>
      </c>
      <c r="W102" s="194" t="str">
        <f>IFERROR(INDEX('Ashed teabags dry'!$K$2:$K$2000,MATCH(H102,'Ashed teabags dry'!$A$2:$A$2000,0)),"")</f>
        <v/>
      </c>
      <c r="X102" s="194" t="str">
        <f>IFERROR(INDEX('Ashed teabags dry'!$K$2:$K$2000,MATCH(I102,'Ashed teabags dry'!$A$2:$A$2000,0)),"")</f>
        <v/>
      </c>
      <c r="Y102" s="194" t="str">
        <f t="shared" si="2"/>
        <v/>
      </c>
      <c r="Z102" s="194" t="str">
        <f t="shared" si="2"/>
        <v/>
      </c>
      <c r="AA102" s="194" t="str">
        <f t="shared" si="8"/>
        <v/>
      </c>
      <c r="AB102" s="194" t="str">
        <f t="shared" si="9"/>
        <v/>
      </c>
      <c r="AC102" s="194" t="str">
        <f t="shared" si="3"/>
        <v/>
      </c>
      <c r="AD102">
        <f t="shared" si="10"/>
        <v>71</v>
      </c>
      <c r="AE102" s="194" t="str">
        <f t="shared" si="11"/>
        <v/>
      </c>
      <c r="AF102" s="194" t="str">
        <f t="shared" si="12"/>
        <v/>
      </c>
      <c r="AG102" s="245" t="str">
        <f>IF(ISNUMBER(SEARCH("C", 'Dry_Litterbag Placem_Collection'!$T29)),"YES","NO")</f>
        <v>NO</v>
      </c>
      <c r="AH102" s="245" t="str">
        <f>IF(ISNUMBER(SEARCH("H", 'Dry_Litterbag Placem_Collection'!$T29)),"YES","NO")</f>
        <v>NO</v>
      </c>
      <c r="AI102" s="245" t="str">
        <f>IF(ISNUMBER(SEARCH("R", 'Dry_Litterbag Placem_Collection'!$T29)),"YES","NO")</f>
        <v>NO</v>
      </c>
      <c r="AJ102" s="245" t="str">
        <f>IF(ISNUMBER(SEARCH("C", 'Dry_Litterbag Placem_Collection'!$S29)),"YES","NO")</f>
        <v>NO</v>
      </c>
      <c r="AK102" s="245" t="str">
        <f>IF(ISNUMBER(SEARCH("H", 'Dry_Litterbag Placem_Collection'!$S29)),"YES","NO")</f>
        <v>NO</v>
      </c>
      <c r="AL102" s="245" t="str">
        <f>IF(ISNUMBER(SEARCH("R", 'Dry_Litterbag Placem_Collection'!$S29)),"YES","NO")</f>
        <v>NO</v>
      </c>
    </row>
    <row r="103" spans="2:38">
      <c r="B103" t="str">
        <f>Dryseason!B29</f>
        <v>Dry</v>
      </c>
      <c r="C103" s="253">
        <f>Dryseason!C29</f>
        <v>28</v>
      </c>
      <c r="D103" t="s">
        <v>3105</v>
      </c>
      <c r="E103" t="s">
        <v>22</v>
      </c>
      <c r="F103" s="375">
        <v>4</v>
      </c>
      <c r="G103" s="16">
        <f>IF('Dry_Litterbag Placem_Collection'!E30="","",'Dry_Litterbag Placem_Collection'!E30)</f>
        <v>42936</v>
      </c>
      <c r="H103" t="str">
        <f>Dryseason!L29</f>
        <v>G61</v>
      </c>
      <c r="I103" t="str">
        <f>Dryseason!L249</f>
        <v>R705</v>
      </c>
      <c r="J103">
        <f>IFERROR(INDEX('Green_rooibos initial weight'!$C$5:$C$2000,MATCH(H103, 'Green_rooibos initial weight'!$A$5:$A$2000,0)),"")</f>
        <v>1.88</v>
      </c>
      <c r="K103">
        <f>IFERROR(INDEX('Green_rooibos initial weight'!$C$5:$C$2000,MATCH(I103, 'Green_rooibos initial weight'!$A$5:$A$2000,0)),"")</f>
        <v>2.1859999999999999</v>
      </c>
      <c r="L103" s="194">
        <f t="shared" si="4"/>
        <v>1.6301999999999999</v>
      </c>
      <c r="M103" s="233">
        <f>AVERAGE(Ashed_controlls!$K$1:$K$11)</f>
        <v>5.5147656768714146</v>
      </c>
      <c r="N103" s="194">
        <f t="shared" si="0"/>
        <v>1.5402982899356421</v>
      </c>
      <c r="O103" s="194">
        <f t="shared" si="5"/>
        <v>1.9361999999999999</v>
      </c>
      <c r="P103" s="233">
        <f>AVERAGE(Ashed_controlls!$K$12:$K$14)</f>
        <v>2.2816647271287041</v>
      </c>
      <c r="Q103" s="194">
        <f t="shared" si="1"/>
        <v>1.8920224075533341</v>
      </c>
      <c r="R103" s="16">
        <f>IF('Dry_Litterbag Placem_Collection'!G30="","",'Dry_Litterbag Placem_Collection'!G30)</f>
        <v>43007</v>
      </c>
      <c r="S103" s="194">
        <f>IFERROR(INDEX('Both teabags AfterDry'!$D$3:$D$2000,MATCH(H103,'Both teabags AfterDry'!$A$3:$A$2000,0)),"")</f>
        <v>1.4991000000000001</v>
      </c>
      <c r="T103" s="194">
        <f>IFERROR(INDEX('Both teabags AfterDry'!$D$3:$D$2000,MATCH(I103,'Both teabags AfterDry'!$A$3:$A$2000,0)),"")</f>
        <v>2.0167999999999999</v>
      </c>
      <c r="U103" s="194">
        <f t="shared" si="6"/>
        <v>1.3485</v>
      </c>
      <c r="V103" s="194">
        <f t="shared" si="7"/>
        <v>1.8661999999999999</v>
      </c>
      <c r="W103" s="194">
        <f>IFERROR(INDEX('Ashed teabags dry'!$K$2:$K$2000,MATCH(H103,'Ashed teabags dry'!$A$2:$A$2000,0)),"")</f>
        <v>6.888472352389627</v>
      </c>
      <c r="X103" s="194">
        <f>IFERROR(INDEX('Ashed teabags dry'!$K$2:$K$2000,MATCH(I103,'Ashed teabags dry'!$A$2:$A$2000,0)),"")</f>
        <v>3.6201222378937139</v>
      </c>
      <c r="Y103" s="194">
        <f t="shared" si="2"/>
        <v>1.2556089503280259</v>
      </c>
      <c r="Z103" s="194">
        <f t="shared" si="2"/>
        <v>1.7986412787964274</v>
      </c>
      <c r="AA103" s="194">
        <f t="shared" si="8"/>
        <v>0.1848274074364592</v>
      </c>
      <c r="AB103" s="194">
        <f t="shared" si="9"/>
        <v>0.12116951176356945</v>
      </c>
      <c r="AC103" s="194">
        <f t="shared" si="3"/>
        <v>0.95064480823054187</v>
      </c>
      <c r="AD103">
        <f t="shared" si="10"/>
        <v>71</v>
      </c>
      <c r="AE103" s="194">
        <f t="shared" si="11"/>
        <v>0.78049001492106984</v>
      </c>
      <c r="AF103" s="194">
        <f t="shared" si="12"/>
        <v>7.3676984493174103E-3</v>
      </c>
      <c r="AG103" s="245" t="str">
        <f>IF(ISNUMBER(SEARCH("C", 'Dry_Litterbag Placem_Collection'!$T30)),"YES","NO")</f>
        <v>NO</v>
      </c>
      <c r="AH103" s="245" t="str">
        <f>IF(ISNUMBER(SEARCH("H", 'Dry_Litterbag Placem_Collection'!$T30)),"YES","NO")</f>
        <v>NO</v>
      </c>
      <c r="AI103" s="245" t="str">
        <f>IF(ISNUMBER(SEARCH("R", 'Dry_Litterbag Placem_Collection'!$T30)),"YES","NO")</f>
        <v>NO</v>
      </c>
      <c r="AJ103" s="245" t="str">
        <f>IF(ISNUMBER(SEARCH("C", 'Dry_Litterbag Placem_Collection'!$S30)),"YES","NO")</f>
        <v>NO</v>
      </c>
      <c r="AK103" s="245" t="str">
        <f>IF(ISNUMBER(SEARCH("H", 'Dry_Litterbag Placem_Collection'!$S30)),"YES","NO")</f>
        <v>NO</v>
      </c>
      <c r="AL103" s="245" t="str">
        <f>IF(ISNUMBER(SEARCH("R", 'Dry_Litterbag Placem_Collection'!$S30)),"YES","NO")</f>
        <v>NO</v>
      </c>
    </row>
    <row r="104" spans="2:38">
      <c r="B104" t="str">
        <f>Dryseason!B30</f>
        <v>Dry</v>
      </c>
      <c r="C104" s="253">
        <f>Dryseason!C30</f>
        <v>29</v>
      </c>
      <c r="D104" t="s">
        <v>3105</v>
      </c>
      <c r="E104" t="s">
        <v>22</v>
      </c>
      <c r="F104" s="375">
        <v>5</v>
      </c>
      <c r="G104" s="16">
        <f>IF('Dry_Litterbag Placem_Collection'!E31="","",'Dry_Litterbag Placem_Collection'!E31)</f>
        <v>42936</v>
      </c>
      <c r="H104" t="str">
        <f>Dryseason!L30</f>
        <v>G319</v>
      </c>
      <c r="I104" t="str">
        <f>Dryseason!L250</f>
        <v>R305</v>
      </c>
      <c r="J104">
        <f>IFERROR(INDEX('Green_rooibos initial weight'!$C$5:$C$2000,MATCH(H104, 'Green_rooibos initial weight'!$A$5:$A$2000,0)),"")</f>
        <v>2.012</v>
      </c>
      <c r="K104">
        <f>IFERROR(INDEX('Green_rooibos initial weight'!$C$5:$C$2000,MATCH(I104, 'Green_rooibos initial weight'!$A$5:$A$2000,0)),"")</f>
        <v>2.2829999999999999</v>
      </c>
      <c r="L104" s="194">
        <f t="shared" si="4"/>
        <v>1.7622</v>
      </c>
      <c r="M104" s="233">
        <f>AVERAGE(Ashed_controlls!$K$1:$K$11)</f>
        <v>5.5147656768714146</v>
      </c>
      <c r="N104" s="194">
        <f t="shared" si="0"/>
        <v>1.6650187992421719</v>
      </c>
      <c r="O104" s="194">
        <f t="shared" si="5"/>
        <v>2.0331999999999999</v>
      </c>
      <c r="P104" s="233">
        <f>AVERAGE(Ashed_controlls!$K$12:$K$14)</f>
        <v>2.2816647271287041</v>
      </c>
      <c r="Q104" s="194">
        <f t="shared" si="1"/>
        <v>1.9868091927680191</v>
      </c>
      <c r="R104" s="16">
        <f>IF('Dry_Litterbag Placem_Collection'!G31="","",'Dry_Litterbag Placem_Collection'!G31)</f>
        <v>43007</v>
      </c>
      <c r="S104" s="194">
        <f>IFERROR(INDEX('Both teabags AfterDry'!$D$3:$D$2000,MATCH(H104,'Both teabags AfterDry'!$A$3:$A$2000,0)),"")</f>
        <v>1.8162</v>
      </c>
      <c r="T104" s="194">
        <f>IFERROR(INDEX('Both teabags AfterDry'!$D$3:$D$2000,MATCH(I104,'Both teabags AfterDry'!$A$3:$A$2000,0)),"")</f>
        <v>2.0718999999999999</v>
      </c>
      <c r="U104" s="194">
        <f t="shared" si="6"/>
        <v>1.6656</v>
      </c>
      <c r="V104" s="194">
        <f t="shared" si="7"/>
        <v>1.9212999999999998</v>
      </c>
      <c r="W104" s="194">
        <f>IFERROR(INDEX('Ashed teabags dry'!$K$2:$K$2000,MATCH(H104,'Ashed teabags dry'!$A$2:$A$2000,0)),"")</f>
        <v>6.3172671970048668</v>
      </c>
      <c r="X104" s="194">
        <f>IFERROR(INDEX('Ashed teabags dry'!$K$2:$K$2000,MATCH(I104,'Ashed teabags dry'!$A$2:$A$2000,0)),"")</f>
        <v>2.7534965034964429</v>
      </c>
      <c r="Y104" s="194">
        <f t="shared" si="2"/>
        <v>1.560379597566687</v>
      </c>
      <c r="Z104" s="194">
        <f t="shared" si="2"/>
        <v>1.8683970716783227</v>
      </c>
      <c r="AA104" s="194">
        <f t="shared" si="8"/>
        <v>6.2845657792639398E-2</v>
      </c>
      <c r="AB104" s="194">
        <f t="shared" si="9"/>
        <v>4.1200478742918004E-2</v>
      </c>
      <c r="AC104" s="194">
        <f t="shared" si="3"/>
        <v>0.94040085906552262</v>
      </c>
      <c r="AD104">
        <f t="shared" si="10"/>
        <v>71</v>
      </c>
      <c r="AE104" s="194">
        <f t="shared" si="11"/>
        <v>0.92536145155268479</v>
      </c>
      <c r="AF104" s="194" t="str">
        <f t="shared" si="12"/>
        <v/>
      </c>
      <c r="AG104" s="245" t="str">
        <f>IF(ISNUMBER(SEARCH("C", 'Dry_Litterbag Placem_Collection'!$T31)),"YES","NO")</f>
        <v>NO</v>
      </c>
      <c r="AH104" s="245" t="str">
        <f>IF(ISNUMBER(SEARCH("H", 'Dry_Litterbag Placem_Collection'!$T31)),"YES","NO")</f>
        <v>NO</v>
      </c>
      <c r="AI104" s="245" t="str">
        <f>IF(ISNUMBER(SEARCH("R", 'Dry_Litterbag Placem_Collection'!$T31)),"YES","NO")</f>
        <v>NO</v>
      </c>
      <c r="AJ104" s="245" t="str">
        <f>IF(ISNUMBER(SEARCH("C", 'Dry_Litterbag Placem_Collection'!$S31)),"YES","NO")</f>
        <v>NO</v>
      </c>
      <c r="AK104" s="245" t="str">
        <f>IF(ISNUMBER(SEARCH("H", 'Dry_Litterbag Placem_Collection'!$S31)),"YES","NO")</f>
        <v>NO</v>
      </c>
      <c r="AL104" s="245" t="str">
        <f>IF(ISNUMBER(SEARCH("R", 'Dry_Litterbag Placem_Collection'!$S31)),"YES","NO")</f>
        <v>NO</v>
      </c>
    </row>
    <row r="105" spans="2:38">
      <c r="B105" t="str">
        <f>Dryseason!B31</f>
        <v>Dry</v>
      </c>
      <c r="C105" s="253">
        <f>Dryseason!C31</f>
        <v>30</v>
      </c>
      <c r="D105" t="s">
        <v>3105</v>
      </c>
      <c r="E105" t="s">
        <v>22</v>
      </c>
      <c r="F105" s="375">
        <v>6</v>
      </c>
      <c r="G105" s="16">
        <f>IF('Dry_Litterbag Placem_Collection'!E32="","",'Dry_Litterbag Placem_Collection'!E32)</f>
        <v>42936</v>
      </c>
      <c r="H105" t="str">
        <f>Dryseason!L31</f>
        <v>G273</v>
      </c>
      <c r="I105" t="str">
        <f>Dryseason!L251</f>
        <v>R667</v>
      </c>
      <c r="J105">
        <f>IFERROR(INDEX('Green_rooibos initial weight'!$C$5:$C$2000,MATCH(H105, 'Green_rooibos initial weight'!$A$5:$A$2000,0)),"")</f>
        <v>2.073</v>
      </c>
      <c r="K105">
        <f>IFERROR(INDEX('Green_rooibos initial weight'!$C$5:$C$2000,MATCH(I105, 'Green_rooibos initial weight'!$A$5:$A$2000,0)),"")</f>
        <v>2.1949999999999998</v>
      </c>
      <c r="L105" s="194">
        <f t="shared" si="4"/>
        <v>1.8231999999999999</v>
      </c>
      <c r="M105" s="233">
        <f>AVERAGE(Ashed_controlls!$K$1:$K$11)</f>
        <v>5.5147656768714146</v>
      </c>
      <c r="N105" s="194">
        <f t="shared" si="0"/>
        <v>1.7226547921792803</v>
      </c>
      <c r="O105" s="194">
        <f t="shared" si="5"/>
        <v>1.9451999999999998</v>
      </c>
      <c r="P105" s="233">
        <f>AVERAGE(Ashed_controlls!$K$12:$K$14)</f>
        <v>2.2816647271287041</v>
      </c>
      <c r="Q105" s="194">
        <f t="shared" si="1"/>
        <v>1.9008170577278922</v>
      </c>
      <c r="R105" s="16">
        <f>IF('Dry_Litterbag Placem_Collection'!G32="","",'Dry_Litterbag Placem_Collection'!G32)</f>
        <v>43007</v>
      </c>
      <c r="S105" s="194">
        <f>IFERROR(INDEX('Both teabags AfterDry'!$D$3:$D$2000,MATCH(H105,'Both teabags AfterDry'!$A$3:$A$2000,0)),"")</f>
        <v>1.9318</v>
      </c>
      <c r="T105" s="194">
        <f>IFERROR(INDEX('Both teabags AfterDry'!$D$3:$D$2000,MATCH(I105,'Both teabags AfterDry'!$A$3:$A$2000,0)),"")</f>
        <v>2.0158999999999998</v>
      </c>
      <c r="U105" s="194">
        <f t="shared" si="6"/>
        <v>1.7811999999999999</v>
      </c>
      <c r="V105" s="194">
        <f t="shared" si="7"/>
        <v>1.8652999999999997</v>
      </c>
      <c r="W105" s="194">
        <f>IFERROR(INDEX('Ashed teabags dry'!$K$2:$K$2000,MATCH(H105,'Ashed teabags dry'!$A$2:$A$2000,0)),"")</f>
        <v>5.1138805328754682</v>
      </c>
      <c r="X105" s="194">
        <f>IFERROR(INDEX('Ashed teabags dry'!$K$2:$K$2000,MATCH(I105,'Ashed teabags dry'!$A$2:$A$2000,0)),"")</f>
        <v>2.0813623462635014</v>
      </c>
      <c r="Y105" s="194">
        <f t="shared" si="2"/>
        <v>1.690111559948422</v>
      </c>
      <c r="Z105" s="194">
        <f t="shared" si="2"/>
        <v>1.8264763481551467</v>
      </c>
      <c r="AA105" s="194">
        <f t="shared" si="8"/>
        <v>1.8891325399959413E-2</v>
      </c>
      <c r="AB105" s="194">
        <f t="shared" si="9"/>
        <v>1.2384811901161063E-2</v>
      </c>
      <c r="AC105" s="194">
        <f t="shared" si="3"/>
        <v>0.9608901291839167</v>
      </c>
      <c r="AD105">
        <f t="shared" si="10"/>
        <v>71</v>
      </c>
      <c r="AE105" s="194">
        <f t="shared" si="11"/>
        <v>0.97756374655586764</v>
      </c>
      <c r="AF105" s="194" t="str">
        <f t="shared" si="12"/>
        <v/>
      </c>
      <c r="AG105" s="245" t="str">
        <f>IF(ISNUMBER(SEARCH("C", 'Dry_Litterbag Placem_Collection'!$T32)),"YES","NO")</f>
        <v>NO</v>
      </c>
      <c r="AH105" s="245" t="str">
        <f>IF(ISNUMBER(SEARCH("H", 'Dry_Litterbag Placem_Collection'!$T32)),"YES","NO")</f>
        <v>NO</v>
      </c>
      <c r="AI105" s="245" t="str">
        <f>IF(ISNUMBER(SEARCH("R", 'Dry_Litterbag Placem_Collection'!$T32)),"YES","NO")</f>
        <v>NO</v>
      </c>
      <c r="AJ105" s="245" t="str">
        <f>IF(ISNUMBER(SEARCH("C", 'Dry_Litterbag Placem_Collection'!$S32)),"YES","NO")</f>
        <v>NO</v>
      </c>
      <c r="AK105" s="245" t="str">
        <f>IF(ISNUMBER(SEARCH("H", 'Dry_Litterbag Placem_Collection'!$S32)),"YES","NO")</f>
        <v>NO</v>
      </c>
      <c r="AL105" s="245" t="str">
        <f>IF(ISNUMBER(SEARCH("R", 'Dry_Litterbag Placem_Collection'!$S32)),"YES","NO")</f>
        <v>NO</v>
      </c>
    </row>
    <row r="106" spans="2:38">
      <c r="B106" t="str">
        <f>Dryseason!B32</f>
        <v>Dry</v>
      </c>
      <c r="C106" s="253">
        <f>Dryseason!C32</f>
        <v>31</v>
      </c>
      <c r="D106" t="s">
        <v>3105</v>
      </c>
      <c r="E106" t="s">
        <v>22</v>
      </c>
      <c r="F106" s="375">
        <v>7</v>
      </c>
      <c r="G106" s="16" t="str">
        <f>IF('Dry_Litterbag Placem_Collection'!E33="","",'Dry_Litterbag Placem_Collection'!E33)</f>
        <v/>
      </c>
      <c r="H106" t="str">
        <f>Dryseason!L32</f>
        <v/>
      </c>
      <c r="I106" t="str">
        <f>Dryseason!L252</f>
        <v/>
      </c>
      <c r="J106" t="str">
        <f>IFERROR(INDEX('Green_rooibos initial weight'!$C$5:$C$2000,MATCH(H106, 'Green_rooibos initial weight'!$A$5:$A$2000,0)),"")</f>
        <v/>
      </c>
      <c r="K106" t="str">
        <f>IFERROR(INDEX('Green_rooibos initial weight'!$C$5:$C$2000,MATCH(I106, 'Green_rooibos initial weight'!$A$5:$A$2000,0)),"")</f>
        <v/>
      </c>
      <c r="L106" s="194" t="str">
        <f t="shared" si="4"/>
        <v/>
      </c>
      <c r="M106" s="233">
        <f>AVERAGE(Ashed_controlls!$K$1:$K$11)</f>
        <v>5.5147656768714146</v>
      </c>
      <c r="N106" s="194" t="str">
        <f t="shared" si="0"/>
        <v/>
      </c>
      <c r="O106" s="194" t="str">
        <f t="shared" si="5"/>
        <v/>
      </c>
      <c r="P106" s="233">
        <f>AVERAGE(Ashed_controlls!$K$12:$K$14)</f>
        <v>2.2816647271287041</v>
      </c>
      <c r="Q106" s="194" t="str">
        <f t="shared" si="1"/>
        <v/>
      </c>
      <c r="R106" s="16" t="str">
        <f>IF('Dry_Litterbag Placem_Collection'!G33="","",'Dry_Litterbag Placem_Collection'!G33)</f>
        <v/>
      </c>
      <c r="S106" s="194" t="str">
        <f>IFERROR(INDEX('Both teabags AfterDry'!$D$3:$D$2000,MATCH(H106,'Both teabags AfterDry'!$A$3:$A$2000,0)),"")</f>
        <v/>
      </c>
      <c r="T106" s="194" t="str">
        <f>IFERROR(INDEX('Both teabags AfterDry'!$D$3:$D$2000,MATCH(I106,'Both teabags AfterDry'!$A$3:$A$2000,0)),"")</f>
        <v/>
      </c>
      <c r="U106" s="194" t="str">
        <f t="shared" si="6"/>
        <v/>
      </c>
      <c r="V106" s="194" t="str">
        <f t="shared" si="7"/>
        <v/>
      </c>
      <c r="W106" s="194" t="str">
        <f>IFERROR(INDEX('Ashed teabags dry'!$K$2:$K$2000,MATCH(H106,'Ashed teabags dry'!$A$2:$A$2000,0)),"")</f>
        <v/>
      </c>
      <c r="X106" s="194" t="str">
        <f>IFERROR(INDEX('Ashed teabags dry'!$K$2:$K$2000,MATCH(I106,'Ashed teabags dry'!$A$2:$A$2000,0)),"")</f>
        <v/>
      </c>
      <c r="Y106" s="194" t="str">
        <f t="shared" si="2"/>
        <v/>
      </c>
      <c r="Z106" s="194" t="str">
        <f t="shared" si="2"/>
        <v/>
      </c>
      <c r="AA106" s="194" t="str">
        <f t="shared" si="8"/>
        <v/>
      </c>
      <c r="AB106" s="194" t="str">
        <f t="shared" si="9"/>
        <v/>
      </c>
      <c r="AC106" s="194" t="str">
        <f t="shared" si="3"/>
        <v/>
      </c>
      <c r="AD106" t="str">
        <f t="shared" si="10"/>
        <v/>
      </c>
      <c r="AE106" s="194" t="str">
        <f t="shared" si="11"/>
        <v/>
      </c>
      <c r="AF106" s="194" t="str">
        <f t="shared" si="12"/>
        <v/>
      </c>
      <c r="AG106" s="245" t="str">
        <f>IF(ISNUMBER(SEARCH("C", 'Dry_Litterbag Placem_Collection'!$T33)),"YES","NO")</f>
        <v>NO</v>
      </c>
      <c r="AH106" s="245" t="str">
        <f>IF(ISNUMBER(SEARCH("H", 'Dry_Litterbag Placem_Collection'!$T33)),"YES","NO")</f>
        <v>NO</v>
      </c>
      <c r="AI106" s="245" t="str">
        <f>IF(ISNUMBER(SEARCH("R", 'Dry_Litterbag Placem_Collection'!$T33)),"YES","NO")</f>
        <v>NO</v>
      </c>
      <c r="AJ106" s="245" t="str">
        <f>IF(ISNUMBER(SEARCH("C", 'Dry_Litterbag Placem_Collection'!$S33)),"YES","NO")</f>
        <v>NO</v>
      </c>
      <c r="AK106" s="245" t="str">
        <f>IF(ISNUMBER(SEARCH("H", 'Dry_Litterbag Placem_Collection'!$S33)),"YES","NO")</f>
        <v>NO</v>
      </c>
      <c r="AL106" s="245" t="str">
        <f>IF(ISNUMBER(SEARCH("R", 'Dry_Litterbag Placem_Collection'!$S33)),"YES","NO")</f>
        <v>NO</v>
      </c>
    </row>
    <row r="107" spans="2:38">
      <c r="B107" t="str">
        <f>Dryseason!B33</f>
        <v>Dry</v>
      </c>
      <c r="C107" s="253">
        <f>Dryseason!C33</f>
        <v>32</v>
      </c>
      <c r="D107" t="s">
        <v>3105</v>
      </c>
      <c r="E107" t="s">
        <v>22</v>
      </c>
      <c r="F107" s="375">
        <v>8</v>
      </c>
      <c r="G107" s="16">
        <f>IF('Dry_Litterbag Placem_Collection'!E34="","",'Dry_Litterbag Placem_Collection'!E34)</f>
        <v>42936</v>
      </c>
      <c r="H107" t="str">
        <f>Dryseason!L33</f>
        <v>G193</v>
      </c>
      <c r="I107" t="str">
        <f>Dryseason!L253</f>
        <v>R743</v>
      </c>
      <c r="J107">
        <f>IFERROR(INDEX('Green_rooibos initial weight'!$C$5:$C$2000,MATCH(H107, 'Green_rooibos initial weight'!$A$5:$A$2000,0)),"")</f>
        <v>2.177</v>
      </c>
      <c r="K107">
        <f>IFERROR(INDEX('Green_rooibos initial weight'!$C$5:$C$2000,MATCH(I107, 'Green_rooibos initial weight'!$A$5:$A$2000,0)),"")</f>
        <v>2.2480000000000002</v>
      </c>
      <c r="L107" s="194">
        <f t="shared" si="4"/>
        <v>1.9272</v>
      </c>
      <c r="M107" s="233">
        <f>AVERAGE(Ashed_controlls!$K$1:$K$11)</f>
        <v>5.5147656768714146</v>
      </c>
      <c r="N107" s="194">
        <f t="shared" si="0"/>
        <v>1.8209194358753342</v>
      </c>
      <c r="O107" s="194">
        <f t="shared" si="5"/>
        <v>1.9982000000000002</v>
      </c>
      <c r="P107" s="233">
        <f>AVERAGE(Ashed_controlls!$K$12:$K$14)</f>
        <v>2.2816647271287041</v>
      </c>
      <c r="Q107" s="194">
        <f t="shared" si="1"/>
        <v>1.9526077754225144</v>
      </c>
      <c r="R107" s="16">
        <f>IF('Dry_Litterbag Placem_Collection'!G34="","",'Dry_Litterbag Placem_Collection'!G34)</f>
        <v>43007</v>
      </c>
      <c r="S107" s="194">
        <f>IFERROR(INDEX('Both teabags AfterDry'!$D$3:$D$2000,MATCH(H107,'Both teabags AfterDry'!$A$3:$A$2000,0)),"")</f>
        <v>1.8848</v>
      </c>
      <c r="T107" s="194">
        <f>IFERROR(INDEX('Both teabags AfterDry'!$D$3:$D$2000,MATCH(I107,'Both teabags AfterDry'!$A$3:$A$2000,0)),"")</f>
        <v>1.9944999999999999</v>
      </c>
      <c r="U107" s="194">
        <f t="shared" si="6"/>
        <v>1.7342</v>
      </c>
      <c r="V107" s="194">
        <f t="shared" si="7"/>
        <v>1.8438999999999999</v>
      </c>
      <c r="W107" s="194">
        <f>IFERROR(INDEX('Ashed teabags dry'!$K$2:$K$2000,MATCH(H107,'Ashed teabags dry'!$A$2:$A$2000,0)),"")</f>
        <v>6.5004452359746852</v>
      </c>
      <c r="X107" s="194">
        <f>IFERROR(INDEX('Ashed teabags dry'!$K$2:$K$2000,MATCH(I107,'Ashed teabags dry'!$A$2:$A$2000,0)),"")</f>
        <v>3.3151904997520401</v>
      </c>
      <c r="Y107" s="194">
        <f t="shared" si="2"/>
        <v>1.6214692787177269</v>
      </c>
      <c r="Z107" s="194">
        <f t="shared" si="2"/>
        <v>1.7827712023750719</v>
      </c>
      <c r="AA107" s="194">
        <f t="shared" si="8"/>
        <v>0.10953266422889796</v>
      </c>
      <c r="AB107" s="194">
        <f t="shared" si="9"/>
        <v>7.1807637356712195E-2</v>
      </c>
      <c r="AC107" s="194">
        <f t="shared" si="3"/>
        <v>0.91302064081420942</v>
      </c>
      <c r="AD107">
        <f t="shared" si="10"/>
        <v>71</v>
      </c>
      <c r="AE107" s="194">
        <f t="shared" si="11"/>
        <v>0.86991370044073879</v>
      </c>
      <c r="AF107" s="194" t="str">
        <f t="shared" si="12"/>
        <v/>
      </c>
      <c r="AG107" s="245" t="str">
        <f>IF(ISNUMBER(SEARCH("C", 'Dry_Litterbag Placem_Collection'!$T34)),"YES","NO")</f>
        <v>NO</v>
      </c>
      <c r="AH107" s="245" t="str">
        <f>IF(ISNUMBER(SEARCH("H", 'Dry_Litterbag Placem_Collection'!$T34)),"YES","NO")</f>
        <v>NO</v>
      </c>
      <c r="AI107" s="245" t="str">
        <f>IF(ISNUMBER(SEARCH("R", 'Dry_Litterbag Placem_Collection'!$T34)),"YES","NO")</f>
        <v>NO</v>
      </c>
      <c r="AJ107" s="245" t="str">
        <f>IF(ISNUMBER(SEARCH("C", 'Dry_Litterbag Placem_Collection'!$S34)),"YES","NO")</f>
        <v>NO</v>
      </c>
      <c r="AK107" s="245" t="str">
        <f>IF(ISNUMBER(SEARCH("H", 'Dry_Litterbag Placem_Collection'!$S34)),"YES","NO")</f>
        <v>NO</v>
      </c>
      <c r="AL107" s="245" t="str">
        <f>IF(ISNUMBER(SEARCH("R", 'Dry_Litterbag Placem_Collection'!$S34)),"YES","NO")</f>
        <v>NO</v>
      </c>
    </row>
    <row r="108" spans="2:38">
      <c r="B108" t="str">
        <f>Dryseason!B34</f>
        <v>Dry</v>
      </c>
      <c r="C108" s="253">
        <f>Dryseason!C34</f>
        <v>33</v>
      </c>
      <c r="D108" t="s">
        <v>3106</v>
      </c>
      <c r="E108" t="s">
        <v>22</v>
      </c>
      <c r="F108" s="374">
        <v>1</v>
      </c>
      <c r="G108" s="16">
        <f>IF('Dry_Litterbag Placem_Collection'!E35="","",'Dry_Litterbag Placem_Collection'!E35)</f>
        <v>42938</v>
      </c>
      <c r="H108" t="str">
        <f>Dryseason!L34</f>
        <v>G218</v>
      </c>
      <c r="I108" t="str">
        <f>Dryseason!L254</f>
        <v>R769</v>
      </c>
      <c r="J108">
        <f>IFERROR(INDEX('Green_rooibos initial weight'!$C$5:$C$2000,MATCH(H108, 'Green_rooibos initial weight'!$A$5:$A$2000,0)),"")</f>
        <v>1.96</v>
      </c>
      <c r="K108">
        <f>IFERROR(INDEX('Green_rooibos initial weight'!$C$5:$C$2000,MATCH(I108, 'Green_rooibos initial weight'!$A$5:$A$2000,0)),"")</f>
        <v>2.2480000000000002</v>
      </c>
      <c r="L108" s="194">
        <f t="shared" si="4"/>
        <v>1.7101999999999999</v>
      </c>
      <c r="M108" s="233">
        <f>AVERAGE(Ashed_controlls!$K$1:$K$11)</f>
        <v>5.5147656768714146</v>
      </c>
      <c r="N108" s="194">
        <f t="shared" si="0"/>
        <v>1.615886477394145</v>
      </c>
      <c r="O108" s="194">
        <f t="shared" si="5"/>
        <v>1.9982000000000002</v>
      </c>
      <c r="P108" s="233">
        <f>AVERAGE(Ashed_controlls!$K$12:$K$14)</f>
        <v>2.2816647271287041</v>
      </c>
      <c r="Q108" s="194">
        <f t="shared" si="1"/>
        <v>1.9526077754225144</v>
      </c>
      <c r="R108" s="16">
        <f>IF('Dry_Litterbag Placem_Collection'!G35="","",'Dry_Litterbag Placem_Collection'!G35)</f>
        <v>43005</v>
      </c>
      <c r="S108" s="194">
        <f>IFERROR(INDEX('Both teabags AfterDry'!$D$3:$D$2000,MATCH(H108,'Both teabags AfterDry'!$A$3:$A$2000,0)),"")</f>
        <v>1.7766</v>
      </c>
      <c r="T108" s="194">
        <f>IFERROR(INDEX('Both teabags AfterDry'!$D$3:$D$2000,MATCH(I108,'Both teabags AfterDry'!$A$3:$A$2000,0)),"")</f>
        <v>1.9911000000000001</v>
      </c>
      <c r="U108" s="194">
        <f t="shared" si="6"/>
        <v>1.6259999999999999</v>
      </c>
      <c r="V108" s="194">
        <f t="shared" si="7"/>
        <v>1.8405</v>
      </c>
      <c r="W108" s="194">
        <f>IFERROR(INDEX('Ashed teabags dry'!$K$2:$K$2000,MATCH(H108,'Ashed teabags dry'!$A$2:$A$2000,0)),"")</f>
        <v>5.8311575282857895</v>
      </c>
      <c r="X108" s="194">
        <f>IFERROR(INDEX('Ashed teabags dry'!$K$2:$K$2000,MATCH(I108,'Ashed teabags dry'!$A$2:$A$2000,0)),"")</f>
        <v>2.7544351073765245</v>
      </c>
      <c r="Y108" s="194">
        <f t="shared" si="2"/>
        <v>1.5311853785900729</v>
      </c>
      <c r="Z108" s="194">
        <f t="shared" si="2"/>
        <v>1.7898046218487351</v>
      </c>
      <c r="AA108" s="194">
        <f t="shared" si="8"/>
        <v>5.2417728589860602E-2</v>
      </c>
      <c r="AB108" s="194">
        <f t="shared" si="9"/>
        <v>3.4364116605229277E-2</v>
      </c>
      <c r="AC108" s="194">
        <f t="shared" si="3"/>
        <v>0.91662270547982883</v>
      </c>
      <c r="AD108">
        <f t="shared" si="10"/>
        <v>67</v>
      </c>
      <c r="AE108" s="194">
        <f t="shared" si="11"/>
        <v>0.93774616557023682</v>
      </c>
      <c r="AF108" s="194" t="str">
        <f t="shared" si="12"/>
        <v/>
      </c>
      <c r="AG108" s="245" t="str">
        <f>IF(ISNUMBER(SEARCH("C", 'Dry_Litterbag Placem_Collection'!$T35)),"YES","NO")</f>
        <v>NO</v>
      </c>
      <c r="AH108" s="245" t="str">
        <f>IF(ISNUMBER(SEARCH("H", 'Dry_Litterbag Placem_Collection'!$T35)),"YES","NO")</f>
        <v>NO</v>
      </c>
      <c r="AI108" s="245" t="str">
        <f>IF(ISNUMBER(SEARCH("R", 'Dry_Litterbag Placem_Collection'!$T35)),"YES","NO")</f>
        <v>NO</v>
      </c>
      <c r="AJ108" s="245" t="str">
        <f>IF(ISNUMBER(SEARCH("C", 'Dry_Litterbag Placem_Collection'!$S35)),"YES","NO")</f>
        <v>NO</v>
      </c>
      <c r="AK108" s="245" t="str">
        <f>IF(ISNUMBER(SEARCH("H", 'Dry_Litterbag Placem_Collection'!$S35)),"YES","NO")</f>
        <v>NO</v>
      </c>
      <c r="AL108" s="245" t="str">
        <f>IF(ISNUMBER(SEARCH("R", 'Dry_Litterbag Placem_Collection'!$S35)),"YES","NO")</f>
        <v>NO</v>
      </c>
    </row>
    <row r="109" spans="2:38">
      <c r="B109" t="str">
        <f>Dryseason!B35</f>
        <v>Dry</v>
      </c>
      <c r="C109" s="253">
        <f>Dryseason!C35</f>
        <v>34</v>
      </c>
      <c r="D109" t="s">
        <v>3106</v>
      </c>
      <c r="E109" t="s">
        <v>22</v>
      </c>
      <c r="F109" s="374">
        <v>2</v>
      </c>
      <c r="G109" s="16">
        <f>IF('Dry_Litterbag Placem_Collection'!E36="","",'Dry_Litterbag Placem_Collection'!E36)</f>
        <v>42938</v>
      </c>
      <c r="H109" t="str">
        <f>Dryseason!L35</f>
        <v>G104</v>
      </c>
      <c r="I109" t="str">
        <f>Dryseason!L255</f>
        <v>R753</v>
      </c>
      <c r="J109">
        <f>IFERROR(INDEX('Green_rooibos initial weight'!$C$5:$C$2000,MATCH(H109, 'Green_rooibos initial weight'!$A$5:$A$2000,0)),"")</f>
        <v>2.0259999999999998</v>
      </c>
      <c r="K109">
        <f>IFERROR(INDEX('Green_rooibos initial weight'!$C$5:$C$2000,MATCH(I109, 'Green_rooibos initial weight'!$A$5:$A$2000,0)),"")</f>
        <v>2.2400000000000002</v>
      </c>
      <c r="L109" s="194">
        <f t="shared" si="4"/>
        <v>1.7761999999999998</v>
      </c>
      <c r="M109" s="233">
        <f>AVERAGE(Ashed_controlls!$K$1:$K$11)</f>
        <v>5.5147656768714146</v>
      </c>
      <c r="N109" s="194">
        <f t="shared" si="0"/>
        <v>1.6782467320474097</v>
      </c>
      <c r="O109" s="194">
        <f t="shared" si="5"/>
        <v>1.9902000000000002</v>
      </c>
      <c r="P109" s="233">
        <f>AVERAGE(Ashed_controlls!$K$12:$K$14)</f>
        <v>2.2816647271287041</v>
      </c>
      <c r="Q109" s="194">
        <f t="shared" si="1"/>
        <v>1.9447903086006848</v>
      </c>
      <c r="R109" s="16">
        <f>IF('Dry_Litterbag Placem_Collection'!G36="","",'Dry_Litterbag Placem_Collection'!G36)</f>
        <v>43005</v>
      </c>
      <c r="S109" s="194" t="str">
        <f>IFERROR(INDEX('Both teabags AfterDry'!$D$3:$D$2000,MATCH(H109,'Both teabags AfterDry'!$A$3:$A$2000,0)),"")</f>
        <v/>
      </c>
      <c r="T109" s="194" t="str">
        <f>IFERROR(INDEX('Both teabags AfterDry'!$D$3:$D$2000,MATCH(I109,'Both teabags AfterDry'!$A$3:$A$2000,0)),"")</f>
        <v/>
      </c>
      <c r="U109" s="194" t="str">
        <f t="shared" si="6"/>
        <v/>
      </c>
      <c r="V109" s="194" t="str">
        <f t="shared" si="7"/>
        <v/>
      </c>
      <c r="W109" s="194" t="str">
        <f>IFERROR(INDEX('Ashed teabags dry'!$K$2:$K$2000,MATCH(H109,'Ashed teabags dry'!$A$2:$A$2000,0)),"")</f>
        <v/>
      </c>
      <c r="X109" s="194" t="str">
        <f>IFERROR(INDEX('Ashed teabags dry'!$K$2:$K$2000,MATCH(I109,'Ashed teabags dry'!$A$2:$A$2000,0)),"")</f>
        <v/>
      </c>
      <c r="Y109" s="194" t="str">
        <f t="shared" si="2"/>
        <v/>
      </c>
      <c r="Z109" s="194" t="str">
        <f t="shared" si="2"/>
        <v/>
      </c>
      <c r="AA109" s="194" t="str">
        <f t="shared" si="8"/>
        <v/>
      </c>
      <c r="AB109" s="194" t="str">
        <f t="shared" si="9"/>
        <v/>
      </c>
      <c r="AC109" s="194" t="str">
        <f t="shared" si="3"/>
        <v/>
      </c>
      <c r="AD109">
        <f t="shared" si="10"/>
        <v>67</v>
      </c>
      <c r="AE109" s="194" t="str">
        <f t="shared" si="11"/>
        <v/>
      </c>
      <c r="AF109" s="194" t="str">
        <f t="shared" si="12"/>
        <v/>
      </c>
      <c r="AG109" s="245" t="str">
        <f>IF(ISNUMBER(SEARCH("C", 'Dry_Litterbag Placem_Collection'!$T36)),"YES","NO")</f>
        <v>NO</v>
      </c>
      <c r="AH109" s="245" t="str">
        <f>IF(ISNUMBER(SEARCH("H", 'Dry_Litterbag Placem_Collection'!$T36)),"YES","NO")</f>
        <v>NO</v>
      </c>
      <c r="AI109" s="245" t="str">
        <f>IF(ISNUMBER(SEARCH("R", 'Dry_Litterbag Placem_Collection'!$T36)),"YES","NO")</f>
        <v>NO</v>
      </c>
      <c r="AJ109" s="245" t="str">
        <f>IF(ISNUMBER(SEARCH("C", 'Dry_Litterbag Placem_Collection'!$S36)),"YES","NO")</f>
        <v>NO</v>
      </c>
      <c r="AK109" s="245" t="str">
        <f>IF(ISNUMBER(SEARCH("H", 'Dry_Litterbag Placem_Collection'!$S36)),"YES","NO")</f>
        <v>YES</v>
      </c>
      <c r="AL109" s="245" t="str">
        <f>IF(ISNUMBER(SEARCH("R", 'Dry_Litterbag Placem_Collection'!$S36)),"YES","NO")</f>
        <v>NO</v>
      </c>
    </row>
    <row r="110" spans="2:38">
      <c r="B110" t="str">
        <f>Dryseason!B36</f>
        <v>Dry</v>
      </c>
      <c r="C110" s="253">
        <f>Dryseason!C36</f>
        <v>35</v>
      </c>
      <c r="D110" t="s">
        <v>3106</v>
      </c>
      <c r="E110" t="s">
        <v>22</v>
      </c>
      <c r="F110" s="374">
        <v>3</v>
      </c>
      <c r="G110" s="16">
        <f>IF('Dry_Litterbag Placem_Collection'!E37="","",'Dry_Litterbag Placem_Collection'!E37)</f>
        <v>42938</v>
      </c>
      <c r="H110" t="str">
        <f>Dryseason!L36</f>
        <v>G188</v>
      </c>
      <c r="I110" t="str">
        <f>Dryseason!L256</f>
        <v>R776</v>
      </c>
      <c r="J110">
        <f>IFERROR(INDEX('Green_rooibos initial weight'!$C$5:$C$2000,MATCH(H110, 'Green_rooibos initial weight'!$A$5:$A$2000,0)),"")</f>
        <v>1.952</v>
      </c>
      <c r="K110">
        <f>IFERROR(INDEX('Green_rooibos initial weight'!$C$5:$C$2000,MATCH(I110, 'Green_rooibos initial weight'!$A$5:$A$2000,0)),"")</f>
        <v>2.1989999999999998</v>
      </c>
      <c r="L110" s="194">
        <f t="shared" si="4"/>
        <v>1.7021999999999999</v>
      </c>
      <c r="M110" s="233">
        <f>AVERAGE(Ashed_controlls!$K$1:$K$11)</f>
        <v>5.5147656768714146</v>
      </c>
      <c r="N110" s="194">
        <f t="shared" si="0"/>
        <v>1.6083276586482946</v>
      </c>
      <c r="O110" s="194">
        <f t="shared" si="5"/>
        <v>1.9491999999999998</v>
      </c>
      <c r="P110" s="233">
        <f>AVERAGE(Ashed_controlls!$K$12:$K$14)</f>
        <v>2.2816647271287041</v>
      </c>
      <c r="Q110" s="194">
        <f t="shared" si="1"/>
        <v>1.9047257911388071</v>
      </c>
      <c r="R110" s="16">
        <f>IF('Dry_Litterbag Placem_Collection'!G37="","",'Dry_Litterbag Placem_Collection'!G37)</f>
        <v>43005</v>
      </c>
      <c r="S110" s="194">
        <f>IFERROR(INDEX('Both teabags AfterDry'!$D$3:$D$2000,MATCH(H110,'Both teabags AfterDry'!$A$3:$A$2000,0)),"")</f>
        <v>1.7849999999999999</v>
      </c>
      <c r="T110" s="194">
        <f>IFERROR(INDEX('Both teabags AfterDry'!$D$3:$D$2000,MATCH(I110,'Both teabags AfterDry'!$A$3:$A$2000,0)),"")</f>
        <v>1.9447000000000001</v>
      </c>
      <c r="U110" s="194">
        <f t="shared" si="6"/>
        <v>1.6343999999999999</v>
      </c>
      <c r="V110" s="194">
        <f t="shared" si="7"/>
        <v>1.7941</v>
      </c>
      <c r="W110" s="194">
        <f>IFERROR(INDEX('Ashed teabags dry'!$K$2:$K$2000,MATCH(H110,'Ashed teabags dry'!$A$2:$A$2000,0)),"")</f>
        <v>5.9055118110234908</v>
      </c>
      <c r="X110" s="194">
        <f>IFERROR(INDEX('Ashed teabags dry'!$K$2:$K$2000,MATCH(I110,'Ashed teabags dry'!$A$2:$A$2000,0)),"")</f>
        <v>3.3316506814742248</v>
      </c>
      <c r="Y110" s="194">
        <f t="shared" si="2"/>
        <v>1.5378803149606319</v>
      </c>
      <c r="Z110" s="194">
        <f t="shared" si="2"/>
        <v>1.734326855123671</v>
      </c>
      <c r="AA110" s="194">
        <f t="shared" si="8"/>
        <v>4.3801611760422965E-2</v>
      </c>
      <c r="AB110" s="194">
        <f t="shared" si="9"/>
        <v>2.8715545952201289E-2</v>
      </c>
      <c r="AC110" s="194">
        <f t="shared" si="3"/>
        <v>0.91053886244000659</v>
      </c>
      <c r="AD110">
        <f t="shared" si="10"/>
        <v>67</v>
      </c>
      <c r="AE110" s="194">
        <f t="shared" si="11"/>
        <v>0.94797908341992521</v>
      </c>
      <c r="AF110" s="194" t="str">
        <f t="shared" si="12"/>
        <v/>
      </c>
      <c r="AG110" s="245" t="str">
        <f>IF(ISNUMBER(SEARCH("C", 'Dry_Litterbag Placem_Collection'!$T37)),"YES","NO")</f>
        <v>NO</v>
      </c>
      <c r="AH110" s="245" t="str">
        <f>IF(ISNUMBER(SEARCH("H", 'Dry_Litterbag Placem_Collection'!$T37)),"YES","NO")</f>
        <v>NO</v>
      </c>
      <c r="AI110" s="245" t="str">
        <f>IF(ISNUMBER(SEARCH("R", 'Dry_Litterbag Placem_Collection'!$T37)),"YES","NO")</f>
        <v>NO</v>
      </c>
      <c r="AJ110" s="245" t="str">
        <f>IF(ISNUMBER(SEARCH("C", 'Dry_Litterbag Placem_Collection'!$S37)),"YES","NO")</f>
        <v>NO</v>
      </c>
      <c r="AK110" s="245" t="str">
        <f>IF(ISNUMBER(SEARCH("H", 'Dry_Litterbag Placem_Collection'!$S37)),"YES","NO")</f>
        <v>NO</v>
      </c>
      <c r="AL110" s="245" t="str">
        <f>IF(ISNUMBER(SEARCH("R", 'Dry_Litterbag Placem_Collection'!$S37)),"YES","NO")</f>
        <v>NO</v>
      </c>
    </row>
    <row r="111" spans="2:38">
      <c r="B111" t="str">
        <f>Dryseason!B37</f>
        <v>Dry</v>
      </c>
      <c r="C111" s="253">
        <f>Dryseason!C37</f>
        <v>36</v>
      </c>
      <c r="D111" t="s">
        <v>3106</v>
      </c>
      <c r="E111" t="s">
        <v>22</v>
      </c>
      <c r="F111" s="375">
        <v>4</v>
      </c>
      <c r="G111" s="16">
        <f>IF('Dry_Litterbag Placem_Collection'!E38="","",'Dry_Litterbag Placem_Collection'!E38)</f>
        <v>42938</v>
      </c>
      <c r="H111" t="str">
        <f>Dryseason!L37</f>
        <v>G379</v>
      </c>
      <c r="I111" t="str">
        <f>Dryseason!L257</f>
        <v>R799</v>
      </c>
      <c r="J111">
        <f>IFERROR(INDEX('Green_rooibos initial weight'!$C$5:$C$2000,MATCH(H111, 'Green_rooibos initial weight'!$A$5:$A$2000,0)),"")</f>
        <v>2.052</v>
      </c>
      <c r="K111">
        <f>IFERROR(INDEX('Green_rooibos initial weight'!$C$5:$C$2000,MATCH(I111, 'Green_rooibos initial weight'!$A$5:$A$2000,0)),"")</f>
        <v>2.2040000000000002</v>
      </c>
      <c r="L111" s="194">
        <f t="shared" si="4"/>
        <v>1.8022</v>
      </c>
      <c r="M111" s="233">
        <f>AVERAGE(Ashed_controlls!$K$1:$K$11)</f>
        <v>5.5147656768714146</v>
      </c>
      <c r="N111" s="194">
        <f t="shared" si="0"/>
        <v>1.7028128929714235</v>
      </c>
      <c r="O111" s="194">
        <f t="shared" si="5"/>
        <v>1.9542000000000002</v>
      </c>
      <c r="P111" s="233">
        <f>AVERAGE(Ashed_controlls!$K$12:$K$14)</f>
        <v>2.2816647271287041</v>
      </c>
      <c r="Q111" s="194">
        <f t="shared" si="1"/>
        <v>1.909611707902451</v>
      </c>
      <c r="R111" s="16">
        <f>IF('Dry_Litterbag Placem_Collection'!G38="","",'Dry_Litterbag Placem_Collection'!G38)</f>
        <v>43005</v>
      </c>
      <c r="S111" s="194">
        <f>IFERROR(INDEX('Both teabags AfterDry'!$D$3:$D$2000,MATCH(H111,'Both teabags AfterDry'!$A$3:$A$2000,0)),"")</f>
        <v>1.65</v>
      </c>
      <c r="T111" s="194">
        <f>IFERROR(INDEX('Both teabags AfterDry'!$D$3:$D$2000,MATCH(I111,'Both teabags AfterDry'!$A$3:$A$2000,0)),"")</f>
        <v>1.3494999999999999</v>
      </c>
      <c r="U111" s="194">
        <f t="shared" si="6"/>
        <v>1.4993999999999998</v>
      </c>
      <c r="V111" s="194">
        <f t="shared" si="7"/>
        <v>1.1988999999999999</v>
      </c>
      <c r="W111" s="194">
        <f>IFERROR(INDEX('Ashed teabags dry'!$K$2:$K$2000,MATCH(H111,'Ashed teabags dry'!$A$2:$A$2000,0)),"")</f>
        <v>8.6725663716812598</v>
      </c>
      <c r="X111" s="194">
        <f>IFERROR(INDEX('Ashed teabags dry'!$K$2:$K$2000,MATCH(I111,'Ashed teabags dry'!$A$2:$A$2000,0)),"")</f>
        <v>96.616541353382999</v>
      </c>
      <c r="Y111" s="194">
        <f t="shared" si="2"/>
        <v>1.3693635398230111</v>
      </c>
      <c r="Z111" s="194">
        <f t="shared" si="2"/>
        <v>4.0564285714291159E-2</v>
      </c>
      <c r="AA111" s="194">
        <f t="shared" si="8"/>
        <v>0.19582266174091523</v>
      </c>
      <c r="AB111" s="194">
        <f t="shared" si="9"/>
        <v>0.12837780199641949</v>
      </c>
      <c r="AC111" s="194">
        <f t="shared" si="3"/>
        <v>2.1242164334469672E-2</v>
      </c>
      <c r="AD111">
        <f t="shared" si="10"/>
        <v>67</v>
      </c>
      <c r="AE111" s="194">
        <f t="shared" si="11"/>
        <v>0.76743151812242849</v>
      </c>
      <c r="AF111" s="194" t="str">
        <f t="shared" si="12"/>
        <v/>
      </c>
      <c r="AG111" s="245" t="str">
        <f>IF(ISNUMBER(SEARCH("C", 'Dry_Litterbag Placem_Collection'!$T38)),"YES","NO")</f>
        <v>YES</v>
      </c>
      <c r="AH111" s="245" t="str">
        <f>IF(ISNUMBER(SEARCH("H", 'Dry_Litterbag Placem_Collection'!$T38)),"YES","NO")</f>
        <v>YES</v>
      </c>
      <c r="AI111" s="245" t="str">
        <f>IF(ISNUMBER(SEARCH("R", 'Dry_Litterbag Placem_Collection'!$T38)),"YES","NO")</f>
        <v>NO</v>
      </c>
      <c r="AJ111" s="245" t="str">
        <f>IF(ISNUMBER(SEARCH("C", 'Dry_Litterbag Placem_Collection'!$S38)),"YES","NO")</f>
        <v>NO</v>
      </c>
      <c r="AK111" s="245" t="str">
        <f>IF(ISNUMBER(SEARCH("H", 'Dry_Litterbag Placem_Collection'!$S38)),"YES","NO")</f>
        <v>NO</v>
      </c>
      <c r="AL111" s="245" t="str">
        <f>IF(ISNUMBER(SEARCH("R", 'Dry_Litterbag Placem_Collection'!$S38)),"YES","NO")</f>
        <v>NO</v>
      </c>
    </row>
    <row r="112" spans="2:38">
      <c r="B112" t="str">
        <f>Dryseason!B38</f>
        <v>Dry</v>
      </c>
      <c r="C112" s="253">
        <f>Dryseason!C38</f>
        <v>37</v>
      </c>
      <c r="D112" t="s">
        <v>3106</v>
      </c>
      <c r="E112" t="s">
        <v>22</v>
      </c>
      <c r="F112" s="375">
        <v>5</v>
      </c>
      <c r="G112" s="16">
        <f>IF('Dry_Litterbag Placem_Collection'!E39="","",'Dry_Litterbag Placem_Collection'!E39)</f>
        <v>42938</v>
      </c>
      <c r="H112" t="str">
        <f>Dryseason!L38</f>
        <v>G66</v>
      </c>
      <c r="I112" t="str">
        <f>Dryseason!L258</f>
        <v>R722</v>
      </c>
      <c r="J112">
        <f>IFERROR(INDEX('Green_rooibos initial weight'!$C$5:$C$2000,MATCH(H112, 'Green_rooibos initial weight'!$A$5:$A$2000,0)),"")</f>
        <v>1.9490000000000001</v>
      </c>
      <c r="K112">
        <f>IFERROR(INDEX('Green_rooibos initial weight'!$C$5:$C$2000,MATCH(I112, 'Green_rooibos initial weight'!$A$5:$A$2000,0)),"")</f>
        <v>2.2069999999999999</v>
      </c>
      <c r="L112" s="194">
        <f t="shared" si="4"/>
        <v>1.6992</v>
      </c>
      <c r="M112" s="233">
        <f>AVERAGE(Ashed_controlls!$K$1:$K$11)</f>
        <v>5.5147656768714146</v>
      </c>
      <c r="N112" s="194">
        <f t="shared" si="0"/>
        <v>1.6054931016186009</v>
      </c>
      <c r="O112" s="194">
        <f t="shared" si="5"/>
        <v>1.9571999999999998</v>
      </c>
      <c r="P112" s="233">
        <f>AVERAGE(Ashed_controlls!$K$12:$K$14)</f>
        <v>2.2816647271287041</v>
      </c>
      <c r="Q112" s="194">
        <f t="shared" si="1"/>
        <v>1.9125432579606367</v>
      </c>
      <c r="R112" s="16">
        <f>IF('Dry_Litterbag Placem_Collection'!G39="","",'Dry_Litterbag Placem_Collection'!G39)</f>
        <v>43005</v>
      </c>
      <c r="S112" s="194">
        <f>IFERROR(INDEX('Both teabags AfterDry'!$D$3:$D$2000,MATCH(H112,'Both teabags AfterDry'!$A$3:$A$2000,0)),"")</f>
        <v>3.3298000000000001</v>
      </c>
      <c r="T112" s="194">
        <f>IFERROR(INDEX('Both teabags AfterDry'!$D$3:$D$2000,MATCH(I112,'Both teabags AfterDry'!$A$3:$A$2000,0)),"")</f>
        <v>0.13320000000000001</v>
      </c>
      <c r="U112" s="194">
        <f t="shared" si="6"/>
        <v>3.1792000000000002</v>
      </c>
      <c r="V112" s="194">
        <f t="shared" si="7"/>
        <v>-1.7399999999999999E-2</v>
      </c>
      <c r="W112" s="194">
        <f>IFERROR(INDEX('Ashed teabags dry'!$K$2:$K$2000,MATCH(H112,'Ashed teabags dry'!$A$2:$A$2000,0)),"")</f>
        <v>73.511543134872284</v>
      </c>
      <c r="X112" s="194">
        <f>IFERROR(INDEX('Ashed teabags dry'!$K$2:$K$2000,MATCH(I112,'Ashed teabags dry'!$A$2:$A$2000,0)),"")</f>
        <v>96.545105566220045</v>
      </c>
      <c r="Y112" s="194">
        <f t="shared" si="2"/>
        <v>0.84212102065614047</v>
      </c>
      <c r="Z112" s="194">
        <f t="shared" si="2"/>
        <v>-6.0115163147771156E-4</v>
      </c>
      <c r="AA112" s="194">
        <f t="shared" si="8"/>
        <v>0.47547515476264324</v>
      </c>
      <c r="AB112" s="194">
        <f t="shared" si="9"/>
        <v>0.31171292806292056</v>
      </c>
      <c r="AC112" s="194">
        <f t="shared" si="3"/>
        <v>-3.1432054097365898E-4</v>
      </c>
      <c r="AD112">
        <f t="shared" si="10"/>
        <v>67</v>
      </c>
      <c r="AE112" s="194">
        <f t="shared" si="11"/>
        <v>0.43530266655268024</v>
      </c>
      <c r="AF112" s="194" t="str">
        <f t="shared" si="12"/>
        <v/>
      </c>
      <c r="AG112" s="245" t="str">
        <f>IF(ISNUMBER(SEARCH("C", 'Dry_Litterbag Placem_Collection'!$T39)),"YES","NO")</f>
        <v>YES</v>
      </c>
      <c r="AH112" s="245" t="str">
        <f>IF(ISNUMBER(SEARCH("H", 'Dry_Litterbag Placem_Collection'!$T39)),"YES","NO")</f>
        <v>YES</v>
      </c>
      <c r="AI112" s="245" t="str">
        <f>IF(ISNUMBER(SEARCH("R", 'Dry_Litterbag Placem_Collection'!$T39)),"YES","NO")</f>
        <v>NO</v>
      </c>
      <c r="AJ112" s="245" t="str">
        <f>IF(ISNUMBER(SEARCH("C", 'Dry_Litterbag Placem_Collection'!$S39)),"YES","NO")</f>
        <v>YES</v>
      </c>
      <c r="AK112" s="245" t="str">
        <f>IF(ISNUMBER(SEARCH("H", 'Dry_Litterbag Placem_Collection'!$S39)),"YES","NO")</f>
        <v>YES</v>
      </c>
      <c r="AL112" s="245" t="str">
        <f>IF(ISNUMBER(SEARCH("R", 'Dry_Litterbag Placem_Collection'!$S39)),"YES","NO")</f>
        <v>NO</v>
      </c>
    </row>
    <row r="113" spans="2:38">
      <c r="B113" t="str">
        <f>Dryseason!B39</f>
        <v>Dry</v>
      </c>
      <c r="C113" s="253">
        <f>Dryseason!C39</f>
        <v>38</v>
      </c>
      <c r="D113" t="s">
        <v>3106</v>
      </c>
      <c r="E113" t="s">
        <v>22</v>
      </c>
      <c r="F113" s="375">
        <v>6</v>
      </c>
      <c r="G113" s="16">
        <f>IF('Dry_Litterbag Placem_Collection'!E40="","",'Dry_Litterbag Placem_Collection'!E40)</f>
        <v>42938</v>
      </c>
      <c r="H113" t="str">
        <f>Dryseason!L39</f>
        <v>G625</v>
      </c>
      <c r="I113" t="str">
        <f>Dryseason!L259</f>
        <v>R796</v>
      </c>
      <c r="J113">
        <f>IFERROR(INDEX('Green_rooibos initial weight'!$C$5:$C$2000,MATCH(H113, 'Green_rooibos initial weight'!$A$5:$A$2000,0)),"")</f>
        <v>1.9650000000000001</v>
      </c>
      <c r="K113">
        <f>IFERROR(INDEX('Green_rooibos initial weight'!$C$5:$C$2000,MATCH(I113, 'Green_rooibos initial weight'!$A$5:$A$2000,0)),"")</f>
        <v>2.2360000000000002</v>
      </c>
      <c r="L113" s="194">
        <f t="shared" si="4"/>
        <v>1.7152000000000001</v>
      </c>
      <c r="M113" s="233">
        <f>AVERAGE(Ashed_controlls!$K$1:$K$11)</f>
        <v>5.5147656768714146</v>
      </c>
      <c r="N113" s="194">
        <f t="shared" si="0"/>
        <v>1.6206107391103015</v>
      </c>
      <c r="O113" s="194">
        <f t="shared" si="5"/>
        <v>1.9862000000000002</v>
      </c>
      <c r="P113" s="233">
        <f>AVERAGE(Ashed_controlls!$K$12:$K$14)</f>
        <v>2.2816647271287041</v>
      </c>
      <c r="Q113" s="194">
        <f t="shared" si="1"/>
        <v>1.9408815751897699</v>
      </c>
      <c r="R113" s="16">
        <f>IF('Dry_Litterbag Placem_Collection'!G40="","",'Dry_Litterbag Placem_Collection'!G40)</f>
        <v>43005</v>
      </c>
      <c r="S113" s="194">
        <f>IFERROR(INDEX('Both teabags AfterDry'!$D$3:$D$2000,MATCH(H113,'Both teabags AfterDry'!$A$3:$A$2000,0)),"")</f>
        <v>1.8379000000000001</v>
      </c>
      <c r="T113" s="194">
        <f>IFERROR(INDEX('Both teabags AfterDry'!$D$3:$D$2000,MATCH(I113,'Both teabags AfterDry'!$A$3:$A$2000,0)),"")</f>
        <v>1.9076</v>
      </c>
      <c r="U113" s="194">
        <f t="shared" si="6"/>
        <v>1.6873</v>
      </c>
      <c r="V113" s="194">
        <f t="shared" si="7"/>
        <v>1.7569999999999999</v>
      </c>
      <c r="W113" s="194">
        <f>IFERROR(INDEX('Ashed teabags dry'!$K$2:$K$2000,MATCH(H113,'Ashed teabags dry'!$A$2:$A$2000,0)),"")</f>
        <v>9.99592003263969</v>
      </c>
      <c r="X113" s="194">
        <f>IFERROR(INDEX('Ashed teabags dry'!$K$2:$K$2000,MATCH(I113,'Ashed teabags dry'!$A$2:$A$2000,0)),"")</f>
        <v>4.810004810006216</v>
      </c>
      <c r="Y113" s="194">
        <f t="shared" si="2"/>
        <v>1.5186388412892706</v>
      </c>
      <c r="Z113" s="194">
        <f t="shared" si="2"/>
        <v>1.6724882154881906</v>
      </c>
      <c r="AA113" s="194">
        <f t="shared" si="8"/>
        <v>6.2921894419268432E-2</v>
      </c>
      <c r="AB113" s="194">
        <f t="shared" si="9"/>
        <v>4.1250458099092856E-2</v>
      </c>
      <c r="AC113" s="194">
        <f t="shared" si="3"/>
        <v>0.86171574652856542</v>
      </c>
      <c r="AD113">
        <f t="shared" si="10"/>
        <v>67</v>
      </c>
      <c r="AE113" s="194">
        <f t="shared" si="11"/>
        <v>0.92527090924077382</v>
      </c>
      <c r="AF113" s="194" t="str">
        <f t="shared" si="12"/>
        <v/>
      </c>
      <c r="AG113" s="245" t="str">
        <f>IF(ISNUMBER(SEARCH("C", 'Dry_Litterbag Placem_Collection'!$T40)),"YES","NO")</f>
        <v>NO</v>
      </c>
      <c r="AH113" s="245" t="str">
        <f>IF(ISNUMBER(SEARCH("H", 'Dry_Litterbag Placem_Collection'!$T40)),"YES","NO")</f>
        <v>NO</v>
      </c>
      <c r="AI113" s="245" t="str">
        <f>IF(ISNUMBER(SEARCH("R", 'Dry_Litterbag Placem_Collection'!$T40)),"YES","NO")</f>
        <v>NO</v>
      </c>
      <c r="AJ113" s="245" t="str">
        <f>IF(ISNUMBER(SEARCH("C", 'Dry_Litterbag Placem_Collection'!$S40)),"YES","NO")</f>
        <v>YES</v>
      </c>
      <c r="AK113" s="245" t="str">
        <f>IF(ISNUMBER(SEARCH("H", 'Dry_Litterbag Placem_Collection'!$S40)),"YES","NO")</f>
        <v>YES</v>
      </c>
      <c r="AL113" s="245" t="str">
        <f>IF(ISNUMBER(SEARCH("R", 'Dry_Litterbag Placem_Collection'!$S40)),"YES","NO")</f>
        <v>NO</v>
      </c>
    </row>
    <row r="114" spans="2:38">
      <c r="B114" t="str">
        <f>Dryseason!B40</f>
        <v>Dry</v>
      </c>
      <c r="C114" s="253">
        <f>Dryseason!C40</f>
        <v>39</v>
      </c>
      <c r="D114" t="s">
        <v>3106</v>
      </c>
      <c r="E114" t="s">
        <v>22</v>
      </c>
      <c r="F114" s="375">
        <v>7</v>
      </c>
      <c r="G114" s="16">
        <f>IF('Dry_Litterbag Placem_Collection'!E41="","",'Dry_Litterbag Placem_Collection'!E41)</f>
        <v>42938</v>
      </c>
      <c r="H114" t="str">
        <f>Dryseason!L40</f>
        <v/>
      </c>
      <c r="I114" t="str">
        <f>Dryseason!L260</f>
        <v/>
      </c>
      <c r="J114" t="str">
        <f>IFERROR(INDEX('Green_rooibos initial weight'!$C$5:$C$2000,MATCH(H114, 'Green_rooibos initial weight'!$A$5:$A$2000,0)),"")</f>
        <v/>
      </c>
      <c r="K114" t="str">
        <f>IFERROR(INDEX('Green_rooibos initial weight'!$C$5:$C$2000,MATCH(I114, 'Green_rooibos initial weight'!$A$5:$A$2000,0)),"")</f>
        <v/>
      </c>
      <c r="L114" s="194" t="str">
        <f t="shared" si="4"/>
        <v/>
      </c>
      <c r="M114" s="233">
        <f>AVERAGE(Ashed_controlls!$K$1:$K$11)</f>
        <v>5.5147656768714146</v>
      </c>
      <c r="N114" s="194" t="str">
        <f t="shared" si="0"/>
        <v/>
      </c>
      <c r="O114" s="194" t="str">
        <f t="shared" si="5"/>
        <v/>
      </c>
      <c r="P114" s="233">
        <f>AVERAGE(Ashed_controlls!$K$12:$K$14)</f>
        <v>2.2816647271287041</v>
      </c>
      <c r="Q114" s="194" t="str">
        <f t="shared" si="1"/>
        <v/>
      </c>
      <c r="R114" s="16" t="str">
        <f>IF('Dry_Litterbag Placem_Collection'!G41="","",'Dry_Litterbag Placem_Collection'!G41)</f>
        <v/>
      </c>
      <c r="S114" s="194" t="str">
        <f>IFERROR(INDEX('Both teabags AfterDry'!$D$3:$D$2000,MATCH(H114,'Both teabags AfterDry'!$A$3:$A$2000,0)),"")</f>
        <v/>
      </c>
      <c r="T114" s="194" t="str">
        <f>IFERROR(INDEX('Both teabags AfterDry'!$D$3:$D$2000,MATCH(I114,'Both teabags AfterDry'!$A$3:$A$2000,0)),"")</f>
        <v/>
      </c>
      <c r="U114" s="194" t="str">
        <f t="shared" si="6"/>
        <v/>
      </c>
      <c r="V114" s="194" t="str">
        <f t="shared" si="7"/>
        <v/>
      </c>
      <c r="W114" s="194" t="str">
        <f>IFERROR(INDEX('Ashed teabags dry'!$K$2:$K$2000,MATCH(H114,'Ashed teabags dry'!$A$2:$A$2000,0)),"")</f>
        <v/>
      </c>
      <c r="X114" s="194" t="str">
        <f>IFERROR(INDEX('Ashed teabags dry'!$K$2:$K$2000,MATCH(I114,'Ashed teabags dry'!$A$2:$A$2000,0)),"")</f>
        <v/>
      </c>
      <c r="Y114" s="194" t="str">
        <f t="shared" si="2"/>
        <v/>
      </c>
      <c r="Z114" s="194" t="str">
        <f t="shared" si="2"/>
        <v/>
      </c>
      <c r="AA114" s="194" t="str">
        <f t="shared" si="8"/>
        <v/>
      </c>
      <c r="AB114" s="194" t="str">
        <f t="shared" si="9"/>
        <v/>
      </c>
      <c r="AC114" s="194" t="str">
        <f t="shared" si="3"/>
        <v/>
      </c>
      <c r="AD114" t="str">
        <f t="shared" si="10"/>
        <v/>
      </c>
      <c r="AE114" s="194" t="str">
        <f t="shared" si="11"/>
        <v/>
      </c>
      <c r="AF114" s="194" t="str">
        <f t="shared" si="12"/>
        <v/>
      </c>
      <c r="AG114" s="245" t="str">
        <f>IF(ISNUMBER(SEARCH("C", 'Dry_Litterbag Placem_Collection'!$T41)),"YES","NO")</f>
        <v>NO</v>
      </c>
      <c r="AH114" s="245" t="str">
        <f>IF(ISNUMBER(SEARCH("H", 'Dry_Litterbag Placem_Collection'!$T41)),"YES","NO")</f>
        <v>NO</v>
      </c>
      <c r="AI114" s="245" t="str">
        <f>IF(ISNUMBER(SEARCH("R", 'Dry_Litterbag Placem_Collection'!$T41)),"YES","NO")</f>
        <v>NO</v>
      </c>
      <c r="AJ114" s="245" t="str">
        <f>IF(ISNUMBER(SEARCH("C", 'Dry_Litterbag Placem_Collection'!$S41)),"YES","NO")</f>
        <v>NO</v>
      </c>
      <c r="AK114" s="245" t="str">
        <f>IF(ISNUMBER(SEARCH("H", 'Dry_Litterbag Placem_Collection'!$S41)),"YES","NO")</f>
        <v>NO</v>
      </c>
      <c r="AL114" s="245" t="str">
        <f>IF(ISNUMBER(SEARCH("R", 'Dry_Litterbag Placem_Collection'!$S41)),"YES","NO")</f>
        <v>NO</v>
      </c>
    </row>
    <row r="115" spans="2:38">
      <c r="B115" t="str">
        <f>Dryseason!B41</f>
        <v>Dry</v>
      </c>
      <c r="C115" s="253">
        <f>Dryseason!C41</f>
        <v>40</v>
      </c>
      <c r="D115" t="s">
        <v>3106</v>
      </c>
      <c r="E115" t="s">
        <v>22</v>
      </c>
      <c r="F115" s="375">
        <v>8</v>
      </c>
      <c r="G115" s="16">
        <f>IF('Dry_Litterbag Placem_Collection'!E42="","",'Dry_Litterbag Placem_Collection'!E42)</f>
        <v>42938</v>
      </c>
      <c r="H115" t="str">
        <f>Dryseason!L41</f>
        <v>G88</v>
      </c>
      <c r="I115" t="str">
        <f>Dryseason!L261</f>
        <v>R782</v>
      </c>
      <c r="J115">
        <f>IFERROR(INDEX('Green_rooibos initial weight'!$C$5:$C$2000,MATCH(H115, 'Green_rooibos initial weight'!$A$5:$A$2000,0)),"")</f>
        <v>2.1549999999999998</v>
      </c>
      <c r="K115">
        <f>IFERROR(INDEX('Green_rooibos initial weight'!$C$5:$C$2000,MATCH(I115, 'Green_rooibos initial weight'!$A$5:$A$2000,0)),"")</f>
        <v>2.2410000000000001</v>
      </c>
      <c r="L115" s="194">
        <f t="shared" si="4"/>
        <v>1.9051999999999998</v>
      </c>
      <c r="M115" s="233">
        <f>AVERAGE(Ashed_controlls!$K$1:$K$11)</f>
        <v>5.5147656768714146</v>
      </c>
      <c r="N115" s="194">
        <f t="shared" si="0"/>
        <v>1.8001326843242456</v>
      </c>
      <c r="O115" s="194">
        <f t="shared" si="5"/>
        <v>1.9912000000000001</v>
      </c>
      <c r="P115" s="233">
        <f>AVERAGE(Ashed_controlls!$K$12:$K$14)</f>
        <v>2.2816647271287041</v>
      </c>
      <c r="Q115" s="194">
        <f t="shared" si="1"/>
        <v>1.9457674919534134</v>
      </c>
      <c r="R115" s="16">
        <f>IF('Dry_Litterbag Placem_Collection'!G42="","",'Dry_Litterbag Placem_Collection'!G42)</f>
        <v>43005</v>
      </c>
      <c r="S115" s="194">
        <f>IFERROR(INDEX('Both teabags AfterDry'!$D$3:$D$2000,MATCH(H115,'Both teabags AfterDry'!$A$3:$A$2000,0)),"")</f>
        <v>1.9495</v>
      </c>
      <c r="T115" s="194">
        <f>IFERROR(INDEX('Both teabags AfterDry'!$D$3:$D$2000,MATCH(I115,'Both teabags AfterDry'!$A$3:$A$2000,0)),"")</f>
        <v>1.992</v>
      </c>
      <c r="U115" s="194">
        <f t="shared" si="6"/>
        <v>1.7988999999999999</v>
      </c>
      <c r="V115" s="194">
        <f t="shared" si="7"/>
        <v>1.8413999999999999</v>
      </c>
      <c r="W115" s="194">
        <f>IFERROR(INDEX('Ashed teabags dry'!$K$2:$K$2000,MATCH(H115,'Ashed teabags dry'!$A$2:$A$2000,0)),"")</f>
        <v>6.6945606694563358</v>
      </c>
      <c r="X115" s="194">
        <f>IFERROR(INDEX('Ashed teabags dry'!$K$2:$K$2000,MATCH(I115,'Ashed teabags dry'!$A$2:$A$2000,0)),"")</f>
        <v>3.5485460818134884</v>
      </c>
      <c r="Y115" s="194">
        <f t="shared" si="2"/>
        <v>1.6784715481171499</v>
      </c>
      <c r="Z115" s="194">
        <f t="shared" si="2"/>
        <v>1.7760570724494864</v>
      </c>
      <c r="AA115" s="194">
        <f t="shared" si="8"/>
        <v>6.7584538221284629E-2</v>
      </c>
      <c r="AB115" s="194">
        <f t="shared" si="9"/>
        <v>4.4307203204452646E-2</v>
      </c>
      <c r="AC115" s="194">
        <f t="shared" si="3"/>
        <v>0.91277970250517981</v>
      </c>
      <c r="AD115">
        <f t="shared" si="10"/>
        <v>67</v>
      </c>
      <c r="AE115" s="194">
        <f t="shared" si="11"/>
        <v>0.9197333275281655</v>
      </c>
      <c r="AF115" s="194" t="str">
        <f t="shared" si="12"/>
        <v/>
      </c>
      <c r="AG115" s="245" t="str">
        <f>IF(ISNUMBER(SEARCH("C", 'Dry_Litterbag Placem_Collection'!$T42)),"YES","NO")</f>
        <v>NO</v>
      </c>
      <c r="AH115" s="245" t="str">
        <f>IF(ISNUMBER(SEARCH("H", 'Dry_Litterbag Placem_Collection'!$T42)),"YES","NO")</f>
        <v>NO</v>
      </c>
      <c r="AI115" s="245" t="str">
        <f>IF(ISNUMBER(SEARCH("R", 'Dry_Litterbag Placem_Collection'!$T42)),"YES","NO")</f>
        <v>NO</v>
      </c>
      <c r="AJ115" s="245" t="str">
        <f>IF(ISNUMBER(SEARCH("C", 'Dry_Litterbag Placem_Collection'!$S42)),"YES","NO")</f>
        <v>YES</v>
      </c>
      <c r="AK115" s="245" t="str">
        <f>IF(ISNUMBER(SEARCH("H", 'Dry_Litterbag Placem_Collection'!$S42)),"YES","NO")</f>
        <v>YES</v>
      </c>
      <c r="AL115" s="245" t="str">
        <f>IF(ISNUMBER(SEARCH("R", 'Dry_Litterbag Placem_Collection'!$S42)),"YES","NO")</f>
        <v>NO</v>
      </c>
    </row>
    <row r="116" spans="2:38">
      <c r="B116" t="str">
        <f>Dryseason!B42</f>
        <v>Dry</v>
      </c>
      <c r="C116" s="253">
        <f>Dryseason!C42</f>
        <v>41</v>
      </c>
      <c r="D116" t="s">
        <v>3108</v>
      </c>
      <c r="E116" t="s">
        <v>22</v>
      </c>
      <c r="F116" s="374">
        <v>1</v>
      </c>
      <c r="G116" s="16">
        <f>IF('Dry_Litterbag Placem_Collection'!E43="","",'Dry_Litterbag Placem_Collection'!E43)</f>
        <v>42938</v>
      </c>
      <c r="H116" t="str">
        <f>Dryseason!L42</f>
        <v>G256</v>
      </c>
      <c r="I116" t="str">
        <f>Dryseason!L262</f>
        <v>R820</v>
      </c>
      <c r="J116">
        <f>IFERROR(INDEX('Green_rooibos initial weight'!$C$5:$C$2000,MATCH(H116, 'Green_rooibos initial weight'!$A$5:$A$2000,0)),"")</f>
        <v>2.11</v>
      </c>
      <c r="K116">
        <f>IFERROR(INDEX('Green_rooibos initial weight'!$C$5:$C$2000,MATCH(I116, 'Green_rooibos initial weight'!$A$5:$A$2000,0)),"")</f>
        <v>2.2170000000000001</v>
      </c>
      <c r="L116" s="194">
        <f t="shared" si="4"/>
        <v>1.8601999999999999</v>
      </c>
      <c r="M116" s="233">
        <f>AVERAGE(Ashed_controlls!$K$1:$K$11)</f>
        <v>5.5147656768714146</v>
      </c>
      <c r="N116" s="194">
        <f t="shared" si="0"/>
        <v>1.7576143288788377</v>
      </c>
      <c r="O116" s="194">
        <f t="shared" si="5"/>
        <v>1.9672000000000001</v>
      </c>
      <c r="P116" s="233">
        <f>AVERAGE(Ashed_controlls!$K$12:$K$14)</f>
        <v>2.2816647271287041</v>
      </c>
      <c r="Q116" s="194">
        <f t="shared" si="1"/>
        <v>1.9223150914879241</v>
      </c>
      <c r="R116" s="16">
        <f>IF('Dry_Litterbag Placem_Collection'!G43="","",'Dry_Litterbag Placem_Collection'!G43)</f>
        <v>43005</v>
      </c>
      <c r="S116" s="194">
        <f>IFERROR(INDEX('Both teabags AfterDry'!$D$3:$D$2000,MATCH(H116,'Both teabags AfterDry'!$A$3:$A$2000,0)),"")</f>
        <v>1.6208</v>
      </c>
      <c r="T116" s="194">
        <f>IFERROR(INDEX('Both teabags AfterDry'!$D$3:$D$2000,MATCH(I116,'Both teabags AfterDry'!$A$3:$A$2000,0)),"")</f>
        <v>1.2708999999999999</v>
      </c>
      <c r="U116" s="194">
        <f t="shared" si="6"/>
        <v>1.4702</v>
      </c>
      <c r="V116" s="194">
        <f t="shared" si="7"/>
        <v>1.1202999999999999</v>
      </c>
      <c r="W116" s="194">
        <f>IFERROR(INDEX('Ashed teabags dry'!$K$2:$K$2000,MATCH(H116,'Ashed teabags dry'!$A$2:$A$2000,0)),"")</f>
        <v>6.3627730294394693</v>
      </c>
      <c r="X116" s="194">
        <f>IFERROR(INDEX('Ashed teabags dry'!$K$2:$K$2000,MATCH(I116,'Ashed teabags dry'!$A$2:$A$2000,0)),"")</f>
        <v>3.1920199501252777</v>
      </c>
      <c r="Y116" s="194">
        <f t="shared" si="2"/>
        <v>1.376654510921181</v>
      </c>
      <c r="Z116" s="194">
        <f t="shared" si="2"/>
        <v>1.0845398004987463</v>
      </c>
      <c r="AA116" s="194">
        <f t="shared" si="8"/>
        <v>0.21674824317156471</v>
      </c>
      <c r="AB116" s="194">
        <f t="shared" si="9"/>
        <v>0.14209623542838923</v>
      </c>
      <c r="AC116" s="194">
        <f t="shared" si="3"/>
        <v>0.5641841991987292</v>
      </c>
      <c r="AD116">
        <f t="shared" si="10"/>
        <v>67</v>
      </c>
      <c r="AE116" s="194">
        <f t="shared" si="11"/>
        <v>0.74257928364422243</v>
      </c>
      <c r="AF116" s="194" t="str">
        <f t="shared" si="12"/>
        <v/>
      </c>
      <c r="AG116" s="245" t="str">
        <f>IF(ISNUMBER(SEARCH("C", 'Dry_Litterbag Placem_Collection'!$T43)),"YES","NO")</f>
        <v>NO</v>
      </c>
      <c r="AH116" s="245" t="str">
        <f>IF(ISNUMBER(SEARCH("H", 'Dry_Litterbag Placem_Collection'!$T43)),"YES","NO")</f>
        <v>YES</v>
      </c>
      <c r="AI116" s="245" t="str">
        <f>IF(ISNUMBER(SEARCH("R", 'Dry_Litterbag Placem_Collection'!$T43)),"YES","NO")</f>
        <v>NO</v>
      </c>
      <c r="AJ116" s="245" t="str">
        <f>IF(ISNUMBER(SEARCH("C", 'Dry_Litterbag Placem_Collection'!$S43)),"YES","NO")</f>
        <v>NO</v>
      </c>
      <c r="AK116" s="245" t="str">
        <f>IF(ISNUMBER(SEARCH("H", 'Dry_Litterbag Placem_Collection'!$S43)),"YES","NO")</f>
        <v>YES</v>
      </c>
      <c r="AL116" s="245" t="str">
        <f>IF(ISNUMBER(SEARCH("R", 'Dry_Litterbag Placem_Collection'!$S43)),"YES","NO")</f>
        <v>NO</v>
      </c>
    </row>
    <row r="117" spans="2:38">
      <c r="B117" t="str">
        <f>Dryseason!B43</f>
        <v>Dry</v>
      </c>
      <c r="C117" s="253">
        <f>Dryseason!C43</f>
        <v>42</v>
      </c>
      <c r="D117" t="s">
        <v>3108</v>
      </c>
      <c r="E117" t="s">
        <v>22</v>
      </c>
      <c r="F117" s="374">
        <v>2</v>
      </c>
      <c r="G117" s="16">
        <f>IF('Dry_Litterbag Placem_Collection'!E44="","",'Dry_Litterbag Placem_Collection'!E44)</f>
        <v>42938</v>
      </c>
      <c r="H117" t="str">
        <f>Dryseason!L43</f>
        <v>G341</v>
      </c>
      <c r="I117" t="str">
        <f>Dryseason!L263</f>
        <v>R806</v>
      </c>
      <c r="J117">
        <f>IFERROR(INDEX('Green_rooibos initial weight'!$C$5:$C$2000,MATCH(H117, 'Green_rooibos initial weight'!$A$5:$A$2000,0)),"")</f>
        <v>1.954</v>
      </c>
      <c r="K117">
        <f>IFERROR(INDEX('Green_rooibos initial weight'!$C$5:$C$2000,MATCH(I117, 'Green_rooibos initial weight'!$A$5:$A$2000,0)),"")</f>
        <v>2.2389999999999999</v>
      </c>
      <c r="L117" s="194">
        <f t="shared" si="4"/>
        <v>1.7041999999999999</v>
      </c>
      <c r="M117" s="233">
        <f>AVERAGE(Ashed_controlls!$K$1:$K$11)</f>
        <v>5.5147656768714146</v>
      </c>
      <c r="N117" s="194">
        <f t="shared" si="0"/>
        <v>1.6102173633347574</v>
      </c>
      <c r="O117" s="194">
        <f t="shared" si="5"/>
        <v>1.9891999999999999</v>
      </c>
      <c r="P117" s="233">
        <f>AVERAGE(Ashed_controlls!$K$12:$K$14)</f>
        <v>2.2816647271287041</v>
      </c>
      <c r="Q117" s="194">
        <f t="shared" si="1"/>
        <v>1.9438131252479556</v>
      </c>
      <c r="R117" s="16">
        <f>IF('Dry_Litterbag Placem_Collection'!G44="","",'Dry_Litterbag Placem_Collection'!G44)</f>
        <v>43005</v>
      </c>
      <c r="S117" s="194">
        <f>IFERROR(INDEX('Both teabags AfterDry'!$D$3:$D$2000,MATCH(H117,'Both teabags AfterDry'!$A$3:$A$2000,0)),"")</f>
        <v>1.7267999999999999</v>
      </c>
      <c r="T117" s="194">
        <f>IFERROR(INDEX('Both teabags AfterDry'!$D$3:$D$2000,MATCH(I117,'Both teabags AfterDry'!$A$3:$A$2000,0)),"")</f>
        <v>0.14760000000000001</v>
      </c>
      <c r="U117" s="194">
        <f t="shared" si="6"/>
        <v>1.5761999999999998</v>
      </c>
      <c r="V117" s="194">
        <f t="shared" si="7"/>
        <v>-3.0000000000000027E-3</v>
      </c>
      <c r="W117" s="194">
        <f>IFERROR(INDEX('Ashed teabags dry'!$K$2:$K$2000,MATCH(H117,'Ashed teabags dry'!$A$2:$A$2000,0)),"")</f>
        <v>7.1704594246447426</v>
      </c>
      <c r="X117" s="194">
        <f>IFERROR(INDEX('Ashed teabags dry'!$K$2:$K$2000,MATCH(I117,'Ashed teabags dry'!$A$2:$A$2000,0)),"")</f>
        <v>0</v>
      </c>
      <c r="Y117" s="194">
        <f t="shared" si="2"/>
        <v>1.4631792185487493</v>
      </c>
      <c r="Z117" s="194">
        <f t="shared" si="2"/>
        <v>-3.0000000000000027E-3</v>
      </c>
      <c r="AA117" s="194">
        <f t="shared" si="8"/>
        <v>9.1315711862336557E-2</v>
      </c>
      <c r="AB117" s="194">
        <f t="shared" si="9"/>
        <v>5.9864932242291925E-2</v>
      </c>
      <c r="AC117" s="194">
        <f t="shared" si="3"/>
        <v>-1.5433582380082543E-3</v>
      </c>
      <c r="AD117">
        <f t="shared" si="10"/>
        <v>67</v>
      </c>
      <c r="AE117" s="194">
        <f t="shared" si="11"/>
        <v>0.89154903579294942</v>
      </c>
      <c r="AF117" s="194" t="str">
        <f t="shared" si="12"/>
        <v/>
      </c>
      <c r="AG117" s="245" t="str">
        <f>IF(ISNUMBER(SEARCH("C", 'Dry_Litterbag Placem_Collection'!$T44)),"YES","NO")</f>
        <v>YES</v>
      </c>
      <c r="AH117" s="245" t="str">
        <f>IF(ISNUMBER(SEARCH("H", 'Dry_Litterbag Placem_Collection'!$T44)),"YES","NO")</f>
        <v>YES</v>
      </c>
      <c r="AI117" s="245" t="str">
        <f>IF(ISNUMBER(SEARCH("R", 'Dry_Litterbag Placem_Collection'!$T44)),"YES","NO")</f>
        <v>NO</v>
      </c>
      <c r="AJ117" s="245" t="str">
        <f>IF(ISNUMBER(SEARCH("C", 'Dry_Litterbag Placem_Collection'!$S44)),"YES","NO")</f>
        <v>YES</v>
      </c>
      <c r="AK117" s="245" t="str">
        <f>IF(ISNUMBER(SEARCH("H", 'Dry_Litterbag Placem_Collection'!$S44)),"YES","NO")</f>
        <v>YES</v>
      </c>
      <c r="AL117" s="245" t="str">
        <f>IF(ISNUMBER(SEARCH("R", 'Dry_Litterbag Placem_Collection'!$S44)),"YES","NO")</f>
        <v>NO</v>
      </c>
    </row>
    <row r="118" spans="2:38">
      <c r="B118" t="str">
        <f>Dryseason!B44</f>
        <v>Dry</v>
      </c>
      <c r="C118" s="253">
        <f>Dryseason!C44</f>
        <v>43</v>
      </c>
      <c r="D118" t="s">
        <v>3108</v>
      </c>
      <c r="E118" t="s">
        <v>22</v>
      </c>
      <c r="F118" s="374">
        <v>3</v>
      </c>
      <c r="G118" s="16">
        <f>IF('Dry_Litterbag Placem_Collection'!E45="","",'Dry_Litterbag Placem_Collection'!E45)</f>
        <v>42938</v>
      </c>
      <c r="H118" t="str">
        <f>Dryseason!L44</f>
        <v>G246</v>
      </c>
      <c r="I118" t="str">
        <f>Dryseason!L264</f>
        <v>R758</v>
      </c>
      <c r="J118">
        <f>IFERROR(INDEX('Green_rooibos initial weight'!$C$5:$C$2000,MATCH(H118, 'Green_rooibos initial weight'!$A$5:$A$2000,0)),"")</f>
        <v>2.1829999999999998</v>
      </c>
      <c r="K118">
        <f>IFERROR(INDEX('Green_rooibos initial weight'!$C$5:$C$2000,MATCH(I118, 'Green_rooibos initial weight'!$A$5:$A$2000,0)),"")</f>
        <v>2.2200000000000002</v>
      </c>
      <c r="L118" s="194">
        <f t="shared" si="4"/>
        <v>1.9331999999999998</v>
      </c>
      <c r="M118" s="233">
        <f>AVERAGE(Ashed_controlls!$K$1:$K$11)</f>
        <v>5.5147656768714146</v>
      </c>
      <c r="N118" s="194">
        <f t="shared" si="0"/>
        <v>1.8265885499347216</v>
      </c>
      <c r="O118" s="194">
        <f t="shared" si="5"/>
        <v>1.9702000000000002</v>
      </c>
      <c r="P118" s="233">
        <f>AVERAGE(Ashed_controlls!$K$12:$K$14)</f>
        <v>2.2816647271287041</v>
      </c>
      <c r="Q118" s="194">
        <f t="shared" si="1"/>
        <v>1.9252466415461105</v>
      </c>
      <c r="R118" s="16">
        <f>IF('Dry_Litterbag Placem_Collection'!G45="","",'Dry_Litterbag Placem_Collection'!G45)</f>
        <v>43005</v>
      </c>
      <c r="S118" s="194">
        <f>IFERROR(INDEX('Both teabags AfterDry'!$D$3:$D$2000,MATCH(H118,'Both teabags AfterDry'!$A$3:$A$2000,0)),"")</f>
        <v>1.9577</v>
      </c>
      <c r="T118" s="194">
        <f>IFERROR(INDEX('Both teabags AfterDry'!$D$3:$D$2000,MATCH(I118,'Both teabags AfterDry'!$A$3:$A$2000,0)),"")</f>
        <v>1.6818</v>
      </c>
      <c r="U118" s="194">
        <f t="shared" si="6"/>
        <v>1.8070999999999999</v>
      </c>
      <c r="V118" s="194">
        <f t="shared" si="7"/>
        <v>1.5311999999999999</v>
      </c>
      <c r="W118" s="194">
        <f>IFERROR(INDEX('Ashed teabags dry'!$K$2:$K$2000,MATCH(H118,'Ashed teabags dry'!$A$2:$A$2000,0)),"")</f>
        <v>8.1468218442253786</v>
      </c>
      <c r="X118" s="194">
        <f>IFERROR(INDEX('Ashed teabags dry'!$K$2:$K$2000,MATCH(I118,'Ashed teabags dry'!$A$2:$A$2000,0)),"")</f>
        <v>92.062122519413393</v>
      </c>
      <c r="Y118" s="194">
        <f t="shared" si="2"/>
        <v>1.6598787824530032</v>
      </c>
      <c r="Z118" s="194">
        <f t="shared" si="2"/>
        <v>0.12154477998274205</v>
      </c>
      <c r="AA118" s="194">
        <f t="shared" si="8"/>
        <v>9.1268374307764244E-2</v>
      </c>
      <c r="AB118" s="194">
        <f t="shared" si="9"/>
        <v>5.9833898596064E-2</v>
      </c>
      <c r="AC118" s="194">
        <f t="shared" si="3"/>
        <v>6.3132056620617147E-2</v>
      </c>
      <c r="AD118">
        <f t="shared" si="10"/>
        <v>67</v>
      </c>
      <c r="AE118" s="194">
        <f t="shared" si="11"/>
        <v>0.89160525616655073</v>
      </c>
      <c r="AF118" s="194" t="str">
        <f t="shared" si="12"/>
        <v/>
      </c>
      <c r="AG118" s="245" t="str">
        <f>IF(ISNUMBER(SEARCH("C", 'Dry_Litterbag Placem_Collection'!$T45)),"YES","NO")</f>
        <v>YES</v>
      </c>
      <c r="AH118" s="245" t="str">
        <f>IF(ISNUMBER(SEARCH("H", 'Dry_Litterbag Placem_Collection'!$T45)),"YES","NO")</f>
        <v>YES</v>
      </c>
      <c r="AI118" s="245" t="str">
        <f>IF(ISNUMBER(SEARCH("R", 'Dry_Litterbag Placem_Collection'!$T45)),"YES","NO")</f>
        <v>NO</v>
      </c>
      <c r="AJ118" s="245" t="str">
        <f>IF(ISNUMBER(SEARCH("C", 'Dry_Litterbag Placem_Collection'!$S45)),"YES","NO")</f>
        <v>YES</v>
      </c>
      <c r="AK118" s="245" t="str">
        <f>IF(ISNUMBER(SEARCH("H", 'Dry_Litterbag Placem_Collection'!$S45)),"YES","NO")</f>
        <v>YES</v>
      </c>
      <c r="AL118" s="245" t="str">
        <f>IF(ISNUMBER(SEARCH("R", 'Dry_Litterbag Placem_Collection'!$S45)),"YES","NO")</f>
        <v>NO</v>
      </c>
    </row>
    <row r="119" spans="2:38">
      <c r="B119" t="str">
        <f>Dryseason!B45</f>
        <v>Dry</v>
      </c>
      <c r="C119" s="253">
        <f>Dryseason!C45</f>
        <v>44</v>
      </c>
      <c r="D119" t="s">
        <v>3108</v>
      </c>
      <c r="E119" t="s">
        <v>22</v>
      </c>
      <c r="F119" s="375">
        <v>4</v>
      </c>
      <c r="G119" s="16">
        <f>IF('Dry_Litterbag Placem_Collection'!E46="","",'Dry_Litterbag Placem_Collection'!E46)</f>
        <v>42938</v>
      </c>
      <c r="H119" t="str">
        <f>Dryseason!L45</f>
        <v>G115</v>
      </c>
      <c r="I119" t="str">
        <f>Dryseason!L265</f>
        <v>R783</v>
      </c>
      <c r="J119">
        <f>IFERROR(INDEX('Green_rooibos initial weight'!$C$5:$C$2000,MATCH(H119, 'Green_rooibos initial weight'!$A$5:$A$2000,0)),"")</f>
        <v>2.048</v>
      </c>
      <c r="K119">
        <f>IFERROR(INDEX('Green_rooibos initial weight'!$C$5:$C$2000,MATCH(I119, 'Green_rooibos initial weight'!$A$5:$A$2000,0)),"")</f>
        <v>2.1989999999999998</v>
      </c>
      <c r="L119" s="194">
        <f t="shared" si="4"/>
        <v>1.7982</v>
      </c>
      <c r="M119" s="233">
        <f>AVERAGE(Ashed_controlls!$K$1:$K$11)</f>
        <v>5.5147656768714146</v>
      </c>
      <c r="N119" s="194">
        <f t="shared" si="0"/>
        <v>1.6990334835984982</v>
      </c>
      <c r="O119" s="194">
        <f t="shared" si="5"/>
        <v>1.9491999999999998</v>
      </c>
      <c r="P119" s="233">
        <f>AVERAGE(Ashed_controlls!$K$12:$K$14)</f>
        <v>2.2816647271287041</v>
      </c>
      <c r="Q119" s="194">
        <f t="shared" si="1"/>
        <v>1.9047257911388071</v>
      </c>
      <c r="R119" s="16">
        <f>IF('Dry_Litterbag Placem_Collection'!G46="","",'Dry_Litterbag Placem_Collection'!G46)</f>
        <v>43005</v>
      </c>
      <c r="S119" s="194">
        <f>IFERROR(INDEX('Both teabags AfterDry'!$D$3:$D$2000,MATCH(H119,'Both teabags AfterDry'!$A$3:$A$2000,0)),"")</f>
        <v>1.7069000000000001</v>
      </c>
      <c r="T119" s="194">
        <f>IFERROR(INDEX('Both teabags AfterDry'!$D$3:$D$2000,MATCH(I119,'Both teabags AfterDry'!$A$3:$A$2000,0)),"")</f>
        <v>1.8973</v>
      </c>
      <c r="U119" s="194">
        <f t="shared" si="6"/>
        <v>1.5563</v>
      </c>
      <c r="V119" s="194">
        <f t="shared" si="7"/>
        <v>1.7466999999999999</v>
      </c>
      <c r="W119" s="194">
        <f>IFERROR(INDEX('Ashed teabags dry'!$K$2:$K$2000,MATCH(H119,'Ashed teabags dry'!$A$2:$A$2000,0)),"")</f>
        <v>5.939159826170572</v>
      </c>
      <c r="X119" s="194">
        <f>IFERROR(INDEX('Ashed teabags dry'!$K$2:$K$2000,MATCH(I119,'Ashed teabags dry'!$A$2:$A$2000,0)),"")</f>
        <v>3.6579572446556408</v>
      </c>
      <c r="Y119" s="194">
        <f t="shared" si="2"/>
        <v>1.4638688556253074</v>
      </c>
      <c r="Z119" s="194">
        <f t="shared" si="2"/>
        <v>1.6828064608075999</v>
      </c>
      <c r="AA119" s="194">
        <f t="shared" si="8"/>
        <v>0.13841082606277988</v>
      </c>
      <c r="AB119" s="194">
        <f t="shared" si="9"/>
        <v>9.0739638939019582E-2</v>
      </c>
      <c r="AC119" s="194">
        <f t="shared" si="3"/>
        <v>0.88349014258975045</v>
      </c>
      <c r="AD119">
        <f t="shared" si="10"/>
        <v>67</v>
      </c>
      <c r="AE119" s="194">
        <f t="shared" si="11"/>
        <v>0.83561659612496453</v>
      </c>
      <c r="AF119" s="194" t="str">
        <f t="shared" si="12"/>
        <v/>
      </c>
      <c r="AG119" s="245" t="str">
        <f>IF(ISNUMBER(SEARCH("C", 'Dry_Litterbag Placem_Collection'!$T46)),"YES","NO")</f>
        <v>NO</v>
      </c>
      <c r="AH119" s="245" t="str">
        <f>IF(ISNUMBER(SEARCH("H", 'Dry_Litterbag Placem_Collection'!$T46)),"YES","NO")</f>
        <v>NO</v>
      </c>
      <c r="AI119" s="245" t="str">
        <f>IF(ISNUMBER(SEARCH("R", 'Dry_Litterbag Placem_Collection'!$T46)),"YES","NO")</f>
        <v>NO</v>
      </c>
      <c r="AJ119" s="245" t="str">
        <f>IF(ISNUMBER(SEARCH("C", 'Dry_Litterbag Placem_Collection'!$S46)),"YES","NO")</f>
        <v>NO</v>
      </c>
      <c r="AK119" s="245" t="str">
        <f>IF(ISNUMBER(SEARCH("H", 'Dry_Litterbag Placem_Collection'!$S46)),"YES","NO")</f>
        <v>NO</v>
      </c>
      <c r="AL119" s="245" t="str">
        <f>IF(ISNUMBER(SEARCH("R", 'Dry_Litterbag Placem_Collection'!$S46)),"YES","NO")</f>
        <v>NO</v>
      </c>
    </row>
    <row r="120" spans="2:38">
      <c r="B120" t="str">
        <f>Dryseason!B46</f>
        <v>Dry</v>
      </c>
      <c r="C120" s="253">
        <f>Dryseason!C46</f>
        <v>45</v>
      </c>
      <c r="D120" t="s">
        <v>3108</v>
      </c>
      <c r="E120" t="s">
        <v>22</v>
      </c>
      <c r="F120" s="375">
        <v>5</v>
      </c>
      <c r="G120" s="16">
        <f>IF('Dry_Litterbag Placem_Collection'!E47="","",'Dry_Litterbag Placem_Collection'!E47)</f>
        <v>42938</v>
      </c>
      <c r="H120" t="str">
        <f>Dryseason!L46</f>
        <v>G480</v>
      </c>
      <c r="I120" t="str">
        <f>Dryseason!L266</f>
        <v>R827</v>
      </c>
      <c r="J120">
        <f>IFERROR(INDEX('Green_rooibos initial weight'!$C$5:$C$2000,MATCH(H120, 'Green_rooibos initial weight'!$A$5:$A$2000,0)),"")</f>
        <v>1.9850000000000001</v>
      </c>
      <c r="K120">
        <f>IFERROR(INDEX('Green_rooibos initial weight'!$C$5:$C$2000,MATCH(I120, 'Green_rooibos initial weight'!$A$5:$A$2000,0)),"")</f>
        <v>2.222</v>
      </c>
      <c r="L120" s="194">
        <f t="shared" si="4"/>
        <v>1.7352000000000001</v>
      </c>
      <c r="M120" s="233">
        <f>AVERAGE(Ashed_controlls!$K$1:$K$11)</f>
        <v>5.5147656768714146</v>
      </c>
      <c r="N120" s="194">
        <f t="shared" si="0"/>
        <v>1.6395077859749272</v>
      </c>
      <c r="O120" s="194">
        <f t="shared" si="5"/>
        <v>1.9722</v>
      </c>
      <c r="P120" s="233">
        <f>AVERAGE(Ashed_controlls!$K$12:$K$14)</f>
        <v>2.2816647271287041</v>
      </c>
      <c r="Q120" s="194">
        <f t="shared" si="1"/>
        <v>1.9272010082515676</v>
      </c>
      <c r="R120" s="16">
        <f>IF('Dry_Litterbag Placem_Collection'!G47="","",'Dry_Litterbag Placem_Collection'!G47)</f>
        <v>43005</v>
      </c>
      <c r="S120" s="194" t="str">
        <f>IFERROR(INDEX('Both teabags AfterDry'!$D$3:$D$2000,MATCH(H120,'Both teabags AfterDry'!$A$3:$A$2000,0)),"")</f>
        <v/>
      </c>
      <c r="T120" s="194" t="str">
        <f>IFERROR(INDEX('Both teabags AfterDry'!$D$3:$D$2000,MATCH(I120,'Both teabags AfterDry'!$A$3:$A$2000,0)),"")</f>
        <v/>
      </c>
      <c r="U120" s="194" t="str">
        <f t="shared" si="6"/>
        <v/>
      </c>
      <c r="V120" s="194" t="str">
        <f t="shared" si="7"/>
        <v/>
      </c>
      <c r="W120" s="194" t="str">
        <f>IFERROR(INDEX('Ashed teabags dry'!$K$2:$K$2000,MATCH(H120,'Ashed teabags dry'!$A$2:$A$2000,0)),"")</f>
        <v/>
      </c>
      <c r="X120" s="194" t="str">
        <f>IFERROR(INDEX('Ashed teabags dry'!$K$2:$K$2000,MATCH(I120,'Ashed teabags dry'!$A$2:$A$2000,0)),"")</f>
        <v/>
      </c>
      <c r="Y120" s="194" t="str">
        <f t="shared" si="2"/>
        <v/>
      </c>
      <c r="Z120" s="194" t="str">
        <f t="shared" si="2"/>
        <v/>
      </c>
      <c r="AA120" s="194" t="str">
        <f t="shared" si="8"/>
        <v/>
      </c>
      <c r="AB120" s="194" t="str">
        <f t="shared" si="9"/>
        <v/>
      </c>
      <c r="AC120" s="194" t="str">
        <f t="shared" si="3"/>
        <v/>
      </c>
      <c r="AD120">
        <f t="shared" si="10"/>
        <v>67</v>
      </c>
      <c r="AE120" s="194" t="str">
        <f t="shared" si="11"/>
        <v/>
      </c>
      <c r="AF120" s="194" t="str">
        <f t="shared" si="12"/>
        <v/>
      </c>
      <c r="AG120" s="245" t="str">
        <f>IF(ISNUMBER(SEARCH("C", 'Dry_Litterbag Placem_Collection'!$T47)),"YES","NO")</f>
        <v>YES</v>
      </c>
      <c r="AH120" s="245" t="str">
        <f>IF(ISNUMBER(SEARCH("H", 'Dry_Litterbag Placem_Collection'!$T47)),"YES","NO")</f>
        <v>YES</v>
      </c>
      <c r="AI120" s="245" t="str">
        <f>IF(ISNUMBER(SEARCH("R", 'Dry_Litterbag Placem_Collection'!$T47)),"YES","NO")</f>
        <v>NO</v>
      </c>
      <c r="AJ120" s="245" t="str">
        <f>IF(ISNUMBER(SEARCH("C", 'Dry_Litterbag Placem_Collection'!$S47)),"YES","NO")</f>
        <v>YES</v>
      </c>
      <c r="AK120" s="245" t="str">
        <f>IF(ISNUMBER(SEARCH("H", 'Dry_Litterbag Placem_Collection'!$S47)),"YES","NO")</f>
        <v>YES</v>
      </c>
      <c r="AL120" s="245" t="str">
        <f>IF(ISNUMBER(SEARCH("R", 'Dry_Litterbag Placem_Collection'!$S47)),"YES","NO")</f>
        <v>NO</v>
      </c>
    </row>
    <row r="121" spans="2:38">
      <c r="B121" t="str">
        <f>Dryseason!B47</f>
        <v>Dry</v>
      </c>
      <c r="C121" s="253">
        <f>Dryseason!C47</f>
        <v>46</v>
      </c>
      <c r="D121" t="s">
        <v>3108</v>
      </c>
      <c r="E121" t="s">
        <v>22</v>
      </c>
      <c r="F121" s="375">
        <v>6</v>
      </c>
      <c r="G121" s="16" t="str">
        <f>IF('Dry_Litterbag Placem_Collection'!E48="","",'Dry_Litterbag Placem_Collection'!E48)</f>
        <v/>
      </c>
      <c r="H121" t="str">
        <f>Dryseason!L47</f>
        <v/>
      </c>
      <c r="I121" t="str">
        <f>Dryseason!L267</f>
        <v/>
      </c>
      <c r="J121" t="str">
        <f>IFERROR(INDEX('Green_rooibos initial weight'!$C$5:$C$2000,MATCH(H121, 'Green_rooibos initial weight'!$A$5:$A$2000,0)),"")</f>
        <v/>
      </c>
      <c r="K121" t="str">
        <f>IFERROR(INDEX('Green_rooibos initial weight'!$C$5:$C$2000,MATCH(I121, 'Green_rooibos initial weight'!$A$5:$A$2000,0)),"")</f>
        <v/>
      </c>
      <c r="L121" s="194" t="str">
        <f t="shared" si="4"/>
        <v/>
      </c>
      <c r="M121" s="233">
        <f>AVERAGE(Ashed_controlls!$K$1:$K$11)</f>
        <v>5.5147656768714146</v>
      </c>
      <c r="N121" s="194" t="str">
        <f t="shared" si="0"/>
        <v/>
      </c>
      <c r="O121" s="194" t="str">
        <f t="shared" si="5"/>
        <v/>
      </c>
      <c r="P121" s="233">
        <f>AVERAGE(Ashed_controlls!$K$12:$K$14)</f>
        <v>2.2816647271287041</v>
      </c>
      <c r="Q121" s="194" t="str">
        <f t="shared" si="1"/>
        <v/>
      </c>
      <c r="R121" s="16" t="str">
        <f>IF('Dry_Litterbag Placem_Collection'!G48="","",'Dry_Litterbag Placem_Collection'!G48)</f>
        <v/>
      </c>
      <c r="S121" s="194" t="str">
        <f>IFERROR(INDEX('Both teabags AfterDry'!$D$3:$D$2000,MATCH(H121,'Both teabags AfterDry'!$A$3:$A$2000,0)),"")</f>
        <v/>
      </c>
      <c r="T121" s="194" t="str">
        <f>IFERROR(INDEX('Both teabags AfterDry'!$D$3:$D$2000,MATCH(I121,'Both teabags AfterDry'!$A$3:$A$2000,0)),"")</f>
        <v/>
      </c>
      <c r="U121" s="194" t="str">
        <f t="shared" si="6"/>
        <v/>
      </c>
      <c r="V121" s="194" t="str">
        <f t="shared" si="7"/>
        <v/>
      </c>
      <c r="W121" s="194" t="str">
        <f>IFERROR(INDEX('Ashed teabags dry'!$K$2:$K$2000,MATCH(H121,'Ashed teabags dry'!$A$2:$A$2000,0)),"")</f>
        <v/>
      </c>
      <c r="X121" s="194" t="str">
        <f>IFERROR(INDEX('Ashed teabags dry'!$K$2:$K$2000,MATCH(I121,'Ashed teabags dry'!$A$2:$A$2000,0)),"")</f>
        <v/>
      </c>
      <c r="Y121" s="194" t="str">
        <f t="shared" si="2"/>
        <v/>
      </c>
      <c r="Z121" s="194" t="str">
        <f t="shared" si="2"/>
        <v/>
      </c>
      <c r="AA121" s="194" t="str">
        <f t="shared" si="8"/>
        <v/>
      </c>
      <c r="AB121" s="194" t="str">
        <f t="shared" si="9"/>
        <v/>
      </c>
      <c r="AC121" s="194" t="str">
        <f t="shared" si="3"/>
        <v/>
      </c>
      <c r="AD121" t="str">
        <f t="shared" si="10"/>
        <v/>
      </c>
      <c r="AE121" s="194" t="str">
        <f t="shared" si="11"/>
        <v/>
      </c>
      <c r="AF121" s="194" t="str">
        <f t="shared" si="12"/>
        <v/>
      </c>
      <c r="AG121" s="245" t="str">
        <f>IF(ISNUMBER(SEARCH("C", 'Dry_Litterbag Placem_Collection'!$T48)),"YES","NO")</f>
        <v>NO</v>
      </c>
      <c r="AH121" s="245" t="str">
        <f>IF(ISNUMBER(SEARCH("H", 'Dry_Litterbag Placem_Collection'!$T48)),"YES","NO")</f>
        <v>NO</v>
      </c>
      <c r="AI121" s="245" t="str">
        <f>IF(ISNUMBER(SEARCH("R", 'Dry_Litterbag Placem_Collection'!$T48)),"YES","NO")</f>
        <v>NO</v>
      </c>
      <c r="AJ121" s="245" t="str">
        <f>IF(ISNUMBER(SEARCH("C", 'Dry_Litterbag Placem_Collection'!$S48)),"YES","NO")</f>
        <v>NO</v>
      </c>
      <c r="AK121" s="245" t="str">
        <f>IF(ISNUMBER(SEARCH("H", 'Dry_Litterbag Placem_Collection'!$S48)),"YES","NO")</f>
        <v>NO</v>
      </c>
      <c r="AL121" s="245" t="str">
        <f>IF(ISNUMBER(SEARCH("R", 'Dry_Litterbag Placem_Collection'!$S48)),"YES","NO")</f>
        <v>NO</v>
      </c>
    </row>
    <row r="122" spans="2:38">
      <c r="B122" t="str">
        <f>Dryseason!B48</f>
        <v>Dry</v>
      </c>
      <c r="C122" s="253">
        <f>Dryseason!C48</f>
        <v>47</v>
      </c>
      <c r="D122" t="s">
        <v>3108</v>
      </c>
      <c r="E122" t="s">
        <v>22</v>
      </c>
      <c r="F122" s="375">
        <v>7</v>
      </c>
      <c r="G122" s="16">
        <f>IF('Dry_Litterbag Placem_Collection'!E49="","",'Dry_Litterbag Placem_Collection'!E49)</f>
        <v>42938</v>
      </c>
      <c r="H122" t="str">
        <f>Dryseason!L48</f>
        <v>G110</v>
      </c>
      <c r="I122" t="str">
        <f>Dryseason!L268</f>
        <v>R831</v>
      </c>
      <c r="J122">
        <f>IFERROR(INDEX('Green_rooibos initial weight'!$C$5:$C$2000,MATCH(H122, 'Green_rooibos initial weight'!$A$5:$A$2000,0)),"")</f>
        <v>2.093</v>
      </c>
      <c r="K122">
        <f>IFERROR(INDEX('Green_rooibos initial weight'!$C$5:$C$2000,MATCH(I122, 'Green_rooibos initial weight'!$A$5:$A$2000,0)),"")</f>
        <v>2.2410000000000001</v>
      </c>
      <c r="L122" s="194">
        <f t="shared" si="4"/>
        <v>1.8431999999999999</v>
      </c>
      <c r="M122" s="233">
        <f>AVERAGE(Ashed_controlls!$K$1:$K$11)</f>
        <v>5.5147656768714146</v>
      </c>
      <c r="N122" s="194">
        <f t="shared" si="0"/>
        <v>1.741551839043906</v>
      </c>
      <c r="O122" s="194">
        <f t="shared" si="5"/>
        <v>1.9912000000000001</v>
      </c>
      <c r="P122" s="233">
        <f>AVERAGE(Ashed_controlls!$K$12:$K$14)</f>
        <v>2.2816647271287041</v>
      </c>
      <c r="Q122" s="194">
        <f t="shared" si="1"/>
        <v>1.9457674919534134</v>
      </c>
      <c r="R122" s="16">
        <f>IF('Dry_Litterbag Placem_Collection'!G49="","",'Dry_Litterbag Placem_Collection'!G49)</f>
        <v>43005</v>
      </c>
      <c r="S122" s="194">
        <f>IFERROR(INDEX('Both teabags AfterDry'!$D$3:$D$2000,MATCH(H122,'Both teabags AfterDry'!$A$3:$A$2000,0)),"")</f>
        <v>1.8372999999999999</v>
      </c>
      <c r="T122" s="194">
        <f>IFERROR(INDEX('Both teabags AfterDry'!$D$3:$D$2000,MATCH(I122,'Both teabags AfterDry'!$A$3:$A$2000,0)),"")</f>
        <v>1.9105000000000001</v>
      </c>
      <c r="U122" s="194">
        <f t="shared" si="6"/>
        <v>1.6866999999999999</v>
      </c>
      <c r="V122" s="194">
        <f t="shared" si="7"/>
        <v>1.7599</v>
      </c>
      <c r="W122" s="194">
        <f>IFERROR(INDEX('Ashed teabags dry'!$K$2:$K$2000,MATCH(H122,'Ashed teabags dry'!$A$2:$A$2000,0)),"")</f>
        <v>6.3440422936146827</v>
      </c>
      <c r="X122" s="194">
        <f>IFERROR(INDEX('Ashed teabags dry'!$K$2:$K$2000,MATCH(I122,'Ashed teabags dry'!$A$2:$A$2000,0)),"")</f>
        <v>4.5857988165679391</v>
      </c>
      <c r="Y122" s="194">
        <f t="shared" si="2"/>
        <v>1.5796950386336011</v>
      </c>
      <c r="Z122" s="194">
        <f t="shared" si="2"/>
        <v>1.6791945266272208</v>
      </c>
      <c r="AA122" s="194">
        <f t="shared" si="8"/>
        <v>9.293826160188412E-2</v>
      </c>
      <c r="AB122" s="194">
        <f t="shared" si="9"/>
        <v>6.0928646560855164E-2</v>
      </c>
      <c r="AC122" s="194">
        <f t="shared" si="3"/>
        <v>0.8629985512510685</v>
      </c>
      <c r="AD122">
        <f t="shared" si="10"/>
        <v>67</v>
      </c>
      <c r="AE122" s="194">
        <f t="shared" si="11"/>
        <v>0.88962201709990008</v>
      </c>
      <c r="AF122" s="194" t="str">
        <f t="shared" si="12"/>
        <v/>
      </c>
      <c r="AG122" s="245" t="str">
        <f>IF(ISNUMBER(SEARCH("C", 'Dry_Litterbag Placem_Collection'!$T49)),"YES","NO")</f>
        <v>NO</v>
      </c>
      <c r="AH122" s="245" t="str">
        <f>IF(ISNUMBER(SEARCH("H", 'Dry_Litterbag Placem_Collection'!$T49)),"YES","NO")</f>
        <v>YES</v>
      </c>
      <c r="AI122" s="245" t="str">
        <f>IF(ISNUMBER(SEARCH("R", 'Dry_Litterbag Placem_Collection'!$T49)),"YES","NO")</f>
        <v>NO</v>
      </c>
      <c r="AJ122" s="245" t="str">
        <f>IF(ISNUMBER(SEARCH("C", 'Dry_Litterbag Placem_Collection'!$S49)),"YES","NO")</f>
        <v>NO</v>
      </c>
      <c r="AK122" s="245" t="str">
        <f>IF(ISNUMBER(SEARCH("H", 'Dry_Litterbag Placem_Collection'!$S49)),"YES","NO")</f>
        <v>NO</v>
      </c>
      <c r="AL122" s="245" t="str">
        <f>IF(ISNUMBER(SEARCH("R", 'Dry_Litterbag Placem_Collection'!$S49)),"YES","NO")</f>
        <v>NO</v>
      </c>
    </row>
    <row r="123" spans="2:38">
      <c r="B123" t="str">
        <f>Dryseason!B49</f>
        <v>Dry</v>
      </c>
      <c r="C123" s="253">
        <f>Dryseason!C49</f>
        <v>48</v>
      </c>
      <c r="D123" t="s">
        <v>3108</v>
      </c>
      <c r="E123" t="s">
        <v>22</v>
      </c>
      <c r="F123" s="375">
        <v>8</v>
      </c>
      <c r="G123" s="16">
        <f>IF('Dry_Litterbag Placem_Collection'!E50="","",'Dry_Litterbag Placem_Collection'!E50)</f>
        <v>42938</v>
      </c>
      <c r="H123" t="str">
        <f>Dryseason!L49</f>
        <v>G233</v>
      </c>
      <c r="I123" t="str">
        <f>Dryseason!L269</f>
        <v>R828</v>
      </c>
      <c r="J123">
        <f>IFERROR(INDEX('Green_rooibos initial weight'!$C$5:$C$2000,MATCH(H123, 'Green_rooibos initial weight'!$A$5:$A$2000,0)),"")</f>
        <v>1.9490000000000001</v>
      </c>
      <c r="K123">
        <f>IFERROR(INDEX('Green_rooibos initial weight'!$C$5:$C$2000,MATCH(I123, 'Green_rooibos initial weight'!$A$5:$A$2000,0)),"")</f>
        <v>2.2330000000000001</v>
      </c>
      <c r="L123" s="194">
        <f t="shared" si="4"/>
        <v>1.6992</v>
      </c>
      <c r="M123" s="233">
        <f>AVERAGE(Ashed_controlls!$K$1:$K$11)</f>
        <v>5.5147656768714146</v>
      </c>
      <c r="N123" s="194">
        <f t="shared" si="0"/>
        <v>1.6054931016186009</v>
      </c>
      <c r="O123" s="194">
        <f t="shared" si="5"/>
        <v>1.9832000000000001</v>
      </c>
      <c r="P123" s="233">
        <f>AVERAGE(Ashed_controlls!$K$12:$K$14)</f>
        <v>2.2816647271287041</v>
      </c>
      <c r="Q123" s="194">
        <f t="shared" si="1"/>
        <v>1.9379500251315835</v>
      </c>
      <c r="R123" s="16">
        <f>IF('Dry_Litterbag Placem_Collection'!G50="","",'Dry_Litterbag Placem_Collection'!G50)</f>
        <v>43005</v>
      </c>
      <c r="S123" s="194">
        <f>IFERROR(INDEX('Both teabags AfterDry'!$D$3:$D$2000,MATCH(H123,'Both teabags AfterDry'!$A$3:$A$2000,0)),"")</f>
        <v>1.6727000000000001</v>
      </c>
      <c r="T123" s="194">
        <f>IFERROR(INDEX('Both teabags AfterDry'!$D$3:$D$2000,MATCH(I123,'Both teabags AfterDry'!$A$3:$A$2000,0)),"")</f>
        <v>1.7596000000000001</v>
      </c>
      <c r="U123" s="194">
        <f t="shared" si="6"/>
        <v>1.5221</v>
      </c>
      <c r="V123" s="194">
        <f t="shared" si="7"/>
        <v>1.609</v>
      </c>
      <c r="W123" s="194">
        <f>IFERROR(INDEX('Ashed teabags dry'!$K$2:$K$2000,MATCH(H123,'Ashed teabags dry'!$A$2:$A$2000,0)),"")</f>
        <v>6.3352826510722657</v>
      </c>
      <c r="X123" s="194">
        <f>IFERROR(INDEX('Ashed teabags dry'!$K$2:$K$2000,MATCH(I123,'Ashed teabags dry'!$A$2:$A$2000,0)),"")</f>
        <v>2.0276953511382803</v>
      </c>
      <c r="Y123" s="194">
        <f t="shared" si="2"/>
        <v>1.4256706627680291</v>
      </c>
      <c r="Z123" s="194">
        <f t="shared" si="2"/>
        <v>1.576374381800185</v>
      </c>
      <c r="AA123" s="194">
        <f t="shared" si="8"/>
        <v>0.1120044917472901</v>
      </c>
      <c r="AB123" s="194">
        <f t="shared" si="9"/>
        <v>7.3428122855705658E-2</v>
      </c>
      <c r="AC123" s="194">
        <f t="shared" si="3"/>
        <v>0.81342364940146061</v>
      </c>
      <c r="AD123">
        <f t="shared" si="10"/>
        <v>67</v>
      </c>
      <c r="AE123" s="194">
        <f t="shared" si="11"/>
        <v>0.86697803830488107</v>
      </c>
      <c r="AF123" s="194" t="str">
        <f t="shared" si="12"/>
        <v/>
      </c>
      <c r="AG123" s="245" t="str">
        <f>IF(ISNUMBER(SEARCH("C", 'Dry_Litterbag Placem_Collection'!$T50)),"YES","NO")</f>
        <v>NO</v>
      </c>
      <c r="AH123" s="245" t="str">
        <f>IF(ISNUMBER(SEARCH("H", 'Dry_Litterbag Placem_Collection'!$T50)),"YES","NO")</f>
        <v>NO</v>
      </c>
      <c r="AI123" s="245" t="str">
        <f>IF(ISNUMBER(SEARCH("R", 'Dry_Litterbag Placem_Collection'!$T50)),"YES","NO")</f>
        <v>NO</v>
      </c>
      <c r="AJ123" s="245" t="str">
        <f>IF(ISNUMBER(SEARCH("C", 'Dry_Litterbag Placem_Collection'!$S50)),"YES","NO")</f>
        <v>NO</v>
      </c>
      <c r="AK123" s="245" t="str">
        <f>IF(ISNUMBER(SEARCH("H", 'Dry_Litterbag Placem_Collection'!$S50)),"YES","NO")</f>
        <v>NO</v>
      </c>
      <c r="AL123" s="245" t="str">
        <f>IF(ISNUMBER(SEARCH("R", 'Dry_Litterbag Placem_Collection'!$S50)),"YES","NO")</f>
        <v>NO</v>
      </c>
    </row>
    <row r="124" spans="2:38">
      <c r="B124" t="str">
        <f>Dryseason!B50</f>
        <v>Dry</v>
      </c>
      <c r="C124" s="253">
        <f>Dryseason!C50</f>
        <v>49</v>
      </c>
      <c r="D124" t="s">
        <v>3109</v>
      </c>
      <c r="E124" t="s">
        <v>22</v>
      </c>
      <c r="F124" s="374">
        <v>1</v>
      </c>
      <c r="G124" s="16">
        <f>IF('Dry_Litterbag Placem_Collection'!E51="","",'Dry_Litterbag Placem_Collection'!E51)</f>
        <v>42938</v>
      </c>
      <c r="H124" t="str">
        <f>Dryseason!L50</f>
        <v>G54</v>
      </c>
      <c r="I124" t="str">
        <f>Dryseason!L270</f>
        <v>R805</v>
      </c>
      <c r="J124">
        <f>IFERROR(INDEX('Green_rooibos initial weight'!$C$5:$C$2000,MATCH(H124, 'Green_rooibos initial weight'!$A$5:$A$2000,0)),"")</f>
        <v>2.0539999999999998</v>
      </c>
      <c r="K124">
        <f>IFERROR(INDEX('Green_rooibos initial weight'!$C$5:$C$2000,MATCH(I124, 'Green_rooibos initial weight'!$A$5:$A$2000,0)),"")</f>
        <v>2.2469999999999999</v>
      </c>
      <c r="L124" s="194">
        <f t="shared" si="4"/>
        <v>1.8041999999999998</v>
      </c>
      <c r="M124" s="233">
        <f>AVERAGE(Ashed_controlls!$K$1:$K$11)</f>
        <v>5.5147656768714146</v>
      </c>
      <c r="N124" s="194">
        <f t="shared" si="0"/>
        <v>1.7047025976578858</v>
      </c>
      <c r="O124" s="194">
        <f t="shared" si="5"/>
        <v>1.9971999999999999</v>
      </c>
      <c r="P124" s="233">
        <f>AVERAGE(Ashed_controlls!$K$12:$K$14)</f>
        <v>2.2816647271287041</v>
      </c>
      <c r="Q124" s="194">
        <f t="shared" si="1"/>
        <v>1.9516305920697854</v>
      </c>
      <c r="R124" s="16">
        <f>IF('Dry_Litterbag Placem_Collection'!G51="","",'Dry_Litterbag Placem_Collection'!G51)</f>
        <v>43005</v>
      </c>
      <c r="S124" s="194" t="str">
        <f>IFERROR(INDEX('Both teabags AfterDry'!$D$3:$D$2000,MATCH(H124,'Both teabags AfterDry'!$A$3:$A$2000,0)),"")</f>
        <v/>
      </c>
      <c r="T124" s="194" t="str">
        <f>IFERROR(INDEX('Both teabags AfterDry'!$D$3:$D$2000,MATCH(I124,'Both teabags AfterDry'!$A$3:$A$2000,0)),"")</f>
        <v/>
      </c>
      <c r="U124" s="194" t="str">
        <f t="shared" si="6"/>
        <v/>
      </c>
      <c r="V124" s="194" t="str">
        <f t="shared" si="7"/>
        <v/>
      </c>
      <c r="W124" s="194" t="str">
        <f>IFERROR(INDEX('Ashed teabags dry'!$K$2:$K$2000,MATCH(H124,'Ashed teabags dry'!$A$2:$A$2000,0)),"")</f>
        <v/>
      </c>
      <c r="X124" s="194" t="str">
        <f>IFERROR(INDEX('Ashed teabags dry'!$K$2:$K$2000,MATCH(I124,'Ashed teabags dry'!$A$2:$A$2000,0)),"")</f>
        <v/>
      </c>
      <c r="Y124" s="194" t="str">
        <f t="shared" si="2"/>
        <v/>
      </c>
      <c r="Z124" s="194" t="str">
        <f t="shared" si="2"/>
        <v/>
      </c>
      <c r="AA124" s="194" t="str">
        <f t="shared" si="8"/>
        <v/>
      </c>
      <c r="AB124" s="194" t="str">
        <f t="shared" si="9"/>
        <v/>
      </c>
      <c r="AC124" s="194" t="str">
        <f t="shared" si="3"/>
        <v/>
      </c>
      <c r="AD124">
        <f t="shared" si="10"/>
        <v>67</v>
      </c>
      <c r="AE124" s="194" t="str">
        <f t="shared" si="11"/>
        <v/>
      </c>
      <c r="AF124" s="194" t="str">
        <f t="shared" si="12"/>
        <v/>
      </c>
      <c r="AG124" s="245" t="str">
        <f>IF(ISNUMBER(SEARCH("C", 'Dry_Litterbag Placem_Collection'!$T51)),"YES","NO")</f>
        <v>NO</v>
      </c>
      <c r="AH124" s="245" t="str">
        <f>IF(ISNUMBER(SEARCH("H", 'Dry_Litterbag Placem_Collection'!$T51)),"YES","NO")</f>
        <v>NO</v>
      </c>
      <c r="AI124" s="245" t="str">
        <f>IF(ISNUMBER(SEARCH("R", 'Dry_Litterbag Placem_Collection'!$T51)),"YES","NO")</f>
        <v>NO</v>
      </c>
      <c r="AJ124" s="245" t="str">
        <f>IF(ISNUMBER(SEARCH("C", 'Dry_Litterbag Placem_Collection'!$S51)),"YES","NO")</f>
        <v>NO</v>
      </c>
      <c r="AK124" s="245" t="str">
        <f>IF(ISNUMBER(SEARCH("H", 'Dry_Litterbag Placem_Collection'!$S51)),"YES","NO")</f>
        <v>NO</v>
      </c>
      <c r="AL124" s="245" t="str">
        <f>IF(ISNUMBER(SEARCH("R", 'Dry_Litterbag Placem_Collection'!$S51)),"YES","NO")</f>
        <v>NO</v>
      </c>
    </row>
    <row r="125" spans="2:38">
      <c r="B125" t="str">
        <f>Dryseason!B51</f>
        <v>Dry</v>
      </c>
      <c r="C125" s="253">
        <f>Dryseason!C51</f>
        <v>50</v>
      </c>
      <c r="D125" t="s">
        <v>3109</v>
      </c>
      <c r="E125" t="s">
        <v>22</v>
      </c>
      <c r="F125" s="374">
        <v>2</v>
      </c>
      <c r="G125" s="16">
        <f>IF('Dry_Litterbag Placem_Collection'!E52="","",'Dry_Litterbag Placem_Collection'!E52)</f>
        <v>42938</v>
      </c>
      <c r="H125" t="str">
        <f>Dryseason!L51</f>
        <v>G276</v>
      </c>
      <c r="I125" t="str">
        <f>Dryseason!L271</f>
        <v>R754</v>
      </c>
      <c r="J125">
        <f>IFERROR(INDEX('Green_rooibos initial weight'!$C$5:$C$2000,MATCH(H125, 'Green_rooibos initial weight'!$A$5:$A$2000,0)),"")</f>
        <v>1.966</v>
      </c>
      <c r="K125">
        <f>IFERROR(INDEX('Green_rooibos initial weight'!$C$5:$C$2000,MATCH(I125, 'Green_rooibos initial weight'!$A$5:$A$2000,0)),"")</f>
        <v>2.2069999999999999</v>
      </c>
      <c r="L125" s="194">
        <f t="shared" si="4"/>
        <v>1.7161999999999999</v>
      </c>
      <c r="M125" s="233">
        <f>AVERAGE(Ashed_controlls!$K$1:$K$11)</f>
        <v>5.5147656768714146</v>
      </c>
      <c r="N125" s="194">
        <f t="shared" si="0"/>
        <v>1.6215555914535327</v>
      </c>
      <c r="O125" s="194">
        <f t="shared" si="5"/>
        <v>1.9571999999999998</v>
      </c>
      <c r="P125" s="233">
        <f>AVERAGE(Ashed_controlls!$K$12:$K$14)</f>
        <v>2.2816647271287041</v>
      </c>
      <c r="Q125" s="194">
        <f t="shared" si="1"/>
        <v>1.9125432579606367</v>
      </c>
      <c r="R125" s="16" t="str">
        <f>IF('Dry_Litterbag Placem_Collection'!G52="","",'Dry_Litterbag Placem_Collection'!G52)</f>
        <v/>
      </c>
      <c r="S125" s="194" t="str">
        <f>IFERROR(INDEX('Both teabags AfterDry'!$D$3:$D$2000,MATCH(H125,'Both teabags AfterDry'!$A$3:$A$2000,0)),"")</f>
        <v/>
      </c>
      <c r="T125" s="194" t="str">
        <f>IFERROR(INDEX('Both teabags AfterDry'!$D$3:$D$2000,MATCH(I125,'Both teabags AfterDry'!$A$3:$A$2000,0)),"")</f>
        <v/>
      </c>
      <c r="U125" s="194" t="str">
        <f t="shared" si="6"/>
        <v/>
      </c>
      <c r="V125" s="194" t="str">
        <f t="shared" si="7"/>
        <v/>
      </c>
      <c r="W125" s="194" t="str">
        <f>IFERROR(INDEX('Ashed teabags dry'!$K$2:$K$2000,MATCH(H125,'Ashed teabags dry'!$A$2:$A$2000,0)),"")</f>
        <v/>
      </c>
      <c r="X125" s="194" t="str">
        <f>IFERROR(INDEX('Ashed teabags dry'!$K$2:$K$2000,MATCH(I125,'Ashed teabags dry'!$A$2:$A$2000,0)),"")</f>
        <v/>
      </c>
      <c r="Y125" s="194" t="str">
        <f t="shared" si="2"/>
        <v/>
      </c>
      <c r="Z125" s="194" t="str">
        <f t="shared" si="2"/>
        <v/>
      </c>
      <c r="AA125" s="194" t="str">
        <f t="shared" si="8"/>
        <v/>
      </c>
      <c r="AB125" s="194" t="str">
        <f t="shared" si="9"/>
        <v/>
      </c>
      <c r="AC125" s="194" t="str">
        <f t="shared" si="3"/>
        <v/>
      </c>
      <c r="AD125" t="str">
        <f t="shared" si="10"/>
        <v/>
      </c>
      <c r="AE125" s="194" t="str">
        <f t="shared" si="11"/>
        <v/>
      </c>
      <c r="AF125" s="194" t="str">
        <f t="shared" si="12"/>
        <v/>
      </c>
      <c r="AG125" s="245" t="str">
        <f>IF(ISNUMBER(SEARCH("C", 'Dry_Litterbag Placem_Collection'!$T52)),"YES","NO")</f>
        <v>NO</v>
      </c>
      <c r="AH125" s="245" t="str">
        <f>IF(ISNUMBER(SEARCH("H", 'Dry_Litterbag Placem_Collection'!$T52)),"YES","NO")</f>
        <v>NO</v>
      </c>
      <c r="AI125" s="245" t="str">
        <f>IF(ISNUMBER(SEARCH("R", 'Dry_Litterbag Placem_Collection'!$T52)),"YES","NO")</f>
        <v>NO</v>
      </c>
      <c r="AJ125" s="245" t="str">
        <f>IF(ISNUMBER(SEARCH("C", 'Dry_Litterbag Placem_Collection'!$S52)),"YES","NO")</f>
        <v>NO</v>
      </c>
      <c r="AK125" s="245" t="str">
        <f>IF(ISNUMBER(SEARCH("H", 'Dry_Litterbag Placem_Collection'!$S52)),"YES","NO")</f>
        <v>NO</v>
      </c>
      <c r="AL125" s="245" t="str">
        <f>IF(ISNUMBER(SEARCH("R", 'Dry_Litterbag Placem_Collection'!$S52)),"YES","NO")</f>
        <v>NO</v>
      </c>
    </row>
    <row r="126" spans="2:38">
      <c r="B126" t="str">
        <f>Dryseason!B52</f>
        <v>Dry</v>
      </c>
      <c r="C126" s="253">
        <f>Dryseason!C52</f>
        <v>51</v>
      </c>
      <c r="D126" t="s">
        <v>3109</v>
      </c>
      <c r="E126" t="s">
        <v>22</v>
      </c>
      <c r="F126" s="374">
        <v>3</v>
      </c>
      <c r="G126" s="16">
        <f>IF('Dry_Litterbag Placem_Collection'!E53="","",'Dry_Litterbag Placem_Collection'!E53)</f>
        <v>42938</v>
      </c>
      <c r="H126" t="str">
        <f>Dryseason!L52</f>
        <v>G227</v>
      </c>
      <c r="I126" t="str">
        <f>Dryseason!L272</f>
        <v>R798</v>
      </c>
      <c r="J126">
        <f>IFERROR(INDEX('Green_rooibos initial weight'!$C$5:$C$2000,MATCH(H126, 'Green_rooibos initial weight'!$A$5:$A$2000,0)),"")</f>
        <v>1.986</v>
      </c>
      <c r="K126">
        <f>IFERROR(INDEX('Green_rooibos initial weight'!$C$5:$C$2000,MATCH(I126, 'Green_rooibos initial weight'!$A$5:$A$2000,0)),"")</f>
        <v>2.1850000000000001</v>
      </c>
      <c r="L126" s="194">
        <f t="shared" si="4"/>
        <v>1.7362</v>
      </c>
      <c r="M126" s="233">
        <f>AVERAGE(Ashed_controlls!$K$1:$K$11)</f>
        <v>5.5147656768714146</v>
      </c>
      <c r="N126" s="194">
        <f t="shared" si="0"/>
        <v>1.6404526383181586</v>
      </c>
      <c r="O126" s="194">
        <f t="shared" si="5"/>
        <v>1.9352</v>
      </c>
      <c r="P126" s="233">
        <f>AVERAGE(Ashed_controlls!$K$12:$K$14)</f>
        <v>2.2816647271287041</v>
      </c>
      <c r="Q126" s="194">
        <f t="shared" si="1"/>
        <v>1.8910452242006053</v>
      </c>
      <c r="R126" s="16">
        <f>IF('Dry_Litterbag Placem_Collection'!G53="","",'Dry_Litterbag Placem_Collection'!G53)</f>
        <v>43005</v>
      </c>
      <c r="S126" s="194">
        <f>IFERROR(INDEX('Both teabags AfterDry'!$D$3:$D$2000,MATCH(H126,'Both teabags AfterDry'!$A$3:$A$2000,0)),"")</f>
        <v>1.7715000000000001</v>
      </c>
      <c r="T126" s="194">
        <f>IFERROR(INDEX('Both teabags AfterDry'!$D$3:$D$2000,MATCH(I126,'Both teabags AfterDry'!$A$3:$A$2000,0)),"")</f>
        <v>1.8956999999999999</v>
      </c>
      <c r="U126" s="194">
        <f t="shared" si="6"/>
        <v>1.6209</v>
      </c>
      <c r="V126" s="194">
        <f t="shared" si="7"/>
        <v>1.7450999999999999</v>
      </c>
      <c r="W126" s="194">
        <f>IFERROR(INDEX('Ashed teabags dry'!$K$2:$K$2000,MATCH(H126,'Ashed teabags dry'!$A$2:$A$2000,0)),"")</f>
        <v>5.9108954565503948</v>
      </c>
      <c r="X126" s="194">
        <f>IFERROR(INDEX('Ashed teabags dry'!$K$2:$K$2000,MATCH(I126,'Ashed teabags dry'!$A$2:$A$2000,0)),"")</f>
        <v>3.1954887218038985</v>
      </c>
      <c r="Y126" s="194">
        <f t="shared" si="2"/>
        <v>1.5250902955447747</v>
      </c>
      <c r="Z126" s="194">
        <f t="shared" si="2"/>
        <v>1.6893355263158001</v>
      </c>
      <c r="AA126" s="194">
        <f t="shared" si="8"/>
        <v>7.0323482725875519E-2</v>
      </c>
      <c r="AB126" s="194">
        <f t="shared" si="9"/>
        <v>4.6102805777533583E-2</v>
      </c>
      <c r="AC126" s="194">
        <f t="shared" si="3"/>
        <v>0.89333428132578208</v>
      </c>
      <c r="AD126">
        <f t="shared" si="10"/>
        <v>67</v>
      </c>
      <c r="AE126" s="194">
        <f t="shared" si="11"/>
        <v>0.91648042431606236</v>
      </c>
      <c r="AF126" s="194" t="str">
        <f t="shared" si="12"/>
        <v/>
      </c>
      <c r="AG126" s="245" t="str">
        <f>IF(ISNUMBER(SEARCH("C", 'Dry_Litterbag Placem_Collection'!$T53)),"YES","NO")</f>
        <v>NO</v>
      </c>
      <c r="AH126" s="245" t="str">
        <f>IF(ISNUMBER(SEARCH("H", 'Dry_Litterbag Placem_Collection'!$T53)),"YES","NO")</f>
        <v>NO</v>
      </c>
      <c r="AI126" s="245" t="str">
        <f>IF(ISNUMBER(SEARCH("R", 'Dry_Litterbag Placem_Collection'!$T53)),"YES","NO")</f>
        <v>NO</v>
      </c>
      <c r="AJ126" s="245" t="str">
        <f>IF(ISNUMBER(SEARCH("C", 'Dry_Litterbag Placem_Collection'!$S53)),"YES","NO")</f>
        <v>NO</v>
      </c>
      <c r="AK126" s="245" t="str">
        <f>IF(ISNUMBER(SEARCH("H", 'Dry_Litterbag Placem_Collection'!$S53)),"YES","NO")</f>
        <v>NO</v>
      </c>
      <c r="AL126" s="245" t="str">
        <f>IF(ISNUMBER(SEARCH("R", 'Dry_Litterbag Placem_Collection'!$S53)),"YES","NO")</f>
        <v>NO</v>
      </c>
    </row>
    <row r="127" spans="2:38">
      <c r="B127" t="str">
        <f>Dryseason!B53</f>
        <v>Dry</v>
      </c>
      <c r="C127" s="253">
        <f>Dryseason!C53</f>
        <v>52</v>
      </c>
      <c r="D127" t="s">
        <v>3109</v>
      </c>
      <c r="E127" t="s">
        <v>22</v>
      </c>
      <c r="F127" s="375">
        <v>4</v>
      </c>
      <c r="G127" s="16">
        <f>IF('Dry_Litterbag Placem_Collection'!E54="","",'Dry_Litterbag Placem_Collection'!E54)</f>
        <v>42938</v>
      </c>
      <c r="H127" t="str">
        <f>Dryseason!L53</f>
        <v>G237</v>
      </c>
      <c r="I127" t="str">
        <f>Dryseason!L273</f>
        <v>R833</v>
      </c>
      <c r="J127">
        <f>IFERROR(INDEX('Green_rooibos initial weight'!$C$5:$C$2000,MATCH(H127, 'Green_rooibos initial weight'!$A$5:$A$2000,0)),"")</f>
        <v>1.988</v>
      </c>
      <c r="K127">
        <f>IFERROR(INDEX('Green_rooibos initial weight'!$C$5:$C$2000,MATCH(I127, 'Green_rooibos initial weight'!$A$5:$A$2000,0)),"")</f>
        <v>2.218</v>
      </c>
      <c r="L127" s="194">
        <f t="shared" si="4"/>
        <v>1.7382</v>
      </c>
      <c r="M127" s="233">
        <f>AVERAGE(Ashed_controlls!$K$1:$K$11)</f>
        <v>5.5147656768714146</v>
      </c>
      <c r="N127" s="194">
        <f t="shared" si="0"/>
        <v>1.6423423430046211</v>
      </c>
      <c r="O127" s="194">
        <f t="shared" si="5"/>
        <v>1.9681999999999999</v>
      </c>
      <c r="P127" s="233">
        <f>AVERAGE(Ashed_controlls!$K$12:$K$14)</f>
        <v>2.2816647271287041</v>
      </c>
      <c r="Q127" s="194">
        <f t="shared" si="1"/>
        <v>1.9232922748406529</v>
      </c>
      <c r="R127" s="16">
        <f>IF('Dry_Litterbag Placem_Collection'!G54="","",'Dry_Litterbag Placem_Collection'!G54)</f>
        <v>43005</v>
      </c>
      <c r="S127" s="194">
        <f>IFERROR(INDEX('Both teabags AfterDry'!$D$3:$D$2000,MATCH(H127,'Both teabags AfterDry'!$A$3:$A$2000,0)),"")</f>
        <v>1.8220000000000001</v>
      </c>
      <c r="T127" s="194">
        <f>IFERROR(INDEX('Both teabags AfterDry'!$D$3:$D$2000,MATCH(I127,'Both teabags AfterDry'!$A$3:$A$2000,0)),"")</f>
        <v>1.9791000000000001</v>
      </c>
      <c r="U127" s="194">
        <f t="shared" si="6"/>
        <v>1.6714</v>
      </c>
      <c r="V127" s="194">
        <f t="shared" si="7"/>
        <v>1.8285</v>
      </c>
      <c r="W127" s="194">
        <f>IFERROR(INDEX('Ashed teabags dry'!$K$2:$K$2000,MATCH(H127,'Ashed teabags dry'!$A$2:$A$2000,0)),"")</f>
        <v>5.8161350844273088</v>
      </c>
      <c r="X127" s="194">
        <f>IFERROR(INDEX('Ashed teabags dry'!$K$2:$K$2000,MATCH(I127,'Ashed teabags dry'!$A$2:$A$2000,0)),"")</f>
        <v>3.0042918454938667</v>
      </c>
      <c r="Y127" s="194">
        <f t="shared" si="2"/>
        <v>1.5741891181988819</v>
      </c>
      <c r="Z127" s="194">
        <f t="shared" si="2"/>
        <v>1.7735665236051446</v>
      </c>
      <c r="AA127" s="194">
        <f t="shared" si="8"/>
        <v>4.1497575152970145E-2</v>
      </c>
      <c r="AB127" s="194">
        <f t="shared" si="9"/>
        <v>2.720506114541513E-2</v>
      </c>
      <c r="AC127" s="194">
        <f t="shared" si="3"/>
        <v>0.92215132707902481</v>
      </c>
      <c r="AD127">
        <f t="shared" si="10"/>
        <v>67</v>
      </c>
      <c r="AE127" s="194">
        <f t="shared" si="11"/>
        <v>0.95071546893946535</v>
      </c>
      <c r="AF127" s="194" t="str">
        <f t="shared" si="12"/>
        <v/>
      </c>
      <c r="AG127" s="245" t="str">
        <f>IF(ISNUMBER(SEARCH("C", 'Dry_Litterbag Placem_Collection'!$T54)),"YES","NO")</f>
        <v>NO</v>
      </c>
      <c r="AH127" s="245" t="str">
        <f>IF(ISNUMBER(SEARCH("H", 'Dry_Litterbag Placem_Collection'!$T54)),"YES","NO")</f>
        <v>NO</v>
      </c>
      <c r="AI127" s="245" t="str">
        <f>IF(ISNUMBER(SEARCH("R", 'Dry_Litterbag Placem_Collection'!$T54)),"YES","NO")</f>
        <v>NO</v>
      </c>
      <c r="AJ127" s="245" t="str">
        <f>IF(ISNUMBER(SEARCH("C", 'Dry_Litterbag Placem_Collection'!$S54)),"YES","NO")</f>
        <v>NO</v>
      </c>
      <c r="AK127" s="245" t="str">
        <f>IF(ISNUMBER(SEARCH("H", 'Dry_Litterbag Placem_Collection'!$S54)),"YES","NO")</f>
        <v>NO</v>
      </c>
      <c r="AL127" s="245" t="str">
        <f>IF(ISNUMBER(SEARCH("R", 'Dry_Litterbag Placem_Collection'!$S54)),"YES","NO")</f>
        <v>NO</v>
      </c>
    </row>
    <row r="128" spans="2:38">
      <c r="B128" t="str">
        <f>Dryseason!B54</f>
        <v>Dry</v>
      </c>
      <c r="C128" s="253">
        <f>Dryseason!C54</f>
        <v>53</v>
      </c>
      <c r="D128" t="s">
        <v>3109</v>
      </c>
      <c r="E128" t="s">
        <v>22</v>
      </c>
      <c r="F128" s="375">
        <v>5</v>
      </c>
      <c r="G128" s="16">
        <f>IF('Dry_Litterbag Placem_Collection'!E55="","",'Dry_Litterbag Placem_Collection'!E55)</f>
        <v>42938</v>
      </c>
      <c r="H128" t="str">
        <f>Dryseason!L54</f>
        <v>G172</v>
      </c>
      <c r="I128" t="str">
        <f>Dryseason!L274</f>
        <v>R734</v>
      </c>
      <c r="J128">
        <f>IFERROR(INDEX('Green_rooibos initial weight'!$C$5:$C$2000,MATCH(H128, 'Green_rooibos initial weight'!$A$5:$A$2000,0)),"")</f>
        <v>1.9870000000000001</v>
      </c>
      <c r="K128">
        <f>IFERROR(INDEX('Green_rooibos initial weight'!$C$5:$C$2000,MATCH(I128, 'Green_rooibos initial weight'!$A$5:$A$2000,0)),"")</f>
        <v>2.1589999999999998</v>
      </c>
      <c r="L128" s="194">
        <f t="shared" si="4"/>
        <v>1.7372000000000001</v>
      </c>
      <c r="M128" s="233">
        <f>AVERAGE(Ashed_controlls!$K$1:$K$11)</f>
        <v>5.5147656768714146</v>
      </c>
      <c r="N128" s="194">
        <f t="shared" si="0"/>
        <v>1.64139749066139</v>
      </c>
      <c r="O128" s="194">
        <f t="shared" si="5"/>
        <v>1.9091999999999998</v>
      </c>
      <c r="P128" s="233">
        <f>AVERAGE(Ashed_controlls!$K$12:$K$14)</f>
        <v>2.2816647271287041</v>
      </c>
      <c r="Q128" s="194">
        <f t="shared" si="1"/>
        <v>1.8656384570296585</v>
      </c>
      <c r="R128" s="16">
        <f>IF('Dry_Litterbag Placem_Collection'!G55="","",'Dry_Litterbag Placem_Collection'!G55)</f>
        <v>43005</v>
      </c>
      <c r="S128" s="194">
        <f>IFERROR(INDEX('Both teabags AfterDry'!$D$3:$D$2000,MATCH(H128,'Both teabags AfterDry'!$A$3:$A$2000,0)),"")</f>
        <v>1.8197000000000001</v>
      </c>
      <c r="T128" s="194">
        <f>IFERROR(INDEX('Both teabags AfterDry'!$D$3:$D$2000,MATCH(I128,'Both teabags AfterDry'!$A$3:$A$2000,0)),"")</f>
        <v>1.8914</v>
      </c>
      <c r="U128" s="194">
        <f t="shared" si="6"/>
        <v>1.6691</v>
      </c>
      <c r="V128" s="194">
        <f t="shared" si="7"/>
        <v>1.7407999999999999</v>
      </c>
      <c r="W128" s="194">
        <f>IFERROR(INDEX('Ashed teabags dry'!$K$2:$K$2000,MATCH(H128,'Ashed teabags dry'!$A$2:$A$2000,0)),"")</f>
        <v>5.6308213378488601</v>
      </c>
      <c r="X128" s="194">
        <f>IFERROR(INDEX('Ashed teabags dry'!$K$2:$K$2000,MATCH(I128,'Ashed teabags dry'!$A$2:$A$2000,0)),"")</f>
        <v>2.63419483101393</v>
      </c>
      <c r="Y128" s="194">
        <f t="shared" si="2"/>
        <v>1.5751159610499648</v>
      </c>
      <c r="Z128" s="194">
        <f t="shared" si="2"/>
        <v>1.6949439363817094</v>
      </c>
      <c r="AA128" s="194">
        <f t="shared" si="8"/>
        <v>4.0381156903509963E-2</v>
      </c>
      <c r="AB128" s="194">
        <f t="shared" si="9"/>
        <v>2.6473157494937682E-2</v>
      </c>
      <c r="AC128" s="194">
        <f t="shared" si="3"/>
        <v>0.9085061095279322</v>
      </c>
      <c r="AD128">
        <f t="shared" si="10"/>
        <v>67</v>
      </c>
      <c r="AE128" s="194">
        <f t="shared" si="11"/>
        <v>0.95204138134975058</v>
      </c>
      <c r="AF128" s="194" t="str">
        <f t="shared" si="12"/>
        <v/>
      </c>
      <c r="AG128" s="245" t="str">
        <f>IF(ISNUMBER(SEARCH("C", 'Dry_Litterbag Placem_Collection'!$T55)),"YES","NO")</f>
        <v>NO</v>
      </c>
      <c r="AH128" s="245" t="str">
        <f>IF(ISNUMBER(SEARCH("H", 'Dry_Litterbag Placem_Collection'!$T55)),"YES","NO")</f>
        <v>NO</v>
      </c>
      <c r="AI128" s="245" t="str">
        <f>IF(ISNUMBER(SEARCH("R", 'Dry_Litterbag Placem_Collection'!$T55)),"YES","NO")</f>
        <v>NO</v>
      </c>
      <c r="AJ128" s="245" t="str">
        <f>IF(ISNUMBER(SEARCH("C", 'Dry_Litterbag Placem_Collection'!$S55)),"YES","NO")</f>
        <v>NO</v>
      </c>
      <c r="AK128" s="245" t="str">
        <f>IF(ISNUMBER(SEARCH("H", 'Dry_Litterbag Placem_Collection'!$S55)),"YES","NO")</f>
        <v>NO</v>
      </c>
      <c r="AL128" s="245" t="str">
        <f>IF(ISNUMBER(SEARCH("R", 'Dry_Litterbag Placem_Collection'!$S55)),"YES","NO")</f>
        <v>NO</v>
      </c>
    </row>
    <row r="129" spans="2:38">
      <c r="B129" t="str">
        <f>Dryseason!B55</f>
        <v>Dry</v>
      </c>
      <c r="C129" s="253">
        <f>Dryseason!C55</f>
        <v>54</v>
      </c>
      <c r="D129" t="s">
        <v>3109</v>
      </c>
      <c r="E129" t="s">
        <v>22</v>
      </c>
      <c r="F129" s="375">
        <v>6</v>
      </c>
      <c r="G129" s="16" t="str">
        <f>IF('Dry_Litterbag Placem_Collection'!E56="","",'Dry_Litterbag Placem_Collection'!E56)</f>
        <v/>
      </c>
      <c r="H129" t="str">
        <f>Dryseason!L55</f>
        <v/>
      </c>
      <c r="I129" t="str">
        <f>Dryseason!L275</f>
        <v/>
      </c>
      <c r="J129" t="str">
        <f>IFERROR(INDEX('Green_rooibos initial weight'!$C$5:$C$2000,MATCH(H129, 'Green_rooibos initial weight'!$A$5:$A$2000,0)),"")</f>
        <v/>
      </c>
      <c r="K129" t="str">
        <f>IFERROR(INDEX('Green_rooibos initial weight'!$C$5:$C$2000,MATCH(I129, 'Green_rooibos initial weight'!$A$5:$A$2000,0)),"")</f>
        <v/>
      </c>
      <c r="L129" s="194" t="str">
        <f t="shared" si="4"/>
        <v/>
      </c>
      <c r="M129" s="233">
        <f>AVERAGE(Ashed_controlls!$K$1:$K$11)</f>
        <v>5.5147656768714146</v>
      </c>
      <c r="N129" s="194" t="str">
        <f t="shared" si="0"/>
        <v/>
      </c>
      <c r="O129" s="194" t="str">
        <f t="shared" si="5"/>
        <v/>
      </c>
      <c r="P129" s="233">
        <f>AVERAGE(Ashed_controlls!$K$12:$K$14)</f>
        <v>2.2816647271287041</v>
      </c>
      <c r="Q129" s="194" t="str">
        <f t="shared" si="1"/>
        <v/>
      </c>
      <c r="R129" s="16" t="str">
        <f>IF('Dry_Litterbag Placem_Collection'!G56="","",'Dry_Litterbag Placem_Collection'!G56)</f>
        <v/>
      </c>
      <c r="S129" s="194" t="str">
        <f>IFERROR(INDEX('Both teabags AfterDry'!$D$3:$D$2000,MATCH(H129,'Both teabags AfterDry'!$A$3:$A$2000,0)),"")</f>
        <v/>
      </c>
      <c r="T129" s="194" t="str">
        <f>IFERROR(INDEX('Both teabags AfterDry'!$D$3:$D$2000,MATCH(I129,'Both teabags AfterDry'!$A$3:$A$2000,0)),"")</f>
        <v/>
      </c>
      <c r="U129" s="194" t="str">
        <f t="shared" si="6"/>
        <v/>
      </c>
      <c r="V129" s="194" t="str">
        <f t="shared" si="7"/>
        <v/>
      </c>
      <c r="W129" s="194" t="str">
        <f>IFERROR(INDEX('Ashed teabags dry'!$K$2:$K$2000,MATCH(H129,'Ashed teabags dry'!$A$2:$A$2000,0)),"")</f>
        <v/>
      </c>
      <c r="X129" s="194" t="str">
        <f>IFERROR(INDEX('Ashed teabags dry'!$K$2:$K$2000,MATCH(I129,'Ashed teabags dry'!$A$2:$A$2000,0)),"")</f>
        <v/>
      </c>
      <c r="Y129" s="194" t="str">
        <f t="shared" si="2"/>
        <v/>
      </c>
      <c r="Z129" s="194" t="str">
        <f t="shared" si="2"/>
        <v/>
      </c>
      <c r="AA129" s="194" t="str">
        <f t="shared" si="8"/>
        <v/>
      </c>
      <c r="AB129" s="194" t="str">
        <f t="shared" si="9"/>
        <v/>
      </c>
      <c r="AC129" s="194" t="str">
        <f t="shared" si="3"/>
        <v/>
      </c>
      <c r="AD129" t="str">
        <f t="shared" si="10"/>
        <v/>
      </c>
      <c r="AE129" s="194" t="str">
        <f t="shared" si="11"/>
        <v/>
      </c>
      <c r="AF129" s="194" t="str">
        <f t="shared" si="12"/>
        <v/>
      </c>
      <c r="AG129" s="245" t="str">
        <f>IF(ISNUMBER(SEARCH("C", 'Dry_Litterbag Placem_Collection'!$T56)),"YES","NO")</f>
        <v>NO</v>
      </c>
      <c r="AH129" s="245" t="str">
        <f>IF(ISNUMBER(SEARCH("H", 'Dry_Litterbag Placem_Collection'!$T56)),"YES","NO")</f>
        <v>NO</v>
      </c>
      <c r="AI129" s="245" t="str">
        <f>IF(ISNUMBER(SEARCH("R", 'Dry_Litterbag Placem_Collection'!$T56)),"YES","NO")</f>
        <v>NO</v>
      </c>
      <c r="AJ129" s="245" t="str">
        <f>IF(ISNUMBER(SEARCH("C", 'Dry_Litterbag Placem_Collection'!$S56)),"YES","NO")</f>
        <v>NO</v>
      </c>
      <c r="AK129" s="245" t="str">
        <f>IF(ISNUMBER(SEARCH("H", 'Dry_Litterbag Placem_Collection'!$S56)),"YES","NO")</f>
        <v>NO</v>
      </c>
      <c r="AL129" s="245" t="str">
        <f>IF(ISNUMBER(SEARCH("R", 'Dry_Litterbag Placem_Collection'!$S56)),"YES","NO")</f>
        <v>NO</v>
      </c>
    </row>
    <row r="130" spans="2:38">
      <c r="B130" t="str">
        <f>Dryseason!B56</f>
        <v>Dry</v>
      </c>
      <c r="C130" s="253">
        <f>Dryseason!C56</f>
        <v>55</v>
      </c>
      <c r="D130" t="s">
        <v>3109</v>
      </c>
      <c r="E130" t="s">
        <v>22</v>
      </c>
      <c r="F130" s="375">
        <v>7</v>
      </c>
      <c r="G130" s="16">
        <f>IF('Dry_Litterbag Placem_Collection'!E57="","",'Dry_Litterbag Placem_Collection'!E57)</f>
        <v>42938</v>
      </c>
      <c r="H130" t="str">
        <f>Dryseason!L56</f>
        <v>G86</v>
      </c>
      <c r="I130" t="str">
        <f>Dryseason!L276</f>
        <v>R839</v>
      </c>
      <c r="J130">
        <f>IFERROR(INDEX('Green_rooibos initial weight'!$C$5:$C$2000,MATCH(H130, 'Green_rooibos initial weight'!$A$5:$A$2000,0)),"")</f>
        <v>2.1030000000000002</v>
      </c>
      <c r="K130">
        <f>IFERROR(INDEX('Green_rooibos initial weight'!$C$5:$C$2000,MATCH(I130, 'Green_rooibos initial weight'!$A$5:$A$2000,0)),"")</f>
        <v>2.2269999999999999</v>
      </c>
      <c r="L130" s="194">
        <f t="shared" si="4"/>
        <v>1.8532000000000002</v>
      </c>
      <c r="M130" s="233">
        <f>AVERAGE(Ashed_controlls!$K$1:$K$11)</f>
        <v>5.5147656768714146</v>
      </c>
      <c r="N130" s="194">
        <f t="shared" si="0"/>
        <v>1.7510003624762192</v>
      </c>
      <c r="O130" s="194">
        <f t="shared" si="5"/>
        <v>1.9771999999999998</v>
      </c>
      <c r="P130" s="233">
        <f>AVERAGE(Ashed_controlls!$K$12:$K$14)</f>
        <v>2.2816647271287041</v>
      </c>
      <c r="Q130" s="194">
        <f t="shared" si="1"/>
        <v>1.9320869250152111</v>
      </c>
      <c r="R130" s="16">
        <f>IF('Dry_Litterbag Placem_Collection'!G57="","",'Dry_Litterbag Placem_Collection'!G57)</f>
        <v>43005</v>
      </c>
      <c r="S130" s="194">
        <f>IFERROR(INDEX('Both teabags AfterDry'!$D$3:$D$2000,MATCH(H130,'Both teabags AfterDry'!$A$3:$A$2000,0)),"")</f>
        <v>1.8914</v>
      </c>
      <c r="T130" s="194">
        <f>IFERROR(INDEX('Both teabags AfterDry'!$D$3:$D$2000,MATCH(I130,'Both teabags AfterDry'!$A$3:$A$2000,0)),"")</f>
        <v>1.9775</v>
      </c>
      <c r="U130" s="194">
        <f t="shared" si="6"/>
        <v>1.7407999999999999</v>
      </c>
      <c r="V130" s="194">
        <f t="shared" si="7"/>
        <v>1.8269</v>
      </c>
      <c r="W130" s="194">
        <f>IFERROR(INDEX('Ashed teabags dry'!$K$2:$K$2000,MATCH(H130,'Ashed teabags dry'!$A$2:$A$2000,0)),"")</f>
        <v>6.1160714285713613</v>
      </c>
      <c r="X130" s="194">
        <f>IFERROR(INDEX('Ashed teabags dry'!$K$2:$K$2000,MATCH(I130,'Ashed teabags dry'!$A$2:$A$2000,0)),"")</f>
        <v>2.7226580526069402</v>
      </c>
      <c r="Y130" s="194">
        <f t="shared" si="2"/>
        <v>1.6343314285714297</v>
      </c>
      <c r="Z130" s="194">
        <f t="shared" si="2"/>
        <v>1.7771597600369238</v>
      </c>
      <c r="AA130" s="194">
        <f t="shared" si="8"/>
        <v>6.6629874216473262E-2</v>
      </c>
      <c r="AB130" s="194">
        <f t="shared" si="9"/>
        <v>4.3681342716737834E-2</v>
      </c>
      <c r="AC130" s="194">
        <f t="shared" si="3"/>
        <v>0.91981356378307488</v>
      </c>
      <c r="AD130">
        <f t="shared" si="10"/>
        <v>67</v>
      </c>
      <c r="AE130" s="194">
        <f t="shared" si="11"/>
        <v>0.92086713275953291</v>
      </c>
      <c r="AF130" s="194" t="str">
        <f t="shared" si="12"/>
        <v/>
      </c>
      <c r="AG130" s="245" t="str">
        <f>IF(ISNUMBER(SEARCH("C", 'Dry_Litterbag Placem_Collection'!$T57)),"YES","NO")</f>
        <v>YES</v>
      </c>
      <c r="AH130" s="245" t="str">
        <f>IF(ISNUMBER(SEARCH("H", 'Dry_Litterbag Placem_Collection'!$T57)),"YES","NO")</f>
        <v>YES</v>
      </c>
      <c r="AI130" s="245" t="str">
        <f>IF(ISNUMBER(SEARCH("R", 'Dry_Litterbag Placem_Collection'!$T57)),"YES","NO")</f>
        <v>NO</v>
      </c>
      <c r="AJ130" s="245" t="str">
        <f>IF(ISNUMBER(SEARCH("C", 'Dry_Litterbag Placem_Collection'!$S57)),"YES","NO")</f>
        <v>YES</v>
      </c>
      <c r="AK130" s="245" t="str">
        <f>IF(ISNUMBER(SEARCH("H", 'Dry_Litterbag Placem_Collection'!$S57)),"YES","NO")</f>
        <v>YES</v>
      </c>
      <c r="AL130" s="245" t="str">
        <f>IF(ISNUMBER(SEARCH("R", 'Dry_Litterbag Placem_Collection'!$S57)),"YES","NO")</f>
        <v>NO</v>
      </c>
    </row>
    <row r="131" spans="2:38">
      <c r="B131" t="str">
        <f>Dryseason!B57</f>
        <v>Dry</v>
      </c>
      <c r="C131" s="253">
        <f>Dryseason!C57</f>
        <v>56</v>
      </c>
      <c r="D131" t="s">
        <v>3109</v>
      </c>
      <c r="E131" t="s">
        <v>22</v>
      </c>
      <c r="F131" s="375">
        <v>8</v>
      </c>
      <c r="G131" s="16">
        <f>IF('Dry_Litterbag Placem_Collection'!E58="","",'Dry_Litterbag Placem_Collection'!E58)</f>
        <v>42938</v>
      </c>
      <c r="H131" t="str">
        <f>Dryseason!L57</f>
        <v>G107</v>
      </c>
      <c r="I131" t="str">
        <f>Dryseason!L277</f>
        <v>R760</v>
      </c>
      <c r="J131">
        <f>IFERROR(INDEX('Green_rooibos initial weight'!$C$5:$C$2000,MATCH(H131, 'Green_rooibos initial weight'!$A$5:$A$2000,0)),"")</f>
        <v>2.1749999999999998</v>
      </c>
      <c r="K131">
        <f>IFERROR(INDEX('Green_rooibos initial weight'!$C$5:$C$2000,MATCH(I131, 'Green_rooibos initial weight'!$A$5:$A$2000,0)),"")</f>
        <v>2.2320000000000002</v>
      </c>
      <c r="L131" s="194">
        <f t="shared" si="4"/>
        <v>1.9251999999999998</v>
      </c>
      <c r="M131" s="233">
        <f>AVERAGE(Ashed_controlls!$K$1:$K$11)</f>
        <v>5.5147656768714146</v>
      </c>
      <c r="N131" s="194">
        <f t="shared" si="0"/>
        <v>1.8190297311888712</v>
      </c>
      <c r="O131" s="194">
        <f t="shared" si="5"/>
        <v>1.9822000000000002</v>
      </c>
      <c r="P131" s="233">
        <f>AVERAGE(Ashed_controlls!$K$12:$K$14)</f>
        <v>2.2816647271287041</v>
      </c>
      <c r="Q131" s="194">
        <f t="shared" si="1"/>
        <v>1.936972841778855</v>
      </c>
      <c r="R131" s="16">
        <f>IF('Dry_Litterbag Placem_Collection'!G58="","",'Dry_Litterbag Placem_Collection'!G58)</f>
        <v>43005</v>
      </c>
      <c r="S131" s="194">
        <f>IFERROR(INDEX('Both teabags AfterDry'!$D$3:$D$2000,MATCH(H131,'Both teabags AfterDry'!$A$3:$A$2000,0)),"")</f>
        <v>2.0276000000000001</v>
      </c>
      <c r="T131" s="194">
        <f>IFERROR(INDEX('Both teabags AfterDry'!$D$3:$D$2000,MATCH(I131,'Both teabags AfterDry'!$A$3:$A$2000,0)),"")</f>
        <v>1.9821</v>
      </c>
      <c r="U131" s="194">
        <f t="shared" si="6"/>
        <v>1.877</v>
      </c>
      <c r="V131" s="194">
        <f t="shared" si="7"/>
        <v>1.8314999999999999</v>
      </c>
      <c r="W131" s="194">
        <f>IFERROR(INDEX('Ashed teabags dry'!$K$2:$K$2000,MATCH(H131,'Ashed teabags dry'!$A$2:$A$2000,0)),"")</f>
        <v>5.6218057921633493</v>
      </c>
      <c r="X131" s="194">
        <f>IFERROR(INDEX('Ashed teabags dry'!$K$2:$K$2000,MATCH(I131,'Ashed teabags dry'!$A$2:$A$2000,0)),"")</f>
        <v>2.8949950932292219</v>
      </c>
      <c r="Y131" s="194">
        <f t="shared" si="2"/>
        <v>1.7714787052810939</v>
      </c>
      <c r="Z131" s="194">
        <f t="shared" si="2"/>
        <v>1.7784781648675068</v>
      </c>
      <c r="AA131" s="194">
        <f t="shared" si="8"/>
        <v>2.614087339666471E-2</v>
      </c>
      <c r="AB131" s="194">
        <f t="shared" si="9"/>
        <v>1.7137484697100851E-2</v>
      </c>
      <c r="AC131" s="194">
        <f t="shared" si="3"/>
        <v>0.91817403244240037</v>
      </c>
      <c r="AD131">
        <f t="shared" si="10"/>
        <v>67</v>
      </c>
      <c r="AE131" s="194">
        <f t="shared" si="11"/>
        <v>0.96895383207046948</v>
      </c>
      <c r="AF131" s="194" t="str">
        <f t="shared" si="12"/>
        <v/>
      </c>
      <c r="AG131" s="245" t="str">
        <f>IF(ISNUMBER(SEARCH("C", 'Dry_Litterbag Placem_Collection'!$T58)),"YES","NO")</f>
        <v>NO</v>
      </c>
      <c r="AH131" s="245" t="str">
        <f>IF(ISNUMBER(SEARCH("H", 'Dry_Litterbag Placem_Collection'!$T58)),"YES","NO")</f>
        <v>NO</v>
      </c>
      <c r="AI131" s="245" t="str">
        <f>IF(ISNUMBER(SEARCH("R", 'Dry_Litterbag Placem_Collection'!$T58)),"YES","NO")</f>
        <v>NO</v>
      </c>
      <c r="AJ131" s="245" t="str">
        <f>IF(ISNUMBER(SEARCH("C", 'Dry_Litterbag Placem_Collection'!$S58)),"YES","NO")</f>
        <v>NO</v>
      </c>
      <c r="AK131" s="245" t="str">
        <f>IF(ISNUMBER(SEARCH("H", 'Dry_Litterbag Placem_Collection'!$S58)),"YES","NO")</f>
        <v>NO</v>
      </c>
      <c r="AL131" s="245" t="str">
        <f>IF(ISNUMBER(SEARCH("R", 'Dry_Litterbag Placem_Collection'!$S58)),"YES","NO")</f>
        <v>NO</v>
      </c>
    </row>
    <row r="132" spans="2:38">
      <c r="B132" t="str">
        <f>Dryseason!B58</f>
        <v>Dry</v>
      </c>
      <c r="C132" s="253">
        <f>Dryseason!C58</f>
        <v>57</v>
      </c>
      <c r="D132" t="s">
        <v>3110</v>
      </c>
      <c r="E132" t="s">
        <v>22</v>
      </c>
      <c r="F132" s="374">
        <v>1</v>
      </c>
      <c r="G132" s="16">
        <f>IF('Dry_Litterbag Placem_Collection'!E59="","",'Dry_Litterbag Placem_Collection'!E59)</f>
        <v>42938</v>
      </c>
      <c r="H132" t="str">
        <f>Dryseason!L58</f>
        <v>G41</v>
      </c>
      <c r="I132" t="str">
        <f>Dryseason!L278</f>
        <v>R830</v>
      </c>
      <c r="J132">
        <f>IFERROR(INDEX('Green_rooibos initial weight'!$C$5:$C$2000,MATCH(H132, 'Green_rooibos initial weight'!$A$5:$A$2000,0)),"")</f>
        <v>1.9850000000000001</v>
      </c>
      <c r="K132">
        <f>IFERROR(INDEX('Green_rooibos initial weight'!$C$5:$C$2000,MATCH(I132, 'Green_rooibos initial weight'!$A$5:$A$2000,0)),"")</f>
        <v>2.2160000000000002</v>
      </c>
      <c r="L132" s="194">
        <f t="shared" si="4"/>
        <v>1.7352000000000001</v>
      </c>
      <c r="M132" s="233">
        <f>AVERAGE(Ashed_controlls!$K$1:$K$11)</f>
        <v>5.5147656768714146</v>
      </c>
      <c r="N132" s="194">
        <f t="shared" si="0"/>
        <v>1.6395077859749272</v>
      </c>
      <c r="O132" s="194">
        <f t="shared" si="5"/>
        <v>1.9662000000000002</v>
      </c>
      <c r="P132" s="233">
        <f>AVERAGE(Ashed_controlls!$K$12:$K$14)</f>
        <v>2.2816647271287041</v>
      </c>
      <c r="Q132" s="194">
        <f t="shared" si="1"/>
        <v>1.9213379081351956</v>
      </c>
      <c r="R132" s="16">
        <f>IF('Dry_Litterbag Placem_Collection'!G59="","",'Dry_Litterbag Placem_Collection'!G59)</f>
        <v>43005</v>
      </c>
      <c r="S132" s="194">
        <f>IFERROR(INDEX('Both teabags AfterDry'!$D$3:$D$2000,MATCH(H132,'Both teabags AfterDry'!$A$3:$A$2000,0)),"")</f>
        <v>1.7847</v>
      </c>
      <c r="T132" s="194">
        <f>IFERROR(INDEX('Both teabags AfterDry'!$D$3:$D$2000,MATCH(I132,'Both teabags AfterDry'!$A$3:$A$2000,0)),"")</f>
        <v>1.9719</v>
      </c>
      <c r="U132" s="194">
        <f t="shared" si="6"/>
        <v>1.6340999999999999</v>
      </c>
      <c r="V132" s="194">
        <f t="shared" si="7"/>
        <v>1.8212999999999999</v>
      </c>
      <c r="W132" s="194">
        <f>IFERROR(INDEX('Ashed teabags dry'!$K$2:$K$2000,MATCH(H132,'Ashed teabags dry'!$A$2:$A$2000,0)),"")</f>
        <v>6.1166429587480353</v>
      </c>
      <c r="X132" s="194">
        <f>IFERROR(INDEX('Ashed teabags dry'!$K$2:$K$2000,MATCH(I132,'Ashed teabags dry'!$A$2:$A$2000,0)),"")</f>
        <v>2.183219178082795</v>
      </c>
      <c r="Y132" s="194">
        <f t="shared" si="2"/>
        <v>1.5341479374110982</v>
      </c>
      <c r="Z132" s="194">
        <f t="shared" si="2"/>
        <v>1.781537029109578</v>
      </c>
      <c r="AA132" s="194">
        <f t="shared" si="8"/>
        <v>6.4263097415653392E-2</v>
      </c>
      <c r="AB132" s="194">
        <f t="shared" si="9"/>
        <v>4.2129726571782267E-2</v>
      </c>
      <c r="AC132" s="194">
        <f t="shared" si="3"/>
        <v>0.92723774488928656</v>
      </c>
      <c r="AD132">
        <f t="shared" si="10"/>
        <v>67</v>
      </c>
      <c r="AE132" s="194">
        <f t="shared" si="11"/>
        <v>0.92367803157285822</v>
      </c>
      <c r="AF132" s="194" t="str">
        <f t="shared" si="12"/>
        <v/>
      </c>
      <c r="AG132" s="245" t="str">
        <f>IF(ISNUMBER(SEARCH("C", 'Dry_Litterbag Placem_Collection'!$T59)),"YES","NO")</f>
        <v>NO</v>
      </c>
      <c r="AH132" s="245" t="str">
        <f>IF(ISNUMBER(SEARCH("H", 'Dry_Litterbag Placem_Collection'!$T59)),"YES","NO")</f>
        <v>NO</v>
      </c>
      <c r="AI132" s="245" t="str">
        <f>IF(ISNUMBER(SEARCH("R", 'Dry_Litterbag Placem_Collection'!$T59)),"YES","NO")</f>
        <v>NO</v>
      </c>
      <c r="AJ132" s="245" t="str">
        <f>IF(ISNUMBER(SEARCH("C", 'Dry_Litterbag Placem_Collection'!$S59)),"YES","NO")</f>
        <v>NO</v>
      </c>
      <c r="AK132" s="245" t="str">
        <f>IF(ISNUMBER(SEARCH("H", 'Dry_Litterbag Placem_Collection'!$S59)),"YES","NO")</f>
        <v>NO</v>
      </c>
      <c r="AL132" s="245" t="str">
        <f>IF(ISNUMBER(SEARCH("R", 'Dry_Litterbag Placem_Collection'!$S59)),"YES","NO")</f>
        <v>NO</v>
      </c>
    </row>
    <row r="133" spans="2:38">
      <c r="B133" t="str">
        <f>Dryseason!B59</f>
        <v>Dry</v>
      </c>
      <c r="C133" s="253">
        <f>Dryseason!C59</f>
        <v>58</v>
      </c>
      <c r="D133" t="s">
        <v>3110</v>
      </c>
      <c r="E133" t="s">
        <v>22</v>
      </c>
      <c r="F133" s="374">
        <v>2</v>
      </c>
      <c r="G133" s="16">
        <f>IF('Dry_Litterbag Placem_Collection'!E60="","",'Dry_Litterbag Placem_Collection'!E60)</f>
        <v>42938</v>
      </c>
      <c r="H133" t="str">
        <f>Dryseason!L59</f>
        <v>G481</v>
      </c>
      <c r="I133" t="str">
        <f>Dryseason!L279</f>
        <v>R725</v>
      </c>
      <c r="J133">
        <f>IFERROR(INDEX('Green_rooibos initial weight'!$C$5:$C$2000,MATCH(H133, 'Green_rooibos initial weight'!$A$5:$A$2000,0)),"")</f>
        <v>2.0529999999999999</v>
      </c>
      <c r="K133">
        <f>IFERROR(INDEX('Green_rooibos initial weight'!$C$5:$C$2000,MATCH(I133, 'Green_rooibos initial weight'!$A$5:$A$2000,0)),"")</f>
        <v>2.1930000000000001</v>
      </c>
      <c r="L133" s="194">
        <f t="shared" si="4"/>
        <v>1.8031999999999999</v>
      </c>
      <c r="M133" s="233">
        <f>AVERAGE(Ashed_controlls!$K$1:$K$11)</f>
        <v>5.5147656768714146</v>
      </c>
      <c r="N133" s="194">
        <f t="shared" si="0"/>
        <v>1.7037577453146546</v>
      </c>
      <c r="O133" s="194">
        <f t="shared" si="5"/>
        <v>1.9432</v>
      </c>
      <c r="P133" s="233">
        <f>AVERAGE(Ashed_controlls!$K$12:$K$14)</f>
        <v>2.2816647271287041</v>
      </c>
      <c r="Q133" s="194">
        <f t="shared" si="1"/>
        <v>1.8988626910224351</v>
      </c>
      <c r="R133" s="16">
        <f>IF('Dry_Litterbag Placem_Collection'!G60="","",'Dry_Litterbag Placem_Collection'!G60)</f>
        <v>43005</v>
      </c>
      <c r="S133" s="194">
        <f>IFERROR(INDEX('Both teabags AfterDry'!$D$3:$D$2000,MATCH(H133,'Both teabags AfterDry'!$A$3:$A$2000,0)),"")</f>
        <v>1.7612000000000001</v>
      </c>
      <c r="T133" s="194">
        <f>IFERROR(INDEX('Both teabags AfterDry'!$D$3:$D$2000,MATCH(I133,'Both teabags AfterDry'!$A$3:$A$2000,0)),"")</f>
        <v>1.3995000000000002</v>
      </c>
      <c r="U133" s="194">
        <f t="shared" si="6"/>
        <v>1.6106</v>
      </c>
      <c r="V133" s="194">
        <f t="shared" si="7"/>
        <v>1.2489000000000001</v>
      </c>
      <c r="W133" s="194">
        <f>IFERROR(INDEX('Ashed teabags dry'!$K$2:$K$2000,MATCH(H133,'Ashed teabags dry'!$A$2:$A$2000,0)),"")</f>
        <v>5.8618976651769072</v>
      </c>
      <c r="X133" s="194">
        <f>IFERROR(INDEX('Ashed teabags dry'!$K$2:$K$2000,MATCH(I133,'Ashed teabags dry'!$A$2:$A$2000,0)),"")</f>
        <v>3.528360875390312</v>
      </c>
      <c r="Y133" s="194">
        <f t="shared" si="2"/>
        <v>1.5161882762046608</v>
      </c>
      <c r="Z133" s="194">
        <f t="shared" si="2"/>
        <v>1.2048343010272504</v>
      </c>
      <c r="AA133" s="194">
        <f t="shared" si="8"/>
        <v>0.11009163105835384</v>
      </c>
      <c r="AB133" s="194">
        <f t="shared" si="9"/>
        <v>7.2174085919490885E-2</v>
      </c>
      <c r="AC133" s="194">
        <f t="shared" si="3"/>
        <v>0.63450311953757554</v>
      </c>
      <c r="AD133">
        <f t="shared" si="10"/>
        <v>67</v>
      </c>
      <c r="AE133" s="194">
        <f t="shared" si="11"/>
        <v>0.86924984434874841</v>
      </c>
      <c r="AF133" s="194" t="str">
        <f t="shared" si="12"/>
        <v/>
      </c>
      <c r="AG133" s="245" t="str">
        <f>IF(ISNUMBER(SEARCH("C", 'Dry_Litterbag Placem_Collection'!$T60)),"YES","NO")</f>
        <v>NO</v>
      </c>
      <c r="AH133" s="245" t="str">
        <f>IF(ISNUMBER(SEARCH("H", 'Dry_Litterbag Placem_Collection'!$T60)),"YES","NO")</f>
        <v>YES</v>
      </c>
      <c r="AI133" s="245" t="str">
        <f>IF(ISNUMBER(SEARCH("R", 'Dry_Litterbag Placem_Collection'!$T60)),"YES","NO")</f>
        <v>NO</v>
      </c>
      <c r="AJ133" s="245" t="str">
        <f>IF(ISNUMBER(SEARCH("C", 'Dry_Litterbag Placem_Collection'!$S60)),"YES","NO")</f>
        <v>NO</v>
      </c>
      <c r="AK133" s="245" t="str">
        <f>IF(ISNUMBER(SEARCH("H", 'Dry_Litterbag Placem_Collection'!$S60)),"YES","NO")</f>
        <v>YES</v>
      </c>
      <c r="AL133" s="245" t="str">
        <f>IF(ISNUMBER(SEARCH("R", 'Dry_Litterbag Placem_Collection'!$S60)),"YES","NO")</f>
        <v>NO</v>
      </c>
    </row>
    <row r="134" spans="2:38">
      <c r="B134" t="str">
        <f>Dryseason!B60</f>
        <v>Dry</v>
      </c>
      <c r="C134" s="253">
        <f>Dryseason!C60</f>
        <v>59</v>
      </c>
      <c r="D134" t="s">
        <v>3110</v>
      </c>
      <c r="E134" t="s">
        <v>22</v>
      </c>
      <c r="F134" s="374">
        <v>3</v>
      </c>
      <c r="G134" s="16">
        <f>IF('Dry_Litterbag Placem_Collection'!E61="","",'Dry_Litterbag Placem_Collection'!E61)</f>
        <v>42938</v>
      </c>
      <c r="H134" t="str">
        <f>Dryseason!L60</f>
        <v>G261</v>
      </c>
      <c r="I134" t="str">
        <f>Dryseason!L280</f>
        <v>R721</v>
      </c>
      <c r="J134">
        <f>IFERROR(INDEX('Green_rooibos initial weight'!$C$5:$C$2000,MATCH(H134, 'Green_rooibos initial weight'!$A$5:$A$2000,0)),"")</f>
        <v>1.9850000000000001</v>
      </c>
      <c r="K134">
        <f>IFERROR(INDEX('Green_rooibos initial weight'!$C$5:$C$2000,MATCH(I134, 'Green_rooibos initial weight'!$A$5:$A$2000,0)),"")</f>
        <v>2.2229999999999999</v>
      </c>
      <c r="L134" s="194">
        <f t="shared" si="4"/>
        <v>1.7352000000000001</v>
      </c>
      <c r="M134" s="233">
        <f>AVERAGE(Ashed_controlls!$K$1:$K$11)</f>
        <v>5.5147656768714146</v>
      </c>
      <c r="N134" s="194">
        <f t="shared" si="0"/>
        <v>1.6395077859749272</v>
      </c>
      <c r="O134" s="194">
        <f t="shared" si="5"/>
        <v>1.9731999999999998</v>
      </c>
      <c r="P134" s="233">
        <f>AVERAGE(Ashed_controlls!$K$12:$K$14)</f>
        <v>2.2816647271287041</v>
      </c>
      <c r="Q134" s="194">
        <f t="shared" si="1"/>
        <v>1.9281781916042962</v>
      </c>
      <c r="R134" s="16">
        <f>IF('Dry_Litterbag Placem_Collection'!G61="","",'Dry_Litterbag Placem_Collection'!G61)</f>
        <v>43005</v>
      </c>
      <c r="S134" s="194">
        <f>IFERROR(INDEX('Both teabags AfterDry'!$D$3:$D$2000,MATCH(H134,'Both teabags AfterDry'!$A$3:$A$2000,0)),"")</f>
        <v>1.8041</v>
      </c>
      <c r="T134" s="194">
        <f>IFERROR(INDEX('Both teabags AfterDry'!$D$3:$D$2000,MATCH(I134,'Both teabags AfterDry'!$A$3:$A$2000,0)),"")</f>
        <v>1.9549000000000001</v>
      </c>
      <c r="U134" s="194">
        <f t="shared" si="6"/>
        <v>1.6535</v>
      </c>
      <c r="V134" s="194">
        <f t="shared" si="7"/>
        <v>1.8043</v>
      </c>
      <c r="W134" s="194">
        <f>IFERROR(INDEX('Ashed teabags dry'!$K$2:$K$2000,MATCH(H134,'Ashed teabags dry'!$A$2:$A$2000,0)),"")</f>
        <v>5.7350933090575786</v>
      </c>
      <c r="X134" s="194">
        <f>IFERROR(INDEX('Ashed teabags dry'!$K$2:$K$2000,MATCH(I134,'Ashed teabags dry'!$A$2:$A$2000,0)),"")</f>
        <v>2.6871401151632113</v>
      </c>
      <c r="Y134" s="194">
        <f t="shared" si="2"/>
        <v>1.558670232134733</v>
      </c>
      <c r="Z134" s="194">
        <f t="shared" si="2"/>
        <v>1.7558159309021102</v>
      </c>
      <c r="AA134" s="194">
        <f t="shared" si="8"/>
        <v>4.9305989597435484E-2</v>
      </c>
      <c r="AB134" s="194">
        <f t="shared" si="9"/>
        <v>3.232411669570591E-2</v>
      </c>
      <c r="AC134" s="194">
        <f t="shared" si="3"/>
        <v>0.91060874899804989</v>
      </c>
      <c r="AD134">
        <f t="shared" si="10"/>
        <v>67</v>
      </c>
      <c r="AE134" s="194">
        <f t="shared" si="11"/>
        <v>0.94144181758024292</v>
      </c>
      <c r="AF134" s="194" t="str">
        <f t="shared" si="12"/>
        <v/>
      </c>
      <c r="AG134" s="245" t="str">
        <f>IF(ISNUMBER(SEARCH("C", 'Dry_Litterbag Placem_Collection'!$T61)),"YES","NO")</f>
        <v>NO</v>
      </c>
      <c r="AH134" s="245" t="str">
        <f>IF(ISNUMBER(SEARCH("H", 'Dry_Litterbag Placem_Collection'!$T61)),"YES","NO")</f>
        <v>NO</v>
      </c>
      <c r="AI134" s="245" t="str">
        <f>IF(ISNUMBER(SEARCH("R", 'Dry_Litterbag Placem_Collection'!$T61)),"YES","NO")</f>
        <v>NO</v>
      </c>
      <c r="AJ134" s="245" t="str">
        <f>IF(ISNUMBER(SEARCH("C", 'Dry_Litterbag Placem_Collection'!$S61)),"YES","NO")</f>
        <v>NO</v>
      </c>
      <c r="AK134" s="245" t="str">
        <f>IF(ISNUMBER(SEARCH("H", 'Dry_Litterbag Placem_Collection'!$S61)),"YES","NO")</f>
        <v>NO</v>
      </c>
      <c r="AL134" s="245" t="str">
        <f>IF(ISNUMBER(SEARCH("R", 'Dry_Litterbag Placem_Collection'!$S61)),"YES","NO")</f>
        <v>NO</v>
      </c>
    </row>
    <row r="135" spans="2:38">
      <c r="B135" t="str">
        <f>Dryseason!B61</f>
        <v>Dry</v>
      </c>
      <c r="C135" s="253">
        <f>Dryseason!C61</f>
        <v>60</v>
      </c>
      <c r="D135" t="s">
        <v>3110</v>
      </c>
      <c r="E135" t="s">
        <v>22</v>
      </c>
      <c r="F135" s="375">
        <v>4</v>
      </c>
      <c r="G135" s="16">
        <f>IF('Dry_Litterbag Placem_Collection'!E62="","",'Dry_Litterbag Placem_Collection'!E62)</f>
        <v>42938</v>
      </c>
      <c r="H135" t="str">
        <f>Dryseason!L61</f>
        <v>G152</v>
      </c>
      <c r="I135" t="str">
        <f>Dryseason!L281</f>
        <v>R763</v>
      </c>
      <c r="J135">
        <f>IFERROR(INDEX('Green_rooibos initial weight'!$C$5:$C$2000,MATCH(H135, 'Green_rooibos initial weight'!$A$5:$A$2000,0)),"")</f>
        <v>2.0489999999999999</v>
      </c>
      <c r="K135">
        <f>IFERROR(INDEX('Green_rooibos initial weight'!$C$5:$C$2000,MATCH(I135, 'Green_rooibos initial weight'!$A$5:$A$2000,0)),"")</f>
        <v>2.2589999999999999</v>
      </c>
      <c r="L135" s="194">
        <f t="shared" si="4"/>
        <v>1.7991999999999999</v>
      </c>
      <c r="M135" s="233">
        <f>AVERAGE(Ashed_controlls!$K$1:$K$11)</f>
        <v>5.5147656768714146</v>
      </c>
      <c r="N135" s="194">
        <f t="shared" si="0"/>
        <v>1.6999783359417293</v>
      </c>
      <c r="O135" s="194">
        <f t="shared" si="5"/>
        <v>2.0091999999999999</v>
      </c>
      <c r="P135" s="233">
        <f>AVERAGE(Ashed_controlls!$K$12:$K$14)</f>
        <v>2.2816647271287041</v>
      </c>
      <c r="Q135" s="194">
        <f t="shared" si="1"/>
        <v>1.9633567923025299</v>
      </c>
      <c r="R135" s="16">
        <f>IF('Dry_Litterbag Placem_Collection'!G62="","",'Dry_Litterbag Placem_Collection'!G62)</f>
        <v>43005</v>
      </c>
      <c r="S135" s="194">
        <f>IFERROR(INDEX('Both teabags AfterDry'!$D$3:$D$2000,MATCH(H135,'Both teabags AfterDry'!$A$3:$A$2000,0)),"")</f>
        <v>1.8697999999999999</v>
      </c>
      <c r="T135" s="194">
        <f>IFERROR(INDEX('Both teabags AfterDry'!$D$3:$D$2000,MATCH(I135,'Both teabags AfterDry'!$A$3:$A$2000,0)),"")</f>
        <v>1.9797</v>
      </c>
      <c r="U135" s="194">
        <f t="shared" si="6"/>
        <v>1.7191999999999998</v>
      </c>
      <c r="V135" s="194">
        <f t="shared" si="7"/>
        <v>1.8290999999999999</v>
      </c>
      <c r="W135" s="194">
        <f>IFERROR(INDEX('Ashed teabags dry'!$K$2:$K$2000,MATCH(H135,'Ashed teabags dry'!$A$2:$A$2000,0)),"")</f>
        <v>5.545536519386725</v>
      </c>
      <c r="X135" s="194">
        <f>IFERROR(INDEX('Ashed teabags dry'!$K$2:$K$2000,MATCH(I135,'Ashed teabags dry'!$A$2:$A$2000,0)),"")</f>
        <v>2.8315946348738801</v>
      </c>
      <c r="Y135" s="194">
        <f t="shared" si="2"/>
        <v>1.6238611361587032</v>
      </c>
      <c r="Z135" s="194">
        <f t="shared" si="2"/>
        <v>1.7773073025335218</v>
      </c>
      <c r="AA135" s="194">
        <f t="shared" si="8"/>
        <v>4.4775393999865187E-2</v>
      </c>
      <c r="AB135" s="194">
        <f t="shared" si="9"/>
        <v>2.9353940009412785E-2</v>
      </c>
      <c r="AC135" s="194">
        <f t="shared" si="3"/>
        <v>0.90523908313637769</v>
      </c>
      <c r="AD135">
        <f t="shared" si="10"/>
        <v>67</v>
      </c>
      <c r="AE135" s="194">
        <f t="shared" si="11"/>
        <v>0.94682257244671597</v>
      </c>
      <c r="AF135" s="194" t="str">
        <f t="shared" si="12"/>
        <v/>
      </c>
      <c r="AG135" s="245" t="str">
        <f>IF(ISNUMBER(SEARCH("C", 'Dry_Litterbag Placem_Collection'!$T62)),"YES","NO")</f>
        <v>NO</v>
      </c>
      <c r="AH135" s="245" t="str">
        <f>IF(ISNUMBER(SEARCH("H", 'Dry_Litterbag Placem_Collection'!$T62)),"YES","NO")</f>
        <v>NO</v>
      </c>
      <c r="AI135" s="245" t="str">
        <f>IF(ISNUMBER(SEARCH("R", 'Dry_Litterbag Placem_Collection'!$T62)),"YES","NO")</f>
        <v>NO</v>
      </c>
      <c r="AJ135" s="245" t="str">
        <f>IF(ISNUMBER(SEARCH("C", 'Dry_Litterbag Placem_Collection'!$S62)),"YES","NO")</f>
        <v>NO</v>
      </c>
      <c r="AK135" s="245" t="str">
        <f>IF(ISNUMBER(SEARCH("H", 'Dry_Litterbag Placem_Collection'!$S62)),"YES","NO")</f>
        <v>NO</v>
      </c>
      <c r="AL135" s="245" t="str">
        <f>IF(ISNUMBER(SEARCH("R", 'Dry_Litterbag Placem_Collection'!$S62)),"YES","NO")</f>
        <v>NO</v>
      </c>
    </row>
    <row r="136" spans="2:38">
      <c r="B136" t="str">
        <f>Dryseason!B62</f>
        <v>Dry</v>
      </c>
      <c r="C136" s="253">
        <f>Dryseason!C62</f>
        <v>61</v>
      </c>
      <c r="D136" t="s">
        <v>3110</v>
      </c>
      <c r="E136" t="s">
        <v>22</v>
      </c>
      <c r="F136" s="375">
        <v>5</v>
      </c>
      <c r="G136" s="16">
        <f>IF('Dry_Litterbag Placem_Collection'!E63="","",'Dry_Litterbag Placem_Collection'!E63)</f>
        <v>42938</v>
      </c>
      <c r="H136" t="str">
        <f>Dryseason!L62</f>
        <v>G191</v>
      </c>
      <c r="I136" t="str">
        <f>Dryseason!L282</f>
        <v>R775</v>
      </c>
      <c r="J136">
        <f>IFERROR(INDEX('Green_rooibos initial weight'!$C$5:$C$2000,MATCH(H136, 'Green_rooibos initial weight'!$A$5:$A$2000,0)),"")</f>
        <v>2.0590000000000002</v>
      </c>
      <c r="K136">
        <f>IFERROR(INDEX('Green_rooibos initial weight'!$C$5:$C$2000,MATCH(I136, 'Green_rooibos initial weight'!$A$5:$A$2000,0)),"")</f>
        <v>2.2290000000000001</v>
      </c>
      <c r="L136" s="194">
        <f t="shared" si="4"/>
        <v>1.8092000000000001</v>
      </c>
      <c r="M136" s="233">
        <f>AVERAGE(Ashed_controlls!$K$1:$K$11)</f>
        <v>5.5147656768714146</v>
      </c>
      <c r="N136" s="194">
        <f t="shared" si="0"/>
        <v>1.7094268593740425</v>
      </c>
      <c r="O136" s="194">
        <f t="shared" si="5"/>
        <v>1.9792000000000001</v>
      </c>
      <c r="P136" s="233">
        <f>AVERAGE(Ashed_controlls!$K$12:$K$14)</f>
        <v>2.2816647271287041</v>
      </c>
      <c r="Q136" s="194">
        <f t="shared" si="1"/>
        <v>1.9340412917206689</v>
      </c>
      <c r="R136" s="16">
        <f>IF('Dry_Litterbag Placem_Collection'!G63="","",'Dry_Litterbag Placem_Collection'!G63)</f>
        <v>43005</v>
      </c>
      <c r="S136" s="194" t="str">
        <f>IFERROR(INDEX('Both teabags AfterDry'!$D$3:$D$2000,MATCH(H136,'Both teabags AfterDry'!$A$3:$A$2000,0)),"")</f>
        <v/>
      </c>
      <c r="T136" s="194" t="str">
        <f>IFERROR(INDEX('Both teabags AfterDry'!$D$3:$D$2000,MATCH(I136,'Both teabags AfterDry'!$A$3:$A$2000,0)),"")</f>
        <v/>
      </c>
      <c r="U136" s="194" t="str">
        <f t="shared" si="6"/>
        <v/>
      </c>
      <c r="V136" s="194" t="str">
        <f t="shared" si="7"/>
        <v/>
      </c>
      <c r="W136" s="194" t="str">
        <f>IFERROR(INDEX('Ashed teabags dry'!$K$2:$K$2000,MATCH(H136,'Ashed teabags dry'!$A$2:$A$2000,0)),"")</f>
        <v/>
      </c>
      <c r="X136" s="194" t="str">
        <f>IFERROR(INDEX('Ashed teabags dry'!$K$2:$K$2000,MATCH(I136,'Ashed teabags dry'!$A$2:$A$2000,0)),"")</f>
        <v/>
      </c>
      <c r="Y136" s="194" t="str">
        <f t="shared" si="2"/>
        <v/>
      </c>
      <c r="Z136" s="194" t="str">
        <f t="shared" si="2"/>
        <v/>
      </c>
      <c r="AA136" s="194" t="str">
        <f t="shared" si="8"/>
        <v/>
      </c>
      <c r="AB136" s="194" t="str">
        <f t="shared" si="9"/>
        <v/>
      </c>
      <c r="AC136" s="194" t="str">
        <f t="shared" si="3"/>
        <v/>
      </c>
      <c r="AD136">
        <f t="shared" si="10"/>
        <v>67</v>
      </c>
      <c r="AE136" s="194" t="str">
        <f t="shared" si="11"/>
        <v/>
      </c>
      <c r="AF136" s="194" t="str">
        <f t="shared" si="12"/>
        <v/>
      </c>
      <c r="AG136" s="245" t="str">
        <f>IF(ISNUMBER(SEARCH("C", 'Dry_Litterbag Placem_Collection'!$T63)),"YES","NO")</f>
        <v>NO</v>
      </c>
      <c r="AH136" s="245" t="str">
        <f>IF(ISNUMBER(SEARCH("H", 'Dry_Litterbag Placem_Collection'!$T63)),"YES","NO")</f>
        <v>NO</v>
      </c>
      <c r="AI136" s="245" t="str">
        <f>IF(ISNUMBER(SEARCH("R", 'Dry_Litterbag Placem_Collection'!$T63)),"YES","NO")</f>
        <v>NO</v>
      </c>
      <c r="AJ136" s="245" t="str">
        <f>IF(ISNUMBER(SEARCH("C", 'Dry_Litterbag Placem_Collection'!$S63)),"YES","NO")</f>
        <v>NO</v>
      </c>
      <c r="AK136" s="245" t="str">
        <f>IF(ISNUMBER(SEARCH("H", 'Dry_Litterbag Placem_Collection'!$S63)),"YES","NO")</f>
        <v>NO</v>
      </c>
      <c r="AL136" s="245" t="str">
        <f>IF(ISNUMBER(SEARCH("R", 'Dry_Litterbag Placem_Collection'!$S63)),"YES","NO")</f>
        <v>NO</v>
      </c>
    </row>
    <row r="137" spans="2:38">
      <c r="B137" t="str">
        <f>Dryseason!B63</f>
        <v>Dry</v>
      </c>
      <c r="C137" s="253">
        <f>Dryseason!C63</f>
        <v>62</v>
      </c>
      <c r="D137" t="s">
        <v>3110</v>
      </c>
      <c r="E137" t="s">
        <v>22</v>
      </c>
      <c r="F137" s="375">
        <v>6</v>
      </c>
      <c r="G137" s="16" t="str">
        <f>IF('Dry_Litterbag Placem_Collection'!E64="","",'Dry_Litterbag Placem_Collection'!E64)</f>
        <v/>
      </c>
      <c r="H137" t="str">
        <f>Dryseason!L63</f>
        <v/>
      </c>
      <c r="I137" t="str">
        <f>Dryseason!L283</f>
        <v/>
      </c>
      <c r="J137" t="str">
        <f>IFERROR(INDEX('Green_rooibos initial weight'!$C$5:$C$2000,MATCH(H137, 'Green_rooibos initial weight'!$A$5:$A$2000,0)),"")</f>
        <v/>
      </c>
      <c r="K137" t="str">
        <f>IFERROR(INDEX('Green_rooibos initial weight'!$C$5:$C$2000,MATCH(I137, 'Green_rooibos initial weight'!$A$5:$A$2000,0)),"")</f>
        <v/>
      </c>
      <c r="L137" s="194" t="str">
        <f t="shared" si="4"/>
        <v/>
      </c>
      <c r="M137" s="233">
        <f>AVERAGE(Ashed_controlls!$K$1:$K$11)</f>
        <v>5.5147656768714146</v>
      </c>
      <c r="N137" s="194" t="str">
        <f t="shared" si="0"/>
        <v/>
      </c>
      <c r="O137" s="194" t="str">
        <f t="shared" si="5"/>
        <v/>
      </c>
      <c r="P137" s="233">
        <f>AVERAGE(Ashed_controlls!$K$12:$K$14)</f>
        <v>2.2816647271287041</v>
      </c>
      <c r="Q137" s="194" t="str">
        <f t="shared" si="1"/>
        <v/>
      </c>
      <c r="R137" s="16" t="str">
        <f>IF('Dry_Litterbag Placem_Collection'!G64="","",'Dry_Litterbag Placem_Collection'!G64)</f>
        <v/>
      </c>
      <c r="S137" s="194" t="str">
        <f>IFERROR(INDEX('Both teabags AfterDry'!$D$3:$D$2000,MATCH(H137,'Both teabags AfterDry'!$A$3:$A$2000,0)),"")</f>
        <v/>
      </c>
      <c r="T137" s="194" t="str">
        <f>IFERROR(INDEX('Both teabags AfterDry'!$D$3:$D$2000,MATCH(I137,'Both teabags AfterDry'!$A$3:$A$2000,0)),"")</f>
        <v/>
      </c>
      <c r="U137" s="194" t="str">
        <f t="shared" si="6"/>
        <v/>
      </c>
      <c r="V137" s="194" t="str">
        <f t="shared" si="7"/>
        <v/>
      </c>
      <c r="W137" s="194" t="str">
        <f>IFERROR(INDEX('Ashed teabags dry'!$K$2:$K$2000,MATCH(H137,'Ashed teabags dry'!$A$2:$A$2000,0)),"")</f>
        <v/>
      </c>
      <c r="X137" s="194" t="str">
        <f>IFERROR(INDEX('Ashed teabags dry'!$K$2:$K$2000,MATCH(I137,'Ashed teabags dry'!$A$2:$A$2000,0)),"")</f>
        <v/>
      </c>
      <c r="Y137" s="194" t="str">
        <f t="shared" si="2"/>
        <v/>
      </c>
      <c r="Z137" s="194" t="str">
        <f t="shared" si="2"/>
        <v/>
      </c>
      <c r="AA137" s="194" t="str">
        <f t="shared" si="8"/>
        <v/>
      </c>
      <c r="AB137" s="194" t="str">
        <f t="shared" si="9"/>
        <v/>
      </c>
      <c r="AC137" s="194" t="str">
        <f t="shared" si="3"/>
        <v/>
      </c>
      <c r="AD137" t="str">
        <f t="shared" si="10"/>
        <v/>
      </c>
      <c r="AE137" s="194" t="str">
        <f t="shared" si="11"/>
        <v/>
      </c>
      <c r="AF137" s="194" t="str">
        <f t="shared" si="12"/>
        <v/>
      </c>
      <c r="AG137" s="245" t="str">
        <f>IF(ISNUMBER(SEARCH("C", 'Dry_Litterbag Placem_Collection'!$T64)),"YES","NO")</f>
        <v>NO</v>
      </c>
      <c r="AH137" s="245" t="str">
        <f>IF(ISNUMBER(SEARCH("H", 'Dry_Litterbag Placem_Collection'!$T64)),"YES","NO")</f>
        <v>NO</v>
      </c>
      <c r="AI137" s="245" t="str">
        <f>IF(ISNUMBER(SEARCH("R", 'Dry_Litterbag Placem_Collection'!$T64)),"YES","NO")</f>
        <v>NO</v>
      </c>
      <c r="AJ137" s="245" t="str">
        <f>IF(ISNUMBER(SEARCH("C", 'Dry_Litterbag Placem_Collection'!$S64)),"YES","NO")</f>
        <v>NO</v>
      </c>
      <c r="AK137" s="245" t="str">
        <f>IF(ISNUMBER(SEARCH("H", 'Dry_Litterbag Placem_Collection'!$S64)),"YES","NO")</f>
        <v>NO</v>
      </c>
      <c r="AL137" s="245" t="str">
        <f>IF(ISNUMBER(SEARCH("R", 'Dry_Litterbag Placem_Collection'!$S64)),"YES","NO")</f>
        <v>NO</v>
      </c>
    </row>
    <row r="138" spans="2:38">
      <c r="B138" t="str">
        <f>Dryseason!B64</f>
        <v>Dry</v>
      </c>
      <c r="C138" s="253">
        <f>Dryseason!C64</f>
        <v>63</v>
      </c>
      <c r="D138" t="s">
        <v>3110</v>
      </c>
      <c r="E138" t="s">
        <v>22</v>
      </c>
      <c r="F138" s="375">
        <v>7</v>
      </c>
      <c r="G138" s="16">
        <f>IF('Dry_Litterbag Placem_Collection'!E65="","",'Dry_Litterbag Placem_Collection'!E65)</f>
        <v>42938</v>
      </c>
      <c r="H138" t="str">
        <f>Dryseason!L64</f>
        <v>G49</v>
      </c>
      <c r="I138" t="str">
        <f>Dryseason!L284</f>
        <v>R733</v>
      </c>
      <c r="J138">
        <f>IFERROR(INDEX('Green_rooibos initial weight'!$C$5:$C$2000,MATCH(H138, 'Green_rooibos initial weight'!$A$5:$A$2000,0)),"")</f>
        <v>2.0859999999999999</v>
      </c>
      <c r="K138">
        <f>IFERROR(INDEX('Green_rooibos initial weight'!$C$5:$C$2000,MATCH(I138, 'Green_rooibos initial weight'!$A$5:$A$2000,0)),"")</f>
        <v>2.181</v>
      </c>
      <c r="L138" s="194">
        <f t="shared" si="4"/>
        <v>1.8361999999999998</v>
      </c>
      <c r="M138" s="233">
        <f>AVERAGE(Ashed_controlls!$K$1:$K$11)</f>
        <v>5.5147656768714146</v>
      </c>
      <c r="N138" s="194">
        <f t="shared" si="0"/>
        <v>1.734937872641287</v>
      </c>
      <c r="O138" s="194">
        <f t="shared" si="5"/>
        <v>1.9312</v>
      </c>
      <c r="P138" s="233">
        <f>AVERAGE(Ashed_controlls!$K$12:$K$14)</f>
        <v>2.2816647271287041</v>
      </c>
      <c r="Q138" s="194">
        <f t="shared" si="1"/>
        <v>1.8871364907896906</v>
      </c>
      <c r="R138" s="16">
        <f>IF('Dry_Litterbag Placem_Collection'!G65="","",'Dry_Litterbag Placem_Collection'!G65)</f>
        <v>43005</v>
      </c>
      <c r="S138" s="194">
        <f>IFERROR(INDEX('Both teabags AfterDry'!$D$3:$D$2000,MATCH(H138,'Both teabags AfterDry'!$A$3:$A$2000,0)),"")</f>
        <v>1.9326000000000001</v>
      </c>
      <c r="T138" s="194">
        <f>IFERROR(INDEX('Both teabags AfterDry'!$D$3:$D$2000,MATCH(I138,'Both teabags AfterDry'!$A$3:$A$2000,0)),"")</f>
        <v>1.9025000000000001</v>
      </c>
      <c r="U138" s="194">
        <f t="shared" si="6"/>
        <v>1.782</v>
      </c>
      <c r="V138" s="194">
        <f t="shared" si="7"/>
        <v>1.7519</v>
      </c>
      <c r="W138" s="194">
        <f>IFERROR(INDEX('Ashed teabags dry'!$K$2:$K$2000,MATCH(H138,'Ashed teabags dry'!$A$2:$A$2000,0)),"")</f>
        <v>4.9388753056235117</v>
      </c>
      <c r="X138" s="194">
        <f>IFERROR(INDEX('Ashed teabags dry'!$K$2:$K$2000,MATCH(I138,'Ashed teabags dry'!$A$2:$A$2000,0)),"")</f>
        <v>2.0627417275461966</v>
      </c>
      <c r="Y138" s="194">
        <f t="shared" si="2"/>
        <v>1.693989242053789</v>
      </c>
      <c r="Z138" s="194">
        <f t="shared" si="2"/>
        <v>1.7157628276751182</v>
      </c>
      <c r="AA138" s="194">
        <f t="shared" si="8"/>
        <v>2.3602361348627032E-2</v>
      </c>
      <c r="AB138" s="194">
        <f t="shared" si="9"/>
        <v>1.5473282024278029E-2</v>
      </c>
      <c r="AC138" s="194">
        <f t="shared" si="3"/>
        <v>0.90918851712582838</v>
      </c>
      <c r="AD138">
        <f t="shared" si="10"/>
        <v>67</v>
      </c>
      <c r="AE138" s="194">
        <f t="shared" si="11"/>
        <v>0.97196869198500357</v>
      </c>
      <c r="AF138" s="194" t="str">
        <f t="shared" si="12"/>
        <v/>
      </c>
      <c r="AG138" s="245" t="str">
        <f>IF(ISNUMBER(SEARCH("C", 'Dry_Litterbag Placem_Collection'!$T65)),"YES","NO")</f>
        <v>NO</v>
      </c>
      <c r="AH138" s="245" t="str">
        <f>IF(ISNUMBER(SEARCH("H", 'Dry_Litterbag Placem_Collection'!$T65)),"YES","NO")</f>
        <v>NO</v>
      </c>
      <c r="AI138" s="245" t="str">
        <f>IF(ISNUMBER(SEARCH("R", 'Dry_Litterbag Placem_Collection'!$T65)),"YES","NO")</f>
        <v>NO</v>
      </c>
      <c r="AJ138" s="245" t="str">
        <f>IF(ISNUMBER(SEARCH("C", 'Dry_Litterbag Placem_Collection'!$S65)),"YES","NO")</f>
        <v>NO</v>
      </c>
      <c r="AK138" s="245" t="str">
        <f>IF(ISNUMBER(SEARCH("H", 'Dry_Litterbag Placem_Collection'!$S65)),"YES","NO")</f>
        <v>NO</v>
      </c>
      <c r="AL138" s="245" t="str">
        <f>IF(ISNUMBER(SEARCH("R", 'Dry_Litterbag Placem_Collection'!$S65)),"YES","NO")</f>
        <v>NO</v>
      </c>
    </row>
    <row r="139" spans="2:38">
      <c r="B139" t="str">
        <f>Dryseason!B65</f>
        <v>Dry</v>
      </c>
      <c r="C139" s="253">
        <f>Dryseason!C65</f>
        <v>64</v>
      </c>
      <c r="D139" t="s">
        <v>3110</v>
      </c>
      <c r="E139" t="s">
        <v>22</v>
      </c>
      <c r="F139" s="375">
        <v>8</v>
      </c>
      <c r="G139" s="16">
        <f>IF('Dry_Litterbag Placem_Collection'!E66="","",'Dry_Litterbag Placem_Collection'!E66)</f>
        <v>42938</v>
      </c>
      <c r="H139" t="str">
        <f>Dryseason!L65</f>
        <v>G347</v>
      </c>
      <c r="I139" t="str">
        <f>Dryseason!L285</f>
        <v>R765</v>
      </c>
      <c r="J139">
        <f>IFERROR(INDEX('Green_rooibos initial weight'!$C$5:$C$2000,MATCH(H139, 'Green_rooibos initial weight'!$A$5:$A$2000,0)),"")</f>
        <v>1.8919999999999999</v>
      </c>
      <c r="K139">
        <f>IFERROR(INDEX('Green_rooibos initial weight'!$C$5:$C$2000,MATCH(I139, 'Green_rooibos initial weight'!$A$5:$A$2000,0)),"")</f>
        <v>2.2400000000000002</v>
      </c>
      <c r="L139" s="194">
        <f t="shared" si="4"/>
        <v>1.6421999999999999</v>
      </c>
      <c r="M139" s="233">
        <f>AVERAGE(Ashed_controlls!$K$1:$K$11)</f>
        <v>5.5147656768714146</v>
      </c>
      <c r="N139" s="194">
        <f t="shared" si="0"/>
        <v>1.5516365180544176</v>
      </c>
      <c r="O139" s="194">
        <f t="shared" si="5"/>
        <v>1.9902000000000002</v>
      </c>
      <c r="P139" s="233">
        <f>AVERAGE(Ashed_controlls!$K$12:$K$14)</f>
        <v>2.2816647271287041</v>
      </c>
      <c r="Q139" s="194">
        <f t="shared" si="1"/>
        <v>1.9447903086006848</v>
      </c>
      <c r="R139" s="16">
        <f>IF('Dry_Litterbag Placem_Collection'!G66="","",'Dry_Litterbag Placem_Collection'!G66)</f>
        <v>43005</v>
      </c>
      <c r="S139" s="194">
        <f>IFERROR(INDEX('Both teabags AfterDry'!$D$3:$D$2000,MATCH(H139,'Both teabags AfterDry'!$A$3:$A$2000,0)),"")</f>
        <v>1.6924999999999999</v>
      </c>
      <c r="T139" s="194">
        <f>IFERROR(INDEX('Both teabags AfterDry'!$D$3:$D$2000,MATCH(I139,'Both teabags AfterDry'!$A$3:$A$2000,0)),"")</f>
        <v>1.9783999999999999</v>
      </c>
      <c r="U139" s="194">
        <f t="shared" si="6"/>
        <v>1.5418999999999998</v>
      </c>
      <c r="V139" s="194">
        <f t="shared" si="7"/>
        <v>1.8277999999999999</v>
      </c>
      <c r="W139" s="194">
        <f>IFERROR(INDEX('Ashed teabags dry'!$K$2:$K$2000,MATCH(H139,'Ashed teabags dry'!$A$2:$A$2000,0)),"")</f>
        <v>6.3334982681843854</v>
      </c>
      <c r="X139" s="194">
        <f>IFERROR(INDEX('Ashed teabags dry'!$K$2:$K$2000,MATCH(I139,'Ashed teabags dry'!$A$2:$A$2000,0)),"")</f>
        <v>2.2874191944304623</v>
      </c>
      <c r="Y139" s="194">
        <f t="shared" si="2"/>
        <v>1.4442437902028649</v>
      </c>
      <c r="Z139" s="194">
        <f t="shared" si="2"/>
        <v>1.7859905519641999</v>
      </c>
      <c r="AA139" s="194">
        <f t="shared" si="8"/>
        <v>6.9212555003675402E-2</v>
      </c>
      <c r="AB139" s="194">
        <f t="shared" si="9"/>
        <v>4.5374501617611467E-2</v>
      </c>
      <c r="AC139" s="194">
        <f t="shared" si="3"/>
        <v>0.91834607775748101</v>
      </c>
      <c r="AD139">
        <f t="shared" si="10"/>
        <v>67</v>
      </c>
      <c r="AE139" s="194">
        <f t="shared" si="11"/>
        <v>0.91779981591012416</v>
      </c>
      <c r="AF139" s="194" t="str">
        <f t="shared" si="12"/>
        <v/>
      </c>
      <c r="AG139" s="245" t="str">
        <f>IF(ISNUMBER(SEARCH("C", 'Dry_Litterbag Placem_Collection'!$T66)),"YES","NO")</f>
        <v>NO</v>
      </c>
      <c r="AH139" s="245" t="str">
        <f>IF(ISNUMBER(SEARCH("H", 'Dry_Litterbag Placem_Collection'!$T66)),"YES","NO")</f>
        <v>NO</v>
      </c>
      <c r="AI139" s="245" t="str">
        <f>IF(ISNUMBER(SEARCH("R", 'Dry_Litterbag Placem_Collection'!$T66)),"YES","NO")</f>
        <v>NO</v>
      </c>
      <c r="AJ139" s="245" t="str">
        <f>IF(ISNUMBER(SEARCH("C", 'Dry_Litterbag Placem_Collection'!$S66)),"YES","NO")</f>
        <v>NO</v>
      </c>
      <c r="AK139" s="245" t="str">
        <f>IF(ISNUMBER(SEARCH("H", 'Dry_Litterbag Placem_Collection'!$S66)),"YES","NO")</f>
        <v>NO</v>
      </c>
      <c r="AL139" s="245" t="str">
        <f>IF(ISNUMBER(SEARCH("R", 'Dry_Litterbag Placem_Collection'!$S66)),"YES","NO")</f>
        <v>NO</v>
      </c>
    </row>
    <row r="140" spans="2:38">
      <c r="B140" t="str">
        <f>Dryseason!B66</f>
        <v>Dry</v>
      </c>
      <c r="C140" s="253">
        <f>Dryseason!C66</f>
        <v>65</v>
      </c>
      <c r="D140" t="s">
        <v>3111</v>
      </c>
      <c r="E140" t="s">
        <v>22</v>
      </c>
      <c r="F140" s="374">
        <v>1</v>
      </c>
      <c r="G140" s="16">
        <f>IF('Dry_Litterbag Placem_Collection'!E67="","",'Dry_Litterbag Placem_Collection'!E67)</f>
        <v>42937</v>
      </c>
      <c r="H140" t="str">
        <f>Dryseason!L66</f>
        <v>G495</v>
      </c>
      <c r="I140" t="str">
        <f>Dryseason!L286</f>
        <v>R731</v>
      </c>
      <c r="J140">
        <f>IFERROR(INDEX('Green_rooibos initial weight'!$C$5:$C$2000,MATCH(H140, 'Green_rooibos initial weight'!$A$5:$A$2000,0)),"")</f>
        <v>2.0390000000000001</v>
      </c>
      <c r="K140">
        <f>IFERROR(INDEX('Green_rooibos initial weight'!$C$5:$C$2000,MATCH(I140, 'Green_rooibos initial weight'!$A$5:$A$2000,0)),"")</f>
        <v>2.2480000000000002</v>
      </c>
      <c r="L140" s="194">
        <f t="shared" si="4"/>
        <v>1.7892000000000001</v>
      </c>
      <c r="M140" s="233">
        <f>AVERAGE(Ashed_controlls!$K$1:$K$11)</f>
        <v>5.5147656768714146</v>
      </c>
      <c r="N140" s="194">
        <f t="shared" ref="N140:N203" si="13">IFERROR(L140-(M140/100)*L140,"")</f>
        <v>1.6905298125094168</v>
      </c>
      <c r="O140" s="194">
        <f t="shared" si="5"/>
        <v>1.9982000000000002</v>
      </c>
      <c r="P140" s="233">
        <f>AVERAGE(Ashed_controlls!$K$12:$K$14)</f>
        <v>2.2816647271287041</v>
      </c>
      <c r="Q140" s="194">
        <f t="shared" ref="Q140:Q203" si="14">IFERROR(O140-(P140/100)*O140,"")</f>
        <v>1.9526077754225144</v>
      </c>
      <c r="R140" s="16">
        <f>IF('Dry_Litterbag Placem_Collection'!G67="","",'Dry_Litterbag Placem_Collection'!G67)</f>
        <v>43005</v>
      </c>
      <c r="S140" s="194" t="str">
        <f>IFERROR(INDEX('Both teabags AfterDry'!$D$3:$D$2000,MATCH(H140,'Both teabags AfterDry'!$A$3:$A$2000,0)),"")</f>
        <v/>
      </c>
      <c r="T140" s="194" t="str">
        <f>IFERROR(INDEX('Both teabags AfterDry'!$D$3:$D$2000,MATCH(I140,'Both teabags AfterDry'!$A$3:$A$2000,0)),"")</f>
        <v/>
      </c>
      <c r="U140" s="194" t="str">
        <f t="shared" si="6"/>
        <v/>
      </c>
      <c r="V140" s="194" t="str">
        <f t="shared" si="7"/>
        <v/>
      </c>
      <c r="W140" s="194" t="str">
        <f>IFERROR(INDEX('Ashed teabags dry'!$K$2:$K$2000,MATCH(H140,'Ashed teabags dry'!$A$2:$A$2000,0)),"")</f>
        <v/>
      </c>
      <c r="X140" s="194" t="str">
        <f>IFERROR(INDEX('Ashed teabags dry'!$K$2:$K$2000,MATCH(I140,'Ashed teabags dry'!$A$2:$A$2000,0)),"")</f>
        <v/>
      </c>
      <c r="Y140" s="194" t="str">
        <f t="shared" ref="Y140:Z203" si="15">IFERROR(U140-(W140/100)*U140,"")</f>
        <v/>
      </c>
      <c r="Z140" s="194" t="str">
        <f t="shared" si="15"/>
        <v/>
      </c>
      <c r="AA140" s="194" t="str">
        <f t="shared" si="8"/>
        <v/>
      </c>
      <c r="AB140" s="194" t="str">
        <f t="shared" si="9"/>
        <v/>
      </c>
      <c r="AC140" s="194" t="str">
        <f t="shared" ref="AC140:AC203" si="16">IFERROR(Z140/Q140,"")</f>
        <v/>
      </c>
      <c r="AD140">
        <f t="shared" si="10"/>
        <v>68</v>
      </c>
      <c r="AE140" s="194" t="str">
        <f t="shared" si="11"/>
        <v/>
      </c>
      <c r="AF140" s="194" t="str">
        <f t="shared" si="12"/>
        <v/>
      </c>
      <c r="AG140" s="245" t="str">
        <f>IF(ISNUMBER(SEARCH("C", 'Dry_Litterbag Placem_Collection'!$T67)),"YES","NO")</f>
        <v>NO</v>
      </c>
      <c r="AH140" s="245" t="str">
        <f>IF(ISNUMBER(SEARCH("H", 'Dry_Litterbag Placem_Collection'!$T67)),"YES","NO")</f>
        <v>NO</v>
      </c>
      <c r="AI140" s="245" t="str">
        <f>IF(ISNUMBER(SEARCH("R", 'Dry_Litterbag Placem_Collection'!$T67)),"YES","NO")</f>
        <v>NO</v>
      </c>
      <c r="AJ140" s="245" t="str">
        <f>IF(ISNUMBER(SEARCH("C", 'Dry_Litterbag Placem_Collection'!$S67)),"YES","NO")</f>
        <v>NO</v>
      </c>
      <c r="AK140" s="245" t="str">
        <f>IF(ISNUMBER(SEARCH("H", 'Dry_Litterbag Placem_Collection'!$S67)),"YES","NO")</f>
        <v>NO</v>
      </c>
      <c r="AL140" s="245" t="str">
        <f>IF(ISNUMBER(SEARCH("R", 'Dry_Litterbag Placem_Collection'!$S67)),"YES","NO")</f>
        <v>NO</v>
      </c>
    </row>
    <row r="141" spans="2:38">
      <c r="B141" t="str">
        <f>Dryseason!B67</f>
        <v>Dry</v>
      </c>
      <c r="C141" s="253">
        <f>Dryseason!C67</f>
        <v>66</v>
      </c>
      <c r="D141" t="s">
        <v>3111</v>
      </c>
      <c r="E141" t="s">
        <v>22</v>
      </c>
      <c r="F141" s="374">
        <v>2</v>
      </c>
      <c r="G141" s="16">
        <f>IF('Dry_Litterbag Placem_Collection'!E68="","",'Dry_Litterbag Placem_Collection'!E68)</f>
        <v>42937</v>
      </c>
      <c r="H141" t="str">
        <f>Dryseason!L67</f>
        <v>G247</v>
      </c>
      <c r="I141" t="str">
        <f>Dryseason!L287</f>
        <v>R816</v>
      </c>
      <c r="J141">
        <f>IFERROR(INDEX('Green_rooibos initial weight'!$C$5:$C$2000,MATCH(H141, 'Green_rooibos initial weight'!$A$5:$A$2000,0)),"")</f>
        <v>2.13</v>
      </c>
      <c r="K141">
        <f>IFERROR(INDEX('Green_rooibos initial weight'!$C$5:$C$2000,MATCH(I141, 'Green_rooibos initial weight'!$A$5:$A$2000,0)),"")</f>
        <v>2.194</v>
      </c>
      <c r="L141" s="194">
        <f t="shared" ref="L141:L204" si="17">IFERROR(IF(J141&gt;0,(J141*$F$31-($F$29+$F$30)),""),"")</f>
        <v>1.8801999999999999</v>
      </c>
      <c r="M141" s="233">
        <f>AVERAGE(Ashed_controlls!$K$1:$K$11)</f>
        <v>5.5147656768714146</v>
      </c>
      <c r="N141" s="194">
        <f t="shared" si="13"/>
        <v>1.7765113757434636</v>
      </c>
      <c r="O141" s="194">
        <f t="shared" ref="O141:O204" si="18">IFERROR(IF(K141&gt;0,(K141*$F$32-($F$29+$F$30)),""),"")</f>
        <v>1.9441999999999999</v>
      </c>
      <c r="P141" s="233">
        <f>AVERAGE(Ashed_controlls!$K$12:$K$14)</f>
        <v>2.2816647271287041</v>
      </c>
      <c r="Q141" s="194">
        <f t="shared" si="14"/>
        <v>1.8998398743751637</v>
      </c>
      <c r="R141" s="16">
        <f>IF('Dry_Litterbag Placem_Collection'!G68="","",'Dry_Litterbag Placem_Collection'!G68)</f>
        <v>43005</v>
      </c>
      <c r="S141" s="194">
        <f>IFERROR(INDEX('Both teabags AfterDry'!$D$3:$D$2000,MATCH(H141,'Both teabags AfterDry'!$A$3:$A$2000,0)),"")</f>
        <v>1.9853000000000001</v>
      </c>
      <c r="T141" s="194">
        <f>IFERROR(INDEX('Both teabags AfterDry'!$D$3:$D$2000,MATCH(I141,'Both teabags AfterDry'!$A$3:$A$2000,0)),"")</f>
        <v>1.9451000000000001</v>
      </c>
      <c r="U141" s="194">
        <f t="shared" ref="U141:U204" si="19">IFERROR(IF(S141&gt;0,S141-($F$29),""),"")</f>
        <v>1.8347</v>
      </c>
      <c r="V141" s="194">
        <f t="shared" ref="V141:V204" si="20">IFERROR(IF(T141&gt;0,T141-($F$29),""),"")</f>
        <v>1.7945</v>
      </c>
      <c r="W141" s="194">
        <f>IFERROR(INDEX('Ashed teabags dry'!$K$2:$K$2000,MATCH(H141,'Ashed teabags dry'!$A$2:$A$2000,0)),"")</f>
        <v>6.078147612156255</v>
      </c>
      <c r="X141" s="194">
        <f>IFERROR(INDEX('Ashed teabags dry'!$K$2:$K$2000,MATCH(I141,'Ashed teabags dry'!$A$2:$A$2000,0)),"")</f>
        <v>3.3524481693872197</v>
      </c>
      <c r="Y141" s="194">
        <f t="shared" si="15"/>
        <v>1.7231842257597692</v>
      </c>
      <c r="Z141" s="194">
        <f t="shared" si="15"/>
        <v>1.7343403176003462</v>
      </c>
      <c r="AA141" s="194">
        <f t="shared" ref="AA141:AA204" si="21">IFERROR(1-Y141/N141,"")</f>
        <v>3.0017905154914759E-2</v>
      </c>
      <c r="AB141" s="194">
        <f t="shared" ref="AB141:AB204" si="22">IFERROR($F$26*(1-AE141),"")</f>
        <v>1.9679196728637719E-2</v>
      </c>
      <c r="AC141" s="194">
        <f t="shared" si="16"/>
        <v>0.91288762858014627</v>
      </c>
      <c r="AD141">
        <f t="shared" ref="AD141:AD204" si="23">IFERROR(IF((R141-G141)&gt;0,(IFERROR(R141-G141,"")),""),"")</f>
        <v>68</v>
      </c>
      <c r="AE141" s="194">
        <f t="shared" ref="AE141:AE204" si="24">IFERROR(1-(AA141/$F$25),"")</f>
        <v>0.96434928128869979</v>
      </c>
      <c r="AF141" s="194" t="str">
        <f t="shared" ref="AF141:AF204" si="25">IFERROR(LN(AB141/(AC141-(1-AB141)))/AD141,"")</f>
        <v/>
      </c>
      <c r="AG141" s="245" t="str">
        <f>IF(ISNUMBER(SEARCH("C", 'Dry_Litterbag Placem_Collection'!$T68)),"YES","NO")</f>
        <v>NO</v>
      </c>
      <c r="AH141" s="245" t="str">
        <f>IF(ISNUMBER(SEARCH("H", 'Dry_Litterbag Placem_Collection'!$T68)),"YES","NO")</f>
        <v>NO</v>
      </c>
      <c r="AI141" s="245" t="str">
        <f>IF(ISNUMBER(SEARCH("R", 'Dry_Litterbag Placem_Collection'!$T68)),"YES","NO")</f>
        <v>NO</v>
      </c>
      <c r="AJ141" s="245" t="str">
        <f>IF(ISNUMBER(SEARCH("C", 'Dry_Litterbag Placem_Collection'!$S68)),"YES","NO")</f>
        <v>YES</v>
      </c>
      <c r="AK141" s="245" t="str">
        <f>IF(ISNUMBER(SEARCH("H", 'Dry_Litterbag Placem_Collection'!$S68)),"YES","NO")</f>
        <v>YES</v>
      </c>
      <c r="AL141" s="245" t="str">
        <f>IF(ISNUMBER(SEARCH("R", 'Dry_Litterbag Placem_Collection'!$S68)),"YES","NO")</f>
        <v>NO</v>
      </c>
    </row>
    <row r="142" spans="2:38">
      <c r="B142" t="str">
        <f>Dryseason!B68</f>
        <v>Dry</v>
      </c>
      <c r="C142" s="253">
        <f>Dryseason!C68</f>
        <v>67</v>
      </c>
      <c r="D142" t="s">
        <v>3111</v>
      </c>
      <c r="E142" t="s">
        <v>22</v>
      </c>
      <c r="F142" s="374">
        <v>3</v>
      </c>
      <c r="G142" s="16" t="str">
        <f>IF('Dry_Litterbag Placem_Collection'!E69="","",'Dry_Litterbag Placem_Collection'!E69)</f>
        <v/>
      </c>
      <c r="H142" t="str">
        <f>Dryseason!L68</f>
        <v/>
      </c>
      <c r="I142" t="str">
        <f>Dryseason!L288</f>
        <v/>
      </c>
      <c r="J142" t="str">
        <f>IFERROR(INDEX('Green_rooibos initial weight'!$C$5:$C$2000,MATCH(H142, 'Green_rooibos initial weight'!$A$5:$A$2000,0)),"")</f>
        <v/>
      </c>
      <c r="K142" t="str">
        <f>IFERROR(INDEX('Green_rooibos initial weight'!$C$5:$C$2000,MATCH(I142, 'Green_rooibos initial weight'!$A$5:$A$2000,0)),"")</f>
        <v/>
      </c>
      <c r="L142" s="194" t="str">
        <f t="shared" si="17"/>
        <v/>
      </c>
      <c r="M142" s="233">
        <f>AVERAGE(Ashed_controlls!$K$1:$K$11)</f>
        <v>5.5147656768714146</v>
      </c>
      <c r="N142" s="194" t="str">
        <f t="shared" si="13"/>
        <v/>
      </c>
      <c r="O142" s="194" t="str">
        <f t="shared" si="18"/>
        <v/>
      </c>
      <c r="P142" s="233">
        <f>AVERAGE(Ashed_controlls!$K$12:$K$14)</f>
        <v>2.2816647271287041</v>
      </c>
      <c r="Q142" s="194" t="str">
        <f t="shared" si="14"/>
        <v/>
      </c>
      <c r="R142" s="16" t="str">
        <f>IF('Dry_Litterbag Placem_Collection'!G69="","",'Dry_Litterbag Placem_Collection'!G69)</f>
        <v/>
      </c>
      <c r="S142" s="194" t="str">
        <f>IFERROR(INDEX('Both teabags AfterDry'!$D$3:$D$2000,MATCH(H142,'Both teabags AfterDry'!$A$3:$A$2000,0)),"")</f>
        <v/>
      </c>
      <c r="T142" s="194" t="str">
        <f>IFERROR(INDEX('Both teabags AfterDry'!$D$3:$D$2000,MATCH(I142,'Both teabags AfterDry'!$A$3:$A$2000,0)),"")</f>
        <v/>
      </c>
      <c r="U142" s="194" t="str">
        <f t="shared" si="19"/>
        <v/>
      </c>
      <c r="V142" s="194" t="str">
        <f t="shared" si="20"/>
        <v/>
      </c>
      <c r="W142" s="194" t="str">
        <f>IFERROR(INDEX('Ashed teabags dry'!$K$2:$K$2000,MATCH(H142,'Ashed teabags dry'!$A$2:$A$2000,0)),"")</f>
        <v/>
      </c>
      <c r="X142" s="194" t="str">
        <f>IFERROR(INDEX('Ashed teabags dry'!$K$2:$K$2000,MATCH(I142,'Ashed teabags dry'!$A$2:$A$2000,0)),"")</f>
        <v/>
      </c>
      <c r="Y142" s="194" t="str">
        <f t="shared" si="15"/>
        <v/>
      </c>
      <c r="Z142" s="194" t="str">
        <f t="shared" si="15"/>
        <v/>
      </c>
      <c r="AA142" s="194" t="str">
        <f t="shared" si="21"/>
        <v/>
      </c>
      <c r="AB142" s="194" t="str">
        <f t="shared" si="22"/>
        <v/>
      </c>
      <c r="AC142" s="194" t="str">
        <f t="shared" si="16"/>
        <v/>
      </c>
      <c r="AD142" t="str">
        <f t="shared" si="23"/>
        <v/>
      </c>
      <c r="AE142" s="194" t="str">
        <f t="shared" si="24"/>
        <v/>
      </c>
      <c r="AF142" s="194" t="str">
        <f t="shared" si="25"/>
        <v/>
      </c>
      <c r="AG142" s="245" t="str">
        <f>IF(ISNUMBER(SEARCH("C", 'Dry_Litterbag Placem_Collection'!$T69)),"YES","NO")</f>
        <v>NO</v>
      </c>
      <c r="AH142" s="245" t="str">
        <f>IF(ISNUMBER(SEARCH("H", 'Dry_Litterbag Placem_Collection'!$T69)),"YES","NO")</f>
        <v>NO</v>
      </c>
      <c r="AI142" s="245" t="str">
        <f>IF(ISNUMBER(SEARCH("R", 'Dry_Litterbag Placem_Collection'!$T69)),"YES","NO")</f>
        <v>NO</v>
      </c>
      <c r="AJ142" s="245" t="str">
        <f>IF(ISNUMBER(SEARCH("C", 'Dry_Litterbag Placem_Collection'!$S69)),"YES","NO")</f>
        <v>NO</v>
      </c>
      <c r="AK142" s="245" t="str">
        <f>IF(ISNUMBER(SEARCH("H", 'Dry_Litterbag Placem_Collection'!$S69)),"YES","NO")</f>
        <v>NO</v>
      </c>
      <c r="AL142" s="245" t="str">
        <f>IF(ISNUMBER(SEARCH("R", 'Dry_Litterbag Placem_Collection'!$S69)),"YES","NO")</f>
        <v>NO</v>
      </c>
    </row>
    <row r="143" spans="2:38">
      <c r="B143" t="str">
        <f>Dryseason!B69</f>
        <v>Dry</v>
      </c>
      <c r="C143" s="253">
        <f>Dryseason!C69</f>
        <v>68</v>
      </c>
      <c r="D143" t="s">
        <v>3111</v>
      </c>
      <c r="E143" t="s">
        <v>22</v>
      </c>
      <c r="F143" s="375">
        <v>4</v>
      </c>
      <c r="G143" s="16">
        <f>IF('Dry_Litterbag Placem_Collection'!E70="","",'Dry_Litterbag Placem_Collection'!E70)</f>
        <v>42937</v>
      </c>
      <c r="H143" t="str">
        <f>Dryseason!L69</f>
        <v>G63</v>
      </c>
      <c r="I143" t="str">
        <f>Dryseason!L289</f>
        <v>R815</v>
      </c>
      <c r="J143">
        <f>IFERROR(INDEX('Green_rooibos initial weight'!$C$5:$C$2000,MATCH(H143, 'Green_rooibos initial weight'!$A$5:$A$2000,0)),"")</f>
        <v>2</v>
      </c>
      <c r="K143">
        <f>IFERROR(INDEX('Green_rooibos initial weight'!$C$5:$C$2000,MATCH(I143, 'Green_rooibos initial weight'!$A$5:$A$2000,0)),"")</f>
        <v>2.2130000000000001</v>
      </c>
      <c r="L143" s="194">
        <f t="shared" si="17"/>
        <v>1.7502</v>
      </c>
      <c r="M143" s="233">
        <f>AVERAGE(Ashed_controlls!$K$1:$K$11)</f>
        <v>5.5147656768714146</v>
      </c>
      <c r="N143" s="194">
        <f t="shared" si="13"/>
        <v>1.6536805711233964</v>
      </c>
      <c r="O143" s="194">
        <f t="shared" si="18"/>
        <v>1.9632000000000001</v>
      </c>
      <c r="P143" s="233">
        <f>AVERAGE(Ashed_controlls!$K$12:$K$14)</f>
        <v>2.2816647271287041</v>
      </c>
      <c r="Q143" s="194">
        <f t="shared" si="14"/>
        <v>1.9184063580770094</v>
      </c>
      <c r="R143" s="16">
        <f>IF('Dry_Litterbag Placem_Collection'!G70="","",'Dry_Litterbag Placem_Collection'!G70)</f>
        <v>43005</v>
      </c>
      <c r="S143" s="194">
        <f>IFERROR(INDEX('Both teabags AfterDry'!$D$3:$D$2000,MATCH(H143,'Both teabags AfterDry'!$A$3:$A$2000,0)),"")</f>
        <v>1.8152999999999999</v>
      </c>
      <c r="T143" s="194">
        <f>IFERROR(INDEX('Both teabags AfterDry'!$D$3:$D$2000,MATCH(I143,'Both teabags AfterDry'!$A$3:$A$2000,0)),"")</f>
        <v>1.9467000000000001</v>
      </c>
      <c r="U143" s="194">
        <f t="shared" si="19"/>
        <v>1.6646999999999998</v>
      </c>
      <c r="V143" s="194">
        <f t="shared" si="20"/>
        <v>1.7961</v>
      </c>
      <c r="W143" s="194">
        <f>IFERROR(INDEX('Ashed teabags dry'!$K$2:$K$2000,MATCH(H143,'Ashed teabags dry'!$A$2:$A$2000,0)),"")</f>
        <v>5.6851311953349883</v>
      </c>
      <c r="X143" s="194">
        <f>IFERROR(INDEX('Ashed teabags dry'!$K$2:$K$2000,MATCH(I143,'Ashed teabags dry'!$A$2:$A$2000,0)),"")</f>
        <v>2.8207461328482384</v>
      </c>
      <c r="Y143" s="194">
        <f t="shared" si="15"/>
        <v>1.5700596209912583</v>
      </c>
      <c r="Z143" s="194">
        <f t="shared" si="15"/>
        <v>1.7454365787079129</v>
      </c>
      <c r="AA143" s="194">
        <f t="shared" si="21"/>
        <v>5.0566567444964128E-2</v>
      </c>
      <c r="AB143" s="194">
        <f t="shared" si="22"/>
        <v>3.3150528776271053E-2</v>
      </c>
      <c r="AC143" s="194">
        <f t="shared" si="16"/>
        <v>0.909836735767244</v>
      </c>
      <c r="AD143">
        <f t="shared" si="23"/>
        <v>68</v>
      </c>
      <c r="AE143" s="194">
        <f t="shared" si="24"/>
        <v>0.93994469424588578</v>
      </c>
      <c r="AF143" s="194" t="str">
        <f t="shared" si="25"/>
        <v/>
      </c>
      <c r="AG143" s="245" t="str">
        <f>IF(ISNUMBER(SEARCH("C", 'Dry_Litterbag Placem_Collection'!$T70)),"YES","NO")</f>
        <v>NO</v>
      </c>
      <c r="AH143" s="245" t="str">
        <f>IF(ISNUMBER(SEARCH("H", 'Dry_Litterbag Placem_Collection'!$T70)),"YES","NO")</f>
        <v>NO</v>
      </c>
      <c r="AI143" s="245" t="str">
        <f>IF(ISNUMBER(SEARCH("R", 'Dry_Litterbag Placem_Collection'!$T70)),"YES","NO")</f>
        <v>NO</v>
      </c>
      <c r="AJ143" s="245" t="str">
        <f>IF(ISNUMBER(SEARCH("C", 'Dry_Litterbag Placem_Collection'!$S70)),"YES","NO")</f>
        <v>NO</v>
      </c>
      <c r="AK143" s="245" t="str">
        <f>IF(ISNUMBER(SEARCH("H", 'Dry_Litterbag Placem_Collection'!$S70)),"YES","NO")</f>
        <v>NO</v>
      </c>
      <c r="AL143" s="245" t="str">
        <f>IF(ISNUMBER(SEARCH("R", 'Dry_Litterbag Placem_Collection'!$S70)),"YES","NO")</f>
        <v>NO</v>
      </c>
    </row>
    <row r="144" spans="2:38">
      <c r="B144" t="str">
        <f>Dryseason!B70</f>
        <v>Dry</v>
      </c>
      <c r="C144" s="253">
        <f>Dryseason!C70</f>
        <v>69</v>
      </c>
      <c r="D144" t="s">
        <v>3111</v>
      </c>
      <c r="E144" t="s">
        <v>22</v>
      </c>
      <c r="F144" s="375">
        <v>5</v>
      </c>
      <c r="G144" s="16">
        <f>IF('Dry_Litterbag Placem_Collection'!E71="","",'Dry_Litterbag Placem_Collection'!E71)</f>
        <v>42937</v>
      </c>
      <c r="H144" t="str">
        <f>Dryseason!L70</f>
        <v>G382</v>
      </c>
      <c r="I144" t="str">
        <f>Dryseason!L290</f>
        <v>R741</v>
      </c>
      <c r="J144">
        <f>IFERROR(INDEX('Green_rooibos initial weight'!$C$5:$C$2000,MATCH(H144, 'Green_rooibos initial weight'!$A$5:$A$2000,0)),"")</f>
        <v>2.0960000000000001</v>
      </c>
      <c r="K144">
        <f>IFERROR(INDEX('Green_rooibos initial weight'!$C$5:$C$2000,MATCH(I144, 'Green_rooibos initial weight'!$A$5:$A$2000,0)),"")</f>
        <v>2.262</v>
      </c>
      <c r="L144" s="194">
        <f t="shared" si="17"/>
        <v>1.8462000000000001</v>
      </c>
      <c r="M144" s="233">
        <f>AVERAGE(Ashed_controlls!$K$1:$K$11)</f>
        <v>5.5147656768714146</v>
      </c>
      <c r="N144" s="194">
        <f t="shared" si="13"/>
        <v>1.7443863960735999</v>
      </c>
      <c r="O144" s="194">
        <f t="shared" si="18"/>
        <v>2.0122</v>
      </c>
      <c r="P144" s="233">
        <f>AVERAGE(Ashed_controlls!$K$12:$K$14)</f>
        <v>2.2816647271287041</v>
      </c>
      <c r="Q144" s="194">
        <f t="shared" si="14"/>
        <v>1.9662883423607163</v>
      </c>
      <c r="R144" s="16">
        <f>IF('Dry_Litterbag Placem_Collection'!G71="","",'Dry_Litterbag Placem_Collection'!G71)</f>
        <v>43006</v>
      </c>
      <c r="S144" s="194">
        <f>IFERROR(INDEX('Both teabags AfterDry'!$D$3:$D$2000,MATCH(H144,'Both teabags AfterDry'!$A$3:$A$2000,0)),"")</f>
        <v>1.8677999999999999</v>
      </c>
      <c r="T144" s="194">
        <f>IFERROR(INDEX('Both teabags AfterDry'!$D$3:$D$2000,MATCH(I144,'Both teabags AfterDry'!$A$3:$A$2000,0)),"")</f>
        <v>1.9702999999999999</v>
      </c>
      <c r="U144" s="194">
        <f t="shared" si="19"/>
        <v>1.7171999999999998</v>
      </c>
      <c r="V144" s="194">
        <f t="shared" si="20"/>
        <v>1.8196999999999999</v>
      </c>
      <c r="W144" s="194">
        <f>IFERROR(INDEX('Ashed teabags dry'!$K$2:$K$2000,MATCH(H144,'Ashed teabags dry'!$A$2:$A$2000,0)),"")</f>
        <v>5.5063913470994565</v>
      </c>
      <c r="X144" s="194">
        <f>IFERROR(INDEX('Ashed teabags dry'!$K$2:$K$2000,MATCH(I144,'Ashed teabags dry'!$A$2:$A$2000,0)),"")</f>
        <v>3.5535535535533986</v>
      </c>
      <c r="Y144" s="194">
        <f t="shared" si="15"/>
        <v>1.622644247787608</v>
      </c>
      <c r="Z144" s="194">
        <f t="shared" si="15"/>
        <v>1.7550359859859888</v>
      </c>
      <c r="AA144" s="194">
        <f t="shared" si="21"/>
        <v>6.9790815016683605E-2</v>
      </c>
      <c r="AB144" s="194">
        <f t="shared" si="22"/>
        <v>4.5753598443241492E-2</v>
      </c>
      <c r="AC144" s="194">
        <f t="shared" si="16"/>
        <v>0.89256288011091045</v>
      </c>
      <c r="AD144">
        <f t="shared" si="23"/>
        <v>69</v>
      </c>
      <c r="AE144" s="194">
        <f t="shared" si="24"/>
        <v>0.91711304629847556</v>
      </c>
      <c r="AF144" s="194" t="str">
        <f t="shared" si="25"/>
        <v/>
      </c>
      <c r="AG144" s="245" t="str">
        <f>IF(ISNUMBER(SEARCH("C", 'Dry_Litterbag Placem_Collection'!$T71)),"YES","NO")</f>
        <v>YES</v>
      </c>
      <c r="AH144" s="245" t="str">
        <f>IF(ISNUMBER(SEARCH("H", 'Dry_Litterbag Placem_Collection'!$T71)),"YES","NO")</f>
        <v>NO</v>
      </c>
      <c r="AI144" s="245" t="str">
        <f>IF(ISNUMBER(SEARCH("R", 'Dry_Litterbag Placem_Collection'!$T71)),"YES","NO")</f>
        <v>NO</v>
      </c>
      <c r="AJ144" s="245" t="str">
        <f>IF(ISNUMBER(SEARCH("C", 'Dry_Litterbag Placem_Collection'!$S71)),"YES","NO")</f>
        <v>NO</v>
      </c>
      <c r="AK144" s="245" t="str">
        <f>IF(ISNUMBER(SEARCH("H", 'Dry_Litterbag Placem_Collection'!$S71)),"YES","NO")</f>
        <v>NO</v>
      </c>
      <c r="AL144" s="245" t="str">
        <f>IF(ISNUMBER(SEARCH("R", 'Dry_Litterbag Placem_Collection'!$S71)),"YES","NO")</f>
        <v>NO</v>
      </c>
    </row>
    <row r="145" spans="2:38">
      <c r="B145" t="str">
        <f>Dryseason!B71</f>
        <v>Dry</v>
      </c>
      <c r="C145" s="253">
        <f>Dryseason!C71</f>
        <v>70</v>
      </c>
      <c r="D145" t="s">
        <v>3111</v>
      </c>
      <c r="E145" t="s">
        <v>22</v>
      </c>
      <c r="F145" s="375">
        <v>6</v>
      </c>
      <c r="G145" s="16">
        <f>IF('Dry_Litterbag Placem_Collection'!E72="","",'Dry_Litterbag Placem_Collection'!E72)</f>
        <v>42937</v>
      </c>
      <c r="H145" t="str">
        <f>Dryseason!L71</f>
        <v>G278</v>
      </c>
      <c r="I145" t="str">
        <f>Dryseason!L291</f>
        <v>R294</v>
      </c>
      <c r="J145">
        <f>IFERROR(INDEX('Green_rooibos initial weight'!$C$5:$C$2000,MATCH(H145, 'Green_rooibos initial weight'!$A$5:$A$2000,0)),"")</f>
        <v>2.0049999999999999</v>
      </c>
      <c r="K145">
        <f>IFERROR(INDEX('Green_rooibos initial weight'!$C$5:$C$2000,MATCH(I145, 'Green_rooibos initial weight'!$A$5:$A$2000,0)),"")</f>
        <v>2.226</v>
      </c>
      <c r="L145" s="194">
        <f t="shared" si="17"/>
        <v>1.7551999999999999</v>
      </c>
      <c r="M145" s="233">
        <f>AVERAGE(Ashed_controlls!$K$1:$K$11)</f>
        <v>5.5147656768714146</v>
      </c>
      <c r="N145" s="194">
        <f t="shared" si="13"/>
        <v>1.6584048328395529</v>
      </c>
      <c r="O145" s="194">
        <f t="shared" si="18"/>
        <v>1.9762</v>
      </c>
      <c r="P145" s="233">
        <f>AVERAGE(Ashed_controlls!$K$12:$K$14)</f>
        <v>2.2816647271287041</v>
      </c>
      <c r="Q145" s="194">
        <f t="shared" si="14"/>
        <v>1.9311097416624825</v>
      </c>
      <c r="R145" s="16">
        <f>IF('Dry_Litterbag Placem_Collection'!G72="","",'Dry_Litterbag Placem_Collection'!G72)</f>
        <v>43006</v>
      </c>
      <c r="S145" s="194">
        <f>IFERROR(INDEX('Both teabags AfterDry'!$D$3:$D$2000,MATCH(H145,'Both teabags AfterDry'!$A$3:$A$2000,0)),"")</f>
        <v>1.8243</v>
      </c>
      <c r="T145" s="194">
        <f>IFERROR(INDEX('Both teabags AfterDry'!$D$3:$D$2000,MATCH(I145,'Both teabags AfterDry'!$A$3:$A$2000,0)),"")</f>
        <v>0.51</v>
      </c>
      <c r="U145" s="194">
        <f t="shared" si="19"/>
        <v>1.6737</v>
      </c>
      <c r="V145" s="194">
        <f t="shared" si="20"/>
        <v>0.3594</v>
      </c>
      <c r="W145" s="194">
        <f>IFERROR(INDEX('Ashed teabags dry'!$K$2:$K$2000,MATCH(H145,'Ashed teabags dry'!$A$2:$A$2000,0)),"")</f>
        <v>5.9292476332832429</v>
      </c>
      <c r="X145" s="194">
        <f>IFERROR(INDEX('Ashed teabags dry'!$K$2:$K$2000,MATCH(I145,'Ashed teabags dry'!$A$2:$A$2000,0)),"")</f>
        <v>66.450324513230314</v>
      </c>
      <c r="Y145" s="194">
        <f t="shared" si="15"/>
        <v>1.5744621823617384</v>
      </c>
      <c r="Z145" s="194">
        <f t="shared" si="15"/>
        <v>0.12057753369945023</v>
      </c>
      <c r="AA145" s="194">
        <f t="shared" si="21"/>
        <v>5.0616501360579269E-2</v>
      </c>
      <c r="AB145" s="194">
        <f t="shared" si="22"/>
        <v>3.3183264549928482E-2</v>
      </c>
      <c r="AC145" s="194">
        <f t="shared" si="16"/>
        <v>6.2439503617047497E-2</v>
      </c>
      <c r="AD145">
        <f t="shared" si="23"/>
        <v>69</v>
      </c>
      <c r="AE145" s="194">
        <f t="shared" si="24"/>
        <v>0.93988539030810059</v>
      </c>
      <c r="AF145" s="194" t="str">
        <f t="shared" si="25"/>
        <v/>
      </c>
      <c r="AG145" s="245" t="str">
        <f>IF(ISNUMBER(SEARCH("C", 'Dry_Litterbag Placem_Collection'!$T72)),"YES","NO")</f>
        <v>YES</v>
      </c>
      <c r="AH145" s="245" t="str">
        <f>IF(ISNUMBER(SEARCH("H", 'Dry_Litterbag Placem_Collection'!$T72)),"YES","NO")</f>
        <v>YES</v>
      </c>
      <c r="AI145" s="245" t="str">
        <f>IF(ISNUMBER(SEARCH("R", 'Dry_Litterbag Placem_Collection'!$T72)),"YES","NO")</f>
        <v>NO</v>
      </c>
      <c r="AJ145" s="245" t="str">
        <f>IF(ISNUMBER(SEARCH("C", 'Dry_Litterbag Placem_Collection'!$S72)),"YES","NO")</f>
        <v>NO</v>
      </c>
      <c r="AK145" s="245" t="str">
        <f>IF(ISNUMBER(SEARCH("H", 'Dry_Litterbag Placem_Collection'!$S72)),"YES","NO")</f>
        <v>NO</v>
      </c>
      <c r="AL145" s="245" t="str">
        <f>IF(ISNUMBER(SEARCH("R", 'Dry_Litterbag Placem_Collection'!$S72)),"YES","NO")</f>
        <v>NO</v>
      </c>
    </row>
    <row r="146" spans="2:38">
      <c r="B146" t="str">
        <f>Dryseason!B72</f>
        <v>Dry</v>
      </c>
      <c r="C146" s="253">
        <f>Dryseason!C72</f>
        <v>71</v>
      </c>
      <c r="D146" t="s">
        <v>3111</v>
      </c>
      <c r="E146" t="s">
        <v>22</v>
      </c>
      <c r="F146" s="375">
        <v>7</v>
      </c>
      <c r="G146" s="16">
        <f>IF('Dry_Litterbag Placem_Collection'!E73="","",'Dry_Litterbag Placem_Collection'!E73)</f>
        <v>42937</v>
      </c>
      <c r="H146" t="str">
        <f>Dryseason!L72</f>
        <v>G138</v>
      </c>
      <c r="I146" t="str">
        <f>Dryseason!L292</f>
        <v>R761</v>
      </c>
      <c r="J146">
        <f>IFERROR(INDEX('Green_rooibos initial weight'!$C$5:$C$2000,MATCH(H146, 'Green_rooibos initial weight'!$A$5:$A$2000,0)),"")</f>
        <v>1.956</v>
      </c>
      <c r="K146">
        <f>IFERROR(INDEX('Green_rooibos initial weight'!$C$5:$C$2000,MATCH(I146, 'Green_rooibos initial weight'!$A$5:$A$2000,0)),"")</f>
        <v>2.1509999999999998</v>
      </c>
      <c r="L146" s="194">
        <f t="shared" si="17"/>
        <v>1.7061999999999999</v>
      </c>
      <c r="M146" s="233">
        <f>AVERAGE(Ashed_controlls!$K$1:$K$11)</f>
        <v>5.5147656768714146</v>
      </c>
      <c r="N146" s="194">
        <f t="shared" si="13"/>
        <v>1.6121070680212199</v>
      </c>
      <c r="O146" s="194">
        <f t="shared" si="18"/>
        <v>1.9011999999999998</v>
      </c>
      <c r="P146" s="233">
        <f>AVERAGE(Ashed_controlls!$K$12:$K$14)</f>
        <v>2.2816647271287041</v>
      </c>
      <c r="Q146" s="194">
        <f t="shared" si="14"/>
        <v>1.8578209902078289</v>
      </c>
      <c r="R146" s="16">
        <f>IF('Dry_Litterbag Placem_Collection'!G73="","",'Dry_Litterbag Placem_Collection'!G73)</f>
        <v>43006</v>
      </c>
      <c r="S146" s="194">
        <f>IFERROR(INDEX('Both teabags AfterDry'!$D$3:$D$2000,MATCH(H146,'Both teabags AfterDry'!$A$3:$A$2000,0)),"")</f>
        <v>1.782</v>
      </c>
      <c r="T146" s="194">
        <f>IFERROR(INDEX('Both teabags AfterDry'!$D$3:$D$2000,MATCH(I146,'Both teabags AfterDry'!$A$3:$A$2000,0)),"")</f>
        <v>1.9017999999999999</v>
      </c>
      <c r="U146" s="194">
        <f t="shared" si="19"/>
        <v>1.6314</v>
      </c>
      <c r="V146" s="194">
        <f t="shared" si="20"/>
        <v>1.7511999999999999</v>
      </c>
      <c r="W146" s="194">
        <f>IFERROR(INDEX('Ashed teabags dry'!$K$2:$K$2000,MATCH(H146,'Ashed teabags dry'!$A$2:$A$2000,0)),"")</f>
        <v>5.177372962607877</v>
      </c>
      <c r="X146" s="194">
        <f>IFERROR(INDEX('Ashed teabags dry'!$K$2:$K$2000,MATCH(I146,'Ashed teabags dry'!$A$2:$A$2000,0)),"")</f>
        <v>2.5515210991172763</v>
      </c>
      <c r="Y146" s="194">
        <f t="shared" si="15"/>
        <v>1.546936337488015</v>
      </c>
      <c r="Z146" s="194">
        <f t="shared" si="15"/>
        <v>1.7065177625122581</v>
      </c>
      <c r="AA146" s="194">
        <f t="shared" si="21"/>
        <v>4.0425807829996496E-2</v>
      </c>
      <c r="AB146" s="194">
        <f t="shared" si="22"/>
        <v>2.6502429836292241E-2</v>
      </c>
      <c r="AC146" s="194">
        <f t="shared" si="16"/>
        <v>0.91855876939002346</v>
      </c>
      <c r="AD146">
        <f t="shared" si="23"/>
        <v>69</v>
      </c>
      <c r="AE146" s="194">
        <f t="shared" si="24"/>
        <v>0.95198835174584739</v>
      </c>
      <c r="AF146" s="194" t="str">
        <f t="shared" si="25"/>
        <v/>
      </c>
      <c r="AG146" s="245" t="str">
        <f>IF(ISNUMBER(SEARCH("C", 'Dry_Litterbag Placem_Collection'!$T73)),"YES","NO")</f>
        <v>NO</v>
      </c>
      <c r="AH146" s="245" t="str">
        <f>IF(ISNUMBER(SEARCH("H", 'Dry_Litterbag Placem_Collection'!$T73)),"YES","NO")</f>
        <v>NO</v>
      </c>
      <c r="AI146" s="245" t="str">
        <f>IF(ISNUMBER(SEARCH("R", 'Dry_Litterbag Placem_Collection'!$T73)),"YES","NO")</f>
        <v>NO</v>
      </c>
      <c r="AJ146" s="245" t="str">
        <f>IF(ISNUMBER(SEARCH("C", 'Dry_Litterbag Placem_Collection'!$S73)),"YES","NO")</f>
        <v>NO</v>
      </c>
      <c r="AK146" s="245" t="str">
        <f>IF(ISNUMBER(SEARCH("H", 'Dry_Litterbag Placem_Collection'!$S73)),"YES","NO")</f>
        <v>NO</v>
      </c>
      <c r="AL146" s="245" t="str">
        <f>IF(ISNUMBER(SEARCH("R", 'Dry_Litterbag Placem_Collection'!$S73)),"YES","NO")</f>
        <v>NO</v>
      </c>
    </row>
    <row r="147" spans="2:38">
      <c r="B147" t="str">
        <f>Dryseason!B73</f>
        <v>Dry</v>
      </c>
      <c r="C147" s="253">
        <f>Dryseason!C73</f>
        <v>72</v>
      </c>
      <c r="D147" t="s">
        <v>3111</v>
      </c>
      <c r="E147" t="s">
        <v>22</v>
      </c>
      <c r="F147" s="375">
        <v>8</v>
      </c>
      <c r="G147" s="16">
        <f>IF('Dry_Litterbag Placem_Collection'!E74="","",'Dry_Litterbag Placem_Collection'!E74)</f>
        <v>42937</v>
      </c>
      <c r="H147" t="str">
        <f>Dryseason!L73</f>
        <v>G431</v>
      </c>
      <c r="I147" t="str">
        <f>Dryseason!L293</f>
        <v>R780</v>
      </c>
      <c r="J147">
        <f>IFERROR(INDEX('Green_rooibos initial weight'!$C$5:$C$2000,MATCH(H147, 'Green_rooibos initial weight'!$A$5:$A$2000,0)),"")</f>
        <v>2.08</v>
      </c>
      <c r="K147">
        <f>IFERROR(INDEX('Green_rooibos initial weight'!$C$5:$C$2000,MATCH(I147, 'Green_rooibos initial weight'!$A$5:$A$2000,0)),"")</f>
        <v>2.19</v>
      </c>
      <c r="L147" s="194">
        <f t="shared" si="17"/>
        <v>1.8302</v>
      </c>
      <c r="M147" s="233">
        <f>AVERAGE(Ashed_controlls!$K$1:$K$11)</f>
        <v>5.5147656768714146</v>
      </c>
      <c r="N147" s="194">
        <f t="shared" si="13"/>
        <v>1.7292687585818993</v>
      </c>
      <c r="O147" s="194">
        <f t="shared" si="18"/>
        <v>1.9401999999999999</v>
      </c>
      <c r="P147" s="233">
        <f>AVERAGE(Ashed_controlls!$K$12:$K$14)</f>
        <v>2.2816647271287041</v>
      </c>
      <c r="Q147" s="194">
        <f t="shared" si="14"/>
        <v>1.8959311409642488</v>
      </c>
      <c r="R147" s="16">
        <f>IF('Dry_Litterbag Placem_Collection'!G74="","",'Dry_Litterbag Placem_Collection'!G74)</f>
        <v>43006</v>
      </c>
      <c r="S147" s="194">
        <f>IFERROR(INDEX('Both teabags AfterDry'!$D$3:$D$2000,MATCH(H147,'Both teabags AfterDry'!$A$3:$A$2000,0)),"")</f>
        <v>1.8758999999999999</v>
      </c>
      <c r="T147" s="194">
        <f>IFERROR(INDEX('Both teabags AfterDry'!$D$3:$D$2000,MATCH(I147,'Both teabags AfterDry'!$A$3:$A$2000,0)),"")</f>
        <v>1.9477</v>
      </c>
      <c r="U147" s="194">
        <f t="shared" si="19"/>
        <v>1.7252999999999998</v>
      </c>
      <c r="V147" s="194">
        <f t="shared" si="20"/>
        <v>1.7970999999999999</v>
      </c>
      <c r="W147" s="194">
        <f>IFERROR(INDEX('Ashed teabags dry'!$K$2:$K$2000,MATCH(H147,'Ashed teabags dry'!$A$2:$A$2000,0)),"")</f>
        <v>5.6922334780507073</v>
      </c>
      <c r="X147" s="194">
        <f>IFERROR(INDEX('Ashed teabags dry'!$K$2:$K$2000,MATCH(I147,'Ashed teabags dry'!$A$2:$A$2000,0)),"")</f>
        <v>2.0045558086562076</v>
      </c>
      <c r="Y147" s="194">
        <f t="shared" si="15"/>
        <v>1.627091895803191</v>
      </c>
      <c r="Z147" s="194">
        <f t="shared" si="15"/>
        <v>1.7610761275626392</v>
      </c>
      <c r="AA147" s="194">
        <f t="shared" si="21"/>
        <v>5.9086745349230307E-2</v>
      </c>
      <c r="AB147" s="194">
        <f t="shared" si="22"/>
        <v>3.8736203601870689E-2</v>
      </c>
      <c r="AC147" s="194">
        <f t="shared" si="16"/>
        <v>0.92887135482514205</v>
      </c>
      <c r="AD147">
        <f t="shared" si="23"/>
        <v>69</v>
      </c>
      <c r="AE147" s="194">
        <f t="shared" si="24"/>
        <v>0.9298257181125531</v>
      </c>
      <c r="AF147" s="194" t="str">
        <f t="shared" si="25"/>
        <v/>
      </c>
      <c r="AG147" s="245" t="str">
        <f>IF(ISNUMBER(SEARCH("C", 'Dry_Litterbag Placem_Collection'!$T74)),"YES","NO")</f>
        <v>NO</v>
      </c>
      <c r="AH147" s="245" t="str">
        <f>IF(ISNUMBER(SEARCH("H", 'Dry_Litterbag Placem_Collection'!$T74)),"YES","NO")</f>
        <v>NO</v>
      </c>
      <c r="AI147" s="245" t="str">
        <f>IF(ISNUMBER(SEARCH("R", 'Dry_Litterbag Placem_Collection'!$T74)),"YES","NO")</f>
        <v>NO</v>
      </c>
      <c r="AJ147" s="245" t="str">
        <f>IF(ISNUMBER(SEARCH("C", 'Dry_Litterbag Placem_Collection'!$S74)),"YES","NO")</f>
        <v>NO</v>
      </c>
      <c r="AK147" s="245" t="str">
        <f>IF(ISNUMBER(SEARCH("H", 'Dry_Litterbag Placem_Collection'!$S74)),"YES","NO")</f>
        <v>NO</v>
      </c>
      <c r="AL147" s="245" t="str">
        <f>IF(ISNUMBER(SEARCH("R", 'Dry_Litterbag Placem_Collection'!$S74)),"YES","NO")</f>
        <v>NO</v>
      </c>
    </row>
    <row r="148" spans="2:38">
      <c r="B148" t="str">
        <f>Dryseason!B74</f>
        <v>Dry</v>
      </c>
      <c r="C148" s="253">
        <f>Dryseason!C74</f>
        <v>73</v>
      </c>
      <c r="D148" t="s">
        <v>3113</v>
      </c>
      <c r="E148" t="s">
        <v>22</v>
      </c>
      <c r="F148" s="374">
        <v>1</v>
      </c>
      <c r="G148" s="16">
        <f>IF('Dry_Litterbag Placem_Collection'!E75="","",'Dry_Litterbag Placem_Collection'!E75)</f>
        <v>42937</v>
      </c>
      <c r="H148" t="str">
        <f>Dryseason!L74</f>
        <v>G321</v>
      </c>
      <c r="I148" t="str">
        <f>Dryseason!L294</f>
        <v>R730</v>
      </c>
      <c r="J148">
        <f>IFERROR(INDEX('Green_rooibos initial weight'!$C$5:$C$2000,MATCH(H148, 'Green_rooibos initial weight'!$A$5:$A$2000,0)),"")</f>
        <v>1.9179999999999999</v>
      </c>
      <c r="K148">
        <f>IFERROR(INDEX('Green_rooibos initial weight'!$C$5:$C$2000,MATCH(I148, 'Green_rooibos initial weight'!$A$5:$A$2000,0)),"")</f>
        <v>2.1509999999999998</v>
      </c>
      <c r="L148" s="194">
        <f t="shared" si="17"/>
        <v>1.6681999999999999</v>
      </c>
      <c r="M148" s="233">
        <f>AVERAGE(Ashed_controlls!$K$1:$K$11)</f>
        <v>5.5147656768714146</v>
      </c>
      <c r="N148" s="194">
        <f t="shared" si="13"/>
        <v>1.5762026789784309</v>
      </c>
      <c r="O148" s="194">
        <f t="shared" si="18"/>
        <v>1.9011999999999998</v>
      </c>
      <c r="P148" s="233">
        <f>AVERAGE(Ashed_controlls!$K$12:$K$14)</f>
        <v>2.2816647271287041</v>
      </c>
      <c r="Q148" s="194">
        <f t="shared" si="14"/>
        <v>1.8578209902078289</v>
      </c>
      <c r="R148" s="16">
        <f>IF('Dry_Litterbag Placem_Collection'!G75="","",'Dry_Litterbag Placem_Collection'!G75)</f>
        <v>43006</v>
      </c>
      <c r="S148" s="194" t="str">
        <f>IFERROR(INDEX('Both teabags AfterDry'!$D$3:$D$2000,MATCH(H148,'Both teabags AfterDry'!$A$3:$A$2000,0)),"")</f>
        <v/>
      </c>
      <c r="T148" s="194" t="str">
        <f>IFERROR(INDEX('Both teabags AfterDry'!$D$3:$D$2000,MATCH(I148,'Both teabags AfterDry'!$A$3:$A$2000,0)),"")</f>
        <v/>
      </c>
      <c r="U148" s="194" t="str">
        <f t="shared" si="19"/>
        <v/>
      </c>
      <c r="V148" s="194" t="str">
        <f t="shared" si="20"/>
        <v/>
      </c>
      <c r="W148" s="194" t="str">
        <f>IFERROR(INDEX('Ashed teabags dry'!$K$2:$K$2000,MATCH(H148,'Ashed teabags dry'!$A$2:$A$2000,0)),"")</f>
        <v/>
      </c>
      <c r="X148" s="194" t="str">
        <f>IFERROR(INDEX('Ashed teabags dry'!$K$2:$K$2000,MATCH(I148,'Ashed teabags dry'!$A$2:$A$2000,0)),"")</f>
        <v/>
      </c>
      <c r="Y148" s="194" t="str">
        <f t="shared" si="15"/>
        <v/>
      </c>
      <c r="Z148" s="194" t="str">
        <f t="shared" si="15"/>
        <v/>
      </c>
      <c r="AA148" s="194" t="str">
        <f t="shared" si="21"/>
        <v/>
      </c>
      <c r="AB148" s="194" t="str">
        <f t="shared" si="22"/>
        <v/>
      </c>
      <c r="AC148" s="194" t="str">
        <f t="shared" si="16"/>
        <v/>
      </c>
      <c r="AD148">
        <f t="shared" si="23"/>
        <v>69</v>
      </c>
      <c r="AE148" s="194" t="str">
        <f t="shared" si="24"/>
        <v/>
      </c>
      <c r="AF148" s="194" t="str">
        <f t="shared" si="25"/>
        <v/>
      </c>
      <c r="AG148" s="245" t="str">
        <f>IF(ISNUMBER(SEARCH("C", 'Dry_Litterbag Placem_Collection'!$T75)),"YES","NO")</f>
        <v>NO</v>
      </c>
      <c r="AH148" s="245" t="str">
        <f>IF(ISNUMBER(SEARCH("H", 'Dry_Litterbag Placem_Collection'!$T75)),"YES","NO")</f>
        <v>NO</v>
      </c>
      <c r="AI148" s="245" t="str">
        <f>IF(ISNUMBER(SEARCH("R", 'Dry_Litterbag Placem_Collection'!$T75)),"YES","NO")</f>
        <v>NO</v>
      </c>
      <c r="AJ148" s="245" t="str">
        <f>IF(ISNUMBER(SEARCH("C", 'Dry_Litterbag Placem_Collection'!$S75)),"YES","NO")</f>
        <v>NO</v>
      </c>
      <c r="AK148" s="245" t="str">
        <f>IF(ISNUMBER(SEARCH("H", 'Dry_Litterbag Placem_Collection'!$S75)),"YES","NO")</f>
        <v>NO</v>
      </c>
      <c r="AL148" s="245" t="str">
        <f>IF(ISNUMBER(SEARCH("R", 'Dry_Litterbag Placem_Collection'!$S75)),"YES","NO")</f>
        <v>NO</v>
      </c>
    </row>
    <row r="149" spans="2:38">
      <c r="B149" t="str">
        <f>Dryseason!B75</f>
        <v>Dry</v>
      </c>
      <c r="C149" s="253">
        <f>Dryseason!C75</f>
        <v>74</v>
      </c>
      <c r="D149" t="s">
        <v>3113</v>
      </c>
      <c r="E149" t="s">
        <v>22</v>
      </c>
      <c r="F149" s="374">
        <v>2</v>
      </c>
      <c r="G149" s="16">
        <f>IF('Dry_Litterbag Placem_Collection'!E76="","",'Dry_Litterbag Placem_Collection'!E76)</f>
        <v>42937</v>
      </c>
      <c r="H149" t="str">
        <f>Dryseason!L75</f>
        <v>G329</v>
      </c>
      <c r="I149" t="str">
        <f>Dryseason!L295</f>
        <v>R825</v>
      </c>
      <c r="J149">
        <f>IFERROR(INDEX('Green_rooibos initial weight'!$C$5:$C$2000,MATCH(H149, 'Green_rooibos initial weight'!$A$5:$A$2000,0)),"")</f>
        <v>1.9550000000000001</v>
      </c>
      <c r="K149">
        <f>IFERROR(INDEX('Green_rooibos initial weight'!$C$5:$C$2000,MATCH(I149, 'Green_rooibos initial weight'!$A$5:$A$2000,0)),"")</f>
        <v>2.1419999999999999</v>
      </c>
      <c r="L149" s="194">
        <f t="shared" si="17"/>
        <v>1.7052</v>
      </c>
      <c r="M149" s="233">
        <f>AVERAGE(Ashed_controlls!$K$1:$K$11)</f>
        <v>5.5147656768714146</v>
      </c>
      <c r="N149" s="194">
        <f t="shared" si="13"/>
        <v>1.6111622156779888</v>
      </c>
      <c r="O149" s="194">
        <f t="shared" si="18"/>
        <v>1.8921999999999999</v>
      </c>
      <c r="P149" s="233">
        <f>AVERAGE(Ashed_controlls!$K$12:$K$14)</f>
        <v>2.2816647271287041</v>
      </c>
      <c r="Q149" s="194">
        <f t="shared" si="14"/>
        <v>1.8490263400332705</v>
      </c>
      <c r="R149" s="16">
        <f>IF('Dry_Litterbag Placem_Collection'!G76="","",'Dry_Litterbag Placem_Collection'!G76)</f>
        <v>43006</v>
      </c>
      <c r="S149" s="194">
        <f>IFERROR(INDEX('Both teabags AfterDry'!$D$3:$D$2000,MATCH(H149,'Both teabags AfterDry'!$A$3:$A$2000,0)),"")</f>
        <v>1.7850999999999999</v>
      </c>
      <c r="T149" s="194">
        <f>IFERROR(INDEX('Both teabags AfterDry'!$D$3:$D$2000,MATCH(I149,'Both teabags AfterDry'!$A$3:$A$2000,0)),"")</f>
        <v>1.8925000000000001</v>
      </c>
      <c r="U149" s="194">
        <f t="shared" si="19"/>
        <v>1.6344999999999998</v>
      </c>
      <c r="V149" s="194">
        <f t="shared" si="20"/>
        <v>1.7419</v>
      </c>
      <c r="W149" s="194">
        <f>IFERROR(INDEX('Ashed teabags dry'!$K$2:$K$2000,MATCH(H149,'Ashed teabags dry'!$A$2:$A$2000,0)),"")</f>
        <v>5.4652880354504347</v>
      </c>
      <c r="X149" s="194">
        <f>IFERROR(INDEX('Ashed teabags dry'!$K$2:$K$2000,MATCH(I149,'Ashed teabags dry'!$A$2:$A$2000,0)),"")</f>
        <v>2.7741655830084477</v>
      </c>
      <c r="Y149" s="194">
        <f t="shared" si="15"/>
        <v>1.5451698670605625</v>
      </c>
      <c r="Z149" s="194">
        <f t="shared" si="15"/>
        <v>1.6935768097095758</v>
      </c>
      <c r="AA149" s="194">
        <f t="shared" si="21"/>
        <v>4.0959468869902871E-2</v>
      </c>
      <c r="AB149" s="194">
        <f t="shared" si="22"/>
        <v>2.6852288380268895E-2</v>
      </c>
      <c r="AC149" s="194">
        <f t="shared" si="16"/>
        <v>0.91592898004854939</v>
      </c>
      <c r="AD149">
        <f t="shared" si="23"/>
        <v>69</v>
      </c>
      <c r="AE149" s="194">
        <f t="shared" si="24"/>
        <v>0.95135455003574476</v>
      </c>
      <c r="AF149" s="194" t="str">
        <f t="shared" si="25"/>
        <v/>
      </c>
      <c r="AG149" s="245" t="str">
        <f>IF(ISNUMBER(SEARCH("C", 'Dry_Litterbag Placem_Collection'!$T76)),"YES","NO")</f>
        <v>NO</v>
      </c>
      <c r="AH149" s="245" t="str">
        <f>IF(ISNUMBER(SEARCH("H", 'Dry_Litterbag Placem_Collection'!$T76)),"YES","NO")</f>
        <v>NO</v>
      </c>
      <c r="AI149" s="245" t="str">
        <f>IF(ISNUMBER(SEARCH("R", 'Dry_Litterbag Placem_Collection'!$T76)),"YES","NO")</f>
        <v>NO</v>
      </c>
      <c r="AJ149" s="245" t="str">
        <f>IF(ISNUMBER(SEARCH("C", 'Dry_Litterbag Placem_Collection'!$S76)),"YES","NO")</f>
        <v>NO</v>
      </c>
      <c r="AK149" s="245" t="str">
        <f>IF(ISNUMBER(SEARCH("H", 'Dry_Litterbag Placem_Collection'!$S76)),"YES","NO")</f>
        <v>NO</v>
      </c>
      <c r="AL149" s="245" t="str">
        <f>IF(ISNUMBER(SEARCH("R", 'Dry_Litterbag Placem_Collection'!$S76)),"YES","NO")</f>
        <v>NO</v>
      </c>
    </row>
    <row r="150" spans="2:38">
      <c r="B150" t="str">
        <f>Dryseason!B76</f>
        <v>Dry</v>
      </c>
      <c r="C150" s="253">
        <f>Dryseason!C76</f>
        <v>75</v>
      </c>
      <c r="D150" t="s">
        <v>3113</v>
      </c>
      <c r="E150" t="s">
        <v>22</v>
      </c>
      <c r="F150" s="374">
        <v>3</v>
      </c>
      <c r="G150" s="16">
        <f>IF('Dry_Litterbag Placem_Collection'!E77="","",'Dry_Litterbag Placem_Collection'!E77)</f>
        <v>42937</v>
      </c>
      <c r="H150" t="str">
        <f>Dryseason!L76</f>
        <v>G215</v>
      </c>
      <c r="I150" t="str">
        <f>Dryseason!L296</f>
        <v>R840</v>
      </c>
      <c r="J150">
        <f>IFERROR(INDEX('Green_rooibos initial weight'!$C$5:$C$2000,MATCH(H150, 'Green_rooibos initial weight'!$A$5:$A$2000,0)),"")</f>
        <v>2.0579999999999998</v>
      </c>
      <c r="K150">
        <f>IFERROR(INDEX('Green_rooibos initial weight'!$C$5:$C$2000,MATCH(I150, 'Green_rooibos initial weight'!$A$5:$A$2000,0)),"")</f>
        <v>2.3010000000000002</v>
      </c>
      <c r="L150" s="194">
        <f t="shared" si="17"/>
        <v>1.8081999999999998</v>
      </c>
      <c r="M150" s="233">
        <f>AVERAGE(Ashed_controlls!$K$1:$K$11)</f>
        <v>5.5147656768714146</v>
      </c>
      <c r="N150" s="194">
        <f t="shared" si="13"/>
        <v>1.7084820070308109</v>
      </c>
      <c r="O150" s="194">
        <f t="shared" si="18"/>
        <v>2.0512000000000001</v>
      </c>
      <c r="P150" s="233">
        <f>AVERAGE(Ashed_controlls!$K$12:$K$14)</f>
        <v>2.2816647271287041</v>
      </c>
      <c r="Q150" s="194">
        <f t="shared" si="14"/>
        <v>2.0043984931171361</v>
      </c>
      <c r="R150" s="16">
        <f>IF('Dry_Litterbag Placem_Collection'!G77="","",'Dry_Litterbag Placem_Collection'!G77)</f>
        <v>43006</v>
      </c>
      <c r="S150" s="194">
        <f>IFERROR(INDEX('Both teabags AfterDry'!$D$3:$D$2000,MATCH(H150,'Both teabags AfterDry'!$A$3:$A$2000,0)),"")</f>
        <v>1.9146000000000001</v>
      </c>
      <c r="T150" s="194">
        <f>IFERROR(INDEX('Both teabags AfterDry'!$D$3:$D$2000,MATCH(I150,'Both teabags AfterDry'!$A$3:$A$2000,0)),"")</f>
        <v>2.0405000000000002</v>
      </c>
      <c r="U150" s="194">
        <f t="shared" si="19"/>
        <v>1.764</v>
      </c>
      <c r="V150" s="194">
        <f t="shared" si="20"/>
        <v>1.8899000000000001</v>
      </c>
      <c r="W150" s="194">
        <f>IFERROR(INDEX('Ashed teabags dry'!$K$2:$K$2000,MATCH(H150,'Ashed teabags dry'!$A$2:$A$2000,0)),"")</f>
        <v>5.0223769269016794</v>
      </c>
      <c r="X150" s="194">
        <f>IFERROR(INDEX('Ashed teabags dry'!$K$2:$K$2000,MATCH(I150,'Ashed teabags dry'!$A$2:$A$2000,0)),"")</f>
        <v>3.2504780114727398</v>
      </c>
      <c r="Y150" s="194">
        <f t="shared" si="15"/>
        <v>1.6754052710094545</v>
      </c>
      <c r="Z150" s="194">
        <f t="shared" si="15"/>
        <v>1.8284692160611768</v>
      </c>
      <c r="AA150" s="194">
        <f t="shared" si="21"/>
        <v>1.9360306918795644E-2</v>
      </c>
      <c r="AB150" s="194">
        <f t="shared" si="22"/>
        <v>1.2692267718735375E-2</v>
      </c>
      <c r="AC150" s="194">
        <f t="shared" si="16"/>
        <v>0.91222839287692581</v>
      </c>
      <c r="AD150">
        <f t="shared" si="23"/>
        <v>69</v>
      </c>
      <c r="AE150" s="194">
        <f t="shared" si="24"/>
        <v>0.97700676137910258</v>
      </c>
      <c r="AF150" s="194" t="str">
        <f t="shared" si="25"/>
        <v/>
      </c>
      <c r="AG150" s="245" t="str">
        <f>IF(ISNUMBER(SEARCH("C", 'Dry_Litterbag Placem_Collection'!$T77)),"YES","NO")</f>
        <v>NO</v>
      </c>
      <c r="AH150" s="245" t="str">
        <f>IF(ISNUMBER(SEARCH("H", 'Dry_Litterbag Placem_Collection'!$T77)),"YES","NO")</f>
        <v>NO</v>
      </c>
      <c r="AI150" s="245" t="str">
        <f>IF(ISNUMBER(SEARCH("R", 'Dry_Litterbag Placem_Collection'!$T77)),"YES","NO")</f>
        <v>NO</v>
      </c>
      <c r="AJ150" s="245" t="str">
        <f>IF(ISNUMBER(SEARCH("C", 'Dry_Litterbag Placem_Collection'!$S77)),"YES","NO")</f>
        <v>NO</v>
      </c>
      <c r="AK150" s="245" t="str">
        <f>IF(ISNUMBER(SEARCH("H", 'Dry_Litterbag Placem_Collection'!$S77)),"YES","NO")</f>
        <v>YES</v>
      </c>
      <c r="AL150" s="245" t="str">
        <f>IF(ISNUMBER(SEARCH("R", 'Dry_Litterbag Placem_Collection'!$S77)),"YES","NO")</f>
        <v>NO</v>
      </c>
    </row>
    <row r="151" spans="2:38">
      <c r="B151" t="str">
        <f>Dryseason!B77</f>
        <v>Dry</v>
      </c>
      <c r="C151" s="253">
        <f>Dryseason!C77</f>
        <v>76</v>
      </c>
      <c r="D151" t="s">
        <v>3113</v>
      </c>
      <c r="E151" t="s">
        <v>22</v>
      </c>
      <c r="F151" s="375">
        <v>4</v>
      </c>
      <c r="G151" s="16">
        <f>IF('Dry_Litterbag Placem_Collection'!E78="","",'Dry_Litterbag Placem_Collection'!E78)</f>
        <v>42937</v>
      </c>
      <c r="H151" t="str">
        <f>Dryseason!L77</f>
        <v>G60</v>
      </c>
      <c r="I151" t="str">
        <f>Dryseason!L297</f>
        <v>R770</v>
      </c>
      <c r="J151">
        <f>IFERROR(INDEX('Green_rooibos initial weight'!$C$5:$C$2000,MATCH(H151, 'Green_rooibos initial weight'!$A$5:$A$2000,0)),"")</f>
        <v>2.1230000000000002</v>
      </c>
      <c r="K151">
        <f>IFERROR(INDEX('Green_rooibos initial weight'!$C$5:$C$2000,MATCH(I151, 'Green_rooibos initial weight'!$A$5:$A$2000,0)),"")</f>
        <v>2.206</v>
      </c>
      <c r="L151" s="194">
        <f t="shared" si="17"/>
        <v>1.8732000000000002</v>
      </c>
      <c r="M151" s="233">
        <f>AVERAGE(Ashed_controlls!$K$1:$K$11)</f>
        <v>5.5147656768714146</v>
      </c>
      <c r="N151" s="194">
        <f t="shared" si="13"/>
        <v>1.7698974093408448</v>
      </c>
      <c r="O151" s="194">
        <f t="shared" si="18"/>
        <v>1.9561999999999999</v>
      </c>
      <c r="P151" s="233">
        <f>AVERAGE(Ashed_controlls!$K$12:$K$14)</f>
        <v>2.2816647271287041</v>
      </c>
      <c r="Q151" s="194">
        <f t="shared" si="14"/>
        <v>1.9115660746079082</v>
      </c>
      <c r="R151" s="16">
        <f>IF('Dry_Litterbag Placem_Collection'!G78="","",'Dry_Litterbag Placem_Collection'!G78)</f>
        <v>43006</v>
      </c>
      <c r="S151" s="194">
        <f>IFERROR(INDEX('Both teabags AfterDry'!$D$3:$D$2000,MATCH(H151,'Both teabags AfterDry'!$A$3:$A$2000,0)),"")</f>
        <v>1.9540999999999999</v>
      </c>
      <c r="T151" s="194">
        <f>IFERROR(INDEX('Both teabags AfterDry'!$D$3:$D$2000,MATCH(I151,'Both teabags AfterDry'!$A$3:$A$2000,0)),"")</f>
        <v>1.9444999999999999</v>
      </c>
      <c r="U151" s="194">
        <f t="shared" si="19"/>
        <v>1.8034999999999999</v>
      </c>
      <c r="V151" s="194">
        <f t="shared" si="20"/>
        <v>1.7938999999999998</v>
      </c>
      <c r="W151" s="194">
        <f>IFERROR(INDEX('Ashed teabags dry'!$K$2:$K$2000,MATCH(H151,'Ashed teabags dry'!$A$2:$A$2000,0)),"")</f>
        <v>5.8748403575990409</v>
      </c>
      <c r="X151" s="194">
        <f>IFERROR(INDEX('Ashed teabags dry'!$K$2:$K$2000,MATCH(I151,'Ashed teabags dry'!$A$2:$A$2000,0)),"")</f>
        <v>2.8059990324146233</v>
      </c>
      <c r="Y151" s="194">
        <f t="shared" si="15"/>
        <v>1.6975472541507013</v>
      </c>
      <c r="Z151" s="194">
        <f t="shared" si="15"/>
        <v>1.7435631833575138</v>
      </c>
      <c r="AA151" s="194">
        <f t="shared" si="21"/>
        <v>4.0878163224776221E-2</v>
      </c>
      <c r="AB151" s="194">
        <f t="shared" si="22"/>
        <v>2.6798985867074195E-2</v>
      </c>
      <c r="AC151" s="194">
        <f t="shared" si="16"/>
        <v>0.91211243310809731</v>
      </c>
      <c r="AD151">
        <f t="shared" si="23"/>
        <v>69</v>
      </c>
      <c r="AE151" s="194">
        <f t="shared" si="24"/>
        <v>0.9514511125596482</v>
      </c>
      <c r="AF151" s="194" t="str">
        <f t="shared" si="25"/>
        <v/>
      </c>
      <c r="AG151" s="245" t="str">
        <f>IF(ISNUMBER(SEARCH("C", 'Dry_Litterbag Placem_Collection'!$T78)),"YES","NO")</f>
        <v>NO</v>
      </c>
      <c r="AH151" s="245" t="str">
        <f>IF(ISNUMBER(SEARCH("H", 'Dry_Litterbag Placem_Collection'!$T78)),"YES","NO")</f>
        <v>NO</v>
      </c>
      <c r="AI151" s="245" t="str">
        <f>IF(ISNUMBER(SEARCH("R", 'Dry_Litterbag Placem_Collection'!$T78)),"YES","NO")</f>
        <v>NO</v>
      </c>
      <c r="AJ151" s="245" t="str">
        <f>IF(ISNUMBER(SEARCH("C", 'Dry_Litterbag Placem_Collection'!$S78)),"YES","NO")</f>
        <v>NO</v>
      </c>
      <c r="AK151" s="245" t="str">
        <f>IF(ISNUMBER(SEARCH("H", 'Dry_Litterbag Placem_Collection'!$S78)),"YES","NO")</f>
        <v>NO</v>
      </c>
      <c r="AL151" s="245" t="str">
        <f>IF(ISNUMBER(SEARCH("R", 'Dry_Litterbag Placem_Collection'!$S78)),"YES","NO")</f>
        <v>NO</v>
      </c>
    </row>
    <row r="152" spans="2:38">
      <c r="B152" t="str">
        <f>Dryseason!B78</f>
        <v>Dry</v>
      </c>
      <c r="C152" s="253">
        <f>Dryseason!C78</f>
        <v>77</v>
      </c>
      <c r="D152" t="s">
        <v>3113</v>
      </c>
      <c r="E152" t="s">
        <v>22</v>
      </c>
      <c r="F152" s="375">
        <v>5</v>
      </c>
      <c r="G152" s="16" t="str">
        <f>IF('Dry_Litterbag Placem_Collection'!E79="","",'Dry_Litterbag Placem_Collection'!E79)</f>
        <v/>
      </c>
      <c r="H152" t="str">
        <f>Dryseason!L78</f>
        <v/>
      </c>
      <c r="I152" t="str">
        <f>Dryseason!L298</f>
        <v/>
      </c>
      <c r="J152" t="str">
        <f>IFERROR(INDEX('Green_rooibos initial weight'!$C$5:$C$2000,MATCH(H152, 'Green_rooibos initial weight'!$A$5:$A$2000,0)),"")</f>
        <v/>
      </c>
      <c r="K152" t="str">
        <f>IFERROR(INDEX('Green_rooibos initial weight'!$C$5:$C$2000,MATCH(I152, 'Green_rooibos initial weight'!$A$5:$A$2000,0)),"")</f>
        <v/>
      </c>
      <c r="L152" s="194" t="str">
        <f t="shared" si="17"/>
        <v/>
      </c>
      <c r="M152" s="233">
        <f>AVERAGE(Ashed_controlls!$K$1:$K$11)</f>
        <v>5.5147656768714146</v>
      </c>
      <c r="N152" s="194" t="str">
        <f t="shared" si="13"/>
        <v/>
      </c>
      <c r="O152" s="194" t="str">
        <f t="shared" si="18"/>
        <v/>
      </c>
      <c r="P152" s="233">
        <f>AVERAGE(Ashed_controlls!$K$12:$K$14)</f>
        <v>2.2816647271287041</v>
      </c>
      <c r="Q152" s="194" t="str">
        <f t="shared" si="14"/>
        <v/>
      </c>
      <c r="R152" s="16" t="str">
        <f>IF('Dry_Litterbag Placem_Collection'!G79="","",'Dry_Litterbag Placem_Collection'!G79)</f>
        <v/>
      </c>
      <c r="S152" s="194" t="str">
        <f>IFERROR(INDEX('Both teabags AfterDry'!$D$3:$D$2000,MATCH(H152,'Both teabags AfterDry'!$A$3:$A$2000,0)),"")</f>
        <v/>
      </c>
      <c r="T152" s="194" t="str">
        <f>IFERROR(INDEX('Both teabags AfterDry'!$D$3:$D$2000,MATCH(I152,'Both teabags AfterDry'!$A$3:$A$2000,0)),"")</f>
        <v/>
      </c>
      <c r="U152" s="194" t="str">
        <f t="shared" si="19"/>
        <v/>
      </c>
      <c r="V152" s="194" t="str">
        <f t="shared" si="20"/>
        <v/>
      </c>
      <c r="W152" s="194" t="str">
        <f>IFERROR(INDEX('Ashed teabags dry'!$K$2:$K$2000,MATCH(H152,'Ashed teabags dry'!$A$2:$A$2000,0)),"")</f>
        <v/>
      </c>
      <c r="X152" s="194" t="str">
        <f>IFERROR(INDEX('Ashed teabags dry'!$K$2:$K$2000,MATCH(I152,'Ashed teabags dry'!$A$2:$A$2000,0)),"")</f>
        <v/>
      </c>
      <c r="Y152" s="194" t="str">
        <f t="shared" si="15"/>
        <v/>
      </c>
      <c r="Z152" s="194" t="str">
        <f t="shared" si="15"/>
        <v/>
      </c>
      <c r="AA152" s="194" t="str">
        <f t="shared" si="21"/>
        <v/>
      </c>
      <c r="AB152" s="194" t="str">
        <f t="shared" si="22"/>
        <v/>
      </c>
      <c r="AC152" s="194" t="str">
        <f t="shared" si="16"/>
        <v/>
      </c>
      <c r="AD152" t="str">
        <f t="shared" si="23"/>
        <v/>
      </c>
      <c r="AE152" s="194" t="str">
        <f t="shared" si="24"/>
        <v/>
      </c>
      <c r="AF152" s="194" t="str">
        <f t="shared" si="25"/>
        <v/>
      </c>
      <c r="AG152" s="245" t="str">
        <f>IF(ISNUMBER(SEARCH("C", 'Dry_Litterbag Placem_Collection'!$T79)),"YES","NO")</f>
        <v>NO</v>
      </c>
      <c r="AH152" s="245" t="str">
        <f>IF(ISNUMBER(SEARCH("H", 'Dry_Litterbag Placem_Collection'!$T79)),"YES","NO")</f>
        <v>NO</v>
      </c>
      <c r="AI152" s="245" t="str">
        <f>IF(ISNUMBER(SEARCH("R", 'Dry_Litterbag Placem_Collection'!$T79)),"YES","NO")</f>
        <v>NO</v>
      </c>
      <c r="AJ152" s="245" t="str">
        <f>IF(ISNUMBER(SEARCH("C", 'Dry_Litterbag Placem_Collection'!$S79)),"YES","NO")</f>
        <v>NO</v>
      </c>
      <c r="AK152" s="245" t="str">
        <f>IF(ISNUMBER(SEARCH("H", 'Dry_Litterbag Placem_Collection'!$S79)),"YES","NO")</f>
        <v>NO</v>
      </c>
      <c r="AL152" s="245" t="str">
        <f>IF(ISNUMBER(SEARCH("R", 'Dry_Litterbag Placem_Collection'!$S79)),"YES","NO")</f>
        <v>NO</v>
      </c>
    </row>
    <row r="153" spans="2:38">
      <c r="B153" t="str">
        <f>Dryseason!B79</f>
        <v>Dry</v>
      </c>
      <c r="C153" s="253">
        <f>Dryseason!C79</f>
        <v>78</v>
      </c>
      <c r="D153" t="s">
        <v>3113</v>
      </c>
      <c r="E153" t="s">
        <v>22</v>
      </c>
      <c r="F153" s="375">
        <v>6</v>
      </c>
      <c r="G153" s="16">
        <f>IF('Dry_Litterbag Placem_Collection'!E80="","",'Dry_Litterbag Placem_Collection'!E80)</f>
        <v>42937</v>
      </c>
      <c r="H153" t="str">
        <f>Dryseason!L79</f>
        <v>G97</v>
      </c>
      <c r="I153" t="str">
        <f>Dryseason!L299</f>
        <v>R696</v>
      </c>
      <c r="J153">
        <f>IFERROR(INDEX('Green_rooibos initial weight'!$C$5:$C$2000,MATCH(H153, 'Green_rooibos initial weight'!$A$5:$A$2000,0)),"")</f>
        <v>2.0960000000000001</v>
      </c>
      <c r="K153">
        <f>IFERROR(INDEX('Green_rooibos initial weight'!$C$5:$C$2000,MATCH(I153, 'Green_rooibos initial weight'!$A$5:$A$2000,0)),"")</f>
        <v>2.1389999999999998</v>
      </c>
      <c r="L153" s="194">
        <f t="shared" si="17"/>
        <v>1.8462000000000001</v>
      </c>
      <c r="M153" s="233">
        <f>AVERAGE(Ashed_controlls!$K$1:$K$11)</f>
        <v>5.5147656768714146</v>
      </c>
      <c r="N153" s="194">
        <f t="shared" si="13"/>
        <v>1.7443863960735999</v>
      </c>
      <c r="O153" s="194">
        <f t="shared" si="18"/>
        <v>1.8891999999999998</v>
      </c>
      <c r="P153" s="233">
        <f>AVERAGE(Ashed_controlls!$K$12:$K$14)</f>
        <v>2.2816647271287041</v>
      </c>
      <c r="Q153" s="194">
        <f t="shared" si="14"/>
        <v>1.8460947899750844</v>
      </c>
      <c r="R153" s="16">
        <f>IF('Dry_Litterbag Placem_Collection'!G80="","",'Dry_Litterbag Placem_Collection'!G80)</f>
        <v>43006</v>
      </c>
      <c r="S153" s="194">
        <f>IFERROR(INDEX('Both teabags AfterDry'!$D$3:$D$2000,MATCH(H153,'Both teabags AfterDry'!$A$3:$A$2000,0)),"")</f>
        <v>1.7647999999999999</v>
      </c>
      <c r="T153" s="194">
        <f>IFERROR(INDEX('Both teabags AfterDry'!$D$3:$D$2000,MATCH(I153,'Both teabags AfterDry'!$A$3:$A$2000,0)),"")</f>
        <v>1.9605999999999999</v>
      </c>
      <c r="U153" s="194">
        <f t="shared" si="19"/>
        <v>1.6141999999999999</v>
      </c>
      <c r="V153" s="194">
        <f t="shared" si="20"/>
        <v>1.8099999999999998</v>
      </c>
      <c r="W153" s="194">
        <f>IFERROR(INDEX('Ashed teabags dry'!$K$2:$K$2000,MATCH(H153,'Ashed teabags dry'!$A$2:$A$2000,0)),"")</f>
        <v>5.6475170399223327</v>
      </c>
      <c r="X153" s="194">
        <f>IFERROR(INDEX('Ashed teabags dry'!$K$2:$K$2000,MATCH(I153,'Ashed teabags dry'!$A$2:$A$2000,0)),"")</f>
        <v>2.2848808945063115</v>
      </c>
      <c r="Y153" s="194">
        <f t="shared" si="15"/>
        <v>1.5230377799415735</v>
      </c>
      <c r="Z153" s="194">
        <f t="shared" si="15"/>
        <v>1.7686436558094356</v>
      </c>
      <c r="AA153" s="194">
        <f t="shared" si="21"/>
        <v>0.12689196420601245</v>
      </c>
      <c r="AB153" s="194">
        <f t="shared" si="22"/>
        <v>8.3188081047172097E-2</v>
      </c>
      <c r="AC153" s="194">
        <f t="shared" si="16"/>
        <v>0.95804596026908562</v>
      </c>
      <c r="AD153">
        <f t="shared" si="23"/>
        <v>69</v>
      </c>
      <c r="AE153" s="194">
        <f t="shared" si="24"/>
        <v>0.84929695462468824</v>
      </c>
      <c r="AF153" s="194">
        <f t="shared" si="25"/>
        <v>1.0171593046052297E-2</v>
      </c>
      <c r="AG153" s="245" t="str">
        <f>IF(ISNUMBER(SEARCH("C", 'Dry_Litterbag Placem_Collection'!$T80)),"YES","NO")</f>
        <v>NO</v>
      </c>
      <c r="AH153" s="245" t="str">
        <f>IF(ISNUMBER(SEARCH("H", 'Dry_Litterbag Placem_Collection'!$T80)),"YES","NO")</f>
        <v>YES</v>
      </c>
      <c r="AI153" s="245" t="str">
        <f>IF(ISNUMBER(SEARCH("R", 'Dry_Litterbag Placem_Collection'!$T80)),"YES","NO")</f>
        <v>NO</v>
      </c>
      <c r="AJ153" s="245" t="str">
        <f>IF(ISNUMBER(SEARCH("C", 'Dry_Litterbag Placem_Collection'!$S80)),"YES","NO")</f>
        <v>NO</v>
      </c>
      <c r="AK153" s="245" t="str">
        <f>IF(ISNUMBER(SEARCH("H", 'Dry_Litterbag Placem_Collection'!$S80)),"YES","NO")</f>
        <v>YES</v>
      </c>
      <c r="AL153" s="245" t="str">
        <f>IF(ISNUMBER(SEARCH("R", 'Dry_Litterbag Placem_Collection'!$S80)),"YES","NO")</f>
        <v>NO</v>
      </c>
    </row>
    <row r="154" spans="2:38">
      <c r="B154" t="str">
        <f>Dryseason!B80</f>
        <v>Dry</v>
      </c>
      <c r="C154" s="253">
        <f>Dryseason!C80</f>
        <v>79</v>
      </c>
      <c r="D154" t="s">
        <v>3113</v>
      </c>
      <c r="E154" t="s">
        <v>22</v>
      </c>
      <c r="F154" s="375">
        <v>7</v>
      </c>
      <c r="G154" s="16">
        <f>IF('Dry_Litterbag Placem_Collection'!E81="","",'Dry_Litterbag Placem_Collection'!E81)</f>
        <v>42937</v>
      </c>
      <c r="H154" t="str">
        <f>Dryseason!L80</f>
        <v>G130</v>
      </c>
      <c r="I154" t="str">
        <f>Dryseason!L300</f>
        <v>R270</v>
      </c>
      <c r="J154">
        <f>IFERROR(INDEX('Green_rooibos initial weight'!$C$5:$C$2000,MATCH(H154, 'Green_rooibos initial weight'!$A$5:$A$2000,0)),"")</f>
        <v>1.976</v>
      </c>
      <c r="K154">
        <f>IFERROR(INDEX('Green_rooibos initial weight'!$C$5:$C$2000,MATCH(I154, 'Green_rooibos initial weight'!$A$5:$A$2000,0)),"")</f>
        <v>2.2170000000000001</v>
      </c>
      <c r="L154" s="194">
        <f t="shared" si="17"/>
        <v>1.7262</v>
      </c>
      <c r="M154" s="233">
        <f>AVERAGE(Ashed_controlls!$K$1:$K$11)</f>
        <v>5.5147656768714146</v>
      </c>
      <c r="N154" s="194">
        <f t="shared" si="13"/>
        <v>1.6310041148858456</v>
      </c>
      <c r="O154" s="194">
        <f t="shared" si="18"/>
        <v>1.9672000000000001</v>
      </c>
      <c r="P154" s="233">
        <f>AVERAGE(Ashed_controlls!$K$12:$K$14)</f>
        <v>2.2816647271287041</v>
      </c>
      <c r="Q154" s="194">
        <f t="shared" si="14"/>
        <v>1.9223150914879241</v>
      </c>
      <c r="R154" s="16">
        <f>IF('Dry_Litterbag Placem_Collection'!G81="","",'Dry_Litterbag Placem_Collection'!G81)</f>
        <v>43006</v>
      </c>
      <c r="S154" s="194">
        <f>IFERROR(INDEX('Both teabags AfterDry'!$D$3:$D$2000,MATCH(H154,'Both teabags AfterDry'!$A$3:$A$2000,0)),"")</f>
        <v>1.8545</v>
      </c>
      <c r="T154" s="194">
        <f>IFERROR(INDEX('Both teabags AfterDry'!$D$3:$D$2000,MATCH(I154,'Both teabags AfterDry'!$A$3:$A$2000,0)),"")</f>
        <v>1.9970000000000001</v>
      </c>
      <c r="U154" s="194">
        <f t="shared" si="19"/>
        <v>1.7039</v>
      </c>
      <c r="V154" s="194">
        <f t="shared" si="20"/>
        <v>1.8464</v>
      </c>
      <c r="W154" s="194">
        <f>IFERROR(INDEX('Ashed teabags dry'!$K$2:$K$2000,MATCH(H154,'Ashed teabags dry'!$A$2:$A$2000,0)),"")</f>
        <v>5.8363970588233842</v>
      </c>
      <c r="X154" s="194">
        <f>IFERROR(INDEX('Ashed teabags dry'!$K$2:$K$2000,MATCH(I154,'Ashed teabags dry'!$A$2:$A$2000,0)),"")</f>
        <v>2.6437847866422564</v>
      </c>
      <c r="Y154" s="194">
        <f t="shared" si="15"/>
        <v>1.6044536305147084</v>
      </c>
      <c r="Z154" s="194">
        <f t="shared" si="15"/>
        <v>1.7975851576994375</v>
      </c>
      <c r="AA154" s="194">
        <f t="shared" si="21"/>
        <v>1.627861274463771E-2</v>
      </c>
      <c r="AB154" s="194">
        <f t="shared" si="22"/>
        <v>1.0671964649691232E-2</v>
      </c>
      <c r="AC154" s="194">
        <f t="shared" si="16"/>
        <v>0.93511472997283585</v>
      </c>
      <c r="AD154">
        <f t="shared" si="23"/>
        <v>69</v>
      </c>
      <c r="AE154" s="194">
        <f t="shared" si="24"/>
        <v>0.9806667307070811</v>
      </c>
      <c r="AF154" s="194" t="str">
        <f t="shared" si="25"/>
        <v/>
      </c>
      <c r="AG154" s="245" t="str">
        <f>IF(ISNUMBER(SEARCH("C", 'Dry_Litterbag Placem_Collection'!$T81)),"YES","NO")</f>
        <v>NO</v>
      </c>
      <c r="AH154" s="245" t="str">
        <f>IF(ISNUMBER(SEARCH("H", 'Dry_Litterbag Placem_Collection'!$T81)),"YES","NO")</f>
        <v>NO</v>
      </c>
      <c r="AI154" s="245" t="str">
        <f>IF(ISNUMBER(SEARCH("R", 'Dry_Litterbag Placem_Collection'!$T81)),"YES","NO")</f>
        <v>NO</v>
      </c>
      <c r="AJ154" s="245" t="str">
        <f>IF(ISNUMBER(SEARCH("C", 'Dry_Litterbag Placem_Collection'!$S81)),"YES","NO")</f>
        <v>NO</v>
      </c>
      <c r="AK154" s="245" t="str">
        <f>IF(ISNUMBER(SEARCH("H", 'Dry_Litterbag Placem_Collection'!$S81)),"YES","NO")</f>
        <v>NO</v>
      </c>
      <c r="AL154" s="245" t="str">
        <f>IF(ISNUMBER(SEARCH("R", 'Dry_Litterbag Placem_Collection'!$S81)),"YES","NO")</f>
        <v>NO</v>
      </c>
    </row>
    <row r="155" spans="2:38">
      <c r="B155" t="str">
        <f>Dryseason!B81</f>
        <v>Dry</v>
      </c>
      <c r="C155" s="253">
        <f>Dryseason!C81</f>
        <v>80</v>
      </c>
      <c r="D155" t="s">
        <v>3113</v>
      </c>
      <c r="E155" t="s">
        <v>22</v>
      </c>
      <c r="F155" s="375">
        <v>8</v>
      </c>
      <c r="G155" s="16">
        <f>IF('Dry_Litterbag Placem_Collection'!E82="","",'Dry_Litterbag Placem_Collection'!E82)</f>
        <v>42937</v>
      </c>
      <c r="H155" t="str">
        <f>Dryseason!L81</f>
        <v>G24</v>
      </c>
      <c r="I155" t="str">
        <f>Dryseason!L301</f>
        <v>R726</v>
      </c>
      <c r="J155">
        <f>IFERROR(INDEX('Green_rooibos initial weight'!$C$5:$C$2000,MATCH(H155, 'Green_rooibos initial weight'!$A$5:$A$2000,0)),"")</f>
        <v>2.09</v>
      </c>
      <c r="K155">
        <f>IFERROR(INDEX('Green_rooibos initial weight'!$C$5:$C$2000,MATCH(I155, 'Green_rooibos initial weight'!$A$5:$A$2000,0)),"")</f>
        <v>2.2810000000000001</v>
      </c>
      <c r="L155" s="194">
        <f t="shared" si="17"/>
        <v>1.8401999999999998</v>
      </c>
      <c r="M155" s="233">
        <f>AVERAGE(Ashed_controlls!$K$1:$K$11)</f>
        <v>5.5147656768714146</v>
      </c>
      <c r="N155" s="194">
        <f t="shared" si="13"/>
        <v>1.7387172820142121</v>
      </c>
      <c r="O155" s="194">
        <f t="shared" si="18"/>
        <v>2.0312000000000001</v>
      </c>
      <c r="P155" s="233">
        <f>AVERAGE(Ashed_controlls!$K$12:$K$14)</f>
        <v>2.2816647271287041</v>
      </c>
      <c r="Q155" s="194">
        <f t="shared" si="14"/>
        <v>1.9848548260625618</v>
      </c>
      <c r="R155" s="16">
        <f>IF('Dry_Litterbag Placem_Collection'!G82="","",'Dry_Litterbag Placem_Collection'!G82)</f>
        <v>43006</v>
      </c>
      <c r="S155" s="194">
        <f>IFERROR(INDEX('Both teabags AfterDry'!$D$3:$D$2000,MATCH(H155,'Both teabags AfterDry'!$A$3:$A$2000,0)),"")</f>
        <v>1.9084000000000001</v>
      </c>
      <c r="T155" s="194">
        <f>IFERROR(INDEX('Both teabags AfterDry'!$D$3:$D$2000,MATCH(I155,'Both teabags AfterDry'!$A$3:$A$2000,0)),"")</f>
        <v>1.9471000000000001</v>
      </c>
      <c r="U155" s="194">
        <f t="shared" si="19"/>
        <v>1.7578</v>
      </c>
      <c r="V155" s="194">
        <f t="shared" si="20"/>
        <v>1.7965</v>
      </c>
      <c r="W155" s="194">
        <f>IFERROR(INDEX('Ashed teabags dry'!$K$2:$K$2000,MATCH(H155,'Ashed teabags dry'!$A$2:$A$2000,0)),"")</f>
        <v>5.4078826764434664</v>
      </c>
      <c r="X155" s="194">
        <f>IFERROR(INDEX('Ashed teabags dry'!$K$2:$K$2000,MATCH(I155,'Ashed teabags dry'!$A$2:$A$2000,0)),"")</f>
        <v>2.8653295128930178</v>
      </c>
      <c r="Y155" s="194">
        <f t="shared" si="15"/>
        <v>1.6627402383134768</v>
      </c>
      <c r="Z155" s="194">
        <f t="shared" si="15"/>
        <v>1.7450243553008769</v>
      </c>
      <c r="AA155" s="194">
        <f t="shared" si="21"/>
        <v>4.3697180954410109E-2</v>
      </c>
      <c r="AB155" s="194">
        <f t="shared" si="22"/>
        <v>2.8647083000990968E-2</v>
      </c>
      <c r="AC155" s="194">
        <f t="shared" si="16"/>
        <v>0.87916976717262163</v>
      </c>
      <c r="AD155">
        <f t="shared" si="23"/>
        <v>69</v>
      </c>
      <c r="AE155" s="194">
        <f t="shared" si="24"/>
        <v>0.94810311050545115</v>
      </c>
      <c r="AF155" s="194" t="str">
        <f t="shared" si="25"/>
        <v/>
      </c>
      <c r="AG155" s="245" t="str">
        <f>IF(ISNUMBER(SEARCH("C", 'Dry_Litterbag Placem_Collection'!$T82)),"YES","NO")</f>
        <v>NO</v>
      </c>
      <c r="AH155" s="245" t="str">
        <f>IF(ISNUMBER(SEARCH("H", 'Dry_Litterbag Placem_Collection'!$T82)),"YES","NO")</f>
        <v>NO</v>
      </c>
      <c r="AI155" s="245" t="str">
        <f>IF(ISNUMBER(SEARCH("R", 'Dry_Litterbag Placem_Collection'!$T82)),"YES","NO")</f>
        <v>NO</v>
      </c>
      <c r="AJ155" s="245" t="str">
        <f>IF(ISNUMBER(SEARCH("C", 'Dry_Litterbag Placem_Collection'!$S82)),"YES","NO")</f>
        <v>NO</v>
      </c>
      <c r="AK155" s="245" t="str">
        <f>IF(ISNUMBER(SEARCH("H", 'Dry_Litterbag Placem_Collection'!$S82)),"YES","NO")</f>
        <v>NO</v>
      </c>
      <c r="AL155" s="245" t="str">
        <f>IF(ISNUMBER(SEARCH("R", 'Dry_Litterbag Placem_Collection'!$S82)),"YES","NO")</f>
        <v>NO</v>
      </c>
    </row>
    <row r="156" spans="2:38">
      <c r="B156" t="str">
        <f>Dryseason!B82</f>
        <v>Dry</v>
      </c>
      <c r="C156" s="253">
        <f>Dryseason!C82</f>
        <v>81</v>
      </c>
      <c r="D156" t="s">
        <v>3114</v>
      </c>
      <c r="E156" t="s">
        <v>22</v>
      </c>
      <c r="F156" s="374">
        <v>1</v>
      </c>
      <c r="G156" s="16">
        <f>IF('Dry_Litterbag Placem_Collection'!E83="","",'Dry_Litterbag Placem_Collection'!E83)</f>
        <v>42937</v>
      </c>
      <c r="H156" t="str">
        <f>Dryseason!L82</f>
        <v>G312</v>
      </c>
      <c r="I156" t="str">
        <f>Dryseason!L302</f>
        <v>R739</v>
      </c>
      <c r="J156">
        <f>IFERROR(INDEX('Green_rooibos initial weight'!$C$5:$C$2000,MATCH(H156, 'Green_rooibos initial weight'!$A$5:$A$2000,0)),"")</f>
        <v>2.0179999999999998</v>
      </c>
      <c r="K156">
        <f>IFERROR(INDEX('Green_rooibos initial weight'!$C$5:$C$2000,MATCH(I156, 'Green_rooibos initial weight'!$A$5:$A$2000,0)),"")</f>
        <v>2.222</v>
      </c>
      <c r="L156" s="194">
        <f t="shared" si="17"/>
        <v>1.7681999999999998</v>
      </c>
      <c r="M156" s="233">
        <f>AVERAGE(Ashed_controlls!$K$1:$K$11)</f>
        <v>5.5147656768714146</v>
      </c>
      <c r="N156" s="194">
        <f t="shared" si="13"/>
        <v>1.6706879133015595</v>
      </c>
      <c r="O156" s="194">
        <f t="shared" si="18"/>
        <v>1.9722</v>
      </c>
      <c r="P156" s="233">
        <f>AVERAGE(Ashed_controlls!$K$12:$K$14)</f>
        <v>2.2816647271287041</v>
      </c>
      <c r="Q156" s="194">
        <f t="shared" si="14"/>
        <v>1.9272010082515676</v>
      </c>
      <c r="R156" s="16">
        <f>IF('Dry_Litterbag Placem_Collection'!G83="","",'Dry_Litterbag Placem_Collection'!G83)</f>
        <v>43006</v>
      </c>
      <c r="S156" s="194">
        <f>IFERROR(INDEX('Both teabags AfterDry'!$D$3:$D$2000,MATCH(H156,'Both teabags AfterDry'!$A$3:$A$2000,0)),"")</f>
        <v>1.7978000000000001</v>
      </c>
      <c r="T156" s="194">
        <f>IFERROR(INDEX('Both teabags AfterDry'!$D$3:$D$2000,MATCH(I156,'Both teabags AfterDry'!$A$3:$A$2000,0)),"")</f>
        <v>1.9457</v>
      </c>
      <c r="U156" s="194">
        <f t="shared" si="19"/>
        <v>1.6472</v>
      </c>
      <c r="V156" s="194">
        <f t="shared" si="20"/>
        <v>1.7950999999999999</v>
      </c>
      <c r="W156" s="194">
        <f>IFERROR(INDEX('Ashed teabags dry'!$K$2:$K$2000,MATCH(H156,'Ashed teabags dry'!$A$2:$A$2000,0)),"")</f>
        <v>5.5148853099064077</v>
      </c>
      <c r="X156" s="194">
        <f>IFERROR(INDEX('Ashed teabags dry'!$K$2:$K$2000,MATCH(I156,'Ashed teabags dry'!$A$2:$A$2000,0)),"")</f>
        <v>2.6627218934911183</v>
      </c>
      <c r="Y156" s="194">
        <f t="shared" si="15"/>
        <v>1.5563588091752216</v>
      </c>
      <c r="Z156" s="194">
        <f t="shared" si="15"/>
        <v>1.7473014792899408</v>
      </c>
      <c r="AA156" s="194">
        <f t="shared" si="21"/>
        <v>6.8432352455584877E-2</v>
      </c>
      <c r="AB156" s="194">
        <f t="shared" si="22"/>
        <v>4.486301491149982E-2</v>
      </c>
      <c r="AC156" s="194">
        <f t="shared" si="16"/>
        <v>0.90665243106901516</v>
      </c>
      <c r="AD156">
        <f t="shared" si="23"/>
        <v>69</v>
      </c>
      <c r="AE156" s="194">
        <f t="shared" si="24"/>
        <v>0.9187264222617757</v>
      </c>
      <c r="AF156" s="194" t="str">
        <f t="shared" si="25"/>
        <v/>
      </c>
      <c r="AG156" s="245" t="str">
        <f>IF(ISNUMBER(SEARCH("C", 'Dry_Litterbag Placem_Collection'!$T83)),"YES","NO")</f>
        <v>NO</v>
      </c>
      <c r="AH156" s="245" t="str">
        <f>IF(ISNUMBER(SEARCH("H", 'Dry_Litterbag Placem_Collection'!$T83)),"YES","NO")</f>
        <v>NO</v>
      </c>
      <c r="AI156" s="245" t="str">
        <f>IF(ISNUMBER(SEARCH("R", 'Dry_Litterbag Placem_Collection'!$T83)),"YES","NO")</f>
        <v>NO</v>
      </c>
      <c r="AJ156" s="245" t="str">
        <f>IF(ISNUMBER(SEARCH("C", 'Dry_Litterbag Placem_Collection'!$S83)),"YES","NO")</f>
        <v>NO</v>
      </c>
      <c r="AK156" s="245" t="str">
        <f>IF(ISNUMBER(SEARCH("H", 'Dry_Litterbag Placem_Collection'!$S83)),"YES","NO")</f>
        <v>NO</v>
      </c>
      <c r="AL156" s="245" t="str">
        <f>IF(ISNUMBER(SEARCH("R", 'Dry_Litterbag Placem_Collection'!$S83)),"YES","NO")</f>
        <v>NO</v>
      </c>
    </row>
    <row r="157" spans="2:38">
      <c r="B157" t="str">
        <f>Dryseason!B83</f>
        <v>Dry</v>
      </c>
      <c r="C157" s="253">
        <f>Dryseason!C83</f>
        <v>82</v>
      </c>
      <c r="D157" t="s">
        <v>3114</v>
      </c>
      <c r="E157" t="s">
        <v>22</v>
      </c>
      <c r="F157" s="374">
        <v>2</v>
      </c>
      <c r="G157" s="16">
        <f>IF('Dry_Litterbag Placem_Collection'!E84="","",'Dry_Litterbag Placem_Collection'!E84)</f>
        <v>42937</v>
      </c>
      <c r="H157" t="str">
        <f>Dryseason!L83</f>
        <v>G356</v>
      </c>
      <c r="I157" t="str">
        <f>Dryseason!L303</f>
        <v>R800</v>
      </c>
      <c r="J157">
        <f>IFERROR(INDEX('Green_rooibos initial weight'!$C$5:$C$2000,MATCH(H157, 'Green_rooibos initial weight'!$A$5:$A$2000,0)),"")</f>
        <v>1.9870000000000001</v>
      </c>
      <c r="K157">
        <f>IFERROR(INDEX('Green_rooibos initial weight'!$C$5:$C$2000,MATCH(I157, 'Green_rooibos initial weight'!$A$5:$A$2000,0)),"")</f>
        <v>2.1579999999999999</v>
      </c>
      <c r="L157" s="194">
        <f t="shared" si="17"/>
        <v>1.7372000000000001</v>
      </c>
      <c r="M157" s="233">
        <f>AVERAGE(Ashed_controlls!$K$1:$K$11)</f>
        <v>5.5147656768714146</v>
      </c>
      <c r="N157" s="194">
        <f t="shared" si="13"/>
        <v>1.64139749066139</v>
      </c>
      <c r="O157" s="194">
        <f t="shared" si="18"/>
        <v>1.9081999999999999</v>
      </c>
      <c r="P157" s="233">
        <f>AVERAGE(Ashed_controlls!$K$12:$K$14)</f>
        <v>2.2816647271287041</v>
      </c>
      <c r="Q157" s="194">
        <f t="shared" si="14"/>
        <v>1.8646612736769299</v>
      </c>
      <c r="R157" s="16">
        <f>IF('Dry_Litterbag Placem_Collection'!G84="","",'Dry_Litterbag Placem_Collection'!G84)</f>
        <v>43006</v>
      </c>
      <c r="S157" s="194">
        <f>IFERROR(INDEX('Both teabags AfterDry'!$D$3:$D$2000,MATCH(H157,'Both teabags AfterDry'!$A$3:$A$2000,0)),"")</f>
        <v>1.7767999999999999</v>
      </c>
      <c r="T157" s="194">
        <f>IFERROR(INDEX('Both teabags AfterDry'!$D$3:$D$2000,MATCH(I157,'Both teabags AfterDry'!$A$3:$A$2000,0)),"")</f>
        <v>1.8712</v>
      </c>
      <c r="U157" s="194">
        <f t="shared" si="19"/>
        <v>1.6261999999999999</v>
      </c>
      <c r="V157" s="194">
        <f t="shared" si="20"/>
        <v>1.7205999999999999</v>
      </c>
      <c r="W157" s="194">
        <f>IFERROR(INDEX('Ashed teabags dry'!$K$2:$K$2000,MATCH(H157,'Ashed teabags dry'!$A$2:$A$2000,0)),"")</f>
        <v>5.2706552706550589</v>
      </c>
      <c r="X157" s="194">
        <f>IFERROR(INDEX('Ashed teabags dry'!$K$2:$K$2000,MATCH(I157,'Ashed teabags dry'!$A$2:$A$2000,0)),"")</f>
        <v>2.8725314183131179</v>
      </c>
      <c r="Y157" s="194">
        <f t="shared" si="15"/>
        <v>1.5404886039886074</v>
      </c>
      <c r="Z157" s="194">
        <f t="shared" si="15"/>
        <v>1.6711752244165043</v>
      </c>
      <c r="AA157" s="194">
        <f t="shared" si="21"/>
        <v>6.1477422286128847E-2</v>
      </c>
      <c r="AB157" s="194">
        <f t="shared" si="22"/>
        <v>4.0303488244588029E-2</v>
      </c>
      <c r="AC157" s="194">
        <f t="shared" si="16"/>
        <v>0.89623528305551714</v>
      </c>
      <c r="AD157">
        <f t="shared" si="23"/>
        <v>69</v>
      </c>
      <c r="AE157" s="194">
        <f t="shared" si="24"/>
        <v>0.92698643433951444</v>
      </c>
      <c r="AF157" s="194" t="str">
        <f t="shared" si="25"/>
        <v/>
      </c>
      <c r="AG157" s="245" t="str">
        <f>IF(ISNUMBER(SEARCH("C", 'Dry_Litterbag Placem_Collection'!$T84)),"YES","NO")</f>
        <v>NO</v>
      </c>
      <c r="AH157" s="245" t="str">
        <f>IF(ISNUMBER(SEARCH("H", 'Dry_Litterbag Placem_Collection'!$T84)),"YES","NO")</f>
        <v>NO</v>
      </c>
      <c r="AI157" s="245" t="str">
        <f>IF(ISNUMBER(SEARCH("R", 'Dry_Litterbag Placem_Collection'!$T84)),"YES","NO")</f>
        <v>NO</v>
      </c>
      <c r="AJ157" s="245" t="str">
        <f>IF(ISNUMBER(SEARCH("C", 'Dry_Litterbag Placem_Collection'!$S84)),"YES","NO")</f>
        <v>NO</v>
      </c>
      <c r="AK157" s="245" t="str">
        <f>IF(ISNUMBER(SEARCH("H", 'Dry_Litterbag Placem_Collection'!$S84)),"YES","NO")</f>
        <v>NO</v>
      </c>
      <c r="AL157" s="245" t="str">
        <f>IF(ISNUMBER(SEARCH("R", 'Dry_Litterbag Placem_Collection'!$S84)),"YES","NO")</f>
        <v>NO</v>
      </c>
    </row>
    <row r="158" spans="2:38">
      <c r="B158" t="str">
        <f>Dryseason!B84</f>
        <v>Dry</v>
      </c>
      <c r="C158" s="253">
        <f>Dryseason!C84</f>
        <v>83</v>
      </c>
      <c r="D158" t="s">
        <v>3114</v>
      </c>
      <c r="E158" t="s">
        <v>22</v>
      </c>
      <c r="F158" s="374">
        <v>3</v>
      </c>
      <c r="G158" s="16">
        <f>IF('Dry_Litterbag Placem_Collection'!E85="","",'Dry_Litterbag Placem_Collection'!E85)</f>
        <v>42937</v>
      </c>
      <c r="H158" t="str">
        <f>Dryseason!L84</f>
        <v>G331</v>
      </c>
      <c r="I158" t="str">
        <f>Dryseason!L304</f>
        <v>R764</v>
      </c>
      <c r="J158">
        <f>IFERROR(INDEX('Green_rooibos initial weight'!$C$5:$C$2000,MATCH(H158, 'Green_rooibos initial weight'!$A$5:$A$2000,0)),"")</f>
        <v>2.0550000000000002</v>
      </c>
      <c r="K158">
        <f>IFERROR(INDEX('Green_rooibos initial weight'!$C$5:$C$2000,MATCH(I158, 'Green_rooibos initial weight'!$A$5:$A$2000,0)),"")</f>
        <v>2.2160000000000002</v>
      </c>
      <c r="L158" s="194">
        <f t="shared" si="17"/>
        <v>1.8052000000000001</v>
      </c>
      <c r="M158" s="233">
        <f>AVERAGE(Ashed_controlls!$K$1:$K$11)</f>
        <v>5.5147656768714146</v>
      </c>
      <c r="N158" s="194">
        <f t="shared" si="13"/>
        <v>1.7056474500011174</v>
      </c>
      <c r="O158" s="194">
        <f t="shared" si="18"/>
        <v>1.9662000000000002</v>
      </c>
      <c r="P158" s="233">
        <f>AVERAGE(Ashed_controlls!$K$12:$K$14)</f>
        <v>2.2816647271287041</v>
      </c>
      <c r="Q158" s="194">
        <f t="shared" si="14"/>
        <v>1.9213379081351956</v>
      </c>
      <c r="R158" s="16">
        <f>IF('Dry_Litterbag Placem_Collection'!G85="","",'Dry_Litterbag Placem_Collection'!G85)</f>
        <v>43006</v>
      </c>
      <c r="S158" s="194">
        <f>IFERROR(INDEX('Both teabags AfterDry'!$D$3:$D$2000,MATCH(H158,'Both teabags AfterDry'!$A$3:$A$2000,0)),"")</f>
        <v>1.8354999999999999</v>
      </c>
      <c r="T158" s="194">
        <f>IFERROR(INDEX('Both teabags AfterDry'!$D$3:$D$2000,MATCH(I158,'Both teabags AfterDry'!$A$3:$A$2000,0)),"")</f>
        <v>1.9178999999999999</v>
      </c>
      <c r="U158" s="194">
        <f t="shared" si="19"/>
        <v>1.6848999999999998</v>
      </c>
      <c r="V158" s="194">
        <f t="shared" si="20"/>
        <v>1.7672999999999999</v>
      </c>
      <c r="W158" s="194">
        <f>IFERROR(INDEX('Ashed teabags dry'!$K$2:$K$2000,MATCH(H158,'Ashed teabags dry'!$A$2:$A$2000,0)),"")</f>
        <v>5.6902523503216829</v>
      </c>
      <c r="X158" s="194">
        <f>IFERROR(INDEX('Ashed teabags dry'!$K$2:$K$2000,MATCH(I158,'Ashed teabags dry'!$A$2:$A$2000,0)),"")</f>
        <v>2.3591718825229306</v>
      </c>
      <c r="Y158" s="194">
        <f t="shared" si="15"/>
        <v>1.5890249381494299</v>
      </c>
      <c r="Z158" s="194">
        <f t="shared" si="15"/>
        <v>1.7256063553201721</v>
      </c>
      <c r="AA158" s="194">
        <f t="shared" si="21"/>
        <v>6.8374336004554226E-2</v>
      </c>
      <c r="AB158" s="194">
        <f t="shared" si="22"/>
        <v>4.4824980373532018E-2</v>
      </c>
      <c r="AC158" s="194">
        <f t="shared" si="16"/>
        <v>0.89812747045365082</v>
      </c>
      <c r="AD158">
        <f t="shared" si="23"/>
        <v>69</v>
      </c>
      <c r="AE158" s="194">
        <f t="shared" si="24"/>
        <v>0.91879532541026809</v>
      </c>
      <c r="AF158" s="194" t="str">
        <f t="shared" si="25"/>
        <v/>
      </c>
      <c r="AG158" s="245" t="str">
        <f>IF(ISNUMBER(SEARCH("C", 'Dry_Litterbag Placem_Collection'!$T85)),"YES","NO")</f>
        <v>NO</v>
      </c>
      <c r="AH158" s="245" t="str">
        <f>IF(ISNUMBER(SEARCH("H", 'Dry_Litterbag Placem_Collection'!$T85)),"YES","NO")</f>
        <v>NO</v>
      </c>
      <c r="AI158" s="245" t="str">
        <f>IF(ISNUMBER(SEARCH("R", 'Dry_Litterbag Placem_Collection'!$T85)),"YES","NO")</f>
        <v>NO</v>
      </c>
      <c r="AJ158" s="245" t="str">
        <f>IF(ISNUMBER(SEARCH("C", 'Dry_Litterbag Placem_Collection'!$S85)),"YES","NO")</f>
        <v>NO</v>
      </c>
      <c r="AK158" s="245" t="str">
        <f>IF(ISNUMBER(SEARCH("H", 'Dry_Litterbag Placem_Collection'!$S85)),"YES","NO")</f>
        <v>YES</v>
      </c>
      <c r="AL158" s="245" t="str">
        <f>IF(ISNUMBER(SEARCH("R", 'Dry_Litterbag Placem_Collection'!$S85)),"YES","NO")</f>
        <v>NO</v>
      </c>
    </row>
    <row r="159" spans="2:38">
      <c r="B159" t="str">
        <f>Dryseason!B85</f>
        <v>Dry</v>
      </c>
      <c r="C159" s="253">
        <f>Dryseason!C85</f>
        <v>84</v>
      </c>
      <c r="D159" t="s">
        <v>3114</v>
      </c>
      <c r="E159" t="s">
        <v>22</v>
      </c>
      <c r="F159" s="375">
        <v>4</v>
      </c>
      <c r="G159" s="16">
        <f>IF('Dry_Litterbag Placem_Collection'!E86="","",'Dry_Litterbag Placem_Collection'!E86)</f>
        <v>42937</v>
      </c>
      <c r="H159" t="str">
        <f>Dryseason!L85</f>
        <v>G101</v>
      </c>
      <c r="I159" t="str">
        <f>Dryseason!L305</f>
        <v>R778</v>
      </c>
      <c r="J159">
        <f>IFERROR(INDEX('Green_rooibos initial weight'!$C$5:$C$2000,MATCH(H159, 'Green_rooibos initial weight'!$A$5:$A$2000,0)),"")</f>
        <v>2.173</v>
      </c>
      <c r="K159">
        <f>IFERROR(INDEX('Green_rooibos initial weight'!$C$5:$C$2000,MATCH(I159, 'Green_rooibos initial weight'!$A$5:$A$2000,0)),"")</f>
        <v>2.2450000000000001</v>
      </c>
      <c r="L159" s="194">
        <f t="shared" si="17"/>
        <v>1.9232</v>
      </c>
      <c r="M159" s="233">
        <f>AVERAGE(Ashed_controlls!$K$1:$K$11)</f>
        <v>5.5147656768714146</v>
      </c>
      <c r="N159" s="194">
        <f t="shared" si="13"/>
        <v>1.8171400265024089</v>
      </c>
      <c r="O159" s="194">
        <f t="shared" si="18"/>
        <v>1.9952000000000001</v>
      </c>
      <c r="P159" s="233">
        <f>AVERAGE(Ashed_controlls!$K$12:$K$14)</f>
        <v>2.2816647271287041</v>
      </c>
      <c r="Q159" s="194">
        <f t="shared" si="14"/>
        <v>1.9496762253643283</v>
      </c>
      <c r="R159" s="16">
        <f>IF('Dry_Litterbag Placem_Collection'!G86="","",'Dry_Litterbag Placem_Collection'!G86)</f>
        <v>43006</v>
      </c>
      <c r="S159" s="194">
        <f>IFERROR(INDEX('Both teabags AfterDry'!$D$3:$D$2000,MATCH(H159,'Both teabags AfterDry'!$A$3:$A$2000,0)),"")</f>
        <v>1.9434</v>
      </c>
      <c r="T159" s="194">
        <f>IFERROR(INDEX('Both teabags AfterDry'!$D$3:$D$2000,MATCH(I159,'Both teabags AfterDry'!$A$3:$A$2000,0)),"")</f>
        <v>1.9495</v>
      </c>
      <c r="U159" s="194">
        <f t="shared" si="19"/>
        <v>1.7927999999999999</v>
      </c>
      <c r="V159" s="194">
        <f t="shared" si="20"/>
        <v>1.7988999999999999</v>
      </c>
      <c r="W159" s="194">
        <f>IFERROR(INDEX('Ashed teabags dry'!$K$2:$K$2000,MATCH(H159,'Ashed teabags dry'!$A$2:$A$2000,0)),"")</f>
        <v>5.5508112724168974</v>
      </c>
      <c r="X159" s="194">
        <f>IFERROR(INDEX('Ashed teabags dry'!$K$2:$K$2000,MATCH(I159,'Ashed teabags dry'!$A$2:$A$2000,0)),"")</f>
        <v>2.5398406374508733</v>
      </c>
      <c r="Y159" s="194">
        <f t="shared" si="15"/>
        <v>1.6932850555081098</v>
      </c>
      <c r="Z159" s="194">
        <f t="shared" si="15"/>
        <v>1.7532108067728962</v>
      </c>
      <c r="AA159" s="194">
        <f t="shared" si="21"/>
        <v>6.8159288325563172E-2</v>
      </c>
      <c r="AB159" s="194">
        <f t="shared" si="22"/>
        <v>4.468399899728133E-2</v>
      </c>
      <c r="AC159" s="194">
        <f t="shared" si="16"/>
        <v>0.89923177190370707</v>
      </c>
      <c r="AD159">
        <f t="shared" si="23"/>
        <v>69</v>
      </c>
      <c r="AE159" s="194">
        <f t="shared" si="24"/>
        <v>0.9190507264542005</v>
      </c>
      <c r="AF159" s="194" t="str">
        <f t="shared" si="25"/>
        <v/>
      </c>
      <c r="AG159" s="245" t="str">
        <f>IF(ISNUMBER(SEARCH("C", 'Dry_Litterbag Placem_Collection'!$T86)),"YES","NO")</f>
        <v>NO</v>
      </c>
      <c r="AH159" s="245" t="str">
        <f>IF(ISNUMBER(SEARCH("H", 'Dry_Litterbag Placem_Collection'!$T86)),"YES","NO")</f>
        <v>NO</v>
      </c>
      <c r="AI159" s="245" t="str">
        <f>IF(ISNUMBER(SEARCH("R", 'Dry_Litterbag Placem_Collection'!$T86)),"YES","NO")</f>
        <v>NO</v>
      </c>
      <c r="AJ159" s="245" t="str">
        <f>IF(ISNUMBER(SEARCH("C", 'Dry_Litterbag Placem_Collection'!$S86)),"YES","NO")</f>
        <v>NO</v>
      </c>
      <c r="AK159" s="245" t="str">
        <f>IF(ISNUMBER(SEARCH("H", 'Dry_Litterbag Placem_Collection'!$S86)),"YES","NO")</f>
        <v>YES</v>
      </c>
      <c r="AL159" s="245" t="str">
        <f>IF(ISNUMBER(SEARCH("R", 'Dry_Litterbag Placem_Collection'!$S86)),"YES","NO")</f>
        <v>NO</v>
      </c>
    </row>
    <row r="160" spans="2:38">
      <c r="B160" t="str">
        <f>Dryseason!B86</f>
        <v>Dry</v>
      </c>
      <c r="C160" s="253">
        <f>Dryseason!C86</f>
        <v>85</v>
      </c>
      <c r="D160" t="s">
        <v>3114</v>
      </c>
      <c r="E160" t="s">
        <v>22</v>
      </c>
      <c r="F160" s="375">
        <v>5</v>
      </c>
      <c r="G160" s="16" t="str">
        <f>IF('Dry_Litterbag Placem_Collection'!E87="","",'Dry_Litterbag Placem_Collection'!E87)</f>
        <v/>
      </c>
      <c r="H160" t="str">
        <f>Dryseason!L86</f>
        <v/>
      </c>
      <c r="I160" t="str">
        <f>Dryseason!L306</f>
        <v/>
      </c>
      <c r="J160" t="str">
        <f>IFERROR(INDEX('Green_rooibos initial weight'!$C$5:$C$2000,MATCH(H160, 'Green_rooibos initial weight'!$A$5:$A$2000,0)),"")</f>
        <v/>
      </c>
      <c r="K160" t="str">
        <f>IFERROR(INDEX('Green_rooibos initial weight'!$C$5:$C$2000,MATCH(I160, 'Green_rooibos initial weight'!$A$5:$A$2000,0)),"")</f>
        <v/>
      </c>
      <c r="L160" s="194" t="str">
        <f t="shared" si="17"/>
        <v/>
      </c>
      <c r="M160" s="233">
        <f>AVERAGE(Ashed_controlls!$K$1:$K$11)</f>
        <v>5.5147656768714146</v>
      </c>
      <c r="N160" s="194" t="str">
        <f t="shared" si="13"/>
        <v/>
      </c>
      <c r="O160" s="194" t="str">
        <f t="shared" si="18"/>
        <v/>
      </c>
      <c r="P160" s="233">
        <f>AVERAGE(Ashed_controlls!$K$12:$K$14)</f>
        <v>2.2816647271287041</v>
      </c>
      <c r="Q160" s="194" t="str">
        <f t="shared" si="14"/>
        <v/>
      </c>
      <c r="R160" s="16" t="str">
        <f>IF('Dry_Litterbag Placem_Collection'!G87="","",'Dry_Litterbag Placem_Collection'!G87)</f>
        <v/>
      </c>
      <c r="S160" s="194" t="str">
        <f>IFERROR(INDEX('Both teabags AfterDry'!$D$3:$D$2000,MATCH(H160,'Both teabags AfterDry'!$A$3:$A$2000,0)),"")</f>
        <v/>
      </c>
      <c r="T160" s="194" t="str">
        <f>IFERROR(INDEX('Both teabags AfterDry'!$D$3:$D$2000,MATCH(I160,'Both teabags AfterDry'!$A$3:$A$2000,0)),"")</f>
        <v/>
      </c>
      <c r="U160" s="194" t="str">
        <f t="shared" si="19"/>
        <v/>
      </c>
      <c r="V160" s="194" t="str">
        <f t="shared" si="20"/>
        <v/>
      </c>
      <c r="W160" s="194" t="str">
        <f>IFERROR(INDEX('Ashed teabags dry'!$K$2:$K$2000,MATCH(H160,'Ashed teabags dry'!$A$2:$A$2000,0)),"")</f>
        <v/>
      </c>
      <c r="X160" s="194" t="str">
        <f>IFERROR(INDEX('Ashed teabags dry'!$K$2:$K$2000,MATCH(I160,'Ashed teabags dry'!$A$2:$A$2000,0)),"")</f>
        <v/>
      </c>
      <c r="Y160" s="194" t="str">
        <f t="shared" si="15"/>
        <v/>
      </c>
      <c r="Z160" s="194" t="str">
        <f t="shared" si="15"/>
        <v/>
      </c>
      <c r="AA160" s="194" t="str">
        <f t="shared" si="21"/>
        <v/>
      </c>
      <c r="AB160" s="194" t="str">
        <f t="shared" si="22"/>
        <v/>
      </c>
      <c r="AC160" s="194" t="str">
        <f t="shared" si="16"/>
        <v/>
      </c>
      <c r="AD160" t="str">
        <f t="shared" si="23"/>
        <v/>
      </c>
      <c r="AE160" s="194" t="str">
        <f t="shared" si="24"/>
        <v/>
      </c>
      <c r="AF160" s="194" t="str">
        <f t="shared" si="25"/>
        <v/>
      </c>
      <c r="AG160" s="245" t="str">
        <f>IF(ISNUMBER(SEARCH("C", 'Dry_Litterbag Placem_Collection'!$T87)),"YES","NO")</f>
        <v>NO</v>
      </c>
      <c r="AH160" s="245" t="str">
        <f>IF(ISNUMBER(SEARCH("H", 'Dry_Litterbag Placem_Collection'!$T87)),"YES","NO")</f>
        <v>NO</v>
      </c>
      <c r="AI160" s="245" t="str">
        <f>IF(ISNUMBER(SEARCH("R", 'Dry_Litterbag Placem_Collection'!$T87)),"YES","NO")</f>
        <v>NO</v>
      </c>
      <c r="AJ160" s="245" t="str">
        <f>IF(ISNUMBER(SEARCH("C", 'Dry_Litterbag Placem_Collection'!$S87)),"YES","NO")</f>
        <v>NO</v>
      </c>
      <c r="AK160" s="245" t="str">
        <f>IF(ISNUMBER(SEARCH("H", 'Dry_Litterbag Placem_Collection'!$S87)),"YES","NO")</f>
        <v>NO</v>
      </c>
      <c r="AL160" s="245" t="str">
        <f>IF(ISNUMBER(SEARCH("R", 'Dry_Litterbag Placem_Collection'!$S87)),"YES","NO")</f>
        <v>NO</v>
      </c>
    </row>
    <row r="161" spans="2:38">
      <c r="B161" t="str">
        <f>Dryseason!B87</f>
        <v>Dry</v>
      </c>
      <c r="C161" s="253">
        <f>Dryseason!C87</f>
        <v>86</v>
      </c>
      <c r="D161" t="s">
        <v>3114</v>
      </c>
      <c r="E161" t="s">
        <v>22</v>
      </c>
      <c r="F161" s="375">
        <v>6</v>
      </c>
      <c r="G161" s="16">
        <f>IF('Dry_Litterbag Placem_Collection'!E88="","",'Dry_Litterbag Placem_Collection'!E88)</f>
        <v>42937</v>
      </c>
      <c r="H161" t="str">
        <f>Dryseason!L87</f>
        <v>G31</v>
      </c>
      <c r="I161" t="str">
        <f>Dryseason!L307</f>
        <v>R738</v>
      </c>
      <c r="J161">
        <f>IFERROR(INDEX('Green_rooibos initial weight'!$C$5:$C$2000,MATCH(H161, 'Green_rooibos initial weight'!$A$5:$A$2000,0)),"")</f>
        <v>1.9390000000000001</v>
      </c>
      <c r="K161">
        <f>IFERROR(INDEX('Green_rooibos initial weight'!$C$5:$C$2000,MATCH(I161, 'Green_rooibos initial weight'!$A$5:$A$2000,0)),"")</f>
        <v>2.1890000000000001</v>
      </c>
      <c r="L161" s="194">
        <f t="shared" si="17"/>
        <v>1.6892</v>
      </c>
      <c r="M161" s="233">
        <f>AVERAGE(Ashed_controlls!$K$1:$K$11)</f>
        <v>5.5147656768714146</v>
      </c>
      <c r="N161" s="194">
        <f t="shared" si="13"/>
        <v>1.5960445781862882</v>
      </c>
      <c r="O161" s="194">
        <f t="shared" si="18"/>
        <v>1.9392</v>
      </c>
      <c r="P161" s="233">
        <f>AVERAGE(Ashed_controlls!$K$12:$K$14)</f>
        <v>2.2816647271287041</v>
      </c>
      <c r="Q161" s="194">
        <f t="shared" si="14"/>
        <v>1.8949539576115202</v>
      </c>
      <c r="R161" s="16">
        <f>IF('Dry_Litterbag Placem_Collection'!G88="","",'Dry_Litterbag Placem_Collection'!G88)</f>
        <v>43006</v>
      </c>
      <c r="S161" s="194" t="str">
        <f>IFERROR(INDEX('Both teabags AfterDry'!$D$3:$D$2000,MATCH(H161,'Both teabags AfterDry'!$A$3:$A$2000,0)),"")</f>
        <v/>
      </c>
      <c r="T161" s="194" t="str">
        <f>IFERROR(INDEX('Both teabags AfterDry'!$D$3:$D$2000,MATCH(I161,'Both teabags AfterDry'!$A$3:$A$2000,0)),"")</f>
        <v/>
      </c>
      <c r="U161" s="194" t="str">
        <f t="shared" si="19"/>
        <v/>
      </c>
      <c r="V161" s="194" t="str">
        <f t="shared" si="20"/>
        <v/>
      </c>
      <c r="W161" s="194" t="str">
        <f>IFERROR(INDEX('Ashed teabags dry'!$K$2:$K$2000,MATCH(H161,'Ashed teabags dry'!$A$2:$A$2000,0)),"")</f>
        <v/>
      </c>
      <c r="X161" s="194" t="str">
        <f>IFERROR(INDEX('Ashed teabags dry'!$K$2:$K$2000,MATCH(I161,'Ashed teabags dry'!$A$2:$A$2000,0)),"")</f>
        <v/>
      </c>
      <c r="Y161" s="194" t="str">
        <f t="shared" si="15"/>
        <v/>
      </c>
      <c r="Z161" s="194" t="str">
        <f t="shared" si="15"/>
        <v/>
      </c>
      <c r="AA161" s="194" t="str">
        <f t="shared" si="21"/>
        <v/>
      </c>
      <c r="AB161" s="194" t="str">
        <f t="shared" si="22"/>
        <v/>
      </c>
      <c r="AC161" s="194" t="str">
        <f t="shared" si="16"/>
        <v/>
      </c>
      <c r="AD161">
        <f t="shared" si="23"/>
        <v>69</v>
      </c>
      <c r="AE161" s="194" t="str">
        <f t="shared" si="24"/>
        <v/>
      </c>
      <c r="AF161" s="194" t="str">
        <f t="shared" si="25"/>
        <v/>
      </c>
      <c r="AG161" s="245" t="str">
        <f>IF(ISNUMBER(SEARCH("C", 'Dry_Litterbag Placem_Collection'!$T88)),"YES","NO")</f>
        <v>NO</v>
      </c>
      <c r="AH161" s="245" t="str">
        <f>IF(ISNUMBER(SEARCH("H", 'Dry_Litterbag Placem_Collection'!$T88)),"YES","NO")</f>
        <v>NO</v>
      </c>
      <c r="AI161" s="245" t="str">
        <f>IF(ISNUMBER(SEARCH("R", 'Dry_Litterbag Placem_Collection'!$T88)),"YES","NO")</f>
        <v>NO</v>
      </c>
      <c r="AJ161" s="245" t="str">
        <f>IF(ISNUMBER(SEARCH("C", 'Dry_Litterbag Placem_Collection'!$S88)),"YES","NO")</f>
        <v>NO</v>
      </c>
      <c r="AK161" s="245" t="str">
        <f>IF(ISNUMBER(SEARCH("H", 'Dry_Litterbag Placem_Collection'!$S88)),"YES","NO")</f>
        <v>YES</v>
      </c>
      <c r="AL161" s="245" t="str">
        <f>IF(ISNUMBER(SEARCH("R", 'Dry_Litterbag Placem_Collection'!$S88)),"YES","NO")</f>
        <v>NO</v>
      </c>
    </row>
    <row r="162" spans="2:38">
      <c r="B162" t="str">
        <f>Dryseason!B88</f>
        <v>Dry</v>
      </c>
      <c r="C162" s="253">
        <f>Dryseason!C88</f>
        <v>87</v>
      </c>
      <c r="D162" t="s">
        <v>3114</v>
      </c>
      <c r="E162" t="s">
        <v>22</v>
      </c>
      <c r="F162" s="375">
        <v>7</v>
      </c>
      <c r="G162" s="16">
        <f>IF('Dry_Litterbag Placem_Collection'!E89="","",'Dry_Litterbag Placem_Collection'!E89)</f>
        <v>42937</v>
      </c>
      <c r="H162" t="str">
        <f>Dryseason!L88</f>
        <v>G220</v>
      </c>
      <c r="I162" t="str">
        <f>Dryseason!L308</f>
        <v>R394</v>
      </c>
      <c r="J162">
        <f>IFERROR(INDEX('Green_rooibos initial weight'!$C$5:$C$2000,MATCH(H162, 'Green_rooibos initial weight'!$A$5:$A$2000,0)),"")</f>
        <v>2.1179999999999999</v>
      </c>
      <c r="K162">
        <f>IFERROR(INDEX('Green_rooibos initial weight'!$C$5:$C$2000,MATCH(I162, 'Green_rooibos initial weight'!$A$5:$A$2000,0)),"")</f>
        <v>2.1800000000000002</v>
      </c>
      <c r="L162" s="194">
        <f t="shared" si="17"/>
        <v>1.8681999999999999</v>
      </c>
      <c r="M162" s="233">
        <f>AVERAGE(Ashed_controlls!$K$1:$K$11)</f>
        <v>5.5147656768714146</v>
      </c>
      <c r="N162" s="194">
        <f t="shared" si="13"/>
        <v>1.7651731476246881</v>
      </c>
      <c r="O162" s="194">
        <f t="shared" si="18"/>
        <v>1.9302000000000001</v>
      </c>
      <c r="P162" s="233">
        <f>AVERAGE(Ashed_controlls!$K$12:$K$14)</f>
        <v>2.2816647271287041</v>
      </c>
      <c r="Q162" s="194">
        <f t="shared" si="14"/>
        <v>1.8861593074369618</v>
      </c>
      <c r="R162" s="16">
        <f>IF('Dry_Litterbag Placem_Collection'!G89="","",'Dry_Litterbag Placem_Collection'!G89)</f>
        <v>43006</v>
      </c>
      <c r="S162" s="194">
        <f>IFERROR(INDEX('Both teabags AfterDry'!$D$3:$D$2000,MATCH(H162,'Both teabags AfterDry'!$A$3:$A$2000,0)),"")</f>
        <v>1.9671000000000001</v>
      </c>
      <c r="T162" s="194">
        <f>IFERROR(INDEX('Both teabags AfterDry'!$D$3:$D$2000,MATCH(I162,'Both teabags AfterDry'!$A$3:$A$2000,0)),"")</f>
        <v>1.9392</v>
      </c>
      <c r="U162" s="194">
        <f t="shared" si="19"/>
        <v>1.8165</v>
      </c>
      <c r="V162" s="194">
        <f t="shared" si="20"/>
        <v>1.7886</v>
      </c>
      <c r="W162" s="194">
        <f>IFERROR(INDEX('Ashed teabags dry'!$K$2:$K$2000,MATCH(H162,'Ashed teabags dry'!$A$2:$A$2000,0)),"")</f>
        <v>5.9062218214606252</v>
      </c>
      <c r="X162" s="194">
        <f>IFERROR(INDEX('Ashed teabags dry'!$K$2:$K$2000,MATCH(I162,'Ashed teabags dry'!$A$2:$A$2000,0)),"")</f>
        <v>3.1437125748499946</v>
      </c>
      <c r="Y162" s="194">
        <f t="shared" si="15"/>
        <v>1.7092134806131678</v>
      </c>
      <c r="Z162" s="194">
        <f t="shared" si="15"/>
        <v>1.732371556886233</v>
      </c>
      <c r="AA162" s="194">
        <f t="shared" si="21"/>
        <v>3.1702083779612589E-2</v>
      </c>
      <c r="AB162" s="194">
        <f t="shared" si="22"/>
        <v>2.0783313831765019E-2</v>
      </c>
      <c r="AC162" s="194">
        <f t="shared" si="16"/>
        <v>0.91846513179223144</v>
      </c>
      <c r="AD162">
        <f t="shared" si="23"/>
        <v>69</v>
      </c>
      <c r="AE162" s="194">
        <f t="shared" si="24"/>
        <v>0.96234906914535323</v>
      </c>
      <c r="AF162" s="194" t="str">
        <f t="shared" si="25"/>
        <v/>
      </c>
      <c r="AG162" s="245" t="str">
        <f>IF(ISNUMBER(SEARCH("C", 'Dry_Litterbag Placem_Collection'!$T89)),"YES","NO")</f>
        <v>NO</v>
      </c>
      <c r="AH162" s="245" t="str">
        <f>IF(ISNUMBER(SEARCH("H", 'Dry_Litterbag Placem_Collection'!$T89)),"YES","NO")</f>
        <v>NO</v>
      </c>
      <c r="AI162" s="245" t="str">
        <f>IF(ISNUMBER(SEARCH("R", 'Dry_Litterbag Placem_Collection'!$T89)),"YES","NO")</f>
        <v>NO</v>
      </c>
      <c r="AJ162" s="245" t="str">
        <f>IF(ISNUMBER(SEARCH("C", 'Dry_Litterbag Placem_Collection'!$S89)),"YES","NO")</f>
        <v>NO</v>
      </c>
      <c r="AK162" s="245" t="str">
        <f>IF(ISNUMBER(SEARCH("H", 'Dry_Litterbag Placem_Collection'!$S89)),"YES","NO")</f>
        <v>NO</v>
      </c>
      <c r="AL162" s="245" t="str">
        <f>IF(ISNUMBER(SEARCH("R", 'Dry_Litterbag Placem_Collection'!$S89)),"YES","NO")</f>
        <v>NO</v>
      </c>
    </row>
    <row r="163" spans="2:38">
      <c r="B163" t="str">
        <f>Dryseason!B89</f>
        <v>Dry</v>
      </c>
      <c r="C163" s="253">
        <f>Dryseason!C89</f>
        <v>88</v>
      </c>
      <c r="D163" t="s">
        <v>3114</v>
      </c>
      <c r="E163" t="s">
        <v>22</v>
      </c>
      <c r="F163" s="375">
        <v>8</v>
      </c>
      <c r="G163" s="16">
        <f>IF('Dry_Litterbag Placem_Collection'!E90="","",'Dry_Litterbag Placem_Collection'!E90)</f>
        <v>42937</v>
      </c>
      <c r="H163" t="str">
        <f>Dryseason!L89</f>
        <v>G531</v>
      </c>
      <c r="I163" t="str">
        <f>Dryseason!L309</f>
        <v>R810</v>
      </c>
      <c r="J163">
        <f>IFERROR(INDEX('Green_rooibos initial weight'!$C$5:$C$2000,MATCH(H163, 'Green_rooibos initial weight'!$A$5:$A$2000,0)),"")</f>
        <v>2.0110000000000001</v>
      </c>
      <c r="K163">
        <f>IFERROR(INDEX('Green_rooibos initial weight'!$C$5:$C$2000,MATCH(I163, 'Green_rooibos initial weight'!$A$5:$A$2000,0)),"")</f>
        <v>2.2109999999999999</v>
      </c>
      <c r="L163" s="194">
        <f t="shared" si="17"/>
        <v>1.7612000000000001</v>
      </c>
      <c r="M163" s="233">
        <f>AVERAGE(Ashed_controlls!$K$1:$K$11)</f>
        <v>5.5147656768714146</v>
      </c>
      <c r="N163" s="194">
        <f t="shared" si="13"/>
        <v>1.6640739468989407</v>
      </c>
      <c r="O163" s="194">
        <f t="shared" si="18"/>
        <v>1.9611999999999998</v>
      </c>
      <c r="P163" s="233">
        <f>AVERAGE(Ashed_controlls!$K$12:$K$14)</f>
        <v>2.2816647271287041</v>
      </c>
      <c r="Q163" s="194">
        <f t="shared" si="14"/>
        <v>1.9164519913715516</v>
      </c>
      <c r="R163" s="16">
        <f>IF('Dry_Litterbag Placem_Collection'!G90="","",'Dry_Litterbag Placem_Collection'!G90)</f>
        <v>43006</v>
      </c>
      <c r="S163" s="194">
        <f>IFERROR(INDEX('Both teabags AfterDry'!$D$3:$D$2000,MATCH(H163,'Both teabags AfterDry'!$A$3:$A$2000,0)),"")</f>
        <v>1.8593999999999999</v>
      </c>
      <c r="T163" s="194">
        <f>IFERROR(INDEX('Both teabags AfterDry'!$D$3:$D$2000,MATCH(I163,'Both teabags AfterDry'!$A$3:$A$2000,0)),"")</f>
        <v>1.9188000000000001</v>
      </c>
      <c r="U163" s="194">
        <f t="shared" si="19"/>
        <v>1.7087999999999999</v>
      </c>
      <c r="V163" s="194">
        <f t="shared" si="20"/>
        <v>1.7682</v>
      </c>
      <c r="W163" s="194">
        <f>IFERROR(INDEX('Ashed teabags dry'!$K$2:$K$2000,MATCH(H163,'Ashed teabags dry'!$A$2:$A$2000,0)),"")</f>
        <v>7.2600696171056427</v>
      </c>
      <c r="X163" s="194">
        <f>IFERROR(INDEX('Ashed teabags dry'!$K$2:$K$2000,MATCH(I163,'Ashed teabags dry'!$A$2:$A$2000,0)),"")</f>
        <v>2.6202953787519343</v>
      </c>
      <c r="Y163" s="194">
        <f t="shared" si="15"/>
        <v>1.5847399303828986</v>
      </c>
      <c r="Z163" s="194">
        <f t="shared" si="15"/>
        <v>1.7218679371129082</v>
      </c>
      <c r="AA163" s="194">
        <f t="shared" si="21"/>
        <v>4.7674573995875491E-2</v>
      </c>
      <c r="AB163" s="194">
        <f t="shared" si="22"/>
        <v>3.1254590078056116E-2</v>
      </c>
      <c r="AC163" s="194">
        <f t="shared" si="16"/>
        <v>0.89846651252694043</v>
      </c>
      <c r="AD163">
        <f t="shared" si="23"/>
        <v>69</v>
      </c>
      <c r="AE163" s="194">
        <f t="shared" si="24"/>
        <v>0.94337936580062298</v>
      </c>
      <c r="AF163" s="194" t="str">
        <f t="shared" si="25"/>
        <v/>
      </c>
      <c r="AG163" s="245" t="str">
        <f>IF(ISNUMBER(SEARCH("C", 'Dry_Litterbag Placem_Collection'!$T90)),"YES","NO")</f>
        <v>NO</v>
      </c>
      <c r="AH163" s="245" t="str">
        <f>IF(ISNUMBER(SEARCH("H", 'Dry_Litterbag Placem_Collection'!$T90)),"YES","NO")</f>
        <v>NO</v>
      </c>
      <c r="AI163" s="245" t="str">
        <f>IF(ISNUMBER(SEARCH("R", 'Dry_Litterbag Placem_Collection'!$T90)),"YES","NO")</f>
        <v>NO</v>
      </c>
      <c r="AJ163" s="245" t="str">
        <f>IF(ISNUMBER(SEARCH("C", 'Dry_Litterbag Placem_Collection'!$S90)),"YES","NO")</f>
        <v>NO</v>
      </c>
      <c r="AK163" s="245" t="str">
        <f>IF(ISNUMBER(SEARCH("H", 'Dry_Litterbag Placem_Collection'!$S90)),"YES","NO")</f>
        <v>NO</v>
      </c>
      <c r="AL163" s="245" t="str">
        <f>IF(ISNUMBER(SEARCH("R", 'Dry_Litterbag Placem_Collection'!$S90)),"YES","NO")</f>
        <v>NO</v>
      </c>
    </row>
    <row r="164" spans="2:38">
      <c r="B164" t="str">
        <f>Dryseason!B90</f>
        <v>Dry</v>
      </c>
      <c r="C164" s="253">
        <f>Dryseason!C90</f>
        <v>89</v>
      </c>
      <c r="D164" t="s">
        <v>3115</v>
      </c>
      <c r="E164" t="s">
        <v>22</v>
      </c>
      <c r="F164" s="374">
        <v>1</v>
      </c>
      <c r="G164" s="16">
        <f>IF('Dry_Litterbag Placem_Collection'!E91="","",'Dry_Litterbag Placem_Collection'!E91)</f>
        <v>42937</v>
      </c>
      <c r="H164" t="str">
        <f>Dryseason!L90</f>
        <v>G35</v>
      </c>
      <c r="I164" t="str">
        <f>Dryseason!L310</f>
        <v>R818</v>
      </c>
      <c r="J164">
        <f>IFERROR(INDEX('Green_rooibos initial weight'!$C$5:$C$2000,MATCH(H164, 'Green_rooibos initial weight'!$A$5:$A$2000,0)),"")</f>
        <v>2.0299999999999998</v>
      </c>
      <c r="K164">
        <f>IFERROR(INDEX('Green_rooibos initial weight'!$C$5:$C$2000,MATCH(I164, 'Green_rooibos initial weight'!$A$5:$A$2000,0)),"")</f>
        <v>2.1680000000000001</v>
      </c>
      <c r="L164" s="194">
        <f t="shared" si="17"/>
        <v>1.7801999999999998</v>
      </c>
      <c r="M164" s="233">
        <f>AVERAGE(Ashed_controlls!$K$1:$K$11)</f>
        <v>5.5147656768714146</v>
      </c>
      <c r="N164" s="194">
        <f t="shared" si="13"/>
        <v>1.6820261414203348</v>
      </c>
      <c r="O164" s="194">
        <f t="shared" si="18"/>
        <v>1.9182000000000001</v>
      </c>
      <c r="P164" s="233">
        <f>AVERAGE(Ashed_controlls!$K$12:$K$14)</f>
        <v>2.2816647271287041</v>
      </c>
      <c r="Q164" s="194">
        <f t="shared" si="14"/>
        <v>1.8744331072042173</v>
      </c>
      <c r="R164" s="16">
        <f>IF('Dry_Litterbag Placem_Collection'!G91="","",'Dry_Litterbag Placem_Collection'!G91)</f>
        <v>43006</v>
      </c>
      <c r="S164" s="194">
        <f>IFERROR(INDEX('Both teabags AfterDry'!$D$3:$D$2000,MATCH(H164,'Both teabags AfterDry'!$A$3:$A$2000,0)),"")</f>
        <v>1.8633999999999999</v>
      </c>
      <c r="T164" s="194">
        <f>IFERROR(INDEX('Both teabags AfterDry'!$D$3:$D$2000,MATCH(I164,'Both teabags AfterDry'!$A$3:$A$2000,0)),"")</f>
        <v>1.9155</v>
      </c>
      <c r="U164" s="194">
        <f t="shared" si="19"/>
        <v>1.7127999999999999</v>
      </c>
      <c r="V164" s="194">
        <f t="shared" si="20"/>
        <v>1.7648999999999999</v>
      </c>
      <c r="W164" s="194">
        <f>IFERROR(INDEX('Ashed teabags dry'!$K$2:$K$2000,MATCH(H164,'Ashed teabags dry'!$A$2:$A$2000,0)),"")</f>
        <v>5.6105610561053325</v>
      </c>
      <c r="X164" s="194">
        <f>IFERROR(INDEX('Ashed teabags dry'!$K$2:$K$2000,MATCH(I164,'Ashed teabags dry'!$A$2:$A$2000,0)),"")</f>
        <v>2.8114396509937518</v>
      </c>
      <c r="Y164" s="194">
        <f t="shared" si="15"/>
        <v>1.6167023102310278</v>
      </c>
      <c r="Z164" s="194">
        <f t="shared" si="15"/>
        <v>1.7152809015996111</v>
      </c>
      <c r="AA164" s="194">
        <f t="shared" si="21"/>
        <v>3.8836394738875013E-2</v>
      </c>
      <c r="AB164" s="194">
        <f t="shared" si="22"/>
        <v>2.546043930624586E-2</v>
      </c>
      <c r="AC164" s="194">
        <f t="shared" si="16"/>
        <v>0.91509315270151881</v>
      </c>
      <c r="AD164">
        <f t="shared" si="23"/>
        <v>69</v>
      </c>
      <c r="AE164" s="194">
        <f t="shared" si="24"/>
        <v>0.95387601574955461</v>
      </c>
      <c r="AF164" s="194" t="str">
        <f t="shared" si="25"/>
        <v/>
      </c>
      <c r="AG164" s="245" t="str">
        <f>IF(ISNUMBER(SEARCH("C", 'Dry_Litterbag Placem_Collection'!$T91)),"YES","NO")</f>
        <v>NO</v>
      </c>
      <c r="AH164" s="245" t="str">
        <f>IF(ISNUMBER(SEARCH("H", 'Dry_Litterbag Placem_Collection'!$T91)),"YES","NO")</f>
        <v>NO</v>
      </c>
      <c r="AI164" s="245" t="str">
        <f>IF(ISNUMBER(SEARCH("R", 'Dry_Litterbag Placem_Collection'!$T91)),"YES","NO")</f>
        <v>NO</v>
      </c>
      <c r="AJ164" s="245" t="str">
        <f>IF(ISNUMBER(SEARCH("C", 'Dry_Litterbag Placem_Collection'!$S91)),"YES","NO")</f>
        <v>NO</v>
      </c>
      <c r="AK164" s="245" t="str">
        <f>IF(ISNUMBER(SEARCH("H", 'Dry_Litterbag Placem_Collection'!$S91)),"YES","NO")</f>
        <v>NO</v>
      </c>
      <c r="AL164" s="245" t="str">
        <f>IF(ISNUMBER(SEARCH("R", 'Dry_Litterbag Placem_Collection'!$S91)),"YES","NO")</f>
        <v>NO</v>
      </c>
    </row>
    <row r="165" spans="2:38">
      <c r="B165" t="str">
        <f>Dryseason!B91</f>
        <v>Dry</v>
      </c>
      <c r="C165" s="253">
        <f>Dryseason!C91</f>
        <v>90</v>
      </c>
      <c r="D165" t="s">
        <v>3115</v>
      </c>
      <c r="E165" t="s">
        <v>22</v>
      </c>
      <c r="F165" s="374">
        <v>2</v>
      </c>
      <c r="G165" s="16">
        <f>IF('Dry_Litterbag Placem_Collection'!E92="","",'Dry_Litterbag Placem_Collection'!E92)</f>
        <v>42937</v>
      </c>
      <c r="H165" t="str">
        <f>Dryseason!L91</f>
        <v>G264</v>
      </c>
      <c r="I165" t="str">
        <f>Dryseason!L311</f>
        <v>R767</v>
      </c>
      <c r="J165">
        <f>IFERROR(INDEX('Green_rooibos initial weight'!$C$5:$C$2000,MATCH(H165, 'Green_rooibos initial weight'!$A$5:$A$2000,0)),"")</f>
        <v>2.1070000000000002</v>
      </c>
      <c r="K165">
        <f>IFERROR(INDEX('Green_rooibos initial weight'!$C$5:$C$2000,MATCH(I165, 'Green_rooibos initial weight'!$A$5:$A$2000,0)),"")</f>
        <v>2.1890000000000001</v>
      </c>
      <c r="L165" s="194">
        <f t="shared" si="17"/>
        <v>1.8572000000000002</v>
      </c>
      <c r="M165" s="233">
        <f>AVERAGE(Ashed_controlls!$K$1:$K$11)</f>
        <v>5.5147656768714146</v>
      </c>
      <c r="N165" s="194">
        <f t="shared" si="13"/>
        <v>1.7547797718491442</v>
      </c>
      <c r="O165" s="194">
        <f t="shared" si="18"/>
        <v>1.9392</v>
      </c>
      <c r="P165" s="233">
        <f>AVERAGE(Ashed_controlls!$K$12:$K$14)</f>
        <v>2.2816647271287041</v>
      </c>
      <c r="Q165" s="194">
        <f t="shared" si="14"/>
        <v>1.8949539576115202</v>
      </c>
      <c r="R165" s="16">
        <f>IF('Dry_Litterbag Placem_Collection'!G92="","",'Dry_Litterbag Placem_Collection'!G92)</f>
        <v>43006</v>
      </c>
      <c r="S165" s="194" t="str">
        <f>IFERROR(INDEX('Both teabags AfterDry'!$D$3:$D$2000,MATCH(H165,'Both teabags AfterDry'!$A$3:$A$2000,0)),"")</f>
        <v/>
      </c>
      <c r="T165" s="194" t="str">
        <f>IFERROR(INDEX('Both teabags AfterDry'!$D$3:$D$2000,MATCH(I165,'Both teabags AfterDry'!$A$3:$A$2000,0)),"")</f>
        <v/>
      </c>
      <c r="U165" s="194" t="str">
        <f t="shared" si="19"/>
        <v/>
      </c>
      <c r="V165" s="194" t="str">
        <f t="shared" si="20"/>
        <v/>
      </c>
      <c r="W165" s="194" t="str">
        <f>IFERROR(INDEX('Ashed teabags dry'!$K$2:$K$2000,MATCH(H165,'Ashed teabags dry'!$A$2:$A$2000,0)),"")</f>
        <v/>
      </c>
      <c r="X165" s="194" t="str">
        <f>IFERROR(INDEX('Ashed teabags dry'!$K$2:$K$2000,MATCH(I165,'Ashed teabags dry'!$A$2:$A$2000,0)),"")</f>
        <v/>
      </c>
      <c r="Y165" s="194" t="str">
        <f t="shared" si="15"/>
        <v/>
      </c>
      <c r="Z165" s="194" t="str">
        <f t="shared" si="15"/>
        <v/>
      </c>
      <c r="AA165" s="194" t="str">
        <f t="shared" si="21"/>
        <v/>
      </c>
      <c r="AB165" s="194" t="str">
        <f t="shared" si="22"/>
        <v/>
      </c>
      <c r="AC165" s="194" t="str">
        <f t="shared" si="16"/>
        <v/>
      </c>
      <c r="AD165">
        <f t="shared" si="23"/>
        <v>69</v>
      </c>
      <c r="AE165" s="194" t="str">
        <f t="shared" si="24"/>
        <v/>
      </c>
      <c r="AF165" s="194" t="str">
        <f t="shared" si="25"/>
        <v/>
      </c>
      <c r="AG165" s="245" t="str">
        <f>IF(ISNUMBER(SEARCH("C", 'Dry_Litterbag Placem_Collection'!$T92)),"YES","NO")</f>
        <v>NO</v>
      </c>
      <c r="AH165" s="245" t="str">
        <f>IF(ISNUMBER(SEARCH("H", 'Dry_Litterbag Placem_Collection'!$T92)),"YES","NO")</f>
        <v>NO</v>
      </c>
      <c r="AI165" s="245" t="str">
        <f>IF(ISNUMBER(SEARCH("R", 'Dry_Litterbag Placem_Collection'!$T92)),"YES","NO")</f>
        <v>NO</v>
      </c>
      <c r="AJ165" s="245" t="str">
        <f>IF(ISNUMBER(SEARCH("C", 'Dry_Litterbag Placem_Collection'!$S92)),"YES","NO")</f>
        <v>NO</v>
      </c>
      <c r="AK165" s="245" t="str">
        <f>IF(ISNUMBER(SEARCH("H", 'Dry_Litterbag Placem_Collection'!$S92)),"YES","NO")</f>
        <v>NO</v>
      </c>
      <c r="AL165" s="245" t="str">
        <f>IF(ISNUMBER(SEARCH("R", 'Dry_Litterbag Placem_Collection'!$S92)),"YES","NO")</f>
        <v>NO</v>
      </c>
    </row>
    <row r="166" spans="2:38">
      <c r="B166" t="str">
        <f>Dryseason!B92</f>
        <v>Dry</v>
      </c>
      <c r="C166" s="253">
        <f>Dryseason!C92</f>
        <v>91</v>
      </c>
      <c r="D166" t="s">
        <v>3115</v>
      </c>
      <c r="E166" t="s">
        <v>22</v>
      </c>
      <c r="F166" s="374">
        <v>3</v>
      </c>
      <c r="G166" s="16">
        <f>IF('Dry_Litterbag Placem_Collection'!E93="","",'Dry_Litterbag Placem_Collection'!E93)</f>
        <v>42937</v>
      </c>
      <c r="H166" t="str">
        <f>Dryseason!L92</f>
        <v>G13</v>
      </c>
      <c r="I166" t="str">
        <f>Dryseason!L312</f>
        <v>R787</v>
      </c>
      <c r="J166">
        <f>IFERROR(INDEX('Green_rooibos initial weight'!$C$5:$C$2000,MATCH(H166, 'Green_rooibos initial weight'!$A$5:$A$2000,0)),"")</f>
        <v>2.085</v>
      </c>
      <c r="K166">
        <f>IFERROR(INDEX('Green_rooibos initial weight'!$C$5:$C$2000,MATCH(I166, 'Green_rooibos initial weight'!$A$5:$A$2000,0)),"")</f>
        <v>2.1579999999999999</v>
      </c>
      <c r="L166" s="194">
        <f t="shared" si="17"/>
        <v>1.8351999999999999</v>
      </c>
      <c r="M166" s="233">
        <f>AVERAGE(Ashed_controlls!$K$1:$K$11)</f>
        <v>5.5147656768714146</v>
      </c>
      <c r="N166" s="194">
        <f t="shared" si="13"/>
        <v>1.7339930202980558</v>
      </c>
      <c r="O166" s="194">
        <f t="shared" si="18"/>
        <v>1.9081999999999999</v>
      </c>
      <c r="P166" s="233">
        <f>AVERAGE(Ashed_controlls!$K$12:$K$14)</f>
        <v>2.2816647271287041</v>
      </c>
      <c r="Q166" s="194">
        <f t="shared" si="14"/>
        <v>1.8646612736769299</v>
      </c>
      <c r="R166" s="16">
        <f>IF('Dry_Litterbag Placem_Collection'!G93="","",'Dry_Litterbag Placem_Collection'!G93)</f>
        <v>43006</v>
      </c>
      <c r="S166" s="194">
        <f>IFERROR(INDEX('Both teabags AfterDry'!$D$3:$D$2000,MATCH(H166,'Both teabags AfterDry'!$A$3:$A$2000,0)),"")</f>
        <v>1.9104000000000001</v>
      </c>
      <c r="T166" s="194">
        <f>IFERROR(INDEX('Both teabags AfterDry'!$D$3:$D$2000,MATCH(I166,'Both teabags AfterDry'!$A$3:$A$2000,0)),"")</f>
        <v>1.8551</v>
      </c>
      <c r="U166" s="194">
        <f t="shared" si="19"/>
        <v>1.7598</v>
      </c>
      <c r="V166" s="194">
        <f t="shared" si="20"/>
        <v>1.7044999999999999</v>
      </c>
      <c r="W166" s="194">
        <f>IFERROR(INDEX('Ashed teabags dry'!$K$2:$K$2000,MATCH(H166,'Ashed teabags dry'!$A$2:$A$2000,0)),"")</f>
        <v>5.9558517284466683</v>
      </c>
      <c r="X166" s="194">
        <f>IFERROR(INDEX('Ashed teabags dry'!$K$2:$K$2000,MATCH(I166,'Ashed teabags dry'!$A$2:$A$2000,0)),"")</f>
        <v>3.5746606334838318</v>
      </c>
      <c r="Y166" s="194">
        <f t="shared" si="15"/>
        <v>1.6549889212827955</v>
      </c>
      <c r="Z166" s="194">
        <f t="shared" si="15"/>
        <v>1.643569909502268</v>
      </c>
      <c r="AA166" s="194">
        <f t="shared" si="21"/>
        <v>4.5561947534068059E-2</v>
      </c>
      <c r="AB166" s="194">
        <f t="shared" si="22"/>
        <v>2.9869590307370037E-2</v>
      </c>
      <c r="AC166" s="194">
        <f t="shared" si="16"/>
        <v>0.88143081679457458</v>
      </c>
      <c r="AD166">
        <f t="shared" si="23"/>
        <v>69</v>
      </c>
      <c r="AE166" s="194">
        <f t="shared" si="24"/>
        <v>0.9458884233562137</v>
      </c>
      <c r="AF166" s="194" t="str">
        <f t="shared" si="25"/>
        <v/>
      </c>
      <c r="AG166" s="245" t="str">
        <f>IF(ISNUMBER(SEARCH("C", 'Dry_Litterbag Placem_Collection'!$T93)),"YES","NO")</f>
        <v>NO</v>
      </c>
      <c r="AH166" s="245" t="str">
        <f>IF(ISNUMBER(SEARCH("H", 'Dry_Litterbag Placem_Collection'!$T93)),"YES","NO")</f>
        <v>NO</v>
      </c>
      <c r="AI166" s="245" t="str">
        <f>IF(ISNUMBER(SEARCH("R", 'Dry_Litterbag Placem_Collection'!$T93)),"YES","NO")</f>
        <v>NO</v>
      </c>
      <c r="AJ166" s="245" t="str">
        <f>IF(ISNUMBER(SEARCH("C", 'Dry_Litterbag Placem_Collection'!$S93)),"YES","NO")</f>
        <v>NO</v>
      </c>
      <c r="AK166" s="245" t="str">
        <f>IF(ISNUMBER(SEARCH("H", 'Dry_Litterbag Placem_Collection'!$S93)),"YES","NO")</f>
        <v>NO</v>
      </c>
      <c r="AL166" s="245" t="str">
        <f>IF(ISNUMBER(SEARCH("R", 'Dry_Litterbag Placem_Collection'!$S93)),"YES","NO")</f>
        <v>NO</v>
      </c>
    </row>
    <row r="167" spans="2:38">
      <c r="B167" t="str">
        <f>Dryseason!B93</f>
        <v>Dry</v>
      </c>
      <c r="C167" s="253">
        <f>Dryseason!C93</f>
        <v>92</v>
      </c>
      <c r="D167" t="s">
        <v>3115</v>
      </c>
      <c r="E167" t="s">
        <v>22</v>
      </c>
      <c r="F167" s="375">
        <v>4</v>
      </c>
      <c r="G167" s="16">
        <f>IF('Dry_Litterbag Placem_Collection'!E94="","",'Dry_Litterbag Placem_Collection'!E94)</f>
        <v>42937</v>
      </c>
      <c r="H167" t="str">
        <f>Dryseason!L93</f>
        <v>G324</v>
      </c>
      <c r="I167" t="str">
        <f>Dryseason!L313</f>
        <v>R812</v>
      </c>
      <c r="J167">
        <f>IFERROR(INDEX('Green_rooibos initial weight'!$C$5:$C$2000,MATCH(H167, 'Green_rooibos initial weight'!$A$5:$A$2000,0)),"")</f>
        <v>2.0430000000000001</v>
      </c>
      <c r="K167">
        <f>IFERROR(INDEX('Green_rooibos initial weight'!$C$5:$C$2000,MATCH(I167, 'Green_rooibos initial weight'!$A$5:$A$2000,0)),"")</f>
        <v>2.1819999999999999</v>
      </c>
      <c r="L167" s="194">
        <f t="shared" si="17"/>
        <v>1.7932000000000001</v>
      </c>
      <c r="M167" s="233">
        <f>AVERAGE(Ashed_controlls!$K$1:$K$11)</f>
        <v>5.5147656768714146</v>
      </c>
      <c r="N167" s="194">
        <f t="shared" si="13"/>
        <v>1.6943092218823419</v>
      </c>
      <c r="O167" s="194">
        <f t="shared" si="18"/>
        <v>1.9321999999999999</v>
      </c>
      <c r="P167" s="233">
        <f>AVERAGE(Ashed_controlls!$K$12:$K$14)</f>
        <v>2.2816647271287041</v>
      </c>
      <c r="Q167" s="194">
        <f t="shared" si="14"/>
        <v>1.8881136741424192</v>
      </c>
      <c r="R167" s="16">
        <f>IF('Dry_Litterbag Placem_Collection'!G94="","",'Dry_Litterbag Placem_Collection'!G94)</f>
        <v>43006</v>
      </c>
      <c r="S167" s="194">
        <f>IFERROR(INDEX('Both teabags AfterDry'!$D$3:$D$2000,MATCH(H167,'Both teabags AfterDry'!$A$3:$A$2000,0)),"")</f>
        <v>1.6847000000000001</v>
      </c>
      <c r="T167" s="194">
        <f>IFERROR(INDEX('Both teabags AfterDry'!$D$3:$D$2000,MATCH(I167,'Both teabags AfterDry'!$A$3:$A$2000,0)),"")</f>
        <v>1.8855</v>
      </c>
      <c r="U167" s="194">
        <f t="shared" si="19"/>
        <v>1.5341</v>
      </c>
      <c r="V167" s="194">
        <f t="shared" si="20"/>
        <v>1.7348999999999999</v>
      </c>
      <c r="W167" s="194">
        <f>IFERROR(INDEX('Ashed teabags dry'!$K$2:$K$2000,MATCH(H167,'Ashed teabags dry'!$A$2:$A$2000,0)),"")</f>
        <v>7.5962018990501106</v>
      </c>
      <c r="X167" s="194">
        <f>IFERROR(INDEX('Ashed teabags dry'!$K$2:$K$2000,MATCH(I167,'Ashed teabags dry'!$A$2:$A$2000,0)),"")</f>
        <v>1.8952618453866015</v>
      </c>
      <c r="Y167" s="194">
        <f t="shared" si="15"/>
        <v>1.4175666666666722</v>
      </c>
      <c r="Z167" s="194">
        <f t="shared" si="15"/>
        <v>1.7020191022443878</v>
      </c>
      <c r="AA167" s="194">
        <f t="shared" si="21"/>
        <v>0.16333651003104055</v>
      </c>
      <c r="AB167" s="194">
        <f t="shared" si="22"/>
        <v>0.10708046738377007</v>
      </c>
      <c r="AC167" s="194">
        <f t="shared" si="16"/>
        <v>0.90143889404193023</v>
      </c>
      <c r="AD167">
        <f t="shared" si="23"/>
        <v>69</v>
      </c>
      <c r="AE167" s="194">
        <f t="shared" si="24"/>
        <v>0.8060136460438948</v>
      </c>
      <c r="AF167" s="194">
        <f t="shared" si="25"/>
        <v>3.6684626021082307E-2</v>
      </c>
      <c r="AG167" s="245" t="str">
        <f>IF(ISNUMBER(SEARCH("C", 'Dry_Litterbag Placem_Collection'!$T94)),"YES","NO")</f>
        <v>NO</v>
      </c>
      <c r="AH167" s="245" t="str">
        <f>IF(ISNUMBER(SEARCH("H", 'Dry_Litterbag Placem_Collection'!$T94)),"YES","NO")</f>
        <v>NO</v>
      </c>
      <c r="AI167" s="245" t="str">
        <f>IF(ISNUMBER(SEARCH("R", 'Dry_Litterbag Placem_Collection'!$T94)),"YES","NO")</f>
        <v>NO</v>
      </c>
      <c r="AJ167" s="245" t="str">
        <f>IF(ISNUMBER(SEARCH("C", 'Dry_Litterbag Placem_Collection'!$S94)),"YES","NO")</f>
        <v>NO</v>
      </c>
      <c r="AK167" s="245" t="str">
        <f>IF(ISNUMBER(SEARCH("H", 'Dry_Litterbag Placem_Collection'!$S94)),"YES","NO")</f>
        <v>YES</v>
      </c>
      <c r="AL167" s="245" t="str">
        <f>IF(ISNUMBER(SEARCH("R", 'Dry_Litterbag Placem_Collection'!$S94)),"YES","NO")</f>
        <v>NO</v>
      </c>
    </row>
    <row r="168" spans="2:38">
      <c r="B168" t="str">
        <f>Dryseason!B94</f>
        <v>Dry</v>
      </c>
      <c r="C168" s="253">
        <f>Dryseason!C94</f>
        <v>93</v>
      </c>
      <c r="D168" t="s">
        <v>3115</v>
      </c>
      <c r="E168" t="s">
        <v>22</v>
      </c>
      <c r="F168" s="375">
        <v>5</v>
      </c>
      <c r="G168" s="16">
        <f>IF('Dry_Litterbag Placem_Collection'!E95="","",'Dry_Litterbag Placem_Collection'!E95)</f>
        <v>42937</v>
      </c>
      <c r="H168" t="str">
        <f>Dryseason!L94</f>
        <v>G99</v>
      </c>
      <c r="I168" t="str">
        <f>Dryseason!L314</f>
        <v>R675</v>
      </c>
      <c r="J168">
        <f>IFERROR(INDEX('Green_rooibos initial weight'!$C$5:$C$2000,MATCH(H168, 'Green_rooibos initial weight'!$A$5:$A$2000,0)),"")</f>
        <v>2.097</v>
      </c>
      <c r="K168">
        <f>IFERROR(INDEX('Green_rooibos initial weight'!$C$5:$C$2000,MATCH(I168, 'Green_rooibos initial weight'!$A$5:$A$2000,0)),"")</f>
        <v>2.2069999999999999</v>
      </c>
      <c r="L168" s="194">
        <f t="shared" si="17"/>
        <v>1.8472</v>
      </c>
      <c r="M168" s="233">
        <f>AVERAGE(Ashed_controlls!$K$1:$K$11)</f>
        <v>5.5147656768714146</v>
      </c>
      <c r="N168" s="194">
        <f t="shared" si="13"/>
        <v>1.7453312484168313</v>
      </c>
      <c r="O168" s="194">
        <f t="shared" si="18"/>
        <v>1.9571999999999998</v>
      </c>
      <c r="P168" s="233">
        <f>AVERAGE(Ashed_controlls!$K$12:$K$14)</f>
        <v>2.2816647271287041</v>
      </c>
      <c r="Q168" s="194">
        <f t="shared" si="14"/>
        <v>1.9125432579606367</v>
      </c>
      <c r="R168" s="16">
        <f>IF('Dry_Litterbag Placem_Collection'!G95="","",'Dry_Litterbag Placem_Collection'!G95)</f>
        <v>43006</v>
      </c>
      <c r="S168" s="194">
        <f>IFERROR(INDEX('Both teabags AfterDry'!$D$3:$D$2000,MATCH(H168,'Both teabags AfterDry'!$A$3:$A$2000,0)),"")</f>
        <v>1.9186000000000001</v>
      </c>
      <c r="T168" s="194">
        <f>IFERROR(INDEX('Both teabags AfterDry'!$D$3:$D$2000,MATCH(I168,'Both teabags AfterDry'!$A$3:$A$2000,0)),"")</f>
        <v>2.0310000000000001</v>
      </c>
      <c r="U168" s="194">
        <f t="shared" si="19"/>
        <v>1.768</v>
      </c>
      <c r="V168" s="194">
        <f t="shared" si="20"/>
        <v>1.8804000000000001</v>
      </c>
      <c r="W168" s="194">
        <f>IFERROR(INDEX('Ashed teabags dry'!$K$2:$K$2000,MATCH(H168,'Ashed teabags dry'!$A$2:$A$2000,0)),"")</f>
        <v>6.1659712563742239</v>
      </c>
      <c r="X168" s="194">
        <f>IFERROR(INDEX('Ashed teabags dry'!$K$2:$K$2000,MATCH(I168,'Ashed teabags dry'!$A$2:$A$2000,0)),"")</f>
        <v>3.8099506947561541</v>
      </c>
      <c r="Y168" s="194">
        <f t="shared" si="15"/>
        <v>1.6589856281873037</v>
      </c>
      <c r="Z168" s="194">
        <f t="shared" si="15"/>
        <v>1.8087576871358053</v>
      </c>
      <c r="AA168" s="194">
        <f t="shared" si="21"/>
        <v>4.947233959619457E-2</v>
      </c>
      <c r="AB168" s="194">
        <f t="shared" si="22"/>
        <v>3.2433172751899532E-2</v>
      </c>
      <c r="AC168" s="194">
        <f t="shared" si="16"/>
        <v>0.9457342622746745</v>
      </c>
      <c r="AD168">
        <f t="shared" si="23"/>
        <v>69</v>
      </c>
      <c r="AE168" s="194">
        <f t="shared" si="24"/>
        <v>0.94124425226105157</v>
      </c>
      <c r="AF168" s="194" t="str">
        <f t="shared" si="25"/>
        <v/>
      </c>
      <c r="AG168" s="245" t="str">
        <f>IF(ISNUMBER(SEARCH("C", 'Dry_Litterbag Placem_Collection'!$T95)),"YES","NO")</f>
        <v>NO</v>
      </c>
      <c r="AH168" s="245" t="str">
        <f>IF(ISNUMBER(SEARCH("H", 'Dry_Litterbag Placem_Collection'!$T95)),"YES","NO")</f>
        <v>YES</v>
      </c>
      <c r="AI168" s="245" t="str">
        <f>IF(ISNUMBER(SEARCH("R", 'Dry_Litterbag Placem_Collection'!$T95)),"YES","NO")</f>
        <v>NO</v>
      </c>
      <c r="AJ168" s="245" t="str">
        <f>IF(ISNUMBER(SEARCH("C", 'Dry_Litterbag Placem_Collection'!$S95)),"YES","NO")</f>
        <v>NO</v>
      </c>
      <c r="AK168" s="245" t="str">
        <f>IF(ISNUMBER(SEARCH("H", 'Dry_Litterbag Placem_Collection'!$S95)),"YES","NO")</f>
        <v>YES</v>
      </c>
      <c r="AL168" s="245" t="str">
        <f>IF(ISNUMBER(SEARCH("R", 'Dry_Litterbag Placem_Collection'!$S95)),"YES","NO")</f>
        <v>NO</v>
      </c>
    </row>
    <row r="169" spans="2:38">
      <c r="B169" t="str">
        <f>Dryseason!B95</f>
        <v>Dry</v>
      </c>
      <c r="C169" s="253">
        <f>Dryseason!C95</f>
        <v>94</v>
      </c>
      <c r="D169" t="s">
        <v>3115</v>
      </c>
      <c r="E169" t="s">
        <v>22</v>
      </c>
      <c r="F169" s="375">
        <v>6</v>
      </c>
      <c r="G169" s="16" t="str">
        <f>IF('Dry_Litterbag Placem_Collection'!E96="","",'Dry_Litterbag Placem_Collection'!E96)</f>
        <v/>
      </c>
      <c r="H169" t="str">
        <f>Dryseason!L95</f>
        <v/>
      </c>
      <c r="I169" t="str">
        <f>Dryseason!L315</f>
        <v/>
      </c>
      <c r="J169" t="str">
        <f>IFERROR(INDEX('Green_rooibos initial weight'!$C$5:$C$2000,MATCH(H169, 'Green_rooibos initial weight'!$A$5:$A$2000,0)),"")</f>
        <v/>
      </c>
      <c r="K169" t="str">
        <f>IFERROR(INDEX('Green_rooibos initial weight'!$C$5:$C$2000,MATCH(I169, 'Green_rooibos initial weight'!$A$5:$A$2000,0)),"")</f>
        <v/>
      </c>
      <c r="L169" s="194" t="str">
        <f t="shared" si="17"/>
        <v/>
      </c>
      <c r="M169" s="233">
        <f>AVERAGE(Ashed_controlls!$K$1:$K$11)</f>
        <v>5.5147656768714146</v>
      </c>
      <c r="N169" s="194" t="str">
        <f t="shared" si="13"/>
        <v/>
      </c>
      <c r="O169" s="194" t="str">
        <f t="shared" si="18"/>
        <v/>
      </c>
      <c r="P169" s="233">
        <f>AVERAGE(Ashed_controlls!$K$12:$K$14)</f>
        <v>2.2816647271287041</v>
      </c>
      <c r="Q169" s="194" t="str">
        <f t="shared" si="14"/>
        <v/>
      </c>
      <c r="R169" s="16" t="str">
        <f>IF('Dry_Litterbag Placem_Collection'!G96="","",'Dry_Litterbag Placem_Collection'!G96)</f>
        <v/>
      </c>
      <c r="S169" s="194" t="str">
        <f>IFERROR(INDEX('Both teabags AfterDry'!$D$3:$D$2000,MATCH(H169,'Both teabags AfterDry'!$A$3:$A$2000,0)),"")</f>
        <v/>
      </c>
      <c r="T169" s="194" t="str">
        <f>IFERROR(INDEX('Both teabags AfterDry'!$D$3:$D$2000,MATCH(I169,'Both teabags AfterDry'!$A$3:$A$2000,0)),"")</f>
        <v/>
      </c>
      <c r="U169" s="194" t="str">
        <f t="shared" si="19"/>
        <v/>
      </c>
      <c r="V169" s="194" t="str">
        <f t="shared" si="20"/>
        <v/>
      </c>
      <c r="W169" s="194" t="str">
        <f>IFERROR(INDEX('Ashed teabags dry'!$K$2:$K$2000,MATCH(H169,'Ashed teabags dry'!$A$2:$A$2000,0)),"")</f>
        <v/>
      </c>
      <c r="X169" s="194" t="str">
        <f>IFERROR(INDEX('Ashed teabags dry'!$K$2:$K$2000,MATCH(I169,'Ashed teabags dry'!$A$2:$A$2000,0)),"")</f>
        <v/>
      </c>
      <c r="Y169" s="194" t="str">
        <f t="shared" si="15"/>
        <v/>
      </c>
      <c r="Z169" s="194" t="str">
        <f t="shared" si="15"/>
        <v/>
      </c>
      <c r="AA169" s="194" t="str">
        <f t="shared" si="21"/>
        <v/>
      </c>
      <c r="AB169" s="194" t="str">
        <f t="shared" si="22"/>
        <v/>
      </c>
      <c r="AC169" s="194" t="str">
        <f t="shared" si="16"/>
        <v/>
      </c>
      <c r="AD169" t="str">
        <f t="shared" si="23"/>
        <v/>
      </c>
      <c r="AE169" s="194" t="str">
        <f t="shared" si="24"/>
        <v/>
      </c>
      <c r="AF169" s="194" t="str">
        <f t="shared" si="25"/>
        <v/>
      </c>
      <c r="AG169" s="245" t="str">
        <f>IF(ISNUMBER(SEARCH("C", 'Dry_Litterbag Placem_Collection'!$T96)),"YES","NO")</f>
        <v>NO</v>
      </c>
      <c r="AH169" s="245" t="str">
        <f>IF(ISNUMBER(SEARCH("H", 'Dry_Litterbag Placem_Collection'!$T96)),"YES","NO")</f>
        <v>NO</v>
      </c>
      <c r="AI169" s="245" t="str">
        <f>IF(ISNUMBER(SEARCH("R", 'Dry_Litterbag Placem_Collection'!$T96)),"YES","NO")</f>
        <v>NO</v>
      </c>
      <c r="AJ169" s="245" t="str">
        <f>IF(ISNUMBER(SEARCH("C", 'Dry_Litterbag Placem_Collection'!$S96)),"YES","NO")</f>
        <v>NO</v>
      </c>
      <c r="AK169" s="245" t="str">
        <f>IF(ISNUMBER(SEARCH("H", 'Dry_Litterbag Placem_Collection'!$S96)),"YES","NO")</f>
        <v>NO</v>
      </c>
      <c r="AL169" s="245" t="str">
        <f>IF(ISNUMBER(SEARCH("R", 'Dry_Litterbag Placem_Collection'!$S96)),"YES","NO")</f>
        <v>NO</v>
      </c>
    </row>
    <row r="170" spans="2:38">
      <c r="B170" t="str">
        <f>Dryseason!B96</f>
        <v>Dry</v>
      </c>
      <c r="C170" s="253">
        <f>Dryseason!C96</f>
        <v>95</v>
      </c>
      <c r="D170" t="s">
        <v>3115</v>
      </c>
      <c r="E170" t="s">
        <v>22</v>
      </c>
      <c r="F170" s="375">
        <v>7</v>
      </c>
      <c r="G170" s="16">
        <f>IF('Dry_Litterbag Placem_Collection'!E97="","",'Dry_Litterbag Placem_Collection'!E97)</f>
        <v>42937</v>
      </c>
      <c r="H170" t="str">
        <f>Dryseason!L96</f>
        <v>G126</v>
      </c>
      <c r="I170" t="str">
        <f>Dryseason!L316</f>
        <v>R794</v>
      </c>
      <c r="J170">
        <f>IFERROR(INDEX('Green_rooibos initial weight'!$C$5:$C$2000,MATCH(H170, 'Green_rooibos initial weight'!$A$5:$A$2000,0)),"")</f>
        <v>2.093</v>
      </c>
      <c r="K170">
        <f>IFERROR(INDEX('Green_rooibos initial weight'!$C$5:$C$2000,MATCH(I170, 'Green_rooibos initial weight'!$A$5:$A$2000,0)),"")</f>
        <v>2.2000000000000002</v>
      </c>
      <c r="L170" s="194">
        <f t="shared" si="17"/>
        <v>1.8431999999999999</v>
      </c>
      <c r="M170" s="233">
        <f>AVERAGE(Ashed_controlls!$K$1:$K$11)</f>
        <v>5.5147656768714146</v>
      </c>
      <c r="N170" s="194">
        <f t="shared" si="13"/>
        <v>1.741551839043906</v>
      </c>
      <c r="O170" s="194">
        <f t="shared" si="18"/>
        <v>1.9502000000000002</v>
      </c>
      <c r="P170" s="233">
        <f>AVERAGE(Ashed_controlls!$K$12:$K$14)</f>
        <v>2.2816647271287041</v>
      </c>
      <c r="Q170" s="194">
        <f t="shared" si="14"/>
        <v>1.9057029744915361</v>
      </c>
      <c r="R170" s="16">
        <f>IF('Dry_Litterbag Placem_Collection'!G97="","",'Dry_Litterbag Placem_Collection'!G97)</f>
        <v>43006</v>
      </c>
      <c r="S170" s="194">
        <f>IFERROR(INDEX('Both teabags AfterDry'!$D$3:$D$2000,MATCH(H170,'Both teabags AfterDry'!$A$3:$A$2000,0)),"")</f>
        <v>1.8705000000000001</v>
      </c>
      <c r="T170" s="194">
        <f>IFERROR(INDEX('Both teabags AfterDry'!$D$3:$D$2000,MATCH(I170,'Both teabags AfterDry'!$A$3:$A$2000,0)),"")</f>
        <v>1.9469000000000001</v>
      </c>
      <c r="U170" s="194">
        <f t="shared" si="19"/>
        <v>1.7199</v>
      </c>
      <c r="V170" s="194">
        <f t="shared" si="20"/>
        <v>1.7963</v>
      </c>
      <c r="W170" s="194">
        <f>IFERROR(INDEX('Ashed teabags dry'!$K$2:$K$2000,MATCH(H170,'Ashed teabags dry'!$A$2:$A$2000,0)),"")</f>
        <v>5.4866412213739713</v>
      </c>
      <c r="X170" s="194">
        <f>IFERROR(INDEX('Ashed teabags dry'!$K$2:$K$2000,MATCH(I170,'Ashed teabags dry'!$A$2:$A$2000,0)),"")</f>
        <v>2.6693030153240724</v>
      </c>
      <c r="Y170" s="194">
        <f t="shared" si="15"/>
        <v>1.6255352576335891</v>
      </c>
      <c r="Z170" s="194">
        <f t="shared" si="15"/>
        <v>1.7483513099357337</v>
      </c>
      <c r="AA170" s="194">
        <f t="shared" si="21"/>
        <v>6.6616783267277713E-2</v>
      </c>
      <c r="AB170" s="194">
        <f t="shared" si="22"/>
        <v>4.367276052676642E-2</v>
      </c>
      <c r="AC170" s="194">
        <f t="shared" si="16"/>
        <v>0.91743117019703158</v>
      </c>
      <c r="AD170">
        <f t="shared" si="23"/>
        <v>69</v>
      </c>
      <c r="AE170" s="194">
        <f t="shared" si="24"/>
        <v>0.92088268020513331</v>
      </c>
      <c r="AF170" s="194" t="str">
        <f t="shared" si="25"/>
        <v/>
      </c>
      <c r="AG170" s="245" t="str">
        <f>IF(ISNUMBER(SEARCH("C", 'Dry_Litterbag Placem_Collection'!$T97)),"YES","NO")</f>
        <v>NO</v>
      </c>
      <c r="AH170" s="245" t="str">
        <f>IF(ISNUMBER(SEARCH("H", 'Dry_Litterbag Placem_Collection'!$T97)),"YES","NO")</f>
        <v>NO</v>
      </c>
      <c r="AI170" s="245" t="str">
        <f>IF(ISNUMBER(SEARCH("R", 'Dry_Litterbag Placem_Collection'!$T97)),"YES","NO")</f>
        <v>NO</v>
      </c>
      <c r="AJ170" s="245" t="str">
        <f>IF(ISNUMBER(SEARCH("C", 'Dry_Litterbag Placem_Collection'!$S97)),"YES","NO")</f>
        <v>NO</v>
      </c>
      <c r="AK170" s="245" t="str">
        <f>IF(ISNUMBER(SEARCH("H", 'Dry_Litterbag Placem_Collection'!$S97)),"YES","NO")</f>
        <v>NO</v>
      </c>
      <c r="AL170" s="245" t="str">
        <f>IF(ISNUMBER(SEARCH("R", 'Dry_Litterbag Placem_Collection'!$S97)),"YES","NO")</f>
        <v>NO</v>
      </c>
    </row>
    <row r="171" spans="2:38">
      <c r="B171" t="str">
        <f>Dryseason!B97</f>
        <v>Dry</v>
      </c>
      <c r="C171" s="253">
        <f>Dryseason!C97</f>
        <v>96</v>
      </c>
      <c r="D171" t="s">
        <v>3115</v>
      </c>
      <c r="E171" t="s">
        <v>22</v>
      </c>
      <c r="F171" s="375">
        <v>8</v>
      </c>
      <c r="G171" s="16">
        <f>IF('Dry_Litterbag Placem_Collection'!E98="","",'Dry_Litterbag Placem_Collection'!E98)</f>
        <v>42937</v>
      </c>
      <c r="H171" t="str">
        <f>Dryseason!L97</f>
        <v>G244</v>
      </c>
      <c r="I171" t="str">
        <f>Dryseason!L317</f>
        <v>R737</v>
      </c>
      <c r="J171">
        <f>IFERROR(INDEX('Green_rooibos initial weight'!$C$5:$C$2000,MATCH(H171, 'Green_rooibos initial weight'!$A$5:$A$2000,0)),"")</f>
        <v>2.04</v>
      </c>
      <c r="K171">
        <f>IFERROR(INDEX('Green_rooibos initial weight'!$C$5:$C$2000,MATCH(I171, 'Green_rooibos initial weight'!$A$5:$A$2000,0)),"")</f>
        <v>2.222</v>
      </c>
      <c r="L171" s="194">
        <f t="shared" si="17"/>
        <v>1.7902</v>
      </c>
      <c r="M171" s="233">
        <f>AVERAGE(Ashed_controlls!$K$1:$K$11)</f>
        <v>5.5147656768714146</v>
      </c>
      <c r="N171" s="194">
        <f t="shared" si="13"/>
        <v>1.691474664852648</v>
      </c>
      <c r="O171" s="194">
        <f t="shared" si="18"/>
        <v>1.9722</v>
      </c>
      <c r="P171" s="233">
        <f>AVERAGE(Ashed_controlls!$K$12:$K$14)</f>
        <v>2.2816647271287041</v>
      </c>
      <c r="Q171" s="194">
        <f t="shared" si="14"/>
        <v>1.9272010082515676</v>
      </c>
      <c r="R171" s="16">
        <f>IF('Dry_Litterbag Placem_Collection'!G98="","",'Dry_Litterbag Placem_Collection'!G98)</f>
        <v>43006</v>
      </c>
      <c r="S171" s="194">
        <f>IFERROR(INDEX('Both teabags AfterDry'!$D$3:$D$2000,MATCH(H171,'Both teabags AfterDry'!$A$3:$A$2000,0)),"")</f>
        <v>1.8649</v>
      </c>
      <c r="T171" s="194">
        <f>IFERROR(INDEX('Both teabags AfterDry'!$D$3:$D$2000,MATCH(I171,'Both teabags AfterDry'!$A$3:$A$2000,0)),"")</f>
        <v>1.9686999999999999</v>
      </c>
      <c r="U171" s="194">
        <f t="shared" si="19"/>
        <v>1.7142999999999999</v>
      </c>
      <c r="V171" s="194">
        <f t="shared" si="20"/>
        <v>1.8180999999999998</v>
      </c>
      <c r="W171" s="194">
        <f>IFERROR(INDEX('Ashed teabags dry'!$K$2:$K$2000,MATCH(H171,'Ashed teabags dry'!$A$2:$A$2000,0)),"")</f>
        <v>5.8795180722893514</v>
      </c>
      <c r="X171" s="194">
        <f>IFERROR(INDEX('Ashed teabags dry'!$K$2:$K$2000,MATCH(I171,'Ashed teabags dry'!$A$2:$A$2000,0)),"")</f>
        <v>3.1531531531539305</v>
      </c>
      <c r="Y171" s="194">
        <f t="shared" si="15"/>
        <v>1.6135074216867435</v>
      </c>
      <c r="Z171" s="194">
        <f t="shared" si="15"/>
        <v>1.7607725225225082</v>
      </c>
      <c r="AA171" s="194">
        <f t="shared" si="21"/>
        <v>4.6094242370870231E-2</v>
      </c>
      <c r="AB171" s="194">
        <f t="shared" si="22"/>
        <v>3.0218553193254619E-2</v>
      </c>
      <c r="AC171" s="194">
        <f t="shared" si="16"/>
        <v>0.91364238342732607</v>
      </c>
      <c r="AD171">
        <f t="shared" si="23"/>
        <v>69</v>
      </c>
      <c r="AE171" s="194">
        <f t="shared" si="24"/>
        <v>0.94525624421511845</v>
      </c>
      <c r="AF171" s="194" t="str">
        <f t="shared" si="25"/>
        <v/>
      </c>
      <c r="AG171" s="245" t="str">
        <f>IF(ISNUMBER(SEARCH("C", 'Dry_Litterbag Placem_Collection'!$T98)),"YES","NO")</f>
        <v>NO</v>
      </c>
      <c r="AH171" s="245" t="str">
        <f>IF(ISNUMBER(SEARCH("H", 'Dry_Litterbag Placem_Collection'!$T98)),"YES","NO")</f>
        <v>NO</v>
      </c>
      <c r="AI171" s="245" t="str">
        <f>IF(ISNUMBER(SEARCH("R", 'Dry_Litterbag Placem_Collection'!$T98)),"YES","NO")</f>
        <v>NO</v>
      </c>
      <c r="AJ171" s="245" t="str">
        <f>IF(ISNUMBER(SEARCH("C", 'Dry_Litterbag Placem_Collection'!$S98)),"YES","NO")</f>
        <v>NO</v>
      </c>
      <c r="AK171" s="245" t="str">
        <f>IF(ISNUMBER(SEARCH("H", 'Dry_Litterbag Placem_Collection'!$S98)),"YES","NO")</f>
        <v>NO</v>
      </c>
      <c r="AL171" s="245" t="str">
        <f>IF(ISNUMBER(SEARCH("R", 'Dry_Litterbag Placem_Collection'!$S98)),"YES","NO")</f>
        <v>NO</v>
      </c>
    </row>
    <row r="172" spans="2:38">
      <c r="B172" t="str">
        <f>Dryseason!B98</f>
        <v>Dry</v>
      </c>
      <c r="C172" s="253">
        <f>Dryseason!C98</f>
        <v>97</v>
      </c>
      <c r="D172" t="s">
        <v>3116</v>
      </c>
      <c r="E172" t="s">
        <v>22</v>
      </c>
      <c r="F172" s="374">
        <v>1</v>
      </c>
      <c r="G172" s="16">
        <f>IF('Dry_Litterbag Placem_Collection'!E99="","",'Dry_Litterbag Placem_Collection'!E99)</f>
        <v>42939</v>
      </c>
      <c r="H172" t="str">
        <f>Dryseason!L98</f>
        <v>G432</v>
      </c>
      <c r="I172" t="str">
        <f>Dryseason!L318</f>
        <v>R801</v>
      </c>
      <c r="J172">
        <f>IFERROR(INDEX('Green_rooibos initial weight'!$C$5:$C$2000,MATCH(H172, 'Green_rooibos initial weight'!$A$5:$A$2000,0)),"")</f>
        <v>2.0659999999999998</v>
      </c>
      <c r="K172">
        <f>IFERROR(INDEX('Green_rooibos initial weight'!$C$5:$C$2000,MATCH(I172, 'Green_rooibos initial weight'!$A$5:$A$2000,0)),"")</f>
        <v>2.17</v>
      </c>
      <c r="L172" s="194">
        <f t="shared" si="17"/>
        <v>1.8161999999999998</v>
      </c>
      <c r="M172" s="233">
        <f>AVERAGE(Ashed_controlls!$K$1:$K$11)</f>
        <v>5.5147656768714146</v>
      </c>
      <c r="N172" s="194">
        <f t="shared" si="13"/>
        <v>1.7160408257766613</v>
      </c>
      <c r="O172" s="194">
        <f t="shared" si="18"/>
        <v>1.9201999999999999</v>
      </c>
      <c r="P172" s="233">
        <f>AVERAGE(Ashed_controlls!$K$12:$K$14)</f>
        <v>2.2816647271287041</v>
      </c>
      <c r="Q172" s="194">
        <f t="shared" si="14"/>
        <v>1.8763874739096746</v>
      </c>
      <c r="R172" s="16">
        <f>IF('Dry_Litterbag Placem_Collection'!G99="","",'Dry_Litterbag Placem_Collection'!G99)</f>
        <v>43010</v>
      </c>
      <c r="S172" s="194" t="str">
        <f>IFERROR(INDEX('Both teabags AfterDry'!$D$3:$D$2000,MATCH(H172,'Both teabags AfterDry'!$A$3:$A$2000,0)),"")</f>
        <v/>
      </c>
      <c r="T172" s="194" t="str">
        <f>IFERROR(INDEX('Both teabags AfterDry'!$D$3:$D$2000,MATCH(I172,'Both teabags AfterDry'!$A$3:$A$2000,0)),"")</f>
        <v/>
      </c>
      <c r="U172" s="194" t="str">
        <f t="shared" si="19"/>
        <v/>
      </c>
      <c r="V172" s="194" t="str">
        <f t="shared" si="20"/>
        <v/>
      </c>
      <c r="W172" s="194" t="str">
        <f>IFERROR(INDEX('Ashed teabags dry'!$K$2:$K$2000,MATCH(H172,'Ashed teabags dry'!$A$2:$A$2000,0)),"")</f>
        <v/>
      </c>
      <c r="X172" s="194" t="str">
        <f>IFERROR(INDEX('Ashed teabags dry'!$K$2:$K$2000,MATCH(I172,'Ashed teabags dry'!$A$2:$A$2000,0)),"")</f>
        <v/>
      </c>
      <c r="Y172" s="194" t="str">
        <f t="shared" si="15"/>
        <v/>
      </c>
      <c r="Z172" s="194" t="str">
        <f t="shared" si="15"/>
        <v/>
      </c>
      <c r="AA172" s="194" t="str">
        <f t="shared" si="21"/>
        <v/>
      </c>
      <c r="AB172" s="194" t="str">
        <f t="shared" si="22"/>
        <v/>
      </c>
      <c r="AC172" s="194" t="str">
        <f t="shared" si="16"/>
        <v/>
      </c>
      <c r="AD172">
        <f t="shared" si="23"/>
        <v>71</v>
      </c>
      <c r="AE172" s="194" t="str">
        <f t="shared" si="24"/>
        <v/>
      </c>
      <c r="AF172" s="194" t="str">
        <f t="shared" si="25"/>
        <v/>
      </c>
      <c r="AG172" s="245" t="str">
        <f>IF(ISNUMBER(SEARCH("C", 'Dry_Litterbag Placem_Collection'!$T99)),"YES","NO")</f>
        <v>YES</v>
      </c>
      <c r="AH172" s="245" t="str">
        <f>IF(ISNUMBER(SEARCH("H", 'Dry_Litterbag Placem_Collection'!$T99)),"YES","NO")</f>
        <v>YES</v>
      </c>
      <c r="AI172" s="245" t="str">
        <f>IF(ISNUMBER(SEARCH("R", 'Dry_Litterbag Placem_Collection'!$T99)),"YES","NO")</f>
        <v>NO</v>
      </c>
      <c r="AJ172" s="245" t="str">
        <f>IF(ISNUMBER(SEARCH("C", 'Dry_Litterbag Placem_Collection'!$S99)),"YES","NO")</f>
        <v>YES</v>
      </c>
      <c r="AK172" s="245" t="str">
        <f>IF(ISNUMBER(SEARCH("H", 'Dry_Litterbag Placem_Collection'!$S99)),"YES","NO")</f>
        <v>YES</v>
      </c>
      <c r="AL172" s="245" t="str">
        <f>IF(ISNUMBER(SEARCH("R", 'Dry_Litterbag Placem_Collection'!$S99)),"YES","NO")</f>
        <v>NO</v>
      </c>
    </row>
    <row r="173" spans="2:38">
      <c r="B173" t="str">
        <f>Dryseason!B99</f>
        <v>Dry</v>
      </c>
      <c r="C173" s="253">
        <f>Dryseason!C99</f>
        <v>98</v>
      </c>
      <c r="D173" t="s">
        <v>3116</v>
      </c>
      <c r="E173" t="s">
        <v>22</v>
      </c>
      <c r="F173" s="374">
        <v>2</v>
      </c>
      <c r="G173" s="16">
        <f>IF('Dry_Litterbag Placem_Collection'!E100="","",'Dry_Litterbag Placem_Collection'!E100)</f>
        <v>42939</v>
      </c>
      <c r="H173" t="str">
        <f>Dryseason!L99</f>
        <v>G184</v>
      </c>
      <c r="I173" t="str">
        <f>Dryseason!L319</f>
        <v>R808</v>
      </c>
      <c r="J173">
        <f>IFERROR(INDEX('Green_rooibos initial weight'!$C$5:$C$2000,MATCH(H173, 'Green_rooibos initial weight'!$A$5:$A$2000,0)),"")</f>
        <v>1.925</v>
      </c>
      <c r="K173">
        <f>IFERROR(INDEX('Green_rooibos initial weight'!$C$5:$C$2000,MATCH(I173, 'Green_rooibos initial weight'!$A$5:$A$2000,0)),"")</f>
        <v>2.2309999999999999</v>
      </c>
      <c r="L173" s="194">
        <f t="shared" si="17"/>
        <v>1.6752</v>
      </c>
      <c r="M173" s="233">
        <f>AVERAGE(Ashed_controlls!$K$1:$K$11)</f>
        <v>5.5147656768714146</v>
      </c>
      <c r="N173" s="194">
        <f t="shared" si="13"/>
        <v>1.5828166453810502</v>
      </c>
      <c r="O173" s="194">
        <f t="shared" si="18"/>
        <v>1.9811999999999999</v>
      </c>
      <c r="P173" s="233">
        <f>AVERAGE(Ashed_controlls!$K$12:$K$14)</f>
        <v>2.2816647271287041</v>
      </c>
      <c r="Q173" s="194">
        <f t="shared" si="14"/>
        <v>1.935995658426126</v>
      </c>
      <c r="R173" s="16">
        <f>IF('Dry_Litterbag Placem_Collection'!G100="","",'Dry_Litterbag Placem_Collection'!G100)</f>
        <v>43010</v>
      </c>
      <c r="S173" s="194">
        <f>IFERROR(INDEX('Both teabags AfterDry'!$D$3:$D$2000,MATCH(H173,'Both teabags AfterDry'!$A$3:$A$2000,0)),"")</f>
        <v>0.99180000000000001</v>
      </c>
      <c r="T173" s="194">
        <f>IFERROR(INDEX('Both teabags AfterDry'!$D$3:$D$2000,MATCH(I173,'Both teabags AfterDry'!$A$3:$A$2000,0)),"")</f>
        <v>0</v>
      </c>
      <c r="U173" s="194">
        <f t="shared" si="19"/>
        <v>0.84119999999999995</v>
      </c>
      <c r="V173" s="194" t="str">
        <f t="shared" si="20"/>
        <v/>
      </c>
      <c r="W173" s="194">
        <f>IFERROR(INDEX('Ashed teabags dry'!$K$2:$K$2000,MATCH(H173,'Ashed teabags dry'!$A$2:$A$2000,0)),"")</f>
        <v>12.153918348193013</v>
      </c>
      <c r="X173" s="194">
        <f>IFERROR(INDEX('Ashed teabags dry'!$K$2:$K$2000,MATCH(I173,'Ashed teabags dry'!$A$2:$A$2000,0)),"")</f>
        <v>0</v>
      </c>
      <c r="Y173" s="194">
        <f t="shared" si="15"/>
        <v>0.73896123885500031</v>
      </c>
      <c r="Z173" s="194" t="str">
        <f t="shared" si="15"/>
        <v/>
      </c>
      <c r="AA173" s="194">
        <f t="shared" si="21"/>
        <v>0.53313528701418134</v>
      </c>
      <c r="AB173" s="194">
        <f t="shared" si="22"/>
        <v>0.34951386987152983</v>
      </c>
      <c r="AC173" s="194" t="str">
        <f t="shared" si="16"/>
        <v/>
      </c>
      <c r="AD173">
        <f t="shared" si="23"/>
        <v>71</v>
      </c>
      <c r="AE173" s="194">
        <f t="shared" si="24"/>
        <v>0.3668226995080982</v>
      </c>
      <c r="AF173" s="194" t="str">
        <f t="shared" si="25"/>
        <v/>
      </c>
      <c r="AG173" s="245" t="str">
        <f>IF(ISNUMBER(SEARCH("C", 'Dry_Litterbag Placem_Collection'!$T100)),"YES","NO")</f>
        <v>YES</v>
      </c>
      <c r="AH173" s="245" t="str">
        <f>IF(ISNUMBER(SEARCH("H", 'Dry_Litterbag Placem_Collection'!$T100)),"YES","NO")</f>
        <v>YES</v>
      </c>
      <c r="AI173" s="245" t="str">
        <f>IF(ISNUMBER(SEARCH("R", 'Dry_Litterbag Placem_Collection'!$T100)),"YES","NO")</f>
        <v>NO</v>
      </c>
      <c r="AJ173" s="245" t="str">
        <f>IF(ISNUMBER(SEARCH("C", 'Dry_Litterbag Placem_Collection'!$S100)),"YES","NO")</f>
        <v>YES</v>
      </c>
      <c r="AK173" s="245" t="str">
        <f>IF(ISNUMBER(SEARCH("H", 'Dry_Litterbag Placem_Collection'!$S100)),"YES","NO")</f>
        <v>YES</v>
      </c>
      <c r="AL173" s="245" t="str">
        <f>IF(ISNUMBER(SEARCH("R", 'Dry_Litterbag Placem_Collection'!$S100)),"YES","NO")</f>
        <v>NO</v>
      </c>
    </row>
    <row r="174" spans="2:38">
      <c r="B174" t="str">
        <f>Dryseason!B100</f>
        <v>Dry</v>
      </c>
      <c r="C174" s="253">
        <f>Dryseason!C100</f>
        <v>99</v>
      </c>
      <c r="D174" t="s">
        <v>3116</v>
      </c>
      <c r="E174" t="s">
        <v>22</v>
      </c>
      <c r="F174" s="374">
        <v>3</v>
      </c>
      <c r="G174" s="16" t="str">
        <f>IF('Dry_Litterbag Placem_Collection'!E101="","",'Dry_Litterbag Placem_Collection'!E101)</f>
        <v/>
      </c>
      <c r="H174" t="str">
        <f>Dryseason!L100</f>
        <v/>
      </c>
      <c r="I174" t="str">
        <f>Dryseason!L320</f>
        <v/>
      </c>
      <c r="J174" t="str">
        <f>IFERROR(INDEX('Green_rooibos initial weight'!$C$5:$C$2000,MATCH(H174, 'Green_rooibos initial weight'!$A$5:$A$2000,0)),"")</f>
        <v/>
      </c>
      <c r="K174" t="str">
        <f>IFERROR(INDEX('Green_rooibos initial weight'!$C$5:$C$2000,MATCH(I174, 'Green_rooibos initial weight'!$A$5:$A$2000,0)),"")</f>
        <v/>
      </c>
      <c r="L174" s="194" t="str">
        <f t="shared" si="17"/>
        <v/>
      </c>
      <c r="M174" s="233">
        <f>AVERAGE(Ashed_controlls!$K$1:$K$11)</f>
        <v>5.5147656768714146</v>
      </c>
      <c r="N174" s="194" t="str">
        <f t="shared" si="13"/>
        <v/>
      </c>
      <c r="O174" s="194" t="str">
        <f t="shared" si="18"/>
        <v/>
      </c>
      <c r="P174" s="233">
        <f>AVERAGE(Ashed_controlls!$K$12:$K$14)</f>
        <v>2.2816647271287041</v>
      </c>
      <c r="Q174" s="194" t="str">
        <f t="shared" si="14"/>
        <v/>
      </c>
      <c r="R174" s="16" t="str">
        <f>IF('Dry_Litterbag Placem_Collection'!G101="","",'Dry_Litterbag Placem_Collection'!G101)</f>
        <v/>
      </c>
      <c r="S174" s="194" t="str">
        <f>IFERROR(INDEX('Both teabags AfterDry'!$D$3:$D$2000,MATCH(H174,'Both teabags AfterDry'!$A$3:$A$2000,0)),"")</f>
        <v/>
      </c>
      <c r="T174" s="194" t="str">
        <f>IFERROR(INDEX('Both teabags AfterDry'!$D$3:$D$2000,MATCH(I174,'Both teabags AfterDry'!$A$3:$A$2000,0)),"")</f>
        <v/>
      </c>
      <c r="U174" s="194" t="str">
        <f t="shared" si="19"/>
        <v/>
      </c>
      <c r="V174" s="194" t="str">
        <f t="shared" si="20"/>
        <v/>
      </c>
      <c r="W174" s="194" t="str">
        <f>IFERROR(INDEX('Ashed teabags dry'!$K$2:$K$2000,MATCH(H174,'Ashed teabags dry'!$A$2:$A$2000,0)),"")</f>
        <v/>
      </c>
      <c r="X174" s="194" t="str">
        <f>IFERROR(INDEX('Ashed teabags dry'!$K$2:$K$2000,MATCH(I174,'Ashed teabags dry'!$A$2:$A$2000,0)),"")</f>
        <v/>
      </c>
      <c r="Y174" s="194" t="str">
        <f t="shared" si="15"/>
        <v/>
      </c>
      <c r="Z174" s="194" t="str">
        <f t="shared" si="15"/>
        <v/>
      </c>
      <c r="AA174" s="194" t="str">
        <f t="shared" si="21"/>
        <v/>
      </c>
      <c r="AB174" s="194" t="str">
        <f t="shared" si="22"/>
        <v/>
      </c>
      <c r="AC174" s="194" t="str">
        <f t="shared" si="16"/>
        <v/>
      </c>
      <c r="AD174" t="str">
        <f t="shared" si="23"/>
        <v/>
      </c>
      <c r="AE174" s="194" t="str">
        <f t="shared" si="24"/>
        <v/>
      </c>
      <c r="AF174" s="194" t="str">
        <f t="shared" si="25"/>
        <v/>
      </c>
      <c r="AG174" s="245" t="str">
        <f>IF(ISNUMBER(SEARCH("C", 'Dry_Litterbag Placem_Collection'!$T101)),"YES","NO")</f>
        <v>NO</v>
      </c>
      <c r="AH174" s="245" t="str">
        <f>IF(ISNUMBER(SEARCH("H", 'Dry_Litterbag Placem_Collection'!$T101)),"YES","NO")</f>
        <v>NO</v>
      </c>
      <c r="AI174" s="245" t="str">
        <f>IF(ISNUMBER(SEARCH("R", 'Dry_Litterbag Placem_Collection'!$T101)),"YES","NO")</f>
        <v>NO</v>
      </c>
      <c r="AJ174" s="245" t="str">
        <f>IF(ISNUMBER(SEARCH("C", 'Dry_Litterbag Placem_Collection'!$S101)),"YES","NO")</f>
        <v>NO</v>
      </c>
      <c r="AK174" s="245" t="str">
        <f>IF(ISNUMBER(SEARCH("H", 'Dry_Litterbag Placem_Collection'!$S101)),"YES","NO")</f>
        <v>NO</v>
      </c>
      <c r="AL174" s="245" t="str">
        <f>IF(ISNUMBER(SEARCH("R", 'Dry_Litterbag Placem_Collection'!$S101)),"YES","NO")</f>
        <v>NO</v>
      </c>
    </row>
    <row r="175" spans="2:38">
      <c r="B175" t="str">
        <f>Dryseason!B101</f>
        <v>Dry</v>
      </c>
      <c r="C175" s="253">
        <f>Dryseason!C101</f>
        <v>100</v>
      </c>
      <c r="D175" t="s">
        <v>3116</v>
      </c>
      <c r="E175" t="s">
        <v>22</v>
      </c>
      <c r="F175" s="375">
        <v>4</v>
      </c>
      <c r="G175" s="16">
        <f>IF('Dry_Litterbag Placem_Collection'!E102="","",'Dry_Litterbag Placem_Collection'!E102)</f>
        <v>42939</v>
      </c>
      <c r="H175" t="str">
        <f>Dryseason!L101</f>
        <v>G176</v>
      </c>
      <c r="I175" t="str">
        <f>Dryseason!L321</f>
        <v>R276</v>
      </c>
      <c r="J175">
        <f>IFERROR(INDEX('Green_rooibos initial weight'!$C$5:$C$2000,MATCH(H175, 'Green_rooibos initial weight'!$A$5:$A$2000,0)),"")</f>
        <v>2.0590000000000002</v>
      </c>
      <c r="K175">
        <f>IFERROR(INDEX('Green_rooibos initial weight'!$C$5:$C$2000,MATCH(I175, 'Green_rooibos initial weight'!$A$5:$A$2000,0)),"")</f>
        <v>2.1930000000000001</v>
      </c>
      <c r="L175" s="194">
        <f t="shared" si="17"/>
        <v>1.8092000000000001</v>
      </c>
      <c r="M175" s="233">
        <f>AVERAGE(Ashed_controlls!$K$1:$K$11)</f>
        <v>5.5147656768714146</v>
      </c>
      <c r="N175" s="194">
        <f t="shared" si="13"/>
        <v>1.7094268593740425</v>
      </c>
      <c r="O175" s="194">
        <f t="shared" si="18"/>
        <v>1.9432</v>
      </c>
      <c r="P175" s="233">
        <f>AVERAGE(Ashed_controlls!$K$12:$K$14)</f>
        <v>2.2816647271287041</v>
      </c>
      <c r="Q175" s="194">
        <f t="shared" si="14"/>
        <v>1.8988626910224351</v>
      </c>
      <c r="R175" s="16">
        <f>IF('Dry_Litterbag Placem_Collection'!G102="","",'Dry_Litterbag Placem_Collection'!G102)</f>
        <v>43010</v>
      </c>
      <c r="S175" s="194">
        <f>IFERROR(INDEX('Both teabags AfterDry'!$D$3:$D$2000,MATCH(H175,'Both teabags AfterDry'!$A$3:$A$2000,0)),"")</f>
        <v>1.3146</v>
      </c>
      <c r="T175" s="194">
        <f>IFERROR(INDEX('Both teabags AfterDry'!$D$3:$D$2000,MATCH(I175,'Both teabags AfterDry'!$A$3:$A$2000,0)),"")</f>
        <v>1.4581</v>
      </c>
      <c r="U175" s="194">
        <f t="shared" si="19"/>
        <v>1.1639999999999999</v>
      </c>
      <c r="V175" s="194">
        <f t="shared" si="20"/>
        <v>1.3074999999999999</v>
      </c>
      <c r="W175" s="194">
        <f>IFERROR(INDEX('Ashed teabags dry'!$K$2:$K$2000,MATCH(H175,'Ashed teabags dry'!$A$2:$A$2000,0)),"")</f>
        <v>14.190157668418236</v>
      </c>
      <c r="X175" s="194">
        <f>IFERROR(INDEX('Ashed teabags dry'!$K$2:$K$2000,MATCH(I175,'Ashed teabags dry'!$A$2:$A$2000,0)),"")</f>
        <v>88.392857142857224</v>
      </c>
      <c r="Y175" s="194">
        <f t="shared" si="15"/>
        <v>0.99882656473961173</v>
      </c>
      <c r="Z175" s="194">
        <f t="shared" si="15"/>
        <v>0.1517633928571418</v>
      </c>
      <c r="AA175" s="194">
        <f t="shared" si="21"/>
        <v>0.4156950563504298</v>
      </c>
      <c r="AB175" s="194">
        <f t="shared" si="22"/>
        <v>0.27252217470954548</v>
      </c>
      <c r="AC175" s="194">
        <f t="shared" si="16"/>
        <v>7.9923310713649026E-2</v>
      </c>
      <c r="AD175">
        <f t="shared" si="23"/>
        <v>71</v>
      </c>
      <c r="AE175" s="194">
        <f t="shared" si="24"/>
        <v>0.50630040813488142</v>
      </c>
      <c r="AF175" s="194" t="str">
        <f t="shared" si="25"/>
        <v/>
      </c>
      <c r="AG175" s="245" t="str">
        <f>IF(ISNUMBER(SEARCH("C", 'Dry_Litterbag Placem_Collection'!$T102)),"YES","NO")</f>
        <v>YES</v>
      </c>
      <c r="AH175" s="245" t="str">
        <f>IF(ISNUMBER(SEARCH("H", 'Dry_Litterbag Placem_Collection'!$T102)),"YES","NO")</f>
        <v>YES</v>
      </c>
      <c r="AI175" s="245" t="str">
        <f>IF(ISNUMBER(SEARCH("R", 'Dry_Litterbag Placem_Collection'!$T102)),"YES","NO")</f>
        <v>NO</v>
      </c>
      <c r="AJ175" s="245" t="str">
        <f>IF(ISNUMBER(SEARCH("C", 'Dry_Litterbag Placem_Collection'!$S102)),"YES","NO")</f>
        <v>YES</v>
      </c>
      <c r="AK175" s="245" t="str">
        <f>IF(ISNUMBER(SEARCH("H", 'Dry_Litterbag Placem_Collection'!$S102)),"YES","NO")</f>
        <v>YES</v>
      </c>
      <c r="AL175" s="245" t="str">
        <f>IF(ISNUMBER(SEARCH("R", 'Dry_Litterbag Placem_Collection'!$S102)),"YES","NO")</f>
        <v>NO</v>
      </c>
    </row>
    <row r="176" spans="2:38">
      <c r="B176" t="str">
        <f>Dryseason!B102</f>
        <v>Dry</v>
      </c>
      <c r="C176" s="253">
        <f>Dryseason!C102</f>
        <v>101</v>
      </c>
      <c r="D176" t="s">
        <v>3116</v>
      </c>
      <c r="E176" t="s">
        <v>22</v>
      </c>
      <c r="F176" s="375">
        <v>5</v>
      </c>
      <c r="G176" s="16">
        <f>IF('Dry_Litterbag Placem_Collection'!E103="","",'Dry_Litterbag Placem_Collection'!E103)</f>
        <v>42939</v>
      </c>
      <c r="H176" t="str">
        <f>Dryseason!L102</f>
        <v>G11</v>
      </c>
      <c r="I176" t="str">
        <f>Dryseason!L322</f>
        <v>R624</v>
      </c>
      <c r="J176">
        <f>IFERROR(INDEX('Green_rooibos initial weight'!$C$5:$C$2000,MATCH(H176, 'Green_rooibos initial weight'!$A$5:$A$2000,0)),"")</f>
        <v>1.839</v>
      </c>
      <c r="K176">
        <f>IFERROR(INDEX('Green_rooibos initial weight'!$C$5:$C$2000,MATCH(I176, 'Green_rooibos initial weight'!$A$5:$A$2000,0)),"")</f>
        <v>2.0739999999999998</v>
      </c>
      <c r="L176" s="194">
        <f t="shared" si="17"/>
        <v>1.5891999999999999</v>
      </c>
      <c r="M176" s="233">
        <f>AVERAGE(Ashed_controlls!$K$1:$K$11)</f>
        <v>5.5147656768714146</v>
      </c>
      <c r="N176" s="194">
        <f t="shared" si="13"/>
        <v>1.5015593438631594</v>
      </c>
      <c r="O176" s="194">
        <f t="shared" si="18"/>
        <v>1.8241999999999998</v>
      </c>
      <c r="P176" s="233">
        <f>AVERAGE(Ashed_controlls!$K$12:$K$14)</f>
        <v>2.2816647271287041</v>
      </c>
      <c r="Q176" s="194">
        <f t="shared" si="14"/>
        <v>1.7825778720477179</v>
      </c>
      <c r="R176" s="16">
        <f>IF('Dry_Litterbag Placem_Collection'!G103="","",'Dry_Litterbag Placem_Collection'!G103)</f>
        <v>43010</v>
      </c>
      <c r="S176" s="194">
        <f>IFERROR(INDEX('Both teabags AfterDry'!$D$3:$D$2000,MATCH(H176,'Both teabags AfterDry'!$A$3:$A$2000,0)),"")</f>
        <v>1.0169999999999999</v>
      </c>
      <c r="T176" s="194">
        <f>IFERROR(INDEX('Both teabags AfterDry'!$D$3:$D$2000,MATCH(I176,'Both teabags AfterDry'!$A$3:$A$2000,0)),"")</f>
        <v>0</v>
      </c>
      <c r="U176" s="194">
        <f t="shared" si="19"/>
        <v>0.86639999999999984</v>
      </c>
      <c r="V176" s="194" t="str">
        <f t="shared" si="20"/>
        <v/>
      </c>
      <c r="W176" s="194">
        <f>IFERROR(INDEX('Ashed teabags dry'!$K$2:$K$2000,MATCH(H176,'Ashed teabags dry'!$A$2:$A$2000,0)),"")</f>
        <v>15.774099318403096</v>
      </c>
      <c r="X176" s="194">
        <f>IFERROR(INDEX('Ashed teabags dry'!$K$2:$K$2000,MATCH(I176,'Ashed teabags dry'!$A$2:$A$2000,0)),"")</f>
        <v>86.281234688877774</v>
      </c>
      <c r="Y176" s="194">
        <f t="shared" si="15"/>
        <v>0.72973320350535542</v>
      </c>
      <c r="Z176" s="194" t="str">
        <f t="shared" si="15"/>
        <v/>
      </c>
      <c r="AA176" s="194">
        <f t="shared" si="21"/>
        <v>0.51401640801759907</v>
      </c>
      <c r="AB176" s="194">
        <f t="shared" si="22"/>
        <v>0.33697987794027873</v>
      </c>
      <c r="AC176" s="194" t="str">
        <f t="shared" si="16"/>
        <v/>
      </c>
      <c r="AD176">
        <f t="shared" si="23"/>
        <v>71</v>
      </c>
      <c r="AE176" s="194">
        <f t="shared" si="24"/>
        <v>0.38952920662992985</v>
      </c>
      <c r="AF176" s="194" t="str">
        <f t="shared" si="25"/>
        <v/>
      </c>
      <c r="AG176" s="245" t="str">
        <f>IF(ISNUMBER(SEARCH("C", 'Dry_Litterbag Placem_Collection'!$T103)),"YES","NO")</f>
        <v>YES</v>
      </c>
      <c r="AH176" s="245" t="str">
        <f>IF(ISNUMBER(SEARCH("H", 'Dry_Litterbag Placem_Collection'!$T103)),"YES","NO")</f>
        <v>YES</v>
      </c>
      <c r="AI176" s="245" t="str">
        <f>IF(ISNUMBER(SEARCH("R", 'Dry_Litterbag Placem_Collection'!$T103)),"YES","NO")</f>
        <v>NO</v>
      </c>
      <c r="AJ176" s="245" t="str">
        <f>IF(ISNUMBER(SEARCH("C", 'Dry_Litterbag Placem_Collection'!$S103)),"YES","NO")</f>
        <v>YES</v>
      </c>
      <c r="AK176" s="245" t="str">
        <f>IF(ISNUMBER(SEARCH("H", 'Dry_Litterbag Placem_Collection'!$S103)),"YES","NO")</f>
        <v>NO</v>
      </c>
      <c r="AL176" s="245" t="str">
        <f>IF(ISNUMBER(SEARCH("R", 'Dry_Litterbag Placem_Collection'!$S103)),"YES","NO")</f>
        <v>NO</v>
      </c>
    </row>
    <row r="177" spans="2:38">
      <c r="B177" t="str">
        <f>Dryseason!B103</f>
        <v>Dry</v>
      </c>
      <c r="C177" s="253">
        <f>Dryseason!C103</f>
        <v>102</v>
      </c>
      <c r="D177" t="s">
        <v>3116</v>
      </c>
      <c r="E177" t="s">
        <v>22</v>
      </c>
      <c r="F177" s="375">
        <v>6</v>
      </c>
      <c r="G177" s="16">
        <f>IF('Dry_Litterbag Placem_Collection'!E104="","",'Dry_Litterbag Placem_Collection'!E104)</f>
        <v>42939</v>
      </c>
      <c r="H177" t="str">
        <f>Dryseason!L103</f>
        <v>G284</v>
      </c>
      <c r="I177" t="str">
        <f>Dryseason!L323</f>
        <v>R781</v>
      </c>
      <c r="J177">
        <f>IFERROR(INDEX('Green_rooibos initial weight'!$C$5:$C$2000,MATCH(H177, 'Green_rooibos initial weight'!$A$5:$A$2000,0)),"")</f>
        <v>2.0760000000000001</v>
      </c>
      <c r="K177">
        <f>IFERROR(INDEX('Green_rooibos initial weight'!$C$5:$C$2000,MATCH(I177, 'Green_rooibos initial weight'!$A$5:$A$2000,0)),"")</f>
        <v>2.194</v>
      </c>
      <c r="L177" s="194">
        <f t="shared" si="17"/>
        <v>1.8262</v>
      </c>
      <c r="M177" s="233">
        <f>AVERAGE(Ashed_controlls!$K$1:$K$11)</f>
        <v>5.5147656768714146</v>
      </c>
      <c r="N177" s="194">
        <f t="shared" si="13"/>
        <v>1.7254893492089742</v>
      </c>
      <c r="O177" s="194">
        <f t="shared" si="18"/>
        <v>1.9441999999999999</v>
      </c>
      <c r="P177" s="233">
        <f>AVERAGE(Ashed_controlls!$K$12:$K$14)</f>
        <v>2.2816647271287041</v>
      </c>
      <c r="Q177" s="194">
        <f t="shared" si="14"/>
        <v>1.8998398743751637</v>
      </c>
      <c r="R177" s="16">
        <f>IF('Dry_Litterbag Placem_Collection'!G104="","",'Dry_Litterbag Placem_Collection'!G104)</f>
        <v>43010</v>
      </c>
      <c r="S177" s="194">
        <f>IFERROR(INDEX('Both teabags AfterDry'!$D$3:$D$2000,MATCH(H177,'Both teabags AfterDry'!$A$3:$A$2000,0)),"")</f>
        <v>1.1585000000000001</v>
      </c>
      <c r="T177" s="194">
        <f>IFERROR(INDEX('Both teabags AfterDry'!$D$3:$D$2000,MATCH(I177,'Both teabags AfterDry'!$A$3:$A$2000,0)),"")</f>
        <v>1.8687</v>
      </c>
      <c r="U177" s="194">
        <f t="shared" si="19"/>
        <v>1.0079</v>
      </c>
      <c r="V177" s="194">
        <f t="shared" si="20"/>
        <v>1.7181</v>
      </c>
      <c r="W177" s="194">
        <f>IFERROR(INDEX('Ashed teabags dry'!$K$2:$K$2000,MATCH(H177,'Ashed teabags dry'!$A$2:$A$2000,0)),"")</f>
        <v>12.200736648250626</v>
      </c>
      <c r="X177" s="194">
        <f>IFERROR(INDEX('Ashed teabags dry'!$K$2:$K$2000,MATCH(I177,'Ashed teabags dry'!$A$2:$A$2000,0)),"")</f>
        <v>3.9305301645336419</v>
      </c>
      <c r="Y177" s="194">
        <f t="shared" si="15"/>
        <v>0.88492877532228198</v>
      </c>
      <c r="Z177" s="194">
        <f t="shared" si="15"/>
        <v>1.6505695612431475</v>
      </c>
      <c r="AA177" s="194">
        <f t="shared" si="21"/>
        <v>0.48714329895576303</v>
      </c>
      <c r="AB177" s="194">
        <f t="shared" si="22"/>
        <v>0.31936235275959768</v>
      </c>
      <c r="AC177" s="194">
        <f t="shared" si="16"/>
        <v>0.86879404075356692</v>
      </c>
      <c r="AD177">
        <f t="shared" si="23"/>
        <v>71</v>
      </c>
      <c r="AE177" s="194">
        <f t="shared" si="24"/>
        <v>0.42144501311667093</v>
      </c>
      <c r="AF177" s="194">
        <f t="shared" si="25"/>
        <v>7.4514487719086605E-3</v>
      </c>
      <c r="AG177" s="245" t="str">
        <f>IF(ISNUMBER(SEARCH("C", 'Dry_Litterbag Placem_Collection'!$T104)),"YES","NO")</f>
        <v>YES</v>
      </c>
      <c r="AH177" s="245" t="str">
        <f>IF(ISNUMBER(SEARCH("H", 'Dry_Litterbag Placem_Collection'!$T104)),"YES","NO")</f>
        <v>YES</v>
      </c>
      <c r="AI177" s="245" t="str">
        <f>IF(ISNUMBER(SEARCH("R", 'Dry_Litterbag Placem_Collection'!$T104)),"YES","NO")</f>
        <v>NO</v>
      </c>
      <c r="AJ177" s="245" t="str">
        <f>IF(ISNUMBER(SEARCH("C", 'Dry_Litterbag Placem_Collection'!$S104)),"YES","NO")</f>
        <v>YES</v>
      </c>
      <c r="AK177" s="245" t="str">
        <f>IF(ISNUMBER(SEARCH("H", 'Dry_Litterbag Placem_Collection'!$S104)),"YES","NO")</f>
        <v>YES</v>
      </c>
      <c r="AL177" s="245" t="str">
        <f>IF(ISNUMBER(SEARCH("R", 'Dry_Litterbag Placem_Collection'!$S104)),"YES","NO")</f>
        <v>NO</v>
      </c>
    </row>
    <row r="178" spans="2:38">
      <c r="B178" t="str">
        <f>Dryseason!B104</f>
        <v>Dry</v>
      </c>
      <c r="C178" s="253">
        <f>Dryseason!C104</f>
        <v>103</v>
      </c>
      <c r="D178" t="s">
        <v>3116</v>
      </c>
      <c r="E178" t="s">
        <v>22</v>
      </c>
      <c r="F178" s="375">
        <v>7</v>
      </c>
      <c r="G178" s="16">
        <f>IF('Dry_Litterbag Placem_Collection'!E105="","",'Dry_Litterbag Placem_Collection'!E105)</f>
        <v>42939</v>
      </c>
      <c r="H178" t="str">
        <f>Dryseason!L104</f>
        <v>G326</v>
      </c>
      <c r="I178" t="str">
        <f>Dryseason!L324</f>
        <v>R772</v>
      </c>
      <c r="J178">
        <f>IFERROR(INDEX('Green_rooibos initial weight'!$C$5:$C$2000,MATCH(H178, 'Green_rooibos initial weight'!$A$5:$A$2000,0)),"")</f>
        <v>2.04</v>
      </c>
      <c r="K178">
        <f>IFERROR(INDEX('Green_rooibos initial weight'!$C$5:$C$2000,MATCH(I178, 'Green_rooibos initial weight'!$A$5:$A$2000,0)),"")</f>
        <v>2.1909999999999998</v>
      </c>
      <c r="L178" s="194">
        <f t="shared" si="17"/>
        <v>1.7902</v>
      </c>
      <c r="M178" s="233">
        <f>AVERAGE(Ashed_controlls!$K$1:$K$11)</f>
        <v>5.5147656768714146</v>
      </c>
      <c r="N178" s="194">
        <f t="shared" si="13"/>
        <v>1.691474664852648</v>
      </c>
      <c r="O178" s="194">
        <f t="shared" si="18"/>
        <v>1.9411999999999998</v>
      </c>
      <c r="P178" s="233">
        <f>AVERAGE(Ashed_controlls!$K$12:$K$14)</f>
        <v>2.2816647271287041</v>
      </c>
      <c r="Q178" s="194">
        <f t="shared" si="14"/>
        <v>1.8969083243169773</v>
      </c>
      <c r="R178" s="16">
        <f>IF('Dry_Litterbag Placem_Collection'!G105="","",'Dry_Litterbag Placem_Collection'!G105)</f>
        <v>43010</v>
      </c>
      <c r="S178" s="194">
        <f>IFERROR(INDEX('Both teabags AfterDry'!$D$3:$D$2000,MATCH(H178,'Both teabags AfterDry'!$A$3:$A$2000,0)),"")</f>
        <v>1.0625</v>
      </c>
      <c r="T178" s="194">
        <f>IFERROR(INDEX('Both teabags AfterDry'!$D$3:$D$2000,MATCH(I178,'Both teabags AfterDry'!$A$3:$A$2000,0)),"")</f>
        <v>1.5579000000000001</v>
      </c>
      <c r="U178" s="194">
        <f t="shared" si="19"/>
        <v>0.91189999999999993</v>
      </c>
      <c r="V178" s="194">
        <f t="shared" si="20"/>
        <v>1.4073</v>
      </c>
      <c r="W178" s="194">
        <f>IFERROR(INDEX('Ashed teabags dry'!$K$2:$K$2000,MATCH(H178,'Ashed teabags dry'!$A$2:$A$2000,0)),"")</f>
        <v>16.846473029045587</v>
      </c>
      <c r="X178" s="194">
        <f>IFERROR(INDEX('Ashed teabags dry'!$K$2:$K$2000,MATCH(I178,'Ashed teabags dry'!$A$2:$A$2000,0)),"")</f>
        <v>79.426490669094463</v>
      </c>
      <c r="Y178" s="194">
        <f t="shared" si="15"/>
        <v>0.75827701244813328</v>
      </c>
      <c r="Z178" s="194">
        <f t="shared" si="15"/>
        <v>0.28953099681383354</v>
      </c>
      <c r="AA178" s="194">
        <f t="shared" si="21"/>
        <v>0.55170655038206551</v>
      </c>
      <c r="AB178" s="194">
        <f t="shared" si="22"/>
        <v>0.36168885488230429</v>
      </c>
      <c r="AC178" s="194">
        <f t="shared" si="16"/>
        <v>0.15263309939771888</v>
      </c>
      <c r="AD178">
        <f t="shared" si="23"/>
        <v>71</v>
      </c>
      <c r="AE178" s="194">
        <f t="shared" si="24"/>
        <v>0.34476656724220245</v>
      </c>
      <c r="AF178" s="194" t="str">
        <f t="shared" si="25"/>
        <v/>
      </c>
      <c r="AG178" s="245" t="str">
        <f>IF(ISNUMBER(SEARCH("C", 'Dry_Litterbag Placem_Collection'!$T105)),"YES","NO")</f>
        <v>YES</v>
      </c>
      <c r="AH178" s="245" t="str">
        <f>IF(ISNUMBER(SEARCH("H", 'Dry_Litterbag Placem_Collection'!$T105)),"YES","NO")</f>
        <v>YES</v>
      </c>
      <c r="AI178" s="245" t="str">
        <f>IF(ISNUMBER(SEARCH("R", 'Dry_Litterbag Placem_Collection'!$T105)),"YES","NO")</f>
        <v>NO</v>
      </c>
      <c r="AJ178" s="245" t="str">
        <f>IF(ISNUMBER(SEARCH("C", 'Dry_Litterbag Placem_Collection'!$S105)),"YES","NO")</f>
        <v>YES</v>
      </c>
      <c r="AK178" s="245" t="str">
        <f>IF(ISNUMBER(SEARCH("H", 'Dry_Litterbag Placem_Collection'!$S105)),"YES","NO")</f>
        <v>YES</v>
      </c>
      <c r="AL178" s="245" t="str">
        <f>IF(ISNUMBER(SEARCH("R", 'Dry_Litterbag Placem_Collection'!$S105)),"YES","NO")</f>
        <v>NO</v>
      </c>
    </row>
    <row r="179" spans="2:38">
      <c r="B179" t="str">
        <f>Dryseason!B105</f>
        <v>Dry</v>
      </c>
      <c r="C179" s="253">
        <f>Dryseason!C105</f>
        <v>104</v>
      </c>
      <c r="D179" t="s">
        <v>3116</v>
      </c>
      <c r="E179" t="s">
        <v>22</v>
      </c>
      <c r="F179" s="375">
        <v>8</v>
      </c>
      <c r="G179" s="16">
        <f>IF('Dry_Litterbag Placem_Collection'!E106="","",'Dry_Litterbag Placem_Collection'!E106)</f>
        <v>42939</v>
      </c>
      <c r="H179" t="str">
        <f>Dryseason!L105</f>
        <v>G162</v>
      </c>
      <c r="I179" t="str">
        <f>Dryseason!L325</f>
        <v>R744</v>
      </c>
      <c r="J179">
        <f>IFERROR(INDEX('Green_rooibos initial weight'!$C$5:$C$2000,MATCH(H179, 'Green_rooibos initial weight'!$A$5:$A$2000,0)),"")</f>
        <v>2.0390000000000001</v>
      </c>
      <c r="K179">
        <f>IFERROR(INDEX('Green_rooibos initial weight'!$C$5:$C$2000,MATCH(I179, 'Green_rooibos initial weight'!$A$5:$A$2000,0)),"")</f>
        <v>2.2280000000000002</v>
      </c>
      <c r="L179" s="194">
        <f t="shared" si="17"/>
        <v>1.7892000000000001</v>
      </c>
      <c r="M179" s="233">
        <f>AVERAGE(Ashed_controlls!$K$1:$K$11)</f>
        <v>5.5147656768714146</v>
      </c>
      <c r="N179" s="194">
        <f t="shared" si="13"/>
        <v>1.6905298125094168</v>
      </c>
      <c r="O179" s="194">
        <f t="shared" si="18"/>
        <v>1.9782000000000002</v>
      </c>
      <c r="P179" s="233">
        <f>AVERAGE(Ashed_controlls!$K$12:$K$14)</f>
        <v>2.2816647271287041</v>
      </c>
      <c r="Q179" s="194">
        <f t="shared" si="14"/>
        <v>1.9330641083679401</v>
      </c>
      <c r="R179" s="16">
        <f>IF('Dry_Litterbag Placem_Collection'!G106="","",'Dry_Litterbag Placem_Collection'!G106)</f>
        <v>43010</v>
      </c>
      <c r="S179" s="194">
        <f>IFERROR(INDEX('Both teabags AfterDry'!$D$3:$D$2000,MATCH(H179,'Both teabags AfterDry'!$A$3:$A$2000,0)),"")</f>
        <v>1.4899</v>
      </c>
      <c r="T179" s="194">
        <f>IFERROR(INDEX('Both teabags AfterDry'!$D$3:$D$2000,MATCH(I179,'Both teabags AfterDry'!$A$3:$A$2000,0)),"")</f>
        <v>0</v>
      </c>
      <c r="U179" s="194">
        <f t="shared" si="19"/>
        <v>1.3392999999999999</v>
      </c>
      <c r="V179" s="194" t="str">
        <f t="shared" si="20"/>
        <v/>
      </c>
      <c r="W179" s="194">
        <f>IFERROR(INDEX('Ashed teabags dry'!$K$2:$K$2000,MATCH(H179,'Ashed teabags dry'!$A$2:$A$2000,0)),"")</f>
        <v>11.975524475524661</v>
      </c>
      <c r="X179" s="194">
        <f>IFERROR(INDEX('Ashed teabags dry'!$K$2:$K$2000,MATCH(I179,'Ashed teabags dry'!$A$2:$A$2000,0)),"")</f>
        <v>84.528487229861895</v>
      </c>
      <c r="Y179" s="194">
        <f t="shared" si="15"/>
        <v>1.1789118006992982</v>
      </c>
      <c r="Z179" s="194" t="str">
        <f t="shared" si="15"/>
        <v/>
      </c>
      <c r="AA179" s="194">
        <f t="shared" si="21"/>
        <v>0.30263767490185489</v>
      </c>
      <c r="AB179" s="194">
        <f t="shared" si="22"/>
        <v>0.19840379637271249</v>
      </c>
      <c r="AC179" s="194" t="str">
        <f t="shared" si="16"/>
        <v/>
      </c>
      <c r="AD179">
        <f t="shared" si="23"/>
        <v>71</v>
      </c>
      <c r="AE179" s="194">
        <f t="shared" si="24"/>
        <v>0.64057283265812959</v>
      </c>
      <c r="AF179" s="194" t="str">
        <f t="shared" si="25"/>
        <v/>
      </c>
      <c r="AG179" s="245" t="str">
        <f>IF(ISNUMBER(SEARCH("C", 'Dry_Litterbag Placem_Collection'!$T106)),"YES","NO")</f>
        <v>YES</v>
      </c>
      <c r="AH179" s="245" t="str">
        <f>IF(ISNUMBER(SEARCH("H", 'Dry_Litterbag Placem_Collection'!$T106)),"YES","NO")</f>
        <v>YES</v>
      </c>
      <c r="AI179" s="245" t="str">
        <f>IF(ISNUMBER(SEARCH("R", 'Dry_Litterbag Placem_Collection'!$T106)),"YES","NO")</f>
        <v>NO</v>
      </c>
      <c r="AJ179" s="245" t="str">
        <f>IF(ISNUMBER(SEARCH("C", 'Dry_Litterbag Placem_Collection'!$S106)),"YES","NO")</f>
        <v>YES</v>
      </c>
      <c r="AK179" s="245" t="str">
        <f>IF(ISNUMBER(SEARCH("H", 'Dry_Litterbag Placem_Collection'!$S106)),"YES","NO")</f>
        <v>NO</v>
      </c>
      <c r="AL179" s="245" t="str">
        <f>IF(ISNUMBER(SEARCH("R", 'Dry_Litterbag Placem_Collection'!$S106)),"YES","NO")</f>
        <v>NO</v>
      </c>
    </row>
    <row r="180" spans="2:38">
      <c r="B180" t="str">
        <f>Dryseason!B106</f>
        <v>Dry</v>
      </c>
      <c r="C180" s="253">
        <f>Dryseason!C106</f>
        <v>105</v>
      </c>
      <c r="D180" t="s">
        <v>3118</v>
      </c>
      <c r="E180" t="s">
        <v>22</v>
      </c>
      <c r="F180" s="374">
        <v>1</v>
      </c>
      <c r="G180" s="16">
        <f>IF('Dry_Litterbag Placem_Collection'!E107="","",'Dry_Litterbag Placem_Collection'!E107)</f>
        <v>42939</v>
      </c>
      <c r="H180" t="str">
        <f>Dryseason!L106</f>
        <v>G6</v>
      </c>
      <c r="I180" t="str">
        <f>Dryseason!L326</f>
        <v>R824</v>
      </c>
      <c r="J180">
        <f>IFERROR(INDEX('Green_rooibos initial weight'!$C$5:$C$2000,MATCH(H180, 'Green_rooibos initial weight'!$A$5:$A$2000,0)),"")</f>
        <v>2.016</v>
      </c>
      <c r="K180">
        <f>IFERROR(INDEX('Green_rooibos initial weight'!$C$5:$C$2000,MATCH(I180, 'Green_rooibos initial weight'!$A$5:$A$2000,0)),"")</f>
        <v>2.173</v>
      </c>
      <c r="L180" s="194">
        <f t="shared" si="17"/>
        <v>1.7662</v>
      </c>
      <c r="M180" s="233">
        <f>AVERAGE(Ashed_controlls!$K$1:$K$11)</f>
        <v>5.5147656768714146</v>
      </c>
      <c r="N180" s="194">
        <f t="shared" si="13"/>
        <v>1.668798208615097</v>
      </c>
      <c r="O180" s="194">
        <f t="shared" si="18"/>
        <v>1.9232</v>
      </c>
      <c r="P180" s="233">
        <f>AVERAGE(Ashed_controlls!$K$12:$K$14)</f>
        <v>2.2816647271287041</v>
      </c>
      <c r="Q180" s="194">
        <f t="shared" si="14"/>
        <v>1.8793190239678608</v>
      </c>
      <c r="R180" s="16">
        <f>IF('Dry_Litterbag Placem_Collection'!G107="","",'Dry_Litterbag Placem_Collection'!G107)</f>
        <v>43010</v>
      </c>
      <c r="S180" s="194">
        <f>IFERROR(INDEX('Both teabags AfterDry'!$D$3:$D$2000,MATCH(H180,'Both teabags AfterDry'!$A$3:$A$2000,0)),"")</f>
        <v>1.1637</v>
      </c>
      <c r="T180" s="194">
        <f>IFERROR(INDEX('Both teabags AfterDry'!$D$3:$D$2000,MATCH(I180,'Both teabags AfterDry'!$A$3:$A$2000,0)),"")</f>
        <v>1.7653000000000001</v>
      </c>
      <c r="U180" s="194">
        <f t="shared" si="19"/>
        <v>1.0130999999999999</v>
      </c>
      <c r="V180" s="194">
        <f t="shared" si="20"/>
        <v>1.6147</v>
      </c>
      <c r="W180" s="194">
        <f>IFERROR(INDEX('Ashed teabags dry'!$K$2:$K$2000,MATCH(H180,'Ashed teabags dry'!$A$2:$A$2000,0)),"")</f>
        <v>24.114832535885235</v>
      </c>
      <c r="X180" s="194">
        <f>IFERROR(INDEX('Ashed teabags dry'!$K$2:$K$2000,MATCH(I180,'Ashed teabags dry'!$A$2:$A$2000,0)),"")</f>
        <v>83.348375451263863</v>
      </c>
      <c r="Y180" s="194">
        <f t="shared" si="15"/>
        <v>0.76879263157894662</v>
      </c>
      <c r="Z180" s="194">
        <f t="shared" si="15"/>
        <v>0.26887378158844233</v>
      </c>
      <c r="AA180" s="194">
        <f t="shared" si="21"/>
        <v>0.53931360447890664</v>
      </c>
      <c r="AB180" s="194">
        <f t="shared" si="22"/>
        <v>0.353564263268832</v>
      </c>
      <c r="AC180" s="194">
        <f t="shared" si="16"/>
        <v>0.1430697918551164</v>
      </c>
      <c r="AD180">
        <f t="shared" si="23"/>
        <v>71</v>
      </c>
      <c r="AE180" s="194">
        <f t="shared" si="24"/>
        <v>0.35948503031008705</v>
      </c>
      <c r="AF180" s="194" t="str">
        <f t="shared" si="25"/>
        <v/>
      </c>
      <c r="AG180" s="245" t="str">
        <f>IF(ISNUMBER(SEARCH("C", 'Dry_Litterbag Placem_Collection'!$T107)),"YES","NO")</f>
        <v>YES</v>
      </c>
      <c r="AH180" s="245" t="str">
        <f>IF(ISNUMBER(SEARCH("H", 'Dry_Litterbag Placem_Collection'!$T107)),"YES","NO")</f>
        <v>YES</v>
      </c>
      <c r="AI180" s="245" t="str">
        <f>IF(ISNUMBER(SEARCH("R", 'Dry_Litterbag Placem_Collection'!$T107)),"YES","NO")</f>
        <v>NO</v>
      </c>
      <c r="AJ180" s="245" t="str">
        <f>IF(ISNUMBER(SEARCH("C", 'Dry_Litterbag Placem_Collection'!$S107)),"YES","NO")</f>
        <v>NO</v>
      </c>
      <c r="AK180" s="245" t="str">
        <f>IF(ISNUMBER(SEARCH("H", 'Dry_Litterbag Placem_Collection'!$S107)),"YES","NO")</f>
        <v>NO</v>
      </c>
      <c r="AL180" s="245" t="str">
        <f>IF(ISNUMBER(SEARCH("R", 'Dry_Litterbag Placem_Collection'!$S107)),"YES","NO")</f>
        <v>NO</v>
      </c>
    </row>
    <row r="181" spans="2:38">
      <c r="B181" t="str">
        <f>Dryseason!B107</f>
        <v>Dry</v>
      </c>
      <c r="C181" s="253">
        <f>Dryseason!C107</f>
        <v>106</v>
      </c>
      <c r="D181" t="s">
        <v>3118</v>
      </c>
      <c r="E181" t="s">
        <v>22</v>
      </c>
      <c r="F181" s="374">
        <v>2</v>
      </c>
      <c r="G181" s="16">
        <f>IF('Dry_Litterbag Placem_Collection'!E108="","",'Dry_Litterbag Placem_Collection'!E108)</f>
        <v>42939</v>
      </c>
      <c r="H181" t="str">
        <f>Dryseason!L107</f>
        <v>G20</v>
      </c>
      <c r="I181" t="str">
        <f>Dryseason!L327</f>
        <v>R790</v>
      </c>
      <c r="J181">
        <f>IFERROR(INDEX('Green_rooibos initial weight'!$C$5:$C$2000,MATCH(H181, 'Green_rooibos initial weight'!$A$5:$A$2000,0)),"")</f>
        <v>2.032</v>
      </c>
      <c r="K181">
        <f>IFERROR(INDEX('Green_rooibos initial weight'!$C$5:$C$2000,MATCH(I181, 'Green_rooibos initial weight'!$A$5:$A$2000,0)),"")</f>
        <v>2.266</v>
      </c>
      <c r="L181" s="194">
        <f t="shared" si="17"/>
        <v>1.7822</v>
      </c>
      <c r="M181" s="233">
        <f>AVERAGE(Ashed_controlls!$K$1:$K$11)</f>
        <v>5.5147656768714146</v>
      </c>
      <c r="N181" s="194">
        <f t="shared" si="13"/>
        <v>1.6839158461067976</v>
      </c>
      <c r="O181" s="194">
        <f t="shared" si="18"/>
        <v>2.0162</v>
      </c>
      <c r="P181" s="233">
        <f>AVERAGE(Ashed_controlls!$K$12:$K$14)</f>
        <v>2.2816647271287041</v>
      </c>
      <c r="Q181" s="194">
        <f t="shared" si="14"/>
        <v>1.9701970757716312</v>
      </c>
      <c r="R181" s="16">
        <f>IF('Dry_Litterbag Placem_Collection'!G108="","",'Dry_Litterbag Placem_Collection'!G108)</f>
        <v>43010</v>
      </c>
      <c r="S181" s="194">
        <f>IFERROR(INDEX('Both teabags AfterDry'!$D$3:$D$2000,MATCH(H181,'Both teabags AfterDry'!$A$3:$A$2000,0)),"")</f>
        <v>1.0826</v>
      </c>
      <c r="T181" s="194">
        <f>IFERROR(INDEX('Both teabags AfterDry'!$D$3:$D$2000,MATCH(I181,'Both teabags AfterDry'!$A$3:$A$2000,0)),"")</f>
        <v>2.2315</v>
      </c>
      <c r="U181" s="194">
        <f t="shared" si="19"/>
        <v>0.93199999999999994</v>
      </c>
      <c r="V181" s="194">
        <f t="shared" si="20"/>
        <v>2.0809000000000002</v>
      </c>
      <c r="W181" s="194">
        <f>IFERROR(INDEX('Ashed teabags dry'!$K$2:$K$2000,MATCH(H181,'Ashed teabags dry'!$A$2:$A$2000,0)),"")</f>
        <v>11.814345991561</v>
      </c>
      <c r="X181" s="194">
        <f>IFERROR(INDEX('Ashed teabags dry'!$K$2:$K$2000,MATCH(I181,'Ashed teabags dry'!$A$2:$A$2000,0)),"")</f>
        <v>81.485100146555695</v>
      </c>
      <c r="Y181" s="194">
        <f t="shared" si="15"/>
        <v>0.82189029535865143</v>
      </c>
      <c r="Z181" s="194">
        <f t="shared" si="15"/>
        <v>0.38527655105032244</v>
      </c>
      <c r="AA181" s="194">
        <f t="shared" si="21"/>
        <v>0.51191723905986364</v>
      </c>
      <c r="AB181" s="194">
        <f t="shared" si="22"/>
        <v>0.33560370066632395</v>
      </c>
      <c r="AC181" s="194">
        <f t="shared" si="16"/>
        <v>0.1955522905744991</v>
      </c>
      <c r="AD181">
        <f t="shared" si="23"/>
        <v>71</v>
      </c>
      <c r="AE181" s="194">
        <f t="shared" si="24"/>
        <v>0.39202228140158712</v>
      </c>
      <c r="AF181" s="194" t="str">
        <f t="shared" si="25"/>
        <v/>
      </c>
      <c r="AG181" s="245" t="str">
        <f>IF(ISNUMBER(SEARCH("C", 'Dry_Litterbag Placem_Collection'!$T108)),"YES","NO")</f>
        <v>YES</v>
      </c>
      <c r="AH181" s="245" t="str">
        <f>IF(ISNUMBER(SEARCH("H", 'Dry_Litterbag Placem_Collection'!$T108)),"YES","NO")</f>
        <v>YES</v>
      </c>
      <c r="AI181" s="245" t="str">
        <f>IF(ISNUMBER(SEARCH("R", 'Dry_Litterbag Placem_Collection'!$T108)),"YES","NO")</f>
        <v>NO</v>
      </c>
      <c r="AJ181" s="245" t="str">
        <f>IF(ISNUMBER(SEARCH("C", 'Dry_Litterbag Placem_Collection'!$S108)),"YES","NO")</f>
        <v>NO</v>
      </c>
      <c r="AK181" s="245" t="str">
        <f>IF(ISNUMBER(SEARCH("H", 'Dry_Litterbag Placem_Collection'!$S108)),"YES","NO")</f>
        <v>YES</v>
      </c>
      <c r="AL181" s="245" t="str">
        <f>IF(ISNUMBER(SEARCH("R", 'Dry_Litterbag Placem_Collection'!$S108)),"YES","NO")</f>
        <v>NO</v>
      </c>
    </row>
    <row r="182" spans="2:38">
      <c r="B182" t="str">
        <f>Dryseason!B108</f>
        <v>Dry</v>
      </c>
      <c r="C182" s="253">
        <f>Dryseason!C108</f>
        <v>107</v>
      </c>
      <c r="D182" t="s">
        <v>3118</v>
      </c>
      <c r="E182" t="s">
        <v>22</v>
      </c>
      <c r="F182" s="374">
        <v>3</v>
      </c>
      <c r="G182" s="16">
        <f>IF('Dry_Litterbag Placem_Collection'!E109="","",'Dry_Litterbag Placem_Collection'!E109)</f>
        <v>42939</v>
      </c>
      <c r="H182" t="str">
        <f>Dryseason!L108</f>
        <v>G129</v>
      </c>
      <c r="I182" t="str">
        <f>Dryseason!L328</f>
        <v>R809</v>
      </c>
      <c r="J182">
        <f>IFERROR(INDEX('Green_rooibos initial weight'!$C$5:$C$2000,MATCH(H182, 'Green_rooibos initial weight'!$A$5:$A$2000,0)),"")</f>
        <v>1.9630000000000001</v>
      </c>
      <c r="K182">
        <f>IFERROR(INDEX('Green_rooibos initial weight'!$C$5:$C$2000,MATCH(I182, 'Green_rooibos initial weight'!$A$5:$A$2000,0)),"")</f>
        <v>2.2210000000000001</v>
      </c>
      <c r="L182" s="194">
        <f t="shared" si="17"/>
        <v>1.7132000000000001</v>
      </c>
      <c r="M182" s="233">
        <f>AVERAGE(Ashed_controlls!$K$1:$K$11)</f>
        <v>5.5147656768714146</v>
      </c>
      <c r="N182" s="194">
        <f t="shared" si="13"/>
        <v>1.618721034423839</v>
      </c>
      <c r="O182" s="194">
        <f t="shared" si="18"/>
        <v>1.9712000000000001</v>
      </c>
      <c r="P182" s="233">
        <f>AVERAGE(Ashed_controlls!$K$12:$K$14)</f>
        <v>2.2816647271287041</v>
      </c>
      <c r="Q182" s="194">
        <f t="shared" si="14"/>
        <v>1.926223824898839</v>
      </c>
      <c r="R182" s="16">
        <f>IF('Dry_Litterbag Placem_Collection'!G109="","",'Dry_Litterbag Placem_Collection'!G109)</f>
        <v>43010</v>
      </c>
      <c r="S182" s="194" t="str">
        <f>IFERROR(INDEX('Both teabags AfterDry'!$D$3:$D$2000,MATCH(H182,'Both teabags AfterDry'!$A$3:$A$2000,0)),"")</f>
        <v/>
      </c>
      <c r="T182" s="194" t="str">
        <f>IFERROR(INDEX('Both teabags AfterDry'!$D$3:$D$2000,MATCH(I182,'Both teabags AfterDry'!$A$3:$A$2000,0)),"")</f>
        <v/>
      </c>
      <c r="U182" s="194" t="str">
        <f t="shared" si="19"/>
        <v/>
      </c>
      <c r="V182" s="194" t="str">
        <f t="shared" si="20"/>
        <v/>
      </c>
      <c r="W182" s="194" t="str">
        <f>IFERROR(INDEX('Ashed teabags dry'!$K$2:$K$2000,MATCH(H182,'Ashed teabags dry'!$A$2:$A$2000,0)),"")</f>
        <v/>
      </c>
      <c r="X182" s="194" t="str">
        <f>IFERROR(INDEX('Ashed teabags dry'!$K$2:$K$2000,MATCH(I182,'Ashed teabags dry'!$A$2:$A$2000,0)),"")</f>
        <v/>
      </c>
      <c r="Y182" s="194" t="str">
        <f t="shared" si="15"/>
        <v/>
      </c>
      <c r="Z182" s="194" t="str">
        <f t="shared" si="15"/>
        <v/>
      </c>
      <c r="AA182" s="194" t="str">
        <f t="shared" si="21"/>
        <v/>
      </c>
      <c r="AB182" s="194" t="str">
        <f t="shared" si="22"/>
        <v/>
      </c>
      <c r="AC182" s="194" t="str">
        <f t="shared" si="16"/>
        <v/>
      </c>
      <c r="AD182">
        <f t="shared" si="23"/>
        <v>71</v>
      </c>
      <c r="AE182" s="194" t="str">
        <f t="shared" si="24"/>
        <v/>
      </c>
      <c r="AF182" s="194" t="str">
        <f t="shared" si="25"/>
        <v/>
      </c>
      <c r="AG182" s="245" t="str">
        <f>IF(ISNUMBER(SEARCH("C", 'Dry_Litterbag Placem_Collection'!$T109)),"YES","NO")</f>
        <v>YES</v>
      </c>
      <c r="AH182" s="245" t="str">
        <f>IF(ISNUMBER(SEARCH("H", 'Dry_Litterbag Placem_Collection'!$T109)),"YES","NO")</f>
        <v>YES</v>
      </c>
      <c r="AI182" s="245" t="str">
        <f>IF(ISNUMBER(SEARCH("R", 'Dry_Litterbag Placem_Collection'!$T109)),"YES","NO")</f>
        <v>NO</v>
      </c>
      <c r="AJ182" s="245" t="str">
        <f>IF(ISNUMBER(SEARCH("C", 'Dry_Litterbag Placem_Collection'!$S109)),"YES","NO")</f>
        <v>YES</v>
      </c>
      <c r="AK182" s="245" t="str">
        <f>IF(ISNUMBER(SEARCH("H", 'Dry_Litterbag Placem_Collection'!$S109)),"YES","NO")</f>
        <v>YES</v>
      </c>
      <c r="AL182" s="245" t="str">
        <f>IF(ISNUMBER(SEARCH("R", 'Dry_Litterbag Placem_Collection'!$S109)),"YES","NO")</f>
        <v>NO</v>
      </c>
    </row>
    <row r="183" spans="2:38">
      <c r="B183" t="str">
        <f>Dryseason!B109</f>
        <v>Dry</v>
      </c>
      <c r="C183" s="253">
        <f>Dryseason!C109</f>
        <v>108</v>
      </c>
      <c r="D183" t="s">
        <v>3118</v>
      </c>
      <c r="E183" t="s">
        <v>22</v>
      </c>
      <c r="F183" s="375">
        <v>4</v>
      </c>
      <c r="G183" s="16">
        <f>IF('Dry_Litterbag Placem_Collection'!E110="","",'Dry_Litterbag Placem_Collection'!E110)</f>
        <v>42939</v>
      </c>
      <c r="H183" t="str">
        <f>Dryseason!L109</f>
        <v>G258</v>
      </c>
      <c r="I183" t="str">
        <f>Dryseason!L329</f>
        <v>R777</v>
      </c>
      <c r="J183">
        <f>IFERROR(INDEX('Green_rooibos initial weight'!$C$5:$C$2000,MATCH(H183, 'Green_rooibos initial weight'!$A$5:$A$2000,0)),"")</f>
        <v>2.1280000000000001</v>
      </c>
      <c r="K183">
        <f>IFERROR(INDEX('Green_rooibos initial weight'!$C$5:$C$2000,MATCH(I183, 'Green_rooibos initial weight'!$A$5:$A$2000,0)),"")</f>
        <v>2.2549999999999999</v>
      </c>
      <c r="L183" s="194">
        <f t="shared" si="17"/>
        <v>1.8782000000000001</v>
      </c>
      <c r="M183" s="233">
        <f>AVERAGE(Ashed_controlls!$K$1:$K$11)</f>
        <v>5.5147656768714146</v>
      </c>
      <c r="N183" s="194">
        <f t="shared" si="13"/>
        <v>1.7746216710570011</v>
      </c>
      <c r="O183" s="194">
        <f t="shared" si="18"/>
        <v>2.0051999999999999</v>
      </c>
      <c r="P183" s="233">
        <f>AVERAGE(Ashed_controlls!$K$12:$K$14)</f>
        <v>2.2816647271287041</v>
      </c>
      <c r="Q183" s="194">
        <f t="shared" si="14"/>
        <v>1.959448058891615</v>
      </c>
      <c r="R183" s="16">
        <f>IF('Dry_Litterbag Placem_Collection'!G110="","",'Dry_Litterbag Placem_Collection'!G110)</f>
        <v>43010</v>
      </c>
      <c r="S183" s="194">
        <f>IFERROR(INDEX('Both teabags AfterDry'!$D$3:$D$2000,MATCH(H183,'Both teabags AfterDry'!$A$3:$A$2000,0)),"")</f>
        <v>0.92730000000000001</v>
      </c>
      <c r="T183" s="194">
        <f>IFERROR(INDEX('Both teabags AfterDry'!$D$3:$D$2000,MATCH(I183,'Both teabags AfterDry'!$A$3:$A$2000,0)),"")</f>
        <v>1.8240000000000001</v>
      </c>
      <c r="U183" s="194">
        <f t="shared" si="19"/>
        <v>0.77669999999999995</v>
      </c>
      <c r="V183" s="194">
        <f t="shared" si="20"/>
        <v>1.6734</v>
      </c>
      <c r="W183" s="194">
        <f>IFERROR(INDEX('Ashed teabags dry'!$K$2:$K$2000,MATCH(H183,'Ashed teabags dry'!$A$2:$A$2000,0)),"")</f>
        <v>20.211233797408489</v>
      </c>
      <c r="X183" s="194">
        <f>IFERROR(INDEX('Ashed teabags dry'!$K$2:$K$2000,MATCH(I183,'Ashed teabags dry'!$A$2:$A$2000,0)),"")</f>
        <v>4.6835443037977491</v>
      </c>
      <c r="Y183" s="194">
        <f t="shared" si="15"/>
        <v>0.61971934709552823</v>
      </c>
      <c r="Z183" s="194">
        <f t="shared" si="15"/>
        <v>1.5950255696202484</v>
      </c>
      <c r="AA183" s="194">
        <f t="shared" si="21"/>
        <v>0.65078790752825044</v>
      </c>
      <c r="AB183" s="194">
        <f t="shared" si="22"/>
        <v>0.42664480398526639</v>
      </c>
      <c r="AC183" s="194">
        <f t="shared" si="16"/>
        <v>0.81401778545867332</v>
      </c>
      <c r="AD183">
        <f t="shared" si="23"/>
        <v>71</v>
      </c>
      <c r="AE183" s="194">
        <f t="shared" si="24"/>
        <v>0.22709274640350297</v>
      </c>
      <c r="AF183" s="194">
        <f t="shared" si="25"/>
        <v>8.0641678529666978E-3</v>
      </c>
      <c r="AG183" s="245" t="str">
        <f>IF(ISNUMBER(SEARCH("C", 'Dry_Litterbag Placem_Collection'!$T110)),"YES","NO")</f>
        <v>NO</v>
      </c>
      <c r="AH183" s="245" t="str">
        <f>IF(ISNUMBER(SEARCH("H", 'Dry_Litterbag Placem_Collection'!$T110)),"YES","NO")</f>
        <v>NO</v>
      </c>
      <c r="AI183" s="245" t="str">
        <f>IF(ISNUMBER(SEARCH("R", 'Dry_Litterbag Placem_Collection'!$T110)),"YES","NO")</f>
        <v>NO</v>
      </c>
      <c r="AJ183" s="245" t="str">
        <f>IF(ISNUMBER(SEARCH("C", 'Dry_Litterbag Placem_Collection'!$S110)),"YES","NO")</f>
        <v>YES</v>
      </c>
      <c r="AK183" s="245" t="str">
        <f>IF(ISNUMBER(SEARCH("H", 'Dry_Litterbag Placem_Collection'!$S110)),"YES","NO")</f>
        <v>NO</v>
      </c>
      <c r="AL183" s="245" t="str">
        <f>IF(ISNUMBER(SEARCH("R", 'Dry_Litterbag Placem_Collection'!$S110)),"YES","NO")</f>
        <v>NO</v>
      </c>
    </row>
    <row r="184" spans="2:38">
      <c r="B184" t="str">
        <f>Dryseason!B110</f>
        <v>Dry</v>
      </c>
      <c r="C184" s="253">
        <f>Dryseason!C110</f>
        <v>109</v>
      </c>
      <c r="D184" t="s">
        <v>3118</v>
      </c>
      <c r="E184" t="s">
        <v>22</v>
      </c>
      <c r="F184" s="375">
        <v>5</v>
      </c>
      <c r="G184" s="16">
        <f>IF('Dry_Litterbag Placem_Collection'!E111="","",'Dry_Litterbag Placem_Collection'!E111)</f>
        <v>42939</v>
      </c>
      <c r="H184" t="str">
        <f>Dryseason!L110</f>
        <v>G294</v>
      </c>
      <c r="I184" t="str">
        <f>Dryseason!L330</f>
        <v>R804</v>
      </c>
      <c r="J184">
        <f>IFERROR(INDEX('Green_rooibos initial weight'!$C$5:$C$2000,MATCH(H184, 'Green_rooibos initial weight'!$A$5:$A$2000,0)),"")</f>
        <v>1.994</v>
      </c>
      <c r="K184">
        <f>IFERROR(INDEX('Green_rooibos initial weight'!$C$5:$C$2000,MATCH(I184, 'Green_rooibos initial weight'!$A$5:$A$2000,0)),"")</f>
        <v>2.1960000000000002</v>
      </c>
      <c r="L184" s="194">
        <f t="shared" si="17"/>
        <v>1.7442</v>
      </c>
      <c r="M184" s="233">
        <f>AVERAGE(Ashed_controlls!$K$1:$K$11)</f>
        <v>5.5147656768714146</v>
      </c>
      <c r="N184" s="194">
        <f t="shared" si="13"/>
        <v>1.6480114570640088</v>
      </c>
      <c r="O184" s="194">
        <f t="shared" si="18"/>
        <v>1.9462000000000002</v>
      </c>
      <c r="P184" s="233">
        <f>AVERAGE(Ashed_controlls!$K$12:$K$14)</f>
        <v>2.2816647271287041</v>
      </c>
      <c r="Q184" s="194">
        <f t="shared" si="14"/>
        <v>1.9017942410806212</v>
      </c>
      <c r="R184" s="16">
        <f>IF('Dry_Litterbag Placem_Collection'!G111="","",'Dry_Litterbag Placem_Collection'!G111)</f>
        <v>43010</v>
      </c>
      <c r="S184" s="194">
        <f>IFERROR(INDEX('Both teabags AfterDry'!$D$3:$D$2000,MATCH(H184,'Both teabags AfterDry'!$A$3:$A$2000,0)),"")</f>
        <v>0.93010000000000004</v>
      </c>
      <c r="T184" s="194">
        <f>IFERROR(INDEX('Both teabags AfterDry'!$D$3:$D$2000,MATCH(I184,'Both teabags AfterDry'!$A$3:$A$2000,0)),"")</f>
        <v>1.3936999999999999</v>
      </c>
      <c r="U184" s="194">
        <f t="shared" si="19"/>
        <v>0.77950000000000008</v>
      </c>
      <c r="V184" s="194">
        <f t="shared" si="20"/>
        <v>1.2430999999999999</v>
      </c>
      <c r="W184" s="194">
        <f>IFERROR(INDEX('Ashed teabags dry'!$K$2:$K$2000,MATCH(H184,'Ashed teabags dry'!$A$2:$A$2000,0)),"")</f>
        <v>29.671832269827163</v>
      </c>
      <c r="X184" s="194">
        <f>IFERROR(INDEX('Ashed teabags dry'!$K$2:$K$2000,MATCH(I184,'Ashed teabags dry'!$A$2:$A$2000,0)),"")</f>
        <v>71.520554730063893</v>
      </c>
      <c r="Y184" s="194">
        <f t="shared" si="15"/>
        <v>0.54820806745669737</v>
      </c>
      <c r="Z184" s="194">
        <f t="shared" si="15"/>
        <v>0.35402798415057579</v>
      </c>
      <c r="AA184" s="194">
        <f t="shared" si="21"/>
        <v>0.6673517862349394</v>
      </c>
      <c r="AB184" s="194">
        <f t="shared" si="22"/>
        <v>0.43750378384998412</v>
      </c>
      <c r="AC184" s="194">
        <f t="shared" si="16"/>
        <v>0.18615472510286551</v>
      </c>
      <c r="AD184">
        <f t="shared" si="23"/>
        <v>71</v>
      </c>
      <c r="AE184" s="194">
        <f t="shared" si="24"/>
        <v>0.2074206814311883</v>
      </c>
      <c r="AF184" s="194" t="str">
        <f t="shared" si="25"/>
        <v/>
      </c>
      <c r="AG184" s="245" t="str">
        <f>IF(ISNUMBER(SEARCH("C", 'Dry_Litterbag Placem_Collection'!$T111)),"YES","NO")</f>
        <v>YES</v>
      </c>
      <c r="AH184" s="245" t="str">
        <f>IF(ISNUMBER(SEARCH("H", 'Dry_Litterbag Placem_Collection'!$T111)),"YES","NO")</f>
        <v>YES</v>
      </c>
      <c r="AI184" s="245" t="str">
        <f>IF(ISNUMBER(SEARCH("R", 'Dry_Litterbag Placem_Collection'!$T111)),"YES","NO")</f>
        <v>NO</v>
      </c>
      <c r="AJ184" s="245" t="str">
        <f>IF(ISNUMBER(SEARCH("C", 'Dry_Litterbag Placem_Collection'!$S111)),"YES","NO")</f>
        <v>NO</v>
      </c>
      <c r="AK184" s="245" t="str">
        <f>IF(ISNUMBER(SEARCH("H", 'Dry_Litterbag Placem_Collection'!$S111)),"YES","NO")</f>
        <v>NO</v>
      </c>
      <c r="AL184" s="245" t="str">
        <f>IF(ISNUMBER(SEARCH("R", 'Dry_Litterbag Placem_Collection'!$S111)),"YES","NO")</f>
        <v>NO</v>
      </c>
    </row>
    <row r="185" spans="2:38">
      <c r="B185" t="str">
        <f>Dryseason!B111</f>
        <v>Dry</v>
      </c>
      <c r="C185" s="253">
        <f>Dryseason!C111</f>
        <v>110</v>
      </c>
      <c r="D185" t="s">
        <v>3118</v>
      </c>
      <c r="E185" t="s">
        <v>22</v>
      </c>
      <c r="F185" s="375">
        <v>6</v>
      </c>
      <c r="G185" s="16">
        <f>IF('Dry_Litterbag Placem_Collection'!E112="","",'Dry_Litterbag Placem_Collection'!E112)</f>
        <v>42939</v>
      </c>
      <c r="H185" t="str">
        <f>Dryseason!L111</f>
        <v>G350</v>
      </c>
      <c r="I185" t="str">
        <f>Dryseason!L331</f>
        <v>R786</v>
      </c>
      <c r="J185">
        <f>IFERROR(INDEX('Green_rooibos initial weight'!$C$5:$C$2000,MATCH(H185, 'Green_rooibos initial weight'!$A$5:$A$2000,0)),"")</f>
        <v>2.0640000000000001</v>
      </c>
      <c r="K185">
        <f>IFERROR(INDEX('Green_rooibos initial weight'!$C$5:$C$2000,MATCH(I185, 'Green_rooibos initial weight'!$A$5:$A$2000,0)),"")</f>
        <v>2.177</v>
      </c>
      <c r="L185" s="194">
        <f t="shared" si="17"/>
        <v>1.8142</v>
      </c>
      <c r="M185" s="233">
        <f>AVERAGE(Ashed_controlls!$K$1:$K$11)</f>
        <v>5.5147656768714146</v>
      </c>
      <c r="N185" s="194">
        <f t="shared" si="13"/>
        <v>1.7141511210901987</v>
      </c>
      <c r="O185" s="194">
        <f t="shared" si="18"/>
        <v>1.9272</v>
      </c>
      <c r="P185" s="233">
        <f>AVERAGE(Ashed_controlls!$K$12:$K$14)</f>
        <v>2.2816647271287041</v>
      </c>
      <c r="Q185" s="194">
        <f t="shared" si="14"/>
        <v>1.8832277573787757</v>
      </c>
      <c r="R185" s="16">
        <f>IF('Dry_Litterbag Placem_Collection'!G112="","",'Dry_Litterbag Placem_Collection'!G112)</f>
        <v>43010</v>
      </c>
      <c r="S185" s="194">
        <f>IFERROR(INDEX('Both teabags AfterDry'!$D$3:$D$2000,MATCH(H185,'Both teabags AfterDry'!$A$3:$A$2000,0)),"")</f>
        <v>0.95640000000000003</v>
      </c>
      <c r="T185" s="194">
        <f>IFERROR(INDEX('Both teabags AfterDry'!$D$3:$D$2000,MATCH(I185,'Both teabags AfterDry'!$A$3:$A$2000,0)),"")</f>
        <v>1.7806</v>
      </c>
      <c r="U185" s="194">
        <f t="shared" si="19"/>
        <v>0.80580000000000007</v>
      </c>
      <c r="V185" s="194">
        <f t="shared" si="20"/>
        <v>1.63</v>
      </c>
      <c r="W185" s="194">
        <f>IFERROR(INDEX('Ashed teabags dry'!$K$2:$K$2000,MATCH(H185,'Ashed teabags dry'!$A$2:$A$2000,0)),"")</f>
        <v>19.624497094323072</v>
      </c>
      <c r="X185" s="194">
        <f>IFERROR(INDEX('Ashed teabags dry'!$K$2:$K$2000,MATCH(I185,'Ashed teabags dry'!$A$2:$A$2000,0)),"")</f>
        <v>88.700312639571393</v>
      </c>
      <c r="Y185" s="194">
        <f t="shared" si="15"/>
        <v>0.64766580241394478</v>
      </c>
      <c r="Z185" s="194">
        <f t="shared" si="15"/>
        <v>0.18418490397498632</v>
      </c>
      <c r="AA185" s="194">
        <f t="shared" si="21"/>
        <v>0.62216528376912894</v>
      </c>
      <c r="AB185" s="194">
        <f t="shared" si="22"/>
        <v>0.40788032855173301</v>
      </c>
      <c r="AC185" s="194">
        <f t="shared" si="16"/>
        <v>9.7802776776904216E-2</v>
      </c>
      <c r="AD185">
        <f t="shared" si="23"/>
        <v>71</v>
      </c>
      <c r="AE185" s="194">
        <f t="shared" si="24"/>
        <v>0.26108636131932428</v>
      </c>
      <c r="AF185" s="194" t="str">
        <f t="shared" si="25"/>
        <v/>
      </c>
      <c r="AG185" s="245" t="str">
        <f>IF(ISNUMBER(SEARCH("C", 'Dry_Litterbag Placem_Collection'!$T112)),"YES","NO")</f>
        <v>YES</v>
      </c>
      <c r="AH185" s="245" t="str">
        <f>IF(ISNUMBER(SEARCH("H", 'Dry_Litterbag Placem_Collection'!$T112)),"YES","NO")</f>
        <v>YES</v>
      </c>
      <c r="AI185" s="245" t="str">
        <f>IF(ISNUMBER(SEARCH("R", 'Dry_Litterbag Placem_Collection'!$T112)),"YES","NO")</f>
        <v>NO</v>
      </c>
      <c r="AJ185" s="245" t="str">
        <f>IF(ISNUMBER(SEARCH("C", 'Dry_Litterbag Placem_Collection'!$S112)),"YES","NO")</f>
        <v>YES</v>
      </c>
      <c r="AK185" s="245" t="str">
        <f>IF(ISNUMBER(SEARCH("H", 'Dry_Litterbag Placem_Collection'!$S112)),"YES","NO")</f>
        <v>YES</v>
      </c>
      <c r="AL185" s="245" t="str">
        <f>IF(ISNUMBER(SEARCH("R", 'Dry_Litterbag Placem_Collection'!$S112)),"YES","NO")</f>
        <v>NO</v>
      </c>
    </row>
    <row r="186" spans="2:38">
      <c r="B186" t="str">
        <f>Dryseason!B112</f>
        <v>Dry</v>
      </c>
      <c r="C186" s="253">
        <f>Dryseason!C112</f>
        <v>111</v>
      </c>
      <c r="D186" t="s">
        <v>3118</v>
      </c>
      <c r="E186" t="s">
        <v>22</v>
      </c>
      <c r="F186" s="375">
        <v>7</v>
      </c>
      <c r="G186" s="16">
        <f>IF('Dry_Litterbag Placem_Collection'!E113="","",'Dry_Litterbag Placem_Collection'!E113)</f>
        <v>42939</v>
      </c>
      <c r="H186" t="str">
        <f>Dryseason!L112</f>
        <v>G274</v>
      </c>
      <c r="I186" t="str">
        <f>Dryseason!L332</f>
        <v>R835</v>
      </c>
      <c r="J186">
        <f>IFERROR(INDEX('Green_rooibos initial weight'!$C$5:$C$2000,MATCH(H186, 'Green_rooibos initial weight'!$A$5:$A$2000,0)),"")</f>
        <v>2.12</v>
      </c>
      <c r="K186">
        <f>IFERROR(INDEX('Green_rooibos initial weight'!$C$5:$C$2000,MATCH(I186, 'Green_rooibos initial weight'!$A$5:$A$2000,0)),"")</f>
        <v>2.15</v>
      </c>
      <c r="L186" s="194">
        <f t="shared" si="17"/>
        <v>1.8702000000000001</v>
      </c>
      <c r="M186" s="233">
        <f>AVERAGE(Ashed_controlls!$K$1:$K$11)</f>
        <v>5.5147656768714146</v>
      </c>
      <c r="N186" s="194">
        <f t="shared" si="13"/>
        <v>1.7670628523111509</v>
      </c>
      <c r="O186" s="194">
        <f t="shared" si="18"/>
        <v>1.9001999999999999</v>
      </c>
      <c r="P186" s="233">
        <f>AVERAGE(Ashed_controlls!$K$12:$K$14)</f>
        <v>2.2816647271287041</v>
      </c>
      <c r="Q186" s="194">
        <f t="shared" si="14"/>
        <v>1.8568438068551003</v>
      </c>
      <c r="R186" s="16">
        <f>IF('Dry_Litterbag Placem_Collection'!G113="","",'Dry_Litterbag Placem_Collection'!G113)</f>
        <v>43010</v>
      </c>
      <c r="S186" s="194">
        <f>IFERROR(INDEX('Both teabags AfterDry'!$D$3:$D$2000,MATCH(H186,'Both teabags AfterDry'!$A$3:$A$2000,0)),"")</f>
        <v>1.0779000000000001</v>
      </c>
      <c r="T186" s="194">
        <f>IFERROR(INDEX('Both teabags AfterDry'!$D$3:$D$2000,MATCH(I186,'Both teabags AfterDry'!$A$3:$A$2000,0)),"")</f>
        <v>1.7563</v>
      </c>
      <c r="U186" s="194">
        <f t="shared" si="19"/>
        <v>0.92730000000000001</v>
      </c>
      <c r="V186" s="194">
        <f t="shared" si="20"/>
        <v>1.6056999999999999</v>
      </c>
      <c r="W186" s="194">
        <f>IFERROR(INDEX('Ashed teabags dry'!$K$2:$K$2000,MATCH(H186,'Ashed teabags dry'!$A$2:$A$2000,0)),"")</f>
        <v>17.275747508306221</v>
      </c>
      <c r="X186" s="194">
        <f>IFERROR(INDEX('Ashed teabags dry'!$K$2:$K$2000,MATCH(I186,'Ashed teabags dry'!$A$2:$A$2000,0)),"")</f>
        <v>4.065040650406667</v>
      </c>
      <c r="Y186" s="194">
        <f t="shared" si="15"/>
        <v>0.76710199335547635</v>
      </c>
      <c r="Z186" s="194">
        <f t="shared" si="15"/>
        <v>1.54042764227642</v>
      </c>
      <c r="AA186" s="194">
        <f t="shared" si="21"/>
        <v>0.56588867659564035</v>
      </c>
      <c r="AB186" s="194">
        <f t="shared" si="22"/>
        <v>0.37098640080854334</v>
      </c>
      <c r="AC186" s="194">
        <f t="shared" si="16"/>
        <v>0.82959462534730477</v>
      </c>
      <c r="AD186">
        <f t="shared" si="23"/>
        <v>71</v>
      </c>
      <c r="AE186" s="194">
        <f t="shared" si="24"/>
        <v>0.32792318694104472</v>
      </c>
      <c r="AF186" s="194">
        <f t="shared" si="25"/>
        <v>8.6612270541274062E-3</v>
      </c>
      <c r="AG186" s="245" t="str">
        <f>IF(ISNUMBER(SEARCH("C", 'Dry_Litterbag Placem_Collection'!$T113)),"YES","NO")</f>
        <v>NO</v>
      </c>
      <c r="AH186" s="245" t="str">
        <f>IF(ISNUMBER(SEARCH("H", 'Dry_Litterbag Placem_Collection'!$T113)),"YES","NO")</f>
        <v>NO</v>
      </c>
      <c r="AI186" s="245" t="str">
        <f>IF(ISNUMBER(SEARCH("R", 'Dry_Litterbag Placem_Collection'!$T113)),"YES","NO")</f>
        <v>NO</v>
      </c>
      <c r="AJ186" s="245" t="str">
        <f>IF(ISNUMBER(SEARCH("C", 'Dry_Litterbag Placem_Collection'!$S113)),"YES","NO")</f>
        <v>YES</v>
      </c>
      <c r="AK186" s="245" t="str">
        <f>IF(ISNUMBER(SEARCH("H", 'Dry_Litterbag Placem_Collection'!$S113)),"YES","NO")</f>
        <v>NO</v>
      </c>
      <c r="AL186" s="245" t="str">
        <f>IF(ISNUMBER(SEARCH("R", 'Dry_Litterbag Placem_Collection'!$S113)),"YES","NO")</f>
        <v>NO</v>
      </c>
    </row>
    <row r="187" spans="2:38">
      <c r="B187" t="str">
        <f>Dryseason!B113</f>
        <v>Dry</v>
      </c>
      <c r="C187" s="253">
        <f>Dryseason!C113</f>
        <v>112</v>
      </c>
      <c r="D187" t="s">
        <v>3118</v>
      </c>
      <c r="E187" t="s">
        <v>22</v>
      </c>
      <c r="F187" s="375">
        <v>8</v>
      </c>
      <c r="G187" s="16" t="str">
        <f>IF('Dry_Litterbag Placem_Collection'!E114="","",'Dry_Litterbag Placem_Collection'!E114)</f>
        <v/>
      </c>
      <c r="H187" t="str">
        <f>Dryseason!L113</f>
        <v/>
      </c>
      <c r="I187" t="str">
        <f>Dryseason!L333</f>
        <v/>
      </c>
      <c r="J187" t="str">
        <f>IFERROR(INDEX('Green_rooibos initial weight'!$C$5:$C$2000,MATCH(H187, 'Green_rooibos initial weight'!$A$5:$A$2000,0)),"")</f>
        <v/>
      </c>
      <c r="K187" t="str">
        <f>IFERROR(INDEX('Green_rooibos initial weight'!$C$5:$C$2000,MATCH(I187, 'Green_rooibos initial weight'!$A$5:$A$2000,0)),"")</f>
        <v/>
      </c>
      <c r="L187" s="194" t="str">
        <f t="shared" si="17"/>
        <v/>
      </c>
      <c r="M187" s="233">
        <f>AVERAGE(Ashed_controlls!$K$1:$K$11)</f>
        <v>5.5147656768714146</v>
      </c>
      <c r="N187" s="194" t="str">
        <f t="shared" si="13"/>
        <v/>
      </c>
      <c r="O187" s="194" t="str">
        <f t="shared" si="18"/>
        <v/>
      </c>
      <c r="P187" s="233">
        <f>AVERAGE(Ashed_controlls!$K$12:$K$14)</f>
        <v>2.2816647271287041</v>
      </c>
      <c r="Q187" s="194" t="str">
        <f t="shared" si="14"/>
        <v/>
      </c>
      <c r="R187" s="16" t="str">
        <f>IF('Dry_Litterbag Placem_Collection'!G114="","",'Dry_Litterbag Placem_Collection'!G114)</f>
        <v/>
      </c>
      <c r="S187" s="194" t="str">
        <f>IFERROR(INDEX('Both teabags AfterDry'!$D$3:$D$2000,MATCH(H187,'Both teabags AfterDry'!$A$3:$A$2000,0)),"")</f>
        <v/>
      </c>
      <c r="T187" s="194" t="str">
        <f>IFERROR(INDEX('Both teabags AfterDry'!$D$3:$D$2000,MATCH(I187,'Both teabags AfterDry'!$A$3:$A$2000,0)),"")</f>
        <v/>
      </c>
      <c r="U187" s="194" t="str">
        <f t="shared" si="19"/>
        <v/>
      </c>
      <c r="V187" s="194" t="str">
        <f t="shared" si="20"/>
        <v/>
      </c>
      <c r="W187" s="194" t="str">
        <f>IFERROR(INDEX('Ashed teabags dry'!$K$2:$K$2000,MATCH(H187,'Ashed teabags dry'!$A$2:$A$2000,0)),"")</f>
        <v/>
      </c>
      <c r="X187" s="194" t="str">
        <f>IFERROR(INDEX('Ashed teabags dry'!$K$2:$K$2000,MATCH(I187,'Ashed teabags dry'!$A$2:$A$2000,0)),"")</f>
        <v/>
      </c>
      <c r="Y187" s="194" t="str">
        <f t="shared" si="15"/>
        <v/>
      </c>
      <c r="Z187" s="194" t="str">
        <f t="shared" si="15"/>
        <v/>
      </c>
      <c r="AA187" s="194" t="str">
        <f t="shared" si="21"/>
        <v/>
      </c>
      <c r="AB187" s="194" t="str">
        <f t="shared" si="22"/>
        <v/>
      </c>
      <c r="AC187" s="194" t="str">
        <f t="shared" si="16"/>
        <v/>
      </c>
      <c r="AD187" t="str">
        <f t="shared" si="23"/>
        <v/>
      </c>
      <c r="AE187" s="194" t="str">
        <f t="shared" si="24"/>
        <v/>
      </c>
      <c r="AF187" s="194" t="str">
        <f t="shared" si="25"/>
        <v/>
      </c>
      <c r="AG187" s="245" t="str">
        <f>IF(ISNUMBER(SEARCH("C", 'Dry_Litterbag Placem_Collection'!$T114)),"YES","NO")</f>
        <v>NO</v>
      </c>
      <c r="AH187" s="245" t="str">
        <f>IF(ISNUMBER(SEARCH("H", 'Dry_Litterbag Placem_Collection'!$T114)),"YES","NO")</f>
        <v>NO</v>
      </c>
      <c r="AI187" s="245" t="str">
        <f>IF(ISNUMBER(SEARCH("R", 'Dry_Litterbag Placem_Collection'!$T114)),"YES","NO")</f>
        <v>NO</v>
      </c>
      <c r="AJ187" s="245" t="str">
        <f>IF(ISNUMBER(SEARCH("C", 'Dry_Litterbag Placem_Collection'!$S114)),"YES","NO")</f>
        <v>NO</v>
      </c>
      <c r="AK187" s="245" t="str">
        <f>IF(ISNUMBER(SEARCH("H", 'Dry_Litterbag Placem_Collection'!$S114)),"YES","NO")</f>
        <v>NO</v>
      </c>
      <c r="AL187" s="245" t="str">
        <f>IF(ISNUMBER(SEARCH("R", 'Dry_Litterbag Placem_Collection'!$S114)),"YES","NO")</f>
        <v>NO</v>
      </c>
    </row>
    <row r="188" spans="2:38">
      <c r="B188" t="str">
        <f>Dryseason!B114</f>
        <v>Dry</v>
      </c>
      <c r="C188" s="253">
        <f>Dryseason!C114</f>
        <v>113</v>
      </c>
      <c r="D188" t="s">
        <v>3119</v>
      </c>
      <c r="E188" t="s">
        <v>22</v>
      </c>
      <c r="F188" s="374">
        <v>1</v>
      </c>
      <c r="G188" s="16">
        <f>IF('Dry_Litterbag Placem_Collection'!E115="","",'Dry_Litterbag Placem_Collection'!E115)</f>
        <v>42939</v>
      </c>
      <c r="H188" t="str">
        <f>Dryseason!L114</f>
        <v>G314</v>
      </c>
      <c r="I188" t="str">
        <f>Dryseason!L334</f>
        <v>R807</v>
      </c>
      <c r="J188">
        <f>IFERROR(INDEX('Green_rooibos initial weight'!$C$5:$C$2000,MATCH(H188, 'Green_rooibos initial weight'!$A$5:$A$2000,0)),"")</f>
        <v>2.0430000000000001</v>
      </c>
      <c r="K188">
        <f>IFERROR(INDEX('Green_rooibos initial weight'!$C$5:$C$2000,MATCH(I188, 'Green_rooibos initial weight'!$A$5:$A$2000,0)),"")</f>
        <v>2.21</v>
      </c>
      <c r="L188" s="194">
        <f t="shared" si="17"/>
        <v>1.7932000000000001</v>
      </c>
      <c r="M188" s="233">
        <f>AVERAGE(Ashed_controlls!$K$1:$K$11)</f>
        <v>5.5147656768714146</v>
      </c>
      <c r="N188" s="194">
        <f t="shared" si="13"/>
        <v>1.6943092218823419</v>
      </c>
      <c r="O188" s="194">
        <f t="shared" si="18"/>
        <v>1.9601999999999999</v>
      </c>
      <c r="P188" s="233">
        <f>AVERAGE(Ashed_controlls!$K$12:$K$14)</f>
        <v>2.2816647271287041</v>
      </c>
      <c r="Q188" s="194">
        <f t="shared" si="14"/>
        <v>1.9154748080188231</v>
      </c>
      <c r="R188" s="16">
        <f>IF('Dry_Litterbag Placem_Collection'!G115="","",'Dry_Litterbag Placem_Collection'!G115)</f>
        <v>43008</v>
      </c>
      <c r="S188" s="194">
        <f>IFERROR(INDEX('Both teabags AfterDry'!$D$3:$D$2000,MATCH(H188,'Both teabags AfterDry'!$A$3:$A$2000,0)),"")</f>
        <v>0.78080000000000005</v>
      </c>
      <c r="T188" s="194">
        <f>IFERROR(INDEX('Both teabags AfterDry'!$D$3:$D$2000,MATCH(I188,'Both teabags AfterDry'!$A$3:$A$2000,0)),"")</f>
        <v>1.5793999999999999</v>
      </c>
      <c r="U188" s="194">
        <f t="shared" si="19"/>
        <v>0.63020000000000009</v>
      </c>
      <c r="V188" s="194">
        <f t="shared" si="20"/>
        <v>1.4287999999999998</v>
      </c>
      <c r="W188" s="194">
        <f>IFERROR(INDEX('Ashed teabags dry'!$K$2:$K$2000,MATCH(H188,'Ashed teabags dry'!$A$2:$A$2000,0)),"")</f>
        <v>21.798134011874424</v>
      </c>
      <c r="X188" s="194">
        <f>IFERROR(INDEX('Ashed teabags dry'!$K$2:$K$2000,MATCH(I188,'Ashed teabags dry'!$A$2:$A$2000,0)),"")</f>
        <v>9.4054580896693931</v>
      </c>
      <c r="Y188" s="194">
        <f t="shared" si="15"/>
        <v>0.49282815945716746</v>
      </c>
      <c r="Z188" s="194">
        <f t="shared" si="15"/>
        <v>1.2944148148148036</v>
      </c>
      <c r="AA188" s="194">
        <f t="shared" si="21"/>
        <v>0.70912738177176082</v>
      </c>
      <c r="AB188" s="194">
        <f t="shared" si="22"/>
        <v>0.46489111014015677</v>
      </c>
      <c r="AC188" s="194">
        <f t="shared" si="16"/>
        <v>0.67576707842668926</v>
      </c>
      <c r="AD188">
        <f t="shared" si="23"/>
        <v>69</v>
      </c>
      <c r="AE188" s="194">
        <f t="shared" si="24"/>
        <v>0.15780595989102042</v>
      </c>
      <c r="AF188" s="194">
        <f t="shared" si="25"/>
        <v>1.7325658749616508E-2</v>
      </c>
      <c r="AG188" s="245" t="str">
        <f>IF(ISNUMBER(SEARCH("C", 'Dry_Litterbag Placem_Collection'!$T115)),"YES","NO")</f>
        <v>NO</v>
      </c>
      <c r="AH188" s="245" t="str">
        <f>IF(ISNUMBER(SEARCH("H", 'Dry_Litterbag Placem_Collection'!$T115)),"YES","NO")</f>
        <v>NO</v>
      </c>
      <c r="AI188" s="245" t="str">
        <f>IF(ISNUMBER(SEARCH("R", 'Dry_Litterbag Placem_Collection'!$T115)),"YES","NO")</f>
        <v>NO</v>
      </c>
      <c r="AJ188" s="245" t="str">
        <f>IF(ISNUMBER(SEARCH("C", 'Dry_Litterbag Placem_Collection'!$S115)),"YES","NO")</f>
        <v>NO</v>
      </c>
      <c r="AK188" s="245" t="str">
        <f>IF(ISNUMBER(SEARCH("H", 'Dry_Litterbag Placem_Collection'!$S115)),"YES","NO")</f>
        <v>NO</v>
      </c>
      <c r="AL188" s="245" t="str">
        <f>IF(ISNUMBER(SEARCH("R", 'Dry_Litterbag Placem_Collection'!$S115)),"YES","NO")</f>
        <v>YES</v>
      </c>
    </row>
    <row r="189" spans="2:38">
      <c r="B189" t="str">
        <f>Dryseason!B115</f>
        <v>Dry</v>
      </c>
      <c r="C189" s="253">
        <f>Dryseason!C115</f>
        <v>114</v>
      </c>
      <c r="D189" t="s">
        <v>3119</v>
      </c>
      <c r="E189" t="s">
        <v>22</v>
      </c>
      <c r="F189" s="374">
        <v>2</v>
      </c>
      <c r="G189" s="16">
        <f>IF('Dry_Litterbag Placem_Collection'!E116="","",'Dry_Litterbag Placem_Collection'!E116)</f>
        <v>42939</v>
      </c>
      <c r="H189" t="str">
        <f>Dryseason!L115</f>
        <v>G263</v>
      </c>
      <c r="I189" t="str">
        <f>Dryseason!L335</f>
        <v>R829</v>
      </c>
      <c r="J189">
        <f>IFERROR(INDEX('Green_rooibos initial weight'!$C$5:$C$2000,MATCH(H189, 'Green_rooibos initial weight'!$A$5:$A$2000,0)),"")</f>
        <v>2.0960000000000001</v>
      </c>
      <c r="K189">
        <f>IFERROR(INDEX('Green_rooibos initial weight'!$C$5:$C$2000,MATCH(I189, 'Green_rooibos initial weight'!$A$5:$A$2000,0)),"")</f>
        <v>2.1880000000000002</v>
      </c>
      <c r="L189" s="194">
        <f t="shared" si="17"/>
        <v>1.8462000000000001</v>
      </c>
      <c r="M189" s="233">
        <f>AVERAGE(Ashed_controlls!$K$1:$K$11)</f>
        <v>5.5147656768714146</v>
      </c>
      <c r="N189" s="194">
        <f t="shared" si="13"/>
        <v>1.7443863960735999</v>
      </c>
      <c r="O189" s="194">
        <f t="shared" si="18"/>
        <v>1.9382000000000001</v>
      </c>
      <c r="P189" s="233">
        <f>AVERAGE(Ashed_controlls!$K$12:$K$14)</f>
        <v>2.2816647271287041</v>
      </c>
      <c r="Q189" s="194">
        <f t="shared" si="14"/>
        <v>1.8939767742587916</v>
      </c>
      <c r="R189" s="16">
        <f>IF('Dry_Litterbag Placem_Collection'!G116="","",'Dry_Litterbag Placem_Collection'!G116)</f>
        <v>43008</v>
      </c>
      <c r="S189" s="194">
        <f>IFERROR(INDEX('Both teabags AfterDry'!$D$3:$D$2000,MATCH(H189,'Both teabags AfterDry'!$A$3:$A$2000,0)),"")</f>
        <v>0.83330000000000004</v>
      </c>
      <c r="T189" s="194">
        <f>IFERROR(INDEX('Both teabags AfterDry'!$D$3:$D$2000,MATCH(I189,'Both teabags AfterDry'!$A$3:$A$2000,0)),"")</f>
        <v>1.1127</v>
      </c>
      <c r="U189" s="194">
        <f t="shared" si="19"/>
        <v>0.68270000000000008</v>
      </c>
      <c r="V189" s="194">
        <f t="shared" si="20"/>
        <v>0.96209999999999996</v>
      </c>
      <c r="W189" s="194">
        <f>IFERROR(INDEX('Ashed teabags dry'!$K$2:$K$2000,MATCH(H189,'Ashed teabags dry'!$A$2:$A$2000,0)),"")</f>
        <v>29.125376992675438</v>
      </c>
      <c r="X189" s="194">
        <f>IFERROR(INDEX('Ashed teabags dry'!$K$2:$K$2000,MATCH(I189,'Ashed teabags dry'!$A$2:$A$2000,0)),"")</f>
        <v>88.557650153441656</v>
      </c>
      <c r="Y189" s="194">
        <f t="shared" si="15"/>
        <v>0.48386105127100487</v>
      </c>
      <c r="Z189" s="194">
        <f t="shared" si="15"/>
        <v>0.11008684787373779</v>
      </c>
      <c r="AA189" s="194">
        <f t="shared" si="21"/>
        <v>0.72261819264348959</v>
      </c>
      <c r="AB189" s="194">
        <f t="shared" si="22"/>
        <v>0.47373544220808345</v>
      </c>
      <c r="AC189" s="194">
        <f t="shared" si="16"/>
        <v>5.8124708481084891E-2</v>
      </c>
      <c r="AD189">
        <f t="shared" si="23"/>
        <v>69</v>
      </c>
      <c r="AE189" s="194">
        <f t="shared" si="24"/>
        <v>0.14178361918825466</v>
      </c>
      <c r="AF189" s="194" t="str">
        <f t="shared" si="25"/>
        <v/>
      </c>
      <c r="AG189" s="245" t="str">
        <f>IF(ISNUMBER(SEARCH("C", 'Dry_Litterbag Placem_Collection'!$T116)),"YES","NO")</f>
        <v>NO</v>
      </c>
      <c r="AH189" s="245" t="str">
        <f>IF(ISNUMBER(SEARCH("H", 'Dry_Litterbag Placem_Collection'!$T116)),"YES","NO")</f>
        <v>YES</v>
      </c>
      <c r="AI189" s="245" t="str">
        <f>IF(ISNUMBER(SEARCH("R", 'Dry_Litterbag Placem_Collection'!$T116)),"YES","NO")</f>
        <v>NO</v>
      </c>
      <c r="AJ189" s="245" t="str">
        <f>IF(ISNUMBER(SEARCH("C", 'Dry_Litterbag Placem_Collection'!$S116)),"YES","NO")</f>
        <v>NO</v>
      </c>
      <c r="AK189" s="245" t="str">
        <f>IF(ISNUMBER(SEARCH("H", 'Dry_Litterbag Placem_Collection'!$S116)),"YES","NO")</f>
        <v>NO</v>
      </c>
      <c r="AL189" s="245" t="str">
        <f>IF(ISNUMBER(SEARCH("R", 'Dry_Litterbag Placem_Collection'!$S116)),"YES","NO")</f>
        <v>NO</v>
      </c>
    </row>
    <row r="190" spans="2:38">
      <c r="B190" t="str">
        <f>Dryseason!B116</f>
        <v>Dry</v>
      </c>
      <c r="C190" s="253">
        <f>Dryseason!C116</f>
        <v>115</v>
      </c>
      <c r="D190" t="s">
        <v>3119</v>
      </c>
      <c r="E190" t="s">
        <v>22</v>
      </c>
      <c r="F190" s="374">
        <v>3</v>
      </c>
      <c r="G190" s="16">
        <f>IF('Dry_Litterbag Placem_Collection'!E117="","",'Dry_Litterbag Placem_Collection'!E117)</f>
        <v>42939</v>
      </c>
      <c r="H190" t="str">
        <f>Dryseason!L116</f>
        <v>G125</v>
      </c>
      <c r="I190" t="str">
        <f>Dryseason!L336</f>
        <v>R766</v>
      </c>
      <c r="J190">
        <f>IFERROR(INDEX('Green_rooibos initial weight'!$C$5:$C$2000,MATCH(H190, 'Green_rooibos initial weight'!$A$5:$A$2000,0)),"")</f>
        <v>2.0979999999999999</v>
      </c>
      <c r="K190">
        <f>IFERROR(INDEX('Green_rooibos initial weight'!$C$5:$C$2000,MATCH(I190, 'Green_rooibos initial weight'!$A$5:$A$2000,0)),"")</f>
        <v>2.21</v>
      </c>
      <c r="L190" s="194">
        <f t="shared" si="17"/>
        <v>1.8481999999999998</v>
      </c>
      <c r="M190" s="233">
        <f>AVERAGE(Ashed_controlls!$K$1:$K$11)</f>
        <v>5.5147656768714146</v>
      </c>
      <c r="N190" s="194">
        <f t="shared" si="13"/>
        <v>1.7462761007600625</v>
      </c>
      <c r="O190" s="194">
        <f t="shared" si="18"/>
        <v>1.9601999999999999</v>
      </c>
      <c r="P190" s="233">
        <f>AVERAGE(Ashed_controlls!$K$12:$K$14)</f>
        <v>2.2816647271287041</v>
      </c>
      <c r="Q190" s="194">
        <f t="shared" si="14"/>
        <v>1.9154748080188231</v>
      </c>
      <c r="R190" s="16">
        <f>IF('Dry_Litterbag Placem_Collection'!G117="","",'Dry_Litterbag Placem_Collection'!G117)</f>
        <v>43008</v>
      </c>
      <c r="S190" s="194">
        <f>IFERROR(INDEX('Both teabags AfterDry'!$D$3:$D$2000,MATCH(H190,'Both teabags AfterDry'!$A$3:$A$2000,0)),"")</f>
        <v>0.78120000000000001</v>
      </c>
      <c r="T190" s="194">
        <f>IFERROR(INDEX('Both teabags AfterDry'!$D$3:$D$2000,MATCH(I190,'Both teabags AfterDry'!$A$3:$A$2000,0)),"")</f>
        <v>1.6694</v>
      </c>
      <c r="U190" s="194">
        <f t="shared" si="19"/>
        <v>0.63060000000000005</v>
      </c>
      <c r="V190" s="194">
        <f t="shared" si="20"/>
        <v>1.5187999999999999</v>
      </c>
      <c r="W190" s="194">
        <f>IFERROR(INDEX('Ashed teabags dry'!$K$2:$K$2000,MATCH(H190,'Ashed teabags dry'!$A$2:$A$2000,0)),"")</f>
        <v>18.503937007873372</v>
      </c>
      <c r="X190" s="194">
        <f>IFERROR(INDEX('Ashed teabags dry'!$K$2:$K$2000,MATCH(I190,'Ashed teabags dry'!$A$2:$A$2000,0)),"")</f>
        <v>23.045267489711783</v>
      </c>
      <c r="Y190" s="194">
        <f t="shared" si="15"/>
        <v>0.51391417322835053</v>
      </c>
      <c r="Z190" s="194">
        <f t="shared" si="15"/>
        <v>1.1687884773662574</v>
      </c>
      <c r="AA190" s="194">
        <f t="shared" si="21"/>
        <v>0.70570852283629681</v>
      </c>
      <c r="AB190" s="194">
        <f t="shared" si="22"/>
        <v>0.46264976794018514</v>
      </c>
      <c r="AC190" s="194">
        <f t="shared" si="16"/>
        <v>0.61018211906171504</v>
      </c>
      <c r="AD190">
        <f t="shared" si="23"/>
        <v>69</v>
      </c>
      <c r="AE190" s="194">
        <f t="shared" si="24"/>
        <v>0.16186636242720087</v>
      </c>
      <c r="AF190" s="194">
        <f t="shared" si="25"/>
        <v>2.6794441442518264E-2</v>
      </c>
      <c r="AG190" s="245" t="str">
        <f>IF(ISNUMBER(SEARCH("C", 'Dry_Litterbag Placem_Collection'!$T117)),"YES","NO")</f>
        <v>NO</v>
      </c>
      <c r="AH190" s="245" t="str">
        <f>IF(ISNUMBER(SEARCH("H", 'Dry_Litterbag Placem_Collection'!$T117)),"YES","NO")</f>
        <v>YES</v>
      </c>
      <c r="AI190" s="245" t="str">
        <f>IF(ISNUMBER(SEARCH("R", 'Dry_Litterbag Placem_Collection'!$T117)),"YES","NO")</f>
        <v>YES</v>
      </c>
      <c r="AJ190" s="245" t="str">
        <f>IF(ISNUMBER(SEARCH("C", 'Dry_Litterbag Placem_Collection'!$S117)),"YES","NO")</f>
        <v>NO</v>
      </c>
      <c r="AK190" s="245" t="str">
        <f>IF(ISNUMBER(SEARCH("H", 'Dry_Litterbag Placem_Collection'!$S117)),"YES","NO")</f>
        <v>NO</v>
      </c>
      <c r="AL190" s="245" t="str">
        <f>IF(ISNUMBER(SEARCH("R", 'Dry_Litterbag Placem_Collection'!$S117)),"YES","NO")</f>
        <v>YES</v>
      </c>
    </row>
    <row r="191" spans="2:38">
      <c r="B191" t="str">
        <f>Dryseason!B117</f>
        <v>Dry</v>
      </c>
      <c r="C191" s="253">
        <f>Dryseason!C117</f>
        <v>116</v>
      </c>
      <c r="D191" t="s">
        <v>3119</v>
      </c>
      <c r="E191" t="s">
        <v>22</v>
      </c>
      <c r="F191" s="375">
        <v>4</v>
      </c>
      <c r="G191" s="16">
        <f>IF('Dry_Litterbag Placem_Collection'!E118="","",'Dry_Litterbag Placem_Collection'!E118)</f>
        <v>42939</v>
      </c>
      <c r="H191" t="str">
        <f>Dryseason!L117</f>
        <v>G189</v>
      </c>
      <c r="I191" t="str">
        <f>Dryseason!L337</f>
        <v>R757</v>
      </c>
      <c r="J191">
        <f>IFERROR(INDEX('Green_rooibos initial weight'!$C$5:$C$2000,MATCH(H191, 'Green_rooibos initial weight'!$A$5:$A$2000,0)),"")</f>
        <v>2.0059999999999998</v>
      </c>
      <c r="K191">
        <f>IFERROR(INDEX('Green_rooibos initial weight'!$C$5:$C$2000,MATCH(I191, 'Green_rooibos initial weight'!$A$5:$A$2000,0)),"")</f>
        <v>2.2050000000000001</v>
      </c>
      <c r="L191" s="194">
        <f t="shared" si="17"/>
        <v>1.7561999999999998</v>
      </c>
      <c r="M191" s="233">
        <f>AVERAGE(Ashed_controlls!$K$1:$K$11)</f>
        <v>5.5147656768714146</v>
      </c>
      <c r="N191" s="194">
        <f t="shared" si="13"/>
        <v>1.659349685182784</v>
      </c>
      <c r="O191" s="194">
        <f t="shared" si="18"/>
        <v>1.9552</v>
      </c>
      <c r="P191" s="233">
        <f>AVERAGE(Ashed_controlls!$K$12:$K$14)</f>
        <v>2.2816647271287041</v>
      </c>
      <c r="Q191" s="194">
        <f t="shared" si="14"/>
        <v>1.9105888912551796</v>
      </c>
      <c r="R191" s="16">
        <f>IF('Dry_Litterbag Placem_Collection'!G118="","",'Dry_Litterbag Placem_Collection'!G118)</f>
        <v>43008</v>
      </c>
      <c r="S191" s="194">
        <f>IFERROR(INDEX('Both teabags AfterDry'!$D$3:$D$2000,MATCH(H191,'Both teabags AfterDry'!$A$3:$A$2000,0)),"")</f>
        <v>0.76890000000000003</v>
      </c>
      <c r="T191" s="194">
        <f>IFERROR(INDEX('Both teabags AfterDry'!$D$3:$D$2000,MATCH(I191,'Both teabags AfterDry'!$A$3:$A$2000,0)),"")</f>
        <v>1.7337</v>
      </c>
      <c r="U191" s="194">
        <f t="shared" si="19"/>
        <v>0.61830000000000007</v>
      </c>
      <c r="V191" s="194">
        <f t="shared" si="20"/>
        <v>1.5831</v>
      </c>
      <c r="W191" s="194">
        <f>IFERROR(INDEX('Ashed teabags dry'!$K$2:$K$2000,MATCH(H191,'Ashed teabags dry'!$A$2:$A$2000,0)),"")</f>
        <v>20.116618075801487</v>
      </c>
      <c r="X191" s="194">
        <f>IFERROR(INDEX('Ashed teabags dry'!$K$2:$K$2000,MATCH(I191,'Ashed teabags dry'!$A$2:$A$2000,0)),"")</f>
        <v>14.66357308584627</v>
      </c>
      <c r="Y191" s="194">
        <f t="shared" si="15"/>
        <v>0.49391895043731948</v>
      </c>
      <c r="Z191" s="194">
        <f t="shared" si="15"/>
        <v>1.3509609744779676</v>
      </c>
      <c r="AA191" s="194">
        <f t="shared" si="21"/>
        <v>0.70234185425303386</v>
      </c>
      <c r="AB191" s="194">
        <f t="shared" si="22"/>
        <v>0.46044264079296288</v>
      </c>
      <c r="AC191" s="194">
        <f t="shared" si="16"/>
        <v>0.70709140028048678</v>
      </c>
      <c r="AD191">
        <f t="shared" si="23"/>
        <v>69</v>
      </c>
      <c r="AE191" s="194">
        <f t="shared" si="24"/>
        <v>0.16586478117216874</v>
      </c>
      <c r="AF191" s="194">
        <f t="shared" si="25"/>
        <v>1.46521989636635E-2</v>
      </c>
      <c r="AG191" s="245" t="str">
        <f>IF(ISNUMBER(SEARCH("C", 'Dry_Litterbag Placem_Collection'!$T118)),"YES","NO")</f>
        <v>NO</v>
      </c>
      <c r="AH191" s="245" t="str">
        <f>IF(ISNUMBER(SEARCH("H", 'Dry_Litterbag Placem_Collection'!$T118)),"YES","NO")</f>
        <v>NO</v>
      </c>
      <c r="AI191" s="245" t="str">
        <f>IF(ISNUMBER(SEARCH("R", 'Dry_Litterbag Placem_Collection'!$T118)),"YES","NO")</f>
        <v>NO</v>
      </c>
      <c r="AJ191" s="245" t="str">
        <f>IF(ISNUMBER(SEARCH("C", 'Dry_Litterbag Placem_Collection'!$S118)),"YES","NO")</f>
        <v>NO</v>
      </c>
      <c r="AK191" s="245" t="str">
        <f>IF(ISNUMBER(SEARCH("H", 'Dry_Litterbag Placem_Collection'!$S118)),"YES","NO")</f>
        <v>NO</v>
      </c>
      <c r="AL191" s="245" t="str">
        <f>IF(ISNUMBER(SEARCH("R", 'Dry_Litterbag Placem_Collection'!$S118)),"YES","NO")</f>
        <v>YES</v>
      </c>
    </row>
    <row r="192" spans="2:38">
      <c r="B192" t="str">
        <f>Dryseason!B118</f>
        <v>Dry</v>
      </c>
      <c r="C192" s="253">
        <f>Dryseason!C118</f>
        <v>117</v>
      </c>
      <c r="D192" t="s">
        <v>3119</v>
      </c>
      <c r="E192" t="s">
        <v>22</v>
      </c>
      <c r="F192" s="375">
        <v>5</v>
      </c>
      <c r="G192" s="16">
        <f>IF('Dry_Litterbag Placem_Collection'!E119="","",'Dry_Litterbag Placem_Collection'!E119)</f>
        <v>42939</v>
      </c>
      <c r="H192" t="str">
        <f>Dryseason!L118</f>
        <v>G533</v>
      </c>
      <c r="I192" t="str">
        <f>Dryseason!L338</f>
        <v>R745</v>
      </c>
      <c r="J192">
        <f>IFERROR(INDEX('Green_rooibos initial weight'!$C$5:$C$2000,MATCH(H192, 'Green_rooibos initial weight'!$A$5:$A$2000,0)),"")</f>
        <v>2.1070000000000002</v>
      </c>
      <c r="K192">
        <f>IFERROR(INDEX('Green_rooibos initial weight'!$C$5:$C$2000,MATCH(I192, 'Green_rooibos initial weight'!$A$5:$A$2000,0)),"")</f>
        <v>2.2909999999999999</v>
      </c>
      <c r="L192" s="194">
        <f t="shared" si="17"/>
        <v>1.8572000000000002</v>
      </c>
      <c r="M192" s="233">
        <f>AVERAGE(Ashed_controlls!$K$1:$K$11)</f>
        <v>5.5147656768714146</v>
      </c>
      <c r="N192" s="194">
        <f t="shared" si="13"/>
        <v>1.7547797718491442</v>
      </c>
      <c r="O192" s="194">
        <f t="shared" si="18"/>
        <v>2.0411999999999999</v>
      </c>
      <c r="P192" s="233">
        <f>AVERAGE(Ashed_controlls!$K$12:$K$14)</f>
        <v>2.2816647271287041</v>
      </c>
      <c r="Q192" s="194">
        <f t="shared" si="14"/>
        <v>1.9946266595898487</v>
      </c>
      <c r="R192" s="16">
        <f>IF('Dry_Litterbag Placem_Collection'!G119="","",'Dry_Litterbag Placem_Collection'!G119)</f>
        <v>43008</v>
      </c>
      <c r="S192" s="194" t="str">
        <f>IFERROR(INDEX('Both teabags AfterDry'!$D$3:$D$2000,MATCH(H192,'Both teabags AfterDry'!$A$3:$A$2000,0)),"")</f>
        <v/>
      </c>
      <c r="T192" s="194" t="str">
        <f>IFERROR(INDEX('Both teabags AfterDry'!$D$3:$D$2000,MATCH(I192,'Both teabags AfterDry'!$A$3:$A$2000,0)),"")</f>
        <v/>
      </c>
      <c r="U192" s="194" t="str">
        <f t="shared" si="19"/>
        <v/>
      </c>
      <c r="V192" s="194" t="str">
        <f t="shared" si="20"/>
        <v/>
      </c>
      <c r="W192" s="194" t="str">
        <f>IFERROR(INDEX('Ashed teabags dry'!$K$2:$K$2000,MATCH(H192,'Ashed teabags dry'!$A$2:$A$2000,0)),"")</f>
        <v/>
      </c>
      <c r="X192" s="194" t="str">
        <f>IFERROR(INDEX('Ashed teabags dry'!$K$2:$K$2000,MATCH(I192,'Ashed teabags dry'!$A$2:$A$2000,0)),"")</f>
        <v/>
      </c>
      <c r="Y192" s="194" t="str">
        <f t="shared" si="15"/>
        <v/>
      </c>
      <c r="Z192" s="194" t="str">
        <f t="shared" si="15"/>
        <v/>
      </c>
      <c r="AA192" s="194" t="str">
        <f t="shared" si="21"/>
        <v/>
      </c>
      <c r="AB192" s="194" t="str">
        <f t="shared" si="22"/>
        <v/>
      </c>
      <c r="AC192" s="194" t="str">
        <f t="shared" si="16"/>
        <v/>
      </c>
      <c r="AD192">
        <f t="shared" si="23"/>
        <v>69</v>
      </c>
      <c r="AE192" s="194" t="str">
        <f t="shared" si="24"/>
        <v/>
      </c>
      <c r="AF192" s="194" t="str">
        <f t="shared" si="25"/>
        <v/>
      </c>
      <c r="AG192" s="245" t="str">
        <f>IF(ISNUMBER(SEARCH("C", 'Dry_Litterbag Placem_Collection'!$T119)),"YES","NO")</f>
        <v>NO</v>
      </c>
      <c r="AH192" s="245" t="str">
        <f>IF(ISNUMBER(SEARCH("H", 'Dry_Litterbag Placem_Collection'!$T119)),"YES","NO")</f>
        <v>NO</v>
      </c>
      <c r="AI192" s="245" t="str">
        <f>IF(ISNUMBER(SEARCH("R", 'Dry_Litterbag Placem_Collection'!$T119)),"YES","NO")</f>
        <v>NO</v>
      </c>
      <c r="AJ192" s="245" t="str">
        <f>IF(ISNUMBER(SEARCH("C", 'Dry_Litterbag Placem_Collection'!$S119)),"YES","NO")</f>
        <v>NO</v>
      </c>
      <c r="AK192" s="245" t="str">
        <f>IF(ISNUMBER(SEARCH("H", 'Dry_Litterbag Placem_Collection'!$S119)),"YES","NO")</f>
        <v>NO</v>
      </c>
      <c r="AL192" s="245" t="str">
        <f>IF(ISNUMBER(SEARCH("R", 'Dry_Litterbag Placem_Collection'!$S119)),"YES","NO")</f>
        <v>YES</v>
      </c>
    </row>
    <row r="193" spans="2:38">
      <c r="B193" t="str">
        <f>Dryseason!B119</f>
        <v>Dry</v>
      </c>
      <c r="C193" s="253">
        <f>Dryseason!C119</f>
        <v>118</v>
      </c>
      <c r="D193" t="s">
        <v>3119</v>
      </c>
      <c r="E193" t="s">
        <v>22</v>
      </c>
      <c r="F193" s="375">
        <v>6</v>
      </c>
      <c r="G193" s="16">
        <f>IF('Dry_Litterbag Placem_Collection'!E120="","",'Dry_Litterbag Placem_Collection'!E120)</f>
        <v>42939</v>
      </c>
      <c r="H193" t="str">
        <f>Dryseason!L119</f>
        <v>G200</v>
      </c>
      <c r="I193" t="str">
        <f>Dryseason!L339</f>
        <v>R791</v>
      </c>
      <c r="J193">
        <f>IFERROR(INDEX('Green_rooibos initial weight'!$C$5:$C$2000,MATCH(H193, 'Green_rooibos initial weight'!$A$5:$A$2000,0)),"")</f>
        <v>2.0150000000000001</v>
      </c>
      <c r="K193">
        <f>IFERROR(INDEX('Green_rooibos initial weight'!$C$5:$C$2000,MATCH(I193, 'Green_rooibos initial weight'!$A$5:$A$2000,0)),"")</f>
        <v>2.1579999999999999</v>
      </c>
      <c r="L193" s="194">
        <f t="shared" si="17"/>
        <v>1.7652000000000001</v>
      </c>
      <c r="M193" s="233">
        <f>AVERAGE(Ashed_controlls!$K$1:$K$11)</f>
        <v>5.5147656768714146</v>
      </c>
      <c r="N193" s="194">
        <f t="shared" si="13"/>
        <v>1.6678533562718658</v>
      </c>
      <c r="O193" s="194">
        <f t="shared" si="18"/>
        <v>1.9081999999999999</v>
      </c>
      <c r="P193" s="233">
        <f>AVERAGE(Ashed_controlls!$K$12:$K$14)</f>
        <v>2.2816647271287041</v>
      </c>
      <c r="Q193" s="194">
        <f t="shared" si="14"/>
        <v>1.8646612736769299</v>
      </c>
      <c r="R193" s="16">
        <f>IF('Dry_Litterbag Placem_Collection'!G120="","",'Dry_Litterbag Placem_Collection'!G120)</f>
        <v>43008</v>
      </c>
      <c r="S193" s="194">
        <f>IFERROR(INDEX('Both teabags AfterDry'!$D$3:$D$2000,MATCH(H193,'Both teabags AfterDry'!$A$3:$A$2000,0)),"")</f>
        <v>0.71760000000000002</v>
      </c>
      <c r="T193" s="194">
        <f>IFERROR(INDEX('Both teabags AfterDry'!$D$3:$D$2000,MATCH(I193,'Both teabags AfterDry'!$A$3:$A$2000,0)),"")</f>
        <v>1.629</v>
      </c>
      <c r="U193" s="194">
        <f t="shared" si="19"/>
        <v>0.56699999999999995</v>
      </c>
      <c r="V193" s="194">
        <f t="shared" si="20"/>
        <v>1.4783999999999999</v>
      </c>
      <c r="W193" s="194">
        <f>IFERROR(INDEX('Ashed teabags dry'!$K$2:$K$2000,MATCH(H193,'Ashed teabags dry'!$A$2:$A$2000,0)),"")</f>
        <v>18.547215496368619</v>
      </c>
      <c r="X193" s="194">
        <f>IFERROR(INDEX('Ashed teabags dry'!$K$2:$K$2000,MATCH(I193,'Ashed teabags dry'!$A$2:$A$2000,0)),"")</f>
        <v>7.1167883211671752</v>
      </c>
      <c r="Y193" s="194">
        <f t="shared" si="15"/>
        <v>0.46183728813558989</v>
      </c>
      <c r="Z193" s="194">
        <f t="shared" si="15"/>
        <v>1.3731854014598643</v>
      </c>
      <c r="AA193" s="194">
        <f t="shared" si="21"/>
        <v>0.72309478744106759</v>
      </c>
      <c r="AB193" s="194">
        <f t="shared" si="22"/>
        <v>0.47404788915376406</v>
      </c>
      <c r="AC193" s="194">
        <f t="shared" si="16"/>
        <v>0.73642619216951766</v>
      </c>
      <c r="AD193">
        <f t="shared" si="23"/>
        <v>69</v>
      </c>
      <c r="AE193" s="194">
        <f t="shared" si="24"/>
        <v>0.14121759211274632</v>
      </c>
      <c r="AF193" s="194">
        <f t="shared" si="25"/>
        <v>1.1767330900373648E-2</v>
      </c>
      <c r="AG193" s="245" t="str">
        <f>IF(ISNUMBER(SEARCH("C", 'Dry_Litterbag Placem_Collection'!$T120)),"YES","NO")</f>
        <v>NO</v>
      </c>
      <c r="AH193" s="245" t="str">
        <f>IF(ISNUMBER(SEARCH("H", 'Dry_Litterbag Placem_Collection'!$T120)),"YES","NO")</f>
        <v>NO</v>
      </c>
      <c r="AI193" s="245" t="str">
        <f>IF(ISNUMBER(SEARCH("R", 'Dry_Litterbag Placem_Collection'!$T120)),"YES","NO")</f>
        <v>NO</v>
      </c>
      <c r="AJ193" s="245" t="str">
        <f>IF(ISNUMBER(SEARCH("C", 'Dry_Litterbag Placem_Collection'!$S120)),"YES","NO")</f>
        <v>NO</v>
      </c>
      <c r="AK193" s="245" t="str">
        <f>IF(ISNUMBER(SEARCH("H", 'Dry_Litterbag Placem_Collection'!$S120)),"YES","NO")</f>
        <v>YES</v>
      </c>
      <c r="AL193" s="245" t="str">
        <f>IF(ISNUMBER(SEARCH("R", 'Dry_Litterbag Placem_Collection'!$S120)),"YES","NO")</f>
        <v>YES</v>
      </c>
    </row>
    <row r="194" spans="2:38">
      <c r="B194" t="str">
        <f>Dryseason!B120</f>
        <v>Dry</v>
      </c>
      <c r="C194" s="253">
        <f>Dryseason!C120</f>
        <v>119</v>
      </c>
      <c r="D194" t="s">
        <v>3119</v>
      </c>
      <c r="E194" t="s">
        <v>22</v>
      </c>
      <c r="F194" s="375">
        <v>7</v>
      </c>
      <c r="G194" s="16">
        <f>IF('Dry_Litterbag Placem_Collection'!E121="","",'Dry_Litterbag Placem_Collection'!E121)</f>
        <v>42939</v>
      </c>
      <c r="H194" t="str">
        <f>Dryseason!L120</f>
        <v>G236</v>
      </c>
      <c r="I194" t="str">
        <f>Dryseason!L340</f>
        <v>R802</v>
      </c>
      <c r="J194">
        <f>IFERROR(INDEX('Green_rooibos initial weight'!$C$5:$C$2000,MATCH(H194, 'Green_rooibos initial weight'!$A$5:$A$2000,0)),"")</f>
        <v>2.0529999999999999</v>
      </c>
      <c r="K194">
        <f>IFERROR(INDEX('Green_rooibos initial weight'!$C$5:$C$2000,MATCH(I194, 'Green_rooibos initial weight'!$A$5:$A$2000,0)),"")</f>
        <v>2.25</v>
      </c>
      <c r="L194" s="194">
        <f t="shared" si="17"/>
        <v>1.8031999999999999</v>
      </c>
      <c r="M194" s="233">
        <f>AVERAGE(Ashed_controlls!$K$1:$K$11)</f>
        <v>5.5147656768714146</v>
      </c>
      <c r="N194" s="194">
        <f t="shared" si="13"/>
        <v>1.7037577453146546</v>
      </c>
      <c r="O194" s="194">
        <f t="shared" si="18"/>
        <v>2.0002</v>
      </c>
      <c r="P194" s="233">
        <f>AVERAGE(Ashed_controlls!$K$12:$K$14)</f>
        <v>2.2816647271287041</v>
      </c>
      <c r="Q194" s="194">
        <f t="shared" si="14"/>
        <v>1.9545621421279717</v>
      </c>
      <c r="R194" s="16">
        <f>IF('Dry_Litterbag Placem_Collection'!G121="","",'Dry_Litterbag Placem_Collection'!G121)</f>
        <v>43008</v>
      </c>
      <c r="S194" s="194">
        <f>IFERROR(INDEX('Both teabags AfterDry'!$D$3:$D$2000,MATCH(H194,'Both teabags AfterDry'!$A$3:$A$2000,0)),"")</f>
        <v>0.81489999999999996</v>
      </c>
      <c r="T194" s="194">
        <f>IFERROR(INDEX('Both teabags AfterDry'!$D$3:$D$2000,MATCH(I194,'Both teabags AfterDry'!$A$3:$A$2000,0)),"")</f>
        <v>1.6778</v>
      </c>
      <c r="U194" s="194">
        <f t="shared" si="19"/>
        <v>0.66429999999999989</v>
      </c>
      <c r="V194" s="194">
        <f t="shared" si="20"/>
        <v>1.5271999999999999</v>
      </c>
      <c r="W194" s="194">
        <f>IFERROR(INDEX('Ashed teabags dry'!$K$2:$K$2000,MATCH(H194,'Ashed teabags dry'!$A$2:$A$2000,0)),"")</f>
        <v>19.0062711046786</v>
      </c>
      <c r="X194" s="194">
        <f>IFERROR(INDEX('Ashed teabags dry'!$K$2:$K$2000,MATCH(I194,'Ashed teabags dry'!$A$2:$A$2000,0)),"")</f>
        <v>9.0650213573804805</v>
      </c>
      <c r="Y194" s="194">
        <f t="shared" si="15"/>
        <v>0.53804134105162005</v>
      </c>
      <c r="Z194" s="194">
        <f t="shared" si="15"/>
        <v>1.3887589938300853</v>
      </c>
      <c r="AA194" s="194">
        <f t="shared" si="21"/>
        <v>0.68420314300478613</v>
      </c>
      <c r="AB194" s="194">
        <f t="shared" si="22"/>
        <v>0.44855122914328027</v>
      </c>
      <c r="AC194" s="194">
        <f t="shared" si="16"/>
        <v>0.71052179099208124</v>
      </c>
      <c r="AD194">
        <f t="shared" si="23"/>
        <v>69</v>
      </c>
      <c r="AE194" s="194">
        <f t="shared" si="24"/>
        <v>0.1874071935810141</v>
      </c>
      <c r="AF194" s="194">
        <f t="shared" si="25"/>
        <v>1.502405152648441E-2</v>
      </c>
      <c r="AG194" s="245" t="str">
        <f>IF(ISNUMBER(SEARCH("C", 'Dry_Litterbag Placem_Collection'!$T121)),"YES","NO")</f>
        <v>NO</v>
      </c>
      <c r="AH194" s="245" t="str">
        <f>IF(ISNUMBER(SEARCH("H", 'Dry_Litterbag Placem_Collection'!$T121)),"YES","NO")</f>
        <v>NO</v>
      </c>
      <c r="AI194" s="245" t="str">
        <f>IF(ISNUMBER(SEARCH("R", 'Dry_Litterbag Placem_Collection'!$T121)),"YES","NO")</f>
        <v>NO</v>
      </c>
      <c r="AJ194" s="245" t="str">
        <f>IF(ISNUMBER(SEARCH("C", 'Dry_Litterbag Placem_Collection'!$S121)),"YES","NO")</f>
        <v>NO</v>
      </c>
      <c r="AK194" s="245" t="str">
        <f>IF(ISNUMBER(SEARCH("H", 'Dry_Litterbag Placem_Collection'!$S121)),"YES","NO")</f>
        <v>YES</v>
      </c>
      <c r="AL194" s="245" t="str">
        <f>IF(ISNUMBER(SEARCH("R", 'Dry_Litterbag Placem_Collection'!$S121)),"YES","NO")</f>
        <v>NO</v>
      </c>
    </row>
    <row r="195" spans="2:38">
      <c r="B195" t="str">
        <f>Dryseason!B121</f>
        <v>Dry</v>
      </c>
      <c r="C195" s="253">
        <f>Dryseason!C121</f>
        <v>120</v>
      </c>
      <c r="D195" t="s">
        <v>3119</v>
      </c>
      <c r="E195" t="s">
        <v>22</v>
      </c>
      <c r="F195" s="375">
        <v>8</v>
      </c>
      <c r="G195" s="16" t="str">
        <f>IF('Dry_Litterbag Placem_Collection'!E122="","",'Dry_Litterbag Placem_Collection'!E122)</f>
        <v/>
      </c>
      <c r="H195" t="str">
        <f>Dryseason!L121</f>
        <v/>
      </c>
      <c r="I195" t="str">
        <f>Dryseason!L341</f>
        <v/>
      </c>
      <c r="J195" t="str">
        <f>IFERROR(INDEX('Green_rooibos initial weight'!$C$5:$C$2000,MATCH(H195, 'Green_rooibos initial weight'!$A$5:$A$2000,0)),"")</f>
        <v/>
      </c>
      <c r="K195" t="str">
        <f>IFERROR(INDEX('Green_rooibos initial weight'!$C$5:$C$2000,MATCH(I195, 'Green_rooibos initial weight'!$A$5:$A$2000,0)),"")</f>
        <v/>
      </c>
      <c r="L195" s="194" t="str">
        <f t="shared" si="17"/>
        <v/>
      </c>
      <c r="M195" s="233">
        <f>AVERAGE(Ashed_controlls!$K$1:$K$11)</f>
        <v>5.5147656768714146</v>
      </c>
      <c r="N195" s="194" t="str">
        <f t="shared" si="13"/>
        <v/>
      </c>
      <c r="O195" s="194" t="str">
        <f t="shared" si="18"/>
        <v/>
      </c>
      <c r="P195" s="233">
        <f>AVERAGE(Ashed_controlls!$K$12:$K$14)</f>
        <v>2.2816647271287041</v>
      </c>
      <c r="Q195" s="194" t="str">
        <f t="shared" si="14"/>
        <v/>
      </c>
      <c r="R195" s="16" t="str">
        <f>IF('Dry_Litterbag Placem_Collection'!G122="","",'Dry_Litterbag Placem_Collection'!G122)</f>
        <v/>
      </c>
      <c r="S195" s="194" t="str">
        <f>IFERROR(INDEX('Both teabags AfterDry'!$D$3:$D$2000,MATCH(H195,'Both teabags AfterDry'!$A$3:$A$2000,0)),"")</f>
        <v/>
      </c>
      <c r="T195" s="194" t="str">
        <f>IFERROR(INDEX('Both teabags AfterDry'!$D$3:$D$2000,MATCH(I195,'Both teabags AfterDry'!$A$3:$A$2000,0)),"")</f>
        <v/>
      </c>
      <c r="U195" s="194" t="str">
        <f t="shared" si="19"/>
        <v/>
      </c>
      <c r="V195" s="194" t="str">
        <f t="shared" si="20"/>
        <v/>
      </c>
      <c r="W195" s="194" t="str">
        <f>IFERROR(INDEX('Ashed teabags dry'!$K$2:$K$2000,MATCH(H195,'Ashed teabags dry'!$A$2:$A$2000,0)),"")</f>
        <v/>
      </c>
      <c r="X195" s="194" t="str">
        <f>IFERROR(INDEX('Ashed teabags dry'!$K$2:$K$2000,MATCH(I195,'Ashed teabags dry'!$A$2:$A$2000,0)),"")</f>
        <v/>
      </c>
      <c r="Y195" s="194" t="str">
        <f t="shared" si="15"/>
        <v/>
      </c>
      <c r="Z195" s="194" t="str">
        <f t="shared" si="15"/>
        <v/>
      </c>
      <c r="AA195" s="194" t="str">
        <f t="shared" si="21"/>
        <v/>
      </c>
      <c r="AB195" s="194" t="str">
        <f t="shared" si="22"/>
        <v/>
      </c>
      <c r="AC195" s="194" t="str">
        <f t="shared" si="16"/>
        <v/>
      </c>
      <c r="AD195" t="str">
        <f t="shared" si="23"/>
        <v/>
      </c>
      <c r="AE195" s="194" t="str">
        <f t="shared" si="24"/>
        <v/>
      </c>
      <c r="AF195" s="194" t="str">
        <f t="shared" si="25"/>
        <v/>
      </c>
      <c r="AG195" s="245" t="str">
        <f>IF(ISNUMBER(SEARCH("C", 'Dry_Litterbag Placem_Collection'!$T122)),"YES","NO")</f>
        <v>NO</v>
      </c>
      <c r="AH195" s="245" t="str">
        <f>IF(ISNUMBER(SEARCH("H", 'Dry_Litterbag Placem_Collection'!$T122)),"YES","NO")</f>
        <v>NO</v>
      </c>
      <c r="AI195" s="245" t="str">
        <f>IF(ISNUMBER(SEARCH("R", 'Dry_Litterbag Placem_Collection'!$T122)),"YES","NO")</f>
        <v>NO</v>
      </c>
      <c r="AJ195" s="245" t="str">
        <f>IF(ISNUMBER(SEARCH("C", 'Dry_Litterbag Placem_Collection'!$S122)),"YES","NO")</f>
        <v>NO</v>
      </c>
      <c r="AK195" s="245" t="str">
        <f>IF(ISNUMBER(SEARCH("H", 'Dry_Litterbag Placem_Collection'!$S122)),"YES","NO")</f>
        <v>NO</v>
      </c>
      <c r="AL195" s="245" t="str">
        <f>IF(ISNUMBER(SEARCH("R", 'Dry_Litterbag Placem_Collection'!$S122)),"YES","NO")</f>
        <v>NO</v>
      </c>
    </row>
    <row r="196" spans="2:38">
      <c r="B196" t="str">
        <f>Dryseason!B122</f>
        <v>Dry</v>
      </c>
      <c r="C196" s="253">
        <f>Dryseason!C122</f>
        <v>121</v>
      </c>
      <c r="D196" t="s">
        <v>3120</v>
      </c>
      <c r="E196" t="s">
        <v>22</v>
      </c>
      <c r="F196" s="374">
        <v>1</v>
      </c>
      <c r="G196" s="16">
        <f>IF('Dry_Litterbag Placem_Collection'!E123="","",'Dry_Litterbag Placem_Collection'!E123)</f>
        <v>42939</v>
      </c>
      <c r="H196" t="str">
        <f>Dryseason!L122</f>
        <v>G280</v>
      </c>
      <c r="I196" t="str">
        <f>Dryseason!L342</f>
        <v>R822</v>
      </c>
      <c r="J196">
        <f>IFERROR(INDEX('Green_rooibos initial weight'!$C$5:$C$2000,MATCH(H196, 'Green_rooibos initial weight'!$A$5:$A$2000,0)),"")</f>
        <v>1.9450000000000001</v>
      </c>
      <c r="K196">
        <f>IFERROR(INDEX('Green_rooibos initial weight'!$C$5:$C$2000,MATCH(I196, 'Green_rooibos initial weight'!$A$5:$A$2000,0)),"")</f>
        <v>2.1880000000000002</v>
      </c>
      <c r="L196" s="194">
        <f t="shared" si="17"/>
        <v>1.6952</v>
      </c>
      <c r="M196" s="233">
        <f>AVERAGE(Ashed_controlls!$K$1:$K$11)</f>
        <v>5.5147656768714146</v>
      </c>
      <c r="N196" s="194">
        <f t="shared" si="13"/>
        <v>1.6017136922456758</v>
      </c>
      <c r="O196" s="194">
        <f t="shared" si="18"/>
        <v>1.9382000000000001</v>
      </c>
      <c r="P196" s="233">
        <f>AVERAGE(Ashed_controlls!$K$12:$K$14)</f>
        <v>2.2816647271287041</v>
      </c>
      <c r="Q196" s="194">
        <f t="shared" si="14"/>
        <v>1.8939767742587916</v>
      </c>
      <c r="R196" s="16">
        <f>IF('Dry_Litterbag Placem_Collection'!G123="","",'Dry_Litterbag Placem_Collection'!G123)</f>
        <v>43008</v>
      </c>
      <c r="S196" s="194" t="str">
        <f>IFERROR(INDEX('Both teabags AfterDry'!$D$3:$D$2000,MATCH(H196,'Both teabags AfterDry'!$A$3:$A$2000,0)),"")</f>
        <v/>
      </c>
      <c r="T196" s="194" t="str">
        <f>IFERROR(INDEX('Both teabags AfterDry'!$D$3:$D$2000,MATCH(I196,'Both teabags AfterDry'!$A$3:$A$2000,0)),"")</f>
        <v/>
      </c>
      <c r="U196" s="194" t="str">
        <f t="shared" si="19"/>
        <v/>
      </c>
      <c r="V196" s="194" t="str">
        <f t="shared" si="20"/>
        <v/>
      </c>
      <c r="W196" s="194" t="str">
        <f>IFERROR(INDEX('Ashed teabags dry'!$K$2:$K$2000,MATCH(H196,'Ashed teabags dry'!$A$2:$A$2000,0)),"")</f>
        <v/>
      </c>
      <c r="X196" s="194" t="str">
        <f>IFERROR(INDEX('Ashed teabags dry'!$K$2:$K$2000,MATCH(I196,'Ashed teabags dry'!$A$2:$A$2000,0)),"")</f>
        <v/>
      </c>
      <c r="Y196" s="194" t="str">
        <f t="shared" si="15"/>
        <v/>
      </c>
      <c r="Z196" s="194" t="str">
        <f t="shared" si="15"/>
        <v/>
      </c>
      <c r="AA196" s="194" t="str">
        <f t="shared" si="21"/>
        <v/>
      </c>
      <c r="AB196" s="194" t="str">
        <f t="shared" si="22"/>
        <v/>
      </c>
      <c r="AC196" s="194" t="str">
        <f t="shared" si="16"/>
        <v/>
      </c>
      <c r="AD196">
        <f t="shared" si="23"/>
        <v>69</v>
      </c>
      <c r="AE196" s="194" t="str">
        <f t="shared" si="24"/>
        <v/>
      </c>
      <c r="AF196" s="194" t="str">
        <f t="shared" si="25"/>
        <v/>
      </c>
      <c r="AG196" s="245" t="str">
        <f>IF(ISNUMBER(SEARCH("C", 'Dry_Litterbag Placem_Collection'!$T123)),"YES","NO")</f>
        <v>NO</v>
      </c>
      <c r="AH196" s="245" t="str">
        <f>IF(ISNUMBER(SEARCH("H", 'Dry_Litterbag Placem_Collection'!$T123)),"YES","NO")</f>
        <v>NO</v>
      </c>
      <c r="AI196" s="245" t="str">
        <f>IF(ISNUMBER(SEARCH("R", 'Dry_Litterbag Placem_Collection'!$T123)),"YES","NO")</f>
        <v>NO</v>
      </c>
      <c r="AJ196" s="245" t="str">
        <f>IF(ISNUMBER(SEARCH("C", 'Dry_Litterbag Placem_Collection'!$S123)),"YES","NO")</f>
        <v>NO</v>
      </c>
      <c r="AK196" s="245" t="str">
        <f>IF(ISNUMBER(SEARCH("H", 'Dry_Litterbag Placem_Collection'!$S123)),"YES","NO")</f>
        <v>NO</v>
      </c>
      <c r="AL196" s="245" t="str">
        <f>IF(ISNUMBER(SEARCH("R", 'Dry_Litterbag Placem_Collection'!$S123)),"YES","NO")</f>
        <v>NO</v>
      </c>
    </row>
    <row r="197" spans="2:38">
      <c r="B197" t="str">
        <f>Dryseason!B123</f>
        <v>Dry</v>
      </c>
      <c r="C197" s="253">
        <f>Dryseason!C123</f>
        <v>122</v>
      </c>
      <c r="D197" t="s">
        <v>3120</v>
      </c>
      <c r="E197" t="s">
        <v>22</v>
      </c>
      <c r="F197" s="374">
        <v>2</v>
      </c>
      <c r="G197" s="16">
        <f>IF('Dry_Litterbag Placem_Collection'!E124="","",'Dry_Litterbag Placem_Collection'!E124)</f>
        <v>42939</v>
      </c>
      <c r="H197" t="str">
        <f>Dryseason!L123</f>
        <v>G231</v>
      </c>
      <c r="I197" t="str">
        <f>Dryseason!L343</f>
        <v>R792</v>
      </c>
      <c r="J197">
        <f>IFERROR(INDEX('Green_rooibos initial weight'!$C$5:$C$2000,MATCH(H197, 'Green_rooibos initial weight'!$A$5:$A$2000,0)),"")</f>
        <v>2.085</v>
      </c>
      <c r="K197">
        <f>IFERROR(INDEX('Green_rooibos initial weight'!$C$5:$C$2000,MATCH(I197, 'Green_rooibos initial weight'!$A$5:$A$2000,0)),"")</f>
        <v>2.2389999999999999</v>
      </c>
      <c r="L197" s="194">
        <f t="shared" si="17"/>
        <v>1.8351999999999999</v>
      </c>
      <c r="M197" s="233">
        <f>AVERAGE(Ashed_controlls!$K$1:$K$11)</f>
        <v>5.5147656768714146</v>
      </c>
      <c r="N197" s="194">
        <f t="shared" si="13"/>
        <v>1.7339930202980558</v>
      </c>
      <c r="O197" s="194">
        <f t="shared" si="18"/>
        <v>1.9891999999999999</v>
      </c>
      <c r="P197" s="233">
        <f>AVERAGE(Ashed_controlls!$K$12:$K$14)</f>
        <v>2.2816647271287041</v>
      </c>
      <c r="Q197" s="194">
        <f t="shared" si="14"/>
        <v>1.9438131252479556</v>
      </c>
      <c r="R197" s="16">
        <f>IF('Dry_Litterbag Placem_Collection'!G124="","",'Dry_Litterbag Placem_Collection'!G124)</f>
        <v>43008</v>
      </c>
      <c r="S197" s="194">
        <f>IFERROR(INDEX('Both teabags AfterDry'!$D$3:$D$2000,MATCH(H197,'Both teabags AfterDry'!$A$3:$A$2000,0)),"")</f>
        <v>0.78859999999999997</v>
      </c>
      <c r="T197" s="194">
        <f>IFERROR(INDEX('Both teabags AfterDry'!$D$3:$D$2000,MATCH(I197,'Both teabags AfterDry'!$A$3:$A$2000,0)),"")</f>
        <v>0</v>
      </c>
      <c r="U197" s="194">
        <f t="shared" si="19"/>
        <v>0.6379999999999999</v>
      </c>
      <c r="V197" s="194" t="str">
        <f t="shared" si="20"/>
        <v/>
      </c>
      <c r="W197" s="194">
        <f>IFERROR(INDEX('Ashed teabags dry'!$K$2:$K$2000,MATCH(H197,'Ashed teabags dry'!$A$2:$A$2000,0)),"")</f>
        <v>27.063339731285495</v>
      </c>
      <c r="X197" s="194">
        <f>IFERROR(INDEX('Ashed teabags dry'!$K$2:$K$2000,MATCH(I197,'Ashed teabags dry'!$A$2:$A$2000,0)),"")</f>
        <v>0</v>
      </c>
      <c r="Y197" s="194">
        <f t="shared" si="15"/>
        <v>0.46533589251439844</v>
      </c>
      <c r="Z197" s="194" t="str">
        <f t="shared" si="15"/>
        <v/>
      </c>
      <c r="AA197" s="194">
        <f t="shared" si="21"/>
        <v>0.73163912018837773</v>
      </c>
      <c r="AB197" s="194">
        <f t="shared" si="22"/>
        <v>0.47964939945841395</v>
      </c>
      <c r="AC197" s="194" t="str">
        <f t="shared" si="16"/>
        <v/>
      </c>
      <c r="AD197">
        <f t="shared" si="23"/>
        <v>69</v>
      </c>
      <c r="AE197" s="194">
        <f t="shared" si="24"/>
        <v>0.1310699285173661</v>
      </c>
      <c r="AF197" s="194" t="str">
        <f t="shared" si="25"/>
        <v/>
      </c>
      <c r="AG197" s="245" t="str">
        <f>IF(ISNUMBER(SEARCH("C", 'Dry_Litterbag Placem_Collection'!$T124)),"YES","NO")</f>
        <v>YES</v>
      </c>
      <c r="AH197" s="245" t="str">
        <f>IF(ISNUMBER(SEARCH("H", 'Dry_Litterbag Placem_Collection'!$T124)),"YES","NO")</f>
        <v>YES</v>
      </c>
      <c r="AI197" s="245" t="str">
        <f>IF(ISNUMBER(SEARCH("R", 'Dry_Litterbag Placem_Collection'!$T124)),"YES","NO")</f>
        <v>NO</v>
      </c>
      <c r="AJ197" s="245" t="str">
        <f>IF(ISNUMBER(SEARCH("C", 'Dry_Litterbag Placem_Collection'!$S124)),"YES","NO")</f>
        <v>NO</v>
      </c>
      <c r="AK197" s="245" t="str">
        <f>IF(ISNUMBER(SEARCH("H", 'Dry_Litterbag Placem_Collection'!$S124)),"YES","NO")</f>
        <v>YES</v>
      </c>
      <c r="AL197" s="245" t="str">
        <f>IF(ISNUMBER(SEARCH("R", 'Dry_Litterbag Placem_Collection'!$S124)),"YES","NO")</f>
        <v>NO</v>
      </c>
    </row>
    <row r="198" spans="2:38">
      <c r="B198" t="str">
        <f>Dryseason!B124</f>
        <v>Dry</v>
      </c>
      <c r="C198" s="253">
        <f>Dryseason!C124</f>
        <v>123</v>
      </c>
      <c r="D198" t="s">
        <v>3120</v>
      </c>
      <c r="E198" t="s">
        <v>22</v>
      </c>
      <c r="F198" s="374">
        <v>3</v>
      </c>
      <c r="G198" s="16">
        <f>IF('Dry_Litterbag Placem_Collection'!E125="","",'Dry_Litterbag Placem_Collection'!E125)</f>
        <v>42939</v>
      </c>
      <c r="H198" t="str">
        <f>Dryseason!L124</f>
        <v>G292</v>
      </c>
      <c r="I198" t="str">
        <f>Dryseason!L344</f>
        <v>R740</v>
      </c>
      <c r="J198">
        <f>IFERROR(INDEX('Green_rooibos initial weight'!$C$5:$C$2000,MATCH(H198, 'Green_rooibos initial weight'!$A$5:$A$2000,0)),"")</f>
        <v>2.0289999999999999</v>
      </c>
      <c r="K198">
        <f>IFERROR(INDEX('Green_rooibos initial weight'!$C$5:$C$2000,MATCH(I198, 'Green_rooibos initial weight'!$A$5:$A$2000,0)),"")</f>
        <v>2.161</v>
      </c>
      <c r="L198" s="194">
        <f t="shared" si="17"/>
        <v>1.7791999999999999</v>
      </c>
      <c r="M198" s="233">
        <f>AVERAGE(Ashed_controlls!$K$1:$K$11)</f>
        <v>5.5147656768714146</v>
      </c>
      <c r="N198" s="194">
        <f t="shared" si="13"/>
        <v>1.6810812890771036</v>
      </c>
      <c r="O198" s="194">
        <f t="shared" si="18"/>
        <v>1.9112</v>
      </c>
      <c r="P198" s="233">
        <f>AVERAGE(Ashed_controlls!$K$12:$K$14)</f>
        <v>2.2816647271287041</v>
      </c>
      <c r="Q198" s="194">
        <f t="shared" si="14"/>
        <v>1.8675928237351163</v>
      </c>
      <c r="R198" s="16">
        <f>IF('Dry_Litterbag Placem_Collection'!G125="","",'Dry_Litterbag Placem_Collection'!G125)</f>
        <v>43008</v>
      </c>
      <c r="S198" s="194">
        <f>IFERROR(INDEX('Both teabags AfterDry'!$D$3:$D$2000,MATCH(H198,'Both teabags AfterDry'!$A$3:$A$2000,0)),"")</f>
        <v>0.88980000000000004</v>
      </c>
      <c r="T198" s="194">
        <f>IFERROR(INDEX('Both teabags AfterDry'!$D$3:$D$2000,MATCH(I198,'Both teabags AfterDry'!$A$3:$A$2000,0)),"")</f>
        <v>1.6575</v>
      </c>
      <c r="U198" s="194">
        <f t="shared" si="19"/>
        <v>0.73920000000000008</v>
      </c>
      <c r="V198" s="194">
        <f t="shared" si="20"/>
        <v>1.5068999999999999</v>
      </c>
      <c r="W198" s="194">
        <f>IFERROR(INDEX('Ashed teabags dry'!$K$2:$K$2000,MATCH(H198,'Ashed teabags dry'!$A$2:$A$2000,0)),"")</f>
        <v>18.857705563761883</v>
      </c>
      <c r="X198" s="194">
        <f>IFERROR(INDEX('Ashed teabags dry'!$K$2:$K$2000,MATCH(I198,'Ashed teabags dry'!$A$2:$A$2000,0)),"")</f>
        <v>10.523831996223592</v>
      </c>
      <c r="Y198" s="194">
        <f t="shared" si="15"/>
        <v>0.59980384047267221</v>
      </c>
      <c r="Z198" s="194">
        <f t="shared" si="15"/>
        <v>1.3483163756489067</v>
      </c>
      <c r="AA198" s="194">
        <f t="shared" si="21"/>
        <v>0.64320354740135244</v>
      </c>
      <c r="AB198" s="194">
        <f t="shared" si="22"/>
        <v>0.42167263440088665</v>
      </c>
      <c r="AC198" s="194">
        <f t="shared" si="16"/>
        <v>0.72195414252680845</v>
      </c>
      <c r="AD198">
        <f t="shared" si="23"/>
        <v>69</v>
      </c>
      <c r="AE198" s="194">
        <f t="shared" si="24"/>
        <v>0.23610029999839377</v>
      </c>
      <c r="AF198" s="194">
        <f t="shared" si="25"/>
        <v>1.5608857348347166E-2</v>
      </c>
      <c r="AG198" s="245" t="str">
        <f>IF(ISNUMBER(SEARCH("C", 'Dry_Litterbag Placem_Collection'!$T125)),"YES","NO")</f>
        <v>NO</v>
      </c>
      <c r="AH198" s="245" t="str">
        <f>IF(ISNUMBER(SEARCH("H", 'Dry_Litterbag Placem_Collection'!$T125)),"YES","NO")</f>
        <v>NO</v>
      </c>
      <c r="AI198" s="245" t="str">
        <f>IF(ISNUMBER(SEARCH("R", 'Dry_Litterbag Placem_Collection'!$T125)),"YES","NO")</f>
        <v>NO</v>
      </c>
      <c r="AJ198" s="245" t="str">
        <f>IF(ISNUMBER(SEARCH("C", 'Dry_Litterbag Placem_Collection'!$S125)),"YES","NO")</f>
        <v>NO</v>
      </c>
      <c r="AK198" s="245" t="str">
        <f>IF(ISNUMBER(SEARCH("H", 'Dry_Litterbag Placem_Collection'!$S125)),"YES","NO")</f>
        <v>NO</v>
      </c>
      <c r="AL198" s="245" t="str">
        <f>IF(ISNUMBER(SEARCH("R", 'Dry_Litterbag Placem_Collection'!$S125)),"YES","NO")</f>
        <v>YES</v>
      </c>
    </row>
    <row r="199" spans="2:38">
      <c r="B199" t="str">
        <f>Dryseason!B125</f>
        <v>Dry</v>
      </c>
      <c r="C199" s="253">
        <f>Dryseason!C125</f>
        <v>124</v>
      </c>
      <c r="D199" t="s">
        <v>3120</v>
      </c>
      <c r="E199" t="s">
        <v>22</v>
      </c>
      <c r="F199" s="375">
        <v>4</v>
      </c>
      <c r="G199" s="16">
        <f>IF('Dry_Litterbag Placem_Collection'!E126="","",'Dry_Litterbag Placem_Collection'!E126)</f>
        <v>42939</v>
      </c>
      <c r="H199" t="str">
        <f>Dryseason!L125</f>
        <v>G116</v>
      </c>
      <c r="I199" t="str">
        <f>Dryseason!L345</f>
        <v>R797</v>
      </c>
      <c r="J199">
        <f>IFERROR(INDEX('Green_rooibos initial weight'!$C$5:$C$2000,MATCH(H199, 'Green_rooibos initial weight'!$A$5:$A$2000,0)),"")</f>
        <v>1.925</v>
      </c>
      <c r="K199">
        <f>IFERROR(INDEX('Green_rooibos initial weight'!$C$5:$C$2000,MATCH(I199, 'Green_rooibos initial weight'!$A$5:$A$2000,0)),"")</f>
        <v>2.2130000000000001</v>
      </c>
      <c r="L199" s="194">
        <f t="shared" si="17"/>
        <v>1.6752</v>
      </c>
      <c r="M199" s="233">
        <f>AVERAGE(Ashed_controlls!$K$1:$K$11)</f>
        <v>5.5147656768714146</v>
      </c>
      <c r="N199" s="194">
        <f t="shared" si="13"/>
        <v>1.5828166453810502</v>
      </c>
      <c r="O199" s="194">
        <f t="shared" si="18"/>
        <v>1.9632000000000001</v>
      </c>
      <c r="P199" s="233">
        <f>AVERAGE(Ashed_controlls!$K$12:$K$14)</f>
        <v>2.2816647271287041</v>
      </c>
      <c r="Q199" s="194">
        <f t="shared" si="14"/>
        <v>1.9184063580770094</v>
      </c>
      <c r="R199" s="16">
        <f>IF('Dry_Litterbag Placem_Collection'!G126="","",'Dry_Litterbag Placem_Collection'!G126)</f>
        <v>43008</v>
      </c>
      <c r="S199" s="194">
        <f>IFERROR(INDEX('Both teabags AfterDry'!$D$3:$D$2000,MATCH(H199,'Both teabags AfterDry'!$A$3:$A$2000,0)),"")</f>
        <v>0.63749999999999996</v>
      </c>
      <c r="T199" s="194">
        <f>IFERROR(INDEX('Both teabags AfterDry'!$D$3:$D$2000,MATCH(I199,'Both teabags AfterDry'!$A$3:$A$2000,0)),"")</f>
        <v>1.5708</v>
      </c>
      <c r="U199" s="194">
        <f t="shared" si="19"/>
        <v>0.48689999999999994</v>
      </c>
      <c r="V199" s="194">
        <f t="shared" si="20"/>
        <v>1.4201999999999999</v>
      </c>
      <c r="W199" s="194">
        <f>IFERROR(INDEX('Ashed teabags dry'!$K$2:$K$2000,MATCH(H199,'Ashed teabags dry'!$A$2:$A$2000,0)),"")</f>
        <v>17.988929889299115</v>
      </c>
      <c r="X199" s="194">
        <f>IFERROR(INDEX('Ashed teabags dry'!$K$2:$K$2000,MATCH(I199,'Ashed teabags dry'!$A$2:$A$2000,0)),"")</f>
        <v>3.4211742949603519</v>
      </c>
      <c r="Y199" s="194">
        <f t="shared" si="15"/>
        <v>0.39931190036900255</v>
      </c>
      <c r="Z199" s="194">
        <f t="shared" si="15"/>
        <v>1.371612482662973</v>
      </c>
      <c r="AA199" s="194">
        <f t="shared" si="21"/>
        <v>0.74772068417762216</v>
      </c>
      <c r="AB199" s="194">
        <f t="shared" si="22"/>
        <v>0.49019218250124402</v>
      </c>
      <c r="AC199" s="194">
        <f t="shared" si="16"/>
        <v>0.71497494620371416</v>
      </c>
      <c r="AD199">
        <f t="shared" si="23"/>
        <v>69</v>
      </c>
      <c r="AE199" s="194">
        <f t="shared" si="24"/>
        <v>0.111970683874558</v>
      </c>
      <c r="AF199" s="194">
        <f t="shared" si="25"/>
        <v>1.2622791513459209E-2</v>
      </c>
      <c r="AG199" s="245" t="str">
        <f>IF(ISNUMBER(SEARCH("C", 'Dry_Litterbag Placem_Collection'!$T126)),"YES","NO")</f>
        <v>NO</v>
      </c>
      <c r="AH199" s="245" t="str">
        <f>IF(ISNUMBER(SEARCH("H", 'Dry_Litterbag Placem_Collection'!$T126)),"YES","NO")</f>
        <v>YES</v>
      </c>
      <c r="AI199" s="245" t="str">
        <f>IF(ISNUMBER(SEARCH("R", 'Dry_Litterbag Placem_Collection'!$T126)),"YES","NO")</f>
        <v>YES</v>
      </c>
      <c r="AJ199" s="245" t="str">
        <f>IF(ISNUMBER(SEARCH("C", 'Dry_Litterbag Placem_Collection'!$S126)),"YES","NO")</f>
        <v>NO</v>
      </c>
      <c r="AK199" s="245" t="str">
        <f>IF(ISNUMBER(SEARCH("H", 'Dry_Litterbag Placem_Collection'!$S126)),"YES","NO")</f>
        <v>YES</v>
      </c>
      <c r="AL199" s="245" t="str">
        <f>IF(ISNUMBER(SEARCH("R", 'Dry_Litterbag Placem_Collection'!$S126)),"YES","NO")</f>
        <v>YES</v>
      </c>
    </row>
    <row r="200" spans="2:38">
      <c r="B200" t="str">
        <f>Dryseason!B126</f>
        <v>Dry</v>
      </c>
      <c r="C200" s="253">
        <f>Dryseason!C126</f>
        <v>125</v>
      </c>
      <c r="D200" t="s">
        <v>3120</v>
      </c>
      <c r="E200" t="s">
        <v>22</v>
      </c>
      <c r="F200" s="375">
        <v>5</v>
      </c>
      <c r="G200" s="16">
        <f>IF('Dry_Litterbag Placem_Collection'!E127="","",'Dry_Litterbag Placem_Collection'!E127)</f>
        <v>42939</v>
      </c>
      <c r="H200" t="str">
        <f>Dryseason!L126</f>
        <v>G50</v>
      </c>
      <c r="I200" t="str">
        <f>Dryseason!L346</f>
        <v>R795</v>
      </c>
      <c r="J200">
        <f>IFERROR(INDEX('Green_rooibos initial weight'!$C$5:$C$2000,MATCH(H200, 'Green_rooibos initial weight'!$A$5:$A$2000,0)),"")</f>
        <v>1.954</v>
      </c>
      <c r="K200">
        <f>IFERROR(INDEX('Green_rooibos initial weight'!$C$5:$C$2000,MATCH(I200, 'Green_rooibos initial weight'!$A$5:$A$2000,0)),"")</f>
        <v>2.2170000000000001</v>
      </c>
      <c r="L200" s="194">
        <f t="shared" si="17"/>
        <v>1.7041999999999999</v>
      </c>
      <c r="M200" s="233">
        <f>AVERAGE(Ashed_controlls!$K$1:$K$11)</f>
        <v>5.5147656768714146</v>
      </c>
      <c r="N200" s="194">
        <f t="shared" si="13"/>
        <v>1.6102173633347574</v>
      </c>
      <c r="O200" s="194">
        <f t="shared" si="18"/>
        <v>1.9672000000000001</v>
      </c>
      <c r="P200" s="233">
        <f>AVERAGE(Ashed_controlls!$K$12:$K$14)</f>
        <v>2.2816647271287041</v>
      </c>
      <c r="Q200" s="194">
        <f t="shared" si="14"/>
        <v>1.9223150914879241</v>
      </c>
      <c r="R200" s="16">
        <f>IF('Dry_Litterbag Placem_Collection'!G127="","",'Dry_Litterbag Placem_Collection'!G127)</f>
        <v>43008</v>
      </c>
      <c r="S200" s="194">
        <f>IFERROR(INDEX('Both teabags AfterDry'!$D$3:$D$2000,MATCH(H200,'Both teabags AfterDry'!$A$3:$A$2000,0)),"")</f>
        <v>0.8911</v>
      </c>
      <c r="T200" s="194">
        <f>IFERROR(INDEX('Both teabags AfterDry'!$D$3:$D$2000,MATCH(I200,'Both teabags AfterDry'!$A$3:$A$2000,0)),"")</f>
        <v>0.83220000000000005</v>
      </c>
      <c r="U200" s="194">
        <f t="shared" si="19"/>
        <v>0.74049999999999994</v>
      </c>
      <c r="V200" s="194">
        <f t="shared" si="20"/>
        <v>0.68159999999999998</v>
      </c>
      <c r="W200" s="194">
        <f>IFERROR(INDEX('Ashed teabags dry'!$K$2:$K$2000,MATCH(H200,'Ashed teabags dry'!$A$2:$A$2000,0)),"")</f>
        <v>30.974309258361465</v>
      </c>
      <c r="X200" s="194">
        <f>IFERROR(INDEX('Ashed teabags dry'!$K$2:$K$2000,MATCH(I200,'Ashed teabags dry'!$A$2:$A$2000,0)),"")</f>
        <v>91.950000000000998</v>
      </c>
      <c r="Y200" s="194">
        <f t="shared" si="15"/>
        <v>0.5111352399418333</v>
      </c>
      <c r="Z200" s="194">
        <f t="shared" si="15"/>
        <v>5.4868799999993167E-2</v>
      </c>
      <c r="AA200" s="194">
        <f t="shared" si="21"/>
        <v>0.68256755169794392</v>
      </c>
      <c r="AB200" s="194">
        <f t="shared" si="22"/>
        <v>0.44747896500862833</v>
      </c>
      <c r="AC200" s="194">
        <f t="shared" si="16"/>
        <v>2.8543083411743508E-2</v>
      </c>
      <c r="AD200">
        <f t="shared" si="23"/>
        <v>69</v>
      </c>
      <c r="AE200" s="194">
        <f t="shared" si="24"/>
        <v>0.18934970107132554</v>
      </c>
      <c r="AF200" s="194" t="str">
        <f t="shared" si="25"/>
        <v/>
      </c>
      <c r="AG200" s="245" t="str">
        <f>IF(ISNUMBER(SEARCH("C", 'Dry_Litterbag Placem_Collection'!$T127)),"YES","NO")</f>
        <v>YES</v>
      </c>
      <c r="AH200" s="245" t="str">
        <f>IF(ISNUMBER(SEARCH("H", 'Dry_Litterbag Placem_Collection'!$T127)),"YES","NO")</f>
        <v>YES</v>
      </c>
      <c r="AI200" s="245" t="str">
        <f>IF(ISNUMBER(SEARCH("R", 'Dry_Litterbag Placem_Collection'!$T127)),"YES","NO")</f>
        <v>NO</v>
      </c>
      <c r="AJ200" s="245" t="str">
        <f>IF(ISNUMBER(SEARCH("C", 'Dry_Litterbag Placem_Collection'!$S127)),"YES","NO")</f>
        <v>NO</v>
      </c>
      <c r="AK200" s="245" t="str">
        <f>IF(ISNUMBER(SEARCH("H", 'Dry_Litterbag Placem_Collection'!$S127)),"YES","NO")</f>
        <v>NO</v>
      </c>
      <c r="AL200" s="245" t="str">
        <f>IF(ISNUMBER(SEARCH("R", 'Dry_Litterbag Placem_Collection'!$S127)),"YES","NO")</f>
        <v>NO</v>
      </c>
    </row>
    <row r="201" spans="2:38">
      <c r="B201" t="str">
        <f>Dryseason!B127</f>
        <v>Dry</v>
      </c>
      <c r="C201" s="253">
        <f>Dryseason!C127</f>
        <v>126</v>
      </c>
      <c r="D201" t="s">
        <v>3120</v>
      </c>
      <c r="E201" t="s">
        <v>22</v>
      </c>
      <c r="F201" s="375">
        <v>6</v>
      </c>
      <c r="G201" s="16" t="str">
        <f>IF('Dry_Litterbag Placem_Collection'!E128="","",'Dry_Litterbag Placem_Collection'!E128)</f>
        <v/>
      </c>
      <c r="H201" t="str">
        <f>Dryseason!L127</f>
        <v/>
      </c>
      <c r="I201" t="str">
        <f>Dryseason!L347</f>
        <v/>
      </c>
      <c r="J201" t="str">
        <f>IFERROR(INDEX('Green_rooibos initial weight'!$C$5:$C$2000,MATCH(H201, 'Green_rooibos initial weight'!$A$5:$A$2000,0)),"")</f>
        <v/>
      </c>
      <c r="K201" t="str">
        <f>IFERROR(INDEX('Green_rooibos initial weight'!$C$5:$C$2000,MATCH(I201, 'Green_rooibos initial weight'!$A$5:$A$2000,0)),"")</f>
        <v/>
      </c>
      <c r="L201" s="194" t="str">
        <f t="shared" si="17"/>
        <v/>
      </c>
      <c r="M201" s="233">
        <f>AVERAGE(Ashed_controlls!$K$1:$K$11)</f>
        <v>5.5147656768714146</v>
      </c>
      <c r="N201" s="194" t="str">
        <f t="shared" si="13"/>
        <v/>
      </c>
      <c r="O201" s="194" t="str">
        <f t="shared" si="18"/>
        <v/>
      </c>
      <c r="P201" s="233">
        <f>AVERAGE(Ashed_controlls!$K$12:$K$14)</f>
        <v>2.2816647271287041</v>
      </c>
      <c r="Q201" s="194" t="str">
        <f t="shared" si="14"/>
        <v/>
      </c>
      <c r="R201" s="16" t="str">
        <f>IF('Dry_Litterbag Placem_Collection'!G128="","",'Dry_Litterbag Placem_Collection'!G128)</f>
        <v/>
      </c>
      <c r="S201" s="194" t="str">
        <f>IFERROR(INDEX('Both teabags AfterDry'!$D$3:$D$2000,MATCH(H201,'Both teabags AfterDry'!$A$3:$A$2000,0)),"")</f>
        <v/>
      </c>
      <c r="T201" s="194" t="str">
        <f>IFERROR(INDEX('Both teabags AfterDry'!$D$3:$D$2000,MATCH(I201,'Both teabags AfterDry'!$A$3:$A$2000,0)),"")</f>
        <v/>
      </c>
      <c r="U201" s="194" t="str">
        <f t="shared" si="19"/>
        <v/>
      </c>
      <c r="V201" s="194" t="str">
        <f t="shared" si="20"/>
        <v/>
      </c>
      <c r="W201" s="194" t="str">
        <f>IFERROR(INDEX('Ashed teabags dry'!$K$2:$K$2000,MATCH(H201,'Ashed teabags dry'!$A$2:$A$2000,0)),"")</f>
        <v/>
      </c>
      <c r="X201" s="194" t="str">
        <f>IFERROR(INDEX('Ashed teabags dry'!$K$2:$K$2000,MATCH(I201,'Ashed teabags dry'!$A$2:$A$2000,0)),"")</f>
        <v/>
      </c>
      <c r="Y201" s="194" t="str">
        <f t="shared" si="15"/>
        <v/>
      </c>
      <c r="Z201" s="194" t="str">
        <f t="shared" si="15"/>
        <v/>
      </c>
      <c r="AA201" s="194" t="str">
        <f t="shared" si="21"/>
        <v/>
      </c>
      <c r="AB201" s="194" t="str">
        <f t="shared" si="22"/>
        <v/>
      </c>
      <c r="AC201" s="194" t="str">
        <f t="shared" si="16"/>
        <v/>
      </c>
      <c r="AD201" t="str">
        <f t="shared" si="23"/>
        <v/>
      </c>
      <c r="AE201" s="194" t="str">
        <f t="shared" si="24"/>
        <v/>
      </c>
      <c r="AF201" s="194" t="str">
        <f t="shared" si="25"/>
        <v/>
      </c>
      <c r="AG201" s="245" t="str">
        <f>IF(ISNUMBER(SEARCH("C", 'Dry_Litterbag Placem_Collection'!$T128)),"YES","NO")</f>
        <v>NO</v>
      </c>
      <c r="AH201" s="245" t="str">
        <f>IF(ISNUMBER(SEARCH("H", 'Dry_Litterbag Placem_Collection'!$T128)),"YES","NO")</f>
        <v>NO</v>
      </c>
      <c r="AI201" s="245" t="str">
        <f>IF(ISNUMBER(SEARCH("R", 'Dry_Litterbag Placem_Collection'!$T128)),"YES","NO")</f>
        <v>NO</v>
      </c>
      <c r="AJ201" s="245" t="str">
        <f>IF(ISNUMBER(SEARCH("C", 'Dry_Litterbag Placem_Collection'!$S128)),"YES","NO")</f>
        <v>NO</v>
      </c>
      <c r="AK201" s="245" t="str">
        <f>IF(ISNUMBER(SEARCH("H", 'Dry_Litterbag Placem_Collection'!$S128)),"YES","NO")</f>
        <v>NO</v>
      </c>
      <c r="AL201" s="245" t="str">
        <f>IF(ISNUMBER(SEARCH("R", 'Dry_Litterbag Placem_Collection'!$S128)),"YES","NO")</f>
        <v>NO</v>
      </c>
    </row>
    <row r="202" spans="2:38">
      <c r="B202" t="str">
        <f>Dryseason!B128</f>
        <v>Dry</v>
      </c>
      <c r="C202" s="253">
        <f>Dryseason!C128</f>
        <v>127</v>
      </c>
      <c r="D202" t="s">
        <v>3120</v>
      </c>
      <c r="E202" t="s">
        <v>22</v>
      </c>
      <c r="F202" s="375">
        <v>7</v>
      </c>
      <c r="G202" s="16">
        <f>IF('Dry_Litterbag Placem_Collection'!E129="","",'Dry_Litterbag Placem_Collection'!E129)</f>
        <v>42939</v>
      </c>
      <c r="H202" t="str">
        <f>Dryseason!L128</f>
        <v>G318</v>
      </c>
      <c r="I202" t="str">
        <f>Dryseason!L348</f>
        <v>R751</v>
      </c>
      <c r="J202">
        <f>IFERROR(INDEX('Green_rooibos initial weight'!$C$5:$C$2000,MATCH(H202, 'Green_rooibos initial weight'!$A$5:$A$2000,0)),"")</f>
        <v>1.929</v>
      </c>
      <c r="K202">
        <f>IFERROR(INDEX('Green_rooibos initial weight'!$C$5:$C$2000,MATCH(I202, 'Green_rooibos initial weight'!$A$5:$A$2000,0)),"")</f>
        <v>2.262</v>
      </c>
      <c r="L202" s="194">
        <f t="shared" si="17"/>
        <v>1.6792</v>
      </c>
      <c r="M202" s="233">
        <f>AVERAGE(Ashed_controlls!$K$1:$K$11)</f>
        <v>5.5147656768714146</v>
      </c>
      <c r="N202" s="194">
        <f t="shared" si="13"/>
        <v>1.5865960547539752</v>
      </c>
      <c r="O202" s="194">
        <f t="shared" si="18"/>
        <v>2.0122</v>
      </c>
      <c r="P202" s="233">
        <f>AVERAGE(Ashed_controlls!$K$12:$K$14)</f>
        <v>2.2816647271287041</v>
      </c>
      <c r="Q202" s="194">
        <f t="shared" si="14"/>
        <v>1.9662883423607163</v>
      </c>
      <c r="R202" s="16">
        <f>IF('Dry_Litterbag Placem_Collection'!G129="","",'Dry_Litterbag Placem_Collection'!G129)</f>
        <v>43008</v>
      </c>
      <c r="S202" s="194">
        <f>IFERROR(INDEX('Both teabags AfterDry'!$D$3:$D$2000,MATCH(H202,'Both teabags AfterDry'!$A$3:$A$2000,0)),"")</f>
        <v>0.70609999999999995</v>
      </c>
      <c r="T202" s="194">
        <f>IFERROR(INDEX('Both teabags AfterDry'!$D$3:$D$2000,MATCH(I202,'Both teabags AfterDry'!$A$3:$A$2000,0)),"")</f>
        <v>1.6394</v>
      </c>
      <c r="U202" s="194">
        <f t="shared" si="19"/>
        <v>0.55549999999999988</v>
      </c>
      <c r="V202" s="194">
        <f t="shared" si="20"/>
        <v>1.4887999999999999</v>
      </c>
      <c r="W202" s="194">
        <f>IFERROR(INDEX('Ashed teabags dry'!$K$2:$K$2000,MATCH(H202,'Ashed teabags dry'!$A$2:$A$2000,0)),"")</f>
        <v>13.937442502299483</v>
      </c>
      <c r="X202" s="194">
        <f>IFERROR(INDEX('Ashed teabags dry'!$K$2:$K$2000,MATCH(I202,'Ashed teabags dry'!$A$2:$A$2000,0)),"")</f>
        <v>4.0196078431371527</v>
      </c>
      <c r="Y202" s="194">
        <f t="shared" si="15"/>
        <v>0.47807750689972628</v>
      </c>
      <c r="Z202" s="194">
        <f t="shared" si="15"/>
        <v>1.428956078431374</v>
      </c>
      <c r="AA202" s="194">
        <f t="shared" si="21"/>
        <v>0.69867723705271723</v>
      </c>
      <c r="AB202" s="194">
        <f t="shared" si="22"/>
        <v>0.45804018391104506</v>
      </c>
      <c r="AC202" s="194">
        <f t="shared" si="16"/>
        <v>0.72672763584397604</v>
      </c>
      <c r="AD202">
        <f t="shared" si="23"/>
        <v>69</v>
      </c>
      <c r="AE202" s="194">
        <f t="shared" si="24"/>
        <v>0.17021705813216481</v>
      </c>
      <c r="AF202" s="194">
        <f t="shared" si="25"/>
        <v>1.315734651511646E-2</v>
      </c>
      <c r="AG202" s="245" t="str">
        <f>IF(ISNUMBER(SEARCH("C", 'Dry_Litterbag Placem_Collection'!$T129)),"YES","NO")</f>
        <v>NO</v>
      </c>
      <c r="AH202" s="245" t="str">
        <f>IF(ISNUMBER(SEARCH("H", 'Dry_Litterbag Placem_Collection'!$T129)),"YES","NO")</f>
        <v>NO</v>
      </c>
      <c r="AI202" s="245" t="str">
        <f>IF(ISNUMBER(SEARCH("R", 'Dry_Litterbag Placem_Collection'!$T129)),"YES","NO")</f>
        <v>NO</v>
      </c>
      <c r="AJ202" s="245" t="str">
        <f>IF(ISNUMBER(SEARCH("C", 'Dry_Litterbag Placem_Collection'!$S129)),"YES","NO")</f>
        <v>NO</v>
      </c>
      <c r="AK202" s="245" t="str">
        <f>IF(ISNUMBER(SEARCH("H", 'Dry_Litterbag Placem_Collection'!$S129)),"YES","NO")</f>
        <v>NO</v>
      </c>
      <c r="AL202" s="245" t="str">
        <f>IF(ISNUMBER(SEARCH("R", 'Dry_Litterbag Placem_Collection'!$S129)),"YES","NO")</f>
        <v>YES</v>
      </c>
    </row>
    <row r="203" spans="2:38">
      <c r="B203" t="str">
        <f>Dryseason!B129</f>
        <v>Dry</v>
      </c>
      <c r="C203" s="253">
        <f>Dryseason!C129</f>
        <v>128</v>
      </c>
      <c r="D203" t="s">
        <v>3120</v>
      </c>
      <c r="E203" t="s">
        <v>22</v>
      </c>
      <c r="F203" s="375">
        <v>8</v>
      </c>
      <c r="G203" s="16">
        <f>IF('Dry_Litterbag Placem_Collection'!E130="","",'Dry_Litterbag Placem_Collection'!E130)</f>
        <v>42939</v>
      </c>
      <c r="H203" t="str">
        <f>Dryseason!L129</f>
        <v>G34</v>
      </c>
      <c r="I203" t="str">
        <f>Dryseason!L349</f>
        <v>R819</v>
      </c>
      <c r="J203">
        <f>IFERROR(INDEX('Green_rooibos initial weight'!$C$5:$C$2000,MATCH(H203, 'Green_rooibos initial weight'!$A$5:$A$2000,0)),"")</f>
        <v>2.133</v>
      </c>
      <c r="K203">
        <f>IFERROR(INDEX('Green_rooibos initial weight'!$C$5:$C$2000,MATCH(I203, 'Green_rooibos initial weight'!$A$5:$A$2000,0)),"")</f>
        <v>2.16</v>
      </c>
      <c r="L203" s="194">
        <f t="shared" si="17"/>
        <v>1.8832</v>
      </c>
      <c r="M203" s="233">
        <f>AVERAGE(Ashed_controlls!$K$1:$K$11)</f>
        <v>5.5147656768714146</v>
      </c>
      <c r="N203" s="194">
        <f t="shared" si="13"/>
        <v>1.7793459327731576</v>
      </c>
      <c r="O203" s="194">
        <f t="shared" si="18"/>
        <v>1.9102000000000001</v>
      </c>
      <c r="P203" s="233">
        <f>AVERAGE(Ashed_controlls!$K$12:$K$14)</f>
        <v>2.2816647271287041</v>
      </c>
      <c r="Q203" s="194">
        <f t="shared" si="14"/>
        <v>1.8666156403823877</v>
      </c>
      <c r="R203" s="16">
        <f>IF('Dry_Litterbag Placem_Collection'!G130="","",'Dry_Litterbag Placem_Collection'!G130)</f>
        <v>43008</v>
      </c>
      <c r="S203" s="194">
        <f>IFERROR(INDEX('Both teabags AfterDry'!$D$3:$D$2000,MATCH(H203,'Both teabags AfterDry'!$A$3:$A$2000,0)),"")</f>
        <v>0.92579999999999996</v>
      </c>
      <c r="T203" s="194">
        <f>IFERROR(INDEX('Both teabags AfterDry'!$D$3:$D$2000,MATCH(I203,'Both teabags AfterDry'!$A$3:$A$2000,0)),"")</f>
        <v>2.8028</v>
      </c>
      <c r="U203" s="194">
        <f t="shared" si="19"/>
        <v>0.77519999999999989</v>
      </c>
      <c r="V203" s="194">
        <f t="shared" si="20"/>
        <v>2.6522000000000001</v>
      </c>
      <c r="W203" s="194">
        <f>IFERROR(INDEX('Ashed teabags dry'!$K$2:$K$2000,MATCH(H203,'Ashed teabags dry'!$A$2:$A$2000,0)),"")</f>
        <v>26.714158504006296</v>
      </c>
      <c r="X203" s="194">
        <f>IFERROR(INDEX('Ashed teabags dry'!$K$2:$K$2000,MATCH(I203,'Ashed teabags dry'!$A$2:$A$2000,0)),"")</f>
        <v>86.93858845096193</v>
      </c>
      <c r="Y203" s="194">
        <f t="shared" si="15"/>
        <v>0.56811184327694308</v>
      </c>
      <c r="Z203" s="194">
        <f t="shared" si="15"/>
        <v>0.3464147571035876</v>
      </c>
      <c r="AA203" s="194">
        <f t="shared" si="21"/>
        <v>0.68071872208035122</v>
      </c>
      <c r="AB203" s="194">
        <f t="shared" si="22"/>
        <v>0.44626690568688115</v>
      </c>
      <c r="AC203" s="194">
        <f t="shared" si="16"/>
        <v>0.18558440720695044</v>
      </c>
      <c r="AD203">
        <f t="shared" si="23"/>
        <v>69</v>
      </c>
      <c r="AE203" s="194">
        <f t="shared" si="24"/>
        <v>0.19154546071217193</v>
      </c>
      <c r="AF203" s="194" t="str">
        <f t="shared" si="25"/>
        <v/>
      </c>
      <c r="AG203" s="245" t="str">
        <f>IF(ISNUMBER(SEARCH("C", 'Dry_Litterbag Placem_Collection'!$T130)),"YES","NO")</f>
        <v>YES</v>
      </c>
      <c r="AH203" s="245" t="str">
        <f>IF(ISNUMBER(SEARCH("H", 'Dry_Litterbag Placem_Collection'!$T130)),"YES","NO")</f>
        <v>YES</v>
      </c>
      <c r="AI203" s="245" t="str">
        <f>IF(ISNUMBER(SEARCH("R", 'Dry_Litterbag Placem_Collection'!$T130)),"YES","NO")</f>
        <v>NO</v>
      </c>
      <c r="AJ203" s="245" t="str">
        <f>IF(ISNUMBER(SEARCH("C", 'Dry_Litterbag Placem_Collection'!$S130)),"YES","NO")</f>
        <v>NO</v>
      </c>
      <c r="AK203" s="245" t="str">
        <f>IF(ISNUMBER(SEARCH("H", 'Dry_Litterbag Placem_Collection'!$S130)),"YES","NO")</f>
        <v>NO</v>
      </c>
      <c r="AL203" s="245" t="str">
        <f>IF(ISNUMBER(SEARCH("R", 'Dry_Litterbag Placem_Collection'!$S130)),"YES","NO")</f>
        <v>NO</v>
      </c>
    </row>
    <row r="204" spans="2:38">
      <c r="B204" t="str">
        <f>Dryseason!B130</f>
        <v>Dry</v>
      </c>
      <c r="C204" s="253">
        <f>Dryseason!C130</f>
        <v>129</v>
      </c>
      <c r="D204" t="s">
        <v>3121</v>
      </c>
      <c r="E204" t="s">
        <v>22</v>
      </c>
      <c r="F204" s="374">
        <v>1</v>
      </c>
      <c r="G204" s="16">
        <f>IF('Dry_Litterbag Placem_Collection'!E131="","",'Dry_Litterbag Placem_Collection'!E131)</f>
        <v>42939</v>
      </c>
      <c r="H204" t="str">
        <f>Dryseason!L130</f>
        <v>G80</v>
      </c>
      <c r="I204" t="str">
        <f>Dryseason!L350</f>
        <v>R768</v>
      </c>
      <c r="J204">
        <f>IFERROR(INDEX('Green_rooibos initial weight'!$C$5:$C$2000,MATCH(H204, 'Green_rooibos initial weight'!$A$5:$A$2000,0)),"")</f>
        <v>2.0259999999999998</v>
      </c>
      <c r="K204">
        <f>IFERROR(INDEX('Green_rooibos initial weight'!$C$5:$C$2000,MATCH(I204, 'Green_rooibos initial weight'!$A$5:$A$2000,0)),"")</f>
        <v>2.2120000000000002</v>
      </c>
      <c r="L204" s="194">
        <f t="shared" si="17"/>
        <v>1.7761999999999998</v>
      </c>
      <c r="M204" s="233">
        <f>AVERAGE(Ashed_controlls!$K$1:$K$11)</f>
        <v>5.5147656768714146</v>
      </c>
      <c r="N204" s="194">
        <f t="shared" ref="N204:N267" si="26">IFERROR(L204-(M204/100)*L204,"")</f>
        <v>1.6782467320474097</v>
      </c>
      <c r="O204" s="194">
        <f t="shared" si="18"/>
        <v>1.9622000000000002</v>
      </c>
      <c r="P204" s="233">
        <f>AVERAGE(Ashed_controlls!$K$12:$K$14)</f>
        <v>2.2816647271287041</v>
      </c>
      <c r="Q204" s="194">
        <f t="shared" ref="Q204:Q267" si="27">IFERROR(O204-(P204/100)*O204,"")</f>
        <v>1.9174291747242806</v>
      </c>
      <c r="R204" s="16">
        <f>IF('Dry_Litterbag Placem_Collection'!G131="","",'Dry_Litterbag Placem_Collection'!G131)</f>
        <v>43008</v>
      </c>
      <c r="S204" s="194">
        <f>IFERROR(INDEX('Both teabags AfterDry'!$D$3:$D$2000,MATCH(H204,'Both teabags AfterDry'!$A$3:$A$2000,0)),"")</f>
        <v>0.72970000000000002</v>
      </c>
      <c r="T204" s="194">
        <f>IFERROR(INDEX('Both teabags AfterDry'!$D$3:$D$2000,MATCH(I204,'Both teabags AfterDry'!$A$3:$A$2000,0)),"")</f>
        <v>0.67179999999999995</v>
      </c>
      <c r="U204" s="194">
        <f t="shared" si="19"/>
        <v>0.57909999999999995</v>
      </c>
      <c r="V204" s="194">
        <f t="shared" si="20"/>
        <v>0.52119999999999989</v>
      </c>
      <c r="W204" s="194">
        <f>IFERROR(INDEX('Ashed teabags dry'!$K$2:$K$2000,MATCH(H204,'Ashed teabags dry'!$A$2:$A$2000,0)),"")</f>
        <v>20.009394081728875</v>
      </c>
      <c r="X204" s="194">
        <f>IFERROR(INDEX('Ashed teabags dry'!$K$2:$K$2000,MATCH(I204,'Ashed teabags dry'!$A$2:$A$2000,0)),"")</f>
        <v>87.766714082503427</v>
      </c>
      <c r="Y204" s="194">
        <f t="shared" ref="Y204:Z267" si="28">IFERROR(U204-(W204/100)*U204,"")</f>
        <v>0.46322559887270803</v>
      </c>
      <c r="Z204" s="194">
        <f t="shared" si="28"/>
        <v>6.3759886201992133E-2</v>
      </c>
      <c r="AA204" s="194">
        <f t="shared" si="21"/>
        <v>0.72398242163857107</v>
      </c>
      <c r="AB204" s="194">
        <f t="shared" si="22"/>
        <v>0.47462980610984712</v>
      </c>
      <c r="AC204" s="194">
        <f t="shared" ref="AC204:AC267" si="29">IFERROR(Z204/Q204,"")</f>
        <v>3.3252798613101611E-2</v>
      </c>
      <c r="AD204">
        <f t="shared" si="23"/>
        <v>69</v>
      </c>
      <c r="AE204" s="194">
        <f t="shared" si="24"/>
        <v>0.14016339472853789</v>
      </c>
      <c r="AF204" s="194" t="str">
        <f t="shared" si="25"/>
        <v/>
      </c>
      <c r="AG204" s="245" t="str">
        <f>IF(ISNUMBER(SEARCH("C", 'Dry_Litterbag Placem_Collection'!$T131)),"YES","NO")</f>
        <v>YES</v>
      </c>
      <c r="AH204" s="245" t="str">
        <f>IF(ISNUMBER(SEARCH("H", 'Dry_Litterbag Placem_Collection'!$T131)),"YES","NO")</f>
        <v>YES</v>
      </c>
      <c r="AI204" s="245" t="str">
        <f>IF(ISNUMBER(SEARCH("R", 'Dry_Litterbag Placem_Collection'!$T131)),"YES","NO")</f>
        <v>NO</v>
      </c>
      <c r="AJ204" s="245" t="str">
        <f>IF(ISNUMBER(SEARCH("C", 'Dry_Litterbag Placem_Collection'!$S131)),"YES","NO")</f>
        <v>YES</v>
      </c>
      <c r="AK204" s="245" t="str">
        <f>IF(ISNUMBER(SEARCH("H", 'Dry_Litterbag Placem_Collection'!$S131)),"YES","NO")</f>
        <v>YES</v>
      </c>
      <c r="AL204" s="245" t="str">
        <f>IF(ISNUMBER(SEARCH("R", 'Dry_Litterbag Placem_Collection'!$S131)),"YES","NO")</f>
        <v>NO</v>
      </c>
    </row>
    <row r="205" spans="2:38">
      <c r="B205" t="str">
        <f>Dryseason!B131</f>
        <v>Dry</v>
      </c>
      <c r="C205" s="253">
        <f>Dryseason!C131</f>
        <v>130</v>
      </c>
      <c r="D205" t="s">
        <v>3121</v>
      </c>
      <c r="E205" t="s">
        <v>22</v>
      </c>
      <c r="F205" s="374">
        <v>2</v>
      </c>
      <c r="G205" s="16">
        <f>IF('Dry_Litterbag Placem_Collection'!E132="","",'Dry_Litterbag Placem_Collection'!E132)</f>
        <v>42939</v>
      </c>
      <c r="H205" t="str">
        <f>Dryseason!L131</f>
        <v>G64</v>
      </c>
      <c r="I205" t="str">
        <f>Dryseason!L351</f>
        <v>R789</v>
      </c>
      <c r="J205">
        <f>IFERROR(INDEX('Green_rooibos initial weight'!$C$5:$C$2000,MATCH(H205, 'Green_rooibos initial weight'!$A$5:$A$2000,0)),"")</f>
        <v>2.0840000000000001</v>
      </c>
      <c r="K205">
        <f>IFERROR(INDEX('Green_rooibos initial weight'!$C$5:$C$2000,MATCH(I205, 'Green_rooibos initial weight'!$A$5:$A$2000,0)),"")</f>
        <v>2.2549999999999999</v>
      </c>
      <c r="L205" s="194">
        <f t="shared" ref="L205:L268" si="30">IFERROR(IF(J205&gt;0,(J205*$F$31-($F$29+$F$30)),""),"")</f>
        <v>1.8342000000000001</v>
      </c>
      <c r="M205" s="233">
        <f>AVERAGE(Ashed_controlls!$K$1:$K$11)</f>
        <v>5.5147656768714146</v>
      </c>
      <c r="N205" s="194">
        <f t="shared" si="26"/>
        <v>1.7330481679548246</v>
      </c>
      <c r="O205" s="194">
        <f t="shared" ref="O205:O268" si="31">IFERROR(IF(K205&gt;0,(K205*$F$32-($F$29+$F$30)),""),"")</f>
        <v>2.0051999999999999</v>
      </c>
      <c r="P205" s="233">
        <f>AVERAGE(Ashed_controlls!$K$12:$K$14)</f>
        <v>2.2816647271287041</v>
      </c>
      <c r="Q205" s="194">
        <f t="shared" si="27"/>
        <v>1.959448058891615</v>
      </c>
      <c r="R205" s="16">
        <f>IF('Dry_Litterbag Placem_Collection'!G132="","",'Dry_Litterbag Placem_Collection'!G132)</f>
        <v>43008</v>
      </c>
      <c r="S205" s="194">
        <f>IFERROR(INDEX('Both teabags AfterDry'!$D$3:$D$2000,MATCH(H205,'Both teabags AfterDry'!$A$3:$A$2000,0)),"")</f>
        <v>0.83650000000000002</v>
      </c>
      <c r="T205" s="194">
        <f>IFERROR(INDEX('Both teabags AfterDry'!$D$3:$D$2000,MATCH(I205,'Both teabags AfterDry'!$A$3:$A$2000,0)),"")</f>
        <v>2.4607999999999999</v>
      </c>
      <c r="U205" s="194">
        <f t="shared" ref="U205:U268" si="32">IFERROR(IF(S205&gt;0,S205-($F$29),""),"")</f>
        <v>0.68589999999999995</v>
      </c>
      <c r="V205" s="194">
        <f t="shared" ref="V205:V268" si="33">IFERROR(IF(T205&gt;0,T205-($F$29),""),"")</f>
        <v>2.3102</v>
      </c>
      <c r="W205" s="194">
        <f>IFERROR(INDEX('Ashed teabags dry'!$K$2:$K$2000,MATCH(H205,'Ashed teabags dry'!$A$2:$A$2000,0)),"")</f>
        <v>23.217636022513883</v>
      </c>
      <c r="X205" s="194">
        <f>IFERROR(INDEX('Ashed teabags dry'!$K$2:$K$2000,MATCH(I205,'Ashed teabags dry'!$A$2:$A$2000,0)),"")</f>
        <v>91.804831833254127</v>
      </c>
      <c r="Y205" s="194">
        <f t="shared" si="28"/>
        <v>0.52665023452157722</v>
      </c>
      <c r="Z205" s="194">
        <f t="shared" si="28"/>
        <v>0.18932477498816302</v>
      </c>
      <c r="AA205" s="194">
        <f t="shared" ref="AA205:AA268" si="34">IFERROR(1-Y205/N205,"")</f>
        <v>0.69611333126240882</v>
      </c>
      <c r="AB205" s="194">
        <f t="shared" ref="AB205:AB268" si="35">IFERROR($F$26*(1-AE205),"")</f>
        <v>0.45635933355920394</v>
      </c>
      <c r="AC205" s="194">
        <f t="shared" si="29"/>
        <v>9.6621481814249691E-2</v>
      </c>
      <c r="AD205">
        <f t="shared" ref="AD205:AD268" si="36">IFERROR(IF((R205-G205)&gt;0,(IFERROR(R205-G205,"")),""),"")</f>
        <v>69</v>
      </c>
      <c r="AE205" s="194">
        <f t="shared" ref="AE205:AE268" si="37">IFERROR(1-(AA205/$F$25),"")</f>
        <v>0.17326207688550022</v>
      </c>
      <c r="AF205" s="194" t="str">
        <f t="shared" ref="AF205:AF268" si="38">IFERROR(LN(AB205/(AC205-(1-AB205)))/AD205,"")</f>
        <v/>
      </c>
      <c r="AG205" s="245" t="str">
        <f>IF(ISNUMBER(SEARCH("C", 'Dry_Litterbag Placem_Collection'!$T132)),"YES","NO")</f>
        <v>YES</v>
      </c>
      <c r="AH205" s="245" t="str">
        <f>IF(ISNUMBER(SEARCH("H", 'Dry_Litterbag Placem_Collection'!$T132)),"YES","NO")</f>
        <v>YES</v>
      </c>
      <c r="AI205" s="245" t="str">
        <f>IF(ISNUMBER(SEARCH("R", 'Dry_Litterbag Placem_Collection'!$T132)),"YES","NO")</f>
        <v>NO</v>
      </c>
      <c r="AJ205" s="245" t="str">
        <f>IF(ISNUMBER(SEARCH("C", 'Dry_Litterbag Placem_Collection'!$S132)),"YES","NO")</f>
        <v>YES</v>
      </c>
      <c r="AK205" s="245" t="str">
        <f>IF(ISNUMBER(SEARCH("H", 'Dry_Litterbag Placem_Collection'!$S132)),"YES","NO")</f>
        <v>NO</v>
      </c>
      <c r="AL205" s="245" t="str">
        <f>IF(ISNUMBER(SEARCH("R", 'Dry_Litterbag Placem_Collection'!$S132)),"YES","NO")</f>
        <v>NO</v>
      </c>
    </row>
    <row r="206" spans="2:38">
      <c r="B206" t="str">
        <f>Dryseason!B132</f>
        <v>Dry</v>
      </c>
      <c r="C206" s="253">
        <f>Dryseason!C132</f>
        <v>131</v>
      </c>
      <c r="D206" t="s">
        <v>3121</v>
      </c>
      <c r="E206" t="s">
        <v>22</v>
      </c>
      <c r="F206" s="374">
        <v>3</v>
      </c>
      <c r="G206" s="16">
        <f>IF('Dry_Litterbag Placem_Collection'!E133="","",'Dry_Litterbag Placem_Collection'!E133)</f>
        <v>42939</v>
      </c>
      <c r="H206" t="str">
        <f>Dryseason!L132</f>
        <v>G118</v>
      </c>
      <c r="I206" t="str">
        <f>Dryseason!L352</f>
        <v>R586</v>
      </c>
      <c r="J206">
        <f>IFERROR(INDEX('Green_rooibos initial weight'!$C$5:$C$2000,MATCH(H206, 'Green_rooibos initial weight'!$A$5:$A$2000,0)),"")</f>
        <v>2.0870000000000002</v>
      </c>
      <c r="K206">
        <f>IFERROR(INDEX('Green_rooibos initial weight'!$C$5:$C$2000,MATCH(I206, 'Green_rooibos initial weight'!$A$5:$A$2000,0)),"")</f>
        <v>2.1520000000000001</v>
      </c>
      <c r="L206" s="194">
        <f t="shared" si="30"/>
        <v>1.8372000000000002</v>
      </c>
      <c r="M206" s="233">
        <f>AVERAGE(Ashed_controlls!$K$1:$K$11)</f>
        <v>5.5147656768714146</v>
      </c>
      <c r="N206" s="194">
        <f t="shared" si="26"/>
        <v>1.7358827249845186</v>
      </c>
      <c r="O206" s="194">
        <f t="shared" si="31"/>
        <v>1.9022000000000001</v>
      </c>
      <c r="P206" s="233">
        <f>AVERAGE(Ashed_controlls!$K$12:$K$14)</f>
        <v>2.2816647271287041</v>
      </c>
      <c r="Q206" s="194">
        <f t="shared" si="27"/>
        <v>1.8587981735605579</v>
      </c>
      <c r="R206" s="16">
        <f>IF('Dry_Litterbag Placem_Collection'!G133="","",'Dry_Litterbag Placem_Collection'!G133)</f>
        <v>43008</v>
      </c>
      <c r="S206" s="194">
        <f>IFERROR(INDEX('Both teabags AfterDry'!$D$3:$D$2000,MATCH(H206,'Both teabags AfterDry'!$A$3:$A$2000,0)),"")</f>
        <v>0.87509999999999999</v>
      </c>
      <c r="T206" s="194">
        <f>IFERROR(INDEX('Both teabags AfterDry'!$D$3:$D$2000,MATCH(I206,'Both teabags AfterDry'!$A$3:$A$2000,0)),"")</f>
        <v>2.2069000000000001</v>
      </c>
      <c r="U206" s="194">
        <f t="shared" si="32"/>
        <v>0.72449999999999992</v>
      </c>
      <c r="V206" s="194">
        <f t="shared" si="33"/>
        <v>2.0563000000000002</v>
      </c>
      <c r="W206" s="194">
        <f>IFERROR(INDEX('Ashed teabags dry'!$K$2:$K$2000,MATCH(H206,'Ashed teabags dry'!$A$2:$A$2000,0)),"")</f>
        <v>19.267364414842707</v>
      </c>
      <c r="X206" s="194">
        <f>IFERROR(INDEX('Ashed teabags dry'!$K$2:$K$2000,MATCH(I206,'Ashed teabags dry'!$A$2:$A$2000,0)),"")</f>
        <v>73.946360153256592</v>
      </c>
      <c r="Y206" s="194">
        <f t="shared" si="28"/>
        <v>0.58490794481446451</v>
      </c>
      <c r="Z206" s="194">
        <f t="shared" si="28"/>
        <v>0.53574099616858462</v>
      </c>
      <c r="AA206" s="194">
        <f t="shared" si="34"/>
        <v>0.66304869770526631</v>
      </c>
      <c r="AB206" s="194">
        <f t="shared" si="35"/>
        <v>0.43468275669038842</v>
      </c>
      <c r="AC206" s="194">
        <f t="shared" si="29"/>
        <v>0.28821902441531028</v>
      </c>
      <c r="AD206">
        <f t="shared" si="36"/>
        <v>69</v>
      </c>
      <c r="AE206" s="194">
        <f t="shared" si="37"/>
        <v>0.21253123787973116</v>
      </c>
      <c r="AF206" s="194" t="str">
        <f t="shared" si="38"/>
        <v/>
      </c>
      <c r="AG206" s="245" t="str">
        <f>IF(ISNUMBER(SEARCH("C", 'Dry_Litterbag Placem_Collection'!$T133)),"YES","NO")</f>
        <v>YES</v>
      </c>
      <c r="AH206" s="245" t="str">
        <f>IF(ISNUMBER(SEARCH("H", 'Dry_Litterbag Placem_Collection'!$T133)),"YES","NO")</f>
        <v>YES</v>
      </c>
      <c r="AI206" s="245" t="str">
        <f>IF(ISNUMBER(SEARCH("R", 'Dry_Litterbag Placem_Collection'!$T133)),"YES","NO")</f>
        <v>NO</v>
      </c>
      <c r="AJ206" s="245" t="str">
        <f>IF(ISNUMBER(SEARCH("C", 'Dry_Litterbag Placem_Collection'!$S133)),"YES","NO")</f>
        <v>YES</v>
      </c>
      <c r="AK206" s="245" t="str">
        <f>IF(ISNUMBER(SEARCH("H", 'Dry_Litterbag Placem_Collection'!$S133)),"YES","NO")</f>
        <v>NO</v>
      </c>
      <c r="AL206" s="245" t="str">
        <f>IF(ISNUMBER(SEARCH("R", 'Dry_Litterbag Placem_Collection'!$S133)),"YES","NO")</f>
        <v>NO</v>
      </c>
    </row>
    <row r="207" spans="2:38">
      <c r="B207" t="str">
        <f>Dryseason!B133</f>
        <v>Dry</v>
      </c>
      <c r="C207" s="253">
        <f>Dryseason!C133</f>
        <v>132</v>
      </c>
      <c r="D207" t="s">
        <v>3121</v>
      </c>
      <c r="E207" t="s">
        <v>22</v>
      </c>
      <c r="F207" s="375">
        <v>4</v>
      </c>
      <c r="G207" s="16" t="str">
        <f>IF('Dry_Litterbag Placem_Collection'!E134="","",'Dry_Litterbag Placem_Collection'!E134)</f>
        <v/>
      </c>
      <c r="H207" t="str">
        <f>Dryseason!L133</f>
        <v/>
      </c>
      <c r="I207" t="str">
        <f>Dryseason!L353</f>
        <v/>
      </c>
      <c r="J207" t="str">
        <f>IFERROR(INDEX('Green_rooibos initial weight'!$C$5:$C$2000,MATCH(H207, 'Green_rooibos initial weight'!$A$5:$A$2000,0)),"")</f>
        <v/>
      </c>
      <c r="K207" t="str">
        <f>IFERROR(INDEX('Green_rooibos initial weight'!$C$5:$C$2000,MATCH(I207, 'Green_rooibos initial weight'!$A$5:$A$2000,0)),"")</f>
        <v/>
      </c>
      <c r="L207" s="194" t="str">
        <f t="shared" si="30"/>
        <v/>
      </c>
      <c r="M207" s="233">
        <f>AVERAGE(Ashed_controlls!$K$1:$K$11)</f>
        <v>5.5147656768714146</v>
      </c>
      <c r="N207" s="194" t="str">
        <f t="shared" si="26"/>
        <v/>
      </c>
      <c r="O207" s="194" t="str">
        <f t="shared" si="31"/>
        <v/>
      </c>
      <c r="P207" s="233">
        <f>AVERAGE(Ashed_controlls!$K$12:$K$14)</f>
        <v>2.2816647271287041</v>
      </c>
      <c r="Q207" s="194" t="str">
        <f t="shared" si="27"/>
        <v/>
      </c>
      <c r="R207" s="16" t="str">
        <f>IF('Dry_Litterbag Placem_Collection'!G134="","",'Dry_Litterbag Placem_Collection'!G134)</f>
        <v/>
      </c>
      <c r="S207" s="194" t="str">
        <f>IFERROR(INDEX('Both teabags AfterDry'!$D$3:$D$2000,MATCH(H207,'Both teabags AfterDry'!$A$3:$A$2000,0)),"")</f>
        <v/>
      </c>
      <c r="T207" s="194" t="str">
        <f>IFERROR(INDEX('Both teabags AfterDry'!$D$3:$D$2000,MATCH(I207,'Both teabags AfterDry'!$A$3:$A$2000,0)),"")</f>
        <v/>
      </c>
      <c r="U207" s="194" t="str">
        <f t="shared" si="32"/>
        <v/>
      </c>
      <c r="V207" s="194" t="str">
        <f t="shared" si="33"/>
        <v/>
      </c>
      <c r="W207" s="194" t="str">
        <f>IFERROR(INDEX('Ashed teabags dry'!$K$2:$K$2000,MATCH(H207,'Ashed teabags dry'!$A$2:$A$2000,0)),"")</f>
        <v/>
      </c>
      <c r="X207" s="194" t="str">
        <f>IFERROR(INDEX('Ashed teabags dry'!$K$2:$K$2000,MATCH(I207,'Ashed teabags dry'!$A$2:$A$2000,0)),"")</f>
        <v/>
      </c>
      <c r="Y207" s="194" t="str">
        <f t="shared" si="28"/>
        <v/>
      </c>
      <c r="Z207" s="194" t="str">
        <f t="shared" si="28"/>
        <v/>
      </c>
      <c r="AA207" s="194" t="str">
        <f t="shared" si="34"/>
        <v/>
      </c>
      <c r="AB207" s="194" t="str">
        <f t="shared" si="35"/>
        <v/>
      </c>
      <c r="AC207" s="194" t="str">
        <f t="shared" si="29"/>
        <v/>
      </c>
      <c r="AD207" t="str">
        <f t="shared" si="36"/>
        <v/>
      </c>
      <c r="AE207" s="194" t="str">
        <f t="shared" si="37"/>
        <v/>
      </c>
      <c r="AF207" s="194" t="str">
        <f t="shared" si="38"/>
        <v/>
      </c>
      <c r="AG207" s="245" t="str">
        <f>IF(ISNUMBER(SEARCH("C", 'Dry_Litterbag Placem_Collection'!$T134)),"YES","NO")</f>
        <v>NO</v>
      </c>
      <c r="AH207" s="245" t="str">
        <f>IF(ISNUMBER(SEARCH("H", 'Dry_Litterbag Placem_Collection'!$T134)),"YES","NO")</f>
        <v>NO</v>
      </c>
      <c r="AI207" s="245" t="str">
        <f>IF(ISNUMBER(SEARCH("R", 'Dry_Litterbag Placem_Collection'!$T134)),"YES","NO")</f>
        <v>NO</v>
      </c>
      <c r="AJ207" s="245" t="str">
        <f>IF(ISNUMBER(SEARCH("C", 'Dry_Litterbag Placem_Collection'!$S134)),"YES","NO")</f>
        <v>NO</v>
      </c>
      <c r="AK207" s="245" t="str">
        <f>IF(ISNUMBER(SEARCH("H", 'Dry_Litterbag Placem_Collection'!$S134)),"YES","NO")</f>
        <v>NO</v>
      </c>
      <c r="AL207" s="245" t="str">
        <f>IF(ISNUMBER(SEARCH("R", 'Dry_Litterbag Placem_Collection'!$S134)),"YES","NO")</f>
        <v>NO</v>
      </c>
    </row>
    <row r="208" spans="2:38">
      <c r="B208" t="str">
        <f>Dryseason!B134</f>
        <v>Dry</v>
      </c>
      <c r="C208" s="253">
        <f>Dryseason!C134</f>
        <v>133</v>
      </c>
      <c r="D208" t="s">
        <v>3121</v>
      </c>
      <c r="E208" t="s">
        <v>22</v>
      </c>
      <c r="F208" s="375">
        <v>5</v>
      </c>
      <c r="G208" s="16">
        <f>IF('Dry_Litterbag Placem_Collection'!E135="","",'Dry_Litterbag Placem_Collection'!E135)</f>
        <v>42939</v>
      </c>
      <c r="H208" t="str">
        <f>Dryseason!L134</f>
        <v>G270</v>
      </c>
      <c r="I208" t="str">
        <f>Dryseason!L354</f>
        <v>R817</v>
      </c>
      <c r="J208">
        <f>IFERROR(INDEX('Green_rooibos initial weight'!$C$5:$C$2000,MATCH(H208, 'Green_rooibos initial weight'!$A$5:$A$2000,0)),"")</f>
        <v>2.0139999999999998</v>
      </c>
      <c r="K208">
        <f>IFERROR(INDEX('Green_rooibos initial weight'!$C$5:$C$2000,MATCH(I208, 'Green_rooibos initial weight'!$A$5:$A$2000,0)),"")</f>
        <v>2.1749999999999998</v>
      </c>
      <c r="L208" s="194">
        <f t="shared" si="30"/>
        <v>1.7641999999999998</v>
      </c>
      <c r="M208" s="233">
        <f>AVERAGE(Ashed_controlls!$K$1:$K$11)</f>
        <v>5.5147656768714146</v>
      </c>
      <c r="N208" s="194">
        <f t="shared" si="26"/>
        <v>1.6669085039286342</v>
      </c>
      <c r="O208" s="194">
        <f t="shared" si="31"/>
        <v>1.9251999999999998</v>
      </c>
      <c r="P208" s="233">
        <f>AVERAGE(Ashed_controlls!$K$12:$K$14)</f>
        <v>2.2816647271287041</v>
      </c>
      <c r="Q208" s="194">
        <f t="shared" si="27"/>
        <v>1.8812733906733179</v>
      </c>
      <c r="R208" s="16">
        <f>IF('Dry_Litterbag Placem_Collection'!G135="","",'Dry_Litterbag Placem_Collection'!G135)</f>
        <v>43008</v>
      </c>
      <c r="S208" s="194" t="str">
        <f>IFERROR(INDEX('Both teabags AfterDry'!$D$3:$D$2000,MATCH(H208,'Both teabags AfterDry'!$A$3:$A$2000,0)),"")</f>
        <v/>
      </c>
      <c r="T208" s="194" t="str">
        <f>IFERROR(INDEX('Both teabags AfterDry'!$D$3:$D$2000,MATCH(I208,'Both teabags AfterDry'!$A$3:$A$2000,0)),"")</f>
        <v/>
      </c>
      <c r="U208" s="194" t="str">
        <f t="shared" si="32"/>
        <v/>
      </c>
      <c r="V208" s="194" t="str">
        <f t="shared" si="33"/>
        <v/>
      </c>
      <c r="W208" s="194" t="str">
        <f>IFERROR(INDEX('Ashed teabags dry'!$K$2:$K$2000,MATCH(H208,'Ashed teabags dry'!$A$2:$A$2000,0)),"")</f>
        <v/>
      </c>
      <c r="X208" s="194" t="str">
        <f>IFERROR(INDEX('Ashed teabags dry'!$K$2:$K$2000,MATCH(I208,'Ashed teabags dry'!$A$2:$A$2000,0)),"")</f>
        <v/>
      </c>
      <c r="Y208" s="194" t="str">
        <f t="shared" si="28"/>
        <v/>
      </c>
      <c r="Z208" s="194" t="str">
        <f t="shared" si="28"/>
        <v/>
      </c>
      <c r="AA208" s="194" t="str">
        <f t="shared" si="34"/>
        <v/>
      </c>
      <c r="AB208" s="194" t="str">
        <f t="shared" si="35"/>
        <v/>
      </c>
      <c r="AC208" s="194" t="str">
        <f t="shared" si="29"/>
        <v/>
      </c>
      <c r="AD208">
        <f t="shared" si="36"/>
        <v>69</v>
      </c>
      <c r="AE208" s="194" t="str">
        <f t="shared" si="37"/>
        <v/>
      </c>
      <c r="AF208" s="194" t="str">
        <f t="shared" si="38"/>
        <v/>
      </c>
      <c r="AG208" s="245" t="str">
        <f>IF(ISNUMBER(SEARCH("C", 'Dry_Litterbag Placem_Collection'!$T135)),"YES","NO")</f>
        <v>YES</v>
      </c>
      <c r="AH208" s="245" t="str">
        <f>IF(ISNUMBER(SEARCH("H", 'Dry_Litterbag Placem_Collection'!$T135)),"YES","NO")</f>
        <v>NO</v>
      </c>
      <c r="AI208" s="245" t="str">
        <f>IF(ISNUMBER(SEARCH("R", 'Dry_Litterbag Placem_Collection'!$T135)),"YES","NO")</f>
        <v>NO</v>
      </c>
      <c r="AJ208" s="245" t="str">
        <f>IF(ISNUMBER(SEARCH("C", 'Dry_Litterbag Placem_Collection'!$S135)),"YES","NO")</f>
        <v>YES</v>
      </c>
      <c r="AK208" s="245" t="str">
        <f>IF(ISNUMBER(SEARCH("H", 'Dry_Litterbag Placem_Collection'!$S135)),"YES","NO")</f>
        <v>NO</v>
      </c>
      <c r="AL208" s="245" t="str">
        <f>IF(ISNUMBER(SEARCH("R", 'Dry_Litterbag Placem_Collection'!$S135)),"YES","NO")</f>
        <v>NO</v>
      </c>
    </row>
    <row r="209" spans="2:38">
      <c r="B209" t="str">
        <f>Dryseason!B135</f>
        <v>Dry</v>
      </c>
      <c r="C209" s="253">
        <f>Dryseason!C135</f>
        <v>134</v>
      </c>
      <c r="D209" t="s">
        <v>3121</v>
      </c>
      <c r="E209" t="s">
        <v>22</v>
      </c>
      <c r="F209" s="375">
        <v>6</v>
      </c>
      <c r="G209" s="16">
        <f>IF('Dry_Litterbag Placem_Collection'!E136="","",'Dry_Litterbag Placem_Collection'!E136)</f>
        <v>42939</v>
      </c>
      <c r="H209" t="str">
        <f>Dryseason!L135</f>
        <v>G316</v>
      </c>
      <c r="I209" t="str">
        <f>Dryseason!L355</f>
        <v>R837</v>
      </c>
      <c r="J209">
        <f>IFERROR(INDEX('Green_rooibos initial weight'!$C$5:$C$2000,MATCH(H209, 'Green_rooibos initial weight'!$A$5:$A$2000,0)),"")</f>
        <v>2.0579999999999998</v>
      </c>
      <c r="K209">
        <f>IFERROR(INDEX('Green_rooibos initial weight'!$C$5:$C$2000,MATCH(I209, 'Green_rooibos initial weight'!$A$5:$A$2000,0)),"")</f>
        <v>2.1909999999999998</v>
      </c>
      <c r="L209" s="194">
        <f t="shared" si="30"/>
        <v>1.8081999999999998</v>
      </c>
      <c r="M209" s="233">
        <f>AVERAGE(Ashed_controlls!$K$1:$K$11)</f>
        <v>5.5147656768714146</v>
      </c>
      <c r="N209" s="194">
        <f t="shared" si="26"/>
        <v>1.7084820070308109</v>
      </c>
      <c r="O209" s="194">
        <f t="shared" si="31"/>
        <v>1.9411999999999998</v>
      </c>
      <c r="P209" s="233">
        <f>AVERAGE(Ashed_controlls!$K$12:$K$14)</f>
        <v>2.2816647271287041</v>
      </c>
      <c r="Q209" s="194">
        <f t="shared" si="27"/>
        <v>1.8969083243169773</v>
      </c>
      <c r="R209" s="16">
        <f>IF('Dry_Litterbag Placem_Collection'!G136="","",'Dry_Litterbag Placem_Collection'!G136)</f>
        <v>43008</v>
      </c>
      <c r="S209" s="194">
        <f>IFERROR(INDEX('Both teabags AfterDry'!$D$3:$D$2000,MATCH(H209,'Both teabags AfterDry'!$A$3:$A$2000,0)),"")</f>
        <v>0.6512</v>
      </c>
      <c r="T209" s="194">
        <f>IFERROR(INDEX('Both teabags AfterDry'!$D$3:$D$2000,MATCH(I209,'Both teabags AfterDry'!$A$3:$A$2000,0)),"")</f>
        <v>1.7436</v>
      </c>
      <c r="U209" s="194">
        <f t="shared" si="32"/>
        <v>0.50059999999999993</v>
      </c>
      <c r="V209" s="194">
        <f t="shared" si="33"/>
        <v>1.593</v>
      </c>
      <c r="W209" s="194">
        <f>IFERROR(INDEX('Ashed teabags dry'!$K$2:$K$2000,MATCH(H209,'Ashed teabags dry'!$A$2:$A$2000,0)),"")</f>
        <v>14.444983034415532</v>
      </c>
      <c r="X209" s="194">
        <f>IFERROR(INDEX('Ashed teabags dry'!$K$2:$K$2000,MATCH(I209,'Ashed teabags dry'!$A$2:$A$2000,0)),"")</f>
        <v>3.5795197100129474</v>
      </c>
      <c r="Y209" s="194">
        <f t="shared" si="28"/>
        <v>0.42828841492971581</v>
      </c>
      <c r="Z209" s="194">
        <f t="shared" si="28"/>
        <v>1.5359782510194937</v>
      </c>
      <c r="AA209" s="194">
        <f t="shared" si="34"/>
        <v>0.74931640300149094</v>
      </c>
      <c r="AB209" s="194">
        <f t="shared" si="35"/>
        <v>0.49123830695584686</v>
      </c>
      <c r="AC209" s="194">
        <f t="shared" si="29"/>
        <v>0.80972719204685639</v>
      </c>
      <c r="AD209">
        <f t="shared" si="36"/>
        <v>69</v>
      </c>
      <c r="AE209" s="194">
        <f t="shared" si="37"/>
        <v>0.1100755308770891</v>
      </c>
      <c r="AF209" s="194">
        <f t="shared" si="38"/>
        <v>7.100488744056453E-3</v>
      </c>
      <c r="AG209" s="245" t="str">
        <f>IF(ISNUMBER(SEARCH("C", 'Dry_Litterbag Placem_Collection'!$T136)),"YES","NO")</f>
        <v>YES</v>
      </c>
      <c r="AH209" s="245" t="str">
        <f>IF(ISNUMBER(SEARCH("H", 'Dry_Litterbag Placem_Collection'!$T136)),"YES","NO")</f>
        <v>NO</v>
      </c>
      <c r="AI209" s="245" t="str">
        <f>IF(ISNUMBER(SEARCH("R", 'Dry_Litterbag Placem_Collection'!$T136)),"YES","NO")</f>
        <v>NO</v>
      </c>
      <c r="AJ209" s="245" t="str">
        <f>IF(ISNUMBER(SEARCH("C", 'Dry_Litterbag Placem_Collection'!$S136)),"YES","NO")</f>
        <v>NO</v>
      </c>
      <c r="AK209" s="245" t="str">
        <f>IF(ISNUMBER(SEARCH("H", 'Dry_Litterbag Placem_Collection'!$S136)),"YES","NO")</f>
        <v>NO</v>
      </c>
      <c r="AL209" s="245" t="str">
        <f>IF(ISNUMBER(SEARCH("R", 'Dry_Litterbag Placem_Collection'!$S136)),"YES","NO")</f>
        <v>YES</v>
      </c>
    </row>
    <row r="210" spans="2:38">
      <c r="B210" t="str">
        <f>Dryseason!B136</f>
        <v>Dry</v>
      </c>
      <c r="C210" s="253">
        <f>Dryseason!C136</f>
        <v>135</v>
      </c>
      <c r="D210" t="s">
        <v>3121</v>
      </c>
      <c r="E210" t="s">
        <v>22</v>
      </c>
      <c r="F210" s="375">
        <v>7</v>
      </c>
      <c r="G210" s="16">
        <f>IF('Dry_Litterbag Placem_Collection'!E137="","",'Dry_Litterbag Placem_Collection'!E137)</f>
        <v>42939</v>
      </c>
      <c r="H210" t="str">
        <f>Dryseason!L136</f>
        <v>G77</v>
      </c>
      <c r="I210" t="str">
        <f>Dryseason!L356</f>
        <v>R756</v>
      </c>
      <c r="J210">
        <f>IFERROR(INDEX('Green_rooibos initial weight'!$C$5:$C$2000,MATCH(H210, 'Green_rooibos initial weight'!$A$5:$A$2000,0)),"")</f>
        <v>2.0190000000000001</v>
      </c>
      <c r="K210">
        <f>IFERROR(INDEX('Green_rooibos initial weight'!$C$5:$C$2000,MATCH(I210, 'Green_rooibos initial weight'!$A$5:$A$2000,0)),"")</f>
        <v>2.2690000000000001</v>
      </c>
      <c r="L210" s="194">
        <f t="shared" si="30"/>
        <v>1.7692000000000001</v>
      </c>
      <c r="M210" s="233">
        <f>AVERAGE(Ashed_controlls!$K$1:$K$11)</f>
        <v>5.5147656768714146</v>
      </c>
      <c r="N210" s="194">
        <f t="shared" si="26"/>
        <v>1.6716327656447911</v>
      </c>
      <c r="O210" s="194">
        <f t="shared" si="31"/>
        <v>2.0192000000000001</v>
      </c>
      <c r="P210" s="233">
        <f>AVERAGE(Ashed_controlls!$K$12:$K$14)</f>
        <v>2.2816647271287041</v>
      </c>
      <c r="Q210" s="194">
        <f t="shared" si="27"/>
        <v>1.9731286258298173</v>
      </c>
      <c r="R210" s="16">
        <f>IF('Dry_Litterbag Placem_Collection'!G137="","",'Dry_Litterbag Placem_Collection'!G137)</f>
        <v>43008</v>
      </c>
      <c r="S210" s="194">
        <f>IFERROR(INDEX('Both teabags AfterDry'!$D$3:$D$2000,MATCH(H210,'Both teabags AfterDry'!$A$3:$A$2000,0)),"")</f>
        <v>0.94330000000000003</v>
      </c>
      <c r="T210" s="194">
        <f>IFERROR(INDEX('Both teabags AfterDry'!$D$3:$D$2000,MATCH(I210,'Both teabags AfterDry'!$A$3:$A$2000,0)),"")</f>
        <v>2.0406</v>
      </c>
      <c r="U210" s="194">
        <f t="shared" si="32"/>
        <v>0.79269999999999996</v>
      </c>
      <c r="V210" s="194">
        <f t="shared" si="33"/>
        <v>1.89</v>
      </c>
      <c r="W210" s="194">
        <f>IFERROR(INDEX('Ashed teabags dry'!$K$2:$K$2000,MATCH(H210,'Ashed teabags dry'!$A$2:$A$2000,0)),"")</f>
        <v>34.179033030157882</v>
      </c>
      <c r="X210" s="194">
        <f>IFERROR(INDEX('Ashed teabags dry'!$K$2:$K$2000,MATCH(I210,'Ashed teabags dry'!$A$2:$A$2000,0)),"")</f>
        <v>89.95546759030151</v>
      </c>
      <c r="Y210" s="194">
        <f t="shared" si="28"/>
        <v>0.52176280516993845</v>
      </c>
      <c r="Z210" s="194">
        <f t="shared" si="28"/>
        <v>0.18984166254330148</v>
      </c>
      <c r="AA210" s="194">
        <f t="shared" si="34"/>
        <v>0.68787235097735033</v>
      </c>
      <c r="AB210" s="194">
        <f t="shared" si="35"/>
        <v>0.45095669565260976</v>
      </c>
      <c r="AC210" s="194">
        <f t="shared" si="29"/>
        <v>9.621352610170654E-2</v>
      </c>
      <c r="AD210">
        <f t="shared" si="36"/>
        <v>69</v>
      </c>
      <c r="AE210" s="194">
        <f t="shared" si="37"/>
        <v>0.18304946439744618</v>
      </c>
      <c r="AF210" s="194" t="str">
        <f t="shared" si="38"/>
        <v/>
      </c>
      <c r="AG210" s="245" t="str">
        <f>IF(ISNUMBER(SEARCH("C", 'Dry_Litterbag Placem_Collection'!$T137)),"YES","NO")</f>
        <v>YES</v>
      </c>
      <c r="AH210" s="245" t="str">
        <f>IF(ISNUMBER(SEARCH("H", 'Dry_Litterbag Placem_Collection'!$T137)),"YES","NO")</f>
        <v>YES</v>
      </c>
      <c r="AI210" s="245" t="str">
        <f>IF(ISNUMBER(SEARCH("R", 'Dry_Litterbag Placem_Collection'!$T137)),"YES","NO")</f>
        <v>NO</v>
      </c>
      <c r="AJ210" s="245" t="str">
        <f>IF(ISNUMBER(SEARCH("C", 'Dry_Litterbag Placem_Collection'!$S137)),"YES","NO")</f>
        <v>YES</v>
      </c>
      <c r="AK210" s="245" t="str">
        <f>IF(ISNUMBER(SEARCH("H", 'Dry_Litterbag Placem_Collection'!$S137)),"YES","NO")</f>
        <v>YES</v>
      </c>
      <c r="AL210" s="245" t="str">
        <f>IF(ISNUMBER(SEARCH("R", 'Dry_Litterbag Placem_Collection'!$S137)),"YES","NO")</f>
        <v>NO</v>
      </c>
    </row>
    <row r="211" spans="2:38">
      <c r="B211" t="str">
        <f>Dryseason!B137</f>
        <v>Dry</v>
      </c>
      <c r="C211" s="253">
        <f>Dryseason!C137</f>
        <v>136</v>
      </c>
      <c r="D211" t="s">
        <v>3121</v>
      </c>
      <c r="E211" t="s">
        <v>22</v>
      </c>
      <c r="F211" s="375">
        <v>8</v>
      </c>
      <c r="G211" s="16">
        <f>IF('Dry_Litterbag Placem_Collection'!E138="","",'Dry_Litterbag Placem_Collection'!E138)</f>
        <v>42939</v>
      </c>
      <c r="H211" t="str">
        <f>Dryseason!L137</f>
        <v>G332</v>
      </c>
      <c r="I211" t="str">
        <f>Dryseason!L357</f>
        <v>R184</v>
      </c>
      <c r="J211">
        <f>IFERROR(INDEX('Green_rooibos initial weight'!$C$5:$C$2000,MATCH(H211, 'Green_rooibos initial weight'!$A$5:$A$2000,0)),"")</f>
        <v>2.121</v>
      </c>
      <c r="K211">
        <f>IFERROR(INDEX('Green_rooibos initial weight'!$C$5:$C$2000,MATCH(I211, 'Green_rooibos initial weight'!$A$5:$A$2000,0)),"")</f>
        <v>2.202</v>
      </c>
      <c r="L211" s="194">
        <f t="shared" si="30"/>
        <v>1.8712</v>
      </c>
      <c r="M211" s="233">
        <f>AVERAGE(Ashed_controlls!$K$1:$K$11)</f>
        <v>5.5147656768714146</v>
      </c>
      <c r="N211" s="194">
        <f t="shared" si="26"/>
        <v>1.7680077046543821</v>
      </c>
      <c r="O211" s="194">
        <f t="shared" si="31"/>
        <v>1.9521999999999999</v>
      </c>
      <c r="P211" s="233">
        <f>AVERAGE(Ashed_controlls!$K$12:$K$14)</f>
        <v>2.2816647271287041</v>
      </c>
      <c r="Q211" s="194">
        <f t="shared" si="27"/>
        <v>1.9076573411969935</v>
      </c>
      <c r="R211" s="16">
        <f>IF('Dry_Litterbag Placem_Collection'!G138="","",'Dry_Litterbag Placem_Collection'!G138)</f>
        <v>43008</v>
      </c>
      <c r="S211" s="194">
        <f>IFERROR(INDEX('Both teabags AfterDry'!$D$3:$D$2000,MATCH(H211,'Both teabags AfterDry'!$A$3:$A$2000,0)),"")</f>
        <v>0.98260000000000003</v>
      </c>
      <c r="T211" s="194">
        <f>IFERROR(INDEX('Both teabags AfterDry'!$D$3:$D$2000,MATCH(I211,'Both teabags AfterDry'!$A$3:$A$2000,0)),"")</f>
        <v>1.7850999999999999</v>
      </c>
      <c r="U211" s="194">
        <f t="shared" si="32"/>
        <v>0.83200000000000007</v>
      </c>
      <c r="V211" s="194">
        <f t="shared" si="33"/>
        <v>1.6344999999999998</v>
      </c>
      <c r="W211" s="194">
        <f>IFERROR(INDEX('Ashed teabags dry'!$K$2:$K$2000,MATCH(H211,'Ashed teabags dry'!$A$2:$A$2000,0)),"")</f>
        <v>36.128717698681726</v>
      </c>
      <c r="X211" s="194">
        <f>IFERROR(INDEX('Ashed teabags dry'!$K$2:$K$2000,MATCH(I211,'Ashed teabags dry'!$A$2:$A$2000,0)),"")</f>
        <v>4.4315992292882065</v>
      </c>
      <c r="Y211" s="194">
        <f t="shared" si="28"/>
        <v>0.53140906874696814</v>
      </c>
      <c r="Z211" s="194">
        <f t="shared" si="28"/>
        <v>1.562065510597284</v>
      </c>
      <c r="AA211" s="194">
        <f t="shared" si="34"/>
        <v>0.69943056959084338</v>
      </c>
      <c r="AB211" s="194">
        <f t="shared" si="35"/>
        <v>0.45853405512368833</v>
      </c>
      <c r="AC211" s="194">
        <f t="shared" si="29"/>
        <v>0.81883967149841397</v>
      </c>
      <c r="AD211">
        <f t="shared" si="36"/>
        <v>69</v>
      </c>
      <c r="AE211" s="194">
        <f t="shared" si="37"/>
        <v>0.16932236390636179</v>
      </c>
      <c r="AF211" s="194">
        <f t="shared" si="38"/>
        <v>7.2850546897403855E-3</v>
      </c>
      <c r="AG211" s="245" t="str">
        <f>IF(ISNUMBER(SEARCH("C", 'Dry_Litterbag Placem_Collection'!$T138)),"YES","NO")</f>
        <v>NO</v>
      </c>
      <c r="AH211" s="245" t="str">
        <f>IF(ISNUMBER(SEARCH("H", 'Dry_Litterbag Placem_Collection'!$T138)),"YES","NO")</f>
        <v>NO</v>
      </c>
      <c r="AI211" s="245" t="str">
        <f>IF(ISNUMBER(SEARCH("R", 'Dry_Litterbag Placem_Collection'!$T138)),"YES","NO")</f>
        <v>NO</v>
      </c>
      <c r="AJ211" s="245" t="str">
        <f>IF(ISNUMBER(SEARCH("C", 'Dry_Litterbag Placem_Collection'!$S138)),"YES","NO")</f>
        <v>YES</v>
      </c>
      <c r="AK211" s="245" t="str">
        <f>IF(ISNUMBER(SEARCH("H", 'Dry_Litterbag Placem_Collection'!$S138)),"YES","NO")</f>
        <v>NO</v>
      </c>
      <c r="AL211" s="245" t="str">
        <f>IF(ISNUMBER(SEARCH("R", 'Dry_Litterbag Placem_Collection'!$S138)),"YES","NO")</f>
        <v>NO</v>
      </c>
    </row>
    <row r="212" spans="2:38">
      <c r="B212" t="str">
        <f>Dryseason!B138</f>
        <v>Dry</v>
      </c>
      <c r="C212" s="253">
        <f>Dryseason!C138</f>
        <v>137</v>
      </c>
      <c r="D212" t="s">
        <v>3123</v>
      </c>
      <c r="E212" t="s">
        <v>22</v>
      </c>
      <c r="F212" s="374">
        <v>1</v>
      </c>
      <c r="G212" s="16">
        <f>IF('Dry_Litterbag Placem_Collection'!E139="","",'Dry_Litterbag Placem_Collection'!E139)</f>
        <v>42939</v>
      </c>
      <c r="H212" t="str">
        <f>Dryseason!L138</f>
        <v>G30</v>
      </c>
      <c r="I212" t="str">
        <f>Dryseason!L358</f>
        <v>R746</v>
      </c>
      <c r="J212">
        <f>IFERROR(INDEX('Green_rooibos initial weight'!$C$5:$C$2000,MATCH(H212, 'Green_rooibos initial weight'!$A$5:$A$2000,0)),"")</f>
        <v>2.0680000000000001</v>
      </c>
      <c r="K212">
        <f>IFERROR(INDEX('Green_rooibos initial weight'!$C$5:$C$2000,MATCH(I212, 'Green_rooibos initial weight'!$A$5:$A$2000,0)),"")</f>
        <v>2.2290000000000001</v>
      </c>
      <c r="L212" s="194">
        <f t="shared" si="30"/>
        <v>1.8182</v>
      </c>
      <c r="M212" s="233">
        <f>AVERAGE(Ashed_controlls!$K$1:$K$11)</f>
        <v>5.5147656768714146</v>
      </c>
      <c r="N212" s="194">
        <f t="shared" si="26"/>
        <v>1.7179305304631241</v>
      </c>
      <c r="O212" s="194">
        <f t="shared" si="31"/>
        <v>1.9792000000000001</v>
      </c>
      <c r="P212" s="233">
        <f>AVERAGE(Ashed_controlls!$K$12:$K$14)</f>
        <v>2.2816647271287041</v>
      </c>
      <c r="Q212" s="194">
        <f t="shared" si="27"/>
        <v>1.9340412917206689</v>
      </c>
      <c r="R212" s="16">
        <f>IF('Dry_Litterbag Placem_Collection'!G139="","",'Dry_Litterbag Placem_Collection'!G139)</f>
        <v>43008</v>
      </c>
      <c r="S212" s="194">
        <f>IFERROR(INDEX('Both teabags AfterDry'!$D$3:$D$2000,MATCH(H212,'Both teabags AfterDry'!$A$3:$A$2000,0)),"")</f>
        <v>0.80879999999999996</v>
      </c>
      <c r="T212" s="194">
        <f>IFERROR(INDEX('Both teabags AfterDry'!$D$3:$D$2000,MATCH(I212,'Both teabags AfterDry'!$A$3:$A$2000,0)),"")</f>
        <v>5.0305999999999997</v>
      </c>
      <c r="U212" s="194">
        <f t="shared" si="32"/>
        <v>0.6581999999999999</v>
      </c>
      <c r="V212" s="194">
        <f t="shared" si="33"/>
        <v>4.88</v>
      </c>
      <c r="W212" s="194">
        <f>IFERROR(INDEX('Ashed teabags dry'!$K$2:$K$2000,MATCH(H212,'Ashed teabags dry'!$A$2:$A$2000,0)),"")</f>
        <v>19.57311534968159</v>
      </c>
      <c r="X212" s="194">
        <f>IFERROR(INDEX('Ashed teabags dry'!$K$2:$K$2000,MATCH(I212,'Ashed teabags dry'!$A$2:$A$2000,0)),"")</f>
        <v>91.181818181818144</v>
      </c>
      <c r="Y212" s="194">
        <f t="shared" si="28"/>
        <v>0.52936975476839565</v>
      </c>
      <c r="Z212" s="194">
        <f t="shared" si="28"/>
        <v>0.43032727272727467</v>
      </c>
      <c r="AA212" s="194">
        <f t="shared" si="34"/>
        <v>0.6918561342374614</v>
      </c>
      <c r="AB212" s="194">
        <f t="shared" si="35"/>
        <v>0.45356839204166122</v>
      </c>
      <c r="AC212" s="194">
        <f t="shared" si="29"/>
        <v>0.22250159527071064</v>
      </c>
      <c r="AD212">
        <f t="shared" si="36"/>
        <v>69</v>
      </c>
      <c r="AE212" s="194">
        <f t="shared" si="37"/>
        <v>0.17831813035930943</v>
      </c>
      <c r="AF212" s="194" t="str">
        <f t="shared" si="38"/>
        <v/>
      </c>
      <c r="AG212" s="245" t="str">
        <f>IF(ISNUMBER(SEARCH("C", 'Dry_Litterbag Placem_Collection'!$T139)),"YES","NO")</f>
        <v>YES</v>
      </c>
      <c r="AH212" s="245" t="str">
        <f>IF(ISNUMBER(SEARCH("H", 'Dry_Litterbag Placem_Collection'!$T139)),"YES","NO")</f>
        <v>YES</v>
      </c>
      <c r="AI212" s="245" t="str">
        <f>IF(ISNUMBER(SEARCH("R", 'Dry_Litterbag Placem_Collection'!$T139)),"YES","NO")</f>
        <v>NO</v>
      </c>
      <c r="AJ212" s="245" t="str">
        <f>IF(ISNUMBER(SEARCH("C", 'Dry_Litterbag Placem_Collection'!$S139)),"YES","NO")</f>
        <v>NO</v>
      </c>
      <c r="AK212" s="245" t="str">
        <f>IF(ISNUMBER(SEARCH("H", 'Dry_Litterbag Placem_Collection'!$S139)),"YES","NO")</f>
        <v>YES</v>
      </c>
      <c r="AL212" s="245" t="str">
        <f>IF(ISNUMBER(SEARCH("R", 'Dry_Litterbag Placem_Collection'!$S139)),"YES","NO")</f>
        <v>NO</v>
      </c>
    </row>
    <row r="213" spans="2:38">
      <c r="B213" t="str">
        <f>Dryseason!B139</f>
        <v>Dry</v>
      </c>
      <c r="C213" s="253">
        <f>Dryseason!C139</f>
        <v>138</v>
      </c>
      <c r="D213" t="s">
        <v>3123</v>
      </c>
      <c r="E213" t="s">
        <v>22</v>
      </c>
      <c r="F213" s="374">
        <v>2</v>
      </c>
      <c r="G213" s="16">
        <f>IF('Dry_Litterbag Placem_Collection'!E140="","",'Dry_Litterbag Placem_Collection'!E140)</f>
        <v>42939</v>
      </c>
      <c r="H213" t="str">
        <f>Dryseason!L139</f>
        <v>G213</v>
      </c>
      <c r="I213" t="str">
        <f>Dryseason!L359</f>
        <v>R821</v>
      </c>
      <c r="J213">
        <f>IFERROR(INDEX('Green_rooibos initial weight'!$C$5:$C$2000,MATCH(H213, 'Green_rooibos initial weight'!$A$5:$A$2000,0)),"")</f>
        <v>2.0670000000000002</v>
      </c>
      <c r="K213">
        <f>IFERROR(INDEX('Green_rooibos initial weight'!$C$5:$C$2000,MATCH(I213, 'Green_rooibos initial weight'!$A$5:$A$2000,0)),"")</f>
        <v>2.1680000000000001</v>
      </c>
      <c r="L213" s="194">
        <f t="shared" si="30"/>
        <v>1.8172000000000001</v>
      </c>
      <c r="M213" s="233">
        <f>AVERAGE(Ashed_controlls!$K$1:$K$11)</f>
        <v>5.5147656768714146</v>
      </c>
      <c r="N213" s="194">
        <f t="shared" si="26"/>
        <v>1.7169856781198929</v>
      </c>
      <c r="O213" s="194">
        <f t="shared" si="31"/>
        <v>1.9182000000000001</v>
      </c>
      <c r="P213" s="233">
        <f>AVERAGE(Ashed_controlls!$K$12:$K$14)</f>
        <v>2.2816647271287041</v>
      </c>
      <c r="Q213" s="194">
        <f t="shared" si="27"/>
        <v>1.8744331072042173</v>
      </c>
      <c r="R213" s="16">
        <f>IF('Dry_Litterbag Placem_Collection'!G140="","",'Dry_Litterbag Placem_Collection'!G140)</f>
        <v>43008</v>
      </c>
      <c r="S213" s="194">
        <f>IFERROR(INDEX('Both teabags AfterDry'!$D$3:$D$2000,MATCH(H213,'Both teabags AfterDry'!$A$3:$A$2000,0)),"")</f>
        <v>0.66200000000000003</v>
      </c>
      <c r="T213" s="194">
        <f>IFERROR(INDEX('Both teabags AfterDry'!$D$3:$D$2000,MATCH(I213,'Both teabags AfterDry'!$A$3:$A$2000,0)),"")</f>
        <v>0.2059</v>
      </c>
      <c r="U213" s="194">
        <f t="shared" si="32"/>
        <v>0.51140000000000008</v>
      </c>
      <c r="V213" s="194">
        <f t="shared" si="33"/>
        <v>5.5299999999999988E-2</v>
      </c>
      <c r="W213" s="194">
        <f>IFERROR(INDEX('Ashed teabags dry'!$K$2:$K$2000,MATCH(H213,'Ashed teabags dry'!$A$2:$A$2000,0)),"")</f>
        <v>28.084896347481987</v>
      </c>
      <c r="X213" s="194">
        <f>IFERROR(INDEX('Ashed teabags dry'!$K$2:$K$2000,MATCH(I213,'Ashed teabags dry'!$A$2:$A$2000,0)),"")</f>
        <v>0</v>
      </c>
      <c r="Y213" s="194">
        <f t="shared" si="28"/>
        <v>0.36777384007897718</v>
      </c>
      <c r="Z213" s="194">
        <f t="shared" si="28"/>
        <v>5.5299999999999988E-2</v>
      </c>
      <c r="AA213" s="194">
        <f t="shared" si="34"/>
        <v>0.78580261631437065</v>
      </c>
      <c r="AB213" s="194">
        <f t="shared" si="35"/>
        <v>0.51515800974528825</v>
      </c>
      <c r="AC213" s="194">
        <f t="shared" si="29"/>
        <v>2.9502253127870685E-2</v>
      </c>
      <c r="AD213">
        <f t="shared" si="36"/>
        <v>69</v>
      </c>
      <c r="AE213" s="194">
        <f t="shared" si="37"/>
        <v>6.6742735968680855E-2</v>
      </c>
      <c r="AF213" s="194" t="str">
        <f t="shared" si="38"/>
        <v/>
      </c>
      <c r="AG213" s="245" t="str">
        <f>IF(ISNUMBER(SEARCH("C", 'Dry_Litterbag Placem_Collection'!$T140)),"YES","NO")</f>
        <v>YES</v>
      </c>
      <c r="AH213" s="245" t="str">
        <f>IF(ISNUMBER(SEARCH("H", 'Dry_Litterbag Placem_Collection'!$T140)),"YES","NO")</f>
        <v>YES</v>
      </c>
      <c r="AI213" s="245" t="str">
        <f>IF(ISNUMBER(SEARCH("R", 'Dry_Litterbag Placem_Collection'!$T140)),"YES","NO")</f>
        <v>NO</v>
      </c>
      <c r="AJ213" s="245" t="str">
        <f>IF(ISNUMBER(SEARCH("C", 'Dry_Litterbag Placem_Collection'!$S140)),"YES","NO")</f>
        <v>YES</v>
      </c>
      <c r="AK213" s="245" t="str">
        <f>IF(ISNUMBER(SEARCH("H", 'Dry_Litterbag Placem_Collection'!$S140)),"YES","NO")</f>
        <v>YES</v>
      </c>
      <c r="AL213" s="245" t="str">
        <f>IF(ISNUMBER(SEARCH("R", 'Dry_Litterbag Placem_Collection'!$S140)),"YES","NO")</f>
        <v>NO</v>
      </c>
    </row>
    <row r="214" spans="2:38">
      <c r="B214" t="str">
        <f>Dryseason!B140</f>
        <v>Dry</v>
      </c>
      <c r="C214" s="253">
        <f>Dryseason!C140</f>
        <v>139</v>
      </c>
      <c r="D214" t="s">
        <v>3123</v>
      </c>
      <c r="E214" t="s">
        <v>22</v>
      </c>
      <c r="F214" s="374">
        <v>3</v>
      </c>
      <c r="G214" s="16">
        <f>IF('Dry_Litterbag Placem_Collection'!E141="","",'Dry_Litterbag Placem_Collection'!E141)</f>
        <v>42939</v>
      </c>
      <c r="H214" t="str">
        <f>Dryseason!L140</f>
        <v>G17</v>
      </c>
      <c r="I214" t="str">
        <f>Dryseason!L360</f>
        <v>R813</v>
      </c>
      <c r="J214">
        <f>IFERROR(INDEX('Green_rooibos initial weight'!$C$5:$C$2000,MATCH(H214, 'Green_rooibos initial weight'!$A$5:$A$2000,0)),"")</f>
        <v>1.9870000000000001</v>
      </c>
      <c r="K214">
        <f>IFERROR(INDEX('Green_rooibos initial weight'!$C$5:$C$2000,MATCH(I214, 'Green_rooibos initial weight'!$A$5:$A$2000,0)),"")</f>
        <v>2.2309999999999999</v>
      </c>
      <c r="L214" s="194">
        <f t="shared" si="30"/>
        <v>1.7372000000000001</v>
      </c>
      <c r="M214" s="233">
        <f>AVERAGE(Ashed_controlls!$K$1:$K$11)</f>
        <v>5.5147656768714146</v>
      </c>
      <c r="N214" s="194">
        <f t="shared" si="26"/>
        <v>1.64139749066139</v>
      </c>
      <c r="O214" s="194">
        <f t="shared" si="31"/>
        <v>1.9811999999999999</v>
      </c>
      <c r="P214" s="233">
        <f>AVERAGE(Ashed_controlls!$K$12:$K$14)</f>
        <v>2.2816647271287041</v>
      </c>
      <c r="Q214" s="194">
        <f t="shared" si="27"/>
        <v>1.935995658426126</v>
      </c>
      <c r="R214" s="16">
        <f>IF('Dry_Litterbag Placem_Collection'!G141="","",'Dry_Litterbag Placem_Collection'!G141)</f>
        <v>43008</v>
      </c>
      <c r="S214" s="194">
        <f>IFERROR(INDEX('Both teabags AfterDry'!$D$3:$D$2000,MATCH(H214,'Both teabags AfterDry'!$A$3:$A$2000,0)),"")</f>
        <v>0.73580000000000001</v>
      </c>
      <c r="T214" s="194">
        <f>IFERROR(INDEX('Both teabags AfterDry'!$D$3:$D$2000,MATCH(I214,'Both teabags AfterDry'!$A$3:$A$2000,0)),"")</f>
        <v>2.1772999999999998</v>
      </c>
      <c r="U214" s="194">
        <f t="shared" si="32"/>
        <v>0.58519999999999994</v>
      </c>
      <c r="V214" s="194">
        <f t="shared" si="33"/>
        <v>2.0266999999999999</v>
      </c>
      <c r="W214" s="194">
        <f>IFERROR(INDEX('Ashed teabags dry'!$K$2:$K$2000,MATCH(H214,'Ashed teabags dry'!$A$2:$A$2000,0)),"")</f>
        <v>21.345029239766301</v>
      </c>
      <c r="X214" s="194">
        <f>IFERROR(INDEX('Ashed teabags dry'!$K$2:$K$2000,MATCH(I214,'Ashed teabags dry'!$A$2:$A$2000,0)),"")</f>
        <v>88.823816495851673</v>
      </c>
      <c r="Y214" s="194">
        <f t="shared" si="28"/>
        <v>0.46028888888888758</v>
      </c>
      <c r="Z214" s="194">
        <f t="shared" si="28"/>
        <v>0.22650771107857426</v>
      </c>
      <c r="AA214" s="194">
        <f t="shared" si="34"/>
        <v>0.71957500148034392</v>
      </c>
      <c r="AB214" s="194">
        <f t="shared" si="35"/>
        <v>0.47174038101799276</v>
      </c>
      <c r="AC214" s="194">
        <f t="shared" si="29"/>
        <v>0.11699804702181742</v>
      </c>
      <c r="AD214">
        <f t="shared" si="36"/>
        <v>69</v>
      </c>
      <c r="AE214" s="194">
        <f t="shared" si="37"/>
        <v>0.14539786047465086</v>
      </c>
      <c r="AF214" s="194" t="str">
        <f t="shared" si="38"/>
        <v/>
      </c>
      <c r="AG214" s="245" t="str">
        <f>IF(ISNUMBER(SEARCH("C", 'Dry_Litterbag Placem_Collection'!$T141)),"YES","NO")</f>
        <v>YES</v>
      </c>
      <c r="AH214" s="245" t="str">
        <f>IF(ISNUMBER(SEARCH("H", 'Dry_Litterbag Placem_Collection'!$T141)),"YES","NO")</f>
        <v>YES</v>
      </c>
      <c r="AI214" s="245" t="str">
        <f>IF(ISNUMBER(SEARCH("R", 'Dry_Litterbag Placem_Collection'!$T141)),"YES","NO")</f>
        <v>NO</v>
      </c>
      <c r="AJ214" s="245" t="str">
        <f>IF(ISNUMBER(SEARCH("C", 'Dry_Litterbag Placem_Collection'!$S141)),"YES","NO")</f>
        <v>YES</v>
      </c>
      <c r="AK214" s="245" t="str">
        <f>IF(ISNUMBER(SEARCH("H", 'Dry_Litterbag Placem_Collection'!$S141)),"YES","NO")</f>
        <v>YES</v>
      </c>
      <c r="AL214" s="245" t="str">
        <f>IF(ISNUMBER(SEARCH("R", 'Dry_Litterbag Placem_Collection'!$S141)),"YES","NO")</f>
        <v>NO</v>
      </c>
    </row>
    <row r="215" spans="2:38">
      <c r="B215" t="str">
        <f>Dryseason!B141</f>
        <v>Dry</v>
      </c>
      <c r="C215" s="253">
        <f>Dryseason!C141</f>
        <v>140</v>
      </c>
      <c r="D215" t="s">
        <v>3123</v>
      </c>
      <c r="E215" t="s">
        <v>22</v>
      </c>
      <c r="F215" s="375">
        <v>4</v>
      </c>
      <c r="G215" s="16">
        <f>IF('Dry_Litterbag Placem_Collection'!E142="","",'Dry_Litterbag Placem_Collection'!E142)</f>
        <v>42939</v>
      </c>
      <c r="H215" t="str">
        <f>Dryseason!L141</f>
        <v>G401</v>
      </c>
      <c r="I215" t="str">
        <f>Dryseason!L361</f>
        <v>R729</v>
      </c>
      <c r="J215">
        <f>IFERROR(INDEX('Green_rooibos initial weight'!$C$5:$C$2000,MATCH(H215, 'Green_rooibos initial weight'!$A$5:$A$2000,0)),"")</f>
        <v>1.9390000000000001</v>
      </c>
      <c r="K215">
        <f>IFERROR(INDEX('Green_rooibos initial weight'!$C$5:$C$2000,MATCH(I215, 'Green_rooibos initial weight'!$A$5:$A$2000,0)),"")</f>
        <v>2.1970000000000001</v>
      </c>
      <c r="L215" s="194">
        <f t="shared" si="30"/>
        <v>1.6892</v>
      </c>
      <c r="M215" s="233">
        <f>AVERAGE(Ashed_controlls!$K$1:$K$11)</f>
        <v>5.5147656768714146</v>
      </c>
      <c r="N215" s="194">
        <f t="shared" si="26"/>
        <v>1.5960445781862882</v>
      </c>
      <c r="O215" s="194">
        <f t="shared" si="31"/>
        <v>1.9472</v>
      </c>
      <c r="P215" s="233">
        <f>AVERAGE(Ashed_controlls!$K$12:$K$14)</f>
        <v>2.2816647271287041</v>
      </c>
      <c r="Q215" s="194">
        <f t="shared" si="27"/>
        <v>1.90277142443335</v>
      </c>
      <c r="R215" s="16">
        <f>IF('Dry_Litterbag Placem_Collection'!G142="","",'Dry_Litterbag Placem_Collection'!G142)</f>
        <v>43008</v>
      </c>
      <c r="S215" s="194">
        <f>IFERROR(INDEX('Both teabags AfterDry'!$D$3:$D$2000,MATCH(H215,'Both teabags AfterDry'!$A$3:$A$2000,0)),"")</f>
        <v>0.9304</v>
      </c>
      <c r="T215" s="194">
        <f>IFERROR(INDEX('Both teabags AfterDry'!$D$3:$D$2000,MATCH(I215,'Both teabags AfterDry'!$A$3:$A$2000,0)),"")</f>
        <v>1.7859</v>
      </c>
      <c r="U215" s="194">
        <f t="shared" si="32"/>
        <v>0.77980000000000005</v>
      </c>
      <c r="V215" s="194">
        <f t="shared" si="33"/>
        <v>1.6353</v>
      </c>
      <c r="W215" s="194">
        <f>IFERROR(INDEX('Ashed teabags dry'!$K$2:$K$2000,MATCH(H215,'Ashed teabags dry'!$A$2:$A$2000,0)),"")</f>
        <v>22.900763358778644</v>
      </c>
      <c r="X215" s="194">
        <f>IFERROR(INDEX('Ashed teabags dry'!$K$2:$K$2000,MATCH(I215,'Ashed teabags dry'!$A$2:$A$2000,0)),"")</f>
        <v>7.374631268436298</v>
      </c>
      <c r="Y215" s="194">
        <f t="shared" si="28"/>
        <v>0.60121984732824418</v>
      </c>
      <c r="Z215" s="194">
        <f t="shared" si="28"/>
        <v>1.5147026548672613</v>
      </c>
      <c r="AA215" s="194">
        <f t="shared" si="34"/>
        <v>0.6233063565107575</v>
      </c>
      <c r="AB215" s="194">
        <f t="shared" si="35"/>
        <v>0.40862839524220684</v>
      </c>
      <c r="AC215" s="194">
        <f t="shared" si="29"/>
        <v>0.79605076858789992</v>
      </c>
      <c r="AD215">
        <f t="shared" si="36"/>
        <v>69</v>
      </c>
      <c r="AE215" s="194">
        <f t="shared" si="37"/>
        <v>0.25973116803948038</v>
      </c>
      <c r="AF215" s="194">
        <f t="shared" si="38"/>
        <v>1.0019746018546867E-2</v>
      </c>
      <c r="AG215" s="245" t="str">
        <f>IF(ISNUMBER(SEARCH("C", 'Dry_Litterbag Placem_Collection'!$T142)),"YES","NO")</f>
        <v>YES</v>
      </c>
      <c r="AH215" s="245" t="str">
        <f>IF(ISNUMBER(SEARCH("H", 'Dry_Litterbag Placem_Collection'!$T142)),"YES","NO")</f>
        <v>YES</v>
      </c>
      <c r="AI215" s="245" t="str">
        <f>IF(ISNUMBER(SEARCH("R", 'Dry_Litterbag Placem_Collection'!$T142)),"YES","NO")</f>
        <v>NO</v>
      </c>
      <c r="AJ215" s="245" t="str">
        <f>IF(ISNUMBER(SEARCH("C", 'Dry_Litterbag Placem_Collection'!$S142)),"YES","NO")</f>
        <v>NO</v>
      </c>
      <c r="AK215" s="245" t="str">
        <f>IF(ISNUMBER(SEARCH("H", 'Dry_Litterbag Placem_Collection'!$S142)),"YES","NO")</f>
        <v>NO</v>
      </c>
      <c r="AL215" s="245" t="str">
        <f>IF(ISNUMBER(SEARCH("R", 'Dry_Litterbag Placem_Collection'!$S142)),"YES","NO")</f>
        <v>YES</v>
      </c>
    </row>
    <row r="216" spans="2:38">
      <c r="B216" t="str">
        <f>Dryseason!B142</f>
        <v>Dry</v>
      </c>
      <c r="C216" s="253">
        <f>Dryseason!C142</f>
        <v>141</v>
      </c>
      <c r="D216" t="s">
        <v>3123</v>
      </c>
      <c r="E216" t="s">
        <v>22</v>
      </c>
      <c r="F216" s="375">
        <v>5</v>
      </c>
      <c r="G216" s="16" t="str">
        <f>IF('Dry_Litterbag Placem_Collection'!E143="","",'Dry_Litterbag Placem_Collection'!E143)</f>
        <v/>
      </c>
      <c r="H216" t="str">
        <f>Dryseason!L142</f>
        <v/>
      </c>
      <c r="I216" t="str">
        <f>Dryseason!L362</f>
        <v/>
      </c>
      <c r="J216" t="str">
        <f>IFERROR(INDEX('Green_rooibos initial weight'!$C$5:$C$2000,MATCH(H216, 'Green_rooibos initial weight'!$A$5:$A$2000,0)),"")</f>
        <v/>
      </c>
      <c r="K216" t="str">
        <f>IFERROR(INDEX('Green_rooibos initial weight'!$C$5:$C$2000,MATCH(I216, 'Green_rooibos initial weight'!$A$5:$A$2000,0)),"")</f>
        <v/>
      </c>
      <c r="L216" s="194" t="str">
        <f t="shared" si="30"/>
        <v/>
      </c>
      <c r="M216" s="233">
        <f>AVERAGE(Ashed_controlls!$K$1:$K$11)</f>
        <v>5.5147656768714146</v>
      </c>
      <c r="N216" s="194" t="str">
        <f t="shared" si="26"/>
        <v/>
      </c>
      <c r="O216" s="194" t="str">
        <f t="shared" si="31"/>
        <v/>
      </c>
      <c r="P216" s="233">
        <f>AVERAGE(Ashed_controlls!$K$12:$K$14)</f>
        <v>2.2816647271287041</v>
      </c>
      <c r="Q216" s="194" t="str">
        <f t="shared" si="27"/>
        <v/>
      </c>
      <c r="R216" s="16" t="str">
        <f>IF('Dry_Litterbag Placem_Collection'!G143="","",'Dry_Litterbag Placem_Collection'!G143)</f>
        <v/>
      </c>
      <c r="S216" s="194" t="str">
        <f>IFERROR(INDEX('Both teabags AfterDry'!$D$3:$D$2000,MATCH(H216,'Both teabags AfterDry'!$A$3:$A$2000,0)),"")</f>
        <v/>
      </c>
      <c r="T216" s="194" t="str">
        <f>IFERROR(INDEX('Both teabags AfterDry'!$D$3:$D$2000,MATCH(I216,'Both teabags AfterDry'!$A$3:$A$2000,0)),"")</f>
        <v/>
      </c>
      <c r="U216" s="194" t="str">
        <f t="shared" si="32"/>
        <v/>
      </c>
      <c r="V216" s="194" t="str">
        <f t="shared" si="33"/>
        <v/>
      </c>
      <c r="W216" s="194" t="str">
        <f>IFERROR(INDEX('Ashed teabags dry'!$K$2:$K$2000,MATCH(H216,'Ashed teabags dry'!$A$2:$A$2000,0)),"")</f>
        <v/>
      </c>
      <c r="X216" s="194" t="str">
        <f>IFERROR(INDEX('Ashed teabags dry'!$K$2:$K$2000,MATCH(I216,'Ashed teabags dry'!$A$2:$A$2000,0)),"")</f>
        <v/>
      </c>
      <c r="Y216" s="194" t="str">
        <f t="shared" si="28"/>
        <v/>
      </c>
      <c r="Z216" s="194" t="str">
        <f t="shared" si="28"/>
        <v/>
      </c>
      <c r="AA216" s="194" t="str">
        <f t="shared" si="34"/>
        <v/>
      </c>
      <c r="AB216" s="194" t="str">
        <f t="shared" si="35"/>
        <v/>
      </c>
      <c r="AC216" s="194" t="str">
        <f t="shared" si="29"/>
        <v/>
      </c>
      <c r="AD216" t="str">
        <f t="shared" si="36"/>
        <v/>
      </c>
      <c r="AE216" s="194" t="str">
        <f t="shared" si="37"/>
        <v/>
      </c>
      <c r="AF216" s="194" t="str">
        <f t="shared" si="38"/>
        <v/>
      </c>
      <c r="AG216" s="245" t="str">
        <f>IF(ISNUMBER(SEARCH("C", 'Dry_Litterbag Placem_Collection'!$T143)),"YES","NO")</f>
        <v>NO</v>
      </c>
      <c r="AH216" s="245" t="str">
        <f>IF(ISNUMBER(SEARCH("H", 'Dry_Litterbag Placem_Collection'!$T143)),"YES","NO")</f>
        <v>NO</v>
      </c>
      <c r="AI216" s="245" t="str">
        <f>IF(ISNUMBER(SEARCH("R", 'Dry_Litterbag Placem_Collection'!$T143)),"YES","NO")</f>
        <v>NO</v>
      </c>
      <c r="AJ216" s="245" t="str">
        <f>IF(ISNUMBER(SEARCH("C", 'Dry_Litterbag Placem_Collection'!$S143)),"YES","NO")</f>
        <v>NO</v>
      </c>
      <c r="AK216" s="245" t="str">
        <f>IF(ISNUMBER(SEARCH("H", 'Dry_Litterbag Placem_Collection'!$S143)),"YES","NO")</f>
        <v>NO</v>
      </c>
      <c r="AL216" s="245" t="str">
        <f>IF(ISNUMBER(SEARCH("R", 'Dry_Litterbag Placem_Collection'!$S143)),"YES","NO")</f>
        <v>NO</v>
      </c>
    </row>
    <row r="217" spans="2:38">
      <c r="B217" t="str">
        <f>Dryseason!B143</f>
        <v>Dry</v>
      </c>
      <c r="C217" s="253">
        <f>Dryseason!C143</f>
        <v>142</v>
      </c>
      <c r="D217" t="s">
        <v>3123</v>
      </c>
      <c r="E217" t="s">
        <v>22</v>
      </c>
      <c r="F217" s="375">
        <v>6</v>
      </c>
      <c r="G217" s="16">
        <f>IF('Dry_Litterbag Placem_Collection'!E144="","",'Dry_Litterbag Placem_Collection'!E144)</f>
        <v>42939</v>
      </c>
      <c r="H217" t="str">
        <f>Dryseason!L143</f>
        <v>G87</v>
      </c>
      <c r="I217" t="str">
        <f>Dryseason!L363</f>
        <v>R834</v>
      </c>
      <c r="J217">
        <f>IFERROR(INDEX('Green_rooibos initial weight'!$C$5:$C$2000,MATCH(H217, 'Green_rooibos initial weight'!$A$5:$A$2000,0)),"")</f>
        <v>1.9870000000000001</v>
      </c>
      <c r="K217">
        <f>IFERROR(INDEX('Green_rooibos initial weight'!$C$5:$C$2000,MATCH(I217, 'Green_rooibos initial weight'!$A$5:$A$2000,0)),"")</f>
        <v>2.1840000000000002</v>
      </c>
      <c r="L217" s="194">
        <f t="shared" si="30"/>
        <v>1.7372000000000001</v>
      </c>
      <c r="M217" s="233">
        <f>AVERAGE(Ashed_controlls!$K$1:$K$11)</f>
        <v>5.5147656768714146</v>
      </c>
      <c r="N217" s="194">
        <f t="shared" si="26"/>
        <v>1.64139749066139</v>
      </c>
      <c r="O217" s="194">
        <f t="shared" si="31"/>
        <v>1.9342000000000001</v>
      </c>
      <c r="P217" s="233">
        <f>AVERAGE(Ashed_controlls!$K$12:$K$14)</f>
        <v>2.2816647271287041</v>
      </c>
      <c r="Q217" s="194">
        <f t="shared" si="27"/>
        <v>1.8900680408478767</v>
      </c>
      <c r="R217" s="16">
        <f>IF('Dry_Litterbag Placem_Collection'!G144="","",'Dry_Litterbag Placem_Collection'!G144)</f>
        <v>43008</v>
      </c>
      <c r="S217" s="194" t="str">
        <f>IFERROR(INDEX('Both teabags AfterDry'!$D$3:$D$2000,MATCH(H217,'Both teabags AfterDry'!$A$3:$A$2000,0)),"")</f>
        <v/>
      </c>
      <c r="T217" s="194" t="str">
        <f>IFERROR(INDEX('Both teabags AfterDry'!$D$3:$D$2000,MATCH(I217,'Both teabags AfterDry'!$A$3:$A$2000,0)),"")</f>
        <v/>
      </c>
      <c r="U217" s="194" t="str">
        <f t="shared" si="32"/>
        <v/>
      </c>
      <c r="V217" s="194" t="str">
        <f t="shared" si="33"/>
        <v/>
      </c>
      <c r="W217" s="194" t="str">
        <f>IFERROR(INDEX('Ashed teabags dry'!$K$2:$K$2000,MATCH(H217,'Ashed teabags dry'!$A$2:$A$2000,0)),"")</f>
        <v/>
      </c>
      <c r="X217" s="194" t="str">
        <f>IFERROR(INDEX('Ashed teabags dry'!$K$2:$K$2000,MATCH(I217,'Ashed teabags dry'!$A$2:$A$2000,0)),"")</f>
        <v/>
      </c>
      <c r="Y217" s="194" t="str">
        <f t="shared" si="28"/>
        <v/>
      </c>
      <c r="Z217" s="194" t="str">
        <f t="shared" si="28"/>
        <v/>
      </c>
      <c r="AA217" s="194" t="str">
        <f t="shared" si="34"/>
        <v/>
      </c>
      <c r="AB217" s="194" t="str">
        <f t="shared" si="35"/>
        <v/>
      </c>
      <c r="AC217" s="194" t="str">
        <f t="shared" si="29"/>
        <v/>
      </c>
      <c r="AD217">
        <f t="shared" si="36"/>
        <v>69</v>
      </c>
      <c r="AE217" s="194" t="str">
        <f t="shared" si="37"/>
        <v/>
      </c>
      <c r="AF217" s="194" t="str">
        <f t="shared" si="38"/>
        <v/>
      </c>
      <c r="AG217" s="245" t="str">
        <f>IF(ISNUMBER(SEARCH("C", 'Dry_Litterbag Placem_Collection'!$T144)),"YES","NO")</f>
        <v>NO</v>
      </c>
      <c r="AH217" s="245" t="str">
        <f>IF(ISNUMBER(SEARCH("H", 'Dry_Litterbag Placem_Collection'!$T144)),"YES","NO")</f>
        <v>NO</v>
      </c>
      <c r="AI217" s="245" t="str">
        <f>IF(ISNUMBER(SEARCH("R", 'Dry_Litterbag Placem_Collection'!$T144)),"YES","NO")</f>
        <v>NO</v>
      </c>
      <c r="AJ217" s="245" t="str">
        <f>IF(ISNUMBER(SEARCH("C", 'Dry_Litterbag Placem_Collection'!$S144)),"YES","NO")</f>
        <v>YES</v>
      </c>
      <c r="AK217" s="245" t="str">
        <f>IF(ISNUMBER(SEARCH("H", 'Dry_Litterbag Placem_Collection'!$S144)),"YES","NO")</f>
        <v>NO</v>
      </c>
      <c r="AL217" s="245" t="str">
        <f>IF(ISNUMBER(SEARCH("R", 'Dry_Litterbag Placem_Collection'!$S144)),"YES","NO")</f>
        <v>YES</v>
      </c>
    </row>
    <row r="218" spans="2:38">
      <c r="B218" t="str">
        <f>Dryseason!B144</f>
        <v>Dry</v>
      </c>
      <c r="C218" s="253">
        <f>Dryseason!C144</f>
        <v>143</v>
      </c>
      <c r="D218" t="s">
        <v>3123</v>
      </c>
      <c r="E218" t="s">
        <v>22</v>
      </c>
      <c r="F218" s="375">
        <v>7</v>
      </c>
      <c r="G218" s="16">
        <f>IF('Dry_Litterbag Placem_Collection'!E145="","",'Dry_Litterbag Placem_Collection'!E145)</f>
        <v>42939</v>
      </c>
      <c r="H218" t="str">
        <f>Dryseason!L144</f>
        <v>G501</v>
      </c>
      <c r="I218" t="str">
        <f>Dryseason!L364</f>
        <v>R774</v>
      </c>
      <c r="J218">
        <f>IFERROR(INDEX('Green_rooibos initial weight'!$C$5:$C$2000,MATCH(H218, 'Green_rooibos initial weight'!$A$5:$A$2000,0)),"")</f>
        <v>1.917</v>
      </c>
      <c r="K218">
        <f>IFERROR(INDEX('Green_rooibos initial weight'!$C$5:$C$2000,MATCH(I218, 'Green_rooibos initial weight'!$A$5:$A$2000,0)),"")</f>
        <v>2.1629999999999998</v>
      </c>
      <c r="L218" s="194">
        <f t="shared" si="30"/>
        <v>1.6672</v>
      </c>
      <c r="M218" s="233">
        <f>AVERAGE(Ashed_controlls!$K$1:$K$11)</f>
        <v>5.5147656768714146</v>
      </c>
      <c r="N218" s="194">
        <f t="shared" si="26"/>
        <v>1.5752578266351998</v>
      </c>
      <c r="O218" s="194">
        <f t="shared" si="31"/>
        <v>1.9131999999999998</v>
      </c>
      <c r="P218" s="233">
        <f>AVERAGE(Ashed_controlls!$K$12:$K$14)</f>
        <v>2.2816647271287041</v>
      </c>
      <c r="Q218" s="194">
        <f t="shared" si="27"/>
        <v>1.8695471904405734</v>
      </c>
      <c r="R218" s="16">
        <f>IF('Dry_Litterbag Placem_Collection'!G145="","",'Dry_Litterbag Placem_Collection'!G145)</f>
        <v>43008</v>
      </c>
      <c r="S218" s="194">
        <f>IFERROR(INDEX('Both teabags AfterDry'!$D$3:$D$2000,MATCH(H218,'Both teabags AfterDry'!$A$3:$A$2000,0)),"")</f>
        <v>0.78680000000000005</v>
      </c>
      <c r="T218" s="194">
        <f>IFERROR(INDEX('Both teabags AfterDry'!$D$3:$D$2000,MATCH(I218,'Both teabags AfterDry'!$A$3:$A$2000,0)),"")</f>
        <v>1.5979000000000001</v>
      </c>
      <c r="U218" s="194">
        <f t="shared" si="32"/>
        <v>0.6362000000000001</v>
      </c>
      <c r="V218" s="194">
        <f t="shared" si="33"/>
        <v>1.4473</v>
      </c>
      <c r="W218" s="194">
        <f>IFERROR(INDEX('Ashed teabags dry'!$K$2:$K$2000,MATCH(H218,'Ashed teabags dry'!$A$2:$A$2000,0)),"")</f>
        <v>20.618120237087211</v>
      </c>
      <c r="X218" s="194">
        <f>IFERROR(INDEX('Ashed teabags dry'!$K$2:$K$2000,MATCH(I218,'Ashed teabags dry'!$A$2:$A$2000,0)),"")</f>
        <v>5.2657480314956748</v>
      </c>
      <c r="Y218" s="194">
        <f t="shared" si="28"/>
        <v>0.50502751905165122</v>
      </c>
      <c r="Z218" s="194">
        <f t="shared" si="28"/>
        <v>1.371088828740163</v>
      </c>
      <c r="AA218" s="194">
        <f t="shared" si="34"/>
        <v>0.67940008898073156</v>
      </c>
      <c r="AB218" s="194">
        <f t="shared" si="35"/>
        <v>0.44540243363107346</v>
      </c>
      <c r="AC218" s="194">
        <f t="shared" si="29"/>
        <v>0.73338016593047606</v>
      </c>
      <c r="AD218">
        <f t="shared" si="36"/>
        <v>69</v>
      </c>
      <c r="AE218" s="194">
        <f t="shared" si="37"/>
        <v>0.19311153327704089</v>
      </c>
      <c r="AF218" s="194">
        <f t="shared" si="38"/>
        <v>1.3229096791529373E-2</v>
      </c>
      <c r="AG218" s="245" t="str">
        <f>IF(ISNUMBER(SEARCH("C", 'Dry_Litterbag Placem_Collection'!$T145)),"YES","NO")</f>
        <v>NO</v>
      </c>
      <c r="AH218" s="245" t="str">
        <f>IF(ISNUMBER(SEARCH("H", 'Dry_Litterbag Placem_Collection'!$T145)),"YES","NO")</f>
        <v>NO</v>
      </c>
      <c r="AI218" s="245" t="str">
        <f>IF(ISNUMBER(SEARCH("R", 'Dry_Litterbag Placem_Collection'!$T145)),"YES","NO")</f>
        <v>NO</v>
      </c>
      <c r="AJ218" s="245" t="str">
        <f>IF(ISNUMBER(SEARCH("C", 'Dry_Litterbag Placem_Collection'!$S145)),"YES","NO")</f>
        <v>NO</v>
      </c>
      <c r="AK218" s="245" t="str">
        <f>IF(ISNUMBER(SEARCH("H", 'Dry_Litterbag Placem_Collection'!$S145)),"YES","NO")</f>
        <v>NO</v>
      </c>
      <c r="AL218" s="245" t="str">
        <f>IF(ISNUMBER(SEARCH("R", 'Dry_Litterbag Placem_Collection'!$S145)),"YES","NO")</f>
        <v>NO</v>
      </c>
    </row>
    <row r="219" spans="2:38">
      <c r="B219" t="str">
        <f>Dryseason!B145</f>
        <v>Dry</v>
      </c>
      <c r="C219" s="253">
        <f>Dryseason!C145</f>
        <v>144</v>
      </c>
      <c r="D219" t="s">
        <v>3123</v>
      </c>
      <c r="E219" t="s">
        <v>22</v>
      </c>
      <c r="F219" s="375">
        <v>8</v>
      </c>
      <c r="G219" s="16">
        <f>IF('Dry_Litterbag Placem_Collection'!E146="","",'Dry_Litterbag Placem_Collection'!E146)</f>
        <v>42939</v>
      </c>
      <c r="H219" t="str">
        <f>Dryseason!L145</f>
        <v>G141</v>
      </c>
      <c r="I219" t="str">
        <f>Dryseason!L365</f>
        <v>R779</v>
      </c>
      <c r="J219">
        <f>IFERROR(INDEX('Green_rooibos initial weight'!$C$5:$C$2000,MATCH(H219, 'Green_rooibos initial weight'!$A$5:$A$2000,0)),"")</f>
        <v>2.0310000000000001</v>
      </c>
      <c r="K219">
        <f>IFERROR(INDEX('Green_rooibos initial weight'!$C$5:$C$2000,MATCH(I219, 'Green_rooibos initial weight'!$A$5:$A$2000,0)),"")</f>
        <v>2.16</v>
      </c>
      <c r="L219" s="194">
        <f t="shared" si="30"/>
        <v>1.7812000000000001</v>
      </c>
      <c r="M219" s="233">
        <f>AVERAGE(Ashed_controlls!$K$1:$K$11)</f>
        <v>5.5147656768714146</v>
      </c>
      <c r="N219" s="194">
        <f t="shared" si="26"/>
        <v>1.6829709937635664</v>
      </c>
      <c r="O219" s="194">
        <f t="shared" si="31"/>
        <v>1.9102000000000001</v>
      </c>
      <c r="P219" s="233">
        <f>AVERAGE(Ashed_controlls!$K$12:$K$14)</f>
        <v>2.2816647271287041</v>
      </c>
      <c r="Q219" s="194">
        <f t="shared" si="27"/>
        <v>1.8666156403823877</v>
      </c>
      <c r="R219" s="16">
        <f>IF('Dry_Litterbag Placem_Collection'!G146="","",'Dry_Litterbag Placem_Collection'!G146)</f>
        <v>43008</v>
      </c>
      <c r="S219" s="194">
        <f>IFERROR(INDEX('Both teabags AfterDry'!$D$3:$D$2000,MATCH(H219,'Both teabags AfterDry'!$A$3:$A$2000,0)),"")</f>
        <v>0.66180000000000005</v>
      </c>
      <c r="T219" s="194">
        <f>IFERROR(INDEX('Both teabags AfterDry'!$D$3:$D$2000,MATCH(I219,'Both teabags AfterDry'!$A$3:$A$2000,0)),"")</f>
        <v>0.17680000000000001</v>
      </c>
      <c r="U219" s="194">
        <f t="shared" si="32"/>
        <v>0.5112000000000001</v>
      </c>
      <c r="V219" s="194">
        <f t="shared" si="33"/>
        <v>2.6200000000000001E-2</v>
      </c>
      <c r="W219" s="194">
        <f>IFERROR(INDEX('Ashed teabags dry'!$K$2:$K$2000,MATCH(H219,'Ashed teabags dry'!$A$2:$A$2000,0)),"")</f>
        <v>16.886930983847094</v>
      </c>
      <c r="X219" s="194">
        <f>IFERROR(INDEX('Ashed teabags dry'!$K$2:$K$2000,MATCH(I219,'Ashed teabags dry'!$A$2:$A$2000,0)),"")</f>
        <v>0</v>
      </c>
      <c r="Y219" s="194">
        <f t="shared" si="28"/>
        <v>0.42487400881057374</v>
      </c>
      <c r="Z219" s="194">
        <f t="shared" si="28"/>
        <v>2.6200000000000001E-2</v>
      </c>
      <c r="AA219" s="194">
        <f t="shared" si="34"/>
        <v>0.74754525753266643</v>
      </c>
      <c r="AB219" s="194">
        <f t="shared" si="35"/>
        <v>0.49007717595965788</v>
      </c>
      <c r="AC219" s="194">
        <f t="shared" si="29"/>
        <v>1.4036097969602767E-2</v>
      </c>
      <c r="AD219">
        <f t="shared" si="36"/>
        <v>69</v>
      </c>
      <c r="AE219" s="194">
        <f t="shared" si="37"/>
        <v>0.1121790290585909</v>
      </c>
      <c r="AF219" s="194" t="str">
        <f t="shared" si="38"/>
        <v/>
      </c>
      <c r="AG219" s="245" t="str">
        <f>IF(ISNUMBER(SEARCH("C", 'Dry_Litterbag Placem_Collection'!$T146)),"YES","NO")</f>
        <v>YES</v>
      </c>
      <c r="AH219" s="245" t="str">
        <f>IF(ISNUMBER(SEARCH("H", 'Dry_Litterbag Placem_Collection'!$T146)),"YES","NO")</f>
        <v>YES</v>
      </c>
      <c r="AI219" s="245" t="str">
        <f>IF(ISNUMBER(SEARCH("R", 'Dry_Litterbag Placem_Collection'!$T146)),"YES","NO")</f>
        <v>NO</v>
      </c>
      <c r="AJ219" s="245" t="str">
        <f>IF(ISNUMBER(SEARCH("C", 'Dry_Litterbag Placem_Collection'!$S146)),"YES","NO")</f>
        <v>NO</v>
      </c>
      <c r="AK219" s="245" t="str">
        <f>IF(ISNUMBER(SEARCH("H", 'Dry_Litterbag Placem_Collection'!$S146)),"YES","NO")</f>
        <v>YES</v>
      </c>
      <c r="AL219" s="245" t="str">
        <f>IF(ISNUMBER(SEARCH("R", 'Dry_Litterbag Placem_Collection'!$S146)),"YES","NO")</f>
        <v>NO</v>
      </c>
    </row>
    <row r="220" spans="2:38">
      <c r="B220" t="str">
        <f>Dryseason!B146</f>
        <v>Dry</v>
      </c>
      <c r="C220" s="253">
        <f>Dryseason!C146</f>
        <v>145</v>
      </c>
      <c r="D220" t="s">
        <v>3124</v>
      </c>
      <c r="E220" t="s">
        <v>22</v>
      </c>
      <c r="F220" s="374">
        <v>1</v>
      </c>
      <c r="G220" s="16">
        <f>IF('Dry_Litterbag Placem_Collection'!E147="","",'Dry_Litterbag Placem_Collection'!E147)</f>
        <v>42939</v>
      </c>
      <c r="H220" t="str">
        <f>Dryseason!L146</f>
        <v>G131</v>
      </c>
      <c r="I220" t="str">
        <f>Dryseason!L366</f>
        <v>R728</v>
      </c>
      <c r="J220">
        <f>IFERROR(INDEX('Green_rooibos initial weight'!$C$5:$C$2000,MATCH(H220, 'Green_rooibos initial weight'!$A$5:$A$2000,0)),"")</f>
        <v>1.9670000000000001</v>
      </c>
      <c r="K220">
        <f>IFERROR(INDEX('Green_rooibos initial weight'!$C$5:$C$2000,MATCH(I220, 'Green_rooibos initial weight'!$A$5:$A$2000,0)),"")</f>
        <v>2.2429999999999999</v>
      </c>
      <c r="L220" s="194">
        <f t="shared" si="30"/>
        <v>1.7172000000000001</v>
      </c>
      <c r="M220" s="233">
        <f>AVERAGE(Ashed_controlls!$K$1:$K$11)</f>
        <v>5.5147656768714146</v>
      </c>
      <c r="N220" s="194">
        <f t="shared" si="26"/>
        <v>1.6225004437967641</v>
      </c>
      <c r="O220" s="194">
        <f t="shared" si="31"/>
        <v>1.9931999999999999</v>
      </c>
      <c r="P220" s="233">
        <f>AVERAGE(Ashed_controlls!$K$12:$K$14)</f>
        <v>2.2816647271287041</v>
      </c>
      <c r="Q220" s="194">
        <f t="shared" si="27"/>
        <v>1.9477218586588705</v>
      </c>
      <c r="R220" s="16">
        <f>IF('Dry_Litterbag Placem_Collection'!G147="","",'Dry_Litterbag Placem_Collection'!G147)</f>
        <v>43010</v>
      </c>
      <c r="S220" s="194">
        <f>IFERROR(INDEX('Both teabags AfterDry'!$D$3:$D$2000,MATCH(H220,'Both teabags AfterDry'!$A$3:$A$2000,0)),"")</f>
        <v>1.544</v>
      </c>
      <c r="T220" s="194">
        <f>IFERROR(INDEX('Both teabags AfterDry'!$D$3:$D$2000,MATCH(I220,'Both teabags AfterDry'!$A$3:$A$2000,0)),"")</f>
        <v>1.9579</v>
      </c>
      <c r="U220" s="194">
        <f t="shared" si="32"/>
        <v>1.3934</v>
      </c>
      <c r="V220" s="194">
        <f t="shared" si="33"/>
        <v>1.8072999999999999</v>
      </c>
      <c r="W220" s="194">
        <f>IFERROR(INDEX('Ashed teabags dry'!$K$2:$K$2000,MATCH(H220,'Ashed teabags dry'!$A$2:$A$2000,0)),"")</f>
        <v>8.3820662768028189</v>
      </c>
      <c r="X220" s="194">
        <f>IFERROR(INDEX('Ashed teabags dry'!$K$2:$K$2000,MATCH(I220,'Ashed teabags dry'!$A$2:$A$2000,0)),"")</f>
        <v>3.1746031746032655</v>
      </c>
      <c r="Y220" s="194">
        <f t="shared" si="28"/>
        <v>1.2766042884990294</v>
      </c>
      <c r="Z220" s="194">
        <f t="shared" si="28"/>
        <v>1.7499253968253952</v>
      </c>
      <c r="AA220" s="194">
        <f t="shared" si="34"/>
        <v>0.21318709441355443</v>
      </c>
      <c r="AB220" s="194">
        <f t="shared" si="35"/>
        <v>0.13976161058940859</v>
      </c>
      <c r="AC220" s="194">
        <f t="shared" si="29"/>
        <v>0.89844727523381052</v>
      </c>
      <c r="AD220">
        <f t="shared" si="36"/>
        <v>71</v>
      </c>
      <c r="AE220" s="194">
        <f t="shared" si="37"/>
        <v>0.74680867646846272</v>
      </c>
      <c r="AF220" s="194">
        <f t="shared" si="38"/>
        <v>1.8265775887172896E-2</v>
      </c>
      <c r="AG220" s="245" t="str">
        <f>IF(ISNUMBER(SEARCH("C", 'Dry_Litterbag Placem_Collection'!$T147)),"YES","NO")</f>
        <v>NO</v>
      </c>
      <c r="AH220" s="245" t="str">
        <f>IF(ISNUMBER(SEARCH("H", 'Dry_Litterbag Placem_Collection'!$T147)),"YES","NO")</f>
        <v>NO</v>
      </c>
      <c r="AI220" s="245" t="str">
        <f>IF(ISNUMBER(SEARCH("R", 'Dry_Litterbag Placem_Collection'!$T147)),"YES","NO")</f>
        <v>NO</v>
      </c>
      <c r="AJ220" s="245" t="str">
        <f>IF(ISNUMBER(SEARCH("C", 'Dry_Litterbag Placem_Collection'!$S147)),"YES","NO")</f>
        <v>NO</v>
      </c>
      <c r="AK220" s="245" t="str">
        <f>IF(ISNUMBER(SEARCH("H", 'Dry_Litterbag Placem_Collection'!$S147)),"YES","NO")</f>
        <v>NO</v>
      </c>
      <c r="AL220" s="245" t="str">
        <f>IF(ISNUMBER(SEARCH("R", 'Dry_Litterbag Placem_Collection'!$S147)),"YES","NO")</f>
        <v>NO</v>
      </c>
    </row>
    <row r="221" spans="2:38">
      <c r="B221" t="str">
        <f>Dryseason!B147</f>
        <v>Dry</v>
      </c>
      <c r="C221" s="253">
        <f>Dryseason!C147</f>
        <v>146</v>
      </c>
      <c r="D221" t="s">
        <v>3124</v>
      </c>
      <c r="E221" t="s">
        <v>22</v>
      </c>
      <c r="F221" s="374">
        <v>2</v>
      </c>
      <c r="G221" s="16">
        <f>IF('Dry_Litterbag Placem_Collection'!E148="","",'Dry_Litterbag Placem_Collection'!E148)</f>
        <v>42939</v>
      </c>
      <c r="H221" t="str">
        <f>Dryseason!L147</f>
        <v>G465</v>
      </c>
      <c r="I221" t="str">
        <f>Dryseason!L367</f>
        <v>R13</v>
      </c>
      <c r="J221">
        <f>IFERROR(INDEX('Green_rooibos initial weight'!$C$5:$C$2000,MATCH(H221, 'Green_rooibos initial weight'!$A$5:$A$2000,0)),"")</f>
        <v>2.004</v>
      </c>
      <c r="K221">
        <f>IFERROR(INDEX('Green_rooibos initial weight'!$C$5:$C$2000,MATCH(I221, 'Green_rooibos initial weight'!$A$5:$A$2000,0)),"")</f>
        <v>2.2490000000000001</v>
      </c>
      <c r="L221" s="194">
        <f t="shared" si="30"/>
        <v>1.7542</v>
      </c>
      <c r="M221" s="233">
        <f>AVERAGE(Ashed_controlls!$K$1:$K$11)</f>
        <v>5.5147656768714146</v>
      </c>
      <c r="N221" s="194">
        <f t="shared" si="26"/>
        <v>1.6574599804963217</v>
      </c>
      <c r="O221" s="194">
        <f t="shared" si="31"/>
        <v>1.9992000000000001</v>
      </c>
      <c r="P221" s="233">
        <f>AVERAGE(Ashed_controlls!$K$12:$K$14)</f>
        <v>2.2816647271287041</v>
      </c>
      <c r="Q221" s="194">
        <f t="shared" si="27"/>
        <v>1.953584958775243</v>
      </c>
      <c r="R221" s="16">
        <f>IF('Dry_Litterbag Placem_Collection'!G148="","",'Dry_Litterbag Placem_Collection'!G148)</f>
        <v>43010</v>
      </c>
      <c r="S221" s="194">
        <f>IFERROR(INDEX('Both teabags AfterDry'!$D$3:$D$2000,MATCH(H221,'Both teabags AfterDry'!$A$3:$A$2000,0)),"")</f>
        <v>1.6845000000000001</v>
      </c>
      <c r="T221" s="194">
        <f>IFERROR(INDEX('Both teabags AfterDry'!$D$3:$D$2000,MATCH(I221,'Both teabags AfterDry'!$A$3:$A$2000,0)),"")</f>
        <v>0.68400000000000005</v>
      </c>
      <c r="U221" s="194">
        <f t="shared" si="32"/>
        <v>1.5339</v>
      </c>
      <c r="V221" s="194">
        <f t="shared" si="33"/>
        <v>0.5334000000000001</v>
      </c>
      <c r="W221" s="194">
        <f>IFERROR(INDEX('Ashed teabags dry'!$K$2:$K$2000,MATCH(H221,'Ashed teabags dry'!$A$2:$A$2000,0)),"")</f>
        <v>6.8675889328057185</v>
      </c>
      <c r="X221" s="194">
        <f>IFERROR(INDEX('Ashed teabags dry'!$K$2:$K$2000,MATCH(I221,'Ashed teabags dry'!$A$2:$A$2000,0)),"")</f>
        <v>88.478802992518979</v>
      </c>
      <c r="Y221" s="194">
        <f t="shared" si="28"/>
        <v>1.4285580533596931</v>
      </c>
      <c r="Z221" s="194">
        <f t="shared" si="28"/>
        <v>6.1454064837903777E-2</v>
      </c>
      <c r="AA221" s="194">
        <f t="shared" si="34"/>
        <v>0.13810404464069448</v>
      </c>
      <c r="AB221" s="194">
        <f t="shared" si="35"/>
        <v>9.0538518576797317E-2</v>
      </c>
      <c r="AC221" s="194">
        <f t="shared" si="29"/>
        <v>3.1457073091119135E-2</v>
      </c>
      <c r="AD221">
        <f t="shared" si="36"/>
        <v>71</v>
      </c>
      <c r="AE221" s="194">
        <f t="shared" si="37"/>
        <v>0.83598094460725125</v>
      </c>
      <c r="AF221" s="194" t="str">
        <f t="shared" si="38"/>
        <v/>
      </c>
      <c r="AG221" s="245" t="str">
        <f>IF(ISNUMBER(SEARCH("C", 'Dry_Litterbag Placem_Collection'!$T148)),"YES","NO")</f>
        <v>NO</v>
      </c>
      <c r="AH221" s="245" t="str">
        <f>IF(ISNUMBER(SEARCH("H", 'Dry_Litterbag Placem_Collection'!$T148)),"YES","NO")</f>
        <v>YES</v>
      </c>
      <c r="AI221" s="245" t="str">
        <f>IF(ISNUMBER(SEARCH("R", 'Dry_Litterbag Placem_Collection'!$T148)),"YES","NO")</f>
        <v>NO</v>
      </c>
      <c r="AJ221" s="245" t="str">
        <f>IF(ISNUMBER(SEARCH("C", 'Dry_Litterbag Placem_Collection'!$S148)),"YES","NO")</f>
        <v>NO</v>
      </c>
      <c r="AK221" s="245" t="str">
        <f>IF(ISNUMBER(SEARCH("H", 'Dry_Litterbag Placem_Collection'!$S148)),"YES","NO")</f>
        <v>NO</v>
      </c>
      <c r="AL221" s="245" t="str">
        <f>IF(ISNUMBER(SEARCH("R", 'Dry_Litterbag Placem_Collection'!$S148)),"YES","NO")</f>
        <v>NO</v>
      </c>
    </row>
    <row r="222" spans="2:38">
      <c r="B222" t="str">
        <f>Dryseason!B148</f>
        <v>Dry</v>
      </c>
      <c r="C222" s="253">
        <f>Dryseason!C148</f>
        <v>147</v>
      </c>
      <c r="D222" t="s">
        <v>3124</v>
      </c>
      <c r="E222" t="s">
        <v>22</v>
      </c>
      <c r="F222" s="374">
        <v>3</v>
      </c>
      <c r="G222" s="16">
        <f>IF('Dry_Litterbag Placem_Collection'!E149="","",'Dry_Litterbag Placem_Collection'!E149)</f>
        <v>42939</v>
      </c>
      <c r="H222" t="str">
        <f>Dryseason!L148</f>
        <v>G15</v>
      </c>
      <c r="I222" t="str">
        <f>Dryseason!L368</f>
        <v>R832</v>
      </c>
      <c r="J222">
        <f>IFERROR(INDEX('Green_rooibos initial weight'!$C$5:$C$2000,MATCH(H222, 'Green_rooibos initial weight'!$A$5:$A$2000,0)),"")</f>
        <v>2.0510000000000002</v>
      </c>
      <c r="K222">
        <f>IFERROR(INDEX('Green_rooibos initial weight'!$C$5:$C$2000,MATCH(I222, 'Green_rooibos initial weight'!$A$5:$A$2000,0)),"")</f>
        <v>2.2149999999999999</v>
      </c>
      <c r="L222" s="194">
        <f t="shared" si="30"/>
        <v>1.8012000000000001</v>
      </c>
      <c r="M222" s="233">
        <f>AVERAGE(Ashed_controlls!$K$1:$K$11)</f>
        <v>5.5147656768714146</v>
      </c>
      <c r="N222" s="194">
        <f t="shared" si="26"/>
        <v>1.7018680406281923</v>
      </c>
      <c r="O222" s="194">
        <f t="shared" si="31"/>
        <v>1.9651999999999998</v>
      </c>
      <c r="P222" s="233">
        <f>AVERAGE(Ashed_controlls!$K$12:$K$14)</f>
        <v>2.2816647271287041</v>
      </c>
      <c r="Q222" s="194">
        <f t="shared" si="27"/>
        <v>1.9203607247824666</v>
      </c>
      <c r="R222" s="16">
        <f>IF('Dry_Litterbag Placem_Collection'!G149="","",'Dry_Litterbag Placem_Collection'!G149)</f>
        <v>43010</v>
      </c>
      <c r="S222" s="194">
        <f>IFERROR(INDEX('Both teabags AfterDry'!$D$3:$D$2000,MATCH(H222,'Both teabags AfterDry'!$A$3:$A$2000,0)),"")</f>
        <v>1.6711</v>
      </c>
      <c r="T222" s="194">
        <f>IFERROR(INDEX('Both teabags AfterDry'!$D$3:$D$2000,MATCH(I222,'Both teabags AfterDry'!$A$3:$A$2000,0)),"")</f>
        <v>1.7279</v>
      </c>
      <c r="U222" s="194">
        <f t="shared" si="32"/>
        <v>1.5205</v>
      </c>
      <c r="V222" s="194">
        <f t="shared" si="33"/>
        <v>1.5772999999999999</v>
      </c>
      <c r="W222" s="194">
        <f>IFERROR(INDEX('Ashed teabags dry'!$K$2:$K$2000,MATCH(H222,'Ashed teabags dry'!$A$2:$A$2000,0)),"")</f>
        <v>6.9790628115651439</v>
      </c>
      <c r="X222" s="194">
        <f>IFERROR(INDEX('Ashed teabags dry'!$K$2:$K$2000,MATCH(I222,'Ashed teabags dry'!$A$2:$A$2000,0)),"")</f>
        <v>3.1790556334733524</v>
      </c>
      <c r="Y222" s="194">
        <f t="shared" si="28"/>
        <v>1.4143833499501519</v>
      </c>
      <c r="Z222" s="194">
        <f t="shared" si="28"/>
        <v>1.5271567554932248</v>
      </c>
      <c r="AA222" s="194">
        <f t="shared" si="34"/>
        <v>0.16892302094816014</v>
      </c>
      <c r="AB222" s="194">
        <f t="shared" si="35"/>
        <v>0.1107428830919055</v>
      </c>
      <c r="AC222" s="194">
        <f t="shared" si="29"/>
        <v>0.79524473490063552</v>
      </c>
      <c r="AD222">
        <f t="shared" si="36"/>
        <v>71</v>
      </c>
      <c r="AE222" s="194">
        <f t="shared" si="37"/>
        <v>0.7993788349784321</v>
      </c>
      <c r="AF222" s="194" t="str">
        <f t="shared" si="38"/>
        <v/>
      </c>
      <c r="AG222" s="245" t="str">
        <f>IF(ISNUMBER(SEARCH("C", 'Dry_Litterbag Placem_Collection'!$T149)),"YES","NO")</f>
        <v>NO</v>
      </c>
      <c r="AH222" s="245" t="str">
        <f>IF(ISNUMBER(SEARCH("H", 'Dry_Litterbag Placem_Collection'!$T149)),"YES","NO")</f>
        <v>YES</v>
      </c>
      <c r="AI222" s="245" t="str">
        <f>IF(ISNUMBER(SEARCH("R", 'Dry_Litterbag Placem_Collection'!$T149)),"YES","NO")</f>
        <v>NO</v>
      </c>
      <c r="AJ222" s="245" t="str">
        <f>IF(ISNUMBER(SEARCH("C", 'Dry_Litterbag Placem_Collection'!$S149)),"YES","NO")</f>
        <v>NO</v>
      </c>
      <c r="AK222" s="245" t="str">
        <f>IF(ISNUMBER(SEARCH("H", 'Dry_Litterbag Placem_Collection'!$S149)),"YES","NO")</f>
        <v>NO</v>
      </c>
      <c r="AL222" s="245" t="str">
        <f>IF(ISNUMBER(SEARCH("R", 'Dry_Litterbag Placem_Collection'!$S149)),"YES","NO")</f>
        <v>NO</v>
      </c>
    </row>
    <row r="223" spans="2:38">
      <c r="B223" t="str">
        <f>Dryseason!B149</f>
        <v>Dry</v>
      </c>
      <c r="C223" s="253">
        <f>Dryseason!C149</f>
        <v>148</v>
      </c>
      <c r="D223" t="s">
        <v>3124</v>
      </c>
      <c r="E223" t="s">
        <v>22</v>
      </c>
      <c r="F223" s="375">
        <v>4</v>
      </c>
      <c r="G223" s="16">
        <f>IF('Dry_Litterbag Placem_Collection'!E150="","",'Dry_Litterbag Placem_Collection'!E150)</f>
        <v>42939</v>
      </c>
      <c r="H223" t="str">
        <f>Dryseason!L149</f>
        <v>G290</v>
      </c>
      <c r="I223" t="str">
        <f>Dryseason!L369</f>
        <v>R823</v>
      </c>
      <c r="J223">
        <f>IFERROR(INDEX('Green_rooibos initial weight'!$C$5:$C$2000,MATCH(H223, 'Green_rooibos initial weight'!$A$5:$A$2000,0)),"")</f>
        <v>2.0539999999999998</v>
      </c>
      <c r="K223">
        <f>IFERROR(INDEX('Green_rooibos initial weight'!$C$5:$C$2000,MATCH(I223, 'Green_rooibos initial weight'!$A$5:$A$2000,0)),"")</f>
        <v>2.214</v>
      </c>
      <c r="L223" s="194">
        <f t="shared" si="30"/>
        <v>1.8041999999999998</v>
      </c>
      <c r="M223" s="233">
        <f>AVERAGE(Ashed_controlls!$K$1:$K$11)</f>
        <v>5.5147656768714146</v>
      </c>
      <c r="N223" s="194">
        <f t="shared" si="26"/>
        <v>1.7047025976578858</v>
      </c>
      <c r="O223" s="194">
        <f t="shared" si="31"/>
        <v>1.9641999999999999</v>
      </c>
      <c r="P223" s="233">
        <f>AVERAGE(Ashed_controlls!$K$12:$K$14)</f>
        <v>2.2816647271287041</v>
      </c>
      <c r="Q223" s="194">
        <f t="shared" si="27"/>
        <v>1.919383541429738</v>
      </c>
      <c r="R223" s="16">
        <f>IF('Dry_Litterbag Placem_Collection'!G150="","",'Dry_Litterbag Placem_Collection'!G150)</f>
        <v>43010</v>
      </c>
      <c r="S223" s="194">
        <f>IFERROR(INDEX('Both teabags AfterDry'!$D$3:$D$2000,MATCH(H223,'Both teabags AfterDry'!$A$3:$A$2000,0)),"")</f>
        <v>1.6564000000000001</v>
      </c>
      <c r="T223" s="194">
        <f>IFERROR(INDEX('Both teabags AfterDry'!$D$3:$D$2000,MATCH(I223,'Both teabags AfterDry'!$A$3:$A$2000,0)),"")</f>
        <v>0</v>
      </c>
      <c r="U223" s="194">
        <f t="shared" si="32"/>
        <v>1.5058</v>
      </c>
      <c r="V223" s="194" t="str">
        <f t="shared" si="33"/>
        <v/>
      </c>
      <c r="W223" s="194">
        <f>IFERROR(INDEX('Ashed teabags dry'!$K$2:$K$2000,MATCH(H223,'Ashed teabags dry'!$A$2:$A$2000,0)),"")</f>
        <v>7.4552269887550784</v>
      </c>
      <c r="X223" s="194">
        <f>IFERROR(INDEX('Ashed teabags dry'!$K$2:$K$2000,MATCH(I223,'Ashed teabags dry'!$A$2:$A$2000,0)),"")</f>
        <v>90.2597402597399</v>
      </c>
      <c r="Y223" s="194">
        <f t="shared" si="28"/>
        <v>1.393539192003326</v>
      </c>
      <c r="Z223" s="194" t="str">
        <f t="shared" si="28"/>
        <v/>
      </c>
      <c r="AA223" s="194">
        <f t="shared" si="34"/>
        <v>0.18253237021054081</v>
      </c>
      <c r="AB223" s="194">
        <f t="shared" si="35"/>
        <v>0.11966492678885816</v>
      </c>
      <c r="AC223" s="194" t="str">
        <f t="shared" si="29"/>
        <v/>
      </c>
      <c r="AD223">
        <f t="shared" si="36"/>
        <v>71</v>
      </c>
      <c r="AE223" s="194">
        <f t="shared" si="37"/>
        <v>0.78321571233902509</v>
      </c>
      <c r="AF223" s="194" t="str">
        <f t="shared" si="38"/>
        <v/>
      </c>
      <c r="AG223" s="245" t="str">
        <f>IF(ISNUMBER(SEARCH("C", 'Dry_Litterbag Placem_Collection'!$T150)),"YES","NO")</f>
        <v>YES</v>
      </c>
      <c r="AH223" s="245" t="str">
        <f>IF(ISNUMBER(SEARCH("H", 'Dry_Litterbag Placem_Collection'!$T150)),"YES","NO")</f>
        <v>YES</v>
      </c>
      <c r="AI223" s="245" t="str">
        <f>IF(ISNUMBER(SEARCH("R", 'Dry_Litterbag Placem_Collection'!$T150)),"YES","NO")</f>
        <v>NO</v>
      </c>
      <c r="AJ223" s="245" t="str">
        <f>IF(ISNUMBER(SEARCH("C", 'Dry_Litterbag Placem_Collection'!$S150)),"YES","NO")</f>
        <v>NO</v>
      </c>
      <c r="AK223" s="245" t="str">
        <f>IF(ISNUMBER(SEARCH("H", 'Dry_Litterbag Placem_Collection'!$S150)),"YES","NO")</f>
        <v>NO</v>
      </c>
      <c r="AL223" s="245" t="str">
        <f>IF(ISNUMBER(SEARCH("R", 'Dry_Litterbag Placem_Collection'!$S150)),"YES","NO")</f>
        <v>NO</v>
      </c>
    </row>
    <row r="224" spans="2:38">
      <c r="B224" t="str">
        <f>Dryseason!B150</f>
        <v>Dry</v>
      </c>
      <c r="C224" s="253">
        <f>Dryseason!C150</f>
        <v>149</v>
      </c>
      <c r="D224" t="s">
        <v>3124</v>
      </c>
      <c r="E224" t="s">
        <v>22</v>
      </c>
      <c r="F224" s="375">
        <v>5</v>
      </c>
      <c r="G224" s="16">
        <f>IF('Dry_Litterbag Placem_Collection'!E151="","",'Dry_Litterbag Placem_Collection'!E151)</f>
        <v>42939</v>
      </c>
      <c r="H224" t="str">
        <f>Dryseason!L150</f>
        <v>G194</v>
      </c>
      <c r="I224" t="str">
        <f>Dryseason!L370</f>
        <v>R703</v>
      </c>
      <c r="J224">
        <f>IFERROR(INDEX('Green_rooibos initial weight'!$C$5:$C$2000,MATCH(H224, 'Green_rooibos initial weight'!$A$5:$A$2000,0)),"")</f>
        <v>2.032</v>
      </c>
      <c r="K224">
        <f>IFERROR(INDEX('Green_rooibos initial weight'!$C$5:$C$2000,MATCH(I224, 'Green_rooibos initial weight'!$A$5:$A$2000,0)),"")</f>
        <v>2.1379999999999999</v>
      </c>
      <c r="L224" s="194">
        <f t="shared" si="30"/>
        <v>1.7822</v>
      </c>
      <c r="M224" s="233">
        <f>AVERAGE(Ashed_controlls!$K$1:$K$11)</f>
        <v>5.5147656768714146</v>
      </c>
      <c r="N224" s="194">
        <f t="shared" si="26"/>
        <v>1.6839158461067976</v>
      </c>
      <c r="O224" s="194">
        <f t="shared" si="31"/>
        <v>1.8881999999999999</v>
      </c>
      <c r="P224" s="233">
        <f>AVERAGE(Ashed_controlls!$K$12:$K$14)</f>
        <v>2.2816647271287041</v>
      </c>
      <c r="Q224" s="194">
        <f t="shared" si="27"/>
        <v>1.8451176066223556</v>
      </c>
      <c r="R224" s="16">
        <f>IF('Dry_Litterbag Placem_Collection'!G151="","",'Dry_Litterbag Placem_Collection'!G151)</f>
        <v>43010</v>
      </c>
      <c r="S224" s="194">
        <f>IFERROR(INDEX('Both teabags AfterDry'!$D$3:$D$2000,MATCH(H224,'Both teabags AfterDry'!$A$3:$A$2000,0)),"")</f>
        <v>1.56</v>
      </c>
      <c r="T224" s="194">
        <f>IFERROR(INDEX('Both teabags AfterDry'!$D$3:$D$2000,MATCH(I224,'Both teabags AfterDry'!$A$3:$A$2000,0)),"")</f>
        <v>1.9032</v>
      </c>
      <c r="U224" s="194">
        <f t="shared" si="32"/>
        <v>1.4094</v>
      </c>
      <c r="V224" s="194">
        <f t="shared" si="33"/>
        <v>1.7525999999999999</v>
      </c>
      <c r="W224" s="194">
        <f>IFERROR(INDEX('Ashed teabags dry'!$K$2:$K$2000,MATCH(H224,'Ashed teabags dry'!$A$2:$A$2000,0)),"")</f>
        <v>7.1186440677962963</v>
      </c>
      <c r="X224" s="194">
        <f>IFERROR(INDEX('Ashed teabags dry'!$K$2:$K$2000,MATCH(I224,'Ashed teabags dry'!$A$2:$A$2000,0)),"")</f>
        <v>3.0988686669941248</v>
      </c>
      <c r="Y224" s="194">
        <f t="shared" si="28"/>
        <v>1.3090698305084789</v>
      </c>
      <c r="Z224" s="194">
        <f t="shared" si="28"/>
        <v>1.698289227742261</v>
      </c>
      <c r="AA224" s="194">
        <f t="shared" si="34"/>
        <v>0.22260376993598596</v>
      </c>
      <c r="AB224" s="194">
        <f t="shared" si="35"/>
        <v>0.14593501306967249</v>
      </c>
      <c r="AC224" s="194">
        <f t="shared" si="29"/>
        <v>0.92042329532106282</v>
      </c>
      <c r="AD224">
        <f t="shared" si="36"/>
        <v>71</v>
      </c>
      <c r="AE224" s="194">
        <f t="shared" si="37"/>
        <v>0.73562497632305712</v>
      </c>
      <c r="AF224" s="194">
        <f t="shared" si="38"/>
        <v>1.1099893423320399E-2</v>
      </c>
      <c r="AG224" s="245" t="str">
        <f>IF(ISNUMBER(SEARCH("C", 'Dry_Litterbag Placem_Collection'!$T151)),"YES","NO")</f>
        <v>NO</v>
      </c>
      <c r="AH224" s="245" t="str">
        <f>IF(ISNUMBER(SEARCH("H", 'Dry_Litterbag Placem_Collection'!$T151)),"YES","NO")</f>
        <v>NO</v>
      </c>
      <c r="AI224" s="245" t="str">
        <f>IF(ISNUMBER(SEARCH("R", 'Dry_Litterbag Placem_Collection'!$T151)),"YES","NO")</f>
        <v>NO</v>
      </c>
      <c r="AJ224" s="245" t="str">
        <f>IF(ISNUMBER(SEARCH("C", 'Dry_Litterbag Placem_Collection'!$S151)),"YES","NO")</f>
        <v>NO</v>
      </c>
      <c r="AK224" s="245" t="str">
        <f>IF(ISNUMBER(SEARCH("H", 'Dry_Litterbag Placem_Collection'!$S151)),"YES","NO")</f>
        <v>NO</v>
      </c>
      <c r="AL224" s="245" t="str">
        <f>IF(ISNUMBER(SEARCH("R", 'Dry_Litterbag Placem_Collection'!$S151)),"YES","NO")</f>
        <v>NO</v>
      </c>
    </row>
    <row r="225" spans="2:38">
      <c r="B225" t="str">
        <f>Dryseason!B151</f>
        <v>Dry</v>
      </c>
      <c r="C225" s="253">
        <f>Dryseason!C151</f>
        <v>150</v>
      </c>
      <c r="D225" t="s">
        <v>3124</v>
      </c>
      <c r="E225" t="s">
        <v>22</v>
      </c>
      <c r="F225" s="375">
        <v>6</v>
      </c>
      <c r="G225" s="16">
        <f>IF('Dry_Litterbag Placem_Collection'!E152="","",'Dry_Litterbag Placem_Collection'!E152)</f>
        <v>42939</v>
      </c>
      <c r="H225" t="str">
        <f>Dryseason!L151</f>
        <v>G272</v>
      </c>
      <c r="I225" t="str">
        <f>Dryseason!L371</f>
        <v>R668</v>
      </c>
      <c r="J225">
        <f>IFERROR(INDEX('Green_rooibos initial weight'!$C$5:$C$2000,MATCH(H225, 'Green_rooibos initial weight'!$A$5:$A$2000,0)),"")</f>
        <v>2.0649999999999999</v>
      </c>
      <c r="K225">
        <f>IFERROR(INDEX('Green_rooibos initial weight'!$C$5:$C$2000,MATCH(I225, 'Green_rooibos initial weight'!$A$5:$A$2000,0)),"")</f>
        <v>2.1419999999999999</v>
      </c>
      <c r="L225" s="194">
        <f t="shared" si="30"/>
        <v>1.8151999999999999</v>
      </c>
      <c r="M225" s="233">
        <f>AVERAGE(Ashed_controlls!$K$1:$K$11)</f>
        <v>5.5147656768714146</v>
      </c>
      <c r="N225" s="194">
        <f t="shared" si="26"/>
        <v>1.7150959734334301</v>
      </c>
      <c r="O225" s="194">
        <f t="shared" si="31"/>
        <v>1.8921999999999999</v>
      </c>
      <c r="P225" s="233">
        <f>AVERAGE(Ashed_controlls!$K$12:$K$14)</f>
        <v>2.2816647271287041</v>
      </c>
      <c r="Q225" s="194">
        <f t="shared" si="27"/>
        <v>1.8490263400332705</v>
      </c>
      <c r="R225" s="16">
        <f>IF('Dry_Litterbag Placem_Collection'!G152="","",'Dry_Litterbag Placem_Collection'!G152)</f>
        <v>43010</v>
      </c>
      <c r="S225" s="194" t="str">
        <f>IFERROR(INDEX('Both teabags AfterDry'!$D$3:$D$2000,MATCH(H225,'Both teabags AfterDry'!$A$3:$A$2000,0)),"")</f>
        <v/>
      </c>
      <c r="T225" s="194" t="str">
        <f>IFERROR(INDEX('Both teabags AfterDry'!$D$3:$D$2000,MATCH(I225,'Both teabags AfterDry'!$A$3:$A$2000,0)),"")</f>
        <v/>
      </c>
      <c r="U225" s="194" t="str">
        <f t="shared" si="32"/>
        <v/>
      </c>
      <c r="V225" s="194" t="str">
        <f t="shared" si="33"/>
        <v/>
      </c>
      <c r="W225" s="194" t="str">
        <f>IFERROR(INDEX('Ashed teabags dry'!$K$2:$K$2000,MATCH(H225,'Ashed teabags dry'!$A$2:$A$2000,0)),"")</f>
        <v/>
      </c>
      <c r="X225" s="194" t="str">
        <f>IFERROR(INDEX('Ashed teabags dry'!$K$2:$K$2000,MATCH(I225,'Ashed teabags dry'!$A$2:$A$2000,0)),"")</f>
        <v/>
      </c>
      <c r="Y225" s="194" t="str">
        <f t="shared" si="28"/>
        <v/>
      </c>
      <c r="Z225" s="194" t="str">
        <f t="shared" si="28"/>
        <v/>
      </c>
      <c r="AA225" s="194" t="str">
        <f t="shared" si="34"/>
        <v/>
      </c>
      <c r="AB225" s="194" t="str">
        <f t="shared" si="35"/>
        <v/>
      </c>
      <c r="AC225" s="194" t="str">
        <f t="shared" si="29"/>
        <v/>
      </c>
      <c r="AD225">
        <f t="shared" si="36"/>
        <v>71</v>
      </c>
      <c r="AE225" s="194" t="str">
        <f t="shared" si="37"/>
        <v/>
      </c>
      <c r="AF225" s="194" t="str">
        <f t="shared" si="38"/>
        <v/>
      </c>
      <c r="AG225" s="245" t="str">
        <f>IF(ISNUMBER(SEARCH("C", 'Dry_Litterbag Placem_Collection'!$T152)),"YES","NO")</f>
        <v>NO</v>
      </c>
      <c r="AH225" s="245" t="str">
        <f>IF(ISNUMBER(SEARCH("H", 'Dry_Litterbag Placem_Collection'!$T152)),"YES","NO")</f>
        <v>YES</v>
      </c>
      <c r="AI225" s="245" t="str">
        <f>IF(ISNUMBER(SEARCH("R", 'Dry_Litterbag Placem_Collection'!$T152)),"YES","NO")</f>
        <v>NO</v>
      </c>
      <c r="AJ225" s="245" t="str">
        <f>IF(ISNUMBER(SEARCH("C", 'Dry_Litterbag Placem_Collection'!$S152)),"YES","NO")</f>
        <v>NO</v>
      </c>
      <c r="AK225" s="245" t="str">
        <f>IF(ISNUMBER(SEARCH("H", 'Dry_Litterbag Placem_Collection'!$S152)),"YES","NO")</f>
        <v>YES</v>
      </c>
      <c r="AL225" s="245" t="str">
        <f>IF(ISNUMBER(SEARCH("R", 'Dry_Litterbag Placem_Collection'!$S152)),"YES","NO")</f>
        <v>NO</v>
      </c>
    </row>
    <row r="226" spans="2:38">
      <c r="B226" t="str">
        <f>Dryseason!B152</f>
        <v>Dry</v>
      </c>
      <c r="C226" s="253">
        <f>Dryseason!C152</f>
        <v>151</v>
      </c>
      <c r="D226" t="s">
        <v>3124</v>
      </c>
      <c r="E226" t="s">
        <v>22</v>
      </c>
      <c r="F226" s="375">
        <v>7</v>
      </c>
      <c r="G226" s="16" t="str">
        <f>IF('Dry_Litterbag Placem_Collection'!E153="","",'Dry_Litterbag Placem_Collection'!E153)</f>
        <v/>
      </c>
      <c r="H226" t="str">
        <f>Dryseason!L152</f>
        <v/>
      </c>
      <c r="I226" t="str">
        <f>Dryseason!L372</f>
        <v/>
      </c>
      <c r="J226" t="str">
        <f>IFERROR(INDEX('Green_rooibos initial weight'!$C$5:$C$2000,MATCH(H226, 'Green_rooibos initial weight'!$A$5:$A$2000,0)),"")</f>
        <v/>
      </c>
      <c r="K226" t="str">
        <f>IFERROR(INDEX('Green_rooibos initial weight'!$C$5:$C$2000,MATCH(I226, 'Green_rooibos initial weight'!$A$5:$A$2000,0)),"")</f>
        <v/>
      </c>
      <c r="L226" s="194" t="str">
        <f t="shared" si="30"/>
        <v/>
      </c>
      <c r="M226" s="233">
        <f>AVERAGE(Ashed_controlls!$K$1:$K$11)</f>
        <v>5.5147656768714146</v>
      </c>
      <c r="N226" s="194" t="str">
        <f t="shared" si="26"/>
        <v/>
      </c>
      <c r="O226" s="194" t="str">
        <f t="shared" si="31"/>
        <v/>
      </c>
      <c r="P226" s="233">
        <f>AVERAGE(Ashed_controlls!$K$12:$K$14)</f>
        <v>2.2816647271287041</v>
      </c>
      <c r="Q226" s="194" t="str">
        <f t="shared" si="27"/>
        <v/>
      </c>
      <c r="R226" s="16" t="str">
        <f>IF('Dry_Litterbag Placem_Collection'!G153="","",'Dry_Litterbag Placem_Collection'!G153)</f>
        <v/>
      </c>
      <c r="S226" s="194" t="str">
        <f>IFERROR(INDEX('Both teabags AfterDry'!$D$3:$D$2000,MATCH(H226,'Both teabags AfterDry'!$A$3:$A$2000,0)),"")</f>
        <v/>
      </c>
      <c r="T226" s="194" t="str">
        <f>IFERROR(INDEX('Both teabags AfterDry'!$D$3:$D$2000,MATCH(I226,'Both teabags AfterDry'!$A$3:$A$2000,0)),"")</f>
        <v/>
      </c>
      <c r="U226" s="194" t="str">
        <f t="shared" si="32"/>
        <v/>
      </c>
      <c r="V226" s="194" t="str">
        <f t="shared" si="33"/>
        <v/>
      </c>
      <c r="W226" s="194" t="str">
        <f>IFERROR(INDEX('Ashed teabags dry'!$K$2:$K$2000,MATCH(H226,'Ashed teabags dry'!$A$2:$A$2000,0)),"")</f>
        <v/>
      </c>
      <c r="X226" s="194" t="str">
        <f>IFERROR(INDEX('Ashed teabags dry'!$K$2:$K$2000,MATCH(I226,'Ashed teabags dry'!$A$2:$A$2000,0)),"")</f>
        <v/>
      </c>
      <c r="Y226" s="194" t="str">
        <f t="shared" si="28"/>
        <v/>
      </c>
      <c r="Z226" s="194" t="str">
        <f t="shared" si="28"/>
        <v/>
      </c>
      <c r="AA226" s="194" t="str">
        <f t="shared" si="34"/>
        <v/>
      </c>
      <c r="AB226" s="194" t="str">
        <f t="shared" si="35"/>
        <v/>
      </c>
      <c r="AC226" s="194" t="str">
        <f t="shared" si="29"/>
        <v/>
      </c>
      <c r="AD226" t="str">
        <f t="shared" si="36"/>
        <v/>
      </c>
      <c r="AE226" s="194" t="str">
        <f t="shared" si="37"/>
        <v/>
      </c>
      <c r="AF226" s="194" t="str">
        <f t="shared" si="38"/>
        <v/>
      </c>
      <c r="AG226" s="245" t="str">
        <f>IF(ISNUMBER(SEARCH("C", 'Dry_Litterbag Placem_Collection'!$T153)),"YES","NO")</f>
        <v>NO</v>
      </c>
      <c r="AH226" s="245" t="str">
        <f>IF(ISNUMBER(SEARCH("H", 'Dry_Litterbag Placem_Collection'!$T153)),"YES","NO")</f>
        <v>NO</v>
      </c>
      <c r="AI226" s="245" t="str">
        <f>IF(ISNUMBER(SEARCH("R", 'Dry_Litterbag Placem_Collection'!$T153)),"YES","NO")</f>
        <v>NO</v>
      </c>
      <c r="AJ226" s="245" t="str">
        <f>IF(ISNUMBER(SEARCH("C", 'Dry_Litterbag Placem_Collection'!$S153)),"YES","NO")</f>
        <v>NO</v>
      </c>
      <c r="AK226" s="245" t="str">
        <f>IF(ISNUMBER(SEARCH("H", 'Dry_Litterbag Placem_Collection'!$S153)),"YES","NO")</f>
        <v>NO</v>
      </c>
      <c r="AL226" s="245" t="str">
        <f>IF(ISNUMBER(SEARCH("R", 'Dry_Litterbag Placem_Collection'!$S153)),"YES","NO")</f>
        <v>NO</v>
      </c>
    </row>
    <row r="227" spans="2:38">
      <c r="B227" t="str">
        <f>Dryseason!B153</f>
        <v>Dry</v>
      </c>
      <c r="C227" s="253">
        <f>Dryseason!C153</f>
        <v>152</v>
      </c>
      <c r="D227" t="s">
        <v>3124</v>
      </c>
      <c r="E227" t="s">
        <v>22</v>
      </c>
      <c r="F227" s="375">
        <v>8</v>
      </c>
      <c r="G227" s="16">
        <f>IF('Dry_Litterbag Placem_Collection'!E154="","",'Dry_Litterbag Placem_Collection'!E154)</f>
        <v>42939</v>
      </c>
      <c r="H227" t="str">
        <f>Dryseason!L153</f>
        <v>G198</v>
      </c>
      <c r="I227" t="str">
        <f>Dryseason!L373</f>
        <v>R788</v>
      </c>
      <c r="J227">
        <f>IFERROR(INDEX('Green_rooibos initial weight'!$C$5:$C$2000,MATCH(H227, 'Green_rooibos initial weight'!$A$5:$A$2000,0)),"")</f>
        <v>1.931</v>
      </c>
      <c r="K227">
        <f>IFERROR(INDEX('Green_rooibos initial weight'!$C$5:$C$2000,MATCH(I227, 'Green_rooibos initial weight'!$A$5:$A$2000,0)),"")</f>
        <v>2.1869999999999998</v>
      </c>
      <c r="L227" s="194">
        <f t="shared" si="30"/>
        <v>1.6812</v>
      </c>
      <c r="M227" s="233">
        <f>AVERAGE(Ashed_controlls!$K$1:$K$11)</f>
        <v>5.5147656768714146</v>
      </c>
      <c r="N227" s="194">
        <f t="shared" si="26"/>
        <v>1.5884857594404378</v>
      </c>
      <c r="O227" s="194">
        <f t="shared" si="31"/>
        <v>1.9371999999999998</v>
      </c>
      <c r="P227" s="233">
        <f>AVERAGE(Ashed_controlls!$K$12:$K$14)</f>
        <v>2.2816647271287041</v>
      </c>
      <c r="Q227" s="194">
        <f t="shared" si="27"/>
        <v>1.8929995909060626</v>
      </c>
      <c r="R227" s="16">
        <f>IF('Dry_Litterbag Placem_Collection'!G154="","",'Dry_Litterbag Placem_Collection'!G154)</f>
        <v>43010</v>
      </c>
      <c r="S227" s="194">
        <f>IFERROR(INDEX('Both teabags AfterDry'!$D$3:$D$2000,MATCH(H227,'Both teabags AfterDry'!$A$3:$A$2000,0)),"")</f>
        <v>1.3654999999999999</v>
      </c>
      <c r="T227" s="194">
        <f>IFERROR(INDEX('Both teabags AfterDry'!$D$3:$D$2000,MATCH(I227,'Both teabags AfterDry'!$A$3:$A$2000,0)),"")</f>
        <v>0.43190000000000001</v>
      </c>
      <c r="U227" s="194">
        <f t="shared" si="32"/>
        <v>1.2148999999999999</v>
      </c>
      <c r="V227" s="194">
        <f t="shared" si="33"/>
        <v>0.28129999999999999</v>
      </c>
      <c r="W227" s="194">
        <f>IFERROR(INDEX('Ashed teabags dry'!$K$2:$K$2000,MATCH(H227,'Ashed teabags dry'!$A$2:$A$2000,0)),"")</f>
        <v>10.100586756077433</v>
      </c>
      <c r="X227" s="194">
        <f>IFERROR(INDEX('Ashed teabags dry'!$K$2:$K$2000,MATCH(I227,'Ashed teabags dry'!$A$2:$A$2000,0)),"")</f>
        <v>89.775910364145446</v>
      </c>
      <c r="Y227" s="194">
        <f t="shared" si="28"/>
        <v>1.0921879715004152</v>
      </c>
      <c r="Z227" s="194">
        <f t="shared" si="28"/>
        <v>2.8760364145658857E-2</v>
      </c>
      <c r="AA227" s="194">
        <f t="shared" si="34"/>
        <v>0.31243452136130523</v>
      </c>
      <c r="AB227" s="194">
        <f t="shared" si="35"/>
        <v>0.20482643205634263</v>
      </c>
      <c r="AC227" s="194">
        <f t="shared" si="29"/>
        <v>1.5193011284219579E-2</v>
      </c>
      <c r="AD227">
        <f t="shared" si="36"/>
        <v>71</v>
      </c>
      <c r="AE227" s="194">
        <f t="shared" si="37"/>
        <v>0.62893762308633583</v>
      </c>
      <c r="AF227" s="194" t="str">
        <f t="shared" si="38"/>
        <v/>
      </c>
      <c r="AG227" s="245" t="str">
        <f>IF(ISNUMBER(SEARCH("C", 'Dry_Litterbag Placem_Collection'!$T154)),"YES","NO")</f>
        <v>NO</v>
      </c>
      <c r="AH227" s="245" t="str">
        <f>IF(ISNUMBER(SEARCH("H", 'Dry_Litterbag Placem_Collection'!$T154)),"YES","NO")</f>
        <v>YES</v>
      </c>
      <c r="AI227" s="245" t="str">
        <f>IF(ISNUMBER(SEARCH("R", 'Dry_Litterbag Placem_Collection'!$T154)),"YES","NO")</f>
        <v>NO</v>
      </c>
      <c r="AJ227" s="245" t="str">
        <f>IF(ISNUMBER(SEARCH("C", 'Dry_Litterbag Placem_Collection'!$S154)),"YES","NO")</f>
        <v>YES</v>
      </c>
      <c r="AK227" s="245" t="str">
        <f>IF(ISNUMBER(SEARCH("H", 'Dry_Litterbag Placem_Collection'!$S154)),"YES","NO")</f>
        <v>YES</v>
      </c>
      <c r="AL227" s="245" t="str">
        <f>IF(ISNUMBER(SEARCH("R", 'Dry_Litterbag Placem_Collection'!$S154)),"YES","NO")</f>
        <v>NO</v>
      </c>
    </row>
    <row r="228" spans="2:38">
      <c r="B228" t="str">
        <f>Dryseason!B154</f>
        <v>Dry</v>
      </c>
      <c r="C228" s="253">
        <f>Dryseason!C154</f>
        <v>153</v>
      </c>
      <c r="D228" t="s">
        <v>3125</v>
      </c>
      <c r="E228" t="s">
        <v>22</v>
      </c>
      <c r="F228" s="374">
        <v>1</v>
      </c>
      <c r="G228" s="16">
        <f>IF('Dry_Litterbag Placem_Collection'!E155="","",'Dry_Litterbag Placem_Collection'!E155)</f>
        <v>42939</v>
      </c>
      <c r="H228" t="str">
        <f>Dryseason!L154</f>
        <v>G197</v>
      </c>
      <c r="I228" t="str">
        <f>Dryseason!L374</f>
        <v>R735</v>
      </c>
      <c r="J228">
        <f>IFERROR(INDEX('Green_rooibos initial weight'!$C$5:$C$2000,MATCH(H228, 'Green_rooibos initial weight'!$A$5:$A$2000,0)),"")</f>
        <v>2.1120000000000001</v>
      </c>
      <c r="K228">
        <f>IFERROR(INDEX('Green_rooibos initial weight'!$C$5:$C$2000,MATCH(I228, 'Green_rooibos initial weight'!$A$5:$A$2000,0)),"")</f>
        <v>2.12</v>
      </c>
      <c r="L228" s="194">
        <f t="shared" si="30"/>
        <v>1.8622000000000001</v>
      </c>
      <c r="M228" s="233">
        <f>AVERAGE(Ashed_controlls!$K$1:$K$11)</f>
        <v>5.5147656768714146</v>
      </c>
      <c r="N228" s="194">
        <f t="shared" si="26"/>
        <v>1.7595040335653005</v>
      </c>
      <c r="O228" s="194">
        <f t="shared" si="31"/>
        <v>1.8702000000000001</v>
      </c>
      <c r="P228" s="233">
        <f>AVERAGE(Ashed_controlls!$K$12:$K$14)</f>
        <v>2.2816647271287041</v>
      </c>
      <c r="Q228" s="194">
        <f t="shared" si="27"/>
        <v>1.827528306273239</v>
      </c>
      <c r="R228" s="16">
        <f>IF('Dry_Litterbag Placem_Collection'!G155="","",'Dry_Litterbag Placem_Collection'!G155)</f>
        <v>43010</v>
      </c>
      <c r="S228" s="194">
        <f>IFERROR(INDEX('Both teabags AfterDry'!$D$3:$D$2000,MATCH(H228,'Both teabags AfterDry'!$A$3:$A$2000,0)),"")</f>
        <v>1.2847</v>
      </c>
      <c r="T228" s="194">
        <f>IFERROR(INDEX('Both teabags AfterDry'!$D$3:$D$2000,MATCH(I228,'Both teabags AfterDry'!$A$3:$A$2000,0)),"")</f>
        <v>1.0566</v>
      </c>
      <c r="U228" s="194">
        <f t="shared" si="32"/>
        <v>1.1340999999999999</v>
      </c>
      <c r="V228" s="194">
        <f t="shared" si="33"/>
        <v>0.90599999999999992</v>
      </c>
      <c r="W228" s="194">
        <f>IFERROR(INDEX('Ashed teabags dry'!$K$2:$K$2000,MATCH(H228,'Ashed teabags dry'!$A$2:$A$2000,0)),"")</f>
        <v>10.205908683975077</v>
      </c>
      <c r="X228" s="194">
        <f>IFERROR(INDEX('Ashed teabags dry'!$K$2:$K$2000,MATCH(I228,'Ashed teabags dry'!$A$2:$A$2000,0)),"")</f>
        <v>50.895883777238879</v>
      </c>
      <c r="Y228" s="194">
        <f t="shared" si="28"/>
        <v>1.0183547896150387</v>
      </c>
      <c r="Z228" s="194">
        <f t="shared" si="28"/>
        <v>0.44488329297821572</v>
      </c>
      <c r="AA228" s="194">
        <f t="shared" si="34"/>
        <v>0.42122622614763994</v>
      </c>
      <c r="AB228" s="194">
        <f t="shared" si="35"/>
        <v>0.27614830977850036</v>
      </c>
      <c r="AC228" s="194">
        <f t="shared" si="29"/>
        <v>0.24343441983967823</v>
      </c>
      <c r="AD228">
        <f t="shared" si="36"/>
        <v>71</v>
      </c>
      <c r="AE228" s="194">
        <f t="shared" si="37"/>
        <v>0.49973132286503563</v>
      </c>
      <c r="AF228" s="194" t="str">
        <f t="shared" si="38"/>
        <v/>
      </c>
      <c r="AG228" s="245" t="str">
        <f>IF(ISNUMBER(SEARCH("C", 'Dry_Litterbag Placem_Collection'!$T155)),"YES","NO")</f>
        <v>YES</v>
      </c>
      <c r="AH228" s="245" t="str">
        <f>IF(ISNUMBER(SEARCH("H", 'Dry_Litterbag Placem_Collection'!$T155)),"YES","NO")</f>
        <v>YES</v>
      </c>
      <c r="AI228" s="245" t="str">
        <f>IF(ISNUMBER(SEARCH("R", 'Dry_Litterbag Placem_Collection'!$T155)),"YES","NO")</f>
        <v>NO</v>
      </c>
      <c r="AJ228" s="245" t="str">
        <f>IF(ISNUMBER(SEARCH("C", 'Dry_Litterbag Placem_Collection'!$S155)),"YES","NO")</f>
        <v>YES</v>
      </c>
      <c r="AK228" s="245" t="str">
        <f>IF(ISNUMBER(SEARCH("H", 'Dry_Litterbag Placem_Collection'!$S155)),"YES","NO")</f>
        <v>YES</v>
      </c>
      <c r="AL228" s="245" t="str">
        <f>IF(ISNUMBER(SEARCH("R", 'Dry_Litterbag Placem_Collection'!$S155)),"YES","NO")</f>
        <v>NO</v>
      </c>
    </row>
    <row r="229" spans="2:38">
      <c r="B229" t="str">
        <f>Dryseason!B155</f>
        <v>Dry</v>
      </c>
      <c r="C229" s="253">
        <f>Dryseason!C155</f>
        <v>154</v>
      </c>
      <c r="D229" t="s">
        <v>3125</v>
      </c>
      <c r="E229" t="s">
        <v>22</v>
      </c>
      <c r="F229" s="374">
        <v>2</v>
      </c>
      <c r="G229" s="16">
        <f>IF('Dry_Litterbag Placem_Collection'!E156="","",'Dry_Litterbag Placem_Collection'!E156)</f>
        <v>42939</v>
      </c>
      <c r="H229" t="str">
        <f>Dryseason!L155</f>
        <v>G127</v>
      </c>
      <c r="I229" t="str">
        <f>Dryseason!L375</f>
        <v>R836</v>
      </c>
      <c r="J229">
        <f>IFERROR(INDEX('Green_rooibos initial weight'!$C$5:$C$2000,MATCH(H229, 'Green_rooibos initial weight'!$A$5:$A$2000,0)),"")</f>
        <v>1.9490000000000001</v>
      </c>
      <c r="K229">
        <f>IFERROR(INDEX('Green_rooibos initial weight'!$C$5:$C$2000,MATCH(I229, 'Green_rooibos initial weight'!$A$5:$A$2000,0)),"")</f>
        <v>2.2000000000000002</v>
      </c>
      <c r="L229" s="194">
        <f t="shared" si="30"/>
        <v>1.6992</v>
      </c>
      <c r="M229" s="233">
        <f>AVERAGE(Ashed_controlls!$K$1:$K$11)</f>
        <v>5.5147656768714146</v>
      </c>
      <c r="N229" s="194">
        <f t="shared" si="26"/>
        <v>1.6054931016186009</v>
      </c>
      <c r="O229" s="194">
        <f t="shared" si="31"/>
        <v>1.9502000000000002</v>
      </c>
      <c r="P229" s="233">
        <f>AVERAGE(Ashed_controlls!$K$12:$K$14)</f>
        <v>2.2816647271287041</v>
      </c>
      <c r="Q229" s="194">
        <f t="shared" si="27"/>
        <v>1.9057029744915361</v>
      </c>
      <c r="R229" s="16">
        <f>IF('Dry_Litterbag Placem_Collection'!G156="","",'Dry_Litterbag Placem_Collection'!G156)</f>
        <v>43010</v>
      </c>
      <c r="S229" s="194">
        <f>IFERROR(INDEX('Both teabags AfterDry'!$D$3:$D$2000,MATCH(H229,'Both teabags AfterDry'!$A$3:$A$2000,0)),"")</f>
        <v>1.1896</v>
      </c>
      <c r="T229" s="194">
        <f>IFERROR(INDEX('Both teabags AfterDry'!$D$3:$D$2000,MATCH(I229,'Both teabags AfterDry'!$A$3:$A$2000,0)),"")</f>
        <v>0.62509999999999999</v>
      </c>
      <c r="U229" s="194">
        <f t="shared" si="32"/>
        <v>1.0389999999999999</v>
      </c>
      <c r="V229" s="194">
        <f t="shared" si="33"/>
        <v>0.47449999999999998</v>
      </c>
      <c r="W229" s="194">
        <f>IFERROR(INDEX('Ashed teabags dry'!$K$2:$K$2000,MATCH(H229,'Ashed teabags dry'!$A$2:$A$2000,0)),"")</f>
        <v>12.964728312678373</v>
      </c>
      <c r="X229" s="194">
        <f>IFERROR(INDEX('Ashed teabags dry'!$K$2:$K$2000,MATCH(I229,'Ashed teabags dry'!$A$2:$A$2000,0)),"")</f>
        <v>87.866927592954596</v>
      </c>
      <c r="Y229" s="194">
        <f t="shared" si="28"/>
        <v>0.90429647283127168</v>
      </c>
      <c r="Z229" s="194">
        <f t="shared" si="28"/>
        <v>5.7571428571430439E-2</v>
      </c>
      <c r="AA229" s="194">
        <f t="shared" si="34"/>
        <v>0.43674845322001554</v>
      </c>
      <c r="AB229" s="194">
        <f t="shared" si="35"/>
        <v>0.28632440163592471</v>
      </c>
      <c r="AC229" s="194">
        <f t="shared" si="29"/>
        <v>3.0210074362082145E-2</v>
      </c>
      <c r="AD229">
        <f t="shared" si="36"/>
        <v>71</v>
      </c>
      <c r="AE229" s="194">
        <f t="shared" si="37"/>
        <v>0.48129637384796253</v>
      </c>
      <c r="AF229" s="194" t="str">
        <f t="shared" si="38"/>
        <v/>
      </c>
      <c r="AG229" s="245" t="str">
        <f>IF(ISNUMBER(SEARCH("C", 'Dry_Litterbag Placem_Collection'!$T156)),"YES","NO")</f>
        <v>NO</v>
      </c>
      <c r="AH229" s="245" t="str">
        <f>IF(ISNUMBER(SEARCH("H", 'Dry_Litterbag Placem_Collection'!$T156)),"YES","NO")</f>
        <v>YES</v>
      </c>
      <c r="AI229" s="245" t="str">
        <f>IF(ISNUMBER(SEARCH("R", 'Dry_Litterbag Placem_Collection'!$T156)),"YES","NO")</f>
        <v>NO</v>
      </c>
      <c r="AJ229" s="245" t="str">
        <f>IF(ISNUMBER(SEARCH("C", 'Dry_Litterbag Placem_Collection'!$S156)),"YES","NO")</f>
        <v>YES</v>
      </c>
      <c r="AK229" s="245" t="str">
        <f>IF(ISNUMBER(SEARCH("H", 'Dry_Litterbag Placem_Collection'!$S156)),"YES","NO")</f>
        <v>YES</v>
      </c>
      <c r="AL229" s="245" t="str">
        <f>IF(ISNUMBER(SEARCH("R", 'Dry_Litterbag Placem_Collection'!$S156)),"YES","NO")</f>
        <v>NO</v>
      </c>
    </row>
    <row r="230" spans="2:38">
      <c r="B230" t="str">
        <f>Dryseason!B156</f>
        <v>Dry</v>
      </c>
      <c r="C230" s="253">
        <f>Dryseason!C156</f>
        <v>155</v>
      </c>
      <c r="D230" t="s">
        <v>3125</v>
      </c>
      <c r="E230" t="s">
        <v>22</v>
      </c>
      <c r="F230" s="374">
        <v>3</v>
      </c>
      <c r="G230" s="16">
        <f>IF('Dry_Litterbag Placem_Collection'!E157="","",'Dry_Litterbag Placem_Collection'!E157)</f>
        <v>42939</v>
      </c>
      <c r="H230" t="str">
        <f>Dryseason!L156</f>
        <v>G253</v>
      </c>
      <c r="I230" t="str">
        <f>Dryseason!L376</f>
        <v>R337</v>
      </c>
      <c r="J230">
        <f>IFERROR(INDEX('Green_rooibos initial weight'!$C$5:$C$2000,MATCH(H230, 'Green_rooibos initial weight'!$A$5:$A$2000,0)),"")</f>
        <v>2.0169999999999999</v>
      </c>
      <c r="K230">
        <f>IFERROR(INDEX('Green_rooibos initial weight'!$C$5:$C$2000,MATCH(I230, 'Green_rooibos initial weight'!$A$5:$A$2000,0)),"")</f>
        <v>2.2309999999999999</v>
      </c>
      <c r="L230" s="194">
        <f t="shared" si="30"/>
        <v>1.7671999999999999</v>
      </c>
      <c r="M230" s="233">
        <f>AVERAGE(Ashed_controlls!$K$1:$K$11)</f>
        <v>5.5147656768714146</v>
      </c>
      <c r="N230" s="194">
        <f t="shared" si="26"/>
        <v>1.6697430609583281</v>
      </c>
      <c r="O230" s="194">
        <f t="shared" si="31"/>
        <v>1.9811999999999999</v>
      </c>
      <c r="P230" s="233">
        <f>AVERAGE(Ashed_controlls!$K$12:$K$14)</f>
        <v>2.2816647271287041</v>
      </c>
      <c r="Q230" s="194">
        <f t="shared" si="27"/>
        <v>1.935995658426126</v>
      </c>
      <c r="R230" s="16">
        <f>IF('Dry_Litterbag Placem_Collection'!G157="","",'Dry_Litterbag Placem_Collection'!G157)</f>
        <v>43010</v>
      </c>
      <c r="S230" s="194">
        <f>IFERROR(INDEX('Both teabags AfterDry'!$D$3:$D$2000,MATCH(H230,'Both teabags AfterDry'!$A$3:$A$2000,0)),"")</f>
        <v>1.2484</v>
      </c>
      <c r="T230" s="194">
        <f>IFERROR(INDEX('Both teabags AfterDry'!$D$3:$D$2000,MATCH(I230,'Both teabags AfterDry'!$A$3:$A$2000,0)),"")</f>
        <v>1.8893</v>
      </c>
      <c r="U230" s="194">
        <f t="shared" si="32"/>
        <v>1.0977999999999999</v>
      </c>
      <c r="V230" s="194">
        <f t="shared" si="33"/>
        <v>1.7386999999999999</v>
      </c>
      <c r="W230" s="194">
        <f>IFERROR(INDEX('Ashed teabags dry'!$K$2:$K$2000,MATCH(H230,'Ashed teabags dry'!$A$2:$A$2000,0)),"")</f>
        <v>13.077679449360829</v>
      </c>
      <c r="X230" s="194">
        <f>IFERROR(INDEX('Ashed teabags dry'!$K$2:$K$2000,MATCH(I230,'Ashed teabags dry'!$A$2:$A$2000,0)),"")</f>
        <v>5.2232142857139205</v>
      </c>
      <c r="Y230" s="194">
        <f t="shared" si="28"/>
        <v>0.95423323500491675</v>
      </c>
      <c r="Z230" s="194">
        <f t="shared" si="28"/>
        <v>1.647883973214292</v>
      </c>
      <c r="AA230" s="194">
        <f t="shared" si="34"/>
        <v>0.42851492704677174</v>
      </c>
      <c r="AB230" s="194">
        <f t="shared" si="35"/>
        <v>0.28092665051047272</v>
      </c>
      <c r="AC230" s="194">
        <f t="shared" si="29"/>
        <v>0.8511816470466389</v>
      </c>
      <c r="AD230">
        <f t="shared" si="36"/>
        <v>71</v>
      </c>
      <c r="AE230" s="194">
        <f t="shared" si="37"/>
        <v>0.49107490849552049</v>
      </c>
      <c r="AF230" s="194">
        <f t="shared" si="38"/>
        <v>1.0626360321072836E-2</v>
      </c>
      <c r="AG230" s="245" t="str">
        <f>IF(ISNUMBER(SEARCH("C", 'Dry_Litterbag Placem_Collection'!$T157)),"YES","NO")</f>
        <v>YES</v>
      </c>
      <c r="AH230" s="245" t="str">
        <f>IF(ISNUMBER(SEARCH("H", 'Dry_Litterbag Placem_Collection'!$T157)),"YES","NO")</f>
        <v>YES</v>
      </c>
      <c r="AI230" s="245" t="str">
        <f>IF(ISNUMBER(SEARCH("R", 'Dry_Litterbag Placem_Collection'!$T157)),"YES","NO")</f>
        <v>NO</v>
      </c>
      <c r="AJ230" s="245" t="str">
        <f>IF(ISNUMBER(SEARCH("C", 'Dry_Litterbag Placem_Collection'!$S157)),"YES","NO")</f>
        <v>NO</v>
      </c>
      <c r="AK230" s="245" t="str">
        <f>IF(ISNUMBER(SEARCH("H", 'Dry_Litterbag Placem_Collection'!$S157)),"YES","NO")</f>
        <v>YES</v>
      </c>
      <c r="AL230" s="245" t="str">
        <f>IF(ISNUMBER(SEARCH("R", 'Dry_Litterbag Placem_Collection'!$S157)),"YES","NO")</f>
        <v>NO</v>
      </c>
    </row>
    <row r="231" spans="2:38">
      <c r="B231" t="str">
        <f>Dryseason!B157</f>
        <v>Dry</v>
      </c>
      <c r="C231" s="253">
        <f>Dryseason!C157</f>
        <v>156</v>
      </c>
      <c r="D231" t="s">
        <v>3125</v>
      </c>
      <c r="E231" t="s">
        <v>22</v>
      </c>
      <c r="F231" s="375">
        <v>4</v>
      </c>
      <c r="G231" s="16">
        <f>IF('Dry_Litterbag Placem_Collection'!E158="","",'Dry_Litterbag Placem_Collection'!E158)</f>
        <v>42939</v>
      </c>
      <c r="H231" t="str">
        <f>Dryseason!L157</f>
        <v>G47</v>
      </c>
      <c r="I231" t="str">
        <f>Dryseason!L377</f>
        <v>R118</v>
      </c>
      <c r="J231">
        <f>IFERROR(INDEX('Green_rooibos initial weight'!$C$5:$C$2000,MATCH(H231, 'Green_rooibos initial weight'!$A$5:$A$2000,0)),"")</f>
        <v>2.0840000000000001</v>
      </c>
      <c r="K231">
        <f>IFERROR(INDEX('Green_rooibos initial weight'!$C$5:$C$2000,MATCH(I231, 'Green_rooibos initial weight'!$A$5:$A$2000,0)),"")</f>
        <v>2.3330000000000002</v>
      </c>
      <c r="L231" s="194">
        <f t="shared" si="30"/>
        <v>1.8342000000000001</v>
      </c>
      <c r="M231" s="233">
        <f>AVERAGE(Ashed_controlls!$K$1:$K$11)</f>
        <v>5.5147656768714146</v>
      </c>
      <c r="N231" s="194">
        <f t="shared" si="26"/>
        <v>1.7330481679548246</v>
      </c>
      <c r="O231" s="194">
        <f t="shared" si="31"/>
        <v>2.0832000000000002</v>
      </c>
      <c r="P231" s="233">
        <f>AVERAGE(Ashed_controlls!$K$12:$K$14)</f>
        <v>2.2816647271287041</v>
      </c>
      <c r="Q231" s="194">
        <f t="shared" si="27"/>
        <v>2.035668360404455</v>
      </c>
      <c r="R231" s="16">
        <f>IF('Dry_Litterbag Placem_Collection'!G158="","",'Dry_Litterbag Placem_Collection'!G158)</f>
        <v>43010</v>
      </c>
      <c r="S231" s="194">
        <f>IFERROR(INDEX('Both teabags AfterDry'!$D$3:$D$2000,MATCH(H231,'Both teabags AfterDry'!$A$3:$A$2000,0)),"")</f>
        <v>1.1167</v>
      </c>
      <c r="T231" s="194">
        <f>IFERROR(INDEX('Both teabags AfterDry'!$D$3:$D$2000,MATCH(I231,'Both teabags AfterDry'!$A$3:$A$2000,0)),"")</f>
        <v>0.79290000000000005</v>
      </c>
      <c r="U231" s="194">
        <f t="shared" si="32"/>
        <v>0.96609999999999996</v>
      </c>
      <c r="V231" s="194">
        <f t="shared" si="33"/>
        <v>0.64230000000000009</v>
      </c>
      <c r="W231" s="194">
        <f>IFERROR(INDEX('Ashed teabags dry'!$K$2:$K$2000,MATCH(H231,'Ashed teabags dry'!$A$2:$A$2000,0)),"")</f>
        <v>22.323571771483682</v>
      </c>
      <c r="X231" s="194">
        <f>IFERROR(INDEX('Ashed teabags dry'!$K$2:$K$2000,MATCH(I231,'Ashed teabags dry'!$A$2:$A$2000,0)),"")</f>
        <v>77.250247279920742</v>
      </c>
      <c r="Y231" s="194">
        <f t="shared" si="28"/>
        <v>0.75043197311569609</v>
      </c>
      <c r="Z231" s="194">
        <f t="shared" si="28"/>
        <v>0.14612166172106905</v>
      </c>
      <c r="AA231" s="194">
        <f t="shared" si="34"/>
        <v>0.56698723844399368</v>
      </c>
      <c r="AB231" s="194">
        <f t="shared" si="35"/>
        <v>0.3717065981248035</v>
      </c>
      <c r="AC231" s="194">
        <f t="shared" si="29"/>
        <v>7.178068125597678E-2</v>
      </c>
      <c r="AD231">
        <f t="shared" si="36"/>
        <v>71</v>
      </c>
      <c r="AE231" s="194">
        <f t="shared" si="37"/>
        <v>0.3266184816579647</v>
      </c>
      <c r="AF231" s="194" t="str">
        <f t="shared" si="38"/>
        <v/>
      </c>
      <c r="AG231" s="245" t="str">
        <f>IF(ISNUMBER(SEARCH("C", 'Dry_Litterbag Placem_Collection'!$T158)),"YES","NO")</f>
        <v>YES</v>
      </c>
      <c r="AH231" s="245" t="str">
        <f>IF(ISNUMBER(SEARCH("H", 'Dry_Litterbag Placem_Collection'!$T158)),"YES","NO")</f>
        <v>YES</v>
      </c>
      <c r="AI231" s="245" t="str">
        <f>IF(ISNUMBER(SEARCH("R", 'Dry_Litterbag Placem_Collection'!$T158)),"YES","NO")</f>
        <v>NO</v>
      </c>
      <c r="AJ231" s="245" t="str">
        <f>IF(ISNUMBER(SEARCH("C", 'Dry_Litterbag Placem_Collection'!$S158)),"YES","NO")</f>
        <v>NO</v>
      </c>
      <c r="AK231" s="245" t="str">
        <f>IF(ISNUMBER(SEARCH("H", 'Dry_Litterbag Placem_Collection'!$S158)),"YES","NO")</f>
        <v>YES</v>
      </c>
      <c r="AL231" s="245" t="str">
        <f>IF(ISNUMBER(SEARCH("R", 'Dry_Litterbag Placem_Collection'!$S158)),"YES","NO")</f>
        <v>YES</v>
      </c>
    </row>
    <row r="232" spans="2:38">
      <c r="B232" t="str">
        <f>Dryseason!B158</f>
        <v>Dry</v>
      </c>
      <c r="C232" s="253">
        <f>Dryseason!C158</f>
        <v>157</v>
      </c>
      <c r="D232" t="s">
        <v>3125</v>
      </c>
      <c r="E232" t="s">
        <v>22</v>
      </c>
      <c r="F232" s="375">
        <v>5</v>
      </c>
      <c r="G232" s="16">
        <f>IF('Dry_Litterbag Placem_Collection'!E159="","",'Dry_Litterbag Placem_Collection'!E159)</f>
        <v>42939</v>
      </c>
      <c r="H232" t="str">
        <f>Dryseason!L158</f>
        <v>G328</v>
      </c>
      <c r="I232" t="str">
        <f>Dryseason!L378</f>
        <v>R478</v>
      </c>
      <c r="J232">
        <f>IFERROR(INDEX('Green_rooibos initial weight'!$C$5:$C$2000,MATCH(H232, 'Green_rooibos initial weight'!$A$5:$A$2000,0)),"")</f>
        <v>2.1309999999999998</v>
      </c>
      <c r="K232">
        <f>IFERROR(INDEX('Green_rooibos initial weight'!$C$5:$C$2000,MATCH(I232, 'Green_rooibos initial weight'!$A$5:$A$2000,0)),"")</f>
        <v>2.1640000000000001</v>
      </c>
      <c r="L232" s="194">
        <f t="shared" si="30"/>
        <v>1.8811999999999998</v>
      </c>
      <c r="M232" s="233">
        <f>AVERAGE(Ashed_controlls!$K$1:$K$11)</f>
        <v>5.5147656768714146</v>
      </c>
      <c r="N232" s="194">
        <f t="shared" si="26"/>
        <v>1.7774562280866948</v>
      </c>
      <c r="O232" s="194">
        <f t="shared" si="31"/>
        <v>1.9142000000000001</v>
      </c>
      <c r="P232" s="233">
        <f>AVERAGE(Ashed_controlls!$K$12:$K$14)</f>
        <v>2.2816647271287041</v>
      </c>
      <c r="Q232" s="194">
        <f t="shared" si="27"/>
        <v>1.8705243737933024</v>
      </c>
      <c r="R232" s="16">
        <f>IF('Dry_Litterbag Placem_Collection'!G159="","",'Dry_Litterbag Placem_Collection'!G159)</f>
        <v>43010</v>
      </c>
      <c r="S232" s="194" t="str">
        <f>IFERROR(INDEX('Both teabags AfterDry'!$D$3:$D$2000,MATCH(H232,'Both teabags AfterDry'!$A$3:$A$2000,0)),"")</f>
        <v/>
      </c>
      <c r="T232" s="194" t="str">
        <f>IFERROR(INDEX('Both teabags AfterDry'!$D$3:$D$2000,MATCH(I232,'Both teabags AfterDry'!$A$3:$A$2000,0)),"")</f>
        <v/>
      </c>
      <c r="U232" s="194" t="str">
        <f t="shared" si="32"/>
        <v/>
      </c>
      <c r="V232" s="194" t="str">
        <f t="shared" si="33"/>
        <v/>
      </c>
      <c r="W232" s="194" t="str">
        <f>IFERROR(INDEX('Ashed teabags dry'!$K$2:$K$2000,MATCH(H232,'Ashed teabags dry'!$A$2:$A$2000,0)),"")</f>
        <v/>
      </c>
      <c r="X232" s="194" t="str">
        <f>IFERROR(INDEX('Ashed teabags dry'!$K$2:$K$2000,MATCH(I232,'Ashed teabags dry'!$A$2:$A$2000,0)),"")</f>
        <v/>
      </c>
      <c r="Y232" s="194" t="str">
        <f t="shared" si="28"/>
        <v/>
      </c>
      <c r="Z232" s="194" t="str">
        <f t="shared" si="28"/>
        <v/>
      </c>
      <c r="AA232" s="194" t="str">
        <f t="shared" si="34"/>
        <v/>
      </c>
      <c r="AB232" s="194" t="str">
        <f t="shared" si="35"/>
        <v/>
      </c>
      <c r="AC232" s="194" t="str">
        <f t="shared" si="29"/>
        <v/>
      </c>
      <c r="AD232">
        <f t="shared" si="36"/>
        <v>71</v>
      </c>
      <c r="AE232" s="194" t="str">
        <f t="shared" si="37"/>
        <v/>
      </c>
      <c r="AF232" s="194" t="str">
        <f t="shared" si="38"/>
        <v/>
      </c>
      <c r="AG232" s="245" t="str">
        <f>IF(ISNUMBER(SEARCH("C", 'Dry_Litterbag Placem_Collection'!$T159)),"YES","NO")</f>
        <v>YES</v>
      </c>
      <c r="AH232" s="245" t="str">
        <f>IF(ISNUMBER(SEARCH("H", 'Dry_Litterbag Placem_Collection'!$T159)),"YES","NO")</f>
        <v>NO</v>
      </c>
      <c r="AI232" s="245" t="str">
        <f>IF(ISNUMBER(SEARCH("R", 'Dry_Litterbag Placem_Collection'!$T159)),"YES","NO")</f>
        <v>YES</v>
      </c>
      <c r="AJ232" s="245" t="str">
        <f>IF(ISNUMBER(SEARCH("C", 'Dry_Litterbag Placem_Collection'!$S159)),"YES","NO")</f>
        <v>YES</v>
      </c>
      <c r="AK232" s="245" t="str">
        <f>IF(ISNUMBER(SEARCH("H", 'Dry_Litterbag Placem_Collection'!$S159)),"YES","NO")</f>
        <v>YES</v>
      </c>
      <c r="AL232" s="245" t="str">
        <f>IF(ISNUMBER(SEARCH("R", 'Dry_Litterbag Placem_Collection'!$S159)),"YES","NO")</f>
        <v>YES</v>
      </c>
    </row>
    <row r="233" spans="2:38">
      <c r="B233" t="str">
        <f>Dryseason!B159</f>
        <v>Dry</v>
      </c>
      <c r="C233" s="253">
        <f>Dryseason!C159</f>
        <v>158</v>
      </c>
      <c r="D233" t="s">
        <v>3125</v>
      </c>
      <c r="E233" t="s">
        <v>22</v>
      </c>
      <c r="F233" s="375">
        <v>6</v>
      </c>
      <c r="G233" s="16">
        <f>IF('Dry_Litterbag Placem_Collection'!E160="","",'Dry_Litterbag Placem_Collection'!E160)</f>
        <v>42939</v>
      </c>
      <c r="H233" t="str">
        <f>Dryseason!L159</f>
        <v>G21</v>
      </c>
      <c r="I233" t="str">
        <f>Dryseason!L379</f>
        <v>R773</v>
      </c>
      <c r="J233">
        <f>IFERROR(INDEX('Green_rooibos initial weight'!$C$5:$C$2000,MATCH(H233, 'Green_rooibos initial weight'!$A$5:$A$2000,0)),"")</f>
        <v>2.04</v>
      </c>
      <c r="K233">
        <f>IFERROR(INDEX('Green_rooibos initial weight'!$C$5:$C$2000,MATCH(I233, 'Green_rooibos initial weight'!$A$5:$A$2000,0)),"")</f>
        <v>2.2320000000000002</v>
      </c>
      <c r="L233" s="194">
        <f t="shared" si="30"/>
        <v>1.7902</v>
      </c>
      <c r="M233" s="233">
        <f>AVERAGE(Ashed_controlls!$K$1:$K$11)</f>
        <v>5.5147656768714146</v>
      </c>
      <c r="N233" s="194">
        <f t="shared" si="26"/>
        <v>1.691474664852648</v>
      </c>
      <c r="O233" s="194">
        <f t="shared" si="31"/>
        <v>1.9822000000000002</v>
      </c>
      <c r="P233" s="233">
        <f>AVERAGE(Ashed_controlls!$K$12:$K$14)</f>
        <v>2.2816647271287041</v>
      </c>
      <c r="Q233" s="194">
        <f t="shared" si="27"/>
        <v>1.936972841778855</v>
      </c>
      <c r="R233" s="16">
        <f>IF('Dry_Litterbag Placem_Collection'!G160="","",'Dry_Litterbag Placem_Collection'!G160)</f>
        <v>43010</v>
      </c>
      <c r="S233" s="194">
        <f>IFERROR(INDEX('Both teabags AfterDry'!$D$3:$D$2000,MATCH(H233,'Both teabags AfterDry'!$A$3:$A$2000,0)),"")</f>
        <v>0</v>
      </c>
      <c r="T233" s="194">
        <f>IFERROR(INDEX('Both teabags AfterDry'!$D$3:$D$2000,MATCH(I233,'Both teabags AfterDry'!$A$3:$A$2000,0)),"")</f>
        <v>1.3551</v>
      </c>
      <c r="U233" s="194" t="str">
        <f t="shared" si="32"/>
        <v/>
      </c>
      <c r="V233" s="194">
        <f t="shared" si="33"/>
        <v>1.2044999999999999</v>
      </c>
      <c r="W233" s="194">
        <f>IFERROR(INDEX('Ashed teabags dry'!$K$2:$K$2000,MATCH(H233,'Ashed teabags dry'!$A$2:$A$2000,0)),"")</f>
        <v>0</v>
      </c>
      <c r="X233" s="194">
        <f>IFERROR(INDEX('Ashed teabags dry'!$K$2:$K$2000,MATCH(I233,'Ashed teabags dry'!$A$2:$A$2000,0)),"")</f>
        <v>86.234021632251483</v>
      </c>
      <c r="Y233" s="194" t="str">
        <f t="shared" si="28"/>
        <v/>
      </c>
      <c r="Z233" s="194">
        <f t="shared" si="28"/>
        <v>0.16581120943953098</v>
      </c>
      <c r="AA233" s="194" t="str">
        <f t="shared" si="34"/>
        <v/>
      </c>
      <c r="AB233" s="194" t="str">
        <f t="shared" si="35"/>
        <v/>
      </c>
      <c r="AC233" s="194">
        <f t="shared" si="29"/>
        <v>8.56032701456233E-2</v>
      </c>
      <c r="AD233">
        <f t="shared" si="36"/>
        <v>71</v>
      </c>
      <c r="AE233" s="194" t="str">
        <f t="shared" si="37"/>
        <v/>
      </c>
      <c r="AF233" s="194" t="str">
        <f t="shared" si="38"/>
        <v/>
      </c>
      <c r="AG233" s="245" t="str">
        <f>IF(ISNUMBER(SEARCH("C", 'Dry_Litterbag Placem_Collection'!$T160)),"YES","NO")</f>
        <v>YES</v>
      </c>
      <c r="AH233" s="245" t="str">
        <f>IF(ISNUMBER(SEARCH("H", 'Dry_Litterbag Placem_Collection'!$T160)),"YES","NO")</f>
        <v>YES</v>
      </c>
      <c r="AI233" s="245" t="str">
        <f>IF(ISNUMBER(SEARCH("R", 'Dry_Litterbag Placem_Collection'!$T160)),"YES","NO")</f>
        <v>NO</v>
      </c>
      <c r="AJ233" s="245" t="str">
        <f>IF(ISNUMBER(SEARCH("C", 'Dry_Litterbag Placem_Collection'!$S160)),"YES","NO")</f>
        <v>YES</v>
      </c>
      <c r="AK233" s="245" t="str">
        <f>IF(ISNUMBER(SEARCH("H", 'Dry_Litterbag Placem_Collection'!$S160)),"YES","NO")</f>
        <v>YES</v>
      </c>
      <c r="AL233" s="245" t="str">
        <f>IF(ISNUMBER(SEARCH("R", 'Dry_Litterbag Placem_Collection'!$S160)),"YES","NO")</f>
        <v>NO</v>
      </c>
    </row>
    <row r="234" spans="2:38">
      <c r="B234" t="str">
        <f>Dryseason!B160</f>
        <v>Dry</v>
      </c>
      <c r="C234" s="253">
        <f>Dryseason!C160</f>
        <v>159</v>
      </c>
      <c r="D234" t="s">
        <v>3125</v>
      </c>
      <c r="E234" t="s">
        <v>22</v>
      </c>
      <c r="F234" s="375">
        <v>7</v>
      </c>
      <c r="G234" s="16" t="str">
        <f>IF('Dry_Litterbag Placem_Collection'!E161="","",'Dry_Litterbag Placem_Collection'!E161)</f>
        <v/>
      </c>
      <c r="H234" t="str">
        <f>Dryseason!L160</f>
        <v/>
      </c>
      <c r="I234" t="str">
        <f>Dryseason!L380</f>
        <v/>
      </c>
      <c r="J234" t="str">
        <f>IFERROR(INDEX('Green_rooibos initial weight'!$C$5:$C$2000,MATCH(H234, 'Green_rooibos initial weight'!$A$5:$A$2000,0)),"")</f>
        <v/>
      </c>
      <c r="K234" t="str">
        <f>IFERROR(INDEX('Green_rooibos initial weight'!$C$5:$C$2000,MATCH(I234, 'Green_rooibos initial weight'!$A$5:$A$2000,0)),"")</f>
        <v/>
      </c>
      <c r="L234" s="194" t="str">
        <f t="shared" si="30"/>
        <v/>
      </c>
      <c r="M234" s="233">
        <f>AVERAGE(Ashed_controlls!$K$1:$K$11)</f>
        <v>5.5147656768714146</v>
      </c>
      <c r="N234" s="194" t="str">
        <f t="shared" si="26"/>
        <v/>
      </c>
      <c r="O234" s="194" t="str">
        <f t="shared" si="31"/>
        <v/>
      </c>
      <c r="P234" s="233">
        <f>AVERAGE(Ashed_controlls!$K$12:$K$14)</f>
        <v>2.2816647271287041</v>
      </c>
      <c r="Q234" s="194" t="str">
        <f t="shared" si="27"/>
        <v/>
      </c>
      <c r="R234" s="16" t="str">
        <f>IF('Dry_Litterbag Placem_Collection'!G161="","",'Dry_Litterbag Placem_Collection'!G161)</f>
        <v/>
      </c>
      <c r="S234" s="194" t="str">
        <f>IFERROR(INDEX('Both teabags AfterDry'!$D$3:$D$2000,MATCH(H234,'Both teabags AfterDry'!$A$3:$A$2000,0)),"")</f>
        <v/>
      </c>
      <c r="T234" s="194" t="str">
        <f>IFERROR(INDEX('Both teabags AfterDry'!$D$3:$D$2000,MATCH(I234,'Both teabags AfterDry'!$A$3:$A$2000,0)),"")</f>
        <v/>
      </c>
      <c r="U234" s="194" t="str">
        <f t="shared" si="32"/>
        <v/>
      </c>
      <c r="V234" s="194" t="str">
        <f t="shared" si="33"/>
        <v/>
      </c>
      <c r="W234" s="194" t="str">
        <f>IFERROR(INDEX('Ashed teabags dry'!$K$2:$K$2000,MATCH(H234,'Ashed teabags dry'!$A$2:$A$2000,0)),"")</f>
        <v/>
      </c>
      <c r="X234" s="194" t="str">
        <f>IFERROR(INDEX('Ashed teabags dry'!$K$2:$K$2000,MATCH(I234,'Ashed teabags dry'!$A$2:$A$2000,0)),"")</f>
        <v/>
      </c>
      <c r="Y234" s="194" t="str">
        <f t="shared" si="28"/>
        <v/>
      </c>
      <c r="Z234" s="194" t="str">
        <f t="shared" si="28"/>
        <v/>
      </c>
      <c r="AA234" s="194" t="str">
        <f t="shared" si="34"/>
        <v/>
      </c>
      <c r="AB234" s="194" t="str">
        <f t="shared" si="35"/>
        <v/>
      </c>
      <c r="AC234" s="194" t="str">
        <f t="shared" si="29"/>
        <v/>
      </c>
      <c r="AD234" t="str">
        <f t="shared" si="36"/>
        <v/>
      </c>
      <c r="AE234" s="194" t="str">
        <f t="shared" si="37"/>
        <v/>
      </c>
      <c r="AF234" s="194" t="str">
        <f t="shared" si="38"/>
        <v/>
      </c>
      <c r="AG234" s="245" t="str">
        <f>IF(ISNUMBER(SEARCH("C", 'Dry_Litterbag Placem_Collection'!$T161)),"YES","NO")</f>
        <v>NO</v>
      </c>
      <c r="AH234" s="245" t="str">
        <f>IF(ISNUMBER(SEARCH("H", 'Dry_Litterbag Placem_Collection'!$T161)),"YES","NO")</f>
        <v>NO</v>
      </c>
      <c r="AI234" s="245" t="str">
        <f>IF(ISNUMBER(SEARCH("R", 'Dry_Litterbag Placem_Collection'!$T161)),"YES","NO")</f>
        <v>NO</v>
      </c>
      <c r="AJ234" s="245" t="str">
        <f>IF(ISNUMBER(SEARCH("C", 'Dry_Litterbag Placem_Collection'!$S161)),"YES","NO")</f>
        <v>NO</v>
      </c>
      <c r="AK234" s="245" t="str">
        <f>IF(ISNUMBER(SEARCH("H", 'Dry_Litterbag Placem_Collection'!$S161)),"YES","NO")</f>
        <v>NO</v>
      </c>
      <c r="AL234" s="245" t="str">
        <f>IF(ISNUMBER(SEARCH("R", 'Dry_Litterbag Placem_Collection'!$S161)),"YES","NO")</f>
        <v>NO</v>
      </c>
    </row>
    <row r="235" spans="2:38">
      <c r="B235" t="str">
        <f>Dryseason!B161</f>
        <v>Dry</v>
      </c>
      <c r="C235" s="253">
        <f>Dryseason!C161</f>
        <v>160</v>
      </c>
      <c r="D235" t="s">
        <v>3125</v>
      </c>
      <c r="E235" t="s">
        <v>22</v>
      </c>
      <c r="F235" s="375">
        <v>8</v>
      </c>
      <c r="G235" s="16">
        <f>IF('Dry_Litterbag Placem_Collection'!E162="","",'Dry_Litterbag Placem_Collection'!E162)</f>
        <v>42939</v>
      </c>
      <c r="H235" t="str">
        <f>Dryseason!L161</f>
        <v>G482</v>
      </c>
      <c r="I235" t="str">
        <f>Dryseason!L381</f>
        <v>R401</v>
      </c>
      <c r="J235">
        <f>IFERROR(INDEX('Green_rooibos initial weight'!$C$5:$C$2000,MATCH(H235, 'Green_rooibos initial weight'!$A$5:$A$2000,0)),"")</f>
        <v>2.056</v>
      </c>
      <c r="K235">
        <f>IFERROR(INDEX('Green_rooibos initial weight'!$C$5:$C$2000,MATCH(I235, 'Green_rooibos initial weight'!$A$5:$A$2000,0)),"")</f>
        <v>2.214</v>
      </c>
      <c r="L235" s="194">
        <f t="shared" si="30"/>
        <v>1.8062</v>
      </c>
      <c r="M235" s="233">
        <f>AVERAGE(Ashed_controlls!$K$1:$K$11)</f>
        <v>5.5147656768714146</v>
      </c>
      <c r="N235" s="194">
        <f t="shared" si="26"/>
        <v>1.7065923023443486</v>
      </c>
      <c r="O235" s="194">
        <f t="shared" si="31"/>
        <v>1.9641999999999999</v>
      </c>
      <c r="P235" s="233">
        <f>AVERAGE(Ashed_controlls!$K$12:$K$14)</f>
        <v>2.2816647271287041</v>
      </c>
      <c r="Q235" s="194">
        <f t="shared" si="27"/>
        <v>1.919383541429738</v>
      </c>
      <c r="R235" s="16">
        <f>IF('Dry_Litterbag Placem_Collection'!G162="","",'Dry_Litterbag Placem_Collection'!G162)</f>
        <v>43010</v>
      </c>
      <c r="S235" s="194">
        <f>IFERROR(INDEX('Both teabags AfterDry'!$D$3:$D$2000,MATCH(H235,'Both teabags AfterDry'!$A$3:$A$2000,0)),"")</f>
        <v>1.4819</v>
      </c>
      <c r="T235" s="194">
        <f>IFERROR(INDEX('Both teabags AfterDry'!$D$3:$D$2000,MATCH(I235,'Both teabags AfterDry'!$A$3:$A$2000,0)),"")</f>
        <v>1.7884</v>
      </c>
      <c r="U235" s="194">
        <f t="shared" si="32"/>
        <v>1.3312999999999999</v>
      </c>
      <c r="V235" s="194">
        <f t="shared" si="33"/>
        <v>1.6377999999999999</v>
      </c>
      <c r="W235" s="194">
        <f>IFERROR(INDEX('Ashed teabags dry'!$K$2:$K$2000,MATCH(H235,'Ashed teabags dry'!$A$2:$A$2000,0)),"")</f>
        <v>15.061378659112389</v>
      </c>
      <c r="X235" s="194">
        <f>IFERROR(INDEX('Ashed teabags dry'!$K$2:$K$2000,MATCH(I235,'Ashed teabags dry'!$A$2:$A$2000,0)),"")</f>
        <v>5.077369439072041</v>
      </c>
      <c r="Y235" s="194">
        <f t="shared" si="28"/>
        <v>1.1307878659112367</v>
      </c>
      <c r="Z235" s="194">
        <f t="shared" si="28"/>
        <v>1.554642843326878</v>
      </c>
      <c r="AA235" s="194">
        <f t="shared" si="34"/>
        <v>0.33740011345540954</v>
      </c>
      <c r="AB235" s="194">
        <f t="shared" si="35"/>
        <v>0.22119342354796448</v>
      </c>
      <c r="AC235" s="194">
        <f t="shared" si="29"/>
        <v>0.80996987301914303</v>
      </c>
      <c r="AD235">
        <f t="shared" si="36"/>
        <v>71</v>
      </c>
      <c r="AE235" s="194">
        <f t="shared" si="37"/>
        <v>0.59928727618122379</v>
      </c>
      <c r="AF235" s="194">
        <f t="shared" si="38"/>
        <v>2.7602768002354269E-2</v>
      </c>
      <c r="AG235" s="245" t="str">
        <f>IF(ISNUMBER(SEARCH("C", 'Dry_Litterbag Placem_Collection'!$T162)),"YES","NO")</f>
        <v>NO</v>
      </c>
      <c r="AH235" s="245" t="str">
        <f>IF(ISNUMBER(SEARCH("H", 'Dry_Litterbag Placem_Collection'!$T162)),"YES","NO")</f>
        <v>YES</v>
      </c>
      <c r="AI235" s="245" t="str">
        <f>IF(ISNUMBER(SEARCH("R", 'Dry_Litterbag Placem_Collection'!$T162)),"YES","NO")</f>
        <v>NO</v>
      </c>
      <c r="AJ235" s="245" t="str">
        <f>IF(ISNUMBER(SEARCH("C", 'Dry_Litterbag Placem_Collection'!$S162)),"YES","NO")</f>
        <v>YES</v>
      </c>
      <c r="AK235" s="245" t="str">
        <f>IF(ISNUMBER(SEARCH("H", 'Dry_Litterbag Placem_Collection'!$S162)),"YES","NO")</f>
        <v>YES</v>
      </c>
      <c r="AL235" s="245" t="str">
        <f>IF(ISNUMBER(SEARCH("R", 'Dry_Litterbag Placem_Collection'!$S162)),"YES","NO")</f>
        <v>NO</v>
      </c>
    </row>
    <row r="236" spans="2:38">
      <c r="B236" t="str">
        <f>Dryseason!B162</f>
        <v>Dry</v>
      </c>
      <c r="C236" s="253">
        <f>Dryseason!C162</f>
        <v>161</v>
      </c>
      <c r="D236" t="s">
        <v>3126</v>
      </c>
      <c r="E236" t="s">
        <v>22</v>
      </c>
      <c r="F236" s="374">
        <v>1</v>
      </c>
      <c r="G236" s="16">
        <f>IF('Dry_Litterbag Placem_Collection'!E163="","",'Dry_Litterbag Placem_Collection'!E163)</f>
        <v>42940</v>
      </c>
      <c r="H236" t="str">
        <f>Dryseason!L162</f>
        <v>G51</v>
      </c>
      <c r="I236" t="str">
        <f>Dryseason!L382</f>
        <v>R673</v>
      </c>
      <c r="J236">
        <f>IFERROR(INDEX('Green_rooibos initial weight'!$C$5:$C$2000,MATCH(H236, 'Green_rooibos initial weight'!$A$5:$A$2000,0)),"")</f>
        <v>2.0259999999999998</v>
      </c>
      <c r="K236">
        <f>IFERROR(INDEX('Green_rooibos initial weight'!$C$5:$C$2000,MATCH(I236, 'Green_rooibos initial weight'!$A$5:$A$2000,0)),"")</f>
        <v>2.121</v>
      </c>
      <c r="L236" s="194">
        <f t="shared" si="30"/>
        <v>1.7761999999999998</v>
      </c>
      <c r="M236" s="233">
        <f>AVERAGE(Ashed_controlls!$K$1:$K$11)</f>
        <v>5.5147656768714146</v>
      </c>
      <c r="N236" s="194">
        <f t="shared" si="26"/>
        <v>1.6782467320474097</v>
      </c>
      <c r="O236" s="194">
        <f t="shared" si="31"/>
        <v>1.8712</v>
      </c>
      <c r="P236" s="233">
        <f>AVERAGE(Ashed_controlls!$K$12:$K$14)</f>
        <v>2.2816647271287041</v>
      </c>
      <c r="Q236" s="194">
        <f t="shared" si="27"/>
        <v>1.8285054896259676</v>
      </c>
      <c r="R236" s="16">
        <f>IF('Dry_Litterbag Placem_Collection'!G163="","",'Dry_Litterbag Placem_Collection'!G163)</f>
        <v>43009</v>
      </c>
      <c r="S236" s="194">
        <f>IFERROR(INDEX('Both teabags AfterDry'!$D$3:$D$2000,MATCH(H236,'Both teabags AfterDry'!$A$3:$A$2000,0)),"")</f>
        <v>0.81589999999999996</v>
      </c>
      <c r="T236" s="194">
        <f>IFERROR(INDEX('Both teabags AfterDry'!$D$3:$D$2000,MATCH(I236,'Both teabags AfterDry'!$A$3:$A$2000,0)),"")</f>
        <v>1.1623000000000001</v>
      </c>
      <c r="U236" s="194">
        <f t="shared" si="32"/>
        <v>0.6653</v>
      </c>
      <c r="V236" s="194">
        <f t="shared" si="33"/>
        <v>1.0117</v>
      </c>
      <c r="W236" s="194">
        <f>IFERROR(INDEX('Ashed teabags dry'!$K$2:$K$2000,MATCH(H236,'Ashed teabags dry'!$A$2:$A$2000,0)),"")</f>
        <v>26.176336226588315</v>
      </c>
      <c r="X236" s="194">
        <f>IFERROR(INDEX('Ashed teabags dry'!$K$2:$K$2000,MATCH(I236,'Ashed teabags dry'!$A$2:$A$2000,0)),"")</f>
        <v>32.285429141716598</v>
      </c>
      <c r="Y236" s="194">
        <f t="shared" si="28"/>
        <v>0.49114883508450791</v>
      </c>
      <c r="Z236" s="194">
        <f t="shared" si="28"/>
        <v>0.68506831337325313</v>
      </c>
      <c r="AA236" s="194">
        <f t="shared" si="34"/>
        <v>0.70734408373593471</v>
      </c>
      <c r="AB236" s="194">
        <f t="shared" si="35"/>
        <v>0.4637220121404228</v>
      </c>
      <c r="AC236" s="194">
        <f t="shared" si="29"/>
        <v>0.37466024425958283</v>
      </c>
      <c r="AD236">
        <f t="shared" si="36"/>
        <v>69</v>
      </c>
      <c r="AE236" s="194">
        <f t="shared" si="37"/>
        <v>0.15992389104995874</v>
      </c>
      <c r="AF236" s="194" t="str">
        <f t="shared" si="38"/>
        <v/>
      </c>
      <c r="AG236" s="245" t="str">
        <f>IF(ISNUMBER(SEARCH("C", 'Dry_Litterbag Placem_Collection'!$T163)),"YES","NO")</f>
        <v>NO</v>
      </c>
      <c r="AH236" s="245" t="str">
        <f>IF(ISNUMBER(SEARCH("H", 'Dry_Litterbag Placem_Collection'!$T163)),"YES","NO")</f>
        <v>YES</v>
      </c>
      <c r="AI236" s="245" t="str">
        <f>IF(ISNUMBER(SEARCH("R", 'Dry_Litterbag Placem_Collection'!$T163)),"YES","NO")</f>
        <v>NO</v>
      </c>
      <c r="AJ236" s="245" t="str">
        <f>IF(ISNUMBER(SEARCH("C", 'Dry_Litterbag Placem_Collection'!$S163)),"YES","NO")</f>
        <v>NO</v>
      </c>
      <c r="AK236" s="245" t="str">
        <f>IF(ISNUMBER(SEARCH("H", 'Dry_Litterbag Placem_Collection'!$S163)),"YES","NO")</f>
        <v>YES</v>
      </c>
      <c r="AL236" s="245" t="str">
        <f>IF(ISNUMBER(SEARCH("R", 'Dry_Litterbag Placem_Collection'!$S163)),"YES","NO")</f>
        <v>YES</v>
      </c>
    </row>
    <row r="237" spans="2:38">
      <c r="B237" t="str">
        <f>Dryseason!B163</f>
        <v>Dry</v>
      </c>
      <c r="C237" s="253">
        <f>Dryseason!C163</f>
        <v>162</v>
      </c>
      <c r="D237" t="s">
        <v>3126</v>
      </c>
      <c r="E237" t="s">
        <v>22</v>
      </c>
      <c r="F237" s="374">
        <v>2</v>
      </c>
      <c r="G237" s="16">
        <f>IF('Dry_Litterbag Placem_Collection'!E164="","",'Dry_Litterbag Placem_Collection'!E164)</f>
        <v>42940</v>
      </c>
      <c r="H237" t="str">
        <f>Dryseason!L163</f>
        <v>G238</v>
      </c>
      <c r="I237" t="str">
        <f>Dryseason!L383</f>
        <v>R814</v>
      </c>
      <c r="J237">
        <f>IFERROR(INDEX('Green_rooibos initial weight'!$C$5:$C$2000,MATCH(H237, 'Green_rooibos initial weight'!$A$5:$A$2000,0)),"")</f>
        <v>2.1160000000000001</v>
      </c>
      <c r="K237">
        <f>IFERROR(INDEX('Green_rooibos initial weight'!$C$5:$C$2000,MATCH(I237, 'Green_rooibos initial weight'!$A$5:$A$2000,0)),"")</f>
        <v>2.2210000000000001</v>
      </c>
      <c r="L237" s="194">
        <f t="shared" si="30"/>
        <v>1.8662000000000001</v>
      </c>
      <c r="M237" s="233">
        <f>AVERAGE(Ashed_controlls!$K$1:$K$11)</f>
        <v>5.5147656768714146</v>
      </c>
      <c r="N237" s="194">
        <f t="shared" si="26"/>
        <v>1.7632834429382258</v>
      </c>
      <c r="O237" s="194">
        <f t="shared" si="31"/>
        <v>1.9712000000000001</v>
      </c>
      <c r="P237" s="233">
        <f>AVERAGE(Ashed_controlls!$K$12:$K$14)</f>
        <v>2.2816647271287041</v>
      </c>
      <c r="Q237" s="194">
        <f t="shared" si="27"/>
        <v>1.926223824898839</v>
      </c>
      <c r="R237" s="16">
        <f>IF('Dry_Litterbag Placem_Collection'!G164="","",'Dry_Litterbag Placem_Collection'!G164)</f>
        <v>43009</v>
      </c>
      <c r="S237" s="194">
        <f>IFERROR(INDEX('Both teabags AfterDry'!$D$3:$D$2000,MATCH(H237,'Both teabags AfterDry'!$A$3:$A$2000,0)),"")</f>
        <v>0.81089999999999995</v>
      </c>
      <c r="T237" s="194">
        <f>IFERROR(INDEX('Both teabags AfterDry'!$D$3:$D$2000,MATCH(I237,'Both teabags AfterDry'!$A$3:$A$2000,0)),"")</f>
        <v>2.4714999999999998</v>
      </c>
      <c r="U237" s="194">
        <f t="shared" si="32"/>
        <v>0.66029999999999989</v>
      </c>
      <c r="V237" s="194">
        <f t="shared" si="33"/>
        <v>2.3209</v>
      </c>
      <c r="W237" s="194">
        <f>IFERROR(INDEX('Ashed teabags dry'!$K$2:$K$2000,MATCH(H237,'Ashed teabags dry'!$A$2:$A$2000,0)),"")</f>
        <v>25.849056603773789</v>
      </c>
      <c r="X237" s="194">
        <f>IFERROR(INDEX('Ashed teabags dry'!$K$2:$K$2000,MATCH(I237,'Ashed teabags dry'!$A$2:$A$2000,0)),"")</f>
        <v>91.237322515213222</v>
      </c>
      <c r="Y237" s="194">
        <f t="shared" si="28"/>
        <v>0.48961867924528157</v>
      </c>
      <c r="Z237" s="194">
        <f t="shared" si="28"/>
        <v>0.20337298174441631</v>
      </c>
      <c r="AA237" s="194">
        <f t="shared" si="34"/>
        <v>0.72232559591814038</v>
      </c>
      <c r="AB237" s="194">
        <f t="shared" si="35"/>
        <v>0.47354362107697567</v>
      </c>
      <c r="AC237" s="194">
        <f t="shared" si="29"/>
        <v>0.10558117863332783</v>
      </c>
      <c r="AD237">
        <f t="shared" si="36"/>
        <v>69</v>
      </c>
      <c r="AE237" s="194">
        <f t="shared" si="37"/>
        <v>0.14213112123736293</v>
      </c>
      <c r="AF237" s="194" t="str">
        <f t="shared" si="38"/>
        <v/>
      </c>
      <c r="AG237" s="245" t="str">
        <f>IF(ISNUMBER(SEARCH("C", 'Dry_Litterbag Placem_Collection'!$T164)),"YES","NO")</f>
        <v>YES</v>
      </c>
      <c r="AH237" s="245" t="str">
        <f>IF(ISNUMBER(SEARCH("H", 'Dry_Litterbag Placem_Collection'!$T164)),"YES","NO")</f>
        <v>YES</v>
      </c>
      <c r="AI237" s="245" t="str">
        <f>IF(ISNUMBER(SEARCH("R", 'Dry_Litterbag Placem_Collection'!$T164)),"YES","NO")</f>
        <v>NO</v>
      </c>
      <c r="AJ237" s="245" t="str">
        <f>IF(ISNUMBER(SEARCH("C", 'Dry_Litterbag Placem_Collection'!$S164)),"YES","NO")</f>
        <v>NO</v>
      </c>
      <c r="AK237" s="245" t="str">
        <f>IF(ISNUMBER(SEARCH("H", 'Dry_Litterbag Placem_Collection'!$S164)),"YES","NO")</f>
        <v>NO</v>
      </c>
      <c r="AL237" s="245" t="str">
        <f>IF(ISNUMBER(SEARCH("R", 'Dry_Litterbag Placem_Collection'!$S164)),"YES","NO")</f>
        <v>YES</v>
      </c>
    </row>
    <row r="238" spans="2:38">
      <c r="B238" t="str">
        <f>Dryseason!B164</f>
        <v>Dry</v>
      </c>
      <c r="C238" s="253">
        <f>Dryseason!C164</f>
        <v>163</v>
      </c>
      <c r="D238" t="s">
        <v>3126</v>
      </c>
      <c r="E238" t="s">
        <v>22</v>
      </c>
      <c r="F238" s="374">
        <v>3</v>
      </c>
      <c r="G238" s="16">
        <f>IF('Dry_Litterbag Placem_Collection'!E165="","",'Dry_Litterbag Placem_Collection'!E165)</f>
        <v>42940</v>
      </c>
      <c r="H238" t="str">
        <f>Dryseason!L164</f>
        <v>G59</v>
      </c>
      <c r="I238" t="str">
        <f>Dryseason!L384</f>
        <v>R615</v>
      </c>
      <c r="J238">
        <f>IFERROR(INDEX('Green_rooibos initial weight'!$C$5:$C$2000,MATCH(H238, 'Green_rooibos initial weight'!$A$5:$A$2000,0)),"")</f>
        <v>1.929</v>
      </c>
      <c r="K238">
        <f>IFERROR(INDEX('Green_rooibos initial weight'!$C$5:$C$2000,MATCH(I238, 'Green_rooibos initial weight'!$A$5:$A$2000,0)),"")</f>
        <v>2.157</v>
      </c>
      <c r="L238" s="194">
        <f t="shared" si="30"/>
        <v>1.6792</v>
      </c>
      <c r="M238" s="233">
        <f>AVERAGE(Ashed_controlls!$K$1:$K$11)</f>
        <v>5.5147656768714146</v>
      </c>
      <c r="N238" s="194">
        <f t="shared" si="26"/>
        <v>1.5865960547539752</v>
      </c>
      <c r="O238" s="194">
        <f t="shared" si="31"/>
        <v>1.9072</v>
      </c>
      <c r="P238" s="233">
        <f>AVERAGE(Ashed_controlls!$K$12:$K$14)</f>
        <v>2.2816647271287041</v>
      </c>
      <c r="Q238" s="194">
        <f t="shared" si="27"/>
        <v>1.8636840903242013</v>
      </c>
      <c r="R238" s="16">
        <f>IF('Dry_Litterbag Placem_Collection'!G165="","",'Dry_Litterbag Placem_Collection'!G165)</f>
        <v>43009</v>
      </c>
      <c r="S238" s="194">
        <f>IFERROR(INDEX('Both teabags AfterDry'!$D$3:$D$2000,MATCH(H238,'Both teabags AfterDry'!$A$3:$A$2000,0)),"")</f>
        <v>0.95679999999999998</v>
      </c>
      <c r="T238" s="194">
        <f>IFERROR(INDEX('Both teabags AfterDry'!$D$3:$D$2000,MATCH(I238,'Both teabags AfterDry'!$A$3:$A$2000,0)),"")</f>
        <v>1.4872000000000001</v>
      </c>
      <c r="U238" s="194">
        <f t="shared" si="32"/>
        <v>0.80620000000000003</v>
      </c>
      <c r="V238" s="194">
        <f t="shared" si="33"/>
        <v>1.3366</v>
      </c>
      <c r="W238" s="194">
        <f>IFERROR(INDEX('Ashed teabags dry'!$K$2:$K$2000,MATCH(H238,'Ashed teabags dry'!$A$2:$A$2000,0)),"")</f>
        <v>34.794396746499032</v>
      </c>
      <c r="X238" s="194">
        <f>IFERROR(INDEX('Ashed teabags dry'!$K$2:$K$2000,MATCH(I238,'Ashed teabags dry'!$A$2:$A$2000,0)),"")</f>
        <v>30.154767848227259</v>
      </c>
      <c r="Y238" s="194">
        <f t="shared" si="28"/>
        <v>0.52568757342972483</v>
      </c>
      <c r="Z238" s="194">
        <f t="shared" si="28"/>
        <v>0.93355137294059443</v>
      </c>
      <c r="AA238" s="194">
        <f t="shared" si="34"/>
        <v>0.66866955716006726</v>
      </c>
      <c r="AB238" s="194">
        <f t="shared" si="35"/>
        <v>0.43836769067975911</v>
      </c>
      <c r="AC238" s="194">
        <f t="shared" si="29"/>
        <v>0.50091717678300107</v>
      </c>
      <c r="AD238">
        <f t="shared" si="36"/>
        <v>69</v>
      </c>
      <c r="AE238" s="194">
        <f t="shared" si="37"/>
        <v>0.20585563282652342</v>
      </c>
      <c r="AF238" s="194" t="str">
        <f t="shared" si="38"/>
        <v/>
      </c>
      <c r="AG238" s="245" t="str">
        <f>IF(ISNUMBER(SEARCH("C", 'Dry_Litterbag Placem_Collection'!$T165)),"YES","NO")</f>
        <v>NO</v>
      </c>
      <c r="AH238" s="245" t="str">
        <f>IF(ISNUMBER(SEARCH("H", 'Dry_Litterbag Placem_Collection'!$T165)),"YES","NO")</f>
        <v>YES</v>
      </c>
      <c r="AI238" s="245" t="str">
        <f>IF(ISNUMBER(SEARCH("R", 'Dry_Litterbag Placem_Collection'!$T165)),"YES","NO")</f>
        <v>NO</v>
      </c>
      <c r="AJ238" s="245" t="str">
        <f>IF(ISNUMBER(SEARCH("C", 'Dry_Litterbag Placem_Collection'!$S165)),"YES","NO")</f>
        <v>NO</v>
      </c>
      <c r="AK238" s="245" t="str">
        <f>IF(ISNUMBER(SEARCH("H", 'Dry_Litterbag Placem_Collection'!$S165)),"YES","NO")</f>
        <v>NO</v>
      </c>
      <c r="AL238" s="245" t="str">
        <f>IF(ISNUMBER(SEARCH("R", 'Dry_Litterbag Placem_Collection'!$S165)),"YES","NO")</f>
        <v>YES</v>
      </c>
    </row>
    <row r="239" spans="2:38">
      <c r="B239" t="str">
        <f>Dryseason!B165</f>
        <v>Dry</v>
      </c>
      <c r="C239" s="253">
        <f>Dryseason!C165</f>
        <v>164</v>
      </c>
      <c r="D239" t="s">
        <v>3126</v>
      </c>
      <c r="E239" t="s">
        <v>22</v>
      </c>
      <c r="F239" s="375">
        <v>4</v>
      </c>
      <c r="G239" s="16">
        <f>IF('Dry_Litterbag Placem_Collection'!E166="","",'Dry_Litterbag Placem_Collection'!E166)</f>
        <v>42940</v>
      </c>
      <c r="H239" t="str">
        <f>Dryseason!L165</f>
        <v>G7</v>
      </c>
      <c r="I239" t="str">
        <f>Dryseason!L385</f>
        <v>R514</v>
      </c>
      <c r="J239">
        <f>IFERROR(INDEX('Green_rooibos initial weight'!$C$5:$C$2000,MATCH(H239, 'Green_rooibos initial weight'!$A$5:$A$2000,0)),"")</f>
        <v>1.974</v>
      </c>
      <c r="K239">
        <f>IFERROR(INDEX('Green_rooibos initial weight'!$C$5:$C$2000,MATCH(I239, 'Green_rooibos initial weight'!$A$5:$A$2000,0)),"")</f>
        <v>2.1059999999999999</v>
      </c>
      <c r="L239" s="194">
        <f t="shared" si="30"/>
        <v>1.7242</v>
      </c>
      <c r="M239" s="233">
        <f>AVERAGE(Ashed_controlls!$K$1:$K$11)</f>
        <v>5.5147656768714146</v>
      </c>
      <c r="N239" s="194">
        <f t="shared" si="26"/>
        <v>1.6291144101993831</v>
      </c>
      <c r="O239" s="194">
        <f t="shared" si="31"/>
        <v>1.8561999999999999</v>
      </c>
      <c r="P239" s="233">
        <f>AVERAGE(Ashed_controlls!$K$12:$K$14)</f>
        <v>2.2816647271287041</v>
      </c>
      <c r="Q239" s="194">
        <f t="shared" si="27"/>
        <v>1.8138477393350367</v>
      </c>
      <c r="R239" s="16">
        <f>IF('Dry_Litterbag Placem_Collection'!G166="","",'Dry_Litterbag Placem_Collection'!G166)</f>
        <v>43009</v>
      </c>
      <c r="S239" s="194">
        <f>IFERROR(INDEX('Both teabags AfterDry'!$D$3:$D$2000,MATCH(H239,'Both teabags AfterDry'!$A$3:$A$2000,0)),"")</f>
        <v>0.82040000000000002</v>
      </c>
      <c r="T239" s="194">
        <f>IFERROR(INDEX('Both teabags AfterDry'!$D$3:$D$2000,MATCH(I239,'Both teabags AfterDry'!$A$3:$A$2000,0)),"")</f>
        <v>1.8293999999999999</v>
      </c>
      <c r="U239" s="194">
        <f t="shared" si="32"/>
        <v>0.66979999999999995</v>
      </c>
      <c r="V239" s="194">
        <f t="shared" si="33"/>
        <v>1.6787999999999998</v>
      </c>
      <c r="W239" s="194">
        <f>IFERROR(INDEX('Ashed teabags dry'!$K$2:$K$2000,MATCH(H239,'Ashed teabags dry'!$A$2:$A$2000,0)),"")</f>
        <v>25.538020086083453</v>
      </c>
      <c r="X239" s="194">
        <f>IFERROR(INDEX('Ashed teabags dry'!$K$2:$K$2000,MATCH(I239,'Ashed teabags dry'!$A$2:$A$2000,0)),"")</f>
        <v>11.27856101118171</v>
      </c>
      <c r="Y239" s="194">
        <f t="shared" si="28"/>
        <v>0.49874634146341301</v>
      </c>
      <c r="Z239" s="194">
        <f t="shared" si="28"/>
        <v>1.4894555177442814</v>
      </c>
      <c r="AA239" s="194">
        <f t="shared" si="34"/>
        <v>0.69385431843158718</v>
      </c>
      <c r="AB239" s="194">
        <f t="shared" si="35"/>
        <v>0.45487836552759642</v>
      </c>
      <c r="AC239" s="194">
        <f t="shared" si="29"/>
        <v>0.82115796460970936</v>
      </c>
      <c r="AD239">
        <f t="shared" si="36"/>
        <v>69</v>
      </c>
      <c r="AE239" s="194">
        <f t="shared" si="37"/>
        <v>0.17594498998623842</v>
      </c>
      <c r="AF239" s="194">
        <f t="shared" si="38"/>
        <v>7.239095169778424E-3</v>
      </c>
      <c r="AG239" s="245" t="str">
        <f>IF(ISNUMBER(SEARCH("C", 'Dry_Litterbag Placem_Collection'!$T166)),"YES","NO")</f>
        <v>NO</v>
      </c>
      <c r="AH239" s="245" t="str">
        <f>IF(ISNUMBER(SEARCH("H", 'Dry_Litterbag Placem_Collection'!$T166)),"YES","NO")</f>
        <v>NO</v>
      </c>
      <c r="AI239" s="245" t="str">
        <f>IF(ISNUMBER(SEARCH("R", 'Dry_Litterbag Placem_Collection'!$T166)),"YES","NO")</f>
        <v>NO</v>
      </c>
      <c r="AJ239" s="245" t="str">
        <f>IF(ISNUMBER(SEARCH("C", 'Dry_Litterbag Placem_Collection'!$S166)),"YES","NO")</f>
        <v>NO</v>
      </c>
      <c r="AK239" s="245" t="str">
        <f>IF(ISNUMBER(SEARCH("H", 'Dry_Litterbag Placem_Collection'!$S166)),"YES","NO")</f>
        <v>NO</v>
      </c>
      <c r="AL239" s="245" t="str">
        <f>IF(ISNUMBER(SEARCH("R", 'Dry_Litterbag Placem_Collection'!$S166)),"YES","NO")</f>
        <v>YES</v>
      </c>
    </row>
    <row r="240" spans="2:38">
      <c r="B240" t="str">
        <f>Dryseason!B166</f>
        <v>Dry</v>
      </c>
      <c r="C240" s="253">
        <f>Dryseason!C166</f>
        <v>165</v>
      </c>
      <c r="D240" t="s">
        <v>3126</v>
      </c>
      <c r="E240" t="s">
        <v>22</v>
      </c>
      <c r="F240" s="375">
        <v>5</v>
      </c>
      <c r="G240" s="16">
        <f>IF('Dry_Litterbag Placem_Collection'!E167="","",'Dry_Litterbag Placem_Collection'!E167)</f>
        <v>42940</v>
      </c>
      <c r="H240" t="str">
        <f>Dryseason!L166</f>
        <v>G85</v>
      </c>
      <c r="I240" t="str">
        <f>Dryseason!L386</f>
        <v>R127</v>
      </c>
      <c r="J240">
        <f>IFERROR(INDEX('Green_rooibos initial weight'!$C$5:$C$2000,MATCH(H240, 'Green_rooibos initial weight'!$A$5:$A$2000,0)),"")</f>
        <v>2.1360000000000001</v>
      </c>
      <c r="K240">
        <f>IFERROR(INDEX('Green_rooibos initial weight'!$C$5:$C$2000,MATCH(I240, 'Green_rooibos initial weight'!$A$5:$A$2000,0)),"")</f>
        <v>2.1869999999999998</v>
      </c>
      <c r="L240" s="194">
        <f t="shared" si="30"/>
        <v>1.8862000000000001</v>
      </c>
      <c r="M240" s="233">
        <f>AVERAGE(Ashed_controlls!$K$1:$K$11)</f>
        <v>5.5147656768714146</v>
      </c>
      <c r="N240" s="194">
        <f t="shared" si="26"/>
        <v>1.7821804898028515</v>
      </c>
      <c r="O240" s="194">
        <f t="shared" si="31"/>
        <v>1.9371999999999998</v>
      </c>
      <c r="P240" s="233">
        <f>AVERAGE(Ashed_controlls!$K$12:$K$14)</f>
        <v>2.2816647271287041</v>
      </c>
      <c r="Q240" s="194">
        <f t="shared" si="27"/>
        <v>1.8929995909060626</v>
      </c>
      <c r="R240" s="16">
        <f>IF('Dry_Litterbag Placem_Collection'!G167="","",'Dry_Litterbag Placem_Collection'!G167)</f>
        <v>43009</v>
      </c>
      <c r="S240" s="194">
        <f>IFERROR(INDEX('Both teabags AfterDry'!$D$3:$D$2000,MATCH(H240,'Both teabags AfterDry'!$A$3:$A$2000,0)),"")</f>
        <v>0.84360000000000002</v>
      </c>
      <c r="T240" s="194">
        <f>IFERROR(INDEX('Both teabags AfterDry'!$D$3:$D$2000,MATCH(I240,'Both teabags AfterDry'!$A$3:$A$2000,0)),"")</f>
        <v>1.7946</v>
      </c>
      <c r="U240" s="194">
        <f t="shared" si="32"/>
        <v>0.69300000000000006</v>
      </c>
      <c r="V240" s="194">
        <f t="shared" si="33"/>
        <v>1.6439999999999999</v>
      </c>
      <c r="W240" s="194">
        <f>IFERROR(INDEX('Ashed teabags dry'!$K$2:$K$2000,MATCH(H240,'Ashed teabags dry'!$A$2:$A$2000,0)),"")</f>
        <v>25.443786982247975</v>
      </c>
      <c r="X240" s="194">
        <f>IFERROR(INDEX('Ashed teabags dry'!$K$2:$K$2000,MATCH(I240,'Ashed teabags dry'!$A$2:$A$2000,0)),"")</f>
        <v>16.392649903288074</v>
      </c>
      <c r="Y240" s="194">
        <f t="shared" si="28"/>
        <v>0.51667455621302161</v>
      </c>
      <c r="Z240" s="194">
        <f t="shared" si="28"/>
        <v>1.3745048355899441</v>
      </c>
      <c r="AA240" s="194">
        <f t="shared" si="34"/>
        <v>0.71008853526941196</v>
      </c>
      <c r="AB240" s="194">
        <f t="shared" si="35"/>
        <v>0.46552122502222737</v>
      </c>
      <c r="AC240" s="194">
        <f t="shared" si="29"/>
        <v>0.72609885506211491</v>
      </c>
      <c r="AD240">
        <f t="shared" si="36"/>
        <v>69</v>
      </c>
      <c r="AE240" s="194">
        <f t="shared" si="37"/>
        <v>0.15666444742350116</v>
      </c>
      <c r="AF240" s="194">
        <f t="shared" si="38"/>
        <v>1.2864391734823748E-2</v>
      </c>
      <c r="AG240" s="245" t="str">
        <f>IF(ISNUMBER(SEARCH("C", 'Dry_Litterbag Placem_Collection'!$T167)),"YES","NO")</f>
        <v>NO</v>
      </c>
      <c r="AH240" s="245" t="str">
        <f>IF(ISNUMBER(SEARCH("H", 'Dry_Litterbag Placem_Collection'!$T167)),"YES","NO")</f>
        <v>NO</v>
      </c>
      <c r="AI240" s="245" t="str">
        <f>IF(ISNUMBER(SEARCH("R", 'Dry_Litterbag Placem_Collection'!$T167)),"YES","NO")</f>
        <v>NO</v>
      </c>
      <c r="AJ240" s="245" t="str">
        <f>IF(ISNUMBER(SEARCH("C", 'Dry_Litterbag Placem_Collection'!$S167)),"YES","NO")</f>
        <v>NO</v>
      </c>
      <c r="AK240" s="245" t="str">
        <f>IF(ISNUMBER(SEARCH("H", 'Dry_Litterbag Placem_Collection'!$S167)),"YES","NO")</f>
        <v>NO</v>
      </c>
      <c r="AL240" s="245" t="str">
        <f>IF(ISNUMBER(SEARCH("R", 'Dry_Litterbag Placem_Collection'!$S167)),"YES","NO")</f>
        <v>NO</v>
      </c>
    </row>
    <row r="241" spans="2:38">
      <c r="B241" t="str">
        <f>Dryseason!B167</f>
        <v>Dry</v>
      </c>
      <c r="C241" s="253">
        <f>Dryseason!C167</f>
        <v>166</v>
      </c>
      <c r="D241" t="s">
        <v>3126</v>
      </c>
      <c r="E241" t="s">
        <v>22</v>
      </c>
      <c r="F241" s="375">
        <v>6</v>
      </c>
      <c r="G241" s="16">
        <f>IF('Dry_Litterbag Placem_Collection'!E168="","",'Dry_Litterbag Placem_Collection'!E168)</f>
        <v>42940</v>
      </c>
      <c r="H241" t="str">
        <f>Dryseason!L167</f>
        <v>G1</v>
      </c>
      <c r="I241" t="str">
        <f>Dryseason!L387</f>
        <v>R752</v>
      </c>
      <c r="J241">
        <f>IFERROR(INDEX('Green_rooibos initial weight'!$C$5:$C$2000,MATCH(H241, 'Green_rooibos initial weight'!$A$5:$A$2000,0)),"")</f>
        <v>1.9870000000000001</v>
      </c>
      <c r="K241">
        <f>IFERROR(INDEX('Green_rooibos initial weight'!$C$5:$C$2000,MATCH(I241, 'Green_rooibos initial weight'!$A$5:$A$2000,0)),"")</f>
        <v>2.1970000000000001</v>
      </c>
      <c r="L241" s="194">
        <f t="shared" si="30"/>
        <v>1.7372000000000001</v>
      </c>
      <c r="M241" s="233">
        <f>AVERAGE(Ashed_controlls!$K$1:$K$11)</f>
        <v>5.5147656768714146</v>
      </c>
      <c r="N241" s="194">
        <f t="shared" si="26"/>
        <v>1.64139749066139</v>
      </c>
      <c r="O241" s="194">
        <f t="shared" si="31"/>
        <v>1.9472</v>
      </c>
      <c r="P241" s="233">
        <f>AVERAGE(Ashed_controlls!$K$12:$K$14)</f>
        <v>2.2816647271287041</v>
      </c>
      <c r="Q241" s="194">
        <f t="shared" si="27"/>
        <v>1.90277142443335</v>
      </c>
      <c r="R241" s="16">
        <f>IF('Dry_Litterbag Placem_Collection'!G168="","",'Dry_Litterbag Placem_Collection'!G168)</f>
        <v>43009</v>
      </c>
      <c r="S241" s="194" t="str">
        <f>IFERROR(INDEX('Both teabags AfterDry'!$D$3:$D$2000,MATCH(H241,'Both teabags AfterDry'!$A$3:$A$2000,0)),"")</f>
        <v/>
      </c>
      <c r="T241" s="194">
        <f>IFERROR(INDEX('Both teabags AfterDry'!$D$3:$D$2000,MATCH(I241,'Both teabags AfterDry'!$A$3:$A$2000,0)),"")</f>
        <v>1.6897</v>
      </c>
      <c r="U241" s="194" t="str">
        <f t="shared" si="32"/>
        <v/>
      </c>
      <c r="V241" s="194">
        <f t="shared" si="33"/>
        <v>1.5390999999999999</v>
      </c>
      <c r="W241" s="194">
        <f>IFERROR(INDEX('Ashed teabags dry'!$K$2:$K$2000,MATCH(H241,'Ashed teabags dry'!$A$2:$A$2000,0)),"")</f>
        <v>26.737451737451874</v>
      </c>
      <c r="X241" s="194">
        <f>IFERROR(INDEX('Ashed teabags dry'!$K$2:$K$2000,MATCH(I241,'Ashed teabags dry'!$A$2:$A$2000,0)),"")</f>
        <v>8.4949215143121215</v>
      </c>
      <c r="Y241" s="194" t="str">
        <f t="shared" si="28"/>
        <v/>
      </c>
      <c r="Z241" s="194">
        <f t="shared" si="28"/>
        <v>1.408354662973222</v>
      </c>
      <c r="AA241" s="194" t="str">
        <f t="shared" si="34"/>
        <v/>
      </c>
      <c r="AB241" s="194" t="str">
        <f t="shared" si="35"/>
        <v/>
      </c>
      <c r="AC241" s="194">
        <f t="shared" si="29"/>
        <v>0.74015966652044585</v>
      </c>
      <c r="AD241">
        <f t="shared" si="36"/>
        <v>69</v>
      </c>
      <c r="AE241" s="194" t="str">
        <f t="shared" si="37"/>
        <v/>
      </c>
      <c r="AF241" s="194" t="str">
        <f t="shared" si="38"/>
        <v/>
      </c>
      <c r="AG241" s="245" t="str">
        <f>IF(ISNUMBER(SEARCH("C", 'Dry_Litterbag Placem_Collection'!$T168)),"YES","NO")</f>
        <v>NO</v>
      </c>
      <c r="AH241" s="245" t="str">
        <f>IF(ISNUMBER(SEARCH("H", 'Dry_Litterbag Placem_Collection'!$T168)),"YES","NO")</f>
        <v>NO</v>
      </c>
      <c r="AI241" s="245" t="str">
        <f>IF(ISNUMBER(SEARCH("R", 'Dry_Litterbag Placem_Collection'!$T168)),"YES","NO")</f>
        <v>NO</v>
      </c>
      <c r="AJ241" s="245" t="str">
        <f>IF(ISNUMBER(SEARCH("C", 'Dry_Litterbag Placem_Collection'!$S168)),"YES","NO")</f>
        <v>NO</v>
      </c>
      <c r="AK241" s="245" t="str">
        <f>IF(ISNUMBER(SEARCH("H", 'Dry_Litterbag Placem_Collection'!$S168)),"YES","NO")</f>
        <v>NO</v>
      </c>
      <c r="AL241" s="245" t="str">
        <f>IF(ISNUMBER(SEARCH("R", 'Dry_Litterbag Placem_Collection'!$S168)),"YES","NO")</f>
        <v>YES</v>
      </c>
    </row>
    <row r="242" spans="2:38">
      <c r="B242" t="str">
        <f>Dryseason!B168</f>
        <v>Dry</v>
      </c>
      <c r="C242" s="253">
        <f>Dryseason!C168</f>
        <v>167</v>
      </c>
      <c r="D242" t="s">
        <v>3126</v>
      </c>
      <c r="E242" t="s">
        <v>22</v>
      </c>
      <c r="F242" s="375">
        <v>7</v>
      </c>
      <c r="G242" s="16" t="str">
        <f>IF('Dry_Litterbag Placem_Collection'!E169="","",'Dry_Litterbag Placem_Collection'!E169)</f>
        <v/>
      </c>
      <c r="H242" t="str">
        <f>Dryseason!L168</f>
        <v/>
      </c>
      <c r="I242" t="str">
        <f>Dryseason!L388</f>
        <v/>
      </c>
      <c r="J242" t="str">
        <f>IFERROR(INDEX('Green_rooibos initial weight'!$C$5:$C$2000,MATCH(H242, 'Green_rooibos initial weight'!$A$5:$A$2000,0)),"")</f>
        <v/>
      </c>
      <c r="K242" t="str">
        <f>IFERROR(INDEX('Green_rooibos initial weight'!$C$5:$C$2000,MATCH(I242, 'Green_rooibos initial weight'!$A$5:$A$2000,0)),"")</f>
        <v/>
      </c>
      <c r="L242" s="194" t="str">
        <f t="shared" si="30"/>
        <v/>
      </c>
      <c r="M242" s="233">
        <f>AVERAGE(Ashed_controlls!$K$1:$K$11)</f>
        <v>5.5147656768714146</v>
      </c>
      <c r="N242" s="194" t="str">
        <f t="shared" si="26"/>
        <v/>
      </c>
      <c r="O242" s="194" t="str">
        <f t="shared" si="31"/>
        <v/>
      </c>
      <c r="P242" s="233">
        <f>AVERAGE(Ashed_controlls!$K$12:$K$14)</f>
        <v>2.2816647271287041</v>
      </c>
      <c r="Q242" s="194" t="str">
        <f t="shared" si="27"/>
        <v/>
      </c>
      <c r="R242" s="16" t="str">
        <f>IF('Dry_Litterbag Placem_Collection'!G169="","",'Dry_Litterbag Placem_Collection'!G169)</f>
        <v/>
      </c>
      <c r="S242" s="194" t="str">
        <f>IFERROR(INDEX('Both teabags AfterDry'!$D$3:$D$2000,MATCH(H242,'Both teabags AfterDry'!$A$3:$A$2000,0)),"")</f>
        <v/>
      </c>
      <c r="T242" s="194" t="str">
        <f>IFERROR(INDEX('Both teabags AfterDry'!$D$3:$D$2000,MATCH(I242,'Both teabags AfterDry'!$A$3:$A$2000,0)),"")</f>
        <v/>
      </c>
      <c r="U242" s="194" t="str">
        <f t="shared" si="32"/>
        <v/>
      </c>
      <c r="V242" s="194" t="str">
        <f t="shared" si="33"/>
        <v/>
      </c>
      <c r="W242" s="194" t="str">
        <f>IFERROR(INDEX('Ashed teabags dry'!$K$2:$K$2000,MATCH(H242,'Ashed teabags dry'!$A$2:$A$2000,0)),"")</f>
        <v/>
      </c>
      <c r="X242" s="194" t="str">
        <f>IFERROR(INDEX('Ashed teabags dry'!$K$2:$K$2000,MATCH(I242,'Ashed teabags dry'!$A$2:$A$2000,0)),"")</f>
        <v/>
      </c>
      <c r="Y242" s="194" t="str">
        <f t="shared" si="28"/>
        <v/>
      </c>
      <c r="Z242" s="194" t="str">
        <f t="shared" si="28"/>
        <v/>
      </c>
      <c r="AA242" s="194" t="str">
        <f t="shared" si="34"/>
        <v/>
      </c>
      <c r="AB242" s="194" t="str">
        <f t="shared" si="35"/>
        <v/>
      </c>
      <c r="AC242" s="194" t="str">
        <f t="shared" si="29"/>
        <v/>
      </c>
      <c r="AD242" t="str">
        <f t="shared" si="36"/>
        <v/>
      </c>
      <c r="AE242" s="194" t="str">
        <f t="shared" si="37"/>
        <v/>
      </c>
      <c r="AF242" s="194" t="str">
        <f t="shared" si="38"/>
        <v/>
      </c>
      <c r="AG242" s="245" t="str">
        <f>IF(ISNUMBER(SEARCH("C", 'Dry_Litterbag Placem_Collection'!$T169)),"YES","NO")</f>
        <v>NO</v>
      </c>
      <c r="AH242" s="245" t="str">
        <f>IF(ISNUMBER(SEARCH("H", 'Dry_Litterbag Placem_Collection'!$T169)),"YES","NO")</f>
        <v>NO</v>
      </c>
      <c r="AI242" s="245" t="str">
        <f>IF(ISNUMBER(SEARCH("R", 'Dry_Litterbag Placem_Collection'!$T169)),"YES","NO")</f>
        <v>NO</v>
      </c>
      <c r="AJ242" s="245" t="str">
        <f>IF(ISNUMBER(SEARCH("C", 'Dry_Litterbag Placem_Collection'!$S169)),"YES","NO")</f>
        <v>NO</v>
      </c>
      <c r="AK242" s="245" t="str">
        <f>IF(ISNUMBER(SEARCH("H", 'Dry_Litterbag Placem_Collection'!$S169)),"YES","NO")</f>
        <v>NO</v>
      </c>
      <c r="AL242" s="245" t="str">
        <f>IF(ISNUMBER(SEARCH("R", 'Dry_Litterbag Placem_Collection'!$S169)),"YES","NO")</f>
        <v>NO</v>
      </c>
    </row>
    <row r="243" spans="2:38">
      <c r="B243" t="str">
        <f>Dryseason!B169</f>
        <v>Dry</v>
      </c>
      <c r="C243" s="253">
        <f>Dryseason!C169</f>
        <v>168</v>
      </c>
      <c r="D243" t="s">
        <v>3126</v>
      </c>
      <c r="E243" t="s">
        <v>22</v>
      </c>
      <c r="F243" s="375">
        <v>8</v>
      </c>
      <c r="G243" s="16">
        <f>IF('Dry_Litterbag Placem_Collection'!E170="","",'Dry_Litterbag Placem_Collection'!E170)</f>
        <v>42940</v>
      </c>
      <c r="H243" t="str">
        <f>Dryseason!L169</f>
        <v>G70</v>
      </c>
      <c r="I243" t="str">
        <f>Dryseason!L389</f>
        <v>R690</v>
      </c>
      <c r="J243">
        <f>IFERROR(INDEX('Green_rooibos initial weight'!$C$5:$C$2000,MATCH(H243, 'Green_rooibos initial weight'!$A$5:$A$2000,0)),"")</f>
        <v>2.0939999999999999</v>
      </c>
      <c r="K243">
        <f>IFERROR(INDEX('Green_rooibos initial weight'!$C$5:$C$2000,MATCH(I243, 'Green_rooibos initial weight'!$A$5:$A$2000,0)),"")</f>
        <v>2.141</v>
      </c>
      <c r="L243" s="194">
        <f t="shared" si="30"/>
        <v>1.8441999999999998</v>
      </c>
      <c r="M243" s="233">
        <f>AVERAGE(Ashed_controlls!$K$1:$K$11)</f>
        <v>5.5147656768714146</v>
      </c>
      <c r="N243" s="194">
        <f t="shared" si="26"/>
        <v>1.7424966913871371</v>
      </c>
      <c r="O243" s="194">
        <f t="shared" si="31"/>
        <v>1.8912</v>
      </c>
      <c r="P243" s="233">
        <f>AVERAGE(Ashed_controlls!$K$12:$K$14)</f>
        <v>2.2816647271287041</v>
      </c>
      <c r="Q243" s="194">
        <f t="shared" si="27"/>
        <v>1.8480491566805419</v>
      </c>
      <c r="R243" s="16">
        <f>IF('Dry_Litterbag Placem_Collection'!G170="","",'Dry_Litterbag Placem_Collection'!G170)</f>
        <v>43009</v>
      </c>
      <c r="S243" s="194" t="str">
        <f>IFERROR(INDEX('Both teabags AfterDry'!$D$3:$D$2000,MATCH(H243,'Both teabags AfterDry'!$A$3:$A$2000,0)),"")</f>
        <v/>
      </c>
      <c r="T243" s="194" t="str">
        <f>IFERROR(INDEX('Both teabags AfterDry'!$D$3:$D$2000,MATCH(I243,'Both teabags AfterDry'!$A$3:$A$2000,0)),"")</f>
        <v/>
      </c>
      <c r="U243" s="194" t="str">
        <f t="shared" si="32"/>
        <v/>
      </c>
      <c r="V243" s="194" t="str">
        <f t="shared" si="33"/>
        <v/>
      </c>
      <c r="W243" s="194" t="str">
        <f>IFERROR(INDEX('Ashed teabags dry'!$K$2:$K$2000,MATCH(H243,'Ashed teabags dry'!$A$2:$A$2000,0)),"")</f>
        <v/>
      </c>
      <c r="X243" s="194" t="str">
        <f>IFERROR(INDEX('Ashed teabags dry'!$K$2:$K$2000,MATCH(I243,'Ashed teabags dry'!$A$2:$A$2000,0)),"")</f>
        <v/>
      </c>
      <c r="Y243" s="194" t="str">
        <f t="shared" si="28"/>
        <v/>
      </c>
      <c r="Z243" s="194" t="str">
        <f t="shared" si="28"/>
        <v/>
      </c>
      <c r="AA243" s="194" t="str">
        <f t="shared" si="34"/>
        <v/>
      </c>
      <c r="AB243" s="194" t="str">
        <f t="shared" si="35"/>
        <v/>
      </c>
      <c r="AC243" s="194" t="str">
        <f t="shared" si="29"/>
        <v/>
      </c>
      <c r="AD243">
        <f t="shared" si="36"/>
        <v>69</v>
      </c>
      <c r="AE243" s="194" t="str">
        <f t="shared" si="37"/>
        <v/>
      </c>
      <c r="AF243" s="194" t="str">
        <f t="shared" si="38"/>
        <v/>
      </c>
      <c r="AG243" s="245" t="str">
        <f>IF(ISNUMBER(SEARCH("C", 'Dry_Litterbag Placem_Collection'!$T170)),"YES","NO")</f>
        <v>NO</v>
      </c>
      <c r="AH243" s="245" t="str">
        <f>IF(ISNUMBER(SEARCH("H", 'Dry_Litterbag Placem_Collection'!$T170)),"YES","NO")</f>
        <v>YES</v>
      </c>
      <c r="AI243" s="245" t="str">
        <f>IF(ISNUMBER(SEARCH("R", 'Dry_Litterbag Placem_Collection'!$T170)),"YES","NO")</f>
        <v>NO</v>
      </c>
      <c r="AJ243" s="245" t="str">
        <f>IF(ISNUMBER(SEARCH("C", 'Dry_Litterbag Placem_Collection'!$S170)),"YES","NO")</f>
        <v>NO</v>
      </c>
      <c r="AK243" s="245" t="str">
        <f>IF(ISNUMBER(SEARCH("H", 'Dry_Litterbag Placem_Collection'!$S170)),"YES","NO")</f>
        <v>NO</v>
      </c>
      <c r="AL243" s="245" t="str">
        <f>IF(ISNUMBER(SEARCH("R", 'Dry_Litterbag Placem_Collection'!$S170)),"YES","NO")</f>
        <v>YES</v>
      </c>
    </row>
    <row r="244" spans="2:38">
      <c r="B244" t="str">
        <f>Dryseason!B170</f>
        <v>Dry</v>
      </c>
      <c r="C244" s="253">
        <f>Dryseason!C170</f>
        <v>169</v>
      </c>
      <c r="D244" t="s">
        <v>3128</v>
      </c>
      <c r="E244" t="s">
        <v>22</v>
      </c>
      <c r="F244" s="374">
        <v>1</v>
      </c>
      <c r="G244" s="16">
        <f>IF('Dry_Litterbag Placem_Collection'!E171="","",'Dry_Litterbag Placem_Collection'!E171)</f>
        <v>42940</v>
      </c>
      <c r="H244" t="str">
        <f>Dryseason!L170</f>
        <v>G250</v>
      </c>
      <c r="I244" t="str">
        <f>Dryseason!L390</f>
        <v>R684</v>
      </c>
      <c r="J244">
        <f>IFERROR(INDEX('Green_rooibos initial weight'!$C$5:$C$2000,MATCH(H244, 'Green_rooibos initial weight'!$A$5:$A$2000,0)),"")</f>
        <v>2.0139999999999998</v>
      </c>
      <c r="K244">
        <f>IFERROR(INDEX('Green_rooibos initial weight'!$C$5:$C$2000,MATCH(I244, 'Green_rooibos initial weight'!$A$5:$A$2000,0)),"")</f>
        <v>2.1139999999999999</v>
      </c>
      <c r="L244" s="194">
        <f t="shared" si="30"/>
        <v>1.7641999999999998</v>
      </c>
      <c r="M244" s="233">
        <f>AVERAGE(Ashed_controlls!$K$1:$K$11)</f>
        <v>5.5147656768714146</v>
      </c>
      <c r="N244" s="194">
        <f t="shared" si="26"/>
        <v>1.6669085039286342</v>
      </c>
      <c r="O244" s="194">
        <f t="shared" si="31"/>
        <v>1.8641999999999999</v>
      </c>
      <c r="P244" s="233">
        <f>AVERAGE(Ashed_controlls!$K$12:$K$14)</f>
        <v>2.2816647271287041</v>
      </c>
      <c r="Q244" s="194">
        <f t="shared" si="27"/>
        <v>1.8216652061568666</v>
      </c>
      <c r="R244" s="16">
        <f>IF('Dry_Litterbag Placem_Collection'!G171="","",'Dry_Litterbag Placem_Collection'!G171)</f>
        <v>43009</v>
      </c>
      <c r="S244" s="194">
        <f>IFERROR(INDEX('Both teabags AfterDry'!$D$3:$D$2000,MATCH(H244,'Both teabags AfterDry'!$A$3:$A$2000,0)),"")</f>
        <v>0.80610000000000004</v>
      </c>
      <c r="T244" s="194">
        <f>IFERROR(INDEX('Both teabags AfterDry'!$D$3:$D$2000,MATCH(I244,'Both teabags AfterDry'!$A$3:$A$2000,0)),"")</f>
        <v>1.8154999999999999</v>
      </c>
      <c r="U244" s="194">
        <f t="shared" si="32"/>
        <v>0.65549999999999997</v>
      </c>
      <c r="V244" s="194">
        <f t="shared" si="33"/>
        <v>1.6648999999999998</v>
      </c>
      <c r="W244" s="194">
        <f>IFERROR(INDEX('Ashed teabags dry'!$K$2:$K$2000,MATCH(H244,'Ashed teabags dry'!$A$2:$A$2000,0)),"")</f>
        <v>17.823265102348216</v>
      </c>
      <c r="X244" s="194">
        <f>IFERROR(INDEX('Ashed teabags dry'!$K$2:$K$2000,MATCH(I244,'Ashed teabags dry'!$A$2:$A$2000,0)),"")</f>
        <v>11.642512077294652</v>
      </c>
      <c r="Y244" s="194">
        <f t="shared" si="28"/>
        <v>0.53866849725410737</v>
      </c>
      <c r="Z244" s="194">
        <f t="shared" si="28"/>
        <v>1.4710638164251213</v>
      </c>
      <c r="AA244" s="194">
        <f t="shared" si="34"/>
        <v>0.67684579208483686</v>
      </c>
      <c r="AB244" s="194">
        <f t="shared" si="35"/>
        <v>0.44372788269694774</v>
      </c>
      <c r="AC244" s="194">
        <f t="shared" si="29"/>
        <v>0.80753796661055932</v>
      </c>
      <c r="AD244">
        <f t="shared" si="36"/>
        <v>69</v>
      </c>
      <c r="AE244" s="194">
        <f t="shared" si="37"/>
        <v>0.19614514004176142</v>
      </c>
      <c r="AF244" s="194">
        <f t="shared" si="38"/>
        <v>8.2420283845384256E-3</v>
      </c>
      <c r="AG244" s="245" t="str">
        <f>IF(ISNUMBER(SEARCH("C", 'Dry_Litterbag Placem_Collection'!$T171)),"YES","NO")</f>
        <v>YES</v>
      </c>
      <c r="AH244" s="245" t="str">
        <f>IF(ISNUMBER(SEARCH("H", 'Dry_Litterbag Placem_Collection'!$T171)),"YES","NO")</f>
        <v>NO</v>
      </c>
      <c r="AI244" s="245" t="str">
        <f>IF(ISNUMBER(SEARCH("R", 'Dry_Litterbag Placem_Collection'!$T171)),"YES","NO")</f>
        <v>NO</v>
      </c>
      <c r="AJ244" s="245" t="str">
        <f>IF(ISNUMBER(SEARCH("C", 'Dry_Litterbag Placem_Collection'!$S171)),"YES","NO")</f>
        <v>NO</v>
      </c>
      <c r="AK244" s="245" t="str">
        <f>IF(ISNUMBER(SEARCH("H", 'Dry_Litterbag Placem_Collection'!$S171)),"YES","NO")</f>
        <v>NO</v>
      </c>
      <c r="AL244" s="245" t="str">
        <f>IF(ISNUMBER(SEARCH("R", 'Dry_Litterbag Placem_Collection'!$S171)),"YES","NO")</f>
        <v>YES</v>
      </c>
    </row>
    <row r="245" spans="2:38">
      <c r="B245" t="str">
        <f>Dryseason!B171</f>
        <v>Dry</v>
      </c>
      <c r="C245" s="253">
        <f>Dryseason!C171</f>
        <v>170</v>
      </c>
      <c r="D245" t="s">
        <v>3128</v>
      </c>
      <c r="E245" t="s">
        <v>22</v>
      </c>
      <c r="F245" s="374">
        <v>2</v>
      </c>
      <c r="G245" s="16">
        <f>IF('Dry_Litterbag Placem_Collection'!E172="","",'Dry_Litterbag Placem_Collection'!E172)</f>
        <v>42940</v>
      </c>
      <c r="H245" t="str">
        <f>Dryseason!L171</f>
        <v>G624</v>
      </c>
      <c r="I245" t="str">
        <f>Dryseason!L391</f>
        <v>R694</v>
      </c>
      <c r="J245">
        <f>IFERROR(INDEX('Green_rooibos initial weight'!$C$5:$C$2000,MATCH(H245, 'Green_rooibos initial weight'!$A$5:$A$2000,0)),"")</f>
        <v>2.024</v>
      </c>
      <c r="K245">
        <f>IFERROR(INDEX('Green_rooibos initial weight'!$C$5:$C$2000,MATCH(I245, 'Green_rooibos initial weight'!$A$5:$A$2000,0)),"")</f>
        <v>2.23</v>
      </c>
      <c r="L245" s="194">
        <f t="shared" si="30"/>
        <v>1.7742</v>
      </c>
      <c r="M245" s="233">
        <f>AVERAGE(Ashed_controlls!$K$1:$K$11)</f>
        <v>5.5147656768714146</v>
      </c>
      <c r="N245" s="194">
        <f t="shared" si="26"/>
        <v>1.6763570273609474</v>
      </c>
      <c r="O245" s="194">
        <f t="shared" si="31"/>
        <v>1.9802</v>
      </c>
      <c r="P245" s="233">
        <f>AVERAGE(Ashed_controlls!$K$12:$K$14)</f>
        <v>2.2816647271287041</v>
      </c>
      <c r="Q245" s="194">
        <f t="shared" si="27"/>
        <v>1.9350184750733974</v>
      </c>
      <c r="R245" s="16">
        <f>IF('Dry_Litterbag Placem_Collection'!G172="","",'Dry_Litterbag Placem_Collection'!G172)</f>
        <v>43009</v>
      </c>
      <c r="S245" s="194">
        <f>IFERROR(INDEX('Both teabags AfterDry'!$D$3:$D$2000,MATCH(H245,'Both teabags AfterDry'!$A$3:$A$2000,0)),"")</f>
        <v>0.94779999999999998</v>
      </c>
      <c r="T245" s="194">
        <f>IFERROR(INDEX('Both teabags AfterDry'!$D$3:$D$2000,MATCH(I245,'Both teabags AfterDry'!$A$3:$A$2000,0)),"")</f>
        <v>1.7605</v>
      </c>
      <c r="U245" s="194">
        <f t="shared" si="32"/>
        <v>0.79719999999999991</v>
      </c>
      <c r="V245" s="194">
        <f t="shared" si="33"/>
        <v>1.6098999999999999</v>
      </c>
      <c r="W245" s="194">
        <f>IFERROR(INDEX('Ashed teabags dry'!$K$2:$K$2000,MATCH(H245,'Ashed teabags dry'!$A$2:$A$2000,0)),"")</f>
        <v>29.054385105340501</v>
      </c>
      <c r="X245" s="194">
        <f>IFERROR(INDEX('Ashed teabags dry'!$K$2:$K$2000,MATCH(I245,'Ashed teabags dry'!$A$2:$A$2000,0)),"")</f>
        <v>4.9253731343281189</v>
      </c>
      <c r="Y245" s="194">
        <f t="shared" si="28"/>
        <v>0.56557844194022544</v>
      </c>
      <c r="Z245" s="194">
        <f t="shared" si="28"/>
        <v>1.5306064179104515</v>
      </c>
      <c r="AA245" s="194">
        <f t="shared" si="34"/>
        <v>0.66261456676051678</v>
      </c>
      <c r="AB245" s="194">
        <f t="shared" si="35"/>
        <v>0.4343981482800538</v>
      </c>
      <c r="AC245" s="194">
        <f t="shared" si="29"/>
        <v>0.79100351631133337</v>
      </c>
      <c r="AD245">
        <f t="shared" si="36"/>
        <v>69</v>
      </c>
      <c r="AE245" s="194">
        <f t="shared" si="37"/>
        <v>0.21304683282598957</v>
      </c>
      <c r="AF245" s="194">
        <f t="shared" si="38"/>
        <v>9.508369844495922E-3</v>
      </c>
      <c r="AG245" s="245" t="str">
        <f>IF(ISNUMBER(SEARCH("C", 'Dry_Litterbag Placem_Collection'!$T172)),"YES","NO")</f>
        <v>NO</v>
      </c>
      <c r="AH245" s="245" t="str">
        <f>IF(ISNUMBER(SEARCH("H", 'Dry_Litterbag Placem_Collection'!$T172)),"YES","NO")</f>
        <v>NO</v>
      </c>
      <c r="AI245" s="245" t="str">
        <f>IF(ISNUMBER(SEARCH("R", 'Dry_Litterbag Placem_Collection'!$T172)),"YES","NO")</f>
        <v>YES</v>
      </c>
      <c r="AJ245" s="245" t="str">
        <f>IF(ISNUMBER(SEARCH("C", 'Dry_Litterbag Placem_Collection'!$S172)),"YES","NO")</f>
        <v>NO</v>
      </c>
      <c r="AK245" s="245" t="str">
        <f>IF(ISNUMBER(SEARCH("H", 'Dry_Litterbag Placem_Collection'!$S172)),"YES","NO")</f>
        <v>YES</v>
      </c>
      <c r="AL245" s="245" t="str">
        <f>IF(ISNUMBER(SEARCH("R", 'Dry_Litterbag Placem_Collection'!$S172)),"YES","NO")</f>
        <v>YES</v>
      </c>
    </row>
    <row r="246" spans="2:38">
      <c r="B246" t="str">
        <f>Dryseason!B172</f>
        <v>Dry</v>
      </c>
      <c r="C246" s="253">
        <f>Dryseason!C172</f>
        <v>171</v>
      </c>
      <c r="D246" t="s">
        <v>3128</v>
      </c>
      <c r="E246" t="s">
        <v>22</v>
      </c>
      <c r="F246" s="374">
        <v>3</v>
      </c>
      <c r="G246" s="16">
        <f>IF('Dry_Litterbag Placem_Collection'!E173="","",'Dry_Litterbag Placem_Collection'!E173)</f>
        <v>42940</v>
      </c>
      <c r="H246" t="str">
        <f>Dryseason!L172</f>
        <v>G149</v>
      </c>
      <c r="I246" t="str">
        <f>Dryseason!L392</f>
        <v>R655</v>
      </c>
      <c r="J246">
        <f>IFERROR(INDEX('Green_rooibos initial weight'!$C$5:$C$2000,MATCH(H246, 'Green_rooibos initial weight'!$A$5:$A$2000,0)),"")</f>
        <v>2.1789999999999998</v>
      </c>
      <c r="K246">
        <f>IFERROR(INDEX('Green_rooibos initial weight'!$C$5:$C$2000,MATCH(I246, 'Green_rooibos initial weight'!$A$5:$A$2000,0)),"")</f>
        <v>2.1779999999999999</v>
      </c>
      <c r="L246" s="194">
        <f t="shared" si="30"/>
        <v>1.9291999999999998</v>
      </c>
      <c r="M246" s="233">
        <f>AVERAGE(Ashed_controlls!$K$1:$K$11)</f>
        <v>5.5147656768714146</v>
      </c>
      <c r="N246" s="194">
        <f t="shared" si="26"/>
        <v>1.8228091405617965</v>
      </c>
      <c r="O246" s="194">
        <f t="shared" si="31"/>
        <v>1.9281999999999999</v>
      </c>
      <c r="P246" s="233">
        <f>AVERAGE(Ashed_controlls!$K$12:$K$14)</f>
        <v>2.2816647271287041</v>
      </c>
      <c r="Q246" s="194">
        <f t="shared" si="27"/>
        <v>1.8842049407315042</v>
      </c>
      <c r="R246" s="16">
        <f>IF('Dry_Litterbag Placem_Collection'!G173="","",'Dry_Litterbag Placem_Collection'!G173)</f>
        <v>43009</v>
      </c>
      <c r="S246" s="194">
        <f>IFERROR(INDEX('Both teabags AfterDry'!$D$3:$D$2000,MATCH(H246,'Both teabags AfterDry'!$A$3:$A$2000,0)),"")</f>
        <v>0.75890000000000002</v>
      </c>
      <c r="T246" s="194">
        <f>IFERROR(INDEX('Both teabags AfterDry'!$D$3:$D$2000,MATCH(I246,'Both teabags AfterDry'!$A$3:$A$2000,0)),"")</f>
        <v>3.7545000000000002</v>
      </c>
      <c r="U246" s="194">
        <f t="shared" si="32"/>
        <v>0.60830000000000006</v>
      </c>
      <c r="V246" s="194">
        <f t="shared" si="33"/>
        <v>3.6039000000000003</v>
      </c>
      <c r="W246" s="194">
        <f>IFERROR(INDEX('Ashed teabags dry'!$K$2:$K$2000,MATCH(H246,'Ashed teabags dry'!$A$2:$A$2000,0)),"")</f>
        <v>19.04525111884687</v>
      </c>
      <c r="X246" s="194">
        <f>IFERROR(INDEX('Ashed teabags dry'!$K$2:$K$2000,MATCH(I246,'Ashed teabags dry'!$A$2:$A$2000,0)),"")</f>
        <v>89.436947417404014</v>
      </c>
      <c r="Y246" s="194">
        <f t="shared" si="28"/>
        <v>0.49244773744405457</v>
      </c>
      <c r="Z246" s="194">
        <f t="shared" si="28"/>
        <v>0.38068185202417704</v>
      </c>
      <c r="AA246" s="194">
        <f t="shared" si="34"/>
        <v>0.72984130566062433</v>
      </c>
      <c r="AB246" s="194">
        <f t="shared" si="35"/>
        <v>0.47847078470862792</v>
      </c>
      <c r="AC246" s="194">
        <f t="shared" si="29"/>
        <v>0.20203845335231158</v>
      </c>
      <c r="AD246">
        <f t="shared" si="36"/>
        <v>69</v>
      </c>
      <c r="AE246" s="194">
        <f t="shared" si="37"/>
        <v>0.13320510016552922</v>
      </c>
      <c r="AF246" s="194" t="str">
        <f t="shared" si="38"/>
        <v/>
      </c>
      <c r="AG246" s="245" t="str">
        <f>IF(ISNUMBER(SEARCH("C", 'Dry_Litterbag Placem_Collection'!$T173)),"YES","NO")</f>
        <v>NO</v>
      </c>
      <c r="AH246" s="245" t="str">
        <f>IF(ISNUMBER(SEARCH("H", 'Dry_Litterbag Placem_Collection'!$T173)),"YES","NO")</f>
        <v>YES</v>
      </c>
      <c r="AI246" s="245" t="str">
        <f>IF(ISNUMBER(SEARCH("R", 'Dry_Litterbag Placem_Collection'!$T173)),"YES","NO")</f>
        <v>YES</v>
      </c>
      <c r="AJ246" s="245" t="str">
        <f>IF(ISNUMBER(SEARCH("C", 'Dry_Litterbag Placem_Collection'!$S173)),"YES","NO")</f>
        <v>NO</v>
      </c>
      <c r="AK246" s="245" t="str">
        <f>IF(ISNUMBER(SEARCH("H", 'Dry_Litterbag Placem_Collection'!$S173)),"YES","NO")</f>
        <v>NO</v>
      </c>
      <c r="AL246" s="245" t="str">
        <f>IF(ISNUMBER(SEARCH("R", 'Dry_Litterbag Placem_Collection'!$S173)),"YES","NO")</f>
        <v>YES</v>
      </c>
    </row>
    <row r="247" spans="2:38">
      <c r="B247" t="str">
        <f>Dryseason!B173</f>
        <v>Dry</v>
      </c>
      <c r="C247" s="253">
        <f>Dryseason!C173</f>
        <v>172</v>
      </c>
      <c r="D247" t="s">
        <v>3128</v>
      </c>
      <c r="E247" t="s">
        <v>22</v>
      </c>
      <c r="F247" s="375">
        <v>4</v>
      </c>
      <c r="G247" s="16" t="str">
        <f>IF('Dry_Litterbag Placem_Collection'!E174="","",'Dry_Litterbag Placem_Collection'!E174)</f>
        <v/>
      </c>
      <c r="H247" t="str">
        <f>Dryseason!L173</f>
        <v/>
      </c>
      <c r="I247" t="str">
        <f>Dryseason!L393</f>
        <v/>
      </c>
      <c r="J247" t="str">
        <f>IFERROR(INDEX('Green_rooibos initial weight'!$C$5:$C$2000,MATCH(H247, 'Green_rooibos initial weight'!$A$5:$A$2000,0)),"")</f>
        <v/>
      </c>
      <c r="K247" t="str">
        <f>IFERROR(INDEX('Green_rooibos initial weight'!$C$5:$C$2000,MATCH(I247, 'Green_rooibos initial weight'!$A$5:$A$2000,0)),"")</f>
        <v/>
      </c>
      <c r="L247" s="194" t="str">
        <f t="shared" si="30"/>
        <v/>
      </c>
      <c r="M247" s="233">
        <f>AVERAGE(Ashed_controlls!$K$1:$K$11)</f>
        <v>5.5147656768714146</v>
      </c>
      <c r="N247" s="194" t="str">
        <f t="shared" si="26"/>
        <v/>
      </c>
      <c r="O247" s="194" t="str">
        <f t="shared" si="31"/>
        <v/>
      </c>
      <c r="P247" s="233">
        <f>AVERAGE(Ashed_controlls!$K$12:$K$14)</f>
        <v>2.2816647271287041</v>
      </c>
      <c r="Q247" s="194" t="str">
        <f t="shared" si="27"/>
        <v/>
      </c>
      <c r="R247" s="16" t="str">
        <f>IF('Dry_Litterbag Placem_Collection'!G174="","",'Dry_Litterbag Placem_Collection'!G174)</f>
        <v/>
      </c>
      <c r="S247" s="194" t="str">
        <f>IFERROR(INDEX('Both teabags AfterDry'!$D$3:$D$2000,MATCH(H247,'Both teabags AfterDry'!$A$3:$A$2000,0)),"")</f>
        <v/>
      </c>
      <c r="T247" s="194" t="str">
        <f>IFERROR(INDEX('Both teabags AfterDry'!$D$3:$D$2000,MATCH(I247,'Both teabags AfterDry'!$A$3:$A$2000,0)),"")</f>
        <v/>
      </c>
      <c r="U247" s="194" t="str">
        <f t="shared" si="32"/>
        <v/>
      </c>
      <c r="V247" s="194" t="str">
        <f t="shared" si="33"/>
        <v/>
      </c>
      <c r="W247" s="194" t="str">
        <f>IFERROR(INDEX('Ashed teabags dry'!$K$2:$K$2000,MATCH(H247,'Ashed teabags dry'!$A$2:$A$2000,0)),"")</f>
        <v/>
      </c>
      <c r="X247" s="194" t="str">
        <f>IFERROR(INDEX('Ashed teabags dry'!$K$2:$K$2000,MATCH(I247,'Ashed teabags dry'!$A$2:$A$2000,0)),"")</f>
        <v/>
      </c>
      <c r="Y247" s="194" t="str">
        <f t="shared" si="28"/>
        <v/>
      </c>
      <c r="Z247" s="194" t="str">
        <f t="shared" si="28"/>
        <v/>
      </c>
      <c r="AA247" s="194" t="str">
        <f t="shared" si="34"/>
        <v/>
      </c>
      <c r="AB247" s="194" t="str">
        <f t="shared" si="35"/>
        <v/>
      </c>
      <c r="AC247" s="194" t="str">
        <f t="shared" si="29"/>
        <v/>
      </c>
      <c r="AD247" t="str">
        <f t="shared" si="36"/>
        <v/>
      </c>
      <c r="AE247" s="194" t="str">
        <f t="shared" si="37"/>
        <v/>
      </c>
      <c r="AF247" s="194" t="str">
        <f t="shared" si="38"/>
        <v/>
      </c>
      <c r="AG247" s="245" t="str">
        <f>IF(ISNUMBER(SEARCH("C", 'Dry_Litterbag Placem_Collection'!$T174)),"YES","NO")</f>
        <v>NO</v>
      </c>
      <c r="AH247" s="245" t="str">
        <f>IF(ISNUMBER(SEARCH("H", 'Dry_Litterbag Placem_Collection'!$T174)),"YES","NO")</f>
        <v>NO</v>
      </c>
      <c r="AI247" s="245" t="str">
        <f>IF(ISNUMBER(SEARCH("R", 'Dry_Litterbag Placem_Collection'!$T174)),"YES","NO")</f>
        <v>NO</v>
      </c>
      <c r="AJ247" s="245" t="str">
        <f>IF(ISNUMBER(SEARCH("C", 'Dry_Litterbag Placem_Collection'!$S174)),"YES","NO")</f>
        <v>NO</v>
      </c>
      <c r="AK247" s="245" t="str">
        <f>IF(ISNUMBER(SEARCH("H", 'Dry_Litterbag Placem_Collection'!$S174)),"YES","NO")</f>
        <v>NO</v>
      </c>
      <c r="AL247" s="245" t="str">
        <f>IF(ISNUMBER(SEARCH("R", 'Dry_Litterbag Placem_Collection'!$S174)),"YES","NO")</f>
        <v>NO</v>
      </c>
    </row>
    <row r="248" spans="2:38">
      <c r="B248" t="str">
        <f>Dryseason!B174</f>
        <v>Dry</v>
      </c>
      <c r="C248" s="253">
        <f>Dryseason!C174</f>
        <v>173</v>
      </c>
      <c r="D248" t="s">
        <v>3128</v>
      </c>
      <c r="E248" t="s">
        <v>22</v>
      </c>
      <c r="F248" s="375">
        <v>5</v>
      </c>
      <c r="G248" s="16">
        <f>IF('Dry_Litterbag Placem_Collection'!E175="","",'Dry_Litterbag Placem_Collection'!E175)</f>
        <v>42940</v>
      </c>
      <c r="H248" t="str">
        <f>Dryseason!L174</f>
        <v>G597</v>
      </c>
      <c r="I248" t="str">
        <f>Dryseason!L394</f>
        <v>R405</v>
      </c>
      <c r="J248">
        <f>IFERROR(INDEX('Green_rooibos initial weight'!$C$5:$C$2000,MATCH(H248, 'Green_rooibos initial weight'!$A$5:$A$2000,0)),"")</f>
        <v>1.948</v>
      </c>
      <c r="K248">
        <f>IFERROR(INDEX('Green_rooibos initial weight'!$C$5:$C$2000,MATCH(I248, 'Green_rooibos initial weight'!$A$5:$A$2000,0)),"")</f>
        <v>2.2400000000000002</v>
      </c>
      <c r="L248" s="194">
        <f t="shared" si="30"/>
        <v>1.6981999999999999</v>
      </c>
      <c r="M248" s="233">
        <f>AVERAGE(Ashed_controlls!$K$1:$K$11)</f>
        <v>5.5147656768714146</v>
      </c>
      <c r="N248" s="194">
        <f t="shared" si="26"/>
        <v>1.6045482492753695</v>
      </c>
      <c r="O248" s="194">
        <f t="shared" si="31"/>
        <v>1.9902000000000002</v>
      </c>
      <c r="P248" s="233">
        <f>AVERAGE(Ashed_controlls!$K$12:$K$14)</f>
        <v>2.2816647271287041</v>
      </c>
      <c r="Q248" s="194">
        <f t="shared" si="27"/>
        <v>1.9447903086006848</v>
      </c>
      <c r="R248" s="16">
        <f>IF('Dry_Litterbag Placem_Collection'!G175="","",'Dry_Litterbag Placem_Collection'!G175)</f>
        <v>43009</v>
      </c>
      <c r="S248" s="194" t="str">
        <f>IFERROR(INDEX('Both teabags AfterDry'!$D$3:$D$2000,MATCH(H248,'Both teabags AfterDry'!$A$3:$A$2000,0)),"")</f>
        <v/>
      </c>
      <c r="T248" s="194" t="str">
        <f>IFERROR(INDEX('Both teabags AfterDry'!$D$3:$D$2000,MATCH(I248,'Both teabags AfterDry'!$A$3:$A$2000,0)),"")</f>
        <v/>
      </c>
      <c r="U248" s="194" t="str">
        <f t="shared" si="32"/>
        <v/>
      </c>
      <c r="V248" s="194" t="str">
        <f t="shared" si="33"/>
        <v/>
      </c>
      <c r="W248" s="194" t="str">
        <f>IFERROR(INDEX('Ashed teabags dry'!$K$2:$K$2000,MATCH(H248,'Ashed teabags dry'!$A$2:$A$2000,0)),"")</f>
        <v/>
      </c>
      <c r="X248" s="194" t="str">
        <f>IFERROR(INDEX('Ashed teabags dry'!$K$2:$K$2000,MATCH(I248,'Ashed teabags dry'!$A$2:$A$2000,0)),"")</f>
        <v/>
      </c>
      <c r="Y248" s="194" t="str">
        <f t="shared" si="28"/>
        <v/>
      </c>
      <c r="Z248" s="194" t="str">
        <f t="shared" si="28"/>
        <v/>
      </c>
      <c r="AA248" s="194" t="str">
        <f t="shared" si="34"/>
        <v/>
      </c>
      <c r="AB248" s="194" t="str">
        <f t="shared" si="35"/>
        <v/>
      </c>
      <c r="AC248" s="194" t="str">
        <f t="shared" si="29"/>
        <v/>
      </c>
      <c r="AD248">
        <f t="shared" si="36"/>
        <v>69</v>
      </c>
      <c r="AE248" s="194" t="str">
        <f t="shared" si="37"/>
        <v/>
      </c>
      <c r="AF248" s="194" t="str">
        <f t="shared" si="38"/>
        <v/>
      </c>
      <c r="AG248" s="245" t="str">
        <f>IF(ISNUMBER(SEARCH("C", 'Dry_Litterbag Placem_Collection'!$T175)),"YES","NO")</f>
        <v>NO</v>
      </c>
      <c r="AH248" s="245" t="str">
        <f>IF(ISNUMBER(SEARCH("H", 'Dry_Litterbag Placem_Collection'!$T175)),"YES","NO")</f>
        <v>YES</v>
      </c>
      <c r="AI248" s="245" t="str">
        <f>IF(ISNUMBER(SEARCH("R", 'Dry_Litterbag Placem_Collection'!$T175)),"YES","NO")</f>
        <v>YES</v>
      </c>
      <c r="AJ248" s="245" t="str">
        <f>IF(ISNUMBER(SEARCH("C", 'Dry_Litterbag Placem_Collection'!$S175)),"YES","NO")</f>
        <v>NO</v>
      </c>
      <c r="AK248" s="245" t="str">
        <f>IF(ISNUMBER(SEARCH("H", 'Dry_Litterbag Placem_Collection'!$S175)),"YES","NO")</f>
        <v>YES</v>
      </c>
      <c r="AL248" s="245" t="str">
        <f>IF(ISNUMBER(SEARCH("R", 'Dry_Litterbag Placem_Collection'!$S175)),"YES","NO")</f>
        <v>YES</v>
      </c>
    </row>
    <row r="249" spans="2:38">
      <c r="B249" t="str">
        <f>Dryseason!B175</f>
        <v>Dry</v>
      </c>
      <c r="C249" s="253">
        <f>Dryseason!C175</f>
        <v>174</v>
      </c>
      <c r="D249" t="s">
        <v>3128</v>
      </c>
      <c r="E249" t="s">
        <v>22</v>
      </c>
      <c r="F249" s="375">
        <v>6</v>
      </c>
      <c r="G249" s="16">
        <f>IF('Dry_Litterbag Placem_Collection'!E176="","",'Dry_Litterbag Placem_Collection'!E176)</f>
        <v>42940</v>
      </c>
      <c r="H249" t="str">
        <f>Dryseason!L175</f>
        <v>G396</v>
      </c>
      <c r="I249" t="str">
        <f>Dryseason!L395</f>
        <v>R736</v>
      </c>
      <c r="J249">
        <f>IFERROR(INDEX('Green_rooibos initial weight'!$C$5:$C$2000,MATCH(H249, 'Green_rooibos initial weight'!$A$5:$A$2000,0)),"")</f>
        <v>2.0070000000000001</v>
      </c>
      <c r="K249">
        <f>IFERROR(INDEX('Green_rooibos initial weight'!$C$5:$C$2000,MATCH(I249, 'Green_rooibos initial weight'!$A$5:$A$2000,0)),"")</f>
        <v>2.2189999999999999</v>
      </c>
      <c r="L249" s="194">
        <f t="shared" si="30"/>
        <v>1.7572000000000001</v>
      </c>
      <c r="M249" s="233">
        <f>AVERAGE(Ashed_controlls!$K$1:$K$11)</f>
        <v>5.5147656768714146</v>
      </c>
      <c r="N249" s="194">
        <f t="shared" si="26"/>
        <v>1.6602945375260156</v>
      </c>
      <c r="O249" s="194">
        <f t="shared" si="31"/>
        <v>1.9691999999999998</v>
      </c>
      <c r="P249" s="233">
        <f>AVERAGE(Ashed_controlls!$K$12:$K$14)</f>
        <v>2.2816647271287041</v>
      </c>
      <c r="Q249" s="194">
        <f t="shared" si="27"/>
        <v>1.9242694581933815</v>
      </c>
      <c r="R249" s="16">
        <f>IF('Dry_Litterbag Placem_Collection'!G176="","",'Dry_Litterbag Placem_Collection'!G176)</f>
        <v>43009</v>
      </c>
      <c r="S249" s="194">
        <f>IFERROR(INDEX('Both teabags AfterDry'!$D$3:$D$2000,MATCH(H249,'Both teabags AfterDry'!$A$3:$A$2000,0)),"")</f>
        <v>0.80349999999999999</v>
      </c>
      <c r="T249" s="194">
        <f>IFERROR(INDEX('Both teabags AfterDry'!$D$3:$D$2000,MATCH(I249,'Both teabags AfterDry'!$A$3:$A$2000,0)),"")</f>
        <v>1.6238999999999999</v>
      </c>
      <c r="U249" s="194">
        <f t="shared" si="32"/>
        <v>0.65290000000000004</v>
      </c>
      <c r="V249" s="194">
        <f t="shared" si="33"/>
        <v>1.4732999999999998</v>
      </c>
      <c r="W249" s="194">
        <f>IFERROR(INDEX('Ashed teabags dry'!$K$2:$K$2000,MATCH(H249,'Ashed teabags dry'!$A$2:$A$2000,0)),"")</f>
        <v>24.860074626865973</v>
      </c>
      <c r="X249" s="194">
        <f>IFERROR(INDEX('Ashed teabags dry'!$K$2:$K$2000,MATCH(I249,'Ashed teabags dry'!$A$2:$A$2000,0)),"")</f>
        <v>10.510638297872269</v>
      </c>
      <c r="Y249" s="194">
        <f t="shared" si="28"/>
        <v>0.49058857276119205</v>
      </c>
      <c r="Z249" s="194">
        <f t="shared" si="28"/>
        <v>1.3184467659574477</v>
      </c>
      <c r="AA249" s="194">
        <f t="shared" si="34"/>
        <v>0.70451714339058658</v>
      </c>
      <c r="AB249" s="194">
        <f t="shared" si="35"/>
        <v>0.46186872108266486</v>
      </c>
      <c r="AC249" s="194">
        <f t="shared" si="29"/>
        <v>0.68516743346084386</v>
      </c>
      <c r="AD249">
        <f t="shared" si="36"/>
        <v>69</v>
      </c>
      <c r="AE249" s="194">
        <f t="shared" si="37"/>
        <v>0.16328130238647676</v>
      </c>
      <c r="AF249" s="194">
        <f t="shared" si="38"/>
        <v>1.6588437556348069E-2</v>
      </c>
      <c r="AG249" s="245" t="str">
        <f>IF(ISNUMBER(SEARCH("C", 'Dry_Litterbag Placem_Collection'!$T176)),"YES","NO")</f>
        <v>NO</v>
      </c>
      <c r="AH249" s="245" t="str">
        <f>IF(ISNUMBER(SEARCH("H", 'Dry_Litterbag Placem_Collection'!$T176)),"YES","NO")</f>
        <v>NO</v>
      </c>
      <c r="AI249" s="245" t="str">
        <f>IF(ISNUMBER(SEARCH("R", 'Dry_Litterbag Placem_Collection'!$T176)),"YES","NO")</f>
        <v>YES</v>
      </c>
      <c r="AJ249" s="245" t="str">
        <f>IF(ISNUMBER(SEARCH("C", 'Dry_Litterbag Placem_Collection'!$S176)),"YES","NO")</f>
        <v>NO</v>
      </c>
      <c r="AK249" s="245" t="str">
        <f>IF(ISNUMBER(SEARCH("H", 'Dry_Litterbag Placem_Collection'!$S176)),"YES","NO")</f>
        <v>YES</v>
      </c>
      <c r="AL249" s="245" t="str">
        <f>IF(ISNUMBER(SEARCH("R", 'Dry_Litterbag Placem_Collection'!$S176)),"YES","NO")</f>
        <v>YES</v>
      </c>
    </row>
    <row r="250" spans="2:38">
      <c r="B250" t="str">
        <f>Dryseason!B176</f>
        <v>Dry</v>
      </c>
      <c r="C250" s="253">
        <f>Dryseason!C176</f>
        <v>175</v>
      </c>
      <c r="D250" t="s">
        <v>3128</v>
      </c>
      <c r="E250" t="s">
        <v>22</v>
      </c>
      <c r="F250" s="375">
        <v>7</v>
      </c>
      <c r="G250" s="16">
        <f>IF('Dry_Litterbag Placem_Collection'!E177="","",'Dry_Litterbag Placem_Collection'!E177)</f>
        <v>42940</v>
      </c>
      <c r="H250" t="str">
        <f>Dryseason!L176</f>
        <v>G612</v>
      </c>
      <c r="I250" t="str">
        <f>Dryseason!L396</f>
        <v>R338</v>
      </c>
      <c r="J250">
        <f>IFERROR(INDEX('Green_rooibos initial weight'!$C$5:$C$2000,MATCH(H250, 'Green_rooibos initial weight'!$A$5:$A$2000,0)),"")</f>
        <v>2.004</v>
      </c>
      <c r="K250">
        <f>IFERROR(INDEX('Green_rooibos initial weight'!$C$5:$C$2000,MATCH(I250, 'Green_rooibos initial weight'!$A$5:$A$2000,0)),"")</f>
        <v>2.1709999999999998</v>
      </c>
      <c r="L250" s="194">
        <f t="shared" si="30"/>
        <v>1.7542</v>
      </c>
      <c r="M250" s="233">
        <f>AVERAGE(Ashed_controlls!$K$1:$K$11)</f>
        <v>5.5147656768714146</v>
      </c>
      <c r="N250" s="194">
        <f t="shared" si="26"/>
        <v>1.6574599804963217</v>
      </c>
      <c r="O250" s="194">
        <f t="shared" si="31"/>
        <v>1.9211999999999998</v>
      </c>
      <c r="P250" s="233">
        <f>AVERAGE(Ashed_controlls!$K$12:$K$14)</f>
        <v>2.2816647271287041</v>
      </c>
      <c r="Q250" s="194">
        <f t="shared" si="27"/>
        <v>1.8773646572624032</v>
      </c>
      <c r="R250" s="16">
        <f>IF('Dry_Litterbag Placem_Collection'!G177="","",'Dry_Litterbag Placem_Collection'!G177)</f>
        <v>43009</v>
      </c>
      <c r="S250" s="194">
        <f>IFERROR(INDEX('Both teabags AfterDry'!$D$3:$D$2000,MATCH(H250,'Both teabags AfterDry'!$A$3:$A$2000,0)),"")</f>
        <v>0.83</v>
      </c>
      <c r="T250" s="194">
        <f>IFERROR(INDEX('Both teabags AfterDry'!$D$3:$D$2000,MATCH(I250,'Both teabags AfterDry'!$A$3:$A$2000,0)),"")</f>
        <v>1.8117000000000001</v>
      </c>
      <c r="U250" s="194">
        <f t="shared" si="32"/>
        <v>0.6794</v>
      </c>
      <c r="V250" s="194">
        <f t="shared" si="33"/>
        <v>1.6611</v>
      </c>
      <c r="W250" s="194">
        <f>IFERROR(INDEX('Ashed teabags dry'!$K$2:$K$2000,MATCH(H250,'Ashed teabags dry'!$A$2:$A$2000,0)),"")</f>
        <v>28.902765388045704</v>
      </c>
      <c r="X250" s="194">
        <f>IFERROR(INDEX('Ashed teabags dry'!$K$2:$K$2000,MATCH(I250,'Ashed teabags dry'!$A$2:$A$2000,0)),"")</f>
        <v>8.794946550048822</v>
      </c>
      <c r="Y250" s="194">
        <f t="shared" si="28"/>
        <v>0.48303461195361752</v>
      </c>
      <c r="Z250" s="194">
        <f t="shared" si="28"/>
        <v>1.515007142857139</v>
      </c>
      <c r="AA250" s="194">
        <f t="shared" si="34"/>
        <v>0.7085693665985382</v>
      </c>
      <c r="AB250" s="194">
        <f t="shared" si="35"/>
        <v>0.46452528546602506</v>
      </c>
      <c r="AC250" s="194">
        <f t="shared" si="29"/>
        <v>0.80698607859505644</v>
      </c>
      <c r="AD250">
        <f t="shared" si="36"/>
        <v>69</v>
      </c>
      <c r="AE250" s="194">
        <f t="shared" si="37"/>
        <v>0.15846868574995465</v>
      </c>
      <c r="AF250" s="194">
        <f t="shared" si="38"/>
        <v>7.7827825735537872E-3</v>
      </c>
      <c r="AG250" s="245" t="str">
        <f>IF(ISNUMBER(SEARCH("C", 'Dry_Litterbag Placem_Collection'!$T177)),"YES","NO")</f>
        <v>NO</v>
      </c>
      <c r="AH250" s="245" t="str">
        <f>IF(ISNUMBER(SEARCH("H", 'Dry_Litterbag Placem_Collection'!$T177)),"YES","NO")</f>
        <v>NO</v>
      </c>
      <c r="AI250" s="245" t="str">
        <f>IF(ISNUMBER(SEARCH("R", 'Dry_Litterbag Placem_Collection'!$T177)),"YES","NO")</f>
        <v>NO</v>
      </c>
      <c r="AJ250" s="245" t="str">
        <f>IF(ISNUMBER(SEARCH("C", 'Dry_Litterbag Placem_Collection'!$S177)),"YES","NO")</f>
        <v>NO</v>
      </c>
      <c r="AK250" s="245" t="str">
        <f>IF(ISNUMBER(SEARCH("H", 'Dry_Litterbag Placem_Collection'!$S177)),"YES","NO")</f>
        <v>YES</v>
      </c>
      <c r="AL250" s="245" t="str">
        <f>IF(ISNUMBER(SEARCH("R", 'Dry_Litterbag Placem_Collection'!$S177)),"YES","NO")</f>
        <v>YES</v>
      </c>
    </row>
    <row r="251" spans="2:38">
      <c r="B251" t="str">
        <f>Dryseason!B177</f>
        <v>Dry</v>
      </c>
      <c r="C251" s="253">
        <f>Dryseason!C177</f>
        <v>176</v>
      </c>
      <c r="D251" t="s">
        <v>3128</v>
      </c>
      <c r="E251" t="s">
        <v>22</v>
      </c>
      <c r="F251" s="375">
        <v>8</v>
      </c>
      <c r="G251" s="16">
        <f>IF('Dry_Litterbag Placem_Collection'!E178="","",'Dry_Litterbag Placem_Collection'!E178)</f>
        <v>42940</v>
      </c>
      <c r="H251" t="str">
        <f>Dryseason!L177</f>
        <v>G183</v>
      </c>
      <c r="I251" t="str">
        <f>Dryseason!L397</f>
        <v>R52</v>
      </c>
      <c r="J251">
        <f>IFERROR(INDEX('Green_rooibos initial weight'!$C$5:$C$2000,MATCH(H251, 'Green_rooibos initial weight'!$A$5:$A$2000,0)),"")</f>
        <v>1.897</v>
      </c>
      <c r="K251">
        <f>IFERROR(INDEX('Green_rooibos initial weight'!$C$5:$C$2000,MATCH(I251, 'Green_rooibos initial weight'!$A$5:$A$2000,0)),"")</f>
        <v>2.1629999999999998</v>
      </c>
      <c r="L251" s="194">
        <f t="shared" si="30"/>
        <v>1.6472</v>
      </c>
      <c r="M251" s="233">
        <f>AVERAGE(Ashed_controlls!$K$1:$K$11)</f>
        <v>5.5147656768714146</v>
      </c>
      <c r="N251" s="194">
        <f t="shared" si="26"/>
        <v>1.5563607797705741</v>
      </c>
      <c r="O251" s="194">
        <f t="shared" si="31"/>
        <v>1.9131999999999998</v>
      </c>
      <c r="P251" s="233">
        <f>AVERAGE(Ashed_controlls!$K$12:$K$14)</f>
        <v>2.2816647271287041</v>
      </c>
      <c r="Q251" s="194">
        <f t="shared" si="27"/>
        <v>1.8695471904405734</v>
      </c>
      <c r="R251" s="16">
        <f>IF('Dry_Litterbag Placem_Collection'!G178="","",'Dry_Litterbag Placem_Collection'!G178)</f>
        <v>43009</v>
      </c>
      <c r="S251" s="194">
        <f>IFERROR(INDEX('Both teabags AfterDry'!$D$3:$D$2000,MATCH(H251,'Both teabags AfterDry'!$A$3:$A$2000,0)),"")</f>
        <v>0.92459999999999998</v>
      </c>
      <c r="T251" s="194">
        <f>IFERROR(INDEX('Both teabags AfterDry'!$D$3:$D$2000,MATCH(I251,'Both teabags AfterDry'!$A$3:$A$2000,0)),"")</f>
        <v>0</v>
      </c>
      <c r="U251" s="194">
        <f t="shared" si="32"/>
        <v>0.77400000000000002</v>
      </c>
      <c r="V251" s="194" t="str">
        <f t="shared" si="33"/>
        <v/>
      </c>
      <c r="W251" s="194">
        <f>IFERROR(INDEX('Ashed teabags dry'!$K$2:$K$2000,MATCH(H251,'Ashed teabags dry'!$A$2:$A$2000,0)),"")</f>
        <v>36.390532544378914</v>
      </c>
      <c r="X251" s="194">
        <f>IFERROR(INDEX('Ashed teabags dry'!$K$2:$K$2000,MATCH(I251,'Ashed teabags dry'!$A$2:$A$2000,0)),"")</f>
        <v>93.555555555555571</v>
      </c>
      <c r="Y251" s="194">
        <f t="shared" si="28"/>
        <v>0.49233727810650724</v>
      </c>
      <c r="Z251" s="194" t="str">
        <f t="shared" si="28"/>
        <v/>
      </c>
      <c r="AA251" s="194">
        <f t="shared" si="34"/>
        <v>0.68366121499214105</v>
      </c>
      <c r="AB251" s="194">
        <f t="shared" si="35"/>
        <v>0.44819595092121367</v>
      </c>
      <c r="AC251" s="194" t="str">
        <f t="shared" si="29"/>
        <v/>
      </c>
      <c r="AD251">
        <f t="shared" si="36"/>
        <v>69</v>
      </c>
      <c r="AE251" s="194">
        <f t="shared" si="37"/>
        <v>0.18805081354852604</v>
      </c>
      <c r="AF251" s="194" t="str">
        <f t="shared" si="38"/>
        <v/>
      </c>
      <c r="AG251" s="245" t="str">
        <f>IF(ISNUMBER(SEARCH("C", 'Dry_Litterbag Placem_Collection'!$T178)),"YES","NO")</f>
        <v>NO</v>
      </c>
      <c r="AH251" s="245" t="str">
        <f>IF(ISNUMBER(SEARCH("H", 'Dry_Litterbag Placem_Collection'!$T178)),"YES","NO")</f>
        <v>YES</v>
      </c>
      <c r="AI251" s="245" t="str">
        <f>IF(ISNUMBER(SEARCH("R", 'Dry_Litterbag Placem_Collection'!$T178)),"YES","NO")</f>
        <v>YES</v>
      </c>
      <c r="AJ251" s="245" t="str">
        <f>IF(ISNUMBER(SEARCH("C", 'Dry_Litterbag Placem_Collection'!$S178)),"YES","NO")</f>
        <v>NO</v>
      </c>
      <c r="AK251" s="245" t="str">
        <f>IF(ISNUMBER(SEARCH("H", 'Dry_Litterbag Placem_Collection'!$S178)),"YES","NO")</f>
        <v>YES</v>
      </c>
      <c r="AL251" s="245" t="str">
        <f>IF(ISNUMBER(SEARCH("R", 'Dry_Litterbag Placem_Collection'!$S178)),"YES","NO")</f>
        <v>YES</v>
      </c>
    </row>
    <row r="252" spans="2:38">
      <c r="B252" t="str">
        <f>Dryseason!B178</f>
        <v>Dry</v>
      </c>
      <c r="C252" s="253">
        <f>Dryseason!C178</f>
        <v>177</v>
      </c>
      <c r="D252" t="s">
        <v>3129</v>
      </c>
      <c r="E252" t="s">
        <v>22</v>
      </c>
      <c r="F252" s="374">
        <v>1</v>
      </c>
      <c r="G252" s="16">
        <f>IF('Dry_Litterbag Placem_Collection'!E179="","",'Dry_Litterbag Placem_Collection'!E179)</f>
        <v>42940</v>
      </c>
      <c r="H252" t="str">
        <f>Dryseason!L178</f>
        <v>G98</v>
      </c>
      <c r="I252" t="str">
        <f>Dryseason!L398</f>
        <v>R750</v>
      </c>
      <c r="J252">
        <f>IFERROR(INDEX('Green_rooibos initial weight'!$C$5:$C$2000,MATCH(H252, 'Green_rooibos initial weight'!$A$5:$A$2000,0)),"")</f>
        <v>2.0979999999999999</v>
      </c>
      <c r="K252">
        <f>IFERROR(INDEX('Green_rooibos initial weight'!$C$5:$C$2000,MATCH(I252, 'Green_rooibos initial weight'!$A$5:$A$2000,0)),"")</f>
        <v>2.2029999999999998</v>
      </c>
      <c r="L252" s="194">
        <f t="shared" si="30"/>
        <v>1.8481999999999998</v>
      </c>
      <c r="M252" s="233">
        <f>AVERAGE(Ashed_controlls!$K$1:$K$11)</f>
        <v>5.5147656768714146</v>
      </c>
      <c r="N252" s="194">
        <f t="shared" si="26"/>
        <v>1.7462761007600625</v>
      </c>
      <c r="O252" s="194">
        <f t="shared" si="31"/>
        <v>1.9531999999999998</v>
      </c>
      <c r="P252" s="233">
        <f>AVERAGE(Ashed_controlls!$K$12:$K$14)</f>
        <v>2.2816647271287041</v>
      </c>
      <c r="Q252" s="194">
        <f t="shared" si="27"/>
        <v>1.908634524549722</v>
      </c>
      <c r="R252" s="16">
        <f>IF('Dry_Litterbag Placem_Collection'!G179="","",'Dry_Litterbag Placem_Collection'!G179)</f>
        <v>43009</v>
      </c>
      <c r="S252" s="194" t="str">
        <f>IFERROR(INDEX('Both teabags AfterDry'!$D$3:$D$2000,MATCH(H252,'Both teabags AfterDry'!$A$3:$A$2000,0)),"")</f>
        <v/>
      </c>
      <c r="T252" s="194" t="str">
        <f>IFERROR(INDEX('Both teabags AfterDry'!$D$3:$D$2000,MATCH(I252,'Both teabags AfterDry'!$A$3:$A$2000,0)),"")</f>
        <v/>
      </c>
      <c r="U252" s="194" t="str">
        <f t="shared" si="32"/>
        <v/>
      </c>
      <c r="V252" s="194" t="str">
        <f t="shared" si="33"/>
        <v/>
      </c>
      <c r="W252" s="194" t="str">
        <f>IFERROR(INDEX('Ashed teabags dry'!$K$2:$K$2000,MATCH(H252,'Ashed teabags dry'!$A$2:$A$2000,0)),"")</f>
        <v/>
      </c>
      <c r="X252" s="194" t="str">
        <f>IFERROR(INDEX('Ashed teabags dry'!$K$2:$K$2000,MATCH(I252,'Ashed teabags dry'!$A$2:$A$2000,0)),"")</f>
        <v/>
      </c>
      <c r="Y252" s="194" t="str">
        <f t="shared" si="28"/>
        <v/>
      </c>
      <c r="Z252" s="194" t="str">
        <f t="shared" si="28"/>
        <v/>
      </c>
      <c r="AA252" s="194" t="str">
        <f t="shared" si="34"/>
        <v/>
      </c>
      <c r="AB252" s="194" t="str">
        <f t="shared" si="35"/>
        <v/>
      </c>
      <c r="AC252" s="194" t="str">
        <f t="shared" si="29"/>
        <v/>
      </c>
      <c r="AD252">
        <f t="shared" si="36"/>
        <v>69</v>
      </c>
      <c r="AE252" s="194" t="str">
        <f t="shared" si="37"/>
        <v/>
      </c>
      <c r="AF252" s="194" t="str">
        <f t="shared" si="38"/>
        <v/>
      </c>
      <c r="AG252" s="245" t="str">
        <f>IF(ISNUMBER(SEARCH("C", 'Dry_Litterbag Placem_Collection'!$T179)),"YES","NO")</f>
        <v>YES</v>
      </c>
      <c r="AH252" s="245" t="str">
        <f>IF(ISNUMBER(SEARCH("H", 'Dry_Litterbag Placem_Collection'!$T179)),"YES","NO")</f>
        <v>YES</v>
      </c>
      <c r="AI252" s="245" t="str">
        <f>IF(ISNUMBER(SEARCH("R", 'Dry_Litterbag Placem_Collection'!$T179)),"YES","NO")</f>
        <v>YES</v>
      </c>
      <c r="AJ252" s="245" t="str">
        <f>IF(ISNUMBER(SEARCH("C", 'Dry_Litterbag Placem_Collection'!$S179)),"YES","NO")</f>
        <v>NO</v>
      </c>
      <c r="AK252" s="245" t="str">
        <f>IF(ISNUMBER(SEARCH("H", 'Dry_Litterbag Placem_Collection'!$S179)),"YES","NO")</f>
        <v>YES</v>
      </c>
      <c r="AL252" s="245" t="str">
        <f>IF(ISNUMBER(SEARCH("R", 'Dry_Litterbag Placem_Collection'!$S179)),"YES","NO")</f>
        <v>YES</v>
      </c>
    </row>
    <row r="253" spans="2:38">
      <c r="B253" t="str">
        <f>Dryseason!B179</f>
        <v>Dry</v>
      </c>
      <c r="C253" s="253">
        <f>Dryseason!C179</f>
        <v>178</v>
      </c>
      <c r="D253" t="s">
        <v>3129</v>
      </c>
      <c r="E253" t="s">
        <v>22</v>
      </c>
      <c r="F253" s="374">
        <v>2</v>
      </c>
      <c r="G253" s="16">
        <f>IF('Dry_Litterbag Placem_Collection'!E180="","",'Dry_Litterbag Placem_Collection'!E180)</f>
        <v>42940</v>
      </c>
      <c r="H253" t="str">
        <f>Dryseason!L179</f>
        <v>G353</v>
      </c>
      <c r="I253" t="str">
        <f>Dryseason!L399</f>
        <v>R612</v>
      </c>
      <c r="J253">
        <f>IFERROR(INDEX('Green_rooibos initial weight'!$C$5:$C$2000,MATCH(H253, 'Green_rooibos initial weight'!$A$5:$A$2000,0)),"")</f>
        <v>1.988</v>
      </c>
      <c r="K253">
        <f>IFERROR(INDEX('Green_rooibos initial weight'!$C$5:$C$2000,MATCH(I253, 'Green_rooibos initial weight'!$A$5:$A$2000,0)),"")</f>
        <v>2.11</v>
      </c>
      <c r="L253" s="194">
        <f t="shared" si="30"/>
        <v>1.7382</v>
      </c>
      <c r="M253" s="233">
        <f>AVERAGE(Ashed_controlls!$K$1:$K$11)</f>
        <v>5.5147656768714146</v>
      </c>
      <c r="N253" s="194">
        <f t="shared" si="26"/>
        <v>1.6423423430046211</v>
      </c>
      <c r="O253" s="194">
        <f t="shared" si="31"/>
        <v>1.8601999999999999</v>
      </c>
      <c r="P253" s="233">
        <f>AVERAGE(Ashed_controlls!$K$12:$K$14)</f>
        <v>2.2816647271287041</v>
      </c>
      <c r="Q253" s="194">
        <f t="shared" si="27"/>
        <v>1.8177564727459516</v>
      </c>
      <c r="R253" s="16">
        <f>IF('Dry_Litterbag Placem_Collection'!G180="","",'Dry_Litterbag Placem_Collection'!G180)</f>
        <v>43009</v>
      </c>
      <c r="S253" s="194">
        <f>IFERROR(INDEX('Both teabags AfterDry'!$D$3:$D$2000,MATCH(H253,'Both teabags AfterDry'!$A$3:$A$2000,0)),"")</f>
        <v>0.80569999999999997</v>
      </c>
      <c r="T253" s="194">
        <f>IFERROR(INDEX('Both teabags AfterDry'!$D$3:$D$2000,MATCH(I253,'Both teabags AfterDry'!$A$3:$A$2000,0)),"")</f>
        <v>0</v>
      </c>
      <c r="U253" s="194">
        <f t="shared" si="32"/>
        <v>0.65510000000000002</v>
      </c>
      <c r="V253" s="194" t="str">
        <f t="shared" si="33"/>
        <v/>
      </c>
      <c r="W253" s="194">
        <f>IFERROR(INDEX('Ashed teabags dry'!$K$2:$K$2000,MATCH(H253,'Ashed teabags dry'!$A$2:$A$2000,0)),"")</f>
        <v>27.451946771808881</v>
      </c>
      <c r="X253" s="194">
        <f>IFERROR(INDEX('Ashed teabags dry'!$K$2:$K$2000,MATCH(I253,'Ashed teabags dry'!$A$2:$A$2000,0)),"")</f>
        <v>94.417238001958822</v>
      </c>
      <c r="Y253" s="194">
        <f t="shared" si="28"/>
        <v>0.47526229669788</v>
      </c>
      <c r="Z253" s="194" t="str">
        <f t="shared" si="28"/>
        <v/>
      </c>
      <c r="AA253" s="194">
        <f t="shared" si="34"/>
        <v>0.71061922703131408</v>
      </c>
      <c r="AB253" s="194">
        <f t="shared" si="35"/>
        <v>0.46586913696114657</v>
      </c>
      <c r="AC253" s="194" t="str">
        <f t="shared" si="29"/>
        <v/>
      </c>
      <c r="AD253">
        <f t="shared" si="36"/>
        <v>69</v>
      </c>
      <c r="AE253" s="194">
        <f t="shared" si="37"/>
        <v>0.15603417217183602</v>
      </c>
      <c r="AF253" s="194" t="str">
        <f t="shared" si="38"/>
        <v/>
      </c>
      <c r="AG253" s="245" t="str">
        <f>IF(ISNUMBER(SEARCH("C", 'Dry_Litterbag Placem_Collection'!$T180)),"YES","NO")</f>
        <v>YES</v>
      </c>
      <c r="AH253" s="245" t="str">
        <f>IF(ISNUMBER(SEARCH("H", 'Dry_Litterbag Placem_Collection'!$T180)),"YES","NO")</f>
        <v>YES</v>
      </c>
      <c r="AI253" s="245" t="str">
        <f>IF(ISNUMBER(SEARCH("R", 'Dry_Litterbag Placem_Collection'!$T180)),"YES","NO")</f>
        <v>NO</v>
      </c>
      <c r="AJ253" s="245" t="str">
        <f>IF(ISNUMBER(SEARCH("C", 'Dry_Litterbag Placem_Collection'!$S180)),"YES","NO")</f>
        <v>NO</v>
      </c>
      <c r="AK253" s="245" t="str">
        <f>IF(ISNUMBER(SEARCH("H", 'Dry_Litterbag Placem_Collection'!$S180)),"YES","NO")</f>
        <v>NO</v>
      </c>
      <c r="AL253" s="245" t="str">
        <f>IF(ISNUMBER(SEARCH("R", 'Dry_Litterbag Placem_Collection'!$S180)),"YES","NO")</f>
        <v>YES</v>
      </c>
    </row>
    <row r="254" spans="2:38">
      <c r="B254" t="str">
        <f>Dryseason!B180</f>
        <v>Dry</v>
      </c>
      <c r="C254" s="253">
        <f>Dryseason!C180</f>
        <v>179</v>
      </c>
      <c r="D254" t="s">
        <v>3129</v>
      </c>
      <c r="E254" t="s">
        <v>22</v>
      </c>
      <c r="F254" s="374">
        <v>3</v>
      </c>
      <c r="G254" s="16">
        <f>IF('Dry_Litterbag Placem_Collection'!E181="","",'Dry_Litterbag Placem_Collection'!E181)</f>
        <v>42940</v>
      </c>
      <c r="H254" t="str">
        <f>Dryseason!L180</f>
        <v>G42</v>
      </c>
      <c r="I254" t="str">
        <f>Dryseason!L400</f>
        <v>R491</v>
      </c>
      <c r="J254">
        <f>IFERROR(INDEX('Green_rooibos initial weight'!$C$5:$C$2000,MATCH(H254, 'Green_rooibos initial weight'!$A$5:$A$2000,0)),"")</f>
        <v>1.9530000000000001</v>
      </c>
      <c r="K254">
        <f>IFERROR(INDEX('Green_rooibos initial weight'!$C$5:$C$2000,MATCH(I254, 'Green_rooibos initial weight'!$A$5:$A$2000,0)),"")</f>
        <v>2.2690000000000001</v>
      </c>
      <c r="L254" s="194">
        <f t="shared" si="30"/>
        <v>1.7032</v>
      </c>
      <c r="M254" s="233">
        <f>AVERAGE(Ashed_controlls!$K$1:$K$11)</f>
        <v>5.5147656768714146</v>
      </c>
      <c r="N254" s="194">
        <f t="shared" si="26"/>
        <v>1.609272510991526</v>
      </c>
      <c r="O254" s="194">
        <f t="shared" si="31"/>
        <v>2.0192000000000001</v>
      </c>
      <c r="P254" s="233">
        <f>AVERAGE(Ashed_controlls!$K$12:$K$14)</f>
        <v>2.2816647271287041</v>
      </c>
      <c r="Q254" s="194">
        <f t="shared" si="27"/>
        <v>1.9731286258298173</v>
      </c>
      <c r="R254" s="16">
        <f>IF('Dry_Litterbag Placem_Collection'!G181="","",'Dry_Litterbag Placem_Collection'!G181)</f>
        <v>43009</v>
      </c>
      <c r="S254" s="194">
        <f>IFERROR(INDEX('Both teabags AfterDry'!$D$3:$D$2000,MATCH(H254,'Both teabags AfterDry'!$A$3:$A$2000,0)),"")</f>
        <v>1.0448</v>
      </c>
      <c r="T254" s="194">
        <f>IFERROR(INDEX('Both teabags AfterDry'!$D$3:$D$2000,MATCH(I254,'Both teabags AfterDry'!$A$3:$A$2000,0)),"")</f>
        <v>2.0198</v>
      </c>
      <c r="U254" s="194">
        <f t="shared" si="32"/>
        <v>0.89419999999999988</v>
      </c>
      <c r="V254" s="194">
        <f t="shared" si="33"/>
        <v>1.8692</v>
      </c>
      <c r="W254" s="194">
        <f>IFERROR(INDEX('Ashed teabags dry'!$K$2:$K$2000,MATCH(H254,'Ashed teabags dry'!$A$2:$A$2000,0)),"")</f>
        <v>41.121951219512503</v>
      </c>
      <c r="X254" s="194">
        <f>IFERROR(INDEX('Ashed teabags dry'!$K$2:$K$2000,MATCH(I254,'Ashed teabags dry'!$A$2:$A$2000,0)),"")</f>
        <v>14.684287812040845</v>
      </c>
      <c r="Y254" s="194">
        <f t="shared" si="28"/>
        <v>0.52648751219511913</v>
      </c>
      <c r="Z254" s="194">
        <f t="shared" si="28"/>
        <v>1.5947212922173324</v>
      </c>
      <c r="AA254" s="194">
        <f t="shared" si="34"/>
        <v>0.67284129406353133</v>
      </c>
      <c r="AB254" s="194">
        <f t="shared" si="35"/>
        <v>0.44110260608440538</v>
      </c>
      <c r="AC254" s="194">
        <f t="shared" si="29"/>
        <v>0.80821963218270054</v>
      </c>
      <c r="AD254">
        <f t="shared" si="36"/>
        <v>69</v>
      </c>
      <c r="AE254" s="194">
        <f t="shared" si="37"/>
        <v>0.20090107593404827</v>
      </c>
      <c r="AF254" s="194">
        <f t="shared" si="38"/>
        <v>8.2685699399221869E-3</v>
      </c>
      <c r="AG254" s="245" t="str">
        <f>IF(ISNUMBER(SEARCH("C", 'Dry_Litterbag Placem_Collection'!$T181)),"YES","NO")</f>
        <v>NO</v>
      </c>
      <c r="AH254" s="245" t="str">
        <f>IF(ISNUMBER(SEARCH("H", 'Dry_Litterbag Placem_Collection'!$T181)),"YES","NO")</f>
        <v>NO</v>
      </c>
      <c r="AI254" s="245" t="str">
        <f>IF(ISNUMBER(SEARCH("R", 'Dry_Litterbag Placem_Collection'!$T181)),"YES","NO")</f>
        <v>YES</v>
      </c>
      <c r="AJ254" s="245" t="str">
        <f>IF(ISNUMBER(SEARCH("C", 'Dry_Litterbag Placem_Collection'!$S181)),"YES","NO")</f>
        <v>NO</v>
      </c>
      <c r="AK254" s="245" t="str">
        <f>IF(ISNUMBER(SEARCH("H", 'Dry_Litterbag Placem_Collection'!$S181)),"YES","NO")</f>
        <v>NO</v>
      </c>
      <c r="AL254" s="245" t="str">
        <f>IF(ISNUMBER(SEARCH("R", 'Dry_Litterbag Placem_Collection'!$S181)),"YES","NO")</f>
        <v>YES</v>
      </c>
    </row>
    <row r="255" spans="2:38">
      <c r="B255" t="str">
        <f>Dryseason!B181</f>
        <v>Dry</v>
      </c>
      <c r="C255" s="253">
        <f>Dryseason!C181</f>
        <v>180</v>
      </c>
      <c r="D255" t="s">
        <v>3129</v>
      </c>
      <c r="E255" t="s">
        <v>22</v>
      </c>
      <c r="F255" s="375">
        <v>4</v>
      </c>
      <c r="G255" s="16">
        <f>IF('Dry_Litterbag Placem_Collection'!E182="","",'Dry_Litterbag Placem_Collection'!E182)</f>
        <v>42940</v>
      </c>
      <c r="H255" t="str">
        <f>Dryseason!L181</f>
        <v>G245</v>
      </c>
      <c r="I255" t="str">
        <f>Dryseason!L401</f>
        <v>R325</v>
      </c>
      <c r="J255">
        <f>IFERROR(INDEX('Green_rooibos initial weight'!$C$5:$C$2000,MATCH(H255, 'Green_rooibos initial weight'!$A$5:$A$2000,0)),"")</f>
        <v>2.0150000000000001</v>
      </c>
      <c r="K255">
        <f>IFERROR(INDEX('Green_rooibos initial weight'!$C$5:$C$2000,MATCH(I255, 'Green_rooibos initial weight'!$A$5:$A$2000,0)),"")</f>
        <v>2.2069999999999999</v>
      </c>
      <c r="L255" s="194">
        <f t="shared" si="30"/>
        <v>1.7652000000000001</v>
      </c>
      <c r="M255" s="233">
        <f>AVERAGE(Ashed_controlls!$K$1:$K$11)</f>
        <v>5.5147656768714146</v>
      </c>
      <c r="N255" s="194">
        <f t="shared" si="26"/>
        <v>1.6678533562718658</v>
      </c>
      <c r="O255" s="194">
        <f t="shared" si="31"/>
        <v>1.9571999999999998</v>
      </c>
      <c r="P255" s="233">
        <f>AVERAGE(Ashed_controlls!$K$12:$K$14)</f>
        <v>2.2816647271287041</v>
      </c>
      <c r="Q255" s="194">
        <f t="shared" si="27"/>
        <v>1.9125432579606367</v>
      </c>
      <c r="R255" s="16">
        <f>IF('Dry_Litterbag Placem_Collection'!G182="","",'Dry_Litterbag Placem_Collection'!G182)</f>
        <v>43009</v>
      </c>
      <c r="S255" s="194">
        <f>IFERROR(INDEX('Both teabags AfterDry'!$D$3:$D$2000,MATCH(H255,'Both teabags AfterDry'!$A$3:$A$2000,0)),"")</f>
        <v>0.81240000000000001</v>
      </c>
      <c r="T255" s="194">
        <f>IFERROR(INDEX('Both teabags AfterDry'!$D$3:$D$2000,MATCH(I255,'Both teabags AfterDry'!$A$3:$A$2000,0)),"")</f>
        <v>1.6720999999999999</v>
      </c>
      <c r="U255" s="194">
        <f t="shared" si="32"/>
        <v>0.66179999999999994</v>
      </c>
      <c r="V255" s="194">
        <f t="shared" si="33"/>
        <v>1.5214999999999999</v>
      </c>
      <c r="W255" s="194">
        <f>IFERROR(INDEX('Ashed teabags dry'!$K$2:$K$2000,MATCH(H255,'Ashed teabags dry'!$A$2:$A$2000,0)),"")</f>
        <v>19.084712755598879</v>
      </c>
      <c r="X255" s="194">
        <f>IFERROR(INDEX('Ashed teabags dry'!$K$2:$K$2000,MATCH(I255,'Ashed teabags dry'!$A$2:$A$2000,0)),"")</f>
        <v>6.4801178203239465</v>
      </c>
      <c r="Y255" s="194">
        <f t="shared" si="28"/>
        <v>0.53549737098344652</v>
      </c>
      <c r="Z255" s="194">
        <f t="shared" si="28"/>
        <v>1.422905007363771</v>
      </c>
      <c r="AA255" s="194">
        <f t="shared" si="34"/>
        <v>0.67893018353817514</v>
      </c>
      <c r="AB255" s="194">
        <f t="shared" si="35"/>
        <v>0.44509437210578712</v>
      </c>
      <c r="AC255" s="194">
        <f t="shared" si="29"/>
        <v>0.74398579035594115</v>
      </c>
      <c r="AD255">
        <f t="shared" si="36"/>
        <v>69</v>
      </c>
      <c r="AE255" s="194">
        <f t="shared" si="37"/>
        <v>0.19366961575038577</v>
      </c>
      <c r="AF255" s="194">
        <f t="shared" si="38"/>
        <v>1.2407467633088675E-2</v>
      </c>
      <c r="AG255" s="245" t="str">
        <f>IF(ISNUMBER(SEARCH("C", 'Dry_Litterbag Placem_Collection'!$T182)),"YES","NO")</f>
        <v>NO</v>
      </c>
      <c r="AH255" s="245" t="str">
        <f>IF(ISNUMBER(SEARCH("H", 'Dry_Litterbag Placem_Collection'!$T182)),"YES","NO")</f>
        <v>NO</v>
      </c>
      <c r="AI255" s="245" t="str">
        <f>IF(ISNUMBER(SEARCH("R", 'Dry_Litterbag Placem_Collection'!$T182)),"YES","NO")</f>
        <v>NO</v>
      </c>
      <c r="AJ255" s="245" t="str">
        <f>IF(ISNUMBER(SEARCH("C", 'Dry_Litterbag Placem_Collection'!$S182)),"YES","NO")</f>
        <v>NO</v>
      </c>
      <c r="AK255" s="245" t="str">
        <f>IF(ISNUMBER(SEARCH("H", 'Dry_Litterbag Placem_Collection'!$S182)),"YES","NO")</f>
        <v>NO</v>
      </c>
      <c r="AL255" s="245" t="str">
        <f>IF(ISNUMBER(SEARCH("R", 'Dry_Litterbag Placem_Collection'!$S182)),"YES","NO")</f>
        <v>YES</v>
      </c>
    </row>
    <row r="256" spans="2:38">
      <c r="B256" t="str">
        <f>Dryseason!B182</f>
        <v>Dry</v>
      </c>
      <c r="C256" s="253">
        <f>Dryseason!C182</f>
        <v>181</v>
      </c>
      <c r="D256" t="s">
        <v>3129</v>
      </c>
      <c r="E256" t="s">
        <v>22</v>
      </c>
      <c r="F256" s="375">
        <v>5</v>
      </c>
      <c r="G256" s="16">
        <f>IF('Dry_Litterbag Placem_Collection'!E183="","",'Dry_Litterbag Placem_Collection'!E183)</f>
        <v>42940</v>
      </c>
      <c r="H256" t="str">
        <f>Dryseason!L182</f>
        <v>G411</v>
      </c>
      <c r="I256" t="str">
        <f>Dryseason!L402</f>
        <v>R116</v>
      </c>
      <c r="J256">
        <f>IFERROR(INDEX('Green_rooibos initial weight'!$C$5:$C$2000,MATCH(H256, 'Green_rooibos initial weight'!$A$5:$A$2000,0)),"")</f>
        <v>2.1120000000000001</v>
      </c>
      <c r="K256">
        <f>IFERROR(INDEX('Green_rooibos initial weight'!$C$5:$C$2000,MATCH(I256, 'Green_rooibos initial weight'!$A$5:$A$2000,0)),"")</f>
        <v>2.2909999999999999</v>
      </c>
      <c r="L256" s="194">
        <f t="shared" si="30"/>
        <v>1.8622000000000001</v>
      </c>
      <c r="M256" s="233">
        <f>AVERAGE(Ashed_controlls!$K$1:$K$11)</f>
        <v>5.5147656768714146</v>
      </c>
      <c r="N256" s="194">
        <f t="shared" si="26"/>
        <v>1.7595040335653005</v>
      </c>
      <c r="O256" s="194">
        <f t="shared" si="31"/>
        <v>2.0411999999999999</v>
      </c>
      <c r="P256" s="233">
        <f>AVERAGE(Ashed_controlls!$K$12:$K$14)</f>
        <v>2.2816647271287041</v>
      </c>
      <c r="Q256" s="194">
        <f t="shared" si="27"/>
        <v>1.9946266595898487</v>
      </c>
      <c r="R256" s="16">
        <f>IF('Dry_Litterbag Placem_Collection'!G183="","",'Dry_Litterbag Placem_Collection'!G183)</f>
        <v>43009</v>
      </c>
      <c r="S256" s="194">
        <f>IFERROR(INDEX('Both teabags AfterDry'!$D$3:$D$2000,MATCH(H256,'Both teabags AfterDry'!$A$3:$A$2000,0)),"")</f>
        <v>0.76629999999999998</v>
      </c>
      <c r="T256" s="194">
        <f>IFERROR(INDEX('Both teabags AfterDry'!$D$3:$D$2000,MATCH(I256,'Both teabags AfterDry'!$A$3:$A$2000,0)),"")</f>
        <v>2.0322</v>
      </c>
      <c r="U256" s="194">
        <f t="shared" si="32"/>
        <v>0.61569999999999991</v>
      </c>
      <c r="V256" s="194">
        <f t="shared" si="33"/>
        <v>1.8815999999999999</v>
      </c>
      <c r="W256" s="194">
        <f>IFERROR(INDEX('Ashed teabags dry'!$K$2:$K$2000,MATCH(H256,'Ashed teabags dry'!$A$2:$A$2000,0)),"")</f>
        <v>18.218018914882634</v>
      </c>
      <c r="X256" s="194">
        <f>IFERROR(INDEX('Ashed teabags dry'!$K$2:$K$2000,MATCH(I256,'Ashed teabags dry'!$A$2:$A$2000,0)),"")</f>
        <v>7.2674418604643565</v>
      </c>
      <c r="Y256" s="194">
        <f t="shared" si="28"/>
        <v>0.50353165754106755</v>
      </c>
      <c r="Z256" s="194">
        <f t="shared" si="28"/>
        <v>1.7448558139535026</v>
      </c>
      <c r="AA256" s="194">
        <f t="shared" si="34"/>
        <v>0.71382182255032611</v>
      </c>
      <c r="AB256" s="194">
        <f t="shared" si="35"/>
        <v>0.467968700769335</v>
      </c>
      <c r="AC256" s="194">
        <f t="shared" si="29"/>
        <v>0.8747781473613182</v>
      </c>
      <c r="AD256">
        <f t="shared" si="36"/>
        <v>69</v>
      </c>
      <c r="AE256" s="194">
        <f t="shared" si="37"/>
        <v>0.15223061454830622</v>
      </c>
      <c r="AF256" s="194">
        <f t="shared" si="38"/>
        <v>4.5131781508547849E-3</v>
      </c>
      <c r="AG256" s="245" t="str">
        <f>IF(ISNUMBER(SEARCH("C", 'Dry_Litterbag Placem_Collection'!$T183)),"YES","NO")</f>
        <v>NO</v>
      </c>
      <c r="AH256" s="245" t="str">
        <f>IF(ISNUMBER(SEARCH("H", 'Dry_Litterbag Placem_Collection'!$T183)),"YES","NO")</f>
        <v>NO</v>
      </c>
      <c r="AI256" s="245" t="str">
        <f>IF(ISNUMBER(SEARCH("R", 'Dry_Litterbag Placem_Collection'!$T183)),"YES","NO")</f>
        <v>YES</v>
      </c>
      <c r="AJ256" s="245" t="str">
        <f>IF(ISNUMBER(SEARCH("C", 'Dry_Litterbag Placem_Collection'!$S183)),"YES","NO")</f>
        <v>NO</v>
      </c>
      <c r="AK256" s="245" t="str">
        <f>IF(ISNUMBER(SEARCH("H", 'Dry_Litterbag Placem_Collection'!$S183)),"YES","NO")</f>
        <v>NO</v>
      </c>
      <c r="AL256" s="245" t="str">
        <f>IF(ISNUMBER(SEARCH("R", 'Dry_Litterbag Placem_Collection'!$S183)),"YES","NO")</f>
        <v>YES</v>
      </c>
    </row>
    <row r="257" spans="2:38">
      <c r="B257" t="str">
        <f>Dryseason!B183</f>
        <v>Dry</v>
      </c>
      <c r="C257" s="253">
        <f>Dryseason!C183</f>
        <v>182</v>
      </c>
      <c r="D257" t="s">
        <v>3129</v>
      </c>
      <c r="E257" t="s">
        <v>22</v>
      </c>
      <c r="F257" s="375">
        <v>6</v>
      </c>
      <c r="G257" s="16">
        <f>IF('Dry_Litterbag Placem_Collection'!E184="","",'Dry_Litterbag Placem_Collection'!E184)</f>
        <v>42940</v>
      </c>
      <c r="H257" t="str">
        <f>Dryseason!L183</f>
        <v>G309</v>
      </c>
      <c r="I257" t="str">
        <f>Dryseason!L403</f>
        <v>R613</v>
      </c>
      <c r="J257">
        <f>IFERROR(INDEX('Green_rooibos initial weight'!$C$5:$C$2000,MATCH(H257, 'Green_rooibos initial weight'!$A$5:$A$2000,0)),"")</f>
        <v>2.0579999999999998</v>
      </c>
      <c r="K257">
        <f>IFERROR(INDEX('Green_rooibos initial weight'!$C$5:$C$2000,MATCH(I257, 'Green_rooibos initial weight'!$A$5:$A$2000,0)),"")</f>
        <v>2.1680000000000001</v>
      </c>
      <c r="L257" s="194">
        <f t="shared" si="30"/>
        <v>1.8081999999999998</v>
      </c>
      <c r="M257" s="233">
        <f>AVERAGE(Ashed_controlls!$K$1:$K$11)</f>
        <v>5.5147656768714146</v>
      </c>
      <c r="N257" s="194">
        <f t="shared" si="26"/>
        <v>1.7084820070308109</v>
      </c>
      <c r="O257" s="194">
        <f t="shared" si="31"/>
        <v>1.9182000000000001</v>
      </c>
      <c r="P257" s="233">
        <f>AVERAGE(Ashed_controlls!$K$12:$K$14)</f>
        <v>2.2816647271287041</v>
      </c>
      <c r="Q257" s="194">
        <f t="shared" si="27"/>
        <v>1.8744331072042173</v>
      </c>
      <c r="R257" s="16">
        <f>IF('Dry_Litterbag Placem_Collection'!G184="","",'Dry_Litterbag Placem_Collection'!G184)</f>
        <v>43009</v>
      </c>
      <c r="S257" s="194">
        <f>IFERROR(INDEX('Both teabags AfterDry'!$D$3:$D$2000,MATCH(H257,'Both teabags AfterDry'!$A$3:$A$2000,0)),"")</f>
        <v>0.88170000000000004</v>
      </c>
      <c r="T257" s="194">
        <f>IFERROR(INDEX('Both teabags AfterDry'!$D$3:$D$2000,MATCH(I257,'Both teabags AfterDry'!$A$3:$A$2000,0)),"")</f>
        <v>1.7827</v>
      </c>
      <c r="U257" s="194">
        <f t="shared" si="32"/>
        <v>0.73110000000000008</v>
      </c>
      <c r="V257" s="194">
        <f t="shared" si="33"/>
        <v>1.6320999999999999</v>
      </c>
      <c r="W257" s="194">
        <f>IFERROR(INDEX('Ashed teabags dry'!$K$2:$K$2000,MATCH(H257,'Ashed teabags dry'!$A$2:$A$2000,0)),"")</f>
        <v>34.288537549406669</v>
      </c>
      <c r="X257" s="194">
        <f>IFERROR(INDEX('Ashed teabags dry'!$K$2:$K$2000,MATCH(I257,'Ashed teabags dry'!$A$2:$A$2000,0)),"")</f>
        <v>22.3821339950374</v>
      </c>
      <c r="Y257" s="194">
        <f t="shared" si="28"/>
        <v>0.48041650197628794</v>
      </c>
      <c r="Z257" s="194">
        <f t="shared" si="28"/>
        <v>1.2668011910669945</v>
      </c>
      <c r="AA257" s="194">
        <f t="shared" si="34"/>
        <v>0.71880505618481227</v>
      </c>
      <c r="AB257" s="194">
        <f t="shared" si="35"/>
        <v>0.47123561878149217</v>
      </c>
      <c r="AC257" s="194">
        <f t="shared" si="29"/>
        <v>0.67583163474767738</v>
      </c>
      <c r="AD257">
        <f t="shared" si="36"/>
        <v>69</v>
      </c>
      <c r="AE257" s="194">
        <f t="shared" si="37"/>
        <v>0.14631228481613745</v>
      </c>
      <c r="AF257" s="194">
        <f t="shared" si="38"/>
        <v>1.687635118792085E-2</v>
      </c>
      <c r="AG257" s="245" t="str">
        <f>IF(ISNUMBER(SEARCH("C", 'Dry_Litterbag Placem_Collection'!$T184)),"YES","NO")</f>
        <v>YES</v>
      </c>
      <c r="AH257" s="245" t="str">
        <f>IF(ISNUMBER(SEARCH("H", 'Dry_Litterbag Placem_Collection'!$T184)),"YES","NO")</f>
        <v>YES</v>
      </c>
      <c r="AI257" s="245" t="str">
        <f>IF(ISNUMBER(SEARCH("R", 'Dry_Litterbag Placem_Collection'!$T184)),"YES","NO")</f>
        <v>YES</v>
      </c>
      <c r="AJ257" s="245" t="str">
        <f>IF(ISNUMBER(SEARCH("C", 'Dry_Litterbag Placem_Collection'!$S184)),"YES","NO")</f>
        <v>NO</v>
      </c>
      <c r="AK257" s="245" t="str">
        <f>IF(ISNUMBER(SEARCH("H", 'Dry_Litterbag Placem_Collection'!$S184)),"YES","NO")</f>
        <v>NO</v>
      </c>
      <c r="AL257" s="245" t="str">
        <f>IF(ISNUMBER(SEARCH("R", 'Dry_Litterbag Placem_Collection'!$S184)),"YES","NO")</f>
        <v>NO</v>
      </c>
    </row>
    <row r="258" spans="2:38">
      <c r="B258" t="str">
        <f>Dryseason!B184</f>
        <v>Dry</v>
      </c>
      <c r="C258" s="253">
        <f>Dryseason!C184</f>
        <v>183</v>
      </c>
      <c r="D258" t="s">
        <v>3129</v>
      </c>
      <c r="E258" t="s">
        <v>22</v>
      </c>
      <c r="F258" s="375">
        <v>7</v>
      </c>
      <c r="G258" s="16" t="str">
        <f>IF('Dry_Litterbag Placem_Collection'!E185="","",'Dry_Litterbag Placem_Collection'!E185)</f>
        <v/>
      </c>
      <c r="H258" t="str">
        <f>Dryseason!L184</f>
        <v/>
      </c>
      <c r="I258" t="str">
        <f>Dryseason!L404</f>
        <v/>
      </c>
      <c r="J258" t="str">
        <f>IFERROR(INDEX('Green_rooibos initial weight'!$C$5:$C$2000,MATCH(H258, 'Green_rooibos initial weight'!$A$5:$A$2000,0)),"")</f>
        <v/>
      </c>
      <c r="K258" t="str">
        <f>IFERROR(INDEX('Green_rooibos initial weight'!$C$5:$C$2000,MATCH(I258, 'Green_rooibos initial weight'!$A$5:$A$2000,0)),"")</f>
        <v/>
      </c>
      <c r="L258" s="194" t="str">
        <f t="shared" si="30"/>
        <v/>
      </c>
      <c r="M258" s="233">
        <f>AVERAGE(Ashed_controlls!$K$1:$K$11)</f>
        <v>5.5147656768714146</v>
      </c>
      <c r="N258" s="194" t="str">
        <f t="shared" si="26"/>
        <v/>
      </c>
      <c r="O258" s="194" t="str">
        <f t="shared" si="31"/>
        <v/>
      </c>
      <c r="P258" s="233">
        <f>AVERAGE(Ashed_controlls!$K$12:$K$14)</f>
        <v>2.2816647271287041</v>
      </c>
      <c r="Q258" s="194" t="str">
        <f t="shared" si="27"/>
        <v/>
      </c>
      <c r="R258" s="16" t="str">
        <f>IF('Dry_Litterbag Placem_Collection'!G185="","",'Dry_Litterbag Placem_Collection'!G185)</f>
        <v/>
      </c>
      <c r="S258" s="194" t="str">
        <f>IFERROR(INDEX('Both teabags AfterDry'!$D$3:$D$2000,MATCH(H258,'Both teabags AfterDry'!$A$3:$A$2000,0)),"")</f>
        <v/>
      </c>
      <c r="T258" s="194" t="str">
        <f>IFERROR(INDEX('Both teabags AfterDry'!$D$3:$D$2000,MATCH(I258,'Both teabags AfterDry'!$A$3:$A$2000,0)),"")</f>
        <v/>
      </c>
      <c r="U258" s="194" t="str">
        <f t="shared" si="32"/>
        <v/>
      </c>
      <c r="V258" s="194" t="str">
        <f t="shared" si="33"/>
        <v/>
      </c>
      <c r="W258" s="194" t="str">
        <f>IFERROR(INDEX('Ashed teabags dry'!$K$2:$K$2000,MATCH(H258,'Ashed teabags dry'!$A$2:$A$2000,0)),"")</f>
        <v/>
      </c>
      <c r="X258" s="194" t="str">
        <f>IFERROR(INDEX('Ashed teabags dry'!$K$2:$K$2000,MATCH(I258,'Ashed teabags dry'!$A$2:$A$2000,0)),"")</f>
        <v/>
      </c>
      <c r="Y258" s="194" t="str">
        <f t="shared" si="28"/>
        <v/>
      </c>
      <c r="Z258" s="194" t="str">
        <f t="shared" si="28"/>
        <v/>
      </c>
      <c r="AA258" s="194" t="str">
        <f t="shared" si="34"/>
        <v/>
      </c>
      <c r="AB258" s="194" t="str">
        <f t="shared" si="35"/>
        <v/>
      </c>
      <c r="AC258" s="194" t="str">
        <f t="shared" si="29"/>
        <v/>
      </c>
      <c r="AD258" t="str">
        <f t="shared" si="36"/>
        <v/>
      </c>
      <c r="AE258" s="194" t="str">
        <f t="shared" si="37"/>
        <v/>
      </c>
      <c r="AF258" s="194" t="str">
        <f t="shared" si="38"/>
        <v/>
      </c>
      <c r="AG258" s="245" t="str">
        <f>IF(ISNUMBER(SEARCH("C", 'Dry_Litterbag Placem_Collection'!$T185)),"YES","NO")</f>
        <v>NO</v>
      </c>
      <c r="AH258" s="245" t="str">
        <f>IF(ISNUMBER(SEARCH("H", 'Dry_Litterbag Placem_Collection'!$T185)),"YES","NO")</f>
        <v>NO</v>
      </c>
      <c r="AI258" s="245" t="str">
        <f>IF(ISNUMBER(SEARCH("R", 'Dry_Litterbag Placem_Collection'!$T185)),"YES","NO")</f>
        <v>NO</v>
      </c>
      <c r="AJ258" s="245" t="str">
        <f>IF(ISNUMBER(SEARCH("C", 'Dry_Litterbag Placem_Collection'!$S185)),"YES","NO")</f>
        <v>NO</v>
      </c>
      <c r="AK258" s="245" t="str">
        <f>IF(ISNUMBER(SEARCH("H", 'Dry_Litterbag Placem_Collection'!$S185)),"YES","NO")</f>
        <v>NO</v>
      </c>
      <c r="AL258" s="245" t="str">
        <f>IF(ISNUMBER(SEARCH("R", 'Dry_Litterbag Placem_Collection'!$S185)),"YES","NO")</f>
        <v>NO</v>
      </c>
    </row>
    <row r="259" spans="2:38">
      <c r="B259" t="str">
        <f>Dryseason!B185</f>
        <v>Dry</v>
      </c>
      <c r="C259" s="253">
        <f>Dryseason!C185</f>
        <v>184</v>
      </c>
      <c r="D259" t="s">
        <v>3129</v>
      </c>
      <c r="E259" t="s">
        <v>22</v>
      </c>
      <c r="F259" s="375">
        <v>8</v>
      </c>
      <c r="G259" s="16">
        <f>IF('Dry_Litterbag Placem_Collection'!E186="","",'Dry_Litterbag Placem_Collection'!E186)</f>
        <v>42940</v>
      </c>
      <c r="H259" t="str">
        <f>Dryseason!L185</f>
        <v>G235</v>
      </c>
      <c r="I259" t="str">
        <f>Dryseason!L405</f>
        <v>R179</v>
      </c>
      <c r="J259">
        <f>IFERROR(INDEX('Green_rooibos initial weight'!$C$5:$C$2000,MATCH(H259, 'Green_rooibos initial weight'!$A$5:$A$2000,0)),"")</f>
        <v>1.9259999999999999</v>
      </c>
      <c r="K259">
        <f>IFERROR(INDEX('Green_rooibos initial weight'!$C$5:$C$2000,MATCH(I259, 'Green_rooibos initial weight'!$A$5:$A$2000,0)),"")</f>
        <v>2.177</v>
      </c>
      <c r="L259" s="194">
        <f t="shared" si="30"/>
        <v>1.6761999999999999</v>
      </c>
      <c r="M259" s="233">
        <f>AVERAGE(Ashed_controlls!$K$1:$K$11)</f>
        <v>5.5147656768714146</v>
      </c>
      <c r="N259" s="194">
        <f t="shared" si="26"/>
        <v>1.5837614977242813</v>
      </c>
      <c r="O259" s="194">
        <f t="shared" si="31"/>
        <v>1.9272</v>
      </c>
      <c r="P259" s="233">
        <f>AVERAGE(Ashed_controlls!$K$12:$K$14)</f>
        <v>2.2816647271287041</v>
      </c>
      <c r="Q259" s="194">
        <f t="shared" si="27"/>
        <v>1.8832277573787757</v>
      </c>
      <c r="R259" s="16">
        <f>IF('Dry_Litterbag Placem_Collection'!G186="","",'Dry_Litterbag Placem_Collection'!G186)</f>
        <v>43009</v>
      </c>
      <c r="S259" s="194">
        <f>IFERROR(INDEX('Both teabags AfterDry'!$D$3:$D$2000,MATCH(H259,'Both teabags AfterDry'!$A$3:$A$2000,0)),"")</f>
        <v>0.66620000000000001</v>
      </c>
      <c r="T259" s="194">
        <f>IFERROR(INDEX('Both teabags AfterDry'!$D$3:$D$2000,MATCH(I259,'Both teabags AfterDry'!$A$3:$A$2000,0)),"")</f>
        <v>1.7174</v>
      </c>
      <c r="U259" s="194">
        <f t="shared" si="32"/>
        <v>0.51560000000000006</v>
      </c>
      <c r="V259" s="194">
        <f t="shared" si="33"/>
        <v>1.5668</v>
      </c>
      <c r="W259" s="194">
        <f>IFERROR(INDEX('Ashed teabags dry'!$K$2:$K$2000,MATCH(H259,'Ashed teabags dry'!$A$2:$A$2000,0)),"")</f>
        <v>28.09315866084463</v>
      </c>
      <c r="X259" s="194">
        <f>IFERROR(INDEX('Ashed teabags dry'!$K$2:$K$2000,MATCH(I259,'Ashed teabags dry'!$A$2:$A$2000,0)),"")</f>
        <v>5.7032382793619867</v>
      </c>
      <c r="Y259" s="194">
        <f t="shared" si="28"/>
        <v>0.37075167394468511</v>
      </c>
      <c r="Z259" s="194">
        <f t="shared" si="28"/>
        <v>1.4774416626389564</v>
      </c>
      <c r="AA259" s="194">
        <f t="shared" si="34"/>
        <v>0.7659043520899953</v>
      </c>
      <c r="AB259" s="194">
        <f t="shared" si="35"/>
        <v>0.502113066928358</v>
      </c>
      <c r="AC259" s="194">
        <f t="shared" si="29"/>
        <v>0.78452627774315298</v>
      </c>
      <c r="AD259">
        <f t="shared" si="36"/>
        <v>69</v>
      </c>
      <c r="AE259" s="194">
        <f t="shared" si="37"/>
        <v>9.0374878752974674E-2</v>
      </c>
      <c r="AF259" s="194">
        <f t="shared" si="38"/>
        <v>8.1246455145481105E-3</v>
      </c>
      <c r="AG259" s="245" t="str">
        <f>IF(ISNUMBER(SEARCH("C", 'Dry_Litterbag Placem_Collection'!$T186)),"YES","NO")</f>
        <v>NO</v>
      </c>
      <c r="AH259" s="245" t="str">
        <f>IF(ISNUMBER(SEARCH("H", 'Dry_Litterbag Placem_Collection'!$T186)),"YES","NO")</f>
        <v>NO</v>
      </c>
      <c r="AI259" s="245" t="str">
        <f>IF(ISNUMBER(SEARCH("R", 'Dry_Litterbag Placem_Collection'!$T186)),"YES","NO")</f>
        <v>YES</v>
      </c>
      <c r="AJ259" s="245" t="str">
        <f>IF(ISNUMBER(SEARCH("C", 'Dry_Litterbag Placem_Collection'!$S186)),"YES","NO")</f>
        <v>NO</v>
      </c>
      <c r="AK259" s="245" t="str">
        <f>IF(ISNUMBER(SEARCH("H", 'Dry_Litterbag Placem_Collection'!$S186)),"YES","NO")</f>
        <v>NO</v>
      </c>
      <c r="AL259" s="245" t="str">
        <f>IF(ISNUMBER(SEARCH("R", 'Dry_Litterbag Placem_Collection'!$S186)),"YES","NO")</f>
        <v>YES</v>
      </c>
    </row>
    <row r="260" spans="2:38">
      <c r="B260" t="str">
        <f>Dryseason!B186</f>
        <v>Dry</v>
      </c>
      <c r="C260" s="253">
        <f>Dryseason!C186</f>
        <v>185</v>
      </c>
      <c r="D260" t="s">
        <v>3130</v>
      </c>
      <c r="E260" t="s">
        <v>22</v>
      </c>
      <c r="F260" s="374">
        <v>1</v>
      </c>
      <c r="G260" s="16">
        <f>IF('Dry_Litterbag Placem_Collection'!E187="","",'Dry_Litterbag Placem_Collection'!E187)</f>
        <v>42940</v>
      </c>
      <c r="H260" t="str">
        <f>Dryseason!L186</f>
        <v>G369</v>
      </c>
      <c r="I260" t="str">
        <f>Dryseason!L406</f>
        <v>R300</v>
      </c>
      <c r="J260">
        <f>IFERROR(INDEX('Green_rooibos initial weight'!$C$5:$C$2000,MATCH(H260, 'Green_rooibos initial weight'!$A$5:$A$2000,0)),"")</f>
        <v>2.1219999999999999</v>
      </c>
      <c r="K260">
        <f>IFERROR(INDEX('Green_rooibos initial weight'!$C$5:$C$2000,MATCH(I260, 'Green_rooibos initial weight'!$A$5:$A$2000,0)),"")</f>
        <v>2.2330000000000001</v>
      </c>
      <c r="L260" s="194">
        <f t="shared" si="30"/>
        <v>1.8721999999999999</v>
      </c>
      <c r="M260" s="233">
        <f>AVERAGE(Ashed_controlls!$K$1:$K$11)</f>
        <v>5.5147656768714146</v>
      </c>
      <c r="N260" s="194">
        <f t="shared" si="26"/>
        <v>1.7689525569976132</v>
      </c>
      <c r="O260" s="194">
        <f t="shared" si="31"/>
        <v>1.9832000000000001</v>
      </c>
      <c r="P260" s="233">
        <f>AVERAGE(Ashed_controlls!$K$12:$K$14)</f>
        <v>2.2816647271287041</v>
      </c>
      <c r="Q260" s="194">
        <f t="shared" si="27"/>
        <v>1.9379500251315835</v>
      </c>
      <c r="R260" s="16">
        <f>IF('Dry_Litterbag Placem_Collection'!G187="","",'Dry_Litterbag Placem_Collection'!G187)</f>
        <v>43009</v>
      </c>
      <c r="S260" s="194" t="str">
        <f>IFERROR(INDEX('Both teabags AfterDry'!$D$3:$D$2000,MATCH(H260,'Both teabags AfterDry'!$A$3:$A$2000,0)),"")</f>
        <v/>
      </c>
      <c r="T260" s="194" t="str">
        <f>IFERROR(INDEX('Both teabags AfterDry'!$D$3:$D$2000,MATCH(I260,'Both teabags AfterDry'!$A$3:$A$2000,0)),"")</f>
        <v/>
      </c>
      <c r="U260" s="194" t="str">
        <f t="shared" si="32"/>
        <v/>
      </c>
      <c r="V260" s="194" t="str">
        <f t="shared" si="33"/>
        <v/>
      </c>
      <c r="W260" s="194" t="str">
        <f>IFERROR(INDEX('Ashed teabags dry'!$K$2:$K$2000,MATCH(H260,'Ashed teabags dry'!$A$2:$A$2000,0)),"")</f>
        <v/>
      </c>
      <c r="X260" s="194" t="str">
        <f>IFERROR(INDEX('Ashed teabags dry'!$K$2:$K$2000,MATCH(I260,'Ashed teabags dry'!$A$2:$A$2000,0)),"")</f>
        <v/>
      </c>
      <c r="Y260" s="194" t="str">
        <f t="shared" si="28"/>
        <v/>
      </c>
      <c r="Z260" s="194" t="str">
        <f t="shared" si="28"/>
        <v/>
      </c>
      <c r="AA260" s="194" t="str">
        <f t="shared" si="34"/>
        <v/>
      </c>
      <c r="AB260" s="194" t="str">
        <f t="shared" si="35"/>
        <v/>
      </c>
      <c r="AC260" s="194" t="str">
        <f t="shared" si="29"/>
        <v/>
      </c>
      <c r="AD260">
        <f t="shared" si="36"/>
        <v>69</v>
      </c>
      <c r="AE260" s="194" t="str">
        <f t="shared" si="37"/>
        <v/>
      </c>
      <c r="AF260" s="194" t="str">
        <f t="shared" si="38"/>
        <v/>
      </c>
      <c r="AG260" s="245" t="str">
        <f>IF(ISNUMBER(SEARCH("C", 'Dry_Litterbag Placem_Collection'!$T187)),"YES","NO")</f>
        <v>NO</v>
      </c>
      <c r="AH260" s="245" t="str">
        <f>IF(ISNUMBER(SEARCH("H", 'Dry_Litterbag Placem_Collection'!$T187)),"YES","NO")</f>
        <v>YES</v>
      </c>
      <c r="AI260" s="245" t="str">
        <f>IF(ISNUMBER(SEARCH("R", 'Dry_Litterbag Placem_Collection'!$T187)),"YES","NO")</f>
        <v>NO</v>
      </c>
      <c r="AJ260" s="245" t="str">
        <f>IF(ISNUMBER(SEARCH("C", 'Dry_Litterbag Placem_Collection'!$S187)),"YES","NO")</f>
        <v>NO</v>
      </c>
      <c r="AK260" s="245" t="str">
        <f>IF(ISNUMBER(SEARCH("H", 'Dry_Litterbag Placem_Collection'!$S187)),"YES","NO")</f>
        <v>NO</v>
      </c>
      <c r="AL260" s="245" t="str">
        <f>IF(ISNUMBER(SEARCH("R", 'Dry_Litterbag Placem_Collection'!$S187)),"YES","NO")</f>
        <v>NO</v>
      </c>
    </row>
    <row r="261" spans="2:38">
      <c r="B261" t="str">
        <f>Dryseason!B187</f>
        <v>Dry</v>
      </c>
      <c r="C261" s="253">
        <f>Dryseason!C187</f>
        <v>186</v>
      </c>
      <c r="D261" t="s">
        <v>3130</v>
      </c>
      <c r="E261" t="s">
        <v>22</v>
      </c>
      <c r="F261" s="374">
        <v>2</v>
      </c>
      <c r="G261" s="16">
        <f>IF('Dry_Litterbag Placem_Collection'!E188="","",'Dry_Litterbag Placem_Collection'!E188)</f>
        <v>42940</v>
      </c>
      <c r="H261" t="str">
        <f>Dryseason!L187</f>
        <v>G295</v>
      </c>
      <c r="I261" t="str">
        <f>Dryseason!L407</f>
        <v>R717</v>
      </c>
      <c r="J261">
        <f>IFERROR(INDEX('Green_rooibos initial weight'!$C$5:$C$2000,MATCH(H261, 'Green_rooibos initial weight'!$A$5:$A$2000,0)),"")</f>
        <v>2.0379999999999998</v>
      </c>
      <c r="K261">
        <f>IFERROR(INDEX('Green_rooibos initial weight'!$C$5:$C$2000,MATCH(I261, 'Green_rooibos initial weight'!$A$5:$A$2000,0)),"")</f>
        <v>2.1619999999999999</v>
      </c>
      <c r="L261" s="194">
        <f t="shared" si="30"/>
        <v>1.7881999999999998</v>
      </c>
      <c r="M261" s="233">
        <f>AVERAGE(Ashed_controlls!$K$1:$K$11)</f>
        <v>5.5147656768714146</v>
      </c>
      <c r="N261" s="194">
        <f t="shared" si="26"/>
        <v>1.6895849601661852</v>
      </c>
      <c r="O261" s="194">
        <f t="shared" si="31"/>
        <v>1.9121999999999999</v>
      </c>
      <c r="P261" s="233">
        <f>AVERAGE(Ashed_controlls!$K$12:$K$14)</f>
        <v>2.2816647271287041</v>
      </c>
      <c r="Q261" s="194">
        <f t="shared" si="27"/>
        <v>1.8685700070878448</v>
      </c>
      <c r="R261" s="16">
        <f>IF('Dry_Litterbag Placem_Collection'!G188="","",'Dry_Litterbag Placem_Collection'!G188)</f>
        <v>43009</v>
      </c>
      <c r="S261" s="194">
        <f>IFERROR(INDEX('Both teabags AfterDry'!$D$3:$D$2000,MATCH(H261,'Both teabags AfterDry'!$A$3:$A$2000,0)),"")</f>
        <v>0.92659999999999998</v>
      </c>
      <c r="T261" s="194">
        <f>IFERROR(INDEX('Both teabags AfterDry'!$D$3:$D$2000,MATCH(I261,'Both teabags AfterDry'!$A$3:$A$2000,0)),"")</f>
        <v>1.7592000000000001</v>
      </c>
      <c r="U261" s="194">
        <f t="shared" si="32"/>
        <v>0.77600000000000002</v>
      </c>
      <c r="V261" s="194">
        <f t="shared" si="33"/>
        <v>1.6086</v>
      </c>
      <c r="W261" s="194">
        <f>IFERROR(INDEX('Ashed teabags dry'!$K$2:$K$2000,MATCH(H261,'Ashed teabags dry'!$A$2:$A$2000,0)),"")</f>
        <v>26.422563087580492</v>
      </c>
      <c r="X261" s="194">
        <f>IFERROR(INDEX('Ashed teabags dry'!$K$2:$K$2000,MATCH(I261,'Ashed teabags dry'!$A$2:$A$2000,0)),"")</f>
        <v>31.265266243282504</v>
      </c>
      <c r="Y261" s="194">
        <f t="shared" si="28"/>
        <v>0.57096091044037545</v>
      </c>
      <c r="Z261" s="194">
        <f t="shared" si="28"/>
        <v>1.1056669272105577</v>
      </c>
      <c r="AA261" s="194">
        <f t="shared" si="34"/>
        <v>0.66207031673375183</v>
      </c>
      <c r="AB261" s="194">
        <f t="shared" si="35"/>
        <v>0.4340413477874478</v>
      </c>
      <c r="AC261" s="194">
        <f t="shared" si="29"/>
        <v>0.5917182246405277</v>
      </c>
      <c r="AD261">
        <f t="shared" si="36"/>
        <v>69</v>
      </c>
      <c r="AE261" s="194">
        <f t="shared" si="37"/>
        <v>0.21369321052998591</v>
      </c>
      <c r="AF261" s="194">
        <f t="shared" si="38"/>
        <v>4.0932369538499956E-2</v>
      </c>
      <c r="AG261" s="245" t="str">
        <f>IF(ISNUMBER(SEARCH("C", 'Dry_Litterbag Placem_Collection'!$T188)),"YES","NO")</f>
        <v>YES</v>
      </c>
      <c r="AH261" s="245" t="str">
        <f>IF(ISNUMBER(SEARCH("H", 'Dry_Litterbag Placem_Collection'!$T188)),"YES","NO")</f>
        <v>YES</v>
      </c>
      <c r="AI261" s="245" t="str">
        <f>IF(ISNUMBER(SEARCH("R", 'Dry_Litterbag Placem_Collection'!$T188)),"YES","NO")</f>
        <v>NO</v>
      </c>
      <c r="AJ261" s="245" t="str">
        <f>IF(ISNUMBER(SEARCH("C", 'Dry_Litterbag Placem_Collection'!$S188)),"YES","NO")</f>
        <v>NO</v>
      </c>
      <c r="AK261" s="245" t="str">
        <f>IF(ISNUMBER(SEARCH("H", 'Dry_Litterbag Placem_Collection'!$S188)),"YES","NO")</f>
        <v>YES</v>
      </c>
      <c r="AL261" s="245" t="str">
        <f>IF(ISNUMBER(SEARCH("R", 'Dry_Litterbag Placem_Collection'!$S188)),"YES","NO")</f>
        <v>YES</v>
      </c>
    </row>
    <row r="262" spans="2:38">
      <c r="B262" t="str">
        <f>Dryseason!B188</f>
        <v>Dry</v>
      </c>
      <c r="C262" s="253">
        <f>Dryseason!C188</f>
        <v>187</v>
      </c>
      <c r="D262" t="s">
        <v>3130</v>
      </c>
      <c r="E262" t="s">
        <v>22</v>
      </c>
      <c r="F262" s="374">
        <v>3</v>
      </c>
      <c r="G262" s="16">
        <f>IF('Dry_Litterbag Placem_Collection'!E189="","",'Dry_Litterbag Placem_Collection'!E189)</f>
        <v>42940</v>
      </c>
      <c r="H262" t="str">
        <f>Dryseason!L188</f>
        <v>G242</v>
      </c>
      <c r="I262" t="str">
        <f>Dryseason!L408</f>
        <v>R759</v>
      </c>
      <c r="J262">
        <f>IFERROR(INDEX('Green_rooibos initial weight'!$C$5:$C$2000,MATCH(H262, 'Green_rooibos initial weight'!$A$5:$A$2000,0)),"")</f>
        <v>1.9470000000000001</v>
      </c>
      <c r="K262">
        <f>IFERROR(INDEX('Green_rooibos initial weight'!$C$5:$C$2000,MATCH(I262, 'Green_rooibos initial weight'!$A$5:$A$2000,0)),"")</f>
        <v>2.2469999999999999</v>
      </c>
      <c r="L262" s="194">
        <f t="shared" si="30"/>
        <v>1.6972</v>
      </c>
      <c r="M262" s="233">
        <f>AVERAGE(Ashed_controlls!$K$1:$K$11)</f>
        <v>5.5147656768714146</v>
      </c>
      <c r="N262" s="194">
        <f t="shared" si="26"/>
        <v>1.6036033969321384</v>
      </c>
      <c r="O262" s="194">
        <f t="shared" si="31"/>
        <v>1.9971999999999999</v>
      </c>
      <c r="P262" s="233">
        <f>AVERAGE(Ashed_controlls!$K$12:$K$14)</f>
        <v>2.2816647271287041</v>
      </c>
      <c r="Q262" s="194">
        <f t="shared" si="27"/>
        <v>1.9516305920697854</v>
      </c>
      <c r="R262" s="16">
        <f>IF('Dry_Litterbag Placem_Collection'!G189="","",'Dry_Litterbag Placem_Collection'!G189)</f>
        <v>43009</v>
      </c>
      <c r="S262" s="194">
        <f>IFERROR(INDEX('Both teabags AfterDry'!$D$3:$D$2000,MATCH(H262,'Both teabags AfterDry'!$A$3:$A$2000,0)),"")</f>
        <v>0.70840000000000003</v>
      </c>
      <c r="T262" s="194">
        <f>IFERROR(INDEX('Both teabags AfterDry'!$D$3:$D$2000,MATCH(I262,'Both teabags AfterDry'!$A$3:$A$2000,0)),"")</f>
        <v>1.7075</v>
      </c>
      <c r="U262" s="194">
        <f t="shared" si="32"/>
        <v>0.55780000000000007</v>
      </c>
      <c r="V262" s="194">
        <f t="shared" si="33"/>
        <v>1.5569</v>
      </c>
      <c r="W262" s="194">
        <f>IFERROR(INDEX('Ashed teabags dry'!$K$2:$K$2000,MATCH(H262,'Ashed teabags dry'!$A$2:$A$2000,0)),"")</f>
        <v>27.059970745976948</v>
      </c>
      <c r="X262" s="194">
        <f>IFERROR(INDEX('Ashed teabags dry'!$K$2:$K$2000,MATCH(I262,'Ashed teabags dry'!$A$2:$A$2000,0)),"")</f>
        <v>9.3676814988289312</v>
      </c>
      <c r="Y262" s="194">
        <f t="shared" si="28"/>
        <v>0.40685948317894061</v>
      </c>
      <c r="Z262" s="194">
        <f t="shared" si="28"/>
        <v>1.4110545667447323</v>
      </c>
      <c r="AA262" s="194">
        <f t="shared" si="34"/>
        <v>0.74628422217282309</v>
      </c>
      <c r="AB262" s="194">
        <f t="shared" si="35"/>
        <v>0.48925046394227839</v>
      </c>
      <c r="AC262" s="194">
        <f t="shared" si="29"/>
        <v>0.72301314217884349</v>
      </c>
      <c r="AD262">
        <f t="shared" si="36"/>
        <v>69</v>
      </c>
      <c r="AE262" s="194">
        <f t="shared" si="37"/>
        <v>0.11367669575674211</v>
      </c>
      <c r="AF262" s="194">
        <f t="shared" si="38"/>
        <v>1.2102110538974925E-2</v>
      </c>
      <c r="AG262" s="245" t="str">
        <f>IF(ISNUMBER(SEARCH("C", 'Dry_Litterbag Placem_Collection'!$T189)),"YES","NO")</f>
        <v>NO</v>
      </c>
      <c r="AH262" s="245" t="str">
        <f>IF(ISNUMBER(SEARCH("H", 'Dry_Litterbag Placem_Collection'!$T189)),"YES","NO")</f>
        <v>NO</v>
      </c>
      <c r="AI262" s="245" t="str">
        <f>IF(ISNUMBER(SEARCH("R", 'Dry_Litterbag Placem_Collection'!$T189)),"YES","NO")</f>
        <v>NO</v>
      </c>
      <c r="AJ262" s="245" t="str">
        <f>IF(ISNUMBER(SEARCH("C", 'Dry_Litterbag Placem_Collection'!$S189)),"YES","NO")</f>
        <v>NO</v>
      </c>
      <c r="AK262" s="245" t="str">
        <f>IF(ISNUMBER(SEARCH("H", 'Dry_Litterbag Placem_Collection'!$S189)),"YES","NO")</f>
        <v>NO</v>
      </c>
      <c r="AL262" s="245" t="str">
        <f>IF(ISNUMBER(SEARCH("R", 'Dry_Litterbag Placem_Collection'!$S189)),"YES","NO")</f>
        <v>YES</v>
      </c>
    </row>
    <row r="263" spans="2:38">
      <c r="B263" t="str">
        <f>Dryseason!B189</f>
        <v>Dry</v>
      </c>
      <c r="C263" s="253">
        <f>Dryseason!C189</f>
        <v>188</v>
      </c>
      <c r="D263" t="s">
        <v>3130</v>
      </c>
      <c r="E263" t="s">
        <v>22</v>
      </c>
      <c r="F263" s="375">
        <v>4</v>
      </c>
      <c r="G263" s="16">
        <f>IF('Dry_Litterbag Placem_Collection'!E190="","",'Dry_Litterbag Placem_Collection'!E190)</f>
        <v>42940</v>
      </c>
      <c r="H263" t="str">
        <f>Dryseason!L189</f>
        <v>G146</v>
      </c>
      <c r="I263" t="str">
        <f>Dryseason!L409</f>
        <v>R357</v>
      </c>
      <c r="J263">
        <f>IFERROR(INDEX('Green_rooibos initial weight'!$C$5:$C$2000,MATCH(H263, 'Green_rooibos initial weight'!$A$5:$A$2000,0)),"")</f>
        <v>2.0529999999999999</v>
      </c>
      <c r="K263">
        <f>IFERROR(INDEX('Green_rooibos initial weight'!$C$5:$C$2000,MATCH(I263, 'Green_rooibos initial weight'!$A$5:$A$2000,0)),"")</f>
        <v>2.2090000000000001</v>
      </c>
      <c r="L263" s="194">
        <f t="shared" si="30"/>
        <v>1.8031999999999999</v>
      </c>
      <c r="M263" s="233">
        <f>AVERAGE(Ashed_controlls!$K$1:$K$11)</f>
        <v>5.5147656768714146</v>
      </c>
      <c r="N263" s="194">
        <f t="shared" si="26"/>
        <v>1.7037577453146546</v>
      </c>
      <c r="O263" s="194">
        <f t="shared" si="31"/>
        <v>1.9592000000000001</v>
      </c>
      <c r="P263" s="233">
        <f>AVERAGE(Ashed_controlls!$K$12:$K$14)</f>
        <v>2.2816647271287041</v>
      </c>
      <c r="Q263" s="194">
        <f t="shared" si="27"/>
        <v>1.9144976246660945</v>
      </c>
      <c r="R263" s="16">
        <f>IF('Dry_Litterbag Placem_Collection'!G190="","",'Dry_Litterbag Placem_Collection'!G190)</f>
        <v>43009</v>
      </c>
      <c r="S263" s="194">
        <f>IFERROR(INDEX('Both teabags AfterDry'!$D$3:$D$2000,MATCH(H263,'Both teabags AfterDry'!$A$3:$A$2000,0)),"")</f>
        <v>0.91069999999999995</v>
      </c>
      <c r="T263" s="194">
        <f>IFERROR(INDEX('Both teabags AfterDry'!$D$3:$D$2000,MATCH(I263,'Both teabags AfterDry'!$A$3:$A$2000,0)),"")</f>
        <v>0</v>
      </c>
      <c r="U263" s="194">
        <f t="shared" si="32"/>
        <v>0.7601</v>
      </c>
      <c r="V263" s="194" t="str">
        <f t="shared" si="33"/>
        <v/>
      </c>
      <c r="W263" s="194">
        <f>IFERROR(INDEX('Ashed teabags dry'!$K$2:$K$2000,MATCH(H263,'Ashed teabags dry'!$A$2:$A$2000,0)),"")</f>
        <v>39.03411608329683</v>
      </c>
      <c r="X263" s="194">
        <f>IFERROR(INDEX('Ashed teabags dry'!$K$2:$K$2000,MATCH(I263,'Ashed teabags dry'!$A$2:$A$2000,0)),"")</f>
        <v>0</v>
      </c>
      <c r="Y263" s="194">
        <f t="shared" si="28"/>
        <v>0.46340168365086076</v>
      </c>
      <c r="Z263" s="194" t="str">
        <f t="shared" si="28"/>
        <v/>
      </c>
      <c r="AA263" s="194">
        <f t="shared" si="34"/>
        <v>0.72801198707667303</v>
      </c>
      <c r="AB263" s="194">
        <f t="shared" si="35"/>
        <v>0.47727151646831778</v>
      </c>
      <c r="AC263" s="194" t="str">
        <f t="shared" si="29"/>
        <v/>
      </c>
      <c r="AD263">
        <f t="shared" si="36"/>
        <v>69</v>
      </c>
      <c r="AE263" s="194">
        <f t="shared" si="37"/>
        <v>0.13537768755739543</v>
      </c>
      <c r="AF263" s="194" t="str">
        <f t="shared" si="38"/>
        <v/>
      </c>
      <c r="AG263" s="245" t="str">
        <f>IF(ISNUMBER(SEARCH("C", 'Dry_Litterbag Placem_Collection'!$T190)),"YES","NO")</f>
        <v>YES</v>
      </c>
      <c r="AH263" s="245" t="str">
        <f>IF(ISNUMBER(SEARCH("H", 'Dry_Litterbag Placem_Collection'!$T190)),"YES","NO")</f>
        <v>YES</v>
      </c>
      <c r="AI263" s="245" t="str">
        <f>IF(ISNUMBER(SEARCH("R", 'Dry_Litterbag Placem_Collection'!$T190)),"YES","NO")</f>
        <v>YES</v>
      </c>
      <c r="AJ263" s="245" t="str">
        <f>IF(ISNUMBER(SEARCH("C", 'Dry_Litterbag Placem_Collection'!$S190)),"YES","NO")</f>
        <v>NO</v>
      </c>
      <c r="AK263" s="245" t="str">
        <f>IF(ISNUMBER(SEARCH("H", 'Dry_Litterbag Placem_Collection'!$S190)),"YES","NO")</f>
        <v>YES</v>
      </c>
      <c r="AL263" s="245" t="str">
        <f>IF(ISNUMBER(SEARCH("R", 'Dry_Litterbag Placem_Collection'!$S190)),"YES","NO")</f>
        <v>YES</v>
      </c>
    </row>
    <row r="264" spans="2:38">
      <c r="B264" t="str">
        <f>Dryseason!B190</f>
        <v>Dry</v>
      </c>
      <c r="C264" s="253">
        <f>Dryseason!C190</f>
        <v>189</v>
      </c>
      <c r="D264" t="s">
        <v>3130</v>
      </c>
      <c r="E264" t="s">
        <v>22</v>
      </c>
      <c r="F264" s="375">
        <v>5</v>
      </c>
      <c r="G264" s="16">
        <f>IF('Dry_Litterbag Placem_Collection'!E191="","",'Dry_Litterbag Placem_Collection'!E191)</f>
        <v>42940</v>
      </c>
      <c r="H264" t="str">
        <f>Dryseason!L190</f>
        <v>G144</v>
      </c>
      <c r="I264" t="str">
        <f>Dryseason!L410</f>
        <v>R18</v>
      </c>
      <c r="J264">
        <f>IFERROR(INDEX('Green_rooibos initial weight'!$C$5:$C$2000,MATCH(H264, 'Green_rooibos initial weight'!$A$5:$A$2000,0)),"")</f>
        <v>2.0230000000000001</v>
      </c>
      <c r="K264">
        <f>IFERROR(INDEX('Green_rooibos initial weight'!$C$5:$C$2000,MATCH(I264, 'Green_rooibos initial weight'!$A$5:$A$2000,0)),"")</f>
        <v>2.2519999999999998</v>
      </c>
      <c r="L264" s="194">
        <f t="shared" si="30"/>
        <v>1.7732000000000001</v>
      </c>
      <c r="M264" s="233">
        <f>AVERAGE(Ashed_controlls!$K$1:$K$11)</f>
        <v>5.5147656768714146</v>
      </c>
      <c r="N264" s="194">
        <f t="shared" si="26"/>
        <v>1.6754121750177162</v>
      </c>
      <c r="O264" s="194">
        <f t="shared" si="31"/>
        <v>2.0021999999999998</v>
      </c>
      <c r="P264" s="233">
        <f>AVERAGE(Ashed_controlls!$K$12:$K$14)</f>
        <v>2.2816647271287041</v>
      </c>
      <c r="Q264" s="194">
        <f t="shared" si="27"/>
        <v>1.9565165088334289</v>
      </c>
      <c r="R264" s="16">
        <f>IF('Dry_Litterbag Placem_Collection'!G191="","",'Dry_Litterbag Placem_Collection'!G191)</f>
        <v>43009</v>
      </c>
      <c r="S264" s="194">
        <f>IFERROR(INDEX('Both teabags AfterDry'!$D$3:$D$2000,MATCH(H264,'Both teabags AfterDry'!$A$3:$A$2000,0)),"")</f>
        <v>0.68520000000000003</v>
      </c>
      <c r="T264" s="194">
        <f>IFERROR(INDEX('Both teabags AfterDry'!$D$3:$D$2000,MATCH(I264,'Both teabags AfterDry'!$A$3:$A$2000,0)),"")</f>
        <v>0</v>
      </c>
      <c r="U264" s="194">
        <f t="shared" si="32"/>
        <v>0.53459999999999996</v>
      </c>
      <c r="V264" s="194" t="str">
        <f t="shared" si="33"/>
        <v/>
      </c>
      <c r="W264" s="194">
        <f>IFERROR(INDEX('Ashed teabags dry'!$K$2:$K$2000,MATCH(H264,'Ashed teabags dry'!$A$2:$A$2000,0)),"")</f>
        <v>22.366450324513245</v>
      </c>
      <c r="X264" s="194">
        <f>IFERROR(INDEX('Ashed teabags dry'!$K$2:$K$2000,MATCH(I264,'Ashed teabags dry'!$A$2:$A$2000,0)),"")</f>
        <v>91.674047829938516</v>
      </c>
      <c r="Y264" s="194">
        <f t="shared" si="28"/>
        <v>0.41502895656515215</v>
      </c>
      <c r="Z264" s="194" t="str">
        <f t="shared" si="28"/>
        <v/>
      </c>
      <c r="AA264" s="194">
        <f t="shared" si="34"/>
        <v>0.75228247546860305</v>
      </c>
      <c r="AB264" s="194">
        <f t="shared" si="35"/>
        <v>0.49318281052098445</v>
      </c>
      <c r="AC264" s="194" t="str">
        <f t="shared" si="29"/>
        <v/>
      </c>
      <c r="AD264">
        <f t="shared" si="36"/>
        <v>69</v>
      </c>
      <c r="AE264" s="194">
        <f t="shared" si="37"/>
        <v>0.10655287949097025</v>
      </c>
      <c r="AF264" s="194" t="str">
        <f t="shared" si="38"/>
        <v/>
      </c>
      <c r="AG264" s="245" t="str">
        <f>IF(ISNUMBER(SEARCH("C", 'Dry_Litterbag Placem_Collection'!$T191)),"YES","NO")</f>
        <v>NO</v>
      </c>
      <c r="AH264" s="245" t="str">
        <f>IF(ISNUMBER(SEARCH("H", 'Dry_Litterbag Placem_Collection'!$T191)),"YES","NO")</f>
        <v>YES</v>
      </c>
      <c r="AI264" s="245" t="str">
        <f>IF(ISNUMBER(SEARCH("R", 'Dry_Litterbag Placem_Collection'!$T191)),"YES","NO")</f>
        <v>YES</v>
      </c>
      <c r="AJ264" s="245" t="str">
        <f>IF(ISNUMBER(SEARCH("C", 'Dry_Litterbag Placem_Collection'!$S191)),"YES","NO")</f>
        <v>NO</v>
      </c>
      <c r="AK264" s="245" t="str">
        <f>IF(ISNUMBER(SEARCH("H", 'Dry_Litterbag Placem_Collection'!$S191)),"YES","NO")</f>
        <v>NO</v>
      </c>
      <c r="AL264" s="245" t="str">
        <f>IF(ISNUMBER(SEARCH("R", 'Dry_Litterbag Placem_Collection'!$S191)),"YES","NO")</f>
        <v>YES</v>
      </c>
    </row>
    <row r="265" spans="2:38">
      <c r="B265" t="str">
        <f>Dryseason!B191</f>
        <v>Dry</v>
      </c>
      <c r="C265" s="253">
        <f>Dryseason!C191</f>
        <v>190</v>
      </c>
      <c r="D265" t="s">
        <v>3130</v>
      </c>
      <c r="E265" t="s">
        <v>22</v>
      </c>
      <c r="F265" s="375">
        <v>6</v>
      </c>
      <c r="G265" s="16">
        <f>IF('Dry_Litterbag Placem_Collection'!E192="","",'Dry_Litterbag Placem_Collection'!E192)</f>
        <v>42940</v>
      </c>
      <c r="H265" t="str">
        <f>Dryseason!L191</f>
        <v>G171</v>
      </c>
      <c r="I265" t="str">
        <f>Dryseason!L411</f>
        <v>R397</v>
      </c>
      <c r="J265">
        <f>IFERROR(INDEX('Green_rooibos initial weight'!$C$5:$C$2000,MATCH(H265, 'Green_rooibos initial weight'!$A$5:$A$2000,0)),"")</f>
        <v>1.9239999999999999</v>
      </c>
      <c r="K265">
        <f>IFERROR(INDEX('Green_rooibos initial weight'!$C$5:$C$2000,MATCH(I265, 'Green_rooibos initial weight'!$A$5:$A$2000,0)),"")</f>
        <v>2.1970000000000001</v>
      </c>
      <c r="L265" s="194">
        <f t="shared" si="30"/>
        <v>1.6741999999999999</v>
      </c>
      <c r="M265" s="233">
        <f>AVERAGE(Ashed_controlls!$K$1:$K$11)</f>
        <v>5.5147656768714146</v>
      </c>
      <c r="N265" s="194">
        <f t="shared" si="26"/>
        <v>1.5818717930378188</v>
      </c>
      <c r="O265" s="194">
        <f t="shared" si="31"/>
        <v>1.9472</v>
      </c>
      <c r="P265" s="233">
        <f>AVERAGE(Ashed_controlls!$K$12:$K$14)</f>
        <v>2.2816647271287041</v>
      </c>
      <c r="Q265" s="194">
        <f t="shared" si="27"/>
        <v>1.90277142443335</v>
      </c>
      <c r="R265" s="16">
        <f>IF('Dry_Litterbag Placem_Collection'!G192="","",'Dry_Litterbag Placem_Collection'!G192)</f>
        <v>43009</v>
      </c>
      <c r="S265" s="194">
        <f>IFERROR(INDEX('Both teabags AfterDry'!$D$3:$D$2000,MATCH(H265,'Both teabags AfterDry'!$A$3:$A$2000,0)),"")</f>
        <v>0.75309999999999999</v>
      </c>
      <c r="T265" s="194">
        <f>IFERROR(INDEX('Both teabags AfterDry'!$D$3:$D$2000,MATCH(I265,'Both teabags AfterDry'!$A$3:$A$2000,0)),"")</f>
        <v>1.7444999999999999</v>
      </c>
      <c r="U265" s="194">
        <f t="shared" si="32"/>
        <v>0.60250000000000004</v>
      </c>
      <c r="V265" s="194">
        <f t="shared" si="33"/>
        <v>1.5938999999999999</v>
      </c>
      <c r="W265" s="194">
        <f>IFERROR(INDEX('Ashed teabags dry'!$K$2:$K$2000,MATCH(H265,'Ashed teabags dry'!$A$2:$A$2000,0)),"")</f>
        <v>24.915824915824324</v>
      </c>
      <c r="X265" s="194">
        <f>IFERROR(INDEX('Ashed teabags dry'!$K$2:$K$2000,MATCH(I265,'Ashed teabags dry'!$A$2:$A$2000,0)),"")</f>
        <v>11.059262715818997</v>
      </c>
      <c r="Y265" s="194">
        <f t="shared" si="28"/>
        <v>0.45238215488215849</v>
      </c>
      <c r="Z265" s="194">
        <f t="shared" si="28"/>
        <v>1.417626411572561</v>
      </c>
      <c r="AA265" s="194">
        <f t="shared" si="34"/>
        <v>0.71402097384048679</v>
      </c>
      <c r="AB265" s="194">
        <f t="shared" si="35"/>
        <v>0.46809926076003416</v>
      </c>
      <c r="AC265" s="194">
        <f t="shared" si="29"/>
        <v>0.74503242657994695</v>
      </c>
      <c r="AD265">
        <f t="shared" si="36"/>
        <v>69</v>
      </c>
      <c r="AE265" s="194">
        <f t="shared" si="37"/>
        <v>0.15199409282602516</v>
      </c>
      <c r="AF265" s="194">
        <f t="shared" si="38"/>
        <v>1.1402465854722172E-2</v>
      </c>
      <c r="AG265" s="245" t="str">
        <f>IF(ISNUMBER(SEARCH("C", 'Dry_Litterbag Placem_Collection'!$T192)),"YES","NO")</f>
        <v>NO</v>
      </c>
      <c r="AH265" s="245" t="str">
        <f>IF(ISNUMBER(SEARCH("H", 'Dry_Litterbag Placem_Collection'!$T192)),"YES","NO")</f>
        <v>NO</v>
      </c>
      <c r="AI265" s="245" t="str">
        <f>IF(ISNUMBER(SEARCH("R", 'Dry_Litterbag Placem_Collection'!$T192)),"YES","NO")</f>
        <v>NO</v>
      </c>
      <c r="AJ265" s="245" t="str">
        <f>IF(ISNUMBER(SEARCH("C", 'Dry_Litterbag Placem_Collection'!$S192)),"YES","NO")</f>
        <v>NO</v>
      </c>
      <c r="AK265" s="245" t="str">
        <f>IF(ISNUMBER(SEARCH("H", 'Dry_Litterbag Placem_Collection'!$S192)),"YES","NO")</f>
        <v>NO</v>
      </c>
      <c r="AL265" s="245" t="str">
        <f>IF(ISNUMBER(SEARCH("R", 'Dry_Litterbag Placem_Collection'!$S192)),"YES","NO")</f>
        <v>NO</v>
      </c>
    </row>
    <row r="266" spans="2:38">
      <c r="B266" t="str">
        <f>Dryseason!B192</f>
        <v>Dry</v>
      </c>
      <c r="C266" s="253">
        <f>Dryseason!C192</f>
        <v>191</v>
      </c>
      <c r="D266" t="s">
        <v>3130</v>
      </c>
      <c r="E266" t="s">
        <v>22</v>
      </c>
      <c r="F266" s="375">
        <v>7</v>
      </c>
      <c r="G266" s="16">
        <f>IF('Dry_Litterbag Placem_Collection'!E193="","",'Dry_Litterbag Placem_Collection'!E193)</f>
        <v>42940</v>
      </c>
      <c r="H266" t="str">
        <f>Dryseason!L192</f>
        <v>G232</v>
      </c>
      <c r="I266" t="str">
        <f>Dryseason!L412</f>
        <v>R715</v>
      </c>
      <c r="J266">
        <f>IFERROR(INDEX('Green_rooibos initial weight'!$C$5:$C$2000,MATCH(H266, 'Green_rooibos initial weight'!$A$5:$A$2000,0)),"")</f>
        <v>2.04</v>
      </c>
      <c r="K266">
        <f>IFERROR(INDEX('Green_rooibos initial weight'!$C$5:$C$2000,MATCH(I266, 'Green_rooibos initial weight'!$A$5:$A$2000,0)),"")</f>
        <v>2.161</v>
      </c>
      <c r="L266" s="194">
        <f t="shared" si="30"/>
        <v>1.7902</v>
      </c>
      <c r="M266" s="233">
        <f>AVERAGE(Ashed_controlls!$K$1:$K$11)</f>
        <v>5.5147656768714146</v>
      </c>
      <c r="N266" s="194">
        <f t="shared" si="26"/>
        <v>1.691474664852648</v>
      </c>
      <c r="O266" s="194">
        <f t="shared" si="31"/>
        <v>1.9112</v>
      </c>
      <c r="P266" s="233">
        <f>AVERAGE(Ashed_controlls!$K$12:$K$14)</f>
        <v>2.2816647271287041</v>
      </c>
      <c r="Q266" s="194">
        <f t="shared" si="27"/>
        <v>1.8675928237351163</v>
      </c>
      <c r="R266" s="16">
        <f>IF('Dry_Litterbag Placem_Collection'!G193="","",'Dry_Litterbag Placem_Collection'!G193)</f>
        <v>43009</v>
      </c>
      <c r="S266" s="194">
        <f>IFERROR(INDEX('Both teabags AfterDry'!$D$3:$D$2000,MATCH(H266,'Both teabags AfterDry'!$A$3:$A$2000,0)),"")</f>
        <v>0.80369999999999997</v>
      </c>
      <c r="T266" s="194">
        <f>IFERROR(INDEX('Both teabags AfterDry'!$D$3:$D$2000,MATCH(I266,'Both teabags AfterDry'!$A$3:$A$2000,0)),"")</f>
        <v>1.9014</v>
      </c>
      <c r="U266" s="194">
        <f t="shared" si="32"/>
        <v>0.65310000000000001</v>
      </c>
      <c r="V266" s="194">
        <f t="shared" si="33"/>
        <v>1.7507999999999999</v>
      </c>
      <c r="W266" s="194">
        <f>IFERROR(INDEX('Ashed teabags dry'!$K$2:$K$2000,MATCH(H266,'Ashed teabags dry'!$A$2:$A$2000,0)),"")</f>
        <v>26.339066339066047</v>
      </c>
      <c r="X266" s="194">
        <f>IFERROR(INDEX('Ashed teabags dry'!$K$2:$K$2000,MATCH(I266,'Ashed teabags dry'!$A$2:$A$2000,0)),"")</f>
        <v>5.9051306873185379</v>
      </c>
      <c r="Y266" s="194">
        <f t="shared" si="28"/>
        <v>0.48107955773955968</v>
      </c>
      <c r="Z266" s="194">
        <f t="shared" si="28"/>
        <v>1.647412971926427</v>
      </c>
      <c r="AA266" s="194">
        <f t="shared" si="34"/>
        <v>0.71558571479906341</v>
      </c>
      <c r="AB266" s="194">
        <f t="shared" si="35"/>
        <v>0.46912507668537179</v>
      </c>
      <c r="AC266" s="194">
        <f t="shared" si="29"/>
        <v>0.88210500221973565</v>
      </c>
      <c r="AD266">
        <f t="shared" si="36"/>
        <v>69</v>
      </c>
      <c r="AE266" s="194">
        <f t="shared" si="37"/>
        <v>0.15013573064244246</v>
      </c>
      <c r="AF266" s="194">
        <f t="shared" si="38"/>
        <v>4.1946074890022679E-3</v>
      </c>
      <c r="AG266" s="245" t="str">
        <f>IF(ISNUMBER(SEARCH("C", 'Dry_Litterbag Placem_Collection'!$T193)),"YES","NO")</f>
        <v>NO</v>
      </c>
      <c r="AH266" s="245" t="str">
        <f>IF(ISNUMBER(SEARCH("H", 'Dry_Litterbag Placem_Collection'!$T193)),"YES","NO")</f>
        <v>NO</v>
      </c>
      <c r="AI266" s="245" t="str">
        <f>IF(ISNUMBER(SEARCH("R", 'Dry_Litterbag Placem_Collection'!$T193)),"YES","NO")</f>
        <v>NO</v>
      </c>
      <c r="AJ266" s="245" t="str">
        <f>IF(ISNUMBER(SEARCH("C", 'Dry_Litterbag Placem_Collection'!$S193)),"YES","NO")</f>
        <v>NO</v>
      </c>
      <c r="AK266" s="245" t="str">
        <f>IF(ISNUMBER(SEARCH("H", 'Dry_Litterbag Placem_Collection'!$S193)),"YES","NO")</f>
        <v>NO</v>
      </c>
      <c r="AL266" s="245" t="str">
        <f>IF(ISNUMBER(SEARCH("R", 'Dry_Litterbag Placem_Collection'!$S193)),"YES","NO")</f>
        <v>NO</v>
      </c>
    </row>
    <row r="267" spans="2:38">
      <c r="B267" t="str">
        <f>Dryseason!B193</f>
        <v>Dry</v>
      </c>
      <c r="C267" s="253">
        <f>Dryseason!C193</f>
        <v>192</v>
      </c>
      <c r="D267" t="s">
        <v>3130</v>
      </c>
      <c r="E267" t="s">
        <v>22</v>
      </c>
      <c r="F267" s="375">
        <v>8</v>
      </c>
      <c r="G267" s="16" t="str">
        <f>IF('Dry_Litterbag Placem_Collection'!E194="","",'Dry_Litterbag Placem_Collection'!E194)</f>
        <v/>
      </c>
      <c r="H267" t="str">
        <f>Dryseason!L193</f>
        <v/>
      </c>
      <c r="I267" t="str">
        <f>Dryseason!L413</f>
        <v/>
      </c>
      <c r="J267" t="str">
        <f>IFERROR(INDEX('Green_rooibos initial weight'!$C$5:$C$2000,MATCH(H267, 'Green_rooibos initial weight'!$A$5:$A$2000,0)),"")</f>
        <v/>
      </c>
      <c r="K267" t="str">
        <f>IFERROR(INDEX('Green_rooibos initial weight'!$C$5:$C$2000,MATCH(I267, 'Green_rooibos initial weight'!$A$5:$A$2000,0)),"")</f>
        <v/>
      </c>
      <c r="L267" s="194" t="str">
        <f t="shared" si="30"/>
        <v/>
      </c>
      <c r="M267" s="233">
        <f>AVERAGE(Ashed_controlls!$K$1:$K$11)</f>
        <v>5.5147656768714146</v>
      </c>
      <c r="N267" s="194" t="str">
        <f t="shared" si="26"/>
        <v/>
      </c>
      <c r="O267" s="194" t="str">
        <f t="shared" si="31"/>
        <v/>
      </c>
      <c r="P267" s="233">
        <f>AVERAGE(Ashed_controlls!$K$12:$K$14)</f>
        <v>2.2816647271287041</v>
      </c>
      <c r="Q267" s="194" t="str">
        <f t="shared" si="27"/>
        <v/>
      </c>
      <c r="R267" s="16" t="str">
        <f>IF('Dry_Litterbag Placem_Collection'!G194="","",'Dry_Litterbag Placem_Collection'!G194)</f>
        <v/>
      </c>
      <c r="S267" s="194" t="str">
        <f>IFERROR(INDEX('Both teabags AfterDry'!$D$3:$D$2000,MATCH(H267,'Both teabags AfterDry'!$A$3:$A$2000,0)),"")</f>
        <v/>
      </c>
      <c r="T267" s="194" t="str">
        <f>IFERROR(INDEX('Both teabags AfterDry'!$D$3:$D$2000,MATCH(I267,'Both teabags AfterDry'!$A$3:$A$2000,0)),"")</f>
        <v/>
      </c>
      <c r="U267" s="194" t="str">
        <f t="shared" si="32"/>
        <v/>
      </c>
      <c r="V267" s="194" t="str">
        <f t="shared" si="33"/>
        <v/>
      </c>
      <c r="W267" s="194" t="str">
        <f>IFERROR(INDEX('Ashed teabags dry'!$K$2:$K$2000,MATCH(H267,'Ashed teabags dry'!$A$2:$A$2000,0)),"")</f>
        <v/>
      </c>
      <c r="X267" s="194" t="str">
        <f>IFERROR(INDEX('Ashed teabags dry'!$K$2:$K$2000,MATCH(I267,'Ashed teabags dry'!$A$2:$A$2000,0)),"")</f>
        <v/>
      </c>
      <c r="Y267" s="194" t="str">
        <f t="shared" si="28"/>
        <v/>
      </c>
      <c r="Z267" s="194" t="str">
        <f t="shared" si="28"/>
        <v/>
      </c>
      <c r="AA267" s="194" t="str">
        <f t="shared" si="34"/>
        <v/>
      </c>
      <c r="AB267" s="194" t="str">
        <f t="shared" si="35"/>
        <v/>
      </c>
      <c r="AC267" s="194" t="str">
        <f t="shared" si="29"/>
        <v/>
      </c>
      <c r="AD267" t="str">
        <f t="shared" si="36"/>
        <v/>
      </c>
      <c r="AE267" s="194" t="str">
        <f t="shared" si="37"/>
        <v/>
      </c>
      <c r="AF267" s="194" t="str">
        <f t="shared" si="38"/>
        <v/>
      </c>
      <c r="AG267" s="245" t="str">
        <f>IF(ISNUMBER(SEARCH("C", 'Dry_Litterbag Placem_Collection'!$T194)),"YES","NO")</f>
        <v>NO</v>
      </c>
      <c r="AH267" s="245" t="str">
        <f>IF(ISNUMBER(SEARCH("H", 'Dry_Litterbag Placem_Collection'!$T194)),"YES","NO")</f>
        <v>NO</v>
      </c>
      <c r="AI267" s="245" t="str">
        <f>IF(ISNUMBER(SEARCH("R", 'Dry_Litterbag Placem_Collection'!$T194)),"YES","NO")</f>
        <v>NO</v>
      </c>
      <c r="AJ267" s="245" t="str">
        <f>IF(ISNUMBER(SEARCH("C", 'Dry_Litterbag Placem_Collection'!$S194)),"YES","NO")</f>
        <v>NO</v>
      </c>
      <c r="AK267" s="245" t="str">
        <f>IF(ISNUMBER(SEARCH("H", 'Dry_Litterbag Placem_Collection'!$S194)),"YES","NO")</f>
        <v>NO</v>
      </c>
      <c r="AL267" s="245" t="str">
        <f>IF(ISNUMBER(SEARCH("R", 'Dry_Litterbag Placem_Collection'!$S194)),"YES","NO")</f>
        <v>NO</v>
      </c>
    </row>
    <row r="268" spans="2:38">
      <c r="B268" t="str">
        <f>Dryseason!B194</f>
        <v>Dry</v>
      </c>
      <c r="C268" s="253">
        <f>Dryseason!C194</f>
        <v>193</v>
      </c>
      <c r="D268" t="s">
        <v>2440</v>
      </c>
      <c r="E268" t="s">
        <v>22</v>
      </c>
      <c r="F268" s="375">
        <v>1</v>
      </c>
      <c r="G268" s="16">
        <f>IF('Dry_Litterbag Placem_Collection'!E195="","",'Dry_Litterbag Placem_Collection'!E195)</f>
        <v>42942</v>
      </c>
      <c r="H268" t="str">
        <f>Dryseason!L194</f>
        <v>G257</v>
      </c>
      <c r="I268" t="str">
        <f>Dryseason!L414</f>
        <v>R695</v>
      </c>
      <c r="J268">
        <f>IFERROR(INDEX('Green_rooibos initial weight'!$C$5:$C$2000,MATCH(H268, 'Green_rooibos initial weight'!$A$5:$A$2000,0)),"")</f>
        <v>1.9319999999999999</v>
      </c>
      <c r="K268">
        <f>IFERROR(INDEX('Green_rooibos initial weight'!$C$5:$C$2000,MATCH(I268, 'Green_rooibos initial weight'!$A$5:$A$2000,0)),"")</f>
        <v>2.1789999999999998</v>
      </c>
      <c r="L268" s="194">
        <f t="shared" si="30"/>
        <v>1.6821999999999999</v>
      </c>
      <c r="M268" s="233">
        <f>AVERAGE(Ashed_controlls!$K$1:$K$11)</f>
        <v>5.5147656768714146</v>
      </c>
      <c r="N268" s="194">
        <f t="shared" ref="N268:N331" si="39">IFERROR(L268-(M268/100)*L268,"")</f>
        <v>1.589430611783669</v>
      </c>
      <c r="O268" s="194">
        <f t="shared" si="31"/>
        <v>1.9291999999999998</v>
      </c>
      <c r="P268" s="233">
        <f>AVERAGE(Ashed_controlls!$K$12:$K$14)</f>
        <v>2.2816647271287041</v>
      </c>
      <c r="Q268" s="194">
        <f t="shared" ref="Q268:Q331" si="40">IFERROR(O268-(P268/100)*O268,"")</f>
        <v>1.8851821240842328</v>
      </c>
      <c r="R268" s="16">
        <f>IF('Dry_Litterbag Placem_Collection'!G195="","",'Dry_Litterbag Placem_Collection'!G195)</f>
        <v>43004</v>
      </c>
      <c r="S268" s="194">
        <f>IFERROR(INDEX('Both teabags AfterDry'!$D$3:$D$2000,MATCH(H268,'Both teabags AfterDry'!$A$3:$A$2000,0)),"")</f>
        <v>0.67</v>
      </c>
      <c r="T268" s="194">
        <f>IFERROR(INDEX('Both teabags AfterDry'!$D$3:$D$2000,MATCH(I268,'Both teabags AfterDry'!$A$3:$A$2000,0)),"")</f>
        <v>1.42</v>
      </c>
      <c r="U268" s="194">
        <f t="shared" si="32"/>
        <v>0.51940000000000008</v>
      </c>
      <c r="V268" s="194">
        <f t="shared" si="33"/>
        <v>1.2693999999999999</v>
      </c>
      <c r="W268" s="194">
        <f>IFERROR(INDEX('Ashed teabags dry'!$K$2:$K$2000,MATCH(H268,'Ashed teabags dry'!$A$2:$A$2000,0)),"")</f>
        <v>13.170731707316666</v>
      </c>
      <c r="X268" s="194">
        <f>IFERROR(INDEX('Ashed teabags dry'!$K$2:$K$2000,MATCH(I268,'Ashed teabags dry'!$A$2:$A$2000,0)),"")</f>
        <v>8.5788561525128699</v>
      </c>
      <c r="Y268" s="194">
        <f t="shared" ref="Y268:Z331" si="41">IFERROR(U268-(W268/100)*U268,"")</f>
        <v>0.45099121951219734</v>
      </c>
      <c r="Z268" s="194">
        <f t="shared" si="41"/>
        <v>1.1605000000000014</v>
      </c>
      <c r="AA268" s="194">
        <f t="shared" si="34"/>
        <v>0.71625611324668514</v>
      </c>
      <c r="AB268" s="194">
        <f t="shared" si="35"/>
        <v>0.46956457780542782</v>
      </c>
      <c r="AC268" s="194">
        <f t="shared" ref="AC268:AC331" si="42">IFERROR(Z268/Q268,"")</f>
        <v>0.61559039053785791</v>
      </c>
      <c r="AD268">
        <f t="shared" si="36"/>
        <v>62</v>
      </c>
      <c r="AE268" s="194">
        <f t="shared" si="37"/>
        <v>0.14933953296118152</v>
      </c>
      <c r="AF268" s="194">
        <f t="shared" si="38"/>
        <v>2.7537630347814493E-2</v>
      </c>
      <c r="AG268" s="245" t="str">
        <f>IF(ISNUMBER(SEARCH("C", 'Dry_Litterbag Placem_Collection'!$T195)),"YES","NO")</f>
        <v>NO</v>
      </c>
      <c r="AH268" s="245" t="str">
        <f>IF(ISNUMBER(SEARCH("H", 'Dry_Litterbag Placem_Collection'!$T195)),"YES","NO")</f>
        <v>NO</v>
      </c>
      <c r="AI268" s="245" t="str">
        <f>IF(ISNUMBER(SEARCH("R", 'Dry_Litterbag Placem_Collection'!$T195)),"YES","NO")</f>
        <v>NO</v>
      </c>
      <c r="AJ268" s="245" t="str">
        <f>IF(ISNUMBER(SEARCH("C", 'Dry_Litterbag Placem_Collection'!$S195)),"YES","NO")</f>
        <v>NO</v>
      </c>
      <c r="AK268" s="245" t="str">
        <f>IF(ISNUMBER(SEARCH("H", 'Dry_Litterbag Placem_Collection'!$S195)),"YES","NO")</f>
        <v>NO</v>
      </c>
      <c r="AL268" s="245" t="str">
        <f>IF(ISNUMBER(SEARCH("R", 'Dry_Litterbag Placem_Collection'!$S195)),"YES","NO")</f>
        <v>YES</v>
      </c>
    </row>
    <row r="269" spans="2:38">
      <c r="B269" t="str">
        <f>Dryseason!B195</f>
        <v>Dry</v>
      </c>
      <c r="C269" s="253">
        <f>Dryseason!C195</f>
        <v>194</v>
      </c>
      <c r="D269" t="s">
        <v>2433</v>
      </c>
      <c r="E269" t="s">
        <v>22</v>
      </c>
      <c r="F269" s="375">
        <v>2</v>
      </c>
      <c r="G269" s="16">
        <f>IF('Dry_Litterbag Placem_Collection'!E196="","",'Dry_Litterbag Placem_Collection'!E196)</f>
        <v>42942</v>
      </c>
      <c r="H269" t="str">
        <f>Dryseason!L195</f>
        <v>G148</v>
      </c>
      <c r="I269" t="str">
        <f>Dryseason!L415</f>
        <v>R653</v>
      </c>
      <c r="J269">
        <f>IFERROR(INDEX('Green_rooibos initial weight'!$C$5:$C$2000,MATCH(H269, 'Green_rooibos initial weight'!$A$5:$A$2000,0)),"")</f>
        <v>2.0710000000000002</v>
      </c>
      <c r="K269">
        <f>IFERROR(INDEX('Green_rooibos initial weight'!$C$5:$C$2000,MATCH(I269, 'Green_rooibos initial weight'!$A$5:$A$2000,0)),"")</f>
        <v>2.1989999999999998</v>
      </c>
      <c r="L269" s="194">
        <f t="shared" ref="L269:L332" si="43">IFERROR(IF(J269&gt;0,(J269*$F$31-($F$29+$F$30)),""),"")</f>
        <v>1.8212000000000002</v>
      </c>
      <c r="M269" s="233">
        <f>AVERAGE(Ashed_controlls!$K$1:$K$11)</f>
        <v>5.5147656768714146</v>
      </c>
      <c r="N269" s="194">
        <f t="shared" si="39"/>
        <v>1.720765087492818</v>
      </c>
      <c r="O269" s="194">
        <f t="shared" ref="O269:O332" si="44">IFERROR(IF(K269&gt;0,(K269*$F$32-($F$29+$F$30)),""),"")</f>
        <v>1.9491999999999998</v>
      </c>
      <c r="P269" s="233">
        <f>AVERAGE(Ashed_controlls!$K$12:$K$14)</f>
        <v>2.2816647271287041</v>
      </c>
      <c r="Q269" s="194">
        <f t="shared" si="40"/>
        <v>1.9047257911388071</v>
      </c>
      <c r="R269" s="16">
        <f>IF('Dry_Litterbag Placem_Collection'!G196="","",'Dry_Litterbag Placem_Collection'!G196)</f>
        <v>43004</v>
      </c>
      <c r="S269" s="194">
        <f>IFERROR(INDEX('Both teabags AfterDry'!$D$3:$D$2000,MATCH(H269,'Both teabags AfterDry'!$A$3:$A$2000,0)),"")</f>
        <v>0.433</v>
      </c>
      <c r="T269" s="194">
        <f>IFERROR(INDEX('Both teabags AfterDry'!$D$3:$D$2000,MATCH(I269,'Both teabags AfterDry'!$A$3:$A$2000,0)),"")</f>
        <v>1.613</v>
      </c>
      <c r="U269" s="194">
        <f t="shared" ref="U269:U332" si="45">IFERROR(IF(S269&gt;0,S269-($F$29),""),"")</f>
        <v>0.28239999999999998</v>
      </c>
      <c r="V269" s="194">
        <f t="shared" ref="V269:V332" si="46">IFERROR(IF(T269&gt;0,T269-($F$29),""),"")</f>
        <v>1.4623999999999999</v>
      </c>
      <c r="W269" s="194">
        <f>IFERROR(INDEX('Ashed teabags dry'!$K$2:$K$2000,MATCH(H269,'Ashed teabags dry'!$A$2:$A$2000,0)),"")</f>
        <v>15.447941888619916</v>
      </c>
      <c r="X269" s="194">
        <f>IFERROR(INDEX('Ashed teabags dry'!$K$2:$K$2000,MATCH(I269,'Ashed teabags dry'!$A$2:$A$2000,0)),"")</f>
        <v>6.2529384109078929</v>
      </c>
      <c r="Y269" s="194">
        <f t="shared" si="41"/>
        <v>0.23877501210653734</v>
      </c>
      <c r="Z269" s="194">
        <f t="shared" si="41"/>
        <v>1.3709570286788828</v>
      </c>
      <c r="AA269" s="194">
        <f t="shared" ref="AA269:AA332" si="47">IFERROR(1-Y269/N269,"")</f>
        <v>0.86123904195753043</v>
      </c>
      <c r="AB269" s="194">
        <f t="shared" ref="AB269:AB332" si="48">IFERROR($F$26*(1-AE269),"")</f>
        <v>0.56461276859923615</v>
      </c>
      <c r="AC269" s="194">
        <f t="shared" si="42"/>
        <v>0.71976608657102714</v>
      </c>
      <c r="AD269">
        <f t="shared" ref="AD269:AD332" si="49">IFERROR(IF((R269-G269)&gt;0,(IFERROR(R269-G269,"")),""),"")</f>
        <v>62</v>
      </c>
      <c r="AE269" s="194">
        <f t="shared" ref="AE269:AE332" si="50">IFERROR(1-(AA269/$F$25),"")</f>
        <v>-2.2849218476876931E-2</v>
      </c>
      <c r="AF269" s="194">
        <f t="shared" ref="AF269:AF332" si="51">IFERROR(LN(AB269/(AC269-(1-AB269)))/AD269,"")</f>
        <v>1.1061819106599593E-2</v>
      </c>
      <c r="AG269" s="245" t="str">
        <f>IF(ISNUMBER(SEARCH("C", 'Dry_Litterbag Placem_Collection'!$T196)),"YES","NO")</f>
        <v>NO</v>
      </c>
      <c r="AH269" s="245" t="str">
        <f>IF(ISNUMBER(SEARCH("H", 'Dry_Litterbag Placem_Collection'!$T196)),"YES","NO")</f>
        <v>NO</v>
      </c>
      <c r="AI269" s="245" t="str">
        <f>IF(ISNUMBER(SEARCH("R", 'Dry_Litterbag Placem_Collection'!$T196)),"YES","NO")</f>
        <v>YES</v>
      </c>
      <c r="AJ269" s="245" t="str">
        <f>IF(ISNUMBER(SEARCH("C", 'Dry_Litterbag Placem_Collection'!$S196)),"YES","NO")</f>
        <v>NO</v>
      </c>
      <c r="AK269" s="245" t="str">
        <f>IF(ISNUMBER(SEARCH("H", 'Dry_Litterbag Placem_Collection'!$S196)),"YES","NO")</f>
        <v>YES</v>
      </c>
      <c r="AL269" s="245" t="str">
        <f>IF(ISNUMBER(SEARCH("R", 'Dry_Litterbag Placem_Collection'!$S196)),"YES","NO")</f>
        <v>YES</v>
      </c>
    </row>
    <row r="270" spans="2:38">
      <c r="B270" t="str">
        <f>Dryseason!B196</f>
        <v>Dry</v>
      </c>
      <c r="C270" s="253">
        <f>Dryseason!C196</f>
        <v>195</v>
      </c>
      <c r="D270" t="s">
        <v>2425</v>
      </c>
      <c r="E270" t="s">
        <v>22</v>
      </c>
      <c r="F270" s="375">
        <v>3</v>
      </c>
      <c r="G270" s="16">
        <f>IF('Dry_Litterbag Placem_Collection'!E197="","",'Dry_Litterbag Placem_Collection'!E197)</f>
        <v>42942</v>
      </c>
      <c r="H270" t="str">
        <f>Dryseason!L196</f>
        <v>G105</v>
      </c>
      <c r="I270" t="str">
        <f>Dryseason!L416</f>
        <v>R389</v>
      </c>
      <c r="J270">
        <f>IFERROR(INDEX('Green_rooibos initial weight'!$C$5:$C$2000,MATCH(H270, 'Green_rooibos initial weight'!$A$5:$A$2000,0)),"")</f>
        <v>2.1440000000000001</v>
      </c>
      <c r="K270">
        <f>IFERROR(INDEX('Green_rooibos initial weight'!$C$5:$C$2000,MATCH(I270, 'Green_rooibos initial weight'!$A$5:$A$2000,0)),"")</f>
        <v>2.2349999999999999</v>
      </c>
      <c r="L270" s="194">
        <f t="shared" si="43"/>
        <v>1.8942000000000001</v>
      </c>
      <c r="M270" s="233">
        <f>AVERAGE(Ashed_controlls!$K$1:$K$11)</f>
        <v>5.5147656768714146</v>
      </c>
      <c r="N270" s="194">
        <f t="shared" si="39"/>
        <v>1.7897393085487017</v>
      </c>
      <c r="O270" s="194">
        <f t="shared" si="44"/>
        <v>1.9851999999999999</v>
      </c>
      <c r="P270" s="233">
        <f>AVERAGE(Ashed_controlls!$K$12:$K$14)</f>
        <v>2.2816647271287041</v>
      </c>
      <c r="Q270" s="194">
        <f t="shared" si="40"/>
        <v>1.9399043918370409</v>
      </c>
      <c r="R270" s="16">
        <f>IF('Dry_Litterbag Placem_Collection'!G197="","",'Dry_Litterbag Placem_Collection'!G197)</f>
        <v>43004</v>
      </c>
      <c r="S270" s="194">
        <f>IFERROR(INDEX('Both teabags AfterDry'!$D$3:$D$2000,MATCH(H270,'Both teabags AfterDry'!$A$3:$A$2000,0)),"")</f>
        <v>1.2050000000000001</v>
      </c>
      <c r="T270" s="194">
        <f>IFERROR(INDEX('Both teabags AfterDry'!$D$3:$D$2000,MATCH(I270,'Both teabags AfterDry'!$A$3:$A$2000,0)),"")</f>
        <v>0.78200000000000003</v>
      </c>
      <c r="U270" s="194">
        <f t="shared" si="45"/>
        <v>1.0544</v>
      </c>
      <c r="V270" s="194">
        <f t="shared" si="46"/>
        <v>0.63139999999999996</v>
      </c>
      <c r="W270" s="194">
        <f>IFERROR(INDEX('Ashed teabags dry'!$K$2:$K$2000,MATCH(H270,'Ashed teabags dry'!$A$2:$A$2000,0)),"")</f>
        <v>44.075144508670796</v>
      </c>
      <c r="X270" s="194">
        <f>IFERROR(INDEX('Ashed teabags dry'!$K$2:$K$2000,MATCH(I270,'Ashed teabags dry'!$A$2:$A$2000,0)),"")</f>
        <v>74.075764491100372</v>
      </c>
      <c r="Y270" s="194">
        <f t="shared" si="41"/>
        <v>0.58967167630057515</v>
      </c>
      <c r="Z270" s="194">
        <f t="shared" si="41"/>
        <v>0.16368562300319223</v>
      </c>
      <c r="AA270" s="194">
        <f t="shared" si="47"/>
        <v>0.67052649875654824</v>
      </c>
      <c r="AB270" s="194">
        <f t="shared" si="48"/>
        <v>0.43958506806842601</v>
      </c>
      <c r="AC270" s="194">
        <f t="shared" si="42"/>
        <v>8.4378190848975826E-2</v>
      </c>
      <c r="AD270">
        <f t="shared" si="49"/>
        <v>62</v>
      </c>
      <c r="AE270" s="194">
        <f t="shared" si="50"/>
        <v>0.20365023900647472</v>
      </c>
      <c r="AF270" s="194" t="str">
        <f t="shared" si="51"/>
        <v/>
      </c>
      <c r="AG270" s="245" t="str">
        <f>IF(ISNUMBER(SEARCH("C", 'Dry_Litterbag Placem_Collection'!$T197)),"YES","NO")</f>
        <v>NO</v>
      </c>
      <c r="AH270" s="245" t="str">
        <f>IF(ISNUMBER(SEARCH("H", 'Dry_Litterbag Placem_Collection'!$T197)),"YES","NO")</f>
        <v>NO</v>
      </c>
      <c r="AI270" s="245" t="str">
        <f>IF(ISNUMBER(SEARCH("R", 'Dry_Litterbag Placem_Collection'!$T197)),"YES","NO")</f>
        <v>YES</v>
      </c>
      <c r="AJ270" s="245" t="str">
        <f>IF(ISNUMBER(SEARCH("C", 'Dry_Litterbag Placem_Collection'!$S197)),"YES","NO")</f>
        <v>NO</v>
      </c>
      <c r="AK270" s="245" t="str">
        <f>IF(ISNUMBER(SEARCH("H", 'Dry_Litterbag Placem_Collection'!$S197)),"YES","NO")</f>
        <v>YES</v>
      </c>
      <c r="AL270" s="245" t="str">
        <f>IF(ISNUMBER(SEARCH("R", 'Dry_Litterbag Placem_Collection'!$S197)),"YES","NO")</f>
        <v>YES</v>
      </c>
    </row>
    <row r="271" spans="2:38">
      <c r="B271" t="str">
        <f>Dryseason!B197</f>
        <v>Dry</v>
      </c>
      <c r="C271" s="253">
        <f>Dryseason!C197</f>
        <v>196</v>
      </c>
      <c r="D271" t="s">
        <v>2416</v>
      </c>
      <c r="E271" t="s">
        <v>22</v>
      </c>
      <c r="F271" s="375">
        <v>4</v>
      </c>
      <c r="G271" s="16">
        <f>IF('Dry_Litterbag Placem_Collection'!E198="","",'Dry_Litterbag Placem_Collection'!E198)</f>
        <v>42942</v>
      </c>
      <c r="H271" t="str">
        <f>Dryseason!L197</f>
        <v>G12</v>
      </c>
      <c r="I271" t="str">
        <f>Dryseason!L417</f>
        <v>R455</v>
      </c>
      <c r="J271">
        <f>IFERROR(INDEX('Green_rooibos initial weight'!$C$5:$C$2000,MATCH(H271, 'Green_rooibos initial weight'!$A$5:$A$2000,0)),"")</f>
        <v>1.9870000000000001</v>
      </c>
      <c r="K271">
        <f>IFERROR(INDEX('Green_rooibos initial weight'!$C$5:$C$2000,MATCH(I271, 'Green_rooibos initial weight'!$A$5:$A$2000,0)),"")</f>
        <v>2.1850000000000001</v>
      </c>
      <c r="L271" s="194">
        <f t="shared" si="43"/>
        <v>1.7372000000000001</v>
      </c>
      <c r="M271" s="233">
        <f>AVERAGE(Ashed_controlls!$K$1:$K$11)</f>
        <v>5.5147656768714146</v>
      </c>
      <c r="N271" s="194">
        <f t="shared" si="39"/>
        <v>1.64139749066139</v>
      </c>
      <c r="O271" s="194">
        <f t="shared" si="44"/>
        <v>1.9352</v>
      </c>
      <c r="P271" s="233">
        <f>AVERAGE(Ashed_controlls!$K$12:$K$14)</f>
        <v>2.2816647271287041</v>
      </c>
      <c r="Q271" s="194">
        <f t="shared" si="40"/>
        <v>1.8910452242006053</v>
      </c>
      <c r="R271" s="16">
        <f>IF('Dry_Litterbag Placem_Collection'!G198="","",'Dry_Litterbag Placem_Collection'!G198)</f>
        <v>43004</v>
      </c>
      <c r="S271" s="194">
        <f>IFERROR(INDEX('Both teabags AfterDry'!$D$3:$D$2000,MATCH(H271,'Both teabags AfterDry'!$A$3:$A$2000,0)),"")</f>
        <v>0.748</v>
      </c>
      <c r="T271" s="194">
        <f>IFERROR(INDEX('Both teabags AfterDry'!$D$3:$D$2000,MATCH(I271,'Both teabags AfterDry'!$A$3:$A$2000,0)),"")</f>
        <v>0.19900000000000001</v>
      </c>
      <c r="U271" s="194">
        <f t="shared" si="45"/>
        <v>0.59739999999999993</v>
      </c>
      <c r="V271" s="194">
        <f t="shared" si="46"/>
        <v>4.8399999999999999E-2</v>
      </c>
      <c r="W271" s="194">
        <f>IFERROR(INDEX('Ashed teabags dry'!$K$2:$K$2000,MATCH(H271,'Ashed teabags dry'!$A$2:$A$2000,0)),"")</f>
        <v>27.855421686746478</v>
      </c>
      <c r="X271" s="194" t="str">
        <f>IFERROR(INDEX('Ashed teabags dry'!$K$2:$K$2000,MATCH(I271,'Ashed teabags dry'!$A$2:$A$2000,0)),"")</f>
        <v/>
      </c>
      <c r="Y271" s="194">
        <f t="shared" si="41"/>
        <v>0.43099171084337651</v>
      </c>
      <c r="Z271" s="194" t="str">
        <f t="shared" si="41"/>
        <v/>
      </c>
      <c r="AA271" s="194">
        <f t="shared" si="47"/>
        <v>0.73742392485947361</v>
      </c>
      <c r="AB271" s="194">
        <f t="shared" si="48"/>
        <v>0.4834418129720065</v>
      </c>
      <c r="AC271" s="194" t="str">
        <f t="shared" si="42"/>
        <v/>
      </c>
      <c r="AD271">
        <f t="shared" si="49"/>
        <v>62</v>
      </c>
      <c r="AE271" s="194">
        <f t="shared" si="50"/>
        <v>0.12419961418114767</v>
      </c>
      <c r="AF271" s="194" t="str">
        <f t="shared" si="51"/>
        <v/>
      </c>
      <c r="AG271" s="245" t="str">
        <f>IF(ISNUMBER(SEARCH("C", 'Dry_Litterbag Placem_Collection'!$T198)),"YES","NO")</f>
        <v>NO</v>
      </c>
      <c r="AH271" s="245" t="str">
        <f>IF(ISNUMBER(SEARCH("H", 'Dry_Litterbag Placem_Collection'!$T198)),"YES","NO")</f>
        <v>YES</v>
      </c>
      <c r="AI271" s="245" t="str">
        <f>IF(ISNUMBER(SEARCH("R", 'Dry_Litterbag Placem_Collection'!$T198)),"YES","NO")</f>
        <v>NO</v>
      </c>
      <c r="AJ271" s="245" t="str">
        <f>IF(ISNUMBER(SEARCH("C", 'Dry_Litterbag Placem_Collection'!$S198)),"YES","NO")</f>
        <v>NO</v>
      </c>
      <c r="AK271" s="245" t="str">
        <f>IF(ISNUMBER(SEARCH("H", 'Dry_Litterbag Placem_Collection'!$S198)),"YES","NO")</f>
        <v>YES</v>
      </c>
      <c r="AL271" s="245" t="str">
        <f>IF(ISNUMBER(SEARCH("R", 'Dry_Litterbag Placem_Collection'!$S198)),"YES","NO")</f>
        <v>NO</v>
      </c>
    </row>
    <row r="272" spans="2:38">
      <c r="B272" t="str">
        <f>Dryseason!B198</f>
        <v>Dry</v>
      </c>
      <c r="C272" s="253">
        <f>Dryseason!C198</f>
        <v>197</v>
      </c>
      <c r="D272" t="s">
        <v>2426</v>
      </c>
      <c r="E272" t="s">
        <v>22</v>
      </c>
      <c r="F272" s="375">
        <v>1</v>
      </c>
      <c r="G272" s="16">
        <f>IF('Dry_Litterbag Placem_Collection'!E199="","",'Dry_Litterbag Placem_Collection'!E199)</f>
        <v>42942</v>
      </c>
      <c r="H272" t="str">
        <f>Dryseason!L198</f>
        <v>G399</v>
      </c>
      <c r="I272" t="str">
        <f>Dryseason!L418</f>
        <v>R692</v>
      </c>
      <c r="J272">
        <f>IFERROR(INDEX('Green_rooibos initial weight'!$C$5:$C$2000,MATCH(H272, 'Green_rooibos initial weight'!$A$5:$A$2000,0)),"")</f>
        <v>2.0070000000000001</v>
      </c>
      <c r="K272">
        <f>IFERROR(INDEX('Green_rooibos initial weight'!$C$5:$C$2000,MATCH(I272, 'Green_rooibos initial weight'!$A$5:$A$2000,0)),"")</f>
        <v>2.1419999999999999</v>
      </c>
      <c r="L272" s="194">
        <f t="shared" si="43"/>
        <v>1.7572000000000001</v>
      </c>
      <c r="M272" s="233">
        <f>AVERAGE(Ashed_controlls!$K$1:$K$11)</f>
        <v>5.5147656768714146</v>
      </c>
      <c r="N272" s="194">
        <f t="shared" si="39"/>
        <v>1.6602945375260156</v>
      </c>
      <c r="O272" s="194">
        <f t="shared" si="44"/>
        <v>1.8921999999999999</v>
      </c>
      <c r="P272" s="233">
        <f>AVERAGE(Ashed_controlls!$K$12:$K$14)</f>
        <v>2.2816647271287041</v>
      </c>
      <c r="Q272" s="194">
        <f t="shared" si="40"/>
        <v>1.8490263400332705</v>
      </c>
      <c r="R272" s="16">
        <f>IF('Dry_Litterbag Placem_Collection'!G199="","",'Dry_Litterbag Placem_Collection'!G199)</f>
        <v>43004</v>
      </c>
      <c r="S272" s="194">
        <f>IFERROR(INDEX('Both teabags AfterDry'!$D$3:$D$2000,MATCH(H272,'Both teabags AfterDry'!$A$3:$A$2000,0)),"")</f>
        <v>0.69</v>
      </c>
      <c r="T272" s="194">
        <f>IFERROR(INDEX('Both teabags AfterDry'!$D$3:$D$2000,MATCH(I272,'Both teabags AfterDry'!$A$3:$A$2000,0)),"")</f>
        <v>1.6160000000000001</v>
      </c>
      <c r="U272" s="194">
        <f t="shared" si="45"/>
        <v>0.53939999999999988</v>
      </c>
      <c r="V272" s="194">
        <f t="shared" si="46"/>
        <v>1.4654</v>
      </c>
      <c r="W272" s="194">
        <f>IFERROR(INDEX('Ashed teabags dry'!$K$2:$K$2000,MATCH(H272,'Ashed teabags dry'!$A$2:$A$2000,0)),"")</f>
        <v>18.458698661744211</v>
      </c>
      <c r="X272" s="194">
        <f>IFERROR(INDEX('Ashed teabags dry'!$K$2:$K$2000,MATCH(I272,'Ashed teabags dry'!$A$2:$A$2000,0)),"")</f>
        <v>6.6166740185264974</v>
      </c>
      <c r="Y272" s="194">
        <f t="shared" si="41"/>
        <v>0.43983377941855162</v>
      </c>
      <c r="Z272" s="194">
        <f t="shared" si="41"/>
        <v>1.3684392589325127</v>
      </c>
      <c r="AA272" s="194">
        <f t="shared" si="47"/>
        <v>0.73508689604319088</v>
      </c>
      <c r="AB272" s="194">
        <f t="shared" si="48"/>
        <v>0.4819096990686953</v>
      </c>
      <c r="AC272" s="194">
        <f t="shared" si="42"/>
        <v>0.74008640618277488</v>
      </c>
      <c r="AD272">
        <f t="shared" si="49"/>
        <v>62</v>
      </c>
      <c r="AE272" s="194">
        <f t="shared" si="50"/>
        <v>0.12697518284656661</v>
      </c>
      <c r="AF272" s="194">
        <f t="shared" si="51"/>
        <v>1.2501563102620806E-2</v>
      </c>
      <c r="AG272" s="245" t="str">
        <f>IF(ISNUMBER(SEARCH("C", 'Dry_Litterbag Placem_Collection'!$T199)),"YES","NO")</f>
        <v>NO</v>
      </c>
      <c r="AH272" s="245" t="str">
        <f>IF(ISNUMBER(SEARCH("H", 'Dry_Litterbag Placem_Collection'!$T199)),"YES","NO")</f>
        <v>NO</v>
      </c>
      <c r="AI272" s="245" t="str">
        <f>IF(ISNUMBER(SEARCH("R", 'Dry_Litterbag Placem_Collection'!$T199)),"YES","NO")</f>
        <v>YES</v>
      </c>
      <c r="AJ272" s="245" t="str">
        <f>IF(ISNUMBER(SEARCH("C", 'Dry_Litterbag Placem_Collection'!$S199)),"YES","NO")</f>
        <v>NO</v>
      </c>
      <c r="AK272" s="245" t="str">
        <f>IF(ISNUMBER(SEARCH("H", 'Dry_Litterbag Placem_Collection'!$S199)),"YES","NO")</f>
        <v>NO</v>
      </c>
      <c r="AL272" s="245" t="str">
        <f>IF(ISNUMBER(SEARCH("R", 'Dry_Litterbag Placem_Collection'!$S199)),"YES","NO")</f>
        <v>YES</v>
      </c>
    </row>
    <row r="273" spans="2:38">
      <c r="B273" t="str">
        <f>Dryseason!B199</f>
        <v>Dry</v>
      </c>
      <c r="C273" s="253">
        <f>Dryseason!C199</f>
        <v>198</v>
      </c>
      <c r="D273" t="s">
        <v>2434</v>
      </c>
      <c r="E273" t="s">
        <v>22</v>
      </c>
      <c r="F273" s="375">
        <v>2</v>
      </c>
      <c r="G273" s="16">
        <f>IF('Dry_Litterbag Placem_Collection'!E200="","",'Dry_Litterbag Placem_Collection'!E200)</f>
        <v>42942</v>
      </c>
      <c r="H273" t="str">
        <f>Dryseason!L199</f>
        <v>G27</v>
      </c>
      <c r="I273" t="str">
        <f>Dryseason!L419</f>
        <v>R352</v>
      </c>
      <c r="J273">
        <f>IFERROR(INDEX('Green_rooibos initial weight'!$C$5:$C$2000,MATCH(H273, 'Green_rooibos initial weight'!$A$5:$A$2000,0)),"")</f>
        <v>1.966</v>
      </c>
      <c r="K273">
        <f>IFERROR(INDEX('Green_rooibos initial weight'!$C$5:$C$2000,MATCH(I273, 'Green_rooibos initial weight'!$A$5:$A$2000,0)),"")</f>
        <v>2.2789999999999999</v>
      </c>
      <c r="L273" s="194">
        <f t="shared" si="43"/>
        <v>1.7161999999999999</v>
      </c>
      <c r="M273" s="233">
        <f>AVERAGE(Ashed_controlls!$K$1:$K$11)</f>
        <v>5.5147656768714146</v>
      </c>
      <c r="N273" s="194">
        <f t="shared" si="39"/>
        <v>1.6215555914535327</v>
      </c>
      <c r="O273" s="194">
        <f t="shared" si="44"/>
        <v>2.0291999999999999</v>
      </c>
      <c r="P273" s="233">
        <f>AVERAGE(Ashed_controlls!$K$12:$K$14)</f>
        <v>2.2816647271287041</v>
      </c>
      <c r="Q273" s="194">
        <f t="shared" si="40"/>
        <v>1.9829004593571042</v>
      </c>
      <c r="R273" s="16">
        <f>IF('Dry_Litterbag Placem_Collection'!G200="","",'Dry_Litterbag Placem_Collection'!G200)</f>
        <v>43004</v>
      </c>
      <c r="S273" s="194">
        <f>IFERROR(INDEX('Both teabags AfterDry'!$D$3:$D$2000,MATCH(H273,'Both teabags AfterDry'!$A$3:$A$2000,0)),"")</f>
        <v>0.73799999999999999</v>
      </c>
      <c r="T273" s="194">
        <f>IFERROR(INDEX('Both teabags AfterDry'!$D$3:$D$2000,MATCH(I273,'Both teabags AfterDry'!$A$3:$A$2000,0)),"")</f>
        <v>1.615</v>
      </c>
      <c r="U273" s="194">
        <f t="shared" si="45"/>
        <v>0.58739999999999992</v>
      </c>
      <c r="V273" s="194">
        <f t="shared" si="46"/>
        <v>1.4643999999999999</v>
      </c>
      <c r="W273" s="194">
        <f>IFERROR(INDEX('Ashed teabags dry'!$K$2:$K$2000,MATCH(H273,'Ashed teabags dry'!$A$2:$A$2000,0)),"")</f>
        <v>26.042177538007827</v>
      </c>
      <c r="X273" s="194">
        <f>IFERROR(INDEX('Ashed teabags dry'!$K$2:$K$2000,MATCH(I273,'Ashed teabags dry'!$A$2:$A$2000,0)),"")</f>
        <v>5.1034482758627195</v>
      </c>
      <c r="Y273" s="194">
        <f t="shared" si="41"/>
        <v>0.43442824914174194</v>
      </c>
      <c r="Z273" s="194">
        <f t="shared" si="41"/>
        <v>1.3896651034482663</v>
      </c>
      <c r="AA273" s="194">
        <f t="shared" si="47"/>
        <v>0.73209167084285509</v>
      </c>
      <c r="AB273" s="194">
        <f t="shared" si="48"/>
        <v>0.47994608349792878</v>
      </c>
      <c r="AC273" s="194">
        <f t="shared" si="42"/>
        <v>0.70082443971939135</v>
      </c>
      <c r="AD273">
        <f t="shared" si="49"/>
        <v>62</v>
      </c>
      <c r="AE273" s="194">
        <f t="shared" si="50"/>
        <v>0.1305324574312885</v>
      </c>
      <c r="AF273" s="194">
        <f t="shared" si="51"/>
        <v>1.5749118906176911E-2</v>
      </c>
      <c r="AG273" s="245" t="str">
        <f>IF(ISNUMBER(SEARCH("C", 'Dry_Litterbag Placem_Collection'!$T200)),"YES","NO")</f>
        <v>NO</v>
      </c>
      <c r="AH273" s="245" t="str">
        <f>IF(ISNUMBER(SEARCH("H", 'Dry_Litterbag Placem_Collection'!$T200)),"YES","NO")</f>
        <v>YES</v>
      </c>
      <c r="AI273" s="245" t="str">
        <f>IF(ISNUMBER(SEARCH("R", 'Dry_Litterbag Placem_Collection'!$T200)),"YES","NO")</f>
        <v>YES</v>
      </c>
      <c r="AJ273" s="245" t="str">
        <f>IF(ISNUMBER(SEARCH("C", 'Dry_Litterbag Placem_Collection'!$S200)),"YES","NO")</f>
        <v>NO</v>
      </c>
      <c r="AK273" s="245" t="str">
        <f>IF(ISNUMBER(SEARCH("H", 'Dry_Litterbag Placem_Collection'!$S200)),"YES","NO")</f>
        <v>NO</v>
      </c>
      <c r="AL273" s="245" t="str">
        <f>IF(ISNUMBER(SEARCH("R", 'Dry_Litterbag Placem_Collection'!$S200)),"YES","NO")</f>
        <v>YES</v>
      </c>
    </row>
    <row r="274" spans="2:38">
      <c r="B274" t="str">
        <f>Dryseason!B200</f>
        <v>Dry</v>
      </c>
      <c r="C274" s="253">
        <f>Dryseason!C200</f>
        <v>199</v>
      </c>
      <c r="D274" t="s">
        <v>2418</v>
      </c>
      <c r="E274" t="s">
        <v>22</v>
      </c>
      <c r="F274" s="375">
        <v>3</v>
      </c>
      <c r="G274" s="16">
        <f>IF('Dry_Litterbag Placem_Collection'!E201="","",'Dry_Litterbag Placem_Collection'!E201)</f>
        <v>42942</v>
      </c>
      <c r="H274" t="str">
        <f>Dryseason!L200</f>
        <v>G224</v>
      </c>
      <c r="I274" t="str">
        <f>Dryseason!L420</f>
        <v>R327</v>
      </c>
      <c r="J274">
        <f>IFERROR(INDEX('Green_rooibos initial weight'!$C$5:$C$2000,MATCH(H274, 'Green_rooibos initial weight'!$A$5:$A$2000,0)),"")</f>
        <v>2.0259999999999998</v>
      </c>
      <c r="K274">
        <f>IFERROR(INDEX('Green_rooibos initial weight'!$C$5:$C$2000,MATCH(I274, 'Green_rooibos initial weight'!$A$5:$A$2000,0)),"")</f>
        <v>2.2229999999999999</v>
      </c>
      <c r="L274" s="194">
        <f t="shared" si="43"/>
        <v>1.7761999999999998</v>
      </c>
      <c r="M274" s="233">
        <f>AVERAGE(Ashed_controlls!$K$1:$K$11)</f>
        <v>5.5147656768714146</v>
      </c>
      <c r="N274" s="194">
        <f t="shared" si="39"/>
        <v>1.6782467320474097</v>
      </c>
      <c r="O274" s="194">
        <f t="shared" si="44"/>
        <v>1.9731999999999998</v>
      </c>
      <c r="P274" s="233">
        <f>AVERAGE(Ashed_controlls!$K$12:$K$14)</f>
        <v>2.2816647271287041</v>
      </c>
      <c r="Q274" s="194">
        <f t="shared" si="40"/>
        <v>1.9281781916042962</v>
      </c>
      <c r="R274" s="16">
        <f>IF('Dry_Litterbag Placem_Collection'!G201="","",'Dry_Litterbag Placem_Collection'!G201)</f>
        <v>43004</v>
      </c>
      <c r="S274" s="194">
        <f>IFERROR(INDEX('Both teabags AfterDry'!$D$3:$D$2000,MATCH(H274,'Both teabags AfterDry'!$A$3:$A$2000,0)),"")</f>
        <v>0.53049999999999997</v>
      </c>
      <c r="T274" s="194">
        <f>IFERROR(INDEX('Both teabags AfterDry'!$D$3:$D$2000,MATCH(I274,'Both teabags AfterDry'!$A$3:$A$2000,0)),"")</f>
        <v>1.5642</v>
      </c>
      <c r="U274" s="194">
        <f t="shared" si="45"/>
        <v>0.37989999999999996</v>
      </c>
      <c r="V274" s="194">
        <f t="shared" si="46"/>
        <v>1.4136</v>
      </c>
      <c r="W274" s="194">
        <f>IFERROR(INDEX('Ashed teabags dry'!$K$2:$K$2000,MATCH(H274,'Ashed teabags dry'!$A$2:$A$2000,0)),"")</f>
        <v>22.616075886170179</v>
      </c>
      <c r="X274" s="194">
        <f>IFERROR(INDEX('Ashed teabags dry'!$K$2:$K$2000,MATCH(I274,'Ashed teabags dry'!$A$2:$A$2000,0)),"")</f>
        <v>3.4327009936770145</v>
      </c>
      <c r="Y274" s="194">
        <f t="shared" si="41"/>
        <v>0.29398152770843944</v>
      </c>
      <c r="Z274" s="194">
        <f t="shared" si="41"/>
        <v>1.3650753387533816</v>
      </c>
      <c r="AA274" s="194">
        <f t="shared" si="47"/>
        <v>0.82482818402405533</v>
      </c>
      <c r="AB274" s="194">
        <f t="shared" si="48"/>
        <v>0.5407424674361978</v>
      </c>
      <c r="AC274" s="194">
        <f t="shared" si="42"/>
        <v>0.70796119606435448</v>
      </c>
      <c r="AD274">
        <f t="shared" si="49"/>
        <v>62</v>
      </c>
      <c r="AE274" s="194">
        <f t="shared" si="50"/>
        <v>2.039408073152571E-2</v>
      </c>
      <c r="AF274" s="194">
        <f t="shared" si="51"/>
        <v>1.2527113767560114E-2</v>
      </c>
      <c r="AG274" s="245" t="str">
        <f>IF(ISNUMBER(SEARCH("C", 'Dry_Litterbag Placem_Collection'!$T201)),"YES","NO")</f>
        <v>NO</v>
      </c>
      <c r="AH274" s="245" t="str">
        <f>IF(ISNUMBER(SEARCH("H", 'Dry_Litterbag Placem_Collection'!$T201)),"YES","NO")</f>
        <v>YES</v>
      </c>
      <c r="AI274" s="245" t="str">
        <f>IF(ISNUMBER(SEARCH("R", 'Dry_Litterbag Placem_Collection'!$T201)),"YES","NO")</f>
        <v>NO</v>
      </c>
      <c r="AJ274" s="245" t="str">
        <f>IF(ISNUMBER(SEARCH("C", 'Dry_Litterbag Placem_Collection'!$S201)),"YES","NO")</f>
        <v>NO</v>
      </c>
      <c r="AK274" s="245" t="str">
        <f>IF(ISNUMBER(SEARCH("H", 'Dry_Litterbag Placem_Collection'!$S201)),"YES","NO")</f>
        <v>YES</v>
      </c>
      <c r="AL274" s="245" t="str">
        <f>IF(ISNUMBER(SEARCH("R", 'Dry_Litterbag Placem_Collection'!$S201)),"YES","NO")</f>
        <v>NO</v>
      </c>
    </row>
    <row r="275" spans="2:38">
      <c r="B275" t="str">
        <f>Dryseason!B201</f>
        <v>Dry</v>
      </c>
      <c r="C275" s="253">
        <f>Dryseason!C201</f>
        <v>200</v>
      </c>
      <c r="D275" t="s">
        <v>2441</v>
      </c>
      <c r="E275" t="s">
        <v>22</v>
      </c>
      <c r="F275" s="375">
        <v>4</v>
      </c>
      <c r="G275" s="16">
        <f>IF('Dry_Litterbag Placem_Collection'!E202="","",'Dry_Litterbag Placem_Collection'!E202)</f>
        <v>42942</v>
      </c>
      <c r="H275" t="str">
        <f>Dryseason!L201</f>
        <v>G158</v>
      </c>
      <c r="I275" t="str">
        <f>Dryseason!L421</f>
        <v>R75</v>
      </c>
      <c r="J275">
        <f>IFERROR(INDEX('Green_rooibos initial weight'!$C$5:$C$2000,MATCH(H275, 'Green_rooibos initial weight'!$A$5:$A$2000,0)),"")</f>
        <v>2.0609999999999999</v>
      </c>
      <c r="K275">
        <f>IFERROR(INDEX('Green_rooibos initial weight'!$C$5:$C$2000,MATCH(I275, 'Green_rooibos initial weight'!$A$5:$A$2000,0)),"")</f>
        <v>2.1819999999999999</v>
      </c>
      <c r="L275" s="194">
        <f t="shared" si="43"/>
        <v>1.8111999999999999</v>
      </c>
      <c r="M275" s="233">
        <f>AVERAGE(Ashed_controlls!$K$1:$K$11)</f>
        <v>5.5147656768714146</v>
      </c>
      <c r="N275" s="194">
        <f t="shared" si="39"/>
        <v>1.7113165640605048</v>
      </c>
      <c r="O275" s="194">
        <f t="shared" si="44"/>
        <v>1.9321999999999999</v>
      </c>
      <c r="P275" s="233">
        <f>AVERAGE(Ashed_controlls!$K$12:$K$14)</f>
        <v>2.2816647271287041</v>
      </c>
      <c r="Q275" s="194">
        <f t="shared" si="40"/>
        <v>1.8881136741424192</v>
      </c>
      <c r="R275" s="16">
        <f>IF('Dry_Litterbag Placem_Collection'!G202="","",'Dry_Litterbag Placem_Collection'!G202)</f>
        <v>43004</v>
      </c>
      <c r="S275" s="194">
        <f>IFERROR(INDEX('Both teabags AfterDry'!$D$3:$D$2000,MATCH(H275,'Both teabags AfterDry'!$A$3:$A$2000,0)),"")</f>
        <v>0.71050000000000002</v>
      </c>
      <c r="T275" s="194">
        <f>IFERROR(INDEX('Both teabags AfterDry'!$D$3:$D$2000,MATCH(I275,'Both teabags AfterDry'!$A$3:$A$2000,0)),"")</f>
        <v>0.1565</v>
      </c>
      <c r="U275" s="194">
        <f t="shared" si="45"/>
        <v>0.55990000000000006</v>
      </c>
      <c r="V275" s="194">
        <f t="shared" si="46"/>
        <v>5.8999999999999886E-3</v>
      </c>
      <c r="W275" s="194">
        <f>IFERROR(INDEX('Ashed teabags dry'!$K$2:$K$2000,MATCH(H275,'Ashed teabags dry'!$A$2:$A$2000,0)),"")</f>
        <v>21.295855169128785</v>
      </c>
      <c r="X275" s="194">
        <f>IFERROR(INDEX('Ashed teabags dry'!$K$2:$K$2000,MATCH(I275,'Ashed teabags dry'!$A$2:$A$2000,0)),"")</f>
        <v>0</v>
      </c>
      <c r="Y275" s="194">
        <f t="shared" si="41"/>
        <v>0.44066450690804798</v>
      </c>
      <c r="Z275" s="194">
        <f t="shared" si="41"/>
        <v>5.8999999999999886E-3</v>
      </c>
      <c r="AA275" s="194">
        <f t="shared" si="47"/>
        <v>0.74249971269928761</v>
      </c>
      <c r="AB275" s="194">
        <f t="shared" si="48"/>
        <v>0.48676940785036438</v>
      </c>
      <c r="AC275" s="194">
        <f t="shared" si="42"/>
        <v>3.1248118589468758E-3</v>
      </c>
      <c r="AD275">
        <f t="shared" si="49"/>
        <v>62</v>
      </c>
      <c r="AE275" s="194">
        <f t="shared" si="50"/>
        <v>0.11817136258991967</v>
      </c>
      <c r="AF275" s="194" t="str">
        <f t="shared" si="51"/>
        <v/>
      </c>
      <c r="AG275" s="245" t="str">
        <f>IF(ISNUMBER(SEARCH("C", 'Dry_Litterbag Placem_Collection'!$T202)),"YES","NO")</f>
        <v>NO</v>
      </c>
      <c r="AH275" s="245" t="str">
        <f>IF(ISNUMBER(SEARCH("H", 'Dry_Litterbag Placem_Collection'!$T202)),"YES","NO")</f>
        <v>YES</v>
      </c>
      <c r="AI275" s="245" t="str">
        <f>IF(ISNUMBER(SEARCH("R", 'Dry_Litterbag Placem_Collection'!$T202)),"YES","NO")</f>
        <v>YES</v>
      </c>
      <c r="AJ275" s="245" t="str">
        <f>IF(ISNUMBER(SEARCH("C", 'Dry_Litterbag Placem_Collection'!$S202)),"YES","NO")</f>
        <v>NO</v>
      </c>
      <c r="AK275" s="245" t="str">
        <f>IF(ISNUMBER(SEARCH("H", 'Dry_Litterbag Placem_Collection'!$S202)),"YES","NO")</f>
        <v>NO</v>
      </c>
      <c r="AL275" s="245" t="str">
        <f>IF(ISNUMBER(SEARCH("R", 'Dry_Litterbag Placem_Collection'!$S202)),"YES","NO")</f>
        <v>YES</v>
      </c>
    </row>
    <row r="276" spans="2:38">
      <c r="B276" t="str">
        <f>Dryseason!B202</f>
        <v>Dry</v>
      </c>
      <c r="C276" s="253">
        <f>Dryseason!C202</f>
        <v>201</v>
      </c>
      <c r="D276" t="s">
        <v>2442</v>
      </c>
      <c r="E276" t="s">
        <v>22</v>
      </c>
      <c r="F276" s="375">
        <v>1</v>
      </c>
      <c r="G276" s="16">
        <f>IF('Dry_Litterbag Placem_Collection'!E203="","",'Dry_Litterbag Placem_Collection'!E203)</f>
        <v>42942</v>
      </c>
      <c r="H276" t="str">
        <f>Dryseason!L202</f>
        <v>G211</v>
      </c>
      <c r="I276" t="str">
        <f>Dryseason!L422</f>
        <v>R36</v>
      </c>
      <c r="J276">
        <f>IFERROR(INDEX('Green_rooibos initial weight'!$C$5:$C$2000,MATCH(H276, 'Green_rooibos initial weight'!$A$5:$A$2000,0)),"")</f>
        <v>2.06</v>
      </c>
      <c r="K276">
        <f>IFERROR(INDEX('Green_rooibos initial weight'!$C$5:$C$2000,MATCH(I276, 'Green_rooibos initial weight'!$A$5:$A$2000,0)),"")</f>
        <v>2.298</v>
      </c>
      <c r="L276" s="194">
        <f t="shared" si="43"/>
        <v>1.8102</v>
      </c>
      <c r="M276" s="233">
        <f>AVERAGE(Ashed_controlls!$K$1:$K$11)</f>
        <v>5.5147656768714146</v>
      </c>
      <c r="N276" s="194">
        <f t="shared" si="39"/>
        <v>1.7103717117172736</v>
      </c>
      <c r="O276" s="194">
        <f t="shared" si="44"/>
        <v>2.0482</v>
      </c>
      <c r="P276" s="233">
        <f>AVERAGE(Ashed_controlls!$K$12:$K$14)</f>
        <v>2.2816647271287041</v>
      </c>
      <c r="Q276" s="194">
        <f t="shared" si="40"/>
        <v>2.0014669430589498</v>
      </c>
      <c r="R276" s="16">
        <f>IF('Dry_Litterbag Placem_Collection'!G203="","",'Dry_Litterbag Placem_Collection'!G203)</f>
        <v>43004</v>
      </c>
      <c r="S276" s="194">
        <f>IFERROR(INDEX('Both teabags AfterDry'!$D$3:$D$2000,MATCH(H276,'Both teabags AfterDry'!$A$3:$A$2000,0)),"")</f>
        <v>0.67300000000000004</v>
      </c>
      <c r="T276" s="194">
        <f>IFERROR(INDEX('Both teabags AfterDry'!$D$3:$D$2000,MATCH(I276,'Both teabags AfterDry'!$A$3:$A$2000,0)),"")</f>
        <v>1.968</v>
      </c>
      <c r="U276" s="194">
        <f t="shared" si="45"/>
        <v>0.52239999999999998</v>
      </c>
      <c r="V276" s="194">
        <f t="shared" si="46"/>
        <v>1.8173999999999999</v>
      </c>
      <c r="W276" s="194">
        <f>IFERROR(INDEX('Ashed teabags dry'!$K$2:$K$2000,MATCH(H276,'Ashed teabags dry'!$A$2:$A$2000,0)),"")</f>
        <v>67.294685990337157</v>
      </c>
      <c r="X276" s="194">
        <f>IFERROR(INDEX('Ashed teabags dry'!$K$2:$K$2000,MATCH(I276,'Ashed teabags dry'!$A$2:$A$2000,0)),"")</f>
        <v>10.068426197458811</v>
      </c>
      <c r="Y276" s="194">
        <f t="shared" si="41"/>
        <v>0.17085256038647867</v>
      </c>
      <c r="Z276" s="194">
        <f t="shared" si="41"/>
        <v>1.6344164222873836</v>
      </c>
      <c r="AA276" s="194">
        <f t="shared" si="47"/>
        <v>0.90010793606090655</v>
      </c>
      <c r="AB276" s="194">
        <f t="shared" si="48"/>
        <v>0.59009451390216205</v>
      </c>
      <c r="AC276" s="194">
        <f t="shared" si="42"/>
        <v>0.81660925150700558</v>
      </c>
      <c r="AD276">
        <f t="shared" si="49"/>
        <v>62</v>
      </c>
      <c r="AE276" s="194">
        <f t="shared" si="50"/>
        <v>-6.9011800547394975E-2</v>
      </c>
      <c r="AF276" s="194">
        <f t="shared" si="51"/>
        <v>6.0031878356522203E-3</v>
      </c>
      <c r="AG276" s="245" t="str">
        <f>IF(ISNUMBER(SEARCH("C", 'Dry_Litterbag Placem_Collection'!$T203)),"YES","NO")</f>
        <v>YES</v>
      </c>
      <c r="AH276" s="245" t="str">
        <f>IF(ISNUMBER(SEARCH("H", 'Dry_Litterbag Placem_Collection'!$T203)),"YES","NO")</f>
        <v>YES</v>
      </c>
      <c r="AI276" s="245" t="str">
        <f>IF(ISNUMBER(SEARCH("R", 'Dry_Litterbag Placem_Collection'!$T203)),"YES","NO")</f>
        <v>YES</v>
      </c>
      <c r="AJ276" s="245" t="str">
        <f>IF(ISNUMBER(SEARCH("C", 'Dry_Litterbag Placem_Collection'!$S203)),"YES","NO")</f>
        <v>NO</v>
      </c>
      <c r="AK276" s="245" t="str">
        <f>IF(ISNUMBER(SEARCH("H", 'Dry_Litterbag Placem_Collection'!$S203)),"YES","NO")</f>
        <v>YES</v>
      </c>
      <c r="AL276" s="245" t="str">
        <f>IF(ISNUMBER(SEARCH("R", 'Dry_Litterbag Placem_Collection'!$S203)),"YES","NO")</f>
        <v>YES</v>
      </c>
    </row>
    <row r="277" spans="2:38">
      <c r="B277" t="str">
        <f>Dryseason!B203</f>
        <v>Dry</v>
      </c>
      <c r="C277" s="253">
        <f>Dryseason!C203</f>
        <v>202</v>
      </c>
      <c r="D277" t="s">
        <v>2419</v>
      </c>
      <c r="E277" t="s">
        <v>22</v>
      </c>
      <c r="F277" s="375">
        <v>2</v>
      </c>
      <c r="G277" s="16">
        <f>IF('Dry_Litterbag Placem_Collection'!E204="","",'Dry_Litterbag Placem_Collection'!E204)</f>
        <v>42942</v>
      </c>
      <c r="H277" t="str">
        <f>Dryseason!L203</f>
        <v>G181</v>
      </c>
      <c r="I277" t="str">
        <f>Dryseason!L423</f>
        <v>R676</v>
      </c>
      <c r="J277">
        <f>IFERROR(INDEX('Green_rooibos initial weight'!$C$5:$C$2000,MATCH(H277, 'Green_rooibos initial weight'!$A$5:$A$2000,0)),"")</f>
        <v>1.7629999999999999</v>
      </c>
      <c r="K277">
        <f>IFERROR(INDEX('Green_rooibos initial weight'!$C$5:$C$2000,MATCH(I277, 'Green_rooibos initial weight'!$A$5:$A$2000,0)),"")</f>
        <v>2.1459999999999999</v>
      </c>
      <c r="L277" s="194">
        <f t="shared" si="43"/>
        <v>1.5131999999999999</v>
      </c>
      <c r="M277" s="233">
        <f>AVERAGE(Ashed_controlls!$K$1:$K$11)</f>
        <v>5.5147656768714146</v>
      </c>
      <c r="N277" s="194">
        <f t="shared" si="39"/>
        <v>1.4297505657775815</v>
      </c>
      <c r="O277" s="194">
        <f t="shared" si="44"/>
        <v>1.8961999999999999</v>
      </c>
      <c r="P277" s="233">
        <f>AVERAGE(Ashed_controlls!$K$12:$K$14)</f>
        <v>2.2816647271287041</v>
      </c>
      <c r="Q277" s="194">
        <f t="shared" si="40"/>
        <v>1.8529350734441854</v>
      </c>
      <c r="R277" s="16">
        <f>IF('Dry_Litterbag Placem_Collection'!G204="","",'Dry_Litterbag Placem_Collection'!G204)</f>
        <v>43004</v>
      </c>
      <c r="S277" s="194">
        <f>IFERROR(INDEX('Both teabags AfterDry'!$D$3:$D$2000,MATCH(H277,'Both teabags AfterDry'!$A$3:$A$2000,0)),"")</f>
        <v>0.80740000000000001</v>
      </c>
      <c r="T277" s="194">
        <f>IFERROR(INDEX('Both teabags AfterDry'!$D$3:$D$2000,MATCH(I277,'Both teabags AfterDry'!$A$3:$A$2000,0)),"")</f>
        <v>1.6712</v>
      </c>
      <c r="U277" s="194">
        <f t="shared" si="45"/>
        <v>0.65680000000000005</v>
      </c>
      <c r="V277" s="194">
        <f t="shared" si="46"/>
        <v>1.5206</v>
      </c>
      <c r="W277" s="194">
        <f>IFERROR(INDEX('Ashed teabags dry'!$K$2:$K$2000,MATCH(H277,'Ashed teabags dry'!$A$2:$A$2000,0)),"")</f>
        <v>30.530575539568105</v>
      </c>
      <c r="X277" s="194">
        <f>IFERROR(INDEX('Ashed teabags dry'!$K$2:$K$2000,MATCH(I277,'Ashed teabags dry'!$A$2:$A$2000,0)),"")</f>
        <v>11.369253583786671</v>
      </c>
      <c r="Y277" s="194">
        <f t="shared" si="41"/>
        <v>0.45627517985611671</v>
      </c>
      <c r="Z277" s="194">
        <f t="shared" si="41"/>
        <v>1.3477191300049398</v>
      </c>
      <c r="AA277" s="194">
        <f t="shared" si="47"/>
        <v>0.68087078209480012</v>
      </c>
      <c r="AB277" s="194">
        <f t="shared" si="48"/>
        <v>0.44636659348732743</v>
      </c>
      <c r="AC277" s="194">
        <f t="shared" si="42"/>
        <v>0.72734287850671209</v>
      </c>
      <c r="AD277">
        <f t="shared" si="49"/>
        <v>62</v>
      </c>
      <c r="AE277" s="194">
        <f t="shared" si="50"/>
        <v>0.19136486687078369</v>
      </c>
      <c r="AF277" s="194">
        <f t="shared" si="51"/>
        <v>1.522187694133415E-2</v>
      </c>
      <c r="AG277" s="245" t="str">
        <f>IF(ISNUMBER(SEARCH("C", 'Dry_Litterbag Placem_Collection'!$T204)),"YES","NO")</f>
        <v>NO</v>
      </c>
      <c r="AH277" s="245" t="str">
        <f>IF(ISNUMBER(SEARCH("H", 'Dry_Litterbag Placem_Collection'!$T204)),"YES","NO")</f>
        <v>YES</v>
      </c>
      <c r="AI277" s="245" t="str">
        <f>IF(ISNUMBER(SEARCH("R", 'Dry_Litterbag Placem_Collection'!$T204)),"YES","NO")</f>
        <v>YES</v>
      </c>
      <c r="AJ277" s="245" t="str">
        <f>IF(ISNUMBER(SEARCH("C", 'Dry_Litterbag Placem_Collection'!$S204)),"YES","NO")</f>
        <v>NO</v>
      </c>
      <c r="AK277" s="245" t="str">
        <f>IF(ISNUMBER(SEARCH("H", 'Dry_Litterbag Placem_Collection'!$S204)),"YES","NO")</f>
        <v>NO</v>
      </c>
      <c r="AL277" s="245" t="str">
        <f>IF(ISNUMBER(SEARCH("R", 'Dry_Litterbag Placem_Collection'!$S204)),"YES","NO")</f>
        <v>YES</v>
      </c>
    </row>
    <row r="278" spans="2:38">
      <c r="B278" t="str">
        <f>Dryseason!B204</f>
        <v>Dry</v>
      </c>
      <c r="C278" s="253">
        <f>Dryseason!C204</f>
        <v>203</v>
      </c>
      <c r="D278" t="s">
        <v>2428</v>
      </c>
      <c r="E278" t="s">
        <v>22</v>
      </c>
      <c r="F278" s="375">
        <v>3</v>
      </c>
      <c r="G278" s="16">
        <f>IF('Dry_Litterbag Placem_Collection'!E205="","",'Dry_Litterbag Placem_Collection'!E205)</f>
        <v>42942</v>
      </c>
      <c r="H278" t="str">
        <f>Dryseason!L204</f>
        <v>G179</v>
      </c>
      <c r="I278" t="str">
        <f>Dryseason!L424</f>
        <v>R685</v>
      </c>
      <c r="J278">
        <f>IFERROR(INDEX('Green_rooibos initial weight'!$C$5:$C$2000,MATCH(H278, 'Green_rooibos initial weight'!$A$5:$A$2000,0)),"")</f>
        <v>1.9750000000000001</v>
      </c>
      <c r="K278">
        <f>IFERROR(INDEX('Green_rooibos initial weight'!$C$5:$C$2000,MATCH(I278, 'Green_rooibos initial weight'!$A$5:$A$2000,0)),"")</f>
        <v>2.1629999999999998</v>
      </c>
      <c r="L278" s="194">
        <f t="shared" si="43"/>
        <v>1.7252000000000001</v>
      </c>
      <c r="M278" s="233">
        <f>AVERAGE(Ashed_controlls!$K$1:$K$11)</f>
        <v>5.5147656768714146</v>
      </c>
      <c r="N278" s="194">
        <f t="shared" si="39"/>
        <v>1.6300592625426145</v>
      </c>
      <c r="O278" s="194">
        <f t="shared" si="44"/>
        <v>1.9131999999999998</v>
      </c>
      <c r="P278" s="233">
        <f>AVERAGE(Ashed_controlls!$K$12:$K$14)</f>
        <v>2.2816647271287041</v>
      </c>
      <c r="Q278" s="194">
        <f t="shared" si="40"/>
        <v>1.8695471904405734</v>
      </c>
      <c r="R278" s="16">
        <f>IF('Dry_Litterbag Placem_Collection'!G205="","",'Dry_Litterbag Placem_Collection'!G205)</f>
        <v>43004</v>
      </c>
      <c r="S278" s="194">
        <f>IFERROR(INDEX('Both teabags AfterDry'!$D$3:$D$2000,MATCH(H278,'Both teabags AfterDry'!$A$3:$A$2000,0)),"")</f>
        <v>0.59770000000000001</v>
      </c>
      <c r="T278" s="194">
        <f>IFERROR(INDEX('Both teabags AfterDry'!$D$3:$D$2000,MATCH(I278,'Both teabags AfterDry'!$A$3:$A$2000,0)),"")</f>
        <v>1.7919</v>
      </c>
      <c r="U278" s="194">
        <f t="shared" si="45"/>
        <v>0.4471</v>
      </c>
      <c r="V278" s="194">
        <f t="shared" si="46"/>
        <v>1.6413</v>
      </c>
      <c r="W278" s="194">
        <f>IFERROR(INDEX('Ashed teabags dry'!$K$2:$K$2000,MATCH(H278,'Ashed teabags dry'!$A$2:$A$2000,0)),"")</f>
        <v>24.558823529410816</v>
      </c>
      <c r="X278" s="194">
        <f>IFERROR(INDEX('Ashed teabags dry'!$K$2:$K$2000,MATCH(I278,'Ashed teabags dry'!$A$2:$A$2000,0)),"")</f>
        <v>7.1924603174607373</v>
      </c>
      <c r="Y278" s="194">
        <f t="shared" si="41"/>
        <v>0.33729750000000425</v>
      </c>
      <c r="Z278" s="194">
        <f t="shared" si="41"/>
        <v>1.5232501488095169</v>
      </c>
      <c r="AA278" s="194">
        <f t="shared" si="47"/>
        <v>0.79307654160139085</v>
      </c>
      <c r="AB278" s="194">
        <f t="shared" si="48"/>
        <v>0.51992666385269337</v>
      </c>
      <c r="AC278" s="194">
        <f t="shared" si="42"/>
        <v>0.81476956377364895</v>
      </c>
      <c r="AD278">
        <f t="shared" si="49"/>
        <v>62</v>
      </c>
      <c r="AE278" s="194">
        <f t="shared" si="50"/>
        <v>5.8103869832077382E-2</v>
      </c>
      <c r="AF278" s="194">
        <f t="shared" si="51"/>
        <v>7.104265053768123E-3</v>
      </c>
      <c r="AG278" s="245" t="str">
        <f>IF(ISNUMBER(SEARCH("C", 'Dry_Litterbag Placem_Collection'!$T205)),"YES","NO")</f>
        <v>NO</v>
      </c>
      <c r="AH278" s="245" t="str">
        <f>IF(ISNUMBER(SEARCH("H", 'Dry_Litterbag Placem_Collection'!$T205)),"YES","NO")</f>
        <v>NO</v>
      </c>
      <c r="AI278" s="245" t="str">
        <f>IF(ISNUMBER(SEARCH("R", 'Dry_Litterbag Placem_Collection'!$T205)),"YES","NO")</f>
        <v>YES</v>
      </c>
      <c r="AJ278" s="245" t="str">
        <f>IF(ISNUMBER(SEARCH("C", 'Dry_Litterbag Placem_Collection'!$S205)),"YES","NO")</f>
        <v>NO</v>
      </c>
      <c r="AK278" s="245" t="str">
        <f>IF(ISNUMBER(SEARCH("H", 'Dry_Litterbag Placem_Collection'!$S205)),"YES","NO")</f>
        <v>YES</v>
      </c>
      <c r="AL278" s="245" t="str">
        <f>IF(ISNUMBER(SEARCH("R", 'Dry_Litterbag Placem_Collection'!$S205)),"YES","NO")</f>
        <v>YES</v>
      </c>
    </row>
    <row r="279" spans="2:38">
      <c r="B279" t="str">
        <f>Dryseason!B205</f>
        <v>Dry</v>
      </c>
      <c r="C279" s="253">
        <f>Dryseason!C205</f>
        <v>204</v>
      </c>
      <c r="D279" t="s">
        <v>2435</v>
      </c>
      <c r="E279" t="s">
        <v>22</v>
      </c>
      <c r="F279" s="375">
        <v>4</v>
      </c>
      <c r="G279" s="16">
        <f>IF('Dry_Litterbag Placem_Collection'!E206="","",'Dry_Litterbag Placem_Collection'!E206)</f>
        <v>42942</v>
      </c>
      <c r="H279" t="str">
        <f>Dryseason!L205</f>
        <v>G248</v>
      </c>
      <c r="I279" t="str">
        <f>Dryseason!L425</f>
        <v>R254</v>
      </c>
      <c r="J279">
        <f>IFERROR(INDEX('Green_rooibos initial weight'!$C$5:$C$2000,MATCH(H279, 'Green_rooibos initial weight'!$A$5:$A$2000,0)),"")</f>
        <v>1.9950000000000001</v>
      </c>
      <c r="K279">
        <f>IFERROR(INDEX('Green_rooibos initial weight'!$C$5:$C$2000,MATCH(I279, 'Green_rooibos initial weight'!$A$5:$A$2000,0)),"")</f>
        <v>2.266</v>
      </c>
      <c r="L279" s="194">
        <f t="shared" si="43"/>
        <v>1.7452000000000001</v>
      </c>
      <c r="M279" s="233">
        <f>AVERAGE(Ashed_controlls!$K$1:$K$11)</f>
        <v>5.5147656768714146</v>
      </c>
      <c r="N279" s="194">
        <f t="shared" si="39"/>
        <v>1.6489563094072401</v>
      </c>
      <c r="O279" s="194">
        <f t="shared" si="44"/>
        <v>2.0162</v>
      </c>
      <c r="P279" s="233">
        <f>AVERAGE(Ashed_controlls!$K$12:$K$14)</f>
        <v>2.2816647271287041</v>
      </c>
      <c r="Q279" s="194">
        <f t="shared" si="40"/>
        <v>1.9701970757716312</v>
      </c>
      <c r="R279" s="16">
        <f>IF('Dry_Litterbag Placem_Collection'!G206="","",'Dry_Litterbag Placem_Collection'!G206)</f>
        <v>43004</v>
      </c>
      <c r="S279" s="194">
        <f>IFERROR(INDEX('Both teabags AfterDry'!$D$3:$D$2000,MATCH(H279,'Both teabags AfterDry'!$A$3:$A$2000,0)),"")</f>
        <v>1.7124999999999999</v>
      </c>
      <c r="T279" s="194">
        <f>IFERROR(INDEX('Both teabags AfterDry'!$D$3:$D$2000,MATCH(I279,'Both teabags AfterDry'!$A$3:$A$2000,0)),"")</f>
        <v>1.8010999999999999</v>
      </c>
      <c r="U279" s="194">
        <f t="shared" si="45"/>
        <v>1.5618999999999998</v>
      </c>
      <c r="V279" s="194">
        <f t="shared" si="46"/>
        <v>1.6504999999999999</v>
      </c>
      <c r="W279" s="194">
        <f>IFERROR(INDEX('Ashed teabags dry'!$K$2:$K$2000,MATCH(H279,'Ashed teabags dry'!$A$2:$A$2000,0)),"")</f>
        <v>13.375486381322672</v>
      </c>
      <c r="X279" s="194">
        <f>IFERROR(INDEX('Ashed teabags dry'!$K$2:$K$2000,MATCH(I279,'Ashed teabags dry'!$A$2:$A$2000,0)),"")</f>
        <v>6.0425953442297144</v>
      </c>
      <c r="Y279" s="194">
        <f t="shared" si="41"/>
        <v>1.352988278210121</v>
      </c>
      <c r="Z279" s="194">
        <f t="shared" si="41"/>
        <v>1.5507669638434884</v>
      </c>
      <c r="AA279" s="194">
        <f t="shared" si="47"/>
        <v>0.1794880977189216</v>
      </c>
      <c r="AB279" s="194">
        <f t="shared" si="48"/>
        <v>0.11766915669934055</v>
      </c>
      <c r="AC279" s="194">
        <f t="shared" si="42"/>
        <v>0.78711261066922855</v>
      </c>
      <c r="AD279">
        <f t="shared" si="49"/>
        <v>62</v>
      </c>
      <c r="AE279" s="194">
        <f t="shared" si="50"/>
        <v>0.7868312378635135</v>
      </c>
      <c r="AF279" s="194" t="str">
        <f t="shared" si="51"/>
        <v/>
      </c>
      <c r="AG279" s="245" t="str">
        <f>IF(ISNUMBER(SEARCH("C", 'Dry_Litterbag Placem_Collection'!$T206)),"YES","NO")</f>
        <v>NO</v>
      </c>
      <c r="AH279" s="245" t="str">
        <f>IF(ISNUMBER(SEARCH("H", 'Dry_Litterbag Placem_Collection'!$T206)),"YES","NO")</f>
        <v>YES</v>
      </c>
      <c r="AI279" s="245" t="str">
        <f>IF(ISNUMBER(SEARCH("R", 'Dry_Litterbag Placem_Collection'!$T206)),"YES","NO")</f>
        <v>YES</v>
      </c>
      <c r="AJ279" s="245" t="str">
        <f>IF(ISNUMBER(SEARCH("C", 'Dry_Litterbag Placem_Collection'!$S206)),"YES","NO")</f>
        <v>NO</v>
      </c>
      <c r="AK279" s="245" t="str">
        <f>IF(ISNUMBER(SEARCH("H", 'Dry_Litterbag Placem_Collection'!$S206)),"YES","NO")</f>
        <v>YES</v>
      </c>
      <c r="AL279" s="245" t="str">
        <f>IF(ISNUMBER(SEARCH("R", 'Dry_Litterbag Placem_Collection'!$S206)),"YES","NO")</f>
        <v>YES</v>
      </c>
    </row>
    <row r="280" spans="2:38">
      <c r="B280" t="str">
        <f>Dryseason!B206</f>
        <v>Dry</v>
      </c>
      <c r="C280" s="253">
        <f>Dryseason!C206</f>
        <v>205</v>
      </c>
      <c r="D280" t="s">
        <v>2429</v>
      </c>
      <c r="E280" t="s">
        <v>22</v>
      </c>
      <c r="F280" s="375">
        <v>1</v>
      </c>
      <c r="G280" s="16">
        <f>IF('Dry_Litterbag Placem_Collection'!E207="","",'Dry_Litterbag Placem_Collection'!E207)</f>
        <v>42942</v>
      </c>
      <c r="H280" t="str">
        <f>Dryseason!L206</f>
        <v>G55</v>
      </c>
      <c r="I280" t="str">
        <f>Dryseason!L426</f>
        <v>R348</v>
      </c>
      <c r="J280">
        <f>IFERROR(INDEX('Green_rooibos initial weight'!$C$5:$C$2000,MATCH(H280, 'Green_rooibos initial weight'!$A$5:$A$2000,0)),"")</f>
        <v>2.024</v>
      </c>
      <c r="K280">
        <f>IFERROR(INDEX('Green_rooibos initial weight'!$C$5:$C$2000,MATCH(I280, 'Green_rooibos initial weight'!$A$5:$A$2000,0)),"")</f>
        <v>2.31</v>
      </c>
      <c r="L280" s="194">
        <f t="shared" si="43"/>
        <v>1.7742</v>
      </c>
      <c r="M280" s="233">
        <f>AVERAGE(Ashed_controlls!$K$1:$K$11)</f>
        <v>5.5147656768714146</v>
      </c>
      <c r="N280" s="194">
        <f t="shared" si="39"/>
        <v>1.6763570273609474</v>
      </c>
      <c r="O280" s="194">
        <f t="shared" si="44"/>
        <v>2.0602</v>
      </c>
      <c r="P280" s="233">
        <f>AVERAGE(Ashed_controlls!$K$12:$K$14)</f>
        <v>2.2816647271287041</v>
      </c>
      <c r="Q280" s="194">
        <f t="shared" si="40"/>
        <v>2.0131931432916943</v>
      </c>
      <c r="R280" s="16">
        <f>IF('Dry_Litterbag Placem_Collection'!G207="","",'Dry_Litterbag Placem_Collection'!G207)</f>
        <v>43004</v>
      </c>
      <c r="S280" s="194">
        <f>IFERROR(INDEX('Both teabags AfterDry'!$D$3:$D$2000,MATCH(H280,'Both teabags AfterDry'!$A$3:$A$2000,0)),"")</f>
        <v>0.86550000000000005</v>
      </c>
      <c r="T280" s="194">
        <f>IFERROR(INDEX('Both teabags AfterDry'!$D$3:$D$2000,MATCH(I280,'Both teabags AfterDry'!$A$3:$A$2000,0)),"")</f>
        <v>1.7168000000000001</v>
      </c>
      <c r="U280" s="194">
        <f t="shared" si="45"/>
        <v>0.71490000000000009</v>
      </c>
      <c r="V280" s="194">
        <f t="shared" si="46"/>
        <v>1.5662</v>
      </c>
      <c r="W280" s="194">
        <f>IFERROR(INDEX('Ashed teabags dry'!$K$2:$K$2000,MATCH(H280,'Ashed teabags dry'!$A$2:$A$2000,0)),"")</f>
        <v>19.260700389104883</v>
      </c>
      <c r="X280" s="194">
        <f>IFERROR(INDEX('Ashed teabags dry'!$K$2:$K$2000,MATCH(I280,'Ashed teabags dry'!$A$2:$A$2000,0)),"")</f>
        <v>5.9891107078038743</v>
      </c>
      <c r="Y280" s="194">
        <f t="shared" si="41"/>
        <v>0.57720525291828928</v>
      </c>
      <c r="Z280" s="194">
        <f t="shared" si="41"/>
        <v>1.4723985480943758</v>
      </c>
      <c r="AA280" s="194">
        <f t="shared" si="47"/>
        <v>0.65567880618666829</v>
      </c>
      <c r="AB280" s="194">
        <f t="shared" si="48"/>
        <v>0.42985118885396784</v>
      </c>
      <c r="AC280" s="194">
        <f t="shared" si="42"/>
        <v>0.73137470838337637</v>
      </c>
      <c r="AD280">
        <f t="shared" si="49"/>
        <v>62</v>
      </c>
      <c r="AE280" s="194">
        <f t="shared" si="50"/>
        <v>0.22128407816310181</v>
      </c>
      <c r="AF280" s="194">
        <f t="shared" si="51"/>
        <v>1.5816654941156874E-2</v>
      </c>
      <c r="AG280" s="245" t="str">
        <f>IF(ISNUMBER(SEARCH("C", 'Dry_Litterbag Placem_Collection'!$T207)),"YES","NO")</f>
        <v>NO</v>
      </c>
      <c r="AH280" s="245" t="str">
        <f>IF(ISNUMBER(SEARCH("H", 'Dry_Litterbag Placem_Collection'!$T207)),"YES","NO")</f>
        <v>YES</v>
      </c>
      <c r="AI280" s="245" t="str">
        <f>IF(ISNUMBER(SEARCH("R", 'Dry_Litterbag Placem_Collection'!$T207)),"YES","NO")</f>
        <v>YES</v>
      </c>
      <c r="AJ280" s="245" t="str">
        <f>IF(ISNUMBER(SEARCH("C", 'Dry_Litterbag Placem_Collection'!$S207)),"YES","NO")</f>
        <v>NO</v>
      </c>
      <c r="AK280" s="245" t="str">
        <f>IF(ISNUMBER(SEARCH("H", 'Dry_Litterbag Placem_Collection'!$S207)),"YES","NO")</f>
        <v>YES</v>
      </c>
      <c r="AL280" s="245" t="str">
        <f>IF(ISNUMBER(SEARCH("R", 'Dry_Litterbag Placem_Collection'!$S207)),"YES","NO")</f>
        <v>YES</v>
      </c>
    </row>
    <row r="281" spans="2:38">
      <c r="B281" t="str">
        <f>Dryseason!B207</f>
        <v>Dry</v>
      </c>
      <c r="C281" s="253">
        <f>Dryseason!C207</f>
        <v>206</v>
      </c>
      <c r="D281" t="s">
        <v>2420</v>
      </c>
      <c r="E281" t="s">
        <v>22</v>
      </c>
      <c r="F281" s="375">
        <v>2</v>
      </c>
      <c r="G281" s="16">
        <f>IF('Dry_Litterbag Placem_Collection'!E208="","",'Dry_Litterbag Placem_Collection'!E208)</f>
        <v>42942</v>
      </c>
      <c r="H281" t="str">
        <f>Dryseason!L207</f>
        <v>G124</v>
      </c>
      <c r="I281" t="str">
        <f>Dryseason!L427</f>
        <v>R686</v>
      </c>
      <c r="J281">
        <f>IFERROR(INDEX('Green_rooibos initial weight'!$C$5:$C$2000,MATCH(H281, 'Green_rooibos initial weight'!$A$5:$A$2000,0)),"")</f>
        <v>1.9390000000000001</v>
      </c>
      <c r="K281">
        <f>IFERROR(INDEX('Green_rooibos initial weight'!$C$5:$C$2000,MATCH(I281, 'Green_rooibos initial weight'!$A$5:$A$2000,0)),"")</f>
        <v>2.1890000000000001</v>
      </c>
      <c r="L281" s="194">
        <f t="shared" si="43"/>
        <v>1.6892</v>
      </c>
      <c r="M281" s="233">
        <f>AVERAGE(Ashed_controlls!$K$1:$K$11)</f>
        <v>5.5147656768714146</v>
      </c>
      <c r="N281" s="194">
        <f t="shared" si="39"/>
        <v>1.5960445781862882</v>
      </c>
      <c r="O281" s="194">
        <f t="shared" si="44"/>
        <v>1.9392</v>
      </c>
      <c r="P281" s="233">
        <f>AVERAGE(Ashed_controlls!$K$12:$K$14)</f>
        <v>2.2816647271287041</v>
      </c>
      <c r="Q281" s="194">
        <f t="shared" si="40"/>
        <v>1.8949539576115202</v>
      </c>
      <c r="R281" s="16">
        <f>IF('Dry_Litterbag Placem_Collection'!G208="","",'Dry_Litterbag Placem_Collection'!G208)</f>
        <v>43004</v>
      </c>
      <c r="S281" s="194">
        <f>IFERROR(INDEX('Both teabags AfterDry'!$D$3:$D$2000,MATCH(H281,'Both teabags AfterDry'!$A$3:$A$2000,0)),"")</f>
        <v>0.66969999999999996</v>
      </c>
      <c r="T281" s="194">
        <f>IFERROR(INDEX('Both teabags AfterDry'!$D$3:$D$2000,MATCH(I281,'Both teabags AfterDry'!$A$3:$A$2000,0)),"")</f>
        <v>3.4599000000000002</v>
      </c>
      <c r="U281" s="194">
        <f t="shared" si="45"/>
        <v>0.51909999999999989</v>
      </c>
      <c r="V281" s="194">
        <f t="shared" si="46"/>
        <v>3.3093000000000004</v>
      </c>
      <c r="W281" s="194">
        <f>IFERROR(INDEX('Ashed teabags dry'!$K$2:$K$2000,MATCH(H281,'Ashed teabags dry'!$A$2:$A$2000,0)),"")</f>
        <v>14.333976833976731</v>
      </c>
      <c r="X281" s="194">
        <f>IFERROR(INDEX('Ashed teabags dry'!$K$2:$K$2000,MATCH(I281,'Ashed teabags dry'!$A$2:$A$2000,0)),"")</f>
        <v>95.258416311047142</v>
      </c>
      <c r="Y281" s="194">
        <f t="shared" si="41"/>
        <v>0.44469232625482669</v>
      </c>
      <c r="Z281" s="194">
        <f t="shared" si="41"/>
        <v>0.1569132290185169</v>
      </c>
      <c r="AA281" s="194">
        <f t="shared" si="47"/>
        <v>0.72137850512912005</v>
      </c>
      <c r="AB281" s="194">
        <f t="shared" si="48"/>
        <v>0.47292272545281983</v>
      </c>
      <c r="AC281" s="194">
        <f t="shared" si="42"/>
        <v>8.2805826700030713E-2</v>
      </c>
      <c r="AD281">
        <f t="shared" si="49"/>
        <v>62</v>
      </c>
      <c r="AE281" s="194">
        <f t="shared" si="50"/>
        <v>0.14325593215068877</v>
      </c>
      <c r="AF281" s="194" t="str">
        <f t="shared" si="51"/>
        <v/>
      </c>
      <c r="AG281" s="245" t="str">
        <f>IF(ISNUMBER(SEARCH("C", 'Dry_Litterbag Placem_Collection'!$T208)),"YES","NO")</f>
        <v>NO</v>
      </c>
      <c r="AH281" s="245" t="str">
        <f>IF(ISNUMBER(SEARCH("H", 'Dry_Litterbag Placem_Collection'!$T208)),"YES","NO")</f>
        <v>YES</v>
      </c>
      <c r="AI281" s="245" t="str">
        <f>IF(ISNUMBER(SEARCH("R", 'Dry_Litterbag Placem_Collection'!$T208)),"YES","NO")</f>
        <v>YES</v>
      </c>
      <c r="AJ281" s="245" t="str">
        <f>IF(ISNUMBER(SEARCH("C", 'Dry_Litterbag Placem_Collection'!$S208)),"YES","NO")</f>
        <v>NO</v>
      </c>
      <c r="AK281" s="245" t="str">
        <f>IF(ISNUMBER(SEARCH("H", 'Dry_Litterbag Placem_Collection'!$S208)),"YES","NO")</f>
        <v>NO</v>
      </c>
      <c r="AL281" s="245" t="str">
        <f>IF(ISNUMBER(SEARCH("R", 'Dry_Litterbag Placem_Collection'!$S208)),"YES","NO")</f>
        <v>YES</v>
      </c>
    </row>
    <row r="282" spans="2:38">
      <c r="B282" t="str">
        <f>Dryseason!B208</f>
        <v>Dry</v>
      </c>
      <c r="C282" s="253">
        <f>Dryseason!C208</f>
        <v>207</v>
      </c>
      <c r="D282" t="s">
        <v>2443</v>
      </c>
      <c r="E282" t="s">
        <v>22</v>
      </c>
      <c r="F282" s="375">
        <v>3</v>
      </c>
      <c r="G282" s="16">
        <f>IF('Dry_Litterbag Placem_Collection'!E209="","",'Dry_Litterbag Placem_Collection'!E209)</f>
        <v>42942</v>
      </c>
      <c r="H282" t="str">
        <f>Dryseason!L208</f>
        <v>G234</v>
      </c>
      <c r="I282" t="str">
        <f>Dryseason!L428</f>
        <v>R551</v>
      </c>
      <c r="J282">
        <f>IFERROR(INDEX('Green_rooibos initial weight'!$C$5:$C$2000,MATCH(H282, 'Green_rooibos initial weight'!$A$5:$A$2000,0)),"")</f>
        <v>2.13</v>
      </c>
      <c r="K282">
        <f>IFERROR(INDEX('Green_rooibos initial weight'!$C$5:$C$2000,MATCH(I282, 'Green_rooibos initial weight'!$A$5:$A$2000,0)),"")</f>
        <v>2.1739999999999999</v>
      </c>
      <c r="L282" s="194">
        <f t="shared" si="43"/>
        <v>1.8801999999999999</v>
      </c>
      <c r="M282" s="233">
        <f>AVERAGE(Ashed_controlls!$K$1:$K$11)</f>
        <v>5.5147656768714146</v>
      </c>
      <c r="N282" s="194">
        <f t="shared" si="39"/>
        <v>1.7765113757434636</v>
      </c>
      <c r="O282" s="194">
        <f t="shared" si="44"/>
        <v>1.9241999999999999</v>
      </c>
      <c r="P282" s="233">
        <f>AVERAGE(Ashed_controlls!$K$12:$K$14)</f>
        <v>2.2816647271287041</v>
      </c>
      <c r="Q282" s="194">
        <f t="shared" si="40"/>
        <v>1.8802962073205893</v>
      </c>
      <c r="R282" s="16">
        <f>IF('Dry_Litterbag Placem_Collection'!G209="","",'Dry_Litterbag Placem_Collection'!G209)</f>
        <v>43004</v>
      </c>
      <c r="S282" s="194">
        <f>IFERROR(INDEX('Both teabags AfterDry'!$D$3:$D$2000,MATCH(H282,'Both teabags AfterDry'!$A$3:$A$2000,0)),"")</f>
        <v>0.745</v>
      </c>
      <c r="T282" s="194">
        <f>IFERROR(INDEX('Both teabags AfterDry'!$D$3:$D$2000,MATCH(I282,'Both teabags AfterDry'!$A$3:$A$2000,0)),"")</f>
        <v>8.3109999999999999</v>
      </c>
      <c r="U282" s="194">
        <f t="shared" si="45"/>
        <v>0.59440000000000004</v>
      </c>
      <c r="V282" s="194">
        <f t="shared" si="46"/>
        <v>8.1603999999999992</v>
      </c>
      <c r="W282" s="194">
        <f>IFERROR(INDEX('Ashed teabags dry'!$K$2:$K$2000,MATCH(H282,'Ashed teabags dry'!$A$2:$A$2000,0)),"")</f>
        <v>21.467639015496861</v>
      </c>
      <c r="X282" s="194">
        <f>IFERROR(INDEX('Ashed teabags dry'!$K$2:$K$2000,MATCH(I282,'Ashed teabags dry'!$A$2:$A$2000,0)),"")</f>
        <v>95.853767275969844</v>
      </c>
      <c r="Y282" s="194">
        <f t="shared" si="41"/>
        <v>0.46679635369188666</v>
      </c>
      <c r="Z282" s="194">
        <f t="shared" si="41"/>
        <v>0.33834917521175623</v>
      </c>
      <c r="AA282" s="194">
        <f t="shared" si="47"/>
        <v>0.73723987357157561</v>
      </c>
      <c r="AB282" s="194">
        <f t="shared" si="48"/>
        <v>0.48332115227020161</v>
      </c>
      <c r="AC282" s="194">
        <f t="shared" si="42"/>
        <v>0.17994461398925105</v>
      </c>
      <c r="AD282">
        <f t="shared" si="49"/>
        <v>62</v>
      </c>
      <c r="AE282" s="194">
        <f t="shared" si="50"/>
        <v>0.1244182024090551</v>
      </c>
      <c r="AF282" s="194" t="str">
        <f t="shared" si="51"/>
        <v/>
      </c>
      <c r="AG282" s="245" t="str">
        <f>IF(ISNUMBER(SEARCH("C", 'Dry_Litterbag Placem_Collection'!$T209)),"YES","NO")</f>
        <v>NO</v>
      </c>
      <c r="AH282" s="245" t="str">
        <f>IF(ISNUMBER(SEARCH("H", 'Dry_Litterbag Placem_Collection'!$T209)),"YES","NO")</f>
        <v>NO</v>
      </c>
      <c r="AI282" s="245" t="str">
        <f>IF(ISNUMBER(SEARCH("R", 'Dry_Litterbag Placem_Collection'!$T209)),"YES","NO")</f>
        <v>YES</v>
      </c>
      <c r="AJ282" s="245" t="str">
        <f>IF(ISNUMBER(SEARCH("C", 'Dry_Litterbag Placem_Collection'!$S209)),"YES","NO")</f>
        <v>NO</v>
      </c>
      <c r="AK282" s="245" t="str">
        <f>IF(ISNUMBER(SEARCH("H", 'Dry_Litterbag Placem_Collection'!$S209)),"YES","NO")</f>
        <v>NO</v>
      </c>
      <c r="AL282" s="245" t="str">
        <f>IF(ISNUMBER(SEARCH("R", 'Dry_Litterbag Placem_Collection'!$S209)),"YES","NO")</f>
        <v>YES</v>
      </c>
    </row>
    <row r="283" spans="2:38">
      <c r="B283" t="str">
        <f>Dryseason!B209</f>
        <v>Dry</v>
      </c>
      <c r="C283" s="253">
        <f>Dryseason!C209</f>
        <v>208</v>
      </c>
      <c r="D283" t="s">
        <v>2436</v>
      </c>
      <c r="E283" t="s">
        <v>22</v>
      </c>
      <c r="F283" s="375">
        <v>4</v>
      </c>
      <c r="G283" s="16">
        <f>IF('Dry_Litterbag Placem_Collection'!E210="","",'Dry_Litterbag Placem_Collection'!E210)</f>
        <v>42942</v>
      </c>
      <c r="H283" t="str">
        <f>Dryseason!L209</f>
        <v>G412</v>
      </c>
      <c r="I283" t="str">
        <f>Dryseason!L429</f>
        <v>R516</v>
      </c>
      <c r="J283">
        <f>IFERROR(INDEX('Green_rooibos initial weight'!$C$5:$C$2000,MATCH(H283, 'Green_rooibos initial weight'!$A$5:$A$2000,0)),"")</f>
        <v>2.0049999999999999</v>
      </c>
      <c r="K283">
        <f>IFERROR(INDEX('Green_rooibos initial weight'!$C$5:$C$2000,MATCH(I283, 'Green_rooibos initial weight'!$A$5:$A$2000,0)),"")</f>
        <v>2.141</v>
      </c>
      <c r="L283" s="194">
        <f t="shared" si="43"/>
        <v>1.7551999999999999</v>
      </c>
      <c r="M283" s="233">
        <f>AVERAGE(Ashed_controlls!$K$1:$K$11)</f>
        <v>5.5147656768714146</v>
      </c>
      <c r="N283" s="194">
        <f t="shared" si="39"/>
        <v>1.6584048328395529</v>
      </c>
      <c r="O283" s="194">
        <f t="shared" si="44"/>
        <v>1.8912</v>
      </c>
      <c r="P283" s="233">
        <f>AVERAGE(Ashed_controlls!$K$12:$K$14)</f>
        <v>2.2816647271287041</v>
      </c>
      <c r="Q283" s="194">
        <f t="shared" si="40"/>
        <v>1.8480491566805419</v>
      </c>
      <c r="R283" s="16">
        <f>IF('Dry_Litterbag Placem_Collection'!G210="","",'Dry_Litterbag Placem_Collection'!G210)</f>
        <v>43004</v>
      </c>
      <c r="S283" s="194">
        <f>IFERROR(INDEX('Both teabags AfterDry'!$D$3:$D$2000,MATCH(H283,'Both teabags AfterDry'!$A$3:$A$2000,0)),"")</f>
        <v>0.72499999999999998</v>
      </c>
      <c r="T283" s="194">
        <f>IFERROR(INDEX('Both teabags AfterDry'!$D$3:$D$2000,MATCH(I283,'Both teabags AfterDry'!$A$3:$A$2000,0)),"")</f>
        <v>1.7749999999999999</v>
      </c>
      <c r="U283" s="194">
        <f t="shared" si="45"/>
        <v>0.57440000000000002</v>
      </c>
      <c r="V283" s="194">
        <f t="shared" si="46"/>
        <v>1.6243999999999998</v>
      </c>
      <c r="W283" s="194">
        <f>IFERROR(INDEX('Ashed teabags dry'!$K$2:$K$2000,MATCH(H283,'Ashed teabags dry'!$A$2:$A$2000,0)),"")</f>
        <v>27.644710578842087</v>
      </c>
      <c r="X283" s="194">
        <f>IFERROR(INDEX('Ashed teabags dry'!$K$2:$K$2000,MATCH(I283,'Ashed teabags dry'!$A$2:$A$2000,0)),"")</f>
        <v>78.613771089831701</v>
      </c>
      <c r="Y283" s="194">
        <f t="shared" si="41"/>
        <v>0.41560878243513111</v>
      </c>
      <c r="Z283" s="194">
        <f t="shared" si="41"/>
        <v>0.34739790241677393</v>
      </c>
      <c r="AA283" s="194">
        <f t="shared" si="47"/>
        <v>0.74939244374757541</v>
      </c>
      <c r="AB283" s="194">
        <f t="shared" si="48"/>
        <v>0.49128815789627278</v>
      </c>
      <c r="AC283" s="194">
        <f t="shared" si="42"/>
        <v>0.18798087765196062</v>
      </c>
      <c r="AD283">
        <f t="shared" si="49"/>
        <v>62</v>
      </c>
      <c r="AE283" s="194">
        <f t="shared" si="50"/>
        <v>0.1099852212024045</v>
      </c>
      <c r="AF283" s="194" t="str">
        <f t="shared" si="51"/>
        <v/>
      </c>
      <c r="AG283" s="245" t="str">
        <f>IF(ISNUMBER(SEARCH("C", 'Dry_Litterbag Placem_Collection'!$T210)),"YES","NO")</f>
        <v>YES</v>
      </c>
      <c r="AH283" s="245" t="str">
        <f>IF(ISNUMBER(SEARCH("H", 'Dry_Litterbag Placem_Collection'!$T210)),"YES","NO")</f>
        <v>NO</v>
      </c>
      <c r="AI283" s="245" t="str">
        <f>IF(ISNUMBER(SEARCH("R", 'Dry_Litterbag Placem_Collection'!$T210)),"YES","NO")</f>
        <v>NO</v>
      </c>
      <c r="AJ283" s="245" t="str">
        <f>IF(ISNUMBER(SEARCH("C", 'Dry_Litterbag Placem_Collection'!$S210)),"YES","NO")</f>
        <v>NO</v>
      </c>
      <c r="AK283" s="245" t="str">
        <f>IF(ISNUMBER(SEARCH("H", 'Dry_Litterbag Placem_Collection'!$S210)),"YES","NO")</f>
        <v>YES</v>
      </c>
      <c r="AL283" s="245" t="str">
        <f>IF(ISNUMBER(SEARCH("R", 'Dry_Litterbag Placem_Collection'!$S210)),"YES","NO")</f>
        <v>YES</v>
      </c>
    </row>
    <row r="284" spans="2:38">
      <c r="B284" t="str">
        <f>Dryseason!B210</f>
        <v>Dry</v>
      </c>
      <c r="C284" s="253">
        <f>Dryseason!C210</f>
        <v>209</v>
      </c>
      <c r="D284" t="s">
        <v>2430</v>
      </c>
      <c r="E284" t="s">
        <v>22</v>
      </c>
      <c r="F284" s="375">
        <v>1</v>
      </c>
      <c r="G284" s="16">
        <f>IF('Dry_Litterbag Placem_Collection'!E211="","",'Dry_Litterbag Placem_Collection'!E211)</f>
        <v>42942</v>
      </c>
      <c r="H284" t="str">
        <f>Dryseason!L210</f>
        <v>G94</v>
      </c>
      <c r="I284" t="str">
        <f>Dryseason!L430</f>
        <v>R678</v>
      </c>
      <c r="J284">
        <f>IFERROR(INDEX('Green_rooibos initial weight'!$C$5:$C$2000,MATCH(H284, 'Green_rooibos initial weight'!$A$5:$A$2000,0)),"")</f>
        <v>2.0630000000000002</v>
      </c>
      <c r="K284">
        <f>IFERROR(INDEX('Green_rooibos initial weight'!$C$5:$C$2000,MATCH(I284, 'Green_rooibos initial weight'!$A$5:$A$2000,0)),"")</f>
        <v>2.1320000000000001</v>
      </c>
      <c r="L284" s="194">
        <f t="shared" si="43"/>
        <v>1.8132000000000001</v>
      </c>
      <c r="M284" s="233">
        <f>AVERAGE(Ashed_controlls!$K$1:$K$11)</f>
        <v>5.5147656768714146</v>
      </c>
      <c r="N284" s="194">
        <f t="shared" si="39"/>
        <v>1.7132062687469676</v>
      </c>
      <c r="O284" s="194">
        <f t="shared" si="44"/>
        <v>1.8822000000000001</v>
      </c>
      <c r="P284" s="233">
        <f>AVERAGE(Ashed_controlls!$K$12:$K$14)</f>
        <v>2.2816647271287041</v>
      </c>
      <c r="Q284" s="194">
        <f t="shared" si="40"/>
        <v>1.8392545065059835</v>
      </c>
      <c r="R284" s="16">
        <f>IF('Dry_Litterbag Placem_Collection'!G211="","",'Dry_Litterbag Placem_Collection'!G211)</f>
        <v>43004</v>
      </c>
      <c r="S284" s="194">
        <f>IFERROR(INDEX('Both teabags AfterDry'!$D$3:$D$2000,MATCH(H284,'Both teabags AfterDry'!$A$3:$A$2000,0)),"")</f>
        <v>0.76</v>
      </c>
      <c r="T284" s="194">
        <f>IFERROR(INDEX('Both teabags AfterDry'!$D$3:$D$2000,MATCH(I284,'Both teabags AfterDry'!$A$3:$A$2000,0)),"")</f>
        <v>1.6856</v>
      </c>
      <c r="U284" s="194">
        <f t="shared" si="45"/>
        <v>0.60939999999999994</v>
      </c>
      <c r="V284" s="194">
        <f t="shared" si="46"/>
        <v>1.5349999999999999</v>
      </c>
      <c r="W284" s="194">
        <f>IFERROR(INDEX('Ashed teabags dry'!$K$2:$K$2000,MATCH(H284,'Ashed teabags dry'!$A$2:$A$2000,0)),"")</f>
        <v>19.445818901534416</v>
      </c>
      <c r="X284" s="194">
        <f>IFERROR(INDEX('Ashed teabags dry'!$K$2:$K$2000,MATCH(I284,'Ashed teabags dry'!$A$2:$A$2000,0)),"")</f>
        <v>3.8461538461540399</v>
      </c>
      <c r="Y284" s="194">
        <f t="shared" si="41"/>
        <v>0.49089717961404922</v>
      </c>
      <c r="Z284" s="194">
        <f t="shared" si="41"/>
        <v>1.4759615384615354</v>
      </c>
      <c r="AA284" s="194">
        <f t="shared" si="47"/>
        <v>0.71346288618644293</v>
      </c>
      <c r="AB284" s="194">
        <f t="shared" si="48"/>
        <v>0.46773338856878449</v>
      </c>
      <c r="AC284" s="194">
        <f t="shared" si="42"/>
        <v>0.80247814168220111</v>
      </c>
      <c r="AD284">
        <f t="shared" si="49"/>
        <v>62</v>
      </c>
      <c r="AE284" s="194">
        <f t="shared" si="50"/>
        <v>0.1526569047666948</v>
      </c>
      <c r="AF284" s="194">
        <f t="shared" si="51"/>
        <v>8.8498927968112158E-3</v>
      </c>
      <c r="AG284" s="245" t="str">
        <f>IF(ISNUMBER(SEARCH("C", 'Dry_Litterbag Placem_Collection'!$T211)),"YES","NO")</f>
        <v>NO</v>
      </c>
      <c r="AH284" s="245" t="str">
        <f>IF(ISNUMBER(SEARCH("H", 'Dry_Litterbag Placem_Collection'!$T211)),"YES","NO")</f>
        <v>NO</v>
      </c>
      <c r="AI284" s="245" t="str">
        <f>IF(ISNUMBER(SEARCH("R", 'Dry_Litterbag Placem_Collection'!$T211)),"YES","NO")</f>
        <v>NO</v>
      </c>
      <c r="AJ284" s="245" t="str">
        <f>IF(ISNUMBER(SEARCH("C", 'Dry_Litterbag Placem_Collection'!$S211)),"YES","NO")</f>
        <v>NO</v>
      </c>
      <c r="AK284" s="245" t="str">
        <f>IF(ISNUMBER(SEARCH("H", 'Dry_Litterbag Placem_Collection'!$S211)),"YES","NO")</f>
        <v>NO</v>
      </c>
      <c r="AL284" s="245" t="str">
        <f>IF(ISNUMBER(SEARCH("R", 'Dry_Litterbag Placem_Collection'!$S211)),"YES","NO")</f>
        <v>YES</v>
      </c>
    </row>
    <row r="285" spans="2:38">
      <c r="B285" t="str">
        <f>Dryseason!B211</f>
        <v>Dry</v>
      </c>
      <c r="C285" s="253">
        <f>Dryseason!C211</f>
        <v>210</v>
      </c>
      <c r="D285" t="s">
        <v>2444</v>
      </c>
      <c r="E285" t="s">
        <v>22</v>
      </c>
      <c r="F285" s="375">
        <v>2</v>
      </c>
      <c r="G285" s="16">
        <f>IF('Dry_Litterbag Placem_Collection'!E212="","",'Dry_Litterbag Placem_Collection'!E212)</f>
        <v>42942</v>
      </c>
      <c r="H285" t="str">
        <f>Dryseason!L211</f>
        <v>G93</v>
      </c>
      <c r="I285" t="str">
        <f>Dryseason!L431</f>
        <v>R335</v>
      </c>
      <c r="J285">
        <f>IFERROR(INDEX('Green_rooibos initial weight'!$C$5:$C$2000,MATCH(H285, 'Green_rooibos initial weight'!$A$5:$A$2000,0)),"")</f>
        <v>2.1230000000000002</v>
      </c>
      <c r="K285">
        <f>IFERROR(INDEX('Green_rooibos initial weight'!$C$5:$C$2000,MATCH(I285, 'Green_rooibos initial weight'!$A$5:$A$2000,0)),"")</f>
        <v>2.1629999999999998</v>
      </c>
      <c r="L285" s="194">
        <f t="shared" si="43"/>
        <v>1.8732000000000002</v>
      </c>
      <c r="M285" s="233">
        <f>AVERAGE(Ashed_controlls!$K$1:$K$11)</f>
        <v>5.5147656768714146</v>
      </c>
      <c r="N285" s="194">
        <f t="shared" si="39"/>
        <v>1.7698974093408448</v>
      </c>
      <c r="O285" s="194">
        <f t="shared" si="44"/>
        <v>1.9131999999999998</v>
      </c>
      <c r="P285" s="233">
        <f>AVERAGE(Ashed_controlls!$K$12:$K$14)</f>
        <v>2.2816647271287041</v>
      </c>
      <c r="Q285" s="194">
        <f t="shared" si="40"/>
        <v>1.8695471904405734</v>
      </c>
      <c r="R285" s="16">
        <f>IF('Dry_Litterbag Placem_Collection'!G212="","",'Dry_Litterbag Placem_Collection'!G212)</f>
        <v>43004</v>
      </c>
      <c r="S285" s="194">
        <f>IFERROR(INDEX('Both teabags AfterDry'!$D$3:$D$2000,MATCH(H285,'Both teabags AfterDry'!$A$3:$A$2000,0)),"")</f>
        <v>0.80600000000000005</v>
      </c>
      <c r="T285" s="194">
        <f>IFERROR(INDEX('Both teabags AfterDry'!$D$3:$D$2000,MATCH(I285,'Both teabags AfterDry'!$A$3:$A$2000,0)),"")</f>
        <v>1.716</v>
      </c>
      <c r="U285" s="194">
        <f t="shared" si="45"/>
        <v>0.65539999999999998</v>
      </c>
      <c r="V285" s="194">
        <f t="shared" si="46"/>
        <v>1.5653999999999999</v>
      </c>
      <c r="W285" s="194">
        <f>IFERROR(INDEX('Ashed teabags dry'!$K$2:$K$2000,MATCH(H285,'Ashed teabags dry'!$A$2:$A$2000,0)),"")</f>
        <v>13.82488479262701</v>
      </c>
      <c r="X285" s="194">
        <f>IFERROR(INDEX('Ashed teabags dry'!$K$2:$K$2000,MATCH(I285,'Ashed teabags dry'!$A$2:$A$2000,0)),"")</f>
        <v>89.116785265801681</v>
      </c>
      <c r="Y285" s="194">
        <f t="shared" si="41"/>
        <v>0.56479170506912257</v>
      </c>
      <c r="Z285" s="194">
        <f t="shared" si="41"/>
        <v>0.17036584344914041</v>
      </c>
      <c r="AA285" s="194">
        <f t="shared" si="47"/>
        <v>0.68089014533364089</v>
      </c>
      <c r="AB285" s="194">
        <f t="shared" si="48"/>
        <v>0.44637928767716128</v>
      </c>
      <c r="AC285" s="194">
        <f t="shared" si="42"/>
        <v>9.112679493743743E-2</v>
      </c>
      <c r="AD285">
        <f t="shared" si="49"/>
        <v>62</v>
      </c>
      <c r="AE285" s="194">
        <f t="shared" si="50"/>
        <v>0.1913418701500702</v>
      </c>
      <c r="AF285" s="194" t="str">
        <f t="shared" si="51"/>
        <v/>
      </c>
      <c r="AG285" s="245" t="str">
        <f>IF(ISNUMBER(SEARCH("C", 'Dry_Litterbag Placem_Collection'!$T212)),"YES","NO")</f>
        <v>YES</v>
      </c>
      <c r="AH285" s="245" t="str">
        <f>IF(ISNUMBER(SEARCH("H", 'Dry_Litterbag Placem_Collection'!$T212)),"YES","NO")</f>
        <v>YES</v>
      </c>
      <c r="AI285" s="245" t="str">
        <f>IF(ISNUMBER(SEARCH("R", 'Dry_Litterbag Placem_Collection'!$T212)),"YES","NO")</f>
        <v>NO</v>
      </c>
      <c r="AJ285" s="245" t="str">
        <f>IF(ISNUMBER(SEARCH("C", 'Dry_Litterbag Placem_Collection'!$S212)),"YES","NO")</f>
        <v>YES</v>
      </c>
      <c r="AK285" s="245" t="str">
        <f>IF(ISNUMBER(SEARCH("H", 'Dry_Litterbag Placem_Collection'!$S212)),"YES","NO")</f>
        <v>NO</v>
      </c>
      <c r="AL285" s="245" t="str">
        <f>IF(ISNUMBER(SEARCH("R", 'Dry_Litterbag Placem_Collection'!$S212)),"YES","NO")</f>
        <v>YES</v>
      </c>
    </row>
    <row r="286" spans="2:38">
      <c r="B286" t="str">
        <f>Dryseason!B212</f>
        <v>Dry</v>
      </c>
      <c r="C286" s="253">
        <f>Dryseason!C212</f>
        <v>211</v>
      </c>
      <c r="D286" t="s">
        <v>2421</v>
      </c>
      <c r="E286" t="s">
        <v>22</v>
      </c>
      <c r="F286" s="375">
        <v>3</v>
      </c>
      <c r="G286" s="16">
        <f>IF('Dry_Litterbag Placem_Collection'!E213="","",'Dry_Litterbag Placem_Collection'!E213)</f>
        <v>42942</v>
      </c>
      <c r="H286" t="str">
        <f>Dryseason!L212</f>
        <v>G26</v>
      </c>
      <c r="I286" t="str">
        <f>Dryseason!L432</f>
        <v>R249</v>
      </c>
      <c r="J286">
        <f>IFERROR(INDEX('Green_rooibos initial weight'!$C$5:$C$2000,MATCH(H286, 'Green_rooibos initial weight'!$A$5:$A$2000,0)),"")</f>
        <v>2.1059999999999999</v>
      </c>
      <c r="K286">
        <f>IFERROR(INDEX('Green_rooibos initial weight'!$C$5:$C$2000,MATCH(I286, 'Green_rooibos initial weight'!$A$5:$A$2000,0)),"")</f>
        <v>2.294</v>
      </c>
      <c r="L286" s="194">
        <f t="shared" si="43"/>
        <v>1.8561999999999999</v>
      </c>
      <c r="M286" s="233">
        <f>AVERAGE(Ashed_controlls!$K$1:$K$11)</f>
        <v>5.5147656768714146</v>
      </c>
      <c r="N286" s="194">
        <f t="shared" si="39"/>
        <v>1.7538349195059126</v>
      </c>
      <c r="O286" s="194">
        <f t="shared" si="44"/>
        <v>2.0442</v>
      </c>
      <c r="P286" s="233">
        <f>AVERAGE(Ashed_controlls!$K$12:$K$14)</f>
        <v>2.2816647271287041</v>
      </c>
      <c r="Q286" s="194">
        <f t="shared" si="40"/>
        <v>1.9975582096480351</v>
      </c>
      <c r="R286" s="16">
        <f>IF('Dry_Litterbag Placem_Collection'!G213="","",'Dry_Litterbag Placem_Collection'!G213)</f>
        <v>43004</v>
      </c>
      <c r="S286" s="194">
        <f>IFERROR(INDEX('Both teabags AfterDry'!$D$3:$D$2000,MATCH(H286,'Both teabags AfterDry'!$A$3:$A$2000,0)),"")</f>
        <v>0.38400000000000001</v>
      </c>
      <c r="T286" s="194">
        <f>IFERROR(INDEX('Both teabags AfterDry'!$D$3:$D$2000,MATCH(I286,'Both teabags AfterDry'!$A$3:$A$2000,0)),"")</f>
        <v>1.1160000000000001</v>
      </c>
      <c r="U286" s="194">
        <f t="shared" si="45"/>
        <v>0.2334</v>
      </c>
      <c r="V286" s="194">
        <f t="shared" si="46"/>
        <v>0.96540000000000004</v>
      </c>
      <c r="W286" s="194">
        <f>IFERROR(INDEX('Ashed teabags dry'!$K$2:$K$2000,MATCH(H286,'Ashed teabags dry'!$A$2:$A$2000,0)),"")</f>
        <v>18.38888888888961</v>
      </c>
      <c r="X286" s="194">
        <f>IFERROR(INDEX('Ashed teabags dry'!$K$2:$K$2000,MATCH(I286,'Ashed teabags dry'!$A$2:$A$2000,0)),"")</f>
        <v>35.262904003859205</v>
      </c>
      <c r="Y286" s="194">
        <f t="shared" si="41"/>
        <v>0.19048033333333164</v>
      </c>
      <c r="Z286" s="194">
        <f t="shared" si="41"/>
        <v>0.62497192474674323</v>
      </c>
      <c r="AA286" s="194">
        <f t="shared" si="47"/>
        <v>0.89139209670486352</v>
      </c>
      <c r="AB286" s="194">
        <f t="shared" si="48"/>
        <v>0.58438056696090823</v>
      </c>
      <c r="AC286" s="194">
        <f t="shared" si="42"/>
        <v>0.31286794133366547</v>
      </c>
      <c r="AD286">
        <f t="shared" si="49"/>
        <v>62</v>
      </c>
      <c r="AE286" s="194">
        <f t="shared" si="50"/>
        <v>-5.8660447392949511E-2</v>
      </c>
      <c r="AF286" s="194" t="str">
        <f t="shared" si="51"/>
        <v/>
      </c>
      <c r="AG286" s="245" t="str">
        <f>IF(ISNUMBER(SEARCH("C", 'Dry_Litterbag Placem_Collection'!$T213)),"YES","NO")</f>
        <v>YES</v>
      </c>
      <c r="AH286" s="245" t="str">
        <f>IF(ISNUMBER(SEARCH("H", 'Dry_Litterbag Placem_Collection'!$T213)),"YES","NO")</f>
        <v>YES</v>
      </c>
      <c r="AI286" s="245" t="str">
        <f>IF(ISNUMBER(SEARCH("R", 'Dry_Litterbag Placem_Collection'!$T213)),"YES","NO")</f>
        <v>YES</v>
      </c>
      <c r="AJ286" s="245" t="str">
        <f>IF(ISNUMBER(SEARCH("C", 'Dry_Litterbag Placem_Collection'!$S213)),"YES","NO")</f>
        <v>NO</v>
      </c>
      <c r="AK286" s="245" t="str">
        <f>IF(ISNUMBER(SEARCH("H", 'Dry_Litterbag Placem_Collection'!$S213)),"YES","NO")</f>
        <v>YES</v>
      </c>
      <c r="AL286" s="245" t="str">
        <f>IF(ISNUMBER(SEARCH("R", 'Dry_Litterbag Placem_Collection'!$S213)),"YES","NO")</f>
        <v>NO</v>
      </c>
    </row>
    <row r="287" spans="2:38">
      <c r="B287" t="str">
        <f>Dryseason!B213</f>
        <v>Dry</v>
      </c>
      <c r="C287" s="253">
        <f>Dryseason!C213</f>
        <v>215</v>
      </c>
      <c r="D287" t="s">
        <v>2422</v>
      </c>
      <c r="E287" t="s">
        <v>22</v>
      </c>
      <c r="F287" s="375">
        <v>3</v>
      </c>
      <c r="G287" s="16">
        <f>IF('Dry_Litterbag Placem_Collection'!E214="","",'Dry_Litterbag Placem_Collection'!E214)</f>
        <v>42942</v>
      </c>
      <c r="H287" t="str">
        <f>Dryseason!L213</f>
        <v>G169</v>
      </c>
      <c r="I287" t="str">
        <f>Dryseason!L433</f>
        <v>R627</v>
      </c>
      <c r="J287">
        <f>IFERROR(INDEX('Green_rooibos initial weight'!$C$5:$C$2000,MATCH(H287, 'Green_rooibos initial weight'!$A$5:$A$2000,0)),"")</f>
        <v>2.0649999999999999</v>
      </c>
      <c r="K287">
        <f>IFERROR(INDEX('Green_rooibos initial weight'!$C$5:$C$2000,MATCH(I287, 'Green_rooibos initial weight'!$A$5:$A$2000,0)),"")</f>
        <v>2.1429999999999998</v>
      </c>
      <c r="L287" s="194">
        <f t="shared" si="43"/>
        <v>1.8151999999999999</v>
      </c>
      <c r="M287" s="233">
        <f>AVERAGE(Ashed_controlls!$K$1:$K$11)</f>
        <v>5.5147656768714146</v>
      </c>
      <c r="N287" s="194">
        <f t="shared" si="39"/>
        <v>1.7150959734334301</v>
      </c>
      <c r="O287" s="194">
        <f t="shared" si="44"/>
        <v>1.8931999999999998</v>
      </c>
      <c r="P287" s="233">
        <f>AVERAGE(Ashed_controlls!$K$12:$K$14)</f>
        <v>2.2816647271287041</v>
      </c>
      <c r="Q287" s="194">
        <f t="shared" si="40"/>
        <v>1.850003523385999</v>
      </c>
      <c r="R287" s="16">
        <f>IF('Dry_Litterbag Placem_Collection'!G214="","",'Dry_Litterbag Placem_Collection'!G214)</f>
        <v>43004</v>
      </c>
      <c r="S287" s="194">
        <f>IFERROR(INDEX('Both teabags AfterDry'!$D$3:$D$2000,MATCH(H287,'Both teabags AfterDry'!$A$3:$A$2000,0)),"")</f>
        <v>0.70899999999999996</v>
      </c>
      <c r="T287" s="194">
        <f>IFERROR(INDEX('Both teabags AfterDry'!$D$3:$D$2000,MATCH(I287,'Both teabags AfterDry'!$A$3:$A$2000,0)),"")</f>
        <v>1.7356</v>
      </c>
      <c r="U287" s="194">
        <f t="shared" si="45"/>
        <v>0.55840000000000001</v>
      </c>
      <c r="V287" s="194">
        <f t="shared" si="46"/>
        <v>1.585</v>
      </c>
      <c r="W287" s="194">
        <f>IFERROR(INDEX('Ashed teabags dry'!$K$2:$K$2000,MATCH(H287,'Ashed teabags dry'!$A$2:$A$2000,0)),"")</f>
        <v>21.867199201197611</v>
      </c>
      <c r="X287" s="194">
        <f>IFERROR(INDEX('Ashed teabags dry'!$K$2:$K$2000,MATCH(I287,'Ashed teabags dry'!$A$2:$A$2000,0)),"")</f>
        <v>5.6538839724678436</v>
      </c>
      <c r="Y287" s="194">
        <f t="shared" si="41"/>
        <v>0.43629355966051253</v>
      </c>
      <c r="Z287" s="194">
        <f t="shared" si="41"/>
        <v>1.4953859390363846</v>
      </c>
      <c r="AA287" s="194">
        <f t="shared" si="47"/>
        <v>0.74561565858783885</v>
      </c>
      <c r="AB287" s="194">
        <f t="shared" si="48"/>
        <v>0.4888121657250441</v>
      </c>
      <c r="AC287" s="194">
        <f t="shared" si="42"/>
        <v>0.8083151843405304</v>
      </c>
      <c r="AD287">
        <f t="shared" si="49"/>
        <v>62</v>
      </c>
      <c r="AE287" s="194">
        <f t="shared" si="50"/>
        <v>0.11447071426622457</v>
      </c>
      <c r="AF287" s="194">
        <f t="shared" si="51"/>
        <v>8.0293138953481634E-3</v>
      </c>
      <c r="AG287" s="245" t="str">
        <f>IF(ISNUMBER(SEARCH("C", 'Dry_Litterbag Placem_Collection'!$T214)),"YES","NO")</f>
        <v>NO</v>
      </c>
      <c r="AH287" s="245" t="str">
        <f>IF(ISNUMBER(SEARCH("H", 'Dry_Litterbag Placem_Collection'!$T214)),"YES","NO")</f>
        <v>NO</v>
      </c>
      <c r="AI287" s="245" t="str">
        <f>IF(ISNUMBER(SEARCH("R", 'Dry_Litterbag Placem_Collection'!$T214)),"YES","NO")</f>
        <v>YES</v>
      </c>
      <c r="AJ287" s="245" t="str">
        <f>IF(ISNUMBER(SEARCH("C", 'Dry_Litterbag Placem_Collection'!$S214)),"YES","NO")</f>
        <v>NO</v>
      </c>
      <c r="AK287" s="245" t="str">
        <f>IF(ISNUMBER(SEARCH("H", 'Dry_Litterbag Placem_Collection'!$S214)),"YES","NO")</f>
        <v>NO</v>
      </c>
      <c r="AL287" s="245" t="str">
        <f>IF(ISNUMBER(SEARCH("R", 'Dry_Litterbag Placem_Collection'!$S214)),"YES","NO")</f>
        <v>NO</v>
      </c>
    </row>
    <row r="288" spans="2:38">
      <c r="B288" t="str">
        <f>Dryseason!B214</f>
        <v>Dry</v>
      </c>
      <c r="C288" s="253">
        <f>Dryseason!C214</f>
        <v>212</v>
      </c>
      <c r="D288" t="s">
        <v>2437</v>
      </c>
      <c r="E288" t="s">
        <v>22</v>
      </c>
      <c r="F288" s="375">
        <v>4</v>
      </c>
      <c r="G288" s="16">
        <f>IF('Dry_Litterbag Placem_Collection'!E215="","",'Dry_Litterbag Placem_Collection'!E215)</f>
        <v>42942</v>
      </c>
      <c r="H288" t="str">
        <f>Dryseason!L214</f>
        <v>G68</v>
      </c>
      <c r="I288" t="str">
        <f>Dryseason!L434</f>
        <v>R803</v>
      </c>
      <c r="J288">
        <f>IFERROR(INDEX('Green_rooibos initial weight'!$C$5:$C$2000,MATCH(H288, 'Green_rooibos initial weight'!$A$5:$A$2000,0)),"")</f>
        <v>1.921</v>
      </c>
      <c r="K288">
        <f>IFERROR(INDEX('Green_rooibos initial weight'!$C$5:$C$2000,MATCH(I288, 'Green_rooibos initial weight'!$A$5:$A$2000,0)),"")</f>
        <v>2.1930000000000001</v>
      </c>
      <c r="L288" s="194">
        <f t="shared" si="43"/>
        <v>1.6712</v>
      </c>
      <c r="M288" s="233">
        <f>AVERAGE(Ashed_controlls!$K$1:$K$11)</f>
        <v>5.5147656768714146</v>
      </c>
      <c r="N288" s="194">
        <f t="shared" si="39"/>
        <v>1.5790372360081248</v>
      </c>
      <c r="O288" s="194">
        <f t="shared" si="44"/>
        <v>1.9432</v>
      </c>
      <c r="P288" s="233">
        <f>AVERAGE(Ashed_controlls!$K$12:$K$14)</f>
        <v>2.2816647271287041</v>
      </c>
      <c r="Q288" s="194">
        <f t="shared" si="40"/>
        <v>1.8988626910224351</v>
      </c>
      <c r="R288" s="16">
        <f>IF('Dry_Litterbag Placem_Collection'!G215="","",'Dry_Litterbag Placem_Collection'!G215)</f>
        <v>43004</v>
      </c>
      <c r="S288" s="194">
        <f>IFERROR(INDEX('Both teabags AfterDry'!$D$3:$D$2000,MATCH(H288,'Both teabags AfterDry'!$A$3:$A$2000,0)),"")</f>
        <v>0.71</v>
      </c>
      <c r="T288" s="194">
        <f>IFERROR(INDEX('Both teabags AfterDry'!$D$3:$D$2000,MATCH(I288,'Both teabags AfterDry'!$A$3:$A$2000,0)),"")</f>
        <v>0.78500000000000003</v>
      </c>
      <c r="U288" s="194">
        <f t="shared" si="45"/>
        <v>0.5593999999999999</v>
      </c>
      <c r="V288" s="194">
        <f t="shared" si="46"/>
        <v>0.63440000000000007</v>
      </c>
      <c r="W288" s="194">
        <f>IFERROR(INDEX('Ashed teabags dry'!$K$2:$K$2000,MATCH(H288,'Ashed teabags dry'!$A$2:$A$2000,0)),"")</f>
        <v>24.931756141947613</v>
      </c>
      <c r="X288" s="194">
        <f>IFERROR(INDEX('Ashed teabags dry'!$K$2:$K$2000,MATCH(I288,'Ashed teabags dry'!$A$2:$A$2000,0)),"")</f>
        <v>11.856932876041183</v>
      </c>
      <c r="Y288" s="194">
        <f t="shared" si="41"/>
        <v>0.419931756141945</v>
      </c>
      <c r="Z288" s="194">
        <f t="shared" si="41"/>
        <v>0.55917961783439485</v>
      </c>
      <c r="AA288" s="194">
        <f t="shared" si="47"/>
        <v>0.73405835748145443</v>
      </c>
      <c r="AB288" s="194">
        <f t="shared" si="48"/>
        <v>0.48123540775506285</v>
      </c>
      <c r="AC288" s="194">
        <f t="shared" si="42"/>
        <v>0.29448133373630442</v>
      </c>
      <c r="AD288">
        <f t="shared" si="49"/>
        <v>62</v>
      </c>
      <c r="AE288" s="194">
        <f t="shared" si="50"/>
        <v>0.128196725081408</v>
      </c>
      <c r="AF288" s="194" t="str">
        <f t="shared" si="51"/>
        <v/>
      </c>
      <c r="AG288" s="245" t="str">
        <f>IF(ISNUMBER(SEARCH("C", 'Dry_Litterbag Placem_Collection'!$T215)),"YES","NO")</f>
        <v>NO</v>
      </c>
      <c r="AH288" s="245" t="str">
        <f>IF(ISNUMBER(SEARCH("H", 'Dry_Litterbag Placem_Collection'!$T215)),"YES","NO")</f>
        <v>YES</v>
      </c>
      <c r="AI288" s="245" t="str">
        <f>IF(ISNUMBER(SEARCH("R", 'Dry_Litterbag Placem_Collection'!$T215)),"YES","NO")</f>
        <v>YES</v>
      </c>
      <c r="AJ288" s="245" t="str">
        <f>IF(ISNUMBER(SEARCH("C", 'Dry_Litterbag Placem_Collection'!$S215)),"YES","NO")</f>
        <v>NO</v>
      </c>
      <c r="AK288" s="245" t="str">
        <f>IF(ISNUMBER(SEARCH("H", 'Dry_Litterbag Placem_Collection'!$S215)),"YES","NO")</f>
        <v>YES</v>
      </c>
      <c r="AL288" s="245" t="str">
        <f>IF(ISNUMBER(SEARCH("R", 'Dry_Litterbag Placem_Collection'!$S215)),"YES","NO")</f>
        <v>YES</v>
      </c>
    </row>
    <row r="289" spans="2:38">
      <c r="B289" t="str">
        <f>Dryseason!B215</f>
        <v>Dry</v>
      </c>
      <c r="C289" s="253">
        <f>Dryseason!C215</f>
        <v>213</v>
      </c>
      <c r="D289" t="s">
        <v>2445</v>
      </c>
      <c r="E289" t="s">
        <v>22</v>
      </c>
      <c r="F289" s="375">
        <v>1</v>
      </c>
      <c r="G289" s="16">
        <f>IF('Dry_Litterbag Placem_Collection'!E216="","",'Dry_Litterbag Placem_Collection'!E216)</f>
        <v>42942</v>
      </c>
      <c r="H289" t="str">
        <f>Dryseason!L215</f>
        <v>G143</v>
      </c>
      <c r="I289" t="str">
        <f>Dryseason!L435</f>
        <v>R321</v>
      </c>
      <c r="J289">
        <f>IFERROR(INDEX('Green_rooibos initial weight'!$C$5:$C$2000,MATCH(H289, 'Green_rooibos initial weight'!$A$5:$A$2000,0)),"")</f>
        <v>1.9450000000000001</v>
      </c>
      <c r="K289">
        <f>IFERROR(INDEX('Green_rooibos initial weight'!$C$5:$C$2000,MATCH(I289, 'Green_rooibos initial weight'!$A$5:$A$2000,0)),"")</f>
        <v>2.1859999999999999</v>
      </c>
      <c r="L289" s="194">
        <f t="shared" si="43"/>
        <v>1.6952</v>
      </c>
      <c r="M289" s="233">
        <f>AVERAGE(Ashed_controlls!$K$1:$K$11)</f>
        <v>5.5147656768714146</v>
      </c>
      <c r="N289" s="194">
        <f t="shared" si="39"/>
        <v>1.6017136922456758</v>
      </c>
      <c r="O289" s="194">
        <f t="shared" si="44"/>
        <v>1.9361999999999999</v>
      </c>
      <c r="P289" s="233">
        <f>AVERAGE(Ashed_controlls!$K$12:$K$14)</f>
        <v>2.2816647271287041</v>
      </c>
      <c r="Q289" s="194">
        <f t="shared" si="40"/>
        <v>1.8920224075533341</v>
      </c>
      <c r="R289" s="16">
        <f>IF('Dry_Litterbag Placem_Collection'!G216="","",'Dry_Litterbag Placem_Collection'!G216)</f>
        <v>43004</v>
      </c>
      <c r="S289" s="194">
        <f>IFERROR(INDEX('Both teabags AfterDry'!$D$3:$D$2000,MATCH(H289,'Both teabags AfterDry'!$A$3:$A$2000,0)),"")</f>
        <v>0.57899999999999996</v>
      </c>
      <c r="T289" s="194">
        <f>IFERROR(INDEX('Both teabags AfterDry'!$D$3:$D$2000,MATCH(I289,'Both teabags AfterDry'!$A$3:$A$2000,0)),"")</f>
        <v>1.6859999999999999</v>
      </c>
      <c r="U289" s="194">
        <f t="shared" si="45"/>
        <v>0.42839999999999995</v>
      </c>
      <c r="V289" s="194">
        <f t="shared" si="46"/>
        <v>1.5353999999999999</v>
      </c>
      <c r="W289" s="194">
        <f>IFERROR(INDEX('Ashed teabags dry'!$K$2:$K$2000,MATCH(H289,'Ashed teabags dry'!$A$2:$A$2000,0)),"")</f>
        <v>19.161676646707068</v>
      </c>
      <c r="X289" s="194">
        <f>IFERROR(INDEX('Ashed teabags dry'!$K$2:$K$2000,MATCH(I289,'Ashed teabags dry'!$A$2:$A$2000,0)),"")</f>
        <v>5.7692307692305311</v>
      </c>
      <c r="Y289" s="194">
        <f t="shared" si="41"/>
        <v>0.34631137724550687</v>
      </c>
      <c r="Z289" s="194">
        <f t="shared" si="41"/>
        <v>1.4468192307692342</v>
      </c>
      <c r="AA289" s="194">
        <f t="shared" si="47"/>
        <v>0.78378696584658492</v>
      </c>
      <c r="AB289" s="194">
        <f t="shared" si="48"/>
        <v>0.51383658568564716</v>
      </c>
      <c r="AC289" s="194">
        <f t="shared" si="42"/>
        <v>0.7646945538241201</v>
      </c>
      <c r="AD289">
        <f t="shared" si="49"/>
        <v>62</v>
      </c>
      <c r="AE289" s="194">
        <f t="shared" si="50"/>
        <v>6.9136620134697235E-2</v>
      </c>
      <c r="AF289" s="194">
        <f t="shared" si="51"/>
        <v>9.8770229610008128E-3</v>
      </c>
      <c r="AG289" s="245" t="str">
        <f>IF(ISNUMBER(SEARCH("C", 'Dry_Litterbag Placem_Collection'!$T216)),"YES","NO")</f>
        <v>NO</v>
      </c>
      <c r="AH289" s="245" t="str">
        <f>IF(ISNUMBER(SEARCH("H", 'Dry_Litterbag Placem_Collection'!$T216)),"YES","NO")</f>
        <v>NO</v>
      </c>
      <c r="AI289" s="245" t="str">
        <f>IF(ISNUMBER(SEARCH("R", 'Dry_Litterbag Placem_Collection'!$T216)),"YES","NO")</f>
        <v>YES</v>
      </c>
      <c r="AJ289" s="245" t="str">
        <f>IF(ISNUMBER(SEARCH("C", 'Dry_Litterbag Placem_Collection'!$S216)),"YES","NO")</f>
        <v>NO</v>
      </c>
      <c r="AK289" s="245" t="str">
        <f>IF(ISNUMBER(SEARCH("H", 'Dry_Litterbag Placem_Collection'!$S216)),"YES","NO")</f>
        <v>NO</v>
      </c>
      <c r="AL289" s="245" t="str">
        <f>IF(ISNUMBER(SEARCH("R", 'Dry_Litterbag Placem_Collection'!$S216)),"YES","NO")</f>
        <v>YES</v>
      </c>
    </row>
    <row r="290" spans="2:38">
      <c r="B290" t="str">
        <f>Dryseason!B216</f>
        <v>Dry</v>
      </c>
      <c r="C290" s="253">
        <f>Dryseason!C216</f>
        <v>214</v>
      </c>
      <c r="D290" t="s">
        <v>2438</v>
      </c>
      <c r="E290" t="s">
        <v>22</v>
      </c>
      <c r="F290" s="375">
        <v>2</v>
      </c>
      <c r="G290" s="16">
        <f>IF('Dry_Litterbag Placem_Collection'!E217="","",'Dry_Litterbag Placem_Collection'!E217)</f>
        <v>42942</v>
      </c>
      <c r="H290" t="str">
        <f>Dryseason!L216</f>
        <v>G128</v>
      </c>
      <c r="I290" t="str">
        <f>Dryseason!L436</f>
        <v>R677</v>
      </c>
      <c r="J290">
        <f>IFERROR(INDEX('Green_rooibos initial weight'!$C$5:$C$2000,MATCH(H290, 'Green_rooibos initial weight'!$A$5:$A$2000,0)),"")</f>
        <v>2.0219999999999998</v>
      </c>
      <c r="K290">
        <f>IFERROR(INDEX('Green_rooibos initial weight'!$C$5:$C$2000,MATCH(I290, 'Green_rooibos initial weight'!$A$5:$A$2000,0)),"")</f>
        <v>2.1240000000000001</v>
      </c>
      <c r="L290" s="194">
        <f t="shared" si="43"/>
        <v>1.7721999999999998</v>
      </c>
      <c r="M290" s="233">
        <f>AVERAGE(Ashed_controlls!$K$1:$K$11)</f>
        <v>5.5147656768714146</v>
      </c>
      <c r="N290" s="194">
        <f t="shared" si="39"/>
        <v>1.6744673226744846</v>
      </c>
      <c r="O290" s="194">
        <f t="shared" si="44"/>
        <v>1.8742000000000001</v>
      </c>
      <c r="P290" s="233">
        <f>AVERAGE(Ashed_controlls!$K$12:$K$14)</f>
        <v>2.2816647271287041</v>
      </c>
      <c r="Q290" s="194">
        <f t="shared" si="40"/>
        <v>1.8314370396841539</v>
      </c>
      <c r="R290" s="16">
        <f>IF('Dry_Litterbag Placem_Collection'!G217="","",'Dry_Litterbag Placem_Collection'!G217)</f>
        <v>43004</v>
      </c>
      <c r="S290" s="194">
        <f>IFERROR(INDEX('Both teabags AfterDry'!$D$3:$D$2000,MATCH(H290,'Both teabags AfterDry'!$A$3:$A$2000,0)),"")</f>
        <v>0.70599999999999996</v>
      </c>
      <c r="T290" s="194">
        <f>IFERROR(INDEX('Both teabags AfterDry'!$D$3:$D$2000,MATCH(I290,'Both teabags AfterDry'!$A$3:$A$2000,0)),"")</f>
        <v>1.7569999999999999</v>
      </c>
      <c r="U290" s="194">
        <f t="shared" si="45"/>
        <v>0.55539999999999989</v>
      </c>
      <c r="V290" s="194">
        <f t="shared" si="46"/>
        <v>1.6063999999999998</v>
      </c>
      <c r="W290" s="194">
        <f>IFERROR(INDEX('Ashed teabags dry'!$K$2:$K$2000,MATCH(H290,'Ashed teabags dry'!$A$2:$A$2000,0)),"")</f>
        <v>20.06472491909372</v>
      </c>
      <c r="X290" s="194">
        <f>IFERROR(INDEX('Ashed teabags dry'!$K$2:$K$2000,MATCH(I290,'Ashed teabags dry'!$A$2:$A$2000,0)),"")</f>
        <v>10.652591170825588</v>
      </c>
      <c r="Y290" s="194">
        <f t="shared" si="41"/>
        <v>0.44396051779935342</v>
      </c>
      <c r="Z290" s="194">
        <f t="shared" si="41"/>
        <v>1.4352767754318576</v>
      </c>
      <c r="AA290" s="194">
        <f t="shared" si="47"/>
        <v>0.73486462722350843</v>
      </c>
      <c r="AB290" s="194">
        <f t="shared" si="48"/>
        <v>0.48176398364296519</v>
      </c>
      <c r="AC290" s="194">
        <f t="shared" si="42"/>
        <v>0.78368884342285805</v>
      </c>
      <c r="AD290">
        <f t="shared" si="49"/>
        <v>62</v>
      </c>
      <c r="AE290" s="194">
        <f t="shared" si="50"/>
        <v>0.12723916006709213</v>
      </c>
      <c r="AF290" s="194">
        <f t="shared" si="51"/>
        <v>9.6131803963733393E-3</v>
      </c>
      <c r="AG290" s="245" t="str">
        <f>IF(ISNUMBER(SEARCH("C", 'Dry_Litterbag Placem_Collection'!$T217)),"YES","NO")</f>
        <v>NO</v>
      </c>
      <c r="AH290" s="245" t="str">
        <f>IF(ISNUMBER(SEARCH("H", 'Dry_Litterbag Placem_Collection'!$T217)),"YES","NO")</f>
        <v>YES</v>
      </c>
      <c r="AI290" s="245" t="str">
        <f>IF(ISNUMBER(SEARCH("R", 'Dry_Litterbag Placem_Collection'!$T217)),"YES","NO")</f>
        <v>YES</v>
      </c>
      <c r="AJ290" s="245" t="str">
        <f>IF(ISNUMBER(SEARCH("C", 'Dry_Litterbag Placem_Collection'!$S217)),"YES","NO")</f>
        <v>NO</v>
      </c>
      <c r="AK290" s="245" t="str">
        <f>IF(ISNUMBER(SEARCH("H", 'Dry_Litterbag Placem_Collection'!$S217)),"YES","NO")</f>
        <v>YES</v>
      </c>
      <c r="AL290" s="245" t="str">
        <f>IF(ISNUMBER(SEARCH("R", 'Dry_Litterbag Placem_Collection'!$S217)),"YES","NO")</f>
        <v>NO</v>
      </c>
    </row>
    <row r="291" spans="2:38">
      <c r="B291" t="str">
        <f>Dryseason!B217</f>
        <v>Dry</v>
      </c>
      <c r="C291" s="253">
        <f>Dryseason!C217</f>
        <v>216</v>
      </c>
      <c r="D291" t="s">
        <v>2431</v>
      </c>
      <c r="E291" t="s">
        <v>22</v>
      </c>
      <c r="F291" s="375">
        <v>4</v>
      </c>
      <c r="G291" s="16">
        <f>IF('Dry_Litterbag Placem_Collection'!E218="","",'Dry_Litterbag Placem_Collection'!E218)</f>
        <v>42942</v>
      </c>
      <c r="H291" t="str">
        <f>Dryseason!L217</f>
        <v>G95</v>
      </c>
      <c r="I291" t="str">
        <f>Dryseason!L437</f>
        <v>R379</v>
      </c>
      <c r="J291">
        <f>IFERROR(INDEX('Green_rooibos initial weight'!$C$5:$C$2000,MATCH(H291, 'Green_rooibos initial weight'!$A$5:$A$2000,0)),"")</f>
        <v>2.1110000000000002</v>
      </c>
      <c r="K291">
        <f>IFERROR(INDEX('Green_rooibos initial weight'!$C$5:$C$2000,MATCH(I291, 'Green_rooibos initial weight'!$A$5:$A$2000,0)),"")</f>
        <v>2.246</v>
      </c>
      <c r="L291" s="194">
        <f t="shared" si="43"/>
        <v>1.8612000000000002</v>
      </c>
      <c r="M291" s="233">
        <f>AVERAGE(Ashed_controlls!$K$1:$K$11)</f>
        <v>5.5147656768714146</v>
      </c>
      <c r="N291" s="194">
        <f t="shared" si="39"/>
        <v>1.7585591812220693</v>
      </c>
      <c r="O291" s="194">
        <f t="shared" si="44"/>
        <v>1.9962</v>
      </c>
      <c r="P291" s="233">
        <f>AVERAGE(Ashed_controlls!$K$12:$K$14)</f>
        <v>2.2816647271287041</v>
      </c>
      <c r="Q291" s="194">
        <f t="shared" si="40"/>
        <v>1.9506534087170568</v>
      </c>
      <c r="R291" s="16">
        <f>IF('Dry_Litterbag Placem_Collection'!G218="","",'Dry_Litterbag Placem_Collection'!G218)</f>
        <v>43004</v>
      </c>
      <c r="S291" s="194">
        <f>IFERROR(INDEX('Both teabags AfterDry'!$D$3:$D$2000,MATCH(H291,'Both teabags AfterDry'!$A$3:$A$2000,0)),"")</f>
        <v>0.80600000000000005</v>
      </c>
      <c r="T291" s="194">
        <f>IFERROR(INDEX('Both teabags AfterDry'!$D$3:$D$2000,MATCH(I291,'Both teabags AfterDry'!$A$3:$A$2000,0)),"")</f>
        <v>1.736</v>
      </c>
      <c r="U291" s="194">
        <f t="shared" si="45"/>
        <v>0.65539999999999998</v>
      </c>
      <c r="V291" s="194">
        <f t="shared" si="46"/>
        <v>1.5853999999999999</v>
      </c>
      <c r="W291" s="194">
        <f>IFERROR(INDEX('Ashed teabags dry'!$K$2:$K$2000,MATCH(H291,'Ashed teabags dry'!$A$2:$A$2000,0)),"")</f>
        <v>24.313893653516725</v>
      </c>
      <c r="X291" s="194">
        <f>IFERROR(INDEX('Ashed teabags dry'!$K$2:$K$2000,MATCH(I291,'Ashed teabags dry'!$A$2:$A$2000,0)),"")</f>
        <v>4.8247610377782575</v>
      </c>
      <c r="Y291" s="194">
        <f t="shared" si="41"/>
        <v>0.49604674099485135</v>
      </c>
      <c r="Z291" s="194">
        <f t="shared" si="41"/>
        <v>1.5089082385070633</v>
      </c>
      <c r="AA291" s="194">
        <f t="shared" si="47"/>
        <v>0.71792434039658803</v>
      </c>
      <c r="AB291" s="194">
        <f t="shared" si="48"/>
        <v>0.47065823740963969</v>
      </c>
      <c r="AC291" s="194">
        <f t="shared" si="42"/>
        <v>0.77353989784349808</v>
      </c>
      <c r="AD291">
        <f t="shared" si="49"/>
        <v>62</v>
      </c>
      <c r="AE291" s="194">
        <f t="shared" si="50"/>
        <v>0.14735826556224696</v>
      </c>
      <c r="AF291" s="194">
        <f t="shared" si="51"/>
        <v>1.058310152478994E-2</v>
      </c>
      <c r="AG291" s="245" t="str">
        <f>IF(ISNUMBER(SEARCH("C", 'Dry_Litterbag Placem_Collection'!$T218)),"YES","NO")</f>
        <v>NO</v>
      </c>
      <c r="AH291" s="245" t="str">
        <f>IF(ISNUMBER(SEARCH("H", 'Dry_Litterbag Placem_Collection'!$T218)),"YES","NO")</f>
        <v>NO</v>
      </c>
      <c r="AI291" s="245" t="str">
        <f>IF(ISNUMBER(SEARCH("R", 'Dry_Litterbag Placem_Collection'!$T218)),"YES","NO")</f>
        <v>NO</v>
      </c>
      <c r="AJ291" s="245" t="str">
        <f>IF(ISNUMBER(SEARCH("C", 'Dry_Litterbag Placem_Collection'!$S218)),"YES","NO")</f>
        <v>NO</v>
      </c>
      <c r="AK291" s="245" t="str">
        <f>IF(ISNUMBER(SEARCH("H", 'Dry_Litterbag Placem_Collection'!$S218)),"YES","NO")</f>
        <v>NO</v>
      </c>
      <c r="AL291" s="245" t="str">
        <f>IF(ISNUMBER(SEARCH("R", 'Dry_Litterbag Placem_Collection'!$S218)),"YES","NO")</f>
        <v>NO</v>
      </c>
    </row>
    <row r="292" spans="2:38">
      <c r="B292" t="str">
        <f>Dryseason!B218</f>
        <v>Dry</v>
      </c>
      <c r="C292" s="253">
        <f>Dryseason!C218</f>
        <v>217</v>
      </c>
      <c r="D292" t="s">
        <v>2424</v>
      </c>
      <c r="E292" t="s">
        <v>22</v>
      </c>
      <c r="F292" s="375">
        <v>1</v>
      </c>
      <c r="G292" s="16">
        <f>IF('Dry_Litterbag Placem_Collection'!E219="","",'Dry_Litterbag Placem_Collection'!E219)</f>
        <v>42942</v>
      </c>
      <c r="H292" t="str">
        <f>Dryseason!L218</f>
        <v>G313</v>
      </c>
      <c r="I292" t="str">
        <f>Dryseason!L438</f>
        <v>R771</v>
      </c>
      <c r="J292">
        <f>IFERROR(INDEX('Green_rooibos initial weight'!$C$5:$C$2000,MATCH(H292, 'Green_rooibos initial weight'!$A$5:$A$2000,0)),"")</f>
        <v>1.923</v>
      </c>
      <c r="K292">
        <f>IFERROR(INDEX('Green_rooibos initial weight'!$C$5:$C$2000,MATCH(I292, 'Green_rooibos initial weight'!$A$5:$A$2000,0)),"")</f>
        <v>2.2309999999999999</v>
      </c>
      <c r="L292" s="194">
        <f t="shared" si="43"/>
        <v>1.6732</v>
      </c>
      <c r="M292" s="233">
        <f>AVERAGE(Ashed_controlls!$K$1:$K$11)</f>
        <v>5.5147656768714146</v>
      </c>
      <c r="N292" s="194">
        <f t="shared" si="39"/>
        <v>1.5809269406945876</v>
      </c>
      <c r="O292" s="194">
        <f t="shared" si="44"/>
        <v>1.9811999999999999</v>
      </c>
      <c r="P292" s="233">
        <f>AVERAGE(Ashed_controlls!$K$12:$K$14)</f>
        <v>2.2816647271287041</v>
      </c>
      <c r="Q292" s="194">
        <f t="shared" si="40"/>
        <v>1.935995658426126</v>
      </c>
      <c r="R292" s="16">
        <f>IF('Dry_Litterbag Placem_Collection'!G219="","",'Dry_Litterbag Placem_Collection'!G219)</f>
        <v>43004</v>
      </c>
      <c r="S292" s="194">
        <f>IFERROR(INDEX('Both teabags AfterDry'!$D$3:$D$2000,MATCH(H292,'Both teabags AfterDry'!$A$3:$A$2000,0)),"")</f>
        <v>0.74719999999999998</v>
      </c>
      <c r="T292" s="194">
        <f>IFERROR(INDEX('Both teabags AfterDry'!$D$3:$D$2000,MATCH(I292,'Both teabags AfterDry'!$A$3:$A$2000,0)),"")</f>
        <v>1.0895999999999999</v>
      </c>
      <c r="U292" s="194">
        <f t="shared" si="45"/>
        <v>0.59660000000000002</v>
      </c>
      <c r="V292" s="194">
        <f t="shared" si="46"/>
        <v>0.93899999999999983</v>
      </c>
      <c r="W292" s="194">
        <f>IFERROR(INDEX('Ashed teabags dry'!$K$2:$K$2000,MATCH(H292,'Ashed teabags dry'!$A$2:$A$2000,0)),"")</f>
        <v>17.652671755725578</v>
      </c>
      <c r="X292" s="194">
        <f>IFERROR(INDEX('Ashed teabags dry'!$K$2:$K$2000,MATCH(I292,'Ashed teabags dry'!$A$2:$A$2000,0)),"")</f>
        <v>85.664182376150734</v>
      </c>
      <c r="Y292" s="194">
        <f t="shared" si="41"/>
        <v>0.49128416030534122</v>
      </c>
      <c r="Z292" s="194">
        <f t="shared" si="41"/>
        <v>0.13461332748794463</v>
      </c>
      <c r="AA292" s="194">
        <f t="shared" si="47"/>
        <v>0.68924297027319104</v>
      </c>
      <c r="AB292" s="194">
        <f t="shared" si="48"/>
        <v>0.4518552489201918</v>
      </c>
      <c r="AC292" s="194">
        <f t="shared" si="42"/>
        <v>6.9531833349966793E-2</v>
      </c>
      <c r="AD292">
        <f t="shared" si="49"/>
        <v>62</v>
      </c>
      <c r="AE292" s="194">
        <f t="shared" si="50"/>
        <v>0.18142165050689896</v>
      </c>
      <c r="AF292" s="194" t="str">
        <f t="shared" si="51"/>
        <v/>
      </c>
      <c r="AG292" s="245" t="str">
        <f>IF(ISNUMBER(SEARCH("C", 'Dry_Litterbag Placem_Collection'!$T219)),"YES","NO")</f>
        <v>NO</v>
      </c>
      <c r="AH292" s="245" t="str">
        <f>IF(ISNUMBER(SEARCH("H", 'Dry_Litterbag Placem_Collection'!$T219)),"YES","NO")</f>
        <v>YES</v>
      </c>
      <c r="AI292" s="245" t="str">
        <f>IF(ISNUMBER(SEARCH("R", 'Dry_Litterbag Placem_Collection'!$T219)),"YES","NO")</f>
        <v>YES</v>
      </c>
      <c r="AJ292" s="245" t="str">
        <f>IF(ISNUMBER(SEARCH("C", 'Dry_Litterbag Placem_Collection'!$S219)),"YES","NO")</f>
        <v>NO</v>
      </c>
      <c r="AK292" s="245" t="str">
        <f>IF(ISNUMBER(SEARCH("H", 'Dry_Litterbag Placem_Collection'!$S219)),"YES","NO")</f>
        <v>YES</v>
      </c>
      <c r="AL292" s="245" t="str">
        <f>IF(ISNUMBER(SEARCH("R", 'Dry_Litterbag Placem_Collection'!$S219)),"YES","NO")</f>
        <v>YES</v>
      </c>
    </row>
    <row r="293" spans="2:38">
      <c r="B293" t="str">
        <f>Dryseason!B219</f>
        <v>Dry</v>
      </c>
      <c r="C293" s="253">
        <f>Dryseason!C219</f>
        <v>218</v>
      </c>
      <c r="D293" t="s">
        <v>2432</v>
      </c>
      <c r="E293" t="s">
        <v>22</v>
      </c>
      <c r="F293" s="375">
        <v>2</v>
      </c>
      <c r="G293" s="16">
        <f>IF('Dry_Litterbag Placem_Collection'!E220="","",'Dry_Litterbag Placem_Collection'!E220)</f>
        <v>42942</v>
      </c>
      <c r="H293" t="str">
        <f>Dryseason!L219</f>
        <v>G485</v>
      </c>
      <c r="I293" t="str">
        <f>Dryseason!L439</f>
        <v>R680</v>
      </c>
      <c r="J293">
        <f>IFERROR(INDEX('Green_rooibos initial weight'!$C$5:$C$2000,MATCH(H293, 'Green_rooibos initial weight'!$A$5:$A$2000,0)),"")</f>
        <v>1.9890000000000001</v>
      </c>
      <c r="K293">
        <f>IFERROR(INDEX('Green_rooibos initial weight'!$C$5:$C$2000,MATCH(I293, 'Green_rooibos initial weight'!$A$5:$A$2000,0)),"")</f>
        <v>2.1080000000000001</v>
      </c>
      <c r="L293" s="194">
        <f t="shared" si="43"/>
        <v>1.7392000000000001</v>
      </c>
      <c r="M293" s="233">
        <f>AVERAGE(Ashed_controlls!$K$1:$K$11)</f>
        <v>5.5147656768714146</v>
      </c>
      <c r="N293" s="194">
        <f t="shared" si="39"/>
        <v>1.6432871953478525</v>
      </c>
      <c r="O293" s="194">
        <f t="shared" si="44"/>
        <v>1.8582000000000001</v>
      </c>
      <c r="P293" s="233">
        <f>AVERAGE(Ashed_controlls!$K$12:$K$14)</f>
        <v>2.2816647271287041</v>
      </c>
      <c r="Q293" s="194">
        <f t="shared" si="40"/>
        <v>1.8158021060404945</v>
      </c>
      <c r="R293" s="16">
        <f>IF('Dry_Litterbag Placem_Collection'!G220="","",'Dry_Litterbag Placem_Collection'!G220)</f>
        <v>43004</v>
      </c>
      <c r="S293" s="194">
        <f>IFERROR(INDEX('Both teabags AfterDry'!$D$3:$D$2000,MATCH(H293,'Both teabags AfterDry'!$A$3:$A$2000,0)),"")</f>
        <v>0.66900000000000004</v>
      </c>
      <c r="T293" s="194">
        <f>IFERROR(INDEX('Both teabags AfterDry'!$D$3:$D$2000,MATCH(I293,'Both teabags AfterDry'!$A$3:$A$2000,0)),"")</f>
        <v>0.17100000000000001</v>
      </c>
      <c r="U293" s="194">
        <f t="shared" si="45"/>
        <v>0.51839999999999997</v>
      </c>
      <c r="V293" s="194">
        <f t="shared" si="46"/>
        <v>2.0400000000000001E-2</v>
      </c>
      <c r="W293" s="194">
        <f>IFERROR(INDEX('Ashed teabags dry'!$K$2:$K$2000,MATCH(H293,'Ashed teabags dry'!$A$2:$A$2000,0)),"")</f>
        <v>22.069641981362956</v>
      </c>
      <c r="X293" s="194">
        <f>IFERROR(INDEX('Ashed teabags dry'!$K$2:$K$2000,MATCH(I293,'Ashed teabags dry'!$A$2:$A$2000,0)),"")</f>
        <v>0</v>
      </c>
      <c r="Y293" s="194">
        <f t="shared" si="41"/>
        <v>0.40399097596861444</v>
      </c>
      <c r="Z293" s="194">
        <f t="shared" si="41"/>
        <v>2.0400000000000001E-2</v>
      </c>
      <c r="AA293" s="194">
        <f t="shared" si="47"/>
        <v>0.75415680404964314</v>
      </c>
      <c r="AB293" s="194">
        <f t="shared" si="48"/>
        <v>0.49441158650285394</v>
      </c>
      <c r="AC293" s="194">
        <f t="shared" si="42"/>
        <v>1.1234704449420358E-2</v>
      </c>
      <c r="AD293">
        <f t="shared" si="49"/>
        <v>62</v>
      </c>
      <c r="AE293" s="194">
        <f t="shared" si="50"/>
        <v>0.10432683604555448</v>
      </c>
      <c r="AF293" s="194" t="str">
        <f t="shared" si="51"/>
        <v/>
      </c>
      <c r="AG293" s="245" t="str">
        <f>IF(ISNUMBER(SEARCH("C", 'Dry_Litterbag Placem_Collection'!$T220)),"YES","NO")</f>
        <v>NO</v>
      </c>
      <c r="AH293" s="245" t="str">
        <f>IF(ISNUMBER(SEARCH("H", 'Dry_Litterbag Placem_Collection'!$T220)),"YES","NO")</f>
        <v>YES</v>
      </c>
      <c r="AI293" s="245" t="str">
        <f>IF(ISNUMBER(SEARCH("R", 'Dry_Litterbag Placem_Collection'!$T220)),"YES","NO")</f>
        <v>YES</v>
      </c>
      <c r="AJ293" s="245" t="str">
        <f>IF(ISNUMBER(SEARCH("C", 'Dry_Litterbag Placem_Collection'!$S220)),"YES","NO")</f>
        <v>NO</v>
      </c>
      <c r="AK293" s="245" t="str">
        <f>IF(ISNUMBER(SEARCH("H", 'Dry_Litterbag Placem_Collection'!$S220)),"YES","NO")</f>
        <v>NO</v>
      </c>
      <c r="AL293" s="245" t="str">
        <f>IF(ISNUMBER(SEARCH("R", 'Dry_Litterbag Placem_Collection'!$S220)),"YES","NO")</f>
        <v>YES</v>
      </c>
    </row>
    <row r="294" spans="2:38">
      <c r="B294" t="str">
        <f>Dryseason!B220</f>
        <v>Dry</v>
      </c>
      <c r="C294" s="374">
        <f>Dryseason!C220</f>
        <v>219</v>
      </c>
      <c r="D294" t="s">
        <v>2439</v>
      </c>
      <c r="E294" t="s">
        <v>22</v>
      </c>
      <c r="F294" s="375">
        <v>3</v>
      </c>
      <c r="G294" s="16">
        <f>IF('Dry_Litterbag Placem_Collection'!E221="","",'Dry_Litterbag Placem_Collection'!E221)</f>
        <v>42942</v>
      </c>
      <c r="H294" s="92" t="str">
        <f>Dryseason!L220</f>
        <v>G196</v>
      </c>
      <c r="I294" s="92" t="str">
        <f>Dryseason!L440</f>
        <v>R178</v>
      </c>
      <c r="J294">
        <f>IFERROR(INDEX('Green_rooibos initial weight'!$C$5:$C$2000,MATCH(H294, 'Green_rooibos initial weight'!$A$5:$A$2000,0)),"")</f>
        <v>2.028</v>
      </c>
      <c r="K294">
        <f>IFERROR(INDEX('Green_rooibos initial weight'!$C$5:$C$2000,MATCH(I294, 'Green_rooibos initial weight'!$A$5:$A$2000,0)),"")</f>
        <v>2.222</v>
      </c>
      <c r="L294" s="194">
        <f t="shared" si="43"/>
        <v>1.7782</v>
      </c>
      <c r="M294" s="233">
        <f>AVERAGE(Ashed_controlls!$K$1:$K$11)</f>
        <v>5.5147656768714146</v>
      </c>
      <c r="N294" s="194">
        <f t="shared" si="39"/>
        <v>1.6801364367338725</v>
      </c>
      <c r="O294" s="194">
        <f t="shared" si="44"/>
        <v>1.9722</v>
      </c>
      <c r="P294" s="233">
        <f>AVERAGE(Ashed_controlls!$K$12:$K$14)</f>
        <v>2.2816647271287041</v>
      </c>
      <c r="Q294" s="194">
        <f t="shared" si="40"/>
        <v>1.9272010082515676</v>
      </c>
      <c r="R294" s="16">
        <f>IF('Dry_Litterbag Placem_Collection'!G221="","",'Dry_Litterbag Placem_Collection'!G221)</f>
        <v>43004</v>
      </c>
      <c r="S294" s="194">
        <f>IFERROR(INDEX('Both teabags AfterDry'!$D$3:$D$2000,MATCH(H294,'Both teabags AfterDry'!$A$3:$A$2000,0)),"")</f>
        <v>0.5756</v>
      </c>
      <c r="T294" s="194">
        <f>IFERROR(INDEX('Both teabags AfterDry'!$D$3:$D$2000,MATCH(I294,'Both teabags AfterDry'!$A$3:$A$2000,0)),"")</f>
        <v>1.8229</v>
      </c>
      <c r="U294" s="194">
        <f t="shared" si="45"/>
        <v>0.42499999999999999</v>
      </c>
      <c r="V294" s="194">
        <f t="shared" si="46"/>
        <v>1.6722999999999999</v>
      </c>
      <c r="W294" s="194">
        <f>IFERROR(INDEX('Ashed teabags dry'!$K$2:$K$2000,MATCH(H294,'Ashed teabags dry'!$A$2:$A$2000,0)),"")</f>
        <v>22.698178237321503</v>
      </c>
      <c r="X294" s="194">
        <f>IFERROR(INDEX('Ashed teabags dry'!$K$2:$K$2000,MATCH(I294,'Ashed teabags dry'!$A$2:$A$2000,0)),"")</f>
        <v>19.137332672284675</v>
      </c>
      <c r="Y294" s="194">
        <f t="shared" si="41"/>
        <v>0.32853274249138359</v>
      </c>
      <c r="Z294" s="194">
        <f t="shared" si="41"/>
        <v>1.3522663857213832</v>
      </c>
      <c r="AA294" s="194">
        <f t="shared" si="47"/>
        <v>0.80446067634242846</v>
      </c>
      <c r="AB294" s="194">
        <f t="shared" si="48"/>
        <v>0.52738989707959683</v>
      </c>
      <c r="AC294" s="194">
        <f t="shared" si="42"/>
        <v>0.70167376414368543</v>
      </c>
      <c r="AD294">
        <f t="shared" si="49"/>
        <v>62</v>
      </c>
      <c r="AE294" s="194">
        <f t="shared" si="50"/>
        <v>4.4583519783339076E-2</v>
      </c>
      <c r="AF294" s="194">
        <f t="shared" si="51"/>
        <v>1.3450647679353514E-2</v>
      </c>
      <c r="AG294" s="245" t="str">
        <f>IF(ISNUMBER(SEARCH("C", 'Dry_Litterbag Placem_Collection'!$T221)),"YES","NO")</f>
        <v>NO</v>
      </c>
      <c r="AH294" s="245" t="str">
        <f>IF(ISNUMBER(SEARCH("H", 'Dry_Litterbag Placem_Collection'!$T221)),"YES","NO")</f>
        <v>NO</v>
      </c>
      <c r="AI294" s="245" t="str">
        <f>IF(ISNUMBER(SEARCH("R", 'Dry_Litterbag Placem_Collection'!$T221)),"YES","NO")</f>
        <v>YES</v>
      </c>
      <c r="AJ294" s="245" t="str">
        <f>IF(ISNUMBER(SEARCH("C", 'Dry_Litterbag Placem_Collection'!$S221)),"YES","NO")</f>
        <v>NO</v>
      </c>
      <c r="AK294" s="245" t="str">
        <f>IF(ISNUMBER(SEARCH("H", 'Dry_Litterbag Placem_Collection'!$S221)),"YES","NO")</f>
        <v>YES</v>
      </c>
      <c r="AL294" s="245" t="str">
        <f>IF(ISNUMBER(SEARCH("R", 'Dry_Litterbag Placem_Collection'!$S221)),"YES","NO")</f>
        <v>YES</v>
      </c>
    </row>
    <row r="295" spans="2:38">
      <c r="B295" t="str">
        <f>Dryseason!B221</f>
        <v>Dry</v>
      </c>
      <c r="C295" s="374">
        <f>Dryseason!C221</f>
        <v>220</v>
      </c>
      <c r="D295" t="s">
        <v>2446</v>
      </c>
      <c r="E295" t="s">
        <v>22</v>
      </c>
      <c r="F295" s="375">
        <v>4</v>
      </c>
      <c r="G295" s="16">
        <f>IF('Dry_Litterbag Placem_Collection'!E222="","",'Dry_Litterbag Placem_Collection'!E222)</f>
        <v>42942</v>
      </c>
      <c r="H295" s="92" t="str">
        <f>Dryseason!L221</f>
        <v>G39</v>
      </c>
      <c r="I295" s="92" t="str">
        <f>Dryseason!L441</f>
        <v>R194</v>
      </c>
      <c r="J295">
        <f>IFERROR(INDEX('Green_rooibos initial weight'!$C$5:$C$2000,MATCH(H295, 'Green_rooibos initial weight'!$A$5:$A$2000,0)),"")</f>
        <v>2.0670000000000002</v>
      </c>
      <c r="K295">
        <f>IFERROR(INDEX('Green_rooibos initial weight'!$C$5:$C$2000,MATCH(I295, 'Green_rooibos initial weight'!$A$5:$A$2000,0)),"")</f>
        <v>2.149</v>
      </c>
      <c r="L295" s="194">
        <f t="shared" si="43"/>
        <v>1.8172000000000001</v>
      </c>
      <c r="M295" s="233">
        <f>AVERAGE(Ashed_controlls!$K$1:$K$11)</f>
        <v>5.5147656768714146</v>
      </c>
      <c r="N295" s="194">
        <f t="shared" si="39"/>
        <v>1.7169856781198929</v>
      </c>
      <c r="O295" s="194">
        <f t="shared" si="44"/>
        <v>1.8992</v>
      </c>
      <c r="P295" s="233">
        <f>AVERAGE(Ashed_controlls!$K$12:$K$14)</f>
        <v>2.2816647271287041</v>
      </c>
      <c r="Q295" s="194">
        <f t="shared" si="40"/>
        <v>1.8558666235023717</v>
      </c>
      <c r="R295" s="16">
        <f>IF('Dry_Litterbag Placem_Collection'!G222="","",'Dry_Litterbag Placem_Collection'!G222)</f>
        <v>43004</v>
      </c>
      <c r="S295" s="194" t="str">
        <f>IFERROR(INDEX('Both teabags AfterDry'!$D$3:$D$2000,MATCH(H295,'Both teabags AfterDry'!$A$3:$A$2000,0)),"")</f>
        <v/>
      </c>
      <c r="T295" s="194" t="str">
        <f>IFERROR(INDEX('Both teabags AfterDry'!$D$3:$D$2000,MATCH(I295,'Both teabags AfterDry'!$A$3:$A$2000,0)),"")</f>
        <v/>
      </c>
      <c r="U295" s="194" t="str">
        <f t="shared" si="45"/>
        <v/>
      </c>
      <c r="V295" s="194" t="str">
        <f t="shared" si="46"/>
        <v/>
      </c>
      <c r="W295" s="194" t="str">
        <f>IFERROR(INDEX('Ashed teabags dry'!$K$2:$K$2000,MATCH(H295,'Ashed teabags dry'!$A$2:$A$2000,0)),"")</f>
        <v/>
      </c>
      <c r="X295" s="194" t="str">
        <f>IFERROR(INDEX('Ashed teabags dry'!$K$2:$K$2000,MATCH(I295,'Ashed teabags dry'!$A$2:$A$2000,0)),"")</f>
        <v/>
      </c>
      <c r="Y295" s="194" t="str">
        <f t="shared" si="41"/>
        <v/>
      </c>
      <c r="Z295" s="194" t="str">
        <f t="shared" si="41"/>
        <v/>
      </c>
      <c r="AA295" s="194" t="str">
        <f t="shared" si="47"/>
        <v/>
      </c>
      <c r="AB295" s="194" t="str">
        <f t="shared" si="48"/>
        <v/>
      </c>
      <c r="AC295" s="194" t="str">
        <f t="shared" si="42"/>
        <v/>
      </c>
      <c r="AD295">
        <f t="shared" si="49"/>
        <v>62</v>
      </c>
      <c r="AE295" s="194" t="str">
        <f t="shared" si="50"/>
        <v/>
      </c>
      <c r="AF295" s="194" t="str">
        <f t="shared" si="51"/>
        <v/>
      </c>
      <c r="AG295" s="245" t="str">
        <f>IF(ISNUMBER(SEARCH("C", 'Dry_Litterbag Placem_Collection'!$T222)),"YES","NO")</f>
        <v>YES</v>
      </c>
      <c r="AH295" s="245" t="str">
        <f>IF(ISNUMBER(SEARCH("H", 'Dry_Litterbag Placem_Collection'!$T222)),"YES","NO")</f>
        <v>YES</v>
      </c>
      <c r="AI295" s="245" t="str">
        <f>IF(ISNUMBER(SEARCH("R", 'Dry_Litterbag Placem_Collection'!$T222)),"YES","NO")</f>
        <v>YES</v>
      </c>
      <c r="AJ295" s="245" t="str">
        <f>IF(ISNUMBER(SEARCH("C", 'Dry_Litterbag Placem_Collection'!$S222)),"YES","NO")</f>
        <v>NO</v>
      </c>
      <c r="AK295" s="245" t="str">
        <f>IF(ISNUMBER(SEARCH("H", 'Dry_Litterbag Placem_Collection'!$S222)),"YES","NO")</f>
        <v>NO</v>
      </c>
      <c r="AL295" s="245" t="str">
        <f>IF(ISNUMBER(SEARCH("R", 'Dry_Litterbag Placem_Collection'!$S222)),"YES","NO")</f>
        <v>YES</v>
      </c>
    </row>
    <row r="296" spans="2:38">
      <c r="B296" t="str">
        <f>Dryseason!B442</f>
        <v>Dry</v>
      </c>
      <c r="C296" s="374">
        <f>Dryseason!C442</f>
        <v>1</v>
      </c>
      <c r="D296" t="s">
        <v>3099</v>
      </c>
      <c r="E296" t="s">
        <v>25</v>
      </c>
      <c r="F296" s="374">
        <v>1</v>
      </c>
      <c r="G296" s="376">
        <f>IF('Dry_Litterbag Placem_Collection'!E3="","",'Dry_Litterbag Placem_Collection'!E3)</f>
        <v>42938</v>
      </c>
      <c r="H296" s="92" t="str">
        <f>Dryseason!L442</f>
        <v>G377</v>
      </c>
      <c r="I296" s="92" t="str">
        <f>Dryseason!L662</f>
        <v>R204</v>
      </c>
      <c r="J296">
        <f>IFERROR(INDEX('Green_rooibos initial weight'!$C$5:$C$2000,MATCH(H296, 'Green_rooibos initial weight'!$A$5:$A$2000,0)),"")</f>
        <v>2.1030000000000002</v>
      </c>
      <c r="K296">
        <f>IFERROR(INDEX('Green_rooibos initial weight'!$C$5:$C$2000,MATCH(I296, 'Green_rooibos initial weight'!$A$5:$A$2000,0)),"")</f>
        <v>2.2290000000000001</v>
      </c>
      <c r="L296" s="194">
        <f t="shared" si="43"/>
        <v>1.8532000000000002</v>
      </c>
      <c r="M296" s="233">
        <f>AVERAGE(Ashed_controlls!$K$1:$K$11)</f>
        <v>5.5147656768714146</v>
      </c>
      <c r="N296" s="194">
        <f t="shared" si="39"/>
        <v>1.7510003624762192</v>
      </c>
      <c r="O296" s="194">
        <f t="shared" si="44"/>
        <v>1.9792000000000001</v>
      </c>
      <c r="P296" s="233">
        <f>AVERAGE(Ashed_controlls!$K$12:$K$14)</f>
        <v>2.2816647271287041</v>
      </c>
      <c r="Q296" s="194">
        <f t="shared" si="40"/>
        <v>1.9340412917206689</v>
      </c>
      <c r="R296" s="376">
        <f>IF('Dry_Litterbag Placem_Collection'!G3="","",'Dry_Litterbag Placem_Collection'!G3)</f>
        <v>43007</v>
      </c>
      <c r="S296" s="194">
        <f>IFERROR(INDEX('Both teabags AfterDry'!$D$3:$D$2000,MATCH(H296,'Both teabags AfterDry'!$A$3:$A$2000,0)),"")</f>
        <v>1.3894</v>
      </c>
      <c r="T296" s="194">
        <f>IFERROR(INDEX('Both teabags AfterDry'!$D$3:$D$2000,MATCH(I296,'Both teabags AfterDry'!$A$3:$A$2000,0)),"")</f>
        <v>1.8874</v>
      </c>
      <c r="U296" s="194">
        <f t="shared" si="45"/>
        <v>1.2387999999999999</v>
      </c>
      <c r="V296" s="194">
        <f t="shared" si="46"/>
        <v>1.7367999999999999</v>
      </c>
      <c r="W296" s="194">
        <f>IFERROR(INDEX('Ashed teabags dry'!$K$2:$K$2000,MATCH(H296,'Ashed teabags dry'!$A$2:$A$2000,0)),"")</f>
        <v>16.862567811935126</v>
      </c>
      <c r="X296" s="194">
        <f>IFERROR(INDEX('Ashed teabags dry'!$K$2:$K$2000,MATCH(I296,'Ashed teabags dry'!$A$2:$A$2000,0)),"")</f>
        <v>2.3391812865495751</v>
      </c>
      <c r="Y296" s="194">
        <f t="shared" si="41"/>
        <v>1.0299065099457476</v>
      </c>
      <c r="Z296" s="194">
        <f t="shared" si="41"/>
        <v>1.6961730994152069</v>
      </c>
      <c r="AA296" s="194">
        <f t="shared" si="47"/>
        <v>0.41181822002065116</v>
      </c>
      <c r="AB296" s="194">
        <f t="shared" si="48"/>
        <v>0.26998059079738657</v>
      </c>
      <c r="AC296" s="194">
        <f t="shared" si="42"/>
        <v>0.87700976534278829</v>
      </c>
      <c r="AD296">
        <f t="shared" si="49"/>
        <v>69</v>
      </c>
      <c r="AE296" s="194">
        <f t="shared" si="50"/>
        <v>0.5109047268163287</v>
      </c>
      <c r="AF296" s="194">
        <f t="shared" si="51"/>
        <v>8.8113491353737743E-3</v>
      </c>
      <c r="AG296" s="245" t="str">
        <f>IF(ISNUMBER(SEARCH("C", 'Dry_Litterbag Placem_Collection'!$V3)),"YES","NO")</f>
        <v>NO</v>
      </c>
      <c r="AH296" s="245" t="str">
        <f>IF(ISNUMBER(SEARCH("H", 'Dry_Litterbag Placem_Collection'!$V3)),"YES","NO")</f>
        <v>NO</v>
      </c>
      <c r="AI296" s="245" t="str">
        <f>IF(ISNUMBER(SEARCH("R", 'Dry_Litterbag Placem_Collection'!$V3)),"YES","NO")</f>
        <v>NO</v>
      </c>
      <c r="AJ296" s="245" t="str">
        <f>IF(ISNUMBER(SEARCH("C", 'Dry_Litterbag Placem_Collection'!$U3)),"YES","NO")</f>
        <v>NO</v>
      </c>
      <c r="AK296" s="245" t="str">
        <f>IF(ISNUMBER(SEARCH("H", 'Dry_Litterbag Placem_Collection'!$U3)),"YES","NO")</f>
        <v>NO</v>
      </c>
      <c r="AL296" s="245" t="str">
        <f>IF(ISNUMBER(SEARCH("R", 'Dry_Litterbag Placem_Collection'!$U3)),"YES","NO")</f>
        <v>YES</v>
      </c>
    </row>
    <row r="297" spans="2:38">
      <c r="B297" t="str">
        <f>Dryseason!B443</f>
        <v>Dry</v>
      </c>
      <c r="C297" s="374">
        <f>Dryseason!C443</f>
        <v>2</v>
      </c>
      <c r="D297" t="s">
        <v>3099</v>
      </c>
      <c r="E297" t="s">
        <v>25</v>
      </c>
      <c r="F297" s="374">
        <v>2</v>
      </c>
      <c r="G297" s="376" t="str">
        <f>IF('Dry_Litterbag Placem_Collection'!E4="","",'Dry_Litterbag Placem_Collection'!E4)</f>
        <v/>
      </c>
      <c r="H297" s="92" t="str">
        <f>Dryseason!L443</f>
        <v/>
      </c>
      <c r="I297" s="92" t="str">
        <f>Dryseason!L663</f>
        <v/>
      </c>
      <c r="J297" t="str">
        <f>IFERROR(INDEX('Green_rooibos initial weight'!$C$5:$C$2000,MATCH(H297, 'Green_rooibos initial weight'!$A$5:$A$2000,0)),"")</f>
        <v/>
      </c>
      <c r="K297" t="str">
        <f>IFERROR(INDEX('Green_rooibos initial weight'!$C$5:$C$2000,MATCH(I297, 'Green_rooibos initial weight'!$A$5:$A$2000,0)),"")</f>
        <v/>
      </c>
      <c r="L297" s="194" t="str">
        <f t="shared" si="43"/>
        <v/>
      </c>
      <c r="M297" s="233">
        <f>AVERAGE(Ashed_controlls!$K$1:$K$11)</f>
        <v>5.5147656768714146</v>
      </c>
      <c r="N297" s="194" t="str">
        <f t="shared" si="39"/>
        <v/>
      </c>
      <c r="O297" s="194" t="str">
        <f t="shared" si="44"/>
        <v/>
      </c>
      <c r="P297" s="233">
        <f>AVERAGE(Ashed_controlls!$K$12:$K$14)</f>
        <v>2.2816647271287041</v>
      </c>
      <c r="Q297" s="194" t="str">
        <f t="shared" si="40"/>
        <v/>
      </c>
      <c r="R297" s="376" t="str">
        <f>IF('Dry_Litterbag Placem_Collection'!G4="","",'Dry_Litterbag Placem_Collection'!G4)</f>
        <v/>
      </c>
      <c r="S297" s="194" t="str">
        <f>IFERROR(INDEX('Both teabags AfterDry'!$D$3:$D$2000,MATCH(H297,'Both teabags AfterDry'!$A$3:$A$2000,0)),"")</f>
        <v/>
      </c>
      <c r="T297" s="194" t="str">
        <f>IFERROR(INDEX('Both teabags AfterDry'!$D$3:$D$2000,MATCH(I297,'Both teabags AfterDry'!$A$3:$A$2000,0)),"")</f>
        <v/>
      </c>
      <c r="U297" s="194" t="str">
        <f t="shared" si="45"/>
        <v/>
      </c>
      <c r="V297" s="194" t="str">
        <f t="shared" si="46"/>
        <v/>
      </c>
      <c r="W297" s="194" t="str">
        <f>IFERROR(INDEX('Ashed teabags dry'!$K$2:$K$2000,MATCH(H297,'Ashed teabags dry'!$A$2:$A$2000,0)),"")</f>
        <v/>
      </c>
      <c r="X297" s="194" t="str">
        <f>IFERROR(INDEX('Ashed teabags dry'!$K$2:$K$2000,MATCH(I297,'Ashed teabags dry'!$A$2:$A$2000,0)),"")</f>
        <v/>
      </c>
      <c r="Y297" s="194" t="str">
        <f t="shared" si="41"/>
        <v/>
      </c>
      <c r="Z297" s="194" t="str">
        <f t="shared" si="41"/>
        <v/>
      </c>
      <c r="AA297" s="194" t="str">
        <f t="shared" si="47"/>
        <v/>
      </c>
      <c r="AB297" s="194" t="str">
        <f t="shared" si="48"/>
        <v/>
      </c>
      <c r="AC297" s="194" t="str">
        <f t="shared" si="42"/>
        <v/>
      </c>
      <c r="AD297" t="str">
        <f t="shared" si="49"/>
        <v/>
      </c>
      <c r="AE297" s="194" t="str">
        <f t="shared" si="50"/>
        <v/>
      </c>
      <c r="AF297" s="194" t="str">
        <f t="shared" si="51"/>
        <v/>
      </c>
      <c r="AG297" s="245" t="str">
        <f>IF(ISNUMBER(SEARCH("C", 'Dry_Litterbag Placem_Collection'!$V4)),"YES","NO")</f>
        <v>NO</v>
      </c>
      <c r="AH297" s="245" t="str">
        <f>IF(ISNUMBER(SEARCH("H", 'Dry_Litterbag Placem_Collection'!$V4)),"YES","NO")</f>
        <v>NO</v>
      </c>
      <c r="AI297" s="245" t="str">
        <f>IF(ISNUMBER(SEARCH("R", 'Dry_Litterbag Placem_Collection'!$V4)),"YES","NO")</f>
        <v>NO</v>
      </c>
      <c r="AJ297" s="245" t="str">
        <f>IF(ISNUMBER(SEARCH("C", 'Dry_Litterbag Placem_Collection'!$U4)),"YES","NO")</f>
        <v>NO</v>
      </c>
      <c r="AK297" s="245" t="str">
        <f>IF(ISNUMBER(SEARCH("H", 'Dry_Litterbag Placem_Collection'!$U4)),"YES","NO")</f>
        <v>NO</v>
      </c>
      <c r="AL297" s="245" t="str">
        <f>IF(ISNUMBER(SEARCH("R", 'Dry_Litterbag Placem_Collection'!$U4)),"YES","NO")</f>
        <v>NO</v>
      </c>
    </row>
    <row r="298" spans="2:38">
      <c r="B298" t="str">
        <f>Dryseason!B444</f>
        <v>Dry</v>
      </c>
      <c r="C298" s="253">
        <f>Dryseason!C444</f>
        <v>3</v>
      </c>
      <c r="D298" t="s">
        <v>3099</v>
      </c>
      <c r="E298" t="s">
        <v>25</v>
      </c>
      <c r="F298" s="374">
        <v>3</v>
      </c>
      <c r="G298" s="376">
        <f>IF('Dry_Litterbag Placem_Collection'!E5="","",'Dry_Litterbag Placem_Collection'!E5)</f>
        <v>42938</v>
      </c>
      <c r="H298" s="92" t="str">
        <f>Dryseason!L444</f>
        <v>G44</v>
      </c>
      <c r="I298" t="str">
        <f>Dryseason!L664</f>
        <v>R283</v>
      </c>
      <c r="J298">
        <f>IFERROR(INDEX('Green_rooibos initial weight'!$C$5:$C$2000,MATCH(H298, 'Green_rooibos initial weight'!$A$5:$A$2000,0)),"")</f>
        <v>2.0680000000000001</v>
      </c>
      <c r="K298">
        <f>IFERROR(INDEX('Green_rooibos initial weight'!$C$5:$C$2000,MATCH(I298, 'Green_rooibos initial weight'!$A$5:$A$2000,0)),"")</f>
        <v>2.21</v>
      </c>
      <c r="L298" s="194">
        <f t="shared" si="43"/>
        <v>1.8182</v>
      </c>
      <c r="M298" s="233">
        <f>AVERAGE(Ashed_controlls!$K$1:$K$11)</f>
        <v>5.5147656768714146</v>
      </c>
      <c r="N298" s="194">
        <f t="shared" si="39"/>
        <v>1.7179305304631241</v>
      </c>
      <c r="O298" s="194">
        <f t="shared" si="44"/>
        <v>1.9601999999999999</v>
      </c>
      <c r="P298" s="233">
        <f>AVERAGE(Ashed_controlls!$K$12:$K$14)</f>
        <v>2.2816647271287041</v>
      </c>
      <c r="Q298" s="194">
        <f t="shared" si="40"/>
        <v>1.9154748080188231</v>
      </c>
      <c r="R298" s="376">
        <f>IF('Dry_Litterbag Placem_Collection'!G5="","",'Dry_Litterbag Placem_Collection'!G5)</f>
        <v>43007</v>
      </c>
      <c r="S298" s="194">
        <f>IFERROR(INDEX('Both teabags AfterDry'!$D$3:$D$2000,MATCH(H298,'Both teabags AfterDry'!$A$3:$A$2000,0)),"")</f>
        <v>1.5553999999999999</v>
      </c>
      <c r="T298" s="194">
        <f>IFERROR(INDEX('Both teabags AfterDry'!$D$3:$D$2000,MATCH(I298,'Both teabags AfterDry'!$A$3:$A$2000,0)),"")</f>
        <v>1.9180999999999999</v>
      </c>
      <c r="U298" s="194">
        <f t="shared" si="45"/>
        <v>1.4047999999999998</v>
      </c>
      <c r="V298" s="194">
        <f t="shared" si="46"/>
        <v>1.7674999999999998</v>
      </c>
      <c r="W298" s="194">
        <f>IFERROR(INDEX('Ashed teabags dry'!$K$2:$K$2000,MATCH(H298,'Ashed teabags dry'!$A$2:$A$2000,0)),"")</f>
        <v>10.622710622710303</v>
      </c>
      <c r="X298" s="194">
        <f>IFERROR(INDEX('Ashed teabags dry'!$K$2:$K$2000,MATCH(I298,'Ashed teabags dry'!$A$2:$A$2000,0)),"")</f>
        <v>2.5675077467904308</v>
      </c>
      <c r="Y298" s="194">
        <f t="shared" si="41"/>
        <v>1.2555721611721655</v>
      </c>
      <c r="Z298" s="194">
        <f t="shared" si="41"/>
        <v>1.7221193005754789</v>
      </c>
      <c r="AA298" s="194">
        <f t="shared" si="47"/>
        <v>0.26913682543747264</v>
      </c>
      <c r="AB298" s="194">
        <f t="shared" si="48"/>
        <v>0.17644124422979202</v>
      </c>
      <c r="AC298" s="194">
        <f t="shared" si="42"/>
        <v>0.89905609479493398</v>
      </c>
      <c r="AD298">
        <f t="shared" si="49"/>
        <v>69</v>
      </c>
      <c r="AE298" s="194">
        <f t="shared" si="50"/>
        <v>0.68036006480110145</v>
      </c>
      <c r="AF298" s="194">
        <f t="shared" si="51"/>
        <v>1.2302761103499002E-2</v>
      </c>
      <c r="AG298" s="245" t="str">
        <f>IF(ISNUMBER(SEARCH("C", 'Dry_Litterbag Placem_Collection'!$V5)),"YES","NO")</f>
        <v>NO</v>
      </c>
      <c r="AH298" s="245" t="str">
        <f>IF(ISNUMBER(SEARCH("H", 'Dry_Litterbag Placem_Collection'!$V5)),"YES","NO")</f>
        <v>NO</v>
      </c>
      <c r="AI298" s="245" t="str">
        <f>IF(ISNUMBER(SEARCH("R", 'Dry_Litterbag Placem_Collection'!$V5)),"YES","NO")</f>
        <v>NO</v>
      </c>
      <c r="AJ298" s="245" t="str">
        <f>IF(ISNUMBER(SEARCH("C", 'Dry_Litterbag Placem_Collection'!$U5)),"YES","NO")</f>
        <v>NO</v>
      </c>
      <c r="AK298" s="245" t="str">
        <f>IF(ISNUMBER(SEARCH("H", 'Dry_Litterbag Placem_Collection'!$U5)),"YES","NO")</f>
        <v>NO</v>
      </c>
      <c r="AL298" s="245" t="str">
        <f>IF(ISNUMBER(SEARCH("R", 'Dry_Litterbag Placem_Collection'!$U5)),"YES","NO")</f>
        <v>YES</v>
      </c>
    </row>
    <row r="299" spans="2:38">
      <c r="B299" t="str">
        <f>Dryseason!B445</f>
        <v>Dry</v>
      </c>
      <c r="C299" s="253">
        <f>Dryseason!C445</f>
        <v>4</v>
      </c>
      <c r="D299" t="s">
        <v>3099</v>
      </c>
      <c r="E299" t="s">
        <v>25</v>
      </c>
      <c r="F299" s="375">
        <v>4</v>
      </c>
      <c r="G299" s="376">
        <f>IF('Dry_Litterbag Placem_Collection'!E6="","",'Dry_Litterbag Placem_Collection'!E6)</f>
        <v>42938</v>
      </c>
      <c r="H299" s="92" t="str">
        <f>Dryseason!L445</f>
        <v>G357</v>
      </c>
      <c r="I299" t="str">
        <f>Dryseason!L665</f>
        <v>R298</v>
      </c>
      <c r="J299">
        <f>IFERROR(INDEX('Green_rooibos initial weight'!$C$5:$C$2000,MATCH(H299, 'Green_rooibos initial weight'!$A$5:$A$2000,0)),"")</f>
        <v>1.996</v>
      </c>
      <c r="K299">
        <f>IFERROR(INDEX('Green_rooibos initial weight'!$C$5:$C$2000,MATCH(I299, 'Green_rooibos initial weight'!$A$5:$A$2000,0)),"")</f>
        <v>2.2229999999999999</v>
      </c>
      <c r="L299" s="194">
        <f t="shared" si="43"/>
        <v>1.7462</v>
      </c>
      <c r="M299" s="233">
        <f>AVERAGE(Ashed_controlls!$K$1:$K$11)</f>
        <v>5.5147656768714146</v>
      </c>
      <c r="N299" s="194">
        <f t="shared" si="39"/>
        <v>1.6499011617504713</v>
      </c>
      <c r="O299" s="194">
        <f t="shared" si="44"/>
        <v>1.9731999999999998</v>
      </c>
      <c r="P299" s="233">
        <f>AVERAGE(Ashed_controlls!$K$12:$K$14)</f>
        <v>2.2816647271287041</v>
      </c>
      <c r="Q299" s="194">
        <f t="shared" si="40"/>
        <v>1.9281781916042962</v>
      </c>
      <c r="R299" s="376">
        <f>IF('Dry_Litterbag Placem_Collection'!G6="","",'Dry_Litterbag Placem_Collection'!G6)</f>
        <v>43007</v>
      </c>
      <c r="S299" s="194">
        <f>IFERROR(INDEX('Both teabags AfterDry'!$D$3:$D$2000,MATCH(H299,'Both teabags AfterDry'!$A$3:$A$2000,0)),"")</f>
        <v>1.6417999999999999</v>
      </c>
      <c r="T299" s="194">
        <f>IFERROR(INDEX('Both teabags AfterDry'!$D$3:$D$2000,MATCH(I299,'Both teabags AfterDry'!$A$3:$A$2000,0)),"")</f>
        <v>1.9487000000000001</v>
      </c>
      <c r="U299" s="194">
        <f t="shared" si="45"/>
        <v>1.4911999999999999</v>
      </c>
      <c r="V299" s="194">
        <f t="shared" si="46"/>
        <v>1.7981</v>
      </c>
      <c r="W299" s="194">
        <f>IFERROR(INDEX('Ashed teabags dry'!$K$2:$K$2000,MATCH(H299,'Ashed teabags dry'!$A$2:$A$2000,0)),"")</f>
        <v>6.3956144358153066</v>
      </c>
      <c r="X299" s="194">
        <f>IFERROR(INDEX('Ashed teabags dry'!$K$2:$K$2000,MATCH(I299,'Ashed teabags dry'!$A$2:$A$2000,0)),"")</f>
        <v>2.1226415094341604</v>
      </c>
      <c r="Y299" s="194">
        <f t="shared" si="41"/>
        <v>1.3958285975331219</v>
      </c>
      <c r="Z299" s="194">
        <f t="shared" si="41"/>
        <v>1.7599327830188645</v>
      </c>
      <c r="AA299" s="194">
        <f t="shared" si="47"/>
        <v>0.15399259671275689</v>
      </c>
      <c r="AB299" s="194">
        <f t="shared" si="48"/>
        <v>0.10095476649102354</v>
      </c>
      <c r="AC299" s="194">
        <f t="shared" si="42"/>
        <v>0.91274384840674561</v>
      </c>
      <c r="AD299">
        <f t="shared" si="49"/>
        <v>69</v>
      </c>
      <c r="AE299" s="194">
        <f t="shared" si="50"/>
        <v>0.81711093026988491</v>
      </c>
      <c r="AF299" s="194">
        <f t="shared" si="51"/>
        <v>2.8947504849692458E-2</v>
      </c>
      <c r="AG299" s="245" t="str">
        <f>IF(ISNUMBER(SEARCH("C", 'Dry_Litterbag Placem_Collection'!$V6)),"YES","NO")</f>
        <v>NO</v>
      </c>
      <c r="AH299" s="245" t="str">
        <f>IF(ISNUMBER(SEARCH("H", 'Dry_Litterbag Placem_Collection'!$V6)),"YES","NO")</f>
        <v>NO</v>
      </c>
      <c r="AI299" s="245" t="str">
        <f>IF(ISNUMBER(SEARCH("R", 'Dry_Litterbag Placem_Collection'!$V6)),"YES","NO")</f>
        <v>NO</v>
      </c>
      <c r="AJ299" s="245" t="str">
        <f>IF(ISNUMBER(SEARCH("C", 'Dry_Litterbag Placem_Collection'!$U6)),"YES","NO")</f>
        <v>NO</v>
      </c>
      <c r="AK299" s="245" t="str">
        <f>IF(ISNUMBER(SEARCH("H", 'Dry_Litterbag Placem_Collection'!$U6)),"YES","NO")</f>
        <v>NO</v>
      </c>
      <c r="AL299" s="245" t="str">
        <f>IF(ISNUMBER(SEARCH("R", 'Dry_Litterbag Placem_Collection'!$U6)),"YES","NO")</f>
        <v>NO</v>
      </c>
    </row>
    <row r="300" spans="2:38">
      <c r="B300" t="str">
        <f>Dryseason!B446</f>
        <v>Dry</v>
      </c>
      <c r="C300" s="253">
        <f>Dryseason!C446</f>
        <v>5</v>
      </c>
      <c r="D300" t="s">
        <v>3099</v>
      </c>
      <c r="E300" t="s">
        <v>25</v>
      </c>
      <c r="F300" s="375">
        <v>5</v>
      </c>
      <c r="G300" s="376">
        <f>IF('Dry_Litterbag Placem_Collection'!E7="","",'Dry_Litterbag Placem_Collection'!E7)</f>
        <v>42938</v>
      </c>
      <c r="H300" s="92" t="str">
        <f>Dryseason!L446</f>
        <v>G734</v>
      </c>
      <c r="I300" t="str">
        <f>Dryseason!L666</f>
        <v>R226</v>
      </c>
      <c r="J300">
        <f>IFERROR(INDEX('Green_rooibos initial weight'!$C$5:$C$2000,MATCH(H300, 'Green_rooibos initial weight'!$A$5:$A$2000,0)),"")</f>
        <v>1.9870000000000001</v>
      </c>
      <c r="K300">
        <f>IFERROR(INDEX('Green_rooibos initial weight'!$C$5:$C$2000,MATCH(I300, 'Green_rooibos initial weight'!$A$5:$A$2000,0)),"")</f>
        <v>2.2410000000000001</v>
      </c>
      <c r="L300" s="194">
        <f t="shared" si="43"/>
        <v>1.7372000000000001</v>
      </c>
      <c r="M300" s="233">
        <f>AVERAGE(Ashed_controlls!$K$1:$K$11)</f>
        <v>5.5147656768714146</v>
      </c>
      <c r="N300" s="194">
        <f t="shared" si="39"/>
        <v>1.64139749066139</v>
      </c>
      <c r="O300" s="194">
        <f t="shared" si="44"/>
        <v>1.9912000000000001</v>
      </c>
      <c r="P300" s="233">
        <f>AVERAGE(Ashed_controlls!$K$12:$K$14)</f>
        <v>2.2816647271287041</v>
      </c>
      <c r="Q300" s="194">
        <f t="shared" si="40"/>
        <v>1.9457674919534134</v>
      </c>
      <c r="R300" s="376" t="str">
        <f>IF('Dry_Litterbag Placem_Collection'!G7="","",'Dry_Litterbag Placem_Collection'!G7)</f>
        <v/>
      </c>
      <c r="S300" s="194" t="str">
        <f>IFERROR(INDEX('Both teabags AfterDry'!$D$3:$D$2000,MATCH(H300,'Both teabags AfterDry'!$A$3:$A$2000,0)),"")</f>
        <v/>
      </c>
      <c r="T300" s="194" t="str">
        <f>IFERROR(INDEX('Both teabags AfterDry'!$D$3:$D$2000,MATCH(I300,'Both teabags AfterDry'!$A$3:$A$2000,0)),"")</f>
        <v/>
      </c>
      <c r="U300" s="194" t="str">
        <f t="shared" si="45"/>
        <v/>
      </c>
      <c r="V300" s="194" t="str">
        <f t="shared" si="46"/>
        <v/>
      </c>
      <c r="W300" s="194" t="str">
        <f>IFERROR(INDEX('Ashed teabags dry'!$K$2:$K$2000,MATCH(H300,'Ashed teabags dry'!$A$2:$A$2000,0)),"")</f>
        <v/>
      </c>
      <c r="X300" s="194" t="str">
        <f>IFERROR(INDEX('Ashed teabags dry'!$K$2:$K$2000,MATCH(I300,'Ashed teabags dry'!$A$2:$A$2000,0)),"")</f>
        <v/>
      </c>
      <c r="Y300" s="194" t="str">
        <f t="shared" si="41"/>
        <v/>
      </c>
      <c r="Z300" s="194" t="str">
        <f t="shared" si="41"/>
        <v/>
      </c>
      <c r="AA300" s="194" t="str">
        <f t="shared" si="47"/>
        <v/>
      </c>
      <c r="AB300" s="194" t="str">
        <f t="shared" si="48"/>
        <v/>
      </c>
      <c r="AC300" s="194" t="str">
        <f t="shared" si="42"/>
        <v/>
      </c>
      <c r="AD300" t="str">
        <f t="shared" si="49"/>
        <v/>
      </c>
      <c r="AE300" s="194" t="str">
        <f t="shared" si="50"/>
        <v/>
      </c>
      <c r="AF300" s="194" t="str">
        <f t="shared" si="51"/>
        <v/>
      </c>
      <c r="AG300" s="245" t="str">
        <f>IF(ISNUMBER(SEARCH("C", 'Dry_Litterbag Placem_Collection'!$V7)),"YES","NO")</f>
        <v>NO</v>
      </c>
      <c r="AH300" s="245" t="str">
        <f>IF(ISNUMBER(SEARCH("H", 'Dry_Litterbag Placem_Collection'!$V7)),"YES","NO")</f>
        <v>NO</v>
      </c>
      <c r="AI300" s="245" t="str">
        <f>IF(ISNUMBER(SEARCH("R", 'Dry_Litterbag Placem_Collection'!$V7)),"YES","NO")</f>
        <v>NO</v>
      </c>
      <c r="AJ300" s="245" t="str">
        <f>IF(ISNUMBER(SEARCH("C", 'Dry_Litterbag Placem_Collection'!$U7)),"YES","NO")</f>
        <v>NO</v>
      </c>
      <c r="AK300" s="245" t="str">
        <f>IF(ISNUMBER(SEARCH("H", 'Dry_Litterbag Placem_Collection'!$U7)),"YES","NO")</f>
        <v>NO</v>
      </c>
      <c r="AL300" s="245" t="str">
        <f>IF(ISNUMBER(SEARCH("R", 'Dry_Litterbag Placem_Collection'!$U7)),"YES","NO")</f>
        <v>NO</v>
      </c>
    </row>
    <row r="301" spans="2:38">
      <c r="B301" t="str">
        <f>Dryseason!B447</f>
        <v>Dry</v>
      </c>
      <c r="C301" s="253">
        <f>Dryseason!C447</f>
        <v>6</v>
      </c>
      <c r="D301" t="s">
        <v>3099</v>
      </c>
      <c r="E301" t="s">
        <v>25</v>
      </c>
      <c r="F301" s="375">
        <v>6</v>
      </c>
      <c r="G301" s="376">
        <f>IF('Dry_Litterbag Placem_Collection'!E8="","",'Dry_Litterbag Placem_Collection'!E8)</f>
        <v>42938</v>
      </c>
      <c r="H301" s="92" t="str">
        <f>Dryseason!L447</f>
        <v>G164</v>
      </c>
      <c r="I301" t="str">
        <f>Dryseason!L667</f>
        <v>R286</v>
      </c>
      <c r="J301">
        <f>IFERROR(INDEX('Green_rooibos initial weight'!$C$5:$C$2000,MATCH(H301, 'Green_rooibos initial weight'!$A$5:$A$2000,0)),"")</f>
        <v>1.994</v>
      </c>
      <c r="K301">
        <f>IFERROR(INDEX('Green_rooibos initial weight'!$C$5:$C$2000,MATCH(I301, 'Green_rooibos initial weight'!$A$5:$A$2000,0)),"")</f>
        <v>2.2160000000000002</v>
      </c>
      <c r="L301" s="194">
        <f t="shared" si="43"/>
        <v>1.7442</v>
      </c>
      <c r="M301" s="233">
        <f>AVERAGE(Ashed_controlls!$K$1:$K$11)</f>
        <v>5.5147656768714146</v>
      </c>
      <c r="N301" s="194">
        <f t="shared" si="39"/>
        <v>1.6480114570640088</v>
      </c>
      <c r="O301" s="194">
        <f t="shared" si="44"/>
        <v>1.9662000000000002</v>
      </c>
      <c r="P301" s="233">
        <f>AVERAGE(Ashed_controlls!$K$12:$K$14)</f>
        <v>2.2816647271287041</v>
      </c>
      <c r="Q301" s="194">
        <f t="shared" si="40"/>
        <v>1.9213379081351956</v>
      </c>
      <c r="R301" s="376">
        <f>IF('Dry_Litterbag Placem_Collection'!G8="","",'Dry_Litterbag Placem_Collection'!G8)</f>
        <v>43007</v>
      </c>
      <c r="S301" s="194" t="str">
        <f>IFERROR(INDEX('Both teabags AfterDry'!$D$3:$D$2000,MATCH(H301,'Both teabags AfterDry'!$A$3:$A$2000,0)),"")</f>
        <v/>
      </c>
      <c r="T301" s="194" t="str">
        <f>IFERROR(INDEX('Both teabags AfterDry'!$D$3:$D$2000,MATCH(I301,'Both teabags AfterDry'!$A$3:$A$2000,0)),"")</f>
        <v/>
      </c>
      <c r="U301" s="194" t="str">
        <f t="shared" si="45"/>
        <v/>
      </c>
      <c r="V301" s="194" t="str">
        <f t="shared" si="46"/>
        <v/>
      </c>
      <c r="W301" s="194" t="str">
        <f>IFERROR(INDEX('Ashed teabags dry'!$K$2:$K$2000,MATCH(H301,'Ashed teabags dry'!$A$2:$A$2000,0)),"")</f>
        <v/>
      </c>
      <c r="X301" s="194" t="str">
        <f>IFERROR(INDEX('Ashed teabags dry'!$K$2:$K$2000,MATCH(I301,'Ashed teabags dry'!$A$2:$A$2000,0)),"")</f>
        <v/>
      </c>
      <c r="Y301" s="194" t="str">
        <f t="shared" si="41"/>
        <v/>
      </c>
      <c r="Z301" s="194" t="str">
        <f t="shared" si="41"/>
        <v/>
      </c>
      <c r="AA301" s="194" t="str">
        <f t="shared" si="47"/>
        <v/>
      </c>
      <c r="AB301" s="194" t="str">
        <f t="shared" si="48"/>
        <v/>
      </c>
      <c r="AC301" s="194" t="str">
        <f t="shared" si="42"/>
        <v/>
      </c>
      <c r="AD301">
        <f t="shared" si="49"/>
        <v>69</v>
      </c>
      <c r="AE301" s="194" t="str">
        <f t="shared" si="50"/>
        <v/>
      </c>
      <c r="AF301" s="194" t="str">
        <f t="shared" si="51"/>
        <v/>
      </c>
      <c r="AG301" s="245" t="str">
        <f>IF(ISNUMBER(SEARCH("C", 'Dry_Litterbag Placem_Collection'!$V8)),"YES","NO")</f>
        <v>NO</v>
      </c>
      <c r="AH301" s="245" t="str">
        <f>IF(ISNUMBER(SEARCH("H", 'Dry_Litterbag Placem_Collection'!$V8)),"YES","NO")</f>
        <v>NO</v>
      </c>
      <c r="AI301" s="245" t="str">
        <f>IF(ISNUMBER(SEARCH("R", 'Dry_Litterbag Placem_Collection'!$V8)),"YES","NO")</f>
        <v>NO</v>
      </c>
      <c r="AJ301" s="245" t="str">
        <f>IF(ISNUMBER(SEARCH("C", 'Dry_Litterbag Placem_Collection'!$U8)),"YES","NO")</f>
        <v>NO</v>
      </c>
      <c r="AK301" s="245" t="str">
        <f>IF(ISNUMBER(SEARCH("H", 'Dry_Litterbag Placem_Collection'!$U8)),"YES","NO")</f>
        <v>NO</v>
      </c>
      <c r="AL301" s="245" t="str">
        <f>IF(ISNUMBER(SEARCH("R", 'Dry_Litterbag Placem_Collection'!$U8)),"YES","NO")</f>
        <v>NO</v>
      </c>
    </row>
    <row r="302" spans="2:38">
      <c r="B302" t="str">
        <f>Dryseason!B448</f>
        <v>Dry</v>
      </c>
      <c r="C302" s="253">
        <f>Dryseason!C448</f>
        <v>7</v>
      </c>
      <c r="D302" t="s">
        <v>3099</v>
      </c>
      <c r="E302" t="s">
        <v>25</v>
      </c>
      <c r="F302" s="375">
        <v>7</v>
      </c>
      <c r="G302" s="376">
        <f>IF('Dry_Litterbag Placem_Collection'!E9="","",'Dry_Litterbag Placem_Collection'!E9)</f>
        <v>42938</v>
      </c>
      <c r="H302" s="92" t="str">
        <f>Dryseason!L448</f>
        <v>G776</v>
      </c>
      <c r="I302" t="str">
        <f>Dryseason!L668</f>
        <v>R210</v>
      </c>
      <c r="J302">
        <f>IFERROR(INDEX('Green_rooibos initial weight'!$C$5:$C$2000,MATCH(H302, 'Green_rooibos initial weight'!$A$5:$A$2000,0)),"")</f>
        <v>1.9790000000000001</v>
      </c>
      <c r="K302">
        <f>IFERROR(INDEX('Green_rooibos initial weight'!$C$5:$C$2000,MATCH(I302, 'Green_rooibos initial weight'!$A$5:$A$2000,0)),"")</f>
        <v>2.2429999999999999</v>
      </c>
      <c r="L302" s="194">
        <f t="shared" si="43"/>
        <v>1.7292000000000001</v>
      </c>
      <c r="M302" s="233">
        <f>AVERAGE(Ashed_controlls!$K$1:$K$11)</f>
        <v>5.5147656768714146</v>
      </c>
      <c r="N302" s="194">
        <f t="shared" si="39"/>
        <v>1.6338386719155396</v>
      </c>
      <c r="O302" s="194">
        <f t="shared" si="44"/>
        <v>1.9931999999999999</v>
      </c>
      <c r="P302" s="233">
        <f>AVERAGE(Ashed_controlls!$K$12:$K$14)</f>
        <v>2.2816647271287041</v>
      </c>
      <c r="Q302" s="194">
        <f t="shared" si="40"/>
        <v>1.9477218586588705</v>
      </c>
      <c r="R302" s="376">
        <f>IF('Dry_Litterbag Placem_Collection'!G9="","",'Dry_Litterbag Placem_Collection'!G9)</f>
        <v>43007</v>
      </c>
      <c r="S302" s="194">
        <f>IFERROR(INDEX('Both teabags AfterDry'!$D$3:$D$2000,MATCH(H302,'Both teabags AfterDry'!$A$3:$A$2000,0)),"")</f>
        <v>1.8093999999999999</v>
      </c>
      <c r="T302" s="194">
        <f>IFERROR(INDEX('Both teabags AfterDry'!$D$3:$D$2000,MATCH(I302,'Both teabags AfterDry'!$A$3:$A$2000,0)),"")</f>
        <v>2.0261</v>
      </c>
      <c r="U302" s="194">
        <f t="shared" si="45"/>
        <v>1.6587999999999998</v>
      </c>
      <c r="V302" s="194">
        <f t="shared" si="46"/>
        <v>1.8754999999999999</v>
      </c>
      <c r="W302" s="194">
        <f>IFERROR(INDEX('Ashed teabags dry'!$K$2:$K$2000,MATCH(H302,'Ashed teabags dry'!$A$2:$A$2000,0)),"")</f>
        <v>5.924510272335799</v>
      </c>
      <c r="X302" s="194">
        <f>IFERROR(INDEX('Ashed teabags dry'!$K$2:$K$2000,MATCH(I302,'Ashed teabags dry'!$A$2:$A$2000,0)),"")</f>
        <v>3.0331753554506005</v>
      </c>
      <c r="Y302" s="194">
        <f t="shared" si="41"/>
        <v>1.5605242236024937</v>
      </c>
      <c r="Z302" s="194">
        <f t="shared" si="41"/>
        <v>1.8186127962085239</v>
      </c>
      <c r="AA302" s="194">
        <f t="shared" si="47"/>
        <v>4.4872513775849665E-2</v>
      </c>
      <c r="AB302" s="194">
        <f t="shared" si="48"/>
        <v>2.9417609981317146E-2</v>
      </c>
      <c r="AC302" s="194">
        <f t="shared" si="42"/>
        <v>0.93371278251236223</v>
      </c>
      <c r="AD302">
        <f t="shared" si="49"/>
        <v>69</v>
      </c>
      <c r="AE302" s="194">
        <f t="shared" si="50"/>
        <v>0.94670722829471532</v>
      </c>
      <c r="AF302" s="194" t="str">
        <f t="shared" si="51"/>
        <v/>
      </c>
      <c r="AG302" s="245" t="str">
        <f>IF(ISNUMBER(SEARCH("C", 'Dry_Litterbag Placem_Collection'!$V9)),"YES","NO")</f>
        <v>NO</v>
      </c>
      <c r="AH302" s="245" t="str">
        <f>IF(ISNUMBER(SEARCH("H", 'Dry_Litterbag Placem_Collection'!$V9)),"YES","NO")</f>
        <v>NO</v>
      </c>
      <c r="AI302" s="245" t="str">
        <f>IF(ISNUMBER(SEARCH("R", 'Dry_Litterbag Placem_Collection'!$V9)),"YES","NO")</f>
        <v>NO</v>
      </c>
      <c r="AJ302" s="245" t="str">
        <f>IF(ISNUMBER(SEARCH("C", 'Dry_Litterbag Placem_Collection'!$U9)),"YES","NO")</f>
        <v>NO</v>
      </c>
      <c r="AK302" s="245" t="str">
        <f>IF(ISNUMBER(SEARCH("H", 'Dry_Litterbag Placem_Collection'!$U9)),"YES","NO")</f>
        <v>NO</v>
      </c>
      <c r="AL302" s="245" t="str">
        <f>IF(ISNUMBER(SEARCH("R", 'Dry_Litterbag Placem_Collection'!$U9)),"YES","NO")</f>
        <v>NO</v>
      </c>
    </row>
    <row r="303" spans="2:38">
      <c r="B303" t="str">
        <f>Dryseason!B449</f>
        <v>Dry</v>
      </c>
      <c r="C303" s="253">
        <f>Dryseason!C449</f>
        <v>8</v>
      </c>
      <c r="D303" t="s">
        <v>3099</v>
      </c>
      <c r="E303" t="s">
        <v>25</v>
      </c>
      <c r="F303" s="375">
        <v>8</v>
      </c>
      <c r="G303" s="376">
        <f>IF('Dry_Litterbag Placem_Collection'!E10="","",'Dry_Litterbag Placem_Collection'!E10)</f>
        <v>42938</v>
      </c>
      <c r="H303" s="92" t="str">
        <f>Dryseason!L449</f>
        <v>G23</v>
      </c>
      <c r="I303" t="str">
        <f>Dryseason!L669</f>
        <v>R213</v>
      </c>
      <c r="J303">
        <f>IFERROR(INDEX('Green_rooibos initial weight'!$C$5:$C$2000,MATCH(H303, 'Green_rooibos initial weight'!$A$5:$A$2000,0)),"")</f>
        <v>2.0750000000000002</v>
      </c>
      <c r="K303">
        <f>IFERROR(INDEX('Green_rooibos initial weight'!$C$5:$C$2000,MATCH(I303, 'Green_rooibos initial weight'!$A$5:$A$2000,0)),"")</f>
        <v>2.254</v>
      </c>
      <c r="L303" s="194">
        <f t="shared" si="43"/>
        <v>1.8252000000000002</v>
      </c>
      <c r="M303" s="233">
        <f>AVERAGE(Ashed_controlls!$K$1:$K$11)</f>
        <v>5.5147656768714146</v>
      </c>
      <c r="N303" s="194">
        <f t="shared" si="39"/>
        <v>1.7245444968657431</v>
      </c>
      <c r="O303" s="194">
        <f t="shared" si="44"/>
        <v>2.0042</v>
      </c>
      <c r="P303" s="233">
        <f>AVERAGE(Ashed_controlls!$K$12:$K$14)</f>
        <v>2.2816647271287041</v>
      </c>
      <c r="Q303" s="194">
        <f t="shared" si="40"/>
        <v>1.9584708755388864</v>
      </c>
      <c r="R303" s="376">
        <f>IF('Dry_Litterbag Placem_Collection'!G10="","",'Dry_Litterbag Placem_Collection'!G10)</f>
        <v>43007</v>
      </c>
      <c r="S303" s="194">
        <f>IFERROR(INDEX('Both teabags AfterDry'!$D$3:$D$2000,MATCH(H303,'Both teabags AfterDry'!$A$3:$A$2000,0)),"")</f>
        <v>0.94159999999999999</v>
      </c>
      <c r="T303" s="194">
        <f>IFERROR(INDEX('Both teabags AfterDry'!$D$3:$D$2000,MATCH(I303,'Both teabags AfterDry'!$A$3:$A$2000,0)),"")</f>
        <v>1.7698</v>
      </c>
      <c r="U303" s="194">
        <f t="shared" si="45"/>
        <v>0.79099999999999993</v>
      </c>
      <c r="V303" s="194">
        <f t="shared" si="46"/>
        <v>1.6192</v>
      </c>
      <c r="W303" s="194">
        <f>IFERROR(INDEX('Ashed teabags dry'!$K$2:$K$2000,MATCH(H303,'Ashed teabags dry'!$A$2:$A$2000,0)),"")</f>
        <v>19.020979020979762</v>
      </c>
      <c r="X303" s="194">
        <f>IFERROR(INDEX('Ashed teabags dry'!$K$2:$K$2000,MATCH(I303,'Ashed teabags dry'!$A$2:$A$2000,0)),"")</f>
        <v>2.3334747560458351</v>
      </c>
      <c r="Y303" s="194">
        <f t="shared" si="41"/>
        <v>0.64054405594405006</v>
      </c>
      <c r="Z303" s="194">
        <f t="shared" si="41"/>
        <v>1.5814163767501057</v>
      </c>
      <c r="AA303" s="194">
        <f t="shared" si="47"/>
        <v>0.62857203330606959</v>
      </c>
      <c r="AB303" s="194">
        <f t="shared" si="48"/>
        <v>0.41208047789186514</v>
      </c>
      <c r="AC303" s="194">
        <f t="shared" si="42"/>
        <v>0.80747505439158929</v>
      </c>
      <c r="AD303">
        <f t="shared" si="49"/>
        <v>69</v>
      </c>
      <c r="AE303" s="194">
        <f t="shared" si="50"/>
        <v>0.25347739512343281</v>
      </c>
      <c r="AF303" s="194">
        <f t="shared" si="51"/>
        <v>9.1248328983769104E-3</v>
      </c>
      <c r="AG303" s="245" t="str">
        <f>IF(ISNUMBER(SEARCH("C", 'Dry_Litterbag Placem_Collection'!$V10)),"YES","NO")</f>
        <v>NO</v>
      </c>
      <c r="AH303" s="245" t="str">
        <f>IF(ISNUMBER(SEARCH("H", 'Dry_Litterbag Placem_Collection'!$V10)),"YES","NO")</f>
        <v>NO</v>
      </c>
      <c r="AI303" s="245" t="str">
        <f>IF(ISNUMBER(SEARCH("R", 'Dry_Litterbag Placem_Collection'!$V10)),"YES","NO")</f>
        <v>NO</v>
      </c>
      <c r="AJ303" s="245" t="str">
        <f>IF(ISNUMBER(SEARCH("C", 'Dry_Litterbag Placem_Collection'!$U10)),"YES","NO")</f>
        <v>NO</v>
      </c>
      <c r="AK303" s="245" t="str">
        <f>IF(ISNUMBER(SEARCH("H", 'Dry_Litterbag Placem_Collection'!$U10)),"YES","NO")</f>
        <v>NO</v>
      </c>
      <c r="AL303" s="245" t="str">
        <f>IF(ISNUMBER(SEARCH("R", 'Dry_Litterbag Placem_Collection'!$U10)),"YES","NO")</f>
        <v>YES</v>
      </c>
    </row>
    <row r="304" spans="2:38">
      <c r="B304" t="str">
        <f>Dryseason!B450</f>
        <v>Dry</v>
      </c>
      <c r="C304" s="253">
        <f>Dryseason!C450</f>
        <v>9</v>
      </c>
      <c r="D304" t="s">
        <v>3103</v>
      </c>
      <c r="E304" t="s">
        <v>25</v>
      </c>
      <c r="F304" s="374">
        <v>1</v>
      </c>
      <c r="G304" s="376">
        <f>IF('Dry_Litterbag Placem_Collection'!E11="","",'Dry_Litterbag Placem_Collection'!E11)</f>
        <v>42938</v>
      </c>
      <c r="H304" s="92" t="str">
        <f>Dryseason!L450</f>
        <v>G570</v>
      </c>
      <c r="I304" t="str">
        <f>Dryseason!L670</f>
        <v>R704</v>
      </c>
      <c r="J304">
        <f>IFERROR(INDEX('Green_rooibos initial weight'!$C$5:$C$2000,MATCH(H304, 'Green_rooibos initial weight'!$A$5:$A$2000,0)),"")</f>
        <v>2.1040000000000001</v>
      </c>
      <c r="K304">
        <f>IFERROR(INDEX('Green_rooibos initial weight'!$C$5:$C$2000,MATCH(I304, 'Green_rooibos initial weight'!$A$5:$A$2000,0)),"")</f>
        <v>2.1480000000000001</v>
      </c>
      <c r="L304" s="194">
        <f t="shared" si="43"/>
        <v>1.8542000000000001</v>
      </c>
      <c r="M304" s="233">
        <f>AVERAGE(Ashed_controlls!$K$1:$K$11)</f>
        <v>5.5147656768714146</v>
      </c>
      <c r="N304" s="194">
        <f t="shared" si="39"/>
        <v>1.7519452148194503</v>
      </c>
      <c r="O304" s="194">
        <f t="shared" si="44"/>
        <v>1.8982000000000001</v>
      </c>
      <c r="P304" s="233">
        <f>AVERAGE(Ashed_controlls!$K$12:$K$14)</f>
        <v>2.2816647271287041</v>
      </c>
      <c r="Q304" s="194">
        <f t="shared" si="40"/>
        <v>1.854889440149643</v>
      </c>
      <c r="R304" s="376">
        <f>IF('Dry_Litterbag Placem_Collection'!G11="","",'Dry_Litterbag Placem_Collection'!G11)</f>
        <v>43007</v>
      </c>
      <c r="S304" s="194">
        <f>IFERROR(INDEX('Both teabags AfterDry'!$D$3:$D$2000,MATCH(H304,'Both teabags AfterDry'!$A$3:$A$2000,0)),"")</f>
        <v>1.9100999999999999</v>
      </c>
      <c r="T304" s="194">
        <f>IFERROR(INDEX('Both teabags AfterDry'!$D$3:$D$2000,MATCH(I304,'Both teabags AfterDry'!$A$3:$A$2000,0)),"")</f>
        <v>1.9311</v>
      </c>
      <c r="U304" s="194">
        <f t="shared" si="45"/>
        <v>1.7594999999999998</v>
      </c>
      <c r="V304" s="194">
        <f t="shared" si="46"/>
        <v>1.7805</v>
      </c>
      <c r="W304" s="194">
        <f>IFERROR(INDEX('Ashed teabags dry'!$K$2:$K$2000,MATCH(H304,'Ashed teabags dry'!$A$2:$A$2000,0)),"")</f>
        <v>5.923344947734277</v>
      </c>
      <c r="X304" s="194">
        <f>IFERROR(INDEX('Ashed teabags dry'!$K$2:$K$2000,MATCH(I304,'Ashed teabags dry'!$A$2:$A$2000,0)),"")</f>
        <v>2.4847632442568237</v>
      </c>
      <c r="Y304" s="194">
        <f t="shared" si="41"/>
        <v>1.6552787456446152</v>
      </c>
      <c r="Z304" s="194">
        <f t="shared" si="41"/>
        <v>1.7362587904360072</v>
      </c>
      <c r="AA304" s="194">
        <f t="shared" si="47"/>
        <v>5.5176650706396213E-2</v>
      </c>
      <c r="AB304" s="194">
        <f t="shared" si="48"/>
        <v>3.6172816140060238E-2</v>
      </c>
      <c r="AC304" s="194">
        <f t="shared" si="42"/>
        <v>0.93604435545006648</v>
      </c>
      <c r="AD304">
        <f t="shared" si="49"/>
        <v>69</v>
      </c>
      <c r="AE304" s="194">
        <f t="shared" si="50"/>
        <v>0.93446953597815174</v>
      </c>
      <c r="AF304" s="194" t="str">
        <f t="shared" si="51"/>
        <v/>
      </c>
      <c r="AG304" s="245" t="str">
        <f>IF(ISNUMBER(SEARCH("C", 'Dry_Litterbag Placem_Collection'!$V11)),"YES","NO")</f>
        <v>NO</v>
      </c>
      <c r="AH304" s="245" t="str">
        <f>IF(ISNUMBER(SEARCH("H", 'Dry_Litterbag Placem_Collection'!$V11)),"YES","NO")</f>
        <v>NO</v>
      </c>
      <c r="AI304" s="245" t="str">
        <f>IF(ISNUMBER(SEARCH("R", 'Dry_Litterbag Placem_Collection'!$V11)),"YES","NO")</f>
        <v>NO</v>
      </c>
      <c r="AJ304" s="245" t="str">
        <f>IF(ISNUMBER(SEARCH("C", 'Dry_Litterbag Placem_Collection'!$U11)),"YES","NO")</f>
        <v>NO</v>
      </c>
      <c r="AK304" s="245" t="str">
        <f>IF(ISNUMBER(SEARCH("H", 'Dry_Litterbag Placem_Collection'!$U11)),"YES","NO")</f>
        <v>NO</v>
      </c>
      <c r="AL304" s="245" t="str">
        <f>IF(ISNUMBER(SEARCH("R", 'Dry_Litterbag Placem_Collection'!$U11)),"YES","NO")</f>
        <v>NO</v>
      </c>
    </row>
    <row r="305" spans="2:38">
      <c r="B305" t="str">
        <f>Dryseason!B451</f>
        <v>Dry</v>
      </c>
      <c r="C305" s="253">
        <f>Dryseason!C451</f>
        <v>10</v>
      </c>
      <c r="D305" t="s">
        <v>3103</v>
      </c>
      <c r="E305" t="s">
        <v>25</v>
      </c>
      <c r="F305" s="374">
        <v>2</v>
      </c>
      <c r="G305" s="376">
        <f>IF('Dry_Litterbag Placem_Collection'!E12="","",'Dry_Litterbag Placem_Collection'!E12)</f>
        <v>42938</v>
      </c>
      <c r="H305" s="92" t="str">
        <f>Dryseason!L451</f>
        <v>G642</v>
      </c>
      <c r="I305" t="str">
        <f>Dryseason!L671</f>
        <v>R355</v>
      </c>
      <c r="J305">
        <f>IFERROR(INDEX('Green_rooibos initial weight'!$C$5:$C$2000,MATCH(H305, 'Green_rooibos initial weight'!$A$5:$A$2000,0)),"")</f>
        <v>2.1269999999999998</v>
      </c>
      <c r="K305">
        <f>IFERROR(INDEX('Green_rooibos initial weight'!$C$5:$C$2000,MATCH(I305, 'Green_rooibos initial weight'!$A$5:$A$2000,0)),"")</f>
        <v>2.1850000000000001</v>
      </c>
      <c r="L305" s="194">
        <f t="shared" si="43"/>
        <v>1.8771999999999998</v>
      </c>
      <c r="M305" s="233">
        <f>AVERAGE(Ashed_controlls!$K$1:$K$11)</f>
        <v>5.5147656768714146</v>
      </c>
      <c r="N305" s="194">
        <f t="shared" si="39"/>
        <v>1.7736768187137695</v>
      </c>
      <c r="O305" s="194">
        <f t="shared" si="44"/>
        <v>1.9352</v>
      </c>
      <c r="P305" s="233">
        <f>AVERAGE(Ashed_controlls!$K$12:$K$14)</f>
        <v>2.2816647271287041</v>
      </c>
      <c r="Q305" s="194">
        <f t="shared" si="40"/>
        <v>1.8910452242006053</v>
      </c>
      <c r="R305" s="376" t="str">
        <f>IF('Dry_Litterbag Placem_Collection'!G12="","",'Dry_Litterbag Placem_Collection'!G12)</f>
        <v/>
      </c>
      <c r="S305" s="194" t="str">
        <f>IFERROR(INDEX('Both teabags AfterDry'!$D$3:$D$2000,MATCH(H305,'Both teabags AfterDry'!$A$3:$A$2000,0)),"")</f>
        <v/>
      </c>
      <c r="T305" s="194" t="str">
        <f>IFERROR(INDEX('Both teabags AfterDry'!$D$3:$D$2000,MATCH(I305,'Both teabags AfterDry'!$A$3:$A$2000,0)),"")</f>
        <v/>
      </c>
      <c r="U305" s="194" t="str">
        <f t="shared" si="45"/>
        <v/>
      </c>
      <c r="V305" s="194" t="str">
        <f t="shared" si="46"/>
        <v/>
      </c>
      <c r="W305" s="194" t="str">
        <f>IFERROR(INDEX('Ashed teabags dry'!$K$2:$K$2000,MATCH(H305,'Ashed teabags dry'!$A$2:$A$2000,0)),"")</f>
        <v/>
      </c>
      <c r="X305" s="194" t="str">
        <f>IFERROR(INDEX('Ashed teabags dry'!$K$2:$K$2000,MATCH(I305,'Ashed teabags dry'!$A$2:$A$2000,0)),"")</f>
        <v/>
      </c>
      <c r="Y305" s="194" t="str">
        <f t="shared" si="41"/>
        <v/>
      </c>
      <c r="Z305" s="194" t="str">
        <f t="shared" si="41"/>
        <v/>
      </c>
      <c r="AA305" s="194" t="str">
        <f t="shared" si="47"/>
        <v/>
      </c>
      <c r="AB305" s="194" t="str">
        <f t="shared" si="48"/>
        <v/>
      </c>
      <c r="AC305" s="194" t="str">
        <f t="shared" si="42"/>
        <v/>
      </c>
      <c r="AD305" t="str">
        <f t="shared" si="49"/>
        <v/>
      </c>
      <c r="AE305" s="194" t="str">
        <f t="shared" si="50"/>
        <v/>
      </c>
      <c r="AF305" s="194" t="str">
        <f t="shared" si="51"/>
        <v/>
      </c>
      <c r="AG305" s="245" t="str">
        <f>IF(ISNUMBER(SEARCH("C", 'Dry_Litterbag Placem_Collection'!$V12)),"YES","NO")</f>
        <v>NO</v>
      </c>
      <c r="AH305" s="245" t="str">
        <f>IF(ISNUMBER(SEARCH("H", 'Dry_Litterbag Placem_Collection'!$V12)),"YES","NO")</f>
        <v>NO</v>
      </c>
      <c r="AI305" s="245" t="str">
        <f>IF(ISNUMBER(SEARCH("R", 'Dry_Litterbag Placem_Collection'!$V12)),"YES","NO")</f>
        <v>NO</v>
      </c>
      <c r="AJ305" s="245" t="str">
        <f>IF(ISNUMBER(SEARCH("C", 'Dry_Litterbag Placem_Collection'!$U12)),"YES","NO")</f>
        <v>NO</v>
      </c>
      <c r="AK305" s="245" t="str">
        <f>IF(ISNUMBER(SEARCH("H", 'Dry_Litterbag Placem_Collection'!$U12)),"YES","NO")</f>
        <v>NO</v>
      </c>
      <c r="AL305" s="245" t="str">
        <f>IF(ISNUMBER(SEARCH("R", 'Dry_Litterbag Placem_Collection'!$U12)),"YES","NO")</f>
        <v>NO</v>
      </c>
    </row>
    <row r="306" spans="2:38">
      <c r="B306" t="str">
        <f>Dryseason!B452</f>
        <v>Dry</v>
      </c>
      <c r="C306" s="253">
        <f>Dryseason!C452</f>
        <v>11</v>
      </c>
      <c r="D306" t="s">
        <v>3103</v>
      </c>
      <c r="E306" t="s">
        <v>25</v>
      </c>
      <c r="F306" s="374">
        <v>3</v>
      </c>
      <c r="G306" s="376">
        <f>IF('Dry_Litterbag Placem_Collection'!E13="","",'Dry_Litterbag Placem_Collection'!E13)</f>
        <v>42938</v>
      </c>
      <c r="H306" s="92" t="str">
        <f>Dryseason!L452</f>
        <v>G663</v>
      </c>
      <c r="I306" t="str">
        <f>Dryseason!L672</f>
        <v>R616</v>
      </c>
      <c r="J306">
        <f>IFERROR(INDEX('Green_rooibos initial weight'!$C$5:$C$2000,MATCH(H306, 'Green_rooibos initial weight'!$A$5:$A$2000,0)),"")</f>
        <v>2.0760000000000001</v>
      </c>
      <c r="K306">
        <f>IFERROR(INDEX('Green_rooibos initial weight'!$C$5:$C$2000,MATCH(I306, 'Green_rooibos initial weight'!$A$5:$A$2000,0)),"")</f>
        <v>2.1739999999999999</v>
      </c>
      <c r="L306" s="194">
        <f t="shared" si="43"/>
        <v>1.8262</v>
      </c>
      <c r="M306" s="233">
        <f>AVERAGE(Ashed_controlls!$K$1:$K$11)</f>
        <v>5.5147656768714146</v>
      </c>
      <c r="N306" s="194">
        <f t="shared" si="39"/>
        <v>1.7254893492089742</v>
      </c>
      <c r="O306" s="194">
        <f t="shared" si="44"/>
        <v>1.9241999999999999</v>
      </c>
      <c r="P306" s="233">
        <f>AVERAGE(Ashed_controlls!$K$12:$K$14)</f>
        <v>2.2816647271287041</v>
      </c>
      <c r="Q306" s="194">
        <f t="shared" si="40"/>
        <v>1.8802962073205893</v>
      </c>
      <c r="R306" s="376">
        <f>IF('Dry_Litterbag Placem_Collection'!G13="","",'Dry_Litterbag Placem_Collection'!G13)</f>
        <v>43007</v>
      </c>
      <c r="S306" s="194">
        <f>IFERROR(INDEX('Both teabags AfterDry'!$D$3:$D$2000,MATCH(H306,'Both teabags AfterDry'!$A$3:$A$2000,0)),"")</f>
        <v>1.6718</v>
      </c>
      <c r="T306" s="194">
        <f>IFERROR(INDEX('Both teabags AfterDry'!$D$3:$D$2000,MATCH(I306,'Both teabags AfterDry'!$A$3:$A$2000,0)),"")</f>
        <v>1.9423999999999999</v>
      </c>
      <c r="U306" s="194">
        <f t="shared" si="45"/>
        <v>1.5211999999999999</v>
      </c>
      <c r="V306" s="194">
        <f t="shared" si="46"/>
        <v>1.7917999999999998</v>
      </c>
      <c r="W306" s="194">
        <f>IFERROR(INDEX('Ashed teabags dry'!$K$2:$K$2000,MATCH(H306,'Ashed teabags dry'!$A$2:$A$2000,0)),"")</f>
        <v>7.9058031959628696</v>
      </c>
      <c r="X306" s="194">
        <f>IFERROR(INDEX('Ashed teabags dry'!$K$2:$K$2000,MATCH(I306,'Ashed teabags dry'!$A$2:$A$2000,0)),"")</f>
        <v>2.5878906250002163</v>
      </c>
      <c r="Y306" s="194">
        <f t="shared" si="41"/>
        <v>1.4009369217830128</v>
      </c>
      <c r="Z306" s="194">
        <f t="shared" si="41"/>
        <v>1.745430175781246</v>
      </c>
      <c r="AA306" s="194">
        <f t="shared" si="47"/>
        <v>0.18809297639231903</v>
      </c>
      <c r="AB306" s="194">
        <f t="shared" si="48"/>
        <v>0.12331035982014267</v>
      </c>
      <c r="AC306" s="194">
        <f t="shared" si="42"/>
        <v>0.92827405011281361</v>
      </c>
      <c r="AD306">
        <f t="shared" si="49"/>
        <v>69</v>
      </c>
      <c r="AE306" s="194">
        <f t="shared" si="50"/>
        <v>0.77661166699249518</v>
      </c>
      <c r="AF306" s="194">
        <f t="shared" si="51"/>
        <v>1.2630216436767745E-2</v>
      </c>
      <c r="AG306" s="245" t="str">
        <f>IF(ISNUMBER(SEARCH("C", 'Dry_Litterbag Placem_Collection'!$V13)),"YES","NO")</f>
        <v>NO</v>
      </c>
      <c r="AH306" s="245" t="str">
        <f>IF(ISNUMBER(SEARCH("H", 'Dry_Litterbag Placem_Collection'!$V13)),"YES","NO")</f>
        <v>NO</v>
      </c>
      <c r="AI306" s="245" t="str">
        <f>IF(ISNUMBER(SEARCH("R", 'Dry_Litterbag Placem_Collection'!$V13)),"YES","NO")</f>
        <v>NO</v>
      </c>
      <c r="AJ306" s="245" t="str">
        <f>IF(ISNUMBER(SEARCH("C", 'Dry_Litterbag Placem_Collection'!$U13)),"YES","NO")</f>
        <v>NO</v>
      </c>
      <c r="AK306" s="245" t="str">
        <f>IF(ISNUMBER(SEARCH("H", 'Dry_Litterbag Placem_Collection'!$U13)),"YES","NO")</f>
        <v>NO</v>
      </c>
      <c r="AL306" s="245" t="str">
        <f>IF(ISNUMBER(SEARCH("R", 'Dry_Litterbag Placem_Collection'!$U13)),"YES","NO")</f>
        <v>NO</v>
      </c>
    </row>
    <row r="307" spans="2:38">
      <c r="B307" t="str">
        <f>Dryseason!B453</f>
        <v>Dry</v>
      </c>
      <c r="C307" s="253">
        <f>Dryseason!C453</f>
        <v>12</v>
      </c>
      <c r="D307" t="s">
        <v>3103</v>
      </c>
      <c r="E307" t="s">
        <v>25</v>
      </c>
      <c r="F307" s="375">
        <v>4</v>
      </c>
      <c r="G307" s="376" t="str">
        <f>IF('Dry_Litterbag Placem_Collection'!E14="","",'Dry_Litterbag Placem_Collection'!E14)</f>
        <v/>
      </c>
      <c r="H307" s="92" t="str">
        <f>Dryseason!L453</f>
        <v/>
      </c>
      <c r="I307" t="str">
        <f>Dryseason!L673</f>
        <v/>
      </c>
      <c r="J307" t="str">
        <f>IFERROR(INDEX('Green_rooibos initial weight'!$C$5:$C$2000,MATCH(H307, 'Green_rooibos initial weight'!$A$5:$A$2000,0)),"")</f>
        <v/>
      </c>
      <c r="K307" t="str">
        <f>IFERROR(INDEX('Green_rooibos initial weight'!$C$5:$C$2000,MATCH(I307, 'Green_rooibos initial weight'!$A$5:$A$2000,0)),"")</f>
        <v/>
      </c>
      <c r="L307" s="194" t="str">
        <f t="shared" si="43"/>
        <v/>
      </c>
      <c r="M307" s="233">
        <f>AVERAGE(Ashed_controlls!$K$1:$K$11)</f>
        <v>5.5147656768714146</v>
      </c>
      <c r="N307" s="194" t="str">
        <f t="shared" si="39"/>
        <v/>
      </c>
      <c r="O307" s="194" t="str">
        <f t="shared" si="44"/>
        <v/>
      </c>
      <c r="P307" s="233">
        <f>AVERAGE(Ashed_controlls!$K$12:$K$14)</f>
        <v>2.2816647271287041</v>
      </c>
      <c r="Q307" s="194" t="str">
        <f t="shared" si="40"/>
        <v/>
      </c>
      <c r="R307" s="376" t="str">
        <f>IF('Dry_Litterbag Placem_Collection'!G14="","",'Dry_Litterbag Placem_Collection'!G14)</f>
        <v/>
      </c>
      <c r="S307" s="194" t="str">
        <f>IFERROR(INDEX('Both teabags AfterDry'!$D$3:$D$2000,MATCH(H307,'Both teabags AfterDry'!$A$3:$A$2000,0)),"")</f>
        <v/>
      </c>
      <c r="T307" s="194" t="str">
        <f>IFERROR(INDEX('Both teabags AfterDry'!$D$3:$D$2000,MATCH(I307,'Both teabags AfterDry'!$A$3:$A$2000,0)),"")</f>
        <v/>
      </c>
      <c r="U307" s="194" t="str">
        <f t="shared" si="45"/>
        <v/>
      </c>
      <c r="V307" s="194" t="str">
        <f t="shared" si="46"/>
        <v/>
      </c>
      <c r="W307" s="194" t="str">
        <f>IFERROR(INDEX('Ashed teabags dry'!$K$2:$K$2000,MATCH(H307,'Ashed teabags dry'!$A$2:$A$2000,0)),"")</f>
        <v/>
      </c>
      <c r="X307" s="194" t="str">
        <f>IFERROR(INDEX('Ashed teabags dry'!$K$2:$K$2000,MATCH(I307,'Ashed teabags dry'!$A$2:$A$2000,0)),"")</f>
        <v/>
      </c>
      <c r="Y307" s="194" t="str">
        <f t="shared" si="41"/>
        <v/>
      </c>
      <c r="Z307" s="194" t="str">
        <f t="shared" si="41"/>
        <v/>
      </c>
      <c r="AA307" s="194" t="str">
        <f t="shared" si="47"/>
        <v/>
      </c>
      <c r="AB307" s="194" t="str">
        <f t="shared" si="48"/>
        <v/>
      </c>
      <c r="AC307" s="194" t="str">
        <f t="shared" si="42"/>
        <v/>
      </c>
      <c r="AD307" t="str">
        <f t="shared" si="49"/>
        <v/>
      </c>
      <c r="AE307" s="194" t="str">
        <f t="shared" si="50"/>
        <v/>
      </c>
      <c r="AF307" s="194" t="str">
        <f t="shared" si="51"/>
        <v/>
      </c>
      <c r="AG307" s="245" t="str">
        <f>IF(ISNUMBER(SEARCH("C", 'Dry_Litterbag Placem_Collection'!$V14)),"YES","NO")</f>
        <v>NO</v>
      </c>
      <c r="AH307" s="245" t="str">
        <f>IF(ISNUMBER(SEARCH("H", 'Dry_Litterbag Placem_Collection'!$V14)),"YES","NO")</f>
        <v>NO</v>
      </c>
      <c r="AI307" s="245" t="str">
        <f>IF(ISNUMBER(SEARCH("R", 'Dry_Litterbag Placem_Collection'!$V14)),"YES","NO")</f>
        <v>NO</v>
      </c>
      <c r="AJ307" s="245" t="str">
        <f>IF(ISNUMBER(SEARCH("C", 'Dry_Litterbag Placem_Collection'!$U14)),"YES","NO")</f>
        <v>NO</v>
      </c>
      <c r="AK307" s="245" t="str">
        <f>IF(ISNUMBER(SEARCH("H", 'Dry_Litterbag Placem_Collection'!$U14)),"YES","NO")</f>
        <v>NO</v>
      </c>
      <c r="AL307" s="245" t="str">
        <f>IF(ISNUMBER(SEARCH("R", 'Dry_Litterbag Placem_Collection'!$U14)),"YES","NO")</f>
        <v>NO</v>
      </c>
    </row>
    <row r="308" spans="2:38">
      <c r="B308" t="str">
        <f>Dryseason!B454</f>
        <v>Dry</v>
      </c>
      <c r="C308" s="253">
        <f>Dryseason!C454</f>
        <v>13</v>
      </c>
      <c r="D308" t="s">
        <v>3103</v>
      </c>
      <c r="E308" t="s">
        <v>25</v>
      </c>
      <c r="F308" s="375">
        <v>5</v>
      </c>
      <c r="G308" s="376">
        <f>IF('Dry_Litterbag Placem_Collection'!E15="","",'Dry_Litterbag Placem_Collection'!E15)</f>
        <v>42938</v>
      </c>
      <c r="H308" s="92" t="str">
        <f>Dryseason!L454</f>
        <v>G874</v>
      </c>
      <c r="I308" t="str">
        <f>Dryseason!L674</f>
        <v>R603</v>
      </c>
      <c r="J308">
        <f>IFERROR(INDEX('Green_rooibos initial weight'!$C$5:$C$2000,MATCH(H308, 'Green_rooibos initial weight'!$A$5:$A$2000,0)),"")</f>
        <v>2.032</v>
      </c>
      <c r="K308">
        <f>IFERROR(INDEX('Green_rooibos initial weight'!$C$5:$C$2000,MATCH(I308, 'Green_rooibos initial weight'!$A$5:$A$2000,0)),"")</f>
        <v>2.1440000000000001</v>
      </c>
      <c r="L308" s="194">
        <f t="shared" si="43"/>
        <v>1.7822</v>
      </c>
      <c r="M308" s="233">
        <f>AVERAGE(Ashed_controlls!$K$1:$K$11)</f>
        <v>5.5147656768714146</v>
      </c>
      <c r="N308" s="194">
        <f t="shared" si="39"/>
        <v>1.6839158461067976</v>
      </c>
      <c r="O308" s="194">
        <f t="shared" si="44"/>
        <v>1.8942000000000001</v>
      </c>
      <c r="P308" s="233">
        <f>AVERAGE(Ashed_controlls!$K$12:$K$14)</f>
        <v>2.2816647271287041</v>
      </c>
      <c r="Q308" s="194">
        <f t="shared" si="40"/>
        <v>1.8509807067387283</v>
      </c>
      <c r="R308" s="376">
        <f>IF('Dry_Litterbag Placem_Collection'!G15="","",'Dry_Litterbag Placem_Collection'!G15)</f>
        <v>43007</v>
      </c>
      <c r="S308" s="194">
        <f>IFERROR(INDEX('Both teabags AfterDry'!$D$3:$D$2000,MATCH(H308,'Both teabags AfterDry'!$A$3:$A$2000,0)),"")</f>
        <v>1.361</v>
      </c>
      <c r="T308" s="194">
        <f>IFERROR(INDEX('Both teabags AfterDry'!$D$3:$D$2000,MATCH(I308,'Both teabags AfterDry'!$A$3:$A$2000,0)),"")</f>
        <v>1.9094</v>
      </c>
      <c r="U308" s="194">
        <f t="shared" si="45"/>
        <v>1.2103999999999999</v>
      </c>
      <c r="V308" s="194">
        <f t="shared" si="46"/>
        <v>1.7587999999999999</v>
      </c>
      <c r="W308" s="194">
        <f>IFERROR(INDEX('Ashed teabags dry'!$K$2:$K$2000,MATCH(H308,'Ashed teabags dry'!$A$2:$A$2000,0)),"")</f>
        <v>9.2644320297957403</v>
      </c>
      <c r="X308" s="194">
        <f>IFERROR(INDEX('Ashed teabags dry'!$K$2:$K$2000,MATCH(I308,'Ashed teabags dry'!$A$2:$A$2000,0)),"")</f>
        <v>3.2763532763534955</v>
      </c>
      <c r="Y308" s="194">
        <f t="shared" si="41"/>
        <v>1.0982633147113523</v>
      </c>
      <c r="Z308" s="194">
        <f t="shared" si="41"/>
        <v>1.7011754985754945</v>
      </c>
      <c r="AA308" s="194">
        <f t="shared" si="47"/>
        <v>0.34779204242864636</v>
      </c>
      <c r="AB308" s="194">
        <f t="shared" si="48"/>
        <v>0.22800618458505084</v>
      </c>
      <c r="AC308" s="194">
        <f t="shared" si="42"/>
        <v>0.91906711527686435</v>
      </c>
      <c r="AD308">
        <f t="shared" si="49"/>
        <v>69</v>
      </c>
      <c r="AE308" s="194">
        <f t="shared" si="50"/>
        <v>0.58694531778070502</v>
      </c>
      <c r="AF308" s="194">
        <f t="shared" si="51"/>
        <v>6.3542268542506036E-3</v>
      </c>
      <c r="AG308" s="245" t="str">
        <f>IF(ISNUMBER(SEARCH("C", 'Dry_Litterbag Placem_Collection'!$V15)),"YES","NO")</f>
        <v>NO</v>
      </c>
      <c r="AH308" s="245" t="str">
        <f>IF(ISNUMBER(SEARCH("H", 'Dry_Litterbag Placem_Collection'!$V15)),"YES","NO")</f>
        <v>NO</v>
      </c>
      <c r="AI308" s="245" t="str">
        <f>IF(ISNUMBER(SEARCH("R", 'Dry_Litterbag Placem_Collection'!$V15)),"YES","NO")</f>
        <v>NO</v>
      </c>
      <c r="AJ308" s="245" t="str">
        <f>IF(ISNUMBER(SEARCH("C", 'Dry_Litterbag Placem_Collection'!$U15)),"YES","NO")</f>
        <v>NO</v>
      </c>
      <c r="AK308" s="245" t="str">
        <f>IF(ISNUMBER(SEARCH("H", 'Dry_Litterbag Placem_Collection'!$U15)),"YES","NO")</f>
        <v>NO</v>
      </c>
      <c r="AL308" s="245" t="str">
        <f>IF(ISNUMBER(SEARCH("R", 'Dry_Litterbag Placem_Collection'!$U15)),"YES","NO")</f>
        <v>NO</v>
      </c>
    </row>
    <row r="309" spans="2:38">
      <c r="B309" t="str">
        <f>Dryseason!B455</f>
        <v>Dry</v>
      </c>
      <c r="C309" s="253">
        <f>Dryseason!C455</f>
        <v>14</v>
      </c>
      <c r="D309" t="s">
        <v>3103</v>
      </c>
      <c r="E309" t="s">
        <v>25</v>
      </c>
      <c r="F309" s="375">
        <v>6</v>
      </c>
      <c r="G309" s="376">
        <f>IF('Dry_Litterbag Placem_Collection'!E16="","",'Dry_Litterbag Placem_Collection'!E16)</f>
        <v>42938</v>
      </c>
      <c r="H309" s="92" t="str">
        <f>Dryseason!L455</f>
        <v>G219</v>
      </c>
      <c r="I309" t="str">
        <f>Dryseason!L675</f>
        <v>R652</v>
      </c>
      <c r="J309">
        <f>IFERROR(INDEX('Green_rooibos initial weight'!$C$5:$C$2000,MATCH(H309, 'Green_rooibos initial weight'!$A$5:$A$2000,0)),"")</f>
        <v>2.0110000000000001</v>
      </c>
      <c r="K309">
        <f>IFERROR(INDEX('Green_rooibos initial weight'!$C$5:$C$2000,MATCH(I309, 'Green_rooibos initial weight'!$A$5:$A$2000,0)),"")</f>
        <v>2.2090000000000001</v>
      </c>
      <c r="L309" s="194">
        <f t="shared" si="43"/>
        <v>1.7612000000000001</v>
      </c>
      <c r="M309" s="233">
        <f>AVERAGE(Ashed_controlls!$K$1:$K$11)</f>
        <v>5.5147656768714146</v>
      </c>
      <c r="N309" s="194">
        <f t="shared" si="39"/>
        <v>1.6640739468989407</v>
      </c>
      <c r="O309" s="194">
        <f t="shared" si="44"/>
        <v>1.9592000000000001</v>
      </c>
      <c r="P309" s="233">
        <f>AVERAGE(Ashed_controlls!$K$12:$K$14)</f>
        <v>2.2816647271287041</v>
      </c>
      <c r="Q309" s="194">
        <f t="shared" si="40"/>
        <v>1.9144976246660945</v>
      </c>
      <c r="R309" s="376">
        <f>IF('Dry_Litterbag Placem_Collection'!G16="","",'Dry_Litterbag Placem_Collection'!G16)</f>
        <v>43007</v>
      </c>
      <c r="S309" s="194">
        <f>IFERROR(INDEX('Both teabags AfterDry'!$D$3:$D$2000,MATCH(H309,'Both teabags AfterDry'!$A$3:$A$2000,0)),"")</f>
        <v>0.76939999999999997</v>
      </c>
      <c r="T309" s="194">
        <f>IFERROR(INDEX('Both teabags AfterDry'!$D$3:$D$2000,MATCH(I309,'Both teabags AfterDry'!$A$3:$A$2000,0)),"")</f>
        <v>1.9245000000000001</v>
      </c>
      <c r="U309" s="194">
        <f t="shared" si="45"/>
        <v>0.61880000000000002</v>
      </c>
      <c r="V309" s="194">
        <f t="shared" si="46"/>
        <v>1.7739</v>
      </c>
      <c r="W309" s="194">
        <f>IFERROR(INDEX('Ashed teabags dry'!$K$2:$K$2000,MATCH(H309,'Ashed teabags dry'!$A$2:$A$2000,0)),"")</f>
        <v>15.956439393940133</v>
      </c>
      <c r="X309" s="194">
        <f>IFERROR(INDEX('Ashed teabags dry'!$K$2:$K$2000,MATCH(I309,'Ashed teabags dry'!$A$2:$A$2000,0)),"")</f>
        <v>2.5664115263402163</v>
      </c>
      <c r="Y309" s="194">
        <f t="shared" si="41"/>
        <v>0.52006155303029844</v>
      </c>
      <c r="Z309" s="194">
        <f t="shared" si="41"/>
        <v>1.7283744259342508</v>
      </c>
      <c r="AA309" s="194">
        <f t="shared" si="47"/>
        <v>0.68747689728605443</v>
      </c>
      <c r="AB309" s="194">
        <f t="shared" si="48"/>
        <v>0.4506974433514277</v>
      </c>
      <c r="AC309" s="194">
        <f t="shared" si="42"/>
        <v>0.90278222530346297</v>
      </c>
      <c r="AD309">
        <f t="shared" si="49"/>
        <v>69</v>
      </c>
      <c r="AE309" s="194">
        <f t="shared" si="50"/>
        <v>0.18351912436335571</v>
      </c>
      <c r="AF309" s="194">
        <f t="shared" si="51"/>
        <v>3.521308518753978E-3</v>
      </c>
      <c r="AG309" s="245" t="str">
        <f>IF(ISNUMBER(SEARCH("C", 'Dry_Litterbag Placem_Collection'!$V16)),"YES","NO")</f>
        <v>NO</v>
      </c>
      <c r="AH309" s="245" t="str">
        <f>IF(ISNUMBER(SEARCH("H", 'Dry_Litterbag Placem_Collection'!$V16)),"YES","NO")</f>
        <v>NO</v>
      </c>
      <c r="AI309" s="245" t="str">
        <f>IF(ISNUMBER(SEARCH("R", 'Dry_Litterbag Placem_Collection'!$V16)),"YES","NO")</f>
        <v>NO</v>
      </c>
      <c r="AJ309" s="245" t="str">
        <f>IF(ISNUMBER(SEARCH("C", 'Dry_Litterbag Placem_Collection'!$U16)),"YES","NO")</f>
        <v>NO</v>
      </c>
      <c r="AK309" s="245" t="str">
        <f>IF(ISNUMBER(SEARCH("H", 'Dry_Litterbag Placem_Collection'!$U16)),"YES","NO")</f>
        <v>NO</v>
      </c>
      <c r="AL309" s="245" t="str">
        <f>IF(ISNUMBER(SEARCH("R", 'Dry_Litterbag Placem_Collection'!$U16)),"YES","NO")</f>
        <v>YES</v>
      </c>
    </row>
    <row r="310" spans="2:38">
      <c r="B310" t="str">
        <f>Dryseason!B456</f>
        <v>Dry</v>
      </c>
      <c r="C310" s="253">
        <f>Dryseason!C456</f>
        <v>15</v>
      </c>
      <c r="D310" t="s">
        <v>3103</v>
      </c>
      <c r="E310" t="s">
        <v>25</v>
      </c>
      <c r="F310" s="375">
        <v>7</v>
      </c>
      <c r="G310" s="376">
        <f>IF('Dry_Litterbag Placem_Collection'!E17="","",'Dry_Litterbag Placem_Collection'!E17)</f>
        <v>42938</v>
      </c>
      <c r="H310" s="92" t="str">
        <f>Dryseason!L456</f>
        <v>G630</v>
      </c>
      <c r="I310" t="str">
        <f>Dryseason!L676</f>
        <v>R304</v>
      </c>
      <c r="J310">
        <f>IFERROR(INDEX('Green_rooibos initial weight'!$C$5:$C$2000,MATCH(H310, 'Green_rooibos initial weight'!$A$5:$A$2000,0)),"")</f>
        <v>2.12</v>
      </c>
      <c r="K310">
        <f>IFERROR(INDEX('Green_rooibos initial weight'!$C$5:$C$2000,MATCH(I310, 'Green_rooibos initial weight'!$A$5:$A$2000,0)),"")</f>
        <v>2.1930000000000001</v>
      </c>
      <c r="L310" s="194">
        <f t="shared" si="43"/>
        <v>1.8702000000000001</v>
      </c>
      <c r="M310" s="233">
        <f>AVERAGE(Ashed_controlls!$K$1:$K$11)</f>
        <v>5.5147656768714146</v>
      </c>
      <c r="N310" s="194">
        <f t="shared" si="39"/>
        <v>1.7670628523111509</v>
      </c>
      <c r="O310" s="194">
        <f t="shared" si="44"/>
        <v>1.9432</v>
      </c>
      <c r="P310" s="233">
        <f>AVERAGE(Ashed_controlls!$K$12:$K$14)</f>
        <v>2.2816647271287041</v>
      </c>
      <c r="Q310" s="194">
        <f t="shared" si="40"/>
        <v>1.8988626910224351</v>
      </c>
      <c r="R310" s="376">
        <f>IF('Dry_Litterbag Placem_Collection'!G17="","",'Dry_Litterbag Placem_Collection'!G17)</f>
        <v>43007</v>
      </c>
      <c r="S310" s="194">
        <f>IFERROR(INDEX('Both teabags AfterDry'!$D$3:$D$2000,MATCH(H310,'Both teabags AfterDry'!$A$3:$A$2000,0)),"")</f>
        <v>1.8631</v>
      </c>
      <c r="T310" s="194">
        <f>IFERROR(INDEX('Both teabags AfterDry'!$D$3:$D$2000,MATCH(I310,'Both teabags AfterDry'!$A$3:$A$2000,0)),"")</f>
        <v>1.8989</v>
      </c>
      <c r="U310" s="194">
        <f t="shared" si="45"/>
        <v>1.7124999999999999</v>
      </c>
      <c r="V310" s="194">
        <f t="shared" si="46"/>
        <v>1.7483</v>
      </c>
      <c r="W310" s="194">
        <f>IFERROR(INDEX('Ashed teabags dry'!$K$2:$K$2000,MATCH(H310,'Ashed teabags dry'!$A$2:$A$2000,0)),"")</f>
        <v>6.134371957156727</v>
      </c>
      <c r="X310" s="194">
        <f>IFERROR(INDEX('Ashed teabags dry'!$K$2:$K$2000,MATCH(I310,'Ashed teabags dry'!$A$2:$A$2000,0)),"")</f>
        <v>3.0414746543770974</v>
      </c>
      <c r="Y310" s="194">
        <f t="shared" si="41"/>
        <v>1.607448880233691</v>
      </c>
      <c r="Z310" s="194">
        <f t="shared" si="41"/>
        <v>1.6951258986175253</v>
      </c>
      <c r="AA310" s="194">
        <f t="shared" si="47"/>
        <v>9.0327274928959089E-2</v>
      </c>
      <c r="AB310" s="194">
        <f t="shared" si="48"/>
        <v>5.9216930832286713E-2</v>
      </c>
      <c r="AC310" s="194">
        <f t="shared" si="42"/>
        <v>0.89270588475504331</v>
      </c>
      <c r="AD310">
        <f t="shared" si="49"/>
        <v>69</v>
      </c>
      <c r="AE310" s="194">
        <f t="shared" si="50"/>
        <v>0.89272295139078495</v>
      </c>
      <c r="AF310" s="194" t="str">
        <f t="shared" si="51"/>
        <v/>
      </c>
      <c r="AG310" s="245" t="str">
        <f>IF(ISNUMBER(SEARCH("C", 'Dry_Litterbag Placem_Collection'!$V17)),"YES","NO")</f>
        <v>NO</v>
      </c>
      <c r="AH310" s="245" t="str">
        <f>IF(ISNUMBER(SEARCH("H", 'Dry_Litterbag Placem_Collection'!$V17)),"YES","NO")</f>
        <v>NO</v>
      </c>
      <c r="AI310" s="245" t="str">
        <f>IF(ISNUMBER(SEARCH("R", 'Dry_Litterbag Placem_Collection'!$V17)),"YES","NO")</f>
        <v>NO</v>
      </c>
      <c r="AJ310" s="245" t="str">
        <f>IF(ISNUMBER(SEARCH("C", 'Dry_Litterbag Placem_Collection'!$U17)),"YES","NO")</f>
        <v>NO</v>
      </c>
      <c r="AK310" s="245" t="str">
        <f>IF(ISNUMBER(SEARCH("H", 'Dry_Litterbag Placem_Collection'!$U17)),"YES","NO")</f>
        <v>NO</v>
      </c>
      <c r="AL310" s="245" t="str">
        <f>IF(ISNUMBER(SEARCH("R", 'Dry_Litterbag Placem_Collection'!$U17)),"YES","NO")</f>
        <v>NO</v>
      </c>
    </row>
    <row r="311" spans="2:38">
      <c r="B311" t="str">
        <f>Dryseason!B457</f>
        <v>Dry</v>
      </c>
      <c r="C311" s="253">
        <f>Dryseason!C457</f>
        <v>16</v>
      </c>
      <c r="D311" t="s">
        <v>3103</v>
      </c>
      <c r="E311" t="s">
        <v>25</v>
      </c>
      <c r="F311" s="375">
        <v>8</v>
      </c>
      <c r="G311" s="376">
        <f>IF('Dry_Litterbag Placem_Collection'!E18="","",'Dry_Litterbag Placem_Collection'!E18)</f>
        <v>42938</v>
      </c>
      <c r="H311" s="92" t="str">
        <f>Dryseason!L457</f>
        <v>G662</v>
      </c>
      <c r="I311" t="str">
        <f>Dryseason!L677</f>
        <v>R687</v>
      </c>
      <c r="J311">
        <f>IFERROR(INDEX('Green_rooibos initial weight'!$C$5:$C$2000,MATCH(H311, 'Green_rooibos initial weight'!$A$5:$A$2000,0)),"")</f>
        <v>2.1349999999999998</v>
      </c>
      <c r="K311">
        <f>IFERROR(INDEX('Green_rooibos initial weight'!$C$5:$C$2000,MATCH(I311, 'Green_rooibos initial weight'!$A$5:$A$2000,0)),"")</f>
        <v>2.2029999999999998</v>
      </c>
      <c r="L311" s="194">
        <f t="shared" si="43"/>
        <v>1.8851999999999998</v>
      </c>
      <c r="M311" s="233">
        <f>AVERAGE(Ashed_controlls!$K$1:$K$11)</f>
        <v>5.5147656768714146</v>
      </c>
      <c r="N311" s="194">
        <f t="shared" si="39"/>
        <v>1.7812356374596199</v>
      </c>
      <c r="O311" s="194">
        <f t="shared" si="44"/>
        <v>1.9531999999999998</v>
      </c>
      <c r="P311" s="233">
        <f>AVERAGE(Ashed_controlls!$K$12:$K$14)</f>
        <v>2.2816647271287041</v>
      </c>
      <c r="Q311" s="194">
        <f t="shared" si="40"/>
        <v>1.908634524549722</v>
      </c>
      <c r="R311" s="376">
        <f>IF('Dry_Litterbag Placem_Collection'!G18="","",'Dry_Litterbag Placem_Collection'!G18)</f>
        <v>43007</v>
      </c>
      <c r="S311" s="194" t="str">
        <f>IFERROR(INDEX('Both teabags AfterDry'!$D$3:$D$2000,MATCH(H311,'Both teabags AfterDry'!$A$3:$A$2000,0)),"")</f>
        <v/>
      </c>
      <c r="T311" s="194" t="str">
        <f>IFERROR(INDEX('Both teabags AfterDry'!$D$3:$D$2000,MATCH(I311,'Both teabags AfterDry'!$A$3:$A$2000,0)),"")</f>
        <v/>
      </c>
      <c r="U311" s="194" t="str">
        <f t="shared" si="45"/>
        <v/>
      </c>
      <c r="V311" s="194" t="str">
        <f t="shared" si="46"/>
        <v/>
      </c>
      <c r="W311" s="194" t="str">
        <f>IFERROR(INDEX('Ashed teabags dry'!$K$2:$K$2000,MATCH(H311,'Ashed teabags dry'!$A$2:$A$2000,0)),"")</f>
        <v/>
      </c>
      <c r="X311" s="194" t="str">
        <f>IFERROR(INDEX('Ashed teabags dry'!$K$2:$K$2000,MATCH(I311,'Ashed teabags dry'!$A$2:$A$2000,0)),"")</f>
        <v/>
      </c>
      <c r="Y311" s="194" t="str">
        <f t="shared" si="41"/>
        <v/>
      </c>
      <c r="Z311" s="194" t="str">
        <f t="shared" si="41"/>
        <v/>
      </c>
      <c r="AA311" s="194" t="str">
        <f t="shared" si="47"/>
        <v/>
      </c>
      <c r="AB311" s="194" t="str">
        <f t="shared" si="48"/>
        <v/>
      </c>
      <c r="AC311" s="194" t="str">
        <f t="shared" si="42"/>
        <v/>
      </c>
      <c r="AD311">
        <f t="shared" si="49"/>
        <v>69</v>
      </c>
      <c r="AE311" s="194" t="str">
        <f t="shared" si="50"/>
        <v/>
      </c>
      <c r="AF311" s="194" t="str">
        <f t="shared" si="51"/>
        <v/>
      </c>
      <c r="AG311" s="245" t="str">
        <f>IF(ISNUMBER(SEARCH("C", 'Dry_Litterbag Placem_Collection'!$V18)),"YES","NO")</f>
        <v>NO</v>
      </c>
      <c r="AH311" s="245" t="str">
        <f>IF(ISNUMBER(SEARCH("H", 'Dry_Litterbag Placem_Collection'!$V18)),"YES","NO")</f>
        <v>NO</v>
      </c>
      <c r="AI311" s="245" t="str">
        <f>IF(ISNUMBER(SEARCH("R", 'Dry_Litterbag Placem_Collection'!$V18)),"YES","NO")</f>
        <v>NO</v>
      </c>
      <c r="AJ311" s="245" t="str">
        <f>IF(ISNUMBER(SEARCH("C", 'Dry_Litterbag Placem_Collection'!$U18)),"YES","NO")</f>
        <v>NO</v>
      </c>
      <c r="AK311" s="245" t="str">
        <f>IF(ISNUMBER(SEARCH("H", 'Dry_Litterbag Placem_Collection'!$U18)),"YES","NO")</f>
        <v>NO</v>
      </c>
      <c r="AL311" s="245" t="str">
        <f>IF(ISNUMBER(SEARCH("R", 'Dry_Litterbag Placem_Collection'!$U18)),"YES","NO")</f>
        <v>YES</v>
      </c>
    </row>
    <row r="312" spans="2:38">
      <c r="B312" t="str">
        <f>Dryseason!B458</f>
        <v>Dry</v>
      </c>
      <c r="C312" s="253">
        <f>Dryseason!C458</f>
        <v>17</v>
      </c>
      <c r="D312" t="s">
        <v>3104</v>
      </c>
      <c r="E312" t="s">
        <v>25</v>
      </c>
      <c r="F312" s="374">
        <v>1</v>
      </c>
      <c r="G312" s="376">
        <f>IF('Dry_Litterbag Placem_Collection'!E19="","",'Dry_Litterbag Placem_Collection'!E19)</f>
        <v>42936</v>
      </c>
      <c r="H312" s="92" t="str">
        <f>Dryseason!L458</f>
        <v>G349</v>
      </c>
      <c r="I312" t="str">
        <f>Dryseason!L678</f>
        <v>R407</v>
      </c>
      <c r="J312">
        <f>IFERROR(INDEX('Green_rooibos initial weight'!$C$5:$C$2000,MATCH(H312, 'Green_rooibos initial weight'!$A$5:$A$2000,0)),"")</f>
        <v>1.9450000000000001</v>
      </c>
      <c r="K312">
        <f>IFERROR(INDEX('Green_rooibos initial weight'!$C$5:$C$2000,MATCH(I312, 'Green_rooibos initial weight'!$A$5:$A$2000,0)),"")</f>
        <v>2.1859999999999999</v>
      </c>
      <c r="L312" s="194">
        <f t="shared" si="43"/>
        <v>1.6952</v>
      </c>
      <c r="M312" s="233">
        <f>AVERAGE(Ashed_controlls!$K$1:$K$11)</f>
        <v>5.5147656768714146</v>
      </c>
      <c r="N312" s="194">
        <f t="shared" si="39"/>
        <v>1.6017136922456758</v>
      </c>
      <c r="O312" s="194">
        <f t="shared" si="44"/>
        <v>1.9361999999999999</v>
      </c>
      <c r="P312" s="233">
        <f>AVERAGE(Ashed_controlls!$K$12:$K$14)</f>
        <v>2.2816647271287041</v>
      </c>
      <c r="Q312" s="194">
        <f t="shared" si="40"/>
        <v>1.8920224075533341</v>
      </c>
      <c r="R312" s="376">
        <f>IF('Dry_Litterbag Placem_Collection'!G19="","",'Dry_Litterbag Placem_Collection'!G19)</f>
        <v>43007</v>
      </c>
      <c r="S312" s="194">
        <f>IFERROR(INDEX('Both teabags AfterDry'!$D$3:$D$2000,MATCH(H312,'Both teabags AfterDry'!$A$3:$A$2000,0)),"")</f>
        <v>1.7968</v>
      </c>
      <c r="T312" s="194">
        <f>IFERROR(INDEX('Both teabags AfterDry'!$D$3:$D$2000,MATCH(I312,'Both teabags AfterDry'!$A$3:$A$2000,0)),"")</f>
        <v>2.0062000000000002</v>
      </c>
      <c r="U312" s="194">
        <f t="shared" si="45"/>
        <v>1.6461999999999999</v>
      </c>
      <c r="V312" s="194">
        <f t="shared" si="46"/>
        <v>1.8556000000000001</v>
      </c>
      <c r="W312" s="194">
        <f>IFERROR(INDEX('Ashed teabags dry'!$K$2:$K$2000,MATCH(H312,'Ashed teabags dry'!$A$2:$A$2000,0)),"")</f>
        <v>5.923344947734277</v>
      </c>
      <c r="X312" s="194">
        <f>IFERROR(INDEX('Ashed teabags dry'!$K$2:$K$2000,MATCH(I312,'Ashed teabags dry'!$A$2:$A$2000,0)),"")</f>
        <v>2.9004329004331213</v>
      </c>
      <c r="Y312" s="194">
        <f t="shared" si="41"/>
        <v>1.5486898954703983</v>
      </c>
      <c r="Z312" s="194">
        <f t="shared" si="41"/>
        <v>1.8017795670995631</v>
      </c>
      <c r="AA312" s="194">
        <f t="shared" si="47"/>
        <v>3.3104416246161783E-2</v>
      </c>
      <c r="AB312" s="194">
        <f t="shared" si="48"/>
        <v>2.1702657681569267E-2</v>
      </c>
      <c r="AC312" s="194">
        <f t="shared" si="42"/>
        <v>0.95230350333404967</v>
      </c>
      <c r="AD312">
        <f t="shared" si="49"/>
        <v>71</v>
      </c>
      <c r="AE312" s="194">
        <f t="shared" si="50"/>
        <v>0.96068359115657742</v>
      </c>
      <c r="AF312" s="194" t="str">
        <f t="shared" si="51"/>
        <v/>
      </c>
      <c r="AG312" s="245" t="str">
        <f>IF(ISNUMBER(SEARCH("C", 'Dry_Litterbag Placem_Collection'!$V19)),"YES","NO")</f>
        <v>NO</v>
      </c>
      <c r="AH312" s="245" t="str">
        <f>IF(ISNUMBER(SEARCH("H", 'Dry_Litterbag Placem_Collection'!$V19)),"YES","NO")</f>
        <v>NO</v>
      </c>
      <c r="AI312" s="245" t="str">
        <f>IF(ISNUMBER(SEARCH("R", 'Dry_Litterbag Placem_Collection'!$V19)),"YES","NO")</f>
        <v>NO</v>
      </c>
      <c r="AJ312" s="245" t="str">
        <f>IF(ISNUMBER(SEARCH("C", 'Dry_Litterbag Placem_Collection'!$U19)),"YES","NO")</f>
        <v>NO</v>
      </c>
      <c r="AK312" s="245" t="str">
        <f>IF(ISNUMBER(SEARCH("H", 'Dry_Litterbag Placem_Collection'!$U19)),"YES","NO")</f>
        <v>NO</v>
      </c>
      <c r="AL312" s="245" t="str">
        <f>IF(ISNUMBER(SEARCH("R", 'Dry_Litterbag Placem_Collection'!$U19)),"YES","NO")</f>
        <v>NO</v>
      </c>
    </row>
    <row r="313" spans="2:38">
      <c r="B313" t="str">
        <f>Dryseason!B459</f>
        <v>Dry</v>
      </c>
      <c r="C313" s="253">
        <f>Dryseason!C459</f>
        <v>18</v>
      </c>
      <c r="D313" t="s">
        <v>3104</v>
      </c>
      <c r="E313" t="s">
        <v>25</v>
      </c>
      <c r="F313" s="374">
        <v>2</v>
      </c>
      <c r="G313" s="376">
        <f>IF('Dry_Litterbag Placem_Collection'!E20="","",'Dry_Litterbag Placem_Collection'!E20)</f>
        <v>42936</v>
      </c>
      <c r="H313" s="92" t="str">
        <f>Dryseason!L459</f>
        <v>G113</v>
      </c>
      <c r="I313" t="str">
        <f>Dryseason!L679</f>
        <v>R361</v>
      </c>
      <c r="J313">
        <f>IFERROR(INDEX('Green_rooibos initial weight'!$C$5:$C$2000,MATCH(H313, 'Green_rooibos initial weight'!$A$5:$A$2000,0)),"")</f>
        <v>2.0539999999999998</v>
      </c>
      <c r="K313">
        <f>IFERROR(INDEX('Green_rooibos initial weight'!$C$5:$C$2000,MATCH(I313, 'Green_rooibos initial weight'!$A$5:$A$2000,0)),"")</f>
        <v>2.2210000000000001</v>
      </c>
      <c r="L313" s="194">
        <f t="shared" si="43"/>
        <v>1.8041999999999998</v>
      </c>
      <c r="M313" s="233">
        <f>AVERAGE(Ashed_controlls!$K$1:$K$11)</f>
        <v>5.5147656768714146</v>
      </c>
      <c r="N313" s="194">
        <f t="shared" si="39"/>
        <v>1.7047025976578858</v>
      </c>
      <c r="O313" s="194">
        <f t="shared" si="44"/>
        <v>1.9712000000000001</v>
      </c>
      <c r="P313" s="233">
        <f>AVERAGE(Ashed_controlls!$K$12:$K$14)</f>
        <v>2.2816647271287041</v>
      </c>
      <c r="Q313" s="194">
        <f t="shared" si="40"/>
        <v>1.926223824898839</v>
      </c>
      <c r="R313" s="376">
        <f>IF('Dry_Litterbag Placem_Collection'!G20="","",'Dry_Litterbag Placem_Collection'!G20)</f>
        <v>43007</v>
      </c>
      <c r="S313" s="194">
        <f>IFERROR(INDEX('Both teabags AfterDry'!$D$3:$D$2000,MATCH(H313,'Both teabags AfterDry'!$A$3:$A$2000,0)),"")</f>
        <v>1.8204</v>
      </c>
      <c r="T313" s="194">
        <f>IFERROR(INDEX('Both teabags AfterDry'!$D$3:$D$2000,MATCH(I313,'Both teabags AfterDry'!$A$3:$A$2000,0)),"")</f>
        <v>2.0156999999999998</v>
      </c>
      <c r="U313" s="194">
        <f t="shared" si="45"/>
        <v>1.6698</v>
      </c>
      <c r="V313" s="194">
        <f t="shared" si="46"/>
        <v>1.8650999999999998</v>
      </c>
      <c r="W313" s="194">
        <f>IFERROR(INDEX('Ashed teabags dry'!$K$2:$K$2000,MATCH(H313,'Ashed teabags dry'!$A$2:$A$2000,0)),"")</f>
        <v>6.7017711823853698</v>
      </c>
      <c r="X313" s="194">
        <f>IFERROR(INDEX('Ashed teabags dry'!$K$2:$K$2000,MATCH(I313,'Ashed teabags dry'!$A$2:$A$2000,0)),"")</f>
        <v>2.3668639053252516</v>
      </c>
      <c r="Y313" s="194">
        <f t="shared" si="41"/>
        <v>1.557893824796529</v>
      </c>
      <c r="Z313" s="194">
        <f t="shared" si="41"/>
        <v>1.8209556213017786</v>
      </c>
      <c r="AA313" s="194">
        <f t="shared" si="47"/>
        <v>8.6119873966907345E-2</v>
      </c>
      <c r="AB313" s="194">
        <f t="shared" si="48"/>
        <v>5.6458634714647127E-2</v>
      </c>
      <c r="AC313" s="194">
        <f t="shared" si="42"/>
        <v>0.94534996284630168</v>
      </c>
      <c r="AD313">
        <f t="shared" si="49"/>
        <v>71</v>
      </c>
      <c r="AE313" s="194">
        <f t="shared" si="50"/>
        <v>0.89771986464737841</v>
      </c>
      <c r="AF313" s="194">
        <f t="shared" si="51"/>
        <v>4.8464176399051456E-2</v>
      </c>
      <c r="AG313" s="245" t="str">
        <f>IF(ISNUMBER(SEARCH("C", 'Dry_Litterbag Placem_Collection'!$V20)),"YES","NO")</f>
        <v>NO</v>
      </c>
      <c r="AH313" s="245" t="str">
        <f>IF(ISNUMBER(SEARCH("H", 'Dry_Litterbag Placem_Collection'!$V20)),"YES","NO")</f>
        <v>NO</v>
      </c>
      <c r="AI313" s="245" t="str">
        <f>IF(ISNUMBER(SEARCH("R", 'Dry_Litterbag Placem_Collection'!$V20)),"YES","NO")</f>
        <v>NO</v>
      </c>
      <c r="AJ313" s="245" t="str">
        <f>IF(ISNUMBER(SEARCH("C", 'Dry_Litterbag Placem_Collection'!$U20)),"YES","NO")</f>
        <v>NO</v>
      </c>
      <c r="AK313" s="245" t="str">
        <f>IF(ISNUMBER(SEARCH("H", 'Dry_Litterbag Placem_Collection'!$U20)),"YES","NO")</f>
        <v>NO</v>
      </c>
      <c r="AL313" s="245" t="str">
        <f>IF(ISNUMBER(SEARCH("R", 'Dry_Litterbag Placem_Collection'!$U20)),"YES","NO")</f>
        <v>NO</v>
      </c>
    </row>
    <row r="314" spans="2:38">
      <c r="B314" t="str">
        <f>Dryseason!B460</f>
        <v>Dry</v>
      </c>
      <c r="C314" s="253">
        <f>Dryseason!C460</f>
        <v>19</v>
      </c>
      <c r="D314" t="s">
        <v>3104</v>
      </c>
      <c r="E314" t="s">
        <v>25</v>
      </c>
      <c r="F314" s="374">
        <v>3</v>
      </c>
      <c r="G314" s="376">
        <f>IF('Dry_Litterbag Placem_Collection'!E21="","",'Dry_Litterbag Placem_Collection'!E21)</f>
        <v>42936</v>
      </c>
      <c r="H314" s="92" t="str">
        <f>Dryseason!L460</f>
        <v>G394</v>
      </c>
      <c r="I314" t="str">
        <f>Dryseason!L680</f>
        <v>R280</v>
      </c>
      <c r="J314">
        <f>IFERROR(INDEX('Green_rooibos initial weight'!$C$5:$C$2000,MATCH(H314, 'Green_rooibos initial weight'!$A$5:$A$2000,0)),"")</f>
        <v>2.056</v>
      </c>
      <c r="K314">
        <f>IFERROR(INDEX('Green_rooibos initial weight'!$C$5:$C$2000,MATCH(I314, 'Green_rooibos initial weight'!$A$5:$A$2000,0)),"")</f>
        <v>2.11</v>
      </c>
      <c r="L314" s="194">
        <f t="shared" si="43"/>
        <v>1.8062</v>
      </c>
      <c r="M314" s="233">
        <f>AVERAGE(Ashed_controlls!$K$1:$K$11)</f>
        <v>5.5147656768714146</v>
      </c>
      <c r="N314" s="194">
        <f t="shared" si="39"/>
        <v>1.7065923023443486</v>
      </c>
      <c r="O314" s="194">
        <f t="shared" si="44"/>
        <v>1.8601999999999999</v>
      </c>
      <c r="P314" s="233">
        <f>AVERAGE(Ashed_controlls!$K$12:$K$14)</f>
        <v>2.2816647271287041</v>
      </c>
      <c r="Q314" s="194">
        <f t="shared" si="40"/>
        <v>1.8177564727459516</v>
      </c>
      <c r="R314" s="376">
        <f>IF('Dry_Litterbag Placem_Collection'!G21="","",'Dry_Litterbag Placem_Collection'!G21)</f>
        <v>43007</v>
      </c>
      <c r="S314" s="194">
        <f>IFERROR(INDEX('Both teabags AfterDry'!$D$3:$D$2000,MATCH(H314,'Both teabags AfterDry'!$A$3:$A$2000,0)),"")</f>
        <v>1.8532999999999999</v>
      </c>
      <c r="T314" s="194">
        <f>IFERROR(INDEX('Both teabags AfterDry'!$D$3:$D$2000,MATCH(I314,'Both teabags AfterDry'!$A$3:$A$2000,0)),"")</f>
        <v>1.9007000000000001</v>
      </c>
      <c r="U314" s="194">
        <f t="shared" si="45"/>
        <v>1.7026999999999999</v>
      </c>
      <c r="V314" s="194">
        <f t="shared" si="46"/>
        <v>1.7501</v>
      </c>
      <c r="W314" s="194">
        <f>IFERROR(INDEX('Ashed teabags dry'!$K$2:$K$2000,MATCH(H314,'Ashed teabags dry'!$A$2:$A$2000,0)),"")</f>
        <v>6.2286689419790493</v>
      </c>
      <c r="X314" s="194">
        <f>IFERROR(INDEX('Ashed teabags dry'!$K$2:$K$2000,MATCH(I314,'Ashed teabags dry'!$A$2:$A$2000,0)),"")</f>
        <v>2.6531596719727872</v>
      </c>
      <c r="Y314" s="194">
        <f t="shared" si="41"/>
        <v>1.5966444539249227</v>
      </c>
      <c r="Z314" s="194">
        <f t="shared" si="41"/>
        <v>1.7036670525808042</v>
      </c>
      <c r="AA314" s="194">
        <f t="shared" si="47"/>
        <v>6.4425374630127097E-2</v>
      </c>
      <c r="AB314" s="194">
        <f t="shared" si="48"/>
        <v>4.223611258412132E-2</v>
      </c>
      <c r="AC314" s="194">
        <f t="shared" si="42"/>
        <v>0.9372361359314535</v>
      </c>
      <c r="AD314">
        <f t="shared" si="49"/>
        <v>71</v>
      </c>
      <c r="AE314" s="194">
        <f t="shared" si="50"/>
        <v>0.9234853032896353</v>
      </c>
      <c r="AF314" s="194" t="str">
        <f t="shared" si="51"/>
        <v/>
      </c>
      <c r="AG314" s="245" t="str">
        <f>IF(ISNUMBER(SEARCH("C", 'Dry_Litterbag Placem_Collection'!$V21)),"YES","NO")</f>
        <v>NO</v>
      </c>
      <c r="AH314" s="245" t="str">
        <f>IF(ISNUMBER(SEARCH("H", 'Dry_Litterbag Placem_Collection'!$V21)),"YES","NO")</f>
        <v>NO</v>
      </c>
      <c r="AI314" s="245" t="str">
        <f>IF(ISNUMBER(SEARCH("R", 'Dry_Litterbag Placem_Collection'!$V21)),"YES","NO")</f>
        <v>NO</v>
      </c>
      <c r="AJ314" s="245" t="str">
        <f>IF(ISNUMBER(SEARCH("C", 'Dry_Litterbag Placem_Collection'!$U21)),"YES","NO")</f>
        <v>NO</v>
      </c>
      <c r="AK314" s="245" t="str">
        <f>IF(ISNUMBER(SEARCH("H", 'Dry_Litterbag Placem_Collection'!$U21)),"YES","NO")</f>
        <v>NO</v>
      </c>
      <c r="AL314" s="245" t="str">
        <f>IF(ISNUMBER(SEARCH("R", 'Dry_Litterbag Placem_Collection'!$U21)),"YES","NO")</f>
        <v>NO</v>
      </c>
    </row>
    <row r="315" spans="2:38">
      <c r="B315" t="str">
        <f>Dryseason!B461</f>
        <v>Dry</v>
      </c>
      <c r="C315" s="253">
        <f>Dryseason!C461</f>
        <v>20</v>
      </c>
      <c r="D315" t="s">
        <v>3104</v>
      </c>
      <c r="E315" t="s">
        <v>25</v>
      </c>
      <c r="F315" s="375">
        <v>4</v>
      </c>
      <c r="G315" s="376">
        <f>IF('Dry_Litterbag Placem_Collection'!E22="","",'Dry_Litterbag Placem_Collection'!E22)</f>
        <v>42936</v>
      </c>
      <c r="H315" s="92" t="str">
        <f>Dryseason!L461</f>
        <v>G79</v>
      </c>
      <c r="I315" t="str">
        <f>Dryseason!L681</f>
        <v>R320</v>
      </c>
      <c r="J315">
        <f>IFERROR(INDEX('Green_rooibos initial weight'!$C$5:$C$2000,MATCH(H315, 'Green_rooibos initial weight'!$A$5:$A$2000,0)),"")</f>
        <v>2.1120000000000001</v>
      </c>
      <c r="K315">
        <f>IFERROR(INDEX('Green_rooibos initial weight'!$C$5:$C$2000,MATCH(I315, 'Green_rooibos initial weight'!$A$5:$A$2000,0)),"")</f>
        <v>2.1459999999999999</v>
      </c>
      <c r="L315" s="194">
        <f t="shared" si="43"/>
        <v>1.8622000000000001</v>
      </c>
      <c r="M315" s="233">
        <f>AVERAGE(Ashed_controlls!$K$1:$K$11)</f>
        <v>5.5147656768714146</v>
      </c>
      <c r="N315" s="194">
        <f t="shared" si="39"/>
        <v>1.7595040335653005</v>
      </c>
      <c r="O315" s="194">
        <f t="shared" si="44"/>
        <v>1.8961999999999999</v>
      </c>
      <c r="P315" s="233">
        <f>AVERAGE(Ashed_controlls!$K$12:$K$14)</f>
        <v>2.2816647271287041</v>
      </c>
      <c r="Q315" s="194">
        <f t="shared" si="40"/>
        <v>1.8529350734441854</v>
      </c>
      <c r="R315" s="376">
        <f>IF('Dry_Litterbag Placem_Collection'!G22="","",'Dry_Litterbag Placem_Collection'!G22)</f>
        <v>43007</v>
      </c>
      <c r="S315" s="194">
        <f>IFERROR(INDEX('Both teabags AfterDry'!$D$3:$D$2000,MATCH(H315,'Both teabags AfterDry'!$A$3:$A$2000,0)),"")</f>
        <v>1.8559000000000001</v>
      </c>
      <c r="T315" s="194">
        <f>IFERROR(INDEX('Both teabags AfterDry'!$D$3:$D$2000,MATCH(I315,'Both teabags AfterDry'!$A$3:$A$2000,0)),"")</f>
        <v>1.9332</v>
      </c>
      <c r="U315" s="194">
        <f t="shared" si="45"/>
        <v>1.7053</v>
      </c>
      <c r="V315" s="194">
        <f t="shared" si="46"/>
        <v>1.7826</v>
      </c>
      <c r="W315" s="194">
        <f>IFERROR(INDEX('Ashed teabags dry'!$K$2:$K$2000,MATCH(H315,'Ashed teabags dry'!$A$2:$A$2000,0)),"")</f>
        <v>6.4935064935060867</v>
      </c>
      <c r="X315" s="194">
        <f>IFERROR(INDEX('Ashed teabags dry'!$K$2:$K$2000,MATCH(I315,'Ashed teabags dry'!$A$2:$A$2000,0)),"")</f>
        <v>2.2439024390243194</v>
      </c>
      <c r="Y315" s="194">
        <f t="shared" si="41"/>
        <v>1.5945662337662407</v>
      </c>
      <c r="Z315" s="194">
        <f t="shared" si="41"/>
        <v>1.7426001951219525</v>
      </c>
      <c r="AA315" s="194">
        <f t="shared" si="47"/>
        <v>9.3741075128338625E-2</v>
      </c>
      <c r="AB315" s="194">
        <f t="shared" si="48"/>
        <v>6.1454956616203017E-2</v>
      </c>
      <c r="AC315" s="194">
        <f t="shared" si="42"/>
        <v>0.94045399652501294</v>
      </c>
      <c r="AD315">
        <f t="shared" si="49"/>
        <v>71</v>
      </c>
      <c r="AE315" s="194">
        <f t="shared" si="50"/>
        <v>0.88866855685470469</v>
      </c>
      <c r="AF315" s="194">
        <f t="shared" si="51"/>
        <v>4.8897880218682056E-2</v>
      </c>
      <c r="AG315" s="245" t="str">
        <f>IF(ISNUMBER(SEARCH("C", 'Dry_Litterbag Placem_Collection'!$V22)),"YES","NO")</f>
        <v>NO</v>
      </c>
      <c r="AH315" s="245" t="str">
        <f>IF(ISNUMBER(SEARCH("H", 'Dry_Litterbag Placem_Collection'!$V22)),"YES","NO")</f>
        <v>NO</v>
      </c>
      <c r="AI315" s="245" t="str">
        <f>IF(ISNUMBER(SEARCH("R", 'Dry_Litterbag Placem_Collection'!$V22)),"YES","NO")</f>
        <v>NO</v>
      </c>
      <c r="AJ315" s="245" t="str">
        <f>IF(ISNUMBER(SEARCH("C", 'Dry_Litterbag Placem_Collection'!$U22)),"YES","NO")</f>
        <v>NO</v>
      </c>
      <c r="AK315" s="245" t="str">
        <f>IF(ISNUMBER(SEARCH("H", 'Dry_Litterbag Placem_Collection'!$U22)),"YES","NO")</f>
        <v>NO</v>
      </c>
      <c r="AL315" s="245" t="str">
        <f>IF(ISNUMBER(SEARCH("R", 'Dry_Litterbag Placem_Collection'!$U22)),"YES","NO")</f>
        <v>NO</v>
      </c>
    </row>
    <row r="316" spans="2:38">
      <c r="B316" t="str">
        <f>Dryseason!B462</f>
        <v>Dry</v>
      </c>
      <c r="C316" s="253">
        <f>Dryseason!C462</f>
        <v>21</v>
      </c>
      <c r="D316" t="s">
        <v>3104</v>
      </c>
      <c r="E316" t="s">
        <v>25</v>
      </c>
      <c r="F316" s="375">
        <v>5</v>
      </c>
      <c r="G316" s="376">
        <f>IF('Dry_Litterbag Placem_Collection'!E23="","",'Dry_Litterbag Placem_Collection'!E23)</f>
        <v>42936</v>
      </c>
      <c r="H316" s="92" t="str">
        <f>Dryseason!L462</f>
        <v>G488</v>
      </c>
      <c r="I316" t="str">
        <f>Dryseason!L682</f>
        <v>R209</v>
      </c>
      <c r="J316">
        <f>IFERROR(INDEX('Green_rooibos initial weight'!$C$5:$C$2000,MATCH(H316, 'Green_rooibos initial weight'!$A$5:$A$2000,0)),"")</f>
        <v>1.9910000000000001</v>
      </c>
      <c r="K316">
        <f>IFERROR(INDEX('Green_rooibos initial weight'!$C$5:$C$2000,MATCH(I316, 'Green_rooibos initial weight'!$A$5:$A$2000,0)),"")</f>
        <v>2.2069999999999999</v>
      </c>
      <c r="L316" s="194">
        <f t="shared" si="43"/>
        <v>1.7412000000000001</v>
      </c>
      <c r="M316" s="233">
        <f>AVERAGE(Ashed_controlls!$K$1:$K$11)</f>
        <v>5.5147656768714146</v>
      </c>
      <c r="N316" s="194">
        <f t="shared" si="39"/>
        <v>1.645176900034315</v>
      </c>
      <c r="O316" s="194">
        <f t="shared" si="44"/>
        <v>1.9571999999999998</v>
      </c>
      <c r="P316" s="233">
        <f>AVERAGE(Ashed_controlls!$K$12:$K$14)</f>
        <v>2.2816647271287041</v>
      </c>
      <c r="Q316" s="194">
        <f t="shared" si="40"/>
        <v>1.9125432579606367</v>
      </c>
      <c r="R316" s="376">
        <f>IF('Dry_Litterbag Placem_Collection'!G23="","",'Dry_Litterbag Placem_Collection'!G23)</f>
        <v>43007</v>
      </c>
      <c r="S316" s="194" t="str">
        <f>IFERROR(INDEX('Both teabags AfterDry'!$D$3:$D$2000,MATCH(H316,'Both teabags AfterDry'!$A$3:$A$2000,0)),"")</f>
        <v/>
      </c>
      <c r="T316" s="194" t="str">
        <f>IFERROR(INDEX('Both teabags AfterDry'!$D$3:$D$2000,MATCH(I316,'Both teabags AfterDry'!$A$3:$A$2000,0)),"")</f>
        <v/>
      </c>
      <c r="U316" s="194" t="str">
        <f t="shared" si="45"/>
        <v/>
      </c>
      <c r="V316" s="194" t="str">
        <f t="shared" si="46"/>
        <v/>
      </c>
      <c r="W316" s="194" t="str">
        <f>IFERROR(INDEX('Ashed teabags dry'!$K$2:$K$2000,MATCH(H316,'Ashed teabags dry'!$A$2:$A$2000,0)),"")</f>
        <v/>
      </c>
      <c r="X316" s="194" t="str">
        <f>IFERROR(INDEX('Ashed teabags dry'!$K$2:$K$2000,MATCH(I316,'Ashed teabags dry'!$A$2:$A$2000,0)),"")</f>
        <v/>
      </c>
      <c r="Y316" s="194" t="str">
        <f t="shared" si="41"/>
        <v/>
      </c>
      <c r="Z316" s="194" t="str">
        <f t="shared" si="41"/>
        <v/>
      </c>
      <c r="AA316" s="194" t="str">
        <f t="shared" si="47"/>
        <v/>
      </c>
      <c r="AB316" s="194" t="str">
        <f t="shared" si="48"/>
        <v/>
      </c>
      <c r="AC316" s="194" t="str">
        <f t="shared" si="42"/>
        <v/>
      </c>
      <c r="AD316">
        <f t="shared" si="49"/>
        <v>71</v>
      </c>
      <c r="AE316" s="194" t="str">
        <f t="shared" si="50"/>
        <v/>
      </c>
      <c r="AF316" s="194" t="str">
        <f t="shared" si="51"/>
        <v/>
      </c>
      <c r="AG316" s="245" t="str">
        <f>IF(ISNUMBER(SEARCH("C", 'Dry_Litterbag Placem_Collection'!$V23)),"YES","NO")</f>
        <v>NO</v>
      </c>
      <c r="AH316" s="245" t="str">
        <f>IF(ISNUMBER(SEARCH("H", 'Dry_Litterbag Placem_Collection'!$V23)),"YES","NO")</f>
        <v>NO</v>
      </c>
      <c r="AI316" s="245" t="str">
        <f>IF(ISNUMBER(SEARCH("R", 'Dry_Litterbag Placem_Collection'!$V23)),"YES","NO")</f>
        <v>NO</v>
      </c>
      <c r="AJ316" s="245" t="str">
        <f>IF(ISNUMBER(SEARCH("C", 'Dry_Litterbag Placem_Collection'!$U23)),"YES","NO")</f>
        <v>NO</v>
      </c>
      <c r="AK316" s="245" t="str">
        <f>IF(ISNUMBER(SEARCH("H", 'Dry_Litterbag Placem_Collection'!$U23)),"YES","NO")</f>
        <v>NO</v>
      </c>
      <c r="AL316" s="245" t="str">
        <f>IF(ISNUMBER(SEARCH("R", 'Dry_Litterbag Placem_Collection'!$U23)),"YES","NO")</f>
        <v>NO</v>
      </c>
    </row>
    <row r="317" spans="2:38">
      <c r="B317" t="str">
        <f>Dryseason!B463</f>
        <v>Dry</v>
      </c>
      <c r="C317" s="253">
        <f>Dryseason!C463</f>
        <v>22</v>
      </c>
      <c r="D317" t="s">
        <v>3104</v>
      </c>
      <c r="E317" t="s">
        <v>25</v>
      </c>
      <c r="F317" s="375">
        <v>6</v>
      </c>
      <c r="G317" s="376">
        <f>IF('Dry_Litterbag Placem_Collection'!E24="","",'Dry_Litterbag Placem_Collection'!E24)</f>
        <v>42936</v>
      </c>
      <c r="H317" s="92" t="str">
        <f>Dryseason!L463</f>
        <v>G750</v>
      </c>
      <c r="I317" t="str">
        <f>Dryseason!L683</f>
        <v>R646</v>
      </c>
      <c r="J317">
        <f>IFERROR(INDEX('Green_rooibos initial weight'!$C$5:$C$2000,MATCH(H317, 'Green_rooibos initial weight'!$A$5:$A$2000,0)),"")</f>
        <v>1.966</v>
      </c>
      <c r="K317">
        <f>IFERROR(INDEX('Green_rooibos initial weight'!$C$5:$C$2000,MATCH(I317, 'Green_rooibos initial weight'!$A$5:$A$2000,0)),"")</f>
        <v>2.1480000000000001</v>
      </c>
      <c r="L317" s="194">
        <f t="shared" si="43"/>
        <v>1.7161999999999999</v>
      </c>
      <c r="M317" s="233">
        <f>AVERAGE(Ashed_controlls!$K$1:$K$11)</f>
        <v>5.5147656768714146</v>
      </c>
      <c r="N317" s="194">
        <f t="shared" si="39"/>
        <v>1.6215555914535327</v>
      </c>
      <c r="O317" s="194">
        <f t="shared" si="44"/>
        <v>1.8982000000000001</v>
      </c>
      <c r="P317" s="233">
        <f>AVERAGE(Ashed_controlls!$K$12:$K$14)</f>
        <v>2.2816647271287041</v>
      </c>
      <c r="Q317" s="194">
        <f t="shared" si="40"/>
        <v>1.854889440149643</v>
      </c>
      <c r="R317" s="376">
        <f>IF('Dry_Litterbag Placem_Collection'!G24="","",'Dry_Litterbag Placem_Collection'!G24)</f>
        <v>43007</v>
      </c>
      <c r="S317" s="194">
        <f>IFERROR(INDEX('Both teabags AfterDry'!$D$3:$D$2000,MATCH(H317,'Both teabags AfterDry'!$A$3:$A$2000,0)),"")</f>
        <v>1.3833</v>
      </c>
      <c r="T317" s="194">
        <f>IFERROR(INDEX('Both teabags AfterDry'!$D$3:$D$2000,MATCH(I317,'Both teabags AfterDry'!$A$3:$A$2000,0)),"")</f>
        <v>1.8704000000000001</v>
      </c>
      <c r="U317" s="194">
        <f t="shared" si="45"/>
        <v>1.2326999999999999</v>
      </c>
      <c r="V317" s="194">
        <f t="shared" si="46"/>
        <v>1.7198</v>
      </c>
      <c r="W317" s="194">
        <f>IFERROR(INDEX('Ashed teabags dry'!$K$2:$K$2000,MATCH(H317,'Ashed teabags dry'!$A$2:$A$2000,0)),"")</f>
        <v>8.0118694362018044</v>
      </c>
      <c r="X317" s="194">
        <f>IFERROR(INDEX('Ashed teabags dry'!$K$2:$K$2000,MATCH(I317,'Ashed teabags dry'!$A$2:$A$2000,0)),"")</f>
        <v>2.497502497502583</v>
      </c>
      <c r="Y317" s="194">
        <f t="shared" si="41"/>
        <v>1.1339376854599403</v>
      </c>
      <c r="Z317" s="194">
        <f t="shared" si="41"/>
        <v>1.6768479520479507</v>
      </c>
      <c r="AA317" s="194">
        <f t="shared" si="47"/>
        <v>0.30070995318544746</v>
      </c>
      <c r="AB317" s="194">
        <f t="shared" si="48"/>
        <v>0.19714001681516274</v>
      </c>
      <c r="AC317" s="194">
        <f t="shared" si="42"/>
        <v>0.90401504033182223</v>
      </c>
      <c r="AD317">
        <f t="shared" si="49"/>
        <v>71</v>
      </c>
      <c r="AE317" s="194">
        <f t="shared" si="50"/>
        <v>0.64286228837832837</v>
      </c>
      <c r="AF317" s="194">
        <f t="shared" si="51"/>
        <v>9.3980234177306228E-3</v>
      </c>
      <c r="AG317" s="245" t="str">
        <f>IF(ISNUMBER(SEARCH("C", 'Dry_Litterbag Placem_Collection'!$V24)),"YES","NO")</f>
        <v>NO</v>
      </c>
      <c r="AH317" s="245" t="str">
        <f>IF(ISNUMBER(SEARCH("H", 'Dry_Litterbag Placem_Collection'!$V24)),"YES","NO")</f>
        <v>NO</v>
      </c>
      <c r="AI317" s="245" t="str">
        <f>IF(ISNUMBER(SEARCH("R", 'Dry_Litterbag Placem_Collection'!$V24)),"YES","NO")</f>
        <v>NO</v>
      </c>
      <c r="AJ317" s="245" t="str">
        <f>IF(ISNUMBER(SEARCH("C", 'Dry_Litterbag Placem_Collection'!$U24)),"YES","NO")</f>
        <v>NO</v>
      </c>
      <c r="AK317" s="245" t="str">
        <f>IF(ISNUMBER(SEARCH("H", 'Dry_Litterbag Placem_Collection'!$U24)),"YES","NO")</f>
        <v>NO</v>
      </c>
      <c r="AL317" s="245" t="str">
        <f>IF(ISNUMBER(SEARCH("R", 'Dry_Litterbag Placem_Collection'!$U24)),"YES","NO")</f>
        <v>NO</v>
      </c>
    </row>
    <row r="318" spans="2:38">
      <c r="B318" t="str">
        <f>Dryseason!B464</f>
        <v>Dry</v>
      </c>
      <c r="C318" s="253">
        <f>Dryseason!C464</f>
        <v>23</v>
      </c>
      <c r="D318" t="s">
        <v>3104</v>
      </c>
      <c r="E318" t="s">
        <v>25</v>
      </c>
      <c r="F318" s="375">
        <v>7</v>
      </c>
      <c r="G318" s="376" t="str">
        <f>IF('Dry_Litterbag Placem_Collection'!E25="","",'Dry_Litterbag Placem_Collection'!E25)</f>
        <v/>
      </c>
      <c r="H318" s="92" t="str">
        <f>Dryseason!L464</f>
        <v/>
      </c>
      <c r="I318" t="str">
        <f>Dryseason!L684</f>
        <v/>
      </c>
      <c r="J318" t="str">
        <f>IFERROR(INDEX('Green_rooibos initial weight'!$C$5:$C$2000,MATCH(H318, 'Green_rooibos initial weight'!$A$5:$A$2000,0)),"")</f>
        <v/>
      </c>
      <c r="K318" t="str">
        <f>IFERROR(INDEX('Green_rooibos initial weight'!$C$5:$C$2000,MATCH(I318, 'Green_rooibos initial weight'!$A$5:$A$2000,0)),"")</f>
        <v/>
      </c>
      <c r="L318" s="194" t="str">
        <f t="shared" si="43"/>
        <v/>
      </c>
      <c r="M318" s="233">
        <f>AVERAGE(Ashed_controlls!$K$1:$K$11)</f>
        <v>5.5147656768714146</v>
      </c>
      <c r="N318" s="194" t="str">
        <f t="shared" si="39"/>
        <v/>
      </c>
      <c r="O318" s="194" t="str">
        <f t="shared" si="44"/>
        <v/>
      </c>
      <c r="P318" s="233">
        <f>AVERAGE(Ashed_controlls!$K$12:$K$14)</f>
        <v>2.2816647271287041</v>
      </c>
      <c r="Q318" s="194" t="str">
        <f t="shared" si="40"/>
        <v/>
      </c>
      <c r="R318" s="376" t="str">
        <f>IF('Dry_Litterbag Placem_Collection'!G25="","",'Dry_Litterbag Placem_Collection'!G25)</f>
        <v/>
      </c>
      <c r="S318" s="194" t="str">
        <f>IFERROR(INDEX('Both teabags AfterDry'!$D$3:$D$2000,MATCH(H318,'Both teabags AfterDry'!$A$3:$A$2000,0)),"")</f>
        <v/>
      </c>
      <c r="T318" s="194" t="str">
        <f>IFERROR(INDEX('Both teabags AfterDry'!$D$3:$D$2000,MATCH(I318,'Both teabags AfterDry'!$A$3:$A$2000,0)),"")</f>
        <v/>
      </c>
      <c r="U318" s="194" t="str">
        <f t="shared" si="45"/>
        <v/>
      </c>
      <c r="V318" s="194" t="str">
        <f t="shared" si="46"/>
        <v/>
      </c>
      <c r="W318" s="194" t="str">
        <f>IFERROR(INDEX('Ashed teabags dry'!$K$2:$K$2000,MATCH(H318,'Ashed teabags dry'!$A$2:$A$2000,0)),"")</f>
        <v/>
      </c>
      <c r="X318" s="194" t="str">
        <f>IFERROR(INDEX('Ashed teabags dry'!$K$2:$K$2000,MATCH(I318,'Ashed teabags dry'!$A$2:$A$2000,0)),"")</f>
        <v/>
      </c>
      <c r="Y318" s="194" t="str">
        <f t="shared" si="41"/>
        <v/>
      </c>
      <c r="Z318" s="194" t="str">
        <f t="shared" si="41"/>
        <v/>
      </c>
      <c r="AA318" s="194" t="str">
        <f t="shared" si="47"/>
        <v/>
      </c>
      <c r="AB318" s="194" t="str">
        <f t="shared" si="48"/>
        <v/>
      </c>
      <c r="AC318" s="194" t="str">
        <f t="shared" si="42"/>
        <v/>
      </c>
      <c r="AD318" t="str">
        <f t="shared" si="49"/>
        <v/>
      </c>
      <c r="AE318" s="194" t="str">
        <f t="shared" si="50"/>
        <v/>
      </c>
      <c r="AF318" s="194" t="str">
        <f t="shared" si="51"/>
        <v/>
      </c>
      <c r="AG318" s="245" t="str">
        <f>IF(ISNUMBER(SEARCH("C", 'Dry_Litterbag Placem_Collection'!$V25)),"YES","NO")</f>
        <v>NO</v>
      </c>
      <c r="AH318" s="245" t="str">
        <f>IF(ISNUMBER(SEARCH("H", 'Dry_Litterbag Placem_Collection'!$V25)),"YES","NO")</f>
        <v>NO</v>
      </c>
      <c r="AI318" s="245" t="str">
        <f>IF(ISNUMBER(SEARCH("R", 'Dry_Litterbag Placem_Collection'!$V25)),"YES","NO")</f>
        <v>NO</v>
      </c>
      <c r="AJ318" s="245" t="str">
        <f>IF(ISNUMBER(SEARCH("C", 'Dry_Litterbag Placem_Collection'!$U25)),"YES","NO")</f>
        <v>NO</v>
      </c>
      <c r="AK318" s="245" t="str">
        <f>IF(ISNUMBER(SEARCH("H", 'Dry_Litterbag Placem_Collection'!$U25)),"YES","NO")</f>
        <v>NO</v>
      </c>
      <c r="AL318" s="245" t="str">
        <f>IF(ISNUMBER(SEARCH("R", 'Dry_Litterbag Placem_Collection'!$U25)),"YES","NO")</f>
        <v>NO</v>
      </c>
    </row>
    <row r="319" spans="2:38">
      <c r="B319" t="str">
        <f>Dryseason!B465</f>
        <v>Dry</v>
      </c>
      <c r="C319" s="253">
        <f>Dryseason!C465</f>
        <v>24</v>
      </c>
      <c r="D319" t="s">
        <v>3104</v>
      </c>
      <c r="E319" t="s">
        <v>25</v>
      </c>
      <c r="F319" s="375">
        <v>8</v>
      </c>
      <c r="G319" s="376">
        <f>IF('Dry_Litterbag Placem_Collection'!E26="","",'Dry_Litterbag Placem_Collection'!E26)</f>
        <v>42936</v>
      </c>
      <c r="H319" s="92" t="str">
        <f>Dryseason!L465</f>
        <v>G562</v>
      </c>
      <c r="I319" t="str">
        <f>Dryseason!L685</f>
        <v>R650</v>
      </c>
      <c r="J319">
        <f>IFERROR(INDEX('Green_rooibos initial weight'!$C$5:$C$2000,MATCH(H319, 'Green_rooibos initial weight'!$A$5:$A$2000,0)),"")</f>
        <v>2.1419999999999999</v>
      </c>
      <c r="K319">
        <f>IFERROR(INDEX('Green_rooibos initial weight'!$C$5:$C$2000,MATCH(I319, 'Green_rooibos initial weight'!$A$5:$A$2000,0)),"")</f>
        <v>2.169</v>
      </c>
      <c r="L319" s="194">
        <f t="shared" si="43"/>
        <v>1.8921999999999999</v>
      </c>
      <c r="M319" s="233">
        <f>AVERAGE(Ashed_controlls!$K$1:$K$11)</f>
        <v>5.5147656768714146</v>
      </c>
      <c r="N319" s="194">
        <f t="shared" si="39"/>
        <v>1.7878496038622389</v>
      </c>
      <c r="O319" s="194">
        <f t="shared" si="44"/>
        <v>1.9192</v>
      </c>
      <c r="P319" s="233">
        <f>AVERAGE(Ashed_controlls!$K$12:$K$14)</f>
        <v>2.2816647271287041</v>
      </c>
      <c r="Q319" s="194">
        <f t="shared" si="40"/>
        <v>1.8754102905569459</v>
      </c>
      <c r="R319" s="376">
        <f>IF('Dry_Litterbag Placem_Collection'!G26="","",'Dry_Litterbag Placem_Collection'!G26)</f>
        <v>43007</v>
      </c>
      <c r="S319" s="194">
        <f>IFERROR(INDEX('Both teabags AfterDry'!$D$3:$D$2000,MATCH(H319,'Both teabags AfterDry'!$A$3:$A$2000,0)),"")</f>
        <v>1.8862000000000001</v>
      </c>
      <c r="T319" s="194">
        <f>IFERROR(INDEX('Both teabags AfterDry'!$D$3:$D$2000,MATCH(I319,'Both teabags AfterDry'!$A$3:$A$2000,0)),"")</f>
        <v>1.9756</v>
      </c>
      <c r="U319" s="194">
        <f t="shared" si="45"/>
        <v>1.7356</v>
      </c>
      <c r="V319" s="194">
        <f t="shared" si="46"/>
        <v>1.825</v>
      </c>
      <c r="W319" s="194">
        <f>IFERROR(INDEX('Ashed teabags dry'!$K$2:$K$2000,MATCH(H319,'Ashed teabags dry'!$A$2:$A$2000,0)),"")</f>
        <v>6.1334641805691774</v>
      </c>
      <c r="X319" s="194">
        <f>IFERROR(INDEX('Ashed teabags dry'!$K$2:$K$2000,MATCH(I319,'Ashed teabags dry'!$A$2:$A$2000,0)),"")</f>
        <v>3.4467713787080392</v>
      </c>
      <c r="Y319" s="194">
        <f t="shared" si="41"/>
        <v>1.6291475956820414</v>
      </c>
      <c r="Z319" s="194">
        <f t="shared" si="41"/>
        <v>1.7620964223385782</v>
      </c>
      <c r="AA319" s="194">
        <f t="shared" si="47"/>
        <v>8.8766978965880705E-2</v>
      </c>
      <c r="AB319" s="194">
        <f t="shared" si="48"/>
        <v>5.8194028965755547E-2</v>
      </c>
      <c r="AC319" s="194">
        <f t="shared" si="42"/>
        <v>0.939579158337285</v>
      </c>
      <c r="AD319">
        <f t="shared" si="49"/>
        <v>71</v>
      </c>
      <c r="AE319" s="194">
        <f t="shared" si="50"/>
        <v>0.89457603448232692</v>
      </c>
      <c r="AF319" s="194" t="str">
        <f t="shared" si="51"/>
        <v/>
      </c>
      <c r="AG319" s="245" t="str">
        <f>IF(ISNUMBER(SEARCH("C", 'Dry_Litterbag Placem_Collection'!$V26)),"YES","NO")</f>
        <v>NO</v>
      </c>
      <c r="AH319" s="245" t="str">
        <f>IF(ISNUMBER(SEARCH("H", 'Dry_Litterbag Placem_Collection'!$V26)),"YES","NO")</f>
        <v>NO</v>
      </c>
      <c r="AI319" s="245" t="str">
        <f>IF(ISNUMBER(SEARCH("R", 'Dry_Litterbag Placem_Collection'!$V26)),"YES","NO")</f>
        <v>NO</v>
      </c>
      <c r="AJ319" s="245" t="str">
        <f>IF(ISNUMBER(SEARCH("C", 'Dry_Litterbag Placem_Collection'!$U26)),"YES","NO")</f>
        <v>NO</v>
      </c>
      <c r="AK319" s="245" t="str">
        <f>IF(ISNUMBER(SEARCH("H", 'Dry_Litterbag Placem_Collection'!$U26)),"YES","NO")</f>
        <v>NO</v>
      </c>
      <c r="AL319" s="245" t="str">
        <f>IF(ISNUMBER(SEARCH("R", 'Dry_Litterbag Placem_Collection'!$U26)),"YES","NO")</f>
        <v>NO</v>
      </c>
    </row>
    <row r="320" spans="2:38">
      <c r="B320" t="str">
        <f>Dryseason!B466</f>
        <v>Dry</v>
      </c>
      <c r="C320" s="253">
        <f>Dryseason!C466</f>
        <v>25</v>
      </c>
      <c r="D320" t="s">
        <v>3105</v>
      </c>
      <c r="E320" t="s">
        <v>25</v>
      </c>
      <c r="F320" s="374">
        <v>1</v>
      </c>
      <c r="G320" s="376">
        <f>IF('Dry_Litterbag Placem_Collection'!E27="","",'Dry_Litterbag Placem_Collection'!E27)</f>
        <v>42936</v>
      </c>
      <c r="H320" s="92" t="str">
        <f>Dryseason!L466</f>
        <v>G156</v>
      </c>
      <c r="I320" t="str">
        <f>Dryseason!L686</f>
        <v>R230</v>
      </c>
      <c r="J320">
        <f>IFERROR(INDEX('Green_rooibos initial weight'!$C$5:$C$2000,MATCH(H320, 'Green_rooibos initial weight'!$A$5:$A$2000,0)),"")</f>
        <v>1.944</v>
      </c>
      <c r="K320">
        <f>IFERROR(INDEX('Green_rooibos initial weight'!$C$5:$C$2000,MATCH(I320, 'Green_rooibos initial weight'!$A$5:$A$2000,0)),"")</f>
        <v>2.2589999999999999</v>
      </c>
      <c r="L320" s="194">
        <f t="shared" si="43"/>
        <v>1.6941999999999999</v>
      </c>
      <c r="M320" s="233">
        <f>AVERAGE(Ashed_controlls!$K$1:$K$11)</f>
        <v>5.5147656768714146</v>
      </c>
      <c r="N320" s="194">
        <f t="shared" si="39"/>
        <v>1.6007688399024445</v>
      </c>
      <c r="O320" s="194">
        <f t="shared" si="44"/>
        <v>2.0091999999999999</v>
      </c>
      <c r="P320" s="233">
        <f>AVERAGE(Ashed_controlls!$K$12:$K$14)</f>
        <v>2.2816647271287041</v>
      </c>
      <c r="Q320" s="194">
        <f t="shared" si="40"/>
        <v>1.9633567923025299</v>
      </c>
      <c r="R320" s="376">
        <f>IF('Dry_Litterbag Placem_Collection'!G27="","",'Dry_Litterbag Placem_Collection'!G27)</f>
        <v>43007</v>
      </c>
      <c r="S320" s="194">
        <f>IFERROR(INDEX('Both teabags AfterDry'!$D$3:$D$2000,MATCH(H320,'Both teabags AfterDry'!$A$3:$A$2000,0)),"")</f>
        <v>1.8079000000000001</v>
      </c>
      <c r="T320" s="194">
        <f>IFERROR(INDEX('Both teabags AfterDry'!$D$3:$D$2000,MATCH(I320,'Both teabags AfterDry'!$A$3:$A$2000,0)),"")</f>
        <v>2.0360999999999998</v>
      </c>
      <c r="U320" s="194">
        <f t="shared" si="45"/>
        <v>1.6573</v>
      </c>
      <c r="V320" s="194">
        <f t="shared" si="46"/>
        <v>1.8854999999999997</v>
      </c>
      <c r="W320" s="194">
        <f>IFERROR(INDEX('Ashed teabags dry'!$K$2:$K$2000,MATCH(H320,'Ashed teabags dry'!$A$2:$A$2000,0)),"")</f>
        <v>5.9562587249876717</v>
      </c>
      <c r="X320" s="194">
        <f>IFERROR(INDEX('Ashed teabags dry'!$K$2:$K$2000,MATCH(I320,'Ashed teabags dry'!$A$2:$A$2000,0)),"")</f>
        <v>3.0508474576268232</v>
      </c>
      <c r="Y320" s="194">
        <f t="shared" si="41"/>
        <v>1.5585869241507793</v>
      </c>
      <c r="Z320" s="194">
        <f t="shared" si="41"/>
        <v>1.827976271186446</v>
      </c>
      <c r="AA320" s="194">
        <f t="shared" si="47"/>
        <v>2.6351035015296675E-2</v>
      </c>
      <c r="AB320" s="194">
        <f t="shared" si="48"/>
        <v>1.7275262860384537E-2</v>
      </c>
      <c r="AC320" s="194">
        <f t="shared" si="42"/>
        <v>0.9310463988782619</v>
      </c>
      <c r="AD320">
        <f t="shared" si="49"/>
        <v>71</v>
      </c>
      <c r="AE320" s="194">
        <f t="shared" si="50"/>
        <v>0.96870423394857874</v>
      </c>
      <c r="AF320" s="194" t="str">
        <f t="shared" si="51"/>
        <v/>
      </c>
      <c r="AG320" s="245" t="str">
        <f>IF(ISNUMBER(SEARCH("C", 'Dry_Litterbag Placem_Collection'!$V27)),"YES","NO")</f>
        <v>NO</v>
      </c>
      <c r="AH320" s="245" t="str">
        <f>IF(ISNUMBER(SEARCH("H", 'Dry_Litterbag Placem_Collection'!$V27)),"YES","NO")</f>
        <v>NO</v>
      </c>
      <c r="AI320" s="245" t="str">
        <f>IF(ISNUMBER(SEARCH("R", 'Dry_Litterbag Placem_Collection'!$V27)),"YES","NO")</f>
        <v>NO</v>
      </c>
      <c r="AJ320" s="245" t="str">
        <f>IF(ISNUMBER(SEARCH("C", 'Dry_Litterbag Placem_Collection'!$U27)),"YES","NO")</f>
        <v>NO</v>
      </c>
      <c r="AK320" s="245" t="str">
        <f>IF(ISNUMBER(SEARCH("H", 'Dry_Litterbag Placem_Collection'!$U27)),"YES","NO")</f>
        <v>NO</v>
      </c>
      <c r="AL320" s="245" t="str">
        <f>IF(ISNUMBER(SEARCH("R", 'Dry_Litterbag Placem_Collection'!$U27)),"YES","NO")</f>
        <v>NO</v>
      </c>
    </row>
    <row r="321" spans="2:38">
      <c r="B321" t="str">
        <f>Dryseason!B467</f>
        <v>Dry</v>
      </c>
      <c r="C321" s="253">
        <f>Dryseason!C467</f>
        <v>26</v>
      </c>
      <c r="D321" t="s">
        <v>3105</v>
      </c>
      <c r="E321" t="s">
        <v>25</v>
      </c>
      <c r="F321" s="374">
        <v>2</v>
      </c>
      <c r="G321" s="376">
        <f>IF('Dry_Litterbag Placem_Collection'!E28="","",'Dry_Litterbag Placem_Collection'!E28)</f>
        <v>42936</v>
      </c>
      <c r="H321" s="92" t="str">
        <f>Dryseason!L467</f>
        <v>G555</v>
      </c>
      <c r="I321" t="str">
        <f>Dryseason!L687</f>
        <v>R642</v>
      </c>
      <c r="J321">
        <f>IFERROR(INDEX('Green_rooibos initial weight'!$C$5:$C$2000,MATCH(H321, 'Green_rooibos initial weight'!$A$5:$A$2000,0)),"")</f>
        <v>2.1469999999999998</v>
      </c>
      <c r="K321">
        <f>IFERROR(INDEX('Green_rooibos initial weight'!$C$5:$C$2000,MATCH(I321, 'Green_rooibos initial weight'!$A$5:$A$2000,0)),"")</f>
        <v>2.14</v>
      </c>
      <c r="L321" s="194">
        <f t="shared" si="43"/>
        <v>1.8971999999999998</v>
      </c>
      <c r="M321" s="233">
        <f>AVERAGE(Ashed_controlls!$K$1:$K$11)</f>
        <v>5.5147656768714146</v>
      </c>
      <c r="N321" s="194">
        <f t="shared" si="39"/>
        <v>1.7925738655783954</v>
      </c>
      <c r="O321" s="194">
        <f t="shared" si="44"/>
        <v>1.8902000000000001</v>
      </c>
      <c r="P321" s="233">
        <f>AVERAGE(Ashed_controlls!$K$12:$K$14)</f>
        <v>2.2816647271287041</v>
      </c>
      <c r="Q321" s="194">
        <f t="shared" si="40"/>
        <v>1.8470719733278134</v>
      </c>
      <c r="R321" s="376">
        <f>IF('Dry_Litterbag Placem_Collection'!G28="","",'Dry_Litterbag Placem_Collection'!G28)</f>
        <v>43007</v>
      </c>
      <c r="S321" s="194">
        <f>IFERROR(INDEX('Both teabags AfterDry'!$D$3:$D$2000,MATCH(H321,'Both teabags AfterDry'!$A$3:$A$2000,0)),"")</f>
        <v>2.0030000000000001</v>
      </c>
      <c r="T321" s="194">
        <f>IFERROR(INDEX('Both teabags AfterDry'!$D$3:$D$2000,MATCH(I321,'Both teabags AfterDry'!$A$3:$A$2000,0)),"")</f>
        <v>1.9686999999999999</v>
      </c>
      <c r="U321" s="194">
        <f t="shared" si="45"/>
        <v>1.8524</v>
      </c>
      <c r="V321" s="194">
        <f t="shared" si="46"/>
        <v>1.8180999999999998</v>
      </c>
      <c r="W321" s="194">
        <f>IFERROR(INDEX('Ashed teabags dry'!$K$2:$K$2000,MATCH(H321,'Ashed teabags dry'!$A$2:$A$2000,0)),"")</f>
        <v>6.0509554140126784</v>
      </c>
      <c r="X321" s="194">
        <f>IFERROR(INDEX('Ashed teabags dry'!$K$2:$K$2000,MATCH(I321,'Ashed teabags dry'!$A$2:$A$2000,0)),"")</f>
        <v>2.1136683889149204</v>
      </c>
      <c r="Y321" s="194">
        <f t="shared" si="41"/>
        <v>1.7403121019108292</v>
      </c>
      <c r="Z321" s="194">
        <f t="shared" si="41"/>
        <v>1.7796713950211376</v>
      </c>
      <c r="AA321" s="194">
        <f t="shared" si="47"/>
        <v>2.9154594224045205E-2</v>
      </c>
      <c r="AB321" s="194">
        <f t="shared" si="48"/>
        <v>1.9113225667070008E-2</v>
      </c>
      <c r="AC321" s="194">
        <f t="shared" si="42"/>
        <v>0.96350950083160958</v>
      </c>
      <c r="AD321">
        <f t="shared" si="49"/>
        <v>71</v>
      </c>
      <c r="AE321" s="194">
        <f t="shared" si="50"/>
        <v>0.96537459118284419</v>
      </c>
      <c r="AF321" s="194" t="str">
        <f t="shared" si="51"/>
        <v/>
      </c>
      <c r="AG321" s="245" t="str">
        <f>IF(ISNUMBER(SEARCH("C", 'Dry_Litterbag Placem_Collection'!$V28)),"YES","NO")</f>
        <v>NO</v>
      </c>
      <c r="AH321" s="245" t="str">
        <f>IF(ISNUMBER(SEARCH("H", 'Dry_Litterbag Placem_Collection'!$V28)),"YES","NO")</f>
        <v>NO</v>
      </c>
      <c r="AI321" s="245" t="str">
        <f>IF(ISNUMBER(SEARCH("R", 'Dry_Litterbag Placem_Collection'!$V28)),"YES","NO")</f>
        <v>NO</v>
      </c>
      <c r="AJ321" s="245" t="str">
        <f>IF(ISNUMBER(SEARCH("C", 'Dry_Litterbag Placem_Collection'!$U28)),"YES","NO")</f>
        <v>NO</v>
      </c>
      <c r="AK321" s="245" t="str">
        <f>IF(ISNUMBER(SEARCH("H", 'Dry_Litterbag Placem_Collection'!$U28)),"YES","NO")</f>
        <v>NO</v>
      </c>
      <c r="AL321" s="245" t="str">
        <f>IF(ISNUMBER(SEARCH("R", 'Dry_Litterbag Placem_Collection'!$U28)),"YES","NO")</f>
        <v>NO</v>
      </c>
    </row>
    <row r="322" spans="2:38">
      <c r="B322" t="str">
        <f>Dryseason!B468</f>
        <v>Dry</v>
      </c>
      <c r="C322" s="253">
        <f>Dryseason!C468</f>
        <v>27</v>
      </c>
      <c r="D322" t="s">
        <v>3105</v>
      </c>
      <c r="E322" t="s">
        <v>25</v>
      </c>
      <c r="F322" s="374">
        <v>3</v>
      </c>
      <c r="G322" s="376">
        <f>IF('Dry_Litterbag Placem_Collection'!E29="","",'Dry_Litterbag Placem_Collection'!E29)</f>
        <v>42936</v>
      </c>
      <c r="H322" s="92" t="str">
        <f>Dryseason!L468</f>
        <v>G378</v>
      </c>
      <c r="I322" t="str">
        <f>Dryseason!L688</f>
        <v>R199</v>
      </c>
      <c r="J322">
        <f>IFERROR(INDEX('Green_rooibos initial weight'!$C$5:$C$2000,MATCH(H322, 'Green_rooibos initial weight'!$A$5:$A$2000,0)),"")</f>
        <v>2.0830000000000002</v>
      </c>
      <c r="K322">
        <f>IFERROR(INDEX('Green_rooibos initial weight'!$C$5:$C$2000,MATCH(I322, 'Green_rooibos initial weight'!$A$5:$A$2000,0)),"")</f>
        <v>2.1850000000000001</v>
      </c>
      <c r="L322" s="194">
        <f t="shared" si="43"/>
        <v>1.8332000000000002</v>
      </c>
      <c r="M322" s="233">
        <f>AVERAGE(Ashed_controlls!$K$1:$K$11)</f>
        <v>5.5147656768714146</v>
      </c>
      <c r="N322" s="194">
        <f t="shared" si="39"/>
        <v>1.7321033156115935</v>
      </c>
      <c r="O322" s="194">
        <f t="shared" si="44"/>
        <v>1.9352</v>
      </c>
      <c r="P322" s="233">
        <f>AVERAGE(Ashed_controlls!$K$12:$K$14)</f>
        <v>2.2816647271287041</v>
      </c>
      <c r="Q322" s="194">
        <f t="shared" si="40"/>
        <v>1.8910452242006053</v>
      </c>
      <c r="R322" s="376">
        <f>IF('Dry_Litterbag Placem_Collection'!G29="","",'Dry_Litterbag Placem_Collection'!G29)</f>
        <v>43007</v>
      </c>
      <c r="S322" s="194" t="str">
        <f>IFERROR(INDEX('Both teabags AfterDry'!$D$3:$D$2000,MATCH(H322,'Both teabags AfterDry'!$A$3:$A$2000,0)),"")</f>
        <v/>
      </c>
      <c r="T322" s="194" t="str">
        <f>IFERROR(INDEX('Both teabags AfterDry'!$D$3:$D$2000,MATCH(I322,'Both teabags AfterDry'!$A$3:$A$2000,0)),"")</f>
        <v/>
      </c>
      <c r="U322" s="194" t="str">
        <f t="shared" si="45"/>
        <v/>
      </c>
      <c r="V322" s="194" t="str">
        <f t="shared" si="46"/>
        <v/>
      </c>
      <c r="W322" s="194" t="str">
        <f>IFERROR(INDEX('Ashed teabags dry'!$K$2:$K$2000,MATCH(H322,'Ashed teabags dry'!$A$2:$A$2000,0)),"")</f>
        <v/>
      </c>
      <c r="X322" s="194" t="str">
        <f>IFERROR(INDEX('Ashed teabags dry'!$K$2:$K$2000,MATCH(I322,'Ashed teabags dry'!$A$2:$A$2000,0)),"")</f>
        <v/>
      </c>
      <c r="Y322" s="194" t="str">
        <f t="shared" si="41"/>
        <v/>
      </c>
      <c r="Z322" s="194" t="str">
        <f t="shared" si="41"/>
        <v/>
      </c>
      <c r="AA322" s="194" t="str">
        <f t="shared" si="47"/>
        <v/>
      </c>
      <c r="AB322" s="194" t="str">
        <f t="shared" si="48"/>
        <v/>
      </c>
      <c r="AC322" s="194" t="str">
        <f t="shared" si="42"/>
        <v/>
      </c>
      <c r="AD322">
        <f t="shared" si="49"/>
        <v>71</v>
      </c>
      <c r="AE322" s="194" t="str">
        <f t="shared" si="50"/>
        <v/>
      </c>
      <c r="AF322" s="194" t="str">
        <f t="shared" si="51"/>
        <v/>
      </c>
      <c r="AG322" s="245" t="str">
        <f>IF(ISNUMBER(SEARCH("C", 'Dry_Litterbag Placem_Collection'!$V29)),"YES","NO")</f>
        <v>NO</v>
      </c>
      <c r="AH322" s="245" t="str">
        <f>IF(ISNUMBER(SEARCH("H", 'Dry_Litterbag Placem_Collection'!$V29)),"YES","NO")</f>
        <v>NO</v>
      </c>
      <c r="AI322" s="245" t="str">
        <f>IF(ISNUMBER(SEARCH("R", 'Dry_Litterbag Placem_Collection'!$V29)),"YES","NO")</f>
        <v>NO</v>
      </c>
      <c r="AJ322" s="245" t="str">
        <f>IF(ISNUMBER(SEARCH("C", 'Dry_Litterbag Placem_Collection'!$U29)),"YES","NO")</f>
        <v>NO</v>
      </c>
      <c r="AK322" s="245" t="str">
        <f>IF(ISNUMBER(SEARCH("H", 'Dry_Litterbag Placem_Collection'!$U29)),"YES","NO")</f>
        <v>NO</v>
      </c>
      <c r="AL322" s="245" t="str">
        <f>IF(ISNUMBER(SEARCH("R", 'Dry_Litterbag Placem_Collection'!$U29)),"YES","NO")</f>
        <v>NO</v>
      </c>
    </row>
    <row r="323" spans="2:38">
      <c r="B323" t="str">
        <f>Dryseason!B469</f>
        <v>Dry</v>
      </c>
      <c r="C323" s="253">
        <f>Dryseason!C469</f>
        <v>28</v>
      </c>
      <c r="D323" t="s">
        <v>3105</v>
      </c>
      <c r="E323" t="s">
        <v>25</v>
      </c>
      <c r="F323" s="375">
        <v>4</v>
      </c>
      <c r="G323" s="376">
        <f>IF('Dry_Litterbag Placem_Collection'!E30="","",'Dry_Litterbag Placem_Collection'!E30)</f>
        <v>42936</v>
      </c>
      <c r="H323" s="92" t="str">
        <f>Dryseason!L469</f>
        <v>G46</v>
      </c>
      <c r="I323" t="str">
        <f>Dryseason!L689</f>
        <v>R162</v>
      </c>
      <c r="J323">
        <f>IFERROR(INDEX('Green_rooibos initial weight'!$C$5:$C$2000,MATCH(H323, 'Green_rooibos initial weight'!$A$5:$A$2000,0)),"")</f>
        <v>1.895</v>
      </c>
      <c r="K323">
        <f>IFERROR(INDEX('Green_rooibos initial weight'!$C$5:$C$2000,MATCH(I323, 'Green_rooibos initial weight'!$A$5:$A$2000,0)),"")</f>
        <v>2.242</v>
      </c>
      <c r="L323" s="194">
        <f t="shared" si="43"/>
        <v>1.6452</v>
      </c>
      <c r="M323" s="233">
        <f>AVERAGE(Ashed_controlls!$K$1:$K$11)</f>
        <v>5.5147656768714146</v>
      </c>
      <c r="N323" s="194">
        <f t="shared" si="39"/>
        <v>1.5544710750841115</v>
      </c>
      <c r="O323" s="194">
        <f t="shared" si="44"/>
        <v>1.9922</v>
      </c>
      <c r="P323" s="233">
        <f>AVERAGE(Ashed_controlls!$K$12:$K$14)</f>
        <v>2.2816647271287041</v>
      </c>
      <c r="Q323" s="194">
        <f t="shared" si="40"/>
        <v>1.9467446753061419</v>
      </c>
      <c r="R323" s="376">
        <f>IF('Dry_Litterbag Placem_Collection'!G30="","",'Dry_Litterbag Placem_Collection'!G30)</f>
        <v>43007</v>
      </c>
      <c r="S323" s="194">
        <f>IFERROR(INDEX('Both teabags AfterDry'!$D$3:$D$2000,MATCH(H323,'Both teabags AfterDry'!$A$3:$A$2000,0)),"")</f>
        <v>1.5884</v>
      </c>
      <c r="T323" s="194">
        <f>IFERROR(INDEX('Both teabags AfterDry'!$D$3:$D$2000,MATCH(I323,'Both teabags AfterDry'!$A$3:$A$2000,0)),"")</f>
        <v>1.964</v>
      </c>
      <c r="U323" s="194">
        <f t="shared" si="45"/>
        <v>1.4378</v>
      </c>
      <c r="V323" s="194">
        <f t="shared" si="46"/>
        <v>1.8133999999999999</v>
      </c>
      <c r="W323" s="194">
        <f>IFERROR(INDEX('Ashed teabags dry'!$K$2:$K$2000,MATCH(H323,'Ashed teabags dry'!$A$2:$A$2000,0)),"")</f>
        <v>6.5978456014354894</v>
      </c>
      <c r="X323" s="194">
        <f>IFERROR(INDEX('Ashed teabags dry'!$K$2:$K$2000,MATCH(I323,'Ashed teabags dry'!$A$2:$A$2000,0)),"")</f>
        <v>3.596059113301163</v>
      </c>
      <c r="Y323" s="194">
        <f t="shared" si="41"/>
        <v>1.3429361759425604</v>
      </c>
      <c r="Z323" s="194">
        <f t="shared" si="41"/>
        <v>1.7481890640393967</v>
      </c>
      <c r="AA323" s="194">
        <f t="shared" si="47"/>
        <v>0.13608159233847761</v>
      </c>
      <c r="AB323" s="194">
        <f t="shared" si="48"/>
        <v>8.9212635357291736E-2</v>
      </c>
      <c r="AC323" s="194">
        <f t="shared" si="42"/>
        <v>0.89800634167111781</v>
      </c>
      <c r="AD323">
        <f t="shared" si="49"/>
        <v>71</v>
      </c>
      <c r="AE323" s="194">
        <f t="shared" si="50"/>
        <v>0.83838290696142803</v>
      </c>
      <c r="AF323" s="194" t="str">
        <f t="shared" si="51"/>
        <v/>
      </c>
      <c r="AG323" s="245" t="str">
        <f>IF(ISNUMBER(SEARCH("C", 'Dry_Litterbag Placem_Collection'!$V30)),"YES","NO")</f>
        <v>NO</v>
      </c>
      <c r="AH323" s="245" t="str">
        <f>IF(ISNUMBER(SEARCH("H", 'Dry_Litterbag Placem_Collection'!$V30)),"YES","NO")</f>
        <v>NO</v>
      </c>
      <c r="AI323" s="245" t="str">
        <f>IF(ISNUMBER(SEARCH("R", 'Dry_Litterbag Placem_Collection'!$V30)),"YES","NO")</f>
        <v>NO</v>
      </c>
      <c r="AJ323" s="245" t="str">
        <f>IF(ISNUMBER(SEARCH("C", 'Dry_Litterbag Placem_Collection'!$U30)),"YES","NO")</f>
        <v>NO</v>
      </c>
      <c r="AK323" s="245" t="str">
        <f>IF(ISNUMBER(SEARCH("H", 'Dry_Litterbag Placem_Collection'!$U30)),"YES","NO")</f>
        <v>NO</v>
      </c>
      <c r="AL323" s="245" t="str">
        <f>IF(ISNUMBER(SEARCH("R", 'Dry_Litterbag Placem_Collection'!$U30)),"YES","NO")</f>
        <v>NO</v>
      </c>
    </row>
    <row r="324" spans="2:38">
      <c r="B324" t="str">
        <f>Dryseason!B470</f>
        <v>Dry</v>
      </c>
      <c r="C324" s="253">
        <f>Dryseason!C470</f>
        <v>29</v>
      </c>
      <c r="D324" t="s">
        <v>3105</v>
      </c>
      <c r="E324" t="s">
        <v>25</v>
      </c>
      <c r="F324" s="375">
        <v>5</v>
      </c>
      <c r="G324" s="376">
        <f>IF('Dry_Litterbag Placem_Collection'!E31="","",'Dry_Litterbag Placem_Collection'!E31)</f>
        <v>42936</v>
      </c>
      <c r="H324" s="92" t="str">
        <f>Dryseason!L470</f>
        <v>G397</v>
      </c>
      <c r="I324" t="str">
        <f>Dryseason!L690</f>
        <v>R163</v>
      </c>
      <c r="J324">
        <f>IFERROR(INDEX('Green_rooibos initial weight'!$C$5:$C$2000,MATCH(H324, 'Green_rooibos initial weight'!$A$5:$A$2000,0)),"")</f>
        <v>1.968</v>
      </c>
      <c r="K324">
        <f>IFERROR(INDEX('Green_rooibos initial weight'!$C$5:$C$2000,MATCH(I324, 'Green_rooibos initial weight'!$A$5:$A$2000,0)),"")</f>
        <v>2.23</v>
      </c>
      <c r="L324" s="194">
        <f t="shared" si="43"/>
        <v>1.7181999999999999</v>
      </c>
      <c r="M324" s="233">
        <f>AVERAGE(Ashed_controlls!$K$1:$K$11)</f>
        <v>5.5147656768714146</v>
      </c>
      <c r="N324" s="194">
        <f t="shared" si="39"/>
        <v>1.6234452961399952</v>
      </c>
      <c r="O324" s="194">
        <f t="shared" si="44"/>
        <v>1.9802</v>
      </c>
      <c r="P324" s="233">
        <f>AVERAGE(Ashed_controlls!$K$12:$K$14)</f>
        <v>2.2816647271287041</v>
      </c>
      <c r="Q324" s="194">
        <f t="shared" si="40"/>
        <v>1.9350184750733974</v>
      </c>
      <c r="R324" s="376">
        <f>IF('Dry_Litterbag Placem_Collection'!G31="","",'Dry_Litterbag Placem_Collection'!G31)</f>
        <v>43007</v>
      </c>
      <c r="S324" s="194">
        <f>IFERROR(INDEX('Both teabags AfterDry'!$D$3:$D$2000,MATCH(H324,'Both teabags AfterDry'!$A$3:$A$2000,0)),"")</f>
        <v>1.7436</v>
      </c>
      <c r="T324" s="194">
        <f>IFERROR(INDEX('Both teabags AfterDry'!$D$3:$D$2000,MATCH(I324,'Both teabags AfterDry'!$A$3:$A$2000,0)),"")</f>
        <v>1.9955000000000001</v>
      </c>
      <c r="U324" s="194">
        <f t="shared" si="45"/>
        <v>1.593</v>
      </c>
      <c r="V324" s="194">
        <f t="shared" si="46"/>
        <v>1.8449</v>
      </c>
      <c r="W324" s="194">
        <f>IFERROR(INDEX('Ashed teabags dry'!$K$2:$K$2000,MATCH(H324,'Ashed teabags dry'!$A$2:$A$2000,0)),"")</f>
        <v>6.4090019569471499</v>
      </c>
      <c r="X324" s="194">
        <f>IFERROR(INDEX('Ashed teabags dry'!$K$2:$K$2000,MATCH(I324,'Ashed teabags dry'!$A$2:$A$2000,0)),"")</f>
        <v>2.8292682926832247</v>
      </c>
      <c r="Y324" s="194">
        <f t="shared" si="41"/>
        <v>1.4909045988258318</v>
      </c>
      <c r="Z324" s="194">
        <f t="shared" si="41"/>
        <v>1.7927028292682872</v>
      </c>
      <c r="AA324" s="194">
        <f t="shared" si="47"/>
        <v>8.1641615907416476E-2</v>
      </c>
      <c r="AB324" s="194">
        <f t="shared" si="48"/>
        <v>5.3522769573508162E-2</v>
      </c>
      <c r="AC324" s="194">
        <f t="shared" si="42"/>
        <v>0.92645256485227512</v>
      </c>
      <c r="AD324">
        <f t="shared" si="49"/>
        <v>71</v>
      </c>
      <c r="AE324" s="194">
        <f t="shared" si="50"/>
        <v>0.90303846091755768</v>
      </c>
      <c r="AF324" s="194" t="str">
        <f t="shared" si="51"/>
        <v/>
      </c>
      <c r="AG324" s="245" t="str">
        <f>IF(ISNUMBER(SEARCH("C", 'Dry_Litterbag Placem_Collection'!$V31)),"YES","NO")</f>
        <v>NO</v>
      </c>
      <c r="AH324" s="245" t="str">
        <f>IF(ISNUMBER(SEARCH("H", 'Dry_Litterbag Placem_Collection'!$V31)),"YES","NO")</f>
        <v>NO</v>
      </c>
      <c r="AI324" s="245" t="str">
        <f>IF(ISNUMBER(SEARCH("R", 'Dry_Litterbag Placem_Collection'!$V31)),"YES","NO")</f>
        <v>NO</v>
      </c>
      <c r="AJ324" s="245" t="str">
        <f>IF(ISNUMBER(SEARCH("C", 'Dry_Litterbag Placem_Collection'!$U31)),"YES","NO")</f>
        <v>NO</v>
      </c>
      <c r="AK324" s="245" t="str">
        <f>IF(ISNUMBER(SEARCH("H", 'Dry_Litterbag Placem_Collection'!$U31)),"YES","NO")</f>
        <v>NO</v>
      </c>
      <c r="AL324" s="245" t="str">
        <f>IF(ISNUMBER(SEARCH("R", 'Dry_Litterbag Placem_Collection'!$U31)),"YES","NO")</f>
        <v>NO</v>
      </c>
    </row>
    <row r="325" spans="2:38">
      <c r="B325" t="str">
        <f>Dryseason!B471</f>
        <v>Dry</v>
      </c>
      <c r="C325" s="253">
        <f>Dryseason!C471</f>
        <v>30</v>
      </c>
      <c r="D325" t="s">
        <v>3105</v>
      </c>
      <c r="E325" t="s">
        <v>25</v>
      </c>
      <c r="F325" s="375">
        <v>6</v>
      </c>
      <c r="G325" s="376">
        <f>IF('Dry_Litterbag Placem_Collection'!E32="","",'Dry_Litterbag Placem_Collection'!E32)</f>
        <v>42936</v>
      </c>
      <c r="H325" s="92" t="str">
        <f>Dryseason!L471</f>
        <v>G166</v>
      </c>
      <c r="I325" t="str">
        <f>Dryseason!L691</f>
        <v>R345</v>
      </c>
      <c r="J325">
        <f>IFERROR(INDEX('Green_rooibos initial weight'!$C$5:$C$2000,MATCH(H325, 'Green_rooibos initial weight'!$A$5:$A$2000,0)),"")</f>
        <v>2.032</v>
      </c>
      <c r="K325">
        <f>IFERROR(INDEX('Green_rooibos initial weight'!$C$5:$C$2000,MATCH(I325, 'Green_rooibos initial weight'!$A$5:$A$2000,0)),"")</f>
        <v>2.2599999999999998</v>
      </c>
      <c r="L325" s="194">
        <f t="shared" si="43"/>
        <v>1.7822</v>
      </c>
      <c r="M325" s="233">
        <f>AVERAGE(Ashed_controlls!$K$1:$K$11)</f>
        <v>5.5147656768714146</v>
      </c>
      <c r="N325" s="194">
        <f t="shared" si="39"/>
        <v>1.6839158461067976</v>
      </c>
      <c r="O325" s="194">
        <f t="shared" si="44"/>
        <v>2.0101999999999998</v>
      </c>
      <c r="P325" s="233">
        <f>AVERAGE(Ashed_controlls!$K$12:$K$14)</f>
        <v>2.2816647271287041</v>
      </c>
      <c r="Q325" s="194">
        <f t="shared" si="40"/>
        <v>1.9643339756552585</v>
      </c>
      <c r="R325" s="376">
        <f>IF('Dry_Litterbag Placem_Collection'!G32="","",'Dry_Litterbag Placem_Collection'!G32)</f>
        <v>43007</v>
      </c>
      <c r="S325" s="194">
        <f>IFERROR(INDEX('Both teabags AfterDry'!$D$3:$D$2000,MATCH(H325,'Both teabags AfterDry'!$A$3:$A$2000,0)),"")</f>
        <v>1.8809</v>
      </c>
      <c r="T325" s="194">
        <f>IFERROR(INDEX('Both teabags AfterDry'!$D$3:$D$2000,MATCH(I325,'Both teabags AfterDry'!$A$3:$A$2000,0)),"")</f>
        <v>2.0409000000000002</v>
      </c>
      <c r="U325" s="194">
        <f t="shared" si="45"/>
        <v>1.7302999999999999</v>
      </c>
      <c r="V325" s="194">
        <f t="shared" si="46"/>
        <v>1.8903000000000001</v>
      </c>
      <c r="W325" s="194">
        <f>IFERROR(INDEX('Ashed teabags dry'!$K$2:$K$2000,MATCH(H325,'Ashed teabags dry'!$A$2:$A$2000,0)),"")</f>
        <v>5.730937348227001</v>
      </c>
      <c r="X325" s="194">
        <f>IFERROR(INDEX('Ashed teabags dry'!$K$2:$K$2000,MATCH(I325,'Ashed teabags dry'!$A$2:$A$2000,0)),"")</f>
        <v>2.2449975597850815</v>
      </c>
      <c r="Y325" s="194">
        <f t="shared" si="41"/>
        <v>1.6311375910636281</v>
      </c>
      <c r="Z325" s="194">
        <f t="shared" si="41"/>
        <v>1.8478628111273827</v>
      </c>
      <c r="AA325" s="194">
        <f t="shared" si="47"/>
        <v>3.1342572828204185E-2</v>
      </c>
      <c r="AB325" s="194">
        <f t="shared" si="48"/>
        <v>2.0547624942005571E-2</v>
      </c>
      <c r="AC325" s="194">
        <f t="shared" si="42"/>
        <v>0.94070704576138919</v>
      </c>
      <c r="AD325">
        <f t="shared" si="49"/>
        <v>71</v>
      </c>
      <c r="AE325" s="194">
        <f t="shared" si="50"/>
        <v>0.96277604177172904</v>
      </c>
      <c r="AF325" s="194" t="str">
        <f t="shared" si="51"/>
        <v/>
      </c>
      <c r="AG325" s="245" t="str">
        <f>IF(ISNUMBER(SEARCH("C", 'Dry_Litterbag Placem_Collection'!$V32)),"YES","NO")</f>
        <v>NO</v>
      </c>
      <c r="AH325" s="245" t="str">
        <f>IF(ISNUMBER(SEARCH("H", 'Dry_Litterbag Placem_Collection'!$V32)),"YES","NO")</f>
        <v>NO</v>
      </c>
      <c r="AI325" s="245" t="str">
        <f>IF(ISNUMBER(SEARCH("R", 'Dry_Litterbag Placem_Collection'!$V32)),"YES","NO")</f>
        <v>NO</v>
      </c>
      <c r="AJ325" s="245" t="str">
        <f>IF(ISNUMBER(SEARCH("C", 'Dry_Litterbag Placem_Collection'!$U32)),"YES","NO")</f>
        <v>NO</v>
      </c>
      <c r="AK325" s="245" t="str">
        <f>IF(ISNUMBER(SEARCH("H", 'Dry_Litterbag Placem_Collection'!$U32)),"YES","NO")</f>
        <v>NO</v>
      </c>
      <c r="AL325" s="245" t="str">
        <f>IF(ISNUMBER(SEARCH("R", 'Dry_Litterbag Placem_Collection'!$U32)),"YES","NO")</f>
        <v>NO</v>
      </c>
    </row>
    <row r="326" spans="2:38">
      <c r="B326" t="str">
        <f>Dryseason!B472</f>
        <v>Dry</v>
      </c>
      <c r="C326" s="253">
        <f>Dryseason!C472</f>
        <v>31</v>
      </c>
      <c r="D326" t="s">
        <v>3105</v>
      </c>
      <c r="E326" t="s">
        <v>25</v>
      </c>
      <c r="F326" s="375">
        <v>7</v>
      </c>
      <c r="G326" s="376" t="str">
        <f>IF('Dry_Litterbag Placem_Collection'!E33="","",'Dry_Litterbag Placem_Collection'!E33)</f>
        <v/>
      </c>
      <c r="H326" s="92" t="str">
        <f>Dryseason!L472</f>
        <v/>
      </c>
      <c r="I326" t="str">
        <f>Dryseason!L692</f>
        <v/>
      </c>
      <c r="J326" t="str">
        <f>IFERROR(INDEX('Green_rooibos initial weight'!$C$5:$C$2000,MATCH(H326, 'Green_rooibos initial weight'!$A$5:$A$2000,0)),"")</f>
        <v/>
      </c>
      <c r="K326" t="str">
        <f>IFERROR(INDEX('Green_rooibos initial weight'!$C$5:$C$2000,MATCH(I326, 'Green_rooibos initial weight'!$A$5:$A$2000,0)),"")</f>
        <v/>
      </c>
      <c r="L326" s="194" t="str">
        <f t="shared" si="43"/>
        <v/>
      </c>
      <c r="M326" s="233">
        <f>AVERAGE(Ashed_controlls!$K$1:$K$11)</f>
        <v>5.5147656768714146</v>
      </c>
      <c r="N326" s="194" t="str">
        <f t="shared" si="39"/>
        <v/>
      </c>
      <c r="O326" s="194" t="str">
        <f t="shared" si="44"/>
        <v/>
      </c>
      <c r="P326" s="233">
        <f>AVERAGE(Ashed_controlls!$K$12:$K$14)</f>
        <v>2.2816647271287041</v>
      </c>
      <c r="Q326" s="194" t="str">
        <f t="shared" si="40"/>
        <v/>
      </c>
      <c r="R326" s="376" t="str">
        <f>IF('Dry_Litterbag Placem_Collection'!G33="","",'Dry_Litterbag Placem_Collection'!G33)</f>
        <v/>
      </c>
      <c r="S326" s="194" t="str">
        <f>IFERROR(INDEX('Both teabags AfterDry'!$D$3:$D$2000,MATCH(H326,'Both teabags AfterDry'!$A$3:$A$2000,0)),"")</f>
        <v/>
      </c>
      <c r="T326" s="194" t="str">
        <f>IFERROR(INDEX('Both teabags AfterDry'!$D$3:$D$2000,MATCH(I326,'Both teabags AfterDry'!$A$3:$A$2000,0)),"")</f>
        <v/>
      </c>
      <c r="U326" s="194" t="str">
        <f t="shared" si="45"/>
        <v/>
      </c>
      <c r="V326" s="194" t="str">
        <f t="shared" si="46"/>
        <v/>
      </c>
      <c r="W326" s="194" t="str">
        <f>IFERROR(INDEX('Ashed teabags dry'!$K$2:$K$2000,MATCH(H326,'Ashed teabags dry'!$A$2:$A$2000,0)),"")</f>
        <v/>
      </c>
      <c r="X326" s="194" t="str">
        <f>IFERROR(INDEX('Ashed teabags dry'!$K$2:$K$2000,MATCH(I326,'Ashed teabags dry'!$A$2:$A$2000,0)),"")</f>
        <v/>
      </c>
      <c r="Y326" s="194" t="str">
        <f t="shared" si="41"/>
        <v/>
      </c>
      <c r="Z326" s="194" t="str">
        <f t="shared" si="41"/>
        <v/>
      </c>
      <c r="AA326" s="194" t="str">
        <f t="shared" si="47"/>
        <v/>
      </c>
      <c r="AB326" s="194" t="str">
        <f t="shared" si="48"/>
        <v/>
      </c>
      <c r="AC326" s="194" t="str">
        <f t="shared" si="42"/>
        <v/>
      </c>
      <c r="AD326" t="str">
        <f t="shared" si="49"/>
        <v/>
      </c>
      <c r="AE326" s="194" t="str">
        <f t="shared" si="50"/>
        <v/>
      </c>
      <c r="AF326" s="194" t="str">
        <f t="shared" si="51"/>
        <v/>
      </c>
      <c r="AG326" s="245" t="str">
        <f>IF(ISNUMBER(SEARCH("C", 'Dry_Litterbag Placem_Collection'!$V33)),"YES","NO")</f>
        <v>NO</v>
      </c>
      <c r="AH326" s="245" t="str">
        <f>IF(ISNUMBER(SEARCH("H", 'Dry_Litterbag Placem_Collection'!$V33)),"YES","NO")</f>
        <v>NO</v>
      </c>
      <c r="AI326" s="245" t="str">
        <f>IF(ISNUMBER(SEARCH("R", 'Dry_Litterbag Placem_Collection'!$V33)),"YES","NO")</f>
        <v>NO</v>
      </c>
      <c r="AJ326" s="245" t="str">
        <f>IF(ISNUMBER(SEARCH("C", 'Dry_Litterbag Placem_Collection'!$U33)),"YES","NO")</f>
        <v>NO</v>
      </c>
      <c r="AK326" s="245" t="str">
        <f>IF(ISNUMBER(SEARCH("H", 'Dry_Litterbag Placem_Collection'!$U33)),"YES","NO")</f>
        <v>NO</v>
      </c>
      <c r="AL326" s="245" t="str">
        <f>IF(ISNUMBER(SEARCH("R", 'Dry_Litterbag Placem_Collection'!$U33)),"YES","NO")</f>
        <v>NO</v>
      </c>
    </row>
    <row r="327" spans="2:38">
      <c r="B327" t="str">
        <f>Dryseason!B473</f>
        <v>Dry</v>
      </c>
      <c r="C327" s="253">
        <f>Dryseason!C473</f>
        <v>32</v>
      </c>
      <c r="D327" t="s">
        <v>3105</v>
      </c>
      <c r="E327" t="s">
        <v>25</v>
      </c>
      <c r="F327" s="375">
        <v>8</v>
      </c>
      <c r="G327" s="376">
        <f>IF('Dry_Litterbag Placem_Collection'!E34="","",'Dry_Litterbag Placem_Collection'!E34)</f>
        <v>42936</v>
      </c>
      <c r="H327" s="92" t="str">
        <f>Dryseason!L473</f>
        <v>G293</v>
      </c>
      <c r="I327" t="str">
        <f>Dryseason!L693</f>
        <v>R660</v>
      </c>
      <c r="J327">
        <f>IFERROR(INDEX('Green_rooibos initial weight'!$C$5:$C$2000,MATCH(H327, 'Green_rooibos initial weight'!$A$5:$A$2000,0)),"")</f>
        <v>2.0699999999999998</v>
      </c>
      <c r="K327">
        <f>IFERROR(INDEX('Green_rooibos initial weight'!$C$5:$C$2000,MATCH(I327, 'Green_rooibos initial weight'!$A$5:$A$2000,0)),"")</f>
        <v>2.2080000000000002</v>
      </c>
      <c r="L327" s="194">
        <f t="shared" si="43"/>
        <v>1.8201999999999998</v>
      </c>
      <c r="M327" s="233">
        <f>AVERAGE(Ashed_controlls!$K$1:$K$11)</f>
        <v>5.5147656768714146</v>
      </c>
      <c r="N327" s="194">
        <f t="shared" si="39"/>
        <v>1.7198202351495864</v>
      </c>
      <c r="O327" s="194">
        <f t="shared" si="44"/>
        <v>1.9582000000000002</v>
      </c>
      <c r="P327" s="233">
        <f>AVERAGE(Ashed_controlls!$K$12:$K$14)</f>
        <v>2.2816647271287041</v>
      </c>
      <c r="Q327" s="194">
        <f t="shared" si="40"/>
        <v>1.913520441313366</v>
      </c>
      <c r="R327" s="376">
        <f>IF('Dry_Litterbag Placem_Collection'!G34="","",'Dry_Litterbag Placem_Collection'!G34)</f>
        <v>43007</v>
      </c>
      <c r="S327" s="194">
        <f>IFERROR(INDEX('Both teabags AfterDry'!$D$3:$D$2000,MATCH(H327,'Both teabags AfterDry'!$A$3:$A$2000,0)),"")</f>
        <v>1.8129</v>
      </c>
      <c r="T327" s="194">
        <f>IFERROR(INDEX('Both teabags AfterDry'!$D$3:$D$2000,MATCH(I327,'Both teabags AfterDry'!$A$3:$A$2000,0)),"")</f>
        <v>2.0331000000000001</v>
      </c>
      <c r="U327" s="194">
        <f t="shared" si="45"/>
        <v>1.6622999999999999</v>
      </c>
      <c r="V327" s="194">
        <f t="shared" si="46"/>
        <v>1.8825000000000001</v>
      </c>
      <c r="W327" s="194">
        <f>IFERROR(INDEX('Ashed teabags dry'!$K$2:$K$2000,MATCH(H327,'Ashed teabags dry'!$A$2:$A$2000,0)),"")</f>
        <v>6.7003792667513089</v>
      </c>
      <c r="X327" s="194">
        <f>IFERROR(INDEX('Ashed teabags dry'!$K$2:$K$2000,MATCH(I327,'Ashed teabags dry'!$A$2:$A$2000,0)),"")</f>
        <v>2.8682547399117464</v>
      </c>
      <c r="Y327" s="194">
        <f t="shared" si="41"/>
        <v>1.5509195954487929</v>
      </c>
      <c r="Z327" s="194">
        <f t="shared" si="41"/>
        <v>1.8285051045211613</v>
      </c>
      <c r="AA327" s="194">
        <f t="shared" si="47"/>
        <v>9.8208310525025766E-2</v>
      </c>
      <c r="AB327" s="194">
        <f t="shared" si="48"/>
        <v>6.4383595498591725E-2</v>
      </c>
      <c r="AC327" s="194">
        <f t="shared" si="42"/>
        <v>0.95557124190747944</v>
      </c>
      <c r="AD327">
        <f t="shared" si="49"/>
        <v>71</v>
      </c>
      <c r="AE327" s="194">
        <f t="shared" si="50"/>
        <v>0.88336305163298601</v>
      </c>
      <c r="AF327" s="194">
        <f t="shared" si="51"/>
        <v>1.6498412421701646E-2</v>
      </c>
      <c r="AG327" s="245" t="str">
        <f>IF(ISNUMBER(SEARCH("C", 'Dry_Litterbag Placem_Collection'!$V34)),"YES","NO")</f>
        <v>NO</v>
      </c>
      <c r="AH327" s="245" t="str">
        <f>IF(ISNUMBER(SEARCH("H", 'Dry_Litterbag Placem_Collection'!$V34)),"YES","NO")</f>
        <v>NO</v>
      </c>
      <c r="AI327" s="245" t="str">
        <f>IF(ISNUMBER(SEARCH("R", 'Dry_Litterbag Placem_Collection'!$V34)),"YES","NO")</f>
        <v>NO</v>
      </c>
      <c r="AJ327" s="245" t="str">
        <f>IF(ISNUMBER(SEARCH("C", 'Dry_Litterbag Placem_Collection'!$U34)),"YES","NO")</f>
        <v>NO</v>
      </c>
      <c r="AK327" s="245" t="str">
        <f>IF(ISNUMBER(SEARCH("H", 'Dry_Litterbag Placem_Collection'!$U34)),"YES","NO")</f>
        <v>NO</v>
      </c>
      <c r="AL327" s="245" t="str">
        <f>IF(ISNUMBER(SEARCH("R", 'Dry_Litterbag Placem_Collection'!$U34)),"YES","NO")</f>
        <v>NO</v>
      </c>
    </row>
    <row r="328" spans="2:38">
      <c r="B328" t="str">
        <f>Dryseason!B474</f>
        <v>Dry</v>
      </c>
      <c r="C328" s="253">
        <f>Dryseason!C474</f>
        <v>33</v>
      </c>
      <c r="D328" t="s">
        <v>3106</v>
      </c>
      <c r="E328" t="s">
        <v>25</v>
      </c>
      <c r="F328" s="374">
        <v>1</v>
      </c>
      <c r="G328" s="376">
        <f>IF('Dry_Litterbag Placem_Collection'!E35="","",'Dry_Litterbag Placem_Collection'!E35)</f>
        <v>42938</v>
      </c>
      <c r="H328" s="92" t="str">
        <f>Dryseason!L474</f>
        <v>G139</v>
      </c>
      <c r="I328" t="str">
        <f>Dryseason!L694</f>
        <v>R712</v>
      </c>
      <c r="J328">
        <f>IFERROR(INDEX('Green_rooibos initial weight'!$C$5:$C$2000,MATCH(H328, 'Green_rooibos initial weight'!$A$5:$A$2000,0)),"")</f>
        <v>2.0059999999999998</v>
      </c>
      <c r="K328">
        <f>IFERROR(INDEX('Green_rooibos initial weight'!$C$5:$C$2000,MATCH(I328, 'Green_rooibos initial weight'!$A$5:$A$2000,0)),"")</f>
        <v>2.161</v>
      </c>
      <c r="L328" s="194">
        <f t="shared" si="43"/>
        <v>1.7561999999999998</v>
      </c>
      <c r="M328" s="233">
        <f>AVERAGE(Ashed_controlls!$K$1:$K$11)</f>
        <v>5.5147656768714146</v>
      </c>
      <c r="N328" s="194">
        <f t="shared" si="39"/>
        <v>1.659349685182784</v>
      </c>
      <c r="O328" s="194">
        <f t="shared" si="44"/>
        <v>1.9112</v>
      </c>
      <c r="P328" s="233">
        <f>AVERAGE(Ashed_controlls!$K$12:$K$14)</f>
        <v>2.2816647271287041</v>
      </c>
      <c r="Q328" s="194">
        <f t="shared" si="40"/>
        <v>1.8675928237351163</v>
      </c>
      <c r="R328" s="376">
        <f>IF('Dry_Litterbag Placem_Collection'!G35="","",'Dry_Litterbag Placem_Collection'!G35)</f>
        <v>43005</v>
      </c>
      <c r="S328" s="194">
        <f>IFERROR(INDEX('Both teabags AfterDry'!$D$3:$D$2000,MATCH(H328,'Both teabags AfterDry'!$A$3:$A$2000,0)),"")</f>
        <v>1.8048</v>
      </c>
      <c r="T328" s="194">
        <f>IFERROR(INDEX('Both teabags AfterDry'!$D$3:$D$2000,MATCH(I328,'Both teabags AfterDry'!$A$3:$A$2000,0)),"")</f>
        <v>1.9524999999999999</v>
      </c>
      <c r="U328" s="194">
        <f t="shared" si="45"/>
        <v>1.6541999999999999</v>
      </c>
      <c r="V328" s="194">
        <f t="shared" si="46"/>
        <v>1.8018999999999998</v>
      </c>
      <c r="W328" s="194">
        <f>IFERROR(INDEX('Ashed teabags dry'!$K$2:$K$2000,MATCH(H328,'Ashed teabags dry'!$A$2:$A$2000,0)),"")</f>
        <v>6.0181368507832858</v>
      </c>
      <c r="X328" s="194">
        <f>IFERROR(INDEX('Ashed teabags dry'!$K$2:$K$2000,MATCH(I328,'Ashed teabags dry'!$A$2:$A$2000,0)),"")</f>
        <v>2.162162162162347</v>
      </c>
      <c r="Y328" s="194">
        <f t="shared" si="41"/>
        <v>1.5546479802143427</v>
      </c>
      <c r="Z328" s="194">
        <f t="shared" si="41"/>
        <v>1.7629399999999964</v>
      </c>
      <c r="AA328" s="194">
        <f t="shared" si="47"/>
        <v>6.3098035274528619E-2</v>
      </c>
      <c r="AB328" s="194">
        <f t="shared" si="48"/>
        <v>4.1365932864061518E-2</v>
      </c>
      <c r="AC328" s="194">
        <f t="shared" si="42"/>
        <v>0.94396378996262253</v>
      </c>
      <c r="AD328">
        <f t="shared" si="49"/>
        <v>67</v>
      </c>
      <c r="AE328" s="194">
        <f t="shared" si="50"/>
        <v>0.92506171582597552</v>
      </c>
      <c r="AF328" s="194" t="str">
        <f t="shared" si="51"/>
        <v/>
      </c>
      <c r="AG328" s="245" t="str">
        <f>IF(ISNUMBER(SEARCH("C", 'Dry_Litterbag Placem_Collection'!$V35)),"YES","NO")</f>
        <v>NO</v>
      </c>
      <c r="AH328" s="245" t="str">
        <f>IF(ISNUMBER(SEARCH("H", 'Dry_Litterbag Placem_Collection'!$V35)),"YES","NO")</f>
        <v>NO</v>
      </c>
      <c r="AI328" s="245" t="str">
        <f>IF(ISNUMBER(SEARCH("R", 'Dry_Litterbag Placem_Collection'!$V35)),"YES","NO")</f>
        <v>NO</v>
      </c>
      <c r="AJ328" s="245" t="str">
        <f>IF(ISNUMBER(SEARCH("C", 'Dry_Litterbag Placem_Collection'!$U35)),"YES","NO")</f>
        <v>NO</v>
      </c>
      <c r="AK328" s="245" t="str">
        <f>IF(ISNUMBER(SEARCH("H", 'Dry_Litterbag Placem_Collection'!$U35)),"YES","NO")</f>
        <v>NO</v>
      </c>
      <c r="AL328" s="245" t="str">
        <f>IF(ISNUMBER(SEARCH("R", 'Dry_Litterbag Placem_Collection'!$U35)),"YES","NO")</f>
        <v>NO</v>
      </c>
    </row>
    <row r="329" spans="2:38">
      <c r="B329" t="str">
        <f>Dryseason!B475</f>
        <v>Dry</v>
      </c>
      <c r="C329" s="253">
        <f>Dryseason!C475</f>
        <v>34</v>
      </c>
      <c r="D329" t="s">
        <v>3106</v>
      </c>
      <c r="E329" t="s">
        <v>25</v>
      </c>
      <c r="F329" s="374">
        <v>2</v>
      </c>
      <c r="G329" s="376">
        <f>IF('Dry_Litterbag Placem_Collection'!E36="","",'Dry_Litterbag Placem_Collection'!E36)</f>
        <v>42938</v>
      </c>
      <c r="H329" s="92" t="str">
        <f>Dryseason!L475</f>
        <v>G487</v>
      </c>
      <c r="I329" t="str">
        <f>Dryseason!L695</f>
        <v>R324</v>
      </c>
      <c r="J329">
        <f>IFERROR(INDEX('Green_rooibos initial weight'!$C$5:$C$2000,MATCH(H329, 'Green_rooibos initial weight'!$A$5:$A$2000,0)),"")</f>
        <v>1.9259999999999999</v>
      </c>
      <c r="K329">
        <f>IFERROR(INDEX('Green_rooibos initial weight'!$C$5:$C$2000,MATCH(I329, 'Green_rooibos initial weight'!$A$5:$A$2000,0)),"")</f>
        <v>2.2410000000000001</v>
      </c>
      <c r="L329" s="194">
        <f t="shared" si="43"/>
        <v>1.6761999999999999</v>
      </c>
      <c r="M329" s="233">
        <f>AVERAGE(Ashed_controlls!$K$1:$K$11)</f>
        <v>5.5147656768714146</v>
      </c>
      <c r="N329" s="194">
        <f t="shared" si="39"/>
        <v>1.5837614977242813</v>
      </c>
      <c r="O329" s="194">
        <f t="shared" si="44"/>
        <v>1.9912000000000001</v>
      </c>
      <c r="P329" s="233">
        <f>AVERAGE(Ashed_controlls!$K$12:$K$14)</f>
        <v>2.2816647271287041</v>
      </c>
      <c r="Q329" s="194">
        <f t="shared" si="40"/>
        <v>1.9457674919534134</v>
      </c>
      <c r="R329" s="376">
        <f>IF('Dry_Litterbag Placem_Collection'!G36="","",'Dry_Litterbag Placem_Collection'!G36)</f>
        <v>43005</v>
      </c>
      <c r="S329" s="194" t="str">
        <f>IFERROR(INDEX('Both teabags AfterDry'!$D$3:$D$2000,MATCH(H329,'Both teabags AfterDry'!$A$3:$A$2000,0)),"")</f>
        <v/>
      </c>
      <c r="T329" s="194" t="str">
        <f>IFERROR(INDEX('Both teabags AfterDry'!$D$3:$D$2000,MATCH(I329,'Both teabags AfterDry'!$A$3:$A$2000,0)),"")</f>
        <v/>
      </c>
      <c r="U329" s="194" t="str">
        <f t="shared" si="45"/>
        <v/>
      </c>
      <c r="V329" s="194" t="str">
        <f t="shared" si="46"/>
        <v/>
      </c>
      <c r="W329" s="194" t="str">
        <f>IFERROR(INDEX('Ashed teabags dry'!$K$2:$K$2000,MATCH(H329,'Ashed teabags dry'!$A$2:$A$2000,0)),"")</f>
        <v/>
      </c>
      <c r="X329" s="194" t="str">
        <f>IFERROR(INDEX('Ashed teabags dry'!$K$2:$K$2000,MATCH(I329,'Ashed teabags dry'!$A$2:$A$2000,0)),"")</f>
        <v/>
      </c>
      <c r="Y329" s="194" t="str">
        <f t="shared" si="41"/>
        <v/>
      </c>
      <c r="Z329" s="194" t="str">
        <f t="shared" si="41"/>
        <v/>
      </c>
      <c r="AA329" s="194" t="str">
        <f t="shared" si="47"/>
        <v/>
      </c>
      <c r="AB329" s="194" t="str">
        <f t="shared" si="48"/>
        <v/>
      </c>
      <c r="AC329" s="194" t="str">
        <f t="shared" si="42"/>
        <v/>
      </c>
      <c r="AD329">
        <f t="shared" si="49"/>
        <v>67</v>
      </c>
      <c r="AE329" s="194" t="str">
        <f t="shared" si="50"/>
        <v/>
      </c>
      <c r="AF329" s="194" t="str">
        <f t="shared" si="51"/>
        <v/>
      </c>
      <c r="AG329" s="245" t="str">
        <f>IF(ISNUMBER(SEARCH("C", 'Dry_Litterbag Placem_Collection'!$V36)),"YES","NO")</f>
        <v>NO</v>
      </c>
      <c r="AH329" s="245" t="str">
        <f>IF(ISNUMBER(SEARCH("H", 'Dry_Litterbag Placem_Collection'!$V36)),"YES","NO")</f>
        <v>NO</v>
      </c>
      <c r="AI329" s="245" t="str">
        <f>IF(ISNUMBER(SEARCH("R", 'Dry_Litterbag Placem_Collection'!$V36)),"YES","NO")</f>
        <v>NO</v>
      </c>
      <c r="AJ329" s="245" t="str">
        <f>IF(ISNUMBER(SEARCH("C", 'Dry_Litterbag Placem_Collection'!$U36)),"YES","NO")</f>
        <v>NO</v>
      </c>
      <c r="AK329" s="245" t="str">
        <f>IF(ISNUMBER(SEARCH("H", 'Dry_Litterbag Placem_Collection'!$U36)),"YES","NO")</f>
        <v>NO</v>
      </c>
      <c r="AL329" s="245" t="str">
        <f>IF(ISNUMBER(SEARCH("R", 'Dry_Litterbag Placem_Collection'!$U36)),"YES","NO")</f>
        <v>NO</v>
      </c>
    </row>
    <row r="330" spans="2:38">
      <c r="B330" t="str">
        <f>Dryseason!B476</f>
        <v>Dry</v>
      </c>
      <c r="C330" s="253">
        <f>Dryseason!C476</f>
        <v>35</v>
      </c>
      <c r="D330" t="s">
        <v>3106</v>
      </c>
      <c r="E330" t="s">
        <v>25</v>
      </c>
      <c r="F330" s="374">
        <v>3</v>
      </c>
      <c r="G330" s="376">
        <f>IF('Dry_Litterbag Placem_Collection'!E37="","",'Dry_Litterbag Placem_Collection'!E37)</f>
        <v>42938</v>
      </c>
      <c r="H330" s="92" t="str">
        <f>Dryseason!L476</f>
        <v>G717</v>
      </c>
      <c r="I330" t="str">
        <f>Dryseason!L696</f>
        <v>R108</v>
      </c>
      <c r="J330">
        <f>IFERROR(INDEX('Green_rooibos initial weight'!$C$5:$C$2000,MATCH(H330, 'Green_rooibos initial weight'!$A$5:$A$2000,0)),"")</f>
        <v>1.944</v>
      </c>
      <c r="K330">
        <f>IFERROR(INDEX('Green_rooibos initial weight'!$C$5:$C$2000,MATCH(I330, 'Green_rooibos initial weight'!$A$5:$A$2000,0)),"")</f>
        <v>2.1680000000000001</v>
      </c>
      <c r="L330" s="194">
        <f t="shared" si="43"/>
        <v>1.6941999999999999</v>
      </c>
      <c r="M330" s="233">
        <f>AVERAGE(Ashed_controlls!$K$1:$K$11)</f>
        <v>5.5147656768714146</v>
      </c>
      <c r="N330" s="194">
        <f t="shared" si="39"/>
        <v>1.6007688399024445</v>
      </c>
      <c r="O330" s="194">
        <f t="shared" si="44"/>
        <v>1.9182000000000001</v>
      </c>
      <c r="P330" s="233">
        <f>AVERAGE(Ashed_controlls!$K$12:$K$14)</f>
        <v>2.2816647271287041</v>
      </c>
      <c r="Q330" s="194">
        <f t="shared" si="40"/>
        <v>1.8744331072042173</v>
      </c>
      <c r="R330" s="376">
        <f>IF('Dry_Litterbag Placem_Collection'!G37="","",'Dry_Litterbag Placem_Collection'!G37)</f>
        <v>43005</v>
      </c>
      <c r="S330" s="194">
        <f>IFERROR(INDEX('Both teabags AfterDry'!$D$3:$D$2000,MATCH(H330,'Both teabags AfterDry'!$A$3:$A$2000,0)),"")</f>
        <v>1.8165</v>
      </c>
      <c r="T330" s="194">
        <f>IFERROR(INDEX('Both teabags AfterDry'!$D$3:$D$2000,MATCH(I330,'Both teabags AfterDry'!$A$3:$A$2000,0)),"")</f>
        <v>1.9638</v>
      </c>
      <c r="U330" s="194">
        <f t="shared" si="45"/>
        <v>1.6658999999999999</v>
      </c>
      <c r="V330" s="194">
        <f t="shared" si="46"/>
        <v>1.8131999999999999</v>
      </c>
      <c r="W330" s="194">
        <f>IFERROR(INDEX('Ashed teabags dry'!$K$2:$K$2000,MATCH(H330,'Ashed teabags dry'!$A$2:$A$2000,0)),"")</f>
        <v>5.65371024735001</v>
      </c>
      <c r="X330" s="194">
        <f>IFERROR(INDEX('Ashed teabags dry'!$K$2:$K$2000,MATCH(I330,'Ashed teabags dry'!$A$2:$A$2000,0)),"")</f>
        <v>2.5853658536585367</v>
      </c>
      <c r="Y330" s="194">
        <f t="shared" si="41"/>
        <v>1.5717148409893962</v>
      </c>
      <c r="Z330" s="194">
        <f t="shared" si="41"/>
        <v>1.7663221463414633</v>
      </c>
      <c r="AA330" s="194">
        <f t="shared" si="47"/>
        <v>1.8150027779663014E-2</v>
      </c>
      <c r="AB330" s="194">
        <f t="shared" si="48"/>
        <v>1.1898830563389516E-2</v>
      </c>
      <c r="AC330" s="194">
        <f t="shared" si="42"/>
        <v>0.94232338276183925</v>
      </c>
      <c r="AD330">
        <f t="shared" si="49"/>
        <v>67</v>
      </c>
      <c r="AE330" s="194">
        <f t="shared" si="50"/>
        <v>0.97844414753009146</v>
      </c>
      <c r="AF330" s="194" t="str">
        <f t="shared" si="51"/>
        <v/>
      </c>
      <c r="AG330" s="245" t="str">
        <f>IF(ISNUMBER(SEARCH("C", 'Dry_Litterbag Placem_Collection'!$V37)),"YES","NO")</f>
        <v>NO</v>
      </c>
      <c r="AH330" s="245" t="str">
        <f>IF(ISNUMBER(SEARCH("H", 'Dry_Litterbag Placem_Collection'!$V37)),"YES","NO")</f>
        <v>NO</v>
      </c>
      <c r="AI330" s="245" t="str">
        <f>IF(ISNUMBER(SEARCH("R", 'Dry_Litterbag Placem_Collection'!$V37)),"YES","NO")</f>
        <v>NO</v>
      </c>
      <c r="AJ330" s="245" t="str">
        <f>IF(ISNUMBER(SEARCH("C", 'Dry_Litterbag Placem_Collection'!$U37)),"YES","NO")</f>
        <v>NO</v>
      </c>
      <c r="AK330" s="245" t="str">
        <f>IF(ISNUMBER(SEARCH("H", 'Dry_Litterbag Placem_Collection'!$U37)),"YES","NO")</f>
        <v>NO</v>
      </c>
      <c r="AL330" s="245" t="str">
        <f>IF(ISNUMBER(SEARCH("R", 'Dry_Litterbag Placem_Collection'!$U37)),"YES","NO")</f>
        <v>NO</v>
      </c>
    </row>
    <row r="331" spans="2:38">
      <c r="B331" t="str">
        <f>Dryseason!B477</f>
        <v>Dry</v>
      </c>
      <c r="C331" s="253">
        <f>Dryseason!C477</f>
        <v>36</v>
      </c>
      <c r="D331" t="s">
        <v>3106</v>
      </c>
      <c r="E331" t="s">
        <v>25</v>
      </c>
      <c r="F331" s="375">
        <v>4</v>
      </c>
      <c r="G331" s="376">
        <f>IF('Dry_Litterbag Placem_Collection'!E38="","",'Dry_Litterbag Placem_Collection'!E38)</f>
        <v>42938</v>
      </c>
      <c r="H331" s="92" t="str">
        <f>Dryseason!L477</f>
        <v>G767</v>
      </c>
      <c r="I331" t="str">
        <f>Dryseason!L697</f>
        <v>R152</v>
      </c>
      <c r="J331">
        <f>IFERROR(INDEX('Green_rooibos initial weight'!$C$5:$C$2000,MATCH(H331, 'Green_rooibos initial weight'!$A$5:$A$2000,0)),"")</f>
        <v>1.8879999999999999</v>
      </c>
      <c r="K331">
        <f>IFERROR(INDEX('Green_rooibos initial weight'!$C$5:$C$2000,MATCH(I331, 'Green_rooibos initial weight'!$A$5:$A$2000,0)),"")</f>
        <v>2.1800000000000002</v>
      </c>
      <c r="L331" s="194">
        <f t="shared" si="43"/>
        <v>1.6381999999999999</v>
      </c>
      <c r="M331" s="233">
        <f>AVERAGE(Ashed_controlls!$K$1:$K$11)</f>
        <v>5.5147656768714146</v>
      </c>
      <c r="N331" s="194">
        <f t="shared" si="39"/>
        <v>1.5478571086814923</v>
      </c>
      <c r="O331" s="194">
        <f t="shared" si="44"/>
        <v>1.9302000000000001</v>
      </c>
      <c r="P331" s="233">
        <f>AVERAGE(Ashed_controlls!$K$12:$K$14)</f>
        <v>2.2816647271287041</v>
      </c>
      <c r="Q331" s="194">
        <f t="shared" si="40"/>
        <v>1.8861593074369618</v>
      </c>
      <c r="R331" s="376">
        <f>IF('Dry_Litterbag Placem_Collection'!G38="","",'Dry_Litterbag Placem_Collection'!G38)</f>
        <v>43005</v>
      </c>
      <c r="S331" s="194">
        <f>IFERROR(INDEX('Both teabags AfterDry'!$D$3:$D$2000,MATCH(H331,'Both teabags AfterDry'!$A$3:$A$2000,0)),"")</f>
        <v>1.4665999999999999</v>
      </c>
      <c r="T331" s="194" t="str">
        <f>IFERROR(INDEX('Both teabags AfterDry'!$D$3:$D$2000,MATCH(I331,'Both teabags AfterDry'!$A$3:$A$2000,0)),"")</f>
        <v/>
      </c>
      <c r="U331" s="194">
        <f t="shared" si="45"/>
        <v>1.3159999999999998</v>
      </c>
      <c r="V331" s="194" t="str">
        <f t="shared" si="46"/>
        <v/>
      </c>
      <c r="W331" s="194">
        <f>IFERROR(INDEX('Ashed teabags dry'!$K$2:$K$2000,MATCH(H331,'Ashed teabags dry'!$A$2:$A$2000,0)),"")</f>
        <v>8.3333333333337372</v>
      </c>
      <c r="X331" s="194" t="str">
        <f>IFERROR(INDEX('Ashed teabags dry'!$K$2:$K$2000,MATCH(I331,'Ashed teabags dry'!$A$2:$A$2000,0)),"")</f>
        <v/>
      </c>
      <c r="Y331" s="194">
        <f t="shared" si="41"/>
        <v>1.2063333333333279</v>
      </c>
      <c r="Z331" s="194" t="str">
        <f t="shared" si="41"/>
        <v/>
      </c>
      <c r="AA331" s="194">
        <f t="shared" si="47"/>
        <v>0.22064296079570533</v>
      </c>
      <c r="AB331" s="194">
        <f t="shared" si="48"/>
        <v>0.14464954199433414</v>
      </c>
      <c r="AC331" s="194" t="str">
        <f t="shared" si="42"/>
        <v/>
      </c>
      <c r="AD331">
        <f t="shared" si="49"/>
        <v>67</v>
      </c>
      <c r="AE331" s="194">
        <f t="shared" si="50"/>
        <v>0.73795372827113381</v>
      </c>
      <c r="AF331" s="194" t="str">
        <f t="shared" si="51"/>
        <v/>
      </c>
      <c r="AG331" s="245" t="str">
        <f>IF(ISNUMBER(SEARCH("C", 'Dry_Litterbag Placem_Collection'!$V38)),"YES","NO")</f>
        <v>NO</v>
      </c>
      <c r="AH331" s="245" t="str">
        <f>IF(ISNUMBER(SEARCH("H", 'Dry_Litterbag Placem_Collection'!$V38)),"YES","NO")</f>
        <v>NO</v>
      </c>
      <c r="AI331" s="245" t="str">
        <f>IF(ISNUMBER(SEARCH("R", 'Dry_Litterbag Placem_Collection'!$V38)),"YES","NO")</f>
        <v>NO</v>
      </c>
      <c r="AJ331" s="245" t="str">
        <f>IF(ISNUMBER(SEARCH("C", 'Dry_Litterbag Placem_Collection'!$U38)),"YES","NO")</f>
        <v>NO</v>
      </c>
      <c r="AK331" s="245" t="str">
        <f>IF(ISNUMBER(SEARCH("H", 'Dry_Litterbag Placem_Collection'!$U38)),"YES","NO")</f>
        <v>NO</v>
      </c>
      <c r="AL331" s="245" t="str">
        <f>IF(ISNUMBER(SEARCH("R", 'Dry_Litterbag Placem_Collection'!$U38)),"YES","NO")</f>
        <v>YES</v>
      </c>
    </row>
    <row r="332" spans="2:38">
      <c r="B332" t="str">
        <f>Dryseason!B478</f>
        <v>Dry</v>
      </c>
      <c r="C332" s="253">
        <f>Dryseason!C478</f>
        <v>37</v>
      </c>
      <c r="D332" t="s">
        <v>3106</v>
      </c>
      <c r="E332" t="s">
        <v>25</v>
      </c>
      <c r="F332" s="375">
        <v>5</v>
      </c>
      <c r="G332" s="376">
        <f>IF('Dry_Litterbag Placem_Collection'!E39="","",'Dry_Litterbag Placem_Collection'!E39)</f>
        <v>42938</v>
      </c>
      <c r="H332" s="92" t="str">
        <f>Dryseason!L478</f>
        <v>G473</v>
      </c>
      <c r="I332" t="str">
        <f>Dryseason!L698</f>
        <v>R681</v>
      </c>
      <c r="J332">
        <f>IFERROR(INDEX('Green_rooibos initial weight'!$C$5:$C$2000,MATCH(H332, 'Green_rooibos initial weight'!$A$5:$A$2000,0)),"")</f>
        <v>2.077</v>
      </c>
      <c r="K332">
        <f>IFERROR(INDEX('Green_rooibos initial weight'!$C$5:$C$2000,MATCH(I332, 'Green_rooibos initial weight'!$A$5:$A$2000,0)),"")</f>
        <v>2.1859999999999999</v>
      </c>
      <c r="L332" s="194">
        <f t="shared" si="43"/>
        <v>1.8271999999999999</v>
      </c>
      <c r="M332" s="233">
        <f>AVERAGE(Ashed_controlls!$K$1:$K$11)</f>
        <v>5.5147656768714146</v>
      </c>
      <c r="N332" s="194">
        <f t="shared" ref="N332:N395" si="52">IFERROR(L332-(M332/100)*L332,"")</f>
        <v>1.7264342015522054</v>
      </c>
      <c r="O332" s="194">
        <f t="shared" si="44"/>
        <v>1.9361999999999999</v>
      </c>
      <c r="P332" s="233">
        <f>AVERAGE(Ashed_controlls!$K$12:$K$14)</f>
        <v>2.2816647271287041</v>
      </c>
      <c r="Q332" s="194">
        <f t="shared" ref="Q332:Q395" si="53">IFERROR(O332-(P332/100)*O332,"")</f>
        <v>1.8920224075533341</v>
      </c>
      <c r="R332" s="376">
        <f>IF('Dry_Litterbag Placem_Collection'!G39="","",'Dry_Litterbag Placem_Collection'!G39)</f>
        <v>43005</v>
      </c>
      <c r="S332" s="194">
        <f>IFERROR(INDEX('Both teabags AfterDry'!$D$3:$D$2000,MATCH(H332,'Both teabags AfterDry'!$A$3:$A$2000,0)),"")</f>
        <v>1.8992</v>
      </c>
      <c r="T332" s="194">
        <f>IFERROR(INDEX('Both teabags AfterDry'!$D$3:$D$2000,MATCH(I332,'Both teabags AfterDry'!$A$3:$A$2000,0)),"")</f>
        <v>1.9663999999999999</v>
      </c>
      <c r="U332" s="194">
        <f t="shared" si="45"/>
        <v>1.7485999999999999</v>
      </c>
      <c r="V332" s="194">
        <f t="shared" si="46"/>
        <v>1.8157999999999999</v>
      </c>
      <c r="W332" s="194">
        <f>IFERROR(INDEX('Ashed teabags dry'!$K$2:$K$2000,MATCH(H332,'Ashed teabags dry'!$A$2:$A$2000,0)),"")</f>
        <v>6.7924528301884193</v>
      </c>
      <c r="X332" s="194">
        <f>IFERROR(INDEX('Ashed teabags dry'!$K$2:$K$2000,MATCH(I332,'Ashed teabags dry'!$A$2:$A$2000,0)),"")</f>
        <v>4.1249999999999165</v>
      </c>
      <c r="Y332" s="194">
        <f t="shared" ref="Y332:Z395" si="54">IFERROR(U332-(W332/100)*U332,"")</f>
        <v>1.6298271698113251</v>
      </c>
      <c r="Z332" s="194">
        <f t="shared" si="54"/>
        <v>1.7408982500000014</v>
      </c>
      <c r="AA332" s="194">
        <f t="shared" si="47"/>
        <v>5.5957552077005146E-2</v>
      </c>
      <c r="AB332" s="194">
        <f t="shared" si="48"/>
        <v>3.6684760981599548E-2</v>
      </c>
      <c r="AC332" s="194">
        <f t="shared" ref="AC332:AC395" si="55">IFERROR(Z332/Q332,"")</f>
        <v>0.92012559843371067</v>
      </c>
      <c r="AD332">
        <f t="shared" si="49"/>
        <v>67</v>
      </c>
      <c r="AE332" s="194">
        <f t="shared" si="50"/>
        <v>0.93354209967101531</v>
      </c>
      <c r="AF332" s="194" t="str">
        <f t="shared" si="51"/>
        <v/>
      </c>
      <c r="AG332" s="245" t="str">
        <f>IF(ISNUMBER(SEARCH("C", 'Dry_Litterbag Placem_Collection'!$V39)),"YES","NO")</f>
        <v>NO</v>
      </c>
      <c r="AH332" s="245" t="str">
        <f>IF(ISNUMBER(SEARCH("H", 'Dry_Litterbag Placem_Collection'!$V39)),"YES","NO")</f>
        <v>NO</v>
      </c>
      <c r="AI332" s="245" t="str">
        <f>IF(ISNUMBER(SEARCH("R", 'Dry_Litterbag Placem_Collection'!$V39)),"YES","NO")</f>
        <v>NO</v>
      </c>
      <c r="AJ332" s="245" t="str">
        <f>IF(ISNUMBER(SEARCH("C", 'Dry_Litterbag Placem_Collection'!$U39)),"YES","NO")</f>
        <v>NO</v>
      </c>
      <c r="AK332" s="245" t="str">
        <f>IF(ISNUMBER(SEARCH("H", 'Dry_Litterbag Placem_Collection'!$U39)),"YES","NO")</f>
        <v>NO</v>
      </c>
      <c r="AL332" s="245" t="str">
        <f>IF(ISNUMBER(SEARCH("R", 'Dry_Litterbag Placem_Collection'!$U39)),"YES","NO")</f>
        <v>NO</v>
      </c>
    </row>
    <row r="333" spans="2:38">
      <c r="B333" t="str">
        <f>Dryseason!B479</f>
        <v>Dry</v>
      </c>
      <c r="C333" s="253">
        <f>Dryseason!C479</f>
        <v>38</v>
      </c>
      <c r="D333" t="s">
        <v>3106</v>
      </c>
      <c r="E333" t="s">
        <v>25</v>
      </c>
      <c r="F333" s="375">
        <v>6</v>
      </c>
      <c r="G333" s="376">
        <f>IF('Dry_Litterbag Placem_Collection'!E40="","",'Dry_Litterbag Placem_Collection'!E40)</f>
        <v>42938</v>
      </c>
      <c r="H333" s="92" t="str">
        <f>Dryseason!L479</f>
        <v>G111</v>
      </c>
      <c r="I333" t="str">
        <f>Dryseason!L699</f>
        <v>R260</v>
      </c>
      <c r="J333">
        <f>IFERROR(INDEX('Green_rooibos initial weight'!$C$5:$C$2000,MATCH(H333, 'Green_rooibos initial weight'!$A$5:$A$2000,0)),"")</f>
        <v>2.0750000000000002</v>
      </c>
      <c r="K333">
        <f>IFERROR(INDEX('Green_rooibos initial weight'!$C$5:$C$2000,MATCH(I333, 'Green_rooibos initial weight'!$A$5:$A$2000,0)),"")</f>
        <v>2.1779999999999999</v>
      </c>
      <c r="L333" s="194">
        <f t="shared" ref="L333:L396" si="56">IFERROR(IF(J333&gt;0,(J333*$F$31-($F$29+$F$30)),""),"")</f>
        <v>1.8252000000000002</v>
      </c>
      <c r="M333" s="233">
        <f>AVERAGE(Ashed_controlls!$K$1:$K$11)</f>
        <v>5.5147656768714146</v>
      </c>
      <c r="N333" s="194">
        <f t="shared" si="52"/>
        <v>1.7245444968657431</v>
      </c>
      <c r="O333" s="194">
        <f t="shared" ref="O333:O396" si="57">IFERROR(IF(K333&gt;0,(K333*$F$32-($F$29+$F$30)),""),"")</f>
        <v>1.9281999999999999</v>
      </c>
      <c r="P333" s="233">
        <f>AVERAGE(Ashed_controlls!$K$12:$K$14)</f>
        <v>2.2816647271287041</v>
      </c>
      <c r="Q333" s="194">
        <f t="shared" si="53"/>
        <v>1.8842049407315042</v>
      </c>
      <c r="R333" s="376">
        <f>IF('Dry_Litterbag Placem_Collection'!G40="","",'Dry_Litterbag Placem_Collection'!G40)</f>
        <v>43005</v>
      </c>
      <c r="S333" s="194">
        <f>IFERROR(INDEX('Both teabags AfterDry'!$D$3:$D$2000,MATCH(H333,'Both teabags AfterDry'!$A$3:$A$2000,0)),"")</f>
        <v>1.8357000000000001</v>
      </c>
      <c r="T333" s="194">
        <f>IFERROR(INDEX('Both teabags AfterDry'!$D$3:$D$2000,MATCH(I333,'Both teabags AfterDry'!$A$3:$A$2000,0)),"")</f>
        <v>1.8734</v>
      </c>
      <c r="U333" s="194">
        <f t="shared" ref="U333:U396" si="58">IFERROR(IF(S333&gt;0,S333-($F$29),""),"")</f>
        <v>1.6851</v>
      </c>
      <c r="V333" s="194">
        <f t="shared" ref="V333:V396" si="59">IFERROR(IF(T333&gt;0,T333-($F$29),""),"")</f>
        <v>1.7227999999999999</v>
      </c>
      <c r="W333" s="194">
        <f>IFERROR(INDEX('Ashed teabags dry'!$K$2:$K$2000,MATCH(H333,'Ashed teabags dry'!$A$2:$A$2000,0)),"")</f>
        <v>6.2317429406042981</v>
      </c>
      <c r="X333" s="194">
        <f>IFERROR(INDEX('Ashed teabags dry'!$K$2:$K$2000,MATCH(I333,'Ashed teabags dry'!$A$2:$A$2000,0)),"")</f>
        <v>3.7144036318613898</v>
      </c>
      <c r="Y333" s="194">
        <f t="shared" si="54"/>
        <v>1.580088899707877</v>
      </c>
      <c r="Z333" s="194">
        <f t="shared" si="54"/>
        <v>1.6588082542302918</v>
      </c>
      <c r="AA333" s="194">
        <f t="shared" ref="AA333:AA396" si="60">IFERROR(1-Y333/N333,"")</f>
        <v>8.3764493998505385E-2</v>
      </c>
      <c r="AB333" s="194">
        <f t="shared" ref="AB333:AB396" si="61">IFERROR($F$26*(1-AE333),"")</f>
        <v>5.4914490127286178E-2</v>
      </c>
      <c r="AC333" s="194">
        <f t="shared" si="55"/>
        <v>0.88037570562058565</v>
      </c>
      <c r="AD333">
        <f t="shared" ref="AD333:AD396" si="62">IFERROR(IF((R333-G333)&gt;0,(IFERROR(R333-G333,"")),""),"")</f>
        <v>67</v>
      </c>
      <c r="AE333" s="194">
        <f t="shared" ref="AE333:AE396" si="63">IFERROR(1-(AA333/$F$25),"")</f>
        <v>0.90051722803027867</v>
      </c>
      <c r="AF333" s="194" t="str">
        <f t="shared" ref="AF333:AF396" si="64">IFERROR(LN(AB333/(AC333-(1-AB333)))/AD333,"")</f>
        <v/>
      </c>
      <c r="AG333" s="245" t="str">
        <f>IF(ISNUMBER(SEARCH("C", 'Dry_Litterbag Placem_Collection'!$V40)),"YES","NO")</f>
        <v>NO</v>
      </c>
      <c r="AH333" s="245" t="str">
        <f>IF(ISNUMBER(SEARCH("H", 'Dry_Litterbag Placem_Collection'!$V40)),"YES","NO")</f>
        <v>NO</v>
      </c>
      <c r="AI333" s="245" t="str">
        <f>IF(ISNUMBER(SEARCH("R", 'Dry_Litterbag Placem_Collection'!$V40)),"YES","NO")</f>
        <v>NO</v>
      </c>
      <c r="AJ333" s="245" t="str">
        <f>IF(ISNUMBER(SEARCH("C", 'Dry_Litterbag Placem_Collection'!$U40)),"YES","NO")</f>
        <v>NO</v>
      </c>
      <c r="AK333" s="245" t="str">
        <f>IF(ISNUMBER(SEARCH("H", 'Dry_Litterbag Placem_Collection'!$U40)),"YES","NO")</f>
        <v>NO</v>
      </c>
      <c r="AL333" s="245" t="str">
        <f>IF(ISNUMBER(SEARCH("R", 'Dry_Litterbag Placem_Collection'!$U40)),"YES","NO")</f>
        <v>NO</v>
      </c>
    </row>
    <row r="334" spans="2:38">
      <c r="B334" t="str">
        <f>Dryseason!B480</f>
        <v>Dry</v>
      </c>
      <c r="C334" s="253">
        <f>Dryseason!C480</f>
        <v>39</v>
      </c>
      <c r="D334" t="s">
        <v>3106</v>
      </c>
      <c r="E334" t="s">
        <v>25</v>
      </c>
      <c r="F334" s="375">
        <v>7</v>
      </c>
      <c r="G334" s="376">
        <f>IF('Dry_Litterbag Placem_Collection'!E41="","",'Dry_Litterbag Placem_Collection'!E41)</f>
        <v>42938</v>
      </c>
      <c r="H334" s="92" t="str">
        <f>Dryseason!L480</f>
        <v/>
      </c>
      <c r="I334" t="str">
        <f>Dryseason!L700</f>
        <v/>
      </c>
      <c r="J334" t="str">
        <f>IFERROR(INDEX('Green_rooibos initial weight'!$C$5:$C$2000,MATCH(H334, 'Green_rooibos initial weight'!$A$5:$A$2000,0)),"")</f>
        <v/>
      </c>
      <c r="K334" t="str">
        <f>IFERROR(INDEX('Green_rooibos initial weight'!$C$5:$C$2000,MATCH(I334, 'Green_rooibos initial weight'!$A$5:$A$2000,0)),"")</f>
        <v/>
      </c>
      <c r="L334" s="194" t="str">
        <f t="shared" si="56"/>
        <v/>
      </c>
      <c r="M334" s="233">
        <f>AVERAGE(Ashed_controlls!$K$1:$K$11)</f>
        <v>5.5147656768714146</v>
      </c>
      <c r="N334" s="194" t="str">
        <f t="shared" si="52"/>
        <v/>
      </c>
      <c r="O334" s="194" t="str">
        <f t="shared" si="57"/>
        <v/>
      </c>
      <c r="P334" s="233">
        <f>AVERAGE(Ashed_controlls!$K$12:$K$14)</f>
        <v>2.2816647271287041</v>
      </c>
      <c r="Q334" s="194" t="str">
        <f t="shared" si="53"/>
        <v/>
      </c>
      <c r="R334" s="376" t="str">
        <f>IF('Dry_Litterbag Placem_Collection'!G41="","",'Dry_Litterbag Placem_Collection'!G41)</f>
        <v/>
      </c>
      <c r="S334" s="194" t="str">
        <f>IFERROR(INDEX('Both teabags AfterDry'!$D$3:$D$2000,MATCH(H334,'Both teabags AfterDry'!$A$3:$A$2000,0)),"")</f>
        <v/>
      </c>
      <c r="T334" s="194" t="str">
        <f>IFERROR(INDEX('Both teabags AfterDry'!$D$3:$D$2000,MATCH(I334,'Both teabags AfterDry'!$A$3:$A$2000,0)),"")</f>
        <v/>
      </c>
      <c r="U334" s="194" t="str">
        <f t="shared" si="58"/>
        <v/>
      </c>
      <c r="V334" s="194" t="str">
        <f t="shared" si="59"/>
        <v/>
      </c>
      <c r="W334" s="194" t="str">
        <f>IFERROR(INDEX('Ashed teabags dry'!$K$2:$K$2000,MATCH(H334,'Ashed teabags dry'!$A$2:$A$2000,0)),"")</f>
        <v/>
      </c>
      <c r="X334" s="194" t="str">
        <f>IFERROR(INDEX('Ashed teabags dry'!$K$2:$K$2000,MATCH(I334,'Ashed teabags dry'!$A$2:$A$2000,0)),"")</f>
        <v/>
      </c>
      <c r="Y334" s="194" t="str">
        <f t="shared" si="54"/>
        <v/>
      </c>
      <c r="Z334" s="194" t="str">
        <f t="shared" si="54"/>
        <v/>
      </c>
      <c r="AA334" s="194" t="str">
        <f t="shared" si="60"/>
        <v/>
      </c>
      <c r="AB334" s="194" t="str">
        <f t="shared" si="61"/>
        <v/>
      </c>
      <c r="AC334" s="194" t="str">
        <f t="shared" si="55"/>
        <v/>
      </c>
      <c r="AD334" t="str">
        <f t="shared" si="62"/>
        <v/>
      </c>
      <c r="AE334" s="194" t="str">
        <f t="shared" si="63"/>
        <v/>
      </c>
      <c r="AF334" s="194" t="str">
        <f t="shared" si="64"/>
        <v/>
      </c>
      <c r="AG334" s="245" t="str">
        <f>IF(ISNUMBER(SEARCH("C", 'Dry_Litterbag Placem_Collection'!$V41)),"YES","NO")</f>
        <v>NO</v>
      </c>
      <c r="AH334" s="245" t="str">
        <f>IF(ISNUMBER(SEARCH("H", 'Dry_Litterbag Placem_Collection'!$V41)),"YES","NO")</f>
        <v>NO</v>
      </c>
      <c r="AI334" s="245" t="str">
        <f>IF(ISNUMBER(SEARCH("R", 'Dry_Litterbag Placem_Collection'!$V41)),"YES","NO")</f>
        <v>NO</v>
      </c>
      <c r="AJ334" s="245" t="str">
        <f>IF(ISNUMBER(SEARCH("C", 'Dry_Litterbag Placem_Collection'!$U41)),"YES","NO")</f>
        <v>NO</v>
      </c>
      <c r="AK334" s="245" t="str">
        <f>IF(ISNUMBER(SEARCH("H", 'Dry_Litterbag Placem_Collection'!$U41)),"YES","NO")</f>
        <v>NO</v>
      </c>
      <c r="AL334" s="245" t="str">
        <f>IF(ISNUMBER(SEARCH("R", 'Dry_Litterbag Placem_Collection'!$U41)),"YES","NO")</f>
        <v>NO</v>
      </c>
    </row>
    <row r="335" spans="2:38">
      <c r="B335" t="str">
        <f>Dryseason!B481</f>
        <v>Dry</v>
      </c>
      <c r="C335" s="253">
        <f>Dryseason!C481</f>
        <v>40</v>
      </c>
      <c r="D335" t="s">
        <v>3106</v>
      </c>
      <c r="E335" t="s">
        <v>25</v>
      </c>
      <c r="F335" s="375">
        <v>8</v>
      </c>
      <c r="G335" s="376">
        <f>IF('Dry_Litterbag Placem_Collection'!E42="","",'Dry_Litterbag Placem_Collection'!E42)</f>
        <v>42938</v>
      </c>
      <c r="H335" s="92" t="str">
        <f>Dryseason!L481</f>
        <v>G646</v>
      </c>
      <c r="I335" t="str">
        <f>Dryseason!L701</f>
        <v>R402</v>
      </c>
      <c r="J335">
        <f>IFERROR(INDEX('Green_rooibos initial weight'!$C$5:$C$2000,MATCH(H335, 'Green_rooibos initial weight'!$A$5:$A$2000,0)),"")</f>
        <v>2.1629999999999998</v>
      </c>
      <c r="K335">
        <f>IFERROR(INDEX('Green_rooibos initial weight'!$C$5:$C$2000,MATCH(I335, 'Green_rooibos initial weight'!$A$5:$A$2000,0)),"")</f>
        <v>2.1459999999999999</v>
      </c>
      <c r="L335" s="194">
        <f t="shared" si="56"/>
        <v>1.9131999999999998</v>
      </c>
      <c r="M335" s="233">
        <f>AVERAGE(Ashed_controlls!$K$1:$K$11)</f>
        <v>5.5147656768714146</v>
      </c>
      <c r="N335" s="194">
        <f t="shared" si="52"/>
        <v>1.807691503070096</v>
      </c>
      <c r="O335" s="194">
        <f t="shared" si="57"/>
        <v>1.8961999999999999</v>
      </c>
      <c r="P335" s="233">
        <f>AVERAGE(Ashed_controlls!$K$12:$K$14)</f>
        <v>2.2816647271287041</v>
      </c>
      <c r="Q335" s="194">
        <f t="shared" si="53"/>
        <v>1.8529350734441854</v>
      </c>
      <c r="R335" s="376">
        <f>IF('Dry_Litterbag Placem_Collection'!G42="","",'Dry_Litterbag Placem_Collection'!G42)</f>
        <v>43005</v>
      </c>
      <c r="S335" s="194">
        <f>IFERROR(INDEX('Both teabags AfterDry'!$D$3:$D$2000,MATCH(H335,'Both teabags AfterDry'!$A$3:$A$2000,0)),"")</f>
        <v>1.9007000000000001</v>
      </c>
      <c r="T335" s="194">
        <f>IFERROR(INDEX('Both teabags AfterDry'!$D$3:$D$2000,MATCH(I335,'Both teabags AfterDry'!$A$3:$A$2000,0)),"")</f>
        <v>1.9192</v>
      </c>
      <c r="U335" s="194">
        <f t="shared" si="58"/>
        <v>1.7501</v>
      </c>
      <c r="V335" s="194">
        <f t="shared" si="59"/>
        <v>1.7685999999999999</v>
      </c>
      <c r="W335" s="194">
        <f>IFERROR(INDEX('Ashed teabags dry'!$K$2:$K$2000,MATCH(H335,'Ashed teabags dry'!$A$2:$A$2000,0)),"")</f>
        <v>6.7672833495611799</v>
      </c>
      <c r="X335" s="194">
        <f>IFERROR(INDEX('Ashed teabags dry'!$K$2:$K$2000,MATCH(I335,'Ashed teabags dry'!$A$2:$A$2000,0)),"")</f>
        <v>3.0697674418608112</v>
      </c>
      <c r="Y335" s="194">
        <f t="shared" si="54"/>
        <v>1.6316657740993297</v>
      </c>
      <c r="Z335" s="194">
        <f t="shared" si="54"/>
        <v>1.7143080930232497</v>
      </c>
      <c r="AA335" s="194">
        <f t="shared" si="60"/>
        <v>9.7375978518354889E-2</v>
      </c>
      <c r="AB335" s="194">
        <f t="shared" si="61"/>
        <v>6.3837933660489191E-2</v>
      </c>
      <c r="AC335" s="194">
        <f t="shared" si="55"/>
        <v>0.92518519272061728</v>
      </c>
      <c r="AD335">
        <f t="shared" si="62"/>
        <v>67</v>
      </c>
      <c r="AE335" s="194">
        <f t="shared" si="63"/>
        <v>0.88435156945563553</v>
      </c>
      <c r="AF335" s="194" t="str">
        <f t="shared" si="64"/>
        <v/>
      </c>
      <c r="AG335" s="245" t="str">
        <f>IF(ISNUMBER(SEARCH("C", 'Dry_Litterbag Placem_Collection'!$V42)),"YES","NO")</f>
        <v>NO</v>
      </c>
      <c r="AH335" s="245" t="str">
        <f>IF(ISNUMBER(SEARCH("H", 'Dry_Litterbag Placem_Collection'!$V42)),"YES","NO")</f>
        <v>NO</v>
      </c>
      <c r="AI335" s="245" t="str">
        <f>IF(ISNUMBER(SEARCH("R", 'Dry_Litterbag Placem_Collection'!$V42)),"YES","NO")</f>
        <v>NO</v>
      </c>
      <c r="AJ335" s="245" t="str">
        <f>IF(ISNUMBER(SEARCH("C", 'Dry_Litterbag Placem_Collection'!$U42)),"YES","NO")</f>
        <v>NO</v>
      </c>
      <c r="AK335" s="245" t="str">
        <f>IF(ISNUMBER(SEARCH("H", 'Dry_Litterbag Placem_Collection'!$U42)),"YES","NO")</f>
        <v>NO</v>
      </c>
      <c r="AL335" s="245" t="str">
        <f>IF(ISNUMBER(SEARCH("R", 'Dry_Litterbag Placem_Collection'!$U42)),"YES","NO")</f>
        <v>NO</v>
      </c>
    </row>
    <row r="336" spans="2:38">
      <c r="B336" t="str">
        <f>Dryseason!B482</f>
        <v>Dry</v>
      </c>
      <c r="C336" s="253">
        <f>Dryseason!C482</f>
        <v>41</v>
      </c>
      <c r="D336" t="s">
        <v>3108</v>
      </c>
      <c r="E336" t="s">
        <v>25</v>
      </c>
      <c r="F336" s="374">
        <v>1</v>
      </c>
      <c r="G336" s="376">
        <f>IF('Dry_Litterbag Placem_Collection'!E43="","",'Dry_Litterbag Placem_Collection'!E43)</f>
        <v>42938</v>
      </c>
      <c r="H336" s="92" t="str">
        <f>Dryseason!L482</f>
        <v>G43</v>
      </c>
      <c r="I336" t="str">
        <f>Dryseason!L702</f>
        <v>R648</v>
      </c>
      <c r="J336">
        <f>IFERROR(INDEX('Green_rooibos initial weight'!$C$5:$C$2000,MATCH(H336, 'Green_rooibos initial weight'!$A$5:$A$2000,0)),"")</f>
        <v>1.9650000000000001</v>
      </c>
      <c r="K336">
        <f>IFERROR(INDEX('Green_rooibos initial weight'!$C$5:$C$2000,MATCH(I336, 'Green_rooibos initial weight'!$A$5:$A$2000,0)),"")</f>
        <v>2.1920000000000002</v>
      </c>
      <c r="L336" s="194">
        <f t="shared" si="56"/>
        <v>1.7152000000000001</v>
      </c>
      <c r="M336" s="233">
        <f>AVERAGE(Ashed_controlls!$K$1:$K$11)</f>
        <v>5.5147656768714146</v>
      </c>
      <c r="N336" s="194">
        <f t="shared" si="52"/>
        <v>1.6206107391103015</v>
      </c>
      <c r="O336" s="194">
        <f t="shared" si="57"/>
        <v>1.9422000000000001</v>
      </c>
      <c r="P336" s="233">
        <f>AVERAGE(Ashed_controlls!$K$12:$K$14)</f>
        <v>2.2816647271287041</v>
      </c>
      <c r="Q336" s="194">
        <f t="shared" si="53"/>
        <v>1.8978855076697065</v>
      </c>
      <c r="R336" s="376">
        <f>IF('Dry_Litterbag Placem_Collection'!G43="","",'Dry_Litterbag Placem_Collection'!G43)</f>
        <v>43005</v>
      </c>
      <c r="S336" s="194">
        <f>IFERROR(INDEX('Both teabags AfterDry'!$D$3:$D$2000,MATCH(H336,'Both teabags AfterDry'!$A$3:$A$2000,0)),"")</f>
        <v>1.7821</v>
      </c>
      <c r="T336" s="194">
        <f>IFERROR(INDEX('Both teabags AfterDry'!$D$3:$D$2000,MATCH(I336,'Both teabags AfterDry'!$A$3:$A$2000,0)),"")</f>
        <v>1.9649000000000001</v>
      </c>
      <c r="U336" s="194">
        <f t="shared" si="58"/>
        <v>1.6315</v>
      </c>
      <c r="V336" s="194">
        <f t="shared" si="59"/>
        <v>1.8143</v>
      </c>
      <c r="W336" s="194">
        <f>IFERROR(INDEX('Ashed teabags dry'!$K$2:$K$2000,MATCH(H336,'Ashed teabags dry'!$A$2:$A$2000,0)),"")</f>
        <v>4.8097944905995158</v>
      </c>
      <c r="X336" s="194">
        <f>IFERROR(INDEX('Ashed teabags dry'!$K$2:$K$2000,MATCH(I336,'Ashed teabags dry'!$A$2:$A$2000,0)),"")</f>
        <v>3.1295137217131312</v>
      </c>
      <c r="Y336" s="194">
        <f t="shared" si="54"/>
        <v>1.5530282028858688</v>
      </c>
      <c r="Z336" s="194">
        <f t="shared" si="54"/>
        <v>1.7575212325469587</v>
      </c>
      <c r="AA336" s="194">
        <f t="shared" si="60"/>
        <v>4.1701893362458442E-2</v>
      </c>
      <c r="AB336" s="194">
        <f t="shared" si="61"/>
        <v>2.733900847515091E-2</v>
      </c>
      <c r="AC336" s="194">
        <f t="shared" si="55"/>
        <v>0.92604175828546564</v>
      </c>
      <c r="AD336">
        <f t="shared" si="62"/>
        <v>67</v>
      </c>
      <c r="AE336" s="194">
        <f t="shared" si="63"/>
        <v>0.95047281073342227</v>
      </c>
      <c r="AF336" s="194" t="str">
        <f t="shared" si="64"/>
        <v/>
      </c>
      <c r="AG336" s="245" t="str">
        <f>IF(ISNUMBER(SEARCH("C", 'Dry_Litterbag Placem_Collection'!$V43)),"YES","NO")</f>
        <v>NO</v>
      </c>
      <c r="AH336" s="245" t="str">
        <f>IF(ISNUMBER(SEARCH("H", 'Dry_Litterbag Placem_Collection'!$V43)),"YES","NO")</f>
        <v>NO</v>
      </c>
      <c r="AI336" s="245" t="str">
        <f>IF(ISNUMBER(SEARCH("R", 'Dry_Litterbag Placem_Collection'!$V43)),"YES","NO")</f>
        <v>NO</v>
      </c>
      <c r="AJ336" s="245" t="str">
        <f>IF(ISNUMBER(SEARCH("C", 'Dry_Litterbag Placem_Collection'!$U43)),"YES","NO")</f>
        <v>NO</v>
      </c>
      <c r="AK336" s="245" t="str">
        <f>IF(ISNUMBER(SEARCH("H", 'Dry_Litterbag Placem_Collection'!$U43)),"YES","NO")</f>
        <v>NO</v>
      </c>
      <c r="AL336" s="245" t="str">
        <f>IF(ISNUMBER(SEARCH("R", 'Dry_Litterbag Placem_Collection'!$U43)),"YES","NO")</f>
        <v>NO</v>
      </c>
    </row>
    <row r="337" spans="2:38">
      <c r="B337" t="str">
        <f>Dryseason!B483</f>
        <v>Dry</v>
      </c>
      <c r="C337" s="253">
        <f>Dryseason!C483</f>
        <v>42</v>
      </c>
      <c r="D337" t="s">
        <v>3108</v>
      </c>
      <c r="E337" t="s">
        <v>25</v>
      </c>
      <c r="F337" s="374">
        <v>2</v>
      </c>
      <c r="G337" s="376">
        <f>IF('Dry_Litterbag Placem_Collection'!E44="","",'Dry_Litterbag Placem_Collection'!E44)</f>
        <v>42938</v>
      </c>
      <c r="H337" s="92" t="str">
        <f>Dryseason!L483</f>
        <v>G268</v>
      </c>
      <c r="I337" t="str">
        <f>Dryseason!L703</f>
        <v>R257</v>
      </c>
      <c r="J337">
        <f>IFERROR(INDEX('Green_rooibos initial weight'!$C$5:$C$2000,MATCH(H337, 'Green_rooibos initial weight'!$A$5:$A$2000,0)),"")</f>
        <v>2.1389999999999998</v>
      </c>
      <c r="K337">
        <f>IFERROR(INDEX('Green_rooibos initial weight'!$C$5:$C$2000,MATCH(I337, 'Green_rooibos initial weight'!$A$5:$A$2000,0)),"")</f>
        <v>2.222</v>
      </c>
      <c r="L337" s="194">
        <f t="shared" si="56"/>
        <v>1.8891999999999998</v>
      </c>
      <c r="M337" s="233">
        <f>AVERAGE(Ashed_controlls!$K$1:$K$11)</f>
        <v>5.5147656768714146</v>
      </c>
      <c r="N337" s="194">
        <f t="shared" si="52"/>
        <v>1.785015046832545</v>
      </c>
      <c r="O337" s="194">
        <f t="shared" si="57"/>
        <v>1.9722</v>
      </c>
      <c r="P337" s="233">
        <f>AVERAGE(Ashed_controlls!$K$12:$K$14)</f>
        <v>2.2816647271287041</v>
      </c>
      <c r="Q337" s="194">
        <f t="shared" si="53"/>
        <v>1.9272010082515676</v>
      </c>
      <c r="R337" s="376">
        <f>IF('Dry_Litterbag Placem_Collection'!G44="","",'Dry_Litterbag Placem_Collection'!G44)</f>
        <v>43005</v>
      </c>
      <c r="S337" s="194">
        <f>IFERROR(INDEX('Both teabags AfterDry'!$D$3:$D$2000,MATCH(H337,'Both teabags AfterDry'!$A$3:$A$2000,0)),"")</f>
        <v>1.7633000000000001</v>
      </c>
      <c r="T337" s="194">
        <f>IFERROR(INDEX('Both teabags AfterDry'!$D$3:$D$2000,MATCH(I337,'Both teabags AfterDry'!$A$3:$A$2000,0)),"")</f>
        <v>1.956</v>
      </c>
      <c r="U337" s="194">
        <f t="shared" si="58"/>
        <v>1.6127</v>
      </c>
      <c r="V337" s="194">
        <f t="shared" si="59"/>
        <v>1.8053999999999999</v>
      </c>
      <c r="W337" s="194">
        <f>IFERROR(INDEX('Ashed teabags dry'!$K$2:$K$2000,MATCH(H337,'Ashed teabags dry'!$A$2:$A$2000,0)),"")</f>
        <v>9.3972472710013903</v>
      </c>
      <c r="X337" s="194">
        <f>IFERROR(INDEX('Ashed teabags dry'!$K$2:$K$2000,MATCH(I337,'Ashed teabags dry'!$A$2:$A$2000,0)),"")</f>
        <v>2.8571428571426241</v>
      </c>
      <c r="Y337" s="194">
        <f t="shared" si="54"/>
        <v>1.4611505932605606</v>
      </c>
      <c r="Z337" s="194">
        <f t="shared" si="54"/>
        <v>1.753817142857147</v>
      </c>
      <c r="AA337" s="194">
        <f t="shared" si="60"/>
        <v>0.18143513924247978</v>
      </c>
      <c r="AB337" s="194">
        <f t="shared" si="61"/>
        <v>0.11894560197369221</v>
      </c>
      <c r="AC337" s="194">
        <f t="shared" si="55"/>
        <v>0.910033325713273</v>
      </c>
      <c r="AD337">
        <f t="shared" si="62"/>
        <v>67</v>
      </c>
      <c r="AE337" s="194">
        <f t="shared" si="63"/>
        <v>0.78451883700418079</v>
      </c>
      <c r="AF337" s="194">
        <f t="shared" si="64"/>
        <v>2.1076079521612927E-2</v>
      </c>
      <c r="AG337" s="245" t="str">
        <f>IF(ISNUMBER(SEARCH("C", 'Dry_Litterbag Placem_Collection'!$V44)),"YES","NO")</f>
        <v>NO</v>
      </c>
      <c r="AH337" s="245" t="str">
        <f>IF(ISNUMBER(SEARCH("H", 'Dry_Litterbag Placem_Collection'!$V44)),"YES","NO")</f>
        <v>NO</v>
      </c>
      <c r="AI337" s="245" t="str">
        <f>IF(ISNUMBER(SEARCH("R", 'Dry_Litterbag Placem_Collection'!$V44)),"YES","NO")</f>
        <v>NO</v>
      </c>
      <c r="AJ337" s="245" t="str">
        <f>IF(ISNUMBER(SEARCH("C", 'Dry_Litterbag Placem_Collection'!$U44)),"YES","NO")</f>
        <v>NO</v>
      </c>
      <c r="AK337" s="245" t="str">
        <f>IF(ISNUMBER(SEARCH("H", 'Dry_Litterbag Placem_Collection'!$U44)),"YES","NO")</f>
        <v>NO</v>
      </c>
      <c r="AL337" s="245" t="str">
        <f>IF(ISNUMBER(SEARCH("R", 'Dry_Litterbag Placem_Collection'!$U44)),"YES","NO")</f>
        <v>YES</v>
      </c>
    </row>
    <row r="338" spans="2:38">
      <c r="B338" t="str">
        <f>Dryseason!B484</f>
        <v>Dry</v>
      </c>
      <c r="C338" s="253">
        <f>Dryseason!C484</f>
        <v>43</v>
      </c>
      <c r="D338" t="s">
        <v>3108</v>
      </c>
      <c r="E338" t="s">
        <v>25</v>
      </c>
      <c r="F338" s="374">
        <v>3</v>
      </c>
      <c r="G338" s="376">
        <f>IF('Dry_Litterbag Placem_Collection'!E45="","",'Dry_Litterbag Placem_Collection'!E45)</f>
        <v>42938</v>
      </c>
      <c r="H338" s="92" t="str">
        <f>Dryseason!L484</f>
        <v>G300</v>
      </c>
      <c r="I338" t="str">
        <f>Dryseason!L704</f>
        <v>R691</v>
      </c>
      <c r="J338">
        <f>IFERROR(INDEX('Green_rooibos initial weight'!$C$5:$C$2000,MATCH(H338, 'Green_rooibos initial weight'!$A$5:$A$2000,0)),"")</f>
        <v>2.052</v>
      </c>
      <c r="K338">
        <f>IFERROR(INDEX('Green_rooibos initial weight'!$C$5:$C$2000,MATCH(I338, 'Green_rooibos initial weight'!$A$5:$A$2000,0)),"")</f>
        <v>2.1859999999999999</v>
      </c>
      <c r="L338" s="194">
        <f t="shared" si="56"/>
        <v>1.8022</v>
      </c>
      <c r="M338" s="233">
        <f>AVERAGE(Ashed_controlls!$K$1:$K$11)</f>
        <v>5.5147656768714146</v>
      </c>
      <c r="N338" s="194">
        <f t="shared" si="52"/>
        <v>1.7028128929714235</v>
      </c>
      <c r="O338" s="194">
        <f t="shared" si="57"/>
        <v>1.9361999999999999</v>
      </c>
      <c r="P338" s="233">
        <f>AVERAGE(Ashed_controlls!$K$12:$K$14)</f>
        <v>2.2816647271287041</v>
      </c>
      <c r="Q338" s="194">
        <f t="shared" si="53"/>
        <v>1.8920224075533341</v>
      </c>
      <c r="R338" s="376">
        <f>IF('Dry_Litterbag Placem_Collection'!G45="","",'Dry_Litterbag Placem_Collection'!G45)</f>
        <v>43005</v>
      </c>
      <c r="S338" s="194">
        <f>IFERROR(INDEX('Both teabags AfterDry'!$D$3:$D$2000,MATCH(H338,'Both teabags AfterDry'!$A$3:$A$2000,0)),"")</f>
        <v>1.8340000000000001</v>
      </c>
      <c r="T338" s="194">
        <f>IFERROR(INDEX('Both teabags AfterDry'!$D$3:$D$2000,MATCH(I338,'Both teabags AfterDry'!$A$3:$A$2000,0)),"")</f>
        <v>1.9609000000000001</v>
      </c>
      <c r="U338" s="194">
        <f t="shared" si="58"/>
        <v>1.6834</v>
      </c>
      <c r="V338" s="194">
        <f t="shared" si="59"/>
        <v>1.8103</v>
      </c>
      <c r="W338" s="194">
        <f>IFERROR(INDEX('Ashed teabags dry'!$K$2:$K$2000,MATCH(H338,'Ashed teabags dry'!$A$2:$A$2000,0)),"")</f>
        <v>6.2999529854254668</v>
      </c>
      <c r="X338" s="194">
        <f>IFERROR(INDEX('Ashed teabags dry'!$K$2:$K$2000,MATCH(I338,'Ashed teabags dry'!$A$2:$A$2000,0)),"")</f>
        <v>3.8599640933580917</v>
      </c>
      <c r="Y338" s="194">
        <f t="shared" si="54"/>
        <v>1.5773465914433478</v>
      </c>
      <c r="Z338" s="194">
        <f t="shared" si="54"/>
        <v>1.7404230700179384</v>
      </c>
      <c r="AA338" s="194">
        <f t="shared" si="60"/>
        <v>7.3681789729190927E-2</v>
      </c>
      <c r="AB338" s="194">
        <f t="shared" si="61"/>
        <v>4.8304451223887643E-2</v>
      </c>
      <c r="AC338" s="194">
        <f t="shared" si="55"/>
        <v>0.91987444919775763</v>
      </c>
      <c r="AD338">
        <f t="shared" si="62"/>
        <v>67</v>
      </c>
      <c r="AE338" s="194">
        <f t="shared" si="63"/>
        <v>0.91249193618860935</v>
      </c>
      <c r="AF338" s="194" t="str">
        <f t="shared" si="64"/>
        <v/>
      </c>
      <c r="AG338" s="245" t="str">
        <f>IF(ISNUMBER(SEARCH("C", 'Dry_Litterbag Placem_Collection'!$V45)),"YES","NO")</f>
        <v>NO</v>
      </c>
      <c r="AH338" s="245" t="str">
        <f>IF(ISNUMBER(SEARCH("H", 'Dry_Litterbag Placem_Collection'!$V45)),"YES","NO")</f>
        <v>NO</v>
      </c>
      <c r="AI338" s="245" t="str">
        <f>IF(ISNUMBER(SEARCH("R", 'Dry_Litterbag Placem_Collection'!$V45)),"YES","NO")</f>
        <v>NO</v>
      </c>
      <c r="AJ338" s="245" t="str">
        <f>IF(ISNUMBER(SEARCH("C", 'Dry_Litterbag Placem_Collection'!$U45)),"YES","NO")</f>
        <v>NO</v>
      </c>
      <c r="AK338" s="245" t="str">
        <f>IF(ISNUMBER(SEARCH("H", 'Dry_Litterbag Placem_Collection'!$U45)),"YES","NO")</f>
        <v>NO</v>
      </c>
      <c r="AL338" s="245" t="str">
        <f>IF(ISNUMBER(SEARCH("R", 'Dry_Litterbag Placem_Collection'!$U45)),"YES","NO")</f>
        <v>NO</v>
      </c>
    </row>
    <row r="339" spans="2:38">
      <c r="B339" t="str">
        <f>Dryseason!B485</f>
        <v>Dry</v>
      </c>
      <c r="C339" s="253">
        <f>Dryseason!C485</f>
        <v>44</v>
      </c>
      <c r="D339" t="s">
        <v>3108</v>
      </c>
      <c r="E339" t="s">
        <v>25</v>
      </c>
      <c r="F339" s="375">
        <v>4</v>
      </c>
      <c r="G339" s="376">
        <f>IF('Dry_Litterbag Placem_Collection'!E46="","",'Dry_Litterbag Placem_Collection'!E46)</f>
        <v>42938</v>
      </c>
      <c r="H339" s="92" t="str">
        <f>Dryseason!L485</f>
        <v>G823</v>
      </c>
      <c r="I339" t="str">
        <f>Dryseason!L705</f>
        <v>R716</v>
      </c>
      <c r="J339">
        <f>IFERROR(INDEX('Green_rooibos initial weight'!$C$5:$C$2000,MATCH(H339, 'Green_rooibos initial weight'!$A$5:$A$2000,0)),"")</f>
        <v>1.9630000000000001</v>
      </c>
      <c r="K339">
        <f>IFERROR(INDEX('Green_rooibos initial weight'!$C$5:$C$2000,MATCH(I339, 'Green_rooibos initial weight'!$A$5:$A$2000,0)),"")</f>
        <v>2.2280000000000002</v>
      </c>
      <c r="L339" s="194">
        <f t="shared" si="56"/>
        <v>1.7132000000000001</v>
      </c>
      <c r="M339" s="233">
        <f>AVERAGE(Ashed_controlls!$K$1:$K$11)</f>
        <v>5.5147656768714146</v>
      </c>
      <c r="N339" s="194">
        <f t="shared" si="52"/>
        <v>1.618721034423839</v>
      </c>
      <c r="O339" s="194">
        <f t="shared" si="57"/>
        <v>1.9782000000000002</v>
      </c>
      <c r="P339" s="233">
        <f>AVERAGE(Ashed_controlls!$K$12:$K$14)</f>
        <v>2.2816647271287041</v>
      </c>
      <c r="Q339" s="194">
        <f t="shared" si="53"/>
        <v>1.9330641083679401</v>
      </c>
      <c r="R339" s="376">
        <f>IF('Dry_Litterbag Placem_Collection'!G46="","",'Dry_Litterbag Placem_Collection'!G46)</f>
        <v>43005</v>
      </c>
      <c r="S339" s="194">
        <f>IFERROR(INDEX('Both teabags AfterDry'!$D$3:$D$2000,MATCH(H339,'Both teabags AfterDry'!$A$3:$A$2000,0)),"")</f>
        <v>1.8245</v>
      </c>
      <c r="T339" s="194">
        <f>IFERROR(INDEX('Both teabags AfterDry'!$D$3:$D$2000,MATCH(I339,'Both teabags AfterDry'!$A$3:$A$2000,0)),"")</f>
        <v>1.9879</v>
      </c>
      <c r="U339" s="194">
        <f t="shared" si="58"/>
        <v>1.6738999999999999</v>
      </c>
      <c r="V339" s="194">
        <f t="shared" si="59"/>
        <v>1.8372999999999999</v>
      </c>
      <c r="W339" s="194">
        <f>IFERROR(INDEX('Ashed teabags dry'!$K$2:$K$2000,MATCH(H339,'Ashed teabags dry'!$A$2:$A$2000,0)),"")</f>
        <v>6.7021748779403518</v>
      </c>
      <c r="X339" s="194">
        <f>IFERROR(INDEX('Ashed teabags dry'!$K$2:$K$2000,MATCH(I339,'Ashed teabags dry'!$A$2:$A$2000,0)),"")</f>
        <v>2.9353233830845578</v>
      </c>
      <c r="Y339" s="194">
        <f t="shared" si="54"/>
        <v>1.5617122947181563</v>
      </c>
      <c r="Z339" s="194">
        <f t="shared" si="54"/>
        <v>1.7833693034825873</v>
      </c>
      <c r="AA339" s="194">
        <f t="shared" si="60"/>
        <v>3.5218384448790552E-2</v>
      </c>
      <c r="AB339" s="194">
        <f t="shared" si="61"/>
        <v>2.3088537073316387E-2</v>
      </c>
      <c r="AC339" s="194">
        <f t="shared" si="55"/>
        <v>0.92256086891410027</v>
      </c>
      <c r="AD339">
        <f t="shared" si="62"/>
        <v>67</v>
      </c>
      <c r="AE339" s="194">
        <f t="shared" si="63"/>
        <v>0.95817294008457177</v>
      </c>
      <c r="AF339" s="194" t="str">
        <f t="shared" si="64"/>
        <v/>
      </c>
      <c r="AG339" s="245" t="str">
        <f>IF(ISNUMBER(SEARCH("C", 'Dry_Litterbag Placem_Collection'!$V46)),"YES","NO")</f>
        <v>NO</v>
      </c>
      <c r="AH339" s="245" t="str">
        <f>IF(ISNUMBER(SEARCH("H", 'Dry_Litterbag Placem_Collection'!$V46)),"YES","NO")</f>
        <v>NO</v>
      </c>
      <c r="AI339" s="245" t="str">
        <f>IF(ISNUMBER(SEARCH("R", 'Dry_Litterbag Placem_Collection'!$V46)),"YES","NO")</f>
        <v>NO</v>
      </c>
      <c r="AJ339" s="245" t="str">
        <f>IF(ISNUMBER(SEARCH("C", 'Dry_Litterbag Placem_Collection'!$U46)),"YES","NO")</f>
        <v>NO</v>
      </c>
      <c r="AK339" s="245" t="str">
        <f>IF(ISNUMBER(SEARCH("H", 'Dry_Litterbag Placem_Collection'!$U46)),"YES","NO")</f>
        <v>NO</v>
      </c>
      <c r="AL339" s="245" t="str">
        <f>IF(ISNUMBER(SEARCH("R", 'Dry_Litterbag Placem_Collection'!$U46)),"YES","NO")</f>
        <v>NO</v>
      </c>
    </row>
    <row r="340" spans="2:38">
      <c r="B340" t="str">
        <f>Dryseason!B486</f>
        <v>Dry</v>
      </c>
      <c r="C340" s="253">
        <f>Dryseason!C486</f>
        <v>45</v>
      </c>
      <c r="D340" t="s">
        <v>3108</v>
      </c>
      <c r="E340" t="s">
        <v>25</v>
      </c>
      <c r="F340" s="375">
        <v>5</v>
      </c>
      <c r="G340" s="376">
        <f>IF('Dry_Litterbag Placem_Collection'!E47="","",'Dry_Litterbag Placem_Collection'!E47)</f>
        <v>42938</v>
      </c>
      <c r="H340" s="92" t="str">
        <f>Dryseason!L486</f>
        <v>G354</v>
      </c>
      <c r="I340" t="str">
        <f>Dryseason!L706</f>
        <v>R631</v>
      </c>
      <c r="J340">
        <f>IFERROR(INDEX('Green_rooibos initial weight'!$C$5:$C$2000,MATCH(H340, 'Green_rooibos initial weight'!$A$5:$A$2000,0)),"")</f>
        <v>1.835</v>
      </c>
      <c r="K340">
        <f>IFERROR(INDEX('Green_rooibos initial weight'!$C$5:$C$2000,MATCH(I340, 'Green_rooibos initial weight'!$A$5:$A$2000,0)),"")</f>
        <v>2.133</v>
      </c>
      <c r="L340" s="194">
        <f t="shared" si="56"/>
        <v>1.5851999999999999</v>
      </c>
      <c r="M340" s="233">
        <f>AVERAGE(Ashed_controlls!$K$1:$K$11)</f>
        <v>5.5147656768714146</v>
      </c>
      <c r="N340" s="194">
        <f t="shared" si="52"/>
        <v>1.4977799344902343</v>
      </c>
      <c r="O340" s="194">
        <f t="shared" si="57"/>
        <v>1.8832</v>
      </c>
      <c r="P340" s="233">
        <f>AVERAGE(Ashed_controlls!$K$12:$K$14)</f>
        <v>2.2816647271287041</v>
      </c>
      <c r="Q340" s="194">
        <f t="shared" si="53"/>
        <v>1.8402316898587123</v>
      </c>
      <c r="R340" s="376">
        <f>IF('Dry_Litterbag Placem_Collection'!G47="","",'Dry_Litterbag Placem_Collection'!G47)</f>
        <v>43005</v>
      </c>
      <c r="S340" s="194" t="str">
        <f>IFERROR(INDEX('Both teabags AfterDry'!$D$3:$D$2000,MATCH(H340,'Both teabags AfterDry'!$A$3:$A$2000,0)),"")</f>
        <v/>
      </c>
      <c r="T340" s="194" t="str">
        <f>IFERROR(INDEX('Both teabags AfterDry'!$D$3:$D$2000,MATCH(I340,'Both teabags AfterDry'!$A$3:$A$2000,0)),"")</f>
        <v/>
      </c>
      <c r="U340" s="194" t="str">
        <f t="shared" si="58"/>
        <v/>
      </c>
      <c r="V340" s="194" t="str">
        <f t="shared" si="59"/>
        <v/>
      </c>
      <c r="W340" s="194" t="str">
        <f>IFERROR(INDEX('Ashed teabags dry'!$K$2:$K$2000,MATCH(H340,'Ashed teabags dry'!$A$2:$A$2000,0)),"")</f>
        <v/>
      </c>
      <c r="X340" s="194" t="str">
        <f>IFERROR(INDEX('Ashed teabags dry'!$K$2:$K$2000,MATCH(I340,'Ashed teabags dry'!$A$2:$A$2000,0)),"")</f>
        <v/>
      </c>
      <c r="Y340" s="194" t="str">
        <f t="shared" si="54"/>
        <v/>
      </c>
      <c r="Z340" s="194" t="str">
        <f t="shared" si="54"/>
        <v/>
      </c>
      <c r="AA340" s="194" t="str">
        <f t="shared" si="60"/>
        <v/>
      </c>
      <c r="AB340" s="194" t="str">
        <f t="shared" si="61"/>
        <v/>
      </c>
      <c r="AC340" s="194" t="str">
        <f t="shared" si="55"/>
        <v/>
      </c>
      <c r="AD340">
        <f t="shared" si="62"/>
        <v>67</v>
      </c>
      <c r="AE340" s="194" t="str">
        <f t="shared" si="63"/>
        <v/>
      </c>
      <c r="AF340" s="194" t="str">
        <f t="shared" si="64"/>
        <v/>
      </c>
      <c r="AG340" s="245" t="str">
        <f>IF(ISNUMBER(SEARCH("C", 'Dry_Litterbag Placem_Collection'!$V47)),"YES","NO")</f>
        <v>NO</v>
      </c>
      <c r="AH340" s="245" t="str">
        <f>IF(ISNUMBER(SEARCH("H", 'Dry_Litterbag Placem_Collection'!$V47)),"YES","NO")</f>
        <v>NO</v>
      </c>
      <c r="AI340" s="245" t="str">
        <f>IF(ISNUMBER(SEARCH("R", 'Dry_Litterbag Placem_Collection'!$V47)),"YES","NO")</f>
        <v>NO</v>
      </c>
      <c r="AJ340" s="245" t="str">
        <f>IF(ISNUMBER(SEARCH("C", 'Dry_Litterbag Placem_Collection'!$U47)),"YES","NO")</f>
        <v>NO</v>
      </c>
      <c r="AK340" s="245" t="str">
        <f>IF(ISNUMBER(SEARCH("H", 'Dry_Litterbag Placem_Collection'!$U47)),"YES","NO")</f>
        <v>NO</v>
      </c>
      <c r="AL340" s="245" t="str">
        <f>IF(ISNUMBER(SEARCH("R", 'Dry_Litterbag Placem_Collection'!$U47)),"YES","NO")</f>
        <v>NO</v>
      </c>
    </row>
    <row r="341" spans="2:38">
      <c r="B341" t="str">
        <f>Dryseason!B487</f>
        <v>Dry</v>
      </c>
      <c r="C341" s="253">
        <f>Dryseason!C487</f>
        <v>46</v>
      </c>
      <c r="D341" t="s">
        <v>3108</v>
      </c>
      <c r="E341" t="s">
        <v>25</v>
      </c>
      <c r="F341" s="375">
        <v>6</v>
      </c>
      <c r="G341" s="376" t="str">
        <f>IF('Dry_Litterbag Placem_Collection'!E48="","",'Dry_Litterbag Placem_Collection'!E48)</f>
        <v/>
      </c>
      <c r="H341" s="92" t="str">
        <f>Dryseason!L487</f>
        <v/>
      </c>
      <c r="I341" t="str">
        <f>Dryseason!L707</f>
        <v/>
      </c>
      <c r="J341" t="str">
        <f>IFERROR(INDEX('Green_rooibos initial weight'!$C$5:$C$2000,MATCH(H341, 'Green_rooibos initial weight'!$A$5:$A$2000,0)),"")</f>
        <v/>
      </c>
      <c r="K341" t="str">
        <f>IFERROR(INDEX('Green_rooibos initial weight'!$C$5:$C$2000,MATCH(I341, 'Green_rooibos initial weight'!$A$5:$A$2000,0)),"")</f>
        <v/>
      </c>
      <c r="L341" s="194" t="str">
        <f t="shared" si="56"/>
        <v/>
      </c>
      <c r="M341" s="233">
        <f>AVERAGE(Ashed_controlls!$K$1:$K$11)</f>
        <v>5.5147656768714146</v>
      </c>
      <c r="N341" s="194" t="str">
        <f t="shared" si="52"/>
        <v/>
      </c>
      <c r="O341" s="194" t="str">
        <f t="shared" si="57"/>
        <v/>
      </c>
      <c r="P341" s="233">
        <f>AVERAGE(Ashed_controlls!$K$12:$K$14)</f>
        <v>2.2816647271287041</v>
      </c>
      <c r="Q341" s="194" t="str">
        <f t="shared" si="53"/>
        <v/>
      </c>
      <c r="R341" s="376" t="str">
        <f>IF('Dry_Litterbag Placem_Collection'!G48="","",'Dry_Litterbag Placem_Collection'!G48)</f>
        <v/>
      </c>
      <c r="S341" s="194" t="str">
        <f>IFERROR(INDEX('Both teabags AfterDry'!$D$3:$D$2000,MATCH(H341,'Both teabags AfterDry'!$A$3:$A$2000,0)),"")</f>
        <v/>
      </c>
      <c r="T341" s="194" t="str">
        <f>IFERROR(INDEX('Both teabags AfterDry'!$D$3:$D$2000,MATCH(I341,'Both teabags AfterDry'!$A$3:$A$2000,0)),"")</f>
        <v/>
      </c>
      <c r="U341" s="194" t="str">
        <f t="shared" si="58"/>
        <v/>
      </c>
      <c r="V341" s="194" t="str">
        <f t="shared" si="59"/>
        <v/>
      </c>
      <c r="W341" s="194" t="str">
        <f>IFERROR(INDEX('Ashed teabags dry'!$K$2:$K$2000,MATCH(H341,'Ashed teabags dry'!$A$2:$A$2000,0)),"")</f>
        <v/>
      </c>
      <c r="X341" s="194" t="str">
        <f>IFERROR(INDEX('Ashed teabags dry'!$K$2:$K$2000,MATCH(I341,'Ashed teabags dry'!$A$2:$A$2000,0)),"")</f>
        <v/>
      </c>
      <c r="Y341" s="194" t="str">
        <f t="shared" si="54"/>
        <v/>
      </c>
      <c r="Z341" s="194" t="str">
        <f t="shared" si="54"/>
        <v/>
      </c>
      <c r="AA341" s="194" t="str">
        <f t="shared" si="60"/>
        <v/>
      </c>
      <c r="AB341" s="194" t="str">
        <f t="shared" si="61"/>
        <v/>
      </c>
      <c r="AC341" s="194" t="str">
        <f t="shared" si="55"/>
        <v/>
      </c>
      <c r="AD341" t="str">
        <f t="shared" si="62"/>
        <v/>
      </c>
      <c r="AE341" s="194" t="str">
        <f t="shared" si="63"/>
        <v/>
      </c>
      <c r="AF341" s="194" t="str">
        <f t="shared" si="64"/>
        <v/>
      </c>
      <c r="AG341" s="245" t="str">
        <f>IF(ISNUMBER(SEARCH("C", 'Dry_Litterbag Placem_Collection'!$V48)),"YES","NO")</f>
        <v>NO</v>
      </c>
      <c r="AH341" s="245" t="str">
        <f>IF(ISNUMBER(SEARCH("H", 'Dry_Litterbag Placem_Collection'!$V48)),"YES","NO")</f>
        <v>NO</v>
      </c>
      <c r="AI341" s="245" t="str">
        <f>IF(ISNUMBER(SEARCH("R", 'Dry_Litterbag Placem_Collection'!$V48)),"YES","NO")</f>
        <v>NO</v>
      </c>
      <c r="AJ341" s="245" t="str">
        <f>IF(ISNUMBER(SEARCH("C", 'Dry_Litterbag Placem_Collection'!$U48)),"YES","NO")</f>
        <v>NO</v>
      </c>
      <c r="AK341" s="245" t="str">
        <f>IF(ISNUMBER(SEARCH("H", 'Dry_Litterbag Placem_Collection'!$U48)),"YES","NO")</f>
        <v>NO</v>
      </c>
      <c r="AL341" s="245" t="str">
        <f>IF(ISNUMBER(SEARCH("R", 'Dry_Litterbag Placem_Collection'!$U48)),"YES","NO")</f>
        <v>NO</v>
      </c>
    </row>
    <row r="342" spans="2:38">
      <c r="B342" t="str">
        <f>Dryseason!B488</f>
        <v>Dry</v>
      </c>
      <c r="C342" s="253">
        <f>Dryseason!C488</f>
        <v>47</v>
      </c>
      <c r="D342" t="s">
        <v>3108</v>
      </c>
      <c r="E342" t="s">
        <v>25</v>
      </c>
      <c r="F342" s="375">
        <v>7</v>
      </c>
      <c r="G342" s="376">
        <f>IF('Dry_Litterbag Placem_Collection'!E49="","",'Dry_Litterbag Placem_Collection'!E49)</f>
        <v>42938</v>
      </c>
      <c r="H342" s="92" t="str">
        <f>Dryseason!L488</f>
        <v>G659</v>
      </c>
      <c r="I342" t="str">
        <f>Dryseason!L708</f>
        <v>R606</v>
      </c>
      <c r="J342">
        <f>IFERROR(INDEX('Green_rooibos initial weight'!$C$5:$C$2000,MATCH(H342, 'Green_rooibos initial weight'!$A$5:$A$2000,0)),"")</f>
        <v>2.0529999999999999</v>
      </c>
      <c r="K342">
        <f>IFERROR(INDEX('Green_rooibos initial weight'!$C$5:$C$2000,MATCH(I342, 'Green_rooibos initial weight'!$A$5:$A$2000,0)),"")</f>
        <v>2.15</v>
      </c>
      <c r="L342" s="194">
        <f t="shared" si="56"/>
        <v>1.8031999999999999</v>
      </c>
      <c r="M342" s="233">
        <f>AVERAGE(Ashed_controlls!$K$1:$K$11)</f>
        <v>5.5147656768714146</v>
      </c>
      <c r="N342" s="194">
        <f t="shared" si="52"/>
        <v>1.7037577453146546</v>
      </c>
      <c r="O342" s="194">
        <f t="shared" si="57"/>
        <v>1.9001999999999999</v>
      </c>
      <c r="P342" s="233">
        <f>AVERAGE(Ashed_controlls!$K$12:$K$14)</f>
        <v>2.2816647271287041</v>
      </c>
      <c r="Q342" s="194">
        <f t="shared" si="53"/>
        <v>1.8568438068551003</v>
      </c>
      <c r="R342" s="376">
        <f>IF('Dry_Litterbag Placem_Collection'!G49="","",'Dry_Litterbag Placem_Collection'!G49)</f>
        <v>43005</v>
      </c>
      <c r="S342" s="194">
        <f>IFERROR(INDEX('Both teabags AfterDry'!$D$3:$D$2000,MATCH(H342,'Both teabags AfterDry'!$A$3:$A$2000,0)),"")</f>
        <v>1.8913</v>
      </c>
      <c r="T342" s="194">
        <f>IFERROR(INDEX('Both teabags AfterDry'!$D$3:$D$2000,MATCH(I342,'Both teabags AfterDry'!$A$3:$A$2000,0)),"")</f>
        <v>1.9615</v>
      </c>
      <c r="U342" s="194">
        <f t="shared" si="58"/>
        <v>1.7406999999999999</v>
      </c>
      <c r="V342" s="194">
        <f t="shared" si="59"/>
        <v>1.8109</v>
      </c>
      <c r="W342" s="194">
        <f>IFERROR(INDEX('Ashed teabags dry'!$K$2:$K$2000,MATCH(H342,'Ashed teabags dry'!$A$2:$A$2000,0)),"")</f>
        <v>5.8849557522116545</v>
      </c>
      <c r="X342" s="194">
        <f>IFERROR(INDEX('Ashed teabags dry'!$K$2:$K$2000,MATCH(I342,'Ashed teabags dry'!$A$2:$A$2000,0)),"")</f>
        <v>1.9589106545621751</v>
      </c>
      <c r="Y342" s="194">
        <f t="shared" si="54"/>
        <v>1.6382605752212516</v>
      </c>
      <c r="Z342" s="194">
        <f t="shared" si="54"/>
        <v>1.7754260869565335</v>
      </c>
      <c r="AA342" s="194">
        <f t="shared" si="60"/>
        <v>3.8442771734139236E-2</v>
      </c>
      <c r="AB342" s="194">
        <f t="shared" si="61"/>
        <v>2.5202387170124567E-2</v>
      </c>
      <c r="AC342" s="194">
        <f t="shared" si="55"/>
        <v>0.95615262867130302</v>
      </c>
      <c r="AD342">
        <f t="shared" si="62"/>
        <v>67</v>
      </c>
      <c r="AE342" s="194">
        <f t="shared" si="63"/>
        <v>0.95434350150339753</v>
      </c>
      <c r="AF342" s="194" t="str">
        <f t="shared" si="64"/>
        <v/>
      </c>
      <c r="AG342" s="245" t="str">
        <f>IF(ISNUMBER(SEARCH("C", 'Dry_Litterbag Placem_Collection'!$V49)),"YES","NO")</f>
        <v>NO</v>
      </c>
      <c r="AH342" s="245" t="str">
        <f>IF(ISNUMBER(SEARCH("H", 'Dry_Litterbag Placem_Collection'!$V49)),"YES","NO")</f>
        <v>NO</v>
      </c>
      <c r="AI342" s="245" t="str">
        <f>IF(ISNUMBER(SEARCH("R", 'Dry_Litterbag Placem_Collection'!$V49)),"YES","NO")</f>
        <v>NO</v>
      </c>
      <c r="AJ342" s="245" t="str">
        <f>IF(ISNUMBER(SEARCH("C", 'Dry_Litterbag Placem_Collection'!$U49)),"YES","NO")</f>
        <v>NO</v>
      </c>
      <c r="AK342" s="245" t="str">
        <f>IF(ISNUMBER(SEARCH("H", 'Dry_Litterbag Placem_Collection'!$U49)),"YES","NO")</f>
        <v>NO</v>
      </c>
      <c r="AL342" s="245" t="str">
        <f>IF(ISNUMBER(SEARCH("R", 'Dry_Litterbag Placem_Collection'!$U49)),"YES","NO")</f>
        <v>NO</v>
      </c>
    </row>
    <row r="343" spans="2:38">
      <c r="B343" t="str">
        <f>Dryseason!B489</f>
        <v>Dry</v>
      </c>
      <c r="C343" s="253">
        <f>Dryseason!C489</f>
        <v>48</v>
      </c>
      <c r="D343" t="s">
        <v>3108</v>
      </c>
      <c r="E343" t="s">
        <v>25</v>
      </c>
      <c r="F343" s="375">
        <v>8</v>
      </c>
      <c r="G343" s="376">
        <f>IF('Dry_Litterbag Placem_Collection'!E50="","",'Dry_Litterbag Placem_Collection'!E50)</f>
        <v>42938</v>
      </c>
      <c r="H343" s="92" t="str">
        <f>Dryseason!L489</f>
        <v>G267</v>
      </c>
      <c r="I343" t="str">
        <f>Dryseason!L709</f>
        <v>R221</v>
      </c>
      <c r="J343">
        <f>IFERROR(INDEX('Green_rooibos initial weight'!$C$5:$C$2000,MATCH(H343, 'Green_rooibos initial weight'!$A$5:$A$2000,0)),"")</f>
        <v>2.069</v>
      </c>
      <c r="K343">
        <f>IFERROR(INDEX('Green_rooibos initial weight'!$C$5:$C$2000,MATCH(I343, 'Green_rooibos initial weight'!$A$5:$A$2000,0)),"")</f>
        <v>2.2210000000000001</v>
      </c>
      <c r="L343" s="194">
        <f t="shared" si="56"/>
        <v>1.8191999999999999</v>
      </c>
      <c r="M343" s="233">
        <f>AVERAGE(Ashed_controlls!$K$1:$K$11)</f>
        <v>5.5147656768714146</v>
      </c>
      <c r="N343" s="194">
        <f t="shared" si="52"/>
        <v>1.7188753828063552</v>
      </c>
      <c r="O343" s="194">
        <f t="shared" si="57"/>
        <v>1.9712000000000001</v>
      </c>
      <c r="P343" s="233">
        <f>AVERAGE(Ashed_controlls!$K$12:$K$14)</f>
        <v>2.2816647271287041</v>
      </c>
      <c r="Q343" s="194">
        <f t="shared" si="53"/>
        <v>1.926223824898839</v>
      </c>
      <c r="R343" s="376">
        <f>IF('Dry_Litterbag Placem_Collection'!G50="","",'Dry_Litterbag Placem_Collection'!G50)</f>
        <v>43005</v>
      </c>
      <c r="S343" s="194">
        <f>IFERROR(INDEX('Both teabags AfterDry'!$D$3:$D$2000,MATCH(H343,'Both teabags AfterDry'!$A$3:$A$2000,0)),"")</f>
        <v>1.8248</v>
      </c>
      <c r="T343" s="194">
        <f>IFERROR(INDEX('Both teabags AfterDry'!$D$3:$D$2000,MATCH(I343,'Both teabags AfterDry'!$A$3:$A$2000,0)),"")</f>
        <v>1.8791</v>
      </c>
      <c r="U343" s="194">
        <f t="shared" si="58"/>
        <v>1.6741999999999999</v>
      </c>
      <c r="V343" s="194">
        <f t="shared" si="59"/>
        <v>1.7284999999999999</v>
      </c>
      <c r="W343" s="194">
        <f>IFERROR(INDEX('Ashed teabags dry'!$K$2:$K$2000,MATCH(H343,'Ashed teabags dry'!$A$2:$A$2000,0)),"")</f>
        <v>5.78791719476098</v>
      </c>
      <c r="X343" s="194">
        <f>IFERROR(INDEX('Ashed teabags dry'!$K$2:$K$2000,MATCH(I343,'Ashed teabags dry'!$A$2:$A$2000,0)),"")</f>
        <v>2.6198934280645174</v>
      </c>
      <c r="Y343" s="194">
        <f t="shared" si="54"/>
        <v>1.5772986903253117</v>
      </c>
      <c r="Z343" s="194">
        <f t="shared" si="54"/>
        <v>1.6832151420959047</v>
      </c>
      <c r="AA343" s="194">
        <f t="shared" si="60"/>
        <v>8.2365885216120538E-2</v>
      </c>
      <c r="AB343" s="194">
        <f t="shared" si="61"/>
        <v>5.3997587457599201E-2</v>
      </c>
      <c r="AC343" s="194">
        <f t="shared" si="55"/>
        <v>0.87384192861611154</v>
      </c>
      <c r="AD343">
        <f t="shared" si="62"/>
        <v>67</v>
      </c>
      <c r="AE343" s="194">
        <f t="shared" si="63"/>
        <v>0.90217828359130581</v>
      </c>
      <c r="AF343" s="194" t="str">
        <f t="shared" si="64"/>
        <v/>
      </c>
      <c r="AG343" s="245" t="str">
        <f>IF(ISNUMBER(SEARCH("C", 'Dry_Litterbag Placem_Collection'!$V50)),"YES","NO")</f>
        <v>NO</v>
      </c>
      <c r="AH343" s="245" t="str">
        <f>IF(ISNUMBER(SEARCH("H", 'Dry_Litterbag Placem_Collection'!$V50)),"YES","NO")</f>
        <v>NO</v>
      </c>
      <c r="AI343" s="245" t="str">
        <f>IF(ISNUMBER(SEARCH("R", 'Dry_Litterbag Placem_Collection'!$V50)),"YES","NO")</f>
        <v>NO</v>
      </c>
      <c r="AJ343" s="245" t="str">
        <f>IF(ISNUMBER(SEARCH("C", 'Dry_Litterbag Placem_Collection'!$U50)),"YES","NO")</f>
        <v>NO</v>
      </c>
      <c r="AK343" s="245" t="str">
        <f>IF(ISNUMBER(SEARCH("H", 'Dry_Litterbag Placem_Collection'!$U50)),"YES","NO")</f>
        <v>NO</v>
      </c>
      <c r="AL343" s="245" t="str">
        <f>IF(ISNUMBER(SEARCH("R", 'Dry_Litterbag Placem_Collection'!$U50)),"YES","NO")</f>
        <v>NO</v>
      </c>
    </row>
    <row r="344" spans="2:38">
      <c r="B344" t="str">
        <f>Dryseason!B490</f>
        <v>Dry</v>
      </c>
      <c r="C344" s="253">
        <f>Dryseason!C490</f>
        <v>49</v>
      </c>
      <c r="D344" t="s">
        <v>3109</v>
      </c>
      <c r="E344" t="s">
        <v>25</v>
      </c>
      <c r="F344" s="374">
        <v>1</v>
      </c>
      <c r="G344" s="376">
        <f>IF('Dry_Litterbag Placem_Collection'!E51="","",'Dry_Litterbag Placem_Collection'!E51)</f>
        <v>42938</v>
      </c>
      <c r="H344" s="92" t="str">
        <f>Dryseason!L490</f>
        <v>G812</v>
      </c>
      <c r="I344" t="str">
        <f>Dryseason!L710</f>
        <v>R308</v>
      </c>
      <c r="J344">
        <f>IFERROR(INDEX('Green_rooibos initial weight'!$C$5:$C$2000,MATCH(H344, 'Green_rooibos initial weight'!$A$5:$A$2000,0)),"")</f>
        <v>2.0169999999999999</v>
      </c>
      <c r="K344">
        <f>IFERROR(INDEX('Green_rooibos initial weight'!$C$5:$C$2000,MATCH(I344, 'Green_rooibos initial weight'!$A$5:$A$2000,0)),"")</f>
        <v>2.173</v>
      </c>
      <c r="L344" s="194">
        <f t="shared" si="56"/>
        <v>1.7671999999999999</v>
      </c>
      <c r="M344" s="233">
        <f>AVERAGE(Ashed_controlls!$K$1:$K$11)</f>
        <v>5.5147656768714146</v>
      </c>
      <c r="N344" s="194">
        <f t="shared" si="52"/>
        <v>1.6697430609583281</v>
      </c>
      <c r="O344" s="194">
        <f t="shared" si="57"/>
        <v>1.9232</v>
      </c>
      <c r="P344" s="233">
        <f>AVERAGE(Ashed_controlls!$K$12:$K$14)</f>
        <v>2.2816647271287041</v>
      </c>
      <c r="Q344" s="194">
        <f t="shared" si="53"/>
        <v>1.8793190239678608</v>
      </c>
      <c r="R344" s="376">
        <f>IF('Dry_Litterbag Placem_Collection'!G51="","",'Dry_Litterbag Placem_Collection'!G51)</f>
        <v>43005</v>
      </c>
      <c r="S344" s="194" t="str">
        <f>IFERROR(INDEX('Both teabags AfterDry'!$D$3:$D$2000,MATCH(H344,'Both teabags AfterDry'!$A$3:$A$2000,0)),"")</f>
        <v/>
      </c>
      <c r="T344" s="194" t="str">
        <f>IFERROR(INDEX('Both teabags AfterDry'!$D$3:$D$2000,MATCH(I344,'Both teabags AfterDry'!$A$3:$A$2000,0)),"")</f>
        <v/>
      </c>
      <c r="U344" s="194" t="str">
        <f t="shared" si="58"/>
        <v/>
      </c>
      <c r="V344" s="194" t="str">
        <f t="shared" si="59"/>
        <v/>
      </c>
      <c r="W344" s="194" t="str">
        <f>IFERROR(INDEX('Ashed teabags dry'!$K$2:$K$2000,MATCH(H344,'Ashed teabags dry'!$A$2:$A$2000,0)),"")</f>
        <v/>
      </c>
      <c r="X344" s="194" t="str">
        <f>IFERROR(INDEX('Ashed teabags dry'!$K$2:$K$2000,MATCH(I344,'Ashed teabags dry'!$A$2:$A$2000,0)),"")</f>
        <v/>
      </c>
      <c r="Y344" s="194" t="str">
        <f t="shared" si="54"/>
        <v/>
      </c>
      <c r="Z344" s="194" t="str">
        <f t="shared" si="54"/>
        <v/>
      </c>
      <c r="AA344" s="194" t="str">
        <f t="shared" si="60"/>
        <v/>
      </c>
      <c r="AB344" s="194" t="str">
        <f t="shared" si="61"/>
        <v/>
      </c>
      <c r="AC344" s="194" t="str">
        <f t="shared" si="55"/>
        <v/>
      </c>
      <c r="AD344">
        <f t="shared" si="62"/>
        <v>67</v>
      </c>
      <c r="AE344" s="194" t="str">
        <f t="shared" si="63"/>
        <v/>
      </c>
      <c r="AF344" s="194" t="str">
        <f t="shared" si="64"/>
        <v/>
      </c>
      <c r="AG344" s="245" t="str">
        <f>IF(ISNUMBER(SEARCH("C", 'Dry_Litterbag Placem_Collection'!$V51)),"YES","NO")</f>
        <v>NO</v>
      </c>
      <c r="AH344" s="245" t="str">
        <f>IF(ISNUMBER(SEARCH("H", 'Dry_Litterbag Placem_Collection'!$V51)),"YES","NO")</f>
        <v>NO</v>
      </c>
      <c r="AI344" s="245" t="str">
        <f>IF(ISNUMBER(SEARCH("R", 'Dry_Litterbag Placem_Collection'!$V51)),"YES","NO")</f>
        <v>NO</v>
      </c>
      <c r="AJ344" s="245" t="str">
        <f>IF(ISNUMBER(SEARCH("C", 'Dry_Litterbag Placem_Collection'!$U51)),"YES","NO")</f>
        <v>NO</v>
      </c>
      <c r="AK344" s="245" t="str">
        <f>IF(ISNUMBER(SEARCH("H", 'Dry_Litterbag Placem_Collection'!$U51)),"YES","NO")</f>
        <v>NO</v>
      </c>
      <c r="AL344" s="245" t="str">
        <f>IF(ISNUMBER(SEARCH("R", 'Dry_Litterbag Placem_Collection'!$U51)),"YES","NO")</f>
        <v>NO</v>
      </c>
    </row>
    <row r="345" spans="2:38">
      <c r="B345" t="str">
        <f>Dryseason!B491</f>
        <v>Dry</v>
      </c>
      <c r="C345" s="253">
        <f>Dryseason!C491</f>
        <v>50</v>
      </c>
      <c r="D345" t="s">
        <v>3109</v>
      </c>
      <c r="E345" t="s">
        <v>25</v>
      </c>
      <c r="F345" s="374">
        <v>2</v>
      </c>
      <c r="G345" s="376">
        <f>IF('Dry_Litterbag Placem_Collection'!E52="","",'Dry_Litterbag Placem_Collection'!E52)</f>
        <v>42938</v>
      </c>
      <c r="H345" s="92" t="str">
        <f>Dryseason!L491</f>
        <v>G212</v>
      </c>
      <c r="I345" t="str">
        <f>Dryseason!L711</f>
        <v>R644</v>
      </c>
      <c r="J345">
        <f>IFERROR(INDEX('Green_rooibos initial weight'!$C$5:$C$2000,MATCH(H345, 'Green_rooibos initial weight'!$A$5:$A$2000,0)),"")</f>
        <v>1.9570000000000001</v>
      </c>
      <c r="K345">
        <f>IFERROR(INDEX('Green_rooibos initial weight'!$C$5:$C$2000,MATCH(I345, 'Green_rooibos initial weight'!$A$5:$A$2000,0)),"")</f>
        <v>2.2240000000000002</v>
      </c>
      <c r="L345" s="194">
        <f t="shared" si="56"/>
        <v>1.7072000000000001</v>
      </c>
      <c r="M345" s="233">
        <f>AVERAGE(Ashed_controlls!$K$1:$K$11)</f>
        <v>5.5147656768714146</v>
      </c>
      <c r="N345" s="194">
        <f t="shared" si="52"/>
        <v>1.6130519203644513</v>
      </c>
      <c r="O345" s="194">
        <f t="shared" si="57"/>
        <v>1.9742000000000002</v>
      </c>
      <c r="P345" s="233">
        <f>AVERAGE(Ashed_controlls!$K$12:$K$14)</f>
        <v>2.2816647271287041</v>
      </c>
      <c r="Q345" s="194">
        <f t="shared" si="53"/>
        <v>1.9291553749570254</v>
      </c>
      <c r="R345" s="376" t="str">
        <f>IF('Dry_Litterbag Placem_Collection'!G52="","",'Dry_Litterbag Placem_Collection'!G52)</f>
        <v/>
      </c>
      <c r="S345" s="194" t="str">
        <f>IFERROR(INDEX('Both teabags AfterDry'!$D$3:$D$2000,MATCH(H345,'Both teabags AfterDry'!$A$3:$A$2000,0)),"")</f>
        <v/>
      </c>
      <c r="T345" s="194" t="str">
        <f>IFERROR(INDEX('Both teabags AfterDry'!$D$3:$D$2000,MATCH(I345,'Both teabags AfterDry'!$A$3:$A$2000,0)),"")</f>
        <v/>
      </c>
      <c r="U345" s="194" t="str">
        <f t="shared" si="58"/>
        <v/>
      </c>
      <c r="V345" s="194" t="str">
        <f t="shared" si="59"/>
        <v/>
      </c>
      <c r="W345" s="194" t="str">
        <f>IFERROR(INDEX('Ashed teabags dry'!$K$2:$K$2000,MATCH(H345,'Ashed teabags dry'!$A$2:$A$2000,0)),"")</f>
        <v/>
      </c>
      <c r="X345" s="194" t="str">
        <f>IFERROR(INDEX('Ashed teabags dry'!$K$2:$K$2000,MATCH(I345,'Ashed teabags dry'!$A$2:$A$2000,0)),"")</f>
        <v/>
      </c>
      <c r="Y345" s="194" t="str">
        <f t="shared" si="54"/>
        <v/>
      </c>
      <c r="Z345" s="194" t="str">
        <f t="shared" si="54"/>
        <v/>
      </c>
      <c r="AA345" s="194" t="str">
        <f t="shared" si="60"/>
        <v/>
      </c>
      <c r="AB345" s="194" t="str">
        <f t="shared" si="61"/>
        <v/>
      </c>
      <c r="AC345" s="194" t="str">
        <f t="shared" si="55"/>
        <v/>
      </c>
      <c r="AD345" t="str">
        <f t="shared" si="62"/>
        <v/>
      </c>
      <c r="AE345" s="194" t="str">
        <f t="shared" si="63"/>
        <v/>
      </c>
      <c r="AF345" s="194" t="str">
        <f t="shared" si="64"/>
        <v/>
      </c>
      <c r="AG345" s="245" t="str">
        <f>IF(ISNUMBER(SEARCH("C", 'Dry_Litterbag Placem_Collection'!$V52)),"YES","NO")</f>
        <v>NO</v>
      </c>
      <c r="AH345" s="245" t="str">
        <f>IF(ISNUMBER(SEARCH("H", 'Dry_Litterbag Placem_Collection'!$V52)),"YES","NO")</f>
        <v>NO</v>
      </c>
      <c r="AI345" s="245" t="str">
        <f>IF(ISNUMBER(SEARCH("R", 'Dry_Litterbag Placem_Collection'!$V52)),"YES","NO")</f>
        <v>NO</v>
      </c>
      <c r="AJ345" s="245" t="str">
        <f>IF(ISNUMBER(SEARCH("C", 'Dry_Litterbag Placem_Collection'!$U52)),"YES","NO")</f>
        <v>NO</v>
      </c>
      <c r="AK345" s="245" t="str">
        <f>IF(ISNUMBER(SEARCH("H", 'Dry_Litterbag Placem_Collection'!$U52)),"YES","NO")</f>
        <v>NO</v>
      </c>
      <c r="AL345" s="245" t="str">
        <f>IF(ISNUMBER(SEARCH("R", 'Dry_Litterbag Placem_Collection'!$U52)),"YES","NO")</f>
        <v>NO</v>
      </c>
    </row>
    <row r="346" spans="2:38">
      <c r="B346" t="str">
        <f>Dryseason!B492</f>
        <v>Dry</v>
      </c>
      <c r="C346" s="253">
        <f>Dryseason!C492</f>
        <v>51</v>
      </c>
      <c r="D346" t="s">
        <v>3109</v>
      </c>
      <c r="E346" t="s">
        <v>25</v>
      </c>
      <c r="F346" s="374">
        <v>3</v>
      </c>
      <c r="G346" s="376">
        <f>IF('Dry_Litterbag Placem_Collection'!E53="","",'Dry_Litterbag Placem_Collection'!E53)</f>
        <v>42938</v>
      </c>
      <c r="H346" s="92" t="str">
        <f>Dryseason!L492</f>
        <v>G598</v>
      </c>
      <c r="I346" t="str">
        <f>Dryseason!L712</f>
        <v>R242</v>
      </c>
      <c r="J346">
        <f>IFERROR(INDEX('Green_rooibos initial weight'!$C$5:$C$2000,MATCH(H346, 'Green_rooibos initial weight'!$A$5:$A$2000,0)),"")</f>
        <v>2.1680000000000001</v>
      </c>
      <c r="K346">
        <f>IFERROR(INDEX('Green_rooibos initial weight'!$C$5:$C$2000,MATCH(I346, 'Green_rooibos initial weight'!$A$5:$A$2000,0)),"")</f>
        <v>2.194</v>
      </c>
      <c r="L346" s="194">
        <f t="shared" si="56"/>
        <v>1.9182000000000001</v>
      </c>
      <c r="M346" s="233">
        <f>AVERAGE(Ashed_controlls!$K$1:$K$11)</f>
        <v>5.5147656768714146</v>
      </c>
      <c r="N346" s="194">
        <f t="shared" si="52"/>
        <v>1.8124157647862527</v>
      </c>
      <c r="O346" s="194">
        <f t="shared" si="57"/>
        <v>1.9441999999999999</v>
      </c>
      <c r="P346" s="233">
        <f>AVERAGE(Ashed_controlls!$K$12:$K$14)</f>
        <v>2.2816647271287041</v>
      </c>
      <c r="Q346" s="194">
        <f t="shared" si="53"/>
        <v>1.8998398743751637</v>
      </c>
      <c r="R346" s="376">
        <f>IF('Dry_Litterbag Placem_Collection'!G53="","",'Dry_Litterbag Placem_Collection'!G53)</f>
        <v>43005</v>
      </c>
      <c r="S346" s="194">
        <f>IFERROR(INDEX('Both teabags AfterDry'!$D$3:$D$2000,MATCH(H346,'Both teabags AfterDry'!$A$3:$A$2000,0)),"")</f>
        <v>1.9169</v>
      </c>
      <c r="T346" s="194">
        <f>IFERROR(INDEX('Both teabags AfterDry'!$D$3:$D$2000,MATCH(I346,'Both teabags AfterDry'!$A$3:$A$2000,0)),"")</f>
        <v>1.9262999999999999</v>
      </c>
      <c r="U346" s="194">
        <f t="shared" si="58"/>
        <v>1.7663</v>
      </c>
      <c r="V346" s="194">
        <f t="shared" si="59"/>
        <v>1.7756999999999998</v>
      </c>
      <c r="W346" s="194">
        <f>IFERROR(INDEX('Ashed teabags dry'!$K$2:$K$2000,MATCH(H346,'Ashed teabags dry'!$A$2:$A$2000,0)),"")</f>
        <v>6.1355764473040955</v>
      </c>
      <c r="X346" s="194">
        <f>IFERROR(INDEX('Ashed teabags dry'!$K$2:$K$2000,MATCH(I346,'Ashed teabags dry'!$A$2:$A$2000,0)),"")</f>
        <v>3.7440758293834344</v>
      </c>
      <c r="Y346" s="194">
        <f t="shared" si="54"/>
        <v>1.6579273132112677</v>
      </c>
      <c r="Z346" s="194">
        <f t="shared" si="54"/>
        <v>1.7092164454976382</v>
      </c>
      <c r="AA346" s="194">
        <f t="shared" si="60"/>
        <v>8.5238969212566129E-2</v>
      </c>
      <c r="AB346" s="194">
        <f t="shared" si="61"/>
        <v>5.5881129460019628E-2</v>
      </c>
      <c r="AC346" s="194">
        <f t="shared" si="55"/>
        <v>0.89966342350814199</v>
      </c>
      <c r="AD346">
        <f t="shared" si="62"/>
        <v>67</v>
      </c>
      <c r="AE346" s="194">
        <f t="shared" si="63"/>
        <v>0.89876606981880502</v>
      </c>
      <c r="AF346" s="194" t="str">
        <f t="shared" si="64"/>
        <v/>
      </c>
      <c r="AG346" s="245" t="str">
        <f>IF(ISNUMBER(SEARCH("C", 'Dry_Litterbag Placem_Collection'!$V53)),"YES","NO")</f>
        <v>NO</v>
      </c>
      <c r="AH346" s="245" t="str">
        <f>IF(ISNUMBER(SEARCH("H", 'Dry_Litterbag Placem_Collection'!$V53)),"YES","NO")</f>
        <v>NO</v>
      </c>
      <c r="AI346" s="245" t="str">
        <f>IF(ISNUMBER(SEARCH("R", 'Dry_Litterbag Placem_Collection'!$V53)),"YES","NO")</f>
        <v>NO</v>
      </c>
      <c r="AJ346" s="245" t="str">
        <f>IF(ISNUMBER(SEARCH("C", 'Dry_Litterbag Placem_Collection'!$U53)),"YES","NO")</f>
        <v>NO</v>
      </c>
      <c r="AK346" s="245" t="str">
        <f>IF(ISNUMBER(SEARCH("H", 'Dry_Litterbag Placem_Collection'!$U53)),"YES","NO")</f>
        <v>NO</v>
      </c>
      <c r="AL346" s="245" t="str">
        <f>IF(ISNUMBER(SEARCH("R", 'Dry_Litterbag Placem_Collection'!$U53)),"YES","NO")</f>
        <v>NO</v>
      </c>
    </row>
    <row r="347" spans="2:38">
      <c r="B347" t="str">
        <f>Dryseason!B493</f>
        <v>Dry</v>
      </c>
      <c r="C347" s="253">
        <f>Dryseason!C493</f>
        <v>52</v>
      </c>
      <c r="D347" t="s">
        <v>3109</v>
      </c>
      <c r="E347" t="s">
        <v>25</v>
      </c>
      <c r="F347" s="375">
        <v>4</v>
      </c>
      <c r="G347" s="376">
        <f>IF('Dry_Litterbag Placem_Collection'!E54="","",'Dry_Litterbag Placem_Collection'!E54)</f>
        <v>42938</v>
      </c>
      <c r="H347" s="92" t="str">
        <f>Dryseason!L493</f>
        <v>G848</v>
      </c>
      <c r="I347" t="str">
        <f>Dryseason!L713</f>
        <v>R618</v>
      </c>
      <c r="J347">
        <f>IFERROR(INDEX('Green_rooibos initial weight'!$C$5:$C$2000,MATCH(H347, 'Green_rooibos initial weight'!$A$5:$A$2000,0)),"")</f>
        <v>2.0110000000000001</v>
      </c>
      <c r="K347">
        <f>IFERROR(INDEX('Green_rooibos initial weight'!$C$5:$C$2000,MATCH(I347, 'Green_rooibos initial weight'!$A$5:$A$2000,0)),"")</f>
        <v>2.1240000000000001</v>
      </c>
      <c r="L347" s="194">
        <f t="shared" si="56"/>
        <v>1.7612000000000001</v>
      </c>
      <c r="M347" s="233">
        <f>AVERAGE(Ashed_controlls!$K$1:$K$11)</f>
        <v>5.5147656768714146</v>
      </c>
      <c r="N347" s="194">
        <f t="shared" si="52"/>
        <v>1.6640739468989407</v>
      </c>
      <c r="O347" s="194">
        <f t="shared" si="57"/>
        <v>1.8742000000000001</v>
      </c>
      <c r="P347" s="233">
        <f>AVERAGE(Ashed_controlls!$K$12:$K$14)</f>
        <v>2.2816647271287041</v>
      </c>
      <c r="Q347" s="194">
        <f t="shared" si="53"/>
        <v>1.8314370396841539</v>
      </c>
      <c r="R347" s="376">
        <f>IF('Dry_Litterbag Placem_Collection'!G54="","",'Dry_Litterbag Placem_Collection'!G54)</f>
        <v>43005</v>
      </c>
      <c r="S347" s="194">
        <f>IFERROR(INDEX('Both teabags AfterDry'!$D$3:$D$2000,MATCH(H347,'Both teabags AfterDry'!$A$3:$A$2000,0)),"")</f>
        <v>1.8361000000000001</v>
      </c>
      <c r="T347" s="194">
        <f>IFERROR(INDEX('Both teabags AfterDry'!$D$3:$D$2000,MATCH(I347,'Both teabags AfterDry'!$A$3:$A$2000,0)),"")</f>
        <v>1.9595</v>
      </c>
      <c r="U347" s="194">
        <f t="shared" si="58"/>
        <v>1.6855</v>
      </c>
      <c r="V347" s="194">
        <f t="shared" si="59"/>
        <v>1.8089</v>
      </c>
      <c r="W347" s="194">
        <f>IFERROR(INDEX('Ashed teabags dry'!$K$2:$K$2000,MATCH(H347,'Ashed teabags dry'!$A$2:$A$2000,0)),"")</f>
        <v>5.7409879839785489</v>
      </c>
      <c r="X347" s="194">
        <f>IFERROR(INDEX('Ashed teabags dry'!$K$2:$K$2000,MATCH(I347,'Ashed teabags dry'!$A$2:$A$2000,0)),"")</f>
        <v>5.4091539528428063</v>
      </c>
      <c r="Y347" s="194">
        <f t="shared" si="54"/>
        <v>1.5887356475300416</v>
      </c>
      <c r="Z347" s="194">
        <f t="shared" si="54"/>
        <v>1.7110538141470264</v>
      </c>
      <c r="AA347" s="194">
        <f t="shared" si="60"/>
        <v>4.5273408377851654E-2</v>
      </c>
      <c r="AB347" s="194">
        <f t="shared" si="61"/>
        <v>2.9680429245337456E-2</v>
      </c>
      <c r="AC347" s="194">
        <f t="shared" si="55"/>
        <v>0.93426843351497979</v>
      </c>
      <c r="AD347">
        <f t="shared" si="62"/>
        <v>67</v>
      </c>
      <c r="AE347" s="194">
        <f t="shared" si="63"/>
        <v>0.94623110643960606</v>
      </c>
      <c r="AF347" s="194" t="str">
        <f t="shared" si="64"/>
        <v/>
      </c>
      <c r="AG347" s="245" t="str">
        <f>IF(ISNUMBER(SEARCH("C", 'Dry_Litterbag Placem_Collection'!$V54)),"YES","NO")</f>
        <v>NO</v>
      </c>
      <c r="AH347" s="245" t="str">
        <f>IF(ISNUMBER(SEARCH("H", 'Dry_Litterbag Placem_Collection'!$V54)),"YES","NO")</f>
        <v>NO</v>
      </c>
      <c r="AI347" s="245" t="str">
        <f>IF(ISNUMBER(SEARCH("R", 'Dry_Litterbag Placem_Collection'!$V54)),"YES","NO")</f>
        <v>NO</v>
      </c>
      <c r="AJ347" s="245" t="str">
        <f>IF(ISNUMBER(SEARCH("C", 'Dry_Litterbag Placem_Collection'!$U54)),"YES","NO")</f>
        <v>NO</v>
      </c>
      <c r="AK347" s="245" t="str">
        <f>IF(ISNUMBER(SEARCH("H", 'Dry_Litterbag Placem_Collection'!$U54)),"YES","NO")</f>
        <v>NO</v>
      </c>
      <c r="AL347" s="245" t="str">
        <f>IF(ISNUMBER(SEARCH("R", 'Dry_Litterbag Placem_Collection'!$U54)),"YES","NO")</f>
        <v>NO</v>
      </c>
    </row>
    <row r="348" spans="2:38">
      <c r="B348" t="str">
        <f>Dryseason!B494</f>
        <v>Dry</v>
      </c>
      <c r="C348" s="253">
        <f>Dryseason!C494</f>
        <v>53</v>
      </c>
      <c r="D348" t="s">
        <v>3109</v>
      </c>
      <c r="E348" t="s">
        <v>25</v>
      </c>
      <c r="F348" s="375">
        <v>5</v>
      </c>
      <c r="G348" s="376">
        <f>IF('Dry_Litterbag Placem_Collection'!E55="","",'Dry_Litterbag Placem_Collection'!E55)</f>
        <v>42938</v>
      </c>
      <c r="H348" s="92" t="str">
        <f>Dryseason!L494</f>
        <v>G759</v>
      </c>
      <c r="I348" t="str">
        <f>Dryseason!L714</f>
        <v>R140</v>
      </c>
      <c r="J348">
        <f>IFERROR(INDEX('Green_rooibos initial weight'!$C$5:$C$2000,MATCH(H348, 'Green_rooibos initial weight'!$A$5:$A$2000,0)),"")</f>
        <v>2.0539999999999998</v>
      </c>
      <c r="K348">
        <f>IFERROR(INDEX('Green_rooibos initial weight'!$C$5:$C$2000,MATCH(I348, 'Green_rooibos initial weight'!$A$5:$A$2000,0)),"")</f>
        <v>2.1930000000000001</v>
      </c>
      <c r="L348" s="194">
        <f t="shared" si="56"/>
        <v>1.8041999999999998</v>
      </c>
      <c r="M348" s="233">
        <f>AVERAGE(Ashed_controlls!$K$1:$K$11)</f>
        <v>5.5147656768714146</v>
      </c>
      <c r="N348" s="194">
        <f t="shared" si="52"/>
        <v>1.7047025976578858</v>
      </c>
      <c r="O348" s="194">
        <f t="shared" si="57"/>
        <v>1.9432</v>
      </c>
      <c r="P348" s="233">
        <f>AVERAGE(Ashed_controlls!$K$12:$K$14)</f>
        <v>2.2816647271287041</v>
      </c>
      <c r="Q348" s="194">
        <f t="shared" si="53"/>
        <v>1.8988626910224351</v>
      </c>
      <c r="R348" s="376">
        <f>IF('Dry_Litterbag Placem_Collection'!G55="","",'Dry_Litterbag Placem_Collection'!G55)</f>
        <v>43005</v>
      </c>
      <c r="S348" s="194">
        <f>IFERROR(INDEX('Both teabags AfterDry'!$D$3:$D$2000,MATCH(H348,'Both teabags AfterDry'!$A$3:$A$2000,0)),"")</f>
        <v>1.8980999999999999</v>
      </c>
      <c r="T348" s="194">
        <f>IFERROR(INDEX('Both teabags AfterDry'!$D$3:$D$2000,MATCH(I348,'Both teabags AfterDry'!$A$3:$A$2000,0)),"")</f>
        <v>1.9561999999999999</v>
      </c>
      <c r="U348" s="194">
        <f t="shared" si="58"/>
        <v>1.7474999999999998</v>
      </c>
      <c r="V348" s="194">
        <f t="shared" si="59"/>
        <v>1.8055999999999999</v>
      </c>
      <c r="W348" s="194">
        <f>IFERROR(INDEX('Ashed teabags dry'!$K$2:$K$2000,MATCH(H348,'Ashed teabags dry'!$A$2:$A$2000,0)),"")</f>
        <v>5.7571359458148255</v>
      </c>
      <c r="X348" s="194">
        <f>IFERROR(INDEX('Ashed teabags dry'!$K$2:$K$2000,MATCH(I348,'Ashed teabags dry'!$A$2:$A$2000,0)),"")</f>
        <v>3.1146767343080963</v>
      </c>
      <c r="Y348" s="194">
        <f t="shared" si="54"/>
        <v>1.6468940493468858</v>
      </c>
      <c r="Z348" s="194">
        <f t="shared" si="54"/>
        <v>1.749361396885333</v>
      </c>
      <c r="AA348" s="194">
        <f t="shared" si="60"/>
        <v>3.3911222045665879E-2</v>
      </c>
      <c r="AB348" s="194">
        <f t="shared" si="61"/>
        <v>2.2231584999058841E-2</v>
      </c>
      <c r="AC348" s="194">
        <f t="shared" si="55"/>
        <v>0.92126798064761395</v>
      </c>
      <c r="AD348">
        <f t="shared" si="62"/>
        <v>67</v>
      </c>
      <c r="AE348" s="194">
        <f t="shared" si="63"/>
        <v>0.95972538949445862</v>
      </c>
      <c r="AF348" s="194" t="str">
        <f t="shared" si="64"/>
        <v/>
      </c>
      <c r="AG348" s="245" t="str">
        <f>IF(ISNUMBER(SEARCH("C", 'Dry_Litterbag Placem_Collection'!$V55)),"YES","NO")</f>
        <v>NO</v>
      </c>
      <c r="AH348" s="245" t="str">
        <f>IF(ISNUMBER(SEARCH("H", 'Dry_Litterbag Placem_Collection'!$V55)),"YES","NO")</f>
        <v>NO</v>
      </c>
      <c r="AI348" s="245" t="str">
        <f>IF(ISNUMBER(SEARCH("R", 'Dry_Litterbag Placem_Collection'!$V55)),"YES","NO")</f>
        <v>NO</v>
      </c>
      <c r="AJ348" s="245" t="str">
        <f>IF(ISNUMBER(SEARCH("C", 'Dry_Litterbag Placem_Collection'!$U55)),"YES","NO")</f>
        <v>NO</v>
      </c>
      <c r="AK348" s="245" t="str">
        <f>IF(ISNUMBER(SEARCH("H", 'Dry_Litterbag Placem_Collection'!$U55)),"YES","NO")</f>
        <v>NO</v>
      </c>
      <c r="AL348" s="245" t="str">
        <f>IF(ISNUMBER(SEARCH("R", 'Dry_Litterbag Placem_Collection'!$U55)),"YES","NO")</f>
        <v>NO</v>
      </c>
    </row>
    <row r="349" spans="2:38">
      <c r="B349" t="str">
        <f>Dryseason!B495</f>
        <v>Dry</v>
      </c>
      <c r="C349" s="253">
        <f>Dryseason!C495</f>
        <v>54</v>
      </c>
      <c r="D349" t="s">
        <v>3109</v>
      </c>
      <c r="E349" t="s">
        <v>25</v>
      </c>
      <c r="F349" s="375">
        <v>6</v>
      </c>
      <c r="G349" s="376" t="str">
        <f>IF('Dry_Litterbag Placem_Collection'!E56="","",'Dry_Litterbag Placem_Collection'!E56)</f>
        <v/>
      </c>
      <c r="H349" s="92" t="str">
        <f>Dryseason!L495</f>
        <v/>
      </c>
      <c r="I349" t="str">
        <f>Dryseason!L715</f>
        <v/>
      </c>
      <c r="J349" t="str">
        <f>IFERROR(INDEX('Green_rooibos initial weight'!$C$5:$C$2000,MATCH(H349, 'Green_rooibos initial weight'!$A$5:$A$2000,0)),"")</f>
        <v/>
      </c>
      <c r="K349" t="str">
        <f>IFERROR(INDEX('Green_rooibos initial weight'!$C$5:$C$2000,MATCH(I349, 'Green_rooibos initial weight'!$A$5:$A$2000,0)),"")</f>
        <v/>
      </c>
      <c r="L349" s="194" t="str">
        <f t="shared" si="56"/>
        <v/>
      </c>
      <c r="M349" s="233">
        <f>AVERAGE(Ashed_controlls!$K$1:$K$11)</f>
        <v>5.5147656768714146</v>
      </c>
      <c r="N349" s="194" t="str">
        <f t="shared" si="52"/>
        <v/>
      </c>
      <c r="O349" s="194" t="str">
        <f t="shared" si="57"/>
        <v/>
      </c>
      <c r="P349" s="233">
        <f>AVERAGE(Ashed_controlls!$K$12:$K$14)</f>
        <v>2.2816647271287041</v>
      </c>
      <c r="Q349" s="194" t="str">
        <f t="shared" si="53"/>
        <v/>
      </c>
      <c r="R349" s="376" t="str">
        <f>IF('Dry_Litterbag Placem_Collection'!G56="","",'Dry_Litterbag Placem_Collection'!G56)</f>
        <v/>
      </c>
      <c r="S349" s="194" t="str">
        <f>IFERROR(INDEX('Both teabags AfterDry'!$D$3:$D$2000,MATCH(H349,'Both teabags AfterDry'!$A$3:$A$2000,0)),"")</f>
        <v/>
      </c>
      <c r="T349" s="194" t="str">
        <f>IFERROR(INDEX('Both teabags AfterDry'!$D$3:$D$2000,MATCH(I349,'Both teabags AfterDry'!$A$3:$A$2000,0)),"")</f>
        <v/>
      </c>
      <c r="U349" s="194" t="str">
        <f t="shared" si="58"/>
        <v/>
      </c>
      <c r="V349" s="194" t="str">
        <f t="shared" si="59"/>
        <v/>
      </c>
      <c r="W349" s="194" t="str">
        <f>IFERROR(INDEX('Ashed teabags dry'!$K$2:$K$2000,MATCH(H349,'Ashed teabags dry'!$A$2:$A$2000,0)),"")</f>
        <v/>
      </c>
      <c r="X349" s="194" t="str">
        <f>IFERROR(INDEX('Ashed teabags dry'!$K$2:$K$2000,MATCH(I349,'Ashed teabags dry'!$A$2:$A$2000,0)),"")</f>
        <v/>
      </c>
      <c r="Y349" s="194" t="str">
        <f t="shared" si="54"/>
        <v/>
      </c>
      <c r="Z349" s="194" t="str">
        <f t="shared" si="54"/>
        <v/>
      </c>
      <c r="AA349" s="194" t="str">
        <f t="shared" si="60"/>
        <v/>
      </c>
      <c r="AB349" s="194" t="str">
        <f t="shared" si="61"/>
        <v/>
      </c>
      <c r="AC349" s="194" t="str">
        <f t="shared" si="55"/>
        <v/>
      </c>
      <c r="AD349" t="str">
        <f t="shared" si="62"/>
        <v/>
      </c>
      <c r="AE349" s="194" t="str">
        <f t="shared" si="63"/>
        <v/>
      </c>
      <c r="AF349" s="194" t="str">
        <f t="shared" si="64"/>
        <v/>
      </c>
      <c r="AG349" s="245" t="str">
        <f>IF(ISNUMBER(SEARCH("C", 'Dry_Litterbag Placem_Collection'!$V56)),"YES","NO")</f>
        <v>NO</v>
      </c>
      <c r="AH349" s="245" t="str">
        <f>IF(ISNUMBER(SEARCH("H", 'Dry_Litterbag Placem_Collection'!$V56)),"YES","NO")</f>
        <v>NO</v>
      </c>
      <c r="AI349" s="245" t="str">
        <f>IF(ISNUMBER(SEARCH("R", 'Dry_Litterbag Placem_Collection'!$V56)),"YES","NO")</f>
        <v>NO</v>
      </c>
      <c r="AJ349" s="245" t="str">
        <f>IF(ISNUMBER(SEARCH("C", 'Dry_Litterbag Placem_Collection'!$U56)),"YES","NO")</f>
        <v>NO</v>
      </c>
      <c r="AK349" s="245" t="str">
        <f>IF(ISNUMBER(SEARCH("H", 'Dry_Litterbag Placem_Collection'!$U56)),"YES","NO")</f>
        <v>NO</v>
      </c>
      <c r="AL349" s="245" t="str">
        <f>IF(ISNUMBER(SEARCH("R", 'Dry_Litterbag Placem_Collection'!$U56)),"YES","NO")</f>
        <v>NO</v>
      </c>
    </row>
    <row r="350" spans="2:38">
      <c r="B350" t="str">
        <f>Dryseason!B496</f>
        <v>Dry</v>
      </c>
      <c r="C350" s="253">
        <f>Dryseason!C496</f>
        <v>55</v>
      </c>
      <c r="D350" t="s">
        <v>3109</v>
      </c>
      <c r="E350" t="s">
        <v>25</v>
      </c>
      <c r="F350" s="375">
        <v>7</v>
      </c>
      <c r="G350" s="376">
        <f>IF('Dry_Litterbag Placem_Collection'!E57="","",'Dry_Litterbag Placem_Collection'!E57)</f>
        <v>42938</v>
      </c>
      <c r="H350" s="92" t="str">
        <f>Dryseason!L496</f>
        <v>G260</v>
      </c>
      <c r="I350" t="str">
        <f>Dryseason!L716</f>
        <v>R192</v>
      </c>
      <c r="J350">
        <f>IFERROR(INDEX('Green_rooibos initial weight'!$C$5:$C$2000,MATCH(H350, 'Green_rooibos initial weight'!$A$5:$A$2000,0)),"")</f>
        <v>2.1560000000000001</v>
      </c>
      <c r="K350">
        <f>IFERROR(INDEX('Green_rooibos initial weight'!$C$5:$C$2000,MATCH(I350, 'Green_rooibos initial weight'!$A$5:$A$2000,0)),"")</f>
        <v>2.1970000000000001</v>
      </c>
      <c r="L350" s="194">
        <f t="shared" si="56"/>
        <v>1.9062000000000001</v>
      </c>
      <c r="M350" s="233">
        <f>AVERAGE(Ashed_controlls!$K$1:$K$11)</f>
        <v>5.5147656768714146</v>
      </c>
      <c r="N350" s="194">
        <f t="shared" si="52"/>
        <v>1.8010775366674772</v>
      </c>
      <c r="O350" s="194">
        <f t="shared" si="57"/>
        <v>1.9472</v>
      </c>
      <c r="P350" s="233">
        <f>AVERAGE(Ashed_controlls!$K$12:$K$14)</f>
        <v>2.2816647271287041</v>
      </c>
      <c r="Q350" s="194">
        <f t="shared" si="53"/>
        <v>1.90277142443335</v>
      </c>
      <c r="R350" s="376">
        <f>IF('Dry_Litterbag Placem_Collection'!G57="","",'Dry_Litterbag Placem_Collection'!G57)</f>
        <v>43005</v>
      </c>
      <c r="S350" s="194">
        <f>IFERROR(INDEX('Both teabags AfterDry'!$D$3:$D$2000,MATCH(H350,'Both teabags AfterDry'!$A$3:$A$2000,0)),"")</f>
        <v>1.9074</v>
      </c>
      <c r="T350" s="194">
        <f>IFERROR(INDEX('Both teabags AfterDry'!$D$3:$D$2000,MATCH(I350,'Both teabags AfterDry'!$A$3:$A$2000,0)),"")</f>
        <v>1.9886999999999999</v>
      </c>
      <c r="U350" s="194">
        <f t="shared" si="58"/>
        <v>1.7567999999999999</v>
      </c>
      <c r="V350" s="194">
        <f t="shared" si="59"/>
        <v>1.8380999999999998</v>
      </c>
      <c r="W350" s="194">
        <f>IFERROR(INDEX('Ashed teabags dry'!$K$2:$K$2000,MATCH(H350,'Ashed teabags dry'!$A$2:$A$2000,0)),"")</f>
        <v>8.8734232274901057</v>
      </c>
      <c r="X350" s="194">
        <f>IFERROR(INDEX('Ashed teabags dry'!$K$2:$K$2000,MATCH(I350,'Ashed teabags dry'!$A$2:$A$2000,0)),"")</f>
        <v>3.4583536288358885</v>
      </c>
      <c r="Y350" s="194">
        <f t="shared" si="54"/>
        <v>1.6009117007394538</v>
      </c>
      <c r="Z350" s="194">
        <f t="shared" si="54"/>
        <v>1.7745320019483675</v>
      </c>
      <c r="AA350" s="194">
        <f t="shared" si="60"/>
        <v>0.11113671224748545</v>
      </c>
      <c r="AB350" s="194">
        <f t="shared" si="61"/>
        <v>7.2859222281011826E-2</v>
      </c>
      <c r="AC350" s="194">
        <f t="shared" si="55"/>
        <v>0.93260387409739842</v>
      </c>
      <c r="AD350">
        <f t="shared" si="62"/>
        <v>67</v>
      </c>
      <c r="AE350" s="194">
        <f t="shared" si="63"/>
        <v>0.86800865528802207</v>
      </c>
      <c r="AF350" s="194">
        <f t="shared" si="64"/>
        <v>3.8664378896711461E-2</v>
      </c>
      <c r="AG350" s="245" t="str">
        <f>IF(ISNUMBER(SEARCH("C", 'Dry_Litterbag Placem_Collection'!$V57)),"YES","NO")</f>
        <v>NO</v>
      </c>
      <c r="AH350" s="245" t="str">
        <f>IF(ISNUMBER(SEARCH("H", 'Dry_Litterbag Placem_Collection'!$V57)),"YES","NO")</f>
        <v>NO</v>
      </c>
      <c r="AI350" s="245" t="str">
        <f>IF(ISNUMBER(SEARCH("R", 'Dry_Litterbag Placem_Collection'!$V57)),"YES","NO")</f>
        <v>NO</v>
      </c>
      <c r="AJ350" s="245" t="str">
        <f>IF(ISNUMBER(SEARCH("C", 'Dry_Litterbag Placem_Collection'!$U57)),"YES","NO")</f>
        <v>NO</v>
      </c>
      <c r="AK350" s="245" t="str">
        <f>IF(ISNUMBER(SEARCH("H", 'Dry_Litterbag Placem_Collection'!$U57)),"YES","NO")</f>
        <v>NO</v>
      </c>
      <c r="AL350" s="245" t="str">
        <f>IF(ISNUMBER(SEARCH("R", 'Dry_Litterbag Placem_Collection'!$U57)),"YES","NO")</f>
        <v>NO</v>
      </c>
    </row>
    <row r="351" spans="2:38">
      <c r="B351" t="str">
        <f>Dryseason!B497</f>
        <v>Dry</v>
      </c>
      <c r="C351" s="253">
        <f>Dryseason!C497</f>
        <v>56</v>
      </c>
      <c r="D351" t="s">
        <v>3109</v>
      </c>
      <c r="E351" t="s">
        <v>25</v>
      </c>
      <c r="F351" s="375">
        <v>8</v>
      </c>
      <c r="G351" s="376">
        <f>IF('Dry_Litterbag Placem_Collection'!E58="","",'Dry_Litterbag Placem_Collection'!E58)</f>
        <v>42938</v>
      </c>
      <c r="H351" s="92" t="str">
        <f>Dryseason!L497</f>
        <v>G493</v>
      </c>
      <c r="I351" t="str">
        <f>Dryseason!L717</f>
        <v>R227</v>
      </c>
      <c r="J351">
        <f>IFERROR(INDEX('Green_rooibos initial weight'!$C$5:$C$2000,MATCH(H351, 'Green_rooibos initial weight'!$A$5:$A$2000,0)),"")</f>
        <v>2.0510000000000002</v>
      </c>
      <c r="K351">
        <f>IFERROR(INDEX('Green_rooibos initial weight'!$C$5:$C$2000,MATCH(I351, 'Green_rooibos initial weight'!$A$5:$A$2000,0)),"")</f>
        <v>2.254</v>
      </c>
      <c r="L351" s="194">
        <f t="shared" si="56"/>
        <v>1.8012000000000001</v>
      </c>
      <c r="M351" s="233">
        <f>AVERAGE(Ashed_controlls!$K$1:$K$11)</f>
        <v>5.5147656768714146</v>
      </c>
      <c r="N351" s="194">
        <f t="shared" si="52"/>
        <v>1.7018680406281923</v>
      </c>
      <c r="O351" s="194">
        <f t="shared" si="57"/>
        <v>2.0042</v>
      </c>
      <c r="P351" s="233">
        <f>AVERAGE(Ashed_controlls!$K$12:$K$14)</f>
        <v>2.2816647271287041</v>
      </c>
      <c r="Q351" s="194">
        <f t="shared" si="53"/>
        <v>1.9584708755388864</v>
      </c>
      <c r="R351" s="376">
        <f>IF('Dry_Litterbag Placem_Collection'!G58="","",'Dry_Litterbag Placem_Collection'!G58)</f>
        <v>43005</v>
      </c>
      <c r="S351" s="194">
        <f>IFERROR(INDEX('Both teabags AfterDry'!$D$3:$D$2000,MATCH(H351,'Both teabags AfterDry'!$A$3:$A$2000,0)),"")</f>
        <v>1.8869</v>
      </c>
      <c r="T351" s="194">
        <f>IFERROR(INDEX('Both teabags AfterDry'!$D$3:$D$2000,MATCH(I351,'Both teabags AfterDry'!$A$3:$A$2000,0)),"")</f>
        <v>2.0263</v>
      </c>
      <c r="U351" s="194">
        <f t="shared" si="58"/>
        <v>1.7363</v>
      </c>
      <c r="V351" s="194">
        <f t="shared" si="59"/>
        <v>1.8756999999999999</v>
      </c>
      <c r="W351" s="194">
        <f>IFERROR(INDEX('Ashed teabags dry'!$K$2:$K$2000,MATCH(H351,'Ashed teabags dry'!$A$2:$A$2000,0)),"")</f>
        <v>6.380316930776055</v>
      </c>
      <c r="X351" s="194">
        <f>IFERROR(INDEX('Ashed teabags dry'!$K$2:$K$2000,MATCH(I351,'Ashed teabags dry'!$A$2:$A$2000,0)),"")</f>
        <v>3.7500000000005613</v>
      </c>
      <c r="Y351" s="194">
        <f t="shared" si="54"/>
        <v>1.6255185571309354</v>
      </c>
      <c r="Z351" s="194">
        <f t="shared" si="54"/>
        <v>1.8053612499999894</v>
      </c>
      <c r="AA351" s="194">
        <f t="shared" si="60"/>
        <v>4.4862164206970423E-2</v>
      </c>
      <c r="AB351" s="194">
        <f t="shared" si="61"/>
        <v>2.941082499079296E-2</v>
      </c>
      <c r="AC351" s="194">
        <f t="shared" si="55"/>
        <v>0.92182185221581714</v>
      </c>
      <c r="AD351">
        <f t="shared" si="62"/>
        <v>67</v>
      </c>
      <c r="AE351" s="194">
        <f t="shared" si="63"/>
        <v>0.94671951994421566</v>
      </c>
      <c r="AF351" s="194" t="str">
        <f t="shared" si="64"/>
        <v/>
      </c>
      <c r="AG351" s="245" t="str">
        <f>IF(ISNUMBER(SEARCH("C", 'Dry_Litterbag Placem_Collection'!$V58)),"YES","NO")</f>
        <v>NO</v>
      </c>
      <c r="AH351" s="245" t="str">
        <f>IF(ISNUMBER(SEARCH("H", 'Dry_Litterbag Placem_Collection'!$V58)),"YES","NO")</f>
        <v>NO</v>
      </c>
      <c r="AI351" s="245" t="str">
        <f>IF(ISNUMBER(SEARCH("R", 'Dry_Litterbag Placem_Collection'!$V58)),"YES","NO")</f>
        <v>NO</v>
      </c>
      <c r="AJ351" s="245" t="str">
        <f>IF(ISNUMBER(SEARCH("C", 'Dry_Litterbag Placem_Collection'!$U58)),"YES","NO")</f>
        <v>NO</v>
      </c>
      <c r="AK351" s="245" t="str">
        <f>IF(ISNUMBER(SEARCH("H", 'Dry_Litterbag Placem_Collection'!$U58)),"YES","NO")</f>
        <v>NO</v>
      </c>
      <c r="AL351" s="245" t="str">
        <f>IF(ISNUMBER(SEARCH("R", 'Dry_Litterbag Placem_Collection'!$U58)),"YES","NO")</f>
        <v>NO</v>
      </c>
    </row>
    <row r="352" spans="2:38">
      <c r="B352" t="str">
        <f>Dryseason!B498</f>
        <v>Dry</v>
      </c>
      <c r="C352" s="253">
        <f>Dryseason!C498</f>
        <v>57</v>
      </c>
      <c r="D352" t="s">
        <v>3110</v>
      </c>
      <c r="E352" t="s">
        <v>25</v>
      </c>
      <c r="F352" s="374">
        <v>1</v>
      </c>
      <c r="G352" s="376">
        <f>IF('Dry_Litterbag Placem_Collection'!E59="","",'Dry_Litterbag Placem_Collection'!E59)</f>
        <v>42938</v>
      </c>
      <c r="H352" s="92" t="str">
        <f>Dryseason!L498</f>
        <v>G342</v>
      </c>
      <c r="I352" t="str">
        <f>Dryseason!L718</f>
        <v>R416</v>
      </c>
      <c r="J352">
        <f>IFERROR(INDEX('Green_rooibos initial weight'!$C$5:$C$2000,MATCH(H352, 'Green_rooibos initial weight'!$A$5:$A$2000,0)),"")</f>
        <v>1.9039999999999999</v>
      </c>
      <c r="K352">
        <f>IFERROR(INDEX('Green_rooibos initial weight'!$C$5:$C$2000,MATCH(I352, 'Green_rooibos initial weight'!$A$5:$A$2000,0)),"")</f>
        <v>2.2469999999999999</v>
      </c>
      <c r="L352" s="194">
        <f t="shared" si="56"/>
        <v>1.6541999999999999</v>
      </c>
      <c r="M352" s="233">
        <f>AVERAGE(Ashed_controlls!$K$1:$K$11)</f>
        <v>5.5147656768714146</v>
      </c>
      <c r="N352" s="194">
        <f t="shared" si="52"/>
        <v>1.5629747461731929</v>
      </c>
      <c r="O352" s="194">
        <f t="shared" si="57"/>
        <v>1.9971999999999999</v>
      </c>
      <c r="P352" s="233">
        <f>AVERAGE(Ashed_controlls!$K$12:$K$14)</f>
        <v>2.2816647271287041</v>
      </c>
      <c r="Q352" s="194">
        <f t="shared" si="53"/>
        <v>1.9516305920697854</v>
      </c>
      <c r="R352" s="376">
        <f>IF('Dry_Litterbag Placem_Collection'!G59="","",'Dry_Litterbag Placem_Collection'!G59)</f>
        <v>43005</v>
      </c>
      <c r="S352" s="194">
        <f>IFERROR(INDEX('Both teabags AfterDry'!$D$3:$D$2000,MATCH(H352,'Both teabags AfterDry'!$A$3:$A$2000,0)),"")</f>
        <v>1.7556</v>
      </c>
      <c r="T352" s="194">
        <f>IFERROR(INDEX('Both teabags AfterDry'!$D$3:$D$2000,MATCH(I352,'Both teabags AfterDry'!$A$3:$A$2000,0)),"")</f>
        <v>2.0192999999999999</v>
      </c>
      <c r="U352" s="194">
        <f t="shared" si="58"/>
        <v>1.605</v>
      </c>
      <c r="V352" s="194">
        <f t="shared" si="59"/>
        <v>1.8686999999999998</v>
      </c>
      <c r="W352" s="194">
        <f>IFERROR(INDEX('Ashed teabags dry'!$K$2:$K$2000,MATCH(H352,'Ashed teabags dry'!$A$2:$A$2000,0)),"")</f>
        <v>5.6726094003237382</v>
      </c>
      <c r="X352" s="194">
        <f>IFERROR(INDEX('Ashed teabags dry'!$K$2:$K$2000,MATCH(I352,'Ashed teabags dry'!$A$2:$A$2000,0)),"")</f>
        <v>1.8527315914489777</v>
      </c>
      <c r="Y352" s="194">
        <f t="shared" si="54"/>
        <v>1.5139546191248039</v>
      </c>
      <c r="Z352" s="194">
        <f t="shared" si="54"/>
        <v>1.8340780047505927</v>
      </c>
      <c r="AA352" s="194">
        <f t="shared" si="60"/>
        <v>3.1363351946927187E-2</v>
      </c>
      <c r="AB352" s="194">
        <f t="shared" si="61"/>
        <v>2.0561247357130438E-2</v>
      </c>
      <c r="AC352" s="194">
        <f t="shared" si="55"/>
        <v>0.93976698879549569</v>
      </c>
      <c r="AD352">
        <f t="shared" si="62"/>
        <v>67</v>
      </c>
      <c r="AE352" s="194">
        <f t="shared" si="63"/>
        <v>0.96275136348345935</v>
      </c>
      <c r="AF352" s="194" t="str">
        <f t="shared" si="64"/>
        <v/>
      </c>
      <c r="AG352" s="245" t="str">
        <f>IF(ISNUMBER(SEARCH("C", 'Dry_Litterbag Placem_Collection'!$V59)),"YES","NO")</f>
        <v>NO</v>
      </c>
      <c r="AH352" s="245" t="str">
        <f>IF(ISNUMBER(SEARCH("H", 'Dry_Litterbag Placem_Collection'!$V59)),"YES","NO")</f>
        <v>NO</v>
      </c>
      <c r="AI352" s="245" t="str">
        <f>IF(ISNUMBER(SEARCH("R", 'Dry_Litterbag Placem_Collection'!$V59)),"YES","NO")</f>
        <v>NO</v>
      </c>
      <c r="AJ352" s="245" t="str">
        <f>IF(ISNUMBER(SEARCH("C", 'Dry_Litterbag Placem_Collection'!$U59)),"YES","NO")</f>
        <v>NO</v>
      </c>
      <c r="AK352" s="245" t="str">
        <f>IF(ISNUMBER(SEARCH("H", 'Dry_Litterbag Placem_Collection'!$U59)),"YES","NO")</f>
        <v>NO</v>
      </c>
      <c r="AL352" s="245" t="str">
        <f>IF(ISNUMBER(SEARCH("R", 'Dry_Litterbag Placem_Collection'!$U59)),"YES","NO")</f>
        <v>NO</v>
      </c>
    </row>
    <row r="353" spans="2:38">
      <c r="B353" t="str">
        <f>Dryseason!B499</f>
        <v>Dry</v>
      </c>
      <c r="C353" s="253">
        <f>Dryseason!C499</f>
        <v>58</v>
      </c>
      <c r="D353" t="s">
        <v>3110</v>
      </c>
      <c r="E353" t="s">
        <v>25</v>
      </c>
      <c r="F353" s="374">
        <v>2</v>
      </c>
      <c r="G353" s="376">
        <f>IF('Dry_Litterbag Placem_Collection'!E60="","",'Dry_Litterbag Placem_Collection'!E60)</f>
        <v>42938</v>
      </c>
      <c r="H353" s="92" t="str">
        <f>Dryseason!L499</f>
        <v>G735</v>
      </c>
      <c r="I353" t="str">
        <f>Dryseason!L719</f>
        <v>R689</v>
      </c>
      <c r="J353">
        <f>IFERROR(INDEX('Green_rooibos initial weight'!$C$5:$C$2000,MATCH(H353, 'Green_rooibos initial weight'!$A$5:$A$2000,0)),"")</f>
        <v>2.0950000000000002</v>
      </c>
      <c r="K353">
        <f>IFERROR(INDEX('Green_rooibos initial weight'!$C$5:$C$2000,MATCH(I353, 'Green_rooibos initial weight'!$A$5:$A$2000,0)),"")</f>
        <v>2.11</v>
      </c>
      <c r="L353" s="194">
        <f t="shared" si="56"/>
        <v>1.8452000000000002</v>
      </c>
      <c r="M353" s="233">
        <f>AVERAGE(Ashed_controlls!$K$1:$K$11)</f>
        <v>5.5147656768714146</v>
      </c>
      <c r="N353" s="194">
        <f t="shared" si="52"/>
        <v>1.7434415437303687</v>
      </c>
      <c r="O353" s="194">
        <f t="shared" si="57"/>
        <v>1.8601999999999999</v>
      </c>
      <c r="P353" s="233">
        <f>AVERAGE(Ashed_controlls!$K$12:$K$14)</f>
        <v>2.2816647271287041</v>
      </c>
      <c r="Q353" s="194">
        <f t="shared" si="53"/>
        <v>1.8177564727459516</v>
      </c>
      <c r="R353" s="376">
        <f>IF('Dry_Litterbag Placem_Collection'!G60="","",'Dry_Litterbag Placem_Collection'!G60)</f>
        <v>43005</v>
      </c>
      <c r="S353" s="194">
        <f>IFERROR(INDEX('Both teabags AfterDry'!$D$3:$D$2000,MATCH(H353,'Both teabags AfterDry'!$A$3:$A$2000,0)),"")</f>
        <v>1.9036</v>
      </c>
      <c r="T353" s="194">
        <f>IFERROR(INDEX('Both teabags AfterDry'!$D$3:$D$2000,MATCH(I353,'Both teabags AfterDry'!$A$3:$A$2000,0)),"")</f>
        <v>1.9226000000000001</v>
      </c>
      <c r="U353" s="194">
        <f t="shared" si="58"/>
        <v>1.7529999999999999</v>
      </c>
      <c r="V353" s="194">
        <f t="shared" si="59"/>
        <v>1.772</v>
      </c>
      <c r="W353" s="194">
        <f>IFERROR(INDEX('Ashed teabags dry'!$K$2:$K$2000,MATCH(H353,'Ashed teabags dry'!$A$2:$A$2000,0)),"")</f>
        <v>6.5088757396447594</v>
      </c>
      <c r="X353" s="194">
        <f>IFERROR(INDEX('Ashed teabags dry'!$K$2:$K$2000,MATCH(I353,'Ashed teabags dry'!$A$2:$A$2000,0)),"")</f>
        <v>2.075098814229281</v>
      </c>
      <c r="Y353" s="194">
        <f t="shared" si="54"/>
        <v>1.6388994082840274</v>
      </c>
      <c r="Z353" s="194">
        <f t="shared" si="54"/>
        <v>1.7352292490118573</v>
      </c>
      <c r="AA353" s="194">
        <f t="shared" si="60"/>
        <v>5.9963086128289045E-2</v>
      </c>
      <c r="AB353" s="194">
        <f t="shared" si="61"/>
        <v>3.9310716796693033E-2</v>
      </c>
      <c r="AC353" s="194">
        <f t="shared" si="55"/>
        <v>0.9545994059317382</v>
      </c>
      <c r="AD353">
        <f t="shared" si="62"/>
        <v>67</v>
      </c>
      <c r="AE353" s="194">
        <f t="shared" si="63"/>
        <v>0.92878493333932421</v>
      </c>
      <c r="AF353" s="194" t="str">
        <f t="shared" si="64"/>
        <v/>
      </c>
      <c r="AG353" s="245" t="str">
        <f>IF(ISNUMBER(SEARCH("C", 'Dry_Litterbag Placem_Collection'!$V60)),"YES","NO")</f>
        <v>NO</v>
      </c>
      <c r="AH353" s="245" t="str">
        <f>IF(ISNUMBER(SEARCH("H", 'Dry_Litterbag Placem_Collection'!$V60)),"YES","NO")</f>
        <v>NO</v>
      </c>
      <c r="AI353" s="245" t="str">
        <f>IF(ISNUMBER(SEARCH("R", 'Dry_Litterbag Placem_Collection'!$V60)),"YES","NO")</f>
        <v>NO</v>
      </c>
      <c r="AJ353" s="245" t="str">
        <f>IF(ISNUMBER(SEARCH("C", 'Dry_Litterbag Placem_Collection'!$U60)),"YES","NO")</f>
        <v>NO</v>
      </c>
      <c r="AK353" s="245" t="str">
        <f>IF(ISNUMBER(SEARCH("H", 'Dry_Litterbag Placem_Collection'!$U60)),"YES","NO")</f>
        <v>NO</v>
      </c>
      <c r="AL353" s="245" t="str">
        <f>IF(ISNUMBER(SEARCH("R", 'Dry_Litterbag Placem_Collection'!$U60)),"YES","NO")</f>
        <v>NO</v>
      </c>
    </row>
    <row r="354" spans="2:38">
      <c r="B354" t="str">
        <f>Dryseason!B500</f>
        <v>Dry</v>
      </c>
      <c r="C354" s="253">
        <f>Dryseason!C500</f>
        <v>59</v>
      </c>
      <c r="D354" t="s">
        <v>3110</v>
      </c>
      <c r="E354" t="s">
        <v>25</v>
      </c>
      <c r="F354" s="374">
        <v>3</v>
      </c>
      <c r="G354" s="376">
        <f>IF('Dry_Litterbag Placem_Collection'!E61="","",'Dry_Litterbag Placem_Collection'!E61)</f>
        <v>42938</v>
      </c>
      <c r="H354" s="92" t="str">
        <f>Dryseason!L500</f>
        <v>G558</v>
      </c>
      <c r="I354" t="str">
        <f>Dryseason!L720</f>
        <v>R231</v>
      </c>
      <c r="J354">
        <f>IFERROR(INDEX('Green_rooibos initial weight'!$C$5:$C$2000,MATCH(H354, 'Green_rooibos initial weight'!$A$5:$A$2000,0)),"")</f>
        <v>2.1789999999999998</v>
      </c>
      <c r="K354">
        <f>IFERROR(INDEX('Green_rooibos initial weight'!$C$5:$C$2000,MATCH(I354, 'Green_rooibos initial weight'!$A$5:$A$2000,0)),"")</f>
        <v>2.1230000000000002</v>
      </c>
      <c r="L354" s="194">
        <f t="shared" si="56"/>
        <v>1.9291999999999998</v>
      </c>
      <c r="M354" s="233">
        <f>AVERAGE(Ashed_controlls!$K$1:$K$11)</f>
        <v>5.5147656768714146</v>
      </c>
      <c r="N354" s="194">
        <f t="shared" si="52"/>
        <v>1.8228091405617965</v>
      </c>
      <c r="O354" s="194">
        <f t="shared" si="57"/>
        <v>1.8732000000000002</v>
      </c>
      <c r="P354" s="233">
        <f>AVERAGE(Ashed_controlls!$K$12:$K$14)</f>
        <v>2.2816647271287041</v>
      </c>
      <c r="Q354" s="194">
        <f t="shared" si="53"/>
        <v>1.8304598563314254</v>
      </c>
      <c r="R354" s="376">
        <f>IF('Dry_Litterbag Placem_Collection'!G61="","",'Dry_Litterbag Placem_Collection'!G61)</f>
        <v>43005</v>
      </c>
      <c r="S354" s="194">
        <f>IFERROR(INDEX('Both teabags AfterDry'!$D$3:$D$2000,MATCH(H354,'Both teabags AfterDry'!$A$3:$A$2000,0)),"")</f>
        <v>1.9415</v>
      </c>
      <c r="T354" s="194">
        <f>IFERROR(INDEX('Both teabags AfterDry'!$D$3:$D$2000,MATCH(I354,'Both teabags AfterDry'!$A$3:$A$2000,0)),"")</f>
        <v>1.8747</v>
      </c>
      <c r="U354" s="194">
        <f t="shared" si="58"/>
        <v>1.7908999999999999</v>
      </c>
      <c r="V354" s="194">
        <f t="shared" si="59"/>
        <v>1.7241</v>
      </c>
      <c r="W354" s="194">
        <f>IFERROR(INDEX('Ashed teabags dry'!$K$2:$K$2000,MATCH(H354,'Ashed teabags dry'!$A$2:$A$2000,0)),"")</f>
        <v>5.6511056511055608</v>
      </c>
      <c r="X354" s="194">
        <f>IFERROR(INDEX('Ashed teabags dry'!$K$2:$K$2000,MATCH(I354,'Ashed teabags dry'!$A$2:$A$2000,0)),"")</f>
        <v>2.4205748865354395</v>
      </c>
      <c r="Y354" s="194">
        <f t="shared" si="54"/>
        <v>1.6896943488943506</v>
      </c>
      <c r="Z354" s="194">
        <f t="shared" si="54"/>
        <v>1.6823668683812425</v>
      </c>
      <c r="AA354" s="194">
        <f t="shared" si="60"/>
        <v>7.3027278997744971E-2</v>
      </c>
      <c r="AB354" s="194">
        <f t="shared" si="61"/>
        <v>4.7875365803747315E-2</v>
      </c>
      <c r="AC354" s="194">
        <f t="shared" si="55"/>
        <v>0.91909520034654668</v>
      </c>
      <c r="AD354">
        <f t="shared" si="62"/>
        <v>67</v>
      </c>
      <c r="AE354" s="194">
        <f t="shared" si="63"/>
        <v>0.91326926484828386</v>
      </c>
      <c r="AF354" s="194" t="str">
        <f t="shared" si="64"/>
        <v/>
      </c>
      <c r="AG354" s="245" t="str">
        <f>IF(ISNUMBER(SEARCH("C", 'Dry_Litterbag Placem_Collection'!$V61)),"YES","NO")</f>
        <v>NO</v>
      </c>
      <c r="AH354" s="245" t="str">
        <f>IF(ISNUMBER(SEARCH("H", 'Dry_Litterbag Placem_Collection'!$V61)),"YES","NO")</f>
        <v>NO</v>
      </c>
      <c r="AI354" s="245" t="str">
        <f>IF(ISNUMBER(SEARCH("R", 'Dry_Litterbag Placem_Collection'!$V61)),"YES","NO")</f>
        <v>NO</v>
      </c>
      <c r="AJ354" s="245" t="str">
        <f>IF(ISNUMBER(SEARCH("C", 'Dry_Litterbag Placem_Collection'!$U61)),"YES","NO")</f>
        <v>NO</v>
      </c>
      <c r="AK354" s="245" t="str">
        <f>IF(ISNUMBER(SEARCH("H", 'Dry_Litterbag Placem_Collection'!$U61)),"YES","NO")</f>
        <v>NO</v>
      </c>
      <c r="AL354" s="245" t="str">
        <f>IF(ISNUMBER(SEARCH("R", 'Dry_Litterbag Placem_Collection'!$U61)),"YES","NO")</f>
        <v>NO</v>
      </c>
    </row>
    <row r="355" spans="2:38">
      <c r="B355" t="str">
        <f>Dryseason!B501</f>
        <v>Dry</v>
      </c>
      <c r="C355" s="253">
        <f>Dryseason!C501</f>
        <v>60</v>
      </c>
      <c r="D355" t="s">
        <v>3110</v>
      </c>
      <c r="E355" t="s">
        <v>25</v>
      </c>
      <c r="F355" s="375">
        <v>4</v>
      </c>
      <c r="G355" s="376">
        <f>IF('Dry_Litterbag Placem_Collection'!E62="","",'Dry_Litterbag Placem_Collection'!E62)</f>
        <v>42938</v>
      </c>
      <c r="H355" s="92" t="str">
        <f>Dryseason!L501</f>
        <v>G751</v>
      </c>
      <c r="I355" t="str">
        <f>Dryseason!L721</f>
        <v>R297</v>
      </c>
      <c r="J355">
        <f>IFERROR(INDEX('Green_rooibos initial weight'!$C$5:$C$2000,MATCH(H355, 'Green_rooibos initial weight'!$A$5:$A$2000,0)),"")</f>
        <v>2.0750000000000002</v>
      </c>
      <c r="K355">
        <f>IFERROR(INDEX('Green_rooibos initial weight'!$C$5:$C$2000,MATCH(I355, 'Green_rooibos initial weight'!$A$5:$A$2000,0)),"")</f>
        <v>2.1800000000000002</v>
      </c>
      <c r="L355" s="194">
        <f t="shared" si="56"/>
        <v>1.8252000000000002</v>
      </c>
      <c r="M355" s="233">
        <f>AVERAGE(Ashed_controlls!$K$1:$K$11)</f>
        <v>5.5147656768714146</v>
      </c>
      <c r="N355" s="194">
        <f t="shared" si="52"/>
        <v>1.7245444968657431</v>
      </c>
      <c r="O355" s="194">
        <f t="shared" si="57"/>
        <v>1.9302000000000001</v>
      </c>
      <c r="P355" s="233">
        <f>AVERAGE(Ashed_controlls!$K$12:$K$14)</f>
        <v>2.2816647271287041</v>
      </c>
      <c r="Q355" s="194">
        <f t="shared" si="53"/>
        <v>1.8861593074369618</v>
      </c>
      <c r="R355" s="376">
        <f>IF('Dry_Litterbag Placem_Collection'!G62="","",'Dry_Litterbag Placem_Collection'!G62)</f>
        <v>43005</v>
      </c>
      <c r="S355" s="194" t="str">
        <f>IFERROR(INDEX('Both teabags AfterDry'!$D$3:$D$2000,MATCH(H355,'Both teabags AfterDry'!$A$3:$A$2000,0)),"")</f>
        <v/>
      </c>
      <c r="T355" s="194">
        <f>IFERROR(INDEX('Both teabags AfterDry'!$D$3:$D$2000,MATCH(I355,'Both teabags AfterDry'!$A$3:$A$2000,0)),"")</f>
        <v>1.9569000000000001</v>
      </c>
      <c r="U355" s="194" t="str">
        <f t="shared" si="58"/>
        <v/>
      </c>
      <c r="V355" s="194">
        <f t="shared" si="59"/>
        <v>1.8063</v>
      </c>
      <c r="W355" s="194" t="str">
        <f>IFERROR(INDEX('Ashed teabags dry'!$K$2:$K$2000,MATCH(H355,'Ashed teabags dry'!$A$2:$A$2000,0)),"")</f>
        <v/>
      </c>
      <c r="X355" s="194">
        <f>IFERROR(INDEX('Ashed teabags dry'!$K$2:$K$2000,MATCH(I355,'Ashed teabags dry'!$A$2:$A$2000,0)),"")</f>
        <v>2.1921641791054141</v>
      </c>
      <c r="Y355" s="194" t="str">
        <f t="shared" si="54"/>
        <v/>
      </c>
      <c r="Z355" s="194">
        <f t="shared" si="54"/>
        <v>1.766702938432819</v>
      </c>
      <c r="AA355" s="194" t="str">
        <f t="shared" si="60"/>
        <v/>
      </c>
      <c r="AB355" s="194" t="str">
        <f t="shared" si="61"/>
        <v/>
      </c>
      <c r="AC355" s="194">
        <f t="shared" si="55"/>
        <v>0.93666687191631337</v>
      </c>
      <c r="AD355">
        <f t="shared" si="62"/>
        <v>67</v>
      </c>
      <c r="AE355" s="194" t="str">
        <f t="shared" si="63"/>
        <v/>
      </c>
      <c r="AF355" s="194" t="str">
        <f t="shared" si="64"/>
        <v/>
      </c>
      <c r="AG355" s="245" t="str">
        <f>IF(ISNUMBER(SEARCH("C", 'Dry_Litterbag Placem_Collection'!$V62)),"YES","NO")</f>
        <v>NO</v>
      </c>
      <c r="AH355" s="245" t="str">
        <f>IF(ISNUMBER(SEARCH("H", 'Dry_Litterbag Placem_Collection'!$V62)),"YES","NO")</f>
        <v>NO</v>
      </c>
      <c r="AI355" s="245" t="str">
        <f>IF(ISNUMBER(SEARCH("R", 'Dry_Litterbag Placem_Collection'!$V62)),"YES","NO")</f>
        <v>NO</v>
      </c>
      <c r="AJ355" s="245" t="str">
        <f>IF(ISNUMBER(SEARCH("C", 'Dry_Litterbag Placem_Collection'!$U62)),"YES","NO")</f>
        <v>NO</v>
      </c>
      <c r="AK355" s="245" t="str">
        <f>IF(ISNUMBER(SEARCH("H", 'Dry_Litterbag Placem_Collection'!$U62)),"YES","NO")</f>
        <v>NO</v>
      </c>
      <c r="AL355" s="245" t="str">
        <f>IF(ISNUMBER(SEARCH("R", 'Dry_Litterbag Placem_Collection'!$U62)),"YES","NO")</f>
        <v>NO</v>
      </c>
    </row>
    <row r="356" spans="2:38">
      <c r="B356" t="str">
        <f>Dryseason!B502</f>
        <v>Dry</v>
      </c>
      <c r="C356" s="253">
        <f>Dryseason!C502</f>
        <v>61</v>
      </c>
      <c r="D356" t="s">
        <v>3110</v>
      </c>
      <c r="E356" t="s">
        <v>25</v>
      </c>
      <c r="F356" s="375">
        <v>5</v>
      </c>
      <c r="G356" s="376">
        <f>IF('Dry_Litterbag Placem_Collection'!E63="","",'Dry_Litterbag Placem_Collection'!E63)</f>
        <v>42938</v>
      </c>
      <c r="H356" s="92" t="str">
        <f>Dryseason!L502</f>
        <v>G748</v>
      </c>
      <c r="I356" t="str">
        <f>Dryseason!L722</f>
        <v>R200</v>
      </c>
      <c r="J356">
        <f>IFERROR(INDEX('Green_rooibos initial weight'!$C$5:$C$2000,MATCH(H356, 'Green_rooibos initial weight'!$A$5:$A$2000,0)),"")</f>
        <v>2.081</v>
      </c>
      <c r="K356">
        <f>IFERROR(INDEX('Green_rooibos initial weight'!$C$5:$C$2000,MATCH(I356, 'Green_rooibos initial weight'!$A$5:$A$2000,0)),"")</f>
        <v>2.242</v>
      </c>
      <c r="L356" s="194">
        <f t="shared" si="56"/>
        <v>1.8311999999999999</v>
      </c>
      <c r="M356" s="233">
        <f>AVERAGE(Ashed_controlls!$K$1:$K$11)</f>
        <v>5.5147656768714146</v>
      </c>
      <c r="N356" s="194">
        <f t="shared" si="52"/>
        <v>1.7302136109251305</v>
      </c>
      <c r="O356" s="194">
        <f t="shared" si="57"/>
        <v>1.9922</v>
      </c>
      <c r="P356" s="233">
        <f>AVERAGE(Ashed_controlls!$K$12:$K$14)</f>
        <v>2.2816647271287041</v>
      </c>
      <c r="Q356" s="194">
        <f t="shared" si="53"/>
        <v>1.9467446753061419</v>
      </c>
      <c r="R356" s="376">
        <f>IF('Dry_Litterbag Placem_Collection'!G63="","",'Dry_Litterbag Placem_Collection'!G63)</f>
        <v>43005</v>
      </c>
      <c r="S356" s="194" t="str">
        <f>IFERROR(INDEX('Both teabags AfterDry'!$D$3:$D$2000,MATCH(H356,'Both teabags AfterDry'!$A$3:$A$2000,0)),"")</f>
        <v/>
      </c>
      <c r="T356" s="194" t="str">
        <f>IFERROR(INDEX('Both teabags AfterDry'!$D$3:$D$2000,MATCH(I356,'Both teabags AfterDry'!$A$3:$A$2000,0)),"")</f>
        <v/>
      </c>
      <c r="U356" s="194" t="str">
        <f t="shared" si="58"/>
        <v/>
      </c>
      <c r="V356" s="194" t="str">
        <f t="shared" si="59"/>
        <v/>
      </c>
      <c r="W356" s="194" t="str">
        <f>IFERROR(INDEX('Ashed teabags dry'!$K$2:$K$2000,MATCH(H356,'Ashed teabags dry'!$A$2:$A$2000,0)),"")</f>
        <v/>
      </c>
      <c r="X356" s="194" t="str">
        <f>IFERROR(INDEX('Ashed teabags dry'!$K$2:$K$2000,MATCH(I356,'Ashed teabags dry'!$A$2:$A$2000,0)),"")</f>
        <v/>
      </c>
      <c r="Y356" s="194" t="str">
        <f t="shared" si="54"/>
        <v/>
      </c>
      <c r="Z356" s="194" t="str">
        <f t="shared" si="54"/>
        <v/>
      </c>
      <c r="AA356" s="194" t="str">
        <f t="shared" si="60"/>
        <v/>
      </c>
      <c r="AB356" s="194" t="str">
        <f t="shared" si="61"/>
        <v/>
      </c>
      <c r="AC356" s="194" t="str">
        <f t="shared" si="55"/>
        <v/>
      </c>
      <c r="AD356">
        <f t="shared" si="62"/>
        <v>67</v>
      </c>
      <c r="AE356" s="194" t="str">
        <f t="shared" si="63"/>
        <v/>
      </c>
      <c r="AF356" s="194" t="str">
        <f t="shared" si="64"/>
        <v/>
      </c>
      <c r="AG356" s="245" t="str">
        <f>IF(ISNUMBER(SEARCH("C", 'Dry_Litterbag Placem_Collection'!$V63)),"YES","NO")</f>
        <v>NO</v>
      </c>
      <c r="AH356" s="245" t="str">
        <f>IF(ISNUMBER(SEARCH("H", 'Dry_Litterbag Placem_Collection'!$V63)),"YES","NO")</f>
        <v>NO</v>
      </c>
      <c r="AI356" s="245" t="str">
        <f>IF(ISNUMBER(SEARCH("R", 'Dry_Litterbag Placem_Collection'!$V63)),"YES","NO")</f>
        <v>NO</v>
      </c>
      <c r="AJ356" s="245" t="str">
        <f>IF(ISNUMBER(SEARCH("C", 'Dry_Litterbag Placem_Collection'!$U63)),"YES","NO")</f>
        <v>NO</v>
      </c>
      <c r="AK356" s="245" t="str">
        <f>IF(ISNUMBER(SEARCH("H", 'Dry_Litterbag Placem_Collection'!$U63)),"YES","NO")</f>
        <v>NO</v>
      </c>
      <c r="AL356" s="245" t="str">
        <f>IF(ISNUMBER(SEARCH("R", 'Dry_Litterbag Placem_Collection'!$U63)),"YES","NO")</f>
        <v>NO</v>
      </c>
    </row>
    <row r="357" spans="2:38">
      <c r="B357" t="str">
        <f>Dryseason!B503</f>
        <v>Dry</v>
      </c>
      <c r="C357" s="253">
        <f>Dryseason!C503</f>
        <v>62</v>
      </c>
      <c r="D357" t="s">
        <v>3110</v>
      </c>
      <c r="E357" t="s">
        <v>25</v>
      </c>
      <c r="F357" s="375">
        <v>6</v>
      </c>
      <c r="G357" s="376" t="str">
        <f>IF('Dry_Litterbag Placem_Collection'!E64="","",'Dry_Litterbag Placem_Collection'!E64)</f>
        <v/>
      </c>
      <c r="H357" s="92" t="str">
        <f>Dryseason!L503</f>
        <v/>
      </c>
      <c r="I357" t="str">
        <f>Dryseason!L723</f>
        <v/>
      </c>
      <c r="J357" t="str">
        <f>IFERROR(INDEX('Green_rooibos initial weight'!$C$5:$C$2000,MATCH(H357, 'Green_rooibos initial weight'!$A$5:$A$2000,0)),"")</f>
        <v/>
      </c>
      <c r="K357" t="str">
        <f>IFERROR(INDEX('Green_rooibos initial weight'!$C$5:$C$2000,MATCH(I357, 'Green_rooibos initial weight'!$A$5:$A$2000,0)),"")</f>
        <v/>
      </c>
      <c r="L357" s="194" t="str">
        <f t="shared" si="56"/>
        <v/>
      </c>
      <c r="M357" s="233">
        <f>AVERAGE(Ashed_controlls!$K$1:$K$11)</f>
        <v>5.5147656768714146</v>
      </c>
      <c r="N357" s="194" t="str">
        <f t="shared" si="52"/>
        <v/>
      </c>
      <c r="O357" s="194" t="str">
        <f t="shared" si="57"/>
        <v/>
      </c>
      <c r="P357" s="233">
        <f>AVERAGE(Ashed_controlls!$K$12:$K$14)</f>
        <v>2.2816647271287041</v>
      </c>
      <c r="Q357" s="194" t="str">
        <f t="shared" si="53"/>
        <v/>
      </c>
      <c r="R357" s="376" t="str">
        <f>IF('Dry_Litterbag Placem_Collection'!G64="","",'Dry_Litterbag Placem_Collection'!G64)</f>
        <v/>
      </c>
      <c r="S357" s="194" t="str">
        <f>IFERROR(INDEX('Both teabags AfterDry'!$D$3:$D$2000,MATCH(H357,'Both teabags AfterDry'!$A$3:$A$2000,0)),"")</f>
        <v/>
      </c>
      <c r="T357" s="194" t="str">
        <f>IFERROR(INDEX('Both teabags AfterDry'!$D$3:$D$2000,MATCH(I357,'Both teabags AfterDry'!$A$3:$A$2000,0)),"")</f>
        <v/>
      </c>
      <c r="U357" s="194" t="str">
        <f t="shared" si="58"/>
        <v/>
      </c>
      <c r="V357" s="194" t="str">
        <f t="shared" si="59"/>
        <v/>
      </c>
      <c r="W357" s="194" t="str">
        <f>IFERROR(INDEX('Ashed teabags dry'!$K$2:$K$2000,MATCH(H357,'Ashed teabags dry'!$A$2:$A$2000,0)),"")</f>
        <v/>
      </c>
      <c r="X357" s="194" t="str">
        <f>IFERROR(INDEX('Ashed teabags dry'!$K$2:$K$2000,MATCH(I357,'Ashed teabags dry'!$A$2:$A$2000,0)),"")</f>
        <v/>
      </c>
      <c r="Y357" s="194" t="str">
        <f t="shared" si="54"/>
        <v/>
      </c>
      <c r="Z357" s="194" t="str">
        <f t="shared" si="54"/>
        <v/>
      </c>
      <c r="AA357" s="194" t="str">
        <f t="shared" si="60"/>
        <v/>
      </c>
      <c r="AB357" s="194" t="str">
        <f t="shared" si="61"/>
        <v/>
      </c>
      <c r="AC357" s="194" t="str">
        <f t="shared" si="55"/>
        <v/>
      </c>
      <c r="AD357" t="str">
        <f t="shared" si="62"/>
        <v/>
      </c>
      <c r="AE357" s="194" t="str">
        <f t="shared" si="63"/>
        <v/>
      </c>
      <c r="AF357" s="194" t="str">
        <f t="shared" si="64"/>
        <v/>
      </c>
      <c r="AG357" s="245" t="str">
        <f>IF(ISNUMBER(SEARCH("C", 'Dry_Litterbag Placem_Collection'!$V64)),"YES","NO")</f>
        <v>NO</v>
      </c>
      <c r="AH357" s="245" t="str">
        <f>IF(ISNUMBER(SEARCH("H", 'Dry_Litterbag Placem_Collection'!$V64)),"YES","NO")</f>
        <v>NO</v>
      </c>
      <c r="AI357" s="245" t="str">
        <f>IF(ISNUMBER(SEARCH("R", 'Dry_Litterbag Placem_Collection'!$V64)),"YES","NO")</f>
        <v>NO</v>
      </c>
      <c r="AJ357" s="245" t="str">
        <f>IF(ISNUMBER(SEARCH("C", 'Dry_Litterbag Placem_Collection'!$U64)),"YES","NO")</f>
        <v>NO</v>
      </c>
      <c r="AK357" s="245" t="str">
        <f>IF(ISNUMBER(SEARCH("H", 'Dry_Litterbag Placem_Collection'!$U64)),"YES","NO")</f>
        <v>NO</v>
      </c>
      <c r="AL357" s="245" t="str">
        <f>IF(ISNUMBER(SEARCH("R", 'Dry_Litterbag Placem_Collection'!$U64)),"YES","NO")</f>
        <v>NO</v>
      </c>
    </row>
    <row r="358" spans="2:38">
      <c r="B358" t="str">
        <f>Dryseason!B504</f>
        <v>Dry</v>
      </c>
      <c r="C358" s="253">
        <f>Dryseason!C504</f>
        <v>63</v>
      </c>
      <c r="D358" t="s">
        <v>3110</v>
      </c>
      <c r="E358" t="s">
        <v>25</v>
      </c>
      <c r="F358" s="375">
        <v>7</v>
      </c>
      <c r="G358" s="376">
        <f>IF('Dry_Litterbag Placem_Collection'!E65="","",'Dry_Litterbag Placem_Collection'!E65)</f>
        <v>42938</v>
      </c>
      <c r="H358" s="92" t="str">
        <f>Dryseason!L504</f>
        <v>G629</v>
      </c>
      <c r="I358" t="str">
        <f>Dryseason!L724</f>
        <v>R713</v>
      </c>
      <c r="J358">
        <f>IFERROR(INDEX('Green_rooibos initial weight'!$C$5:$C$2000,MATCH(H358, 'Green_rooibos initial weight'!$A$5:$A$2000,0)),"")</f>
        <v>1.978</v>
      </c>
      <c r="K358">
        <f>IFERROR(INDEX('Green_rooibos initial weight'!$C$5:$C$2000,MATCH(I358, 'Green_rooibos initial weight'!$A$5:$A$2000,0)),"")</f>
        <v>2.1619999999999999</v>
      </c>
      <c r="L358" s="194">
        <f t="shared" si="56"/>
        <v>1.7282</v>
      </c>
      <c r="M358" s="233">
        <f>AVERAGE(Ashed_controlls!$K$1:$K$11)</f>
        <v>5.5147656768714146</v>
      </c>
      <c r="N358" s="194">
        <f t="shared" si="52"/>
        <v>1.6328938195723082</v>
      </c>
      <c r="O358" s="194">
        <f t="shared" si="57"/>
        <v>1.9121999999999999</v>
      </c>
      <c r="P358" s="233">
        <f>AVERAGE(Ashed_controlls!$K$12:$K$14)</f>
        <v>2.2816647271287041</v>
      </c>
      <c r="Q358" s="194">
        <f t="shared" si="53"/>
        <v>1.8685700070878448</v>
      </c>
      <c r="R358" s="376">
        <f>IF('Dry_Litterbag Placem_Collection'!G65="","",'Dry_Litterbag Placem_Collection'!G65)</f>
        <v>43005</v>
      </c>
      <c r="S358" s="194">
        <f>IFERROR(INDEX('Both teabags AfterDry'!$D$3:$D$2000,MATCH(H358,'Both teabags AfterDry'!$A$3:$A$2000,0)),"")</f>
        <v>1.8411</v>
      </c>
      <c r="T358" s="194">
        <f>IFERROR(INDEX('Both teabags AfterDry'!$D$3:$D$2000,MATCH(I358,'Both teabags AfterDry'!$A$3:$A$2000,0)),"")</f>
        <v>1.9921</v>
      </c>
      <c r="U358" s="194">
        <f t="shared" si="58"/>
        <v>1.6904999999999999</v>
      </c>
      <c r="V358" s="194">
        <f t="shared" si="59"/>
        <v>1.8414999999999999</v>
      </c>
      <c r="W358" s="194">
        <f>IFERROR(INDEX('Ashed teabags dry'!$K$2:$K$2000,MATCH(H358,'Ashed teabags dry'!$A$2:$A$2000,0)),"")</f>
        <v>5.6801195814651884</v>
      </c>
      <c r="X358" s="194">
        <f>IFERROR(INDEX('Ashed teabags dry'!$K$2:$K$2000,MATCH(I358,'Ashed teabags dry'!$A$2:$A$2000,0)),"")</f>
        <v>2.4745269286755853</v>
      </c>
      <c r="Y358" s="194">
        <f t="shared" si="54"/>
        <v>1.5944775784753309</v>
      </c>
      <c r="Z358" s="194">
        <f t="shared" si="54"/>
        <v>1.7959315866084391</v>
      </c>
      <c r="AA358" s="194">
        <f t="shared" si="60"/>
        <v>2.3526478351813096E-2</v>
      </c>
      <c r="AB358" s="194">
        <f t="shared" si="61"/>
        <v>1.5423534501426188E-2</v>
      </c>
      <c r="AC358" s="194">
        <f t="shared" si="55"/>
        <v>0.96112619799960708</v>
      </c>
      <c r="AD358">
        <f t="shared" si="62"/>
        <v>67</v>
      </c>
      <c r="AE358" s="194">
        <f t="shared" si="63"/>
        <v>0.97205881430901053</v>
      </c>
      <c r="AF358" s="194" t="str">
        <f t="shared" si="64"/>
        <v/>
      </c>
      <c r="AG358" s="245" t="str">
        <f>IF(ISNUMBER(SEARCH("C", 'Dry_Litterbag Placem_Collection'!$V65)),"YES","NO")</f>
        <v>NO</v>
      </c>
      <c r="AH358" s="245" t="str">
        <f>IF(ISNUMBER(SEARCH("H", 'Dry_Litterbag Placem_Collection'!$V65)),"YES","NO")</f>
        <v>NO</v>
      </c>
      <c r="AI358" s="245" t="str">
        <f>IF(ISNUMBER(SEARCH("R", 'Dry_Litterbag Placem_Collection'!$V65)),"YES","NO")</f>
        <v>NO</v>
      </c>
      <c r="AJ358" s="245" t="str">
        <f>IF(ISNUMBER(SEARCH("C", 'Dry_Litterbag Placem_Collection'!$U65)),"YES","NO")</f>
        <v>NO</v>
      </c>
      <c r="AK358" s="245" t="str">
        <f>IF(ISNUMBER(SEARCH("H", 'Dry_Litterbag Placem_Collection'!$U65)),"YES","NO")</f>
        <v>NO</v>
      </c>
      <c r="AL358" s="245" t="str">
        <f>IF(ISNUMBER(SEARCH("R", 'Dry_Litterbag Placem_Collection'!$U65)),"YES","NO")</f>
        <v>NO</v>
      </c>
    </row>
    <row r="359" spans="2:38">
      <c r="B359" t="str">
        <f>Dryseason!B505</f>
        <v>Dry</v>
      </c>
      <c r="C359" s="253">
        <f>Dryseason!C505</f>
        <v>64</v>
      </c>
      <c r="D359" t="s">
        <v>3110</v>
      </c>
      <c r="E359" t="s">
        <v>25</v>
      </c>
      <c r="F359" s="375">
        <v>8</v>
      </c>
      <c r="G359" s="376">
        <f>IF('Dry_Litterbag Placem_Collection'!E66="","",'Dry_Litterbag Placem_Collection'!E66)</f>
        <v>42938</v>
      </c>
      <c r="H359" s="92" t="str">
        <f>Dryseason!L505</f>
        <v>G84</v>
      </c>
      <c r="I359" t="str">
        <f>Dryseason!L725</f>
        <v>R237</v>
      </c>
      <c r="J359">
        <f>IFERROR(INDEX('Green_rooibos initial weight'!$C$5:$C$2000,MATCH(H359, 'Green_rooibos initial weight'!$A$5:$A$2000,0)),"")</f>
        <v>2.1259999999999999</v>
      </c>
      <c r="K359">
        <f>IFERROR(INDEX('Green_rooibos initial weight'!$C$5:$C$2000,MATCH(I359, 'Green_rooibos initial weight'!$A$5:$A$2000,0)),"")</f>
        <v>2.1989999999999998</v>
      </c>
      <c r="L359" s="194">
        <f t="shared" si="56"/>
        <v>1.8761999999999999</v>
      </c>
      <c r="M359" s="233">
        <f>AVERAGE(Ashed_controlls!$K$1:$K$11)</f>
        <v>5.5147656768714146</v>
      </c>
      <c r="N359" s="194">
        <f t="shared" si="52"/>
        <v>1.7727319663705383</v>
      </c>
      <c r="O359" s="194">
        <f t="shared" si="57"/>
        <v>1.9491999999999998</v>
      </c>
      <c r="P359" s="233">
        <f>AVERAGE(Ashed_controlls!$K$12:$K$14)</f>
        <v>2.2816647271287041</v>
      </c>
      <c r="Q359" s="194">
        <f t="shared" si="53"/>
        <v>1.9047257911388071</v>
      </c>
      <c r="R359" s="376">
        <f>IF('Dry_Litterbag Placem_Collection'!G66="","",'Dry_Litterbag Placem_Collection'!G66)</f>
        <v>43005</v>
      </c>
      <c r="S359" s="194">
        <f>IFERROR(INDEX('Both teabags AfterDry'!$D$3:$D$2000,MATCH(H359,'Both teabags AfterDry'!$A$3:$A$2000,0)),"")</f>
        <v>1.9314</v>
      </c>
      <c r="T359" s="194">
        <f>IFERROR(INDEX('Both teabags AfterDry'!$D$3:$D$2000,MATCH(I359,'Both teabags AfterDry'!$A$3:$A$2000,0)),"")</f>
        <v>1.9715</v>
      </c>
      <c r="U359" s="194">
        <f t="shared" si="58"/>
        <v>1.7807999999999999</v>
      </c>
      <c r="V359" s="194">
        <f t="shared" si="59"/>
        <v>1.8209</v>
      </c>
      <c r="W359" s="194">
        <f>IFERROR(INDEX('Ashed teabags dry'!$K$2:$K$2000,MATCH(H359,'Ashed teabags dry'!$A$2:$A$2000,0)),"")</f>
        <v>5.2683407188580818</v>
      </c>
      <c r="X359" s="194">
        <f>IFERROR(INDEX('Ashed teabags dry'!$K$2:$K$2000,MATCH(I359,'Ashed teabags dry'!$A$2:$A$2000,0)),"")</f>
        <v>2.2650602409639138</v>
      </c>
      <c r="Y359" s="194">
        <f t="shared" si="54"/>
        <v>1.6869813884785752</v>
      </c>
      <c r="Z359" s="194">
        <f t="shared" si="54"/>
        <v>1.7796555180722882</v>
      </c>
      <c r="AA359" s="194">
        <f t="shared" si="60"/>
        <v>4.8371992787791473E-2</v>
      </c>
      <c r="AB359" s="194">
        <f t="shared" si="61"/>
        <v>3.1711805248053324E-2</v>
      </c>
      <c r="AC359" s="194">
        <f t="shared" si="55"/>
        <v>0.93433686168981767</v>
      </c>
      <c r="AD359">
        <f t="shared" si="62"/>
        <v>67</v>
      </c>
      <c r="AE359" s="194">
        <f t="shared" si="63"/>
        <v>0.94255107744917876</v>
      </c>
      <c r="AF359" s="194" t="str">
        <f t="shared" si="64"/>
        <v/>
      </c>
      <c r="AG359" s="245" t="str">
        <f>IF(ISNUMBER(SEARCH("C", 'Dry_Litterbag Placem_Collection'!$V66)),"YES","NO")</f>
        <v>NO</v>
      </c>
      <c r="AH359" s="245" t="str">
        <f>IF(ISNUMBER(SEARCH("H", 'Dry_Litterbag Placem_Collection'!$V66)),"YES","NO")</f>
        <v>NO</v>
      </c>
      <c r="AI359" s="245" t="str">
        <f>IF(ISNUMBER(SEARCH("R", 'Dry_Litterbag Placem_Collection'!$V66)),"YES","NO")</f>
        <v>NO</v>
      </c>
      <c r="AJ359" s="245" t="str">
        <f>IF(ISNUMBER(SEARCH("C", 'Dry_Litterbag Placem_Collection'!$U66)),"YES","NO")</f>
        <v>NO</v>
      </c>
      <c r="AK359" s="245" t="str">
        <f>IF(ISNUMBER(SEARCH("H", 'Dry_Litterbag Placem_Collection'!$U66)),"YES","NO")</f>
        <v>NO</v>
      </c>
      <c r="AL359" s="245" t="str">
        <f>IF(ISNUMBER(SEARCH("R", 'Dry_Litterbag Placem_Collection'!$U66)),"YES","NO")</f>
        <v>NO</v>
      </c>
    </row>
    <row r="360" spans="2:38">
      <c r="B360" t="str">
        <f>Dryseason!B506</f>
        <v>Dry</v>
      </c>
      <c r="C360" s="253">
        <f>Dryseason!C506</f>
        <v>65</v>
      </c>
      <c r="D360" t="s">
        <v>3111</v>
      </c>
      <c r="E360" t="s">
        <v>25</v>
      </c>
      <c r="F360" s="374">
        <v>1</v>
      </c>
      <c r="G360" s="376">
        <f>IF('Dry_Litterbag Placem_Collection'!E67="","",'Dry_Litterbag Placem_Collection'!E67)</f>
        <v>42937</v>
      </c>
      <c r="H360" s="92" t="str">
        <f>Dryseason!L506</f>
        <v>G586</v>
      </c>
      <c r="I360" t="str">
        <f>Dryseason!L726</f>
        <v>R654</v>
      </c>
      <c r="J360">
        <f>IFERROR(INDEX('Green_rooibos initial weight'!$C$5:$C$2000,MATCH(H360, 'Green_rooibos initial weight'!$A$5:$A$2000,0)),"")</f>
        <v>1.9590000000000001</v>
      </c>
      <c r="K360">
        <f>IFERROR(INDEX('Green_rooibos initial weight'!$C$5:$C$2000,MATCH(I360, 'Green_rooibos initial weight'!$A$5:$A$2000,0)),"")</f>
        <v>2.2040000000000002</v>
      </c>
      <c r="L360" s="194">
        <f t="shared" si="56"/>
        <v>1.7092000000000001</v>
      </c>
      <c r="M360" s="233">
        <f>AVERAGE(Ashed_controlls!$K$1:$K$11)</f>
        <v>5.5147656768714146</v>
      </c>
      <c r="N360" s="194">
        <f t="shared" si="52"/>
        <v>1.6149416250509139</v>
      </c>
      <c r="O360" s="194">
        <f t="shared" si="57"/>
        <v>1.9542000000000002</v>
      </c>
      <c r="P360" s="233">
        <f>AVERAGE(Ashed_controlls!$K$12:$K$14)</f>
        <v>2.2816647271287041</v>
      </c>
      <c r="Q360" s="194">
        <f t="shared" si="53"/>
        <v>1.909611707902451</v>
      </c>
      <c r="R360" s="376">
        <f>IF('Dry_Litterbag Placem_Collection'!G67="","",'Dry_Litterbag Placem_Collection'!G67)</f>
        <v>43005</v>
      </c>
      <c r="S360" s="194" t="str">
        <f>IFERROR(INDEX('Both teabags AfterDry'!$D$3:$D$2000,MATCH(H360,'Both teabags AfterDry'!$A$3:$A$2000,0)),"")</f>
        <v/>
      </c>
      <c r="T360" s="194" t="str">
        <f>IFERROR(INDEX('Both teabags AfterDry'!$D$3:$D$2000,MATCH(I360,'Both teabags AfterDry'!$A$3:$A$2000,0)),"")</f>
        <v/>
      </c>
      <c r="U360" s="194" t="str">
        <f t="shared" si="58"/>
        <v/>
      </c>
      <c r="V360" s="194" t="str">
        <f t="shared" si="59"/>
        <v/>
      </c>
      <c r="W360" s="194" t="str">
        <f>IFERROR(INDEX('Ashed teabags dry'!$K$2:$K$2000,MATCH(H360,'Ashed teabags dry'!$A$2:$A$2000,0)),"")</f>
        <v/>
      </c>
      <c r="X360" s="194" t="str">
        <f>IFERROR(INDEX('Ashed teabags dry'!$K$2:$K$2000,MATCH(I360,'Ashed teabags dry'!$A$2:$A$2000,0)),"")</f>
        <v/>
      </c>
      <c r="Y360" s="194" t="str">
        <f t="shared" si="54"/>
        <v/>
      </c>
      <c r="Z360" s="194" t="str">
        <f t="shared" si="54"/>
        <v/>
      </c>
      <c r="AA360" s="194" t="str">
        <f t="shared" si="60"/>
        <v/>
      </c>
      <c r="AB360" s="194" t="str">
        <f t="shared" si="61"/>
        <v/>
      </c>
      <c r="AC360" s="194" t="str">
        <f t="shared" si="55"/>
        <v/>
      </c>
      <c r="AD360">
        <f t="shared" si="62"/>
        <v>68</v>
      </c>
      <c r="AE360" s="194" t="str">
        <f t="shared" si="63"/>
        <v/>
      </c>
      <c r="AF360" s="194" t="str">
        <f t="shared" si="64"/>
        <v/>
      </c>
      <c r="AG360" s="245" t="str">
        <f>IF(ISNUMBER(SEARCH("C", 'Dry_Litterbag Placem_Collection'!$V67)),"YES","NO")</f>
        <v>NO</v>
      </c>
      <c r="AH360" s="245" t="str">
        <f>IF(ISNUMBER(SEARCH("H", 'Dry_Litterbag Placem_Collection'!$V67)),"YES","NO")</f>
        <v>NO</v>
      </c>
      <c r="AI360" s="245" t="str">
        <f>IF(ISNUMBER(SEARCH("R", 'Dry_Litterbag Placem_Collection'!$V67)),"YES","NO")</f>
        <v>NO</v>
      </c>
      <c r="AJ360" s="245" t="str">
        <f>IF(ISNUMBER(SEARCH("C", 'Dry_Litterbag Placem_Collection'!$U67)),"YES","NO")</f>
        <v>NO</v>
      </c>
      <c r="AK360" s="245" t="str">
        <f>IF(ISNUMBER(SEARCH("H", 'Dry_Litterbag Placem_Collection'!$U67)),"YES","NO")</f>
        <v>NO</v>
      </c>
      <c r="AL360" s="245" t="str">
        <f>IF(ISNUMBER(SEARCH("R", 'Dry_Litterbag Placem_Collection'!$U67)),"YES","NO")</f>
        <v>NO</v>
      </c>
    </row>
    <row r="361" spans="2:38">
      <c r="B361" t="str">
        <f>Dryseason!B507</f>
        <v>Dry</v>
      </c>
      <c r="C361" s="253">
        <f>Dryseason!C507</f>
        <v>66</v>
      </c>
      <c r="D361" t="s">
        <v>3111</v>
      </c>
      <c r="E361" t="s">
        <v>25</v>
      </c>
      <c r="F361" s="374">
        <v>2</v>
      </c>
      <c r="G361" s="376">
        <f>IF('Dry_Litterbag Placem_Collection'!E68="","",'Dry_Litterbag Placem_Collection'!E68)</f>
        <v>42937</v>
      </c>
      <c r="H361" s="92" t="str">
        <f>Dryseason!L507</f>
        <v>G851</v>
      </c>
      <c r="I361" t="str">
        <f>Dryseason!L727</f>
        <v>R634</v>
      </c>
      <c r="J361">
        <f>IFERROR(INDEX('Green_rooibos initial weight'!$C$5:$C$2000,MATCH(H361, 'Green_rooibos initial weight'!$A$5:$A$2000,0)),"")</f>
        <v>1.9930000000000001</v>
      </c>
      <c r="K361">
        <f>IFERROR(INDEX('Green_rooibos initial weight'!$C$5:$C$2000,MATCH(I361, 'Green_rooibos initial weight'!$A$5:$A$2000,0)),"")</f>
        <v>2.0979999999999999</v>
      </c>
      <c r="L361" s="194">
        <f t="shared" si="56"/>
        <v>1.7432000000000001</v>
      </c>
      <c r="M361" s="233">
        <f>AVERAGE(Ashed_controlls!$K$1:$K$11)</f>
        <v>5.5147656768714146</v>
      </c>
      <c r="N361" s="194">
        <f t="shared" si="52"/>
        <v>1.6470666047207776</v>
      </c>
      <c r="O361" s="194">
        <f t="shared" si="57"/>
        <v>1.8481999999999998</v>
      </c>
      <c r="P361" s="233">
        <f>AVERAGE(Ashed_controlls!$K$12:$K$14)</f>
        <v>2.2816647271287041</v>
      </c>
      <c r="Q361" s="194">
        <f t="shared" si="53"/>
        <v>1.8060302725132071</v>
      </c>
      <c r="R361" s="376">
        <f>IF('Dry_Litterbag Placem_Collection'!G68="","",'Dry_Litterbag Placem_Collection'!G68)</f>
        <v>43005</v>
      </c>
      <c r="S361" s="194">
        <f>IFERROR(INDEX('Both teabags AfterDry'!$D$3:$D$2000,MATCH(H361,'Both teabags AfterDry'!$A$3:$A$2000,0)),"")</f>
        <v>1.8367</v>
      </c>
      <c r="T361" s="194">
        <f>IFERROR(INDEX('Both teabags AfterDry'!$D$3:$D$2000,MATCH(I361,'Both teabags AfterDry'!$A$3:$A$2000,0)),"")</f>
        <v>1.9177</v>
      </c>
      <c r="U361" s="194">
        <f t="shared" si="58"/>
        <v>1.6860999999999999</v>
      </c>
      <c r="V361" s="194">
        <f t="shared" si="59"/>
        <v>1.7670999999999999</v>
      </c>
      <c r="W361" s="194">
        <f>IFERROR(INDEX('Ashed teabags dry'!$K$2:$K$2000,MATCH(H361,'Ashed teabags dry'!$A$2:$A$2000,0)),"")</f>
        <v>6.3484251968505419</v>
      </c>
      <c r="X361" s="194">
        <f>IFERROR(INDEX('Ashed teabags dry'!$K$2:$K$2000,MATCH(I361,'Ashed teabags dry'!$A$2:$A$2000,0)),"")</f>
        <v>2.2058823529412819</v>
      </c>
      <c r="Y361" s="194">
        <f t="shared" si="54"/>
        <v>1.5790592027559029</v>
      </c>
      <c r="Z361" s="194">
        <f t="shared" si="54"/>
        <v>1.7281198529411745</v>
      </c>
      <c r="AA361" s="194">
        <f t="shared" si="60"/>
        <v>4.129001326962356E-2</v>
      </c>
      <c r="AB361" s="194">
        <f t="shared" si="61"/>
        <v>2.706898732165345E-2</v>
      </c>
      <c r="AC361" s="194">
        <f t="shared" si="55"/>
        <v>0.95686095589991671</v>
      </c>
      <c r="AD361">
        <f t="shared" si="62"/>
        <v>68</v>
      </c>
      <c r="AE361" s="194">
        <f t="shared" si="63"/>
        <v>0.95096197948975825</v>
      </c>
      <c r="AF361" s="194" t="str">
        <f t="shared" si="64"/>
        <v/>
      </c>
      <c r="AG361" s="245" t="str">
        <f>IF(ISNUMBER(SEARCH("C", 'Dry_Litterbag Placem_Collection'!$V68)),"YES","NO")</f>
        <v>NO</v>
      </c>
      <c r="AH361" s="245" t="str">
        <f>IF(ISNUMBER(SEARCH("H", 'Dry_Litterbag Placem_Collection'!$V68)),"YES","NO")</f>
        <v>NO</v>
      </c>
      <c r="AI361" s="245" t="str">
        <f>IF(ISNUMBER(SEARCH("R", 'Dry_Litterbag Placem_Collection'!$V68)),"YES","NO")</f>
        <v>NO</v>
      </c>
      <c r="AJ361" s="245" t="str">
        <f>IF(ISNUMBER(SEARCH("C", 'Dry_Litterbag Placem_Collection'!$U68)),"YES","NO")</f>
        <v>NO</v>
      </c>
      <c r="AK361" s="245" t="str">
        <f>IF(ISNUMBER(SEARCH("H", 'Dry_Litterbag Placem_Collection'!$U68)),"YES","NO")</f>
        <v>NO</v>
      </c>
      <c r="AL361" s="245" t="str">
        <f>IF(ISNUMBER(SEARCH("R", 'Dry_Litterbag Placem_Collection'!$U68)),"YES","NO")</f>
        <v>NO</v>
      </c>
    </row>
    <row r="362" spans="2:38">
      <c r="B362" t="str">
        <f>Dryseason!B508</f>
        <v>Dry</v>
      </c>
      <c r="C362" s="253">
        <f>Dryseason!C508</f>
        <v>67</v>
      </c>
      <c r="D362" t="s">
        <v>3111</v>
      </c>
      <c r="E362" t="s">
        <v>25</v>
      </c>
      <c r="F362" s="374">
        <v>3</v>
      </c>
      <c r="G362" s="376" t="str">
        <f>IF('Dry_Litterbag Placem_Collection'!E69="","",'Dry_Litterbag Placem_Collection'!E69)</f>
        <v/>
      </c>
      <c r="H362" s="92" t="str">
        <f>Dryseason!L508</f>
        <v/>
      </c>
      <c r="I362" t="str">
        <f>Dryseason!L728</f>
        <v/>
      </c>
      <c r="J362" t="str">
        <f>IFERROR(INDEX('Green_rooibos initial weight'!$C$5:$C$2000,MATCH(H362, 'Green_rooibos initial weight'!$A$5:$A$2000,0)),"")</f>
        <v/>
      </c>
      <c r="K362" t="str">
        <f>IFERROR(INDEX('Green_rooibos initial weight'!$C$5:$C$2000,MATCH(I362, 'Green_rooibos initial weight'!$A$5:$A$2000,0)),"")</f>
        <v/>
      </c>
      <c r="L362" s="194" t="str">
        <f t="shared" si="56"/>
        <v/>
      </c>
      <c r="M362" s="233">
        <f>AVERAGE(Ashed_controlls!$K$1:$K$11)</f>
        <v>5.5147656768714146</v>
      </c>
      <c r="N362" s="194" t="str">
        <f t="shared" si="52"/>
        <v/>
      </c>
      <c r="O362" s="194" t="str">
        <f t="shared" si="57"/>
        <v/>
      </c>
      <c r="P362" s="233">
        <f>AVERAGE(Ashed_controlls!$K$12:$K$14)</f>
        <v>2.2816647271287041</v>
      </c>
      <c r="Q362" s="194" t="str">
        <f t="shared" si="53"/>
        <v/>
      </c>
      <c r="R362" s="376" t="str">
        <f>IF('Dry_Litterbag Placem_Collection'!G69="","",'Dry_Litterbag Placem_Collection'!G69)</f>
        <v/>
      </c>
      <c r="S362" s="194" t="str">
        <f>IFERROR(INDEX('Both teabags AfterDry'!$D$3:$D$2000,MATCH(H362,'Both teabags AfterDry'!$A$3:$A$2000,0)),"")</f>
        <v/>
      </c>
      <c r="T362" s="194" t="str">
        <f>IFERROR(INDEX('Both teabags AfterDry'!$D$3:$D$2000,MATCH(I362,'Both teabags AfterDry'!$A$3:$A$2000,0)),"")</f>
        <v/>
      </c>
      <c r="U362" s="194" t="str">
        <f t="shared" si="58"/>
        <v/>
      </c>
      <c r="V362" s="194" t="str">
        <f t="shared" si="59"/>
        <v/>
      </c>
      <c r="W362" s="194" t="str">
        <f>IFERROR(INDEX('Ashed teabags dry'!$K$2:$K$2000,MATCH(H362,'Ashed teabags dry'!$A$2:$A$2000,0)),"")</f>
        <v/>
      </c>
      <c r="X362" s="194" t="str">
        <f>IFERROR(INDEX('Ashed teabags dry'!$K$2:$K$2000,MATCH(I362,'Ashed teabags dry'!$A$2:$A$2000,0)),"")</f>
        <v/>
      </c>
      <c r="Y362" s="194" t="str">
        <f t="shared" si="54"/>
        <v/>
      </c>
      <c r="Z362" s="194" t="str">
        <f t="shared" si="54"/>
        <v/>
      </c>
      <c r="AA362" s="194" t="str">
        <f t="shared" si="60"/>
        <v/>
      </c>
      <c r="AB362" s="194" t="str">
        <f t="shared" si="61"/>
        <v/>
      </c>
      <c r="AC362" s="194" t="str">
        <f t="shared" si="55"/>
        <v/>
      </c>
      <c r="AD362" t="str">
        <f t="shared" si="62"/>
        <v/>
      </c>
      <c r="AE362" s="194" t="str">
        <f t="shared" si="63"/>
        <v/>
      </c>
      <c r="AF362" s="194" t="str">
        <f t="shared" si="64"/>
        <v/>
      </c>
      <c r="AG362" s="245" t="str">
        <f>IF(ISNUMBER(SEARCH("C", 'Dry_Litterbag Placem_Collection'!$V69)),"YES","NO")</f>
        <v>NO</v>
      </c>
      <c r="AH362" s="245" t="str">
        <f>IF(ISNUMBER(SEARCH("H", 'Dry_Litterbag Placem_Collection'!$V69)),"YES","NO")</f>
        <v>NO</v>
      </c>
      <c r="AI362" s="245" t="str">
        <f>IF(ISNUMBER(SEARCH("R", 'Dry_Litterbag Placem_Collection'!$V69)),"YES","NO")</f>
        <v>NO</v>
      </c>
      <c r="AJ362" s="245" t="str">
        <f>IF(ISNUMBER(SEARCH("C", 'Dry_Litterbag Placem_Collection'!$U69)),"YES","NO")</f>
        <v>NO</v>
      </c>
      <c r="AK362" s="245" t="str">
        <f>IF(ISNUMBER(SEARCH("H", 'Dry_Litterbag Placem_Collection'!$U69)),"YES","NO")</f>
        <v>NO</v>
      </c>
      <c r="AL362" s="245" t="str">
        <f>IF(ISNUMBER(SEARCH("R", 'Dry_Litterbag Placem_Collection'!$U69)),"YES","NO")</f>
        <v>NO</v>
      </c>
    </row>
    <row r="363" spans="2:38">
      <c r="B363" t="str">
        <f>Dryseason!B509</f>
        <v>Dry</v>
      </c>
      <c r="C363" s="253">
        <f>Dryseason!C509</f>
        <v>68</v>
      </c>
      <c r="D363" t="s">
        <v>3111</v>
      </c>
      <c r="E363" t="s">
        <v>25</v>
      </c>
      <c r="F363" s="375">
        <v>4</v>
      </c>
      <c r="G363" s="376">
        <f>IF('Dry_Litterbag Placem_Collection'!E70="","",'Dry_Litterbag Placem_Collection'!E70)</f>
        <v>42937</v>
      </c>
      <c r="H363" s="92" t="str">
        <f>Dryseason!L509</f>
        <v>G467</v>
      </c>
      <c r="I363" t="str">
        <f>Dryseason!L729</f>
        <v>R201</v>
      </c>
      <c r="J363">
        <f>IFERROR(INDEX('Green_rooibos initial weight'!$C$5:$C$2000,MATCH(H363, 'Green_rooibos initial weight'!$A$5:$A$2000,0)),"")</f>
        <v>2.0259999999999998</v>
      </c>
      <c r="K363">
        <f>IFERROR(INDEX('Green_rooibos initial weight'!$C$5:$C$2000,MATCH(I363, 'Green_rooibos initial weight'!$A$5:$A$2000,0)),"")</f>
        <v>2.2349999999999999</v>
      </c>
      <c r="L363" s="194">
        <f t="shared" si="56"/>
        <v>1.7761999999999998</v>
      </c>
      <c r="M363" s="233">
        <f>AVERAGE(Ashed_controlls!$K$1:$K$11)</f>
        <v>5.5147656768714146</v>
      </c>
      <c r="N363" s="194">
        <f t="shared" si="52"/>
        <v>1.6782467320474097</v>
      </c>
      <c r="O363" s="194">
        <f t="shared" si="57"/>
        <v>1.9851999999999999</v>
      </c>
      <c r="P363" s="233">
        <f>AVERAGE(Ashed_controlls!$K$12:$K$14)</f>
        <v>2.2816647271287041</v>
      </c>
      <c r="Q363" s="194">
        <f t="shared" si="53"/>
        <v>1.9399043918370409</v>
      </c>
      <c r="R363" s="376">
        <f>IF('Dry_Litterbag Placem_Collection'!G70="","",'Dry_Litterbag Placem_Collection'!G70)</f>
        <v>43005</v>
      </c>
      <c r="S363" s="194">
        <f>IFERROR(INDEX('Both teabags AfterDry'!$D$3:$D$2000,MATCH(H363,'Both teabags AfterDry'!$A$3:$A$2000,0)),"")</f>
        <v>1.8359000000000001</v>
      </c>
      <c r="T363" s="194">
        <f>IFERROR(INDEX('Both teabags AfterDry'!$D$3:$D$2000,MATCH(I363,'Both teabags AfterDry'!$A$3:$A$2000,0)),"")</f>
        <v>2.0015000000000001</v>
      </c>
      <c r="U363" s="194">
        <f t="shared" si="58"/>
        <v>1.6853</v>
      </c>
      <c r="V363" s="194">
        <f t="shared" si="59"/>
        <v>1.8509</v>
      </c>
      <c r="W363" s="194">
        <f>IFERROR(INDEX('Ashed teabags dry'!$K$2:$K$2000,MATCH(H363,'Ashed teabags dry'!$A$2:$A$2000,0)),"")</f>
        <v>5.6516237874314612</v>
      </c>
      <c r="X363" s="194">
        <f>IFERROR(INDEX('Ashed teabags dry'!$K$2:$K$2000,MATCH(I363,'Ashed teabags dry'!$A$2:$A$2000,0)),"")</f>
        <v>3.2690695725061474</v>
      </c>
      <c r="Y363" s="194">
        <f t="shared" si="54"/>
        <v>1.5900531843104175</v>
      </c>
      <c r="Z363" s="194">
        <f t="shared" si="54"/>
        <v>1.7903927912824837</v>
      </c>
      <c r="AA363" s="194">
        <f t="shared" si="60"/>
        <v>5.2551002217295362E-2</v>
      </c>
      <c r="AB363" s="194">
        <f t="shared" si="61"/>
        <v>3.4451488389485828E-2</v>
      </c>
      <c r="AC363" s="194">
        <f t="shared" si="55"/>
        <v>0.92292836637532771</v>
      </c>
      <c r="AD363">
        <f t="shared" si="62"/>
        <v>68</v>
      </c>
      <c r="AE363" s="194">
        <f t="shared" si="63"/>
        <v>0.93758788335238075</v>
      </c>
      <c r="AF363" s="194" t="str">
        <f t="shared" si="64"/>
        <v/>
      </c>
      <c r="AG363" s="245" t="str">
        <f>IF(ISNUMBER(SEARCH("C", 'Dry_Litterbag Placem_Collection'!$V70)),"YES","NO")</f>
        <v>NO</v>
      </c>
      <c r="AH363" s="245" t="str">
        <f>IF(ISNUMBER(SEARCH("H", 'Dry_Litterbag Placem_Collection'!$V70)),"YES","NO")</f>
        <v>NO</v>
      </c>
      <c r="AI363" s="245" t="str">
        <f>IF(ISNUMBER(SEARCH("R", 'Dry_Litterbag Placem_Collection'!$V70)),"YES","NO")</f>
        <v>NO</v>
      </c>
      <c r="AJ363" s="245" t="str">
        <f>IF(ISNUMBER(SEARCH("C", 'Dry_Litterbag Placem_Collection'!$U70)),"YES","NO")</f>
        <v>NO</v>
      </c>
      <c r="AK363" s="245" t="str">
        <f>IF(ISNUMBER(SEARCH("H", 'Dry_Litterbag Placem_Collection'!$U70)),"YES","NO")</f>
        <v>NO</v>
      </c>
      <c r="AL363" s="245" t="str">
        <f>IF(ISNUMBER(SEARCH("R", 'Dry_Litterbag Placem_Collection'!$U70)),"YES","NO")</f>
        <v>NO</v>
      </c>
    </row>
    <row r="364" spans="2:38">
      <c r="B364" t="str">
        <f>Dryseason!B510</f>
        <v>Dry</v>
      </c>
      <c r="C364" s="253">
        <f>Dryseason!C510</f>
        <v>69</v>
      </c>
      <c r="D364" t="s">
        <v>3111</v>
      </c>
      <c r="E364" t="s">
        <v>25</v>
      </c>
      <c r="F364" s="375">
        <v>5</v>
      </c>
      <c r="G364" s="376">
        <f>IF('Dry_Litterbag Placem_Collection'!E71="","",'Dry_Litterbag Placem_Collection'!E71)</f>
        <v>42937</v>
      </c>
      <c r="H364" s="92" t="str">
        <f>Dryseason!L510</f>
        <v>G766</v>
      </c>
      <c r="I364" t="str">
        <f>Dryseason!L730</f>
        <v>R174</v>
      </c>
      <c r="J364">
        <f>IFERROR(INDEX('Green_rooibos initial weight'!$C$5:$C$2000,MATCH(H364, 'Green_rooibos initial weight'!$A$5:$A$2000,0)),"")</f>
        <v>2.0409999999999999</v>
      </c>
      <c r="K364">
        <f>IFERROR(INDEX('Green_rooibos initial weight'!$C$5:$C$2000,MATCH(I364, 'Green_rooibos initial weight'!$A$5:$A$2000,0)),"")</f>
        <v>2.2410000000000001</v>
      </c>
      <c r="L364" s="194">
        <f t="shared" si="56"/>
        <v>1.7911999999999999</v>
      </c>
      <c r="M364" s="233">
        <f>AVERAGE(Ashed_controlls!$K$1:$K$11)</f>
        <v>5.5147656768714146</v>
      </c>
      <c r="N364" s="194">
        <f t="shared" si="52"/>
        <v>1.6924195171958791</v>
      </c>
      <c r="O364" s="194">
        <f t="shared" si="57"/>
        <v>1.9912000000000001</v>
      </c>
      <c r="P364" s="233">
        <f>AVERAGE(Ashed_controlls!$K$12:$K$14)</f>
        <v>2.2816647271287041</v>
      </c>
      <c r="Q364" s="194">
        <f t="shared" si="53"/>
        <v>1.9457674919534134</v>
      </c>
      <c r="R364" s="376">
        <f>IF('Dry_Litterbag Placem_Collection'!G71="","",'Dry_Litterbag Placem_Collection'!G71)</f>
        <v>43006</v>
      </c>
      <c r="S364" s="194">
        <f>IFERROR(INDEX('Both teabags AfterDry'!$D$3:$D$2000,MATCH(H364,'Both teabags AfterDry'!$A$3:$A$2000,0)),"")</f>
        <v>1.8654999999999999</v>
      </c>
      <c r="T364" s="194">
        <f>IFERROR(INDEX('Both teabags AfterDry'!$D$3:$D$2000,MATCH(I364,'Both teabags AfterDry'!$A$3:$A$2000,0)),"")</f>
        <v>1.9946999999999999</v>
      </c>
      <c r="U364" s="194">
        <f t="shared" si="58"/>
        <v>1.7148999999999999</v>
      </c>
      <c r="V364" s="194">
        <f t="shared" si="59"/>
        <v>1.8440999999999999</v>
      </c>
      <c r="W364" s="194">
        <f>IFERROR(INDEX('Ashed teabags dry'!$K$2:$K$2000,MATCH(H364,'Ashed teabags dry'!$A$2:$A$2000,0)),"")</f>
        <v>6.0009837678305544</v>
      </c>
      <c r="X364" s="194">
        <f>IFERROR(INDEX('Ashed teabags dry'!$K$2:$K$2000,MATCH(I364,'Ashed teabags dry'!$A$2:$A$2000,0)),"")</f>
        <v>2.7638190954781701</v>
      </c>
      <c r="Y364" s="194">
        <f t="shared" si="54"/>
        <v>1.6119891293654738</v>
      </c>
      <c r="Z364" s="194">
        <f t="shared" si="54"/>
        <v>1.793132412060287</v>
      </c>
      <c r="AA364" s="194">
        <f t="shared" si="60"/>
        <v>4.7523907053298564E-2</v>
      </c>
      <c r="AB364" s="194">
        <f t="shared" si="61"/>
        <v>3.1155815550380991E-2</v>
      </c>
      <c r="AC364" s="194">
        <f t="shared" si="55"/>
        <v>0.92155533457911176</v>
      </c>
      <c r="AD364">
        <f t="shared" si="62"/>
        <v>69</v>
      </c>
      <c r="AE364" s="194">
        <f t="shared" si="63"/>
        <v>0.94355830516235328</v>
      </c>
      <c r="AF364" s="194" t="str">
        <f t="shared" si="64"/>
        <v/>
      </c>
      <c r="AG364" s="245" t="str">
        <f>IF(ISNUMBER(SEARCH("C", 'Dry_Litterbag Placem_Collection'!$V71)),"YES","NO")</f>
        <v>NO</v>
      </c>
      <c r="AH364" s="245" t="str">
        <f>IF(ISNUMBER(SEARCH("H", 'Dry_Litterbag Placem_Collection'!$V71)),"YES","NO")</f>
        <v>NO</v>
      </c>
      <c r="AI364" s="245" t="str">
        <f>IF(ISNUMBER(SEARCH("R", 'Dry_Litterbag Placem_Collection'!$V71)),"YES","NO")</f>
        <v>NO</v>
      </c>
      <c r="AJ364" s="245" t="str">
        <f>IF(ISNUMBER(SEARCH("C", 'Dry_Litterbag Placem_Collection'!$U71)),"YES","NO")</f>
        <v>NO</v>
      </c>
      <c r="AK364" s="245" t="str">
        <f>IF(ISNUMBER(SEARCH("H", 'Dry_Litterbag Placem_Collection'!$U71)),"YES","NO")</f>
        <v>NO</v>
      </c>
      <c r="AL364" s="245" t="str">
        <f>IF(ISNUMBER(SEARCH("R", 'Dry_Litterbag Placem_Collection'!$U71)),"YES","NO")</f>
        <v>NO</v>
      </c>
    </row>
    <row r="365" spans="2:38">
      <c r="B365" t="str">
        <f>Dryseason!B511</f>
        <v>Dry</v>
      </c>
      <c r="C365" s="253">
        <f>Dryseason!C511</f>
        <v>70</v>
      </c>
      <c r="D365" t="s">
        <v>3111</v>
      </c>
      <c r="E365" t="s">
        <v>25</v>
      </c>
      <c r="F365" s="375">
        <v>6</v>
      </c>
      <c r="G365" s="376">
        <f>IF('Dry_Litterbag Placem_Collection'!E72="","",'Dry_Litterbag Placem_Collection'!E72)</f>
        <v>42937</v>
      </c>
      <c r="H365" s="92" t="str">
        <f>Dryseason!L511</f>
        <v>G430</v>
      </c>
      <c r="I365" t="str">
        <f>Dryseason!L731</f>
        <v>R261</v>
      </c>
      <c r="J365">
        <f>IFERROR(INDEX('Green_rooibos initial weight'!$C$5:$C$2000,MATCH(H365, 'Green_rooibos initial weight'!$A$5:$A$2000,0)),"")</f>
        <v>2.09</v>
      </c>
      <c r="K365">
        <f>IFERROR(INDEX('Green_rooibos initial weight'!$C$5:$C$2000,MATCH(I365, 'Green_rooibos initial weight'!$A$5:$A$2000,0)),"")</f>
        <v>2.2080000000000002</v>
      </c>
      <c r="L365" s="194">
        <f t="shared" si="56"/>
        <v>1.8401999999999998</v>
      </c>
      <c r="M365" s="233">
        <f>AVERAGE(Ashed_controlls!$K$1:$K$11)</f>
        <v>5.5147656768714146</v>
      </c>
      <c r="N365" s="194">
        <f t="shared" si="52"/>
        <v>1.7387172820142121</v>
      </c>
      <c r="O365" s="194">
        <f t="shared" si="57"/>
        <v>1.9582000000000002</v>
      </c>
      <c r="P365" s="233">
        <f>AVERAGE(Ashed_controlls!$K$12:$K$14)</f>
        <v>2.2816647271287041</v>
      </c>
      <c r="Q365" s="194">
        <f t="shared" si="53"/>
        <v>1.913520441313366</v>
      </c>
      <c r="R365" s="376">
        <f>IF('Dry_Litterbag Placem_Collection'!G72="","",'Dry_Litterbag Placem_Collection'!G72)</f>
        <v>43006</v>
      </c>
      <c r="S365" s="194">
        <f>IFERROR(INDEX('Both teabags AfterDry'!$D$3:$D$2000,MATCH(H365,'Both teabags AfterDry'!$A$3:$A$2000,0)),"")</f>
        <v>1.8875999999999999</v>
      </c>
      <c r="T365" s="194">
        <f>IFERROR(INDEX('Both teabags AfterDry'!$D$3:$D$2000,MATCH(I365,'Both teabags AfterDry'!$A$3:$A$2000,0)),"")</f>
        <v>1.9642999999999999</v>
      </c>
      <c r="U365" s="194">
        <f t="shared" si="58"/>
        <v>1.7369999999999999</v>
      </c>
      <c r="V365" s="194">
        <f t="shared" si="59"/>
        <v>1.8136999999999999</v>
      </c>
      <c r="W365" s="194">
        <f>IFERROR(INDEX('Ashed teabags dry'!$K$2:$K$2000,MATCH(H365,'Ashed teabags dry'!$A$2:$A$2000,0)),"")</f>
        <v>5.6997022543597504</v>
      </c>
      <c r="X365" s="194">
        <f>IFERROR(INDEX('Ashed teabags dry'!$K$2:$K$2000,MATCH(I365,'Ashed teabags dry'!$A$2:$A$2000,0)),"")</f>
        <v>3.9428289797936209</v>
      </c>
      <c r="Y365" s="194">
        <f t="shared" si="54"/>
        <v>1.637996171841771</v>
      </c>
      <c r="Z365" s="194">
        <f t="shared" si="54"/>
        <v>1.7421889107934829</v>
      </c>
      <c r="AA365" s="194">
        <f t="shared" si="60"/>
        <v>5.7928399984476409E-2</v>
      </c>
      <c r="AB365" s="194">
        <f t="shared" si="61"/>
        <v>3.7976813291485695E-2</v>
      </c>
      <c r="AC365" s="194">
        <f t="shared" si="55"/>
        <v>0.91046265991165076</v>
      </c>
      <c r="AD365">
        <f t="shared" si="62"/>
        <v>69</v>
      </c>
      <c r="AE365" s="194">
        <f t="shared" si="63"/>
        <v>0.93120142519658389</v>
      </c>
      <c r="AF365" s="194" t="str">
        <f t="shared" si="64"/>
        <v/>
      </c>
      <c r="AG365" s="245" t="str">
        <f>IF(ISNUMBER(SEARCH("C", 'Dry_Litterbag Placem_Collection'!$V72)),"YES","NO")</f>
        <v>NO</v>
      </c>
      <c r="AH365" s="245" t="str">
        <f>IF(ISNUMBER(SEARCH("H", 'Dry_Litterbag Placem_Collection'!$V72)),"YES","NO")</f>
        <v>NO</v>
      </c>
      <c r="AI365" s="245" t="str">
        <f>IF(ISNUMBER(SEARCH("R", 'Dry_Litterbag Placem_Collection'!$V72)),"YES","NO")</f>
        <v>NO</v>
      </c>
      <c r="AJ365" s="245" t="str">
        <f>IF(ISNUMBER(SEARCH("C", 'Dry_Litterbag Placem_Collection'!$U72)),"YES","NO")</f>
        <v>NO</v>
      </c>
      <c r="AK365" s="245" t="str">
        <f>IF(ISNUMBER(SEARCH("H", 'Dry_Litterbag Placem_Collection'!$U72)),"YES","NO")</f>
        <v>NO</v>
      </c>
      <c r="AL365" s="245" t="str">
        <f>IF(ISNUMBER(SEARCH("R", 'Dry_Litterbag Placem_Collection'!$U72)),"YES","NO")</f>
        <v>NO</v>
      </c>
    </row>
    <row r="366" spans="2:38">
      <c r="B366" t="str">
        <f>Dryseason!B512</f>
        <v>Dry</v>
      </c>
      <c r="C366" s="253">
        <f>Dryseason!C512</f>
        <v>71</v>
      </c>
      <c r="D366" t="s">
        <v>3111</v>
      </c>
      <c r="E366" t="s">
        <v>25</v>
      </c>
      <c r="F366" s="375">
        <v>7</v>
      </c>
      <c r="G366" s="376">
        <f>IF('Dry_Litterbag Placem_Collection'!E73="","",'Dry_Litterbag Placem_Collection'!E73)</f>
        <v>42937</v>
      </c>
      <c r="H366" s="92" t="str">
        <f>Dryseason!L512</f>
        <v>G174</v>
      </c>
      <c r="I366" t="str">
        <f>Dryseason!L732</f>
        <v>R203</v>
      </c>
      <c r="J366">
        <f>IFERROR(INDEX('Green_rooibos initial weight'!$C$5:$C$2000,MATCH(H366, 'Green_rooibos initial weight'!$A$5:$A$2000,0)),"")</f>
        <v>2.0649999999999999</v>
      </c>
      <c r="K366">
        <f>IFERROR(INDEX('Green_rooibos initial weight'!$C$5:$C$2000,MATCH(I366, 'Green_rooibos initial weight'!$A$5:$A$2000,0)),"")</f>
        <v>2.2839999999999998</v>
      </c>
      <c r="L366" s="194">
        <f t="shared" si="56"/>
        <v>1.8151999999999999</v>
      </c>
      <c r="M366" s="233">
        <f>AVERAGE(Ashed_controlls!$K$1:$K$11)</f>
        <v>5.5147656768714146</v>
      </c>
      <c r="N366" s="194">
        <f t="shared" si="52"/>
        <v>1.7150959734334301</v>
      </c>
      <c r="O366" s="194">
        <f t="shared" si="57"/>
        <v>2.0341999999999998</v>
      </c>
      <c r="P366" s="233">
        <f>AVERAGE(Ashed_controlls!$K$12:$K$14)</f>
        <v>2.2816647271287041</v>
      </c>
      <c r="Q366" s="194">
        <f t="shared" si="53"/>
        <v>1.9877863761207477</v>
      </c>
      <c r="R366" s="376">
        <f>IF('Dry_Litterbag Placem_Collection'!G73="","",'Dry_Litterbag Placem_Collection'!G73)</f>
        <v>43006</v>
      </c>
      <c r="S366" s="194">
        <f>IFERROR(INDEX('Both teabags AfterDry'!$D$3:$D$2000,MATCH(H366,'Both teabags AfterDry'!$A$3:$A$2000,0)),"")</f>
        <v>1.8838999999999999</v>
      </c>
      <c r="T366" s="194">
        <f>IFERROR(INDEX('Both teabags AfterDry'!$D$3:$D$2000,MATCH(I366,'Both teabags AfterDry'!$A$3:$A$2000,0)),"")</f>
        <v>2.0466000000000002</v>
      </c>
      <c r="U366" s="194">
        <f t="shared" si="58"/>
        <v>1.7332999999999998</v>
      </c>
      <c r="V366" s="194">
        <f t="shared" si="59"/>
        <v>1.8960000000000001</v>
      </c>
      <c r="W366" s="194">
        <f>IFERROR(INDEX('Ashed teabags dry'!$K$2:$K$2000,MATCH(H366,'Ashed teabags dry'!$A$2:$A$2000,0)),"")</f>
        <v>5.4401582591501034</v>
      </c>
      <c r="X366" s="194">
        <f>IFERROR(INDEX('Ashed teabags dry'!$K$2:$K$2000,MATCH(I366,'Ashed teabags dry'!$A$2:$A$2000,0)),"")</f>
        <v>3.3625730994153482</v>
      </c>
      <c r="Y366" s="194">
        <f t="shared" si="54"/>
        <v>1.6390057368941511</v>
      </c>
      <c r="Z366" s="194">
        <f t="shared" si="54"/>
        <v>1.8322456140350851</v>
      </c>
      <c r="AA366" s="194">
        <f t="shared" si="60"/>
        <v>4.4365002144430954E-2</v>
      </c>
      <c r="AB366" s="194">
        <f t="shared" si="61"/>
        <v>2.9084894517489183E-2</v>
      </c>
      <c r="AC366" s="194">
        <f t="shared" si="55"/>
        <v>0.92175177174259182</v>
      </c>
      <c r="AD366">
        <f t="shared" si="62"/>
        <v>69</v>
      </c>
      <c r="AE366" s="194">
        <f t="shared" si="63"/>
        <v>0.94730997370020076</v>
      </c>
      <c r="AF366" s="194" t="str">
        <f t="shared" si="64"/>
        <v/>
      </c>
      <c r="AG366" s="245" t="str">
        <f>IF(ISNUMBER(SEARCH("C", 'Dry_Litterbag Placem_Collection'!$V73)),"YES","NO")</f>
        <v>NO</v>
      </c>
      <c r="AH366" s="245" t="str">
        <f>IF(ISNUMBER(SEARCH("H", 'Dry_Litterbag Placem_Collection'!$V73)),"YES","NO")</f>
        <v>NO</v>
      </c>
      <c r="AI366" s="245" t="str">
        <f>IF(ISNUMBER(SEARCH("R", 'Dry_Litterbag Placem_Collection'!$V73)),"YES","NO")</f>
        <v>NO</v>
      </c>
      <c r="AJ366" s="245" t="str">
        <f>IF(ISNUMBER(SEARCH("C", 'Dry_Litterbag Placem_Collection'!$U73)),"YES","NO")</f>
        <v>NO</v>
      </c>
      <c r="AK366" s="245" t="str">
        <f>IF(ISNUMBER(SEARCH("H", 'Dry_Litterbag Placem_Collection'!$U73)),"YES","NO")</f>
        <v>NO</v>
      </c>
      <c r="AL366" s="245" t="str">
        <f>IF(ISNUMBER(SEARCH("R", 'Dry_Litterbag Placem_Collection'!$U73)),"YES","NO")</f>
        <v>NO</v>
      </c>
    </row>
    <row r="367" spans="2:38">
      <c r="B367" t="str">
        <f>Dryseason!B513</f>
        <v>Dry</v>
      </c>
      <c r="C367" s="253">
        <f>Dryseason!C513</f>
        <v>72</v>
      </c>
      <c r="D367" t="s">
        <v>3111</v>
      </c>
      <c r="E367" t="s">
        <v>25</v>
      </c>
      <c r="F367" s="375">
        <v>8</v>
      </c>
      <c r="G367" s="376">
        <f>IF('Dry_Litterbag Placem_Collection'!E74="","",'Dry_Litterbag Placem_Collection'!E74)</f>
        <v>42937</v>
      </c>
      <c r="H367" s="92" t="str">
        <f>Dryseason!L513</f>
        <v>G714</v>
      </c>
      <c r="I367" t="str">
        <f>Dryseason!L733</f>
        <v>R191</v>
      </c>
      <c r="J367">
        <f>IFERROR(INDEX('Green_rooibos initial weight'!$C$5:$C$2000,MATCH(H367, 'Green_rooibos initial weight'!$A$5:$A$2000,0)),"")</f>
        <v>2.0459999999999998</v>
      </c>
      <c r="K367">
        <f>IFERROR(INDEX('Green_rooibos initial weight'!$C$5:$C$2000,MATCH(I367, 'Green_rooibos initial weight'!$A$5:$A$2000,0)),"")</f>
        <v>2.1789999999999998</v>
      </c>
      <c r="L367" s="194">
        <f t="shared" si="56"/>
        <v>1.7961999999999998</v>
      </c>
      <c r="M367" s="233">
        <f>AVERAGE(Ashed_controlls!$K$1:$K$11)</f>
        <v>5.5147656768714146</v>
      </c>
      <c r="N367" s="194">
        <f t="shared" si="52"/>
        <v>1.6971437789120354</v>
      </c>
      <c r="O367" s="194">
        <f t="shared" si="57"/>
        <v>1.9291999999999998</v>
      </c>
      <c r="P367" s="233">
        <f>AVERAGE(Ashed_controlls!$K$12:$K$14)</f>
        <v>2.2816647271287041</v>
      </c>
      <c r="Q367" s="194">
        <f t="shared" si="53"/>
        <v>1.8851821240842328</v>
      </c>
      <c r="R367" s="376">
        <f>IF('Dry_Litterbag Placem_Collection'!G74="","",'Dry_Litterbag Placem_Collection'!G74)</f>
        <v>43006</v>
      </c>
      <c r="S367" s="194">
        <f>IFERROR(INDEX('Both teabags AfterDry'!$D$3:$D$2000,MATCH(H367,'Both teabags AfterDry'!$A$3:$A$2000,0)),"")</f>
        <v>1.8528</v>
      </c>
      <c r="T367" s="194">
        <f>IFERROR(INDEX('Both teabags AfterDry'!$D$3:$D$2000,MATCH(I367,'Both teabags AfterDry'!$A$3:$A$2000,0)),"")</f>
        <v>1.9675</v>
      </c>
      <c r="U367" s="194">
        <f t="shared" si="58"/>
        <v>1.7021999999999999</v>
      </c>
      <c r="V367" s="194">
        <f t="shared" si="59"/>
        <v>1.8169</v>
      </c>
      <c r="W367" s="194">
        <f>IFERROR(INDEX('Ashed teabags dry'!$K$2:$K$2000,MATCH(H367,'Ashed teabags dry'!$A$2:$A$2000,0)),"")</f>
        <v>5.4821341164956561</v>
      </c>
      <c r="X367" s="194">
        <f>IFERROR(INDEX('Ashed teabags dry'!$K$2:$K$2000,MATCH(I367,'Ashed teabags dry'!$A$2:$A$2000,0)),"")</f>
        <v>1.8121125417263937</v>
      </c>
      <c r="Y367" s="194">
        <f t="shared" si="54"/>
        <v>1.6088831130690109</v>
      </c>
      <c r="Z367" s="194">
        <f t="shared" si="54"/>
        <v>1.783975727229373</v>
      </c>
      <c r="AA367" s="194">
        <f t="shared" si="60"/>
        <v>5.2005414591098753E-2</v>
      </c>
      <c r="AB367" s="194">
        <f t="shared" si="61"/>
        <v>3.4093810990839114E-2</v>
      </c>
      <c r="AC367" s="194">
        <f t="shared" si="55"/>
        <v>0.9463147907239875</v>
      </c>
      <c r="AD367">
        <f t="shared" si="62"/>
        <v>69</v>
      </c>
      <c r="AE367" s="194">
        <f t="shared" si="63"/>
        <v>0.93823584965427698</v>
      </c>
      <c r="AF367" s="194" t="str">
        <f t="shared" si="64"/>
        <v/>
      </c>
      <c r="AG367" s="245" t="str">
        <f>IF(ISNUMBER(SEARCH("C", 'Dry_Litterbag Placem_Collection'!$V74)),"YES","NO")</f>
        <v>NO</v>
      </c>
      <c r="AH367" s="245" t="str">
        <f>IF(ISNUMBER(SEARCH("H", 'Dry_Litterbag Placem_Collection'!$V74)),"YES","NO")</f>
        <v>NO</v>
      </c>
      <c r="AI367" s="245" t="str">
        <f>IF(ISNUMBER(SEARCH("R", 'Dry_Litterbag Placem_Collection'!$V74)),"YES","NO")</f>
        <v>NO</v>
      </c>
      <c r="AJ367" s="245" t="str">
        <f>IF(ISNUMBER(SEARCH("C", 'Dry_Litterbag Placem_Collection'!$U74)),"YES","NO")</f>
        <v>NO</v>
      </c>
      <c r="AK367" s="245" t="str">
        <f>IF(ISNUMBER(SEARCH("H", 'Dry_Litterbag Placem_Collection'!$U74)),"YES","NO")</f>
        <v>NO</v>
      </c>
      <c r="AL367" s="245" t="str">
        <f>IF(ISNUMBER(SEARCH("R", 'Dry_Litterbag Placem_Collection'!$U74)),"YES","NO")</f>
        <v>NO</v>
      </c>
    </row>
    <row r="368" spans="2:38">
      <c r="B368" t="str">
        <f>Dryseason!B514</f>
        <v>Dry</v>
      </c>
      <c r="C368" s="253">
        <f>Dryseason!C514</f>
        <v>73</v>
      </c>
      <c r="D368" t="s">
        <v>3113</v>
      </c>
      <c r="E368" t="s">
        <v>25</v>
      </c>
      <c r="F368" s="374">
        <v>1</v>
      </c>
      <c r="G368" s="376">
        <f>IF('Dry_Litterbag Placem_Collection'!E75="","",'Dry_Litterbag Placem_Collection'!E75)</f>
        <v>42937</v>
      </c>
      <c r="H368" s="92" t="str">
        <f>Dryseason!L514</f>
        <v>G726</v>
      </c>
      <c r="I368" t="str">
        <f>Dryseason!L734</f>
        <v>R160</v>
      </c>
      <c r="J368">
        <f>IFERROR(INDEX('Green_rooibos initial weight'!$C$5:$C$2000,MATCH(H368, 'Green_rooibos initial weight'!$A$5:$A$2000,0)),"")</f>
        <v>1.9950000000000001</v>
      </c>
      <c r="K368">
        <f>IFERROR(INDEX('Green_rooibos initial weight'!$C$5:$C$2000,MATCH(I368, 'Green_rooibos initial weight'!$A$5:$A$2000,0)),"")</f>
        <v>2.1880000000000002</v>
      </c>
      <c r="L368" s="194">
        <f t="shared" si="56"/>
        <v>1.7452000000000001</v>
      </c>
      <c r="M368" s="233">
        <f>AVERAGE(Ashed_controlls!$K$1:$K$11)</f>
        <v>5.5147656768714146</v>
      </c>
      <c r="N368" s="194">
        <f t="shared" si="52"/>
        <v>1.6489563094072401</v>
      </c>
      <c r="O368" s="194">
        <f t="shared" si="57"/>
        <v>1.9382000000000001</v>
      </c>
      <c r="P368" s="233">
        <f>AVERAGE(Ashed_controlls!$K$12:$K$14)</f>
        <v>2.2816647271287041</v>
      </c>
      <c r="Q368" s="194">
        <f t="shared" si="53"/>
        <v>1.8939767742587916</v>
      </c>
      <c r="R368" s="376">
        <f>IF('Dry_Litterbag Placem_Collection'!G75="","",'Dry_Litterbag Placem_Collection'!G75)</f>
        <v>43006</v>
      </c>
      <c r="S368" s="194" t="str">
        <f>IFERROR(INDEX('Both teabags AfterDry'!$D$3:$D$2000,MATCH(H368,'Both teabags AfterDry'!$A$3:$A$2000,0)),"")</f>
        <v/>
      </c>
      <c r="T368" s="194" t="str">
        <f>IFERROR(INDEX('Both teabags AfterDry'!$D$3:$D$2000,MATCH(I368,'Both teabags AfterDry'!$A$3:$A$2000,0)),"")</f>
        <v/>
      </c>
      <c r="U368" s="194" t="str">
        <f t="shared" si="58"/>
        <v/>
      </c>
      <c r="V368" s="194" t="str">
        <f t="shared" si="59"/>
        <v/>
      </c>
      <c r="W368" s="194" t="str">
        <f>IFERROR(INDEX('Ashed teabags dry'!$K$2:$K$2000,MATCH(H368,'Ashed teabags dry'!$A$2:$A$2000,0)),"")</f>
        <v/>
      </c>
      <c r="X368" s="194" t="str">
        <f>IFERROR(INDEX('Ashed teabags dry'!$K$2:$K$2000,MATCH(I368,'Ashed teabags dry'!$A$2:$A$2000,0)),"")</f>
        <v/>
      </c>
      <c r="Y368" s="194" t="str">
        <f t="shared" si="54"/>
        <v/>
      </c>
      <c r="Z368" s="194" t="str">
        <f t="shared" si="54"/>
        <v/>
      </c>
      <c r="AA368" s="194" t="str">
        <f t="shared" si="60"/>
        <v/>
      </c>
      <c r="AB368" s="194" t="str">
        <f t="shared" si="61"/>
        <v/>
      </c>
      <c r="AC368" s="194" t="str">
        <f t="shared" si="55"/>
        <v/>
      </c>
      <c r="AD368">
        <f t="shared" si="62"/>
        <v>69</v>
      </c>
      <c r="AE368" s="194" t="str">
        <f t="shared" si="63"/>
        <v/>
      </c>
      <c r="AF368" s="194" t="str">
        <f t="shared" si="64"/>
        <v/>
      </c>
      <c r="AG368" s="245" t="str">
        <f>IF(ISNUMBER(SEARCH("C", 'Dry_Litterbag Placem_Collection'!$V75)),"YES","NO")</f>
        <v>NO</v>
      </c>
      <c r="AH368" s="245" t="str">
        <f>IF(ISNUMBER(SEARCH("H", 'Dry_Litterbag Placem_Collection'!$V75)),"YES","NO")</f>
        <v>NO</v>
      </c>
      <c r="AI368" s="245" t="str">
        <f>IF(ISNUMBER(SEARCH("R", 'Dry_Litterbag Placem_Collection'!$V75)),"YES","NO")</f>
        <v>NO</v>
      </c>
      <c r="AJ368" s="245" t="str">
        <f>IF(ISNUMBER(SEARCH("C", 'Dry_Litterbag Placem_Collection'!$U75)),"YES","NO")</f>
        <v>NO</v>
      </c>
      <c r="AK368" s="245" t="str">
        <f>IF(ISNUMBER(SEARCH("H", 'Dry_Litterbag Placem_Collection'!$U75)),"YES","NO")</f>
        <v>NO</v>
      </c>
      <c r="AL368" s="245" t="str">
        <f>IF(ISNUMBER(SEARCH("R", 'Dry_Litterbag Placem_Collection'!$U75)),"YES","NO")</f>
        <v>NO</v>
      </c>
    </row>
    <row r="369" spans="2:38">
      <c r="B369" t="str">
        <f>Dryseason!B515</f>
        <v>Dry</v>
      </c>
      <c r="C369" s="253">
        <f>Dryseason!C515</f>
        <v>74</v>
      </c>
      <c r="D369" t="s">
        <v>3113</v>
      </c>
      <c r="E369" t="s">
        <v>25</v>
      </c>
      <c r="F369" s="374">
        <v>2</v>
      </c>
      <c r="G369" s="376">
        <f>IF('Dry_Litterbag Placem_Collection'!E76="","",'Dry_Litterbag Placem_Collection'!E76)</f>
        <v>42937</v>
      </c>
      <c r="H369" s="92" t="str">
        <f>Dryseason!L515</f>
        <v>G866</v>
      </c>
      <c r="I369" t="str">
        <f>Dryseason!L735</f>
        <v>R275</v>
      </c>
      <c r="J369">
        <f>IFERROR(INDEX('Green_rooibos initial weight'!$C$5:$C$2000,MATCH(H369, 'Green_rooibos initial weight'!$A$5:$A$2000,0)),"")</f>
        <v>2.0310000000000001</v>
      </c>
      <c r="K369">
        <f>IFERROR(INDEX('Green_rooibos initial weight'!$C$5:$C$2000,MATCH(I369, 'Green_rooibos initial weight'!$A$5:$A$2000,0)),"")</f>
        <v>0.22900000000000001</v>
      </c>
      <c r="L369" s="194">
        <f t="shared" si="56"/>
        <v>1.7812000000000001</v>
      </c>
      <c r="M369" s="233">
        <f>AVERAGE(Ashed_controlls!$K$1:$K$11)</f>
        <v>5.5147656768714146</v>
      </c>
      <c r="N369" s="194">
        <f t="shared" si="52"/>
        <v>1.6829709937635664</v>
      </c>
      <c r="O369" s="194">
        <f t="shared" si="57"/>
        <v>-2.0800000000000013E-2</v>
      </c>
      <c r="P369" s="233">
        <f>AVERAGE(Ashed_controlls!$K$12:$K$14)</f>
        <v>2.2816647271287041</v>
      </c>
      <c r="Q369" s="194">
        <f t="shared" si="53"/>
        <v>-2.0325413736757243E-2</v>
      </c>
      <c r="R369" s="376">
        <f>IF('Dry_Litterbag Placem_Collection'!G76="","",'Dry_Litterbag Placem_Collection'!G76)</f>
        <v>43006</v>
      </c>
      <c r="S369" s="194">
        <f>IFERROR(INDEX('Both teabags AfterDry'!$D$3:$D$2000,MATCH(H369,'Both teabags AfterDry'!$A$3:$A$2000,0)),"")</f>
        <v>1.8541000000000001</v>
      </c>
      <c r="T369" s="194">
        <f>IFERROR(INDEX('Both teabags AfterDry'!$D$3:$D$2000,MATCH(I369,'Both teabags AfterDry'!$A$3:$A$2000,0)),"")</f>
        <v>1.9981</v>
      </c>
      <c r="U369" s="194">
        <f t="shared" si="58"/>
        <v>1.7035</v>
      </c>
      <c r="V369" s="194">
        <f t="shared" si="59"/>
        <v>1.8474999999999999</v>
      </c>
      <c r="W369" s="194">
        <f>IFERROR(INDEX('Ashed teabags dry'!$K$2:$K$2000,MATCH(H369,'Ashed teabags dry'!$A$2:$A$2000,0)),"")</f>
        <v>5.5854973052423755</v>
      </c>
      <c r="X369" s="194">
        <f>IFERROR(INDEX('Ashed teabags dry'!$K$2:$K$2000,MATCH(I369,'Ashed teabags dry'!$A$2:$A$2000,0)),"")</f>
        <v>2.3587223587229587</v>
      </c>
      <c r="Y369" s="194">
        <f t="shared" si="54"/>
        <v>1.6083510534051961</v>
      </c>
      <c r="Z369" s="194">
        <f t="shared" si="54"/>
        <v>1.8039226044225933</v>
      </c>
      <c r="AA369" s="194">
        <f t="shared" si="60"/>
        <v>4.4338221297266944E-2</v>
      </c>
      <c r="AB369" s="194">
        <f t="shared" si="61"/>
        <v>2.9067337477543188E-2</v>
      </c>
      <c r="AC369" s="194">
        <f t="shared" si="55"/>
        <v>-88.752073034573058</v>
      </c>
      <c r="AD369">
        <f t="shared" si="62"/>
        <v>69</v>
      </c>
      <c r="AE369" s="194">
        <f t="shared" si="63"/>
        <v>0.94734177993198698</v>
      </c>
      <c r="AF369" s="194" t="str">
        <f t="shared" si="64"/>
        <v/>
      </c>
      <c r="AG369" s="245" t="str">
        <f>IF(ISNUMBER(SEARCH("C", 'Dry_Litterbag Placem_Collection'!$V76)),"YES","NO")</f>
        <v>NO</v>
      </c>
      <c r="AH369" s="245" t="str">
        <f>IF(ISNUMBER(SEARCH("H", 'Dry_Litterbag Placem_Collection'!$V76)),"YES","NO")</f>
        <v>NO</v>
      </c>
      <c r="AI369" s="245" t="str">
        <f>IF(ISNUMBER(SEARCH("R", 'Dry_Litterbag Placem_Collection'!$V76)),"YES","NO")</f>
        <v>NO</v>
      </c>
      <c r="AJ369" s="245" t="str">
        <f>IF(ISNUMBER(SEARCH("C", 'Dry_Litterbag Placem_Collection'!$U76)),"YES","NO")</f>
        <v>NO</v>
      </c>
      <c r="AK369" s="245" t="str">
        <f>IF(ISNUMBER(SEARCH("H", 'Dry_Litterbag Placem_Collection'!$U76)),"YES","NO")</f>
        <v>NO</v>
      </c>
      <c r="AL369" s="245" t="str">
        <f>IF(ISNUMBER(SEARCH("R", 'Dry_Litterbag Placem_Collection'!$U76)),"YES","NO")</f>
        <v>NO</v>
      </c>
    </row>
    <row r="370" spans="2:38">
      <c r="B370" t="str">
        <f>Dryseason!B516</f>
        <v>Dry</v>
      </c>
      <c r="C370" s="253">
        <f>Dryseason!C516</f>
        <v>75</v>
      </c>
      <c r="D370" t="s">
        <v>3113</v>
      </c>
      <c r="E370" t="s">
        <v>25</v>
      </c>
      <c r="F370" s="374">
        <v>3</v>
      </c>
      <c r="G370" s="376">
        <f>IF('Dry_Litterbag Placem_Collection'!E77="","",'Dry_Litterbag Placem_Collection'!E77)</f>
        <v>42937</v>
      </c>
      <c r="H370" s="92" t="str">
        <f>Dryseason!L516</f>
        <v>G705</v>
      </c>
      <c r="I370" t="str">
        <f>Dryseason!L736</f>
        <v>R657</v>
      </c>
      <c r="J370">
        <f>IFERROR(INDEX('Green_rooibos initial weight'!$C$5:$C$2000,MATCH(H370, 'Green_rooibos initial weight'!$A$5:$A$2000,0)),"")</f>
        <v>1.9830000000000001</v>
      </c>
      <c r="K370">
        <f>IFERROR(INDEX('Green_rooibos initial weight'!$C$5:$C$2000,MATCH(I370, 'Green_rooibos initial weight'!$A$5:$A$2000,0)),"")</f>
        <v>2.2509999999999999</v>
      </c>
      <c r="L370" s="194">
        <f t="shared" si="56"/>
        <v>1.7332000000000001</v>
      </c>
      <c r="M370" s="233">
        <f>AVERAGE(Ashed_controlls!$K$1:$K$11)</f>
        <v>5.5147656768714146</v>
      </c>
      <c r="N370" s="194">
        <f t="shared" si="52"/>
        <v>1.6376180812884646</v>
      </c>
      <c r="O370" s="194">
        <f t="shared" si="57"/>
        <v>2.0011999999999999</v>
      </c>
      <c r="P370" s="233">
        <f>AVERAGE(Ashed_controlls!$K$12:$K$14)</f>
        <v>2.2816647271287041</v>
      </c>
      <c r="Q370" s="194">
        <f t="shared" si="53"/>
        <v>1.9555393254807003</v>
      </c>
      <c r="R370" s="376">
        <f>IF('Dry_Litterbag Placem_Collection'!G77="","",'Dry_Litterbag Placem_Collection'!G77)</f>
        <v>43006</v>
      </c>
      <c r="S370" s="194">
        <f>IFERROR(INDEX('Both teabags AfterDry'!$D$3:$D$2000,MATCH(H370,'Both teabags AfterDry'!$A$3:$A$2000,0)),"")</f>
        <v>1.8152999999999999</v>
      </c>
      <c r="T370" s="194">
        <f>IFERROR(INDEX('Both teabags AfterDry'!$D$3:$D$2000,MATCH(I370,'Both teabags AfterDry'!$A$3:$A$2000,0)),"")</f>
        <v>2.0581999999999998</v>
      </c>
      <c r="U370" s="194">
        <f t="shared" si="58"/>
        <v>1.6646999999999998</v>
      </c>
      <c r="V370" s="194">
        <f t="shared" si="59"/>
        <v>1.9075999999999997</v>
      </c>
      <c r="W370" s="194">
        <f>IFERROR(INDEX('Ashed teabags dry'!$K$2:$K$2000,MATCH(H370,'Ashed teabags dry'!$A$2:$A$2000,0)),"")</f>
        <v>5.8558558558565581</v>
      </c>
      <c r="X370" s="194">
        <f>IFERROR(INDEX('Ashed teabags dry'!$K$2:$K$2000,MATCH(I370,'Ashed teabags dry'!$A$2:$A$2000,0)),"")</f>
        <v>2.5461807289067337</v>
      </c>
      <c r="Y370" s="194">
        <f t="shared" si="54"/>
        <v>1.5672175675675557</v>
      </c>
      <c r="Z370" s="194">
        <f t="shared" si="54"/>
        <v>1.8590290564153749</v>
      </c>
      <c r="AA370" s="194">
        <f t="shared" si="60"/>
        <v>4.2989580125738724E-2</v>
      </c>
      <c r="AB370" s="194">
        <f t="shared" si="61"/>
        <v>2.8183192671505663E-2</v>
      </c>
      <c r="AC370" s="194">
        <f t="shared" si="55"/>
        <v>0.95064774826678478</v>
      </c>
      <c r="AD370">
        <f t="shared" si="62"/>
        <v>69</v>
      </c>
      <c r="AE370" s="194">
        <f t="shared" si="63"/>
        <v>0.94894349153712743</v>
      </c>
      <c r="AF370" s="194" t="str">
        <f t="shared" si="64"/>
        <v/>
      </c>
      <c r="AG370" s="245" t="str">
        <f>IF(ISNUMBER(SEARCH("C", 'Dry_Litterbag Placem_Collection'!$V77)),"YES","NO")</f>
        <v>NO</v>
      </c>
      <c r="AH370" s="245" t="str">
        <f>IF(ISNUMBER(SEARCH("H", 'Dry_Litterbag Placem_Collection'!$V77)),"YES","NO")</f>
        <v>NO</v>
      </c>
      <c r="AI370" s="245" t="str">
        <f>IF(ISNUMBER(SEARCH("R", 'Dry_Litterbag Placem_Collection'!$V77)),"YES","NO")</f>
        <v>NO</v>
      </c>
      <c r="AJ370" s="245" t="str">
        <f>IF(ISNUMBER(SEARCH("C", 'Dry_Litterbag Placem_Collection'!$U77)),"YES","NO")</f>
        <v>NO</v>
      </c>
      <c r="AK370" s="245" t="str">
        <f>IF(ISNUMBER(SEARCH("H", 'Dry_Litterbag Placem_Collection'!$U77)),"YES","NO")</f>
        <v>NO</v>
      </c>
      <c r="AL370" s="245" t="str">
        <f>IF(ISNUMBER(SEARCH("R", 'Dry_Litterbag Placem_Collection'!$U77)),"YES","NO")</f>
        <v>NO</v>
      </c>
    </row>
    <row r="371" spans="2:38">
      <c r="B371" t="str">
        <f>Dryseason!B517</f>
        <v>Dry</v>
      </c>
      <c r="C371" s="253">
        <f>Dryseason!C517</f>
        <v>76</v>
      </c>
      <c r="D371" t="s">
        <v>3113</v>
      </c>
      <c r="E371" t="s">
        <v>25</v>
      </c>
      <c r="F371" s="375">
        <v>4</v>
      </c>
      <c r="G371" s="376">
        <f>IF('Dry_Litterbag Placem_Collection'!E78="","",'Dry_Litterbag Placem_Collection'!E78)</f>
        <v>42937</v>
      </c>
      <c r="H371" s="92" t="str">
        <f>Dryseason!L517</f>
        <v>G601</v>
      </c>
      <c r="I371" t="str">
        <f>Dryseason!L737</f>
        <v>R306</v>
      </c>
      <c r="J371">
        <f>IFERROR(INDEX('Green_rooibos initial weight'!$C$5:$C$2000,MATCH(H371, 'Green_rooibos initial weight'!$A$5:$A$2000,0)),"")</f>
        <v>2.0099999999999998</v>
      </c>
      <c r="K371">
        <f>IFERROR(INDEX('Green_rooibos initial weight'!$C$5:$C$2000,MATCH(I371, 'Green_rooibos initial weight'!$A$5:$A$2000,0)),"")</f>
        <v>2.2440000000000002</v>
      </c>
      <c r="L371" s="194">
        <f t="shared" si="56"/>
        <v>1.7601999999999998</v>
      </c>
      <c r="M371" s="233">
        <f>AVERAGE(Ashed_controlls!$K$1:$K$11)</f>
        <v>5.5147656768714146</v>
      </c>
      <c r="N371" s="194">
        <f t="shared" si="52"/>
        <v>1.6631290945557091</v>
      </c>
      <c r="O371" s="194">
        <f t="shared" si="57"/>
        <v>1.9942000000000002</v>
      </c>
      <c r="P371" s="233">
        <f>AVERAGE(Ashed_controlls!$K$12:$K$14)</f>
        <v>2.2816647271287041</v>
      </c>
      <c r="Q371" s="194">
        <f t="shared" si="53"/>
        <v>1.9486990420115995</v>
      </c>
      <c r="R371" s="376">
        <f>IF('Dry_Litterbag Placem_Collection'!G78="","",'Dry_Litterbag Placem_Collection'!G78)</f>
        <v>43006</v>
      </c>
      <c r="S371" s="194">
        <f>IFERROR(INDEX('Both teabags AfterDry'!$D$3:$D$2000,MATCH(H371,'Both teabags AfterDry'!$A$3:$A$2000,0)),"")</f>
        <v>1.8379000000000001</v>
      </c>
      <c r="T371" s="194">
        <f>IFERROR(INDEX('Both teabags AfterDry'!$D$3:$D$2000,MATCH(I371,'Both teabags AfterDry'!$A$3:$A$2000,0)),"")</f>
        <v>2.0337999999999998</v>
      </c>
      <c r="U371" s="194">
        <f t="shared" si="58"/>
        <v>1.6873</v>
      </c>
      <c r="V371" s="194">
        <f t="shared" si="59"/>
        <v>1.8831999999999998</v>
      </c>
      <c r="W371" s="194">
        <f>IFERROR(INDEX('Ashed teabags dry'!$K$2:$K$2000,MATCH(H371,'Ashed teabags dry'!$A$2:$A$2000,0)),"")</f>
        <v>5.9833251593918666</v>
      </c>
      <c r="X371" s="194">
        <f>IFERROR(INDEX('Ashed teabags dry'!$K$2:$K$2000,MATCH(I371,'Ashed teabags dry'!$A$2:$A$2000,0)),"")</f>
        <v>3.2818532818523578</v>
      </c>
      <c r="Y371" s="194">
        <f t="shared" si="54"/>
        <v>1.586343354585581</v>
      </c>
      <c r="Z371" s="194">
        <f t="shared" si="54"/>
        <v>1.8213961389961562</v>
      </c>
      <c r="AA371" s="194">
        <f t="shared" si="60"/>
        <v>4.6169440617380819E-2</v>
      </c>
      <c r="AB371" s="194">
        <f t="shared" si="61"/>
        <v>3.0267851806168932E-2</v>
      </c>
      <c r="AC371" s="194">
        <f t="shared" si="55"/>
        <v>0.93467287648274755</v>
      </c>
      <c r="AD371">
        <f t="shared" si="62"/>
        <v>69</v>
      </c>
      <c r="AE371" s="194">
        <f t="shared" si="63"/>
        <v>0.94516693513375194</v>
      </c>
      <c r="AF371" s="194" t="str">
        <f t="shared" si="64"/>
        <v/>
      </c>
      <c r="AG371" s="245" t="str">
        <f>IF(ISNUMBER(SEARCH("C", 'Dry_Litterbag Placem_Collection'!$V78)),"YES","NO")</f>
        <v>NO</v>
      </c>
      <c r="AH371" s="245" t="str">
        <f>IF(ISNUMBER(SEARCH("H", 'Dry_Litterbag Placem_Collection'!$V78)),"YES","NO")</f>
        <v>NO</v>
      </c>
      <c r="AI371" s="245" t="str">
        <f>IF(ISNUMBER(SEARCH("R", 'Dry_Litterbag Placem_Collection'!$V78)),"YES","NO")</f>
        <v>NO</v>
      </c>
      <c r="AJ371" s="245" t="str">
        <f>IF(ISNUMBER(SEARCH("C", 'Dry_Litterbag Placem_Collection'!$U78)),"YES","NO")</f>
        <v>NO</v>
      </c>
      <c r="AK371" s="245" t="str">
        <f>IF(ISNUMBER(SEARCH("H", 'Dry_Litterbag Placem_Collection'!$U78)),"YES","NO")</f>
        <v>NO</v>
      </c>
      <c r="AL371" s="245" t="str">
        <f>IF(ISNUMBER(SEARCH("R", 'Dry_Litterbag Placem_Collection'!$U78)),"YES","NO")</f>
        <v>NO</v>
      </c>
    </row>
    <row r="372" spans="2:38">
      <c r="B372" t="str">
        <f>Dryseason!B518</f>
        <v>Dry</v>
      </c>
      <c r="C372" s="253">
        <f>Dryseason!C518</f>
        <v>77</v>
      </c>
      <c r="D372" t="s">
        <v>3113</v>
      </c>
      <c r="E372" t="s">
        <v>25</v>
      </c>
      <c r="F372" s="375">
        <v>5</v>
      </c>
      <c r="G372" s="376" t="str">
        <f>IF('Dry_Litterbag Placem_Collection'!E79="","",'Dry_Litterbag Placem_Collection'!E79)</f>
        <v/>
      </c>
      <c r="H372" s="92" t="str">
        <f>Dryseason!L518</f>
        <v/>
      </c>
      <c r="I372" t="str">
        <f>Dryseason!L738</f>
        <v/>
      </c>
      <c r="J372" t="str">
        <f>IFERROR(INDEX('Green_rooibos initial weight'!$C$5:$C$2000,MATCH(H372, 'Green_rooibos initial weight'!$A$5:$A$2000,0)),"")</f>
        <v/>
      </c>
      <c r="K372" t="str">
        <f>IFERROR(INDEX('Green_rooibos initial weight'!$C$5:$C$2000,MATCH(I372, 'Green_rooibos initial weight'!$A$5:$A$2000,0)),"")</f>
        <v/>
      </c>
      <c r="L372" s="194" t="str">
        <f t="shared" si="56"/>
        <v/>
      </c>
      <c r="M372" s="233">
        <f>AVERAGE(Ashed_controlls!$K$1:$K$11)</f>
        <v>5.5147656768714146</v>
      </c>
      <c r="N372" s="194" t="str">
        <f t="shared" si="52"/>
        <v/>
      </c>
      <c r="O372" s="194" t="str">
        <f t="shared" si="57"/>
        <v/>
      </c>
      <c r="P372" s="233">
        <f>AVERAGE(Ashed_controlls!$K$12:$K$14)</f>
        <v>2.2816647271287041</v>
      </c>
      <c r="Q372" s="194" t="str">
        <f t="shared" si="53"/>
        <v/>
      </c>
      <c r="R372" s="376" t="str">
        <f>IF('Dry_Litterbag Placem_Collection'!G79="","",'Dry_Litterbag Placem_Collection'!G79)</f>
        <v/>
      </c>
      <c r="S372" s="194" t="str">
        <f>IFERROR(INDEX('Both teabags AfterDry'!$D$3:$D$2000,MATCH(H372,'Both teabags AfterDry'!$A$3:$A$2000,0)),"")</f>
        <v/>
      </c>
      <c r="T372" s="194" t="str">
        <f>IFERROR(INDEX('Both teabags AfterDry'!$D$3:$D$2000,MATCH(I372,'Both teabags AfterDry'!$A$3:$A$2000,0)),"")</f>
        <v/>
      </c>
      <c r="U372" s="194" t="str">
        <f t="shared" si="58"/>
        <v/>
      </c>
      <c r="V372" s="194" t="str">
        <f t="shared" si="59"/>
        <v/>
      </c>
      <c r="W372" s="194" t="str">
        <f>IFERROR(INDEX('Ashed teabags dry'!$K$2:$K$2000,MATCH(H372,'Ashed teabags dry'!$A$2:$A$2000,0)),"")</f>
        <v/>
      </c>
      <c r="X372" s="194" t="str">
        <f>IFERROR(INDEX('Ashed teabags dry'!$K$2:$K$2000,MATCH(I372,'Ashed teabags dry'!$A$2:$A$2000,0)),"")</f>
        <v/>
      </c>
      <c r="Y372" s="194" t="str">
        <f t="shared" si="54"/>
        <v/>
      </c>
      <c r="Z372" s="194" t="str">
        <f t="shared" si="54"/>
        <v/>
      </c>
      <c r="AA372" s="194" t="str">
        <f t="shared" si="60"/>
        <v/>
      </c>
      <c r="AB372" s="194" t="str">
        <f t="shared" si="61"/>
        <v/>
      </c>
      <c r="AC372" s="194" t="str">
        <f t="shared" si="55"/>
        <v/>
      </c>
      <c r="AD372" t="str">
        <f t="shared" si="62"/>
        <v/>
      </c>
      <c r="AE372" s="194" t="str">
        <f t="shared" si="63"/>
        <v/>
      </c>
      <c r="AF372" s="194" t="str">
        <f t="shared" si="64"/>
        <v/>
      </c>
      <c r="AG372" s="245" t="str">
        <f>IF(ISNUMBER(SEARCH("C", 'Dry_Litterbag Placem_Collection'!$V79)),"YES","NO")</f>
        <v>NO</v>
      </c>
      <c r="AH372" s="245" t="str">
        <f>IF(ISNUMBER(SEARCH("H", 'Dry_Litterbag Placem_Collection'!$V79)),"YES","NO")</f>
        <v>NO</v>
      </c>
      <c r="AI372" s="245" t="str">
        <f>IF(ISNUMBER(SEARCH("R", 'Dry_Litterbag Placem_Collection'!$V79)),"YES","NO")</f>
        <v>NO</v>
      </c>
      <c r="AJ372" s="245" t="str">
        <f>IF(ISNUMBER(SEARCH("C", 'Dry_Litterbag Placem_Collection'!$U79)),"YES","NO")</f>
        <v>NO</v>
      </c>
      <c r="AK372" s="245" t="str">
        <f>IF(ISNUMBER(SEARCH("H", 'Dry_Litterbag Placem_Collection'!$U79)),"YES","NO")</f>
        <v>NO</v>
      </c>
      <c r="AL372" s="245" t="str">
        <f>IF(ISNUMBER(SEARCH("R", 'Dry_Litterbag Placem_Collection'!$U79)),"YES","NO")</f>
        <v>NO</v>
      </c>
    </row>
    <row r="373" spans="2:38">
      <c r="B373" t="str">
        <f>Dryseason!B519</f>
        <v>Dry</v>
      </c>
      <c r="C373" s="253">
        <f>Dryseason!C519</f>
        <v>78</v>
      </c>
      <c r="D373" t="s">
        <v>3113</v>
      </c>
      <c r="E373" t="s">
        <v>25</v>
      </c>
      <c r="F373" s="375">
        <v>6</v>
      </c>
      <c r="G373" s="376">
        <f>IF('Dry_Litterbag Placem_Collection'!E80="","",'Dry_Litterbag Placem_Collection'!E80)</f>
        <v>42937</v>
      </c>
      <c r="H373" s="92" t="str">
        <f>Dryseason!L519</f>
        <v>G157</v>
      </c>
      <c r="I373" t="str">
        <f>Dryseason!L739</f>
        <v>R377</v>
      </c>
      <c r="J373">
        <f>IFERROR(INDEX('Green_rooibos initial weight'!$C$5:$C$2000,MATCH(H373, 'Green_rooibos initial weight'!$A$5:$A$2000,0)),"")</f>
        <v>1.994</v>
      </c>
      <c r="K373">
        <f>IFERROR(INDEX('Green_rooibos initial weight'!$C$5:$C$2000,MATCH(I373, 'Green_rooibos initial weight'!$A$5:$A$2000,0)),"")</f>
        <v>2.2309999999999999</v>
      </c>
      <c r="L373" s="194">
        <f t="shared" si="56"/>
        <v>1.7442</v>
      </c>
      <c r="M373" s="233">
        <f>AVERAGE(Ashed_controlls!$K$1:$K$11)</f>
        <v>5.5147656768714146</v>
      </c>
      <c r="N373" s="194">
        <f t="shared" si="52"/>
        <v>1.6480114570640088</v>
      </c>
      <c r="O373" s="194">
        <f t="shared" si="57"/>
        <v>1.9811999999999999</v>
      </c>
      <c r="P373" s="233">
        <f>AVERAGE(Ashed_controlls!$K$12:$K$14)</f>
        <v>2.2816647271287041</v>
      </c>
      <c r="Q373" s="194">
        <f t="shared" si="53"/>
        <v>1.935995658426126</v>
      </c>
      <c r="R373" s="376">
        <f>IF('Dry_Litterbag Placem_Collection'!G80="","",'Dry_Litterbag Placem_Collection'!G80)</f>
        <v>43006</v>
      </c>
      <c r="S373" s="194">
        <f>IFERROR(INDEX('Both teabags AfterDry'!$D$3:$D$2000,MATCH(H373,'Both teabags AfterDry'!$A$3:$A$2000,0)),"")</f>
        <v>1.8103</v>
      </c>
      <c r="T373" s="194">
        <f>IFERROR(INDEX('Both teabags AfterDry'!$D$3:$D$2000,MATCH(I373,'Both teabags AfterDry'!$A$3:$A$2000,0)),"")</f>
        <v>1.9925999999999999</v>
      </c>
      <c r="U373" s="194">
        <f t="shared" si="58"/>
        <v>1.6597</v>
      </c>
      <c r="V373" s="194">
        <f t="shared" si="59"/>
        <v>1.8419999999999999</v>
      </c>
      <c r="W373" s="194">
        <f>IFERROR(INDEX('Ashed teabags dry'!$K$2:$K$2000,MATCH(H373,'Ashed teabags dry'!$A$2:$A$2000,0)),"")</f>
        <v>6.3027295285366076</v>
      </c>
      <c r="X373" s="194">
        <f>IFERROR(INDEX('Ashed teabags dry'!$K$2:$K$2000,MATCH(I373,'Ashed teabags dry'!$A$2:$A$2000,0)),"")</f>
        <v>2.2244191794369352</v>
      </c>
      <c r="Y373" s="194">
        <f t="shared" si="54"/>
        <v>1.5550935980148779</v>
      </c>
      <c r="Z373" s="194">
        <f t="shared" si="54"/>
        <v>1.8010261987147715</v>
      </c>
      <c r="AA373" s="194">
        <f t="shared" si="60"/>
        <v>5.6381804052908269E-2</v>
      </c>
      <c r="AB373" s="194">
        <f t="shared" si="61"/>
        <v>3.6962892918296172E-2</v>
      </c>
      <c r="AC373" s="194">
        <f t="shared" si="55"/>
        <v>0.93028421364277325</v>
      </c>
      <c r="AD373">
        <f t="shared" si="62"/>
        <v>69</v>
      </c>
      <c r="AE373" s="194">
        <f t="shared" si="63"/>
        <v>0.93303823746685477</v>
      </c>
      <c r="AF373" s="194" t="str">
        <f t="shared" si="64"/>
        <v/>
      </c>
      <c r="AG373" s="245" t="str">
        <f>IF(ISNUMBER(SEARCH("C", 'Dry_Litterbag Placem_Collection'!$V80)),"YES","NO")</f>
        <v>NO</v>
      </c>
      <c r="AH373" s="245" t="str">
        <f>IF(ISNUMBER(SEARCH("H", 'Dry_Litterbag Placem_Collection'!$V80)),"YES","NO")</f>
        <v>NO</v>
      </c>
      <c r="AI373" s="245" t="str">
        <f>IF(ISNUMBER(SEARCH("R", 'Dry_Litterbag Placem_Collection'!$V80)),"YES","NO")</f>
        <v>NO</v>
      </c>
      <c r="AJ373" s="245" t="str">
        <f>IF(ISNUMBER(SEARCH("C", 'Dry_Litterbag Placem_Collection'!$U80)),"YES","NO")</f>
        <v>NO</v>
      </c>
      <c r="AK373" s="245" t="str">
        <f>IF(ISNUMBER(SEARCH("H", 'Dry_Litterbag Placem_Collection'!$U80)),"YES","NO")</f>
        <v>NO</v>
      </c>
      <c r="AL373" s="245" t="str">
        <f>IF(ISNUMBER(SEARCH("R", 'Dry_Litterbag Placem_Collection'!$U80)),"YES","NO")</f>
        <v>NO</v>
      </c>
    </row>
    <row r="374" spans="2:38">
      <c r="B374" t="str">
        <f>Dryseason!B520</f>
        <v>Dry</v>
      </c>
      <c r="C374" s="253">
        <f>Dryseason!C520</f>
        <v>79</v>
      </c>
      <c r="D374" t="s">
        <v>3113</v>
      </c>
      <c r="E374" t="s">
        <v>25</v>
      </c>
      <c r="F374" s="375">
        <v>7</v>
      </c>
      <c r="G374" s="376">
        <f>IF('Dry_Litterbag Placem_Collection'!E81="","",'Dry_Litterbag Placem_Collection'!E81)</f>
        <v>42937</v>
      </c>
      <c r="H374" s="92" t="str">
        <f>Dryseason!L520</f>
        <v>G226</v>
      </c>
      <c r="I374" t="str">
        <f>Dryseason!L740</f>
        <v>R61</v>
      </c>
      <c r="J374">
        <f>IFERROR(INDEX('Green_rooibos initial weight'!$C$5:$C$2000,MATCH(H374, 'Green_rooibos initial weight'!$A$5:$A$2000,0)),"")</f>
        <v>1.929</v>
      </c>
      <c r="K374">
        <f>IFERROR(INDEX('Green_rooibos initial weight'!$C$5:$C$2000,MATCH(I374, 'Green_rooibos initial weight'!$A$5:$A$2000,0)),"")</f>
        <v>2.2450000000000001</v>
      </c>
      <c r="L374" s="194">
        <f t="shared" si="56"/>
        <v>1.6792</v>
      </c>
      <c r="M374" s="233">
        <f>AVERAGE(Ashed_controlls!$K$1:$K$11)</f>
        <v>5.5147656768714146</v>
      </c>
      <c r="N374" s="194">
        <f t="shared" si="52"/>
        <v>1.5865960547539752</v>
      </c>
      <c r="O374" s="194">
        <f t="shared" si="57"/>
        <v>1.9952000000000001</v>
      </c>
      <c r="P374" s="233">
        <f>AVERAGE(Ashed_controlls!$K$12:$K$14)</f>
        <v>2.2816647271287041</v>
      </c>
      <c r="Q374" s="194">
        <f t="shared" si="53"/>
        <v>1.9496762253643283</v>
      </c>
      <c r="R374" s="376">
        <f>IF('Dry_Litterbag Placem_Collection'!G81="","",'Dry_Litterbag Placem_Collection'!G81)</f>
        <v>43006</v>
      </c>
      <c r="S374" s="194">
        <f>IFERROR(INDEX('Both teabags AfterDry'!$D$3:$D$2000,MATCH(H374,'Both teabags AfterDry'!$A$3:$A$2000,0)),"")</f>
        <v>1.7826</v>
      </c>
      <c r="T374" s="194">
        <f>IFERROR(INDEX('Both teabags AfterDry'!$D$3:$D$2000,MATCH(I374,'Both teabags AfterDry'!$A$3:$A$2000,0)),"")</f>
        <v>1.9782999999999999</v>
      </c>
      <c r="U374" s="194">
        <f t="shared" si="58"/>
        <v>1.6319999999999999</v>
      </c>
      <c r="V374" s="194">
        <f t="shared" si="59"/>
        <v>1.8276999999999999</v>
      </c>
      <c r="W374" s="194">
        <f>IFERROR(INDEX('Ashed teabags dry'!$K$2:$K$2000,MATCH(H374,'Ashed teabags dry'!$A$2:$A$2000,0)),"")</f>
        <v>5.6047197640117146</v>
      </c>
      <c r="X374" s="194">
        <f>IFERROR(INDEX('Ashed teabags dry'!$K$2:$K$2000,MATCH(I374,'Ashed teabags dry'!$A$2:$A$2000,0)),"")</f>
        <v>2.8766455387618852</v>
      </c>
      <c r="Y374" s="194">
        <f t="shared" si="54"/>
        <v>1.5405309734513288</v>
      </c>
      <c r="Z374" s="194">
        <f t="shared" si="54"/>
        <v>1.7751235494880488</v>
      </c>
      <c r="AA374" s="194">
        <f t="shared" si="60"/>
        <v>2.9033906371202622E-2</v>
      </c>
      <c r="AB374" s="194">
        <f t="shared" si="61"/>
        <v>1.9034104889434526E-2</v>
      </c>
      <c r="AC374" s="194">
        <f t="shared" si="55"/>
        <v>0.91047094199260625</v>
      </c>
      <c r="AD374">
        <f t="shared" si="62"/>
        <v>69</v>
      </c>
      <c r="AE374" s="194">
        <f t="shared" si="63"/>
        <v>0.96551792592493746</v>
      </c>
      <c r="AF374" s="194" t="str">
        <f t="shared" si="64"/>
        <v/>
      </c>
      <c r="AG374" s="245" t="str">
        <f>IF(ISNUMBER(SEARCH("C", 'Dry_Litterbag Placem_Collection'!$V81)),"YES","NO")</f>
        <v>NO</v>
      </c>
      <c r="AH374" s="245" t="str">
        <f>IF(ISNUMBER(SEARCH("H", 'Dry_Litterbag Placem_Collection'!$V81)),"YES","NO")</f>
        <v>NO</v>
      </c>
      <c r="AI374" s="245" t="str">
        <f>IF(ISNUMBER(SEARCH("R", 'Dry_Litterbag Placem_Collection'!$V81)),"YES","NO")</f>
        <v>NO</v>
      </c>
      <c r="AJ374" s="245" t="str">
        <f>IF(ISNUMBER(SEARCH("C", 'Dry_Litterbag Placem_Collection'!$U81)),"YES","NO")</f>
        <v>NO</v>
      </c>
      <c r="AK374" s="245" t="str">
        <f>IF(ISNUMBER(SEARCH("H", 'Dry_Litterbag Placem_Collection'!$U81)),"YES","NO")</f>
        <v>NO</v>
      </c>
      <c r="AL374" s="245" t="str">
        <f>IF(ISNUMBER(SEARCH("R", 'Dry_Litterbag Placem_Collection'!$U81)),"YES","NO")</f>
        <v>NO</v>
      </c>
    </row>
    <row r="375" spans="2:38">
      <c r="B375" t="str">
        <f>Dryseason!B521</f>
        <v>Dry</v>
      </c>
      <c r="C375" s="253">
        <f>Dryseason!C521</f>
        <v>80</v>
      </c>
      <c r="D375" t="s">
        <v>3113</v>
      </c>
      <c r="E375" t="s">
        <v>25</v>
      </c>
      <c r="F375" s="375">
        <v>8</v>
      </c>
      <c r="G375" s="376">
        <f>IF('Dry_Litterbag Placem_Collection'!E82="","",'Dry_Litterbag Placem_Collection'!E82)</f>
        <v>42937</v>
      </c>
      <c r="H375" s="92" t="str">
        <f>Dryseason!L521</f>
        <v>G855</v>
      </c>
      <c r="I375" t="str">
        <f>Dryseason!L741</f>
        <v>R620</v>
      </c>
      <c r="J375">
        <f>IFERROR(INDEX('Green_rooibos initial weight'!$C$5:$C$2000,MATCH(H375, 'Green_rooibos initial weight'!$A$5:$A$2000,0)),"")</f>
        <v>1.9570000000000001</v>
      </c>
      <c r="K375">
        <f>IFERROR(INDEX('Green_rooibos initial weight'!$C$5:$C$2000,MATCH(I375, 'Green_rooibos initial weight'!$A$5:$A$2000,0)),"")</f>
        <v>2.1800000000000002</v>
      </c>
      <c r="L375" s="194">
        <f t="shared" si="56"/>
        <v>1.7072000000000001</v>
      </c>
      <c r="M375" s="233">
        <f>AVERAGE(Ashed_controlls!$K$1:$K$11)</f>
        <v>5.5147656768714146</v>
      </c>
      <c r="N375" s="194">
        <f t="shared" si="52"/>
        <v>1.6130519203644513</v>
      </c>
      <c r="O375" s="194">
        <f t="shared" si="57"/>
        <v>1.9302000000000001</v>
      </c>
      <c r="P375" s="233">
        <f>AVERAGE(Ashed_controlls!$K$12:$K$14)</f>
        <v>2.2816647271287041</v>
      </c>
      <c r="Q375" s="194">
        <f t="shared" si="53"/>
        <v>1.8861593074369618</v>
      </c>
      <c r="R375" s="376">
        <f>IF('Dry_Litterbag Placem_Collection'!G82="","",'Dry_Litterbag Placem_Collection'!G82)</f>
        <v>43006</v>
      </c>
      <c r="S375" s="194">
        <f>IFERROR(INDEX('Both teabags AfterDry'!$D$3:$D$2000,MATCH(H375,'Both teabags AfterDry'!$A$3:$A$2000,0)),"")</f>
        <v>1.7664</v>
      </c>
      <c r="T375" s="194">
        <f>IFERROR(INDEX('Both teabags AfterDry'!$D$3:$D$2000,MATCH(I375,'Both teabags AfterDry'!$A$3:$A$2000,0)),"")</f>
        <v>2.0047999999999999</v>
      </c>
      <c r="U375" s="194">
        <f t="shared" si="58"/>
        <v>1.6157999999999999</v>
      </c>
      <c r="V375" s="194">
        <f t="shared" si="59"/>
        <v>1.8541999999999998</v>
      </c>
      <c r="W375" s="194">
        <f>IFERROR(INDEX('Ashed teabags dry'!$K$2:$K$2000,MATCH(H375,'Ashed teabags dry'!$A$2:$A$2000,0)),"")</f>
        <v>6.0306475531388282</v>
      </c>
      <c r="X375" s="194">
        <f>IFERROR(INDEX('Ashed teabags dry'!$K$2:$K$2000,MATCH(I375,'Ashed teabags dry'!$A$2:$A$2000,0)),"")</f>
        <v>3.2972440944880175</v>
      </c>
      <c r="Y375" s="194">
        <f t="shared" si="54"/>
        <v>1.5183567968363827</v>
      </c>
      <c r="Z375" s="194">
        <f t="shared" si="54"/>
        <v>1.7930625000000031</v>
      </c>
      <c r="AA375" s="194">
        <f t="shared" si="60"/>
        <v>5.8705564484665351E-2</v>
      </c>
      <c r="AB375" s="194">
        <f t="shared" si="61"/>
        <v>3.8486308308236662E-2</v>
      </c>
      <c r="AC375" s="194">
        <f t="shared" si="55"/>
        <v>0.95064212918289237</v>
      </c>
      <c r="AD375">
        <f t="shared" si="62"/>
        <v>69</v>
      </c>
      <c r="AE375" s="194">
        <f t="shared" si="63"/>
        <v>0.93027842697783214</v>
      </c>
      <c r="AF375" s="194" t="str">
        <f t="shared" si="64"/>
        <v/>
      </c>
      <c r="AG375" s="245" t="str">
        <f>IF(ISNUMBER(SEARCH("C", 'Dry_Litterbag Placem_Collection'!$V82)),"YES","NO")</f>
        <v>NO</v>
      </c>
      <c r="AH375" s="245" t="str">
        <f>IF(ISNUMBER(SEARCH("H", 'Dry_Litterbag Placem_Collection'!$V82)),"YES","NO")</f>
        <v>NO</v>
      </c>
      <c r="AI375" s="245" t="str">
        <f>IF(ISNUMBER(SEARCH("R", 'Dry_Litterbag Placem_Collection'!$V82)),"YES","NO")</f>
        <v>NO</v>
      </c>
      <c r="AJ375" s="245" t="str">
        <f>IF(ISNUMBER(SEARCH("C", 'Dry_Litterbag Placem_Collection'!$U82)),"YES","NO")</f>
        <v>NO</v>
      </c>
      <c r="AK375" s="245" t="str">
        <f>IF(ISNUMBER(SEARCH("H", 'Dry_Litterbag Placem_Collection'!$U82)),"YES","NO")</f>
        <v>NO</v>
      </c>
      <c r="AL375" s="245" t="str">
        <f>IF(ISNUMBER(SEARCH("R", 'Dry_Litterbag Placem_Collection'!$U82)),"YES","NO")</f>
        <v>NO</v>
      </c>
    </row>
    <row r="376" spans="2:38">
      <c r="B376" t="str">
        <f>Dryseason!B522</f>
        <v>Dry</v>
      </c>
      <c r="C376" s="253">
        <f>Dryseason!C522</f>
        <v>81</v>
      </c>
      <c r="D376" t="s">
        <v>3114</v>
      </c>
      <c r="E376" t="s">
        <v>25</v>
      </c>
      <c r="F376" s="374">
        <v>1</v>
      </c>
      <c r="G376" s="376">
        <f>IF('Dry_Litterbag Placem_Collection'!E83="","",'Dry_Litterbag Placem_Collection'!E83)</f>
        <v>42937</v>
      </c>
      <c r="H376" s="92" t="str">
        <f>Dryseason!L522</f>
        <v>G413</v>
      </c>
      <c r="I376" t="str">
        <f>Dryseason!L742</f>
        <v>R366</v>
      </c>
      <c r="J376">
        <f>IFERROR(INDEX('Green_rooibos initial weight'!$C$5:$C$2000,MATCH(H376, 'Green_rooibos initial weight'!$A$5:$A$2000,0)),"")</f>
        <v>2.1589999999999998</v>
      </c>
      <c r="K376">
        <f>IFERROR(INDEX('Green_rooibos initial weight'!$C$5:$C$2000,MATCH(I376, 'Green_rooibos initial weight'!$A$5:$A$2000,0)),"")</f>
        <v>2.2330000000000001</v>
      </c>
      <c r="L376" s="194">
        <f t="shared" si="56"/>
        <v>1.9091999999999998</v>
      </c>
      <c r="M376" s="233">
        <f>AVERAGE(Ashed_controlls!$K$1:$K$11)</f>
        <v>5.5147656768714146</v>
      </c>
      <c r="N376" s="194">
        <f t="shared" si="52"/>
        <v>1.8039120936971709</v>
      </c>
      <c r="O376" s="194">
        <f t="shared" si="57"/>
        <v>1.9832000000000001</v>
      </c>
      <c r="P376" s="233">
        <f>AVERAGE(Ashed_controlls!$K$12:$K$14)</f>
        <v>2.2816647271287041</v>
      </c>
      <c r="Q376" s="194">
        <f t="shared" si="53"/>
        <v>1.9379500251315835</v>
      </c>
      <c r="R376" s="376">
        <f>IF('Dry_Litterbag Placem_Collection'!G83="","",'Dry_Litterbag Placem_Collection'!G83)</f>
        <v>43006</v>
      </c>
      <c r="S376" s="194">
        <f>IFERROR(INDEX('Both teabags AfterDry'!$D$3:$D$2000,MATCH(H376,'Both teabags AfterDry'!$A$3:$A$2000,0)),"")</f>
        <v>1.9466000000000001</v>
      </c>
      <c r="T376" s="194">
        <f>IFERROR(INDEX('Both teabags AfterDry'!$D$3:$D$2000,MATCH(I376,'Both teabags AfterDry'!$A$3:$A$2000,0)),"")</f>
        <v>1.9832000000000001</v>
      </c>
      <c r="U376" s="194">
        <f t="shared" si="58"/>
        <v>1.796</v>
      </c>
      <c r="V376" s="194">
        <f t="shared" si="59"/>
        <v>1.8326</v>
      </c>
      <c r="W376" s="194">
        <f>IFERROR(INDEX('Ashed teabags dry'!$K$2:$K$2000,MATCH(H376,'Ashed teabags dry'!$A$2:$A$2000,0)),"")</f>
        <v>5.3246753246752787</v>
      </c>
      <c r="X376" s="194">
        <f>IFERROR(INDEX('Ashed teabags dry'!$K$2:$K$2000,MATCH(I376,'Ashed teabags dry'!$A$2:$A$2000,0)),"")</f>
        <v>3.3302497687320054</v>
      </c>
      <c r="Y376" s="194">
        <f t="shared" si="54"/>
        <v>1.7003688311688321</v>
      </c>
      <c r="Z376" s="194">
        <f t="shared" si="54"/>
        <v>1.7715698427382174</v>
      </c>
      <c r="AA376" s="194">
        <f t="shared" si="60"/>
        <v>5.7399283972936699E-2</v>
      </c>
      <c r="AB376" s="194">
        <f t="shared" si="61"/>
        <v>3.7629934386058245E-2</v>
      </c>
      <c r="AC376" s="194">
        <f t="shared" si="55"/>
        <v>0.91414629880248366</v>
      </c>
      <c r="AD376">
        <f t="shared" si="62"/>
        <v>69</v>
      </c>
      <c r="AE376" s="194">
        <f t="shared" si="63"/>
        <v>0.93182982901076405</v>
      </c>
      <c r="AF376" s="194" t="str">
        <f t="shared" si="64"/>
        <v/>
      </c>
      <c r="AG376" s="245" t="str">
        <f>IF(ISNUMBER(SEARCH("C", 'Dry_Litterbag Placem_Collection'!$V83)),"YES","NO")</f>
        <v>NO</v>
      </c>
      <c r="AH376" s="245" t="str">
        <f>IF(ISNUMBER(SEARCH("H", 'Dry_Litterbag Placem_Collection'!$V83)),"YES","NO")</f>
        <v>NO</v>
      </c>
      <c r="AI376" s="245" t="str">
        <f>IF(ISNUMBER(SEARCH("R", 'Dry_Litterbag Placem_Collection'!$V83)),"YES","NO")</f>
        <v>NO</v>
      </c>
      <c r="AJ376" s="245" t="str">
        <f>IF(ISNUMBER(SEARCH("C", 'Dry_Litterbag Placem_Collection'!$U83)),"YES","NO")</f>
        <v>NO</v>
      </c>
      <c r="AK376" s="245" t="str">
        <f>IF(ISNUMBER(SEARCH("H", 'Dry_Litterbag Placem_Collection'!$U83)),"YES","NO")</f>
        <v>NO</v>
      </c>
      <c r="AL376" s="245" t="str">
        <f>IF(ISNUMBER(SEARCH("R", 'Dry_Litterbag Placem_Collection'!$U83)),"YES","NO")</f>
        <v>NO</v>
      </c>
    </row>
    <row r="377" spans="2:38">
      <c r="B377" t="str">
        <f>Dryseason!B523</f>
        <v>Dry</v>
      </c>
      <c r="C377" s="253">
        <f>Dryseason!C523</f>
        <v>82</v>
      </c>
      <c r="D377" t="s">
        <v>3114</v>
      </c>
      <c r="E377" t="s">
        <v>25</v>
      </c>
      <c r="F377" s="374">
        <v>2</v>
      </c>
      <c r="G377" s="376">
        <f>IF('Dry_Litterbag Placem_Collection'!E84="","",'Dry_Litterbag Placem_Collection'!E84)</f>
        <v>42937</v>
      </c>
      <c r="H377" s="92" t="str">
        <f>Dryseason!L523</f>
        <v>G370</v>
      </c>
      <c r="I377" t="str">
        <f>Dryseason!L743</f>
        <v>R610</v>
      </c>
      <c r="J377">
        <f>IFERROR(INDEX('Green_rooibos initial weight'!$C$5:$C$2000,MATCH(H377, 'Green_rooibos initial weight'!$A$5:$A$2000,0)),"")</f>
        <v>2.0619999999999998</v>
      </c>
      <c r="K377">
        <f>IFERROR(INDEX('Green_rooibos initial weight'!$C$5:$C$2000,MATCH(I377, 'Green_rooibos initial weight'!$A$5:$A$2000,0)),"")</f>
        <v>2.1230000000000002</v>
      </c>
      <c r="L377" s="194">
        <f t="shared" si="56"/>
        <v>1.8121999999999998</v>
      </c>
      <c r="M377" s="233">
        <f>AVERAGE(Ashed_controlls!$K$1:$K$11)</f>
        <v>5.5147656768714146</v>
      </c>
      <c r="N377" s="194">
        <f t="shared" si="52"/>
        <v>1.712261416403736</v>
      </c>
      <c r="O377" s="194">
        <f t="shared" si="57"/>
        <v>1.8732000000000002</v>
      </c>
      <c r="P377" s="233">
        <f>AVERAGE(Ashed_controlls!$K$12:$K$14)</f>
        <v>2.2816647271287041</v>
      </c>
      <c r="Q377" s="194">
        <f t="shared" si="53"/>
        <v>1.8304598563314254</v>
      </c>
      <c r="R377" s="376">
        <f>IF('Dry_Litterbag Placem_Collection'!G84="","",'Dry_Litterbag Placem_Collection'!G84)</f>
        <v>43006</v>
      </c>
      <c r="S377" s="194">
        <f>IFERROR(INDEX('Both teabags AfterDry'!$D$3:$D$2000,MATCH(H377,'Both teabags AfterDry'!$A$3:$A$2000,0)),"")</f>
        <v>1.8433999999999999</v>
      </c>
      <c r="T377" s="194">
        <f>IFERROR(INDEX('Both teabags AfterDry'!$D$3:$D$2000,MATCH(I377,'Both teabags AfterDry'!$A$3:$A$2000,0)),"")</f>
        <v>1.9097999999999999</v>
      </c>
      <c r="U377" s="194">
        <f t="shared" si="58"/>
        <v>1.6927999999999999</v>
      </c>
      <c r="V377" s="194">
        <f t="shared" si="59"/>
        <v>1.7591999999999999</v>
      </c>
      <c r="W377" s="194">
        <f>IFERROR(INDEX('Ashed teabags dry'!$K$2:$K$2000,MATCH(H377,'Ashed teabags dry'!$A$2:$A$2000,0)),"")</f>
        <v>5.4829185997469585</v>
      </c>
      <c r="X377" s="194">
        <f>IFERROR(INDEX('Ashed teabags dry'!$K$2:$K$2000,MATCH(I377,'Ashed teabags dry'!$A$2:$A$2000,0)),"")</f>
        <v>2.8992628992631118</v>
      </c>
      <c r="Y377" s="194">
        <f t="shared" si="54"/>
        <v>1.5999851539434833</v>
      </c>
      <c r="Z377" s="194">
        <f t="shared" si="54"/>
        <v>1.7081961670761632</v>
      </c>
      <c r="AA377" s="194">
        <f t="shared" si="60"/>
        <v>6.5571916405186892E-2</v>
      </c>
      <c r="AB377" s="194">
        <f t="shared" si="61"/>
        <v>4.298776467418431E-2</v>
      </c>
      <c r="AC377" s="194">
        <f t="shared" si="55"/>
        <v>0.93320602534256014</v>
      </c>
      <c r="AD377">
        <f t="shared" si="62"/>
        <v>69</v>
      </c>
      <c r="AE377" s="194">
        <f t="shared" si="63"/>
        <v>0.92212361472068061</v>
      </c>
      <c r="AF377" s="194" t="str">
        <f t="shared" si="64"/>
        <v/>
      </c>
      <c r="AG377" s="245" t="str">
        <f>IF(ISNUMBER(SEARCH("C", 'Dry_Litterbag Placem_Collection'!$V84)),"YES","NO")</f>
        <v>NO</v>
      </c>
      <c r="AH377" s="245" t="str">
        <f>IF(ISNUMBER(SEARCH("H", 'Dry_Litterbag Placem_Collection'!$V84)),"YES","NO")</f>
        <v>NO</v>
      </c>
      <c r="AI377" s="245" t="str">
        <f>IF(ISNUMBER(SEARCH("R", 'Dry_Litterbag Placem_Collection'!$V84)),"YES","NO")</f>
        <v>NO</v>
      </c>
      <c r="AJ377" s="245" t="str">
        <f>IF(ISNUMBER(SEARCH("C", 'Dry_Litterbag Placem_Collection'!$U84)),"YES","NO")</f>
        <v>NO</v>
      </c>
      <c r="AK377" s="245" t="str">
        <f>IF(ISNUMBER(SEARCH("H", 'Dry_Litterbag Placem_Collection'!$U84)),"YES","NO")</f>
        <v>NO</v>
      </c>
      <c r="AL377" s="245" t="str">
        <f>IF(ISNUMBER(SEARCH("R", 'Dry_Litterbag Placem_Collection'!$U84)),"YES","NO")</f>
        <v>NO</v>
      </c>
    </row>
    <row r="378" spans="2:38">
      <c r="B378" t="str">
        <f>Dryseason!B524</f>
        <v>Dry</v>
      </c>
      <c r="C378" s="253">
        <f>Dryseason!C524</f>
        <v>83</v>
      </c>
      <c r="D378" t="s">
        <v>3114</v>
      </c>
      <c r="E378" t="s">
        <v>25</v>
      </c>
      <c r="F378" s="374">
        <v>3</v>
      </c>
      <c r="G378" s="376">
        <f>IF('Dry_Litterbag Placem_Collection'!E85="","",'Dry_Litterbag Placem_Collection'!E85)</f>
        <v>42937</v>
      </c>
      <c r="H378" s="92" t="str">
        <f>Dryseason!L524</f>
        <v>G879</v>
      </c>
      <c r="I378" t="str">
        <f>Dryseason!L744</f>
        <v>R614</v>
      </c>
      <c r="J378">
        <f>IFERROR(INDEX('Green_rooibos initial weight'!$C$5:$C$2000,MATCH(H378, 'Green_rooibos initial weight'!$A$5:$A$2000,0)),"")</f>
        <v>2.09</v>
      </c>
      <c r="K378">
        <f>IFERROR(INDEX('Green_rooibos initial weight'!$C$5:$C$2000,MATCH(I378, 'Green_rooibos initial weight'!$A$5:$A$2000,0)),"")</f>
        <v>2.1459999999999999</v>
      </c>
      <c r="L378" s="194">
        <f t="shared" si="56"/>
        <v>1.8401999999999998</v>
      </c>
      <c r="M378" s="233">
        <f>AVERAGE(Ashed_controlls!$K$1:$K$11)</f>
        <v>5.5147656768714146</v>
      </c>
      <c r="N378" s="194">
        <f t="shared" si="52"/>
        <v>1.7387172820142121</v>
      </c>
      <c r="O378" s="194">
        <f t="shared" si="57"/>
        <v>1.8961999999999999</v>
      </c>
      <c r="P378" s="233">
        <f>AVERAGE(Ashed_controlls!$K$12:$K$14)</f>
        <v>2.2816647271287041</v>
      </c>
      <c r="Q378" s="194">
        <f t="shared" si="53"/>
        <v>1.8529350734441854</v>
      </c>
      <c r="R378" s="376">
        <f>IF('Dry_Litterbag Placem_Collection'!G85="","",'Dry_Litterbag Placem_Collection'!G85)</f>
        <v>43006</v>
      </c>
      <c r="S378" s="194">
        <f>IFERROR(INDEX('Both teabags AfterDry'!$D$3:$D$2000,MATCH(H378,'Both teabags AfterDry'!$A$3:$A$2000,0)),"")</f>
        <v>1.8814</v>
      </c>
      <c r="T378" s="194">
        <f>IFERROR(INDEX('Both teabags AfterDry'!$D$3:$D$2000,MATCH(I378,'Both teabags AfterDry'!$A$3:$A$2000,0)),"")</f>
        <v>1.9262999999999999</v>
      </c>
      <c r="U378" s="194">
        <f t="shared" si="58"/>
        <v>1.7307999999999999</v>
      </c>
      <c r="V378" s="194">
        <f t="shared" si="59"/>
        <v>1.7756999999999998</v>
      </c>
      <c r="W378" s="194">
        <f>IFERROR(INDEX('Ashed teabags dry'!$K$2:$K$2000,MATCH(H378,'Ashed teabags dry'!$A$2:$A$2000,0)),"")</f>
        <v>6.0018903591673709</v>
      </c>
      <c r="X378" s="194">
        <f>IFERROR(INDEX('Ashed teabags dry'!$K$2:$K$2000,MATCH(I378,'Ashed teabags dry'!$A$2:$A$2000,0)),"")</f>
        <v>2.629063097514555</v>
      </c>
      <c r="Y378" s="194">
        <f t="shared" si="54"/>
        <v>1.6269192816635309</v>
      </c>
      <c r="Z378" s="194">
        <f t="shared" si="54"/>
        <v>1.729015726577434</v>
      </c>
      <c r="AA378" s="194">
        <f t="shared" si="60"/>
        <v>6.4299125284571268E-2</v>
      </c>
      <c r="AB378" s="194">
        <f t="shared" si="61"/>
        <v>4.215334579226053E-2</v>
      </c>
      <c r="AC378" s="194">
        <f t="shared" si="55"/>
        <v>0.93312267189350917</v>
      </c>
      <c r="AD378">
        <f t="shared" si="62"/>
        <v>69</v>
      </c>
      <c r="AE378" s="194">
        <f t="shared" si="63"/>
        <v>0.92363524312996281</v>
      </c>
      <c r="AF378" s="194" t="str">
        <f t="shared" si="64"/>
        <v/>
      </c>
      <c r="AG378" s="245" t="str">
        <f>IF(ISNUMBER(SEARCH("C", 'Dry_Litterbag Placem_Collection'!$V85)),"YES","NO")</f>
        <v>NO</v>
      </c>
      <c r="AH378" s="245" t="str">
        <f>IF(ISNUMBER(SEARCH("H", 'Dry_Litterbag Placem_Collection'!$V85)),"YES","NO")</f>
        <v>NO</v>
      </c>
      <c r="AI378" s="245" t="str">
        <f>IF(ISNUMBER(SEARCH("R", 'Dry_Litterbag Placem_Collection'!$V85)),"YES","NO")</f>
        <v>NO</v>
      </c>
      <c r="AJ378" s="245" t="str">
        <f>IF(ISNUMBER(SEARCH("C", 'Dry_Litterbag Placem_Collection'!$U85)),"YES","NO")</f>
        <v>NO</v>
      </c>
      <c r="AK378" s="245" t="str">
        <f>IF(ISNUMBER(SEARCH("H", 'Dry_Litterbag Placem_Collection'!$U85)),"YES","NO")</f>
        <v>NO</v>
      </c>
      <c r="AL378" s="245" t="str">
        <f>IF(ISNUMBER(SEARCH("R", 'Dry_Litterbag Placem_Collection'!$U85)),"YES","NO")</f>
        <v>NO</v>
      </c>
    </row>
    <row r="379" spans="2:38">
      <c r="B379" t="str">
        <f>Dryseason!B525</f>
        <v>Dry</v>
      </c>
      <c r="C379" s="253">
        <f>Dryseason!C525</f>
        <v>84</v>
      </c>
      <c r="D379" t="s">
        <v>3114</v>
      </c>
      <c r="E379" t="s">
        <v>25</v>
      </c>
      <c r="F379" s="375">
        <v>4</v>
      </c>
      <c r="G379" s="376">
        <f>IF('Dry_Litterbag Placem_Collection'!E86="","",'Dry_Litterbag Placem_Collection'!E86)</f>
        <v>42937</v>
      </c>
      <c r="H379" s="92" t="str">
        <f>Dryseason!L525</f>
        <v>G854</v>
      </c>
      <c r="I379" t="str">
        <f>Dryseason!L745</f>
        <v>R720</v>
      </c>
      <c r="J379">
        <f>IFERROR(INDEX('Green_rooibos initial weight'!$C$5:$C$2000,MATCH(H379, 'Green_rooibos initial weight'!$A$5:$A$2000,0)),"")</f>
        <v>1.998</v>
      </c>
      <c r="K379">
        <f>IFERROR(INDEX('Green_rooibos initial weight'!$C$5:$C$2000,MATCH(I379, 'Green_rooibos initial weight'!$A$5:$A$2000,0)),"")</f>
        <v>2.2080000000000002</v>
      </c>
      <c r="L379" s="194">
        <f t="shared" si="56"/>
        <v>1.7482</v>
      </c>
      <c r="M379" s="233">
        <f>AVERAGE(Ashed_controlls!$K$1:$K$11)</f>
        <v>5.5147656768714146</v>
      </c>
      <c r="N379" s="194">
        <f t="shared" si="52"/>
        <v>1.6517908664369338</v>
      </c>
      <c r="O379" s="194">
        <f t="shared" si="57"/>
        <v>1.9582000000000002</v>
      </c>
      <c r="P379" s="233">
        <f>AVERAGE(Ashed_controlls!$K$12:$K$14)</f>
        <v>2.2816647271287041</v>
      </c>
      <c r="Q379" s="194">
        <f t="shared" si="53"/>
        <v>1.913520441313366</v>
      </c>
      <c r="R379" s="376">
        <f>IF('Dry_Litterbag Placem_Collection'!G86="","",'Dry_Litterbag Placem_Collection'!G86)</f>
        <v>43006</v>
      </c>
      <c r="S379" s="194">
        <f>IFERROR(INDEX('Both teabags AfterDry'!$D$3:$D$2000,MATCH(H379,'Both teabags AfterDry'!$A$3:$A$2000,0)),"")</f>
        <v>1.8062</v>
      </c>
      <c r="T379" s="194">
        <f>IFERROR(INDEX('Both teabags AfterDry'!$D$3:$D$2000,MATCH(I379,'Both teabags AfterDry'!$A$3:$A$2000,0)),"")</f>
        <v>1.9978</v>
      </c>
      <c r="U379" s="194">
        <f t="shared" si="58"/>
        <v>1.6556</v>
      </c>
      <c r="V379" s="194">
        <f t="shared" si="59"/>
        <v>1.8472</v>
      </c>
      <c r="W379" s="194">
        <f>IFERROR(INDEX('Ashed teabags dry'!$K$2:$K$2000,MATCH(H379,'Ashed teabags dry'!$A$2:$A$2000,0)),"")</f>
        <v>6.7607003891055024</v>
      </c>
      <c r="X379" s="194">
        <f>IFERROR(INDEX('Ashed teabags dry'!$K$2:$K$2000,MATCH(I379,'Ashed teabags dry'!$A$2:$A$2000,0)),"")</f>
        <v>2.5841053144808623</v>
      </c>
      <c r="Y379" s="194">
        <f t="shared" si="54"/>
        <v>1.5436698443579693</v>
      </c>
      <c r="Z379" s="194">
        <f t="shared" si="54"/>
        <v>1.7994664066309094</v>
      </c>
      <c r="AA379" s="194">
        <f t="shared" si="60"/>
        <v>6.5456847035479493E-2</v>
      </c>
      <c r="AB379" s="194">
        <f t="shared" si="61"/>
        <v>4.2912327272665869E-2</v>
      </c>
      <c r="AC379" s="194">
        <f t="shared" si="55"/>
        <v>0.94039570614454771</v>
      </c>
      <c r="AD379">
        <f t="shared" si="62"/>
        <v>69</v>
      </c>
      <c r="AE379" s="194">
        <f t="shared" si="63"/>
        <v>0.92226027667995314</v>
      </c>
      <c r="AF379" s="194" t="str">
        <f t="shared" si="64"/>
        <v/>
      </c>
      <c r="AG379" s="245" t="str">
        <f>IF(ISNUMBER(SEARCH("C", 'Dry_Litterbag Placem_Collection'!$V86)),"YES","NO")</f>
        <v>NO</v>
      </c>
      <c r="AH379" s="245" t="str">
        <f>IF(ISNUMBER(SEARCH("H", 'Dry_Litterbag Placem_Collection'!$V86)),"YES","NO")</f>
        <v>NO</v>
      </c>
      <c r="AI379" s="245" t="str">
        <f>IF(ISNUMBER(SEARCH("R", 'Dry_Litterbag Placem_Collection'!$V86)),"YES","NO")</f>
        <v>NO</v>
      </c>
      <c r="AJ379" s="245" t="str">
        <f>IF(ISNUMBER(SEARCH("C", 'Dry_Litterbag Placem_Collection'!$U86)),"YES","NO")</f>
        <v>NO</v>
      </c>
      <c r="AK379" s="245" t="str">
        <f>IF(ISNUMBER(SEARCH("H", 'Dry_Litterbag Placem_Collection'!$U86)),"YES","NO")</f>
        <v>NO</v>
      </c>
      <c r="AL379" s="245" t="str">
        <f>IF(ISNUMBER(SEARCH("R", 'Dry_Litterbag Placem_Collection'!$U86)),"YES","NO")</f>
        <v>NO</v>
      </c>
    </row>
    <row r="380" spans="2:38">
      <c r="B380" t="str">
        <f>Dryseason!B526</f>
        <v>Dry</v>
      </c>
      <c r="C380" s="253">
        <f>Dryseason!C526</f>
        <v>85</v>
      </c>
      <c r="D380" t="s">
        <v>3114</v>
      </c>
      <c r="E380" t="s">
        <v>25</v>
      </c>
      <c r="F380" s="375">
        <v>5</v>
      </c>
      <c r="G380" s="376" t="str">
        <f>IF('Dry_Litterbag Placem_Collection'!E87="","",'Dry_Litterbag Placem_Collection'!E87)</f>
        <v/>
      </c>
      <c r="H380" s="92" t="str">
        <f>Dryseason!L526</f>
        <v/>
      </c>
      <c r="I380" t="str">
        <f>Dryseason!L746</f>
        <v/>
      </c>
      <c r="J380" t="str">
        <f>IFERROR(INDEX('Green_rooibos initial weight'!$C$5:$C$2000,MATCH(H380, 'Green_rooibos initial weight'!$A$5:$A$2000,0)),"")</f>
        <v/>
      </c>
      <c r="K380" t="str">
        <f>IFERROR(INDEX('Green_rooibos initial weight'!$C$5:$C$2000,MATCH(I380, 'Green_rooibos initial weight'!$A$5:$A$2000,0)),"")</f>
        <v/>
      </c>
      <c r="L380" s="194" t="str">
        <f t="shared" si="56"/>
        <v/>
      </c>
      <c r="M380" s="233">
        <f>AVERAGE(Ashed_controlls!$K$1:$K$11)</f>
        <v>5.5147656768714146</v>
      </c>
      <c r="N380" s="194" t="str">
        <f t="shared" si="52"/>
        <v/>
      </c>
      <c r="O380" s="194" t="str">
        <f t="shared" si="57"/>
        <v/>
      </c>
      <c r="P380" s="233">
        <f>AVERAGE(Ashed_controlls!$K$12:$K$14)</f>
        <v>2.2816647271287041</v>
      </c>
      <c r="Q380" s="194" t="str">
        <f t="shared" si="53"/>
        <v/>
      </c>
      <c r="R380" s="376" t="str">
        <f>IF('Dry_Litterbag Placem_Collection'!G87="","",'Dry_Litterbag Placem_Collection'!G87)</f>
        <v/>
      </c>
      <c r="S380" s="194" t="str">
        <f>IFERROR(INDEX('Both teabags AfterDry'!$D$3:$D$2000,MATCH(H380,'Both teabags AfterDry'!$A$3:$A$2000,0)),"")</f>
        <v/>
      </c>
      <c r="T380" s="194" t="str">
        <f>IFERROR(INDEX('Both teabags AfterDry'!$D$3:$D$2000,MATCH(I380,'Both teabags AfterDry'!$A$3:$A$2000,0)),"")</f>
        <v/>
      </c>
      <c r="U380" s="194" t="str">
        <f t="shared" si="58"/>
        <v/>
      </c>
      <c r="V380" s="194" t="str">
        <f t="shared" si="59"/>
        <v/>
      </c>
      <c r="W380" s="194" t="str">
        <f>IFERROR(INDEX('Ashed teabags dry'!$K$2:$K$2000,MATCH(H380,'Ashed teabags dry'!$A$2:$A$2000,0)),"")</f>
        <v/>
      </c>
      <c r="X380" s="194" t="str">
        <f>IFERROR(INDEX('Ashed teabags dry'!$K$2:$K$2000,MATCH(I380,'Ashed teabags dry'!$A$2:$A$2000,0)),"")</f>
        <v/>
      </c>
      <c r="Y380" s="194" t="str">
        <f t="shared" si="54"/>
        <v/>
      </c>
      <c r="Z380" s="194" t="str">
        <f t="shared" si="54"/>
        <v/>
      </c>
      <c r="AA380" s="194" t="str">
        <f t="shared" si="60"/>
        <v/>
      </c>
      <c r="AB380" s="194" t="str">
        <f t="shared" si="61"/>
        <v/>
      </c>
      <c r="AC380" s="194" t="str">
        <f t="shared" si="55"/>
        <v/>
      </c>
      <c r="AD380" t="str">
        <f t="shared" si="62"/>
        <v/>
      </c>
      <c r="AE380" s="194" t="str">
        <f t="shared" si="63"/>
        <v/>
      </c>
      <c r="AF380" s="194" t="str">
        <f t="shared" si="64"/>
        <v/>
      </c>
      <c r="AG380" s="245" t="str">
        <f>IF(ISNUMBER(SEARCH("C", 'Dry_Litterbag Placem_Collection'!$V87)),"YES","NO")</f>
        <v>NO</v>
      </c>
      <c r="AH380" s="245" t="str">
        <f>IF(ISNUMBER(SEARCH("H", 'Dry_Litterbag Placem_Collection'!$V87)),"YES","NO")</f>
        <v>NO</v>
      </c>
      <c r="AI380" s="245" t="str">
        <f>IF(ISNUMBER(SEARCH("R", 'Dry_Litterbag Placem_Collection'!$V87)),"YES","NO")</f>
        <v>NO</v>
      </c>
      <c r="AJ380" s="245" t="str">
        <f>IF(ISNUMBER(SEARCH("C", 'Dry_Litterbag Placem_Collection'!$U87)),"YES","NO")</f>
        <v>NO</v>
      </c>
      <c r="AK380" s="245" t="str">
        <f>IF(ISNUMBER(SEARCH("H", 'Dry_Litterbag Placem_Collection'!$U87)),"YES","NO")</f>
        <v>NO</v>
      </c>
      <c r="AL380" s="245" t="str">
        <f>IF(ISNUMBER(SEARCH("R", 'Dry_Litterbag Placem_Collection'!$U87)),"YES","NO")</f>
        <v>NO</v>
      </c>
    </row>
    <row r="381" spans="2:38">
      <c r="B381" t="str">
        <f>Dryseason!B527</f>
        <v>Dry</v>
      </c>
      <c r="C381" s="253">
        <f>Dryseason!C527</f>
        <v>86</v>
      </c>
      <c r="D381" t="s">
        <v>3114</v>
      </c>
      <c r="E381" t="s">
        <v>25</v>
      </c>
      <c r="F381" s="375">
        <v>6</v>
      </c>
      <c r="G381" s="376">
        <f>IF('Dry_Litterbag Placem_Collection'!E88="","",'Dry_Litterbag Placem_Collection'!E88)</f>
        <v>42937</v>
      </c>
      <c r="H381" s="92" t="str">
        <f>Dryseason!L527</f>
        <v>G788</v>
      </c>
      <c r="I381" t="str">
        <f>Dryseason!L747</f>
        <v>R643</v>
      </c>
      <c r="J381">
        <f>IFERROR(INDEX('Green_rooibos initial weight'!$C$5:$C$2000,MATCH(H381, 'Green_rooibos initial weight'!$A$5:$A$2000,0)),"")</f>
        <v>2.0699999999999998</v>
      </c>
      <c r="K381">
        <f>IFERROR(INDEX('Green_rooibos initial weight'!$C$5:$C$2000,MATCH(I381, 'Green_rooibos initial weight'!$A$5:$A$2000,0)),"")</f>
        <v>2.1930000000000001</v>
      </c>
      <c r="L381" s="194">
        <f t="shared" si="56"/>
        <v>1.8201999999999998</v>
      </c>
      <c r="M381" s="233">
        <f>AVERAGE(Ashed_controlls!$K$1:$K$11)</f>
        <v>5.5147656768714146</v>
      </c>
      <c r="N381" s="194">
        <f t="shared" si="52"/>
        <v>1.7198202351495864</v>
      </c>
      <c r="O381" s="194">
        <f t="shared" si="57"/>
        <v>1.9432</v>
      </c>
      <c r="P381" s="233">
        <f>AVERAGE(Ashed_controlls!$K$12:$K$14)</f>
        <v>2.2816647271287041</v>
      </c>
      <c r="Q381" s="194">
        <f t="shared" si="53"/>
        <v>1.8988626910224351</v>
      </c>
      <c r="R381" s="376">
        <f>IF('Dry_Litterbag Placem_Collection'!G88="","",'Dry_Litterbag Placem_Collection'!G88)</f>
        <v>43006</v>
      </c>
      <c r="S381" s="194" t="str">
        <f>IFERROR(INDEX('Both teabags AfterDry'!$D$3:$D$2000,MATCH(H381,'Both teabags AfterDry'!$A$3:$A$2000,0)),"")</f>
        <v/>
      </c>
      <c r="T381" s="194" t="str">
        <f>IFERROR(INDEX('Both teabags AfterDry'!$D$3:$D$2000,MATCH(I381,'Both teabags AfterDry'!$A$3:$A$2000,0)),"")</f>
        <v/>
      </c>
      <c r="U381" s="194" t="str">
        <f t="shared" si="58"/>
        <v/>
      </c>
      <c r="V381" s="194" t="str">
        <f t="shared" si="59"/>
        <v/>
      </c>
      <c r="W381" s="194" t="str">
        <f>IFERROR(INDEX('Ashed teabags dry'!$K$2:$K$2000,MATCH(H381,'Ashed teabags dry'!$A$2:$A$2000,0)),"")</f>
        <v/>
      </c>
      <c r="X381" s="194" t="str">
        <f>IFERROR(INDEX('Ashed teabags dry'!$K$2:$K$2000,MATCH(I381,'Ashed teabags dry'!$A$2:$A$2000,0)),"")</f>
        <v/>
      </c>
      <c r="Y381" s="194" t="str">
        <f t="shared" si="54"/>
        <v/>
      </c>
      <c r="Z381" s="194" t="str">
        <f t="shared" si="54"/>
        <v/>
      </c>
      <c r="AA381" s="194" t="str">
        <f t="shared" si="60"/>
        <v/>
      </c>
      <c r="AB381" s="194" t="str">
        <f t="shared" si="61"/>
        <v/>
      </c>
      <c r="AC381" s="194" t="str">
        <f t="shared" si="55"/>
        <v/>
      </c>
      <c r="AD381">
        <f t="shared" si="62"/>
        <v>69</v>
      </c>
      <c r="AE381" s="194" t="str">
        <f t="shared" si="63"/>
        <v/>
      </c>
      <c r="AF381" s="194" t="str">
        <f t="shared" si="64"/>
        <v/>
      </c>
      <c r="AG381" s="245" t="str">
        <f>IF(ISNUMBER(SEARCH("C", 'Dry_Litterbag Placem_Collection'!$V88)),"YES","NO")</f>
        <v>NO</v>
      </c>
      <c r="AH381" s="245" t="str">
        <f>IF(ISNUMBER(SEARCH("H", 'Dry_Litterbag Placem_Collection'!$V88)),"YES","NO")</f>
        <v>NO</v>
      </c>
      <c r="AI381" s="245" t="str">
        <f>IF(ISNUMBER(SEARCH("R", 'Dry_Litterbag Placem_Collection'!$V88)),"YES","NO")</f>
        <v>NO</v>
      </c>
      <c r="AJ381" s="245" t="str">
        <f>IF(ISNUMBER(SEARCH("C", 'Dry_Litterbag Placem_Collection'!$U88)),"YES","NO")</f>
        <v>NO</v>
      </c>
      <c r="AK381" s="245" t="str">
        <f>IF(ISNUMBER(SEARCH("H", 'Dry_Litterbag Placem_Collection'!$U88)),"YES","NO")</f>
        <v>NO</v>
      </c>
      <c r="AL381" s="245" t="str">
        <f>IF(ISNUMBER(SEARCH("R", 'Dry_Litterbag Placem_Collection'!$U88)),"YES","NO")</f>
        <v>NO</v>
      </c>
    </row>
    <row r="382" spans="2:38">
      <c r="B382" t="str">
        <f>Dryseason!B528</f>
        <v>Dry</v>
      </c>
      <c r="C382" s="253">
        <f>Dryseason!C528</f>
        <v>87</v>
      </c>
      <c r="D382" t="s">
        <v>3114</v>
      </c>
      <c r="E382" t="s">
        <v>25</v>
      </c>
      <c r="F382" s="375">
        <v>7</v>
      </c>
      <c r="G382" s="376">
        <f>IF('Dry_Litterbag Placem_Collection'!E89="","",'Dry_Litterbag Placem_Collection'!E89)</f>
        <v>42937</v>
      </c>
      <c r="H382" s="92" t="str">
        <f>Dryseason!L528</f>
        <v>G91</v>
      </c>
      <c r="I382" t="str">
        <f>Dryseason!L748</f>
        <v>R277</v>
      </c>
      <c r="J382">
        <f>IFERROR(INDEX('Green_rooibos initial weight'!$C$5:$C$2000,MATCH(H382, 'Green_rooibos initial weight'!$A$5:$A$2000,0)),"")</f>
        <v>2.044</v>
      </c>
      <c r="K382">
        <f>IFERROR(INDEX('Green_rooibos initial weight'!$C$5:$C$2000,MATCH(I382, 'Green_rooibos initial weight'!$A$5:$A$2000,0)),"")</f>
        <v>2.1949999999999998</v>
      </c>
      <c r="L382" s="194">
        <f t="shared" si="56"/>
        <v>1.7942</v>
      </c>
      <c r="M382" s="233">
        <f>AVERAGE(Ashed_controlls!$K$1:$K$11)</f>
        <v>5.5147656768714146</v>
      </c>
      <c r="N382" s="194">
        <f t="shared" si="52"/>
        <v>1.6952540742255731</v>
      </c>
      <c r="O382" s="194">
        <f t="shared" si="57"/>
        <v>1.9451999999999998</v>
      </c>
      <c r="P382" s="233">
        <f>AVERAGE(Ashed_controlls!$K$12:$K$14)</f>
        <v>2.2816647271287041</v>
      </c>
      <c r="Q382" s="194">
        <f t="shared" si="53"/>
        <v>1.9008170577278922</v>
      </c>
      <c r="R382" s="376">
        <f>IF('Dry_Litterbag Placem_Collection'!G89="","",'Dry_Litterbag Placem_Collection'!G89)</f>
        <v>43006</v>
      </c>
      <c r="S382" s="194">
        <f>IFERROR(INDEX('Both teabags AfterDry'!$D$3:$D$2000,MATCH(H382,'Both teabags AfterDry'!$A$3:$A$2000,0)),"")</f>
        <v>1.8609</v>
      </c>
      <c r="T382" s="194">
        <f>IFERROR(INDEX('Both teabags AfterDry'!$D$3:$D$2000,MATCH(I382,'Both teabags AfterDry'!$A$3:$A$2000,0)),"")</f>
        <v>1.9473</v>
      </c>
      <c r="U382" s="194">
        <f t="shared" si="58"/>
        <v>1.7102999999999999</v>
      </c>
      <c r="V382" s="194">
        <f t="shared" si="59"/>
        <v>1.7967</v>
      </c>
      <c r="W382" s="194">
        <f>IFERROR(INDEX('Ashed teabags dry'!$K$2:$K$2000,MATCH(H382,'Ashed teabags dry'!$A$2:$A$2000,0)),"")</f>
        <v>5.6727613689638741</v>
      </c>
      <c r="X382" s="194">
        <f>IFERROR(INDEX('Ashed teabags dry'!$K$2:$K$2000,MATCH(I382,'Ashed teabags dry'!$A$2:$A$2000,0)),"")</f>
        <v>2.1385402138541729</v>
      </c>
      <c r="Y382" s="194">
        <f t="shared" si="54"/>
        <v>1.6132787623066107</v>
      </c>
      <c r="Z382" s="194">
        <f t="shared" si="54"/>
        <v>1.758276847977682</v>
      </c>
      <c r="AA382" s="194">
        <f t="shared" si="60"/>
        <v>4.8355767530840699E-2</v>
      </c>
      <c r="AB382" s="194">
        <f t="shared" si="61"/>
        <v>3.1701168262498913E-2</v>
      </c>
      <c r="AC382" s="194">
        <f t="shared" si="55"/>
        <v>0.92501108448564051</v>
      </c>
      <c r="AD382">
        <f t="shared" si="62"/>
        <v>69</v>
      </c>
      <c r="AE382" s="194">
        <f t="shared" si="63"/>
        <v>0.94257034735054546</v>
      </c>
      <c r="AF382" s="194" t="str">
        <f t="shared" si="64"/>
        <v/>
      </c>
      <c r="AG382" s="245" t="str">
        <f>IF(ISNUMBER(SEARCH("C", 'Dry_Litterbag Placem_Collection'!$V89)),"YES","NO")</f>
        <v>NO</v>
      </c>
      <c r="AH382" s="245" t="str">
        <f>IF(ISNUMBER(SEARCH("H", 'Dry_Litterbag Placem_Collection'!$V89)),"YES","NO")</f>
        <v>NO</v>
      </c>
      <c r="AI382" s="245" t="str">
        <f>IF(ISNUMBER(SEARCH("R", 'Dry_Litterbag Placem_Collection'!$V89)),"YES","NO")</f>
        <v>NO</v>
      </c>
      <c r="AJ382" s="245" t="str">
        <f>IF(ISNUMBER(SEARCH("C", 'Dry_Litterbag Placem_Collection'!$U89)),"YES","NO")</f>
        <v>NO</v>
      </c>
      <c r="AK382" s="245" t="str">
        <f>IF(ISNUMBER(SEARCH("H", 'Dry_Litterbag Placem_Collection'!$U89)),"YES","NO")</f>
        <v>NO</v>
      </c>
      <c r="AL382" s="245" t="str">
        <f>IF(ISNUMBER(SEARCH("R", 'Dry_Litterbag Placem_Collection'!$U89)),"YES","NO")</f>
        <v>NO</v>
      </c>
    </row>
    <row r="383" spans="2:38">
      <c r="B383" t="str">
        <f>Dryseason!B529</f>
        <v>Dry</v>
      </c>
      <c r="C383" s="253">
        <f>Dryseason!C529</f>
        <v>88</v>
      </c>
      <c r="D383" t="s">
        <v>3114</v>
      </c>
      <c r="E383" t="s">
        <v>25</v>
      </c>
      <c r="F383" s="375">
        <v>8</v>
      </c>
      <c r="G383" s="376">
        <f>IF('Dry_Litterbag Placem_Collection'!E90="","",'Dry_Litterbag Placem_Collection'!E90)</f>
        <v>42937</v>
      </c>
      <c r="H383" s="92" t="str">
        <f>Dryseason!L529</f>
        <v>G364</v>
      </c>
      <c r="I383" t="str">
        <f>Dryseason!L749</f>
        <v>R197</v>
      </c>
      <c r="J383">
        <f>IFERROR(INDEX('Green_rooibos initial weight'!$C$5:$C$2000,MATCH(H383, 'Green_rooibos initial weight'!$A$5:$A$2000,0)),"")</f>
        <v>2.0569999999999999</v>
      </c>
      <c r="K383">
        <f>IFERROR(INDEX('Green_rooibos initial weight'!$C$5:$C$2000,MATCH(I383, 'Green_rooibos initial weight'!$A$5:$A$2000,0)),"")</f>
        <v>2.2330000000000001</v>
      </c>
      <c r="L383" s="194">
        <f t="shared" si="56"/>
        <v>1.8071999999999999</v>
      </c>
      <c r="M383" s="233">
        <f>AVERAGE(Ashed_controlls!$K$1:$K$11)</f>
        <v>5.5147656768714146</v>
      </c>
      <c r="N383" s="194">
        <f t="shared" si="52"/>
        <v>1.7075371546875797</v>
      </c>
      <c r="O383" s="194">
        <f t="shared" si="57"/>
        <v>1.9832000000000001</v>
      </c>
      <c r="P383" s="233">
        <f>AVERAGE(Ashed_controlls!$K$12:$K$14)</f>
        <v>2.2816647271287041</v>
      </c>
      <c r="Q383" s="194">
        <f t="shared" si="53"/>
        <v>1.9379500251315835</v>
      </c>
      <c r="R383" s="376">
        <f>IF('Dry_Litterbag Placem_Collection'!G90="","",'Dry_Litterbag Placem_Collection'!G90)</f>
        <v>43006</v>
      </c>
      <c r="S383" s="194">
        <f>IFERROR(INDEX('Both teabags AfterDry'!$D$3:$D$2000,MATCH(H383,'Both teabags AfterDry'!$A$3:$A$2000,0)),"")</f>
        <v>1.8589</v>
      </c>
      <c r="T383" s="194">
        <f>IFERROR(INDEX('Both teabags AfterDry'!$D$3:$D$2000,MATCH(I383,'Both teabags AfterDry'!$A$3:$A$2000,0)),"")</f>
        <v>1.9945999999999999</v>
      </c>
      <c r="U383" s="194">
        <f t="shared" si="58"/>
        <v>1.7082999999999999</v>
      </c>
      <c r="V383" s="194">
        <f t="shared" si="59"/>
        <v>1.8439999999999999</v>
      </c>
      <c r="W383" s="194">
        <f>IFERROR(INDEX('Ashed teabags dry'!$K$2:$K$2000,MATCH(H383,'Ashed teabags dry'!$A$2:$A$2000,0)),"")</f>
        <v>6.3441350981288833</v>
      </c>
      <c r="X383" s="194">
        <f>IFERROR(INDEX('Ashed teabags dry'!$K$2:$K$2000,MATCH(I383,'Ashed teabags dry'!$A$2:$A$2000,0)),"")</f>
        <v>1.9186843307443828</v>
      </c>
      <c r="Y383" s="194">
        <f t="shared" si="54"/>
        <v>1.5999231401186642</v>
      </c>
      <c r="Z383" s="194">
        <f t="shared" si="54"/>
        <v>1.8086194609410735</v>
      </c>
      <c r="AA383" s="194">
        <f t="shared" si="60"/>
        <v>6.3022941710808689E-2</v>
      </c>
      <c r="AB383" s="194">
        <f t="shared" si="61"/>
        <v>4.1316702879295036E-2</v>
      </c>
      <c r="AC383" s="194">
        <f t="shared" si="55"/>
        <v>0.93326424184662415</v>
      </c>
      <c r="AD383">
        <f t="shared" si="62"/>
        <v>69</v>
      </c>
      <c r="AE383" s="194">
        <f t="shared" si="63"/>
        <v>0.92515090058098726</v>
      </c>
      <c r="AF383" s="194" t="str">
        <f t="shared" si="64"/>
        <v/>
      </c>
      <c r="AG383" s="245" t="str">
        <f>IF(ISNUMBER(SEARCH("C", 'Dry_Litterbag Placem_Collection'!$V90)),"YES","NO")</f>
        <v>NO</v>
      </c>
      <c r="AH383" s="245" t="str">
        <f>IF(ISNUMBER(SEARCH("H", 'Dry_Litterbag Placem_Collection'!$V90)),"YES","NO")</f>
        <v>NO</v>
      </c>
      <c r="AI383" s="245" t="str">
        <f>IF(ISNUMBER(SEARCH("R", 'Dry_Litterbag Placem_Collection'!$V90)),"YES","NO")</f>
        <v>NO</v>
      </c>
      <c r="AJ383" s="245" t="str">
        <f>IF(ISNUMBER(SEARCH("C", 'Dry_Litterbag Placem_Collection'!$U90)),"YES","NO")</f>
        <v>NO</v>
      </c>
      <c r="AK383" s="245" t="str">
        <f>IF(ISNUMBER(SEARCH("H", 'Dry_Litterbag Placem_Collection'!$U90)),"YES","NO")</f>
        <v>NO</v>
      </c>
      <c r="AL383" s="245" t="str">
        <f>IF(ISNUMBER(SEARCH("R", 'Dry_Litterbag Placem_Collection'!$U90)),"YES","NO")</f>
        <v>NO</v>
      </c>
    </row>
    <row r="384" spans="2:38">
      <c r="B384" t="str">
        <f>Dryseason!B530</f>
        <v>Dry</v>
      </c>
      <c r="C384" s="253">
        <f>Dryseason!C530</f>
        <v>89</v>
      </c>
      <c r="D384" t="s">
        <v>3115</v>
      </c>
      <c r="E384" t="s">
        <v>25</v>
      </c>
      <c r="F384" s="374">
        <v>1</v>
      </c>
      <c r="G384" s="376">
        <f>IF('Dry_Litterbag Placem_Collection'!E91="","",'Dry_Litterbag Placem_Collection'!E91)</f>
        <v>42937</v>
      </c>
      <c r="H384" s="92" t="str">
        <f>Dryseason!L530</f>
        <v>G862</v>
      </c>
      <c r="I384" t="str">
        <f>Dryseason!L750</f>
        <v>R841</v>
      </c>
      <c r="J384">
        <f>IFERROR(INDEX('Green_rooibos initial weight'!$C$5:$C$2000,MATCH(H384, 'Green_rooibos initial weight'!$A$5:$A$2000,0)),"")</f>
        <v>1.996</v>
      </c>
      <c r="K384">
        <f>IFERROR(INDEX('Green_rooibos initial weight'!$C$5:$C$2000,MATCH(I384, 'Green_rooibos initial weight'!$A$5:$A$2000,0)),"")</f>
        <v>2.13</v>
      </c>
      <c r="L384" s="194">
        <f t="shared" si="56"/>
        <v>1.7462</v>
      </c>
      <c r="M384" s="233">
        <f>AVERAGE(Ashed_controlls!$K$1:$K$11)</f>
        <v>5.5147656768714146</v>
      </c>
      <c r="N384" s="194">
        <f t="shared" si="52"/>
        <v>1.6499011617504713</v>
      </c>
      <c r="O384" s="194">
        <f t="shared" si="57"/>
        <v>1.8801999999999999</v>
      </c>
      <c r="P384" s="233">
        <f>AVERAGE(Ashed_controlls!$K$12:$K$14)</f>
        <v>2.2816647271287041</v>
      </c>
      <c r="Q384" s="194">
        <f t="shared" si="53"/>
        <v>1.837300139800526</v>
      </c>
      <c r="R384" s="376">
        <f>IF('Dry_Litterbag Placem_Collection'!G91="","",'Dry_Litterbag Placem_Collection'!G91)</f>
        <v>43006</v>
      </c>
      <c r="S384" s="194">
        <f>IFERROR(INDEX('Both teabags AfterDry'!$D$3:$D$2000,MATCH(H384,'Both teabags AfterDry'!$A$3:$A$2000,0)),"")</f>
        <v>1.8160000000000001</v>
      </c>
      <c r="T384" s="194">
        <f>IFERROR(INDEX('Both teabags AfterDry'!$D$3:$D$2000,MATCH(I384,'Both teabags AfterDry'!$A$3:$A$2000,0)),"")</f>
        <v>1.9592000000000001</v>
      </c>
      <c r="U384" s="194">
        <f t="shared" si="58"/>
        <v>1.6654</v>
      </c>
      <c r="V384" s="194">
        <f t="shared" si="59"/>
        <v>1.8086</v>
      </c>
      <c r="W384" s="194">
        <f>IFERROR(INDEX('Ashed teabags dry'!$K$2:$K$2000,MATCH(H384,'Ashed teabags dry'!$A$2:$A$2000,0)),"")</f>
        <v>6.0205580029367782</v>
      </c>
      <c r="X384" s="194">
        <f>IFERROR(INDEX('Ashed teabags dry'!$K$2:$K$2000,MATCH(I384,'Ashed teabags dry'!$A$2:$A$2000,0)),"")</f>
        <v>1.8271604938270138</v>
      </c>
      <c r="Y384" s="194">
        <f t="shared" si="54"/>
        <v>1.565133627019091</v>
      </c>
      <c r="Z384" s="194">
        <f t="shared" si="54"/>
        <v>1.7755539753086447</v>
      </c>
      <c r="AA384" s="194">
        <f t="shared" si="60"/>
        <v>5.137734107747749E-2</v>
      </c>
      <c r="AB384" s="194">
        <f t="shared" si="61"/>
        <v>3.368205733345319E-2</v>
      </c>
      <c r="AC384" s="194">
        <f t="shared" si="55"/>
        <v>0.96639298982550281</v>
      </c>
      <c r="AD384">
        <f t="shared" si="62"/>
        <v>69</v>
      </c>
      <c r="AE384" s="194">
        <f t="shared" si="63"/>
        <v>0.93898178019301959</v>
      </c>
      <c r="AF384" s="194">
        <f t="shared" si="64"/>
        <v>8.8501505060867333E-2</v>
      </c>
      <c r="AG384" s="245" t="str">
        <f>IF(ISNUMBER(SEARCH("C", 'Dry_Litterbag Placem_Collection'!$V91)),"YES","NO")</f>
        <v>NO</v>
      </c>
      <c r="AH384" s="245" t="str">
        <f>IF(ISNUMBER(SEARCH("H", 'Dry_Litterbag Placem_Collection'!$V91)),"YES","NO")</f>
        <v>NO</v>
      </c>
      <c r="AI384" s="245" t="str">
        <f>IF(ISNUMBER(SEARCH("R", 'Dry_Litterbag Placem_Collection'!$V91)),"YES","NO")</f>
        <v>NO</v>
      </c>
      <c r="AJ384" s="245" t="str">
        <f>IF(ISNUMBER(SEARCH("C", 'Dry_Litterbag Placem_Collection'!$U91)),"YES","NO")</f>
        <v>NO</v>
      </c>
      <c r="AK384" s="245" t="str">
        <f>IF(ISNUMBER(SEARCH("H", 'Dry_Litterbag Placem_Collection'!$U91)),"YES","NO")</f>
        <v>NO</v>
      </c>
      <c r="AL384" s="245" t="str">
        <f>IF(ISNUMBER(SEARCH("R", 'Dry_Litterbag Placem_Collection'!$U91)),"YES","NO")</f>
        <v>NO</v>
      </c>
    </row>
    <row r="385" spans="2:38">
      <c r="B385" t="str">
        <f>Dryseason!B531</f>
        <v>Dry</v>
      </c>
      <c r="C385" s="253">
        <f>Dryseason!C531</f>
        <v>90</v>
      </c>
      <c r="D385" t="s">
        <v>3115</v>
      </c>
      <c r="E385" t="s">
        <v>25</v>
      </c>
      <c r="F385" s="374">
        <v>2</v>
      </c>
      <c r="G385" s="376">
        <f>IF('Dry_Litterbag Placem_Collection'!E92="","",'Dry_Litterbag Placem_Collection'!E92)</f>
        <v>42937</v>
      </c>
      <c r="H385" s="92" t="str">
        <f>Dryseason!L531</f>
        <v>G330</v>
      </c>
      <c r="I385" t="str">
        <f>Dryseason!L751</f>
        <v>R220</v>
      </c>
      <c r="J385">
        <f>IFERROR(INDEX('Green_rooibos initial weight'!$C$5:$C$2000,MATCH(H385, 'Green_rooibos initial weight'!$A$5:$A$2000,0)),"")</f>
        <v>2.1379999999999999</v>
      </c>
      <c r="K385">
        <f>IFERROR(INDEX('Green_rooibos initial weight'!$C$5:$C$2000,MATCH(I385, 'Green_rooibos initial weight'!$A$5:$A$2000,0)),"")</f>
        <v>2.2269999999999999</v>
      </c>
      <c r="L385" s="194">
        <f t="shared" si="56"/>
        <v>1.8881999999999999</v>
      </c>
      <c r="M385" s="233">
        <f>AVERAGE(Ashed_controlls!$K$1:$K$11)</f>
        <v>5.5147656768714146</v>
      </c>
      <c r="N385" s="194">
        <f t="shared" si="52"/>
        <v>1.7840701944893138</v>
      </c>
      <c r="O385" s="194">
        <f t="shared" si="57"/>
        <v>1.9771999999999998</v>
      </c>
      <c r="P385" s="233">
        <f>AVERAGE(Ashed_controlls!$K$12:$K$14)</f>
        <v>2.2816647271287041</v>
      </c>
      <c r="Q385" s="194">
        <f t="shared" si="53"/>
        <v>1.9320869250152111</v>
      </c>
      <c r="R385" s="376">
        <f>IF('Dry_Litterbag Placem_Collection'!G92="","",'Dry_Litterbag Placem_Collection'!G92)</f>
        <v>43006</v>
      </c>
      <c r="S385" s="194" t="str">
        <f>IFERROR(INDEX('Both teabags AfterDry'!$D$3:$D$2000,MATCH(H385,'Both teabags AfterDry'!$A$3:$A$2000,0)),"")</f>
        <v/>
      </c>
      <c r="T385" s="194" t="str">
        <f>IFERROR(INDEX('Both teabags AfterDry'!$D$3:$D$2000,MATCH(I385,'Both teabags AfterDry'!$A$3:$A$2000,0)),"")</f>
        <v/>
      </c>
      <c r="U385" s="194" t="str">
        <f t="shared" si="58"/>
        <v/>
      </c>
      <c r="V385" s="194" t="str">
        <f t="shared" si="59"/>
        <v/>
      </c>
      <c r="W385" s="194" t="str">
        <f>IFERROR(INDEX('Ashed teabags dry'!$K$2:$K$2000,MATCH(H385,'Ashed teabags dry'!$A$2:$A$2000,0)),"")</f>
        <v/>
      </c>
      <c r="X385" s="194" t="str">
        <f>IFERROR(INDEX('Ashed teabags dry'!$K$2:$K$2000,MATCH(I385,'Ashed teabags dry'!$A$2:$A$2000,0)),"")</f>
        <v/>
      </c>
      <c r="Y385" s="194" t="str">
        <f t="shared" si="54"/>
        <v/>
      </c>
      <c r="Z385" s="194" t="str">
        <f t="shared" si="54"/>
        <v/>
      </c>
      <c r="AA385" s="194" t="str">
        <f t="shared" si="60"/>
        <v/>
      </c>
      <c r="AB385" s="194" t="str">
        <f t="shared" si="61"/>
        <v/>
      </c>
      <c r="AC385" s="194" t="str">
        <f t="shared" si="55"/>
        <v/>
      </c>
      <c r="AD385">
        <f t="shared" si="62"/>
        <v>69</v>
      </c>
      <c r="AE385" s="194" t="str">
        <f t="shared" si="63"/>
        <v/>
      </c>
      <c r="AF385" s="194" t="str">
        <f t="shared" si="64"/>
        <v/>
      </c>
      <c r="AG385" s="245" t="str">
        <f>IF(ISNUMBER(SEARCH("C", 'Dry_Litterbag Placem_Collection'!$V92)),"YES","NO")</f>
        <v>NO</v>
      </c>
      <c r="AH385" s="245" t="str">
        <f>IF(ISNUMBER(SEARCH("H", 'Dry_Litterbag Placem_Collection'!$V92)),"YES","NO")</f>
        <v>NO</v>
      </c>
      <c r="AI385" s="245" t="str">
        <f>IF(ISNUMBER(SEARCH("R", 'Dry_Litterbag Placem_Collection'!$V92)),"YES","NO")</f>
        <v>NO</v>
      </c>
      <c r="AJ385" s="245" t="str">
        <f>IF(ISNUMBER(SEARCH("C", 'Dry_Litterbag Placem_Collection'!$U92)),"YES","NO")</f>
        <v>NO</v>
      </c>
      <c r="AK385" s="245" t="str">
        <f>IF(ISNUMBER(SEARCH("H", 'Dry_Litterbag Placem_Collection'!$U92)),"YES","NO")</f>
        <v>NO</v>
      </c>
      <c r="AL385" s="245" t="str">
        <f>IF(ISNUMBER(SEARCH("R", 'Dry_Litterbag Placem_Collection'!$U92)),"YES","NO")</f>
        <v>NO</v>
      </c>
    </row>
    <row r="386" spans="2:38">
      <c r="B386" t="str">
        <f>Dryseason!B532</f>
        <v>Dry</v>
      </c>
      <c r="C386" s="253">
        <f>Dryseason!C532</f>
        <v>91</v>
      </c>
      <c r="D386" t="s">
        <v>3115</v>
      </c>
      <c r="E386" t="s">
        <v>25</v>
      </c>
      <c r="F386" s="374">
        <v>3</v>
      </c>
      <c r="G386" s="376">
        <f>IF('Dry_Litterbag Placem_Collection'!E93="","",'Dry_Litterbag Placem_Collection'!E93)</f>
        <v>42937</v>
      </c>
      <c r="H386" s="92" t="str">
        <f>Dryseason!L532</f>
        <v>G596</v>
      </c>
      <c r="I386" t="str">
        <f>Dryseason!L752</f>
        <v>R659</v>
      </c>
      <c r="J386">
        <f>IFERROR(INDEX('Green_rooibos initial weight'!$C$5:$C$2000,MATCH(H386, 'Green_rooibos initial weight'!$A$5:$A$2000,0)),"")</f>
        <v>2.0179999999999998</v>
      </c>
      <c r="K386">
        <f>IFERROR(INDEX('Green_rooibos initial weight'!$C$5:$C$2000,MATCH(I386, 'Green_rooibos initial weight'!$A$5:$A$2000,0)),"")</f>
        <v>2.2349999999999999</v>
      </c>
      <c r="L386" s="194">
        <f t="shared" si="56"/>
        <v>1.7681999999999998</v>
      </c>
      <c r="M386" s="233">
        <f>AVERAGE(Ashed_controlls!$K$1:$K$11)</f>
        <v>5.5147656768714146</v>
      </c>
      <c r="N386" s="194">
        <f t="shared" si="52"/>
        <v>1.6706879133015595</v>
      </c>
      <c r="O386" s="194">
        <f t="shared" si="57"/>
        <v>1.9851999999999999</v>
      </c>
      <c r="P386" s="233">
        <f>AVERAGE(Ashed_controlls!$K$12:$K$14)</f>
        <v>2.2816647271287041</v>
      </c>
      <c r="Q386" s="194">
        <f t="shared" si="53"/>
        <v>1.9399043918370409</v>
      </c>
      <c r="R386" s="376">
        <f>IF('Dry_Litterbag Placem_Collection'!G93="","",'Dry_Litterbag Placem_Collection'!G93)</f>
        <v>43006</v>
      </c>
      <c r="S386" s="194">
        <f>IFERROR(INDEX('Both teabags AfterDry'!$D$3:$D$2000,MATCH(H386,'Both teabags AfterDry'!$A$3:$A$2000,0)),"")</f>
        <v>1.8642000000000001</v>
      </c>
      <c r="T386" s="194">
        <f>IFERROR(INDEX('Both teabags AfterDry'!$D$3:$D$2000,MATCH(I386,'Both teabags AfterDry'!$A$3:$A$2000,0)),"")</f>
        <v>2.0495999999999999</v>
      </c>
      <c r="U386" s="194">
        <f t="shared" si="58"/>
        <v>1.7136</v>
      </c>
      <c r="V386" s="194">
        <f t="shared" si="59"/>
        <v>1.8989999999999998</v>
      </c>
      <c r="W386" s="194">
        <f>IFERROR(INDEX('Ashed teabags dry'!$K$2:$K$2000,MATCH(H386,'Ashed teabags dry'!$A$2:$A$2000,0)),"")</f>
        <v>5.1882845188279267</v>
      </c>
      <c r="X386" s="194">
        <f>IFERROR(INDEX('Ashed teabags dry'!$K$2:$K$2000,MATCH(I386,'Ashed teabags dry'!$A$2:$A$2000,0)),"")</f>
        <v>4.1826717883060072</v>
      </c>
      <c r="Y386" s="194">
        <f t="shared" si="54"/>
        <v>1.6246935564853646</v>
      </c>
      <c r="Z386" s="194">
        <f t="shared" si="54"/>
        <v>1.8195710627400687</v>
      </c>
      <c r="AA386" s="194">
        <f t="shared" si="60"/>
        <v>2.7530190677744426E-2</v>
      </c>
      <c r="AB386" s="194">
        <f t="shared" si="61"/>
        <v>1.804829602626476E-2</v>
      </c>
      <c r="AC386" s="194">
        <f t="shared" si="55"/>
        <v>0.93796945375074925</v>
      </c>
      <c r="AD386">
        <f t="shared" si="62"/>
        <v>69</v>
      </c>
      <c r="AE386" s="194">
        <f t="shared" si="63"/>
        <v>0.96730381154662182</v>
      </c>
      <c r="AF386" s="194" t="str">
        <f t="shared" si="64"/>
        <v/>
      </c>
      <c r="AG386" s="245" t="str">
        <f>IF(ISNUMBER(SEARCH("C", 'Dry_Litterbag Placem_Collection'!$V93)),"YES","NO")</f>
        <v>NO</v>
      </c>
      <c r="AH386" s="245" t="str">
        <f>IF(ISNUMBER(SEARCH("H", 'Dry_Litterbag Placem_Collection'!$V93)),"YES","NO")</f>
        <v>NO</v>
      </c>
      <c r="AI386" s="245" t="str">
        <f>IF(ISNUMBER(SEARCH("R", 'Dry_Litterbag Placem_Collection'!$V93)),"YES","NO")</f>
        <v>NO</v>
      </c>
      <c r="AJ386" s="245" t="str">
        <f>IF(ISNUMBER(SEARCH("C", 'Dry_Litterbag Placem_Collection'!$U93)),"YES","NO")</f>
        <v>NO</v>
      </c>
      <c r="AK386" s="245" t="str">
        <f>IF(ISNUMBER(SEARCH("H", 'Dry_Litterbag Placem_Collection'!$U93)),"YES","NO")</f>
        <v>NO</v>
      </c>
      <c r="AL386" s="245" t="str">
        <f>IF(ISNUMBER(SEARCH("R", 'Dry_Litterbag Placem_Collection'!$U93)),"YES","NO")</f>
        <v>NO</v>
      </c>
    </row>
    <row r="387" spans="2:38">
      <c r="B387" t="str">
        <f>Dryseason!B533</f>
        <v>Dry</v>
      </c>
      <c r="C387" s="253">
        <f>Dryseason!C533</f>
        <v>92</v>
      </c>
      <c r="D387" t="s">
        <v>3115</v>
      </c>
      <c r="E387" t="s">
        <v>25</v>
      </c>
      <c r="F387" s="375">
        <v>4</v>
      </c>
      <c r="G387" s="376">
        <f>IF('Dry_Litterbag Placem_Collection'!E94="","",'Dry_Litterbag Placem_Collection'!E94)</f>
        <v>42937</v>
      </c>
      <c r="H387" s="92" t="str">
        <f>Dryseason!L533</f>
        <v>G380</v>
      </c>
      <c r="I387" t="str">
        <f>Dryseason!L753</f>
        <v>R619</v>
      </c>
      <c r="J387">
        <f>IFERROR(INDEX('Green_rooibos initial weight'!$C$5:$C$2000,MATCH(H387, 'Green_rooibos initial weight'!$A$5:$A$2000,0)),"")</f>
        <v>2.0619999999999998</v>
      </c>
      <c r="K387">
        <f>IFERROR(INDEX('Green_rooibos initial weight'!$C$5:$C$2000,MATCH(I387, 'Green_rooibos initial weight'!$A$5:$A$2000,0)),"")</f>
        <v>2.1480000000000001</v>
      </c>
      <c r="L387" s="194">
        <f t="shared" si="56"/>
        <v>1.8121999999999998</v>
      </c>
      <c r="M387" s="233">
        <f>AVERAGE(Ashed_controlls!$K$1:$K$11)</f>
        <v>5.5147656768714146</v>
      </c>
      <c r="N387" s="194">
        <f t="shared" si="52"/>
        <v>1.712261416403736</v>
      </c>
      <c r="O387" s="194">
        <f t="shared" si="57"/>
        <v>1.8982000000000001</v>
      </c>
      <c r="P387" s="233">
        <f>AVERAGE(Ashed_controlls!$K$12:$K$14)</f>
        <v>2.2816647271287041</v>
      </c>
      <c r="Q387" s="194">
        <f t="shared" si="53"/>
        <v>1.854889440149643</v>
      </c>
      <c r="R387" s="376">
        <f>IF('Dry_Litterbag Placem_Collection'!G94="","",'Dry_Litterbag Placem_Collection'!G94)</f>
        <v>43006</v>
      </c>
      <c r="S387" s="194">
        <f>IFERROR(INDEX('Both teabags AfterDry'!$D$3:$D$2000,MATCH(H387,'Both teabags AfterDry'!$A$3:$A$2000,0)),"")</f>
        <v>1.8685</v>
      </c>
      <c r="T387" s="194">
        <f>IFERROR(INDEX('Both teabags AfterDry'!$D$3:$D$2000,MATCH(I387,'Both teabags AfterDry'!$A$3:$A$2000,0)),"")</f>
        <v>1.9713000000000001</v>
      </c>
      <c r="U387" s="194">
        <f t="shared" si="58"/>
        <v>1.7179</v>
      </c>
      <c r="V387" s="194">
        <f t="shared" si="59"/>
        <v>1.8207</v>
      </c>
      <c r="W387" s="194">
        <f>IFERROR(INDEX('Ashed teabags dry'!$K$2:$K$2000,MATCH(H387,'Ashed teabags dry'!$A$2:$A$2000,0)),"")</f>
        <v>5.9040590405909334</v>
      </c>
      <c r="X387" s="194">
        <f>IFERROR(INDEX('Ashed teabags dry'!$K$2:$K$2000,MATCH(I387,'Ashed teabags dry'!$A$2:$A$2000,0)),"")</f>
        <v>3.4364261168385459</v>
      </c>
      <c r="Y387" s="194">
        <f t="shared" si="54"/>
        <v>1.6164741697416884</v>
      </c>
      <c r="Z387" s="194">
        <f t="shared" si="54"/>
        <v>1.7581329896907205</v>
      </c>
      <c r="AA387" s="194">
        <f t="shared" si="60"/>
        <v>5.5941952405392348E-2</v>
      </c>
      <c r="AB387" s="194">
        <f t="shared" si="61"/>
        <v>3.6674534118499511E-2</v>
      </c>
      <c r="AC387" s="194">
        <f t="shared" si="55"/>
        <v>0.94783707946975182</v>
      </c>
      <c r="AD387">
        <f t="shared" si="62"/>
        <v>69</v>
      </c>
      <c r="AE387" s="194">
        <f t="shared" si="63"/>
        <v>0.93356062659692118</v>
      </c>
      <c r="AF387" s="194" t="str">
        <f t="shared" si="64"/>
        <v/>
      </c>
      <c r="AG387" s="245" t="str">
        <f>IF(ISNUMBER(SEARCH("C", 'Dry_Litterbag Placem_Collection'!$V94)),"YES","NO")</f>
        <v>NO</v>
      </c>
      <c r="AH387" s="245" t="str">
        <f>IF(ISNUMBER(SEARCH("H", 'Dry_Litterbag Placem_Collection'!$V94)),"YES","NO")</f>
        <v>NO</v>
      </c>
      <c r="AI387" s="245" t="str">
        <f>IF(ISNUMBER(SEARCH("R", 'Dry_Litterbag Placem_Collection'!$V94)),"YES","NO")</f>
        <v>NO</v>
      </c>
      <c r="AJ387" s="245" t="str">
        <f>IF(ISNUMBER(SEARCH("C", 'Dry_Litterbag Placem_Collection'!$U94)),"YES","NO")</f>
        <v>NO</v>
      </c>
      <c r="AK387" s="245" t="str">
        <f>IF(ISNUMBER(SEARCH("H", 'Dry_Litterbag Placem_Collection'!$U94)),"YES","NO")</f>
        <v>NO</v>
      </c>
      <c r="AL387" s="245" t="str">
        <f>IF(ISNUMBER(SEARCH("R", 'Dry_Litterbag Placem_Collection'!$U94)),"YES","NO")</f>
        <v>NO</v>
      </c>
    </row>
    <row r="388" spans="2:38">
      <c r="B388" t="str">
        <f>Dryseason!B534</f>
        <v>Dry</v>
      </c>
      <c r="C388" s="253">
        <f>Dryseason!C534</f>
        <v>93</v>
      </c>
      <c r="D388" t="s">
        <v>3115</v>
      </c>
      <c r="E388" t="s">
        <v>25</v>
      </c>
      <c r="F388" s="375">
        <v>5</v>
      </c>
      <c r="G388" s="376">
        <f>IF('Dry_Litterbag Placem_Collection'!E95="","",'Dry_Litterbag Placem_Collection'!E95)</f>
        <v>42937</v>
      </c>
      <c r="H388" s="92" t="str">
        <f>Dryseason!L534</f>
        <v>G872</v>
      </c>
      <c r="I388" t="str">
        <f>Dryseason!L754</f>
        <v>R106</v>
      </c>
      <c r="J388">
        <f>IFERROR(INDEX('Green_rooibos initial weight'!$C$5:$C$2000,MATCH(H388, 'Green_rooibos initial weight'!$A$5:$A$2000,0)),"")</f>
        <v>2.008</v>
      </c>
      <c r="K388">
        <f>IFERROR(INDEX('Green_rooibos initial weight'!$C$5:$C$2000,MATCH(I388, 'Green_rooibos initial weight'!$A$5:$A$2000,0)),"")</f>
        <v>2.2330000000000001</v>
      </c>
      <c r="L388" s="194">
        <f t="shared" si="56"/>
        <v>1.7582</v>
      </c>
      <c r="M388" s="233">
        <f>AVERAGE(Ashed_controlls!$K$1:$K$11)</f>
        <v>5.5147656768714146</v>
      </c>
      <c r="N388" s="194">
        <f t="shared" si="52"/>
        <v>1.6612393898692468</v>
      </c>
      <c r="O388" s="194">
        <f t="shared" si="57"/>
        <v>1.9832000000000001</v>
      </c>
      <c r="P388" s="233">
        <f>AVERAGE(Ashed_controlls!$K$12:$K$14)</f>
        <v>2.2816647271287041</v>
      </c>
      <c r="Q388" s="194">
        <f t="shared" si="53"/>
        <v>1.9379500251315835</v>
      </c>
      <c r="R388" s="376">
        <f>IF('Dry_Litterbag Placem_Collection'!G95="","",'Dry_Litterbag Placem_Collection'!G95)</f>
        <v>43006</v>
      </c>
      <c r="S388" s="194">
        <f>IFERROR(INDEX('Both teabags AfterDry'!$D$3:$D$2000,MATCH(H388,'Both teabags AfterDry'!$A$3:$A$2000,0)),"")</f>
        <v>1.8389</v>
      </c>
      <c r="T388" s="194">
        <f>IFERROR(INDEX('Both teabags AfterDry'!$D$3:$D$2000,MATCH(I388,'Both teabags AfterDry'!$A$3:$A$2000,0)),"")</f>
        <v>2.0352999999999999</v>
      </c>
      <c r="U388" s="194">
        <f t="shared" si="58"/>
        <v>1.6882999999999999</v>
      </c>
      <c r="V388" s="194">
        <f t="shared" si="59"/>
        <v>1.8846999999999998</v>
      </c>
      <c r="W388" s="194">
        <f>IFERROR(INDEX('Ashed teabags dry'!$K$2:$K$2000,MATCH(H388,'Ashed teabags dry'!$A$2:$A$2000,0)),"")</f>
        <v>5.7008144020571656</v>
      </c>
      <c r="X388" s="194">
        <f>IFERROR(INDEX('Ashed teabags dry'!$K$2:$K$2000,MATCH(I388,'Ashed teabags dry'!$A$2:$A$2000,0)),"")</f>
        <v>2.5896414342635063</v>
      </c>
      <c r="Y388" s="194">
        <f t="shared" si="54"/>
        <v>1.5920531504500688</v>
      </c>
      <c r="Z388" s="194">
        <f t="shared" si="54"/>
        <v>1.8358930278884356</v>
      </c>
      <c r="AA388" s="194">
        <f t="shared" si="60"/>
        <v>4.1647362710694913E-2</v>
      </c>
      <c r="AB388" s="194">
        <f t="shared" si="61"/>
        <v>2.7303259164256039E-2</v>
      </c>
      <c r="AC388" s="194">
        <f t="shared" si="55"/>
        <v>0.94733765271567383</v>
      </c>
      <c r="AD388">
        <f t="shared" si="62"/>
        <v>69</v>
      </c>
      <c r="AE388" s="194">
        <f t="shared" si="63"/>
        <v>0.95053757397779703</v>
      </c>
      <c r="AF388" s="194" t="str">
        <f t="shared" si="64"/>
        <v/>
      </c>
      <c r="AG388" s="245" t="str">
        <f>IF(ISNUMBER(SEARCH("C", 'Dry_Litterbag Placem_Collection'!$V95)),"YES","NO")</f>
        <v>NO</v>
      </c>
      <c r="AH388" s="245" t="str">
        <f>IF(ISNUMBER(SEARCH("H", 'Dry_Litterbag Placem_Collection'!$V95)),"YES","NO")</f>
        <v>NO</v>
      </c>
      <c r="AI388" s="245" t="str">
        <f>IF(ISNUMBER(SEARCH("R", 'Dry_Litterbag Placem_Collection'!$V95)),"YES","NO")</f>
        <v>NO</v>
      </c>
      <c r="AJ388" s="245" t="str">
        <f>IF(ISNUMBER(SEARCH("C", 'Dry_Litterbag Placem_Collection'!$U95)),"YES","NO")</f>
        <v>NO</v>
      </c>
      <c r="AK388" s="245" t="str">
        <f>IF(ISNUMBER(SEARCH("H", 'Dry_Litterbag Placem_Collection'!$U95)),"YES","NO")</f>
        <v>NO</v>
      </c>
      <c r="AL388" s="245" t="str">
        <f>IF(ISNUMBER(SEARCH("R", 'Dry_Litterbag Placem_Collection'!$U95)),"YES","NO")</f>
        <v>NO</v>
      </c>
    </row>
    <row r="389" spans="2:38">
      <c r="B389" t="str">
        <f>Dryseason!B535</f>
        <v>Dry</v>
      </c>
      <c r="C389" s="253">
        <f>Dryseason!C535</f>
        <v>94</v>
      </c>
      <c r="D389" t="s">
        <v>3115</v>
      </c>
      <c r="E389" t="s">
        <v>25</v>
      </c>
      <c r="F389" s="375">
        <v>6</v>
      </c>
      <c r="G389" s="376" t="str">
        <f>IF('Dry_Litterbag Placem_Collection'!E96="","",'Dry_Litterbag Placem_Collection'!E96)</f>
        <v/>
      </c>
      <c r="H389" s="92" t="str">
        <f>Dryseason!L535</f>
        <v/>
      </c>
      <c r="I389" t="str">
        <f>Dryseason!L755</f>
        <v/>
      </c>
      <c r="J389" t="str">
        <f>IFERROR(INDEX('Green_rooibos initial weight'!$C$5:$C$2000,MATCH(H389, 'Green_rooibos initial weight'!$A$5:$A$2000,0)),"")</f>
        <v/>
      </c>
      <c r="K389" t="str">
        <f>IFERROR(INDEX('Green_rooibos initial weight'!$C$5:$C$2000,MATCH(I389, 'Green_rooibos initial weight'!$A$5:$A$2000,0)),"")</f>
        <v/>
      </c>
      <c r="L389" s="194" t="str">
        <f t="shared" si="56"/>
        <v/>
      </c>
      <c r="M389" s="233">
        <f>AVERAGE(Ashed_controlls!$K$1:$K$11)</f>
        <v>5.5147656768714146</v>
      </c>
      <c r="N389" s="194" t="str">
        <f t="shared" si="52"/>
        <v/>
      </c>
      <c r="O389" s="194" t="str">
        <f t="shared" si="57"/>
        <v/>
      </c>
      <c r="P389" s="233">
        <f>AVERAGE(Ashed_controlls!$K$12:$K$14)</f>
        <v>2.2816647271287041</v>
      </c>
      <c r="Q389" s="194" t="str">
        <f t="shared" si="53"/>
        <v/>
      </c>
      <c r="R389" s="376" t="str">
        <f>IF('Dry_Litterbag Placem_Collection'!G96="","",'Dry_Litterbag Placem_Collection'!G96)</f>
        <v/>
      </c>
      <c r="S389" s="194" t="str">
        <f>IFERROR(INDEX('Both teabags AfterDry'!$D$3:$D$2000,MATCH(H389,'Both teabags AfterDry'!$A$3:$A$2000,0)),"")</f>
        <v/>
      </c>
      <c r="T389" s="194" t="str">
        <f>IFERROR(INDEX('Both teabags AfterDry'!$D$3:$D$2000,MATCH(I389,'Both teabags AfterDry'!$A$3:$A$2000,0)),"")</f>
        <v/>
      </c>
      <c r="U389" s="194" t="str">
        <f t="shared" si="58"/>
        <v/>
      </c>
      <c r="V389" s="194" t="str">
        <f t="shared" si="59"/>
        <v/>
      </c>
      <c r="W389" s="194" t="str">
        <f>IFERROR(INDEX('Ashed teabags dry'!$K$2:$K$2000,MATCH(H389,'Ashed teabags dry'!$A$2:$A$2000,0)),"")</f>
        <v/>
      </c>
      <c r="X389" s="194" t="str">
        <f>IFERROR(INDEX('Ashed teabags dry'!$K$2:$K$2000,MATCH(I389,'Ashed teabags dry'!$A$2:$A$2000,0)),"")</f>
        <v/>
      </c>
      <c r="Y389" s="194" t="str">
        <f t="shared" si="54"/>
        <v/>
      </c>
      <c r="Z389" s="194" t="str">
        <f t="shared" si="54"/>
        <v/>
      </c>
      <c r="AA389" s="194" t="str">
        <f t="shared" si="60"/>
        <v/>
      </c>
      <c r="AB389" s="194" t="str">
        <f t="shared" si="61"/>
        <v/>
      </c>
      <c r="AC389" s="194" t="str">
        <f t="shared" si="55"/>
        <v/>
      </c>
      <c r="AD389" t="str">
        <f t="shared" si="62"/>
        <v/>
      </c>
      <c r="AE389" s="194" t="str">
        <f t="shared" si="63"/>
        <v/>
      </c>
      <c r="AF389" s="194" t="str">
        <f t="shared" si="64"/>
        <v/>
      </c>
      <c r="AG389" s="245" t="str">
        <f>IF(ISNUMBER(SEARCH("C", 'Dry_Litterbag Placem_Collection'!$V96)),"YES","NO")</f>
        <v>NO</v>
      </c>
      <c r="AH389" s="245" t="str">
        <f>IF(ISNUMBER(SEARCH("H", 'Dry_Litterbag Placem_Collection'!$V96)),"YES","NO")</f>
        <v>NO</v>
      </c>
      <c r="AI389" s="245" t="str">
        <f>IF(ISNUMBER(SEARCH("R", 'Dry_Litterbag Placem_Collection'!$V96)),"YES","NO")</f>
        <v>NO</v>
      </c>
      <c r="AJ389" s="245" t="str">
        <f>IF(ISNUMBER(SEARCH("C", 'Dry_Litterbag Placem_Collection'!$U96)),"YES","NO")</f>
        <v>NO</v>
      </c>
      <c r="AK389" s="245" t="str">
        <f>IF(ISNUMBER(SEARCH("H", 'Dry_Litterbag Placem_Collection'!$U96)),"YES","NO")</f>
        <v>NO</v>
      </c>
      <c r="AL389" s="245" t="str">
        <f>IF(ISNUMBER(SEARCH("R", 'Dry_Litterbag Placem_Collection'!$U96)),"YES","NO")</f>
        <v>NO</v>
      </c>
    </row>
    <row r="390" spans="2:38">
      <c r="B390" t="str">
        <f>Dryseason!B536</f>
        <v>Dry</v>
      </c>
      <c r="C390" s="253">
        <f>Dryseason!C536</f>
        <v>95</v>
      </c>
      <c r="D390" t="s">
        <v>3115</v>
      </c>
      <c r="E390" t="s">
        <v>25</v>
      </c>
      <c r="F390" s="375">
        <v>7</v>
      </c>
      <c r="G390" s="376">
        <f>IF('Dry_Litterbag Placem_Collection'!E97="","",'Dry_Litterbag Placem_Collection'!E97)</f>
        <v>42937</v>
      </c>
      <c r="H390" s="92" t="str">
        <f>Dryseason!L536</f>
        <v>G844</v>
      </c>
      <c r="I390" t="str">
        <f>Dryseason!L756</f>
        <v>R233</v>
      </c>
      <c r="J390">
        <f>IFERROR(INDEX('Green_rooibos initial weight'!$C$5:$C$2000,MATCH(H390, 'Green_rooibos initial weight'!$A$5:$A$2000,0)),"")</f>
        <v>1.95</v>
      </c>
      <c r="K390">
        <f>IFERROR(INDEX('Green_rooibos initial weight'!$C$5:$C$2000,MATCH(I390, 'Green_rooibos initial weight'!$A$5:$A$2000,0)),"")</f>
        <v>2.1749999999999998</v>
      </c>
      <c r="L390" s="194">
        <f t="shared" si="56"/>
        <v>1.7001999999999999</v>
      </c>
      <c r="M390" s="233">
        <f>AVERAGE(Ashed_controlls!$K$1:$K$11)</f>
        <v>5.5147656768714146</v>
      </c>
      <c r="N390" s="194">
        <f t="shared" si="52"/>
        <v>1.6064379539618321</v>
      </c>
      <c r="O390" s="194">
        <f t="shared" si="57"/>
        <v>1.9251999999999998</v>
      </c>
      <c r="P390" s="233">
        <f>AVERAGE(Ashed_controlls!$K$12:$K$14)</f>
        <v>2.2816647271287041</v>
      </c>
      <c r="Q390" s="194">
        <f t="shared" si="53"/>
        <v>1.8812733906733179</v>
      </c>
      <c r="R390" s="376">
        <f>IF('Dry_Litterbag Placem_Collection'!G97="","",'Dry_Litterbag Placem_Collection'!G97)</f>
        <v>43006</v>
      </c>
      <c r="S390" s="194">
        <f>IFERROR(INDEX('Both teabags AfterDry'!$D$3:$D$2000,MATCH(H390,'Both teabags AfterDry'!$A$3:$A$2000,0)),"")</f>
        <v>1.7751999999999999</v>
      </c>
      <c r="T390" s="194">
        <f>IFERROR(INDEX('Both teabags AfterDry'!$D$3:$D$2000,MATCH(I390,'Both teabags AfterDry'!$A$3:$A$2000,0)),"")</f>
        <v>1.9479</v>
      </c>
      <c r="U390" s="194">
        <f t="shared" si="58"/>
        <v>1.6245999999999998</v>
      </c>
      <c r="V390" s="194">
        <f t="shared" si="59"/>
        <v>1.7972999999999999</v>
      </c>
      <c r="W390" s="194">
        <f>IFERROR(INDEX('Ashed teabags dry'!$K$2:$K$2000,MATCH(H390,'Ashed teabags dry'!$A$2:$A$2000,0)),"")</f>
        <v>6.2158130283436162</v>
      </c>
      <c r="X390" s="194">
        <f>IFERROR(INDEX('Ashed teabags dry'!$K$2:$K$2000,MATCH(I390,'Ashed teabags dry'!$A$2:$A$2000,0)),"")</f>
        <v>2.2635814889335339</v>
      </c>
      <c r="Y390" s="194">
        <f t="shared" si="54"/>
        <v>1.5236179015415294</v>
      </c>
      <c r="Z390" s="194">
        <f t="shared" si="54"/>
        <v>1.7566166498993976</v>
      </c>
      <c r="AA390" s="194">
        <f t="shared" si="60"/>
        <v>5.1555089454933589E-2</v>
      </c>
      <c r="AB390" s="194">
        <f t="shared" si="61"/>
        <v>3.3798585960954107E-2</v>
      </c>
      <c r="AC390" s="194">
        <f t="shared" si="55"/>
        <v>0.93373810452434824</v>
      </c>
      <c r="AD390">
        <f t="shared" si="62"/>
        <v>69</v>
      </c>
      <c r="AE390" s="194">
        <f t="shared" si="63"/>
        <v>0.9387706776069672</v>
      </c>
      <c r="AF390" s="194" t="str">
        <f t="shared" si="64"/>
        <v/>
      </c>
      <c r="AG390" s="245" t="str">
        <f>IF(ISNUMBER(SEARCH("C", 'Dry_Litterbag Placem_Collection'!$V97)),"YES","NO")</f>
        <v>NO</v>
      </c>
      <c r="AH390" s="245" t="str">
        <f>IF(ISNUMBER(SEARCH("H", 'Dry_Litterbag Placem_Collection'!$V97)),"YES","NO")</f>
        <v>NO</v>
      </c>
      <c r="AI390" s="245" t="str">
        <f>IF(ISNUMBER(SEARCH("R", 'Dry_Litterbag Placem_Collection'!$V97)),"YES","NO")</f>
        <v>NO</v>
      </c>
      <c r="AJ390" s="245" t="str">
        <f>IF(ISNUMBER(SEARCH("C", 'Dry_Litterbag Placem_Collection'!$U97)),"YES","NO")</f>
        <v>NO</v>
      </c>
      <c r="AK390" s="245" t="str">
        <f>IF(ISNUMBER(SEARCH("H", 'Dry_Litterbag Placem_Collection'!$U97)),"YES","NO")</f>
        <v>NO</v>
      </c>
      <c r="AL390" s="245" t="str">
        <f>IF(ISNUMBER(SEARCH("R", 'Dry_Litterbag Placem_Collection'!$U97)),"YES","NO")</f>
        <v>NO</v>
      </c>
    </row>
    <row r="391" spans="2:38">
      <c r="B391" t="str">
        <f>Dryseason!B537</f>
        <v>Dry</v>
      </c>
      <c r="C391" s="253">
        <f>Dryseason!C537</f>
        <v>96</v>
      </c>
      <c r="D391" t="s">
        <v>3115</v>
      </c>
      <c r="E391" t="s">
        <v>25</v>
      </c>
      <c r="F391" s="375">
        <v>8</v>
      </c>
      <c r="G391" s="376">
        <f>IF('Dry_Litterbag Placem_Collection'!E98="","",'Dry_Litterbag Placem_Collection'!E98)</f>
        <v>42937</v>
      </c>
      <c r="H391" s="92" t="str">
        <f>Dryseason!L537</f>
        <v>G372</v>
      </c>
      <c r="I391" t="str">
        <f>Dryseason!L757</f>
        <v>R698</v>
      </c>
      <c r="J391">
        <f>IFERROR(INDEX('Green_rooibos initial weight'!$C$5:$C$2000,MATCH(H391, 'Green_rooibos initial weight'!$A$5:$A$2000,0)),"")</f>
        <v>2.1539999999999999</v>
      </c>
      <c r="K391">
        <f>IFERROR(INDEX('Green_rooibos initial weight'!$C$5:$C$2000,MATCH(I391, 'Green_rooibos initial weight'!$A$5:$A$2000,0)),"")</f>
        <v>2.1779999999999999</v>
      </c>
      <c r="L391" s="194">
        <f t="shared" si="56"/>
        <v>1.9041999999999999</v>
      </c>
      <c r="M391" s="233">
        <f>AVERAGE(Ashed_controlls!$K$1:$K$11)</f>
        <v>5.5147656768714146</v>
      </c>
      <c r="N391" s="194">
        <f t="shared" si="52"/>
        <v>1.7991878319810144</v>
      </c>
      <c r="O391" s="194">
        <f t="shared" si="57"/>
        <v>1.9281999999999999</v>
      </c>
      <c r="P391" s="233">
        <f>AVERAGE(Ashed_controlls!$K$12:$K$14)</f>
        <v>2.2816647271287041</v>
      </c>
      <c r="Q391" s="194">
        <f t="shared" si="53"/>
        <v>1.8842049407315042</v>
      </c>
      <c r="R391" s="376">
        <f>IF('Dry_Litterbag Placem_Collection'!G98="","",'Dry_Litterbag Placem_Collection'!G98)</f>
        <v>43006</v>
      </c>
      <c r="S391" s="194">
        <f>IFERROR(INDEX('Both teabags AfterDry'!$D$3:$D$2000,MATCH(H391,'Both teabags AfterDry'!$A$3:$A$2000,0)),"")</f>
        <v>1.9605999999999999</v>
      </c>
      <c r="T391" s="194">
        <f>IFERROR(INDEX('Both teabags AfterDry'!$D$3:$D$2000,MATCH(I391,'Both teabags AfterDry'!$A$3:$A$2000,0)),"")</f>
        <v>2.0065</v>
      </c>
      <c r="U391" s="194">
        <f t="shared" si="58"/>
        <v>1.8099999999999998</v>
      </c>
      <c r="V391" s="194">
        <f t="shared" si="59"/>
        <v>1.8558999999999999</v>
      </c>
      <c r="W391" s="194">
        <f>IFERROR(INDEX('Ashed teabags dry'!$K$2:$K$2000,MATCH(H391,'Ashed teabags dry'!$A$2:$A$2000,0)),"")</f>
        <v>5.7128906249998721</v>
      </c>
      <c r="X391" s="194">
        <f>IFERROR(INDEX('Ashed teabags dry'!$K$2:$K$2000,MATCH(I391,'Ashed teabags dry'!$A$2:$A$2000,0)),"")</f>
        <v>3.4017008504250739</v>
      </c>
      <c r="Y391" s="194">
        <f t="shared" si="54"/>
        <v>1.7065966796875021</v>
      </c>
      <c r="Z391" s="194">
        <f t="shared" si="54"/>
        <v>1.792767833916961</v>
      </c>
      <c r="AA391" s="194">
        <f t="shared" si="60"/>
        <v>5.1462749273689767E-2</v>
      </c>
      <c r="AB391" s="194">
        <f t="shared" si="61"/>
        <v>3.3738049405079296E-2</v>
      </c>
      <c r="AC391" s="194">
        <f t="shared" si="55"/>
        <v>0.95147178269310528</v>
      </c>
      <c r="AD391">
        <f t="shared" si="62"/>
        <v>69</v>
      </c>
      <c r="AE391" s="194">
        <f t="shared" si="63"/>
        <v>0.93888034528065345</v>
      </c>
      <c r="AF391" s="194" t="str">
        <f t="shared" si="64"/>
        <v/>
      </c>
      <c r="AG391" s="245" t="str">
        <f>IF(ISNUMBER(SEARCH("C", 'Dry_Litterbag Placem_Collection'!$V98)),"YES","NO")</f>
        <v>NO</v>
      </c>
      <c r="AH391" s="245" t="str">
        <f>IF(ISNUMBER(SEARCH("H", 'Dry_Litterbag Placem_Collection'!$V98)),"YES","NO")</f>
        <v>NO</v>
      </c>
      <c r="AI391" s="245" t="str">
        <f>IF(ISNUMBER(SEARCH("R", 'Dry_Litterbag Placem_Collection'!$V98)),"YES","NO")</f>
        <v>NO</v>
      </c>
      <c r="AJ391" s="245" t="str">
        <f>IF(ISNUMBER(SEARCH("C", 'Dry_Litterbag Placem_Collection'!$U98)),"YES","NO")</f>
        <v>NO</v>
      </c>
      <c r="AK391" s="245" t="str">
        <f>IF(ISNUMBER(SEARCH("H", 'Dry_Litterbag Placem_Collection'!$U98)),"YES","NO")</f>
        <v>NO</v>
      </c>
      <c r="AL391" s="245" t="str">
        <f>IF(ISNUMBER(SEARCH("R", 'Dry_Litterbag Placem_Collection'!$U98)),"YES","NO")</f>
        <v>NO</v>
      </c>
    </row>
    <row r="392" spans="2:38">
      <c r="B392" t="str">
        <f>Dryseason!B538</f>
        <v>Dry</v>
      </c>
      <c r="C392" s="253">
        <f>Dryseason!C538</f>
        <v>97</v>
      </c>
      <c r="D392" t="s">
        <v>3116</v>
      </c>
      <c r="E392" t="s">
        <v>25</v>
      </c>
      <c r="F392" s="374">
        <v>1</v>
      </c>
      <c r="G392" s="376">
        <f>IF('Dry_Litterbag Placem_Collection'!E99="","",'Dry_Litterbag Placem_Collection'!E99)</f>
        <v>42939</v>
      </c>
      <c r="H392" s="92" t="str">
        <f>Dryseason!L538</f>
        <v>G3</v>
      </c>
      <c r="I392" t="str">
        <f>Dryseason!L758</f>
        <v>R47</v>
      </c>
      <c r="J392">
        <f>IFERROR(INDEX('Green_rooibos initial weight'!$C$5:$C$2000,MATCH(H392, 'Green_rooibos initial weight'!$A$5:$A$2000,0)),"")</f>
        <v>2.0470000000000002</v>
      </c>
      <c r="K392">
        <f>IFERROR(INDEX('Green_rooibos initial weight'!$C$5:$C$2000,MATCH(I392, 'Green_rooibos initial weight'!$A$5:$A$2000,0)),"")</f>
        <v>2.1850000000000001</v>
      </c>
      <c r="L392" s="194">
        <f t="shared" si="56"/>
        <v>1.7972000000000001</v>
      </c>
      <c r="M392" s="233">
        <f>AVERAGE(Ashed_controlls!$K$1:$K$11)</f>
        <v>5.5147656768714146</v>
      </c>
      <c r="N392" s="194">
        <f t="shared" si="52"/>
        <v>1.698088631255267</v>
      </c>
      <c r="O392" s="194">
        <f t="shared" si="57"/>
        <v>1.9352</v>
      </c>
      <c r="P392" s="233">
        <f>AVERAGE(Ashed_controlls!$K$12:$K$14)</f>
        <v>2.2816647271287041</v>
      </c>
      <c r="Q392" s="194">
        <f t="shared" si="53"/>
        <v>1.8910452242006053</v>
      </c>
      <c r="R392" s="376">
        <f>IF('Dry_Litterbag Placem_Collection'!G99="","",'Dry_Litterbag Placem_Collection'!G99)</f>
        <v>43010</v>
      </c>
      <c r="S392" s="194" t="str">
        <f>IFERROR(INDEX('Both teabags AfterDry'!$D$3:$D$2000,MATCH(H392,'Both teabags AfterDry'!$A$3:$A$2000,0)),"")</f>
        <v/>
      </c>
      <c r="T392" s="194" t="str">
        <f>IFERROR(INDEX('Both teabags AfterDry'!$D$3:$D$2000,MATCH(I392,'Both teabags AfterDry'!$A$3:$A$2000,0)),"")</f>
        <v/>
      </c>
      <c r="U392" s="194" t="str">
        <f t="shared" si="58"/>
        <v/>
      </c>
      <c r="V392" s="194" t="str">
        <f t="shared" si="59"/>
        <v/>
      </c>
      <c r="W392" s="194" t="str">
        <f>IFERROR(INDEX('Ashed teabags dry'!$K$2:$K$2000,MATCH(H392,'Ashed teabags dry'!$A$2:$A$2000,0)),"")</f>
        <v/>
      </c>
      <c r="X392" s="194" t="str">
        <f>IFERROR(INDEX('Ashed teabags dry'!$K$2:$K$2000,MATCH(I392,'Ashed teabags dry'!$A$2:$A$2000,0)),"")</f>
        <v/>
      </c>
      <c r="Y392" s="194" t="str">
        <f t="shared" si="54"/>
        <v/>
      </c>
      <c r="Z392" s="194" t="str">
        <f t="shared" si="54"/>
        <v/>
      </c>
      <c r="AA392" s="194" t="str">
        <f t="shared" si="60"/>
        <v/>
      </c>
      <c r="AB392" s="194" t="str">
        <f t="shared" si="61"/>
        <v/>
      </c>
      <c r="AC392" s="194" t="str">
        <f t="shared" si="55"/>
        <v/>
      </c>
      <c r="AD392">
        <f t="shared" si="62"/>
        <v>71</v>
      </c>
      <c r="AE392" s="194" t="str">
        <f t="shared" si="63"/>
        <v/>
      </c>
      <c r="AF392" s="194" t="str">
        <f t="shared" si="64"/>
        <v/>
      </c>
      <c r="AG392" s="245" t="str">
        <f>IF(ISNUMBER(SEARCH("C", 'Dry_Litterbag Placem_Collection'!$V99)),"YES","NO")</f>
        <v>NO</v>
      </c>
      <c r="AH392" s="245" t="str">
        <f>IF(ISNUMBER(SEARCH("H", 'Dry_Litterbag Placem_Collection'!$V99)),"YES","NO")</f>
        <v>NO</v>
      </c>
      <c r="AI392" s="245" t="str">
        <f>IF(ISNUMBER(SEARCH("R", 'Dry_Litterbag Placem_Collection'!$V99)),"YES","NO")</f>
        <v>NO</v>
      </c>
      <c r="AJ392" s="245" t="str">
        <f>IF(ISNUMBER(SEARCH("C", 'Dry_Litterbag Placem_Collection'!$U99)),"YES","NO")</f>
        <v>NO</v>
      </c>
      <c r="AK392" s="245" t="str">
        <f>IF(ISNUMBER(SEARCH("H", 'Dry_Litterbag Placem_Collection'!$U99)),"YES","NO")</f>
        <v>NO</v>
      </c>
      <c r="AL392" s="245" t="str">
        <f>IF(ISNUMBER(SEARCH("R", 'Dry_Litterbag Placem_Collection'!$U99)),"YES","NO")</f>
        <v>NO</v>
      </c>
    </row>
    <row r="393" spans="2:38">
      <c r="B393" t="str">
        <f>Dryseason!B539</f>
        <v>Dry</v>
      </c>
      <c r="C393" s="253">
        <f>Dryseason!C539</f>
        <v>98</v>
      </c>
      <c r="D393" t="s">
        <v>3116</v>
      </c>
      <c r="E393" t="s">
        <v>25</v>
      </c>
      <c r="F393" s="374">
        <v>2</v>
      </c>
      <c r="G393" s="376">
        <f>IF('Dry_Litterbag Placem_Collection'!E100="","",'Dry_Litterbag Placem_Collection'!E100)</f>
        <v>42939</v>
      </c>
      <c r="H393" s="92" t="str">
        <f>Dryseason!L539</f>
        <v>G25</v>
      </c>
      <c r="I393" t="str">
        <f>Dryseason!L759</f>
        <v>R707</v>
      </c>
      <c r="J393">
        <f>IFERROR(INDEX('Green_rooibos initial weight'!$C$5:$C$2000,MATCH(H393, 'Green_rooibos initial weight'!$A$5:$A$2000,0)),"")</f>
        <v>2.0230000000000001</v>
      </c>
      <c r="K393">
        <f>IFERROR(INDEX('Green_rooibos initial weight'!$C$5:$C$2000,MATCH(I393, 'Green_rooibos initial weight'!$A$5:$A$2000,0)),"")</f>
        <v>2.145</v>
      </c>
      <c r="L393" s="194">
        <f t="shared" si="56"/>
        <v>1.7732000000000001</v>
      </c>
      <c r="M393" s="233">
        <f>AVERAGE(Ashed_controlls!$K$1:$K$11)</f>
        <v>5.5147656768714146</v>
      </c>
      <c r="N393" s="194">
        <f t="shared" si="52"/>
        <v>1.6754121750177162</v>
      </c>
      <c r="O393" s="194">
        <f t="shared" si="57"/>
        <v>1.8952</v>
      </c>
      <c r="P393" s="233">
        <f>AVERAGE(Ashed_controlls!$K$12:$K$14)</f>
        <v>2.2816647271287041</v>
      </c>
      <c r="Q393" s="194">
        <f t="shared" si="53"/>
        <v>1.8519578900914568</v>
      </c>
      <c r="R393" s="376">
        <f>IF('Dry_Litterbag Placem_Collection'!G100="","",'Dry_Litterbag Placem_Collection'!G100)</f>
        <v>43010</v>
      </c>
      <c r="S393" s="194">
        <f>IFERROR(INDEX('Both teabags AfterDry'!$D$3:$D$2000,MATCH(H393,'Both teabags AfterDry'!$A$3:$A$2000,0)),"")</f>
        <v>0.995</v>
      </c>
      <c r="T393" s="194">
        <f>IFERROR(INDEX('Both teabags AfterDry'!$D$3:$D$2000,MATCH(I393,'Both teabags AfterDry'!$A$3:$A$2000,0)),"")</f>
        <v>1.8146</v>
      </c>
      <c r="U393" s="194">
        <f t="shared" si="58"/>
        <v>0.84440000000000004</v>
      </c>
      <c r="V393" s="194">
        <f t="shared" si="59"/>
        <v>1.6639999999999999</v>
      </c>
      <c r="W393" s="194">
        <f>IFERROR(INDEX('Ashed teabags dry'!$K$2:$K$2000,MATCH(H393,'Ashed teabags dry'!$A$2:$A$2000,0)),"")</f>
        <v>21.132793907663359</v>
      </c>
      <c r="X393" s="194">
        <f>IFERROR(INDEX('Ashed teabags dry'!$K$2:$K$2000,MATCH(I393,'Ashed teabags dry'!$A$2:$A$2000,0)),"")</f>
        <v>4.2060491493383303</v>
      </c>
      <c r="Y393" s="194">
        <f t="shared" si="54"/>
        <v>0.66595468824369064</v>
      </c>
      <c r="Z393" s="194">
        <f t="shared" si="54"/>
        <v>1.5940113421550102</v>
      </c>
      <c r="AA393" s="194">
        <f t="shared" si="60"/>
        <v>0.60251292298466874</v>
      </c>
      <c r="AB393" s="194">
        <f t="shared" si="61"/>
        <v>0.39499659559089922</v>
      </c>
      <c r="AC393" s="194">
        <f t="shared" si="55"/>
        <v>0.86071683955853429</v>
      </c>
      <c r="AD393">
        <f t="shared" si="62"/>
        <v>71</v>
      </c>
      <c r="AE393" s="194">
        <f t="shared" si="63"/>
        <v>0.28442645726286375</v>
      </c>
      <c r="AF393" s="194">
        <f t="shared" si="64"/>
        <v>6.1242214445644139E-3</v>
      </c>
      <c r="AG393" s="245" t="str">
        <f>IF(ISNUMBER(SEARCH("C", 'Dry_Litterbag Placem_Collection'!$V100)),"YES","NO")</f>
        <v>NO</v>
      </c>
      <c r="AH393" s="245" t="str">
        <f>IF(ISNUMBER(SEARCH("H", 'Dry_Litterbag Placem_Collection'!$V100)),"YES","NO")</f>
        <v>NO</v>
      </c>
      <c r="AI393" s="245" t="str">
        <f>IF(ISNUMBER(SEARCH("R", 'Dry_Litterbag Placem_Collection'!$V100)),"YES","NO")</f>
        <v>NO</v>
      </c>
      <c r="AJ393" s="245" t="str">
        <f>IF(ISNUMBER(SEARCH("C", 'Dry_Litterbag Placem_Collection'!$U100)),"YES","NO")</f>
        <v>NO</v>
      </c>
      <c r="AK393" s="245" t="str">
        <f>IF(ISNUMBER(SEARCH("H", 'Dry_Litterbag Placem_Collection'!$U100)),"YES","NO")</f>
        <v>NO</v>
      </c>
      <c r="AL393" s="245" t="str">
        <f>IF(ISNUMBER(SEARCH("R", 'Dry_Litterbag Placem_Collection'!$U100)),"YES","NO")</f>
        <v>NO</v>
      </c>
    </row>
    <row r="394" spans="2:38">
      <c r="B394" t="str">
        <f>Dryseason!B540</f>
        <v>Dry</v>
      </c>
      <c r="C394" s="253">
        <f>Dryseason!C540</f>
        <v>99</v>
      </c>
      <c r="D394" t="s">
        <v>3116</v>
      </c>
      <c r="E394" t="s">
        <v>25</v>
      </c>
      <c r="F394" s="374">
        <v>3</v>
      </c>
      <c r="G394" s="376" t="str">
        <f>IF('Dry_Litterbag Placem_Collection'!E101="","",'Dry_Litterbag Placem_Collection'!E101)</f>
        <v/>
      </c>
      <c r="H394" s="92" t="str">
        <f>Dryseason!L540</f>
        <v/>
      </c>
      <c r="I394" t="str">
        <f>Dryseason!L760</f>
        <v/>
      </c>
      <c r="J394" t="str">
        <f>IFERROR(INDEX('Green_rooibos initial weight'!$C$5:$C$2000,MATCH(H394, 'Green_rooibos initial weight'!$A$5:$A$2000,0)),"")</f>
        <v/>
      </c>
      <c r="K394" t="str">
        <f>IFERROR(INDEX('Green_rooibos initial weight'!$C$5:$C$2000,MATCH(I394, 'Green_rooibos initial weight'!$A$5:$A$2000,0)),"")</f>
        <v/>
      </c>
      <c r="L394" s="194" t="str">
        <f t="shared" si="56"/>
        <v/>
      </c>
      <c r="M394" s="233">
        <f>AVERAGE(Ashed_controlls!$K$1:$K$11)</f>
        <v>5.5147656768714146</v>
      </c>
      <c r="N394" s="194" t="str">
        <f t="shared" si="52"/>
        <v/>
      </c>
      <c r="O394" s="194" t="str">
        <f t="shared" si="57"/>
        <v/>
      </c>
      <c r="P394" s="233">
        <f>AVERAGE(Ashed_controlls!$K$12:$K$14)</f>
        <v>2.2816647271287041</v>
      </c>
      <c r="Q394" s="194" t="str">
        <f t="shared" si="53"/>
        <v/>
      </c>
      <c r="R394" s="376" t="str">
        <f>IF('Dry_Litterbag Placem_Collection'!G101="","",'Dry_Litterbag Placem_Collection'!G101)</f>
        <v/>
      </c>
      <c r="S394" s="194" t="str">
        <f>IFERROR(INDEX('Both teabags AfterDry'!$D$3:$D$2000,MATCH(H394,'Both teabags AfterDry'!$A$3:$A$2000,0)),"")</f>
        <v/>
      </c>
      <c r="T394" s="194" t="str">
        <f>IFERROR(INDEX('Both teabags AfterDry'!$D$3:$D$2000,MATCH(I394,'Both teabags AfterDry'!$A$3:$A$2000,0)),"")</f>
        <v/>
      </c>
      <c r="U394" s="194" t="str">
        <f t="shared" si="58"/>
        <v/>
      </c>
      <c r="V394" s="194" t="str">
        <f t="shared" si="59"/>
        <v/>
      </c>
      <c r="W394" s="194" t="str">
        <f>IFERROR(INDEX('Ashed teabags dry'!$K$2:$K$2000,MATCH(H394,'Ashed teabags dry'!$A$2:$A$2000,0)),"")</f>
        <v/>
      </c>
      <c r="X394" s="194" t="str">
        <f>IFERROR(INDEX('Ashed teabags dry'!$K$2:$K$2000,MATCH(I394,'Ashed teabags dry'!$A$2:$A$2000,0)),"")</f>
        <v/>
      </c>
      <c r="Y394" s="194" t="str">
        <f t="shared" si="54"/>
        <v/>
      </c>
      <c r="Z394" s="194" t="str">
        <f t="shared" si="54"/>
        <v/>
      </c>
      <c r="AA394" s="194" t="str">
        <f t="shared" si="60"/>
        <v/>
      </c>
      <c r="AB394" s="194" t="str">
        <f t="shared" si="61"/>
        <v/>
      </c>
      <c r="AC394" s="194" t="str">
        <f t="shared" si="55"/>
        <v/>
      </c>
      <c r="AD394" t="str">
        <f t="shared" si="62"/>
        <v/>
      </c>
      <c r="AE394" s="194" t="str">
        <f t="shared" si="63"/>
        <v/>
      </c>
      <c r="AF394" s="194" t="str">
        <f t="shared" si="64"/>
        <v/>
      </c>
      <c r="AG394" s="245" t="str">
        <f>IF(ISNUMBER(SEARCH("C", 'Dry_Litterbag Placem_Collection'!$V101)),"YES","NO")</f>
        <v>NO</v>
      </c>
      <c r="AH394" s="245" t="str">
        <f>IF(ISNUMBER(SEARCH("H", 'Dry_Litterbag Placem_Collection'!$V101)),"YES","NO")</f>
        <v>NO</v>
      </c>
      <c r="AI394" s="245" t="str">
        <f>IF(ISNUMBER(SEARCH("R", 'Dry_Litterbag Placem_Collection'!$V101)),"YES","NO")</f>
        <v>NO</v>
      </c>
      <c r="AJ394" s="245" t="str">
        <f>IF(ISNUMBER(SEARCH("C", 'Dry_Litterbag Placem_Collection'!$U101)),"YES","NO")</f>
        <v>NO</v>
      </c>
      <c r="AK394" s="245" t="str">
        <f>IF(ISNUMBER(SEARCH("H", 'Dry_Litterbag Placem_Collection'!$U101)),"YES","NO")</f>
        <v>NO</v>
      </c>
      <c r="AL394" s="245" t="str">
        <f>IF(ISNUMBER(SEARCH("R", 'Dry_Litterbag Placem_Collection'!$U101)),"YES","NO")</f>
        <v>NO</v>
      </c>
    </row>
    <row r="395" spans="2:38">
      <c r="B395" t="str">
        <f>Dryseason!B541</f>
        <v>Dry</v>
      </c>
      <c r="C395" s="253">
        <f>Dryseason!C541</f>
        <v>100</v>
      </c>
      <c r="D395" t="s">
        <v>3116</v>
      </c>
      <c r="E395" t="s">
        <v>25</v>
      </c>
      <c r="F395" s="375">
        <v>4</v>
      </c>
      <c r="G395" s="376">
        <f>IF('Dry_Litterbag Placem_Collection'!E102="","",'Dry_Litterbag Placem_Collection'!E102)</f>
        <v>42939</v>
      </c>
      <c r="H395" s="92" t="str">
        <f>Dryseason!L541</f>
        <v>G187</v>
      </c>
      <c r="I395" t="str">
        <f>Dryseason!L761</f>
        <v>R641</v>
      </c>
      <c r="J395">
        <f>IFERROR(INDEX('Green_rooibos initial weight'!$C$5:$C$2000,MATCH(H395, 'Green_rooibos initial weight'!$A$5:$A$2000,0)),"")</f>
        <v>1.996</v>
      </c>
      <c r="K395">
        <f>IFERROR(INDEX('Green_rooibos initial weight'!$C$5:$C$2000,MATCH(I395, 'Green_rooibos initial weight'!$A$5:$A$2000,0)),"")</f>
        <v>2.1459999999999999</v>
      </c>
      <c r="L395" s="194">
        <f t="shared" si="56"/>
        <v>1.7462</v>
      </c>
      <c r="M395" s="233">
        <f>AVERAGE(Ashed_controlls!$K$1:$K$11)</f>
        <v>5.5147656768714146</v>
      </c>
      <c r="N395" s="194">
        <f t="shared" si="52"/>
        <v>1.6499011617504713</v>
      </c>
      <c r="O395" s="194">
        <f t="shared" si="57"/>
        <v>1.8961999999999999</v>
      </c>
      <c r="P395" s="233">
        <f>AVERAGE(Ashed_controlls!$K$12:$K$14)</f>
        <v>2.2816647271287041</v>
      </c>
      <c r="Q395" s="194">
        <f t="shared" si="53"/>
        <v>1.8529350734441854</v>
      </c>
      <c r="R395" s="376">
        <f>IF('Dry_Litterbag Placem_Collection'!G102="","",'Dry_Litterbag Placem_Collection'!G102)</f>
        <v>43010</v>
      </c>
      <c r="S395" s="194">
        <f>IFERROR(INDEX('Both teabags AfterDry'!$D$3:$D$2000,MATCH(H395,'Both teabags AfterDry'!$A$3:$A$2000,0)),"")</f>
        <v>1.1655</v>
      </c>
      <c r="T395" s="194">
        <f>IFERROR(INDEX('Both teabags AfterDry'!$D$3:$D$2000,MATCH(I395,'Both teabags AfterDry'!$A$3:$A$2000,0)),"")</f>
        <v>1.9777</v>
      </c>
      <c r="U395" s="194">
        <f t="shared" si="58"/>
        <v>1.0148999999999999</v>
      </c>
      <c r="V395" s="194">
        <f t="shared" si="59"/>
        <v>1.8270999999999999</v>
      </c>
      <c r="W395" s="194">
        <f>IFERROR(INDEX('Ashed teabags dry'!$K$2:$K$2000,MATCH(H395,'Ashed teabags dry'!$A$2:$A$2000,0)),"")</f>
        <v>10.999039385206627</v>
      </c>
      <c r="X395" s="194">
        <f>IFERROR(INDEX('Ashed teabags dry'!$K$2:$K$2000,MATCH(I395,'Ashed teabags dry'!$A$2:$A$2000,0)),"")</f>
        <v>3.7708830548921735</v>
      </c>
      <c r="Y395" s="194">
        <f t="shared" si="54"/>
        <v>0.90327074927953788</v>
      </c>
      <c r="Z395" s="194">
        <f t="shared" si="54"/>
        <v>1.758202195704065</v>
      </c>
      <c r="AA395" s="194">
        <f t="shared" si="60"/>
        <v>0.45253038774685872</v>
      </c>
      <c r="AB395" s="194">
        <f t="shared" si="61"/>
        <v>0.29667075301219242</v>
      </c>
      <c r="AC395" s="194">
        <f t="shared" si="55"/>
        <v>0.94887415155673349</v>
      </c>
      <c r="AD395">
        <f t="shared" si="62"/>
        <v>71</v>
      </c>
      <c r="AE395" s="194">
        <f t="shared" si="63"/>
        <v>0.46255298367356446</v>
      </c>
      <c r="AF395" s="194">
        <f t="shared" si="64"/>
        <v>2.6639874223300395E-3</v>
      </c>
      <c r="AG395" s="245" t="str">
        <f>IF(ISNUMBER(SEARCH("C", 'Dry_Litterbag Placem_Collection'!$V102)),"YES","NO")</f>
        <v>NO</v>
      </c>
      <c r="AH395" s="245" t="str">
        <f>IF(ISNUMBER(SEARCH("H", 'Dry_Litterbag Placem_Collection'!$V102)),"YES","NO")</f>
        <v>NO</v>
      </c>
      <c r="AI395" s="245" t="str">
        <f>IF(ISNUMBER(SEARCH("R", 'Dry_Litterbag Placem_Collection'!$V102)),"YES","NO")</f>
        <v>NO</v>
      </c>
      <c r="AJ395" s="245" t="str">
        <f>IF(ISNUMBER(SEARCH("C", 'Dry_Litterbag Placem_Collection'!$U102)),"YES","NO")</f>
        <v>NO</v>
      </c>
      <c r="AK395" s="245" t="str">
        <f>IF(ISNUMBER(SEARCH("H", 'Dry_Litterbag Placem_Collection'!$U102)),"YES","NO")</f>
        <v>NO</v>
      </c>
      <c r="AL395" s="245" t="str">
        <f>IF(ISNUMBER(SEARCH("R", 'Dry_Litterbag Placem_Collection'!$U102)),"YES","NO")</f>
        <v>NO</v>
      </c>
    </row>
    <row r="396" spans="2:38">
      <c r="B396" t="str">
        <f>Dryseason!B542</f>
        <v>Dry</v>
      </c>
      <c r="C396" s="253">
        <f>Dryseason!C542</f>
        <v>101</v>
      </c>
      <c r="D396" t="s">
        <v>3116</v>
      </c>
      <c r="E396" t="s">
        <v>25</v>
      </c>
      <c r="F396" s="375">
        <v>5</v>
      </c>
      <c r="G396" s="376">
        <f>IF('Dry_Litterbag Placem_Collection'!E103="","",'Dry_Litterbag Placem_Collection'!E103)</f>
        <v>42939</v>
      </c>
      <c r="H396" s="92" t="str">
        <f>Dryseason!L542</f>
        <v>G398</v>
      </c>
      <c r="I396" t="str">
        <f>Dryseason!L762</f>
        <v>R245</v>
      </c>
      <c r="J396">
        <f>IFERROR(INDEX('Green_rooibos initial weight'!$C$5:$C$2000,MATCH(H396, 'Green_rooibos initial weight'!$A$5:$A$2000,0)),"")</f>
        <v>1.9870000000000001</v>
      </c>
      <c r="K396">
        <f>IFERROR(INDEX('Green_rooibos initial weight'!$C$5:$C$2000,MATCH(I396, 'Green_rooibos initial weight'!$A$5:$A$2000,0)),"")</f>
        <v>2.258</v>
      </c>
      <c r="L396" s="194">
        <f t="shared" si="56"/>
        <v>1.7372000000000001</v>
      </c>
      <c r="M396" s="233">
        <f>AVERAGE(Ashed_controlls!$K$1:$K$11)</f>
        <v>5.5147656768714146</v>
      </c>
      <c r="N396" s="194">
        <f t="shared" ref="N396:N459" si="65">IFERROR(L396-(M396/100)*L396,"")</f>
        <v>1.64139749066139</v>
      </c>
      <c r="O396" s="194">
        <f t="shared" si="57"/>
        <v>2.0082</v>
      </c>
      <c r="P396" s="233">
        <f>AVERAGE(Ashed_controlls!$K$12:$K$14)</f>
        <v>2.2816647271287041</v>
      </c>
      <c r="Q396" s="194">
        <f t="shared" ref="Q396:Q459" si="66">IFERROR(O396-(P396/100)*O396,"")</f>
        <v>1.9623796089498013</v>
      </c>
      <c r="R396" s="376">
        <f>IF('Dry_Litterbag Placem_Collection'!G103="","",'Dry_Litterbag Placem_Collection'!G103)</f>
        <v>43010</v>
      </c>
      <c r="S396" s="194">
        <f>IFERROR(INDEX('Both teabags AfterDry'!$D$3:$D$2000,MATCH(H396,'Both teabags AfterDry'!$A$3:$A$2000,0)),"")</f>
        <v>1.0217000000000001</v>
      </c>
      <c r="T396" s="194">
        <f>IFERROR(INDEX('Both teabags AfterDry'!$D$3:$D$2000,MATCH(I396,'Both teabags AfterDry'!$A$3:$A$2000,0)),"")</f>
        <v>1.8418000000000001</v>
      </c>
      <c r="U396" s="194">
        <f t="shared" si="58"/>
        <v>0.87109999999999999</v>
      </c>
      <c r="V396" s="194">
        <f t="shared" si="59"/>
        <v>1.6912</v>
      </c>
      <c r="W396" s="194">
        <f>IFERROR(INDEX('Ashed teabags dry'!$K$2:$K$2000,MATCH(H396,'Ashed teabags dry'!$A$2:$A$2000,0)),"")</f>
        <v>14.119832791454268</v>
      </c>
      <c r="X396" s="194">
        <f>IFERROR(INDEX('Ashed teabags dry'!$K$2:$K$2000,MATCH(I396,'Ashed teabags dry'!$A$2:$A$2000,0)),"")</f>
        <v>3.2786885245898914</v>
      </c>
      <c r="Y396" s="194">
        <f t="shared" ref="Y396:Z459" si="67">IFERROR(U396-(W396/100)*U396,"")</f>
        <v>0.74810213655364188</v>
      </c>
      <c r="Z396" s="194">
        <f t="shared" si="67"/>
        <v>1.6357508196721358</v>
      </c>
      <c r="AA396" s="194">
        <f t="shared" si="60"/>
        <v>0.54422853646973768</v>
      </c>
      <c r="AB396" s="194">
        <f t="shared" si="61"/>
        <v>0.35678640395640765</v>
      </c>
      <c r="AC396" s="194">
        <f t="shared" ref="AC396:AC459" si="68">IFERROR(Z396/Q396,"")</f>
        <v>0.8335547374279606</v>
      </c>
      <c r="AD396">
        <f t="shared" si="62"/>
        <v>71</v>
      </c>
      <c r="AE396" s="194">
        <f t="shared" si="63"/>
        <v>0.35364781891955144</v>
      </c>
      <c r="AF396" s="194">
        <f t="shared" si="64"/>
        <v>8.8495683280956413E-3</v>
      </c>
      <c r="AG396" s="245" t="str">
        <f>IF(ISNUMBER(SEARCH("C", 'Dry_Litterbag Placem_Collection'!$V103)),"YES","NO")</f>
        <v>NO</v>
      </c>
      <c r="AH396" s="245" t="str">
        <f>IF(ISNUMBER(SEARCH("H", 'Dry_Litterbag Placem_Collection'!$V103)),"YES","NO")</f>
        <v>NO</v>
      </c>
      <c r="AI396" s="245" t="str">
        <f>IF(ISNUMBER(SEARCH("R", 'Dry_Litterbag Placem_Collection'!$V103)),"YES","NO")</f>
        <v>NO</v>
      </c>
      <c r="AJ396" s="245" t="str">
        <f>IF(ISNUMBER(SEARCH("C", 'Dry_Litterbag Placem_Collection'!$U103)),"YES","NO")</f>
        <v>NO</v>
      </c>
      <c r="AK396" s="245" t="str">
        <f>IF(ISNUMBER(SEARCH("H", 'Dry_Litterbag Placem_Collection'!$U103)),"YES","NO")</f>
        <v>NO</v>
      </c>
      <c r="AL396" s="245" t="str">
        <f>IF(ISNUMBER(SEARCH("R", 'Dry_Litterbag Placem_Collection'!$U103)),"YES","NO")</f>
        <v>NO</v>
      </c>
    </row>
    <row r="397" spans="2:38">
      <c r="B397" t="str">
        <f>Dryseason!B543</f>
        <v>Dry</v>
      </c>
      <c r="C397" s="253">
        <f>Dryseason!C543</f>
        <v>102</v>
      </c>
      <c r="D397" t="s">
        <v>3116</v>
      </c>
      <c r="E397" t="s">
        <v>25</v>
      </c>
      <c r="F397" s="375">
        <v>6</v>
      </c>
      <c r="G397" s="376">
        <f>IF('Dry_Litterbag Placem_Collection'!E104="","",'Dry_Litterbag Placem_Collection'!E104)</f>
        <v>42939</v>
      </c>
      <c r="H397" s="92" t="str">
        <f>Dryseason!L543</f>
        <v>G120</v>
      </c>
      <c r="I397" t="str">
        <f>Dryseason!L763</f>
        <v>R714</v>
      </c>
      <c r="J397">
        <f>IFERROR(INDEX('Green_rooibos initial weight'!$C$5:$C$2000,MATCH(H397, 'Green_rooibos initial weight'!$A$5:$A$2000,0)),"")</f>
        <v>2.0449999999999999</v>
      </c>
      <c r="K397">
        <f>IFERROR(INDEX('Green_rooibos initial weight'!$C$5:$C$2000,MATCH(I397, 'Green_rooibos initial weight'!$A$5:$A$2000,0)),"")</f>
        <v>2.1560000000000001</v>
      </c>
      <c r="L397" s="194">
        <f t="shared" ref="L397:L460" si="69">IFERROR(IF(J397&gt;0,(J397*$F$31-($F$29+$F$30)),""),"")</f>
        <v>1.7951999999999999</v>
      </c>
      <c r="M397" s="233">
        <f>AVERAGE(Ashed_controlls!$K$1:$K$11)</f>
        <v>5.5147656768714146</v>
      </c>
      <c r="N397" s="194">
        <f t="shared" si="65"/>
        <v>1.6961989265688042</v>
      </c>
      <c r="O397" s="194">
        <f t="shared" ref="O397:O460" si="70">IFERROR(IF(K397&gt;0,(K397*$F$32-($F$29+$F$30)),""),"")</f>
        <v>1.9062000000000001</v>
      </c>
      <c r="P397" s="233">
        <f>AVERAGE(Ashed_controlls!$K$12:$K$14)</f>
        <v>2.2816647271287041</v>
      </c>
      <c r="Q397" s="194">
        <f t="shared" si="66"/>
        <v>1.8627069069714728</v>
      </c>
      <c r="R397" s="376">
        <f>IF('Dry_Litterbag Placem_Collection'!G104="","",'Dry_Litterbag Placem_Collection'!G104)</f>
        <v>43010</v>
      </c>
      <c r="S397" s="194">
        <f>IFERROR(INDEX('Both teabags AfterDry'!$D$3:$D$2000,MATCH(H397,'Both teabags AfterDry'!$A$3:$A$2000,0)),"")</f>
        <v>1.0569999999999999</v>
      </c>
      <c r="T397" s="194">
        <f>IFERROR(INDEX('Both teabags AfterDry'!$D$3:$D$2000,MATCH(I397,'Both teabags AfterDry'!$A$3:$A$2000,0)),"")</f>
        <v>1.8105</v>
      </c>
      <c r="U397" s="194">
        <f t="shared" ref="U397:U460" si="71">IFERROR(IF(S397&gt;0,S397-($F$29),""),"")</f>
        <v>0.90639999999999987</v>
      </c>
      <c r="V397" s="194">
        <f t="shared" ref="V397:V460" si="72">IFERROR(IF(T397&gt;0,T397-($F$29),""),"")</f>
        <v>1.6598999999999999</v>
      </c>
      <c r="W397" s="194">
        <f>IFERROR(INDEX('Ashed teabags dry'!$K$2:$K$2000,MATCH(H397,'Ashed teabags dry'!$A$2:$A$2000,0)),"")</f>
        <v>10.580708661416786</v>
      </c>
      <c r="X397" s="194">
        <f>IFERROR(INDEX('Ashed teabags dry'!$K$2:$K$2000,MATCH(I397,'Ashed teabags dry'!$A$2:$A$2000,0)),"")</f>
        <v>4.3863535666823292</v>
      </c>
      <c r="Y397" s="194">
        <f t="shared" si="67"/>
        <v>0.81049645669291814</v>
      </c>
      <c r="Z397" s="194">
        <f t="shared" si="67"/>
        <v>1.5870909171466399</v>
      </c>
      <c r="AA397" s="194">
        <f t="shared" ref="AA397:AA460" si="73">IFERROR(1-Y397/N397,"")</f>
        <v>0.52216898383938382</v>
      </c>
      <c r="AB397" s="194">
        <f t="shared" ref="AB397:AB460" si="74">IFERROR($F$26*(1-AE397),"")</f>
        <v>0.34232455947665075</v>
      </c>
      <c r="AC397" s="194">
        <f t="shared" si="68"/>
        <v>0.85203469810881316</v>
      </c>
      <c r="AD397">
        <f t="shared" ref="AD397:AD460" si="75">IFERROR(IF((R397-G397)&gt;0,(IFERROR(R397-G397,"")),""),"")</f>
        <v>71</v>
      </c>
      <c r="AE397" s="194">
        <f t="shared" ref="AE397:AE460" si="76">IFERROR(1-(AA397/$F$25),"")</f>
        <v>0.37984681254229946</v>
      </c>
      <c r="AF397" s="194">
        <f t="shared" ref="AF397:AF460" si="77">IFERROR(LN(AB397/(AC397-(1-AB397)))/AD397,"")</f>
        <v>7.9725493186023223E-3</v>
      </c>
      <c r="AG397" s="245" t="str">
        <f>IF(ISNUMBER(SEARCH("C", 'Dry_Litterbag Placem_Collection'!$V104)),"YES","NO")</f>
        <v>NO</v>
      </c>
      <c r="AH397" s="245" t="str">
        <f>IF(ISNUMBER(SEARCH("H", 'Dry_Litterbag Placem_Collection'!$V104)),"YES","NO")</f>
        <v>NO</v>
      </c>
      <c r="AI397" s="245" t="str">
        <f>IF(ISNUMBER(SEARCH("R", 'Dry_Litterbag Placem_Collection'!$V104)),"YES","NO")</f>
        <v>NO</v>
      </c>
      <c r="AJ397" s="245" t="str">
        <f>IF(ISNUMBER(SEARCH("C", 'Dry_Litterbag Placem_Collection'!$U104)),"YES","NO")</f>
        <v>NO</v>
      </c>
      <c r="AK397" s="245" t="str">
        <f>IF(ISNUMBER(SEARCH("H", 'Dry_Litterbag Placem_Collection'!$U104)),"YES","NO")</f>
        <v>NO</v>
      </c>
      <c r="AL397" s="245" t="str">
        <f>IF(ISNUMBER(SEARCH("R", 'Dry_Litterbag Placem_Collection'!$U104)),"YES","NO")</f>
        <v>NO</v>
      </c>
    </row>
    <row r="398" spans="2:38">
      <c r="B398" t="str">
        <f>Dryseason!B544</f>
        <v>Dry</v>
      </c>
      <c r="C398" s="253">
        <f>Dryseason!C544</f>
        <v>103</v>
      </c>
      <c r="D398" t="s">
        <v>3116</v>
      </c>
      <c r="E398" t="s">
        <v>25</v>
      </c>
      <c r="F398" s="375">
        <v>7</v>
      </c>
      <c r="G398" s="376">
        <f>IF('Dry_Litterbag Placem_Collection'!E105="","",'Dry_Litterbag Placem_Collection'!E105)</f>
        <v>42939</v>
      </c>
      <c r="H398" s="92" t="str">
        <f>Dryseason!L544</f>
        <v>G145</v>
      </c>
      <c r="I398" t="str">
        <f>Dryseason!L764</f>
        <v>R701</v>
      </c>
      <c r="J398">
        <f>IFERROR(INDEX('Green_rooibos initial weight'!$C$5:$C$2000,MATCH(H398, 'Green_rooibos initial weight'!$A$5:$A$2000,0)),"")</f>
        <v>2.044</v>
      </c>
      <c r="K398">
        <f>IFERROR(INDEX('Green_rooibos initial weight'!$C$5:$C$2000,MATCH(I398, 'Green_rooibos initial weight'!$A$5:$A$2000,0)),"")</f>
        <v>2.1549999999999998</v>
      </c>
      <c r="L398" s="194">
        <f t="shared" si="69"/>
        <v>1.7942</v>
      </c>
      <c r="M398" s="233">
        <f>AVERAGE(Ashed_controlls!$K$1:$K$11)</f>
        <v>5.5147656768714146</v>
      </c>
      <c r="N398" s="194">
        <f t="shared" si="65"/>
        <v>1.6952540742255731</v>
      </c>
      <c r="O398" s="194">
        <f t="shared" si="70"/>
        <v>1.9051999999999998</v>
      </c>
      <c r="P398" s="233">
        <f>AVERAGE(Ashed_controlls!$K$12:$K$14)</f>
        <v>2.2816647271287041</v>
      </c>
      <c r="Q398" s="194">
        <f t="shared" si="66"/>
        <v>1.8617297236187438</v>
      </c>
      <c r="R398" s="376">
        <f>IF('Dry_Litterbag Placem_Collection'!G105="","",'Dry_Litterbag Placem_Collection'!G105)</f>
        <v>43010</v>
      </c>
      <c r="S398" s="194">
        <f>IFERROR(INDEX('Both teabags AfterDry'!$D$3:$D$2000,MATCH(H398,'Both teabags AfterDry'!$A$3:$A$2000,0)),"")</f>
        <v>1.0654999999999999</v>
      </c>
      <c r="T398" s="194">
        <f>IFERROR(INDEX('Both teabags AfterDry'!$D$3:$D$2000,MATCH(I398,'Both teabags AfterDry'!$A$3:$A$2000,0)),"")</f>
        <v>1.8272999999999999</v>
      </c>
      <c r="U398" s="194">
        <f t="shared" si="71"/>
        <v>0.91489999999999982</v>
      </c>
      <c r="V398" s="194">
        <f t="shared" si="72"/>
        <v>1.6766999999999999</v>
      </c>
      <c r="W398" s="194">
        <f>IFERROR(INDEX('Ashed teabags dry'!$K$2:$K$2000,MATCH(H398,'Ashed teabags dry'!$A$2:$A$2000,0)),"")</f>
        <v>11.406672678088214</v>
      </c>
      <c r="X398" s="194">
        <f>IFERROR(INDEX('Ashed teabags dry'!$K$2:$K$2000,MATCH(I398,'Ashed teabags dry'!$A$2:$A$2000,0)),"")</f>
        <v>4.2152466367706989</v>
      </c>
      <c r="Y398" s="194">
        <f t="shared" si="67"/>
        <v>0.81054035166817084</v>
      </c>
      <c r="Z398" s="194">
        <f t="shared" si="67"/>
        <v>1.6060229596412656</v>
      </c>
      <c r="AA398" s="194">
        <f t="shared" si="73"/>
        <v>0.5218767711627873</v>
      </c>
      <c r="AB398" s="194">
        <f t="shared" si="74"/>
        <v>0.3421329901209722</v>
      </c>
      <c r="AC398" s="194">
        <f t="shared" si="68"/>
        <v>0.86265097412719649</v>
      </c>
      <c r="AD398">
        <f t="shared" si="75"/>
        <v>71</v>
      </c>
      <c r="AE398" s="194">
        <f t="shared" si="76"/>
        <v>0.38019385847649967</v>
      </c>
      <c r="AF398" s="194">
        <f t="shared" si="77"/>
        <v>7.2287877598408269E-3</v>
      </c>
      <c r="AG398" s="245" t="str">
        <f>IF(ISNUMBER(SEARCH("C", 'Dry_Litterbag Placem_Collection'!$V105)),"YES","NO")</f>
        <v>NO</v>
      </c>
      <c r="AH398" s="245" t="str">
        <f>IF(ISNUMBER(SEARCH("H", 'Dry_Litterbag Placem_Collection'!$V105)),"YES","NO")</f>
        <v>NO</v>
      </c>
      <c r="AI398" s="245" t="str">
        <f>IF(ISNUMBER(SEARCH("R", 'Dry_Litterbag Placem_Collection'!$V105)),"YES","NO")</f>
        <v>NO</v>
      </c>
      <c r="AJ398" s="245" t="str">
        <f>IF(ISNUMBER(SEARCH("C", 'Dry_Litterbag Placem_Collection'!$U105)),"YES","NO")</f>
        <v>NO</v>
      </c>
      <c r="AK398" s="245" t="str">
        <f>IF(ISNUMBER(SEARCH("H", 'Dry_Litterbag Placem_Collection'!$U105)),"YES","NO")</f>
        <v>NO</v>
      </c>
      <c r="AL398" s="245" t="str">
        <f>IF(ISNUMBER(SEARCH("R", 'Dry_Litterbag Placem_Collection'!$U105)),"YES","NO")</f>
        <v>NO</v>
      </c>
    </row>
    <row r="399" spans="2:38">
      <c r="B399" t="str">
        <f>Dryseason!B545</f>
        <v>Dry</v>
      </c>
      <c r="C399" s="253">
        <f>Dryseason!C545</f>
        <v>104</v>
      </c>
      <c r="D399" t="s">
        <v>3116</v>
      </c>
      <c r="E399" t="s">
        <v>25</v>
      </c>
      <c r="F399" s="375">
        <v>8</v>
      </c>
      <c r="G399" s="376">
        <f>IF('Dry_Litterbag Placem_Collection'!E106="","",'Dry_Litterbag Placem_Collection'!E106)</f>
        <v>42939</v>
      </c>
      <c r="H399" s="92" t="str">
        <f>Dryseason!L545</f>
        <v>G76</v>
      </c>
      <c r="I399" t="str">
        <f>Dryseason!L765</f>
        <v>R365</v>
      </c>
      <c r="J399">
        <f>IFERROR(INDEX('Green_rooibos initial weight'!$C$5:$C$2000,MATCH(H399, 'Green_rooibos initial weight'!$A$5:$A$2000,0)),"")</f>
        <v>2.0129999999999999</v>
      </c>
      <c r="K399">
        <f>IFERROR(INDEX('Green_rooibos initial weight'!$C$5:$C$2000,MATCH(I399, 'Green_rooibos initial weight'!$A$5:$A$2000,0)),"")</f>
        <v>2.2130000000000001</v>
      </c>
      <c r="L399" s="194">
        <f t="shared" si="69"/>
        <v>1.7631999999999999</v>
      </c>
      <c r="M399" s="233">
        <f>AVERAGE(Ashed_controlls!$K$1:$K$11)</f>
        <v>5.5147656768714146</v>
      </c>
      <c r="N399" s="194">
        <f t="shared" si="65"/>
        <v>1.665963651585403</v>
      </c>
      <c r="O399" s="194">
        <f t="shared" si="70"/>
        <v>1.9632000000000001</v>
      </c>
      <c r="P399" s="233">
        <f>AVERAGE(Ashed_controlls!$K$12:$K$14)</f>
        <v>2.2816647271287041</v>
      </c>
      <c r="Q399" s="194">
        <f t="shared" si="66"/>
        <v>1.9184063580770094</v>
      </c>
      <c r="R399" s="376">
        <f>IF('Dry_Litterbag Placem_Collection'!G106="","",'Dry_Litterbag Placem_Collection'!G106)</f>
        <v>43010</v>
      </c>
      <c r="S399" s="194">
        <f>IFERROR(INDEX('Both teabags AfterDry'!$D$3:$D$2000,MATCH(H399,'Both teabags AfterDry'!$A$3:$A$2000,0)),"")</f>
        <v>1.2876000000000001</v>
      </c>
      <c r="T399" s="194">
        <f>IFERROR(INDEX('Both teabags AfterDry'!$D$3:$D$2000,MATCH(I399,'Both teabags AfterDry'!$A$3:$A$2000,0)),"")</f>
        <v>1.9468000000000001</v>
      </c>
      <c r="U399" s="194">
        <f t="shared" si="71"/>
        <v>1.137</v>
      </c>
      <c r="V399" s="194">
        <f t="shared" si="72"/>
        <v>1.7962</v>
      </c>
      <c r="W399" s="194">
        <f>IFERROR(INDEX('Ashed teabags dry'!$K$2:$K$2000,MATCH(H399,'Ashed teabags dry'!$A$2:$A$2000,0)),"")</f>
        <v>9.59232613908814</v>
      </c>
      <c r="X399" s="194">
        <f>IFERROR(INDEX('Ashed teabags dry'!$K$2:$K$2000,MATCH(I399,'Ashed teabags dry'!$A$2:$A$2000,0)),"")</f>
        <v>3.5681186283600224</v>
      </c>
      <c r="Y399" s="194">
        <f t="shared" si="67"/>
        <v>1.0279352517985678</v>
      </c>
      <c r="Z399" s="194">
        <f t="shared" si="67"/>
        <v>1.7321094531973973</v>
      </c>
      <c r="AA399" s="194">
        <f t="shared" si="73"/>
        <v>0.38297858370418814</v>
      </c>
      <c r="AB399" s="194">
        <f t="shared" si="74"/>
        <v>0.25107384584882647</v>
      </c>
      <c r="AC399" s="194">
        <f t="shared" si="68"/>
        <v>0.90288975842096653</v>
      </c>
      <c r="AD399">
        <f t="shared" si="75"/>
        <v>71</v>
      </c>
      <c r="AE399" s="194">
        <f t="shared" si="76"/>
        <v>0.54515607636082164</v>
      </c>
      <c r="AF399" s="194">
        <f t="shared" si="77"/>
        <v>6.8877586459026238E-3</v>
      </c>
      <c r="AG399" s="245" t="str">
        <f>IF(ISNUMBER(SEARCH("C", 'Dry_Litterbag Placem_Collection'!$V106)),"YES","NO")</f>
        <v>NO</v>
      </c>
      <c r="AH399" s="245" t="str">
        <f>IF(ISNUMBER(SEARCH("H", 'Dry_Litterbag Placem_Collection'!$V106)),"YES","NO")</f>
        <v>NO</v>
      </c>
      <c r="AI399" s="245" t="str">
        <f>IF(ISNUMBER(SEARCH("R", 'Dry_Litterbag Placem_Collection'!$V106)),"YES","NO")</f>
        <v>NO</v>
      </c>
      <c r="AJ399" s="245" t="str">
        <f>IF(ISNUMBER(SEARCH("C", 'Dry_Litterbag Placem_Collection'!$U106)),"YES","NO")</f>
        <v>NO</v>
      </c>
      <c r="AK399" s="245" t="str">
        <f>IF(ISNUMBER(SEARCH("H", 'Dry_Litterbag Placem_Collection'!$U106)),"YES","NO")</f>
        <v>NO</v>
      </c>
      <c r="AL399" s="245" t="str">
        <f>IF(ISNUMBER(SEARCH("R", 'Dry_Litterbag Placem_Collection'!$U106)),"YES","NO")</f>
        <v>NO</v>
      </c>
    </row>
    <row r="400" spans="2:38">
      <c r="B400" t="str">
        <f>Dryseason!B546</f>
        <v>Dry</v>
      </c>
      <c r="C400" s="253">
        <f>Dryseason!C546</f>
        <v>105</v>
      </c>
      <c r="D400" t="s">
        <v>3118</v>
      </c>
      <c r="E400" t="s">
        <v>25</v>
      </c>
      <c r="F400" s="374">
        <v>1</v>
      </c>
      <c r="G400" s="376">
        <f>IF('Dry_Litterbag Placem_Collection'!E107="","",'Dry_Litterbag Placem_Collection'!E107)</f>
        <v>42939</v>
      </c>
      <c r="H400" s="92" t="str">
        <f>Dryseason!L546</f>
        <v>G57</v>
      </c>
      <c r="I400" t="str">
        <f>Dryseason!L766</f>
        <v>R212</v>
      </c>
      <c r="J400">
        <f>IFERROR(INDEX('Green_rooibos initial weight'!$C$5:$C$2000,MATCH(H400, 'Green_rooibos initial weight'!$A$5:$A$2000,0)),"")</f>
        <v>2.077</v>
      </c>
      <c r="K400">
        <f>IFERROR(INDEX('Green_rooibos initial weight'!$C$5:$C$2000,MATCH(I400, 'Green_rooibos initial weight'!$A$5:$A$2000,0)),"")</f>
        <v>2.2519999999999998</v>
      </c>
      <c r="L400" s="194">
        <f t="shared" si="69"/>
        <v>1.8271999999999999</v>
      </c>
      <c r="M400" s="233">
        <f>AVERAGE(Ashed_controlls!$K$1:$K$11)</f>
        <v>5.5147656768714146</v>
      </c>
      <c r="N400" s="194">
        <f t="shared" si="65"/>
        <v>1.7264342015522054</v>
      </c>
      <c r="O400" s="194">
        <f t="shared" si="70"/>
        <v>2.0021999999999998</v>
      </c>
      <c r="P400" s="233">
        <f>AVERAGE(Ashed_controlls!$K$12:$K$14)</f>
        <v>2.2816647271287041</v>
      </c>
      <c r="Q400" s="194">
        <f t="shared" si="66"/>
        <v>1.9565165088334289</v>
      </c>
      <c r="R400" s="376">
        <f>IF('Dry_Litterbag Placem_Collection'!G107="","",'Dry_Litterbag Placem_Collection'!G107)</f>
        <v>43010</v>
      </c>
      <c r="S400" s="194">
        <f>IFERROR(INDEX('Both teabags AfterDry'!$D$3:$D$2000,MATCH(H400,'Both teabags AfterDry'!$A$3:$A$2000,0)),"")</f>
        <v>1.0114000000000001</v>
      </c>
      <c r="T400" s="194">
        <f>IFERROR(INDEX('Both teabags AfterDry'!$D$3:$D$2000,MATCH(I400,'Both teabags AfterDry'!$A$3:$A$2000,0)),"")</f>
        <v>1.9135</v>
      </c>
      <c r="U400" s="194">
        <f t="shared" si="71"/>
        <v>0.86080000000000001</v>
      </c>
      <c r="V400" s="194">
        <f t="shared" si="72"/>
        <v>1.7628999999999999</v>
      </c>
      <c r="W400" s="194">
        <f>IFERROR(INDEX('Ashed teabags dry'!$K$2:$K$2000,MATCH(H400,'Ashed teabags dry'!$A$2:$A$2000,0)),"")</f>
        <v>24.439461883408928</v>
      </c>
      <c r="X400" s="194">
        <f>IFERROR(INDEX('Ashed teabags dry'!$K$2:$K$2000,MATCH(I400,'Ashed teabags dry'!$A$2:$A$2000,0)),"")</f>
        <v>7.1020019065774402</v>
      </c>
      <c r="Y400" s="194">
        <f t="shared" si="67"/>
        <v>0.65042511210761589</v>
      </c>
      <c r="Z400" s="194">
        <f t="shared" si="67"/>
        <v>1.6376988083889463</v>
      </c>
      <c r="AA400" s="194">
        <f t="shared" si="73"/>
        <v>0.62325519760739767</v>
      </c>
      <c r="AB400" s="194">
        <f t="shared" si="74"/>
        <v>0.40859485638869786</v>
      </c>
      <c r="AC400" s="194">
        <f t="shared" si="68"/>
        <v>0.83704829527118207</v>
      </c>
      <c r="AD400">
        <f t="shared" si="75"/>
        <v>71</v>
      </c>
      <c r="AE400" s="194">
        <f t="shared" si="76"/>
        <v>0.2597919268320692</v>
      </c>
      <c r="AF400" s="194">
        <f t="shared" si="77"/>
        <v>7.166819917542905E-3</v>
      </c>
      <c r="AG400" s="245" t="str">
        <f>IF(ISNUMBER(SEARCH("C", 'Dry_Litterbag Placem_Collection'!$V107)),"YES","NO")</f>
        <v>NO</v>
      </c>
      <c r="AH400" s="245" t="str">
        <f>IF(ISNUMBER(SEARCH("H", 'Dry_Litterbag Placem_Collection'!$V107)),"YES","NO")</f>
        <v>NO</v>
      </c>
      <c r="AI400" s="245" t="str">
        <f>IF(ISNUMBER(SEARCH("R", 'Dry_Litterbag Placem_Collection'!$V107)),"YES","NO")</f>
        <v>NO</v>
      </c>
      <c r="AJ400" s="245" t="str">
        <f>IF(ISNUMBER(SEARCH("C", 'Dry_Litterbag Placem_Collection'!$U107)),"YES","NO")</f>
        <v>NO</v>
      </c>
      <c r="AK400" s="245" t="str">
        <f>IF(ISNUMBER(SEARCH("H", 'Dry_Litterbag Placem_Collection'!$U107)),"YES","NO")</f>
        <v>NO</v>
      </c>
      <c r="AL400" s="245" t="str">
        <f>IF(ISNUMBER(SEARCH("R", 'Dry_Litterbag Placem_Collection'!$U107)),"YES","NO")</f>
        <v>NO</v>
      </c>
    </row>
    <row r="401" spans="2:38">
      <c r="B401" t="str">
        <f>Dryseason!B547</f>
        <v>Dry</v>
      </c>
      <c r="C401" s="253">
        <f>Dryseason!C547</f>
        <v>106</v>
      </c>
      <c r="D401" t="s">
        <v>3118</v>
      </c>
      <c r="E401" t="s">
        <v>25</v>
      </c>
      <c r="F401" s="374">
        <v>2</v>
      </c>
      <c r="G401" s="376">
        <f>IF('Dry_Litterbag Placem_Collection'!E108="","",'Dry_Litterbag Placem_Collection'!E108)</f>
        <v>42939</v>
      </c>
      <c r="H401" s="92" t="str">
        <f>Dryseason!L547</f>
        <v>G167</v>
      </c>
      <c r="I401" t="str">
        <f>Dryseason!L767</f>
        <v>R66</v>
      </c>
      <c r="J401">
        <f>IFERROR(INDEX('Green_rooibos initial weight'!$C$5:$C$2000,MATCH(H401, 'Green_rooibos initial weight'!$A$5:$A$2000,0)),"")</f>
        <v>1.996</v>
      </c>
      <c r="K401">
        <f>IFERROR(INDEX('Green_rooibos initial weight'!$C$5:$C$2000,MATCH(I401, 'Green_rooibos initial weight'!$A$5:$A$2000,0)),"")</f>
        <v>2.1120000000000001</v>
      </c>
      <c r="L401" s="194">
        <f t="shared" si="69"/>
        <v>1.7462</v>
      </c>
      <c r="M401" s="233">
        <f>AVERAGE(Ashed_controlls!$K$1:$K$11)</f>
        <v>5.5147656768714146</v>
      </c>
      <c r="N401" s="194">
        <f t="shared" si="65"/>
        <v>1.6499011617504713</v>
      </c>
      <c r="O401" s="194">
        <f t="shared" si="70"/>
        <v>1.8622000000000001</v>
      </c>
      <c r="P401" s="233">
        <f>AVERAGE(Ashed_controlls!$K$12:$K$14)</f>
        <v>2.2816647271287041</v>
      </c>
      <c r="Q401" s="194">
        <f t="shared" si="66"/>
        <v>1.8197108394514094</v>
      </c>
      <c r="R401" s="376">
        <f>IF('Dry_Litterbag Placem_Collection'!G108="","",'Dry_Litterbag Placem_Collection'!G108)</f>
        <v>43010</v>
      </c>
      <c r="S401" s="194">
        <f>IFERROR(INDEX('Both teabags AfterDry'!$D$3:$D$2000,MATCH(H401,'Both teabags AfterDry'!$A$3:$A$2000,0)),"")</f>
        <v>0.98309999999999997</v>
      </c>
      <c r="T401" s="194">
        <f>IFERROR(INDEX('Both teabags AfterDry'!$D$3:$D$2000,MATCH(I401,'Both teabags AfterDry'!$A$3:$A$2000,0)),"")</f>
        <v>1.7972999999999999</v>
      </c>
      <c r="U401" s="194">
        <f t="shared" si="71"/>
        <v>0.83250000000000002</v>
      </c>
      <c r="V401" s="194">
        <f t="shared" si="72"/>
        <v>1.6466999999999998</v>
      </c>
      <c r="W401" s="194">
        <f>IFERROR(INDEX('Ashed teabags dry'!$K$2:$K$2000,MATCH(H401,'Ashed teabags dry'!$A$2:$A$2000,0)),"")</f>
        <v>18.432769367765196</v>
      </c>
      <c r="X401" s="194">
        <f>IFERROR(INDEX('Ashed teabags dry'!$K$2:$K$2000,MATCH(I401,'Ashed teabags dry'!$A$2:$A$2000,0)),"")</f>
        <v>2.6819923371648411</v>
      </c>
      <c r="Y401" s="194">
        <f t="shared" si="67"/>
        <v>0.67904719501335475</v>
      </c>
      <c r="Z401" s="194">
        <f t="shared" si="67"/>
        <v>1.6025356321839064</v>
      </c>
      <c r="AA401" s="194">
        <f t="shared" si="73"/>
        <v>0.58843159168824632</v>
      </c>
      <c r="AB401" s="194">
        <f t="shared" si="74"/>
        <v>0.3857651289927696</v>
      </c>
      <c r="AC401" s="194">
        <f t="shared" si="68"/>
        <v>0.88065400141652439</v>
      </c>
      <c r="AD401">
        <f t="shared" si="75"/>
        <v>71</v>
      </c>
      <c r="AE401" s="194">
        <f t="shared" si="76"/>
        <v>0.30115012863628698</v>
      </c>
      <c r="AF401" s="194">
        <f t="shared" si="77"/>
        <v>5.2134924397701041E-3</v>
      </c>
      <c r="AG401" s="245" t="str">
        <f>IF(ISNUMBER(SEARCH("C", 'Dry_Litterbag Placem_Collection'!$V108)),"YES","NO")</f>
        <v>NO</v>
      </c>
      <c r="AH401" s="245" t="str">
        <f>IF(ISNUMBER(SEARCH("H", 'Dry_Litterbag Placem_Collection'!$V108)),"YES","NO")</f>
        <v>NO</v>
      </c>
      <c r="AI401" s="245" t="str">
        <f>IF(ISNUMBER(SEARCH("R", 'Dry_Litterbag Placem_Collection'!$V108)),"YES","NO")</f>
        <v>NO</v>
      </c>
      <c r="AJ401" s="245" t="str">
        <f>IF(ISNUMBER(SEARCH("C", 'Dry_Litterbag Placem_Collection'!$U108)),"YES","NO")</f>
        <v>NO</v>
      </c>
      <c r="AK401" s="245" t="str">
        <f>IF(ISNUMBER(SEARCH("H", 'Dry_Litterbag Placem_Collection'!$U108)),"YES","NO")</f>
        <v>NO</v>
      </c>
      <c r="AL401" s="245" t="str">
        <f>IF(ISNUMBER(SEARCH("R", 'Dry_Litterbag Placem_Collection'!$U108)),"YES","NO")</f>
        <v>NO</v>
      </c>
    </row>
    <row r="402" spans="2:38">
      <c r="B402" t="str">
        <f>Dryseason!B548</f>
        <v>Dry</v>
      </c>
      <c r="C402" s="253">
        <f>Dryseason!C548</f>
        <v>107</v>
      </c>
      <c r="D402" t="s">
        <v>3118</v>
      </c>
      <c r="E402" t="s">
        <v>25</v>
      </c>
      <c r="F402" s="374">
        <v>3</v>
      </c>
      <c r="G402" s="376">
        <f>IF('Dry_Litterbag Placem_Collection'!E109="","",'Dry_Litterbag Placem_Collection'!E109)</f>
        <v>42939</v>
      </c>
      <c r="H402" s="92" t="str">
        <f>Dryseason!L548</f>
        <v>G208</v>
      </c>
      <c r="I402" t="str">
        <f>Dryseason!L768</f>
        <v>R347</v>
      </c>
      <c r="J402">
        <f>IFERROR(INDEX('Green_rooibos initial weight'!$C$5:$C$2000,MATCH(H402, 'Green_rooibos initial weight'!$A$5:$A$2000,0)),"")</f>
        <v>2.0019999999999998</v>
      </c>
      <c r="K402">
        <f>IFERROR(INDEX('Green_rooibos initial weight'!$C$5:$C$2000,MATCH(I402, 'Green_rooibos initial weight'!$A$5:$A$2000,0)),"")</f>
        <v>2.2400000000000002</v>
      </c>
      <c r="L402" s="194">
        <f t="shared" si="69"/>
        <v>1.7521999999999998</v>
      </c>
      <c r="M402" s="233">
        <f>AVERAGE(Ashed_controlls!$K$1:$K$11)</f>
        <v>5.5147656768714146</v>
      </c>
      <c r="N402" s="194">
        <f t="shared" si="65"/>
        <v>1.6555702758098589</v>
      </c>
      <c r="O402" s="194">
        <f t="shared" si="70"/>
        <v>1.9902000000000002</v>
      </c>
      <c r="P402" s="233">
        <f>AVERAGE(Ashed_controlls!$K$12:$K$14)</f>
        <v>2.2816647271287041</v>
      </c>
      <c r="Q402" s="194">
        <f t="shared" si="66"/>
        <v>1.9447903086006848</v>
      </c>
      <c r="R402" s="376">
        <f>IF('Dry_Litterbag Placem_Collection'!G109="","",'Dry_Litterbag Placem_Collection'!G109)</f>
        <v>43010</v>
      </c>
      <c r="S402" s="194" t="str">
        <f>IFERROR(INDEX('Both teabags AfterDry'!$D$3:$D$2000,MATCH(H402,'Both teabags AfterDry'!$A$3:$A$2000,0)),"")</f>
        <v/>
      </c>
      <c r="T402" s="194" t="str">
        <f>IFERROR(INDEX('Both teabags AfterDry'!$D$3:$D$2000,MATCH(I402,'Both teabags AfterDry'!$A$3:$A$2000,0)),"")</f>
        <v/>
      </c>
      <c r="U402" s="194" t="str">
        <f t="shared" si="71"/>
        <v/>
      </c>
      <c r="V402" s="194" t="str">
        <f t="shared" si="72"/>
        <v/>
      </c>
      <c r="W402" s="194" t="str">
        <f>IFERROR(INDEX('Ashed teabags dry'!$K$2:$K$2000,MATCH(H402,'Ashed teabags dry'!$A$2:$A$2000,0)),"")</f>
        <v/>
      </c>
      <c r="X402" s="194" t="str">
        <f>IFERROR(INDEX('Ashed teabags dry'!$K$2:$K$2000,MATCH(I402,'Ashed teabags dry'!$A$2:$A$2000,0)),"")</f>
        <v/>
      </c>
      <c r="Y402" s="194" t="str">
        <f t="shared" si="67"/>
        <v/>
      </c>
      <c r="Z402" s="194" t="str">
        <f t="shared" si="67"/>
        <v/>
      </c>
      <c r="AA402" s="194" t="str">
        <f t="shared" si="73"/>
        <v/>
      </c>
      <c r="AB402" s="194" t="str">
        <f t="shared" si="74"/>
        <v/>
      </c>
      <c r="AC402" s="194" t="str">
        <f t="shared" si="68"/>
        <v/>
      </c>
      <c r="AD402">
        <f t="shared" si="75"/>
        <v>71</v>
      </c>
      <c r="AE402" s="194" t="str">
        <f t="shared" si="76"/>
        <v/>
      </c>
      <c r="AF402" s="194" t="str">
        <f t="shared" si="77"/>
        <v/>
      </c>
      <c r="AG402" s="245" t="str">
        <f>IF(ISNUMBER(SEARCH("C", 'Dry_Litterbag Placem_Collection'!$V109)),"YES","NO")</f>
        <v>NO</v>
      </c>
      <c r="AH402" s="245" t="str">
        <f>IF(ISNUMBER(SEARCH("H", 'Dry_Litterbag Placem_Collection'!$V109)),"YES","NO")</f>
        <v>NO</v>
      </c>
      <c r="AI402" s="245" t="str">
        <f>IF(ISNUMBER(SEARCH("R", 'Dry_Litterbag Placem_Collection'!$V109)),"YES","NO")</f>
        <v>NO</v>
      </c>
      <c r="AJ402" s="245" t="str">
        <f>IF(ISNUMBER(SEARCH("C", 'Dry_Litterbag Placem_Collection'!$U109)),"YES","NO")</f>
        <v>NO</v>
      </c>
      <c r="AK402" s="245" t="str">
        <f>IF(ISNUMBER(SEARCH("H", 'Dry_Litterbag Placem_Collection'!$U109)),"YES","NO")</f>
        <v>NO</v>
      </c>
      <c r="AL402" s="245" t="str">
        <f>IF(ISNUMBER(SEARCH("R", 'Dry_Litterbag Placem_Collection'!$U109)),"YES","NO")</f>
        <v>NO</v>
      </c>
    </row>
    <row r="403" spans="2:38">
      <c r="B403" t="str">
        <f>Dryseason!B549</f>
        <v>Dry</v>
      </c>
      <c r="C403" s="253">
        <f>Dryseason!C549</f>
        <v>108</v>
      </c>
      <c r="D403" t="s">
        <v>3118</v>
      </c>
      <c r="E403" t="s">
        <v>25</v>
      </c>
      <c r="F403" s="375">
        <v>4</v>
      </c>
      <c r="G403" s="376">
        <f>IF('Dry_Litterbag Placem_Collection'!E110="","",'Dry_Litterbag Placem_Collection'!E110)</f>
        <v>42939</v>
      </c>
      <c r="H403" s="92" t="str">
        <f>Dryseason!L549</f>
        <v>G62</v>
      </c>
      <c r="I403" t="str">
        <f>Dryseason!L769</f>
        <v>R206</v>
      </c>
      <c r="J403">
        <f>IFERROR(INDEX('Green_rooibos initial weight'!$C$5:$C$2000,MATCH(H403, 'Green_rooibos initial weight'!$A$5:$A$2000,0)),"")</f>
        <v>2.0819999999999999</v>
      </c>
      <c r="K403">
        <f>IFERROR(INDEX('Green_rooibos initial weight'!$C$5:$C$2000,MATCH(I403, 'Green_rooibos initial weight'!$A$5:$A$2000,0)),"")</f>
        <v>2.2549999999999999</v>
      </c>
      <c r="L403" s="194">
        <f t="shared" si="69"/>
        <v>1.8321999999999998</v>
      </c>
      <c r="M403" s="233">
        <f>AVERAGE(Ashed_controlls!$K$1:$K$11)</f>
        <v>5.5147656768714146</v>
      </c>
      <c r="N403" s="194">
        <f t="shared" si="65"/>
        <v>1.7311584632683619</v>
      </c>
      <c r="O403" s="194">
        <f t="shared" si="70"/>
        <v>2.0051999999999999</v>
      </c>
      <c r="P403" s="233">
        <f>AVERAGE(Ashed_controlls!$K$12:$K$14)</f>
        <v>2.2816647271287041</v>
      </c>
      <c r="Q403" s="194">
        <f t="shared" si="66"/>
        <v>1.959448058891615</v>
      </c>
      <c r="R403" s="376">
        <f>IF('Dry_Litterbag Placem_Collection'!G110="","",'Dry_Litterbag Placem_Collection'!G110)</f>
        <v>43010</v>
      </c>
      <c r="S403" s="194">
        <f>IFERROR(INDEX('Both teabags AfterDry'!$D$3:$D$2000,MATCH(H403,'Both teabags AfterDry'!$A$3:$A$2000,0)),"")</f>
        <v>1.0947</v>
      </c>
      <c r="T403" s="194">
        <f>IFERROR(INDEX('Both teabags AfterDry'!$D$3:$D$2000,MATCH(I403,'Both teabags AfterDry'!$A$3:$A$2000,0)),"")</f>
        <v>1.9655</v>
      </c>
      <c r="U403" s="194">
        <f t="shared" si="71"/>
        <v>0.94409999999999994</v>
      </c>
      <c r="V403" s="194">
        <f t="shared" si="72"/>
        <v>1.8149</v>
      </c>
      <c r="W403" s="194">
        <f>IFERROR(INDEX('Ashed teabags dry'!$K$2:$K$2000,MATCH(H403,'Ashed teabags dry'!$A$2:$A$2000,0)),"")</f>
        <v>18.630647414997014</v>
      </c>
      <c r="X403" s="194">
        <f>IFERROR(INDEX('Ashed teabags dry'!$K$2:$K$2000,MATCH(I403,'Ashed teabags dry'!$A$2:$A$2000,0)),"")</f>
        <v>4.1293532338306944</v>
      </c>
      <c r="Y403" s="194">
        <f t="shared" si="67"/>
        <v>0.76820805775501311</v>
      </c>
      <c r="Z403" s="194">
        <f t="shared" si="67"/>
        <v>1.7399563681592067</v>
      </c>
      <c r="AA403" s="194">
        <f t="shared" si="73"/>
        <v>0.55624625125035332</v>
      </c>
      <c r="AB403" s="194">
        <f t="shared" si="74"/>
        <v>0.3646650008197091</v>
      </c>
      <c r="AC403" s="194">
        <f t="shared" si="68"/>
        <v>0.88798289919633477</v>
      </c>
      <c r="AD403">
        <f t="shared" si="75"/>
        <v>71</v>
      </c>
      <c r="AE403" s="194">
        <f t="shared" si="76"/>
        <v>0.33937499851501984</v>
      </c>
      <c r="AF403" s="194">
        <f t="shared" si="77"/>
        <v>5.1687648773852063E-3</v>
      </c>
      <c r="AG403" s="245" t="str">
        <f>IF(ISNUMBER(SEARCH("C", 'Dry_Litterbag Placem_Collection'!$V110)),"YES","NO")</f>
        <v>NO</v>
      </c>
      <c r="AH403" s="245" t="str">
        <f>IF(ISNUMBER(SEARCH("H", 'Dry_Litterbag Placem_Collection'!$V110)),"YES","NO")</f>
        <v>NO</v>
      </c>
      <c r="AI403" s="245" t="str">
        <f>IF(ISNUMBER(SEARCH("R", 'Dry_Litterbag Placem_Collection'!$V110)),"YES","NO")</f>
        <v>NO</v>
      </c>
      <c r="AJ403" s="245" t="str">
        <f>IF(ISNUMBER(SEARCH("C", 'Dry_Litterbag Placem_Collection'!$U110)),"YES","NO")</f>
        <v>NO</v>
      </c>
      <c r="AK403" s="245" t="str">
        <f>IF(ISNUMBER(SEARCH("H", 'Dry_Litterbag Placem_Collection'!$U110)),"YES","NO")</f>
        <v>NO</v>
      </c>
      <c r="AL403" s="245" t="str">
        <f>IF(ISNUMBER(SEARCH("R", 'Dry_Litterbag Placem_Collection'!$U110)),"YES","NO")</f>
        <v>NO</v>
      </c>
    </row>
    <row r="404" spans="2:38">
      <c r="B404" t="str">
        <f>Dryseason!B550</f>
        <v>Dry</v>
      </c>
      <c r="C404" s="253">
        <f>Dryseason!C550</f>
        <v>109</v>
      </c>
      <c r="D404" t="s">
        <v>3118</v>
      </c>
      <c r="E404" t="s">
        <v>25</v>
      </c>
      <c r="F404" s="375">
        <v>5</v>
      </c>
      <c r="G404" s="376">
        <f>IF('Dry_Litterbag Placem_Collection'!E111="","",'Dry_Litterbag Placem_Collection'!E111)</f>
        <v>42939</v>
      </c>
      <c r="H404" s="92" t="str">
        <f>Dryseason!L550</f>
        <v>G102</v>
      </c>
      <c r="I404" t="str">
        <f>Dryseason!L770</f>
        <v>R299</v>
      </c>
      <c r="J404">
        <f>IFERROR(INDEX('Green_rooibos initial weight'!$C$5:$C$2000,MATCH(H404, 'Green_rooibos initial weight'!$A$5:$A$2000,0)),"")</f>
        <v>2.0920000000000001</v>
      </c>
      <c r="K404">
        <f>IFERROR(INDEX('Green_rooibos initial weight'!$C$5:$C$2000,MATCH(I404, 'Green_rooibos initial weight'!$A$5:$A$2000,0)),"")</f>
        <v>2.2919999999999998</v>
      </c>
      <c r="L404" s="194">
        <f t="shared" si="69"/>
        <v>1.8422000000000001</v>
      </c>
      <c r="M404" s="233">
        <f>AVERAGE(Ashed_controlls!$K$1:$K$11)</f>
        <v>5.5147656768714146</v>
      </c>
      <c r="N404" s="194">
        <f t="shared" si="65"/>
        <v>1.7406069867006748</v>
      </c>
      <c r="O404" s="194">
        <f t="shared" si="70"/>
        <v>2.0421999999999998</v>
      </c>
      <c r="P404" s="233">
        <f>AVERAGE(Ashed_controlls!$K$12:$K$14)</f>
        <v>2.2816647271287041</v>
      </c>
      <c r="Q404" s="194">
        <f t="shared" si="66"/>
        <v>1.9956038429425773</v>
      </c>
      <c r="R404" s="376">
        <f>IF('Dry_Litterbag Placem_Collection'!G111="","",'Dry_Litterbag Placem_Collection'!G111)</f>
        <v>43010</v>
      </c>
      <c r="S404" s="194">
        <f>IFERROR(INDEX('Both teabags AfterDry'!$D$3:$D$2000,MATCH(H404,'Both teabags AfterDry'!$A$3:$A$2000,0)),"")</f>
        <v>1.0327999999999999</v>
      </c>
      <c r="T404" s="194">
        <f>IFERROR(INDEX('Both teabags AfterDry'!$D$3:$D$2000,MATCH(I404,'Both teabags AfterDry'!$A$3:$A$2000,0)),"")</f>
        <v>1.8811</v>
      </c>
      <c r="U404" s="194">
        <f t="shared" si="71"/>
        <v>0.88219999999999987</v>
      </c>
      <c r="V404" s="194">
        <f t="shared" si="72"/>
        <v>1.7304999999999999</v>
      </c>
      <c r="W404" s="194">
        <f>IFERROR(INDEX('Ashed teabags dry'!$K$2:$K$2000,MATCH(H404,'Ashed teabags dry'!$A$2:$A$2000,0)),"")</f>
        <v>18.731117824773449</v>
      </c>
      <c r="X404" s="194">
        <f>IFERROR(INDEX('Ashed teabags dry'!$K$2:$K$2000,MATCH(I404,'Ashed teabags dry'!$A$2:$A$2000,0)),"")</f>
        <v>6.3173359451526663</v>
      </c>
      <c r="Y404" s="194">
        <f t="shared" si="67"/>
        <v>0.71695407854984849</v>
      </c>
      <c r="Z404" s="194">
        <f t="shared" si="67"/>
        <v>1.6211785014691331</v>
      </c>
      <c r="AA404" s="194">
        <f t="shared" si="73"/>
        <v>0.5881011141355712</v>
      </c>
      <c r="AB404" s="194">
        <f t="shared" si="74"/>
        <v>0.38554847387510133</v>
      </c>
      <c r="AC404" s="194">
        <f t="shared" si="68"/>
        <v>0.81237491459159406</v>
      </c>
      <c r="AD404">
        <f t="shared" si="75"/>
        <v>71</v>
      </c>
      <c r="AE404" s="194">
        <f t="shared" si="76"/>
        <v>0.30154261979148311</v>
      </c>
      <c r="AF404" s="194">
        <f t="shared" si="77"/>
        <v>9.391364775802406E-3</v>
      </c>
      <c r="AG404" s="245" t="str">
        <f>IF(ISNUMBER(SEARCH("C", 'Dry_Litterbag Placem_Collection'!$V111)),"YES","NO")</f>
        <v>NO</v>
      </c>
      <c r="AH404" s="245" t="str">
        <f>IF(ISNUMBER(SEARCH("H", 'Dry_Litterbag Placem_Collection'!$V111)),"YES","NO")</f>
        <v>NO</v>
      </c>
      <c r="AI404" s="245" t="str">
        <f>IF(ISNUMBER(SEARCH("R", 'Dry_Litterbag Placem_Collection'!$V111)),"YES","NO")</f>
        <v>NO</v>
      </c>
      <c r="AJ404" s="245" t="str">
        <f>IF(ISNUMBER(SEARCH("C", 'Dry_Litterbag Placem_Collection'!$U111)),"YES","NO")</f>
        <v>NO</v>
      </c>
      <c r="AK404" s="245" t="str">
        <f>IF(ISNUMBER(SEARCH("H", 'Dry_Litterbag Placem_Collection'!$U111)),"YES","NO")</f>
        <v>NO</v>
      </c>
      <c r="AL404" s="245" t="str">
        <f>IF(ISNUMBER(SEARCH("R", 'Dry_Litterbag Placem_Collection'!$U111)),"YES","NO")</f>
        <v>NO</v>
      </c>
    </row>
    <row r="405" spans="2:38">
      <c r="B405" t="str">
        <f>Dryseason!B551</f>
        <v>Dry</v>
      </c>
      <c r="C405" s="253">
        <f>Dryseason!C551</f>
        <v>110</v>
      </c>
      <c r="D405" t="s">
        <v>3118</v>
      </c>
      <c r="E405" t="s">
        <v>25</v>
      </c>
      <c r="F405" s="375">
        <v>6</v>
      </c>
      <c r="G405" s="376">
        <f>IF('Dry_Litterbag Placem_Collection'!E112="","",'Dry_Litterbag Placem_Collection'!E112)</f>
        <v>42939</v>
      </c>
      <c r="H405" s="92" t="str">
        <f>Dryseason!L551</f>
        <v>G265</v>
      </c>
      <c r="I405" t="str">
        <f>Dryseason!L771</f>
        <v>R636</v>
      </c>
      <c r="J405">
        <f>IFERROR(INDEX('Green_rooibos initial weight'!$C$5:$C$2000,MATCH(H405, 'Green_rooibos initial weight'!$A$5:$A$2000,0)),"")</f>
        <v>1.9790000000000001</v>
      </c>
      <c r="K405">
        <f>IFERROR(INDEX('Green_rooibos initial weight'!$C$5:$C$2000,MATCH(I405, 'Green_rooibos initial weight'!$A$5:$A$2000,0)),"")</f>
        <v>2.1080000000000001</v>
      </c>
      <c r="L405" s="194">
        <f t="shared" si="69"/>
        <v>1.7292000000000001</v>
      </c>
      <c r="M405" s="233">
        <f>AVERAGE(Ashed_controlls!$K$1:$K$11)</f>
        <v>5.5147656768714146</v>
      </c>
      <c r="N405" s="194">
        <f t="shared" si="65"/>
        <v>1.6338386719155396</v>
      </c>
      <c r="O405" s="194">
        <f t="shared" si="70"/>
        <v>1.8582000000000001</v>
      </c>
      <c r="P405" s="233">
        <f>AVERAGE(Ashed_controlls!$K$12:$K$14)</f>
        <v>2.2816647271287041</v>
      </c>
      <c r="Q405" s="194">
        <f t="shared" si="66"/>
        <v>1.8158021060404945</v>
      </c>
      <c r="R405" s="376">
        <f>IF('Dry_Litterbag Placem_Collection'!G112="","",'Dry_Litterbag Placem_Collection'!G112)</f>
        <v>43010</v>
      </c>
      <c r="S405" s="194">
        <f>IFERROR(INDEX('Both teabags AfterDry'!$D$3:$D$2000,MATCH(H405,'Both teabags AfterDry'!$A$3:$A$2000,0)),"")</f>
        <v>0.93579999999999997</v>
      </c>
      <c r="T405" s="194">
        <f>IFERROR(INDEX('Both teabags AfterDry'!$D$3:$D$2000,MATCH(I405,'Both teabags AfterDry'!$A$3:$A$2000,0)),"")</f>
        <v>1.8521000000000001</v>
      </c>
      <c r="U405" s="194">
        <f t="shared" si="71"/>
        <v>0.7851999999999999</v>
      </c>
      <c r="V405" s="194">
        <f t="shared" si="72"/>
        <v>1.7015</v>
      </c>
      <c r="W405" s="194">
        <f>IFERROR(INDEX('Ashed teabags dry'!$K$2:$K$2000,MATCH(H405,'Ashed teabags dry'!$A$2:$A$2000,0)),"")</f>
        <v>14.665354330708222</v>
      </c>
      <c r="X405" s="194">
        <f>IFERROR(INDEX('Ashed teabags dry'!$K$2:$K$2000,MATCH(I405,'Ashed teabags dry'!$A$2:$A$2000,0)),"")</f>
        <v>3.9122137404573722</v>
      </c>
      <c r="Y405" s="194">
        <f t="shared" si="67"/>
        <v>0.67004763779527898</v>
      </c>
      <c r="Z405" s="194">
        <f t="shared" si="67"/>
        <v>1.6349336832061179</v>
      </c>
      <c r="AA405" s="194">
        <f t="shared" si="73"/>
        <v>0.58989363557559571</v>
      </c>
      <c r="AB405" s="194">
        <f t="shared" si="74"/>
        <v>0.38672361857212456</v>
      </c>
      <c r="AC405" s="194">
        <f t="shared" si="68"/>
        <v>0.9003919963344601</v>
      </c>
      <c r="AD405">
        <f t="shared" si="75"/>
        <v>71</v>
      </c>
      <c r="AE405" s="194">
        <f t="shared" si="76"/>
        <v>0.29941373447078889</v>
      </c>
      <c r="AF405" s="194">
        <f t="shared" si="77"/>
        <v>4.1947225346417741E-3</v>
      </c>
      <c r="AG405" s="245" t="str">
        <f>IF(ISNUMBER(SEARCH("C", 'Dry_Litterbag Placem_Collection'!$V112)),"YES","NO")</f>
        <v>NO</v>
      </c>
      <c r="AH405" s="245" t="str">
        <f>IF(ISNUMBER(SEARCH("H", 'Dry_Litterbag Placem_Collection'!$V112)),"YES","NO")</f>
        <v>NO</v>
      </c>
      <c r="AI405" s="245" t="str">
        <f>IF(ISNUMBER(SEARCH("R", 'Dry_Litterbag Placem_Collection'!$V112)),"YES","NO")</f>
        <v>NO</v>
      </c>
      <c r="AJ405" s="245" t="str">
        <f>IF(ISNUMBER(SEARCH("C", 'Dry_Litterbag Placem_Collection'!$U112)),"YES","NO")</f>
        <v>NO</v>
      </c>
      <c r="AK405" s="245" t="str">
        <f>IF(ISNUMBER(SEARCH("H", 'Dry_Litterbag Placem_Collection'!$U112)),"YES","NO")</f>
        <v>NO</v>
      </c>
      <c r="AL405" s="245" t="str">
        <f>IF(ISNUMBER(SEARCH("R", 'Dry_Litterbag Placem_Collection'!$U112)),"YES","NO")</f>
        <v>NO</v>
      </c>
    </row>
    <row r="406" spans="2:38">
      <c r="B406" t="str">
        <f>Dryseason!B552</f>
        <v>Dry</v>
      </c>
      <c r="C406" s="253">
        <f>Dryseason!C552</f>
        <v>111</v>
      </c>
      <c r="D406" t="s">
        <v>3118</v>
      </c>
      <c r="E406" t="s">
        <v>25</v>
      </c>
      <c r="F406" s="375">
        <v>7</v>
      </c>
      <c r="G406" s="376">
        <f>IF('Dry_Litterbag Placem_Collection'!E113="","",'Dry_Litterbag Placem_Collection'!E113)</f>
        <v>42939</v>
      </c>
      <c r="H406" s="92" t="str">
        <f>Dryseason!L552</f>
        <v>G455</v>
      </c>
      <c r="I406" t="str">
        <f>Dryseason!L772</f>
        <v>R239</v>
      </c>
      <c r="J406">
        <f>IFERROR(INDEX('Green_rooibos initial weight'!$C$5:$C$2000,MATCH(H406, 'Green_rooibos initial weight'!$A$5:$A$2000,0)),"")</f>
        <v>2.0299999999999998</v>
      </c>
      <c r="K406">
        <f>IFERROR(INDEX('Green_rooibos initial weight'!$C$5:$C$2000,MATCH(I406, 'Green_rooibos initial weight'!$A$5:$A$2000,0)),"")</f>
        <v>2.2189999999999999</v>
      </c>
      <c r="L406" s="194">
        <f t="shared" si="69"/>
        <v>1.7801999999999998</v>
      </c>
      <c r="M406" s="233">
        <f>AVERAGE(Ashed_controlls!$K$1:$K$11)</f>
        <v>5.5147656768714146</v>
      </c>
      <c r="N406" s="194">
        <f t="shared" si="65"/>
        <v>1.6820261414203348</v>
      </c>
      <c r="O406" s="194">
        <f t="shared" si="70"/>
        <v>1.9691999999999998</v>
      </c>
      <c r="P406" s="233">
        <f>AVERAGE(Ashed_controlls!$K$12:$K$14)</f>
        <v>2.2816647271287041</v>
      </c>
      <c r="Q406" s="194">
        <f t="shared" si="66"/>
        <v>1.9242694581933815</v>
      </c>
      <c r="R406" s="376">
        <f>IF('Dry_Litterbag Placem_Collection'!G113="","",'Dry_Litterbag Placem_Collection'!G113)</f>
        <v>43010</v>
      </c>
      <c r="S406" s="194">
        <f>IFERROR(INDEX('Both teabags AfterDry'!$D$3:$D$2000,MATCH(H406,'Both teabags AfterDry'!$A$3:$A$2000,0)),"")</f>
        <v>0.92169999999999996</v>
      </c>
      <c r="T406" s="194">
        <f>IFERROR(INDEX('Both teabags AfterDry'!$D$3:$D$2000,MATCH(I406,'Both teabags AfterDry'!$A$3:$A$2000,0)),"")</f>
        <v>1.8743000000000001</v>
      </c>
      <c r="U406" s="194">
        <f t="shared" si="71"/>
        <v>0.7710999999999999</v>
      </c>
      <c r="V406" s="194">
        <f t="shared" si="72"/>
        <v>1.7237</v>
      </c>
      <c r="W406" s="194">
        <f>IFERROR(INDEX('Ashed teabags dry'!$K$2:$K$2000,MATCH(H406,'Ashed teabags dry'!$A$2:$A$2000,0)),"")</f>
        <v>17.328170377541223</v>
      </c>
      <c r="X406" s="194">
        <f>IFERROR(INDEX('Ashed teabags dry'!$K$2:$K$2000,MATCH(I406,'Ashed teabags dry'!$A$2:$A$2000,0)),"")</f>
        <v>2.9234338747099509</v>
      </c>
      <c r="Y406" s="194">
        <f t="shared" si="67"/>
        <v>0.63748247821877957</v>
      </c>
      <c r="Z406" s="194">
        <f t="shared" si="67"/>
        <v>1.6733087703016245</v>
      </c>
      <c r="AA406" s="194">
        <f t="shared" si="73"/>
        <v>0.62100322788058615</v>
      </c>
      <c r="AB406" s="194">
        <f t="shared" si="74"/>
        <v>0.40711850568893543</v>
      </c>
      <c r="AC406" s="194">
        <f t="shared" si="68"/>
        <v>0.86958131730294475</v>
      </c>
      <c r="AD406">
        <f t="shared" si="75"/>
        <v>71</v>
      </c>
      <c r="AE406" s="194">
        <f t="shared" si="76"/>
        <v>0.26246647520120403</v>
      </c>
      <c r="AF406" s="194">
        <f t="shared" si="77"/>
        <v>5.4390290809678034E-3</v>
      </c>
      <c r="AG406" s="245" t="str">
        <f>IF(ISNUMBER(SEARCH("C", 'Dry_Litterbag Placem_Collection'!$V113)),"YES","NO")</f>
        <v>NO</v>
      </c>
      <c r="AH406" s="245" t="str">
        <f>IF(ISNUMBER(SEARCH("H", 'Dry_Litterbag Placem_Collection'!$V113)),"YES","NO")</f>
        <v>NO</v>
      </c>
      <c r="AI406" s="245" t="str">
        <f>IF(ISNUMBER(SEARCH("R", 'Dry_Litterbag Placem_Collection'!$V113)),"YES","NO")</f>
        <v>NO</v>
      </c>
      <c r="AJ406" s="245" t="str">
        <f>IF(ISNUMBER(SEARCH("C", 'Dry_Litterbag Placem_Collection'!$U113)),"YES","NO")</f>
        <v>NO</v>
      </c>
      <c r="AK406" s="245" t="str">
        <f>IF(ISNUMBER(SEARCH("H", 'Dry_Litterbag Placem_Collection'!$U113)),"YES","NO")</f>
        <v>NO</v>
      </c>
      <c r="AL406" s="245" t="str">
        <f>IF(ISNUMBER(SEARCH("R", 'Dry_Litterbag Placem_Collection'!$U113)),"YES","NO")</f>
        <v>NO</v>
      </c>
    </row>
    <row r="407" spans="2:38">
      <c r="B407" t="str">
        <f>Dryseason!B553</f>
        <v>Dry</v>
      </c>
      <c r="C407" s="253">
        <f>Dryseason!C553</f>
        <v>112</v>
      </c>
      <c r="D407" t="s">
        <v>3118</v>
      </c>
      <c r="E407" t="s">
        <v>25</v>
      </c>
      <c r="F407" s="375">
        <v>8</v>
      </c>
      <c r="G407" s="376" t="str">
        <f>IF('Dry_Litterbag Placem_Collection'!E114="","",'Dry_Litterbag Placem_Collection'!E114)</f>
        <v/>
      </c>
      <c r="H407" s="92" t="str">
        <f>Dryseason!L553</f>
        <v/>
      </c>
      <c r="I407" t="str">
        <f>Dryseason!L773</f>
        <v/>
      </c>
      <c r="J407" t="str">
        <f>IFERROR(INDEX('Green_rooibos initial weight'!$C$5:$C$2000,MATCH(H407, 'Green_rooibos initial weight'!$A$5:$A$2000,0)),"")</f>
        <v/>
      </c>
      <c r="K407" t="str">
        <f>IFERROR(INDEX('Green_rooibos initial weight'!$C$5:$C$2000,MATCH(I407, 'Green_rooibos initial weight'!$A$5:$A$2000,0)),"")</f>
        <v/>
      </c>
      <c r="L407" s="194" t="str">
        <f t="shared" si="69"/>
        <v/>
      </c>
      <c r="M407" s="233">
        <f>AVERAGE(Ashed_controlls!$K$1:$K$11)</f>
        <v>5.5147656768714146</v>
      </c>
      <c r="N407" s="194" t="str">
        <f t="shared" si="65"/>
        <v/>
      </c>
      <c r="O407" s="194" t="str">
        <f t="shared" si="70"/>
        <v/>
      </c>
      <c r="P407" s="233">
        <f>AVERAGE(Ashed_controlls!$K$12:$K$14)</f>
        <v>2.2816647271287041</v>
      </c>
      <c r="Q407" s="194" t="str">
        <f t="shared" si="66"/>
        <v/>
      </c>
      <c r="R407" s="376" t="str">
        <f>IF('Dry_Litterbag Placem_Collection'!G114="","",'Dry_Litterbag Placem_Collection'!G114)</f>
        <v/>
      </c>
      <c r="S407" s="194" t="str">
        <f>IFERROR(INDEX('Both teabags AfterDry'!$D$3:$D$2000,MATCH(H407,'Both teabags AfterDry'!$A$3:$A$2000,0)),"")</f>
        <v/>
      </c>
      <c r="T407" s="194" t="str">
        <f>IFERROR(INDEX('Both teabags AfterDry'!$D$3:$D$2000,MATCH(I407,'Both teabags AfterDry'!$A$3:$A$2000,0)),"")</f>
        <v/>
      </c>
      <c r="U407" s="194" t="str">
        <f t="shared" si="71"/>
        <v/>
      </c>
      <c r="V407" s="194" t="str">
        <f t="shared" si="72"/>
        <v/>
      </c>
      <c r="W407" s="194" t="str">
        <f>IFERROR(INDEX('Ashed teabags dry'!$K$2:$K$2000,MATCH(H407,'Ashed teabags dry'!$A$2:$A$2000,0)),"")</f>
        <v/>
      </c>
      <c r="X407" s="194" t="str">
        <f>IFERROR(INDEX('Ashed teabags dry'!$K$2:$K$2000,MATCH(I407,'Ashed teabags dry'!$A$2:$A$2000,0)),"")</f>
        <v/>
      </c>
      <c r="Y407" s="194" t="str">
        <f t="shared" si="67"/>
        <v/>
      </c>
      <c r="Z407" s="194" t="str">
        <f t="shared" si="67"/>
        <v/>
      </c>
      <c r="AA407" s="194" t="str">
        <f t="shared" si="73"/>
        <v/>
      </c>
      <c r="AB407" s="194" t="str">
        <f t="shared" si="74"/>
        <v/>
      </c>
      <c r="AC407" s="194" t="str">
        <f t="shared" si="68"/>
        <v/>
      </c>
      <c r="AD407" t="str">
        <f t="shared" si="75"/>
        <v/>
      </c>
      <c r="AE407" s="194" t="str">
        <f t="shared" si="76"/>
        <v/>
      </c>
      <c r="AF407" s="194" t="str">
        <f t="shared" si="77"/>
        <v/>
      </c>
      <c r="AG407" s="245" t="str">
        <f>IF(ISNUMBER(SEARCH("C", 'Dry_Litterbag Placem_Collection'!$V114)),"YES","NO")</f>
        <v>NO</v>
      </c>
      <c r="AH407" s="245" t="str">
        <f>IF(ISNUMBER(SEARCH("H", 'Dry_Litterbag Placem_Collection'!$V114)),"YES","NO")</f>
        <v>NO</v>
      </c>
      <c r="AI407" s="245" t="str">
        <f>IF(ISNUMBER(SEARCH("R", 'Dry_Litterbag Placem_Collection'!$V114)),"YES","NO")</f>
        <v>NO</v>
      </c>
      <c r="AJ407" s="245" t="str">
        <f>IF(ISNUMBER(SEARCH("C", 'Dry_Litterbag Placem_Collection'!$U114)),"YES","NO")</f>
        <v>NO</v>
      </c>
      <c r="AK407" s="245" t="str">
        <f>IF(ISNUMBER(SEARCH("H", 'Dry_Litterbag Placem_Collection'!$U114)),"YES","NO")</f>
        <v>NO</v>
      </c>
      <c r="AL407" s="245" t="str">
        <f>IF(ISNUMBER(SEARCH("R", 'Dry_Litterbag Placem_Collection'!$U114)),"YES","NO")</f>
        <v>NO</v>
      </c>
    </row>
    <row r="408" spans="2:38">
      <c r="B408" t="str">
        <f>Dryseason!B554</f>
        <v>Dry</v>
      </c>
      <c r="C408" s="253">
        <f>Dryseason!C554</f>
        <v>113</v>
      </c>
      <c r="D408" t="s">
        <v>3119</v>
      </c>
      <c r="E408" t="s">
        <v>25</v>
      </c>
      <c r="F408" s="374">
        <v>1</v>
      </c>
      <c r="G408" s="376">
        <f>IF('Dry_Litterbag Placem_Collection'!E115="","",'Dry_Litterbag Placem_Collection'!E115)</f>
        <v>42939</v>
      </c>
      <c r="H408" s="92" t="str">
        <f>Dryseason!L554</f>
        <v>G490</v>
      </c>
      <c r="I408" t="str">
        <f>Dryseason!L774</f>
        <v>R313</v>
      </c>
      <c r="J408">
        <f>IFERROR(INDEX('Green_rooibos initial weight'!$C$5:$C$2000,MATCH(H408, 'Green_rooibos initial weight'!$A$5:$A$2000,0)),"")</f>
        <v>1.881</v>
      </c>
      <c r="K408">
        <f>IFERROR(INDEX('Green_rooibos initial weight'!$C$5:$C$2000,MATCH(I408, 'Green_rooibos initial weight'!$A$5:$A$2000,0)),"")</f>
        <v>2.2450000000000001</v>
      </c>
      <c r="L408" s="194">
        <f t="shared" si="69"/>
        <v>1.6312</v>
      </c>
      <c r="M408" s="233">
        <f>AVERAGE(Ashed_controlls!$K$1:$K$11)</f>
        <v>5.5147656768714146</v>
      </c>
      <c r="N408" s="194">
        <f t="shared" si="65"/>
        <v>1.5412431422788735</v>
      </c>
      <c r="O408" s="194">
        <f t="shared" si="70"/>
        <v>1.9952000000000001</v>
      </c>
      <c r="P408" s="233">
        <f>AVERAGE(Ashed_controlls!$K$12:$K$14)</f>
        <v>2.2816647271287041</v>
      </c>
      <c r="Q408" s="194">
        <f t="shared" si="66"/>
        <v>1.9496762253643283</v>
      </c>
      <c r="R408" s="376">
        <f>IF('Dry_Litterbag Placem_Collection'!G115="","",'Dry_Litterbag Placem_Collection'!G115)</f>
        <v>43008</v>
      </c>
      <c r="S408" s="194">
        <f>IFERROR(INDEX('Both teabags AfterDry'!$D$3:$D$2000,MATCH(H408,'Both teabags AfterDry'!$A$3:$A$2000,0)),"")</f>
        <v>0.72760000000000002</v>
      </c>
      <c r="T408" s="194">
        <f>IFERROR(INDEX('Both teabags AfterDry'!$D$3:$D$2000,MATCH(I408,'Both teabags AfterDry'!$A$3:$A$2000,0)),"")</f>
        <v>1.6048</v>
      </c>
      <c r="U408" s="194">
        <f t="shared" si="71"/>
        <v>0.57699999999999996</v>
      </c>
      <c r="V408" s="194">
        <f t="shared" si="72"/>
        <v>1.4541999999999999</v>
      </c>
      <c r="W408" s="194">
        <f>IFERROR(INDEX('Ashed teabags dry'!$K$2:$K$2000,MATCH(H408,'Ashed teabags dry'!$A$2:$A$2000,0)),"")</f>
        <v>23.173681664247997</v>
      </c>
      <c r="X408" s="194">
        <f>IFERROR(INDEX('Ashed teabags dry'!$K$2:$K$2000,MATCH(I408,'Ashed teabags dry'!$A$2:$A$2000,0)),"")</f>
        <v>8.9047619047618891</v>
      </c>
      <c r="Y408" s="194">
        <f t="shared" si="67"/>
        <v>0.44328785679728899</v>
      </c>
      <c r="Z408" s="194">
        <f t="shared" si="67"/>
        <v>1.3247069523809525</v>
      </c>
      <c r="AA408" s="194">
        <f t="shared" si="73"/>
        <v>0.7123829169861895</v>
      </c>
      <c r="AB408" s="194">
        <f t="shared" si="74"/>
        <v>0.46702538025697937</v>
      </c>
      <c r="AC408" s="194">
        <f t="shared" si="68"/>
        <v>0.67944971331504533</v>
      </c>
      <c r="AD408">
        <f t="shared" si="75"/>
        <v>69</v>
      </c>
      <c r="AE408" s="194">
        <f t="shared" si="76"/>
        <v>0.15393952851996495</v>
      </c>
      <c r="AF408" s="194">
        <f t="shared" si="77"/>
        <v>1.6804756512767031E-2</v>
      </c>
      <c r="AG408" s="245" t="str">
        <f>IF(ISNUMBER(SEARCH("C", 'Dry_Litterbag Placem_Collection'!$V115)),"YES","NO")</f>
        <v>NO</v>
      </c>
      <c r="AH408" s="245" t="str">
        <f>IF(ISNUMBER(SEARCH("H", 'Dry_Litterbag Placem_Collection'!$V115)),"YES","NO")</f>
        <v>NO</v>
      </c>
      <c r="AI408" s="245" t="str">
        <f>IF(ISNUMBER(SEARCH("R", 'Dry_Litterbag Placem_Collection'!$V115)),"YES","NO")</f>
        <v>NO</v>
      </c>
      <c r="AJ408" s="245" t="str">
        <f>IF(ISNUMBER(SEARCH("C", 'Dry_Litterbag Placem_Collection'!$U115)),"YES","NO")</f>
        <v>NO</v>
      </c>
      <c r="AK408" s="245" t="str">
        <f>IF(ISNUMBER(SEARCH("H", 'Dry_Litterbag Placem_Collection'!$U115)),"YES","NO")</f>
        <v>NO</v>
      </c>
      <c r="AL408" s="245" t="str">
        <f>IF(ISNUMBER(SEARCH("R", 'Dry_Litterbag Placem_Collection'!$U115)),"YES","NO")</f>
        <v>NO</v>
      </c>
    </row>
    <row r="409" spans="2:38">
      <c r="B409" t="str">
        <f>Dryseason!B555</f>
        <v>Dry</v>
      </c>
      <c r="C409" s="253">
        <f>Dryseason!C555</f>
        <v>114</v>
      </c>
      <c r="D409" t="s">
        <v>3119</v>
      </c>
      <c r="E409" t="s">
        <v>25</v>
      </c>
      <c r="F409" s="374">
        <v>2</v>
      </c>
      <c r="G409" s="376">
        <f>IF('Dry_Litterbag Placem_Collection'!E116="","",'Dry_Litterbag Placem_Collection'!E116)</f>
        <v>42939</v>
      </c>
      <c r="H409" s="92" t="str">
        <f>Dryseason!L555</f>
        <v>G650</v>
      </c>
      <c r="I409" t="str">
        <f>Dryseason!L775</f>
        <v>R247</v>
      </c>
      <c r="J409">
        <f>IFERROR(INDEX('Green_rooibos initial weight'!$C$5:$C$2000,MATCH(H409, 'Green_rooibos initial weight'!$A$5:$A$2000,0)),"")</f>
        <v>2.0270000000000001</v>
      </c>
      <c r="K409">
        <f>IFERROR(INDEX('Green_rooibos initial weight'!$C$5:$C$2000,MATCH(I409, 'Green_rooibos initial weight'!$A$5:$A$2000,0)),"")</f>
        <v>2.2330000000000001</v>
      </c>
      <c r="L409" s="194">
        <f t="shared" si="69"/>
        <v>1.7772000000000001</v>
      </c>
      <c r="M409" s="233">
        <f>AVERAGE(Ashed_controlls!$K$1:$K$11)</f>
        <v>5.5147656768714146</v>
      </c>
      <c r="N409" s="194">
        <f t="shared" si="65"/>
        <v>1.6791915843906413</v>
      </c>
      <c r="O409" s="194">
        <f t="shared" si="70"/>
        <v>1.9832000000000001</v>
      </c>
      <c r="P409" s="233">
        <f>AVERAGE(Ashed_controlls!$K$12:$K$14)</f>
        <v>2.2816647271287041</v>
      </c>
      <c r="Q409" s="194">
        <f t="shared" si="66"/>
        <v>1.9379500251315835</v>
      </c>
      <c r="R409" s="376">
        <f>IF('Dry_Litterbag Placem_Collection'!G116="","",'Dry_Litterbag Placem_Collection'!G116)</f>
        <v>43008</v>
      </c>
      <c r="S409" s="194">
        <f>IFERROR(INDEX('Both teabags AfterDry'!$D$3:$D$2000,MATCH(H409,'Both teabags AfterDry'!$A$3:$A$2000,0)),"")</f>
        <v>0.86890000000000001</v>
      </c>
      <c r="T409" s="194">
        <f>IFERROR(INDEX('Both teabags AfterDry'!$D$3:$D$2000,MATCH(I409,'Both teabags AfterDry'!$A$3:$A$2000,0)),"")</f>
        <v>1.7551000000000001</v>
      </c>
      <c r="U409" s="194">
        <f t="shared" si="71"/>
        <v>0.71829999999999994</v>
      </c>
      <c r="V409" s="194">
        <f t="shared" si="72"/>
        <v>1.6045</v>
      </c>
      <c r="W409" s="194">
        <f>IFERROR(INDEX('Ashed teabags dry'!$K$2:$K$2000,MATCH(H409,'Ashed teabags dry'!$A$2:$A$2000,0)),"")</f>
        <v>22.395326192794663</v>
      </c>
      <c r="X409" s="194">
        <f>IFERROR(INDEX('Ashed teabags dry'!$K$2:$K$2000,MATCH(I409,'Ashed teabags dry'!$A$2:$A$2000,0)),"")</f>
        <v>8.2853345148423898</v>
      </c>
      <c r="Y409" s="194">
        <f t="shared" si="67"/>
        <v>0.55743437195715595</v>
      </c>
      <c r="Z409" s="194">
        <f t="shared" si="67"/>
        <v>1.471561807709354</v>
      </c>
      <c r="AA409" s="194">
        <f t="shared" si="73"/>
        <v>0.66803408429453137</v>
      </c>
      <c r="AB409" s="194">
        <f t="shared" si="74"/>
        <v>0.43795108614083295</v>
      </c>
      <c r="AC409" s="194">
        <f t="shared" si="68"/>
        <v>0.75933939917229676</v>
      </c>
      <c r="AD409">
        <f t="shared" si="75"/>
        <v>69</v>
      </c>
      <c r="AE409" s="194">
        <f t="shared" si="76"/>
        <v>0.20661035119414328</v>
      </c>
      <c r="AF409" s="194">
        <f t="shared" si="77"/>
        <v>1.1556957119733577E-2</v>
      </c>
      <c r="AG409" s="245" t="str">
        <f>IF(ISNUMBER(SEARCH("C", 'Dry_Litterbag Placem_Collection'!$V116)),"YES","NO")</f>
        <v>NO</v>
      </c>
      <c r="AH409" s="245" t="str">
        <f>IF(ISNUMBER(SEARCH("H", 'Dry_Litterbag Placem_Collection'!$V116)),"YES","NO")</f>
        <v>NO</v>
      </c>
      <c r="AI409" s="245" t="str">
        <f>IF(ISNUMBER(SEARCH("R", 'Dry_Litterbag Placem_Collection'!$V116)),"YES","NO")</f>
        <v>NO</v>
      </c>
      <c r="AJ409" s="245" t="str">
        <f>IF(ISNUMBER(SEARCH("C", 'Dry_Litterbag Placem_Collection'!$U116)),"YES","NO")</f>
        <v>NO</v>
      </c>
      <c r="AK409" s="245" t="str">
        <f>IF(ISNUMBER(SEARCH("H", 'Dry_Litterbag Placem_Collection'!$U116)),"YES","NO")</f>
        <v>NO</v>
      </c>
      <c r="AL409" s="245" t="str">
        <f>IF(ISNUMBER(SEARCH("R", 'Dry_Litterbag Placem_Collection'!$U116)),"YES","NO")</f>
        <v>NO</v>
      </c>
    </row>
    <row r="410" spans="2:38">
      <c r="B410" t="str">
        <f>Dryseason!B556</f>
        <v>Dry</v>
      </c>
      <c r="C410" s="253">
        <f>Dryseason!C556</f>
        <v>115</v>
      </c>
      <c r="D410" t="s">
        <v>3119</v>
      </c>
      <c r="E410" t="s">
        <v>25</v>
      </c>
      <c r="F410" s="374">
        <v>3</v>
      </c>
      <c r="G410" s="376">
        <f>IF('Dry_Litterbag Placem_Collection'!E117="","",'Dry_Litterbag Placem_Collection'!E117)</f>
        <v>42939</v>
      </c>
      <c r="H410" s="92" t="str">
        <f>Dryseason!L556</f>
        <v>G873</v>
      </c>
      <c r="I410" t="str">
        <f>Dryseason!L776</f>
        <v>R671</v>
      </c>
      <c r="J410">
        <f>IFERROR(INDEX('Green_rooibos initial weight'!$C$5:$C$2000,MATCH(H410, 'Green_rooibos initial weight'!$A$5:$A$2000,0)),"")</f>
        <v>2.0089999999999999</v>
      </c>
      <c r="K410">
        <f>IFERROR(INDEX('Green_rooibos initial weight'!$C$5:$C$2000,MATCH(I410, 'Green_rooibos initial weight'!$A$5:$A$2000,0)),"")</f>
        <v>2.202</v>
      </c>
      <c r="L410" s="194">
        <f t="shared" si="69"/>
        <v>1.7591999999999999</v>
      </c>
      <c r="M410" s="233">
        <f>AVERAGE(Ashed_controlls!$K$1:$K$11)</f>
        <v>5.5147656768714146</v>
      </c>
      <c r="N410" s="194">
        <f t="shared" si="65"/>
        <v>1.662184242212478</v>
      </c>
      <c r="O410" s="194">
        <f t="shared" si="70"/>
        <v>1.9521999999999999</v>
      </c>
      <c r="P410" s="233">
        <f>AVERAGE(Ashed_controlls!$K$12:$K$14)</f>
        <v>2.2816647271287041</v>
      </c>
      <c r="Q410" s="194">
        <f t="shared" si="66"/>
        <v>1.9076573411969935</v>
      </c>
      <c r="R410" s="376">
        <f>IF('Dry_Litterbag Placem_Collection'!G117="","",'Dry_Litterbag Placem_Collection'!G117)</f>
        <v>43008</v>
      </c>
      <c r="S410" s="194">
        <f>IFERROR(INDEX('Both teabags AfterDry'!$D$3:$D$2000,MATCH(H410,'Both teabags AfterDry'!$A$3:$A$2000,0)),"")</f>
        <v>0.68469999999999998</v>
      </c>
      <c r="T410" s="194">
        <f>IFERROR(INDEX('Both teabags AfterDry'!$D$3:$D$2000,MATCH(I410,'Both teabags AfterDry'!$A$3:$A$2000,0)),"")</f>
        <v>1.6099000000000001</v>
      </c>
      <c r="U410" s="194">
        <f t="shared" si="71"/>
        <v>0.53410000000000002</v>
      </c>
      <c r="V410" s="194">
        <f t="shared" si="72"/>
        <v>1.4593</v>
      </c>
      <c r="W410" s="194">
        <f>IFERROR(INDEX('Ashed teabags dry'!$K$2:$K$2000,MATCH(H410,'Ashed teabags dry'!$A$2:$A$2000,0)),"")</f>
        <v>14.840499306518451</v>
      </c>
      <c r="X410" s="194">
        <f>IFERROR(INDEX('Ashed teabags dry'!$K$2:$K$2000,MATCH(I410,'Ashed teabags dry'!$A$2:$A$2000,0)),"")</f>
        <v>9.1992373689235691</v>
      </c>
      <c r="Y410" s="194">
        <f t="shared" si="67"/>
        <v>0.45483689320388498</v>
      </c>
      <c r="Z410" s="194">
        <f t="shared" si="67"/>
        <v>1.3250555290752983</v>
      </c>
      <c r="AA410" s="194">
        <f t="shared" si="73"/>
        <v>0.72636192688334789</v>
      </c>
      <c r="AB410" s="194">
        <f t="shared" si="74"/>
        <v>0.47618976679288372</v>
      </c>
      <c r="AC410" s="194">
        <f t="shared" si="68"/>
        <v>0.69459829103473514</v>
      </c>
      <c r="AD410">
        <f t="shared" si="75"/>
        <v>69</v>
      </c>
      <c r="AE410" s="194">
        <f t="shared" si="76"/>
        <v>0.13733737899839915</v>
      </c>
      <c r="AF410" s="194">
        <f t="shared" si="77"/>
        <v>1.4860769342735227E-2</v>
      </c>
      <c r="AG410" s="245" t="str">
        <f>IF(ISNUMBER(SEARCH("C", 'Dry_Litterbag Placem_Collection'!$V117)),"YES","NO")</f>
        <v>NO</v>
      </c>
      <c r="AH410" s="245" t="str">
        <f>IF(ISNUMBER(SEARCH("H", 'Dry_Litterbag Placem_Collection'!$V117)),"YES","NO")</f>
        <v>NO</v>
      </c>
      <c r="AI410" s="245" t="str">
        <f>IF(ISNUMBER(SEARCH("R", 'Dry_Litterbag Placem_Collection'!$V117)),"YES","NO")</f>
        <v>NO</v>
      </c>
      <c r="AJ410" s="245" t="str">
        <f>IF(ISNUMBER(SEARCH("C", 'Dry_Litterbag Placem_Collection'!$U117)),"YES","NO")</f>
        <v>NO</v>
      </c>
      <c r="AK410" s="245" t="str">
        <f>IF(ISNUMBER(SEARCH("H", 'Dry_Litterbag Placem_Collection'!$U117)),"YES","NO")</f>
        <v>NO</v>
      </c>
      <c r="AL410" s="245" t="str">
        <f>IF(ISNUMBER(SEARCH("R", 'Dry_Litterbag Placem_Collection'!$U117)),"YES","NO")</f>
        <v>NO</v>
      </c>
    </row>
    <row r="411" spans="2:38">
      <c r="B411" t="str">
        <f>Dryseason!B557</f>
        <v>Dry</v>
      </c>
      <c r="C411" s="253">
        <f>Dryseason!C557</f>
        <v>116</v>
      </c>
      <c r="D411" t="s">
        <v>3119</v>
      </c>
      <c r="E411" t="s">
        <v>25</v>
      </c>
      <c r="F411" s="375">
        <v>4</v>
      </c>
      <c r="G411" s="376">
        <f>IF('Dry_Litterbag Placem_Collection'!E118="","",'Dry_Litterbag Placem_Collection'!E118)</f>
        <v>42939</v>
      </c>
      <c r="H411" s="92" t="str">
        <f>Dryseason!L557</f>
        <v>G206</v>
      </c>
      <c r="I411" t="str">
        <f>Dryseason!L777</f>
        <v>R638</v>
      </c>
      <c r="J411">
        <f>IFERROR(INDEX('Green_rooibos initial weight'!$C$5:$C$2000,MATCH(H411, 'Green_rooibos initial weight'!$A$5:$A$2000,0)),"")</f>
        <v>2.0249999999999999</v>
      </c>
      <c r="K411">
        <f>IFERROR(INDEX('Green_rooibos initial weight'!$C$5:$C$2000,MATCH(I411, 'Green_rooibos initial weight'!$A$5:$A$2000,0)),"")</f>
        <v>2.1659999999999999</v>
      </c>
      <c r="L411" s="194">
        <f t="shared" si="69"/>
        <v>1.7751999999999999</v>
      </c>
      <c r="M411" s="233">
        <f>AVERAGE(Ashed_controlls!$K$1:$K$11)</f>
        <v>5.5147656768714146</v>
      </c>
      <c r="N411" s="194">
        <f t="shared" si="65"/>
        <v>1.6773018797041785</v>
      </c>
      <c r="O411" s="194">
        <f t="shared" si="70"/>
        <v>1.9161999999999999</v>
      </c>
      <c r="P411" s="233">
        <f>AVERAGE(Ashed_controlls!$K$12:$K$14)</f>
        <v>2.2816647271287041</v>
      </c>
      <c r="Q411" s="194">
        <f t="shared" si="66"/>
        <v>1.8724787404987597</v>
      </c>
      <c r="R411" s="376">
        <f>IF('Dry_Litterbag Placem_Collection'!G118="","",'Dry_Litterbag Placem_Collection'!G118)</f>
        <v>43008</v>
      </c>
      <c r="S411" s="194">
        <f>IFERROR(INDEX('Both teabags AfterDry'!$D$3:$D$2000,MATCH(H411,'Both teabags AfterDry'!$A$3:$A$2000,0)),"")</f>
        <v>0.75260000000000005</v>
      </c>
      <c r="T411" s="194">
        <f>IFERROR(INDEX('Both teabags AfterDry'!$D$3:$D$2000,MATCH(I411,'Both teabags AfterDry'!$A$3:$A$2000,0)),"")</f>
        <v>1.5814999999999999</v>
      </c>
      <c r="U411" s="194">
        <f t="shared" si="71"/>
        <v>0.60200000000000009</v>
      </c>
      <c r="V411" s="194">
        <f t="shared" si="72"/>
        <v>1.4308999999999998</v>
      </c>
      <c r="W411" s="194">
        <f>IFERROR(INDEX('Ashed teabags dry'!$K$2:$K$2000,MATCH(H411,'Ashed teabags dry'!$A$2:$A$2000,0)),"")</f>
        <v>20.407259849490842</v>
      </c>
      <c r="X411" s="194">
        <f>IFERROR(INDEX('Ashed teabags dry'!$K$2:$K$2000,MATCH(I411,'Ashed teabags dry'!$A$2:$A$2000,0)),"")</f>
        <v>7.3855913004079357</v>
      </c>
      <c r="Y411" s="194">
        <f t="shared" si="67"/>
        <v>0.47914829570606521</v>
      </c>
      <c r="Z411" s="194">
        <f t="shared" si="67"/>
        <v>1.3252195740824626</v>
      </c>
      <c r="AA411" s="194">
        <f t="shared" si="73"/>
        <v>0.71433389451005003</v>
      </c>
      <c r="AB411" s="194">
        <f t="shared" si="74"/>
        <v>0.46830440590207562</v>
      </c>
      <c r="AC411" s="194">
        <f t="shared" si="68"/>
        <v>0.7077354446916031</v>
      </c>
      <c r="AD411">
        <f t="shared" si="75"/>
        <v>69</v>
      </c>
      <c r="AE411" s="194">
        <f t="shared" si="76"/>
        <v>0.15162245307595001</v>
      </c>
      <c r="AF411" s="194">
        <f t="shared" si="77"/>
        <v>1.4179827988392645E-2</v>
      </c>
      <c r="AG411" s="245" t="str">
        <f>IF(ISNUMBER(SEARCH("C", 'Dry_Litterbag Placem_Collection'!$V118)),"YES","NO")</f>
        <v>NO</v>
      </c>
      <c r="AH411" s="245" t="str">
        <f>IF(ISNUMBER(SEARCH("H", 'Dry_Litterbag Placem_Collection'!$V118)),"YES","NO")</f>
        <v>NO</v>
      </c>
      <c r="AI411" s="245" t="str">
        <f>IF(ISNUMBER(SEARCH("R", 'Dry_Litterbag Placem_Collection'!$V118)),"YES","NO")</f>
        <v>NO</v>
      </c>
      <c r="AJ411" s="245" t="str">
        <f>IF(ISNUMBER(SEARCH("C", 'Dry_Litterbag Placem_Collection'!$U118)),"YES","NO")</f>
        <v>NO</v>
      </c>
      <c r="AK411" s="245" t="str">
        <f>IF(ISNUMBER(SEARCH("H", 'Dry_Litterbag Placem_Collection'!$U118)),"YES","NO")</f>
        <v>NO</v>
      </c>
      <c r="AL411" s="245" t="str">
        <f>IF(ISNUMBER(SEARCH("R", 'Dry_Litterbag Placem_Collection'!$U118)),"YES","NO")</f>
        <v>NO</v>
      </c>
    </row>
    <row r="412" spans="2:38">
      <c r="B412" t="str">
        <f>Dryseason!B558</f>
        <v>Dry</v>
      </c>
      <c r="C412" s="253">
        <f>Dryseason!C558</f>
        <v>117</v>
      </c>
      <c r="D412" t="s">
        <v>3119</v>
      </c>
      <c r="E412" t="s">
        <v>25</v>
      </c>
      <c r="F412" s="375">
        <v>5</v>
      </c>
      <c r="G412" s="376">
        <f>IF('Dry_Litterbag Placem_Collection'!E119="","",'Dry_Litterbag Placem_Collection'!E119)</f>
        <v>42939</v>
      </c>
      <c r="H412" s="92" t="str">
        <f>Dryseason!L558</f>
        <v>G163</v>
      </c>
      <c r="I412" t="str">
        <f>Dryseason!L778</f>
        <v>R719</v>
      </c>
      <c r="J412">
        <f>IFERROR(INDEX('Green_rooibos initial weight'!$C$5:$C$2000,MATCH(H412, 'Green_rooibos initial weight'!$A$5:$A$2000,0)),"")</f>
        <v>2.04</v>
      </c>
      <c r="K412">
        <f>IFERROR(INDEX('Green_rooibos initial weight'!$C$5:$C$2000,MATCH(I412, 'Green_rooibos initial weight'!$A$5:$A$2000,0)),"")</f>
        <v>2.2050000000000001</v>
      </c>
      <c r="L412" s="194">
        <f t="shared" si="69"/>
        <v>1.7902</v>
      </c>
      <c r="M412" s="233">
        <f>AVERAGE(Ashed_controlls!$K$1:$K$11)</f>
        <v>5.5147656768714146</v>
      </c>
      <c r="N412" s="194">
        <f t="shared" si="65"/>
        <v>1.691474664852648</v>
      </c>
      <c r="O412" s="194">
        <f t="shared" si="70"/>
        <v>1.9552</v>
      </c>
      <c r="P412" s="233">
        <f>AVERAGE(Ashed_controlls!$K$12:$K$14)</f>
        <v>2.2816647271287041</v>
      </c>
      <c r="Q412" s="194">
        <f t="shared" si="66"/>
        <v>1.9105888912551796</v>
      </c>
      <c r="R412" s="376">
        <f>IF('Dry_Litterbag Placem_Collection'!G119="","",'Dry_Litterbag Placem_Collection'!G119)</f>
        <v>43008</v>
      </c>
      <c r="S412" s="194" t="str">
        <f>IFERROR(INDEX('Both teabags AfterDry'!$D$3:$D$2000,MATCH(H412,'Both teabags AfterDry'!$A$3:$A$2000,0)),"")</f>
        <v/>
      </c>
      <c r="T412" s="194" t="str">
        <f>IFERROR(INDEX('Both teabags AfterDry'!$D$3:$D$2000,MATCH(I412,'Both teabags AfterDry'!$A$3:$A$2000,0)),"")</f>
        <v/>
      </c>
      <c r="U412" s="194" t="str">
        <f t="shared" si="71"/>
        <v/>
      </c>
      <c r="V412" s="194" t="str">
        <f t="shared" si="72"/>
        <v/>
      </c>
      <c r="W412" s="194" t="str">
        <f>IFERROR(INDEX('Ashed teabags dry'!$K$2:$K$2000,MATCH(H412,'Ashed teabags dry'!$A$2:$A$2000,0)),"")</f>
        <v/>
      </c>
      <c r="X412" s="194" t="str">
        <f>IFERROR(INDEX('Ashed teabags dry'!$K$2:$K$2000,MATCH(I412,'Ashed teabags dry'!$A$2:$A$2000,0)),"")</f>
        <v/>
      </c>
      <c r="Y412" s="194" t="str">
        <f t="shared" si="67"/>
        <v/>
      </c>
      <c r="Z412" s="194" t="str">
        <f t="shared" si="67"/>
        <v/>
      </c>
      <c r="AA412" s="194" t="str">
        <f t="shared" si="73"/>
        <v/>
      </c>
      <c r="AB412" s="194" t="str">
        <f t="shared" si="74"/>
        <v/>
      </c>
      <c r="AC412" s="194" t="str">
        <f t="shared" si="68"/>
        <v/>
      </c>
      <c r="AD412">
        <f t="shared" si="75"/>
        <v>69</v>
      </c>
      <c r="AE412" s="194" t="str">
        <f t="shared" si="76"/>
        <v/>
      </c>
      <c r="AF412" s="194" t="str">
        <f t="shared" si="77"/>
        <v/>
      </c>
      <c r="AG412" s="245" t="str">
        <f>IF(ISNUMBER(SEARCH("C", 'Dry_Litterbag Placem_Collection'!$V119)),"YES","NO")</f>
        <v>NO</v>
      </c>
      <c r="AH412" s="245" t="str">
        <f>IF(ISNUMBER(SEARCH("H", 'Dry_Litterbag Placem_Collection'!$V119)),"YES","NO")</f>
        <v>NO</v>
      </c>
      <c r="AI412" s="245" t="str">
        <f>IF(ISNUMBER(SEARCH("R", 'Dry_Litterbag Placem_Collection'!$V119)),"YES","NO")</f>
        <v>NO</v>
      </c>
      <c r="AJ412" s="245" t="str">
        <f>IF(ISNUMBER(SEARCH("C", 'Dry_Litterbag Placem_Collection'!$U119)),"YES","NO")</f>
        <v>NO</v>
      </c>
      <c r="AK412" s="245" t="str">
        <f>IF(ISNUMBER(SEARCH("H", 'Dry_Litterbag Placem_Collection'!$U119)),"YES","NO")</f>
        <v>NO</v>
      </c>
      <c r="AL412" s="245" t="str">
        <f>IF(ISNUMBER(SEARCH("R", 'Dry_Litterbag Placem_Collection'!$U119)),"YES","NO")</f>
        <v>NO</v>
      </c>
    </row>
    <row r="413" spans="2:38">
      <c r="B413" t="str">
        <f>Dryseason!B559</f>
        <v>Dry</v>
      </c>
      <c r="C413" s="253">
        <f>Dryseason!C559</f>
        <v>118</v>
      </c>
      <c r="D413" t="s">
        <v>3119</v>
      </c>
      <c r="E413" t="s">
        <v>25</v>
      </c>
      <c r="F413" s="375">
        <v>6</v>
      </c>
      <c r="G413" s="376">
        <f>IF('Dry_Litterbag Placem_Collection'!E120="","",'Dry_Litterbag Placem_Collection'!E120)</f>
        <v>42939</v>
      </c>
      <c r="H413" s="92" t="str">
        <f>Dryseason!L559</f>
        <v>G83</v>
      </c>
      <c r="I413" t="str">
        <f>Dryseason!L779</f>
        <v>R173</v>
      </c>
      <c r="J413">
        <f>IFERROR(INDEX('Green_rooibos initial weight'!$C$5:$C$2000,MATCH(H413, 'Green_rooibos initial weight'!$A$5:$A$2000,0)),"")</f>
        <v>2.0209999999999999</v>
      </c>
      <c r="K413">
        <f>IFERROR(INDEX('Green_rooibos initial weight'!$C$5:$C$2000,MATCH(I413, 'Green_rooibos initial weight'!$A$5:$A$2000,0)),"")</f>
        <v>2.2040000000000002</v>
      </c>
      <c r="L413" s="194">
        <f t="shared" si="69"/>
        <v>1.7711999999999999</v>
      </c>
      <c r="M413" s="233">
        <f>AVERAGE(Ashed_controlls!$K$1:$K$11)</f>
        <v>5.5147656768714146</v>
      </c>
      <c r="N413" s="194">
        <f t="shared" si="65"/>
        <v>1.6735224703312535</v>
      </c>
      <c r="O413" s="194">
        <f t="shared" si="70"/>
        <v>1.9542000000000002</v>
      </c>
      <c r="P413" s="233">
        <f>AVERAGE(Ashed_controlls!$K$12:$K$14)</f>
        <v>2.2816647271287041</v>
      </c>
      <c r="Q413" s="194">
        <f t="shared" si="66"/>
        <v>1.909611707902451</v>
      </c>
      <c r="R413" s="376">
        <f>IF('Dry_Litterbag Placem_Collection'!G120="","",'Dry_Litterbag Placem_Collection'!G120)</f>
        <v>43008</v>
      </c>
      <c r="S413" s="194">
        <f>IFERROR(INDEX('Both teabags AfterDry'!$D$3:$D$2000,MATCH(H413,'Both teabags AfterDry'!$A$3:$A$2000,0)),"")</f>
        <v>0.81779999999999997</v>
      </c>
      <c r="T413" s="194">
        <f>IFERROR(INDEX('Both teabags AfterDry'!$D$3:$D$2000,MATCH(I413,'Both teabags AfterDry'!$A$3:$A$2000,0)),"")</f>
        <v>1.5261</v>
      </c>
      <c r="U413" s="194">
        <f t="shared" si="71"/>
        <v>0.66720000000000002</v>
      </c>
      <c r="V413" s="194">
        <f t="shared" si="72"/>
        <v>1.3754999999999999</v>
      </c>
      <c r="W413" s="194">
        <f>IFERROR(INDEX('Ashed teabags dry'!$K$2:$K$2000,MATCH(H413,'Ashed teabags dry'!$A$2:$A$2000,0)),"")</f>
        <v>31.832094446874049</v>
      </c>
      <c r="X413" s="194">
        <f>IFERROR(INDEX('Ashed teabags dry'!$K$2:$K$2000,MATCH(I413,'Ashed teabags dry'!$A$2:$A$2000,0)),"")</f>
        <v>8.9977728285078307</v>
      </c>
      <c r="Y413" s="194">
        <f t="shared" si="67"/>
        <v>0.45481626585045637</v>
      </c>
      <c r="Z413" s="194">
        <f t="shared" si="67"/>
        <v>1.2517356347438748</v>
      </c>
      <c r="AA413" s="194">
        <f t="shared" si="73"/>
        <v>0.72822816907834464</v>
      </c>
      <c r="AB413" s="194">
        <f t="shared" si="74"/>
        <v>0.4774132414860407</v>
      </c>
      <c r="AC413" s="194">
        <f t="shared" si="68"/>
        <v>0.65549222889861825</v>
      </c>
      <c r="AD413">
        <f t="shared" si="75"/>
        <v>69</v>
      </c>
      <c r="AE413" s="194">
        <f t="shared" si="76"/>
        <v>0.13512093933688285</v>
      </c>
      <c r="AF413" s="194">
        <f t="shared" si="77"/>
        <v>1.8532526429814497E-2</v>
      </c>
      <c r="AG413" s="245" t="str">
        <f>IF(ISNUMBER(SEARCH("C", 'Dry_Litterbag Placem_Collection'!$V120)),"YES","NO")</f>
        <v>NO</v>
      </c>
      <c r="AH413" s="245" t="str">
        <f>IF(ISNUMBER(SEARCH("H", 'Dry_Litterbag Placem_Collection'!$V120)),"YES","NO")</f>
        <v>NO</v>
      </c>
      <c r="AI413" s="245" t="str">
        <f>IF(ISNUMBER(SEARCH("R", 'Dry_Litterbag Placem_Collection'!$V120)),"YES","NO")</f>
        <v>NO</v>
      </c>
      <c r="AJ413" s="245" t="str">
        <f>IF(ISNUMBER(SEARCH("C", 'Dry_Litterbag Placem_Collection'!$U120)),"YES","NO")</f>
        <v>NO</v>
      </c>
      <c r="AK413" s="245" t="str">
        <f>IF(ISNUMBER(SEARCH("H", 'Dry_Litterbag Placem_Collection'!$U120)),"YES","NO")</f>
        <v>NO</v>
      </c>
      <c r="AL413" s="245" t="str">
        <f>IF(ISNUMBER(SEARCH("R", 'Dry_Litterbag Placem_Collection'!$U120)),"YES","NO")</f>
        <v>YES</v>
      </c>
    </row>
    <row r="414" spans="2:38">
      <c r="B414" t="str">
        <f>Dryseason!B560</f>
        <v>Dry</v>
      </c>
      <c r="C414" s="253">
        <f>Dryseason!C560</f>
        <v>119</v>
      </c>
      <c r="D414" t="s">
        <v>3119</v>
      </c>
      <c r="E414" t="s">
        <v>25</v>
      </c>
      <c r="F414" s="375">
        <v>7</v>
      </c>
      <c r="G414" s="376">
        <f>IF('Dry_Litterbag Placem_Collection'!E121="","",'Dry_Litterbag Placem_Collection'!E121)</f>
        <v>42939</v>
      </c>
      <c r="H414" s="92" t="str">
        <f>Dryseason!L560</f>
        <v>G159</v>
      </c>
      <c r="I414" t="str">
        <f>Dryseason!L780</f>
        <v>R373</v>
      </c>
      <c r="J414">
        <f>IFERROR(INDEX('Green_rooibos initial weight'!$C$5:$C$2000,MATCH(H414, 'Green_rooibos initial weight'!$A$5:$A$2000,0)),"")</f>
        <v>2.1419999999999999</v>
      </c>
      <c r="K414">
        <f>IFERROR(INDEX('Green_rooibos initial weight'!$C$5:$C$2000,MATCH(I414, 'Green_rooibos initial weight'!$A$5:$A$2000,0)),"")</f>
        <v>2.226</v>
      </c>
      <c r="L414" s="194">
        <f t="shared" si="69"/>
        <v>1.8921999999999999</v>
      </c>
      <c r="M414" s="233">
        <f>AVERAGE(Ashed_controlls!$K$1:$K$11)</f>
        <v>5.5147656768714146</v>
      </c>
      <c r="N414" s="194">
        <f t="shared" si="65"/>
        <v>1.7878496038622389</v>
      </c>
      <c r="O414" s="194">
        <f t="shared" si="70"/>
        <v>1.9762</v>
      </c>
      <c r="P414" s="233">
        <f>AVERAGE(Ashed_controlls!$K$12:$K$14)</f>
        <v>2.2816647271287041</v>
      </c>
      <c r="Q414" s="194">
        <f t="shared" si="66"/>
        <v>1.9311097416624825</v>
      </c>
      <c r="R414" s="376">
        <f>IF('Dry_Litterbag Placem_Collection'!G121="","",'Dry_Litterbag Placem_Collection'!G121)</f>
        <v>43008</v>
      </c>
      <c r="S414" s="194">
        <f>IFERROR(INDEX('Both teabags AfterDry'!$D$3:$D$2000,MATCH(H414,'Both teabags AfterDry'!$A$3:$A$2000,0)),"")</f>
        <v>0.76990000000000003</v>
      </c>
      <c r="T414" s="194">
        <f>IFERROR(INDEX('Both teabags AfterDry'!$D$3:$D$2000,MATCH(I414,'Both teabags AfterDry'!$A$3:$A$2000,0)),"")</f>
        <v>1.5419</v>
      </c>
      <c r="U414" s="194">
        <f t="shared" si="71"/>
        <v>0.61929999999999996</v>
      </c>
      <c r="V414" s="194">
        <f t="shared" si="72"/>
        <v>1.3913</v>
      </c>
      <c r="W414" s="194">
        <f>IFERROR(INDEX('Ashed teabags dry'!$K$2:$K$2000,MATCH(H414,'Ashed teabags dry'!$A$2:$A$2000,0)),"")</f>
        <v>17.673992673993002</v>
      </c>
      <c r="X414" s="194">
        <f>IFERROR(INDEX('Ashed teabags dry'!$K$2:$K$2000,MATCH(I414,'Ashed teabags dry'!$A$2:$A$2000,0)),"")</f>
        <v>6.2859884836854203</v>
      </c>
      <c r="Y414" s="194">
        <f t="shared" si="67"/>
        <v>0.50984496336996132</v>
      </c>
      <c r="Z414" s="194">
        <f t="shared" si="67"/>
        <v>1.3038430422264846</v>
      </c>
      <c r="AA414" s="194">
        <f t="shared" si="73"/>
        <v>0.71482782317452309</v>
      </c>
      <c r="AB414" s="194">
        <f t="shared" si="74"/>
        <v>0.46862821661797721</v>
      </c>
      <c r="AC414" s="194">
        <f t="shared" si="68"/>
        <v>0.67517811862106436</v>
      </c>
      <c r="AD414">
        <f t="shared" si="75"/>
        <v>69</v>
      </c>
      <c r="AE414" s="194">
        <f t="shared" si="76"/>
        <v>0.15103583946018628</v>
      </c>
      <c r="AF414" s="194">
        <f t="shared" si="77"/>
        <v>1.7120902011020598E-2</v>
      </c>
      <c r="AG414" s="245" t="str">
        <f>IF(ISNUMBER(SEARCH("C", 'Dry_Litterbag Placem_Collection'!$V121)),"YES","NO")</f>
        <v>NO</v>
      </c>
      <c r="AH414" s="245" t="str">
        <f>IF(ISNUMBER(SEARCH("H", 'Dry_Litterbag Placem_Collection'!$V121)),"YES","NO")</f>
        <v>NO</v>
      </c>
      <c r="AI414" s="245" t="str">
        <f>IF(ISNUMBER(SEARCH("R", 'Dry_Litterbag Placem_Collection'!$V121)),"YES","NO")</f>
        <v>NO</v>
      </c>
      <c r="AJ414" s="245" t="str">
        <f>IF(ISNUMBER(SEARCH("C", 'Dry_Litterbag Placem_Collection'!$U121)),"YES","NO")</f>
        <v>NO</v>
      </c>
      <c r="AK414" s="245" t="str">
        <f>IF(ISNUMBER(SEARCH("H", 'Dry_Litterbag Placem_Collection'!$U121)),"YES","NO")</f>
        <v>NO</v>
      </c>
      <c r="AL414" s="245" t="str">
        <f>IF(ISNUMBER(SEARCH("R", 'Dry_Litterbag Placem_Collection'!$U121)),"YES","NO")</f>
        <v>YES</v>
      </c>
    </row>
    <row r="415" spans="2:38">
      <c r="B415" t="str">
        <f>Dryseason!B561</f>
        <v>Dry</v>
      </c>
      <c r="C415" s="253">
        <f>Dryseason!C561</f>
        <v>120</v>
      </c>
      <c r="D415" t="s">
        <v>3119</v>
      </c>
      <c r="E415" t="s">
        <v>25</v>
      </c>
      <c r="F415" s="375">
        <v>8</v>
      </c>
      <c r="G415" s="376" t="str">
        <f>IF('Dry_Litterbag Placem_Collection'!E122="","",'Dry_Litterbag Placem_Collection'!E122)</f>
        <v/>
      </c>
      <c r="H415" s="92" t="str">
        <f>Dryseason!L561</f>
        <v/>
      </c>
      <c r="I415" t="str">
        <f>Dryseason!L781</f>
        <v/>
      </c>
      <c r="J415" t="str">
        <f>IFERROR(INDEX('Green_rooibos initial weight'!$C$5:$C$2000,MATCH(H415, 'Green_rooibos initial weight'!$A$5:$A$2000,0)),"")</f>
        <v/>
      </c>
      <c r="K415" t="str">
        <f>IFERROR(INDEX('Green_rooibos initial weight'!$C$5:$C$2000,MATCH(I415, 'Green_rooibos initial weight'!$A$5:$A$2000,0)),"")</f>
        <v/>
      </c>
      <c r="L415" s="194" t="str">
        <f t="shared" si="69"/>
        <v/>
      </c>
      <c r="M415" s="233">
        <f>AVERAGE(Ashed_controlls!$K$1:$K$11)</f>
        <v>5.5147656768714146</v>
      </c>
      <c r="N415" s="194" t="str">
        <f t="shared" si="65"/>
        <v/>
      </c>
      <c r="O415" s="194" t="str">
        <f t="shared" si="70"/>
        <v/>
      </c>
      <c r="P415" s="233">
        <f>AVERAGE(Ashed_controlls!$K$12:$K$14)</f>
        <v>2.2816647271287041</v>
      </c>
      <c r="Q415" s="194" t="str">
        <f t="shared" si="66"/>
        <v/>
      </c>
      <c r="R415" s="376" t="str">
        <f>IF('Dry_Litterbag Placem_Collection'!G122="","",'Dry_Litterbag Placem_Collection'!G122)</f>
        <v/>
      </c>
      <c r="S415" s="194" t="str">
        <f>IFERROR(INDEX('Both teabags AfterDry'!$D$3:$D$2000,MATCH(H415,'Both teabags AfterDry'!$A$3:$A$2000,0)),"")</f>
        <v/>
      </c>
      <c r="T415" s="194" t="str">
        <f>IFERROR(INDEX('Both teabags AfterDry'!$D$3:$D$2000,MATCH(I415,'Both teabags AfterDry'!$A$3:$A$2000,0)),"")</f>
        <v/>
      </c>
      <c r="U415" s="194" t="str">
        <f t="shared" si="71"/>
        <v/>
      </c>
      <c r="V415" s="194" t="str">
        <f t="shared" si="72"/>
        <v/>
      </c>
      <c r="W415" s="194" t="str">
        <f>IFERROR(INDEX('Ashed teabags dry'!$K$2:$K$2000,MATCH(H415,'Ashed teabags dry'!$A$2:$A$2000,0)),"")</f>
        <v/>
      </c>
      <c r="X415" s="194" t="str">
        <f>IFERROR(INDEX('Ashed teabags dry'!$K$2:$K$2000,MATCH(I415,'Ashed teabags dry'!$A$2:$A$2000,0)),"")</f>
        <v/>
      </c>
      <c r="Y415" s="194" t="str">
        <f t="shared" si="67"/>
        <v/>
      </c>
      <c r="Z415" s="194" t="str">
        <f t="shared" si="67"/>
        <v/>
      </c>
      <c r="AA415" s="194" t="str">
        <f t="shared" si="73"/>
        <v/>
      </c>
      <c r="AB415" s="194" t="str">
        <f t="shared" si="74"/>
        <v/>
      </c>
      <c r="AC415" s="194" t="str">
        <f t="shared" si="68"/>
        <v/>
      </c>
      <c r="AD415" t="str">
        <f t="shared" si="75"/>
        <v/>
      </c>
      <c r="AE415" s="194" t="str">
        <f t="shared" si="76"/>
        <v/>
      </c>
      <c r="AF415" s="194" t="str">
        <f t="shared" si="77"/>
        <v/>
      </c>
      <c r="AG415" s="245" t="str">
        <f>IF(ISNUMBER(SEARCH("C", 'Dry_Litterbag Placem_Collection'!$V122)),"YES","NO")</f>
        <v>NO</v>
      </c>
      <c r="AH415" s="245" t="str">
        <f>IF(ISNUMBER(SEARCH("H", 'Dry_Litterbag Placem_Collection'!$V122)),"YES","NO")</f>
        <v>NO</v>
      </c>
      <c r="AI415" s="245" t="str">
        <f>IF(ISNUMBER(SEARCH("R", 'Dry_Litterbag Placem_Collection'!$V122)),"YES","NO")</f>
        <v>NO</v>
      </c>
      <c r="AJ415" s="245" t="str">
        <f>IF(ISNUMBER(SEARCH("C", 'Dry_Litterbag Placem_Collection'!$U122)),"YES","NO")</f>
        <v>NO</v>
      </c>
      <c r="AK415" s="245" t="str">
        <f>IF(ISNUMBER(SEARCH("H", 'Dry_Litterbag Placem_Collection'!$U122)),"YES","NO")</f>
        <v>NO</v>
      </c>
      <c r="AL415" s="245" t="str">
        <f>IF(ISNUMBER(SEARCH("R", 'Dry_Litterbag Placem_Collection'!$U122)),"YES","NO")</f>
        <v>NO</v>
      </c>
    </row>
    <row r="416" spans="2:38">
      <c r="B416" t="str">
        <f>Dryseason!B562</f>
        <v>Dry</v>
      </c>
      <c r="C416" s="253">
        <f>Dryseason!C562</f>
        <v>121</v>
      </c>
      <c r="D416" t="s">
        <v>3120</v>
      </c>
      <c r="E416" t="s">
        <v>25</v>
      </c>
      <c r="F416" s="374">
        <v>1</v>
      </c>
      <c r="G416" s="376">
        <f>IF('Dry_Litterbag Placem_Collection'!E123="","",'Dry_Litterbag Placem_Collection'!E123)</f>
        <v>42939</v>
      </c>
      <c r="H416" s="92" t="str">
        <f>Dryseason!L562</f>
        <v>G16</v>
      </c>
      <c r="I416" t="str">
        <f>Dryseason!L782</f>
        <v>R374</v>
      </c>
      <c r="J416">
        <f>IFERROR(INDEX('Green_rooibos initial weight'!$C$5:$C$2000,MATCH(H416, 'Green_rooibos initial weight'!$A$5:$A$2000,0)),"")</f>
        <v>1.9410000000000001</v>
      </c>
      <c r="K416">
        <f>IFERROR(INDEX('Green_rooibos initial weight'!$C$5:$C$2000,MATCH(I416, 'Green_rooibos initial weight'!$A$5:$A$2000,0)),"")</f>
        <v>2.2090000000000001</v>
      </c>
      <c r="L416" s="194">
        <f t="shared" si="69"/>
        <v>1.6912</v>
      </c>
      <c r="M416" s="233">
        <f>AVERAGE(Ashed_controlls!$K$1:$K$11)</f>
        <v>5.5147656768714146</v>
      </c>
      <c r="N416" s="194">
        <f t="shared" si="65"/>
        <v>1.5979342828727507</v>
      </c>
      <c r="O416" s="194">
        <f t="shared" si="70"/>
        <v>1.9592000000000001</v>
      </c>
      <c r="P416" s="233">
        <f>AVERAGE(Ashed_controlls!$K$12:$K$14)</f>
        <v>2.2816647271287041</v>
      </c>
      <c r="Q416" s="194">
        <f t="shared" si="66"/>
        <v>1.9144976246660945</v>
      </c>
      <c r="R416" s="376">
        <f>IF('Dry_Litterbag Placem_Collection'!G123="","",'Dry_Litterbag Placem_Collection'!G123)</f>
        <v>43008</v>
      </c>
      <c r="S416" s="194" t="str">
        <f>IFERROR(INDEX('Both teabags AfterDry'!$D$3:$D$2000,MATCH(H416,'Both teabags AfterDry'!$A$3:$A$2000,0)),"")</f>
        <v/>
      </c>
      <c r="T416" s="194" t="str">
        <f>IFERROR(INDEX('Both teabags AfterDry'!$D$3:$D$2000,MATCH(I416,'Both teabags AfterDry'!$A$3:$A$2000,0)),"")</f>
        <v/>
      </c>
      <c r="U416" s="194" t="str">
        <f t="shared" si="71"/>
        <v/>
      </c>
      <c r="V416" s="194" t="str">
        <f t="shared" si="72"/>
        <v/>
      </c>
      <c r="W416" s="194" t="str">
        <f>IFERROR(INDEX('Ashed teabags dry'!$K$2:$K$2000,MATCH(H416,'Ashed teabags dry'!$A$2:$A$2000,0)),"")</f>
        <v/>
      </c>
      <c r="X416" s="194" t="str">
        <f>IFERROR(INDEX('Ashed teabags dry'!$K$2:$K$2000,MATCH(I416,'Ashed teabags dry'!$A$2:$A$2000,0)),"")</f>
        <v/>
      </c>
      <c r="Y416" s="194" t="str">
        <f t="shared" si="67"/>
        <v/>
      </c>
      <c r="Z416" s="194" t="str">
        <f t="shared" si="67"/>
        <v/>
      </c>
      <c r="AA416" s="194" t="str">
        <f t="shared" si="73"/>
        <v/>
      </c>
      <c r="AB416" s="194" t="str">
        <f t="shared" si="74"/>
        <v/>
      </c>
      <c r="AC416" s="194" t="str">
        <f t="shared" si="68"/>
        <v/>
      </c>
      <c r="AD416">
        <f t="shared" si="75"/>
        <v>69</v>
      </c>
      <c r="AE416" s="194" t="str">
        <f t="shared" si="76"/>
        <v/>
      </c>
      <c r="AF416" s="194" t="str">
        <f t="shared" si="77"/>
        <v/>
      </c>
      <c r="AG416" s="245" t="str">
        <f>IF(ISNUMBER(SEARCH("C", 'Dry_Litterbag Placem_Collection'!$V123)),"YES","NO")</f>
        <v>NO</v>
      </c>
      <c r="AH416" s="245" t="str">
        <f>IF(ISNUMBER(SEARCH("H", 'Dry_Litterbag Placem_Collection'!$V123)),"YES","NO")</f>
        <v>NO</v>
      </c>
      <c r="AI416" s="245" t="str">
        <f>IF(ISNUMBER(SEARCH("R", 'Dry_Litterbag Placem_Collection'!$V123)),"YES","NO")</f>
        <v>NO</v>
      </c>
      <c r="AJ416" s="245" t="str">
        <f>IF(ISNUMBER(SEARCH("C", 'Dry_Litterbag Placem_Collection'!$U123)),"YES","NO")</f>
        <v>NO</v>
      </c>
      <c r="AK416" s="245" t="str">
        <f>IF(ISNUMBER(SEARCH("H", 'Dry_Litterbag Placem_Collection'!$U123)),"YES","NO")</f>
        <v>NO</v>
      </c>
      <c r="AL416" s="245" t="str">
        <f>IF(ISNUMBER(SEARCH("R", 'Dry_Litterbag Placem_Collection'!$U123)),"YES","NO")</f>
        <v>NO</v>
      </c>
    </row>
    <row r="417" spans="2:38">
      <c r="B417" t="str">
        <f>Dryseason!B563</f>
        <v>Dry</v>
      </c>
      <c r="C417" s="253">
        <f>Dryseason!C563</f>
        <v>122</v>
      </c>
      <c r="D417" t="s">
        <v>3120</v>
      </c>
      <c r="E417" t="s">
        <v>25</v>
      </c>
      <c r="F417" s="374">
        <v>2</v>
      </c>
      <c r="G417" s="376">
        <f>IF('Dry_Litterbag Placem_Collection'!E124="","",'Dry_Litterbag Placem_Collection'!E124)</f>
        <v>42939</v>
      </c>
      <c r="H417" s="92" t="str">
        <f>Dryseason!L563</f>
        <v>G109</v>
      </c>
      <c r="I417" t="str">
        <f>Dryseason!L783</f>
        <v>R388</v>
      </c>
      <c r="J417">
        <f>IFERROR(INDEX('Green_rooibos initial weight'!$C$5:$C$2000,MATCH(H417, 'Green_rooibos initial weight'!$A$5:$A$2000,0)),"")</f>
        <v>1.992</v>
      </c>
      <c r="K417">
        <f>IFERROR(INDEX('Green_rooibos initial weight'!$C$5:$C$2000,MATCH(I417, 'Green_rooibos initial weight'!$A$5:$A$2000,0)),"")</f>
        <v>2.2349999999999999</v>
      </c>
      <c r="L417" s="194">
        <f t="shared" si="69"/>
        <v>1.7422</v>
      </c>
      <c r="M417" s="233">
        <f>AVERAGE(Ashed_controlls!$K$1:$K$11)</f>
        <v>5.5147656768714146</v>
      </c>
      <c r="N417" s="194">
        <f t="shared" si="65"/>
        <v>1.6461217523775462</v>
      </c>
      <c r="O417" s="194">
        <f t="shared" si="70"/>
        <v>1.9851999999999999</v>
      </c>
      <c r="P417" s="233">
        <f>AVERAGE(Ashed_controlls!$K$12:$K$14)</f>
        <v>2.2816647271287041</v>
      </c>
      <c r="Q417" s="194">
        <f t="shared" si="66"/>
        <v>1.9399043918370409</v>
      </c>
      <c r="R417" s="376">
        <f>IF('Dry_Litterbag Placem_Collection'!G124="","",'Dry_Litterbag Placem_Collection'!G124)</f>
        <v>43008</v>
      </c>
      <c r="S417" s="194">
        <f>IFERROR(INDEX('Both teabags AfterDry'!$D$3:$D$2000,MATCH(H417,'Both teabags AfterDry'!$A$3:$A$2000,0)),"")</f>
        <v>0.67359999999999998</v>
      </c>
      <c r="T417" s="194">
        <f>IFERROR(INDEX('Both teabags AfterDry'!$D$3:$D$2000,MATCH(I417,'Both teabags AfterDry'!$A$3:$A$2000,0)),"")</f>
        <v>1.4536</v>
      </c>
      <c r="U417" s="194">
        <f t="shared" si="71"/>
        <v>0.52299999999999991</v>
      </c>
      <c r="V417" s="194">
        <f t="shared" si="72"/>
        <v>1.3029999999999999</v>
      </c>
      <c r="W417" s="194">
        <f>IFERROR(INDEX('Ashed teabags dry'!$K$2:$K$2000,MATCH(H417,'Ashed teabags dry'!$A$2:$A$2000,0)),"")</f>
        <v>17.174515235456546</v>
      </c>
      <c r="X417" s="194">
        <f>IFERROR(INDEX('Ashed teabags dry'!$K$2:$K$2000,MATCH(I417,'Ashed teabags dry'!$A$2:$A$2000,0)),"")</f>
        <v>14.899853444064959</v>
      </c>
      <c r="Y417" s="194">
        <f t="shared" si="67"/>
        <v>0.4331772853185622</v>
      </c>
      <c r="Z417" s="194">
        <f t="shared" si="67"/>
        <v>1.1088549096238336</v>
      </c>
      <c r="AA417" s="194">
        <f t="shared" si="73"/>
        <v>0.73684978969938864</v>
      </c>
      <c r="AB417" s="194">
        <f t="shared" si="74"/>
        <v>0.48306542032548999</v>
      </c>
      <c r="AC417" s="194">
        <f t="shared" si="68"/>
        <v>0.57160286573390129</v>
      </c>
      <c r="AD417">
        <f t="shared" si="75"/>
        <v>69</v>
      </c>
      <c r="AE417" s="194">
        <f t="shared" si="76"/>
        <v>0.12488148491759066</v>
      </c>
      <c r="AF417" s="194">
        <f t="shared" si="77"/>
        <v>3.1577801862813101E-2</v>
      </c>
      <c r="AG417" s="245" t="str">
        <f>IF(ISNUMBER(SEARCH("C", 'Dry_Litterbag Placem_Collection'!$V124)),"YES","NO")</f>
        <v>NO</v>
      </c>
      <c r="AH417" s="245" t="str">
        <f>IF(ISNUMBER(SEARCH("H", 'Dry_Litterbag Placem_Collection'!$V124)),"YES","NO")</f>
        <v>NO</v>
      </c>
      <c r="AI417" s="245" t="str">
        <f>IF(ISNUMBER(SEARCH("R", 'Dry_Litterbag Placem_Collection'!$V124)),"YES","NO")</f>
        <v>NO</v>
      </c>
      <c r="AJ417" s="245" t="str">
        <f>IF(ISNUMBER(SEARCH("C", 'Dry_Litterbag Placem_Collection'!$U124)),"YES","NO")</f>
        <v>NO</v>
      </c>
      <c r="AK417" s="245" t="str">
        <f>IF(ISNUMBER(SEARCH("H", 'Dry_Litterbag Placem_Collection'!$U124)),"YES","NO")</f>
        <v>NO</v>
      </c>
      <c r="AL417" s="245" t="str">
        <f>IF(ISNUMBER(SEARCH("R", 'Dry_Litterbag Placem_Collection'!$U124)),"YES","NO")</f>
        <v>NO</v>
      </c>
    </row>
    <row r="418" spans="2:38">
      <c r="B418" t="str">
        <f>Dryseason!B564</f>
        <v>Dry</v>
      </c>
      <c r="C418" s="253">
        <f>Dryseason!C564</f>
        <v>123</v>
      </c>
      <c r="D418" t="s">
        <v>3120</v>
      </c>
      <c r="E418" t="s">
        <v>25</v>
      </c>
      <c r="F418" s="374">
        <v>3</v>
      </c>
      <c r="G418" s="376">
        <f>IF('Dry_Litterbag Placem_Collection'!E125="","",'Dry_Litterbag Placem_Collection'!E125)</f>
        <v>42939</v>
      </c>
      <c r="H418" s="92" t="str">
        <f>Dryseason!L564</f>
        <v>G344</v>
      </c>
      <c r="I418" t="str">
        <f>Dryseason!L784</f>
        <v>R281</v>
      </c>
      <c r="J418">
        <f>IFERROR(INDEX('Green_rooibos initial weight'!$C$5:$C$2000,MATCH(H418, 'Green_rooibos initial weight'!$A$5:$A$2000,0)),"")</f>
        <v>1.93</v>
      </c>
      <c r="K418">
        <f>IFERROR(INDEX('Green_rooibos initial weight'!$C$5:$C$2000,MATCH(I418, 'Green_rooibos initial weight'!$A$5:$A$2000,0)),"")</f>
        <v>2.17</v>
      </c>
      <c r="L418" s="194">
        <f t="shared" si="69"/>
        <v>1.6801999999999999</v>
      </c>
      <c r="M418" s="233">
        <f>AVERAGE(Ashed_controlls!$K$1:$K$11)</f>
        <v>5.5147656768714146</v>
      </c>
      <c r="N418" s="194">
        <f t="shared" si="65"/>
        <v>1.5875409070972064</v>
      </c>
      <c r="O418" s="194">
        <f t="shared" si="70"/>
        <v>1.9201999999999999</v>
      </c>
      <c r="P418" s="233">
        <f>AVERAGE(Ashed_controlls!$K$12:$K$14)</f>
        <v>2.2816647271287041</v>
      </c>
      <c r="Q418" s="194">
        <f t="shared" si="66"/>
        <v>1.8763874739096746</v>
      </c>
      <c r="R418" s="376">
        <f>IF('Dry_Litterbag Placem_Collection'!G125="","",'Dry_Litterbag Placem_Collection'!G125)</f>
        <v>43008</v>
      </c>
      <c r="S418" s="194">
        <f>IFERROR(INDEX('Both teabags AfterDry'!$D$3:$D$2000,MATCH(H418,'Both teabags AfterDry'!$A$3:$A$2000,0)),"")</f>
        <v>0.78580000000000005</v>
      </c>
      <c r="T418" s="194">
        <f>IFERROR(INDEX('Both teabags AfterDry'!$D$3:$D$2000,MATCH(I418,'Both teabags AfterDry'!$A$3:$A$2000,0)),"")</f>
        <v>1.7361</v>
      </c>
      <c r="U418" s="194">
        <f t="shared" si="71"/>
        <v>0.63519999999999999</v>
      </c>
      <c r="V418" s="194">
        <f t="shared" si="72"/>
        <v>1.5854999999999999</v>
      </c>
      <c r="W418" s="194">
        <f>IFERROR(INDEX('Ashed teabags dry'!$K$2:$K$2000,MATCH(H418,'Ashed teabags dry'!$A$2:$A$2000,0)),"")</f>
        <v>19.618781961877247</v>
      </c>
      <c r="X418" s="194">
        <f>IFERROR(INDEX('Ashed teabags dry'!$K$2:$K$2000,MATCH(I418,'Ashed teabags dry'!$A$2:$A$2000,0)),"")</f>
        <v>4.862385321101006</v>
      </c>
      <c r="Y418" s="194">
        <f t="shared" si="67"/>
        <v>0.51058149697815569</v>
      </c>
      <c r="Z418" s="194">
        <f t="shared" si="67"/>
        <v>1.5084068807339435</v>
      </c>
      <c r="AA418" s="194">
        <f t="shared" si="73"/>
        <v>0.67838214770053018</v>
      </c>
      <c r="AB418" s="194">
        <f t="shared" si="74"/>
        <v>0.44473508970391062</v>
      </c>
      <c r="AC418" s="194">
        <f t="shared" si="68"/>
        <v>0.80388880319638878</v>
      </c>
      <c r="AD418">
        <f t="shared" si="75"/>
        <v>69</v>
      </c>
      <c r="AE418" s="194">
        <f t="shared" si="76"/>
        <v>0.19432048966682869</v>
      </c>
      <c r="AF418" s="194">
        <f t="shared" si="77"/>
        <v>8.4280799506051603E-3</v>
      </c>
      <c r="AG418" s="245" t="str">
        <f>IF(ISNUMBER(SEARCH("C", 'Dry_Litterbag Placem_Collection'!$V125)),"YES","NO")</f>
        <v>NO</v>
      </c>
      <c r="AH418" s="245" t="str">
        <f>IF(ISNUMBER(SEARCH("H", 'Dry_Litterbag Placem_Collection'!$V125)),"YES","NO")</f>
        <v>NO</v>
      </c>
      <c r="AI418" s="245" t="str">
        <f>IF(ISNUMBER(SEARCH("R", 'Dry_Litterbag Placem_Collection'!$V125)),"YES","NO")</f>
        <v>NO</v>
      </c>
      <c r="AJ418" s="245" t="str">
        <f>IF(ISNUMBER(SEARCH("C", 'Dry_Litterbag Placem_Collection'!$U125)),"YES","NO")</f>
        <v>NO</v>
      </c>
      <c r="AK418" s="245" t="str">
        <f>IF(ISNUMBER(SEARCH("H", 'Dry_Litterbag Placem_Collection'!$U125)),"YES","NO")</f>
        <v>NO</v>
      </c>
      <c r="AL418" s="245" t="str">
        <f>IF(ISNUMBER(SEARCH("R", 'Dry_Litterbag Placem_Collection'!$U125)),"YES","NO")</f>
        <v>NO</v>
      </c>
    </row>
    <row r="419" spans="2:38">
      <c r="B419" t="str">
        <f>Dryseason!B565</f>
        <v>Dry</v>
      </c>
      <c r="C419" s="253">
        <f>Dryseason!C565</f>
        <v>124</v>
      </c>
      <c r="D419" t="s">
        <v>3120</v>
      </c>
      <c r="E419" t="s">
        <v>25</v>
      </c>
      <c r="F419" s="375">
        <v>4</v>
      </c>
      <c r="G419" s="376">
        <f>IF('Dry_Litterbag Placem_Collection'!E126="","",'Dry_Litterbag Placem_Collection'!E126)</f>
        <v>42939</v>
      </c>
      <c r="H419" s="92" t="str">
        <f>Dryseason!L565</f>
        <v>G221</v>
      </c>
      <c r="I419" t="str">
        <f>Dryseason!L785</f>
        <v>R443</v>
      </c>
      <c r="J419">
        <f>IFERROR(INDEX('Green_rooibos initial weight'!$C$5:$C$2000,MATCH(H419, 'Green_rooibos initial weight'!$A$5:$A$2000,0)),"")</f>
        <v>2.004</v>
      </c>
      <c r="K419">
        <f>IFERROR(INDEX('Green_rooibos initial weight'!$C$5:$C$2000,MATCH(I419, 'Green_rooibos initial weight'!$A$5:$A$2000,0)),"")</f>
        <v>2.2149999999999999</v>
      </c>
      <c r="L419" s="194">
        <f t="shared" si="69"/>
        <v>1.7542</v>
      </c>
      <c r="M419" s="233">
        <f>AVERAGE(Ashed_controlls!$K$1:$K$11)</f>
        <v>5.5147656768714146</v>
      </c>
      <c r="N419" s="194">
        <f t="shared" si="65"/>
        <v>1.6574599804963217</v>
      </c>
      <c r="O419" s="194">
        <f t="shared" si="70"/>
        <v>1.9651999999999998</v>
      </c>
      <c r="P419" s="233">
        <f>AVERAGE(Ashed_controlls!$K$12:$K$14)</f>
        <v>2.2816647271287041</v>
      </c>
      <c r="Q419" s="194">
        <f t="shared" si="66"/>
        <v>1.9203607247824666</v>
      </c>
      <c r="R419" s="376">
        <f>IF('Dry_Litterbag Placem_Collection'!G126="","",'Dry_Litterbag Placem_Collection'!G126)</f>
        <v>43008</v>
      </c>
      <c r="S419" s="194">
        <f>IFERROR(INDEX('Both teabags AfterDry'!$D$3:$D$2000,MATCH(H419,'Both teabags AfterDry'!$A$3:$A$2000,0)),"")</f>
        <v>0.66700000000000004</v>
      </c>
      <c r="T419" s="194">
        <f>IFERROR(INDEX('Both teabags AfterDry'!$D$3:$D$2000,MATCH(I419,'Both teabags AfterDry'!$A$3:$A$2000,0)),"")</f>
        <v>1.5766</v>
      </c>
      <c r="U419" s="194">
        <f t="shared" si="71"/>
        <v>0.51639999999999997</v>
      </c>
      <c r="V419" s="194">
        <f t="shared" si="72"/>
        <v>1.4259999999999999</v>
      </c>
      <c r="W419" s="194">
        <f>IFERROR(INDEX('Ashed teabags dry'!$K$2:$K$2000,MATCH(H419,'Ashed teabags dry'!$A$2:$A$2000,0)),"")</f>
        <v>19.375305026842138</v>
      </c>
      <c r="X419" s="194">
        <f>IFERROR(INDEX('Ashed teabags dry'!$K$2:$K$2000,MATCH(I419,'Ashed teabags dry'!$A$2:$A$2000,0)),"")</f>
        <v>9.9950024987499955</v>
      </c>
      <c r="Y419" s="194">
        <f t="shared" si="67"/>
        <v>0.41634592484138716</v>
      </c>
      <c r="Z419" s="194">
        <f t="shared" si="67"/>
        <v>1.283471264367825</v>
      </c>
      <c r="AA419" s="194">
        <f t="shared" si="73"/>
        <v>0.74880484009229975</v>
      </c>
      <c r="AB419" s="194">
        <f t="shared" si="74"/>
        <v>0.49090293554744596</v>
      </c>
      <c r="AC419" s="194">
        <f t="shared" si="68"/>
        <v>0.66834904911587023</v>
      </c>
      <c r="AD419">
        <f t="shared" si="75"/>
        <v>69</v>
      </c>
      <c r="AE419" s="194">
        <f t="shared" si="76"/>
        <v>0.11068308777636604</v>
      </c>
      <c r="AF419" s="194">
        <f t="shared" si="77"/>
        <v>1.6315342957059824E-2</v>
      </c>
      <c r="AG419" s="245" t="str">
        <f>IF(ISNUMBER(SEARCH("C", 'Dry_Litterbag Placem_Collection'!$V126)),"YES","NO")</f>
        <v>NO</v>
      </c>
      <c r="AH419" s="245" t="str">
        <f>IF(ISNUMBER(SEARCH("H", 'Dry_Litterbag Placem_Collection'!$V126)),"YES","NO")</f>
        <v>NO</v>
      </c>
      <c r="AI419" s="245" t="str">
        <f>IF(ISNUMBER(SEARCH("R", 'Dry_Litterbag Placem_Collection'!$V126)),"YES","NO")</f>
        <v>NO</v>
      </c>
      <c r="AJ419" s="245" t="str">
        <f>IF(ISNUMBER(SEARCH("C", 'Dry_Litterbag Placem_Collection'!$U126)),"YES","NO")</f>
        <v>NO</v>
      </c>
      <c r="AK419" s="245" t="str">
        <f>IF(ISNUMBER(SEARCH("H", 'Dry_Litterbag Placem_Collection'!$U126)),"YES","NO")</f>
        <v>NO</v>
      </c>
      <c r="AL419" s="245" t="str">
        <f>IF(ISNUMBER(SEARCH("R", 'Dry_Litterbag Placem_Collection'!$U126)),"YES","NO")</f>
        <v>NO</v>
      </c>
    </row>
    <row r="420" spans="2:38">
      <c r="B420" t="str">
        <f>Dryseason!B566</f>
        <v>Dry</v>
      </c>
      <c r="C420" s="253">
        <f>Dryseason!C566</f>
        <v>125</v>
      </c>
      <c r="D420" t="s">
        <v>3120</v>
      </c>
      <c r="E420" t="s">
        <v>25</v>
      </c>
      <c r="F420" s="375">
        <v>5</v>
      </c>
      <c r="G420" s="376">
        <f>IF('Dry_Litterbag Placem_Collection'!E127="","",'Dry_Litterbag Placem_Collection'!E127)</f>
        <v>42939</v>
      </c>
      <c r="H420" s="92" t="str">
        <f>Dryseason!L566</f>
        <v>G757</v>
      </c>
      <c r="I420" t="str">
        <f>Dryseason!L786</f>
        <v>R180</v>
      </c>
      <c r="J420">
        <f>IFERROR(INDEX('Green_rooibos initial weight'!$C$5:$C$2000,MATCH(H420, 'Green_rooibos initial weight'!$A$5:$A$2000,0)),"")</f>
        <v>2.0670000000000002</v>
      </c>
      <c r="K420">
        <f>IFERROR(INDEX('Green_rooibos initial weight'!$C$5:$C$2000,MATCH(I420, 'Green_rooibos initial weight'!$A$5:$A$2000,0)),"")</f>
        <v>2.2010000000000001</v>
      </c>
      <c r="L420" s="194">
        <f t="shared" si="69"/>
        <v>1.8172000000000001</v>
      </c>
      <c r="M420" s="233">
        <f>AVERAGE(Ashed_controlls!$K$1:$K$11)</f>
        <v>5.5147656768714146</v>
      </c>
      <c r="N420" s="194">
        <f t="shared" si="65"/>
        <v>1.7169856781198929</v>
      </c>
      <c r="O420" s="194">
        <f t="shared" si="70"/>
        <v>1.9512</v>
      </c>
      <c r="P420" s="233">
        <f>AVERAGE(Ashed_controlls!$K$12:$K$14)</f>
        <v>2.2816647271287041</v>
      </c>
      <c r="Q420" s="194">
        <f t="shared" si="66"/>
        <v>1.9066801578442647</v>
      </c>
      <c r="R420" s="376">
        <f>IF('Dry_Litterbag Placem_Collection'!G127="","",'Dry_Litterbag Placem_Collection'!G127)</f>
        <v>43008</v>
      </c>
      <c r="S420" s="194">
        <f>IFERROR(INDEX('Both teabags AfterDry'!$D$3:$D$2000,MATCH(H420,'Both teabags AfterDry'!$A$3:$A$2000,0)),"")</f>
        <v>0.92230000000000001</v>
      </c>
      <c r="T420" s="194">
        <f>IFERROR(INDEX('Both teabags AfterDry'!$D$3:$D$2000,MATCH(I420,'Both teabags AfterDry'!$A$3:$A$2000,0)),"")</f>
        <v>1.595</v>
      </c>
      <c r="U420" s="194">
        <f t="shared" si="71"/>
        <v>0.77170000000000005</v>
      </c>
      <c r="V420" s="194">
        <f t="shared" si="72"/>
        <v>1.4443999999999999</v>
      </c>
      <c r="W420" s="194">
        <f>IFERROR(INDEX('Ashed teabags dry'!$K$2:$K$2000,MATCH(H420,'Ashed teabags dry'!$A$2:$A$2000,0)),"")</f>
        <v>20.954254795868039</v>
      </c>
      <c r="X420" s="194">
        <f>IFERROR(INDEX('Ashed teabags dry'!$K$2:$K$2000,MATCH(I420,'Ashed teabags dry'!$A$2:$A$2000,0)),"")</f>
        <v>5.480093676815204</v>
      </c>
      <c r="Y420" s="194">
        <f t="shared" si="67"/>
        <v>0.60999601574028639</v>
      </c>
      <c r="Z420" s="194">
        <f t="shared" si="67"/>
        <v>1.3652455269320811</v>
      </c>
      <c r="AA420" s="194">
        <f t="shared" si="73"/>
        <v>0.64472853587909085</v>
      </c>
      <c r="AB420" s="194">
        <f t="shared" si="74"/>
        <v>0.4226723893174088</v>
      </c>
      <c r="AC420" s="194">
        <f t="shared" si="68"/>
        <v>0.71603279727610858</v>
      </c>
      <c r="AD420">
        <f t="shared" si="75"/>
        <v>69</v>
      </c>
      <c r="AE420" s="194">
        <f t="shared" si="76"/>
        <v>0.23428914978730297</v>
      </c>
      <c r="AF420" s="194">
        <f t="shared" si="77"/>
        <v>1.6148502386676176E-2</v>
      </c>
      <c r="AG420" s="245" t="str">
        <f>IF(ISNUMBER(SEARCH("C", 'Dry_Litterbag Placem_Collection'!$V127)),"YES","NO")</f>
        <v>NO</v>
      </c>
      <c r="AH420" s="245" t="str">
        <f>IF(ISNUMBER(SEARCH("H", 'Dry_Litterbag Placem_Collection'!$V127)),"YES","NO")</f>
        <v>NO</v>
      </c>
      <c r="AI420" s="245" t="str">
        <f>IF(ISNUMBER(SEARCH("R", 'Dry_Litterbag Placem_Collection'!$V127)),"YES","NO")</f>
        <v>NO</v>
      </c>
      <c r="AJ420" s="245" t="str">
        <f>IF(ISNUMBER(SEARCH("C", 'Dry_Litterbag Placem_Collection'!$U127)),"YES","NO")</f>
        <v>NO</v>
      </c>
      <c r="AK420" s="245" t="str">
        <f>IF(ISNUMBER(SEARCH("H", 'Dry_Litterbag Placem_Collection'!$U127)),"YES","NO")</f>
        <v>NO</v>
      </c>
      <c r="AL420" s="245" t="str">
        <f>IF(ISNUMBER(SEARCH("R", 'Dry_Litterbag Placem_Collection'!$U127)),"YES","NO")</f>
        <v>NO</v>
      </c>
    </row>
    <row r="421" spans="2:38">
      <c r="B421" t="str">
        <f>Dryseason!B567</f>
        <v>Dry</v>
      </c>
      <c r="C421" s="253">
        <f>Dryseason!C567</f>
        <v>126</v>
      </c>
      <c r="D421" t="s">
        <v>3120</v>
      </c>
      <c r="E421" t="s">
        <v>25</v>
      </c>
      <c r="F421" s="375">
        <v>6</v>
      </c>
      <c r="G421" s="376" t="str">
        <f>IF('Dry_Litterbag Placem_Collection'!E128="","",'Dry_Litterbag Placem_Collection'!E128)</f>
        <v/>
      </c>
      <c r="H421" s="92" t="str">
        <f>Dryseason!L567</f>
        <v/>
      </c>
      <c r="I421" t="str">
        <f>Dryseason!L787</f>
        <v/>
      </c>
      <c r="J421" t="str">
        <f>IFERROR(INDEX('Green_rooibos initial weight'!$C$5:$C$2000,MATCH(H421, 'Green_rooibos initial weight'!$A$5:$A$2000,0)),"")</f>
        <v/>
      </c>
      <c r="K421" t="str">
        <f>IFERROR(INDEX('Green_rooibos initial weight'!$C$5:$C$2000,MATCH(I421, 'Green_rooibos initial weight'!$A$5:$A$2000,0)),"")</f>
        <v/>
      </c>
      <c r="L421" s="194" t="str">
        <f t="shared" si="69"/>
        <v/>
      </c>
      <c r="M421" s="233">
        <f>AVERAGE(Ashed_controlls!$K$1:$K$11)</f>
        <v>5.5147656768714146</v>
      </c>
      <c r="N421" s="194" t="str">
        <f t="shared" si="65"/>
        <v/>
      </c>
      <c r="O421" s="194" t="str">
        <f t="shared" si="70"/>
        <v/>
      </c>
      <c r="P421" s="233">
        <f>AVERAGE(Ashed_controlls!$K$12:$K$14)</f>
        <v>2.2816647271287041</v>
      </c>
      <c r="Q421" s="194" t="str">
        <f t="shared" si="66"/>
        <v/>
      </c>
      <c r="R421" s="376" t="str">
        <f>IF('Dry_Litterbag Placem_Collection'!G128="","",'Dry_Litterbag Placem_Collection'!G128)</f>
        <v/>
      </c>
      <c r="S421" s="194" t="str">
        <f>IFERROR(INDEX('Both teabags AfterDry'!$D$3:$D$2000,MATCH(H421,'Both teabags AfterDry'!$A$3:$A$2000,0)),"")</f>
        <v/>
      </c>
      <c r="T421" s="194" t="str">
        <f>IFERROR(INDEX('Both teabags AfterDry'!$D$3:$D$2000,MATCH(I421,'Both teabags AfterDry'!$A$3:$A$2000,0)),"")</f>
        <v/>
      </c>
      <c r="U421" s="194" t="str">
        <f t="shared" si="71"/>
        <v/>
      </c>
      <c r="V421" s="194" t="str">
        <f t="shared" si="72"/>
        <v/>
      </c>
      <c r="W421" s="194" t="str">
        <f>IFERROR(INDEX('Ashed teabags dry'!$K$2:$K$2000,MATCH(H421,'Ashed teabags dry'!$A$2:$A$2000,0)),"")</f>
        <v/>
      </c>
      <c r="X421" s="194" t="str">
        <f>IFERROR(INDEX('Ashed teabags dry'!$K$2:$K$2000,MATCH(I421,'Ashed teabags dry'!$A$2:$A$2000,0)),"")</f>
        <v/>
      </c>
      <c r="Y421" s="194" t="str">
        <f t="shared" si="67"/>
        <v/>
      </c>
      <c r="Z421" s="194" t="str">
        <f t="shared" si="67"/>
        <v/>
      </c>
      <c r="AA421" s="194" t="str">
        <f t="shared" si="73"/>
        <v/>
      </c>
      <c r="AB421" s="194" t="str">
        <f t="shared" si="74"/>
        <v/>
      </c>
      <c r="AC421" s="194" t="str">
        <f t="shared" si="68"/>
        <v/>
      </c>
      <c r="AD421" t="str">
        <f t="shared" si="75"/>
        <v/>
      </c>
      <c r="AE421" s="194" t="str">
        <f t="shared" si="76"/>
        <v/>
      </c>
      <c r="AF421" s="194" t="str">
        <f t="shared" si="77"/>
        <v/>
      </c>
      <c r="AG421" s="245" t="str">
        <f>IF(ISNUMBER(SEARCH("C", 'Dry_Litterbag Placem_Collection'!$V128)),"YES","NO")</f>
        <v>NO</v>
      </c>
      <c r="AH421" s="245" t="str">
        <f>IF(ISNUMBER(SEARCH("H", 'Dry_Litterbag Placem_Collection'!$V128)),"YES","NO")</f>
        <v>NO</v>
      </c>
      <c r="AI421" s="245" t="str">
        <f>IF(ISNUMBER(SEARCH("R", 'Dry_Litterbag Placem_Collection'!$V128)),"YES","NO")</f>
        <v>NO</v>
      </c>
      <c r="AJ421" s="245" t="str">
        <f>IF(ISNUMBER(SEARCH("C", 'Dry_Litterbag Placem_Collection'!$U128)),"YES","NO")</f>
        <v>NO</v>
      </c>
      <c r="AK421" s="245" t="str">
        <f>IF(ISNUMBER(SEARCH("H", 'Dry_Litterbag Placem_Collection'!$U128)),"YES","NO")</f>
        <v>NO</v>
      </c>
      <c r="AL421" s="245" t="str">
        <f>IF(ISNUMBER(SEARCH("R", 'Dry_Litterbag Placem_Collection'!$U128)),"YES","NO")</f>
        <v>NO</v>
      </c>
    </row>
    <row r="422" spans="2:38">
      <c r="B422" t="str">
        <f>Dryseason!B568</f>
        <v>Dry</v>
      </c>
      <c r="C422" s="253">
        <f>Dryseason!C568</f>
        <v>127</v>
      </c>
      <c r="D422" t="s">
        <v>3120</v>
      </c>
      <c r="E422" t="s">
        <v>25</v>
      </c>
      <c r="F422" s="375">
        <v>7</v>
      </c>
      <c r="G422" s="376">
        <f>IF('Dry_Litterbag Placem_Collection'!E129="","",'Dry_Litterbag Placem_Collection'!E129)</f>
        <v>42939</v>
      </c>
      <c r="H422" s="92" t="str">
        <f>Dryseason!L568</f>
        <v>G96</v>
      </c>
      <c r="I422" t="str">
        <f>Dryseason!L788</f>
        <v>R229</v>
      </c>
      <c r="J422">
        <f>IFERROR(INDEX('Green_rooibos initial weight'!$C$5:$C$2000,MATCH(H422, 'Green_rooibos initial weight'!$A$5:$A$2000,0)),"")</f>
        <v>2.2349999999999999</v>
      </c>
      <c r="K422">
        <f>IFERROR(INDEX('Green_rooibos initial weight'!$C$5:$C$2000,MATCH(I422, 'Green_rooibos initial weight'!$A$5:$A$2000,0)),"")</f>
        <v>2.2530000000000001</v>
      </c>
      <c r="L422" s="194">
        <f t="shared" si="69"/>
        <v>1.9851999999999999</v>
      </c>
      <c r="M422" s="233">
        <f>AVERAGE(Ashed_controlls!$K$1:$K$11)</f>
        <v>5.5147656768714146</v>
      </c>
      <c r="N422" s="194">
        <f t="shared" si="65"/>
        <v>1.8757208717827485</v>
      </c>
      <c r="O422" s="194">
        <f t="shared" si="70"/>
        <v>2.0032000000000001</v>
      </c>
      <c r="P422" s="233">
        <f>AVERAGE(Ashed_controlls!$K$12:$K$14)</f>
        <v>2.2816647271287041</v>
      </c>
      <c r="Q422" s="194">
        <f t="shared" si="66"/>
        <v>1.9574936921861579</v>
      </c>
      <c r="R422" s="376">
        <f>IF('Dry_Litterbag Placem_Collection'!G129="","",'Dry_Litterbag Placem_Collection'!G129)</f>
        <v>43008</v>
      </c>
      <c r="S422" s="194">
        <f>IFERROR(INDEX('Both teabags AfterDry'!$D$3:$D$2000,MATCH(H422,'Both teabags AfterDry'!$A$3:$A$2000,0)),"")</f>
        <v>0.77790000000000004</v>
      </c>
      <c r="T422" s="194">
        <f>IFERROR(INDEX('Both teabags AfterDry'!$D$3:$D$2000,MATCH(I422,'Both teabags AfterDry'!$A$3:$A$2000,0)),"")</f>
        <v>1.5876999999999999</v>
      </c>
      <c r="U422" s="194">
        <f t="shared" si="71"/>
        <v>0.62729999999999997</v>
      </c>
      <c r="V422" s="194">
        <f t="shared" si="72"/>
        <v>1.4370999999999998</v>
      </c>
      <c r="W422" s="194">
        <f>IFERROR(INDEX('Ashed teabags dry'!$K$2:$K$2000,MATCH(H422,'Ashed teabags dry'!$A$2:$A$2000,0)),"")</f>
        <v>15.120274914089208</v>
      </c>
      <c r="X422" s="194">
        <f>IFERROR(INDEX('Ashed teabags dry'!$K$2:$K$2000,MATCH(I422,'Ashed teabags dry'!$A$2:$A$2000,0)),"")</f>
        <v>6.6340160284944094</v>
      </c>
      <c r="Y422" s="194">
        <f t="shared" si="67"/>
        <v>0.53245051546391842</v>
      </c>
      <c r="Z422" s="194">
        <f t="shared" si="67"/>
        <v>1.3417625556545068</v>
      </c>
      <c r="AA422" s="194">
        <f t="shared" si="73"/>
        <v>0.71613552769295596</v>
      </c>
      <c r="AB422" s="194">
        <f t="shared" si="74"/>
        <v>0.46948552409324434</v>
      </c>
      <c r="AC422" s="194">
        <f t="shared" si="68"/>
        <v>0.68544923593393881</v>
      </c>
      <c r="AD422">
        <f t="shared" si="75"/>
        <v>69</v>
      </c>
      <c r="AE422" s="194">
        <f t="shared" si="76"/>
        <v>0.1494827462078907</v>
      </c>
      <c r="AF422" s="194">
        <f t="shared" si="77"/>
        <v>1.6067149859514088E-2</v>
      </c>
      <c r="AG422" s="245" t="str">
        <f>IF(ISNUMBER(SEARCH("C", 'Dry_Litterbag Placem_Collection'!$V129)),"YES","NO")</f>
        <v>NO</v>
      </c>
      <c r="AH422" s="245" t="str">
        <f>IF(ISNUMBER(SEARCH("H", 'Dry_Litterbag Placem_Collection'!$V129)),"YES","NO")</f>
        <v>NO</v>
      </c>
      <c r="AI422" s="245" t="str">
        <f>IF(ISNUMBER(SEARCH("R", 'Dry_Litterbag Placem_Collection'!$V129)),"YES","NO")</f>
        <v>NO</v>
      </c>
      <c r="AJ422" s="245" t="str">
        <f>IF(ISNUMBER(SEARCH("C", 'Dry_Litterbag Placem_Collection'!$U129)),"YES","NO")</f>
        <v>NO</v>
      </c>
      <c r="AK422" s="245" t="str">
        <f>IF(ISNUMBER(SEARCH("H", 'Dry_Litterbag Placem_Collection'!$U129)),"YES","NO")</f>
        <v>NO</v>
      </c>
      <c r="AL422" s="245" t="str">
        <f>IF(ISNUMBER(SEARCH("R", 'Dry_Litterbag Placem_Collection'!$U129)),"YES","NO")</f>
        <v>YES</v>
      </c>
    </row>
    <row r="423" spans="2:38">
      <c r="B423" t="str">
        <f>Dryseason!B569</f>
        <v>Dry</v>
      </c>
      <c r="C423" s="253">
        <f>Dryseason!C569</f>
        <v>128</v>
      </c>
      <c r="D423" t="s">
        <v>3120</v>
      </c>
      <c r="E423" t="s">
        <v>25</v>
      </c>
      <c r="F423" s="375">
        <v>8</v>
      </c>
      <c r="G423" s="376">
        <f>IF('Dry_Litterbag Placem_Collection'!E130="","",'Dry_Litterbag Placem_Collection'!E130)</f>
        <v>42939</v>
      </c>
      <c r="H423" s="92" t="str">
        <f>Dryseason!L569</f>
        <v>G134</v>
      </c>
      <c r="I423" t="str">
        <f>Dryseason!L789</f>
        <v>R272</v>
      </c>
      <c r="J423">
        <f>IFERROR(INDEX('Green_rooibos initial weight'!$C$5:$C$2000,MATCH(H423, 'Green_rooibos initial weight'!$A$5:$A$2000,0)),"")</f>
        <v>2.0089999999999999</v>
      </c>
      <c r="K423">
        <f>IFERROR(INDEX('Green_rooibos initial weight'!$C$5:$C$2000,MATCH(I423, 'Green_rooibos initial weight'!$A$5:$A$2000,0)),"")</f>
        <v>2.2999999999999998</v>
      </c>
      <c r="L423" s="194">
        <f t="shared" si="69"/>
        <v>1.7591999999999999</v>
      </c>
      <c r="M423" s="233">
        <f>AVERAGE(Ashed_controlls!$K$1:$K$11)</f>
        <v>5.5147656768714146</v>
      </c>
      <c r="N423" s="194">
        <f t="shared" si="65"/>
        <v>1.662184242212478</v>
      </c>
      <c r="O423" s="194">
        <f t="shared" si="70"/>
        <v>2.0501999999999998</v>
      </c>
      <c r="P423" s="233">
        <f>AVERAGE(Ashed_controlls!$K$12:$K$14)</f>
        <v>2.2816647271287041</v>
      </c>
      <c r="Q423" s="194">
        <f t="shared" si="66"/>
        <v>2.0034213097644069</v>
      </c>
      <c r="R423" s="376">
        <f>IF('Dry_Litterbag Placem_Collection'!G130="","",'Dry_Litterbag Placem_Collection'!G130)</f>
        <v>43008</v>
      </c>
      <c r="S423" s="194">
        <f>IFERROR(INDEX('Both teabags AfterDry'!$D$3:$D$2000,MATCH(H423,'Both teabags AfterDry'!$A$3:$A$2000,0)),"")</f>
        <v>0.82289999999999996</v>
      </c>
      <c r="T423" s="194">
        <f>IFERROR(INDEX('Both teabags AfterDry'!$D$3:$D$2000,MATCH(I423,'Both teabags AfterDry'!$A$3:$A$2000,0)),"")</f>
        <v>1.6163000000000001</v>
      </c>
      <c r="U423" s="194">
        <f t="shared" si="71"/>
        <v>0.6722999999999999</v>
      </c>
      <c r="V423" s="194">
        <f t="shared" si="72"/>
        <v>1.4657</v>
      </c>
      <c r="W423" s="194">
        <f>IFERROR(INDEX('Ashed teabags dry'!$K$2:$K$2000,MATCH(H423,'Ashed teabags dry'!$A$2:$A$2000,0)),"")</f>
        <v>18.432510885341248</v>
      </c>
      <c r="X423" s="194">
        <f>IFERROR(INDEX('Ashed teabags dry'!$K$2:$K$2000,MATCH(I423,'Ashed teabags dry'!$A$2:$A$2000,0)),"")</f>
        <v>8.0924855491328049</v>
      </c>
      <c r="Y423" s="194">
        <f t="shared" si="67"/>
        <v>0.54837822931785074</v>
      </c>
      <c r="Z423" s="194">
        <f t="shared" si="67"/>
        <v>1.3470884393063605</v>
      </c>
      <c r="AA423" s="194">
        <f t="shared" si="73"/>
        <v>0.67008577305009054</v>
      </c>
      <c r="AB423" s="194">
        <f t="shared" si="74"/>
        <v>0.43929613625136582</v>
      </c>
      <c r="AC423" s="194">
        <f t="shared" si="68"/>
        <v>0.67239398559895114</v>
      </c>
      <c r="AD423">
        <f t="shared" si="75"/>
        <v>69</v>
      </c>
      <c r="AE423" s="194">
        <f t="shared" si="76"/>
        <v>0.20417366621129385</v>
      </c>
      <c r="AF423" s="194">
        <f t="shared" si="77"/>
        <v>1.9847036060618672E-2</v>
      </c>
      <c r="AG423" s="245" t="str">
        <f>IF(ISNUMBER(SEARCH("C", 'Dry_Litterbag Placem_Collection'!$V130)),"YES","NO")</f>
        <v>NO</v>
      </c>
      <c r="AH423" s="245" t="str">
        <f>IF(ISNUMBER(SEARCH("H", 'Dry_Litterbag Placem_Collection'!$V130)),"YES","NO")</f>
        <v>NO</v>
      </c>
      <c r="AI423" s="245" t="str">
        <f>IF(ISNUMBER(SEARCH("R", 'Dry_Litterbag Placem_Collection'!$V130)),"YES","NO")</f>
        <v>NO</v>
      </c>
      <c r="AJ423" s="245" t="str">
        <f>IF(ISNUMBER(SEARCH("C", 'Dry_Litterbag Placem_Collection'!$U130)),"YES","NO")</f>
        <v>NO</v>
      </c>
      <c r="AK423" s="245" t="str">
        <f>IF(ISNUMBER(SEARCH("H", 'Dry_Litterbag Placem_Collection'!$U130)),"YES","NO")</f>
        <v>NO</v>
      </c>
      <c r="AL423" s="245" t="str">
        <f>IF(ISNUMBER(SEARCH("R", 'Dry_Litterbag Placem_Collection'!$U130)),"YES","NO")</f>
        <v>NO</v>
      </c>
    </row>
    <row r="424" spans="2:38">
      <c r="B424" t="str">
        <f>Dryseason!B570</f>
        <v>Dry</v>
      </c>
      <c r="C424" s="253">
        <f>Dryseason!C570</f>
        <v>129</v>
      </c>
      <c r="D424" t="s">
        <v>3121</v>
      </c>
      <c r="E424" t="s">
        <v>25</v>
      </c>
      <c r="F424" s="374">
        <v>1</v>
      </c>
      <c r="G424" s="376">
        <f>IF('Dry_Litterbag Placem_Collection'!E131="","",'Dry_Litterbag Placem_Collection'!E131)</f>
        <v>42939</v>
      </c>
      <c r="H424" s="92" t="str">
        <f>Dryseason!L570</f>
        <v>G671</v>
      </c>
      <c r="I424" t="str">
        <f>Dryseason!L790</f>
        <v>R207</v>
      </c>
      <c r="J424">
        <f>IFERROR(INDEX('Green_rooibos initial weight'!$C$5:$C$2000,MATCH(H424, 'Green_rooibos initial weight'!$A$5:$A$2000,0)),"")</f>
        <v>2.0510000000000002</v>
      </c>
      <c r="K424">
        <f>IFERROR(INDEX('Green_rooibos initial weight'!$C$5:$C$2000,MATCH(I424, 'Green_rooibos initial weight'!$A$5:$A$2000,0)),"")</f>
        <v>2.1800000000000002</v>
      </c>
      <c r="L424" s="194">
        <f t="shared" si="69"/>
        <v>1.8012000000000001</v>
      </c>
      <c r="M424" s="233">
        <f>AVERAGE(Ashed_controlls!$K$1:$K$11)</f>
        <v>5.5147656768714146</v>
      </c>
      <c r="N424" s="194">
        <f t="shared" si="65"/>
        <v>1.7018680406281923</v>
      </c>
      <c r="O424" s="194">
        <f t="shared" si="70"/>
        <v>1.9302000000000001</v>
      </c>
      <c r="P424" s="233">
        <f>AVERAGE(Ashed_controlls!$K$12:$K$14)</f>
        <v>2.2816647271287041</v>
      </c>
      <c r="Q424" s="194">
        <f t="shared" si="66"/>
        <v>1.8861593074369618</v>
      </c>
      <c r="R424" s="376">
        <f>IF('Dry_Litterbag Placem_Collection'!G131="","",'Dry_Litterbag Placem_Collection'!G131)</f>
        <v>43008</v>
      </c>
      <c r="S424" s="194">
        <f>IFERROR(INDEX('Both teabags AfterDry'!$D$3:$D$2000,MATCH(H424,'Both teabags AfterDry'!$A$3:$A$2000,0)),"")</f>
        <v>0.68540000000000001</v>
      </c>
      <c r="T424" s="194">
        <f>IFERROR(INDEX('Both teabags AfterDry'!$D$3:$D$2000,MATCH(I424,'Both teabags AfterDry'!$A$3:$A$2000,0)),"")</f>
        <v>1.6962999999999999</v>
      </c>
      <c r="U424" s="194">
        <f t="shared" si="71"/>
        <v>0.53479999999999994</v>
      </c>
      <c r="V424" s="194">
        <f t="shared" si="72"/>
        <v>1.5456999999999999</v>
      </c>
      <c r="W424" s="194">
        <f>IFERROR(INDEX('Ashed teabags dry'!$K$2:$K$2000,MATCH(H424,'Ashed teabags dry'!$A$2:$A$2000,0)),"")</f>
        <v>15.942028985507489</v>
      </c>
      <c r="X424" s="194">
        <f>IFERROR(INDEX('Ashed teabags dry'!$K$2:$K$2000,MATCH(I424,'Ashed teabags dry'!$A$2:$A$2000,0)),"")</f>
        <v>6.3134657836639967</v>
      </c>
      <c r="Y424" s="194">
        <f t="shared" si="67"/>
        <v>0.44954202898550588</v>
      </c>
      <c r="Z424" s="194">
        <f t="shared" si="67"/>
        <v>1.4481127593819054</v>
      </c>
      <c r="AA424" s="194">
        <f t="shared" si="73"/>
        <v>0.73585376876836395</v>
      </c>
      <c r="AB424" s="194">
        <f t="shared" si="74"/>
        <v>0.48241244698353558</v>
      </c>
      <c r="AC424" s="194">
        <f t="shared" si="68"/>
        <v>0.76775739656354736</v>
      </c>
      <c r="AD424">
        <f t="shared" si="75"/>
        <v>69</v>
      </c>
      <c r="AE424" s="194">
        <f t="shared" si="76"/>
        <v>0.12606440763852256</v>
      </c>
      <c r="AF424" s="194">
        <f t="shared" si="77"/>
        <v>9.5168026942663436E-3</v>
      </c>
      <c r="AG424" s="245" t="str">
        <f>IF(ISNUMBER(SEARCH("C", 'Dry_Litterbag Placem_Collection'!$V131)),"YES","NO")</f>
        <v>NO</v>
      </c>
      <c r="AH424" s="245" t="str">
        <f>IF(ISNUMBER(SEARCH("H", 'Dry_Litterbag Placem_Collection'!$V131)),"YES","NO")</f>
        <v>NO</v>
      </c>
      <c r="AI424" s="245" t="str">
        <f>IF(ISNUMBER(SEARCH("R", 'Dry_Litterbag Placem_Collection'!$V131)),"YES","NO")</f>
        <v>NO</v>
      </c>
      <c r="AJ424" s="245" t="str">
        <f>IF(ISNUMBER(SEARCH("C", 'Dry_Litterbag Placem_Collection'!$U131)),"YES","NO")</f>
        <v>NO</v>
      </c>
      <c r="AK424" s="245" t="str">
        <f>IF(ISNUMBER(SEARCH("H", 'Dry_Litterbag Placem_Collection'!$U131)),"YES","NO")</f>
        <v>NO</v>
      </c>
      <c r="AL424" s="245" t="str">
        <f>IF(ISNUMBER(SEARCH("R", 'Dry_Litterbag Placem_Collection'!$U131)),"YES","NO")</f>
        <v>NO</v>
      </c>
    </row>
    <row r="425" spans="2:38">
      <c r="B425" t="str">
        <f>Dryseason!B571</f>
        <v>Dry</v>
      </c>
      <c r="C425" s="253">
        <f>Dryseason!C571</f>
        <v>130</v>
      </c>
      <c r="D425" t="s">
        <v>3121</v>
      </c>
      <c r="E425" t="s">
        <v>25</v>
      </c>
      <c r="F425" s="374">
        <v>2</v>
      </c>
      <c r="G425" s="376">
        <f>IF('Dry_Litterbag Placem_Collection'!E132="","",'Dry_Litterbag Placem_Collection'!E132)</f>
        <v>42939</v>
      </c>
      <c r="H425" s="92" t="str">
        <f>Dryseason!L571</f>
        <v>G400</v>
      </c>
      <c r="I425" t="str">
        <f>Dryseason!L791</f>
        <v>R193</v>
      </c>
      <c r="J425">
        <f>IFERROR(INDEX('Green_rooibos initial weight'!$C$5:$C$2000,MATCH(H425, 'Green_rooibos initial weight'!$A$5:$A$2000,0)),"")</f>
        <v>2.0089999999999999</v>
      </c>
      <c r="K425">
        <f>IFERROR(INDEX('Green_rooibos initial weight'!$C$5:$C$2000,MATCH(I425, 'Green_rooibos initial weight'!$A$5:$A$2000,0)),"")</f>
        <v>2.198</v>
      </c>
      <c r="L425" s="194">
        <f t="shared" si="69"/>
        <v>1.7591999999999999</v>
      </c>
      <c r="M425" s="233">
        <f>AVERAGE(Ashed_controlls!$K$1:$K$11)</f>
        <v>5.5147656768714146</v>
      </c>
      <c r="N425" s="194">
        <f t="shared" si="65"/>
        <v>1.662184242212478</v>
      </c>
      <c r="O425" s="194">
        <f t="shared" si="70"/>
        <v>1.9481999999999999</v>
      </c>
      <c r="P425" s="233">
        <f>AVERAGE(Ashed_controlls!$K$12:$K$14)</f>
        <v>2.2816647271287041</v>
      </c>
      <c r="Q425" s="194">
        <f t="shared" si="66"/>
        <v>1.9037486077860786</v>
      </c>
      <c r="R425" s="376">
        <f>IF('Dry_Litterbag Placem_Collection'!G132="","",'Dry_Litterbag Placem_Collection'!G132)</f>
        <v>43008</v>
      </c>
      <c r="S425" s="194">
        <f>IFERROR(INDEX('Both teabags AfterDry'!$D$3:$D$2000,MATCH(H425,'Both teabags AfterDry'!$A$3:$A$2000,0)),"")</f>
        <v>0.86</v>
      </c>
      <c r="T425" s="194">
        <f>IFERROR(INDEX('Both teabags AfterDry'!$D$3:$D$2000,MATCH(I425,'Both teabags AfterDry'!$A$3:$A$2000,0)),"")</f>
        <v>1.7978000000000001</v>
      </c>
      <c r="U425" s="194">
        <f t="shared" si="71"/>
        <v>0.70940000000000003</v>
      </c>
      <c r="V425" s="194">
        <f t="shared" si="72"/>
        <v>1.6472</v>
      </c>
      <c r="W425" s="194">
        <f>IFERROR(INDEX('Ashed teabags dry'!$K$2:$K$2000,MATCH(H425,'Ashed teabags dry'!$A$2:$A$2000,0)),"")</f>
        <v>23.389830508474194</v>
      </c>
      <c r="X425" s="194">
        <f>IFERROR(INDEX('Ashed teabags dry'!$K$2:$K$2000,MATCH(I425,'Ashed teabags dry'!$A$2:$A$2000,0)),"")</f>
        <v>7.9980610761027835</v>
      </c>
      <c r="Y425" s="194">
        <f t="shared" si="67"/>
        <v>0.54347254237288412</v>
      </c>
      <c r="Z425" s="194">
        <f t="shared" si="67"/>
        <v>1.515455937954435</v>
      </c>
      <c r="AA425" s="194">
        <f t="shared" si="73"/>
        <v>0.67303712273827965</v>
      </c>
      <c r="AB425" s="194">
        <f t="shared" si="74"/>
        <v>0.44123098782842091</v>
      </c>
      <c r="AC425" s="194">
        <f t="shared" si="68"/>
        <v>0.79603784436475589</v>
      </c>
      <c r="AD425">
        <f t="shared" si="75"/>
        <v>69</v>
      </c>
      <c r="AE425" s="194">
        <f t="shared" si="76"/>
        <v>0.20066850031083172</v>
      </c>
      <c r="AF425" s="194">
        <f t="shared" si="77"/>
        <v>8.9909378102216025E-3</v>
      </c>
      <c r="AG425" s="245" t="str">
        <f>IF(ISNUMBER(SEARCH("C", 'Dry_Litterbag Placem_Collection'!$V132)),"YES","NO")</f>
        <v>NO</v>
      </c>
      <c r="AH425" s="245" t="str">
        <f>IF(ISNUMBER(SEARCH("H", 'Dry_Litterbag Placem_Collection'!$V132)),"YES","NO")</f>
        <v>NO</v>
      </c>
      <c r="AI425" s="245" t="str">
        <f>IF(ISNUMBER(SEARCH("R", 'Dry_Litterbag Placem_Collection'!$V132)),"YES","NO")</f>
        <v>NO</v>
      </c>
      <c r="AJ425" s="245" t="str">
        <f>IF(ISNUMBER(SEARCH("C", 'Dry_Litterbag Placem_Collection'!$U132)),"YES","NO")</f>
        <v>NO</v>
      </c>
      <c r="AK425" s="245" t="str">
        <f>IF(ISNUMBER(SEARCH("H", 'Dry_Litterbag Placem_Collection'!$U132)),"YES","NO")</f>
        <v>NO</v>
      </c>
      <c r="AL425" s="245" t="str">
        <f>IF(ISNUMBER(SEARCH("R", 'Dry_Litterbag Placem_Collection'!$U132)),"YES","NO")</f>
        <v>YES</v>
      </c>
    </row>
    <row r="426" spans="2:38">
      <c r="B426" t="str">
        <f>Dryseason!B572</f>
        <v>Dry</v>
      </c>
      <c r="C426" s="253">
        <f>Dryseason!C572</f>
        <v>131</v>
      </c>
      <c r="D426" t="s">
        <v>3121</v>
      </c>
      <c r="E426" t="s">
        <v>25</v>
      </c>
      <c r="F426" s="374">
        <v>3</v>
      </c>
      <c r="G426" s="376">
        <f>IF('Dry_Litterbag Placem_Collection'!E133="","",'Dry_Litterbag Placem_Collection'!E133)</f>
        <v>42939</v>
      </c>
      <c r="H426" s="92" t="str">
        <f>Dryseason!L572</f>
        <v>G48</v>
      </c>
      <c r="I426" t="str">
        <f>Dryseason!L792</f>
        <v>R188</v>
      </c>
      <c r="J426">
        <f>IFERROR(INDEX('Green_rooibos initial weight'!$C$5:$C$2000,MATCH(H426, 'Green_rooibos initial weight'!$A$5:$A$2000,0)),"")</f>
        <v>2.0590000000000002</v>
      </c>
      <c r="K426">
        <f>IFERROR(INDEX('Green_rooibos initial weight'!$C$5:$C$2000,MATCH(I426, 'Green_rooibos initial weight'!$A$5:$A$2000,0)),"")</f>
        <v>2.2440000000000002</v>
      </c>
      <c r="L426" s="194">
        <f t="shared" si="69"/>
        <v>1.8092000000000001</v>
      </c>
      <c r="M426" s="233">
        <f>AVERAGE(Ashed_controlls!$K$1:$K$11)</f>
        <v>5.5147656768714146</v>
      </c>
      <c r="N426" s="194">
        <f t="shared" si="65"/>
        <v>1.7094268593740425</v>
      </c>
      <c r="O426" s="194">
        <f t="shared" si="70"/>
        <v>1.9942000000000002</v>
      </c>
      <c r="P426" s="233">
        <f>AVERAGE(Ashed_controlls!$K$12:$K$14)</f>
        <v>2.2816647271287041</v>
      </c>
      <c r="Q426" s="194">
        <f t="shared" si="66"/>
        <v>1.9486990420115995</v>
      </c>
      <c r="R426" s="376">
        <f>IF('Dry_Litterbag Placem_Collection'!G133="","",'Dry_Litterbag Placem_Collection'!G133)</f>
        <v>43008</v>
      </c>
      <c r="S426" s="194">
        <f>IFERROR(INDEX('Both teabags AfterDry'!$D$3:$D$2000,MATCH(H426,'Both teabags AfterDry'!$A$3:$A$2000,0)),"")</f>
        <v>0.84750000000000003</v>
      </c>
      <c r="T426" s="194">
        <f>IFERROR(INDEX('Both teabags AfterDry'!$D$3:$D$2000,MATCH(I426,'Both teabags AfterDry'!$A$3:$A$2000,0)),"")</f>
        <v>1.7876000000000001</v>
      </c>
      <c r="U426" s="194">
        <f t="shared" si="71"/>
        <v>0.69690000000000007</v>
      </c>
      <c r="V426" s="194">
        <f t="shared" si="72"/>
        <v>1.637</v>
      </c>
      <c r="W426" s="194">
        <f>IFERROR(INDEX('Ashed teabags dry'!$K$2:$K$2000,MATCH(H426,'Ashed teabags dry'!$A$2:$A$2000,0)),"")</f>
        <v>16.880037932669509</v>
      </c>
      <c r="X426" s="194">
        <f>IFERROR(INDEX('Ashed teabags dry'!$K$2:$K$2000,MATCH(I426,'Ashed teabags dry'!$A$2:$A$2000,0)),"")</f>
        <v>4.3834296724473862</v>
      </c>
      <c r="Y426" s="194">
        <f t="shared" si="67"/>
        <v>0.57926301564722626</v>
      </c>
      <c r="Z426" s="194">
        <f t="shared" si="67"/>
        <v>1.5652432562620362</v>
      </c>
      <c r="AA426" s="194">
        <f t="shared" si="73"/>
        <v>0.661136121460417</v>
      </c>
      <c r="AB426" s="194">
        <f t="shared" si="74"/>
        <v>0.43342890623058222</v>
      </c>
      <c r="AC426" s="194">
        <f t="shared" si="68"/>
        <v>0.80322472712167481</v>
      </c>
      <c r="AD426">
        <f t="shared" si="75"/>
        <v>69</v>
      </c>
      <c r="AE426" s="194">
        <f t="shared" si="76"/>
        <v>0.21480270610401775</v>
      </c>
      <c r="AF426" s="194">
        <f t="shared" si="77"/>
        <v>8.7700025187662737E-3</v>
      </c>
      <c r="AG426" s="245" t="str">
        <f>IF(ISNUMBER(SEARCH("C", 'Dry_Litterbag Placem_Collection'!$V133)),"YES","NO")</f>
        <v>NO</v>
      </c>
      <c r="AH426" s="245" t="str">
        <f>IF(ISNUMBER(SEARCH("H", 'Dry_Litterbag Placem_Collection'!$V133)),"YES","NO")</f>
        <v>NO</v>
      </c>
      <c r="AI426" s="245" t="str">
        <f>IF(ISNUMBER(SEARCH("R", 'Dry_Litterbag Placem_Collection'!$V133)),"YES","NO")</f>
        <v>YES</v>
      </c>
      <c r="AJ426" s="245" t="str">
        <f>IF(ISNUMBER(SEARCH("C", 'Dry_Litterbag Placem_Collection'!$U133)),"YES","NO")</f>
        <v>NO</v>
      </c>
      <c r="AK426" s="245" t="str">
        <f>IF(ISNUMBER(SEARCH("H", 'Dry_Litterbag Placem_Collection'!$U133)),"YES","NO")</f>
        <v>NO</v>
      </c>
      <c r="AL426" s="245" t="str">
        <f>IF(ISNUMBER(SEARCH("R", 'Dry_Litterbag Placem_Collection'!$U133)),"YES","NO")</f>
        <v>YES</v>
      </c>
    </row>
    <row r="427" spans="2:38">
      <c r="B427" t="str">
        <f>Dryseason!B573</f>
        <v>Dry</v>
      </c>
      <c r="C427" s="253">
        <f>Dryseason!C573</f>
        <v>132</v>
      </c>
      <c r="D427" t="s">
        <v>3121</v>
      </c>
      <c r="E427" t="s">
        <v>25</v>
      </c>
      <c r="F427" s="375">
        <v>4</v>
      </c>
      <c r="G427" s="376" t="str">
        <f>IF('Dry_Litterbag Placem_Collection'!E134="","",'Dry_Litterbag Placem_Collection'!E134)</f>
        <v/>
      </c>
      <c r="H427" s="92" t="str">
        <f>Dryseason!L573</f>
        <v/>
      </c>
      <c r="I427" t="str">
        <f>Dryseason!L793</f>
        <v/>
      </c>
      <c r="J427" t="str">
        <f>IFERROR(INDEX('Green_rooibos initial weight'!$C$5:$C$2000,MATCH(H427, 'Green_rooibos initial weight'!$A$5:$A$2000,0)),"")</f>
        <v/>
      </c>
      <c r="K427" t="str">
        <f>IFERROR(INDEX('Green_rooibos initial weight'!$C$5:$C$2000,MATCH(I427, 'Green_rooibos initial weight'!$A$5:$A$2000,0)),"")</f>
        <v/>
      </c>
      <c r="L427" s="194" t="str">
        <f t="shared" si="69"/>
        <v/>
      </c>
      <c r="M427" s="233">
        <f>AVERAGE(Ashed_controlls!$K$1:$K$11)</f>
        <v>5.5147656768714146</v>
      </c>
      <c r="N427" s="194" t="str">
        <f t="shared" si="65"/>
        <v/>
      </c>
      <c r="O427" s="194" t="str">
        <f t="shared" si="70"/>
        <v/>
      </c>
      <c r="P427" s="233">
        <f>AVERAGE(Ashed_controlls!$K$12:$K$14)</f>
        <v>2.2816647271287041</v>
      </c>
      <c r="Q427" s="194" t="str">
        <f t="shared" si="66"/>
        <v/>
      </c>
      <c r="R427" s="376" t="str">
        <f>IF('Dry_Litterbag Placem_Collection'!G134="","",'Dry_Litterbag Placem_Collection'!G134)</f>
        <v/>
      </c>
      <c r="S427" s="194" t="str">
        <f>IFERROR(INDEX('Both teabags AfterDry'!$D$3:$D$2000,MATCH(H427,'Both teabags AfterDry'!$A$3:$A$2000,0)),"")</f>
        <v/>
      </c>
      <c r="T427" s="194" t="str">
        <f>IFERROR(INDEX('Both teabags AfterDry'!$D$3:$D$2000,MATCH(I427,'Both teabags AfterDry'!$A$3:$A$2000,0)),"")</f>
        <v/>
      </c>
      <c r="U427" s="194" t="str">
        <f t="shared" si="71"/>
        <v/>
      </c>
      <c r="V427" s="194" t="str">
        <f t="shared" si="72"/>
        <v/>
      </c>
      <c r="W427" s="194" t="str">
        <f>IFERROR(INDEX('Ashed teabags dry'!$K$2:$K$2000,MATCH(H427,'Ashed teabags dry'!$A$2:$A$2000,0)),"")</f>
        <v/>
      </c>
      <c r="X427" s="194" t="str">
        <f>IFERROR(INDEX('Ashed teabags dry'!$K$2:$K$2000,MATCH(I427,'Ashed teabags dry'!$A$2:$A$2000,0)),"")</f>
        <v/>
      </c>
      <c r="Y427" s="194" t="str">
        <f t="shared" si="67"/>
        <v/>
      </c>
      <c r="Z427" s="194" t="str">
        <f t="shared" si="67"/>
        <v/>
      </c>
      <c r="AA427" s="194" t="str">
        <f t="shared" si="73"/>
        <v/>
      </c>
      <c r="AB427" s="194" t="str">
        <f t="shared" si="74"/>
        <v/>
      </c>
      <c r="AC427" s="194" t="str">
        <f t="shared" si="68"/>
        <v/>
      </c>
      <c r="AD427" t="str">
        <f t="shared" si="75"/>
        <v/>
      </c>
      <c r="AE427" s="194" t="str">
        <f t="shared" si="76"/>
        <v/>
      </c>
      <c r="AF427" s="194" t="str">
        <f t="shared" si="77"/>
        <v/>
      </c>
      <c r="AG427" s="245" t="str">
        <f>IF(ISNUMBER(SEARCH("C", 'Dry_Litterbag Placem_Collection'!$V134)),"YES","NO")</f>
        <v>NO</v>
      </c>
      <c r="AH427" s="245" t="str">
        <f>IF(ISNUMBER(SEARCH("H", 'Dry_Litterbag Placem_Collection'!$V134)),"YES","NO")</f>
        <v>NO</v>
      </c>
      <c r="AI427" s="245" t="str">
        <f>IF(ISNUMBER(SEARCH("R", 'Dry_Litterbag Placem_Collection'!$V134)),"YES","NO")</f>
        <v>NO</v>
      </c>
      <c r="AJ427" s="245" t="str">
        <f>IF(ISNUMBER(SEARCH("C", 'Dry_Litterbag Placem_Collection'!$U134)),"YES","NO")</f>
        <v>NO</v>
      </c>
      <c r="AK427" s="245" t="str">
        <f>IF(ISNUMBER(SEARCH("H", 'Dry_Litterbag Placem_Collection'!$U134)),"YES","NO")</f>
        <v>NO</v>
      </c>
      <c r="AL427" s="245" t="str">
        <f>IF(ISNUMBER(SEARCH("R", 'Dry_Litterbag Placem_Collection'!$U134)),"YES","NO")</f>
        <v>NO</v>
      </c>
    </row>
    <row r="428" spans="2:38">
      <c r="B428" t="str">
        <f>Dryseason!B574</f>
        <v>Dry</v>
      </c>
      <c r="C428" s="253">
        <f>Dryseason!C574</f>
        <v>133</v>
      </c>
      <c r="D428" t="s">
        <v>3121</v>
      </c>
      <c r="E428" t="s">
        <v>25</v>
      </c>
      <c r="F428" s="375">
        <v>5</v>
      </c>
      <c r="G428" s="376">
        <f>IF('Dry_Litterbag Placem_Collection'!E135="","",'Dry_Litterbag Placem_Collection'!E135)</f>
        <v>42939</v>
      </c>
      <c r="H428" s="92" t="str">
        <f>Dryseason!L574</f>
        <v>G210</v>
      </c>
      <c r="I428" t="str">
        <f>Dryseason!L794</f>
        <v>R683</v>
      </c>
      <c r="J428">
        <f>IFERROR(INDEX('Green_rooibos initial weight'!$C$5:$C$2000,MATCH(H428, 'Green_rooibos initial weight'!$A$5:$A$2000,0)),"")</f>
        <v>1.923</v>
      </c>
      <c r="K428">
        <f>IFERROR(INDEX('Green_rooibos initial weight'!$C$5:$C$2000,MATCH(I428, 'Green_rooibos initial weight'!$A$5:$A$2000,0)),"")</f>
        <v>2.141</v>
      </c>
      <c r="L428" s="194">
        <f t="shared" si="69"/>
        <v>1.6732</v>
      </c>
      <c r="M428" s="233">
        <f>AVERAGE(Ashed_controlls!$K$1:$K$11)</f>
        <v>5.5147656768714146</v>
      </c>
      <c r="N428" s="194">
        <f t="shared" si="65"/>
        <v>1.5809269406945876</v>
      </c>
      <c r="O428" s="194">
        <f t="shared" si="70"/>
        <v>1.8912</v>
      </c>
      <c r="P428" s="233">
        <f>AVERAGE(Ashed_controlls!$K$12:$K$14)</f>
        <v>2.2816647271287041</v>
      </c>
      <c r="Q428" s="194">
        <f t="shared" si="66"/>
        <v>1.8480491566805419</v>
      </c>
      <c r="R428" s="376">
        <f>IF('Dry_Litterbag Placem_Collection'!G135="","",'Dry_Litterbag Placem_Collection'!G135)</f>
        <v>43008</v>
      </c>
      <c r="S428" s="194" t="str">
        <f>IFERROR(INDEX('Both teabags AfterDry'!$D$3:$D$2000,MATCH(H428,'Both teabags AfterDry'!$A$3:$A$2000,0)),"")</f>
        <v/>
      </c>
      <c r="T428" s="194" t="str">
        <f>IFERROR(INDEX('Both teabags AfterDry'!$D$3:$D$2000,MATCH(I428,'Both teabags AfterDry'!$A$3:$A$2000,0)),"")</f>
        <v/>
      </c>
      <c r="U428" s="194" t="str">
        <f t="shared" si="71"/>
        <v/>
      </c>
      <c r="V428" s="194" t="str">
        <f t="shared" si="72"/>
        <v/>
      </c>
      <c r="W428" s="194" t="str">
        <f>IFERROR(INDEX('Ashed teabags dry'!$K$2:$K$2000,MATCH(H428,'Ashed teabags dry'!$A$2:$A$2000,0)),"")</f>
        <v/>
      </c>
      <c r="X428" s="194" t="str">
        <f>IFERROR(INDEX('Ashed teabags dry'!$K$2:$K$2000,MATCH(I428,'Ashed teabags dry'!$A$2:$A$2000,0)),"")</f>
        <v/>
      </c>
      <c r="Y428" s="194" t="str">
        <f t="shared" si="67"/>
        <v/>
      </c>
      <c r="Z428" s="194" t="str">
        <f t="shared" si="67"/>
        <v/>
      </c>
      <c r="AA428" s="194" t="str">
        <f t="shared" si="73"/>
        <v/>
      </c>
      <c r="AB428" s="194" t="str">
        <f t="shared" si="74"/>
        <v/>
      </c>
      <c r="AC428" s="194" t="str">
        <f t="shared" si="68"/>
        <v/>
      </c>
      <c r="AD428">
        <f t="shared" si="75"/>
        <v>69</v>
      </c>
      <c r="AE428" s="194" t="str">
        <f t="shared" si="76"/>
        <v/>
      </c>
      <c r="AF428" s="194" t="str">
        <f t="shared" si="77"/>
        <v/>
      </c>
      <c r="AG428" s="245" t="str">
        <f>IF(ISNUMBER(SEARCH("C", 'Dry_Litterbag Placem_Collection'!$V135)),"YES","NO")</f>
        <v>NO</v>
      </c>
      <c r="AH428" s="245" t="str">
        <f>IF(ISNUMBER(SEARCH("H", 'Dry_Litterbag Placem_Collection'!$V135)),"YES","NO")</f>
        <v>NO</v>
      </c>
      <c r="AI428" s="245" t="str">
        <f>IF(ISNUMBER(SEARCH("R", 'Dry_Litterbag Placem_Collection'!$V135)),"YES","NO")</f>
        <v>NO</v>
      </c>
      <c r="AJ428" s="245" t="str">
        <f>IF(ISNUMBER(SEARCH("C", 'Dry_Litterbag Placem_Collection'!$U135)),"YES","NO")</f>
        <v>NO</v>
      </c>
      <c r="AK428" s="245" t="str">
        <f>IF(ISNUMBER(SEARCH("H", 'Dry_Litterbag Placem_Collection'!$U135)),"YES","NO")</f>
        <v>NO</v>
      </c>
      <c r="AL428" s="245" t="str">
        <f>IF(ISNUMBER(SEARCH("R", 'Dry_Litterbag Placem_Collection'!$U135)),"YES","NO")</f>
        <v>YES</v>
      </c>
    </row>
    <row r="429" spans="2:38">
      <c r="B429" t="str">
        <f>Dryseason!B575</f>
        <v>Dry</v>
      </c>
      <c r="C429" s="253">
        <f>Dryseason!C575</f>
        <v>134</v>
      </c>
      <c r="D429" t="s">
        <v>3121</v>
      </c>
      <c r="E429" t="s">
        <v>25</v>
      </c>
      <c r="F429" s="375">
        <v>6</v>
      </c>
      <c r="G429" s="376">
        <f>IF('Dry_Litterbag Placem_Collection'!E136="","",'Dry_Litterbag Placem_Collection'!E136)</f>
        <v>42939</v>
      </c>
      <c r="H429" s="92" t="str">
        <f>Dryseason!L575</f>
        <v>G40</v>
      </c>
      <c r="I429" t="str">
        <f>Dryseason!L795</f>
        <v>R649</v>
      </c>
      <c r="J429">
        <f>IFERROR(INDEX('Green_rooibos initial weight'!$C$5:$C$2000,MATCH(H429, 'Green_rooibos initial weight'!$A$5:$A$2000,0)),"")</f>
        <v>2.0369999999999999</v>
      </c>
      <c r="K429">
        <f>IFERROR(INDEX('Green_rooibos initial weight'!$C$5:$C$2000,MATCH(I429, 'Green_rooibos initial weight'!$A$5:$A$2000,0)),"")</f>
        <v>2.161</v>
      </c>
      <c r="L429" s="194">
        <f t="shared" si="69"/>
        <v>1.7871999999999999</v>
      </c>
      <c r="M429" s="233">
        <f>AVERAGE(Ashed_controlls!$K$1:$K$11)</f>
        <v>5.5147656768714146</v>
      </c>
      <c r="N429" s="194">
        <f t="shared" si="65"/>
        <v>1.688640107822954</v>
      </c>
      <c r="O429" s="194">
        <f t="shared" si="70"/>
        <v>1.9112</v>
      </c>
      <c r="P429" s="233">
        <f>AVERAGE(Ashed_controlls!$K$12:$K$14)</f>
        <v>2.2816647271287041</v>
      </c>
      <c r="Q429" s="194">
        <f t="shared" si="66"/>
        <v>1.8675928237351163</v>
      </c>
      <c r="R429" s="376">
        <f>IF('Dry_Litterbag Placem_Collection'!G136="","",'Dry_Litterbag Placem_Collection'!G136)</f>
        <v>43008</v>
      </c>
      <c r="S429" s="194">
        <f>IFERROR(INDEX('Both teabags AfterDry'!$D$3:$D$2000,MATCH(H429,'Both teabags AfterDry'!$A$3:$A$2000,0)),"")</f>
        <v>0.68400000000000005</v>
      </c>
      <c r="T429" s="194">
        <f>IFERROR(INDEX('Both teabags AfterDry'!$D$3:$D$2000,MATCH(I429,'Both teabags AfterDry'!$A$3:$A$2000,0)),"")</f>
        <v>1.7554000000000001</v>
      </c>
      <c r="U429" s="194">
        <f t="shared" si="71"/>
        <v>0.5334000000000001</v>
      </c>
      <c r="V429" s="194">
        <f t="shared" si="72"/>
        <v>1.6048</v>
      </c>
      <c r="W429" s="194">
        <f>IFERROR(INDEX('Ashed teabags dry'!$K$2:$K$2000,MATCH(H429,'Ashed teabags dry'!$A$2:$A$2000,0)),"")</f>
        <v>16.995073891625683</v>
      </c>
      <c r="X429" s="194">
        <f>IFERROR(INDEX('Ashed teabags dry'!$K$2:$K$2000,MATCH(I429,'Ashed teabags dry'!$A$2:$A$2000,0)),"")</f>
        <v>5.5740828966174707</v>
      </c>
      <c r="Y429" s="194">
        <f t="shared" si="67"/>
        <v>0.44274827586206866</v>
      </c>
      <c r="Z429" s="194">
        <f t="shared" si="67"/>
        <v>1.5153471176750828</v>
      </c>
      <c r="AA429" s="194">
        <f t="shared" si="73"/>
        <v>0.73780779349551684</v>
      </c>
      <c r="AB429" s="194">
        <f t="shared" si="74"/>
        <v>0.48369347032010135</v>
      </c>
      <c r="AC429" s="194">
        <f t="shared" si="68"/>
        <v>0.81139052282522961</v>
      </c>
      <c r="AD429">
        <f t="shared" si="75"/>
        <v>69</v>
      </c>
      <c r="AE429" s="194">
        <f t="shared" si="76"/>
        <v>0.1237437131882223</v>
      </c>
      <c r="AF429" s="194">
        <f t="shared" si="77"/>
        <v>7.1621933616757526E-3</v>
      </c>
      <c r="AG429" s="245" t="str">
        <f>IF(ISNUMBER(SEARCH("C", 'Dry_Litterbag Placem_Collection'!$V136)),"YES","NO")</f>
        <v>NO</v>
      </c>
      <c r="AH429" s="245" t="str">
        <f>IF(ISNUMBER(SEARCH("H", 'Dry_Litterbag Placem_Collection'!$V136)),"YES","NO")</f>
        <v>NO</v>
      </c>
      <c r="AI429" s="245" t="str">
        <f>IF(ISNUMBER(SEARCH("R", 'Dry_Litterbag Placem_Collection'!$V136)),"YES","NO")</f>
        <v>YES</v>
      </c>
      <c r="AJ429" s="245" t="str">
        <f>IF(ISNUMBER(SEARCH("C", 'Dry_Litterbag Placem_Collection'!$U136)),"YES","NO")</f>
        <v>NO</v>
      </c>
      <c r="AK429" s="245" t="str">
        <f>IF(ISNUMBER(SEARCH("H", 'Dry_Litterbag Placem_Collection'!$U136)),"YES","NO")</f>
        <v>NO</v>
      </c>
      <c r="AL429" s="245" t="str">
        <f>IF(ISNUMBER(SEARCH("R", 'Dry_Litterbag Placem_Collection'!$U136)),"YES","NO")</f>
        <v>YES</v>
      </c>
    </row>
    <row r="430" spans="2:38">
      <c r="B430" t="str">
        <f>Dryseason!B576</f>
        <v>Dry</v>
      </c>
      <c r="C430" s="253">
        <f>Dryseason!C576</f>
        <v>135</v>
      </c>
      <c r="D430" t="s">
        <v>3121</v>
      </c>
      <c r="E430" t="s">
        <v>25</v>
      </c>
      <c r="F430" s="375">
        <v>7</v>
      </c>
      <c r="G430" s="376">
        <f>IF('Dry_Litterbag Placem_Collection'!E137="","",'Dry_Litterbag Placem_Collection'!E137)</f>
        <v>42939</v>
      </c>
      <c r="H430" s="92" t="str">
        <f>Dryseason!L576</f>
        <v>G517</v>
      </c>
      <c r="I430" t="str">
        <f>Dryseason!L796</f>
        <v>R223</v>
      </c>
      <c r="J430">
        <f>IFERROR(INDEX('Green_rooibos initial weight'!$C$5:$C$2000,MATCH(H430, 'Green_rooibos initial weight'!$A$5:$A$2000,0)),"")</f>
        <v>2.069</v>
      </c>
      <c r="K430">
        <f>IFERROR(INDEX('Green_rooibos initial weight'!$C$5:$C$2000,MATCH(I430, 'Green_rooibos initial weight'!$A$5:$A$2000,0)),"")</f>
        <v>2.2170000000000001</v>
      </c>
      <c r="L430" s="194">
        <f t="shared" si="69"/>
        <v>1.8191999999999999</v>
      </c>
      <c r="M430" s="233">
        <f>AVERAGE(Ashed_controlls!$K$1:$K$11)</f>
        <v>5.5147656768714146</v>
      </c>
      <c r="N430" s="194">
        <f t="shared" si="65"/>
        <v>1.7188753828063552</v>
      </c>
      <c r="O430" s="194">
        <f t="shared" si="70"/>
        <v>1.9672000000000001</v>
      </c>
      <c r="P430" s="233">
        <f>AVERAGE(Ashed_controlls!$K$12:$K$14)</f>
        <v>2.2816647271287041</v>
      </c>
      <c r="Q430" s="194">
        <f t="shared" si="66"/>
        <v>1.9223150914879241</v>
      </c>
      <c r="R430" s="376">
        <f>IF('Dry_Litterbag Placem_Collection'!G137="","",'Dry_Litterbag Placem_Collection'!G137)</f>
        <v>43008</v>
      </c>
      <c r="S430" s="194">
        <f>IFERROR(INDEX('Both teabags AfterDry'!$D$3:$D$2000,MATCH(H430,'Both teabags AfterDry'!$A$3:$A$2000,0)),"")</f>
        <v>0.7097</v>
      </c>
      <c r="T430" s="194">
        <f>IFERROR(INDEX('Both teabags AfterDry'!$D$3:$D$2000,MATCH(I430,'Both teabags AfterDry'!$A$3:$A$2000,0)),"")</f>
        <v>1.7884</v>
      </c>
      <c r="U430" s="194">
        <f t="shared" si="71"/>
        <v>0.55909999999999993</v>
      </c>
      <c r="V430" s="194">
        <f t="shared" si="72"/>
        <v>1.6377999999999999</v>
      </c>
      <c r="W430" s="194">
        <f>IFERROR(INDEX('Ashed teabags dry'!$K$2:$K$2000,MATCH(H430,'Ashed teabags dry'!$A$2:$A$2000,0)),"")</f>
        <v>18.257464512971215</v>
      </c>
      <c r="X430" s="194">
        <f>IFERROR(INDEX('Ashed teabags dry'!$K$2:$K$2000,MATCH(I430,'Ashed teabags dry'!$A$2:$A$2000,0)),"")</f>
        <v>7.1172784243511256</v>
      </c>
      <c r="Y430" s="194">
        <f t="shared" si="67"/>
        <v>0.45702251590797788</v>
      </c>
      <c r="Z430" s="194">
        <f t="shared" si="67"/>
        <v>1.5212332139659772</v>
      </c>
      <c r="AA430" s="194">
        <f t="shared" si="73"/>
        <v>0.73411538702601509</v>
      </c>
      <c r="AB430" s="194">
        <f t="shared" si="74"/>
        <v>0.48127279529496486</v>
      </c>
      <c r="AC430" s="194">
        <f t="shared" si="68"/>
        <v>0.79135476837384722</v>
      </c>
      <c r="AD430">
        <f t="shared" si="75"/>
        <v>69</v>
      </c>
      <c r="AE430" s="194">
        <f t="shared" si="76"/>
        <v>0.12812899403086087</v>
      </c>
      <c r="AF430" s="194">
        <f t="shared" si="77"/>
        <v>8.2366322203474857E-3</v>
      </c>
      <c r="AG430" s="245" t="str">
        <f>IF(ISNUMBER(SEARCH("C", 'Dry_Litterbag Placem_Collection'!$V137)),"YES","NO")</f>
        <v>NO</v>
      </c>
      <c r="AH430" s="245" t="str">
        <f>IF(ISNUMBER(SEARCH("H", 'Dry_Litterbag Placem_Collection'!$V137)),"YES","NO")</f>
        <v>NO</v>
      </c>
      <c r="AI430" s="245" t="str">
        <f>IF(ISNUMBER(SEARCH("R", 'Dry_Litterbag Placem_Collection'!$V137)),"YES","NO")</f>
        <v>NO</v>
      </c>
      <c r="AJ430" s="245" t="str">
        <f>IF(ISNUMBER(SEARCH("C", 'Dry_Litterbag Placem_Collection'!$U137)),"YES","NO")</f>
        <v>NO</v>
      </c>
      <c r="AK430" s="245" t="str">
        <f>IF(ISNUMBER(SEARCH("H", 'Dry_Litterbag Placem_Collection'!$U137)),"YES","NO")</f>
        <v>NO</v>
      </c>
      <c r="AL430" s="245" t="str">
        <f>IF(ISNUMBER(SEARCH("R", 'Dry_Litterbag Placem_Collection'!$U137)),"YES","NO")</f>
        <v>NO</v>
      </c>
    </row>
    <row r="431" spans="2:38">
      <c r="B431" t="str">
        <f>Dryseason!B577</f>
        <v>Dry</v>
      </c>
      <c r="C431" s="253">
        <f>Dryseason!C577</f>
        <v>136</v>
      </c>
      <c r="D431" t="s">
        <v>3121</v>
      </c>
      <c r="E431" t="s">
        <v>25</v>
      </c>
      <c r="F431" s="375">
        <v>8</v>
      </c>
      <c r="G431" s="376">
        <f>IF('Dry_Litterbag Placem_Collection'!E138="","",'Dry_Litterbag Placem_Collection'!E138)</f>
        <v>42939</v>
      </c>
      <c r="H431" s="92" t="str">
        <f>Dryseason!L577</f>
        <v>G67</v>
      </c>
      <c r="I431" t="str">
        <f>Dryseason!L797</f>
        <v>R214</v>
      </c>
      <c r="J431">
        <f>IFERROR(INDEX('Green_rooibos initial weight'!$C$5:$C$2000,MATCH(H431, 'Green_rooibos initial weight'!$A$5:$A$2000,0)),"")</f>
        <v>1.984</v>
      </c>
      <c r="K431">
        <f>IFERROR(INDEX('Green_rooibos initial weight'!$C$5:$C$2000,MATCH(I431, 'Green_rooibos initial weight'!$A$5:$A$2000,0)),"")</f>
        <v>2.1960000000000002</v>
      </c>
      <c r="L431" s="194">
        <f t="shared" si="69"/>
        <v>1.7342</v>
      </c>
      <c r="M431" s="233">
        <f>AVERAGE(Ashed_controlls!$K$1:$K$11)</f>
        <v>5.5147656768714146</v>
      </c>
      <c r="N431" s="194">
        <f t="shared" si="65"/>
        <v>1.6385629336316958</v>
      </c>
      <c r="O431" s="194">
        <f t="shared" si="70"/>
        <v>1.9462000000000002</v>
      </c>
      <c r="P431" s="233">
        <f>AVERAGE(Ashed_controlls!$K$12:$K$14)</f>
        <v>2.2816647271287041</v>
      </c>
      <c r="Q431" s="194">
        <f t="shared" si="66"/>
        <v>1.9017942410806212</v>
      </c>
      <c r="R431" s="376">
        <f>IF('Dry_Litterbag Placem_Collection'!G138="","",'Dry_Litterbag Placem_Collection'!G138)</f>
        <v>43008</v>
      </c>
      <c r="S431" s="194">
        <f>IFERROR(INDEX('Both teabags AfterDry'!$D$3:$D$2000,MATCH(H431,'Both teabags AfterDry'!$A$3:$A$2000,0)),"")</f>
        <v>0.77739999999999998</v>
      </c>
      <c r="T431" s="194">
        <f>IFERROR(INDEX('Both teabags AfterDry'!$D$3:$D$2000,MATCH(I431,'Both teabags AfterDry'!$A$3:$A$2000,0)),"")</f>
        <v>1.7265999999999999</v>
      </c>
      <c r="U431" s="194">
        <f t="shared" si="71"/>
        <v>0.62680000000000002</v>
      </c>
      <c r="V431" s="194">
        <f t="shared" si="72"/>
        <v>1.5759999999999998</v>
      </c>
      <c r="W431" s="194">
        <f>IFERROR(INDEX('Ashed teabags dry'!$K$2:$K$2000,MATCH(H431,'Ashed teabags dry'!$A$2:$A$2000,0)),"")</f>
        <v>23.004251299007908</v>
      </c>
      <c r="X431" s="194">
        <f>IFERROR(INDEX('Ashed teabags dry'!$K$2:$K$2000,MATCH(I431,'Ashed teabags dry'!$A$2:$A$2000,0)),"")</f>
        <v>9.4517958412093144</v>
      </c>
      <c r="Y431" s="194">
        <f t="shared" si="67"/>
        <v>0.48260935285781847</v>
      </c>
      <c r="Z431" s="194">
        <f t="shared" si="67"/>
        <v>1.427039697542541</v>
      </c>
      <c r="AA431" s="194">
        <f t="shared" si="73"/>
        <v>0.70546791767822581</v>
      </c>
      <c r="AB431" s="194">
        <f t="shared" si="74"/>
        <v>0.46249203154201984</v>
      </c>
      <c r="AC431" s="194">
        <f t="shared" si="68"/>
        <v>0.7503649273497015</v>
      </c>
      <c r="AD431">
        <f t="shared" si="75"/>
        <v>69</v>
      </c>
      <c r="AE431" s="194">
        <f t="shared" si="76"/>
        <v>0.16215211677170327</v>
      </c>
      <c r="AF431" s="194">
        <f t="shared" si="77"/>
        <v>1.1246506407086737E-2</v>
      </c>
      <c r="AG431" s="245" t="str">
        <f>IF(ISNUMBER(SEARCH("C", 'Dry_Litterbag Placem_Collection'!$V138)),"YES","NO")</f>
        <v>NO</v>
      </c>
      <c r="AH431" s="245" t="str">
        <f>IF(ISNUMBER(SEARCH("H", 'Dry_Litterbag Placem_Collection'!$V138)),"YES","NO")</f>
        <v>NO</v>
      </c>
      <c r="AI431" s="245" t="str">
        <f>IF(ISNUMBER(SEARCH("R", 'Dry_Litterbag Placem_Collection'!$V138)),"YES","NO")</f>
        <v>NO</v>
      </c>
      <c r="AJ431" s="245" t="str">
        <f>IF(ISNUMBER(SEARCH("C", 'Dry_Litterbag Placem_Collection'!$U138)),"YES","NO")</f>
        <v>NO</v>
      </c>
      <c r="AK431" s="245" t="str">
        <f>IF(ISNUMBER(SEARCH("H", 'Dry_Litterbag Placem_Collection'!$U138)),"YES","NO")</f>
        <v>NO</v>
      </c>
      <c r="AL431" s="245" t="str">
        <f>IF(ISNUMBER(SEARCH("R", 'Dry_Litterbag Placem_Collection'!$U138)),"YES","NO")</f>
        <v>YES</v>
      </c>
    </row>
    <row r="432" spans="2:38">
      <c r="B432" t="str">
        <f>Dryseason!B578</f>
        <v>Dry</v>
      </c>
      <c r="C432" s="253">
        <f>Dryseason!C578</f>
        <v>137</v>
      </c>
      <c r="D432" t="s">
        <v>3123</v>
      </c>
      <c r="E432" t="s">
        <v>25</v>
      </c>
      <c r="F432" s="374">
        <v>1</v>
      </c>
      <c r="G432" s="376">
        <f>IF('Dry_Litterbag Placem_Collection'!E139="","",'Dry_Litterbag Placem_Collection'!E139)</f>
        <v>42939</v>
      </c>
      <c r="H432" s="92" t="str">
        <f>Dryseason!L578</f>
        <v>G335</v>
      </c>
      <c r="I432" t="str">
        <f>Dryseason!L798</f>
        <v>R628</v>
      </c>
      <c r="J432">
        <f>IFERROR(INDEX('Green_rooibos initial weight'!$C$5:$C$2000,MATCH(H432, 'Green_rooibos initial weight'!$A$5:$A$2000,0)),"")</f>
        <v>1.956</v>
      </c>
      <c r="K432">
        <f>IFERROR(INDEX('Green_rooibos initial weight'!$C$5:$C$2000,MATCH(I432, 'Green_rooibos initial weight'!$A$5:$A$2000,0)),"")</f>
        <v>2.0110000000000001</v>
      </c>
      <c r="L432" s="194">
        <f t="shared" si="69"/>
        <v>1.7061999999999999</v>
      </c>
      <c r="M432" s="233">
        <f>AVERAGE(Ashed_controlls!$K$1:$K$11)</f>
        <v>5.5147656768714146</v>
      </c>
      <c r="N432" s="194">
        <f t="shared" si="65"/>
        <v>1.6121070680212199</v>
      </c>
      <c r="O432" s="194">
        <f t="shared" si="70"/>
        <v>1.7612000000000001</v>
      </c>
      <c r="P432" s="233">
        <f>AVERAGE(Ashed_controlls!$K$12:$K$14)</f>
        <v>2.2816647271287041</v>
      </c>
      <c r="Q432" s="194">
        <f t="shared" si="66"/>
        <v>1.7210153208258094</v>
      </c>
      <c r="R432" s="376">
        <f>IF('Dry_Litterbag Placem_Collection'!G139="","",'Dry_Litterbag Placem_Collection'!G139)</f>
        <v>43008</v>
      </c>
      <c r="S432" s="194">
        <f>IFERROR(INDEX('Both teabags AfterDry'!$D$3:$D$2000,MATCH(H432,'Both teabags AfterDry'!$A$3:$A$2000,0)),"")</f>
        <v>0.85829999999999995</v>
      </c>
      <c r="T432" s="194">
        <f>IFERROR(INDEX('Both teabags AfterDry'!$D$3:$D$2000,MATCH(I432,'Both teabags AfterDry'!$A$3:$A$2000,0)),"")</f>
        <v>1.7652000000000001</v>
      </c>
      <c r="U432" s="194">
        <f t="shared" si="71"/>
        <v>0.7077</v>
      </c>
      <c r="V432" s="194">
        <f t="shared" si="72"/>
        <v>1.6146</v>
      </c>
      <c r="W432" s="194">
        <f>IFERROR(INDEX('Ashed teabags dry'!$K$2:$K$2000,MATCH(H432,'Ashed teabags dry'!$A$2:$A$2000,0)),"")</f>
        <v>28.521997034107514</v>
      </c>
      <c r="X432" s="194">
        <f>IFERROR(INDEX('Ashed teabags dry'!$K$2:$K$2000,MATCH(I432,'Ashed teabags dry'!$A$2:$A$2000,0)),"")</f>
        <v>9.0322580645165651</v>
      </c>
      <c r="Y432" s="194">
        <f t="shared" si="67"/>
        <v>0.50584982698962111</v>
      </c>
      <c r="Z432" s="194">
        <f t="shared" si="67"/>
        <v>1.4687651612903156</v>
      </c>
      <c r="AA432" s="194">
        <f t="shared" si="73"/>
        <v>0.68621821898558744</v>
      </c>
      <c r="AB432" s="194">
        <f t="shared" si="74"/>
        <v>0.44987227657962509</v>
      </c>
      <c r="AC432" s="194">
        <f t="shared" si="68"/>
        <v>0.85342945150862781</v>
      </c>
      <c r="AD432">
        <f t="shared" si="75"/>
        <v>69</v>
      </c>
      <c r="AE432" s="194">
        <f t="shared" si="76"/>
        <v>0.1850139917035778</v>
      </c>
      <c r="AF432" s="194">
        <f t="shared" si="77"/>
        <v>5.7135594254398006E-3</v>
      </c>
      <c r="AG432" s="245" t="str">
        <f>IF(ISNUMBER(SEARCH("C", 'Dry_Litterbag Placem_Collection'!$V139)),"YES","NO")</f>
        <v>NO</v>
      </c>
      <c r="AH432" s="245" t="str">
        <f>IF(ISNUMBER(SEARCH("H", 'Dry_Litterbag Placem_Collection'!$V139)),"YES","NO")</f>
        <v>NO</v>
      </c>
      <c r="AI432" s="245" t="str">
        <f>IF(ISNUMBER(SEARCH("R", 'Dry_Litterbag Placem_Collection'!$V139)),"YES","NO")</f>
        <v>NO</v>
      </c>
      <c r="AJ432" s="245" t="str">
        <f>IF(ISNUMBER(SEARCH("C", 'Dry_Litterbag Placem_Collection'!$U139)),"YES","NO")</f>
        <v>NO</v>
      </c>
      <c r="AK432" s="245" t="str">
        <f>IF(ISNUMBER(SEARCH("H", 'Dry_Litterbag Placem_Collection'!$U139)),"YES","NO")</f>
        <v>NO</v>
      </c>
      <c r="AL432" s="245" t="str">
        <f>IF(ISNUMBER(SEARCH("R", 'Dry_Litterbag Placem_Collection'!$U139)),"YES","NO")</f>
        <v>NO</v>
      </c>
    </row>
    <row r="433" spans="2:38">
      <c r="B433" t="str">
        <f>Dryseason!B579</f>
        <v>Dry</v>
      </c>
      <c r="C433" s="253">
        <f>Dryseason!C579</f>
        <v>138</v>
      </c>
      <c r="D433" t="s">
        <v>3123</v>
      </c>
      <c r="E433" t="s">
        <v>25</v>
      </c>
      <c r="F433" s="374">
        <v>2</v>
      </c>
      <c r="G433" s="376">
        <f>IF('Dry_Litterbag Placem_Collection'!E140="","",'Dry_Litterbag Placem_Collection'!E140)</f>
        <v>42939</v>
      </c>
      <c r="H433" s="92" t="str">
        <f>Dryseason!L579</f>
        <v>G484</v>
      </c>
      <c r="I433" t="str">
        <f>Dryseason!L799</f>
        <v>R198</v>
      </c>
      <c r="J433">
        <f>IFERROR(INDEX('Green_rooibos initial weight'!$C$5:$C$2000,MATCH(H433, 'Green_rooibos initial weight'!$A$5:$A$2000,0)),"")</f>
        <v>2.0009999999999999</v>
      </c>
      <c r="K433">
        <f>IFERROR(INDEX('Green_rooibos initial weight'!$C$5:$C$2000,MATCH(I433, 'Green_rooibos initial weight'!$A$5:$A$2000,0)),"")</f>
        <v>2.1970000000000001</v>
      </c>
      <c r="L433" s="194">
        <f t="shared" si="69"/>
        <v>1.7511999999999999</v>
      </c>
      <c r="M433" s="233">
        <f>AVERAGE(Ashed_controlls!$K$1:$K$11)</f>
        <v>5.5147656768714146</v>
      </c>
      <c r="N433" s="194">
        <f t="shared" si="65"/>
        <v>1.6546254234666278</v>
      </c>
      <c r="O433" s="194">
        <f t="shared" si="70"/>
        <v>1.9472</v>
      </c>
      <c r="P433" s="233">
        <f>AVERAGE(Ashed_controlls!$K$12:$K$14)</f>
        <v>2.2816647271287041</v>
      </c>
      <c r="Q433" s="194">
        <f t="shared" si="66"/>
        <v>1.90277142443335</v>
      </c>
      <c r="R433" s="376">
        <f>IF('Dry_Litterbag Placem_Collection'!G140="","",'Dry_Litterbag Placem_Collection'!G140)</f>
        <v>43008</v>
      </c>
      <c r="S433" s="194">
        <f>IFERROR(INDEX('Both teabags AfterDry'!$D$3:$D$2000,MATCH(H433,'Both teabags AfterDry'!$A$3:$A$2000,0)),"")</f>
        <v>0.66439999999999999</v>
      </c>
      <c r="T433" s="194">
        <f>IFERROR(INDEX('Both teabags AfterDry'!$D$3:$D$2000,MATCH(I433,'Both teabags AfterDry'!$A$3:$A$2000,0)),"")</f>
        <v>1.7765</v>
      </c>
      <c r="U433" s="194">
        <f t="shared" si="71"/>
        <v>0.51380000000000003</v>
      </c>
      <c r="V433" s="194">
        <f t="shared" si="72"/>
        <v>1.6258999999999999</v>
      </c>
      <c r="W433" s="194">
        <f>IFERROR(INDEX('Ashed teabags dry'!$K$2:$K$2000,MATCH(H433,'Ashed teabags dry'!$A$2:$A$2000,0)),"")</f>
        <v>17.053529133112047</v>
      </c>
      <c r="X433" s="194">
        <f>IFERROR(INDEX('Ashed teabags dry'!$K$2:$K$2000,MATCH(I433,'Ashed teabags dry'!$A$2:$A$2000,0)),"")</f>
        <v>5.3694581280797298</v>
      </c>
      <c r="Y433" s="194">
        <f t="shared" si="67"/>
        <v>0.42617896731407034</v>
      </c>
      <c r="Z433" s="194">
        <f t="shared" si="67"/>
        <v>1.5385979802955516</v>
      </c>
      <c r="AA433" s="194">
        <f t="shared" si="73"/>
        <v>0.74243175448061405</v>
      </c>
      <c r="AB433" s="194">
        <f t="shared" si="74"/>
        <v>0.4867248556690012</v>
      </c>
      <c r="AC433" s="194">
        <f t="shared" si="68"/>
        <v>0.80860893775181109</v>
      </c>
      <c r="AD433">
        <f t="shared" si="75"/>
        <v>69</v>
      </c>
      <c r="AE433" s="194">
        <f t="shared" si="76"/>
        <v>0.11825207306340368</v>
      </c>
      <c r="AF433" s="194">
        <f t="shared" si="77"/>
        <v>7.2404748628389802E-3</v>
      </c>
      <c r="AG433" s="245" t="str">
        <f>IF(ISNUMBER(SEARCH("C", 'Dry_Litterbag Placem_Collection'!$V140)),"YES","NO")</f>
        <v>NO</v>
      </c>
      <c r="AH433" s="245" t="str">
        <f>IF(ISNUMBER(SEARCH("H", 'Dry_Litterbag Placem_Collection'!$V140)),"YES","NO")</f>
        <v>NO</v>
      </c>
      <c r="AI433" s="245" t="str">
        <f>IF(ISNUMBER(SEARCH("R", 'Dry_Litterbag Placem_Collection'!$V140)),"YES","NO")</f>
        <v>NO</v>
      </c>
      <c r="AJ433" s="245" t="str">
        <f>IF(ISNUMBER(SEARCH("C", 'Dry_Litterbag Placem_Collection'!$U140)),"YES","NO")</f>
        <v>NO</v>
      </c>
      <c r="AK433" s="245" t="str">
        <f>IF(ISNUMBER(SEARCH("H", 'Dry_Litterbag Placem_Collection'!$U140)),"YES","NO")</f>
        <v>NO</v>
      </c>
      <c r="AL433" s="245" t="str">
        <f>IF(ISNUMBER(SEARCH("R", 'Dry_Litterbag Placem_Collection'!$U140)),"YES","NO")</f>
        <v>NO</v>
      </c>
    </row>
    <row r="434" spans="2:38">
      <c r="B434" t="str">
        <f>Dryseason!B580</f>
        <v>Dry</v>
      </c>
      <c r="C434" s="253">
        <f>Dryseason!C580</f>
        <v>139</v>
      </c>
      <c r="D434" t="s">
        <v>3123</v>
      </c>
      <c r="E434" t="s">
        <v>25</v>
      </c>
      <c r="F434" s="374">
        <v>3</v>
      </c>
      <c r="G434" s="376">
        <f>IF('Dry_Litterbag Placem_Collection'!E141="","",'Dry_Litterbag Placem_Collection'!E141)</f>
        <v>42939</v>
      </c>
      <c r="H434" s="92" t="str">
        <f>Dryseason!L580</f>
        <v>G868</v>
      </c>
      <c r="I434" t="str">
        <f>Dryseason!L800</f>
        <v>R706</v>
      </c>
      <c r="J434">
        <f>IFERROR(INDEX('Green_rooibos initial weight'!$C$5:$C$2000,MATCH(H434, 'Green_rooibos initial weight'!$A$5:$A$2000,0)),"")</f>
        <v>1.95</v>
      </c>
      <c r="K434">
        <f>IFERROR(INDEX('Green_rooibos initial weight'!$C$5:$C$2000,MATCH(I434, 'Green_rooibos initial weight'!$A$5:$A$2000,0)),"")</f>
        <v>2.1480000000000001</v>
      </c>
      <c r="L434" s="194">
        <f t="shared" si="69"/>
        <v>1.7001999999999999</v>
      </c>
      <c r="M434" s="233">
        <f>AVERAGE(Ashed_controlls!$K$1:$K$11)</f>
        <v>5.5147656768714146</v>
      </c>
      <c r="N434" s="194">
        <f t="shared" si="65"/>
        <v>1.6064379539618321</v>
      </c>
      <c r="O434" s="194">
        <f t="shared" si="70"/>
        <v>1.8982000000000001</v>
      </c>
      <c r="P434" s="233">
        <f>AVERAGE(Ashed_controlls!$K$12:$K$14)</f>
        <v>2.2816647271287041</v>
      </c>
      <c r="Q434" s="194">
        <f t="shared" si="66"/>
        <v>1.854889440149643</v>
      </c>
      <c r="R434" s="376">
        <f>IF('Dry_Litterbag Placem_Collection'!G141="","",'Dry_Litterbag Placem_Collection'!G141)</f>
        <v>43008</v>
      </c>
      <c r="S434" s="194">
        <f>IFERROR(INDEX('Both teabags AfterDry'!$D$3:$D$2000,MATCH(H434,'Both teabags AfterDry'!$A$3:$A$2000,0)),"")</f>
        <v>0.71699999999999997</v>
      </c>
      <c r="T434" s="194">
        <f>IFERROR(INDEX('Both teabags AfterDry'!$D$3:$D$2000,MATCH(I434,'Both teabags AfterDry'!$A$3:$A$2000,0)),"")</f>
        <v>1.5846</v>
      </c>
      <c r="U434" s="194">
        <f t="shared" si="71"/>
        <v>0.56640000000000001</v>
      </c>
      <c r="V434" s="194">
        <f t="shared" si="72"/>
        <v>1.4339999999999999</v>
      </c>
      <c r="W434" s="194">
        <f>IFERROR(INDEX('Ashed teabags dry'!$K$2:$K$2000,MATCH(H434,'Ashed teabags dry'!$A$2:$A$2000,0)),"")</f>
        <v>21.365853658537009</v>
      </c>
      <c r="X434" s="194">
        <f>IFERROR(INDEX('Ashed teabags dry'!$K$2:$K$2000,MATCH(I434,'Ashed teabags dry'!$A$2:$A$2000,0)),"")</f>
        <v>7.9318734793180647</v>
      </c>
      <c r="Y434" s="194">
        <f t="shared" si="67"/>
        <v>0.44538380487804641</v>
      </c>
      <c r="Z434" s="194">
        <f t="shared" si="67"/>
        <v>1.3202569343065789</v>
      </c>
      <c r="AA434" s="194">
        <f t="shared" si="73"/>
        <v>0.72275069586121821</v>
      </c>
      <c r="AB434" s="194">
        <f t="shared" si="74"/>
        <v>0.47382230892564431</v>
      </c>
      <c r="AC434" s="194">
        <f t="shared" si="68"/>
        <v>0.71177122783127567</v>
      </c>
      <c r="AD434">
        <f t="shared" si="75"/>
        <v>69</v>
      </c>
      <c r="AE434" s="194">
        <f t="shared" si="76"/>
        <v>0.14162625194629663</v>
      </c>
      <c r="AF434" s="194">
        <f t="shared" si="77"/>
        <v>1.3583672166515263E-2</v>
      </c>
      <c r="AG434" s="245" t="str">
        <f>IF(ISNUMBER(SEARCH("C", 'Dry_Litterbag Placem_Collection'!$V141)),"YES","NO")</f>
        <v>NO</v>
      </c>
      <c r="AH434" s="245" t="str">
        <f>IF(ISNUMBER(SEARCH("H", 'Dry_Litterbag Placem_Collection'!$V141)),"YES","NO")</f>
        <v>NO</v>
      </c>
      <c r="AI434" s="245" t="str">
        <f>IF(ISNUMBER(SEARCH("R", 'Dry_Litterbag Placem_Collection'!$V141)),"YES","NO")</f>
        <v>NO</v>
      </c>
      <c r="AJ434" s="245" t="str">
        <f>IF(ISNUMBER(SEARCH("C", 'Dry_Litterbag Placem_Collection'!$U141)),"YES","NO")</f>
        <v>NO</v>
      </c>
      <c r="AK434" s="245" t="str">
        <f>IF(ISNUMBER(SEARCH("H", 'Dry_Litterbag Placem_Collection'!$U141)),"YES","NO")</f>
        <v>NO</v>
      </c>
      <c r="AL434" s="245" t="str">
        <f>IF(ISNUMBER(SEARCH("R", 'Dry_Litterbag Placem_Collection'!$U141)),"YES","NO")</f>
        <v>NO</v>
      </c>
    </row>
    <row r="435" spans="2:38">
      <c r="B435" t="str">
        <f>Dryseason!B581</f>
        <v>Dry</v>
      </c>
      <c r="C435" s="253">
        <f>Dryseason!C581</f>
        <v>140</v>
      </c>
      <c r="D435" t="s">
        <v>3123</v>
      </c>
      <c r="E435" t="s">
        <v>25</v>
      </c>
      <c r="F435" s="375">
        <v>4</v>
      </c>
      <c r="G435" s="376">
        <f>IF('Dry_Litterbag Placem_Collection'!E142="","",'Dry_Litterbag Placem_Collection'!E142)</f>
        <v>42939</v>
      </c>
      <c r="H435" s="92" t="str">
        <f>Dryseason!L581</f>
        <v>G792</v>
      </c>
      <c r="I435" t="str">
        <f>Dryseason!L801</f>
        <v>R710</v>
      </c>
      <c r="J435">
        <f>IFERROR(INDEX('Green_rooibos initial weight'!$C$5:$C$2000,MATCH(H435, 'Green_rooibos initial weight'!$A$5:$A$2000,0)),"")</f>
        <v>2.0550000000000002</v>
      </c>
      <c r="K435">
        <f>IFERROR(INDEX('Green_rooibos initial weight'!$C$5:$C$2000,MATCH(I435, 'Green_rooibos initial weight'!$A$5:$A$2000,0)),"")</f>
        <v>2.1070000000000002</v>
      </c>
      <c r="L435" s="194">
        <f t="shared" si="69"/>
        <v>1.8052000000000001</v>
      </c>
      <c r="M435" s="233">
        <f>AVERAGE(Ashed_controlls!$K$1:$K$11)</f>
        <v>5.5147656768714146</v>
      </c>
      <c r="N435" s="194">
        <f t="shared" si="65"/>
        <v>1.7056474500011174</v>
      </c>
      <c r="O435" s="194">
        <f t="shared" si="70"/>
        <v>1.8572000000000002</v>
      </c>
      <c r="P435" s="233">
        <f>AVERAGE(Ashed_controlls!$K$12:$K$14)</f>
        <v>2.2816647271287041</v>
      </c>
      <c r="Q435" s="194">
        <f t="shared" si="66"/>
        <v>1.814824922687766</v>
      </c>
      <c r="R435" s="376">
        <f>IF('Dry_Litterbag Placem_Collection'!G142="","",'Dry_Litterbag Placem_Collection'!G142)</f>
        <v>43008</v>
      </c>
      <c r="S435" s="194">
        <f>IFERROR(INDEX('Both teabags AfterDry'!$D$3:$D$2000,MATCH(H435,'Both teabags AfterDry'!$A$3:$A$2000,0)),"")</f>
        <v>0.87409999999999999</v>
      </c>
      <c r="T435" s="194">
        <f>IFERROR(INDEX('Both teabags AfterDry'!$D$3:$D$2000,MATCH(I435,'Both teabags AfterDry'!$A$3:$A$2000,0)),"")</f>
        <v>1.7403999999999999</v>
      </c>
      <c r="U435" s="194">
        <f t="shared" si="71"/>
        <v>0.72350000000000003</v>
      </c>
      <c r="V435" s="194">
        <f t="shared" si="72"/>
        <v>1.5897999999999999</v>
      </c>
      <c r="W435" s="194">
        <f>IFERROR(INDEX('Ashed teabags dry'!$K$2:$K$2000,MATCH(H435,'Ashed teabags dry'!$A$2:$A$2000,0)),"")</f>
        <v>15.89673913043449</v>
      </c>
      <c r="X435" s="194">
        <f>IFERROR(INDEX('Ashed teabags dry'!$K$2:$K$2000,MATCH(I435,'Ashed teabags dry'!$A$2:$A$2000,0)),"")</f>
        <v>14.236453201970816</v>
      </c>
      <c r="Y435" s="194">
        <f t="shared" si="67"/>
        <v>0.60848709239130649</v>
      </c>
      <c r="Z435" s="194">
        <f t="shared" si="67"/>
        <v>1.3634688669950679</v>
      </c>
      <c r="AA435" s="194">
        <f t="shared" si="73"/>
        <v>0.64325154510042037</v>
      </c>
      <c r="AB435" s="194">
        <f t="shared" si="74"/>
        <v>0.42170410082592885</v>
      </c>
      <c r="AC435" s="194">
        <f t="shared" si="68"/>
        <v>0.75129498716369991</v>
      </c>
      <c r="AD435">
        <f t="shared" si="75"/>
        <v>69</v>
      </c>
      <c r="AE435" s="194">
        <f t="shared" si="76"/>
        <v>0.23604329560520143</v>
      </c>
      <c r="AF435" s="194">
        <f t="shared" si="77"/>
        <v>1.2913298006778913E-2</v>
      </c>
      <c r="AG435" s="245" t="str">
        <f>IF(ISNUMBER(SEARCH("C", 'Dry_Litterbag Placem_Collection'!$V142)),"YES","NO")</f>
        <v>NO</v>
      </c>
      <c r="AH435" s="245" t="str">
        <f>IF(ISNUMBER(SEARCH("H", 'Dry_Litterbag Placem_Collection'!$V142)),"YES","NO")</f>
        <v>NO</v>
      </c>
      <c r="AI435" s="245" t="str">
        <f>IF(ISNUMBER(SEARCH("R", 'Dry_Litterbag Placem_Collection'!$V142)),"YES","NO")</f>
        <v>NO</v>
      </c>
      <c r="AJ435" s="245" t="str">
        <f>IF(ISNUMBER(SEARCH("C", 'Dry_Litterbag Placem_Collection'!$U142)),"YES","NO")</f>
        <v>NO</v>
      </c>
      <c r="AK435" s="245" t="str">
        <f>IF(ISNUMBER(SEARCH("H", 'Dry_Litterbag Placem_Collection'!$U142)),"YES","NO")</f>
        <v>NO</v>
      </c>
      <c r="AL435" s="245" t="str">
        <f>IF(ISNUMBER(SEARCH("R", 'Dry_Litterbag Placem_Collection'!$U142)),"YES","NO")</f>
        <v>NO</v>
      </c>
    </row>
    <row r="436" spans="2:38">
      <c r="B436" t="str">
        <f>Dryseason!B582</f>
        <v>Dry</v>
      </c>
      <c r="C436" s="253">
        <f>Dryseason!C582</f>
        <v>141</v>
      </c>
      <c r="D436" t="s">
        <v>3123</v>
      </c>
      <c r="E436" t="s">
        <v>25</v>
      </c>
      <c r="F436" s="375">
        <v>5</v>
      </c>
      <c r="G436" s="376" t="str">
        <f>IF('Dry_Litterbag Placem_Collection'!E143="","",'Dry_Litterbag Placem_Collection'!E143)</f>
        <v/>
      </c>
      <c r="H436" s="92" t="str">
        <f>Dryseason!L582</f>
        <v/>
      </c>
      <c r="I436" t="str">
        <f>Dryseason!L802</f>
        <v/>
      </c>
      <c r="J436" t="str">
        <f>IFERROR(INDEX('Green_rooibos initial weight'!$C$5:$C$2000,MATCH(H436, 'Green_rooibos initial weight'!$A$5:$A$2000,0)),"")</f>
        <v/>
      </c>
      <c r="K436" t="str">
        <f>IFERROR(INDEX('Green_rooibos initial weight'!$C$5:$C$2000,MATCH(I436, 'Green_rooibos initial weight'!$A$5:$A$2000,0)),"")</f>
        <v/>
      </c>
      <c r="L436" s="194" t="str">
        <f t="shared" si="69"/>
        <v/>
      </c>
      <c r="M436" s="233">
        <f>AVERAGE(Ashed_controlls!$K$1:$K$11)</f>
        <v>5.5147656768714146</v>
      </c>
      <c r="N436" s="194" t="str">
        <f t="shared" si="65"/>
        <v/>
      </c>
      <c r="O436" s="194" t="str">
        <f t="shared" si="70"/>
        <v/>
      </c>
      <c r="P436" s="233">
        <f>AVERAGE(Ashed_controlls!$K$12:$K$14)</f>
        <v>2.2816647271287041</v>
      </c>
      <c r="Q436" s="194" t="str">
        <f t="shared" si="66"/>
        <v/>
      </c>
      <c r="R436" s="376" t="str">
        <f>IF('Dry_Litterbag Placem_Collection'!G143="","",'Dry_Litterbag Placem_Collection'!G143)</f>
        <v/>
      </c>
      <c r="S436" s="194" t="str">
        <f>IFERROR(INDEX('Both teabags AfterDry'!$D$3:$D$2000,MATCH(H436,'Both teabags AfterDry'!$A$3:$A$2000,0)),"")</f>
        <v/>
      </c>
      <c r="T436" s="194" t="str">
        <f>IFERROR(INDEX('Both teabags AfterDry'!$D$3:$D$2000,MATCH(I436,'Both teabags AfterDry'!$A$3:$A$2000,0)),"")</f>
        <v/>
      </c>
      <c r="U436" s="194" t="str">
        <f t="shared" si="71"/>
        <v/>
      </c>
      <c r="V436" s="194" t="str">
        <f t="shared" si="72"/>
        <v/>
      </c>
      <c r="W436" s="194" t="str">
        <f>IFERROR(INDEX('Ashed teabags dry'!$K$2:$K$2000,MATCH(H436,'Ashed teabags dry'!$A$2:$A$2000,0)),"")</f>
        <v/>
      </c>
      <c r="X436" s="194" t="str">
        <f>IFERROR(INDEX('Ashed teabags dry'!$K$2:$K$2000,MATCH(I436,'Ashed teabags dry'!$A$2:$A$2000,0)),"")</f>
        <v/>
      </c>
      <c r="Y436" s="194" t="str">
        <f t="shared" si="67"/>
        <v/>
      </c>
      <c r="Z436" s="194" t="str">
        <f t="shared" si="67"/>
        <v/>
      </c>
      <c r="AA436" s="194" t="str">
        <f t="shared" si="73"/>
        <v/>
      </c>
      <c r="AB436" s="194" t="str">
        <f t="shared" si="74"/>
        <v/>
      </c>
      <c r="AC436" s="194" t="str">
        <f t="shared" si="68"/>
        <v/>
      </c>
      <c r="AD436" t="str">
        <f t="shared" si="75"/>
        <v/>
      </c>
      <c r="AE436" s="194" t="str">
        <f t="shared" si="76"/>
        <v/>
      </c>
      <c r="AF436" s="194" t="str">
        <f t="shared" si="77"/>
        <v/>
      </c>
      <c r="AG436" s="245" t="str">
        <f>IF(ISNUMBER(SEARCH("C", 'Dry_Litterbag Placem_Collection'!$V143)),"YES","NO")</f>
        <v>NO</v>
      </c>
      <c r="AH436" s="245" t="str">
        <f>IF(ISNUMBER(SEARCH("H", 'Dry_Litterbag Placem_Collection'!$V143)),"YES","NO")</f>
        <v>NO</v>
      </c>
      <c r="AI436" s="245" t="str">
        <f>IF(ISNUMBER(SEARCH("R", 'Dry_Litterbag Placem_Collection'!$V143)),"YES","NO")</f>
        <v>NO</v>
      </c>
      <c r="AJ436" s="245" t="str">
        <f>IF(ISNUMBER(SEARCH("C", 'Dry_Litterbag Placem_Collection'!$U143)),"YES","NO")</f>
        <v>NO</v>
      </c>
      <c r="AK436" s="245" t="str">
        <f>IF(ISNUMBER(SEARCH("H", 'Dry_Litterbag Placem_Collection'!$U143)),"YES","NO")</f>
        <v>NO</v>
      </c>
      <c r="AL436" s="245" t="str">
        <f>IF(ISNUMBER(SEARCH("R", 'Dry_Litterbag Placem_Collection'!$U143)),"YES","NO")</f>
        <v>NO</v>
      </c>
    </row>
    <row r="437" spans="2:38">
      <c r="B437" t="str">
        <f>Dryseason!B583</f>
        <v>Dry</v>
      </c>
      <c r="C437" s="253">
        <f>Dryseason!C583</f>
        <v>142</v>
      </c>
      <c r="D437" t="s">
        <v>3123</v>
      </c>
      <c r="E437" t="s">
        <v>25</v>
      </c>
      <c r="F437" s="375">
        <v>6</v>
      </c>
      <c r="G437" s="376">
        <f>IF('Dry_Litterbag Placem_Collection'!E144="","",'Dry_Litterbag Placem_Collection'!E144)</f>
        <v>42939</v>
      </c>
      <c r="H437" s="92" t="str">
        <f>Dryseason!L583</f>
        <v>G711</v>
      </c>
      <c r="I437" t="str">
        <f>Dryseason!L803</f>
        <v>R626</v>
      </c>
      <c r="J437">
        <f>IFERROR(INDEX('Green_rooibos initial weight'!$C$5:$C$2000,MATCH(H437, 'Green_rooibos initial weight'!$A$5:$A$2000,0)),"")</f>
        <v>2.1070000000000002</v>
      </c>
      <c r="K437">
        <f>IFERROR(INDEX('Green_rooibos initial weight'!$C$5:$C$2000,MATCH(I437, 'Green_rooibos initial weight'!$A$5:$A$2000,0)),"")</f>
        <v>2.0699999999999998</v>
      </c>
      <c r="L437" s="194">
        <f t="shared" si="69"/>
        <v>1.8572000000000002</v>
      </c>
      <c r="M437" s="233">
        <f>AVERAGE(Ashed_controlls!$K$1:$K$11)</f>
        <v>5.5147656768714146</v>
      </c>
      <c r="N437" s="194">
        <f t="shared" si="65"/>
        <v>1.7547797718491442</v>
      </c>
      <c r="O437" s="194">
        <f t="shared" si="70"/>
        <v>1.8201999999999998</v>
      </c>
      <c r="P437" s="233">
        <f>AVERAGE(Ashed_controlls!$K$12:$K$14)</f>
        <v>2.2816647271287041</v>
      </c>
      <c r="Q437" s="194">
        <f t="shared" si="66"/>
        <v>1.7786691386368032</v>
      </c>
      <c r="R437" s="376">
        <f>IF('Dry_Litterbag Placem_Collection'!G144="","",'Dry_Litterbag Placem_Collection'!G144)</f>
        <v>43008</v>
      </c>
      <c r="S437" s="194" t="str">
        <f>IFERROR(INDEX('Both teabags AfterDry'!$D$3:$D$2000,MATCH(H437,'Both teabags AfterDry'!$A$3:$A$2000,0)),"")</f>
        <v/>
      </c>
      <c r="T437" s="194" t="str">
        <f>IFERROR(INDEX('Both teabags AfterDry'!$D$3:$D$2000,MATCH(I437,'Both teabags AfterDry'!$A$3:$A$2000,0)),"")</f>
        <v/>
      </c>
      <c r="U437" s="194" t="str">
        <f t="shared" si="71"/>
        <v/>
      </c>
      <c r="V437" s="194" t="str">
        <f t="shared" si="72"/>
        <v/>
      </c>
      <c r="W437" s="194" t="str">
        <f>IFERROR(INDEX('Ashed teabags dry'!$K$2:$K$2000,MATCH(H437,'Ashed teabags dry'!$A$2:$A$2000,0)),"")</f>
        <v/>
      </c>
      <c r="X437" s="194" t="str">
        <f>IFERROR(INDEX('Ashed teabags dry'!$K$2:$K$2000,MATCH(I437,'Ashed teabags dry'!$A$2:$A$2000,0)),"")</f>
        <v/>
      </c>
      <c r="Y437" s="194" t="str">
        <f t="shared" si="67"/>
        <v/>
      </c>
      <c r="Z437" s="194" t="str">
        <f t="shared" si="67"/>
        <v/>
      </c>
      <c r="AA437" s="194" t="str">
        <f t="shared" si="73"/>
        <v/>
      </c>
      <c r="AB437" s="194" t="str">
        <f t="shared" si="74"/>
        <v/>
      </c>
      <c r="AC437" s="194" t="str">
        <f t="shared" si="68"/>
        <v/>
      </c>
      <c r="AD437">
        <f t="shared" si="75"/>
        <v>69</v>
      </c>
      <c r="AE437" s="194" t="str">
        <f t="shared" si="76"/>
        <v/>
      </c>
      <c r="AF437" s="194" t="str">
        <f t="shared" si="77"/>
        <v/>
      </c>
      <c r="AG437" s="245" t="str">
        <f>IF(ISNUMBER(SEARCH("C", 'Dry_Litterbag Placem_Collection'!$V144)),"YES","NO")</f>
        <v>NO</v>
      </c>
      <c r="AH437" s="245" t="str">
        <f>IF(ISNUMBER(SEARCH("H", 'Dry_Litterbag Placem_Collection'!$V144)),"YES","NO")</f>
        <v>NO</v>
      </c>
      <c r="AI437" s="245" t="str">
        <f>IF(ISNUMBER(SEARCH("R", 'Dry_Litterbag Placem_Collection'!$V144)),"YES","NO")</f>
        <v>NO</v>
      </c>
      <c r="AJ437" s="245" t="str">
        <f>IF(ISNUMBER(SEARCH("C", 'Dry_Litterbag Placem_Collection'!$U144)),"YES","NO")</f>
        <v>NO</v>
      </c>
      <c r="AK437" s="245" t="str">
        <f>IF(ISNUMBER(SEARCH("H", 'Dry_Litterbag Placem_Collection'!$U144)),"YES","NO")</f>
        <v>NO</v>
      </c>
      <c r="AL437" s="245" t="str">
        <f>IF(ISNUMBER(SEARCH("R", 'Dry_Litterbag Placem_Collection'!$U144)),"YES","NO")</f>
        <v>YES</v>
      </c>
    </row>
    <row r="438" spans="2:38">
      <c r="B438" t="str">
        <f>Dryseason!B584</f>
        <v>Dry</v>
      </c>
      <c r="C438" s="253">
        <f>Dryseason!C584</f>
        <v>143</v>
      </c>
      <c r="D438" t="s">
        <v>3123</v>
      </c>
      <c r="E438" t="s">
        <v>25</v>
      </c>
      <c r="F438" s="375">
        <v>7</v>
      </c>
      <c r="G438" s="376">
        <f>IF('Dry_Litterbag Placem_Collection'!E145="","",'Dry_Litterbag Placem_Collection'!E145)</f>
        <v>42939</v>
      </c>
      <c r="H438" s="92" t="str">
        <f>Dryseason!L584</f>
        <v>G205</v>
      </c>
      <c r="I438" t="str">
        <f>Dryseason!L804</f>
        <v>R195</v>
      </c>
      <c r="J438">
        <f>IFERROR(INDEX('Green_rooibos initial weight'!$C$5:$C$2000,MATCH(H438, 'Green_rooibos initial weight'!$A$5:$A$2000,0)),"")</f>
        <v>2.1240000000000001</v>
      </c>
      <c r="K438">
        <f>IFERROR(INDEX('Green_rooibos initial weight'!$C$5:$C$2000,MATCH(I438, 'Green_rooibos initial weight'!$A$5:$A$2000,0)),"")</f>
        <v>2.1640000000000001</v>
      </c>
      <c r="L438" s="194">
        <f t="shared" si="69"/>
        <v>1.8742000000000001</v>
      </c>
      <c r="M438" s="233">
        <f>AVERAGE(Ashed_controlls!$K$1:$K$11)</f>
        <v>5.5147656768714146</v>
      </c>
      <c r="N438" s="194">
        <f t="shared" si="65"/>
        <v>1.770842261684076</v>
      </c>
      <c r="O438" s="194">
        <f t="shared" si="70"/>
        <v>1.9142000000000001</v>
      </c>
      <c r="P438" s="233">
        <f>AVERAGE(Ashed_controlls!$K$12:$K$14)</f>
        <v>2.2816647271287041</v>
      </c>
      <c r="Q438" s="194">
        <f t="shared" si="66"/>
        <v>1.8705243737933024</v>
      </c>
      <c r="R438" s="376">
        <f>IF('Dry_Litterbag Placem_Collection'!G145="","",'Dry_Litterbag Placem_Collection'!G145)</f>
        <v>43008</v>
      </c>
      <c r="S438" s="194">
        <f>IFERROR(INDEX('Both teabags AfterDry'!$D$3:$D$2000,MATCH(H438,'Both teabags AfterDry'!$A$3:$A$2000,0)),"")</f>
        <v>0.82040000000000002</v>
      </c>
      <c r="T438" s="194">
        <f>IFERROR(INDEX('Both teabags AfterDry'!$D$3:$D$2000,MATCH(I438,'Both teabags AfterDry'!$A$3:$A$2000,0)),"")</f>
        <v>1.6592</v>
      </c>
      <c r="U438" s="194">
        <f t="shared" si="71"/>
        <v>0.66979999999999995</v>
      </c>
      <c r="V438" s="194">
        <f t="shared" si="72"/>
        <v>1.5085999999999999</v>
      </c>
      <c r="W438" s="194">
        <f>IFERROR(INDEX('Ashed teabags dry'!$K$2:$K$2000,MATCH(H438,'Ashed teabags dry'!$A$2:$A$2000,0)),"")</f>
        <v>18.392504930966592</v>
      </c>
      <c r="X438" s="194">
        <f>IFERROR(INDEX('Ashed teabags dry'!$K$2:$K$2000,MATCH(I438,'Ashed teabags dry'!$A$2:$A$2000,0)),"")</f>
        <v>10.110294117647566</v>
      </c>
      <c r="Y438" s="194">
        <f t="shared" si="67"/>
        <v>0.54660700197238576</v>
      </c>
      <c r="Z438" s="194">
        <f t="shared" si="67"/>
        <v>1.3560761029411688</v>
      </c>
      <c r="AA438" s="194">
        <f t="shared" si="73"/>
        <v>0.69132936693494029</v>
      </c>
      <c r="AB438" s="194">
        <f t="shared" si="74"/>
        <v>0.45322305290746684</v>
      </c>
      <c r="AC438" s="194">
        <f t="shared" si="68"/>
        <v>0.72497109470492183</v>
      </c>
      <c r="AD438">
        <f t="shared" si="75"/>
        <v>69</v>
      </c>
      <c r="AE438" s="194">
        <f t="shared" si="76"/>
        <v>0.17894374473285002</v>
      </c>
      <c r="AF438" s="194">
        <f t="shared" si="77"/>
        <v>1.3529140898648108E-2</v>
      </c>
      <c r="AG438" s="245" t="str">
        <f>IF(ISNUMBER(SEARCH("C", 'Dry_Litterbag Placem_Collection'!$V145)),"YES","NO")</f>
        <v>NO</v>
      </c>
      <c r="AH438" s="245" t="str">
        <f>IF(ISNUMBER(SEARCH("H", 'Dry_Litterbag Placem_Collection'!$V145)),"YES","NO")</f>
        <v>NO</v>
      </c>
      <c r="AI438" s="245" t="str">
        <f>IF(ISNUMBER(SEARCH("R", 'Dry_Litterbag Placem_Collection'!$V145)),"YES","NO")</f>
        <v>NO</v>
      </c>
      <c r="AJ438" s="245" t="str">
        <f>IF(ISNUMBER(SEARCH("C", 'Dry_Litterbag Placem_Collection'!$U145)),"YES","NO")</f>
        <v>NO</v>
      </c>
      <c r="AK438" s="245" t="str">
        <f>IF(ISNUMBER(SEARCH("H", 'Dry_Litterbag Placem_Collection'!$U145)),"YES","NO")</f>
        <v>NO</v>
      </c>
      <c r="AL438" s="245" t="str">
        <f>IF(ISNUMBER(SEARCH("R", 'Dry_Litterbag Placem_Collection'!$U145)),"YES","NO")</f>
        <v>YES</v>
      </c>
    </row>
    <row r="439" spans="2:38">
      <c r="B439" t="str">
        <f>Dryseason!B585</f>
        <v>Dry</v>
      </c>
      <c r="C439" s="253">
        <f>Dryseason!C585</f>
        <v>144</v>
      </c>
      <c r="D439" t="s">
        <v>3123</v>
      </c>
      <c r="E439" t="s">
        <v>25</v>
      </c>
      <c r="F439" s="375">
        <v>8</v>
      </c>
      <c r="G439" s="376">
        <f>IF('Dry_Litterbag Placem_Collection'!E146="","",'Dry_Litterbag Placem_Collection'!E146)</f>
        <v>42939</v>
      </c>
      <c r="H439" s="92" t="str">
        <f>Dryseason!L585</f>
        <v>G384</v>
      </c>
      <c r="I439" t="str">
        <f>Dryseason!L805</f>
        <v>R295</v>
      </c>
      <c r="J439">
        <f>IFERROR(INDEX('Green_rooibos initial weight'!$C$5:$C$2000,MATCH(H439, 'Green_rooibos initial weight'!$A$5:$A$2000,0)),"")</f>
        <v>2.0499999999999998</v>
      </c>
      <c r="K439">
        <f>IFERROR(INDEX('Green_rooibos initial weight'!$C$5:$C$2000,MATCH(I439, 'Green_rooibos initial weight'!$A$5:$A$2000,0)),"")</f>
        <v>2.194</v>
      </c>
      <c r="L439" s="194">
        <f t="shared" si="69"/>
        <v>1.8001999999999998</v>
      </c>
      <c r="M439" s="233">
        <f>AVERAGE(Ashed_controlls!$K$1:$K$11)</f>
        <v>5.5147656768714146</v>
      </c>
      <c r="N439" s="194">
        <f t="shared" si="65"/>
        <v>1.7009231882849607</v>
      </c>
      <c r="O439" s="194">
        <f t="shared" si="70"/>
        <v>1.9441999999999999</v>
      </c>
      <c r="P439" s="233">
        <f>AVERAGE(Ashed_controlls!$K$12:$K$14)</f>
        <v>2.2816647271287041</v>
      </c>
      <c r="Q439" s="194">
        <f t="shared" si="66"/>
        <v>1.8998398743751637</v>
      </c>
      <c r="R439" s="376">
        <f>IF('Dry_Litterbag Placem_Collection'!G146="","",'Dry_Litterbag Placem_Collection'!G146)</f>
        <v>43008</v>
      </c>
      <c r="S439" s="194">
        <f>IFERROR(INDEX('Both teabags AfterDry'!$D$3:$D$2000,MATCH(H439,'Both teabags AfterDry'!$A$3:$A$2000,0)),"")</f>
        <v>0.73660000000000003</v>
      </c>
      <c r="T439" s="194">
        <f>IFERROR(INDEX('Both teabags AfterDry'!$D$3:$D$2000,MATCH(I439,'Both teabags AfterDry'!$A$3:$A$2000,0)),"")</f>
        <v>1.7096</v>
      </c>
      <c r="U439" s="194">
        <f t="shared" si="71"/>
        <v>0.58600000000000008</v>
      </c>
      <c r="V439" s="194">
        <f t="shared" si="72"/>
        <v>1.5589999999999999</v>
      </c>
      <c r="W439" s="194">
        <f>IFERROR(INDEX('Ashed teabags dry'!$K$2:$K$2000,MATCH(H439,'Ashed teabags dry'!$A$2:$A$2000,0)),"")</f>
        <v>16.379310344827655</v>
      </c>
      <c r="X439" s="194">
        <f>IFERROR(INDEX('Ashed teabags dry'!$K$2:$K$2000,MATCH(I439,'Ashed teabags dry'!$A$2:$A$2000,0)),"")</f>
        <v>6.2071917808215078</v>
      </c>
      <c r="Y439" s="194">
        <f t="shared" si="67"/>
        <v>0.49001724137931002</v>
      </c>
      <c r="Z439" s="194">
        <f t="shared" si="67"/>
        <v>1.4622298801369926</v>
      </c>
      <c r="AA439" s="194">
        <f t="shared" si="73"/>
        <v>0.71191101117658695</v>
      </c>
      <c r="AB439" s="194">
        <f t="shared" si="74"/>
        <v>0.46671600732716872</v>
      </c>
      <c r="AC439" s="194">
        <f t="shared" si="68"/>
        <v>0.76965953807970466</v>
      </c>
      <c r="AD439">
        <f t="shared" si="75"/>
        <v>69</v>
      </c>
      <c r="AE439" s="194">
        <f t="shared" si="76"/>
        <v>0.15449998672614373</v>
      </c>
      <c r="AF439" s="194">
        <f t="shared" si="77"/>
        <v>9.8594074924255506E-3</v>
      </c>
      <c r="AG439" s="245" t="str">
        <f>IF(ISNUMBER(SEARCH("C", 'Dry_Litterbag Placem_Collection'!$V146)),"YES","NO")</f>
        <v>NO</v>
      </c>
      <c r="AH439" s="245" t="str">
        <f>IF(ISNUMBER(SEARCH("H", 'Dry_Litterbag Placem_Collection'!$V146)),"YES","NO")</f>
        <v>NO</v>
      </c>
      <c r="AI439" s="245" t="str">
        <f>IF(ISNUMBER(SEARCH("R", 'Dry_Litterbag Placem_Collection'!$V146)),"YES","NO")</f>
        <v>NO</v>
      </c>
      <c r="AJ439" s="245" t="str">
        <f>IF(ISNUMBER(SEARCH("C", 'Dry_Litterbag Placem_Collection'!$U146)),"YES","NO")</f>
        <v>NO</v>
      </c>
      <c r="AK439" s="245" t="str">
        <f>IF(ISNUMBER(SEARCH("H", 'Dry_Litterbag Placem_Collection'!$U146)),"YES","NO")</f>
        <v>NO</v>
      </c>
      <c r="AL439" s="245" t="str">
        <f>IF(ISNUMBER(SEARCH("R", 'Dry_Litterbag Placem_Collection'!$U146)),"YES","NO")</f>
        <v>NO</v>
      </c>
    </row>
    <row r="440" spans="2:38">
      <c r="B440" t="str">
        <f>Dryseason!B586</f>
        <v>Dry</v>
      </c>
      <c r="C440" s="253">
        <f>Dryseason!C586</f>
        <v>145</v>
      </c>
      <c r="D440" t="s">
        <v>3124</v>
      </c>
      <c r="E440" t="s">
        <v>25</v>
      </c>
      <c r="F440" s="374">
        <v>1</v>
      </c>
      <c r="G440" s="376">
        <f>IF('Dry_Litterbag Placem_Collection'!E147="","",'Dry_Litterbag Placem_Collection'!E147)</f>
        <v>42939</v>
      </c>
      <c r="H440" s="92" t="str">
        <f>Dryseason!L586</f>
        <v>G72</v>
      </c>
      <c r="I440" t="str">
        <f>Dryseason!L806</f>
        <v>R609</v>
      </c>
      <c r="J440">
        <f>IFERROR(INDEX('Green_rooibos initial weight'!$C$5:$C$2000,MATCH(H440, 'Green_rooibos initial weight'!$A$5:$A$2000,0)),"")</f>
        <v>2.0190000000000001</v>
      </c>
      <c r="K440">
        <f>IFERROR(INDEX('Green_rooibos initial weight'!$C$5:$C$2000,MATCH(I440, 'Green_rooibos initial weight'!$A$5:$A$2000,0)),"")</f>
        <v>2.165</v>
      </c>
      <c r="L440" s="194">
        <f t="shared" si="69"/>
        <v>1.7692000000000001</v>
      </c>
      <c r="M440" s="233">
        <f>AVERAGE(Ashed_controlls!$K$1:$K$11)</f>
        <v>5.5147656768714146</v>
      </c>
      <c r="N440" s="194">
        <f t="shared" si="65"/>
        <v>1.6716327656447911</v>
      </c>
      <c r="O440" s="194">
        <f t="shared" si="70"/>
        <v>1.9152</v>
      </c>
      <c r="P440" s="233">
        <f>AVERAGE(Ashed_controlls!$K$12:$K$14)</f>
        <v>2.2816647271287041</v>
      </c>
      <c r="Q440" s="194">
        <f t="shared" si="66"/>
        <v>1.8715015571460312</v>
      </c>
      <c r="R440" s="376">
        <f>IF('Dry_Litterbag Placem_Collection'!G147="","",'Dry_Litterbag Placem_Collection'!G147)</f>
        <v>43010</v>
      </c>
      <c r="S440" s="194">
        <f>IFERROR(INDEX('Both teabags AfterDry'!$D$3:$D$2000,MATCH(H440,'Both teabags AfterDry'!$A$3:$A$2000,0)),"")</f>
        <v>1.7161999999999999</v>
      </c>
      <c r="T440" s="194">
        <f>IFERROR(INDEX('Both teabags AfterDry'!$D$3:$D$2000,MATCH(I440,'Both teabags AfterDry'!$A$3:$A$2000,0)),"")</f>
        <v>1.9753000000000001</v>
      </c>
      <c r="U440" s="194">
        <f t="shared" si="71"/>
        <v>1.5655999999999999</v>
      </c>
      <c r="V440" s="194">
        <f t="shared" si="72"/>
        <v>1.8247</v>
      </c>
      <c r="W440" s="194">
        <f>IFERROR(INDEX('Ashed teabags dry'!$K$2:$K$2000,MATCH(H440,'Ashed teabags dry'!$A$2:$A$2000,0)),"")</f>
        <v>10.842779694431051</v>
      </c>
      <c r="X440" s="194">
        <f>IFERROR(INDEX('Ashed teabags dry'!$K$2:$K$2000,MATCH(I440,'Ashed teabags dry'!$A$2:$A$2000,0)),"")</f>
        <v>3.7512339585388541</v>
      </c>
      <c r="Y440" s="194">
        <f t="shared" si="67"/>
        <v>1.3958454411039873</v>
      </c>
      <c r="Z440" s="194">
        <f t="shared" si="67"/>
        <v>1.7562512339585414</v>
      </c>
      <c r="AA440" s="194">
        <f t="shared" si="73"/>
        <v>0.16498080811094029</v>
      </c>
      <c r="AB440" s="194">
        <f t="shared" si="74"/>
        <v>0.10815843952166161</v>
      </c>
      <c r="AC440" s="194">
        <f t="shared" si="68"/>
        <v>0.93841825952672886</v>
      </c>
      <c r="AD440">
        <f t="shared" si="75"/>
        <v>71</v>
      </c>
      <c r="AE440" s="194">
        <f t="shared" si="76"/>
        <v>0.80406079796800434</v>
      </c>
      <c r="AF440" s="194">
        <f t="shared" si="77"/>
        <v>1.1866151958200701E-2</v>
      </c>
      <c r="AG440" s="245" t="str">
        <f>IF(ISNUMBER(SEARCH("C", 'Dry_Litterbag Placem_Collection'!$V147)),"YES","NO")</f>
        <v>NO</v>
      </c>
      <c r="AH440" s="245" t="str">
        <f>IF(ISNUMBER(SEARCH("H", 'Dry_Litterbag Placem_Collection'!$V147)),"YES","NO")</f>
        <v>NO</v>
      </c>
      <c r="AI440" s="245" t="str">
        <f>IF(ISNUMBER(SEARCH("R", 'Dry_Litterbag Placem_Collection'!$V147)),"YES","NO")</f>
        <v>NO</v>
      </c>
      <c r="AJ440" s="245" t="str">
        <f>IF(ISNUMBER(SEARCH("C", 'Dry_Litterbag Placem_Collection'!$U147)),"YES","NO")</f>
        <v>NO</v>
      </c>
      <c r="AK440" s="245" t="str">
        <f>IF(ISNUMBER(SEARCH("H", 'Dry_Litterbag Placem_Collection'!$U147)),"YES","NO")</f>
        <v>NO</v>
      </c>
      <c r="AL440" s="245" t="str">
        <f>IF(ISNUMBER(SEARCH("R", 'Dry_Litterbag Placem_Collection'!$U147)),"YES","NO")</f>
        <v>NO</v>
      </c>
    </row>
    <row r="441" spans="2:38">
      <c r="B441" t="str">
        <f>Dryseason!B587</f>
        <v>Dry</v>
      </c>
      <c r="C441" s="253">
        <f>Dryseason!C587</f>
        <v>146</v>
      </c>
      <c r="D441" t="s">
        <v>3124</v>
      </c>
      <c r="E441" t="s">
        <v>25</v>
      </c>
      <c r="F441" s="374">
        <v>2</v>
      </c>
      <c r="G441" s="376">
        <f>IF('Dry_Litterbag Placem_Collection'!E148="","",'Dry_Litterbag Placem_Collection'!E148)</f>
        <v>42939</v>
      </c>
      <c r="H441" s="92" t="str">
        <f>Dryseason!L587</f>
        <v>G336</v>
      </c>
      <c r="I441" t="str">
        <f>Dryseason!L807</f>
        <v>R292</v>
      </c>
      <c r="J441">
        <f>IFERROR(INDEX('Green_rooibos initial weight'!$C$5:$C$2000,MATCH(H441, 'Green_rooibos initial weight'!$A$5:$A$2000,0)),"")</f>
        <v>1.9950000000000001</v>
      </c>
      <c r="K441">
        <f>IFERROR(INDEX('Green_rooibos initial weight'!$C$5:$C$2000,MATCH(I441, 'Green_rooibos initial weight'!$A$5:$A$2000,0)),"")</f>
        <v>2.2370000000000001</v>
      </c>
      <c r="L441" s="194">
        <f t="shared" si="69"/>
        <v>1.7452000000000001</v>
      </c>
      <c r="M441" s="233">
        <f>AVERAGE(Ashed_controlls!$K$1:$K$11)</f>
        <v>5.5147656768714146</v>
      </c>
      <c r="N441" s="194">
        <f t="shared" si="65"/>
        <v>1.6489563094072401</v>
      </c>
      <c r="O441" s="194">
        <f t="shared" si="70"/>
        <v>1.9872000000000001</v>
      </c>
      <c r="P441" s="233">
        <f>AVERAGE(Ashed_controlls!$K$12:$K$14)</f>
        <v>2.2816647271287041</v>
      </c>
      <c r="Q441" s="194">
        <f t="shared" si="66"/>
        <v>1.9418587585424985</v>
      </c>
      <c r="R441" s="376">
        <f>IF('Dry_Litterbag Placem_Collection'!G148="","",'Dry_Litterbag Placem_Collection'!G148)</f>
        <v>43010</v>
      </c>
      <c r="S441" s="194">
        <f>IFERROR(INDEX('Both teabags AfterDry'!$D$3:$D$2000,MATCH(H441,'Both teabags AfterDry'!$A$3:$A$2000,0)),"")</f>
        <v>1.6466000000000001</v>
      </c>
      <c r="T441" s="194">
        <f>IFERROR(INDEX('Both teabags AfterDry'!$D$3:$D$2000,MATCH(I441,'Both teabags AfterDry'!$A$3:$A$2000,0)),"")</f>
        <v>2.0505</v>
      </c>
      <c r="U441" s="194">
        <f t="shared" si="71"/>
        <v>1.496</v>
      </c>
      <c r="V441" s="194">
        <f t="shared" si="72"/>
        <v>1.8998999999999999</v>
      </c>
      <c r="W441" s="194">
        <f>IFERROR(INDEX('Ashed teabags dry'!$K$2:$K$2000,MATCH(H441,'Ashed teabags dry'!$A$2:$A$2000,0)),"")</f>
        <v>9.7110374230223258</v>
      </c>
      <c r="X441" s="194">
        <f>IFERROR(INDEX('Ashed teabags dry'!$K$2:$K$2000,MATCH(I441,'Ashed teabags dry'!$A$2:$A$2000,0)),"")</f>
        <v>2.5435704192176245</v>
      </c>
      <c r="Y441" s="194">
        <f t="shared" si="67"/>
        <v>1.350722880151586</v>
      </c>
      <c r="Z441" s="194">
        <f t="shared" si="67"/>
        <v>1.8515747056052843</v>
      </c>
      <c r="AA441" s="194">
        <f t="shared" si="73"/>
        <v>0.18086193524609628</v>
      </c>
      <c r="AB441" s="194">
        <f t="shared" si="74"/>
        <v>0.1185698197812888</v>
      </c>
      <c r="AC441" s="194">
        <f t="shared" si="68"/>
        <v>0.95350637499249491</v>
      </c>
      <c r="AD441">
        <f t="shared" si="75"/>
        <v>71</v>
      </c>
      <c r="AE441" s="194">
        <f t="shared" si="76"/>
        <v>0.78519960184549131</v>
      </c>
      <c r="AF441" s="194">
        <f t="shared" si="77"/>
        <v>7.0109600469546824E-3</v>
      </c>
      <c r="AG441" s="245" t="str">
        <f>IF(ISNUMBER(SEARCH("C", 'Dry_Litterbag Placem_Collection'!$V148)),"YES","NO")</f>
        <v>NO</v>
      </c>
      <c r="AH441" s="245" t="str">
        <f>IF(ISNUMBER(SEARCH("H", 'Dry_Litterbag Placem_Collection'!$V148)),"YES","NO")</f>
        <v>NO</v>
      </c>
      <c r="AI441" s="245" t="str">
        <f>IF(ISNUMBER(SEARCH("R", 'Dry_Litterbag Placem_Collection'!$V148)),"YES","NO")</f>
        <v>NO</v>
      </c>
      <c r="AJ441" s="245" t="str">
        <f>IF(ISNUMBER(SEARCH("C", 'Dry_Litterbag Placem_Collection'!$U148)),"YES","NO")</f>
        <v>NO</v>
      </c>
      <c r="AK441" s="245" t="str">
        <f>IF(ISNUMBER(SEARCH("H", 'Dry_Litterbag Placem_Collection'!$U148)),"YES","NO")</f>
        <v>NO</v>
      </c>
      <c r="AL441" s="245" t="str">
        <f>IF(ISNUMBER(SEARCH("R", 'Dry_Litterbag Placem_Collection'!$U148)),"YES","NO")</f>
        <v>NO</v>
      </c>
    </row>
    <row r="442" spans="2:38">
      <c r="B442" t="str">
        <f>Dryseason!B588</f>
        <v>Dry</v>
      </c>
      <c r="C442" s="253">
        <f>Dryseason!C588</f>
        <v>147</v>
      </c>
      <c r="D442" t="s">
        <v>3124</v>
      </c>
      <c r="E442" t="s">
        <v>25</v>
      </c>
      <c r="F442" s="374">
        <v>3</v>
      </c>
      <c r="G442" s="376">
        <f>IF('Dry_Litterbag Placem_Collection'!E149="","",'Dry_Litterbag Placem_Collection'!E149)</f>
        <v>42939</v>
      </c>
      <c r="H442" s="92" t="str">
        <f>Dryseason!L588</f>
        <v>G303</v>
      </c>
      <c r="I442" t="str">
        <f>Dryseason!L808</f>
        <v>R243</v>
      </c>
      <c r="J442">
        <f>IFERROR(INDEX('Green_rooibos initial weight'!$C$5:$C$2000,MATCH(H442, 'Green_rooibos initial weight'!$A$5:$A$2000,0)),"")</f>
        <v>1.9850000000000001</v>
      </c>
      <c r="K442">
        <f>IFERROR(INDEX('Green_rooibos initial weight'!$C$5:$C$2000,MATCH(I442, 'Green_rooibos initial weight'!$A$5:$A$2000,0)),"")</f>
        <v>2.1680000000000001</v>
      </c>
      <c r="L442" s="194">
        <f t="shared" si="69"/>
        <v>1.7352000000000001</v>
      </c>
      <c r="M442" s="233">
        <f>AVERAGE(Ashed_controlls!$K$1:$K$11)</f>
        <v>5.5147656768714146</v>
      </c>
      <c r="N442" s="194">
        <f t="shared" si="65"/>
        <v>1.6395077859749272</v>
      </c>
      <c r="O442" s="194">
        <f t="shared" si="70"/>
        <v>1.9182000000000001</v>
      </c>
      <c r="P442" s="233">
        <f>AVERAGE(Ashed_controlls!$K$12:$K$14)</f>
        <v>2.2816647271287041</v>
      </c>
      <c r="Q442" s="194">
        <f t="shared" si="66"/>
        <v>1.8744331072042173</v>
      </c>
      <c r="R442" s="376">
        <f>IF('Dry_Litterbag Placem_Collection'!G149="","",'Dry_Litterbag Placem_Collection'!G149)</f>
        <v>43010</v>
      </c>
      <c r="S442" s="194">
        <f>IFERROR(INDEX('Both teabags AfterDry'!$D$3:$D$2000,MATCH(H442,'Both teabags AfterDry'!$A$3:$A$2000,0)),"")</f>
        <v>1.6654</v>
      </c>
      <c r="T442" s="194">
        <f>IFERROR(INDEX('Both teabags AfterDry'!$D$3:$D$2000,MATCH(I442,'Both teabags AfterDry'!$A$3:$A$2000,0)),"")</f>
        <v>1.9182999999999999</v>
      </c>
      <c r="U442" s="194">
        <f t="shared" si="71"/>
        <v>1.5147999999999999</v>
      </c>
      <c r="V442" s="194">
        <f t="shared" si="72"/>
        <v>1.7676999999999998</v>
      </c>
      <c r="W442" s="194">
        <f>IFERROR(INDEX('Ashed teabags dry'!$K$2:$K$2000,MATCH(H442,'Ashed teabags dry'!$A$2:$A$2000,0)),"")</f>
        <v>8.1562036579344408</v>
      </c>
      <c r="X442" s="194">
        <f>IFERROR(INDEX('Ashed teabags dry'!$K$2:$K$2000,MATCH(I442,'Ashed teabags dry'!$A$2:$A$2000,0)),"")</f>
        <v>3.2670454545454892</v>
      </c>
      <c r="Y442" s="194">
        <f t="shared" si="67"/>
        <v>1.391249826989609</v>
      </c>
      <c r="Z442" s="194">
        <f t="shared" si="67"/>
        <v>1.7099484374999991</v>
      </c>
      <c r="AA442" s="194">
        <f t="shared" si="73"/>
        <v>0.15142225069562121</v>
      </c>
      <c r="AB442" s="194">
        <f t="shared" si="74"/>
        <v>9.9269694042735043E-2</v>
      </c>
      <c r="AC442" s="194">
        <f t="shared" si="68"/>
        <v>0.91224831173113841</v>
      </c>
      <c r="AD442">
        <f t="shared" si="75"/>
        <v>71</v>
      </c>
      <c r="AE442" s="194">
        <f t="shared" si="76"/>
        <v>0.82016359774866843</v>
      </c>
      <c r="AF442" s="194">
        <f t="shared" si="77"/>
        <v>3.0337025326048362E-2</v>
      </c>
      <c r="AG442" s="245" t="str">
        <f>IF(ISNUMBER(SEARCH("C", 'Dry_Litterbag Placem_Collection'!$V149)),"YES","NO")</f>
        <v>NO</v>
      </c>
      <c r="AH442" s="245" t="str">
        <f>IF(ISNUMBER(SEARCH("H", 'Dry_Litterbag Placem_Collection'!$V149)),"YES","NO")</f>
        <v>NO</v>
      </c>
      <c r="AI442" s="245" t="str">
        <f>IF(ISNUMBER(SEARCH("R", 'Dry_Litterbag Placem_Collection'!$V149)),"YES","NO")</f>
        <v>NO</v>
      </c>
      <c r="AJ442" s="245" t="str">
        <f>IF(ISNUMBER(SEARCH("C", 'Dry_Litterbag Placem_Collection'!$U149)),"YES","NO")</f>
        <v>NO</v>
      </c>
      <c r="AK442" s="245" t="str">
        <f>IF(ISNUMBER(SEARCH("H", 'Dry_Litterbag Placem_Collection'!$U149)),"YES","NO")</f>
        <v>NO</v>
      </c>
      <c r="AL442" s="245" t="str">
        <f>IF(ISNUMBER(SEARCH("R", 'Dry_Litterbag Placem_Collection'!$U149)),"YES","NO")</f>
        <v>NO</v>
      </c>
    </row>
    <row r="443" spans="2:38">
      <c r="B443" t="str">
        <f>Dryseason!B589</f>
        <v>Dry</v>
      </c>
      <c r="C443" s="253">
        <f>Dryseason!C589</f>
        <v>148</v>
      </c>
      <c r="D443" t="s">
        <v>3124</v>
      </c>
      <c r="E443" t="s">
        <v>25</v>
      </c>
      <c r="F443" s="375">
        <v>4</v>
      </c>
      <c r="G443" s="376">
        <f>IF('Dry_Litterbag Placem_Collection'!E150="","",'Dry_Litterbag Placem_Collection'!E150)</f>
        <v>42939</v>
      </c>
      <c r="H443" s="92" t="str">
        <f>Dryseason!L589</f>
        <v>G161</v>
      </c>
      <c r="I443" t="str">
        <f>Dryseason!L809</f>
        <v>R422</v>
      </c>
      <c r="J443">
        <f>IFERROR(INDEX('Green_rooibos initial weight'!$C$5:$C$2000,MATCH(H443, 'Green_rooibos initial weight'!$A$5:$A$2000,0)),"")</f>
        <v>2.0979999999999999</v>
      </c>
      <c r="K443">
        <f>IFERROR(INDEX('Green_rooibos initial weight'!$C$5:$C$2000,MATCH(I443, 'Green_rooibos initial weight'!$A$5:$A$2000,0)),"")</f>
        <v>2.1760000000000002</v>
      </c>
      <c r="L443" s="194">
        <f t="shared" si="69"/>
        <v>1.8481999999999998</v>
      </c>
      <c r="M443" s="233">
        <f>AVERAGE(Ashed_controlls!$K$1:$K$11)</f>
        <v>5.5147656768714146</v>
      </c>
      <c r="N443" s="194">
        <f t="shared" si="65"/>
        <v>1.7462761007600625</v>
      </c>
      <c r="O443" s="194">
        <f t="shared" si="70"/>
        <v>1.9262000000000001</v>
      </c>
      <c r="P443" s="233">
        <f>AVERAGE(Ashed_controlls!$K$12:$K$14)</f>
        <v>2.2816647271287041</v>
      </c>
      <c r="Q443" s="194">
        <f t="shared" si="66"/>
        <v>1.8822505740260471</v>
      </c>
      <c r="R443" s="376">
        <f>IF('Dry_Litterbag Placem_Collection'!G150="","",'Dry_Litterbag Placem_Collection'!G150)</f>
        <v>43010</v>
      </c>
      <c r="S443" s="194">
        <f>IFERROR(INDEX('Both teabags AfterDry'!$D$3:$D$2000,MATCH(H443,'Both teabags AfterDry'!$A$3:$A$2000,0)),"")</f>
        <v>1.7174</v>
      </c>
      <c r="T443" s="194">
        <f>IFERROR(INDEX('Both teabags AfterDry'!$D$3:$D$2000,MATCH(I443,'Both teabags AfterDry'!$A$3:$A$2000,0)),"")</f>
        <v>1.9601999999999999</v>
      </c>
      <c r="U443" s="194">
        <f t="shared" si="71"/>
        <v>1.5668</v>
      </c>
      <c r="V443" s="194">
        <f t="shared" si="72"/>
        <v>1.8095999999999999</v>
      </c>
      <c r="W443" s="194">
        <f>IFERROR(INDEX('Ashed teabags dry'!$K$2:$K$2000,MATCH(H443,'Ashed teabags dry'!$A$2:$A$2000,0)),"")</f>
        <v>9.0731707317073607</v>
      </c>
      <c r="X443" s="194">
        <f>IFERROR(INDEX('Ashed teabags dry'!$K$2:$K$2000,MATCH(I443,'Ashed teabags dry'!$A$2:$A$2000,0)),"")</f>
        <v>4.0076335877862421</v>
      </c>
      <c r="Y443" s="194">
        <f t="shared" si="67"/>
        <v>1.4246415609756091</v>
      </c>
      <c r="Z443" s="194">
        <f t="shared" si="67"/>
        <v>1.73707786259542</v>
      </c>
      <c r="AA443" s="194">
        <f t="shared" si="73"/>
        <v>0.18418309661597199</v>
      </c>
      <c r="AB443" s="194">
        <f t="shared" si="74"/>
        <v>0.12074711322092228</v>
      </c>
      <c r="AC443" s="194">
        <f t="shared" si="68"/>
        <v>0.9228728026789178</v>
      </c>
      <c r="AD443">
        <f t="shared" si="75"/>
        <v>71</v>
      </c>
      <c r="AE443" s="194">
        <f t="shared" si="76"/>
        <v>0.78125522967224226</v>
      </c>
      <c r="AF443" s="194">
        <f t="shared" si="77"/>
        <v>1.4340627498880435E-2</v>
      </c>
      <c r="AG443" s="245" t="str">
        <f>IF(ISNUMBER(SEARCH("C", 'Dry_Litterbag Placem_Collection'!$V150)),"YES","NO")</f>
        <v>NO</v>
      </c>
      <c r="AH443" s="245" t="str">
        <f>IF(ISNUMBER(SEARCH("H", 'Dry_Litterbag Placem_Collection'!$V150)),"YES","NO")</f>
        <v>NO</v>
      </c>
      <c r="AI443" s="245" t="str">
        <f>IF(ISNUMBER(SEARCH("R", 'Dry_Litterbag Placem_Collection'!$V150)),"YES","NO")</f>
        <v>NO</v>
      </c>
      <c r="AJ443" s="245" t="str">
        <f>IF(ISNUMBER(SEARCH("C", 'Dry_Litterbag Placem_Collection'!$U150)),"YES","NO")</f>
        <v>YES</v>
      </c>
      <c r="AK443" s="245" t="str">
        <f>IF(ISNUMBER(SEARCH("H", 'Dry_Litterbag Placem_Collection'!$U150)),"YES","NO")</f>
        <v>NO</v>
      </c>
      <c r="AL443" s="245" t="str">
        <f>IF(ISNUMBER(SEARCH("R", 'Dry_Litterbag Placem_Collection'!$U150)),"YES","NO")</f>
        <v>NO</v>
      </c>
    </row>
    <row r="444" spans="2:38">
      <c r="B444" t="str">
        <f>Dryseason!B590</f>
        <v>Dry</v>
      </c>
      <c r="C444" s="253">
        <f>Dryseason!C590</f>
        <v>149</v>
      </c>
      <c r="D444" t="s">
        <v>3124</v>
      </c>
      <c r="E444" t="s">
        <v>25</v>
      </c>
      <c r="F444" s="375">
        <v>5</v>
      </c>
      <c r="G444" s="376">
        <f>IF('Dry_Litterbag Placem_Collection'!E151="","",'Dry_Litterbag Placem_Collection'!E151)</f>
        <v>42939</v>
      </c>
      <c r="H444" s="92" t="str">
        <f>Dryseason!L590</f>
        <v>G464</v>
      </c>
      <c r="I444" t="str">
        <f>Dryseason!L810</f>
        <v>R664</v>
      </c>
      <c r="J444">
        <f>IFERROR(INDEX('Green_rooibos initial weight'!$C$5:$C$2000,MATCH(H444, 'Green_rooibos initial weight'!$A$5:$A$2000,0)),"")</f>
        <v>1.964</v>
      </c>
      <c r="K444">
        <f>IFERROR(INDEX('Green_rooibos initial weight'!$C$5:$C$2000,MATCH(I444, 'Green_rooibos initial weight'!$A$5:$A$2000,0)),"")</f>
        <v>2.09</v>
      </c>
      <c r="L444" s="194">
        <f t="shared" si="69"/>
        <v>1.7141999999999999</v>
      </c>
      <c r="M444" s="233">
        <f>AVERAGE(Ashed_controlls!$K$1:$K$11)</f>
        <v>5.5147656768714146</v>
      </c>
      <c r="N444" s="194">
        <f t="shared" si="65"/>
        <v>1.6196658867670701</v>
      </c>
      <c r="O444" s="194">
        <f t="shared" si="70"/>
        <v>1.8401999999999998</v>
      </c>
      <c r="P444" s="233">
        <f>AVERAGE(Ashed_controlls!$K$12:$K$14)</f>
        <v>2.2816647271287041</v>
      </c>
      <c r="Q444" s="194">
        <f t="shared" si="66"/>
        <v>1.7982128056913775</v>
      </c>
      <c r="R444" s="376">
        <f>IF('Dry_Litterbag Placem_Collection'!G151="","",'Dry_Litterbag Placem_Collection'!G151)</f>
        <v>43010</v>
      </c>
      <c r="S444" s="194">
        <f>IFERROR(INDEX('Both teabags AfterDry'!$D$3:$D$2000,MATCH(H444,'Both teabags AfterDry'!$A$3:$A$2000,0)),"")</f>
        <v>1.571</v>
      </c>
      <c r="T444" s="194">
        <f>IFERROR(INDEX('Both teabags AfterDry'!$D$3:$D$2000,MATCH(I444,'Both teabags AfterDry'!$A$3:$A$2000,0)),"")</f>
        <v>1.8895999999999999</v>
      </c>
      <c r="U444" s="194">
        <f t="shared" si="71"/>
        <v>1.4203999999999999</v>
      </c>
      <c r="V444" s="194">
        <f t="shared" si="72"/>
        <v>1.7389999999999999</v>
      </c>
      <c r="W444" s="194">
        <f>IFERROR(INDEX('Ashed teabags dry'!$K$2:$K$2000,MATCH(H444,'Ashed teabags dry'!$A$2:$A$2000,0)),"")</f>
        <v>7.6546506453042547</v>
      </c>
      <c r="X444" s="194">
        <f>IFERROR(INDEX('Ashed teabags dry'!$K$2:$K$2000,MATCH(I444,'Ashed teabags dry'!$A$2:$A$2000,0)),"")</f>
        <v>3.7617554858933753</v>
      </c>
      <c r="Y444" s="194">
        <f t="shared" si="67"/>
        <v>1.3116733422340983</v>
      </c>
      <c r="Z444" s="194">
        <f t="shared" si="67"/>
        <v>1.673583072100314</v>
      </c>
      <c r="AA444" s="194">
        <f t="shared" si="73"/>
        <v>0.1901580733713788</v>
      </c>
      <c r="AB444" s="194">
        <f t="shared" si="74"/>
        <v>0.12466420011995383</v>
      </c>
      <c r="AC444" s="194">
        <f t="shared" si="68"/>
        <v>0.93069244463357836</v>
      </c>
      <c r="AD444">
        <f t="shared" si="75"/>
        <v>71</v>
      </c>
      <c r="AE444" s="194">
        <f t="shared" si="76"/>
        <v>0.77415905775370686</v>
      </c>
      <c r="AF444" s="194">
        <f t="shared" si="77"/>
        <v>1.1434183404503329E-2</v>
      </c>
      <c r="AG444" s="245" t="str">
        <f>IF(ISNUMBER(SEARCH("C", 'Dry_Litterbag Placem_Collection'!$V151)),"YES","NO")</f>
        <v>NO</v>
      </c>
      <c r="AH444" s="245" t="str">
        <f>IF(ISNUMBER(SEARCH("H", 'Dry_Litterbag Placem_Collection'!$V151)),"YES","NO")</f>
        <v>NO</v>
      </c>
      <c r="AI444" s="245" t="str">
        <f>IF(ISNUMBER(SEARCH("R", 'Dry_Litterbag Placem_Collection'!$V151)),"YES","NO")</f>
        <v>NO</v>
      </c>
      <c r="AJ444" s="245" t="str">
        <f>IF(ISNUMBER(SEARCH("C", 'Dry_Litterbag Placem_Collection'!$U151)),"YES","NO")</f>
        <v>NO</v>
      </c>
      <c r="AK444" s="245" t="str">
        <f>IF(ISNUMBER(SEARCH("H", 'Dry_Litterbag Placem_Collection'!$U151)),"YES","NO")</f>
        <v>NO</v>
      </c>
      <c r="AL444" s="245" t="str">
        <f>IF(ISNUMBER(SEARCH("R", 'Dry_Litterbag Placem_Collection'!$U151)),"YES","NO")</f>
        <v>NO</v>
      </c>
    </row>
    <row r="445" spans="2:38">
      <c r="B445" t="str">
        <f>Dryseason!B591</f>
        <v>Dry</v>
      </c>
      <c r="C445" s="253">
        <f>Dryseason!C591</f>
        <v>150</v>
      </c>
      <c r="D445" t="s">
        <v>3124</v>
      </c>
      <c r="E445" t="s">
        <v>25</v>
      </c>
      <c r="F445" s="375">
        <v>6</v>
      </c>
      <c r="G445" s="376">
        <f>IF('Dry_Litterbag Placem_Collection'!E152="","",'Dry_Litterbag Placem_Collection'!E152)</f>
        <v>42939</v>
      </c>
      <c r="H445" s="92" t="str">
        <f>Dryseason!L591</f>
        <v>G843</v>
      </c>
      <c r="I445" t="str">
        <f>Dryseason!L811</f>
        <v>R316</v>
      </c>
      <c r="J445">
        <f>IFERROR(INDEX('Green_rooibos initial weight'!$C$5:$C$2000,MATCH(H445, 'Green_rooibos initial weight'!$A$5:$A$2000,0)),"")</f>
        <v>1.964</v>
      </c>
      <c r="K445">
        <f>IFERROR(INDEX('Green_rooibos initial weight'!$C$5:$C$2000,MATCH(I445, 'Green_rooibos initial weight'!$A$5:$A$2000,0)),"")</f>
        <v>2.1779999999999999</v>
      </c>
      <c r="L445" s="194">
        <f t="shared" si="69"/>
        <v>1.7141999999999999</v>
      </c>
      <c r="M445" s="233">
        <f>AVERAGE(Ashed_controlls!$K$1:$K$11)</f>
        <v>5.5147656768714146</v>
      </c>
      <c r="N445" s="194">
        <f t="shared" si="65"/>
        <v>1.6196658867670701</v>
      </c>
      <c r="O445" s="194">
        <f t="shared" si="70"/>
        <v>1.9281999999999999</v>
      </c>
      <c r="P445" s="233">
        <f>AVERAGE(Ashed_controlls!$K$12:$K$14)</f>
        <v>2.2816647271287041</v>
      </c>
      <c r="Q445" s="194">
        <f t="shared" si="66"/>
        <v>1.8842049407315042</v>
      </c>
      <c r="R445" s="376">
        <f>IF('Dry_Litterbag Placem_Collection'!G152="","",'Dry_Litterbag Placem_Collection'!G152)</f>
        <v>43010</v>
      </c>
      <c r="S445" s="194" t="str">
        <f>IFERROR(INDEX('Both teabags AfterDry'!$D$3:$D$2000,MATCH(H445,'Both teabags AfterDry'!$A$3:$A$2000,0)),"")</f>
        <v/>
      </c>
      <c r="T445" s="194" t="str">
        <f>IFERROR(INDEX('Both teabags AfterDry'!$D$3:$D$2000,MATCH(I445,'Both teabags AfterDry'!$A$3:$A$2000,0)),"")</f>
        <v/>
      </c>
      <c r="U445" s="194" t="str">
        <f t="shared" si="71"/>
        <v/>
      </c>
      <c r="V445" s="194" t="str">
        <f t="shared" si="72"/>
        <v/>
      </c>
      <c r="W445" s="194" t="str">
        <f>IFERROR(INDEX('Ashed teabags dry'!$K$2:$K$2000,MATCH(H445,'Ashed teabags dry'!$A$2:$A$2000,0)),"")</f>
        <v/>
      </c>
      <c r="X445" s="194" t="str">
        <f>IFERROR(INDEX('Ashed teabags dry'!$K$2:$K$2000,MATCH(I445,'Ashed teabags dry'!$A$2:$A$2000,0)),"")</f>
        <v/>
      </c>
      <c r="Y445" s="194" t="str">
        <f t="shared" si="67"/>
        <v/>
      </c>
      <c r="Z445" s="194" t="str">
        <f t="shared" si="67"/>
        <v/>
      </c>
      <c r="AA445" s="194" t="str">
        <f t="shared" si="73"/>
        <v/>
      </c>
      <c r="AB445" s="194" t="str">
        <f t="shared" si="74"/>
        <v/>
      </c>
      <c r="AC445" s="194" t="str">
        <f t="shared" si="68"/>
        <v/>
      </c>
      <c r="AD445">
        <f t="shared" si="75"/>
        <v>71</v>
      </c>
      <c r="AE445" s="194" t="str">
        <f t="shared" si="76"/>
        <v/>
      </c>
      <c r="AF445" s="194" t="str">
        <f t="shared" si="77"/>
        <v/>
      </c>
      <c r="AG445" s="245" t="str">
        <f>IF(ISNUMBER(SEARCH("C", 'Dry_Litterbag Placem_Collection'!$V152)),"YES","NO")</f>
        <v>NO</v>
      </c>
      <c r="AH445" s="245" t="str">
        <f>IF(ISNUMBER(SEARCH("H", 'Dry_Litterbag Placem_Collection'!$V152)),"YES","NO")</f>
        <v>NO</v>
      </c>
      <c r="AI445" s="245" t="str">
        <f>IF(ISNUMBER(SEARCH("R", 'Dry_Litterbag Placem_Collection'!$V152)),"YES","NO")</f>
        <v>NO</v>
      </c>
      <c r="AJ445" s="245" t="str">
        <f>IF(ISNUMBER(SEARCH("C", 'Dry_Litterbag Placem_Collection'!$U152)),"YES","NO")</f>
        <v>NO</v>
      </c>
      <c r="AK445" s="245" t="str">
        <f>IF(ISNUMBER(SEARCH("H", 'Dry_Litterbag Placem_Collection'!$U152)),"YES","NO")</f>
        <v>NO</v>
      </c>
      <c r="AL445" s="245" t="str">
        <f>IF(ISNUMBER(SEARCH("R", 'Dry_Litterbag Placem_Collection'!$U152)),"YES","NO")</f>
        <v>NO</v>
      </c>
    </row>
    <row r="446" spans="2:38">
      <c r="B446" t="str">
        <f>Dryseason!B592</f>
        <v>Dry</v>
      </c>
      <c r="C446" s="253">
        <f>Dryseason!C592</f>
        <v>151</v>
      </c>
      <c r="D446" t="s">
        <v>3124</v>
      </c>
      <c r="E446" t="s">
        <v>25</v>
      </c>
      <c r="F446" s="375">
        <v>7</v>
      </c>
      <c r="G446" s="376" t="str">
        <f>IF('Dry_Litterbag Placem_Collection'!E153="","",'Dry_Litterbag Placem_Collection'!E153)</f>
        <v/>
      </c>
      <c r="H446" s="92" t="str">
        <f>Dryseason!L592</f>
        <v/>
      </c>
      <c r="I446" t="str">
        <f>Dryseason!L812</f>
        <v/>
      </c>
      <c r="J446" t="str">
        <f>IFERROR(INDEX('Green_rooibos initial weight'!$C$5:$C$2000,MATCH(H446, 'Green_rooibos initial weight'!$A$5:$A$2000,0)),"")</f>
        <v/>
      </c>
      <c r="K446" t="str">
        <f>IFERROR(INDEX('Green_rooibos initial weight'!$C$5:$C$2000,MATCH(I446, 'Green_rooibos initial weight'!$A$5:$A$2000,0)),"")</f>
        <v/>
      </c>
      <c r="L446" s="194" t="str">
        <f t="shared" si="69"/>
        <v/>
      </c>
      <c r="M446" s="233">
        <f>AVERAGE(Ashed_controlls!$K$1:$K$11)</f>
        <v>5.5147656768714146</v>
      </c>
      <c r="N446" s="194" t="str">
        <f t="shared" si="65"/>
        <v/>
      </c>
      <c r="O446" s="194" t="str">
        <f t="shared" si="70"/>
        <v/>
      </c>
      <c r="P446" s="233">
        <f>AVERAGE(Ashed_controlls!$K$12:$K$14)</f>
        <v>2.2816647271287041</v>
      </c>
      <c r="Q446" s="194" t="str">
        <f t="shared" si="66"/>
        <v/>
      </c>
      <c r="R446" s="376" t="str">
        <f>IF('Dry_Litterbag Placem_Collection'!G153="","",'Dry_Litterbag Placem_Collection'!G153)</f>
        <v/>
      </c>
      <c r="S446" s="194" t="str">
        <f>IFERROR(INDEX('Both teabags AfterDry'!$D$3:$D$2000,MATCH(H446,'Both teabags AfterDry'!$A$3:$A$2000,0)),"")</f>
        <v/>
      </c>
      <c r="T446" s="194" t="str">
        <f>IFERROR(INDEX('Both teabags AfterDry'!$D$3:$D$2000,MATCH(I446,'Both teabags AfterDry'!$A$3:$A$2000,0)),"")</f>
        <v/>
      </c>
      <c r="U446" s="194" t="str">
        <f t="shared" si="71"/>
        <v/>
      </c>
      <c r="V446" s="194" t="str">
        <f t="shared" si="72"/>
        <v/>
      </c>
      <c r="W446" s="194" t="str">
        <f>IFERROR(INDEX('Ashed teabags dry'!$K$2:$K$2000,MATCH(H446,'Ashed teabags dry'!$A$2:$A$2000,0)),"")</f>
        <v/>
      </c>
      <c r="X446" s="194" t="str">
        <f>IFERROR(INDEX('Ashed teabags dry'!$K$2:$K$2000,MATCH(I446,'Ashed teabags dry'!$A$2:$A$2000,0)),"")</f>
        <v/>
      </c>
      <c r="Y446" s="194" t="str">
        <f t="shared" si="67"/>
        <v/>
      </c>
      <c r="Z446" s="194" t="str">
        <f t="shared" si="67"/>
        <v/>
      </c>
      <c r="AA446" s="194" t="str">
        <f t="shared" si="73"/>
        <v/>
      </c>
      <c r="AB446" s="194" t="str">
        <f t="shared" si="74"/>
        <v/>
      </c>
      <c r="AC446" s="194" t="str">
        <f t="shared" si="68"/>
        <v/>
      </c>
      <c r="AD446" t="str">
        <f t="shared" si="75"/>
        <v/>
      </c>
      <c r="AE446" s="194" t="str">
        <f t="shared" si="76"/>
        <v/>
      </c>
      <c r="AF446" s="194" t="str">
        <f t="shared" si="77"/>
        <v/>
      </c>
      <c r="AG446" s="245" t="str">
        <f>IF(ISNUMBER(SEARCH("C", 'Dry_Litterbag Placem_Collection'!$V153)),"YES","NO")</f>
        <v>NO</v>
      </c>
      <c r="AH446" s="245" t="str">
        <f>IF(ISNUMBER(SEARCH("H", 'Dry_Litterbag Placem_Collection'!$V153)),"YES","NO")</f>
        <v>NO</v>
      </c>
      <c r="AI446" s="245" t="str">
        <f>IF(ISNUMBER(SEARCH("R", 'Dry_Litterbag Placem_Collection'!$V153)),"YES","NO")</f>
        <v>NO</v>
      </c>
      <c r="AJ446" s="245" t="str">
        <f>IF(ISNUMBER(SEARCH("C", 'Dry_Litterbag Placem_Collection'!$U153)),"YES","NO")</f>
        <v>NO</v>
      </c>
      <c r="AK446" s="245" t="str">
        <f>IF(ISNUMBER(SEARCH("H", 'Dry_Litterbag Placem_Collection'!$U153)),"YES","NO")</f>
        <v>NO</v>
      </c>
      <c r="AL446" s="245" t="str">
        <f>IF(ISNUMBER(SEARCH("R", 'Dry_Litterbag Placem_Collection'!$U153)),"YES","NO")</f>
        <v>NO</v>
      </c>
    </row>
    <row r="447" spans="2:38">
      <c r="B447" t="str">
        <f>Dryseason!B593</f>
        <v>Dry</v>
      </c>
      <c r="C447" s="253">
        <f>Dryseason!C593</f>
        <v>152</v>
      </c>
      <c r="D447" t="s">
        <v>3124</v>
      </c>
      <c r="E447" t="s">
        <v>25</v>
      </c>
      <c r="F447" s="375">
        <v>8</v>
      </c>
      <c r="G447" s="376">
        <f>IF('Dry_Litterbag Placem_Collection'!E154="","",'Dry_Litterbag Placem_Collection'!E154)</f>
        <v>42939</v>
      </c>
      <c r="H447" s="92" t="str">
        <f>Dryseason!L593</f>
        <v>G617</v>
      </c>
      <c r="I447" t="str">
        <f>Dryseason!L813</f>
        <v>R635</v>
      </c>
      <c r="J447">
        <f>IFERROR(INDEX('Green_rooibos initial weight'!$C$5:$C$2000,MATCH(H447, 'Green_rooibos initial weight'!$A$5:$A$2000,0)),"")</f>
        <v>2.0880000000000001</v>
      </c>
      <c r="K447">
        <f>IFERROR(INDEX('Green_rooibos initial weight'!$C$5:$C$2000,MATCH(I447, 'Green_rooibos initial weight'!$A$5:$A$2000,0)),"")</f>
        <v>2.1320000000000001</v>
      </c>
      <c r="L447" s="194">
        <f t="shared" si="69"/>
        <v>1.8382000000000001</v>
      </c>
      <c r="M447" s="233">
        <f>AVERAGE(Ashed_controlls!$K$1:$K$11)</f>
        <v>5.5147656768714146</v>
      </c>
      <c r="N447" s="194">
        <f t="shared" si="65"/>
        <v>1.7368275773277497</v>
      </c>
      <c r="O447" s="194">
        <f t="shared" si="70"/>
        <v>1.8822000000000001</v>
      </c>
      <c r="P447" s="233">
        <f>AVERAGE(Ashed_controlls!$K$12:$K$14)</f>
        <v>2.2816647271287041</v>
      </c>
      <c r="Q447" s="194">
        <f t="shared" si="66"/>
        <v>1.8392545065059835</v>
      </c>
      <c r="R447" s="376">
        <f>IF('Dry_Litterbag Placem_Collection'!G154="","",'Dry_Litterbag Placem_Collection'!G154)</f>
        <v>43010</v>
      </c>
      <c r="S447" s="194">
        <f>IFERROR(INDEX('Both teabags AfterDry'!$D$3:$D$2000,MATCH(H447,'Both teabags AfterDry'!$A$3:$A$2000,0)),"")</f>
        <v>1.3632</v>
      </c>
      <c r="T447" s="194">
        <f>IFERROR(INDEX('Both teabags AfterDry'!$D$3:$D$2000,MATCH(I447,'Both teabags AfterDry'!$A$3:$A$2000,0)),"")</f>
        <v>1.9524999999999999</v>
      </c>
      <c r="U447" s="194">
        <f t="shared" si="71"/>
        <v>1.2125999999999999</v>
      </c>
      <c r="V447" s="194">
        <f t="shared" si="72"/>
        <v>1.8018999999999998</v>
      </c>
      <c r="W447" s="194">
        <f>IFERROR(INDEX('Ashed teabags dry'!$K$2:$K$2000,MATCH(H447,'Ashed teabags dry'!$A$2:$A$2000,0)),"")</f>
        <v>7.889033376679512</v>
      </c>
      <c r="X447" s="194">
        <f>IFERROR(INDEX('Ashed teabags dry'!$K$2:$K$2000,MATCH(I447,'Ashed teabags dry'!$A$2:$A$2000,0)),"")</f>
        <v>3.6981509245371296</v>
      </c>
      <c r="Y447" s="194">
        <f t="shared" si="67"/>
        <v>1.1169375812743843</v>
      </c>
      <c r="Z447" s="194">
        <f t="shared" si="67"/>
        <v>1.7352630184907654</v>
      </c>
      <c r="AA447" s="194">
        <f t="shared" si="73"/>
        <v>0.35690934675687069</v>
      </c>
      <c r="AB447" s="194">
        <f t="shared" si="74"/>
        <v>0.23398332471471811</v>
      </c>
      <c r="AC447" s="194">
        <f t="shared" si="68"/>
        <v>0.94345997922127156</v>
      </c>
      <c r="AD447">
        <f t="shared" si="75"/>
        <v>71</v>
      </c>
      <c r="AE447" s="194">
        <f t="shared" si="76"/>
        <v>0.57611716537188751</v>
      </c>
      <c r="AF447" s="194">
        <f t="shared" si="77"/>
        <v>3.8957564432233116E-3</v>
      </c>
      <c r="AG447" s="245" t="str">
        <f>IF(ISNUMBER(SEARCH("C", 'Dry_Litterbag Placem_Collection'!$V154)),"YES","NO")</f>
        <v>NO</v>
      </c>
      <c r="AH447" s="245" t="str">
        <f>IF(ISNUMBER(SEARCH("H", 'Dry_Litterbag Placem_Collection'!$V154)),"YES","NO")</f>
        <v>NO</v>
      </c>
      <c r="AI447" s="245" t="str">
        <f>IF(ISNUMBER(SEARCH("R", 'Dry_Litterbag Placem_Collection'!$V154)),"YES","NO")</f>
        <v>NO</v>
      </c>
      <c r="AJ447" s="245" t="str">
        <f>IF(ISNUMBER(SEARCH("C", 'Dry_Litterbag Placem_Collection'!$U154)),"YES","NO")</f>
        <v>NO</v>
      </c>
      <c r="AK447" s="245" t="str">
        <f>IF(ISNUMBER(SEARCH("H", 'Dry_Litterbag Placem_Collection'!$U154)),"YES","NO")</f>
        <v>NO</v>
      </c>
      <c r="AL447" s="245" t="str">
        <f>IF(ISNUMBER(SEARCH("R", 'Dry_Litterbag Placem_Collection'!$U154)),"YES","NO")</f>
        <v>NO</v>
      </c>
    </row>
    <row r="448" spans="2:38">
      <c r="B448" t="str">
        <f>Dryseason!B594</f>
        <v>Dry</v>
      </c>
      <c r="C448" s="253">
        <f>Dryseason!C594</f>
        <v>153</v>
      </c>
      <c r="D448" t="s">
        <v>3125</v>
      </c>
      <c r="E448" t="s">
        <v>25</v>
      </c>
      <c r="F448" s="374">
        <v>1</v>
      </c>
      <c r="G448" s="376">
        <f>IF('Dry_Litterbag Placem_Collection'!E155="","",'Dry_Litterbag Placem_Collection'!E155)</f>
        <v>42939</v>
      </c>
      <c r="H448" s="92" t="str">
        <f>Dryseason!L594</f>
        <v>G19</v>
      </c>
      <c r="I448" t="str">
        <f>Dryseason!L814</f>
        <v>R651</v>
      </c>
      <c r="J448">
        <f>IFERROR(INDEX('Green_rooibos initial weight'!$C$5:$C$2000,MATCH(H448, 'Green_rooibos initial weight'!$A$5:$A$2000,0)),"")</f>
        <v>2.0659999999999998</v>
      </c>
      <c r="K448">
        <f>IFERROR(INDEX('Green_rooibos initial weight'!$C$5:$C$2000,MATCH(I448, 'Green_rooibos initial weight'!$A$5:$A$2000,0)),"")</f>
        <v>2.2349999999999999</v>
      </c>
      <c r="L448" s="194">
        <f t="shared" si="69"/>
        <v>1.8161999999999998</v>
      </c>
      <c r="M448" s="233">
        <f>AVERAGE(Ashed_controlls!$K$1:$K$11)</f>
        <v>5.5147656768714146</v>
      </c>
      <c r="N448" s="194">
        <f t="shared" si="65"/>
        <v>1.7160408257766613</v>
      </c>
      <c r="O448" s="194">
        <f t="shared" si="70"/>
        <v>1.9851999999999999</v>
      </c>
      <c r="P448" s="233">
        <f>AVERAGE(Ashed_controlls!$K$12:$K$14)</f>
        <v>2.2816647271287041</v>
      </c>
      <c r="Q448" s="194">
        <f t="shared" si="66"/>
        <v>1.9399043918370409</v>
      </c>
      <c r="R448" s="376">
        <f>IF('Dry_Litterbag Placem_Collection'!G155="","",'Dry_Litterbag Placem_Collection'!G155)</f>
        <v>43010</v>
      </c>
      <c r="S448" s="194">
        <f>IFERROR(INDEX('Both teabags AfterDry'!$D$3:$D$2000,MATCH(H448,'Both teabags AfterDry'!$A$3:$A$2000,0)),"")</f>
        <v>1.0404</v>
      </c>
      <c r="T448" s="194">
        <f>IFERROR(INDEX('Both teabags AfterDry'!$D$3:$D$2000,MATCH(I448,'Both teabags AfterDry'!$A$3:$A$2000,0)),"")</f>
        <v>2.0049000000000001</v>
      </c>
      <c r="U448" s="194">
        <f t="shared" si="71"/>
        <v>0.88979999999999992</v>
      </c>
      <c r="V448" s="194">
        <f t="shared" si="72"/>
        <v>1.8543000000000001</v>
      </c>
      <c r="W448" s="194">
        <f>IFERROR(INDEX('Ashed teabags dry'!$K$2:$K$2000,MATCH(H448,'Ashed teabags dry'!$A$2:$A$2000,0)),"")</f>
        <v>12.463485881207744</v>
      </c>
      <c r="X448" s="194">
        <f>IFERROR(INDEX('Ashed teabags dry'!$K$2:$K$2000,MATCH(I448,'Ashed teabags dry'!$A$2:$A$2000,0)),"")</f>
        <v>4.6750818139321764</v>
      </c>
      <c r="Y448" s="194">
        <f t="shared" si="67"/>
        <v>0.77889990262901343</v>
      </c>
      <c r="Z448" s="194">
        <f t="shared" si="67"/>
        <v>1.7676099579242557</v>
      </c>
      <c r="AA448" s="194">
        <f t="shared" si="73"/>
        <v>0.54610642653184438</v>
      </c>
      <c r="AB448" s="194">
        <f t="shared" si="74"/>
        <v>0.35801751478097166</v>
      </c>
      <c r="AC448" s="194">
        <f t="shared" si="68"/>
        <v>0.91118405905064903</v>
      </c>
      <c r="AD448">
        <f t="shared" si="75"/>
        <v>71</v>
      </c>
      <c r="AE448" s="194">
        <f t="shared" si="76"/>
        <v>0.35141754568664563</v>
      </c>
      <c r="AF448" s="194">
        <f t="shared" si="77"/>
        <v>4.015795282974877E-3</v>
      </c>
      <c r="AG448" s="245" t="str">
        <f>IF(ISNUMBER(SEARCH("C", 'Dry_Litterbag Placem_Collection'!$V155)),"YES","NO")</f>
        <v>NO</v>
      </c>
      <c r="AH448" s="245" t="str">
        <f>IF(ISNUMBER(SEARCH("H", 'Dry_Litterbag Placem_Collection'!$V155)),"YES","NO")</f>
        <v>NO</v>
      </c>
      <c r="AI448" s="245" t="str">
        <f>IF(ISNUMBER(SEARCH("R", 'Dry_Litterbag Placem_Collection'!$V155)),"YES","NO")</f>
        <v>NO</v>
      </c>
      <c r="AJ448" s="245" t="str">
        <f>IF(ISNUMBER(SEARCH("C", 'Dry_Litterbag Placem_Collection'!$U155)),"YES","NO")</f>
        <v>NO</v>
      </c>
      <c r="AK448" s="245" t="str">
        <f>IF(ISNUMBER(SEARCH("H", 'Dry_Litterbag Placem_Collection'!$U155)),"YES","NO")</f>
        <v>NO</v>
      </c>
      <c r="AL448" s="245" t="str">
        <f>IF(ISNUMBER(SEARCH("R", 'Dry_Litterbag Placem_Collection'!$U155)),"YES","NO")</f>
        <v>NO</v>
      </c>
    </row>
    <row r="449" spans="2:38">
      <c r="B449" t="str">
        <f>Dryseason!B595</f>
        <v>Dry</v>
      </c>
      <c r="C449" s="253">
        <f>Dryseason!C595</f>
        <v>154</v>
      </c>
      <c r="D449" t="s">
        <v>3125</v>
      </c>
      <c r="E449" t="s">
        <v>25</v>
      </c>
      <c r="F449" s="374">
        <v>2</v>
      </c>
      <c r="G449" s="376">
        <f>IF('Dry_Litterbag Placem_Collection'!E156="","",'Dry_Litterbag Placem_Collection'!E156)</f>
        <v>42939</v>
      </c>
      <c r="H449" s="92" t="str">
        <f>Dryseason!L595</f>
        <v>G275</v>
      </c>
      <c r="I449" t="str">
        <f>Dryseason!L815</f>
        <v>R367</v>
      </c>
      <c r="J449">
        <f>IFERROR(INDEX('Green_rooibos initial weight'!$C$5:$C$2000,MATCH(H449, 'Green_rooibos initial weight'!$A$5:$A$2000,0)),"")</f>
        <v>2.097</v>
      </c>
      <c r="K449">
        <f>IFERROR(INDEX('Green_rooibos initial weight'!$C$5:$C$2000,MATCH(I449, 'Green_rooibos initial weight'!$A$5:$A$2000,0)),"")</f>
        <v>2.165</v>
      </c>
      <c r="L449" s="194">
        <f t="shared" si="69"/>
        <v>1.8472</v>
      </c>
      <c r="M449" s="233">
        <f>AVERAGE(Ashed_controlls!$K$1:$K$11)</f>
        <v>5.5147656768714146</v>
      </c>
      <c r="N449" s="194">
        <f t="shared" si="65"/>
        <v>1.7453312484168313</v>
      </c>
      <c r="O449" s="194">
        <f t="shared" si="70"/>
        <v>1.9152</v>
      </c>
      <c r="P449" s="233">
        <f>AVERAGE(Ashed_controlls!$K$12:$K$14)</f>
        <v>2.2816647271287041</v>
      </c>
      <c r="Q449" s="194">
        <f t="shared" si="66"/>
        <v>1.8715015571460312</v>
      </c>
      <c r="R449" s="376">
        <f>IF('Dry_Litterbag Placem_Collection'!G156="","",'Dry_Litterbag Placem_Collection'!G156)</f>
        <v>43010</v>
      </c>
      <c r="S449" s="194">
        <f>IFERROR(INDEX('Both teabags AfterDry'!$D$3:$D$2000,MATCH(H449,'Both teabags AfterDry'!$A$3:$A$2000,0)),"")</f>
        <v>1.2171000000000001</v>
      </c>
      <c r="T449" s="194">
        <f>IFERROR(INDEX('Both teabags AfterDry'!$D$3:$D$2000,MATCH(I449,'Both teabags AfterDry'!$A$3:$A$2000,0)),"")</f>
        <v>1.8496999999999999</v>
      </c>
      <c r="U449" s="194">
        <f t="shared" si="71"/>
        <v>1.0665</v>
      </c>
      <c r="V449" s="194">
        <f t="shared" si="72"/>
        <v>1.6990999999999998</v>
      </c>
      <c r="W449" s="194">
        <f>IFERROR(INDEX('Ashed teabags dry'!$K$2:$K$2000,MATCH(H449,'Ashed teabags dry'!$A$2:$A$2000,0)),"")</f>
        <v>17.669902912621797</v>
      </c>
      <c r="X449" s="194">
        <f>IFERROR(INDEX('Ashed teabags dry'!$K$2:$K$2000,MATCH(I449,'Ashed teabags dry'!$A$2:$A$2000,0)),"")</f>
        <v>2.917264466762604</v>
      </c>
      <c r="Y449" s="194">
        <f t="shared" si="67"/>
        <v>0.87805048543688857</v>
      </c>
      <c r="Z449" s="194">
        <f t="shared" si="67"/>
        <v>1.6495327594452365</v>
      </c>
      <c r="AA449" s="194">
        <f t="shared" si="73"/>
        <v>0.49691470531261184</v>
      </c>
      <c r="AB449" s="194">
        <f t="shared" si="74"/>
        <v>0.32576831037121351</v>
      </c>
      <c r="AC449" s="194">
        <f t="shared" si="68"/>
        <v>0.88139534436760569</v>
      </c>
      <c r="AD449">
        <f t="shared" si="75"/>
        <v>71</v>
      </c>
      <c r="AE449" s="194">
        <f t="shared" si="76"/>
        <v>0.40984001744345389</v>
      </c>
      <c r="AF449" s="194">
        <f t="shared" si="77"/>
        <v>6.3757371944661535E-3</v>
      </c>
      <c r="AG449" s="245" t="str">
        <f>IF(ISNUMBER(SEARCH("C", 'Dry_Litterbag Placem_Collection'!$V156)),"YES","NO")</f>
        <v>NO</v>
      </c>
      <c r="AH449" s="245" t="str">
        <f>IF(ISNUMBER(SEARCH("H", 'Dry_Litterbag Placem_Collection'!$V156)),"YES","NO")</f>
        <v>NO</v>
      </c>
      <c r="AI449" s="245" t="str">
        <f>IF(ISNUMBER(SEARCH("R", 'Dry_Litterbag Placem_Collection'!$V156)),"YES","NO")</f>
        <v>NO</v>
      </c>
      <c r="AJ449" s="245" t="str">
        <f>IF(ISNUMBER(SEARCH("C", 'Dry_Litterbag Placem_Collection'!$U156)),"YES","NO")</f>
        <v>NO</v>
      </c>
      <c r="AK449" s="245" t="str">
        <f>IF(ISNUMBER(SEARCH("H", 'Dry_Litterbag Placem_Collection'!$U156)),"YES","NO")</f>
        <v>NO</v>
      </c>
      <c r="AL449" s="245" t="str">
        <f>IF(ISNUMBER(SEARCH("R", 'Dry_Litterbag Placem_Collection'!$U156)),"YES","NO")</f>
        <v>NO</v>
      </c>
    </row>
    <row r="450" spans="2:38">
      <c r="B450" t="str">
        <f>Dryseason!B596</f>
        <v>Dry</v>
      </c>
      <c r="C450" s="253">
        <f>Dryseason!C596</f>
        <v>155</v>
      </c>
      <c r="D450" t="s">
        <v>3125</v>
      </c>
      <c r="E450" t="s">
        <v>25</v>
      </c>
      <c r="F450" s="374">
        <v>3</v>
      </c>
      <c r="G450" s="376">
        <f>IF('Dry_Litterbag Placem_Collection'!E157="","",'Dry_Litterbag Placem_Collection'!E157)</f>
        <v>42939</v>
      </c>
      <c r="H450" s="92" t="str">
        <f>Dryseason!L596</f>
        <v>G289</v>
      </c>
      <c r="I450" t="str">
        <f>Dryseason!L816</f>
        <v>R617</v>
      </c>
      <c r="J450">
        <f>IFERROR(INDEX('Green_rooibos initial weight'!$C$5:$C$2000,MATCH(H450, 'Green_rooibos initial weight'!$A$5:$A$2000,0)),"")</f>
        <v>2.093</v>
      </c>
      <c r="K450">
        <f>IFERROR(INDEX('Green_rooibos initial weight'!$C$5:$C$2000,MATCH(I450, 'Green_rooibos initial weight'!$A$5:$A$2000,0)),"")</f>
        <v>2.2010000000000001</v>
      </c>
      <c r="L450" s="194">
        <f t="shared" si="69"/>
        <v>1.8431999999999999</v>
      </c>
      <c r="M450" s="233">
        <f>AVERAGE(Ashed_controlls!$K$1:$K$11)</f>
        <v>5.5147656768714146</v>
      </c>
      <c r="N450" s="194">
        <f t="shared" si="65"/>
        <v>1.741551839043906</v>
      </c>
      <c r="O450" s="194">
        <f t="shared" si="70"/>
        <v>1.9512</v>
      </c>
      <c r="P450" s="233">
        <f>AVERAGE(Ashed_controlls!$K$12:$K$14)</f>
        <v>2.2816647271287041</v>
      </c>
      <c r="Q450" s="194">
        <f t="shared" si="66"/>
        <v>1.9066801578442647</v>
      </c>
      <c r="R450" s="376">
        <f>IF('Dry_Litterbag Placem_Collection'!G157="","",'Dry_Litterbag Placem_Collection'!G157)</f>
        <v>43010</v>
      </c>
      <c r="S450" s="194">
        <f>IFERROR(INDEX('Both teabags AfterDry'!$D$3:$D$2000,MATCH(H450,'Both teabags AfterDry'!$A$3:$A$2000,0)),"")</f>
        <v>1.2491000000000001</v>
      </c>
      <c r="T450" s="194">
        <f>IFERROR(INDEX('Both teabags AfterDry'!$D$3:$D$2000,MATCH(I450,'Both teabags AfterDry'!$A$3:$A$2000,0)),"")</f>
        <v>1.8621000000000001</v>
      </c>
      <c r="U450" s="194">
        <f t="shared" si="71"/>
        <v>1.0985</v>
      </c>
      <c r="V450" s="194">
        <f t="shared" si="72"/>
        <v>1.7115</v>
      </c>
      <c r="W450" s="194">
        <f>IFERROR(INDEX('Ashed teabags dry'!$K$2:$K$2000,MATCH(H450,'Ashed teabags dry'!$A$2:$A$2000,0)),"")</f>
        <v>10.862152946907919</v>
      </c>
      <c r="X450" s="194">
        <f>IFERROR(INDEX('Ashed teabags dry'!$K$2:$K$2000,MATCH(I450,'Ashed teabags dry'!$A$2:$A$2000,0)),"")</f>
        <v>2.5172754195451326</v>
      </c>
      <c r="Y450" s="194">
        <f t="shared" si="67"/>
        <v>0.97917924987821658</v>
      </c>
      <c r="Z450" s="194">
        <f t="shared" si="67"/>
        <v>1.6684168311944851</v>
      </c>
      <c r="AA450" s="194">
        <f t="shared" si="73"/>
        <v>0.43775474957106308</v>
      </c>
      <c r="AB450" s="194">
        <f t="shared" si="74"/>
        <v>0.28698411135775159</v>
      </c>
      <c r="AC450" s="194">
        <f t="shared" si="68"/>
        <v>0.87503760100007255</v>
      </c>
      <c r="AD450">
        <f t="shared" si="75"/>
        <v>71</v>
      </c>
      <c r="AE450" s="194">
        <f t="shared" si="76"/>
        <v>0.48010124754030514</v>
      </c>
      <c r="AF450" s="194">
        <f t="shared" si="77"/>
        <v>8.0520633796139461E-3</v>
      </c>
      <c r="AG450" s="245" t="str">
        <f>IF(ISNUMBER(SEARCH("C", 'Dry_Litterbag Placem_Collection'!$V157)),"YES","NO")</f>
        <v>NO</v>
      </c>
      <c r="AH450" s="245" t="str">
        <f>IF(ISNUMBER(SEARCH("H", 'Dry_Litterbag Placem_Collection'!$V157)),"YES","NO")</f>
        <v>NO</v>
      </c>
      <c r="AI450" s="245" t="str">
        <f>IF(ISNUMBER(SEARCH("R", 'Dry_Litterbag Placem_Collection'!$V157)),"YES","NO")</f>
        <v>NO</v>
      </c>
      <c r="AJ450" s="245" t="str">
        <f>IF(ISNUMBER(SEARCH("C", 'Dry_Litterbag Placem_Collection'!$U157)),"YES","NO")</f>
        <v>NO</v>
      </c>
      <c r="AK450" s="245" t="str">
        <f>IF(ISNUMBER(SEARCH("H", 'Dry_Litterbag Placem_Collection'!$U157)),"YES","NO")</f>
        <v>NO</v>
      </c>
      <c r="AL450" s="245" t="str">
        <f>IF(ISNUMBER(SEARCH("R", 'Dry_Litterbag Placem_Collection'!$U157)),"YES","NO")</f>
        <v>NO</v>
      </c>
    </row>
    <row r="451" spans="2:38">
      <c r="B451" t="str">
        <f>Dryseason!B597</f>
        <v>Dry</v>
      </c>
      <c r="C451" s="253">
        <f>Dryseason!C597</f>
        <v>156</v>
      </c>
      <c r="D451" t="s">
        <v>3125</v>
      </c>
      <c r="E451" t="s">
        <v>25</v>
      </c>
      <c r="F451" s="375">
        <v>4</v>
      </c>
      <c r="G451" s="376">
        <f>IF('Dry_Litterbag Placem_Collection'!E158="","",'Dry_Litterbag Placem_Collection'!E158)</f>
        <v>42939</v>
      </c>
      <c r="H451" s="92" t="str">
        <f>Dryseason!L597</f>
        <v>G65</v>
      </c>
      <c r="I451" t="str">
        <f>Dryseason!L817</f>
        <v>R84</v>
      </c>
      <c r="J451">
        <f>IFERROR(INDEX('Green_rooibos initial weight'!$C$5:$C$2000,MATCH(H451, 'Green_rooibos initial weight'!$A$5:$A$2000,0)),"")</f>
        <v>2.0750000000000002</v>
      </c>
      <c r="K451">
        <f>IFERROR(INDEX('Green_rooibos initial weight'!$C$5:$C$2000,MATCH(I451, 'Green_rooibos initial weight'!$A$5:$A$2000,0)),"")</f>
        <v>2.1629999999999998</v>
      </c>
      <c r="L451" s="194">
        <f t="shared" si="69"/>
        <v>1.8252000000000002</v>
      </c>
      <c r="M451" s="233">
        <f>AVERAGE(Ashed_controlls!$K$1:$K$11)</f>
        <v>5.5147656768714146</v>
      </c>
      <c r="N451" s="194">
        <f t="shared" si="65"/>
        <v>1.7245444968657431</v>
      </c>
      <c r="O451" s="194">
        <f t="shared" si="70"/>
        <v>1.9131999999999998</v>
      </c>
      <c r="P451" s="233">
        <f>AVERAGE(Ashed_controlls!$K$12:$K$14)</f>
        <v>2.2816647271287041</v>
      </c>
      <c r="Q451" s="194">
        <f t="shared" si="66"/>
        <v>1.8695471904405734</v>
      </c>
      <c r="R451" s="376">
        <f>IF('Dry_Litterbag Placem_Collection'!G158="","",'Dry_Litterbag Placem_Collection'!G158)</f>
        <v>43010</v>
      </c>
      <c r="S451" s="194">
        <f>IFERROR(INDEX('Both teabags AfterDry'!$D$3:$D$2000,MATCH(H451,'Both teabags AfterDry'!$A$3:$A$2000,0)),"")</f>
        <v>1.0561</v>
      </c>
      <c r="T451" s="194">
        <f>IFERROR(INDEX('Both teabags AfterDry'!$D$3:$D$2000,MATCH(I451,'Both teabags AfterDry'!$A$3:$A$2000,0)),"")</f>
        <v>1.8827</v>
      </c>
      <c r="U451" s="194">
        <f t="shared" si="71"/>
        <v>0.90549999999999997</v>
      </c>
      <c r="V451" s="194">
        <f t="shared" si="72"/>
        <v>1.7321</v>
      </c>
      <c r="W451" s="194">
        <f>IFERROR(INDEX('Ashed teabags dry'!$K$2:$K$2000,MATCH(H451,'Ashed teabags dry'!$A$2:$A$2000,0)),"")</f>
        <v>16.530514175876895</v>
      </c>
      <c r="X451" s="194">
        <f>IFERROR(INDEX('Ashed teabags dry'!$K$2:$K$2000,MATCH(I451,'Ashed teabags dry'!$A$2:$A$2000,0)),"")</f>
        <v>7.2855953372191182</v>
      </c>
      <c r="Y451" s="194">
        <f t="shared" si="67"/>
        <v>0.75581619413743473</v>
      </c>
      <c r="Z451" s="194">
        <f t="shared" si="67"/>
        <v>1.6059062031640277</v>
      </c>
      <c r="AA451" s="194">
        <f t="shared" si="73"/>
        <v>0.56172995506286694</v>
      </c>
      <c r="AB451" s="194">
        <f t="shared" si="74"/>
        <v>0.36826001804596509</v>
      </c>
      <c r="AC451" s="194">
        <f t="shared" si="68"/>
        <v>0.85898136798867497</v>
      </c>
      <c r="AD451">
        <f t="shared" si="75"/>
        <v>71</v>
      </c>
      <c r="AE451" s="194">
        <f t="shared" si="76"/>
        <v>0.33286228614861402</v>
      </c>
      <c r="AF451" s="194">
        <f t="shared" si="77"/>
        <v>6.7996680611456424E-3</v>
      </c>
      <c r="AG451" s="245" t="str">
        <f>IF(ISNUMBER(SEARCH("C", 'Dry_Litterbag Placem_Collection'!$V158)),"YES","NO")</f>
        <v>NO</v>
      </c>
      <c r="AH451" s="245" t="str">
        <f>IF(ISNUMBER(SEARCH("H", 'Dry_Litterbag Placem_Collection'!$V158)),"YES","NO")</f>
        <v>NO</v>
      </c>
      <c r="AI451" s="245" t="str">
        <f>IF(ISNUMBER(SEARCH("R", 'Dry_Litterbag Placem_Collection'!$V158)),"YES","NO")</f>
        <v>NO</v>
      </c>
      <c r="AJ451" s="245" t="str">
        <f>IF(ISNUMBER(SEARCH("C", 'Dry_Litterbag Placem_Collection'!$U158)),"YES","NO")</f>
        <v>NO</v>
      </c>
      <c r="AK451" s="245" t="str">
        <f>IF(ISNUMBER(SEARCH("H", 'Dry_Litterbag Placem_Collection'!$U158)),"YES","NO")</f>
        <v>NO</v>
      </c>
      <c r="AL451" s="245" t="str">
        <f>IF(ISNUMBER(SEARCH("R", 'Dry_Litterbag Placem_Collection'!$U158)),"YES","NO")</f>
        <v>NO</v>
      </c>
    </row>
    <row r="452" spans="2:38">
      <c r="B452" t="str">
        <f>Dryseason!B598</f>
        <v>Dry</v>
      </c>
      <c r="C452" s="253">
        <f>Dryseason!C598</f>
        <v>157</v>
      </c>
      <c r="D452" t="s">
        <v>3125</v>
      </c>
      <c r="E452" t="s">
        <v>25</v>
      </c>
      <c r="F452" s="375">
        <v>5</v>
      </c>
      <c r="G452" s="376">
        <f>IF('Dry_Litterbag Placem_Collection'!E159="","",'Dry_Litterbag Placem_Collection'!E159)</f>
        <v>42939</v>
      </c>
      <c r="H452" s="92" t="str">
        <f>Dryseason!L598</f>
        <v>G33</v>
      </c>
      <c r="I452" t="str">
        <f>Dryseason!L818</f>
        <v>R248</v>
      </c>
      <c r="J452">
        <f>IFERROR(INDEX('Green_rooibos initial weight'!$C$5:$C$2000,MATCH(H452, 'Green_rooibos initial weight'!$A$5:$A$2000,0)),"")</f>
        <v>2.0579999999999998</v>
      </c>
      <c r="K452">
        <f>IFERROR(INDEX('Green_rooibos initial weight'!$C$5:$C$2000,MATCH(I452, 'Green_rooibos initial weight'!$A$5:$A$2000,0)),"")</f>
        <v>2.1829999999999998</v>
      </c>
      <c r="L452" s="194">
        <f t="shared" si="69"/>
        <v>1.8081999999999998</v>
      </c>
      <c r="M452" s="233">
        <f>AVERAGE(Ashed_controlls!$K$1:$K$11)</f>
        <v>5.5147656768714146</v>
      </c>
      <c r="N452" s="194">
        <f t="shared" si="65"/>
        <v>1.7084820070308109</v>
      </c>
      <c r="O452" s="194">
        <f t="shared" si="70"/>
        <v>1.9331999999999998</v>
      </c>
      <c r="P452" s="233">
        <f>AVERAGE(Ashed_controlls!$K$12:$K$14)</f>
        <v>2.2816647271287041</v>
      </c>
      <c r="Q452" s="194">
        <f t="shared" si="66"/>
        <v>1.8890908574951477</v>
      </c>
      <c r="R452" s="376">
        <f>IF('Dry_Litterbag Placem_Collection'!G159="","",'Dry_Litterbag Placem_Collection'!G159)</f>
        <v>43010</v>
      </c>
      <c r="S452" s="194" t="str">
        <f>IFERROR(INDEX('Both teabags AfterDry'!$D$3:$D$2000,MATCH(H452,'Both teabags AfterDry'!$A$3:$A$2000,0)),"")</f>
        <v/>
      </c>
      <c r="T452" s="194" t="str">
        <f>IFERROR(INDEX('Both teabags AfterDry'!$D$3:$D$2000,MATCH(I452,'Both teabags AfterDry'!$A$3:$A$2000,0)),"")</f>
        <v/>
      </c>
      <c r="U452" s="194" t="str">
        <f t="shared" si="71"/>
        <v/>
      </c>
      <c r="V452" s="194" t="str">
        <f t="shared" si="72"/>
        <v/>
      </c>
      <c r="W452" s="194" t="str">
        <f>IFERROR(INDEX('Ashed teabags dry'!$K$2:$K$2000,MATCH(H452,'Ashed teabags dry'!$A$2:$A$2000,0)),"")</f>
        <v/>
      </c>
      <c r="X452" s="194" t="str">
        <f>IFERROR(INDEX('Ashed teabags dry'!$K$2:$K$2000,MATCH(I452,'Ashed teabags dry'!$A$2:$A$2000,0)),"")</f>
        <v/>
      </c>
      <c r="Y452" s="194" t="str">
        <f t="shared" si="67"/>
        <v/>
      </c>
      <c r="Z452" s="194" t="str">
        <f t="shared" si="67"/>
        <v/>
      </c>
      <c r="AA452" s="194" t="str">
        <f t="shared" si="73"/>
        <v/>
      </c>
      <c r="AB452" s="194" t="str">
        <f t="shared" si="74"/>
        <v/>
      </c>
      <c r="AC452" s="194" t="str">
        <f t="shared" si="68"/>
        <v/>
      </c>
      <c r="AD452">
        <f t="shared" si="75"/>
        <v>71</v>
      </c>
      <c r="AE452" s="194" t="str">
        <f t="shared" si="76"/>
        <v/>
      </c>
      <c r="AF452" s="194" t="str">
        <f t="shared" si="77"/>
        <v/>
      </c>
      <c r="AG452" s="245" t="str">
        <f>IF(ISNUMBER(SEARCH("C", 'Dry_Litterbag Placem_Collection'!$V159)),"YES","NO")</f>
        <v>NO</v>
      </c>
      <c r="AH452" s="245" t="str">
        <f>IF(ISNUMBER(SEARCH("H", 'Dry_Litterbag Placem_Collection'!$V159)),"YES","NO")</f>
        <v>NO</v>
      </c>
      <c r="AI452" s="245" t="str">
        <f>IF(ISNUMBER(SEARCH("R", 'Dry_Litterbag Placem_Collection'!$V159)),"YES","NO")</f>
        <v>NO</v>
      </c>
      <c r="AJ452" s="245" t="str">
        <f>IF(ISNUMBER(SEARCH("C", 'Dry_Litterbag Placem_Collection'!$U159)),"YES","NO")</f>
        <v>NO</v>
      </c>
      <c r="AK452" s="245" t="str">
        <f>IF(ISNUMBER(SEARCH("H", 'Dry_Litterbag Placem_Collection'!$U159)),"YES","NO")</f>
        <v>NO</v>
      </c>
      <c r="AL452" s="245" t="str">
        <f>IF(ISNUMBER(SEARCH("R", 'Dry_Litterbag Placem_Collection'!$U159)),"YES","NO")</f>
        <v>NO</v>
      </c>
    </row>
    <row r="453" spans="2:38">
      <c r="B453" t="str">
        <f>Dryseason!B599</f>
        <v>Dry</v>
      </c>
      <c r="C453" s="253">
        <f>Dryseason!C599</f>
        <v>158</v>
      </c>
      <c r="D453" t="s">
        <v>3125</v>
      </c>
      <c r="E453" t="s">
        <v>25</v>
      </c>
      <c r="F453" s="375">
        <v>6</v>
      </c>
      <c r="G453" s="376">
        <f>IF('Dry_Litterbag Placem_Collection'!E160="","",'Dry_Litterbag Placem_Collection'!E160)</f>
        <v>42939</v>
      </c>
      <c r="H453" s="92" t="str">
        <f>Dryseason!L599</f>
        <v>G153</v>
      </c>
      <c r="I453" t="str">
        <f>Dryseason!L819</f>
        <v>R238</v>
      </c>
      <c r="J453">
        <f>IFERROR(INDEX('Green_rooibos initial weight'!$C$5:$C$2000,MATCH(H453, 'Green_rooibos initial weight'!$A$5:$A$2000,0)),"")</f>
        <v>2.0529999999999999</v>
      </c>
      <c r="K453">
        <f>IFERROR(INDEX('Green_rooibos initial weight'!$C$5:$C$2000,MATCH(I453, 'Green_rooibos initial weight'!$A$5:$A$2000,0)),"")</f>
        <v>2.2389999999999999</v>
      </c>
      <c r="L453" s="194">
        <f t="shared" si="69"/>
        <v>1.8031999999999999</v>
      </c>
      <c r="M453" s="233">
        <f>AVERAGE(Ashed_controlls!$K$1:$K$11)</f>
        <v>5.5147656768714146</v>
      </c>
      <c r="N453" s="194">
        <f t="shared" si="65"/>
        <v>1.7037577453146546</v>
      </c>
      <c r="O453" s="194">
        <f t="shared" si="70"/>
        <v>1.9891999999999999</v>
      </c>
      <c r="P453" s="233">
        <f>AVERAGE(Ashed_controlls!$K$12:$K$14)</f>
        <v>2.2816647271287041</v>
      </c>
      <c r="Q453" s="194">
        <f t="shared" si="66"/>
        <v>1.9438131252479556</v>
      </c>
      <c r="R453" s="376">
        <f>IF('Dry_Litterbag Placem_Collection'!G160="","",'Dry_Litterbag Placem_Collection'!G160)</f>
        <v>43010</v>
      </c>
      <c r="S453" s="194">
        <f>IFERROR(INDEX('Both teabags AfterDry'!$D$3:$D$2000,MATCH(H453,'Both teabags AfterDry'!$A$3:$A$2000,0)),"")</f>
        <v>0.87609999999999999</v>
      </c>
      <c r="T453" s="194">
        <f>IFERROR(INDEX('Both teabags AfterDry'!$D$3:$D$2000,MATCH(I453,'Both teabags AfterDry'!$A$3:$A$2000,0)),"")</f>
        <v>1.7898000000000001</v>
      </c>
      <c r="U453" s="194">
        <f t="shared" si="71"/>
        <v>0.72550000000000003</v>
      </c>
      <c r="V453" s="194">
        <f t="shared" si="72"/>
        <v>1.6392</v>
      </c>
      <c r="W453" s="194">
        <f>IFERROR(INDEX('Ashed teabags dry'!$K$2:$K$2000,MATCH(H453,'Ashed teabags dry'!$A$2:$A$2000,0)),"")</f>
        <v>71.165940977261897</v>
      </c>
      <c r="X453" s="194">
        <f>IFERROR(INDEX('Ashed teabags dry'!$K$2:$K$2000,MATCH(I453,'Ashed teabags dry'!$A$2:$A$2000,0)),"")</f>
        <v>4.8905449464368154</v>
      </c>
      <c r="Y453" s="194">
        <f t="shared" si="67"/>
        <v>0.20919109820996495</v>
      </c>
      <c r="Z453" s="194">
        <f t="shared" si="67"/>
        <v>1.5590341872380078</v>
      </c>
      <c r="AA453" s="194">
        <f t="shared" si="73"/>
        <v>0.87721781527612019</v>
      </c>
      <c r="AB453" s="194">
        <f t="shared" si="74"/>
        <v>0.57508816393398854</v>
      </c>
      <c r="AC453" s="194">
        <f t="shared" si="68"/>
        <v>0.80204941873676006</v>
      </c>
      <c r="AD453">
        <f t="shared" si="75"/>
        <v>71</v>
      </c>
      <c r="AE453" s="194">
        <f t="shared" si="76"/>
        <v>-4.1826383938385003E-2</v>
      </c>
      <c r="AF453" s="194">
        <f t="shared" si="77"/>
        <v>5.942440788451183E-3</v>
      </c>
      <c r="AG453" s="245" t="str">
        <f>IF(ISNUMBER(SEARCH("C", 'Dry_Litterbag Placem_Collection'!$V160)),"YES","NO")</f>
        <v>NO</v>
      </c>
      <c r="AH453" s="245" t="str">
        <f>IF(ISNUMBER(SEARCH("H", 'Dry_Litterbag Placem_Collection'!$V160)),"YES","NO")</f>
        <v>NO</v>
      </c>
      <c r="AI453" s="245" t="str">
        <f>IF(ISNUMBER(SEARCH("R", 'Dry_Litterbag Placem_Collection'!$V160)),"YES","NO")</f>
        <v>NO</v>
      </c>
      <c r="AJ453" s="245" t="str">
        <f>IF(ISNUMBER(SEARCH("C", 'Dry_Litterbag Placem_Collection'!$U160)),"YES","NO")</f>
        <v>NO</v>
      </c>
      <c r="AK453" s="245" t="str">
        <f>IF(ISNUMBER(SEARCH("H", 'Dry_Litterbag Placem_Collection'!$U160)),"YES","NO")</f>
        <v>NO</v>
      </c>
      <c r="AL453" s="245" t="str">
        <f>IF(ISNUMBER(SEARCH("R", 'Dry_Litterbag Placem_Collection'!$U160)),"YES","NO")</f>
        <v>NO</v>
      </c>
    </row>
    <row r="454" spans="2:38">
      <c r="B454" t="str">
        <f>Dryseason!B600</f>
        <v>Dry</v>
      </c>
      <c r="C454" s="253">
        <f>Dryseason!C600</f>
        <v>159</v>
      </c>
      <c r="D454" t="s">
        <v>3125</v>
      </c>
      <c r="E454" t="s">
        <v>25</v>
      </c>
      <c r="F454" s="375">
        <v>7</v>
      </c>
      <c r="G454" s="376" t="str">
        <f>IF('Dry_Litterbag Placem_Collection'!E161="","",'Dry_Litterbag Placem_Collection'!E161)</f>
        <v/>
      </c>
      <c r="H454" s="92" t="str">
        <f>Dryseason!L600</f>
        <v/>
      </c>
      <c r="I454" t="str">
        <f>Dryseason!L820</f>
        <v/>
      </c>
      <c r="J454" t="str">
        <f>IFERROR(INDEX('Green_rooibos initial weight'!$C$5:$C$2000,MATCH(H454, 'Green_rooibos initial weight'!$A$5:$A$2000,0)),"")</f>
        <v/>
      </c>
      <c r="K454" t="str">
        <f>IFERROR(INDEX('Green_rooibos initial weight'!$C$5:$C$2000,MATCH(I454, 'Green_rooibos initial weight'!$A$5:$A$2000,0)),"")</f>
        <v/>
      </c>
      <c r="L454" s="194" t="str">
        <f t="shared" si="69"/>
        <v/>
      </c>
      <c r="M454" s="233">
        <f>AVERAGE(Ashed_controlls!$K$1:$K$11)</f>
        <v>5.5147656768714146</v>
      </c>
      <c r="N454" s="194" t="str">
        <f t="shared" si="65"/>
        <v/>
      </c>
      <c r="O454" s="194" t="str">
        <f t="shared" si="70"/>
        <v/>
      </c>
      <c r="P454" s="233">
        <f>AVERAGE(Ashed_controlls!$K$12:$K$14)</f>
        <v>2.2816647271287041</v>
      </c>
      <c r="Q454" s="194" t="str">
        <f t="shared" si="66"/>
        <v/>
      </c>
      <c r="R454" s="376" t="str">
        <f>IF('Dry_Litterbag Placem_Collection'!G161="","",'Dry_Litterbag Placem_Collection'!G161)</f>
        <v/>
      </c>
      <c r="S454" s="194" t="str">
        <f>IFERROR(INDEX('Both teabags AfterDry'!$D$3:$D$2000,MATCH(H454,'Both teabags AfterDry'!$A$3:$A$2000,0)),"")</f>
        <v/>
      </c>
      <c r="T454" s="194" t="str">
        <f>IFERROR(INDEX('Both teabags AfterDry'!$D$3:$D$2000,MATCH(I454,'Both teabags AfterDry'!$A$3:$A$2000,0)),"")</f>
        <v/>
      </c>
      <c r="U454" s="194" t="str">
        <f t="shared" si="71"/>
        <v/>
      </c>
      <c r="V454" s="194" t="str">
        <f t="shared" si="72"/>
        <v/>
      </c>
      <c r="W454" s="194" t="str">
        <f>IFERROR(INDEX('Ashed teabags dry'!$K$2:$K$2000,MATCH(H454,'Ashed teabags dry'!$A$2:$A$2000,0)),"")</f>
        <v/>
      </c>
      <c r="X454" s="194" t="str">
        <f>IFERROR(INDEX('Ashed teabags dry'!$K$2:$K$2000,MATCH(I454,'Ashed teabags dry'!$A$2:$A$2000,0)),"")</f>
        <v/>
      </c>
      <c r="Y454" s="194" t="str">
        <f t="shared" si="67"/>
        <v/>
      </c>
      <c r="Z454" s="194" t="str">
        <f t="shared" si="67"/>
        <v/>
      </c>
      <c r="AA454" s="194" t="str">
        <f t="shared" si="73"/>
        <v/>
      </c>
      <c r="AB454" s="194" t="str">
        <f t="shared" si="74"/>
        <v/>
      </c>
      <c r="AC454" s="194" t="str">
        <f t="shared" si="68"/>
        <v/>
      </c>
      <c r="AD454" t="str">
        <f t="shared" si="75"/>
        <v/>
      </c>
      <c r="AE454" s="194" t="str">
        <f t="shared" si="76"/>
        <v/>
      </c>
      <c r="AF454" s="194" t="str">
        <f t="shared" si="77"/>
        <v/>
      </c>
      <c r="AG454" s="245" t="str">
        <f>IF(ISNUMBER(SEARCH("C", 'Dry_Litterbag Placem_Collection'!$V161)),"YES","NO")</f>
        <v>NO</v>
      </c>
      <c r="AH454" s="245" t="str">
        <f>IF(ISNUMBER(SEARCH("H", 'Dry_Litterbag Placem_Collection'!$V161)),"YES","NO")</f>
        <v>NO</v>
      </c>
      <c r="AI454" s="245" t="str">
        <f>IF(ISNUMBER(SEARCH("R", 'Dry_Litterbag Placem_Collection'!$V161)),"YES","NO")</f>
        <v>NO</v>
      </c>
      <c r="AJ454" s="245" t="str">
        <f>IF(ISNUMBER(SEARCH("C", 'Dry_Litterbag Placem_Collection'!$U161)),"YES","NO")</f>
        <v>NO</v>
      </c>
      <c r="AK454" s="245" t="str">
        <f>IF(ISNUMBER(SEARCH("H", 'Dry_Litterbag Placem_Collection'!$U161)),"YES","NO")</f>
        <v>NO</v>
      </c>
      <c r="AL454" s="245" t="str">
        <f>IF(ISNUMBER(SEARCH("R", 'Dry_Litterbag Placem_Collection'!$U161)),"YES","NO")</f>
        <v>NO</v>
      </c>
    </row>
    <row r="455" spans="2:38">
      <c r="B455" t="str">
        <f>Dryseason!B601</f>
        <v>Dry</v>
      </c>
      <c r="C455" s="253">
        <f>Dryseason!C601</f>
        <v>160</v>
      </c>
      <c r="D455" t="s">
        <v>3125</v>
      </c>
      <c r="E455" t="s">
        <v>25</v>
      </c>
      <c r="F455" s="375">
        <v>8</v>
      </c>
      <c r="G455" s="376">
        <f>IF('Dry_Litterbag Placem_Collection'!E162="","",'Dry_Litterbag Placem_Collection'!E162)</f>
        <v>42939</v>
      </c>
      <c r="H455" s="92" t="str">
        <f>Dryseason!L601</f>
        <v>G175</v>
      </c>
      <c r="I455" t="str">
        <f>Dryseason!L821</f>
        <v>R350</v>
      </c>
      <c r="J455">
        <f>IFERROR(INDEX('Green_rooibos initial weight'!$C$5:$C$2000,MATCH(H455, 'Green_rooibos initial weight'!$A$5:$A$2000,0)),"")</f>
        <v>1.9930000000000001</v>
      </c>
      <c r="K455">
        <f>IFERROR(INDEX('Green_rooibos initial weight'!$C$5:$C$2000,MATCH(I455, 'Green_rooibos initial weight'!$A$5:$A$2000,0)),"")</f>
        <v>2.21</v>
      </c>
      <c r="L455" s="194">
        <f t="shared" si="69"/>
        <v>1.7432000000000001</v>
      </c>
      <c r="M455" s="233">
        <f>AVERAGE(Ashed_controlls!$K$1:$K$11)</f>
        <v>5.5147656768714146</v>
      </c>
      <c r="N455" s="194">
        <f t="shared" si="65"/>
        <v>1.6470666047207776</v>
      </c>
      <c r="O455" s="194">
        <f t="shared" si="70"/>
        <v>1.9601999999999999</v>
      </c>
      <c r="P455" s="233">
        <f>AVERAGE(Ashed_controlls!$K$12:$K$14)</f>
        <v>2.2816647271287041</v>
      </c>
      <c r="Q455" s="194">
        <f t="shared" si="66"/>
        <v>1.9154748080188231</v>
      </c>
      <c r="R455" s="376">
        <f>IF('Dry_Litterbag Placem_Collection'!G162="","",'Dry_Litterbag Placem_Collection'!G162)</f>
        <v>43010</v>
      </c>
      <c r="S455" s="194">
        <f>IFERROR(INDEX('Both teabags AfterDry'!$D$3:$D$2000,MATCH(H455,'Both teabags AfterDry'!$A$3:$A$2000,0)),"")</f>
        <v>1.2042999999999999</v>
      </c>
      <c r="T455" s="194">
        <f>IFERROR(INDEX('Both teabags AfterDry'!$D$3:$D$2000,MATCH(I455,'Both teabags AfterDry'!$A$3:$A$2000,0)),"")</f>
        <v>1.9824999999999999</v>
      </c>
      <c r="U455" s="194">
        <f t="shared" si="71"/>
        <v>1.0536999999999999</v>
      </c>
      <c r="V455" s="194">
        <f t="shared" si="72"/>
        <v>1.8318999999999999</v>
      </c>
      <c r="W455" s="194">
        <f>IFERROR(INDEX('Ashed teabags dry'!$K$2:$K$2000,MATCH(H455,'Ashed teabags dry'!$A$2:$A$2000,0)),"")</f>
        <v>22.557651991613749</v>
      </c>
      <c r="X455" s="194">
        <f>IFERROR(INDEX('Ashed teabags dry'!$K$2:$K$2000,MATCH(I455,'Ashed teabags dry'!$A$2:$A$2000,0)),"")</f>
        <v>4.4153323629310188</v>
      </c>
      <c r="Y455" s="194">
        <f t="shared" si="67"/>
        <v>0.81601002096436581</v>
      </c>
      <c r="Z455" s="194">
        <f t="shared" si="67"/>
        <v>1.7510155264434666</v>
      </c>
      <c r="AA455" s="194">
        <f t="shared" si="73"/>
        <v>0.50456768498278093</v>
      </c>
      <c r="AB455" s="194">
        <f t="shared" si="74"/>
        <v>0.33078546568942413</v>
      </c>
      <c r="AC455" s="194">
        <f t="shared" si="68"/>
        <v>0.91414176741616515</v>
      </c>
      <c r="AD455">
        <f t="shared" si="75"/>
        <v>71</v>
      </c>
      <c r="AE455" s="194">
        <f t="shared" si="76"/>
        <v>0.40075096795394183</v>
      </c>
      <c r="AF455" s="194">
        <f t="shared" si="77"/>
        <v>4.232519248388405E-3</v>
      </c>
      <c r="AG455" s="245" t="str">
        <f>IF(ISNUMBER(SEARCH("C", 'Dry_Litterbag Placem_Collection'!$V162)),"YES","NO")</f>
        <v>NO</v>
      </c>
      <c r="AH455" s="245" t="str">
        <f>IF(ISNUMBER(SEARCH("H", 'Dry_Litterbag Placem_Collection'!$V162)),"YES","NO")</f>
        <v>NO</v>
      </c>
      <c r="AI455" s="245" t="str">
        <f>IF(ISNUMBER(SEARCH("R", 'Dry_Litterbag Placem_Collection'!$V162)),"YES","NO")</f>
        <v>NO</v>
      </c>
      <c r="AJ455" s="245" t="str">
        <f>IF(ISNUMBER(SEARCH("C", 'Dry_Litterbag Placem_Collection'!$U162)),"YES","NO")</f>
        <v>NO</v>
      </c>
      <c r="AK455" s="245" t="str">
        <f>IF(ISNUMBER(SEARCH("H", 'Dry_Litterbag Placem_Collection'!$U162)),"YES","NO")</f>
        <v>NO</v>
      </c>
      <c r="AL455" s="245" t="str">
        <f>IF(ISNUMBER(SEARCH("R", 'Dry_Litterbag Placem_Collection'!$U162)),"YES","NO")</f>
        <v>NO</v>
      </c>
    </row>
    <row r="456" spans="2:38">
      <c r="B456" t="str">
        <f>Dryseason!B602</f>
        <v>Dry</v>
      </c>
      <c r="C456" s="253">
        <f>Dryseason!C602</f>
        <v>161</v>
      </c>
      <c r="D456" t="s">
        <v>3126</v>
      </c>
      <c r="E456" t="s">
        <v>25</v>
      </c>
      <c r="F456" s="374">
        <v>1</v>
      </c>
      <c r="G456" s="376">
        <f>IF('Dry_Litterbag Placem_Collection'!E163="","",'Dry_Litterbag Placem_Collection'!E163)</f>
        <v>42940</v>
      </c>
      <c r="H456" s="92" t="str">
        <f>Dryseason!L602</f>
        <v>G207</v>
      </c>
      <c r="I456" t="str">
        <f>Dryseason!L822</f>
        <v>R314</v>
      </c>
      <c r="J456">
        <f>IFERROR(INDEX('Green_rooibos initial weight'!$C$5:$C$2000,MATCH(H456, 'Green_rooibos initial weight'!$A$5:$A$2000,0)),"")</f>
        <v>2.1539999999999999</v>
      </c>
      <c r="K456">
        <f>IFERROR(INDEX('Green_rooibos initial weight'!$C$5:$C$2000,MATCH(I456, 'Green_rooibos initial weight'!$A$5:$A$2000,0)),"")</f>
        <v>2.17</v>
      </c>
      <c r="L456" s="194">
        <f t="shared" si="69"/>
        <v>1.9041999999999999</v>
      </c>
      <c r="M456" s="233">
        <f>AVERAGE(Ashed_controlls!$K$1:$K$11)</f>
        <v>5.5147656768714146</v>
      </c>
      <c r="N456" s="194">
        <f t="shared" si="65"/>
        <v>1.7991878319810144</v>
      </c>
      <c r="O456" s="194">
        <f t="shared" si="70"/>
        <v>1.9201999999999999</v>
      </c>
      <c r="P456" s="233">
        <f>AVERAGE(Ashed_controlls!$K$12:$K$14)</f>
        <v>2.2816647271287041</v>
      </c>
      <c r="Q456" s="194">
        <f t="shared" si="66"/>
        <v>1.8763874739096746</v>
      </c>
      <c r="R456" s="376">
        <f>IF('Dry_Litterbag Placem_Collection'!G163="","",'Dry_Litterbag Placem_Collection'!G163)</f>
        <v>43009</v>
      </c>
      <c r="S456" s="194">
        <f>IFERROR(INDEX('Both teabags AfterDry'!$D$3:$D$2000,MATCH(H456,'Both teabags AfterDry'!$A$3:$A$2000,0)),"")</f>
        <v>0.76570000000000005</v>
      </c>
      <c r="T456" s="194">
        <f>IFERROR(INDEX('Both teabags AfterDry'!$D$3:$D$2000,MATCH(I456,'Both teabags AfterDry'!$A$3:$A$2000,0)),"")</f>
        <v>1.7397</v>
      </c>
      <c r="U456" s="194">
        <f t="shared" si="71"/>
        <v>0.61509999999999998</v>
      </c>
      <c r="V456" s="194">
        <f t="shared" si="72"/>
        <v>1.5891</v>
      </c>
      <c r="W456" s="194">
        <f>IFERROR(INDEX('Ashed teabags dry'!$K$2:$K$2000,MATCH(H456,'Ashed teabags dry'!$A$2:$A$2000,0)),"")</f>
        <v>21.881091617933993</v>
      </c>
      <c r="X456" s="194">
        <f>IFERROR(INDEX('Ashed teabags dry'!$K$2:$K$2000,MATCH(I456,'Ashed teabags dry'!$A$2:$A$2000,0)),"")</f>
        <v>4.8425011753644043</v>
      </c>
      <c r="Y456" s="194">
        <f t="shared" si="67"/>
        <v>0.48050940545808796</v>
      </c>
      <c r="Z456" s="194">
        <f t="shared" si="67"/>
        <v>1.5121478138222841</v>
      </c>
      <c r="AA456" s="194">
        <f t="shared" si="73"/>
        <v>0.73292982704923137</v>
      </c>
      <c r="AB456" s="194">
        <f t="shared" si="74"/>
        <v>0.48049556357621825</v>
      </c>
      <c r="AC456" s="194">
        <f t="shared" si="68"/>
        <v>0.80588249220804364</v>
      </c>
      <c r="AD456">
        <f t="shared" si="75"/>
        <v>69</v>
      </c>
      <c r="AE456" s="194">
        <f t="shared" si="76"/>
        <v>0.12953702250685106</v>
      </c>
      <c r="AF456" s="194">
        <f t="shared" si="77"/>
        <v>7.5000751326066767E-3</v>
      </c>
      <c r="AG456" s="245" t="str">
        <f>IF(ISNUMBER(SEARCH("C", 'Dry_Litterbag Placem_Collection'!$V163)),"YES","NO")</f>
        <v>NO</v>
      </c>
      <c r="AH456" s="245" t="str">
        <f>IF(ISNUMBER(SEARCH("H", 'Dry_Litterbag Placem_Collection'!$V163)),"YES","NO")</f>
        <v>NO</v>
      </c>
      <c r="AI456" s="245" t="str">
        <f>IF(ISNUMBER(SEARCH("R", 'Dry_Litterbag Placem_Collection'!$V163)),"YES","NO")</f>
        <v>NO</v>
      </c>
      <c r="AJ456" s="245" t="str">
        <f>IF(ISNUMBER(SEARCH("C", 'Dry_Litterbag Placem_Collection'!$U163)),"YES","NO")</f>
        <v>NO</v>
      </c>
      <c r="AK456" s="245" t="str">
        <f>IF(ISNUMBER(SEARCH("H", 'Dry_Litterbag Placem_Collection'!$U163)),"YES","NO")</f>
        <v>NO</v>
      </c>
      <c r="AL456" s="245" t="str">
        <f>IF(ISNUMBER(SEARCH("R", 'Dry_Litterbag Placem_Collection'!$U163)),"YES","NO")</f>
        <v>NO</v>
      </c>
    </row>
    <row r="457" spans="2:38">
      <c r="B457" t="str">
        <f>Dryseason!B603</f>
        <v>Dry</v>
      </c>
      <c r="C457" s="253">
        <f>Dryseason!C603</f>
        <v>162</v>
      </c>
      <c r="D457" t="s">
        <v>3126</v>
      </c>
      <c r="E457" t="s">
        <v>25</v>
      </c>
      <c r="F457" s="374">
        <v>2</v>
      </c>
      <c r="G457" s="376">
        <f>IF('Dry_Litterbag Placem_Collection'!E164="","",'Dry_Litterbag Placem_Collection'!E164)</f>
        <v>42940</v>
      </c>
      <c r="H457" s="92" t="str">
        <f>Dryseason!L603</f>
        <v>G580</v>
      </c>
      <c r="I457" t="str">
        <f>Dryseason!L823</f>
        <v>R425</v>
      </c>
      <c r="J457">
        <f>IFERROR(INDEX('Green_rooibos initial weight'!$C$5:$C$2000,MATCH(H457, 'Green_rooibos initial weight'!$A$5:$A$2000,0)),"")</f>
        <v>2.1440000000000001</v>
      </c>
      <c r="K457">
        <f>IFERROR(INDEX('Green_rooibos initial weight'!$C$5:$C$2000,MATCH(I457, 'Green_rooibos initial weight'!$A$5:$A$2000,0)),"")</f>
        <v>2.25</v>
      </c>
      <c r="L457" s="194">
        <f t="shared" si="69"/>
        <v>1.8942000000000001</v>
      </c>
      <c r="M457" s="233">
        <f>AVERAGE(Ashed_controlls!$K$1:$K$11)</f>
        <v>5.5147656768714146</v>
      </c>
      <c r="N457" s="194">
        <f t="shared" si="65"/>
        <v>1.7897393085487017</v>
      </c>
      <c r="O457" s="194">
        <f t="shared" si="70"/>
        <v>2.0002</v>
      </c>
      <c r="P457" s="233">
        <f>AVERAGE(Ashed_controlls!$K$12:$K$14)</f>
        <v>2.2816647271287041</v>
      </c>
      <c r="Q457" s="194">
        <f t="shared" si="66"/>
        <v>1.9545621421279717</v>
      </c>
      <c r="R457" s="376">
        <f>IF('Dry_Litterbag Placem_Collection'!G164="","",'Dry_Litterbag Placem_Collection'!G164)</f>
        <v>43009</v>
      </c>
      <c r="S457" s="194">
        <f>IFERROR(INDEX('Both teabags AfterDry'!$D$3:$D$2000,MATCH(H457,'Both teabags AfterDry'!$A$3:$A$2000,0)),"")</f>
        <v>0.84409999999999996</v>
      </c>
      <c r="T457" s="194">
        <f>IFERROR(INDEX('Both teabags AfterDry'!$D$3:$D$2000,MATCH(I457,'Both teabags AfterDry'!$A$3:$A$2000,0)),"")</f>
        <v>1.8856999999999999</v>
      </c>
      <c r="U457" s="194">
        <f t="shared" si="71"/>
        <v>0.69350000000000001</v>
      </c>
      <c r="V457" s="194">
        <f t="shared" si="72"/>
        <v>1.7350999999999999</v>
      </c>
      <c r="W457" s="194">
        <f>IFERROR(INDEX('Ashed teabags dry'!$K$2:$K$2000,MATCH(H457,'Ashed teabags dry'!$A$2:$A$2000,0)),"")</f>
        <v>19.492789656887485</v>
      </c>
      <c r="X457" s="194">
        <f>IFERROR(INDEX('Ashed teabags dry'!$K$2:$K$2000,MATCH(I457,'Ashed teabags dry'!$A$2:$A$2000,0)),"")</f>
        <v>6.8486590038315791</v>
      </c>
      <c r="Y457" s="194">
        <f t="shared" si="67"/>
        <v>0.5583175037294853</v>
      </c>
      <c r="Z457" s="194">
        <f t="shared" si="67"/>
        <v>1.6162689176245182</v>
      </c>
      <c r="AA457" s="194">
        <f t="shared" si="73"/>
        <v>0.68804534768685133</v>
      </c>
      <c r="AB457" s="194">
        <f t="shared" si="74"/>
        <v>0.45107010917237766</v>
      </c>
      <c r="AC457" s="194">
        <f t="shared" si="68"/>
        <v>0.82692122332056073</v>
      </c>
      <c r="AD457">
        <f t="shared" si="75"/>
        <v>69</v>
      </c>
      <c r="AE457" s="194">
        <f t="shared" si="76"/>
        <v>0.18284400512250432</v>
      </c>
      <c r="AF457" s="194">
        <f t="shared" si="77"/>
        <v>7.0149687682593397E-3</v>
      </c>
      <c r="AG457" s="245" t="str">
        <f>IF(ISNUMBER(SEARCH("C", 'Dry_Litterbag Placem_Collection'!$V164)),"YES","NO")</f>
        <v>NO</v>
      </c>
      <c r="AH457" s="245" t="str">
        <f>IF(ISNUMBER(SEARCH("H", 'Dry_Litterbag Placem_Collection'!$V164)),"YES","NO")</f>
        <v>NO</v>
      </c>
      <c r="AI457" s="245" t="str">
        <f>IF(ISNUMBER(SEARCH("R", 'Dry_Litterbag Placem_Collection'!$V164)),"YES","NO")</f>
        <v>NO</v>
      </c>
      <c r="AJ457" s="245" t="str">
        <f>IF(ISNUMBER(SEARCH("C", 'Dry_Litterbag Placem_Collection'!$U164)),"YES","NO")</f>
        <v>NO</v>
      </c>
      <c r="AK457" s="245" t="str">
        <f>IF(ISNUMBER(SEARCH("H", 'Dry_Litterbag Placem_Collection'!$U164)),"YES","NO")</f>
        <v>NO</v>
      </c>
      <c r="AL457" s="245" t="str">
        <f>IF(ISNUMBER(SEARCH("R", 'Dry_Litterbag Placem_Collection'!$U164)),"YES","NO")</f>
        <v>NO</v>
      </c>
    </row>
    <row r="458" spans="2:38">
      <c r="B458" t="str">
        <f>Dryseason!B604</f>
        <v>Dry</v>
      </c>
      <c r="C458" s="253">
        <f>Dryseason!C604</f>
        <v>163</v>
      </c>
      <c r="D458" t="s">
        <v>3126</v>
      </c>
      <c r="E458" t="s">
        <v>25</v>
      </c>
      <c r="F458" s="374">
        <v>3</v>
      </c>
      <c r="G458" s="376">
        <f>IF('Dry_Litterbag Placem_Collection'!E165="","",'Dry_Litterbag Placem_Collection'!E165)</f>
        <v>42940</v>
      </c>
      <c r="H458" s="92" t="str">
        <f>Dryseason!L604</f>
        <v>G722</v>
      </c>
      <c r="I458" t="str">
        <f>Dryseason!L824</f>
        <v>R267</v>
      </c>
      <c r="J458">
        <f>IFERROR(INDEX('Green_rooibos initial weight'!$C$5:$C$2000,MATCH(H458, 'Green_rooibos initial weight'!$A$5:$A$2000,0)),"")</f>
        <v>2.0790000000000002</v>
      </c>
      <c r="K458">
        <f>IFERROR(INDEX('Green_rooibos initial weight'!$C$5:$C$2000,MATCH(I458, 'Green_rooibos initial weight'!$A$5:$A$2000,0)),"")</f>
        <v>2.1930000000000001</v>
      </c>
      <c r="L458" s="194">
        <f t="shared" si="69"/>
        <v>1.8292000000000002</v>
      </c>
      <c r="M458" s="233">
        <f>AVERAGE(Ashed_controlls!$K$1:$K$11)</f>
        <v>5.5147656768714146</v>
      </c>
      <c r="N458" s="194">
        <f t="shared" si="65"/>
        <v>1.7283239062386682</v>
      </c>
      <c r="O458" s="194">
        <f t="shared" si="70"/>
        <v>1.9432</v>
      </c>
      <c r="P458" s="233">
        <f>AVERAGE(Ashed_controlls!$K$12:$K$14)</f>
        <v>2.2816647271287041</v>
      </c>
      <c r="Q458" s="194">
        <f t="shared" si="66"/>
        <v>1.8988626910224351</v>
      </c>
      <c r="R458" s="376">
        <f>IF('Dry_Litterbag Placem_Collection'!G165="","",'Dry_Litterbag Placem_Collection'!G165)</f>
        <v>43009</v>
      </c>
      <c r="S458" s="194">
        <f>IFERROR(INDEX('Both teabags AfterDry'!$D$3:$D$2000,MATCH(H458,'Both teabags AfterDry'!$A$3:$A$2000,0)),"")</f>
        <v>0.86109999999999998</v>
      </c>
      <c r="T458" s="194">
        <f>IFERROR(INDEX('Both teabags AfterDry'!$D$3:$D$2000,MATCH(I458,'Both teabags AfterDry'!$A$3:$A$2000,0)),"")</f>
        <v>1.7754000000000001</v>
      </c>
      <c r="U458" s="194">
        <f t="shared" si="71"/>
        <v>0.71049999999999991</v>
      </c>
      <c r="V458" s="194">
        <f t="shared" si="72"/>
        <v>1.6248</v>
      </c>
      <c r="W458" s="194">
        <f>IFERROR(INDEX('Ashed teabags dry'!$K$2:$K$2000,MATCH(H458,'Ashed teabags dry'!$A$2:$A$2000,0)),"")</f>
        <v>29.172785119922423</v>
      </c>
      <c r="X458" s="194">
        <f>IFERROR(INDEX('Ashed teabags dry'!$K$2:$K$2000,MATCH(I458,'Ashed teabags dry'!$A$2:$A$2000,0)),"")</f>
        <v>9.0049751243772</v>
      </c>
      <c r="Y458" s="194">
        <f t="shared" si="67"/>
        <v>0.50322736172295113</v>
      </c>
      <c r="Z458" s="194">
        <f t="shared" si="67"/>
        <v>1.4784871641791193</v>
      </c>
      <c r="AA458" s="194">
        <f t="shared" si="73"/>
        <v>0.70883503959734084</v>
      </c>
      <c r="AB458" s="194">
        <f t="shared" si="74"/>
        <v>0.46469945588804301</v>
      </c>
      <c r="AC458" s="194">
        <f t="shared" si="68"/>
        <v>0.77861720658855738</v>
      </c>
      <c r="AD458">
        <f t="shared" si="75"/>
        <v>69</v>
      </c>
      <c r="AE458" s="194">
        <f t="shared" si="76"/>
        <v>0.15815315962311061</v>
      </c>
      <c r="AF458" s="194">
        <f t="shared" si="77"/>
        <v>9.3772048180339844E-3</v>
      </c>
      <c r="AG458" s="245" t="str">
        <f>IF(ISNUMBER(SEARCH("C", 'Dry_Litterbag Placem_Collection'!$V165)),"YES","NO")</f>
        <v>NO</v>
      </c>
      <c r="AH458" s="245" t="str">
        <f>IF(ISNUMBER(SEARCH("H", 'Dry_Litterbag Placem_Collection'!$V165)),"YES","NO")</f>
        <v>NO</v>
      </c>
      <c r="AI458" s="245" t="str">
        <f>IF(ISNUMBER(SEARCH("R", 'Dry_Litterbag Placem_Collection'!$V165)),"YES","NO")</f>
        <v>NO</v>
      </c>
      <c r="AJ458" s="245" t="str">
        <f>IF(ISNUMBER(SEARCH("C", 'Dry_Litterbag Placem_Collection'!$U165)),"YES","NO")</f>
        <v>NO</v>
      </c>
      <c r="AK458" s="245" t="str">
        <f>IF(ISNUMBER(SEARCH("H", 'Dry_Litterbag Placem_Collection'!$U165)),"YES","NO")</f>
        <v>NO</v>
      </c>
      <c r="AL458" s="245" t="str">
        <f>IF(ISNUMBER(SEARCH("R", 'Dry_Litterbag Placem_Collection'!$U165)),"YES","NO")</f>
        <v>NO</v>
      </c>
    </row>
    <row r="459" spans="2:38">
      <c r="B459" t="str">
        <f>Dryseason!B605</f>
        <v>Dry</v>
      </c>
      <c r="C459" s="253">
        <f>Dryseason!C605</f>
        <v>164</v>
      </c>
      <c r="D459" t="s">
        <v>3126</v>
      </c>
      <c r="E459" t="s">
        <v>25</v>
      </c>
      <c r="F459" s="375">
        <v>4</v>
      </c>
      <c r="G459" s="376">
        <f>IF('Dry_Litterbag Placem_Collection'!E166="","",'Dry_Litterbag Placem_Collection'!E166)</f>
        <v>42940</v>
      </c>
      <c r="H459" s="92" t="str">
        <f>Dryseason!L605</f>
        <v>G239</v>
      </c>
      <c r="I459" t="str">
        <f>Dryseason!L825</f>
        <v>R211</v>
      </c>
      <c r="J459">
        <f>IFERROR(INDEX('Green_rooibos initial weight'!$C$5:$C$2000,MATCH(H459, 'Green_rooibos initial weight'!$A$5:$A$2000,0)),"")</f>
        <v>2.1019999999999999</v>
      </c>
      <c r="K459">
        <f>IFERROR(INDEX('Green_rooibos initial weight'!$C$5:$C$2000,MATCH(I459, 'Green_rooibos initial weight'!$A$5:$A$2000,0)),"")</f>
        <v>2.2389999999999999</v>
      </c>
      <c r="L459" s="194">
        <f t="shared" si="69"/>
        <v>1.8521999999999998</v>
      </c>
      <c r="M459" s="233">
        <f>AVERAGE(Ashed_controlls!$K$1:$K$11)</f>
        <v>5.5147656768714146</v>
      </c>
      <c r="N459" s="194">
        <f t="shared" si="65"/>
        <v>1.7500555101329875</v>
      </c>
      <c r="O459" s="194">
        <f t="shared" si="70"/>
        <v>1.9891999999999999</v>
      </c>
      <c r="P459" s="233">
        <f>AVERAGE(Ashed_controlls!$K$12:$K$14)</f>
        <v>2.2816647271287041</v>
      </c>
      <c r="Q459" s="194">
        <f t="shared" si="66"/>
        <v>1.9438131252479556</v>
      </c>
      <c r="R459" s="376">
        <f>IF('Dry_Litterbag Placem_Collection'!G166="","",'Dry_Litterbag Placem_Collection'!G166)</f>
        <v>43009</v>
      </c>
      <c r="S459" s="194">
        <f>IFERROR(INDEX('Both teabags AfterDry'!$D$3:$D$2000,MATCH(H459,'Both teabags AfterDry'!$A$3:$A$2000,0)),"")</f>
        <v>0.73950000000000005</v>
      </c>
      <c r="T459" s="194">
        <f>IFERROR(INDEX('Both teabags AfterDry'!$D$3:$D$2000,MATCH(I459,'Both teabags AfterDry'!$A$3:$A$2000,0)),"")</f>
        <v>1.7732000000000001</v>
      </c>
      <c r="U459" s="194">
        <f t="shared" si="71"/>
        <v>0.58889999999999998</v>
      </c>
      <c r="V459" s="194">
        <f t="shared" si="72"/>
        <v>1.6226</v>
      </c>
      <c r="W459" s="194">
        <f>IFERROR(INDEX('Ashed teabags dry'!$K$2:$K$2000,MATCH(H459,'Ashed teabags dry'!$A$2:$A$2000,0)),"")</f>
        <v>17.516081147946309</v>
      </c>
      <c r="X459" s="194">
        <f>IFERROR(INDEX('Ashed teabags dry'!$K$2:$K$2000,MATCH(I459,'Ashed teabags dry'!$A$2:$A$2000,0)),"")</f>
        <v>6.3861386138614789</v>
      </c>
      <c r="Y459" s="194">
        <f t="shared" si="67"/>
        <v>0.48574779811974417</v>
      </c>
      <c r="Z459" s="194">
        <f t="shared" si="67"/>
        <v>1.5189785148514836</v>
      </c>
      <c r="AA459" s="194">
        <f t="shared" si="73"/>
        <v>0.7224386339134854</v>
      </c>
      <c r="AB459" s="194">
        <f t="shared" si="74"/>
        <v>0.47361772674613301</v>
      </c>
      <c r="AC459" s="194">
        <f t="shared" si="68"/>
        <v>0.78144266808452612</v>
      </c>
      <c r="AD459">
        <f t="shared" si="75"/>
        <v>69</v>
      </c>
      <c r="AE459" s="194">
        <f t="shared" si="76"/>
        <v>0.14199687183671561</v>
      </c>
      <c r="AF459" s="194">
        <f t="shared" si="77"/>
        <v>8.9695674357301424E-3</v>
      </c>
      <c r="AG459" s="245" t="str">
        <f>IF(ISNUMBER(SEARCH("C", 'Dry_Litterbag Placem_Collection'!$V166)),"YES","NO")</f>
        <v>NO</v>
      </c>
      <c r="AH459" s="245" t="str">
        <f>IF(ISNUMBER(SEARCH("H", 'Dry_Litterbag Placem_Collection'!$V166)),"YES","NO")</f>
        <v>NO</v>
      </c>
      <c r="AI459" s="245" t="str">
        <f>IF(ISNUMBER(SEARCH("R", 'Dry_Litterbag Placem_Collection'!$V166)),"YES","NO")</f>
        <v>YES</v>
      </c>
      <c r="AJ459" s="245" t="str">
        <f>IF(ISNUMBER(SEARCH("C", 'Dry_Litterbag Placem_Collection'!$U166)),"YES","NO")</f>
        <v>NO</v>
      </c>
      <c r="AK459" s="245" t="str">
        <f>IF(ISNUMBER(SEARCH("H", 'Dry_Litterbag Placem_Collection'!$U166)),"YES","NO")</f>
        <v>NO</v>
      </c>
      <c r="AL459" s="245" t="str">
        <f>IF(ISNUMBER(SEARCH("R", 'Dry_Litterbag Placem_Collection'!$U166)),"YES","NO")</f>
        <v>YES</v>
      </c>
    </row>
    <row r="460" spans="2:38">
      <c r="B460" t="str">
        <f>Dryseason!B606</f>
        <v>Dry</v>
      </c>
      <c r="C460" s="253">
        <f>Dryseason!C606</f>
        <v>165</v>
      </c>
      <c r="D460" t="s">
        <v>3126</v>
      </c>
      <c r="E460" t="s">
        <v>25</v>
      </c>
      <c r="F460" s="375">
        <v>5</v>
      </c>
      <c r="G460" s="376">
        <f>IF('Dry_Litterbag Placem_Collection'!E167="","",'Dry_Litterbag Placem_Collection'!E167)</f>
        <v>42940</v>
      </c>
      <c r="H460" s="92" t="str">
        <f>Dryseason!L606</f>
        <v>G343</v>
      </c>
      <c r="I460" t="str">
        <f>Dryseason!L826</f>
        <v>R310</v>
      </c>
      <c r="J460">
        <f>IFERROR(INDEX('Green_rooibos initial weight'!$C$5:$C$2000,MATCH(H460, 'Green_rooibos initial weight'!$A$5:$A$2000,0)),"")</f>
        <v>1.8340000000000001</v>
      </c>
      <c r="K460">
        <f>IFERROR(INDEX('Green_rooibos initial weight'!$C$5:$C$2000,MATCH(I460, 'Green_rooibos initial weight'!$A$5:$A$2000,0)),"")</f>
        <v>2.2170000000000001</v>
      </c>
      <c r="L460" s="194">
        <f t="shared" si="69"/>
        <v>1.5842000000000001</v>
      </c>
      <c r="M460" s="233">
        <f>AVERAGE(Ashed_controlls!$K$1:$K$11)</f>
        <v>5.5147656768714146</v>
      </c>
      <c r="N460" s="194">
        <f t="shared" ref="N460:N515" si="78">IFERROR(L460-(M460/100)*L460,"")</f>
        <v>1.4968350821470031</v>
      </c>
      <c r="O460" s="194">
        <f t="shared" si="70"/>
        <v>1.9672000000000001</v>
      </c>
      <c r="P460" s="233">
        <f>AVERAGE(Ashed_controlls!$K$12:$K$14)</f>
        <v>2.2816647271287041</v>
      </c>
      <c r="Q460" s="194">
        <f t="shared" ref="Q460:Q515" si="79">IFERROR(O460-(P460/100)*O460,"")</f>
        <v>1.9223150914879241</v>
      </c>
      <c r="R460" s="376">
        <f>IF('Dry_Litterbag Placem_Collection'!G167="","",'Dry_Litterbag Placem_Collection'!G167)</f>
        <v>43009</v>
      </c>
      <c r="S460" s="194">
        <f>IFERROR(INDEX('Both teabags AfterDry'!$D$3:$D$2000,MATCH(H460,'Both teabags AfterDry'!$A$3:$A$2000,0)),"")</f>
        <v>0.68059999999999998</v>
      </c>
      <c r="T460" s="194">
        <f>IFERROR(INDEX('Both teabags AfterDry'!$D$3:$D$2000,MATCH(I460,'Both teabags AfterDry'!$A$3:$A$2000,0)),"")</f>
        <v>1.7559</v>
      </c>
      <c r="U460" s="194">
        <f t="shared" si="71"/>
        <v>0.53</v>
      </c>
      <c r="V460" s="194">
        <f t="shared" si="72"/>
        <v>1.6052999999999999</v>
      </c>
      <c r="W460" s="194">
        <f>IFERROR(INDEX('Ashed teabags dry'!$K$2:$K$2000,MATCH(H460,'Ashed teabags dry'!$A$2:$A$2000,0)),"")</f>
        <v>16.867469879518342</v>
      </c>
      <c r="X460" s="194">
        <f>IFERROR(INDEX('Ashed teabags dry'!$K$2:$K$2000,MATCH(I460,'Ashed teabags dry'!$A$2:$A$2000,0)),"")</f>
        <v>4.4911610129003776</v>
      </c>
      <c r="Y460" s="194">
        <f t="shared" ref="Y460:Z515" si="80">IFERROR(U460-(W460/100)*U460,"")</f>
        <v>0.44060240963855279</v>
      </c>
      <c r="Z460" s="194">
        <f t="shared" si="80"/>
        <v>1.5332033922599102</v>
      </c>
      <c r="AA460" s="194">
        <f t="shared" si="73"/>
        <v>0.70564398516998317</v>
      </c>
      <c r="AB460" s="194">
        <f t="shared" si="74"/>
        <v>0.46260745821120042</v>
      </c>
      <c r="AC460" s="194">
        <f t="shared" ref="AC460:AC515" si="81">IFERROR(Z460/Q460,"")</f>
        <v>0.79758172791182169</v>
      </c>
      <c r="AD460">
        <f t="shared" si="75"/>
        <v>69</v>
      </c>
      <c r="AE460" s="194">
        <f t="shared" si="76"/>
        <v>0.16194301048695581</v>
      </c>
      <c r="AF460" s="194">
        <f t="shared" si="77"/>
        <v>8.3401429955673005E-3</v>
      </c>
      <c r="AG460" s="245" t="str">
        <f>IF(ISNUMBER(SEARCH("C", 'Dry_Litterbag Placem_Collection'!$V167)),"YES","NO")</f>
        <v>NO</v>
      </c>
      <c r="AH460" s="245" t="str">
        <f>IF(ISNUMBER(SEARCH("H", 'Dry_Litterbag Placem_Collection'!$V167)),"YES","NO")</f>
        <v>NO</v>
      </c>
      <c r="AI460" s="245" t="str">
        <f>IF(ISNUMBER(SEARCH("R", 'Dry_Litterbag Placem_Collection'!$V167)),"YES","NO")</f>
        <v>NO</v>
      </c>
      <c r="AJ460" s="245" t="str">
        <f>IF(ISNUMBER(SEARCH("C", 'Dry_Litterbag Placem_Collection'!$U167)),"YES","NO")</f>
        <v>NO</v>
      </c>
      <c r="AK460" s="245" t="str">
        <f>IF(ISNUMBER(SEARCH("H", 'Dry_Litterbag Placem_Collection'!$U167)),"YES","NO")</f>
        <v>NO</v>
      </c>
      <c r="AL460" s="245" t="str">
        <f>IF(ISNUMBER(SEARCH("R", 'Dry_Litterbag Placem_Collection'!$U167)),"YES","NO")</f>
        <v>NO</v>
      </c>
    </row>
    <row r="461" spans="2:38">
      <c r="B461" t="str">
        <f>Dryseason!B607</f>
        <v>Dry</v>
      </c>
      <c r="C461" s="253">
        <f>Dryseason!C607</f>
        <v>166</v>
      </c>
      <c r="D461" t="s">
        <v>3126</v>
      </c>
      <c r="E461" t="s">
        <v>25</v>
      </c>
      <c r="F461" s="375">
        <v>6</v>
      </c>
      <c r="G461" s="376">
        <f>IF('Dry_Litterbag Placem_Collection'!E168="","",'Dry_Litterbag Placem_Collection'!E168)</f>
        <v>42940</v>
      </c>
      <c r="H461" s="92" t="str">
        <f>Dryseason!L607</f>
        <v>G409</v>
      </c>
      <c r="I461" t="str">
        <f>Dryseason!L827</f>
        <v>R269</v>
      </c>
      <c r="J461">
        <f>IFERROR(INDEX('Green_rooibos initial weight'!$C$5:$C$2000,MATCH(H461, 'Green_rooibos initial weight'!$A$5:$A$2000,0)),"")</f>
        <v>1.968</v>
      </c>
      <c r="K461">
        <f>IFERROR(INDEX('Green_rooibos initial weight'!$C$5:$C$2000,MATCH(I461, 'Green_rooibos initial weight'!$A$5:$A$2000,0)),"")</f>
        <v>2.278</v>
      </c>
      <c r="L461" s="194">
        <f t="shared" ref="L461:L515" si="82">IFERROR(IF(J461&gt;0,(J461*$F$31-($F$29+$F$30)),""),"")</f>
        <v>1.7181999999999999</v>
      </c>
      <c r="M461" s="233">
        <f>AVERAGE(Ashed_controlls!$K$1:$K$11)</f>
        <v>5.5147656768714146</v>
      </c>
      <c r="N461" s="194">
        <f t="shared" si="78"/>
        <v>1.6234452961399952</v>
      </c>
      <c r="O461" s="194">
        <f t="shared" ref="O461:O515" si="83">IFERROR(IF(K461&gt;0,(K461*$F$32-($F$29+$F$30)),""),"")</f>
        <v>2.0282</v>
      </c>
      <c r="P461" s="233">
        <f>AVERAGE(Ashed_controlls!$K$12:$K$14)</f>
        <v>2.2816647271287041</v>
      </c>
      <c r="Q461" s="194">
        <f t="shared" si="79"/>
        <v>1.9819232760043757</v>
      </c>
      <c r="R461" s="376">
        <f>IF('Dry_Litterbag Placem_Collection'!G168="","",'Dry_Litterbag Placem_Collection'!G168)</f>
        <v>43009</v>
      </c>
      <c r="S461" s="194">
        <f>IFERROR(INDEX('Both teabags AfterDry'!$D$3:$D$2000,MATCH(H461,'Both teabags AfterDry'!$A$3:$A$2000,0)),"")</f>
        <v>0.77039999999999997</v>
      </c>
      <c r="T461" s="194">
        <f>IFERROR(INDEX('Both teabags AfterDry'!$D$3:$D$2000,MATCH(I461,'Both teabags AfterDry'!$A$3:$A$2000,0)),"")</f>
        <v>1.8042</v>
      </c>
      <c r="U461" s="194">
        <f t="shared" ref="U461:U515" si="84">IFERROR(IF(S461&gt;0,S461-($F$29),""),"")</f>
        <v>0.61979999999999991</v>
      </c>
      <c r="V461" s="194">
        <f t="shared" ref="V461:V515" si="85">IFERROR(IF(T461&gt;0,T461-($F$29),""),"")</f>
        <v>1.6536</v>
      </c>
      <c r="W461" s="194">
        <f>IFERROR(INDEX('Ashed teabags dry'!$K$2:$K$2000,MATCH(H461,'Ashed teabags dry'!$A$2:$A$2000,0)),"")</f>
        <v>23.019571295433156</v>
      </c>
      <c r="X461" s="194">
        <f>IFERROR(INDEX('Ashed teabags dry'!$K$2:$K$2000,MATCH(I461,'Ashed teabags dry'!$A$2:$A$2000,0)),"")</f>
        <v>8.1481481481479836</v>
      </c>
      <c r="Y461" s="194">
        <f t="shared" si="80"/>
        <v>0.47712469711090522</v>
      </c>
      <c r="Z461" s="194">
        <f t="shared" si="80"/>
        <v>1.518862222222225</v>
      </c>
      <c r="AA461" s="194">
        <f t="shared" ref="AA461:AA515" si="86">IFERROR(1-Y461/N461,"")</f>
        <v>0.70610361910848085</v>
      </c>
      <c r="AB461" s="194">
        <f t="shared" ref="AB461:AB515" si="87">IFERROR($F$26*(1-AE461),"")</f>
        <v>0.46290878592384971</v>
      </c>
      <c r="AC461" s="194">
        <f t="shared" si="81"/>
        <v>0.76635772969188931</v>
      </c>
      <c r="AD461">
        <f t="shared" ref="AD461:AD515" si="88">IFERROR(IF((R461-G461)&gt;0,(IFERROR(R461-G461,"")),""),"")</f>
        <v>69</v>
      </c>
      <c r="AE461" s="194">
        <f t="shared" ref="AE461:AE515" si="89">IFERROR(1-(AA461/$F$25),"")</f>
        <v>0.16139712694954766</v>
      </c>
      <c r="AF461" s="194">
        <f t="shared" ref="AF461:AF515" si="90">IFERROR(LN(AB461/(AC461-(1-AB461)))/AD461,"")</f>
        <v>1.0183259094897234E-2</v>
      </c>
      <c r="AG461" s="245" t="str">
        <f>IF(ISNUMBER(SEARCH("C", 'Dry_Litterbag Placem_Collection'!$V168)),"YES","NO")</f>
        <v>NO</v>
      </c>
      <c r="AH461" s="245" t="str">
        <f>IF(ISNUMBER(SEARCH("H", 'Dry_Litterbag Placem_Collection'!$V168)),"YES","NO")</f>
        <v>NO</v>
      </c>
      <c r="AI461" s="245" t="str">
        <f>IF(ISNUMBER(SEARCH("R", 'Dry_Litterbag Placem_Collection'!$V168)),"YES","NO")</f>
        <v>NO</v>
      </c>
      <c r="AJ461" s="245" t="str">
        <f>IF(ISNUMBER(SEARCH("C", 'Dry_Litterbag Placem_Collection'!$U168)),"YES","NO")</f>
        <v>NO</v>
      </c>
      <c r="AK461" s="245" t="str">
        <f>IF(ISNUMBER(SEARCH("H", 'Dry_Litterbag Placem_Collection'!$U168)),"YES","NO")</f>
        <v>NO</v>
      </c>
      <c r="AL461" s="245" t="str">
        <f>IF(ISNUMBER(SEARCH("R", 'Dry_Litterbag Placem_Collection'!$U168)),"YES","NO")</f>
        <v>NO</v>
      </c>
    </row>
    <row r="462" spans="2:38">
      <c r="B462" t="str">
        <f>Dryseason!B608</f>
        <v>Dry</v>
      </c>
      <c r="C462" s="253">
        <f>Dryseason!C608</f>
        <v>167</v>
      </c>
      <c r="D462" t="s">
        <v>3126</v>
      </c>
      <c r="E462" t="s">
        <v>25</v>
      </c>
      <c r="F462" s="375">
        <v>7</v>
      </c>
      <c r="G462" s="376" t="str">
        <f>IF('Dry_Litterbag Placem_Collection'!E169="","",'Dry_Litterbag Placem_Collection'!E169)</f>
        <v/>
      </c>
      <c r="H462" s="92" t="str">
        <f>Dryseason!L608</f>
        <v/>
      </c>
      <c r="I462" t="str">
        <f>Dryseason!L828</f>
        <v/>
      </c>
      <c r="J462" t="str">
        <f>IFERROR(INDEX('Green_rooibos initial weight'!$C$5:$C$2000,MATCH(H462, 'Green_rooibos initial weight'!$A$5:$A$2000,0)),"")</f>
        <v/>
      </c>
      <c r="K462" t="str">
        <f>IFERROR(INDEX('Green_rooibos initial weight'!$C$5:$C$2000,MATCH(I462, 'Green_rooibos initial weight'!$A$5:$A$2000,0)),"")</f>
        <v/>
      </c>
      <c r="L462" s="194" t="str">
        <f t="shared" si="82"/>
        <v/>
      </c>
      <c r="M462" s="233">
        <f>AVERAGE(Ashed_controlls!$K$1:$K$11)</f>
        <v>5.5147656768714146</v>
      </c>
      <c r="N462" s="194" t="str">
        <f t="shared" si="78"/>
        <v/>
      </c>
      <c r="O462" s="194" t="str">
        <f t="shared" si="83"/>
        <v/>
      </c>
      <c r="P462" s="233">
        <f>AVERAGE(Ashed_controlls!$K$12:$K$14)</f>
        <v>2.2816647271287041</v>
      </c>
      <c r="Q462" s="194" t="str">
        <f t="shared" si="79"/>
        <v/>
      </c>
      <c r="R462" s="376" t="str">
        <f>IF('Dry_Litterbag Placem_Collection'!G169="","",'Dry_Litterbag Placem_Collection'!G169)</f>
        <v/>
      </c>
      <c r="S462" s="194" t="str">
        <f>IFERROR(INDEX('Both teabags AfterDry'!$D$3:$D$2000,MATCH(H462,'Both teabags AfterDry'!$A$3:$A$2000,0)),"")</f>
        <v/>
      </c>
      <c r="T462" s="194" t="str">
        <f>IFERROR(INDEX('Both teabags AfterDry'!$D$3:$D$2000,MATCH(I462,'Both teabags AfterDry'!$A$3:$A$2000,0)),"")</f>
        <v/>
      </c>
      <c r="U462" s="194" t="str">
        <f t="shared" si="84"/>
        <v/>
      </c>
      <c r="V462" s="194" t="str">
        <f t="shared" si="85"/>
        <v/>
      </c>
      <c r="W462" s="194" t="str">
        <f>IFERROR(INDEX('Ashed teabags dry'!$K$2:$K$2000,MATCH(H462,'Ashed teabags dry'!$A$2:$A$2000,0)),"")</f>
        <v/>
      </c>
      <c r="X462" s="194" t="str">
        <f>IFERROR(INDEX('Ashed teabags dry'!$K$2:$K$2000,MATCH(I462,'Ashed teabags dry'!$A$2:$A$2000,0)),"")</f>
        <v/>
      </c>
      <c r="Y462" s="194" t="str">
        <f t="shared" si="80"/>
        <v/>
      </c>
      <c r="Z462" s="194" t="str">
        <f t="shared" si="80"/>
        <v/>
      </c>
      <c r="AA462" s="194" t="str">
        <f t="shared" si="86"/>
        <v/>
      </c>
      <c r="AB462" s="194" t="str">
        <f t="shared" si="87"/>
        <v/>
      </c>
      <c r="AC462" s="194" t="str">
        <f t="shared" si="81"/>
        <v/>
      </c>
      <c r="AD462" t="str">
        <f t="shared" si="88"/>
        <v/>
      </c>
      <c r="AE462" s="194" t="str">
        <f t="shared" si="89"/>
        <v/>
      </c>
      <c r="AF462" s="194" t="str">
        <f t="shared" si="90"/>
        <v/>
      </c>
      <c r="AG462" s="245" t="str">
        <f>IF(ISNUMBER(SEARCH("C", 'Dry_Litterbag Placem_Collection'!$V169)),"YES","NO")</f>
        <v>NO</v>
      </c>
      <c r="AH462" s="245" t="str">
        <f>IF(ISNUMBER(SEARCH("H", 'Dry_Litterbag Placem_Collection'!$V169)),"YES","NO")</f>
        <v>NO</v>
      </c>
      <c r="AI462" s="245" t="str">
        <f>IF(ISNUMBER(SEARCH("R", 'Dry_Litterbag Placem_Collection'!$V169)),"YES","NO")</f>
        <v>NO</v>
      </c>
      <c r="AJ462" s="245" t="str">
        <f>IF(ISNUMBER(SEARCH("C", 'Dry_Litterbag Placem_Collection'!$U169)),"YES","NO")</f>
        <v>NO</v>
      </c>
      <c r="AK462" s="245" t="str">
        <f>IF(ISNUMBER(SEARCH("H", 'Dry_Litterbag Placem_Collection'!$U169)),"YES","NO")</f>
        <v>NO</v>
      </c>
      <c r="AL462" s="245" t="str">
        <f>IF(ISNUMBER(SEARCH("R", 'Dry_Litterbag Placem_Collection'!$U169)),"YES","NO")</f>
        <v>NO</v>
      </c>
    </row>
    <row r="463" spans="2:38">
      <c r="B463" t="str">
        <f>Dryseason!B609</f>
        <v>Dry</v>
      </c>
      <c r="C463" s="253">
        <f>Dryseason!C609</f>
        <v>168</v>
      </c>
      <c r="D463" t="s">
        <v>3126</v>
      </c>
      <c r="E463" t="s">
        <v>25</v>
      </c>
      <c r="F463" s="375">
        <v>8</v>
      </c>
      <c r="G463" s="376">
        <f>IF('Dry_Litterbag Placem_Collection'!E170="","",'Dry_Litterbag Placem_Collection'!E170)</f>
        <v>42940</v>
      </c>
      <c r="H463" s="92" t="str">
        <f>Dryseason!L609</f>
        <v>G304</v>
      </c>
      <c r="I463" t="str">
        <f>Dryseason!L829</f>
        <v>R413</v>
      </c>
      <c r="J463">
        <f>IFERROR(INDEX('Green_rooibos initial weight'!$C$5:$C$2000,MATCH(H463, 'Green_rooibos initial weight'!$A$5:$A$2000,0)),"")</f>
        <v>1.9490000000000001</v>
      </c>
      <c r="K463">
        <f>IFERROR(INDEX('Green_rooibos initial weight'!$C$5:$C$2000,MATCH(I463, 'Green_rooibos initial weight'!$A$5:$A$2000,0)),"")</f>
        <v>2.214</v>
      </c>
      <c r="L463" s="194">
        <f t="shared" si="82"/>
        <v>1.6992</v>
      </c>
      <c r="M463" s="233">
        <f>AVERAGE(Ashed_controlls!$K$1:$K$11)</f>
        <v>5.5147656768714146</v>
      </c>
      <c r="N463" s="194">
        <f t="shared" si="78"/>
        <v>1.6054931016186009</v>
      </c>
      <c r="O463" s="194">
        <f t="shared" si="83"/>
        <v>1.9641999999999999</v>
      </c>
      <c r="P463" s="233">
        <f>AVERAGE(Ashed_controlls!$K$12:$K$14)</f>
        <v>2.2816647271287041</v>
      </c>
      <c r="Q463" s="194">
        <f t="shared" si="79"/>
        <v>1.919383541429738</v>
      </c>
      <c r="R463" s="376">
        <f>IF('Dry_Litterbag Placem_Collection'!G170="","",'Dry_Litterbag Placem_Collection'!G170)</f>
        <v>43009</v>
      </c>
      <c r="S463" s="194" t="str">
        <f>IFERROR(INDEX('Both teabags AfterDry'!$D$3:$D$2000,MATCH(H463,'Both teabags AfterDry'!$A$3:$A$2000,0)),"")</f>
        <v/>
      </c>
      <c r="T463" s="194" t="str">
        <f>IFERROR(INDEX('Both teabags AfterDry'!$D$3:$D$2000,MATCH(I463,'Both teabags AfterDry'!$A$3:$A$2000,0)),"")</f>
        <v/>
      </c>
      <c r="U463" s="194" t="str">
        <f t="shared" si="84"/>
        <v/>
      </c>
      <c r="V463" s="194" t="str">
        <f t="shared" si="85"/>
        <v/>
      </c>
      <c r="W463" s="194" t="str">
        <f>IFERROR(INDEX('Ashed teabags dry'!$K$2:$K$2000,MATCH(H463,'Ashed teabags dry'!$A$2:$A$2000,0)),"")</f>
        <v/>
      </c>
      <c r="X463" s="194" t="str">
        <f>IFERROR(INDEX('Ashed teabags dry'!$K$2:$K$2000,MATCH(I463,'Ashed teabags dry'!$A$2:$A$2000,0)),"")</f>
        <v/>
      </c>
      <c r="Y463" s="194" t="str">
        <f t="shared" si="80"/>
        <v/>
      </c>
      <c r="Z463" s="194" t="str">
        <f t="shared" si="80"/>
        <v/>
      </c>
      <c r="AA463" s="194" t="str">
        <f t="shared" si="86"/>
        <v/>
      </c>
      <c r="AB463" s="194" t="str">
        <f t="shared" si="87"/>
        <v/>
      </c>
      <c r="AC463" s="194" t="str">
        <f t="shared" si="81"/>
        <v/>
      </c>
      <c r="AD463">
        <f t="shared" si="88"/>
        <v>69</v>
      </c>
      <c r="AE463" s="194" t="str">
        <f t="shared" si="89"/>
        <v/>
      </c>
      <c r="AF463" s="194" t="str">
        <f t="shared" si="90"/>
        <v/>
      </c>
      <c r="AG463" s="245" t="str">
        <f>IF(ISNUMBER(SEARCH("C", 'Dry_Litterbag Placem_Collection'!$V170)),"YES","NO")</f>
        <v>NO</v>
      </c>
      <c r="AH463" s="245" t="str">
        <f>IF(ISNUMBER(SEARCH("H", 'Dry_Litterbag Placem_Collection'!$V170)),"YES","NO")</f>
        <v>NO</v>
      </c>
      <c r="AI463" s="245" t="str">
        <f>IF(ISNUMBER(SEARCH("R", 'Dry_Litterbag Placem_Collection'!$V170)),"YES","NO")</f>
        <v>YES</v>
      </c>
      <c r="AJ463" s="245" t="str">
        <f>IF(ISNUMBER(SEARCH("C", 'Dry_Litterbag Placem_Collection'!$U170)),"YES","NO")</f>
        <v>NO</v>
      </c>
      <c r="AK463" s="245" t="str">
        <f>IF(ISNUMBER(SEARCH("H", 'Dry_Litterbag Placem_Collection'!$U170)),"YES","NO")</f>
        <v>NO</v>
      </c>
      <c r="AL463" s="245" t="str">
        <f>IF(ISNUMBER(SEARCH("R", 'Dry_Litterbag Placem_Collection'!$U170)),"YES","NO")</f>
        <v>NO</v>
      </c>
    </row>
    <row r="464" spans="2:38">
      <c r="B464" t="str">
        <f>Dryseason!B610</f>
        <v>Dry</v>
      </c>
      <c r="C464" s="253">
        <f>Dryseason!C610</f>
        <v>169</v>
      </c>
      <c r="D464" t="s">
        <v>3128</v>
      </c>
      <c r="E464" t="s">
        <v>25</v>
      </c>
      <c r="F464" s="374">
        <v>1</v>
      </c>
      <c r="G464" s="376">
        <f>IF('Dry_Litterbag Placem_Collection'!E171="","",'Dry_Litterbag Placem_Collection'!E171)</f>
        <v>42940</v>
      </c>
      <c r="H464" s="92" t="str">
        <f>Dryseason!L610</f>
        <v>G135</v>
      </c>
      <c r="I464" t="str">
        <f>Dryseason!L830</f>
        <v>R80</v>
      </c>
      <c r="J464">
        <f>IFERROR(INDEX('Green_rooibos initial weight'!$C$5:$C$2000,MATCH(H464, 'Green_rooibos initial weight'!$A$5:$A$2000,0)),"")</f>
        <v>2.0049999999999999</v>
      </c>
      <c r="K464">
        <f>IFERROR(INDEX('Green_rooibos initial weight'!$C$5:$C$2000,MATCH(I464, 'Green_rooibos initial weight'!$A$5:$A$2000,0)),"")</f>
        <v>2.177</v>
      </c>
      <c r="L464" s="194">
        <f t="shared" si="82"/>
        <v>1.7551999999999999</v>
      </c>
      <c r="M464" s="233">
        <f>AVERAGE(Ashed_controlls!$K$1:$K$11)</f>
        <v>5.5147656768714146</v>
      </c>
      <c r="N464" s="194">
        <f t="shared" si="78"/>
        <v>1.6584048328395529</v>
      </c>
      <c r="O464" s="194">
        <f t="shared" si="83"/>
        <v>1.9272</v>
      </c>
      <c r="P464" s="233">
        <f>AVERAGE(Ashed_controlls!$K$12:$K$14)</f>
        <v>2.2816647271287041</v>
      </c>
      <c r="Q464" s="194">
        <f t="shared" si="79"/>
        <v>1.8832277573787757</v>
      </c>
      <c r="R464" s="376">
        <f>IF('Dry_Litterbag Placem_Collection'!G171="","",'Dry_Litterbag Placem_Collection'!G171)</f>
        <v>43009</v>
      </c>
      <c r="S464" s="194">
        <f>IFERROR(INDEX('Both teabags AfterDry'!$D$3:$D$2000,MATCH(H464,'Both teabags AfterDry'!$A$3:$A$2000,0)),"")</f>
        <v>0.78129999999999999</v>
      </c>
      <c r="T464" s="194">
        <f>IFERROR(INDEX('Both teabags AfterDry'!$D$3:$D$2000,MATCH(I464,'Both teabags AfterDry'!$A$3:$A$2000,0)),"")</f>
        <v>1.8815999999999999</v>
      </c>
      <c r="U464" s="194">
        <f t="shared" si="84"/>
        <v>0.63070000000000004</v>
      </c>
      <c r="V464" s="194">
        <f t="shared" si="85"/>
        <v>1.7309999999999999</v>
      </c>
      <c r="W464" s="194">
        <f>IFERROR(INDEX('Ashed teabags dry'!$K$2:$K$2000,MATCH(H464,'Ashed teabags dry'!$A$2:$A$2000,0)),"")</f>
        <v>21.873514027579272</v>
      </c>
      <c r="X464" s="194">
        <f>IFERROR(INDEX('Ashed teabags dry'!$K$2:$K$2000,MATCH(I464,'Ashed teabags dry'!$A$2:$A$2000,0)),"")</f>
        <v>12.458706937234023</v>
      </c>
      <c r="Y464" s="194">
        <f t="shared" si="80"/>
        <v>0.49274374702805757</v>
      </c>
      <c r="Z464" s="194">
        <f t="shared" si="80"/>
        <v>1.515339782916479</v>
      </c>
      <c r="AA464" s="194">
        <f t="shared" si="86"/>
        <v>0.7028809026175038</v>
      </c>
      <c r="AB464" s="194">
        <f t="shared" si="87"/>
        <v>0.46079603116967</v>
      </c>
      <c r="AC464" s="194">
        <f t="shared" si="81"/>
        <v>0.80465030157884243</v>
      </c>
      <c r="AD464">
        <f t="shared" si="88"/>
        <v>69</v>
      </c>
      <c r="AE464" s="194">
        <f t="shared" si="89"/>
        <v>0.16522458121436601</v>
      </c>
      <c r="AF464" s="194">
        <f t="shared" si="90"/>
        <v>7.9933740974252338E-3</v>
      </c>
      <c r="AG464" s="245" t="str">
        <f>IF(ISNUMBER(SEARCH("C", 'Dry_Litterbag Placem_Collection'!$V171)),"YES","NO")</f>
        <v>NO</v>
      </c>
      <c r="AH464" s="245" t="str">
        <f>IF(ISNUMBER(SEARCH("H", 'Dry_Litterbag Placem_Collection'!$V171)),"YES","NO")</f>
        <v>NO</v>
      </c>
      <c r="AI464" s="245" t="str">
        <f>IF(ISNUMBER(SEARCH("R", 'Dry_Litterbag Placem_Collection'!$V171)),"YES","NO")</f>
        <v>YES</v>
      </c>
      <c r="AJ464" s="245" t="str">
        <f>IF(ISNUMBER(SEARCH("C", 'Dry_Litterbag Placem_Collection'!$U171)),"YES","NO")</f>
        <v>NO</v>
      </c>
      <c r="AK464" s="245" t="str">
        <f>IF(ISNUMBER(SEARCH("H", 'Dry_Litterbag Placem_Collection'!$U171)),"YES","NO")</f>
        <v>NO</v>
      </c>
      <c r="AL464" s="245" t="str">
        <f>IF(ISNUMBER(SEARCH("R", 'Dry_Litterbag Placem_Collection'!$U171)),"YES","NO")</f>
        <v>YES</v>
      </c>
    </row>
    <row r="465" spans="2:38">
      <c r="B465" t="str">
        <f>Dryseason!B611</f>
        <v>Dry</v>
      </c>
      <c r="C465" s="253">
        <f>Dryseason!C611</f>
        <v>170</v>
      </c>
      <c r="D465" t="s">
        <v>3128</v>
      </c>
      <c r="E465" t="s">
        <v>25</v>
      </c>
      <c r="F465" s="374">
        <v>2</v>
      </c>
      <c r="G465" s="376">
        <f>IF('Dry_Litterbag Placem_Collection'!E172="","",'Dry_Litterbag Placem_Collection'!E172)</f>
        <v>42940</v>
      </c>
      <c r="H465" s="92" t="str">
        <f>Dryseason!L611</f>
        <v>G515</v>
      </c>
      <c r="I465" t="str">
        <f>Dryseason!L831</f>
        <v>R208</v>
      </c>
      <c r="J465">
        <f>IFERROR(INDEX('Green_rooibos initial weight'!$C$5:$C$2000,MATCH(H465, 'Green_rooibos initial weight'!$A$5:$A$2000,0)),"")</f>
        <v>1.9890000000000001</v>
      </c>
      <c r="K465">
        <f>IFERROR(INDEX('Green_rooibos initial weight'!$C$5:$C$2000,MATCH(I465, 'Green_rooibos initial weight'!$A$5:$A$2000,0)),"")</f>
        <v>2.2250000000000001</v>
      </c>
      <c r="L465" s="194">
        <f t="shared" si="82"/>
        <v>1.7392000000000001</v>
      </c>
      <c r="M465" s="233">
        <f>AVERAGE(Ashed_controlls!$K$1:$K$11)</f>
        <v>5.5147656768714146</v>
      </c>
      <c r="N465" s="194">
        <f t="shared" si="78"/>
        <v>1.6432871953478525</v>
      </c>
      <c r="O465" s="194">
        <f t="shared" si="83"/>
        <v>1.9752000000000001</v>
      </c>
      <c r="P465" s="233">
        <f>AVERAGE(Ashed_controlls!$K$12:$K$14)</f>
        <v>2.2816647271287041</v>
      </c>
      <c r="Q465" s="194">
        <f t="shared" si="79"/>
        <v>1.9301325583097539</v>
      </c>
      <c r="R465" s="376">
        <f>IF('Dry_Litterbag Placem_Collection'!G172="","",'Dry_Litterbag Placem_Collection'!G172)</f>
        <v>43009</v>
      </c>
      <c r="S465" s="194">
        <f>IFERROR(INDEX('Both teabags AfterDry'!$D$3:$D$2000,MATCH(H465,'Both teabags AfterDry'!$A$3:$A$2000,0)),"")</f>
        <v>0.77959999999999996</v>
      </c>
      <c r="T465" s="194">
        <f>IFERROR(INDEX('Both teabags AfterDry'!$D$3:$D$2000,MATCH(I465,'Both teabags AfterDry'!$A$3:$A$2000,0)),"")</f>
        <v>1.8463000000000001</v>
      </c>
      <c r="U465" s="194">
        <f t="shared" si="84"/>
        <v>0.629</v>
      </c>
      <c r="V465" s="194">
        <f t="shared" si="85"/>
        <v>1.6957</v>
      </c>
      <c r="W465" s="194">
        <f>IFERROR(INDEX('Ashed teabags dry'!$K$2:$K$2000,MATCH(H465,'Ashed teabags dry'!$A$2:$A$2000,0)),"")</f>
        <v>24.595469255663417</v>
      </c>
      <c r="X465" s="194">
        <f>IFERROR(INDEX('Ashed teabags dry'!$K$2:$K$2000,MATCH(I465,'Ashed teabags dry'!$A$2:$A$2000,0)),"")</f>
        <v>5.3697597739049137</v>
      </c>
      <c r="Y465" s="194">
        <f t="shared" si="80"/>
        <v>0.47429449838187709</v>
      </c>
      <c r="Z465" s="194">
        <f t="shared" si="80"/>
        <v>1.6046449835138943</v>
      </c>
      <c r="AA465" s="194">
        <f t="shared" si="86"/>
        <v>0.7113745547798308</v>
      </c>
      <c r="AB465" s="194">
        <f t="shared" si="87"/>
        <v>0.46636431619770385</v>
      </c>
      <c r="AC465" s="194">
        <f t="shared" si="81"/>
        <v>0.83136517054512882</v>
      </c>
      <c r="AD465">
        <f t="shared" si="88"/>
        <v>69</v>
      </c>
      <c r="AE465" s="194">
        <f t="shared" si="89"/>
        <v>0.15513710833749306</v>
      </c>
      <c r="AF465" s="194">
        <f t="shared" si="90"/>
        <v>6.504084224170697E-3</v>
      </c>
      <c r="AG465" s="245" t="str">
        <f>IF(ISNUMBER(SEARCH("C", 'Dry_Litterbag Placem_Collection'!$V172)),"YES","NO")</f>
        <v>NO</v>
      </c>
      <c r="AH465" s="245" t="str">
        <f>IF(ISNUMBER(SEARCH("H", 'Dry_Litterbag Placem_Collection'!$V172)),"YES","NO")</f>
        <v>NO</v>
      </c>
      <c r="AI465" s="245" t="str">
        <f>IF(ISNUMBER(SEARCH("R", 'Dry_Litterbag Placem_Collection'!$V172)),"YES","NO")</f>
        <v>NO</v>
      </c>
      <c r="AJ465" s="245" t="str">
        <f>IF(ISNUMBER(SEARCH("C", 'Dry_Litterbag Placem_Collection'!$U172)),"YES","NO")</f>
        <v>NO</v>
      </c>
      <c r="AK465" s="245" t="str">
        <f>IF(ISNUMBER(SEARCH("H", 'Dry_Litterbag Placem_Collection'!$U172)),"YES","NO")</f>
        <v>NO</v>
      </c>
      <c r="AL465" s="245" t="str">
        <f>IF(ISNUMBER(SEARCH("R", 'Dry_Litterbag Placem_Collection'!$U172)),"YES","NO")</f>
        <v>YES</v>
      </c>
    </row>
    <row r="466" spans="2:38">
      <c r="B466" t="str">
        <f>Dryseason!B612</f>
        <v>Dry</v>
      </c>
      <c r="C466" s="253">
        <f>Dryseason!C612</f>
        <v>171</v>
      </c>
      <c r="D466" t="s">
        <v>3128</v>
      </c>
      <c r="E466" t="s">
        <v>25</v>
      </c>
      <c r="F466" s="374">
        <v>3</v>
      </c>
      <c r="G466" s="376">
        <f>IF('Dry_Litterbag Placem_Collection'!E173="","",'Dry_Litterbag Placem_Collection'!E173)</f>
        <v>42940</v>
      </c>
      <c r="H466" s="92" t="str">
        <f>Dryseason!L612</f>
        <v>G348</v>
      </c>
      <c r="I466" t="str">
        <f>Dryseason!L832</f>
        <v>R633</v>
      </c>
      <c r="J466">
        <f>IFERROR(INDEX('Green_rooibos initial weight'!$C$5:$C$2000,MATCH(H466, 'Green_rooibos initial weight'!$A$5:$A$2000,0)),"")</f>
        <v>2.0139999999999998</v>
      </c>
      <c r="K466">
        <f>IFERROR(INDEX('Green_rooibos initial weight'!$C$5:$C$2000,MATCH(I466, 'Green_rooibos initial weight'!$A$5:$A$2000,0)),"")</f>
        <v>2.0760000000000001</v>
      </c>
      <c r="L466" s="194">
        <f t="shared" si="82"/>
        <v>1.7641999999999998</v>
      </c>
      <c r="M466" s="233">
        <f>AVERAGE(Ashed_controlls!$K$1:$K$11)</f>
        <v>5.5147656768714146</v>
      </c>
      <c r="N466" s="194">
        <f t="shared" si="78"/>
        <v>1.6669085039286342</v>
      </c>
      <c r="O466" s="194">
        <f t="shared" si="83"/>
        <v>1.8262</v>
      </c>
      <c r="P466" s="233">
        <f>AVERAGE(Ashed_controlls!$K$12:$K$14)</f>
        <v>2.2816647271287041</v>
      </c>
      <c r="Q466" s="194">
        <f t="shared" si="79"/>
        <v>1.7845322387531757</v>
      </c>
      <c r="R466" s="376">
        <f>IF('Dry_Litterbag Placem_Collection'!G173="","",'Dry_Litterbag Placem_Collection'!G173)</f>
        <v>43009</v>
      </c>
      <c r="S466" s="194">
        <f>IFERROR(INDEX('Both teabags AfterDry'!$D$3:$D$2000,MATCH(H466,'Both teabags AfterDry'!$A$3:$A$2000,0)),"")</f>
        <v>0.69310000000000005</v>
      </c>
      <c r="T466" s="194">
        <f>IFERROR(INDEX('Both teabags AfterDry'!$D$3:$D$2000,MATCH(I466,'Both teabags AfterDry'!$A$3:$A$2000,0)),"")</f>
        <v>1.6096999999999999</v>
      </c>
      <c r="U466" s="194">
        <f t="shared" si="84"/>
        <v>0.54249999999999998</v>
      </c>
      <c r="V466" s="194">
        <f t="shared" si="85"/>
        <v>1.4590999999999998</v>
      </c>
      <c r="W466" s="194">
        <f>IFERROR(INDEX('Ashed teabags dry'!$K$2:$K$2000,MATCH(H466,'Ashed teabags dry'!$A$2:$A$2000,0)),"")</f>
        <v>19.412878787879041</v>
      </c>
      <c r="X466" s="194">
        <f>IFERROR(INDEX('Ashed teabags dry'!$K$2:$K$2000,MATCH(I466,'Ashed teabags dry'!$A$2:$A$2000,0)),"")</f>
        <v>5.8156727451944334</v>
      </c>
      <c r="Y466" s="194">
        <f t="shared" si="80"/>
        <v>0.4371851325757562</v>
      </c>
      <c r="Z466" s="194">
        <f t="shared" si="80"/>
        <v>1.3742435189748679</v>
      </c>
      <c r="AA466" s="194">
        <f t="shared" si="86"/>
        <v>0.7377269768884247</v>
      </c>
      <c r="AB466" s="194">
        <f t="shared" si="87"/>
        <v>0.48364048841141388</v>
      </c>
      <c r="AC466" s="194">
        <f t="shared" si="81"/>
        <v>0.77008612628653317</v>
      </c>
      <c r="AD466">
        <f t="shared" si="88"/>
        <v>69</v>
      </c>
      <c r="AE466" s="194">
        <f t="shared" si="89"/>
        <v>0.12383969490685898</v>
      </c>
      <c r="AF466" s="194">
        <f t="shared" si="90"/>
        <v>9.3490503027229034E-3</v>
      </c>
      <c r="AG466" s="245" t="str">
        <f>IF(ISNUMBER(SEARCH("C", 'Dry_Litterbag Placem_Collection'!$V173)),"YES","NO")</f>
        <v>NO</v>
      </c>
      <c r="AH466" s="245" t="str">
        <f>IF(ISNUMBER(SEARCH("H", 'Dry_Litterbag Placem_Collection'!$V173)),"YES","NO")</f>
        <v>NO</v>
      </c>
      <c r="AI466" s="245" t="str">
        <f>IF(ISNUMBER(SEARCH("R", 'Dry_Litterbag Placem_Collection'!$V173)),"YES","NO")</f>
        <v>NO</v>
      </c>
      <c r="AJ466" s="245" t="str">
        <f>IF(ISNUMBER(SEARCH("C", 'Dry_Litterbag Placem_Collection'!$U173)),"YES","NO")</f>
        <v>NO</v>
      </c>
      <c r="AK466" s="245" t="str">
        <f>IF(ISNUMBER(SEARCH("H", 'Dry_Litterbag Placem_Collection'!$U173)),"YES","NO")</f>
        <v>NO</v>
      </c>
      <c r="AL466" s="245" t="str">
        <f>IF(ISNUMBER(SEARCH("R", 'Dry_Litterbag Placem_Collection'!$U173)),"YES","NO")</f>
        <v>YES</v>
      </c>
    </row>
    <row r="467" spans="2:38">
      <c r="B467" t="str">
        <f>Dryseason!B613</f>
        <v>Dry</v>
      </c>
      <c r="C467" s="253">
        <f>Dryseason!C613</f>
        <v>172</v>
      </c>
      <c r="D467" t="s">
        <v>3128</v>
      </c>
      <c r="E467" t="s">
        <v>25</v>
      </c>
      <c r="F467" s="375">
        <v>4</v>
      </c>
      <c r="G467" s="376" t="str">
        <f>IF('Dry_Litterbag Placem_Collection'!E174="","",'Dry_Litterbag Placem_Collection'!E174)</f>
        <v/>
      </c>
      <c r="H467" s="92" t="str">
        <f>Dryseason!L613</f>
        <v/>
      </c>
      <c r="I467" t="str">
        <f>Dryseason!L833</f>
        <v/>
      </c>
      <c r="J467" t="str">
        <f>IFERROR(INDEX('Green_rooibos initial weight'!$C$5:$C$2000,MATCH(H467, 'Green_rooibos initial weight'!$A$5:$A$2000,0)),"")</f>
        <v/>
      </c>
      <c r="K467" t="str">
        <f>IFERROR(INDEX('Green_rooibos initial weight'!$C$5:$C$2000,MATCH(I467, 'Green_rooibos initial weight'!$A$5:$A$2000,0)),"")</f>
        <v/>
      </c>
      <c r="L467" s="194" t="str">
        <f t="shared" si="82"/>
        <v/>
      </c>
      <c r="M467" s="233">
        <f>AVERAGE(Ashed_controlls!$K$1:$K$11)</f>
        <v>5.5147656768714146</v>
      </c>
      <c r="N467" s="194" t="str">
        <f t="shared" si="78"/>
        <v/>
      </c>
      <c r="O467" s="194" t="str">
        <f t="shared" si="83"/>
        <v/>
      </c>
      <c r="P467" s="233">
        <f>AVERAGE(Ashed_controlls!$K$12:$K$14)</f>
        <v>2.2816647271287041</v>
      </c>
      <c r="Q467" s="194" t="str">
        <f t="shared" si="79"/>
        <v/>
      </c>
      <c r="R467" s="376" t="str">
        <f>IF('Dry_Litterbag Placem_Collection'!G174="","",'Dry_Litterbag Placem_Collection'!G174)</f>
        <v/>
      </c>
      <c r="S467" s="194" t="str">
        <f>IFERROR(INDEX('Both teabags AfterDry'!$D$3:$D$2000,MATCH(H467,'Both teabags AfterDry'!$A$3:$A$2000,0)),"")</f>
        <v/>
      </c>
      <c r="T467" s="194" t="str">
        <f>IFERROR(INDEX('Both teabags AfterDry'!$D$3:$D$2000,MATCH(I467,'Both teabags AfterDry'!$A$3:$A$2000,0)),"")</f>
        <v/>
      </c>
      <c r="U467" s="194" t="str">
        <f t="shared" si="84"/>
        <v/>
      </c>
      <c r="V467" s="194" t="str">
        <f t="shared" si="85"/>
        <v/>
      </c>
      <c r="W467" s="194" t="str">
        <f>IFERROR(INDEX('Ashed teabags dry'!$K$2:$K$2000,MATCH(H467,'Ashed teabags dry'!$A$2:$A$2000,0)),"")</f>
        <v/>
      </c>
      <c r="X467" s="194" t="str">
        <f>IFERROR(INDEX('Ashed teabags dry'!$K$2:$K$2000,MATCH(I467,'Ashed teabags dry'!$A$2:$A$2000,0)),"")</f>
        <v/>
      </c>
      <c r="Y467" s="194" t="str">
        <f t="shared" si="80"/>
        <v/>
      </c>
      <c r="Z467" s="194" t="str">
        <f t="shared" si="80"/>
        <v/>
      </c>
      <c r="AA467" s="194" t="str">
        <f t="shared" si="86"/>
        <v/>
      </c>
      <c r="AB467" s="194" t="str">
        <f t="shared" si="87"/>
        <v/>
      </c>
      <c r="AC467" s="194" t="str">
        <f t="shared" si="81"/>
        <v/>
      </c>
      <c r="AD467" t="str">
        <f t="shared" si="88"/>
        <v/>
      </c>
      <c r="AE467" s="194" t="str">
        <f t="shared" si="89"/>
        <v/>
      </c>
      <c r="AF467" s="194" t="str">
        <f t="shared" si="90"/>
        <v/>
      </c>
      <c r="AG467" s="245" t="str">
        <f>IF(ISNUMBER(SEARCH("C", 'Dry_Litterbag Placem_Collection'!$V174)),"YES","NO")</f>
        <v>NO</v>
      </c>
      <c r="AH467" s="245" t="str">
        <f>IF(ISNUMBER(SEARCH("H", 'Dry_Litterbag Placem_Collection'!$V174)),"YES","NO")</f>
        <v>NO</v>
      </c>
      <c r="AI467" s="245" t="str">
        <f>IF(ISNUMBER(SEARCH("R", 'Dry_Litterbag Placem_Collection'!$V174)),"YES","NO")</f>
        <v>NO</v>
      </c>
      <c r="AJ467" s="245" t="str">
        <f>IF(ISNUMBER(SEARCH("C", 'Dry_Litterbag Placem_Collection'!$U174)),"YES","NO")</f>
        <v>NO</v>
      </c>
      <c r="AK467" s="245" t="str">
        <f>IF(ISNUMBER(SEARCH("H", 'Dry_Litterbag Placem_Collection'!$U174)),"YES","NO")</f>
        <v>NO</v>
      </c>
      <c r="AL467" s="245" t="str">
        <f>IF(ISNUMBER(SEARCH("R", 'Dry_Litterbag Placem_Collection'!$U174)),"YES","NO")</f>
        <v>NO</v>
      </c>
    </row>
    <row r="468" spans="2:38">
      <c r="B468" t="str">
        <f>Dryseason!B614</f>
        <v>Dry</v>
      </c>
      <c r="C468" s="253">
        <f>Dryseason!C614</f>
        <v>173</v>
      </c>
      <c r="D468" t="s">
        <v>3128</v>
      </c>
      <c r="E468" t="s">
        <v>25</v>
      </c>
      <c r="F468" s="375">
        <v>5</v>
      </c>
      <c r="G468" s="376">
        <f>IF('Dry_Litterbag Placem_Collection'!E175="","",'Dry_Litterbag Placem_Collection'!E175)</f>
        <v>42940</v>
      </c>
      <c r="H468" s="92" t="str">
        <f>Dryseason!L614</f>
        <v>G307</v>
      </c>
      <c r="I468" t="str">
        <f>Dryseason!L834</f>
        <v>R473</v>
      </c>
      <c r="J468">
        <f>IFERROR(INDEX('Green_rooibos initial weight'!$C$5:$C$2000,MATCH(H468, 'Green_rooibos initial weight'!$A$5:$A$2000,0)),"")</f>
        <v>1.9810000000000001</v>
      </c>
      <c r="K468">
        <f>IFERROR(INDEX('Green_rooibos initial weight'!$C$5:$C$2000,MATCH(I468, 'Green_rooibos initial weight'!$A$5:$A$2000,0)),"")</f>
        <v>2.302</v>
      </c>
      <c r="L468" s="194">
        <f t="shared" si="82"/>
        <v>1.7312000000000001</v>
      </c>
      <c r="M468" s="233">
        <f>AVERAGE(Ashed_controlls!$K$1:$K$11)</f>
        <v>5.5147656768714146</v>
      </c>
      <c r="N468" s="194">
        <f t="shared" si="78"/>
        <v>1.6357283766020021</v>
      </c>
      <c r="O468" s="194">
        <f t="shared" si="83"/>
        <v>2.0522</v>
      </c>
      <c r="P468" s="233">
        <f>AVERAGE(Ashed_controlls!$K$12:$K$14)</f>
        <v>2.2816647271287041</v>
      </c>
      <c r="Q468" s="194">
        <f t="shared" si="79"/>
        <v>2.0053756764698649</v>
      </c>
      <c r="R468" s="376">
        <f>IF('Dry_Litterbag Placem_Collection'!G175="","",'Dry_Litterbag Placem_Collection'!G175)</f>
        <v>43009</v>
      </c>
      <c r="S468" s="194" t="str">
        <f>IFERROR(INDEX('Both teabags AfterDry'!$D$3:$D$2000,MATCH(H468,'Both teabags AfterDry'!$A$3:$A$2000,0)),"")</f>
        <v/>
      </c>
      <c r="T468" s="194" t="str">
        <f>IFERROR(INDEX('Both teabags AfterDry'!$D$3:$D$2000,MATCH(I468,'Both teabags AfterDry'!$A$3:$A$2000,0)),"")</f>
        <v/>
      </c>
      <c r="U468" s="194" t="str">
        <f t="shared" si="84"/>
        <v/>
      </c>
      <c r="V468" s="194" t="str">
        <f t="shared" si="85"/>
        <v/>
      </c>
      <c r="W468" s="194" t="str">
        <f>IFERROR(INDEX('Ashed teabags dry'!$K$2:$K$2000,MATCH(H468,'Ashed teabags dry'!$A$2:$A$2000,0)),"")</f>
        <v/>
      </c>
      <c r="X468" s="194" t="str">
        <f>IFERROR(INDEX('Ashed teabags dry'!$K$2:$K$2000,MATCH(I468,'Ashed teabags dry'!$A$2:$A$2000,0)),"")</f>
        <v/>
      </c>
      <c r="Y468" s="194" t="str">
        <f t="shared" si="80"/>
        <v/>
      </c>
      <c r="Z468" s="194" t="str">
        <f t="shared" si="80"/>
        <v/>
      </c>
      <c r="AA468" s="194" t="str">
        <f t="shared" si="86"/>
        <v/>
      </c>
      <c r="AB468" s="194" t="str">
        <f t="shared" si="87"/>
        <v/>
      </c>
      <c r="AC468" s="194" t="str">
        <f t="shared" si="81"/>
        <v/>
      </c>
      <c r="AD468">
        <f t="shared" si="88"/>
        <v>69</v>
      </c>
      <c r="AE468" s="194" t="str">
        <f t="shared" si="89"/>
        <v/>
      </c>
      <c r="AF468" s="194" t="str">
        <f t="shared" si="90"/>
        <v/>
      </c>
      <c r="AG468" s="245" t="str">
        <f>IF(ISNUMBER(SEARCH("C", 'Dry_Litterbag Placem_Collection'!$V175)),"YES","NO")</f>
        <v>NO</v>
      </c>
      <c r="AH468" s="245" t="str">
        <f>IF(ISNUMBER(SEARCH("H", 'Dry_Litterbag Placem_Collection'!$V175)),"YES","NO")</f>
        <v>NO</v>
      </c>
      <c r="AI468" s="245" t="str">
        <f>IF(ISNUMBER(SEARCH("R", 'Dry_Litterbag Placem_Collection'!$V175)),"YES","NO")</f>
        <v>NO</v>
      </c>
      <c r="AJ468" s="245" t="str">
        <f>IF(ISNUMBER(SEARCH("C", 'Dry_Litterbag Placem_Collection'!$U175)),"YES","NO")</f>
        <v>NO</v>
      </c>
      <c r="AK468" s="245" t="str">
        <f>IF(ISNUMBER(SEARCH("H", 'Dry_Litterbag Placem_Collection'!$U175)),"YES","NO")</f>
        <v>NO</v>
      </c>
      <c r="AL468" s="245" t="str">
        <f>IF(ISNUMBER(SEARCH("R", 'Dry_Litterbag Placem_Collection'!$U175)),"YES","NO")</f>
        <v>NO</v>
      </c>
    </row>
    <row r="469" spans="2:38">
      <c r="B469" t="str">
        <f>Dryseason!B615</f>
        <v>Dry</v>
      </c>
      <c r="C469" s="253">
        <f>Dryseason!C615</f>
        <v>174</v>
      </c>
      <c r="D469" t="s">
        <v>3128</v>
      </c>
      <c r="E469" t="s">
        <v>25</v>
      </c>
      <c r="F469" s="375">
        <v>6</v>
      </c>
      <c r="G469" s="376">
        <f>IF('Dry_Litterbag Placem_Collection'!E176="","",'Dry_Litterbag Placem_Collection'!E176)</f>
        <v>42940</v>
      </c>
      <c r="H469" s="92" t="str">
        <f>Dryseason!L615</f>
        <v>G155</v>
      </c>
      <c r="I469" t="str">
        <f>Dryseason!L835</f>
        <v>R702</v>
      </c>
      <c r="J469">
        <f>IFERROR(INDEX('Green_rooibos initial weight'!$C$5:$C$2000,MATCH(H469, 'Green_rooibos initial weight'!$A$5:$A$2000,0)),"")</f>
        <v>2.0379999999999998</v>
      </c>
      <c r="K469">
        <f>IFERROR(INDEX('Green_rooibos initial weight'!$C$5:$C$2000,MATCH(I469, 'Green_rooibos initial weight'!$A$5:$A$2000,0)),"")</f>
        <v>2.2010000000000001</v>
      </c>
      <c r="L469" s="194">
        <f t="shared" si="82"/>
        <v>1.7881999999999998</v>
      </c>
      <c r="M469" s="233">
        <f>AVERAGE(Ashed_controlls!$K$1:$K$11)</f>
        <v>5.5147656768714146</v>
      </c>
      <c r="N469" s="194">
        <f t="shared" si="78"/>
        <v>1.6895849601661852</v>
      </c>
      <c r="O469" s="194">
        <f t="shared" si="83"/>
        <v>1.9512</v>
      </c>
      <c r="P469" s="233">
        <f>AVERAGE(Ashed_controlls!$K$12:$K$14)</f>
        <v>2.2816647271287041</v>
      </c>
      <c r="Q469" s="194">
        <f t="shared" si="79"/>
        <v>1.9066801578442647</v>
      </c>
      <c r="R469" s="376">
        <f>IF('Dry_Litterbag Placem_Collection'!G176="","",'Dry_Litterbag Placem_Collection'!G176)</f>
        <v>43009</v>
      </c>
      <c r="S469" s="194">
        <f>IFERROR(INDEX('Both teabags AfterDry'!$D$3:$D$2000,MATCH(H469,'Both teabags AfterDry'!$A$3:$A$2000,0)),"")</f>
        <v>0.78239999999999998</v>
      </c>
      <c r="T469" s="194">
        <f>IFERROR(INDEX('Both teabags AfterDry'!$D$3:$D$2000,MATCH(I469,'Both teabags AfterDry'!$A$3:$A$2000,0)),"")</f>
        <v>1.7047000000000001</v>
      </c>
      <c r="U469" s="194">
        <f t="shared" si="84"/>
        <v>0.63179999999999992</v>
      </c>
      <c r="V469" s="194">
        <f t="shared" si="85"/>
        <v>1.5541</v>
      </c>
      <c r="W469" s="194">
        <f>IFERROR(INDEX('Ashed teabags dry'!$K$2:$K$2000,MATCH(H469,'Ashed teabags dry'!$A$2:$A$2000,0)),"")</f>
        <v>23.40527577937609</v>
      </c>
      <c r="X469" s="194">
        <f>IFERROR(INDEX('Ashed teabags dry'!$K$2:$K$2000,MATCH(I469,'Ashed teabags dry'!$A$2:$A$2000,0)),"")</f>
        <v>12.547709923664542</v>
      </c>
      <c r="Y469" s="194">
        <f t="shared" si="80"/>
        <v>0.48392546762590183</v>
      </c>
      <c r="Z469" s="194">
        <f t="shared" si="80"/>
        <v>1.3590960400763294</v>
      </c>
      <c r="AA469" s="194">
        <f t="shared" si="86"/>
        <v>0.71358322958893794</v>
      </c>
      <c r="AB469" s="194">
        <f t="shared" si="87"/>
        <v>0.46781228353099025</v>
      </c>
      <c r="AC469" s="194">
        <f t="shared" si="81"/>
        <v>0.71280756475325879</v>
      </c>
      <c r="AD469">
        <f t="shared" si="88"/>
        <v>69</v>
      </c>
      <c r="AE469" s="194">
        <f t="shared" si="89"/>
        <v>0.152513979110525</v>
      </c>
      <c r="AF469" s="194">
        <f t="shared" si="90"/>
        <v>1.3792356159964934E-2</v>
      </c>
      <c r="AG469" s="245" t="str">
        <f>IF(ISNUMBER(SEARCH("C", 'Dry_Litterbag Placem_Collection'!$V176)),"YES","NO")</f>
        <v>NO</v>
      </c>
      <c r="AH469" s="245" t="str">
        <f>IF(ISNUMBER(SEARCH("H", 'Dry_Litterbag Placem_Collection'!$V176)),"YES","NO")</f>
        <v>NO</v>
      </c>
      <c r="AI469" s="245" t="str">
        <f>IF(ISNUMBER(SEARCH("R", 'Dry_Litterbag Placem_Collection'!$V176)),"YES","NO")</f>
        <v>NO</v>
      </c>
      <c r="AJ469" s="245" t="str">
        <f>IF(ISNUMBER(SEARCH("C", 'Dry_Litterbag Placem_Collection'!$U176)),"YES","NO")</f>
        <v>NO</v>
      </c>
      <c r="AK469" s="245" t="str">
        <f>IF(ISNUMBER(SEARCH("H", 'Dry_Litterbag Placem_Collection'!$U176)),"YES","NO")</f>
        <v>NO</v>
      </c>
      <c r="AL469" s="245" t="str">
        <f>IF(ISNUMBER(SEARCH("R", 'Dry_Litterbag Placem_Collection'!$U176)),"YES","NO")</f>
        <v>NO</v>
      </c>
    </row>
    <row r="470" spans="2:38">
      <c r="B470" t="str">
        <f>Dryseason!B616</f>
        <v>Dry</v>
      </c>
      <c r="C470" s="253">
        <f>Dryseason!C616</f>
        <v>175</v>
      </c>
      <c r="D470" t="s">
        <v>3128</v>
      </c>
      <c r="E470" t="s">
        <v>25</v>
      </c>
      <c r="F470" s="375">
        <v>7</v>
      </c>
      <c r="G470" s="376">
        <f>IF('Dry_Litterbag Placem_Collection'!E177="","",'Dry_Litterbag Placem_Collection'!E177)</f>
        <v>42940</v>
      </c>
      <c r="H470" s="92" t="str">
        <f>Dryseason!L616</f>
        <v>G719</v>
      </c>
      <c r="I470" t="str">
        <f>Dryseason!L836</f>
        <v>R175</v>
      </c>
      <c r="J470">
        <f>IFERROR(INDEX('Green_rooibos initial weight'!$C$5:$C$2000,MATCH(H470, 'Green_rooibos initial weight'!$A$5:$A$2000,0)),"")</f>
        <v>2.02</v>
      </c>
      <c r="K470">
        <f>IFERROR(INDEX('Green_rooibos initial weight'!$C$5:$C$2000,MATCH(I470, 'Green_rooibos initial weight'!$A$5:$A$2000,0)),"")</f>
        <v>2.2330000000000001</v>
      </c>
      <c r="L470" s="194">
        <f t="shared" si="82"/>
        <v>1.7702</v>
      </c>
      <c r="M470" s="233">
        <f>AVERAGE(Ashed_controlls!$K$1:$K$11)</f>
        <v>5.5147656768714146</v>
      </c>
      <c r="N470" s="194">
        <f t="shared" si="78"/>
        <v>1.6725776179880223</v>
      </c>
      <c r="O470" s="194">
        <f t="shared" si="83"/>
        <v>1.9832000000000001</v>
      </c>
      <c r="P470" s="233">
        <f>AVERAGE(Ashed_controlls!$K$12:$K$14)</f>
        <v>2.2816647271287041</v>
      </c>
      <c r="Q470" s="194">
        <f t="shared" si="79"/>
        <v>1.9379500251315835</v>
      </c>
      <c r="R470" s="376">
        <f>IF('Dry_Litterbag Placem_Collection'!G177="","",'Dry_Litterbag Placem_Collection'!G177)</f>
        <v>43009</v>
      </c>
      <c r="S470" s="194">
        <f>IFERROR(INDEX('Both teabags AfterDry'!$D$3:$D$2000,MATCH(H470,'Both teabags AfterDry'!$A$3:$A$2000,0)),"")</f>
        <v>0.80269999999999997</v>
      </c>
      <c r="T470" s="194">
        <f>IFERROR(INDEX('Both teabags AfterDry'!$D$3:$D$2000,MATCH(I470,'Both teabags AfterDry'!$A$3:$A$2000,0)),"")</f>
        <v>1.8721000000000001</v>
      </c>
      <c r="U470" s="194">
        <f t="shared" si="84"/>
        <v>0.6520999999999999</v>
      </c>
      <c r="V470" s="194">
        <f t="shared" si="85"/>
        <v>1.7215</v>
      </c>
      <c r="W470" s="194">
        <f>IFERROR(INDEX('Ashed teabags dry'!$K$2:$K$2000,MATCH(H470,'Ashed teabags dry'!$A$2:$A$2000,0)),"")</f>
        <v>20.371275036638856</v>
      </c>
      <c r="X470" s="194">
        <f>IFERROR(INDEX('Ashed teabags dry'!$K$2:$K$2000,MATCH(I470,'Ashed teabags dry'!$A$2:$A$2000,0)),"")</f>
        <v>11.577028258888308</v>
      </c>
      <c r="Y470" s="194">
        <f t="shared" si="80"/>
        <v>0.51925891548607794</v>
      </c>
      <c r="Z470" s="194">
        <f t="shared" si="80"/>
        <v>1.5222014585232377</v>
      </c>
      <c r="AA470" s="194">
        <f t="shared" si="86"/>
        <v>0.68954569886526107</v>
      </c>
      <c r="AB470" s="194">
        <f t="shared" si="87"/>
        <v>0.45205371232021868</v>
      </c>
      <c r="AC470" s="194">
        <f t="shared" si="81"/>
        <v>0.78546992377674074</v>
      </c>
      <c r="AD470">
        <f t="shared" si="88"/>
        <v>69</v>
      </c>
      <c r="AE470" s="194">
        <f t="shared" si="89"/>
        <v>0.18106211536192274</v>
      </c>
      <c r="AF470" s="194">
        <f t="shared" si="90"/>
        <v>9.3265777740280872E-3</v>
      </c>
      <c r="AG470" s="245" t="str">
        <f>IF(ISNUMBER(SEARCH("C", 'Dry_Litterbag Placem_Collection'!$V177)),"YES","NO")</f>
        <v>NO</v>
      </c>
      <c r="AH470" s="245" t="str">
        <f>IF(ISNUMBER(SEARCH("H", 'Dry_Litterbag Placem_Collection'!$V177)),"YES","NO")</f>
        <v>NO</v>
      </c>
      <c r="AI470" s="245" t="str">
        <f>IF(ISNUMBER(SEARCH("R", 'Dry_Litterbag Placem_Collection'!$V177)),"YES","NO")</f>
        <v>YES</v>
      </c>
      <c r="AJ470" s="245" t="str">
        <f>IF(ISNUMBER(SEARCH("C", 'Dry_Litterbag Placem_Collection'!$U177)),"YES","NO")</f>
        <v>NO</v>
      </c>
      <c r="AK470" s="245" t="str">
        <f>IF(ISNUMBER(SEARCH("H", 'Dry_Litterbag Placem_Collection'!$U177)),"YES","NO")</f>
        <v>NO</v>
      </c>
      <c r="AL470" s="245" t="str">
        <f>IF(ISNUMBER(SEARCH("R", 'Dry_Litterbag Placem_Collection'!$U177)),"YES","NO")</f>
        <v>NO</v>
      </c>
    </row>
    <row r="471" spans="2:38">
      <c r="B471" t="str">
        <f>Dryseason!B617</f>
        <v>Dry</v>
      </c>
      <c r="C471" s="253">
        <f>Dryseason!C617</f>
        <v>176</v>
      </c>
      <c r="D471" t="s">
        <v>3128</v>
      </c>
      <c r="E471" t="s">
        <v>25</v>
      </c>
      <c r="F471" s="375">
        <v>8</v>
      </c>
      <c r="G471" s="376">
        <f>IF('Dry_Litterbag Placem_Collection'!E178="","",'Dry_Litterbag Placem_Collection'!E178)</f>
        <v>42940</v>
      </c>
      <c r="H471" s="92" t="str">
        <f>Dryseason!L617</f>
        <v>G323</v>
      </c>
      <c r="I471" t="str">
        <f>Dryseason!L837</f>
        <v>R332</v>
      </c>
      <c r="J471">
        <f>IFERROR(INDEX('Green_rooibos initial weight'!$C$5:$C$2000,MATCH(H471, 'Green_rooibos initial weight'!$A$5:$A$2000,0)),"")</f>
        <v>1.97</v>
      </c>
      <c r="K471">
        <f>IFERROR(INDEX('Green_rooibos initial weight'!$C$5:$C$2000,MATCH(I471, 'Green_rooibos initial weight'!$A$5:$A$2000,0)),"")</f>
        <v>2.1880000000000002</v>
      </c>
      <c r="L471" s="194">
        <f t="shared" si="82"/>
        <v>1.7202</v>
      </c>
      <c r="M471" s="233">
        <f>AVERAGE(Ashed_controlls!$K$1:$K$11)</f>
        <v>5.5147656768714146</v>
      </c>
      <c r="N471" s="194">
        <f t="shared" si="78"/>
        <v>1.6253350008264578</v>
      </c>
      <c r="O471" s="194">
        <f t="shared" si="83"/>
        <v>1.9382000000000001</v>
      </c>
      <c r="P471" s="233">
        <f>AVERAGE(Ashed_controlls!$K$12:$K$14)</f>
        <v>2.2816647271287041</v>
      </c>
      <c r="Q471" s="194">
        <f t="shared" si="79"/>
        <v>1.8939767742587916</v>
      </c>
      <c r="R471" s="376">
        <f>IF('Dry_Litterbag Placem_Collection'!G178="","",'Dry_Litterbag Placem_Collection'!G178)</f>
        <v>43009</v>
      </c>
      <c r="S471" s="194">
        <f>IFERROR(INDEX('Both teabags AfterDry'!$D$3:$D$2000,MATCH(H471,'Both teabags AfterDry'!$A$3:$A$2000,0)),"")</f>
        <v>0.74829999999999997</v>
      </c>
      <c r="T471" s="194">
        <f>IFERROR(INDEX('Both teabags AfterDry'!$D$3:$D$2000,MATCH(I471,'Both teabags AfterDry'!$A$3:$A$2000,0)),"")</f>
        <v>1.8720000000000001</v>
      </c>
      <c r="U471" s="194">
        <f t="shared" si="84"/>
        <v>0.5976999999999999</v>
      </c>
      <c r="V471" s="194">
        <f t="shared" si="85"/>
        <v>1.7214</v>
      </c>
      <c r="W471" s="194">
        <f>IFERROR(INDEX('Ashed teabags dry'!$K$2:$K$2000,MATCH(H471,'Ashed teabags dry'!$A$2:$A$2000,0)),"")</f>
        <v>19.55361475012176</v>
      </c>
      <c r="X471" s="194">
        <f>IFERROR(INDEX('Ashed teabags dry'!$K$2:$K$2000,MATCH(I471,'Ashed teabags dry'!$A$2:$A$2000,0)),"")</f>
        <v>6.259314456035395</v>
      </c>
      <c r="Y471" s="194">
        <f t="shared" si="80"/>
        <v>0.48082804463852213</v>
      </c>
      <c r="Z471" s="194">
        <f t="shared" si="80"/>
        <v>1.6136521609538068</v>
      </c>
      <c r="AA471" s="194">
        <f t="shared" si="86"/>
        <v>0.7041668059852102</v>
      </c>
      <c r="AB471" s="194">
        <f t="shared" si="87"/>
        <v>0.46163904620408086</v>
      </c>
      <c r="AC471" s="194">
        <f t="shared" si="81"/>
        <v>0.85199152538990874</v>
      </c>
      <c r="AD471">
        <f t="shared" si="88"/>
        <v>69</v>
      </c>
      <c r="AE471" s="194">
        <f t="shared" si="89"/>
        <v>0.16369738006507095</v>
      </c>
      <c r="AF471" s="194">
        <f t="shared" si="90"/>
        <v>5.6024279821994078E-3</v>
      </c>
      <c r="AG471" s="245" t="str">
        <f>IF(ISNUMBER(SEARCH("C", 'Dry_Litterbag Placem_Collection'!$V178)),"YES","NO")</f>
        <v>NO</v>
      </c>
      <c r="AH471" s="245" t="str">
        <f>IF(ISNUMBER(SEARCH("H", 'Dry_Litterbag Placem_Collection'!$V178)),"YES","NO")</f>
        <v>NO</v>
      </c>
      <c r="AI471" s="245" t="str">
        <f>IF(ISNUMBER(SEARCH("R", 'Dry_Litterbag Placem_Collection'!$V178)),"YES","NO")</f>
        <v>YES</v>
      </c>
      <c r="AJ471" s="245" t="str">
        <f>IF(ISNUMBER(SEARCH("C", 'Dry_Litterbag Placem_Collection'!$U178)),"YES","NO")</f>
        <v>NO</v>
      </c>
      <c r="AK471" s="245" t="str">
        <f>IF(ISNUMBER(SEARCH("H", 'Dry_Litterbag Placem_Collection'!$U178)),"YES","NO")</f>
        <v>NO</v>
      </c>
      <c r="AL471" s="245" t="str">
        <f>IF(ISNUMBER(SEARCH("R", 'Dry_Litterbag Placem_Collection'!$U178)),"YES","NO")</f>
        <v>YES</v>
      </c>
    </row>
    <row r="472" spans="2:38">
      <c r="B472" t="str">
        <f>Dryseason!B618</f>
        <v>Dry</v>
      </c>
      <c r="C472" s="253">
        <f>Dryseason!C618</f>
        <v>177</v>
      </c>
      <c r="D472" t="s">
        <v>3129</v>
      </c>
      <c r="E472" t="s">
        <v>25</v>
      </c>
      <c r="F472" s="374">
        <v>1</v>
      </c>
      <c r="G472" s="376">
        <f>IF('Dry_Litterbag Placem_Collection'!E179="","",'Dry_Litterbag Placem_Collection'!E179)</f>
        <v>42940</v>
      </c>
      <c r="H472" s="92" t="str">
        <f>Dryseason!L618</f>
        <v>G14</v>
      </c>
      <c r="I472" t="str">
        <f>Dryseason!L838</f>
        <v>R70</v>
      </c>
      <c r="J472">
        <f>IFERROR(INDEX('Green_rooibos initial weight'!$C$5:$C$2000,MATCH(H472, 'Green_rooibos initial weight'!$A$5:$A$2000,0)),"")</f>
        <v>2.0750000000000002</v>
      </c>
      <c r="K472">
        <f>IFERROR(INDEX('Green_rooibos initial weight'!$C$5:$C$2000,MATCH(I472, 'Green_rooibos initial weight'!$A$5:$A$2000,0)),"")</f>
        <v>2.23</v>
      </c>
      <c r="L472" s="194">
        <f t="shared" si="82"/>
        <v>1.8252000000000002</v>
      </c>
      <c r="M472" s="233">
        <f>AVERAGE(Ashed_controlls!$K$1:$K$11)</f>
        <v>5.5147656768714146</v>
      </c>
      <c r="N472" s="194">
        <f t="shared" si="78"/>
        <v>1.7245444968657431</v>
      </c>
      <c r="O472" s="194">
        <f t="shared" si="83"/>
        <v>1.9802</v>
      </c>
      <c r="P472" s="233">
        <f>AVERAGE(Ashed_controlls!$K$12:$K$14)</f>
        <v>2.2816647271287041</v>
      </c>
      <c r="Q472" s="194">
        <f t="shared" si="79"/>
        <v>1.9350184750733974</v>
      </c>
      <c r="R472" s="376">
        <f>IF('Dry_Litterbag Placem_Collection'!G179="","",'Dry_Litterbag Placem_Collection'!G179)</f>
        <v>43009</v>
      </c>
      <c r="S472" s="194" t="str">
        <f>IFERROR(INDEX('Both teabags AfterDry'!$D$3:$D$2000,MATCH(H472,'Both teabags AfterDry'!$A$3:$A$2000,0)),"")</f>
        <v/>
      </c>
      <c r="T472" s="194" t="str">
        <f>IFERROR(INDEX('Both teabags AfterDry'!$D$3:$D$2000,MATCH(I472,'Both teabags AfterDry'!$A$3:$A$2000,0)),"")</f>
        <v/>
      </c>
      <c r="U472" s="194" t="str">
        <f t="shared" si="84"/>
        <v/>
      </c>
      <c r="V472" s="194" t="str">
        <f t="shared" si="85"/>
        <v/>
      </c>
      <c r="W472" s="194" t="str">
        <f>IFERROR(INDEX('Ashed teabags dry'!$K$2:$K$2000,MATCH(H472,'Ashed teabags dry'!$A$2:$A$2000,0)),"")</f>
        <v/>
      </c>
      <c r="X472" s="194" t="str">
        <f>IFERROR(INDEX('Ashed teabags dry'!$K$2:$K$2000,MATCH(I472,'Ashed teabags dry'!$A$2:$A$2000,0)),"")</f>
        <v/>
      </c>
      <c r="Y472" s="194" t="str">
        <f t="shared" si="80"/>
        <v/>
      </c>
      <c r="Z472" s="194" t="str">
        <f t="shared" si="80"/>
        <v/>
      </c>
      <c r="AA472" s="194" t="str">
        <f t="shared" si="86"/>
        <v/>
      </c>
      <c r="AB472" s="194" t="str">
        <f t="shared" si="87"/>
        <v/>
      </c>
      <c r="AC472" s="194" t="str">
        <f t="shared" si="81"/>
        <v/>
      </c>
      <c r="AD472">
        <f t="shared" si="88"/>
        <v>69</v>
      </c>
      <c r="AE472" s="194" t="str">
        <f t="shared" si="89"/>
        <v/>
      </c>
      <c r="AF472" s="194" t="str">
        <f t="shared" si="90"/>
        <v/>
      </c>
      <c r="AG472" s="245" t="str">
        <f>IF(ISNUMBER(SEARCH("C", 'Dry_Litterbag Placem_Collection'!$V179)),"YES","NO")</f>
        <v>NO</v>
      </c>
      <c r="AH472" s="245" t="str">
        <f>IF(ISNUMBER(SEARCH("H", 'Dry_Litterbag Placem_Collection'!$V179)),"YES","NO")</f>
        <v>NO</v>
      </c>
      <c r="AI472" s="245" t="str">
        <f>IF(ISNUMBER(SEARCH("R", 'Dry_Litterbag Placem_Collection'!$V179)),"YES","NO")</f>
        <v>YES</v>
      </c>
      <c r="AJ472" s="245" t="str">
        <f>IF(ISNUMBER(SEARCH("C", 'Dry_Litterbag Placem_Collection'!$U179)),"YES","NO")</f>
        <v>NO</v>
      </c>
      <c r="AK472" s="245" t="str">
        <f>IF(ISNUMBER(SEARCH("H", 'Dry_Litterbag Placem_Collection'!$U179)),"YES","NO")</f>
        <v>NO</v>
      </c>
      <c r="AL472" s="245" t="str">
        <f>IF(ISNUMBER(SEARCH("R", 'Dry_Litterbag Placem_Collection'!$U179)),"YES","NO")</f>
        <v>NO</v>
      </c>
    </row>
    <row r="473" spans="2:38">
      <c r="B473" t="str">
        <f>Dryseason!B619</f>
        <v>Dry</v>
      </c>
      <c r="C473" s="253">
        <f>Dryseason!C619</f>
        <v>178</v>
      </c>
      <c r="D473" t="s">
        <v>3129</v>
      </c>
      <c r="E473" t="s">
        <v>25</v>
      </c>
      <c r="F473" s="374">
        <v>2</v>
      </c>
      <c r="G473" s="376">
        <f>IF('Dry_Litterbag Placem_Collection'!E180="","",'Dry_Litterbag Placem_Collection'!E180)</f>
        <v>42940</v>
      </c>
      <c r="H473" s="92" t="str">
        <f>Dryseason!L619</f>
        <v>G410</v>
      </c>
      <c r="I473" t="str">
        <f>Dryseason!L839</f>
        <v>R718</v>
      </c>
      <c r="J473">
        <f>IFERROR(INDEX('Green_rooibos initial weight'!$C$5:$C$2000,MATCH(H473, 'Green_rooibos initial weight'!$A$5:$A$2000,0)),"")</f>
        <v>2.1110000000000002</v>
      </c>
      <c r="K473">
        <f>IFERROR(INDEX('Green_rooibos initial weight'!$C$5:$C$2000,MATCH(I473, 'Green_rooibos initial weight'!$A$5:$A$2000,0)),"")</f>
        <v>2.2050000000000001</v>
      </c>
      <c r="L473" s="194">
        <f t="shared" si="82"/>
        <v>1.8612000000000002</v>
      </c>
      <c r="M473" s="233">
        <f>AVERAGE(Ashed_controlls!$K$1:$K$11)</f>
        <v>5.5147656768714146</v>
      </c>
      <c r="N473" s="194">
        <f t="shared" si="78"/>
        <v>1.7585591812220693</v>
      </c>
      <c r="O473" s="194">
        <f t="shared" si="83"/>
        <v>1.9552</v>
      </c>
      <c r="P473" s="233">
        <f>AVERAGE(Ashed_controlls!$K$12:$K$14)</f>
        <v>2.2816647271287041</v>
      </c>
      <c r="Q473" s="194">
        <f t="shared" si="79"/>
        <v>1.9105888912551796</v>
      </c>
      <c r="R473" s="376">
        <f>IF('Dry_Litterbag Placem_Collection'!G180="","",'Dry_Litterbag Placem_Collection'!G180)</f>
        <v>43009</v>
      </c>
      <c r="S473" s="194">
        <f>IFERROR(INDEX('Both teabags AfterDry'!$D$3:$D$2000,MATCH(H473,'Both teabags AfterDry'!$A$3:$A$2000,0)),"")</f>
        <v>0.71050000000000002</v>
      </c>
      <c r="T473" s="194">
        <f>IFERROR(INDEX('Both teabags AfterDry'!$D$3:$D$2000,MATCH(I473,'Both teabags AfterDry'!$A$3:$A$2000,0)),"")</f>
        <v>1.8359000000000001</v>
      </c>
      <c r="U473" s="194">
        <f t="shared" si="84"/>
        <v>0.55990000000000006</v>
      </c>
      <c r="V473" s="194">
        <f t="shared" si="85"/>
        <v>1.6853</v>
      </c>
      <c r="W473" s="194">
        <f>IFERROR(INDEX('Ashed teabags dry'!$K$2:$K$2000,MATCH(H473,'Ashed teabags dry'!$A$2:$A$2000,0)),"")</f>
        <v>18.892185954499759</v>
      </c>
      <c r="X473" s="194">
        <f>IFERROR(INDEX('Ashed teabags dry'!$K$2:$K$2000,MATCH(I473,'Ashed teabags dry'!$A$2:$A$2000,0)),"")</f>
        <v>7.0877531340403506</v>
      </c>
      <c r="Y473" s="194">
        <f t="shared" si="80"/>
        <v>0.45412265084075587</v>
      </c>
      <c r="Z473" s="194">
        <f t="shared" si="80"/>
        <v>1.5658500964320179</v>
      </c>
      <c r="AA473" s="194">
        <f t="shared" si="86"/>
        <v>0.74176436272950785</v>
      </c>
      <c r="AB473" s="194">
        <f t="shared" si="87"/>
        <v>0.48628732568490307</v>
      </c>
      <c r="AC473" s="194">
        <f t="shared" si="81"/>
        <v>0.81956411638262883</v>
      </c>
      <c r="AD473">
        <f t="shared" si="88"/>
        <v>69</v>
      </c>
      <c r="AE473" s="194">
        <f t="shared" si="89"/>
        <v>0.11904469984619015</v>
      </c>
      <c r="AF473" s="194">
        <f t="shared" si="90"/>
        <v>6.7202920825053334E-3</v>
      </c>
      <c r="AG473" s="245" t="str">
        <f>IF(ISNUMBER(SEARCH("C", 'Dry_Litterbag Placem_Collection'!$V180)),"YES","NO")</f>
        <v>NO</v>
      </c>
      <c r="AH473" s="245" t="str">
        <f>IF(ISNUMBER(SEARCH("H", 'Dry_Litterbag Placem_Collection'!$V180)),"YES","NO")</f>
        <v>NO</v>
      </c>
      <c r="AI473" s="245" t="str">
        <f>IF(ISNUMBER(SEARCH("R", 'Dry_Litterbag Placem_Collection'!$V180)),"YES","NO")</f>
        <v>NO</v>
      </c>
      <c r="AJ473" s="245" t="str">
        <f>IF(ISNUMBER(SEARCH("C", 'Dry_Litterbag Placem_Collection'!$U180)),"YES","NO")</f>
        <v>NO</v>
      </c>
      <c r="AK473" s="245" t="str">
        <f>IF(ISNUMBER(SEARCH("H", 'Dry_Litterbag Placem_Collection'!$U180)),"YES","NO")</f>
        <v>NO</v>
      </c>
      <c r="AL473" s="245" t="str">
        <f>IF(ISNUMBER(SEARCH("R", 'Dry_Litterbag Placem_Collection'!$U180)),"YES","NO")</f>
        <v>NO</v>
      </c>
    </row>
    <row r="474" spans="2:38">
      <c r="B474" t="str">
        <f>Dryseason!B620</f>
        <v>Dry</v>
      </c>
      <c r="C474" s="253">
        <f>Dryseason!C620</f>
        <v>179</v>
      </c>
      <c r="D474" t="s">
        <v>3129</v>
      </c>
      <c r="E474" t="s">
        <v>25</v>
      </c>
      <c r="F474" s="374">
        <v>3</v>
      </c>
      <c r="G474" s="376">
        <f>IF('Dry_Litterbag Placem_Collection'!E181="","",'Dry_Litterbag Placem_Collection'!E181)</f>
        <v>42940</v>
      </c>
      <c r="H474" s="92" t="str">
        <f>Dryseason!L620</f>
        <v>G78</v>
      </c>
      <c r="I474" t="str">
        <f>Dryseason!L840</f>
        <v>R640</v>
      </c>
      <c r="J474">
        <f>IFERROR(INDEX('Green_rooibos initial weight'!$C$5:$C$2000,MATCH(H474, 'Green_rooibos initial weight'!$A$5:$A$2000,0)),"")</f>
        <v>2.0379999999999998</v>
      </c>
      <c r="K474">
        <f>IFERROR(INDEX('Green_rooibos initial weight'!$C$5:$C$2000,MATCH(I474, 'Green_rooibos initial weight'!$A$5:$A$2000,0)),"")</f>
        <v>2.1019999999999999</v>
      </c>
      <c r="L474" s="194">
        <f t="shared" si="82"/>
        <v>1.7881999999999998</v>
      </c>
      <c r="M474" s="233">
        <f>AVERAGE(Ashed_controlls!$K$1:$K$11)</f>
        <v>5.5147656768714146</v>
      </c>
      <c r="N474" s="194">
        <f t="shared" si="78"/>
        <v>1.6895849601661852</v>
      </c>
      <c r="O474" s="194">
        <f t="shared" si="83"/>
        <v>1.8521999999999998</v>
      </c>
      <c r="P474" s="233">
        <f>AVERAGE(Ashed_controlls!$K$12:$K$14)</f>
        <v>2.2816647271287041</v>
      </c>
      <c r="Q474" s="194">
        <f t="shared" si="79"/>
        <v>1.809939005924122</v>
      </c>
      <c r="R474" s="376">
        <f>IF('Dry_Litterbag Placem_Collection'!G181="","",'Dry_Litterbag Placem_Collection'!G181)</f>
        <v>43009</v>
      </c>
      <c r="S474" s="194">
        <f>IFERROR(INDEX('Both teabags AfterDry'!$D$3:$D$2000,MATCH(H474,'Both teabags AfterDry'!$A$3:$A$2000,0)),"")</f>
        <v>0.871</v>
      </c>
      <c r="T474" s="194">
        <f>IFERROR(INDEX('Both teabags AfterDry'!$D$3:$D$2000,MATCH(I474,'Both teabags AfterDry'!$A$3:$A$2000,0)),"")</f>
        <v>1.6580999999999999</v>
      </c>
      <c r="U474" s="194">
        <f t="shared" si="84"/>
        <v>0.72039999999999993</v>
      </c>
      <c r="V474" s="194">
        <f t="shared" si="85"/>
        <v>1.5074999999999998</v>
      </c>
      <c r="W474" s="194">
        <f>IFERROR(INDEX('Ashed teabags dry'!$K$2:$K$2000,MATCH(H474,'Ashed teabags dry'!$A$2:$A$2000,0)),"")</f>
        <v>31.412103746397996</v>
      </c>
      <c r="X474" s="194">
        <f>IFERROR(INDEX('Ashed teabags dry'!$K$2:$K$2000,MATCH(I474,'Ashed teabags dry'!$A$2:$A$2000,0)),"")</f>
        <v>15.844901866922525</v>
      </c>
      <c r="Y474" s="194">
        <f t="shared" si="80"/>
        <v>0.49410720461094881</v>
      </c>
      <c r="Z474" s="194">
        <f t="shared" si="80"/>
        <v>1.2686381043561428</v>
      </c>
      <c r="AA474" s="194">
        <f t="shared" si="86"/>
        <v>0.70755705320533324</v>
      </c>
      <c r="AB474" s="194">
        <f t="shared" si="87"/>
        <v>0.46386163107998096</v>
      </c>
      <c r="AC474" s="194">
        <f t="shared" si="81"/>
        <v>0.7009286501941534</v>
      </c>
      <c r="AD474">
        <f t="shared" si="88"/>
        <v>69</v>
      </c>
      <c r="AE474" s="194">
        <f t="shared" si="89"/>
        <v>0.15967095818844035</v>
      </c>
      <c r="AF474" s="194">
        <f t="shared" si="90"/>
        <v>1.4998734144761102E-2</v>
      </c>
      <c r="AG474" s="245" t="str">
        <f>IF(ISNUMBER(SEARCH("C", 'Dry_Litterbag Placem_Collection'!$V181)),"YES","NO")</f>
        <v>NO</v>
      </c>
      <c r="AH474" s="245" t="str">
        <f>IF(ISNUMBER(SEARCH("H", 'Dry_Litterbag Placem_Collection'!$V181)),"YES","NO")</f>
        <v>NO</v>
      </c>
      <c r="AI474" s="245" t="str">
        <f>IF(ISNUMBER(SEARCH("R", 'Dry_Litterbag Placem_Collection'!$V181)),"YES","NO")</f>
        <v>NO</v>
      </c>
      <c r="AJ474" s="245" t="str">
        <f>IF(ISNUMBER(SEARCH("C", 'Dry_Litterbag Placem_Collection'!$U181)),"YES","NO")</f>
        <v>NO</v>
      </c>
      <c r="AK474" s="245" t="str">
        <f>IF(ISNUMBER(SEARCH("H", 'Dry_Litterbag Placem_Collection'!$U181)),"YES","NO")</f>
        <v>NO</v>
      </c>
      <c r="AL474" s="245" t="str">
        <f>IF(ISNUMBER(SEARCH("R", 'Dry_Litterbag Placem_Collection'!$U181)),"YES","NO")</f>
        <v>YES</v>
      </c>
    </row>
    <row r="475" spans="2:38">
      <c r="B475" t="str">
        <f>Dryseason!B621</f>
        <v>Dry</v>
      </c>
      <c r="C475" s="253">
        <f>Dryseason!C621</f>
        <v>180</v>
      </c>
      <c r="D475" t="s">
        <v>3129</v>
      </c>
      <c r="E475" t="s">
        <v>25</v>
      </c>
      <c r="F475" s="375">
        <v>4</v>
      </c>
      <c r="G475" s="376">
        <f>IF('Dry_Litterbag Placem_Collection'!E182="","",'Dry_Litterbag Placem_Collection'!E182)</f>
        <v>42940</v>
      </c>
      <c r="H475" s="92" t="str">
        <f>Dryseason!L621</f>
        <v>G422</v>
      </c>
      <c r="I475" t="str">
        <f>Dryseason!L841</f>
        <v>R669</v>
      </c>
      <c r="J475">
        <f>IFERROR(INDEX('Green_rooibos initial weight'!$C$5:$C$2000,MATCH(H475, 'Green_rooibos initial weight'!$A$5:$A$2000,0)),"")</f>
        <v>2.0049999999999999</v>
      </c>
      <c r="K475">
        <f>IFERROR(INDEX('Green_rooibos initial weight'!$C$5:$C$2000,MATCH(I475, 'Green_rooibos initial weight'!$A$5:$A$2000,0)),"")</f>
        <v>2.1480000000000001</v>
      </c>
      <c r="L475" s="194">
        <f t="shared" si="82"/>
        <v>1.7551999999999999</v>
      </c>
      <c r="M475" s="233">
        <f>AVERAGE(Ashed_controlls!$K$1:$K$11)</f>
        <v>5.5147656768714146</v>
      </c>
      <c r="N475" s="194">
        <f t="shared" si="78"/>
        <v>1.6584048328395529</v>
      </c>
      <c r="O475" s="194">
        <f t="shared" si="83"/>
        <v>1.8982000000000001</v>
      </c>
      <c r="P475" s="233">
        <f>AVERAGE(Ashed_controlls!$K$12:$K$14)</f>
        <v>2.2816647271287041</v>
      </c>
      <c r="Q475" s="194">
        <f t="shared" si="79"/>
        <v>1.854889440149643</v>
      </c>
      <c r="R475" s="376">
        <f>IF('Dry_Litterbag Placem_Collection'!G182="","",'Dry_Litterbag Placem_Collection'!G182)</f>
        <v>43009</v>
      </c>
      <c r="S475" s="194">
        <f>IFERROR(INDEX('Both teabags AfterDry'!$D$3:$D$2000,MATCH(H475,'Both teabags AfterDry'!$A$3:$A$2000,0)),"")</f>
        <v>0.751</v>
      </c>
      <c r="T475" s="194">
        <f>IFERROR(INDEX('Both teabags AfterDry'!$D$3:$D$2000,MATCH(I475,'Both teabags AfterDry'!$A$3:$A$2000,0)),"")</f>
        <v>1.6716</v>
      </c>
      <c r="U475" s="194">
        <f t="shared" si="84"/>
        <v>0.60040000000000004</v>
      </c>
      <c r="V475" s="194">
        <f t="shared" si="85"/>
        <v>1.5209999999999999</v>
      </c>
      <c r="W475" s="194">
        <f>IFERROR(INDEX('Ashed teabags dry'!$K$2:$K$2000,MATCH(H475,'Ashed teabags dry'!$A$2:$A$2000,0)),"")</f>
        <v>20.896226415094358</v>
      </c>
      <c r="X475" s="194">
        <f>IFERROR(INDEX('Ashed teabags dry'!$K$2:$K$2000,MATCH(I475,'Ashed teabags dry'!$A$2:$A$2000,0)),"")</f>
        <v>6.0721062618585453</v>
      </c>
      <c r="Y475" s="194">
        <f t="shared" si="80"/>
        <v>0.4749390566037735</v>
      </c>
      <c r="Z475" s="194">
        <f t="shared" si="80"/>
        <v>1.4286432637571314</v>
      </c>
      <c r="AA475" s="194">
        <f t="shared" si="86"/>
        <v>0.71361693646865842</v>
      </c>
      <c r="AB475" s="194">
        <f t="shared" si="87"/>
        <v>0.46783438115284975</v>
      </c>
      <c r="AC475" s="194">
        <f t="shared" si="81"/>
        <v>0.77020399859620514</v>
      </c>
      <c r="AD475">
        <f t="shared" si="88"/>
        <v>69</v>
      </c>
      <c r="AE475" s="194">
        <f t="shared" si="89"/>
        <v>0.15247394718686647</v>
      </c>
      <c r="AF475" s="194">
        <f t="shared" si="90"/>
        <v>9.7924989382486369E-3</v>
      </c>
      <c r="AG475" s="245" t="str">
        <f>IF(ISNUMBER(SEARCH("C", 'Dry_Litterbag Placem_Collection'!$V182)),"YES","NO")</f>
        <v>NO</v>
      </c>
      <c r="AH475" s="245" t="str">
        <f>IF(ISNUMBER(SEARCH("H", 'Dry_Litterbag Placem_Collection'!$V182)),"YES","NO")</f>
        <v>NO</v>
      </c>
      <c r="AI475" s="245" t="str">
        <f>IF(ISNUMBER(SEARCH("R", 'Dry_Litterbag Placem_Collection'!$V182)),"YES","NO")</f>
        <v>NO</v>
      </c>
      <c r="AJ475" s="245" t="str">
        <f>IF(ISNUMBER(SEARCH("C", 'Dry_Litterbag Placem_Collection'!$U182)),"YES","NO")</f>
        <v>NO</v>
      </c>
      <c r="AK475" s="245" t="str">
        <f>IF(ISNUMBER(SEARCH("H", 'Dry_Litterbag Placem_Collection'!$U182)),"YES","NO")</f>
        <v>NO</v>
      </c>
      <c r="AL475" s="245" t="str">
        <f>IF(ISNUMBER(SEARCH("R", 'Dry_Litterbag Placem_Collection'!$U182)),"YES","NO")</f>
        <v>YES</v>
      </c>
    </row>
    <row r="476" spans="2:38">
      <c r="B476" t="str">
        <f>Dryseason!B622</f>
        <v>Dry</v>
      </c>
      <c r="C476" s="253">
        <f>Dryseason!C622</f>
        <v>181</v>
      </c>
      <c r="D476" t="s">
        <v>3129</v>
      </c>
      <c r="E476" t="s">
        <v>25</v>
      </c>
      <c r="F476" s="375">
        <v>5</v>
      </c>
      <c r="G476" s="376">
        <f>IF('Dry_Litterbag Placem_Collection'!E183="","",'Dry_Litterbag Placem_Collection'!E183)</f>
        <v>42940</v>
      </c>
      <c r="H476" s="92" t="str">
        <f>Dryseason!L622</f>
        <v>G870</v>
      </c>
      <c r="I476" t="str">
        <f>Dryseason!L842</f>
        <v>R170</v>
      </c>
      <c r="J476">
        <f>IFERROR(INDEX('Green_rooibos initial weight'!$C$5:$C$2000,MATCH(H476, 'Green_rooibos initial weight'!$A$5:$A$2000,0)),"")</f>
        <v>1.972</v>
      </c>
      <c r="K476">
        <f>IFERROR(INDEX('Green_rooibos initial weight'!$C$5:$C$2000,MATCH(I476, 'Green_rooibos initial weight'!$A$5:$A$2000,0)),"")</f>
        <v>2.1120000000000001</v>
      </c>
      <c r="L476" s="194">
        <f t="shared" si="82"/>
        <v>1.7222</v>
      </c>
      <c r="M476" s="233">
        <f>AVERAGE(Ashed_controlls!$K$1:$K$11)</f>
        <v>5.5147656768714146</v>
      </c>
      <c r="N476" s="194">
        <f t="shared" si="78"/>
        <v>1.6272247055129205</v>
      </c>
      <c r="O476" s="194">
        <f t="shared" si="83"/>
        <v>1.8622000000000001</v>
      </c>
      <c r="P476" s="233">
        <f>AVERAGE(Ashed_controlls!$K$12:$K$14)</f>
        <v>2.2816647271287041</v>
      </c>
      <c r="Q476" s="194">
        <f t="shared" si="79"/>
        <v>1.8197108394514094</v>
      </c>
      <c r="R476" s="376">
        <f>IF('Dry_Litterbag Placem_Collection'!G183="","",'Dry_Litterbag Placem_Collection'!G183)</f>
        <v>43009</v>
      </c>
      <c r="S476" s="194">
        <f>IFERROR(INDEX('Both teabags AfterDry'!$D$3:$D$2000,MATCH(H476,'Both teabags AfterDry'!$A$3:$A$2000,0)),"")</f>
        <v>0.75219999999999998</v>
      </c>
      <c r="T476" s="194">
        <f>IFERROR(INDEX('Both teabags AfterDry'!$D$3:$D$2000,MATCH(I476,'Both teabags AfterDry'!$A$3:$A$2000,0)),"")</f>
        <v>1.7410000000000001</v>
      </c>
      <c r="U476" s="194">
        <f t="shared" si="84"/>
        <v>0.60159999999999991</v>
      </c>
      <c r="V476" s="194">
        <f t="shared" si="85"/>
        <v>1.5904</v>
      </c>
      <c r="W476" s="194">
        <f>IFERROR(INDEX('Ashed teabags dry'!$K$2:$K$2000,MATCH(H476,'Ashed teabags dry'!$A$2:$A$2000,0)),"")</f>
        <v>17.470472440944899</v>
      </c>
      <c r="X476" s="194">
        <f>IFERROR(INDEX('Ashed teabags dry'!$K$2:$K$2000,MATCH(I476,'Ashed teabags dry'!$A$2:$A$2000,0)),"")</f>
        <v>7.9387186629519642</v>
      </c>
      <c r="Y476" s="194">
        <f t="shared" si="80"/>
        <v>0.49649763779527545</v>
      </c>
      <c r="Z476" s="194">
        <f t="shared" si="80"/>
        <v>1.464142618384412</v>
      </c>
      <c r="AA476" s="194">
        <f t="shared" si="86"/>
        <v>0.69488071554397068</v>
      </c>
      <c r="AB476" s="194">
        <f t="shared" si="87"/>
        <v>0.45555125294569104</v>
      </c>
      <c r="AC476" s="194">
        <f t="shared" si="81"/>
        <v>0.80460180081457822</v>
      </c>
      <c r="AD476">
        <f t="shared" si="88"/>
        <v>69</v>
      </c>
      <c r="AE476" s="194">
        <f t="shared" si="89"/>
        <v>0.17472599104041486</v>
      </c>
      <c r="AF476" s="194">
        <f t="shared" si="90"/>
        <v>8.119392817843225E-3</v>
      </c>
      <c r="AG476" s="245" t="str">
        <f>IF(ISNUMBER(SEARCH("C", 'Dry_Litterbag Placem_Collection'!$V183)),"YES","NO")</f>
        <v>NO</v>
      </c>
      <c r="AH476" s="245" t="str">
        <f>IF(ISNUMBER(SEARCH("H", 'Dry_Litterbag Placem_Collection'!$V183)),"YES","NO")</f>
        <v>NO</v>
      </c>
      <c r="AI476" s="245" t="str">
        <f>IF(ISNUMBER(SEARCH("R", 'Dry_Litterbag Placem_Collection'!$V183)),"YES","NO")</f>
        <v>NO</v>
      </c>
      <c r="AJ476" s="245" t="str">
        <f>IF(ISNUMBER(SEARCH("C", 'Dry_Litterbag Placem_Collection'!$U183)),"YES","NO")</f>
        <v>NO</v>
      </c>
      <c r="AK476" s="245" t="str">
        <f>IF(ISNUMBER(SEARCH("H", 'Dry_Litterbag Placem_Collection'!$U183)),"YES","NO")</f>
        <v>NO</v>
      </c>
      <c r="AL476" s="245" t="str">
        <f>IF(ISNUMBER(SEARCH("R", 'Dry_Litterbag Placem_Collection'!$U183)),"YES","NO")</f>
        <v>NO</v>
      </c>
    </row>
    <row r="477" spans="2:38">
      <c r="B477" t="str">
        <f>Dryseason!B623</f>
        <v>Dry</v>
      </c>
      <c r="C477" s="253">
        <f>Dryseason!C623</f>
        <v>182</v>
      </c>
      <c r="D477" t="s">
        <v>3129</v>
      </c>
      <c r="E477" t="s">
        <v>25</v>
      </c>
      <c r="F477" s="375">
        <v>6</v>
      </c>
      <c r="G477" s="376">
        <f>IF('Dry_Litterbag Placem_Collection'!E184="","",'Dry_Litterbag Placem_Collection'!E184)</f>
        <v>42940</v>
      </c>
      <c r="H477" s="92" t="str">
        <f>Dryseason!L623</f>
        <v>G136</v>
      </c>
      <c r="I477" t="str">
        <f>Dryseason!L843</f>
        <v>R697</v>
      </c>
      <c r="J477">
        <f>IFERROR(INDEX('Green_rooibos initial weight'!$C$5:$C$2000,MATCH(H477, 'Green_rooibos initial weight'!$A$5:$A$2000,0)),"")</f>
        <v>1.9430000000000001</v>
      </c>
      <c r="K477">
        <f>IFERROR(INDEX('Green_rooibos initial weight'!$C$5:$C$2000,MATCH(I477, 'Green_rooibos initial weight'!$A$5:$A$2000,0)),"")</f>
        <v>2.133</v>
      </c>
      <c r="L477" s="194">
        <f t="shared" si="82"/>
        <v>1.6932</v>
      </c>
      <c r="M477" s="233">
        <f>AVERAGE(Ashed_controlls!$K$1:$K$11)</f>
        <v>5.5147656768714146</v>
      </c>
      <c r="N477" s="194">
        <f t="shared" si="78"/>
        <v>1.5998239875592133</v>
      </c>
      <c r="O477" s="194">
        <f t="shared" si="83"/>
        <v>1.8832</v>
      </c>
      <c r="P477" s="233">
        <f>AVERAGE(Ashed_controlls!$K$12:$K$14)</f>
        <v>2.2816647271287041</v>
      </c>
      <c r="Q477" s="194">
        <f t="shared" si="79"/>
        <v>1.8402316898587123</v>
      </c>
      <c r="R477" s="376">
        <f>IF('Dry_Litterbag Placem_Collection'!G184="","",'Dry_Litterbag Placem_Collection'!G184)</f>
        <v>43009</v>
      </c>
      <c r="S477" s="194">
        <f>IFERROR(INDEX('Both teabags AfterDry'!$D$3:$D$2000,MATCH(H477,'Both teabags AfterDry'!$A$3:$A$2000,0)),"")</f>
        <v>0.71589999999999998</v>
      </c>
      <c r="T477" s="194">
        <f>IFERROR(INDEX('Both teabags AfterDry'!$D$3:$D$2000,MATCH(I477,'Both teabags AfterDry'!$A$3:$A$2000,0)),"")</f>
        <v>1.8089</v>
      </c>
      <c r="U477" s="194">
        <f t="shared" si="84"/>
        <v>0.56529999999999991</v>
      </c>
      <c r="V477" s="194">
        <f t="shared" si="85"/>
        <v>1.6582999999999999</v>
      </c>
      <c r="W477" s="194">
        <f>IFERROR(INDEX('Ashed teabags dry'!$K$2:$K$2000,MATCH(H477,'Ashed teabags dry'!$A$2:$A$2000,0)),"")</f>
        <v>16.379734382685722</v>
      </c>
      <c r="X477" s="194">
        <f>IFERROR(INDEX('Ashed teabags dry'!$K$2:$K$2000,MATCH(I477,'Ashed teabags dry'!$A$2:$A$2000,0)),"")</f>
        <v>9.0456806874716023</v>
      </c>
      <c r="Y477" s="194">
        <f t="shared" si="80"/>
        <v>0.47270536153467752</v>
      </c>
      <c r="Z477" s="194">
        <f t="shared" si="80"/>
        <v>1.5082954771596584</v>
      </c>
      <c r="AA477" s="194">
        <f t="shared" si="86"/>
        <v>0.70452664467429016</v>
      </c>
      <c r="AB477" s="194">
        <f t="shared" si="87"/>
        <v>0.46187494995274131</v>
      </c>
      <c r="AC477" s="194">
        <f t="shared" si="81"/>
        <v>0.819622597236906</v>
      </c>
      <c r="AD477">
        <f t="shared" si="88"/>
        <v>69</v>
      </c>
      <c r="AE477" s="194">
        <f t="shared" si="89"/>
        <v>0.16327001820155562</v>
      </c>
      <c r="AF477" s="194">
        <f t="shared" si="90"/>
        <v>7.1763833211917214E-3</v>
      </c>
      <c r="AG477" s="245" t="str">
        <f>IF(ISNUMBER(SEARCH("C", 'Dry_Litterbag Placem_Collection'!$V184)),"YES","NO")</f>
        <v>NO</v>
      </c>
      <c r="AH477" s="245" t="str">
        <f>IF(ISNUMBER(SEARCH("H", 'Dry_Litterbag Placem_Collection'!$V184)),"YES","NO")</f>
        <v>NO</v>
      </c>
      <c r="AI477" s="245" t="str">
        <f>IF(ISNUMBER(SEARCH("R", 'Dry_Litterbag Placem_Collection'!$V184)),"YES","NO")</f>
        <v>NO</v>
      </c>
      <c r="AJ477" s="245" t="str">
        <f>IF(ISNUMBER(SEARCH("C", 'Dry_Litterbag Placem_Collection'!$U184)),"YES","NO")</f>
        <v>NO</v>
      </c>
      <c r="AK477" s="245" t="str">
        <f>IF(ISNUMBER(SEARCH("H", 'Dry_Litterbag Placem_Collection'!$U184)),"YES","NO")</f>
        <v>NO</v>
      </c>
      <c r="AL477" s="245" t="str">
        <f>IF(ISNUMBER(SEARCH("R", 'Dry_Litterbag Placem_Collection'!$U184)),"YES","NO")</f>
        <v>YES</v>
      </c>
    </row>
    <row r="478" spans="2:38">
      <c r="B478" t="str">
        <f>Dryseason!B624</f>
        <v>Dry</v>
      </c>
      <c r="C478" s="253">
        <f>Dryseason!C624</f>
        <v>183</v>
      </c>
      <c r="D478" t="s">
        <v>3129</v>
      </c>
      <c r="E478" t="s">
        <v>25</v>
      </c>
      <c r="F478" s="375">
        <v>7</v>
      </c>
      <c r="G478" s="376" t="str">
        <f>IF('Dry_Litterbag Placem_Collection'!E185="","",'Dry_Litterbag Placem_Collection'!E185)</f>
        <v/>
      </c>
      <c r="H478" s="92" t="str">
        <f>Dryseason!L624</f>
        <v/>
      </c>
      <c r="I478" t="str">
        <f>Dryseason!L844</f>
        <v/>
      </c>
      <c r="J478" t="str">
        <f>IFERROR(INDEX('Green_rooibos initial weight'!$C$5:$C$2000,MATCH(H478, 'Green_rooibos initial weight'!$A$5:$A$2000,0)),"")</f>
        <v/>
      </c>
      <c r="K478" t="str">
        <f>IFERROR(INDEX('Green_rooibos initial weight'!$C$5:$C$2000,MATCH(I478, 'Green_rooibos initial weight'!$A$5:$A$2000,0)),"")</f>
        <v/>
      </c>
      <c r="L478" s="194" t="str">
        <f t="shared" si="82"/>
        <v/>
      </c>
      <c r="M478" s="233">
        <f>AVERAGE(Ashed_controlls!$K$1:$K$11)</f>
        <v>5.5147656768714146</v>
      </c>
      <c r="N478" s="194" t="str">
        <f t="shared" si="78"/>
        <v/>
      </c>
      <c r="O478" s="194" t="str">
        <f t="shared" si="83"/>
        <v/>
      </c>
      <c r="P478" s="233">
        <f>AVERAGE(Ashed_controlls!$K$12:$K$14)</f>
        <v>2.2816647271287041</v>
      </c>
      <c r="Q478" s="194" t="str">
        <f t="shared" si="79"/>
        <v/>
      </c>
      <c r="R478" s="376" t="str">
        <f>IF('Dry_Litterbag Placem_Collection'!G185="","",'Dry_Litterbag Placem_Collection'!G185)</f>
        <v/>
      </c>
      <c r="S478" s="194" t="str">
        <f>IFERROR(INDEX('Both teabags AfterDry'!$D$3:$D$2000,MATCH(H478,'Both teabags AfterDry'!$A$3:$A$2000,0)),"")</f>
        <v/>
      </c>
      <c r="T478" s="194" t="str">
        <f>IFERROR(INDEX('Both teabags AfterDry'!$D$3:$D$2000,MATCH(I478,'Both teabags AfterDry'!$A$3:$A$2000,0)),"")</f>
        <v/>
      </c>
      <c r="U478" s="194" t="str">
        <f t="shared" si="84"/>
        <v/>
      </c>
      <c r="V478" s="194" t="str">
        <f t="shared" si="85"/>
        <v/>
      </c>
      <c r="W478" s="194" t="str">
        <f>IFERROR(INDEX('Ashed teabags dry'!$K$2:$K$2000,MATCH(H478,'Ashed teabags dry'!$A$2:$A$2000,0)),"")</f>
        <v/>
      </c>
      <c r="X478" s="194" t="str">
        <f>IFERROR(INDEX('Ashed teabags dry'!$K$2:$K$2000,MATCH(I478,'Ashed teabags dry'!$A$2:$A$2000,0)),"")</f>
        <v/>
      </c>
      <c r="Y478" s="194" t="str">
        <f t="shared" si="80"/>
        <v/>
      </c>
      <c r="Z478" s="194" t="str">
        <f t="shared" si="80"/>
        <v/>
      </c>
      <c r="AA478" s="194" t="str">
        <f t="shared" si="86"/>
        <v/>
      </c>
      <c r="AB478" s="194" t="str">
        <f t="shared" si="87"/>
        <v/>
      </c>
      <c r="AC478" s="194" t="str">
        <f t="shared" si="81"/>
        <v/>
      </c>
      <c r="AD478" t="str">
        <f t="shared" si="88"/>
        <v/>
      </c>
      <c r="AE478" s="194" t="str">
        <f t="shared" si="89"/>
        <v/>
      </c>
      <c r="AF478" s="194" t="str">
        <f t="shared" si="90"/>
        <v/>
      </c>
      <c r="AG478" s="245" t="str">
        <f>IF(ISNUMBER(SEARCH("C", 'Dry_Litterbag Placem_Collection'!$V185)),"YES","NO")</f>
        <v>NO</v>
      </c>
      <c r="AH478" s="245" t="str">
        <f>IF(ISNUMBER(SEARCH("H", 'Dry_Litterbag Placem_Collection'!$V185)),"YES","NO")</f>
        <v>NO</v>
      </c>
      <c r="AI478" s="245" t="str">
        <f>IF(ISNUMBER(SEARCH("R", 'Dry_Litterbag Placem_Collection'!$V185)),"YES","NO")</f>
        <v>NO</v>
      </c>
      <c r="AJ478" s="245" t="str">
        <f>IF(ISNUMBER(SEARCH("C", 'Dry_Litterbag Placem_Collection'!$U185)),"YES","NO")</f>
        <v>NO</v>
      </c>
      <c r="AK478" s="245" t="str">
        <f>IF(ISNUMBER(SEARCH("H", 'Dry_Litterbag Placem_Collection'!$U185)),"YES","NO")</f>
        <v>NO</v>
      </c>
      <c r="AL478" s="245" t="str">
        <f>IF(ISNUMBER(SEARCH("R", 'Dry_Litterbag Placem_Collection'!$U185)),"YES","NO")</f>
        <v>NO</v>
      </c>
    </row>
    <row r="479" spans="2:38">
      <c r="B479" t="str">
        <f>Dryseason!B625</f>
        <v>Dry</v>
      </c>
      <c r="C479" s="253">
        <f>Dryseason!C625</f>
        <v>184</v>
      </c>
      <c r="D479" t="s">
        <v>3129</v>
      </c>
      <c r="E479" t="s">
        <v>25</v>
      </c>
      <c r="F479" s="375">
        <v>8</v>
      </c>
      <c r="G479" s="376">
        <f>IF('Dry_Litterbag Placem_Collection'!E186="","",'Dry_Litterbag Placem_Collection'!E186)</f>
        <v>42940</v>
      </c>
      <c r="H479" s="92" t="str">
        <f>Dryseason!L625</f>
        <v>G266</v>
      </c>
      <c r="I479" t="str">
        <f>Dryseason!L845</f>
        <v>R674</v>
      </c>
      <c r="J479">
        <f>IFERROR(INDEX('Green_rooibos initial weight'!$C$5:$C$2000,MATCH(H479, 'Green_rooibos initial weight'!$A$5:$A$2000,0)),"")</f>
        <v>1.9570000000000001</v>
      </c>
      <c r="K479">
        <f>IFERROR(INDEX('Green_rooibos initial weight'!$C$5:$C$2000,MATCH(I479, 'Green_rooibos initial weight'!$A$5:$A$2000,0)),"")</f>
        <v>2.1629999999999998</v>
      </c>
      <c r="L479" s="194">
        <f t="shared" si="82"/>
        <v>1.7072000000000001</v>
      </c>
      <c r="M479" s="233">
        <f>AVERAGE(Ashed_controlls!$K$1:$K$11)</f>
        <v>5.5147656768714146</v>
      </c>
      <c r="N479" s="194">
        <f t="shared" si="78"/>
        <v>1.6130519203644513</v>
      </c>
      <c r="O479" s="194">
        <f t="shared" si="83"/>
        <v>1.9131999999999998</v>
      </c>
      <c r="P479" s="233">
        <f>AVERAGE(Ashed_controlls!$K$12:$K$14)</f>
        <v>2.2816647271287041</v>
      </c>
      <c r="Q479" s="194">
        <f t="shared" si="79"/>
        <v>1.8695471904405734</v>
      </c>
      <c r="R479" s="376">
        <f>IF('Dry_Litterbag Placem_Collection'!G186="","",'Dry_Litterbag Placem_Collection'!G186)</f>
        <v>43009</v>
      </c>
      <c r="S479" s="194">
        <f>IFERROR(INDEX('Both teabags AfterDry'!$D$3:$D$2000,MATCH(H479,'Both teabags AfterDry'!$A$3:$A$2000,0)),"")</f>
        <v>0.69879999999999998</v>
      </c>
      <c r="T479" s="194">
        <f>IFERROR(INDEX('Both teabags AfterDry'!$D$3:$D$2000,MATCH(I479,'Both teabags AfterDry'!$A$3:$A$2000,0)),"")</f>
        <v>1.6498999999999999</v>
      </c>
      <c r="U479" s="194">
        <f t="shared" si="84"/>
        <v>0.54820000000000002</v>
      </c>
      <c r="V479" s="194">
        <f t="shared" si="85"/>
        <v>1.4992999999999999</v>
      </c>
      <c r="W479" s="194">
        <f>IFERROR(INDEX('Ashed teabags dry'!$K$2:$K$2000,MATCH(H479,'Ashed teabags dry'!$A$2:$A$2000,0)),"")</f>
        <v>29.369282619161797</v>
      </c>
      <c r="X479" s="194">
        <f>IFERROR(INDEX('Ashed teabags dry'!$K$2:$K$2000,MATCH(I479,'Ashed teabags dry'!$A$2:$A$2000,0)),"")</f>
        <v>8.2802547770705939</v>
      </c>
      <c r="Y479" s="194">
        <f t="shared" si="80"/>
        <v>0.38719759268175502</v>
      </c>
      <c r="Z479" s="194">
        <f t="shared" si="80"/>
        <v>1.3751541401273806</v>
      </c>
      <c r="AA479" s="194">
        <f t="shared" si="86"/>
        <v>0.75995962201001444</v>
      </c>
      <c r="AB479" s="194">
        <f t="shared" si="87"/>
        <v>0.498215809203715</v>
      </c>
      <c r="AC479" s="194">
        <f t="shared" si="81"/>
        <v>0.73555465577914336</v>
      </c>
      <c r="AD479">
        <f t="shared" si="88"/>
        <v>69</v>
      </c>
      <c r="AE479" s="194">
        <f t="shared" si="89"/>
        <v>9.743512825413958E-2</v>
      </c>
      <c r="AF479" s="194">
        <f t="shared" si="90"/>
        <v>1.0966574201511614E-2</v>
      </c>
      <c r="AG479" s="245" t="str">
        <f>IF(ISNUMBER(SEARCH("C", 'Dry_Litterbag Placem_Collection'!$V186)),"YES","NO")</f>
        <v>NO</v>
      </c>
      <c r="AH479" s="245" t="str">
        <f>IF(ISNUMBER(SEARCH("H", 'Dry_Litterbag Placem_Collection'!$V186)),"YES","NO")</f>
        <v>NO</v>
      </c>
      <c r="AI479" s="245" t="str">
        <f>IF(ISNUMBER(SEARCH("R", 'Dry_Litterbag Placem_Collection'!$V186)),"YES","NO")</f>
        <v>NO</v>
      </c>
      <c r="AJ479" s="245" t="str">
        <f>IF(ISNUMBER(SEARCH("C", 'Dry_Litterbag Placem_Collection'!$U186)),"YES","NO")</f>
        <v>NO</v>
      </c>
      <c r="AK479" s="245" t="str">
        <f>IF(ISNUMBER(SEARCH("H", 'Dry_Litterbag Placem_Collection'!$U186)),"YES","NO")</f>
        <v>NO</v>
      </c>
      <c r="AL479" s="245" t="str">
        <f>IF(ISNUMBER(SEARCH("R", 'Dry_Litterbag Placem_Collection'!$U186)),"YES","NO")</f>
        <v>YES</v>
      </c>
    </row>
    <row r="480" spans="2:38">
      <c r="B480" t="str">
        <f>Dryseason!B626</f>
        <v>Dry</v>
      </c>
      <c r="C480" s="253">
        <f>Dryseason!C626</f>
        <v>185</v>
      </c>
      <c r="D480" t="s">
        <v>3130</v>
      </c>
      <c r="E480" t="s">
        <v>25</v>
      </c>
      <c r="F480" s="374">
        <v>1</v>
      </c>
      <c r="G480" s="376">
        <f>IF('Dry_Litterbag Placem_Collection'!E187="","",'Dry_Litterbag Placem_Collection'!E187)</f>
        <v>42940</v>
      </c>
      <c r="H480" s="92" t="str">
        <f>Dryseason!L626</f>
        <v>G165</v>
      </c>
      <c r="I480" t="str">
        <f>Dryseason!L846</f>
        <v>R607</v>
      </c>
      <c r="J480">
        <f>IFERROR(INDEX('Green_rooibos initial weight'!$C$5:$C$2000,MATCH(H480, 'Green_rooibos initial weight'!$A$5:$A$2000,0)),"")</f>
        <v>2.0089999999999999</v>
      </c>
      <c r="K480">
        <f>IFERROR(INDEX('Green_rooibos initial weight'!$C$5:$C$2000,MATCH(I480, 'Green_rooibos initial weight'!$A$5:$A$2000,0)),"")</f>
        <v>2.14</v>
      </c>
      <c r="L480" s="194">
        <f t="shared" si="82"/>
        <v>1.7591999999999999</v>
      </c>
      <c r="M480" s="233">
        <f>AVERAGE(Ashed_controlls!$K$1:$K$11)</f>
        <v>5.5147656768714146</v>
      </c>
      <c r="N480" s="194">
        <f t="shared" si="78"/>
        <v>1.662184242212478</v>
      </c>
      <c r="O480" s="194">
        <f t="shared" si="83"/>
        <v>1.8902000000000001</v>
      </c>
      <c r="P480" s="233">
        <f>AVERAGE(Ashed_controlls!$K$12:$K$14)</f>
        <v>2.2816647271287041</v>
      </c>
      <c r="Q480" s="194">
        <f t="shared" si="79"/>
        <v>1.8470719733278134</v>
      </c>
      <c r="R480" s="376">
        <f>IF('Dry_Litterbag Placem_Collection'!G187="","",'Dry_Litterbag Placem_Collection'!G187)</f>
        <v>43009</v>
      </c>
      <c r="S480" s="194" t="str">
        <f>IFERROR(INDEX('Both teabags AfterDry'!$D$3:$D$2000,MATCH(H480,'Both teabags AfterDry'!$A$3:$A$2000,0)),"")</f>
        <v/>
      </c>
      <c r="T480" s="194" t="str">
        <f>IFERROR(INDEX('Both teabags AfterDry'!$D$3:$D$2000,MATCH(I480,'Both teabags AfterDry'!$A$3:$A$2000,0)),"")</f>
        <v/>
      </c>
      <c r="U480" s="194" t="str">
        <f t="shared" si="84"/>
        <v/>
      </c>
      <c r="V480" s="194" t="str">
        <f t="shared" si="85"/>
        <v/>
      </c>
      <c r="W480" s="194" t="str">
        <f>IFERROR(INDEX('Ashed teabags dry'!$K$2:$K$2000,MATCH(H480,'Ashed teabags dry'!$A$2:$A$2000,0)),"")</f>
        <v/>
      </c>
      <c r="X480" s="194" t="str">
        <f>IFERROR(INDEX('Ashed teabags dry'!$K$2:$K$2000,MATCH(I480,'Ashed teabags dry'!$A$2:$A$2000,0)),"")</f>
        <v/>
      </c>
      <c r="Y480" s="194" t="str">
        <f t="shared" si="80"/>
        <v/>
      </c>
      <c r="Z480" s="194" t="str">
        <f t="shared" si="80"/>
        <v/>
      </c>
      <c r="AA480" s="194" t="str">
        <f t="shared" si="86"/>
        <v/>
      </c>
      <c r="AB480" s="194" t="str">
        <f t="shared" si="87"/>
        <v/>
      </c>
      <c r="AC480" s="194" t="str">
        <f t="shared" si="81"/>
        <v/>
      </c>
      <c r="AD480">
        <f t="shared" si="88"/>
        <v>69</v>
      </c>
      <c r="AE480" s="194" t="str">
        <f t="shared" si="89"/>
        <v/>
      </c>
      <c r="AF480" s="194" t="str">
        <f t="shared" si="90"/>
        <v/>
      </c>
      <c r="AG480" s="245" t="str">
        <f>IF(ISNUMBER(SEARCH("C", 'Dry_Litterbag Placem_Collection'!$V187)),"YES","NO")</f>
        <v>NO</v>
      </c>
      <c r="AH480" s="245" t="str">
        <f>IF(ISNUMBER(SEARCH("H", 'Dry_Litterbag Placem_Collection'!$V187)),"YES","NO")</f>
        <v>NO</v>
      </c>
      <c r="AI480" s="245" t="str">
        <f>IF(ISNUMBER(SEARCH("R", 'Dry_Litterbag Placem_Collection'!$V187)),"YES","NO")</f>
        <v>NO</v>
      </c>
      <c r="AJ480" s="245" t="str">
        <f>IF(ISNUMBER(SEARCH("C", 'Dry_Litterbag Placem_Collection'!$U187)),"YES","NO")</f>
        <v>NO</v>
      </c>
      <c r="AK480" s="245" t="str">
        <f>IF(ISNUMBER(SEARCH("H", 'Dry_Litterbag Placem_Collection'!$U187)),"YES","NO")</f>
        <v>NO</v>
      </c>
      <c r="AL480" s="245" t="str">
        <f>IF(ISNUMBER(SEARCH("R", 'Dry_Litterbag Placem_Collection'!$U187)),"YES","NO")</f>
        <v>YES</v>
      </c>
    </row>
    <row r="481" spans="2:38">
      <c r="B481" t="str">
        <f>Dryseason!B627</f>
        <v>Dry</v>
      </c>
      <c r="C481" s="253">
        <f>Dryseason!C627</f>
        <v>186</v>
      </c>
      <c r="D481" t="s">
        <v>3130</v>
      </c>
      <c r="E481" t="s">
        <v>25</v>
      </c>
      <c r="F481" s="374">
        <v>2</v>
      </c>
      <c r="G481" s="376">
        <f>IF('Dry_Litterbag Placem_Collection'!E188="","",'Dry_Litterbag Placem_Collection'!E188)</f>
        <v>42940</v>
      </c>
      <c r="H481" s="92" t="str">
        <f>Dryseason!L627</f>
        <v>G22</v>
      </c>
      <c r="I481" t="str">
        <f>Dryseason!L847</f>
        <v>R629</v>
      </c>
      <c r="J481">
        <f>IFERROR(INDEX('Green_rooibos initial weight'!$C$5:$C$2000,MATCH(H481, 'Green_rooibos initial weight'!$A$5:$A$2000,0)),"")</f>
        <v>2.1</v>
      </c>
      <c r="K481">
        <f>IFERROR(INDEX('Green_rooibos initial weight'!$C$5:$C$2000,MATCH(I481, 'Green_rooibos initial weight'!$A$5:$A$2000,0)),"")</f>
        <v>2.1669999999999998</v>
      </c>
      <c r="L481" s="194">
        <f t="shared" si="82"/>
        <v>1.8502000000000001</v>
      </c>
      <c r="M481" s="233">
        <f>AVERAGE(Ashed_controlls!$K$1:$K$11)</f>
        <v>5.5147656768714146</v>
      </c>
      <c r="N481" s="194">
        <f t="shared" si="78"/>
        <v>1.7481658054465252</v>
      </c>
      <c r="O481" s="194">
        <f t="shared" si="83"/>
        <v>1.9171999999999998</v>
      </c>
      <c r="P481" s="233">
        <f>AVERAGE(Ashed_controlls!$K$12:$K$14)</f>
        <v>2.2816647271287041</v>
      </c>
      <c r="Q481" s="194">
        <f t="shared" si="79"/>
        <v>1.8734559238514883</v>
      </c>
      <c r="R481" s="376">
        <f>IF('Dry_Litterbag Placem_Collection'!G188="","",'Dry_Litterbag Placem_Collection'!G188)</f>
        <v>43009</v>
      </c>
      <c r="S481" s="194">
        <f>IFERROR(INDEX('Both teabags AfterDry'!$D$3:$D$2000,MATCH(H481,'Both teabags AfterDry'!$A$3:$A$2000,0)),"")</f>
        <v>0.7238</v>
      </c>
      <c r="T481" s="194">
        <f>IFERROR(INDEX('Both teabags AfterDry'!$D$3:$D$2000,MATCH(I481,'Both teabags AfterDry'!$A$3:$A$2000,0)),"")</f>
        <v>1.8498000000000001</v>
      </c>
      <c r="U481" s="194">
        <f t="shared" si="84"/>
        <v>0.57319999999999993</v>
      </c>
      <c r="V481" s="194">
        <f t="shared" si="85"/>
        <v>1.6992</v>
      </c>
      <c r="W481" s="194">
        <f>IFERROR(INDEX('Ashed teabags dry'!$K$2:$K$2000,MATCH(H481,'Ashed teabags dry'!$A$2:$A$2000,0)),"")</f>
        <v>19.430172816441186</v>
      </c>
      <c r="X481" s="194">
        <f>IFERROR(INDEX('Ashed teabags dry'!$K$2:$K$2000,MATCH(I481,'Ashed teabags dry'!$A$2:$A$2000,0)),"")</f>
        <v>8.1542968749998188</v>
      </c>
      <c r="Y481" s="194">
        <f t="shared" si="80"/>
        <v>0.46182624941615907</v>
      </c>
      <c r="Z481" s="194">
        <f t="shared" si="80"/>
        <v>1.5606421875000032</v>
      </c>
      <c r="AA481" s="194">
        <f t="shared" si="86"/>
        <v>0.73582239855206577</v>
      </c>
      <c r="AB481" s="194">
        <f t="shared" si="87"/>
        <v>0.48239188123603366</v>
      </c>
      <c r="AC481" s="194">
        <f t="shared" si="81"/>
        <v>0.83302850503768655</v>
      </c>
      <c r="AD481">
        <f t="shared" si="88"/>
        <v>69</v>
      </c>
      <c r="AE481" s="194">
        <f t="shared" si="89"/>
        <v>0.12610166442747528</v>
      </c>
      <c r="AF481" s="194">
        <f t="shared" si="90"/>
        <v>6.1572537193893776E-3</v>
      </c>
      <c r="AG481" s="245" t="str">
        <f>IF(ISNUMBER(SEARCH("C", 'Dry_Litterbag Placem_Collection'!$V188)),"YES","NO")</f>
        <v>NO</v>
      </c>
      <c r="AH481" s="245" t="str">
        <f>IF(ISNUMBER(SEARCH("H", 'Dry_Litterbag Placem_Collection'!$V188)),"YES","NO")</f>
        <v>NO</v>
      </c>
      <c r="AI481" s="245" t="str">
        <f>IF(ISNUMBER(SEARCH("R", 'Dry_Litterbag Placem_Collection'!$V188)),"YES","NO")</f>
        <v>NO</v>
      </c>
      <c r="AJ481" s="245" t="str">
        <f>IF(ISNUMBER(SEARCH("C", 'Dry_Litterbag Placem_Collection'!$U188)),"YES","NO")</f>
        <v>NO</v>
      </c>
      <c r="AK481" s="245" t="str">
        <f>IF(ISNUMBER(SEARCH("H", 'Dry_Litterbag Placem_Collection'!$U188)),"YES","NO")</f>
        <v>NO</v>
      </c>
      <c r="AL481" s="245" t="str">
        <f>IF(ISNUMBER(SEARCH("R", 'Dry_Litterbag Placem_Collection'!$U188)),"YES","NO")</f>
        <v>NO</v>
      </c>
    </row>
    <row r="482" spans="2:38">
      <c r="B482" t="str">
        <f>Dryseason!B628</f>
        <v>Dry</v>
      </c>
      <c r="C482" s="253">
        <f>Dryseason!C628</f>
        <v>187</v>
      </c>
      <c r="D482" t="s">
        <v>3130</v>
      </c>
      <c r="E482" t="s">
        <v>25</v>
      </c>
      <c r="F482" s="374">
        <v>3</v>
      </c>
      <c r="G482" s="376">
        <f>IF('Dry_Litterbag Placem_Collection'!E189="","",'Dry_Litterbag Placem_Collection'!E189)</f>
        <v>42940</v>
      </c>
      <c r="H482" s="92" t="str">
        <f>Dryseason!L628</f>
        <v>G371</v>
      </c>
      <c r="I482" t="str">
        <f>Dryseason!L848</f>
        <v>R679</v>
      </c>
      <c r="J482">
        <f>IFERROR(INDEX('Green_rooibos initial weight'!$C$5:$C$2000,MATCH(H482, 'Green_rooibos initial weight'!$A$5:$A$2000,0)),"")</f>
        <v>2.06</v>
      </c>
      <c r="K482">
        <f>IFERROR(INDEX('Green_rooibos initial weight'!$C$5:$C$2000,MATCH(I482, 'Green_rooibos initial weight'!$A$5:$A$2000,0)),"")</f>
        <v>2.149</v>
      </c>
      <c r="L482" s="194">
        <f t="shared" si="82"/>
        <v>1.8102</v>
      </c>
      <c r="M482" s="233">
        <f>AVERAGE(Ashed_controlls!$K$1:$K$11)</f>
        <v>5.5147656768714146</v>
      </c>
      <c r="N482" s="194">
        <f t="shared" si="78"/>
        <v>1.7103717117172736</v>
      </c>
      <c r="O482" s="194">
        <f t="shared" si="83"/>
        <v>1.8992</v>
      </c>
      <c r="P482" s="233">
        <f>AVERAGE(Ashed_controlls!$K$12:$K$14)</f>
        <v>2.2816647271287041</v>
      </c>
      <c r="Q482" s="194">
        <f t="shared" si="79"/>
        <v>1.8558666235023717</v>
      </c>
      <c r="R482" s="376">
        <f>IF('Dry_Litterbag Placem_Collection'!G189="","",'Dry_Litterbag Placem_Collection'!G189)</f>
        <v>43009</v>
      </c>
      <c r="S482" s="194">
        <f>IFERROR(INDEX('Both teabags AfterDry'!$D$3:$D$2000,MATCH(H482,'Both teabags AfterDry'!$A$3:$A$2000,0)),"")</f>
        <v>0.81369999999999998</v>
      </c>
      <c r="T482" s="194">
        <f>IFERROR(INDEX('Both teabags AfterDry'!$D$3:$D$2000,MATCH(I482,'Both teabags AfterDry'!$A$3:$A$2000,0)),"")</f>
        <v>1.7021999999999999</v>
      </c>
      <c r="U482" s="194">
        <f t="shared" si="84"/>
        <v>0.66310000000000002</v>
      </c>
      <c r="V482" s="194">
        <f t="shared" si="85"/>
        <v>1.5515999999999999</v>
      </c>
      <c r="W482" s="194">
        <f>IFERROR(INDEX('Ashed teabags dry'!$K$2:$K$2000,MATCH(H482,'Ashed teabags dry'!$A$2:$A$2000,0)),"")</f>
        <v>24.951361867703799</v>
      </c>
      <c r="X482" s="194">
        <f>IFERROR(INDEX('Ashed teabags dry'!$K$2:$K$2000,MATCH(I482,'Ashed teabags dry'!$A$2:$A$2000,0)),"")</f>
        <v>11.726867887184616</v>
      </c>
      <c r="Y482" s="194">
        <f t="shared" si="80"/>
        <v>0.49764751945525609</v>
      </c>
      <c r="Z482" s="194">
        <f t="shared" si="80"/>
        <v>1.3696459178624434</v>
      </c>
      <c r="AA482" s="194">
        <f t="shared" si="86"/>
        <v>0.70904130602370619</v>
      </c>
      <c r="AB482" s="194">
        <f t="shared" si="87"/>
        <v>0.46483468043359366</v>
      </c>
      <c r="AC482" s="194">
        <f t="shared" si="81"/>
        <v>0.73800880974822547</v>
      </c>
      <c r="AD482">
        <f t="shared" si="88"/>
        <v>69</v>
      </c>
      <c r="AE482" s="194">
        <f t="shared" si="89"/>
        <v>0.15790818762030145</v>
      </c>
      <c r="AF482" s="194">
        <f t="shared" si="90"/>
        <v>1.2018074189409486E-2</v>
      </c>
      <c r="AG482" s="245" t="str">
        <f>IF(ISNUMBER(SEARCH("C", 'Dry_Litterbag Placem_Collection'!$V189)),"YES","NO")</f>
        <v>NO</v>
      </c>
      <c r="AH482" s="245" t="str">
        <f>IF(ISNUMBER(SEARCH("H", 'Dry_Litterbag Placem_Collection'!$V189)),"YES","NO")</f>
        <v>NO</v>
      </c>
      <c r="AI482" s="245" t="str">
        <f>IF(ISNUMBER(SEARCH("R", 'Dry_Litterbag Placem_Collection'!$V189)),"YES","NO")</f>
        <v>NO</v>
      </c>
      <c r="AJ482" s="245" t="str">
        <f>IF(ISNUMBER(SEARCH("C", 'Dry_Litterbag Placem_Collection'!$U189)),"YES","NO")</f>
        <v>NO</v>
      </c>
      <c r="AK482" s="245" t="str">
        <f>IF(ISNUMBER(SEARCH("H", 'Dry_Litterbag Placem_Collection'!$U189)),"YES","NO")</f>
        <v>NO</v>
      </c>
      <c r="AL482" s="245" t="str">
        <f>IF(ISNUMBER(SEARCH("R", 'Dry_Litterbag Placem_Collection'!$U189)),"YES","NO")</f>
        <v>NO</v>
      </c>
    </row>
    <row r="483" spans="2:38">
      <c r="B483" t="str">
        <f>Dryseason!B629</f>
        <v>Dry</v>
      </c>
      <c r="C483" s="253">
        <f>Dryseason!C629</f>
        <v>188</v>
      </c>
      <c r="D483" t="s">
        <v>3130</v>
      </c>
      <c r="E483" t="s">
        <v>25</v>
      </c>
      <c r="F483" s="375">
        <v>4</v>
      </c>
      <c r="G483" s="376">
        <f>IF('Dry_Litterbag Placem_Collection'!E190="","",'Dry_Litterbag Placem_Collection'!E190)</f>
        <v>42940</v>
      </c>
      <c r="H483" s="92" t="str">
        <f>Dryseason!L629</f>
        <v>G185</v>
      </c>
      <c r="I483" t="str">
        <f>Dryseason!L849</f>
        <v>R682</v>
      </c>
      <c r="J483">
        <f>IFERROR(INDEX('Green_rooibos initial weight'!$C$5:$C$2000,MATCH(H483, 'Green_rooibos initial weight'!$A$5:$A$2000,0)),"")</f>
        <v>2.13</v>
      </c>
      <c r="K483">
        <f>IFERROR(INDEX('Green_rooibos initial weight'!$C$5:$C$2000,MATCH(I483, 'Green_rooibos initial weight'!$A$5:$A$2000,0)),"")</f>
        <v>2.1720000000000002</v>
      </c>
      <c r="L483" s="194">
        <f t="shared" si="82"/>
        <v>1.8801999999999999</v>
      </c>
      <c r="M483" s="233">
        <f>AVERAGE(Ashed_controlls!$K$1:$K$11)</f>
        <v>5.5147656768714146</v>
      </c>
      <c r="N483" s="194">
        <f t="shared" si="78"/>
        <v>1.7765113757434636</v>
      </c>
      <c r="O483" s="194">
        <f t="shared" si="83"/>
        <v>1.9222000000000001</v>
      </c>
      <c r="P483" s="233">
        <f>AVERAGE(Ashed_controlls!$K$12:$K$14)</f>
        <v>2.2816647271287041</v>
      </c>
      <c r="Q483" s="194">
        <f t="shared" si="79"/>
        <v>1.8783418406151322</v>
      </c>
      <c r="R483" s="376">
        <f>IF('Dry_Litterbag Placem_Collection'!G190="","",'Dry_Litterbag Placem_Collection'!G190)</f>
        <v>43009</v>
      </c>
      <c r="S483" s="194">
        <f>IFERROR(INDEX('Both teabags AfterDry'!$D$3:$D$2000,MATCH(H483,'Both teabags AfterDry'!$A$3:$A$2000,0)),"")</f>
        <v>0.74670000000000003</v>
      </c>
      <c r="T483" s="194">
        <f>IFERROR(INDEX('Both teabags AfterDry'!$D$3:$D$2000,MATCH(I483,'Both teabags AfterDry'!$A$3:$A$2000,0)),"")</f>
        <v>1.7353000000000001</v>
      </c>
      <c r="U483" s="194">
        <f t="shared" si="84"/>
        <v>0.59610000000000007</v>
      </c>
      <c r="V483" s="194">
        <f t="shared" si="85"/>
        <v>1.5847</v>
      </c>
      <c r="W483" s="194">
        <f>IFERROR(INDEX('Ashed teabags dry'!$K$2:$K$2000,MATCH(H483,'Ashed teabags dry'!$A$2:$A$2000,0)),"")</f>
        <v>22.108345534406503</v>
      </c>
      <c r="X483" s="194">
        <f>IFERROR(INDEX('Ashed teabags dry'!$K$2:$K$2000,MATCH(I483,'Ashed teabags dry'!$A$2:$A$2000,0)),"")</f>
        <v>6.766169154228745</v>
      </c>
      <c r="Y483" s="194">
        <f t="shared" si="80"/>
        <v>0.46431215226940292</v>
      </c>
      <c r="Z483" s="194">
        <f t="shared" si="80"/>
        <v>1.4774765174129372</v>
      </c>
      <c r="AA483" s="194">
        <f t="shared" si="86"/>
        <v>0.73863823299465792</v>
      </c>
      <c r="AB483" s="194">
        <f t="shared" si="87"/>
        <v>0.48423789146443136</v>
      </c>
      <c r="AC483" s="194">
        <f t="shared" si="81"/>
        <v>0.7865855327638781</v>
      </c>
      <c r="AD483">
        <f t="shared" si="88"/>
        <v>69</v>
      </c>
      <c r="AE483" s="194">
        <f t="shared" si="89"/>
        <v>0.12275744299921865</v>
      </c>
      <c r="AF483" s="194">
        <f t="shared" si="90"/>
        <v>8.4218733312018661E-3</v>
      </c>
      <c r="AG483" s="245" t="str">
        <f>IF(ISNUMBER(SEARCH("C", 'Dry_Litterbag Placem_Collection'!$V190)),"YES","NO")</f>
        <v>NO</v>
      </c>
      <c r="AH483" s="245" t="str">
        <f>IF(ISNUMBER(SEARCH("H", 'Dry_Litterbag Placem_Collection'!$V190)),"YES","NO")</f>
        <v>NO</v>
      </c>
      <c r="AI483" s="245" t="str">
        <f>IF(ISNUMBER(SEARCH("R", 'Dry_Litterbag Placem_Collection'!$V190)),"YES","NO")</f>
        <v>NO</v>
      </c>
      <c r="AJ483" s="245" t="str">
        <f>IF(ISNUMBER(SEARCH("C", 'Dry_Litterbag Placem_Collection'!$U190)),"YES","NO")</f>
        <v>NO</v>
      </c>
      <c r="AK483" s="245" t="str">
        <f>IF(ISNUMBER(SEARCH("H", 'Dry_Litterbag Placem_Collection'!$U190)),"YES","NO")</f>
        <v>NO</v>
      </c>
      <c r="AL483" s="245" t="str">
        <f>IF(ISNUMBER(SEARCH("R", 'Dry_Litterbag Placem_Collection'!$U190)),"YES","NO")</f>
        <v>NO</v>
      </c>
    </row>
    <row r="484" spans="2:38">
      <c r="B484" t="str">
        <f>Dryseason!B630</f>
        <v>Dry</v>
      </c>
      <c r="C484" s="253">
        <f>Dryseason!C630</f>
        <v>189</v>
      </c>
      <c r="D484" t="s">
        <v>3130</v>
      </c>
      <c r="E484" t="s">
        <v>25</v>
      </c>
      <c r="F484" s="375">
        <v>5</v>
      </c>
      <c r="G484" s="376">
        <f>IF('Dry_Litterbag Placem_Collection'!E191="","",'Dry_Litterbag Placem_Collection'!E191)</f>
        <v>42940</v>
      </c>
      <c r="H484" s="92" t="str">
        <f>Dryseason!L630</f>
        <v>G301</v>
      </c>
      <c r="I484" t="str">
        <f>Dryseason!L850</f>
        <v>R693</v>
      </c>
      <c r="J484">
        <f>IFERROR(INDEX('Green_rooibos initial weight'!$C$5:$C$2000,MATCH(H484, 'Green_rooibos initial weight'!$A$5:$A$2000,0)),"")</f>
        <v>1.9379999999999999</v>
      </c>
      <c r="K484">
        <f>IFERROR(INDEX('Green_rooibos initial weight'!$C$5:$C$2000,MATCH(I484, 'Green_rooibos initial weight'!$A$5:$A$2000,0)),"")</f>
        <v>2.1789999999999998</v>
      </c>
      <c r="L484" s="194">
        <f t="shared" si="82"/>
        <v>1.6881999999999999</v>
      </c>
      <c r="M484" s="233">
        <f>AVERAGE(Ashed_controlls!$K$1:$K$11)</f>
        <v>5.5147656768714146</v>
      </c>
      <c r="N484" s="194">
        <f t="shared" si="78"/>
        <v>1.5950997258430566</v>
      </c>
      <c r="O484" s="194">
        <f t="shared" si="83"/>
        <v>1.9291999999999998</v>
      </c>
      <c r="P484" s="233">
        <f>AVERAGE(Ashed_controlls!$K$12:$K$14)</f>
        <v>2.2816647271287041</v>
      </c>
      <c r="Q484" s="194">
        <f t="shared" si="79"/>
        <v>1.8851821240842328</v>
      </c>
      <c r="R484" s="376">
        <f>IF('Dry_Litterbag Placem_Collection'!G191="","",'Dry_Litterbag Placem_Collection'!G191)</f>
        <v>43009</v>
      </c>
      <c r="S484" s="194">
        <f>IFERROR(INDEX('Both teabags AfterDry'!$D$3:$D$2000,MATCH(H484,'Both teabags AfterDry'!$A$3:$A$2000,0)),"")</f>
        <v>0.66849999999999998</v>
      </c>
      <c r="T484" s="194">
        <f>IFERROR(INDEX('Both teabags AfterDry'!$D$3:$D$2000,MATCH(I484,'Both teabags AfterDry'!$A$3:$A$2000,0)),"")</f>
        <v>1.919</v>
      </c>
      <c r="U484" s="194">
        <f t="shared" si="84"/>
        <v>0.51790000000000003</v>
      </c>
      <c r="V484" s="194">
        <f t="shared" si="85"/>
        <v>1.7684</v>
      </c>
      <c r="W484" s="194">
        <f>IFERROR(INDEX('Ashed teabags dry'!$K$2:$K$2000,MATCH(H484,'Ashed teabags dry'!$A$2:$A$2000,0)),"")</f>
        <v>15.626326963906347</v>
      </c>
      <c r="X484" s="194">
        <f>IFERROR(INDEX('Ashed teabags dry'!$K$2:$K$2000,MATCH(I484,'Ashed teabags dry'!$A$2:$A$2000,0)),"")</f>
        <v>7.2408897302414861</v>
      </c>
      <c r="Y484" s="194">
        <f t="shared" si="80"/>
        <v>0.43697125265392905</v>
      </c>
      <c r="Z484" s="194">
        <f t="shared" si="80"/>
        <v>1.6403521060104096</v>
      </c>
      <c r="AA484" s="194">
        <f t="shared" si="86"/>
        <v>0.72605396040490389</v>
      </c>
      <c r="AB484" s="194">
        <f t="shared" si="87"/>
        <v>0.47598786952910571</v>
      </c>
      <c r="AC484" s="194">
        <f t="shared" si="81"/>
        <v>0.87012924908103795</v>
      </c>
      <c r="AD484">
        <f t="shared" si="88"/>
        <v>69</v>
      </c>
      <c r="AE484" s="194">
        <f t="shared" si="89"/>
        <v>0.13770313491104047</v>
      </c>
      <c r="AF484" s="194">
        <f t="shared" si="90"/>
        <v>4.6176109978170845E-3</v>
      </c>
      <c r="AG484" s="245" t="str">
        <f>IF(ISNUMBER(SEARCH("C", 'Dry_Litterbag Placem_Collection'!$V191)),"YES","NO")</f>
        <v>NO</v>
      </c>
      <c r="AH484" s="245" t="str">
        <f>IF(ISNUMBER(SEARCH("H", 'Dry_Litterbag Placem_Collection'!$V191)),"YES","NO")</f>
        <v>NO</v>
      </c>
      <c r="AI484" s="245" t="str">
        <f>IF(ISNUMBER(SEARCH("R", 'Dry_Litterbag Placem_Collection'!$V191)),"YES","NO")</f>
        <v>NO</v>
      </c>
      <c r="AJ484" s="245" t="str">
        <f>IF(ISNUMBER(SEARCH("C", 'Dry_Litterbag Placem_Collection'!$U191)),"YES","NO")</f>
        <v>NO</v>
      </c>
      <c r="AK484" s="245" t="str">
        <f>IF(ISNUMBER(SEARCH("H", 'Dry_Litterbag Placem_Collection'!$U191)),"YES","NO")</f>
        <v>NO</v>
      </c>
      <c r="AL484" s="245" t="str">
        <f>IF(ISNUMBER(SEARCH("R", 'Dry_Litterbag Placem_Collection'!$U191)),"YES","NO")</f>
        <v>YES</v>
      </c>
    </row>
    <row r="485" spans="2:38">
      <c r="B485" t="str">
        <f>Dryseason!B631</f>
        <v>Dry</v>
      </c>
      <c r="C485" s="253">
        <f>Dryseason!C631</f>
        <v>190</v>
      </c>
      <c r="D485" t="s">
        <v>3130</v>
      </c>
      <c r="E485" t="s">
        <v>25</v>
      </c>
      <c r="F485" s="375">
        <v>6</v>
      </c>
      <c r="G485" s="376">
        <f>IF('Dry_Litterbag Placem_Collection'!E192="","",'Dry_Litterbag Placem_Collection'!E192)</f>
        <v>42940</v>
      </c>
      <c r="H485" s="92" t="str">
        <f>Dryseason!L631</f>
        <v>G466</v>
      </c>
      <c r="I485" t="str">
        <f>Dryseason!L851</f>
        <v>R605</v>
      </c>
      <c r="J485">
        <f>IFERROR(INDEX('Green_rooibos initial weight'!$C$5:$C$2000,MATCH(H485, 'Green_rooibos initial weight'!$A$5:$A$2000,0)),"")</f>
        <v>1.9319999999999999</v>
      </c>
      <c r="K485">
        <f>IFERROR(INDEX('Green_rooibos initial weight'!$C$5:$C$2000,MATCH(I485, 'Green_rooibos initial weight'!$A$5:$A$2000,0)),"")</f>
        <v>2.165</v>
      </c>
      <c r="L485" s="194">
        <f t="shared" si="82"/>
        <v>1.6821999999999999</v>
      </c>
      <c r="M485" s="233">
        <f>AVERAGE(Ashed_controlls!$K$1:$K$11)</f>
        <v>5.5147656768714146</v>
      </c>
      <c r="N485" s="194">
        <f t="shared" si="78"/>
        <v>1.589430611783669</v>
      </c>
      <c r="O485" s="194">
        <f t="shared" si="83"/>
        <v>1.9152</v>
      </c>
      <c r="P485" s="233">
        <f>AVERAGE(Ashed_controlls!$K$12:$K$14)</f>
        <v>2.2816647271287041</v>
      </c>
      <c r="Q485" s="194">
        <f t="shared" si="79"/>
        <v>1.8715015571460312</v>
      </c>
      <c r="R485" s="376">
        <f>IF('Dry_Litterbag Placem_Collection'!G192="","",'Dry_Litterbag Placem_Collection'!G192)</f>
        <v>43009</v>
      </c>
      <c r="S485" s="194">
        <f>IFERROR(INDEX('Both teabags AfterDry'!$D$3:$D$2000,MATCH(H485,'Both teabags AfterDry'!$A$3:$A$2000,0)),"")</f>
        <v>0.81599999999999995</v>
      </c>
      <c r="T485" s="194">
        <f>IFERROR(INDEX('Both teabags AfterDry'!$D$3:$D$2000,MATCH(I485,'Both teabags AfterDry'!$A$3:$A$2000,0)),"")</f>
        <v>1.8051999999999999</v>
      </c>
      <c r="U485" s="194">
        <f t="shared" si="84"/>
        <v>0.66539999999999999</v>
      </c>
      <c r="V485" s="194">
        <f t="shared" si="85"/>
        <v>1.6545999999999998</v>
      </c>
      <c r="W485" s="194">
        <f>IFERROR(INDEX('Ashed teabags dry'!$K$2:$K$2000,MATCH(H485,'Ashed teabags dry'!$A$2:$A$2000,0)),"")</f>
        <v>24.385447394296765</v>
      </c>
      <c r="X485" s="194">
        <f>IFERROR(INDEX('Ashed teabags dry'!$K$2:$K$2000,MATCH(I485,'Ashed teabags dry'!$A$2:$A$2000,0)),"")</f>
        <v>9.224730127576688</v>
      </c>
      <c r="Y485" s="194">
        <f t="shared" si="80"/>
        <v>0.50313923303834929</v>
      </c>
      <c r="Z485" s="194">
        <f t="shared" si="80"/>
        <v>1.5019676153091159</v>
      </c>
      <c r="AA485" s="194">
        <f t="shared" si="86"/>
        <v>0.68344687128321802</v>
      </c>
      <c r="AB485" s="194">
        <f t="shared" si="87"/>
        <v>0.44805543105503132</v>
      </c>
      <c r="AC485" s="194">
        <f t="shared" si="81"/>
        <v>0.80254681572349829</v>
      </c>
      <c r="AD485">
        <f t="shared" si="88"/>
        <v>69</v>
      </c>
      <c r="AE485" s="194">
        <f t="shared" si="89"/>
        <v>0.18830537852349405</v>
      </c>
      <c r="AF485" s="194">
        <f t="shared" si="90"/>
        <v>8.4210137213933979E-3</v>
      </c>
      <c r="AG485" s="245" t="str">
        <f>IF(ISNUMBER(SEARCH("C", 'Dry_Litterbag Placem_Collection'!$V192)),"YES","NO")</f>
        <v>NO</v>
      </c>
      <c r="AH485" s="245" t="str">
        <f>IF(ISNUMBER(SEARCH("H", 'Dry_Litterbag Placem_Collection'!$V192)),"YES","NO")</f>
        <v>NO</v>
      </c>
      <c r="AI485" s="245" t="str">
        <f>IF(ISNUMBER(SEARCH("R", 'Dry_Litterbag Placem_Collection'!$V192)),"YES","NO")</f>
        <v>NO</v>
      </c>
      <c r="AJ485" s="245" t="str">
        <f>IF(ISNUMBER(SEARCH("C", 'Dry_Litterbag Placem_Collection'!$U192)),"YES","NO")</f>
        <v>NO</v>
      </c>
      <c r="AK485" s="245" t="str">
        <f>IF(ISNUMBER(SEARCH("H", 'Dry_Litterbag Placem_Collection'!$U192)),"YES","NO")</f>
        <v>NO</v>
      </c>
      <c r="AL485" s="245" t="str">
        <f>IF(ISNUMBER(SEARCH("R", 'Dry_Litterbag Placem_Collection'!$U192)),"YES","NO")</f>
        <v>NO</v>
      </c>
    </row>
    <row r="486" spans="2:38">
      <c r="B486" t="str">
        <f>Dryseason!B632</f>
        <v>Dry</v>
      </c>
      <c r="C486" s="253">
        <f>Dryseason!C632</f>
        <v>191</v>
      </c>
      <c r="D486" t="s">
        <v>3130</v>
      </c>
      <c r="E486" t="s">
        <v>25</v>
      </c>
      <c r="F486" s="375">
        <v>7</v>
      </c>
      <c r="G486" s="376">
        <f>IF('Dry_Litterbag Placem_Collection'!E193="","",'Dry_Litterbag Placem_Collection'!E193)</f>
        <v>42940</v>
      </c>
      <c r="H486" s="92" t="str">
        <f>Dryseason!L632</f>
        <v>G32</v>
      </c>
      <c r="I486" t="str">
        <f>Dryseason!L852</f>
        <v>R240</v>
      </c>
      <c r="J486">
        <f>IFERROR(INDEX('Green_rooibos initial weight'!$C$5:$C$2000,MATCH(H486, 'Green_rooibos initial weight'!$A$5:$A$2000,0)),"")</f>
        <v>2.0510000000000002</v>
      </c>
      <c r="K486">
        <f>IFERROR(INDEX('Green_rooibos initial weight'!$C$5:$C$2000,MATCH(I486, 'Green_rooibos initial weight'!$A$5:$A$2000,0)),"")</f>
        <v>2.1800000000000002</v>
      </c>
      <c r="L486" s="194">
        <f t="shared" si="82"/>
        <v>1.8012000000000001</v>
      </c>
      <c r="M486" s="233">
        <f>AVERAGE(Ashed_controlls!$K$1:$K$11)</f>
        <v>5.5147656768714146</v>
      </c>
      <c r="N486" s="194">
        <f t="shared" si="78"/>
        <v>1.7018680406281923</v>
      </c>
      <c r="O486" s="194">
        <f t="shared" si="83"/>
        <v>1.9302000000000001</v>
      </c>
      <c r="P486" s="233">
        <f>AVERAGE(Ashed_controlls!$K$12:$K$14)</f>
        <v>2.2816647271287041</v>
      </c>
      <c r="Q486" s="194">
        <f t="shared" si="79"/>
        <v>1.8861593074369618</v>
      </c>
      <c r="R486" s="376">
        <f>IF('Dry_Litterbag Placem_Collection'!G193="","",'Dry_Litterbag Placem_Collection'!G193)</f>
        <v>43009</v>
      </c>
      <c r="S486" s="194">
        <f>IFERROR(INDEX('Both teabags AfterDry'!$D$3:$D$2000,MATCH(H486,'Both teabags AfterDry'!$A$3:$A$2000,0)),"")</f>
        <v>0.77580000000000005</v>
      </c>
      <c r="T486" s="194">
        <f>IFERROR(INDEX('Both teabags AfterDry'!$D$3:$D$2000,MATCH(I486,'Both teabags AfterDry'!$A$3:$A$2000,0)),"")</f>
        <v>1.7597</v>
      </c>
      <c r="U486" s="194">
        <f t="shared" si="84"/>
        <v>0.62519999999999998</v>
      </c>
      <c r="V486" s="194">
        <f t="shared" si="85"/>
        <v>1.6091</v>
      </c>
      <c r="W486" s="194">
        <f>IFERROR(INDEX('Ashed teabags dry'!$K$2:$K$2000,MATCH(H486,'Ashed teabags dry'!$A$2:$A$2000,0)),"")</f>
        <v>25.871121718377726</v>
      </c>
      <c r="X486" s="194">
        <f>IFERROR(INDEX('Ashed teabags dry'!$K$2:$K$2000,MATCH(I486,'Ashed teabags dry'!$A$2:$A$2000,0)),"")</f>
        <v>6.2347783731121424</v>
      </c>
      <c r="Y486" s="194">
        <f t="shared" si="80"/>
        <v>0.46345374701670244</v>
      </c>
      <c r="Z486" s="194">
        <f t="shared" si="80"/>
        <v>1.5087761811982525</v>
      </c>
      <c r="AA486" s="194">
        <f t="shared" si="86"/>
        <v>0.72767938761830631</v>
      </c>
      <c r="AB486" s="194">
        <f t="shared" si="87"/>
        <v>0.47705347026758327</v>
      </c>
      <c r="AC486" s="194">
        <f t="shared" si="81"/>
        <v>0.79991980277025354</v>
      </c>
      <c r="AD486">
        <f t="shared" si="88"/>
        <v>69</v>
      </c>
      <c r="AE486" s="194">
        <f t="shared" si="89"/>
        <v>0.13577269879061005</v>
      </c>
      <c r="AF486" s="194">
        <f t="shared" si="90"/>
        <v>7.8798198159253877E-3</v>
      </c>
      <c r="AG486" s="245" t="str">
        <f>IF(ISNUMBER(SEARCH("C", 'Dry_Litterbag Placem_Collection'!$V193)),"YES","NO")</f>
        <v>NO</v>
      </c>
      <c r="AH486" s="245" t="str">
        <f>IF(ISNUMBER(SEARCH("H", 'Dry_Litterbag Placem_Collection'!$V193)),"YES","NO")</f>
        <v>NO</v>
      </c>
      <c r="AI486" s="245" t="str">
        <f>IF(ISNUMBER(SEARCH("R", 'Dry_Litterbag Placem_Collection'!$V193)),"YES","NO")</f>
        <v>NO</v>
      </c>
      <c r="AJ486" s="245" t="str">
        <f>IF(ISNUMBER(SEARCH("C", 'Dry_Litterbag Placem_Collection'!$U193)),"YES","NO")</f>
        <v>NO</v>
      </c>
      <c r="AK486" s="245" t="str">
        <f>IF(ISNUMBER(SEARCH("H", 'Dry_Litterbag Placem_Collection'!$U193)),"YES","NO")</f>
        <v>NO</v>
      </c>
      <c r="AL486" s="245" t="str">
        <f>IF(ISNUMBER(SEARCH("R", 'Dry_Litterbag Placem_Collection'!$U193)),"YES","NO")</f>
        <v>NO</v>
      </c>
    </row>
    <row r="487" spans="2:38">
      <c r="B487" t="str">
        <f>Dryseason!B633</f>
        <v>Dry</v>
      </c>
      <c r="C487" s="253">
        <f>Dryseason!C633</f>
        <v>192</v>
      </c>
      <c r="D487" t="s">
        <v>3130</v>
      </c>
      <c r="E487" t="s">
        <v>25</v>
      </c>
      <c r="F487" s="375">
        <v>8</v>
      </c>
      <c r="G487" s="376" t="str">
        <f>IF('Dry_Litterbag Placem_Collection'!E194="","",'Dry_Litterbag Placem_Collection'!E194)</f>
        <v/>
      </c>
      <c r="H487" s="92" t="str">
        <f>Dryseason!L633</f>
        <v/>
      </c>
      <c r="I487" t="str">
        <f>Dryseason!L853</f>
        <v/>
      </c>
      <c r="J487" t="str">
        <f>IFERROR(INDEX('Green_rooibos initial weight'!$C$5:$C$2000,MATCH(H487, 'Green_rooibos initial weight'!$A$5:$A$2000,0)),"")</f>
        <v/>
      </c>
      <c r="K487" t="str">
        <f>IFERROR(INDEX('Green_rooibos initial weight'!$C$5:$C$2000,MATCH(I487, 'Green_rooibos initial weight'!$A$5:$A$2000,0)),"")</f>
        <v/>
      </c>
      <c r="L487" s="194" t="str">
        <f t="shared" si="82"/>
        <v/>
      </c>
      <c r="M487" s="233">
        <f>AVERAGE(Ashed_controlls!$K$1:$K$11)</f>
        <v>5.5147656768714146</v>
      </c>
      <c r="N487" s="194" t="str">
        <f t="shared" si="78"/>
        <v/>
      </c>
      <c r="O487" s="194" t="str">
        <f t="shared" si="83"/>
        <v/>
      </c>
      <c r="P487" s="233">
        <f>AVERAGE(Ashed_controlls!$K$12:$K$14)</f>
        <v>2.2816647271287041</v>
      </c>
      <c r="Q487" s="194" t="str">
        <f t="shared" si="79"/>
        <v/>
      </c>
      <c r="R487" s="376" t="str">
        <f>IF('Dry_Litterbag Placem_Collection'!G194="","",'Dry_Litterbag Placem_Collection'!G194)</f>
        <v/>
      </c>
      <c r="S487" s="194" t="str">
        <f>IFERROR(INDEX('Both teabags AfterDry'!$D$3:$D$2000,MATCH(H487,'Both teabags AfterDry'!$A$3:$A$2000,0)),"")</f>
        <v/>
      </c>
      <c r="T487" s="194" t="str">
        <f>IFERROR(INDEX('Both teabags AfterDry'!$D$3:$D$2000,MATCH(I487,'Both teabags AfterDry'!$A$3:$A$2000,0)),"")</f>
        <v/>
      </c>
      <c r="U487" s="194" t="str">
        <f t="shared" si="84"/>
        <v/>
      </c>
      <c r="V487" s="194" t="str">
        <f t="shared" si="85"/>
        <v/>
      </c>
      <c r="W487" s="194" t="str">
        <f>IFERROR(INDEX('Ashed teabags dry'!$K$2:$K$2000,MATCH(H487,'Ashed teabags dry'!$A$2:$A$2000,0)),"")</f>
        <v/>
      </c>
      <c r="X487" s="194" t="str">
        <f>IFERROR(INDEX('Ashed teabags dry'!$K$2:$K$2000,MATCH(I487,'Ashed teabags dry'!$A$2:$A$2000,0)),"")</f>
        <v/>
      </c>
      <c r="Y487" s="194" t="str">
        <f t="shared" si="80"/>
        <v/>
      </c>
      <c r="Z487" s="194" t="str">
        <f t="shared" si="80"/>
        <v/>
      </c>
      <c r="AA487" s="194" t="str">
        <f t="shared" si="86"/>
        <v/>
      </c>
      <c r="AB487" s="194" t="str">
        <f t="shared" si="87"/>
        <v/>
      </c>
      <c r="AC487" s="194" t="str">
        <f t="shared" si="81"/>
        <v/>
      </c>
      <c r="AD487" t="str">
        <f t="shared" si="88"/>
        <v/>
      </c>
      <c r="AE487" s="194" t="str">
        <f t="shared" si="89"/>
        <v/>
      </c>
      <c r="AF487" s="194" t="str">
        <f t="shared" si="90"/>
        <v/>
      </c>
      <c r="AG487" s="245" t="str">
        <f>IF(ISNUMBER(SEARCH("C", 'Dry_Litterbag Placem_Collection'!$V194)),"YES","NO")</f>
        <v>NO</v>
      </c>
      <c r="AH487" s="245" t="str">
        <f>IF(ISNUMBER(SEARCH("H", 'Dry_Litterbag Placem_Collection'!$V194)),"YES","NO")</f>
        <v>NO</v>
      </c>
      <c r="AI487" s="245" t="str">
        <f>IF(ISNUMBER(SEARCH("R", 'Dry_Litterbag Placem_Collection'!$V194)),"YES","NO")</f>
        <v>NO</v>
      </c>
      <c r="AJ487" s="245" t="str">
        <f>IF(ISNUMBER(SEARCH("C", 'Dry_Litterbag Placem_Collection'!$U194)),"YES","NO")</f>
        <v>NO</v>
      </c>
      <c r="AK487" s="245" t="str">
        <f>IF(ISNUMBER(SEARCH("H", 'Dry_Litterbag Placem_Collection'!$U194)),"YES","NO")</f>
        <v>NO</v>
      </c>
      <c r="AL487" s="245" t="str">
        <f>IF(ISNUMBER(SEARCH("R", 'Dry_Litterbag Placem_Collection'!$U194)),"YES","NO")</f>
        <v>NO</v>
      </c>
    </row>
    <row r="488" spans="2:38">
      <c r="B488" t="str">
        <f>Dryseason!B634</f>
        <v>Dry</v>
      </c>
      <c r="C488" s="253">
        <f>Dryseason!C634</f>
        <v>193</v>
      </c>
      <c r="D488" t="s">
        <v>2440</v>
      </c>
      <c r="E488" t="s">
        <v>25</v>
      </c>
      <c r="F488" s="375">
        <v>1</v>
      </c>
      <c r="G488" s="376">
        <f>IF('Dry_Litterbag Placem_Collection'!E195="","",'Dry_Litterbag Placem_Collection'!E195)</f>
        <v>42942</v>
      </c>
      <c r="H488" s="92" t="str">
        <f>Dryseason!L634</f>
        <v>G45</v>
      </c>
      <c r="I488" t="str">
        <f>Dryseason!L854</f>
        <v>R623</v>
      </c>
      <c r="J488">
        <f>IFERROR(INDEX('Green_rooibos initial weight'!$C$5:$C$2000,MATCH(H488, 'Green_rooibos initial weight'!$A$5:$A$2000,0)),"")</f>
        <v>2.0779999999999998</v>
      </c>
      <c r="K488">
        <f>IFERROR(INDEX('Green_rooibos initial weight'!$C$5:$C$2000,MATCH(I488, 'Green_rooibos initial weight'!$A$5:$A$2000,0)),"")</f>
        <v>2.056</v>
      </c>
      <c r="L488" s="194">
        <f t="shared" si="82"/>
        <v>1.8281999999999998</v>
      </c>
      <c r="M488" s="233">
        <f>AVERAGE(Ashed_controlls!$K$1:$K$11)</f>
        <v>5.5147656768714146</v>
      </c>
      <c r="N488" s="194">
        <f t="shared" si="78"/>
        <v>1.7273790538954366</v>
      </c>
      <c r="O488" s="194">
        <f t="shared" si="83"/>
        <v>1.8062</v>
      </c>
      <c r="P488" s="233">
        <f>AVERAGE(Ashed_controlls!$K$12:$K$14)</f>
        <v>2.2816647271287041</v>
      </c>
      <c r="Q488" s="194">
        <f t="shared" si="79"/>
        <v>1.7649885716986013</v>
      </c>
      <c r="R488" s="376">
        <f>IF('Dry_Litterbag Placem_Collection'!G195="","",'Dry_Litterbag Placem_Collection'!G195)</f>
        <v>43004</v>
      </c>
      <c r="S488" s="194">
        <f>IFERROR(INDEX('Both teabags AfterDry'!$D$3:$D$2000,MATCH(H488,'Both teabags AfterDry'!$A$3:$A$2000,0)),"")</f>
        <v>0.82699999999999996</v>
      </c>
      <c r="T488" s="194">
        <f>IFERROR(INDEX('Both teabags AfterDry'!$D$3:$D$2000,MATCH(I488,'Both teabags AfterDry'!$A$3:$A$2000,0)),"")</f>
        <v>1.397</v>
      </c>
      <c r="U488" s="194">
        <f t="shared" si="84"/>
        <v>0.67639999999999989</v>
      </c>
      <c r="V488" s="194">
        <f t="shared" si="85"/>
        <v>1.2464</v>
      </c>
      <c r="W488" s="194">
        <f>IFERROR(INDEX('Ashed teabags dry'!$K$2:$K$2000,MATCH(H488,'Ashed teabags dry'!$A$2:$A$2000,0)),"")</f>
        <v>13.455953533397516</v>
      </c>
      <c r="X488" s="194">
        <f>IFERROR(INDEX('Ashed teabags dry'!$K$2:$K$2000,MATCH(I488,'Ashed teabags dry'!$A$2:$A$2000,0)),"")</f>
        <v>6.0918462980318058</v>
      </c>
      <c r="Y488" s="194">
        <f t="shared" si="80"/>
        <v>0.58538393030009916</v>
      </c>
      <c r="Z488" s="194">
        <f t="shared" si="80"/>
        <v>1.1704712277413316</v>
      </c>
      <c r="AA488" s="194">
        <f t="shared" si="86"/>
        <v>0.66111437499488512</v>
      </c>
      <c r="AB488" s="194">
        <f t="shared" si="87"/>
        <v>0.43341464964035226</v>
      </c>
      <c r="AC488" s="194">
        <f t="shared" si="81"/>
        <v>0.66316079690809882</v>
      </c>
      <c r="AD488">
        <f t="shared" si="88"/>
        <v>62</v>
      </c>
      <c r="AE488" s="194">
        <f t="shared" si="89"/>
        <v>0.21482853326023144</v>
      </c>
      <c r="AF488" s="194">
        <f t="shared" si="90"/>
        <v>2.4215650932258293E-2</v>
      </c>
      <c r="AG488" s="245" t="str">
        <f>IF(ISNUMBER(SEARCH("C", 'Dry_Litterbag Placem_Collection'!$V195)),"YES","NO")</f>
        <v>NO</v>
      </c>
      <c r="AH488" s="245" t="str">
        <f>IF(ISNUMBER(SEARCH("H", 'Dry_Litterbag Placem_Collection'!$V195)),"YES","NO")</f>
        <v>NO</v>
      </c>
      <c r="AI488" s="245" t="str">
        <f>IF(ISNUMBER(SEARCH("R", 'Dry_Litterbag Placem_Collection'!$V195)),"YES","NO")</f>
        <v>NO</v>
      </c>
      <c r="AJ488" s="245" t="str">
        <f>IF(ISNUMBER(SEARCH("C", 'Dry_Litterbag Placem_Collection'!$U195)),"YES","NO")</f>
        <v>NO</v>
      </c>
      <c r="AK488" s="245" t="str">
        <f>IF(ISNUMBER(SEARCH("H", 'Dry_Litterbag Placem_Collection'!$U195)),"YES","NO")</f>
        <v>NO</v>
      </c>
      <c r="AL488" s="245" t="str">
        <f>IF(ISNUMBER(SEARCH("R", 'Dry_Litterbag Placem_Collection'!$U195)),"YES","NO")</f>
        <v>YES</v>
      </c>
    </row>
    <row r="489" spans="2:38">
      <c r="B489" t="str">
        <f>Dryseason!B635</f>
        <v>Dry</v>
      </c>
      <c r="C489" s="253">
        <f>Dryseason!C635</f>
        <v>194</v>
      </c>
      <c r="D489" t="s">
        <v>2433</v>
      </c>
      <c r="E489" t="s">
        <v>25</v>
      </c>
      <c r="F489" s="375">
        <v>2</v>
      </c>
      <c r="G489" s="376">
        <f>IF('Dry_Litterbag Placem_Collection'!E196="","",'Dry_Litterbag Placem_Collection'!E196)</f>
        <v>42942</v>
      </c>
      <c r="H489" s="92" t="str">
        <f>Dryseason!L635</f>
        <v>G90</v>
      </c>
      <c r="I489" t="str">
        <f>Dryseason!L855</f>
        <v>R611</v>
      </c>
      <c r="J489">
        <f>IFERROR(INDEX('Green_rooibos initial weight'!$C$5:$C$2000,MATCH(H489, 'Green_rooibos initial weight'!$A$5:$A$2000,0)),"")</f>
        <v>2.0409999999999999</v>
      </c>
      <c r="K489">
        <f>IFERROR(INDEX('Green_rooibos initial weight'!$C$5:$C$2000,MATCH(I489, 'Green_rooibos initial weight'!$A$5:$A$2000,0)),"")</f>
        <v>2.157</v>
      </c>
      <c r="L489" s="194">
        <f t="shared" si="82"/>
        <v>1.7911999999999999</v>
      </c>
      <c r="M489" s="233">
        <f>AVERAGE(Ashed_controlls!$K$1:$K$11)</f>
        <v>5.5147656768714146</v>
      </c>
      <c r="N489" s="194">
        <f t="shared" si="78"/>
        <v>1.6924195171958791</v>
      </c>
      <c r="O489" s="194">
        <f t="shared" si="83"/>
        <v>1.9072</v>
      </c>
      <c r="P489" s="233">
        <f>AVERAGE(Ashed_controlls!$K$12:$K$14)</f>
        <v>2.2816647271287041</v>
      </c>
      <c r="Q489" s="194">
        <f t="shared" si="79"/>
        <v>1.8636840903242013</v>
      </c>
      <c r="R489" s="376">
        <f>IF('Dry_Litterbag Placem_Collection'!G196="","",'Dry_Litterbag Placem_Collection'!G196)</f>
        <v>43004</v>
      </c>
      <c r="S489" s="194">
        <f>IFERROR(INDEX('Both teabags AfterDry'!$D$3:$D$2000,MATCH(H489,'Both teabags AfterDry'!$A$3:$A$2000,0)),"")</f>
        <v>0.74199999999999999</v>
      </c>
      <c r="T489" s="194">
        <f>IFERROR(INDEX('Both teabags AfterDry'!$D$3:$D$2000,MATCH(I489,'Both teabags AfterDry'!$A$3:$A$2000,0)),"")</f>
        <v>1.593</v>
      </c>
      <c r="U489" s="194">
        <f t="shared" si="84"/>
        <v>0.59139999999999993</v>
      </c>
      <c r="V489" s="194">
        <f t="shared" si="85"/>
        <v>1.4423999999999999</v>
      </c>
      <c r="W489" s="194">
        <f>IFERROR(INDEX('Ashed teabags dry'!$K$2:$K$2000,MATCH(H489,'Ashed teabags dry'!$A$2:$A$2000,0)),"")</f>
        <v>15.52150271873475</v>
      </c>
      <c r="X489" s="194">
        <f>IFERROR(INDEX('Ashed teabags dry'!$K$2:$K$2000,MATCH(I489,'Ashed teabags dry'!$A$2:$A$2000,0)),"")</f>
        <v>3.3698399326031812</v>
      </c>
      <c r="Y489" s="194">
        <f t="shared" si="80"/>
        <v>0.49960583292140259</v>
      </c>
      <c r="Z489" s="194">
        <f t="shared" si="80"/>
        <v>1.3937934288121316</v>
      </c>
      <c r="AA489" s="194">
        <f t="shared" si="86"/>
        <v>0.70479787792261761</v>
      </c>
      <c r="AB489" s="194">
        <f t="shared" si="87"/>
        <v>0.46205276557397268</v>
      </c>
      <c r="AC489" s="194">
        <f t="shared" si="81"/>
        <v>0.7478700043898916</v>
      </c>
      <c r="AD489">
        <f t="shared" si="88"/>
        <v>62</v>
      </c>
      <c r="AE489" s="194">
        <f t="shared" si="89"/>
        <v>0.16294788845294816</v>
      </c>
      <c r="AF489" s="194">
        <f t="shared" si="90"/>
        <v>1.2724828947736072E-2</v>
      </c>
      <c r="AG489" s="245" t="str">
        <f>IF(ISNUMBER(SEARCH("C", 'Dry_Litterbag Placem_Collection'!$V196)),"YES","NO")</f>
        <v>NO</v>
      </c>
      <c r="AH489" s="245" t="str">
        <f>IF(ISNUMBER(SEARCH("H", 'Dry_Litterbag Placem_Collection'!$V196)),"YES","NO")</f>
        <v>NO</v>
      </c>
      <c r="AI489" s="245" t="str">
        <f>IF(ISNUMBER(SEARCH("R", 'Dry_Litterbag Placem_Collection'!$V196)),"YES","NO")</f>
        <v>YES</v>
      </c>
      <c r="AJ489" s="245" t="str">
        <f>IF(ISNUMBER(SEARCH("C", 'Dry_Litterbag Placem_Collection'!$U196)),"YES","NO")</f>
        <v>NO</v>
      </c>
      <c r="AK489" s="245" t="str">
        <f>IF(ISNUMBER(SEARCH("H", 'Dry_Litterbag Placem_Collection'!$U196)),"YES","NO")</f>
        <v>NO</v>
      </c>
      <c r="AL489" s="245" t="str">
        <f>IF(ISNUMBER(SEARCH("R", 'Dry_Litterbag Placem_Collection'!$U196)),"YES","NO")</f>
        <v>YES</v>
      </c>
    </row>
    <row r="490" spans="2:38">
      <c r="B490" t="str">
        <f>Dryseason!B636</f>
        <v>Dry</v>
      </c>
      <c r="C490" s="253">
        <f>Dryseason!C636</f>
        <v>195</v>
      </c>
      <c r="D490" t="s">
        <v>2425</v>
      </c>
      <c r="E490" t="s">
        <v>25</v>
      </c>
      <c r="F490" s="375">
        <v>3</v>
      </c>
      <c r="G490" s="376">
        <f>IF('Dry_Litterbag Placem_Collection'!E197="","",'Dry_Litterbag Placem_Collection'!E197)</f>
        <v>42942</v>
      </c>
      <c r="H490" s="92" t="str">
        <f>Dryseason!L636</f>
        <v>G338</v>
      </c>
      <c r="I490" t="str">
        <f>Dryseason!L856</f>
        <v>R645</v>
      </c>
      <c r="J490">
        <f>IFERROR(INDEX('Green_rooibos initial weight'!$C$5:$C$2000,MATCH(H490, 'Green_rooibos initial weight'!$A$5:$A$2000,0)),"")</f>
        <v>1.946</v>
      </c>
      <c r="K490">
        <f>IFERROR(INDEX('Green_rooibos initial weight'!$C$5:$C$2000,MATCH(I490, 'Green_rooibos initial weight'!$A$5:$A$2000,0)),"")</f>
        <v>2.2469999999999999</v>
      </c>
      <c r="L490" s="194">
        <f t="shared" si="82"/>
        <v>1.6961999999999999</v>
      </c>
      <c r="M490" s="233">
        <f>AVERAGE(Ashed_controlls!$K$1:$K$11)</f>
        <v>5.5147656768714146</v>
      </c>
      <c r="N490" s="194">
        <f t="shared" si="78"/>
        <v>1.602658544588907</v>
      </c>
      <c r="O490" s="194">
        <f t="shared" si="83"/>
        <v>1.9971999999999999</v>
      </c>
      <c r="P490" s="233">
        <f>AVERAGE(Ashed_controlls!$K$12:$K$14)</f>
        <v>2.2816647271287041</v>
      </c>
      <c r="Q490" s="194">
        <f t="shared" si="79"/>
        <v>1.9516305920697854</v>
      </c>
      <c r="R490" s="376">
        <f>IF('Dry_Litterbag Placem_Collection'!G197="","",'Dry_Litterbag Placem_Collection'!G197)</f>
        <v>43004</v>
      </c>
      <c r="S490" s="194">
        <f>IFERROR(INDEX('Both teabags AfterDry'!$D$3:$D$2000,MATCH(H490,'Both teabags AfterDry'!$A$3:$A$2000,0)),"")</f>
        <v>0.83299999999999996</v>
      </c>
      <c r="T490" s="194">
        <f>IFERROR(INDEX('Both teabags AfterDry'!$D$3:$D$2000,MATCH(I490,'Both teabags AfterDry'!$A$3:$A$2000,0)),"")</f>
        <v>1.7509999999999999</v>
      </c>
      <c r="U490" s="194">
        <f t="shared" si="84"/>
        <v>0.6823999999999999</v>
      </c>
      <c r="V490" s="194">
        <f t="shared" si="85"/>
        <v>1.6003999999999998</v>
      </c>
      <c r="W490" s="194">
        <f>IFERROR(INDEX('Ashed teabags dry'!$K$2:$K$2000,MATCH(H490,'Ashed teabags dry'!$A$2:$A$2000,0)),"")</f>
        <v>16.185258964144143</v>
      </c>
      <c r="X490" s="194">
        <f>IFERROR(INDEX('Ashed teabags dry'!$K$2:$K$2000,MATCH(I490,'Ashed teabags dry'!$A$2:$A$2000,0)),"")</f>
        <v>3.5648994515537913</v>
      </c>
      <c r="Y490" s="194">
        <f t="shared" si="80"/>
        <v>0.57195179282868025</v>
      </c>
      <c r="Z490" s="194">
        <f t="shared" si="80"/>
        <v>1.5433473491773329</v>
      </c>
      <c r="AA490" s="194">
        <f t="shared" si="86"/>
        <v>0.64312311268063038</v>
      </c>
      <c r="AB490" s="194">
        <f t="shared" si="87"/>
        <v>0.42161990285000955</v>
      </c>
      <c r="AC490" s="194">
        <f t="shared" si="81"/>
        <v>0.79079891217556131</v>
      </c>
      <c r="AD490">
        <f t="shared" si="88"/>
        <v>62</v>
      </c>
      <c r="AE490" s="194">
        <f t="shared" si="89"/>
        <v>0.23619582817027263</v>
      </c>
      <c r="AF490" s="194">
        <f t="shared" si="90"/>
        <v>1.1057166702966815E-2</v>
      </c>
      <c r="AG490" s="245" t="str">
        <f>IF(ISNUMBER(SEARCH("C", 'Dry_Litterbag Placem_Collection'!$V197)),"YES","NO")</f>
        <v>NO</v>
      </c>
      <c r="AH490" s="245" t="str">
        <f>IF(ISNUMBER(SEARCH("H", 'Dry_Litterbag Placem_Collection'!$V197)),"YES","NO")</f>
        <v>NO</v>
      </c>
      <c r="AI490" s="245" t="str">
        <f>IF(ISNUMBER(SEARCH("R", 'Dry_Litterbag Placem_Collection'!$V197)),"YES","NO")</f>
        <v>NO</v>
      </c>
      <c r="AJ490" s="245" t="str">
        <f>IF(ISNUMBER(SEARCH("C", 'Dry_Litterbag Placem_Collection'!$U197)),"YES","NO")</f>
        <v>NO</v>
      </c>
      <c r="AK490" s="245" t="str">
        <f>IF(ISNUMBER(SEARCH("H", 'Dry_Litterbag Placem_Collection'!$U197)),"YES","NO")</f>
        <v>NO</v>
      </c>
      <c r="AL490" s="245" t="str">
        <f>IF(ISNUMBER(SEARCH("R", 'Dry_Litterbag Placem_Collection'!$U197)),"YES","NO")</f>
        <v>YES</v>
      </c>
    </row>
    <row r="491" spans="2:38">
      <c r="B491" t="str">
        <f>Dryseason!B637</f>
        <v>Dry</v>
      </c>
      <c r="C491" s="253">
        <f>Dryseason!C637</f>
        <v>196</v>
      </c>
      <c r="D491" t="s">
        <v>2416</v>
      </c>
      <c r="E491" t="s">
        <v>25</v>
      </c>
      <c r="F491" s="375">
        <v>4</v>
      </c>
      <c r="G491" s="376">
        <f>IF('Dry_Litterbag Placem_Collection'!E198="","",'Dry_Litterbag Placem_Collection'!E198)</f>
        <v>42942</v>
      </c>
      <c r="H491" s="92" t="str">
        <f>Dryseason!L637</f>
        <v>G243</v>
      </c>
      <c r="I491" t="str">
        <f>Dryseason!L857</f>
        <v>R709</v>
      </c>
      <c r="J491">
        <f>IFERROR(INDEX('Green_rooibos initial weight'!$C$5:$C$2000,MATCH(H491, 'Green_rooibos initial weight'!$A$5:$A$2000,0)),"")</f>
        <v>2.13</v>
      </c>
      <c r="K491">
        <f>IFERROR(INDEX('Green_rooibos initial weight'!$C$5:$C$2000,MATCH(I491, 'Green_rooibos initial weight'!$A$5:$A$2000,0)),"")</f>
        <v>2.157</v>
      </c>
      <c r="L491" s="194">
        <f t="shared" si="82"/>
        <v>1.8801999999999999</v>
      </c>
      <c r="M491" s="233">
        <f>AVERAGE(Ashed_controlls!$K$1:$K$11)</f>
        <v>5.5147656768714146</v>
      </c>
      <c r="N491" s="194">
        <f t="shared" si="78"/>
        <v>1.7765113757434636</v>
      </c>
      <c r="O491" s="194">
        <f t="shared" si="83"/>
        <v>1.9072</v>
      </c>
      <c r="P491" s="233">
        <f>AVERAGE(Ashed_controlls!$K$12:$K$14)</f>
        <v>2.2816647271287041</v>
      </c>
      <c r="Q491" s="194">
        <f t="shared" si="79"/>
        <v>1.8636840903242013</v>
      </c>
      <c r="R491" s="376">
        <f>IF('Dry_Litterbag Placem_Collection'!G198="","",'Dry_Litterbag Placem_Collection'!G198)</f>
        <v>43004</v>
      </c>
      <c r="S491" s="194">
        <f>IFERROR(INDEX('Both teabags AfterDry'!$D$3:$D$2000,MATCH(H491,'Both teabags AfterDry'!$A$3:$A$2000,0)),"")</f>
        <v>1.04</v>
      </c>
      <c r="T491" s="194">
        <f>IFERROR(INDEX('Both teabags AfterDry'!$D$3:$D$2000,MATCH(I491,'Both teabags AfterDry'!$A$3:$A$2000,0)),"")</f>
        <v>1.863</v>
      </c>
      <c r="U491" s="194">
        <f t="shared" si="84"/>
        <v>0.88939999999999997</v>
      </c>
      <c r="V491" s="194">
        <f t="shared" si="85"/>
        <v>1.7123999999999999</v>
      </c>
      <c r="W491" s="194">
        <f>IFERROR(INDEX('Ashed teabags dry'!$K$2:$K$2000,MATCH(H491,'Ashed teabags dry'!$A$2:$A$2000,0)),"")</f>
        <v>17.944173681878588</v>
      </c>
      <c r="X491" s="194">
        <f>IFERROR(INDEX('Ashed teabags dry'!$K$2:$K$2000,MATCH(I491,'Ashed teabags dry'!$A$2:$A$2000,0)),"")</f>
        <v>2.5540275049118555</v>
      </c>
      <c r="Y491" s="194">
        <f t="shared" si="80"/>
        <v>0.72980451927337175</v>
      </c>
      <c r="Z491" s="194">
        <f t="shared" si="80"/>
        <v>1.6686648330058893</v>
      </c>
      <c r="AA491" s="194">
        <f t="shared" si="86"/>
        <v>0.58919231858678578</v>
      </c>
      <c r="AB491" s="194">
        <f t="shared" si="87"/>
        <v>0.38626384781461498</v>
      </c>
      <c r="AC491" s="194">
        <f t="shared" si="81"/>
        <v>0.89535820028147206</v>
      </c>
      <c r="AD491">
        <f t="shared" si="88"/>
        <v>62</v>
      </c>
      <c r="AE491" s="194">
        <f t="shared" si="89"/>
        <v>0.30024665250975557</v>
      </c>
      <c r="AF491" s="194">
        <f t="shared" si="90"/>
        <v>5.09604455648093E-3</v>
      </c>
      <c r="AG491" s="245" t="str">
        <f>IF(ISNUMBER(SEARCH("C", 'Dry_Litterbag Placem_Collection'!$V198)),"YES","NO")</f>
        <v>NO</v>
      </c>
      <c r="AH491" s="245" t="str">
        <f>IF(ISNUMBER(SEARCH("H", 'Dry_Litterbag Placem_Collection'!$V198)),"YES","NO")</f>
        <v>NO</v>
      </c>
      <c r="AI491" s="245" t="str">
        <f>IF(ISNUMBER(SEARCH("R", 'Dry_Litterbag Placem_Collection'!$V198)),"YES","NO")</f>
        <v>NO</v>
      </c>
      <c r="AJ491" s="245" t="str">
        <f>IF(ISNUMBER(SEARCH("C", 'Dry_Litterbag Placem_Collection'!$U198)),"YES","NO")</f>
        <v>NO</v>
      </c>
      <c r="AK491" s="245" t="str">
        <f>IF(ISNUMBER(SEARCH("H", 'Dry_Litterbag Placem_Collection'!$U198)),"YES","NO")</f>
        <v>NO</v>
      </c>
      <c r="AL491" s="245" t="str">
        <f>IF(ISNUMBER(SEARCH("R", 'Dry_Litterbag Placem_Collection'!$U198)),"YES","NO")</f>
        <v>YES</v>
      </c>
    </row>
    <row r="492" spans="2:38">
      <c r="B492" t="str">
        <f>Dryseason!B638</f>
        <v>Dry</v>
      </c>
      <c r="C492" s="253">
        <f>Dryseason!C638</f>
        <v>197</v>
      </c>
      <c r="D492" t="s">
        <v>2426</v>
      </c>
      <c r="E492" t="s">
        <v>25</v>
      </c>
      <c r="F492" s="375">
        <v>1</v>
      </c>
      <c r="G492" s="376">
        <f>IF('Dry_Litterbag Placem_Collection'!E199="","",'Dry_Litterbag Placem_Collection'!E199)</f>
        <v>42942</v>
      </c>
      <c r="H492" s="92" t="str">
        <f>Dryseason!L638</f>
        <v>G254</v>
      </c>
      <c r="I492" t="str">
        <f>Dryseason!L858</f>
        <v>R131</v>
      </c>
      <c r="J492">
        <f>IFERROR(INDEX('Green_rooibos initial weight'!$C$5:$C$2000,MATCH(H492, 'Green_rooibos initial weight'!$A$5:$A$2000,0)),"")</f>
        <v>1.917</v>
      </c>
      <c r="K492">
        <f>IFERROR(INDEX('Green_rooibos initial weight'!$C$5:$C$2000,MATCH(I492, 'Green_rooibos initial weight'!$A$5:$A$2000,0)),"")</f>
        <v>2.1560000000000001</v>
      </c>
      <c r="L492" s="194">
        <f t="shared" si="82"/>
        <v>1.6672</v>
      </c>
      <c r="M492" s="233">
        <f>AVERAGE(Ashed_controlls!$K$1:$K$11)</f>
        <v>5.5147656768714146</v>
      </c>
      <c r="N492" s="194">
        <f t="shared" si="78"/>
        <v>1.5752578266351998</v>
      </c>
      <c r="O492" s="194">
        <f t="shared" si="83"/>
        <v>1.9062000000000001</v>
      </c>
      <c r="P492" s="233">
        <f>AVERAGE(Ashed_controlls!$K$12:$K$14)</f>
        <v>2.2816647271287041</v>
      </c>
      <c r="Q492" s="194">
        <f t="shared" si="79"/>
        <v>1.8627069069714728</v>
      </c>
      <c r="R492" s="376">
        <f>IF('Dry_Litterbag Placem_Collection'!G199="","",'Dry_Litterbag Placem_Collection'!G199)</f>
        <v>43004</v>
      </c>
      <c r="S492" s="194">
        <f>IFERROR(INDEX('Both teabags AfterDry'!$D$3:$D$2000,MATCH(H492,'Both teabags AfterDry'!$A$3:$A$2000,0)),"")</f>
        <v>0.82399999999999995</v>
      </c>
      <c r="T492" s="194">
        <f>IFERROR(INDEX('Both teabags AfterDry'!$D$3:$D$2000,MATCH(I492,'Both teabags AfterDry'!$A$3:$A$2000,0)),"")</f>
        <v>1.577</v>
      </c>
      <c r="U492" s="194">
        <f t="shared" si="84"/>
        <v>0.6734</v>
      </c>
      <c r="V492" s="194">
        <f t="shared" si="85"/>
        <v>1.4263999999999999</v>
      </c>
      <c r="W492" s="194">
        <f>IFERROR(INDEX('Ashed teabags dry'!$K$2:$K$2000,MATCH(H492,'Ashed teabags dry'!$A$2:$A$2000,0)),"")</f>
        <v>25.135802469135722</v>
      </c>
      <c r="X492" s="194">
        <f>IFERROR(INDEX('Ashed teabags dry'!$K$2:$K$2000,MATCH(I492,'Ashed teabags dry'!$A$2:$A$2000,0)),"")</f>
        <v>8.3446712018141849</v>
      </c>
      <c r="Y492" s="194">
        <f t="shared" si="80"/>
        <v>0.50413550617284009</v>
      </c>
      <c r="Z492" s="194">
        <f t="shared" si="80"/>
        <v>1.3073716099773223</v>
      </c>
      <c r="AA492" s="194">
        <f t="shared" si="86"/>
        <v>0.67996635366688551</v>
      </c>
      <c r="AB492" s="194">
        <f t="shared" si="87"/>
        <v>0.44577366653696066</v>
      </c>
      <c r="AC492" s="194">
        <f t="shared" si="81"/>
        <v>0.70186651753116869</v>
      </c>
      <c r="AD492">
        <f t="shared" si="88"/>
        <v>62</v>
      </c>
      <c r="AE492" s="194">
        <f t="shared" si="89"/>
        <v>0.19243900989681051</v>
      </c>
      <c r="AF492" s="194">
        <f t="shared" si="90"/>
        <v>1.7823116519063101E-2</v>
      </c>
      <c r="AG492" s="245" t="str">
        <f>IF(ISNUMBER(SEARCH("C", 'Dry_Litterbag Placem_Collection'!$V199)),"YES","NO")</f>
        <v>NO</v>
      </c>
      <c r="AH492" s="245" t="str">
        <f>IF(ISNUMBER(SEARCH("H", 'Dry_Litterbag Placem_Collection'!$V199)),"YES","NO")</f>
        <v>NO</v>
      </c>
      <c r="AI492" s="245" t="str">
        <f>IF(ISNUMBER(SEARCH("R", 'Dry_Litterbag Placem_Collection'!$V199)),"YES","NO")</f>
        <v>YES</v>
      </c>
      <c r="AJ492" s="245" t="str">
        <f>IF(ISNUMBER(SEARCH("C", 'Dry_Litterbag Placem_Collection'!$U199)),"YES","NO")</f>
        <v>NO</v>
      </c>
      <c r="AK492" s="245" t="str">
        <f>IF(ISNUMBER(SEARCH("H", 'Dry_Litterbag Placem_Collection'!$U199)),"YES","NO")</f>
        <v>NO</v>
      </c>
      <c r="AL492" s="245" t="str">
        <f>IF(ISNUMBER(SEARCH("R", 'Dry_Litterbag Placem_Collection'!$U199)),"YES","NO")</f>
        <v>YES</v>
      </c>
    </row>
    <row r="493" spans="2:38">
      <c r="B493" t="str">
        <f>Dryseason!B639</f>
        <v>Dry</v>
      </c>
      <c r="C493" s="253">
        <f>Dryseason!C639</f>
        <v>198</v>
      </c>
      <c r="D493" t="s">
        <v>2434</v>
      </c>
      <c r="E493" t="s">
        <v>25</v>
      </c>
      <c r="F493" s="375">
        <v>2</v>
      </c>
      <c r="G493" s="376">
        <f>IF('Dry_Litterbag Placem_Collection'!E200="","",'Dry_Litterbag Placem_Collection'!E200)</f>
        <v>42942</v>
      </c>
      <c r="H493" s="92" t="str">
        <f>Dryseason!L639</f>
        <v>G780</v>
      </c>
      <c r="I493" t="str">
        <f>Dryseason!L859</f>
        <v>R711</v>
      </c>
      <c r="J493">
        <f>IFERROR(INDEX('Green_rooibos initial weight'!$C$5:$C$2000,MATCH(H493, 'Green_rooibos initial weight'!$A$5:$A$2000,0)),"")</f>
        <v>1.962</v>
      </c>
      <c r="K493">
        <f>IFERROR(INDEX('Green_rooibos initial weight'!$C$5:$C$2000,MATCH(I493, 'Green_rooibos initial weight'!$A$5:$A$2000,0)),"")</f>
        <v>2.13</v>
      </c>
      <c r="L493" s="194">
        <f t="shared" si="82"/>
        <v>1.7121999999999999</v>
      </c>
      <c r="M493" s="233">
        <f>AVERAGE(Ashed_controlls!$K$1:$K$11)</f>
        <v>5.5147656768714146</v>
      </c>
      <c r="N493" s="194">
        <f t="shared" si="78"/>
        <v>1.6177761820806076</v>
      </c>
      <c r="O493" s="194">
        <f t="shared" si="83"/>
        <v>1.8801999999999999</v>
      </c>
      <c r="P493" s="233">
        <f>AVERAGE(Ashed_controlls!$K$12:$K$14)</f>
        <v>2.2816647271287041</v>
      </c>
      <c r="Q493" s="194">
        <f t="shared" si="79"/>
        <v>1.837300139800526</v>
      </c>
      <c r="R493" s="376">
        <f>IF('Dry_Litterbag Placem_Collection'!G200="","",'Dry_Litterbag Placem_Collection'!G200)</f>
        <v>43004</v>
      </c>
      <c r="S493" s="194">
        <f>IFERROR(INDEX('Both teabags AfterDry'!$D$3:$D$2000,MATCH(H493,'Both teabags AfterDry'!$A$3:$A$2000,0)),"")</f>
        <v>0.69899999999999995</v>
      </c>
      <c r="T493" s="194">
        <f>IFERROR(INDEX('Both teabags AfterDry'!$D$3:$D$2000,MATCH(I493,'Both teabags AfterDry'!$A$3:$A$2000,0)),"")</f>
        <v>1.7210000000000001</v>
      </c>
      <c r="U493" s="194">
        <f t="shared" si="84"/>
        <v>0.5484</v>
      </c>
      <c r="V493" s="194">
        <f t="shared" si="85"/>
        <v>1.5704</v>
      </c>
      <c r="W493" s="194">
        <f>IFERROR(INDEX('Ashed teabags dry'!$K$2:$K$2000,MATCH(H493,'Ashed teabags dry'!$A$2:$A$2000,0)),"")</f>
        <v>13.974854932302094</v>
      </c>
      <c r="X493" s="194">
        <f>IFERROR(INDEX('Ashed teabags dry'!$K$2:$K$2000,MATCH(I493,'Ashed teabags dry'!$A$2:$A$2000,0)),"")</f>
        <v>4.205838693715986</v>
      </c>
      <c r="Y493" s="194">
        <f t="shared" si="80"/>
        <v>0.47176189555125531</v>
      </c>
      <c r="Z493" s="194">
        <f t="shared" si="80"/>
        <v>1.5043515091538842</v>
      </c>
      <c r="AA493" s="194">
        <f t="shared" si="86"/>
        <v>0.70838865055824562</v>
      </c>
      <c r="AB493" s="194">
        <f t="shared" si="87"/>
        <v>0.46440681129234157</v>
      </c>
      <c r="AC493" s="194">
        <f t="shared" si="81"/>
        <v>0.81878375588498575</v>
      </c>
      <c r="AD493">
        <f t="shared" si="88"/>
        <v>62</v>
      </c>
      <c r="AE493" s="194">
        <f t="shared" si="89"/>
        <v>0.15868331287619286</v>
      </c>
      <c r="AF493" s="194">
        <f t="shared" si="90"/>
        <v>7.9780784404275516E-3</v>
      </c>
      <c r="AG493" s="245" t="str">
        <f>IF(ISNUMBER(SEARCH("C", 'Dry_Litterbag Placem_Collection'!$V200)),"YES","NO")</f>
        <v>NO</v>
      </c>
      <c r="AH493" s="245" t="str">
        <f>IF(ISNUMBER(SEARCH("H", 'Dry_Litterbag Placem_Collection'!$V200)),"YES","NO")</f>
        <v>NO</v>
      </c>
      <c r="AI493" s="245" t="str">
        <f>IF(ISNUMBER(SEARCH("R", 'Dry_Litterbag Placem_Collection'!$V200)),"YES","NO")</f>
        <v>YES</v>
      </c>
      <c r="AJ493" s="245" t="str">
        <f>IF(ISNUMBER(SEARCH("C", 'Dry_Litterbag Placem_Collection'!$U200)),"YES","NO")</f>
        <v>NO</v>
      </c>
      <c r="AK493" s="245" t="str">
        <f>IF(ISNUMBER(SEARCH("H", 'Dry_Litterbag Placem_Collection'!$U200)),"YES","NO")</f>
        <v>NO</v>
      </c>
      <c r="AL493" s="245" t="str">
        <f>IF(ISNUMBER(SEARCH("R", 'Dry_Litterbag Placem_Collection'!$U200)),"YES","NO")</f>
        <v>YES</v>
      </c>
    </row>
    <row r="494" spans="2:38">
      <c r="B494" t="str">
        <f>Dryseason!B640</f>
        <v>Dry</v>
      </c>
      <c r="C494" s="253">
        <f>Dryseason!C640</f>
        <v>199</v>
      </c>
      <c r="D494" t="s">
        <v>2418</v>
      </c>
      <c r="E494" t="s">
        <v>25</v>
      </c>
      <c r="F494" s="375">
        <v>3</v>
      </c>
      <c r="G494" s="376">
        <f>IF('Dry_Litterbag Placem_Collection'!E201="","",'Dry_Litterbag Placem_Collection'!E201)</f>
        <v>42942</v>
      </c>
      <c r="H494" s="92" t="str">
        <f>Dryseason!L640</f>
        <v>G182</v>
      </c>
      <c r="I494" t="str">
        <f>Dryseason!L860</f>
        <v>R236</v>
      </c>
      <c r="J494">
        <f>IFERROR(INDEX('Green_rooibos initial weight'!$C$5:$C$2000,MATCH(H494, 'Green_rooibos initial weight'!$A$5:$A$2000,0)),"")</f>
        <v>1.8919999999999999</v>
      </c>
      <c r="K494">
        <f>IFERROR(INDEX('Green_rooibos initial weight'!$C$5:$C$2000,MATCH(I494, 'Green_rooibos initial weight'!$A$5:$A$2000,0)),"")</f>
        <v>2.2440000000000002</v>
      </c>
      <c r="L494" s="194">
        <f t="shared" si="82"/>
        <v>1.6421999999999999</v>
      </c>
      <c r="M494" s="233">
        <f>AVERAGE(Ashed_controlls!$K$1:$K$11)</f>
        <v>5.5147656768714146</v>
      </c>
      <c r="N494" s="194">
        <f t="shared" si="78"/>
        <v>1.5516365180544176</v>
      </c>
      <c r="O494" s="194">
        <f t="shared" si="83"/>
        <v>1.9942000000000002</v>
      </c>
      <c r="P494" s="233">
        <f>AVERAGE(Ashed_controlls!$K$12:$K$14)</f>
        <v>2.2816647271287041</v>
      </c>
      <c r="Q494" s="194">
        <f t="shared" si="79"/>
        <v>1.9486990420115995</v>
      </c>
      <c r="R494" s="376">
        <f>IF('Dry_Litterbag Placem_Collection'!G201="","",'Dry_Litterbag Placem_Collection'!G201)</f>
        <v>43004</v>
      </c>
      <c r="S494" s="194">
        <f>IFERROR(INDEX('Both teabags AfterDry'!$D$3:$D$2000,MATCH(H494,'Both teabags AfterDry'!$A$3:$A$2000,0)),"")</f>
        <v>0.62490000000000001</v>
      </c>
      <c r="T494" s="194">
        <f>IFERROR(INDEX('Both teabags AfterDry'!$D$3:$D$2000,MATCH(I494,'Both teabags AfterDry'!$A$3:$A$2000,0)),"")</f>
        <v>1.62</v>
      </c>
      <c r="U494" s="194">
        <f t="shared" si="84"/>
        <v>0.4743</v>
      </c>
      <c r="V494" s="194">
        <f t="shared" si="85"/>
        <v>1.4694</v>
      </c>
      <c r="W494" s="194">
        <f>IFERROR(INDEX('Ashed teabags dry'!$K$2:$K$2000,MATCH(H494,'Ashed teabags dry'!$A$2:$A$2000,0)),"")</f>
        <v>15.096201282683586</v>
      </c>
      <c r="X494" s="194">
        <f>IFERROR(INDEX('Ashed teabags dry'!$K$2:$K$2000,MATCH(I494,'Ashed teabags dry'!$A$2:$A$2000,0)),"")</f>
        <v>2.5580293699667425</v>
      </c>
      <c r="Y494" s="194">
        <f t="shared" si="80"/>
        <v>0.40269871731623175</v>
      </c>
      <c r="Z494" s="194">
        <f t="shared" si="80"/>
        <v>1.4318123164377088</v>
      </c>
      <c r="AA494" s="194">
        <f t="shared" si="86"/>
        <v>0.74046839409195409</v>
      </c>
      <c r="AB494" s="194">
        <f t="shared" si="87"/>
        <v>0.48543771204128111</v>
      </c>
      <c r="AC494" s="194">
        <f t="shared" si="81"/>
        <v>0.73475292262661562</v>
      </c>
      <c r="AD494">
        <f t="shared" si="88"/>
        <v>62</v>
      </c>
      <c r="AE494" s="194">
        <f t="shared" si="89"/>
        <v>0.12058385499767921</v>
      </c>
      <c r="AF494" s="194">
        <f t="shared" si="90"/>
        <v>1.2750924042370361E-2</v>
      </c>
      <c r="AG494" s="245" t="str">
        <f>IF(ISNUMBER(SEARCH("C", 'Dry_Litterbag Placem_Collection'!$V201)),"YES","NO")</f>
        <v>NO</v>
      </c>
      <c r="AH494" s="245" t="str">
        <f>IF(ISNUMBER(SEARCH("H", 'Dry_Litterbag Placem_Collection'!$V201)),"YES","NO")</f>
        <v>NO</v>
      </c>
      <c r="AI494" s="245" t="str">
        <f>IF(ISNUMBER(SEARCH("R", 'Dry_Litterbag Placem_Collection'!$V201)),"YES","NO")</f>
        <v>YES</v>
      </c>
      <c r="AJ494" s="245" t="str">
        <f>IF(ISNUMBER(SEARCH("C", 'Dry_Litterbag Placem_Collection'!$U201)),"YES","NO")</f>
        <v>NO</v>
      </c>
      <c r="AK494" s="245" t="str">
        <f>IF(ISNUMBER(SEARCH("H", 'Dry_Litterbag Placem_Collection'!$U201)),"YES","NO")</f>
        <v>NO</v>
      </c>
      <c r="AL494" s="245" t="str">
        <f>IF(ISNUMBER(SEARCH("R", 'Dry_Litterbag Placem_Collection'!$U201)),"YES","NO")</f>
        <v>YES</v>
      </c>
    </row>
    <row r="495" spans="2:38">
      <c r="B495" t="str">
        <f>Dryseason!B641</f>
        <v>Dry</v>
      </c>
      <c r="C495" s="253">
        <f>Dryseason!C641</f>
        <v>200</v>
      </c>
      <c r="D495" t="s">
        <v>2441</v>
      </c>
      <c r="E495" t="s">
        <v>25</v>
      </c>
      <c r="F495" s="375">
        <v>4</v>
      </c>
      <c r="G495" s="376">
        <f>IF('Dry_Litterbag Placem_Collection'!E202="","",'Dry_Litterbag Placem_Collection'!E202)</f>
        <v>42942</v>
      </c>
      <c r="H495" s="92" t="str">
        <f>Dryseason!L641</f>
        <v>G186</v>
      </c>
      <c r="I495" t="str">
        <f>Dryseason!L861</f>
        <v>R205</v>
      </c>
      <c r="J495">
        <f>IFERROR(INDEX('Green_rooibos initial weight'!$C$5:$C$2000,MATCH(H495, 'Green_rooibos initial weight'!$A$5:$A$2000,0)),"")</f>
        <v>2.0419999999999998</v>
      </c>
      <c r="K495">
        <f>IFERROR(INDEX('Green_rooibos initial weight'!$C$5:$C$2000,MATCH(I495, 'Green_rooibos initial weight'!$A$5:$A$2000,0)),"")</f>
        <v>2.181</v>
      </c>
      <c r="L495" s="194">
        <f t="shared" si="82"/>
        <v>1.7921999999999998</v>
      </c>
      <c r="M495" s="233">
        <f>AVERAGE(Ashed_controlls!$K$1:$K$11)</f>
        <v>5.5147656768714146</v>
      </c>
      <c r="N495" s="194">
        <f t="shared" si="78"/>
        <v>1.6933643695391103</v>
      </c>
      <c r="O495" s="194">
        <f t="shared" si="83"/>
        <v>1.9312</v>
      </c>
      <c r="P495" s="233">
        <f>AVERAGE(Ashed_controlls!$K$12:$K$14)</f>
        <v>2.2816647271287041</v>
      </c>
      <c r="Q495" s="194">
        <f t="shared" si="79"/>
        <v>1.8871364907896906</v>
      </c>
      <c r="R495" s="376">
        <f>IF('Dry_Litterbag Placem_Collection'!G202="","",'Dry_Litterbag Placem_Collection'!G202)</f>
        <v>43004</v>
      </c>
      <c r="S495" s="194">
        <f>IFERROR(INDEX('Both teabags AfterDry'!$D$3:$D$2000,MATCH(H495,'Both teabags AfterDry'!$A$3:$A$2000,0)),"")</f>
        <v>0.6643</v>
      </c>
      <c r="T495" s="194">
        <f>IFERROR(INDEX('Both teabags AfterDry'!$D$3:$D$2000,MATCH(I495,'Both teabags AfterDry'!$A$3:$A$2000,0)),"")</f>
        <v>1.6595</v>
      </c>
      <c r="U495" s="194">
        <f t="shared" si="84"/>
        <v>0.51370000000000005</v>
      </c>
      <c r="V495" s="194">
        <f t="shared" si="85"/>
        <v>1.5088999999999999</v>
      </c>
      <c r="W495" s="194">
        <f>IFERROR(INDEX('Ashed teabags dry'!$K$2:$K$2000,MATCH(H495,'Ashed teabags dry'!$A$2:$A$2000,0)),"")</f>
        <v>12.606837606837463</v>
      </c>
      <c r="X495" s="194">
        <f>IFERROR(INDEX('Ashed teabags dry'!$K$2:$K$2000,MATCH(I495,'Ashed teabags dry'!$A$2:$A$2000,0)),"")</f>
        <v>2.2522522522528168</v>
      </c>
      <c r="Y495" s="194">
        <f t="shared" si="80"/>
        <v>0.44893867521367603</v>
      </c>
      <c r="Z495" s="194">
        <f t="shared" si="80"/>
        <v>1.4749157657657572</v>
      </c>
      <c r="AA495" s="194">
        <f t="shared" si="86"/>
        <v>0.73488359428758654</v>
      </c>
      <c r="AB495" s="194">
        <f t="shared" si="87"/>
        <v>0.48177641810777655</v>
      </c>
      <c r="AC495" s="194">
        <f t="shared" si="81"/>
        <v>0.7815628455939424</v>
      </c>
      <c r="AD495">
        <f t="shared" si="88"/>
        <v>62</v>
      </c>
      <c r="AE495" s="194">
        <f t="shared" si="89"/>
        <v>0.12721663386272375</v>
      </c>
      <c r="AF495" s="194">
        <f t="shared" si="90"/>
        <v>9.7425317203283877E-3</v>
      </c>
      <c r="AG495" s="245" t="str">
        <f>IF(ISNUMBER(SEARCH("C", 'Dry_Litterbag Placem_Collection'!$V202)),"YES","NO")</f>
        <v>NO</v>
      </c>
      <c r="AH495" s="245" t="str">
        <f>IF(ISNUMBER(SEARCH("H", 'Dry_Litterbag Placem_Collection'!$V202)),"YES","NO")</f>
        <v>NO</v>
      </c>
      <c r="AI495" s="245" t="str">
        <f>IF(ISNUMBER(SEARCH("R", 'Dry_Litterbag Placem_Collection'!$V202)),"YES","NO")</f>
        <v>YES</v>
      </c>
      <c r="AJ495" s="245" t="str">
        <f>IF(ISNUMBER(SEARCH("C", 'Dry_Litterbag Placem_Collection'!$U202)),"YES","NO")</f>
        <v>NO</v>
      </c>
      <c r="AK495" s="245" t="str">
        <f>IF(ISNUMBER(SEARCH("H", 'Dry_Litterbag Placem_Collection'!$U202)),"YES","NO")</f>
        <v>NO</v>
      </c>
      <c r="AL495" s="245" t="str">
        <f>IF(ISNUMBER(SEARCH("R", 'Dry_Litterbag Placem_Collection'!$U202)),"YES","NO")</f>
        <v>YES</v>
      </c>
    </row>
    <row r="496" spans="2:38">
      <c r="B496" t="str">
        <f>Dryseason!B642</f>
        <v>Dry</v>
      </c>
      <c r="C496" s="253">
        <f>Dryseason!C642</f>
        <v>201</v>
      </c>
      <c r="D496" t="s">
        <v>2442</v>
      </c>
      <c r="E496" t="s">
        <v>25</v>
      </c>
      <c r="F496" s="375">
        <v>1</v>
      </c>
      <c r="G496" s="376">
        <f>IF('Dry_Litterbag Placem_Collection'!E203="","",'Dry_Litterbag Placem_Collection'!E203)</f>
        <v>42942</v>
      </c>
      <c r="H496" s="92" t="str">
        <f>Dryseason!L642</f>
        <v>G315</v>
      </c>
      <c r="I496" t="str">
        <f>Dryseason!L862</f>
        <v>R665</v>
      </c>
      <c r="J496">
        <f>IFERROR(INDEX('Green_rooibos initial weight'!$C$5:$C$2000,MATCH(H496, 'Green_rooibos initial weight'!$A$5:$A$2000,0)),"")</f>
        <v>2.0960000000000001</v>
      </c>
      <c r="K496">
        <f>IFERROR(INDEX('Green_rooibos initial weight'!$C$5:$C$2000,MATCH(I496, 'Green_rooibos initial weight'!$A$5:$A$2000,0)),"")</f>
        <v>2.1579999999999999</v>
      </c>
      <c r="L496" s="194">
        <f t="shared" si="82"/>
        <v>1.8462000000000001</v>
      </c>
      <c r="M496" s="233">
        <f>AVERAGE(Ashed_controlls!$K$1:$K$11)</f>
        <v>5.5147656768714146</v>
      </c>
      <c r="N496" s="194">
        <f t="shared" si="78"/>
        <v>1.7443863960735999</v>
      </c>
      <c r="O496" s="194">
        <f t="shared" si="83"/>
        <v>1.9081999999999999</v>
      </c>
      <c r="P496" s="233">
        <f>AVERAGE(Ashed_controlls!$K$12:$K$14)</f>
        <v>2.2816647271287041</v>
      </c>
      <c r="Q496" s="194">
        <f t="shared" si="79"/>
        <v>1.8646612736769299</v>
      </c>
      <c r="R496" s="376">
        <f>IF('Dry_Litterbag Placem_Collection'!G203="","",'Dry_Litterbag Placem_Collection'!G203)</f>
        <v>43004</v>
      </c>
      <c r="S496" s="194">
        <f>IFERROR(INDEX('Both teabags AfterDry'!$D$3:$D$2000,MATCH(H496,'Both teabags AfterDry'!$A$3:$A$2000,0)),"")</f>
        <v>0.84</v>
      </c>
      <c r="T496" s="194">
        <f>IFERROR(INDEX('Both teabags AfterDry'!$D$3:$D$2000,MATCH(I496,'Both teabags AfterDry'!$A$3:$A$2000,0)),"")</f>
        <v>1.7869999999999999</v>
      </c>
      <c r="U496" s="194">
        <f t="shared" si="84"/>
        <v>0.68940000000000001</v>
      </c>
      <c r="V496" s="194">
        <f t="shared" si="85"/>
        <v>1.6363999999999999</v>
      </c>
      <c r="W496" s="194">
        <f>IFERROR(INDEX('Ashed teabags dry'!$K$2:$K$2000,MATCH(H496,'Ashed teabags dry'!$A$2:$A$2000,0)),"")</f>
        <v>16.658642272508086</v>
      </c>
      <c r="X496" s="194">
        <f>IFERROR(INDEX('Ashed teabags dry'!$K$2:$K$2000,MATCH(I496,'Ashed teabags dry'!$A$2:$A$2000,0)),"")</f>
        <v>6.3397721644379263</v>
      </c>
      <c r="Y496" s="194">
        <f t="shared" si="80"/>
        <v>0.57455532017332922</v>
      </c>
      <c r="Z496" s="194">
        <f t="shared" si="80"/>
        <v>1.5326559683011376</v>
      </c>
      <c r="AA496" s="194">
        <f t="shared" si="86"/>
        <v>0.67062611731748034</v>
      </c>
      <c r="AB496" s="194">
        <f t="shared" si="87"/>
        <v>0.43965037619863323</v>
      </c>
      <c r="AC496" s="194">
        <f t="shared" si="81"/>
        <v>0.82194873135263313</v>
      </c>
      <c r="AD496">
        <f t="shared" si="88"/>
        <v>62</v>
      </c>
      <c r="AE496" s="194">
        <f t="shared" si="89"/>
        <v>0.20353192717638913</v>
      </c>
      <c r="AF496" s="194">
        <f t="shared" si="90"/>
        <v>8.3736548939716479E-3</v>
      </c>
      <c r="AG496" s="245" t="str">
        <f>IF(ISNUMBER(SEARCH("C", 'Dry_Litterbag Placem_Collection'!$V203)),"YES","NO")</f>
        <v>NO</v>
      </c>
      <c r="AH496" s="245" t="str">
        <f>IF(ISNUMBER(SEARCH("H", 'Dry_Litterbag Placem_Collection'!$V203)),"YES","NO")</f>
        <v>NO</v>
      </c>
      <c r="AI496" s="245" t="str">
        <f>IF(ISNUMBER(SEARCH("R", 'Dry_Litterbag Placem_Collection'!$V203)),"YES","NO")</f>
        <v>YES</v>
      </c>
      <c r="AJ496" s="245" t="str">
        <f>IF(ISNUMBER(SEARCH("C", 'Dry_Litterbag Placem_Collection'!$U203)),"YES","NO")</f>
        <v>NO</v>
      </c>
      <c r="AK496" s="245" t="str">
        <f>IF(ISNUMBER(SEARCH("H", 'Dry_Litterbag Placem_Collection'!$U203)),"YES","NO")</f>
        <v>NO</v>
      </c>
      <c r="AL496" s="245" t="str">
        <f>IF(ISNUMBER(SEARCH("R", 'Dry_Litterbag Placem_Collection'!$U203)),"YES","NO")</f>
        <v>YES</v>
      </c>
    </row>
    <row r="497" spans="2:38">
      <c r="B497" t="str">
        <f>Dryseason!B643</f>
        <v>Dry</v>
      </c>
      <c r="C497" s="253">
        <f>Dryseason!C643</f>
        <v>202</v>
      </c>
      <c r="D497" t="s">
        <v>2419</v>
      </c>
      <c r="E497" t="s">
        <v>25</v>
      </c>
      <c r="F497" s="375">
        <v>2</v>
      </c>
      <c r="G497" s="376">
        <f>IF('Dry_Litterbag Placem_Collection'!E204="","",'Dry_Litterbag Placem_Collection'!E204)</f>
        <v>42942</v>
      </c>
      <c r="H497" s="92" t="str">
        <f>Dryseason!L643</f>
        <v>G147</v>
      </c>
      <c r="I497" t="str">
        <f>Dryseason!L863</f>
        <v>R224</v>
      </c>
      <c r="J497">
        <f>IFERROR(INDEX('Green_rooibos initial weight'!$C$5:$C$2000,MATCH(H497, 'Green_rooibos initial weight'!$A$5:$A$2000,0)),"")</f>
        <v>2.0369999999999999</v>
      </c>
      <c r="K497">
        <f>IFERROR(INDEX('Green_rooibos initial weight'!$C$5:$C$2000,MATCH(I497, 'Green_rooibos initial weight'!$A$5:$A$2000,0)),"")</f>
        <v>2.298</v>
      </c>
      <c r="L497" s="194">
        <f t="shared" si="82"/>
        <v>1.7871999999999999</v>
      </c>
      <c r="M497" s="233">
        <f>AVERAGE(Ashed_controlls!$K$1:$K$11)</f>
        <v>5.5147656768714146</v>
      </c>
      <c r="N497" s="194">
        <f t="shared" si="78"/>
        <v>1.688640107822954</v>
      </c>
      <c r="O497" s="194">
        <f t="shared" si="83"/>
        <v>2.0482</v>
      </c>
      <c r="P497" s="233">
        <f>AVERAGE(Ashed_controlls!$K$12:$K$14)</f>
        <v>2.2816647271287041</v>
      </c>
      <c r="Q497" s="194">
        <f t="shared" si="79"/>
        <v>2.0014669430589498</v>
      </c>
      <c r="R497" s="376">
        <f>IF('Dry_Litterbag Placem_Collection'!G204="","",'Dry_Litterbag Placem_Collection'!G204)</f>
        <v>43004</v>
      </c>
      <c r="S497" s="194">
        <f>IFERROR(INDEX('Both teabags AfterDry'!$D$3:$D$2000,MATCH(H497,'Both teabags AfterDry'!$A$3:$A$2000,0)),"")</f>
        <v>0.71709999999999996</v>
      </c>
      <c r="T497" s="194">
        <f>IFERROR(INDEX('Both teabags AfterDry'!$D$3:$D$2000,MATCH(I497,'Both teabags AfterDry'!$A$3:$A$2000,0)),"")</f>
        <v>1.8384</v>
      </c>
      <c r="U497" s="194">
        <f t="shared" si="84"/>
        <v>0.5665</v>
      </c>
      <c r="V497" s="194">
        <f t="shared" si="85"/>
        <v>1.6878</v>
      </c>
      <c r="W497" s="194">
        <f>IFERROR(INDEX('Ashed teabags dry'!$K$2:$K$2000,MATCH(H497,'Ashed teabags dry'!$A$2:$A$2000,0)),"")</f>
        <v>19.843214110729726</v>
      </c>
      <c r="X497" s="194">
        <f>IFERROR(INDEX('Ashed teabags dry'!$K$2:$K$2000,MATCH(I497,'Ashed teabags dry'!$A$2:$A$2000,0)),"")</f>
        <v>11.207685269899079</v>
      </c>
      <c r="Y497" s="194">
        <f t="shared" si="80"/>
        <v>0.45408819206271611</v>
      </c>
      <c r="Z497" s="194">
        <f t="shared" si="80"/>
        <v>1.4986366880146433</v>
      </c>
      <c r="AA497" s="194">
        <f t="shared" si="86"/>
        <v>0.73109238021822165</v>
      </c>
      <c r="AB497" s="194">
        <f t="shared" si="87"/>
        <v>0.47929096660386983</v>
      </c>
      <c r="AC497" s="194">
        <f t="shared" si="81"/>
        <v>0.7487691431586655</v>
      </c>
      <c r="AD497">
        <f t="shared" si="88"/>
        <v>62</v>
      </c>
      <c r="AE497" s="194">
        <f t="shared" si="89"/>
        <v>0.13171926339878659</v>
      </c>
      <c r="AF497" s="194">
        <f t="shared" si="90"/>
        <v>1.1979010087263537E-2</v>
      </c>
      <c r="AG497" s="245" t="str">
        <f>IF(ISNUMBER(SEARCH("C", 'Dry_Litterbag Placem_Collection'!$V204)),"YES","NO")</f>
        <v>NO</v>
      </c>
      <c r="AH497" s="245" t="str">
        <f>IF(ISNUMBER(SEARCH("H", 'Dry_Litterbag Placem_Collection'!$V204)),"YES","NO")</f>
        <v>NO</v>
      </c>
      <c r="AI497" s="245" t="str">
        <f>IF(ISNUMBER(SEARCH("R", 'Dry_Litterbag Placem_Collection'!$V204)),"YES","NO")</f>
        <v>YES</v>
      </c>
      <c r="AJ497" s="245" t="str">
        <f>IF(ISNUMBER(SEARCH("C", 'Dry_Litterbag Placem_Collection'!$U204)),"YES","NO")</f>
        <v>NO</v>
      </c>
      <c r="AK497" s="245" t="str">
        <f>IF(ISNUMBER(SEARCH("H", 'Dry_Litterbag Placem_Collection'!$U204)),"YES","NO")</f>
        <v>NO</v>
      </c>
      <c r="AL497" s="245" t="str">
        <f>IF(ISNUMBER(SEARCH("R", 'Dry_Litterbag Placem_Collection'!$U204)),"YES","NO")</f>
        <v>YES</v>
      </c>
    </row>
    <row r="498" spans="2:38">
      <c r="B498" t="str">
        <f>Dryseason!B644</f>
        <v>Dry</v>
      </c>
      <c r="C498" s="253">
        <f>Dryseason!C644</f>
        <v>203</v>
      </c>
      <c r="D498" t="s">
        <v>2428</v>
      </c>
      <c r="E498" t="s">
        <v>25</v>
      </c>
      <c r="F498" s="375">
        <v>3</v>
      </c>
      <c r="G498" s="376">
        <f>IF('Dry_Litterbag Placem_Collection'!E205="","",'Dry_Litterbag Placem_Collection'!E205)</f>
        <v>42942</v>
      </c>
      <c r="H498" s="92" t="str">
        <f>Dryseason!L644</f>
        <v>G168</v>
      </c>
      <c r="I498" t="str">
        <f>Dryseason!L864</f>
        <v>R621</v>
      </c>
      <c r="J498">
        <f>IFERROR(INDEX('Green_rooibos initial weight'!$C$5:$C$2000,MATCH(H498, 'Green_rooibos initial weight'!$A$5:$A$2000,0)),"")</f>
        <v>2.0499999999999998</v>
      </c>
      <c r="K498">
        <f>IFERROR(INDEX('Green_rooibos initial weight'!$C$5:$C$2000,MATCH(I498, 'Green_rooibos initial weight'!$A$5:$A$2000,0)),"")</f>
        <v>2.0459999999999998</v>
      </c>
      <c r="L498" s="194">
        <f t="shared" si="82"/>
        <v>1.8001999999999998</v>
      </c>
      <c r="M498" s="233">
        <f>AVERAGE(Ashed_controlls!$K$1:$K$11)</f>
        <v>5.5147656768714146</v>
      </c>
      <c r="N498" s="194">
        <f t="shared" si="78"/>
        <v>1.7009231882849607</v>
      </c>
      <c r="O498" s="194">
        <f t="shared" si="83"/>
        <v>1.7961999999999998</v>
      </c>
      <c r="P498" s="233">
        <f>AVERAGE(Ashed_controlls!$K$12:$K$14)</f>
        <v>2.2816647271287041</v>
      </c>
      <c r="Q498" s="194">
        <f t="shared" si="79"/>
        <v>1.755216738171314</v>
      </c>
      <c r="R498" s="376">
        <f>IF('Dry_Litterbag Placem_Collection'!G205="","",'Dry_Litterbag Placem_Collection'!G205)</f>
        <v>43004</v>
      </c>
      <c r="S498" s="194">
        <f>IFERROR(INDEX('Both teabags AfterDry'!$D$3:$D$2000,MATCH(H498,'Both teabags AfterDry'!$A$3:$A$2000,0)),"")</f>
        <v>0.72609999999999997</v>
      </c>
      <c r="T498" s="194">
        <f>IFERROR(INDEX('Both teabags AfterDry'!$D$3:$D$2000,MATCH(I498,'Both teabags AfterDry'!$A$3:$A$2000,0)),"")</f>
        <v>1.6888000000000001</v>
      </c>
      <c r="U498" s="194">
        <f t="shared" si="84"/>
        <v>0.5754999999999999</v>
      </c>
      <c r="V498" s="194">
        <f t="shared" si="85"/>
        <v>1.5382</v>
      </c>
      <c r="W498" s="194">
        <f>IFERROR(INDEX('Ashed teabags dry'!$K$2:$K$2000,MATCH(H498,'Ashed teabags dry'!$A$2:$A$2000,0)),"")</f>
        <v>14.424477901894273</v>
      </c>
      <c r="X498" s="194">
        <f>IFERROR(INDEX('Ashed teabags dry'!$K$2:$K$2000,MATCH(I498,'Ashed teabags dry'!$A$2:$A$2000,0)),"")</f>
        <v>4.0788883908559299</v>
      </c>
      <c r="Y498" s="194">
        <f t="shared" si="80"/>
        <v>0.4924871296745984</v>
      </c>
      <c r="Z498" s="194">
        <f t="shared" si="80"/>
        <v>1.4754585387718542</v>
      </c>
      <c r="AA498" s="194">
        <f t="shared" si="86"/>
        <v>0.71045892426737223</v>
      </c>
      <c r="AB498" s="194">
        <f t="shared" si="87"/>
        <v>0.46576404536293292</v>
      </c>
      <c r="AC498" s="194">
        <f t="shared" si="81"/>
        <v>0.84061330243982968</v>
      </c>
      <c r="AD498">
        <f t="shared" si="88"/>
        <v>62</v>
      </c>
      <c r="AE498" s="194">
        <f t="shared" si="89"/>
        <v>0.15622455550193315</v>
      </c>
      <c r="AF498" s="194">
        <f t="shared" si="90"/>
        <v>6.7558332336020701E-3</v>
      </c>
      <c r="AG498" s="245" t="str">
        <f>IF(ISNUMBER(SEARCH("C", 'Dry_Litterbag Placem_Collection'!$V205)),"YES","NO")</f>
        <v>NO</v>
      </c>
      <c r="AH498" s="245" t="str">
        <f>IF(ISNUMBER(SEARCH("H", 'Dry_Litterbag Placem_Collection'!$V205)),"YES","NO")</f>
        <v>NO</v>
      </c>
      <c r="AI498" s="245" t="str">
        <f>IF(ISNUMBER(SEARCH("R", 'Dry_Litterbag Placem_Collection'!$V205)),"YES","NO")</f>
        <v>YES</v>
      </c>
      <c r="AJ498" s="245" t="str">
        <f>IF(ISNUMBER(SEARCH("C", 'Dry_Litterbag Placem_Collection'!$U205)),"YES","NO")</f>
        <v>NO</v>
      </c>
      <c r="AK498" s="245" t="str">
        <f>IF(ISNUMBER(SEARCH("H", 'Dry_Litterbag Placem_Collection'!$U205)),"YES","NO")</f>
        <v>NO</v>
      </c>
      <c r="AL498" s="245" t="str">
        <f>IF(ISNUMBER(SEARCH("R", 'Dry_Litterbag Placem_Collection'!$U205)),"YES","NO")</f>
        <v>YES</v>
      </c>
    </row>
    <row r="499" spans="2:38">
      <c r="B499" t="str">
        <f>Dryseason!B645</f>
        <v>Dry</v>
      </c>
      <c r="C499" s="253">
        <f>Dryseason!C645</f>
        <v>204</v>
      </c>
      <c r="D499" t="s">
        <v>2435</v>
      </c>
      <c r="E499" t="s">
        <v>25</v>
      </c>
      <c r="F499" s="375">
        <v>4</v>
      </c>
      <c r="G499" s="376">
        <f>IF('Dry_Litterbag Placem_Collection'!E206="","",'Dry_Litterbag Placem_Collection'!E206)</f>
        <v>42942</v>
      </c>
      <c r="H499" s="92" t="str">
        <f>Dryseason!L645</f>
        <v>G672</v>
      </c>
      <c r="I499" t="str">
        <f>Dryseason!L865</f>
        <v>R708</v>
      </c>
      <c r="J499">
        <f>IFERROR(INDEX('Green_rooibos initial weight'!$C$5:$C$2000,MATCH(H499, 'Green_rooibos initial weight'!$A$5:$A$2000,0)),"")</f>
        <v>2.0350000000000001</v>
      </c>
      <c r="K499">
        <f>IFERROR(INDEX('Green_rooibos initial weight'!$C$5:$C$2000,MATCH(I499, 'Green_rooibos initial weight'!$A$5:$A$2000,0)),"")</f>
        <v>2.157</v>
      </c>
      <c r="L499" s="194">
        <f t="shared" si="82"/>
        <v>1.7852000000000001</v>
      </c>
      <c r="M499" s="233">
        <f>AVERAGE(Ashed_controlls!$K$1:$K$11)</f>
        <v>5.5147656768714146</v>
      </c>
      <c r="N499" s="194">
        <f t="shared" si="78"/>
        <v>1.6867504031364917</v>
      </c>
      <c r="O499" s="194">
        <f t="shared" si="83"/>
        <v>1.9072</v>
      </c>
      <c r="P499" s="233">
        <f>AVERAGE(Ashed_controlls!$K$12:$K$14)</f>
        <v>2.2816647271287041</v>
      </c>
      <c r="Q499" s="194">
        <f t="shared" si="79"/>
        <v>1.8636840903242013</v>
      </c>
      <c r="R499" s="376">
        <f>IF('Dry_Litterbag Placem_Collection'!G206="","",'Dry_Litterbag Placem_Collection'!G206)</f>
        <v>43004</v>
      </c>
      <c r="S499" s="194">
        <f>IFERROR(INDEX('Both teabags AfterDry'!$D$3:$D$2000,MATCH(H499,'Both teabags AfterDry'!$A$3:$A$2000,0)),"")</f>
        <v>0.75690000000000002</v>
      </c>
      <c r="T499" s="194">
        <f>IFERROR(INDEX('Both teabags AfterDry'!$D$3:$D$2000,MATCH(I499,'Both teabags AfterDry'!$A$3:$A$2000,0)),"")</f>
        <v>1.7259</v>
      </c>
      <c r="U499" s="194">
        <f t="shared" si="84"/>
        <v>0.60630000000000006</v>
      </c>
      <c r="V499" s="194">
        <f t="shared" si="85"/>
        <v>1.5752999999999999</v>
      </c>
      <c r="W499" s="194">
        <f>IFERROR(INDEX('Ashed teabags dry'!$K$2:$K$2000,MATCH(H499,'Ashed teabags dry'!$A$2:$A$2000,0)),"")</f>
        <v>21.599219892735228</v>
      </c>
      <c r="X499" s="194">
        <f>IFERROR(INDEX('Ashed teabags dry'!$K$2:$K$2000,MATCH(I499,'Ashed teabags dry'!$A$2:$A$2000,0)),"")</f>
        <v>5.9528907922913135</v>
      </c>
      <c r="Y499" s="194">
        <f t="shared" si="80"/>
        <v>0.47534392979034634</v>
      </c>
      <c r="Z499" s="194">
        <f t="shared" si="80"/>
        <v>1.4815241113490349</v>
      </c>
      <c r="AA499" s="194">
        <f t="shared" si="86"/>
        <v>0.71818952649636247</v>
      </c>
      <c r="AB499" s="194">
        <f t="shared" si="87"/>
        <v>0.47083208862944431</v>
      </c>
      <c r="AC499" s="194">
        <f t="shared" si="81"/>
        <v>0.79494379924191605</v>
      </c>
      <c r="AD499">
        <f t="shared" si="88"/>
        <v>62</v>
      </c>
      <c r="AE499" s="194">
        <f t="shared" si="89"/>
        <v>0.14704331770028212</v>
      </c>
      <c r="AF499" s="194">
        <f t="shared" si="90"/>
        <v>9.2233565140805909E-3</v>
      </c>
      <c r="AG499" s="245" t="str">
        <f>IF(ISNUMBER(SEARCH("C", 'Dry_Litterbag Placem_Collection'!$V206)),"YES","NO")</f>
        <v>NO</v>
      </c>
      <c r="AH499" s="245" t="str">
        <f>IF(ISNUMBER(SEARCH("H", 'Dry_Litterbag Placem_Collection'!$V206)),"YES","NO")</f>
        <v>NO</v>
      </c>
      <c r="AI499" s="245" t="str">
        <f>IF(ISNUMBER(SEARCH("R", 'Dry_Litterbag Placem_Collection'!$V206)),"YES","NO")</f>
        <v>NO</v>
      </c>
      <c r="AJ499" s="245" t="str">
        <f>IF(ISNUMBER(SEARCH("C", 'Dry_Litterbag Placem_Collection'!$U206)),"YES","NO")</f>
        <v>NO</v>
      </c>
      <c r="AK499" s="245" t="str">
        <f>IF(ISNUMBER(SEARCH("H", 'Dry_Litterbag Placem_Collection'!$U206)),"YES","NO")</f>
        <v>NO</v>
      </c>
      <c r="AL499" s="245" t="str">
        <f>IF(ISNUMBER(SEARCH("R", 'Dry_Litterbag Placem_Collection'!$U206)),"YES","NO")</f>
        <v>NO</v>
      </c>
    </row>
    <row r="500" spans="2:38">
      <c r="B500" t="str">
        <f>Dryseason!B646</f>
        <v>Dry</v>
      </c>
      <c r="C500" s="253">
        <f>Dryseason!C646</f>
        <v>205</v>
      </c>
      <c r="D500" t="s">
        <v>2429</v>
      </c>
      <c r="E500" t="s">
        <v>25</v>
      </c>
      <c r="F500" s="375">
        <v>1</v>
      </c>
      <c r="G500" s="376">
        <f>IF('Dry_Litterbag Placem_Collection'!E207="","",'Dry_Litterbag Placem_Collection'!E207)</f>
        <v>42942</v>
      </c>
      <c r="H500" s="92" t="str">
        <f>Dryseason!L646</f>
        <v>G173</v>
      </c>
      <c r="I500" t="str">
        <f>Dryseason!L866</f>
        <v>R637</v>
      </c>
      <c r="J500">
        <f>IFERROR(INDEX('Green_rooibos initial weight'!$C$5:$C$2000,MATCH(H500, 'Green_rooibos initial weight'!$A$5:$A$2000,0)),"")</f>
        <v>2.1419999999999999</v>
      </c>
      <c r="K500">
        <f>IFERROR(INDEX('Green_rooibos initial weight'!$C$5:$C$2000,MATCH(I500, 'Green_rooibos initial weight'!$A$5:$A$2000,0)),"")</f>
        <v>2.129</v>
      </c>
      <c r="L500" s="194">
        <f t="shared" si="82"/>
        <v>1.8921999999999999</v>
      </c>
      <c r="M500" s="233">
        <f>AVERAGE(Ashed_controlls!$K$1:$K$11)</f>
        <v>5.5147656768714146</v>
      </c>
      <c r="N500" s="194">
        <f t="shared" si="78"/>
        <v>1.7878496038622389</v>
      </c>
      <c r="O500" s="194">
        <f t="shared" si="83"/>
        <v>1.8792</v>
      </c>
      <c r="P500" s="233">
        <f>AVERAGE(Ashed_controlls!$K$12:$K$14)</f>
        <v>2.2816647271287041</v>
      </c>
      <c r="Q500" s="194">
        <f t="shared" si="79"/>
        <v>1.8363229564477974</v>
      </c>
      <c r="R500" s="376">
        <f>IF('Dry_Litterbag Placem_Collection'!G207="","",'Dry_Litterbag Placem_Collection'!G207)</f>
        <v>43004</v>
      </c>
      <c r="S500" s="194">
        <f>IFERROR(INDEX('Both teabags AfterDry'!$D$3:$D$2000,MATCH(H500,'Both teabags AfterDry'!$A$3:$A$2000,0)),"")</f>
        <v>0.79190000000000005</v>
      </c>
      <c r="T500" s="194">
        <f>IFERROR(INDEX('Both teabags AfterDry'!$D$3:$D$2000,MATCH(I500,'Both teabags AfterDry'!$A$3:$A$2000,0)),"")</f>
        <v>1.6534</v>
      </c>
      <c r="U500" s="194">
        <f t="shared" si="84"/>
        <v>0.64129999999999998</v>
      </c>
      <c r="V500" s="194">
        <f t="shared" si="85"/>
        <v>1.5027999999999999</v>
      </c>
      <c r="W500" s="194">
        <f>IFERROR(INDEX('Ashed teabags dry'!$K$2:$K$2000,MATCH(H500,'Ashed teabags dry'!$A$2:$A$2000,0)),"")</f>
        <v>18.018433179723015</v>
      </c>
      <c r="X500" s="194">
        <f>IFERROR(INDEX('Ashed teabags dry'!$K$2:$K$2000,MATCH(I500,'Ashed teabags dry'!$A$2:$A$2000,0)),"")</f>
        <v>4.9312470365094017</v>
      </c>
      <c r="Y500" s="194">
        <f t="shared" si="80"/>
        <v>0.52574778801843625</v>
      </c>
      <c r="Z500" s="194">
        <f t="shared" si="80"/>
        <v>1.4286932195353366</v>
      </c>
      <c r="AA500" s="194">
        <f t="shared" si="86"/>
        <v>0.70593287775287206</v>
      </c>
      <c r="AB500" s="194">
        <f t="shared" si="87"/>
        <v>0.46279685097337936</v>
      </c>
      <c r="AC500" s="194">
        <f t="shared" si="81"/>
        <v>0.77801849316256211</v>
      </c>
      <c r="AD500">
        <f t="shared" si="88"/>
        <v>62</v>
      </c>
      <c r="AE500" s="194">
        <f t="shared" si="89"/>
        <v>0.16159990765692156</v>
      </c>
      <c r="AF500" s="194">
        <f t="shared" si="90"/>
        <v>1.0536415453297575E-2</v>
      </c>
      <c r="AG500" s="245" t="str">
        <f>IF(ISNUMBER(SEARCH("C", 'Dry_Litterbag Placem_Collection'!$V207)),"YES","NO")</f>
        <v>NO</v>
      </c>
      <c r="AH500" s="245" t="str">
        <f>IF(ISNUMBER(SEARCH("H", 'Dry_Litterbag Placem_Collection'!$V207)),"YES","NO")</f>
        <v>NO</v>
      </c>
      <c r="AI500" s="245" t="str">
        <f>IF(ISNUMBER(SEARCH("R", 'Dry_Litterbag Placem_Collection'!$V207)),"YES","NO")</f>
        <v>YES</v>
      </c>
      <c r="AJ500" s="245" t="str">
        <f>IF(ISNUMBER(SEARCH("C", 'Dry_Litterbag Placem_Collection'!$U207)),"YES","NO")</f>
        <v>NO</v>
      </c>
      <c r="AK500" s="245" t="str">
        <f>IF(ISNUMBER(SEARCH("H", 'Dry_Litterbag Placem_Collection'!$U207)),"YES","NO")</f>
        <v>NO</v>
      </c>
      <c r="AL500" s="245" t="str">
        <f>IF(ISNUMBER(SEARCH("R", 'Dry_Litterbag Placem_Collection'!$U207)),"YES","NO")</f>
        <v>YES</v>
      </c>
    </row>
    <row r="501" spans="2:38">
      <c r="B501" t="str">
        <f>Dryseason!B647</f>
        <v>Dry</v>
      </c>
      <c r="C501" s="253">
        <f>Dryseason!C647</f>
        <v>206</v>
      </c>
      <c r="D501" t="s">
        <v>2420</v>
      </c>
      <c r="E501" t="s">
        <v>25</v>
      </c>
      <c r="F501" s="375">
        <v>2</v>
      </c>
      <c r="G501" s="376">
        <f>IF('Dry_Litterbag Placem_Collection'!E208="","",'Dry_Litterbag Placem_Collection'!E208)</f>
        <v>42942</v>
      </c>
      <c r="H501" s="92" t="str">
        <f>Dryseason!L647</f>
        <v>G262</v>
      </c>
      <c r="I501" t="str">
        <f>Dryseason!L867</f>
        <v>R284</v>
      </c>
      <c r="J501">
        <f>IFERROR(INDEX('Green_rooibos initial weight'!$C$5:$C$2000,MATCH(H501, 'Green_rooibos initial weight'!$A$5:$A$2000,0)),"")</f>
        <v>2.012</v>
      </c>
      <c r="K501">
        <f>IFERROR(INDEX('Green_rooibos initial weight'!$C$5:$C$2000,MATCH(I501, 'Green_rooibos initial weight'!$A$5:$A$2000,0)),"")</f>
        <v>2.2480000000000002</v>
      </c>
      <c r="L501" s="194">
        <f t="shared" si="82"/>
        <v>1.7622</v>
      </c>
      <c r="M501" s="233">
        <f>AVERAGE(Ashed_controlls!$K$1:$K$11)</f>
        <v>5.5147656768714146</v>
      </c>
      <c r="N501" s="194">
        <f t="shared" si="78"/>
        <v>1.6650187992421719</v>
      </c>
      <c r="O501" s="194">
        <f t="shared" si="83"/>
        <v>1.9982000000000002</v>
      </c>
      <c r="P501" s="233">
        <f>AVERAGE(Ashed_controlls!$K$12:$K$14)</f>
        <v>2.2816647271287041</v>
      </c>
      <c r="Q501" s="194">
        <f t="shared" si="79"/>
        <v>1.9526077754225144</v>
      </c>
      <c r="R501" s="376">
        <f>IF('Dry_Litterbag Placem_Collection'!G208="","",'Dry_Litterbag Placem_Collection'!G208)</f>
        <v>43004</v>
      </c>
      <c r="S501" s="194">
        <f>IFERROR(INDEX('Both teabags AfterDry'!$D$3:$D$2000,MATCH(H501,'Both teabags AfterDry'!$A$3:$A$2000,0)),"")</f>
        <v>0.59640000000000004</v>
      </c>
      <c r="T501" s="194">
        <f>IFERROR(INDEX('Both teabags AfterDry'!$D$3:$D$2000,MATCH(I501,'Both teabags AfterDry'!$A$3:$A$2000,0)),"")</f>
        <v>1.6192</v>
      </c>
      <c r="U501" s="194">
        <f t="shared" si="84"/>
        <v>0.44580000000000003</v>
      </c>
      <c r="V501" s="194">
        <f t="shared" si="85"/>
        <v>1.4685999999999999</v>
      </c>
      <c r="W501" s="194">
        <f>IFERROR(INDEX('Ashed teabags dry'!$K$2:$K$2000,MATCH(H501,'Ashed teabags dry'!$A$2:$A$2000,0)),"")</f>
        <v>18.61042183622844</v>
      </c>
      <c r="X501" s="194">
        <f>IFERROR(INDEX('Ashed teabags dry'!$K$2:$K$2000,MATCH(I501,'Ashed teabags dry'!$A$2:$A$2000,0)),"")</f>
        <v>10.038797284189567</v>
      </c>
      <c r="Y501" s="194">
        <f t="shared" si="80"/>
        <v>0.36283473945409361</v>
      </c>
      <c r="Z501" s="194">
        <f t="shared" si="80"/>
        <v>1.321170223084392</v>
      </c>
      <c r="AA501" s="194">
        <f t="shared" si="86"/>
        <v>0.78208369802236666</v>
      </c>
      <c r="AB501" s="194">
        <f t="shared" si="87"/>
        <v>0.51271995404791737</v>
      </c>
      <c r="AC501" s="194">
        <f t="shared" si="81"/>
        <v>0.67661833559917639</v>
      </c>
      <c r="AD501">
        <f t="shared" si="88"/>
        <v>62</v>
      </c>
      <c r="AE501" s="194">
        <f t="shared" si="89"/>
        <v>7.1159503536381563E-2</v>
      </c>
      <c r="AF501" s="194">
        <f t="shared" si="90"/>
        <v>1.6067653066901697E-2</v>
      </c>
      <c r="AG501" s="245" t="str">
        <f>IF(ISNUMBER(SEARCH("C", 'Dry_Litterbag Placem_Collection'!$V208)),"YES","NO")</f>
        <v>NO</v>
      </c>
      <c r="AH501" s="245" t="str">
        <f>IF(ISNUMBER(SEARCH("H", 'Dry_Litterbag Placem_Collection'!$V208)),"YES","NO")</f>
        <v>NO</v>
      </c>
      <c r="AI501" s="245" t="str">
        <f>IF(ISNUMBER(SEARCH("R", 'Dry_Litterbag Placem_Collection'!$V208)),"YES","NO")</f>
        <v>YES</v>
      </c>
      <c r="AJ501" s="245" t="str">
        <f>IF(ISNUMBER(SEARCH("C", 'Dry_Litterbag Placem_Collection'!$U208)),"YES","NO")</f>
        <v>NO</v>
      </c>
      <c r="AK501" s="245" t="str">
        <f>IF(ISNUMBER(SEARCH("H", 'Dry_Litterbag Placem_Collection'!$U208)),"YES","NO")</f>
        <v>NO</v>
      </c>
      <c r="AL501" s="245" t="str">
        <f>IF(ISNUMBER(SEARCH("R", 'Dry_Litterbag Placem_Collection'!$U208)),"YES","NO")</f>
        <v>YES</v>
      </c>
    </row>
    <row r="502" spans="2:38">
      <c r="B502" t="str">
        <f>Dryseason!B648</f>
        <v>Dry</v>
      </c>
      <c r="C502" s="253">
        <f>Dryseason!C648</f>
        <v>207</v>
      </c>
      <c r="D502" t="s">
        <v>2443</v>
      </c>
      <c r="E502" t="s">
        <v>25</v>
      </c>
      <c r="F502" s="375">
        <v>3</v>
      </c>
      <c r="G502" s="376">
        <f>IF('Dry_Litterbag Placem_Collection'!E209="","",'Dry_Litterbag Placem_Collection'!E209)</f>
        <v>42942</v>
      </c>
      <c r="H502" s="92" t="str">
        <f>Dryseason!L648</f>
        <v>G230</v>
      </c>
      <c r="I502" t="str">
        <f>Dryseason!L868</f>
        <v>R604</v>
      </c>
      <c r="J502">
        <f>IFERROR(INDEX('Green_rooibos initial weight'!$C$5:$C$2000,MATCH(H502, 'Green_rooibos initial weight'!$A$5:$A$2000,0)),"")</f>
        <v>2.0030000000000001</v>
      </c>
      <c r="K502">
        <f>IFERROR(INDEX('Green_rooibos initial weight'!$C$5:$C$2000,MATCH(I502, 'Green_rooibos initial weight'!$A$5:$A$2000,0)),"")</f>
        <v>2.1230000000000002</v>
      </c>
      <c r="L502" s="194">
        <f t="shared" si="82"/>
        <v>1.7532000000000001</v>
      </c>
      <c r="M502" s="233">
        <f>AVERAGE(Ashed_controlls!$K$1:$K$11)</f>
        <v>5.5147656768714146</v>
      </c>
      <c r="N502" s="194">
        <f t="shared" si="78"/>
        <v>1.6565151281530905</v>
      </c>
      <c r="O502" s="194">
        <f t="shared" si="83"/>
        <v>1.8732000000000002</v>
      </c>
      <c r="P502" s="233">
        <f>AVERAGE(Ashed_controlls!$K$12:$K$14)</f>
        <v>2.2816647271287041</v>
      </c>
      <c r="Q502" s="194">
        <f t="shared" si="79"/>
        <v>1.8304598563314254</v>
      </c>
      <c r="R502" s="376">
        <f>IF('Dry_Litterbag Placem_Collection'!G209="","",'Dry_Litterbag Placem_Collection'!G209)</f>
        <v>43004</v>
      </c>
      <c r="S502" s="194">
        <f>IFERROR(INDEX('Both teabags AfterDry'!$D$3:$D$2000,MATCH(H502,'Both teabags AfterDry'!$A$3:$A$2000,0)),"")</f>
        <v>0.73299999999999998</v>
      </c>
      <c r="T502" s="194">
        <f>IFERROR(INDEX('Both teabags AfterDry'!$D$3:$D$2000,MATCH(I502,'Both teabags AfterDry'!$A$3:$A$2000,0)),"")</f>
        <v>1.615</v>
      </c>
      <c r="U502" s="194">
        <f t="shared" si="84"/>
        <v>0.58240000000000003</v>
      </c>
      <c r="V502" s="194">
        <f t="shared" si="85"/>
        <v>1.4643999999999999</v>
      </c>
      <c r="W502" s="194">
        <f>IFERROR(INDEX('Ashed teabags dry'!$K$2:$K$2000,MATCH(H502,'Ashed teabags dry'!$A$2:$A$2000,0)),"")</f>
        <v>20.488997555012073</v>
      </c>
      <c r="X502" s="194">
        <f>IFERROR(INDEX('Ashed teabags dry'!$K$2:$K$2000,MATCH(I502,'Ashed teabags dry'!$A$2:$A$2000,0)),"")</f>
        <v>3.5497431106958826</v>
      </c>
      <c r="Y502" s="194">
        <f t="shared" si="80"/>
        <v>0.46307207823960972</v>
      </c>
      <c r="Z502" s="194">
        <f t="shared" si="80"/>
        <v>1.4124175618869694</v>
      </c>
      <c r="AA502" s="194">
        <f t="shared" si="86"/>
        <v>0.7204540602319125</v>
      </c>
      <c r="AB502" s="194">
        <f t="shared" si="87"/>
        <v>0.47231667606652705</v>
      </c>
      <c r="AC502" s="194">
        <f t="shared" si="81"/>
        <v>0.77161897705733418</v>
      </c>
      <c r="AD502">
        <f t="shared" si="88"/>
        <v>62</v>
      </c>
      <c r="AE502" s="194">
        <f t="shared" si="89"/>
        <v>0.14435384770556703</v>
      </c>
      <c r="AF502" s="194">
        <f t="shared" si="90"/>
        <v>1.0657180817389766E-2</v>
      </c>
      <c r="AG502" s="245" t="str">
        <f>IF(ISNUMBER(SEARCH("C", 'Dry_Litterbag Placem_Collection'!$V209)),"YES","NO")</f>
        <v>NO</v>
      </c>
      <c r="AH502" s="245" t="str">
        <f>IF(ISNUMBER(SEARCH("H", 'Dry_Litterbag Placem_Collection'!$V209)),"YES","NO")</f>
        <v>NO</v>
      </c>
      <c r="AI502" s="245" t="str">
        <f>IF(ISNUMBER(SEARCH("R", 'Dry_Litterbag Placem_Collection'!$V209)),"YES","NO")</f>
        <v>YES</v>
      </c>
      <c r="AJ502" s="245" t="str">
        <f>IF(ISNUMBER(SEARCH("C", 'Dry_Litterbag Placem_Collection'!$U209)),"YES","NO")</f>
        <v>NO</v>
      </c>
      <c r="AK502" s="245" t="str">
        <f>IF(ISNUMBER(SEARCH("H", 'Dry_Litterbag Placem_Collection'!$U209)),"YES","NO")</f>
        <v>NO</v>
      </c>
      <c r="AL502" s="245" t="str">
        <f>IF(ISNUMBER(SEARCH("R", 'Dry_Litterbag Placem_Collection'!$U209)),"YES","NO")</f>
        <v>NO</v>
      </c>
    </row>
    <row r="503" spans="2:38">
      <c r="B503" t="str">
        <f>Dryseason!B649</f>
        <v>Dry</v>
      </c>
      <c r="C503" s="253">
        <f>Dryseason!C649</f>
        <v>208</v>
      </c>
      <c r="D503" t="s">
        <v>2436</v>
      </c>
      <c r="E503" t="s">
        <v>25</v>
      </c>
      <c r="F503" s="375">
        <v>4</v>
      </c>
      <c r="G503" s="376">
        <f>IF('Dry_Litterbag Placem_Collection'!E210="","",'Dry_Litterbag Placem_Collection'!E210)</f>
        <v>42942</v>
      </c>
      <c r="H503" s="92" t="str">
        <f>Dryseason!L649</f>
        <v>G140</v>
      </c>
      <c r="I503" t="str">
        <f>Dryseason!L869</f>
        <v>R625</v>
      </c>
      <c r="J503">
        <f>IFERROR(INDEX('Green_rooibos initial weight'!$C$5:$C$2000,MATCH(H503, 'Green_rooibos initial weight'!$A$5:$A$2000,0)),"")</f>
        <v>2.0590000000000002</v>
      </c>
      <c r="K503">
        <f>IFERROR(INDEX('Green_rooibos initial weight'!$C$5:$C$2000,MATCH(I503, 'Green_rooibos initial weight'!$A$5:$A$2000,0)),"")</f>
        <v>2.1589999999999998</v>
      </c>
      <c r="L503" s="194">
        <f t="shared" si="82"/>
        <v>1.8092000000000001</v>
      </c>
      <c r="M503" s="233">
        <f>AVERAGE(Ashed_controlls!$K$1:$K$11)</f>
        <v>5.5147656768714146</v>
      </c>
      <c r="N503" s="194">
        <f t="shared" si="78"/>
        <v>1.7094268593740425</v>
      </c>
      <c r="O503" s="194">
        <f t="shared" si="83"/>
        <v>1.9091999999999998</v>
      </c>
      <c r="P503" s="233">
        <f>AVERAGE(Ashed_controlls!$K$12:$K$14)</f>
        <v>2.2816647271287041</v>
      </c>
      <c r="Q503" s="194">
        <f t="shared" si="79"/>
        <v>1.8656384570296585</v>
      </c>
      <c r="R503" s="376">
        <f>IF('Dry_Litterbag Placem_Collection'!G210="","",'Dry_Litterbag Placem_Collection'!G210)</f>
        <v>43004</v>
      </c>
      <c r="S503" s="194">
        <f>IFERROR(INDEX('Both teabags AfterDry'!$D$3:$D$2000,MATCH(H503,'Both teabags AfterDry'!$A$3:$A$2000,0)),"")</f>
        <v>0.74199999999999999</v>
      </c>
      <c r="T503" s="194">
        <f>IFERROR(INDEX('Both teabags AfterDry'!$D$3:$D$2000,MATCH(I503,'Both teabags AfterDry'!$A$3:$A$2000,0)),"")</f>
        <v>1.6539999999999999</v>
      </c>
      <c r="U503" s="194">
        <f t="shared" si="84"/>
        <v>0.59139999999999993</v>
      </c>
      <c r="V503" s="194">
        <f t="shared" si="85"/>
        <v>1.5033999999999998</v>
      </c>
      <c r="W503" s="194">
        <f>IFERROR(INDEX('Ashed teabags dry'!$K$2:$K$2000,MATCH(H503,'Ashed teabags dry'!$A$2:$A$2000,0)),"")</f>
        <v>20.585365853658182</v>
      </c>
      <c r="X503" s="194">
        <f>IFERROR(INDEX('Ashed teabags dry'!$K$2:$K$2000,MATCH(I503,'Ashed teabags dry'!$A$2:$A$2000,0)),"")</f>
        <v>7.8721374045796031</v>
      </c>
      <c r="Y503" s="194">
        <f t="shared" si="80"/>
        <v>0.46965814634146547</v>
      </c>
      <c r="Z503" s="194">
        <f t="shared" si="80"/>
        <v>1.3850502862595502</v>
      </c>
      <c r="AA503" s="194">
        <f t="shared" si="86"/>
        <v>0.72525402665461525</v>
      </c>
      <c r="AB503" s="194">
        <f t="shared" si="87"/>
        <v>0.47546344740302571</v>
      </c>
      <c r="AC503" s="194">
        <f t="shared" si="81"/>
        <v>0.74240015853057195</v>
      </c>
      <c r="AD503">
        <f t="shared" si="88"/>
        <v>62</v>
      </c>
      <c r="AE503" s="194">
        <f t="shared" si="89"/>
        <v>0.13865317499451868</v>
      </c>
      <c r="AF503" s="194">
        <f t="shared" si="90"/>
        <v>1.2587432273969643E-2</v>
      </c>
      <c r="AG503" s="245" t="str">
        <f>IF(ISNUMBER(SEARCH("C", 'Dry_Litterbag Placem_Collection'!$V210)),"YES","NO")</f>
        <v>NO</v>
      </c>
      <c r="AH503" s="245" t="str">
        <f>IF(ISNUMBER(SEARCH("H", 'Dry_Litterbag Placem_Collection'!$V210)),"YES","NO")</f>
        <v>NO</v>
      </c>
      <c r="AI503" s="245" t="str">
        <f>IF(ISNUMBER(SEARCH("R", 'Dry_Litterbag Placem_Collection'!$V210)),"YES","NO")</f>
        <v>YES</v>
      </c>
      <c r="AJ503" s="245" t="str">
        <f>IF(ISNUMBER(SEARCH("C", 'Dry_Litterbag Placem_Collection'!$U210)),"YES","NO")</f>
        <v>NO</v>
      </c>
      <c r="AK503" s="245" t="str">
        <f>IF(ISNUMBER(SEARCH("H", 'Dry_Litterbag Placem_Collection'!$U210)),"YES","NO")</f>
        <v>NO</v>
      </c>
      <c r="AL503" s="245" t="str">
        <f>IF(ISNUMBER(SEARCH("R", 'Dry_Litterbag Placem_Collection'!$U210)),"YES","NO")</f>
        <v>YES</v>
      </c>
    </row>
    <row r="504" spans="2:38">
      <c r="B504" t="str">
        <f>Dryseason!B650</f>
        <v>Dry</v>
      </c>
      <c r="C504" s="253">
        <f>Dryseason!C650</f>
        <v>209</v>
      </c>
      <c r="D504" t="s">
        <v>2430</v>
      </c>
      <c r="E504" t="s">
        <v>25</v>
      </c>
      <c r="F504" s="375">
        <v>1</v>
      </c>
      <c r="G504" s="376">
        <f>IF('Dry_Litterbag Placem_Collection'!E211="","",'Dry_Litterbag Placem_Collection'!E211)</f>
        <v>42942</v>
      </c>
      <c r="H504" s="92" t="str">
        <f>Dryseason!L650</f>
        <v>G92</v>
      </c>
      <c r="I504" t="str">
        <f>Dryseason!L870</f>
        <v>R647</v>
      </c>
      <c r="J504">
        <f>IFERROR(INDEX('Green_rooibos initial weight'!$C$5:$C$2000,MATCH(H504, 'Green_rooibos initial weight'!$A$5:$A$2000,0)),"")</f>
        <v>2.1930000000000001</v>
      </c>
      <c r="K504">
        <f>IFERROR(INDEX('Green_rooibos initial weight'!$C$5:$C$2000,MATCH(I504, 'Green_rooibos initial weight'!$A$5:$A$2000,0)),"")</f>
        <v>2.1640000000000001</v>
      </c>
      <c r="L504" s="194">
        <f t="shared" si="82"/>
        <v>1.9432</v>
      </c>
      <c r="M504" s="233">
        <f>AVERAGE(Ashed_controlls!$K$1:$K$11)</f>
        <v>5.5147656768714146</v>
      </c>
      <c r="N504" s="194">
        <f t="shared" si="78"/>
        <v>1.8360370733670348</v>
      </c>
      <c r="O504" s="194">
        <f t="shared" si="83"/>
        <v>1.9142000000000001</v>
      </c>
      <c r="P504" s="233">
        <f>AVERAGE(Ashed_controlls!$K$12:$K$14)</f>
        <v>2.2816647271287041</v>
      </c>
      <c r="Q504" s="194">
        <f t="shared" si="79"/>
        <v>1.8705243737933024</v>
      </c>
      <c r="R504" s="376">
        <f>IF('Dry_Litterbag Placem_Collection'!G211="","",'Dry_Litterbag Placem_Collection'!G211)</f>
        <v>43004</v>
      </c>
      <c r="S504" s="194">
        <f>IFERROR(INDEX('Both teabags AfterDry'!$D$3:$D$2000,MATCH(H504,'Both teabags AfterDry'!$A$3:$A$2000,0)),"")</f>
        <v>0.73619999999999997</v>
      </c>
      <c r="T504" s="194">
        <f>IFERROR(INDEX('Both teabags AfterDry'!$D$3:$D$2000,MATCH(I504,'Both teabags AfterDry'!$A$3:$A$2000,0)),"")</f>
        <v>1.6881999999999999</v>
      </c>
      <c r="U504" s="194">
        <f t="shared" si="84"/>
        <v>0.5855999999999999</v>
      </c>
      <c r="V504" s="194">
        <f t="shared" si="85"/>
        <v>1.5375999999999999</v>
      </c>
      <c r="W504" s="194">
        <f>IFERROR(INDEX('Ashed teabags dry'!$K$2:$K$2000,MATCH(H504,'Ashed teabags dry'!$A$2:$A$2000,0)),"")</f>
        <v>17.387081107333806</v>
      </c>
      <c r="X504" s="194">
        <f>IFERROR(INDEX('Ashed teabags dry'!$K$2:$K$2000,MATCH(I504,'Ashed teabags dry'!$A$2:$A$2000,0)),"")</f>
        <v>3.8888888888889466</v>
      </c>
      <c r="Y504" s="194">
        <f t="shared" si="80"/>
        <v>0.48378125303545316</v>
      </c>
      <c r="Z504" s="194">
        <f t="shared" si="80"/>
        <v>1.4778044444444434</v>
      </c>
      <c r="AA504" s="194">
        <f t="shared" si="86"/>
        <v>0.7365079060477433</v>
      </c>
      <c r="AB504" s="194">
        <f t="shared" si="87"/>
        <v>0.48284128757524269</v>
      </c>
      <c r="AC504" s="194">
        <f t="shared" si="81"/>
        <v>0.79004821597034391</v>
      </c>
      <c r="AD504">
        <f t="shared" si="88"/>
        <v>62</v>
      </c>
      <c r="AE504" s="194">
        <f t="shared" si="89"/>
        <v>0.12528752250861841</v>
      </c>
      <c r="AF504" s="194">
        <f t="shared" si="90"/>
        <v>9.2035651316975699E-3</v>
      </c>
      <c r="AG504" s="245" t="str">
        <f>IF(ISNUMBER(SEARCH("C", 'Dry_Litterbag Placem_Collection'!$V211)),"YES","NO")</f>
        <v>NO</v>
      </c>
      <c r="AH504" s="245" t="str">
        <f>IF(ISNUMBER(SEARCH("H", 'Dry_Litterbag Placem_Collection'!$V211)),"YES","NO")</f>
        <v>NO</v>
      </c>
      <c r="AI504" s="245" t="str">
        <f>IF(ISNUMBER(SEARCH("R", 'Dry_Litterbag Placem_Collection'!$V211)),"YES","NO")</f>
        <v>YES</v>
      </c>
      <c r="AJ504" s="245" t="str">
        <f>IF(ISNUMBER(SEARCH("C", 'Dry_Litterbag Placem_Collection'!$U211)),"YES","NO")</f>
        <v>NO</v>
      </c>
      <c r="AK504" s="245" t="str">
        <f>IF(ISNUMBER(SEARCH("H", 'Dry_Litterbag Placem_Collection'!$U211)),"YES","NO")</f>
        <v>NO</v>
      </c>
      <c r="AL504" s="245" t="str">
        <f>IF(ISNUMBER(SEARCH("R", 'Dry_Litterbag Placem_Collection'!$U211)),"YES","NO")</f>
        <v>YES</v>
      </c>
    </row>
    <row r="505" spans="2:38">
      <c r="B505" t="str">
        <f>Dryseason!B651</f>
        <v>Dry</v>
      </c>
      <c r="C505" s="253">
        <f>Dryseason!C651</f>
        <v>210</v>
      </c>
      <c r="D505" t="s">
        <v>2444</v>
      </c>
      <c r="E505" t="s">
        <v>25</v>
      </c>
      <c r="F505" s="375">
        <v>2</v>
      </c>
      <c r="G505" s="376">
        <f>IF('Dry_Litterbag Placem_Collection'!E212="","",'Dry_Litterbag Placem_Collection'!E212)</f>
        <v>42942</v>
      </c>
      <c r="H505" s="92" t="str">
        <f>Dryseason!L651</f>
        <v>G36</v>
      </c>
      <c r="I505" t="str">
        <f>Dryseason!L871</f>
        <v>R599</v>
      </c>
      <c r="J505">
        <f>IFERROR(INDEX('Green_rooibos initial weight'!$C$5:$C$2000,MATCH(H505, 'Green_rooibos initial weight'!$A$5:$A$2000,0)),"")</f>
        <v>2.1429999999999998</v>
      </c>
      <c r="K505">
        <f>IFERROR(INDEX('Green_rooibos initial weight'!$C$5:$C$2000,MATCH(I505, 'Green_rooibos initial weight'!$A$5:$A$2000,0)),"")</f>
        <v>2.1760000000000002</v>
      </c>
      <c r="L505" s="194">
        <f t="shared" si="82"/>
        <v>1.8931999999999998</v>
      </c>
      <c r="M505" s="233">
        <f>AVERAGE(Ashed_controlls!$K$1:$K$11)</f>
        <v>5.5147656768714146</v>
      </c>
      <c r="N505" s="194">
        <f t="shared" si="78"/>
        <v>1.7887944562054701</v>
      </c>
      <c r="O505" s="194">
        <f t="shared" si="83"/>
        <v>1.9262000000000001</v>
      </c>
      <c r="P505" s="233">
        <f>AVERAGE(Ashed_controlls!$K$12:$K$14)</f>
        <v>2.2816647271287041</v>
      </c>
      <c r="Q505" s="194">
        <f t="shared" si="79"/>
        <v>1.8822505740260471</v>
      </c>
      <c r="R505" s="376">
        <f>IF('Dry_Litterbag Placem_Collection'!G212="","",'Dry_Litterbag Placem_Collection'!G212)</f>
        <v>43004</v>
      </c>
      <c r="S505" s="194">
        <f>IFERROR(INDEX('Both teabags AfterDry'!$D$3:$D$2000,MATCH(H505,'Both teabags AfterDry'!$A$3:$A$2000,0)),"")</f>
        <v>0.84599999999999997</v>
      </c>
      <c r="T505" s="194">
        <f>IFERROR(INDEX('Both teabags AfterDry'!$D$3:$D$2000,MATCH(I505,'Both teabags AfterDry'!$A$3:$A$2000,0)),"")</f>
        <v>1.742</v>
      </c>
      <c r="U505" s="194">
        <f t="shared" si="84"/>
        <v>0.69540000000000002</v>
      </c>
      <c r="V505" s="194">
        <f t="shared" si="85"/>
        <v>1.5913999999999999</v>
      </c>
      <c r="W505" s="194">
        <f>IFERROR(INDEX('Ashed teabags dry'!$K$2:$K$2000,MATCH(H505,'Ashed teabags dry'!$A$2:$A$2000,0)),"")</f>
        <v>19.173412867490324</v>
      </c>
      <c r="X505" s="194">
        <f>IFERROR(INDEX('Ashed teabags dry'!$K$2:$K$2000,MATCH(I505,'Ashed teabags dry'!$A$2:$A$2000,0)),"")</f>
        <v>3.5837651122624985</v>
      </c>
      <c r="Y505" s="194">
        <f t="shared" si="80"/>
        <v>0.5620680869194723</v>
      </c>
      <c r="Z505" s="194">
        <f t="shared" si="80"/>
        <v>1.5343679620034545</v>
      </c>
      <c r="AA505" s="194">
        <f t="shared" si="86"/>
        <v>0.68578386132089486</v>
      </c>
      <c r="AB505" s="194">
        <f t="shared" si="87"/>
        <v>0.44958751953578857</v>
      </c>
      <c r="AC505" s="194">
        <f t="shared" si="81"/>
        <v>0.81517731123413195</v>
      </c>
      <c r="AD505">
        <f t="shared" si="88"/>
        <v>62</v>
      </c>
      <c r="AE505" s="194">
        <f t="shared" si="89"/>
        <v>0.18552985591342652</v>
      </c>
      <c r="AF505" s="194">
        <f t="shared" si="90"/>
        <v>8.5401377133115103E-3</v>
      </c>
      <c r="AG505" s="245" t="str">
        <f>IF(ISNUMBER(SEARCH("C", 'Dry_Litterbag Placem_Collection'!$V212)),"YES","NO")</f>
        <v>NO</v>
      </c>
      <c r="AH505" s="245" t="str">
        <f>IF(ISNUMBER(SEARCH("H", 'Dry_Litterbag Placem_Collection'!$V212)),"YES","NO")</f>
        <v>NO</v>
      </c>
      <c r="AI505" s="245" t="str">
        <f>IF(ISNUMBER(SEARCH("R", 'Dry_Litterbag Placem_Collection'!$V212)),"YES","NO")</f>
        <v>NO</v>
      </c>
      <c r="AJ505" s="245" t="str">
        <f>IF(ISNUMBER(SEARCH("C", 'Dry_Litterbag Placem_Collection'!$U212)),"YES","NO")</f>
        <v>NO</v>
      </c>
      <c r="AK505" s="245" t="str">
        <f>IF(ISNUMBER(SEARCH("H", 'Dry_Litterbag Placem_Collection'!$U212)),"YES","NO")</f>
        <v>NO</v>
      </c>
      <c r="AL505" s="245" t="str">
        <f>IF(ISNUMBER(SEARCH("R", 'Dry_Litterbag Placem_Collection'!$U212)),"YES","NO")</f>
        <v>NO</v>
      </c>
    </row>
    <row r="506" spans="2:38">
      <c r="B506" t="str">
        <f>Dryseason!B652</f>
        <v>Dry</v>
      </c>
      <c r="C506" s="253">
        <f>Dryseason!C652</f>
        <v>211</v>
      </c>
      <c r="D506" t="s">
        <v>2421</v>
      </c>
      <c r="E506" t="s">
        <v>25</v>
      </c>
      <c r="F506" s="375">
        <v>3</v>
      </c>
      <c r="G506" s="376">
        <f>IF('Dry_Litterbag Placem_Collection'!E213="","",'Dry_Litterbag Placem_Collection'!E213)</f>
        <v>42942</v>
      </c>
      <c r="H506" s="92" t="str">
        <f>Dryseason!L652</f>
        <v>G434</v>
      </c>
      <c r="I506" t="str">
        <f>Dryseason!L872</f>
        <v>R670</v>
      </c>
      <c r="J506">
        <f>IFERROR(INDEX('Green_rooibos initial weight'!$C$5:$C$2000,MATCH(H506, 'Green_rooibos initial weight'!$A$5:$A$2000,0)),"")</f>
        <v>2.0339999999999998</v>
      </c>
      <c r="K506">
        <f>IFERROR(INDEX('Green_rooibos initial weight'!$C$5:$C$2000,MATCH(I506, 'Green_rooibos initial weight'!$A$5:$A$2000,0)),"")</f>
        <v>2.1059999999999999</v>
      </c>
      <c r="L506" s="194">
        <f t="shared" si="82"/>
        <v>1.7841999999999998</v>
      </c>
      <c r="M506" s="233">
        <f>AVERAGE(Ashed_controlls!$K$1:$K$11)</f>
        <v>5.5147656768714146</v>
      </c>
      <c r="N506" s="194">
        <f t="shared" si="78"/>
        <v>1.6858055507932601</v>
      </c>
      <c r="O506" s="194">
        <f t="shared" si="83"/>
        <v>1.8561999999999999</v>
      </c>
      <c r="P506" s="233">
        <f>AVERAGE(Ashed_controlls!$K$12:$K$14)</f>
        <v>2.2816647271287041</v>
      </c>
      <c r="Q506" s="194">
        <f t="shared" si="79"/>
        <v>1.8138477393350367</v>
      </c>
      <c r="R506" s="376">
        <f>IF('Dry_Litterbag Placem_Collection'!G213="","",'Dry_Litterbag Placem_Collection'!G213)</f>
        <v>43004</v>
      </c>
      <c r="S506" s="194">
        <f>IFERROR(INDEX('Both teabags AfterDry'!$D$3:$D$2000,MATCH(H506,'Both teabags AfterDry'!$A$3:$A$2000,0)),"")</f>
        <v>0.74099999999999999</v>
      </c>
      <c r="T506" s="194">
        <f>IFERROR(INDEX('Both teabags AfterDry'!$D$3:$D$2000,MATCH(I506,'Both teabags AfterDry'!$A$3:$A$2000,0)),"")</f>
        <v>1.4770000000000001</v>
      </c>
      <c r="U506" s="194">
        <f t="shared" si="84"/>
        <v>0.59040000000000004</v>
      </c>
      <c r="V506" s="194">
        <f t="shared" si="85"/>
        <v>1.3264</v>
      </c>
      <c r="W506" s="194">
        <f>IFERROR(INDEX('Ashed teabags dry'!$K$2:$K$2000,MATCH(H506,'Ashed teabags dry'!$A$2:$A$2000,0)),"")</f>
        <v>15.012106537530052</v>
      </c>
      <c r="X506" s="194">
        <f>IFERROR(INDEX('Ashed teabags dry'!$K$2:$K$2000,MATCH(I506,'Ashed teabags dry'!$A$2:$A$2000,0)),"")</f>
        <v>4.1974169741701504</v>
      </c>
      <c r="Y506" s="194">
        <f t="shared" si="80"/>
        <v>0.50176852300242258</v>
      </c>
      <c r="Z506" s="194">
        <f t="shared" si="80"/>
        <v>1.2707254612546071</v>
      </c>
      <c r="AA506" s="194">
        <f t="shared" si="86"/>
        <v>0.70235682118479548</v>
      </c>
      <c r="AB506" s="194">
        <f t="shared" si="87"/>
        <v>0.46045245284323888</v>
      </c>
      <c r="AC506" s="194">
        <f t="shared" si="81"/>
        <v>0.70056898034917736</v>
      </c>
      <c r="AD506">
        <f t="shared" si="88"/>
        <v>62</v>
      </c>
      <c r="AE506" s="194">
        <f t="shared" si="89"/>
        <v>0.1658470057187702</v>
      </c>
      <c r="AF506" s="194">
        <f t="shared" si="90"/>
        <v>1.6946324478500835E-2</v>
      </c>
      <c r="AG506" s="245" t="str">
        <f>IF(ISNUMBER(SEARCH("C", 'Dry_Litterbag Placem_Collection'!$V213)),"YES","NO")</f>
        <v>NO</v>
      </c>
      <c r="AH506" s="245" t="str">
        <f>IF(ISNUMBER(SEARCH("H", 'Dry_Litterbag Placem_Collection'!$V213)),"YES","NO")</f>
        <v>NO</v>
      </c>
      <c r="AI506" s="245" t="str">
        <f>IF(ISNUMBER(SEARCH("R", 'Dry_Litterbag Placem_Collection'!$V213)),"YES","NO")</f>
        <v>NO</v>
      </c>
      <c r="AJ506" s="245" t="str">
        <f>IF(ISNUMBER(SEARCH("C", 'Dry_Litterbag Placem_Collection'!$U213)),"YES","NO")</f>
        <v>NO</v>
      </c>
      <c r="AK506" s="245" t="str">
        <f>IF(ISNUMBER(SEARCH("H", 'Dry_Litterbag Placem_Collection'!$U213)),"YES","NO")</f>
        <v>NO</v>
      </c>
      <c r="AL506" s="245" t="str">
        <f>IF(ISNUMBER(SEARCH("R", 'Dry_Litterbag Placem_Collection'!$U213)),"YES","NO")</f>
        <v>YES</v>
      </c>
    </row>
    <row r="507" spans="2:38">
      <c r="B507" t="str">
        <f>Dryseason!B653</f>
        <v>Dry</v>
      </c>
      <c r="C507" s="253">
        <f>Dryseason!C653</f>
        <v>215</v>
      </c>
      <c r="D507" t="s">
        <v>2422</v>
      </c>
      <c r="E507" t="s">
        <v>25</v>
      </c>
      <c r="F507" s="375">
        <v>3</v>
      </c>
      <c r="G507" s="376">
        <f>IF('Dry_Litterbag Placem_Collection'!E214="","",'Dry_Litterbag Placem_Collection'!E214)</f>
        <v>42942</v>
      </c>
      <c r="H507" s="92" t="str">
        <f>Dryseason!L653</f>
        <v>G56</v>
      </c>
      <c r="I507" t="str">
        <f>Dryseason!L873</f>
        <v>R256</v>
      </c>
      <c r="J507">
        <f>IFERROR(INDEX('Green_rooibos initial weight'!$C$5:$C$2000,MATCH(H507, 'Green_rooibos initial weight'!$A$5:$A$2000,0)),"")</f>
        <v>2.02</v>
      </c>
      <c r="K507">
        <f>IFERROR(INDEX('Green_rooibos initial weight'!$C$5:$C$2000,MATCH(I507, 'Green_rooibos initial weight'!$A$5:$A$2000,0)),"")</f>
        <v>2.2000000000000002</v>
      </c>
      <c r="L507" s="194">
        <f t="shared" si="82"/>
        <v>1.7702</v>
      </c>
      <c r="M507" s="233">
        <f>AVERAGE(Ashed_controlls!$K$1:$K$11)</f>
        <v>5.5147656768714146</v>
      </c>
      <c r="N507" s="194">
        <f t="shared" si="78"/>
        <v>1.6725776179880223</v>
      </c>
      <c r="O507" s="194">
        <f t="shared" si="83"/>
        <v>1.9502000000000002</v>
      </c>
      <c r="P507" s="233">
        <f>AVERAGE(Ashed_controlls!$K$12:$K$14)</f>
        <v>2.2816647271287041</v>
      </c>
      <c r="Q507" s="194">
        <f t="shared" si="79"/>
        <v>1.9057029744915361</v>
      </c>
      <c r="R507" s="376">
        <f>IF('Dry_Litterbag Placem_Collection'!G214="","",'Dry_Litterbag Placem_Collection'!G214)</f>
        <v>43004</v>
      </c>
      <c r="S507" s="194">
        <f>IFERROR(INDEX('Both teabags AfterDry'!$D$3:$D$2000,MATCH(H507,'Both teabags AfterDry'!$A$3:$A$2000,0)),"")</f>
        <v>0.7238</v>
      </c>
      <c r="T507" s="194">
        <f>IFERROR(INDEX('Both teabags AfterDry'!$D$3:$D$2000,MATCH(I507,'Both teabags AfterDry'!$A$3:$A$2000,0)),"")</f>
        <v>1.5882000000000001</v>
      </c>
      <c r="U507" s="194">
        <f t="shared" si="84"/>
        <v>0.57319999999999993</v>
      </c>
      <c r="V507" s="194">
        <f t="shared" si="85"/>
        <v>1.4376</v>
      </c>
      <c r="W507" s="194">
        <f>IFERROR(INDEX('Ashed teabags dry'!$K$2:$K$2000,MATCH(H507,'Ashed teabags dry'!$A$2:$A$2000,0)),"")</f>
        <v>20.311027332705713</v>
      </c>
      <c r="X507" s="194">
        <f>IFERROR(INDEX('Ashed teabags dry'!$K$2:$K$2000,MATCH(I507,'Ashed teabags dry'!$A$2:$A$2000,0)),"")</f>
        <v>7.9981069569333094</v>
      </c>
      <c r="Y507" s="194">
        <f t="shared" si="80"/>
        <v>0.4567771913289308</v>
      </c>
      <c r="Z507" s="194">
        <f t="shared" si="80"/>
        <v>1.3226192143871267</v>
      </c>
      <c r="AA507" s="194">
        <f t="shared" si="86"/>
        <v>0.72690224572154838</v>
      </c>
      <c r="AB507" s="194">
        <f t="shared" si="87"/>
        <v>0.47654399006923365</v>
      </c>
      <c r="AC507" s="194">
        <f t="shared" si="81"/>
        <v>0.69403219289197837</v>
      </c>
      <c r="AD507">
        <f t="shared" si="88"/>
        <v>62</v>
      </c>
      <c r="AE507" s="194">
        <f t="shared" si="89"/>
        <v>0.13669567016443185</v>
      </c>
      <c r="AF507" s="194">
        <f t="shared" si="90"/>
        <v>1.657061322831193E-2</v>
      </c>
      <c r="AG507" s="245" t="str">
        <f>IF(ISNUMBER(SEARCH("C", 'Dry_Litterbag Placem_Collection'!$V214)),"YES","NO")</f>
        <v>NO</v>
      </c>
      <c r="AH507" s="245" t="str">
        <f>IF(ISNUMBER(SEARCH("H", 'Dry_Litterbag Placem_Collection'!$V214)),"YES","NO")</f>
        <v>NO</v>
      </c>
      <c r="AI507" s="245" t="str">
        <f>IF(ISNUMBER(SEARCH("R", 'Dry_Litterbag Placem_Collection'!$V214)),"YES","NO")</f>
        <v>YES</v>
      </c>
      <c r="AJ507" s="245" t="str">
        <f>IF(ISNUMBER(SEARCH("C", 'Dry_Litterbag Placem_Collection'!$U214)),"YES","NO")</f>
        <v>NO</v>
      </c>
      <c r="AK507" s="245" t="str">
        <f>IF(ISNUMBER(SEARCH("H", 'Dry_Litterbag Placem_Collection'!$U214)),"YES","NO")</f>
        <v>NO</v>
      </c>
      <c r="AL507" s="245" t="str">
        <f>IF(ISNUMBER(SEARCH("R", 'Dry_Litterbag Placem_Collection'!$U214)),"YES","NO")</f>
        <v>YES</v>
      </c>
    </row>
    <row r="508" spans="2:38">
      <c r="B508" t="str">
        <f>Dryseason!B654</f>
        <v>Dry</v>
      </c>
      <c r="C508" s="253">
        <f>Dryseason!C654</f>
        <v>212</v>
      </c>
      <c r="D508" t="s">
        <v>2437</v>
      </c>
      <c r="E508" t="s">
        <v>25</v>
      </c>
      <c r="F508" s="375">
        <v>4</v>
      </c>
      <c r="G508" s="376">
        <f>IF('Dry_Litterbag Placem_Collection'!E215="","",'Dry_Litterbag Placem_Collection'!E215)</f>
        <v>42942</v>
      </c>
      <c r="H508" s="92" t="str">
        <f>Dryseason!L654</f>
        <v>G363</v>
      </c>
      <c r="I508" t="str">
        <f>Dryseason!L874</f>
        <v>R658</v>
      </c>
      <c r="J508">
        <f>IFERROR(INDEX('Green_rooibos initial weight'!$C$5:$C$2000,MATCH(H508, 'Green_rooibos initial weight'!$A$5:$A$2000,0)),"")</f>
        <v>2.02</v>
      </c>
      <c r="K508">
        <f>IFERROR(INDEX('Green_rooibos initial weight'!$C$5:$C$2000,MATCH(I508, 'Green_rooibos initial weight'!$A$5:$A$2000,0)),"")</f>
        <v>2.2080000000000002</v>
      </c>
      <c r="L508" s="194">
        <f t="shared" si="82"/>
        <v>1.7702</v>
      </c>
      <c r="M508" s="233">
        <f>AVERAGE(Ashed_controlls!$K$1:$K$11)</f>
        <v>5.5147656768714146</v>
      </c>
      <c r="N508" s="194">
        <f t="shared" si="78"/>
        <v>1.6725776179880223</v>
      </c>
      <c r="O508" s="194">
        <f t="shared" si="83"/>
        <v>1.9582000000000002</v>
      </c>
      <c r="P508" s="233">
        <f>AVERAGE(Ashed_controlls!$K$12:$K$14)</f>
        <v>2.2816647271287041</v>
      </c>
      <c r="Q508" s="194">
        <f t="shared" si="79"/>
        <v>1.913520441313366</v>
      </c>
      <c r="R508" s="376">
        <f>IF('Dry_Litterbag Placem_Collection'!G215="","",'Dry_Litterbag Placem_Collection'!G215)</f>
        <v>43004</v>
      </c>
      <c r="S508" s="194">
        <f>IFERROR(INDEX('Both teabags AfterDry'!$D$3:$D$2000,MATCH(H508,'Both teabags AfterDry'!$A$3:$A$2000,0)),"")</f>
        <v>0.753</v>
      </c>
      <c r="T508" s="194">
        <f>IFERROR(INDEX('Both teabags AfterDry'!$D$3:$D$2000,MATCH(I508,'Both teabags AfterDry'!$A$3:$A$2000,0)),"")</f>
        <v>1.655</v>
      </c>
      <c r="U508" s="194">
        <f t="shared" si="84"/>
        <v>0.60240000000000005</v>
      </c>
      <c r="V508" s="194">
        <f t="shared" si="85"/>
        <v>1.5044</v>
      </c>
      <c r="W508" s="194">
        <f>IFERROR(INDEX('Ashed teabags dry'!$K$2:$K$2000,MATCH(H508,'Ashed teabags dry'!$A$2:$A$2000,0)),"")</f>
        <v>15.347950428979985</v>
      </c>
      <c r="X508" s="194">
        <f>IFERROR(INDEX('Ashed teabags dry'!$K$2:$K$2000,MATCH(I508,'Ashed teabags dry'!$A$2:$A$2000,0)),"")</f>
        <v>3.7141513869305309</v>
      </c>
      <c r="Y508" s="194">
        <f t="shared" si="80"/>
        <v>0.50994394661582465</v>
      </c>
      <c r="Z508" s="194">
        <f t="shared" si="80"/>
        <v>1.4485243065350171</v>
      </c>
      <c r="AA508" s="194">
        <f t="shared" si="86"/>
        <v>0.69511492852018031</v>
      </c>
      <c r="AB508" s="194">
        <f t="shared" si="87"/>
        <v>0.45570479874482134</v>
      </c>
      <c r="AC508" s="194">
        <f t="shared" si="81"/>
        <v>0.75699442517625071</v>
      </c>
      <c r="AD508">
        <f t="shared" si="88"/>
        <v>62</v>
      </c>
      <c r="AE508" s="194">
        <f t="shared" si="89"/>
        <v>0.17444782836083095</v>
      </c>
      <c r="AF508" s="194">
        <f t="shared" si="90"/>
        <v>1.2289776696904441E-2</v>
      </c>
      <c r="AG508" s="245" t="str">
        <f>IF(ISNUMBER(SEARCH("C", 'Dry_Litterbag Placem_Collection'!$V215)),"YES","NO")</f>
        <v>NO</v>
      </c>
      <c r="AH508" s="245" t="str">
        <f>IF(ISNUMBER(SEARCH("H", 'Dry_Litterbag Placem_Collection'!$V215)),"YES","NO")</f>
        <v>NO</v>
      </c>
      <c r="AI508" s="245" t="str">
        <f>IF(ISNUMBER(SEARCH("R", 'Dry_Litterbag Placem_Collection'!$V215)),"YES","NO")</f>
        <v>YES</v>
      </c>
      <c r="AJ508" s="245" t="str">
        <f>IF(ISNUMBER(SEARCH("C", 'Dry_Litterbag Placem_Collection'!$U215)),"YES","NO")</f>
        <v>NO</v>
      </c>
      <c r="AK508" s="245" t="str">
        <f>IF(ISNUMBER(SEARCH("H", 'Dry_Litterbag Placem_Collection'!$U215)),"YES","NO")</f>
        <v>NO</v>
      </c>
      <c r="AL508" s="245" t="str">
        <f>IF(ISNUMBER(SEARCH("R", 'Dry_Litterbag Placem_Collection'!$U215)),"YES","NO")</f>
        <v>YES</v>
      </c>
    </row>
    <row r="509" spans="2:38">
      <c r="B509" t="str">
        <f>Dryseason!B655</f>
        <v>Dry</v>
      </c>
      <c r="C509" s="253">
        <f>Dryseason!C655</f>
        <v>213</v>
      </c>
      <c r="D509" t="s">
        <v>2445</v>
      </c>
      <c r="E509" t="s">
        <v>25</v>
      </c>
      <c r="F509" s="375">
        <v>1</v>
      </c>
      <c r="G509" s="376">
        <f>IF('Dry_Litterbag Placem_Collection'!E216="","",'Dry_Litterbag Placem_Collection'!E216)</f>
        <v>42942</v>
      </c>
      <c r="H509" s="92" t="str">
        <f>Dryseason!L655</f>
        <v>G5</v>
      </c>
      <c r="I509" t="str">
        <f>Dryseason!L875</f>
        <v>R699</v>
      </c>
      <c r="J509">
        <f>IFERROR(INDEX('Green_rooibos initial weight'!$C$5:$C$2000,MATCH(H509, 'Green_rooibos initial weight'!$A$5:$A$2000,0)),"")</f>
        <v>2.0139999999999998</v>
      </c>
      <c r="K509">
        <f>IFERROR(INDEX('Green_rooibos initial weight'!$C$5:$C$2000,MATCH(I509, 'Green_rooibos initial weight'!$A$5:$A$2000,0)),"")</f>
        <v>2.157</v>
      </c>
      <c r="L509" s="194">
        <f t="shared" si="82"/>
        <v>1.7641999999999998</v>
      </c>
      <c r="M509" s="233">
        <f>AVERAGE(Ashed_controlls!$K$1:$K$11)</f>
        <v>5.5147656768714146</v>
      </c>
      <c r="N509" s="194">
        <f t="shared" si="78"/>
        <v>1.6669085039286342</v>
      </c>
      <c r="O509" s="194">
        <f t="shared" si="83"/>
        <v>1.9072</v>
      </c>
      <c r="P509" s="233">
        <f>AVERAGE(Ashed_controlls!$K$12:$K$14)</f>
        <v>2.2816647271287041</v>
      </c>
      <c r="Q509" s="194">
        <f t="shared" si="79"/>
        <v>1.8636840903242013</v>
      </c>
      <c r="R509" s="376">
        <f>IF('Dry_Litterbag Placem_Collection'!G216="","",'Dry_Litterbag Placem_Collection'!G216)</f>
        <v>43004</v>
      </c>
      <c r="S509" s="194">
        <f>IFERROR(INDEX('Both teabags AfterDry'!$D$3:$D$2000,MATCH(H509,'Both teabags AfterDry'!$A$3:$A$2000,0)),"")</f>
        <v>0.67</v>
      </c>
      <c r="T509" s="194">
        <f>IFERROR(INDEX('Both teabags AfterDry'!$D$3:$D$2000,MATCH(I509,'Both teabags AfterDry'!$A$3:$A$2000,0)),"")</f>
        <v>1.748</v>
      </c>
      <c r="U509" s="194">
        <f t="shared" si="84"/>
        <v>0.51940000000000008</v>
      </c>
      <c r="V509" s="194">
        <f t="shared" si="85"/>
        <v>1.5973999999999999</v>
      </c>
      <c r="W509" s="194">
        <f>IFERROR(INDEX('Ashed teabags dry'!$K$2:$K$2000,MATCH(H509,'Ashed teabags dry'!$A$2:$A$2000,0)),"")</f>
        <v>14.037698412698299</v>
      </c>
      <c r="X509" s="194">
        <f>IFERROR(INDEX('Ashed teabags dry'!$K$2:$K$2000,MATCH(I509,'Ashed teabags dry'!$A$2:$A$2000,0)),"")</f>
        <v>5.3180914512921857</v>
      </c>
      <c r="Y509" s="194">
        <f t="shared" si="80"/>
        <v>0.4464881944444451</v>
      </c>
      <c r="Z509" s="194">
        <f t="shared" si="80"/>
        <v>1.5124488071570585</v>
      </c>
      <c r="AA509" s="194">
        <f t="shared" si="86"/>
        <v>0.73214594958742818</v>
      </c>
      <c r="AB509" s="194">
        <f t="shared" si="87"/>
        <v>0.47998166766301709</v>
      </c>
      <c r="AC509" s="194">
        <f t="shared" si="81"/>
        <v>0.81153711351045399</v>
      </c>
      <c r="AD509">
        <f t="shared" si="88"/>
        <v>62</v>
      </c>
      <c r="AE509" s="194">
        <f t="shared" si="89"/>
        <v>0.13046799336409953</v>
      </c>
      <c r="AF509" s="194">
        <f t="shared" si="90"/>
        <v>8.0426367367298218E-3</v>
      </c>
      <c r="AG509" s="245" t="str">
        <f>IF(ISNUMBER(SEARCH("C", 'Dry_Litterbag Placem_Collection'!$V216)),"YES","NO")</f>
        <v>NO</v>
      </c>
      <c r="AH509" s="245" t="str">
        <f>IF(ISNUMBER(SEARCH("H", 'Dry_Litterbag Placem_Collection'!$V216)),"YES","NO")</f>
        <v>NO</v>
      </c>
      <c r="AI509" s="245" t="str">
        <f>IF(ISNUMBER(SEARCH("R", 'Dry_Litterbag Placem_Collection'!$V216)),"YES","NO")</f>
        <v>NO</v>
      </c>
      <c r="AJ509" s="245" t="str">
        <f>IF(ISNUMBER(SEARCH("C", 'Dry_Litterbag Placem_Collection'!$U216)),"YES","NO")</f>
        <v>NO</v>
      </c>
      <c r="AK509" s="245" t="str">
        <f>IF(ISNUMBER(SEARCH("H", 'Dry_Litterbag Placem_Collection'!$U216)),"YES","NO")</f>
        <v>NO</v>
      </c>
      <c r="AL509" s="245" t="str">
        <f>IF(ISNUMBER(SEARCH("R", 'Dry_Litterbag Placem_Collection'!$U216)),"YES","NO")</f>
        <v>NO</v>
      </c>
    </row>
    <row r="510" spans="2:38">
      <c r="B510" t="str">
        <f>Dryseason!B656</f>
        <v>Dry</v>
      </c>
      <c r="C510" s="253">
        <f>Dryseason!C656</f>
        <v>214</v>
      </c>
      <c r="D510" t="s">
        <v>2438</v>
      </c>
      <c r="E510" t="s">
        <v>25</v>
      </c>
      <c r="F510" s="375">
        <v>2</v>
      </c>
      <c r="G510" s="376">
        <f>IF('Dry_Litterbag Placem_Collection'!E217="","",'Dry_Litterbag Placem_Collection'!E217)</f>
        <v>42942</v>
      </c>
      <c r="H510" s="92" t="str">
        <f>Dryseason!L656</f>
        <v>G771</v>
      </c>
      <c r="I510" t="str">
        <f>Dryseason!L876</f>
        <v>R663</v>
      </c>
      <c r="J510">
        <f>IFERROR(INDEX('Green_rooibos initial weight'!$C$5:$C$2000,MATCH(H510, 'Green_rooibos initial weight'!$A$5:$A$2000,0)),"")</f>
        <v>1.9910000000000001</v>
      </c>
      <c r="K510">
        <f>IFERROR(INDEX('Green_rooibos initial weight'!$C$5:$C$2000,MATCH(I510, 'Green_rooibos initial weight'!$A$5:$A$2000,0)),"")</f>
        <v>2.105</v>
      </c>
      <c r="L510" s="194">
        <f t="shared" si="82"/>
        <v>1.7412000000000001</v>
      </c>
      <c r="M510" s="233">
        <f>AVERAGE(Ashed_controlls!$K$1:$K$11)</f>
        <v>5.5147656768714146</v>
      </c>
      <c r="N510" s="194">
        <f t="shared" si="78"/>
        <v>1.645176900034315</v>
      </c>
      <c r="O510" s="194">
        <f t="shared" si="83"/>
        <v>1.8552</v>
      </c>
      <c r="P510" s="233">
        <f>AVERAGE(Ashed_controlls!$K$12:$K$14)</f>
        <v>2.2816647271287041</v>
      </c>
      <c r="Q510" s="194">
        <f t="shared" si="79"/>
        <v>1.8128705559823082</v>
      </c>
      <c r="R510" s="376">
        <f>IF('Dry_Litterbag Placem_Collection'!G217="","",'Dry_Litterbag Placem_Collection'!G217)</f>
        <v>43004</v>
      </c>
      <c r="S510" s="194">
        <f>IFERROR(INDEX('Both teabags AfterDry'!$D$3:$D$2000,MATCH(H510,'Both teabags AfterDry'!$A$3:$A$2000,0)),"")</f>
        <v>0.65300000000000002</v>
      </c>
      <c r="T510" s="194">
        <f>IFERROR(INDEX('Both teabags AfterDry'!$D$3:$D$2000,MATCH(I510,'Both teabags AfterDry'!$A$3:$A$2000,0)),"")</f>
        <v>1.6679999999999999</v>
      </c>
      <c r="U510" s="194">
        <f t="shared" si="84"/>
        <v>0.50239999999999996</v>
      </c>
      <c r="V510" s="194">
        <f t="shared" si="85"/>
        <v>1.5173999999999999</v>
      </c>
      <c r="W510" s="194">
        <f>IFERROR(INDEX('Ashed teabags dry'!$K$2:$K$2000,MATCH(H510,'Ashed teabags dry'!$A$2:$A$2000,0)),"")</f>
        <v>13.496637848223109</v>
      </c>
      <c r="X510" s="194">
        <f>IFERROR(INDEX('Ashed teabags dry'!$K$2:$K$2000,MATCH(I510,'Ashed teabags dry'!$A$2:$A$2000,0)),"")</f>
        <v>3.297724105899698</v>
      </c>
      <c r="Y510" s="194">
        <f t="shared" si="80"/>
        <v>0.43459289145052704</v>
      </c>
      <c r="Z510" s="194">
        <f t="shared" si="80"/>
        <v>1.4673603344170778</v>
      </c>
      <c r="AA510" s="194">
        <f t="shared" si="86"/>
        <v>0.73583819986685794</v>
      </c>
      <c r="AB510" s="194">
        <f t="shared" si="87"/>
        <v>0.48240224029276207</v>
      </c>
      <c r="AC510" s="194">
        <f t="shared" si="81"/>
        <v>0.80941263543330322</v>
      </c>
      <c r="AD510">
        <f t="shared" si="88"/>
        <v>62</v>
      </c>
      <c r="AE510" s="194">
        <f t="shared" si="89"/>
        <v>0.12608289802035866</v>
      </c>
      <c r="AF510" s="194">
        <f t="shared" si="90"/>
        <v>8.1073979916872659E-3</v>
      </c>
      <c r="AG510" s="245" t="str">
        <f>IF(ISNUMBER(SEARCH("C", 'Dry_Litterbag Placem_Collection'!$V217)),"YES","NO")</f>
        <v>NO</v>
      </c>
      <c r="AH510" s="245" t="str">
        <f>IF(ISNUMBER(SEARCH("H", 'Dry_Litterbag Placem_Collection'!$V217)),"YES","NO")</f>
        <v>NO</v>
      </c>
      <c r="AI510" s="245" t="str">
        <f>IF(ISNUMBER(SEARCH("R", 'Dry_Litterbag Placem_Collection'!$V217)),"YES","NO")</f>
        <v>NO</v>
      </c>
      <c r="AJ510" s="245" t="str">
        <f>IF(ISNUMBER(SEARCH("C", 'Dry_Litterbag Placem_Collection'!$U217)),"YES","NO")</f>
        <v>NO</v>
      </c>
      <c r="AK510" s="245" t="str">
        <f>IF(ISNUMBER(SEARCH("H", 'Dry_Litterbag Placem_Collection'!$U217)),"YES","NO")</f>
        <v>NO</v>
      </c>
      <c r="AL510" s="245" t="str">
        <f>IF(ISNUMBER(SEARCH("R", 'Dry_Litterbag Placem_Collection'!$U217)),"YES","NO")</f>
        <v>YES</v>
      </c>
    </row>
    <row r="511" spans="2:38">
      <c r="B511" t="str">
        <f>Dryseason!B657</f>
        <v>Dry</v>
      </c>
      <c r="C511" s="253">
        <f>Dryseason!C657</f>
        <v>216</v>
      </c>
      <c r="D511" t="s">
        <v>2431</v>
      </c>
      <c r="E511" t="s">
        <v>25</v>
      </c>
      <c r="F511" s="375">
        <v>4</v>
      </c>
      <c r="G511" s="376">
        <f>IF('Dry_Litterbag Placem_Collection'!E218="","",'Dry_Litterbag Placem_Collection'!E218)</f>
        <v>42942</v>
      </c>
      <c r="H511" s="92" t="str">
        <f>Dryseason!L657</f>
        <v>G361</v>
      </c>
      <c r="I511" t="str">
        <f>Dryseason!L877</f>
        <v>R622</v>
      </c>
      <c r="J511">
        <f>IFERROR(INDEX('Green_rooibos initial weight'!$C$5:$C$2000,MATCH(H511, 'Green_rooibos initial weight'!$A$5:$A$2000,0)),"")</f>
        <v>2.0590000000000002</v>
      </c>
      <c r="K511">
        <f>IFERROR(INDEX('Green_rooibos initial weight'!$C$5:$C$2000,MATCH(I511, 'Green_rooibos initial weight'!$A$5:$A$2000,0)),"")</f>
        <v>2.1640000000000001</v>
      </c>
      <c r="L511" s="194">
        <f t="shared" si="82"/>
        <v>1.8092000000000001</v>
      </c>
      <c r="M511" s="233">
        <f>AVERAGE(Ashed_controlls!$K$1:$K$11)</f>
        <v>5.5147656768714146</v>
      </c>
      <c r="N511" s="194">
        <f t="shared" si="78"/>
        <v>1.7094268593740425</v>
      </c>
      <c r="O511" s="194">
        <f t="shared" si="83"/>
        <v>1.9142000000000001</v>
      </c>
      <c r="P511" s="233">
        <f>AVERAGE(Ashed_controlls!$K$12:$K$14)</f>
        <v>2.2816647271287041</v>
      </c>
      <c r="Q511" s="194">
        <f t="shared" si="79"/>
        <v>1.8705243737933024</v>
      </c>
      <c r="R511" s="376">
        <f>IF('Dry_Litterbag Placem_Collection'!G218="","",'Dry_Litterbag Placem_Collection'!G218)</f>
        <v>43004</v>
      </c>
      <c r="S511" s="194">
        <f>IFERROR(INDEX('Both teabags AfterDry'!$D$3:$D$2000,MATCH(H511,'Both teabags AfterDry'!$A$3:$A$2000,0)),"")</f>
        <v>0.73499999999999999</v>
      </c>
      <c r="T511" s="194">
        <f>IFERROR(INDEX('Both teabags AfterDry'!$D$3:$D$2000,MATCH(I511,'Both teabags AfterDry'!$A$3:$A$2000,0)),"")</f>
        <v>1.6419999999999999</v>
      </c>
      <c r="U511" s="194">
        <f t="shared" si="84"/>
        <v>0.58440000000000003</v>
      </c>
      <c r="V511" s="194">
        <f t="shared" si="85"/>
        <v>1.4913999999999998</v>
      </c>
      <c r="W511" s="194">
        <f>IFERROR(INDEX('Ashed teabags dry'!$K$2:$K$2000,MATCH(H511,'Ashed teabags dry'!$A$2:$A$2000,0)),"")</f>
        <v>12.954939341420824</v>
      </c>
      <c r="X511" s="194">
        <f>IFERROR(INDEX('Ashed teabags dry'!$K$2:$K$2000,MATCH(I511,'Ashed teabags dry'!$A$2:$A$2000,0)),"")</f>
        <v>4.6979865771810632</v>
      </c>
      <c r="Y511" s="194">
        <f t="shared" si="80"/>
        <v>0.50869133448873671</v>
      </c>
      <c r="Z511" s="194">
        <f t="shared" si="80"/>
        <v>1.4213342281879215</v>
      </c>
      <c r="AA511" s="194">
        <f t="shared" si="86"/>
        <v>0.70241994754018955</v>
      </c>
      <c r="AB511" s="194">
        <f t="shared" si="87"/>
        <v>0.46049383734226207</v>
      </c>
      <c r="AC511" s="194">
        <f t="shared" si="81"/>
        <v>0.75985870491788765</v>
      </c>
      <c r="AD511">
        <f t="shared" si="88"/>
        <v>62</v>
      </c>
      <c r="AE511" s="194">
        <f t="shared" si="89"/>
        <v>0.16577203380024996</v>
      </c>
      <c r="AF511" s="194">
        <f t="shared" si="90"/>
        <v>1.1888237814121416E-2</v>
      </c>
      <c r="AG511" s="245" t="str">
        <f>IF(ISNUMBER(SEARCH("C", 'Dry_Litterbag Placem_Collection'!$V218)),"YES","NO")</f>
        <v>NO</v>
      </c>
      <c r="AH511" s="245" t="str">
        <f>IF(ISNUMBER(SEARCH("H", 'Dry_Litterbag Placem_Collection'!$V218)),"YES","NO")</f>
        <v>NO</v>
      </c>
      <c r="AI511" s="245" t="str">
        <f>IF(ISNUMBER(SEARCH("R", 'Dry_Litterbag Placem_Collection'!$V218)),"YES","NO")</f>
        <v>NO</v>
      </c>
      <c r="AJ511" s="245" t="str">
        <f>IF(ISNUMBER(SEARCH("C", 'Dry_Litterbag Placem_Collection'!$U218)),"YES","NO")</f>
        <v>NO</v>
      </c>
      <c r="AK511" s="245" t="str">
        <f>IF(ISNUMBER(SEARCH("H", 'Dry_Litterbag Placem_Collection'!$U218)),"YES","NO")</f>
        <v>NO</v>
      </c>
      <c r="AL511" s="245" t="str">
        <f>IF(ISNUMBER(SEARCH("R", 'Dry_Litterbag Placem_Collection'!$U218)),"YES","NO")</f>
        <v>NO</v>
      </c>
    </row>
    <row r="512" spans="2:38">
      <c r="B512" t="str">
        <f>Dryseason!B658</f>
        <v>Dry</v>
      </c>
      <c r="C512" s="253">
        <f>Dryseason!C658</f>
        <v>217</v>
      </c>
      <c r="D512" t="s">
        <v>2424</v>
      </c>
      <c r="E512" t="s">
        <v>25</v>
      </c>
      <c r="F512" s="375">
        <v>1</v>
      </c>
      <c r="G512" s="376">
        <f>IF('Dry_Litterbag Placem_Collection'!E219="","",'Dry_Litterbag Placem_Collection'!E219)</f>
        <v>42942</v>
      </c>
      <c r="H512" s="92" t="str">
        <f>Dryseason!L658</f>
        <v>G204</v>
      </c>
      <c r="I512" t="str">
        <f>Dryseason!L878</f>
        <v>R608</v>
      </c>
      <c r="J512">
        <f>IFERROR(INDEX('Green_rooibos initial weight'!$C$5:$C$2000,MATCH(H512, 'Green_rooibos initial weight'!$A$5:$A$2000,0)),"")</f>
        <v>2.1970000000000001</v>
      </c>
      <c r="K512">
        <f>IFERROR(INDEX('Green_rooibos initial weight'!$C$5:$C$2000,MATCH(I512, 'Green_rooibos initial weight'!$A$5:$A$2000,0)),"")</f>
        <v>2.1440000000000001</v>
      </c>
      <c r="L512" s="194">
        <f t="shared" si="82"/>
        <v>1.9472</v>
      </c>
      <c r="M512" s="233">
        <f>AVERAGE(Ashed_controlls!$K$1:$K$11)</f>
        <v>5.5147656768714146</v>
      </c>
      <c r="N512" s="194">
        <f t="shared" si="78"/>
        <v>1.8398164827399599</v>
      </c>
      <c r="O512" s="194">
        <f t="shared" si="83"/>
        <v>1.8942000000000001</v>
      </c>
      <c r="P512" s="233">
        <f>AVERAGE(Ashed_controlls!$K$12:$K$14)</f>
        <v>2.2816647271287041</v>
      </c>
      <c r="Q512" s="194">
        <f t="shared" si="79"/>
        <v>1.8509807067387283</v>
      </c>
      <c r="R512" s="376">
        <f>IF('Dry_Litterbag Placem_Collection'!G219="","",'Dry_Litterbag Placem_Collection'!G219)</f>
        <v>43004</v>
      </c>
      <c r="S512" s="194">
        <f>IFERROR(INDEX('Both teabags AfterDry'!$D$3:$D$2000,MATCH(H512,'Both teabags AfterDry'!$A$3:$A$2000,0)),"")</f>
        <v>0.80579999999999996</v>
      </c>
      <c r="T512" s="194">
        <f>IFERROR(INDEX('Both teabags AfterDry'!$D$3:$D$2000,MATCH(I512,'Both teabags AfterDry'!$A$3:$A$2000,0)),"")</f>
        <v>1.6455</v>
      </c>
      <c r="U512" s="194">
        <f t="shared" si="84"/>
        <v>0.6552</v>
      </c>
      <c r="V512" s="194">
        <f t="shared" si="85"/>
        <v>1.4948999999999999</v>
      </c>
      <c r="W512" s="194">
        <f>IFERROR(INDEX('Ashed teabags dry'!$K$2:$K$2000,MATCH(H512,'Ashed teabags dry'!$A$2:$A$2000,0)),"")</f>
        <v>19.368932038835744</v>
      </c>
      <c r="X512" s="194">
        <f>IFERROR(INDEX('Ashed teabags dry'!$K$2:$K$2000,MATCH(I512,'Ashed teabags dry'!$A$2:$A$2000,0)),"")</f>
        <v>3.468950749465225</v>
      </c>
      <c r="Y512" s="194">
        <f t="shared" si="80"/>
        <v>0.52829475728154818</v>
      </c>
      <c r="Z512" s="194">
        <f t="shared" si="80"/>
        <v>1.4430426552462443</v>
      </c>
      <c r="AA512" s="194">
        <f t="shared" si="86"/>
        <v>0.71285464488567829</v>
      </c>
      <c r="AB512" s="194">
        <f t="shared" si="87"/>
        <v>0.4673346365521312</v>
      </c>
      <c r="AC512" s="194">
        <f t="shared" si="81"/>
        <v>0.77960977658636088</v>
      </c>
      <c r="AD512">
        <f t="shared" si="88"/>
        <v>62</v>
      </c>
      <c r="AE512" s="194">
        <f t="shared" si="89"/>
        <v>0.15337928160845804</v>
      </c>
      <c r="AF512" s="194">
        <f t="shared" si="90"/>
        <v>1.0288424262450345E-2</v>
      </c>
      <c r="AG512" s="245" t="str">
        <f>IF(ISNUMBER(SEARCH("C", 'Dry_Litterbag Placem_Collection'!$V219)),"YES","NO")</f>
        <v>NO</v>
      </c>
      <c r="AH512" s="245" t="str">
        <f>IF(ISNUMBER(SEARCH("H", 'Dry_Litterbag Placem_Collection'!$V219)),"YES","NO")</f>
        <v>NO</v>
      </c>
      <c r="AI512" s="245" t="str">
        <f>IF(ISNUMBER(SEARCH("R", 'Dry_Litterbag Placem_Collection'!$V219)),"YES","NO")</f>
        <v>NO</v>
      </c>
      <c r="AJ512" s="245" t="str">
        <f>IF(ISNUMBER(SEARCH("C", 'Dry_Litterbag Placem_Collection'!$U219)),"YES","NO")</f>
        <v>NO</v>
      </c>
      <c r="AK512" s="245" t="str">
        <f>IF(ISNUMBER(SEARCH("H", 'Dry_Litterbag Placem_Collection'!$U219)),"YES","NO")</f>
        <v>NO</v>
      </c>
      <c r="AL512" s="245" t="str">
        <f>IF(ISNUMBER(SEARCH("R", 'Dry_Litterbag Placem_Collection'!$U219)),"YES","NO")</f>
        <v>YES</v>
      </c>
    </row>
    <row r="513" spans="2:38">
      <c r="B513" t="str">
        <f>Dryseason!B659</f>
        <v>Dry</v>
      </c>
      <c r="C513" s="253">
        <f>Dryseason!C659</f>
        <v>218</v>
      </c>
      <c r="D513" t="s">
        <v>2432</v>
      </c>
      <c r="E513" t="s">
        <v>25</v>
      </c>
      <c r="F513" s="375">
        <v>2</v>
      </c>
      <c r="G513" s="376">
        <f>IF('Dry_Litterbag Placem_Collection'!E220="","",'Dry_Litterbag Placem_Collection'!E220)</f>
        <v>42942</v>
      </c>
      <c r="H513" s="92" t="str">
        <f>Dryseason!L659</f>
        <v>G170</v>
      </c>
      <c r="I513" t="str">
        <f>Dryseason!L879</f>
        <v>R639</v>
      </c>
      <c r="J513">
        <f>IFERROR(INDEX('Green_rooibos initial weight'!$C$5:$C$2000,MATCH(H513, 'Green_rooibos initial weight'!$A$5:$A$2000,0)),"")</f>
        <v>2.0390000000000001</v>
      </c>
      <c r="K513">
        <f>IFERROR(INDEX('Green_rooibos initial weight'!$C$5:$C$2000,MATCH(I513, 'Green_rooibos initial weight'!$A$5:$A$2000,0)),"")</f>
        <v>2.0840000000000001</v>
      </c>
      <c r="L513" s="194">
        <f t="shared" si="82"/>
        <v>1.7892000000000001</v>
      </c>
      <c r="M513" s="233">
        <f>AVERAGE(Ashed_controlls!$K$1:$K$11)</f>
        <v>5.5147656768714146</v>
      </c>
      <c r="N513" s="194">
        <f t="shared" si="78"/>
        <v>1.6905298125094168</v>
      </c>
      <c r="O513" s="194">
        <f t="shared" si="83"/>
        <v>1.8342000000000001</v>
      </c>
      <c r="P513" s="233">
        <f>AVERAGE(Ashed_controlls!$K$12:$K$14)</f>
        <v>2.2816647271287041</v>
      </c>
      <c r="Q513" s="194">
        <f t="shared" si="79"/>
        <v>1.7923497055750053</v>
      </c>
      <c r="R513" s="376">
        <f>IF('Dry_Litterbag Placem_Collection'!G220="","",'Dry_Litterbag Placem_Collection'!G220)</f>
        <v>43004</v>
      </c>
      <c r="S513" s="194">
        <f>IFERROR(INDEX('Both teabags AfterDry'!$D$3:$D$2000,MATCH(H513,'Both teabags AfterDry'!$A$3:$A$2000,0)),"")</f>
        <v>0.66100000000000003</v>
      </c>
      <c r="T513" s="194">
        <f>IFERROR(INDEX('Both teabags AfterDry'!$D$3:$D$2000,MATCH(I513,'Both teabags AfterDry'!$A$3:$A$2000,0)),"")</f>
        <v>1.6519999999999999</v>
      </c>
      <c r="U513" s="194">
        <f t="shared" si="84"/>
        <v>0.51039999999999996</v>
      </c>
      <c r="V513" s="194">
        <f t="shared" si="85"/>
        <v>1.5013999999999998</v>
      </c>
      <c r="W513" s="194">
        <f>IFERROR(INDEX('Ashed teabags dry'!$K$2:$K$2000,MATCH(H513,'Ashed teabags dry'!$A$2:$A$2000,0)),"")</f>
        <v>23.022929340196391</v>
      </c>
      <c r="X513" s="194">
        <f>IFERROR(INDEX('Ashed teabags dry'!$K$2:$K$2000,MATCH(I513,'Ashed teabags dry'!$A$2:$A$2000,0)),"")</f>
        <v>4.9473202015572753</v>
      </c>
      <c r="Y513" s="194">
        <f t="shared" si="80"/>
        <v>0.39289096864763762</v>
      </c>
      <c r="Z513" s="194">
        <f t="shared" si="80"/>
        <v>1.4271209344938189</v>
      </c>
      <c r="AA513" s="194">
        <f t="shared" si="86"/>
        <v>0.76759299614809418</v>
      </c>
      <c r="AB513" s="194">
        <f t="shared" si="87"/>
        <v>0.50322011148901191</v>
      </c>
      <c r="AC513" s="194">
        <f t="shared" si="81"/>
        <v>0.79622906738279797</v>
      </c>
      <c r="AD513">
        <f t="shared" si="88"/>
        <v>62</v>
      </c>
      <c r="AE513" s="194">
        <f t="shared" si="89"/>
        <v>8.8369363244543697E-2</v>
      </c>
      <c r="AF513" s="194">
        <f t="shared" si="90"/>
        <v>8.3723057288719663E-3</v>
      </c>
      <c r="AG513" s="245" t="str">
        <f>IF(ISNUMBER(SEARCH("C", 'Dry_Litterbag Placem_Collection'!$V220)),"YES","NO")</f>
        <v>NO</v>
      </c>
      <c r="AH513" s="245" t="str">
        <f>IF(ISNUMBER(SEARCH("H", 'Dry_Litterbag Placem_Collection'!$V220)),"YES","NO")</f>
        <v>NO</v>
      </c>
      <c r="AI513" s="245" t="str">
        <f>IF(ISNUMBER(SEARCH("R", 'Dry_Litterbag Placem_Collection'!$V220)),"YES","NO")</f>
        <v>YES</v>
      </c>
      <c r="AJ513" s="245" t="str">
        <f>IF(ISNUMBER(SEARCH("C", 'Dry_Litterbag Placem_Collection'!$U220)),"YES","NO")</f>
        <v>NO</v>
      </c>
      <c r="AK513" s="245" t="str">
        <f>IF(ISNUMBER(SEARCH("H", 'Dry_Litterbag Placem_Collection'!$U220)),"YES","NO")</f>
        <v>NO</v>
      </c>
      <c r="AL513" s="245" t="str">
        <f>IF(ISNUMBER(SEARCH("R", 'Dry_Litterbag Placem_Collection'!$U220)),"YES","NO")</f>
        <v>YES</v>
      </c>
    </row>
    <row r="514" spans="2:38">
      <c r="B514" t="str">
        <f>Dryseason!B660</f>
        <v>Dry</v>
      </c>
      <c r="C514" s="253">
        <f>Dryseason!C660</f>
        <v>219</v>
      </c>
      <c r="D514" t="s">
        <v>2439</v>
      </c>
      <c r="E514" t="s">
        <v>25</v>
      </c>
      <c r="F514" s="375">
        <v>3</v>
      </c>
      <c r="G514" s="376">
        <f>IF('Dry_Litterbag Placem_Collection'!E221="","",'Dry_Litterbag Placem_Collection'!E221)</f>
        <v>42942</v>
      </c>
      <c r="H514" s="92" t="str">
        <f>Dryseason!L660</f>
        <v>G123</v>
      </c>
      <c r="I514" t="str">
        <f>Dryseason!L880</f>
        <v>R246</v>
      </c>
      <c r="J514">
        <f>IFERROR(INDEX('Green_rooibos initial weight'!$C$5:$C$2000,MATCH(H514, 'Green_rooibos initial weight'!$A$5:$A$2000,0)),"")</f>
        <v>2.133</v>
      </c>
      <c r="K514">
        <f>IFERROR(INDEX('Green_rooibos initial weight'!$C$5:$C$2000,MATCH(I514, 'Green_rooibos initial weight'!$A$5:$A$2000,0)),"")</f>
        <v>2.2170000000000001</v>
      </c>
      <c r="L514" s="194">
        <f t="shared" si="82"/>
        <v>1.8832</v>
      </c>
      <c r="M514" s="233">
        <f>AVERAGE(Ashed_controlls!$K$1:$K$11)</f>
        <v>5.5147656768714146</v>
      </c>
      <c r="N514" s="194">
        <f t="shared" si="78"/>
        <v>1.7793459327731576</v>
      </c>
      <c r="O514" s="194">
        <f t="shared" si="83"/>
        <v>1.9672000000000001</v>
      </c>
      <c r="P514" s="233">
        <f>AVERAGE(Ashed_controlls!$K$12:$K$14)</f>
        <v>2.2816647271287041</v>
      </c>
      <c r="Q514" s="194">
        <f t="shared" si="79"/>
        <v>1.9223150914879241</v>
      </c>
      <c r="R514" s="376">
        <f>IF('Dry_Litterbag Placem_Collection'!G221="","",'Dry_Litterbag Placem_Collection'!G221)</f>
        <v>43004</v>
      </c>
      <c r="S514" s="194">
        <f>IFERROR(INDEX('Both teabags AfterDry'!$D$3:$D$2000,MATCH(H514,'Both teabags AfterDry'!$A$3:$A$2000,0)),"")</f>
        <v>0.82250000000000001</v>
      </c>
      <c r="T514" s="194">
        <f>IFERROR(INDEX('Both teabags AfterDry'!$D$3:$D$2000,MATCH(I514,'Both teabags AfterDry'!$A$3:$A$2000,0)),"")</f>
        <v>1.639</v>
      </c>
      <c r="U514" s="194">
        <f t="shared" si="84"/>
        <v>0.67189999999999994</v>
      </c>
      <c r="V514" s="194">
        <f t="shared" si="85"/>
        <v>1.4883999999999999</v>
      </c>
      <c r="W514" s="194">
        <f>IFERROR(INDEX('Ashed teabags dry'!$K$2:$K$2000,MATCH(H514,'Ashed teabags dry'!$A$2:$A$2000,0)),"")</f>
        <v>24.6799116997799</v>
      </c>
      <c r="X514" s="194">
        <f>IFERROR(INDEX('Ashed teabags dry'!$K$2:$K$2000,MATCH(I514,'Ashed teabags dry'!$A$2:$A$2000,0)),"")</f>
        <v>7.5489727663639679</v>
      </c>
      <c r="Y514" s="194">
        <f t="shared" si="80"/>
        <v>0.5060756732891788</v>
      </c>
      <c r="Z514" s="194">
        <f t="shared" si="80"/>
        <v>1.3760410893454387</v>
      </c>
      <c r="AA514" s="194">
        <f t="shared" si="86"/>
        <v>0.71558331408865139</v>
      </c>
      <c r="AB514" s="194">
        <f t="shared" si="87"/>
        <v>0.46912350282296389</v>
      </c>
      <c r="AC514" s="194">
        <f t="shared" si="81"/>
        <v>0.71582494224729076</v>
      </c>
      <c r="AD514">
        <f t="shared" si="88"/>
        <v>62</v>
      </c>
      <c r="AE514" s="194">
        <f t="shared" si="89"/>
        <v>0.15013858184245676</v>
      </c>
      <c r="AF514" s="194">
        <f t="shared" si="90"/>
        <v>1.501272508194075E-2</v>
      </c>
      <c r="AG514" s="245" t="str">
        <f>IF(ISNUMBER(SEARCH("C", 'Dry_Litterbag Placem_Collection'!$V221)),"YES","NO")</f>
        <v>NO</v>
      </c>
      <c r="AH514" s="245" t="str">
        <f>IF(ISNUMBER(SEARCH("H", 'Dry_Litterbag Placem_Collection'!$V221)),"YES","NO")</f>
        <v>NO</v>
      </c>
      <c r="AI514" s="245" t="str">
        <f>IF(ISNUMBER(SEARCH("R", 'Dry_Litterbag Placem_Collection'!$V221)),"YES","NO")</f>
        <v>NO</v>
      </c>
      <c r="AJ514" s="245" t="str">
        <f>IF(ISNUMBER(SEARCH("C", 'Dry_Litterbag Placem_Collection'!$U221)),"YES","NO")</f>
        <v>NO</v>
      </c>
      <c r="AK514" s="245" t="str">
        <f>IF(ISNUMBER(SEARCH("H", 'Dry_Litterbag Placem_Collection'!$U221)),"YES","NO")</f>
        <v>NO</v>
      </c>
      <c r="AL514" s="245" t="str">
        <f>IF(ISNUMBER(SEARCH("R", 'Dry_Litterbag Placem_Collection'!$U221)),"YES","NO")</f>
        <v>YES</v>
      </c>
    </row>
    <row r="515" spans="2:38">
      <c r="B515" t="str">
        <f>Dryseason!B661</f>
        <v>Dry</v>
      </c>
      <c r="C515" s="374">
        <f>Dryseason!C661</f>
        <v>220</v>
      </c>
      <c r="D515" t="s">
        <v>2446</v>
      </c>
      <c r="E515" t="s">
        <v>25</v>
      </c>
      <c r="F515" s="375">
        <v>4</v>
      </c>
      <c r="G515" s="376">
        <f>IF('Dry_Litterbag Placem_Collection'!E222="","",'Dry_Litterbag Placem_Collection'!E222)</f>
        <v>42942</v>
      </c>
      <c r="H515" s="92" t="str">
        <f>Dryseason!L661</f>
        <v>G53</v>
      </c>
      <c r="I515" s="92" t="str">
        <f>Dryseason!L881</f>
        <v>R672</v>
      </c>
      <c r="J515">
        <f>IFERROR(INDEX('Green_rooibos initial weight'!$C$5:$C$2000,MATCH(H515, 'Green_rooibos initial weight'!$A$5:$A$2000,0)),"")</f>
        <v>1.907</v>
      </c>
      <c r="K515">
        <f>IFERROR(INDEX('Green_rooibos initial weight'!$C$5:$C$2000,MATCH(I515, 'Green_rooibos initial weight'!$A$5:$A$2000,0)),"")</f>
        <v>2.161</v>
      </c>
      <c r="L515" s="194">
        <f t="shared" si="82"/>
        <v>1.6572</v>
      </c>
      <c r="M515" s="233">
        <f>AVERAGE(Ashed_controlls!$K$1:$K$11)</f>
        <v>5.5147656768714146</v>
      </c>
      <c r="N515" s="194">
        <f t="shared" si="78"/>
        <v>1.565809303202887</v>
      </c>
      <c r="O515" s="194">
        <f t="shared" si="83"/>
        <v>1.9112</v>
      </c>
      <c r="P515" s="233">
        <f>AVERAGE(Ashed_controlls!$K$12:$K$14)</f>
        <v>2.2816647271287041</v>
      </c>
      <c r="Q515" s="194">
        <f t="shared" si="79"/>
        <v>1.8675928237351163</v>
      </c>
      <c r="R515" s="376">
        <f>IF('Dry_Litterbag Placem_Collection'!G222="","",'Dry_Litterbag Placem_Collection'!G222)</f>
        <v>43004</v>
      </c>
      <c r="S515" s="194" t="str">
        <f>IFERROR(INDEX('Both teabags AfterDry'!$D$3:$D$2000,MATCH(H515,'Both teabags AfterDry'!$A$3:$A$2000,0)),"")</f>
        <v/>
      </c>
      <c r="T515" s="194" t="str">
        <f>IFERROR(INDEX('Both teabags AfterDry'!$D$3:$D$2000,MATCH(I515,'Both teabags AfterDry'!$A$3:$A$2000,0)),"")</f>
        <v/>
      </c>
      <c r="U515" s="194" t="str">
        <f t="shared" si="84"/>
        <v/>
      </c>
      <c r="V515" s="194" t="str">
        <f t="shared" si="85"/>
        <v/>
      </c>
      <c r="W515" s="194" t="str">
        <f>IFERROR(INDEX('Ashed teabags dry'!$K$2:$K$2000,MATCH(H515,'Ashed teabags dry'!$A$2:$A$2000,0)),"")</f>
        <v/>
      </c>
      <c r="X515" s="194" t="str">
        <f>IFERROR(INDEX('Ashed teabags dry'!$K$2:$K$2000,MATCH(I515,'Ashed teabags dry'!$A$2:$A$2000,0)),"")</f>
        <v/>
      </c>
      <c r="Y515" s="194" t="str">
        <f t="shared" si="80"/>
        <v/>
      </c>
      <c r="Z515" s="194" t="str">
        <f t="shared" si="80"/>
        <v/>
      </c>
      <c r="AA515" s="194" t="str">
        <f t="shared" si="86"/>
        <v/>
      </c>
      <c r="AB515" s="194" t="str">
        <f t="shared" si="87"/>
        <v/>
      </c>
      <c r="AC515" s="194" t="str">
        <f t="shared" si="81"/>
        <v/>
      </c>
      <c r="AD515">
        <f t="shared" si="88"/>
        <v>62</v>
      </c>
      <c r="AE515" s="194" t="str">
        <f t="shared" si="89"/>
        <v/>
      </c>
      <c r="AF515" s="194" t="str">
        <f t="shared" si="90"/>
        <v/>
      </c>
      <c r="AG515" s="245" t="str">
        <f>IF(ISNUMBER(SEARCH("C", 'Dry_Litterbag Placem_Collection'!$V222)),"YES","NO")</f>
        <v>NO</v>
      </c>
      <c r="AH515" s="245" t="str">
        <f>IF(ISNUMBER(SEARCH("H", 'Dry_Litterbag Placem_Collection'!$V222)),"YES","NO")</f>
        <v>NO</v>
      </c>
      <c r="AI515" s="245" t="str">
        <f>IF(ISNUMBER(SEARCH("R", 'Dry_Litterbag Placem_Collection'!$V222)),"YES","NO")</f>
        <v>NO</v>
      </c>
      <c r="AJ515" s="245" t="str">
        <f>IF(ISNUMBER(SEARCH("C", 'Dry_Litterbag Placem_Collection'!$U222)),"YES","NO")</f>
        <v>NO</v>
      </c>
      <c r="AK515" s="245" t="str">
        <f>IF(ISNUMBER(SEARCH("H", 'Dry_Litterbag Placem_Collection'!$U222)),"YES","NO")</f>
        <v>NO</v>
      </c>
      <c r="AL515" s="245" t="str">
        <f>IF(ISNUMBER(SEARCH("R", 'Dry_Litterbag Placem_Collection'!$U222)),"YES","NO")</f>
        <v>YES</v>
      </c>
    </row>
  </sheetData>
  <mergeCells count="51">
    <mergeCell ref="B27:E27"/>
    <mergeCell ref="B12:E12"/>
    <mergeCell ref="B13:E13"/>
    <mergeCell ref="B14:E14"/>
    <mergeCell ref="B15:E15"/>
    <mergeCell ref="B16:E16"/>
    <mergeCell ref="B17:E17"/>
    <mergeCell ref="B18:E18"/>
    <mergeCell ref="B19:E19"/>
    <mergeCell ref="B20:E20"/>
    <mergeCell ref="B25:E25"/>
    <mergeCell ref="B26:E26"/>
    <mergeCell ref="B28:E28"/>
    <mergeCell ref="B29:E29"/>
    <mergeCell ref="B30:E30"/>
    <mergeCell ref="B31:E31"/>
    <mergeCell ref="B32:E32"/>
    <mergeCell ref="L48:M48"/>
    <mergeCell ref="K37:R37"/>
    <mergeCell ref="B38:D38"/>
    <mergeCell ref="O38:P38"/>
    <mergeCell ref="L40:M40"/>
    <mergeCell ref="L41:M41"/>
    <mergeCell ref="L42:M42"/>
    <mergeCell ref="B37:D37"/>
    <mergeCell ref="E37:F37"/>
    <mergeCell ref="L43:M43"/>
    <mergeCell ref="L44:M44"/>
    <mergeCell ref="L45:M45"/>
    <mergeCell ref="L46:M46"/>
    <mergeCell ref="L47:M47"/>
    <mergeCell ref="L60:M60"/>
    <mergeCell ref="L49:M49"/>
    <mergeCell ref="L50:M50"/>
    <mergeCell ref="L51:M51"/>
    <mergeCell ref="L52:M52"/>
    <mergeCell ref="L53:M53"/>
    <mergeCell ref="L54:M54"/>
    <mergeCell ref="L55:M55"/>
    <mergeCell ref="L56:M56"/>
    <mergeCell ref="L57:M57"/>
    <mergeCell ref="L58:M58"/>
    <mergeCell ref="L59:M59"/>
    <mergeCell ref="D73:H74"/>
    <mergeCell ref="AG74:AL74"/>
    <mergeCell ref="L61:M61"/>
    <mergeCell ref="L62:M62"/>
    <mergeCell ref="B68:E68"/>
    <mergeCell ref="B69:E69"/>
    <mergeCell ref="B70:E70"/>
    <mergeCell ref="F70:N70"/>
  </mergeCells>
  <dataValidations disablePrompts="1" count="7">
    <dataValidation type="list" allowBlank="1" showInputMessage="1" showErrorMessage="1" sqref="T39:T63" xr:uid="{633D1373-C489-4226-BD05-8C519779B453}">
      <formula1>aspect</formula1>
    </dataValidation>
    <dataValidation type="list" allowBlank="1" showInputMessage="1" showErrorMessage="1" sqref="S39:S63" xr:uid="{B311EB38-26FB-4280-B021-4440A21EB943}">
      <formula1>slope</formula1>
    </dataValidation>
    <dataValidation type="list" allowBlank="1" showInputMessage="1" showErrorMessage="1" sqref="R39:R63" xr:uid="{633FA1E0-BB1A-4C11-937E-5A5D2B031BC9}">
      <formula1>rootingdepth</formula1>
    </dataValidation>
    <dataValidation type="list" allowBlank="1" showInputMessage="1" showErrorMessage="1" sqref="Q39:Q63" xr:uid="{0EC56E37-C971-423E-863A-D98114BCD95F}">
      <formula1>soildepth</formula1>
    </dataValidation>
    <dataValidation type="list" allowBlank="1" showInputMessage="1" showErrorMessage="1" sqref="O39:O63" xr:uid="{C8BF44E7-55A0-4460-B615-E9479A0B624F}">
      <formula1>ecosystem</formula1>
    </dataValidation>
    <dataValidation type="list" allowBlank="1" showInputMessage="1" showErrorMessage="1" sqref="L39:L63" xr:uid="{7999DC18-920B-4C35-90E3-F0ED42A13F45}">
      <formula1>human_impact</formula1>
    </dataValidation>
    <dataValidation type="list" allowBlank="1" showInputMessage="1" showErrorMessage="1" sqref="K39:K63" xr:uid="{C9C2C488-FA8C-43CB-A457-46D26C7BB4F6}">
      <formula1>shading</formula1>
    </dataValidation>
  </dataValidations>
  <hyperlinks>
    <hyperlink ref="F16" r:id="rId1" xr:uid="{918E898B-D544-40DF-945C-0D0EF576D4A2}"/>
    <hyperlink ref="F15" r:id="rId2" xr:uid="{4403BD38-40CB-4C68-9A9D-6A2212697303}"/>
  </hyperlinks>
  <pageMargins left="0.7" right="0.7" top="0.75" bottom="0.75" header="0.3" footer="0.3"/>
  <pageSetup paperSize="9" orientation="portrait" r:id="rId3"/>
  <legacyDrawing r:id="rId4"/>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C17"/>
  <sheetViews>
    <sheetView workbookViewId="0">
      <selection activeCell="C16" sqref="C16"/>
    </sheetView>
  </sheetViews>
  <sheetFormatPr baseColWidth="10" defaultColWidth="11.44140625" defaultRowHeight="14.4"/>
  <cols>
    <col min="1" max="1" width="11.44140625" style="42"/>
  </cols>
  <sheetData>
    <row r="1" spans="1:3">
      <c r="B1" t="s">
        <v>174</v>
      </c>
      <c r="C1" t="s">
        <v>175</v>
      </c>
    </row>
    <row r="2" spans="1:3">
      <c r="B2" t="s">
        <v>176</v>
      </c>
      <c r="C2" t="s">
        <v>177</v>
      </c>
    </row>
    <row r="3" spans="1:3">
      <c r="A3" s="42">
        <v>42163</v>
      </c>
      <c r="B3" t="s">
        <v>178</v>
      </c>
      <c r="C3" t="s">
        <v>179</v>
      </c>
    </row>
    <row r="4" spans="1:3">
      <c r="C4" t="s">
        <v>180</v>
      </c>
    </row>
    <row r="5" spans="1:3">
      <c r="C5" t="s">
        <v>181</v>
      </c>
    </row>
    <row r="6" spans="1:3">
      <c r="C6" t="s">
        <v>182</v>
      </c>
    </row>
    <row r="7" spans="1:3">
      <c r="C7" t="s">
        <v>183</v>
      </c>
    </row>
    <row r="8" spans="1:3">
      <c r="C8" t="s">
        <v>184</v>
      </c>
    </row>
    <row r="9" spans="1:3">
      <c r="A9" s="42">
        <v>42158</v>
      </c>
      <c r="B9" t="s">
        <v>185</v>
      </c>
      <c r="C9" t="s">
        <v>186</v>
      </c>
    </row>
    <row r="10" spans="1:3">
      <c r="A10" s="42">
        <v>42342</v>
      </c>
      <c r="C10" t="s">
        <v>187</v>
      </c>
    </row>
    <row r="11" spans="1:3">
      <c r="A11" s="42">
        <v>42345</v>
      </c>
      <c r="C11" t="s">
        <v>188</v>
      </c>
    </row>
    <row r="12" spans="1:3">
      <c r="C12" t="s">
        <v>189</v>
      </c>
    </row>
    <row r="13" spans="1:3">
      <c r="C13" t="s">
        <v>190</v>
      </c>
    </row>
    <row r="14" spans="1:3">
      <c r="C14" t="s">
        <v>191</v>
      </c>
    </row>
    <row r="15" spans="1:3">
      <c r="C15" t="s">
        <v>192</v>
      </c>
    </row>
    <row r="16" spans="1:3">
      <c r="C16" t="s">
        <v>193</v>
      </c>
    </row>
    <row r="17" spans="3:3">
      <c r="C17" t="s">
        <v>194</v>
      </c>
    </row>
  </sheetData>
  <pageMargins left="0.7" right="0.7" top="0.75" bottom="0.75" header="0.3" footer="0.3"/>
  <pageSetup paperSize="9" orientation="portrait"/>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B1:U2"/>
  <sheetViews>
    <sheetView workbookViewId="0">
      <selection activeCell="C16" sqref="C16"/>
    </sheetView>
  </sheetViews>
  <sheetFormatPr baseColWidth="10" defaultColWidth="11.44140625" defaultRowHeight="14.4"/>
  <sheetData>
    <row r="1" spans="2:21" s="10" customFormat="1" ht="42" customHeight="1" thickBot="1">
      <c r="B1" s="15" t="s">
        <v>23</v>
      </c>
      <c r="C1" s="9" t="s">
        <v>24</v>
      </c>
      <c r="D1" s="14" t="s">
        <v>25</v>
      </c>
      <c r="E1" s="9" t="s">
        <v>26</v>
      </c>
      <c r="F1" s="12" t="s">
        <v>98</v>
      </c>
      <c r="G1" s="8" t="s">
        <v>195</v>
      </c>
      <c r="H1" s="8" t="s">
        <v>28</v>
      </c>
      <c r="I1" s="8" t="s">
        <v>29</v>
      </c>
      <c r="J1" s="8" t="s">
        <v>30</v>
      </c>
      <c r="K1" s="12" t="s">
        <v>107</v>
      </c>
      <c r="L1" s="13" t="s">
        <v>32</v>
      </c>
      <c r="M1" s="13" t="s">
        <v>33</v>
      </c>
      <c r="N1" s="9" t="s">
        <v>34</v>
      </c>
      <c r="O1" s="9" t="s">
        <v>35</v>
      </c>
      <c r="P1" s="9" t="s">
        <v>36</v>
      </c>
      <c r="Q1" s="9" t="s">
        <v>37</v>
      </c>
      <c r="R1" s="9" t="s">
        <v>38</v>
      </c>
      <c r="S1" s="9" t="s">
        <v>39</v>
      </c>
      <c r="T1" s="7" t="s">
        <v>40</v>
      </c>
      <c r="U1" s="7" t="s">
        <v>41</v>
      </c>
    </row>
    <row r="2" spans="2:21">
      <c r="B2" t="s">
        <v>23</v>
      </c>
      <c r="C2" t="s">
        <v>24</v>
      </c>
      <c r="D2" t="s">
        <v>25</v>
      </c>
      <c r="E2" t="s">
        <v>196</v>
      </c>
      <c r="I2" t="s">
        <v>197</v>
      </c>
      <c r="J2" t="s">
        <v>198</v>
      </c>
      <c r="N2" t="s">
        <v>199</v>
      </c>
      <c r="O2" t="s">
        <v>200</v>
      </c>
      <c r="S2" t="s">
        <v>201</v>
      </c>
    </row>
  </sheetData>
  <conditionalFormatting sqref="P1:U1">
    <cfRule type="containsErrors" dxfId="0" priority="1">
      <formula>ISERROR(P1)</formula>
    </cfRule>
  </conditionalFormatting>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Regneark</vt:lpstr>
      </vt:variant>
      <vt:variant>
        <vt:i4>25</vt:i4>
      </vt:variant>
    </vt:vector>
  </HeadingPairs>
  <TitlesOfParts>
    <vt:vector size="25" baseType="lpstr">
      <vt:lpstr>Wetseason</vt:lpstr>
      <vt:lpstr>Dryseason</vt:lpstr>
      <vt:lpstr>TBIcalc</vt:lpstr>
      <vt:lpstr>Teabags_used_in_wet</vt:lpstr>
      <vt:lpstr>Ashed_controlls</vt:lpstr>
      <vt:lpstr>Duplicate check</vt:lpstr>
      <vt:lpstr>Ashed teabags dry</vt:lpstr>
      <vt:lpstr>Dry_Litterbag Placem_Collection</vt:lpstr>
      <vt:lpstr>Both teabags AfterDry</vt:lpstr>
      <vt:lpstr>WetLitterbags placem_collection</vt:lpstr>
      <vt:lpstr>Ashed teabags wet</vt:lpstr>
      <vt:lpstr>Both teabags AfterWet</vt:lpstr>
      <vt:lpstr>Ash_Protocol</vt:lpstr>
      <vt:lpstr>Green_rooibos initial weight</vt:lpstr>
      <vt:lpstr>Dry_season</vt:lpstr>
      <vt:lpstr>Wet_season</vt:lpstr>
      <vt:lpstr>TBImanual</vt:lpstr>
      <vt:lpstr>Bugs&amp;Issues</vt:lpstr>
      <vt:lpstr>Things</vt:lpstr>
      <vt:lpstr>TBIWetUnashed</vt:lpstr>
      <vt:lpstr>TBIWet</vt:lpstr>
      <vt:lpstr>TBIDryUnashed</vt:lpstr>
      <vt:lpstr>TBIDry</vt:lpstr>
      <vt:lpstr>Changelog</vt:lpstr>
      <vt:lpstr>DIAGNOSTICS</vt:lpstr>
    </vt:vector>
  </TitlesOfParts>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Gaëtan</dc:creator>
  <cp:lastModifiedBy>Anders Sundsdal</cp:lastModifiedBy>
  <cp:revision/>
  <dcterms:created xsi:type="dcterms:W3CDTF">2013-08-01T12:13:43Z</dcterms:created>
  <dcterms:modified xsi:type="dcterms:W3CDTF">2019-01-01T15:40:14Z</dcterms:modified>
</cp:coreProperties>
</file>